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2026\KAS PROYEK\"/>
    </mc:Choice>
  </mc:AlternateContent>
  <xr:revisionPtr revIDLastSave="0" documentId="8_{014DBD94-A8D2-42DB-B292-57447315F37D}" xr6:coauthVersionLast="47" xr6:coauthVersionMax="47" xr10:uidLastSave="{00000000-0000-0000-0000-000000000000}"/>
  <bookViews>
    <workbookView xWindow="-120" yWindow="-120" windowWidth="38640" windowHeight="15720" tabRatio="837" activeTab="19" xr2:uid="{00000000-000D-0000-FFFF-FFFF00000000}"/>
  </bookViews>
  <sheets>
    <sheet name="COPY" sheetId="19" r:id="rId1"/>
    <sheet name="BUKU BANK" sheetId="40" r:id="rId2"/>
    <sheet name="BKU 1" sheetId="1" r:id="rId3"/>
    <sheet name="BKT 1" sheetId="6" r:id="rId4"/>
    <sheet name="BKU 2" sheetId="29" r:id="rId5"/>
    <sheet name="BKT 2" sheetId="37" r:id="rId6"/>
    <sheet name="BKU 3" sheetId="30" r:id="rId7"/>
    <sheet name="BKT 3" sheetId="38" r:id="rId8"/>
    <sheet name="BKU 4" sheetId="31" r:id="rId9"/>
    <sheet name="BKT 4" sheetId="39" r:id="rId10"/>
    <sheet name="Absen (2)" sheetId="28" r:id="rId11"/>
    <sheet name="Absen" sheetId="3" state="hidden" r:id="rId12"/>
    <sheet name="Rekap Gaji" sheetId="8" r:id="rId13"/>
    <sheet name="Rekap Alat" sheetId="7" state="hidden" r:id="rId14"/>
    <sheet name="REKAP PAJAK" sheetId="16" r:id="rId15"/>
    <sheet name="Laporan ppn" sheetId="26" r:id="rId16"/>
    <sheet name="Mailing" sheetId="20" r:id="rId17"/>
    <sheet name="AK" sheetId="27" state="hidden" r:id="rId18"/>
    <sheet name="Un nOTA" sheetId="23" r:id="rId19"/>
    <sheet name="Kwitansi Pekerja" sheetId="25" r:id="rId20"/>
  </sheets>
  <functionGroups builtInGroupCount="19"/>
  <definedNames>
    <definedName name="_xlnm._FilterDatabase" localSheetId="3" hidden="1">'BKT 1'!$G$170:$G$323</definedName>
    <definedName name="_xlnm._FilterDatabase" localSheetId="5" hidden="1">'BKT 2'!$G$170:$G$323</definedName>
    <definedName name="_xlnm._FilterDatabase" localSheetId="7" hidden="1">'BKT 3'!$G$170:$G$323</definedName>
    <definedName name="_xlnm._FilterDatabase" localSheetId="9" hidden="1">'BKT 4'!$G$170:$G$323</definedName>
    <definedName name="_xlnm._FilterDatabase" localSheetId="2" hidden="1">'BKU 1'!#REF!</definedName>
    <definedName name="_xlnm._FilterDatabase" localSheetId="4" hidden="1">'BKU 2'!#REF!</definedName>
    <definedName name="_xlnm._FilterDatabase" localSheetId="6" hidden="1">'BKU 3'!#REF!</definedName>
    <definedName name="_xlnm._FilterDatabase" localSheetId="8" hidden="1">'BKU 4'!#REF!</definedName>
    <definedName name="_xlnm._FilterDatabase" localSheetId="0" hidden="1">COPY!$C$1:$O$1000</definedName>
    <definedName name="_xlnm._FilterDatabase" localSheetId="15" hidden="1">'Laporan ppn'!$A$9:$I$6785</definedName>
    <definedName name="_xlnm._FilterDatabase" localSheetId="13" hidden="1">'Rekap Alat'!$A$10:$E$142</definedName>
    <definedName name="_xlnm._FilterDatabase" localSheetId="12" hidden="1">'Rekap Gaji'!$A$10:$M$25</definedName>
    <definedName name="_xleta.T" hidden="1" xlm="1">#NAME?</definedName>
    <definedName name="_xleta.VALUE" hidden="1" xlm="1">#NAME?</definedName>
    <definedName name="_xlnm.Print_Area" localSheetId="11">Absen!$B$1:$S$456</definedName>
    <definedName name="_xlnm.Print_Area" localSheetId="10">'Absen (2)'!$B$1:$AC$467</definedName>
    <definedName name="_xlnm.Print_Area" localSheetId="3">'BKT 1'!$B$1:$M$334</definedName>
    <definedName name="_xlnm.Print_Area" localSheetId="5">'BKT 2'!$B$1:$M$334</definedName>
    <definedName name="_xlnm.Print_Area" localSheetId="7">'BKT 3'!$B$1:$M$334</definedName>
    <definedName name="_xlnm.Print_Area" localSheetId="9">'BKT 4'!$B$1:$M$334</definedName>
    <definedName name="_xlnm.Print_Area" localSheetId="2">'BKU 1'!$B$21:$N$361</definedName>
    <definedName name="_xlnm.Print_Area" localSheetId="4">'BKU 2'!$B$21:$N$360</definedName>
    <definedName name="_xlnm.Print_Area" localSheetId="6">'BKU 3'!$B$21:$N$361</definedName>
    <definedName name="_xlnm.Print_Area" localSheetId="8">'BKU 4'!$B$21:$N$361</definedName>
    <definedName name="_xlnm.Print_Area" localSheetId="1">'BUKU BANK'!$B$1:$J$32,'BUKU BANK'!$B$34:$J$65,'BUKU BANK'!$B$67:$J$98,'BUKU BANK'!$B$100:$J$131,'BUKU BANK'!$B$133:$J$164</definedName>
    <definedName name="_xlnm.Print_Area" localSheetId="0">COPY!$C$1:$O$1000</definedName>
    <definedName name="_xlnm.Print_Area" localSheetId="15">'Laporan ppn'!$A$1:$I$6785</definedName>
    <definedName name="_xlnm.Print_Area" localSheetId="16">Mailing!$A$2:$K$2</definedName>
    <definedName name="_xlnm.Print_Area" localSheetId="13">'Rekap Alat'!$A$1:$E$153</definedName>
    <definedName name="_xlnm.Print_Area" localSheetId="12">'Rekap Gaji'!$B$1:$I$40</definedName>
    <definedName name="_xlnm.Print_Area" localSheetId="14">'REKAP PAJAK'!$B$1:$M$35</definedName>
    <definedName name="_xlnm.Print_Area" localSheetId="18">'Un nOTA'!$A$1:$K$535</definedName>
    <definedName name="_xlnm.Print_Titles" localSheetId="3">'BKT 1'!$10:$11</definedName>
    <definedName name="_xlnm.Print_Titles" localSheetId="5">'BKT 2'!$10:$11</definedName>
    <definedName name="_xlnm.Print_Titles" localSheetId="7">'BKT 3'!$10:$11</definedName>
    <definedName name="_xlnm.Print_Titles" localSheetId="9">'BKT 4'!$10:$11</definedName>
    <definedName name="_xlnm.Print_Titles" localSheetId="2">'BKU 1'!$30:$30</definedName>
    <definedName name="_xlnm.Print_Titles" localSheetId="4">'BKU 2'!$30:$30</definedName>
    <definedName name="_xlnm.Print_Titles" localSheetId="6">'BKU 3'!$30:$30</definedName>
    <definedName name="_xlnm.Print_Titles" localSheetId="8">'BKU 4'!$30:$30</definedName>
    <definedName name="_xlnm.Print_Titles" localSheetId="0">COPY!$1:$1</definedName>
    <definedName name="_xlnm.Print_Titles" localSheetId="13">'Rekap Alat'!$10:$10</definedName>
    <definedName name="_xlnm.Print_Titles" localSheetId="18">'Un nOTA'!$3:$3</definedName>
    <definedName name="Print_titless">'Rekap Alat'!$10:$10</definedName>
    <definedName name="Print_tittles">'Rekap Alat'!$10:$10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39" l="1"/>
  <c r="G14" i="39"/>
  <c r="B14" i="39"/>
  <c r="R332" i="39" a="1"/>
  <c r="R332" i="39" l="1"/>
  <c r="AB2" i="19"/>
  <c r="P12" i="40" l="1"/>
  <c r="N11" i="40"/>
  <c r="L326" i="39"/>
  <c r="L326" i="38"/>
  <c r="L326" i="37"/>
  <c r="F346" i="29"/>
  <c r="F347" i="1"/>
  <c r="I164" i="40"/>
  <c r="I131" i="40"/>
  <c r="I98" i="40"/>
  <c r="I65" i="40"/>
  <c r="I163" i="40"/>
  <c r="I130" i="40"/>
  <c r="I97" i="40"/>
  <c r="I64" i="40"/>
  <c r="F163" i="40"/>
  <c r="F130" i="40"/>
  <c r="F97" i="40"/>
  <c r="F64" i="40"/>
  <c r="D164" i="40"/>
  <c r="D131" i="40"/>
  <c r="D98" i="40"/>
  <c r="D65" i="40"/>
  <c r="D163" i="40"/>
  <c r="D130" i="40"/>
  <c r="D97" i="40"/>
  <c r="D64" i="40"/>
  <c r="I32" i="40"/>
  <c r="I31" i="40"/>
  <c r="F31" i="40"/>
  <c r="D32" i="40"/>
  <c r="D31" i="40"/>
  <c r="E139" i="40"/>
  <c r="E137" i="40"/>
  <c r="E136" i="40"/>
  <c r="D158" i="40" s="1"/>
  <c r="I158" i="40" s="1"/>
  <c r="E106" i="40"/>
  <c r="E104" i="40"/>
  <c r="E103" i="40"/>
  <c r="D125" i="40" s="1"/>
  <c r="I125" i="40" s="1"/>
  <c r="E73" i="40"/>
  <c r="E71" i="40"/>
  <c r="E70" i="40"/>
  <c r="D92" i="40" s="1"/>
  <c r="E40" i="40"/>
  <c r="E38" i="40"/>
  <c r="E37" i="40"/>
  <c r="D59" i="40" s="1"/>
  <c r="E7" i="40"/>
  <c r="E5" i="40"/>
  <c r="E4" i="40"/>
  <c r="H153" i="40"/>
  <c r="I151" i="40"/>
  <c r="I150" i="40"/>
  <c r="I149" i="40"/>
  <c r="I148" i="40"/>
  <c r="I147" i="40"/>
  <c r="I146" i="40"/>
  <c r="I145" i="40"/>
  <c r="I144" i="40"/>
  <c r="H120" i="40"/>
  <c r="I118" i="40"/>
  <c r="I117" i="40"/>
  <c r="I116" i="40"/>
  <c r="I115" i="40"/>
  <c r="I114" i="40"/>
  <c r="I113" i="40"/>
  <c r="I112" i="40"/>
  <c r="H87" i="40"/>
  <c r="I85" i="40"/>
  <c r="I84" i="40"/>
  <c r="I83" i="40"/>
  <c r="I82" i="40"/>
  <c r="I81" i="40"/>
  <c r="I80" i="40"/>
  <c r="I79" i="40"/>
  <c r="I78" i="40"/>
  <c r="H54" i="40"/>
  <c r="I52" i="40"/>
  <c r="I51" i="40"/>
  <c r="I50" i="40"/>
  <c r="I49" i="40"/>
  <c r="I48" i="40"/>
  <c r="I47" i="40"/>
  <c r="D44" i="40"/>
  <c r="I57" i="40" s="1"/>
  <c r="D26" i="40"/>
  <c r="I26" i="40" s="1"/>
  <c r="I24" i="40"/>
  <c r="H21" i="40"/>
  <c r="G21" i="40"/>
  <c r="I21" i="40" s="1"/>
  <c r="G44" i="40" s="1"/>
  <c r="I11" i="40"/>
  <c r="C2" i="40"/>
  <c r="I59" i="40" l="1"/>
  <c r="F59" i="40"/>
  <c r="I44" i="40"/>
  <c r="I45" i="40" s="1"/>
  <c r="I46" i="40" s="1"/>
  <c r="G54" i="40"/>
  <c r="I54" i="40" s="1"/>
  <c r="G77" i="40" s="1"/>
  <c r="F92" i="40"/>
  <c r="I92" i="40"/>
  <c r="F125" i="40"/>
  <c r="C35" i="40"/>
  <c r="D77" i="40"/>
  <c r="F158" i="40"/>
  <c r="F26" i="40"/>
  <c r="I90" i="40" l="1"/>
  <c r="D110" i="40"/>
  <c r="C68" i="40"/>
  <c r="G87" i="40"/>
  <c r="I87" i="40" s="1"/>
  <c r="G110" i="40" s="1"/>
  <c r="I77" i="40"/>
  <c r="G120" i="40" l="1"/>
  <c r="I120" i="40" s="1"/>
  <c r="I110" i="40"/>
  <c r="I111" i="40" s="1"/>
  <c r="C101" i="40"/>
  <c r="D143" i="40"/>
  <c r="I123" i="40"/>
  <c r="G143" i="40" l="1"/>
  <c r="F347" i="30"/>
  <c r="C134" i="40"/>
  <c r="I156" i="40"/>
  <c r="I143" i="40"/>
  <c r="G153" i="40"/>
  <c r="I153" i="40" s="1"/>
  <c r="F347" i="31" s="1"/>
  <c r="E16" i="1" l="1"/>
  <c r="E15" i="1"/>
  <c r="G1009" i="26"/>
  <c r="G1010" i="26"/>
  <c r="G1011" i="26"/>
  <c r="G1012" i="26"/>
  <c r="G1013" i="26"/>
  <c r="G1014" i="26"/>
  <c r="G1015" i="26"/>
  <c r="G1016" i="26"/>
  <c r="G1017" i="26"/>
  <c r="G1018" i="26"/>
  <c r="G1019" i="26"/>
  <c r="G1020" i="26"/>
  <c r="G1021" i="26"/>
  <c r="G1022" i="26"/>
  <c r="G1023" i="26"/>
  <c r="G1024" i="26"/>
  <c r="G1025" i="26"/>
  <c r="G1026" i="26"/>
  <c r="G1027" i="26"/>
  <c r="G1028" i="26"/>
  <c r="G1029" i="26"/>
  <c r="G1030" i="26"/>
  <c r="G1031" i="26"/>
  <c r="G1032" i="26"/>
  <c r="G1033" i="26"/>
  <c r="G1034" i="26"/>
  <c r="G1035" i="26"/>
  <c r="G1036" i="26"/>
  <c r="G1037" i="26"/>
  <c r="G1038" i="26"/>
  <c r="G1039" i="26"/>
  <c r="G1040" i="26"/>
  <c r="G1041" i="26"/>
  <c r="G1042" i="26"/>
  <c r="G1043" i="26"/>
  <c r="G1044" i="26"/>
  <c r="G1045" i="26"/>
  <c r="G1046" i="26"/>
  <c r="G1047" i="26"/>
  <c r="G1048" i="26"/>
  <c r="G1049" i="26"/>
  <c r="G1050" i="26"/>
  <c r="G1051" i="26"/>
  <c r="G1052" i="26"/>
  <c r="G1053" i="26"/>
  <c r="G1054" i="26"/>
  <c r="G1055" i="26"/>
  <c r="G1056" i="26"/>
  <c r="G1057" i="26"/>
  <c r="G1058" i="26"/>
  <c r="G1059" i="26"/>
  <c r="G1060" i="26"/>
  <c r="G1061" i="26"/>
  <c r="G1062" i="26"/>
  <c r="G1063" i="26"/>
  <c r="G1064" i="26"/>
  <c r="G1065" i="26"/>
  <c r="G1066" i="26"/>
  <c r="G1067" i="26"/>
  <c r="G1068" i="26"/>
  <c r="G1069" i="26"/>
  <c r="G1070" i="26"/>
  <c r="G1071" i="26"/>
  <c r="G1072" i="26"/>
  <c r="G1073" i="26"/>
  <c r="G1074" i="26"/>
  <c r="G1075" i="26"/>
  <c r="G1076" i="26"/>
  <c r="G1077" i="26"/>
  <c r="G1078" i="26"/>
  <c r="G1079" i="26"/>
  <c r="G1080" i="26"/>
  <c r="G1081" i="26"/>
  <c r="G1082" i="26"/>
  <c r="G1083" i="26"/>
  <c r="G1084" i="26"/>
  <c r="G1085" i="26"/>
  <c r="G1086" i="26"/>
  <c r="G1087" i="26"/>
  <c r="G1088" i="26"/>
  <c r="G1089" i="26"/>
  <c r="G1090" i="26"/>
  <c r="G1091" i="26"/>
  <c r="G1092" i="26"/>
  <c r="G1093" i="26"/>
  <c r="G1094" i="26"/>
  <c r="G1095" i="26"/>
  <c r="G1096" i="26"/>
  <c r="G1097" i="26"/>
  <c r="G1098" i="26"/>
  <c r="G1099" i="26"/>
  <c r="G1100" i="26"/>
  <c r="G1101" i="26"/>
  <c r="G1102" i="26"/>
  <c r="G1103" i="26"/>
  <c r="G1104" i="26"/>
  <c r="G1105" i="26"/>
  <c r="G1106" i="26"/>
  <c r="G1107" i="26"/>
  <c r="G1108" i="26"/>
  <c r="G1109" i="26"/>
  <c r="G1110" i="26"/>
  <c r="G1111" i="26"/>
  <c r="G1112" i="26"/>
  <c r="G1113" i="26"/>
  <c r="G1114" i="26"/>
  <c r="G1115" i="26"/>
  <c r="G1116" i="26"/>
  <c r="G1117" i="26"/>
  <c r="G1118" i="26"/>
  <c r="G1119" i="26"/>
  <c r="G1120" i="26"/>
  <c r="G1121" i="26"/>
  <c r="G1122" i="26"/>
  <c r="G1123" i="26"/>
  <c r="G1124" i="26"/>
  <c r="G1125" i="26"/>
  <c r="G1126" i="26"/>
  <c r="G1127" i="26"/>
  <c r="G1128" i="26"/>
  <c r="G1129" i="26"/>
  <c r="G1130" i="26"/>
  <c r="G1131" i="26"/>
  <c r="G1132" i="26"/>
  <c r="G1133" i="26"/>
  <c r="G1134" i="26"/>
  <c r="G1135" i="26"/>
  <c r="G1136" i="26"/>
  <c r="G1137" i="26"/>
  <c r="G1138" i="26"/>
  <c r="G1139" i="26"/>
  <c r="G1140" i="26"/>
  <c r="G1141" i="26"/>
  <c r="G1142" i="26"/>
  <c r="G1143" i="26"/>
  <c r="G1144" i="26"/>
  <c r="G1145" i="26"/>
  <c r="G1146" i="26"/>
  <c r="G1147" i="26"/>
  <c r="G1148" i="26"/>
  <c r="G1149" i="26"/>
  <c r="G1150" i="26"/>
  <c r="G1151" i="26"/>
  <c r="G1152" i="26"/>
  <c r="G1153" i="26"/>
  <c r="G1154" i="26"/>
  <c r="G1155" i="26"/>
  <c r="G1156" i="26"/>
  <c r="G1157" i="26"/>
  <c r="G1158" i="26"/>
  <c r="G1159" i="26"/>
  <c r="G1160" i="26"/>
  <c r="G1161" i="26"/>
  <c r="G1162" i="26"/>
  <c r="G1163" i="26"/>
  <c r="G1164" i="26"/>
  <c r="G1165" i="26"/>
  <c r="G1166" i="26"/>
  <c r="G1167" i="26"/>
  <c r="G1168" i="26"/>
  <c r="G1169" i="26"/>
  <c r="G1170" i="26"/>
  <c r="G1171" i="26"/>
  <c r="G1172" i="26"/>
  <c r="G1173" i="26"/>
  <c r="G1174" i="26"/>
  <c r="G1175" i="26"/>
  <c r="G1176" i="26"/>
  <c r="G1177" i="26"/>
  <c r="G1178" i="26"/>
  <c r="G1179" i="26"/>
  <c r="G1180" i="26"/>
  <c r="G1181" i="26"/>
  <c r="G1182" i="26"/>
  <c r="G1183" i="26"/>
  <c r="G1184" i="26"/>
  <c r="G1185" i="26"/>
  <c r="G1186" i="26"/>
  <c r="G1187" i="26"/>
  <c r="G1188" i="26"/>
  <c r="G1189" i="26"/>
  <c r="G1190" i="26"/>
  <c r="G1191" i="26"/>
  <c r="G1192" i="26"/>
  <c r="G1193" i="26"/>
  <c r="G1194" i="26"/>
  <c r="G1195" i="26"/>
  <c r="G1196" i="26"/>
  <c r="G1197" i="26"/>
  <c r="G1198" i="26"/>
  <c r="G1199" i="26"/>
  <c r="G1200" i="26"/>
  <c r="G1201" i="26"/>
  <c r="G1202" i="26"/>
  <c r="G1203" i="26"/>
  <c r="G1204" i="26"/>
  <c r="G1205" i="26"/>
  <c r="G1206" i="26"/>
  <c r="G1207" i="26"/>
  <c r="G1208" i="26"/>
  <c r="G1209" i="26"/>
  <c r="G1210" i="26"/>
  <c r="G1211" i="26"/>
  <c r="G1212" i="26"/>
  <c r="G1213" i="26"/>
  <c r="G1214" i="26"/>
  <c r="G1215" i="26"/>
  <c r="G1216" i="26"/>
  <c r="G1217" i="26"/>
  <c r="G1218" i="26"/>
  <c r="G1219" i="26"/>
  <c r="G1220" i="26"/>
  <c r="G1221" i="26"/>
  <c r="G1222" i="26"/>
  <c r="G1223" i="26"/>
  <c r="G1224" i="26"/>
  <c r="G1225" i="26"/>
  <c r="G1226" i="26"/>
  <c r="G1227" i="26"/>
  <c r="G1228" i="26"/>
  <c r="G1229" i="26"/>
  <c r="G1230" i="26"/>
  <c r="G1231" i="26"/>
  <c r="G1232" i="26"/>
  <c r="G1233" i="26"/>
  <c r="G1234" i="26"/>
  <c r="G1235" i="26"/>
  <c r="G1236" i="26"/>
  <c r="G1237" i="26"/>
  <c r="G1238" i="26"/>
  <c r="G1239" i="26"/>
  <c r="G1240" i="26"/>
  <c r="G1241" i="26"/>
  <c r="G1242" i="26"/>
  <c r="G1243" i="26"/>
  <c r="G1244" i="26"/>
  <c r="G1245" i="26"/>
  <c r="G1246" i="26"/>
  <c r="G1247" i="26"/>
  <c r="G1248" i="26"/>
  <c r="G1249" i="26"/>
  <c r="G1250" i="26"/>
  <c r="G1251" i="26"/>
  <c r="G1252" i="26"/>
  <c r="G1253" i="26"/>
  <c r="G1254" i="26"/>
  <c r="G1255" i="26"/>
  <c r="G1256" i="26"/>
  <c r="G1257" i="26"/>
  <c r="G1258" i="26"/>
  <c r="G1259" i="26"/>
  <c r="G1260" i="26"/>
  <c r="G1261" i="26"/>
  <c r="G1262" i="26"/>
  <c r="G1263" i="26"/>
  <c r="G1264" i="26"/>
  <c r="G1265" i="26"/>
  <c r="G1266" i="26"/>
  <c r="G1267" i="26"/>
  <c r="G1268" i="26"/>
  <c r="G1269" i="26"/>
  <c r="G1270" i="26"/>
  <c r="G1271" i="26"/>
  <c r="G1272" i="26"/>
  <c r="G1273" i="26"/>
  <c r="G1274" i="26"/>
  <c r="G1275" i="26"/>
  <c r="G1276" i="26"/>
  <c r="G1277" i="26"/>
  <c r="G1278" i="26"/>
  <c r="G1279" i="26"/>
  <c r="G1280" i="26"/>
  <c r="G1281" i="26"/>
  <c r="G1282" i="26"/>
  <c r="G1283" i="26"/>
  <c r="G1284" i="26"/>
  <c r="G1285" i="26"/>
  <c r="G1286" i="26"/>
  <c r="G1287" i="26"/>
  <c r="G1288" i="26"/>
  <c r="G1289" i="26"/>
  <c r="G1290" i="26"/>
  <c r="G1291" i="26"/>
  <c r="G1292" i="26"/>
  <c r="G1293" i="26"/>
  <c r="G1294" i="26"/>
  <c r="G1295" i="26"/>
  <c r="G1296" i="26"/>
  <c r="G1297" i="26"/>
  <c r="G1298" i="26"/>
  <c r="G1299" i="26"/>
  <c r="G1300" i="26"/>
  <c r="G1301" i="26"/>
  <c r="G1302" i="26"/>
  <c r="G1303" i="26"/>
  <c r="G1304" i="26"/>
  <c r="G1305" i="26"/>
  <c r="G1306" i="26"/>
  <c r="G1307" i="26"/>
  <c r="G1308" i="26"/>
  <c r="G1309" i="26"/>
  <c r="G1310" i="26"/>
  <c r="G1311" i="26"/>
  <c r="G1312" i="26"/>
  <c r="G1313" i="26"/>
  <c r="G1314" i="26"/>
  <c r="G1315" i="26"/>
  <c r="G1316" i="26"/>
  <c r="G1317" i="26"/>
  <c r="G1318" i="26"/>
  <c r="G1319" i="26"/>
  <c r="G1320" i="26"/>
  <c r="G1321" i="26"/>
  <c r="G1322" i="26"/>
  <c r="G1323" i="26"/>
  <c r="G1324" i="26"/>
  <c r="G1325" i="26"/>
  <c r="G1326" i="26"/>
  <c r="G1327" i="26"/>
  <c r="G1328" i="26"/>
  <c r="G1329" i="26"/>
  <c r="G1330" i="26"/>
  <c r="G1331" i="26"/>
  <c r="G1332" i="26"/>
  <c r="G1333" i="26"/>
  <c r="G1334" i="26"/>
  <c r="G1335" i="26"/>
  <c r="G1336" i="26"/>
  <c r="G1337" i="26"/>
  <c r="G1338" i="26"/>
  <c r="G1339" i="26"/>
  <c r="G1340" i="26"/>
  <c r="G1341" i="26"/>
  <c r="G1342" i="26"/>
  <c r="G1343" i="26"/>
  <c r="G1344" i="26"/>
  <c r="G1345" i="26"/>
  <c r="G1346" i="26"/>
  <c r="G1347" i="26"/>
  <c r="G1348" i="26"/>
  <c r="G1349" i="26"/>
  <c r="G1350" i="26"/>
  <c r="G1351" i="26"/>
  <c r="G1352" i="26"/>
  <c r="G1353" i="26"/>
  <c r="G1354" i="26"/>
  <c r="G1355" i="26"/>
  <c r="G1356" i="26"/>
  <c r="G1357" i="26"/>
  <c r="G1358" i="26"/>
  <c r="G1359" i="26"/>
  <c r="G1360" i="26"/>
  <c r="G1361" i="26"/>
  <c r="G1362" i="26"/>
  <c r="G1363" i="26"/>
  <c r="G1364" i="26"/>
  <c r="G1365" i="26"/>
  <c r="G1366" i="26"/>
  <c r="G1367" i="26"/>
  <c r="G1368" i="26"/>
  <c r="G1369" i="26"/>
  <c r="G1370" i="26"/>
  <c r="G1371" i="26"/>
  <c r="G1372" i="26"/>
  <c r="G1373" i="26"/>
  <c r="G1374" i="26"/>
  <c r="G1375" i="26"/>
  <c r="G1376" i="26"/>
  <c r="G1377" i="26"/>
  <c r="G1378" i="26"/>
  <c r="G1379" i="26"/>
  <c r="G1380" i="26"/>
  <c r="G1381" i="26"/>
  <c r="G1382" i="26"/>
  <c r="G1383" i="26"/>
  <c r="G1384" i="26"/>
  <c r="G1385" i="26"/>
  <c r="G1386" i="26"/>
  <c r="G1387" i="26"/>
  <c r="G1388" i="26"/>
  <c r="G1389" i="26"/>
  <c r="G1390" i="26"/>
  <c r="G1391" i="26"/>
  <c r="G1392" i="26"/>
  <c r="G1393" i="26"/>
  <c r="G1394" i="26"/>
  <c r="G1395" i="26"/>
  <c r="G1396" i="26"/>
  <c r="G1397" i="26"/>
  <c r="G1398" i="26"/>
  <c r="G1399" i="26"/>
  <c r="G1400" i="26"/>
  <c r="G1401" i="26"/>
  <c r="G1402" i="26"/>
  <c r="G1403" i="26"/>
  <c r="G1404" i="26"/>
  <c r="G1405" i="26"/>
  <c r="G1406" i="26"/>
  <c r="G1407" i="26"/>
  <c r="G1408" i="26"/>
  <c r="G1409" i="26"/>
  <c r="G1410" i="26"/>
  <c r="G1411" i="26"/>
  <c r="G1412" i="26"/>
  <c r="G1413" i="26"/>
  <c r="G1414" i="26"/>
  <c r="G1415" i="26"/>
  <c r="G1416" i="26"/>
  <c r="G1417" i="26"/>
  <c r="G1418" i="26"/>
  <c r="G1419" i="26"/>
  <c r="G1420" i="26"/>
  <c r="G1421" i="26"/>
  <c r="G1422" i="26"/>
  <c r="G1423" i="26"/>
  <c r="G1424" i="26"/>
  <c r="G1425" i="26"/>
  <c r="G1426" i="26"/>
  <c r="G1427" i="26"/>
  <c r="G1428" i="26"/>
  <c r="G1429" i="26"/>
  <c r="G1430" i="26"/>
  <c r="G1431" i="26"/>
  <c r="G1432" i="26"/>
  <c r="G1433" i="26"/>
  <c r="G1434" i="26"/>
  <c r="G1435" i="26"/>
  <c r="G1436" i="26"/>
  <c r="G1437" i="26"/>
  <c r="G1438" i="26"/>
  <c r="G1439" i="26"/>
  <c r="G1440" i="26"/>
  <c r="G1441" i="26"/>
  <c r="G1442" i="26"/>
  <c r="G1443" i="26"/>
  <c r="G1444" i="26"/>
  <c r="G1445" i="26"/>
  <c r="G1446" i="26"/>
  <c r="G1447" i="26"/>
  <c r="G1448" i="26"/>
  <c r="G1449" i="26"/>
  <c r="G1450" i="26"/>
  <c r="G1451" i="26"/>
  <c r="G1452" i="26"/>
  <c r="G1453" i="26"/>
  <c r="G1454" i="26"/>
  <c r="G1455" i="26"/>
  <c r="G1456" i="26"/>
  <c r="G1457" i="26"/>
  <c r="G1458" i="26"/>
  <c r="G1459" i="26"/>
  <c r="G1460" i="26"/>
  <c r="G1461" i="26"/>
  <c r="G1462" i="26"/>
  <c r="G1463" i="26"/>
  <c r="G1464" i="26"/>
  <c r="G1465" i="26"/>
  <c r="G1466" i="26"/>
  <c r="G1467" i="26"/>
  <c r="G1468" i="26"/>
  <c r="G1469" i="26"/>
  <c r="G1470" i="26"/>
  <c r="G1471" i="26"/>
  <c r="G1472" i="26"/>
  <c r="G1473" i="26"/>
  <c r="G1474" i="26"/>
  <c r="G1475" i="26"/>
  <c r="G1476" i="26"/>
  <c r="G1477" i="26"/>
  <c r="G1478" i="26"/>
  <c r="G1479" i="26"/>
  <c r="G1480" i="26"/>
  <c r="G1481" i="26"/>
  <c r="G1482" i="26"/>
  <c r="G1483" i="26"/>
  <c r="G1484" i="26"/>
  <c r="G1485" i="26"/>
  <c r="G1486" i="26"/>
  <c r="G1487" i="26"/>
  <c r="G1488" i="26"/>
  <c r="G1489" i="26"/>
  <c r="G1490" i="26"/>
  <c r="G1491" i="26"/>
  <c r="G1492" i="26"/>
  <c r="G1493" i="26"/>
  <c r="G1494" i="26"/>
  <c r="G1495" i="26"/>
  <c r="G1496" i="26"/>
  <c r="G1497" i="26"/>
  <c r="G1498" i="26"/>
  <c r="G1499" i="26"/>
  <c r="G1500" i="26"/>
  <c r="G1501" i="26"/>
  <c r="G1502" i="26"/>
  <c r="G1503" i="26"/>
  <c r="G1504" i="26"/>
  <c r="G1505" i="26"/>
  <c r="G1506" i="26"/>
  <c r="G1507" i="26"/>
  <c r="G1508" i="26"/>
  <c r="G1509" i="26"/>
  <c r="G1510" i="26"/>
  <c r="G1511" i="26"/>
  <c r="G1512" i="26"/>
  <c r="G1513" i="26"/>
  <c r="G1514" i="26"/>
  <c r="G1515" i="26"/>
  <c r="G1516" i="26"/>
  <c r="G1517" i="26"/>
  <c r="G1518" i="26"/>
  <c r="G1519" i="26"/>
  <c r="G1520" i="26"/>
  <c r="G1521" i="26"/>
  <c r="G1522" i="26"/>
  <c r="G1523" i="26"/>
  <c r="G1524" i="26"/>
  <c r="G1525" i="26"/>
  <c r="G1526" i="26"/>
  <c r="G1527" i="26"/>
  <c r="G1528" i="26"/>
  <c r="G1529" i="26"/>
  <c r="G1530" i="26"/>
  <c r="G1531" i="26"/>
  <c r="G1532" i="26"/>
  <c r="G1533" i="26"/>
  <c r="G1534" i="26"/>
  <c r="G1535" i="26"/>
  <c r="G1536" i="26"/>
  <c r="G1537" i="26"/>
  <c r="G1538" i="26"/>
  <c r="G1539" i="26"/>
  <c r="G1540" i="26"/>
  <c r="G1541" i="26"/>
  <c r="G1542" i="26"/>
  <c r="G1543" i="26"/>
  <c r="G1544" i="26"/>
  <c r="G1545" i="26"/>
  <c r="G1546" i="26"/>
  <c r="G1547" i="26"/>
  <c r="G1548" i="26"/>
  <c r="G1549" i="26"/>
  <c r="G1550" i="26"/>
  <c r="G1551" i="26"/>
  <c r="G1552" i="26"/>
  <c r="G1553" i="26"/>
  <c r="G1554" i="26"/>
  <c r="G1555" i="26"/>
  <c r="G1556" i="26"/>
  <c r="G1557" i="26"/>
  <c r="G1558" i="26"/>
  <c r="G1559" i="26"/>
  <c r="G1560" i="26"/>
  <c r="G1561" i="26"/>
  <c r="G1562" i="26"/>
  <c r="G1563" i="26"/>
  <c r="G1564" i="26"/>
  <c r="G1565" i="26"/>
  <c r="G1566" i="26"/>
  <c r="G1567" i="26"/>
  <c r="G1568" i="26"/>
  <c r="G1569" i="26"/>
  <c r="G1570" i="26"/>
  <c r="G1571" i="26"/>
  <c r="G1572" i="26"/>
  <c r="G1573" i="26"/>
  <c r="G1574" i="26"/>
  <c r="G1575" i="26"/>
  <c r="G1576" i="26"/>
  <c r="G1577" i="26"/>
  <c r="G1578" i="26"/>
  <c r="G1579" i="26"/>
  <c r="G1580" i="26"/>
  <c r="G1581" i="26"/>
  <c r="G1582" i="26"/>
  <c r="G1583" i="26"/>
  <c r="G1584" i="26"/>
  <c r="G1585" i="26"/>
  <c r="G1586" i="26"/>
  <c r="G1587" i="26"/>
  <c r="G1588" i="26"/>
  <c r="G1589" i="26"/>
  <c r="G1590" i="26"/>
  <c r="G1591" i="26"/>
  <c r="G1592" i="26"/>
  <c r="G1593" i="26"/>
  <c r="G1594" i="26"/>
  <c r="G1595" i="26"/>
  <c r="G1596" i="26"/>
  <c r="G1597" i="26"/>
  <c r="G1598" i="26"/>
  <c r="G1599" i="26"/>
  <c r="G1600" i="26"/>
  <c r="G1601" i="26"/>
  <c r="G1602" i="26"/>
  <c r="G1603" i="26"/>
  <c r="G1604" i="26"/>
  <c r="G1605" i="26"/>
  <c r="G1606" i="26"/>
  <c r="G1607" i="26"/>
  <c r="G1608" i="26"/>
  <c r="G1609" i="26"/>
  <c r="G1610" i="26"/>
  <c r="G1611" i="26"/>
  <c r="G1612" i="26"/>
  <c r="G1613" i="26"/>
  <c r="G1614" i="26"/>
  <c r="G1615" i="26"/>
  <c r="G1616" i="26"/>
  <c r="G1617" i="26"/>
  <c r="G1618" i="26"/>
  <c r="G1619" i="26"/>
  <c r="G1620" i="26"/>
  <c r="G1621" i="26"/>
  <c r="G1622" i="26"/>
  <c r="G1623" i="26"/>
  <c r="G1624" i="26"/>
  <c r="G1625" i="26"/>
  <c r="G1626" i="26"/>
  <c r="G1627" i="26"/>
  <c r="G1628" i="26"/>
  <c r="G1629" i="26"/>
  <c r="G1630" i="26"/>
  <c r="G1631" i="26"/>
  <c r="G1632" i="26"/>
  <c r="G1633" i="26"/>
  <c r="G1634" i="26"/>
  <c r="G1635" i="26"/>
  <c r="G1636" i="26"/>
  <c r="G1637" i="26"/>
  <c r="G1638" i="26"/>
  <c r="G1639" i="26"/>
  <c r="G1640" i="26"/>
  <c r="G1641" i="26"/>
  <c r="G1642" i="26"/>
  <c r="G1643" i="26"/>
  <c r="G1644" i="26"/>
  <c r="G1645" i="26"/>
  <c r="G1646" i="26"/>
  <c r="G1647" i="26"/>
  <c r="G1648" i="26"/>
  <c r="G1649" i="26"/>
  <c r="G1650" i="26"/>
  <c r="G1651" i="26"/>
  <c r="G1652" i="26"/>
  <c r="G1653" i="26"/>
  <c r="G1654" i="26"/>
  <c r="G1655" i="26"/>
  <c r="G1656" i="26"/>
  <c r="G1657" i="26"/>
  <c r="G1658" i="26"/>
  <c r="G1659" i="26"/>
  <c r="G1660" i="26"/>
  <c r="G1661" i="26"/>
  <c r="G1662" i="26"/>
  <c r="G1663" i="26"/>
  <c r="G1664" i="26"/>
  <c r="G1665" i="26"/>
  <c r="G1666" i="26"/>
  <c r="G1667" i="26"/>
  <c r="G1668" i="26"/>
  <c r="G1669" i="26"/>
  <c r="G1670" i="26"/>
  <c r="G1671" i="26"/>
  <c r="G1672" i="26"/>
  <c r="G1673" i="26"/>
  <c r="G1674" i="26"/>
  <c r="G1675" i="26"/>
  <c r="G1676" i="26"/>
  <c r="G1677" i="26"/>
  <c r="G1678" i="26"/>
  <c r="G1679" i="26"/>
  <c r="G1680" i="26"/>
  <c r="G1681" i="26"/>
  <c r="G1682" i="26"/>
  <c r="G1683" i="26"/>
  <c r="G1684" i="26"/>
  <c r="G1685" i="26"/>
  <c r="G1686" i="26"/>
  <c r="G1687" i="26"/>
  <c r="G1688" i="26"/>
  <c r="G1689" i="26"/>
  <c r="G1690" i="26"/>
  <c r="G1691" i="26"/>
  <c r="G1692" i="26"/>
  <c r="G1693" i="26"/>
  <c r="G1694" i="26"/>
  <c r="G1695" i="26"/>
  <c r="G1696" i="26"/>
  <c r="G1697" i="26"/>
  <c r="G1698" i="26"/>
  <c r="G1699" i="26"/>
  <c r="G1700" i="26"/>
  <c r="G1701" i="26"/>
  <c r="G1702" i="26"/>
  <c r="G1703" i="26"/>
  <c r="G1704" i="26"/>
  <c r="G1705" i="26"/>
  <c r="G1706" i="26"/>
  <c r="G1707" i="26"/>
  <c r="G1708" i="26"/>
  <c r="G1709" i="26"/>
  <c r="G1710" i="26"/>
  <c r="G1711" i="26"/>
  <c r="G1712" i="26"/>
  <c r="G1713" i="26"/>
  <c r="G1714" i="26"/>
  <c r="G1715" i="26"/>
  <c r="G1716" i="26"/>
  <c r="G1717" i="26"/>
  <c r="G1718" i="26"/>
  <c r="G1719" i="26"/>
  <c r="G1720" i="26"/>
  <c r="G1721" i="26"/>
  <c r="G1722" i="26"/>
  <c r="G1723" i="26"/>
  <c r="G1724" i="26"/>
  <c r="G1725" i="26"/>
  <c r="G1726" i="26"/>
  <c r="G1727" i="26"/>
  <c r="G1728" i="26"/>
  <c r="G1729" i="26"/>
  <c r="G1730" i="26"/>
  <c r="G1731" i="26"/>
  <c r="G1732" i="26"/>
  <c r="G1733" i="26"/>
  <c r="G1734" i="26"/>
  <c r="G1735" i="26"/>
  <c r="G1736" i="26"/>
  <c r="G1737" i="26"/>
  <c r="G1738" i="26"/>
  <c r="G1739" i="26"/>
  <c r="G1740" i="26"/>
  <c r="G1741" i="26"/>
  <c r="G1742" i="26"/>
  <c r="G1743" i="26"/>
  <c r="G1744" i="26"/>
  <c r="G1745" i="26"/>
  <c r="G1746" i="26"/>
  <c r="G1747" i="26"/>
  <c r="G1748" i="26"/>
  <c r="G1749" i="26"/>
  <c r="G1750" i="26"/>
  <c r="G1751" i="26"/>
  <c r="G1752" i="26"/>
  <c r="G1753" i="26"/>
  <c r="G1754" i="26"/>
  <c r="G1755" i="26"/>
  <c r="G1756" i="26"/>
  <c r="G1757" i="26"/>
  <c r="G1758" i="26"/>
  <c r="G1759" i="26"/>
  <c r="G1760" i="26"/>
  <c r="G1761" i="26"/>
  <c r="G1762" i="26"/>
  <c r="G1763" i="26"/>
  <c r="G1764" i="26"/>
  <c r="G1765" i="26"/>
  <c r="G1766" i="26"/>
  <c r="G1767" i="26"/>
  <c r="G1768" i="26"/>
  <c r="G1769" i="26"/>
  <c r="G1770" i="26"/>
  <c r="G1771" i="26"/>
  <c r="G1772" i="26"/>
  <c r="G1773" i="26"/>
  <c r="G1774" i="26"/>
  <c r="G1775" i="26"/>
  <c r="G1776" i="26"/>
  <c r="G1777" i="26"/>
  <c r="G1778" i="26"/>
  <c r="G1779" i="26"/>
  <c r="G1780" i="26"/>
  <c r="G1781" i="26"/>
  <c r="G1782" i="26"/>
  <c r="G1783" i="26"/>
  <c r="G1784" i="26"/>
  <c r="G1785" i="26"/>
  <c r="G1786" i="26"/>
  <c r="G1787" i="26"/>
  <c r="G1788" i="26"/>
  <c r="G1789" i="26"/>
  <c r="G1790" i="26"/>
  <c r="G1791" i="26"/>
  <c r="G1792" i="26"/>
  <c r="G1793" i="26"/>
  <c r="G1794" i="26"/>
  <c r="G1795" i="26"/>
  <c r="G1796" i="26"/>
  <c r="G1797" i="26"/>
  <c r="G1798" i="26"/>
  <c r="G1799" i="26"/>
  <c r="G1800" i="26"/>
  <c r="G1801" i="26"/>
  <c r="G1802" i="26"/>
  <c r="G1803" i="26"/>
  <c r="G1804" i="26"/>
  <c r="G1805" i="26"/>
  <c r="G1806" i="26"/>
  <c r="G1807" i="26"/>
  <c r="G1808" i="26"/>
  <c r="G1809" i="26"/>
  <c r="G1810" i="26"/>
  <c r="G1811" i="26"/>
  <c r="G1812" i="26"/>
  <c r="G1813" i="26"/>
  <c r="G1814" i="26"/>
  <c r="G1815" i="26"/>
  <c r="G1816" i="26"/>
  <c r="G1817" i="26"/>
  <c r="G1818" i="26"/>
  <c r="G1819" i="26"/>
  <c r="G1820" i="26"/>
  <c r="G1821" i="26"/>
  <c r="G1822" i="26"/>
  <c r="G1823" i="26"/>
  <c r="G1824" i="26"/>
  <c r="G1825" i="26"/>
  <c r="G1826" i="26"/>
  <c r="G1827" i="26"/>
  <c r="G1828" i="26"/>
  <c r="G1829" i="26"/>
  <c r="G1830" i="26"/>
  <c r="G1831" i="26"/>
  <c r="G1832" i="26"/>
  <c r="G1833" i="26"/>
  <c r="G1834" i="26"/>
  <c r="G1835" i="26"/>
  <c r="G1836" i="26"/>
  <c r="G1837" i="26"/>
  <c r="G1838" i="26"/>
  <c r="G1839" i="26"/>
  <c r="G1840" i="26"/>
  <c r="G1841" i="26"/>
  <c r="G1842" i="26"/>
  <c r="G1843" i="26"/>
  <c r="G1844" i="26"/>
  <c r="G1845" i="26"/>
  <c r="G1846" i="26"/>
  <c r="G1847" i="26"/>
  <c r="G1848" i="26"/>
  <c r="G1849" i="26"/>
  <c r="G1850" i="26"/>
  <c r="G1851" i="26"/>
  <c r="G1852" i="26"/>
  <c r="G1853" i="26"/>
  <c r="G1854" i="26"/>
  <c r="G1855" i="26"/>
  <c r="G1856" i="26"/>
  <c r="G1857" i="26"/>
  <c r="G1858" i="26"/>
  <c r="G1859" i="26"/>
  <c r="G1860" i="26"/>
  <c r="G1861" i="26"/>
  <c r="G1862" i="26"/>
  <c r="G1863" i="26"/>
  <c r="G1864" i="26"/>
  <c r="G1865" i="26"/>
  <c r="G1866" i="26"/>
  <c r="G1867" i="26"/>
  <c r="G1868" i="26"/>
  <c r="G1869" i="26"/>
  <c r="G1870" i="26"/>
  <c r="G1871" i="26"/>
  <c r="G1872" i="26"/>
  <c r="G1873" i="26"/>
  <c r="G1874" i="26"/>
  <c r="G1875" i="26"/>
  <c r="G1876" i="26"/>
  <c r="G1877" i="26"/>
  <c r="G1878" i="26"/>
  <c r="G1879" i="26"/>
  <c r="G1880" i="26"/>
  <c r="G1881" i="26"/>
  <c r="G1882" i="26"/>
  <c r="G1883" i="26"/>
  <c r="G1884" i="26"/>
  <c r="G1885" i="26"/>
  <c r="G1886" i="26"/>
  <c r="G1887" i="26"/>
  <c r="G1888" i="26"/>
  <c r="G1889" i="26"/>
  <c r="G1890" i="26"/>
  <c r="G1891" i="26"/>
  <c r="G1892" i="26"/>
  <c r="G1893" i="26"/>
  <c r="G1894" i="26"/>
  <c r="G1895" i="26"/>
  <c r="G1896" i="26"/>
  <c r="G1897" i="26"/>
  <c r="G1898" i="26"/>
  <c r="G1899" i="26"/>
  <c r="G1900" i="26"/>
  <c r="G1901" i="26"/>
  <c r="G1902" i="26"/>
  <c r="G1903" i="26"/>
  <c r="G1904" i="26"/>
  <c r="G1905" i="26"/>
  <c r="G1906" i="26"/>
  <c r="G1907" i="26"/>
  <c r="G1908" i="26"/>
  <c r="G1909" i="26"/>
  <c r="G1910" i="26"/>
  <c r="G1911" i="26"/>
  <c r="G1912" i="26"/>
  <c r="G1913" i="26"/>
  <c r="G1914" i="26"/>
  <c r="G1915" i="26"/>
  <c r="G1916" i="26"/>
  <c r="G1917" i="26"/>
  <c r="G1918" i="26"/>
  <c r="G1919" i="26"/>
  <c r="G1920" i="26"/>
  <c r="G1921" i="26"/>
  <c r="G1922" i="26"/>
  <c r="G1923" i="26"/>
  <c r="G1924" i="26"/>
  <c r="G1925" i="26"/>
  <c r="G1926" i="26"/>
  <c r="G1927" i="26"/>
  <c r="G1928" i="26"/>
  <c r="G1929" i="26"/>
  <c r="G1930" i="26"/>
  <c r="G1931" i="26"/>
  <c r="G1932" i="26"/>
  <c r="G1933" i="26"/>
  <c r="G1934" i="26"/>
  <c r="G1935" i="26"/>
  <c r="G1936" i="26"/>
  <c r="G1937" i="26"/>
  <c r="G1938" i="26"/>
  <c r="G1939" i="26"/>
  <c r="G1940" i="26"/>
  <c r="G1941" i="26"/>
  <c r="G1942" i="26"/>
  <c r="G1943" i="26"/>
  <c r="G1944" i="26"/>
  <c r="G1945" i="26"/>
  <c r="G1946" i="26"/>
  <c r="G1947" i="26"/>
  <c r="G1948" i="26"/>
  <c r="G1949" i="26"/>
  <c r="G1950" i="26"/>
  <c r="G1951" i="26"/>
  <c r="G1952" i="26"/>
  <c r="G1953" i="26"/>
  <c r="G1954" i="26"/>
  <c r="G1955" i="26"/>
  <c r="G1956" i="26"/>
  <c r="G1957" i="26"/>
  <c r="G1958" i="26"/>
  <c r="G1959" i="26"/>
  <c r="G1960" i="26"/>
  <c r="G1961" i="26"/>
  <c r="G1962" i="26"/>
  <c r="G1963" i="26"/>
  <c r="G1964" i="26"/>
  <c r="G1965" i="26"/>
  <c r="G1966" i="26"/>
  <c r="G1967" i="26"/>
  <c r="G1968" i="26"/>
  <c r="G1969" i="26"/>
  <c r="G1970" i="26"/>
  <c r="G1971" i="26"/>
  <c r="G1972" i="26"/>
  <c r="G1973" i="26"/>
  <c r="G1974" i="26"/>
  <c r="G1975" i="26"/>
  <c r="G1976" i="26"/>
  <c r="G1977" i="26"/>
  <c r="G1978" i="26"/>
  <c r="G1979" i="26"/>
  <c r="G1980" i="26"/>
  <c r="G1981" i="26"/>
  <c r="G1982" i="26"/>
  <c r="G1983" i="26"/>
  <c r="G1984" i="26"/>
  <c r="G1985" i="26"/>
  <c r="G1986" i="26"/>
  <c r="G1987" i="26"/>
  <c r="G1988" i="26"/>
  <c r="G1989" i="26"/>
  <c r="G1990" i="26"/>
  <c r="G1991" i="26"/>
  <c r="G1992" i="26"/>
  <c r="G1993" i="26"/>
  <c r="G1994" i="26"/>
  <c r="G1995" i="26"/>
  <c r="G1996" i="26"/>
  <c r="G1997" i="26"/>
  <c r="G1998" i="26"/>
  <c r="G1999" i="26"/>
  <c r="G2000" i="26"/>
  <c r="G2001" i="26"/>
  <c r="G2002" i="26"/>
  <c r="G2003" i="26"/>
  <c r="G2004" i="26"/>
  <c r="G2005" i="26"/>
  <c r="G2006" i="26"/>
  <c r="G2007" i="26"/>
  <c r="G2008" i="26"/>
  <c r="G2009" i="26"/>
  <c r="G2010" i="26"/>
  <c r="G2011" i="26"/>
  <c r="G2012" i="26"/>
  <c r="G2013" i="26"/>
  <c r="G2014" i="26"/>
  <c r="G2015" i="26"/>
  <c r="G2016" i="26"/>
  <c r="G2017" i="26"/>
  <c r="G2018" i="26"/>
  <c r="G2019" i="26"/>
  <c r="G2020" i="26"/>
  <c r="G2021" i="26"/>
  <c r="G2022" i="26"/>
  <c r="G2023" i="26"/>
  <c r="G2024" i="26"/>
  <c r="G2025" i="26"/>
  <c r="G2026" i="26"/>
  <c r="G2027" i="26"/>
  <c r="G2028" i="26"/>
  <c r="G2029" i="26"/>
  <c r="G2030" i="26"/>
  <c r="G2031" i="26"/>
  <c r="G2032" i="26"/>
  <c r="G2033" i="26"/>
  <c r="G2034" i="26"/>
  <c r="G2035" i="26"/>
  <c r="G2036" i="26"/>
  <c r="G2037" i="26"/>
  <c r="G2038" i="26"/>
  <c r="G2039" i="26"/>
  <c r="G2040" i="26"/>
  <c r="G2041" i="26"/>
  <c r="G2042" i="26"/>
  <c r="G2043" i="26"/>
  <c r="G2044" i="26"/>
  <c r="G2045" i="26"/>
  <c r="G2046" i="26"/>
  <c r="G2047" i="26"/>
  <c r="G2048" i="26"/>
  <c r="G2049" i="26"/>
  <c r="G2050" i="26"/>
  <c r="G2051" i="26"/>
  <c r="G2052" i="26"/>
  <c r="G2053" i="26"/>
  <c r="G2054" i="26"/>
  <c r="G2055" i="26"/>
  <c r="G2056" i="26"/>
  <c r="G2057" i="26"/>
  <c r="G2058" i="26"/>
  <c r="G2059" i="26"/>
  <c r="G2060" i="26"/>
  <c r="G2061" i="26"/>
  <c r="G2062" i="26"/>
  <c r="G2063" i="26"/>
  <c r="G2064" i="26"/>
  <c r="G2065" i="26"/>
  <c r="G2066" i="26"/>
  <c r="G2067" i="26"/>
  <c r="G2068" i="26"/>
  <c r="G2069" i="26"/>
  <c r="G2070" i="26"/>
  <c r="G2071" i="26"/>
  <c r="G2072" i="26"/>
  <c r="G2073" i="26"/>
  <c r="G2074" i="26"/>
  <c r="G2075" i="26"/>
  <c r="G2076" i="26"/>
  <c r="G2077" i="26"/>
  <c r="G2078" i="26"/>
  <c r="G2079" i="26"/>
  <c r="G2080" i="26"/>
  <c r="G2081" i="26"/>
  <c r="G2082" i="26"/>
  <c r="G2083" i="26"/>
  <c r="G2084" i="26"/>
  <c r="G2085" i="26"/>
  <c r="G2086" i="26"/>
  <c r="G2087" i="26"/>
  <c r="G2088" i="26"/>
  <c r="G2089" i="26"/>
  <c r="G2090" i="26"/>
  <c r="G2091" i="26"/>
  <c r="G2092" i="26"/>
  <c r="G2093" i="26"/>
  <c r="G2094" i="26"/>
  <c r="G2095" i="26"/>
  <c r="G2096" i="26"/>
  <c r="G2097" i="26"/>
  <c r="G2098" i="26"/>
  <c r="G2099" i="26"/>
  <c r="G2100" i="26"/>
  <c r="G2101" i="26"/>
  <c r="G2102" i="26"/>
  <c r="G2103" i="26"/>
  <c r="G2104" i="26"/>
  <c r="G2105" i="26"/>
  <c r="G2106" i="26"/>
  <c r="G2107" i="26"/>
  <c r="G2108" i="26"/>
  <c r="G2109" i="26"/>
  <c r="G2110" i="26"/>
  <c r="G2111" i="26"/>
  <c r="G2112" i="26"/>
  <c r="G2113" i="26"/>
  <c r="G2114" i="26"/>
  <c r="G2115" i="26"/>
  <c r="G2116" i="26"/>
  <c r="G2117" i="26"/>
  <c r="G2118" i="26"/>
  <c r="G2119" i="26"/>
  <c r="G2120" i="26"/>
  <c r="G2121" i="26"/>
  <c r="G2122" i="26"/>
  <c r="G2123" i="26"/>
  <c r="G2124" i="26"/>
  <c r="G2125" i="26"/>
  <c r="G2126" i="26"/>
  <c r="G2127" i="26"/>
  <c r="G2128" i="26"/>
  <c r="G2129" i="26"/>
  <c r="G2130" i="26"/>
  <c r="G2131" i="26"/>
  <c r="G2132" i="26"/>
  <c r="G2133" i="26"/>
  <c r="G2134" i="26"/>
  <c r="G2135" i="26"/>
  <c r="G2136" i="26"/>
  <c r="G2137" i="26"/>
  <c r="G2138" i="26"/>
  <c r="G2139" i="26"/>
  <c r="G2140" i="26"/>
  <c r="G2141" i="26"/>
  <c r="G2142" i="26"/>
  <c r="G2143" i="26"/>
  <c r="G2144" i="26"/>
  <c r="G2145" i="26"/>
  <c r="G2146" i="26"/>
  <c r="G2147" i="26"/>
  <c r="G2148" i="26"/>
  <c r="G2149" i="26"/>
  <c r="G2150" i="26"/>
  <c r="G2151" i="26"/>
  <c r="G2152" i="26"/>
  <c r="G2153" i="26"/>
  <c r="G2154" i="26"/>
  <c r="G2155" i="26"/>
  <c r="G2156" i="26"/>
  <c r="G2157" i="26"/>
  <c r="G2158" i="26"/>
  <c r="G2159" i="26"/>
  <c r="G2160" i="26"/>
  <c r="G2161" i="26"/>
  <c r="G2162" i="26"/>
  <c r="G2163" i="26"/>
  <c r="G2164" i="26"/>
  <c r="G2165" i="26"/>
  <c r="G2166" i="26"/>
  <c r="G2167" i="26"/>
  <c r="G2168" i="26"/>
  <c r="G2169" i="26"/>
  <c r="G2170" i="26"/>
  <c r="G2171" i="26"/>
  <c r="G2172" i="26"/>
  <c r="G2173" i="26"/>
  <c r="G2174" i="26"/>
  <c r="G2175" i="26"/>
  <c r="G2176" i="26"/>
  <c r="G2177" i="26"/>
  <c r="G2178" i="26"/>
  <c r="G2179" i="26"/>
  <c r="G2180" i="26"/>
  <c r="G2181" i="26"/>
  <c r="G2182" i="26"/>
  <c r="G2183" i="26"/>
  <c r="G2184" i="26"/>
  <c r="G2185" i="26"/>
  <c r="G2186" i="26"/>
  <c r="G2187" i="26"/>
  <c r="G2188" i="26"/>
  <c r="G2189" i="26"/>
  <c r="G2190" i="26"/>
  <c r="G2191" i="26"/>
  <c r="G2192" i="26"/>
  <c r="G2193" i="26"/>
  <c r="G2194" i="26"/>
  <c r="G2195" i="26"/>
  <c r="G2196" i="26"/>
  <c r="G2197" i="26"/>
  <c r="G2198" i="26"/>
  <c r="G2199" i="26"/>
  <c r="G2200" i="26"/>
  <c r="G2201" i="26"/>
  <c r="G2202" i="26"/>
  <c r="G2203" i="26"/>
  <c r="G2204" i="26"/>
  <c r="G2205" i="26"/>
  <c r="G2206" i="26"/>
  <c r="G2207" i="26"/>
  <c r="G2208" i="26"/>
  <c r="G2209" i="26"/>
  <c r="G2210" i="26"/>
  <c r="G2211" i="26"/>
  <c r="G2212" i="26"/>
  <c r="G2213" i="26"/>
  <c r="G2214" i="26"/>
  <c r="G2215" i="26"/>
  <c r="G2216" i="26"/>
  <c r="G2217" i="26"/>
  <c r="G2218" i="26"/>
  <c r="G2219" i="26"/>
  <c r="G2220" i="26"/>
  <c r="G2221" i="26"/>
  <c r="G2222" i="26"/>
  <c r="G2223" i="26"/>
  <c r="G2224" i="26"/>
  <c r="G2225" i="26"/>
  <c r="G2226" i="26"/>
  <c r="G2227" i="26"/>
  <c r="G2228" i="26"/>
  <c r="G2229" i="26"/>
  <c r="G2230" i="26"/>
  <c r="G2231" i="26"/>
  <c r="G2232" i="26"/>
  <c r="G2233" i="26"/>
  <c r="G2234" i="26"/>
  <c r="G2235" i="26"/>
  <c r="G2236" i="26"/>
  <c r="G2237" i="26"/>
  <c r="G2238" i="26"/>
  <c r="G2239" i="26"/>
  <c r="G2240" i="26"/>
  <c r="G2241" i="26"/>
  <c r="G2242" i="26"/>
  <c r="G2243" i="26"/>
  <c r="G2244" i="26"/>
  <c r="G2245" i="26"/>
  <c r="G2246" i="26"/>
  <c r="G2247" i="26"/>
  <c r="G2248" i="26"/>
  <c r="G2249" i="26"/>
  <c r="G2250" i="26"/>
  <c r="G2251" i="26"/>
  <c r="G2252" i="26"/>
  <c r="G2253" i="26"/>
  <c r="G2254" i="26"/>
  <c r="G2255" i="26"/>
  <c r="G2256" i="26"/>
  <c r="G2257" i="26"/>
  <c r="G2258" i="26"/>
  <c r="G2259" i="26"/>
  <c r="G2260" i="26"/>
  <c r="G2261" i="26"/>
  <c r="G2262" i="26"/>
  <c r="G2263" i="26"/>
  <c r="G2264" i="26"/>
  <c r="G2265" i="26"/>
  <c r="G2266" i="26"/>
  <c r="G2267" i="26"/>
  <c r="G2268" i="26"/>
  <c r="G2269" i="26"/>
  <c r="G2270" i="26"/>
  <c r="G2271" i="26"/>
  <c r="G2272" i="26"/>
  <c r="G2273" i="26"/>
  <c r="G2274" i="26"/>
  <c r="G2275" i="26"/>
  <c r="G2276" i="26"/>
  <c r="G2277" i="26"/>
  <c r="G2278" i="26"/>
  <c r="G2279" i="26"/>
  <c r="G2280" i="26"/>
  <c r="G2281" i="26"/>
  <c r="G2282" i="26"/>
  <c r="G2283" i="26"/>
  <c r="G2284" i="26"/>
  <c r="G2285" i="26"/>
  <c r="G2286" i="26"/>
  <c r="G2287" i="26"/>
  <c r="G2288" i="26"/>
  <c r="G2289" i="26"/>
  <c r="G2290" i="26"/>
  <c r="G2291" i="26"/>
  <c r="G2292" i="26"/>
  <c r="G2293" i="26"/>
  <c r="G2294" i="26"/>
  <c r="G2295" i="26"/>
  <c r="G2296" i="26"/>
  <c r="G2297" i="26"/>
  <c r="G2298" i="26"/>
  <c r="G2299" i="26"/>
  <c r="G2300" i="26"/>
  <c r="G2301" i="26"/>
  <c r="G2302" i="26"/>
  <c r="G2303" i="26"/>
  <c r="G2304" i="26"/>
  <c r="G2305" i="26"/>
  <c r="G2306" i="26"/>
  <c r="G2307" i="26"/>
  <c r="G2308" i="26"/>
  <c r="G2309" i="26"/>
  <c r="G2310" i="26"/>
  <c r="G2311" i="26"/>
  <c r="G2312" i="26"/>
  <c r="G2313" i="26"/>
  <c r="G2314" i="26"/>
  <c r="G2315" i="26"/>
  <c r="G2316" i="26"/>
  <c r="G2317" i="26"/>
  <c r="G2318" i="26"/>
  <c r="G2319" i="26"/>
  <c r="G2320" i="26"/>
  <c r="G2321" i="26"/>
  <c r="G2322" i="26"/>
  <c r="G2323" i="26"/>
  <c r="G2324" i="26"/>
  <c r="G2325" i="26"/>
  <c r="G2326" i="26"/>
  <c r="G2327" i="26"/>
  <c r="G2328" i="26"/>
  <c r="G2329" i="26"/>
  <c r="G2330" i="26"/>
  <c r="G2331" i="26"/>
  <c r="G2332" i="26"/>
  <c r="G2333" i="26"/>
  <c r="G2334" i="26"/>
  <c r="G2335" i="26"/>
  <c r="G2336" i="26"/>
  <c r="G2337" i="26"/>
  <c r="G2338" i="26"/>
  <c r="G2339" i="26"/>
  <c r="G2340" i="26"/>
  <c r="G2341" i="26"/>
  <c r="G2342" i="26"/>
  <c r="G2343" i="26"/>
  <c r="G2344" i="26"/>
  <c r="G2345" i="26"/>
  <c r="G2346" i="26"/>
  <c r="G2347" i="26"/>
  <c r="G2348" i="26"/>
  <c r="G2349" i="26"/>
  <c r="G2350" i="26"/>
  <c r="G2351" i="26"/>
  <c r="G2352" i="26"/>
  <c r="G2353" i="26"/>
  <c r="G2354" i="26"/>
  <c r="G2355" i="26"/>
  <c r="G2356" i="26"/>
  <c r="G2357" i="26"/>
  <c r="G2358" i="26"/>
  <c r="G2359" i="26"/>
  <c r="G2360" i="26"/>
  <c r="G2361" i="26"/>
  <c r="G2362" i="26"/>
  <c r="G2363" i="26"/>
  <c r="G2364" i="26"/>
  <c r="G2365" i="26"/>
  <c r="G2366" i="26"/>
  <c r="G2367" i="26"/>
  <c r="G2368" i="26"/>
  <c r="G2369" i="26"/>
  <c r="G2370" i="26"/>
  <c r="G2371" i="26"/>
  <c r="G2372" i="26"/>
  <c r="G2373" i="26"/>
  <c r="G2374" i="26"/>
  <c r="G2375" i="26"/>
  <c r="G2376" i="26"/>
  <c r="G2377" i="26"/>
  <c r="G2378" i="26"/>
  <c r="G2379" i="26"/>
  <c r="G2380" i="26"/>
  <c r="G2381" i="26"/>
  <c r="G2382" i="26"/>
  <c r="G2383" i="26"/>
  <c r="G2384" i="26"/>
  <c r="G2385" i="26"/>
  <c r="G2386" i="26"/>
  <c r="G2387" i="26"/>
  <c r="G2388" i="26"/>
  <c r="G2389" i="26"/>
  <c r="G2390" i="26"/>
  <c r="G2391" i="26"/>
  <c r="G2392" i="26"/>
  <c r="G2393" i="26"/>
  <c r="G2394" i="26"/>
  <c r="G2395" i="26"/>
  <c r="G2396" i="26"/>
  <c r="G2397" i="26"/>
  <c r="G2398" i="26"/>
  <c r="G2399" i="26"/>
  <c r="G2400" i="26"/>
  <c r="G2401" i="26"/>
  <c r="G2402" i="26"/>
  <c r="G2403" i="26"/>
  <c r="G2404" i="26"/>
  <c r="G2405" i="26"/>
  <c r="G2406" i="26"/>
  <c r="G2407" i="26"/>
  <c r="G2408" i="26"/>
  <c r="G2409" i="26"/>
  <c r="G2410" i="26"/>
  <c r="G2411" i="26"/>
  <c r="G2412" i="26"/>
  <c r="G2413" i="26"/>
  <c r="G2414" i="26"/>
  <c r="G2415" i="26"/>
  <c r="G2416" i="26"/>
  <c r="G2417" i="26"/>
  <c r="G2418" i="26"/>
  <c r="G2419" i="26"/>
  <c r="G2420" i="26"/>
  <c r="G2421" i="26"/>
  <c r="G2422" i="26"/>
  <c r="G2423" i="26"/>
  <c r="G2424" i="26"/>
  <c r="G2425" i="26"/>
  <c r="G2426" i="26"/>
  <c r="G2427" i="26"/>
  <c r="G2428" i="26"/>
  <c r="G2429" i="26"/>
  <c r="G2430" i="26"/>
  <c r="G2431" i="26"/>
  <c r="G2432" i="26"/>
  <c r="G2433" i="26"/>
  <c r="G2434" i="26"/>
  <c r="G2435" i="26"/>
  <c r="G2436" i="26"/>
  <c r="G2437" i="26"/>
  <c r="G2438" i="26"/>
  <c r="G2439" i="26"/>
  <c r="G2440" i="26"/>
  <c r="G2441" i="26"/>
  <c r="G2442" i="26"/>
  <c r="G2443" i="26"/>
  <c r="G2444" i="26"/>
  <c r="G2445" i="26"/>
  <c r="G2446" i="26"/>
  <c r="G2447" i="26"/>
  <c r="G2448" i="26"/>
  <c r="G2449" i="26"/>
  <c r="G2450" i="26"/>
  <c r="G2451" i="26"/>
  <c r="G2452" i="26"/>
  <c r="G2453" i="26"/>
  <c r="G2454" i="26"/>
  <c r="G2455" i="26"/>
  <c r="G2456" i="26"/>
  <c r="G2457" i="26"/>
  <c r="G2458" i="26"/>
  <c r="G2459" i="26"/>
  <c r="G2460" i="26"/>
  <c r="G2461" i="26"/>
  <c r="G2462" i="26"/>
  <c r="G2463" i="26"/>
  <c r="G2464" i="26"/>
  <c r="G2465" i="26"/>
  <c r="G2466" i="26"/>
  <c r="G2467" i="26"/>
  <c r="G2468" i="26"/>
  <c r="G2469" i="26"/>
  <c r="G2470" i="26"/>
  <c r="G2471" i="26"/>
  <c r="G2472" i="26"/>
  <c r="G2473" i="26"/>
  <c r="G2474" i="26"/>
  <c r="G2475" i="26"/>
  <c r="G2476" i="26"/>
  <c r="G2477" i="26"/>
  <c r="G2478" i="26"/>
  <c r="G2479" i="26"/>
  <c r="G2480" i="26"/>
  <c r="G2481" i="26"/>
  <c r="G2482" i="26"/>
  <c r="G2483" i="26"/>
  <c r="G2484" i="26"/>
  <c r="G2485" i="26"/>
  <c r="G2486" i="26"/>
  <c r="G2487" i="26"/>
  <c r="G2488" i="26"/>
  <c r="G2489" i="26"/>
  <c r="G2490" i="26"/>
  <c r="G2491" i="26"/>
  <c r="G2492" i="26"/>
  <c r="G2493" i="26"/>
  <c r="G2494" i="26"/>
  <c r="G2495" i="26"/>
  <c r="G2496" i="26"/>
  <c r="G2497" i="26"/>
  <c r="G2498" i="26"/>
  <c r="G2499" i="26"/>
  <c r="G2500" i="26"/>
  <c r="G2501" i="26"/>
  <c r="G2502" i="26"/>
  <c r="G2503" i="26"/>
  <c r="G2504" i="26"/>
  <c r="G2505" i="26"/>
  <c r="G2506" i="26"/>
  <c r="G2507" i="26"/>
  <c r="G2508" i="26"/>
  <c r="G2509" i="26"/>
  <c r="G2510" i="26"/>
  <c r="G2511" i="26"/>
  <c r="G2512" i="26"/>
  <c r="G2513" i="26"/>
  <c r="G2514" i="26"/>
  <c r="G2515" i="26"/>
  <c r="G2516" i="26"/>
  <c r="G2517" i="26"/>
  <c r="G2518" i="26"/>
  <c r="G2519" i="26"/>
  <c r="G2520" i="26"/>
  <c r="G2521" i="26"/>
  <c r="G2522" i="26"/>
  <c r="G2523" i="26"/>
  <c r="G2524" i="26"/>
  <c r="G2525" i="26"/>
  <c r="G2526" i="26"/>
  <c r="G2527" i="26"/>
  <c r="G2528" i="26"/>
  <c r="G2529" i="26"/>
  <c r="G2530" i="26"/>
  <c r="G2531" i="26"/>
  <c r="G2532" i="26"/>
  <c r="G2533" i="26"/>
  <c r="G2534" i="26"/>
  <c r="G2535" i="26"/>
  <c r="G2536" i="26"/>
  <c r="G2537" i="26"/>
  <c r="G2538" i="26"/>
  <c r="G2539" i="26"/>
  <c r="G2540" i="26"/>
  <c r="G2541" i="26"/>
  <c r="G2542" i="26"/>
  <c r="G2543" i="26"/>
  <c r="G2544" i="26"/>
  <c r="G2545" i="26"/>
  <c r="G2546" i="26"/>
  <c r="G2547" i="26"/>
  <c r="G2548" i="26"/>
  <c r="G2549" i="26"/>
  <c r="G2550" i="26"/>
  <c r="G2551" i="26"/>
  <c r="G2552" i="26"/>
  <c r="G2553" i="26"/>
  <c r="G2554" i="26"/>
  <c r="G2555" i="26"/>
  <c r="G2556" i="26"/>
  <c r="G2557" i="26"/>
  <c r="G2558" i="26"/>
  <c r="G2559" i="26"/>
  <c r="G2560" i="26"/>
  <c r="G2561" i="26"/>
  <c r="G2562" i="26"/>
  <c r="G2563" i="26"/>
  <c r="G2564" i="26"/>
  <c r="G2565" i="26"/>
  <c r="G2566" i="26"/>
  <c r="G2567" i="26"/>
  <c r="G2568" i="26"/>
  <c r="G2569" i="26"/>
  <c r="G2570" i="26"/>
  <c r="G2571" i="26"/>
  <c r="G2572" i="26"/>
  <c r="G2573" i="26"/>
  <c r="G2574" i="26"/>
  <c r="G2575" i="26"/>
  <c r="G2576" i="26"/>
  <c r="G2577" i="26"/>
  <c r="G2578" i="26"/>
  <c r="G2579" i="26"/>
  <c r="G2580" i="26"/>
  <c r="G2581" i="26"/>
  <c r="G2582" i="26"/>
  <c r="G2583" i="26"/>
  <c r="G2584" i="26"/>
  <c r="G2585" i="26"/>
  <c r="G2586" i="26"/>
  <c r="G2587" i="26"/>
  <c r="G2588" i="26"/>
  <c r="G2589" i="26"/>
  <c r="G2590" i="26"/>
  <c r="G2591" i="26"/>
  <c r="G2592" i="26"/>
  <c r="G2593" i="26"/>
  <c r="G2594" i="26"/>
  <c r="G2595" i="26"/>
  <c r="G2596" i="26"/>
  <c r="G2597" i="26"/>
  <c r="G2598" i="26"/>
  <c r="G2599" i="26"/>
  <c r="G2600" i="26"/>
  <c r="G2601" i="26"/>
  <c r="G2602" i="26"/>
  <c r="G2603" i="26"/>
  <c r="G2604" i="26"/>
  <c r="G2605" i="26"/>
  <c r="G2606" i="26"/>
  <c r="G2607" i="26"/>
  <c r="G2608" i="26"/>
  <c r="G2609" i="26"/>
  <c r="G2610" i="26"/>
  <c r="G2611" i="26"/>
  <c r="G2612" i="26"/>
  <c r="G2613" i="26"/>
  <c r="G2614" i="26"/>
  <c r="G2615" i="26"/>
  <c r="G2616" i="26"/>
  <c r="G2617" i="26"/>
  <c r="G2618" i="26"/>
  <c r="G2619" i="26"/>
  <c r="G2620" i="26"/>
  <c r="G2621" i="26"/>
  <c r="G2622" i="26"/>
  <c r="G2623" i="26"/>
  <c r="G2624" i="26"/>
  <c r="G2625" i="26"/>
  <c r="G2626" i="26"/>
  <c r="G2627" i="26"/>
  <c r="G2628" i="26"/>
  <c r="G2629" i="26"/>
  <c r="G2630" i="26"/>
  <c r="G2631" i="26"/>
  <c r="G2632" i="26"/>
  <c r="G2633" i="26"/>
  <c r="G2634" i="26"/>
  <c r="G2635" i="26"/>
  <c r="G2636" i="26"/>
  <c r="G2637" i="26"/>
  <c r="G2638" i="26"/>
  <c r="G2639" i="26"/>
  <c r="G2640" i="26"/>
  <c r="G2641" i="26"/>
  <c r="G2642" i="26"/>
  <c r="G2643" i="26"/>
  <c r="G2644" i="26"/>
  <c r="G2645" i="26"/>
  <c r="G2646" i="26"/>
  <c r="G2647" i="26"/>
  <c r="G2648" i="26"/>
  <c r="G2649" i="26"/>
  <c r="G2650" i="26"/>
  <c r="G2651" i="26"/>
  <c r="G2652" i="26"/>
  <c r="G2653" i="26"/>
  <c r="G2654" i="26"/>
  <c r="G2655" i="26"/>
  <c r="G2656" i="26"/>
  <c r="G2657" i="26"/>
  <c r="G2658" i="26"/>
  <c r="G2659" i="26"/>
  <c r="G2660" i="26"/>
  <c r="G2661" i="26"/>
  <c r="G2662" i="26"/>
  <c r="G2663" i="26"/>
  <c r="G2664" i="26"/>
  <c r="G2665" i="26"/>
  <c r="G2666" i="26"/>
  <c r="G2667" i="26"/>
  <c r="G2668" i="26"/>
  <c r="G2669" i="26"/>
  <c r="G2670" i="26"/>
  <c r="G2671" i="26"/>
  <c r="G2672" i="26"/>
  <c r="G2673" i="26"/>
  <c r="G2674" i="26"/>
  <c r="G2675" i="26"/>
  <c r="G2676" i="26"/>
  <c r="G2677" i="26"/>
  <c r="G2678" i="26"/>
  <c r="G2679" i="26"/>
  <c r="G2680" i="26"/>
  <c r="G2681" i="26"/>
  <c r="G2682" i="26"/>
  <c r="G2683" i="26"/>
  <c r="G2684" i="26"/>
  <c r="G2685" i="26"/>
  <c r="G2686" i="26"/>
  <c r="G2687" i="26"/>
  <c r="G2688" i="26"/>
  <c r="G2689" i="26"/>
  <c r="G2690" i="26"/>
  <c r="G2691" i="26"/>
  <c r="G2692" i="26"/>
  <c r="G2693" i="26"/>
  <c r="G2694" i="26"/>
  <c r="G2695" i="26"/>
  <c r="G2696" i="26"/>
  <c r="G2697" i="26"/>
  <c r="G2698" i="26"/>
  <c r="G2699" i="26"/>
  <c r="G2700" i="26"/>
  <c r="G2701" i="26"/>
  <c r="G2702" i="26"/>
  <c r="G2703" i="26"/>
  <c r="G2704" i="26"/>
  <c r="G2705" i="26"/>
  <c r="G2706" i="26"/>
  <c r="G2707" i="26"/>
  <c r="G2708" i="26"/>
  <c r="G2709" i="26"/>
  <c r="G2710" i="26"/>
  <c r="G2711" i="26"/>
  <c r="G2712" i="26"/>
  <c r="G2713" i="26"/>
  <c r="G2714" i="26"/>
  <c r="G2715" i="26"/>
  <c r="G2716" i="26"/>
  <c r="G2717" i="26"/>
  <c r="G2718" i="26"/>
  <c r="G2719" i="26"/>
  <c r="G2720" i="26"/>
  <c r="G2721" i="26"/>
  <c r="G2722" i="26"/>
  <c r="G2723" i="26"/>
  <c r="G2724" i="26"/>
  <c r="G2725" i="26"/>
  <c r="G2726" i="26"/>
  <c r="G2727" i="26"/>
  <c r="G2728" i="26"/>
  <c r="G2729" i="26"/>
  <c r="G2730" i="26"/>
  <c r="G2731" i="26"/>
  <c r="G2732" i="26"/>
  <c r="G2733" i="26"/>
  <c r="G2734" i="26"/>
  <c r="G2735" i="26"/>
  <c r="G2736" i="26"/>
  <c r="G2737" i="26"/>
  <c r="G2738" i="26"/>
  <c r="G2739" i="26"/>
  <c r="G2740" i="26"/>
  <c r="G2741" i="26"/>
  <c r="G2742" i="26"/>
  <c r="G2743" i="26"/>
  <c r="G2744" i="26"/>
  <c r="G2745" i="26"/>
  <c r="G2746" i="26"/>
  <c r="G2747" i="26"/>
  <c r="G2748" i="26"/>
  <c r="G2749" i="26"/>
  <c r="G2750" i="26"/>
  <c r="G2751" i="26"/>
  <c r="G2752" i="26"/>
  <c r="G2753" i="26"/>
  <c r="G2754" i="26"/>
  <c r="G2755" i="26"/>
  <c r="G2756" i="26"/>
  <c r="G2757" i="26"/>
  <c r="G2758" i="26"/>
  <c r="G2759" i="26"/>
  <c r="G2760" i="26"/>
  <c r="G2761" i="26"/>
  <c r="G2762" i="26"/>
  <c r="G2763" i="26"/>
  <c r="G2764" i="26"/>
  <c r="G2765" i="26"/>
  <c r="G2766" i="26"/>
  <c r="G2767" i="26"/>
  <c r="G2768" i="26"/>
  <c r="G2769" i="26"/>
  <c r="G2770" i="26"/>
  <c r="G2771" i="26"/>
  <c r="G2772" i="26"/>
  <c r="G2773" i="26"/>
  <c r="G2774" i="26"/>
  <c r="G2775" i="26"/>
  <c r="G2776" i="26"/>
  <c r="G2777" i="26"/>
  <c r="G2778" i="26"/>
  <c r="G2779" i="26"/>
  <c r="G2780" i="26"/>
  <c r="G2781" i="26"/>
  <c r="G2782" i="26"/>
  <c r="G2783" i="26"/>
  <c r="G2784" i="26"/>
  <c r="G2785" i="26"/>
  <c r="G2786" i="26"/>
  <c r="G2787" i="26"/>
  <c r="G2788" i="26"/>
  <c r="G2789" i="26"/>
  <c r="G2790" i="26"/>
  <c r="G2791" i="26"/>
  <c r="G2792" i="26"/>
  <c r="G2793" i="26"/>
  <c r="G2794" i="26"/>
  <c r="G2795" i="26"/>
  <c r="G2796" i="26"/>
  <c r="G2797" i="26"/>
  <c r="G2798" i="26"/>
  <c r="G2799" i="26"/>
  <c r="G2800" i="26"/>
  <c r="G2801" i="26"/>
  <c r="G2802" i="26"/>
  <c r="G2803" i="26"/>
  <c r="G2804" i="26"/>
  <c r="G2805" i="26"/>
  <c r="G2806" i="26"/>
  <c r="G2807" i="26"/>
  <c r="G2808" i="26"/>
  <c r="G2809" i="26"/>
  <c r="G2810" i="26"/>
  <c r="G2811" i="26"/>
  <c r="G2812" i="26"/>
  <c r="G2813" i="26"/>
  <c r="G2814" i="26"/>
  <c r="G2815" i="26"/>
  <c r="G2816" i="26"/>
  <c r="G2817" i="26"/>
  <c r="G2818" i="26"/>
  <c r="G2819" i="26"/>
  <c r="G2820" i="26"/>
  <c r="G2821" i="26"/>
  <c r="G2822" i="26"/>
  <c r="G2823" i="26"/>
  <c r="G2824" i="26"/>
  <c r="G2825" i="26"/>
  <c r="G2826" i="26"/>
  <c r="G2827" i="26"/>
  <c r="G2828" i="26"/>
  <c r="G2829" i="26"/>
  <c r="G2830" i="26"/>
  <c r="G2831" i="26"/>
  <c r="G2832" i="26"/>
  <c r="G2833" i="26"/>
  <c r="G2834" i="26"/>
  <c r="G2835" i="26"/>
  <c r="G2836" i="26"/>
  <c r="G2837" i="26"/>
  <c r="G2838" i="26"/>
  <c r="G2839" i="26"/>
  <c r="G2840" i="26"/>
  <c r="G2841" i="26"/>
  <c r="G2842" i="26"/>
  <c r="G2843" i="26"/>
  <c r="G2844" i="26"/>
  <c r="G2845" i="26"/>
  <c r="G2846" i="26"/>
  <c r="G2847" i="26"/>
  <c r="G2848" i="26"/>
  <c r="G2849" i="26"/>
  <c r="G2850" i="26"/>
  <c r="G2851" i="26"/>
  <c r="G2852" i="26"/>
  <c r="G2853" i="26"/>
  <c r="G2854" i="26"/>
  <c r="G2855" i="26"/>
  <c r="G2856" i="26"/>
  <c r="G2857" i="26"/>
  <c r="G2858" i="26"/>
  <c r="G2859" i="26"/>
  <c r="G2860" i="26"/>
  <c r="G2861" i="26"/>
  <c r="G2862" i="26"/>
  <c r="G2863" i="26"/>
  <c r="G2864" i="26"/>
  <c r="G2865" i="26"/>
  <c r="G2866" i="26"/>
  <c r="G2867" i="26"/>
  <c r="G2868" i="26"/>
  <c r="G2869" i="26"/>
  <c r="G2870" i="26"/>
  <c r="G2871" i="26"/>
  <c r="G2872" i="26"/>
  <c r="G2873" i="26"/>
  <c r="G2874" i="26"/>
  <c r="G2875" i="26"/>
  <c r="G2876" i="26"/>
  <c r="G2877" i="26"/>
  <c r="G2878" i="26"/>
  <c r="G2879" i="26"/>
  <c r="G2880" i="26"/>
  <c r="G2881" i="26"/>
  <c r="G2882" i="26"/>
  <c r="G2883" i="26"/>
  <c r="G2884" i="26"/>
  <c r="G2885" i="26"/>
  <c r="G2886" i="26"/>
  <c r="G2887" i="26"/>
  <c r="G2888" i="26"/>
  <c r="G2889" i="26"/>
  <c r="G2890" i="26"/>
  <c r="G2891" i="26"/>
  <c r="G2892" i="26"/>
  <c r="G2893" i="26"/>
  <c r="G2894" i="26"/>
  <c r="G2895" i="26"/>
  <c r="G2896" i="26"/>
  <c r="G2897" i="26"/>
  <c r="G2898" i="26"/>
  <c r="G2899" i="26"/>
  <c r="G2900" i="26"/>
  <c r="G2901" i="26"/>
  <c r="G2902" i="26"/>
  <c r="G2903" i="26"/>
  <c r="G2904" i="26"/>
  <c r="G2905" i="26"/>
  <c r="G2906" i="26"/>
  <c r="G2907" i="26"/>
  <c r="G2908" i="26"/>
  <c r="G2909" i="26"/>
  <c r="G2910" i="26"/>
  <c r="G2911" i="26"/>
  <c r="G2912" i="26"/>
  <c r="G2913" i="26"/>
  <c r="G2914" i="26"/>
  <c r="G2915" i="26"/>
  <c r="G2916" i="26"/>
  <c r="G2917" i="26"/>
  <c r="G2918" i="26"/>
  <c r="G2919" i="26"/>
  <c r="G2920" i="26"/>
  <c r="G2921" i="26"/>
  <c r="G2922" i="26"/>
  <c r="G2923" i="26"/>
  <c r="G2924" i="26"/>
  <c r="G2925" i="26"/>
  <c r="G2926" i="26"/>
  <c r="G2927" i="26"/>
  <c r="G2928" i="26"/>
  <c r="G2929" i="26"/>
  <c r="G2930" i="26"/>
  <c r="G2931" i="26"/>
  <c r="G2932" i="26"/>
  <c r="G2933" i="26"/>
  <c r="G2934" i="26"/>
  <c r="G2935" i="26"/>
  <c r="G2936" i="26"/>
  <c r="G2937" i="26"/>
  <c r="G2938" i="26"/>
  <c r="G2939" i="26"/>
  <c r="G2940" i="26"/>
  <c r="G2941" i="26"/>
  <c r="G2942" i="26"/>
  <c r="G2943" i="26"/>
  <c r="G2944" i="26"/>
  <c r="G2945" i="26"/>
  <c r="G2946" i="26"/>
  <c r="G2947" i="26"/>
  <c r="G2948" i="26"/>
  <c r="G2949" i="26"/>
  <c r="G2950" i="26"/>
  <c r="G2951" i="26"/>
  <c r="G2952" i="26"/>
  <c r="G2953" i="26"/>
  <c r="G2954" i="26"/>
  <c r="G2955" i="26"/>
  <c r="G2956" i="26"/>
  <c r="G2957" i="26"/>
  <c r="G2958" i="26"/>
  <c r="G2959" i="26"/>
  <c r="G2960" i="26"/>
  <c r="G2961" i="26"/>
  <c r="G2962" i="26"/>
  <c r="G2963" i="26"/>
  <c r="G2964" i="26"/>
  <c r="G2965" i="26"/>
  <c r="G2966" i="26"/>
  <c r="G2967" i="26"/>
  <c r="G2968" i="26"/>
  <c r="G2969" i="26"/>
  <c r="G2970" i="26"/>
  <c r="G2971" i="26"/>
  <c r="G2972" i="26"/>
  <c r="G2973" i="26"/>
  <c r="G2974" i="26"/>
  <c r="G2975" i="26"/>
  <c r="G2976" i="26"/>
  <c r="G2977" i="26"/>
  <c r="G2978" i="26"/>
  <c r="G2979" i="26"/>
  <c r="G2980" i="26"/>
  <c r="G2981" i="26"/>
  <c r="G2982" i="26"/>
  <c r="G2983" i="26"/>
  <c r="G2984" i="26"/>
  <c r="G2985" i="26"/>
  <c r="G2986" i="26"/>
  <c r="G2987" i="26"/>
  <c r="G2988" i="26"/>
  <c r="G2989" i="26"/>
  <c r="G2990" i="26"/>
  <c r="G2991" i="26"/>
  <c r="G2992" i="26"/>
  <c r="G2993" i="26"/>
  <c r="G2994" i="26"/>
  <c r="G2995" i="26"/>
  <c r="G2996" i="26"/>
  <c r="G2997" i="26"/>
  <c r="G2998" i="26"/>
  <c r="G2999" i="26"/>
  <c r="G3000" i="26"/>
  <c r="G3001" i="26"/>
  <c r="G3002" i="26"/>
  <c r="G3003" i="26"/>
  <c r="G3004" i="26"/>
  <c r="G3005" i="26"/>
  <c r="G3006" i="26"/>
  <c r="G3007" i="26"/>
  <c r="G3008" i="26"/>
  <c r="G3009" i="26"/>
  <c r="G3010" i="26"/>
  <c r="G3011" i="26"/>
  <c r="G3012" i="26"/>
  <c r="G3013" i="26"/>
  <c r="G3014" i="26"/>
  <c r="G3015" i="26"/>
  <c r="G3016" i="26"/>
  <c r="G3017" i="26"/>
  <c r="G3018" i="26"/>
  <c r="G3019" i="26"/>
  <c r="G3020" i="26"/>
  <c r="G3021" i="26"/>
  <c r="G3022" i="26"/>
  <c r="G3023" i="26"/>
  <c r="G3024" i="26"/>
  <c r="G3025" i="26"/>
  <c r="G3026" i="26"/>
  <c r="G3027" i="26"/>
  <c r="G3028" i="26"/>
  <c r="G3029" i="26"/>
  <c r="G3030" i="26"/>
  <c r="G3031" i="26"/>
  <c r="G3032" i="26"/>
  <c r="G3033" i="26"/>
  <c r="G3034" i="26"/>
  <c r="G3035" i="26"/>
  <c r="G3036" i="26"/>
  <c r="G3037" i="26"/>
  <c r="G3038" i="26"/>
  <c r="G3039" i="26"/>
  <c r="G3040" i="26"/>
  <c r="G3041" i="26"/>
  <c r="G3042" i="26"/>
  <c r="G3043" i="26"/>
  <c r="G3044" i="26"/>
  <c r="G3045" i="26"/>
  <c r="G3046" i="26"/>
  <c r="G3047" i="26"/>
  <c r="G3048" i="26"/>
  <c r="G3049" i="26"/>
  <c r="G3050" i="26"/>
  <c r="G3051" i="26"/>
  <c r="G3052" i="26"/>
  <c r="G3053" i="26"/>
  <c r="G3054" i="26"/>
  <c r="G3055" i="26"/>
  <c r="G3056" i="26"/>
  <c r="G3057" i="26"/>
  <c r="G3058" i="26"/>
  <c r="G3059" i="26"/>
  <c r="G3060" i="26"/>
  <c r="G3061" i="26"/>
  <c r="G3062" i="26"/>
  <c r="G3063" i="26"/>
  <c r="G3064" i="26"/>
  <c r="G3065" i="26"/>
  <c r="G3066" i="26"/>
  <c r="G3067" i="26"/>
  <c r="G3068" i="26"/>
  <c r="G3069" i="26"/>
  <c r="G3070" i="26"/>
  <c r="G3071" i="26"/>
  <c r="G3072" i="26"/>
  <c r="G3073" i="26"/>
  <c r="G3074" i="26"/>
  <c r="G3075" i="26"/>
  <c r="G3076" i="26"/>
  <c r="G3077" i="26"/>
  <c r="G3078" i="26"/>
  <c r="G3079" i="26"/>
  <c r="G3080" i="26"/>
  <c r="G3081" i="26"/>
  <c r="G3082" i="26"/>
  <c r="G3083" i="26"/>
  <c r="G3084" i="26"/>
  <c r="G3085" i="26"/>
  <c r="G3086" i="26"/>
  <c r="G3087" i="26"/>
  <c r="G3088" i="26"/>
  <c r="G3089" i="26"/>
  <c r="G3090" i="26"/>
  <c r="G3091" i="26"/>
  <c r="G3092" i="26"/>
  <c r="G3093" i="26"/>
  <c r="G3094" i="26"/>
  <c r="G3095" i="26"/>
  <c r="G3096" i="26"/>
  <c r="G3097" i="26"/>
  <c r="G3098" i="26"/>
  <c r="G3099" i="26"/>
  <c r="G3100" i="26"/>
  <c r="G3101" i="26"/>
  <c r="G3102" i="26"/>
  <c r="G3103" i="26"/>
  <c r="G3104" i="26"/>
  <c r="G3105" i="26"/>
  <c r="G3106" i="26"/>
  <c r="G3107" i="26"/>
  <c r="G3108" i="26"/>
  <c r="G3109" i="26"/>
  <c r="G3110" i="26"/>
  <c r="G3111" i="26"/>
  <c r="G3112" i="26"/>
  <c r="G3113" i="26"/>
  <c r="G3114" i="26"/>
  <c r="G3115" i="26"/>
  <c r="G3116" i="26"/>
  <c r="G3117" i="26"/>
  <c r="G3118" i="26"/>
  <c r="G3119" i="26"/>
  <c r="G3120" i="26"/>
  <c r="G3121" i="26"/>
  <c r="G3122" i="26"/>
  <c r="G3123" i="26"/>
  <c r="G3124" i="26"/>
  <c r="G3125" i="26"/>
  <c r="G3126" i="26"/>
  <c r="G3127" i="26"/>
  <c r="G3128" i="26"/>
  <c r="G3129" i="26"/>
  <c r="G3130" i="26"/>
  <c r="G3131" i="26"/>
  <c r="G3132" i="26"/>
  <c r="G3133" i="26"/>
  <c r="G3134" i="26"/>
  <c r="G3135" i="26"/>
  <c r="G3136" i="26"/>
  <c r="G3137" i="26"/>
  <c r="G3138" i="26"/>
  <c r="G3139" i="26"/>
  <c r="G3140" i="26"/>
  <c r="G3141" i="26"/>
  <c r="G3142" i="26"/>
  <c r="G3143" i="26"/>
  <c r="G3144" i="26"/>
  <c r="G3145" i="26"/>
  <c r="G3146" i="26"/>
  <c r="G3147" i="26"/>
  <c r="G3148" i="26"/>
  <c r="G3149" i="26"/>
  <c r="G3150" i="26"/>
  <c r="G3151" i="26"/>
  <c r="G3152" i="26"/>
  <c r="G3153" i="26"/>
  <c r="G3154" i="26"/>
  <c r="G3155" i="26"/>
  <c r="G3156" i="26"/>
  <c r="G3157" i="26"/>
  <c r="G3158" i="26"/>
  <c r="G3159" i="26"/>
  <c r="G3160" i="26"/>
  <c r="G3161" i="26"/>
  <c r="G3162" i="26"/>
  <c r="G3163" i="26"/>
  <c r="G3164" i="26"/>
  <c r="G3165" i="26"/>
  <c r="G3166" i="26"/>
  <c r="G3167" i="26"/>
  <c r="G3168" i="26"/>
  <c r="G3169" i="26"/>
  <c r="G3170" i="26"/>
  <c r="G3171" i="26"/>
  <c r="G3172" i="26"/>
  <c r="G3173" i="26"/>
  <c r="G3174" i="26"/>
  <c r="G3175" i="26"/>
  <c r="G3176" i="26"/>
  <c r="G3177" i="26"/>
  <c r="G3178" i="26"/>
  <c r="G3179" i="26"/>
  <c r="G3180" i="26"/>
  <c r="G3181" i="26"/>
  <c r="G3182" i="26"/>
  <c r="G3183" i="26"/>
  <c r="G3184" i="26"/>
  <c r="G3185" i="26"/>
  <c r="G3186" i="26"/>
  <c r="G3187" i="26"/>
  <c r="G3188" i="26"/>
  <c r="G3189" i="26"/>
  <c r="G3190" i="26"/>
  <c r="G3191" i="26"/>
  <c r="G3192" i="26"/>
  <c r="G3193" i="26"/>
  <c r="G3194" i="26"/>
  <c r="G3195" i="26"/>
  <c r="G3196" i="26"/>
  <c r="G3197" i="26"/>
  <c r="G3198" i="26"/>
  <c r="G3199" i="26"/>
  <c r="G3200" i="26"/>
  <c r="G3201" i="26"/>
  <c r="G3202" i="26"/>
  <c r="G3203" i="26"/>
  <c r="G3204" i="26"/>
  <c r="G3205" i="26"/>
  <c r="G3206" i="26"/>
  <c r="G3207" i="26"/>
  <c r="G3208" i="26"/>
  <c r="G3209" i="26"/>
  <c r="G3210" i="26"/>
  <c r="G3211" i="26"/>
  <c r="G3212" i="26"/>
  <c r="G3213" i="26"/>
  <c r="G3214" i="26"/>
  <c r="G3215" i="26"/>
  <c r="G3216" i="26"/>
  <c r="G3217" i="26"/>
  <c r="G3218" i="26"/>
  <c r="G3219" i="26"/>
  <c r="G3220" i="26"/>
  <c r="G3221" i="26"/>
  <c r="G3222" i="26"/>
  <c r="G3223" i="26"/>
  <c r="G3224" i="26"/>
  <c r="G3225" i="26"/>
  <c r="G3226" i="26"/>
  <c r="G3227" i="26"/>
  <c r="G3228" i="26"/>
  <c r="G3229" i="26"/>
  <c r="G3230" i="26"/>
  <c r="G3231" i="26"/>
  <c r="G3232" i="26"/>
  <c r="G3233" i="26"/>
  <c r="G3234" i="26"/>
  <c r="G3235" i="26"/>
  <c r="G3236" i="26"/>
  <c r="G3237" i="26"/>
  <c r="G3238" i="26"/>
  <c r="G3239" i="26"/>
  <c r="G3240" i="26"/>
  <c r="G3241" i="26"/>
  <c r="G3242" i="26"/>
  <c r="G3243" i="26"/>
  <c r="G3244" i="26"/>
  <c r="G3245" i="26"/>
  <c r="G3246" i="26"/>
  <c r="G3247" i="26"/>
  <c r="G3248" i="26"/>
  <c r="G3249" i="26"/>
  <c r="G3250" i="26"/>
  <c r="G3251" i="26"/>
  <c r="G3252" i="26"/>
  <c r="G3253" i="26"/>
  <c r="G3254" i="26"/>
  <c r="G3255" i="26"/>
  <c r="G3256" i="26"/>
  <c r="G3257" i="26"/>
  <c r="G3258" i="26"/>
  <c r="G3259" i="26"/>
  <c r="G3260" i="26"/>
  <c r="G3261" i="26"/>
  <c r="G3262" i="26"/>
  <c r="G3263" i="26"/>
  <c r="G3264" i="26"/>
  <c r="G3265" i="26"/>
  <c r="G3266" i="26"/>
  <c r="G3267" i="26"/>
  <c r="G3268" i="26"/>
  <c r="G3269" i="26"/>
  <c r="G3270" i="26"/>
  <c r="G3271" i="26"/>
  <c r="G3272" i="26"/>
  <c r="G3273" i="26"/>
  <c r="G3274" i="26"/>
  <c r="G3275" i="26"/>
  <c r="G3276" i="26"/>
  <c r="G3277" i="26"/>
  <c r="G3278" i="26"/>
  <c r="G3279" i="26"/>
  <c r="G3280" i="26"/>
  <c r="G3281" i="26"/>
  <c r="G3282" i="26"/>
  <c r="G3283" i="26"/>
  <c r="G3284" i="26"/>
  <c r="G3285" i="26"/>
  <c r="G3286" i="26"/>
  <c r="G3287" i="26"/>
  <c r="G3288" i="26"/>
  <c r="G3289" i="26"/>
  <c r="G3290" i="26"/>
  <c r="G3291" i="26"/>
  <c r="G3292" i="26"/>
  <c r="G3293" i="26"/>
  <c r="G3294" i="26"/>
  <c r="G3295" i="26"/>
  <c r="G3296" i="26"/>
  <c r="G3297" i="26"/>
  <c r="G3298" i="26"/>
  <c r="G3299" i="26"/>
  <c r="G3300" i="26"/>
  <c r="G3301" i="26"/>
  <c r="G3302" i="26"/>
  <c r="G3303" i="26"/>
  <c r="G3304" i="26"/>
  <c r="G3305" i="26"/>
  <c r="G3306" i="26"/>
  <c r="G3307" i="26"/>
  <c r="G3308" i="26"/>
  <c r="G3309" i="26"/>
  <c r="G3310" i="26"/>
  <c r="G3311" i="26"/>
  <c r="G3312" i="26"/>
  <c r="G3313" i="26"/>
  <c r="G3314" i="26"/>
  <c r="G3315" i="26"/>
  <c r="G3316" i="26"/>
  <c r="G3317" i="26"/>
  <c r="G3318" i="26"/>
  <c r="G3319" i="26"/>
  <c r="G3320" i="26"/>
  <c r="G3321" i="26"/>
  <c r="G3322" i="26"/>
  <c r="G3323" i="26"/>
  <c r="G3324" i="26"/>
  <c r="G3325" i="26"/>
  <c r="G3326" i="26"/>
  <c r="G3327" i="26"/>
  <c r="G3328" i="26"/>
  <c r="G3329" i="26"/>
  <c r="G3330" i="26"/>
  <c r="G3331" i="26"/>
  <c r="G3332" i="26"/>
  <c r="G3333" i="26"/>
  <c r="G3334" i="26"/>
  <c r="G3335" i="26"/>
  <c r="G3336" i="26"/>
  <c r="G3337" i="26"/>
  <c r="G3338" i="26"/>
  <c r="G3339" i="26"/>
  <c r="G3340" i="26"/>
  <c r="G3341" i="26"/>
  <c r="G3342" i="26"/>
  <c r="G3343" i="26"/>
  <c r="G3344" i="26"/>
  <c r="G3345" i="26"/>
  <c r="G3346" i="26"/>
  <c r="G3347" i="26"/>
  <c r="G3348" i="26"/>
  <c r="G3349" i="26"/>
  <c r="G3350" i="26"/>
  <c r="G3351" i="26"/>
  <c r="G3352" i="26"/>
  <c r="G3353" i="26"/>
  <c r="G3354" i="26"/>
  <c r="G3355" i="26"/>
  <c r="G3356" i="26"/>
  <c r="G3357" i="26"/>
  <c r="G3358" i="26"/>
  <c r="G3359" i="26"/>
  <c r="G3360" i="26"/>
  <c r="G3361" i="26"/>
  <c r="G3362" i="26"/>
  <c r="G3363" i="26"/>
  <c r="G3364" i="26"/>
  <c r="G3365" i="26"/>
  <c r="G3366" i="26"/>
  <c r="G3367" i="26"/>
  <c r="G3368" i="26"/>
  <c r="G3369" i="26"/>
  <c r="G3370" i="26"/>
  <c r="G3371" i="26"/>
  <c r="G3372" i="26"/>
  <c r="G3373" i="26"/>
  <c r="G3374" i="26"/>
  <c r="G3375" i="26"/>
  <c r="G3376" i="26"/>
  <c r="G3377" i="26"/>
  <c r="G3378" i="26"/>
  <c r="G3379" i="26"/>
  <c r="G3380" i="26"/>
  <c r="G3381" i="26"/>
  <c r="G3382" i="26"/>
  <c r="G3383" i="26"/>
  <c r="G3384" i="26"/>
  <c r="G3385" i="26"/>
  <c r="G3386" i="26"/>
  <c r="G3387" i="26"/>
  <c r="G3388" i="26"/>
  <c r="G3389" i="26"/>
  <c r="G3390" i="26"/>
  <c r="G3391" i="26"/>
  <c r="G3392" i="26"/>
  <c r="G3393" i="26"/>
  <c r="G3394" i="26"/>
  <c r="G3395" i="26"/>
  <c r="G3396" i="26"/>
  <c r="G3397" i="26"/>
  <c r="G3398" i="26"/>
  <c r="G3399" i="26"/>
  <c r="G3400" i="26"/>
  <c r="G3401" i="26"/>
  <c r="G3402" i="26"/>
  <c r="G3403" i="26"/>
  <c r="G3404" i="26"/>
  <c r="G3405" i="26"/>
  <c r="G3406" i="26"/>
  <c r="G3407" i="26"/>
  <c r="G3408" i="26"/>
  <c r="G3409" i="26"/>
  <c r="G3410" i="26"/>
  <c r="G3411" i="26"/>
  <c r="G3412" i="26"/>
  <c r="G3413" i="26"/>
  <c r="G3414" i="26"/>
  <c r="G3415" i="26"/>
  <c r="G3416" i="26"/>
  <c r="G3417" i="26"/>
  <c r="G3418" i="26"/>
  <c r="G3419" i="26"/>
  <c r="G3420" i="26"/>
  <c r="G3421" i="26"/>
  <c r="G3422" i="26"/>
  <c r="G3423" i="26"/>
  <c r="G3424" i="26"/>
  <c r="G3425" i="26"/>
  <c r="G3426" i="26"/>
  <c r="G3427" i="26"/>
  <c r="G3428" i="26"/>
  <c r="G3429" i="26"/>
  <c r="G3430" i="26"/>
  <c r="G3431" i="26"/>
  <c r="G3432" i="26"/>
  <c r="G3433" i="26"/>
  <c r="G3434" i="26"/>
  <c r="G3435" i="26"/>
  <c r="G3436" i="26"/>
  <c r="G3437" i="26"/>
  <c r="G3438" i="26"/>
  <c r="G3439" i="26"/>
  <c r="G3440" i="26"/>
  <c r="G3441" i="26"/>
  <c r="G3442" i="26"/>
  <c r="G3443" i="26"/>
  <c r="G3444" i="26"/>
  <c r="G3445" i="26"/>
  <c r="G3446" i="26"/>
  <c r="G3447" i="26"/>
  <c r="G3448" i="26"/>
  <c r="G3449" i="26"/>
  <c r="G3450" i="26"/>
  <c r="G3451" i="26"/>
  <c r="G3452" i="26"/>
  <c r="G3453" i="26"/>
  <c r="G3454" i="26"/>
  <c r="G3455" i="26"/>
  <c r="G3456" i="26"/>
  <c r="G3457" i="26"/>
  <c r="G3458" i="26"/>
  <c r="G3459" i="26"/>
  <c r="G3460" i="26"/>
  <c r="G3461" i="26"/>
  <c r="G3462" i="26"/>
  <c r="G3463" i="26"/>
  <c r="G3464" i="26"/>
  <c r="G3465" i="26"/>
  <c r="G3466" i="26"/>
  <c r="G3467" i="26"/>
  <c r="G3468" i="26"/>
  <c r="G3469" i="26"/>
  <c r="G3470" i="26"/>
  <c r="G3471" i="26"/>
  <c r="G3472" i="26"/>
  <c r="G3473" i="26"/>
  <c r="G3474" i="26"/>
  <c r="G3475" i="26"/>
  <c r="G3476" i="26"/>
  <c r="G3477" i="26"/>
  <c r="G3478" i="26"/>
  <c r="G3479" i="26"/>
  <c r="G3480" i="26"/>
  <c r="G3481" i="26"/>
  <c r="G3482" i="26"/>
  <c r="G3483" i="26"/>
  <c r="G3484" i="26"/>
  <c r="G3485" i="26"/>
  <c r="G3486" i="26"/>
  <c r="G3487" i="26"/>
  <c r="G3488" i="26"/>
  <c r="G3489" i="26"/>
  <c r="G3490" i="26"/>
  <c r="G3491" i="26"/>
  <c r="G3492" i="26"/>
  <c r="G3493" i="26"/>
  <c r="G3494" i="26"/>
  <c r="G3495" i="26"/>
  <c r="G3496" i="26"/>
  <c r="G3497" i="26"/>
  <c r="G3498" i="26"/>
  <c r="G3499" i="26"/>
  <c r="G3500" i="26"/>
  <c r="G3501" i="26"/>
  <c r="G3502" i="26"/>
  <c r="G3503" i="26"/>
  <c r="G3504" i="26"/>
  <c r="G3505" i="26"/>
  <c r="G3506" i="26"/>
  <c r="G3507" i="26"/>
  <c r="G3508" i="26"/>
  <c r="G3509" i="26"/>
  <c r="G3510" i="26"/>
  <c r="G3511" i="26"/>
  <c r="G3512" i="26"/>
  <c r="G3513" i="26"/>
  <c r="G3514" i="26"/>
  <c r="G3515" i="26"/>
  <c r="G3516" i="26"/>
  <c r="G3517" i="26"/>
  <c r="G3518" i="26"/>
  <c r="G3519" i="26"/>
  <c r="G3520" i="26"/>
  <c r="G3521" i="26"/>
  <c r="G3522" i="26"/>
  <c r="G3523" i="26"/>
  <c r="G3524" i="26"/>
  <c r="G3525" i="26"/>
  <c r="G3526" i="26"/>
  <c r="G3527" i="26"/>
  <c r="G3528" i="26"/>
  <c r="G3529" i="26"/>
  <c r="G3530" i="26"/>
  <c r="G3531" i="26"/>
  <c r="G3532" i="26"/>
  <c r="G3533" i="26"/>
  <c r="G3534" i="26"/>
  <c r="G3535" i="26"/>
  <c r="G3536" i="26"/>
  <c r="G3537" i="26"/>
  <c r="G3538" i="26"/>
  <c r="G3539" i="26"/>
  <c r="G3540" i="26"/>
  <c r="G3541" i="26"/>
  <c r="G3542" i="26"/>
  <c r="G3543" i="26"/>
  <c r="G3544" i="26"/>
  <c r="G3545" i="26"/>
  <c r="G3546" i="26"/>
  <c r="G3547" i="26"/>
  <c r="G3548" i="26"/>
  <c r="G3549" i="26"/>
  <c r="G3550" i="26"/>
  <c r="G3551" i="26"/>
  <c r="G3552" i="26"/>
  <c r="G3553" i="26"/>
  <c r="G3554" i="26"/>
  <c r="G3555" i="26"/>
  <c r="G3556" i="26"/>
  <c r="G3557" i="26"/>
  <c r="G3558" i="26"/>
  <c r="G3559" i="26"/>
  <c r="G3560" i="26"/>
  <c r="G3561" i="26"/>
  <c r="G3562" i="26"/>
  <c r="G3563" i="26"/>
  <c r="G3564" i="26"/>
  <c r="G3565" i="26"/>
  <c r="G3566" i="26"/>
  <c r="G3567" i="26"/>
  <c r="G3568" i="26"/>
  <c r="G3569" i="26"/>
  <c r="G3570" i="26"/>
  <c r="G3571" i="26"/>
  <c r="G3572" i="26"/>
  <c r="G3573" i="26"/>
  <c r="G3574" i="26"/>
  <c r="G3575" i="26"/>
  <c r="G3576" i="26"/>
  <c r="G3577" i="26"/>
  <c r="G3578" i="26"/>
  <c r="G3579" i="26"/>
  <c r="G3580" i="26"/>
  <c r="G3581" i="26"/>
  <c r="G3582" i="26"/>
  <c r="G3583" i="26"/>
  <c r="G3584" i="26"/>
  <c r="G3585" i="26"/>
  <c r="G3586" i="26"/>
  <c r="G3587" i="26"/>
  <c r="G3588" i="26"/>
  <c r="G3589" i="26"/>
  <c r="G3590" i="26"/>
  <c r="G3591" i="26"/>
  <c r="G3592" i="26"/>
  <c r="G3593" i="26"/>
  <c r="G3594" i="26"/>
  <c r="G3595" i="26"/>
  <c r="G3596" i="26"/>
  <c r="G3597" i="26"/>
  <c r="G3598" i="26"/>
  <c r="G3599" i="26"/>
  <c r="G3600" i="26"/>
  <c r="G3601" i="26"/>
  <c r="G3602" i="26"/>
  <c r="G3603" i="26"/>
  <c r="G3604" i="26"/>
  <c r="G3605" i="26"/>
  <c r="G3606" i="26"/>
  <c r="G3607" i="26"/>
  <c r="G3608" i="26"/>
  <c r="G3609" i="26"/>
  <c r="G3610" i="26"/>
  <c r="G3611" i="26"/>
  <c r="G3612" i="26"/>
  <c r="G3613" i="26"/>
  <c r="G3614" i="26"/>
  <c r="G3615" i="26"/>
  <c r="G3616" i="26"/>
  <c r="G3617" i="26"/>
  <c r="G3618" i="26"/>
  <c r="G3619" i="26"/>
  <c r="G3620" i="26"/>
  <c r="G3621" i="26"/>
  <c r="G3622" i="26"/>
  <c r="G3623" i="26"/>
  <c r="G3624" i="26"/>
  <c r="G3625" i="26"/>
  <c r="G3626" i="26"/>
  <c r="G3627" i="26"/>
  <c r="G3628" i="26"/>
  <c r="G3629" i="26"/>
  <c r="G3630" i="26"/>
  <c r="G3631" i="26"/>
  <c r="G3632" i="26"/>
  <c r="G3633" i="26"/>
  <c r="G3634" i="26"/>
  <c r="G3635" i="26"/>
  <c r="G3636" i="26"/>
  <c r="G3637" i="26"/>
  <c r="G3638" i="26"/>
  <c r="G3639" i="26"/>
  <c r="G3640" i="26"/>
  <c r="G3641" i="26"/>
  <c r="G3642" i="26"/>
  <c r="G3643" i="26"/>
  <c r="G3644" i="26"/>
  <c r="G3645" i="26"/>
  <c r="G3646" i="26"/>
  <c r="G3647" i="26"/>
  <c r="G3648" i="26"/>
  <c r="G3649" i="26"/>
  <c r="G3650" i="26"/>
  <c r="G3651" i="26"/>
  <c r="G3652" i="26"/>
  <c r="G3653" i="26"/>
  <c r="G3654" i="26"/>
  <c r="G3655" i="26"/>
  <c r="G3656" i="26"/>
  <c r="G3657" i="26"/>
  <c r="G3658" i="26"/>
  <c r="G3659" i="26"/>
  <c r="G3660" i="26"/>
  <c r="G3661" i="26"/>
  <c r="G3662" i="26"/>
  <c r="G3663" i="26"/>
  <c r="G3664" i="26"/>
  <c r="G3665" i="26"/>
  <c r="G3666" i="26"/>
  <c r="G3667" i="26"/>
  <c r="G3668" i="26"/>
  <c r="G3669" i="26"/>
  <c r="G3670" i="26"/>
  <c r="G3671" i="26"/>
  <c r="G3672" i="26"/>
  <c r="G3673" i="26"/>
  <c r="G3674" i="26"/>
  <c r="G3675" i="26"/>
  <c r="G3676" i="26"/>
  <c r="G3677" i="26"/>
  <c r="G3678" i="26"/>
  <c r="G3679" i="26"/>
  <c r="G3680" i="26"/>
  <c r="G3681" i="26"/>
  <c r="G3682" i="26"/>
  <c r="G3683" i="26"/>
  <c r="G3684" i="26"/>
  <c r="G3685" i="26"/>
  <c r="G3686" i="26"/>
  <c r="G3687" i="26"/>
  <c r="G3688" i="26"/>
  <c r="G3689" i="26"/>
  <c r="G3690" i="26"/>
  <c r="G3691" i="26"/>
  <c r="G3692" i="26"/>
  <c r="G3693" i="26"/>
  <c r="G3694" i="26"/>
  <c r="G3695" i="26"/>
  <c r="G3696" i="26"/>
  <c r="G3697" i="26"/>
  <c r="G3698" i="26"/>
  <c r="G3699" i="26"/>
  <c r="G3700" i="26"/>
  <c r="G3701" i="26"/>
  <c r="G3702" i="26"/>
  <c r="G3703" i="26"/>
  <c r="G3704" i="26"/>
  <c r="G3705" i="26"/>
  <c r="G3706" i="26"/>
  <c r="G3707" i="26"/>
  <c r="G3708" i="26"/>
  <c r="G3709" i="26"/>
  <c r="G3710" i="26"/>
  <c r="G3711" i="26"/>
  <c r="G3712" i="26"/>
  <c r="G3713" i="26"/>
  <c r="G3714" i="26"/>
  <c r="G3715" i="26"/>
  <c r="G3716" i="26"/>
  <c r="G3717" i="26"/>
  <c r="G3718" i="26"/>
  <c r="G3719" i="26"/>
  <c r="G3720" i="26"/>
  <c r="G3721" i="26"/>
  <c r="G3722" i="26"/>
  <c r="G3723" i="26"/>
  <c r="G3724" i="26"/>
  <c r="G3725" i="26"/>
  <c r="G3726" i="26"/>
  <c r="G3727" i="26"/>
  <c r="G3728" i="26"/>
  <c r="G3729" i="26"/>
  <c r="G3730" i="26"/>
  <c r="G3731" i="26"/>
  <c r="G3732" i="26"/>
  <c r="G3733" i="26"/>
  <c r="G3734" i="26"/>
  <c r="G3735" i="26"/>
  <c r="G3736" i="26"/>
  <c r="G3737" i="26"/>
  <c r="G3738" i="26"/>
  <c r="G3739" i="26"/>
  <c r="G3740" i="26"/>
  <c r="G3741" i="26"/>
  <c r="G3742" i="26"/>
  <c r="G3743" i="26"/>
  <c r="G3744" i="26"/>
  <c r="G3745" i="26"/>
  <c r="G3746" i="26"/>
  <c r="G3747" i="26"/>
  <c r="G3748" i="26"/>
  <c r="G3749" i="26"/>
  <c r="G3750" i="26"/>
  <c r="G3751" i="26"/>
  <c r="G3752" i="26"/>
  <c r="G3753" i="26"/>
  <c r="G3754" i="26"/>
  <c r="G3755" i="26"/>
  <c r="G3756" i="26"/>
  <c r="G3757" i="26"/>
  <c r="G3758" i="26"/>
  <c r="G3759" i="26"/>
  <c r="G3760" i="26"/>
  <c r="G3761" i="26"/>
  <c r="G3762" i="26"/>
  <c r="G3763" i="26"/>
  <c r="G3764" i="26"/>
  <c r="G3765" i="26"/>
  <c r="G3766" i="26"/>
  <c r="G3767" i="26"/>
  <c r="G3768" i="26"/>
  <c r="G3769" i="26"/>
  <c r="G3770" i="26"/>
  <c r="G3771" i="26"/>
  <c r="G3772" i="26"/>
  <c r="G3773" i="26"/>
  <c r="G3774" i="26"/>
  <c r="G3775" i="26"/>
  <c r="G3776" i="26"/>
  <c r="G3777" i="26"/>
  <c r="G3778" i="26"/>
  <c r="G3779" i="26"/>
  <c r="G3780" i="26"/>
  <c r="G3781" i="26"/>
  <c r="G3782" i="26"/>
  <c r="G3783" i="26"/>
  <c r="G3784" i="26"/>
  <c r="G3785" i="26"/>
  <c r="G3786" i="26"/>
  <c r="G3787" i="26"/>
  <c r="G3788" i="26"/>
  <c r="G3789" i="26"/>
  <c r="G3790" i="26"/>
  <c r="G3791" i="26"/>
  <c r="G3792" i="26"/>
  <c r="G3793" i="26"/>
  <c r="G3794" i="26"/>
  <c r="G3795" i="26"/>
  <c r="G3796" i="26"/>
  <c r="G3797" i="26"/>
  <c r="G3798" i="26"/>
  <c r="G3799" i="26"/>
  <c r="G3800" i="26"/>
  <c r="G3801" i="26"/>
  <c r="G3802" i="26"/>
  <c r="G3803" i="26"/>
  <c r="G3804" i="26"/>
  <c r="G3805" i="26"/>
  <c r="G3806" i="26"/>
  <c r="G3807" i="26"/>
  <c r="G3808" i="26"/>
  <c r="G3809" i="26"/>
  <c r="G3810" i="26"/>
  <c r="G3811" i="26"/>
  <c r="G3812" i="26"/>
  <c r="G3813" i="26"/>
  <c r="G3814" i="26"/>
  <c r="G3815" i="26"/>
  <c r="G3816" i="26"/>
  <c r="G3817" i="26"/>
  <c r="G3818" i="26"/>
  <c r="G3819" i="26"/>
  <c r="G3820" i="26"/>
  <c r="G3821" i="26"/>
  <c r="G3822" i="26"/>
  <c r="G3823" i="26"/>
  <c r="G3824" i="26"/>
  <c r="G3825" i="26"/>
  <c r="G3826" i="26"/>
  <c r="G3827" i="26"/>
  <c r="G3828" i="26"/>
  <c r="G3829" i="26"/>
  <c r="G3830" i="26"/>
  <c r="G3831" i="26"/>
  <c r="G3832" i="26"/>
  <c r="G3833" i="26"/>
  <c r="G3834" i="26"/>
  <c r="G3835" i="26"/>
  <c r="G3836" i="26"/>
  <c r="G3837" i="26"/>
  <c r="G3838" i="26"/>
  <c r="G3839" i="26"/>
  <c r="G3840" i="26"/>
  <c r="G3841" i="26"/>
  <c r="G3842" i="26"/>
  <c r="G3843" i="26"/>
  <c r="G3844" i="26"/>
  <c r="G3845" i="26"/>
  <c r="G3846" i="26"/>
  <c r="G3847" i="26"/>
  <c r="G3848" i="26"/>
  <c r="G3849" i="26"/>
  <c r="G3850" i="26"/>
  <c r="G3851" i="26"/>
  <c r="G3852" i="26"/>
  <c r="G3853" i="26"/>
  <c r="G3854" i="26"/>
  <c r="G3855" i="26"/>
  <c r="G3856" i="26"/>
  <c r="G3857" i="26"/>
  <c r="G3858" i="26"/>
  <c r="G3859" i="26"/>
  <c r="G3860" i="26"/>
  <c r="G3861" i="26"/>
  <c r="G3862" i="26"/>
  <c r="G3863" i="26"/>
  <c r="G3864" i="26"/>
  <c r="G3865" i="26"/>
  <c r="G3866" i="26"/>
  <c r="G3867" i="26"/>
  <c r="G3868" i="26"/>
  <c r="G3869" i="26"/>
  <c r="G3870" i="26"/>
  <c r="G3871" i="26"/>
  <c r="G3872" i="26"/>
  <c r="G3873" i="26"/>
  <c r="G3874" i="26"/>
  <c r="G3875" i="26"/>
  <c r="G3876" i="26"/>
  <c r="G3877" i="26"/>
  <c r="G3878" i="26"/>
  <c r="G3879" i="26"/>
  <c r="G3880" i="26"/>
  <c r="G3881" i="26"/>
  <c r="G3882" i="26"/>
  <c r="G3883" i="26"/>
  <c r="G3884" i="26"/>
  <c r="G3885" i="26"/>
  <c r="G3886" i="26"/>
  <c r="G3887" i="26"/>
  <c r="G3888" i="26"/>
  <c r="G3889" i="26"/>
  <c r="G3890" i="26"/>
  <c r="G3891" i="26"/>
  <c r="G3892" i="26"/>
  <c r="G3893" i="26"/>
  <c r="G3894" i="26"/>
  <c r="G3895" i="26"/>
  <c r="G3896" i="26"/>
  <c r="G3897" i="26"/>
  <c r="G3898" i="26"/>
  <c r="G3899" i="26"/>
  <c r="G3900" i="26"/>
  <c r="G3901" i="26"/>
  <c r="G3902" i="26"/>
  <c r="G3903" i="26"/>
  <c r="G3904" i="26"/>
  <c r="G3905" i="26"/>
  <c r="G3906" i="26"/>
  <c r="G3907" i="26"/>
  <c r="G3908" i="26"/>
  <c r="G3909" i="26"/>
  <c r="G3910" i="26"/>
  <c r="G3911" i="26"/>
  <c r="G3912" i="26"/>
  <c r="G3913" i="26"/>
  <c r="G3914" i="26"/>
  <c r="G3915" i="26"/>
  <c r="G3916" i="26"/>
  <c r="G3917" i="26"/>
  <c r="G3918" i="26"/>
  <c r="G3919" i="26"/>
  <c r="G3920" i="26"/>
  <c r="G3921" i="26"/>
  <c r="G3922" i="26"/>
  <c r="G3923" i="26"/>
  <c r="G3924" i="26"/>
  <c r="G3925" i="26"/>
  <c r="G3926" i="26"/>
  <c r="G3927" i="26"/>
  <c r="G3928" i="26"/>
  <c r="G3929" i="26"/>
  <c r="G3930" i="26"/>
  <c r="G3931" i="26"/>
  <c r="G3932" i="26"/>
  <c r="G3933" i="26"/>
  <c r="G3934" i="26"/>
  <c r="G3935" i="26"/>
  <c r="G3936" i="26"/>
  <c r="G3937" i="26"/>
  <c r="G3938" i="26"/>
  <c r="G3939" i="26"/>
  <c r="G3940" i="26"/>
  <c r="G3941" i="26"/>
  <c r="G3942" i="26"/>
  <c r="G3943" i="26"/>
  <c r="G3944" i="26"/>
  <c r="G3945" i="26"/>
  <c r="G3946" i="26"/>
  <c r="G3947" i="26"/>
  <c r="G3948" i="26"/>
  <c r="G3949" i="26"/>
  <c r="G3950" i="26"/>
  <c r="G3951" i="26"/>
  <c r="G3952" i="26"/>
  <c r="G3953" i="26"/>
  <c r="G3954" i="26"/>
  <c r="G3955" i="26"/>
  <c r="G3956" i="26"/>
  <c r="G3957" i="26"/>
  <c r="G3958" i="26"/>
  <c r="G3959" i="26"/>
  <c r="G3960" i="26"/>
  <c r="G3961" i="26"/>
  <c r="G3962" i="26"/>
  <c r="G3963" i="26"/>
  <c r="G3964" i="26"/>
  <c r="G3965" i="26"/>
  <c r="G3966" i="26"/>
  <c r="G3967" i="26"/>
  <c r="G3968" i="26"/>
  <c r="G3969" i="26"/>
  <c r="G3970" i="26"/>
  <c r="G3971" i="26"/>
  <c r="G3972" i="26"/>
  <c r="G3973" i="26"/>
  <c r="G3974" i="26"/>
  <c r="G3975" i="26"/>
  <c r="G3976" i="26"/>
  <c r="G3977" i="26"/>
  <c r="G3978" i="26"/>
  <c r="G3979" i="26"/>
  <c r="G3980" i="26"/>
  <c r="G3981" i="26"/>
  <c r="G3982" i="26"/>
  <c r="G3983" i="26"/>
  <c r="G3984" i="26"/>
  <c r="G3985" i="26"/>
  <c r="G3986" i="26"/>
  <c r="G3987" i="26"/>
  <c r="G3988" i="26"/>
  <c r="G3989" i="26"/>
  <c r="G3990" i="26"/>
  <c r="G3991" i="26"/>
  <c r="G3992" i="26"/>
  <c r="G3993" i="26"/>
  <c r="G3994" i="26"/>
  <c r="G3995" i="26"/>
  <c r="G3996" i="26"/>
  <c r="G3997" i="26"/>
  <c r="G3998" i="26"/>
  <c r="G3999" i="26"/>
  <c r="G4000" i="26"/>
  <c r="G4001" i="26"/>
  <c r="G4002" i="26"/>
  <c r="G4003" i="26"/>
  <c r="G4004" i="26"/>
  <c r="G4005" i="26"/>
  <c r="G4006" i="26"/>
  <c r="G4007" i="26"/>
  <c r="G4008" i="26"/>
  <c r="G4009" i="26"/>
  <c r="G4010" i="26"/>
  <c r="G4011" i="26"/>
  <c r="G4012" i="26"/>
  <c r="G4013" i="26"/>
  <c r="G4014" i="26"/>
  <c r="G4015" i="26"/>
  <c r="G4016" i="26"/>
  <c r="G4017" i="26"/>
  <c r="G4018" i="26"/>
  <c r="G4019" i="26"/>
  <c r="G4020" i="26"/>
  <c r="G4021" i="26"/>
  <c r="G4022" i="26"/>
  <c r="G4023" i="26"/>
  <c r="G4024" i="26"/>
  <c r="G4025" i="26"/>
  <c r="G4026" i="26"/>
  <c r="G4027" i="26"/>
  <c r="G4028" i="26"/>
  <c r="G4029" i="26"/>
  <c r="G4030" i="26"/>
  <c r="G4031" i="26"/>
  <c r="G4032" i="26"/>
  <c r="G4033" i="26"/>
  <c r="G4034" i="26"/>
  <c r="G4035" i="26"/>
  <c r="G4036" i="26"/>
  <c r="G4037" i="26"/>
  <c r="G4038" i="26"/>
  <c r="G4039" i="26"/>
  <c r="G4040" i="26"/>
  <c r="G4041" i="26"/>
  <c r="G4042" i="26"/>
  <c r="G4043" i="26"/>
  <c r="G4044" i="26"/>
  <c r="G4045" i="26"/>
  <c r="G4046" i="26"/>
  <c r="G4047" i="26"/>
  <c r="G4048" i="26"/>
  <c r="G4049" i="26"/>
  <c r="G4050" i="26"/>
  <c r="G4051" i="26"/>
  <c r="G4052" i="26"/>
  <c r="G4053" i="26"/>
  <c r="G4054" i="26"/>
  <c r="G4055" i="26"/>
  <c r="G4056" i="26"/>
  <c r="G4057" i="26"/>
  <c r="G4058" i="26"/>
  <c r="G4059" i="26"/>
  <c r="G4060" i="26"/>
  <c r="G4061" i="26"/>
  <c r="G4062" i="26"/>
  <c r="G4063" i="26"/>
  <c r="G4064" i="26"/>
  <c r="G4065" i="26"/>
  <c r="G4066" i="26"/>
  <c r="G4067" i="26"/>
  <c r="G4068" i="26"/>
  <c r="G4069" i="26"/>
  <c r="G4070" i="26"/>
  <c r="G4071" i="26"/>
  <c r="G4072" i="26"/>
  <c r="G4073" i="26"/>
  <c r="G4074" i="26"/>
  <c r="G4075" i="26"/>
  <c r="G4076" i="26"/>
  <c r="G4077" i="26"/>
  <c r="G4078" i="26"/>
  <c r="G4079" i="26"/>
  <c r="G4080" i="26"/>
  <c r="G4081" i="26"/>
  <c r="G4082" i="26"/>
  <c r="G4083" i="26"/>
  <c r="G4084" i="26"/>
  <c r="G4085" i="26"/>
  <c r="G4086" i="26"/>
  <c r="G4087" i="26"/>
  <c r="G4088" i="26"/>
  <c r="G4089" i="26"/>
  <c r="G4090" i="26"/>
  <c r="G4091" i="26"/>
  <c r="G4092" i="26"/>
  <c r="G4093" i="26"/>
  <c r="G4094" i="26"/>
  <c r="G4095" i="26"/>
  <c r="G4096" i="26"/>
  <c r="G4097" i="26"/>
  <c r="G4098" i="26"/>
  <c r="G4099" i="26"/>
  <c r="G4100" i="26"/>
  <c r="G4101" i="26"/>
  <c r="G4102" i="26"/>
  <c r="G4103" i="26"/>
  <c r="G4104" i="26"/>
  <c r="G4105" i="26"/>
  <c r="G4106" i="26"/>
  <c r="G4107" i="26"/>
  <c r="G4108" i="26"/>
  <c r="G4109" i="26"/>
  <c r="G4110" i="26"/>
  <c r="G4111" i="26"/>
  <c r="G4112" i="26"/>
  <c r="G4113" i="26"/>
  <c r="G4114" i="26"/>
  <c r="G4115" i="26"/>
  <c r="G4116" i="26"/>
  <c r="G4117" i="26"/>
  <c r="G4118" i="26"/>
  <c r="G4119" i="26"/>
  <c r="G4120" i="26"/>
  <c r="G4121" i="26"/>
  <c r="G4122" i="26"/>
  <c r="G4123" i="26"/>
  <c r="G4124" i="26"/>
  <c r="G4125" i="26"/>
  <c r="G4126" i="26"/>
  <c r="G4127" i="26"/>
  <c r="G4128" i="26"/>
  <c r="G4129" i="26"/>
  <c r="G4130" i="26"/>
  <c r="G4131" i="26"/>
  <c r="G4132" i="26"/>
  <c r="G4133" i="26"/>
  <c r="G4134" i="26"/>
  <c r="G4135" i="26"/>
  <c r="G4136" i="26"/>
  <c r="G4137" i="26"/>
  <c r="G4138" i="26"/>
  <c r="G4139" i="26"/>
  <c r="G4140" i="26"/>
  <c r="G4141" i="26"/>
  <c r="G4142" i="26"/>
  <c r="G4143" i="26"/>
  <c r="G4144" i="26"/>
  <c r="G4145" i="26"/>
  <c r="G4146" i="26"/>
  <c r="G4147" i="26"/>
  <c r="G4148" i="26"/>
  <c r="G4149" i="26"/>
  <c r="G4150" i="26"/>
  <c r="G4151" i="26"/>
  <c r="G4152" i="26"/>
  <c r="G4153" i="26"/>
  <c r="G4154" i="26"/>
  <c r="G4155" i="26"/>
  <c r="G4156" i="26"/>
  <c r="G4157" i="26"/>
  <c r="G4158" i="26"/>
  <c r="G4159" i="26"/>
  <c r="G4160" i="26"/>
  <c r="G4161" i="26"/>
  <c r="G4162" i="26"/>
  <c r="G4163" i="26"/>
  <c r="G4164" i="26"/>
  <c r="G4165" i="26"/>
  <c r="G4166" i="26"/>
  <c r="G4167" i="26"/>
  <c r="G4168" i="26"/>
  <c r="G4169" i="26"/>
  <c r="G4170" i="26"/>
  <c r="G4171" i="26"/>
  <c r="G4172" i="26"/>
  <c r="G4173" i="26"/>
  <c r="G4174" i="26"/>
  <c r="G4175" i="26"/>
  <c r="G4176" i="26"/>
  <c r="G4177" i="26"/>
  <c r="G4178" i="26"/>
  <c r="G4179" i="26"/>
  <c r="G4180" i="26"/>
  <c r="G4181" i="26"/>
  <c r="G4182" i="26"/>
  <c r="G4183" i="26"/>
  <c r="G4184" i="26"/>
  <c r="G4185" i="26"/>
  <c r="G4186" i="26"/>
  <c r="G4187" i="26"/>
  <c r="G4188" i="26"/>
  <c r="G4189" i="26"/>
  <c r="G4190" i="26"/>
  <c r="G4191" i="26"/>
  <c r="G4192" i="26"/>
  <c r="G4193" i="26"/>
  <c r="G4194" i="26"/>
  <c r="G4195" i="26"/>
  <c r="G4196" i="26"/>
  <c r="G4197" i="26"/>
  <c r="G4198" i="26"/>
  <c r="G4199" i="26"/>
  <c r="G4200" i="26"/>
  <c r="G4201" i="26"/>
  <c r="G4202" i="26"/>
  <c r="G4203" i="26"/>
  <c r="G4204" i="26"/>
  <c r="G4205" i="26"/>
  <c r="G4206" i="26"/>
  <c r="G4207" i="26"/>
  <c r="G4208" i="26"/>
  <c r="G4209" i="26"/>
  <c r="G4210" i="26"/>
  <c r="G4211" i="26"/>
  <c r="G4212" i="26"/>
  <c r="G4213" i="26"/>
  <c r="G4214" i="26"/>
  <c r="G4215" i="26"/>
  <c r="G4216" i="26"/>
  <c r="G4217" i="26"/>
  <c r="G4218" i="26"/>
  <c r="G4219" i="26"/>
  <c r="G4220" i="26"/>
  <c r="G4221" i="26"/>
  <c r="G4222" i="26"/>
  <c r="G4223" i="26"/>
  <c r="G4224" i="26"/>
  <c r="G4225" i="26"/>
  <c r="G4226" i="26"/>
  <c r="G4227" i="26"/>
  <c r="G4228" i="26"/>
  <c r="G4229" i="26"/>
  <c r="G4230" i="26"/>
  <c r="G4231" i="26"/>
  <c r="G4232" i="26"/>
  <c r="G4233" i="26"/>
  <c r="G4234" i="26"/>
  <c r="G4235" i="26"/>
  <c r="G4236" i="26"/>
  <c r="G4237" i="26"/>
  <c r="G4238" i="26"/>
  <c r="G4239" i="26"/>
  <c r="G4240" i="26"/>
  <c r="G4241" i="26"/>
  <c r="G4242" i="26"/>
  <c r="G4243" i="26"/>
  <c r="G4244" i="26"/>
  <c r="G4245" i="26"/>
  <c r="G4246" i="26"/>
  <c r="G4247" i="26"/>
  <c r="G4248" i="26"/>
  <c r="G4249" i="26"/>
  <c r="G4250" i="26"/>
  <c r="G4251" i="26"/>
  <c r="G4252" i="26"/>
  <c r="G4253" i="26"/>
  <c r="G4254" i="26"/>
  <c r="G4255" i="26"/>
  <c r="G4256" i="26"/>
  <c r="G4257" i="26"/>
  <c r="G4258" i="26"/>
  <c r="G4259" i="26"/>
  <c r="G4260" i="26"/>
  <c r="G4261" i="26"/>
  <c r="G4262" i="26"/>
  <c r="G4263" i="26"/>
  <c r="G4264" i="26"/>
  <c r="G4265" i="26"/>
  <c r="G4266" i="26"/>
  <c r="G4267" i="26"/>
  <c r="G4268" i="26"/>
  <c r="G4269" i="26"/>
  <c r="G4270" i="26"/>
  <c r="G4271" i="26"/>
  <c r="G4272" i="26"/>
  <c r="G4273" i="26"/>
  <c r="G4274" i="26"/>
  <c r="G4275" i="26"/>
  <c r="G4276" i="26"/>
  <c r="G4277" i="26"/>
  <c r="G4278" i="26"/>
  <c r="G4279" i="26"/>
  <c r="G4280" i="26"/>
  <c r="G4281" i="26"/>
  <c r="G4282" i="26"/>
  <c r="G4283" i="26"/>
  <c r="G4284" i="26"/>
  <c r="G4285" i="26"/>
  <c r="G4286" i="26"/>
  <c r="G4287" i="26"/>
  <c r="G4288" i="26"/>
  <c r="G4289" i="26"/>
  <c r="G4290" i="26"/>
  <c r="G4291" i="26"/>
  <c r="G4292" i="26"/>
  <c r="G4293" i="26"/>
  <c r="G4294" i="26"/>
  <c r="G4295" i="26"/>
  <c r="G4296" i="26"/>
  <c r="G4297" i="26"/>
  <c r="G4298" i="26"/>
  <c r="G4299" i="26"/>
  <c r="G4300" i="26"/>
  <c r="G4301" i="26"/>
  <c r="G4302" i="26"/>
  <c r="G4303" i="26"/>
  <c r="G4304" i="26"/>
  <c r="G4305" i="26"/>
  <c r="G4306" i="26"/>
  <c r="G4307" i="26"/>
  <c r="G4308" i="26"/>
  <c r="G4309" i="26"/>
  <c r="G4310" i="26"/>
  <c r="G4311" i="26"/>
  <c r="G4312" i="26"/>
  <c r="G4313" i="26"/>
  <c r="G4314" i="26"/>
  <c r="G4315" i="26"/>
  <c r="G4316" i="26"/>
  <c r="G4317" i="26"/>
  <c r="G4318" i="26"/>
  <c r="G4319" i="26"/>
  <c r="G4320" i="26"/>
  <c r="G4321" i="26"/>
  <c r="G4322" i="26"/>
  <c r="G4323" i="26"/>
  <c r="G4324" i="26"/>
  <c r="G4325" i="26"/>
  <c r="G4326" i="26"/>
  <c r="G4327" i="26"/>
  <c r="G4328" i="26"/>
  <c r="G4329" i="26"/>
  <c r="G4330" i="26"/>
  <c r="G4331" i="26"/>
  <c r="G4332" i="26"/>
  <c r="G4333" i="26"/>
  <c r="G4334" i="26"/>
  <c r="G4335" i="26"/>
  <c r="G4336" i="26"/>
  <c r="G4337" i="26"/>
  <c r="G4338" i="26"/>
  <c r="G4339" i="26"/>
  <c r="G4340" i="26"/>
  <c r="G4341" i="26"/>
  <c r="G4342" i="26"/>
  <c r="G4343" i="26"/>
  <c r="G4344" i="26"/>
  <c r="G4345" i="26"/>
  <c r="G4346" i="26"/>
  <c r="G4347" i="26"/>
  <c r="G4348" i="26"/>
  <c r="G4349" i="26"/>
  <c r="G4350" i="26"/>
  <c r="G4351" i="26"/>
  <c r="G4352" i="26"/>
  <c r="G4353" i="26"/>
  <c r="G4354" i="26"/>
  <c r="G4355" i="26"/>
  <c r="G4356" i="26"/>
  <c r="G4357" i="26"/>
  <c r="G4358" i="26"/>
  <c r="G4359" i="26"/>
  <c r="G4360" i="26"/>
  <c r="G4361" i="26"/>
  <c r="G4362" i="26"/>
  <c r="G4363" i="26"/>
  <c r="G4364" i="26"/>
  <c r="G4365" i="26"/>
  <c r="G4366" i="26"/>
  <c r="G4367" i="26"/>
  <c r="G4368" i="26"/>
  <c r="G4369" i="26"/>
  <c r="G4370" i="26"/>
  <c r="G4371" i="26"/>
  <c r="G4372" i="26"/>
  <c r="G4373" i="26"/>
  <c r="G4374" i="26"/>
  <c r="G4375" i="26"/>
  <c r="G4376" i="26"/>
  <c r="G4377" i="26"/>
  <c r="G4378" i="26"/>
  <c r="G4379" i="26"/>
  <c r="G4380" i="26"/>
  <c r="G4381" i="26"/>
  <c r="G4382" i="26"/>
  <c r="G4383" i="26"/>
  <c r="G4384" i="26"/>
  <c r="G4385" i="26"/>
  <c r="G4386" i="26"/>
  <c r="G4387" i="26"/>
  <c r="G4388" i="26"/>
  <c r="G4389" i="26"/>
  <c r="G4390" i="26"/>
  <c r="G4391" i="26"/>
  <c r="G4392" i="26"/>
  <c r="G4393" i="26"/>
  <c r="G4394" i="26"/>
  <c r="G4395" i="26"/>
  <c r="G4396" i="26"/>
  <c r="G4397" i="26"/>
  <c r="G4398" i="26"/>
  <c r="G4399" i="26"/>
  <c r="G4400" i="26"/>
  <c r="G4401" i="26"/>
  <c r="G4402" i="26"/>
  <c r="G4403" i="26"/>
  <c r="G4404" i="26"/>
  <c r="G4405" i="26"/>
  <c r="G4406" i="26"/>
  <c r="G4407" i="26"/>
  <c r="G4408" i="26"/>
  <c r="G4409" i="26"/>
  <c r="G4410" i="26"/>
  <c r="G4411" i="26"/>
  <c r="G4412" i="26"/>
  <c r="G4413" i="26"/>
  <c r="G4414" i="26"/>
  <c r="G4415" i="26"/>
  <c r="G4416" i="26"/>
  <c r="G4417" i="26"/>
  <c r="G4418" i="26"/>
  <c r="G4419" i="26"/>
  <c r="G4420" i="26"/>
  <c r="G4421" i="26"/>
  <c r="G4422" i="26"/>
  <c r="G4423" i="26"/>
  <c r="G4424" i="26"/>
  <c r="G4425" i="26"/>
  <c r="G4426" i="26"/>
  <c r="G4427" i="26"/>
  <c r="G4428" i="26"/>
  <c r="G4429" i="26"/>
  <c r="G4430" i="26"/>
  <c r="G4431" i="26"/>
  <c r="G4432" i="26"/>
  <c r="G4433" i="26"/>
  <c r="G4434" i="26"/>
  <c r="G4435" i="26"/>
  <c r="G4436" i="26"/>
  <c r="G4437" i="26"/>
  <c r="G4438" i="26"/>
  <c r="G4439" i="26"/>
  <c r="G4440" i="26"/>
  <c r="G4441" i="26"/>
  <c r="G4442" i="26"/>
  <c r="G4443" i="26"/>
  <c r="G4444" i="26"/>
  <c r="G4445" i="26"/>
  <c r="G4446" i="26"/>
  <c r="G4447" i="26"/>
  <c r="G4448" i="26"/>
  <c r="G4449" i="26"/>
  <c r="G4450" i="26"/>
  <c r="G4451" i="26"/>
  <c r="G4452" i="26"/>
  <c r="G4453" i="26"/>
  <c r="G4454" i="26"/>
  <c r="G4455" i="26"/>
  <c r="G4456" i="26"/>
  <c r="G4457" i="26"/>
  <c r="G4458" i="26"/>
  <c r="G4459" i="26"/>
  <c r="G4460" i="26"/>
  <c r="G4461" i="26"/>
  <c r="G4462" i="26"/>
  <c r="G4463" i="26"/>
  <c r="G4464" i="26"/>
  <c r="G4465" i="26"/>
  <c r="G4466" i="26"/>
  <c r="G4467" i="26"/>
  <c r="G4468" i="26"/>
  <c r="G4469" i="26"/>
  <c r="G4470" i="26"/>
  <c r="G4471" i="26"/>
  <c r="G4472" i="26"/>
  <c r="G4473" i="26"/>
  <c r="G4474" i="26"/>
  <c r="G4475" i="26"/>
  <c r="G4476" i="26"/>
  <c r="G4477" i="26"/>
  <c r="G4478" i="26"/>
  <c r="G4479" i="26"/>
  <c r="G4480" i="26"/>
  <c r="G4481" i="26"/>
  <c r="G4482" i="26"/>
  <c r="G4483" i="26"/>
  <c r="G4484" i="26"/>
  <c r="G4485" i="26"/>
  <c r="G4486" i="26"/>
  <c r="G4487" i="26"/>
  <c r="G4488" i="26"/>
  <c r="G4489" i="26"/>
  <c r="G4490" i="26"/>
  <c r="G4491" i="26"/>
  <c r="G4492" i="26"/>
  <c r="G4493" i="26"/>
  <c r="G4494" i="26"/>
  <c r="G4495" i="26"/>
  <c r="G4496" i="26"/>
  <c r="G4497" i="26"/>
  <c r="G4498" i="26"/>
  <c r="G4499" i="26"/>
  <c r="G4500" i="26"/>
  <c r="G4501" i="26"/>
  <c r="G4502" i="26"/>
  <c r="G4503" i="26"/>
  <c r="G4504" i="26"/>
  <c r="G4505" i="26"/>
  <c r="G4506" i="26"/>
  <c r="G4507" i="26"/>
  <c r="G4508" i="26"/>
  <c r="G4509" i="26"/>
  <c r="G4510" i="26"/>
  <c r="G4511" i="26"/>
  <c r="G4512" i="26"/>
  <c r="G4513" i="26"/>
  <c r="G4514" i="26"/>
  <c r="G4515" i="26"/>
  <c r="G4516" i="26"/>
  <c r="G4517" i="26"/>
  <c r="G4518" i="26"/>
  <c r="G4519" i="26"/>
  <c r="G4520" i="26"/>
  <c r="G4521" i="26"/>
  <c r="G4522" i="26"/>
  <c r="G4523" i="26"/>
  <c r="G4524" i="26"/>
  <c r="G4525" i="26"/>
  <c r="G4526" i="26"/>
  <c r="G4527" i="26"/>
  <c r="G4528" i="26"/>
  <c r="G4529" i="26"/>
  <c r="G4530" i="26"/>
  <c r="G4531" i="26"/>
  <c r="G4532" i="26"/>
  <c r="G4533" i="26"/>
  <c r="G4534" i="26"/>
  <c r="G4535" i="26"/>
  <c r="G4536" i="26"/>
  <c r="G4537" i="26"/>
  <c r="G4538" i="26"/>
  <c r="G4539" i="26"/>
  <c r="G4540" i="26"/>
  <c r="G4541" i="26"/>
  <c r="G4542" i="26"/>
  <c r="G4543" i="26"/>
  <c r="G4544" i="26"/>
  <c r="G4545" i="26"/>
  <c r="G4546" i="26"/>
  <c r="G4547" i="26"/>
  <c r="G4548" i="26"/>
  <c r="G4549" i="26"/>
  <c r="G4550" i="26"/>
  <c r="G4551" i="26"/>
  <c r="G4552" i="26"/>
  <c r="G4553" i="26"/>
  <c r="G4554" i="26"/>
  <c r="G4555" i="26"/>
  <c r="G4556" i="26"/>
  <c r="G4557" i="26"/>
  <c r="G4558" i="26"/>
  <c r="G4559" i="26"/>
  <c r="G4560" i="26"/>
  <c r="G4561" i="26"/>
  <c r="G4562" i="26"/>
  <c r="G4563" i="26"/>
  <c r="G4564" i="26"/>
  <c r="G4565" i="26"/>
  <c r="G4566" i="26"/>
  <c r="G4567" i="26"/>
  <c r="G4568" i="26"/>
  <c r="G4569" i="26"/>
  <c r="G4570" i="26"/>
  <c r="G4571" i="26"/>
  <c r="G4572" i="26"/>
  <c r="G4573" i="26"/>
  <c r="G4574" i="26"/>
  <c r="G4575" i="26"/>
  <c r="G4576" i="26"/>
  <c r="G4577" i="26"/>
  <c r="G4578" i="26"/>
  <c r="G4579" i="26"/>
  <c r="G4580" i="26"/>
  <c r="G4581" i="26"/>
  <c r="G4582" i="26"/>
  <c r="G4583" i="26"/>
  <c r="G4584" i="26"/>
  <c r="G4585" i="26"/>
  <c r="G4586" i="26"/>
  <c r="G4587" i="26"/>
  <c r="G4588" i="26"/>
  <c r="G4589" i="26"/>
  <c r="G4590" i="26"/>
  <c r="G4591" i="26"/>
  <c r="G4592" i="26"/>
  <c r="G4593" i="26"/>
  <c r="G4594" i="26"/>
  <c r="G4595" i="26"/>
  <c r="G4596" i="26"/>
  <c r="G4597" i="26"/>
  <c r="G4598" i="26"/>
  <c r="G4599" i="26"/>
  <c r="G4600" i="26"/>
  <c r="G4601" i="26"/>
  <c r="G4602" i="26"/>
  <c r="G4603" i="26"/>
  <c r="G4604" i="26"/>
  <c r="G4605" i="26"/>
  <c r="G4606" i="26"/>
  <c r="G4607" i="26"/>
  <c r="G4608" i="26"/>
  <c r="G4609" i="26"/>
  <c r="G4610" i="26"/>
  <c r="G4611" i="26"/>
  <c r="G4612" i="26"/>
  <c r="G4613" i="26"/>
  <c r="G4614" i="26"/>
  <c r="G4615" i="26"/>
  <c r="G4616" i="26"/>
  <c r="G4617" i="26"/>
  <c r="G4618" i="26"/>
  <c r="G4619" i="26"/>
  <c r="G4620" i="26"/>
  <c r="G4621" i="26"/>
  <c r="G4622" i="26"/>
  <c r="G4623" i="26"/>
  <c r="G4624" i="26"/>
  <c r="G4625" i="26"/>
  <c r="G4626" i="26"/>
  <c r="G4627" i="26"/>
  <c r="G4628" i="26"/>
  <c r="G4629" i="26"/>
  <c r="G4630" i="26"/>
  <c r="G4631" i="26"/>
  <c r="G4632" i="26"/>
  <c r="G4633" i="26"/>
  <c r="G4634" i="26"/>
  <c r="G4635" i="26"/>
  <c r="G4636" i="26"/>
  <c r="G4637" i="26"/>
  <c r="G4638" i="26"/>
  <c r="G4639" i="26"/>
  <c r="G4640" i="26"/>
  <c r="G4641" i="26"/>
  <c r="G4642" i="26"/>
  <c r="G4643" i="26"/>
  <c r="G4644" i="26"/>
  <c r="G4645" i="26"/>
  <c r="G4646" i="26"/>
  <c r="G4647" i="26"/>
  <c r="G4648" i="26"/>
  <c r="G4649" i="26"/>
  <c r="G4650" i="26"/>
  <c r="G4651" i="26"/>
  <c r="G4652" i="26"/>
  <c r="G4653" i="26"/>
  <c r="G4654" i="26"/>
  <c r="G4655" i="26"/>
  <c r="G4656" i="26"/>
  <c r="G4657" i="26"/>
  <c r="G4658" i="26"/>
  <c r="G4659" i="26"/>
  <c r="G4660" i="26"/>
  <c r="G4661" i="26"/>
  <c r="G4662" i="26"/>
  <c r="G4663" i="26"/>
  <c r="G4664" i="26"/>
  <c r="G4665" i="26"/>
  <c r="G4666" i="26"/>
  <c r="G4667" i="26"/>
  <c r="G4668" i="26"/>
  <c r="G4669" i="26"/>
  <c r="G4670" i="26"/>
  <c r="G4671" i="26"/>
  <c r="G4672" i="26"/>
  <c r="G4673" i="26"/>
  <c r="G4674" i="26"/>
  <c r="G4675" i="26"/>
  <c r="G4676" i="26"/>
  <c r="G4677" i="26"/>
  <c r="G4678" i="26"/>
  <c r="G4679" i="26"/>
  <c r="G4680" i="26"/>
  <c r="G4681" i="26"/>
  <c r="G4682" i="26"/>
  <c r="G4683" i="26"/>
  <c r="G4684" i="26"/>
  <c r="G4685" i="26"/>
  <c r="G4686" i="26"/>
  <c r="G4687" i="26"/>
  <c r="G4688" i="26"/>
  <c r="G4689" i="26"/>
  <c r="G4690" i="26"/>
  <c r="G4691" i="26"/>
  <c r="G4692" i="26"/>
  <c r="G4693" i="26"/>
  <c r="G4694" i="26"/>
  <c r="G4695" i="26"/>
  <c r="G4696" i="26"/>
  <c r="G4697" i="26"/>
  <c r="G4698" i="26"/>
  <c r="G4699" i="26"/>
  <c r="G4700" i="26"/>
  <c r="G4701" i="26"/>
  <c r="G4702" i="26"/>
  <c r="G4703" i="26"/>
  <c r="G4704" i="26"/>
  <c r="G4705" i="26"/>
  <c r="G4706" i="26"/>
  <c r="G4707" i="26"/>
  <c r="G4708" i="26"/>
  <c r="G4709" i="26"/>
  <c r="G4710" i="26"/>
  <c r="G4711" i="26"/>
  <c r="G4712" i="26"/>
  <c r="G4713" i="26"/>
  <c r="G4714" i="26"/>
  <c r="G4715" i="26"/>
  <c r="G4716" i="26"/>
  <c r="G4717" i="26"/>
  <c r="G4718" i="26"/>
  <c r="G4719" i="26"/>
  <c r="G4720" i="26"/>
  <c r="G4721" i="26"/>
  <c r="G4722" i="26"/>
  <c r="G4723" i="26"/>
  <c r="G4724" i="26"/>
  <c r="G4725" i="26"/>
  <c r="G4726" i="26"/>
  <c r="G4727" i="26"/>
  <c r="G4728" i="26"/>
  <c r="G4729" i="26"/>
  <c r="G4730" i="26"/>
  <c r="G4731" i="26"/>
  <c r="G4732" i="26"/>
  <c r="G4733" i="26"/>
  <c r="G4734" i="26"/>
  <c r="G4735" i="26"/>
  <c r="G4736" i="26"/>
  <c r="G4737" i="26"/>
  <c r="G4738" i="26"/>
  <c r="G4739" i="26"/>
  <c r="G4740" i="26"/>
  <c r="G4741" i="26"/>
  <c r="G4742" i="26"/>
  <c r="G4743" i="26"/>
  <c r="G4744" i="26"/>
  <c r="G4745" i="26"/>
  <c r="G4746" i="26"/>
  <c r="G4747" i="26"/>
  <c r="G4748" i="26"/>
  <c r="G4749" i="26"/>
  <c r="G4750" i="26"/>
  <c r="G4751" i="26"/>
  <c r="G4752" i="26"/>
  <c r="G4753" i="26"/>
  <c r="G4754" i="26"/>
  <c r="G4755" i="26"/>
  <c r="G4756" i="26"/>
  <c r="G4757" i="26"/>
  <c r="G4758" i="26"/>
  <c r="G4759" i="26"/>
  <c r="G4760" i="26"/>
  <c r="G4761" i="26"/>
  <c r="G4762" i="26"/>
  <c r="G4763" i="26"/>
  <c r="G4764" i="26"/>
  <c r="G4765" i="26"/>
  <c r="G4766" i="26"/>
  <c r="G4767" i="26"/>
  <c r="G4768" i="26"/>
  <c r="G4769" i="26"/>
  <c r="G4770" i="26"/>
  <c r="G4771" i="26"/>
  <c r="G4772" i="26"/>
  <c r="G4773" i="26"/>
  <c r="G4774" i="26"/>
  <c r="G4775" i="26"/>
  <c r="G4776" i="26"/>
  <c r="G4777" i="26"/>
  <c r="G4778" i="26"/>
  <c r="G4779" i="26"/>
  <c r="G4780" i="26"/>
  <c r="G4781" i="26"/>
  <c r="G4782" i="26"/>
  <c r="G4783" i="26"/>
  <c r="G4784" i="26"/>
  <c r="G4785" i="26"/>
  <c r="G4786" i="26"/>
  <c r="G4787" i="26"/>
  <c r="G4788" i="26"/>
  <c r="G4789" i="26"/>
  <c r="G4790" i="26"/>
  <c r="G4791" i="26"/>
  <c r="G4792" i="26"/>
  <c r="G4793" i="26"/>
  <c r="G4794" i="26"/>
  <c r="G4795" i="26"/>
  <c r="G4796" i="26"/>
  <c r="G4797" i="26"/>
  <c r="G4798" i="26"/>
  <c r="G4799" i="26"/>
  <c r="G4800" i="26"/>
  <c r="G4801" i="26"/>
  <c r="G4802" i="26"/>
  <c r="G4803" i="26"/>
  <c r="G4804" i="26"/>
  <c r="G4805" i="26"/>
  <c r="G4806" i="26"/>
  <c r="G4807" i="26"/>
  <c r="G4808" i="26"/>
  <c r="G4809" i="26"/>
  <c r="G4810" i="26"/>
  <c r="G4811" i="26"/>
  <c r="G4812" i="26"/>
  <c r="G4813" i="26"/>
  <c r="G4814" i="26"/>
  <c r="G4815" i="26"/>
  <c r="G4816" i="26"/>
  <c r="G4817" i="26"/>
  <c r="G4818" i="26"/>
  <c r="G4819" i="26"/>
  <c r="G4820" i="26"/>
  <c r="G4821" i="26"/>
  <c r="G4822" i="26"/>
  <c r="G4823" i="26"/>
  <c r="G4824" i="26"/>
  <c r="G4825" i="26"/>
  <c r="G4826" i="26"/>
  <c r="G4827" i="26"/>
  <c r="G4828" i="26"/>
  <c r="G4829" i="26"/>
  <c r="G4830" i="26"/>
  <c r="G4831" i="26"/>
  <c r="G4832" i="26"/>
  <c r="G4833" i="26"/>
  <c r="G4834" i="26"/>
  <c r="G4835" i="26"/>
  <c r="G4836" i="26"/>
  <c r="G4837" i="26"/>
  <c r="G4838" i="26"/>
  <c r="G4839" i="26"/>
  <c r="G4840" i="26"/>
  <c r="G4841" i="26"/>
  <c r="G4842" i="26"/>
  <c r="G4843" i="26"/>
  <c r="G4844" i="26"/>
  <c r="G4845" i="26"/>
  <c r="G4846" i="26"/>
  <c r="G4847" i="26"/>
  <c r="G4848" i="26"/>
  <c r="G4849" i="26"/>
  <c r="G4850" i="26"/>
  <c r="G4851" i="26"/>
  <c r="G4852" i="26"/>
  <c r="G4853" i="26"/>
  <c r="G4854" i="26"/>
  <c r="G4855" i="26"/>
  <c r="G4856" i="26"/>
  <c r="G4857" i="26"/>
  <c r="G4858" i="26"/>
  <c r="G4859" i="26"/>
  <c r="G4860" i="26"/>
  <c r="G4861" i="26"/>
  <c r="G4862" i="26"/>
  <c r="G4863" i="26"/>
  <c r="G4864" i="26"/>
  <c r="G4865" i="26"/>
  <c r="G4866" i="26"/>
  <c r="G4867" i="26"/>
  <c r="G4868" i="26"/>
  <c r="G4869" i="26"/>
  <c r="G4870" i="26"/>
  <c r="G4871" i="26"/>
  <c r="G4872" i="26"/>
  <c r="G4873" i="26"/>
  <c r="G4874" i="26"/>
  <c r="G4875" i="26"/>
  <c r="G4876" i="26"/>
  <c r="G4877" i="26"/>
  <c r="G4878" i="26"/>
  <c r="G4879" i="26"/>
  <c r="G4880" i="26"/>
  <c r="G4881" i="26"/>
  <c r="G4882" i="26"/>
  <c r="G4883" i="26"/>
  <c r="G4884" i="26"/>
  <c r="G4885" i="26"/>
  <c r="G4886" i="26"/>
  <c r="G4887" i="26"/>
  <c r="G4888" i="26"/>
  <c r="G4889" i="26"/>
  <c r="G4890" i="26"/>
  <c r="G4891" i="26"/>
  <c r="G4892" i="26"/>
  <c r="G4893" i="26"/>
  <c r="G4894" i="26"/>
  <c r="G4895" i="26"/>
  <c r="G4896" i="26"/>
  <c r="G4897" i="26"/>
  <c r="G4898" i="26"/>
  <c r="G4899" i="26"/>
  <c r="G4900" i="26"/>
  <c r="G4901" i="26"/>
  <c r="G4902" i="26"/>
  <c r="G4903" i="26"/>
  <c r="G4904" i="26"/>
  <c r="G4905" i="26"/>
  <c r="G4906" i="26"/>
  <c r="G4907" i="26"/>
  <c r="G4908" i="26"/>
  <c r="G4909" i="26"/>
  <c r="G4910" i="26"/>
  <c r="G4911" i="26"/>
  <c r="G4912" i="26"/>
  <c r="G4913" i="26"/>
  <c r="G4914" i="26"/>
  <c r="G4915" i="26"/>
  <c r="G4916" i="26"/>
  <c r="G4917" i="26"/>
  <c r="G4918" i="26"/>
  <c r="G4919" i="26"/>
  <c r="G4920" i="26"/>
  <c r="G4921" i="26"/>
  <c r="G4922" i="26"/>
  <c r="G4923" i="26"/>
  <c r="G4924" i="26"/>
  <c r="G4925" i="26"/>
  <c r="G4926" i="26"/>
  <c r="G4927" i="26"/>
  <c r="G4928" i="26"/>
  <c r="G4929" i="26"/>
  <c r="G4930" i="26"/>
  <c r="G4931" i="26"/>
  <c r="G4932" i="26"/>
  <c r="G4933" i="26"/>
  <c r="G4934" i="26"/>
  <c r="G4935" i="26"/>
  <c r="G4936" i="26"/>
  <c r="G4937" i="26"/>
  <c r="G4938" i="26"/>
  <c r="G4939" i="26"/>
  <c r="G4940" i="26"/>
  <c r="G4941" i="26"/>
  <c r="G4942" i="26"/>
  <c r="G4943" i="26"/>
  <c r="G4944" i="26"/>
  <c r="G4945" i="26"/>
  <c r="G4946" i="26"/>
  <c r="G4947" i="26"/>
  <c r="G4948" i="26"/>
  <c r="G4949" i="26"/>
  <c r="G4950" i="26"/>
  <c r="G4951" i="26"/>
  <c r="G4952" i="26"/>
  <c r="G4953" i="26"/>
  <c r="G4954" i="26"/>
  <c r="G4955" i="26"/>
  <c r="G4956" i="26"/>
  <c r="G4957" i="26"/>
  <c r="G4958" i="26"/>
  <c r="G4959" i="26"/>
  <c r="G4960" i="26"/>
  <c r="G4961" i="26"/>
  <c r="G4962" i="26"/>
  <c r="G4963" i="26"/>
  <c r="G4964" i="26"/>
  <c r="G4965" i="26"/>
  <c r="G4966" i="26"/>
  <c r="G4967" i="26"/>
  <c r="G4968" i="26"/>
  <c r="G4969" i="26"/>
  <c r="G4970" i="26"/>
  <c r="G4971" i="26"/>
  <c r="G4972" i="26"/>
  <c r="G4973" i="26"/>
  <c r="G4974" i="26"/>
  <c r="G4975" i="26"/>
  <c r="G4976" i="26"/>
  <c r="G4977" i="26"/>
  <c r="G4978" i="26"/>
  <c r="G4979" i="26"/>
  <c r="G4980" i="26"/>
  <c r="G4981" i="26"/>
  <c r="G4982" i="26"/>
  <c r="G4983" i="26"/>
  <c r="G4984" i="26"/>
  <c r="G4985" i="26"/>
  <c r="G4986" i="26"/>
  <c r="G4987" i="26"/>
  <c r="G4988" i="26"/>
  <c r="G4989" i="26"/>
  <c r="G4990" i="26"/>
  <c r="G4991" i="26"/>
  <c r="G4992" i="26"/>
  <c r="G4993" i="26"/>
  <c r="G4994" i="26"/>
  <c r="G4995" i="26"/>
  <c r="G4996" i="26"/>
  <c r="G4997" i="26"/>
  <c r="G4998" i="26"/>
  <c r="G4999" i="26"/>
  <c r="G5000" i="26"/>
  <c r="G5001" i="26"/>
  <c r="G5002" i="26"/>
  <c r="G5003" i="26"/>
  <c r="G5004" i="26"/>
  <c r="G5005" i="26"/>
  <c r="G5006" i="26"/>
  <c r="G5007" i="26"/>
  <c r="G5008" i="26"/>
  <c r="G5009" i="26"/>
  <c r="G5010" i="26"/>
  <c r="G5011" i="26"/>
  <c r="G5012" i="26"/>
  <c r="G5013" i="26"/>
  <c r="G5014" i="26"/>
  <c r="G5015" i="26"/>
  <c r="G5016" i="26"/>
  <c r="G5017" i="26"/>
  <c r="G5018" i="26"/>
  <c r="G5019" i="26"/>
  <c r="G5020" i="26"/>
  <c r="G5021" i="26"/>
  <c r="G5022" i="26"/>
  <c r="G5023" i="26"/>
  <c r="G5024" i="26"/>
  <c r="G5025" i="26"/>
  <c r="G5026" i="26"/>
  <c r="G5027" i="26"/>
  <c r="G5028" i="26"/>
  <c r="G5029" i="26"/>
  <c r="G5030" i="26"/>
  <c r="G5031" i="26"/>
  <c r="G5032" i="26"/>
  <c r="G5033" i="26"/>
  <c r="G5034" i="26"/>
  <c r="G5035" i="26"/>
  <c r="G5036" i="26"/>
  <c r="G5037" i="26"/>
  <c r="G5038" i="26"/>
  <c r="G5039" i="26"/>
  <c r="G5040" i="26"/>
  <c r="G5041" i="26"/>
  <c r="G5042" i="26"/>
  <c r="G5043" i="26"/>
  <c r="G5044" i="26"/>
  <c r="G5045" i="26"/>
  <c r="G5046" i="26"/>
  <c r="G5047" i="26"/>
  <c r="G5048" i="26"/>
  <c r="G5049" i="26"/>
  <c r="G5050" i="26"/>
  <c r="G5051" i="26"/>
  <c r="G5052" i="26"/>
  <c r="G5053" i="26"/>
  <c r="G5054" i="26"/>
  <c r="G5055" i="26"/>
  <c r="G5056" i="26"/>
  <c r="G5057" i="26"/>
  <c r="G5058" i="26"/>
  <c r="G5059" i="26"/>
  <c r="G5060" i="26"/>
  <c r="G5061" i="26"/>
  <c r="G5062" i="26"/>
  <c r="G5063" i="26"/>
  <c r="G5064" i="26"/>
  <c r="G5065" i="26"/>
  <c r="G5066" i="26"/>
  <c r="G5067" i="26"/>
  <c r="G5068" i="26"/>
  <c r="G5069" i="26"/>
  <c r="G5070" i="26"/>
  <c r="G5071" i="26"/>
  <c r="G5072" i="26"/>
  <c r="G5073" i="26"/>
  <c r="G5074" i="26"/>
  <c r="G5075" i="26"/>
  <c r="G5076" i="26"/>
  <c r="G5077" i="26"/>
  <c r="G5078" i="26"/>
  <c r="G5079" i="26"/>
  <c r="G5080" i="26"/>
  <c r="G5081" i="26"/>
  <c r="G5082" i="26"/>
  <c r="G5083" i="26"/>
  <c r="G5084" i="26"/>
  <c r="G5085" i="26"/>
  <c r="G5086" i="26"/>
  <c r="G5087" i="26"/>
  <c r="G5088" i="26"/>
  <c r="G5089" i="26"/>
  <c r="G5090" i="26"/>
  <c r="G5091" i="26"/>
  <c r="G5092" i="26"/>
  <c r="G5093" i="26"/>
  <c r="G5094" i="26"/>
  <c r="G5095" i="26"/>
  <c r="G5096" i="26"/>
  <c r="G5097" i="26"/>
  <c r="G5098" i="26"/>
  <c r="G5099" i="26"/>
  <c r="G5100" i="26"/>
  <c r="G5101" i="26"/>
  <c r="G5102" i="26"/>
  <c r="G5103" i="26"/>
  <c r="G5104" i="26"/>
  <c r="G5105" i="26"/>
  <c r="G5106" i="26"/>
  <c r="G5107" i="26"/>
  <c r="G5108" i="26"/>
  <c r="G5109" i="26"/>
  <c r="G5110" i="26"/>
  <c r="G5111" i="26"/>
  <c r="G5112" i="26"/>
  <c r="G5113" i="26"/>
  <c r="G5114" i="26"/>
  <c r="G5115" i="26"/>
  <c r="G5116" i="26"/>
  <c r="G5117" i="26"/>
  <c r="G5118" i="26"/>
  <c r="G5119" i="26"/>
  <c r="G5120" i="26"/>
  <c r="G5121" i="26"/>
  <c r="G5122" i="26"/>
  <c r="G5123" i="26"/>
  <c r="G5124" i="26"/>
  <c r="G5125" i="26"/>
  <c r="G5126" i="26"/>
  <c r="G5127" i="26"/>
  <c r="G5128" i="26"/>
  <c r="G5129" i="26"/>
  <c r="G5130" i="26"/>
  <c r="G5131" i="26"/>
  <c r="G5132" i="26"/>
  <c r="G5133" i="26"/>
  <c r="G5134" i="26"/>
  <c r="G5135" i="26"/>
  <c r="G5136" i="26"/>
  <c r="G5137" i="26"/>
  <c r="G5138" i="26"/>
  <c r="G5139" i="26"/>
  <c r="G5140" i="26"/>
  <c r="G5141" i="26"/>
  <c r="G5142" i="26"/>
  <c r="G5143" i="26"/>
  <c r="G5144" i="26"/>
  <c r="G5145" i="26"/>
  <c r="G5146" i="26"/>
  <c r="G5147" i="26"/>
  <c r="G5148" i="26"/>
  <c r="G5149" i="26"/>
  <c r="G5150" i="26"/>
  <c r="G5151" i="26"/>
  <c r="G5152" i="26"/>
  <c r="G5153" i="26"/>
  <c r="G5154" i="26"/>
  <c r="G5155" i="26"/>
  <c r="G5156" i="26"/>
  <c r="G5157" i="26"/>
  <c r="G5158" i="26"/>
  <c r="G5159" i="26"/>
  <c r="G5160" i="26"/>
  <c r="G5161" i="26"/>
  <c r="G5162" i="26"/>
  <c r="G5163" i="26"/>
  <c r="G5164" i="26"/>
  <c r="G5165" i="26"/>
  <c r="G5166" i="26"/>
  <c r="G5167" i="26"/>
  <c r="G5168" i="26"/>
  <c r="G5169" i="26"/>
  <c r="G5170" i="26"/>
  <c r="G5171" i="26"/>
  <c r="G5172" i="26"/>
  <c r="G5173" i="26"/>
  <c r="G5174" i="26"/>
  <c r="G5175" i="26"/>
  <c r="G5176" i="26"/>
  <c r="G5177" i="26"/>
  <c r="G5178" i="26"/>
  <c r="G5179" i="26"/>
  <c r="G5180" i="26"/>
  <c r="G5181" i="26"/>
  <c r="G5182" i="26"/>
  <c r="G5183" i="26"/>
  <c r="G5184" i="26"/>
  <c r="G5185" i="26"/>
  <c r="G5186" i="26"/>
  <c r="G5187" i="26"/>
  <c r="G5188" i="26"/>
  <c r="G5189" i="26"/>
  <c r="G5190" i="26"/>
  <c r="G5191" i="26"/>
  <c r="G5192" i="26"/>
  <c r="G5193" i="26"/>
  <c r="G5194" i="26"/>
  <c r="G5195" i="26"/>
  <c r="G5196" i="26"/>
  <c r="G5197" i="26"/>
  <c r="G5198" i="26"/>
  <c r="G5199" i="26"/>
  <c r="G5200" i="26"/>
  <c r="G5201" i="26"/>
  <c r="G5202" i="26"/>
  <c r="G5203" i="26"/>
  <c r="G5204" i="26"/>
  <c r="G5205" i="26"/>
  <c r="G5206" i="26"/>
  <c r="G5207" i="26"/>
  <c r="G5208" i="26"/>
  <c r="G5209" i="26"/>
  <c r="G5210" i="26"/>
  <c r="G5211" i="26"/>
  <c r="G5212" i="26"/>
  <c r="G5213" i="26"/>
  <c r="G5214" i="26"/>
  <c r="G5215" i="26"/>
  <c r="G5216" i="26"/>
  <c r="G5217" i="26"/>
  <c r="G5218" i="26"/>
  <c r="G5219" i="26"/>
  <c r="G5220" i="26"/>
  <c r="G5221" i="26"/>
  <c r="G5222" i="26"/>
  <c r="G5223" i="26"/>
  <c r="G5224" i="26"/>
  <c r="G5225" i="26"/>
  <c r="G5226" i="26"/>
  <c r="G5227" i="26"/>
  <c r="G5228" i="26"/>
  <c r="G5229" i="26"/>
  <c r="G5230" i="26"/>
  <c r="G5231" i="26"/>
  <c r="G5232" i="26"/>
  <c r="G5233" i="26"/>
  <c r="G5234" i="26"/>
  <c r="G5235" i="26"/>
  <c r="G5236" i="26"/>
  <c r="G5237" i="26"/>
  <c r="G5238" i="26"/>
  <c r="G5239" i="26"/>
  <c r="G5240" i="26"/>
  <c r="G5241" i="26"/>
  <c r="G5242" i="26"/>
  <c r="G5243" i="26"/>
  <c r="G5244" i="26"/>
  <c r="G5245" i="26"/>
  <c r="G5246" i="26"/>
  <c r="G5247" i="26"/>
  <c r="G5248" i="26"/>
  <c r="G5249" i="26"/>
  <c r="G5250" i="26"/>
  <c r="G5251" i="26"/>
  <c r="G5252" i="26"/>
  <c r="G5253" i="26"/>
  <c r="G5254" i="26"/>
  <c r="G5255" i="26"/>
  <c r="G5256" i="26"/>
  <c r="G5257" i="26"/>
  <c r="G5258" i="26"/>
  <c r="G5259" i="26"/>
  <c r="G5260" i="26"/>
  <c r="G5261" i="26"/>
  <c r="G5262" i="26"/>
  <c r="G5263" i="26"/>
  <c r="G5264" i="26"/>
  <c r="G5265" i="26"/>
  <c r="G5266" i="26"/>
  <c r="G5267" i="26"/>
  <c r="G5268" i="26"/>
  <c r="G5269" i="26"/>
  <c r="G5270" i="26"/>
  <c r="G5271" i="26"/>
  <c r="G5272" i="26"/>
  <c r="G5273" i="26"/>
  <c r="G5274" i="26"/>
  <c r="G5275" i="26"/>
  <c r="G5276" i="26"/>
  <c r="G5277" i="26"/>
  <c r="G5278" i="26"/>
  <c r="G5279" i="26"/>
  <c r="G5280" i="26"/>
  <c r="G5281" i="26"/>
  <c r="G5282" i="26"/>
  <c r="G5283" i="26"/>
  <c r="G5284" i="26"/>
  <c r="G5285" i="26"/>
  <c r="G5286" i="26"/>
  <c r="G5287" i="26"/>
  <c r="G5288" i="26"/>
  <c r="G5289" i="26"/>
  <c r="G5290" i="26"/>
  <c r="G5291" i="26"/>
  <c r="G5292" i="26"/>
  <c r="G5293" i="26"/>
  <c r="G5294" i="26"/>
  <c r="G5295" i="26"/>
  <c r="G5296" i="26"/>
  <c r="G5297" i="26"/>
  <c r="G5298" i="26"/>
  <c r="G5299" i="26"/>
  <c r="G5300" i="26"/>
  <c r="G5301" i="26"/>
  <c r="G5302" i="26"/>
  <c r="G5303" i="26"/>
  <c r="G5304" i="26"/>
  <c r="G5305" i="26"/>
  <c r="G5306" i="26"/>
  <c r="G5307" i="26"/>
  <c r="G5308" i="26"/>
  <c r="G5309" i="26"/>
  <c r="G5310" i="26"/>
  <c r="G5311" i="26"/>
  <c r="G5312" i="26"/>
  <c r="G5313" i="26"/>
  <c r="G5314" i="26"/>
  <c r="G5315" i="26"/>
  <c r="G5316" i="26"/>
  <c r="G5317" i="26"/>
  <c r="G5318" i="26"/>
  <c r="G5319" i="26"/>
  <c r="G5320" i="26"/>
  <c r="G5321" i="26"/>
  <c r="G5322" i="26"/>
  <c r="G5323" i="26"/>
  <c r="G5324" i="26"/>
  <c r="G5325" i="26"/>
  <c r="G5326" i="26"/>
  <c r="G5327" i="26"/>
  <c r="G5328" i="26"/>
  <c r="G5329" i="26"/>
  <c r="G5330" i="26"/>
  <c r="G5331" i="26"/>
  <c r="G5332" i="26"/>
  <c r="G5333" i="26"/>
  <c r="G5334" i="26"/>
  <c r="G5335" i="26"/>
  <c r="G5336" i="26"/>
  <c r="G5337" i="26"/>
  <c r="G5338" i="26"/>
  <c r="G5339" i="26"/>
  <c r="G5340" i="26"/>
  <c r="G5341" i="26"/>
  <c r="G5342" i="26"/>
  <c r="G5343" i="26"/>
  <c r="G5344" i="26"/>
  <c r="G5345" i="26"/>
  <c r="G5346" i="26"/>
  <c r="G5347" i="26"/>
  <c r="G5348" i="26"/>
  <c r="G5349" i="26"/>
  <c r="G5350" i="26"/>
  <c r="G5351" i="26"/>
  <c r="G5352" i="26"/>
  <c r="G5353" i="26"/>
  <c r="G5354" i="26"/>
  <c r="G5355" i="26"/>
  <c r="G5356" i="26"/>
  <c r="G5357" i="26"/>
  <c r="G5358" i="26"/>
  <c r="G5359" i="26"/>
  <c r="G5360" i="26"/>
  <c r="G5361" i="26"/>
  <c r="G5362" i="26"/>
  <c r="G5363" i="26"/>
  <c r="G5364" i="26"/>
  <c r="G5365" i="26"/>
  <c r="G5366" i="26"/>
  <c r="G5367" i="26"/>
  <c r="G5368" i="26"/>
  <c r="G5369" i="26"/>
  <c r="G5370" i="26"/>
  <c r="G5371" i="26"/>
  <c r="G5372" i="26"/>
  <c r="G5373" i="26"/>
  <c r="G5374" i="26"/>
  <c r="G5375" i="26"/>
  <c r="G5376" i="26"/>
  <c r="G5377" i="26"/>
  <c r="G5378" i="26"/>
  <c r="G5379" i="26"/>
  <c r="G5380" i="26"/>
  <c r="G5381" i="26"/>
  <c r="G5382" i="26"/>
  <c r="G5383" i="26"/>
  <c r="G5384" i="26"/>
  <c r="G5385" i="26"/>
  <c r="G5386" i="26"/>
  <c r="G5387" i="26"/>
  <c r="G5388" i="26"/>
  <c r="G5389" i="26"/>
  <c r="G5390" i="26"/>
  <c r="G5391" i="26"/>
  <c r="G5392" i="26"/>
  <c r="G5393" i="26"/>
  <c r="G5394" i="26"/>
  <c r="G5395" i="26"/>
  <c r="G5396" i="26"/>
  <c r="G5397" i="26"/>
  <c r="G5398" i="26"/>
  <c r="G5399" i="26"/>
  <c r="G5400" i="26"/>
  <c r="G5401" i="26"/>
  <c r="G5402" i="26"/>
  <c r="G5403" i="26"/>
  <c r="G5404" i="26"/>
  <c r="G5405" i="26"/>
  <c r="G5406" i="26"/>
  <c r="G5407" i="26"/>
  <c r="G5408" i="26"/>
  <c r="G5409" i="26"/>
  <c r="G5410" i="26"/>
  <c r="G5411" i="26"/>
  <c r="G5412" i="26"/>
  <c r="G5413" i="26"/>
  <c r="G5414" i="26"/>
  <c r="G5415" i="26"/>
  <c r="G5416" i="26"/>
  <c r="G5417" i="26"/>
  <c r="G5418" i="26"/>
  <c r="G5419" i="26"/>
  <c r="G5420" i="26"/>
  <c r="G5421" i="26"/>
  <c r="G5422" i="26"/>
  <c r="G5423" i="26"/>
  <c r="G5424" i="26"/>
  <c r="G5425" i="26"/>
  <c r="G5426" i="26"/>
  <c r="G5427" i="26"/>
  <c r="G5428" i="26"/>
  <c r="G5429" i="26"/>
  <c r="G5430" i="26"/>
  <c r="G5431" i="26"/>
  <c r="G5432" i="26"/>
  <c r="G5433" i="26"/>
  <c r="G5434" i="26"/>
  <c r="G5435" i="26"/>
  <c r="G5436" i="26"/>
  <c r="G5437" i="26"/>
  <c r="G5438" i="26"/>
  <c r="G5439" i="26"/>
  <c r="G5440" i="26"/>
  <c r="G5441" i="26"/>
  <c r="G5442" i="26"/>
  <c r="G5443" i="26"/>
  <c r="G5444" i="26"/>
  <c r="G5445" i="26"/>
  <c r="G5446" i="26"/>
  <c r="G5447" i="26"/>
  <c r="G5448" i="26"/>
  <c r="G5449" i="26"/>
  <c r="G5450" i="26"/>
  <c r="G5451" i="26"/>
  <c r="G5452" i="26"/>
  <c r="G5453" i="26"/>
  <c r="G5454" i="26"/>
  <c r="G5455" i="26"/>
  <c r="G5456" i="26"/>
  <c r="G5457" i="26"/>
  <c r="G5458" i="26"/>
  <c r="G5459" i="26"/>
  <c r="G5460" i="26"/>
  <c r="G5461" i="26"/>
  <c r="G5462" i="26"/>
  <c r="G5463" i="26"/>
  <c r="G5464" i="26"/>
  <c r="G5465" i="26"/>
  <c r="G5466" i="26"/>
  <c r="G5467" i="26"/>
  <c r="G5468" i="26"/>
  <c r="G5469" i="26"/>
  <c r="G5470" i="26"/>
  <c r="G5471" i="26"/>
  <c r="G5472" i="26"/>
  <c r="G5473" i="26"/>
  <c r="G5474" i="26"/>
  <c r="G5475" i="26"/>
  <c r="G5476" i="26"/>
  <c r="G5477" i="26"/>
  <c r="G5478" i="26"/>
  <c r="G5479" i="26"/>
  <c r="G5480" i="26"/>
  <c r="G5481" i="26"/>
  <c r="G5482" i="26"/>
  <c r="G5483" i="26"/>
  <c r="G5484" i="26"/>
  <c r="G5485" i="26"/>
  <c r="G5486" i="26"/>
  <c r="G5487" i="26"/>
  <c r="G5488" i="26"/>
  <c r="G5489" i="26"/>
  <c r="G5490" i="26"/>
  <c r="G5491" i="26"/>
  <c r="G5492" i="26"/>
  <c r="G5493" i="26"/>
  <c r="G5494" i="26"/>
  <c r="G5495" i="26"/>
  <c r="G5496" i="26"/>
  <c r="G5497" i="26"/>
  <c r="G5498" i="26"/>
  <c r="G5499" i="26"/>
  <c r="G5500" i="26"/>
  <c r="G5501" i="26"/>
  <c r="G5502" i="26"/>
  <c r="G5503" i="26"/>
  <c r="G5504" i="26"/>
  <c r="G5505" i="26"/>
  <c r="G5506" i="26"/>
  <c r="G5507" i="26"/>
  <c r="G5508" i="26"/>
  <c r="G5509" i="26"/>
  <c r="G5510" i="26"/>
  <c r="G5511" i="26"/>
  <c r="G5512" i="26"/>
  <c r="G5513" i="26"/>
  <c r="G5514" i="26"/>
  <c r="G5515" i="26"/>
  <c r="G5516" i="26"/>
  <c r="G5517" i="26"/>
  <c r="G5518" i="26"/>
  <c r="G5519" i="26"/>
  <c r="G5520" i="26"/>
  <c r="G5521" i="26"/>
  <c r="G5522" i="26"/>
  <c r="G5523" i="26"/>
  <c r="G5524" i="26"/>
  <c r="G5525" i="26"/>
  <c r="G5526" i="26"/>
  <c r="G5527" i="26"/>
  <c r="G5528" i="26"/>
  <c r="G5529" i="26"/>
  <c r="G5530" i="26"/>
  <c r="G5531" i="26"/>
  <c r="G5532" i="26"/>
  <c r="G5533" i="26"/>
  <c r="G5534" i="26"/>
  <c r="G5535" i="26"/>
  <c r="G5536" i="26"/>
  <c r="G5537" i="26"/>
  <c r="G5538" i="26"/>
  <c r="G5539" i="26"/>
  <c r="G5540" i="26"/>
  <c r="G5541" i="26"/>
  <c r="G5542" i="26"/>
  <c r="G5543" i="26"/>
  <c r="G5544" i="26"/>
  <c r="G5545" i="26"/>
  <c r="G5546" i="26"/>
  <c r="G5547" i="26"/>
  <c r="G5548" i="26"/>
  <c r="G5549" i="26"/>
  <c r="G5550" i="26"/>
  <c r="G5551" i="26"/>
  <c r="G5552" i="26"/>
  <c r="G5553" i="26"/>
  <c r="G5554" i="26"/>
  <c r="G5555" i="26"/>
  <c r="G5556" i="26"/>
  <c r="G5557" i="26"/>
  <c r="G5558" i="26"/>
  <c r="G5559" i="26"/>
  <c r="G5560" i="26"/>
  <c r="G5561" i="26"/>
  <c r="G5562" i="26"/>
  <c r="G5563" i="26"/>
  <c r="G5564" i="26"/>
  <c r="G5565" i="26"/>
  <c r="G5566" i="26"/>
  <c r="G5567" i="26"/>
  <c r="G5568" i="26"/>
  <c r="G5569" i="26"/>
  <c r="G5570" i="26"/>
  <c r="G5571" i="26"/>
  <c r="G5572" i="26"/>
  <c r="G5573" i="26"/>
  <c r="G5574" i="26"/>
  <c r="G5575" i="26"/>
  <c r="G5576" i="26"/>
  <c r="G5577" i="26"/>
  <c r="G5578" i="26"/>
  <c r="G5579" i="26"/>
  <c r="G5580" i="26"/>
  <c r="G5581" i="26"/>
  <c r="G5582" i="26"/>
  <c r="G5583" i="26"/>
  <c r="G5584" i="26"/>
  <c r="G5585" i="26"/>
  <c r="G5586" i="26"/>
  <c r="G5587" i="26"/>
  <c r="G5588" i="26"/>
  <c r="G5589" i="26"/>
  <c r="G5590" i="26"/>
  <c r="G5591" i="26"/>
  <c r="G5592" i="26"/>
  <c r="G5593" i="26"/>
  <c r="G5594" i="26"/>
  <c r="G5595" i="26"/>
  <c r="G5596" i="26"/>
  <c r="G5597" i="26"/>
  <c r="G5598" i="26"/>
  <c r="G5599" i="26"/>
  <c r="G5600" i="26"/>
  <c r="G5601" i="26"/>
  <c r="G5602" i="26"/>
  <c r="G5603" i="26"/>
  <c r="G5604" i="26"/>
  <c r="G5605" i="26"/>
  <c r="G5606" i="26"/>
  <c r="G5607" i="26"/>
  <c r="G5608" i="26"/>
  <c r="G5609" i="26"/>
  <c r="G5610" i="26"/>
  <c r="G5611" i="26"/>
  <c r="G5612" i="26"/>
  <c r="G5613" i="26"/>
  <c r="G5614" i="26"/>
  <c r="G5615" i="26"/>
  <c r="G5616" i="26"/>
  <c r="G5617" i="26"/>
  <c r="G5618" i="26"/>
  <c r="G5619" i="26"/>
  <c r="G5620" i="26"/>
  <c r="G5621" i="26"/>
  <c r="G5622" i="26"/>
  <c r="G5623" i="26"/>
  <c r="G5624" i="26"/>
  <c r="G5625" i="26"/>
  <c r="G5626" i="26"/>
  <c r="G5627" i="26"/>
  <c r="G5628" i="26"/>
  <c r="G5629" i="26"/>
  <c r="G5630" i="26"/>
  <c r="G5631" i="26"/>
  <c r="G5632" i="26"/>
  <c r="G5633" i="26"/>
  <c r="G5634" i="26"/>
  <c r="G5635" i="26"/>
  <c r="G5636" i="26"/>
  <c r="G5637" i="26"/>
  <c r="G5638" i="26"/>
  <c r="G5639" i="26"/>
  <c r="G5640" i="26"/>
  <c r="G5641" i="26"/>
  <c r="G5642" i="26"/>
  <c r="G5643" i="26"/>
  <c r="G5644" i="26"/>
  <c r="G5645" i="26"/>
  <c r="G5646" i="26"/>
  <c r="G5647" i="26"/>
  <c r="G5648" i="26"/>
  <c r="G5649" i="26"/>
  <c r="G5650" i="26"/>
  <c r="G5651" i="26"/>
  <c r="G5652" i="26"/>
  <c r="G5653" i="26"/>
  <c r="G5654" i="26"/>
  <c r="G5655" i="26"/>
  <c r="G5656" i="26"/>
  <c r="G5657" i="26"/>
  <c r="G5658" i="26"/>
  <c r="G5659" i="26"/>
  <c r="G5660" i="26"/>
  <c r="G5661" i="26"/>
  <c r="G5662" i="26"/>
  <c r="G5663" i="26"/>
  <c r="G5664" i="26"/>
  <c r="G5665" i="26"/>
  <c r="G5666" i="26"/>
  <c r="G5667" i="26"/>
  <c r="G5668" i="26"/>
  <c r="G5669" i="26"/>
  <c r="G5670" i="26"/>
  <c r="G5671" i="26"/>
  <c r="G5672" i="26"/>
  <c r="G5673" i="26"/>
  <c r="G5674" i="26"/>
  <c r="G5675" i="26"/>
  <c r="G5676" i="26"/>
  <c r="G5677" i="26"/>
  <c r="G5678" i="26"/>
  <c r="G5679" i="26"/>
  <c r="G5680" i="26"/>
  <c r="G5681" i="26"/>
  <c r="G5682" i="26"/>
  <c r="G5683" i="26"/>
  <c r="G5684" i="26"/>
  <c r="G5685" i="26"/>
  <c r="G5686" i="26"/>
  <c r="G5687" i="26"/>
  <c r="G5688" i="26"/>
  <c r="G5689" i="26"/>
  <c r="G5690" i="26"/>
  <c r="G5691" i="26"/>
  <c r="G5692" i="26"/>
  <c r="G5693" i="26"/>
  <c r="G5694" i="26"/>
  <c r="G5695" i="26"/>
  <c r="G5696" i="26"/>
  <c r="G5697" i="26"/>
  <c r="G5698" i="26"/>
  <c r="G5699" i="26"/>
  <c r="G5700" i="26"/>
  <c r="G5701" i="26"/>
  <c r="G5702" i="26"/>
  <c r="G5703" i="26"/>
  <c r="G5704" i="26"/>
  <c r="G5705" i="26"/>
  <c r="G5706" i="26"/>
  <c r="G5707" i="26"/>
  <c r="G5708" i="26"/>
  <c r="G5709" i="26"/>
  <c r="G5710" i="26"/>
  <c r="G5711" i="26"/>
  <c r="G5712" i="26"/>
  <c r="G5713" i="26"/>
  <c r="G5714" i="26"/>
  <c r="G5715" i="26"/>
  <c r="G5716" i="26"/>
  <c r="G5717" i="26"/>
  <c r="G5718" i="26"/>
  <c r="G5719" i="26"/>
  <c r="G5720" i="26"/>
  <c r="G5721" i="26"/>
  <c r="G5722" i="26"/>
  <c r="G5723" i="26"/>
  <c r="G5724" i="26"/>
  <c r="G5725" i="26"/>
  <c r="G5726" i="26"/>
  <c r="G5727" i="26"/>
  <c r="G5728" i="26"/>
  <c r="G5729" i="26"/>
  <c r="G5730" i="26"/>
  <c r="G5731" i="26"/>
  <c r="G5732" i="26"/>
  <c r="G5733" i="26"/>
  <c r="G5734" i="26"/>
  <c r="G5735" i="26"/>
  <c r="G5736" i="26"/>
  <c r="G5737" i="26"/>
  <c r="G5738" i="26"/>
  <c r="G5739" i="26"/>
  <c r="G5740" i="26"/>
  <c r="G5741" i="26"/>
  <c r="G5742" i="26"/>
  <c r="G5743" i="26"/>
  <c r="G5744" i="26"/>
  <c r="G5745" i="26"/>
  <c r="G5746" i="26"/>
  <c r="G5747" i="26"/>
  <c r="G5748" i="26"/>
  <c r="G5749" i="26"/>
  <c r="G5750" i="26"/>
  <c r="G5751" i="26"/>
  <c r="G5752" i="26"/>
  <c r="G5753" i="26"/>
  <c r="G5754" i="26"/>
  <c r="G5755" i="26"/>
  <c r="G5756" i="26"/>
  <c r="G5757" i="26"/>
  <c r="G5758" i="26"/>
  <c r="G5759" i="26"/>
  <c r="G5760" i="26"/>
  <c r="G5761" i="26"/>
  <c r="G5762" i="26"/>
  <c r="G5763" i="26"/>
  <c r="G5764" i="26"/>
  <c r="G5765" i="26"/>
  <c r="G5766" i="26"/>
  <c r="G5767" i="26"/>
  <c r="G5768" i="26"/>
  <c r="G5769" i="26"/>
  <c r="G5770" i="26"/>
  <c r="G5771" i="26"/>
  <c r="G5772" i="26"/>
  <c r="G5773" i="26"/>
  <c r="G5774" i="26"/>
  <c r="G5775" i="26"/>
  <c r="G5776" i="26"/>
  <c r="G5777" i="26"/>
  <c r="G5778" i="26"/>
  <c r="G5779" i="26"/>
  <c r="G5780" i="26"/>
  <c r="G5781" i="26"/>
  <c r="G5782" i="26"/>
  <c r="G5783" i="26"/>
  <c r="G5784" i="26"/>
  <c r="G5785" i="26"/>
  <c r="G5786" i="26"/>
  <c r="G5787" i="26"/>
  <c r="G5788" i="26"/>
  <c r="G5789" i="26"/>
  <c r="G5790" i="26"/>
  <c r="G5791" i="26"/>
  <c r="G5792" i="26"/>
  <c r="G5793" i="26"/>
  <c r="G5794" i="26"/>
  <c r="G5795" i="26"/>
  <c r="G5796" i="26"/>
  <c r="G5797" i="26"/>
  <c r="G5798" i="26"/>
  <c r="G5799" i="26"/>
  <c r="G5800" i="26"/>
  <c r="G5801" i="26"/>
  <c r="G5802" i="26"/>
  <c r="G5803" i="26"/>
  <c r="G5804" i="26"/>
  <c r="G5805" i="26"/>
  <c r="G5806" i="26"/>
  <c r="G5807" i="26"/>
  <c r="G5808" i="26"/>
  <c r="G5809" i="26"/>
  <c r="G5810" i="26"/>
  <c r="G5811" i="26"/>
  <c r="G5812" i="26"/>
  <c r="G5813" i="26"/>
  <c r="G5814" i="26"/>
  <c r="G5815" i="26"/>
  <c r="G5816" i="26"/>
  <c r="G5817" i="26"/>
  <c r="G5818" i="26"/>
  <c r="G5819" i="26"/>
  <c r="G5820" i="26"/>
  <c r="G5821" i="26"/>
  <c r="G5822" i="26"/>
  <c r="G5823" i="26"/>
  <c r="G5824" i="26"/>
  <c r="G5825" i="26"/>
  <c r="G5826" i="26"/>
  <c r="G5827" i="26"/>
  <c r="G5828" i="26"/>
  <c r="G5829" i="26"/>
  <c r="G5830" i="26"/>
  <c r="G5831" i="26"/>
  <c r="G5832" i="26"/>
  <c r="G5833" i="26"/>
  <c r="G5834" i="26"/>
  <c r="G5835" i="26"/>
  <c r="G5836" i="26"/>
  <c r="G5837" i="26"/>
  <c r="G5838" i="26"/>
  <c r="G5839" i="26"/>
  <c r="G5840" i="26"/>
  <c r="G5841" i="26"/>
  <c r="G5842" i="26"/>
  <c r="G5843" i="26"/>
  <c r="G5844" i="26"/>
  <c r="G5845" i="26"/>
  <c r="G5846" i="26"/>
  <c r="G5847" i="26"/>
  <c r="G5848" i="26"/>
  <c r="G5849" i="26"/>
  <c r="G5850" i="26"/>
  <c r="G5851" i="26"/>
  <c r="G5852" i="26"/>
  <c r="G5853" i="26"/>
  <c r="G5854" i="26"/>
  <c r="G5855" i="26"/>
  <c r="G5856" i="26"/>
  <c r="G5857" i="26"/>
  <c r="G5858" i="26"/>
  <c r="G5859" i="26"/>
  <c r="G5860" i="26"/>
  <c r="G5861" i="26"/>
  <c r="G5862" i="26"/>
  <c r="G5863" i="26"/>
  <c r="G5864" i="26"/>
  <c r="G5865" i="26"/>
  <c r="G5866" i="26"/>
  <c r="G5867" i="26"/>
  <c r="G5868" i="26"/>
  <c r="G5869" i="26"/>
  <c r="G5870" i="26"/>
  <c r="G5871" i="26"/>
  <c r="G5872" i="26"/>
  <c r="G5873" i="26"/>
  <c r="G5874" i="26"/>
  <c r="G5875" i="26"/>
  <c r="G5876" i="26"/>
  <c r="G5877" i="26"/>
  <c r="G5878" i="26"/>
  <c r="G5879" i="26"/>
  <c r="G5880" i="26"/>
  <c r="G5881" i="26"/>
  <c r="G5882" i="26"/>
  <c r="G5883" i="26"/>
  <c r="G5884" i="26"/>
  <c r="G5885" i="26"/>
  <c r="G5886" i="26"/>
  <c r="G5887" i="26"/>
  <c r="G5888" i="26"/>
  <c r="G5889" i="26"/>
  <c r="G5890" i="26"/>
  <c r="G5891" i="26"/>
  <c r="G5892" i="26"/>
  <c r="G5893" i="26"/>
  <c r="G5894" i="26"/>
  <c r="G5895" i="26"/>
  <c r="G5896" i="26"/>
  <c r="G5897" i="26"/>
  <c r="G5898" i="26"/>
  <c r="G5899" i="26"/>
  <c r="G5900" i="26"/>
  <c r="G5901" i="26"/>
  <c r="G5902" i="26"/>
  <c r="G5903" i="26"/>
  <c r="G5904" i="26"/>
  <c r="G5905" i="26"/>
  <c r="G5906" i="26"/>
  <c r="G5907" i="26"/>
  <c r="G5908" i="26"/>
  <c r="G5909" i="26"/>
  <c r="G5910" i="26"/>
  <c r="G5911" i="26"/>
  <c r="G5912" i="26"/>
  <c r="G5913" i="26"/>
  <c r="G5914" i="26"/>
  <c r="G5915" i="26"/>
  <c r="G5916" i="26"/>
  <c r="G5917" i="26"/>
  <c r="G5918" i="26"/>
  <c r="G5919" i="26"/>
  <c r="G5920" i="26"/>
  <c r="G5921" i="26"/>
  <c r="G5922" i="26"/>
  <c r="G5923" i="26"/>
  <c r="G5924" i="26"/>
  <c r="G5925" i="26"/>
  <c r="G5926" i="26"/>
  <c r="G5927" i="26"/>
  <c r="G5928" i="26"/>
  <c r="G5929" i="26"/>
  <c r="G5930" i="26"/>
  <c r="G5931" i="26"/>
  <c r="G5932" i="26"/>
  <c r="G5933" i="26"/>
  <c r="G5934" i="26"/>
  <c r="G5935" i="26"/>
  <c r="G5936" i="26"/>
  <c r="G5937" i="26"/>
  <c r="G5938" i="26"/>
  <c r="G5939" i="26"/>
  <c r="G5940" i="26"/>
  <c r="G5941" i="26"/>
  <c r="G5942" i="26"/>
  <c r="G5943" i="26"/>
  <c r="G5944" i="26"/>
  <c r="G5945" i="26"/>
  <c r="G5946" i="26"/>
  <c r="G5947" i="26"/>
  <c r="G5948" i="26"/>
  <c r="G5949" i="26"/>
  <c r="G5950" i="26"/>
  <c r="G5951" i="26"/>
  <c r="G5952" i="26"/>
  <c r="G5953" i="26"/>
  <c r="G5954" i="26"/>
  <c r="G5955" i="26"/>
  <c r="G5956" i="26"/>
  <c r="G5957" i="26"/>
  <c r="G5958" i="26"/>
  <c r="G5959" i="26"/>
  <c r="G5960" i="26"/>
  <c r="G5961" i="26"/>
  <c r="G5962" i="26"/>
  <c r="G5963" i="26"/>
  <c r="G5964" i="26"/>
  <c r="G5965" i="26"/>
  <c r="G5966" i="26"/>
  <c r="G5967" i="26"/>
  <c r="G5968" i="26"/>
  <c r="G5969" i="26"/>
  <c r="G5970" i="26"/>
  <c r="G5971" i="26"/>
  <c r="G5972" i="26"/>
  <c r="G5973" i="26"/>
  <c r="G5974" i="26"/>
  <c r="G5975" i="26"/>
  <c r="G5976" i="26"/>
  <c r="G5977" i="26"/>
  <c r="G5978" i="26"/>
  <c r="G5979" i="26"/>
  <c r="G5980" i="26"/>
  <c r="G5981" i="26"/>
  <c r="G5982" i="26"/>
  <c r="G5983" i="26"/>
  <c r="G5984" i="26"/>
  <c r="G5985" i="26"/>
  <c r="G5986" i="26"/>
  <c r="G5987" i="26"/>
  <c r="G5988" i="26"/>
  <c r="G5989" i="26"/>
  <c r="G5990" i="26"/>
  <c r="G5991" i="26"/>
  <c r="G5992" i="26"/>
  <c r="G5993" i="26"/>
  <c r="G5994" i="26"/>
  <c r="G5995" i="26"/>
  <c r="G5996" i="26"/>
  <c r="G5997" i="26"/>
  <c r="G5998" i="26"/>
  <c r="G5999" i="26"/>
  <c r="G6000" i="26"/>
  <c r="G6001" i="26"/>
  <c r="G6002" i="26"/>
  <c r="G6003" i="26"/>
  <c r="G6004" i="26"/>
  <c r="G6005" i="26"/>
  <c r="G6006" i="26"/>
  <c r="G6007" i="26"/>
  <c r="G6008" i="26"/>
  <c r="G6009" i="26"/>
  <c r="G6010" i="26"/>
  <c r="G6011" i="26"/>
  <c r="G6012" i="26"/>
  <c r="G6013" i="26"/>
  <c r="G6014" i="26"/>
  <c r="G6015" i="26"/>
  <c r="G6016" i="26"/>
  <c r="G6017" i="26"/>
  <c r="G6018" i="26"/>
  <c r="G6019" i="26"/>
  <c r="G6020" i="26"/>
  <c r="G6021" i="26"/>
  <c r="G6022" i="26"/>
  <c r="G6023" i="26"/>
  <c r="G6024" i="26"/>
  <c r="G6025" i="26"/>
  <c r="G6026" i="26"/>
  <c r="G6027" i="26"/>
  <c r="G6028" i="26"/>
  <c r="G6029" i="26"/>
  <c r="G6030" i="26"/>
  <c r="G6031" i="26"/>
  <c r="G6032" i="26"/>
  <c r="G6033" i="26"/>
  <c r="G6034" i="26"/>
  <c r="G6035" i="26"/>
  <c r="G6036" i="26"/>
  <c r="G6037" i="26"/>
  <c r="G6038" i="26"/>
  <c r="G6039" i="26"/>
  <c r="G6040" i="26"/>
  <c r="G6041" i="26"/>
  <c r="G6042" i="26"/>
  <c r="G6043" i="26"/>
  <c r="G6044" i="26"/>
  <c r="G6045" i="26"/>
  <c r="G6046" i="26"/>
  <c r="G6047" i="26"/>
  <c r="G6048" i="26"/>
  <c r="G6049" i="26"/>
  <c r="G6050" i="26"/>
  <c r="G6051" i="26"/>
  <c r="G6052" i="26"/>
  <c r="G6053" i="26"/>
  <c r="G6054" i="26"/>
  <c r="G6055" i="26"/>
  <c r="G6056" i="26"/>
  <c r="G6057" i="26"/>
  <c r="G6058" i="26"/>
  <c r="G6059" i="26"/>
  <c r="G6060" i="26"/>
  <c r="G6061" i="26"/>
  <c r="G6062" i="26"/>
  <c r="G6063" i="26"/>
  <c r="G6064" i="26"/>
  <c r="G6065" i="26"/>
  <c r="G6066" i="26"/>
  <c r="G6067" i="26"/>
  <c r="G6068" i="26"/>
  <c r="G6069" i="26"/>
  <c r="G6070" i="26"/>
  <c r="G6071" i="26"/>
  <c r="G6072" i="26"/>
  <c r="G6073" i="26"/>
  <c r="G6074" i="26"/>
  <c r="G6075" i="26"/>
  <c r="G6076" i="26"/>
  <c r="G6077" i="26"/>
  <c r="G6078" i="26"/>
  <c r="G6079" i="26"/>
  <c r="G6080" i="26"/>
  <c r="G6081" i="26"/>
  <c r="G6082" i="26"/>
  <c r="G6083" i="26"/>
  <c r="G6084" i="26"/>
  <c r="G6085" i="26"/>
  <c r="G6086" i="26"/>
  <c r="G6087" i="26"/>
  <c r="G6088" i="26"/>
  <c r="G6089" i="26"/>
  <c r="G6090" i="26"/>
  <c r="G6091" i="26"/>
  <c r="G6092" i="26"/>
  <c r="G6093" i="26"/>
  <c r="G6094" i="26"/>
  <c r="G6095" i="26"/>
  <c r="G6096" i="26"/>
  <c r="G6097" i="26"/>
  <c r="G6098" i="26"/>
  <c r="G6099" i="26"/>
  <c r="G6100" i="26"/>
  <c r="G6101" i="26"/>
  <c r="G6102" i="26"/>
  <c r="G6103" i="26"/>
  <c r="G6104" i="26"/>
  <c r="G6105" i="26"/>
  <c r="G6106" i="26"/>
  <c r="G6107" i="26"/>
  <c r="G6108" i="26"/>
  <c r="G6109" i="26"/>
  <c r="G6110" i="26"/>
  <c r="G6111" i="26"/>
  <c r="G6112" i="26"/>
  <c r="G6113" i="26"/>
  <c r="G6114" i="26"/>
  <c r="G6115" i="26"/>
  <c r="G6116" i="26"/>
  <c r="G6117" i="26"/>
  <c r="G6118" i="26"/>
  <c r="G6119" i="26"/>
  <c r="G6120" i="26"/>
  <c r="G6121" i="26"/>
  <c r="G6122" i="26"/>
  <c r="G6123" i="26"/>
  <c r="G6124" i="26"/>
  <c r="G6125" i="26"/>
  <c r="G6126" i="26"/>
  <c r="G6127" i="26"/>
  <c r="G6128" i="26"/>
  <c r="G6129" i="26"/>
  <c r="G6130" i="26"/>
  <c r="G6131" i="26"/>
  <c r="G6132" i="26"/>
  <c r="G6133" i="26"/>
  <c r="G6134" i="26"/>
  <c r="G6135" i="26"/>
  <c r="G6136" i="26"/>
  <c r="G6137" i="26"/>
  <c r="G6138" i="26"/>
  <c r="G6139" i="26"/>
  <c r="G6140" i="26"/>
  <c r="G6141" i="26"/>
  <c r="G6142" i="26"/>
  <c r="G6143" i="26"/>
  <c r="G6144" i="26"/>
  <c r="G6145" i="26"/>
  <c r="G6146" i="26"/>
  <c r="G6147" i="26"/>
  <c r="G6148" i="26"/>
  <c r="G6149" i="26"/>
  <c r="G6150" i="26"/>
  <c r="G6151" i="26"/>
  <c r="G6152" i="26"/>
  <c r="G6153" i="26"/>
  <c r="G6154" i="26"/>
  <c r="G6155" i="26"/>
  <c r="G6156" i="26"/>
  <c r="G6157" i="26"/>
  <c r="G6158" i="26"/>
  <c r="G6159" i="26"/>
  <c r="G6160" i="26"/>
  <c r="G6161" i="26"/>
  <c r="G6162" i="26"/>
  <c r="G6163" i="26"/>
  <c r="G6164" i="26"/>
  <c r="G6165" i="26"/>
  <c r="G6166" i="26"/>
  <c r="G6167" i="26"/>
  <c r="G6168" i="26"/>
  <c r="G6169" i="26"/>
  <c r="G6170" i="26"/>
  <c r="G6171" i="26"/>
  <c r="G6172" i="26"/>
  <c r="G6173" i="26"/>
  <c r="G6174" i="26"/>
  <c r="G6175" i="26"/>
  <c r="G6176" i="26"/>
  <c r="G6177" i="26"/>
  <c r="G6178" i="26"/>
  <c r="G6179" i="26"/>
  <c r="G6180" i="26"/>
  <c r="G6181" i="26"/>
  <c r="G6182" i="26"/>
  <c r="G6183" i="26"/>
  <c r="G6184" i="26"/>
  <c r="G6185" i="26"/>
  <c r="G6186" i="26"/>
  <c r="G6187" i="26"/>
  <c r="G6188" i="26"/>
  <c r="G6189" i="26"/>
  <c r="G6190" i="26"/>
  <c r="G6191" i="26"/>
  <c r="G6192" i="26"/>
  <c r="G6193" i="26"/>
  <c r="G6194" i="26"/>
  <c r="G6195" i="26"/>
  <c r="G6196" i="26"/>
  <c r="G6197" i="26"/>
  <c r="G6198" i="26"/>
  <c r="G6199" i="26"/>
  <c r="G6200" i="26"/>
  <c r="G6201" i="26"/>
  <c r="G6202" i="26"/>
  <c r="G6203" i="26"/>
  <c r="G6204" i="26"/>
  <c r="G6205" i="26"/>
  <c r="G6206" i="26"/>
  <c r="G6207" i="26"/>
  <c r="G6208" i="26"/>
  <c r="G6209" i="26"/>
  <c r="G6210" i="26"/>
  <c r="G6211" i="26"/>
  <c r="G6212" i="26"/>
  <c r="G6213" i="26"/>
  <c r="G6214" i="26"/>
  <c r="G6215" i="26"/>
  <c r="G6216" i="26"/>
  <c r="G6217" i="26"/>
  <c r="G6218" i="26"/>
  <c r="G6219" i="26"/>
  <c r="G6220" i="26"/>
  <c r="G6221" i="26"/>
  <c r="G6222" i="26"/>
  <c r="G6223" i="26"/>
  <c r="G6224" i="26"/>
  <c r="G6225" i="26"/>
  <c r="G6226" i="26"/>
  <c r="G6227" i="26"/>
  <c r="G6228" i="26"/>
  <c r="G6229" i="26"/>
  <c r="G6230" i="26"/>
  <c r="G6231" i="26"/>
  <c r="G6232" i="26"/>
  <c r="G6233" i="26"/>
  <c r="G6234" i="26"/>
  <c r="G6235" i="26"/>
  <c r="G6236" i="26"/>
  <c r="G6237" i="26"/>
  <c r="G6238" i="26"/>
  <c r="G6239" i="26"/>
  <c r="G6240" i="26"/>
  <c r="G6241" i="26"/>
  <c r="G6242" i="26"/>
  <c r="G6243" i="26"/>
  <c r="G6244" i="26"/>
  <c r="G6245" i="26"/>
  <c r="G6246" i="26"/>
  <c r="G6247" i="26"/>
  <c r="G6248" i="26"/>
  <c r="G6249" i="26"/>
  <c r="G6250" i="26"/>
  <c r="G6251" i="26"/>
  <c r="G6252" i="26"/>
  <c r="G6253" i="26"/>
  <c r="G6254" i="26"/>
  <c r="G6255" i="26"/>
  <c r="G6256" i="26"/>
  <c r="G6257" i="26"/>
  <c r="G6258" i="26"/>
  <c r="G6259" i="26"/>
  <c r="G6260" i="26"/>
  <c r="G6261" i="26"/>
  <c r="G6262" i="26"/>
  <c r="G6263" i="26"/>
  <c r="G6264" i="26"/>
  <c r="G6265" i="26"/>
  <c r="G6266" i="26"/>
  <c r="G6267" i="26"/>
  <c r="G6268" i="26"/>
  <c r="G6269" i="26"/>
  <c r="G6270" i="26"/>
  <c r="G6271" i="26"/>
  <c r="G6272" i="26"/>
  <c r="G6273" i="26"/>
  <c r="G6274" i="26"/>
  <c r="G6275" i="26"/>
  <c r="G6276" i="26"/>
  <c r="G6277" i="26"/>
  <c r="G6278" i="26"/>
  <c r="G6279" i="26"/>
  <c r="G6280" i="26"/>
  <c r="G6281" i="26"/>
  <c r="G6282" i="26"/>
  <c r="G6283" i="26"/>
  <c r="G6284" i="26"/>
  <c r="G6285" i="26"/>
  <c r="G6286" i="26"/>
  <c r="G6287" i="26"/>
  <c r="G6288" i="26"/>
  <c r="G6289" i="26"/>
  <c r="G6290" i="26"/>
  <c r="G6291" i="26"/>
  <c r="G6292" i="26"/>
  <c r="G6293" i="26"/>
  <c r="G6294" i="26"/>
  <c r="G6295" i="26"/>
  <c r="G6296" i="26"/>
  <c r="G6297" i="26"/>
  <c r="G6298" i="26"/>
  <c r="G6299" i="26"/>
  <c r="G6300" i="26"/>
  <c r="G6301" i="26"/>
  <c r="G6302" i="26"/>
  <c r="G6303" i="26"/>
  <c r="G6304" i="26"/>
  <c r="G6305" i="26"/>
  <c r="G6306" i="26"/>
  <c r="G6307" i="26"/>
  <c r="G6308" i="26"/>
  <c r="G6309" i="26"/>
  <c r="G6310" i="26"/>
  <c r="G6311" i="26"/>
  <c r="G6312" i="26"/>
  <c r="G6313" i="26"/>
  <c r="G6314" i="26"/>
  <c r="G6315" i="26"/>
  <c r="G6316" i="26"/>
  <c r="G6317" i="26"/>
  <c r="G6318" i="26"/>
  <c r="G6319" i="26"/>
  <c r="G6320" i="26"/>
  <c r="G6321" i="26"/>
  <c r="G6322" i="26"/>
  <c r="G6323" i="26"/>
  <c r="G6324" i="26"/>
  <c r="G6325" i="26"/>
  <c r="G6326" i="26"/>
  <c r="G6327" i="26"/>
  <c r="G6328" i="26"/>
  <c r="G6329" i="26"/>
  <c r="G6330" i="26"/>
  <c r="G6331" i="26"/>
  <c r="G6332" i="26"/>
  <c r="G6333" i="26"/>
  <c r="G6334" i="26"/>
  <c r="G6335" i="26"/>
  <c r="G6336" i="26"/>
  <c r="G6337" i="26"/>
  <c r="G6338" i="26"/>
  <c r="G6339" i="26"/>
  <c r="G6340" i="26"/>
  <c r="G6341" i="26"/>
  <c r="G6342" i="26"/>
  <c r="G6343" i="26"/>
  <c r="G6344" i="26"/>
  <c r="G6345" i="26"/>
  <c r="G6346" i="26"/>
  <c r="G6347" i="26"/>
  <c r="G6348" i="26"/>
  <c r="G6349" i="26"/>
  <c r="G6350" i="26"/>
  <c r="G6351" i="26"/>
  <c r="G6352" i="26"/>
  <c r="G6353" i="26"/>
  <c r="G6354" i="26"/>
  <c r="G6355" i="26"/>
  <c r="G6356" i="26"/>
  <c r="G6357" i="26"/>
  <c r="G6358" i="26"/>
  <c r="G6359" i="26"/>
  <c r="G6360" i="26"/>
  <c r="G6361" i="26"/>
  <c r="G6362" i="26"/>
  <c r="G6363" i="26"/>
  <c r="G6364" i="26"/>
  <c r="G6365" i="26"/>
  <c r="G6366" i="26"/>
  <c r="G6367" i="26"/>
  <c r="G6368" i="26"/>
  <c r="G6369" i="26"/>
  <c r="G6370" i="26"/>
  <c r="G6371" i="26"/>
  <c r="G6372" i="26"/>
  <c r="G6373" i="26"/>
  <c r="G6374" i="26"/>
  <c r="G6375" i="26"/>
  <c r="G6376" i="26"/>
  <c r="G6377" i="26"/>
  <c r="G6378" i="26"/>
  <c r="G6379" i="26"/>
  <c r="G6380" i="26"/>
  <c r="G6381" i="26"/>
  <c r="G6382" i="26"/>
  <c r="G6383" i="26"/>
  <c r="G6384" i="26"/>
  <c r="G6385" i="26"/>
  <c r="G6386" i="26"/>
  <c r="G6387" i="26"/>
  <c r="G6388" i="26"/>
  <c r="G6389" i="26"/>
  <c r="G6390" i="26"/>
  <c r="G6391" i="26"/>
  <c r="G6392" i="26"/>
  <c r="G6393" i="26"/>
  <c r="G6394" i="26"/>
  <c r="G6395" i="26"/>
  <c r="G6396" i="26"/>
  <c r="G6397" i="26"/>
  <c r="G6398" i="26"/>
  <c r="G6399" i="26"/>
  <c r="G6400" i="26"/>
  <c r="G6401" i="26"/>
  <c r="G6402" i="26"/>
  <c r="G6403" i="26"/>
  <c r="G6404" i="26"/>
  <c r="G6405" i="26"/>
  <c r="G6406" i="26"/>
  <c r="G6407" i="26"/>
  <c r="G6408" i="26"/>
  <c r="G6409" i="26"/>
  <c r="G6410" i="26"/>
  <c r="G6411" i="26"/>
  <c r="G6412" i="26"/>
  <c r="G6413" i="26"/>
  <c r="G6414" i="26"/>
  <c r="G6415" i="26"/>
  <c r="G6416" i="26"/>
  <c r="G6417" i="26"/>
  <c r="G6418" i="26"/>
  <c r="G6419" i="26"/>
  <c r="G6420" i="26"/>
  <c r="G6421" i="26"/>
  <c r="G6422" i="26"/>
  <c r="G6423" i="26"/>
  <c r="G6424" i="26"/>
  <c r="G6425" i="26"/>
  <c r="G6426" i="26"/>
  <c r="G6427" i="26"/>
  <c r="G6428" i="26"/>
  <c r="G6429" i="26"/>
  <c r="G6430" i="26"/>
  <c r="G6431" i="26"/>
  <c r="G6432" i="26"/>
  <c r="G6433" i="26"/>
  <c r="G6434" i="26"/>
  <c r="G6435" i="26"/>
  <c r="G6436" i="26"/>
  <c r="G6437" i="26"/>
  <c r="G6438" i="26"/>
  <c r="G6439" i="26"/>
  <c r="G6440" i="26"/>
  <c r="G6441" i="26"/>
  <c r="G6442" i="26"/>
  <c r="G6443" i="26"/>
  <c r="G6444" i="26"/>
  <c r="G6445" i="26"/>
  <c r="G6446" i="26"/>
  <c r="G6447" i="26"/>
  <c r="G6448" i="26"/>
  <c r="G6449" i="26"/>
  <c r="G6450" i="26"/>
  <c r="G6451" i="26"/>
  <c r="G6452" i="26"/>
  <c r="G6453" i="26"/>
  <c r="G6454" i="26"/>
  <c r="G6455" i="26"/>
  <c r="G6456" i="26"/>
  <c r="G6457" i="26"/>
  <c r="G6458" i="26"/>
  <c r="G6459" i="26"/>
  <c r="G6460" i="26"/>
  <c r="G6461" i="26"/>
  <c r="G6462" i="26"/>
  <c r="G6463" i="26"/>
  <c r="G6464" i="26"/>
  <c r="G6465" i="26"/>
  <c r="G6466" i="26"/>
  <c r="G6467" i="26"/>
  <c r="G6468" i="26"/>
  <c r="G6469" i="26"/>
  <c r="G6470" i="26"/>
  <c r="G6471" i="26"/>
  <c r="G6472" i="26"/>
  <c r="G6473" i="26"/>
  <c r="G6474" i="26"/>
  <c r="G6475" i="26"/>
  <c r="G6476" i="26"/>
  <c r="G6477" i="26"/>
  <c r="G6478" i="26"/>
  <c r="G6479" i="26"/>
  <c r="G6480" i="26"/>
  <c r="G6481" i="26"/>
  <c r="G6482" i="26"/>
  <c r="G6483" i="26"/>
  <c r="G6484" i="26"/>
  <c r="G6485" i="26"/>
  <c r="G6486" i="26"/>
  <c r="G6487" i="26"/>
  <c r="G6488" i="26"/>
  <c r="G6489" i="26"/>
  <c r="G6490" i="26"/>
  <c r="G6491" i="26"/>
  <c r="G6492" i="26"/>
  <c r="G6493" i="26"/>
  <c r="G6494" i="26"/>
  <c r="G6495" i="26"/>
  <c r="G6496" i="26"/>
  <c r="G6497" i="26"/>
  <c r="G6498" i="26"/>
  <c r="G6499" i="26"/>
  <c r="G6500" i="26"/>
  <c r="G6501" i="26"/>
  <c r="G6502" i="26"/>
  <c r="G6503" i="26"/>
  <c r="G6504" i="26"/>
  <c r="G6505" i="26"/>
  <c r="G6506" i="26"/>
  <c r="G6507" i="26"/>
  <c r="G6508" i="26"/>
  <c r="G6509" i="26"/>
  <c r="G6510" i="26"/>
  <c r="G6511" i="26"/>
  <c r="G6512" i="26"/>
  <c r="G6513" i="26"/>
  <c r="G6514" i="26"/>
  <c r="G6515" i="26"/>
  <c r="G6516" i="26"/>
  <c r="G6517" i="26"/>
  <c r="G6518" i="26"/>
  <c r="G6519" i="26"/>
  <c r="G6520" i="26"/>
  <c r="G6521" i="26"/>
  <c r="G6522" i="26"/>
  <c r="G6523" i="26"/>
  <c r="G6524" i="26"/>
  <c r="G6525" i="26"/>
  <c r="G6526" i="26"/>
  <c r="G6527" i="26"/>
  <c r="G6528" i="26"/>
  <c r="G6529" i="26"/>
  <c r="G6530" i="26"/>
  <c r="G6531" i="26"/>
  <c r="G6532" i="26"/>
  <c r="G6533" i="26"/>
  <c r="G6534" i="26"/>
  <c r="G6535" i="26"/>
  <c r="G6536" i="26"/>
  <c r="G6537" i="26"/>
  <c r="G6538" i="26"/>
  <c r="G6539" i="26"/>
  <c r="G6540" i="26"/>
  <c r="G6541" i="26"/>
  <c r="G6542" i="26"/>
  <c r="G6543" i="26"/>
  <c r="G6544" i="26"/>
  <c r="G6545" i="26"/>
  <c r="G6546" i="26"/>
  <c r="G6547" i="26"/>
  <c r="G6548" i="26"/>
  <c r="G6549" i="26"/>
  <c r="G6550" i="26"/>
  <c r="G6551" i="26"/>
  <c r="G6552" i="26"/>
  <c r="G6553" i="26"/>
  <c r="G6554" i="26"/>
  <c r="G6555" i="26"/>
  <c r="G6556" i="26"/>
  <c r="G6557" i="26"/>
  <c r="G6558" i="26"/>
  <c r="G6559" i="26"/>
  <c r="G6560" i="26"/>
  <c r="G6561" i="26"/>
  <c r="G6562" i="26"/>
  <c r="G6563" i="26"/>
  <c r="G6564" i="26"/>
  <c r="G6565" i="26"/>
  <c r="G6566" i="26"/>
  <c r="G6567" i="26"/>
  <c r="G6568" i="26"/>
  <c r="G6569" i="26"/>
  <c r="G6570" i="26"/>
  <c r="G6571" i="26"/>
  <c r="G6572" i="26"/>
  <c r="G6573" i="26"/>
  <c r="G6574" i="26"/>
  <c r="G6575" i="26"/>
  <c r="G6576" i="26"/>
  <c r="G6577" i="26"/>
  <c r="G6578" i="26"/>
  <c r="G6579" i="26"/>
  <c r="G6580" i="26"/>
  <c r="G6581" i="26"/>
  <c r="G6582" i="26"/>
  <c r="G6583" i="26"/>
  <c r="G6584" i="26"/>
  <c r="G6585" i="26"/>
  <c r="G6586" i="26"/>
  <c r="G6587" i="26"/>
  <c r="G6588" i="26"/>
  <c r="G6589" i="26"/>
  <c r="G6590" i="26"/>
  <c r="G6591" i="26"/>
  <c r="G6592" i="26"/>
  <c r="G6593" i="26"/>
  <c r="G6594" i="26"/>
  <c r="G6595" i="26"/>
  <c r="G6596" i="26"/>
  <c r="G6597" i="26"/>
  <c r="G6598" i="26"/>
  <c r="G6599" i="26"/>
  <c r="G6600" i="26"/>
  <c r="G6601" i="26"/>
  <c r="G6602" i="26"/>
  <c r="G6603" i="26"/>
  <c r="G6604" i="26"/>
  <c r="G6605" i="26"/>
  <c r="G6606" i="26"/>
  <c r="G6607" i="26"/>
  <c r="G6608" i="26"/>
  <c r="G6609" i="26"/>
  <c r="G6610" i="26"/>
  <c r="G6611" i="26"/>
  <c r="G6612" i="26"/>
  <c r="G6613" i="26"/>
  <c r="G6614" i="26"/>
  <c r="G6615" i="26"/>
  <c r="G6616" i="26"/>
  <c r="G6617" i="26"/>
  <c r="G6618" i="26"/>
  <c r="G6619" i="26"/>
  <c r="G6620" i="26"/>
  <c r="G6621" i="26"/>
  <c r="G6622" i="26"/>
  <c r="G6623" i="26"/>
  <c r="G6624" i="26"/>
  <c r="G6625" i="26"/>
  <c r="G6626" i="26"/>
  <c r="G6627" i="26"/>
  <c r="G6628" i="26"/>
  <c r="G6629" i="26"/>
  <c r="G6630" i="26"/>
  <c r="G6631" i="26"/>
  <c r="G6632" i="26"/>
  <c r="G6633" i="26"/>
  <c r="G6634" i="26"/>
  <c r="G6635" i="26"/>
  <c r="G6636" i="26"/>
  <c r="G6637" i="26"/>
  <c r="G6638" i="26"/>
  <c r="G6639" i="26"/>
  <c r="G6640" i="26"/>
  <c r="G6641" i="26"/>
  <c r="G6642" i="26"/>
  <c r="G6643" i="26"/>
  <c r="G6644" i="26"/>
  <c r="G6645" i="26"/>
  <c r="G6646" i="26"/>
  <c r="G6647" i="26"/>
  <c r="G6648" i="26"/>
  <c r="G6649" i="26"/>
  <c r="G6650" i="26"/>
  <c r="G6651" i="26"/>
  <c r="G6652" i="26"/>
  <c r="G6653" i="26"/>
  <c r="G6654" i="26"/>
  <c r="G6655" i="26"/>
  <c r="G6656" i="26"/>
  <c r="G6657" i="26"/>
  <c r="G6658" i="26"/>
  <c r="G6659" i="26"/>
  <c r="G6660" i="26"/>
  <c r="G6661" i="26"/>
  <c r="G6662" i="26"/>
  <c r="G6663" i="26"/>
  <c r="G6664" i="26"/>
  <c r="G6665" i="26"/>
  <c r="G6666" i="26"/>
  <c r="G6667" i="26"/>
  <c r="G6668" i="26"/>
  <c r="G6669" i="26"/>
  <c r="G6670" i="26"/>
  <c r="G6671" i="26"/>
  <c r="G6672" i="26"/>
  <c r="G6673" i="26"/>
  <c r="G6674" i="26"/>
  <c r="G6675" i="26"/>
  <c r="G6676" i="26"/>
  <c r="G6677" i="26"/>
  <c r="G6678" i="26"/>
  <c r="G6679" i="26"/>
  <c r="G6680" i="26"/>
  <c r="G6681" i="26"/>
  <c r="G6682" i="26"/>
  <c r="G6683" i="26"/>
  <c r="G6684" i="26"/>
  <c r="G6685" i="26"/>
  <c r="G6686" i="26"/>
  <c r="G6687" i="26"/>
  <c r="G6688" i="26"/>
  <c r="G6689" i="26"/>
  <c r="G6690" i="26"/>
  <c r="G6691" i="26"/>
  <c r="G6692" i="26"/>
  <c r="G6693" i="26"/>
  <c r="G6694" i="26"/>
  <c r="G6695" i="26"/>
  <c r="G6696" i="26"/>
  <c r="G6697" i="26"/>
  <c r="G6698" i="26"/>
  <c r="G6699" i="26"/>
  <c r="G6700" i="26"/>
  <c r="G6701" i="26"/>
  <c r="G6702" i="26"/>
  <c r="G6703" i="26"/>
  <c r="G6704" i="26"/>
  <c r="G6705" i="26"/>
  <c r="G6706" i="26"/>
  <c r="G6707" i="26"/>
  <c r="G6708" i="26"/>
  <c r="G6709" i="26"/>
  <c r="G6710" i="26"/>
  <c r="G6711" i="26"/>
  <c r="G6712" i="26"/>
  <c r="G6713" i="26"/>
  <c r="G6714" i="26"/>
  <c r="G6715" i="26"/>
  <c r="G6716" i="26"/>
  <c r="G6717" i="26"/>
  <c r="G6718" i="26"/>
  <c r="G6719" i="26"/>
  <c r="G6720" i="26"/>
  <c r="G6721" i="26"/>
  <c r="G6722" i="26"/>
  <c r="G6723" i="26"/>
  <c r="G6724" i="26"/>
  <c r="G6725" i="26"/>
  <c r="G6726" i="26"/>
  <c r="G6727" i="26"/>
  <c r="G6728" i="26"/>
  <c r="G6729" i="26"/>
  <c r="G6730" i="26"/>
  <c r="G6731" i="26"/>
  <c r="G6732" i="26"/>
  <c r="G6733" i="26"/>
  <c r="G6734" i="26"/>
  <c r="G6735" i="26"/>
  <c r="G6736" i="26"/>
  <c r="G6737" i="26"/>
  <c r="G6738" i="26"/>
  <c r="G6739" i="26"/>
  <c r="G6740" i="26"/>
  <c r="G6741" i="26"/>
  <c r="G6742" i="26"/>
  <c r="G6743" i="26"/>
  <c r="G6744" i="26"/>
  <c r="G6745" i="26"/>
  <c r="G6746" i="26"/>
  <c r="G6747" i="26"/>
  <c r="G6748" i="26"/>
  <c r="G6749" i="26"/>
  <c r="G6750" i="26"/>
  <c r="G6751" i="26"/>
  <c r="G6752" i="26"/>
  <c r="G6753" i="26"/>
  <c r="G6754" i="26"/>
  <c r="G6755" i="26"/>
  <c r="G6756" i="26"/>
  <c r="G6757" i="26"/>
  <c r="G6758" i="26"/>
  <c r="G6759" i="26"/>
  <c r="G6760" i="26"/>
  <c r="G6761" i="26"/>
  <c r="G6762" i="26"/>
  <c r="G6763" i="26"/>
  <c r="G6764" i="26"/>
  <c r="G6765" i="26"/>
  <c r="G6766" i="26"/>
  <c r="G6767" i="26"/>
  <c r="G6768" i="26"/>
  <c r="G6769" i="26"/>
  <c r="G6770" i="26"/>
  <c r="G6771" i="26"/>
  <c r="G6772" i="26"/>
  <c r="G6773" i="26"/>
  <c r="G6774" i="26"/>
  <c r="G6775" i="26"/>
  <c r="G6776" i="26"/>
  <c r="G6777" i="26"/>
  <c r="G6778" i="26"/>
  <c r="G6779" i="26"/>
  <c r="G6780" i="26"/>
  <c r="G6781" i="26"/>
  <c r="G6782" i="26"/>
  <c r="G6783" i="26"/>
  <c r="G6784" i="26"/>
  <c r="G6785" i="26"/>
  <c r="C1009" i="26"/>
  <c r="C1010" i="26"/>
  <c r="C1011" i="26"/>
  <c r="C1012" i="26"/>
  <c r="C1013" i="26"/>
  <c r="D1013" i="26" s="1"/>
  <c r="C1014" i="26"/>
  <c r="C1015" i="26"/>
  <c r="C1016" i="26"/>
  <c r="C1017" i="26"/>
  <c r="C1018" i="26"/>
  <c r="C1019" i="26"/>
  <c r="D1019" i="26" s="1"/>
  <c r="C1020" i="26"/>
  <c r="C1021" i="26"/>
  <c r="C1022" i="26"/>
  <c r="C1023" i="26"/>
  <c r="C1024" i="26"/>
  <c r="C1025" i="26"/>
  <c r="C1026" i="26"/>
  <c r="C1027" i="26"/>
  <c r="C1028" i="26"/>
  <c r="C1029" i="26"/>
  <c r="C1030" i="26"/>
  <c r="C1031" i="26"/>
  <c r="C1032" i="26"/>
  <c r="C1033" i="26"/>
  <c r="C1034" i="26"/>
  <c r="C1035" i="26"/>
  <c r="C1036" i="26"/>
  <c r="C1037" i="26"/>
  <c r="C1038" i="26"/>
  <c r="C1039" i="26"/>
  <c r="C1040" i="26"/>
  <c r="C1041" i="26"/>
  <c r="C1042" i="26"/>
  <c r="C1043" i="26"/>
  <c r="C1044" i="26"/>
  <c r="C1045" i="26"/>
  <c r="C1046" i="26"/>
  <c r="C1047" i="26"/>
  <c r="C1048" i="26"/>
  <c r="C1049" i="26"/>
  <c r="C1050" i="26"/>
  <c r="C1051" i="26"/>
  <c r="C1052" i="26"/>
  <c r="C1053" i="26"/>
  <c r="C1054" i="26"/>
  <c r="C1055" i="26"/>
  <c r="C1056" i="26"/>
  <c r="D1056" i="26" s="1"/>
  <c r="C1057" i="26"/>
  <c r="C1058" i="26"/>
  <c r="C1059" i="26"/>
  <c r="C1060" i="26"/>
  <c r="C1061" i="26"/>
  <c r="D1061" i="26" s="1"/>
  <c r="C1062" i="26"/>
  <c r="C1063" i="26"/>
  <c r="C1064" i="26"/>
  <c r="C1065" i="26"/>
  <c r="C1066" i="26"/>
  <c r="C1067" i="26"/>
  <c r="C1068" i="26"/>
  <c r="C1069" i="26"/>
  <c r="C1070" i="26"/>
  <c r="C1071" i="26"/>
  <c r="C1072" i="26"/>
  <c r="C1073" i="26"/>
  <c r="C1074" i="26"/>
  <c r="C1075" i="26"/>
  <c r="C1076" i="26"/>
  <c r="C1077" i="26"/>
  <c r="C1078" i="26"/>
  <c r="C1079" i="26"/>
  <c r="C1080" i="26"/>
  <c r="C1081" i="26"/>
  <c r="C1082" i="26"/>
  <c r="C1083" i="26"/>
  <c r="C1084" i="26"/>
  <c r="C1085" i="26"/>
  <c r="C1086" i="26"/>
  <c r="C1087" i="26"/>
  <c r="C1088" i="26"/>
  <c r="C1089" i="26"/>
  <c r="C1090" i="26"/>
  <c r="C1091" i="26"/>
  <c r="C1092" i="26"/>
  <c r="C1093" i="26"/>
  <c r="C1094" i="26"/>
  <c r="C1095" i="26"/>
  <c r="C1096" i="26"/>
  <c r="C1097" i="26"/>
  <c r="C1098" i="26"/>
  <c r="C1099" i="26"/>
  <c r="C1100" i="26"/>
  <c r="C1101" i="26"/>
  <c r="C1102" i="26"/>
  <c r="C1103" i="26"/>
  <c r="C1104" i="26"/>
  <c r="C1105" i="26"/>
  <c r="C1106" i="26"/>
  <c r="C1107" i="26"/>
  <c r="C1108" i="26"/>
  <c r="C1109" i="26"/>
  <c r="C1110" i="26"/>
  <c r="C1111" i="26"/>
  <c r="C1112" i="26"/>
  <c r="C1113" i="26"/>
  <c r="C1114" i="26"/>
  <c r="C1115" i="26"/>
  <c r="C1116" i="26"/>
  <c r="C1117" i="26"/>
  <c r="C1118" i="26"/>
  <c r="C1119" i="26"/>
  <c r="C1120" i="26"/>
  <c r="C1121" i="26"/>
  <c r="C1122" i="26"/>
  <c r="C1123" i="26"/>
  <c r="C1124" i="26"/>
  <c r="C1125" i="26"/>
  <c r="C1126" i="26"/>
  <c r="C1127" i="26"/>
  <c r="D1127" i="26" s="1"/>
  <c r="C1128" i="26"/>
  <c r="C1129" i="26"/>
  <c r="C1130" i="26"/>
  <c r="C1131" i="26"/>
  <c r="C1132" i="26"/>
  <c r="C1133" i="26"/>
  <c r="C1134" i="26"/>
  <c r="C1135" i="26"/>
  <c r="C1136" i="26"/>
  <c r="C1137" i="26"/>
  <c r="C1138" i="26"/>
  <c r="C1139" i="26"/>
  <c r="C1140" i="26"/>
  <c r="C1141" i="26"/>
  <c r="C1142" i="26"/>
  <c r="C1143" i="26"/>
  <c r="C1144" i="26"/>
  <c r="C1145" i="26"/>
  <c r="C1146" i="26"/>
  <c r="C1147" i="26"/>
  <c r="C1148" i="26"/>
  <c r="C1149" i="26"/>
  <c r="C1150" i="26"/>
  <c r="C1151" i="26"/>
  <c r="C1152" i="26"/>
  <c r="C1153" i="26"/>
  <c r="C1154" i="26"/>
  <c r="C1155" i="26"/>
  <c r="D1155" i="26" s="1"/>
  <c r="C1156" i="26"/>
  <c r="C1157" i="26"/>
  <c r="C1158" i="26"/>
  <c r="C1159" i="26"/>
  <c r="D1159" i="26" s="1"/>
  <c r="C1160" i="26"/>
  <c r="C1161" i="26"/>
  <c r="C1162" i="26"/>
  <c r="C1163" i="26"/>
  <c r="C1164" i="26"/>
  <c r="C1165" i="26"/>
  <c r="C1166" i="26"/>
  <c r="C1167" i="26"/>
  <c r="C1168" i="26"/>
  <c r="C1169" i="26"/>
  <c r="C1170" i="26"/>
  <c r="C1171" i="26"/>
  <c r="C1172" i="26"/>
  <c r="C1173" i="26"/>
  <c r="C1174" i="26"/>
  <c r="C1175" i="26"/>
  <c r="C1176" i="26"/>
  <c r="C1177" i="26"/>
  <c r="D1177" i="26" s="1"/>
  <c r="C1178" i="26"/>
  <c r="C1179" i="26"/>
  <c r="C1180" i="26"/>
  <c r="C1181" i="26"/>
  <c r="C1182" i="26"/>
  <c r="C1183" i="26"/>
  <c r="C1184" i="26"/>
  <c r="C1185" i="26"/>
  <c r="C1186" i="26"/>
  <c r="C1187" i="26"/>
  <c r="C1188" i="26"/>
  <c r="C1189" i="26"/>
  <c r="C1190" i="26"/>
  <c r="C1191" i="26"/>
  <c r="C1192" i="26"/>
  <c r="C1193" i="26"/>
  <c r="C1194" i="26"/>
  <c r="C1195" i="26"/>
  <c r="C1196" i="26"/>
  <c r="C1197" i="26"/>
  <c r="C1198" i="26"/>
  <c r="C1199" i="26"/>
  <c r="C1200" i="26"/>
  <c r="C1201" i="26"/>
  <c r="C1202" i="26"/>
  <c r="C1203" i="26"/>
  <c r="C1204" i="26"/>
  <c r="C1205" i="26"/>
  <c r="C1206" i="26"/>
  <c r="C1207" i="26"/>
  <c r="C1208" i="26"/>
  <c r="C1209" i="26"/>
  <c r="C1210" i="26"/>
  <c r="C1211" i="26"/>
  <c r="C1212" i="26"/>
  <c r="C1213" i="26"/>
  <c r="C1214" i="26"/>
  <c r="C1215" i="26"/>
  <c r="C1216" i="26"/>
  <c r="C1217" i="26"/>
  <c r="C1218" i="26"/>
  <c r="C1219" i="26"/>
  <c r="C1220" i="26"/>
  <c r="C1221" i="26"/>
  <c r="C1222" i="26"/>
  <c r="C1223" i="26"/>
  <c r="C1224" i="26"/>
  <c r="C1225" i="26"/>
  <c r="C1226" i="26"/>
  <c r="C1227" i="26"/>
  <c r="C1228" i="26"/>
  <c r="C1229" i="26"/>
  <c r="C1230" i="26"/>
  <c r="C1231" i="26"/>
  <c r="C1232" i="26"/>
  <c r="C1233" i="26"/>
  <c r="C1234" i="26"/>
  <c r="C1235" i="26"/>
  <c r="C1236" i="26"/>
  <c r="C1237" i="26"/>
  <c r="C1238" i="26"/>
  <c r="C1239" i="26"/>
  <c r="C1240" i="26"/>
  <c r="C1241" i="26"/>
  <c r="C1242" i="26"/>
  <c r="C1243" i="26"/>
  <c r="C1244" i="26"/>
  <c r="C1245" i="26"/>
  <c r="C1246" i="26"/>
  <c r="C1247" i="26"/>
  <c r="C1248" i="26"/>
  <c r="C1249" i="26"/>
  <c r="C1250" i="26"/>
  <c r="C1251" i="26"/>
  <c r="C1252" i="26"/>
  <c r="C1253" i="26"/>
  <c r="C1254" i="26"/>
  <c r="C1255" i="26"/>
  <c r="C1256" i="26"/>
  <c r="C1257" i="26"/>
  <c r="C1258" i="26"/>
  <c r="C1259" i="26"/>
  <c r="C1260" i="26"/>
  <c r="C1261" i="26"/>
  <c r="C1262" i="26"/>
  <c r="C1263" i="26"/>
  <c r="C1264" i="26"/>
  <c r="C1265" i="26"/>
  <c r="C1266" i="26"/>
  <c r="C1267" i="26"/>
  <c r="C1268" i="26"/>
  <c r="C1269" i="26"/>
  <c r="C1270" i="26"/>
  <c r="C1271" i="26"/>
  <c r="C1272" i="26"/>
  <c r="C1273" i="26"/>
  <c r="C1274" i="26"/>
  <c r="C1275" i="26"/>
  <c r="C1276" i="26"/>
  <c r="C1277" i="26"/>
  <c r="C1278" i="26"/>
  <c r="C1279" i="26"/>
  <c r="C1280" i="26"/>
  <c r="C1281" i="26"/>
  <c r="C1282" i="26"/>
  <c r="C1283" i="26"/>
  <c r="C1284" i="26"/>
  <c r="D1284" i="26" s="1"/>
  <c r="C1285" i="26"/>
  <c r="C1286" i="26"/>
  <c r="C1287" i="26"/>
  <c r="C1288" i="26"/>
  <c r="C1289" i="26"/>
  <c r="C1290" i="26"/>
  <c r="C1291" i="26"/>
  <c r="C1292" i="26"/>
  <c r="C1293" i="26"/>
  <c r="C1294" i="26"/>
  <c r="C1295" i="26"/>
  <c r="C1296" i="26"/>
  <c r="C1297" i="26"/>
  <c r="C1298" i="26"/>
  <c r="C1299" i="26"/>
  <c r="C1300" i="26"/>
  <c r="C1301" i="26"/>
  <c r="C1302" i="26"/>
  <c r="C1303" i="26"/>
  <c r="C1304" i="26"/>
  <c r="D1304" i="26" s="1"/>
  <c r="C1305" i="26"/>
  <c r="C1306" i="26"/>
  <c r="C1307" i="26"/>
  <c r="C1308" i="26"/>
  <c r="C1309" i="26"/>
  <c r="C1310" i="26"/>
  <c r="C1311" i="26"/>
  <c r="C1312" i="26"/>
  <c r="C1313" i="26"/>
  <c r="D1313" i="26" s="1"/>
  <c r="C1314" i="26"/>
  <c r="C1315" i="26"/>
  <c r="C1316" i="26"/>
  <c r="C1317" i="26"/>
  <c r="C1318" i="26"/>
  <c r="C1319" i="26"/>
  <c r="C1320" i="26"/>
  <c r="C1321" i="26"/>
  <c r="C1322" i="26"/>
  <c r="C1323" i="26"/>
  <c r="C1324" i="26"/>
  <c r="D1324" i="26" s="1"/>
  <c r="C1325" i="26"/>
  <c r="C1326" i="26"/>
  <c r="C1327" i="26"/>
  <c r="C1328" i="26"/>
  <c r="C1329" i="26"/>
  <c r="C1330" i="26"/>
  <c r="C1331" i="26"/>
  <c r="C1332" i="26"/>
  <c r="C1333" i="26"/>
  <c r="C1334" i="26"/>
  <c r="C1335" i="26"/>
  <c r="C1336" i="26"/>
  <c r="C1337" i="26"/>
  <c r="C1338" i="26"/>
  <c r="C1339" i="26"/>
  <c r="C1340" i="26"/>
  <c r="C1341" i="26"/>
  <c r="C1342" i="26"/>
  <c r="C1343" i="26"/>
  <c r="C1344" i="26"/>
  <c r="C1345" i="26"/>
  <c r="C1346" i="26"/>
  <c r="C1347" i="26"/>
  <c r="C1348" i="26"/>
  <c r="C1349" i="26"/>
  <c r="C1350" i="26"/>
  <c r="C1351" i="26"/>
  <c r="C1352" i="26"/>
  <c r="C1353" i="26"/>
  <c r="C1354" i="26"/>
  <c r="C1355" i="26"/>
  <c r="C1356" i="26"/>
  <c r="C1357" i="26"/>
  <c r="C1358" i="26"/>
  <c r="C1359" i="26"/>
  <c r="C1360" i="26"/>
  <c r="C1361" i="26"/>
  <c r="D1361" i="26" s="1"/>
  <c r="C1362" i="26"/>
  <c r="C1363" i="26"/>
  <c r="C1364" i="26"/>
  <c r="C1365" i="26"/>
  <c r="C1366" i="26"/>
  <c r="C1367" i="26"/>
  <c r="C1368" i="26"/>
  <c r="C1369" i="26"/>
  <c r="C1370" i="26"/>
  <c r="C1371" i="26"/>
  <c r="C1372" i="26"/>
  <c r="C1373" i="26"/>
  <c r="C1374" i="26"/>
  <c r="C1375" i="26"/>
  <c r="C1376" i="26"/>
  <c r="C1377" i="26"/>
  <c r="C1378" i="26"/>
  <c r="C1379" i="26"/>
  <c r="C1380" i="26"/>
  <c r="C1381" i="26"/>
  <c r="C1382" i="26"/>
  <c r="C1383" i="26"/>
  <c r="D1383" i="26" s="1"/>
  <c r="C1384" i="26"/>
  <c r="D1384" i="26" s="1"/>
  <c r="C1385" i="26"/>
  <c r="C1386" i="26"/>
  <c r="C1387" i="26"/>
  <c r="C1388" i="26"/>
  <c r="C1389" i="26"/>
  <c r="C1390" i="26"/>
  <c r="C1391" i="26"/>
  <c r="C1392" i="26"/>
  <c r="C1393" i="26"/>
  <c r="C1394" i="26"/>
  <c r="C1395" i="26"/>
  <c r="C1396" i="26"/>
  <c r="C1397" i="26"/>
  <c r="C1398" i="26"/>
  <c r="C1399" i="26"/>
  <c r="C1400" i="26"/>
  <c r="C1401" i="26"/>
  <c r="D1401" i="26" s="1"/>
  <c r="C1402" i="26"/>
  <c r="C1403" i="26"/>
  <c r="C1404" i="26"/>
  <c r="C1405" i="26"/>
  <c r="C1406" i="26"/>
  <c r="C1407" i="26"/>
  <c r="C1408" i="26"/>
  <c r="C1409" i="26"/>
  <c r="C1410" i="26"/>
  <c r="C1411" i="26"/>
  <c r="C1412" i="26"/>
  <c r="C1413" i="26"/>
  <c r="C1414" i="26"/>
  <c r="C1415" i="26"/>
  <c r="C1416" i="26"/>
  <c r="C1417" i="26"/>
  <c r="C1418" i="26"/>
  <c r="C1419" i="26"/>
  <c r="C1420" i="26"/>
  <c r="C1421" i="26"/>
  <c r="C1422" i="26"/>
  <c r="C1423" i="26"/>
  <c r="C1424" i="26"/>
  <c r="C1425" i="26"/>
  <c r="C1426" i="26"/>
  <c r="C1427" i="26"/>
  <c r="C1428" i="26"/>
  <c r="C1429" i="26"/>
  <c r="C1430" i="26"/>
  <c r="C1431" i="26"/>
  <c r="C1432" i="26"/>
  <c r="C1433" i="26"/>
  <c r="C1434" i="26"/>
  <c r="C1435" i="26"/>
  <c r="C1436" i="26"/>
  <c r="C1437" i="26"/>
  <c r="C1438" i="26"/>
  <c r="C1439" i="26"/>
  <c r="C1440" i="26"/>
  <c r="C1441" i="26"/>
  <c r="C1442" i="26"/>
  <c r="C1443" i="26"/>
  <c r="C1444" i="26"/>
  <c r="C1445" i="26"/>
  <c r="C1446" i="26"/>
  <c r="C1447" i="26"/>
  <c r="D1447" i="26" s="1"/>
  <c r="C1448" i="26"/>
  <c r="C1449" i="26"/>
  <c r="C1450" i="26"/>
  <c r="C1451" i="26"/>
  <c r="C1452" i="26"/>
  <c r="C1453" i="26"/>
  <c r="D1453" i="26" s="1"/>
  <c r="C1454" i="26"/>
  <c r="D1454" i="26" s="1"/>
  <c r="C1455" i="26"/>
  <c r="C1456" i="26"/>
  <c r="C1457" i="26"/>
  <c r="C1458" i="26"/>
  <c r="C1459" i="26"/>
  <c r="C1460" i="26"/>
  <c r="C1461" i="26"/>
  <c r="C1462" i="26"/>
  <c r="C1463" i="26"/>
  <c r="C1464" i="26"/>
  <c r="C1465" i="26"/>
  <c r="C1466" i="26"/>
  <c r="C1467" i="26"/>
  <c r="C1468" i="26"/>
  <c r="C1469" i="26"/>
  <c r="C1470" i="26"/>
  <c r="C1471" i="26"/>
  <c r="C1472" i="26"/>
  <c r="C1473" i="26"/>
  <c r="C1474" i="26"/>
  <c r="C1475" i="26"/>
  <c r="C1476" i="26"/>
  <c r="C1477" i="26"/>
  <c r="C1478" i="26"/>
  <c r="C1479" i="26"/>
  <c r="C1480" i="26"/>
  <c r="C1481" i="26"/>
  <c r="C1482" i="26"/>
  <c r="C1483" i="26"/>
  <c r="C1484" i="26"/>
  <c r="C1485" i="26"/>
  <c r="C1486" i="26"/>
  <c r="C1487" i="26"/>
  <c r="C1488" i="26"/>
  <c r="C1489" i="26"/>
  <c r="C1490" i="26"/>
  <c r="C1491" i="26"/>
  <c r="C1492" i="26"/>
  <c r="C1493" i="26"/>
  <c r="C1494" i="26"/>
  <c r="C1495" i="26"/>
  <c r="C1496" i="26"/>
  <c r="C1497" i="26"/>
  <c r="D1497" i="26" s="1"/>
  <c r="C1498" i="26"/>
  <c r="C1499" i="26"/>
  <c r="C1500" i="26"/>
  <c r="C1501" i="26"/>
  <c r="C1502" i="26"/>
  <c r="C1503" i="26"/>
  <c r="C1504" i="26"/>
  <c r="C1505" i="26"/>
  <c r="C1506" i="26"/>
  <c r="C1507" i="26"/>
  <c r="D1507" i="26" s="1"/>
  <c r="C1508" i="26"/>
  <c r="C1509" i="26"/>
  <c r="C1510" i="26"/>
  <c r="C1511" i="26"/>
  <c r="C1512" i="26"/>
  <c r="D1512" i="26" s="1"/>
  <c r="C1513" i="26"/>
  <c r="C1514" i="26"/>
  <c r="C1515" i="26"/>
  <c r="C1516" i="26"/>
  <c r="C1517" i="26"/>
  <c r="C1518" i="26"/>
  <c r="C1519" i="26"/>
  <c r="C1520" i="26"/>
  <c r="C1521" i="26"/>
  <c r="C1522" i="26"/>
  <c r="C1523" i="26"/>
  <c r="C1524" i="26"/>
  <c r="C1525" i="26"/>
  <c r="C1526" i="26"/>
  <c r="C1527" i="26"/>
  <c r="C1528" i="26"/>
  <c r="C1529" i="26"/>
  <c r="C1530" i="26"/>
  <c r="C1531" i="26"/>
  <c r="C1532" i="26"/>
  <c r="C1533" i="26"/>
  <c r="C1534" i="26"/>
  <c r="C1535" i="26"/>
  <c r="C1536" i="26"/>
  <c r="C1537" i="26"/>
  <c r="C1538" i="26"/>
  <c r="C1539" i="26"/>
  <c r="C1540" i="26"/>
  <c r="D1540" i="26" s="1"/>
  <c r="C1541" i="26"/>
  <c r="C1542" i="26"/>
  <c r="C1543" i="26"/>
  <c r="C1544" i="26"/>
  <c r="C1545" i="26"/>
  <c r="C1546" i="26"/>
  <c r="C1547" i="26"/>
  <c r="C1548" i="26"/>
  <c r="C1549" i="26"/>
  <c r="C1550" i="26"/>
  <c r="C1551" i="26"/>
  <c r="C1552" i="26"/>
  <c r="C1553" i="26"/>
  <c r="C1554" i="26"/>
  <c r="C1555" i="26"/>
  <c r="C1556" i="26"/>
  <c r="C1557" i="26"/>
  <c r="C1558" i="26"/>
  <c r="C1559" i="26"/>
  <c r="C1560" i="26"/>
  <c r="C1561" i="26"/>
  <c r="C1562" i="26"/>
  <c r="C1563" i="26"/>
  <c r="C1564" i="26"/>
  <c r="C1565" i="26"/>
  <c r="C1566" i="26"/>
  <c r="C1567" i="26"/>
  <c r="C1568" i="26"/>
  <c r="C1569" i="26"/>
  <c r="C1570" i="26"/>
  <c r="C1571" i="26"/>
  <c r="C1572" i="26"/>
  <c r="C1573" i="26"/>
  <c r="C1574" i="26"/>
  <c r="C1575" i="26"/>
  <c r="C1576" i="26"/>
  <c r="C1577" i="26"/>
  <c r="C1578" i="26"/>
  <c r="C1579" i="26"/>
  <c r="D1579" i="26" s="1"/>
  <c r="C1580" i="26"/>
  <c r="C1581" i="26"/>
  <c r="C1582" i="26"/>
  <c r="C1583" i="26"/>
  <c r="C1584" i="26"/>
  <c r="C1585" i="26"/>
  <c r="C1586" i="26"/>
  <c r="C1587" i="26"/>
  <c r="C1588" i="26"/>
  <c r="C1589" i="26"/>
  <c r="C1590" i="26"/>
  <c r="C1591" i="26"/>
  <c r="C1592" i="26"/>
  <c r="C1593" i="26"/>
  <c r="C1594" i="26"/>
  <c r="C1595" i="26"/>
  <c r="C1596" i="26"/>
  <c r="C1597" i="26"/>
  <c r="C1598" i="26"/>
  <c r="C1599" i="26"/>
  <c r="C1600" i="26"/>
  <c r="C1601" i="26"/>
  <c r="D1601" i="26" s="1"/>
  <c r="C1602" i="26"/>
  <c r="C1603" i="26"/>
  <c r="C1604" i="26"/>
  <c r="D1604" i="26" s="1"/>
  <c r="C1605" i="26"/>
  <c r="C1606" i="26"/>
  <c r="C1607" i="26"/>
  <c r="C1608" i="26"/>
  <c r="C1609" i="26"/>
  <c r="C1610" i="26"/>
  <c r="C1611" i="26"/>
  <c r="C1612" i="26"/>
  <c r="C1613" i="26"/>
  <c r="C1614" i="26"/>
  <c r="C1615" i="26"/>
  <c r="D1615" i="26" s="1"/>
  <c r="C1616" i="26"/>
  <c r="C1617" i="26"/>
  <c r="C1618" i="26"/>
  <c r="C1619" i="26"/>
  <c r="C1620" i="26"/>
  <c r="C1621" i="26"/>
  <c r="C1622" i="26"/>
  <c r="C1623" i="26"/>
  <c r="C1624" i="26"/>
  <c r="C1625" i="26"/>
  <c r="C1626" i="26"/>
  <c r="C1627" i="26"/>
  <c r="C1628" i="26"/>
  <c r="D1628" i="26" s="1"/>
  <c r="C1629" i="26"/>
  <c r="C1630" i="26"/>
  <c r="C1631" i="26"/>
  <c r="C1632" i="26"/>
  <c r="C1633" i="26"/>
  <c r="C1634" i="26"/>
  <c r="C1635" i="26"/>
  <c r="C1636" i="26"/>
  <c r="C1637" i="26"/>
  <c r="D1637" i="26" s="1"/>
  <c r="C1638" i="26"/>
  <c r="C1639" i="26"/>
  <c r="C1640" i="26"/>
  <c r="C1641" i="26"/>
  <c r="C1642" i="26"/>
  <c r="C1643" i="26"/>
  <c r="C1644" i="26"/>
  <c r="C1645" i="26"/>
  <c r="C1646" i="26"/>
  <c r="C1647" i="26"/>
  <c r="D1647" i="26" s="1"/>
  <c r="C1648" i="26"/>
  <c r="D1648" i="26" s="1"/>
  <c r="C1649" i="26"/>
  <c r="C1650" i="26"/>
  <c r="C1651" i="26"/>
  <c r="C1652" i="26"/>
  <c r="C1653" i="26"/>
  <c r="C1654" i="26"/>
  <c r="C1655" i="26"/>
  <c r="C1656" i="26"/>
  <c r="C1657" i="26"/>
  <c r="C1658" i="26"/>
  <c r="C1659" i="26"/>
  <c r="C1660" i="26"/>
  <c r="C1661" i="26"/>
  <c r="C1662" i="26"/>
  <c r="C1663" i="26"/>
  <c r="D1663" i="26" s="1"/>
  <c r="C1664" i="26"/>
  <c r="C1665" i="26"/>
  <c r="C1666" i="26"/>
  <c r="C1667" i="26"/>
  <c r="C1668" i="26"/>
  <c r="C1669" i="26"/>
  <c r="C1670" i="26"/>
  <c r="C1671" i="26"/>
  <c r="C1672" i="26"/>
  <c r="C1673" i="26"/>
  <c r="C1674" i="26"/>
  <c r="C1675" i="26"/>
  <c r="C1676" i="26"/>
  <c r="C1677" i="26"/>
  <c r="C1678" i="26"/>
  <c r="C1679" i="26"/>
  <c r="C1680" i="26"/>
  <c r="C1681" i="26"/>
  <c r="D1681" i="26" s="1"/>
  <c r="C1682" i="26"/>
  <c r="C1683" i="26"/>
  <c r="C1684" i="26"/>
  <c r="C1685" i="26"/>
  <c r="C1686" i="26"/>
  <c r="C1687" i="26"/>
  <c r="C1688" i="26"/>
  <c r="C1689" i="26"/>
  <c r="C1690" i="26"/>
  <c r="C1691" i="26"/>
  <c r="C1692" i="26"/>
  <c r="C1693" i="26"/>
  <c r="C1694" i="26"/>
  <c r="C1695" i="26"/>
  <c r="C1696" i="26"/>
  <c r="C1697" i="26"/>
  <c r="C1698" i="26"/>
  <c r="C1699" i="26"/>
  <c r="C1700" i="26"/>
  <c r="C1701" i="26"/>
  <c r="C1702" i="26"/>
  <c r="C1703" i="26"/>
  <c r="C1704" i="26"/>
  <c r="C1705" i="26"/>
  <c r="C1706" i="26"/>
  <c r="C1707" i="26"/>
  <c r="C1708" i="26"/>
  <c r="C1709" i="26"/>
  <c r="C1710" i="26"/>
  <c r="C1711" i="26"/>
  <c r="C1712" i="26"/>
  <c r="C1713" i="26"/>
  <c r="C1714" i="26"/>
  <c r="C1715" i="26"/>
  <c r="C1716" i="26"/>
  <c r="C1717" i="26"/>
  <c r="C1718" i="26"/>
  <c r="C1719" i="26"/>
  <c r="C1720" i="26"/>
  <c r="C1721" i="26"/>
  <c r="C1722" i="26"/>
  <c r="C1723" i="26"/>
  <c r="C1724" i="26"/>
  <c r="C1725" i="26"/>
  <c r="C1726" i="26"/>
  <c r="C1727" i="26"/>
  <c r="C1728" i="26"/>
  <c r="C1729" i="26"/>
  <c r="C1730" i="26"/>
  <c r="C1731" i="26"/>
  <c r="C1732" i="26"/>
  <c r="C1733" i="26"/>
  <c r="C1734" i="26"/>
  <c r="C1735" i="26"/>
  <c r="C1736" i="26"/>
  <c r="C1737" i="26"/>
  <c r="C1738" i="26"/>
  <c r="C1739" i="26"/>
  <c r="C1740" i="26"/>
  <c r="C1741" i="26"/>
  <c r="C1742" i="26"/>
  <c r="D1742" i="26" s="1"/>
  <c r="C1743" i="26"/>
  <c r="C1744" i="26"/>
  <c r="C1745" i="26"/>
  <c r="C1746" i="26"/>
  <c r="C1747" i="26"/>
  <c r="C1748" i="26"/>
  <c r="C1749" i="26"/>
  <c r="C1750" i="26"/>
  <c r="C1751" i="26"/>
  <c r="C1752" i="26"/>
  <c r="C1753" i="26"/>
  <c r="C1754" i="26"/>
  <c r="C1755" i="26"/>
  <c r="C1756" i="26"/>
  <c r="D1756" i="26" s="1"/>
  <c r="C1757" i="26"/>
  <c r="C1758" i="26"/>
  <c r="C1759" i="26"/>
  <c r="C1760" i="26"/>
  <c r="C1761" i="26"/>
  <c r="C1762" i="26"/>
  <c r="C1763" i="26"/>
  <c r="C1764" i="26"/>
  <c r="C1765" i="26"/>
  <c r="C1766" i="26"/>
  <c r="C1767" i="26"/>
  <c r="C1768" i="26"/>
  <c r="C1769" i="26"/>
  <c r="C1770" i="26"/>
  <c r="C1771" i="26"/>
  <c r="C1772" i="26"/>
  <c r="F1772" i="26" s="1"/>
  <c r="C1773" i="26"/>
  <c r="C1774" i="26"/>
  <c r="C1775" i="26"/>
  <c r="C1776" i="26"/>
  <c r="C1777" i="26"/>
  <c r="C1778" i="26"/>
  <c r="C1779" i="26"/>
  <c r="C1780" i="26"/>
  <c r="C1781" i="26"/>
  <c r="C1782" i="26"/>
  <c r="C1783" i="26"/>
  <c r="C1784" i="26"/>
  <c r="C1785" i="26"/>
  <c r="C1786" i="26"/>
  <c r="C1787" i="26"/>
  <c r="C1788" i="26"/>
  <c r="C1789" i="26"/>
  <c r="C1790" i="26"/>
  <c r="C1791" i="26"/>
  <c r="C1792" i="26"/>
  <c r="C1793" i="26"/>
  <c r="C1794" i="26"/>
  <c r="C1795" i="26"/>
  <c r="C1796" i="26"/>
  <c r="D1796" i="26" s="1"/>
  <c r="C1797" i="26"/>
  <c r="C1798" i="26"/>
  <c r="C1799" i="26"/>
  <c r="C1800" i="26"/>
  <c r="C1801" i="26"/>
  <c r="C1802" i="26"/>
  <c r="C1803" i="26"/>
  <c r="C1804" i="26"/>
  <c r="C1805" i="26"/>
  <c r="C1806" i="26"/>
  <c r="C1807" i="26"/>
  <c r="C1808" i="26"/>
  <c r="C1809" i="26"/>
  <c r="C1810" i="26"/>
  <c r="C1811" i="26"/>
  <c r="C1812" i="26"/>
  <c r="C1813" i="26"/>
  <c r="C1814" i="26"/>
  <c r="C1815" i="26"/>
  <c r="C1816" i="26"/>
  <c r="C1817" i="26"/>
  <c r="C1818" i="26"/>
  <c r="C1819" i="26"/>
  <c r="C1820" i="26"/>
  <c r="C1821" i="26"/>
  <c r="C1822" i="26"/>
  <c r="C1823" i="26"/>
  <c r="C1824" i="26"/>
  <c r="C1825" i="26"/>
  <c r="C1826" i="26"/>
  <c r="C1827" i="26"/>
  <c r="C1828" i="26"/>
  <c r="C1829" i="26"/>
  <c r="C1830" i="26"/>
  <c r="C1831" i="26"/>
  <c r="C1832" i="26"/>
  <c r="C1833" i="26"/>
  <c r="C1834" i="26"/>
  <c r="C1835" i="26"/>
  <c r="C1836" i="26"/>
  <c r="C1837" i="26"/>
  <c r="C1838" i="26"/>
  <c r="C1839" i="26"/>
  <c r="D1839" i="26" s="1"/>
  <c r="C1840" i="26"/>
  <c r="C1841" i="26"/>
  <c r="C1842" i="26"/>
  <c r="C1843" i="26"/>
  <c r="C1844" i="26"/>
  <c r="C1845" i="26"/>
  <c r="C1846" i="26"/>
  <c r="C1847" i="26"/>
  <c r="C1848" i="26"/>
  <c r="C1849" i="26"/>
  <c r="C1850" i="26"/>
  <c r="C1851" i="26"/>
  <c r="C1852" i="26"/>
  <c r="C1853" i="26"/>
  <c r="C1854" i="26"/>
  <c r="C1855" i="26"/>
  <c r="C1856" i="26"/>
  <c r="C1857" i="26"/>
  <c r="C1858" i="26"/>
  <c r="C1859" i="26"/>
  <c r="C1860" i="26"/>
  <c r="C1861" i="26"/>
  <c r="C1862" i="26"/>
  <c r="C1863" i="26"/>
  <c r="C1864" i="26"/>
  <c r="C1865" i="26"/>
  <c r="C1866" i="26"/>
  <c r="C1867" i="26"/>
  <c r="C1868" i="26"/>
  <c r="C1869" i="26"/>
  <c r="C1870" i="26"/>
  <c r="C1871" i="26"/>
  <c r="C1872" i="26"/>
  <c r="C1873" i="26"/>
  <c r="C1874" i="26"/>
  <c r="C1875" i="26"/>
  <c r="C1876" i="26"/>
  <c r="C1877" i="26"/>
  <c r="C1878" i="26"/>
  <c r="C1879" i="26"/>
  <c r="C1880" i="26"/>
  <c r="C1881" i="26"/>
  <c r="D1881" i="26" s="1"/>
  <c r="C1882" i="26"/>
  <c r="C1883" i="26"/>
  <c r="C1884" i="26"/>
  <c r="C1885" i="26"/>
  <c r="C1886" i="26"/>
  <c r="C1887" i="26"/>
  <c r="C1888" i="26"/>
  <c r="C1889" i="26"/>
  <c r="C1890" i="26"/>
  <c r="C1891" i="26"/>
  <c r="C1892" i="26"/>
  <c r="C1893" i="26"/>
  <c r="C1894" i="26"/>
  <c r="C1895" i="26"/>
  <c r="C1896" i="26"/>
  <c r="C1897" i="26"/>
  <c r="C1898" i="26"/>
  <c r="C1899" i="26"/>
  <c r="D1899" i="26" s="1"/>
  <c r="C1900" i="26"/>
  <c r="C1901" i="26"/>
  <c r="C1902" i="26"/>
  <c r="C1903" i="26"/>
  <c r="C1904" i="26"/>
  <c r="C1905" i="26"/>
  <c r="C1906" i="26"/>
  <c r="C1907" i="26"/>
  <c r="C1908" i="26"/>
  <c r="C1909" i="26"/>
  <c r="C1910" i="26"/>
  <c r="D1910" i="26" s="1"/>
  <c r="C1911" i="26"/>
  <c r="C1912" i="26"/>
  <c r="C1913" i="26"/>
  <c r="C1914" i="26"/>
  <c r="C1915" i="26"/>
  <c r="C1916" i="26"/>
  <c r="C1917" i="26"/>
  <c r="C1918" i="26"/>
  <c r="C1919" i="26"/>
  <c r="C1920" i="26"/>
  <c r="C1921" i="26"/>
  <c r="C1922" i="26"/>
  <c r="C1923" i="26"/>
  <c r="C1924" i="26"/>
  <c r="C1925" i="26"/>
  <c r="C1926" i="26"/>
  <c r="C1927" i="26"/>
  <c r="C1928" i="26"/>
  <c r="D1928" i="26" s="1"/>
  <c r="C1929" i="26"/>
  <c r="C1930" i="26"/>
  <c r="C1931" i="26"/>
  <c r="C1932" i="26"/>
  <c r="F1932" i="26" s="1"/>
  <c r="C1933" i="26"/>
  <c r="C1934" i="26"/>
  <c r="C1935" i="26"/>
  <c r="C1936" i="26"/>
  <c r="C1937" i="26"/>
  <c r="C1938" i="26"/>
  <c r="C1939" i="26"/>
  <c r="C1940" i="26"/>
  <c r="C1941" i="26"/>
  <c r="C1942" i="26"/>
  <c r="C1943" i="26"/>
  <c r="C1944" i="26"/>
  <c r="C1945" i="26"/>
  <c r="D1945" i="26" s="1"/>
  <c r="C1946" i="26"/>
  <c r="C1947" i="26"/>
  <c r="C1948" i="26"/>
  <c r="C1949" i="26"/>
  <c r="C1950" i="26"/>
  <c r="C1951" i="26"/>
  <c r="C1952" i="26"/>
  <c r="C1953" i="26"/>
  <c r="C1954" i="26"/>
  <c r="C1955" i="26"/>
  <c r="C1956" i="26"/>
  <c r="C1957" i="26"/>
  <c r="C1958" i="26"/>
  <c r="C1959" i="26"/>
  <c r="C1960" i="26"/>
  <c r="C1961" i="26"/>
  <c r="C1962" i="26"/>
  <c r="C1963" i="26"/>
  <c r="C1964" i="26"/>
  <c r="C1965" i="26"/>
  <c r="C1966" i="26"/>
  <c r="C1967" i="26"/>
  <c r="C1968" i="26"/>
  <c r="C1969" i="26"/>
  <c r="C1970" i="26"/>
  <c r="C1971" i="26"/>
  <c r="C1972" i="26"/>
  <c r="C1973" i="26"/>
  <c r="C1974" i="26"/>
  <c r="C1975" i="26"/>
  <c r="C1976" i="26"/>
  <c r="C1977" i="26"/>
  <c r="C1978" i="26"/>
  <c r="C1979" i="26"/>
  <c r="C1980" i="26"/>
  <c r="C1981" i="26"/>
  <c r="C1982" i="26"/>
  <c r="C1983" i="26"/>
  <c r="C1984" i="26"/>
  <c r="C1985" i="26"/>
  <c r="C1986" i="26"/>
  <c r="C1987" i="26"/>
  <c r="D1987" i="26" s="1"/>
  <c r="C1988" i="26"/>
  <c r="C1989" i="26"/>
  <c r="C1990" i="26"/>
  <c r="C1991" i="26"/>
  <c r="C1992" i="26"/>
  <c r="C1993" i="26"/>
  <c r="C1994" i="26"/>
  <c r="C1995" i="26"/>
  <c r="C1996" i="26"/>
  <c r="C1997" i="26"/>
  <c r="D1997" i="26" s="1"/>
  <c r="C1998" i="26"/>
  <c r="C1999" i="26"/>
  <c r="C2000" i="26"/>
  <c r="C2001" i="26"/>
  <c r="D2001" i="26" s="1"/>
  <c r="C2002" i="26"/>
  <c r="C2003" i="26"/>
  <c r="C2004" i="26"/>
  <c r="C2005" i="26"/>
  <c r="C2006" i="26"/>
  <c r="C2007" i="26"/>
  <c r="C2008" i="26"/>
  <c r="C2009" i="26"/>
  <c r="C2010" i="26"/>
  <c r="C2011" i="26"/>
  <c r="C2012" i="26"/>
  <c r="C2013" i="26"/>
  <c r="C2014" i="26"/>
  <c r="C2015" i="26"/>
  <c r="C2016" i="26"/>
  <c r="C2017" i="26"/>
  <c r="C2018" i="26"/>
  <c r="D2018" i="26" s="1"/>
  <c r="C2019" i="26"/>
  <c r="C2020" i="26"/>
  <c r="C2021" i="26"/>
  <c r="C2022" i="26"/>
  <c r="C2023" i="26"/>
  <c r="C2024" i="26"/>
  <c r="C2025" i="26"/>
  <c r="C2026" i="26"/>
  <c r="C2027" i="26"/>
  <c r="C2028" i="26"/>
  <c r="C2029" i="26"/>
  <c r="C2030" i="26"/>
  <c r="C2031" i="26"/>
  <c r="C2032" i="26"/>
  <c r="F2032" i="26" s="1"/>
  <c r="C2033" i="26"/>
  <c r="C2034" i="26"/>
  <c r="C2035" i="26"/>
  <c r="C2036" i="26"/>
  <c r="C2037" i="26"/>
  <c r="C2038" i="26"/>
  <c r="D2038" i="26" s="1"/>
  <c r="C2039" i="26"/>
  <c r="C2040" i="26"/>
  <c r="C2041" i="26"/>
  <c r="C2042" i="26"/>
  <c r="C2043" i="26"/>
  <c r="C2044" i="26"/>
  <c r="C2045" i="26"/>
  <c r="C2046" i="26"/>
  <c r="C2047" i="26"/>
  <c r="C2048" i="26"/>
  <c r="D2048" i="26" s="1"/>
  <c r="C2049" i="26"/>
  <c r="C2050" i="26"/>
  <c r="D2050" i="26" s="1"/>
  <c r="C2051" i="26"/>
  <c r="C2052" i="26"/>
  <c r="D2052" i="26" s="1"/>
  <c r="C2053" i="26"/>
  <c r="D2053" i="26" s="1"/>
  <c r="C2054" i="26"/>
  <c r="C2055" i="26"/>
  <c r="C2056" i="26"/>
  <c r="C2057" i="26"/>
  <c r="C2058" i="26"/>
  <c r="C2059" i="26"/>
  <c r="C2060" i="26"/>
  <c r="C2061" i="26"/>
  <c r="C2062" i="26"/>
  <c r="C2063" i="26"/>
  <c r="C2064" i="26"/>
  <c r="C2065" i="26"/>
  <c r="C2066" i="26"/>
  <c r="C2067" i="26"/>
  <c r="C2068" i="26"/>
  <c r="C2069" i="26"/>
  <c r="C2070" i="26"/>
  <c r="C2071" i="26"/>
  <c r="C2072" i="26"/>
  <c r="C2073" i="26"/>
  <c r="C2074" i="26"/>
  <c r="C2075" i="26"/>
  <c r="C2076" i="26"/>
  <c r="C2077" i="26"/>
  <c r="C2078" i="26"/>
  <c r="C2079" i="26"/>
  <c r="C2080" i="26"/>
  <c r="C2081" i="26"/>
  <c r="C2082" i="26"/>
  <c r="D2082" i="26" s="1"/>
  <c r="C2083" i="26"/>
  <c r="D2083" i="26" s="1"/>
  <c r="C2084" i="26"/>
  <c r="D2084" i="26" s="1"/>
  <c r="C2085" i="26"/>
  <c r="C2086" i="26"/>
  <c r="C2087" i="26"/>
  <c r="C2088" i="26"/>
  <c r="C2089" i="26"/>
  <c r="C2090" i="26"/>
  <c r="C2091" i="26"/>
  <c r="C2092" i="26"/>
  <c r="D2092" i="26" s="1"/>
  <c r="C2093" i="26"/>
  <c r="D2093" i="26" s="1"/>
  <c r="C2094" i="26"/>
  <c r="C2095" i="26"/>
  <c r="C2096" i="26"/>
  <c r="C2097" i="26"/>
  <c r="C2098" i="26"/>
  <c r="C2099" i="26"/>
  <c r="C2100" i="26"/>
  <c r="C2101" i="26"/>
  <c r="D2101" i="26" s="1"/>
  <c r="C2102" i="26"/>
  <c r="C2103" i="26"/>
  <c r="C2104" i="26"/>
  <c r="C2105" i="26"/>
  <c r="C2106" i="26"/>
  <c r="C2107" i="26"/>
  <c r="C2108" i="26"/>
  <c r="C2109" i="26"/>
  <c r="C2110" i="26"/>
  <c r="D2110" i="26" s="1"/>
  <c r="C2111" i="26"/>
  <c r="C2112" i="26"/>
  <c r="C2113" i="26"/>
  <c r="C2114" i="26"/>
  <c r="C2115" i="26"/>
  <c r="C2116" i="26"/>
  <c r="C2117" i="26"/>
  <c r="C2118" i="26"/>
  <c r="C2119" i="26"/>
  <c r="D2119" i="26" s="1"/>
  <c r="C2120" i="26"/>
  <c r="C2121" i="26"/>
  <c r="C2122" i="26"/>
  <c r="C2123" i="26"/>
  <c r="D2123" i="26" s="1"/>
  <c r="C2124" i="26"/>
  <c r="D2124" i="26" s="1"/>
  <c r="C2125" i="26"/>
  <c r="C2126" i="26"/>
  <c r="C2127" i="26"/>
  <c r="C2128" i="26"/>
  <c r="C2129" i="26"/>
  <c r="C2130" i="26"/>
  <c r="C2131" i="26"/>
  <c r="C2132" i="26"/>
  <c r="D2132" i="26" s="1"/>
  <c r="C2133" i="26"/>
  <c r="D2133" i="26" s="1"/>
  <c r="C2134" i="26"/>
  <c r="C2135" i="26"/>
  <c r="C2136" i="26"/>
  <c r="C2137" i="26"/>
  <c r="C2138" i="26"/>
  <c r="C2139" i="26"/>
  <c r="C2140" i="26"/>
  <c r="C2141" i="26"/>
  <c r="C2142" i="26"/>
  <c r="C2143" i="26"/>
  <c r="C2144" i="26"/>
  <c r="C2145" i="26"/>
  <c r="C2146" i="26"/>
  <c r="C2147" i="26"/>
  <c r="D2147" i="26" s="1"/>
  <c r="C2148" i="26"/>
  <c r="C2149" i="26"/>
  <c r="C2150" i="26"/>
  <c r="C2151" i="26"/>
  <c r="C2152" i="26"/>
  <c r="D2152" i="26" s="1"/>
  <c r="C2153" i="26"/>
  <c r="D2153" i="26" s="1"/>
  <c r="C2154" i="26"/>
  <c r="C2155" i="26"/>
  <c r="C2156" i="26"/>
  <c r="C2157" i="26"/>
  <c r="C2158" i="26"/>
  <c r="C2159" i="26"/>
  <c r="C2160" i="26"/>
  <c r="C2161" i="26"/>
  <c r="C2162" i="26"/>
  <c r="C2163" i="26"/>
  <c r="C2164" i="26"/>
  <c r="C2165" i="26"/>
  <c r="C2166" i="26"/>
  <c r="C2167" i="26"/>
  <c r="C2168" i="26"/>
  <c r="D2168" i="26" s="1"/>
  <c r="C2169" i="26"/>
  <c r="C2170" i="26"/>
  <c r="D2170" i="26" s="1"/>
  <c r="C2171" i="26"/>
  <c r="F2171" i="26" s="1"/>
  <c r="C2172" i="26"/>
  <c r="C2173" i="26"/>
  <c r="C2174" i="26"/>
  <c r="C2175" i="26"/>
  <c r="C2176" i="26"/>
  <c r="C2177" i="26"/>
  <c r="C2178" i="26"/>
  <c r="C2179" i="26"/>
  <c r="C2180" i="26"/>
  <c r="C2181" i="26"/>
  <c r="C2182" i="26"/>
  <c r="C2183" i="26"/>
  <c r="C2184" i="26"/>
  <c r="C2185" i="26"/>
  <c r="C2186" i="26"/>
  <c r="C2187" i="26"/>
  <c r="C2188" i="26"/>
  <c r="C2189" i="26"/>
  <c r="C2190" i="26"/>
  <c r="C2191" i="26"/>
  <c r="C2192" i="26"/>
  <c r="C2193" i="26"/>
  <c r="C2194" i="26"/>
  <c r="C2195" i="26"/>
  <c r="C2196" i="26"/>
  <c r="C2197" i="26"/>
  <c r="C2198" i="26"/>
  <c r="C2199" i="26"/>
  <c r="D2199" i="26" s="1"/>
  <c r="C2200" i="26"/>
  <c r="C2201" i="26"/>
  <c r="D2201" i="26" s="1"/>
  <c r="C2202" i="26"/>
  <c r="C2203" i="26"/>
  <c r="C2204" i="26"/>
  <c r="C2205" i="26"/>
  <c r="C2206" i="26"/>
  <c r="C2207" i="26"/>
  <c r="C2208" i="26"/>
  <c r="C2209" i="26"/>
  <c r="D2209" i="26" s="1"/>
  <c r="C2210" i="26"/>
  <c r="C2211" i="26"/>
  <c r="C2212" i="26"/>
  <c r="C2213" i="26"/>
  <c r="C2214" i="26"/>
  <c r="C2215" i="26"/>
  <c r="C2216" i="26"/>
  <c r="C2217" i="26"/>
  <c r="D2217" i="26" s="1"/>
  <c r="C2218" i="26"/>
  <c r="C2219" i="26"/>
  <c r="D2219" i="26" s="1"/>
  <c r="C2220" i="26"/>
  <c r="C2221" i="26"/>
  <c r="D2221" i="26" s="1"/>
  <c r="C2222" i="26"/>
  <c r="C2223" i="26"/>
  <c r="C2224" i="26"/>
  <c r="C2225" i="26"/>
  <c r="C2226" i="26"/>
  <c r="D2226" i="26" s="1"/>
  <c r="C2227" i="26"/>
  <c r="C2228" i="26"/>
  <c r="C2229" i="26"/>
  <c r="D2229" i="26" s="1"/>
  <c r="C2230" i="26"/>
  <c r="C2231" i="26"/>
  <c r="D2231" i="26" s="1"/>
  <c r="C2232" i="26"/>
  <c r="C2233" i="26"/>
  <c r="D2233" i="26" s="1"/>
  <c r="C2234" i="26"/>
  <c r="C2235" i="26"/>
  <c r="C2236" i="26"/>
  <c r="C2237" i="26"/>
  <c r="C2238" i="26"/>
  <c r="C2239" i="26"/>
  <c r="C2240" i="26"/>
  <c r="C2241" i="26"/>
  <c r="C2242" i="26"/>
  <c r="C2243" i="26"/>
  <c r="C2244" i="26"/>
  <c r="C2245" i="26"/>
  <c r="C2246" i="26"/>
  <c r="C2247" i="26"/>
  <c r="C2248" i="26"/>
  <c r="C2249" i="26"/>
  <c r="C2250" i="26"/>
  <c r="D2250" i="26" s="1"/>
  <c r="C2251" i="26"/>
  <c r="C2252" i="26"/>
  <c r="C2253" i="26"/>
  <c r="C2254" i="26"/>
  <c r="C2255" i="26"/>
  <c r="C2256" i="26"/>
  <c r="D2256" i="26" s="1"/>
  <c r="C2257" i="26"/>
  <c r="C2258" i="26"/>
  <c r="C2259" i="26"/>
  <c r="C2260" i="26"/>
  <c r="C2261" i="26"/>
  <c r="C2262" i="26"/>
  <c r="C2263" i="26"/>
  <c r="C2264" i="26"/>
  <c r="C2265" i="26"/>
  <c r="C2266" i="26"/>
  <c r="C2267" i="26"/>
  <c r="C2268" i="26"/>
  <c r="C2269" i="26"/>
  <c r="C2270" i="26"/>
  <c r="C2271" i="26"/>
  <c r="C2272" i="26"/>
  <c r="C2273" i="26"/>
  <c r="C2274" i="26"/>
  <c r="C2275" i="26"/>
  <c r="C2276" i="26"/>
  <c r="C2277" i="26"/>
  <c r="C2278" i="26"/>
  <c r="C2279" i="26"/>
  <c r="C2280" i="26"/>
  <c r="C2281" i="26"/>
  <c r="C2282" i="26"/>
  <c r="C2283" i="26"/>
  <c r="F2283" i="26" s="1"/>
  <c r="C2284" i="26"/>
  <c r="C2285" i="26"/>
  <c r="C2286" i="26"/>
  <c r="C2287" i="26"/>
  <c r="C2288" i="26"/>
  <c r="C2289" i="26"/>
  <c r="C2290" i="26"/>
  <c r="C2291" i="26"/>
  <c r="C2292" i="26"/>
  <c r="C2293" i="26"/>
  <c r="C2294" i="26"/>
  <c r="C2295" i="26"/>
  <c r="C2296" i="26"/>
  <c r="C2297" i="26"/>
  <c r="C2298" i="26"/>
  <c r="D2298" i="26" s="1"/>
  <c r="C2299" i="26"/>
  <c r="C2300" i="26"/>
  <c r="C2301" i="26"/>
  <c r="C2302" i="26"/>
  <c r="C2303" i="26"/>
  <c r="C2304" i="26"/>
  <c r="C2305" i="26"/>
  <c r="C2306" i="26"/>
  <c r="C2307" i="26"/>
  <c r="D2307" i="26" s="1"/>
  <c r="C2308" i="26"/>
  <c r="C2309" i="26"/>
  <c r="C2310" i="26"/>
  <c r="C2311" i="26"/>
  <c r="F2311" i="26" s="1"/>
  <c r="C2312" i="26"/>
  <c r="F2312" i="26" s="1"/>
  <c r="C2313" i="26"/>
  <c r="C2314" i="26"/>
  <c r="C2315" i="26"/>
  <c r="C2316" i="26"/>
  <c r="C2317" i="26"/>
  <c r="C2318" i="26"/>
  <c r="C2319" i="26"/>
  <c r="C2320" i="26"/>
  <c r="C2321" i="26"/>
  <c r="D2321" i="26" s="1"/>
  <c r="C2322" i="26"/>
  <c r="C2323" i="26"/>
  <c r="C2324" i="26"/>
  <c r="C2325" i="26"/>
  <c r="C2326" i="26"/>
  <c r="C2327" i="26"/>
  <c r="C2328" i="26"/>
  <c r="C2329" i="26"/>
  <c r="C2330" i="26"/>
  <c r="D2330" i="26" s="1"/>
  <c r="C2331" i="26"/>
  <c r="C2332" i="26"/>
  <c r="C2333" i="26"/>
  <c r="C2334" i="26"/>
  <c r="C2335" i="26"/>
  <c r="C2336" i="26"/>
  <c r="C2337" i="26"/>
  <c r="C2338" i="26"/>
  <c r="C2339" i="26"/>
  <c r="C2340" i="26"/>
  <c r="C2341" i="26"/>
  <c r="C2342" i="26"/>
  <c r="D2342" i="26" s="1"/>
  <c r="C2343" i="26"/>
  <c r="C2344" i="26"/>
  <c r="C2345" i="26"/>
  <c r="C2346" i="26"/>
  <c r="C2347" i="26"/>
  <c r="C2348" i="26"/>
  <c r="C2349" i="26"/>
  <c r="C2350" i="26"/>
  <c r="C2351" i="26"/>
  <c r="C2352" i="26"/>
  <c r="C2353" i="26"/>
  <c r="C2354" i="26"/>
  <c r="C2355" i="26"/>
  <c r="C2356" i="26"/>
  <c r="C2357" i="26"/>
  <c r="D2357" i="26" s="1"/>
  <c r="C2358" i="26"/>
  <c r="C2359" i="26"/>
  <c r="C2360" i="26"/>
  <c r="C2361" i="26"/>
  <c r="D2361" i="26" s="1"/>
  <c r="C2362" i="26"/>
  <c r="D2362" i="26" s="1"/>
  <c r="C2363" i="26"/>
  <c r="C2364" i="26"/>
  <c r="C2365" i="26"/>
  <c r="C2366" i="26"/>
  <c r="C2367" i="26"/>
  <c r="C2368" i="26"/>
  <c r="D2368" i="26" s="1"/>
  <c r="C2369" i="26"/>
  <c r="C2370" i="26"/>
  <c r="C2371" i="26"/>
  <c r="F2371" i="26" s="1"/>
  <c r="C2372" i="26"/>
  <c r="F2372" i="26" s="1"/>
  <c r="C2373" i="26"/>
  <c r="C2374" i="26"/>
  <c r="C2375" i="26"/>
  <c r="C2376" i="26"/>
  <c r="D2376" i="26" s="1"/>
  <c r="C2377" i="26"/>
  <c r="C2378" i="26"/>
  <c r="C2379" i="26"/>
  <c r="D2379" i="26" s="1"/>
  <c r="C2380" i="26"/>
  <c r="C2381" i="26"/>
  <c r="C2382" i="26"/>
  <c r="C2383" i="26"/>
  <c r="C2384" i="26"/>
  <c r="C2385" i="26"/>
  <c r="C2386" i="26"/>
  <c r="C2387" i="26"/>
  <c r="C2388" i="26"/>
  <c r="C2389" i="26"/>
  <c r="C2390" i="26"/>
  <c r="C2391" i="26"/>
  <c r="C2392" i="26"/>
  <c r="C2393" i="26"/>
  <c r="D2393" i="26" s="1"/>
  <c r="C2394" i="26"/>
  <c r="C2395" i="26"/>
  <c r="C2396" i="26"/>
  <c r="C2397" i="26"/>
  <c r="C2398" i="26"/>
  <c r="C2399" i="26"/>
  <c r="C2400" i="26"/>
  <c r="C2401" i="26"/>
  <c r="C2402" i="26"/>
  <c r="C2403" i="26"/>
  <c r="C2404" i="26"/>
  <c r="C2405" i="26"/>
  <c r="D2405" i="26" s="1"/>
  <c r="C2406" i="26"/>
  <c r="C2407" i="26"/>
  <c r="D2407" i="26" s="1"/>
  <c r="C2408" i="26"/>
  <c r="C2409" i="26"/>
  <c r="C2410" i="26"/>
  <c r="C2411" i="26"/>
  <c r="C2412" i="26"/>
  <c r="C2413" i="26"/>
  <c r="C2414" i="26"/>
  <c r="C2415" i="26"/>
  <c r="C2416" i="26"/>
  <c r="C2417" i="26"/>
  <c r="C2418" i="26"/>
  <c r="C2419" i="26"/>
  <c r="C2420" i="26"/>
  <c r="C2421" i="26"/>
  <c r="D2421" i="26" s="1"/>
  <c r="C2422" i="26"/>
  <c r="C2423" i="26"/>
  <c r="C2424" i="26"/>
  <c r="C2425" i="26"/>
  <c r="C2426" i="26"/>
  <c r="C2427" i="26"/>
  <c r="D2427" i="26" s="1"/>
  <c r="C2428" i="26"/>
  <c r="D2428" i="26" s="1"/>
  <c r="C2429" i="26"/>
  <c r="C2430" i="26"/>
  <c r="C2431" i="26"/>
  <c r="C2432" i="26"/>
  <c r="C2433" i="26"/>
  <c r="C2434" i="26"/>
  <c r="C2435" i="26"/>
  <c r="C2436" i="26"/>
  <c r="C2437" i="26"/>
  <c r="C2438" i="26"/>
  <c r="C2439" i="26"/>
  <c r="D2439" i="26" s="1"/>
  <c r="C2440" i="26"/>
  <c r="C2441" i="26"/>
  <c r="D2441" i="26" s="1"/>
  <c r="C2442" i="26"/>
  <c r="C2443" i="26"/>
  <c r="C2444" i="26"/>
  <c r="C2445" i="26"/>
  <c r="C2446" i="26"/>
  <c r="C2447" i="26"/>
  <c r="C2448" i="26"/>
  <c r="C2449" i="26"/>
  <c r="C2450" i="26"/>
  <c r="C2451" i="26"/>
  <c r="C2452" i="26"/>
  <c r="D2452" i="26" s="1"/>
  <c r="C2453" i="26"/>
  <c r="D2453" i="26" s="1"/>
  <c r="C2454" i="26"/>
  <c r="C2455" i="26"/>
  <c r="D2455" i="26" s="1"/>
  <c r="C2456" i="26"/>
  <c r="C2457" i="26"/>
  <c r="C2458" i="26"/>
  <c r="C2459" i="26"/>
  <c r="D2459" i="26" s="1"/>
  <c r="C2460" i="26"/>
  <c r="C2461" i="26"/>
  <c r="D2461" i="26" s="1"/>
  <c r="C2462" i="26"/>
  <c r="C2463" i="26"/>
  <c r="C2464" i="26"/>
  <c r="C2465" i="26"/>
  <c r="C2466" i="26"/>
  <c r="C2467" i="26"/>
  <c r="D2467" i="26" s="1"/>
  <c r="C2468" i="26"/>
  <c r="D2468" i="26" s="1"/>
  <c r="C2469" i="26"/>
  <c r="C2470" i="26"/>
  <c r="C2471" i="26"/>
  <c r="C2472" i="26"/>
  <c r="C2473" i="26"/>
  <c r="C2474" i="26"/>
  <c r="C2475" i="26"/>
  <c r="C2476" i="26"/>
  <c r="C2477" i="26"/>
  <c r="C2478" i="26"/>
  <c r="C2479" i="26"/>
  <c r="C2480" i="26"/>
  <c r="C2481" i="26"/>
  <c r="C2482" i="26"/>
  <c r="C2483" i="26"/>
  <c r="C2484" i="26"/>
  <c r="C2485" i="26"/>
  <c r="C2486" i="26"/>
  <c r="C2487" i="26"/>
  <c r="C2488" i="26"/>
  <c r="C2489" i="26"/>
  <c r="C2490" i="26"/>
  <c r="D2490" i="26" s="1"/>
  <c r="C2491" i="26"/>
  <c r="C2492" i="26"/>
  <c r="C2493" i="26"/>
  <c r="D2493" i="26" s="1"/>
  <c r="C2494" i="26"/>
  <c r="D2494" i="26" s="1"/>
  <c r="C2495" i="26"/>
  <c r="C2496" i="26"/>
  <c r="C2497" i="26"/>
  <c r="C2498" i="26"/>
  <c r="C2499" i="26"/>
  <c r="C2500" i="26"/>
  <c r="C2501" i="26"/>
  <c r="C2502" i="26"/>
  <c r="C2503" i="26"/>
  <c r="D2503" i="26" s="1"/>
  <c r="C2504" i="26"/>
  <c r="C2505" i="26"/>
  <c r="C2506" i="26"/>
  <c r="C2507" i="26"/>
  <c r="C2508" i="26"/>
  <c r="C2509" i="26"/>
  <c r="C2510" i="26"/>
  <c r="C2511" i="26"/>
  <c r="C2512" i="26"/>
  <c r="C2513" i="26"/>
  <c r="C2514" i="26"/>
  <c r="C2515" i="26"/>
  <c r="C2516" i="26"/>
  <c r="C2517" i="26"/>
  <c r="C2518" i="26"/>
  <c r="C2519" i="26"/>
  <c r="C2520" i="26"/>
  <c r="C2521" i="26"/>
  <c r="C2522" i="26"/>
  <c r="C2523" i="26"/>
  <c r="C2524" i="26"/>
  <c r="C2525" i="26"/>
  <c r="C2526" i="26"/>
  <c r="C2527" i="26"/>
  <c r="C2528" i="26"/>
  <c r="D2528" i="26" s="1"/>
  <c r="C2529" i="26"/>
  <c r="C2530" i="26"/>
  <c r="C2531" i="26"/>
  <c r="C2532" i="26"/>
  <c r="D2532" i="26" s="1"/>
  <c r="C2533" i="26"/>
  <c r="D2533" i="26" s="1"/>
  <c r="C2534" i="26"/>
  <c r="C2535" i="26"/>
  <c r="C2536" i="26"/>
  <c r="C2537" i="26"/>
  <c r="C2538" i="26"/>
  <c r="C2539" i="26"/>
  <c r="C2540" i="26"/>
  <c r="C2541" i="26"/>
  <c r="C2542" i="26"/>
  <c r="C2543" i="26"/>
  <c r="C2544" i="26"/>
  <c r="C2545" i="26"/>
  <c r="C2546" i="26"/>
  <c r="C2547" i="26"/>
  <c r="C2548" i="26"/>
  <c r="C2549" i="26"/>
  <c r="C2550" i="26"/>
  <c r="C2551" i="26"/>
  <c r="C2552" i="26"/>
  <c r="C2553" i="26"/>
  <c r="C2554" i="26"/>
  <c r="C2555" i="26"/>
  <c r="C2556" i="26"/>
  <c r="C2557" i="26"/>
  <c r="C2558" i="26"/>
  <c r="C2559" i="26"/>
  <c r="D2559" i="26" s="1"/>
  <c r="C2560" i="26"/>
  <c r="C2561" i="26"/>
  <c r="D2561" i="26" s="1"/>
  <c r="C2562" i="26"/>
  <c r="C2563" i="26"/>
  <c r="C2564" i="26"/>
  <c r="C2565" i="26"/>
  <c r="C2566" i="26"/>
  <c r="C2567" i="26"/>
  <c r="C2568" i="26"/>
  <c r="C2569" i="26"/>
  <c r="C2570" i="26"/>
  <c r="C2571" i="26"/>
  <c r="C2572" i="26"/>
  <c r="C2573" i="26"/>
  <c r="C2574" i="26"/>
  <c r="D2574" i="26" s="1"/>
  <c r="C2575" i="26"/>
  <c r="C2576" i="26"/>
  <c r="C2577" i="26"/>
  <c r="C2578" i="26"/>
  <c r="C2579" i="26"/>
  <c r="C2580" i="26"/>
  <c r="C2581" i="26"/>
  <c r="C2582" i="26"/>
  <c r="C2583" i="26"/>
  <c r="C2584" i="26"/>
  <c r="D2584" i="26" s="1"/>
  <c r="C2585" i="26"/>
  <c r="C2586" i="26"/>
  <c r="C2587" i="26"/>
  <c r="C2588" i="26"/>
  <c r="C2589" i="26"/>
  <c r="C2590" i="26"/>
  <c r="C2591" i="26"/>
  <c r="C2592" i="26"/>
  <c r="C2593" i="26"/>
  <c r="C2594" i="26"/>
  <c r="C2595" i="26"/>
  <c r="C2596" i="26"/>
  <c r="C2597" i="26"/>
  <c r="C2598" i="26"/>
  <c r="C2599" i="26"/>
  <c r="C2600" i="26"/>
  <c r="C2601" i="26"/>
  <c r="C2602" i="26"/>
  <c r="C2603" i="26"/>
  <c r="C2604" i="26"/>
  <c r="C2605" i="26"/>
  <c r="C2606" i="26"/>
  <c r="C2607" i="26"/>
  <c r="C2608" i="26"/>
  <c r="C2609" i="26"/>
  <c r="C2610" i="26"/>
  <c r="C2611" i="26"/>
  <c r="C2612" i="26"/>
  <c r="C2613" i="26"/>
  <c r="C2614" i="26"/>
  <c r="C2615" i="26"/>
  <c r="C2616" i="26"/>
  <c r="C2617" i="26"/>
  <c r="C2618" i="26"/>
  <c r="C2619" i="26"/>
  <c r="C2620" i="26"/>
  <c r="C2621" i="26"/>
  <c r="C2622" i="26"/>
  <c r="D2622" i="26" s="1"/>
  <c r="C2623" i="26"/>
  <c r="D2623" i="26" s="1"/>
  <c r="C2624" i="26"/>
  <c r="C2625" i="26"/>
  <c r="C2626" i="26"/>
  <c r="C2627" i="26"/>
  <c r="D2627" i="26" s="1"/>
  <c r="C2628" i="26"/>
  <c r="C2629" i="26"/>
  <c r="C2630" i="26"/>
  <c r="C2631" i="26"/>
  <c r="C2632" i="26"/>
  <c r="C2633" i="26"/>
  <c r="C2634" i="26"/>
  <c r="C2635" i="26"/>
  <c r="C2636" i="26"/>
  <c r="C2637" i="26"/>
  <c r="C2638" i="26"/>
  <c r="C2639" i="26"/>
  <c r="C2640" i="26"/>
  <c r="D2640" i="26" s="1"/>
  <c r="C2641" i="26"/>
  <c r="C2642" i="26"/>
  <c r="C2643" i="26"/>
  <c r="C2644" i="26"/>
  <c r="C2645" i="26"/>
  <c r="C2646" i="26"/>
  <c r="C2647" i="26"/>
  <c r="C2648" i="26"/>
  <c r="D2648" i="26" s="1"/>
  <c r="C2649" i="26"/>
  <c r="C2650" i="26"/>
  <c r="C2651" i="26"/>
  <c r="C2652" i="26"/>
  <c r="C2653" i="26"/>
  <c r="C2654" i="26"/>
  <c r="C2655" i="26"/>
  <c r="C2656" i="26"/>
  <c r="C2657" i="26"/>
  <c r="C2658" i="26"/>
  <c r="C2659" i="26"/>
  <c r="C2660" i="26"/>
  <c r="D2660" i="26" s="1"/>
  <c r="C2661" i="26"/>
  <c r="C2662" i="26"/>
  <c r="C2663" i="26"/>
  <c r="C2664" i="26"/>
  <c r="C2665" i="26"/>
  <c r="C2666" i="26"/>
  <c r="C2667" i="26"/>
  <c r="C2668" i="26"/>
  <c r="C2669" i="26"/>
  <c r="C2670" i="26"/>
  <c r="C2671" i="26"/>
  <c r="C2672" i="26"/>
  <c r="C2673" i="26"/>
  <c r="D2673" i="26" s="1"/>
  <c r="C2674" i="26"/>
  <c r="D2674" i="26" s="1"/>
  <c r="C2675" i="26"/>
  <c r="C2676" i="26"/>
  <c r="C2677" i="26"/>
  <c r="C2678" i="26"/>
  <c r="C2679" i="26"/>
  <c r="C2680" i="26"/>
  <c r="D2680" i="26" s="1"/>
  <c r="C2681" i="26"/>
  <c r="C2682" i="26"/>
  <c r="C2683" i="26"/>
  <c r="C2684" i="26"/>
  <c r="C2685" i="26"/>
  <c r="C2686" i="26"/>
  <c r="C2687" i="26"/>
  <c r="C2688" i="26"/>
  <c r="C2689" i="26"/>
  <c r="C2690" i="26"/>
  <c r="C2691" i="26"/>
  <c r="D2691" i="26" s="1"/>
  <c r="C2692" i="26"/>
  <c r="C2693" i="26"/>
  <c r="C2694" i="26"/>
  <c r="C2695" i="26"/>
  <c r="C2696" i="26"/>
  <c r="C2697" i="26"/>
  <c r="C2698" i="26"/>
  <c r="C2699" i="26"/>
  <c r="C2700" i="26"/>
  <c r="C2701" i="26"/>
  <c r="C2702" i="26"/>
  <c r="C2703" i="26"/>
  <c r="C2704" i="26"/>
  <c r="C2705" i="26"/>
  <c r="C2706" i="26"/>
  <c r="C2707" i="26"/>
  <c r="C2708" i="26"/>
  <c r="C2709" i="26"/>
  <c r="C2710" i="26"/>
  <c r="C2711" i="26"/>
  <c r="C2712" i="26"/>
  <c r="C2713" i="26"/>
  <c r="C2714" i="26"/>
  <c r="C2715" i="26"/>
  <c r="C2716" i="26"/>
  <c r="C2717" i="26"/>
  <c r="C2718" i="26"/>
  <c r="C2719" i="26"/>
  <c r="C2720" i="26"/>
  <c r="C2721" i="26"/>
  <c r="C2722" i="26"/>
  <c r="C2723" i="26"/>
  <c r="C2724" i="26"/>
  <c r="C2725" i="26"/>
  <c r="C2726" i="26"/>
  <c r="D2726" i="26" s="1"/>
  <c r="C2727" i="26"/>
  <c r="D2727" i="26" s="1"/>
  <c r="C2728" i="26"/>
  <c r="D2728" i="26" s="1"/>
  <c r="C2729" i="26"/>
  <c r="C2730" i="26"/>
  <c r="C2731" i="26"/>
  <c r="F2731" i="26" s="1"/>
  <c r="C2732" i="26"/>
  <c r="C2733" i="26"/>
  <c r="C2734" i="26"/>
  <c r="C2735" i="26"/>
  <c r="C2736" i="26"/>
  <c r="C2737" i="26"/>
  <c r="C2738" i="26"/>
  <c r="C2739" i="26"/>
  <c r="C2740" i="26"/>
  <c r="C2741" i="26"/>
  <c r="C2742" i="26"/>
  <c r="D2742" i="26" s="1"/>
  <c r="C2743" i="26"/>
  <c r="C2744" i="26"/>
  <c r="C2745" i="26"/>
  <c r="C2746" i="26"/>
  <c r="C2747" i="26"/>
  <c r="D2747" i="26" s="1"/>
  <c r="C2748" i="26"/>
  <c r="C2749" i="26"/>
  <c r="C2750" i="26"/>
  <c r="C2751" i="26"/>
  <c r="C2752" i="26"/>
  <c r="C2753" i="26"/>
  <c r="C2754" i="26"/>
  <c r="C2755" i="26"/>
  <c r="C2756" i="26"/>
  <c r="C2757" i="26"/>
  <c r="D2757" i="26" s="1"/>
  <c r="C2758" i="26"/>
  <c r="C2759" i="26"/>
  <c r="C2760" i="26"/>
  <c r="C2761" i="26"/>
  <c r="C2762" i="26"/>
  <c r="C2763" i="26"/>
  <c r="C2764" i="26"/>
  <c r="C2765" i="26"/>
  <c r="C2766" i="26"/>
  <c r="C2767" i="26"/>
  <c r="C2768" i="26"/>
  <c r="C2769" i="26"/>
  <c r="C2770" i="26"/>
  <c r="C2771" i="26"/>
  <c r="C2772" i="26"/>
  <c r="C2773" i="26"/>
  <c r="C2774" i="26"/>
  <c r="C2775" i="26"/>
  <c r="C2776" i="26"/>
  <c r="C2777" i="26"/>
  <c r="C2778" i="26"/>
  <c r="D2778" i="26" s="1"/>
  <c r="C2779" i="26"/>
  <c r="C2780" i="26"/>
  <c r="C2781" i="26"/>
  <c r="C2782" i="26"/>
  <c r="C2783" i="26"/>
  <c r="C2784" i="26"/>
  <c r="C2785" i="26"/>
  <c r="C2786" i="26"/>
  <c r="C2787" i="26"/>
  <c r="C2788" i="26"/>
  <c r="C2789" i="26"/>
  <c r="C2790" i="26"/>
  <c r="D2790" i="26" s="1"/>
  <c r="C2791" i="26"/>
  <c r="C2792" i="26"/>
  <c r="C2793" i="26"/>
  <c r="C2794" i="26"/>
  <c r="C2795" i="26"/>
  <c r="C2796" i="26"/>
  <c r="C2797" i="26"/>
  <c r="C2798" i="26"/>
  <c r="C2799" i="26"/>
  <c r="C2800" i="26"/>
  <c r="C2801" i="26"/>
  <c r="C2802" i="26"/>
  <c r="C2803" i="26"/>
  <c r="C2804" i="26"/>
  <c r="C2805" i="26"/>
  <c r="D2805" i="26" s="1"/>
  <c r="C2806" i="26"/>
  <c r="C2807" i="26"/>
  <c r="C2808" i="26"/>
  <c r="C2809" i="26"/>
  <c r="D2809" i="26" s="1"/>
  <c r="C2810" i="26"/>
  <c r="C2811" i="26"/>
  <c r="C2812" i="26"/>
  <c r="C2813" i="26"/>
  <c r="C2814" i="26"/>
  <c r="C2815" i="26"/>
  <c r="C2816" i="26"/>
  <c r="C2817" i="26"/>
  <c r="C2818" i="26"/>
  <c r="C2819" i="26"/>
  <c r="C2820" i="26"/>
  <c r="D2820" i="26" s="1"/>
  <c r="C2821" i="26"/>
  <c r="C2822" i="26"/>
  <c r="C2823" i="26"/>
  <c r="C2824" i="26"/>
  <c r="C2825" i="26"/>
  <c r="C2826" i="26"/>
  <c r="C2827" i="26"/>
  <c r="C2828" i="26"/>
  <c r="C2829" i="26"/>
  <c r="C2830" i="26"/>
  <c r="C2831" i="26"/>
  <c r="C2832" i="26"/>
  <c r="C2833" i="26"/>
  <c r="C2834" i="26"/>
  <c r="C2835" i="26"/>
  <c r="C2836" i="26"/>
  <c r="C2837" i="26"/>
  <c r="C2838" i="26"/>
  <c r="C2839" i="26"/>
  <c r="C2840" i="26"/>
  <c r="D2840" i="26" s="1"/>
  <c r="C2841" i="26"/>
  <c r="C2842" i="26"/>
  <c r="C2843" i="26"/>
  <c r="C2844" i="26"/>
  <c r="C2845" i="26"/>
  <c r="C2846" i="26"/>
  <c r="C2847" i="26"/>
  <c r="C2848" i="26"/>
  <c r="C2849" i="26"/>
  <c r="C2850" i="26"/>
  <c r="C2851" i="26"/>
  <c r="C2852" i="26"/>
  <c r="C2853" i="26"/>
  <c r="C2854" i="26"/>
  <c r="C2855" i="26"/>
  <c r="C2856" i="26"/>
  <c r="C2857" i="26"/>
  <c r="C2858" i="26"/>
  <c r="C2859" i="26"/>
  <c r="C2860" i="26"/>
  <c r="C2861" i="26"/>
  <c r="D2861" i="26" s="1"/>
  <c r="C2862" i="26"/>
  <c r="C2863" i="26"/>
  <c r="C2864" i="26"/>
  <c r="C2865" i="26"/>
  <c r="C2866" i="26"/>
  <c r="C2867" i="26"/>
  <c r="C2868" i="26"/>
  <c r="C2869" i="26"/>
  <c r="D2869" i="26" s="1"/>
  <c r="C2870" i="26"/>
  <c r="D2870" i="26" s="1"/>
  <c r="C2871" i="26"/>
  <c r="C2872" i="26"/>
  <c r="D2872" i="26" s="1"/>
  <c r="C2873" i="26"/>
  <c r="D2873" i="26" s="1"/>
  <c r="C2874" i="26"/>
  <c r="D2874" i="26" s="1"/>
  <c r="C2875" i="26"/>
  <c r="C2876" i="26"/>
  <c r="C2877" i="26"/>
  <c r="C2878" i="26"/>
  <c r="C2879" i="26"/>
  <c r="C2880" i="26"/>
  <c r="D2880" i="26" s="1"/>
  <c r="C2881" i="26"/>
  <c r="C2882" i="26"/>
  <c r="C2883" i="26"/>
  <c r="C2884" i="26"/>
  <c r="C2885" i="26"/>
  <c r="C2886" i="26"/>
  <c r="C2887" i="26"/>
  <c r="C2888" i="26"/>
  <c r="C2889" i="26"/>
  <c r="C2890" i="26"/>
  <c r="C2891" i="26"/>
  <c r="C2892" i="26"/>
  <c r="C2893" i="26"/>
  <c r="D2893" i="26" s="1"/>
  <c r="C2894" i="26"/>
  <c r="C2895" i="26"/>
  <c r="C2896" i="26"/>
  <c r="C2897" i="26"/>
  <c r="C2898" i="26"/>
  <c r="C2899" i="26"/>
  <c r="C2900" i="26"/>
  <c r="D2900" i="26" s="1"/>
  <c r="C2901" i="26"/>
  <c r="D2901" i="26" s="1"/>
  <c r="C2902" i="26"/>
  <c r="D2902" i="26" s="1"/>
  <c r="C2903" i="26"/>
  <c r="C2904" i="26"/>
  <c r="D2904" i="26" s="1"/>
  <c r="C2905" i="26"/>
  <c r="C2906" i="26"/>
  <c r="C2907" i="26"/>
  <c r="C2908" i="26"/>
  <c r="C2909" i="26"/>
  <c r="C2910" i="26"/>
  <c r="C2911" i="26"/>
  <c r="C2912" i="26"/>
  <c r="C2913" i="26"/>
  <c r="D2913" i="26" s="1"/>
  <c r="C2914" i="26"/>
  <c r="C2915" i="26"/>
  <c r="C2916" i="26"/>
  <c r="C2917" i="26"/>
  <c r="D2917" i="26" s="1"/>
  <c r="C2918" i="26"/>
  <c r="C2919" i="26"/>
  <c r="C2920" i="26"/>
  <c r="C2921" i="26"/>
  <c r="C2922" i="26"/>
  <c r="C2923" i="26"/>
  <c r="C2924" i="26"/>
  <c r="C2925" i="26"/>
  <c r="C2926" i="26"/>
  <c r="C2927" i="26"/>
  <c r="D2927" i="26" s="1"/>
  <c r="C2928" i="26"/>
  <c r="C2929" i="26"/>
  <c r="C2930" i="26"/>
  <c r="C2931" i="26"/>
  <c r="F2931" i="26" s="1"/>
  <c r="C2932" i="26"/>
  <c r="D2932" i="26" s="1"/>
  <c r="C2933" i="26"/>
  <c r="D2933" i="26" s="1"/>
  <c r="C2934" i="26"/>
  <c r="C2935" i="26"/>
  <c r="C2936" i="26"/>
  <c r="C2937" i="26"/>
  <c r="C2938" i="26"/>
  <c r="C2939" i="26"/>
  <c r="C2940" i="26"/>
  <c r="C2941" i="26"/>
  <c r="C2942" i="26"/>
  <c r="C2943" i="26"/>
  <c r="C2944" i="26"/>
  <c r="C2945" i="26"/>
  <c r="C2946" i="26"/>
  <c r="C2947" i="26"/>
  <c r="C2948" i="26"/>
  <c r="D2948" i="26" s="1"/>
  <c r="C2949" i="26"/>
  <c r="C2950" i="26"/>
  <c r="C2951" i="26"/>
  <c r="F2951" i="26" s="1"/>
  <c r="C2952" i="26"/>
  <c r="C2953" i="26"/>
  <c r="C2954" i="26"/>
  <c r="C2955" i="26"/>
  <c r="C2956" i="26"/>
  <c r="D2956" i="26" s="1"/>
  <c r="C2957" i="26"/>
  <c r="D2957" i="26" s="1"/>
  <c r="C2958" i="26"/>
  <c r="C2959" i="26"/>
  <c r="C2960" i="26"/>
  <c r="C2961" i="26"/>
  <c r="C2962" i="26"/>
  <c r="C2963" i="26"/>
  <c r="C2964" i="26"/>
  <c r="C2965" i="26"/>
  <c r="C2966" i="26"/>
  <c r="C2967" i="26"/>
  <c r="D2967" i="26" s="1"/>
  <c r="C2968" i="26"/>
  <c r="D2968" i="26" s="1"/>
  <c r="C2969" i="26"/>
  <c r="C2970" i="26"/>
  <c r="C2971" i="26"/>
  <c r="F2971" i="26" s="1"/>
  <c r="C2972" i="26"/>
  <c r="D2972" i="26" s="1"/>
  <c r="C2973" i="26"/>
  <c r="C2974" i="26"/>
  <c r="C2975" i="26"/>
  <c r="C2976" i="26"/>
  <c r="C2977" i="26"/>
  <c r="C2978" i="26"/>
  <c r="C2979" i="26"/>
  <c r="C2980" i="26"/>
  <c r="C2981" i="26"/>
  <c r="C2982" i="26"/>
  <c r="C2983" i="26"/>
  <c r="C2984" i="26"/>
  <c r="C2985" i="26"/>
  <c r="C2986" i="26"/>
  <c r="C2987" i="26"/>
  <c r="D2987" i="26" s="1"/>
  <c r="C2988" i="26"/>
  <c r="D2988" i="26" s="1"/>
  <c r="C2989" i="26"/>
  <c r="C2990" i="26"/>
  <c r="C2991" i="26"/>
  <c r="C2992" i="26"/>
  <c r="C2993" i="26"/>
  <c r="C2994" i="26"/>
  <c r="C2995" i="26"/>
  <c r="C2996" i="26"/>
  <c r="C2997" i="26"/>
  <c r="C2998" i="26"/>
  <c r="C2999" i="26"/>
  <c r="C3000" i="26"/>
  <c r="D3000" i="26" s="1"/>
  <c r="C3001" i="26"/>
  <c r="C3002" i="26"/>
  <c r="C3003" i="26"/>
  <c r="C3004" i="26"/>
  <c r="C3005" i="26"/>
  <c r="C3006" i="26"/>
  <c r="C3007" i="26"/>
  <c r="D3007" i="26" s="1"/>
  <c r="C3008" i="26"/>
  <c r="C3009" i="26"/>
  <c r="C3010" i="26"/>
  <c r="C3011" i="26"/>
  <c r="D3011" i="26" s="1"/>
  <c r="C3012" i="26"/>
  <c r="C3013" i="26"/>
  <c r="C3014" i="26"/>
  <c r="C3015" i="26"/>
  <c r="C3016" i="26"/>
  <c r="C3017" i="26"/>
  <c r="C3018" i="26"/>
  <c r="C3019" i="26"/>
  <c r="D3019" i="26" s="1"/>
  <c r="C3020" i="26"/>
  <c r="D3020" i="26" s="1"/>
  <c r="C3021" i="26"/>
  <c r="C3022" i="26"/>
  <c r="C3023" i="26"/>
  <c r="D3023" i="26" s="1"/>
  <c r="C3024" i="26"/>
  <c r="C3025" i="26"/>
  <c r="C3026" i="26"/>
  <c r="C3027" i="26"/>
  <c r="C3028" i="26"/>
  <c r="C3029" i="26"/>
  <c r="C3030" i="26"/>
  <c r="C3031" i="26"/>
  <c r="C3032" i="26"/>
  <c r="C3033" i="26"/>
  <c r="C3034" i="26"/>
  <c r="D3034" i="26" s="1"/>
  <c r="C3035" i="26"/>
  <c r="C3036" i="26"/>
  <c r="D3036" i="26" s="1"/>
  <c r="C3037" i="26"/>
  <c r="C3038" i="26"/>
  <c r="C3039" i="26"/>
  <c r="C3040" i="26"/>
  <c r="C3041" i="26"/>
  <c r="C3042" i="26"/>
  <c r="C3043" i="26"/>
  <c r="F3043" i="26" s="1"/>
  <c r="C3044" i="26"/>
  <c r="C3045" i="26"/>
  <c r="C3046" i="26"/>
  <c r="C3047" i="26"/>
  <c r="C3048" i="26"/>
  <c r="C3049" i="26"/>
  <c r="C3050" i="26"/>
  <c r="C3051" i="26"/>
  <c r="C3052" i="26"/>
  <c r="C3053" i="26"/>
  <c r="C3054" i="26"/>
  <c r="C3055" i="26"/>
  <c r="C3056" i="26"/>
  <c r="C3057" i="26"/>
  <c r="C3058" i="26"/>
  <c r="C3059" i="26"/>
  <c r="C3060" i="26"/>
  <c r="D3060" i="26" s="1"/>
  <c r="C3061" i="26"/>
  <c r="C3062" i="26"/>
  <c r="C3063" i="26"/>
  <c r="D3063" i="26" s="1"/>
  <c r="C3064" i="26"/>
  <c r="C3065" i="26"/>
  <c r="C3066" i="26"/>
  <c r="C3067" i="26"/>
  <c r="C3068" i="26"/>
  <c r="D3068" i="26" s="1"/>
  <c r="C3069" i="26"/>
  <c r="C3070" i="26"/>
  <c r="D3070" i="26" s="1"/>
  <c r="C3071" i="26"/>
  <c r="C3072" i="26"/>
  <c r="C3073" i="26"/>
  <c r="C3074" i="26"/>
  <c r="D3074" i="26" s="1"/>
  <c r="C3075" i="26"/>
  <c r="C3076" i="26"/>
  <c r="C3077" i="26"/>
  <c r="C3078" i="26"/>
  <c r="C3079" i="26"/>
  <c r="C3080" i="26"/>
  <c r="D3080" i="26" s="1"/>
  <c r="C3081" i="26"/>
  <c r="C3082" i="26"/>
  <c r="C3083" i="26"/>
  <c r="C3084" i="26"/>
  <c r="C3085" i="26"/>
  <c r="C3086" i="26"/>
  <c r="C3087" i="26"/>
  <c r="D3087" i="26" s="1"/>
  <c r="C3088" i="26"/>
  <c r="C3089" i="26"/>
  <c r="D3089" i="26" s="1"/>
  <c r="C3090" i="26"/>
  <c r="C3091" i="26"/>
  <c r="C3092" i="26"/>
  <c r="C3093" i="26"/>
  <c r="C3094" i="26"/>
  <c r="C3095" i="26"/>
  <c r="C3096" i="26"/>
  <c r="C3097" i="26"/>
  <c r="C3098" i="26"/>
  <c r="C3099" i="26"/>
  <c r="C3100" i="26"/>
  <c r="D3100" i="26" s="1"/>
  <c r="C3101" i="26"/>
  <c r="D3101" i="26" s="1"/>
  <c r="C3102" i="26"/>
  <c r="C3103" i="26"/>
  <c r="C3104" i="26"/>
  <c r="C3105" i="26"/>
  <c r="C3106" i="26"/>
  <c r="C3107" i="26"/>
  <c r="C3108" i="26"/>
  <c r="C3109" i="26"/>
  <c r="C3110" i="26"/>
  <c r="C3111" i="26"/>
  <c r="C3112" i="26"/>
  <c r="C3113" i="26"/>
  <c r="C3114" i="26"/>
  <c r="C3115" i="26"/>
  <c r="C3116" i="26"/>
  <c r="C3117" i="26"/>
  <c r="C3118" i="26"/>
  <c r="C3119" i="26"/>
  <c r="D3119" i="26" s="1"/>
  <c r="C3120" i="26"/>
  <c r="C3121" i="26"/>
  <c r="C3122" i="26"/>
  <c r="C3123" i="26"/>
  <c r="D3123" i="26" s="1"/>
  <c r="C3124" i="26"/>
  <c r="C3125" i="26"/>
  <c r="C3126" i="26"/>
  <c r="C3127" i="26"/>
  <c r="C3128" i="26"/>
  <c r="C3129" i="26"/>
  <c r="C3130" i="26"/>
  <c r="C3131" i="26"/>
  <c r="C3132" i="26"/>
  <c r="C3133" i="26"/>
  <c r="C3134" i="26"/>
  <c r="C3135" i="26"/>
  <c r="C3136" i="26"/>
  <c r="C3137" i="26"/>
  <c r="C3138" i="26"/>
  <c r="C3139" i="26"/>
  <c r="C3140" i="26"/>
  <c r="C3141" i="26"/>
  <c r="C3142" i="26"/>
  <c r="D3142" i="26" s="1"/>
  <c r="C3143" i="26"/>
  <c r="D3143" i="26" s="1"/>
  <c r="C3144" i="26"/>
  <c r="C3145" i="26"/>
  <c r="C3146" i="26"/>
  <c r="C3147" i="26"/>
  <c r="D3147" i="26" s="1"/>
  <c r="C3148" i="26"/>
  <c r="C3149" i="26"/>
  <c r="C3150" i="26"/>
  <c r="C3151" i="26"/>
  <c r="D3151" i="26" s="1"/>
  <c r="C3152" i="26"/>
  <c r="C3153" i="26"/>
  <c r="C3154" i="26"/>
  <c r="C3155" i="26"/>
  <c r="C3156" i="26"/>
  <c r="C3157" i="26"/>
  <c r="C3158" i="26"/>
  <c r="C3159" i="26"/>
  <c r="C3160" i="26"/>
  <c r="C3161" i="26"/>
  <c r="C3162" i="26"/>
  <c r="D3162" i="26" s="1"/>
  <c r="C3163" i="26"/>
  <c r="D3163" i="26" s="1"/>
  <c r="C3164" i="26"/>
  <c r="C3165" i="26"/>
  <c r="C3166" i="26"/>
  <c r="C3167" i="26"/>
  <c r="D3167" i="26" s="1"/>
  <c r="C3168" i="26"/>
  <c r="C3169" i="26"/>
  <c r="C3170" i="26"/>
  <c r="C3171" i="26"/>
  <c r="C3172" i="26"/>
  <c r="C3173" i="26"/>
  <c r="C3174" i="26"/>
  <c r="C3175" i="26"/>
  <c r="C3176" i="26"/>
  <c r="C3177" i="26"/>
  <c r="C3178" i="26"/>
  <c r="C3179" i="26"/>
  <c r="C3180" i="26"/>
  <c r="C3181" i="26"/>
  <c r="D3181" i="26" s="1"/>
  <c r="C3182" i="26"/>
  <c r="C3183" i="26"/>
  <c r="C3184" i="26"/>
  <c r="C3185" i="26"/>
  <c r="C3186" i="26"/>
  <c r="C3187" i="26"/>
  <c r="C3188" i="26"/>
  <c r="C3189" i="26"/>
  <c r="C3190" i="26"/>
  <c r="C3191" i="26"/>
  <c r="C3192" i="26"/>
  <c r="C3193" i="26"/>
  <c r="C3194" i="26"/>
  <c r="C3195" i="26"/>
  <c r="C3196" i="26"/>
  <c r="C3197" i="26"/>
  <c r="C3198" i="26"/>
  <c r="C3199" i="26"/>
  <c r="C3200" i="26"/>
  <c r="C3201" i="26"/>
  <c r="D3201" i="26" s="1"/>
  <c r="C3202" i="26"/>
  <c r="C3203" i="26"/>
  <c r="C3204" i="26"/>
  <c r="C3205" i="26"/>
  <c r="C3206" i="26"/>
  <c r="C3207" i="26"/>
  <c r="D3207" i="26" s="1"/>
  <c r="C3208" i="26"/>
  <c r="D3208" i="26" s="1"/>
  <c r="C3209" i="26"/>
  <c r="C3210" i="26"/>
  <c r="C3211" i="26"/>
  <c r="D3211" i="26" s="1"/>
  <c r="C3212" i="26"/>
  <c r="F3212" i="26" s="1"/>
  <c r="C3213" i="26"/>
  <c r="C3214" i="26"/>
  <c r="C3215" i="26"/>
  <c r="C3216" i="26"/>
  <c r="C3217" i="26"/>
  <c r="C3218" i="26"/>
  <c r="C3219" i="26"/>
  <c r="C3220" i="26"/>
  <c r="C3221" i="26"/>
  <c r="C3222" i="26"/>
  <c r="C3223" i="26"/>
  <c r="C3224" i="26"/>
  <c r="C3225" i="26"/>
  <c r="C3226" i="26"/>
  <c r="C3227" i="26"/>
  <c r="C3228" i="26"/>
  <c r="D3228" i="26" s="1"/>
  <c r="C3229" i="26"/>
  <c r="C3230" i="26"/>
  <c r="C3231" i="26"/>
  <c r="C3232" i="26"/>
  <c r="C3233" i="26"/>
  <c r="C3234" i="26"/>
  <c r="C3235" i="26"/>
  <c r="C3236" i="26"/>
  <c r="C3237" i="26"/>
  <c r="C3238" i="26"/>
  <c r="C3239" i="26"/>
  <c r="C3240" i="26"/>
  <c r="C3241" i="26"/>
  <c r="D3241" i="26" s="1"/>
  <c r="C3242" i="26"/>
  <c r="D3242" i="26" s="1"/>
  <c r="C3243" i="26"/>
  <c r="C3244" i="26"/>
  <c r="C3245" i="26"/>
  <c r="C3246" i="26"/>
  <c r="C3247" i="26"/>
  <c r="C3248" i="26"/>
  <c r="C3249" i="26"/>
  <c r="C3250" i="26"/>
  <c r="C3251" i="26"/>
  <c r="C3252" i="26"/>
  <c r="C3253" i="26"/>
  <c r="C3254" i="26"/>
  <c r="C3255" i="26"/>
  <c r="C3256" i="26"/>
  <c r="C3257" i="26"/>
  <c r="D3257" i="26" s="1"/>
  <c r="C3258" i="26"/>
  <c r="D3258" i="26" s="1"/>
  <c r="C3259" i="26"/>
  <c r="C3260" i="26"/>
  <c r="C3261" i="26"/>
  <c r="D3261" i="26" s="1"/>
  <c r="C3262" i="26"/>
  <c r="D3262" i="26" s="1"/>
  <c r="C3263" i="26"/>
  <c r="C3264" i="26"/>
  <c r="C3265" i="26"/>
  <c r="D3265" i="26" s="1"/>
  <c r="C3266" i="26"/>
  <c r="D3266" i="26" s="1"/>
  <c r="C3267" i="26"/>
  <c r="C3268" i="26"/>
  <c r="D3268" i="26" s="1"/>
  <c r="C3269" i="26"/>
  <c r="C3270" i="26"/>
  <c r="C3271" i="26"/>
  <c r="C3272" i="26"/>
  <c r="C3273" i="26"/>
  <c r="C3274" i="26"/>
  <c r="C3275" i="26"/>
  <c r="C3276" i="26"/>
  <c r="D3276" i="26" s="1"/>
  <c r="C3277" i="26"/>
  <c r="C3278" i="26"/>
  <c r="C3279" i="26"/>
  <c r="C3280" i="26"/>
  <c r="D3280" i="26" s="1"/>
  <c r="C3281" i="26"/>
  <c r="F3281" i="26" s="1"/>
  <c r="C3282" i="26"/>
  <c r="C3283" i="26"/>
  <c r="C3284" i="26"/>
  <c r="C3285" i="26"/>
  <c r="C3286" i="26"/>
  <c r="C3287" i="26"/>
  <c r="C3288" i="26"/>
  <c r="C3289" i="26"/>
  <c r="C3290" i="26"/>
  <c r="C3291" i="26"/>
  <c r="D3291" i="26" s="1"/>
  <c r="C3292" i="26"/>
  <c r="C3293" i="26"/>
  <c r="C3294" i="26"/>
  <c r="C3295" i="26"/>
  <c r="D3295" i="26" s="1"/>
  <c r="C3296" i="26"/>
  <c r="D3296" i="26" s="1"/>
  <c r="C3297" i="26"/>
  <c r="C3298" i="26"/>
  <c r="C3299" i="26"/>
  <c r="C3300" i="26"/>
  <c r="C3301" i="26"/>
  <c r="D3301" i="26" s="1"/>
  <c r="C3302" i="26"/>
  <c r="C3303" i="26"/>
  <c r="C3304" i="26"/>
  <c r="C3305" i="26"/>
  <c r="C3306" i="26"/>
  <c r="C3307" i="26"/>
  <c r="D3307" i="26" s="1"/>
  <c r="C3308" i="26"/>
  <c r="D3308" i="26" s="1"/>
  <c r="C3309" i="26"/>
  <c r="C3310" i="26"/>
  <c r="C3311" i="26"/>
  <c r="C3312" i="26"/>
  <c r="C3313" i="26"/>
  <c r="C3314" i="26"/>
  <c r="C3315" i="26"/>
  <c r="C3316" i="26"/>
  <c r="C3317" i="26"/>
  <c r="D3317" i="26" s="1"/>
  <c r="C3318" i="26"/>
  <c r="D3318" i="26" s="1"/>
  <c r="C3319" i="26"/>
  <c r="C3320" i="26"/>
  <c r="C3321" i="26"/>
  <c r="C3322" i="26"/>
  <c r="C3323" i="26"/>
  <c r="C3324" i="26"/>
  <c r="C3325" i="26"/>
  <c r="C3326" i="26"/>
  <c r="C3327" i="26"/>
  <c r="C3328" i="26"/>
  <c r="D3328" i="26" s="1"/>
  <c r="C3329" i="26"/>
  <c r="C3330" i="26"/>
  <c r="C3331" i="26"/>
  <c r="C3332" i="26"/>
  <c r="C3333" i="26"/>
  <c r="C3334" i="26"/>
  <c r="D3334" i="26" s="1"/>
  <c r="C3335" i="26"/>
  <c r="C3336" i="26"/>
  <c r="C3337" i="26"/>
  <c r="C3338" i="26"/>
  <c r="D3338" i="26" s="1"/>
  <c r="C3339" i="26"/>
  <c r="C3340" i="26"/>
  <c r="C3341" i="26"/>
  <c r="C3342" i="26"/>
  <c r="C3343" i="26"/>
  <c r="F3343" i="26" s="1"/>
  <c r="C3344" i="26"/>
  <c r="C3345" i="26"/>
  <c r="C3346" i="26"/>
  <c r="D3346" i="26" s="1"/>
  <c r="C3347" i="26"/>
  <c r="D3347" i="26" s="1"/>
  <c r="C3348" i="26"/>
  <c r="D3348" i="26" s="1"/>
  <c r="C3349" i="26"/>
  <c r="C3350" i="26"/>
  <c r="C3351" i="26"/>
  <c r="C3352" i="26"/>
  <c r="C3353" i="26"/>
  <c r="C3354" i="26"/>
  <c r="C3355" i="26"/>
  <c r="C3356" i="26"/>
  <c r="C3357" i="26"/>
  <c r="C3358" i="26"/>
  <c r="C3359" i="26"/>
  <c r="C3360" i="26"/>
  <c r="C3361" i="26"/>
  <c r="C3362" i="26"/>
  <c r="C3363" i="26"/>
  <c r="C3364" i="26"/>
  <c r="C3365" i="26"/>
  <c r="D3365" i="26" s="1"/>
  <c r="C3366" i="26"/>
  <c r="D3366" i="26" s="1"/>
  <c r="C3367" i="26"/>
  <c r="C3368" i="26"/>
  <c r="C3369" i="26"/>
  <c r="C3370" i="26"/>
  <c r="C3371" i="26"/>
  <c r="C3372" i="26"/>
  <c r="C3373" i="26"/>
  <c r="C3374" i="26"/>
  <c r="C3375" i="26"/>
  <c r="C3376" i="26"/>
  <c r="D3376" i="26" s="1"/>
  <c r="C3377" i="26"/>
  <c r="D3377" i="26" s="1"/>
  <c r="C3378" i="26"/>
  <c r="C3379" i="26"/>
  <c r="D3379" i="26" s="1"/>
  <c r="C3380" i="26"/>
  <c r="C3381" i="26"/>
  <c r="C3382" i="26"/>
  <c r="C3383" i="26"/>
  <c r="C3384" i="26"/>
  <c r="C3385" i="26"/>
  <c r="C3386" i="26"/>
  <c r="C3387" i="26"/>
  <c r="D3387" i="26" s="1"/>
  <c r="C3388" i="26"/>
  <c r="D3388" i="26" s="1"/>
  <c r="C3389" i="26"/>
  <c r="C3390" i="26"/>
  <c r="C3391" i="26"/>
  <c r="F3391" i="26" s="1"/>
  <c r="C3392" i="26"/>
  <c r="C3393" i="26"/>
  <c r="C3394" i="26"/>
  <c r="C3395" i="26"/>
  <c r="D3395" i="26" s="1"/>
  <c r="C3396" i="26"/>
  <c r="C3397" i="26"/>
  <c r="C3398" i="26"/>
  <c r="C3399" i="26"/>
  <c r="C3400" i="26"/>
  <c r="D3400" i="26" s="1"/>
  <c r="C3401" i="26"/>
  <c r="F3401" i="26" s="1"/>
  <c r="C3402" i="26"/>
  <c r="C3403" i="26"/>
  <c r="C3404" i="26"/>
  <c r="C3405" i="26"/>
  <c r="C3406" i="26"/>
  <c r="C3407" i="26"/>
  <c r="D3407" i="26" s="1"/>
  <c r="C3408" i="26"/>
  <c r="D3408" i="26" s="1"/>
  <c r="C3409" i="26"/>
  <c r="D3409" i="26" s="1"/>
  <c r="C3410" i="26"/>
  <c r="D3410" i="26" s="1"/>
  <c r="C3411" i="26"/>
  <c r="D3411" i="26" s="1"/>
  <c r="C3412" i="26"/>
  <c r="C3413" i="26"/>
  <c r="C3414" i="26"/>
  <c r="C3415" i="26"/>
  <c r="C3416" i="26"/>
  <c r="C3417" i="26"/>
  <c r="C3418" i="26"/>
  <c r="C3419" i="26"/>
  <c r="C3420" i="26"/>
  <c r="D3420" i="26" s="1"/>
  <c r="C3421" i="26"/>
  <c r="C3422" i="26"/>
  <c r="C3423" i="26"/>
  <c r="C3424" i="26"/>
  <c r="C3425" i="26"/>
  <c r="C3426" i="26"/>
  <c r="C3427" i="26"/>
  <c r="D3427" i="26" s="1"/>
  <c r="C3428" i="26"/>
  <c r="C3429" i="26"/>
  <c r="C3430" i="26"/>
  <c r="C3431" i="26"/>
  <c r="C3432" i="26"/>
  <c r="C3433" i="26"/>
  <c r="C3434" i="26"/>
  <c r="D3434" i="26" s="1"/>
  <c r="C3435" i="26"/>
  <c r="C3436" i="26"/>
  <c r="D3436" i="26" s="1"/>
  <c r="C3437" i="26"/>
  <c r="C3438" i="26"/>
  <c r="C3439" i="26"/>
  <c r="C3440" i="26"/>
  <c r="D3440" i="26" s="1"/>
  <c r="C3441" i="26"/>
  <c r="C3442" i="26"/>
  <c r="C3443" i="26"/>
  <c r="D3443" i="26" s="1"/>
  <c r="C3444" i="26"/>
  <c r="C3445" i="26"/>
  <c r="C3446" i="26"/>
  <c r="C3447" i="26"/>
  <c r="D3447" i="26" s="1"/>
  <c r="C3448" i="26"/>
  <c r="C3449" i="26"/>
  <c r="C3450" i="26"/>
  <c r="C3451" i="26"/>
  <c r="C3452" i="26"/>
  <c r="C3453" i="26"/>
  <c r="C3454" i="26"/>
  <c r="C3455" i="26"/>
  <c r="C3456" i="26"/>
  <c r="C3457" i="26"/>
  <c r="C3458" i="26"/>
  <c r="C3459" i="26"/>
  <c r="D3459" i="26" s="1"/>
  <c r="C3460" i="26"/>
  <c r="D3460" i="26" s="1"/>
  <c r="C3461" i="26"/>
  <c r="C3462" i="26"/>
  <c r="C3463" i="26"/>
  <c r="C3464" i="26"/>
  <c r="C3465" i="26"/>
  <c r="C3466" i="26"/>
  <c r="C3467" i="26"/>
  <c r="C3468" i="26"/>
  <c r="C3469" i="26"/>
  <c r="C3470" i="26"/>
  <c r="C3471" i="26"/>
  <c r="C3472" i="26"/>
  <c r="C3473" i="26"/>
  <c r="C3474" i="26"/>
  <c r="C3475" i="26"/>
  <c r="C3476" i="26"/>
  <c r="C3477" i="26"/>
  <c r="C3478" i="26"/>
  <c r="C3479" i="26"/>
  <c r="C3480" i="26"/>
  <c r="C3481" i="26"/>
  <c r="C3482" i="26"/>
  <c r="C3483" i="26"/>
  <c r="C3484" i="26"/>
  <c r="C3485" i="26"/>
  <c r="C3486" i="26"/>
  <c r="C3487" i="26"/>
  <c r="C3488" i="26"/>
  <c r="C3489" i="26"/>
  <c r="D3489" i="26" s="1"/>
  <c r="C3490" i="26"/>
  <c r="D3490" i="26" s="1"/>
  <c r="C3491" i="26"/>
  <c r="D3491" i="26" s="1"/>
  <c r="C3492" i="26"/>
  <c r="C3493" i="26"/>
  <c r="C3494" i="26"/>
  <c r="C3495" i="26"/>
  <c r="C3496" i="26"/>
  <c r="C3497" i="26"/>
  <c r="C3498" i="26"/>
  <c r="C3499" i="26"/>
  <c r="C3500" i="26"/>
  <c r="D3500" i="26" s="1"/>
  <c r="C3501" i="26"/>
  <c r="C3502" i="26"/>
  <c r="C3503" i="26"/>
  <c r="C3504" i="26"/>
  <c r="C3505" i="26"/>
  <c r="C3506" i="26"/>
  <c r="C3507" i="26"/>
  <c r="C3508" i="26"/>
  <c r="C3509" i="26"/>
  <c r="C3510" i="26"/>
  <c r="C3511" i="26"/>
  <c r="C3512" i="26"/>
  <c r="F3512" i="26" s="1"/>
  <c r="C3513" i="26"/>
  <c r="C3514" i="26"/>
  <c r="C3515" i="26"/>
  <c r="C3516" i="26"/>
  <c r="C3517" i="26"/>
  <c r="C3518" i="26"/>
  <c r="D3518" i="26" s="1"/>
  <c r="C3519" i="26"/>
  <c r="C3520" i="26"/>
  <c r="C3521" i="26"/>
  <c r="C3522" i="26"/>
  <c r="D3522" i="26" s="1"/>
  <c r="C3523" i="26"/>
  <c r="C3524" i="26"/>
  <c r="C3525" i="26"/>
  <c r="C3526" i="26"/>
  <c r="C3527" i="26"/>
  <c r="D3527" i="26" s="1"/>
  <c r="C3528" i="26"/>
  <c r="D3528" i="26" s="1"/>
  <c r="C3529" i="26"/>
  <c r="C3530" i="26"/>
  <c r="C3531" i="26"/>
  <c r="C3532" i="26"/>
  <c r="C3533" i="26"/>
  <c r="C3534" i="26"/>
  <c r="C3535" i="26"/>
  <c r="C3536" i="26"/>
  <c r="C3537" i="26"/>
  <c r="C3538" i="26"/>
  <c r="C3539" i="26"/>
  <c r="C3540" i="26"/>
  <c r="C3541" i="26"/>
  <c r="C3542" i="26"/>
  <c r="C3543" i="26"/>
  <c r="C3544" i="26"/>
  <c r="C3545" i="26"/>
  <c r="C3546" i="26"/>
  <c r="C3547" i="26"/>
  <c r="D3547" i="26" s="1"/>
  <c r="C3548" i="26"/>
  <c r="C3549" i="26"/>
  <c r="C3550" i="26"/>
  <c r="C3551" i="26"/>
  <c r="C3552" i="26"/>
  <c r="C3553" i="26"/>
  <c r="D3553" i="26" s="1"/>
  <c r="C3554" i="26"/>
  <c r="D3554" i="26" s="1"/>
  <c r="C3555" i="26"/>
  <c r="C3556" i="26"/>
  <c r="D3556" i="26" s="1"/>
  <c r="C3557" i="26"/>
  <c r="D3557" i="26" s="1"/>
  <c r="C3558" i="26"/>
  <c r="C3559" i="26"/>
  <c r="C3560" i="26"/>
  <c r="C3561" i="26"/>
  <c r="C3562" i="26"/>
  <c r="C3563" i="26"/>
  <c r="C3564" i="26"/>
  <c r="C3565" i="26"/>
  <c r="C3566" i="26"/>
  <c r="C3567" i="26"/>
  <c r="C3568" i="26"/>
  <c r="D3568" i="26" s="1"/>
  <c r="C3569" i="26"/>
  <c r="C3570" i="26"/>
  <c r="C3571" i="26"/>
  <c r="C3572" i="26"/>
  <c r="C3573" i="26"/>
  <c r="C3574" i="26"/>
  <c r="C3575" i="26"/>
  <c r="C3576" i="26"/>
  <c r="C3577" i="26"/>
  <c r="C3578" i="26"/>
  <c r="C3579" i="26"/>
  <c r="C3580" i="26"/>
  <c r="C3581" i="26"/>
  <c r="C3582" i="26"/>
  <c r="C3583" i="26"/>
  <c r="C3584" i="26"/>
  <c r="C3585" i="26"/>
  <c r="C3586" i="26"/>
  <c r="C3587" i="26"/>
  <c r="D3587" i="26" s="1"/>
  <c r="C3588" i="26"/>
  <c r="D3588" i="26" s="1"/>
  <c r="C3589" i="26"/>
  <c r="C3590" i="26"/>
  <c r="C3591" i="26"/>
  <c r="C3592" i="26"/>
  <c r="F3592" i="26" s="1"/>
  <c r="C3593" i="26"/>
  <c r="C3594" i="26"/>
  <c r="C3595" i="26"/>
  <c r="C3596" i="26"/>
  <c r="C3597" i="26"/>
  <c r="C3598" i="26"/>
  <c r="C3599" i="26"/>
  <c r="D3599" i="26" s="1"/>
  <c r="C3600" i="26"/>
  <c r="D3600" i="26" s="1"/>
  <c r="C3601" i="26"/>
  <c r="C3602" i="26"/>
  <c r="C3603" i="26"/>
  <c r="C3604" i="26"/>
  <c r="C3605" i="26"/>
  <c r="C3606" i="26"/>
  <c r="C3607" i="26"/>
  <c r="C3608" i="26"/>
  <c r="C3609" i="26"/>
  <c r="C3610" i="26"/>
  <c r="C3611" i="26"/>
  <c r="C3612" i="26"/>
  <c r="F3612" i="26" s="1"/>
  <c r="C3613" i="26"/>
  <c r="C3614" i="26"/>
  <c r="C3615" i="26"/>
  <c r="C3616" i="26"/>
  <c r="D3616" i="26" s="1"/>
  <c r="C3617" i="26"/>
  <c r="C3618" i="26"/>
  <c r="C3619" i="26"/>
  <c r="D3619" i="26" s="1"/>
  <c r="C3620" i="26"/>
  <c r="C3621" i="26"/>
  <c r="D3621" i="26" s="1"/>
  <c r="C3622" i="26"/>
  <c r="C3623" i="26"/>
  <c r="C3624" i="26"/>
  <c r="C3625" i="26"/>
  <c r="C3626" i="26"/>
  <c r="C3627" i="26"/>
  <c r="C3628" i="26"/>
  <c r="D3628" i="26" s="1"/>
  <c r="C3629" i="26"/>
  <c r="C3630" i="26"/>
  <c r="C3631" i="26"/>
  <c r="C3632" i="26"/>
  <c r="C3633" i="26"/>
  <c r="C3634" i="26"/>
  <c r="D3634" i="26" s="1"/>
  <c r="C3635" i="26"/>
  <c r="C3636" i="26"/>
  <c r="C3637" i="26"/>
  <c r="C3638" i="26"/>
  <c r="C3639" i="26"/>
  <c r="D3639" i="26" s="1"/>
  <c r="C3640" i="26"/>
  <c r="D3640" i="26" s="1"/>
  <c r="C3641" i="26"/>
  <c r="C3642" i="26"/>
  <c r="C3643" i="26"/>
  <c r="C3644" i="26"/>
  <c r="C3645" i="26"/>
  <c r="C3646" i="26"/>
  <c r="D3646" i="26" s="1"/>
  <c r="C3647" i="26"/>
  <c r="C3648" i="26"/>
  <c r="C3649" i="26"/>
  <c r="C3650" i="26"/>
  <c r="C3651" i="26"/>
  <c r="C3652" i="26"/>
  <c r="F3652" i="26" s="1"/>
  <c r="C3653" i="26"/>
  <c r="C3654" i="26"/>
  <c r="D3654" i="26" s="1"/>
  <c r="C3655" i="26"/>
  <c r="C3656" i="26"/>
  <c r="C3657" i="26"/>
  <c r="C3658" i="26"/>
  <c r="C3659" i="26"/>
  <c r="C3660" i="26"/>
  <c r="C3661" i="26"/>
  <c r="C3662" i="26"/>
  <c r="C3663" i="26"/>
  <c r="C3664" i="26"/>
  <c r="C3665" i="26"/>
  <c r="C3666" i="26"/>
  <c r="C3667" i="26"/>
  <c r="C3668" i="26"/>
  <c r="C3669" i="26"/>
  <c r="C3670" i="26"/>
  <c r="D3670" i="26" s="1"/>
  <c r="C3671" i="26"/>
  <c r="C3672" i="26"/>
  <c r="F3672" i="26" s="1"/>
  <c r="C3673" i="26"/>
  <c r="C3674" i="26"/>
  <c r="C3675" i="26"/>
  <c r="C3676" i="26"/>
  <c r="D3676" i="26" s="1"/>
  <c r="C3677" i="26"/>
  <c r="C3678" i="26"/>
  <c r="C3679" i="26"/>
  <c r="C3680" i="26"/>
  <c r="C3681" i="26"/>
  <c r="D3681" i="26" s="1"/>
  <c r="C3682" i="26"/>
  <c r="C3683" i="26"/>
  <c r="C3684" i="26"/>
  <c r="C3685" i="26"/>
  <c r="C3686" i="26"/>
  <c r="C3687" i="26"/>
  <c r="D3687" i="26" s="1"/>
  <c r="C3688" i="26"/>
  <c r="D3688" i="26" s="1"/>
  <c r="C3689" i="26"/>
  <c r="C3690" i="26"/>
  <c r="C3691" i="26"/>
  <c r="C3692" i="26"/>
  <c r="C3693" i="26"/>
  <c r="D3693" i="26" s="1"/>
  <c r="C3694" i="26"/>
  <c r="C3695" i="26"/>
  <c r="D3695" i="26" s="1"/>
  <c r="C3696" i="26"/>
  <c r="C3697" i="26"/>
  <c r="D3697" i="26" s="1"/>
  <c r="C3698" i="26"/>
  <c r="C3699" i="26"/>
  <c r="C3700" i="26"/>
  <c r="D3700" i="26" s="1"/>
  <c r="C3701" i="26"/>
  <c r="C3702" i="26"/>
  <c r="D3702" i="26" s="1"/>
  <c r="C3703" i="26"/>
  <c r="C3704" i="26"/>
  <c r="C3705" i="26"/>
  <c r="C3706" i="26"/>
  <c r="C3707" i="26"/>
  <c r="C3708" i="26"/>
  <c r="C3709" i="26"/>
  <c r="C3710" i="26"/>
  <c r="C3711" i="26"/>
  <c r="C3712" i="26"/>
  <c r="D3712" i="26" s="1"/>
  <c r="C3713" i="26"/>
  <c r="D3713" i="26" s="1"/>
  <c r="C3714" i="26"/>
  <c r="C3715" i="26"/>
  <c r="C3716" i="26"/>
  <c r="D3716" i="26" s="1"/>
  <c r="C3717" i="26"/>
  <c r="C3718" i="26"/>
  <c r="C3719" i="26"/>
  <c r="C3720" i="26"/>
  <c r="C3721" i="26"/>
  <c r="C3722" i="26"/>
  <c r="C3723" i="26"/>
  <c r="C3724" i="26"/>
  <c r="C3725" i="26"/>
  <c r="C3726" i="26"/>
  <c r="C3727" i="26"/>
  <c r="C3728" i="26"/>
  <c r="C3729" i="26"/>
  <c r="C3730" i="26"/>
  <c r="C3731" i="26"/>
  <c r="C3732" i="26"/>
  <c r="F3732" i="26" s="1"/>
  <c r="C3733" i="26"/>
  <c r="C3734" i="26"/>
  <c r="C3735" i="26"/>
  <c r="D3735" i="26" s="1"/>
  <c r="C3736" i="26"/>
  <c r="D3736" i="26" s="1"/>
  <c r="C3737" i="26"/>
  <c r="D3737" i="26" s="1"/>
  <c r="C3738" i="26"/>
  <c r="D3738" i="26" s="1"/>
  <c r="C3739" i="26"/>
  <c r="D3739" i="26" s="1"/>
  <c r="C3740" i="26"/>
  <c r="C3741" i="26"/>
  <c r="C3742" i="26"/>
  <c r="C3743" i="26"/>
  <c r="C3744" i="26"/>
  <c r="C3745" i="26"/>
  <c r="C3746" i="26"/>
  <c r="C3747" i="26"/>
  <c r="C3748" i="26"/>
  <c r="C3749" i="26"/>
  <c r="C3750" i="26"/>
  <c r="C3751" i="26"/>
  <c r="C3752" i="26"/>
  <c r="F3752" i="26" s="1"/>
  <c r="C3753" i="26"/>
  <c r="C3754" i="26"/>
  <c r="C3755" i="26"/>
  <c r="C3756" i="26"/>
  <c r="C3757" i="26"/>
  <c r="C3758" i="26"/>
  <c r="C3759" i="26"/>
  <c r="C3760" i="26"/>
  <c r="D3760" i="26" s="1"/>
  <c r="C3761" i="26"/>
  <c r="C3762" i="26"/>
  <c r="C3763" i="26"/>
  <c r="C3764" i="26"/>
  <c r="C3765" i="26"/>
  <c r="C3766" i="26"/>
  <c r="C3767" i="26"/>
  <c r="D3767" i="26" s="1"/>
  <c r="C3768" i="26"/>
  <c r="C3769" i="26"/>
  <c r="C3770" i="26"/>
  <c r="C3771" i="26"/>
  <c r="C3772" i="26"/>
  <c r="C3773" i="26"/>
  <c r="C3774" i="26"/>
  <c r="C3775" i="26"/>
  <c r="C3776" i="26"/>
  <c r="C3777" i="26"/>
  <c r="C3778" i="26"/>
  <c r="C3779" i="26"/>
  <c r="D3779" i="26" s="1"/>
  <c r="C3780" i="26"/>
  <c r="C3781" i="26"/>
  <c r="C3782" i="26"/>
  <c r="C3783" i="26"/>
  <c r="C3784" i="26"/>
  <c r="C3785" i="26"/>
  <c r="D3785" i="26" s="1"/>
  <c r="C3786" i="26"/>
  <c r="D3786" i="26" s="1"/>
  <c r="C3787" i="26"/>
  <c r="C3788" i="26"/>
  <c r="C3789" i="26"/>
  <c r="C3790" i="26"/>
  <c r="C3791" i="26"/>
  <c r="C3792" i="26"/>
  <c r="C3793" i="26"/>
  <c r="C3794" i="26"/>
  <c r="C3795" i="26"/>
  <c r="C3796" i="26"/>
  <c r="C3797" i="26"/>
  <c r="C3798" i="26"/>
  <c r="C3799" i="26"/>
  <c r="C3800" i="26"/>
  <c r="D3800" i="26" s="1"/>
  <c r="C3801" i="26"/>
  <c r="C3802" i="26"/>
  <c r="C3803" i="26"/>
  <c r="C3804" i="26"/>
  <c r="C3805" i="26"/>
  <c r="C3806" i="26"/>
  <c r="C3807" i="26"/>
  <c r="C3808" i="26"/>
  <c r="C3809" i="26"/>
  <c r="C3810" i="26"/>
  <c r="C3811" i="26"/>
  <c r="C3812" i="26"/>
  <c r="F3812" i="26" s="1"/>
  <c r="C3813" i="26"/>
  <c r="C3814" i="26"/>
  <c r="C3815" i="26"/>
  <c r="C3816" i="26"/>
  <c r="C3817" i="26"/>
  <c r="C3818" i="26"/>
  <c r="C3819" i="26"/>
  <c r="C3820" i="26"/>
  <c r="C3821" i="26"/>
  <c r="D3821" i="26" s="1"/>
  <c r="C3822" i="26"/>
  <c r="C3823" i="26"/>
  <c r="C3824" i="26"/>
  <c r="C3825" i="26"/>
  <c r="C3826" i="26"/>
  <c r="C3827" i="26"/>
  <c r="D3827" i="26" s="1"/>
  <c r="C3828" i="26"/>
  <c r="C3829" i="26"/>
  <c r="C3830" i="26"/>
  <c r="D3830" i="26" s="1"/>
  <c r="C3831" i="26"/>
  <c r="C3832" i="26"/>
  <c r="C3833" i="26"/>
  <c r="C3834" i="26"/>
  <c r="C3835" i="26"/>
  <c r="C3836" i="26"/>
  <c r="C3837" i="26"/>
  <c r="C3838" i="26"/>
  <c r="C3839" i="26"/>
  <c r="C3840" i="26"/>
  <c r="C3841" i="26"/>
  <c r="D3841" i="26" s="1"/>
  <c r="C3842" i="26"/>
  <c r="C3843" i="26"/>
  <c r="C3844" i="26"/>
  <c r="C3845" i="26"/>
  <c r="C3846" i="26"/>
  <c r="C3847" i="26"/>
  <c r="C3848" i="26"/>
  <c r="C3849" i="26"/>
  <c r="C3850" i="26"/>
  <c r="C3851" i="26"/>
  <c r="C3852" i="26"/>
  <c r="C3853" i="26"/>
  <c r="C3854" i="26"/>
  <c r="C3855" i="26"/>
  <c r="C3856" i="26"/>
  <c r="C3857" i="26"/>
  <c r="C3858" i="26"/>
  <c r="C3859" i="26"/>
  <c r="D3859" i="26" s="1"/>
  <c r="C3860" i="26"/>
  <c r="C3861" i="26"/>
  <c r="C3862" i="26"/>
  <c r="C3863" i="26"/>
  <c r="C3864" i="26"/>
  <c r="C3865" i="26"/>
  <c r="C3866" i="26"/>
  <c r="C3867" i="26"/>
  <c r="C3868" i="26"/>
  <c r="C3869" i="26"/>
  <c r="C3870" i="26"/>
  <c r="C3871" i="26"/>
  <c r="C3872" i="26"/>
  <c r="C3873" i="26"/>
  <c r="D3873" i="26" s="1"/>
  <c r="C3874" i="26"/>
  <c r="C3875" i="26"/>
  <c r="C3876" i="26"/>
  <c r="C3877" i="26"/>
  <c r="C3878" i="26"/>
  <c r="C3879" i="26"/>
  <c r="C3880" i="26"/>
  <c r="C3881" i="26"/>
  <c r="C3882" i="26"/>
  <c r="C3883" i="26"/>
  <c r="D3883" i="26" s="1"/>
  <c r="C3884" i="26"/>
  <c r="C3885" i="26"/>
  <c r="C3886" i="26"/>
  <c r="D3886" i="26" s="1"/>
  <c r="C3887" i="26"/>
  <c r="C3888" i="26"/>
  <c r="C3889" i="26"/>
  <c r="C3890" i="26"/>
  <c r="C3891" i="26"/>
  <c r="C3892" i="26"/>
  <c r="C3893" i="26"/>
  <c r="C3894" i="26"/>
  <c r="C3895" i="26"/>
  <c r="C3896" i="26"/>
  <c r="C3897" i="26"/>
  <c r="C3898" i="26"/>
  <c r="C3899" i="26"/>
  <c r="C3900" i="26"/>
  <c r="C3901" i="26"/>
  <c r="C3902" i="26"/>
  <c r="C3903" i="26"/>
  <c r="C3904" i="26"/>
  <c r="C3905" i="26"/>
  <c r="C3906" i="26"/>
  <c r="C3907" i="26"/>
  <c r="C3908" i="26"/>
  <c r="C3909" i="26"/>
  <c r="C3910" i="26"/>
  <c r="C3911" i="26"/>
  <c r="C3912" i="26"/>
  <c r="C3913" i="26"/>
  <c r="C3914" i="26"/>
  <c r="C3915" i="26"/>
  <c r="C3916" i="26"/>
  <c r="C3917" i="26"/>
  <c r="C3918" i="26"/>
  <c r="C3919" i="26"/>
  <c r="C3920" i="26"/>
  <c r="C3921" i="26"/>
  <c r="C3922" i="26"/>
  <c r="C3923" i="26"/>
  <c r="C3924" i="26"/>
  <c r="C3925" i="26"/>
  <c r="C3926" i="26"/>
  <c r="C3927" i="26"/>
  <c r="D3927" i="26" s="1"/>
  <c r="C3928" i="26"/>
  <c r="D3928" i="26" s="1"/>
  <c r="C3929" i="26"/>
  <c r="C3930" i="26"/>
  <c r="C3931" i="26"/>
  <c r="C3932" i="26"/>
  <c r="C3933" i="26"/>
  <c r="C3934" i="26"/>
  <c r="C3935" i="26"/>
  <c r="C3936" i="26"/>
  <c r="C3937" i="26"/>
  <c r="C3938" i="26"/>
  <c r="C3939" i="26"/>
  <c r="C3940" i="26"/>
  <c r="C3941" i="26"/>
  <c r="C3942" i="26"/>
  <c r="C3943" i="26"/>
  <c r="D3943" i="26" s="1"/>
  <c r="C3944" i="26"/>
  <c r="C3945" i="26"/>
  <c r="C3946" i="26"/>
  <c r="C3947" i="26"/>
  <c r="D3947" i="26" s="1"/>
  <c r="C3948" i="26"/>
  <c r="D3948" i="26" s="1"/>
  <c r="C3949" i="26"/>
  <c r="C3950" i="26"/>
  <c r="C3951" i="26"/>
  <c r="C3952" i="26"/>
  <c r="C3953" i="26"/>
  <c r="C3954" i="26"/>
  <c r="D3954" i="26" s="1"/>
  <c r="C3955" i="26"/>
  <c r="C3956" i="26"/>
  <c r="C3957" i="26"/>
  <c r="F3957" i="26" s="1"/>
  <c r="C3958" i="26"/>
  <c r="C3959" i="26"/>
  <c r="C3960" i="26"/>
  <c r="D3960" i="26" s="1"/>
  <c r="C3961" i="26"/>
  <c r="C3962" i="26"/>
  <c r="C3963" i="26"/>
  <c r="C3964" i="26"/>
  <c r="C3965" i="26"/>
  <c r="C3966" i="26"/>
  <c r="D3966" i="26" s="1"/>
  <c r="C3967" i="26"/>
  <c r="C3968" i="26"/>
  <c r="D3968" i="26" s="1"/>
  <c r="C3969" i="26"/>
  <c r="C3970" i="26"/>
  <c r="D3970" i="26" s="1"/>
  <c r="C3971" i="26"/>
  <c r="C3972" i="26"/>
  <c r="C3973" i="26"/>
  <c r="C3974" i="26"/>
  <c r="C3975" i="26"/>
  <c r="C3976" i="26"/>
  <c r="C3977" i="26"/>
  <c r="C3978" i="26"/>
  <c r="C3979" i="26"/>
  <c r="C3980" i="26"/>
  <c r="C3981" i="26"/>
  <c r="C3982" i="26"/>
  <c r="C3983" i="26"/>
  <c r="C3984" i="26"/>
  <c r="C3985" i="26"/>
  <c r="C3986" i="26"/>
  <c r="C3987" i="26"/>
  <c r="D3987" i="26" s="1"/>
  <c r="C3988" i="26"/>
  <c r="D3988" i="26" s="1"/>
  <c r="C3989" i="26"/>
  <c r="C3990" i="26"/>
  <c r="C3991" i="26"/>
  <c r="C3992" i="26"/>
  <c r="C3993" i="26"/>
  <c r="C3994" i="26"/>
  <c r="C3995" i="26"/>
  <c r="C3996" i="26"/>
  <c r="C3997" i="26"/>
  <c r="C3998" i="26"/>
  <c r="D3998" i="26" s="1"/>
  <c r="C3999" i="26"/>
  <c r="C4000" i="26"/>
  <c r="D4000" i="26" s="1"/>
  <c r="C4001" i="26"/>
  <c r="D4001" i="26" s="1"/>
  <c r="C4002" i="26"/>
  <c r="C4003" i="26"/>
  <c r="C4004" i="26"/>
  <c r="C4005" i="26"/>
  <c r="C4006" i="26"/>
  <c r="C4007" i="26"/>
  <c r="C4008" i="26"/>
  <c r="C4009" i="26"/>
  <c r="C4010" i="26"/>
  <c r="C4011" i="26"/>
  <c r="C4012" i="26"/>
  <c r="C4013" i="26"/>
  <c r="C4014" i="26"/>
  <c r="C4015" i="26"/>
  <c r="C4016" i="26"/>
  <c r="C4017" i="26"/>
  <c r="C4018" i="26"/>
  <c r="C4019" i="26"/>
  <c r="C4020" i="26"/>
  <c r="D4020" i="26" s="1"/>
  <c r="C4021" i="26"/>
  <c r="C4022" i="26"/>
  <c r="D4022" i="26" s="1"/>
  <c r="C4023" i="26"/>
  <c r="C4024" i="26"/>
  <c r="C4025" i="26"/>
  <c r="C4026" i="26"/>
  <c r="C4027" i="26"/>
  <c r="C4028" i="26"/>
  <c r="D4028" i="26" s="1"/>
  <c r="C4029" i="26"/>
  <c r="C4030" i="26"/>
  <c r="C4031" i="26"/>
  <c r="C4032" i="26"/>
  <c r="C4033" i="26"/>
  <c r="D4033" i="26" s="1"/>
  <c r="C4034" i="26"/>
  <c r="C4035" i="26"/>
  <c r="C4036" i="26"/>
  <c r="C4037" i="26"/>
  <c r="C4038" i="26"/>
  <c r="D4038" i="26" s="1"/>
  <c r="C4039" i="26"/>
  <c r="C4040" i="26"/>
  <c r="C4041" i="26"/>
  <c r="D4041" i="26" s="1"/>
  <c r="C4042" i="26"/>
  <c r="C4043" i="26"/>
  <c r="C4044" i="26"/>
  <c r="C4045" i="26"/>
  <c r="C4046" i="26"/>
  <c r="C4047" i="26"/>
  <c r="D4047" i="26" s="1"/>
  <c r="C4048" i="26"/>
  <c r="C4049" i="26"/>
  <c r="C4050" i="26"/>
  <c r="C4051" i="26"/>
  <c r="C4052" i="26"/>
  <c r="C4053" i="26"/>
  <c r="C4054" i="26"/>
  <c r="C4055" i="26"/>
  <c r="C4056" i="26"/>
  <c r="C4057" i="26"/>
  <c r="C4058" i="26"/>
  <c r="D4058" i="26" s="1"/>
  <c r="C4059" i="26"/>
  <c r="C4060" i="26"/>
  <c r="D4060" i="26" s="1"/>
  <c r="C4061" i="26"/>
  <c r="C4062" i="26"/>
  <c r="C4063" i="26"/>
  <c r="C4064" i="26"/>
  <c r="C4065" i="26"/>
  <c r="C4066" i="26"/>
  <c r="C4067" i="26"/>
  <c r="C4068" i="26"/>
  <c r="C4069" i="26"/>
  <c r="C4070" i="26"/>
  <c r="C4071" i="26"/>
  <c r="C4072" i="26"/>
  <c r="D4072" i="26" s="1"/>
  <c r="C4073" i="26"/>
  <c r="D4073" i="26" s="1"/>
  <c r="C4074" i="26"/>
  <c r="D4074" i="26" s="1"/>
  <c r="C4075" i="26"/>
  <c r="C4076" i="26"/>
  <c r="C4077" i="26"/>
  <c r="C4078" i="26"/>
  <c r="C4079" i="26"/>
  <c r="C4080" i="26"/>
  <c r="C4081" i="26"/>
  <c r="C4082" i="26"/>
  <c r="D4082" i="26" s="1"/>
  <c r="C4083" i="26"/>
  <c r="C4084" i="26"/>
  <c r="C4085" i="26"/>
  <c r="C4086" i="26"/>
  <c r="C4087" i="26"/>
  <c r="C4088" i="26"/>
  <c r="C4089" i="26"/>
  <c r="C4090" i="26"/>
  <c r="C4091" i="26"/>
  <c r="C4092" i="26"/>
  <c r="C4093" i="26"/>
  <c r="C4094" i="26"/>
  <c r="C4095" i="26"/>
  <c r="C4096" i="26"/>
  <c r="C4097" i="26"/>
  <c r="C4098" i="26"/>
  <c r="C4099" i="26"/>
  <c r="C4100" i="26"/>
  <c r="D4100" i="26" s="1"/>
  <c r="C4101" i="26"/>
  <c r="C4102" i="26"/>
  <c r="D4102" i="26" s="1"/>
  <c r="C4103" i="26"/>
  <c r="C4104" i="26"/>
  <c r="C4105" i="26"/>
  <c r="C4106" i="26"/>
  <c r="C4107" i="26"/>
  <c r="D4107" i="26" s="1"/>
  <c r="C4108" i="26"/>
  <c r="D4108" i="26" s="1"/>
  <c r="C4109" i="26"/>
  <c r="C4110" i="26"/>
  <c r="C4111" i="26"/>
  <c r="C4112" i="26"/>
  <c r="D4112" i="26" s="1"/>
  <c r="C4113" i="26"/>
  <c r="D4113" i="26" s="1"/>
  <c r="C4114" i="26"/>
  <c r="D4114" i="26" s="1"/>
  <c r="C4115" i="26"/>
  <c r="C4116" i="26"/>
  <c r="C4117" i="26"/>
  <c r="C4118" i="26"/>
  <c r="C4119" i="26"/>
  <c r="C4120" i="26"/>
  <c r="C4121" i="26"/>
  <c r="C4122" i="26"/>
  <c r="C4123" i="26"/>
  <c r="D4123" i="26" s="1"/>
  <c r="C4124" i="26"/>
  <c r="C4125" i="26"/>
  <c r="C4126" i="26"/>
  <c r="C4127" i="26"/>
  <c r="C4128" i="26"/>
  <c r="C4129" i="26"/>
  <c r="C4130" i="26"/>
  <c r="C4131" i="26"/>
  <c r="D4131" i="26" s="1"/>
  <c r="C4132" i="26"/>
  <c r="C4133" i="26"/>
  <c r="F4133" i="26" s="1"/>
  <c r="C4134" i="26"/>
  <c r="C4135" i="26"/>
  <c r="C4136" i="26"/>
  <c r="C4137" i="26"/>
  <c r="C4138" i="26"/>
  <c r="C4139" i="26"/>
  <c r="C4140" i="26"/>
  <c r="C4141" i="26"/>
  <c r="C4142" i="26"/>
  <c r="D4142" i="26" s="1"/>
  <c r="C4143" i="26"/>
  <c r="C4144" i="26"/>
  <c r="C4145" i="26"/>
  <c r="C4146" i="26"/>
  <c r="D4146" i="26" s="1"/>
  <c r="C4147" i="26"/>
  <c r="D4147" i="26" s="1"/>
  <c r="C4148" i="26"/>
  <c r="D4148" i="26" s="1"/>
  <c r="C4149" i="26"/>
  <c r="C4150" i="26"/>
  <c r="C4151" i="26"/>
  <c r="C4152" i="26"/>
  <c r="C4153" i="26"/>
  <c r="C4154" i="26"/>
  <c r="C4155" i="26"/>
  <c r="C4156" i="26"/>
  <c r="C4157" i="26"/>
  <c r="C4158" i="26"/>
  <c r="D4158" i="26" s="1"/>
  <c r="C4159" i="26"/>
  <c r="D4159" i="26" s="1"/>
  <c r="C4160" i="26"/>
  <c r="C4161" i="26"/>
  <c r="C4162" i="26"/>
  <c r="C4163" i="26"/>
  <c r="C4164" i="26"/>
  <c r="C4165" i="26"/>
  <c r="C4166" i="26"/>
  <c r="C4167" i="26"/>
  <c r="C4168" i="26"/>
  <c r="C4169" i="26"/>
  <c r="C4170" i="26"/>
  <c r="C4171" i="26"/>
  <c r="D4171" i="26" s="1"/>
  <c r="C4172" i="26"/>
  <c r="D4172" i="26" s="1"/>
  <c r="C4173" i="26"/>
  <c r="C4174" i="26"/>
  <c r="C4175" i="26"/>
  <c r="D4175" i="26" s="1"/>
  <c r="C4176" i="26"/>
  <c r="C4177" i="26"/>
  <c r="C4178" i="26"/>
  <c r="C4179" i="26"/>
  <c r="C4180" i="26"/>
  <c r="C4181" i="26"/>
  <c r="C4182" i="26"/>
  <c r="C4183" i="26"/>
  <c r="C4184" i="26"/>
  <c r="C4185" i="26"/>
  <c r="C4186" i="26"/>
  <c r="C4187" i="26"/>
  <c r="C4188" i="26"/>
  <c r="D4188" i="26" s="1"/>
  <c r="C4189" i="26"/>
  <c r="C4190" i="26"/>
  <c r="C4191" i="26"/>
  <c r="C4192" i="26"/>
  <c r="C4193" i="26"/>
  <c r="C4194" i="26"/>
  <c r="C4195" i="26"/>
  <c r="C4196" i="26"/>
  <c r="C4197" i="26"/>
  <c r="D4197" i="26" s="1"/>
  <c r="C4198" i="26"/>
  <c r="C4199" i="26"/>
  <c r="D4199" i="26" s="1"/>
  <c r="C4200" i="26"/>
  <c r="D4200" i="26" s="1"/>
  <c r="C4201" i="26"/>
  <c r="C4202" i="26"/>
  <c r="C4203" i="26"/>
  <c r="C4204" i="26"/>
  <c r="C4205" i="26"/>
  <c r="C4206" i="26"/>
  <c r="C4207" i="26"/>
  <c r="D4207" i="26" s="1"/>
  <c r="C4208" i="26"/>
  <c r="C4209" i="26"/>
  <c r="C4210" i="26"/>
  <c r="C4211" i="26"/>
  <c r="C4212" i="26"/>
  <c r="C4213" i="26"/>
  <c r="C4214" i="26"/>
  <c r="C4215" i="26"/>
  <c r="C4216" i="26"/>
  <c r="C4217" i="26"/>
  <c r="C4218" i="26"/>
  <c r="C4219" i="26"/>
  <c r="C4220" i="26"/>
  <c r="D4220" i="26" s="1"/>
  <c r="C4221" i="26"/>
  <c r="C4222" i="26"/>
  <c r="C4223" i="26"/>
  <c r="C4224" i="26"/>
  <c r="C4225" i="26"/>
  <c r="C4226" i="26"/>
  <c r="C4227" i="26"/>
  <c r="D4227" i="26" s="1"/>
  <c r="C4228" i="26"/>
  <c r="C4229" i="26"/>
  <c r="C4230" i="26"/>
  <c r="C4231" i="26"/>
  <c r="C4232" i="26"/>
  <c r="C4233" i="26"/>
  <c r="F4233" i="26" s="1"/>
  <c r="C4234" i="26"/>
  <c r="C4235" i="26"/>
  <c r="C4236" i="26"/>
  <c r="C4237" i="26"/>
  <c r="C4238" i="26"/>
  <c r="D4238" i="26" s="1"/>
  <c r="C4239" i="26"/>
  <c r="C4240" i="26"/>
  <c r="C4241" i="26"/>
  <c r="C4242" i="26"/>
  <c r="C4243" i="26"/>
  <c r="C4244" i="26"/>
  <c r="C4245" i="26"/>
  <c r="C4246" i="26"/>
  <c r="C4247" i="26"/>
  <c r="C4248" i="26"/>
  <c r="D4248" i="26" s="1"/>
  <c r="C4249" i="26"/>
  <c r="C4250" i="26"/>
  <c r="C4251" i="26"/>
  <c r="C4252" i="26"/>
  <c r="C4253" i="26"/>
  <c r="C4254" i="26"/>
  <c r="D4254" i="26" s="1"/>
  <c r="C4255" i="26"/>
  <c r="C4256" i="26"/>
  <c r="C4257" i="26"/>
  <c r="C4258" i="26"/>
  <c r="C4259" i="26"/>
  <c r="D4259" i="26" s="1"/>
  <c r="C4260" i="26"/>
  <c r="C4261" i="26"/>
  <c r="C4262" i="26"/>
  <c r="D4262" i="26" s="1"/>
  <c r="C4263" i="26"/>
  <c r="D4263" i="26" s="1"/>
  <c r="C4264" i="26"/>
  <c r="C4265" i="26"/>
  <c r="C4266" i="26"/>
  <c r="C4267" i="26"/>
  <c r="C4268" i="26"/>
  <c r="C4269" i="26"/>
  <c r="C4270" i="26"/>
  <c r="C4271" i="26"/>
  <c r="C4272" i="26"/>
  <c r="C4273" i="26"/>
  <c r="C4274" i="26"/>
  <c r="C4275" i="26"/>
  <c r="C4276" i="26"/>
  <c r="C4277" i="26"/>
  <c r="C4278" i="26"/>
  <c r="C4279" i="26"/>
  <c r="C4280" i="26"/>
  <c r="D4280" i="26" s="1"/>
  <c r="C4281" i="26"/>
  <c r="D4281" i="26" s="1"/>
  <c r="C4282" i="26"/>
  <c r="D4282" i="26" s="1"/>
  <c r="C4283" i="26"/>
  <c r="C4284" i="26"/>
  <c r="C4285" i="26"/>
  <c r="D4285" i="26" s="1"/>
  <c r="C4286" i="26"/>
  <c r="C4287" i="26"/>
  <c r="C4288" i="26"/>
  <c r="C4289" i="26"/>
  <c r="C4290" i="26"/>
  <c r="C4291" i="26"/>
  <c r="C4292" i="26"/>
  <c r="C4293" i="26"/>
  <c r="C4294" i="26"/>
  <c r="D4294" i="26" s="1"/>
  <c r="C4295" i="26"/>
  <c r="C4296" i="26"/>
  <c r="C4297" i="26"/>
  <c r="C4298" i="26"/>
  <c r="C4299" i="26"/>
  <c r="C4300" i="26"/>
  <c r="C4301" i="26"/>
  <c r="C4302" i="26"/>
  <c r="C4303" i="26"/>
  <c r="C4304" i="26"/>
  <c r="C4305" i="26"/>
  <c r="C4306" i="26"/>
  <c r="C4307" i="26"/>
  <c r="C4308" i="26"/>
  <c r="D4308" i="26" s="1"/>
  <c r="C4309" i="26"/>
  <c r="C4310" i="26"/>
  <c r="C4311" i="26"/>
  <c r="C4312" i="26"/>
  <c r="D4312" i="26" s="1"/>
  <c r="C4313" i="26"/>
  <c r="C4314" i="26"/>
  <c r="D4314" i="26" s="1"/>
  <c r="C4315" i="26"/>
  <c r="C4316" i="26"/>
  <c r="C4317" i="26"/>
  <c r="C4318" i="26"/>
  <c r="D4318" i="26" s="1"/>
  <c r="C4319" i="26"/>
  <c r="D4319" i="26" s="1"/>
  <c r="C4320" i="26"/>
  <c r="C4321" i="26"/>
  <c r="C4322" i="26"/>
  <c r="C4323" i="26"/>
  <c r="C4324" i="26"/>
  <c r="C4325" i="26"/>
  <c r="C4326" i="26"/>
  <c r="C4327" i="26"/>
  <c r="C4328" i="26"/>
  <c r="C4329" i="26"/>
  <c r="C4330" i="26"/>
  <c r="C4331" i="26"/>
  <c r="C4332" i="26"/>
  <c r="C4333" i="26"/>
  <c r="C4334" i="26"/>
  <c r="C4335" i="26"/>
  <c r="C4336" i="26"/>
  <c r="D4336" i="26" s="1"/>
  <c r="C4337" i="26"/>
  <c r="C4338" i="26"/>
  <c r="C4339" i="26"/>
  <c r="C4340" i="26"/>
  <c r="C4341" i="26"/>
  <c r="C4342" i="26"/>
  <c r="C4343" i="26"/>
  <c r="C4344" i="26"/>
  <c r="C4345" i="26"/>
  <c r="C4346" i="26"/>
  <c r="C4347" i="26"/>
  <c r="C4348" i="26"/>
  <c r="C4349" i="26"/>
  <c r="D4349" i="26" s="1"/>
  <c r="C4350" i="26"/>
  <c r="C4351" i="26"/>
  <c r="C4352" i="26"/>
  <c r="C4353" i="26"/>
  <c r="C4354" i="26"/>
  <c r="C4355" i="26"/>
  <c r="C4356" i="26"/>
  <c r="C4357" i="26"/>
  <c r="C4358" i="26"/>
  <c r="C4359" i="26"/>
  <c r="C4360" i="26"/>
  <c r="C4361" i="26"/>
  <c r="C4362" i="26"/>
  <c r="C4363" i="26"/>
  <c r="C4364" i="26"/>
  <c r="C4365" i="26"/>
  <c r="C4366" i="26"/>
  <c r="C4367" i="26"/>
  <c r="D4367" i="26" s="1"/>
  <c r="C4368" i="26"/>
  <c r="C4369" i="26"/>
  <c r="D4369" i="26" s="1"/>
  <c r="C4370" i="26"/>
  <c r="C4371" i="26"/>
  <c r="C4372" i="26"/>
  <c r="C4373" i="26"/>
  <c r="C4374" i="26"/>
  <c r="C4375" i="26"/>
  <c r="C4376" i="26"/>
  <c r="C4377" i="26"/>
  <c r="C4378" i="26"/>
  <c r="D4378" i="26" s="1"/>
  <c r="C4379" i="26"/>
  <c r="C4380" i="26"/>
  <c r="D4380" i="26" s="1"/>
  <c r="C4381" i="26"/>
  <c r="F4381" i="26" s="1"/>
  <c r="C4382" i="26"/>
  <c r="D4382" i="26" s="1"/>
  <c r="C4383" i="26"/>
  <c r="C4384" i="26"/>
  <c r="C4385" i="26"/>
  <c r="C4386" i="26"/>
  <c r="C4387" i="26"/>
  <c r="D4387" i="26" s="1"/>
  <c r="C4388" i="26"/>
  <c r="C4389" i="26"/>
  <c r="C4390" i="26"/>
  <c r="C4391" i="26"/>
  <c r="C4392" i="26"/>
  <c r="C4393" i="26"/>
  <c r="C4394" i="26"/>
  <c r="C4395" i="26"/>
  <c r="C4396" i="26"/>
  <c r="C4397" i="26"/>
  <c r="C4398" i="26"/>
  <c r="C4399" i="26"/>
  <c r="C4400" i="26"/>
  <c r="C4401" i="26"/>
  <c r="C4402" i="26"/>
  <c r="D4402" i="26" s="1"/>
  <c r="C4403" i="26"/>
  <c r="D4403" i="26" s="1"/>
  <c r="C4404" i="26"/>
  <c r="C4405" i="26"/>
  <c r="C4406" i="26"/>
  <c r="C4407" i="26"/>
  <c r="D4407" i="26" s="1"/>
  <c r="C4408" i="26"/>
  <c r="D4408" i="26" s="1"/>
  <c r="C4409" i="26"/>
  <c r="C4410" i="26"/>
  <c r="D4410" i="26" s="1"/>
  <c r="C4411" i="26"/>
  <c r="F4411" i="26" s="1"/>
  <c r="C4412" i="26"/>
  <c r="D4412" i="26" s="1"/>
  <c r="C4413" i="26"/>
  <c r="C4414" i="26"/>
  <c r="C4415" i="26"/>
  <c r="C4416" i="26"/>
  <c r="C4417" i="26"/>
  <c r="C4418" i="26"/>
  <c r="C4419" i="26"/>
  <c r="C4420" i="26"/>
  <c r="C4421" i="26"/>
  <c r="D4421" i="26" s="1"/>
  <c r="C4422" i="26"/>
  <c r="C4423" i="26"/>
  <c r="C4424" i="26"/>
  <c r="C4425" i="26"/>
  <c r="C4426" i="26"/>
  <c r="C4427" i="26"/>
  <c r="D4427" i="26" s="1"/>
  <c r="C4428" i="26"/>
  <c r="C4429" i="26"/>
  <c r="C4430" i="26"/>
  <c r="D4430" i="26" s="1"/>
  <c r="C4431" i="26"/>
  <c r="C4432" i="26"/>
  <c r="D4432" i="26" s="1"/>
  <c r="C4433" i="26"/>
  <c r="C4434" i="26"/>
  <c r="C4435" i="26"/>
  <c r="C4436" i="26"/>
  <c r="C4437" i="26"/>
  <c r="C4438" i="26"/>
  <c r="C4439" i="26"/>
  <c r="D4439" i="26" s="1"/>
  <c r="C4440" i="26"/>
  <c r="D4440" i="26" s="1"/>
  <c r="C4441" i="26"/>
  <c r="C4442" i="26"/>
  <c r="D4442" i="26" s="1"/>
  <c r="C4443" i="26"/>
  <c r="C4444" i="26"/>
  <c r="C4445" i="26"/>
  <c r="C4446" i="26"/>
  <c r="C4447" i="26"/>
  <c r="C4448" i="26"/>
  <c r="C4449" i="26"/>
  <c r="C4450" i="26"/>
  <c r="C4451" i="26"/>
  <c r="C4452" i="26"/>
  <c r="C4453" i="26"/>
  <c r="C4454" i="26"/>
  <c r="C4455" i="26"/>
  <c r="C4456" i="26"/>
  <c r="C4457" i="26"/>
  <c r="C4458" i="26"/>
  <c r="C4459" i="26"/>
  <c r="C4460" i="26"/>
  <c r="C4461" i="26"/>
  <c r="C4462" i="26"/>
  <c r="D4462" i="26" s="1"/>
  <c r="C4463" i="26"/>
  <c r="C4464" i="26"/>
  <c r="D4464" i="26" s="1"/>
  <c r="C4465" i="26"/>
  <c r="C4466" i="26"/>
  <c r="C4467" i="26"/>
  <c r="D4467" i="26" s="1"/>
  <c r="C4468" i="26"/>
  <c r="D4468" i="26" s="1"/>
  <c r="C4469" i="26"/>
  <c r="C4470" i="26"/>
  <c r="C4471" i="26"/>
  <c r="C4472" i="26"/>
  <c r="C4473" i="26"/>
  <c r="C4474" i="26"/>
  <c r="C4475" i="26"/>
  <c r="C4476" i="26"/>
  <c r="C4477" i="26"/>
  <c r="C4478" i="26"/>
  <c r="C4479" i="26"/>
  <c r="C4480" i="26"/>
  <c r="C4481" i="26"/>
  <c r="C4482" i="26"/>
  <c r="C4483" i="26"/>
  <c r="C4484" i="26"/>
  <c r="C4485" i="26"/>
  <c r="C4486" i="26"/>
  <c r="C4487" i="26"/>
  <c r="C4488" i="26"/>
  <c r="D4488" i="26" s="1"/>
  <c r="C4489" i="26"/>
  <c r="C4490" i="26"/>
  <c r="C4491" i="26"/>
  <c r="C4492" i="26"/>
  <c r="C4493" i="26"/>
  <c r="C4494" i="26"/>
  <c r="C4495" i="26"/>
  <c r="C4496" i="26"/>
  <c r="C4497" i="26"/>
  <c r="C4498" i="26"/>
  <c r="D4498" i="26" s="1"/>
  <c r="C4499" i="26"/>
  <c r="C4500" i="26"/>
  <c r="C4501" i="26"/>
  <c r="C4502" i="26"/>
  <c r="D4502" i="26" s="1"/>
  <c r="C4503" i="26"/>
  <c r="C4504" i="26"/>
  <c r="C4505" i="26"/>
  <c r="C4506" i="26"/>
  <c r="C4507" i="26"/>
  <c r="C4508" i="26"/>
  <c r="C4509" i="26"/>
  <c r="C4510" i="26"/>
  <c r="C4511" i="26"/>
  <c r="C4512" i="26"/>
  <c r="D4512" i="26" s="1"/>
  <c r="C4513" i="26"/>
  <c r="C4514" i="26"/>
  <c r="C4515" i="26"/>
  <c r="C4516" i="26"/>
  <c r="C4517" i="26"/>
  <c r="C4518" i="26"/>
  <c r="C4519" i="26"/>
  <c r="C4520" i="26"/>
  <c r="C4521" i="26"/>
  <c r="C4522" i="26"/>
  <c r="F4522" i="26" s="1"/>
  <c r="C4523" i="26"/>
  <c r="C4524" i="26"/>
  <c r="C4525" i="26"/>
  <c r="C4526" i="26"/>
  <c r="C4527" i="26"/>
  <c r="C4528" i="26"/>
  <c r="C4529" i="26"/>
  <c r="C4530" i="26"/>
  <c r="C4531" i="26"/>
  <c r="C4532" i="26"/>
  <c r="C4533" i="26"/>
  <c r="C4534" i="26"/>
  <c r="C4535" i="26"/>
  <c r="C4536" i="26"/>
  <c r="C4537" i="26"/>
  <c r="F4537" i="26" s="1"/>
  <c r="C4538" i="26"/>
  <c r="F4538" i="26" s="1"/>
  <c r="C4539" i="26"/>
  <c r="C4540" i="26"/>
  <c r="C4541" i="26"/>
  <c r="C4542" i="26"/>
  <c r="C4543" i="26"/>
  <c r="C4544" i="26"/>
  <c r="D4544" i="26" s="1"/>
  <c r="C4545" i="26"/>
  <c r="C4546" i="26"/>
  <c r="D4546" i="26" s="1"/>
  <c r="C4547" i="26"/>
  <c r="D4547" i="26" s="1"/>
  <c r="C4548" i="26"/>
  <c r="C4549" i="26"/>
  <c r="C4550" i="26"/>
  <c r="C4551" i="26"/>
  <c r="C4552" i="26"/>
  <c r="C4553" i="26"/>
  <c r="C4554" i="26"/>
  <c r="C4555" i="26"/>
  <c r="C4556" i="26"/>
  <c r="C4557" i="26"/>
  <c r="C4558" i="26"/>
  <c r="C4559" i="26"/>
  <c r="D4559" i="26" s="1"/>
  <c r="C4560" i="26"/>
  <c r="D4560" i="26" s="1"/>
  <c r="C4561" i="26"/>
  <c r="D4561" i="26" s="1"/>
  <c r="C4562" i="26"/>
  <c r="C4563" i="26"/>
  <c r="C4564" i="26"/>
  <c r="C4565" i="26"/>
  <c r="C4566" i="26"/>
  <c r="C4567" i="26"/>
  <c r="C4568" i="26"/>
  <c r="D4568" i="26" s="1"/>
  <c r="C4569" i="26"/>
  <c r="C4570" i="26"/>
  <c r="C4571" i="26"/>
  <c r="D4571" i="26" s="1"/>
  <c r="C4572" i="26"/>
  <c r="D4572" i="26" s="1"/>
  <c r="C4573" i="26"/>
  <c r="C4574" i="26"/>
  <c r="C4575" i="26"/>
  <c r="C4576" i="26"/>
  <c r="C4577" i="26"/>
  <c r="D4577" i="26" s="1"/>
  <c r="C4578" i="26"/>
  <c r="D4578" i="26" s="1"/>
  <c r="C4579" i="26"/>
  <c r="C4580" i="26"/>
  <c r="C4581" i="26"/>
  <c r="C4582" i="26"/>
  <c r="C4583" i="26"/>
  <c r="C4584" i="26"/>
  <c r="D4584" i="26" s="1"/>
  <c r="C4585" i="26"/>
  <c r="C4586" i="26"/>
  <c r="D4586" i="26" s="1"/>
  <c r="C4587" i="26"/>
  <c r="D4587" i="26" s="1"/>
  <c r="C4588" i="26"/>
  <c r="C4589" i="26"/>
  <c r="C4590" i="26"/>
  <c r="C4591" i="26"/>
  <c r="C4592" i="26"/>
  <c r="C4593" i="26"/>
  <c r="C4594" i="26"/>
  <c r="C4595" i="26"/>
  <c r="C4596" i="26"/>
  <c r="C4597" i="26"/>
  <c r="C4598" i="26"/>
  <c r="C4599" i="26"/>
  <c r="C4600" i="26"/>
  <c r="D4600" i="26" s="1"/>
  <c r="C4601" i="26"/>
  <c r="C4602" i="26"/>
  <c r="C4603" i="26"/>
  <c r="C4604" i="26"/>
  <c r="C4605" i="26"/>
  <c r="C4606" i="26"/>
  <c r="D4606" i="26" s="1"/>
  <c r="C4607" i="26"/>
  <c r="D4607" i="26" s="1"/>
  <c r="C4608" i="26"/>
  <c r="D4608" i="26" s="1"/>
  <c r="C4609" i="26"/>
  <c r="C4610" i="26"/>
  <c r="C4611" i="26"/>
  <c r="C4612" i="26"/>
  <c r="C4613" i="26"/>
  <c r="C4614" i="26"/>
  <c r="C4615" i="26"/>
  <c r="D4615" i="26" s="1"/>
  <c r="C4616" i="26"/>
  <c r="C4617" i="26"/>
  <c r="C4618" i="26"/>
  <c r="C4619" i="26"/>
  <c r="D4619" i="26" s="1"/>
  <c r="C4620" i="26"/>
  <c r="D4620" i="26" s="1"/>
  <c r="C4621" i="26"/>
  <c r="C4622" i="26"/>
  <c r="C4623" i="26"/>
  <c r="C4624" i="26"/>
  <c r="D4624" i="26" s="1"/>
  <c r="C4625" i="26"/>
  <c r="C4626" i="26"/>
  <c r="C4627" i="26"/>
  <c r="D4627" i="26" s="1"/>
  <c r="C4628" i="26"/>
  <c r="C4629" i="26"/>
  <c r="D4629" i="26" s="1"/>
  <c r="C4630" i="26"/>
  <c r="D4630" i="26" s="1"/>
  <c r="C4631" i="26"/>
  <c r="C4632" i="26"/>
  <c r="C4633" i="26"/>
  <c r="C4634" i="26"/>
  <c r="C4635" i="26"/>
  <c r="C4636" i="26"/>
  <c r="C4637" i="26"/>
  <c r="C4638" i="26"/>
  <c r="D4638" i="26" s="1"/>
  <c r="C4639" i="26"/>
  <c r="C4640" i="26"/>
  <c r="C4641" i="26"/>
  <c r="D4641" i="26" s="1"/>
  <c r="C4642" i="26"/>
  <c r="F4642" i="26" s="1"/>
  <c r="C4643" i="26"/>
  <c r="C4644" i="26"/>
  <c r="C4645" i="26"/>
  <c r="C4646" i="26"/>
  <c r="C4647" i="26"/>
  <c r="C4648" i="26"/>
  <c r="C4649" i="26"/>
  <c r="C4650" i="26"/>
  <c r="C4651" i="26"/>
  <c r="D4651" i="26" s="1"/>
  <c r="C4652" i="26"/>
  <c r="C4653" i="26"/>
  <c r="C4654" i="26"/>
  <c r="C4655" i="26"/>
  <c r="C4656" i="26"/>
  <c r="C4657" i="26"/>
  <c r="C4658" i="26"/>
  <c r="C4659" i="26"/>
  <c r="C4660" i="26"/>
  <c r="C4661" i="26"/>
  <c r="D4661" i="26" s="1"/>
  <c r="C4662" i="26"/>
  <c r="C4663" i="26"/>
  <c r="C4664" i="26"/>
  <c r="C4665" i="26"/>
  <c r="C4666" i="26"/>
  <c r="C4667" i="26"/>
  <c r="C4668" i="26"/>
  <c r="D4668" i="26" s="1"/>
  <c r="C4669" i="26"/>
  <c r="D4669" i="26" s="1"/>
  <c r="C4670" i="26"/>
  <c r="D4670" i="26" s="1"/>
  <c r="C4671" i="26"/>
  <c r="D4671" i="26" s="1"/>
  <c r="C4672" i="26"/>
  <c r="C4673" i="26"/>
  <c r="C4674" i="26"/>
  <c r="C4675" i="26"/>
  <c r="D4675" i="26" s="1"/>
  <c r="C4676" i="26"/>
  <c r="D4676" i="26" s="1"/>
  <c r="C4677" i="26"/>
  <c r="C4678" i="26"/>
  <c r="C4679" i="26"/>
  <c r="C4680" i="26"/>
  <c r="C4681" i="26"/>
  <c r="D4681" i="26" s="1"/>
  <c r="C4682" i="26"/>
  <c r="C4683" i="26"/>
  <c r="C4684" i="26"/>
  <c r="C4685" i="26"/>
  <c r="C4686" i="26"/>
  <c r="C4687" i="26"/>
  <c r="D4687" i="26" s="1"/>
  <c r="C4688" i="26"/>
  <c r="D4688" i="26" s="1"/>
  <c r="C4689" i="26"/>
  <c r="C4690" i="26"/>
  <c r="C4691" i="26"/>
  <c r="F4691" i="26" s="1"/>
  <c r="C4692" i="26"/>
  <c r="C4693" i="26"/>
  <c r="C4694" i="26"/>
  <c r="C4695" i="26"/>
  <c r="C4696" i="26"/>
  <c r="C4697" i="26"/>
  <c r="C4698" i="26"/>
  <c r="C4699" i="26"/>
  <c r="D4699" i="26" s="1"/>
  <c r="C4700" i="26"/>
  <c r="D4700" i="26" s="1"/>
  <c r="C4701" i="26"/>
  <c r="D4701" i="26" s="1"/>
  <c r="C4702" i="26"/>
  <c r="C4703" i="26"/>
  <c r="C4704" i="26"/>
  <c r="C4705" i="26"/>
  <c r="C4706" i="26"/>
  <c r="C4707" i="26"/>
  <c r="C4708" i="26"/>
  <c r="C4709" i="26"/>
  <c r="C4710" i="26"/>
  <c r="C4711" i="26"/>
  <c r="C4712" i="26"/>
  <c r="C4713" i="26"/>
  <c r="C4714" i="26"/>
  <c r="C4715" i="26"/>
  <c r="C4716" i="26"/>
  <c r="C4717" i="26"/>
  <c r="C4718" i="26"/>
  <c r="C4719" i="26"/>
  <c r="C4720" i="26"/>
  <c r="C4721" i="26"/>
  <c r="C4722" i="26"/>
  <c r="C4723" i="26"/>
  <c r="D4723" i="26" s="1"/>
  <c r="C4724" i="26"/>
  <c r="C4725" i="26"/>
  <c r="C4726" i="26"/>
  <c r="C4727" i="26"/>
  <c r="C4728" i="26"/>
  <c r="C4729" i="26"/>
  <c r="C4730" i="26"/>
  <c r="C4731" i="26"/>
  <c r="C4732" i="26"/>
  <c r="C4733" i="26"/>
  <c r="C4734" i="26"/>
  <c r="C4735" i="26"/>
  <c r="C4736" i="26"/>
  <c r="C4737" i="26"/>
  <c r="C4738" i="26"/>
  <c r="D4738" i="26" s="1"/>
  <c r="C4739" i="26"/>
  <c r="C4740" i="26"/>
  <c r="C4741" i="26"/>
  <c r="D4741" i="26" s="1"/>
  <c r="C4742" i="26"/>
  <c r="C4743" i="26"/>
  <c r="C4744" i="26"/>
  <c r="D4744" i="26" s="1"/>
  <c r="C4745" i="26"/>
  <c r="C4746" i="26"/>
  <c r="C4747" i="26"/>
  <c r="D4747" i="26" s="1"/>
  <c r="C4748" i="26"/>
  <c r="C4749" i="26"/>
  <c r="C4750" i="26"/>
  <c r="C4751" i="26"/>
  <c r="C4752" i="26"/>
  <c r="C4753" i="26"/>
  <c r="C4754" i="26"/>
  <c r="C4755" i="26"/>
  <c r="C4756" i="26"/>
  <c r="C4757" i="26"/>
  <c r="D4757" i="26" s="1"/>
  <c r="C4758" i="26"/>
  <c r="D4758" i="26" s="1"/>
  <c r="C4759" i="26"/>
  <c r="D4759" i="26" s="1"/>
  <c r="C4760" i="26"/>
  <c r="C4761" i="26"/>
  <c r="D4761" i="26" s="1"/>
  <c r="C4762" i="26"/>
  <c r="D4762" i="26" s="1"/>
  <c r="C4763" i="26"/>
  <c r="C4764" i="26"/>
  <c r="C4765" i="26"/>
  <c r="C4766" i="26"/>
  <c r="C4767" i="26"/>
  <c r="C4768" i="26"/>
  <c r="D4768" i="26" s="1"/>
  <c r="C4769" i="26"/>
  <c r="C4770" i="26"/>
  <c r="C4771" i="26"/>
  <c r="C4772" i="26"/>
  <c r="D4772" i="26" s="1"/>
  <c r="C4773" i="26"/>
  <c r="C4774" i="26"/>
  <c r="C4775" i="26"/>
  <c r="C4776" i="26"/>
  <c r="C4777" i="26"/>
  <c r="C4778" i="26"/>
  <c r="C4779" i="26"/>
  <c r="C4780" i="26"/>
  <c r="C4781" i="26"/>
  <c r="C4782" i="26"/>
  <c r="C4783" i="26"/>
  <c r="C4784" i="26"/>
  <c r="C4785" i="26"/>
  <c r="C4786" i="26"/>
  <c r="C4787" i="26"/>
  <c r="C4788" i="26"/>
  <c r="C4789" i="26"/>
  <c r="C4790" i="26"/>
  <c r="C4791" i="26"/>
  <c r="D4791" i="26" s="1"/>
  <c r="C4792" i="26"/>
  <c r="D4792" i="26" s="1"/>
  <c r="C4793" i="26"/>
  <c r="C4794" i="26"/>
  <c r="C4795" i="26"/>
  <c r="C4796" i="26"/>
  <c r="C4797" i="26"/>
  <c r="C4798" i="26"/>
  <c r="D4798" i="26" s="1"/>
  <c r="C4799" i="26"/>
  <c r="C4800" i="26"/>
  <c r="C4801" i="26"/>
  <c r="C4802" i="26"/>
  <c r="D4802" i="26" s="1"/>
  <c r="C4803" i="26"/>
  <c r="C4804" i="26"/>
  <c r="C4805" i="26"/>
  <c r="C4806" i="26"/>
  <c r="C4807" i="26"/>
  <c r="D4807" i="26" s="1"/>
  <c r="C4808" i="26"/>
  <c r="D4808" i="26" s="1"/>
  <c r="C4809" i="26"/>
  <c r="C4810" i="26"/>
  <c r="C4811" i="26"/>
  <c r="C4812" i="26"/>
  <c r="C4813" i="26"/>
  <c r="C4814" i="26"/>
  <c r="C4815" i="26"/>
  <c r="C4816" i="26"/>
  <c r="C4817" i="26"/>
  <c r="F4817" i="26" s="1"/>
  <c r="C4818" i="26"/>
  <c r="C4819" i="26"/>
  <c r="C4820" i="26"/>
  <c r="D4820" i="26" s="1"/>
  <c r="C4821" i="26"/>
  <c r="C4822" i="26"/>
  <c r="D4822" i="26" s="1"/>
  <c r="C4823" i="26"/>
  <c r="C4824" i="26"/>
  <c r="C4825" i="26"/>
  <c r="C4826" i="26"/>
  <c r="C4827" i="26"/>
  <c r="C4828" i="26"/>
  <c r="D4828" i="26" s="1"/>
  <c r="C4829" i="26"/>
  <c r="C4830" i="26"/>
  <c r="C4831" i="26"/>
  <c r="C4832" i="26"/>
  <c r="C4833" i="26"/>
  <c r="C4834" i="26"/>
  <c r="D4834" i="26" s="1"/>
  <c r="C4835" i="26"/>
  <c r="D4835" i="26" s="1"/>
  <c r="C4836" i="26"/>
  <c r="C4837" i="26"/>
  <c r="D4837" i="26" s="1"/>
  <c r="C4838" i="26"/>
  <c r="C4839" i="26"/>
  <c r="D4839" i="26" s="1"/>
  <c r="C4840" i="26"/>
  <c r="C4841" i="26"/>
  <c r="D4841" i="26" s="1"/>
  <c r="C4842" i="26"/>
  <c r="D4842" i="26" s="1"/>
  <c r="C4843" i="26"/>
  <c r="C4844" i="26"/>
  <c r="C4845" i="26"/>
  <c r="C4846" i="26"/>
  <c r="C4847" i="26"/>
  <c r="D4847" i="26" s="1"/>
  <c r="C4848" i="26"/>
  <c r="D4848" i="26" s="1"/>
  <c r="C4849" i="26"/>
  <c r="C4850" i="26"/>
  <c r="C4851" i="26"/>
  <c r="C4852" i="26"/>
  <c r="D4852" i="26" s="1"/>
  <c r="C4853" i="26"/>
  <c r="D4853" i="26" s="1"/>
  <c r="C4854" i="26"/>
  <c r="D4854" i="26" s="1"/>
  <c r="C4855" i="26"/>
  <c r="C4856" i="26"/>
  <c r="C4857" i="26"/>
  <c r="C4858" i="26"/>
  <c r="C4859" i="26"/>
  <c r="D4859" i="26" s="1"/>
  <c r="C4860" i="26"/>
  <c r="D4860" i="26" s="1"/>
  <c r="C4861" i="26"/>
  <c r="D4861" i="26" s="1"/>
  <c r="C4862" i="26"/>
  <c r="C4863" i="26"/>
  <c r="C4864" i="26"/>
  <c r="C4865" i="26"/>
  <c r="C4866" i="26"/>
  <c r="C4867" i="26"/>
  <c r="C4868" i="26"/>
  <c r="D4868" i="26" s="1"/>
  <c r="C4869" i="26"/>
  <c r="C4870" i="26"/>
  <c r="C4871" i="26"/>
  <c r="D4871" i="26" s="1"/>
  <c r="C4872" i="26"/>
  <c r="C4873" i="26"/>
  <c r="D4873" i="26" s="1"/>
  <c r="C4874" i="26"/>
  <c r="C4875" i="26"/>
  <c r="C4876" i="26"/>
  <c r="C4877" i="26"/>
  <c r="D4877" i="26" s="1"/>
  <c r="C4878" i="26"/>
  <c r="C4879" i="26"/>
  <c r="C4880" i="26"/>
  <c r="C4881" i="26"/>
  <c r="C4882" i="26"/>
  <c r="C4883" i="26"/>
  <c r="C4884" i="26"/>
  <c r="C4885" i="26"/>
  <c r="C4886" i="26"/>
  <c r="C4887" i="26"/>
  <c r="C4888" i="26"/>
  <c r="C4889" i="26"/>
  <c r="C4890" i="26"/>
  <c r="C4891" i="26"/>
  <c r="C4892" i="26"/>
  <c r="D4892" i="26" s="1"/>
  <c r="C4893" i="26"/>
  <c r="C4894" i="26"/>
  <c r="D4894" i="26" s="1"/>
  <c r="C4895" i="26"/>
  <c r="C4896" i="26"/>
  <c r="D4896" i="26" s="1"/>
  <c r="C4897" i="26"/>
  <c r="C4898" i="26"/>
  <c r="D4898" i="26" s="1"/>
  <c r="C4899" i="26"/>
  <c r="C4900" i="26"/>
  <c r="D4900" i="26" s="1"/>
  <c r="C4901" i="26"/>
  <c r="D4901" i="26" s="1"/>
  <c r="C4902" i="26"/>
  <c r="C4903" i="26"/>
  <c r="C4904" i="26"/>
  <c r="C4905" i="26"/>
  <c r="C4906" i="26"/>
  <c r="C4907" i="26"/>
  <c r="D4907" i="26" s="1"/>
  <c r="C4908" i="26"/>
  <c r="C4909" i="26"/>
  <c r="C4910" i="26"/>
  <c r="C4911" i="26"/>
  <c r="C4912" i="26"/>
  <c r="C4913" i="26"/>
  <c r="D4913" i="26" s="1"/>
  <c r="C4914" i="26"/>
  <c r="C4915" i="26"/>
  <c r="C4916" i="26"/>
  <c r="C4917" i="26"/>
  <c r="C4918" i="26"/>
  <c r="C4919" i="26"/>
  <c r="C4920" i="26"/>
  <c r="C4921" i="26"/>
  <c r="C4922" i="26"/>
  <c r="D4922" i="26" s="1"/>
  <c r="C4923" i="26"/>
  <c r="C4924" i="26"/>
  <c r="C4925" i="26"/>
  <c r="C4926" i="26"/>
  <c r="C4927" i="26"/>
  <c r="D4927" i="26" s="1"/>
  <c r="C4928" i="26"/>
  <c r="D4928" i="26" s="1"/>
  <c r="C4929" i="26"/>
  <c r="C4930" i="26"/>
  <c r="C4931" i="26"/>
  <c r="F4931" i="26" s="1"/>
  <c r="C4932" i="26"/>
  <c r="C4933" i="26"/>
  <c r="C4934" i="26"/>
  <c r="C4935" i="26"/>
  <c r="C4936" i="26"/>
  <c r="C4937" i="26"/>
  <c r="C4938" i="26"/>
  <c r="C4939" i="26"/>
  <c r="C4940" i="26"/>
  <c r="D4940" i="26" s="1"/>
  <c r="C4941" i="26"/>
  <c r="C4942" i="26"/>
  <c r="C4943" i="26"/>
  <c r="C4944" i="26"/>
  <c r="C4945" i="26"/>
  <c r="C4946" i="26"/>
  <c r="C4947" i="26"/>
  <c r="C4948" i="26"/>
  <c r="C4949" i="26"/>
  <c r="C4950" i="26"/>
  <c r="C4951" i="26"/>
  <c r="C4952" i="26"/>
  <c r="C4953" i="26"/>
  <c r="D4953" i="26" s="1"/>
  <c r="C4954" i="26"/>
  <c r="C4955" i="26"/>
  <c r="C4956" i="26"/>
  <c r="C4957" i="26"/>
  <c r="C4958" i="26"/>
  <c r="D4958" i="26" s="1"/>
  <c r="C4959" i="26"/>
  <c r="C4960" i="26"/>
  <c r="C4961" i="26"/>
  <c r="C4962" i="26"/>
  <c r="C4963" i="26"/>
  <c r="C4964" i="26"/>
  <c r="C4965" i="26"/>
  <c r="C4966" i="26"/>
  <c r="C4967" i="26"/>
  <c r="C4968" i="26"/>
  <c r="C4969" i="26"/>
  <c r="C4970" i="26"/>
  <c r="D4970" i="26" s="1"/>
  <c r="C4971" i="26"/>
  <c r="F4971" i="26" s="1"/>
  <c r="C4972" i="26"/>
  <c r="C4973" i="26"/>
  <c r="D4973" i="26" s="1"/>
  <c r="C4974" i="26"/>
  <c r="C4975" i="26"/>
  <c r="C4976" i="26"/>
  <c r="D4976" i="26" s="1"/>
  <c r="C4977" i="26"/>
  <c r="D4977" i="26" s="1"/>
  <c r="C4978" i="26"/>
  <c r="C4979" i="26"/>
  <c r="C4980" i="26"/>
  <c r="C4981" i="26"/>
  <c r="D4981" i="26" s="1"/>
  <c r="C4982" i="26"/>
  <c r="C4983" i="26"/>
  <c r="C4984" i="26"/>
  <c r="D4984" i="26" s="1"/>
  <c r="C4985" i="26"/>
  <c r="C4986" i="26"/>
  <c r="D4986" i="26" s="1"/>
  <c r="C4987" i="26"/>
  <c r="D4987" i="26" s="1"/>
  <c r="C4988" i="26"/>
  <c r="D4988" i="26" s="1"/>
  <c r="C4989" i="26"/>
  <c r="C4990" i="26"/>
  <c r="D4990" i="26" s="1"/>
  <c r="C4991" i="26"/>
  <c r="F4991" i="26" s="1"/>
  <c r="C4992" i="26"/>
  <c r="C4993" i="26"/>
  <c r="C4994" i="26"/>
  <c r="C4995" i="26"/>
  <c r="C4996" i="26"/>
  <c r="D4996" i="26" s="1"/>
  <c r="C4997" i="26"/>
  <c r="C4998" i="26"/>
  <c r="D4998" i="26" s="1"/>
  <c r="C4999" i="26"/>
  <c r="C5000" i="26"/>
  <c r="D5000" i="26" s="1"/>
  <c r="C5001" i="26"/>
  <c r="C5002" i="26"/>
  <c r="C5003" i="26"/>
  <c r="C5004" i="26"/>
  <c r="C5005" i="26"/>
  <c r="C5006" i="26"/>
  <c r="C5007" i="26"/>
  <c r="D5007" i="26" s="1"/>
  <c r="C5008" i="26"/>
  <c r="D5008" i="26" s="1"/>
  <c r="C5009" i="26"/>
  <c r="C5010" i="26"/>
  <c r="C5011" i="26"/>
  <c r="F5011" i="26" s="1"/>
  <c r="C5012" i="26"/>
  <c r="C5013" i="26"/>
  <c r="C5014" i="26"/>
  <c r="C5015" i="26"/>
  <c r="C5016" i="26"/>
  <c r="C5017" i="26"/>
  <c r="C5018" i="26"/>
  <c r="C5019" i="26"/>
  <c r="C5020" i="26"/>
  <c r="D5020" i="26" s="1"/>
  <c r="C5021" i="26"/>
  <c r="C5022" i="26"/>
  <c r="C5023" i="26"/>
  <c r="C5024" i="26"/>
  <c r="C5025" i="26"/>
  <c r="C5026" i="26"/>
  <c r="C5027" i="26"/>
  <c r="C5028" i="26"/>
  <c r="D5028" i="26" s="1"/>
  <c r="C5029" i="26"/>
  <c r="C5030" i="26"/>
  <c r="C5031" i="26"/>
  <c r="C5032" i="26"/>
  <c r="C5033" i="26"/>
  <c r="C5034" i="26"/>
  <c r="C5035" i="26"/>
  <c r="C5036" i="26"/>
  <c r="C5037" i="26"/>
  <c r="C5038" i="26"/>
  <c r="C5039" i="26"/>
  <c r="C5040" i="26"/>
  <c r="D5040" i="26" s="1"/>
  <c r="C5041" i="26"/>
  <c r="D5041" i="26" s="1"/>
  <c r="C5042" i="26"/>
  <c r="C5043" i="26"/>
  <c r="C5044" i="26"/>
  <c r="C5045" i="26"/>
  <c r="C5046" i="26"/>
  <c r="C5047" i="26"/>
  <c r="C5048" i="26"/>
  <c r="D5048" i="26" s="1"/>
  <c r="C5049" i="26"/>
  <c r="C5050" i="26"/>
  <c r="C5051" i="26"/>
  <c r="C5052" i="26"/>
  <c r="C5053" i="26"/>
  <c r="C5054" i="26"/>
  <c r="C5055" i="26"/>
  <c r="C5056" i="26"/>
  <c r="C5057" i="26"/>
  <c r="C5058" i="26"/>
  <c r="C5059" i="26"/>
  <c r="C5060" i="26"/>
  <c r="C5061" i="26"/>
  <c r="C5062" i="26"/>
  <c r="F5062" i="26" s="1"/>
  <c r="C5063" i="26"/>
  <c r="F5063" i="26" s="1"/>
  <c r="C5064" i="26"/>
  <c r="D5064" i="26" s="1"/>
  <c r="C5065" i="26"/>
  <c r="C5066" i="26"/>
  <c r="C5067" i="26"/>
  <c r="D5067" i="26" s="1"/>
  <c r="C5068" i="26"/>
  <c r="C5069" i="26"/>
  <c r="C5070" i="26"/>
  <c r="C5071" i="26"/>
  <c r="C5072" i="26"/>
  <c r="D5072" i="26" s="1"/>
  <c r="C5073" i="26"/>
  <c r="C5074" i="26"/>
  <c r="C5075" i="26"/>
  <c r="C5076" i="26"/>
  <c r="C5077" i="26"/>
  <c r="C5078" i="26"/>
  <c r="C5079" i="26"/>
  <c r="C5080" i="26"/>
  <c r="C5081" i="26"/>
  <c r="C5082" i="26"/>
  <c r="C5083" i="26"/>
  <c r="C5084" i="26"/>
  <c r="C5085" i="26"/>
  <c r="C5086" i="26"/>
  <c r="C5087" i="26"/>
  <c r="C5088" i="26"/>
  <c r="C5089" i="26"/>
  <c r="C5090" i="26"/>
  <c r="C5091" i="26"/>
  <c r="C5092" i="26"/>
  <c r="C5093" i="26"/>
  <c r="C5094" i="26"/>
  <c r="D5094" i="26" s="1"/>
  <c r="C5095" i="26"/>
  <c r="C5096" i="26"/>
  <c r="C5097" i="26"/>
  <c r="C5098" i="26"/>
  <c r="C5099" i="26"/>
  <c r="C5100" i="26"/>
  <c r="D5100" i="26" s="1"/>
  <c r="C5101" i="26"/>
  <c r="D5101" i="26" s="1"/>
  <c r="C5102" i="26"/>
  <c r="C5103" i="26"/>
  <c r="C5104" i="26"/>
  <c r="C5105" i="26"/>
  <c r="C5106" i="26"/>
  <c r="C5107" i="26"/>
  <c r="C5108" i="26"/>
  <c r="D5108" i="26" s="1"/>
  <c r="C5109" i="26"/>
  <c r="C5110" i="26"/>
  <c r="C5111" i="26"/>
  <c r="C5112" i="26"/>
  <c r="D5112" i="26" s="1"/>
  <c r="C5113" i="26"/>
  <c r="C5114" i="26"/>
  <c r="D5114" i="26" s="1"/>
  <c r="C5115" i="26"/>
  <c r="D5115" i="26" s="1"/>
  <c r="C5116" i="26"/>
  <c r="D5116" i="26" s="1"/>
  <c r="C5117" i="26"/>
  <c r="C5118" i="26"/>
  <c r="C5119" i="26"/>
  <c r="C5120" i="26"/>
  <c r="D5120" i="26" s="1"/>
  <c r="C5121" i="26"/>
  <c r="C5122" i="26"/>
  <c r="C5123" i="26"/>
  <c r="C5124" i="26"/>
  <c r="C5125" i="26"/>
  <c r="C5126" i="26"/>
  <c r="C5127" i="26"/>
  <c r="C5128" i="26"/>
  <c r="C5129" i="26"/>
  <c r="C5130" i="26"/>
  <c r="C5131" i="26"/>
  <c r="C5132" i="26"/>
  <c r="C5133" i="26"/>
  <c r="D5133" i="26" s="1"/>
  <c r="C5134" i="26"/>
  <c r="D5134" i="26" s="1"/>
  <c r="C5135" i="26"/>
  <c r="C5136" i="26"/>
  <c r="C5137" i="26"/>
  <c r="C5138" i="26"/>
  <c r="C5139" i="26"/>
  <c r="C5140" i="26"/>
  <c r="C5141" i="26"/>
  <c r="C5142" i="26"/>
  <c r="C5143" i="26"/>
  <c r="C5144" i="26"/>
  <c r="D5144" i="26" s="1"/>
  <c r="C5145" i="26"/>
  <c r="C5146" i="26"/>
  <c r="C5147" i="26"/>
  <c r="D5147" i="26" s="1"/>
  <c r="C5148" i="26"/>
  <c r="D5148" i="26" s="1"/>
  <c r="C5149" i="26"/>
  <c r="C5150" i="26"/>
  <c r="D5150" i="26" s="1"/>
  <c r="C5151" i="26"/>
  <c r="C5152" i="26"/>
  <c r="C5153" i="26"/>
  <c r="C5154" i="26"/>
  <c r="C5155" i="26"/>
  <c r="D5155" i="26" s="1"/>
  <c r="C5156" i="26"/>
  <c r="D5156" i="26" s="1"/>
  <c r="C5157" i="26"/>
  <c r="C5158" i="26"/>
  <c r="C5159" i="26"/>
  <c r="C5160" i="26"/>
  <c r="C5161" i="26"/>
  <c r="C5162" i="26"/>
  <c r="C5163" i="26"/>
  <c r="C5164" i="26"/>
  <c r="C5165" i="26"/>
  <c r="C5166" i="26"/>
  <c r="D5166" i="26" s="1"/>
  <c r="C5167" i="26"/>
  <c r="D5167" i="26" s="1"/>
  <c r="C5168" i="26"/>
  <c r="D5168" i="26" s="1"/>
  <c r="C5169" i="26"/>
  <c r="C5170" i="26"/>
  <c r="D5170" i="26" s="1"/>
  <c r="C5171" i="26"/>
  <c r="D5171" i="26" s="1"/>
  <c r="C5172" i="26"/>
  <c r="D5172" i="26" s="1"/>
  <c r="C5173" i="26"/>
  <c r="C5174" i="26"/>
  <c r="D5174" i="26" s="1"/>
  <c r="C5175" i="26"/>
  <c r="C5176" i="26"/>
  <c r="C5177" i="26"/>
  <c r="C5178" i="26"/>
  <c r="C5179" i="26"/>
  <c r="D5179" i="26" s="1"/>
  <c r="C5180" i="26"/>
  <c r="C5181" i="26"/>
  <c r="C5182" i="26"/>
  <c r="C5183" i="26"/>
  <c r="D5183" i="26" s="1"/>
  <c r="C5184" i="26"/>
  <c r="D5184" i="26" s="1"/>
  <c r="C5185" i="26"/>
  <c r="C5186" i="26"/>
  <c r="C5187" i="26"/>
  <c r="D5187" i="26" s="1"/>
  <c r="C5188" i="26"/>
  <c r="C5189" i="26"/>
  <c r="C5190" i="26"/>
  <c r="C5191" i="26"/>
  <c r="C5192" i="26"/>
  <c r="C5193" i="26"/>
  <c r="D5193" i="26" s="1"/>
  <c r="C5194" i="26"/>
  <c r="C5195" i="26"/>
  <c r="C5196" i="26"/>
  <c r="C5197" i="26"/>
  <c r="C5198" i="26"/>
  <c r="C5199" i="26"/>
  <c r="D5199" i="26" s="1"/>
  <c r="C5200" i="26"/>
  <c r="C5201" i="26"/>
  <c r="F5201" i="26" s="1"/>
  <c r="C5202" i="26"/>
  <c r="C5203" i="26"/>
  <c r="C5204" i="26"/>
  <c r="C5205" i="26"/>
  <c r="C5206" i="26"/>
  <c r="C5207" i="26"/>
  <c r="D5207" i="26" s="1"/>
  <c r="C5208" i="26"/>
  <c r="D5208" i="26" s="1"/>
  <c r="C5209" i="26"/>
  <c r="C5210" i="26"/>
  <c r="D5210" i="26" s="1"/>
  <c r="C5211" i="26"/>
  <c r="D5211" i="26" s="1"/>
  <c r="C5212" i="26"/>
  <c r="C5213" i="26"/>
  <c r="D5213" i="26" s="1"/>
  <c r="C5214" i="26"/>
  <c r="D5214" i="26" s="1"/>
  <c r="C5215" i="26"/>
  <c r="C5216" i="26"/>
  <c r="C5217" i="26"/>
  <c r="C5218" i="26"/>
  <c r="C5219" i="26"/>
  <c r="C5220" i="26"/>
  <c r="D5220" i="26" s="1"/>
  <c r="C5221" i="26"/>
  <c r="D5221" i="26" s="1"/>
  <c r="C5222" i="26"/>
  <c r="C5223" i="26"/>
  <c r="C5224" i="26"/>
  <c r="C5225" i="26"/>
  <c r="C5226" i="26"/>
  <c r="C5227" i="26"/>
  <c r="C5228" i="26"/>
  <c r="C5229" i="26"/>
  <c r="C5230" i="26"/>
  <c r="C5231" i="26"/>
  <c r="C5232" i="26"/>
  <c r="C5233" i="26"/>
  <c r="D5233" i="26" s="1"/>
  <c r="C5234" i="26"/>
  <c r="D5234" i="26" s="1"/>
  <c r="C5235" i="26"/>
  <c r="C5236" i="26"/>
  <c r="C5237" i="26"/>
  <c r="C5238" i="26"/>
  <c r="C5239" i="26"/>
  <c r="C5240" i="26"/>
  <c r="C5241" i="26"/>
  <c r="C5242" i="26"/>
  <c r="D5242" i="26" s="1"/>
  <c r="C5243" i="26"/>
  <c r="C5244" i="26"/>
  <c r="C5245" i="26"/>
  <c r="C5246" i="26"/>
  <c r="C5247" i="26"/>
  <c r="C5248" i="26"/>
  <c r="D5248" i="26" s="1"/>
  <c r="C5249" i="26"/>
  <c r="C5250" i="26"/>
  <c r="C5251" i="26"/>
  <c r="C5252" i="26"/>
  <c r="C5253" i="26"/>
  <c r="C5254" i="26"/>
  <c r="C5255" i="26"/>
  <c r="C5256" i="26"/>
  <c r="C5257" i="26"/>
  <c r="C5258" i="26"/>
  <c r="D5258" i="26" s="1"/>
  <c r="C5259" i="26"/>
  <c r="C5260" i="26"/>
  <c r="C5261" i="26"/>
  <c r="F5261" i="26" s="1"/>
  <c r="C5262" i="26"/>
  <c r="D5262" i="26" s="1"/>
  <c r="C5263" i="26"/>
  <c r="D5263" i="26" s="1"/>
  <c r="C5264" i="26"/>
  <c r="C5265" i="26"/>
  <c r="C5266" i="26"/>
  <c r="C5267" i="26"/>
  <c r="C5268" i="26"/>
  <c r="D5268" i="26" s="1"/>
  <c r="C5269" i="26"/>
  <c r="C5270" i="26"/>
  <c r="D5270" i="26" s="1"/>
  <c r="C5271" i="26"/>
  <c r="F5271" i="26" s="1"/>
  <c r="C5272" i="26"/>
  <c r="D5272" i="26" s="1"/>
  <c r="C5273" i="26"/>
  <c r="D5273" i="26" s="1"/>
  <c r="C5274" i="26"/>
  <c r="D5274" i="26" s="1"/>
  <c r="C5275" i="26"/>
  <c r="C5276" i="26"/>
  <c r="C5277" i="26"/>
  <c r="C5278" i="26"/>
  <c r="C5279" i="26"/>
  <c r="C5280" i="26"/>
  <c r="C5281" i="26"/>
  <c r="C5282" i="26"/>
  <c r="C5283" i="26"/>
  <c r="C5284" i="26"/>
  <c r="C5285" i="26"/>
  <c r="C5286" i="26"/>
  <c r="C5287" i="26"/>
  <c r="C5288" i="26"/>
  <c r="C5289" i="26"/>
  <c r="C5290" i="26"/>
  <c r="C5291" i="26"/>
  <c r="C5292" i="26"/>
  <c r="D5292" i="26" s="1"/>
  <c r="C5293" i="26"/>
  <c r="D5293" i="26" s="1"/>
  <c r="C5294" i="26"/>
  <c r="C5295" i="26"/>
  <c r="C5296" i="26"/>
  <c r="D5296" i="26" s="1"/>
  <c r="C5297" i="26"/>
  <c r="D5297" i="26" s="1"/>
  <c r="C5298" i="26"/>
  <c r="D5298" i="26" s="1"/>
  <c r="C5299" i="26"/>
  <c r="C5300" i="26"/>
  <c r="C5301" i="26"/>
  <c r="C5302" i="26"/>
  <c r="C5303" i="26"/>
  <c r="D5303" i="26" s="1"/>
  <c r="C5304" i="26"/>
  <c r="C5305" i="26"/>
  <c r="C5306" i="26"/>
  <c r="D5306" i="26" s="1"/>
  <c r="C5307" i="26"/>
  <c r="D5307" i="26" s="1"/>
  <c r="C5308" i="26"/>
  <c r="C5309" i="26"/>
  <c r="C5310" i="26"/>
  <c r="C5311" i="26"/>
  <c r="C5312" i="26"/>
  <c r="C5313" i="26"/>
  <c r="C5314" i="26"/>
  <c r="C5315" i="26"/>
  <c r="C5316" i="26"/>
  <c r="C5317" i="26"/>
  <c r="C5318" i="26"/>
  <c r="D5318" i="26" s="1"/>
  <c r="C5319" i="26"/>
  <c r="D5319" i="26" s="1"/>
  <c r="C5320" i="26"/>
  <c r="C5321" i="26"/>
  <c r="D5321" i="26" s="1"/>
  <c r="C5322" i="26"/>
  <c r="C5323" i="26"/>
  <c r="C5324" i="26"/>
  <c r="C5325" i="26"/>
  <c r="C5326" i="26"/>
  <c r="C5327" i="26"/>
  <c r="C5328" i="26"/>
  <c r="D5328" i="26" s="1"/>
  <c r="C5329" i="26"/>
  <c r="C5330" i="26"/>
  <c r="C5331" i="26"/>
  <c r="C5332" i="26"/>
  <c r="C5333" i="26"/>
  <c r="C5334" i="26"/>
  <c r="C5335" i="26"/>
  <c r="D5335" i="26" s="1"/>
  <c r="C5336" i="26"/>
  <c r="C5337" i="26"/>
  <c r="D5337" i="26" s="1"/>
  <c r="C5338" i="26"/>
  <c r="D5338" i="26" s="1"/>
  <c r="C5339" i="26"/>
  <c r="C5340" i="26"/>
  <c r="D5340" i="26" s="1"/>
  <c r="C5341" i="26"/>
  <c r="C5342" i="26"/>
  <c r="C5343" i="26"/>
  <c r="C5344" i="26"/>
  <c r="C5345" i="26"/>
  <c r="C5346" i="26"/>
  <c r="C5347" i="26"/>
  <c r="D5347" i="26" s="1"/>
  <c r="C5348" i="26"/>
  <c r="D5348" i="26" s="1"/>
  <c r="C5349" i="26"/>
  <c r="C5350" i="26"/>
  <c r="C5351" i="26"/>
  <c r="C5352" i="26"/>
  <c r="C5353" i="26"/>
  <c r="C5354" i="26"/>
  <c r="C5355" i="26"/>
  <c r="C5356" i="26"/>
  <c r="C5357" i="26"/>
  <c r="C5358" i="26"/>
  <c r="C5359" i="26"/>
  <c r="C5360" i="26"/>
  <c r="D5360" i="26" s="1"/>
  <c r="C5361" i="26"/>
  <c r="D5361" i="26" s="1"/>
  <c r="C5362" i="26"/>
  <c r="C5363" i="26"/>
  <c r="C5364" i="26"/>
  <c r="C5365" i="26"/>
  <c r="C5366" i="26"/>
  <c r="C5367" i="26"/>
  <c r="D5367" i="26" s="1"/>
  <c r="C5368" i="26"/>
  <c r="D5368" i="26" s="1"/>
  <c r="C5369" i="26"/>
  <c r="C5370" i="26"/>
  <c r="C5371" i="26"/>
  <c r="C5372" i="26"/>
  <c r="C5373" i="26"/>
  <c r="D5373" i="26" s="1"/>
  <c r="C5374" i="26"/>
  <c r="C5375" i="26"/>
  <c r="D5375" i="26" s="1"/>
  <c r="C5376" i="26"/>
  <c r="C5377" i="26"/>
  <c r="C5378" i="26"/>
  <c r="C5379" i="26"/>
  <c r="C5380" i="26"/>
  <c r="C5381" i="26"/>
  <c r="C5382" i="26"/>
  <c r="C5383" i="26"/>
  <c r="C5384" i="26"/>
  <c r="C5385" i="26"/>
  <c r="C5386" i="26"/>
  <c r="C5387" i="26"/>
  <c r="C5388" i="26"/>
  <c r="C5389" i="26"/>
  <c r="C5390" i="26"/>
  <c r="C5391" i="26"/>
  <c r="C5392" i="26"/>
  <c r="C5393" i="26"/>
  <c r="C5394" i="26"/>
  <c r="D5394" i="26" s="1"/>
  <c r="C5395" i="26"/>
  <c r="C5396" i="26"/>
  <c r="C5397" i="26"/>
  <c r="C5398" i="26"/>
  <c r="C5399" i="26"/>
  <c r="D5399" i="26" s="1"/>
  <c r="C5400" i="26"/>
  <c r="D5400" i="26" s="1"/>
  <c r="C5401" i="26"/>
  <c r="C5402" i="26"/>
  <c r="D5402" i="26" s="1"/>
  <c r="C5403" i="26"/>
  <c r="C5404" i="26"/>
  <c r="C5405" i="26"/>
  <c r="C5406" i="26"/>
  <c r="C5407" i="26"/>
  <c r="C5408" i="26"/>
  <c r="C5409" i="26"/>
  <c r="C5410" i="26"/>
  <c r="C5411" i="26"/>
  <c r="C5412" i="26"/>
  <c r="D5412" i="26" s="1"/>
  <c r="C5413" i="26"/>
  <c r="D5413" i="26" s="1"/>
  <c r="C5414" i="26"/>
  <c r="C5415" i="26"/>
  <c r="C5416" i="26"/>
  <c r="C5417" i="26"/>
  <c r="C5418" i="26"/>
  <c r="C5419" i="26"/>
  <c r="C5420" i="26"/>
  <c r="C5421" i="26"/>
  <c r="D5421" i="26" s="1"/>
  <c r="C5422" i="26"/>
  <c r="D5422" i="26" s="1"/>
  <c r="C5423" i="26"/>
  <c r="C5424" i="26"/>
  <c r="C5425" i="26"/>
  <c r="C5426" i="26"/>
  <c r="C5427" i="26"/>
  <c r="C5428" i="26"/>
  <c r="C5429" i="26"/>
  <c r="C5430" i="26"/>
  <c r="C5431" i="26"/>
  <c r="D5431" i="26" s="1"/>
  <c r="C5432" i="26"/>
  <c r="C5433" i="26"/>
  <c r="C5434" i="26"/>
  <c r="C5435" i="26"/>
  <c r="C5436" i="26"/>
  <c r="D5436" i="26" s="1"/>
  <c r="C5437" i="26"/>
  <c r="C5438" i="26"/>
  <c r="C5439" i="26"/>
  <c r="D5439" i="26" s="1"/>
  <c r="C5440" i="26"/>
  <c r="D5440" i="26" s="1"/>
  <c r="C5441" i="26"/>
  <c r="D5441" i="26" s="1"/>
  <c r="C5442" i="26"/>
  <c r="C5443" i="26"/>
  <c r="C5444" i="26"/>
  <c r="C5445" i="26"/>
  <c r="C5446" i="26"/>
  <c r="C5447" i="26"/>
  <c r="C5448" i="26"/>
  <c r="D5448" i="26" s="1"/>
  <c r="C5449" i="26"/>
  <c r="C5450" i="26"/>
  <c r="C5451" i="26"/>
  <c r="C5452" i="26"/>
  <c r="D5452" i="26" s="1"/>
  <c r="C5453" i="26"/>
  <c r="C5454" i="26"/>
  <c r="C5455" i="26"/>
  <c r="C5456" i="26"/>
  <c r="C5457" i="26"/>
  <c r="C5458" i="26"/>
  <c r="D5458" i="26" s="1"/>
  <c r="C5459" i="26"/>
  <c r="D5459" i="26" s="1"/>
  <c r="C5460" i="26"/>
  <c r="D5460" i="26" s="1"/>
  <c r="C5461" i="26"/>
  <c r="C5462" i="26"/>
  <c r="C5463" i="26"/>
  <c r="D5463" i="26" s="1"/>
  <c r="C5464" i="26"/>
  <c r="C5465" i="26"/>
  <c r="C5466" i="26"/>
  <c r="D5466" i="26" s="1"/>
  <c r="C5467" i="26"/>
  <c r="D5467" i="26" s="1"/>
  <c r="C5468" i="26"/>
  <c r="C5469" i="26"/>
  <c r="D5469" i="26" s="1"/>
  <c r="C5470" i="26"/>
  <c r="C5471" i="26"/>
  <c r="C5472" i="26"/>
  <c r="C5473" i="26"/>
  <c r="C5474" i="26"/>
  <c r="C5475" i="26"/>
  <c r="C5476" i="26"/>
  <c r="C5477" i="26"/>
  <c r="C5478" i="26"/>
  <c r="C5479" i="26"/>
  <c r="C5480" i="26"/>
  <c r="C5481" i="26"/>
  <c r="C5482" i="26"/>
  <c r="C5483" i="26"/>
  <c r="C5484" i="26"/>
  <c r="C5485" i="26"/>
  <c r="C5486" i="26"/>
  <c r="C5487" i="26"/>
  <c r="C5488" i="26"/>
  <c r="D5488" i="26" s="1"/>
  <c r="C5489" i="26"/>
  <c r="C5490" i="26"/>
  <c r="C5491" i="26"/>
  <c r="F5491" i="26" s="1"/>
  <c r="C5492" i="26"/>
  <c r="C5493" i="26"/>
  <c r="D5493" i="26" s="1"/>
  <c r="C5494" i="26"/>
  <c r="C5495" i="26"/>
  <c r="C5496" i="26"/>
  <c r="C5497" i="26"/>
  <c r="C5498" i="26"/>
  <c r="C5499" i="26"/>
  <c r="C5500" i="26"/>
  <c r="C5501" i="26"/>
  <c r="C5502" i="26"/>
  <c r="D5502" i="26" s="1"/>
  <c r="C5503" i="26"/>
  <c r="C5504" i="26"/>
  <c r="C5505" i="26"/>
  <c r="C5506" i="26"/>
  <c r="C5507" i="26"/>
  <c r="D5507" i="26" s="1"/>
  <c r="C5508" i="26"/>
  <c r="D5508" i="26" s="1"/>
  <c r="C5509" i="26"/>
  <c r="C5510" i="26"/>
  <c r="C5511" i="26"/>
  <c r="C5512" i="26"/>
  <c r="D5512" i="26" s="1"/>
  <c r="C5513" i="26"/>
  <c r="C5514" i="26"/>
  <c r="C5515" i="26"/>
  <c r="C5516" i="26"/>
  <c r="C5517" i="26"/>
  <c r="C5518" i="26"/>
  <c r="C5519" i="26"/>
  <c r="C5520" i="26"/>
  <c r="C5521" i="26"/>
  <c r="C5522" i="26"/>
  <c r="C5523" i="26"/>
  <c r="C5524" i="26"/>
  <c r="D5524" i="26" s="1"/>
  <c r="C5525" i="26"/>
  <c r="C5526" i="26"/>
  <c r="C5527" i="26"/>
  <c r="C5528" i="26"/>
  <c r="D5528" i="26" s="1"/>
  <c r="C5529" i="26"/>
  <c r="C5530" i="26"/>
  <c r="C5531" i="26"/>
  <c r="C5532" i="26"/>
  <c r="C5533" i="26"/>
  <c r="C5534" i="26"/>
  <c r="C5535" i="26"/>
  <c r="C5536" i="26"/>
  <c r="C5537" i="26"/>
  <c r="C5538" i="26"/>
  <c r="C5539" i="26"/>
  <c r="C5540" i="26"/>
  <c r="D5540" i="26" s="1"/>
  <c r="C5541" i="26"/>
  <c r="C5542" i="26"/>
  <c r="C5543" i="26"/>
  <c r="D5543" i="26" s="1"/>
  <c r="C5544" i="26"/>
  <c r="D5544" i="26" s="1"/>
  <c r="C5545" i="26"/>
  <c r="C5546" i="26"/>
  <c r="C5547" i="26"/>
  <c r="C5548" i="26"/>
  <c r="D5548" i="26" s="1"/>
  <c r="C5549" i="26"/>
  <c r="C5550" i="26"/>
  <c r="C5551" i="26"/>
  <c r="D5551" i="26" s="1"/>
  <c r="C5552" i="26"/>
  <c r="C5553" i="26"/>
  <c r="C5554" i="26"/>
  <c r="C5555" i="26"/>
  <c r="C5556" i="26"/>
  <c r="C5557" i="26"/>
  <c r="C5558" i="26"/>
  <c r="C5559" i="26"/>
  <c r="C5560" i="26"/>
  <c r="C5561" i="26"/>
  <c r="D5561" i="26" s="1"/>
  <c r="C5562" i="26"/>
  <c r="C5563" i="26"/>
  <c r="C5564" i="26"/>
  <c r="C5565" i="26"/>
  <c r="C5566" i="26"/>
  <c r="D5566" i="26" s="1"/>
  <c r="C5567" i="26"/>
  <c r="D5567" i="26" s="1"/>
  <c r="C5568" i="26"/>
  <c r="D5568" i="26" s="1"/>
  <c r="C5569" i="26"/>
  <c r="C5570" i="26"/>
  <c r="C5571" i="26"/>
  <c r="C5572" i="26"/>
  <c r="C5573" i="26"/>
  <c r="C5574" i="26"/>
  <c r="C5575" i="26"/>
  <c r="C5576" i="26"/>
  <c r="C5577" i="26"/>
  <c r="C5578" i="26"/>
  <c r="C5579" i="26"/>
  <c r="D5579" i="26" s="1"/>
  <c r="C5580" i="26"/>
  <c r="D5580" i="26" s="1"/>
  <c r="C5581" i="26"/>
  <c r="D5581" i="26" s="1"/>
  <c r="C5582" i="26"/>
  <c r="D5582" i="26" s="1"/>
  <c r="C5583" i="26"/>
  <c r="D5583" i="26" s="1"/>
  <c r="C5584" i="26"/>
  <c r="D5584" i="26" s="1"/>
  <c r="C5585" i="26"/>
  <c r="C5586" i="26"/>
  <c r="D5586" i="26" s="1"/>
  <c r="C5587" i="26"/>
  <c r="D5587" i="26" s="1"/>
  <c r="C5588" i="26"/>
  <c r="D5588" i="26" s="1"/>
  <c r="C5589" i="26"/>
  <c r="D5589" i="26" s="1"/>
  <c r="C5590" i="26"/>
  <c r="D5590" i="26" s="1"/>
  <c r="C5591" i="26"/>
  <c r="F5591" i="26" s="1"/>
  <c r="C5592" i="26"/>
  <c r="D5592" i="26" s="1"/>
  <c r="C5593" i="26"/>
  <c r="C5594" i="26"/>
  <c r="C5595" i="26"/>
  <c r="C5596" i="26"/>
  <c r="C5597" i="26"/>
  <c r="C5598" i="26"/>
  <c r="C5599" i="26"/>
  <c r="C5600" i="26"/>
  <c r="C5601" i="26"/>
  <c r="C5602" i="26"/>
  <c r="C5603" i="26"/>
  <c r="C5604" i="26"/>
  <c r="C5605" i="26"/>
  <c r="C5606" i="26"/>
  <c r="C5607" i="26"/>
  <c r="D5607" i="26" s="1"/>
  <c r="C5608" i="26"/>
  <c r="C5609" i="26"/>
  <c r="C5610" i="26"/>
  <c r="C5611" i="26"/>
  <c r="C5612" i="26"/>
  <c r="C5613" i="26"/>
  <c r="C5614" i="26"/>
  <c r="D5614" i="26" s="1"/>
  <c r="C5615" i="26"/>
  <c r="C5616" i="26"/>
  <c r="D5616" i="26" s="1"/>
  <c r="C5617" i="26"/>
  <c r="C5618" i="26"/>
  <c r="C5619" i="26"/>
  <c r="C5620" i="26"/>
  <c r="C5621" i="26"/>
  <c r="D5621" i="26" s="1"/>
  <c r="C5622" i="26"/>
  <c r="D5622" i="26" s="1"/>
  <c r="C5623" i="26"/>
  <c r="D5623" i="26" s="1"/>
  <c r="C5624" i="26"/>
  <c r="C5625" i="26"/>
  <c r="C5626" i="26"/>
  <c r="C5627" i="26"/>
  <c r="D5627" i="26" s="1"/>
  <c r="C5628" i="26"/>
  <c r="D5628" i="26" s="1"/>
  <c r="C5629" i="26"/>
  <c r="C5630" i="26"/>
  <c r="C5631" i="26"/>
  <c r="C5632" i="26"/>
  <c r="D5632" i="26" s="1"/>
  <c r="C5633" i="26"/>
  <c r="C5634" i="26"/>
  <c r="C5635" i="26"/>
  <c r="C5636" i="26"/>
  <c r="C5637" i="26"/>
  <c r="C5638" i="26"/>
  <c r="C5639" i="26"/>
  <c r="D5639" i="26" s="1"/>
  <c r="C5640" i="26"/>
  <c r="C5641" i="26"/>
  <c r="C5642" i="26"/>
  <c r="C5643" i="26"/>
  <c r="D5643" i="26" s="1"/>
  <c r="C5644" i="26"/>
  <c r="D5644" i="26" s="1"/>
  <c r="C5645" i="26"/>
  <c r="C5646" i="26"/>
  <c r="C5647" i="26"/>
  <c r="C5648" i="26"/>
  <c r="D5648" i="26" s="1"/>
  <c r="C5649" i="26"/>
  <c r="C5650" i="26"/>
  <c r="C5651" i="26"/>
  <c r="C5652" i="26"/>
  <c r="C5653" i="26"/>
  <c r="C5654" i="26"/>
  <c r="C5655" i="26"/>
  <c r="C5656" i="26"/>
  <c r="C5657" i="26"/>
  <c r="C5658" i="26"/>
  <c r="C5659" i="26"/>
  <c r="C5660" i="26"/>
  <c r="C5661" i="26"/>
  <c r="C5662" i="26"/>
  <c r="C5663" i="26"/>
  <c r="C5664" i="26"/>
  <c r="C5665" i="26"/>
  <c r="C5666" i="26"/>
  <c r="C5667" i="26"/>
  <c r="C5668" i="26"/>
  <c r="C5669" i="26"/>
  <c r="C5670" i="26"/>
  <c r="C5671" i="26"/>
  <c r="C5672" i="26"/>
  <c r="C5673" i="26"/>
  <c r="C5674" i="26"/>
  <c r="C5675" i="26"/>
  <c r="C5676" i="26"/>
  <c r="C5677" i="26"/>
  <c r="D5677" i="26" s="1"/>
  <c r="C5678" i="26"/>
  <c r="C5679" i="26"/>
  <c r="C5680" i="26"/>
  <c r="D5680" i="26" s="1"/>
  <c r="C5681" i="26"/>
  <c r="C5682" i="26"/>
  <c r="C5683" i="26"/>
  <c r="D5683" i="26" s="1"/>
  <c r="C5684" i="26"/>
  <c r="D5684" i="26" s="1"/>
  <c r="C5685" i="26"/>
  <c r="C5686" i="26"/>
  <c r="C5687" i="26"/>
  <c r="C5688" i="26"/>
  <c r="C5689" i="26"/>
  <c r="C5690" i="26"/>
  <c r="C5691" i="26"/>
  <c r="F5691" i="26" s="1"/>
  <c r="C5692" i="26"/>
  <c r="C5693" i="26"/>
  <c r="C5694" i="26"/>
  <c r="C5695" i="26"/>
  <c r="C5696" i="26"/>
  <c r="D5696" i="26" s="1"/>
  <c r="C5697" i="26"/>
  <c r="C5698" i="26"/>
  <c r="C5699" i="26"/>
  <c r="C5700" i="26"/>
  <c r="C5701" i="26"/>
  <c r="D5701" i="26" s="1"/>
  <c r="C5702" i="26"/>
  <c r="C5703" i="26"/>
  <c r="C5704" i="26"/>
  <c r="C5705" i="26"/>
  <c r="C5706" i="26"/>
  <c r="C5707" i="26"/>
  <c r="C5708" i="26"/>
  <c r="D5708" i="26" s="1"/>
  <c r="C5709" i="26"/>
  <c r="C5710" i="26"/>
  <c r="D5710" i="26" s="1"/>
  <c r="C5711" i="26"/>
  <c r="C5712" i="26"/>
  <c r="C5713" i="26"/>
  <c r="D5713" i="26" s="1"/>
  <c r="C5714" i="26"/>
  <c r="D5714" i="26" s="1"/>
  <c r="C5715" i="26"/>
  <c r="C5716" i="26"/>
  <c r="C5717" i="26"/>
  <c r="C5718" i="26"/>
  <c r="C5719" i="26"/>
  <c r="C5720" i="26"/>
  <c r="C5721" i="26"/>
  <c r="C5722" i="26"/>
  <c r="C5723" i="26"/>
  <c r="D5723" i="26" s="1"/>
  <c r="C5724" i="26"/>
  <c r="D5724" i="26" s="1"/>
  <c r="C5725" i="26"/>
  <c r="C5726" i="26"/>
  <c r="C5727" i="26"/>
  <c r="D5727" i="26" s="1"/>
  <c r="C5728" i="26"/>
  <c r="D5728" i="26" s="1"/>
  <c r="C5729" i="26"/>
  <c r="C5730" i="26"/>
  <c r="C5731" i="26"/>
  <c r="C5732" i="26"/>
  <c r="C5733" i="26"/>
  <c r="C5734" i="26"/>
  <c r="C5735" i="26"/>
  <c r="C5736" i="26"/>
  <c r="C5737" i="26"/>
  <c r="D5737" i="26" s="1"/>
  <c r="C5738" i="26"/>
  <c r="C5739" i="26"/>
  <c r="C5740" i="26"/>
  <c r="D5740" i="26" s="1"/>
  <c r="C5741" i="26"/>
  <c r="C5742" i="26"/>
  <c r="C5743" i="26"/>
  <c r="C5744" i="26"/>
  <c r="C5745" i="26"/>
  <c r="C5746" i="26"/>
  <c r="C5747" i="26"/>
  <c r="D5747" i="26" s="1"/>
  <c r="C5748" i="26"/>
  <c r="D5748" i="26" s="1"/>
  <c r="C5749" i="26"/>
  <c r="D5749" i="26" s="1"/>
  <c r="C5750" i="26"/>
  <c r="C5751" i="26"/>
  <c r="C5752" i="26"/>
  <c r="D5752" i="26" s="1"/>
  <c r="C5753" i="26"/>
  <c r="C5754" i="26"/>
  <c r="D5754" i="26" s="1"/>
  <c r="C5755" i="26"/>
  <c r="D5755" i="26" s="1"/>
  <c r="C5756" i="26"/>
  <c r="C5757" i="26"/>
  <c r="C5758" i="26"/>
  <c r="C5759" i="26"/>
  <c r="C5760" i="26"/>
  <c r="D5760" i="26" s="1"/>
  <c r="C5761" i="26"/>
  <c r="D5761" i="26" s="1"/>
  <c r="C5762" i="26"/>
  <c r="C5763" i="26"/>
  <c r="D5763" i="26" s="1"/>
  <c r="C5764" i="26"/>
  <c r="C5765" i="26"/>
  <c r="C5766" i="26"/>
  <c r="C5767" i="26"/>
  <c r="C5768" i="26"/>
  <c r="C5769" i="26"/>
  <c r="C5770" i="26"/>
  <c r="C5771" i="26"/>
  <c r="C5772" i="26"/>
  <c r="D5772" i="26" s="1"/>
  <c r="C5773" i="26"/>
  <c r="C5774" i="26"/>
  <c r="C5775" i="26"/>
  <c r="C5776" i="26"/>
  <c r="C5777" i="26"/>
  <c r="C5778" i="26"/>
  <c r="C5779" i="26"/>
  <c r="C5780" i="26"/>
  <c r="D5780" i="26" s="1"/>
  <c r="C5781" i="26"/>
  <c r="C5782" i="26"/>
  <c r="D5782" i="26" s="1"/>
  <c r="C5783" i="26"/>
  <c r="F5783" i="26" s="1"/>
  <c r="C5784" i="26"/>
  <c r="C5785" i="26"/>
  <c r="C5786" i="26"/>
  <c r="C5787" i="26"/>
  <c r="D5787" i="26" s="1"/>
  <c r="C5788" i="26"/>
  <c r="D5788" i="26" s="1"/>
  <c r="C5789" i="26"/>
  <c r="C5790" i="26"/>
  <c r="C5791" i="26"/>
  <c r="C5792" i="26"/>
  <c r="C5793" i="26"/>
  <c r="C5794" i="26"/>
  <c r="C5795" i="26"/>
  <c r="C5796" i="26"/>
  <c r="C5797" i="26"/>
  <c r="C5798" i="26"/>
  <c r="C5799" i="26"/>
  <c r="C5800" i="26"/>
  <c r="D5800" i="26" s="1"/>
  <c r="C5801" i="26"/>
  <c r="D5801" i="26" s="1"/>
  <c r="C5802" i="26"/>
  <c r="C5803" i="26"/>
  <c r="C5804" i="26"/>
  <c r="C5805" i="26"/>
  <c r="C5806" i="26"/>
  <c r="D5806" i="26" s="1"/>
  <c r="C5807" i="26"/>
  <c r="C5808" i="26"/>
  <c r="C5809" i="26"/>
  <c r="C5810" i="26"/>
  <c r="C5811" i="26"/>
  <c r="C5812" i="26"/>
  <c r="D5812" i="26" s="1"/>
  <c r="C5813" i="26"/>
  <c r="C5814" i="26"/>
  <c r="D5814" i="26" s="1"/>
  <c r="C5815" i="26"/>
  <c r="D5815" i="26" s="1"/>
  <c r="C5816" i="26"/>
  <c r="D5816" i="26" s="1"/>
  <c r="C5817" i="26"/>
  <c r="F5817" i="26" s="1"/>
  <c r="C5818" i="26"/>
  <c r="C5819" i="26"/>
  <c r="D5819" i="26" s="1"/>
  <c r="C5820" i="26"/>
  <c r="C5821" i="26"/>
  <c r="C5822" i="26"/>
  <c r="D5822" i="26" s="1"/>
  <c r="C5823" i="26"/>
  <c r="C5824" i="26"/>
  <c r="D5824" i="26" s="1"/>
  <c r="C5825" i="26"/>
  <c r="C5826" i="26"/>
  <c r="C5827" i="26"/>
  <c r="C5828" i="26"/>
  <c r="C5829" i="26"/>
  <c r="C5830" i="26"/>
  <c r="C5831" i="26"/>
  <c r="C5832" i="26"/>
  <c r="C5833" i="26"/>
  <c r="D5833" i="26" s="1"/>
  <c r="C5834" i="26"/>
  <c r="D5834" i="26" s="1"/>
  <c r="C5835" i="26"/>
  <c r="D5835" i="26" s="1"/>
  <c r="C5836" i="26"/>
  <c r="C5837" i="26"/>
  <c r="C5838" i="26"/>
  <c r="C5839" i="26"/>
  <c r="C5840" i="26"/>
  <c r="F5840" i="26" s="1"/>
  <c r="C5841" i="26"/>
  <c r="C5842" i="26"/>
  <c r="C5843" i="26"/>
  <c r="C5844" i="26"/>
  <c r="C5845" i="26"/>
  <c r="D5845" i="26" s="1"/>
  <c r="C5846" i="26"/>
  <c r="C5847" i="26"/>
  <c r="C5848" i="26"/>
  <c r="C5849" i="26"/>
  <c r="C5850" i="26"/>
  <c r="C5851" i="26"/>
  <c r="C5852" i="26"/>
  <c r="C5853" i="26"/>
  <c r="C5854" i="26"/>
  <c r="C5855" i="26"/>
  <c r="D5855" i="26" s="1"/>
  <c r="C5856" i="26"/>
  <c r="C5857" i="26"/>
  <c r="C5858" i="26"/>
  <c r="C5859" i="26"/>
  <c r="C5860" i="26"/>
  <c r="C5861" i="26"/>
  <c r="D5861" i="26" s="1"/>
  <c r="C5862" i="26"/>
  <c r="C5863" i="26"/>
  <c r="C5864" i="26"/>
  <c r="C5865" i="26"/>
  <c r="C5866" i="26"/>
  <c r="C5867" i="26"/>
  <c r="D5867" i="26" s="1"/>
  <c r="C5868" i="26"/>
  <c r="D5868" i="26" s="1"/>
  <c r="C5869" i="26"/>
  <c r="C5870" i="26"/>
  <c r="C5871" i="26"/>
  <c r="D5871" i="26" s="1"/>
  <c r="C5872" i="26"/>
  <c r="C5873" i="26"/>
  <c r="C5874" i="26"/>
  <c r="C5875" i="26"/>
  <c r="C5876" i="26"/>
  <c r="C5877" i="26"/>
  <c r="C5878" i="26"/>
  <c r="C5879" i="26"/>
  <c r="C5880" i="26"/>
  <c r="C5881" i="26"/>
  <c r="C5882" i="26"/>
  <c r="F5882" i="26" s="1"/>
  <c r="C5883" i="26"/>
  <c r="C5884" i="26"/>
  <c r="C5885" i="26"/>
  <c r="C5886" i="26"/>
  <c r="C5887" i="26"/>
  <c r="D5887" i="26" s="1"/>
  <c r="C5888" i="26"/>
  <c r="D5888" i="26" s="1"/>
  <c r="C5889" i="26"/>
  <c r="C5890" i="26"/>
  <c r="C5891" i="26"/>
  <c r="F5891" i="26" s="1"/>
  <c r="C5892" i="26"/>
  <c r="C5893" i="26"/>
  <c r="C5894" i="26"/>
  <c r="D5894" i="26" s="1"/>
  <c r="C5895" i="26"/>
  <c r="C5896" i="26"/>
  <c r="C5897" i="26"/>
  <c r="C5898" i="26"/>
  <c r="C5899" i="26"/>
  <c r="D5899" i="26" s="1"/>
  <c r="C5900" i="26"/>
  <c r="D5900" i="26" s="1"/>
  <c r="C5901" i="26"/>
  <c r="C5902" i="26"/>
  <c r="C5903" i="26"/>
  <c r="C5904" i="26"/>
  <c r="D5904" i="26" s="1"/>
  <c r="C5905" i="26"/>
  <c r="C5906" i="26"/>
  <c r="C5907" i="26"/>
  <c r="D5907" i="26" s="1"/>
  <c r="C5908" i="26"/>
  <c r="D5908" i="26" s="1"/>
  <c r="C5909" i="26"/>
  <c r="C5910" i="26"/>
  <c r="D5910" i="26" s="1"/>
  <c r="C5911" i="26"/>
  <c r="C5912" i="26"/>
  <c r="D5912" i="26" s="1"/>
  <c r="C5913" i="26"/>
  <c r="D5913" i="26" s="1"/>
  <c r="C5914" i="26"/>
  <c r="D5914" i="26" s="1"/>
  <c r="C5915" i="26"/>
  <c r="C5916" i="26"/>
  <c r="C5917" i="26"/>
  <c r="D5917" i="26" s="1"/>
  <c r="C5918" i="26"/>
  <c r="C5919" i="26"/>
  <c r="D5919" i="26" s="1"/>
  <c r="C5920" i="26"/>
  <c r="D5920" i="26" s="1"/>
  <c r="C5921" i="26"/>
  <c r="C5922" i="26"/>
  <c r="C5923" i="26"/>
  <c r="C5924" i="26"/>
  <c r="C5925" i="26"/>
  <c r="C5926" i="26"/>
  <c r="C5927" i="26"/>
  <c r="C5928" i="26"/>
  <c r="D5928" i="26" s="1"/>
  <c r="C5929" i="26"/>
  <c r="C5930" i="26"/>
  <c r="C5931" i="26"/>
  <c r="C5932" i="26"/>
  <c r="C5933" i="26"/>
  <c r="D5933" i="26" s="1"/>
  <c r="C5934" i="26"/>
  <c r="D5934" i="26" s="1"/>
  <c r="C5935" i="26"/>
  <c r="C5936" i="26"/>
  <c r="C5937" i="26"/>
  <c r="C5938" i="26"/>
  <c r="C5939" i="26"/>
  <c r="C5940" i="26"/>
  <c r="D5940" i="26" s="1"/>
  <c r="C5941" i="26"/>
  <c r="C5942" i="26"/>
  <c r="C5943" i="26"/>
  <c r="C5944" i="26"/>
  <c r="D5944" i="26" s="1"/>
  <c r="C5945" i="26"/>
  <c r="C5946" i="26"/>
  <c r="C5947" i="26"/>
  <c r="D5947" i="26" s="1"/>
  <c r="C5948" i="26"/>
  <c r="D5948" i="26" s="1"/>
  <c r="C5949" i="26"/>
  <c r="C5950" i="26"/>
  <c r="C5951" i="26"/>
  <c r="C5952" i="26"/>
  <c r="D5952" i="26" s="1"/>
  <c r="C5953" i="26"/>
  <c r="D5953" i="26" s="1"/>
  <c r="C5954" i="26"/>
  <c r="C5955" i="26"/>
  <c r="C5956" i="26"/>
  <c r="D5956" i="26" s="1"/>
  <c r="C5957" i="26"/>
  <c r="C5958" i="26"/>
  <c r="D5958" i="26" s="1"/>
  <c r="C5959" i="26"/>
  <c r="C5960" i="26"/>
  <c r="C5961" i="26"/>
  <c r="C5962" i="26"/>
  <c r="C5963" i="26"/>
  <c r="C5964" i="26"/>
  <c r="D5964" i="26" s="1"/>
  <c r="C5965" i="26"/>
  <c r="C5966" i="26"/>
  <c r="C5967" i="26"/>
  <c r="D5967" i="26" s="1"/>
  <c r="C5968" i="26"/>
  <c r="D5968" i="26" s="1"/>
  <c r="C5969" i="26"/>
  <c r="C5970" i="26"/>
  <c r="C5971" i="26"/>
  <c r="C5972" i="26"/>
  <c r="C5973" i="26"/>
  <c r="C5974" i="26"/>
  <c r="C5975" i="26"/>
  <c r="C5976" i="26"/>
  <c r="C5977" i="26"/>
  <c r="C5978" i="26"/>
  <c r="D5978" i="26" s="1"/>
  <c r="C5979" i="26"/>
  <c r="C5980" i="26"/>
  <c r="D5980" i="26" s="1"/>
  <c r="C5981" i="26"/>
  <c r="C5982" i="26"/>
  <c r="C5983" i="26"/>
  <c r="C5984" i="26"/>
  <c r="C5985" i="26"/>
  <c r="C5986" i="26"/>
  <c r="D5986" i="26" s="1"/>
  <c r="C5987" i="26"/>
  <c r="C5988" i="26"/>
  <c r="D5988" i="26" s="1"/>
  <c r="C5989" i="26"/>
  <c r="D5989" i="26" s="1"/>
  <c r="C5990" i="26"/>
  <c r="C5991" i="26"/>
  <c r="C5992" i="26"/>
  <c r="C5993" i="26"/>
  <c r="D5993" i="26" s="1"/>
  <c r="C5994" i="26"/>
  <c r="D5994" i="26" s="1"/>
  <c r="C5995" i="26"/>
  <c r="C5996" i="26"/>
  <c r="C5997" i="26"/>
  <c r="D5997" i="26" s="1"/>
  <c r="C5998" i="26"/>
  <c r="D5998" i="26" s="1"/>
  <c r="C5999" i="26"/>
  <c r="C6000" i="26"/>
  <c r="D6000" i="26" s="1"/>
  <c r="C6001" i="26"/>
  <c r="D6001" i="26" s="1"/>
  <c r="C6002" i="26"/>
  <c r="C6003" i="26"/>
  <c r="C6004" i="26"/>
  <c r="C6005" i="26"/>
  <c r="C6006" i="26"/>
  <c r="C6007" i="26"/>
  <c r="D6007" i="26" s="1"/>
  <c r="C6008" i="26"/>
  <c r="C6009" i="26"/>
  <c r="C6010" i="26"/>
  <c r="D6010" i="26" s="1"/>
  <c r="C6011" i="26"/>
  <c r="C6012" i="26"/>
  <c r="C6013" i="26"/>
  <c r="C6014" i="26"/>
  <c r="C6015" i="26"/>
  <c r="C6016" i="26"/>
  <c r="C6017" i="26"/>
  <c r="C6018" i="26"/>
  <c r="C6019" i="26"/>
  <c r="C6020" i="26"/>
  <c r="C6021" i="26"/>
  <c r="C6022" i="26"/>
  <c r="C6023" i="26"/>
  <c r="C6024" i="26"/>
  <c r="C6025" i="26"/>
  <c r="C6026" i="26"/>
  <c r="C6027" i="26"/>
  <c r="C6028" i="26"/>
  <c r="C6029" i="26"/>
  <c r="C6030" i="26"/>
  <c r="C6031" i="26"/>
  <c r="C6032" i="26"/>
  <c r="C6033" i="26"/>
  <c r="C6034" i="26"/>
  <c r="C6035" i="26"/>
  <c r="D6035" i="26" s="1"/>
  <c r="C6036" i="26"/>
  <c r="D6036" i="26" s="1"/>
  <c r="C6037" i="26"/>
  <c r="D6037" i="26" s="1"/>
  <c r="C6038" i="26"/>
  <c r="D6038" i="26" s="1"/>
  <c r="C6039" i="26"/>
  <c r="C6040" i="26"/>
  <c r="C6041" i="26"/>
  <c r="C6042" i="26"/>
  <c r="C6043" i="26"/>
  <c r="C6044" i="26"/>
  <c r="C6045" i="26"/>
  <c r="C6046" i="26"/>
  <c r="C6047" i="26"/>
  <c r="D6047" i="26" s="1"/>
  <c r="C6048" i="26"/>
  <c r="D6048" i="26" s="1"/>
  <c r="C6049" i="26"/>
  <c r="C6050" i="26"/>
  <c r="C6051" i="26"/>
  <c r="D6051" i="26" s="1"/>
  <c r="C6052" i="26"/>
  <c r="D6052" i="26" s="1"/>
  <c r="C6053" i="26"/>
  <c r="D6053" i="26" s="1"/>
  <c r="C6054" i="26"/>
  <c r="C6055" i="26"/>
  <c r="C6056" i="26"/>
  <c r="C6057" i="26"/>
  <c r="C6058" i="26"/>
  <c r="C6059" i="26"/>
  <c r="C6060" i="26"/>
  <c r="D6060" i="26" s="1"/>
  <c r="C6061" i="26"/>
  <c r="D6061" i="26" s="1"/>
  <c r="C6062" i="26"/>
  <c r="D6062" i="26" s="1"/>
  <c r="C6063" i="26"/>
  <c r="C6064" i="26"/>
  <c r="D6064" i="26" s="1"/>
  <c r="C6065" i="26"/>
  <c r="C6066" i="26"/>
  <c r="C6067" i="26"/>
  <c r="D6067" i="26" s="1"/>
  <c r="C6068" i="26"/>
  <c r="D6068" i="26" s="1"/>
  <c r="C6069" i="26"/>
  <c r="C6070" i="26"/>
  <c r="C6071" i="26"/>
  <c r="C6072" i="26"/>
  <c r="C6073" i="26"/>
  <c r="C6074" i="26"/>
  <c r="D6074" i="26" s="1"/>
  <c r="C6075" i="26"/>
  <c r="C6076" i="26"/>
  <c r="C6077" i="26"/>
  <c r="D6077" i="26" s="1"/>
  <c r="C6078" i="26"/>
  <c r="C6079" i="26"/>
  <c r="C6080" i="26"/>
  <c r="D6080" i="26" s="1"/>
  <c r="C6081" i="26"/>
  <c r="D6081" i="26" s="1"/>
  <c r="C6082" i="26"/>
  <c r="C6083" i="26"/>
  <c r="C6084" i="26"/>
  <c r="D6084" i="26" s="1"/>
  <c r="C6085" i="26"/>
  <c r="C6086" i="26"/>
  <c r="C6087" i="26"/>
  <c r="C6088" i="26"/>
  <c r="D6088" i="26" s="1"/>
  <c r="C6089" i="26"/>
  <c r="C6090" i="26"/>
  <c r="D6090" i="26" s="1"/>
  <c r="C6091" i="26"/>
  <c r="D6091" i="26" s="1"/>
  <c r="C6092" i="26"/>
  <c r="C6093" i="26"/>
  <c r="D6093" i="26" s="1"/>
  <c r="C6094" i="26"/>
  <c r="C6095" i="26"/>
  <c r="C6096" i="26"/>
  <c r="C6097" i="26"/>
  <c r="C6098" i="26"/>
  <c r="C6099" i="26"/>
  <c r="C6100" i="26"/>
  <c r="C6101" i="26"/>
  <c r="C6102" i="26"/>
  <c r="D6102" i="26" s="1"/>
  <c r="C6103" i="26"/>
  <c r="C6104" i="26"/>
  <c r="D6104" i="26" s="1"/>
  <c r="C6105" i="26"/>
  <c r="C6106" i="26"/>
  <c r="C6107" i="26"/>
  <c r="C6108" i="26"/>
  <c r="D6108" i="26" s="1"/>
  <c r="C6109" i="26"/>
  <c r="C6110" i="26"/>
  <c r="C6111" i="26"/>
  <c r="D6111" i="26" s="1"/>
  <c r="C6112" i="26"/>
  <c r="C6113" i="26"/>
  <c r="C6114" i="26"/>
  <c r="C6115" i="26"/>
  <c r="C6116" i="26"/>
  <c r="C6117" i="26"/>
  <c r="C6118" i="26"/>
  <c r="C6119" i="26"/>
  <c r="D6119" i="26" s="1"/>
  <c r="C6120" i="26"/>
  <c r="C6121" i="26"/>
  <c r="C6122" i="26"/>
  <c r="C6123" i="26"/>
  <c r="C6124" i="26"/>
  <c r="C6125" i="26"/>
  <c r="C6126" i="26"/>
  <c r="C6127" i="26"/>
  <c r="C6128" i="26"/>
  <c r="C6129" i="26"/>
  <c r="D6129" i="26" s="1"/>
  <c r="C6130" i="26"/>
  <c r="C6131" i="26"/>
  <c r="F6131" i="26" s="1"/>
  <c r="C6132" i="26"/>
  <c r="D6132" i="26" s="1"/>
  <c r="C6133" i="26"/>
  <c r="D6133" i="26" s="1"/>
  <c r="C6134" i="26"/>
  <c r="D6134" i="26" s="1"/>
  <c r="C6135" i="26"/>
  <c r="C6136" i="26"/>
  <c r="C6137" i="26"/>
  <c r="D6137" i="26" s="1"/>
  <c r="C6138" i="26"/>
  <c r="C6139" i="26"/>
  <c r="D6139" i="26" s="1"/>
  <c r="C6140" i="26"/>
  <c r="C6141" i="26"/>
  <c r="C6142" i="26"/>
  <c r="D6142" i="26" s="1"/>
  <c r="C6143" i="26"/>
  <c r="C6144" i="26"/>
  <c r="D6144" i="26" s="1"/>
  <c r="C6145" i="26"/>
  <c r="C6146" i="26"/>
  <c r="D6146" i="26" s="1"/>
  <c r="C6147" i="26"/>
  <c r="D6147" i="26" s="1"/>
  <c r="C6148" i="26"/>
  <c r="C6149" i="26"/>
  <c r="C6150" i="26"/>
  <c r="C6151" i="26"/>
  <c r="C6152" i="26"/>
  <c r="C6153" i="26"/>
  <c r="D6153" i="26" s="1"/>
  <c r="C6154" i="26"/>
  <c r="C6155" i="26"/>
  <c r="C6156" i="26"/>
  <c r="C6157" i="26"/>
  <c r="C6158" i="26"/>
  <c r="C6159" i="26"/>
  <c r="D6159" i="26" s="1"/>
  <c r="C6160" i="26"/>
  <c r="D6160" i="26" s="1"/>
  <c r="C6161" i="26"/>
  <c r="D6161" i="26" s="1"/>
  <c r="C6162" i="26"/>
  <c r="C6163" i="26"/>
  <c r="C6164" i="26"/>
  <c r="D6164" i="26" s="1"/>
  <c r="C6165" i="26"/>
  <c r="C6166" i="26"/>
  <c r="D6166" i="26" s="1"/>
  <c r="C6167" i="26"/>
  <c r="C6168" i="26"/>
  <c r="D6168" i="26" s="1"/>
  <c r="C6169" i="26"/>
  <c r="C6170" i="26"/>
  <c r="C6171" i="26"/>
  <c r="C6172" i="26"/>
  <c r="C6173" i="26"/>
  <c r="C6174" i="26"/>
  <c r="C6175" i="26"/>
  <c r="C6176" i="26"/>
  <c r="C6177" i="26"/>
  <c r="C6178" i="26"/>
  <c r="C6179" i="26"/>
  <c r="C6180" i="26"/>
  <c r="D6180" i="26" s="1"/>
  <c r="C6181" i="26"/>
  <c r="C6182" i="26"/>
  <c r="C6183" i="26"/>
  <c r="C6184" i="26"/>
  <c r="C6185" i="26"/>
  <c r="C6186" i="26"/>
  <c r="C6187" i="26"/>
  <c r="C6188" i="26"/>
  <c r="D6188" i="26" s="1"/>
  <c r="C6189" i="26"/>
  <c r="C6190" i="26"/>
  <c r="C6191" i="26"/>
  <c r="F6191" i="26" s="1"/>
  <c r="C6192" i="26"/>
  <c r="C6193" i="26"/>
  <c r="C6194" i="26"/>
  <c r="C6195" i="26"/>
  <c r="C6196" i="26"/>
  <c r="C6197" i="26"/>
  <c r="C6198" i="26"/>
  <c r="C6199" i="26"/>
  <c r="C6200" i="26"/>
  <c r="C6201" i="26"/>
  <c r="C6202" i="26"/>
  <c r="C6203" i="26"/>
  <c r="C6204" i="26"/>
  <c r="C6205" i="26"/>
  <c r="C6206" i="26"/>
  <c r="C6207" i="26"/>
  <c r="D6207" i="26" s="1"/>
  <c r="C6208" i="26"/>
  <c r="D6208" i="26" s="1"/>
  <c r="C6209" i="26"/>
  <c r="C6210" i="26"/>
  <c r="C6211" i="26"/>
  <c r="F6211" i="26" s="1"/>
  <c r="C6212" i="26"/>
  <c r="D6212" i="26" s="1"/>
  <c r="C6213" i="26"/>
  <c r="D6213" i="26" s="1"/>
  <c r="C6214" i="26"/>
  <c r="C6215" i="26"/>
  <c r="C6216" i="26"/>
  <c r="C6217" i="26"/>
  <c r="C6218" i="26"/>
  <c r="C6219" i="26"/>
  <c r="C6220" i="26"/>
  <c r="D6220" i="26" s="1"/>
  <c r="C6221" i="26"/>
  <c r="C6222" i="26"/>
  <c r="C6223" i="26"/>
  <c r="C6224" i="26"/>
  <c r="C6225" i="26"/>
  <c r="D6225" i="26" s="1"/>
  <c r="C6226" i="26"/>
  <c r="D6226" i="26" s="1"/>
  <c r="C6227" i="26"/>
  <c r="C6228" i="26"/>
  <c r="D6228" i="26" s="1"/>
  <c r="C6229" i="26"/>
  <c r="C6230" i="26"/>
  <c r="C6231" i="26"/>
  <c r="C6232" i="26"/>
  <c r="C6233" i="26"/>
  <c r="C6234" i="26"/>
  <c r="C6235" i="26"/>
  <c r="C6236" i="26"/>
  <c r="C6237" i="26"/>
  <c r="C6238" i="26"/>
  <c r="C6239" i="26"/>
  <c r="D6239" i="26" s="1"/>
  <c r="C6240" i="26"/>
  <c r="D6240" i="26" s="1"/>
  <c r="C6241" i="26"/>
  <c r="D6241" i="26" s="1"/>
  <c r="C6242" i="26"/>
  <c r="D6242" i="26" s="1"/>
  <c r="C6243" i="26"/>
  <c r="C6244" i="26"/>
  <c r="C6245" i="26"/>
  <c r="C6246" i="26"/>
  <c r="C6247" i="26"/>
  <c r="D6247" i="26" s="1"/>
  <c r="C6248" i="26"/>
  <c r="C6249" i="26"/>
  <c r="D6249" i="26" s="1"/>
  <c r="C6250" i="26"/>
  <c r="D6250" i="26" s="1"/>
  <c r="C6251" i="26"/>
  <c r="C6252" i="26"/>
  <c r="C6253" i="26"/>
  <c r="D6253" i="26" s="1"/>
  <c r="C6254" i="26"/>
  <c r="D6254" i="26" s="1"/>
  <c r="C6255" i="26"/>
  <c r="C6256" i="26"/>
  <c r="C6257" i="26"/>
  <c r="C6258" i="26"/>
  <c r="C6259" i="26"/>
  <c r="C6260" i="26"/>
  <c r="D6260" i="26" s="1"/>
  <c r="C6261" i="26"/>
  <c r="C6262" i="26"/>
  <c r="C6263" i="26"/>
  <c r="C6264" i="26"/>
  <c r="C6265" i="26"/>
  <c r="C6266" i="26"/>
  <c r="C6267" i="26"/>
  <c r="C6268" i="26"/>
  <c r="C6269" i="26"/>
  <c r="D6269" i="26" s="1"/>
  <c r="C6270" i="26"/>
  <c r="D6270" i="26" s="1"/>
  <c r="C6271" i="26"/>
  <c r="D6271" i="26" s="1"/>
  <c r="C6272" i="26"/>
  <c r="C6273" i="26"/>
  <c r="C6274" i="26"/>
  <c r="D6274" i="26" s="1"/>
  <c r="C6275" i="26"/>
  <c r="D6275" i="26" s="1"/>
  <c r="C6276" i="26"/>
  <c r="D6276" i="26" s="1"/>
  <c r="C6277" i="26"/>
  <c r="C6278" i="26"/>
  <c r="C6279" i="26"/>
  <c r="C6280" i="26"/>
  <c r="C6281" i="26"/>
  <c r="D6281" i="26" s="1"/>
  <c r="C6282" i="26"/>
  <c r="C6283" i="26"/>
  <c r="C6284" i="26"/>
  <c r="C6285" i="26"/>
  <c r="C6286" i="26"/>
  <c r="C6287" i="26"/>
  <c r="D6287" i="26" s="1"/>
  <c r="C6288" i="26"/>
  <c r="D6288" i="26" s="1"/>
  <c r="C6289" i="26"/>
  <c r="C6290" i="26"/>
  <c r="C6291" i="26"/>
  <c r="C6292" i="26"/>
  <c r="D6292" i="26" s="1"/>
  <c r="C6293" i="26"/>
  <c r="D6293" i="26" s="1"/>
  <c r="C6294" i="26"/>
  <c r="C6295" i="26"/>
  <c r="D6295" i="26" s="1"/>
  <c r="C6296" i="26"/>
  <c r="C6297" i="26"/>
  <c r="D6297" i="26" s="1"/>
  <c r="C6298" i="26"/>
  <c r="C6299" i="26"/>
  <c r="D6299" i="26" s="1"/>
  <c r="C6300" i="26"/>
  <c r="C6301" i="26"/>
  <c r="C6302" i="26"/>
  <c r="C6303" i="26"/>
  <c r="C6304" i="26"/>
  <c r="D6304" i="26" s="1"/>
  <c r="C6305" i="26"/>
  <c r="C6306" i="26"/>
  <c r="C6307" i="26"/>
  <c r="D6307" i="26" s="1"/>
  <c r="C6308" i="26"/>
  <c r="D6308" i="26" s="1"/>
  <c r="C6309" i="26"/>
  <c r="C6310" i="26"/>
  <c r="C6311" i="26"/>
  <c r="C6312" i="26"/>
  <c r="D6312" i="26" s="1"/>
  <c r="C6313" i="26"/>
  <c r="C6314" i="26"/>
  <c r="C6315" i="26"/>
  <c r="C6316" i="26"/>
  <c r="C6317" i="26"/>
  <c r="C6318" i="26"/>
  <c r="C6319" i="26"/>
  <c r="D6319" i="26" s="1"/>
  <c r="C6320" i="26"/>
  <c r="D6320" i="26" s="1"/>
  <c r="C6321" i="26"/>
  <c r="C6322" i="26"/>
  <c r="C6323" i="26"/>
  <c r="F6323" i="26" s="1"/>
  <c r="C6324" i="26"/>
  <c r="C6325" i="26"/>
  <c r="C6326" i="26"/>
  <c r="C6327" i="26"/>
  <c r="C6328" i="26"/>
  <c r="D6328" i="26" s="1"/>
  <c r="C6329" i="26"/>
  <c r="C6330" i="26"/>
  <c r="C6331" i="26"/>
  <c r="C6332" i="26"/>
  <c r="C6333" i="26"/>
  <c r="D6333" i="26" s="1"/>
  <c r="C6334" i="26"/>
  <c r="D6334" i="26" s="1"/>
  <c r="C6335" i="26"/>
  <c r="C6336" i="26"/>
  <c r="C6337" i="26"/>
  <c r="C6338" i="26"/>
  <c r="C6339" i="26"/>
  <c r="C6340" i="26"/>
  <c r="D6340" i="26" s="1"/>
  <c r="C6341" i="26"/>
  <c r="C6342" i="26"/>
  <c r="D6342" i="26" s="1"/>
  <c r="C6343" i="26"/>
  <c r="C6344" i="26"/>
  <c r="C6345" i="26"/>
  <c r="C6346" i="26"/>
  <c r="C6347" i="26"/>
  <c r="C6348" i="26"/>
  <c r="D6348" i="26" s="1"/>
  <c r="C6349" i="26"/>
  <c r="C6350" i="26"/>
  <c r="C6351" i="26"/>
  <c r="C6352" i="26"/>
  <c r="C6353" i="26"/>
  <c r="D6353" i="26" s="1"/>
  <c r="C6354" i="26"/>
  <c r="C6355" i="26"/>
  <c r="C6356" i="26"/>
  <c r="C6357" i="26"/>
  <c r="C6358" i="26"/>
  <c r="C6359" i="26"/>
  <c r="C6360" i="26"/>
  <c r="C6361" i="26"/>
  <c r="C6362" i="26"/>
  <c r="C6363" i="26"/>
  <c r="C6364" i="26"/>
  <c r="C6365" i="26"/>
  <c r="C6366" i="26"/>
  <c r="C6367" i="26"/>
  <c r="D6367" i="26" s="1"/>
  <c r="C6368" i="26"/>
  <c r="D6368" i="26" s="1"/>
  <c r="C6369" i="26"/>
  <c r="C6370" i="26"/>
  <c r="C6371" i="26"/>
  <c r="C6372" i="26"/>
  <c r="D6372" i="26" s="1"/>
  <c r="C6373" i="26"/>
  <c r="C6374" i="26"/>
  <c r="C6375" i="26"/>
  <c r="C6376" i="26"/>
  <c r="C6377" i="26"/>
  <c r="C6378" i="26"/>
  <c r="D6378" i="26" s="1"/>
  <c r="C6379" i="26"/>
  <c r="D6379" i="26" s="1"/>
  <c r="C6380" i="26"/>
  <c r="C6381" i="26"/>
  <c r="C6382" i="26"/>
  <c r="C6383" i="26"/>
  <c r="C6384" i="26"/>
  <c r="C6385" i="26"/>
  <c r="C6386" i="26"/>
  <c r="C6387" i="26"/>
  <c r="C6388" i="26"/>
  <c r="D6388" i="26" s="1"/>
  <c r="C6389" i="26"/>
  <c r="C6390" i="26"/>
  <c r="D6390" i="26" s="1"/>
  <c r="C6391" i="26"/>
  <c r="C6392" i="26"/>
  <c r="C6393" i="26"/>
  <c r="D6393" i="26" s="1"/>
  <c r="C6394" i="26"/>
  <c r="C6395" i="26"/>
  <c r="C6396" i="26"/>
  <c r="C6397" i="26"/>
  <c r="C6398" i="26"/>
  <c r="C6399" i="26"/>
  <c r="D6399" i="26" s="1"/>
  <c r="C6400" i="26"/>
  <c r="D6400" i="26" s="1"/>
  <c r="C6401" i="26"/>
  <c r="D6401" i="26" s="1"/>
  <c r="C6402" i="26"/>
  <c r="D6402" i="26" s="1"/>
  <c r="C6403" i="26"/>
  <c r="C6404" i="26"/>
  <c r="C6405" i="26"/>
  <c r="C6406" i="26"/>
  <c r="D6406" i="26" s="1"/>
  <c r="C6407" i="26"/>
  <c r="D6407" i="26" s="1"/>
  <c r="C6408" i="26"/>
  <c r="C6409" i="26"/>
  <c r="C6410" i="26"/>
  <c r="D6410" i="26" s="1"/>
  <c r="C6411" i="26"/>
  <c r="C6412" i="26"/>
  <c r="C6413" i="26"/>
  <c r="C6414" i="26"/>
  <c r="D6414" i="26" s="1"/>
  <c r="C6415" i="26"/>
  <c r="C6416" i="26"/>
  <c r="C6417" i="26"/>
  <c r="C6418" i="26"/>
  <c r="D6418" i="26" s="1"/>
  <c r="C6419" i="26"/>
  <c r="D6419" i="26" s="1"/>
  <c r="C6420" i="26"/>
  <c r="D6420" i="26" s="1"/>
  <c r="C6421" i="26"/>
  <c r="D6421" i="26" s="1"/>
  <c r="C6422" i="26"/>
  <c r="C6423" i="26"/>
  <c r="C6424" i="26"/>
  <c r="C6425" i="26"/>
  <c r="C6426" i="26"/>
  <c r="C6427" i="26"/>
  <c r="C6428" i="26"/>
  <c r="D6428" i="26" s="1"/>
  <c r="C6429" i="26"/>
  <c r="C6430" i="26"/>
  <c r="D6430" i="26" s="1"/>
  <c r="C6431" i="26"/>
  <c r="C6432" i="26"/>
  <c r="D6432" i="26" s="1"/>
  <c r="C6433" i="26"/>
  <c r="C6434" i="26"/>
  <c r="C6435" i="26"/>
  <c r="C6436" i="26"/>
  <c r="C6437" i="26"/>
  <c r="C6438" i="26"/>
  <c r="C6439" i="26"/>
  <c r="C6440" i="26"/>
  <c r="D6440" i="26" s="1"/>
  <c r="C6441" i="26"/>
  <c r="D6441" i="26" s="1"/>
  <c r="C6442" i="26"/>
  <c r="C6443" i="26"/>
  <c r="C6444" i="26"/>
  <c r="D6444" i="26" s="1"/>
  <c r="C6445" i="26"/>
  <c r="C6446" i="26"/>
  <c r="C6447" i="26"/>
  <c r="D6447" i="26" s="1"/>
  <c r="C6448" i="26"/>
  <c r="D6448" i="26" s="1"/>
  <c r="C6449" i="26"/>
  <c r="C6450" i="26"/>
  <c r="C6451" i="26"/>
  <c r="C6452" i="26"/>
  <c r="D6452" i="26" s="1"/>
  <c r="C6453" i="26"/>
  <c r="C6454" i="26"/>
  <c r="C6455" i="26"/>
  <c r="C6456" i="26"/>
  <c r="D6456" i="26" s="1"/>
  <c r="C6457" i="26"/>
  <c r="D6457" i="26" s="1"/>
  <c r="C6458" i="26"/>
  <c r="D6458" i="26" s="1"/>
  <c r="C6459" i="26"/>
  <c r="D6459" i="26" s="1"/>
  <c r="C6460" i="26"/>
  <c r="D6460" i="26" s="1"/>
  <c r="C6461" i="26"/>
  <c r="D6461" i="26" s="1"/>
  <c r="C6462" i="26"/>
  <c r="D6462" i="26" s="1"/>
  <c r="C6463" i="26"/>
  <c r="C6464" i="26"/>
  <c r="C6465" i="26"/>
  <c r="C6466" i="26"/>
  <c r="C6467" i="26"/>
  <c r="D6467" i="26" s="1"/>
  <c r="C6468" i="26"/>
  <c r="D6468" i="26" s="1"/>
  <c r="C6469" i="26"/>
  <c r="C6470" i="26"/>
  <c r="C6471" i="26"/>
  <c r="C6472" i="26"/>
  <c r="C6473" i="26"/>
  <c r="C6474" i="26"/>
  <c r="D6474" i="26" s="1"/>
  <c r="C6475" i="26"/>
  <c r="C6476" i="26"/>
  <c r="C6477" i="26"/>
  <c r="C6478" i="26"/>
  <c r="C6479" i="26"/>
  <c r="C6480" i="26"/>
  <c r="D6480" i="26" s="1"/>
  <c r="C6481" i="26"/>
  <c r="C6482" i="26"/>
  <c r="C6483" i="26"/>
  <c r="C6484" i="26"/>
  <c r="C6485" i="26"/>
  <c r="C6486" i="26"/>
  <c r="C6487" i="26"/>
  <c r="C6488" i="26"/>
  <c r="D6488" i="26" s="1"/>
  <c r="C6489" i="26"/>
  <c r="C6490" i="26"/>
  <c r="C6491" i="26"/>
  <c r="C6492" i="26"/>
  <c r="D6492" i="26" s="1"/>
  <c r="C6493" i="26"/>
  <c r="C6494" i="26"/>
  <c r="C6495" i="26"/>
  <c r="C6496" i="26"/>
  <c r="C6497" i="26"/>
  <c r="C6498" i="26"/>
  <c r="D6498" i="26" s="1"/>
  <c r="C6499" i="26"/>
  <c r="C6500" i="26"/>
  <c r="D6500" i="26" s="1"/>
  <c r="C6501" i="26"/>
  <c r="D6501" i="26" s="1"/>
  <c r="C6502" i="26"/>
  <c r="C6503" i="26"/>
  <c r="C6504" i="26"/>
  <c r="C6505" i="26"/>
  <c r="D6505" i="26" s="1"/>
  <c r="C6506" i="26"/>
  <c r="C6507" i="26"/>
  <c r="C6508" i="26"/>
  <c r="D6508" i="26" s="1"/>
  <c r="C6509" i="26"/>
  <c r="C6510" i="26"/>
  <c r="C6511" i="26"/>
  <c r="D6511" i="26" s="1"/>
  <c r="C6512" i="26"/>
  <c r="D6512" i="26" s="1"/>
  <c r="C6513" i="26"/>
  <c r="C6514" i="26"/>
  <c r="C6515" i="26"/>
  <c r="C6516" i="26"/>
  <c r="C6517" i="26"/>
  <c r="C6518" i="26"/>
  <c r="C6519" i="26"/>
  <c r="D6519" i="26" s="1"/>
  <c r="C6520" i="26"/>
  <c r="C6521" i="26"/>
  <c r="C6522" i="26"/>
  <c r="D6522" i="26" s="1"/>
  <c r="C6523" i="26"/>
  <c r="C6524" i="26"/>
  <c r="D6524" i="26" s="1"/>
  <c r="C6525" i="26"/>
  <c r="C6526" i="26"/>
  <c r="C6527" i="26"/>
  <c r="C6528" i="26"/>
  <c r="C6529" i="26"/>
  <c r="C6530" i="26"/>
  <c r="C6531" i="26"/>
  <c r="C6532" i="26"/>
  <c r="D6532" i="26" s="1"/>
  <c r="C6533" i="26"/>
  <c r="D6533" i="26" s="1"/>
  <c r="C6534" i="26"/>
  <c r="D6534" i="26" s="1"/>
  <c r="C6535" i="26"/>
  <c r="D6535" i="26" s="1"/>
  <c r="C6536" i="26"/>
  <c r="D6536" i="26" s="1"/>
  <c r="C6537" i="26"/>
  <c r="C6538" i="26"/>
  <c r="C6539" i="26"/>
  <c r="D6539" i="26" s="1"/>
  <c r="C6540" i="26"/>
  <c r="C6541" i="26"/>
  <c r="C6542" i="26"/>
  <c r="D6542" i="26" s="1"/>
  <c r="C6543" i="26"/>
  <c r="C6544" i="26"/>
  <c r="C6545" i="26"/>
  <c r="C6546" i="26"/>
  <c r="C6547" i="26"/>
  <c r="C6548" i="26"/>
  <c r="D6548" i="26" s="1"/>
  <c r="C6549" i="26"/>
  <c r="D6549" i="26" s="1"/>
  <c r="C6550" i="26"/>
  <c r="D6550" i="26" s="1"/>
  <c r="C6551" i="26"/>
  <c r="F6551" i="26" s="1"/>
  <c r="C6552" i="26"/>
  <c r="C6553" i="26"/>
  <c r="C6554" i="26"/>
  <c r="D6554" i="26" s="1"/>
  <c r="C6555" i="26"/>
  <c r="C6556" i="26"/>
  <c r="C6557" i="26"/>
  <c r="D6557" i="26" s="1"/>
  <c r="C6558" i="26"/>
  <c r="D6558" i="26" s="1"/>
  <c r="C6559" i="26"/>
  <c r="D6559" i="26" s="1"/>
  <c r="C6560" i="26"/>
  <c r="D6560" i="26" s="1"/>
  <c r="C6561" i="26"/>
  <c r="D6561" i="26" s="1"/>
  <c r="C6562" i="26"/>
  <c r="C6563" i="26"/>
  <c r="C6564" i="26"/>
  <c r="D6564" i="26" s="1"/>
  <c r="C6565" i="26"/>
  <c r="C6566" i="26"/>
  <c r="D6566" i="26" s="1"/>
  <c r="C6567" i="26"/>
  <c r="D6567" i="26" s="1"/>
  <c r="C6568" i="26"/>
  <c r="D6568" i="26" s="1"/>
  <c r="C6569" i="26"/>
  <c r="C6570" i="26"/>
  <c r="C6571" i="26"/>
  <c r="C6572" i="26"/>
  <c r="C6573" i="26"/>
  <c r="C6574" i="26"/>
  <c r="C6575" i="26"/>
  <c r="C6576" i="26"/>
  <c r="C6577" i="26"/>
  <c r="C6578" i="26"/>
  <c r="C6579" i="26"/>
  <c r="C6580" i="26"/>
  <c r="C6581" i="26"/>
  <c r="C6582" i="26"/>
  <c r="C6583" i="26"/>
  <c r="C6584" i="26"/>
  <c r="D6584" i="26" s="1"/>
  <c r="C6585" i="26"/>
  <c r="D6585" i="26" s="1"/>
  <c r="C6586" i="26"/>
  <c r="D6586" i="26" s="1"/>
  <c r="C6587" i="26"/>
  <c r="D6587" i="26" s="1"/>
  <c r="C6588" i="26"/>
  <c r="C6589" i="26"/>
  <c r="C6590" i="26"/>
  <c r="C6591" i="26"/>
  <c r="C6592" i="26"/>
  <c r="C6593" i="26"/>
  <c r="C6594" i="26"/>
  <c r="C6595" i="26"/>
  <c r="C6596" i="26"/>
  <c r="C6597" i="26"/>
  <c r="C6598" i="26"/>
  <c r="C6599" i="26"/>
  <c r="C6600" i="26"/>
  <c r="C6601" i="26"/>
  <c r="C6602" i="26"/>
  <c r="C6603" i="26"/>
  <c r="C6604" i="26"/>
  <c r="C6605" i="26"/>
  <c r="C6606" i="26"/>
  <c r="C6607" i="26"/>
  <c r="C6608" i="26"/>
  <c r="C6609" i="26"/>
  <c r="D6609" i="26" s="1"/>
  <c r="C6610" i="26"/>
  <c r="D6610" i="26" s="1"/>
  <c r="C6611" i="26"/>
  <c r="D6611" i="26" s="1"/>
  <c r="C6612" i="26"/>
  <c r="C6613" i="26"/>
  <c r="C6614" i="26"/>
  <c r="C6615" i="26"/>
  <c r="C6616" i="26"/>
  <c r="C6617" i="26"/>
  <c r="C6618" i="26"/>
  <c r="D6618" i="26" s="1"/>
  <c r="C6619" i="26"/>
  <c r="C6620" i="26"/>
  <c r="C6621" i="26"/>
  <c r="D6621" i="26" s="1"/>
  <c r="C6622" i="26"/>
  <c r="C6623" i="26"/>
  <c r="C6624" i="26"/>
  <c r="C6625" i="26"/>
  <c r="C6626" i="26"/>
  <c r="C6627" i="26"/>
  <c r="C6628" i="26"/>
  <c r="C6629" i="26"/>
  <c r="C6630" i="26"/>
  <c r="C6631" i="26"/>
  <c r="D6631" i="26" s="1"/>
  <c r="C6632" i="26"/>
  <c r="D6632" i="26" s="1"/>
  <c r="C6633" i="26"/>
  <c r="D6633" i="26" s="1"/>
  <c r="C6634" i="26"/>
  <c r="C6635" i="26"/>
  <c r="C6636" i="26"/>
  <c r="C6637" i="26"/>
  <c r="D6637" i="26" s="1"/>
  <c r="C6638" i="26"/>
  <c r="D6638" i="26" s="1"/>
  <c r="C6639" i="26"/>
  <c r="D6639" i="26" s="1"/>
  <c r="C6640" i="26"/>
  <c r="D6640" i="26" s="1"/>
  <c r="C6641" i="26"/>
  <c r="D6641" i="26" s="1"/>
  <c r="C6642" i="26"/>
  <c r="D6642" i="26" s="1"/>
  <c r="C6643" i="26"/>
  <c r="C6644" i="26"/>
  <c r="C6645" i="26"/>
  <c r="C6646" i="26"/>
  <c r="D6646" i="26" s="1"/>
  <c r="C6647" i="26"/>
  <c r="D6647" i="26" s="1"/>
  <c r="C6648" i="26"/>
  <c r="C6649" i="26"/>
  <c r="C6650" i="26"/>
  <c r="C6651" i="26"/>
  <c r="C6652" i="26"/>
  <c r="C6653" i="26"/>
  <c r="D6653" i="26" s="1"/>
  <c r="C6654" i="26"/>
  <c r="D6654" i="26" s="1"/>
  <c r="C6655" i="26"/>
  <c r="D6655" i="26" s="1"/>
  <c r="C6656" i="26"/>
  <c r="C6657" i="26"/>
  <c r="C6658" i="26"/>
  <c r="D6658" i="26" s="1"/>
  <c r="C6659" i="26"/>
  <c r="D6659" i="26" s="1"/>
  <c r="C6660" i="26"/>
  <c r="D6660" i="26" s="1"/>
  <c r="C6661" i="26"/>
  <c r="C6662" i="26"/>
  <c r="C6663" i="26"/>
  <c r="C6664" i="26"/>
  <c r="C6665" i="26"/>
  <c r="C6666" i="26"/>
  <c r="C6667" i="26"/>
  <c r="D6667" i="26" s="1"/>
  <c r="C6668" i="26"/>
  <c r="D6668" i="26" s="1"/>
  <c r="C6669" i="26"/>
  <c r="C6670" i="26"/>
  <c r="D6670" i="26" s="1"/>
  <c r="C6671" i="26"/>
  <c r="D6671" i="26" s="1"/>
  <c r="C6672" i="26"/>
  <c r="D6672" i="26" s="1"/>
  <c r="C6673" i="26"/>
  <c r="D6673" i="26" s="1"/>
  <c r="C6674" i="26"/>
  <c r="D6674" i="26" s="1"/>
  <c r="C6675" i="26"/>
  <c r="C6676" i="26"/>
  <c r="C6677" i="26"/>
  <c r="C6678" i="26"/>
  <c r="C6679" i="26"/>
  <c r="C6680" i="26"/>
  <c r="C6681" i="26"/>
  <c r="C6682" i="26"/>
  <c r="D6682" i="26" s="1"/>
  <c r="C6683" i="26"/>
  <c r="C6684" i="26"/>
  <c r="D6684" i="26" s="1"/>
  <c r="C6685" i="26"/>
  <c r="C6686" i="26"/>
  <c r="C6687" i="26"/>
  <c r="D6687" i="26" s="1"/>
  <c r="C6688" i="26"/>
  <c r="C6689" i="26"/>
  <c r="C6690" i="26"/>
  <c r="C6691" i="26"/>
  <c r="C6692" i="26"/>
  <c r="C6693" i="26"/>
  <c r="C6694" i="26"/>
  <c r="C6695" i="26"/>
  <c r="D6695" i="26" s="1"/>
  <c r="C6696" i="26"/>
  <c r="D6696" i="26" s="1"/>
  <c r="C6697" i="26"/>
  <c r="D6697" i="26" s="1"/>
  <c r="C6698" i="26"/>
  <c r="C6699" i="26"/>
  <c r="D6699" i="26" s="1"/>
  <c r="C6700" i="26"/>
  <c r="C6701" i="26"/>
  <c r="D6701" i="26" s="1"/>
  <c r="C6702" i="26"/>
  <c r="C6703" i="26"/>
  <c r="C6704" i="26"/>
  <c r="C6705" i="26"/>
  <c r="C6706" i="26"/>
  <c r="D6706" i="26" s="1"/>
  <c r="C6707" i="26"/>
  <c r="D6707" i="26" s="1"/>
  <c r="C6708" i="26"/>
  <c r="D6708" i="26" s="1"/>
  <c r="C6709" i="26"/>
  <c r="D6709" i="26" s="1"/>
  <c r="C6710" i="26"/>
  <c r="C6711" i="26"/>
  <c r="C6712" i="26"/>
  <c r="D6712" i="26" s="1"/>
  <c r="C6713" i="26"/>
  <c r="C6714" i="26"/>
  <c r="C6715" i="26"/>
  <c r="C6716" i="26"/>
  <c r="C6717" i="26"/>
  <c r="C6718" i="26"/>
  <c r="D6718" i="26" s="1"/>
  <c r="C6719" i="26"/>
  <c r="D6719" i="26" s="1"/>
  <c r="C6720" i="26"/>
  <c r="D6720" i="26" s="1"/>
  <c r="C6721" i="26"/>
  <c r="C6722" i="26"/>
  <c r="F6722" i="26" s="1"/>
  <c r="C6723" i="26"/>
  <c r="C6724" i="26"/>
  <c r="D6724" i="26" s="1"/>
  <c r="C6725" i="26"/>
  <c r="C6726" i="26"/>
  <c r="C6727" i="26"/>
  <c r="D6727" i="26" s="1"/>
  <c r="C6728" i="26"/>
  <c r="D6728" i="26" s="1"/>
  <c r="C6729" i="26"/>
  <c r="C6730" i="26"/>
  <c r="C6731" i="26"/>
  <c r="F6731" i="26" s="1"/>
  <c r="C6732" i="26"/>
  <c r="C6733" i="26"/>
  <c r="C6734" i="26"/>
  <c r="C6735" i="26"/>
  <c r="C6736" i="26"/>
  <c r="D6736" i="26" s="1"/>
  <c r="C6737" i="26"/>
  <c r="C6738" i="26"/>
  <c r="C6739" i="26"/>
  <c r="C6740" i="26"/>
  <c r="D6740" i="26" s="1"/>
  <c r="C6741" i="26"/>
  <c r="C6742" i="26"/>
  <c r="D6742" i="26" s="1"/>
  <c r="C6743" i="26"/>
  <c r="C6744" i="26"/>
  <c r="D6744" i="26" s="1"/>
  <c r="C6745" i="26"/>
  <c r="D6745" i="26" s="1"/>
  <c r="C6746" i="26"/>
  <c r="D6746" i="26" s="1"/>
  <c r="C6747" i="26"/>
  <c r="D6747" i="26" s="1"/>
  <c r="C6748" i="26"/>
  <c r="D6748" i="26" s="1"/>
  <c r="C6749" i="26"/>
  <c r="C6750" i="26"/>
  <c r="C6751" i="26"/>
  <c r="C6752" i="26"/>
  <c r="C6753" i="26"/>
  <c r="C6754" i="26"/>
  <c r="D6754" i="26" s="1"/>
  <c r="C6755" i="26"/>
  <c r="C6756" i="26"/>
  <c r="C6757" i="26"/>
  <c r="C6758" i="26"/>
  <c r="D6758" i="26" s="1"/>
  <c r="C6759" i="26"/>
  <c r="D6759" i="26" s="1"/>
  <c r="C6760" i="26"/>
  <c r="C6761" i="26"/>
  <c r="C6762" i="26"/>
  <c r="C6763" i="26"/>
  <c r="C6764" i="26"/>
  <c r="C6765" i="26"/>
  <c r="C6766" i="26"/>
  <c r="C6767" i="26"/>
  <c r="C6768" i="26"/>
  <c r="C6769" i="26"/>
  <c r="C6770" i="26"/>
  <c r="C6771" i="26"/>
  <c r="F6771" i="26" s="1"/>
  <c r="C6772" i="26"/>
  <c r="D6772" i="26" s="1"/>
  <c r="C6773" i="26"/>
  <c r="C6774" i="26"/>
  <c r="C6775" i="26"/>
  <c r="C6776" i="26"/>
  <c r="C6777" i="26"/>
  <c r="C6778" i="26"/>
  <c r="C6779" i="26"/>
  <c r="C6780" i="26"/>
  <c r="C6781" i="26"/>
  <c r="D6781" i="26" s="1"/>
  <c r="C6782" i="26"/>
  <c r="C6783" i="26"/>
  <c r="C6784" i="26"/>
  <c r="C6785" i="26"/>
  <c r="B1009" i="26"/>
  <c r="B1010" i="26"/>
  <c r="B1011" i="26"/>
  <c r="B1012" i="26"/>
  <c r="B1013" i="26"/>
  <c r="B1014" i="26"/>
  <c r="B1015" i="26"/>
  <c r="B1016" i="26"/>
  <c r="B1017" i="26"/>
  <c r="B1018" i="26"/>
  <c r="B1019" i="26"/>
  <c r="B1020" i="26"/>
  <c r="B1021" i="26"/>
  <c r="B1022" i="26"/>
  <c r="B1023" i="26"/>
  <c r="B1024" i="26"/>
  <c r="B1025" i="26"/>
  <c r="B1026" i="26"/>
  <c r="B1027" i="26"/>
  <c r="B1028" i="26"/>
  <c r="B1029" i="26"/>
  <c r="B1030" i="26"/>
  <c r="B1031" i="26"/>
  <c r="B1032" i="26"/>
  <c r="B1033" i="26"/>
  <c r="B1034" i="26"/>
  <c r="B1035" i="26"/>
  <c r="B1036" i="26"/>
  <c r="B1037" i="26"/>
  <c r="B1038" i="26"/>
  <c r="B1039" i="26"/>
  <c r="B1040" i="26"/>
  <c r="B1041" i="26"/>
  <c r="B1042" i="26"/>
  <c r="B1043" i="26"/>
  <c r="B1044" i="26"/>
  <c r="B1045" i="26"/>
  <c r="B1046" i="26"/>
  <c r="B1047" i="26"/>
  <c r="B1048" i="26"/>
  <c r="B1049" i="26"/>
  <c r="B1050" i="26"/>
  <c r="B1051" i="26"/>
  <c r="B1052" i="26"/>
  <c r="B1053" i="26"/>
  <c r="B1054" i="26"/>
  <c r="B1055" i="26"/>
  <c r="B1056" i="26"/>
  <c r="B1057" i="26"/>
  <c r="B1058" i="26"/>
  <c r="B1059" i="26"/>
  <c r="B1060" i="26"/>
  <c r="B1061" i="26"/>
  <c r="B1062" i="26"/>
  <c r="B1063" i="26"/>
  <c r="B1064" i="26"/>
  <c r="B1065" i="26"/>
  <c r="B1066" i="26"/>
  <c r="B1067" i="26"/>
  <c r="B1068" i="26"/>
  <c r="B1069" i="26"/>
  <c r="B1070" i="26"/>
  <c r="B1071" i="26"/>
  <c r="B1072" i="26"/>
  <c r="B1073" i="26"/>
  <c r="B1074" i="26"/>
  <c r="B1075" i="26"/>
  <c r="B1076" i="26"/>
  <c r="B1077" i="26"/>
  <c r="B1078" i="26"/>
  <c r="B1079" i="26"/>
  <c r="B1080" i="26"/>
  <c r="B1081" i="26"/>
  <c r="B1082" i="26"/>
  <c r="B1083" i="26"/>
  <c r="B1084" i="26"/>
  <c r="B1085" i="26"/>
  <c r="B1086" i="26"/>
  <c r="B1087" i="26"/>
  <c r="B1088" i="26"/>
  <c r="B1089" i="26"/>
  <c r="B1090" i="26"/>
  <c r="B1091" i="26"/>
  <c r="B1092" i="26"/>
  <c r="B1093" i="26"/>
  <c r="B1094" i="26"/>
  <c r="B1095" i="26"/>
  <c r="B1096" i="26"/>
  <c r="B1097" i="26"/>
  <c r="B1098" i="26"/>
  <c r="B1099" i="26"/>
  <c r="B1100" i="26"/>
  <c r="B1101" i="26"/>
  <c r="B1102" i="26"/>
  <c r="B1103" i="26"/>
  <c r="B1104" i="26"/>
  <c r="B1105" i="26"/>
  <c r="B1106" i="26"/>
  <c r="B1107" i="26"/>
  <c r="B1108" i="26"/>
  <c r="B1109" i="26"/>
  <c r="B1110" i="26"/>
  <c r="B1111" i="26"/>
  <c r="B1112" i="26"/>
  <c r="B1113" i="26"/>
  <c r="B1114" i="26"/>
  <c r="B1115" i="26"/>
  <c r="B1116" i="26"/>
  <c r="B1117" i="26"/>
  <c r="B1118" i="26"/>
  <c r="B1119" i="26"/>
  <c r="B1120" i="26"/>
  <c r="B1121" i="26"/>
  <c r="B1122" i="26"/>
  <c r="B1123" i="26"/>
  <c r="B1124" i="26"/>
  <c r="B1125" i="26"/>
  <c r="B1126" i="26"/>
  <c r="B1127" i="26"/>
  <c r="B1128" i="26"/>
  <c r="B1129" i="26"/>
  <c r="B1130" i="26"/>
  <c r="B1131" i="26"/>
  <c r="B1132" i="26"/>
  <c r="B1133" i="26"/>
  <c r="B1134" i="26"/>
  <c r="B1135" i="26"/>
  <c r="B1136" i="26"/>
  <c r="B1137" i="26"/>
  <c r="B1138" i="26"/>
  <c r="B1139" i="26"/>
  <c r="B1140" i="26"/>
  <c r="B1141" i="26"/>
  <c r="B1142" i="26"/>
  <c r="B1143" i="26"/>
  <c r="B1144" i="26"/>
  <c r="B1145" i="26"/>
  <c r="B1146" i="26"/>
  <c r="B1147" i="26"/>
  <c r="B1148" i="26"/>
  <c r="B1149" i="26"/>
  <c r="B1150" i="26"/>
  <c r="B1151" i="26"/>
  <c r="B1152" i="26"/>
  <c r="B1153" i="26"/>
  <c r="B1154" i="26"/>
  <c r="B1155" i="26"/>
  <c r="B1156" i="26"/>
  <c r="B1157" i="26"/>
  <c r="B1158" i="26"/>
  <c r="B1159" i="26"/>
  <c r="B1160" i="26"/>
  <c r="B1161" i="26"/>
  <c r="B1162" i="26"/>
  <c r="B1163" i="26"/>
  <c r="B1164" i="26"/>
  <c r="B1165" i="26"/>
  <c r="B1166" i="26"/>
  <c r="B1167" i="26"/>
  <c r="B1168" i="26"/>
  <c r="B1169" i="26"/>
  <c r="B1170" i="26"/>
  <c r="B1171" i="26"/>
  <c r="B1172" i="26"/>
  <c r="B1173" i="26"/>
  <c r="B1174" i="26"/>
  <c r="B1175" i="26"/>
  <c r="B1176" i="26"/>
  <c r="B1177" i="26"/>
  <c r="B1178" i="26"/>
  <c r="B1179" i="26"/>
  <c r="B1180" i="26"/>
  <c r="B1181" i="26"/>
  <c r="B1182" i="26"/>
  <c r="B1183" i="26"/>
  <c r="B1184" i="26"/>
  <c r="B1185" i="26"/>
  <c r="B1186" i="26"/>
  <c r="B1187" i="26"/>
  <c r="B1188" i="26"/>
  <c r="B1189" i="26"/>
  <c r="B1190" i="26"/>
  <c r="B1191" i="26"/>
  <c r="B1192" i="26"/>
  <c r="B1193" i="26"/>
  <c r="B1194" i="26"/>
  <c r="B1195" i="26"/>
  <c r="B1196" i="26"/>
  <c r="B1197" i="26"/>
  <c r="B1198" i="26"/>
  <c r="B1199" i="26"/>
  <c r="B1200" i="26"/>
  <c r="B1201" i="26"/>
  <c r="B1202" i="26"/>
  <c r="B1203" i="26"/>
  <c r="B1204" i="26"/>
  <c r="B1205" i="26"/>
  <c r="B1206" i="26"/>
  <c r="B1207" i="26"/>
  <c r="B1208" i="26"/>
  <c r="B1209" i="26"/>
  <c r="B1210" i="26"/>
  <c r="B1211" i="26"/>
  <c r="B1212" i="26"/>
  <c r="B1213" i="26"/>
  <c r="B1214" i="26"/>
  <c r="B1215" i="26"/>
  <c r="B1216" i="26"/>
  <c r="B1217" i="26"/>
  <c r="B1218" i="26"/>
  <c r="B1219" i="26"/>
  <c r="B1220" i="26"/>
  <c r="B1221" i="26"/>
  <c r="B1222" i="26"/>
  <c r="B1223" i="26"/>
  <c r="B1224" i="26"/>
  <c r="B1225" i="26"/>
  <c r="B1226" i="26"/>
  <c r="B1227" i="26"/>
  <c r="B1228" i="26"/>
  <c r="B1229" i="26"/>
  <c r="B1230" i="26"/>
  <c r="B1231" i="26"/>
  <c r="B1232" i="26"/>
  <c r="B1233" i="26"/>
  <c r="B1234" i="26"/>
  <c r="B1235" i="26"/>
  <c r="B1236" i="26"/>
  <c r="B1237" i="26"/>
  <c r="B1238" i="26"/>
  <c r="B1239" i="26"/>
  <c r="B1240" i="26"/>
  <c r="B1241" i="26"/>
  <c r="B1242" i="26"/>
  <c r="B1243" i="26"/>
  <c r="B1244" i="26"/>
  <c r="B1245" i="26"/>
  <c r="B1246" i="26"/>
  <c r="B1247" i="26"/>
  <c r="B1248" i="26"/>
  <c r="B1249" i="26"/>
  <c r="B1250" i="26"/>
  <c r="B1251" i="26"/>
  <c r="B1252" i="26"/>
  <c r="B1253" i="26"/>
  <c r="B1254" i="26"/>
  <c r="B1255" i="26"/>
  <c r="B1256" i="26"/>
  <c r="B1257" i="26"/>
  <c r="B1258" i="26"/>
  <c r="B1259" i="26"/>
  <c r="B1260" i="26"/>
  <c r="B1261" i="26"/>
  <c r="B1262" i="26"/>
  <c r="B1263" i="26"/>
  <c r="B1264" i="26"/>
  <c r="B1265" i="26"/>
  <c r="B1266" i="26"/>
  <c r="B1267" i="26"/>
  <c r="B1268" i="26"/>
  <c r="B1269" i="26"/>
  <c r="B1270" i="26"/>
  <c r="B1271" i="26"/>
  <c r="B1272" i="26"/>
  <c r="B1273" i="26"/>
  <c r="B1274" i="26"/>
  <c r="B1275" i="26"/>
  <c r="B1276" i="26"/>
  <c r="B1277" i="26"/>
  <c r="B1278" i="26"/>
  <c r="B1279" i="26"/>
  <c r="B1280" i="26"/>
  <c r="B1281" i="26"/>
  <c r="B1282" i="26"/>
  <c r="B1283" i="26"/>
  <c r="B1284" i="26"/>
  <c r="B1285" i="26"/>
  <c r="B1286" i="26"/>
  <c r="B1287" i="26"/>
  <c r="B1288" i="26"/>
  <c r="B1289" i="26"/>
  <c r="B1290" i="26"/>
  <c r="B1291" i="26"/>
  <c r="B1292" i="26"/>
  <c r="B1293" i="26"/>
  <c r="B1294" i="26"/>
  <c r="B1295" i="26"/>
  <c r="B1296" i="26"/>
  <c r="B1297" i="26"/>
  <c r="B1298" i="26"/>
  <c r="B1299" i="26"/>
  <c r="B1300" i="26"/>
  <c r="B1301" i="26"/>
  <c r="B1302" i="26"/>
  <c r="B1303" i="26"/>
  <c r="B1304" i="26"/>
  <c r="B1305" i="26"/>
  <c r="B1306" i="26"/>
  <c r="B1307" i="26"/>
  <c r="B1308" i="26"/>
  <c r="B1309" i="26"/>
  <c r="B1310" i="26"/>
  <c r="B1311" i="26"/>
  <c r="B1312" i="26"/>
  <c r="B1313" i="26"/>
  <c r="B1314" i="26"/>
  <c r="B1315" i="26"/>
  <c r="B1316" i="26"/>
  <c r="B1317" i="26"/>
  <c r="B1318" i="26"/>
  <c r="B1319" i="26"/>
  <c r="B1320" i="26"/>
  <c r="B1321" i="26"/>
  <c r="B1322" i="26"/>
  <c r="B1323" i="26"/>
  <c r="B1324" i="26"/>
  <c r="B1325" i="26"/>
  <c r="B1326" i="26"/>
  <c r="B1327" i="26"/>
  <c r="B1328" i="26"/>
  <c r="B1329" i="26"/>
  <c r="B1330" i="26"/>
  <c r="B1331" i="26"/>
  <c r="B1332" i="26"/>
  <c r="B1333" i="26"/>
  <c r="B1334" i="26"/>
  <c r="B1335" i="26"/>
  <c r="B1336" i="26"/>
  <c r="B1337" i="26"/>
  <c r="B1338" i="26"/>
  <c r="B1339" i="26"/>
  <c r="B1340" i="26"/>
  <c r="B1341" i="26"/>
  <c r="B1342" i="26"/>
  <c r="B1343" i="26"/>
  <c r="B1344" i="26"/>
  <c r="B1345" i="26"/>
  <c r="B1346" i="26"/>
  <c r="B1347" i="26"/>
  <c r="B1348" i="26"/>
  <c r="B1349" i="26"/>
  <c r="B1350" i="26"/>
  <c r="B1351" i="26"/>
  <c r="B1352" i="26"/>
  <c r="B1353" i="26"/>
  <c r="B1354" i="26"/>
  <c r="B1355" i="26"/>
  <c r="B1356" i="26"/>
  <c r="B1357" i="26"/>
  <c r="B1358" i="26"/>
  <c r="B1359" i="26"/>
  <c r="B1360" i="26"/>
  <c r="B1361" i="26"/>
  <c r="B1362" i="26"/>
  <c r="B1363" i="26"/>
  <c r="B1364" i="26"/>
  <c r="B1365" i="26"/>
  <c r="B1366" i="26"/>
  <c r="B1367" i="26"/>
  <c r="B1368" i="26"/>
  <c r="B1369" i="26"/>
  <c r="B1370" i="26"/>
  <c r="B1371" i="26"/>
  <c r="B1372" i="26"/>
  <c r="B1373" i="26"/>
  <c r="B1374" i="26"/>
  <c r="B1375" i="26"/>
  <c r="B1376" i="26"/>
  <c r="B1377" i="26"/>
  <c r="B1378" i="26"/>
  <c r="B1379" i="26"/>
  <c r="B1380" i="26"/>
  <c r="B1381" i="26"/>
  <c r="B1382" i="26"/>
  <c r="B1383" i="26"/>
  <c r="B1384" i="26"/>
  <c r="B1385" i="26"/>
  <c r="B1386" i="26"/>
  <c r="B1387" i="26"/>
  <c r="B1388" i="26"/>
  <c r="B1389" i="26"/>
  <c r="B1390" i="26"/>
  <c r="B1391" i="26"/>
  <c r="B1392" i="26"/>
  <c r="B1393" i="26"/>
  <c r="B1394" i="26"/>
  <c r="B1395" i="26"/>
  <c r="B1396" i="26"/>
  <c r="B1397" i="26"/>
  <c r="B1398" i="26"/>
  <c r="B1399" i="26"/>
  <c r="B1400" i="26"/>
  <c r="B1401" i="26"/>
  <c r="B1402" i="26"/>
  <c r="B1403" i="26"/>
  <c r="B1404" i="26"/>
  <c r="B1405" i="26"/>
  <c r="B1406" i="26"/>
  <c r="B1407" i="26"/>
  <c r="B1408" i="26"/>
  <c r="B1409" i="26"/>
  <c r="B1410" i="26"/>
  <c r="B1411" i="26"/>
  <c r="B1412" i="26"/>
  <c r="B1413" i="26"/>
  <c r="B1414" i="26"/>
  <c r="B1415" i="26"/>
  <c r="B1416" i="26"/>
  <c r="B1417" i="26"/>
  <c r="B1418" i="26"/>
  <c r="B1419" i="26"/>
  <c r="B1420" i="26"/>
  <c r="B1421" i="26"/>
  <c r="B1422" i="26"/>
  <c r="B1423" i="26"/>
  <c r="B1424" i="26"/>
  <c r="B1425" i="26"/>
  <c r="B1426" i="26"/>
  <c r="B1427" i="26"/>
  <c r="B1428" i="26"/>
  <c r="B1429" i="26"/>
  <c r="B1430" i="26"/>
  <c r="B1431" i="26"/>
  <c r="B1432" i="26"/>
  <c r="B1433" i="26"/>
  <c r="B1434" i="26"/>
  <c r="B1435" i="26"/>
  <c r="B1436" i="26"/>
  <c r="B1437" i="26"/>
  <c r="B1438" i="26"/>
  <c r="B1439" i="26"/>
  <c r="B1440" i="26"/>
  <c r="B1441" i="26"/>
  <c r="B1442" i="26"/>
  <c r="B1443" i="26"/>
  <c r="B1444" i="26"/>
  <c r="B1445" i="26"/>
  <c r="B1446" i="26"/>
  <c r="B1447" i="26"/>
  <c r="B1448" i="26"/>
  <c r="B1449" i="26"/>
  <c r="B1450" i="26"/>
  <c r="B1451" i="26"/>
  <c r="B1452" i="26"/>
  <c r="B1453" i="26"/>
  <c r="B1454" i="26"/>
  <c r="B1455" i="26"/>
  <c r="B1456" i="26"/>
  <c r="B1457" i="26"/>
  <c r="B1458" i="26"/>
  <c r="B1459" i="26"/>
  <c r="B1460" i="26"/>
  <c r="B1461" i="26"/>
  <c r="B1462" i="26"/>
  <c r="B1463" i="26"/>
  <c r="B1464" i="26"/>
  <c r="B1465" i="26"/>
  <c r="B1466" i="26"/>
  <c r="B1467" i="26"/>
  <c r="B1468" i="26"/>
  <c r="B1469" i="26"/>
  <c r="B1470" i="26"/>
  <c r="B1471" i="26"/>
  <c r="B1472" i="26"/>
  <c r="B1473" i="26"/>
  <c r="B1474" i="26"/>
  <c r="B1475" i="26"/>
  <c r="B1476" i="26"/>
  <c r="B1477" i="26"/>
  <c r="B1478" i="26"/>
  <c r="B1479" i="26"/>
  <c r="B1480" i="26"/>
  <c r="B1481" i="26"/>
  <c r="B1482" i="26"/>
  <c r="B1483" i="26"/>
  <c r="B1484" i="26"/>
  <c r="B1485" i="26"/>
  <c r="B1486" i="26"/>
  <c r="B1487" i="26"/>
  <c r="B1488" i="26"/>
  <c r="B1489" i="26"/>
  <c r="B1490" i="26"/>
  <c r="B1491" i="26"/>
  <c r="B1492" i="26"/>
  <c r="B1493" i="26"/>
  <c r="B1494" i="26"/>
  <c r="B1495" i="26"/>
  <c r="B1496" i="26"/>
  <c r="B1497" i="26"/>
  <c r="B1498" i="26"/>
  <c r="B1499" i="26"/>
  <c r="B1500" i="26"/>
  <c r="B1501" i="26"/>
  <c r="B1502" i="26"/>
  <c r="B1503" i="26"/>
  <c r="B1504" i="26"/>
  <c r="B1505" i="26"/>
  <c r="B1506" i="26"/>
  <c r="B1507" i="26"/>
  <c r="B1508" i="26"/>
  <c r="B1509" i="26"/>
  <c r="B1510" i="26"/>
  <c r="B1511" i="26"/>
  <c r="B1512" i="26"/>
  <c r="B1513" i="26"/>
  <c r="B1514" i="26"/>
  <c r="B1515" i="26"/>
  <c r="B1516" i="26"/>
  <c r="B1517" i="26"/>
  <c r="B1518" i="26"/>
  <c r="B1519" i="26"/>
  <c r="B1520" i="26"/>
  <c r="B1521" i="26"/>
  <c r="B1522" i="26"/>
  <c r="B1523" i="26"/>
  <c r="B1524" i="26"/>
  <c r="B1525" i="26"/>
  <c r="B1526" i="26"/>
  <c r="B1527" i="26"/>
  <c r="B1528" i="26"/>
  <c r="B1529" i="26"/>
  <c r="B1530" i="26"/>
  <c r="B1531" i="26"/>
  <c r="B1532" i="26"/>
  <c r="B1533" i="26"/>
  <c r="B1534" i="26"/>
  <c r="B1535" i="26"/>
  <c r="B1536" i="26"/>
  <c r="B1537" i="26"/>
  <c r="B1538" i="26"/>
  <c r="B1539" i="26"/>
  <c r="B1540" i="26"/>
  <c r="B1541" i="26"/>
  <c r="B1542" i="26"/>
  <c r="B1543" i="26"/>
  <c r="B1544" i="26"/>
  <c r="B1545" i="26"/>
  <c r="B1546" i="26"/>
  <c r="B1547" i="26"/>
  <c r="B1548" i="26"/>
  <c r="B1549" i="26"/>
  <c r="B1550" i="26"/>
  <c r="B1551" i="26"/>
  <c r="B1552" i="26"/>
  <c r="B1553" i="26"/>
  <c r="B1554" i="26"/>
  <c r="B1555" i="26"/>
  <c r="B1556" i="26"/>
  <c r="B1557" i="26"/>
  <c r="B1558" i="26"/>
  <c r="B1559" i="26"/>
  <c r="B1560" i="26"/>
  <c r="B1561" i="26"/>
  <c r="B1562" i="26"/>
  <c r="B1563" i="26"/>
  <c r="B1564" i="26"/>
  <c r="B1565" i="26"/>
  <c r="B1566" i="26"/>
  <c r="B1567" i="26"/>
  <c r="B1568" i="26"/>
  <c r="B1569" i="26"/>
  <c r="B1570" i="26"/>
  <c r="B1571" i="26"/>
  <c r="B1572" i="26"/>
  <c r="B1573" i="26"/>
  <c r="B1574" i="26"/>
  <c r="B1575" i="26"/>
  <c r="B1576" i="26"/>
  <c r="B1577" i="26"/>
  <c r="B1578" i="26"/>
  <c r="B1579" i="26"/>
  <c r="B1580" i="26"/>
  <c r="B1581" i="26"/>
  <c r="B1582" i="26"/>
  <c r="B1583" i="26"/>
  <c r="B1584" i="26"/>
  <c r="B1585" i="26"/>
  <c r="B1586" i="26"/>
  <c r="B1587" i="26"/>
  <c r="B1588" i="26"/>
  <c r="B1589" i="26"/>
  <c r="B1590" i="26"/>
  <c r="B1591" i="26"/>
  <c r="B1592" i="26"/>
  <c r="B1593" i="26"/>
  <c r="B1594" i="26"/>
  <c r="B1595" i="26"/>
  <c r="B1596" i="26"/>
  <c r="B1597" i="26"/>
  <c r="B1598" i="26"/>
  <c r="B1599" i="26"/>
  <c r="B1600" i="26"/>
  <c r="B1601" i="26"/>
  <c r="B1602" i="26"/>
  <c r="B1603" i="26"/>
  <c r="B1604" i="26"/>
  <c r="B1605" i="26"/>
  <c r="B1606" i="26"/>
  <c r="B1607" i="26"/>
  <c r="B1608" i="26"/>
  <c r="B1609" i="26"/>
  <c r="B1610" i="26"/>
  <c r="B1611" i="26"/>
  <c r="B1612" i="26"/>
  <c r="B1613" i="26"/>
  <c r="B1614" i="26"/>
  <c r="B1615" i="26"/>
  <c r="B1616" i="26"/>
  <c r="B1617" i="26"/>
  <c r="B1618" i="26"/>
  <c r="B1619" i="26"/>
  <c r="B1620" i="26"/>
  <c r="B1621" i="26"/>
  <c r="B1622" i="26"/>
  <c r="B1623" i="26"/>
  <c r="B1624" i="26"/>
  <c r="B1625" i="26"/>
  <c r="B1626" i="26"/>
  <c r="B1627" i="26"/>
  <c r="B1628" i="26"/>
  <c r="B1629" i="26"/>
  <c r="B1630" i="26"/>
  <c r="B1631" i="26"/>
  <c r="B1632" i="26"/>
  <c r="B1633" i="26"/>
  <c r="B1634" i="26"/>
  <c r="B1635" i="26"/>
  <c r="B1636" i="26"/>
  <c r="B1637" i="26"/>
  <c r="B1638" i="26"/>
  <c r="B1639" i="26"/>
  <c r="B1640" i="26"/>
  <c r="B1641" i="26"/>
  <c r="B1642" i="26"/>
  <c r="B1643" i="26"/>
  <c r="B1644" i="26"/>
  <c r="B1645" i="26"/>
  <c r="B1646" i="26"/>
  <c r="B1647" i="26"/>
  <c r="B1648" i="26"/>
  <c r="B1649" i="26"/>
  <c r="B1650" i="26"/>
  <c r="B1651" i="26"/>
  <c r="B1652" i="26"/>
  <c r="B1653" i="26"/>
  <c r="B1654" i="26"/>
  <c r="B1655" i="26"/>
  <c r="B1656" i="26"/>
  <c r="B1657" i="26"/>
  <c r="B1658" i="26"/>
  <c r="B1659" i="26"/>
  <c r="B1660" i="26"/>
  <c r="B1661" i="26"/>
  <c r="B1662" i="26"/>
  <c r="B1663" i="26"/>
  <c r="B1664" i="26"/>
  <c r="B1665" i="26"/>
  <c r="B1666" i="26"/>
  <c r="B1667" i="26"/>
  <c r="B1668" i="26"/>
  <c r="B1669" i="26"/>
  <c r="B1670" i="26"/>
  <c r="B1671" i="26"/>
  <c r="B1672" i="26"/>
  <c r="B1673" i="26"/>
  <c r="B1674" i="26"/>
  <c r="B1675" i="26"/>
  <c r="B1676" i="26"/>
  <c r="B1677" i="26"/>
  <c r="B1678" i="26"/>
  <c r="B1679" i="26"/>
  <c r="B1680" i="26"/>
  <c r="B1681" i="26"/>
  <c r="B1682" i="26"/>
  <c r="B1683" i="26"/>
  <c r="B1684" i="26"/>
  <c r="B1685" i="26"/>
  <c r="B1686" i="26"/>
  <c r="B1687" i="26"/>
  <c r="B1688" i="26"/>
  <c r="B1689" i="26"/>
  <c r="B1690" i="26"/>
  <c r="B1691" i="26"/>
  <c r="B1692" i="26"/>
  <c r="B1693" i="26"/>
  <c r="B1694" i="26"/>
  <c r="B1695" i="26"/>
  <c r="B1696" i="26"/>
  <c r="B1697" i="26"/>
  <c r="B1698" i="26"/>
  <c r="B1699" i="26"/>
  <c r="B1700" i="26"/>
  <c r="B1701" i="26"/>
  <c r="B1702" i="26"/>
  <c r="B1703" i="26"/>
  <c r="B1704" i="26"/>
  <c r="B1705" i="26"/>
  <c r="B1706" i="26"/>
  <c r="B1707" i="26"/>
  <c r="B1708" i="26"/>
  <c r="B1709" i="26"/>
  <c r="B1710" i="26"/>
  <c r="B1711" i="26"/>
  <c r="B1712" i="26"/>
  <c r="B1713" i="26"/>
  <c r="B1714" i="26"/>
  <c r="B1715" i="26"/>
  <c r="B1716" i="26"/>
  <c r="B1717" i="26"/>
  <c r="B1718" i="26"/>
  <c r="B1719" i="26"/>
  <c r="B1720" i="26"/>
  <c r="B1721" i="26"/>
  <c r="B1722" i="26"/>
  <c r="B1723" i="26"/>
  <c r="B1724" i="26"/>
  <c r="B1725" i="26"/>
  <c r="B1726" i="26"/>
  <c r="B1727" i="26"/>
  <c r="B1728" i="26"/>
  <c r="B1729" i="26"/>
  <c r="B1730" i="26"/>
  <c r="B1731" i="26"/>
  <c r="B1732" i="26"/>
  <c r="B1733" i="26"/>
  <c r="B1734" i="26"/>
  <c r="B1735" i="26"/>
  <c r="B1736" i="26"/>
  <c r="B1737" i="26"/>
  <c r="B1738" i="26"/>
  <c r="B1739" i="26"/>
  <c r="B1740" i="26"/>
  <c r="B1741" i="26"/>
  <c r="B1742" i="26"/>
  <c r="B1743" i="26"/>
  <c r="B1744" i="26"/>
  <c r="B1745" i="26"/>
  <c r="B1746" i="26"/>
  <c r="B1747" i="26"/>
  <c r="B1748" i="26"/>
  <c r="B1749" i="26"/>
  <c r="B1750" i="26"/>
  <c r="B1751" i="26"/>
  <c r="B1752" i="26"/>
  <c r="B1753" i="26"/>
  <c r="B1754" i="26"/>
  <c r="B1755" i="26"/>
  <c r="B1756" i="26"/>
  <c r="B1757" i="26"/>
  <c r="B1758" i="26"/>
  <c r="B1759" i="26"/>
  <c r="B1760" i="26"/>
  <c r="B1761" i="26"/>
  <c r="B1762" i="26"/>
  <c r="B1763" i="26"/>
  <c r="B1764" i="26"/>
  <c r="B1765" i="26"/>
  <c r="B1766" i="26"/>
  <c r="B1767" i="26"/>
  <c r="B1768" i="26"/>
  <c r="B1769" i="26"/>
  <c r="B1770" i="26"/>
  <c r="B1771" i="26"/>
  <c r="B1772" i="26"/>
  <c r="B1773" i="26"/>
  <c r="B1774" i="26"/>
  <c r="B1775" i="26"/>
  <c r="B1776" i="26"/>
  <c r="B1777" i="26"/>
  <c r="B1778" i="26"/>
  <c r="B1779" i="26"/>
  <c r="B1780" i="26"/>
  <c r="B1781" i="26"/>
  <c r="B1782" i="26"/>
  <c r="B1783" i="26"/>
  <c r="B1784" i="26"/>
  <c r="B1785" i="26"/>
  <c r="B1786" i="26"/>
  <c r="B1787" i="26"/>
  <c r="B1788" i="26"/>
  <c r="B1789" i="26"/>
  <c r="B1790" i="26"/>
  <c r="B1791" i="26"/>
  <c r="B1792" i="26"/>
  <c r="B1793" i="26"/>
  <c r="B1794" i="26"/>
  <c r="B1795" i="26"/>
  <c r="B1796" i="26"/>
  <c r="B1797" i="26"/>
  <c r="B1798" i="26"/>
  <c r="B1799" i="26"/>
  <c r="B1800" i="26"/>
  <c r="B1801" i="26"/>
  <c r="B1802" i="26"/>
  <c r="B1803" i="26"/>
  <c r="B1804" i="26"/>
  <c r="B1805" i="26"/>
  <c r="B1806" i="26"/>
  <c r="B1807" i="26"/>
  <c r="B1808" i="26"/>
  <c r="B1809" i="26"/>
  <c r="B1810" i="26"/>
  <c r="B1811" i="26"/>
  <c r="B1812" i="26"/>
  <c r="B1813" i="26"/>
  <c r="B1814" i="26"/>
  <c r="B1815" i="26"/>
  <c r="B1816" i="26"/>
  <c r="B1817" i="26"/>
  <c r="B1818" i="26"/>
  <c r="B1819" i="26"/>
  <c r="B1820" i="26"/>
  <c r="B1821" i="26"/>
  <c r="B1822" i="26"/>
  <c r="B1823" i="26"/>
  <c r="B1824" i="26"/>
  <c r="B1825" i="26"/>
  <c r="B1826" i="26"/>
  <c r="B1827" i="26"/>
  <c r="B1828" i="26"/>
  <c r="B1829" i="26"/>
  <c r="B1830" i="26"/>
  <c r="B1831" i="26"/>
  <c r="B1832" i="26"/>
  <c r="B1833" i="26"/>
  <c r="B1834" i="26"/>
  <c r="B1835" i="26"/>
  <c r="B1836" i="26"/>
  <c r="B1837" i="26"/>
  <c r="B1838" i="26"/>
  <c r="B1839" i="26"/>
  <c r="B1840" i="26"/>
  <c r="B1841" i="26"/>
  <c r="B1842" i="26"/>
  <c r="B1843" i="26"/>
  <c r="B1844" i="26"/>
  <c r="B1845" i="26"/>
  <c r="B1846" i="26"/>
  <c r="B1847" i="26"/>
  <c r="B1848" i="26"/>
  <c r="B1849" i="26"/>
  <c r="B1850" i="26"/>
  <c r="B1851" i="26"/>
  <c r="B1852" i="26"/>
  <c r="B1853" i="26"/>
  <c r="B1854" i="26"/>
  <c r="B1855" i="26"/>
  <c r="B1856" i="26"/>
  <c r="B1857" i="26"/>
  <c r="B1858" i="26"/>
  <c r="B1859" i="26"/>
  <c r="B1860" i="26"/>
  <c r="B1861" i="26"/>
  <c r="B1862" i="26"/>
  <c r="B1863" i="26"/>
  <c r="B1864" i="26"/>
  <c r="B1865" i="26"/>
  <c r="B1866" i="26"/>
  <c r="B1867" i="26"/>
  <c r="B1868" i="26"/>
  <c r="B1869" i="26"/>
  <c r="B1870" i="26"/>
  <c r="B1871" i="26"/>
  <c r="B1872" i="26"/>
  <c r="B1873" i="26"/>
  <c r="B1874" i="26"/>
  <c r="B1875" i="26"/>
  <c r="B1876" i="26"/>
  <c r="B1877" i="26"/>
  <c r="B1878" i="26"/>
  <c r="B1879" i="26"/>
  <c r="B1880" i="26"/>
  <c r="B1881" i="26"/>
  <c r="B1882" i="26"/>
  <c r="B1883" i="26"/>
  <c r="B1884" i="26"/>
  <c r="B1885" i="26"/>
  <c r="B1886" i="26"/>
  <c r="B1887" i="26"/>
  <c r="B1888" i="26"/>
  <c r="B1889" i="26"/>
  <c r="B1890" i="26"/>
  <c r="B1891" i="26"/>
  <c r="B1892" i="26"/>
  <c r="B1893" i="26"/>
  <c r="B1894" i="26"/>
  <c r="B1895" i="26"/>
  <c r="B1896" i="26"/>
  <c r="B1897" i="26"/>
  <c r="B1898" i="26"/>
  <c r="B1899" i="26"/>
  <c r="B1900" i="26"/>
  <c r="B1901" i="26"/>
  <c r="B1902" i="26"/>
  <c r="B1903" i="26"/>
  <c r="B1904" i="26"/>
  <c r="B1905" i="26"/>
  <c r="B1906" i="26"/>
  <c r="B1907" i="26"/>
  <c r="B1908" i="26"/>
  <c r="B1909" i="26"/>
  <c r="B1910" i="26"/>
  <c r="B1911" i="26"/>
  <c r="B1912" i="26"/>
  <c r="B1913" i="26"/>
  <c r="B1914" i="26"/>
  <c r="B1915" i="26"/>
  <c r="B1916" i="26"/>
  <c r="B1917" i="26"/>
  <c r="B1918" i="26"/>
  <c r="B1919" i="26"/>
  <c r="B1920" i="26"/>
  <c r="B1921" i="26"/>
  <c r="B1922" i="26"/>
  <c r="B1923" i="26"/>
  <c r="B1924" i="26"/>
  <c r="B1925" i="26"/>
  <c r="B1926" i="26"/>
  <c r="B1927" i="26"/>
  <c r="B1928" i="26"/>
  <c r="B1929" i="26"/>
  <c r="B1930" i="26"/>
  <c r="B1931" i="26"/>
  <c r="B1932" i="26"/>
  <c r="B1933" i="26"/>
  <c r="B1934" i="26"/>
  <c r="B1935" i="26"/>
  <c r="B1936" i="26"/>
  <c r="B1937" i="26"/>
  <c r="B1938" i="26"/>
  <c r="B1939" i="26"/>
  <c r="B1940" i="26"/>
  <c r="B1941" i="26"/>
  <c r="B1942" i="26"/>
  <c r="B1943" i="26"/>
  <c r="B1944" i="26"/>
  <c r="B1945" i="26"/>
  <c r="B1946" i="26"/>
  <c r="B1947" i="26"/>
  <c r="B1948" i="26"/>
  <c r="B1949" i="26"/>
  <c r="B1950" i="26"/>
  <c r="B1951" i="26"/>
  <c r="B1952" i="26"/>
  <c r="B1953" i="26"/>
  <c r="B1954" i="26"/>
  <c r="B1955" i="26"/>
  <c r="B1956" i="26"/>
  <c r="B1957" i="26"/>
  <c r="B1958" i="26"/>
  <c r="B1959" i="26"/>
  <c r="B1960" i="26"/>
  <c r="B1961" i="26"/>
  <c r="B1962" i="26"/>
  <c r="B1963" i="26"/>
  <c r="B1964" i="26"/>
  <c r="B1965" i="26"/>
  <c r="B1966" i="26"/>
  <c r="B1967" i="26"/>
  <c r="B1968" i="26"/>
  <c r="B1969" i="26"/>
  <c r="B1970" i="26"/>
  <c r="B1971" i="26"/>
  <c r="B1972" i="26"/>
  <c r="B1973" i="26"/>
  <c r="B1974" i="26"/>
  <c r="B1975" i="26"/>
  <c r="B1976" i="26"/>
  <c r="B1977" i="26"/>
  <c r="B1978" i="26"/>
  <c r="B1979" i="26"/>
  <c r="B1980" i="26"/>
  <c r="B1981" i="26"/>
  <c r="B1982" i="26"/>
  <c r="B1983" i="26"/>
  <c r="B1984" i="26"/>
  <c r="B1985" i="26"/>
  <c r="B1986" i="26"/>
  <c r="B1987" i="26"/>
  <c r="B1988" i="26"/>
  <c r="B1989" i="26"/>
  <c r="B1990" i="26"/>
  <c r="B1991" i="26"/>
  <c r="B1992" i="26"/>
  <c r="B1993" i="26"/>
  <c r="B1994" i="26"/>
  <c r="B1995" i="26"/>
  <c r="B1996" i="26"/>
  <c r="B1997" i="26"/>
  <c r="B1998" i="26"/>
  <c r="B1999" i="26"/>
  <c r="B2000" i="26"/>
  <c r="B2001" i="26"/>
  <c r="B2002" i="26"/>
  <c r="B2003" i="26"/>
  <c r="B2004" i="26"/>
  <c r="B2005" i="26"/>
  <c r="B2006" i="26"/>
  <c r="B2007" i="26"/>
  <c r="B2008" i="26"/>
  <c r="B2009" i="26"/>
  <c r="B2010" i="26"/>
  <c r="B2011" i="26"/>
  <c r="B2012" i="26"/>
  <c r="B2013" i="26"/>
  <c r="B2014" i="26"/>
  <c r="B2015" i="26"/>
  <c r="B2016" i="26"/>
  <c r="B2017" i="26"/>
  <c r="B2018" i="26"/>
  <c r="B2019" i="26"/>
  <c r="B2020" i="26"/>
  <c r="B2021" i="26"/>
  <c r="B2022" i="26"/>
  <c r="B2023" i="26"/>
  <c r="B2024" i="26"/>
  <c r="B2025" i="26"/>
  <c r="B2026" i="26"/>
  <c r="B2027" i="26"/>
  <c r="B2028" i="26"/>
  <c r="B2029" i="26"/>
  <c r="B2030" i="26"/>
  <c r="B2031" i="26"/>
  <c r="B2032" i="26"/>
  <c r="B2033" i="26"/>
  <c r="B2034" i="26"/>
  <c r="B2035" i="26"/>
  <c r="B2036" i="26"/>
  <c r="B2037" i="26"/>
  <c r="B2038" i="26"/>
  <c r="B2039" i="26"/>
  <c r="B2040" i="26"/>
  <c r="B2041" i="26"/>
  <c r="B2042" i="26"/>
  <c r="B2043" i="26"/>
  <c r="B2044" i="26"/>
  <c r="B2045" i="26"/>
  <c r="B2046" i="26"/>
  <c r="B2047" i="26"/>
  <c r="B2048" i="26"/>
  <c r="B2049" i="26"/>
  <c r="B2050" i="26"/>
  <c r="B2051" i="26"/>
  <c r="B2052" i="26"/>
  <c r="B2053" i="26"/>
  <c r="B2054" i="26"/>
  <c r="B2055" i="26"/>
  <c r="B2056" i="26"/>
  <c r="B2057" i="26"/>
  <c r="B2058" i="26"/>
  <c r="B2059" i="26"/>
  <c r="B2060" i="26"/>
  <c r="B2061" i="26"/>
  <c r="B2062" i="26"/>
  <c r="B2063" i="26"/>
  <c r="B2064" i="26"/>
  <c r="B2065" i="26"/>
  <c r="B2066" i="26"/>
  <c r="B2067" i="26"/>
  <c r="B2068" i="26"/>
  <c r="B2069" i="26"/>
  <c r="B2070" i="26"/>
  <c r="B2071" i="26"/>
  <c r="B2072" i="26"/>
  <c r="B2073" i="26"/>
  <c r="B2074" i="26"/>
  <c r="B2075" i="26"/>
  <c r="B2076" i="26"/>
  <c r="B2077" i="26"/>
  <c r="B2078" i="26"/>
  <c r="B2079" i="26"/>
  <c r="B2080" i="26"/>
  <c r="B2081" i="26"/>
  <c r="B2082" i="26"/>
  <c r="B2083" i="26"/>
  <c r="B2084" i="26"/>
  <c r="B2085" i="26"/>
  <c r="B2086" i="26"/>
  <c r="B2087" i="26"/>
  <c r="B2088" i="26"/>
  <c r="B2089" i="26"/>
  <c r="B2090" i="26"/>
  <c r="B2091" i="26"/>
  <c r="B2092" i="26"/>
  <c r="B2093" i="26"/>
  <c r="B2094" i="26"/>
  <c r="B2095" i="26"/>
  <c r="B2096" i="26"/>
  <c r="B2097" i="26"/>
  <c r="B2098" i="26"/>
  <c r="B2099" i="26"/>
  <c r="B2100" i="26"/>
  <c r="B2101" i="26"/>
  <c r="B2102" i="26"/>
  <c r="B2103" i="26"/>
  <c r="B2104" i="26"/>
  <c r="B2105" i="26"/>
  <c r="B2106" i="26"/>
  <c r="B2107" i="26"/>
  <c r="B2108" i="26"/>
  <c r="B2109" i="26"/>
  <c r="B2110" i="26"/>
  <c r="B2111" i="26"/>
  <c r="B2112" i="26"/>
  <c r="B2113" i="26"/>
  <c r="B2114" i="26"/>
  <c r="B2115" i="26"/>
  <c r="B2116" i="26"/>
  <c r="B2117" i="26"/>
  <c r="B2118" i="26"/>
  <c r="B2119" i="26"/>
  <c r="B2120" i="26"/>
  <c r="B2121" i="26"/>
  <c r="B2122" i="26"/>
  <c r="B2123" i="26"/>
  <c r="B2124" i="26"/>
  <c r="B2125" i="26"/>
  <c r="B2126" i="26"/>
  <c r="B2127" i="26"/>
  <c r="B2128" i="26"/>
  <c r="B2129" i="26"/>
  <c r="B2130" i="26"/>
  <c r="B2131" i="26"/>
  <c r="B2132" i="26"/>
  <c r="B2133" i="26"/>
  <c r="B2134" i="26"/>
  <c r="B2135" i="26"/>
  <c r="B2136" i="26"/>
  <c r="B2137" i="26"/>
  <c r="B2138" i="26"/>
  <c r="B2139" i="26"/>
  <c r="B2140" i="26"/>
  <c r="B2141" i="26"/>
  <c r="B2142" i="26"/>
  <c r="B2143" i="26"/>
  <c r="B2144" i="26"/>
  <c r="B2145" i="26"/>
  <c r="B2146" i="26"/>
  <c r="B2147" i="26"/>
  <c r="B2148" i="26"/>
  <c r="B2149" i="26"/>
  <c r="B2150" i="26"/>
  <c r="B2151" i="26"/>
  <c r="B2152" i="26"/>
  <c r="B2153" i="26"/>
  <c r="B2154" i="26"/>
  <c r="B2155" i="26"/>
  <c r="B2156" i="26"/>
  <c r="B2157" i="26"/>
  <c r="B2158" i="26"/>
  <c r="B2159" i="26"/>
  <c r="B2160" i="26"/>
  <c r="B2161" i="26"/>
  <c r="B2162" i="26"/>
  <c r="B2163" i="26"/>
  <c r="B2164" i="26"/>
  <c r="B2165" i="26"/>
  <c r="B2166" i="26"/>
  <c r="B2167" i="26"/>
  <c r="B2168" i="26"/>
  <c r="B2169" i="26"/>
  <c r="B2170" i="26"/>
  <c r="B2171" i="26"/>
  <c r="B2172" i="26"/>
  <c r="B2173" i="26"/>
  <c r="B2174" i="26"/>
  <c r="B2175" i="26"/>
  <c r="B2176" i="26"/>
  <c r="B2177" i="26"/>
  <c r="B2178" i="26"/>
  <c r="B2179" i="26"/>
  <c r="B2180" i="26"/>
  <c r="B2181" i="26"/>
  <c r="B2182" i="26"/>
  <c r="B2183" i="26"/>
  <c r="B2184" i="26"/>
  <c r="B2185" i="26"/>
  <c r="B2186" i="26"/>
  <c r="B2187" i="26"/>
  <c r="B2188" i="26"/>
  <c r="B2189" i="26"/>
  <c r="B2190" i="26"/>
  <c r="B2191" i="26"/>
  <c r="B2192" i="26"/>
  <c r="B2193" i="26"/>
  <c r="B2194" i="26"/>
  <c r="B2195" i="26"/>
  <c r="B2196" i="26"/>
  <c r="B2197" i="26"/>
  <c r="B2198" i="26"/>
  <c r="B2199" i="26"/>
  <c r="B2200" i="26"/>
  <c r="B2201" i="26"/>
  <c r="B2202" i="26"/>
  <c r="B2203" i="26"/>
  <c r="B2204" i="26"/>
  <c r="B2205" i="26"/>
  <c r="B2206" i="26"/>
  <c r="B2207" i="26"/>
  <c r="B2208" i="26"/>
  <c r="B2209" i="26"/>
  <c r="B2210" i="26"/>
  <c r="B2211" i="26"/>
  <c r="B2212" i="26"/>
  <c r="B2213" i="26"/>
  <c r="B2214" i="26"/>
  <c r="B2215" i="26"/>
  <c r="B2216" i="26"/>
  <c r="B2217" i="26"/>
  <c r="B2218" i="26"/>
  <c r="B2219" i="26"/>
  <c r="B2220" i="26"/>
  <c r="B2221" i="26"/>
  <c r="B2222" i="26"/>
  <c r="B2223" i="26"/>
  <c r="B2224" i="26"/>
  <c r="B2225" i="26"/>
  <c r="B2226" i="26"/>
  <c r="B2227" i="26"/>
  <c r="B2228" i="26"/>
  <c r="B2229" i="26"/>
  <c r="B2230" i="26"/>
  <c r="B2231" i="26"/>
  <c r="B2232" i="26"/>
  <c r="B2233" i="26"/>
  <c r="B2234" i="26"/>
  <c r="B2235" i="26"/>
  <c r="B2236" i="26"/>
  <c r="B2237" i="26"/>
  <c r="B2238" i="26"/>
  <c r="B2239" i="26"/>
  <c r="B2240" i="26"/>
  <c r="B2241" i="26"/>
  <c r="B2242" i="26"/>
  <c r="B2243" i="26"/>
  <c r="B2244" i="26"/>
  <c r="B2245" i="26"/>
  <c r="B2246" i="26"/>
  <c r="B2247" i="26"/>
  <c r="B2248" i="26"/>
  <c r="B2249" i="26"/>
  <c r="B2250" i="26"/>
  <c r="B2251" i="26"/>
  <c r="B2252" i="26"/>
  <c r="B2253" i="26"/>
  <c r="B2254" i="26"/>
  <c r="B2255" i="26"/>
  <c r="B2256" i="26"/>
  <c r="B2257" i="26"/>
  <c r="B2258" i="26"/>
  <c r="B2259" i="26"/>
  <c r="B2260" i="26"/>
  <c r="B2261" i="26"/>
  <c r="B2262" i="26"/>
  <c r="B2263" i="26"/>
  <c r="B2264" i="26"/>
  <c r="B2265" i="26"/>
  <c r="B2266" i="26"/>
  <c r="B2267" i="26"/>
  <c r="B2268" i="26"/>
  <c r="B2269" i="26"/>
  <c r="B2270" i="26"/>
  <c r="B2271" i="26"/>
  <c r="B2272" i="26"/>
  <c r="B2273" i="26"/>
  <c r="B2274" i="26"/>
  <c r="B2275" i="26"/>
  <c r="B2276" i="26"/>
  <c r="B2277" i="26"/>
  <c r="B2278" i="26"/>
  <c r="B2279" i="26"/>
  <c r="B2280" i="26"/>
  <c r="B2281" i="26"/>
  <c r="B2282" i="26"/>
  <c r="B2283" i="26"/>
  <c r="B2284" i="26"/>
  <c r="B2285" i="26"/>
  <c r="B2286" i="26"/>
  <c r="B2287" i="26"/>
  <c r="B2288" i="26"/>
  <c r="B2289" i="26"/>
  <c r="B2290" i="26"/>
  <c r="B2291" i="26"/>
  <c r="B2292" i="26"/>
  <c r="B2293" i="26"/>
  <c r="B2294" i="26"/>
  <c r="B2295" i="26"/>
  <c r="B2296" i="26"/>
  <c r="B2297" i="26"/>
  <c r="B2298" i="26"/>
  <c r="B2299" i="26"/>
  <c r="B2300" i="26"/>
  <c r="B2301" i="26"/>
  <c r="B2302" i="26"/>
  <c r="B2303" i="26"/>
  <c r="B2304" i="26"/>
  <c r="B2305" i="26"/>
  <c r="B2306" i="26"/>
  <c r="B2307" i="26"/>
  <c r="B2308" i="26"/>
  <c r="B2309" i="26"/>
  <c r="B2310" i="26"/>
  <c r="B2311" i="26"/>
  <c r="B2312" i="26"/>
  <c r="B2313" i="26"/>
  <c r="B2314" i="26"/>
  <c r="B2315" i="26"/>
  <c r="B2316" i="26"/>
  <c r="B2317" i="26"/>
  <c r="B2318" i="26"/>
  <c r="B2319" i="26"/>
  <c r="B2320" i="26"/>
  <c r="B2321" i="26"/>
  <c r="B2322" i="26"/>
  <c r="B2323" i="26"/>
  <c r="B2324" i="26"/>
  <c r="B2325" i="26"/>
  <c r="B2326" i="26"/>
  <c r="B2327" i="26"/>
  <c r="B2328" i="26"/>
  <c r="B2329" i="26"/>
  <c r="B2330" i="26"/>
  <c r="B2331" i="26"/>
  <c r="B2332" i="26"/>
  <c r="B2333" i="26"/>
  <c r="B2334" i="26"/>
  <c r="B2335" i="26"/>
  <c r="B2336" i="26"/>
  <c r="B2337" i="26"/>
  <c r="B2338" i="26"/>
  <c r="B2339" i="26"/>
  <c r="B2340" i="26"/>
  <c r="B2341" i="26"/>
  <c r="B2342" i="26"/>
  <c r="B2343" i="26"/>
  <c r="B2344" i="26"/>
  <c r="B2345" i="26"/>
  <c r="B2346" i="26"/>
  <c r="B2347" i="26"/>
  <c r="B2348" i="26"/>
  <c r="B2349" i="26"/>
  <c r="B2350" i="26"/>
  <c r="B2351" i="26"/>
  <c r="B2352" i="26"/>
  <c r="B2353" i="26"/>
  <c r="B2354" i="26"/>
  <c r="B2355" i="26"/>
  <c r="B2356" i="26"/>
  <c r="B2357" i="26"/>
  <c r="B2358" i="26"/>
  <c r="B2359" i="26"/>
  <c r="B2360" i="26"/>
  <c r="B2361" i="26"/>
  <c r="B2362" i="26"/>
  <c r="B2363" i="26"/>
  <c r="B2364" i="26"/>
  <c r="B2365" i="26"/>
  <c r="B2366" i="26"/>
  <c r="B2367" i="26"/>
  <c r="B2368" i="26"/>
  <c r="B2369" i="26"/>
  <c r="B2370" i="26"/>
  <c r="B2371" i="26"/>
  <c r="B2372" i="26"/>
  <c r="B2373" i="26"/>
  <c r="B2374" i="26"/>
  <c r="B2375" i="26"/>
  <c r="B2376" i="26"/>
  <c r="B2377" i="26"/>
  <c r="B2378" i="26"/>
  <c r="B2379" i="26"/>
  <c r="B2380" i="26"/>
  <c r="B2381" i="26"/>
  <c r="B2382" i="26"/>
  <c r="B2383" i="26"/>
  <c r="B2384" i="26"/>
  <c r="B2385" i="26"/>
  <c r="B2386" i="26"/>
  <c r="B2387" i="26"/>
  <c r="B2388" i="26"/>
  <c r="B2389" i="26"/>
  <c r="B2390" i="26"/>
  <c r="B2391" i="26"/>
  <c r="B2392" i="26"/>
  <c r="B2393" i="26"/>
  <c r="B2394" i="26"/>
  <c r="B2395" i="26"/>
  <c r="B2396" i="26"/>
  <c r="B2397" i="26"/>
  <c r="B2398" i="26"/>
  <c r="B2399" i="26"/>
  <c r="B2400" i="26"/>
  <c r="B2401" i="26"/>
  <c r="B2402" i="26"/>
  <c r="B2403" i="26"/>
  <c r="B2404" i="26"/>
  <c r="B2405" i="26"/>
  <c r="B2406" i="26"/>
  <c r="B2407" i="26"/>
  <c r="B2408" i="26"/>
  <c r="B2409" i="26"/>
  <c r="B2410" i="26"/>
  <c r="B2411" i="26"/>
  <c r="B2412" i="26"/>
  <c r="B2413" i="26"/>
  <c r="B2414" i="26"/>
  <c r="B2415" i="26"/>
  <c r="B2416" i="26"/>
  <c r="B2417" i="26"/>
  <c r="B2418" i="26"/>
  <c r="B2419" i="26"/>
  <c r="B2420" i="26"/>
  <c r="B2421" i="26"/>
  <c r="B2422" i="26"/>
  <c r="B2423" i="26"/>
  <c r="B2424" i="26"/>
  <c r="B2425" i="26"/>
  <c r="B2426" i="26"/>
  <c r="B2427" i="26"/>
  <c r="B2428" i="26"/>
  <c r="B2429" i="26"/>
  <c r="B2430" i="26"/>
  <c r="B2431" i="26"/>
  <c r="B2432" i="26"/>
  <c r="B2433" i="26"/>
  <c r="B2434" i="26"/>
  <c r="B2435" i="26"/>
  <c r="B2436" i="26"/>
  <c r="B2437" i="26"/>
  <c r="B2438" i="26"/>
  <c r="B2439" i="26"/>
  <c r="B2440" i="26"/>
  <c r="B2441" i="26"/>
  <c r="B2442" i="26"/>
  <c r="B2443" i="26"/>
  <c r="B2444" i="26"/>
  <c r="B2445" i="26"/>
  <c r="B2446" i="26"/>
  <c r="B2447" i="26"/>
  <c r="B2448" i="26"/>
  <c r="B2449" i="26"/>
  <c r="B2450" i="26"/>
  <c r="B2451" i="26"/>
  <c r="B2452" i="26"/>
  <c r="B2453" i="26"/>
  <c r="B2454" i="26"/>
  <c r="B2455" i="26"/>
  <c r="B2456" i="26"/>
  <c r="B2457" i="26"/>
  <c r="B2458" i="26"/>
  <c r="B2459" i="26"/>
  <c r="B2460" i="26"/>
  <c r="B2461" i="26"/>
  <c r="B2462" i="26"/>
  <c r="B2463" i="26"/>
  <c r="B2464" i="26"/>
  <c r="B2465" i="26"/>
  <c r="B2466" i="26"/>
  <c r="B2467" i="26"/>
  <c r="B2468" i="26"/>
  <c r="B2469" i="26"/>
  <c r="B2470" i="26"/>
  <c r="B2471" i="26"/>
  <c r="B2472" i="26"/>
  <c r="B2473" i="26"/>
  <c r="B2474" i="26"/>
  <c r="B2475" i="26"/>
  <c r="B2476" i="26"/>
  <c r="B2477" i="26"/>
  <c r="B2478" i="26"/>
  <c r="B2479" i="26"/>
  <c r="B2480" i="26"/>
  <c r="B2481" i="26"/>
  <c r="B2482" i="26"/>
  <c r="B2483" i="26"/>
  <c r="B2484" i="26"/>
  <c r="B2485" i="26"/>
  <c r="B2486" i="26"/>
  <c r="B2487" i="26"/>
  <c r="B2488" i="26"/>
  <c r="B2489" i="26"/>
  <c r="B2490" i="26"/>
  <c r="B2491" i="26"/>
  <c r="B2492" i="26"/>
  <c r="B2493" i="26"/>
  <c r="B2494" i="26"/>
  <c r="B2495" i="26"/>
  <c r="B2496" i="26"/>
  <c r="B2497" i="26"/>
  <c r="B2498" i="26"/>
  <c r="B2499" i="26"/>
  <c r="B2500" i="26"/>
  <c r="B2501" i="26"/>
  <c r="B2502" i="26"/>
  <c r="B2503" i="26"/>
  <c r="B2504" i="26"/>
  <c r="B2505" i="26"/>
  <c r="B2506" i="26"/>
  <c r="B2507" i="26"/>
  <c r="B2508" i="26"/>
  <c r="B2509" i="26"/>
  <c r="B2510" i="26"/>
  <c r="B2511" i="26"/>
  <c r="B2512" i="26"/>
  <c r="B2513" i="26"/>
  <c r="B2514" i="26"/>
  <c r="B2515" i="26"/>
  <c r="B2516" i="26"/>
  <c r="B2517" i="26"/>
  <c r="B2518" i="26"/>
  <c r="B2519" i="26"/>
  <c r="B2520" i="26"/>
  <c r="B2521" i="26"/>
  <c r="B2522" i="26"/>
  <c r="B2523" i="26"/>
  <c r="B2524" i="26"/>
  <c r="B2525" i="26"/>
  <c r="B2526" i="26"/>
  <c r="B2527" i="26"/>
  <c r="B2528" i="26"/>
  <c r="B2529" i="26"/>
  <c r="B2530" i="26"/>
  <c r="B2531" i="26"/>
  <c r="B2532" i="26"/>
  <c r="B2533" i="26"/>
  <c r="B2534" i="26"/>
  <c r="B2535" i="26"/>
  <c r="B2536" i="26"/>
  <c r="B2537" i="26"/>
  <c r="B2538" i="26"/>
  <c r="B2539" i="26"/>
  <c r="B2540" i="26"/>
  <c r="B2541" i="26"/>
  <c r="B2542" i="26"/>
  <c r="B2543" i="26"/>
  <c r="B2544" i="26"/>
  <c r="B2545" i="26"/>
  <c r="B2546" i="26"/>
  <c r="B2547" i="26"/>
  <c r="B2548" i="26"/>
  <c r="B2549" i="26"/>
  <c r="B2550" i="26"/>
  <c r="B2551" i="26"/>
  <c r="B2552" i="26"/>
  <c r="B2553" i="26"/>
  <c r="B2554" i="26"/>
  <c r="B2555" i="26"/>
  <c r="B2556" i="26"/>
  <c r="B2557" i="26"/>
  <c r="B2558" i="26"/>
  <c r="B2559" i="26"/>
  <c r="B2560" i="26"/>
  <c r="B2561" i="26"/>
  <c r="B2562" i="26"/>
  <c r="B2563" i="26"/>
  <c r="B2564" i="26"/>
  <c r="B2565" i="26"/>
  <c r="B2566" i="26"/>
  <c r="B2567" i="26"/>
  <c r="B2568" i="26"/>
  <c r="B2569" i="26"/>
  <c r="B2570" i="26"/>
  <c r="B2571" i="26"/>
  <c r="B2572" i="26"/>
  <c r="B2573" i="26"/>
  <c r="B2574" i="26"/>
  <c r="B2575" i="26"/>
  <c r="B2576" i="26"/>
  <c r="B2577" i="26"/>
  <c r="B2578" i="26"/>
  <c r="B2579" i="26"/>
  <c r="B2580" i="26"/>
  <c r="B2581" i="26"/>
  <c r="B2582" i="26"/>
  <c r="B2583" i="26"/>
  <c r="B2584" i="26"/>
  <c r="B2585" i="26"/>
  <c r="B2586" i="26"/>
  <c r="B2587" i="26"/>
  <c r="B2588" i="26"/>
  <c r="B2589" i="26"/>
  <c r="B2590" i="26"/>
  <c r="B2591" i="26"/>
  <c r="B2592" i="26"/>
  <c r="B2593" i="26"/>
  <c r="B2594" i="26"/>
  <c r="B2595" i="26"/>
  <c r="B2596" i="26"/>
  <c r="B2597" i="26"/>
  <c r="B2598" i="26"/>
  <c r="B2599" i="26"/>
  <c r="B2600" i="26"/>
  <c r="B2601" i="26"/>
  <c r="B2602" i="26"/>
  <c r="B2603" i="26"/>
  <c r="B2604" i="26"/>
  <c r="B2605" i="26"/>
  <c r="B2606" i="26"/>
  <c r="B2607" i="26"/>
  <c r="B2608" i="26"/>
  <c r="B2609" i="26"/>
  <c r="B2610" i="26"/>
  <c r="B2611" i="26"/>
  <c r="B2612" i="26"/>
  <c r="B2613" i="26"/>
  <c r="B2614" i="26"/>
  <c r="B2615" i="26"/>
  <c r="B2616" i="26"/>
  <c r="B2617" i="26"/>
  <c r="B2618" i="26"/>
  <c r="B2619" i="26"/>
  <c r="B2620" i="26"/>
  <c r="B2621" i="26"/>
  <c r="B2622" i="26"/>
  <c r="B2623" i="26"/>
  <c r="B2624" i="26"/>
  <c r="B2625" i="26"/>
  <c r="B2626" i="26"/>
  <c r="B2627" i="26"/>
  <c r="B2628" i="26"/>
  <c r="B2629" i="26"/>
  <c r="B2630" i="26"/>
  <c r="B2631" i="26"/>
  <c r="B2632" i="26"/>
  <c r="B2633" i="26"/>
  <c r="B2634" i="26"/>
  <c r="B2635" i="26"/>
  <c r="B2636" i="26"/>
  <c r="B2637" i="26"/>
  <c r="B2638" i="26"/>
  <c r="B2639" i="26"/>
  <c r="B2640" i="26"/>
  <c r="B2641" i="26"/>
  <c r="B2642" i="26"/>
  <c r="B2643" i="26"/>
  <c r="B2644" i="26"/>
  <c r="B2645" i="26"/>
  <c r="B2646" i="26"/>
  <c r="B2647" i="26"/>
  <c r="B2648" i="26"/>
  <c r="B2649" i="26"/>
  <c r="B2650" i="26"/>
  <c r="B2651" i="26"/>
  <c r="B2652" i="26"/>
  <c r="B2653" i="26"/>
  <c r="B2654" i="26"/>
  <c r="B2655" i="26"/>
  <c r="B2656" i="26"/>
  <c r="B2657" i="26"/>
  <c r="B2658" i="26"/>
  <c r="B2659" i="26"/>
  <c r="B2660" i="26"/>
  <c r="B2661" i="26"/>
  <c r="B2662" i="26"/>
  <c r="B2663" i="26"/>
  <c r="B2664" i="26"/>
  <c r="B2665" i="26"/>
  <c r="B2666" i="26"/>
  <c r="B2667" i="26"/>
  <c r="B2668" i="26"/>
  <c r="B2669" i="26"/>
  <c r="B2670" i="26"/>
  <c r="B2671" i="26"/>
  <c r="B2672" i="26"/>
  <c r="B2673" i="26"/>
  <c r="B2674" i="26"/>
  <c r="B2675" i="26"/>
  <c r="B2676" i="26"/>
  <c r="B2677" i="26"/>
  <c r="B2678" i="26"/>
  <c r="B2679" i="26"/>
  <c r="B2680" i="26"/>
  <c r="B2681" i="26"/>
  <c r="B2682" i="26"/>
  <c r="B2683" i="26"/>
  <c r="B2684" i="26"/>
  <c r="B2685" i="26"/>
  <c r="B2686" i="26"/>
  <c r="B2687" i="26"/>
  <c r="B2688" i="26"/>
  <c r="B2689" i="26"/>
  <c r="B2690" i="26"/>
  <c r="B2691" i="26"/>
  <c r="B2692" i="26"/>
  <c r="B2693" i="26"/>
  <c r="B2694" i="26"/>
  <c r="B2695" i="26"/>
  <c r="B2696" i="26"/>
  <c r="B2697" i="26"/>
  <c r="B2698" i="26"/>
  <c r="B2699" i="26"/>
  <c r="B2700" i="26"/>
  <c r="B2701" i="26"/>
  <c r="B2702" i="26"/>
  <c r="B2703" i="26"/>
  <c r="B2704" i="26"/>
  <c r="B2705" i="26"/>
  <c r="B2706" i="26"/>
  <c r="B2707" i="26"/>
  <c r="B2708" i="26"/>
  <c r="B2709" i="26"/>
  <c r="B2710" i="26"/>
  <c r="B2711" i="26"/>
  <c r="B2712" i="26"/>
  <c r="B2713" i="26"/>
  <c r="B2714" i="26"/>
  <c r="B2715" i="26"/>
  <c r="B2716" i="26"/>
  <c r="B2717" i="26"/>
  <c r="B2718" i="26"/>
  <c r="B2719" i="26"/>
  <c r="B2720" i="26"/>
  <c r="B2721" i="26"/>
  <c r="B2722" i="26"/>
  <c r="B2723" i="26"/>
  <c r="B2724" i="26"/>
  <c r="B2725" i="26"/>
  <c r="B2726" i="26"/>
  <c r="B2727" i="26"/>
  <c r="B2728" i="26"/>
  <c r="B2729" i="26"/>
  <c r="B2730" i="26"/>
  <c r="B2731" i="26"/>
  <c r="B2732" i="26"/>
  <c r="B2733" i="26"/>
  <c r="B2734" i="26"/>
  <c r="B2735" i="26"/>
  <c r="B2736" i="26"/>
  <c r="B2737" i="26"/>
  <c r="B2738" i="26"/>
  <c r="B2739" i="26"/>
  <c r="B2740" i="26"/>
  <c r="B2741" i="26"/>
  <c r="B2742" i="26"/>
  <c r="B2743" i="26"/>
  <c r="B2744" i="26"/>
  <c r="B2745" i="26"/>
  <c r="B2746" i="26"/>
  <c r="B2747" i="26"/>
  <c r="B2748" i="26"/>
  <c r="B2749" i="26"/>
  <c r="B2750" i="26"/>
  <c r="B2751" i="26"/>
  <c r="B2752" i="26"/>
  <c r="B2753" i="26"/>
  <c r="B2754" i="26"/>
  <c r="B2755" i="26"/>
  <c r="B2756" i="26"/>
  <c r="B2757" i="26"/>
  <c r="B2758" i="26"/>
  <c r="B2759" i="26"/>
  <c r="B2760" i="26"/>
  <c r="B2761" i="26"/>
  <c r="B2762" i="26"/>
  <c r="B2763" i="26"/>
  <c r="B2764" i="26"/>
  <c r="B2765" i="26"/>
  <c r="B2766" i="26"/>
  <c r="B2767" i="26"/>
  <c r="B2768" i="26"/>
  <c r="B2769" i="26"/>
  <c r="B2770" i="26"/>
  <c r="B2771" i="26"/>
  <c r="B2772" i="26"/>
  <c r="B2773" i="26"/>
  <c r="B2774" i="26"/>
  <c r="B2775" i="26"/>
  <c r="B2776" i="26"/>
  <c r="B2777" i="26"/>
  <c r="B2778" i="26"/>
  <c r="B2779" i="26"/>
  <c r="B2780" i="26"/>
  <c r="B2781" i="26"/>
  <c r="B2782" i="26"/>
  <c r="B2783" i="26"/>
  <c r="B2784" i="26"/>
  <c r="B2785" i="26"/>
  <c r="B2786" i="26"/>
  <c r="B2787" i="26"/>
  <c r="B2788" i="26"/>
  <c r="B2789" i="26"/>
  <c r="B2790" i="26"/>
  <c r="B2791" i="26"/>
  <c r="B2792" i="26"/>
  <c r="B2793" i="26"/>
  <c r="B2794" i="26"/>
  <c r="B2795" i="26"/>
  <c r="B2796" i="26"/>
  <c r="B2797" i="26"/>
  <c r="B2798" i="26"/>
  <c r="B2799" i="26"/>
  <c r="B2800" i="26"/>
  <c r="B2801" i="26"/>
  <c r="B2802" i="26"/>
  <c r="B2803" i="26"/>
  <c r="B2804" i="26"/>
  <c r="B2805" i="26"/>
  <c r="B2806" i="26"/>
  <c r="B2807" i="26"/>
  <c r="B2808" i="26"/>
  <c r="B2809" i="26"/>
  <c r="B2810" i="26"/>
  <c r="B2811" i="26"/>
  <c r="B2812" i="26"/>
  <c r="B2813" i="26"/>
  <c r="B2814" i="26"/>
  <c r="B2815" i="26"/>
  <c r="B2816" i="26"/>
  <c r="B2817" i="26"/>
  <c r="B2818" i="26"/>
  <c r="B2819" i="26"/>
  <c r="B2820" i="26"/>
  <c r="B2821" i="26"/>
  <c r="B2822" i="26"/>
  <c r="B2823" i="26"/>
  <c r="B2824" i="26"/>
  <c r="B2825" i="26"/>
  <c r="B2826" i="26"/>
  <c r="B2827" i="26"/>
  <c r="B2828" i="26"/>
  <c r="B2829" i="26"/>
  <c r="B2830" i="26"/>
  <c r="B2831" i="26"/>
  <c r="B2832" i="26"/>
  <c r="B2833" i="26"/>
  <c r="B2834" i="26"/>
  <c r="B2835" i="26"/>
  <c r="B2836" i="26"/>
  <c r="B2837" i="26"/>
  <c r="B2838" i="26"/>
  <c r="B2839" i="26"/>
  <c r="B2840" i="26"/>
  <c r="B2841" i="26"/>
  <c r="B2842" i="26"/>
  <c r="B2843" i="26"/>
  <c r="B2844" i="26"/>
  <c r="B2845" i="26"/>
  <c r="B2846" i="26"/>
  <c r="B2847" i="26"/>
  <c r="B2848" i="26"/>
  <c r="B2849" i="26"/>
  <c r="B2850" i="26"/>
  <c r="B2851" i="26"/>
  <c r="B2852" i="26"/>
  <c r="B2853" i="26"/>
  <c r="B2854" i="26"/>
  <c r="B2855" i="26"/>
  <c r="B2856" i="26"/>
  <c r="B2857" i="26"/>
  <c r="B2858" i="26"/>
  <c r="B2859" i="26"/>
  <c r="B2860" i="26"/>
  <c r="B2861" i="26"/>
  <c r="B2862" i="26"/>
  <c r="B2863" i="26"/>
  <c r="B2864" i="26"/>
  <c r="B2865" i="26"/>
  <c r="B2866" i="26"/>
  <c r="B2867" i="26"/>
  <c r="B2868" i="26"/>
  <c r="B2869" i="26"/>
  <c r="B2870" i="26"/>
  <c r="B2871" i="26"/>
  <c r="B2872" i="26"/>
  <c r="B2873" i="26"/>
  <c r="B2874" i="26"/>
  <c r="B2875" i="26"/>
  <c r="B2876" i="26"/>
  <c r="B2877" i="26"/>
  <c r="B2878" i="26"/>
  <c r="B2879" i="26"/>
  <c r="B2880" i="26"/>
  <c r="B2881" i="26"/>
  <c r="B2882" i="26"/>
  <c r="B2883" i="26"/>
  <c r="B2884" i="26"/>
  <c r="B2885" i="26"/>
  <c r="B2886" i="26"/>
  <c r="B2887" i="26"/>
  <c r="B2888" i="26"/>
  <c r="B2889" i="26"/>
  <c r="B2890" i="26"/>
  <c r="B2891" i="26"/>
  <c r="B2892" i="26"/>
  <c r="B2893" i="26"/>
  <c r="B2894" i="26"/>
  <c r="B2895" i="26"/>
  <c r="B2896" i="26"/>
  <c r="B2897" i="26"/>
  <c r="B2898" i="26"/>
  <c r="B2899" i="26"/>
  <c r="B2900" i="26"/>
  <c r="B2901" i="26"/>
  <c r="B2902" i="26"/>
  <c r="B2903" i="26"/>
  <c r="B2904" i="26"/>
  <c r="B2905" i="26"/>
  <c r="B2906" i="26"/>
  <c r="B2907" i="26"/>
  <c r="B2908" i="26"/>
  <c r="B2909" i="26"/>
  <c r="B2910" i="26"/>
  <c r="B2911" i="26"/>
  <c r="B2912" i="26"/>
  <c r="B2913" i="26"/>
  <c r="B2914" i="26"/>
  <c r="B2915" i="26"/>
  <c r="B2916" i="26"/>
  <c r="B2917" i="26"/>
  <c r="B2918" i="26"/>
  <c r="B2919" i="26"/>
  <c r="B2920" i="26"/>
  <c r="B2921" i="26"/>
  <c r="B2922" i="26"/>
  <c r="B2923" i="26"/>
  <c r="B2924" i="26"/>
  <c r="B2925" i="26"/>
  <c r="B2926" i="26"/>
  <c r="B2927" i="26"/>
  <c r="B2928" i="26"/>
  <c r="B2929" i="26"/>
  <c r="B2930" i="26"/>
  <c r="B2931" i="26"/>
  <c r="B2932" i="26"/>
  <c r="B2933" i="26"/>
  <c r="B2934" i="26"/>
  <c r="B2935" i="26"/>
  <c r="B2936" i="26"/>
  <c r="B2937" i="26"/>
  <c r="B2938" i="26"/>
  <c r="B2939" i="26"/>
  <c r="B2940" i="26"/>
  <c r="B2941" i="26"/>
  <c r="B2942" i="26"/>
  <c r="B2943" i="26"/>
  <c r="B2944" i="26"/>
  <c r="B2945" i="26"/>
  <c r="B2946" i="26"/>
  <c r="B2947" i="26"/>
  <c r="B2948" i="26"/>
  <c r="B2949" i="26"/>
  <c r="B2950" i="26"/>
  <c r="B2951" i="26"/>
  <c r="B2952" i="26"/>
  <c r="B2953" i="26"/>
  <c r="B2954" i="26"/>
  <c r="B2955" i="26"/>
  <c r="B2956" i="26"/>
  <c r="B2957" i="26"/>
  <c r="B2958" i="26"/>
  <c r="B2959" i="26"/>
  <c r="B2960" i="26"/>
  <c r="B2961" i="26"/>
  <c r="B2962" i="26"/>
  <c r="B2963" i="26"/>
  <c r="B2964" i="26"/>
  <c r="B2965" i="26"/>
  <c r="B2966" i="26"/>
  <c r="B2967" i="26"/>
  <c r="B2968" i="26"/>
  <c r="B2969" i="26"/>
  <c r="B2970" i="26"/>
  <c r="B2971" i="26"/>
  <c r="B2972" i="26"/>
  <c r="B2973" i="26"/>
  <c r="B2974" i="26"/>
  <c r="B2975" i="26"/>
  <c r="B2976" i="26"/>
  <c r="B2977" i="26"/>
  <c r="B2978" i="26"/>
  <c r="B2979" i="26"/>
  <c r="B2980" i="26"/>
  <c r="B2981" i="26"/>
  <c r="B2982" i="26"/>
  <c r="B2983" i="26"/>
  <c r="B2984" i="26"/>
  <c r="B2985" i="26"/>
  <c r="B2986" i="26"/>
  <c r="B2987" i="26"/>
  <c r="B2988" i="26"/>
  <c r="B2989" i="26"/>
  <c r="B2990" i="26"/>
  <c r="B2991" i="26"/>
  <c r="B2992" i="26"/>
  <c r="B2993" i="26"/>
  <c r="B2994" i="26"/>
  <c r="B2995" i="26"/>
  <c r="B2996" i="26"/>
  <c r="B2997" i="26"/>
  <c r="B2998" i="26"/>
  <c r="B2999" i="26"/>
  <c r="B3000" i="26"/>
  <c r="B3001" i="26"/>
  <c r="B3002" i="26"/>
  <c r="B3003" i="26"/>
  <c r="B3004" i="26"/>
  <c r="B3005" i="26"/>
  <c r="B3006" i="26"/>
  <c r="B3007" i="26"/>
  <c r="B3008" i="26"/>
  <c r="B3009" i="26"/>
  <c r="B3010" i="26"/>
  <c r="B3011" i="26"/>
  <c r="B3012" i="26"/>
  <c r="B3013" i="26"/>
  <c r="B3014" i="26"/>
  <c r="B3015" i="26"/>
  <c r="B3016" i="26"/>
  <c r="B3017" i="26"/>
  <c r="B3018" i="26"/>
  <c r="B3019" i="26"/>
  <c r="B3020" i="26"/>
  <c r="B3021" i="26"/>
  <c r="B3022" i="26"/>
  <c r="B3023" i="26"/>
  <c r="B3024" i="26"/>
  <c r="B3025" i="26"/>
  <c r="B3026" i="26"/>
  <c r="B3027" i="26"/>
  <c r="B3028" i="26"/>
  <c r="B3029" i="26"/>
  <c r="B3030" i="26"/>
  <c r="B3031" i="26"/>
  <c r="B3032" i="26"/>
  <c r="B3033" i="26"/>
  <c r="B3034" i="26"/>
  <c r="B3035" i="26"/>
  <c r="B3036" i="26"/>
  <c r="B3037" i="26"/>
  <c r="B3038" i="26"/>
  <c r="B3039" i="26"/>
  <c r="B3040" i="26"/>
  <c r="B3041" i="26"/>
  <c r="B3042" i="26"/>
  <c r="B3043" i="26"/>
  <c r="B3044" i="26"/>
  <c r="B3045" i="26"/>
  <c r="B3046" i="26"/>
  <c r="B3047" i="26"/>
  <c r="B3048" i="26"/>
  <c r="B3049" i="26"/>
  <c r="B3050" i="26"/>
  <c r="B3051" i="26"/>
  <c r="B3052" i="26"/>
  <c r="B3053" i="26"/>
  <c r="B3054" i="26"/>
  <c r="B3055" i="26"/>
  <c r="B3056" i="26"/>
  <c r="B3057" i="26"/>
  <c r="B3058" i="26"/>
  <c r="B3059" i="26"/>
  <c r="B3060" i="26"/>
  <c r="B3061" i="26"/>
  <c r="B3062" i="26"/>
  <c r="B3063" i="26"/>
  <c r="B3064" i="26"/>
  <c r="B3065" i="26"/>
  <c r="B3066" i="26"/>
  <c r="B3067" i="26"/>
  <c r="B3068" i="26"/>
  <c r="B3069" i="26"/>
  <c r="B3070" i="26"/>
  <c r="B3071" i="26"/>
  <c r="B3072" i="26"/>
  <c r="B3073" i="26"/>
  <c r="B3074" i="26"/>
  <c r="B3075" i="26"/>
  <c r="B3076" i="26"/>
  <c r="B3077" i="26"/>
  <c r="B3078" i="26"/>
  <c r="B3079" i="26"/>
  <c r="B3080" i="26"/>
  <c r="B3081" i="26"/>
  <c r="B3082" i="26"/>
  <c r="B3083" i="26"/>
  <c r="B3084" i="26"/>
  <c r="B3085" i="26"/>
  <c r="B3086" i="26"/>
  <c r="B3087" i="26"/>
  <c r="B3088" i="26"/>
  <c r="B3089" i="26"/>
  <c r="B3090" i="26"/>
  <c r="B3091" i="26"/>
  <c r="B3092" i="26"/>
  <c r="B3093" i="26"/>
  <c r="B3094" i="26"/>
  <c r="B3095" i="26"/>
  <c r="B3096" i="26"/>
  <c r="B3097" i="26"/>
  <c r="B3098" i="26"/>
  <c r="B3099" i="26"/>
  <c r="B3100" i="26"/>
  <c r="B3101" i="26"/>
  <c r="B3102" i="26"/>
  <c r="B3103" i="26"/>
  <c r="B3104" i="26"/>
  <c r="B3105" i="26"/>
  <c r="B3106" i="26"/>
  <c r="B3107" i="26"/>
  <c r="B3108" i="26"/>
  <c r="B3109" i="26"/>
  <c r="B3110" i="26"/>
  <c r="B3111" i="26"/>
  <c r="B3112" i="26"/>
  <c r="B3113" i="26"/>
  <c r="B3114" i="26"/>
  <c r="B3115" i="26"/>
  <c r="B3116" i="26"/>
  <c r="B3117" i="26"/>
  <c r="B3118" i="26"/>
  <c r="B3119" i="26"/>
  <c r="B3120" i="26"/>
  <c r="B3121" i="26"/>
  <c r="B3122" i="26"/>
  <c r="B3123" i="26"/>
  <c r="B3124" i="26"/>
  <c r="B3125" i="26"/>
  <c r="B3126" i="26"/>
  <c r="B3127" i="26"/>
  <c r="B3128" i="26"/>
  <c r="B3129" i="26"/>
  <c r="B3130" i="26"/>
  <c r="B3131" i="26"/>
  <c r="B3132" i="26"/>
  <c r="B3133" i="26"/>
  <c r="B3134" i="26"/>
  <c r="B3135" i="26"/>
  <c r="B3136" i="26"/>
  <c r="B3137" i="26"/>
  <c r="B3138" i="26"/>
  <c r="B3139" i="26"/>
  <c r="B3140" i="26"/>
  <c r="B3141" i="26"/>
  <c r="B3142" i="26"/>
  <c r="B3143" i="26"/>
  <c r="B3144" i="26"/>
  <c r="B3145" i="26"/>
  <c r="B3146" i="26"/>
  <c r="B3147" i="26"/>
  <c r="B3148" i="26"/>
  <c r="B3149" i="26"/>
  <c r="B3150" i="26"/>
  <c r="B3151" i="26"/>
  <c r="B3152" i="26"/>
  <c r="B3153" i="26"/>
  <c r="B3154" i="26"/>
  <c r="B3155" i="26"/>
  <c r="B3156" i="26"/>
  <c r="B3157" i="26"/>
  <c r="B3158" i="26"/>
  <c r="B3159" i="26"/>
  <c r="B3160" i="26"/>
  <c r="B3161" i="26"/>
  <c r="B3162" i="26"/>
  <c r="B3163" i="26"/>
  <c r="B3164" i="26"/>
  <c r="B3165" i="26"/>
  <c r="B3166" i="26"/>
  <c r="B3167" i="26"/>
  <c r="B3168" i="26"/>
  <c r="B3169" i="26"/>
  <c r="B3170" i="26"/>
  <c r="B3171" i="26"/>
  <c r="B3172" i="26"/>
  <c r="B3173" i="26"/>
  <c r="B3174" i="26"/>
  <c r="B3175" i="26"/>
  <c r="B3176" i="26"/>
  <c r="B3177" i="26"/>
  <c r="B3178" i="26"/>
  <c r="B3179" i="26"/>
  <c r="B3180" i="26"/>
  <c r="B3181" i="26"/>
  <c r="B3182" i="26"/>
  <c r="B3183" i="26"/>
  <c r="B3184" i="26"/>
  <c r="B3185" i="26"/>
  <c r="B3186" i="26"/>
  <c r="B3187" i="26"/>
  <c r="B3188" i="26"/>
  <c r="B3189" i="26"/>
  <c r="B3190" i="26"/>
  <c r="B3191" i="26"/>
  <c r="B3192" i="26"/>
  <c r="B3193" i="26"/>
  <c r="B3194" i="26"/>
  <c r="B3195" i="26"/>
  <c r="B3196" i="26"/>
  <c r="B3197" i="26"/>
  <c r="B3198" i="26"/>
  <c r="B3199" i="26"/>
  <c r="B3200" i="26"/>
  <c r="B3201" i="26"/>
  <c r="B3202" i="26"/>
  <c r="B3203" i="26"/>
  <c r="B3204" i="26"/>
  <c r="B3205" i="26"/>
  <c r="B3206" i="26"/>
  <c r="B3207" i="26"/>
  <c r="B3208" i="26"/>
  <c r="B3209" i="26"/>
  <c r="B3210" i="26"/>
  <c r="B3211" i="26"/>
  <c r="B3212" i="26"/>
  <c r="B3213" i="26"/>
  <c r="B3214" i="26"/>
  <c r="B3215" i="26"/>
  <c r="B3216" i="26"/>
  <c r="B3217" i="26"/>
  <c r="B3218" i="26"/>
  <c r="B3219" i="26"/>
  <c r="B3220" i="26"/>
  <c r="B3221" i="26"/>
  <c r="B3222" i="26"/>
  <c r="B3223" i="26"/>
  <c r="B3224" i="26"/>
  <c r="B3225" i="26"/>
  <c r="B3226" i="26"/>
  <c r="B3227" i="26"/>
  <c r="B3228" i="26"/>
  <c r="B3229" i="26"/>
  <c r="B3230" i="26"/>
  <c r="B3231" i="26"/>
  <c r="B3232" i="26"/>
  <c r="B3233" i="26"/>
  <c r="B3234" i="26"/>
  <c r="B3235" i="26"/>
  <c r="B3236" i="26"/>
  <c r="B3237" i="26"/>
  <c r="B3238" i="26"/>
  <c r="B3239" i="26"/>
  <c r="B3240" i="26"/>
  <c r="B3241" i="26"/>
  <c r="B3242" i="26"/>
  <c r="B3243" i="26"/>
  <c r="B3244" i="26"/>
  <c r="B3245" i="26"/>
  <c r="B3246" i="26"/>
  <c r="B3247" i="26"/>
  <c r="B3248" i="26"/>
  <c r="B3249" i="26"/>
  <c r="B3250" i="26"/>
  <c r="B3251" i="26"/>
  <c r="B3252" i="26"/>
  <c r="B3253" i="26"/>
  <c r="B3254" i="26"/>
  <c r="B3255" i="26"/>
  <c r="B3256" i="26"/>
  <c r="B3257" i="26"/>
  <c r="B3258" i="26"/>
  <c r="B3259" i="26"/>
  <c r="B3260" i="26"/>
  <c r="B3261" i="26"/>
  <c r="B3262" i="26"/>
  <c r="B3263" i="26"/>
  <c r="B3264" i="26"/>
  <c r="B3265" i="26"/>
  <c r="B3266" i="26"/>
  <c r="B3267" i="26"/>
  <c r="B3268" i="26"/>
  <c r="B3269" i="26"/>
  <c r="B3270" i="26"/>
  <c r="B3271" i="26"/>
  <c r="B3272" i="26"/>
  <c r="B3273" i="26"/>
  <c r="B3274" i="26"/>
  <c r="B3275" i="26"/>
  <c r="B3276" i="26"/>
  <c r="B3277" i="26"/>
  <c r="B3278" i="26"/>
  <c r="B3279" i="26"/>
  <c r="B3280" i="26"/>
  <c r="B3281" i="26"/>
  <c r="B3282" i="26"/>
  <c r="B3283" i="26"/>
  <c r="B3284" i="26"/>
  <c r="B3285" i="26"/>
  <c r="B3286" i="26"/>
  <c r="B3287" i="26"/>
  <c r="B3288" i="26"/>
  <c r="B3289" i="26"/>
  <c r="B3290" i="26"/>
  <c r="B3291" i="26"/>
  <c r="B3292" i="26"/>
  <c r="B3293" i="26"/>
  <c r="B3294" i="26"/>
  <c r="B3295" i="26"/>
  <c r="B3296" i="26"/>
  <c r="B3297" i="26"/>
  <c r="B3298" i="26"/>
  <c r="B3299" i="26"/>
  <c r="B3300" i="26"/>
  <c r="B3301" i="26"/>
  <c r="B3302" i="26"/>
  <c r="B3303" i="26"/>
  <c r="B3304" i="26"/>
  <c r="B3305" i="26"/>
  <c r="B3306" i="26"/>
  <c r="B3307" i="26"/>
  <c r="B3308" i="26"/>
  <c r="B3309" i="26"/>
  <c r="B3310" i="26"/>
  <c r="B3311" i="26"/>
  <c r="B3312" i="26"/>
  <c r="B3313" i="26"/>
  <c r="B3314" i="26"/>
  <c r="B3315" i="26"/>
  <c r="B3316" i="26"/>
  <c r="B3317" i="26"/>
  <c r="B3318" i="26"/>
  <c r="B3319" i="26"/>
  <c r="B3320" i="26"/>
  <c r="B3321" i="26"/>
  <c r="B3322" i="26"/>
  <c r="B3323" i="26"/>
  <c r="B3324" i="26"/>
  <c r="B3325" i="26"/>
  <c r="B3326" i="26"/>
  <c r="B3327" i="26"/>
  <c r="B3328" i="26"/>
  <c r="B3329" i="26"/>
  <c r="B3330" i="26"/>
  <c r="B3331" i="26"/>
  <c r="B3332" i="26"/>
  <c r="B3333" i="26"/>
  <c r="B3334" i="26"/>
  <c r="B3335" i="26"/>
  <c r="B3336" i="26"/>
  <c r="B3337" i="26"/>
  <c r="B3338" i="26"/>
  <c r="B3339" i="26"/>
  <c r="B3340" i="26"/>
  <c r="B3341" i="26"/>
  <c r="B3342" i="26"/>
  <c r="B3343" i="26"/>
  <c r="B3344" i="26"/>
  <c r="B3345" i="26"/>
  <c r="B3346" i="26"/>
  <c r="B3347" i="26"/>
  <c r="B3348" i="26"/>
  <c r="B3349" i="26"/>
  <c r="B3350" i="26"/>
  <c r="B3351" i="26"/>
  <c r="B3352" i="26"/>
  <c r="B3353" i="26"/>
  <c r="B3354" i="26"/>
  <c r="B3355" i="26"/>
  <c r="B3356" i="26"/>
  <c r="B3357" i="26"/>
  <c r="B3358" i="26"/>
  <c r="B3359" i="26"/>
  <c r="B3360" i="26"/>
  <c r="B3361" i="26"/>
  <c r="B3362" i="26"/>
  <c r="B3363" i="26"/>
  <c r="B3364" i="26"/>
  <c r="B3365" i="26"/>
  <c r="B3366" i="26"/>
  <c r="B3367" i="26"/>
  <c r="B3368" i="26"/>
  <c r="B3369" i="26"/>
  <c r="B3370" i="26"/>
  <c r="B3371" i="26"/>
  <c r="B3372" i="26"/>
  <c r="B3373" i="26"/>
  <c r="B3374" i="26"/>
  <c r="B3375" i="26"/>
  <c r="B3376" i="26"/>
  <c r="B3377" i="26"/>
  <c r="B3378" i="26"/>
  <c r="B3379" i="26"/>
  <c r="B3380" i="26"/>
  <c r="B3381" i="26"/>
  <c r="B3382" i="26"/>
  <c r="B3383" i="26"/>
  <c r="B3384" i="26"/>
  <c r="B3385" i="26"/>
  <c r="B3386" i="26"/>
  <c r="B3387" i="26"/>
  <c r="B3388" i="26"/>
  <c r="B3389" i="26"/>
  <c r="B3390" i="26"/>
  <c r="B3391" i="26"/>
  <c r="B3392" i="26"/>
  <c r="B3393" i="26"/>
  <c r="B3394" i="26"/>
  <c r="B3395" i="26"/>
  <c r="B3396" i="26"/>
  <c r="B3397" i="26"/>
  <c r="B3398" i="26"/>
  <c r="B3399" i="26"/>
  <c r="B3400" i="26"/>
  <c r="B3401" i="26"/>
  <c r="B3402" i="26"/>
  <c r="B3403" i="26"/>
  <c r="B3404" i="26"/>
  <c r="B3405" i="26"/>
  <c r="B3406" i="26"/>
  <c r="B3407" i="26"/>
  <c r="B3408" i="26"/>
  <c r="B3409" i="26"/>
  <c r="B3410" i="26"/>
  <c r="B3411" i="26"/>
  <c r="B3412" i="26"/>
  <c r="B3413" i="26"/>
  <c r="B3414" i="26"/>
  <c r="B3415" i="26"/>
  <c r="B3416" i="26"/>
  <c r="B3417" i="26"/>
  <c r="B3418" i="26"/>
  <c r="B3419" i="26"/>
  <c r="B3420" i="26"/>
  <c r="B3421" i="26"/>
  <c r="B3422" i="26"/>
  <c r="B3423" i="26"/>
  <c r="B3424" i="26"/>
  <c r="B3425" i="26"/>
  <c r="B3426" i="26"/>
  <c r="B3427" i="26"/>
  <c r="B3428" i="26"/>
  <c r="B3429" i="26"/>
  <c r="B3430" i="26"/>
  <c r="B3431" i="26"/>
  <c r="B3432" i="26"/>
  <c r="B3433" i="26"/>
  <c r="B3434" i="26"/>
  <c r="B3435" i="26"/>
  <c r="B3436" i="26"/>
  <c r="B3437" i="26"/>
  <c r="B3438" i="26"/>
  <c r="B3439" i="26"/>
  <c r="B3440" i="26"/>
  <c r="B3441" i="26"/>
  <c r="B3442" i="26"/>
  <c r="B3443" i="26"/>
  <c r="B3444" i="26"/>
  <c r="B3445" i="26"/>
  <c r="B3446" i="26"/>
  <c r="B3447" i="26"/>
  <c r="B3448" i="26"/>
  <c r="B3449" i="26"/>
  <c r="B3450" i="26"/>
  <c r="B3451" i="26"/>
  <c r="B3452" i="26"/>
  <c r="B3453" i="26"/>
  <c r="B3454" i="26"/>
  <c r="B3455" i="26"/>
  <c r="B3456" i="26"/>
  <c r="B3457" i="26"/>
  <c r="B3458" i="26"/>
  <c r="B3459" i="26"/>
  <c r="B3460" i="26"/>
  <c r="B3461" i="26"/>
  <c r="B3462" i="26"/>
  <c r="B3463" i="26"/>
  <c r="B3464" i="26"/>
  <c r="B3465" i="26"/>
  <c r="B3466" i="26"/>
  <c r="B3467" i="26"/>
  <c r="B3468" i="26"/>
  <c r="B3469" i="26"/>
  <c r="B3470" i="26"/>
  <c r="B3471" i="26"/>
  <c r="B3472" i="26"/>
  <c r="B3473" i="26"/>
  <c r="B3474" i="26"/>
  <c r="B3475" i="26"/>
  <c r="B3476" i="26"/>
  <c r="B3477" i="26"/>
  <c r="B3478" i="26"/>
  <c r="B3479" i="26"/>
  <c r="B3480" i="26"/>
  <c r="B3481" i="26"/>
  <c r="B3482" i="26"/>
  <c r="B3483" i="26"/>
  <c r="B3484" i="26"/>
  <c r="B3485" i="26"/>
  <c r="B3486" i="26"/>
  <c r="B3487" i="26"/>
  <c r="B3488" i="26"/>
  <c r="B3489" i="26"/>
  <c r="B3490" i="26"/>
  <c r="B3491" i="26"/>
  <c r="B3492" i="26"/>
  <c r="B3493" i="26"/>
  <c r="B3494" i="26"/>
  <c r="B3495" i="26"/>
  <c r="B3496" i="26"/>
  <c r="B3497" i="26"/>
  <c r="B3498" i="26"/>
  <c r="B3499" i="26"/>
  <c r="B3500" i="26"/>
  <c r="B3501" i="26"/>
  <c r="B3502" i="26"/>
  <c r="B3503" i="26"/>
  <c r="B3504" i="26"/>
  <c r="B3505" i="26"/>
  <c r="B3506" i="26"/>
  <c r="B3507" i="26"/>
  <c r="B3508" i="26"/>
  <c r="B3509" i="26"/>
  <c r="B3510" i="26"/>
  <c r="B3511" i="26"/>
  <c r="B3512" i="26"/>
  <c r="B3513" i="26"/>
  <c r="B3514" i="26"/>
  <c r="B3515" i="26"/>
  <c r="B3516" i="26"/>
  <c r="B3517" i="26"/>
  <c r="B3518" i="26"/>
  <c r="B3519" i="26"/>
  <c r="B3520" i="26"/>
  <c r="B3521" i="26"/>
  <c r="B3522" i="26"/>
  <c r="B3523" i="26"/>
  <c r="B3524" i="26"/>
  <c r="B3525" i="26"/>
  <c r="B3526" i="26"/>
  <c r="B3527" i="26"/>
  <c r="B3528" i="26"/>
  <c r="B3529" i="26"/>
  <c r="B3530" i="26"/>
  <c r="B3531" i="26"/>
  <c r="B3532" i="26"/>
  <c r="B3533" i="26"/>
  <c r="B3534" i="26"/>
  <c r="B3535" i="26"/>
  <c r="B3536" i="26"/>
  <c r="B3537" i="26"/>
  <c r="B3538" i="26"/>
  <c r="B3539" i="26"/>
  <c r="B3540" i="26"/>
  <c r="B3541" i="26"/>
  <c r="B3542" i="26"/>
  <c r="B3543" i="26"/>
  <c r="B3544" i="26"/>
  <c r="B3545" i="26"/>
  <c r="B3546" i="26"/>
  <c r="B3547" i="26"/>
  <c r="B3548" i="26"/>
  <c r="B3549" i="26"/>
  <c r="B3550" i="26"/>
  <c r="B3551" i="26"/>
  <c r="B3552" i="26"/>
  <c r="B3553" i="26"/>
  <c r="B3554" i="26"/>
  <c r="B3555" i="26"/>
  <c r="B3556" i="26"/>
  <c r="B3557" i="26"/>
  <c r="B3558" i="26"/>
  <c r="B3559" i="26"/>
  <c r="B3560" i="26"/>
  <c r="B3561" i="26"/>
  <c r="B3562" i="26"/>
  <c r="B3563" i="26"/>
  <c r="B3564" i="26"/>
  <c r="B3565" i="26"/>
  <c r="B3566" i="26"/>
  <c r="B3567" i="26"/>
  <c r="B3568" i="26"/>
  <c r="B3569" i="26"/>
  <c r="B3570" i="26"/>
  <c r="B3571" i="26"/>
  <c r="B3572" i="26"/>
  <c r="B3573" i="26"/>
  <c r="B3574" i="26"/>
  <c r="B3575" i="26"/>
  <c r="B3576" i="26"/>
  <c r="B3577" i="26"/>
  <c r="B3578" i="26"/>
  <c r="B3579" i="26"/>
  <c r="B3580" i="26"/>
  <c r="B3581" i="26"/>
  <c r="B3582" i="26"/>
  <c r="B3583" i="26"/>
  <c r="B3584" i="26"/>
  <c r="B3585" i="26"/>
  <c r="B3586" i="26"/>
  <c r="B3587" i="26"/>
  <c r="B3588" i="26"/>
  <c r="B3589" i="26"/>
  <c r="B3590" i="26"/>
  <c r="B3591" i="26"/>
  <c r="B3592" i="26"/>
  <c r="B3593" i="26"/>
  <c r="B3594" i="26"/>
  <c r="B3595" i="26"/>
  <c r="B3596" i="26"/>
  <c r="B3597" i="26"/>
  <c r="B3598" i="26"/>
  <c r="B3599" i="26"/>
  <c r="B3600" i="26"/>
  <c r="B3601" i="26"/>
  <c r="B3602" i="26"/>
  <c r="B3603" i="26"/>
  <c r="B3604" i="26"/>
  <c r="B3605" i="26"/>
  <c r="B3606" i="26"/>
  <c r="B3607" i="26"/>
  <c r="B3608" i="26"/>
  <c r="B3609" i="26"/>
  <c r="B3610" i="26"/>
  <c r="B3611" i="26"/>
  <c r="B3612" i="26"/>
  <c r="B3613" i="26"/>
  <c r="B3614" i="26"/>
  <c r="B3615" i="26"/>
  <c r="B3616" i="26"/>
  <c r="B3617" i="26"/>
  <c r="B3618" i="26"/>
  <c r="B3619" i="26"/>
  <c r="B3620" i="26"/>
  <c r="B3621" i="26"/>
  <c r="B3622" i="26"/>
  <c r="B3623" i="26"/>
  <c r="B3624" i="26"/>
  <c r="B3625" i="26"/>
  <c r="B3626" i="26"/>
  <c r="B3627" i="26"/>
  <c r="B3628" i="26"/>
  <c r="B3629" i="26"/>
  <c r="B3630" i="26"/>
  <c r="B3631" i="26"/>
  <c r="B3632" i="26"/>
  <c r="B3633" i="26"/>
  <c r="B3634" i="26"/>
  <c r="B3635" i="26"/>
  <c r="B3636" i="26"/>
  <c r="B3637" i="26"/>
  <c r="B3638" i="26"/>
  <c r="B3639" i="26"/>
  <c r="B3640" i="26"/>
  <c r="B3641" i="26"/>
  <c r="B3642" i="26"/>
  <c r="B3643" i="26"/>
  <c r="B3644" i="26"/>
  <c r="B3645" i="26"/>
  <c r="B3646" i="26"/>
  <c r="B3647" i="26"/>
  <c r="B3648" i="26"/>
  <c r="B3649" i="26"/>
  <c r="B3650" i="26"/>
  <c r="B3651" i="26"/>
  <c r="B3652" i="26"/>
  <c r="B3653" i="26"/>
  <c r="B3654" i="26"/>
  <c r="B3655" i="26"/>
  <c r="B3656" i="26"/>
  <c r="B3657" i="26"/>
  <c r="B3658" i="26"/>
  <c r="B3659" i="26"/>
  <c r="B3660" i="26"/>
  <c r="B3661" i="26"/>
  <c r="B3662" i="26"/>
  <c r="B3663" i="26"/>
  <c r="B3664" i="26"/>
  <c r="B3665" i="26"/>
  <c r="B3666" i="26"/>
  <c r="B3667" i="26"/>
  <c r="B3668" i="26"/>
  <c r="B3669" i="26"/>
  <c r="B3670" i="26"/>
  <c r="B3671" i="26"/>
  <c r="B3672" i="26"/>
  <c r="B3673" i="26"/>
  <c r="B3674" i="26"/>
  <c r="B3675" i="26"/>
  <c r="B3676" i="26"/>
  <c r="B3677" i="26"/>
  <c r="B3678" i="26"/>
  <c r="B3679" i="26"/>
  <c r="B3680" i="26"/>
  <c r="B3681" i="26"/>
  <c r="B3682" i="26"/>
  <c r="B3683" i="26"/>
  <c r="B3684" i="26"/>
  <c r="B3685" i="26"/>
  <c r="B3686" i="26"/>
  <c r="B3687" i="26"/>
  <c r="B3688" i="26"/>
  <c r="B3689" i="26"/>
  <c r="B3690" i="26"/>
  <c r="B3691" i="26"/>
  <c r="B3692" i="26"/>
  <c r="B3693" i="26"/>
  <c r="B3694" i="26"/>
  <c r="B3695" i="26"/>
  <c r="B3696" i="26"/>
  <c r="B3697" i="26"/>
  <c r="B3698" i="26"/>
  <c r="B3699" i="26"/>
  <c r="B3700" i="26"/>
  <c r="B3701" i="26"/>
  <c r="B3702" i="26"/>
  <c r="B3703" i="26"/>
  <c r="B3704" i="26"/>
  <c r="B3705" i="26"/>
  <c r="B3706" i="26"/>
  <c r="B3707" i="26"/>
  <c r="B3708" i="26"/>
  <c r="B3709" i="26"/>
  <c r="B3710" i="26"/>
  <c r="B3711" i="26"/>
  <c r="B3712" i="26"/>
  <c r="B3713" i="26"/>
  <c r="B3714" i="26"/>
  <c r="B3715" i="26"/>
  <c r="B3716" i="26"/>
  <c r="B3717" i="26"/>
  <c r="B3718" i="26"/>
  <c r="B3719" i="26"/>
  <c r="B3720" i="26"/>
  <c r="B3721" i="26"/>
  <c r="B3722" i="26"/>
  <c r="B3723" i="26"/>
  <c r="B3724" i="26"/>
  <c r="B3725" i="26"/>
  <c r="B3726" i="26"/>
  <c r="B3727" i="26"/>
  <c r="B3728" i="26"/>
  <c r="B3729" i="26"/>
  <c r="B3730" i="26"/>
  <c r="B3731" i="26"/>
  <c r="B3732" i="26"/>
  <c r="B3733" i="26"/>
  <c r="B3734" i="26"/>
  <c r="B3735" i="26"/>
  <c r="B3736" i="26"/>
  <c r="B3737" i="26"/>
  <c r="B3738" i="26"/>
  <c r="B3739" i="26"/>
  <c r="B3740" i="26"/>
  <c r="B3741" i="26"/>
  <c r="B3742" i="26"/>
  <c r="B3743" i="26"/>
  <c r="B3744" i="26"/>
  <c r="B3745" i="26"/>
  <c r="B3746" i="26"/>
  <c r="B3747" i="26"/>
  <c r="B3748" i="26"/>
  <c r="B3749" i="26"/>
  <c r="B3750" i="26"/>
  <c r="B3751" i="26"/>
  <c r="B3752" i="26"/>
  <c r="B3753" i="26"/>
  <c r="B3754" i="26"/>
  <c r="B3755" i="26"/>
  <c r="B3756" i="26"/>
  <c r="B3757" i="26"/>
  <c r="B3758" i="26"/>
  <c r="B3759" i="26"/>
  <c r="B3760" i="26"/>
  <c r="B3761" i="26"/>
  <c r="B3762" i="26"/>
  <c r="B3763" i="26"/>
  <c r="B3764" i="26"/>
  <c r="B3765" i="26"/>
  <c r="B3766" i="26"/>
  <c r="B3767" i="26"/>
  <c r="B3768" i="26"/>
  <c r="B3769" i="26"/>
  <c r="B3770" i="26"/>
  <c r="B3771" i="26"/>
  <c r="B3772" i="26"/>
  <c r="B3773" i="26"/>
  <c r="B3774" i="26"/>
  <c r="B3775" i="26"/>
  <c r="B3776" i="26"/>
  <c r="B3777" i="26"/>
  <c r="B3778" i="26"/>
  <c r="B3779" i="26"/>
  <c r="B3780" i="26"/>
  <c r="B3781" i="26"/>
  <c r="B3782" i="26"/>
  <c r="B3783" i="26"/>
  <c r="B3784" i="26"/>
  <c r="B3785" i="26"/>
  <c r="B3786" i="26"/>
  <c r="B3787" i="26"/>
  <c r="B3788" i="26"/>
  <c r="B3789" i="26"/>
  <c r="B3790" i="26"/>
  <c r="B3791" i="26"/>
  <c r="B3792" i="26"/>
  <c r="B3793" i="26"/>
  <c r="B3794" i="26"/>
  <c r="B3795" i="26"/>
  <c r="B3796" i="26"/>
  <c r="B3797" i="26"/>
  <c r="B3798" i="26"/>
  <c r="B3799" i="26"/>
  <c r="B3800" i="26"/>
  <c r="B3801" i="26"/>
  <c r="B3802" i="26"/>
  <c r="B3803" i="26"/>
  <c r="B3804" i="26"/>
  <c r="B3805" i="26"/>
  <c r="B3806" i="26"/>
  <c r="B3807" i="26"/>
  <c r="B3808" i="26"/>
  <c r="B3809" i="26"/>
  <c r="B3810" i="26"/>
  <c r="B3811" i="26"/>
  <c r="B3812" i="26"/>
  <c r="B3813" i="26"/>
  <c r="B3814" i="26"/>
  <c r="B3815" i="26"/>
  <c r="B3816" i="26"/>
  <c r="B3817" i="26"/>
  <c r="B3818" i="26"/>
  <c r="B3819" i="26"/>
  <c r="B3820" i="26"/>
  <c r="B3821" i="26"/>
  <c r="B3822" i="26"/>
  <c r="B3823" i="26"/>
  <c r="B3824" i="26"/>
  <c r="B3825" i="26"/>
  <c r="B3826" i="26"/>
  <c r="B3827" i="26"/>
  <c r="B3828" i="26"/>
  <c r="B3829" i="26"/>
  <c r="B3830" i="26"/>
  <c r="B3831" i="26"/>
  <c r="B3832" i="26"/>
  <c r="B3833" i="26"/>
  <c r="B3834" i="26"/>
  <c r="B3835" i="26"/>
  <c r="B3836" i="26"/>
  <c r="B3837" i="26"/>
  <c r="B3838" i="26"/>
  <c r="B3839" i="26"/>
  <c r="B3840" i="26"/>
  <c r="B3841" i="26"/>
  <c r="B3842" i="26"/>
  <c r="B3843" i="26"/>
  <c r="B3844" i="26"/>
  <c r="B3845" i="26"/>
  <c r="B3846" i="26"/>
  <c r="B3847" i="26"/>
  <c r="B3848" i="26"/>
  <c r="B3849" i="26"/>
  <c r="B3850" i="26"/>
  <c r="B3851" i="26"/>
  <c r="B3852" i="26"/>
  <c r="B3853" i="26"/>
  <c r="B3854" i="26"/>
  <c r="B3855" i="26"/>
  <c r="B3856" i="26"/>
  <c r="B3857" i="26"/>
  <c r="B3858" i="26"/>
  <c r="B3859" i="26"/>
  <c r="B3860" i="26"/>
  <c r="B3861" i="26"/>
  <c r="B3862" i="26"/>
  <c r="B3863" i="26"/>
  <c r="B3864" i="26"/>
  <c r="B3865" i="26"/>
  <c r="B3866" i="26"/>
  <c r="B3867" i="26"/>
  <c r="B3868" i="26"/>
  <c r="B3869" i="26"/>
  <c r="B3870" i="26"/>
  <c r="B3871" i="26"/>
  <c r="B3872" i="26"/>
  <c r="B3873" i="26"/>
  <c r="B3874" i="26"/>
  <c r="B3875" i="26"/>
  <c r="B3876" i="26"/>
  <c r="B3877" i="26"/>
  <c r="B3878" i="26"/>
  <c r="B3879" i="26"/>
  <c r="B3880" i="26"/>
  <c r="B3881" i="26"/>
  <c r="B3882" i="26"/>
  <c r="B3883" i="26"/>
  <c r="B3884" i="26"/>
  <c r="B3885" i="26"/>
  <c r="B3886" i="26"/>
  <c r="B3887" i="26"/>
  <c r="B3888" i="26"/>
  <c r="B3889" i="26"/>
  <c r="B3890" i="26"/>
  <c r="B3891" i="26"/>
  <c r="B3892" i="26"/>
  <c r="B3893" i="26"/>
  <c r="B3894" i="26"/>
  <c r="B3895" i="26"/>
  <c r="B3896" i="26"/>
  <c r="B3897" i="26"/>
  <c r="B3898" i="26"/>
  <c r="B3899" i="26"/>
  <c r="B3900" i="26"/>
  <c r="B3901" i="26"/>
  <c r="B3902" i="26"/>
  <c r="B3903" i="26"/>
  <c r="B3904" i="26"/>
  <c r="B3905" i="26"/>
  <c r="B3906" i="26"/>
  <c r="B3907" i="26"/>
  <c r="B3908" i="26"/>
  <c r="B3909" i="26"/>
  <c r="B3910" i="26"/>
  <c r="B3911" i="26"/>
  <c r="B3912" i="26"/>
  <c r="B3913" i="26"/>
  <c r="B3914" i="26"/>
  <c r="B3915" i="26"/>
  <c r="B3916" i="26"/>
  <c r="B3917" i="26"/>
  <c r="B3918" i="26"/>
  <c r="B3919" i="26"/>
  <c r="B3920" i="26"/>
  <c r="B3921" i="26"/>
  <c r="B3922" i="26"/>
  <c r="B3923" i="26"/>
  <c r="B3924" i="26"/>
  <c r="B3925" i="26"/>
  <c r="B3926" i="26"/>
  <c r="B3927" i="26"/>
  <c r="B3928" i="26"/>
  <c r="B3929" i="26"/>
  <c r="B3930" i="26"/>
  <c r="B3931" i="26"/>
  <c r="B3932" i="26"/>
  <c r="B3933" i="26"/>
  <c r="B3934" i="26"/>
  <c r="B3935" i="26"/>
  <c r="B3936" i="26"/>
  <c r="B3937" i="26"/>
  <c r="B3938" i="26"/>
  <c r="B3939" i="26"/>
  <c r="B3940" i="26"/>
  <c r="B3941" i="26"/>
  <c r="B3942" i="26"/>
  <c r="B3943" i="26"/>
  <c r="B3944" i="26"/>
  <c r="B3945" i="26"/>
  <c r="B3946" i="26"/>
  <c r="B3947" i="26"/>
  <c r="B3948" i="26"/>
  <c r="B3949" i="26"/>
  <c r="B3950" i="26"/>
  <c r="B3951" i="26"/>
  <c r="B3952" i="26"/>
  <c r="B3953" i="26"/>
  <c r="B3954" i="26"/>
  <c r="B3955" i="26"/>
  <c r="B3956" i="26"/>
  <c r="B3957" i="26"/>
  <c r="B3958" i="26"/>
  <c r="B3959" i="26"/>
  <c r="B3960" i="26"/>
  <c r="B3961" i="26"/>
  <c r="B3962" i="26"/>
  <c r="B3963" i="26"/>
  <c r="B3964" i="26"/>
  <c r="B3965" i="26"/>
  <c r="B3966" i="26"/>
  <c r="B3967" i="26"/>
  <c r="B3968" i="26"/>
  <c r="B3969" i="26"/>
  <c r="B3970" i="26"/>
  <c r="B3971" i="26"/>
  <c r="B3972" i="26"/>
  <c r="B3973" i="26"/>
  <c r="B3974" i="26"/>
  <c r="B3975" i="26"/>
  <c r="B3976" i="26"/>
  <c r="B3977" i="26"/>
  <c r="B3978" i="26"/>
  <c r="B3979" i="26"/>
  <c r="B3980" i="26"/>
  <c r="B3981" i="26"/>
  <c r="B3982" i="26"/>
  <c r="B3983" i="26"/>
  <c r="B3984" i="26"/>
  <c r="B3985" i="26"/>
  <c r="B3986" i="26"/>
  <c r="B3987" i="26"/>
  <c r="B3988" i="26"/>
  <c r="B3989" i="26"/>
  <c r="B3990" i="26"/>
  <c r="B3991" i="26"/>
  <c r="B3992" i="26"/>
  <c r="B3993" i="26"/>
  <c r="B3994" i="26"/>
  <c r="B3995" i="26"/>
  <c r="B3996" i="26"/>
  <c r="B3997" i="26"/>
  <c r="B3998" i="26"/>
  <c r="B3999" i="26"/>
  <c r="B4000" i="26"/>
  <c r="B4001" i="26"/>
  <c r="B4002" i="26"/>
  <c r="B4003" i="26"/>
  <c r="B4004" i="26"/>
  <c r="B4005" i="26"/>
  <c r="B4006" i="26"/>
  <c r="B4007" i="26"/>
  <c r="B4008" i="26"/>
  <c r="B4009" i="26"/>
  <c r="B4010" i="26"/>
  <c r="B4011" i="26"/>
  <c r="B4012" i="26"/>
  <c r="B4013" i="26"/>
  <c r="B4014" i="26"/>
  <c r="B4015" i="26"/>
  <c r="B4016" i="26"/>
  <c r="B4017" i="26"/>
  <c r="B4018" i="26"/>
  <c r="B4019" i="26"/>
  <c r="B4020" i="26"/>
  <c r="B4021" i="26"/>
  <c r="B4022" i="26"/>
  <c r="B4023" i="26"/>
  <c r="B4024" i="26"/>
  <c r="B4025" i="26"/>
  <c r="B4026" i="26"/>
  <c r="B4027" i="26"/>
  <c r="B4028" i="26"/>
  <c r="B4029" i="26"/>
  <c r="B4030" i="26"/>
  <c r="B4031" i="26"/>
  <c r="B4032" i="26"/>
  <c r="B4033" i="26"/>
  <c r="B4034" i="26"/>
  <c r="B4035" i="26"/>
  <c r="B4036" i="26"/>
  <c r="B4037" i="26"/>
  <c r="B4038" i="26"/>
  <c r="B4039" i="26"/>
  <c r="B4040" i="26"/>
  <c r="B4041" i="26"/>
  <c r="B4042" i="26"/>
  <c r="B4043" i="26"/>
  <c r="B4044" i="26"/>
  <c r="B4045" i="26"/>
  <c r="B4046" i="26"/>
  <c r="B4047" i="26"/>
  <c r="B4048" i="26"/>
  <c r="B4049" i="26"/>
  <c r="B4050" i="26"/>
  <c r="B4051" i="26"/>
  <c r="B4052" i="26"/>
  <c r="B4053" i="26"/>
  <c r="B4054" i="26"/>
  <c r="B4055" i="26"/>
  <c r="B4056" i="26"/>
  <c r="B4057" i="26"/>
  <c r="B4058" i="26"/>
  <c r="B4059" i="26"/>
  <c r="B4060" i="26"/>
  <c r="B4061" i="26"/>
  <c r="B4062" i="26"/>
  <c r="B4063" i="26"/>
  <c r="B4064" i="26"/>
  <c r="B4065" i="26"/>
  <c r="B4066" i="26"/>
  <c r="B4067" i="26"/>
  <c r="B4068" i="26"/>
  <c r="B4069" i="26"/>
  <c r="B4070" i="26"/>
  <c r="B4071" i="26"/>
  <c r="B4072" i="26"/>
  <c r="B4073" i="26"/>
  <c r="B4074" i="26"/>
  <c r="B4075" i="26"/>
  <c r="B4076" i="26"/>
  <c r="B4077" i="26"/>
  <c r="B4078" i="26"/>
  <c r="B4079" i="26"/>
  <c r="B4080" i="26"/>
  <c r="B4081" i="26"/>
  <c r="B4082" i="26"/>
  <c r="B4083" i="26"/>
  <c r="B4084" i="26"/>
  <c r="B4085" i="26"/>
  <c r="B4086" i="26"/>
  <c r="B4087" i="26"/>
  <c r="B4088" i="26"/>
  <c r="B4089" i="26"/>
  <c r="B4090" i="26"/>
  <c r="B4091" i="26"/>
  <c r="B4092" i="26"/>
  <c r="B4093" i="26"/>
  <c r="B4094" i="26"/>
  <c r="B4095" i="26"/>
  <c r="B4096" i="26"/>
  <c r="B4097" i="26"/>
  <c r="B4098" i="26"/>
  <c r="B4099" i="26"/>
  <c r="B4100" i="26"/>
  <c r="B4101" i="26"/>
  <c r="B4102" i="26"/>
  <c r="B4103" i="26"/>
  <c r="B4104" i="26"/>
  <c r="B4105" i="26"/>
  <c r="B4106" i="26"/>
  <c r="B4107" i="26"/>
  <c r="B4108" i="26"/>
  <c r="B4109" i="26"/>
  <c r="B4110" i="26"/>
  <c r="B4111" i="26"/>
  <c r="B4112" i="26"/>
  <c r="B4113" i="26"/>
  <c r="B4114" i="26"/>
  <c r="B4115" i="26"/>
  <c r="B4116" i="26"/>
  <c r="B4117" i="26"/>
  <c r="B4118" i="26"/>
  <c r="B4119" i="26"/>
  <c r="B4120" i="26"/>
  <c r="B4121" i="26"/>
  <c r="B4122" i="26"/>
  <c r="B4123" i="26"/>
  <c r="B4124" i="26"/>
  <c r="B4125" i="26"/>
  <c r="B4126" i="26"/>
  <c r="B4127" i="26"/>
  <c r="B4128" i="26"/>
  <c r="B4129" i="26"/>
  <c r="B4130" i="26"/>
  <c r="B4131" i="26"/>
  <c r="B4132" i="26"/>
  <c r="B4133" i="26"/>
  <c r="B4134" i="26"/>
  <c r="B4135" i="26"/>
  <c r="B4136" i="26"/>
  <c r="B4137" i="26"/>
  <c r="B4138" i="26"/>
  <c r="B4139" i="26"/>
  <c r="B4140" i="26"/>
  <c r="B4141" i="26"/>
  <c r="B4142" i="26"/>
  <c r="B4143" i="26"/>
  <c r="B4144" i="26"/>
  <c r="B4145" i="26"/>
  <c r="B4146" i="26"/>
  <c r="B4147" i="26"/>
  <c r="B4148" i="26"/>
  <c r="B4149" i="26"/>
  <c r="B4150" i="26"/>
  <c r="B4151" i="26"/>
  <c r="B4152" i="26"/>
  <c r="B4153" i="26"/>
  <c r="B4154" i="26"/>
  <c r="B4155" i="26"/>
  <c r="B4156" i="26"/>
  <c r="B4157" i="26"/>
  <c r="B4158" i="26"/>
  <c r="B4159" i="26"/>
  <c r="B4160" i="26"/>
  <c r="B4161" i="26"/>
  <c r="B4162" i="26"/>
  <c r="B4163" i="26"/>
  <c r="B4164" i="26"/>
  <c r="B4165" i="26"/>
  <c r="B4166" i="26"/>
  <c r="B4167" i="26"/>
  <c r="B4168" i="26"/>
  <c r="B4169" i="26"/>
  <c r="B4170" i="26"/>
  <c r="B4171" i="26"/>
  <c r="B4172" i="26"/>
  <c r="B4173" i="26"/>
  <c r="B4174" i="26"/>
  <c r="B4175" i="26"/>
  <c r="B4176" i="26"/>
  <c r="B4177" i="26"/>
  <c r="B4178" i="26"/>
  <c r="B4179" i="26"/>
  <c r="B4180" i="26"/>
  <c r="B4181" i="26"/>
  <c r="B4182" i="26"/>
  <c r="B4183" i="26"/>
  <c r="B4184" i="26"/>
  <c r="B4185" i="26"/>
  <c r="B4186" i="26"/>
  <c r="B4187" i="26"/>
  <c r="B4188" i="26"/>
  <c r="B4189" i="26"/>
  <c r="B4190" i="26"/>
  <c r="B4191" i="26"/>
  <c r="B4192" i="26"/>
  <c r="B4193" i="26"/>
  <c r="B4194" i="26"/>
  <c r="B4195" i="26"/>
  <c r="B4196" i="26"/>
  <c r="B4197" i="26"/>
  <c r="B4198" i="26"/>
  <c r="B4199" i="26"/>
  <c r="B4200" i="26"/>
  <c r="B4201" i="26"/>
  <c r="B4202" i="26"/>
  <c r="B4203" i="26"/>
  <c r="B4204" i="26"/>
  <c r="B4205" i="26"/>
  <c r="B4206" i="26"/>
  <c r="B4207" i="26"/>
  <c r="B4208" i="26"/>
  <c r="B4209" i="26"/>
  <c r="B4210" i="26"/>
  <c r="B4211" i="26"/>
  <c r="B4212" i="26"/>
  <c r="B4213" i="26"/>
  <c r="B4214" i="26"/>
  <c r="B4215" i="26"/>
  <c r="B4216" i="26"/>
  <c r="B4217" i="26"/>
  <c r="B4218" i="26"/>
  <c r="B4219" i="26"/>
  <c r="B4220" i="26"/>
  <c r="B4221" i="26"/>
  <c r="B4222" i="26"/>
  <c r="B4223" i="26"/>
  <c r="B4224" i="26"/>
  <c r="B4225" i="26"/>
  <c r="B4226" i="26"/>
  <c r="B4227" i="26"/>
  <c r="B4228" i="26"/>
  <c r="B4229" i="26"/>
  <c r="B4230" i="26"/>
  <c r="B4231" i="26"/>
  <c r="B4232" i="26"/>
  <c r="B4233" i="26"/>
  <c r="B4234" i="26"/>
  <c r="B4235" i="26"/>
  <c r="B4236" i="26"/>
  <c r="B4237" i="26"/>
  <c r="B4238" i="26"/>
  <c r="B4239" i="26"/>
  <c r="B4240" i="26"/>
  <c r="B4241" i="26"/>
  <c r="B4242" i="26"/>
  <c r="B4243" i="26"/>
  <c r="B4244" i="26"/>
  <c r="B4245" i="26"/>
  <c r="B4246" i="26"/>
  <c r="B4247" i="26"/>
  <c r="B4248" i="26"/>
  <c r="B4249" i="26"/>
  <c r="B4250" i="26"/>
  <c r="B4251" i="26"/>
  <c r="B4252" i="26"/>
  <c r="B4253" i="26"/>
  <c r="B4254" i="26"/>
  <c r="B4255" i="26"/>
  <c r="B4256" i="26"/>
  <c r="B4257" i="26"/>
  <c r="B4258" i="26"/>
  <c r="B4259" i="26"/>
  <c r="B4260" i="26"/>
  <c r="B4261" i="26"/>
  <c r="B4262" i="26"/>
  <c r="B4263" i="26"/>
  <c r="B4264" i="26"/>
  <c r="B4265" i="26"/>
  <c r="B4266" i="26"/>
  <c r="B4267" i="26"/>
  <c r="B4268" i="26"/>
  <c r="B4269" i="26"/>
  <c r="B4270" i="26"/>
  <c r="B4271" i="26"/>
  <c r="B4272" i="26"/>
  <c r="B4273" i="26"/>
  <c r="B4274" i="26"/>
  <c r="B4275" i="26"/>
  <c r="B4276" i="26"/>
  <c r="B4277" i="26"/>
  <c r="B4278" i="26"/>
  <c r="B4279" i="26"/>
  <c r="B4280" i="26"/>
  <c r="B4281" i="26"/>
  <c r="B4282" i="26"/>
  <c r="B4283" i="26"/>
  <c r="B4284" i="26"/>
  <c r="B4285" i="26"/>
  <c r="B4286" i="26"/>
  <c r="B4287" i="26"/>
  <c r="B4288" i="26"/>
  <c r="B4289" i="26"/>
  <c r="B4290" i="26"/>
  <c r="B4291" i="26"/>
  <c r="B4292" i="26"/>
  <c r="B4293" i="26"/>
  <c r="B4294" i="26"/>
  <c r="B4295" i="26"/>
  <c r="B4296" i="26"/>
  <c r="B4297" i="26"/>
  <c r="B4298" i="26"/>
  <c r="B4299" i="26"/>
  <c r="B4300" i="26"/>
  <c r="B4301" i="26"/>
  <c r="B4302" i="26"/>
  <c r="B4303" i="26"/>
  <c r="B4304" i="26"/>
  <c r="B4305" i="26"/>
  <c r="B4306" i="26"/>
  <c r="B4307" i="26"/>
  <c r="B4308" i="26"/>
  <c r="B4309" i="26"/>
  <c r="B4310" i="26"/>
  <c r="B4311" i="26"/>
  <c r="B4312" i="26"/>
  <c r="B4313" i="26"/>
  <c r="B4314" i="26"/>
  <c r="B4315" i="26"/>
  <c r="B4316" i="26"/>
  <c r="B4317" i="26"/>
  <c r="B4318" i="26"/>
  <c r="B4319" i="26"/>
  <c r="B4320" i="26"/>
  <c r="B4321" i="26"/>
  <c r="B4322" i="26"/>
  <c r="B4323" i="26"/>
  <c r="B4324" i="26"/>
  <c r="B4325" i="26"/>
  <c r="B4326" i="26"/>
  <c r="B4327" i="26"/>
  <c r="B4328" i="26"/>
  <c r="B4329" i="26"/>
  <c r="B4330" i="26"/>
  <c r="B4331" i="26"/>
  <c r="B4332" i="26"/>
  <c r="B4333" i="26"/>
  <c r="B4334" i="26"/>
  <c r="B4335" i="26"/>
  <c r="B4336" i="26"/>
  <c r="B4337" i="26"/>
  <c r="B4338" i="26"/>
  <c r="B4339" i="26"/>
  <c r="B4340" i="26"/>
  <c r="B4341" i="26"/>
  <c r="B4342" i="26"/>
  <c r="B4343" i="26"/>
  <c r="B4344" i="26"/>
  <c r="B4345" i="26"/>
  <c r="B4346" i="26"/>
  <c r="B4347" i="26"/>
  <c r="B4348" i="26"/>
  <c r="B4349" i="26"/>
  <c r="B4350" i="26"/>
  <c r="B4351" i="26"/>
  <c r="B4352" i="26"/>
  <c r="B4353" i="26"/>
  <c r="B4354" i="26"/>
  <c r="B4355" i="26"/>
  <c r="B4356" i="26"/>
  <c r="B4357" i="26"/>
  <c r="B4358" i="26"/>
  <c r="B4359" i="26"/>
  <c r="B4360" i="26"/>
  <c r="B4361" i="26"/>
  <c r="B4362" i="26"/>
  <c r="B4363" i="26"/>
  <c r="B4364" i="26"/>
  <c r="B4365" i="26"/>
  <c r="B4366" i="26"/>
  <c r="B4367" i="26"/>
  <c r="B4368" i="26"/>
  <c r="B4369" i="26"/>
  <c r="B4370" i="26"/>
  <c r="B4371" i="26"/>
  <c r="B4372" i="26"/>
  <c r="B4373" i="26"/>
  <c r="B4374" i="26"/>
  <c r="B4375" i="26"/>
  <c r="B4376" i="26"/>
  <c r="B4377" i="26"/>
  <c r="B4378" i="26"/>
  <c r="B4379" i="26"/>
  <c r="B4380" i="26"/>
  <c r="B4381" i="26"/>
  <c r="B4382" i="26"/>
  <c r="B4383" i="26"/>
  <c r="B4384" i="26"/>
  <c r="B4385" i="26"/>
  <c r="B4386" i="26"/>
  <c r="B4387" i="26"/>
  <c r="B4388" i="26"/>
  <c r="B4389" i="26"/>
  <c r="B4390" i="26"/>
  <c r="B4391" i="26"/>
  <c r="B4392" i="26"/>
  <c r="B4393" i="26"/>
  <c r="B4394" i="26"/>
  <c r="B4395" i="26"/>
  <c r="B4396" i="26"/>
  <c r="B4397" i="26"/>
  <c r="B4398" i="26"/>
  <c r="B4399" i="26"/>
  <c r="B4400" i="26"/>
  <c r="B4401" i="26"/>
  <c r="B4402" i="26"/>
  <c r="B4403" i="26"/>
  <c r="B4404" i="26"/>
  <c r="B4405" i="26"/>
  <c r="B4406" i="26"/>
  <c r="B4407" i="26"/>
  <c r="B4408" i="26"/>
  <c r="B4409" i="26"/>
  <c r="B4410" i="26"/>
  <c r="B4411" i="26"/>
  <c r="B4412" i="26"/>
  <c r="B4413" i="26"/>
  <c r="B4414" i="26"/>
  <c r="B4415" i="26"/>
  <c r="B4416" i="26"/>
  <c r="B4417" i="26"/>
  <c r="B4418" i="26"/>
  <c r="B4419" i="26"/>
  <c r="B4420" i="26"/>
  <c r="B4421" i="26"/>
  <c r="B4422" i="26"/>
  <c r="B4423" i="26"/>
  <c r="B4424" i="26"/>
  <c r="B4425" i="26"/>
  <c r="B4426" i="26"/>
  <c r="B4427" i="26"/>
  <c r="B4428" i="26"/>
  <c r="B4429" i="26"/>
  <c r="B4430" i="26"/>
  <c r="B4431" i="26"/>
  <c r="B4432" i="26"/>
  <c r="B4433" i="26"/>
  <c r="B4434" i="26"/>
  <c r="B4435" i="26"/>
  <c r="B4436" i="26"/>
  <c r="B4437" i="26"/>
  <c r="B4438" i="26"/>
  <c r="B4439" i="26"/>
  <c r="B4440" i="26"/>
  <c r="B4441" i="26"/>
  <c r="B4442" i="26"/>
  <c r="B4443" i="26"/>
  <c r="B4444" i="26"/>
  <c r="B4445" i="26"/>
  <c r="B4446" i="26"/>
  <c r="B4447" i="26"/>
  <c r="B4448" i="26"/>
  <c r="B4449" i="26"/>
  <c r="B4450" i="26"/>
  <c r="B4451" i="26"/>
  <c r="B4452" i="26"/>
  <c r="B4453" i="26"/>
  <c r="B4454" i="26"/>
  <c r="B4455" i="26"/>
  <c r="B4456" i="26"/>
  <c r="B4457" i="26"/>
  <c r="B4458" i="26"/>
  <c r="B4459" i="26"/>
  <c r="B4460" i="26"/>
  <c r="B4461" i="26"/>
  <c r="B4462" i="26"/>
  <c r="B4463" i="26"/>
  <c r="B4464" i="26"/>
  <c r="B4465" i="26"/>
  <c r="B4466" i="26"/>
  <c r="B4467" i="26"/>
  <c r="B4468" i="26"/>
  <c r="B4469" i="26"/>
  <c r="B4470" i="26"/>
  <c r="B4471" i="26"/>
  <c r="B4472" i="26"/>
  <c r="B4473" i="26"/>
  <c r="B4474" i="26"/>
  <c r="B4475" i="26"/>
  <c r="B4476" i="26"/>
  <c r="B4477" i="26"/>
  <c r="B4478" i="26"/>
  <c r="B4479" i="26"/>
  <c r="B4480" i="26"/>
  <c r="B4481" i="26"/>
  <c r="B4482" i="26"/>
  <c r="B4483" i="26"/>
  <c r="B4484" i="26"/>
  <c r="B4485" i="26"/>
  <c r="B4486" i="26"/>
  <c r="B4487" i="26"/>
  <c r="B4488" i="26"/>
  <c r="B4489" i="26"/>
  <c r="B4490" i="26"/>
  <c r="B4491" i="26"/>
  <c r="B4492" i="26"/>
  <c r="B4493" i="26"/>
  <c r="B4494" i="26"/>
  <c r="B4495" i="26"/>
  <c r="B4496" i="26"/>
  <c r="B4497" i="26"/>
  <c r="B4498" i="26"/>
  <c r="B4499" i="26"/>
  <c r="B4500" i="26"/>
  <c r="B4501" i="26"/>
  <c r="B4502" i="26"/>
  <c r="B4503" i="26"/>
  <c r="B4504" i="26"/>
  <c r="B4505" i="26"/>
  <c r="B4506" i="26"/>
  <c r="B4507" i="26"/>
  <c r="B4508" i="26"/>
  <c r="B4509" i="26"/>
  <c r="B4510" i="26"/>
  <c r="B4511" i="26"/>
  <c r="B4512" i="26"/>
  <c r="B4513" i="26"/>
  <c r="B4514" i="26"/>
  <c r="B4515" i="26"/>
  <c r="B4516" i="26"/>
  <c r="B4517" i="26"/>
  <c r="B4518" i="26"/>
  <c r="B4519" i="26"/>
  <c r="B4520" i="26"/>
  <c r="B4521" i="26"/>
  <c r="B4522" i="26"/>
  <c r="B4523" i="26"/>
  <c r="B4524" i="26"/>
  <c r="B4525" i="26"/>
  <c r="B4526" i="26"/>
  <c r="B4527" i="26"/>
  <c r="B4528" i="26"/>
  <c r="B4529" i="26"/>
  <c r="B4530" i="26"/>
  <c r="B4531" i="26"/>
  <c r="B4532" i="26"/>
  <c r="B4533" i="26"/>
  <c r="B4534" i="26"/>
  <c r="B4535" i="26"/>
  <c r="B4536" i="26"/>
  <c r="B4537" i="26"/>
  <c r="B4538" i="26"/>
  <c r="B4539" i="26"/>
  <c r="B4540" i="26"/>
  <c r="B4541" i="26"/>
  <c r="B4542" i="26"/>
  <c r="B4543" i="26"/>
  <c r="B4544" i="26"/>
  <c r="B4545" i="26"/>
  <c r="B4546" i="26"/>
  <c r="B4547" i="26"/>
  <c r="B4548" i="26"/>
  <c r="B4549" i="26"/>
  <c r="B4550" i="26"/>
  <c r="B4551" i="26"/>
  <c r="B4552" i="26"/>
  <c r="B4553" i="26"/>
  <c r="B4554" i="26"/>
  <c r="B4555" i="26"/>
  <c r="B4556" i="26"/>
  <c r="B4557" i="26"/>
  <c r="B4558" i="26"/>
  <c r="B4559" i="26"/>
  <c r="B4560" i="26"/>
  <c r="B4561" i="26"/>
  <c r="B4562" i="26"/>
  <c r="B4563" i="26"/>
  <c r="B4564" i="26"/>
  <c r="B4565" i="26"/>
  <c r="B4566" i="26"/>
  <c r="B4567" i="26"/>
  <c r="B4568" i="26"/>
  <c r="B4569" i="26"/>
  <c r="B4570" i="26"/>
  <c r="B4571" i="26"/>
  <c r="B4572" i="26"/>
  <c r="B4573" i="26"/>
  <c r="B4574" i="26"/>
  <c r="B4575" i="26"/>
  <c r="B4576" i="26"/>
  <c r="B4577" i="26"/>
  <c r="B4578" i="26"/>
  <c r="B4579" i="26"/>
  <c r="B4580" i="26"/>
  <c r="B4581" i="26"/>
  <c r="B4582" i="26"/>
  <c r="B4583" i="26"/>
  <c r="B4584" i="26"/>
  <c r="B4585" i="26"/>
  <c r="B4586" i="26"/>
  <c r="B4587" i="26"/>
  <c r="B4588" i="26"/>
  <c r="B4589" i="26"/>
  <c r="B4590" i="26"/>
  <c r="B4591" i="26"/>
  <c r="B4592" i="26"/>
  <c r="B4593" i="26"/>
  <c r="B4594" i="26"/>
  <c r="B4595" i="26"/>
  <c r="B4596" i="26"/>
  <c r="B4597" i="26"/>
  <c r="B4598" i="26"/>
  <c r="B4599" i="26"/>
  <c r="B4600" i="26"/>
  <c r="B4601" i="26"/>
  <c r="B4602" i="26"/>
  <c r="B4603" i="26"/>
  <c r="B4604" i="26"/>
  <c r="B4605" i="26"/>
  <c r="B4606" i="26"/>
  <c r="B4607" i="26"/>
  <c r="B4608" i="26"/>
  <c r="B4609" i="26"/>
  <c r="B4610" i="26"/>
  <c r="B4611" i="26"/>
  <c r="B4612" i="26"/>
  <c r="B4613" i="26"/>
  <c r="B4614" i="26"/>
  <c r="B4615" i="26"/>
  <c r="B4616" i="26"/>
  <c r="B4617" i="26"/>
  <c r="B4618" i="26"/>
  <c r="B4619" i="26"/>
  <c r="B4620" i="26"/>
  <c r="B4621" i="26"/>
  <c r="B4622" i="26"/>
  <c r="B4623" i="26"/>
  <c r="B4624" i="26"/>
  <c r="B4625" i="26"/>
  <c r="B4626" i="26"/>
  <c r="B4627" i="26"/>
  <c r="B4628" i="26"/>
  <c r="B4629" i="26"/>
  <c r="B4630" i="26"/>
  <c r="B4631" i="26"/>
  <c r="B4632" i="26"/>
  <c r="B4633" i="26"/>
  <c r="B4634" i="26"/>
  <c r="B4635" i="26"/>
  <c r="B4636" i="26"/>
  <c r="B4637" i="26"/>
  <c r="B4638" i="26"/>
  <c r="B4639" i="26"/>
  <c r="B4640" i="26"/>
  <c r="B4641" i="26"/>
  <c r="B4642" i="26"/>
  <c r="B4643" i="26"/>
  <c r="B4644" i="26"/>
  <c r="B4645" i="26"/>
  <c r="B4646" i="26"/>
  <c r="B4647" i="26"/>
  <c r="B4648" i="26"/>
  <c r="B4649" i="26"/>
  <c r="B4650" i="26"/>
  <c r="B4651" i="26"/>
  <c r="B4652" i="26"/>
  <c r="B4653" i="26"/>
  <c r="B4654" i="26"/>
  <c r="B4655" i="26"/>
  <c r="B4656" i="26"/>
  <c r="B4657" i="26"/>
  <c r="B4658" i="26"/>
  <c r="B4659" i="26"/>
  <c r="B4660" i="26"/>
  <c r="B4661" i="26"/>
  <c r="B4662" i="26"/>
  <c r="B4663" i="26"/>
  <c r="B4664" i="26"/>
  <c r="B4665" i="26"/>
  <c r="B4666" i="26"/>
  <c r="B4667" i="26"/>
  <c r="B4668" i="26"/>
  <c r="B4669" i="26"/>
  <c r="B4670" i="26"/>
  <c r="B4671" i="26"/>
  <c r="B4672" i="26"/>
  <c r="B4673" i="26"/>
  <c r="B4674" i="26"/>
  <c r="B4675" i="26"/>
  <c r="B4676" i="26"/>
  <c r="B4677" i="26"/>
  <c r="B4678" i="26"/>
  <c r="B4679" i="26"/>
  <c r="B4680" i="26"/>
  <c r="B4681" i="26"/>
  <c r="B4682" i="26"/>
  <c r="B4683" i="26"/>
  <c r="B4684" i="26"/>
  <c r="B4685" i="26"/>
  <c r="B4686" i="26"/>
  <c r="B4687" i="26"/>
  <c r="B4688" i="26"/>
  <c r="B4689" i="26"/>
  <c r="B4690" i="26"/>
  <c r="B4691" i="26"/>
  <c r="B4692" i="26"/>
  <c r="B4693" i="26"/>
  <c r="B4694" i="26"/>
  <c r="B4695" i="26"/>
  <c r="B4696" i="26"/>
  <c r="B4697" i="26"/>
  <c r="B4698" i="26"/>
  <c r="B4699" i="26"/>
  <c r="B4700" i="26"/>
  <c r="B4701" i="26"/>
  <c r="B4702" i="26"/>
  <c r="B4703" i="26"/>
  <c r="B4704" i="26"/>
  <c r="B4705" i="26"/>
  <c r="B4706" i="26"/>
  <c r="B4707" i="26"/>
  <c r="B4708" i="26"/>
  <c r="B4709" i="26"/>
  <c r="B4710" i="26"/>
  <c r="B4711" i="26"/>
  <c r="B4712" i="26"/>
  <c r="B4713" i="26"/>
  <c r="B4714" i="26"/>
  <c r="B4715" i="26"/>
  <c r="B4716" i="26"/>
  <c r="B4717" i="26"/>
  <c r="B4718" i="26"/>
  <c r="B4719" i="26"/>
  <c r="B4720" i="26"/>
  <c r="B4721" i="26"/>
  <c r="B4722" i="26"/>
  <c r="B4723" i="26"/>
  <c r="B4724" i="26"/>
  <c r="B4725" i="26"/>
  <c r="B4726" i="26"/>
  <c r="B4727" i="26"/>
  <c r="B4728" i="26"/>
  <c r="B4729" i="26"/>
  <c r="B4730" i="26"/>
  <c r="B4731" i="26"/>
  <c r="B4732" i="26"/>
  <c r="B4733" i="26"/>
  <c r="B4734" i="26"/>
  <c r="B4735" i="26"/>
  <c r="B4736" i="26"/>
  <c r="B4737" i="26"/>
  <c r="B4738" i="26"/>
  <c r="B4739" i="26"/>
  <c r="B4740" i="26"/>
  <c r="B4741" i="26"/>
  <c r="B4742" i="26"/>
  <c r="B4743" i="26"/>
  <c r="B4744" i="26"/>
  <c r="B4745" i="26"/>
  <c r="B4746" i="26"/>
  <c r="B4747" i="26"/>
  <c r="B4748" i="26"/>
  <c r="B4749" i="26"/>
  <c r="B4750" i="26"/>
  <c r="B4751" i="26"/>
  <c r="B4752" i="26"/>
  <c r="B4753" i="26"/>
  <c r="B4754" i="26"/>
  <c r="B4755" i="26"/>
  <c r="B4756" i="26"/>
  <c r="B4757" i="26"/>
  <c r="B4758" i="26"/>
  <c r="B4759" i="26"/>
  <c r="B4760" i="26"/>
  <c r="B4761" i="26"/>
  <c r="B4762" i="26"/>
  <c r="B4763" i="26"/>
  <c r="B4764" i="26"/>
  <c r="B4765" i="26"/>
  <c r="B4766" i="26"/>
  <c r="B4767" i="26"/>
  <c r="B4768" i="26"/>
  <c r="B4769" i="26"/>
  <c r="B4770" i="26"/>
  <c r="B4771" i="26"/>
  <c r="B4772" i="26"/>
  <c r="B4773" i="26"/>
  <c r="B4774" i="26"/>
  <c r="B4775" i="26"/>
  <c r="B4776" i="26"/>
  <c r="B4777" i="26"/>
  <c r="B4778" i="26"/>
  <c r="B4779" i="26"/>
  <c r="B4780" i="26"/>
  <c r="B4781" i="26"/>
  <c r="B4782" i="26"/>
  <c r="B4783" i="26"/>
  <c r="B4784" i="26"/>
  <c r="B4785" i="26"/>
  <c r="B4786" i="26"/>
  <c r="B4787" i="26"/>
  <c r="B4788" i="26"/>
  <c r="B4789" i="26"/>
  <c r="B4790" i="26"/>
  <c r="B4791" i="26"/>
  <c r="B4792" i="26"/>
  <c r="B4793" i="26"/>
  <c r="B4794" i="26"/>
  <c r="B4795" i="26"/>
  <c r="B4796" i="26"/>
  <c r="B4797" i="26"/>
  <c r="B4798" i="26"/>
  <c r="B4799" i="26"/>
  <c r="B4800" i="26"/>
  <c r="B4801" i="26"/>
  <c r="B4802" i="26"/>
  <c r="B4803" i="26"/>
  <c r="B4804" i="26"/>
  <c r="B4805" i="26"/>
  <c r="B4806" i="26"/>
  <c r="B4807" i="26"/>
  <c r="B4808" i="26"/>
  <c r="B4809" i="26"/>
  <c r="B4810" i="26"/>
  <c r="B4811" i="26"/>
  <c r="B4812" i="26"/>
  <c r="B4813" i="26"/>
  <c r="B4814" i="26"/>
  <c r="B4815" i="26"/>
  <c r="B4816" i="26"/>
  <c r="B4817" i="26"/>
  <c r="B4818" i="26"/>
  <c r="B4819" i="26"/>
  <c r="B4820" i="26"/>
  <c r="B4821" i="26"/>
  <c r="B4822" i="26"/>
  <c r="B4823" i="26"/>
  <c r="B4824" i="26"/>
  <c r="B4825" i="26"/>
  <c r="B4826" i="26"/>
  <c r="B4827" i="26"/>
  <c r="B4828" i="26"/>
  <c r="B4829" i="26"/>
  <c r="B4830" i="26"/>
  <c r="B4831" i="26"/>
  <c r="B4832" i="26"/>
  <c r="B4833" i="26"/>
  <c r="B4834" i="26"/>
  <c r="B4835" i="26"/>
  <c r="B4836" i="26"/>
  <c r="B4837" i="26"/>
  <c r="B4838" i="26"/>
  <c r="B4839" i="26"/>
  <c r="B4840" i="26"/>
  <c r="B4841" i="26"/>
  <c r="B4842" i="26"/>
  <c r="B4843" i="26"/>
  <c r="B4844" i="26"/>
  <c r="B4845" i="26"/>
  <c r="B4846" i="26"/>
  <c r="B4847" i="26"/>
  <c r="B4848" i="26"/>
  <c r="B4849" i="26"/>
  <c r="B4850" i="26"/>
  <c r="B4851" i="26"/>
  <c r="B4852" i="26"/>
  <c r="B4853" i="26"/>
  <c r="B4854" i="26"/>
  <c r="B4855" i="26"/>
  <c r="B4856" i="26"/>
  <c r="B4857" i="26"/>
  <c r="B4858" i="26"/>
  <c r="B4859" i="26"/>
  <c r="B4860" i="26"/>
  <c r="B4861" i="26"/>
  <c r="B4862" i="26"/>
  <c r="B4863" i="26"/>
  <c r="B4864" i="26"/>
  <c r="B4865" i="26"/>
  <c r="B4866" i="26"/>
  <c r="B4867" i="26"/>
  <c r="B4868" i="26"/>
  <c r="B4869" i="26"/>
  <c r="B4870" i="26"/>
  <c r="B4871" i="26"/>
  <c r="B4872" i="26"/>
  <c r="B4873" i="26"/>
  <c r="B4874" i="26"/>
  <c r="B4875" i="26"/>
  <c r="B4876" i="26"/>
  <c r="B4877" i="26"/>
  <c r="B4878" i="26"/>
  <c r="B4879" i="26"/>
  <c r="B4880" i="26"/>
  <c r="B4881" i="26"/>
  <c r="B4882" i="26"/>
  <c r="B4883" i="26"/>
  <c r="B4884" i="26"/>
  <c r="B4885" i="26"/>
  <c r="B4886" i="26"/>
  <c r="B4887" i="26"/>
  <c r="B4888" i="26"/>
  <c r="B4889" i="26"/>
  <c r="B4890" i="26"/>
  <c r="B4891" i="26"/>
  <c r="B4892" i="26"/>
  <c r="B4893" i="26"/>
  <c r="B4894" i="26"/>
  <c r="B4895" i="26"/>
  <c r="B4896" i="26"/>
  <c r="B4897" i="26"/>
  <c r="B4898" i="26"/>
  <c r="B4899" i="26"/>
  <c r="B4900" i="26"/>
  <c r="B4901" i="26"/>
  <c r="B4902" i="26"/>
  <c r="B4903" i="26"/>
  <c r="B4904" i="26"/>
  <c r="B4905" i="26"/>
  <c r="B4906" i="26"/>
  <c r="B4907" i="26"/>
  <c r="B4908" i="26"/>
  <c r="B4909" i="26"/>
  <c r="B4910" i="26"/>
  <c r="B4911" i="26"/>
  <c r="B4912" i="26"/>
  <c r="B4913" i="26"/>
  <c r="B4914" i="26"/>
  <c r="B4915" i="26"/>
  <c r="B4916" i="26"/>
  <c r="B4917" i="26"/>
  <c r="B4918" i="26"/>
  <c r="B4919" i="26"/>
  <c r="B4920" i="26"/>
  <c r="B4921" i="26"/>
  <c r="B4922" i="26"/>
  <c r="B4923" i="26"/>
  <c r="B4924" i="26"/>
  <c r="B4925" i="26"/>
  <c r="B4926" i="26"/>
  <c r="B4927" i="26"/>
  <c r="B4928" i="26"/>
  <c r="B4929" i="26"/>
  <c r="B4930" i="26"/>
  <c r="B4931" i="26"/>
  <c r="B4932" i="26"/>
  <c r="B4933" i="26"/>
  <c r="B4934" i="26"/>
  <c r="B4935" i="26"/>
  <c r="B4936" i="26"/>
  <c r="B4937" i="26"/>
  <c r="B4938" i="26"/>
  <c r="B4939" i="26"/>
  <c r="B4940" i="26"/>
  <c r="B4941" i="26"/>
  <c r="B4942" i="26"/>
  <c r="B4943" i="26"/>
  <c r="B4944" i="26"/>
  <c r="B4945" i="26"/>
  <c r="B4946" i="26"/>
  <c r="B4947" i="26"/>
  <c r="B4948" i="26"/>
  <c r="B4949" i="26"/>
  <c r="B4950" i="26"/>
  <c r="B4951" i="26"/>
  <c r="B4952" i="26"/>
  <c r="B4953" i="26"/>
  <c r="B4954" i="26"/>
  <c r="B4955" i="26"/>
  <c r="B4956" i="26"/>
  <c r="B4957" i="26"/>
  <c r="B4958" i="26"/>
  <c r="B4959" i="26"/>
  <c r="B4960" i="26"/>
  <c r="B4961" i="26"/>
  <c r="B4962" i="26"/>
  <c r="B4963" i="26"/>
  <c r="B4964" i="26"/>
  <c r="B4965" i="26"/>
  <c r="B4966" i="26"/>
  <c r="B4967" i="26"/>
  <c r="B4968" i="26"/>
  <c r="B4969" i="26"/>
  <c r="B4970" i="26"/>
  <c r="B4971" i="26"/>
  <c r="B4972" i="26"/>
  <c r="B4973" i="26"/>
  <c r="B4974" i="26"/>
  <c r="B4975" i="26"/>
  <c r="B4976" i="26"/>
  <c r="B4977" i="26"/>
  <c r="B4978" i="26"/>
  <c r="B4979" i="26"/>
  <c r="B4980" i="26"/>
  <c r="B4981" i="26"/>
  <c r="B4982" i="26"/>
  <c r="B4983" i="26"/>
  <c r="B4984" i="26"/>
  <c r="B4985" i="26"/>
  <c r="B4986" i="26"/>
  <c r="B4987" i="26"/>
  <c r="B4988" i="26"/>
  <c r="B4989" i="26"/>
  <c r="B4990" i="26"/>
  <c r="B4991" i="26"/>
  <c r="B4992" i="26"/>
  <c r="B4993" i="26"/>
  <c r="B4994" i="26"/>
  <c r="B4995" i="26"/>
  <c r="B4996" i="26"/>
  <c r="B4997" i="26"/>
  <c r="B4998" i="26"/>
  <c r="B4999" i="26"/>
  <c r="B5000" i="26"/>
  <c r="B5001" i="26"/>
  <c r="B5002" i="26"/>
  <c r="B5003" i="26"/>
  <c r="B5004" i="26"/>
  <c r="B5005" i="26"/>
  <c r="B5006" i="26"/>
  <c r="B5007" i="26"/>
  <c r="B5008" i="26"/>
  <c r="B5009" i="26"/>
  <c r="B5010" i="26"/>
  <c r="B5011" i="26"/>
  <c r="B5012" i="26"/>
  <c r="B5013" i="26"/>
  <c r="B5014" i="26"/>
  <c r="B5015" i="26"/>
  <c r="B5016" i="26"/>
  <c r="B5017" i="26"/>
  <c r="B5018" i="26"/>
  <c r="B5019" i="26"/>
  <c r="B5020" i="26"/>
  <c r="B5021" i="26"/>
  <c r="B5022" i="26"/>
  <c r="B5023" i="26"/>
  <c r="B5024" i="26"/>
  <c r="B5025" i="26"/>
  <c r="B5026" i="26"/>
  <c r="B5027" i="26"/>
  <c r="B5028" i="26"/>
  <c r="B5029" i="26"/>
  <c r="B5030" i="26"/>
  <c r="B5031" i="26"/>
  <c r="B5032" i="26"/>
  <c r="B5033" i="26"/>
  <c r="B5034" i="26"/>
  <c r="B5035" i="26"/>
  <c r="B5036" i="26"/>
  <c r="B5037" i="26"/>
  <c r="B5038" i="26"/>
  <c r="B5039" i="26"/>
  <c r="B5040" i="26"/>
  <c r="B5041" i="26"/>
  <c r="B5042" i="26"/>
  <c r="B5043" i="26"/>
  <c r="B5044" i="26"/>
  <c r="B5045" i="26"/>
  <c r="B5046" i="26"/>
  <c r="B5047" i="26"/>
  <c r="B5048" i="26"/>
  <c r="B5049" i="26"/>
  <c r="B5050" i="26"/>
  <c r="B5051" i="26"/>
  <c r="B5052" i="26"/>
  <c r="B5053" i="26"/>
  <c r="B5054" i="26"/>
  <c r="B5055" i="26"/>
  <c r="B5056" i="26"/>
  <c r="B5057" i="26"/>
  <c r="B5058" i="26"/>
  <c r="B5059" i="26"/>
  <c r="B5060" i="26"/>
  <c r="B5061" i="26"/>
  <c r="B5062" i="26"/>
  <c r="B5063" i="26"/>
  <c r="B5064" i="26"/>
  <c r="B5065" i="26"/>
  <c r="B5066" i="26"/>
  <c r="B5067" i="26"/>
  <c r="B5068" i="26"/>
  <c r="B5069" i="26"/>
  <c r="B5070" i="26"/>
  <c r="B5071" i="26"/>
  <c r="B5072" i="26"/>
  <c r="B5073" i="26"/>
  <c r="B5074" i="26"/>
  <c r="B5075" i="26"/>
  <c r="B5076" i="26"/>
  <c r="B5077" i="26"/>
  <c r="B5078" i="26"/>
  <c r="B5079" i="26"/>
  <c r="B5080" i="26"/>
  <c r="B5081" i="26"/>
  <c r="B5082" i="26"/>
  <c r="B5083" i="26"/>
  <c r="B5084" i="26"/>
  <c r="B5085" i="26"/>
  <c r="B5086" i="26"/>
  <c r="B5087" i="26"/>
  <c r="B5088" i="26"/>
  <c r="B5089" i="26"/>
  <c r="B5090" i="26"/>
  <c r="B5091" i="26"/>
  <c r="B5092" i="26"/>
  <c r="B5093" i="26"/>
  <c r="B5094" i="26"/>
  <c r="B5095" i="26"/>
  <c r="B5096" i="26"/>
  <c r="B5097" i="26"/>
  <c r="B5098" i="26"/>
  <c r="B5099" i="26"/>
  <c r="B5100" i="26"/>
  <c r="B5101" i="26"/>
  <c r="B5102" i="26"/>
  <c r="B5103" i="26"/>
  <c r="B5104" i="26"/>
  <c r="B5105" i="26"/>
  <c r="B5106" i="26"/>
  <c r="B5107" i="26"/>
  <c r="B5108" i="26"/>
  <c r="B5109" i="26"/>
  <c r="B5110" i="26"/>
  <c r="B5111" i="26"/>
  <c r="B5112" i="26"/>
  <c r="B5113" i="26"/>
  <c r="B5114" i="26"/>
  <c r="B5115" i="26"/>
  <c r="B5116" i="26"/>
  <c r="B5117" i="26"/>
  <c r="B5118" i="26"/>
  <c r="B5119" i="26"/>
  <c r="B5120" i="26"/>
  <c r="B5121" i="26"/>
  <c r="B5122" i="26"/>
  <c r="B5123" i="26"/>
  <c r="B5124" i="26"/>
  <c r="B5125" i="26"/>
  <c r="B5126" i="26"/>
  <c r="B5127" i="26"/>
  <c r="B5128" i="26"/>
  <c r="B5129" i="26"/>
  <c r="B5130" i="26"/>
  <c r="B5131" i="26"/>
  <c r="B5132" i="26"/>
  <c r="B5133" i="26"/>
  <c r="B5134" i="26"/>
  <c r="B5135" i="26"/>
  <c r="B5136" i="26"/>
  <c r="B5137" i="26"/>
  <c r="B5138" i="26"/>
  <c r="B5139" i="26"/>
  <c r="B5140" i="26"/>
  <c r="B5141" i="26"/>
  <c r="B5142" i="26"/>
  <c r="B5143" i="26"/>
  <c r="B5144" i="26"/>
  <c r="B5145" i="26"/>
  <c r="B5146" i="26"/>
  <c r="B5147" i="26"/>
  <c r="B5148" i="26"/>
  <c r="B5149" i="26"/>
  <c r="B5150" i="26"/>
  <c r="B5151" i="26"/>
  <c r="B5152" i="26"/>
  <c r="B5153" i="26"/>
  <c r="B5154" i="26"/>
  <c r="B5155" i="26"/>
  <c r="B5156" i="26"/>
  <c r="B5157" i="26"/>
  <c r="B5158" i="26"/>
  <c r="B5159" i="26"/>
  <c r="B5160" i="26"/>
  <c r="B5161" i="26"/>
  <c r="B5162" i="26"/>
  <c r="B5163" i="26"/>
  <c r="B5164" i="26"/>
  <c r="B5165" i="26"/>
  <c r="B5166" i="26"/>
  <c r="B5167" i="26"/>
  <c r="B5168" i="26"/>
  <c r="B5169" i="26"/>
  <c r="B5170" i="26"/>
  <c r="B5171" i="26"/>
  <c r="B5172" i="26"/>
  <c r="B5173" i="26"/>
  <c r="B5174" i="26"/>
  <c r="B5175" i="26"/>
  <c r="B5176" i="26"/>
  <c r="B5177" i="26"/>
  <c r="B5178" i="26"/>
  <c r="B5179" i="26"/>
  <c r="B5180" i="26"/>
  <c r="B5181" i="26"/>
  <c r="B5182" i="26"/>
  <c r="B5183" i="26"/>
  <c r="B5184" i="26"/>
  <c r="B5185" i="26"/>
  <c r="B5186" i="26"/>
  <c r="B5187" i="26"/>
  <c r="B5188" i="26"/>
  <c r="B5189" i="26"/>
  <c r="B5190" i="26"/>
  <c r="B5191" i="26"/>
  <c r="B5192" i="26"/>
  <c r="B5193" i="26"/>
  <c r="B5194" i="26"/>
  <c r="B5195" i="26"/>
  <c r="B5196" i="26"/>
  <c r="B5197" i="26"/>
  <c r="B5198" i="26"/>
  <c r="B5199" i="26"/>
  <c r="B5200" i="26"/>
  <c r="B5201" i="26"/>
  <c r="B5202" i="26"/>
  <c r="B5203" i="26"/>
  <c r="B5204" i="26"/>
  <c r="B5205" i="26"/>
  <c r="B5206" i="26"/>
  <c r="B5207" i="26"/>
  <c r="B5208" i="26"/>
  <c r="B5209" i="26"/>
  <c r="B5210" i="26"/>
  <c r="B5211" i="26"/>
  <c r="B5212" i="26"/>
  <c r="B5213" i="26"/>
  <c r="B5214" i="26"/>
  <c r="B5215" i="26"/>
  <c r="B5216" i="26"/>
  <c r="B5217" i="26"/>
  <c r="B5218" i="26"/>
  <c r="B5219" i="26"/>
  <c r="B5220" i="26"/>
  <c r="B5221" i="26"/>
  <c r="B5222" i="26"/>
  <c r="B5223" i="26"/>
  <c r="B5224" i="26"/>
  <c r="B5225" i="26"/>
  <c r="B5226" i="26"/>
  <c r="B5227" i="26"/>
  <c r="B5228" i="26"/>
  <c r="B5229" i="26"/>
  <c r="B5230" i="26"/>
  <c r="B5231" i="26"/>
  <c r="B5232" i="26"/>
  <c r="B5233" i="26"/>
  <c r="B5234" i="26"/>
  <c r="B5235" i="26"/>
  <c r="B5236" i="26"/>
  <c r="B5237" i="26"/>
  <c r="B5238" i="26"/>
  <c r="B5239" i="26"/>
  <c r="B5240" i="26"/>
  <c r="B5241" i="26"/>
  <c r="B5242" i="26"/>
  <c r="B5243" i="26"/>
  <c r="B5244" i="26"/>
  <c r="B5245" i="26"/>
  <c r="B5246" i="26"/>
  <c r="B5247" i="26"/>
  <c r="B5248" i="26"/>
  <c r="B5249" i="26"/>
  <c r="B5250" i="26"/>
  <c r="B5251" i="26"/>
  <c r="B5252" i="26"/>
  <c r="B5253" i="26"/>
  <c r="B5254" i="26"/>
  <c r="B5255" i="26"/>
  <c r="B5256" i="26"/>
  <c r="B5257" i="26"/>
  <c r="B5258" i="26"/>
  <c r="B5259" i="26"/>
  <c r="B5260" i="26"/>
  <c r="B5261" i="26"/>
  <c r="B5262" i="26"/>
  <c r="B5263" i="26"/>
  <c r="B5264" i="26"/>
  <c r="B5265" i="26"/>
  <c r="B5266" i="26"/>
  <c r="B5267" i="26"/>
  <c r="B5268" i="26"/>
  <c r="B5269" i="26"/>
  <c r="B5270" i="26"/>
  <c r="B5271" i="26"/>
  <c r="B5272" i="26"/>
  <c r="B5273" i="26"/>
  <c r="B5274" i="26"/>
  <c r="B5275" i="26"/>
  <c r="B5276" i="26"/>
  <c r="B5277" i="26"/>
  <c r="B5278" i="26"/>
  <c r="B5279" i="26"/>
  <c r="B5280" i="26"/>
  <c r="B5281" i="26"/>
  <c r="B5282" i="26"/>
  <c r="B5283" i="26"/>
  <c r="B5284" i="26"/>
  <c r="B5285" i="26"/>
  <c r="B5286" i="26"/>
  <c r="B5287" i="26"/>
  <c r="B5288" i="26"/>
  <c r="B5289" i="26"/>
  <c r="B5290" i="26"/>
  <c r="B5291" i="26"/>
  <c r="B5292" i="26"/>
  <c r="B5293" i="26"/>
  <c r="B5294" i="26"/>
  <c r="B5295" i="26"/>
  <c r="B5296" i="26"/>
  <c r="B5297" i="26"/>
  <c r="B5298" i="26"/>
  <c r="B5299" i="26"/>
  <c r="B5300" i="26"/>
  <c r="B5301" i="26"/>
  <c r="B5302" i="26"/>
  <c r="B5303" i="26"/>
  <c r="B5304" i="26"/>
  <c r="B5305" i="26"/>
  <c r="B5306" i="26"/>
  <c r="B5307" i="26"/>
  <c r="B5308" i="26"/>
  <c r="B5309" i="26"/>
  <c r="B5310" i="26"/>
  <c r="B5311" i="26"/>
  <c r="B5312" i="26"/>
  <c r="B5313" i="26"/>
  <c r="B5314" i="26"/>
  <c r="B5315" i="26"/>
  <c r="B5316" i="26"/>
  <c r="B5317" i="26"/>
  <c r="B5318" i="26"/>
  <c r="B5319" i="26"/>
  <c r="B5320" i="26"/>
  <c r="B5321" i="26"/>
  <c r="B5322" i="26"/>
  <c r="B5323" i="26"/>
  <c r="B5324" i="26"/>
  <c r="B5325" i="26"/>
  <c r="B5326" i="26"/>
  <c r="B5327" i="26"/>
  <c r="B5328" i="26"/>
  <c r="B5329" i="26"/>
  <c r="B5330" i="26"/>
  <c r="B5331" i="26"/>
  <c r="B5332" i="26"/>
  <c r="B5333" i="26"/>
  <c r="B5334" i="26"/>
  <c r="B5335" i="26"/>
  <c r="B5336" i="26"/>
  <c r="B5337" i="26"/>
  <c r="B5338" i="26"/>
  <c r="B5339" i="26"/>
  <c r="B5340" i="26"/>
  <c r="B5341" i="26"/>
  <c r="B5342" i="26"/>
  <c r="B5343" i="26"/>
  <c r="B5344" i="26"/>
  <c r="B5345" i="26"/>
  <c r="B5346" i="26"/>
  <c r="B5347" i="26"/>
  <c r="B5348" i="26"/>
  <c r="B5349" i="26"/>
  <c r="B5350" i="26"/>
  <c r="B5351" i="26"/>
  <c r="B5352" i="26"/>
  <c r="B5353" i="26"/>
  <c r="B5354" i="26"/>
  <c r="B5355" i="26"/>
  <c r="B5356" i="26"/>
  <c r="B5357" i="26"/>
  <c r="B5358" i="26"/>
  <c r="B5359" i="26"/>
  <c r="B5360" i="26"/>
  <c r="B5361" i="26"/>
  <c r="B5362" i="26"/>
  <c r="B5363" i="26"/>
  <c r="B5364" i="26"/>
  <c r="B5365" i="26"/>
  <c r="B5366" i="26"/>
  <c r="B5367" i="26"/>
  <c r="B5368" i="26"/>
  <c r="B5369" i="26"/>
  <c r="B5370" i="26"/>
  <c r="B5371" i="26"/>
  <c r="B5372" i="26"/>
  <c r="B5373" i="26"/>
  <c r="B5374" i="26"/>
  <c r="B5375" i="26"/>
  <c r="B5376" i="26"/>
  <c r="B5377" i="26"/>
  <c r="B5378" i="26"/>
  <c r="B5379" i="26"/>
  <c r="B5380" i="26"/>
  <c r="B5381" i="26"/>
  <c r="B5382" i="26"/>
  <c r="B5383" i="26"/>
  <c r="B5384" i="26"/>
  <c r="B5385" i="26"/>
  <c r="B5386" i="26"/>
  <c r="B5387" i="26"/>
  <c r="B5388" i="26"/>
  <c r="B5389" i="26"/>
  <c r="B5390" i="26"/>
  <c r="B5391" i="26"/>
  <c r="B5392" i="26"/>
  <c r="B5393" i="26"/>
  <c r="B5394" i="26"/>
  <c r="B5395" i="26"/>
  <c r="B5396" i="26"/>
  <c r="B5397" i="26"/>
  <c r="B5398" i="26"/>
  <c r="B5399" i="26"/>
  <c r="B5400" i="26"/>
  <c r="B5401" i="26"/>
  <c r="B5402" i="26"/>
  <c r="B5403" i="26"/>
  <c r="B5404" i="26"/>
  <c r="B5405" i="26"/>
  <c r="B5406" i="26"/>
  <c r="B5407" i="26"/>
  <c r="B5408" i="26"/>
  <c r="B5409" i="26"/>
  <c r="B5410" i="26"/>
  <c r="B5411" i="26"/>
  <c r="B5412" i="26"/>
  <c r="B5413" i="26"/>
  <c r="B5414" i="26"/>
  <c r="B5415" i="26"/>
  <c r="B5416" i="26"/>
  <c r="B5417" i="26"/>
  <c r="B5418" i="26"/>
  <c r="B5419" i="26"/>
  <c r="B5420" i="26"/>
  <c r="B5421" i="26"/>
  <c r="B5422" i="26"/>
  <c r="B5423" i="26"/>
  <c r="B5424" i="26"/>
  <c r="B5425" i="26"/>
  <c r="B5426" i="26"/>
  <c r="B5427" i="26"/>
  <c r="B5428" i="26"/>
  <c r="B5429" i="26"/>
  <c r="B5430" i="26"/>
  <c r="B5431" i="26"/>
  <c r="B5432" i="26"/>
  <c r="B5433" i="26"/>
  <c r="B5434" i="26"/>
  <c r="B5435" i="26"/>
  <c r="B5436" i="26"/>
  <c r="B5437" i="26"/>
  <c r="B5438" i="26"/>
  <c r="B5439" i="26"/>
  <c r="B5440" i="26"/>
  <c r="B5441" i="26"/>
  <c r="B5442" i="26"/>
  <c r="B5443" i="26"/>
  <c r="B5444" i="26"/>
  <c r="B5445" i="26"/>
  <c r="B5446" i="26"/>
  <c r="B5447" i="26"/>
  <c r="B5448" i="26"/>
  <c r="B5449" i="26"/>
  <c r="B5450" i="26"/>
  <c r="B5451" i="26"/>
  <c r="B5452" i="26"/>
  <c r="B5453" i="26"/>
  <c r="B5454" i="26"/>
  <c r="B5455" i="26"/>
  <c r="B5456" i="26"/>
  <c r="B5457" i="26"/>
  <c r="B5458" i="26"/>
  <c r="B5459" i="26"/>
  <c r="B5460" i="26"/>
  <c r="B5461" i="26"/>
  <c r="B5462" i="26"/>
  <c r="B5463" i="26"/>
  <c r="B5464" i="26"/>
  <c r="B5465" i="26"/>
  <c r="B5466" i="26"/>
  <c r="B5467" i="26"/>
  <c r="B5468" i="26"/>
  <c r="B5469" i="26"/>
  <c r="B5470" i="26"/>
  <c r="B5471" i="26"/>
  <c r="B5472" i="26"/>
  <c r="B5473" i="26"/>
  <c r="B5474" i="26"/>
  <c r="B5475" i="26"/>
  <c r="B5476" i="26"/>
  <c r="B5477" i="26"/>
  <c r="B5478" i="26"/>
  <c r="B5479" i="26"/>
  <c r="B5480" i="26"/>
  <c r="B5481" i="26"/>
  <c r="B5482" i="26"/>
  <c r="B5483" i="26"/>
  <c r="B5484" i="26"/>
  <c r="B5485" i="26"/>
  <c r="B5486" i="26"/>
  <c r="B5487" i="26"/>
  <c r="B5488" i="26"/>
  <c r="B5489" i="26"/>
  <c r="B5490" i="26"/>
  <c r="B5491" i="26"/>
  <c r="B5492" i="26"/>
  <c r="B5493" i="26"/>
  <c r="B5494" i="26"/>
  <c r="B5495" i="26"/>
  <c r="B5496" i="26"/>
  <c r="B5497" i="26"/>
  <c r="B5498" i="26"/>
  <c r="B5499" i="26"/>
  <c r="B5500" i="26"/>
  <c r="B5501" i="26"/>
  <c r="B5502" i="26"/>
  <c r="B5503" i="26"/>
  <c r="B5504" i="26"/>
  <c r="B5505" i="26"/>
  <c r="B5506" i="26"/>
  <c r="B5507" i="26"/>
  <c r="B5508" i="26"/>
  <c r="B5509" i="26"/>
  <c r="B5510" i="26"/>
  <c r="B5511" i="26"/>
  <c r="B5512" i="26"/>
  <c r="B5513" i="26"/>
  <c r="B5514" i="26"/>
  <c r="B5515" i="26"/>
  <c r="B5516" i="26"/>
  <c r="B5517" i="26"/>
  <c r="B5518" i="26"/>
  <c r="B5519" i="26"/>
  <c r="B5520" i="26"/>
  <c r="B5521" i="26"/>
  <c r="B5522" i="26"/>
  <c r="B5523" i="26"/>
  <c r="B5524" i="26"/>
  <c r="B5525" i="26"/>
  <c r="B5526" i="26"/>
  <c r="B5527" i="26"/>
  <c r="B5528" i="26"/>
  <c r="B5529" i="26"/>
  <c r="B5530" i="26"/>
  <c r="B5531" i="26"/>
  <c r="B5532" i="26"/>
  <c r="B5533" i="26"/>
  <c r="B5534" i="26"/>
  <c r="B5535" i="26"/>
  <c r="B5536" i="26"/>
  <c r="B5537" i="26"/>
  <c r="B5538" i="26"/>
  <c r="B5539" i="26"/>
  <c r="B5540" i="26"/>
  <c r="B5541" i="26"/>
  <c r="B5542" i="26"/>
  <c r="B5543" i="26"/>
  <c r="B5544" i="26"/>
  <c r="B5545" i="26"/>
  <c r="B5546" i="26"/>
  <c r="B5547" i="26"/>
  <c r="B5548" i="26"/>
  <c r="B5549" i="26"/>
  <c r="B5550" i="26"/>
  <c r="B5551" i="26"/>
  <c r="B5552" i="26"/>
  <c r="B5553" i="26"/>
  <c r="B5554" i="26"/>
  <c r="B5555" i="26"/>
  <c r="B5556" i="26"/>
  <c r="B5557" i="26"/>
  <c r="B5558" i="26"/>
  <c r="B5559" i="26"/>
  <c r="B5560" i="26"/>
  <c r="B5561" i="26"/>
  <c r="B5562" i="26"/>
  <c r="B5563" i="26"/>
  <c r="B5564" i="26"/>
  <c r="B5565" i="26"/>
  <c r="B5566" i="26"/>
  <c r="B5567" i="26"/>
  <c r="B5568" i="26"/>
  <c r="B5569" i="26"/>
  <c r="B5570" i="26"/>
  <c r="B5571" i="26"/>
  <c r="B5572" i="26"/>
  <c r="B5573" i="26"/>
  <c r="B5574" i="26"/>
  <c r="B5575" i="26"/>
  <c r="B5576" i="26"/>
  <c r="B5577" i="26"/>
  <c r="B5578" i="26"/>
  <c r="B5579" i="26"/>
  <c r="B5580" i="26"/>
  <c r="B5581" i="26"/>
  <c r="B5582" i="26"/>
  <c r="B5583" i="26"/>
  <c r="B5584" i="26"/>
  <c r="B5585" i="26"/>
  <c r="B5586" i="26"/>
  <c r="B5587" i="26"/>
  <c r="B5588" i="26"/>
  <c r="B5589" i="26"/>
  <c r="B5590" i="26"/>
  <c r="B5591" i="26"/>
  <c r="B5592" i="26"/>
  <c r="B5593" i="26"/>
  <c r="B5594" i="26"/>
  <c r="B5595" i="26"/>
  <c r="B5596" i="26"/>
  <c r="B5597" i="26"/>
  <c r="B5598" i="26"/>
  <c r="B5599" i="26"/>
  <c r="B5600" i="26"/>
  <c r="B5601" i="26"/>
  <c r="B5602" i="26"/>
  <c r="B5603" i="26"/>
  <c r="B5604" i="26"/>
  <c r="B5605" i="26"/>
  <c r="B5606" i="26"/>
  <c r="B5607" i="26"/>
  <c r="B5608" i="26"/>
  <c r="B5609" i="26"/>
  <c r="B5610" i="26"/>
  <c r="B5611" i="26"/>
  <c r="B5612" i="26"/>
  <c r="B5613" i="26"/>
  <c r="B5614" i="26"/>
  <c r="B5615" i="26"/>
  <c r="B5616" i="26"/>
  <c r="B5617" i="26"/>
  <c r="B5618" i="26"/>
  <c r="B5619" i="26"/>
  <c r="B5620" i="26"/>
  <c r="B5621" i="26"/>
  <c r="B5622" i="26"/>
  <c r="B5623" i="26"/>
  <c r="B5624" i="26"/>
  <c r="B5625" i="26"/>
  <c r="B5626" i="26"/>
  <c r="B5627" i="26"/>
  <c r="B5628" i="26"/>
  <c r="B5629" i="26"/>
  <c r="B5630" i="26"/>
  <c r="B5631" i="26"/>
  <c r="B5632" i="26"/>
  <c r="B5633" i="26"/>
  <c r="B5634" i="26"/>
  <c r="B5635" i="26"/>
  <c r="B5636" i="26"/>
  <c r="B5637" i="26"/>
  <c r="B5638" i="26"/>
  <c r="B5639" i="26"/>
  <c r="B5640" i="26"/>
  <c r="B5641" i="26"/>
  <c r="B5642" i="26"/>
  <c r="B5643" i="26"/>
  <c r="B5644" i="26"/>
  <c r="B5645" i="26"/>
  <c r="B5646" i="26"/>
  <c r="B5647" i="26"/>
  <c r="B5648" i="26"/>
  <c r="B5649" i="26"/>
  <c r="B5650" i="26"/>
  <c r="B5651" i="26"/>
  <c r="B5652" i="26"/>
  <c r="B5653" i="26"/>
  <c r="B5654" i="26"/>
  <c r="B5655" i="26"/>
  <c r="B5656" i="26"/>
  <c r="B5657" i="26"/>
  <c r="B5658" i="26"/>
  <c r="B5659" i="26"/>
  <c r="B5660" i="26"/>
  <c r="B5661" i="26"/>
  <c r="B5662" i="26"/>
  <c r="B5663" i="26"/>
  <c r="B5664" i="26"/>
  <c r="B5665" i="26"/>
  <c r="B5666" i="26"/>
  <c r="B5667" i="26"/>
  <c r="B5668" i="26"/>
  <c r="B5669" i="26"/>
  <c r="B5670" i="26"/>
  <c r="B5671" i="26"/>
  <c r="B5672" i="26"/>
  <c r="B5673" i="26"/>
  <c r="B5674" i="26"/>
  <c r="B5675" i="26"/>
  <c r="B5676" i="26"/>
  <c r="B5677" i="26"/>
  <c r="B5678" i="26"/>
  <c r="B5679" i="26"/>
  <c r="B5680" i="26"/>
  <c r="B5681" i="26"/>
  <c r="B5682" i="26"/>
  <c r="B5683" i="26"/>
  <c r="B5684" i="26"/>
  <c r="B5685" i="26"/>
  <c r="B5686" i="26"/>
  <c r="B5687" i="26"/>
  <c r="B5688" i="26"/>
  <c r="B5689" i="26"/>
  <c r="B5690" i="26"/>
  <c r="B5691" i="26"/>
  <c r="B5692" i="26"/>
  <c r="B5693" i="26"/>
  <c r="B5694" i="26"/>
  <c r="B5695" i="26"/>
  <c r="B5696" i="26"/>
  <c r="B5697" i="26"/>
  <c r="B5698" i="26"/>
  <c r="B5699" i="26"/>
  <c r="B5700" i="26"/>
  <c r="B5701" i="26"/>
  <c r="B5702" i="26"/>
  <c r="B5703" i="26"/>
  <c r="B5704" i="26"/>
  <c r="B5705" i="26"/>
  <c r="B5706" i="26"/>
  <c r="B5707" i="26"/>
  <c r="B5708" i="26"/>
  <c r="B5709" i="26"/>
  <c r="B5710" i="26"/>
  <c r="B5711" i="26"/>
  <c r="B5712" i="26"/>
  <c r="B5713" i="26"/>
  <c r="B5714" i="26"/>
  <c r="B5715" i="26"/>
  <c r="B5716" i="26"/>
  <c r="B5717" i="26"/>
  <c r="B5718" i="26"/>
  <c r="B5719" i="26"/>
  <c r="B5720" i="26"/>
  <c r="B5721" i="26"/>
  <c r="B5722" i="26"/>
  <c r="B5723" i="26"/>
  <c r="B5724" i="26"/>
  <c r="B5725" i="26"/>
  <c r="B5726" i="26"/>
  <c r="B5727" i="26"/>
  <c r="B5728" i="26"/>
  <c r="B5729" i="26"/>
  <c r="B5730" i="26"/>
  <c r="B5731" i="26"/>
  <c r="B5732" i="26"/>
  <c r="B5733" i="26"/>
  <c r="B5734" i="26"/>
  <c r="B5735" i="26"/>
  <c r="B5736" i="26"/>
  <c r="B5737" i="26"/>
  <c r="B5738" i="26"/>
  <c r="B5739" i="26"/>
  <c r="B5740" i="26"/>
  <c r="B5741" i="26"/>
  <c r="B5742" i="26"/>
  <c r="B5743" i="26"/>
  <c r="B5744" i="26"/>
  <c r="B5745" i="26"/>
  <c r="B5746" i="26"/>
  <c r="B5747" i="26"/>
  <c r="B5748" i="26"/>
  <c r="B5749" i="26"/>
  <c r="B5750" i="26"/>
  <c r="B5751" i="26"/>
  <c r="B5752" i="26"/>
  <c r="B5753" i="26"/>
  <c r="B5754" i="26"/>
  <c r="B5755" i="26"/>
  <c r="B5756" i="26"/>
  <c r="B5757" i="26"/>
  <c r="B5758" i="26"/>
  <c r="B5759" i="26"/>
  <c r="B5760" i="26"/>
  <c r="B5761" i="26"/>
  <c r="B5762" i="26"/>
  <c r="B5763" i="26"/>
  <c r="B5764" i="26"/>
  <c r="B5765" i="26"/>
  <c r="B5766" i="26"/>
  <c r="B5767" i="26"/>
  <c r="B5768" i="26"/>
  <c r="B5769" i="26"/>
  <c r="B5770" i="26"/>
  <c r="B5771" i="26"/>
  <c r="B5772" i="26"/>
  <c r="B5773" i="26"/>
  <c r="B5774" i="26"/>
  <c r="B5775" i="26"/>
  <c r="B5776" i="26"/>
  <c r="B5777" i="26"/>
  <c r="B5778" i="26"/>
  <c r="B5779" i="26"/>
  <c r="B5780" i="26"/>
  <c r="B5781" i="26"/>
  <c r="B5782" i="26"/>
  <c r="B5783" i="26"/>
  <c r="B5784" i="26"/>
  <c r="B5785" i="26"/>
  <c r="B5786" i="26"/>
  <c r="B5787" i="26"/>
  <c r="B5788" i="26"/>
  <c r="B5789" i="26"/>
  <c r="B5790" i="26"/>
  <c r="B5791" i="26"/>
  <c r="B5792" i="26"/>
  <c r="B5793" i="26"/>
  <c r="B5794" i="26"/>
  <c r="B5795" i="26"/>
  <c r="B5796" i="26"/>
  <c r="B5797" i="26"/>
  <c r="B5798" i="26"/>
  <c r="B5799" i="26"/>
  <c r="B5800" i="26"/>
  <c r="B5801" i="26"/>
  <c r="B5802" i="26"/>
  <c r="B5803" i="26"/>
  <c r="B5804" i="26"/>
  <c r="B5805" i="26"/>
  <c r="B5806" i="26"/>
  <c r="B5807" i="26"/>
  <c r="B5808" i="26"/>
  <c r="B5809" i="26"/>
  <c r="B5810" i="26"/>
  <c r="B5811" i="26"/>
  <c r="B5812" i="26"/>
  <c r="B5813" i="26"/>
  <c r="B5814" i="26"/>
  <c r="B5815" i="26"/>
  <c r="B5816" i="26"/>
  <c r="B5817" i="26"/>
  <c r="B5818" i="26"/>
  <c r="B5819" i="26"/>
  <c r="B5820" i="26"/>
  <c r="B5821" i="26"/>
  <c r="B5822" i="26"/>
  <c r="B5823" i="26"/>
  <c r="B5824" i="26"/>
  <c r="B5825" i="26"/>
  <c r="B5826" i="26"/>
  <c r="B5827" i="26"/>
  <c r="B5828" i="26"/>
  <c r="B5829" i="26"/>
  <c r="B5830" i="26"/>
  <c r="B5831" i="26"/>
  <c r="B5832" i="26"/>
  <c r="B5833" i="26"/>
  <c r="B5834" i="26"/>
  <c r="B5835" i="26"/>
  <c r="B5836" i="26"/>
  <c r="B5837" i="26"/>
  <c r="B5838" i="26"/>
  <c r="B5839" i="26"/>
  <c r="B5840" i="26"/>
  <c r="B5841" i="26"/>
  <c r="B5842" i="26"/>
  <c r="B5843" i="26"/>
  <c r="B5844" i="26"/>
  <c r="B5845" i="26"/>
  <c r="B5846" i="26"/>
  <c r="B5847" i="26"/>
  <c r="B5848" i="26"/>
  <c r="B5849" i="26"/>
  <c r="B5850" i="26"/>
  <c r="B5851" i="26"/>
  <c r="B5852" i="26"/>
  <c r="B5853" i="26"/>
  <c r="B5854" i="26"/>
  <c r="B5855" i="26"/>
  <c r="B5856" i="26"/>
  <c r="B5857" i="26"/>
  <c r="B5858" i="26"/>
  <c r="B5859" i="26"/>
  <c r="B5860" i="26"/>
  <c r="B5861" i="26"/>
  <c r="B5862" i="26"/>
  <c r="B5863" i="26"/>
  <c r="B5864" i="26"/>
  <c r="B5865" i="26"/>
  <c r="B5866" i="26"/>
  <c r="B5867" i="26"/>
  <c r="B5868" i="26"/>
  <c r="B5869" i="26"/>
  <c r="B5870" i="26"/>
  <c r="B5871" i="26"/>
  <c r="B5872" i="26"/>
  <c r="B5873" i="26"/>
  <c r="B5874" i="26"/>
  <c r="B5875" i="26"/>
  <c r="B5876" i="26"/>
  <c r="B5877" i="26"/>
  <c r="B5878" i="26"/>
  <c r="B5879" i="26"/>
  <c r="B5880" i="26"/>
  <c r="B5881" i="26"/>
  <c r="B5882" i="26"/>
  <c r="B5883" i="26"/>
  <c r="B5884" i="26"/>
  <c r="B5885" i="26"/>
  <c r="B5886" i="26"/>
  <c r="B5887" i="26"/>
  <c r="B5888" i="26"/>
  <c r="B5889" i="26"/>
  <c r="B5890" i="26"/>
  <c r="B5891" i="26"/>
  <c r="B5892" i="26"/>
  <c r="B5893" i="26"/>
  <c r="B5894" i="26"/>
  <c r="B5895" i="26"/>
  <c r="B5896" i="26"/>
  <c r="B5897" i="26"/>
  <c r="B5898" i="26"/>
  <c r="B5899" i="26"/>
  <c r="B5900" i="26"/>
  <c r="B5901" i="26"/>
  <c r="B5902" i="26"/>
  <c r="B5903" i="26"/>
  <c r="B5904" i="26"/>
  <c r="B5905" i="26"/>
  <c r="B5906" i="26"/>
  <c r="B5907" i="26"/>
  <c r="B5908" i="26"/>
  <c r="B5909" i="26"/>
  <c r="B5910" i="26"/>
  <c r="B5911" i="26"/>
  <c r="B5912" i="26"/>
  <c r="B5913" i="26"/>
  <c r="B5914" i="26"/>
  <c r="B5915" i="26"/>
  <c r="B5916" i="26"/>
  <c r="B5917" i="26"/>
  <c r="B5918" i="26"/>
  <c r="B5919" i="26"/>
  <c r="B5920" i="26"/>
  <c r="B5921" i="26"/>
  <c r="B5922" i="26"/>
  <c r="B5923" i="26"/>
  <c r="B5924" i="26"/>
  <c r="B5925" i="26"/>
  <c r="B5926" i="26"/>
  <c r="B5927" i="26"/>
  <c r="B5928" i="26"/>
  <c r="B5929" i="26"/>
  <c r="B5930" i="26"/>
  <c r="B5931" i="26"/>
  <c r="B5932" i="26"/>
  <c r="B5933" i="26"/>
  <c r="B5934" i="26"/>
  <c r="B5935" i="26"/>
  <c r="B5936" i="26"/>
  <c r="B5937" i="26"/>
  <c r="B5938" i="26"/>
  <c r="B5939" i="26"/>
  <c r="B5940" i="26"/>
  <c r="B5941" i="26"/>
  <c r="B5942" i="26"/>
  <c r="B5943" i="26"/>
  <c r="B5944" i="26"/>
  <c r="B5945" i="26"/>
  <c r="B5946" i="26"/>
  <c r="B5947" i="26"/>
  <c r="B5948" i="26"/>
  <c r="B5949" i="26"/>
  <c r="B5950" i="26"/>
  <c r="B5951" i="26"/>
  <c r="B5952" i="26"/>
  <c r="B5953" i="26"/>
  <c r="B5954" i="26"/>
  <c r="B5955" i="26"/>
  <c r="B5956" i="26"/>
  <c r="B5957" i="26"/>
  <c r="B5958" i="26"/>
  <c r="B5959" i="26"/>
  <c r="B5960" i="26"/>
  <c r="B5961" i="26"/>
  <c r="B5962" i="26"/>
  <c r="B5963" i="26"/>
  <c r="B5964" i="26"/>
  <c r="B5965" i="26"/>
  <c r="B5966" i="26"/>
  <c r="B5967" i="26"/>
  <c r="B5968" i="26"/>
  <c r="B5969" i="26"/>
  <c r="B5970" i="26"/>
  <c r="B5971" i="26"/>
  <c r="B5972" i="26"/>
  <c r="B5973" i="26"/>
  <c r="B5974" i="26"/>
  <c r="B5975" i="26"/>
  <c r="B5976" i="26"/>
  <c r="B5977" i="26"/>
  <c r="B5978" i="26"/>
  <c r="B5979" i="26"/>
  <c r="B5980" i="26"/>
  <c r="B5981" i="26"/>
  <c r="B5982" i="26"/>
  <c r="B5983" i="26"/>
  <c r="B5984" i="26"/>
  <c r="B5985" i="26"/>
  <c r="B5986" i="26"/>
  <c r="B5987" i="26"/>
  <c r="B5988" i="26"/>
  <c r="B5989" i="26"/>
  <c r="B5990" i="26"/>
  <c r="B5991" i="26"/>
  <c r="B5992" i="26"/>
  <c r="B5993" i="26"/>
  <c r="B5994" i="26"/>
  <c r="B5995" i="26"/>
  <c r="B5996" i="26"/>
  <c r="B5997" i="26"/>
  <c r="B5998" i="26"/>
  <c r="B5999" i="26"/>
  <c r="B6000" i="26"/>
  <c r="B6001" i="26"/>
  <c r="B6002" i="26"/>
  <c r="B6003" i="26"/>
  <c r="B6004" i="26"/>
  <c r="B6005" i="26"/>
  <c r="B6006" i="26"/>
  <c r="B6007" i="26"/>
  <c r="B6008" i="26"/>
  <c r="B6009" i="26"/>
  <c r="B6010" i="26"/>
  <c r="B6011" i="26"/>
  <c r="B6012" i="26"/>
  <c r="B6013" i="26"/>
  <c r="B6014" i="26"/>
  <c r="B6015" i="26"/>
  <c r="B6016" i="26"/>
  <c r="B6017" i="26"/>
  <c r="B6018" i="26"/>
  <c r="B6019" i="26"/>
  <c r="B6020" i="26"/>
  <c r="B6021" i="26"/>
  <c r="B6022" i="26"/>
  <c r="B6023" i="26"/>
  <c r="B6024" i="26"/>
  <c r="B6025" i="26"/>
  <c r="B6026" i="26"/>
  <c r="B6027" i="26"/>
  <c r="B6028" i="26"/>
  <c r="B6029" i="26"/>
  <c r="B6030" i="26"/>
  <c r="B6031" i="26"/>
  <c r="B6032" i="26"/>
  <c r="B6033" i="26"/>
  <c r="B6034" i="26"/>
  <c r="B6035" i="26"/>
  <c r="B6036" i="26"/>
  <c r="B6037" i="26"/>
  <c r="B6038" i="26"/>
  <c r="B6039" i="26"/>
  <c r="B6040" i="26"/>
  <c r="B6041" i="26"/>
  <c r="B6042" i="26"/>
  <c r="B6043" i="26"/>
  <c r="B6044" i="26"/>
  <c r="B6045" i="26"/>
  <c r="B6046" i="26"/>
  <c r="B6047" i="26"/>
  <c r="B6048" i="26"/>
  <c r="B6049" i="26"/>
  <c r="B6050" i="26"/>
  <c r="B6051" i="26"/>
  <c r="B6052" i="26"/>
  <c r="B6053" i="26"/>
  <c r="B6054" i="26"/>
  <c r="B6055" i="26"/>
  <c r="B6056" i="26"/>
  <c r="B6057" i="26"/>
  <c r="B6058" i="26"/>
  <c r="B6059" i="26"/>
  <c r="B6060" i="26"/>
  <c r="B6061" i="26"/>
  <c r="B6062" i="26"/>
  <c r="B6063" i="26"/>
  <c r="B6064" i="26"/>
  <c r="B6065" i="26"/>
  <c r="B6066" i="26"/>
  <c r="B6067" i="26"/>
  <c r="B6068" i="26"/>
  <c r="B6069" i="26"/>
  <c r="B6070" i="26"/>
  <c r="B6071" i="26"/>
  <c r="B6072" i="26"/>
  <c r="B6073" i="26"/>
  <c r="B6074" i="26"/>
  <c r="B6075" i="26"/>
  <c r="B6076" i="26"/>
  <c r="B6077" i="26"/>
  <c r="B6078" i="26"/>
  <c r="B6079" i="26"/>
  <c r="B6080" i="26"/>
  <c r="B6081" i="26"/>
  <c r="B6082" i="26"/>
  <c r="B6083" i="26"/>
  <c r="B6084" i="26"/>
  <c r="B6085" i="26"/>
  <c r="B6086" i="26"/>
  <c r="B6087" i="26"/>
  <c r="B6088" i="26"/>
  <c r="B6089" i="26"/>
  <c r="B6090" i="26"/>
  <c r="B6091" i="26"/>
  <c r="B6092" i="26"/>
  <c r="B6093" i="26"/>
  <c r="B6094" i="26"/>
  <c r="B6095" i="26"/>
  <c r="B6096" i="26"/>
  <c r="B6097" i="26"/>
  <c r="B6098" i="26"/>
  <c r="B6099" i="26"/>
  <c r="B6100" i="26"/>
  <c r="B6101" i="26"/>
  <c r="B6102" i="26"/>
  <c r="B6103" i="26"/>
  <c r="B6104" i="26"/>
  <c r="B6105" i="26"/>
  <c r="B6106" i="26"/>
  <c r="B6107" i="26"/>
  <c r="B6108" i="26"/>
  <c r="B6109" i="26"/>
  <c r="B6110" i="26"/>
  <c r="B6111" i="26"/>
  <c r="B6112" i="26"/>
  <c r="B6113" i="26"/>
  <c r="B6114" i="26"/>
  <c r="B6115" i="26"/>
  <c r="B6116" i="26"/>
  <c r="B6117" i="26"/>
  <c r="B6118" i="26"/>
  <c r="B6119" i="26"/>
  <c r="B6120" i="26"/>
  <c r="B6121" i="26"/>
  <c r="B6122" i="26"/>
  <c r="B6123" i="26"/>
  <c r="B6124" i="26"/>
  <c r="B6125" i="26"/>
  <c r="B6126" i="26"/>
  <c r="B6127" i="26"/>
  <c r="B6128" i="26"/>
  <c r="B6129" i="26"/>
  <c r="B6130" i="26"/>
  <c r="B6131" i="26"/>
  <c r="B6132" i="26"/>
  <c r="B6133" i="26"/>
  <c r="B6134" i="26"/>
  <c r="B6135" i="26"/>
  <c r="B6136" i="26"/>
  <c r="B6137" i="26"/>
  <c r="B6138" i="26"/>
  <c r="B6139" i="26"/>
  <c r="B6140" i="26"/>
  <c r="B6141" i="26"/>
  <c r="B6142" i="26"/>
  <c r="B6143" i="26"/>
  <c r="B6144" i="26"/>
  <c r="B6145" i="26"/>
  <c r="B6146" i="26"/>
  <c r="B6147" i="26"/>
  <c r="B6148" i="26"/>
  <c r="B6149" i="26"/>
  <c r="B6150" i="26"/>
  <c r="B6151" i="26"/>
  <c r="B6152" i="26"/>
  <c r="B6153" i="26"/>
  <c r="B6154" i="26"/>
  <c r="B6155" i="26"/>
  <c r="B6156" i="26"/>
  <c r="B6157" i="26"/>
  <c r="B6158" i="26"/>
  <c r="B6159" i="26"/>
  <c r="B6160" i="26"/>
  <c r="B6161" i="26"/>
  <c r="B6162" i="26"/>
  <c r="B6163" i="26"/>
  <c r="B6164" i="26"/>
  <c r="B6165" i="26"/>
  <c r="B6166" i="26"/>
  <c r="B6167" i="26"/>
  <c r="B6168" i="26"/>
  <c r="B6169" i="26"/>
  <c r="B6170" i="26"/>
  <c r="B6171" i="26"/>
  <c r="B6172" i="26"/>
  <c r="B6173" i="26"/>
  <c r="B6174" i="26"/>
  <c r="B6175" i="26"/>
  <c r="B6176" i="26"/>
  <c r="B6177" i="26"/>
  <c r="B6178" i="26"/>
  <c r="B6179" i="26"/>
  <c r="B6180" i="26"/>
  <c r="B6181" i="26"/>
  <c r="B6182" i="26"/>
  <c r="B6183" i="26"/>
  <c r="B6184" i="26"/>
  <c r="B6185" i="26"/>
  <c r="B6186" i="26"/>
  <c r="B6187" i="26"/>
  <c r="B6188" i="26"/>
  <c r="B6189" i="26"/>
  <c r="B6190" i="26"/>
  <c r="B6191" i="26"/>
  <c r="B6192" i="26"/>
  <c r="B6193" i="26"/>
  <c r="B6194" i="26"/>
  <c r="B6195" i="26"/>
  <c r="B6196" i="26"/>
  <c r="B6197" i="26"/>
  <c r="B6198" i="26"/>
  <c r="B6199" i="26"/>
  <c r="B6200" i="26"/>
  <c r="B6201" i="26"/>
  <c r="B6202" i="26"/>
  <c r="B6203" i="26"/>
  <c r="B6204" i="26"/>
  <c r="B6205" i="26"/>
  <c r="B6206" i="26"/>
  <c r="B6207" i="26"/>
  <c r="B6208" i="26"/>
  <c r="B6209" i="26"/>
  <c r="B6210" i="26"/>
  <c r="B6211" i="26"/>
  <c r="B6212" i="26"/>
  <c r="B6213" i="26"/>
  <c r="B6214" i="26"/>
  <c r="B6215" i="26"/>
  <c r="B6216" i="26"/>
  <c r="B6217" i="26"/>
  <c r="B6218" i="26"/>
  <c r="B6219" i="26"/>
  <c r="B6220" i="26"/>
  <c r="B6221" i="26"/>
  <c r="B6222" i="26"/>
  <c r="B6223" i="26"/>
  <c r="B6224" i="26"/>
  <c r="B6225" i="26"/>
  <c r="B6226" i="26"/>
  <c r="B6227" i="26"/>
  <c r="B6228" i="26"/>
  <c r="B6229" i="26"/>
  <c r="B6230" i="26"/>
  <c r="B6231" i="26"/>
  <c r="B6232" i="26"/>
  <c r="B6233" i="26"/>
  <c r="B6234" i="26"/>
  <c r="B6235" i="26"/>
  <c r="B6236" i="26"/>
  <c r="B6237" i="26"/>
  <c r="B6238" i="26"/>
  <c r="B6239" i="26"/>
  <c r="B6240" i="26"/>
  <c r="B6241" i="26"/>
  <c r="B6242" i="26"/>
  <c r="B6243" i="26"/>
  <c r="B6244" i="26"/>
  <c r="B6245" i="26"/>
  <c r="B6246" i="26"/>
  <c r="B6247" i="26"/>
  <c r="B6248" i="26"/>
  <c r="B6249" i="26"/>
  <c r="B6250" i="26"/>
  <c r="B6251" i="26"/>
  <c r="B6252" i="26"/>
  <c r="B6253" i="26"/>
  <c r="B6254" i="26"/>
  <c r="B6255" i="26"/>
  <c r="B6256" i="26"/>
  <c r="B6257" i="26"/>
  <c r="B6258" i="26"/>
  <c r="B6259" i="26"/>
  <c r="B6260" i="26"/>
  <c r="B6261" i="26"/>
  <c r="B6262" i="26"/>
  <c r="B6263" i="26"/>
  <c r="B6264" i="26"/>
  <c r="B6265" i="26"/>
  <c r="B6266" i="26"/>
  <c r="B6267" i="26"/>
  <c r="B6268" i="26"/>
  <c r="B6269" i="26"/>
  <c r="B6270" i="26"/>
  <c r="B6271" i="26"/>
  <c r="B6272" i="26"/>
  <c r="B6273" i="26"/>
  <c r="B6274" i="26"/>
  <c r="B6275" i="26"/>
  <c r="B6276" i="26"/>
  <c r="B6277" i="26"/>
  <c r="B6278" i="26"/>
  <c r="B6279" i="26"/>
  <c r="B6280" i="26"/>
  <c r="B6281" i="26"/>
  <c r="B6282" i="26"/>
  <c r="B6283" i="26"/>
  <c r="B6284" i="26"/>
  <c r="B6285" i="26"/>
  <c r="B6286" i="26"/>
  <c r="B6287" i="26"/>
  <c r="B6288" i="26"/>
  <c r="B6289" i="26"/>
  <c r="B6290" i="26"/>
  <c r="B6291" i="26"/>
  <c r="B6292" i="26"/>
  <c r="B6293" i="26"/>
  <c r="B6294" i="26"/>
  <c r="B6295" i="26"/>
  <c r="B6296" i="26"/>
  <c r="B6297" i="26"/>
  <c r="B6298" i="26"/>
  <c r="B6299" i="26"/>
  <c r="B6300" i="26"/>
  <c r="B6301" i="26"/>
  <c r="B6302" i="26"/>
  <c r="B6303" i="26"/>
  <c r="B6304" i="26"/>
  <c r="B6305" i="26"/>
  <c r="B6306" i="26"/>
  <c r="B6307" i="26"/>
  <c r="B6308" i="26"/>
  <c r="B6309" i="26"/>
  <c r="B6310" i="26"/>
  <c r="B6311" i="26"/>
  <c r="B6312" i="26"/>
  <c r="B6313" i="26"/>
  <c r="B6314" i="26"/>
  <c r="B6315" i="26"/>
  <c r="B6316" i="26"/>
  <c r="B6317" i="26"/>
  <c r="B6318" i="26"/>
  <c r="B6319" i="26"/>
  <c r="B6320" i="26"/>
  <c r="B6321" i="26"/>
  <c r="B6322" i="26"/>
  <c r="B6323" i="26"/>
  <c r="B6324" i="26"/>
  <c r="B6325" i="26"/>
  <c r="B6326" i="26"/>
  <c r="B6327" i="26"/>
  <c r="B6328" i="26"/>
  <c r="B6329" i="26"/>
  <c r="B6330" i="26"/>
  <c r="B6331" i="26"/>
  <c r="B6332" i="26"/>
  <c r="B6333" i="26"/>
  <c r="B6334" i="26"/>
  <c r="B6335" i="26"/>
  <c r="B6336" i="26"/>
  <c r="B6337" i="26"/>
  <c r="B6338" i="26"/>
  <c r="B6339" i="26"/>
  <c r="B6340" i="26"/>
  <c r="B6341" i="26"/>
  <c r="B6342" i="26"/>
  <c r="B6343" i="26"/>
  <c r="B6344" i="26"/>
  <c r="B6345" i="26"/>
  <c r="B6346" i="26"/>
  <c r="B6347" i="26"/>
  <c r="B6348" i="26"/>
  <c r="B6349" i="26"/>
  <c r="B6350" i="26"/>
  <c r="B6351" i="26"/>
  <c r="B6352" i="26"/>
  <c r="B6353" i="26"/>
  <c r="B6354" i="26"/>
  <c r="B6355" i="26"/>
  <c r="B6356" i="26"/>
  <c r="B6357" i="26"/>
  <c r="B6358" i="26"/>
  <c r="B6359" i="26"/>
  <c r="B6360" i="26"/>
  <c r="B6361" i="26"/>
  <c r="B6362" i="26"/>
  <c r="B6363" i="26"/>
  <c r="B6364" i="26"/>
  <c r="B6365" i="26"/>
  <c r="B6366" i="26"/>
  <c r="B6367" i="26"/>
  <c r="B6368" i="26"/>
  <c r="B6369" i="26"/>
  <c r="B6370" i="26"/>
  <c r="B6371" i="26"/>
  <c r="B6372" i="26"/>
  <c r="B6373" i="26"/>
  <c r="B6374" i="26"/>
  <c r="B6375" i="26"/>
  <c r="B6376" i="26"/>
  <c r="B6377" i="26"/>
  <c r="B6378" i="26"/>
  <c r="B6379" i="26"/>
  <c r="B6380" i="26"/>
  <c r="B6381" i="26"/>
  <c r="B6382" i="26"/>
  <c r="B6383" i="26"/>
  <c r="B6384" i="26"/>
  <c r="B6385" i="26"/>
  <c r="B6386" i="26"/>
  <c r="B6387" i="26"/>
  <c r="B6388" i="26"/>
  <c r="B6389" i="26"/>
  <c r="B6390" i="26"/>
  <c r="B6391" i="26"/>
  <c r="B6392" i="26"/>
  <c r="B6393" i="26"/>
  <c r="B6394" i="26"/>
  <c r="B6395" i="26"/>
  <c r="B6396" i="26"/>
  <c r="B6397" i="26"/>
  <c r="B6398" i="26"/>
  <c r="B6399" i="26"/>
  <c r="B6400" i="26"/>
  <c r="B6401" i="26"/>
  <c r="B6402" i="26"/>
  <c r="B6403" i="26"/>
  <c r="B6404" i="26"/>
  <c r="B6405" i="26"/>
  <c r="B6406" i="26"/>
  <c r="B6407" i="26"/>
  <c r="B6408" i="26"/>
  <c r="B6409" i="26"/>
  <c r="B6410" i="26"/>
  <c r="B6411" i="26"/>
  <c r="B6412" i="26"/>
  <c r="B6413" i="26"/>
  <c r="B6414" i="26"/>
  <c r="B6415" i="26"/>
  <c r="B6416" i="26"/>
  <c r="B6417" i="26"/>
  <c r="B6418" i="26"/>
  <c r="B6419" i="26"/>
  <c r="B6420" i="26"/>
  <c r="B6421" i="26"/>
  <c r="B6422" i="26"/>
  <c r="B6423" i="26"/>
  <c r="B6424" i="26"/>
  <c r="B6425" i="26"/>
  <c r="B6426" i="26"/>
  <c r="B6427" i="26"/>
  <c r="B6428" i="26"/>
  <c r="B6429" i="26"/>
  <c r="B6430" i="26"/>
  <c r="B6431" i="26"/>
  <c r="B6432" i="26"/>
  <c r="B6433" i="26"/>
  <c r="B6434" i="26"/>
  <c r="B6435" i="26"/>
  <c r="B6436" i="26"/>
  <c r="B6437" i="26"/>
  <c r="B6438" i="26"/>
  <c r="B6439" i="26"/>
  <c r="B6440" i="26"/>
  <c r="B6441" i="26"/>
  <c r="B6442" i="26"/>
  <c r="B6443" i="26"/>
  <c r="B6444" i="26"/>
  <c r="B6445" i="26"/>
  <c r="B6446" i="26"/>
  <c r="B6447" i="26"/>
  <c r="B6448" i="26"/>
  <c r="B6449" i="26"/>
  <c r="B6450" i="26"/>
  <c r="B6451" i="26"/>
  <c r="B6452" i="26"/>
  <c r="B6453" i="26"/>
  <c r="B6454" i="26"/>
  <c r="B6455" i="26"/>
  <c r="B6456" i="26"/>
  <c r="B6457" i="26"/>
  <c r="B6458" i="26"/>
  <c r="B6459" i="26"/>
  <c r="B6460" i="26"/>
  <c r="B6461" i="26"/>
  <c r="B6462" i="26"/>
  <c r="B6463" i="26"/>
  <c r="B6464" i="26"/>
  <c r="B6465" i="26"/>
  <c r="B6466" i="26"/>
  <c r="B6467" i="26"/>
  <c r="B6468" i="26"/>
  <c r="B6469" i="26"/>
  <c r="B6470" i="26"/>
  <c r="B6471" i="26"/>
  <c r="B6472" i="26"/>
  <c r="B6473" i="26"/>
  <c r="B6474" i="26"/>
  <c r="B6475" i="26"/>
  <c r="B6476" i="26"/>
  <c r="B6477" i="26"/>
  <c r="B6478" i="26"/>
  <c r="B6479" i="26"/>
  <c r="B6480" i="26"/>
  <c r="B6481" i="26"/>
  <c r="B6482" i="26"/>
  <c r="B6483" i="26"/>
  <c r="B6484" i="26"/>
  <c r="B6485" i="26"/>
  <c r="B6486" i="26"/>
  <c r="B6487" i="26"/>
  <c r="B6488" i="26"/>
  <c r="B6489" i="26"/>
  <c r="B6490" i="26"/>
  <c r="B6491" i="26"/>
  <c r="B6492" i="26"/>
  <c r="B6493" i="26"/>
  <c r="B6494" i="26"/>
  <c r="B6495" i="26"/>
  <c r="B6496" i="26"/>
  <c r="B6497" i="26"/>
  <c r="B6498" i="26"/>
  <c r="B6499" i="26"/>
  <c r="B6500" i="26"/>
  <c r="B6501" i="26"/>
  <c r="B6502" i="26"/>
  <c r="B6503" i="26"/>
  <c r="B6504" i="26"/>
  <c r="B6505" i="26"/>
  <c r="B6506" i="26"/>
  <c r="B6507" i="26"/>
  <c r="B6508" i="26"/>
  <c r="B6509" i="26"/>
  <c r="B6510" i="26"/>
  <c r="B6511" i="26"/>
  <c r="B6512" i="26"/>
  <c r="B6513" i="26"/>
  <c r="B6514" i="26"/>
  <c r="B6515" i="26"/>
  <c r="B6516" i="26"/>
  <c r="B6517" i="26"/>
  <c r="B6518" i="26"/>
  <c r="B6519" i="26"/>
  <c r="B6520" i="26"/>
  <c r="B6521" i="26"/>
  <c r="B6522" i="26"/>
  <c r="B6523" i="26"/>
  <c r="B6524" i="26"/>
  <c r="B6525" i="26"/>
  <c r="B6526" i="26"/>
  <c r="B6527" i="26"/>
  <c r="B6528" i="26"/>
  <c r="B6529" i="26"/>
  <c r="B6530" i="26"/>
  <c r="B6531" i="26"/>
  <c r="B6532" i="26"/>
  <c r="B6533" i="26"/>
  <c r="B6534" i="26"/>
  <c r="B6535" i="26"/>
  <c r="B6536" i="26"/>
  <c r="B6537" i="26"/>
  <c r="B6538" i="26"/>
  <c r="B6539" i="26"/>
  <c r="B6540" i="26"/>
  <c r="B6541" i="26"/>
  <c r="B6542" i="26"/>
  <c r="B6543" i="26"/>
  <c r="B6544" i="26"/>
  <c r="B6545" i="26"/>
  <c r="B6546" i="26"/>
  <c r="B6547" i="26"/>
  <c r="B6548" i="26"/>
  <c r="B6549" i="26"/>
  <c r="B6550" i="26"/>
  <c r="B6551" i="26"/>
  <c r="B6552" i="26"/>
  <c r="B6553" i="26"/>
  <c r="B6554" i="26"/>
  <c r="B6555" i="26"/>
  <c r="B6556" i="26"/>
  <c r="B6557" i="26"/>
  <c r="B6558" i="26"/>
  <c r="B6559" i="26"/>
  <c r="B6560" i="26"/>
  <c r="B6561" i="26"/>
  <c r="B6562" i="26"/>
  <c r="B6563" i="26"/>
  <c r="B6564" i="26"/>
  <c r="B6565" i="26"/>
  <c r="B6566" i="26"/>
  <c r="B6567" i="26"/>
  <c r="B6568" i="26"/>
  <c r="B6569" i="26"/>
  <c r="B6570" i="26"/>
  <c r="B6571" i="26"/>
  <c r="B6572" i="26"/>
  <c r="B6573" i="26"/>
  <c r="B6574" i="26"/>
  <c r="B6575" i="26"/>
  <c r="B6576" i="26"/>
  <c r="B6577" i="26"/>
  <c r="B6578" i="26"/>
  <c r="B6579" i="26"/>
  <c r="B6580" i="26"/>
  <c r="B6581" i="26"/>
  <c r="B6582" i="26"/>
  <c r="B6583" i="26"/>
  <c r="B6584" i="26"/>
  <c r="B6585" i="26"/>
  <c r="B6586" i="26"/>
  <c r="B6587" i="26"/>
  <c r="B6588" i="26"/>
  <c r="B6589" i="26"/>
  <c r="B6590" i="26"/>
  <c r="B6591" i="26"/>
  <c r="B6592" i="26"/>
  <c r="B6593" i="26"/>
  <c r="B6594" i="26"/>
  <c r="B6595" i="26"/>
  <c r="B6596" i="26"/>
  <c r="B6597" i="26"/>
  <c r="B6598" i="26"/>
  <c r="B6599" i="26"/>
  <c r="B6600" i="26"/>
  <c r="B6601" i="26"/>
  <c r="B6602" i="26"/>
  <c r="B6603" i="26"/>
  <c r="B6604" i="26"/>
  <c r="B6605" i="26"/>
  <c r="B6606" i="26"/>
  <c r="B6607" i="26"/>
  <c r="B6608" i="26"/>
  <c r="B6609" i="26"/>
  <c r="B6610" i="26"/>
  <c r="B6611" i="26"/>
  <c r="B6612" i="26"/>
  <c r="B6613" i="26"/>
  <c r="B6614" i="26"/>
  <c r="B6615" i="26"/>
  <c r="B6616" i="26"/>
  <c r="B6617" i="26"/>
  <c r="B6618" i="26"/>
  <c r="B6619" i="26"/>
  <c r="B6620" i="26"/>
  <c r="B6621" i="26"/>
  <c r="B6622" i="26"/>
  <c r="B6623" i="26"/>
  <c r="B6624" i="26"/>
  <c r="B6625" i="26"/>
  <c r="B6626" i="26"/>
  <c r="B6627" i="26"/>
  <c r="B6628" i="26"/>
  <c r="B6629" i="26"/>
  <c r="B6630" i="26"/>
  <c r="B6631" i="26"/>
  <c r="B6632" i="26"/>
  <c r="B6633" i="26"/>
  <c r="B6634" i="26"/>
  <c r="B6635" i="26"/>
  <c r="B6636" i="26"/>
  <c r="B6637" i="26"/>
  <c r="B6638" i="26"/>
  <c r="B6639" i="26"/>
  <c r="B6640" i="26"/>
  <c r="B6641" i="26"/>
  <c r="B6642" i="26"/>
  <c r="B6643" i="26"/>
  <c r="B6644" i="26"/>
  <c r="B6645" i="26"/>
  <c r="B6646" i="26"/>
  <c r="B6647" i="26"/>
  <c r="B6648" i="26"/>
  <c r="B6649" i="26"/>
  <c r="B6650" i="26"/>
  <c r="B6651" i="26"/>
  <c r="B6652" i="26"/>
  <c r="B6653" i="26"/>
  <c r="B6654" i="26"/>
  <c r="B6655" i="26"/>
  <c r="B6656" i="26"/>
  <c r="B6657" i="26"/>
  <c r="B6658" i="26"/>
  <c r="B6659" i="26"/>
  <c r="B6660" i="26"/>
  <c r="B6661" i="26"/>
  <c r="B6662" i="26"/>
  <c r="B6663" i="26"/>
  <c r="B6664" i="26"/>
  <c r="B6665" i="26"/>
  <c r="B6666" i="26"/>
  <c r="B6667" i="26"/>
  <c r="B6668" i="26"/>
  <c r="B6669" i="26"/>
  <c r="B6670" i="26"/>
  <c r="B6671" i="26"/>
  <c r="B6672" i="26"/>
  <c r="B6673" i="26"/>
  <c r="B6674" i="26"/>
  <c r="B6675" i="26"/>
  <c r="B6676" i="26"/>
  <c r="B6677" i="26"/>
  <c r="B6678" i="26"/>
  <c r="B6679" i="26"/>
  <c r="B6680" i="26"/>
  <c r="B6681" i="26"/>
  <c r="B6682" i="26"/>
  <c r="B6683" i="26"/>
  <c r="B6684" i="26"/>
  <c r="B6685" i="26"/>
  <c r="B6686" i="26"/>
  <c r="B6687" i="26"/>
  <c r="B6688" i="26"/>
  <c r="B6689" i="26"/>
  <c r="B6690" i="26"/>
  <c r="B6691" i="26"/>
  <c r="B6692" i="26"/>
  <c r="B6693" i="26"/>
  <c r="B6694" i="26"/>
  <c r="B6695" i="26"/>
  <c r="B6696" i="26"/>
  <c r="B6697" i="26"/>
  <c r="B6698" i="26"/>
  <c r="B6699" i="26"/>
  <c r="B6700" i="26"/>
  <c r="B6701" i="26"/>
  <c r="B6702" i="26"/>
  <c r="B6703" i="26"/>
  <c r="B6704" i="26"/>
  <c r="B6705" i="26"/>
  <c r="B6706" i="26"/>
  <c r="B6707" i="26"/>
  <c r="B6708" i="26"/>
  <c r="B6709" i="26"/>
  <c r="B6710" i="26"/>
  <c r="B6711" i="26"/>
  <c r="B6712" i="26"/>
  <c r="B6713" i="26"/>
  <c r="B6714" i="26"/>
  <c r="B6715" i="26"/>
  <c r="B6716" i="26"/>
  <c r="B6717" i="26"/>
  <c r="B6718" i="26"/>
  <c r="B6719" i="26"/>
  <c r="B6720" i="26"/>
  <c r="B6721" i="26"/>
  <c r="B6722" i="26"/>
  <c r="B6723" i="26"/>
  <c r="B6724" i="26"/>
  <c r="B6725" i="26"/>
  <c r="B6726" i="26"/>
  <c r="B6727" i="26"/>
  <c r="B6728" i="26"/>
  <c r="B6729" i="26"/>
  <c r="B6730" i="26"/>
  <c r="B6731" i="26"/>
  <c r="B6732" i="26"/>
  <c r="B6733" i="26"/>
  <c r="B6734" i="26"/>
  <c r="B6735" i="26"/>
  <c r="B6736" i="26"/>
  <c r="B6737" i="26"/>
  <c r="B6738" i="26"/>
  <c r="B6739" i="26"/>
  <c r="B6740" i="26"/>
  <c r="B6741" i="26"/>
  <c r="B6742" i="26"/>
  <c r="B6743" i="26"/>
  <c r="B6744" i="26"/>
  <c r="B6745" i="26"/>
  <c r="B6746" i="26"/>
  <c r="B6747" i="26"/>
  <c r="B6748" i="26"/>
  <c r="B6749" i="26"/>
  <c r="B6750" i="26"/>
  <c r="B6751" i="26"/>
  <c r="B6752" i="26"/>
  <c r="B6753" i="26"/>
  <c r="B6754" i="26"/>
  <c r="B6755" i="26"/>
  <c r="B6756" i="26"/>
  <c r="B6757" i="26"/>
  <c r="B6758" i="26"/>
  <c r="B6759" i="26"/>
  <c r="B6760" i="26"/>
  <c r="B6761" i="26"/>
  <c r="B6762" i="26"/>
  <c r="B6763" i="26"/>
  <c r="B6764" i="26"/>
  <c r="B6765" i="26"/>
  <c r="B6766" i="26"/>
  <c r="B6767" i="26"/>
  <c r="B6768" i="26"/>
  <c r="B6769" i="26"/>
  <c r="B6770" i="26"/>
  <c r="B6771" i="26"/>
  <c r="B6772" i="26"/>
  <c r="B6773" i="26"/>
  <c r="B6774" i="26"/>
  <c r="B6775" i="26"/>
  <c r="B6776" i="26"/>
  <c r="B6777" i="26"/>
  <c r="B6778" i="26"/>
  <c r="B6779" i="26"/>
  <c r="B6780" i="26"/>
  <c r="B6781" i="26"/>
  <c r="B6782" i="26"/>
  <c r="B6783" i="26"/>
  <c r="B6784" i="26"/>
  <c r="B6785" i="26"/>
  <c r="P12" i="16"/>
  <c r="AW2" i="19" a="1"/>
  <c r="AW2" i="19" s="1"/>
  <c r="AA930" i="19" l="1"/>
  <c r="AA640" i="19"/>
  <c r="AB641" i="19" s="1"/>
  <c r="AA686" i="19"/>
  <c r="AB687" i="19" s="1"/>
  <c r="AA820" i="19"/>
  <c r="AA811" i="19"/>
  <c r="AB812" i="19" s="1"/>
  <c r="AA772" i="19"/>
  <c r="AA787" i="19"/>
  <c r="AB788" i="19" s="1"/>
  <c r="AA917" i="19"/>
  <c r="AA628" i="19"/>
  <c r="AA691" i="19"/>
  <c r="AB692" i="19" s="1"/>
  <c r="AA618" i="19"/>
  <c r="AA775" i="19"/>
  <c r="AA823" i="19"/>
  <c r="AB824" i="19" s="1"/>
  <c r="AA693" i="19"/>
  <c r="AA839" i="19"/>
  <c r="AA780" i="19"/>
  <c r="AA742" i="19"/>
  <c r="AB743" i="19" s="1"/>
  <c r="AA808" i="19"/>
  <c r="AA941" i="19"/>
  <c r="AA865" i="19"/>
  <c r="AA832" i="19"/>
  <c r="AA822" i="19"/>
  <c r="AA861" i="19"/>
  <c r="AA984" i="19"/>
  <c r="AA680" i="19"/>
  <c r="AA967" i="19"/>
  <c r="AB968" i="19" s="1"/>
  <c r="AA875" i="19"/>
  <c r="AA939" i="19"/>
  <c r="AB940" i="19" s="1"/>
  <c r="AA610" i="19"/>
  <c r="AA563" i="19"/>
  <c r="AA646" i="19"/>
  <c r="AA786" i="19"/>
  <c r="AB787" i="19" s="1"/>
  <c r="AC787" i="19" s="1"/>
  <c r="AA701" i="19"/>
  <c r="AA722" i="19"/>
  <c r="AA651" i="19"/>
  <c r="AB652" i="19" s="1"/>
  <c r="AA795" i="19"/>
  <c r="AA904" i="19"/>
  <c r="AB905" i="19" s="1"/>
  <c r="AA932" i="19"/>
  <c r="AA945" i="19"/>
  <c r="AB946" i="19" s="1"/>
  <c r="AA850" i="19"/>
  <c r="AB851" i="19" s="1"/>
  <c r="AA892" i="19"/>
  <c r="AB893" i="19" s="1"/>
  <c r="AA974" i="19"/>
  <c r="AB975" i="19" s="1"/>
  <c r="AA753" i="19"/>
  <c r="AA914" i="19"/>
  <c r="AB915" i="19" s="1"/>
  <c r="AA983" i="19"/>
  <c r="F5747" i="26"/>
  <c r="F6747" i="26"/>
  <c r="F6653" i="26"/>
  <c r="F6052" i="26"/>
  <c r="F5632" i="26"/>
  <c r="F5614" i="26"/>
  <c r="F4408" i="26"/>
  <c r="F6727" i="26"/>
  <c r="F4367" i="26"/>
  <c r="F3987" i="26"/>
  <c r="F6647" i="26"/>
  <c r="F3948" i="26"/>
  <c r="F6407" i="26"/>
  <c r="F3688" i="26"/>
  <c r="F6388" i="26"/>
  <c r="F3547" i="26"/>
  <c r="F6368" i="26"/>
  <c r="F3427" i="26"/>
  <c r="F6367" i="26"/>
  <c r="F3407" i="26"/>
  <c r="F6668" i="26"/>
  <c r="F5628" i="26"/>
  <c r="F4308" i="26"/>
  <c r="F6667" i="26"/>
  <c r="F4147" i="26"/>
  <c r="F5607" i="26"/>
  <c r="F5248" i="26"/>
  <c r="F5207" i="26"/>
  <c r="F5147" i="26"/>
  <c r="F5048" i="26"/>
  <c r="F5028" i="26"/>
  <c r="F6228" i="26"/>
  <c r="F4928" i="26"/>
  <c r="F3388" i="26"/>
  <c r="F6207" i="26"/>
  <c r="F4927" i="26"/>
  <c r="F3328" i="26"/>
  <c r="F6147" i="26"/>
  <c r="F4808" i="26"/>
  <c r="F3087" i="26"/>
  <c r="F4807" i="26"/>
  <c r="F2987" i="26"/>
  <c r="F5948" i="26"/>
  <c r="F4768" i="26"/>
  <c r="F2968" i="26"/>
  <c r="F5947" i="26"/>
  <c r="F4747" i="26"/>
  <c r="F2967" i="26"/>
  <c r="F5888" i="26"/>
  <c r="F4607" i="26"/>
  <c r="F2948" i="26"/>
  <c r="D3732" i="26"/>
  <c r="F5887" i="26"/>
  <c r="F4568" i="26"/>
  <c r="F2747" i="26"/>
  <c r="D2312" i="26"/>
  <c r="F5867" i="26"/>
  <c r="F4547" i="26"/>
  <c r="F2728" i="26"/>
  <c r="F6748" i="26"/>
  <c r="F5748" i="26"/>
  <c r="F4467" i="26"/>
  <c r="F2727" i="26"/>
  <c r="F6213" i="26"/>
  <c r="F5171" i="26"/>
  <c r="F6212" i="26"/>
  <c r="F5170" i="26"/>
  <c r="F4047" i="26"/>
  <c r="F2927" i="26"/>
  <c r="F4000" i="26"/>
  <c r="D2283" i="26"/>
  <c r="F6048" i="26"/>
  <c r="F4988" i="26"/>
  <c r="F3779" i="26"/>
  <c r="F2428" i="26"/>
  <c r="F3142" i="26"/>
  <c r="F6420" i="26"/>
  <c r="F3080" i="26"/>
  <c r="F3060" i="26"/>
  <c r="D3281" i="26"/>
  <c r="D1932" i="26"/>
  <c r="F6007" i="26"/>
  <c r="F4987" i="26"/>
  <c r="F3713" i="26"/>
  <c r="F2427" i="26"/>
  <c r="F5306" i="26"/>
  <c r="F6406" i="26"/>
  <c r="F3943" i="26"/>
  <c r="F3760" i="26"/>
  <c r="F6241" i="26"/>
  <c r="F6240" i="26"/>
  <c r="F3700" i="26"/>
  <c r="F6660" i="26"/>
  <c r="F6225" i="26"/>
  <c r="F5639" i="26"/>
  <c r="F4282" i="26"/>
  <c r="F6542" i="26"/>
  <c r="F4281" i="26"/>
  <c r="F3420" i="26"/>
  <c r="F2660" i="26"/>
  <c r="F6522" i="26"/>
  <c r="F4280" i="26"/>
  <c r="F2453" i="26"/>
  <c r="F6508" i="26"/>
  <c r="F6188" i="26"/>
  <c r="F5622" i="26"/>
  <c r="F4900" i="26"/>
  <c r="F4227" i="26"/>
  <c r="F3400" i="26"/>
  <c r="F2452" i="26"/>
  <c r="F3966" i="26"/>
  <c r="F6260" i="26"/>
  <c r="F5806" i="26"/>
  <c r="D4642" i="26"/>
  <c r="F6461" i="26"/>
  <c r="F4860" i="26"/>
  <c r="D4522" i="26"/>
  <c r="F6460" i="26"/>
  <c r="F6142" i="26"/>
  <c r="F6459" i="26"/>
  <c r="F6062" i="26"/>
  <c r="F5566" i="26"/>
  <c r="F2330" i="26"/>
  <c r="F4546" i="26"/>
  <c r="F3366" i="26"/>
  <c r="D3672" i="26"/>
  <c r="F6441" i="26"/>
  <c r="F6061" i="26"/>
  <c r="F5463" i="26"/>
  <c r="F4792" i="26"/>
  <c r="F4041" i="26"/>
  <c r="F3228" i="26"/>
  <c r="F2226" i="26"/>
  <c r="F5166" i="26"/>
  <c r="F5100" i="26"/>
  <c r="F4319" i="26"/>
  <c r="F4142" i="26"/>
  <c r="D3401" i="26"/>
  <c r="F6440" i="26"/>
  <c r="F6060" i="26"/>
  <c r="F5440" i="26"/>
  <c r="F4772" i="26"/>
  <c r="F4001" i="26"/>
  <c r="F3147" i="26"/>
  <c r="F2147" i="26"/>
  <c r="F5459" i="26"/>
  <c r="F4839" i="26"/>
  <c r="F5439" i="26"/>
  <c r="D6521" i="26"/>
  <c r="F6521" i="26"/>
  <c r="D6381" i="26"/>
  <c r="F6381" i="26"/>
  <c r="F6301" i="26"/>
  <c r="D6301" i="26"/>
  <c r="D6141" i="26"/>
  <c r="F6141" i="26"/>
  <c r="D6121" i="26"/>
  <c r="F6121" i="26"/>
  <c r="D6041" i="26"/>
  <c r="F6041" i="26"/>
  <c r="D5921" i="26"/>
  <c r="F5921" i="26"/>
  <c r="D5821" i="26"/>
  <c r="F5821" i="26"/>
  <c r="D5721" i="26"/>
  <c r="F5721" i="26"/>
  <c r="D5501" i="26"/>
  <c r="F5501" i="26"/>
  <c r="D5381" i="26"/>
  <c r="F5381" i="26"/>
  <c r="F5021" i="26"/>
  <c r="D5021" i="26"/>
  <c r="D4921" i="26"/>
  <c r="F4921" i="26"/>
  <c r="D4581" i="26"/>
  <c r="F4581" i="26"/>
  <c r="D4181" i="26"/>
  <c r="F4181" i="26"/>
  <c r="D3941" i="26"/>
  <c r="F3941" i="26"/>
  <c r="D3861" i="26"/>
  <c r="F3861" i="26"/>
  <c r="D3561" i="26"/>
  <c r="F3561" i="26"/>
  <c r="D3541" i="26"/>
  <c r="F3541" i="26"/>
  <c r="D3141" i="26"/>
  <c r="F3141" i="26"/>
  <c r="D2701" i="26"/>
  <c r="F2701" i="26"/>
  <c r="F5399" i="26"/>
  <c r="F2459" i="26"/>
  <c r="D6780" i="26"/>
  <c r="F6780" i="26"/>
  <c r="D6760" i="26"/>
  <c r="F6760" i="26"/>
  <c r="D6700" i="26"/>
  <c r="F6700" i="26"/>
  <c r="D6680" i="26"/>
  <c r="F6680" i="26"/>
  <c r="D6620" i="26"/>
  <c r="F6620" i="26"/>
  <c r="D6600" i="26"/>
  <c r="F6600" i="26"/>
  <c r="F6580" i="26"/>
  <c r="D6580" i="26"/>
  <c r="D6540" i="26"/>
  <c r="F6540" i="26"/>
  <c r="D6520" i="26"/>
  <c r="F6520" i="26"/>
  <c r="D6380" i="26"/>
  <c r="F6380" i="26"/>
  <c r="D6360" i="26"/>
  <c r="F6360" i="26"/>
  <c r="F6300" i="26"/>
  <c r="D6300" i="26"/>
  <c r="D6280" i="26"/>
  <c r="F6280" i="26"/>
  <c r="D6200" i="26"/>
  <c r="F6200" i="26"/>
  <c r="D6140" i="26"/>
  <c r="F6140" i="26"/>
  <c r="D6120" i="26"/>
  <c r="F6120" i="26"/>
  <c r="D6100" i="26"/>
  <c r="F6100" i="26"/>
  <c r="D6040" i="26"/>
  <c r="F6040" i="26"/>
  <c r="D6020" i="26"/>
  <c r="F6020" i="26"/>
  <c r="D5960" i="26"/>
  <c r="F5960" i="26"/>
  <c r="D5860" i="26"/>
  <c r="F5860" i="26"/>
  <c r="D5820" i="26"/>
  <c r="F5820" i="26"/>
  <c r="D5700" i="26"/>
  <c r="F5700" i="26"/>
  <c r="D5660" i="26"/>
  <c r="F5660" i="26"/>
  <c r="D5640" i="26"/>
  <c r="F5640" i="26"/>
  <c r="D5600" i="26"/>
  <c r="F5600" i="26"/>
  <c r="D5560" i="26"/>
  <c r="F5560" i="26"/>
  <c r="D5520" i="26"/>
  <c r="F5520" i="26"/>
  <c r="D5500" i="26"/>
  <c r="F5500" i="26"/>
  <c r="D5480" i="26"/>
  <c r="F5480" i="26"/>
  <c r="D5380" i="26"/>
  <c r="F5380" i="26"/>
  <c r="D5300" i="26"/>
  <c r="F5300" i="26"/>
  <c r="D5280" i="26"/>
  <c r="F5280" i="26"/>
  <c r="D5260" i="26"/>
  <c r="F5260" i="26"/>
  <c r="D5240" i="26"/>
  <c r="F5240" i="26"/>
  <c r="D5200" i="26"/>
  <c r="F5200" i="26"/>
  <c r="D5180" i="26"/>
  <c r="F5180" i="26"/>
  <c r="D5060" i="26"/>
  <c r="F5060" i="26"/>
  <c r="D4960" i="26"/>
  <c r="F4960" i="26"/>
  <c r="D4780" i="26"/>
  <c r="F4780" i="26"/>
  <c r="D4740" i="26"/>
  <c r="F4740" i="26"/>
  <c r="D4680" i="26"/>
  <c r="F4680" i="26"/>
  <c r="D4580" i="26"/>
  <c r="F4580" i="26"/>
  <c r="D4540" i="26"/>
  <c r="F4540" i="26"/>
  <c r="D4520" i="26"/>
  <c r="F4520" i="26"/>
  <c r="D4480" i="26"/>
  <c r="F4480" i="26"/>
  <c r="D4460" i="26"/>
  <c r="F4460" i="26"/>
  <c r="D4420" i="26"/>
  <c r="F4420" i="26"/>
  <c r="D4320" i="26"/>
  <c r="F4320" i="26"/>
  <c r="D4260" i="26"/>
  <c r="F4260" i="26"/>
  <c r="D4240" i="26"/>
  <c r="F4240" i="26"/>
  <c r="D4180" i="26"/>
  <c r="F4180" i="26"/>
  <c r="D4160" i="26"/>
  <c r="F4160" i="26"/>
  <c r="D3940" i="26"/>
  <c r="F3940" i="26"/>
  <c r="D3920" i="26"/>
  <c r="F3920" i="26"/>
  <c r="D3860" i="26"/>
  <c r="F3860" i="26"/>
  <c r="D3840" i="26"/>
  <c r="F3840" i="26"/>
  <c r="D3680" i="26"/>
  <c r="F3680" i="26"/>
  <c r="D3660" i="26"/>
  <c r="F3660" i="26"/>
  <c r="D3620" i="26"/>
  <c r="F3620" i="26"/>
  <c r="D3580" i="26"/>
  <c r="F3580" i="26"/>
  <c r="D3560" i="26"/>
  <c r="F3560" i="26"/>
  <c r="D3540" i="26"/>
  <c r="F3540" i="26"/>
  <c r="D3520" i="26"/>
  <c r="F3520" i="26"/>
  <c r="D3380" i="26"/>
  <c r="F3380" i="26"/>
  <c r="D3360" i="26"/>
  <c r="F3360" i="26"/>
  <c r="D3340" i="26"/>
  <c r="F3340" i="26"/>
  <c r="D3160" i="26"/>
  <c r="F3160" i="26"/>
  <c r="D3140" i="26"/>
  <c r="F3140" i="26"/>
  <c r="D2860" i="26"/>
  <c r="F2860" i="26"/>
  <c r="D2780" i="26"/>
  <c r="F2780" i="26"/>
  <c r="D1680" i="26"/>
  <c r="F1680" i="26"/>
  <c r="D1600" i="26"/>
  <c r="F1600" i="26"/>
  <c r="D1580" i="26"/>
  <c r="F1580" i="26"/>
  <c r="D1560" i="26"/>
  <c r="F1560" i="26"/>
  <c r="D1360" i="26"/>
  <c r="F1360" i="26"/>
  <c r="D1180" i="26"/>
  <c r="F1180" i="26"/>
  <c r="F5900" i="26"/>
  <c r="F4060" i="26"/>
  <c r="D6359" i="26"/>
  <c r="F6359" i="26"/>
  <c r="D6199" i="26"/>
  <c r="F6199" i="26"/>
  <c r="D6019" i="26"/>
  <c r="F6019" i="26"/>
  <c r="D5999" i="26"/>
  <c r="F5999" i="26"/>
  <c r="D5959" i="26"/>
  <c r="F5959" i="26"/>
  <c r="D5939" i="26"/>
  <c r="F5939" i="26"/>
  <c r="D5799" i="26"/>
  <c r="F5799" i="26"/>
  <c r="D5759" i="26"/>
  <c r="F5759" i="26"/>
  <c r="D5659" i="26"/>
  <c r="F5659" i="26"/>
  <c r="D5539" i="26"/>
  <c r="F5539" i="26"/>
  <c r="D5519" i="26"/>
  <c r="F5519" i="26"/>
  <c r="D5279" i="26"/>
  <c r="F5279" i="26"/>
  <c r="D5099" i="26"/>
  <c r="F5099" i="26"/>
  <c r="D5059" i="26"/>
  <c r="F5059" i="26"/>
  <c r="D4539" i="26"/>
  <c r="F4539" i="26"/>
  <c r="D4499" i="26"/>
  <c r="F4499" i="26"/>
  <c r="D4459" i="26"/>
  <c r="F4459" i="26"/>
  <c r="D4419" i="26"/>
  <c r="F4419" i="26"/>
  <c r="D4339" i="26"/>
  <c r="F4339" i="26"/>
  <c r="D4239" i="26"/>
  <c r="F4239" i="26"/>
  <c r="D4219" i="26"/>
  <c r="F4219" i="26"/>
  <c r="D3999" i="26"/>
  <c r="F3999" i="26"/>
  <c r="D3959" i="26"/>
  <c r="F3959" i="26"/>
  <c r="D3839" i="26"/>
  <c r="F3839" i="26"/>
  <c r="D3679" i="26"/>
  <c r="F3679" i="26"/>
  <c r="D3519" i="26"/>
  <c r="F3519" i="26"/>
  <c r="D3239" i="26"/>
  <c r="F3239" i="26"/>
  <c r="D2419" i="26"/>
  <c r="F2419" i="26"/>
  <c r="F5861" i="26"/>
  <c r="F4561" i="26"/>
  <c r="F3119" i="26"/>
  <c r="D6779" i="26"/>
  <c r="F6779" i="26"/>
  <c r="D6499" i="26"/>
  <c r="F6499" i="26"/>
  <c r="D6479" i="26"/>
  <c r="F6479" i="26"/>
  <c r="D6339" i="26"/>
  <c r="F6339" i="26"/>
  <c r="D5979" i="26"/>
  <c r="F5979" i="26"/>
  <c r="D5679" i="26"/>
  <c r="F5679" i="26"/>
  <c r="D5559" i="26"/>
  <c r="F5559" i="26"/>
  <c r="D5379" i="26"/>
  <c r="F5379" i="26"/>
  <c r="D5339" i="26"/>
  <c r="F5339" i="26"/>
  <c r="D4999" i="26"/>
  <c r="F4999" i="26"/>
  <c r="D4919" i="26"/>
  <c r="F4919" i="26"/>
  <c r="F4879" i="26"/>
  <c r="D4879" i="26"/>
  <c r="D4739" i="26"/>
  <c r="F4739" i="26"/>
  <c r="D4719" i="26"/>
  <c r="F4719" i="26"/>
  <c r="D4139" i="26"/>
  <c r="F4139" i="26"/>
  <c r="D3479" i="26"/>
  <c r="F3479" i="26"/>
  <c r="D6198" i="26"/>
  <c r="F6198" i="26"/>
  <c r="F6640" i="26"/>
  <c r="F4560" i="26"/>
  <c r="F3100" i="26"/>
  <c r="F2933" i="26"/>
  <c r="F6534" i="26"/>
  <c r="F2932" i="26"/>
  <c r="F6533" i="26"/>
  <c r="F5752" i="26"/>
  <c r="F4172" i="26"/>
  <c r="F3553" i="26"/>
  <c r="F3211" i="26"/>
  <c r="F2913" i="26"/>
  <c r="F2092" i="26"/>
  <c r="F6746" i="26"/>
  <c r="F5512" i="26"/>
  <c r="F3928" i="26"/>
  <c r="F3208" i="26"/>
  <c r="F1928" i="26"/>
  <c r="F6742" i="26"/>
  <c r="F5953" i="26"/>
  <c r="F5502" i="26"/>
  <c r="F4953" i="26"/>
  <c r="F4608" i="26"/>
  <c r="F4148" i="26"/>
  <c r="F3207" i="26"/>
  <c r="F5335" i="26"/>
  <c r="F2153" i="26"/>
  <c r="F2152" i="26"/>
  <c r="D4233" i="26"/>
  <c r="F6682" i="26"/>
  <c r="F6288" i="26"/>
  <c r="F4108" i="26"/>
  <c r="F2726" i="26"/>
  <c r="F6772" i="26"/>
  <c r="F6512" i="26"/>
  <c r="F5952" i="26"/>
  <c r="F4412" i="26"/>
  <c r="F3886" i="26"/>
  <c r="F6706" i="26"/>
  <c r="F4606" i="26"/>
  <c r="F6292" i="26"/>
  <c r="F5488" i="26"/>
  <c r="F4586" i="26"/>
  <c r="D3812" i="26"/>
  <c r="F6462" i="26"/>
  <c r="F6064" i="26"/>
  <c r="F5466" i="26"/>
  <c r="F4907" i="26"/>
  <c r="F4107" i="26"/>
  <c r="F3447" i="26"/>
  <c r="F5616" i="26"/>
  <c r="F5156" i="26"/>
  <c r="F3554" i="26"/>
  <c r="F5816" i="26"/>
  <c r="F5155" i="26"/>
  <c r="D3612" i="26"/>
  <c r="F6295" i="26"/>
  <c r="F4312" i="26"/>
  <c r="F6778" i="26"/>
  <c r="D6778" i="26"/>
  <c r="D6218" i="26"/>
  <c r="F6218" i="26"/>
  <c r="D6078" i="26"/>
  <c r="F6078" i="26"/>
  <c r="D5918" i="26"/>
  <c r="F5918" i="26"/>
  <c r="D5498" i="26"/>
  <c r="F5498" i="26"/>
  <c r="D4918" i="26"/>
  <c r="F4918" i="26"/>
  <c r="D4838" i="26"/>
  <c r="F4838" i="26"/>
  <c r="D4398" i="26"/>
  <c r="F4398" i="26"/>
  <c r="D4218" i="26"/>
  <c r="F4218" i="26"/>
  <c r="D3098" i="26"/>
  <c r="F3098" i="26"/>
  <c r="D3592" i="26"/>
  <c r="F6672" i="26"/>
  <c r="F6293" i="26"/>
  <c r="F5373" i="26"/>
  <c r="F2132" i="26"/>
  <c r="D6773" i="26"/>
  <c r="F6773" i="26"/>
  <c r="D6753" i="26"/>
  <c r="F6753" i="26"/>
  <c r="F6733" i="26"/>
  <c r="D6733" i="26"/>
  <c r="D6713" i="26"/>
  <c r="F6713" i="26"/>
  <c r="D6613" i="26"/>
  <c r="F6613" i="26"/>
  <c r="D6553" i="26"/>
  <c r="F6553" i="26"/>
  <c r="D6513" i="26"/>
  <c r="F6513" i="26"/>
  <c r="D6493" i="26"/>
  <c r="F6493" i="26"/>
  <c r="D6473" i="26"/>
  <c r="F6473" i="26"/>
  <c r="D6453" i="26"/>
  <c r="F6453" i="26"/>
  <c r="D6373" i="26"/>
  <c r="F6373" i="26"/>
  <c r="D6313" i="26"/>
  <c r="F6313" i="26"/>
  <c r="D6273" i="26"/>
  <c r="F6273" i="26"/>
  <c r="D6233" i="26"/>
  <c r="F6233" i="26"/>
  <c r="F6173" i="26"/>
  <c r="D6173" i="26"/>
  <c r="D6113" i="26"/>
  <c r="F6113" i="26"/>
  <c r="D6073" i="26"/>
  <c r="F6073" i="26"/>
  <c r="D5973" i="26"/>
  <c r="F5973" i="26"/>
  <c r="D5893" i="26"/>
  <c r="F5893" i="26"/>
  <c r="D5873" i="26"/>
  <c r="F5873" i="26"/>
  <c r="D5813" i="26"/>
  <c r="F5813" i="26"/>
  <c r="D5793" i="26"/>
  <c r="F5793" i="26"/>
  <c r="D5733" i="26"/>
  <c r="F5733" i="26"/>
  <c r="D5693" i="26"/>
  <c r="F5693" i="26"/>
  <c r="D5673" i="26"/>
  <c r="F5673" i="26"/>
  <c r="D5653" i="26"/>
  <c r="F5653" i="26"/>
  <c r="D5613" i="26"/>
  <c r="F5613" i="26"/>
  <c r="D5593" i="26"/>
  <c r="F5593" i="26"/>
  <c r="D5553" i="26"/>
  <c r="F5553" i="26"/>
  <c r="D5513" i="26"/>
  <c r="F5513" i="26"/>
  <c r="D5473" i="26"/>
  <c r="F5473" i="26"/>
  <c r="D5453" i="26"/>
  <c r="F5453" i="26"/>
  <c r="D5433" i="26"/>
  <c r="F5433" i="26"/>
  <c r="D5333" i="26"/>
  <c r="F5333" i="26"/>
  <c r="D5093" i="26"/>
  <c r="F5093" i="26"/>
  <c r="D5073" i="26"/>
  <c r="F5073" i="26"/>
  <c r="D4933" i="26"/>
  <c r="F4933" i="26"/>
  <c r="D4893" i="26"/>
  <c r="F4893" i="26"/>
  <c r="D4833" i="26"/>
  <c r="F4833" i="26"/>
  <c r="D4193" i="26"/>
  <c r="F4193" i="26"/>
  <c r="D4173" i="26"/>
  <c r="F4173" i="26"/>
  <c r="D4013" i="26"/>
  <c r="F4013" i="26"/>
  <c r="D3933" i="26"/>
  <c r="F3933" i="26"/>
  <c r="D3853" i="26"/>
  <c r="F3853" i="26"/>
  <c r="D3833" i="26"/>
  <c r="F3833" i="26"/>
  <c r="D3793" i="26"/>
  <c r="F3793" i="26"/>
  <c r="D3653" i="26"/>
  <c r="F3653" i="26"/>
  <c r="D3533" i="26"/>
  <c r="F3533" i="26"/>
  <c r="D3513" i="26"/>
  <c r="F3513" i="26"/>
  <c r="D2993" i="26"/>
  <c r="F2993" i="26"/>
  <c r="D2773" i="26"/>
  <c r="F2773" i="26"/>
  <c r="D2733" i="26"/>
  <c r="F2733" i="26"/>
  <c r="D2713" i="26"/>
  <c r="F2713" i="26"/>
  <c r="D2373" i="26"/>
  <c r="F2373" i="26"/>
  <c r="D2313" i="26"/>
  <c r="F2313" i="26"/>
  <c r="D2273" i="26"/>
  <c r="F2273" i="26"/>
  <c r="D2173" i="26"/>
  <c r="F2173" i="26"/>
  <c r="D2033" i="26"/>
  <c r="F2033" i="26"/>
  <c r="D1893" i="26"/>
  <c r="F1893" i="26"/>
  <c r="D1833" i="26"/>
  <c r="F1833" i="26"/>
  <c r="D1813" i="26"/>
  <c r="F1813" i="26"/>
  <c r="D1673" i="26"/>
  <c r="F1673" i="26"/>
  <c r="D1653" i="26"/>
  <c r="F1653" i="26"/>
  <c r="D1573" i="26"/>
  <c r="F1573" i="26"/>
  <c r="D1533" i="26"/>
  <c r="F1533" i="26"/>
  <c r="D1473" i="26"/>
  <c r="F1473" i="26"/>
  <c r="D1373" i="26"/>
  <c r="F1373" i="26"/>
  <c r="D1253" i="26"/>
  <c r="F1253" i="26"/>
  <c r="D1213" i="26"/>
  <c r="F1213" i="26"/>
  <c r="D1113" i="26"/>
  <c r="F1113" i="26"/>
  <c r="F6275" i="26"/>
  <c r="D6752" i="26"/>
  <c r="F6752" i="26"/>
  <c r="D6732" i="26"/>
  <c r="F6732" i="26"/>
  <c r="D6692" i="26"/>
  <c r="F6692" i="26"/>
  <c r="D6652" i="26"/>
  <c r="F6652" i="26"/>
  <c r="D6612" i="26"/>
  <c r="F6612" i="26"/>
  <c r="D6592" i="26"/>
  <c r="F6592" i="26"/>
  <c r="D6472" i="26"/>
  <c r="F6472" i="26"/>
  <c r="D6352" i="26"/>
  <c r="F6352" i="26"/>
  <c r="D6332" i="26"/>
  <c r="F6332" i="26"/>
  <c r="D6272" i="26"/>
  <c r="F6272" i="26"/>
  <c r="D6252" i="26"/>
  <c r="F6252" i="26"/>
  <c r="D6232" i="26"/>
  <c r="F6232" i="26"/>
  <c r="D6192" i="26"/>
  <c r="F6192" i="26"/>
  <c r="D6112" i="26"/>
  <c r="F6112" i="26"/>
  <c r="D6092" i="26"/>
  <c r="F6092" i="26"/>
  <c r="D6072" i="26"/>
  <c r="F6072" i="26"/>
  <c r="D6032" i="26"/>
  <c r="F6032" i="26"/>
  <c r="D5972" i="26"/>
  <c r="F5972" i="26"/>
  <c r="D5932" i="26"/>
  <c r="F5932" i="26"/>
  <c r="D5892" i="26"/>
  <c r="F5892" i="26"/>
  <c r="D5872" i="26"/>
  <c r="F5872" i="26"/>
  <c r="D5852" i="26"/>
  <c r="F5852" i="26"/>
  <c r="D5792" i="26"/>
  <c r="F5792" i="26"/>
  <c r="D5732" i="26"/>
  <c r="F5732" i="26"/>
  <c r="D5712" i="26"/>
  <c r="F5712" i="26"/>
  <c r="D5692" i="26"/>
  <c r="F5692" i="26"/>
  <c r="D5652" i="26"/>
  <c r="F5652" i="26"/>
  <c r="D5612" i="26"/>
  <c r="F5612" i="26"/>
  <c r="D5572" i="26"/>
  <c r="F5572" i="26"/>
  <c r="D5492" i="26"/>
  <c r="F5492" i="26"/>
  <c r="D5432" i="26"/>
  <c r="F5432" i="26"/>
  <c r="D5332" i="26"/>
  <c r="F5332" i="26"/>
  <c r="D5232" i="26"/>
  <c r="F5232" i="26"/>
  <c r="D5192" i="26"/>
  <c r="F5192" i="26"/>
  <c r="D5132" i="26"/>
  <c r="F5132" i="26"/>
  <c r="D5052" i="26"/>
  <c r="F5052" i="26"/>
  <c r="D5012" i="26"/>
  <c r="F5012" i="26"/>
  <c r="D4952" i="26"/>
  <c r="F4952" i="26"/>
  <c r="D4912" i="26"/>
  <c r="F4912" i="26"/>
  <c r="D4872" i="26"/>
  <c r="F4872" i="26"/>
  <c r="D4812" i="26"/>
  <c r="F4812" i="26"/>
  <c r="D4712" i="26"/>
  <c r="F4712" i="26"/>
  <c r="D4592" i="26"/>
  <c r="F4592" i="26"/>
  <c r="D4532" i="26"/>
  <c r="F4532" i="26"/>
  <c r="D4492" i="26"/>
  <c r="F4492" i="26"/>
  <c r="D4452" i="26"/>
  <c r="F4452" i="26"/>
  <c r="D4232" i="26"/>
  <c r="F4232" i="26"/>
  <c r="D4212" i="26"/>
  <c r="F4212" i="26"/>
  <c r="D4092" i="26"/>
  <c r="F4092" i="26"/>
  <c r="D4032" i="26"/>
  <c r="F4032" i="26"/>
  <c r="D4012" i="26"/>
  <c r="F4012" i="26"/>
  <c r="D3992" i="26"/>
  <c r="F3992" i="26"/>
  <c r="D3912" i="26"/>
  <c r="F3912" i="26"/>
  <c r="D3872" i="26"/>
  <c r="F3872" i="26"/>
  <c r="D3852" i="26"/>
  <c r="F3852" i="26"/>
  <c r="D3792" i="26"/>
  <c r="F3792" i="26"/>
  <c r="D3772" i="26"/>
  <c r="F3772" i="26"/>
  <c r="D3692" i="26"/>
  <c r="F3692" i="26"/>
  <c r="F3532" i="26"/>
  <c r="D3532" i="26"/>
  <c r="F3392" i="26"/>
  <c r="D3392" i="26"/>
  <c r="F3172" i="26"/>
  <c r="D3172" i="26"/>
  <c r="F3152" i="26"/>
  <c r="D3152" i="26"/>
  <c r="F2952" i="26"/>
  <c r="D2952" i="26"/>
  <c r="D2912" i="26"/>
  <c r="F2912" i="26"/>
  <c r="F2892" i="26"/>
  <c r="D2892" i="26"/>
  <c r="F2832" i="26"/>
  <c r="D2832" i="26"/>
  <c r="D2812" i="26"/>
  <c r="F2812" i="26"/>
  <c r="D2752" i="26"/>
  <c r="F2752" i="26"/>
  <c r="F2732" i="26"/>
  <c r="D2732" i="26"/>
  <c r="D2712" i="26"/>
  <c r="F2712" i="26"/>
  <c r="F2672" i="26"/>
  <c r="D2672" i="26"/>
  <c r="D2652" i="26"/>
  <c r="F2652" i="26"/>
  <c r="F2512" i="26"/>
  <c r="D2512" i="26"/>
  <c r="F2492" i="26"/>
  <c r="D2492" i="26"/>
  <c r="D2392" i="26"/>
  <c r="F2392" i="26"/>
  <c r="D2272" i="26"/>
  <c r="F2272" i="26"/>
  <c r="D2172" i="26"/>
  <c r="F2172" i="26"/>
  <c r="D1972" i="26"/>
  <c r="F1972" i="26"/>
  <c r="D1892" i="26"/>
  <c r="F1892" i="26"/>
  <c r="F1832" i="26"/>
  <c r="D1832" i="26"/>
  <c r="F1792" i="26"/>
  <c r="D1792" i="26"/>
  <c r="D1652" i="26"/>
  <c r="F1652" i="26"/>
  <c r="D1452" i="26"/>
  <c r="F1452" i="26"/>
  <c r="D1392" i="26"/>
  <c r="F1392" i="26"/>
  <c r="D1252" i="26"/>
  <c r="F1252" i="26"/>
  <c r="D1052" i="26"/>
  <c r="F1052" i="26"/>
  <c r="D1772" i="26"/>
  <c r="F6432" i="26"/>
  <c r="F6274" i="26"/>
  <c r="F6093" i="26"/>
  <c r="F4998" i="26"/>
  <c r="F4757" i="26"/>
  <c r="F3695" i="26"/>
  <c r="F2533" i="26"/>
  <c r="D6296" i="26"/>
  <c r="F6296" i="26"/>
  <c r="D4334" i="26"/>
  <c r="F4334" i="26"/>
  <c r="F6276" i="26"/>
  <c r="F4996" i="26"/>
  <c r="F3693" i="26"/>
  <c r="F2532" i="26"/>
  <c r="D6777" i="26"/>
  <c r="F6777" i="26"/>
  <c r="D6617" i="26"/>
  <c r="F6617" i="26"/>
  <c r="D6337" i="26"/>
  <c r="F6337" i="26"/>
  <c r="D6217" i="26"/>
  <c r="F6217" i="26"/>
  <c r="D4897" i="26"/>
  <c r="F4897" i="26"/>
  <c r="D4737" i="26"/>
  <c r="F4737" i="26"/>
  <c r="D4657" i="26"/>
  <c r="F4657" i="26"/>
  <c r="D4497" i="26"/>
  <c r="F4497" i="26"/>
  <c r="D3917" i="26"/>
  <c r="F3917" i="26"/>
  <c r="D3797" i="26"/>
  <c r="F3797" i="26"/>
  <c r="D3457" i="26"/>
  <c r="F3457" i="26"/>
  <c r="F3737" i="26"/>
  <c r="D6776" i="26"/>
  <c r="F6776" i="26"/>
  <c r="D6716" i="26"/>
  <c r="F6716" i="26"/>
  <c r="D6616" i="26"/>
  <c r="F6616" i="26"/>
  <c r="D6576" i="26"/>
  <c r="F6576" i="26"/>
  <c r="D6556" i="26"/>
  <c r="F6556" i="26"/>
  <c r="D6376" i="26"/>
  <c r="F6376" i="26"/>
  <c r="D6356" i="26"/>
  <c r="F6356" i="26"/>
  <c r="D6216" i="26"/>
  <c r="F6216" i="26"/>
  <c r="D6196" i="26"/>
  <c r="F6196" i="26"/>
  <c r="D6156" i="26"/>
  <c r="F6156" i="26"/>
  <c r="D6136" i="26"/>
  <c r="F6136" i="26"/>
  <c r="D6116" i="26"/>
  <c r="F6116" i="26"/>
  <c r="D6016" i="26"/>
  <c r="F6016" i="26"/>
  <c r="D5996" i="26"/>
  <c r="F5996" i="26"/>
  <c r="D5916" i="26"/>
  <c r="F5916" i="26"/>
  <c r="D5836" i="26"/>
  <c r="F5836" i="26"/>
  <c r="D5736" i="26"/>
  <c r="F5736" i="26"/>
  <c r="D5536" i="26"/>
  <c r="F5536" i="26"/>
  <c r="D5516" i="26"/>
  <c r="F5516" i="26"/>
  <c r="D5496" i="26"/>
  <c r="F5496" i="26"/>
  <c r="D5036" i="26"/>
  <c r="F5036" i="26"/>
  <c r="D5016" i="26"/>
  <c r="F5016" i="26"/>
  <c r="F4836" i="26"/>
  <c r="D4836" i="26"/>
  <c r="D4416" i="26"/>
  <c r="F4416" i="26"/>
  <c r="D4236" i="26"/>
  <c r="F4236" i="26"/>
  <c r="D4076" i="26"/>
  <c r="F4076" i="26"/>
  <c r="D3916" i="26"/>
  <c r="F3916" i="26"/>
  <c r="D3876" i="26"/>
  <c r="F3876" i="26"/>
  <c r="D3596" i="26"/>
  <c r="F3596" i="26"/>
  <c r="D3456" i="26"/>
  <c r="F3456" i="26"/>
  <c r="D2996" i="26"/>
  <c r="F2996" i="26"/>
  <c r="D2796" i="26"/>
  <c r="F2796" i="26"/>
  <c r="D2636" i="26"/>
  <c r="F2636" i="26"/>
  <c r="D2416" i="26"/>
  <c r="F2416" i="26"/>
  <c r="F5956" i="26"/>
  <c r="F3736" i="26"/>
  <c r="D6115" i="26"/>
  <c r="F6115" i="26"/>
  <c r="F5715" i="26"/>
  <c r="D5715" i="26"/>
  <c r="D5675" i="26"/>
  <c r="F5675" i="26"/>
  <c r="D5435" i="26"/>
  <c r="F5435" i="26"/>
  <c r="D4895" i="26"/>
  <c r="F4895" i="26"/>
  <c r="D4355" i="26"/>
  <c r="F4355" i="26"/>
  <c r="F3716" i="26"/>
  <c r="D6634" i="26"/>
  <c r="F6634" i="26"/>
  <c r="D6514" i="26"/>
  <c r="F6514" i="26"/>
  <c r="D5674" i="26"/>
  <c r="F5674" i="26"/>
  <c r="D3794" i="26"/>
  <c r="F3794" i="26"/>
  <c r="D3374" i="26"/>
  <c r="F3374" i="26"/>
  <c r="D6693" i="26"/>
  <c r="F6693" i="26"/>
  <c r="F5493" i="26"/>
  <c r="F2493" i="26"/>
  <c r="D6331" i="26"/>
  <c r="F6331" i="26"/>
  <c r="F5511" i="26"/>
  <c r="D5511" i="26"/>
  <c r="F3591" i="26"/>
  <c r="D3591" i="26"/>
  <c r="D6710" i="26"/>
  <c r="F6710" i="26"/>
  <c r="D6330" i="26"/>
  <c r="F6330" i="26"/>
  <c r="D4650" i="26"/>
  <c r="F4650" i="26"/>
  <c r="D3610" i="26"/>
  <c r="F3610" i="26"/>
  <c r="D2310" i="26"/>
  <c r="F2310" i="26"/>
  <c r="D6409" i="26"/>
  <c r="F6409" i="26"/>
  <c r="D6009" i="26"/>
  <c r="F6009" i="26"/>
  <c r="D4949" i="26"/>
  <c r="F4949" i="26"/>
  <c r="D4329" i="26"/>
  <c r="F4329" i="26"/>
  <c r="D2629" i="26"/>
  <c r="F2629" i="26"/>
  <c r="D2329" i="26"/>
  <c r="F2329" i="26"/>
  <c r="D1969" i="26"/>
  <c r="F1969" i="26"/>
  <c r="D6688" i="26"/>
  <c r="F6688" i="26"/>
  <c r="D6608" i="26"/>
  <c r="F6608" i="26"/>
  <c r="D6588" i="26"/>
  <c r="F6588" i="26"/>
  <c r="D6268" i="26"/>
  <c r="F6268" i="26"/>
  <c r="D6248" i="26"/>
  <c r="F6248" i="26"/>
  <c r="D6148" i="26"/>
  <c r="F6148" i="26"/>
  <c r="D6008" i="26"/>
  <c r="F6008" i="26"/>
  <c r="D5808" i="26"/>
  <c r="F5808" i="26"/>
  <c r="D5688" i="26"/>
  <c r="F5688" i="26"/>
  <c r="D5668" i="26"/>
  <c r="F5668" i="26"/>
  <c r="D5608" i="26"/>
  <c r="F5608" i="26"/>
  <c r="D5408" i="26"/>
  <c r="F5408" i="26"/>
  <c r="D5388" i="26"/>
  <c r="F5388" i="26"/>
  <c r="D4948" i="26"/>
  <c r="F4948" i="26"/>
  <c r="D4728" i="26"/>
  <c r="F4728" i="26"/>
  <c r="D4368" i="26"/>
  <c r="F4368" i="26"/>
  <c r="D4328" i="26"/>
  <c r="F4328" i="26"/>
  <c r="D4208" i="26"/>
  <c r="F4208" i="26"/>
  <c r="D3908" i="26"/>
  <c r="F3908" i="26"/>
  <c r="D3788" i="26"/>
  <c r="F3788" i="26"/>
  <c r="D3468" i="26"/>
  <c r="F3468" i="26"/>
  <c r="D3248" i="26"/>
  <c r="F3248" i="26"/>
  <c r="D3088" i="26"/>
  <c r="F3088" i="26"/>
  <c r="D3048" i="26"/>
  <c r="F3048" i="26"/>
  <c r="D3008" i="26"/>
  <c r="F3008" i="26"/>
  <c r="D2888" i="26"/>
  <c r="F2888" i="26"/>
  <c r="D2848" i="26"/>
  <c r="F2848" i="26"/>
  <c r="D2588" i="26"/>
  <c r="F2588" i="26"/>
  <c r="D2548" i="26"/>
  <c r="F2548" i="26"/>
  <c r="D2308" i="26"/>
  <c r="F2308" i="26"/>
  <c r="F5568" i="26"/>
  <c r="F5469" i="26"/>
  <c r="F4488" i="26"/>
  <c r="D6487" i="26"/>
  <c r="F6487" i="26"/>
  <c r="D6347" i="26"/>
  <c r="F6347" i="26"/>
  <c r="D6187" i="26"/>
  <c r="F6187" i="26"/>
  <c r="D6167" i="26"/>
  <c r="F6167" i="26"/>
  <c r="D6107" i="26"/>
  <c r="F6107" i="26"/>
  <c r="D6087" i="26"/>
  <c r="F6087" i="26"/>
  <c r="D5987" i="26"/>
  <c r="F5987" i="26"/>
  <c r="D5927" i="26"/>
  <c r="F5927" i="26"/>
  <c r="D5667" i="26"/>
  <c r="F5667" i="26"/>
  <c r="D5247" i="26"/>
  <c r="F5247" i="26"/>
  <c r="D5087" i="26"/>
  <c r="F5087" i="26"/>
  <c r="D4827" i="26"/>
  <c r="F4827" i="26"/>
  <c r="D4647" i="26"/>
  <c r="F4647" i="26"/>
  <c r="D3787" i="26"/>
  <c r="F3787" i="26"/>
  <c r="D3607" i="26"/>
  <c r="F3607" i="26"/>
  <c r="D3467" i="26"/>
  <c r="F3467" i="26"/>
  <c r="D3327" i="26"/>
  <c r="F3327" i="26"/>
  <c r="D2847" i="26"/>
  <c r="F2847" i="26"/>
  <c r="D2687" i="26"/>
  <c r="F2687" i="26"/>
  <c r="D2347" i="26"/>
  <c r="F2347" i="26"/>
  <c r="F5708" i="26"/>
  <c r="F5567" i="26"/>
  <c r="F5467" i="26"/>
  <c r="F4688" i="26"/>
  <c r="F4248" i="26"/>
  <c r="F3628" i="26"/>
  <c r="F2407" i="26"/>
  <c r="D5691" i="26"/>
  <c r="D5591" i="26"/>
  <c r="D4663" i="26"/>
  <c r="F4663" i="26"/>
  <c r="F6568" i="26"/>
  <c r="F6348" i="26"/>
  <c r="F3988" i="26"/>
  <c r="F3830" i="26"/>
  <c r="F3588" i="26"/>
  <c r="F5548" i="26"/>
  <c r="F6709" i="26"/>
  <c r="F6448" i="26"/>
  <c r="F6108" i="26"/>
  <c r="F5967" i="26"/>
  <c r="F5008" i="26"/>
  <c r="F2250" i="26"/>
  <c r="F2229" i="26"/>
  <c r="D4691" i="26"/>
  <c r="F6548" i="26"/>
  <c r="F5187" i="26"/>
  <c r="F5007" i="26"/>
  <c r="F2988" i="26"/>
  <c r="F5262" i="26"/>
  <c r="F4986" i="26"/>
  <c r="F4382" i="26"/>
  <c r="F3522" i="26"/>
  <c r="F3346" i="26"/>
  <c r="F6342" i="26"/>
  <c r="F4842" i="26"/>
  <c r="F2861" i="26"/>
  <c r="F6401" i="26"/>
  <c r="F6166" i="26"/>
  <c r="F5581" i="26"/>
  <c r="F5402" i="26"/>
  <c r="F4022" i="26"/>
  <c r="F3786" i="26"/>
  <c r="F3262" i="26"/>
  <c r="D5201" i="26"/>
  <c r="F6400" i="26"/>
  <c r="F6239" i="26"/>
  <c r="F5986" i="26"/>
  <c r="F5761" i="26"/>
  <c r="F5580" i="26"/>
  <c r="F5221" i="26"/>
  <c r="F4940" i="26"/>
  <c r="F4820" i="26"/>
  <c r="F4020" i="26"/>
  <c r="F3261" i="26"/>
  <c r="F2820" i="26"/>
  <c r="F6402" i="26"/>
  <c r="F4502" i="26"/>
  <c r="F3266" i="26"/>
  <c r="D5062" i="26"/>
  <c r="F6480" i="26"/>
  <c r="F6399" i="26"/>
  <c r="F5980" i="26"/>
  <c r="F5760" i="26"/>
  <c r="F5579" i="26"/>
  <c r="F5220" i="26"/>
  <c r="F3599" i="26"/>
  <c r="F3459" i="26"/>
  <c r="F3000" i="26"/>
  <c r="D6485" i="26"/>
  <c r="F6485" i="26"/>
  <c r="D6445" i="26"/>
  <c r="F6445" i="26"/>
  <c r="D6285" i="26"/>
  <c r="F6285" i="26"/>
  <c r="D6185" i="26"/>
  <c r="F6185" i="26"/>
  <c r="D6165" i="26"/>
  <c r="F6165" i="26"/>
  <c r="D5985" i="26"/>
  <c r="F5985" i="26"/>
  <c r="D5905" i="26"/>
  <c r="F5905" i="26"/>
  <c r="D3965" i="26"/>
  <c r="F3965" i="26"/>
  <c r="D3725" i="26"/>
  <c r="F3725" i="26"/>
  <c r="D2945" i="26"/>
  <c r="F2945" i="26"/>
  <c r="D2885" i="26"/>
  <c r="F2885" i="26"/>
  <c r="D2705" i="26"/>
  <c r="F2705" i="26"/>
  <c r="D2645" i="26"/>
  <c r="F2645" i="26"/>
  <c r="D2465" i="26"/>
  <c r="F2465" i="26"/>
  <c r="D2245" i="26"/>
  <c r="F2245" i="26"/>
  <c r="D1865" i="26"/>
  <c r="F1865" i="26"/>
  <c r="D1845" i="26"/>
  <c r="F1845" i="26"/>
  <c r="D6184" i="26"/>
  <c r="F6184" i="26"/>
  <c r="D6764" i="26"/>
  <c r="F6764" i="26"/>
  <c r="D6664" i="26"/>
  <c r="F6664" i="26"/>
  <c r="D6604" i="26"/>
  <c r="F6604" i="26"/>
  <c r="D6484" i="26"/>
  <c r="F6484" i="26"/>
  <c r="D6324" i="26"/>
  <c r="F6324" i="26"/>
  <c r="D5604" i="26"/>
  <c r="F5604" i="26"/>
  <c r="D5324" i="26"/>
  <c r="F5324" i="26"/>
  <c r="D5164" i="26"/>
  <c r="F5164" i="26"/>
  <c r="D5024" i="26"/>
  <c r="F5024" i="26"/>
  <c r="D4884" i="26"/>
  <c r="F4884" i="26"/>
  <c r="D2944" i="26"/>
  <c r="F2944" i="26"/>
  <c r="D2884" i="26"/>
  <c r="F2884" i="26"/>
  <c r="D2784" i="26"/>
  <c r="F2784" i="26"/>
  <c r="D2704" i="26"/>
  <c r="F2704" i="26"/>
  <c r="D2564" i="26"/>
  <c r="F2564" i="26"/>
  <c r="D2464" i="26"/>
  <c r="F2464" i="26"/>
  <c r="D1944" i="26"/>
  <c r="F1944" i="26"/>
  <c r="D1864" i="26"/>
  <c r="F1864" i="26"/>
  <c r="D1584" i="26"/>
  <c r="F1584" i="26"/>
  <c r="F6143" i="26"/>
  <c r="D6143" i="26"/>
  <c r="F6063" i="26"/>
  <c r="D6063" i="26"/>
  <c r="D5663" i="26"/>
  <c r="F5663" i="26"/>
  <c r="F5383" i="26"/>
  <c r="D5383" i="26"/>
  <c r="D5023" i="26"/>
  <c r="F5023" i="26"/>
  <c r="F4823" i="26"/>
  <c r="D4823" i="26"/>
  <c r="F4623" i="26"/>
  <c r="D4623" i="26"/>
  <c r="D4543" i="26"/>
  <c r="F4543" i="26"/>
  <c r="D4083" i="26"/>
  <c r="F4083" i="26"/>
  <c r="D4023" i="26"/>
  <c r="F4023" i="26"/>
  <c r="D3703" i="26"/>
  <c r="F3703" i="26"/>
  <c r="D3243" i="26"/>
  <c r="F3243" i="26"/>
  <c r="D2943" i="26"/>
  <c r="F2943" i="26"/>
  <c r="D2483" i="26"/>
  <c r="F2483" i="26"/>
  <c r="D2423" i="26"/>
  <c r="F2423" i="26"/>
  <c r="F2383" i="26"/>
  <c r="D2383" i="26"/>
  <c r="D2343" i="26"/>
  <c r="F2343" i="26"/>
  <c r="D2183" i="26"/>
  <c r="F2183" i="26"/>
  <c r="D2103" i="26"/>
  <c r="F2103" i="26"/>
  <c r="D1603" i="26"/>
  <c r="F1603" i="26"/>
  <c r="D1403" i="26"/>
  <c r="F1403" i="26"/>
  <c r="D1283" i="26"/>
  <c r="F1283" i="26"/>
  <c r="D1123" i="26"/>
  <c r="F1123" i="26"/>
  <c r="F3365" i="26"/>
  <c r="F3143" i="26"/>
  <c r="F5263" i="26"/>
  <c r="F6695" i="26"/>
  <c r="F5755" i="26"/>
  <c r="F4584" i="26"/>
  <c r="F3785" i="26"/>
  <c r="D6717" i="26"/>
  <c r="F6717" i="26"/>
  <c r="D6577" i="26"/>
  <c r="F6577" i="26"/>
  <c r="D6537" i="26"/>
  <c r="F6537" i="26"/>
  <c r="D6437" i="26"/>
  <c r="F6437" i="26"/>
  <c r="D6417" i="26"/>
  <c r="F6417" i="26"/>
  <c r="D6377" i="26"/>
  <c r="F6377" i="26"/>
  <c r="D6357" i="26"/>
  <c r="F6357" i="26"/>
  <c r="D6237" i="26"/>
  <c r="F6237" i="26"/>
  <c r="F6197" i="26"/>
  <c r="D6197" i="26"/>
  <c r="D6157" i="26"/>
  <c r="F6157" i="26"/>
  <c r="D5957" i="26"/>
  <c r="F5957" i="26"/>
  <c r="D5877" i="26"/>
  <c r="F5877" i="26"/>
  <c r="D5837" i="26"/>
  <c r="F5837" i="26"/>
  <c r="D5637" i="26"/>
  <c r="F5637" i="26"/>
  <c r="D5617" i="26"/>
  <c r="F5617" i="26"/>
  <c r="D5577" i="26"/>
  <c r="F5577" i="26"/>
  <c r="D5497" i="26"/>
  <c r="F5497" i="26"/>
  <c r="F5417" i="26"/>
  <c r="D5417" i="26"/>
  <c r="D5357" i="26"/>
  <c r="F5357" i="26"/>
  <c r="D5217" i="26"/>
  <c r="F5217" i="26"/>
  <c r="D5057" i="26"/>
  <c r="F5057" i="26"/>
  <c r="D4937" i="26"/>
  <c r="F4937" i="26"/>
  <c r="D4597" i="26"/>
  <c r="F4597" i="26"/>
  <c r="D4457" i="26"/>
  <c r="F4457" i="26"/>
  <c r="F4397" i="26"/>
  <c r="D4397" i="26"/>
  <c r="D4037" i="26"/>
  <c r="F4037" i="26"/>
  <c r="D3597" i="26"/>
  <c r="F3597" i="26"/>
  <c r="D3417" i="26"/>
  <c r="F3417" i="26"/>
  <c r="D3357" i="26"/>
  <c r="F3357" i="26"/>
  <c r="D3077" i="26"/>
  <c r="F3077" i="26"/>
  <c r="D3017" i="26"/>
  <c r="F3017" i="26"/>
  <c r="D2797" i="26"/>
  <c r="F2797" i="26"/>
  <c r="D2637" i="26"/>
  <c r="F2637" i="26"/>
  <c r="D2577" i="26"/>
  <c r="F2577" i="26"/>
  <c r="D2297" i="26"/>
  <c r="F2297" i="26"/>
  <c r="D2277" i="26"/>
  <c r="F2277" i="26"/>
  <c r="D2017" i="26"/>
  <c r="F2017" i="26"/>
  <c r="D1737" i="26"/>
  <c r="F1737" i="26"/>
  <c r="D1117" i="26"/>
  <c r="F1117" i="26"/>
  <c r="F5855" i="26"/>
  <c r="F5754" i="26"/>
  <c r="F4294" i="26"/>
  <c r="F5394" i="26"/>
  <c r="F5094" i="26"/>
  <c r="F4854" i="26"/>
  <c r="F4285" i="26"/>
  <c r="F3883" i="26"/>
  <c r="F3317" i="26"/>
  <c r="D4775" i="26"/>
  <c r="F4775" i="26"/>
  <c r="D4795" i="26"/>
  <c r="F4795" i="26"/>
  <c r="D4715" i="26"/>
  <c r="F4715" i="26"/>
  <c r="D6024" i="26"/>
  <c r="F6024" i="26"/>
  <c r="D4455" i="26"/>
  <c r="F4455" i="26"/>
  <c r="D4375" i="26"/>
  <c r="F4375" i="26"/>
  <c r="D4055" i="26"/>
  <c r="F4055" i="26"/>
  <c r="D3975" i="26"/>
  <c r="F3975" i="26"/>
  <c r="D3815" i="26"/>
  <c r="F3815" i="26"/>
  <c r="D3715" i="26"/>
  <c r="F3715" i="26"/>
  <c r="D3215" i="26"/>
  <c r="F3215" i="26"/>
  <c r="D3175" i="26"/>
  <c r="F3175" i="26"/>
  <c r="D2975" i="26"/>
  <c r="F2975" i="26"/>
  <c r="D2755" i="26"/>
  <c r="F2755" i="26"/>
  <c r="D2635" i="26"/>
  <c r="F2635" i="26"/>
  <c r="D2595" i="26"/>
  <c r="F2595" i="26"/>
  <c r="D2535" i="26"/>
  <c r="F2535" i="26"/>
  <c r="D2475" i="26"/>
  <c r="F2475" i="26"/>
  <c r="D2255" i="26"/>
  <c r="F2255" i="26"/>
  <c r="D1295" i="26"/>
  <c r="F1295" i="26"/>
  <c r="D6774" i="26"/>
  <c r="F6774" i="26"/>
  <c r="D6734" i="26"/>
  <c r="F6734" i="26"/>
  <c r="D6574" i="26"/>
  <c r="F6574" i="26"/>
  <c r="D6494" i="26"/>
  <c r="F6494" i="26"/>
  <c r="D6294" i="26"/>
  <c r="F6294" i="26"/>
  <c r="D6174" i="26"/>
  <c r="F6174" i="26"/>
  <c r="D6154" i="26"/>
  <c r="F6154" i="26"/>
  <c r="D6114" i="26"/>
  <c r="F6114" i="26"/>
  <c r="D6014" i="26"/>
  <c r="F6014" i="26"/>
  <c r="D5974" i="26"/>
  <c r="F5974" i="26"/>
  <c r="D5954" i="26"/>
  <c r="F5954" i="26"/>
  <c r="D5654" i="26"/>
  <c r="F5654" i="26"/>
  <c r="D5434" i="26"/>
  <c r="F5434" i="26"/>
  <c r="F6531" i="26"/>
  <c r="D6531" i="26"/>
  <c r="F4711" i="26"/>
  <c r="D4711" i="26"/>
  <c r="D2851" i="26"/>
  <c r="F2851" i="26"/>
  <c r="D2151" i="26"/>
  <c r="F2151" i="26"/>
  <c r="F1751" i="26"/>
  <c r="D1751" i="26"/>
  <c r="F5375" i="26"/>
  <c r="F3257" i="26"/>
  <c r="F5997" i="26"/>
  <c r="F4834" i="26"/>
  <c r="F4544" i="26"/>
  <c r="F4131" i="26"/>
  <c r="F6744" i="26"/>
  <c r="F6297" i="26"/>
  <c r="F6074" i="26"/>
  <c r="F5917" i="26"/>
  <c r="F5815" i="26"/>
  <c r="F5623" i="26"/>
  <c r="F4123" i="26"/>
  <c r="F6723" i="26"/>
  <c r="D6723" i="26"/>
  <c r="F5883" i="26"/>
  <c r="D5883" i="26"/>
  <c r="D5743" i="26"/>
  <c r="F5743" i="26"/>
  <c r="D5523" i="26"/>
  <c r="F5523" i="26"/>
  <c r="F5503" i="26"/>
  <c r="D5503" i="26"/>
  <c r="D5403" i="26"/>
  <c r="F5403" i="26"/>
  <c r="D5243" i="26"/>
  <c r="F5243" i="26"/>
  <c r="D5143" i="26"/>
  <c r="F5143" i="26"/>
  <c r="D4883" i="26"/>
  <c r="F4883" i="26"/>
  <c r="D4843" i="26"/>
  <c r="F4843" i="26"/>
  <c r="D4563" i="26"/>
  <c r="F4563" i="26"/>
  <c r="D4483" i="26"/>
  <c r="F4483" i="26"/>
  <c r="F3903" i="26"/>
  <c r="D3903" i="26"/>
  <c r="D3643" i="26"/>
  <c r="F3643" i="26"/>
  <c r="D3223" i="26"/>
  <c r="F3223" i="26"/>
  <c r="D2583" i="26"/>
  <c r="F2583" i="26"/>
  <c r="D2563" i="26"/>
  <c r="F2563" i="26"/>
  <c r="D2543" i="26"/>
  <c r="F2543" i="26"/>
  <c r="D1943" i="26"/>
  <c r="F1943" i="26"/>
  <c r="D1903" i="26"/>
  <c r="F1903" i="26"/>
  <c r="D1763" i="26"/>
  <c r="F1763" i="26"/>
  <c r="D1703" i="26"/>
  <c r="F1703" i="26"/>
  <c r="D1263" i="26"/>
  <c r="F1263" i="26"/>
  <c r="F5303" i="26"/>
  <c r="F6444" i="26"/>
  <c r="D6775" i="26"/>
  <c r="F6775" i="26"/>
  <c r="D6735" i="26"/>
  <c r="F6735" i="26"/>
  <c r="D6715" i="26"/>
  <c r="F6715" i="26"/>
  <c r="D6595" i="26"/>
  <c r="F6595" i="26"/>
  <c r="D6575" i="26"/>
  <c r="F6575" i="26"/>
  <c r="D6515" i="26"/>
  <c r="F6515" i="26"/>
  <c r="D6495" i="26"/>
  <c r="F6495" i="26"/>
  <c r="D6435" i="26"/>
  <c r="F6435" i="26"/>
  <c r="D6395" i="26"/>
  <c r="F6395" i="26"/>
  <c r="D6375" i="26"/>
  <c r="F6375" i="26"/>
  <c r="D6355" i="26"/>
  <c r="F6355" i="26"/>
  <c r="D6315" i="26"/>
  <c r="F6315" i="26"/>
  <c r="D6195" i="26"/>
  <c r="F6195" i="26"/>
  <c r="D6155" i="26"/>
  <c r="F6155" i="26"/>
  <c r="D6015" i="26"/>
  <c r="F6015" i="26"/>
  <c r="D5955" i="26"/>
  <c r="F5955" i="26"/>
  <c r="D5935" i="26"/>
  <c r="F5935" i="26"/>
  <c r="D5735" i="26"/>
  <c r="F5735" i="26"/>
  <c r="D5635" i="26"/>
  <c r="F5635" i="26"/>
  <c r="D5575" i="26"/>
  <c r="F5575" i="26"/>
  <c r="D5535" i="26"/>
  <c r="F5535" i="26"/>
  <c r="D5515" i="26"/>
  <c r="F5515" i="26"/>
  <c r="D4275" i="26"/>
  <c r="F4275" i="26"/>
  <c r="D4215" i="26"/>
  <c r="F4215" i="26"/>
  <c r="D3655" i="26"/>
  <c r="F3655" i="26"/>
  <c r="D3115" i="26"/>
  <c r="F3115" i="26"/>
  <c r="D3075" i="26"/>
  <c r="F3075" i="26"/>
  <c r="D2015" i="26"/>
  <c r="F2015" i="26"/>
  <c r="D1915" i="26"/>
  <c r="F1915" i="26"/>
  <c r="D1335" i="26"/>
  <c r="F1335" i="26"/>
  <c r="D1235" i="26"/>
  <c r="F1235" i="26"/>
  <c r="D1075" i="26"/>
  <c r="F1075" i="26"/>
  <c r="D1035" i="26"/>
  <c r="F1035" i="26"/>
  <c r="D6714" i="26"/>
  <c r="F6714" i="26"/>
  <c r="D6694" i="26"/>
  <c r="F6694" i="26"/>
  <c r="D6394" i="26"/>
  <c r="F6394" i="26"/>
  <c r="D6374" i="26"/>
  <c r="F6374" i="26"/>
  <c r="D6354" i="26"/>
  <c r="F6354" i="26"/>
  <c r="D6314" i="26"/>
  <c r="F6314" i="26"/>
  <c r="D6234" i="26"/>
  <c r="F6234" i="26"/>
  <c r="D6094" i="26"/>
  <c r="F6094" i="26"/>
  <c r="D5874" i="26"/>
  <c r="F5874" i="26"/>
  <c r="D5794" i="26"/>
  <c r="F5794" i="26"/>
  <c r="D5734" i="26"/>
  <c r="F5734" i="26"/>
  <c r="D5574" i="26"/>
  <c r="F5574" i="26"/>
  <c r="D5514" i="26"/>
  <c r="F5514" i="26"/>
  <c r="D5474" i="26"/>
  <c r="F5474" i="26"/>
  <c r="D5454" i="26"/>
  <c r="F5454" i="26"/>
  <c r="D5374" i="26"/>
  <c r="F5374" i="26"/>
  <c r="D5334" i="26"/>
  <c r="F5334" i="26"/>
  <c r="D5074" i="26"/>
  <c r="F5074" i="26"/>
  <c r="D4954" i="26"/>
  <c r="F4954" i="26"/>
  <c r="D4914" i="26"/>
  <c r="F4914" i="26"/>
  <c r="D4354" i="26"/>
  <c r="F4354" i="26"/>
  <c r="D4274" i="26"/>
  <c r="F4274" i="26"/>
  <c r="D4194" i="26"/>
  <c r="F4194" i="26"/>
  <c r="D4094" i="26"/>
  <c r="F4094" i="26"/>
  <c r="D4034" i="26"/>
  <c r="F4034" i="26"/>
  <c r="D3974" i="26"/>
  <c r="F3974" i="26"/>
  <c r="D3934" i="26"/>
  <c r="F3934" i="26"/>
  <c r="D3874" i="26"/>
  <c r="F3874" i="26"/>
  <c r="D3854" i="26"/>
  <c r="F3854" i="26"/>
  <c r="D3834" i="26"/>
  <c r="F3834" i="26"/>
  <c r="D3814" i="26"/>
  <c r="F3814" i="26"/>
  <c r="D3734" i="26"/>
  <c r="F3734" i="26"/>
  <c r="D3714" i="26"/>
  <c r="F3714" i="26"/>
  <c r="D3694" i="26"/>
  <c r="F3694" i="26"/>
  <c r="D3494" i="26"/>
  <c r="F3494" i="26"/>
  <c r="D3474" i="26"/>
  <c r="F3474" i="26"/>
  <c r="D3394" i="26"/>
  <c r="F3394" i="26"/>
  <c r="D3314" i="26"/>
  <c r="F3314" i="26"/>
  <c r="D3294" i="26"/>
  <c r="F3294" i="26"/>
  <c r="D3254" i="26"/>
  <c r="F3254" i="26"/>
  <c r="D3214" i="26"/>
  <c r="F3214" i="26"/>
  <c r="D3174" i="26"/>
  <c r="F3174" i="26"/>
  <c r="D3114" i="26"/>
  <c r="F3114" i="26"/>
  <c r="D3014" i="26"/>
  <c r="F3014" i="26"/>
  <c r="D2974" i="26"/>
  <c r="F2974" i="26"/>
  <c r="D2954" i="26"/>
  <c r="F2954" i="26"/>
  <c r="D2934" i="26"/>
  <c r="F2934" i="26"/>
  <c r="D2914" i="26"/>
  <c r="F2914" i="26"/>
  <c r="D2794" i="26"/>
  <c r="F2794" i="26"/>
  <c r="D2694" i="26"/>
  <c r="F2694" i="26"/>
  <c r="D2474" i="26"/>
  <c r="F2474" i="26"/>
  <c r="D2454" i="26"/>
  <c r="F2454" i="26"/>
  <c r="D2394" i="26"/>
  <c r="F2394" i="26"/>
  <c r="D2274" i="26"/>
  <c r="F2274" i="26"/>
  <c r="D2174" i="26"/>
  <c r="F2174" i="26"/>
  <c r="D2014" i="26"/>
  <c r="F2014" i="26"/>
  <c r="D1974" i="26"/>
  <c r="F1974" i="26"/>
  <c r="D1914" i="26"/>
  <c r="F1914" i="26"/>
  <c r="D1894" i="26"/>
  <c r="F1894" i="26"/>
  <c r="D1174" i="26"/>
  <c r="F1174" i="26"/>
  <c r="D1114" i="26"/>
  <c r="F1114" i="26"/>
  <c r="D1074" i="26"/>
  <c r="F1074" i="26"/>
  <c r="D1034" i="26"/>
  <c r="F1034" i="26"/>
  <c r="F5835" i="26"/>
  <c r="F3265" i="26"/>
  <c r="F6585" i="26"/>
  <c r="F5834" i="26"/>
  <c r="F4723" i="26"/>
  <c r="F6584" i="26"/>
  <c r="F4837" i="26"/>
  <c r="F3735" i="26"/>
  <c r="F3063" i="26"/>
  <c r="D6711" i="26"/>
  <c r="F6711" i="26"/>
  <c r="D6431" i="26"/>
  <c r="F6431" i="26"/>
  <c r="D5911" i="26"/>
  <c r="F5911" i="26"/>
  <c r="D5791" i="26"/>
  <c r="F5791" i="26"/>
  <c r="D5631" i="26"/>
  <c r="F5631" i="26"/>
  <c r="D3471" i="26"/>
  <c r="F3471" i="26"/>
  <c r="F3271" i="26"/>
  <c r="D3271" i="26"/>
  <c r="F2871" i="26"/>
  <c r="D2871" i="26"/>
  <c r="F1771" i="26"/>
  <c r="D1771" i="26"/>
  <c r="F1071" i="26"/>
  <c r="D1071" i="26"/>
  <c r="F6164" i="26"/>
  <c r="F4835" i="26"/>
  <c r="F6745" i="26"/>
  <c r="F6077" i="26"/>
  <c r="D6323" i="26"/>
  <c r="F6654" i="26"/>
  <c r="F5814" i="26"/>
  <c r="F5543" i="26"/>
  <c r="F5337" i="26"/>
  <c r="F4675" i="26"/>
  <c r="F3697" i="26"/>
  <c r="F2362" i="26"/>
  <c r="F2219" i="26"/>
  <c r="F2361" i="26"/>
  <c r="F2199" i="26"/>
  <c r="F2342" i="26"/>
  <c r="F2461" i="26"/>
  <c r="D4727" i="26"/>
  <c r="F4727" i="26"/>
  <c r="D4507" i="26"/>
  <c r="F4507" i="26"/>
  <c r="D4487" i="26"/>
  <c r="F4487" i="26"/>
  <c r="D4347" i="26"/>
  <c r="F4347" i="26"/>
  <c r="D4307" i="26"/>
  <c r="F4307" i="26"/>
  <c r="D4287" i="26"/>
  <c r="F4287" i="26"/>
  <c r="D4087" i="26"/>
  <c r="F4087" i="26"/>
  <c r="D4007" i="26"/>
  <c r="F4007" i="26"/>
  <c r="D3967" i="26"/>
  <c r="F3967" i="26"/>
  <c r="D3907" i="26"/>
  <c r="F3907" i="26"/>
  <c r="D3887" i="26"/>
  <c r="F3887" i="26"/>
  <c r="D3727" i="26"/>
  <c r="F3727" i="26"/>
  <c r="D3667" i="26"/>
  <c r="F3667" i="26"/>
  <c r="D3567" i="26"/>
  <c r="F3567" i="26"/>
  <c r="D3487" i="26"/>
  <c r="F3487" i="26"/>
  <c r="D3187" i="26"/>
  <c r="F3187" i="26"/>
  <c r="D3127" i="26"/>
  <c r="F3127" i="26"/>
  <c r="D3107" i="26"/>
  <c r="F3107" i="26"/>
  <c r="D3047" i="26"/>
  <c r="F3047" i="26"/>
  <c r="D2947" i="26"/>
  <c r="F2947" i="26"/>
  <c r="D2827" i="26"/>
  <c r="F2827" i="26"/>
  <c r="D2647" i="26"/>
  <c r="F2647" i="26"/>
  <c r="D2367" i="26"/>
  <c r="F2367" i="26"/>
  <c r="D2327" i="26"/>
  <c r="F2327" i="26"/>
  <c r="D2287" i="26"/>
  <c r="F2287" i="26"/>
  <c r="D2267" i="26"/>
  <c r="F2267" i="26"/>
  <c r="D2187" i="26"/>
  <c r="F2187" i="26"/>
  <c r="D2127" i="26"/>
  <c r="F2127" i="26"/>
  <c r="D2067" i="26"/>
  <c r="F2067" i="26"/>
  <c r="D1967" i="26"/>
  <c r="F1967" i="26"/>
  <c r="D1927" i="26"/>
  <c r="F1927" i="26"/>
  <c r="D1867" i="26"/>
  <c r="F1867" i="26"/>
  <c r="D1767" i="26"/>
  <c r="F1767" i="26"/>
  <c r="D1707" i="26"/>
  <c r="F1707" i="26"/>
  <c r="D1667" i="26"/>
  <c r="F1667" i="26"/>
  <c r="D1627" i="26"/>
  <c r="F1627" i="26"/>
  <c r="D1587" i="26"/>
  <c r="F1587" i="26"/>
  <c r="D1467" i="26"/>
  <c r="F1467" i="26"/>
  <c r="D1427" i="26"/>
  <c r="F1427" i="26"/>
  <c r="D1347" i="26"/>
  <c r="F1347" i="26"/>
  <c r="D1327" i="26"/>
  <c r="F1327" i="26"/>
  <c r="D1307" i="26"/>
  <c r="F1307" i="26"/>
  <c r="D1247" i="26"/>
  <c r="F1247" i="26"/>
  <c r="D1147" i="26"/>
  <c r="F1147" i="26"/>
  <c r="D1107" i="26"/>
  <c r="F1107" i="26"/>
  <c r="D1067" i="26"/>
  <c r="F1067" i="26"/>
  <c r="D1047" i="26"/>
  <c r="F1047" i="26"/>
  <c r="D6722" i="26"/>
  <c r="F5822" i="26"/>
  <c r="F4102" i="26"/>
  <c r="D6767" i="26"/>
  <c r="F6767" i="26"/>
  <c r="D6627" i="26"/>
  <c r="F6627" i="26"/>
  <c r="D6607" i="26"/>
  <c r="F6607" i="26"/>
  <c r="D6547" i="26"/>
  <c r="F6547" i="26"/>
  <c r="D6527" i="26"/>
  <c r="F6527" i="26"/>
  <c r="D6507" i="26"/>
  <c r="F6507" i="26"/>
  <c r="D6427" i="26"/>
  <c r="F6427" i="26"/>
  <c r="D6387" i="26"/>
  <c r="F6387" i="26"/>
  <c r="D6327" i="26"/>
  <c r="F6327" i="26"/>
  <c r="D6267" i="26"/>
  <c r="F6267" i="26"/>
  <c r="D6227" i="26"/>
  <c r="F6227" i="26"/>
  <c r="D6127" i="26"/>
  <c r="F6127" i="26"/>
  <c r="D6027" i="26"/>
  <c r="F6027" i="26"/>
  <c r="D5847" i="26"/>
  <c r="F5847" i="26"/>
  <c r="D5827" i="26"/>
  <c r="F5827" i="26"/>
  <c r="D5807" i="26"/>
  <c r="F5807" i="26"/>
  <c r="D5767" i="26"/>
  <c r="F5767" i="26"/>
  <c r="D5707" i="26"/>
  <c r="F5707" i="26"/>
  <c r="D5647" i="26"/>
  <c r="F5647" i="26"/>
  <c r="D5547" i="26"/>
  <c r="F5547" i="26"/>
  <c r="D5527" i="26"/>
  <c r="F5527" i="26"/>
  <c r="D5427" i="26"/>
  <c r="F5427" i="26"/>
  <c r="D5407" i="26"/>
  <c r="F5407" i="26"/>
  <c r="D5387" i="26"/>
  <c r="F5387" i="26"/>
  <c r="D5227" i="26"/>
  <c r="F5227" i="26"/>
  <c r="D5127" i="26"/>
  <c r="F5127" i="26"/>
  <c r="D5107" i="26"/>
  <c r="F5107" i="26"/>
  <c r="D5027" i="26"/>
  <c r="F5027" i="26"/>
  <c r="D4967" i="26"/>
  <c r="F4967" i="26"/>
  <c r="D4947" i="26"/>
  <c r="F4947" i="26"/>
  <c r="F6519" i="26"/>
  <c r="F6379" i="26"/>
  <c r="F6247" i="26"/>
  <c r="F6119" i="26"/>
  <c r="F5101" i="26"/>
  <c r="F4207" i="26"/>
  <c r="F3767" i="26"/>
  <c r="F3242" i="26"/>
  <c r="F2307" i="26"/>
  <c r="D6486" i="26"/>
  <c r="F6486" i="26"/>
  <c r="D6086" i="26"/>
  <c r="F6086" i="26"/>
  <c r="D5906" i="26"/>
  <c r="F5906" i="26"/>
  <c r="D5706" i="26"/>
  <c r="F5706" i="26"/>
  <c r="D5666" i="26"/>
  <c r="F5666" i="26"/>
  <c r="D5106" i="26"/>
  <c r="F5106" i="26"/>
  <c r="D5046" i="26"/>
  <c r="F5046" i="26"/>
  <c r="F4966" i="26"/>
  <c r="D4966" i="26"/>
  <c r="D3726" i="26"/>
  <c r="F3726" i="26"/>
  <c r="F3426" i="26"/>
  <c r="D3426" i="26"/>
  <c r="D3186" i="26"/>
  <c r="F3186" i="26"/>
  <c r="D2406" i="26"/>
  <c r="F2406" i="26"/>
  <c r="D1966" i="26"/>
  <c r="F1966" i="26"/>
  <c r="F6659" i="26"/>
  <c r="F6587" i="26"/>
  <c r="F6242" i="26"/>
  <c r="F5899" i="26"/>
  <c r="F5586" i="26"/>
  <c r="F5441" i="26"/>
  <c r="F5347" i="26"/>
  <c r="F5242" i="26"/>
  <c r="F4898" i="26"/>
  <c r="F4559" i="26"/>
  <c r="F4082" i="26"/>
  <c r="F3646" i="26"/>
  <c r="F3527" i="26"/>
  <c r="F3379" i="26"/>
  <c r="F3241" i="26"/>
  <c r="F2627" i="26"/>
  <c r="F2439" i="26"/>
  <c r="F2421" i="26"/>
  <c r="D2061" i="26"/>
  <c r="F2061" i="26"/>
  <c r="D2041" i="26"/>
  <c r="F2041" i="26"/>
  <c r="D1461" i="26"/>
  <c r="F1461" i="26"/>
  <c r="D1101" i="26"/>
  <c r="F1101" i="26"/>
  <c r="F6642" i="26"/>
  <c r="F6641" i="26"/>
  <c r="F5701" i="26"/>
  <c r="F5422" i="26"/>
  <c r="F5321" i="26"/>
  <c r="F4641" i="26"/>
  <c r="F3201" i="26"/>
  <c r="F2561" i="26"/>
  <c r="D6739" i="26"/>
  <c r="F6739" i="26"/>
  <c r="D6619" i="26"/>
  <c r="F6619" i="26"/>
  <c r="D6439" i="26"/>
  <c r="F6439" i="26"/>
  <c r="D6099" i="26"/>
  <c r="F6099" i="26"/>
  <c r="D6059" i="26"/>
  <c r="F6059" i="26"/>
  <c r="D5619" i="26"/>
  <c r="F5619" i="26"/>
  <c r="D5599" i="26"/>
  <c r="F5599" i="26"/>
  <c r="D5499" i="26"/>
  <c r="F5499" i="26"/>
  <c r="D5259" i="26"/>
  <c r="F5259" i="26"/>
  <c r="D5219" i="26"/>
  <c r="F5219" i="26"/>
  <c r="F5421" i="26"/>
  <c r="D6662" i="26"/>
  <c r="F6662" i="26"/>
  <c r="D6562" i="26"/>
  <c r="F6562" i="26"/>
  <c r="D6482" i="26"/>
  <c r="F6482" i="26"/>
  <c r="D6442" i="26"/>
  <c r="F6442" i="26"/>
  <c r="D6322" i="26"/>
  <c r="F6322" i="26"/>
  <c r="D6302" i="26"/>
  <c r="F6302" i="26"/>
  <c r="D6262" i="26"/>
  <c r="F6262" i="26"/>
  <c r="D6182" i="26"/>
  <c r="F6182" i="26"/>
  <c r="D6022" i="26"/>
  <c r="F6022" i="26"/>
  <c r="D5902" i="26"/>
  <c r="F5902" i="26"/>
  <c r="F5722" i="26"/>
  <c r="D5722" i="26"/>
  <c r="D5702" i="26"/>
  <c r="F5702" i="26"/>
  <c r="D5662" i="26"/>
  <c r="F5662" i="26"/>
  <c r="D5522" i="26"/>
  <c r="F5522" i="26"/>
  <c r="D5482" i="26"/>
  <c r="F5482" i="26"/>
  <c r="D5142" i="26"/>
  <c r="F5142" i="26"/>
  <c r="D5102" i="26"/>
  <c r="F5102" i="26"/>
  <c r="D4862" i="26"/>
  <c r="F4862" i="26"/>
  <c r="D4562" i="26"/>
  <c r="F4562" i="26"/>
  <c r="D4422" i="26"/>
  <c r="F4422" i="26"/>
  <c r="D4002" i="26"/>
  <c r="F4002" i="26"/>
  <c r="D3902" i="26"/>
  <c r="F3902" i="26"/>
  <c r="D3802" i="26"/>
  <c r="F3802" i="26"/>
  <c r="D3562" i="26"/>
  <c r="F3562" i="26"/>
  <c r="D2702" i="26"/>
  <c r="F2702" i="26"/>
  <c r="D2642" i="26"/>
  <c r="F2642" i="26"/>
  <c r="D2562" i="26"/>
  <c r="F2562" i="26"/>
  <c r="D2482" i="26"/>
  <c r="F2482" i="26"/>
  <c r="D2422" i="26"/>
  <c r="F2422" i="26"/>
  <c r="D2302" i="26"/>
  <c r="F2302" i="26"/>
  <c r="D2182" i="26"/>
  <c r="F2182" i="26"/>
  <c r="D1942" i="26"/>
  <c r="F1942" i="26"/>
  <c r="D1842" i="26"/>
  <c r="F1842" i="26"/>
  <c r="D1822" i="26"/>
  <c r="F1822" i="26"/>
  <c r="D1662" i="26"/>
  <c r="F1662" i="26"/>
  <c r="D1562" i="26"/>
  <c r="F1562" i="26"/>
  <c r="D1262" i="26"/>
  <c r="F1262" i="26"/>
  <c r="D6721" i="26"/>
  <c r="F6721" i="26"/>
  <c r="D6681" i="26"/>
  <c r="F6681" i="26"/>
  <c r="D6661" i="26"/>
  <c r="F6661" i="26"/>
  <c r="D6541" i="26"/>
  <c r="F6541" i="26"/>
  <c r="D6481" i="26"/>
  <c r="F6481" i="26"/>
  <c r="D6321" i="26"/>
  <c r="F6321" i="26"/>
  <c r="D6261" i="26"/>
  <c r="F6261" i="26"/>
  <c r="D6221" i="26"/>
  <c r="F6221" i="26"/>
  <c r="D6101" i="26"/>
  <c r="F6101" i="26"/>
  <c r="D6021" i="26"/>
  <c r="F6021" i="26"/>
  <c r="D5981" i="26"/>
  <c r="F5981" i="26"/>
  <c r="D5881" i="26"/>
  <c r="F5881" i="26"/>
  <c r="D5781" i="26"/>
  <c r="F5781" i="26"/>
  <c r="D5661" i="26"/>
  <c r="F5661" i="26"/>
  <c r="D5641" i="26"/>
  <c r="F5641" i="26"/>
  <c r="D5521" i="26"/>
  <c r="F5521" i="26"/>
  <c r="D5481" i="26"/>
  <c r="F5481" i="26"/>
  <c r="D5281" i="26"/>
  <c r="F5281" i="26"/>
  <c r="D5241" i="26"/>
  <c r="F5241" i="26"/>
  <c r="D4821" i="26"/>
  <c r="F4821" i="26"/>
  <c r="D4781" i="26"/>
  <c r="F4781" i="26"/>
  <c r="F4521" i="26"/>
  <c r="D4521" i="26"/>
  <c r="D4481" i="26"/>
  <c r="F4481" i="26"/>
  <c r="D4441" i="26"/>
  <c r="F4441" i="26"/>
  <c r="D4261" i="26"/>
  <c r="F4261" i="26"/>
  <c r="D4101" i="26"/>
  <c r="F4101" i="26"/>
  <c r="D4061" i="26"/>
  <c r="F4061" i="26"/>
  <c r="F3921" i="26"/>
  <c r="D3921" i="26"/>
  <c r="D3901" i="26"/>
  <c r="F3901" i="26"/>
  <c r="D3801" i="26"/>
  <c r="F3801" i="26"/>
  <c r="D3441" i="26"/>
  <c r="F3441" i="26"/>
  <c r="D3421" i="26"/>
  <c r="F3421" i="26"/>
  <c r="D3161" i="26"/>
  <c r="F3161" i="26"/>
  <c r="D3021" i="26"/>
  <c r="F3021" i="26"/>
  <c r="D2741" i="26"/>
  <c r="F2741" i="26"/>
  <c r="D2081" i="26"/>
  <c r="F2081" i="26"/>
  <c r="D1821" i="26"/>
  <c r="F1821" i="26"/>
  <c r="D1741" i="26"/>
  <c r="F1741" i="26"/>
  <c r="D1561" i="26"/>
  <c r="F1561" i="26"/>
  <c r="D1521" i="26"/>
  <c r="F1521" i="26"/>
  <c r="D1201" i="26"/>
  <c r="F1201" i="26"/>
  <c r="D4381" i="26"/>
  <c r="F2901" i="26"/>
  <c r="D6679" i="26"/>
  <c r="F6679" i="26"/>
  <c r="D6599" i="26"/>
  <c r="F6599" i="26"/>
  <c r="D6579" i="26"/>
  <c r="F6579" i="26"/>
  <c r="D6279" i="26"/>
  <c r="F6279" i="26"/>
  <c r="D6259" i="26"/>
  <c r="F6259" i="26"/>
  <c r="D6219" i="26"/>
  <c r="F6219" i="26"/>
  <c r="D6179" i="26"/>
  <c r="F6179" i="26"/>
  <c r="D6079" i="26"/>
  <c r="F6079" i="26"/>
  <c r="D6039" i="26"/>
  <c r="F6039" i="26"/>
  <c r="D5879" i="26"/>
  <c r="F5879" i="26"/>
  <c r="D5839" i="26"/>
  <c r="F5839" i="26"/>
  <c r="D5779" i="26"/>
  <c r="F5779" i="26"/>
  <c r="D5739" i="26"/>
  <c r="F5739" i="26"/>
  <c r="D5719" i="26"/>
  <c r="F5719" i="26"/>
  <c r="D5479" i="26"/>
  <c r="F5479" i="26"/>
  <c r="D5419" i="26"/>
  <c r="F5419" i="26"/>
  <c r="D5359" i="26"/>
  <c r="F5359" i="26"/>
  <c r="D5239" i="26"/>
  <c r="F5239" i="26"/>
  <c r="D5159" i="26"/>
  <c r="F5159" i="26"/>
  <c r="D5019" i="26"/>
  <c r="F5019" i="26"/>
  <c r="D4959" i="26"/>
  <c r="F4959" i="26"/>
  <c r="D4819" i="26"/>
  <c r="F4819" i="26"/>
  <c r="D4799" i="26"/>
  <c r="F4799" i="26"/>
  <c r="D4679" i="26"/>
  <c r="F4679" i="26"/>
  <c r="D4599" i="26"/>
  <c r="F4599" i="26"/>
  <c r="D4479" i="26"/>
  <c r="F4479" i="26"/>
  <c r="D4379" i="26"/>
  <c r="F4379" i="26"/>
  <c r="D4179" i="26"/>
  <c r="F4179" i="26"/>
  <c r="D4059" i="26"/>
  <c r="F4059" i="26"/>
  <c r="D3939" i="26"/>
  <c r="F3939" i="26"/>
  <c r="D3899" i="26"/>
  <c r="F3899" i="26"/>
  <c r="D3819" i="26"/>
  <c r="F3819" i="26"/>
  <c r="D3799" i="26"/>
  <c r="F3799" i="26"/>
  <c r="D3579" i="26"/>
  <c r="F3579" i="26"/>
  <c r="D3539" i="26"/>
  <c r="F3539" i="26"/>
  <c r="D3339" i="26"/>
  <c r="F3339" i="26"/>
  <c r="D3299" i="26"/>
  <c r="F3299" i="26"/>
  <c r="D3279" i="26"/>
  <c r="F3279" i="26"/>
  <c r="D3219" i="26"/>
  <c r="F3219" i="26"/>
  <c r="D3199" i="26"/>
  <c r="F3199" i="26"/>
  <c r="D3139" i="26"/>
  <c r="F3139" i="26"/>
  <c r="D3079" i="26"/>
  <c r="F3079" i="26"/>
  <c r="D2599" i="26"/>
  <c r="F2599" i="26"/>
  <c r="D2519" i="26"/>
  <c r="F2519" i="26"/>
  <c r="D2499" i="26"/>
  <c r="F2499" i="26"/>
  <c r="D2299" i="26"/>
  <c r="F2299" i="26"/>
  <c r="D2259" i="26"/>
  <c r="F2259" i="26"/>
  <c r="D2159" i="26"/>
  <c r="F2159" i="26"/>
  <c r="D2079" i="26"/>
  <c r="F2079" i="26"/>
  <c r="D2059" i="26"/>
  <c r="F2059" i="26"/>
  <c r="D2039" i="26"/>
  <c r="F2039" i="26"/>
  <c r="D1999" i="26"/>
  <c r="F1999" i="26"/>
  <c r="D1879" i="26"/>
  <c r="F1879" i="26"/>
  <c r="D1819" i="26"/>
  <c r="F1819" i="26"/>
  <c r="D1559" i="26"/>
  <c r="F1559" i="26"/>
  <c r="D1499" i="26"/>
  <c r="F1499" i="26"/>
  <c r="D1359" i="26"/>
  <c r="F1359" i="26"/>
  <c r="D1299" i="26"/>
  <c r="F1299" i="26"/>
  <c r="D1279" i="26"/>
  <c r="F1279" i="26"/>
  <c r="D1179" i="26"/>
  <c r="F1179" i="26"/>
  <c r="F6567" i="26"/>
  <c r="F6419" i="26"/>
  <c r="F5319" i="26"/>
  <c r="F5199" i="26"/>
  <c r="F5067" i="26"/>
  <c r="F4861" i="26"/>
  <c r="F4759" i="26"/>
  <c r="F4627" i="26"/>
  <c r="F4259" i="26"/>
  <c r="F4159" i="26"/>
  <c r="F3827" i="26"/>
  <c r="F2559" i="26"/>
  <c r="D6578" i="26"/>
  <c r="F6578" i="26"/>
  <c r="D6338" i="26"/>
  <c r="F6338" i="26"/>
  <c r="D6058" i="26"/>
  <c r="F6058" i="26"/>
  <c r="D5878" i="26"/>
  <c r="F5878" i="26"/>
  <c r="D5618" i="26"/>
  <c r="F5618" i="26"/>
  <c r="D5558" i="26"/>
  <c r="F5558" i="26"/>
  <c r="D5358" i="26"/>
  <c r="F5358" i="26"/>
  <c r="D5218" i="26"/>
  <c r="F5218" i="26"/>
  <c r="D5038" i="26"/>
  <c r="F5038" i="26"/>
  <c r="D4938" i="26"/>
  <c r="F4938" i="26"/>
  <c r="D4698" i="26"/>
  <c r="F4698" i="26"/>
  <c r="D4278" i="26"/>
  <c r="F4278" i="26"/>
  <c r="D3918" i="26"/>
  <c r="F3918" i="26"/>
  <c r="D3458" i="26"/>
  <c r="F3458" i="26"/>
  <c r="D3278" i="26"/>
  <c r="F3278" i="26"/>
  <c r="D5882" i="26"/>
  <c r="F6759" i="26"/>
  <c r="F6639" i="26"/>
  <c r="F6561" i="26"/>
  <c r="F6226" i="26"/>
  <c r="F5627" i="26"/>
  <c r="F5561" i="26"/>
  <c r="F5307" i="26"/>
  <c r="F4758" i="26"/>
  <c r="F4619" i="26"/>
  <c r="F4387" i="26"/>
  <c r="F4158" i="26"/>
  <c r="F3821" i="26"/>
  <c r="F3702" i="26"/>
  <c r="F3338" i="26"/>
  <c r="F3167" i="26"/>
  <c r="F3007" i="26"/>
  <c r="F2221" i="26"/>
  <c r="D6436" i="26"/>
  <c r="F6436" i="26"/>
  <c r="D5936" i="26"/>
  <c r="F5936" i="26"/>
  <c r="D5676" i="26"/>
  <c r="F5676" i="26"/>
  <c r="D4736" i="26"/>
  <c r="F4736" i="26"/>
  <c r="D4696" i="26"/>
  <c r="F4696" i="26"/>
  <c r="D4596" i="26"/>
  <c r="F4596" i="26"/>
  <c r="D3936" i="26"/>
  <c r="F3936" i="26"/>
  <c r="D3396" i="26"/>
  <c r="F3396" i="26"/>
  <c r="D3216" i="26"/>
  <c r="F3216" i="26"/>
  <c r="D2876" i="26"/>
  <c r="F2876" i="26"/>
  <c r="D2616" i="26"/>
  <c r="F2616" i="26"/>
  <c r="D2296" i="26"/>
  <c r="F2296" i="26"/>
  <c r="D1216" i="26"/>
  <c r="F1216" i="26"/>
  <c r="D1196" i="26"/>
  <c r="F1196" i="26"/>
  <c r="F6736" i="26"/>
  <c r="F6168" i="26"/>
  <c r="F5988" i="26"/>
  <c r="F5868" i="26"/>
  <c r="F5348" i="26"/>
  <c r="F4896" i="26"/>
  <c r="F3676" i="26"/>
  <c r="F3556" i="26"/>
  <c r="F6428" i="26"/>
  <c r="F5910" i="26"/>
  <c r="F5590" i="26"/>
  <c r="F5528" i="26"/>
  <c r="F4868" i="26"/>
  <c r="F3970" i="26"/>
  <c r="F3276" i="26"/>
  <c r="F2648" i="26"/>
  <c r="F2368" i="26"/>
  <c r="F2256" i="26"/>
  <c r="F1628" i="26"/>
  <c r="F6430" i="26"/>
  <c r="D6768" i="26"/>
  <c r="F6768" i="26"/>
  <c r="D6648" i="26"/>
  <c r="F6648" i="26"/>
  <c r="D6628" i="26"/>
  <c r="F6628" i="26"/>
  <c r="D6528" i="26"/>
  <c r="F6528" i="26"/>
  <c r="D6408" i="26"/>
  <c r="F6408" i="26"/>
  <c r="D6128" i="26"/>
  <c r="F6128" i="26"/>
  <c r="D6028" i="26"/>
  <c r="F6028" i="26"/>
  <c r="D5848" i="26"/>
  <c r="F5848" i="26"/>
  <c r="D5828" i="26"/>
  <c r="F5828" i="26"/>
  <c r="D5768" i="26"/>
  <c r="F5768" i="26"/>
  <c r="D5428" i="26"/>
  <c r="F5428" i="26"/>
  <c r="D4968" i="26"/>
  <c r="F4968" i="26"/>
  <c r="D4788" i="26"/>
  <c r="F4788" i="26"/>
  <c r="D4708" i="26"/>
  <c r="F4708" i="26"/>
  <c r="D4628" i="26"/>
  <c r="F4628" i="26"/>
  <c r="D4548" i="26"/>
  <c r="F4548" i="26"/>
  <c r="D4348" i="26"/>
  <c r="F4348" i="26"/>
  <c r="D4088" i="26"/>
  <c r="F4088" i="26"/>
  <c r="D4008" i="26"/>
  <c r="F4008" i="26"/>
  <c r="D3828" i="26"/>
  <c r="F3828" i="26"/>
  <c r="D3768" i="26"/>
  <c r="F3768" i="26"/>
  <c r="D3728" i="26"/>
  <c r="F3728" i="26"/>
  <c r="D3668" i="26"/>
  <c r="F3668" i="26"/>
  <c r="D3488" i="26"/>
  <c r="F3488" i="26"/>
  <c r="D3128" i="26"/>
  <c r="F3128" i="26"/>
  <c r="D2828" i="26"/>
  <c r="F2828" i="26"/>
  <c r="D2708" i="26"/>
  <c r="F2708" i="26"/>
  <c r="D2608" i="26"/>
  <c r="F2608" i="26"/>
  <c r="D2188" i="26"/>
  <c r="F2188" i="26"/>
  <c r="D1488" i="26"/>
  <c r="F1488" i="26"/>
  <c r="D1448" i="26"/>
  <c r="F1448" i="26"/>
  <c r="D1408" i="26"/>
  <c r="F1408" i="26"/>
  <c r="D1248" i="26"/>
  <c r="F1248" i="26"/>
  <c r="D1208" i="26"/>
  <c r="F1208" i="26"/>
  <c r="D1168" i="26"/>
  <c r="F1168" i="26"/>
  <c r="D1148" i="26"/>
  <c r="F1148" i="26"/>
  <c r="D1128" i="26"/>
  <c r="F1128" i="26"/>
  <c r="D1088" i="26"/>
  <c r="F1088" i="26"/>
  <c r="D1028" i="26"/>
  <c r="F1028" i="26"/>
  <c r="F6208" i="26"/>
  <c r="F5968" i="26"/>
  <c r="F5589" i="26"/>
  <c r="F5328" i="26"/>
  <c r="F4676" i="26"/>
  <c r="F4369" i="26"/>
  <c r="F3968" i="26"/>
  <c r="F3616" i="26"/>
  <c r="F3528" i="26"/>
  <c r="F3408" i="26"/>
  <c r="F3268" i="26"/>
  <c r="F3068" i="26"/>
  <c r="F6393" i="26"/>
  <c r="F6353" i="26"/>
  <c r="F5933" i="26"/>
  <c r="D3752" i="26"/>
  <c r="F6500" i="26"/>
  <c r="F6452" i="26"/>
  <c r="F6372" i="26"/>
  <c r="F6153" i="26"/>
  <c r="F6000" i="26"/>
  <c r="F5800" i="26"/>
  <c r="F5592" i="26"/>
  <c r="F5452" i="26"/>
  <c r="F5072" i="26"/>
  <c r="F5000" i="26"/>
  <c r="F4873" i="26"/>
  <c r="F4380" i="26"/>
  <c r="F4112" i="26"/>
  <c r="F4033" i="26"/>
  <c r="F3600" i="26"/>
  <c r="F2972" i="26"/>
  <c r="F2233" i="26"/>
  <c r="D5840" i="26"/>
  <c r="F6633" i="26"/>
  <c r="F6532" i="26"/>
  <c r="F6312" i="26"/>
  <c r="F6132" i="26"/>
  <c r="F5833" i="26"/>
  <c r="F5780" i="26"/>
  <c r="F5360" i="26"/>
  <c r="F5293" i="26"/>
  <c r="F4973" i="26"/>
  <c r="F4853" i="26"/>
  <c r="F2053" i="26"/>
  <c r="D2372" i="26"/>
  <c r="F6673" i="26"/>
  <c r="F6220" i="26"/>
  <c r="F6080" i="26"/>
  <c r="F5713" i="26"/>
  <c r="F5292" i="26"/>
  <c r="F5112" i="26"/>
  <c r="F5040" i="26"/>
  <c r="F4913" i="26"/>
  <c r="F4852" i="26"/>
  <c r="F4440" i="26"/>
  <c r="F3873" i="26"/>
  <c r="F3800" i="26"/>
  <c r="F3280" i="26"/>
  <c r="F3020" i="26"/>
  <c r="F2393" i="26"/>
  <c r="F2052" i="26"/>
  <c r="F1540" i="26"/>
  <c r="F1313" i="26"/>
  <c r="F1013" i="26"/>
  <c r="F2110" i="26"/>
  <c r="D5491" i="26"/>
  <c r="F4671" i="26"/>
  <c r="F3011" i="26"/>
  <c r="D6211" i="26"/>
  <c r="F6271" i="26"/>
  <c r="F6111" i="26"/>
  <c r="D6191" i="26"/>
  <c r="D5271" i="26"/>
  <c r="D3391" i="26"/>
  <c r="F6566" i="26"/>
  <c r="F6269" i="26"/>
  <c r="F5871" i="26"/>
  <c r="F2805" i="26"/>
  <c r="F2405" i="26"/>
  <c r="F2209" i="26"/>
  <c r="F1945" i="26"/>
  <c r="D2731" i="26"/>
  <c r="F2231" i="26"/>
  <c r="F6611" i="26"/>
  <c r="F4670" i="26"/>
  <c r="F4430" i="26"/>
  <c r="F6610" i="26"/>
  <c r="F4669" i="26"/>
  <c r="F2490" i="26"/>
  <c r="D4411" i="26"/>
  <c r="F6609" i="26"/>
  <c r="F6270" i="26"/>
  <c r="F5710" i="26"/>
  <c r="F5431" i="26"/>
  <c r="F5150" i="26"/>
  <c r="F4349" i="26"/>
  <c r="F3089" i="26"/>
  <c r="F2809" i="26"/>
  <c r="F6646" i="26"/>
  <c r="F6390" i="26"/>
  <c r="F6146" i="26"/>
  <c r="F6010" i="26"/>
  <c r="F4990" i="26"/>
  <c r="F4871" i="26"/>
  <c r="F4651" i="26"/>
  <c r="F4571" i="26"/>
  <c r="F3670" i="26"/>
  <c r="D3910" i="26"/>
  <c r="F3910" i="26"/>
  <c r="D6591" i="26"/>
  <c r="F6591" i="26"/>
  <c r="D3930" i="26"/>
  <c r="F3930" i="26"/>
  <c r="D6571" i="26"/>
  <c r="F6571" i="26"/>
  <c r="D3890" i="26"/>
  <c r="F3890" i="26"/>
  <c r="D3870" i="26"/>
  <c r="F3870" i="26"/>
  <c r="F6491" i="26"/>
  <c r="D6491" i="26"/>
  <c r="D6471" i="26"/>
  <c r="F6471" i="26"/>
  <c r="D6451" i="26"/>
  <c r="F6451" i="26"/>
  <c r="D6411" i="26"/>
  <c r="F6411" i="26"/>
  <c r="F6391" i="26"/>
  <c r="D6391" i="26"/>
  <c r="D6371" i="26"/>
  <c r="F6371" i="26"/>
  <c r="D6351" i="26"/>
  <c r="F6351" i="26"/>
  <c r="F6311" i="26"/>
  <c r="D6311" i="26"/>
  <c r="F6291" i="26"/>
  <c r="D6291" i="26"/>
  <c r="D6251" i="26"/>
  <c r="F6251" i="26"/>
  <c r="D6171" i="26"/>
  <c r="F6171" i="26"/>
  <c r="D6151" i="26"/>
  <c r="F6151" i="26"/>
  <c r="D6071" i="26"/>
  <c r="F6071" i="26"/>
  <c r="D6031" i="26"/>
  <c r="F6031" i="26"/>
  <c r="D6011" i="26"/>
  <c r="F6011" i="26"/>
  <c r="D5991" i="26"/>
  <c r="F5991" i="26"/>
  <c r="F5971" i="26"/>
  <c r="D5971" i="26"/>
  <c r="D5951" i="26"/>
  <c r="F5951" i="26"/>
  <c r="D5931" i="26"/>
  <c r="F5931" i="26"/>
  <c r="D5851" i="26"/>
  <c r="F5851" i="26"/>
  <c r="D5831" i="26"/>
  <c r="F5831" i="26"/>
  <c r="D5771" i="26"/>
  <c r="F5771" i="26"/>
  <c r="D5751" i="26"/>
  <c r="F5751" i="26"/>
  <c r="F5731" i="26"/>
  <c r="D5731" i="26"/>
  <c r="D5711" i="26"/>
  <c r="F5711" i="26"/>
  <c r="D5671" i="26"/>
  <c r="F5671" i="26"/>
  <c r="D5651" i="26"/>
  <c r="F5651" i="26"/>
  <c r="D5611" i="26"/>
  <c r="F5611" i="26"/>
  <c r="D5571" i="26"/>
  <c r="F5571" i="26"/>
  <c r="F5531" i="26"/>
  <c r="D5531" i="26"/>
  <c r="D5471" i="26"/>
  <c r="F5471" i="26"/>
  <c r="D5451" i="26"/>
  <c r="F5451" i="26"/>
  <c r="D5411" i="26"/>
  <c r="F5411" i="26"/>
  <c r="D5391" i="26"/>
  <c r="F5391" i="26"/>
  <c r="D5371" i="26"/>
  <c r="F5371" i="26"/>
  <c r="F5351" i="26"/>
  <c r="D5351" i="26"/>
  <c r="F5331" i="26"/>
  <c r="D5331" i="26"/>
  <c r="F5311" i="26"/>
  <c r="D5311" i="26"/>
  <c r="D5291" i="26"/>
  <c r="F5291" i="26"/>
  <c r="D5251" i="26"/>
  <c r="F5251" i="26"/>
  <c r="D5231" i="26"/>
  <c r="F5231" i="26"/>
  <c r="D5191" i="26"/>
  <c r="F5191" i="26"/>
  <c r="D5151" i="26"/>
  <c r="F5151" i="26"/>
  <c r="F5131" i="26"/>
  <c r="D5131" i="26"/>
  <c r="D5091" i="26"/>
  <c r="F5091" i="26"/>
  <c r="F5071" i="26"/>
  <c r="D5071" i="26"/>
  <c r="D5051" i="26"/>
  <c r="F5051" i="26"/>
  <c r="D5031" i="26"/>
  <c r="F5031" i="26"/>
  <c r="D4951" i="26"/>
  <c r="F4951" i="26"/>
  <c r="D4911" i="26"/>
  <c r="F4911" i="26"/>
  <c r="F4891" i="26"/>
  <c r="D4891" i="26"/>
  <c r="D4851" i="26"/>
  <c r="F4851" i="26"/>
  <c r="D4831" i="26"/>
  <c r="F4831" i="26"/>
  <c r="F4811" i="26"/>
  <c r="D4811" i="26"/>
  <c r="F4771" i="26"/>
  <c r="D4771" i="26"/>
  <c r="F4751" i="26"/>
  <c r="D4751" i="26"/>
  <c r="F4731" i="26"/>
  <c r="D4731" i="26"/>
  <c r="D4631" i="26"/>
  <c r="F4631" i="26"/>
  <c r="F4611" i="26"/>
  <c r="D4611" i="26"/>
  <c r="D4591" i="26"/>
  <c r="F4591" i="26"/>
  <c r="D4551" i="26"/>
  <c r="F4551" i="26"/>
  <c r="D4531" i="26"/>
  <c r="F4531" i="26"/>
  <c r="D4511" i="26"/>
  <c r="F4511" i="26"/>
  <c r="D4491" i="26"/>
  <c r="F4491" i="26"/>
  <c r="D4451" i="26"/>
  <c r="F4451" i="26"/>
  <c r="D4431" i="26"/>
  <c r="F4431" i="26"/>
  <c r="D4391" i="26"/>
  <c r="F4391" i="26"/>
  <c r="F4371" i="26"/>
  <c r="D4371" i="26"/>
  <c r="D4351" i="26"/>
  <c r="F4351" i="26"/>
  <c r="D4331" i="26"/>
  <c r="F4331" i="26"/>
  <c r="D4311" i="26"/>
  <c r="F4311" i="26"/>
  <c r="D4291" i="26"/>
  <c r="F4291" i="26"/>
  <c r="D4271" i="26"/>
  <c r="F4271" i="26"/>
  <c r="D4251" i="26"/>
  <c r="F4251" i="26"/>
  <c r="D4231" i="26"/>
  <c r="F4231" i="26"/>
  <c r="D4211" i="26"/>
  <c r="F4211" i="26"/>
  <c r="D4191" i="26"/>
  <c r="F4191" i="26"/>
  <c r="D4151" i="26"/>
  <c r="F4151" i="26"/>
  <c r="D4111" i="26"/>
  <c r="F4111" i="26"/>
  <c r="D4091" i="26"/>
  <c r="F4091" i="26"/>
  <c r="D4071" i="26"/>
  <c r="F4071" i="26"/>
  <c r="D4051" i="26"/>
  <c r="F4051" i="26"/>
  <c r="D4031" i="26"/>
  <c r="F4031" i="26"/>
  <c r="D4011" i="26"/>
  <c r="F4011" i="26"/>
  <c r="D3991" i="26"/>
  <c r="F3991" i="26"/>
  <c r="D3971" i="26"/>
  <c r="F3971" i="26"/>
  <c r="D3951" i="26"/>
  <c r="F3951" i="26"/>
  <c r="D3931" i="26"/>
  <c r="F3931" i="26"/>
  <c r="D3911" i="26"/>
  <c r="F3911" i="26"/>
  <c r="D3891" i="26"/>
  <c r="F3891" i="26"/>
  <c r="D3871" i="26"/>
  <c r="F3871" i="26"/>
  <c r="D3851" i="26"/>
  <c r="F3851" i="26"/>
  <c r="D3831" i="26"/>
  <c r="F3831" i="26"/>
  <c r="D3811" i="26"/>
  <c r="F3811" i="26"/>
  <c r="D3771" i="26"/>
  <c r="F3771" i="26"/>
  <c r="D3751" i="26"/>
  <c r="F3751" i="26"/>
  <c r="F3731" i="26"/>
  <c r="D3731" i="26"/>
  <c r="F3711" i="26"/>
  <c r="D3711" i="26"/>
  <c r="D3691" i="26"/>
  <c r="F3691" i="26"/>
  <c r="F3671" i="26"/>
  <c r="D3671" i="26"/>
  <c r="D3651" i="26"/>
  <c r="F3651" i="26"/>
  <c r="D3631" i="26"/>
  <c r="F3631" i="26"/>
  <c r="F3611" i="26"/>
  <c r="D3611" i="26"/>
  <c r="F3571" i="26"/>
  <c r="D3571" i="26"/>
  <c r="D3551" i="26"/>
  <c r="F3551" i="26"/>
  <c r="F3531" i="26"/>
  <c r="D3531" i="26"/>
  <c r="D3511" i="26"/>
  <c r="F3511" i="26"/>
  <c r="D3451" i="26"/>
  <c r="F3451" i="26"/>
  <c r="D3431" i="26"/>
  <c r="F3431" i="26"/>
  <c r="D3371" i="26"/>
  <c r="F3371" i="26"/>
  <c r="F3351" i="26"/>
  <c r="D3351" i="26"/>
  <c r="D3331" i="26"/>
  <c r="F3331" i="26"/>
  <c r="F3311" i="26"/>
  <c r="D3311" i="26"/>
  <c r="D3251" i="26"/>
  <c r="F3251" i="26"/>
  <c r="D3231" i="26"/>
  <c r="F3231" i="26"/>
  <c r="D3191" i="26"/>
  <c r="F3191" i="26"/>
  <c r="F3131" i="26"/>
  <c r="D3131" i="26"/>
  <c r="D3111" i="26"/>
  <c r="F3111" i="26"/>
  <c r="D3091" i="26"/>
  <c r="F3091" i="26"/>
  <c r="F3071" i="26"/>
  <c r="D3071" i="26"/>
  <c r="D3051" i="26"/>
  <c r="F3051" i="26"/>
  <c r="D3031" i="26"/>
  <c r="F3031" i="26"/>
  <c r="F2991" i="26"/>
  <c r="D2991" i="26"/>
  <c r="D2911" i="26"/>
  <c r="F2911" i="26"/>
  <c r="D2831" i="26"/>
  <c r="F2831" i="26"/>
  <c r="D2811" i="26"/>
  <c r="F2811" i="26"/>
  <c r="D2791" i="26"/>
  <c r="F2791" i="26"/>
  <c r="D2771" i="26"/>
  <c r="F2771" i="26"/>
  <c r="D2711" i="26"/>
  <c r="F2711" i="26"/>
  <c r="D2671" i="26"/>
  <c r="F2671" i="26"/>
  <c r="F2651" i="26"/>
  <c r="D2651" i="26"/>
  <c r="D2631" i="26"/>
  <c r="F2631" i="26"/>
  <c r="F2611" i="26"/>
  <c r="D2611" i="26"/>
  <c r="F2591" i="26"/>
  <c r="D2591" i="26"/>
  <c r="D2571" i="26"/>
  <c r="F2571" i="26"/>
  <c r="D2551" i="26"/>
  <c r="F2551" i="26"/>
  <c r="F2511" i="26"/>
  <c r="D2511" i="26"/>
  <c r="F2491" i="26"/>
  <c r="D2491" i="26"/>
  <c r="D2471" i="26"/>
  <c r="F2471" i="26"/>
  <c r="F2451" i="26"/>
  <c r="D2451" i="26"/>
  <c r="D2431" i="26"/>
  <c r="F2431" i="26"/>
  <c r="D2411" i="26"/>
  <c r="F2411" i="26"/>
  <c r="F2391" i="26"/>
  <c r="D2391" i="26"/>
  <c r="F2351" i="26"/>
  <c r="D2351" i="26"/>
  <c r="D2331" i="26"/>
  <c r="F2331" i="26"/>
  <c r="D2291" i="26"/>
  <c r="F2291" i="26"/>
  <c r="D2271" i="26"/>
  <c r="F2271" i="26"/>
  <c r="D2251" i="26"/>
  <c r="F2251" i="26"/>
  <c r="D2211" i="26"/>
  <c r="F2211" i="26"/>
  <c r="F2131" i="26"/>
  <c r="D2131" i="26"/>
  <c r="F2111" i="26"/>
  <c r="D2111" i="26"/>
  <c r="D2091" i="26"/>
  <c r="F2091" i="26"/>
  <c r="D2071" i="26"/>
  <c r="F2071" i="26"/>
  <c r="D2051" i="26"/>
  <c r="F2051" i="26"/>
  <c r="F2031" i="26"/>
  <c r="D2031" i="26"/>
  <c r="D2011" i="26"/>
  <c r="F2011" i="26"/>
  <c r="D1991" i="26"/>
  <c r="F1991" i="26"/>
  <c r="D1971" i="26"/>
  <c r="F1971" i="26"/>
  <c r="D1951" i="26"/>
  <c r="F1951" i="26"/>
  <c r="F1931" i="26"/>
  <c r="D1931" i="26"/>
  <c r="D1911" i="26"/>
  <c r="F1911" i="26"/>
  <c r="D1891" i="26"/>
  <c r="F1891" i="26"/>
  <c r="D1871" i="26"/>
  <c r="F1871" i="26"/>
  <c r="D1851" i="26"/>
  <c r="F1851" i="26"/>
  <c r="D1831" i="26"/>
  <c r="F1831" i="26"/>
  <c r="D1811" i="26"/>
  <c r="F1811" i="26"/>
  <c r="D1791" i="26"/>
  <c r="F1791" i="26"/>
  <c r="D1731" i="26"/>
  <c r="F1731" i="26"/>
  <c r="D1711" i="26"/>
  <c r="F1711" i="26"/>
  <c r="F1691" i="26"/>
  <c r="D1691" i="26"/>
  <c r="F1651" i="26"/>
  <c r="D1651" i="26"/>
  <c r="D1631" i="26"/>
  <c r="F1631" i="26"/>
  <c r="D1611" i="26"/>
  <c r="F1611" i="26"/>
  <c r="F1591" i="26"/>
  <c r="D1591" i="26"/>
  <c r="F1571" i="26"/>
  <c r="D1571" i="26"/>
  <c r="D1551" i="26"/>
  <c r="F1551" i="26"/>
  <c r="D1531" i="26"/>
  <c r="F1531" i="26"/>
  <c r="D1511" i="26"/>
  <c r="F1511" i="26"/>
  <c r="F1491" i="26"/>
  <c r="D1491" i="26"/>
  <c r="D1471" i="26"/>
  <c r="F1471" i="26"/>
  <c r="F1451" i="26"/>
  <c r="D1451" i="26"/>
  <c r="D1431" i="26"/>
  <c r="F1431" i="26"/>
  <c r="F1411" i="26"/>
  <c r="D1411" i="26"/>
  <c r="D1391" i="26"/>
  <c r="F1391" i="26"/>
  <c r="D1371" i="26"/>
  <c r="F1371" i="26"/>
  <c r="D1351" i="26"/>
  <c r="F1351" i="26"/>
  <c r="D1331" i="26"/>
  <c r="F1331" i="26"/>
  <c r="D1311" i="26"/>
  <c r="F1311" i="26"/>
  <c r="D1291" i="26"/>
  <c r="F1291" i="26"/>
  <c r="D1271" i="26"/>
  <c r="F1271" i="26"/>
  <c r="D1251" i="26"/>
  <c r="F1251" i="26"/>
  <c r="D1231" i="26"/>
  <c r="F1231" i="26"/>
  <c r="D1211" i="26"/>
  <c r="F1211" i="26"/>
  <c r="D1191" i="26"/>
  <c r="F1191" i="26"/>
  <c r="D1171" i="26"/>
  <c r="F1171" i="26"/>
  <c r="F1151" i="26"/>
  <c r="D1151" i="26"/>
  <c r="D1131" i="26"/>
  <c r="F1131" i="26"/>
  <c r="F1111" i="26"/>
  <c r="D1111" i="26"/>
  <c r="F1091" i="26"/>
  <c r="D1091" i="26"/>
  <c r="D1051" i="26"/>
  <c r="F1051" i="26"/>
  <c r="D1031" i="26"/>
  <c r="F1031" i="26"/>
  <c r="D1011" i="26"/>
  <c r="F1011" i="26"/>
  <c r="D3850" i="26"/>
  <c r="F3850" i="26"/>
  <c r="D6769" i="26"/>
  <c r="F6769" i="26"/>
  <c r="D6749" i="26"/>
  <c r="F6749" i="26"/>
  <c r="D6729" i="26"/>
  <c r="F6729" i="26"/>
  <c r="D6689" i="26"/>
  <c r="F6689" i="26"/>
  <c r="D6669" i="26"/>
  <c r="F6669" i="26"/>
  <c r="D6649" i="26"/>
  <c r="F6649" i="26"/>
  <c r="D6629" i="26"/>
  <c r="F6629" i="26"/>
  <c r="D6589" i="26"/>
  <c r="F6589" i="26"/>
  <c r="D6569" i="26"/>
  <c r="F6569" i="26"/>
  <c r="D6529" i="26"/>
  <c r="F6529" i="26"/>
  <c r="D6509" i="26"/>
  <c r="F6509" i="26"/>
  <c r="D6489" i="26"/>
  <c r="F6489" i="26"/>
  <c r="D6469" i="26"/>
  <c r="F6469" i="26"/>
  <c r="D6449" i="26"/>
  <c r="F6449" i="26"/>
  <c r="D6429" i="26"/>
  <c r="F6429" i="26"/>
  <c r="D6389" i="26"/>
  <c r="F6389" i="26"/>
  <c r="D6369" i="26"/>
  <c r="F6369" i="26"/>
  <c r="D6349" i="26"/>
  <c r="F6349" i="26"/>
  <c r="D6329" i="26"/>
  <c r="F6329" i="26"/>
  <c r="D6309" i="26"/>
  <c r="F6309" i="26"/>
  <c r="D6289" i="26"/>
  <c r="F6289" i="26"/>
  <c r="D6229" i="26"/>
  <c r="F6229" i="26"/>
  <c r="D6209" i="26"/>
  <c r="F6209" i="26"/>
  <c r="D6189" i="26"/>
  <c r="F6189" i="26"/>
  <c r="D6169" i="26"/>
  <c r="F6169" i="26"/>
  <c r="D6149" i="26"/>
  <c r="F6149" i="26"/>
  <c r="D6109" i="26"/>
  <c r="F6109" i="26"/>
  <c r="D6089" i="26"/>
  <c r="F6089" i="26"/>
  <c r="D6069" i="26"/>
  <c r="F6069" i="26"/>
  <c r="D6049" i="26"/>
  <c r="F6049" i="26"/>
  <c r="D6029" i="26"/>
  <c r="F6029" i="26"/>
  <c r="D5969" i="26"/>
  <c r="F5969" i="26"/>
  <c r="D5949" i="26"/>
  <c r="F5949" i="26"/>
  <c r="D5929" i="26"/>
  <c r="F5929" i="26"/>
  <c r="D5909" i="26"/>
  <c r="F5909" i="26"/>
  <c r="D5889" i="26"/>
  <c r="F5889" i="26"/>
  <c r="D5869" i="26"/>
  <c r="F5869" i="26"/>
  <c r="D5849" i="26"/>
  <c r="F5849" i="26"/>
  <c r="D5829" i="26"/>
  <c r="F5829" i="26"/>
  <c r="D5809" i="26"/>
  <c r="F5809" i="26"/>
  <c r="D5789" i="26"/>
  <c r="F5789" i="26"/>
  <c r="D5769" i="26"/>
  <c r="F5769" i="26"/>
  <c r="D5729" i="26"/>
  <c r="F5729" i="26"/>
  <c r="D5709" i="26"/>
  <c r="F5709" i="26"/>
  <c r="D5689" i="26"/>
  <c r="F5689" i="26"/>
  <c r="D5669" i="26"/>
  <c r="F5669" i="26"/>
  <c r="D5649" i="26"/>
  <c r="F5649" i="26"/>
  <c r="D5629" i="26"/>
  <c r="F5629" i="26"/>
  <c r="D5609" i="26"/>
  <c r="F5609" i="26"/>
  <c r="D5569" i="26"/>
  <c r="F5569" i="26"/>
  <c r="D5549" i="26"/>
  <c r="F5549" i="26"/>
  <c r="D5529" i="26"/>
  <c r="F5529" i="26"/>
  <c r="D5509" i="26"/>
  <c r="F5509" i="26"/>
  <c r="D5449" i="26"/>
  <c r="F5449" i="26"/>
  <c r="D5429" i="26"/>
  <c r="F5429" i="26"/>
  <c r="D5409" i="26"/>
  <c r="F5409" i="26"/>
  <c r="D5389" i="26"/>
  <c r="F5389" i="26"/>
  <c r="D5369" i="26"/>
  <c r="F5369" i="26"/>
  <c r="D5349" i="26"/>
  <c r="F5349" i="26"/>
  <c r="D5329" i="26"/>
  <c r="F5329" i="26"/>
  <c r="D5309" i="26"/>
  <c r="F5309" i="26"/>
  <c r="D5289" i="26"/>
  <c r="F5289" i="26"/>
  <c r="D5269" i="26"/>
  <c r="F5269" i="26"/>
  <c r="D5249" i="26"/>
  <c r="F5249" i="26"/>
  <c r="D5229" i="26"/>
  <c r="F5229" i="26"/>
  <c r="D5209" i="26"/>
  <c r="F5209" i="26"/>
  <c r="D5189" i="26"/>
  <c r="F5189" i="26"/>
  <c r="D5169" i="26"/>
  <c r="F5169" i="26"/>
  <c r="D5149" i="26"/>
  <c r="F5149" i="26"/>
  <c r="D5129" i="26"/>
  <c r="F5129" i="26"/>
  <c r="D5109" i="26"/>
  <c r="F5109" i="26"/>
  <c r="D5089" i="26"/>
  <c r="F5089" i="26"/>
  <c r="D5069" i="26"/>
  <c r="F5069" i="26"/>
  <c r="D5049" i="26"/>
  <c r="F5049" i="26"/>
  <c r="D5029" i="26"/>
  <c r="F5029" i="26"/>
  <c r="D5009" i="26"/>
  <c r="F5009" i="26"/>
  <c r="D4989" i="26"/>
  <c r="F4989" i="26"/>
  <c r="D4969" i="26"/>
  <c r="F4969" i="26"/>
  <c r="D4929" i="26"/>
  <c r="F4929" i="26"/>
  <c r="D4909" i="26"/>
  <c r="F4909" i="26"/>
  <c r="D4889" i="26"/>
  <c r="F4889" i="26"/>
  <c r="D4869" i="26"/>
  <c r="F4869" i="26"/>
  <c r="D4849" i="26"/>
  <c r="F4849" i="26"/>
  <c r="D4829" i="26"/>
  <c r="F4829" i="26"/>
  <c r="D4809" i="26"/>
  <c r="F4809" i="26"/>
  <c r="D4789" i="26"/>
  <c r="F4789" i="26"/>
  <c r="D4769" i="26"/>
  <c r="F4769" i="26"/>
  <c r="D4749" i="26"/>
  <c r="F4749" i="26"/>
  <c r="D4729" i="26"/>
  <c r="F4729" i="26"/>
  <c r="D4709" i="26"/>
  <c r="F4709" i="26"/>
  <c r="D4689" i="26"/>
  <c r="F4689" i="26"/>
  <c r="D4649" i="26"/>
  <c r="F4649" i="26"/>
  <c r="D4609" i="26"/>
  <c r="F4609" i="26"/>
  <c r="D4589" i="26"/>
  <c r="F4589" i="26"/>
  <c r="D4569" i="26"/>
  <c r="F4569" i="26"/>
  <c r="D4549" i="26"/>
  <c r="F4549" i="26"/>
  <c r="D4529" i="26"/>
  <c r="F4529" i="26"/>
  <c r="D4509" i="26"/>
  <c r="F4509" i="26"/>
  <c r="D4489" i="26"/>
  <c r="F4489" i="26"/>
  <c r="D4469" i="26"/>
  <c r="F4469" i="26"/>
  <c r="D4449" i="26"/>
  <c r="F4449" i="26"/>
  <c r="D4429" i="26"/>
  <c r="F4429" i="26"/>
  <c r="D4409" i="26"/>
  <c r="F4409" i="26"/>
  <c r="D4389" i="26"/>
  <c r="F4389" i="26"/>
  <c r="D4309" i="26"/>
  <c r="F4309" i="26"/>
  <c r="D4289" i="26"/>
  <c r="F4289" i="26"/>
  <c r="D4269" i="26"/>
  <c r="F4269" i="26"/>
  <c r="D4249" i="26"/>
  <c r="F4249" i="26"/>
  <c r="D4229" i="26"/>
  <c r="F4229" i="26"/>
  <c r="D4209" i="26"/>
  <c r="F4209" i="26"/>
  <c r="D4189" i="26"/>
  <c r="F4189" i="26"/>
  <c r="D4169" i="26"/>
  <c r="F4169" i="26"/>
  <c r="D4149" i="26"/>
  <c r="F4149" i="26"/>
  <c r="D4129" i="26"/>
  <c r="F4129" i="26"/>
  <c r="D4109" i="26"/>
  <c r="F4109" i="26"/>
  <c r="D4089" i="26"/>
  <c r="F4089" i="26"/>
  <c r="D4069" i="26"/>
  <c r="F4069" i="26"/>
  <c r="D4029" i="26"/>
  <c r="F4029" i="26"/>
  <c r="D4009" i="26"/>
  <c r="F4009" i="26"/>
  <c r="D3989" i="26"/>
  <c r="F3989" i="26"/>
  <c r="D3969" i="26"/>
  <c r="F3969" i="26"/>
  <c r="D3949" i="26"/>
  <c r="F3949" i="26"/>
  <c r="D3929" i="26"/>
  <c r="F3929" i="26"/>
  <c r="D3909" i="26"/>
  <c r="F3909" i="26"/>
  <c r="D3889" i="26"/>
  <c r="F3889" i="26"/>
  <c r="D3869" i="26"/>
  <c r="F3869" i="26"/>
  <c r="D3849" i="26"/>
  <c r="F3849" i="26"/>
  <c r="D3829" i="26"/>
  <c r="F3829" i="26"/>
  <c r="D3809" i="26"/>
  <c r="F3809" i="26"/>
  <c r="D3789" i="26"/>
  <c r="F3789" i="26"/>
  <c r="D3769" i="26"/>
  <c r="F3769" i="26"/>
  <c r="D3749" i="26"/>
  <c r="F3749" i="26"/>
  <c r="D3729" i="26"/>
  <c r="F3729" i="26"/>
  <c r="D3709" i="26"/>
  <c r="F3709" i="26"/>
  <c r="D3689" i="26"/>
  <c r="F3689" i="26"/>
  <c r="D3669" i="26"/>
  <c r="F3669" i="26"/>
  <c r="D3649" i="26"/>
  <c r="F3649" i="26"/>
  <c r="D3629" i="26"/>
  <c r="F3629" i="26"/>
  <c r="D3609" i="26"/>
  <c r="F3609" i="26"/>
  <c r="D3589" i="26"/>
  <c r="F3589" i="26"/>
  <c r="D3569" i="26"/>
  <c r="F3569" i="26"/>
  <c r="D3549" i="26"/>
  <c r="F3549" i="26"/>
  <c r="D3529" i="26"/>
  <c r="F3529" i="26"/>
  <c r="D3509" i="26"/>
  <c r="F3509" i="26"/>
  <c r="D3469" i="26"/>
  <c r="F3469" i="26"/>
  <c r="D3449" i="26"/>
  <c r="F3449" i="26"/>
  <c r="D3429" i="26"/>
  <c r="F3429" i="26"/>
  <c r="D3389" i="26"/>
  <c r="F3389" i="26"/>
  <c r="D3369" i="26"/>
  <c r="F3369" i="26"/>
  <c r="D3349" i="26"/>
  <c r="F3349" i="26"/>
  <c r="D3329" i="26"/>
  <c r="F3329" i="26"/>
  <c r="D3309" i="26"/>
  <c r="F3309" i="26"/>
  <c r="D3289" i="26"/>
  <c r="F3289" i="26"/>
  <c r="D3269" i="26"/>
  <c r="F3269" i="26"/>
  <c r="D3249" i="26"/>
  <c r="F3249" i="26"/>
  <c r="D3229" i="26"/>
  <c r="F3229" i="26"/>
  <c r="D3209" i="26"/>
  <c r="F3209" i="26"/>
  <c r="D3189" i="26"/>
  <c r="F3189" i="26"/>
  <c r="D3169" i="26"/>
  <c r="F3169" i="26"/>
  <c r="D3149" i="26"/>
  <c r="F3149" i="26"/>
  <c r="D3109" i="26"/>
  <c r="F3109" i="26"/>
  <c r="D3069" i="26"/>
  <c r="F3069" i="26"/>
  <c r="D3049" i="26"/>
  <c r="F3049" i="26"/>
  <c r="D3029" i="26"/>
  <c r="F3029" i="26"/>
  <c r="D3009" i="26"/>
  <c r="F3009" i="26"/>
  <c r="D2989" i="26"/>
  <c r="F2989" i="26"/>
  <c r="D2969" i="26"/>
  <c r="F2969" i="26"/>
  <c r="D2949" i="26"/>
  <c r="F2949" i="26"/>
  <c r="D2929" i="26"/>
  <c r="F2929" i="26"/>
  <c r="D2909" i="26"/>
  <c r="F2909" i="26"/>
  <c r="D2889" i="26"/>
  <c r="F2889" i="26"/>
  <c r="D2849" i="26"/>
  <c r="F2849" i="26"/>
  <c r="D2829" i="26"/>
  <c r="F2829" i="26"/>
  <c r="D2789" i="26"/>
  <c r="F2789" i="26"/>
  <c r="D2769" i="26"/>
  <c r="F2769" i="26"/>
  <c r="D2749" i="26"/>
  <c r="F2749" i="26"/>
  <c r="D2729" i="26"/>
  <c r="F2729" i="26"/>
  <c r="D2709" i="26"/>
  <c r="F2709" i="26"/>
  <c r="D2689" i="26"/>
  <c r="F2689" i="26"/>
  <c r="D2669" i="26"/>
  <c r="F2669" i="26"/>
  <c r="D2609" i="26"/>
  <c r="F2609" i="26"/>
  <c r="D2589" i="26"/>
  <c r="F2589" i="26"/>
  <c r="D2569" i="26"/>
  <c r="F2569" i="26"/>
  <c r="D2549" i="26"/>
  <c r="F2549" i="26"/>
  <c r="D2529" i="26"/>
  <c r="F2529" i="26"/>
  <c r="D2509" i="26"/>
  <c r="F2509" i="26"/>
  <c r="D2489" i="26"/>
  <c r="F2489" i="26"/>
  <c r="D2469" i="26"/>
  <c r="F2469" i="26"/>
  <c r="D2449" i="26"/>
  <c r="F2449" i="26"/>
  <c r="D2429" i="26"/>
  <c r="F2429" i="26"/>
  <c r="D2409" i="26"/>
  <c r="F2409" i="26"/>
  <c r="D2389" i="26"/>
  <c r="F2389" i="26"/>
  <c r="D2369" i="26"/>
  <c r="F2369" i="26"/>
  <c r="D2349" i="26"/>
  <c r="F2349" i="26"/>
  <c r="D2309" i="26"/>
  <c r="F2309" i="26"/>
  <c r="D2289" i="26"/>
  <c r="F2289" i="26"/>
  <c r="D2269" i="26"/>
  <c r="F2269" i="26"/>
  <c r="D2249" i="26"/>
  <c r="F2249" i="26"/>
  <c r="D2189" i="26"/>
  <c r="F2189" i="26"/>
  <c r="D2129" i="26"/>
  <c r="F2129" i="26"/>
  <c r="D1949" i="26"/>
  <c r="F1949" i="26"/>
  <c r="D1929" i="26"/>
  <c r="F1929" i="26"/>
  <c r="D1909" i="26"/>
  <c r="F1909" i="26"/>
  <c r="D1889" i="26"/>
  <c r="F1889" i="26"/>
  <c r="D1869" i="26"/>
  <c r="F1869" i="26"/>
  <c r="D1829" i="26"/>
  <c r="F1829" i="26"/>
  <c r="D1749" i="26"/>
  <c r="F1749" i="26"/>
  <c r="D1529" i="26"/>
  <c r="F1529" i="26"/>
  <c r="D5891" i="26"/>
  <c r="D4971" i="26"/>
  <c r="F6549" i="26"/>
  <c r="F6511" i="26"/>
  <c r="F4970" i="26"/>
  <c r="F4629" i="26"/>
  <c r="F3070" i="26"/>
  <c r="D6731" i="26"/>
  <c r="D2951" i="26"/>
  <c r="D2171" i="26"/>
  <c r="F6671" i="26"/>
  <c r="F6129" i="26"/>
  <c r="F6091" i="26"/>
  <c r="F4791" i="26"/>
  <c r="F2870" i="26"/>
  <c r="F2050" i="26"/>
  <c r="D6766" i="26"/>
  <c r="F6766" i="26"/>
  <c r="D6726" i="26"/>
  <c r="F6726" i="26"/>
  <c r="D6686" i="26"/>
  <c r="F6686" i="26"/>
  <c r="D6666" i="26"/>
  <c r="F6666" i="26"/>
  <c r="D6626" i="26"/>
  <c r="F6626" i="26"/>
  <c r="D6606" i="26"/>
  <c r="F6606" i="26"/>
  <c r="D6546" i="26"/>
  <c r="F6546" i="26"/>
  <c r="D6526" i="26"/>
  <c r="F6526" i="26"/>
  <c r="D6506" i="26"/>
  <c r="F6506" i="26"/>
  <c r="D6466" i="26"/>
  <c r="F6466" i="26"/>
  <c r="D6446" i="26"/>
  <c r="F6446" i="26"/>
  <c r="D6386" i="26"/>
  <c r="F6386" i="26"/>
  <c r="D6366" i="26"/>
  <c r="F6366" i="26"/>
  <c r="D6346" i="26"/>
  <c r="F6346" i="26"/>
  <c r="D6326" i="26"/>
  <c r="F6326" i="26"/>
  <c r="D6306" i="26"/>
  <c r="F6306" i="26"/>
  <c r="D6286" i="26"/>
  <c r="F6286" i="26"/>
  <c r="D6266" i="26"/>
  <c r="F6266" i="26"/>
  <c r="D6246" i="26"/>
  <c r="F6246" i="26"/>
  <c r="D6206" i="26"/>
  <c r="F6206" i="26"/>
  <c r="D6186" i="26"/>
  <c r="F6186" i="26"/>
  <c r="D6126" i="26"/>
  <c r="F6126" i="26"/>
  <c r="D6106" i="26"/>
  <c r="F6106" i="26"/>
  <c r="D6066" i="26"/>
  <c r="F6066" i="26"/>
  <c r="D6046" i="26"/>
  <c r="F6046" i="26"/>
  <c r="D6026" i="26"/>
  <c r="F6026" i="26"/>
  <c r="D6006" i="26"/>
  <c r="F6006" i="26"/>
  <c r="D5966" i="26"/>
  <c r="F5966" i="26"/>
  <c r="D5946" i="26"/>
  <c r="F5946" i="26"/>
  <c r="D5926" i="26"/>
  <c r="F5926" i="26"/>
  <c r="D5886" i="26"/>
  <c r="F5886" i="26"/>
  <c r="D5866" i="26"/>
  <c r="F5866" i="26"/>
  <c r="D5846" i="26"/>
  <c r="F5846" i="26"/>
  <c r="D5826" i="26"/>
  <c r="F5826" i="26"/>
  <c r="D5786" i="26"/>
  <c r="F5786" i="26"/>
  <c r="D5766" i="26"/>
  <c r="F5766" i="26"/>
  <c r="D5746" i="26"/>
  <c r="F5746" i="26"/>
  <c r="D5726" i="26"/>
  <c r="F5726" i="26"/>
  <c r="D5686" i="26"/>
  <c r="F5686" i="26"/>
  <c r="D5646" i="26"/>
  <c r="F5646" i="26"/>
  <c r="D5626" i="26"/>
  <c r="F5626" i="26"/>
  <c r="D5606" i="26"/>
  <c r="F5606" i="26"/>
  <c r="D5546" i="26"/>
  <c r="F5546" i="26"/>
  <c r="D5526" i="26"/>
  <c r="F5526" i="26"/>
  <c r="D5506" i="26"/>
  <c r="F5506" i="26"/>
  <c r="D5486" i="26"/>
  <c r="F5486" i="26"/>
  <c r="D5446" i="26"/>
  <c r="F5446" i="26"/>
  <c r="D5426" i="26"/>
  <c r="F5426" i="26"/>
  <c r="D5406" i="26"/>
  <c r="F5406" i="26"/>
  <c r="D5386" i="26"/>
  <c r="F5386" i="26"/>
  <c r="D5366" i="26"/>
  <c r="F5366" i="26"/>
  <c r="D5346" i="26"/>
  <c r="F5346" i="26"/>
  <c r="D5326" i="26"/>
  <c r="F5326" i="26"/>
  <c r="D5286" i="26"/>
  <c r="F5286" i="26"/>
  <c r="D5266" i="26"/>
  <c r="F5266" i="26"/>
  <c r="D5246" i="26"/>
  <c r="F5246" i="26"/>
  <c r="D5226" i="26"/>
  <c r="F5226" i="26"/>
  <c r="D5206" i="26"/>
  <c r="F5206" i="26"/>
  <c r="D5186" i="26"/>
  <c r="F5186" i="26"/>
  <c r="D5146" i="26"/>
  <c r="F5146" i="26"/>
  <c r="D5126" i="26"/>
  <c r="F5126" i="26"/>
  <c r="D5086" i="26"/>
  <c r="F5086" i="26"/>
  <c r="D5066" i="26"/>
  <c r="F5066" i="26"/>
  <c r="D5026" i="26"/>
  <c r="F5026" i="26"/>
  <c r="D5006" i="26"/>
  <c r="F5006" i="26"/>
  <c r="D4946" i="26"/>
  <c r="F4946" i="26"/>
  <c r="D4926" i="26"/>
  <c r="F4926" i="26"/>
  <c r="D4906" i="26"/>
  <c r="F4906" i="26"/>
  <c r="D4886" i="26"/>
  <c r="F4886" i="26"/>
  <c r="D4866" i="26"/>
  <c r="F4866" i="26"/>
  <c r="D4846" i="26"/>
  <c r="F4846" i="26"/>
  <c r="D4826" i="26"/>
  <c r="F4826" i="26"/>
  <c r="D4806" i="26"/>
  <c r="F4806" i="26"/>
  <c r="D4786" i="26"/>
  <c r="F4786" i="26"/>
  <c r="D4766" i="26"/>
  <c r="F4766" i="26"/>
  <c r="D4746" i="26"/>
  <c r="F4746" i="26"/>
  <c r="D4726" i="26"/>
  <c r="F4726" i="26"/>
  <c r="D4706" i="26"/>
  <c r="F4706" i="26"/>
  <c r="D4686" i="26"/>
  <c r="F4686" i="26"/>
  <c r="D4666" i="26"/>
  <c r="F4666" i="26"/>
  <c r="D4646" i="26"/>
  <c r="F4646" i="26"/>
  <c r="D4626" i="26"/>
  <c r="F4626" i="26"/>
  <c r="D4566" i="26"/>
  <c r="F4566" i="26"/>
  <c r="D4526" i="26"/>
  <c r="F4526" i="26"/>
  <c r="D4506" i="26"/>
  <c r="F4506" i="26"/>
  <c r="D4486" i="26"/>
  <c r="F4486" i="26"/>
  <c r="D4466" i="26"/>
  <c r="F4466" i="26"/>
  <c r="D4446" i="26"/>
  <c r="F4446" i="26"/>
  <c r="D4426" i="26"/>
  <c r="F4426" i="26"/>
  <c r="D4406" i="26"/>
  <c r="F4406" i="26"/>
  <c r="D4386" i="26"/>
  <c r="F4386" i="26"/>
  <c r="D4366" i="26"/>
  <c r="F4366" i="26"/>
  <c r="D4346" i="26"/>
  <c r="F4346" i="26"/>
  <c r="D4326" i="26"/>
  <c r="F4326" i="26"/>
  <c r="D4306" i="26"/>
  <c r="F4306" i="26"/>
  <c r="D4286" i="26"/>
  <c r="F4286" i="26"/>
  <c r="D4266" i="26"/>
  <c r="F4266" i="26"/>
  <c r="D4246" i="26"/>
  <c r="F4246" i="26"/>
  <c r="D4226" i="26"/>
  <c r="F4226" i="26"/>
  <c r="D4206" i="26"/>
  <c r="F4206" i="26"/>
  <c r="D4186" i="26"/>
  <c r="F4186" i="26"/>
  <c r="D4166" i="26"/>
  <c r="F4166" i="26"/>
  <c r="D4126" i="26"/>
  <c r="F4126" i="26"/>
  <c r="D4106" i="26"/>
  <c r="F4106" i="26"/>
  <c r="D4086" i="26"/>
  <c r="F4086" i="26"/>
  <c r="D4066" i="26"/>
  <c r="F4066" i="26"/>
  <c r="D4046" i="26"/>
  <c r="F4046" i="26"/>
  <c r="D4026" i="26"/>
  <c r="F4026" i="26"/>
  <c r="F4006" i="26"/>
  <c r="D4006" i="26"/>
  <c r="D3986" i="26"/>
  <c r="F3986" i="26"/>
  <c r="D3946" i="26"/>
  <c r="F3946" i="26"/>
  <c r="D3926" i="26"/>
  <c r="F3926" i="26"/>
  <c r="D3906" i="26"/>
  <c r="F3906" i="26"/>
  <c r="D3866" i="26"/>
  <c r="F3866" i="26"/>
  <c r="D3846" i="26"/>
  <c r="F3846" i="26"/>
  <c r="D3826" i="26"/>
  <c r="F3826" i="26"/>
  <c r="D3806" i="26"/>
  <c r="F3806" i="26"/>
  <c r="D3766" i="26"/>
  <c r="F3766" i="26"/>
  <c r="D3746" i="26"/>
  <c r="F3746" i="26"/>
  <c r="D3706" i="26"/>
  <c r="F3706" i="26"/>
  <c r="D3686" i="26"/>
  <c r="F3686" i="26"/>
  <c r="D3666" i="26"/>
  <c r="F3666" i="26"/>
  <c r="D3626" i="26"/>
  <c r="F3626" i="26"/>
  <c r="D3606" i="26"/>
  <c r="F3606" i="26"/>
  <c r="D3586" i="26"/>
  <c r="F3586" i="26"/>
  <c r="D3566" i="26"/>
  <c r="F3566" i="26"/>
  <c r="D3546" i="26"/>
  <c r="F3546" i="26"/>
  <c r="D3526" i="26"/>
  <c r="F3526" i="26"/>
  <c r="D3506" i="26"/>
  <c r="F3506" i="26"/>
  <c r="D3486" i="26"/>
  <c r="F3486" i="26"/>
  <c r="D3466" i="26"/>
  <c r="F3466" i="26"/>
  <c r="D3446" i="26"/>
  <c r="F3446" i="26"/>
  <c r="D3406" i="26"/>
  <c r="F3406" i="26"/>
  <c r="D3386" i="26"/>
  <c r="F3386" i="26"/>
  <c r="D3326" i="26"/>
  <c r="F3326" i="26"/>
  <c r="D3306" i="26"/>
  <c r="F3306" i="26"/>
  <c r="D3286" i="26"/>
  <c r="F3286" i="26"/>
  <c r="D3246" i="26"/>
  <c r="F3246" i="26"/>
  <c r="D3226" i="26"/>
  <c r="F3226" i="26"/>
  <c r="D3206" i="26"/>
  <c r="F3206" i="26"/>
  <c r="D3166" i="26"/>
  <c r="F3166" i="26"/>
  <c r="D3146" i="26"/>
  <c r="F3146" i="26"/>
  <c r="D3126" i="26"/>
  <c r="F3126" i="26"/>
  <c r="D3106" i="26"/>
  <c r="F3106" i="26"/>
  <c r="D3086" i="26"/>
  <c r="F3086" i="26"/>
  <c r="D3066" i="26"/>
  <c r="F3066" i="26"/>
  <c r="D3046" i="26"/>
  <c r="F3046" i="26"/>
  <c r="D3026" i="26"/>
  <c r="F3026" i="26"/>
  <c r="D3006" i="26"/>
  <c r="F3006" i="26"/>
  <c r="D2986" i="26"/>
  <c r="F2986" i="26"/>
  <c r="D2966" i="26"/>
  <c r="F2966" i="26"/>
  <c r="D2946" i="26"/>
  <c r="F2946" i="26"/>
  <c r="D2926" i="26"/>
  <c r="F2926" i="26"/>
  <c r="D2906" i="26"/>
  <c r="F2906" i="26"/>
  <c r="D2886" i="26"/>
  <c r="F2886" i="26"/>
  <c r="D2866" i="26"/>
  <c r="F2866" i="26"/>
  <c r="D2846" i="26"/>
  <c r="F2846" i="26"/>
  <c r="D2826" i="26"/>
  <c r="F2826" i="26"/>
  <c r="D2806" i="26"/>
  <c r="F2806" i="26"/>
  <c r="D2786" i="26"/>
  <c r="F2786" i="26"/>
  <c r="D2766" i="26"/>
  <c r="F2766" i="26"/>
  <c r="D2746" i="26"/>
  <c r="F2746" i="26"/>
  <c r="D2706" i="26"/>
  <c r="F2706" i="26"/>
  <c r="D2686" i="26"/>
  <c r="F2686" i="26"/>
  <c r="D2666" i="26"/>
  <c r="F2666" i="26"/>
  <c r="D2646" i="26"/>
  <c r="F2646" i="26"/>
  <c r="D2626" i="26"/>
  <c r="F2626" i="26"/>
  <c r="D2606" i="26"/>
  <c r="F2606" i="26"/>
  <c r="D2586" i="26"/>
  <c r="F2586" i="26"/>
  <c r="D2566" i="26"/>
  <c r="F2566" i="26"/>
  <c r="D2546" i="26"/>
  <c r="F2546" i="26"/>
  <c r="D2526" i="26"/>
  <c r="F2526" i="26"/>
  <c r="D2506" i="26"/>
  <c r="F2506" i="26"/>
  <c r="D2486" i="26"/>
  <c r="F2486" i="26"/>
  <c r="D2466" i="26"/>
  <c r="F2466" i="26"/>
  <c r="D2446" i="26"/>
  <c r="F2446" i="26"/>
  <c r="D2426" i="26"/>
  <c r="F2426" i="26"/>
  <c r="D2386" i="26"/>
  <c r="F2386" i="26"/>
  <c r="D2366" i="26"/>
  <c r="F2366" i="26"/>
  <c r="D2346" i="26"/>
  <c r="F2346" i="26"/>
  <c r="D2326" i="26"/>
  <c r="F2326" i="26"/>
  <c r="D2306" i="26"/>
  <c r="F2306" i="26"/>
  <c r="D2286" i="26"/>
  <c r="F2286" i="26"/>
  <c r="D2266" i="26"/>
  <c r="F2266" i="26"/>
  <c r="D2246" i="26"/>
  <c r="F2246" i="26"/>
  <c r="D2206" i="26"/>
  <c r="F2206" i="26"/>
  <c r="D2186" i="26"/>
  <c r="F2186" i="26"/>
  <c r="D2166" i="26"/>
  <c r="F2166" i="26"/>
  <c r="D2146" i="26"/>
  <c r="F2146" i="26"/>
  <c r="D2126" i="26"/>
  <c r="F2126" i="26"/>
  <c r="D2106" i="26"/>
  <c r="F2106" i="26"/>
  <c r="D2086" i="26"/>
  <c r="F2086" i="26"/>
  <c r="D2066" i="26"/>
  <c r="F2066" i="26"/>
  <c r="D2046" i="26"/>
  <c r="F2046" i="26"/>
  <c r="D2026" i="26"/>
  <c r="F2026" i="26"/>
  <c r="D2006" i="26"/>
  <c r="F2006" i="26"/>
  <c r="D1986" i="26"/>
  <c r="F1986" i="26"/>
  <c r="D1946" i="26"/>
  <c r="F1946" i="26"/>
  <c r="D1926" i="26"/>
  <c r="F1926" i="26"/>
  <c r="D1906" i="26"/>
  <c r="F1906" i="26"/>
  <c r="D1886" i="26"/>
  <c r="F1886" i="26"/>
  <c r="D1866" i="26"/>
  <c r="F1866" i="26"/>
  <c r="D1846" i="26"/>
  <c r="F1846" i="26"/>
  <c r="D1826" i="26"/>
  <c r="F1826" i="26"/>
  <c r="D1806" i="26"/>
  <c r="F1806" i="26"/>
  <c r="D1786" i="26"/>
  <c r="F1786" i="26"/>
  <c r="D1766" i="26"/>
  <c r="F1766" i="26"/>
  <c r="D1746" i="26"/>
  <c r="F1746" i="26"/>
  <c r="D1726" i="26"/>
  <c r="F1726" i="26"/>
  <c r="D1706" i="26"/>
  <c r="F1706" i="26"/>
  <c r="D1686" i="26"/>
  <c r="F1686" i="26"/>
  <c r="D1666" i="26"/>
  <c r="F1666" i="26"/>
  <c r="D1646" i="26"/>
  <c r="F1646" i="26"/>
  <c r="D1626" i="26"/>
  <c r="F1626" i="26"/>
  <c r="D1606" i="26"/>
  <c r="F1606" i="26"/>
  <c r="D1586" i="26"/>
  <c r="F1586" i="26"/>
  <c r="D1566" i="26"/>
  <c r="F1566" i="26"/>
  <c r="D1546" i="26"/>
  <c r="F1546" i="26"/>
  <c r="D1526" i="26"/>
  <c r="F1526" i="26"/>
  <c r="D1506" i="26"/>
  <c r="F1506" i="26"/>
  <c r="D1486" i="26"/>
  <c r="F1486" i="26"/>
  <c r="D1466" i="26"/>
  <c r="F1466" i="26"/>
  <c r="D1446" i="26"/>
  <c r="F1446" i="26"/>
  <c r="D1426" i="26"/>
  <c r="F1426" i="26"/>
  <c r="D1406" i="26"/>
  <c r="F1406" i="26"/>
  <c r="D1386" i="26"/>
  <c r="F1386" i="26"/>
  <c r="D1366" i="26"/>
  <c r="F1366" i="26"/>
  <c r="D1346" i="26"/>
  <c r="F1346" i="26"/>
  <c r="D1326" i="26"/>
  <c r="F1326" i="26"/>
  <c r="D1306" i="26"/>
  <c r="F1306" i="26"/>
  <c r="D1286" i="26"/>
  <c r="F1286" i="26"/>
  <c r="D1266" i="26"/>
  <c r="F1266" i="26"/>
  <c r="D1246" i="26"/>
  <c r="F1246" i="26"/>
  <c r="D1226" i="26"/>
  <c r="F1226" i="26"/>
  <c r="D1206" i="26"/>
  <c r="F1206" i="26"/>
  <c r="D1186" i="26"/>
  <c r="F1186" i="26"/>
  <c r="D1166" i="26"/>
  <c r="F1166" i="26"/>
  <c r="D1146" i="26"/>
  <c r="F1146" i="26"/>
  <c r="D1126" i="26"/>
  <c r="F1126" i="26"/>
  <c r="D1106" i="26"/>
  <c r="F1106" i="26"/>
  <c r="D1086" i="26"/>
  <c r="F1086" i="26"/>
  <c r="D1066" i="26"/>
  <c r="F1066" i="26"/>
  <c r="D1046" i="26"/>
  <c r="F1046" i="26"/>
  <c r="D1026" i="26"/>
  <c r="F1026" i="26"/>
  <c r="D4931" i="26"/>
  <c r="F6670" i="26"/>
  <c r="F6631" i="26"/>
  <c r="F6250" i="26"/>
  <c r="F6090" i="26"/>
  <c r="F2869" i="26"/>
  <c r="F1910" i="26"/>
  <c r="D6551" i="26"/>
  <c r="D6751" i="26"/>
  <c r="F6751" i="26"/>
  <c r="F6691" i="26"/>
  <c r="D6691" i="26"/>
  <c r="D6651" i="26"/>
  <c r="F6651" i="26"/>
  <c r="D6231" i="26"/>
  <c r="F6231" i="26"/>
  <c r="F5811" i="26"/>
  <c r="D5811" i="26"/>
  <c r="D5111" i="26"/>
  <c r="F5111" i="26"/>
  <c r="F4471" i="26"/>
  <c r="D4471" i="26"/>
  <c r="D3791" i="26"/>
  <c r="F3791" i="26"/>
  <c r="F3171" i="26"/>
  <c r="D3171" i="26"/>
  <c r="F2891" i="26"/>
  <c r="D2891" i="26"/>
  <c r="F2751" i="26"/>
  <c r="D2751" i="26"/>
  <c r="D2531" i="26"/>
  <c r="F2531" i="26"/>
  <c r="D2191" i="26"/>
  <c r="F2191" i="26"/>
  <c r="D1671" i="26"/>
  <c r="F1671" i="26"/>
  <c r="D6131" i="26"/>
  <c r="D2371" i="26"/>
  <c r="F4171" i="26"/>
  <c r="F3491" i="26"/>
  <c r="F3411" i="26"/>
  <c r="D6770" i="26"/>
  <c r="F6770" i="26"/>
  <c r="D6750" i="26"/>
  <c r="F6750" i="26"/>
  <c r="D6730" i="26"/>
  <c r="F6730" i="26"/>
  <c r="D6690" i="26"/>
  <c r="F6690" i="26"/>
  <c r="D6650" i="26"/>
  <c r="F6650" i="26"/>
  <c r="D6630" i="26"/>
  <c r="F6630" i="26"/>
  <c r="D6590" i="26"/>
  <c r="F6590" i="26"/>
  <c r="D6570" i="26"/>
  <c r="F6570" i="26"/>
  <c r="D6530" i="26"/>
  <c r="F6530" i="26"/>
  <c r="D6510" i="26"/>
  <c r="F6510" i="26"/>
  <c r="D6490" i="26"/>
  <c r="F6490" i="26"/>
  <c r="D6470" i="26"/>
  <c r="F6470" i="26"/>
  <c r="D6450" i="26"/>
  <c r="F6450" i="26"/>
  <c r="D6370" i="26"/>
  <c r="F6370" i="26"/>
  <c r="D6350" i="26"/>
  <c r="F6350" i="26"/>
  <c r="D6310" i="26"/>
  <c r="F6310" i="26"/>
  <c r="D6290" i="26"/>
  <c r="F6290" i="26"/>
  <c r="D6230" i="26"/>
  <c r="F6230" i="26"/>
  <c r="D6210" i="26"/>
  <c r="F6210" i="26"/>
  <c r="D6190" i="26"/>
  <c r="F6190" i="26"/>
  <c r="D6170" i="26"/>
  <c r="F6170" i="26"/>
  <c r="D6150" i="26"/>
  <c r="F6150" i="26"/>
  <c r="D6130" i="26"/>
  <c r="F6130" i="26"/>
  <c r="D6110" i="26"/>
  <c r="F6110" i="26"/>
  <c r="D6070" i="26"/>
  <c r="F6070" i="26"/>
  <c r="D6050" i="26"/>
  <c r="F6050" i="26"/>
  <c r="D6030" i="26"/>
  <c r="F6030" i="26"/>
  <c r="D5990" i="26"/>
  <c r="F5990" i="26"/>
  <c r="D5970" i="26"/>
  <c r="F5970" i="26"/>
  <c r="D5950" i="26"/>
  <c r="F5950" i="26"/>
  <c r="D5930" i="26"/>
  <c r="F5930" i="26"/>
  <c r="D5890" i="26"/>
  <c r="F5890" i="26"/>
  <c r="D5870" i="26"/>
  <c r="F5870" i="26"/>
  <c r="D5850" i="26"/>
  <c r="F5850" i="26"/>
  <c r="D5830" i="26"/>
  <c r="F5830" i="26"/>
  <c r="D5810" i="26"/>
  <c r="F5810" i="26"/>
  <c r="D5790" i="26"/>
  <c r="F5790" i="26"/>
  <c r="D5770" i="26"/>
  <c r="F5770" i="26"/>
  <c r="D5750" i="26"/>
  <c r="F5750" i="26"/>
  <c r="D5730" i="26"/>
  <c r="F5730" i="26"/>
  <c r="D5690" i="26"/>
  <c r="F5690" i="26"/>
  <c r="D5670" i="26"/>
  <c r="F5670" i="26"/>
  <c r="D5650" i="26"/>
  <c r="F5650" i="26"/>
  <c r="D5630" i="26"/>
  <c r="F5630" i="26"/>
  <c r="D5610" i="26"/>
  <c r="F5610" i="26"/>
  <c r="D5570" i="26"/>
  <c r="F5570" i="26"/>
  <c r="D5550" i="26"/>
  <c r="F5550" i="26"/>
  <c r="D5530" i="26"/>
  <c r="F5530" i="26"/>
  <c r="D5510" i="26"/>
  <c r="F5510" i="26"/>
  <c r="D5490" i="26"/>
  <c r="F5490" i="26"/>
  <c r="D5470" i="26"/>
  <c r="F5470" i="26"/>
  <c r="D5450" i="26"/>
  <c r="F5450" i="26"/>
  <c r="D5430" i="26"/>
  <c r="F5430" i="26"/>
  <c r="D5410" i="26"/>
  <c r="F5410" i="26"/>
  <c r="D5390" i="26"/>
  <c r="F5390" i="26"/>
  <c r="D5370" i="26"/>
  <c r="F5370" i="26"/>
  <c r="D5350" i="26"/>
  <c r="F5350" i="26"/>
  <c r="D5330" i="26"/>
  <c r="F5330" i="26"/>
  <c r="D5310" i="26"/>
  <c r="F5310" i="26"/>
  <c r="D5290" i="26"/>
  <c r="F5290" i="26"/>
  <c r="D5250" i="26"/>
  <c r="F5250" i="26"/>
  <c r="D5230" i="26"/>
  <c r="F5230" i="26"/>
  <c r="D5190" i="26"/>
  <c r="F5190" i="26"/>
  <c r="D5130" i="26"/>
  <c r="F5130" i="26"/>
  <c r="D5110" i="26"/>
  <c r="F5110" i="26"/>
  <c r="D5090" i="26"/>
  <c r="F5090" i="26"/>
  <c r="D5070" i="26"/>
  <c r="F5070" i="26"/>
  <c r="D5050" i="26"/>
  <c r="F5050" i="26"/>
  <c r="D5030" i="26"/>
  <c r="F5030" i="26"/>
  <c r="D5010" i="26"/>
  <c r="F5010" i="26"/>
  <c r="D4950" i="26"/>
  <c r="F4950" i="26"/>
  <c r="D4930" i="26"/>
  <c r="F4930" i="26"/>
  <c r="D4910" i="26"/>
  <c r="F4910" i="26"/>
  <c r="D4890" i="26"/>
  <c r="F4890" i="26"/>
  <c r="D4870" i="26"/>
  <c r="F4870" i="26"/>
  <c r="D4850" i="26"/>
  <c r="F4850" i="26"/>
  <c r="D4830" i="26"/>
  <c r="F4830" i="26"/>
  <c r="D4810" i="26"/>
  <c r="F4810" i="26"/>
  <c r="D4790" i="26"/>
  <c r="F4790" i="26"/>
  <c r="D4770" i="26"/>
  <c r="F4770" i="26"/>
  <c r="D4750" i="26"/>
  <c r="F4750" i="26"/>
  <c r="D4730" i="26"/>
  <c r="F4730" i="26"/>
  <c r="D4710" i="26"/>
  <c r="F4710" i="26"/>
  <c r="D4690" i="26"/>
  <c r="F4690" i="26"/>
  <c r="D4610" i="26"/>
  <c r="F4610" i="26"/>
  <c r="D4590" i="26"/>
  <c r="F4590" i="26"/>
  <c r="D4570" i="26"/>
  <c r="F4570" i="26"/>
  <c r="D4550" i="26"/>
  <c r="F4550" i="26"/>
  <c r="D4530" i="26"/>
  <c r="F4530" i="26"/>
  <c r="D4510" i="26"/>
  <c r="F4510" i="26"/>
  <c r="D4490" i="26"/>
  <c r="F4490" i="26"/>
  <c r="D4470" i="26"/>
  <c r="F4470" i="26"/>
  <c r="D4450" i="26"/>
  <c r="F4450" i="26"/>
  <c r="D4390" i="26"/>
  <c r="F4390" i="26"/>
  <c r="D4370" i="26"/>
  <c r="F4370" i="26"/>
  <c r="D4350" i="26"/>
  <c r="F4350" i="26"/>
  <c r="D4330" i="26"/>
  <c r="F4330" i="26"/>
  <c r="D4310" i="26"/>
  <c r="F4310" i="26"/>
  <c r="D4290" i="26"/>
  <c r="F4290" i="26"/>
  <c r="D4270" i="26"/>
  <c r="F4270" i="26"/>
  <c r="D4250" i="26"/>
  <c r="F4250" i="26"/>
  <c r="D4230" i="26"/>
  <c r="F4230" i="26"/>
  <c r="D4210" i="26"/>
  <c r="F4210" i="26"/>
  <c r="D4190" i="26"/>
  <c r="F4190" i="26"/>
  <c r="D4170" i="26"/>
  <c r="F4170" i="26"/>
  <c r="D4150" i="26"/>
  <c r="F4150" i="26"/>
  <c r="D4130" i="26"/>
  <c r="F4130" i="26"/>
  <c r="D4110" i="26"/>
  <c r="F4110" i="26"/>
  <c r="D4090" i="26"/>
  <c r="F4090" i="26"/>
  <c r="D4070" i="26"/>
  <c r="F4070" i="26"/>
  <c r="D4050" i="26"/>
  <c r="F4050" i="26"/>
  <c r="D4030" i="26"/>
  <c r="F4030" i="26"/>
  <c r="D4010" i="26"/>
  <c r="F4010" i="26"/>
  <c r="D3990" i="26"/>
  <c r="F3990" i="26"/>
  <c r="D3950" i="26"/>
  <c r="F3950" i="26"/>
  <c r="D3810" i="26"/>
  <c r="F3810" i="26"/>
  <c r="D3790" i="26"/>
  <c r="F3790" i="26"/>
  <c r="D3770" i="26"/>
  <c r="F3770" i="26"/>
  <c r="D3750" i="26"/>
  <c r="F3750" i="26"/>
  <c r="D3730" i="26"/>
  <c r="F3730" i="26"/>
  <c r="D3710" i="26"/>
  <c r="F3710" i="26"/>
  <c r="D3690" i="26"/>
  <c r="F3690" i="26"/>
  <c r="D3650" i="26"/>
  <c r="F3650" i="26"/>
  <c r="D3630" i="26"/>
  <c r="F3630" i="26"/>
  <c r="D3590" i="26"/>
  <c r="F3590" i="26"/>
  <c r="D3570" i="26"/>
  <c r="F3570" i="26"/>
  <c r="D3550" i="26"/>
  <c r="F3550" i="26"/>
  <c r="D3530" i="26"/>
  <c r="F3530" i="26"/>
  <c r="D3510" i="26"/>
  <c r="F3510" i="26"/>
  <c r="D3470" i="26"/>
  <c r="F3470" i="26"/>
  <c r="D3450" i="26"/>
  <c r="F3450" i="26"/>
  <c r="D3430" i="26"/>
  <c r="F3430" i="26"/>
  <c r="D3390" i="26"/>
  <c r="F3390" i="26"/>
  <c r="D3370" i="26"/>
  <c r="F3370" i="26"/>
  <c r="D3350" i="26"/>
  <c r="F3350" i="26"/>
  <c r="D3330" i="26"/>
  <c r="F3330" i="26"/>
  <c r="D3310" i="26"/>
  <c r="F3310" i="26"/>
  <c r="D3290" i="26"/>
  <c r="F3290" i="26"/>
  <c r="D3270" i="26"/>
  <c r="F3270" i="26"/>
  <c r="D3250" i="26"/>
  <c r="F3250" i="26"/>
  <c r="D3230" i="26"/>
  <c r="F3230" i="26"/>
  <c r="D3210" i="26"/>
  <c r="F3210" i="26"/>
  <c r="D3190" i="26"/>
  <c r="F3190" i="26"/>
  <c r="D3170" i="26"/>
  <c r="F3170" i="26"/>
  <c r="D3150" i="26"/>
  <c r="F3150" i="26"/>
  <c r="D3130" i="26"/>
  <c r="F3130" i="26"/>
  <c r="D3110" i="26"/>
  <c r="F3110" i="26"/>
  <c r="D3090" i="26"/>
  <c r="F3090" i="26"/>
  <c r="D3050" i="26"/>
  <c r="F3050" i="26"/>
  <c r="D3030" i="26"/>
  <c r="F3030" i="26"/>
  <c r="D3010" i="26"/>
  <c r="F3010" i="26"/>
  <c r="D2990" i="26"/>
  <c r="F2990" i="26"/>
  <c r="D2970" i="26"/>
  <c r="F2970" i="26"/>
  <c r="D2950" i="26"/>
  <c r="F2950" i="26"/>
  <c r="D2930" i="26"/>
  <c r="F2930" i="26"/>
  <c r="D2910" i="26"/>
  <c r="F2910" i="26"/>
  <c r="D2890" i="26"/>
  <c r="F2890" i="26"/>
  <c r="D2850" i="26"/>
  <c r="F2850" i="26"/>
  <c r="D2830" i="26"/>
  <c r="F2830" i="26"/>
  <c r="D2810" i="26"/>
  <c r="F2810" i="26"/>
  <c r="D2770" i="26"/>
  <c r="F2770" i="26"/>
  <c r="D2750" i="26"/>
  <c r="F2750" i="26"/>
  <c r="D2730" i="26"/>
  <c r="F2730" i="26"/>
  <c r="D2710" i="26"/>
  <c r="F2710" i="26"/>
  <c r="D2690" i="26"/>
  <c r="F2690" i="26"/>
  <c r="D2670" i="26"/>
  <c r="F2670" i="26"/>
  <c r="D2650" i="26"/>
  <c r="F2650" i="26"/>
  <c r="D2630" i="26"/>
  <c r="F2630" i="26"/>
  <c r="D2610" i="26"/>
  <c r="F2610" i="26"/>
  <c r="D2590" i="26"/>
  <c r="F2590" i="26"/>
  <c r="D2570" i="26"/>
  <c r="F2570" i="26"/>
  <c r="D2550" i="26"/>
  <c r="F2550" i="26"/>
  <c r="D2530" i="26"/>
  <c r="F2530" i="26"/>
  <c r="D2510" i="26"/>
  <c r="F2510" i="26"/>
  <c r="D2470" i="26"/>
  <c r="F2470" i="26"/>
  <c r="D2450" i="26"/>
  <c r="F2450" i="26"/>
  <c r="D2430" i="26"/>
  <c r="F2430" i="26"/>
  <c r="D2410" i="26"/>
  <c r="F2410" i="26"/>
  <c r="D2390" i="26"/>
  <c r="F2390" i="26"/>
  <c r="D2370" i="26"/>
  <c r="F2370" i="26"/>
  <c r="D2350" i="26"/>
  <c r="F2350" i="26"/>
  <c r="D2290" i="26"/>
  <c r="F2290" i="26"/>
  <c r="D2270" i="26"/>
  <c r="F2270" i="26"/>
  <c r="D2230" i="26"/>
  <c r="F2230" i="26"/>
  <c r="D2210" i="26"/>
  <c r="F2210" i="26"/>
  <c r="D2190" i="26"/>
  <c r="F2190" i="26"/>
  <c r="D2150" i="26"/>
  <c r="F2150" i="26"/>
  <c r="D2130" i="26"/>
  <c r="F2130" i="26"/>
  <c r="D2090" i="26"/>
  <c r="F2090" i="26"/>
  <c r="D2070" i="26"/>
  <c r="F2070" i="26"/>
  <c r="D2030" i="26"/>
  <c r="F2030" i="26"/>
  <c r="D2010" i="26"/>
  <c r="F2010" i="26"/>
  <c r="D1990" i="26"/>
  <c r="F1990" i="26"/>
  <c r="D1970" i="26"/>
  <c r="F1970" i="26"/>
  <c r="D1950" i="26"/>
  <c r="F1950" i="26"/>
  <c r="D1930" i="26"/>
  <c r="F1930" i="26"/>
  <c r="D1890" i="26"/>
  <c r="F1890" i="26"/>
  <c r="D1870" i="26"/>
  <c r="F1870" i="26"/>
  <c r="D1850" i="26"/>
  <c r="F1850" i="26"/>
  <c r="D1830" i="26"/>
  <c r="F1830" i="26"/>
  <c r="D1810" i="26"/>
  <c r="F1810" i="26"/>
  <c r="D1790" i="26"/>
  <c r="F1790" i="26"/>
  <c r="D1770" i="26"/>
  <c r="F1770" i="26"/>
  <c r="D1750" i="26"/>
  <c r="F1750" i="26"/>
  <c r="D1730" i="26"/>
  <c r="F1730" i="26"/>
  <c r="D1710" i="26"/>
  <c r="F1710" i="26"/>
  <c r="D1690" i="26"/>
  <c r="F1690" i="26"/>
  <c r="D1670" i="26"/>
  <c r="F1670" i="26"/>
  <c r="D1650" i="26"/>
  <c r="F1650" i="26"/>
  <c r="D1630" i="26"/>
  <c r="F1630" i="26"/>
  <c r="D1610" i="26"/>
  <c r="F1610" i="26"/>
  <c r="D1590" i="26"/>
  <c r="F1590" i="26"/>
  <c r="D1570" i="26"/>
  <c r="F1570" i="26"/>
  <c r="D1550" i="26"/>
  <c r="F1550" i="26"/>
  <c r="D1530" i="26"/>
  <c r="F1530" i="26"/>
  <c r="D1510" i="26"/>
  <c r="F1510" i="26"/>
  <c r="D1490" i="26"/>
  <c r="F1490" i="26"/>
  <c r="D1470" i="26"/>
  <c r="F1470" i="26"/>
  <c r="D1450" i="26"/>
  <c r="F1450" i="26"/>
  <c r="D1430" i="26"/>
  <c r="F1430" i="26"/>
  <c r="D1410" i="26"/>
  <c r="F1410" i="26"/>
  <c r="D1390" i="26"/>
  <c r="F1390" i="26"/>
  <c r="D1370" i="26"/>
  <c r="F1370" i="26"/>
  <c r="D1350" i="26"/>
  <c r="F1350" i="26"/>
  <c r="D1330" i="26"/>
  <c r="F1330" i="26"/>
  <c r="D1310" i="26"/>
  <c r="F1310" i="26"/>
  <c r="D1290" i="26"/>
  <c r="F1290" i="26"/>
  <c r="D1270" i="26"/>
  <c r="F1270" i="26"/>
  <c r="D1250" i="26"/>
  <c r="F1250" i="26"/>
  <c r="D1230" i="26"/>
  <c r="F1230" i="26"/>
  <c r="D1210" i="26"/>
  <c r="F1210" i="26"/>
  <c r="D1190" i="26"/>
  <c r="F1190" i="26"/>
  <c r="D1170" i="26"/>
  <c r="F1170" i="26"/>
  <c r="D1150" i="26"/>
  <c r="F1150" i="26"/>
  <c r="D1130" i="26"/>
  <c r="F1130" i="26"/>
  <c r="D1110" i="26"/>
  <c r="F1110" i="26"/>
  <c r="D1090" i="26"/>
  <c r="F1090" i="26"/>
  <c r="D1070" i="26"/>
  <c r="F1070" i="26"/>
  <c r="D1050" i="26"/>
  <c r="F1050" i="26"/>
  <c r="D1030" i="26"/>
  <c r="F1030" i="26"/>
  <c r="D1010" i="26"/>
  <c r="F1010" i="26"/>
  <c r="D5011" i="26"/>
  <c r="F5211" i="26"/>
  <c r="F4410" i="26"/>
  <c r="F3490" i="26"/>
  <c r="F3410" i="26"/>
  <c r="F3151" i="26"/>
  <c r="F2790" i="26"/>
  <c r="F2691" i="26"/>
  <c r="D5489" i="26"/>
  <c r="F5489" i="26"/>
  <c r="D4049" i="26"/>
  <c r="F4049" i="26"/>
  <c r="D3129" i="26"/>
  <c r="F3129" i="26"/>
  <c r="D2649" i="26"/>
  <c r="F2649" i="26"/>
  <c r="D2169" i="26"/>
  <c r="F2169" i="26"/>
  <c r="D2149" i="26"/>
  <c r="F2149" i="26"/>
  <c r="D2109" i="26"/>
  <c r="F2109" i="26"/>
  <c r="D2089" i="26"/>
  <c r="F2089" i="26"/>
  <c r="D2069" i="26"/>
  <c r="F2069" i="26"/>
  <c r="D2049" i="26"/>
  <c r="F2049" i="26"/>
  <c r="D2029" i="26"/>
  <c r="F2029" i="26"/>
  <c r="D2009" i="26"/>
  <c r="F2009" i="26"/>
  <c r="D1989" i="26"/>
  <c r="F1989" i="26"/>
  <c r="D1849" i="26"/>
  <c r="F1849" i="26"/>
  <c r="D1809" i="26"/>
  <c r="F1809" i="26"/>
  <c r="D1789" i="26"/>
  <c r="F1789" i="26"/>
  <c r="D1769" i="26"/>
  <c r="F1769" i="26"/>
  <c r="D1729" i="26"/>
  <c r="F1729" i="26"/>
  <c r="D1709" i="26"/>
  <c r="F1709" i="26"/>
  <c r="D1689" i="26"/>
  <c r="F1689" i="26"/>
  <c r="D1669" i="26"/>
  <c r="F1669" i="26"/>
  <c r="D1649" i="26"/>
  <c r="F1649" i="26"/>
  <c r="D1629" i="26"/>
  <c r="F1629" i="26"/>
  <c r="D1609" i="26"/>
  <c r="F1609" i="26"/>
  <c r="D1589" i="26"/>
  <c r="F1589" i="26"/>
  <c r="D1569" i="26"/>
  <c r="F1569" i="26"/>
  <c r="D1549" i="26"/>
  <c r="F1549" i="26"/>
  <c r="D1509" i="26"/>
  <c r="F1509" i="26"/>
  <c r="D1489" i="26"/>
  <c r="F1489" i="26"/>
  <c r="D1469" i="26"/>
  <c r="F1469" i="26"/>
  <c r="D1449" i="26"/>
  <c r="F1449" i="26"/>
  <c r="D1429" i="26"/>
  <c r="F1429" i="26"/>
  <c r="D1409" i="26"/>
  <c r="F1409" i="26"/>
  <c r="D1389" i="26"/>
  <c r="F1389" i="26"/>
  <c r="D1369" i="26"/>
  <c r="F1369" i="26"/>
  <c r="D1349" i="26"/>
  <c r="F1349" i="26"/>
  <c r="D1329" i="26"/>
  <c r="F1329" i="26"/>
  <c r="D1309" i="26"/>
  <c r="F1309" i="26"/>
  <c r="D1289" i="26"/>
  <c r="F1289" i="26"/>
  <c r="D1269" i="26"/>
  <c r="F1269" i="26"/>
  <c r="D1249" i="26"/>
  <c r="F1249" i="26"/>
  <c r="D1229" i="26"/>
  <c r="F1229" i="26"/>
  <c r="D1209" i="26"/>
  <c r="F1209" i="26"/>
  <c r="D1189" i="26"/>
  <c r="F1189" i="26"/>
  <c r="D1169" i="26"/>
  <c r="F1169" i="26"/>
  <c r="D1149" i="26"/>
  <c r="F1149" i="26"/>
  <c r="D1129" i="26"/>
  <c r="F1129" i="26"/>
  <c r="D1109" i="26"/>
  <c r="F1109" i="26"/>
  <c r="D1089" i="26"/>
  <c r="F1089" i="26"/>
  <c r="D1069" i="26"/>
  <c r="F1069" i="26"/>
  <c r="D1049" i="26"/>
  <c r="F1049" i="26"/>
  <c r="D1029" i="26"/>
  <c r="F1029" i="26"/>
  <c r="D1009" i="26"/>
  <c r="F1009" i="26"/>
  <c r="D6771" i="26"/>
  <c r="D4991" i="26"/>
  <c r="D2971" i="26"/>
  <c r="D2311" i="26"/>
  <c r="F6550" i="26"/>
  <c r="F6051" i="26"/>
  <c r="F5749" i="26"/>
  <c r="F5270" i="26"/>
  <c r="F5210" i="26"/>
  <c r="F4630" i="26"/>
  <c r="F3489" i="26"/>
  <c r="F3409" i="26"/>
  <c r="D6426" i="26"/>
  <c r="F6426" i="26"/>
  <c r="D6785" i="26"/>
  <c r="F6785" i="26"/>
  <c r="D6765" i="26"/>
  <c r="F6765" i="26"/>
  <c r="D6725" i="26"/>
  <c r="F6725" i="26"/>
  <c r="D6705" i="26"/>
  <c r="F6705" i="26"/>
  <c r="D6685" i="26"/>
  <c r="F6685" i="26"/>
  <c r="D6665" i="26"/>
  <c r="F6665" i="26"/>
  <c r="D6645" i="26"/>
  <c r="F6645" i="26"/>
  <c r="D6625" i="26"/>
  <c r="F6625" i="26"/>
  <c r="D6605" i="26"/>
  <c r="F6605" i="26"/>
  <c r="D6565" i="26"/>
  <c r="F6565" i="26"/>
  <c r="D6545" i="26"/>
  <c r="F6545" i="26"/>
  <c r="D6525" i="26"/>
  <c r="F6525" i="26"/>
  <c r="D6465" i="26"/>
  <c r="F6465" i="26"/>
  <c r="D6425" i="26"/>
  <c r="F6425" i="26"/>
  <c r="D6405" i="26"/>
  <c r="F6405" i="26"/>
  <c r="D6385" i="26"/>
  <c r="F6385" i="26"/>
  <c r="D6365" i="26"/>
  <c r="F6365" i="26"/>
  <c r="D6345" i="26"/>
  <c r="F6345" i="26"/>
  <c r="D6325" i="26"/>
  <c r="F6325" i="26"/>
  <c r="D6305" i="26"/>
  <c r="F6305" i="26"/>
  <c r="D6265" i="26"/>
  <c r="F6265" i="26"/>
  <c r="D6245" i="26"/>
  <c r="F6245" i="26"/>
  <c r="D6205" i="26"/>
  <c r="F6205" i="26"/>
  <c r="D6145" i="26"/>
  <c r="F6145" i="26"/>
  <c r="D6125" i="26"/>
  <c r="F6125" i="26"/>
  <c r="D6105" i="26"/>
  <c r="F6105" i="26"/>
  <c r="D6085" i="26"/>
  <c r="F6085" i="26"/>
  <c r="D6065" i="26"/>
  <c r="F6065" i="26"/>
  <c r="D6045" i="26"/>
  <c r="F6045" i="26"/>
  <c r="D6025" i="26"/>
  <c r="F6025" i="26"/>
  <c r="D6005" i="26"/>
  <c r="F6005" i="26"/>
  <c r="D5965" i="26"/>
  <c r="F5965" i="26"/>
  <c r="D5945" i="26"/>
  <c r="F5945" i="26"/>
  <c r="D5925" i="26"/>
  <c r="F5925" i="26"/>
  <c r="D5885" i="26"/>
  <c r="F5885" i="26"/>
  <c r="D5865" i="26"/>
  <c r="F5865" i="26"/>
  <c r="D5825" i="26"/>
  <c r="F5825" i="26"/>
  <c r="D5805" i="26"/>
  <c r="F5805" i="26"/>
  <c r="D5785" i="26"/>
  <c r="F5785" i="26"/>
  <c r="D5765" i="26"/>
  <c r="F5765" i="26"/>
  <c r="D5745" i="26"/>
  <c r="F5745" i="26"/>
  <c r="D5725" i="26"/>
  <c r="F5725" i="26"/>
  <c r="D5705" i="26"/>
  <c r="F5705" i="26"/>
  <c r="D5685" i="26"/>
  <c r="F5685" i="26"/>
  <c r="D5665" i="26"/>
  <c r="F5665" i="26"/>
  <c r="D5645" i="26"/>
  <c r="F5645" i="26"/>
  <c r="D5625" i="26"/>
  <c r="F5625" i="26"/>
  <c r="D5605" i="26"/>
  <c r="F5605" i="26"/>
  <c r="D5585" i="26"/>
  <c r="F5585" i="26"/>
  <c r="D5565" i="26"/>
  <c r="F5565" i="26"/>
  <c r="D5545" i="26"/>
  <c r="F5545" i="26"/>
  <c r="D5525" i="26"/>
  <c r="F5525" i="26"/>
  <c r="D5505" i="26"/>
  <c r="F5505" i="26"/>
  <c r="D5485" i="26"/>
  <c r="F5485" i="26"/>
  <c r="D5465" i="26"/>
  <c r="F5465" i="26"/>
  <c r="D5445" i="26"/>
  <c r="F5445" i="26"/>
  <c r="D5425" i="26"/>
  <c r="F5425" i="26"/>
  <c r="D5405" i="26"/>
  <c r="F5405" i="26"/>
  <c r="D5385" i="26"/>
  <c r="F5385" i="26"/>
  <c r="D5365" i="26"/>
  <c r="F5365" i="26"/>
  <c r="D5345" i="26"/>
  <c r="F5345" i="26"/>
  <c r="D5325" i="26"/>
  <c r="F5325" i="26"/>
  <c r="D5305" i="26"/>
  <c r="F5305" i="26"/>
  <c r="D5285" i="26"/>
  <c r="F5285" i="26"/>
  <c r="D5265" i="26"/>
  <c r="F5265" i="26"/>
  <c r="D5245" i="26"/>
  <c r="F5245" i="26"/>
  <c r="D5225" i="26"/>
  <c r="F5225" i="26"/>
  <c r="F5205" i="26"/>
  <c r="D5205" i="26"/>
  <c r="D5185" i="26"/>
  <c r="F5185" i="26"/>
  <c r="D5165" i="26"/>
  <c r="F5165" i="26"/>
  <c r="D5145" i="26"/>
  <c r="F5145" i="26"/>
  <c r="F5125" i="26"/>
  <c r="D5125" i="26"/>
  <c r="D5105" i="26"/>
  <c r="F5105" i="26"/>
  <c r="D5085" i="26"/>
  <c r="F5085" i="26"/>
  <c r="D5065" i="26"/>
  <c r="F5065" i="26"/>
  <c r="D5045" i="26"/>
  <c r="F5045" i="26"/>
  <c r="D5025" i="26"/>
  <c r="F5025" i="26"/>
  <c r="D5005" i="26"/>
  <c r="F5005" i="26"/>
  <c r="D4985" i="26"/>
  <c r="F4985" i="26"/>
  <c r="D4965" i="26"/>
  <c r="F4965" i="26"/>
  <c r="D4945" i="26"/>
  <c r="F4945" i="26"/>
  <c r="D4925" i="26"/>
  <c r="F4925" i="26"/>
  <c r="D4905" i="26"/>
  <c r="F4905" i="26"/>
  <c r="D4885" i="26"/>
  <c r="F4885" i="26"/>
  <c r="D4865" i="26"/>
  <c r="F4865" i="26"/>
  <c r="D4845" i="26"/>
  <c r="F4845" i="26"/>
  <c r="D4825" i="26"/>
  <c r="F4825" i="26"/>
  <c r="D4805" i="26"/>
  <c r="F4805" i="26"/>
  <c r="D4785" i="26"/>
  <c r="F4785" i="26"/>
  <c r="D4765" i="26"/>
  <c r="F4765" i="26"/>
  <c r="D4745" i="26"/>
  <c r="F4745" i="26"/>
  <c r="D4725" i="26"/>
  <c r="F4725" i="26"/>
  <c r="D4705" i="26"/>
  <c r="F4705" i="26"/>
  <c r="D4685" i="26"/>
  <c r="F4685" i="26"/>
  <c r="D4665" i="26"/>
  <c r="F4665" i="26"/>
  <c r="D4645" i="26"/>
  <c r="F4645" i="26"/>
  <c r="D4625" i="26"/>
  <c r="F4625" i="26"/>
  <c r="D4605" i="26"/>
  <c r="F4605" i="26"/>
  <c r="D4585" i="26"/>
  <c r="F4585" i="26"/>
  <c r="D4565" i="26"/>
  <c r="F4565" i="26"/>
  <c r="D4545" i="26"/>
  <c r="F4545" i="26"/>
  <c r="D4525" i="26"/>
  <c r="F4525" i="26"/>
  <c r="D4505" i="26"/>
  <c r="F4505" i="26"/>
  <c r="D4485" i="26"/>
  <c r="F4485" i="26"/>
  <c r="D4465" i="26"/>
  <c r="F4465" i="26"/>
  <c r="D4445" i="26"/>
  <c r="F4445" i="26"/>
  <c r="D4425" i="26"/>
  <c r="F4425" i="26"/>
  <c r="D4405" i="26"/>
  <c r="F4405" i="26"/>
  <c r="D4385" i="26"/>
  <c r="F4385" i="26"/>
  <c r="D4365" i="26"/>
  <c r="F4365" i="26"/>
  <c r="D4345" i="26"/>
  <c r="F4345" i="26"/>
  <c r="D4325" i="26"/>
  <c r="F4325" i="26"/>
  <c r="D4305" i="26"/>
  <c r="F4305" i="26"/>
  <c r="D4265" i="26"/>
  <c r="F4265" i="26"/>
  <c r="D4245" i="26"/>
  <c r="F4245" i="26"/>
  <c r="D4225" i="26"/>
  <c r="F4225" i="26"/>
  <c r="D4205" i="26"/>
  <c r="F4205" i="26"/>
  <c r="D4185" i="26"/>
  <c r="F4185" i="26"/>
  <c r="D4165" i="26"/>
  <c r="F4165" i="26"/>
  <c r="D4145" i="26"/>
  <c r="F4145" i="26"/>
  <c r="D4125" i="26"/>
  <c r="F4125" i="26"/>
  <c r="D4105" i="26"/>
  <c r="F4105" i="26"/>
  <c r="D4085" i="26"/>
  <c r="F4085" i="26"/>
  <c r="D4065" i="26"/>
  <c r="F4065" i="26"/>
  <c r="D4045" i="26"/>
  <c r="F4045" i="26"/>
  <c r="D4025" i="26"/>
  <c r="F4025" i="26"/>
  <c r="D4005" i="26"/>
  <c r="F4005" i="26"/>
  <c r="D3985" i="26"/>
  <c r="F3985" i="26"/>
  <c r="D3945" i="26"/>
  <c r="F3945" i="26"/>
  <c r="D3925" i="26"/>
  <c r="F3925" i="26"/>
  <c r="D3905" i="26"/>
  <c r="F3905" i="26"/>
  <c r="D3885" i="26"/>
  <c r="F3885" i="26"/>
  <c r="D3865" i="26"/>
  <c r="F3865" i="26"/>
  <c r="D3845" i="26"/>
  <c r="F3845" i="26"/>
  <c r="D3825" i="26"/>
  <c r="F3825" i="26"/>
  <c r="D3805" i="26"/>
  <c r="F3805" i="26"/>
  <c r="D3765" i="26"/>
  <c r="F3765" i="26"/>
  <c r="D3745" i="26"/>
  <c r="F3745" i="26"/>
  <c r="D3705" i="26"/>
  <c r="F3705" i="26"/>
  <c r="D3685" i="26"/>
  <c r="F3685" i="26"/>
  <c r="D3665" i="26"/>
  <c r="F3665" i="26"/>
  <c r="D3645" i="26"/>
  <c r="F3645" i="26"/>
  <c r="D3625" i="26"/>
  <c r="F3625" i="26"/>
  <c r="D3605" i="26"/>
  <c r="F3605" i="26"/>
  <c r="D3585" i="26"/>
  <c r="F3585" i="26"/>
  <c r="D3565" i="26"/>
  <c r="F3565" i="26"/>
  <c r="D3545" i="26"/>
  <c r="F3545" i="26"/>
  <c r="D3525" i="26"/>
  <c r="F3525" i="26"/>
  <c r="D3505" i="26"/>
  <c r="F3505" i="26"/>
  <c r="D3485" i="26"/>
  <c r="F3485" i="26"/>
  <c r="D3465" i="26"/>
  <c r="F3465" i="26"/>
  <c r="D3445" i="26"/>
  <c r="F3445" i="26"/>
  <c r="D3425" i="26"/>
  <c r="F3425" i="26"/>
  <c r="D3405" i="26"/>
  <c r="F3405" i="26"/>
  <c r="D3385" i="26"/>
  <c r="F3385" i="26"/>
  <c r="D3345" i="26"/>
  <c r="F3345" i="26"/>
  <c r="D3325" i="26"/>
  <c r="F3325" i="26"/>
  <c r="D3305" i="26"/>
  <c r="F3305" i="26"/>
  <c r="D3285" i="26"/>
  <c r="F3285" i="26"/>
  <c r="D3245" i="26"/>
  <c r="F3245" i="26"/>
  <c r="D3225" i="26"/>
  <c r="F3225" i="26"/>
  <c r="D3205" i="26"/>
  <c r="F3205" i="26"/>
  <c r="D3185" i="26"/>
  <c r="F3185" i="26"/>
  <c r="D3165" i="26"/>
  <c r="F3165" i="26"/>
  <c r="D3145" i="26"/>
  <c r="F3145" i="26"/>
  <c r="D3125" i="26"/>
  <c r="F3125" i="26"/>
  <c r="D3105" i="26"/>
  <c r="F3105" i="26"/>
  <c r="D3085" i="26"/>
  <c r="F3085" i="26"/>
  <c r="D3065" i="26"/>
  <c r="F3065" i="26"/>
  <c r="D3045" i="26"/>
  <c r="F3045" i="26"/>
  <c r="D3025" i="26"/>
  <c r="F3025" i="26"/>
  <c r="D3005" i="26"/>
  <c r="F3005" i="26"/>
  <c r="D2985" i="26"/>
  <c r="F2985" i="26"/>
  <c r="D2965" i="26"/>
  <c r="F2965" i="26"/>
  <c r="D2925" i="26"/>
  <c r="F2925" i="26"/>
  <c r="D2905" i="26"/>
  <c r="F2905" i="26"/>
  <c r="D2865" i="26"/>
  <c r="F2865" i="26"/>
  <c r="D2845" i="26"/>
  <c r="F2845" i="26"/>
  <c r="D2825" i="26"/>
  <c r="F2825" i="26"/>
  <c r="D2785" i="26"/>
  <c r="F2785" i="26"/>
  <c r="D2765" i="26"/>
  <c r="F2765" i="26"/>
  <c r="D2745" i="26"/>
  <c r="F2745" i="26"/>
  <c r="D2725" i="26"/>
  <c r="F2725" i="26"/>
  <c r="D2685" i="26"/>
  <c r="F2685" i="26"/>
  <c r="D2665" i="26"/>
  <c r="F2665" i="26"/>
  <c r="D2625" i="26"/>
  <c r="F2625" i="26"/>
  <c r="D2605" i="26"/>
  <c r="F2605" i="26"/>
  <c r="D2585" i="26"/>
  <c r="F2585" i="26"/>
  <c r="D2565" i="26"/>
  <c r="F2565" i="26"/>
  <c r="D2545" i="26"/>
  <c r="F2545" i="26"/>
  <c r="D2525" i="26"/>
  <c r="F2525" i="26"/>
  <c r="D2505" i="26"/>
  <c r="F2505" i="26"/>
  <c r="D2485" i="26"/>
  <c r="F2485" i="26"/>
  <c r="D2445" i="26"/>
  <c r="F2445" i="26"/>
  <c r="D2425" i="26"/>
  <c r="F2425" i="26"/>
  <c r="D2385" i="26"/>
  <c r="F2385" i="26"/>
  <c r="D2365" i="26"/>
  <c r="F2365" i="26"/>
  <c r="D2345" i="26"/>
  <c r="F2345" i="26"/>
  <c r="D2325" i="26"/>
  <c r="F2325" i="26"/>
  <c r="D2305" i="26"/>
  <c r="F2305" i="26"/>
  <c r="D2285" i="26"/>
  <c r="F2285" i="26"/>
  <c r="D2265" i="26"/>
  <c r="F2265" i="26"/>
  <c r="D2225" i="26"/>
  <c r="F2225" i="26"/>
  <c r="D2205" i="26"/>
  <c r="F2205" i="26"/>
  <c r="D2185" i="26"/>
  <c r="F2185" i="26"/>
  <c r="D2165" i="26"/>
  <c r="F2165" i="26"/>
  <c r="D2145" i="26"/>
  <c r="F2145" i="26"/>
  <c r="D2125" i="26"/>
  <c r="F2125" i="26"/>
  <c r="D2105" i="26"/>
  <c r="F2105" i="26"/>
  <c r="D2085" i="26"/>
  <c r="F2085" i="26"/>
  <c r="D2065" i="26"/>
  <c r="F2065" i="26"/>
  <c r="D2045" i="26"/>
  <c r="F2045" i="26"/>
  <c r="D2025" i="26"/>
  <c r="F2025" i="26"/>
  <c r="D2005" i="26"/>
  <c r="F2005" i="26"/>
  <c r="D1985" i="26"/>
  <c r="F1985" i="26"/>
  <c r="D1965" i="26"/>
  <c r="F1965" i="26"/>
  <c r="D1925" i="26"/>
  <c r="F1925" i="26"/>
  <c r="D1905" i="26"/>
  <c r="F1905" i="26"/>
  <c r="D1885" i="26"/>
  <c r="F1885" i="26"/>
  <c r="D1825" i="26"/>
  <c r="F1825" i="26"/>
  <c r="D1805" i="26"/>
  <c r="F1805" i="26"/>
  <c r="D1785" i="26"/>
  <c r="F1785" i="26"/>
  <c r="D1765" i="26"/>
  <c r="F1765" i="26"/>
  <c r="D1745" i="26"/>
  <c r="F1745" i="26"/>
  <c r="D1725" i="26"/>
  <c r="F1725" i="26"/>
  <c r="D1705" i="26"/>
  <c r="F1705" i="26"/>
  <c r="D1685" i="26"/>
  <c r="F1685" i="26"/>
  <c r="D1665" i="26"/>
  <c r="F1665" i="26"/>
  <c r="D1645" i="26"/>
  <c r="F1645" i="26"/>
  <c r="D1625" i="26"/>
  <c r="F1625" i="26"/>
  <c r="D1605" i="26"/>
  <c r="F1605" i="26"/>
  <c r="D1585" i="26"/>
  <c r="F1585" i="26"/>
  <c r="D1565" i="26"/>
  <c r="F1565" i="26"/>
  <c r="D1545" i="26"/>
  <c r="F1545" i="26"/>
  <c r="D1525" i="26"/>
  <c r="F1525" i="26"/>
  <c r="D1505" i="26"/>
  <c r="F1505" i="26"/>
  <c r="D1485" i="26"/>
  <c r="F1485" i="26"/>
  <c r="D1465" i="26"/>
  <c r="F1465" i="26"/>
  <c r="D1445" i="26"/>
  <c r="F1445" i="26"/>
  <c r="D1425" i="26"/>
  <c r="F1425" i="26"/>
  <c r="D1405" i="26"/>
  <c r="F1405" i="26"/>
  <c r="D1385" i="26"/>
  <c r="F1385" i="26"/>
  <c r="D1365" i="26"/>
  <c r="F1365" i="26"/>
  <c r="D1345" i="26"/>
  <c r="F1345" i="26"/>
  <c r="D1325" i="26"/>
  <c r="F1325" i="26"/>
  <c r="D1305" i="26"/>
  <c r="F1305" i="26"/>
  <c r="D1285" i="26"/>
  <c r="F1285" i="26"/>
  <c r="D1265" i="26"/>
  <c r="F1265" i="26"/>
  <c r="D1245" i="26"/>
  <c r="F1245" i="26"/>
  <c r="D1225" i="26"/>
  <c r="F1225" i="26"/>
  <c r="D1205" i="26"/>
  <c r="F1205" i="26"/>
  <c r="D1185" i="26"/>
  <c r="F1185" i="26"/>
  <c r="D1165" i="26"/>
  <c r="F1165" i="26"/>
  <c r="D1145" i="26"/>
  <c r="F1145" i="26"/>
  <c r="D1125" i="26"/>
  <c r="F1125" i="26"/>
  <c r="D1105" i="26"/>
  <c r="F1105" i="26"/>
  <c r="D1085" i="26"/>
  <c r="F1085" i="26"/>
  <c r="D1065" i="26"/>
  <c r="F1065" i="26"/>
  <c r="D1045" i="26"/>
  <c r="F1045" i="26"/>
  <c r="D1025" i="26"/>
  <c r="F1025" i="26"/>
  <c r="D2931" i="26"/>
  <c r="F6586" i="26"/>
  <c r="F6505" i="26"/>
  <c r="F6410" i="26"/>
  <c r="F6249" i="26"/>
  <c r="F5989" i="26"/>
  <c r="F5845" i="26"/>
  <c r="F5551" i="26"/>
  <c r="F4146" i="26"/>
  <c r="F3291" i="26"/>
  <c r="F2170" i="26"/>
  <c r="F6684" i="26"/>
  <c r="F6618" i="26"/>
  <c r="F6378" i="26"/>
  <c r="F6304" i="26"/>
  <c r="F5958" i="26"/>
  <c r="F5338" i="26"/>
  <c r="F4798" i="26"/>
  <c r="F4738" i="26"/>
  <c r="F2584" i="26"/>
  <c r="F1604" i="26"/>
  <c r="F1324" i="26"/>
  <c r="D6783" i="26"/>
  <c r="F6783" i="26"/>
  <c r="D6543" i="26"/>
  <c r="F6543" i="26"/>
  <c r="D6223" i="26"/>
  <c r="F6223" i="26"/>
  <c r="D6083" i="26"/>
  <c r="F6083" i="26"/>
  <c r="D6043" i="26"/>
  <c r="F6043" i="26"/>
  <c r="F5943" i="26"/>
  <c r="D5943" i="26"/>
  <c r="D5803" i="26"/>
  <c r="F5803" i="26"/>
  <c r="D5483" i="26"/>
  <c r="F5483" i="26"/>
  <c r="D5283" i="26"/>
  <c r="F5283" i="26"/>
  <c r="D5123" i="26"/>
  <c r="F5123" i="26"/>
  <c r="D5083" i="26"/>
  <c r="F5083" i="26"/>
  <c r="D5043" i="26"/>
  <c r="F5043" i="26"/>
  <c r="D4963" i="26"/>
  <c r="F4963" i="26"/>
  <c r="D4923" i="26"/>
  <c r="F4923" i="26"/>
  <c r="D4783" i="26"/>
  <c r="F4783" i="26"/>
  <c r="D4763" i="26"/>
  <c r="F4763" i="26"/>
  <c r="F4743" i="26"/>
  <c r="D4743" i="26"/>
  <c r="D4703" i="26"/>
  <c r="F4703" i="26"/>
  <c r="D4683" i="26"/>
  <c r="F4683" i="26"/>
  <c r="D4643" i="26"/>
  <c r="F4643" i="26"/>
  <c r="D4583" i="26"/>
  <c r="F4583" i="26"/>
  <c r="F4283" i="26"/>
  <c r="D4283" i="26"/>
  <c r="D6784" i="26"/>
  <c r="F6784" i="26"/>
  <c r="D6704" i="26"/>
  <c r="F6704" i="26"/>
  <c r="D6644" i="26"/>
  <c r="F6644" i="26"/>
  <c r="D6624" i="26"/>
  <c r="F6624" i="26"/>
  <c r="D6544" i="26"/>
  <c r="F6544" i="26"/>
  <c r="D6504" i="26"/>
  <c r="F6504" i="26"/>
  <c r="D6464" i="26"/>
  <c r="F6464" i="26"/>
  <c r="D6424" i="26"/>
  <c r="F6424" i="26"/>
  <c r="D6404" i="26"/>
  <c r="F6404" i="26"/>
  <c r="D6384" i="26"/>
  <c r="F6384" i="26"/>
  <c r="D6364" i="26"/>
  <c r="F6364" i="26"/>
  <c r="D6344" i="26"/>
  <c r="F6344" i="26"/>
  <c r="D6284" i="26"/>
  <c r="F6284" i="26"/>
  <c r="D6264" i="26"/>
  <c r="F6264" i="26"/>
  <c r="D6244" i="26"/>
  <c r="F6244" i="26"/>
  <c r="D6224" i="26"/>
  <c r="F6224" i="26"/>
  <c r="D6204" i="26"/>
  <c r="F6204" i="26"/>
  <c r="D6124" i="26"/>
  <c r="F6124" i="26"/>
  <c r="D6044" i="26"/>
  <c r="F6044" i="26"/>
  <c r="D6004" i="26"/>
  <c r="F6004" i="26"/>
  <c r="D5984" i="26"/>
  <c r="F5984" i="26"/>
  <c r="D5924" i="26"/>
  <c r="F5924" i="26"/>
  <c r="D5884" i="26"/>
  <c r="F5884" i="26"/>
  <c r="D5864" i="26"/>
  <c r="F5864" i="26"/>
  <c r="D5844" i="26"/>
  <c r="F5844" i="26"/>
  <c r="D5804" i="26"/>
  <c r="F5804" i="26"/>
  <c r="D5784" i="26"/>
  <c r="F5784" i="26"/>
  <c r="D5764" i="26"/>
  <c r="F5764" i="26"/>
  <c r="D5744" i="26"/>
  <c r="F5744" i="26"/>
  <c r="D5704" i="26"/>
  <c r="F5704" i="26"/>
  <c r="D5664" i="26"/>
  <c r="F5664" i="26"/>
  <c r="D5624" i="26"/>
  <c r="F5624" i="26"/>
  <c r="D5564" i="26"/>
  <c r="F5564" i="26"/>
  <c r="D5504" i="26"/>
  <c r="F5504" i="26"/>
  <c r="D5484" i="26"/>
  <c r="F5484" i="26"/>
  <c r="D5464" i="26"/>
  <c r="F5464" i="26"/>
  <c r="D5444" i="26"/>
  <c r="F5444" i="26"/>
  <c r="D5424" i="26"/>
  <c r="F5424" i="26"/>
  <c r="D5404" i="26"/>
  <c r="F5404" i="26"/>
  <c r="D5384" i="26"/>
  <c r="F5384" i="26"/>
  <c r="D5364" i="26"/>
  <c r="F5364" i="26"/>
  <c r="D5344" i="26"/>
  <c r="F5344" i="26"/>
  <c r="D5304" i="26"/>
  <c r="F5304" i="26"/>
  <c r="D5284" i="26"/>
  <c r="F5284" i="26"/>
  <c r="D5264" i="26"/>
  <c r="F5264" i="26"/>
  <c r="D5244" i="26"/>
  <c r="F5244" i="26"/>
  <c r="D5224" i="26"/>
  <c r="F5224" i="26"/>
  <c r="D5204" i="26"/>
  <c r="F5204" i="26"/>
  <c r="F5124" i="26"/>
  <c r="D5124" i="26"/>
  <c r="D5104" i="26"/>
  <c r="F5104" i="26"/>
  <c r="D5084" i="26"/>
  <c r="F5084" i="26"/>
  <c r="D5044" i="26"/>
  <c r="F5044" i="26"/>
  <c r="D5004" i="26"/>
  <c r="F5004" i="26"/>
  <c r="D4964" i="26"/>
  <c r="F4964" i="26"/>
  <c r="D4944" i="26"/>
  <c r="F4944" i="26"/>
  <c r="D4924" i="26"/>
  <c r="F4924" i="26"/>
  <c r="D4904" i="26"/>
  <c r="F4904" i="26"/>
  <c r="D4864" i="26"/>
  <c r="F4864" i="26"/>
  <c r="D4844" i="26"/>
  <c r="F4844" i="26"/>
  <c r="D4824" i="26"/>
  <c r="F4824" i="26"/>
  <c r="D4804" i="26"/>
  <c r="F4804" i="26"/>
  <c r="D4784" i="26"/>
  <c r="F4784" i="26"/>
  <c r="D4764" i="26"/>
  <c r="F4764" i="26"/>
  <c r="D4724" i="26"/>
  <c r="F4724" i="26"/>
  <c r="D4704" i="26"/>
  <c r="F4704" i="26"/>
  <c r="D4684" i="26"/>
  <c r="F4684" i="26"/>
  <c r="D4664" i="26"/>
  <c r="F4664" i="26"/>
  <c r="D4644" i="26"/>
  <c r="F4644" i="26"/>
  <c r="D4604" i="26"/>
  <c r="F4604" i="26"/>
  <c r="D4564" i="26"/>
  <c r="F4564" i="26"/>
  <c r="D4524" i="26"/>
  <c r="F4524" i="26"/>
  <c r="D4504" i="26"/>
  <c r="F4504" i="26"/>
  <c r="D4484" i="26"/>
  <c r="F4484" i="26"/>
  <c r="D4444" i="26"/>
  <c r="F4444" i="26"/>
  <c r="D4424" i="26"/>
  <c r="F4424" i="26"/>
  <c r="D4404" i="26"/>
  <c r="F4404" i="26"/>
  <c r="D4384" i="26"/>
  <c r="F4384" i="26"/>
  <c r="D4364" i="26"/>
  <c r="F4364" i="26"/>
  <c r="D4344" i="26"/>
  <c r="F4344" i="26"/>
  <c r="D4324" i="26"/>
  <c r="F4324" i="26"/>
  <c r="D4304" i="26"/>
  <c r="F4304" i="26"/>
  <c r="D4284" i="26"/>
  <c r="F4284" i="26"/>
  <c r="D4264" i="26"/>
  <c r="F4264" i="26"/>
  <c r="D4244" i="26"/>
  <c r="F4244" i="26"/>
  <c r="D4224" i="26"/>
  <c r="F4224" i="26"/>
  <c r="D4204" i="26"/>
  <c r="F4204" i="26"/>
  <c r="D4184" i="26"/>
  <c r="F4184" i="26"/>
  <c r="D4164" i="26"/>
  <c r="F4164" i="26"/>
  <c r="D4144" i="26"/>
  <c r="F4144" i="26"/>
  <c r="D4124" i="26"/>
  <c r="F4124" i="26"/>
  <c r="D4104" i="26"/>
  <c r="F4104" i="26"/>
  <c r="D4084" i="26"/>
  <c r="F4084" i="26"/>
  <c r="D4064" i="26"/>
  <c r="F4064" i="26"/>
  <c r="D4044" i="26"/>
  <c r="F4044" i="26"/>
  <c r="D4024" i="26"/>
  <c r="F4024" i="26"/>
  <c r="D4004" i="26"/>
  <c r="F4004" i="26"/>
  <c r="D3984" i="26"/>
  <c r="F3984" i="26"/>
  <c r="D3964" i="26"/>
  <c r="F3964" i="26"/>
  <c r="D3944" i="26"/>
  <c r="F3944" i="26"/>
  <c r="D3924" i="26"/>
  <c r="F3924" i="26"/>
  <c r="D3904" i="26"/>
  <c r="F3904" i="26"/>
  <c r="D3884" i="26"/>
  <c r="F3884" i="26"/>
  <c r="D3864" i="26"/>
  <c r="F3864" i="26"/>
  <c r="D3844" i="26"/>
  <c r="F3844" i="26"/>
  <c r="D3824" i="26"/>
  <c r="F3824" i="26"/>
  <c r="D3804" i="26"/>
  <c r="F3804" i="26"/>
  <c r="D3784" i="26"/>
  <c r="F3784" i="26"/>
  <c r="D3764" i="26"/>
  <c r="F3764" i="26"/>
  <c r="D3744" i="26"/>
  <c r="F3744" i="26"/>
  <c r="D3724" i="26"/>
  <c r="F3724" i="26"/>
  <c r="D3704" i="26"/>
  <c r="F3704" i="26"/>
  <c r="D3684" i="26"/>
  <c r="F3684" i="26"/>
  <c r="D3664" i="26"/>
  <c r="F3664" i="26"/>
  <c r="D3644" i="26"/>
  <c r="F3644" i="26"/>
  <c r="D3624" i="26"/>
  <c r="F3624" i="26"/>
  <c r="D3604" i="26"/>
  <c r="F3604" i="26"/>
  <c r="D3584" i="26"/>
  <c r="F3584" i="26"/>
  <c r="D3564" i="26"/>
  <c r="F3564" i="26"/>
  <c r="D3544" i="26"/>
  <c r="F3544" i="26"/>
  <c r="D3524" i="26"/>
  <c r="F3524" i="26"/>
  <c r="D3504" i="26"/>
  <c r="F3504" i="26"/>
  <c r="D3484" i="26"/>
  <c r="F3484" i="26"/>
  <c r="D3464" i="26"/>
  <c r="F3464" i="26"/>
  <c r="D3444" i="26"/>
  <c r="F3444" i="26"/>
  <c r="D3424" i="26"/>
  <c r="F3424" i="26"/>
  <c r="D3404" i="26"/>
  <c r="F3404" i="26"/>
  <c r="D3384" i="26"/>
  <c r="F3384" i="26"/>
  <c r="D3364" i="26"/>
  <c r="F3364" i="26"/>
  <c r="D3344" i="26"/>
  <c r="F3344" i="26"/>
  <c r="F3324" i="26"/>
  <c r="D3324" i="26"/>
  <c r="D3304" i="26"/>
  <c r="F3304" i="26"/>
  <c r="D3284" i="26"/>
  <c r="F3284" i="26"/>
  <c r="D3264" i="26"/>
  <c r="F3264" i="26"/>
  <c r="D3244" i="26"/>
  <c r="F3244" i="26"/>
  <c r="D3224" i="26"/>
  <c r="F3224" i="26"/>
  <c r="D3204" i="26"/>
  <c r="F3204" i="26"/>
  <c r="D3184" i="26"/>
  <c r="F3184" i="26"/>
  <c r="D3164" i="26"/>
  <c r="F3164" i="26"/>
  <c r="D3144" i="26"/>
  <c r="F3144" i="26"/>
  <c r="D3124" i="26"/>
  <c r="F3124" i="26"/>
  <c r="D3104" i="26"/>
  <c r="F3104" i="26"/>
  <c r="D3084" i="26"/>
  <c r="F3084" i="26"/>
  <c r="D3064" i="26"/>
  <c r="F3064" i="26"/>
  <c r="D3044" i="26"/>
  <c r="F3044" i="26"/>
  <c r="D3024" i="26"/>
  <c r="F3024" i="26"/>
  <c r="D3004" i="26"/>
  <c r="F3004" i="26"/>
  <c r="D2984" i="26"/>
  <c r="F2984" i="26"/>
  <c r="D2964" i="26"/>
  <c r="F2964" i="26"/>
  <c r="D2924" i="26"/>
  <c r="F2924" i="26"/>
  <c r="D2864" i="26"/>
  <c r="F2864" i="26"/>
  <c r="D2844" i="26"/>
  <c r="F2844" i="26"/>
  <c r="D2824" i="26"/>
  <c r="F2824" i="26"/>
  <c r="D2804" i="26"/>
  <c r="F2804" i="26"/>
  <c r="D2764" i="26"/>
  <c r="F2764" i="26"/>
  <c r="D2744" i="26"/>
  <c r="F2744" i="26"/>
  <c r="D2724" i="26"/>
  <c r="F2724" i="26"/>
  <c r="D2684" i="26"/>
  <c r="F2684" i="26"/>
  <c r="D2664" i="26"/>
  <c r="F2664" i="26"/>
  <c r="D2644" i="26"/>
  <c r="F2644" i="26"/>
  <c r="D2624" i="26"/>
  <c r="F2624" i="26"/>
  <c r="D2604" i="26"/>
  <c r="F2604" i="26"/>
  <c r="D2544" i="26"/>
  <c r="F2544" i="26"/>
  <c r="D2524" i="26"/>
  <c r="F2524" i="26"/>
  <c r="D2504" i="26"/>
  <c r="F2504" i="26"/>
  <c r="D2484" i="26"/>
  <c r="F2484" i="26"/>
  <c r="D2444" i="26"/>
  <c r="F2444" i="26"/>
  <c r="D2424" i="26"/>
  <c r="F2424" i="26"/>
  <c r="D2404" i="26"/>
  <c r="F2404" i="26"/>
  <c r="D2384" i="26"/>
  <c r="F2384" i="26"/>
  <c r="D2364" i="26"/>
  <c r="F2364" i="26"/>
  <c r="D2344" i="26"/>
  <c r="F2344" i="26"/>
  <c r="D2324" i="26"/>
  <c r="F2324" i="26"/>
  <c r="D2304" i="26"/>
  <c r="F2304" i="26"/>
  <c r="D2284" i="26"/>
  <c r="F2284" i="26"/>
  <c r="D2264" i="26"/>
  <c r="F2264" i="26"/>
  <c r="D2244" i="26"/>
  <c r="F2244" i="26"/>
  <c r="D2224" i="26"/>
  <c r="F2224" i="26"/>
  <c r="D2204" i="26"/>
  <c r="F2204" i="26"/>
  <c r="D2184" i="26"/>
  <c r="F2184" i="26"/>
  <c r="D2164" i="26"/>
  <c r="F2164" i="26"/>
  <c r="D2144" i="26"/>
  <c r="F2144" i="26"/>
  <c r="D2104" i="26"/>
  <c r="F2104" i="26"/>
  <c r="D2064" i="26"/>
  <c r="F2064" i="26"/>
  <c r="D2044" i="26"/>
  <c r="F2044" i="26"/>
  <c r="D2024" i="26"/>
  <c r="F2024" i="26"/>
  <c r="D2004" i="26"/>
  <c r="F2004" i="26"/>
  <c r="D1984" i="26"/>
  <c r="F1984" i="26"/>
  <c r="D1964" i="26"/>
  <c r="F1964" i="26"/>
  <c r="D1924" i="26"/>
  <c r="F1924" i="26"/>
  <c r="D1904" i="26"/>
  <c r="F1904" i="26"/>
  <c r="D1884" i="26"/>
  <c r="F1884" i="26"/>
  <c r="D1844" i="26"/>
  <c r="F1844" i="26"/>
  <c r="D1824" i="26"/>
  <c r="F1824" i="26"/>
  <c r="D1804" i="26"/>
  <c r="F1804" i="26"/>
  <c r="D1784" i="26"/>
  <c r="F1784" i="26"/>
  <c r="D1764" i="26"/>
  <c r="F1764" i="26"/>
  <c r="D1744" i="26"/>
  <c r="F1744" i="26"/>
  <c r="D1724" i="26"/>
  <c r="F1724" i="26"/>
  <c r="D1704" i="26"/>
  <c r="F1704" i="26"/>
  <c r="D1684" i="26"/>
  <c r="F1684" i="26"/>
  <c r="D1664" i="26"/>
  <c r="F1664" i="26"/>
  <c r="D1644" i="26"/>
  <c r="F1644" i="26"/>
  <c r="D1624" i="26"/>
  <c r="F1624" i="26"/>
  <c r="D1564" i="26"/>
  <c r="F1564" i="26"/>
  <c r="D1544" i="26"/>
  <c r="F1544" i="26"/>
  <c r="D1524" i="26"/>
  <c r="F1524" i="26"/>
  <c r="D1504" i="26"/>
  <c r="F1504" i="26"/>
  <c r="D1484" i="26"/>
  <c r="F1484" i="26"/>
  <c r="D1464" i="26"/>
  <c r="F1464" i="26"/>
  <c r="D1444" i="26"/>
  <c r="F1444" i="26"/>
  <c r="D1424" i="26"/>
  <c r="F1424" i="26"/>
  <c r="D1404" i="26"/>
  <c r="F1404" i="26"/>
  <c r="D1364" i="26"/>
  <c r="F1364" i="26"/>
  <c r="D1344" i="26"/>
  <c r="F1344" i="26"/>
  <c r="D1264" i="26"/>
  <c r="F1264" i="26"/>
  <c r="D1244" i="26"/>
  <c r="F1244" i="26"/>
  <c r="D1224" i="26"/>
  <c r="F1224" i="26"/>
  <c r="D1204" i="26"/>
  <c r="F1204" i="26"/>
  <c r="D1184" i="26"/>
  <c r="F1184" i="26"/>
  <c r="D1164" i="26"/>
  <c r="F1164" i="26"/>
  <c r="D1144" i="26"/>
  <c r="F1144" i="26"/>
  <c r="D1124" i="26"/>
  <c r="F1124" i="26"/>
  <c r="D1104" i="26"/>
  <c r="F1104" i="26"/>
  <c r="D1084" i="26"/>
  <c r="F1084" i="26"/>
  <c r="D1064" i="26"/>
  <c r="F1064" i="26"/>
  <c r="D1044" i="26"/>
  <c r="F1044" i="26"/>
  <c r="D1024" i="26"/>
  <c r="F1024" i="26"/>
  <c r="F6638" i="26"/>
  <c r="F5904" i="26"/>
  <c r="F5584" i="26"/>
  <c r="F4984" i="26"/>
  <c r="F2778" i="26"/>
  <c r="F2038" i="26"/>
  <c r="F1304" i="26"/>
  <c r="D6763" i="26"/>
  <c r="F6763" i="26"/>
  <c r="D6743" i="26"/>
  <c r="F6743" i="26"/>
  <c r="D6703" i="26"/>
  <c r="F6703" i="26"/>
  <c r="D6683" i="26"/>
  <c r="F6683" i="26"/>
  <c r="D6663" i="26"/>
  <c r="F6663" i="26"/>
  <c r="D6643" i="26"/>
  <c r="F6643" i="26"/>
  <c r="D6623" i="26"/>
  <c r="F6623" i="26"/>
  <c r="D6603" i="26"/>
  <c r="F6603" i="26"/>
  <c r="D6583" i="26"/>
  <c r="F6583" i="26"/>
  <c r="D6563" i="26"/>
  <c r="F6563" i="26"/>
  <c r="D6523" i="26"/>
  <c r="F6523" i="26"/>
  <c r="D6503" i="26"/>
  <c r="F6503" i="26"/>
  <c r="D6483" i="26"/>
  <c r="F6483" i="26"/>
  <c r="F6463" i="26"/>
  <c r="D6463" i="26"/>
  <c r="D6443" i="26"/>
  <c r="F6443" i="26"/>
  <c r="D6423" i="26"/>
  <c r="F6423" i="26"/>
  <c r="D6403" i="26"/>
  <c r="F6403" i="26"/>
  <c r="D6383" i="26"/>
  <c r="F6383" i="26"/>
  <c r="D6363" i="26"/>
  <c r="F6363" i="26"/>
  <c r="D6343" i="26"/>
  <c r="F6343" i="26"/>
  <c r="D6303" i="26"/>
  <c r="F6303" i="26"/>
  <c r="D6283" i="26"/>
  <c r="F6283" i="26"/>
  <c r="D6263" i="26"/>
  <c r="F6263" i="26"/>
  <c r="D6243" i="26"/>
  <c r="F6243" i="26"/>
  <c r="D6203" i="26"/>
  <c r="F6203" i="26"/>
  <c r="D6183" i="26"/>
  <c r="F6183" i="26"/>
  <c r="D6163" i="26"/>
  <c r="F6163" i="26"/>
  <c r="D6123" i="26"/>
  <c r="F6123" i="26"/>
  <c r="D6103" i="26"/>
  <c r="F6103" i="26"/>
  <c r="F6023" i="26"/>
  <c r="D6023" i="26"/>
  <c r="D6003" i="26"/>
  <c r="F6003" i="26"/>
  <c r="D5983" i="26"/>
  <c r="F5983" i="26"/>
  <c r="D5963" i="26"/>
  <c r="F5963" i="26"/>
  <c r="D5923" i="26"/>
  <c r="F5923" i="26"/>
  <c r="D5903" i="26"/>
  <c r="F5903" i="26"/>
  <c r="D5863" i="26"/>
  <c r="F5863" i="26"/>
  <c r="D5843" i="26"/>
  <c r="F5843" i="26"/>
  <c r="D5823" i="26"/>
  <c r="F5823" i="26"/>
  <c r="D5703" i="26"/>
  <c r="F5703" i="26"/>
  <c r="D5603" i="26"/>
  <c r="F5603" i="26"/>
  <c r="D5563" i="26"/>
  <c r="F5563" i="26"/>
  <c r="D5443" i="26"/>
  <c r="F5443" i="26"/>
  <c r="D5423" i="26"/>
  <c r="F5423" i="26"/>
  <c r="D5363" i="26"/>
  <c r="F5363" i="26"/>
  <c r="D5343" i="26"/>
  <c r="F5343" i="26"/>
  <c r="F5323" i="26"/>
  <c r="D5323" i="26"/>
  <c r="D5223" i="26"/>
  <c r="F5223" i="26"/>
  <c r="F5203" i="26"/>
  <c r="D5203" i="26"/>
  <c r="D5163" i="26"/>
  <c r="F5163" i="26"/>
  <c r="D5103" i="26"/>
  <c r="F5103" i="26"/>
  <c r="D5003" i="26"/>
  <c r="F5003" i="26"/>
  <c r="D4983" i="26"/>
  <c r="F4983" i="26"/>
  <c r="D4943" i="26"/>
  <c r="F4943" i="26"/>
  <c r="F4903" i="26"/>
  <c r="D4903" i="26"/>
  <c r="D4863" i="26"/>
  <c r="F4863" i="26"/>
  <c r="D4803" i="26"/>
  <c r="F4803" i="26"/>
  <c r="D4603" i="26"/>
  <c r="F4603" i="26"/>
  <c r="D4523" i="26"/>
  <c r="F4523" i="26"/>
  <c r="D4503" i="26"/>
  <c r="F4503" i="26"/>
  <c r="D4463" i="26"/>
  <c r="F4463" i="26"/>
  <c r="D4443" i="26"/>
  <c r="F4443" i="26"/>
  <c r="D4423" i="26"/>
  <c r="F4423" i="26"/>
  <c r="D4383" i="26"/>
  <c r="F4383" i="26"/>
  <c r="D4363" i="26"/>
  <c r="F4363" i="26"/>
  <c r="D4343" i="26"/>
  <c r="F4343" i="26"/>
  <c r="D4323" i="26"/>
  <c r="F4323" i="26"/>
  <c r="D4303" i="26"/>
  <c r="F4303" i="26"/>
  <c r="D4243" i="26"/>
  <c r="F4243" i="26"/>
  <c r="D4223" i="26"/>
  <c r="F4223" i="26"/>
  <c r="F4203" i="26"/>
  <c r="D4203" i="26"/>
  <c r="D4183" i="26"/>
  <c r="F4183" i="26"/>
  <c r="D4163" i="26"/>
  <c r="F4163" i="26"/>
  <c r="D4143" i="26"/>
  <c r="F4143" i="26"/>
  <c r="D4103" i="26"/>
  <c r="F4103" i="26"/>
  <c r="D4063" i="26"/>
  <c r="F4063" i="26"/>
  <c r="D4043" i="26"/>
  <c r="F4043" i="26"/>
  <c r="D4003" i="26"/>
  <c r="F4003" i="26"/>
  <c r="D3983" i="26"/>
  <c r="F3983" i="26"/>
  <c r="D3963" i="26"/>
  <c r="F3963" i="26"/>
  <c r="D3923" i="26"/>
  <c r="F3923" i="26"/>
  <c r="D3863" i="26"/>
  <c r="F3863" i="26"/>
  <c r="D3843" i="26"/>
  <c r="F3843" i="26"/>
  <c r="D3823" i="26"/>
  <c r="F3823" i="26"/>
  <c r="F3803" i="26"/>
  <c r="D3803" i="26"/>
  <c r="D3783" i="26"/>
  <c r="F3783" i="26"/>
  <c r="D3763" i="26"/>
  <c r="F3763" i="26"/>
  <c r="D3743" i="26"/>
  <c r="F3743" i="26"/>
  <c r="D3723" i="26"/>
  <c r="F3723" i="26"/>
  <c r="D3683" i="26"/>
  <c r="F3683" i="26"/>
  <c r="D3663" i="26"/>
  <c r="F3663" i="26"/>
  <c r="D3623" i="26"/>
  <c r="F3623" i="26"/>
  <c r="D3603" i="26"/>
  <c r="F3603" i="26"/>
  <c r="F3583" i="26"/>
  <c r="D3583" i="26"/>
  <c r="D3563" i="26"/>
  <c r="F3563" i="26"/>
  <c r="D3543" i="26"/>
  <c r="F3543" i="26"/>
  <c r="D3523" i="26"/>
  <c r="F3523" i="26"/>
  <c r="D3503" i="26"/>
  <c r="F3503" i="26"/>
  <c r="D3483" i="26"/>
  <c r="F3483" i="26"/>
  <c r="D3463" i="26"/>
  <c r="F3463" i="26"/>
  <c r="D3423" i="26"/>
  <c r="F3423" i="26"/>
  <c r="D3403" i="26"/>
  <c r="F3403" i="26"/>
  <c r="D3383" i="26"/>
  <c r="F3383" i="26"/>
  <c r="D3363" i="26"/>
  <c r="F3363" i="26"/>
  <c r="D3323" i="26"/>
  <c r="F3323" i="26"/>
  <c r="D3303" i="26"/>
  <c r="F3303" i="26"/>
  <c r="D3283" i="26"/>
  <c r="F3283" i="26"/>
  <c r="D3263" i="26"/>
  <c r="F3263" i="26"/>
  <c r="D3203" i="26"/>
  <c r="F3203" i="26"/>
  <c r="D3183" i="26"/>
  <c r="F3183" i="26"/>
  <c r="D3103" i="26"/>
  <c r="F3103" i="26"/>
  <c r="D3083" i="26"/>
  <c r="F3083" i="26"/>
  <c r="D3003" i="26"/>
  <c r="F3003" i="26"/>
  <c r="D2983" i="26"/>
  <c r="F2983" i="26"/>
  <c r="D2963" i="26"/>
  <c r="F2963" i="26"/>
  <c r="D2923" i="26"/>
  <c r="F2923" i="26"/>
  <c r="D2903" i="26"/>
  <c r="F2903" i="26"/>
  <c r="D2883" i="26"/>
  <c r="F2883" i="26"/>
  <c r="D2863" i="26"/>
  <c r="F2863" i="26"/>
  <c r="D2843" i="26"/>
  <c r="F2843" i="26"/>
  <c r="D2823" i="26"/>
  <c r="F2823" i="26"/>
  <c r="D2803" i="26"/>
  <c r="F2803" i="26"/>
  <c r="D2783" i="26"/>
  <c r="F2783" i="26"/>
  <c r="D2763" i="26"/>
  <c r="F2763" i="26"/>
  <c r="D2743" i="26"/>
  <c r="F2743" i="26"/>
  <c r="D2723" i="26"/>
  <c r="F2723" i="26"/>
  <c r="D2703" i="26"/>
  <c r="F2703" i="26"/>
  <c r="D2683" i="26"/>
  <c r="F2683" i="26"/>
  <c r="D2663" i="26"/>
  <c r="F2663" i="26"/>
  <c r="D2643" i="26"/>
  <c r="F2643" i="26"/>
  <c r="F2603" i="26"/>
  <c r="D2603" i="26"/>
  <c r="D2523" i="26"/>
  <c r="F2523" i="26"/>
  <c r="D2463" i="26"/>
  <c r="F2463" i="26"/>
  <c r="D2443" i="26"/>
  <c r="F2443" i="26"/>
  <c r="D2403" i="26"/>
  <c r="F2403" i="26"/>
  <c r="D2363" i="26"/>
  <c r="F2363" i="26"/>
  <c r="F2323" i="26"/>
  <c r="D2323" i="26"/>
  <c r="D2303" i="26"/>
  <c r="F2303" i="26"/>
  <c r="D2263" i="26"/>
  <c r="F2263" i="26"/>
  <c r="D2243" i="26"/>
  <c r="F2243" i="26"/>
  <c r="D2223" i="26"/>
  <c r="F2223" i="26"/>
  <c r="D2203" i="26"/>
  <c r="F2203" i="26"/>
  <c r="D2163" i="26"/>
  <c r="F2163" i="26"/>
  <c r="D2143" i="26"/>
  <c r="F2143" i="26"/>
  <c r="D2063" i="26"/>
  <c r="F2063" i="26"/>
  <c r="D2043" i="26"/>
  <c r="F2043" i="26"/>
  <c r="D2023" i="26"/>
  <c r="F2023" i="26"/>
  <c r="D2003" i="26"/>
  <c r="F2003" i="26"/>
  <c r="D1983" i="26"/>
  <c r="F1983" i="26"/>
  <c r="D1963" i="26"/>
  <c r="F1963" i="26"/>
  <c r="D1923" i="26"/>
  <c r="F1923" i="26"/>
  <c r="D1883" i="26"/>
  <c r="F1883" i="26"/>
  <c r="D1863" i="26"/>
  <c r="F1863" i="26"/>
  <c r="D1843" i="26"/>
  <c r="F1843" i="26"/>
  <c r="D1823" i="26"/>
  <c r="F1823" i="26"/>
  <c r="D1803" i="26"/>
  <c r="F1803" i="26"/>
  <c r="D1783" i="26"/>
  <c r="F1783" i="26"/>
  <c r="D1743" i="26"/>
  <c r="F1743" i="26"/>
  <c r="D1723" i="26"/>
  <c r="F1723" i="26"/>
  <c r="D1683" i="26"/>
  <c r="F1683" i="26"/>
  <c r="D1643" i="26"/>
  <c r="F1643" i="26"/>
  <c r="D1623" i="26"/>
  <c r="F1623" i="26"/>
  <c r="D1583" i="26"/>
  <c r="F1583" i="26"/>
  <c r="D1563" i="26"/>
  <c r="F1563" i="26"/>
  <c r="D1543" i="26"/>
  <c r="F1543" i="26"/>
  <c r="D1523" i="26"/>
  <c r="F1523" i="26"/>
  <c r="D1503" i="26"/>
  <c r="F1503" i="26"/>
  <c r="D1483" i="26"/>
  <c r="F1483" i="26"/>
  <c r="D1463" i="26"/>
  <c r="F1463" i="26"/>
  <c r="D1443" i="26"/>
  <c r="F1443" i="26"/>
  <c r="D1423" i="26"/>
  <c r="F1423" i="26"/>
  <c r="D1363" i="26"/>
  <c r="F1363" i="26"/>
  <c r="D1343" i="26"/>
  <c r="F1343" i="26"/>
  <c r="D1323" i="26"/>
  <c r="F1323" i="26"/>
  <c r="D1303" i="26"/>
  <c r="F1303" i="26"/>
  <c r="D1243" i="26"/>
  <c r="F1243" i="26"/>
  <c r="D1223" i="26"/>
  <c r="F1223" i="26"/>
  <c r="D1203" i="26"/>
  <c r="F1203" i="26"/>
  <c r="D1183" i="26"/>
  <c r="F1183" i="26"/>
  <c r="D1163" i="26"/>
  <c r="F1163" i="26"/>
  <c r="D1143" i="26"/>
  <c r="F1143" i="26"/>
  <c r="D1103" i="26"/>
  <c r="F1103" i="26"/>
  <c r="D1083" i="26"/>
  <c r="F1083" i="26"/>
  <c r="D1063" i="26"/>
  <c r="F1063" i="26"/>
  <c r="D1043" i="26"/>
  <c r="F1043" i="26"/>
  <c r="D1023" i="26"/>
  <c r="F1023" i="26"/>
  <c r="D4817" i="26"/>
  <c r="D3957" i="26"/>
  <c r="D3343" i="26"/>
  <c r="F6697" i="26"/>
  <c r="F6637" i="26"/>
  <c r="F6536" i="26"/>
  <c r="F6084" i="26"/>
  <c r="F5978" i="26"/>
  <c r="F5583" i="26"/>
  <c r="F5318" i="26"/>
  <c r="F5258" i="26"/>
  <c r="F4977" i="26"/>
  <c r="F4877" i="26"/>
  <c r="F4578" i="26"/>
  <c r="F4464" i="26"/>
  <c r="F4403" i="26"/>
  <c r="F4336" i="26"/>
  <c r="F4263" i="26"/>
  <c r="F2917" i="26"/>
  <c r="F2623" i="26"/>
  <c r="F2124" i="26"/>
  <c r="D6782" i="26"/>
  <c r="F6782" i="26"/>
  <c r="D6762" i="26"/>
  <c r="F6762" i="26"/>
  <c r="D6702" i="26"/>
  <c r="F6702" i="26"/>
  <c r="D6622" i="26"/>
  <c r="F6622" i="26"/>
  <c r="D6602" i="26"/>
  <c r="F6602" i="26"/>
  <c r="D6582" i="26"/>
  <c r="F6582" i="26"/>
  <c r="D6502" i="26"/>
  <c r="F6502" i="26"/>
  <c r="D6422" i="26"/>
  <c r="F6422" i="26"/>
  <c r="D6382" i="26"/>
  <c r="F6382" i="26"/>
  <c r="D6362" i="26"/>
  <c r="F6362" i="26"/>
  <c r="D6282" i="26"/>
  <c r="F6282" i="26"/>
  <c r="D6222" i="26"/>
  <c r="F6222" i="26"/>
  <c r="D6202" i="26"/>
  <c r="F6202" i="26"/>
  <c r="D6162" i="26"/>
  <c r="F6162" i="26"/>
  <c r="D6122" i="26"/>
  <c r="F6122" i="26"/>
  <c r="D6082" i="26"/>
  <c r="F6082" i="26"/>
  <c r="D6042" i="26"/>
  <c r="F6042" i="26"/>
  <c r="D6002" i="26"/>
  <c r="F6002" i="26"/>
  <c r="D5982" i="26"/>
  <c r="F5982" i="26"/>
  <c r="D5962" i="26"/>
  <c r="F5962" i="26"/>
  <c r="D5942" i="26"/>
  <c r="F5942" i="26"/>
  <c r="D5922" i="26"/>
  <c r="F5922" i="26"/>
  <c r="D5862" i="26"/>
  <c r="F5862" i="26"/>
  <c r="D5842" i="26"/>
  <c r="F5842" i="26"/>
  <c r="D5802" i="26"/>
  <c r="F5802" i="26"/>
  <c r="D5762" i="26"/>
  <c r="F5762" i="26"/>
  <c r="D5742" i="26"/>
  <c r="F5742" i="26"/>
  <c r="D5682" i="26"/>
  <c r="F5682" i="26"/>
  <c r="D5642" i="26"/>
  <c r="F5642" i="26"/>
  <c r="D5602" i="26"/>
  <c r="F5602" i="26"/>
  <c r="D5562" i="26"/>
  <c r="F5562" i="26"/>
  <c r="D5542" i="26"/>
  <c r="F5542" i="26"/>
  <c r="D5462" i="26"/>
  <c r="F5462" i="26"/>
  <c r="D5442" i="26"/>
  <c r="F5442" i="26"/>
  <c r="D5382" i="26"/>
  <c r="F5382" i="26"/>
  <c r="D5362" i="26"/>
  <c r="F5362" i="26"/>
  <c r="D5342" i="26"/>
  <c r="F5342" i="26"/>
  <c r="D5322" i="26"/>
  <c r="F5322" i="26"/>
  <c r="D5302" i="26"/>
  <c r="F5302" i="26"/>
  <c r="D5282" i="26"/>
  <c r="F5282" i="26"/>
  <c r="D5222" i="26"/>
  <c r="F5222" i="26"/>
  <c r="F5202" i="26"/>
  <c r="D5202" i="26"/>
  <c r="D5182" i="26"/>
  <c r="F5182" i="26"/>
  <c r="D5162" i="26"/>
  <c r="F5162" i="26"/>
  <c r="D5122" i="26"/>
  <c r="F5122" i="26"/>
  <c r="D5082" i="26"/>
  <c r="F5082" i="26"/>
  <c r="D5042" i="26"/>
  <c r="F5042" i="26"/>
  <c r="D5022" i="26"/>
  <c r="F5022" i="26"/>
  <c r="D5002" i="26"/>
  <c r="F5002" i="26"/>
  <c r="D4982" i="26"/>
  <c r="F4982" i="26"/>
  <c r="D4962" i="26"/>
  <c r="F4962" i="26"/>
  <c r="D4942" i="26"/>
  <c r="F4942" i="26"/>
  <c r="D4902" i="26"/>
  <c r="F4902" i="26"/>
  <c r="D4882" i="26"/>
  <c r="F4882" i="26"/>
  <c r="D4782" i="26"/>
  <c r="F4782" i="26"/>
  <c r="D4742" i="26"/>
  <c r="F4742" i="26"/>
  <c r="D4722" i="26"/>
  <c r="F4722" i="26"/>
  <c r="D4702" i="26"/>
  <c r="F4702" i="26"/>
  <c r="D4682" i="26"/>
  <c r="F4682" i="26"/>
  <c r="D4662" i="26"/>
  <c r="F4662" i="26"/>
  <c r="D4622" i="26"/>
  <c r="F4622" i="26"/>
  <c r="D4602" i="26"/>
  <c r="F4602" i="26"/>
  <c r="D4582" i="26"/>
  <c r="F4582" i="26"/>
  <c r="D4542" i="26"/>
  <c r="F4542" i="26"/>
  <c r="D4482" i="26"/>
  <c r="F4482" i="26"/>
  <c r="D4362" i="26"/>
  <c r="F4362" i="26"/>
  <c r="D4342" i="26"/>
  <c r="F4342" i="26"/>
  <c r="D4322" i="26"/>
  <c r="F4322" i="26"/>
  <c r="D4302" i="26"/>
  <c r="F4302" i="26"/>
  <c r="D4242" i="26"/>
  <c r="F4242" i="26"/>
  <c r="D4222" i="26"/>
  <c r="F4222" i="26"/>
  <c r="D4202" i="26"/>
  <c r="F4202" i="26"/>
  <c r="D4182" i="26"/>
  <c r="F4182" i="26"/>
  <c r="D4162" i="26"/>
  <c r="F4162" i="26"/>
  <c r="D4122" i="26"/>
  <c r="F4122" i="26"/>
  <c r="D4062" i="26"/>
  <c r="F4062" i="26"/>
  <c r="D4042" i="26"/>
  <c r="F4042" i="26"/>
  <c r="D3982" i="26"/>
  <c r="F3982" i="26"/>
  <c r="D3962" i="26"/>
  <c r="F3962" i="26"/>
  <c r="D3942" i="26"/>
  <c r="F3942" i="26"/>
  <c r="D3922" i="26"/>
  <c r="F3922" i="26"/>
  <c r="D3882" i="26"/>
  <c r="F3882" i="26"/>
  <c r="D3862" i="26"/>
  <c r="F3862" i="26"/>
  <c r="D3842" i="26"/>
  <c r="F3842" i="26"/>
  <c r="D3822" i="26"/>
  <c r="F3822" i="26"/>
  <c r="D3782" i="26"/>
  <c r="F3782" i="26"/>
  <c r="D3762" i="26"/>
  <c r="F3762" i="26"/>
  <c r="D3742" i="26"/>
  <c r="F3742" i="26"/>
  <c r="D3722" i="26"/>
  <c r="F3722" i="26"/>
  <c r="D3682" i="26"/>
  <c r="F3682" i="26"/>
  <c r="D3662" i="26"/>
  <c r="F3662" i="26"/>
  <c r="D3642" i="26"/>
  <c r="F3642" i="26"/>
  <c r="D3622" i="26"/>
  <c r="F3622" i="26"/>
  <c r="D3602" i="26"/>
  <c r="F3602" i="26"/>
  <c r="D3582" i="26"/>
  <c r="F3582" i="26"/>
  <c r="D3542" i="26"/>
  <c r="F3542" i="26"/>
  <c r="D3502" i="26"/>
  <c r="F3502" i="26"/>
  <c r="D3482" i="26"/>
  <c r="F3482" i="26"/>
  <c r="D3462" i="26"/>
  <c r="F3462" i="26"/>
  <c r="D3442" i="26"/>
  <c r="F3442" i="26"/>
  <c r="D3422" i="26"/>
  <c r="F3422" i="26"/>
  <c r="D3402" i="26"/>
  <c r="F3402" i="26"/>
  <c r="D3382" i="26"/>
  <c r="F3382" i="26"/>
  <c r="D3362" i="26"/>
  <c r="F3362" i="26"/>
  <c r="D3342" i="26"/>
  <c r="F3342" i="26"/>
  <c r="D3322" i="26"/>
  <c r="F3322" i="26"/>
  <c r="D3302" i="26"/>
  <c r="F3302" i="26"/>
  <c r="D3282" i="26"/>
  <c r="F3282" i="26"/>
  <c r="D3222" i="26"/>
  <c r="F3222" i="26"/>
  <c r="D3202" i="26"/>
  <c r="F3202" i="26"/>
  <c r="D3182" i="26"/>
  <c r="F3182" i="26"/>
  <c r="D3122" i="26"/>
  <c r="F3122" i="26"/>
  <c r="D3102" i="26"/>
  <c r="F3102" i="26"/>
  <c r="D3082" i="26"/>
  <c r="F3082" i="26"/>
  <c r="D3062" i="26"/>
  <c r="F3062" i="26"/>
  <c r="D3042" i="26"/>
  <c r="F3042" i="26"/>
  <c r="D3022" i="26"/>
  <c r="F3022" i="26"/>
  <c r="D3002" i="26"/>
  <c r="F3002" i="26"/>
  <c r="D2982" i="26"/>
  <c r="F2982" i="26"/>
  <c r="D2962" i="26"/>
  <c r="F2962" i="26"/>
  <c r="D2942" i="26"/>
  <c r="F2942" i="26"/>
  <c r="D2922" i="26"/>
  <c r="F2922" i="26"/>
  <c r="D2882" i="26"/>
  <c r="F2882" i="26"/>
  <c r="D2862" i="26"/>
  <c r="F2862" i="26"/>
  <c r="D2842" i="26"/>
  <c r="F2842" i="26"/>
  <c r="D2822" i="26"/>
  <c r="F2822" i="26"/>
  <c r="D2802" i="26"/>
  <c r="F2802" i="26"/>
  <c r="D2782" i="26"/>
  <c r="F2782" i="26"/>
  <c r="D2762" i="26"/>
  <c r="F2762" i="26"/>
  <c r="D2722" i="26"/>
  <c r="F2722" i="26"/>
  <c r="D2682" i="26"/>
  <c r="F2682" i="26"/>
  <c r="D2662" i="26"/>
  <c r="F2662" i="26"/>
  <c r="D2602" i="26"/>
  <c r="F2602" i="26"/>
  <c r="D2582" i="26"/>
  <c r="F2582" i="26"/>
  <c r="D2542" i="26"/>
  <c r="F2542" i="26"/>
  <c r="D2522" i="26"/>
  <c r="F2522" i="26"/>
  <c r="D2502" i="26"/>
  <c r="F2502" i="26"/>
  <c r="D2462" i="26"/>
  <c r="F2462" i="26"/>
  <c r="D2442" i="26"/>
  <c r="F2442" i="26"/>
  <c r="D2402" i="26"/>
  <c r="F2402" i="26"/>
  <c r="D2382" i="26"/>
  <c r="F2382" i="26"/>
  <c r="D2322" i="26"/>
  <c r="F2322" i="26"/>
  <c r="D2282" i="26"/>
  <c r="F2282" i="26"/>
  <c r="D2262" i="26"/>
  <c r="F2262" i="26"/>
  <c r="D2242" i="26"/>
  <c r="F2242" i="26"/>
  <c r="D2222" i="26"/>
  <c r="F2222" i="26"/>
  <c r="D2202" i="26"/>
  <c r="F2202" i="26"/>
  <c r="D2162" i="26"/>
  <c r="F2162" i="26"/>
  <c r="D2142" i="26"/>
  <c r="F2142" i="26"/>
  <c r="D2122" i="26"/>
  <c r="F2122" i="26"/>
  <c r="D2102" i="26"/>
  <c r="F2102" i="26"/>
  <c r="D2062" i="26"/>
  <c r="F2062" i="26"/>
  <c r="D2042" i="26"/>
  <c r="F2042" i="26"/>
  <c r="D2022" i="26"/>
  <c r="F2022" i="26"/>
  <c r="D2002" i="26"/>
  <c r="F2002" i="26"/>
  <c r="D1982" i="26"/>
  <c r="F1982" i="26"/>
  <c r="D1962" i="26"/>
  <c r="F1962" i="26"/>
  <c r="D1922" i="26"/>
  <c r="F1922" i="26"/>
  <c r="D1902" i="26"/>
  <c r="F1902" i="26"/>
  <c r="D1882" i="26"/>
  <c r="F1882" i="26"/>
  <c r="D1862" i="26"/>
  <c r="F1862" i="26"/>
  <c r="D1802" i="26"/>
  <c r="F1802" i="26"/>
  <c r="D1782" i="26"/>
  <c r="F1782" i="26"/>
  <c r="D1762" i="26"/>
  <c r="F1762" i="26"/>
  <c r="D1722" i="26"/>
  <c r="F1722" i="26"/>
  <c r="D1702" i="26"/>
  <c r="F1702" i="26"/>
  <c r="D1682" i="26"/>
  <c r="F1682" i="26"/>
  <c r="D1642" i="26"/>
  <c r="F1642" i="26"/>
  <c r="D1622" i="26"/>
  <c r="F1622" i="26"/>
  <c r="D1602" i="26"/>
  <c r="F1602" i="26"/>
  <c r="D1582" i="26"/>
  <c r="F1582" i="26"/>
  <c r="D1542" i="26"/>
  <c r="F1542" i="26"/>
  <c r="D1522" i="26"/>
  <c r="F1522" i="26"/>
  <c r="D1502" i="26"/>
  <c r="F1502" i="26"/>
  <c r="D1482" i="26"/>
  <c r="F1482" i="26"/>
  <c r="D1462" i="26"/>
  <c r="F1462" i="26"/>
  <c r="D1442" i="26"/>
  <c r="F1442" i="26"/>
  <c r="D1422" i="26"/>
  <c r="F1422" i="26"/>
  <c r="D1402" i="26"/>
  <c r="F1402" i="26"/>
  <c r="D1382" i="26"/>
  <c r="F1382" i="26"/>
  <c r="D1362" i="26"/>
  <c r="F1362" i="26"/>
  <c r="D1342" i="26"/>
  <c r="F1342" i="26"/>
  <c r="D1322" i="26"/>
  <c r="F1322" i="26"/>
  <c r="D1302" i="26"/>
  <c r="F1302" i="26"/>
  <c r="D1282" i="26"/>
  <c r="F1282" i="26"/>
  <c r="D1242" i="26"/>
  <c r="F1242" i="26"/>
  <c r="D1222" i="26"/>
  <c r="F1222" i="26"/>
  <c r="D1202" i="26"/>
  <c r="F1202" i="26"/>
  <c r="D1182" i="26"/>
  <c r="F1182" i="26"/>
  <c r="D1162" i="26"/>
  <c r="F1162" i="26"/>
  <c r="D1142" i="26"/>
  <c r="F1142" i="26"/>
  <c r="D1122" i="26"/>
  <c r="F1122" i="26"/>
  <c r="D1102" i="26"/>
  <c r="F1102" i="26"/>
  <c r="D1082" i="26"/>
  <c r="F1082" i="26"/>
  <c r="D1062" i="26"/>
  <c r="F1062" i="26"/>
  <c r="D1042" i="26"/>
  <c r="F1042" i="26"/>
  <c r="D1022" i="26"/>
  <c r="F1022" i="26"/>
  <c r="F6696" i="26"/>
  <c r="F6535" i="26"/>
  <c r="F5944" i="26"/>
  <c r="F5824" i="26"/>
  <c r="F5782" i="26"/>
  <c r="F5737" i="26"/>
  <c r="F5696" i="26"/>
  <c r="F5582" i="26"/>
  <c r="F5544" i="26"/>
  <c r="F5458" i="26"/>
  <c r="F5144" i="26"/>
  <c r="F4976" i="26"/>
  <c r="F4922" i="26"/>
  <c r="F4822" i="26"/>
  <c r="F4762" i="26"/>
  <c r="F4638" i="26"/>
  <c r="F4577" i="26"/>
  <c r="F4462" i="26"/>
  <c r="F4402" i="26"/>
  <c r="F4262" i="26"/>
  <c r="F4197" i="26"/>
  <c r="F3395" i="26"/>
  <c r="F3318" i="26"/>
  <c r="F3258" i="26"/>
  <c r="F3123" i="26"/>
  <c r="F2757" i="26"/>
  <c r="F2622" i="26"/>
  <c r="F2455" i="26"/>
  <c r="F2376" i="26"/>
  <c r="F2298" i="26"/>
  <c r="F2217" i="26"/>
  <c r="F2123" i="26"/>
  <c r="F2018" i="26"/>
  <c r="F1796" i="26"/>
  <c r="F1663" i="26"/>
  <c r="F1177" i="26"/>
  <c r="F1056" i="26"/>
  <c r="F1284" i="26"/>
  <c r="D4598" i="26"/>
  <c r="F4598" i="26"/>
  <c r="D4478" i="26"/>
  <c r="F4478" i="26"/>
  <c r="D4458" i="26"/>
  <c r="F4458" i="26"/>
  <c r="D3837" i="26"/>
  <c r="F3837" i="26"/>
  <c r="D4558" i="26"/>
  <c r="F4558" i="26"/>
  <c r="D4438" i="26"/>
  <c r="F4438" i="26"/>
  <c r="D3817" i="26"/>
  <c r="F3817" i="26"/>
  <c r="F1384" i="26"/>
  <c r="D1536" i="26"/>
  <c r="F1536" i="26"/>
  <c r="D4418" i="26"/>
  <c r="F4418" i="26"/>
  <c r="D6096" i="26"/>
  <c r="F6096" i="26"/>
  <c r="D5856" i="26"/>
  <c r="F5856" i="26"/>
  <c r="D5776" i="26"/>
  <c r="F5776" i="26"/>
  <c r="D5636" i="26"/>
  <c r="F5636" i="26"/>
  <c r="D5596" i="26"/>
  <c r="F5596" i="26"/>
  <c r="D5556" i="26"/>
  <c r="F5556" i="26"/>
  <c r="D5456" i="26"/>
  <c r="F5456" i="26"/>
  <c r="D5376" i="26"/>
  <c r="F5376" i="26"/>
  <c r="D5336" i="26"/>
  <c r="F5336" i="26"/>
  <c r="D5316" i="26"/>
  <c r="F5316" i="26"/>
  <c r="D5256" i="26"/>
  <c r="F5256" i="26"/>
  <c r="D5216" i="26"/>
  <c r="F5216" i="26"/>
  <c r="D5196" i="26"/>
  <c r="F5196" i="26"/>
  <c r="D5176" i="26"/>
  <c r="F5176" i="26"/>
  <c r="D5136" i="26"/>
  <c r="F5136" i="26"/>
  <c r="D5076" i="26"/>
  <c r="F5076" i="26"/>
  <c r="D4956" i="26"/>
  <c r="F4956" i="26"/>
  <c r="D4856" i="26"/>
  <c r="F4856" i="26"/>
  <c r="D4756" i="26"/>
  <c r="F4756" i="26"/>
  <c r="D4656" i="26"/>
  <c r="F4656" i="26"/>
  <c r="D4616" i="26"/>
  <c r="F4616" i="26"/>
  <c r="D4536" i="26"/>
  <c r="F4536" i="26"/>
  <c r="D4476" i="26"/>
  <c r="F4476" i="26"/>
  <c r="D4456" i="26"/>
  <c r="F4456" i="26"/>
  <c r="D4436" i="26"/>
  <c r="F4436" i="26"/>
  <c r="D4356" i="26"/>
  <c r="F4356" i="26"/>
  <c r="D4256" i="26"/>
  <c r="F4256" i="26"/>
  <c r="D4216" i="26"/>
  <c r="F4216" i="26"/>
  <c r="D4096" i="26"/>
  <c r="F4096" i="26"/>
  <c r="D3996" i="26"/>
  <c r="F3996" i="26"/>
  <c r="D3956" i="26"/>
  <c r="F3956" i="26"/>
  <c r="D3896" i="26"/>
  <c r="F3896" i="26"/>
  <c r="D3656" i="26"/>
  <c r="F3656" i="26"/>
  <c r="D3576" i="26"/>
  <c r="F3576" i="26"/>
  <c r="D3316" i="26"/>
  <c r="F3316" i="26"/>
  <c r="D3236" i="26"/>
  <c r="F3236" i="26"/>
  <c r="D3056" i="26"/>
  <c r="F3056" i="26"/>
  <c r="D2496" i="26"/>
  <c r="F2496" i="26"/>
  <c r="D2456" i="26"/>
  <c r="F2456" i="26"/>
  <c r="D2436" i="26"/>
  <c r="F2436" i="26"/>
  <c r="D2396" i="26"/>
  <c r="F2396" i="26"/>
  <c r="D2316" i="26"/>
  <c r="F2316" i="26"/>
  <c r="D2176" i="26"/>
  <c r="F2176" i="26"/>
  <c r="D1776" i="26"/>
  <c r="F1776" i="26"/>
  <c r="D1516" i="26"/>
  <c r="F1516" i="26"/>
  <c r="D1496" i="26"/>
  <c r="F1496" i="26"/>
  <c r="D1476" i="26"/>
  <c r="F1476" i="26"/>
  <c r="D1456" i="26"/>
  <c r="F1456" i="26"/>
  <c r="D1436" i="26"/>
  <c r="F1436" i="26"/>
  <c r="D1416" i="26"/>
  <c r="F1416" i="26"/>
  <c r="D1396" i="26"/>
  <c r="F1396" i="26"/>
  <c r="D1376" i="26"/>
  <c r="F1376" i="26"/>
  <c r="D1356" i="26"/>
  <c r="F1356" i="26"/>
  <c r="D1336" i="26"/>
  <c r="F1336" i="26"/>
  <c r="D1316" i="26"/>
  <c r="F1316" i="26"/>
  <c r="D1296" i="26"/>
  <c r="F1296" i="26"/>
  <c r="D1276" i="26"/>
  <c r="F1276" i="26"/>
  <c r="D1256" i="26"/>
  <c r="F1256" i="26"/>
  <c r="D1236" i="26"/>
  <c r="F1236" i="26"/>
  <c r="D1176" i="26"/>
  <c r="F1176" i="26"/>
  <c r="D1156" i="26"/>
  <c r="F1156" i="26"/>
  <c r="D1136" i="26"/>
  <c r="F1136" i="26"/>
  <c r="D1116" i="26"/>
  <c r="F1116" i="26"/>
  <c r="D1096" i="26"/>
  <c r="F1096" i="26"/>
  <c r="D1076" i="26"/>
  <c r="F1076" i="26"/>
  <c r="D1036" i="26"/>
  <c r="F1036" i="26"/>
  <c r="D1016" i="26"/>
  <c r="F1016" i="26"/>
  <c r="D5817" i="26"/>
  <c r="F6758" i="26"/>
  <c r="F6658" i="26"/>
  <c r="F6457" i="26"/>
  <c r="F6104" i="26"/>
  <c r="F6036" i="26"/>
  <c r="F5964" i="26"/>
  <c r="F5724" i="26"/>
  <c r="F5683" i="26"/>
  <c r="F5296" i="26"/>
  <c r="F4744" i="26"/>
  <c r="F3443" i="26"/>
  <c r="F3377" i="26"/>
  <c r="F3036" i="26"/>
  <c r="F2957" i="26"/>
  <c r="F2904" i="26"/>
  <c r="F2083" i="26"/>
  <c r="F1756" i="26"/>
  <c r="F1383" i="26"/>
  <c r="D6755" i="26"/>
  <c r="F6755" i="26"/>
  <c r="D6675" i="26"/>
  <c r="F6675" i="26"/>
  <c r="D6635" i="26"/>
  <c r="F6635" i="26"/>
  <c r="D6615" i="26"/>
  <c r="F6615" i="26"/>
  <c r="D6555" i="26"/>
  <c r="F6555" i="26"/>
  <c r="D6475" i="26"/>
  <c r="F6475" i="26"/>
  <c r="D6455" i="26"/>
  <c r="F6455" i="26"/>
  <c r="D6415" i="26"/>
  <c r="F6415" i="26"/>
  <c r="D6335" i="26"/>
  <c r="F6335" i="26"/>
  <c r="D6255" i="26"/>
  <c r="F6255" i="26"/>
  <c r="D6235" i="26"/>
  <c r="F6235" i="26"/>
  <c r="D6215" i="26"/>
  <c r="F6215" i="26"/>
  <c r="D6175" i="26"/>
  <c r="F6175" i="26"/>
  <c r="D6135" i="26"/>
  <c r="F6135" i="26"/>
  <c r="D6095" i="26"/>
  <c r="F6095" i="26"/>
  <c r="D6075" i="26"/>
  <c r="F6075" i="26"/>
  <c r="D6055" i="26"/>
  <c r="F6055" i="26"/>
  <c r="D5995" i="26"/>
  <c r="F5995" i="26"/>
  <c r="D5975" i="26"/>
  <c r="F5975" i="26"/>
  <c r="D5915" i="26"/>
  <c r="F5915" i="26"/>
  <c r="D5895" i="26"/>
  <c r="F5895" i="26"/>
  <c r="D5875" i="26"/>
  <c r="F5875" i="26"/>
  <c r="D5795" i="26"/>
  <c r="F5795" i="26"/>
  <c r="D5775" i="26"/>
  <c r="F5775" i="26"/>
  <c r="D5695" i="26"/>
  <c r="F5695" i="26"/>
  <c r="D5655" i="26"/>
  <c r="F5655" i="26"/>
  <c r="D5615" i="26"/>
  <c r="F5615" i="26"/>
  <c r="D5595" i="26"/>
  <c r="F5595" i="26"/>
  <c r="D5555" i="26"/>
  <c r="F5555" i="26"/>
  <c r="D5495" i="26"/>
  <c r="F5495" i="26"/>
  <c r="D5475" i="26"/>
  <c r="F5475" i="26"/>
  <c r="D5455" i="26"/>
  <c r="F5455" i="26"/>
  <c r="D5415" i="26"/>
  <c r="F5415" i="26"/>
  <c r="D5395" i="26"/>
  <c r="F5395" i="26"/>
  <c r="D5355" i="26"/>
  <c r="F5355" i="26"/>
  <c r="D5315" i="26"/>
  <c r="F5315" i="26"/>
  <c r="D5295" i="26"/>
  <c r="F5295" i="26"/>
  <c r="D5275" i="26"/>
  <c r="F5275" i="26"/>
  <c r="D5255" i="26"/>
  <c r="F5255" i="26"/>
  <c r="D5235" i="26"/>
  <c r="F5235" i="26"/>
  <c r="D5215" i="26"/>
  <c r="F5215" i="26"/>
  <c r="D5195" i="26"/>
  <c r="F5195" i="26"/>
  <c r="D5175" i="26"/>
  <c r="F5175" i="26"/>
  <c r="D5135" i="26"/>
  <c r="F5135" i="26"/>
  <c r="D5095" i="26"/>
  <c r="F5095" i="26"/>
  <c r="D5075" i="26"/>
  <c r="F5075" i="26"/>
  <c r="D5055" i="26"/>
  <c r="F5055" i="26"/>
  <c r="D5035" i="26"/>
  <c r="F5035" i="26"/>
  <c r="D5015" i="26"/>
  <c r="F5015" i="26"/>
  <c r="D4995" i="26"/>
  <c r="F4995" i="26"/>
  <c r="D4975" i="26"/>
  <c r="F4975" i="26"/>
  <c r="D4955" i="26"/>
  <c r="F4955" i="26"/>
  <c r="D4935" i="26"/>
  <c r="F4935" i="26"/>
  <c r="D4915" i="26"/>
  <c r="F4915" i="26"/>
  <c r="D4875" i="26"/>
  <c r="F4875" i="26"/>
  <c r="D4855" i="26"/>
  <c r="F4855" i="26"/>
  <c r="D4815" i="26"/>
  <c r="F4815" i="26"/>
  <c r="D4755" i="26"/>
  <c r="F4755" i="26"/>
  <c r="D4735" i="26"/>
  <c r="F4735" i="26"/>
  <c r="D4695" i="26"/>
  <c r="F4695" i="26"/>
  <c r="D4655" i="26"/>
  <c r="F4655" i="26"/>
  <c r="D4635" i="26"/>
  <c r="F4635" i="26"/>
  <c r="D4595" i="26"/>
  <c r="F4595" i="26"/>
  <c r="D4575" i="26"/>
  <c r="F4575" i="26"/>
  <c r="D4555" i="26"/>
  <c r="F4555" i="26"/>
  <c r="D4535" i="26"/>
  <c r="F4535" i="26"/>
  <c r="D4515" i="26"/>
  <c r="F4515" i="26"/>
  <c r="D4495" i="26"/>
  <c r="F4495" i="26"/>
  <c r="D4475" i="26"/>
  <c r="F4475" i="26"/>
  <c r="D4435" i="26"/>
  <c r="F4435" i="26"/>
  <c r="D4415" i="26"/>
  <c r="F4415" i="26"/>
  <c r="D4395" i="26"/>
  <c r="F4395" i="26"/>
  <c r="D4335" i="26"/>
  <c r="F4335" i="26"/>
  <c r="D4315" i="26"/>
  <c r="F4315" i="26"/>
  <c r="D4295" i="26"/>
  <c r="F4295" i="26"/>
  <c r="D4255" i="26"/>
  <c r="F4255" i="26"/>
  <c r="D4235" i="26"/>
  <c r="F4235" i="26"/>
  <c r="D4195" i="26"/>
  <c r="F4195" i="26"/>
  <c r="D4155" i="26"/>
  <c r="F4155" i="26"/>
  <c r="D4135" i="26"/>
  <c r="F4135" i="26"/>
  <c r="D4115" i="26"/>
  <c r="F4115" i="26"/>
  <c r="D4095" i="26"/>
  <c r="F4095" i="26"/>
  <c r="D4075" i="26"/>
  <c r="F4075" i="26"/>
  <c r="D4035" i="26"/>
  <c r="F4035" i="26"/>
  <c r="D4015" i="26"/>
  <c r="F4015" i="26"/>
  <c r="D3995" i="26"/>
  <c r="F3995" i="26"/>
  <c r="D3955" i="26"/>
  <c r="F3955" i="26"/>
  <c r="D3935" i="26"/>
  <c r="F3935" i="26"/>
  <c r="D3915" i="26"/>
  <c r="F3915" i="26"/>
  <c r="D3895" i="26"/>
  <c r="F3895" i="26"/>
  <c r="D3875" i="26"/>
  <c r="F3875" i="26"/>
  <c r="D3855" i="26"/>
  <c r="F3855" i="26"/>
  <c r="D3835" i="26"/>
  <c r="F3835" i="26"/>
  <c r="D3795" i="26"/>
  <c r="F3795" i="26"/>
  <c r="D3775" i="26"/>
  <c r="F3775" i="26"/>
  <c r="D3755" i="26"/>
  <c r="F3755" i="26"/>
  <c r="D3675" i="26"/>
  <c r="F3675" i="26"/>
  <c r="D3635" i="26"/>
  <c r="F3635" i="26"/>
  <c r="D3615" i="26"/>
  <c r="F3615" i="26"/>
  <c r="D3595" i="26"/>
  <c r="F3595" i="26"/>
  <c r="D3575" i="26"/>
  <c r="F3575" i="26"/>
  <c r="D3555" i="26"/>
  <c r="F3555" i="26"/>
  <c r="D3535" i="26"/>
  <c r="F3535" i="26"/>
  <c r="D3515" i="26"/>
  <c r="F3515" i="26"/>
  <c r="D3495" i="26"/>
  <c r="F3495" i="26"/>
  <c r="D3475" i="26"/>
  <c r="F3475" i="26"/>
  <c r="D3455" i="26"/>
  <c r="F3455" i="26"/>
  <c r="D3435" i="26"/>
  <c r="F3435" i="26"/>
  <c r="D3415" i="26"/>
  <c r="F3415" i="26"/>
  <c r="D3375" i="26"/>
  <c r="F3375" i="26"/>
  <c r="D3355" i="26"/>
  <c r="F3355" i="26"/>
  <c r="D3335" i="26"/>
  <c r="F3335" i="26"/>
  <c r="D3315" i="26"/>
  <c r="F3315" i="26"/>
  <c r="D3275" i="26"/>
  <c r="F3275" i="26"/>
  <c r="D3255" i="26"/>
  <c r="F3255" i="26"/>
  <c r="D3235" i="26"/>
  <c r="F3235" i="26"/>
  <c r="D3195" i="26"/>
  <c r="F3195" i="26"/>
  <c r="D3155" i="26"/>
  <c r="F3155" i="26"/>
  <c r="D3135" i="26"/>
  <c r="F3135" i="26"/>
  <c r="D3095" i="26"/>
  <c r="F3095" i="26"/>
  <c r="D3055" i="26"/>
  <c r="F3055" i="26"/>
  <c r="D3035" i="26"/>
  <c r="F3035" i="26"/>
  <c r="D3015" i="26"/>
  <c r="F3015" i="26"/>
  <c r="D2995" i="26"/>
  <c r="F2995" i="26"/>
  <c r="D2955" i="26"/>
  <c r="F2955" i="26"/>
  <c r="D2935" i="26"/>
  <c r="F2935" i="26"/>
  <c r="D2915" i="26"/>
  <c r="F2915" i="26"/>
  <c r="D2895" i="26"/>
  <c r="F2895" i="26"/>
  <c r="D2875" i="26"/>
  <c r="F2875" i="26"/>
  <c r="D2855" i="26"/>
  <c r="F2855" i="26"/>
  <c r="D2835" i="26"/>
  <c r="F2835" i="26"/>
  <c r="D2815" i="26"/>
  <c r="F2815" i="26"/>
  <c r="D2795" i="26"/>
  <c r="F2795" i="26"/>
  <c r="D2775" i="26"/>
  <c r="F2775" i="26"/>
  <c r="D2735" i="26"/>
  <c r="F2735" i="26"/>
  <c r="D2715" i="26"/>
  <c r="F2715" i="26"/>
  <c r="D2695" i="26"/>
  <c r="F2695" i="26"/>
  <c r="D2675" i="26"/>
  <c r="F2675" i="26"/>
  <c r="D2655" i="26"/>
  <c r="F2655" i="26"/>
  <c r="D2615" i="26"/>
  <c r="F2615" i="26"/>
  <c r="D2575" i="26"/>
  <c r="F2575" i="26"/>
  <c r="D2555" i="26"/>
  <c r="F2555" i="26"/>
  <c r="D2515" i="26"/>
  <c r="F2515" i="26"/>
  <c r="D2495" i="26"/>
  <c r="F2495" i="26"/>
  <c r="D2435" i="26"/>
  <c r="F2435" i="26"/>
  <c r="D2415" i="26"/>
  <c r="F2415" i="26"/>
  <c r="D2395" i="26"/>
  <c r="F2395" i="26"/>
  <c r="D2375" i="26"/>
  <c r="F2375" i="26"/>
  <c r="D2355" i="26"/>
  <c r="F2355" i="26"/>
  <c r="D2335" i="26"/>
  <c r="F2335" i="26"/>
  <c r="D2315" i="26"/>
  <c r="F2315" i="26"/>
  <c r="D2295" i="26"/>
  <c r="F2295" i="26"/>
  <c r="D2275" i="26"/>
  <c r="F2275" i="26"/>
  <c r="D2235" i="26"/>
  <c r="F2235" i="26"/>
  <c r="D2215" i="26"/>
  <c r="F2215" i="26"/>
  <c r="D2195" i="26"/>
  <c r="F2195" i="26"/>
  <c r="D2175" i="26"/>
  <c r="F2175" i="26"/>
  <c r="D2155" i="26"/>
  <c r="F2155" i="26"/>
  <c r="D2135" i="26"/>
  <c r="F2135" i="26"/>
  <c r="D2115" i="26"/>
  <c r="F2115" i="26"/>
  <c r="D2095" i="26"/>
  <c r="F2095" i="26"/>
  <c r="D2075" i="26"/>
  <c r="F2075" i="26"/>
  <c r="D2055" i="26"/>
  <c r="F2055" i="26"/>
  <c r="D2035" i="26"/>
  <c r="F2035" i="26"/>
  <c r="D1995" i="26"/>
  <c r="F1995" i="26"/>
  <c r="D1975" i="26"/>
  <c r="F1975" i="26"/>
  <c r="D1955" i="26"/>
  <c r="F1955" i="26"/>
  <c r="D1935" i="26"/>
  <c r="F1935" i="26"/>
  <c r="D1895" i="26"/>
  <c r="F1895" i="26"/>
  <c r="D1875" i="26"/>
  <c r="F1875" i="26"/>
  <c r="D1855" i="26"/>
  <c r="F1855" i="26"/>
  <c r="D1835" i="26"/>
  <c r="F1835" i="26"/>
  <c r="D1815" i="26"/>
  <c r="F1815" i="26"/>
  <c r="D1795" i="26"/>
  <c r="F1795" i="26"/>
  <c r="D1775" i="26"/>
  <c r="F1775" i="26"/>
  <c r="D1755" i="26"/>
  <c r="F1755" i="26"/>
  <c r="D1735" i="26"/>
  <c r="F1735" i="26"/>
  <c r="D1715" i="26"/>
  <c r="F1715" i="26"/>
  <c r="D1695" i="26"/>
  <c r="F1695" i="26"/>
  <c r="D1675" i="26"/>
  <c r="F1675" i="26"/>
  <c r="D1655" i="26"/>
  <c r="F1655" i="26"/>
  <c r="D1635" i="26"/>
  <c r="F1635" i="26"/>
  <c r="D1595" i="26"/>
  <c r="F1595" i="26"/>
  <c r="D1575" i="26"/>
  <c r="F1575" i="26"/>
  <c r="D1555" i="26"/>
  <c r="F1555" i="26"/>
  <c r="D4538" i="26"/>
  <c r="F6655" i="26"/>
  <c r="F6558" i="26"/>
  <c r="F6456" i="26"/>
  <c r="F6102" i="26"/>
  <c r="F6035" i="26"/>
  <c r="F5723" i="26"/>
  <c r="F5644" i="26"/>
  <c r="F5184" i="26"/>
  <c r="F5116" i="26"/>
  <c r="F4958" i="26"/>
  <c r="F4802" i="26"/>
  <c r="F4615" i="26"/>
  <c r="F4442" i="26"/>
  <c r="F3376" i="26"/>
  <c r="F3296" i="26"/>
  <c r="F3163" i="26"/>
  <c r="F2956" i="26"/>
  <c r="F2902" i="26"/>
  <c r="F2742" i="26"/>
  <c r="F2357" i="26"/>
  <c r="F2082" i="26"/>
  <c r="D6738" i="26"/>
  <c r="F6738" i="26"/>
  <c r="D6698" i="26"/>
  <c r="F6698" i="26"/>
  <c r="D6678" i="26"/>
  <c r="F6678" i="26"/>
  <c r="D6598" i="26"/>
  <c r="F6598" i="26"/>
  <c r="D6538" i="26"/>
  <c r="F6538" i="26"/>
  <c r="D6518" i="26"/>
  <c r="F6518" i="26"/>
  <c r="D6478" i="26"/>
  <c r="F6478" i="26"/>
  <c r="D6438" i="26"/>
  <c r="F6438" i="26"/>
  <c r="D6398" i="26"/>
  <c r="F6398" i="26"/>
  <c r="D6358" i="26"/>
  <c r="F6358" i="26"/>
  <c r="D6318" i="26"/>
  <c r="F6318" i="26"/>
  <c r="D6298" i="26"/>
  <c r="F6298" i="26"/>
  <c r="D6278" i="26"/>
  <c r="F6278" i="26"/>
  <c r="D6258" i="26"/>
  <c r="F6258" i="26"/>
  <c r="D6238" i="26"/>
  <c r="F6238" i="26"/>
  <c r="D6178" i="26"/>
  <c r="F6178" i="26"/>
  <c r="D6158" i="26"/>
  <c r="F6158" i="26"/>
  <c r="D6138" i="26"/>
  <c r="F6138" i="26"/>
  <c r="D6118" i="26"/>
  <c r="F6118" i="26"/>
  <c r="D6098" i="26"/>
  <c r="F6098" i="26"/>
  <c r="D6018" i="26"/>
  <c r="F6018" i="26"/>
  <c r="D5938" i="26"/>
  <c r="F5938" i="26"/>
  <c r="D5898" i="26"/>
  <c r="F5898" i="26"/>
  <c r="D5858" i="26"/>
  <c r="F5858" i="26"/>
  <c r="D5838" i="26"/>
  <c r="F5838" i="26"/>
  <c r="D5818" i="26"/>
  <c r="F5818" i="26"/>
  <c r="D5798" i="26"/>
  <c r="F5798" i="26"/>
  <c r="F5778" i="26"/>
  <c r="D5778" i="26"/>
  <c r="D5758" i="26"/>
  <c r="F5758" i="26"/>
  <c r="D5738" i="26"/>
  <c r="F5738" i="26"/>
  <c r="D5718" i="26"/>
  <c r="F5718" i="26"/>
  <c r="D5698" i="26"/>
  <c r="F5698" i="26"/>
  <c r="D5678" i="26"/>
  <c r="F5678" i="26"/>
  <c r="D5658" i="26"/>
  <c r="F5658" i="26"/>
  <c r="D5638" i="26"/>
  <c r="F5638" i="26"/>
  <c r="D5598" i="26"/>
  <c r="F5598" i="26"/>
  <c r="D5578" i="26"/>
  <c r="F5578" i="26"/>
  <c r="D5538" i="26"/>
  <c r="F5538" i="26"/>
  <c r="D5518" i="26"/>
  <c r="F5518" i="26"/>
  <c r="D5478" i="26"/>
  <c r="F5478" i="26"/>
  <c r="D5438" i="26"/>
  <c r="F5438" i="26"/>
  <c r="D5418" i="26"/>
  <c r="F5418" i="26"/>
  <c r="D5398" i="26"/>
  <c r="F5398" i="26"/>
  <c r="D5378" i="26"/>
  <c r="F5378" i="26"/>
  <c r="D5278" i="26"/>
  <c r="F5278" i="26"/>
  <c r="D5238" i="26"/>
  <c r="F5238" i="26"/>
  <c r="D5198" i="26"/>
  <c r="F5198" i="26"/>
  <c r="D5178" i="26"/>
  <c r="F5178" i="26"/>
  <c r="D5158" i="26"/>
  <c r="F5158" i="26"/>
  <c r="D5138" i="26"/>
  <c r="F5138" i="26"/>
  <c r="D5118" i="26"/>
  <c r="F5118" i="26"/>
  <c r="D5098" i="26"/>
  <c r="F5098" i="26"/>
  <c r="D5078" i="26"/>
  <c r="F5078" i="26"/>
  <c r="D5058" i="26"/>
  <c r="F5058" i="26"/>
  <c r="D5018" i="26"/>
  <c r="F5018" i="26"/>
  <c r="D4978" i="26"/>
  <c r="F4978" i="26"/>
  <c r="F4878" i="26"/>
  <c r="D4878" i="26"/>
  <c r="D4858" i="26"/>
  <c r="F4858" i="26"/>
  <c r="D4818" i="26"/>
  <c r="F4818" i="26"/>
  <c r="D4778" i="26"/>
  <c r="F4778" i="26"/>
  <c r="D4718" i="26"/>
  <c r="F4718" i="26"/>
  <c r="D4678" i="26"/>
  <c r="F4678" i="26"/>
  <c r="D4658" i="26"/>
  <c r="F4658" i="26"/>
  <c r="D4618" i="26"/>
  <c r="F4618" i="26"/>
  <c r="D4518" i="26"/>
  <c r="F4518" i="26"/>
  <c r="D4358" i="26"/>
  <c r="F4358" i="26"/>
  <c r="D4338" i="26"/>
  <c r="F4338" i="26"/>
  <c r="D4298" i="26"/>
  <c r="F4298" i="26"/>
  <c r="D4258" i="26"/>
  <c r="F4258" i="26"/>
  <c r="D4198" i="26"/>
  <c r="F4198" i="26"/>
  <c r="D4178" i="26"/>
  <c r="F4178" i="26"/>
  <c r="D4138" i="26"/>
  <c r="F4138" i="26"/>
  <c r="D4118" i="26"/>
  <c r="F4118" i="26"/>
  <c r="D4098" i="26"/>
  <c r="F4098" i="26"/>
  <c r="D4078" i="26"/>
  <c r="F4078" i="26"/>
  <c r="D4018" i="26"/>
  <c r="F4018" i="26"/>
  <c r="D3978" i="26"/>
  <c r="F3978" i="26"/>
  <c r="D3958" i="26"/>
  <c r="F3958" i="26"/>
  <c r="D3938" i="26"/>
  <c r="F3938" i="26"/>
  <c r="D3898" i="26"/>
  <c r="F3898" i="26"/>
  <c r="D3878" i="26"/>
  <c r="F3878" i="26"/>
  <c r="D3858" i="26"/>
  <c r="F3858" i="26"/>
  <c r="D3838" i="26"/>
  <c r="F3838" i="26"/>
  <c r="D3818" i="26"/>
  <c r="F3818" i="26"/>
  <c r="D3798" i="26"/>
  <c r="F3798" i="26"/>
  <c r="D3778" i="26"/>
  <c r="F3778" i="26"/>
  <c r="D3758" i="26"/>
  <c r="F3758" i="26"/>
  <c r="D3718" i="26"/>
  <c r="F3718" i="26"/>
  <c r="D3698" i="26"/>
  <c r="F3698" i="26"/>
  <c r="D3678" i="26"/>
  <c r="F3678" i="26"/>
  <c r="D3658" i="26"/>
  <c r="F3658" i="26"/>
  <c r="D3638" i="26"/>
  <c r="F3638" i="26"/>
  <c r="D3618" i="26"/>
  <c r="F3618" i="26"/>
  <c r="D3598" i="26"/>
  <c r="F3598" i="26"/>
  <c r="D3578" i="26"/>
  <c r="F3578" i="26"/>
  <c r="D3558" i="26"/>
  <c r="F3558" i="26"/>
  <c r="D3538" i="26"/>
  <c r="F3538" i="26"/>
  <c r="D3498" i="26"/>
  <c r="F3498" i="26"/>
  <c r="D3478" i="26"/>
  <c r="F3478" i="26"/>
  <c r="D3438" i="26"/>
  <c r="F3438" i="26"/>
  <c r="D3418" i="26"/>
  <c r="F3418" i="26"/>
  <c r="D3398" i="26"/>
  <c r="F3398" i="26"/>
  <c r="D3378" i="26"/>
  <c r="F3378" i="26"/>
  <c r="D3358" i="26"/>
  <c r="F3358" i="26"/>
  <c r="D3298" i="26"/>
  <c r="F3298" i="26"/>
  <c r="D3238" i="26"/>
  <c r="F3238" i="26"/>
  <c r="D3218" i="26"/>
  <c r="F3218" i="26"/>
  <c r="D3198" i="26"/>
  <c r="F3198" i="26"/>
  <c r="D3178" i="26"/>
  <c r="F3178" i="26"/>
  <c r="D3158" i="26"/>
  <c r="F3158" i="26"/>
  <c r="D3138" i="26"/>
  <c r="F3138" i="26"/>
  <c r="D3118" i="26"/>
  <c r="F3118" i="26"/>
  <c r="D3078" i="26"/>
  <c r="F3078" i="26"/>
  <c r="D3058" i="26"/>
  <c r="F3058" i="26"/>
  <c r="D3038" i="26"/>
  <c r="F3038" i="26"/>
  <c r="D3018" i="26"/>
  <c r="F3018" i="26"/>
  <c r="D2998" i="26"/>
  <c r="F2998" i="26"/>
  <c r="D2978" i="26"/>
  <c r="F2978" i="26"/>
  <c r="D2958" i="26"/>
  <c r="F2958" i="26"/>
  <c r="D2938" i="26"/>
  <c r="F2938" i="26"/>
  <c r="D2918" i="26"/>
  <c r="F2918" i="26"/>
  <c r="D2898" i="26"/>
  <c r="F2898" i="26"/>
  <c r="D2878" i="26"/>
  <c r="F2878" i="26"/>
  <c r="D2858" i="26"/>
  <c r="F2858" i="26"/>
  <c r="D2838" i="26"/>
  <c r="F2838" i="26"/>
  <c r="D2818" i="26"/>
  <c r="F2818" i="26"/>
  <c r="D2798" i="26"/>
  <c r="F2798" i="26"/>
  <c r="D2758" i="26"/>
  <c r="F2758" i="26"/>
  <c r="D2738" i="26"/>
  <c r="F2738" i="26"/>
  <c r="D2718" i="26"/>
  <c r="F2718" i="26"/>
  <c r="D2698" i="26"/>
  <c r="F2698" i="26"/>
  <c r="D2678" i="26"/>
  <c r="F2678" i="26"/>
  <c r="D2658" i="26"/>
  <c r="F2658" i="26"/>
  <c r="D2638" i="26"/>
  <c r="F2638" i="26"/>
  <c r="D2618" i="26"/>
  <c r="F2618" i="26"/>
  <c r="D2598" i="26"/>
  <c r="F2598" i="26"/>
  <c r="D2578" i="26"/>
  <c r="F2578" i="26"/>
  <c r="D2558" i="26"/>
  <c r="F2558" i="26"/>
  <c r="D2538" i="26"/>
  <c r="F2538" i="26"/>
  <c r="D2518" i="26"/>
  <c r="F2518" i="26"/>
  <c r="D2498" i="26"/>
  <c r="F2498" i="26"/>
  <c r="D2478" i="26"/>
  <c r="F2478" i="26"/>
  <c r="D2458" i="26"/>
  <c r="F2458" i="26"/>
  <c r="D2438" i="26"/>
  <c r="F2438" i="26"/>
  <c r="D2418" i="26"/>
  <c r="F2418" i="26"/>
  <c r="D2398" i="26"/>
  <c r="F2398" i="26"/>
  <c r="D2378" i="26"/>
  <c r="F2378" i="26"/>
  <c r="D2358" i="26"/>
  <c r="F2358" i="26"/>
  <c r="D2338" i="26"/>
  <c r="F2338" i="26"/>
  <c r="D2318" i="26"/>
  <c r="F2318" i="26"/>
  <c r="D2278" i="26"/>
  <c r="F2278" i="26"/>
  <c r="D2258" i="26"/>
  <c r="F2258" i="26"/>
  <c r="D2238" i="26"/>
  <c r="F2238" i="26"/>
  <c r="D2218" i="26"/>
  <c r="F2218" i="26"/>
  <c r="D2198" i="26"/>
  <c r="F2198" i="26"/>
  <c r="D2178" i="26"/>
  <c r="F2178" i="26"/>
  <c r="D2158" i="26"/>
  <c r="F2158" i="26"/>
  <c r="D2138" i="26"/>
  <c r="F2138" i="26"/>
  <c r="D2118" i="26"/>
  <c r="F2118" i="26"/>
  <c r="D2098" i="26"/>
  <c r="F2098" i="26"/>
  <c r="D2078" i="26"/>
  <c r="F2078" i="26"/>
  <c r="D2058" i="26"/>
  <c r="F2058" i="26"/>
  <c r="D1998" i="26"/>
  <c r="F1998" i="26"/>
  <c r="D1978" i="26"/>
  <c r="F1978" i="26"/>
  <c r="D1958" i="26"/>
  <c r="F1958" i="26"/>
  <c r="D1938" i="26"/>
  <c r="F1938" i="26"/>
  <c r="D1918" i="26"/>
  <c r="F1918" i="26"/>
  <c r="D1898" i="26"/>
  <c r="F1898" i="26"/>
  <c r="D1878" i="26"/>
  <c r="F1878" i="26"/>
  <c r="D1858" i="26"/>
  <c r="F1858" i="26"/>
  <c r="D1838" i="26"/>
  <c r="F1838" i="26"/>
  <c r="D1818" i="26"/>
  <c r="F1818" i="26"/>
  <c r="D1798" i="26"/>
  <c r="F1798" i="26"/>
  <c r="D1778" i="26"/>
  <c r="F1778" i="26"/>
  <c r="D1758" i="26"/>
  <c r="F1758" i="26"/>
  <c r="D1738" i="26"/>
  <c r="F1738" i="26"/>
  <c r="D1718" i="26"/>
  <c r="F1718" i="26"/>
  <c r="D1698" i="26"/>
  <c r="F1698" i="26"/>
  <c r="D1678" i="26"/>
  <c r="F1678" i="26"/>
  <c r="D1658" i="26"/>
  <c r="F1658" i="26"/>
  <c r="D1638" i="26"/>
  <c r="F1638" i="26"/>
  <c r="D1618" i="26"/>
  <c r="F1618" i="26"/>
  <c r="D1598" i="26"/>
  <c r="F1598" i="26"/>
  <c r="D1578" i="26"/>
  <c r="F1578" i="26"/>
  <c r="D1558" i="26"/>
  <c r="F1558" i="26"/>
  <c r="D1538" i="26"/>
  <c r="F1538" i="26"/>
  <c r="D1518" i="26"/>
  <c r="F1518" i="26"/>
  <c r="D1498" i="26"/>
  <c r="F1498" i="26"/>
  <c r="D1478" i="26"/>
  <c r="F1478" i="26"/>
  <c r="D1458" i="26"/>
  <c r="F1458" i="26"/>
  <c r="D1438" i="26"/>
  <c r="F1438" i="26"/>
  <c r="D1418" i="26"/>
  <c r="F1418" i="26"/>
  <c r="D1398" i="26"/>
  <c r="F1398" i="26"/>
  <c r="D1378" i="26"/>
  <c r="F1378" i="26"/>
  <c r="D1358" i="26"/>
  <c r="F1358" i="26"/>
  <c r="D1338" i="26"/>
  <c r="F1338" i="26"/>
  <c r="D1318" i="26"/>
  <c r="F1318" i="26"/>
  <c r="D1298" i="26"/>
  <c r="F1298" i="26"/>
  <c r="D1278" i="26"/>
  <c r="F1278" i="26"/>
  <c r="D1258" i="26"/>
  <c r="F1258" i="26"/>
  <c r="D1238" i="26"/>
  <c r="F1238" i="26"/>
  <c r="D1218" i="26"/>
  <c r="F1218" i="26"/>
  <c r="D1198" i="26"/>
  <c r="F1198" i="26"/>
  <c r="D1178" i="26"/>
  <c r="F1178" i="26"/>
  <c r="D1158" i="26"/>
  <c r="F1158" i="26"/>
  <c r="D1138" i="26"/>
  <c r="F1138" i="26"/>
  <c r="D1118" i="26"/>
  <c r="F1118" i="26"/>
  <c r="D1098" i="26"/>
  <c r="F1098" i="26"/>
  <c r="D1078" i="26"/>
  <c r="F1078" i="26"/>
  <c r="D1058" i="26"/>
  <c r="F1058" i="26"/>
  <c r="D1038" i="26"/>
  <c r="F1038" i="26"/>
  <c r="D1018" i="26"/>
  <c r="F1018" i="26"/>
  <c r="F6564" i="26"/>
  <c r="F6498" i="26"/>
  <c r="F6144" i="26"/>
  <c r="F6038" i="26"/>
  <c r="F5298" i="26"/>
  <c r="F4058" i="26"/>
  <c r="F3518" i="26"/>
  <c r="D6757" i="26"/>
  <c r="F6757" i="26"/>
  <c r="D6737" i="26"/>
  <c r="F6737" i="26"/>
  <c r="D6677" i="26"/>
  <c r="F6677" i="26"/>
  <c r="D6657" i="26"/>
  <c r="F6657" i="26"/>
  <c r="D6597" i="26"/>
  <c r="F6597" i="26"/>
  <c r="D6517" i="26"/>
  <c r="F6517" i="26"/>
  <c r="D6497" i="26"/>
  <c r="F6497" i="26"/>
  <c r="D6477" i="26"/>
  <c r="F6477" i="26"/>
  <c r="D6397" i="26"/>
  <c r="F6397" i="26"/>
  <c r="D6317" i="26"/>
  <c r="F6317" i="26"/>
  <c r="D6277" i="26"/>
  <c r="F6277" i="26"/>
  <c r="D6257" i="26"/>
  <c r="F6257" i="26"/>
  <c r="D6177" i="26"/>
  <c r="F6177" i="26"/>
  <c r="D6117" i="26"/>
  <c r="F6117" i="26"/>
  <c r="D6097" i="26"/>
  <c r="F6097" i="26"/>
  <c r="D6057" i="26"/>
  <c r="F6057" i="26"/>
  <c r="D6017" i="26"/>
  <c r="F6017" i="26"/>
  <c r="D5977" i="26"/>
  <c r="F5977" i="26"/>
  <c r="D5937" i="26"/>
  <c r="F5937" i="26"/>
  <c r="D5897" i="26"/>
  <c r="F5897" i="26"/>
  <c r="D5857" i="26"/>
  <c r="F5857" i="26"/>
  <c r="D5797" i="26"/>
  <c r="F5797" i="26"/>
  <c r="D5777" i="26"/>
  <c r="F5777" i="26"/>
  <c r="D5757" i="26"/>
  <c r="F5757" i="26"/>
  <c r="D5717" i="26"/>
  <c r="F5717" i="26"/>
  <c r="D5697" i="26"/>
  <c r="F5697" i="26"/>
  <c r="D5657" i="26"/>
  <c r="F5657" i="26"/>
  <c r="D5597" i="26"/>
  <c r="F5597" i="26"/>
  <c r="D5557" i="26"/>
  <c r="F5557" i="26"/>
  <c r="F5537" i="26"/>
  <c r="D5537" i="26"/>
  <c r="D5517" i="26"/>
  <c r="F5517" i="26"/>
  <c r="D5477" i="26"/>
  <c r="F5477" i="26"/>
  <c r="D5457" i="26"/>
  <c r="F5457" i="26"/>
  <c r="D5437" i="26"/>
  <c r="F5437" i="26"/>
  <c r="D5397" i="26"/>
  <c r="F5397" i="26"/>
  <c r="D5377" i="26"/>
  <c r="F5377" i="26"/>
  <c r="D5317" i="26"/>
  <c r="F5317" i="26"/>
  <c r="D5277" i="26"/>
  <c r="F5277" i="26"/>
  <c r="D5257" i="26"/>
  <c r="F5257" i="26"/>
  <c r="D5237" i="26"/>
  <c r="F5237" i="26"/>
  <c r="D5197" i="26"/>
  <c r="F5197" i="26"/>
  <c r="D5177" i="26"/>
  <c r="F5177" i="26"/>
  <c r="D5157" i="26"/>
  <c r="F5157" i="26"/>
  <c r="D5137" i="26"/>
  <c r="F5137" i="26"/>
  <c r="D5117" i="26"/>
  <c r="F5117" i="26"/>
  <c r="D5097" i="26"/>
  <c r="F5097" i="26"/>
  <c r="D5077" i="26"/>
  <c r="F5077" i="26"/>
  <c r="D5037" i="26"/>
  <c r="F5037" i="26"/>
  <c r="D5017" i="26"/>
  <c r="F5017" i="26"/>
  <c r="D4997" i="26"/>
  <c r="F4997" i="26"/>
  <c r="D4957" i="26"/>
  <c r="F4957" i="26"/>
  <c r="D4917" i="26"/>
  <c r="F4917" i="26"/>
  <c r="D4857" i="26"/>
  <c r="F4857" i="26"/>
  <c r="D4797" i="26"/>
  <c r="F4797" i="26"/>
  <c r="D4777" i="26"/>
  <c r="F4777" i="26"/>
  <c r="D4717" i="26"/>
  <c r="F4717" i="26"/>
  <c r="D4697" i="26"/>
  <c r="F4697" i="26"/>
  <c r="D4677" i="26"/>
  <c r="F4677" i="26"/>
  <c r="D4637" i="26"/>
  <c r="F4637" i="26"/>
  <c r="D4617" i="26"/>
  <c r="F4617" i="26"/>
  <c r="D4557" i="26"/>
  <c r="F4557" i="26"/>
  <c r="D4517" i="26"/>
  <c r="F4517" i="26"/>
  <c r="D4477" i="26"/>
  <c r="F4477" i="26"/>
  <c r="D4437" i="26"/>
  <c r="F4437" i="26"/>
  <c r="D4417" i="26"/>
  <c r="F4417" i="26"/>
  <c r="D4377" i="26"/>
  <c r="F4377" i="26"/>
  <c r="D4357" i="26"/>
  <c r="F4357" i="26"/>
  <c r="D4337" i="26"/>
  <c r="F4337" i="26"/>
  <c r="D4317" i="26"/>
  <c r="F4317" i="26"/>
  <c r="D4297" i="26"/>
  <c r="F4297" i="26"/>
  <c r="D4277" i="26"/>
  <c r="F4277" i="26"/>
  <c r="D4257" i="26"/>
  <c r="F4257" i="26"/>
  <c r="D4237" i="26"/>
  <c r="F4237" i="26"/>
  <c r="D4217" i="26"/>
  <c r="F4217" i="26"/>
  <c r="D4177" i="26"/>
  <c r="F4177" i="26"/>
  <c r="D4157" i="26"/>
  <c r="F4157" i="26"/>
  <c r="D4137" i="26"/>
  <c r="F4137" i="26"/>
  <c r="D4117" i="26"/>
  <c r="F4117" i="26"/>
  <c r="F4097" i="26"/>
  <c r="D4097" i="26"/>
  <c r="D4077" i="26"/>
  <c r="F4077" i="26"/>
  <c r="D4057" i="26"/>
  <c r="F4057" i="26"/>
  <c r="D4017" i="26"/>
  <c r="F4017" i="26"/>
  <c r="D3997" i="26"/>
  <c r="F3997" i="26"/>
  <c r="D3977" i="26"/>
  <c r="F3977" i="26"/>
  <c r="D3937" i="26"/>
  <c r="F3937" i="26"/>
  <c r="D3897" i="26"/>
  <c r="F3897" i="26"/>
  <c r="D3877" i="26"/>
  <c r="F3877" i="26"/>
  <c r="D3857" i="26"/>
  <c r="F3857" i="26"/>
  <c r="D3777" i="26"/>
  <c r="F3777" i="26"/>
  <c r="D3757" i="26"/>
  <c r="F3757" i="26"/>
  <c r="D3717" i="26"/>
  <c r="F3717" i="26"/>
  <c r="D3677" i="26"/>
  <c r="F3677" i="26"/>
  <c r="F3657" i="26"/>
  <c r="D3657" i="26"/>
  <c r="D3637" i="26"/>
  <c r="F3637" i="26"/>
  <c r="D3617" i="26"/>
  <c r="F3617" i="26"/>
  <c r="D3577" i="26"/>
  <c r="F3577" i="26"/>
  <c r="D3537" i="26"/>
  <c r="F3537" i="26"/>
  <c r="D3517" i="26"/>
  <c r="F3517" i="26"/>
  <c r="D3497" i="26"/>
  <c r="F3497" i="26"/>
  <c r="D3477" i="26"/>
  <c r="F3477" i="26"/>
  <c r="D3437" i="26"/>
  <c r="F3437" i="26"/>
  <c r="D3397" i="26"/>
  <c r="F3397" i="26"/>
  <c r="D3337" i="26"/>
  <c r="F3337" i="26"/>
  <c r="D3297" i="26"/>
  <c r="F3297" i="26"/>
  <c r="D3277" i="26"/>
  <c r="F3277" i="26"/>
  <c r="D3237" i="26"/>
  <c r="F3237" i="26"/>
  <c r="D3217" i="26"/>
  <c r="F3217" i="26"/>
  <c r="D3197" i="26"/>
  <c r="F3197" i="26"/>
  <c r="D3177" i="26"/>
  <c r="F3177" i="26"/>
  <c r="D3157" i="26"/>
  <c r="F3157" i="26"/>
  <c r="D3137" i="26"/>
  <c r="F3137" i="26"/>
  <c r="D3117" i="26"/>
  <c r="F3117" i="26"/>
  <c r="D3097" i="26"/>
  <c r="F3097" i="26"/>
  <c r="D3057" i="26"/>
  <c r="F3057" i="26"/>
  <c r="D3037" i="26"/>
  <c r="F3037" i="26"/>
  <c r="D2997" i="26"/>
  <c r="F2997" i="26"/>
  <c r="D2977" i="26"/>
  <c r="F2977" i="26"/>
  <c r="D2937" i="26"/>
  <c r="F2937" i="26"/>
  <c r="D2897" i="26"/>
  <c r="F2897" i="26"/>
  <c r="D2877" i="26"/>
  <c r="F2877" i="26"/>
  <c r="D2857" i="26"/>
  <c r="F2857" i="26"/>
  <c r="D2837" i="26"/>
  <c r="F2837" i="26"/>
  <c r="D2817" i="26"/>
  <c r="F2817" i="26"/>
  <c r="D2777" i="26"/>
  <c r="F2777" i="26"/>
  <c r="D2737" i="26"/>
  <c r="F2737" i="26"/>
  <c r="D2717" i="26"/>
  <c r="F2717" i="26"/>
  <c r="D2697" i="26"/>
  <c r="F2697" i="26"/>
  <c r="D2677" i="26"/>
  <c r="F2677" i="26"/>
  <c r="D2657" i="26"/>
  <c r="F2657" i="26"/>
  <c r="D2617" i="26"/>
  <c r="F2617" i="26"/>
  <c r="D2597" i="26"/>
  <c r="F2597" i="26"/>
  <c r="D2557" i="26"/>
  <c r="F2557" i="26"/>
  <c r="D2537" i="26"/>
  <c r="F2537" i="26"/>
  <c r="D2517" i="26"/>
  <c r="F2517" i="26"/>
  <c r="D2497" i="26"/>
  <c r="F2497" i="26"/>
  <c r="D2477" i="26"/>
  <c r="F2477" i="26"/>
  <c r="D2457" i="26"/>
  <c r="F2457" i="26"/>
  <c r="D2437" i="26"/>
  <c r="F2437" i="26"/>
  <c r="D2417" i="26"/>
  <c r="F2417" i="26"/>
  <c r="D2397" i="26"/>
  <c r="F2397" i="26"/>
  <c r="D2377" i="26"/>
  <c r="F2377" i="26"/>
  <c r="D2337" i="26"/>
  <c r="F2337" i="26"/>
  <c r="D2317" i="26"/>
  <c r="F2317" i="26"/>
  <c r="D2257" i="26"/>
  <c r="F2257" i="26"/>
  <c r="D2237" i="26"/>
  <c r="F2237" i="26"/>
  <c r="D2197" i="26"/>
  <c r="F2197" i="26"/>
  <c r="D2177" i="26"/>
  <c r="F2177" i="26"/>
  <c r="D2157" i="26"/>
  <c r="F2157" i="26"/>
  <c r="D2137" i="26"/>
  <c r="F2137" i="26"/>
  <c r="D2117" i="26"/>
  <c r="F2117" i="26"/>
  <c r="D2097" i="26"/>
  <c r="F2097" i="26"/>
  <c r="D2077" i="26"/>
  <c r="F2077" i="26"/>
  <c r="D2057" i="26"/>
  <c r="F2057" i="26"/>
  <c r="D2037" i="26"/>
  <c r="F2037" i="26"/>
  <c r="D1977" i="26"/>
  <c r="F1977" i="26"/>
  <c r="D1957" i="26"/>
  <c r="F1957" i="26"/>
  <c r="D1937" i="26"/>
  <c r="F1937" i="26"/>
  <c r="D1917" i="26"/>
  <c r="F1917" i="26"/>
  <c r="D1897" i="26"/>
  <c r="F1897" i="26"/>
  <c r="D1877" i="26"/>
  <c r="F1877" i="26"/>
  <c r="D1857" i="26"/>
  <c r="F1857" i="26"/>
  <c r="D1837" i="26"/>
  <c r="F1837" i="26"/>
  <c r="D1817" i="26"/>
  <c r="F1817" i="26"/>
  <c r="D1797" i="26"/>
  <c r="F1797" i="26"/>
  <c r="D1777" i="26"/>
  <c r="F1777" i="26"/>
  <c r="D1757" i="26"/>
  <c r="F1757" i="26"/>
  <c r="D1717" i="26"/>
  <c r="F1717" i="26"/>
  <c r="D1697" i="26"/>
  <c r="F1697" i="26"/>
  <c r="D1677" i="26"/>
  <c r="F1677" i="26"/>
  <c r="D1657" i="26"/>
  <c r="F1657" i="26"/>
  <c r="D1617" i="26"/>
  <c r="F1617" i="26"/>
  <c r="D1597" i="26"/>
  <c r="F1597" i="26"/>
  <c r="D1577" i="26"/>
  <c r="F1577" i="26"/>
  <c r="D1557" i="26"/>
  <c r="F1557" i="26"/>
  <c r="D1537" i="26"/>
  <c r="F1537" i="26"/>
  <c r="D1517" i="26"/>
  <c r="F1517" i="26"/>
  <c r="D1477" i="26"/>
  <c r="F1477" i="26"/>
  <c r="D1457" i="26"/>
  <c r="F1457" i="26"/>
  <c r="D1437" i="26"/>
  <c r="F1437" i="26"/>
  <c r="D1417" i="26"/>
  <c r="F1417" i="26"/>
  <c r="D1397" i="26"/>
  <c r="F1397" i="26"/>
  <c r="D1377" i="26"/>
  <c r="F1377" i="26"/>
  <c r="D1357" i="26"/>
  <c r="F1357" i="26"/>
  <c r="D1337" i="26"/>
  <c r="F1337" i="26"/>
  <c r="D1317" i="26"/>
  <c r="F1317" i="26"/>
  <c r="D1297" i="26"/>
  <c r="F1297" i="26"/>
  <c r="D1277" i="26"/>
  <c r="F1277" i="26"/>
  <c r="D1257" i="26"/>
  <c r="F1257" i="26"/>
  <c r="D1237" i="26"/>
  <c r="F1237" i="26"/>
  <c r="D1217" i="26"/>
  <c r="F1217" i="26"/>
  <c r="D1197" i="26"/>
  <c r="F1197" i="26"/>
  <c r="D1157" i="26"/>
  <c r="F1157" i="26"/>
  <c r="D1137" i="26"/>
  <c r="F1137" i="26"/>
  <c r="D1097" i="26"/>
  <c r="F1097" i="26"/>
  <c r="D1077" i="26"/>
  <c r="F1077" i="26"/>
  <c r="D1057" i="26"/>
  <c r="F1057" i="26"/>
  <c r="D1037" i="26"/>
  <c r="F1037" i="26"/>
  <c r="D1017" i="26"/>
  <c r="F1017" i="26"/>
  <c r="F6724" i="26"/>
  <c r="F6458" i="26"/>
  <c r="F6037" i="26"/>
  <c r="F5684" i="26"/>
  <c r="F5297" i="26"/>
  <c r="F4624" i="26"/>
  <c r="F4318" i="26"/>
  <c r="F3998" i="26"/>
  <c r="F2084" i="26"/>
  <c r="F1997" i="26"/>
  <c r="F1637" i="26"/>
  <c r="D6756" i="26"/>
  <c r="F6756" i="26"/>
  <c r="D6676" i="26"/>
  <c r="F6676" i="26"/>
  <c r="D6656" i="26"/>
  <c r="F6656" i="26"/>
  <c r="D6636" i="26"/>
  <c r="F6636" i="26"/>
  <c r="D6596" i="26"/>
  <c r="F6596" i="26"/>
  <c r="D6516" i="26"/>
  <c r="F6516" i="26"/>
  <c r="D6496" i="26"/>
  <c r="F6496" i="26"/>
  <c r="D6476" i="26"/>
  <c r="F6476" i="26"/>
  <c r="D6416" i="26"/>
  <c r="F6416" i="26"/>
  <c r="D6396" i="26"/>
  <c r="F6396" i="26"/>
  <c r="D6336" i="26"/>
  <c r="F6336" i="26"/>
  <c r="D6316" i="26"/>
  <c r="F6316" i="26"/>
  <c r="D6256" i="26"/>
  <c r="F6256" i="26"/>
  <c r="D6236" i="26"/>
  <c r="F6236" i="26"/>
  <c r="D6176" i="26"/>
  <c r="F6176" i="26"/>
  <c r="D6076" i="26"/>
  <c r="F6076" i="26"/>
  <c r="D6056" i="26"/>
  <c r="F6056" i="26"/>
  <c r="D5976" i="26"/>
  <c r="F5976" i="26"/>
  <c r="D5896" i="26"/>
  <c r="F5896" i="26"/>
  <c r="D5876" i="26"/>
  <c r="F5876" i="26"/>
  <c r="D5796" i="26"/>
  <c r="F5796" i="26"/>
  <c r="D5756" i="26"/>
  <c r="F5756" i="26"/>
  <c r="D5716" i="26"/>
  <c r="F5716" i="26"/>
  <c r="D5656" i="26"/>
  <c r="F5656" i="26"/>
  <c r="D5576" i="26"/>
  <c r="F5576" i="26"/>
  <c r="D5476" i="26"/>
  <c r="F5476" i="26"/>
  <c r="D5416" i="26"/>
  <c r="F5416" i="26"/>
  <c r="D5396" i="26"/>
  <c r="F5396" i="26"/>
  <c r="D5356" i="26"/>
  <c r="F5356" i="26"/>
  <c r="D5276" i="26"/>
  <c r="F5276" i="26"/>
  <c r="D5236" i="26"/>
  <c r="F5236" i="26"/>
  <c r="D5096" i="26"/>
  <c r="F5096" i="26"/>
  <c r="D5056" i="26"/>
  <c r="F5056" i="26"/>
  <c r="D4936" i="26"/>
  <c r="F4936" i="26"/>
  <c r="D4916" i="26"/>
  <c r="F4916" i="26"/>
  <c r="D4876" i="26"/>
  <c r="F4876" i="26"/>
  <c r="D4816" i="26"/>
  <c r="F4816" i="26"/>
  <c r="D4796" i="26"/>
  <c r="F4796" i="26"/>
  <c r="D4776" i="26"/>
  <c r="F4776" i="26"/>
  <c r="D4716" i="26"/>
  <c r="F4716" i="26"/>
  <c r="D4636" i="26"/>
  <c r="F4636" i="26"/>
  <c r="D4576" i="26"/>
  <c r="F4576" i="26"/>
  <c r="D4556" i="26"/>
  <c r="F4556" i="26"/>
  <c r="D4516" i="26"/>
  <c r="F4516" i="26"/>
  <c r="D4496" i="26"/>
  <c r="F4496" i="26"/>
  <c r="D4396" i="26"/>
  <c r="F4396" i="26"/>
  <c r="D4376" i="26"/>
  <c r="F4376" i="26"/>
  <c r="D4316" i="26"/>
  <c r="F4316" i="26"/>
  <c r="D4296" i="26"/>
  <c r="F4296" i="26"/>
  <c r="D4276" i="26"/>
  <c r="F4276" i="26"/>
  <c r="D4196" i="26"/>
  <c r="F4196" i="26"/>
  <c r="D4176" i="26"/>
  <c r="F4176" i="26"/>
  <c r="D4156" i="26"/>
  <c r="F4156" i="26"/>
  <c r="D4136" i="26"/>
  <c r="F4136" i="26"/>
  <c r="D4116" i="26"/>
  <c r="F4116" i="26"/>
  <c r="D4056" i="26"/>
  <c r="F4056" i="26"/>
  <c r="D4036" i="26"/>
  <c r="F4036" i="26"/>
  <c r="D4016" i="26"/>
  <c r="F4016" i="26"/>
  <c r="D3976" i="26"/>
  <c r="F3976" i="26"/>
  <c r="D3856" i="26"/>
  <c r="F3856" i="26"/>
  <c r="D3836" i="26"/>
  <c r="F3836" i="26"/>
  <c r="D3816" i="26"/>
  <c r="F3816" i="26"/>
  <c r="D3796" i="26"/>
  <c r="F3796" i="26"/>
  <c r="D3776" i="26"/>
  <c r="F3776" i="26"/>
  <c r="D3756" i="26"/>
  <c r="F3756" i="26"/>
  <c r="D3696" i="26"/>
  <c r="F3696" i="26"/>
  <c r="D3636" i="26"/>
  <c r="F3636" i="26"/>
  <c r="D3536" i="26"/>
  <c r="F3536" i="26"/>
  <c r="D3516" i="26"/>
  <c r="F3516" i="26"/>
  <c r="D3496" i="26"/>
  <c r="F3496" i="26"/>
  <c r="D3476" i="26"/>
  <c r="F3476" i="26"/>
  <c r="D3416" i="26"/>
  <c r="F3416" i="26"/>
  <c r="D3356" i="26"/>
  <c r="F3356" i="26"/>
  <c r="D3336" i="26"/>
  <c r="F3336" i="26"/>
  <c r="D3256" i="26"/>
  <c r="F3256" i="26"/>
  <c r="D3196" i="26"/>
  <c r="F3196" i="26"/>
  <c r="D3176" i="26"/>
  <c r="F3176" i="26"/>
  <c r="D3156" i="26"/>
  <c r="F3156" i="26"/>
  <c r="D3136" i="26"/>
  <c r="F3136" i="26"/>
  <c r="D3116" i="26"/>
  <c r="F3116" i="26"/>
  <c r="D3096" i="26"/>
  <c r="F3096" i="26"/>
  <c r="D3076" i="26"/>
  <c r="F3076" i="26"/>
  <c r="D3016" i="26"/>
  <c r="F3016" i="26"/>
  <c r="D2976" i="26"/>
  <c r="F2976" i="26"/>
  <c r="D2936" i="26"/>
  <c r="F2936" i="26"/>
  <c r="D2916" i="26"/>
  <c r="F2916" i="26"/>
  <c r="D2896" i="26"/>
  <c r="F2896" i="26"/>
  <c r="D2856" i="26"/>
  <c r="F2856" i="26"/>
  <c r="D2836" i="26"/>
  <c r="F2836" i="26"/>
  <c r="D2816" i="26"/>
  <c r="F2816" i="26"/>
  <c r="D2776" i="26"/>
  <c r="F2776" i="26"/>
  <c r="D2756" i="26"/>
  <c r="F2756" i="26"/>
  <c r="D2736" i="26"/>
  <c r="F2736" i="26"/>
  <c r="D2716" i="26"/>
  <c r="F2716" i="26"/>
  <c r="D2696" i="26"/>
  <c r="F2696" i="26"/>
  <c r="D2676" i="26"/>
  <c r="F2676" i="26"/>
  <c r="D2656" i="26"/>
  <c r="F2656" i="26"/>
  <c r="D2596" i="26"/>
  <c r="F2596" i="26"/>
  <c r="D2576" i="26"/>
  <c r="F2576" i="26"/>
  <c r="D2556" i="26"/>
  <c r="F2556" i="26"/>
  <c r="D2536" i="26"/>
  <c r="F2536" i="26"/>
  <c r="D2516" i="26"/>
  <c r="F2516" i="26"/>
  <c r="D2476" i="26"/>
  <c r="F2476" i="26"/>
  <c r="D2356" i="26"/>
  <c r="F2356" i="26"/>
  <c r="D2336" i="26"/>
  <c r="F2336" i="26"/>
  <c r="D2276" i="26"/>
  <c r="F2276" i="26"/>
  <c r="D2236" i="26"/>
  <c r="F2236" i="26"/>
  <c r="D2216" i="26"/>
  <c r="F2216" i="26"/>
  <c r="D2196" i="26"/>
  <c r="F2196" i="26"/>
  <c r="D2156" i="26"/>
  <c r="F2156" i="26"/>
  <c r="D2136" i="26"/>
  <c r="F2136" i="26"/>
  <c r="D2116" i="26"/>
  <c r="F2116" i="26"/>
  <c r="D2096" i="26"/>
  <c r="F2096" i="26"/>
  <c r="D2076" i="26"/>
  <c r="F2076" i="26"/>
  <c r="D2056" i="26"/>
  <c r="F2056" i="26"/>
  <c r="D2036" i="26"/>
  <c r="F2036" i="26"/>
  <c r="D2016" i="26"/>
  <c r="F2016" i="26"/>
  <c r="D1996" i="26"/>
  <c r="F1996" i="26"/>
  <c r="D1976" i="26"/>
  <c r="F1976" i="26"/>
  <c r="D1956" i="26"/>
  <c r="F1956" i="26"/>
  <c r="D1936" i="26"/>
  <c r="F1936" i="26"/>
  <c r="D1916" i="26"/>
  <c r="F1916" i="26"/>
  <c r="D1896" i="26"/>
  <c r="F1896" i="26"/>
  <c r="D1876" i="26"/>
  <c r="F1876" i="26"/>
  <c r="D1856" i="26"/>
  <c r="F1856" i="26"/>
  <c r="D1836" i="26"/>
  <c r="F1836" i="26"/>
  <c r="D1816" i="26"/>
  <c r="F1816" i="26"/>
  <c r="D1736" i="26"/>
  <c r="F1736" i="26"/>
  <c r="D1716" i="26"/>
  <c r="F1716" i="26"/>
  <c r="D1696" i="26"/>
  <c r="F1696" i="26"/>
  <c r="D1676" i="26"/>
  <c r="F1676" i="26"/>
  <c r="D1656" i="26"/>
  <c r="F1656" i="26"/>
  <c r="D1636" i="26"/>
  <c r="F1636" i="26"/>
  <c r="D1616" i="26"/>
  <c r="F1616" i="26"/>
  <c r="D1596" i="26"/>
  <c r="F1596" i="26"/>
  <c r="D1576" i="26"/>
  <c r="F1576" i="26"/>
  <c r="D1556" i="26"/>
  <c r="F1556" i="26"/>
  <c r="D5783" i="26"/>
  <c r="D5063" i="26"/>
  <c r="D4537" i="26"/>
  <c r="D3043" i="26"/>
  <c r="F6718" i="26"/>
  <c r="F6557" i="26"/>
  <c r="F6524" i="26"/>
  <c r="F6418" i="26"/>
  <c r="F6137" i="26"/>
  <c r="F5998" i="26"/>
  <c r="F5763" i="26"/>
  <c r="F5677" i="26"/>
  <c r="F5643" i="26"/>
  <c r="F5524" i="26"/>
  <c r="F5436" i="26"/>
  <c r="F5183" i="26"/>
  <c r="F5115" i="26"/>
  <c r="F5064" i="26"/>
  <c r="F4498" i="26"/>
  <c r="F4378" i="26"/>
  <c r="F4238" i="26"/>
  <c r="F4175" i="26"/>
  <c r="F4038" i="26"/>
  <c r="F3738" i="26"/>
  <c r="F3557" i="26"/>
  <c r="F3436" i="26"/>
  <c r="F3295" i="26"/>
  <c r="F3162" i="26"/>
  <c r="F3023" i="26"/>
  <c r="F2503" i="26"/>
  <c r="F1742" i="26"/>
  <c r="F1615" i="26"/>
  <c r="F1497" i="26"/>
  <c r="F5934" i="26"/>
  <c r="F5621" i="26"/>
  <c r="F5114" i="26"/>
  <c r="F4841" i="26"/>
  <c r="F4761" i="26"/>
  <c r="F4421" i="26"/>
  <c r="F3654" i="26"/>
  <c r="F3074" i="26"/>
  <c r="F1401" i="26"/>
  <c r="D3741" i="26"/>
  <c r="F3741" i="26"/>
  <c r="D6761" i="26"/>
  <c r="F6761" i="26"/>
  <c r="D6741" i="26"/>
  <c r="F6741" i="26"/>
  <c r="D6601" i="26"/>
  <c r="F6601" i="26"/>
  <c r="D6581" i="26"/>
  <c r="F6581" i="26"/>
  <c r="D6361" i="26"/>
  <c r="F6361" i="26"/>
  <c r="D6341" i="26"/>
  <c r="F6341" i="26"/>
  <c r="D6201" i="26"/>
  <c r="F6201" i="26"/>
  <c r="D6181" i="26"/>
  <c r="F6181" i="26"/>
  <c r="D5961" i="26"/>
  <c r="F5961" i="26"/>
  <c r="D5941" i="26"/>
  <c r="F5941" i="26"/>
  <c r="D5901" i="26"/>
  <c r="F5901" i="26"/>
  <c r="D5841" i="26"/>
  <c r="F5841" i="26"/>
  <c r="D5741" i="26"/>
  <c r="F5741" i="26"/>
  <c r="D5681" i="26"/>
  <c r="F5681" i="26"/>
  <c r="D5601" i="26"/>
  <c r="F5601" i="26"/>
  <c r="D5541" i="26"/>
  <c r="F5541" i="26"/>
  <c r="D5461" i="26"/>
  <c r="F5461" i="26"/>
  <c r="D5401" i="26"/>
  <c r="F5401" i="26"/>
  <c r="D5341" i="26"/>
  <c r="F5341" i="26"/>
  <c r="D5301" i="26"/>
  <c r="F5301" i="26"/>
  <c r="D5181" i="26"/>
  <c r="F5181" i="26"/>
  <c r="D5161" i="26"/>
  <c r="F5161" i="26"/>
  <c r="D5141" i="26"/>
  <c r="F5141" i="26"/>
  <c r="D5121" i="26"/>
  <c r="F5121" i="26"/>
  <c r="D5081" i="26"/>
  <c r="F5081" i="26"/>
  <c r="D5061" i="26"/>
  <c r="F5061" i="26"/>
  <c r="D5001" i="26"/>
  <c r="F5001" i="26"/>
  <c r="D4961" i="26"/>
  <c r="F4961" i="26"/>
  <c r="D4941" i="26"/>
  <c r="F4941" i="26"/>
  <c r="D4881" i="26"/>
  <c r="F4881" i="26"/>
  <c r="D4801" i="26"/>
  <c r="F4801" i="26"/>
  <c r="D4721" i="26"/>
  <c r="F4721" i="26"/>
  <c r="D4621" i="26"/>
  <c r="F4621" i="26"/>
  <c r="D4601" i="26"/>
  <c r="F4601" i="26"/>
  <c r="D4541" i="26"/>
  <c r="F4541" i="26"/>
  <c r="D4501" i="26"/>
  <c r="F4501" i="26"/>
  <c r="D4461" i="26"/>
  <c r="F4461" i="26"/>
  <c r="D4401" i="26"/>
  <c r="F4401" i="26"/>
  <c r="D4361" i="26"/>
  <c r="F4361" i="26"/>
  <c r="D4341" i="26"/>
  <c r="F4341" i="26"/>
  <c r="D4321" i="26"/>
  <c r="F4321" i="26"/>
  <c r="D4301" i="26"/>
  <c r="F4301" i="26"/>
  <c r="D4241" i="26"/>
  <c r="F4241" i="26"/>
  <c r="D4221" i="26"/>
  <c r="F4221" i="26"/>
  <c r="D4201" i="26"/>
  <c r="F4201" i="26"/>
  <c r="D4161" i="26"/>
  <c r="F4161" i="26"/>
  <c r="D4141" i="26"/>
  <c r="F4141" i="26"/>
  <c r="D4121" i="26"/>
  <c r="F4121" i="26"/>
  <c r="D4081" i="26"/>
  <c r="F4081" i="26"/>
  <c r="F4021" i="26"/>
  <c r="D4021" i="26"/>
  <c r="D3981" i="26"/>
  <c r="F3981" i="26"/>
  <c r="D3961" i="26"/>
  <c r="F3961" i="26"/>
  <c r="D3881" i="26"/>
  <c r="F3881" i="26"/>
  <c r="D3781" i="26"/>
  <c r="F3781" i="26"/>
  <c r="D3761" i="26"/>
  <c r="F3761" i="26"/>
  <c r="D3721" i="26"/>
  <c r="F3721" i="26"/>
  <c r="D3701" i="26"/>
  <c r="F3701" i="26"/>
  <c r="D3661" i="26"/>
  <c r="F3661" i="26"/>
  <c r="D3641" i="26"/>
  <c r="F3641" i="26"/>
  <c r="D3601" i="26"/>
  <c r="F3601" i="26"/>
  <c r="D3581" i="26"/>
  <c r="F3581" i="26"/>
  <c r="D3521" i="26"/>
  <c r="F3521" i="26"/>
  <c r="D3501" i="26"/>
  <c r="F3501" i="26"/>
  <c r="D3481" i="26"/>
  <c r="F3481" i="26"/>
  <c r="D3461" i="26"/>
  <c r="F3461" i="26"/>
  <c r="D3381" i="26"/>
  <c r="F3381" i="26"/>
  <c r="D3361" i="26"/>
  <c r="F3361" i="26"/>
  <c r="D3341" i="26"/>
  <c r="F3341" i="26"/>
  <c r="D3321" i="26"/>
  <c r="F3321" i="26"/>
  <c r="D3221" i="26"/>
  <c r="F3221" i="26"/>
  <c r="D3121" i="26"/>
  <c r="F3121" i="26"/>
  <c r="D3081" i="26"/>
  <c r="F3081" i="26"/>
  <c r="D3061" i="26"/>
  <c r="F3061" i="26"/>
  <c r="D3041" i="26"/>
  <c r="F3041" i="26"/>
  <c r="D3001" i="26"/>
  <c r="F3001" i="26"/>
  <c r="D2981" i="26"/>
  <c r="F2981" i="26"/>
  <c r="D2961" i="26"/>
  <c r="F2961" i="26"/>
  <c r="D2941" i="26"/>
  <c r="F2941" i="26"/>
  <c r="D2921" i="26"/>
  <c r="F2921" i="26"/>
  <c r="D2881" i="26"/>
  <c r="F2881" i="26"/>
  <c r="D2841" i="26"/>
  <c r="F2841" i="26"/>
  <c r="D2821" i="26"/>
  <c r="F2821" i="26"/>
  <c r="D2801" i="26"/>
  <c r="F2801" i="26"/>
  <c r="D2781" i="26"/>
  <c r="F2781" i="26"/>
  <c r="D2761" i="26"/>
  <c r="F2761" i="26"/>
  <c r="D2721" i="26"/>
  <c r="F2721" i="26"/>
  <c r="D2681" i="26"/>
  <c r="F2681" i="26"/>
  <c r="D2661" i="26"/>
  <c r="F2661" i="26"/>
  <c r="D2641" i="26"/>
  <c r="F2641" i="26"/>
  <c r="D2621" i="26"/>
  <c r="F2621" i="26"/>
  <c r="D2601" i="26"/>
  <c r="F2601" i="26"/>
  <c r="D2581" i="26"/>
  <c r="F2581" i="26"/>
  <c r="D2541" i="26"/>
  <c r="F2541" i="26"/>
  <c r="D2521" i="26"/>
  <c r="F2521" i="26"/>
  <c r="D2501" i="26"/>
  <c r="F2501" i="26"/>
  <c r="D2481" i="26"/>
  <c r="F2481" i="26"/>
  <c r="D2401" i="26"/>
  <c r="F2401" i="26"/>
  <c r="D2381" i="26"/>
  <c r="F2381" i="26"/>
  <c r="D2341" i="26"/>
  <c r="F2341" i="26"/>
  <c r="D2301" i="26"/>
  <c r="F2301" i="26"/>
  <c r="D2281" i="26"/>
  <c r="F2281" i="26"/>
  <c r="D2261" i="26"/>
  <c r="F2261" i="26"/>
  <c r="D2241" i="26"/>
  <c r="F2241" i="26"/>
  <c r="D2181" i="26"/>
  <c r="F2181" i="26"/>
  <c r="D2161" i="26"/>
  <c r="F2161" i="26"/>
  <c r="D2141" i="26"/>
  <c r="F2141" i="26"/>
  <c r="D2121" i="26"/>
  <c r="F2121" i="26"/>
  <c r="D2021" i="26"/>
  <c r="F2021" i="26"/>
  <c r="D1981" i="26"/>
  <c r="F1981" i="26"/>
  <c r="D1961" i="26"/>
  <c r="F1961" i="26"/>
  <c r="D1941" i="26"/>
  <c r="F1941" i="26"/>
  <c r="D1921" i="26"/>
  <c r="F1921" i="26"/>
  <c r="D1901" i="26"/>
  <c r="F1901" i="26"/>
  <c r="D1861" i="26"/>
  <c r="F1861" i="26"/>
  <c r="D1841" i="26"/>
  <c r="F1841" i="26"/>
  <c r="D1801" i="26"/>
  <c r="F1801" i="26"/>
  <c r="D1781" i="26"/>
  <c r="F1781" i="26"/>
  <c r="D1761" i="26"/>
  <c r="F1761" i="26"/>
  <c r="D1721" i="26"/>
  <c r="F1721" i="26"/>
  <c r="D1701" i="26"/>
  <c r="F1701" i="26"/>
  <c r="D1661" i="26"/>
  <c r="F1661" i="26"/>
  <c r="D1641" i="26"/>
  <c r="F1641" i="26"/>
  <c r="D1621" i="26"/>
  <c r="F1621" i="26"/>
  <c r="D1581" i="26"/>
  <c r="F1581" i="26"/>
  <c r="D1541" i="26"/>
  <c r="F1541" i="26"/>
  <c r="D1501" i="26"/>
  <c r="F1501" i="26"/>
  <c r="D1481" i="26"/>
  <c r="F1481" i="26"/>
  <c r="D1441" i="26"/>
  <c r="F1441" i="26"/>
  <c r="D1421" i="26"/>
  <c r="F1421" i="26"/>
  <c r="D1381" i="26"/>
  <c r="F1381" i="26"/>
  <c r="D1341" i="26"/>
  <c r="F1341" i="26"/>
  <c r="D1321" i="26"/>
  <c r="F1321" i="26"/>
  <c r="D1301" i="26"/>
  <c r="F1301" i="26"/>
  <c r="D1281" i="26"/>
  <c r="F1281" i="26"/>
  <c r="D1261" i="26"/>
  <c r="F1261" i="26"/>
  <c r="D1241" i="26"/>
  <c r="F1241" i="26"/>
  <c r="D1221" i="26"/>
  <c r="F1221" i="26"/>
  <c r="D1181" i="26"/>
  <c r="F1181" i="26"/>
  <c r="D1161" i="26"/>
  <c r="F1161" i="26"/>
  <c r="D1141" i="26"/>
  <c r="F1141" i="26"/>
  <c r="D1121" i="26"/>
  <c r="F1121" i="26"/>
  <c r="D1081" i="26"/>
  <c r="F1081" i="26"/>
  <c r="D1041" i="26"/>
  <c r="F1041" i="26"/>
  <c r="D1021" i="26"/>
  <c r="F1021" i="26"/>
  <c r="F6161" i="26"/>
  <c r="F6134" i="26"/>
  <c r="F6081" i="26"/>
  <c r="F6001" i="26"/>
  <c r="F5214" i="26"/>
  <c r="F5174" i="26"/>
  <c r="F5134" i="26"/>
  <c r="F4981" i="26"/>
  <c r="F4901" i="26"/>
  <c r="F4741" i="26"/>
  <c r="F4661" i="26"/>
  <c r="F3681" i="26"/>
  <c r="F3301" i="26"/>
  <c r="F3101" i="26"/>
  <c r="F2674" i="26"/>
  <c r="F2574" i="26"/>
  <c r="F2101" i="26"/>
  <c r="F1881" i="26"/>
  <c r="F1454" i="26"/>
  <c r="F1361" i="26"/>
  <c r="D5261" i="26"/>
  <c r="D3652" i="26"/>
  <c r="D3212" i="26"/>
  <c r="F6712" i="26"/>
  <c r="F6632" i="26"/>
  <c r="F6554" i="26"/>
  <c r="F6501" i="26"/>
  <c r="F6474" i="26"/>
  <c r="F6421" i="26"/>
  <c r="F6133" i="26"/>
  <c r="F6053" i="26"/>
  <c r="F5894" i="26"/>
  <c r="F5812" i="26"/>
  <c r="F5361" i="26"/>
  <c r="F5213" i="26"/>
  <c r="F5172" i="26"/>
  <c r="F5133" i="26"/>
  <c r="F4701" i="26"/>
  <c r="F4572" i="26"/>
  <c r="F4314" i="26"/>
  <c r="F3954" i="26"/>
  <c r="F3634" i="26"/>
  <c r="F2893" i="26"/>
  <c r="F2673" i="26"/>
  <c r="F2093" i="26"/>
  <c r="F1453" i="26"/>
  <c r="D1535" i="26"/>
  <c r="F1535" i="26"/>
  <c r="D1515" i="26"/>
  <c r="F1515" i="26"/>
  <c r="D1495" i="26"/>
  <c r="F1495" i="26"/>
  <c r="D1475" i="26"/>
  <c r="F1475" i="26"/>
  <c r="D1455" i="26"/>
  <c r="F1455" i="26"/>
  <c r="D1435" i="26"/>
  <c r="F1435" i="26"/>
  <c r="D1415" i="26"/>
  <c r="F1415" i="26"/>
  <c r="D1395" i="26"/>
  <c r="F1395" i="26"/>
  <c r="D1375" i="26"/>
  <c r="F1375" i="26"/>
  <c r="D1355" i="26"/>
  <c r="F1355" i="26"/>
  <c r="D1315" i="26"/>
  <c r="F1315" i="26"/>
  <c r="D1275" i="26"/>
  <c r="F1275" i="26"/>
  <c r="D1255" i="26"/>
  <c r="F1255" i="26"/>
  <c r="D1215" i="26"/>
  <c r="F1215" i="26"/>
  <c r="D1195" i="26"/>
  <c r="F1195" i="26"/>
  <c r="D1175" i="26"/>
  <c r="F1175" i="26"/>
  <c r="D1135" i="26"/>
  <c r="F1135" i="26"/>
  <c r="D1115" i="26"/>
  <c r="F1115" i="26"/>
  <c r="D1055" i="26"/>
  <c r="F1055" i="26"/>
  <c r="D1015" i="26"/>
  <c r="F1015" i="26"/>
  <c r="D4814" i="26"/>
  <c r="F4814" i="26"/>
  <c r="D4794" i="26"/>
  <c r="F4794" i="26"/>
  <c r="D4774" i="26"/>
  <c r="F4774" i="26"/>
  <c r="D4754" i="26"/>
  <c r="F4754" i="26"/>
  <c r="D4714" i="26"/>
  <c r="F4714" i="26"/>
  <c r="D4694" i="26"/>
  <c r="F4694" i="26"/>
  <c r="D4674" i="26"/>
  <c r="F4674" i="26"/>
  <c r="D4654" i="26"/>
  <c r="F4654" i="26"/>
  <c r="D4634" i="26"/>
  <c r="F4634" i="26"/>
  <c r="D4614" i="26"/>
  <c r="F4614" i="26"/>
  <c r="D4594" i="26"/>
  <c r="F4594" i="26"/>
  <c r="D4574" i="26"/>
  <c r="F4574" i="26"/>
  <c r="D4534" i="26"/>
  <c r="F4534" i="26"/>
  <c r="D4514" i="26"/>
  <c r="F4514" i="26"/>
  <c r="D4494" i="26"/>
  <c r="F4494" i="26"/>
  <c r="D4474" i="26"/>
  <c r="F4474" i="26"/>
  <c r="D4454" i="26"/>
  <c r="F4454" i="26"/>
  <c r="D4414" i="26"/>
  <c r="F4414" i="26"/>
  <c r="D4394" i="26"/>
  <c r="F4394" i="26"/>
  <c r="D4374" i="26"/>
  <c r="F4374" i="26"/>
  <c r="D4234" i="26"/>
  <c r="F4234" i="26"/>
  <c r="D4174" i="26"/>
  <c r="F4174" i="26"/>
  <c r="D4154" i="26"/>
  <c r="F4154" i="26"/>
  <c r="D4014" i="26"/>
  <c r="F4014" i="26"/>
  <c r="D3994" i="26"/>
  <c r="F3994" i="26"/>
  <c r="D3914" i="26"/>
  <c r="F3914" i="26"/>
  <c r="D3894" i="26"/>
  <c r="F3894" i="26"/>
  <c r="D3774" i="26"/>
  <c r="F3774" i="26"/>
  <c r="D3754" i="26"/>
  <c r="F3754" i="26"/>
  <c r="D3674" i="26"/>
  <c r="F3674" i="26"/>
  <c r="D3614" i="26"/>
  <c r="F3614" i="26"/>
  <c r="D3594" i="26"/>
  <c r="F3594" i="26"/>
  <c r="D3574" i="26"/>
  <c r="F3574" i="26"/>
  <c r="D3534" i="26"/>
  <c r="F3534" i="26"/>
  <c r="D3514" i="26"/>
  <c r="F3514" i="26"/>
  <c r="D3454" i="26"/>
  <c r="F3454" i="26"/>
  <c r="D3414" i="26"/>
  <c r="F3414" i="26"/>
  <c r="D3274" i="26"/>
  <c r="F3274" i="26"/>
  <c r="D3234" i="26"/>
  <c r="F3234" i="26"/>
  <c r="D3194" i="26"/>
  <c r="F3194" i="26"/>
  <c r="D3154" i="26"/>
  <c r="F3154" i="26"/>
  <c r="D3134" i="26"/>
  <c r="F3134" i="26"/>
  <c r="D3094" i="26"/>
  <c r="F3094" i="26"/>
  <c r="D3054" i="26"/>
  <c r="F3054" i="26"/>
  <c r="D2994" i="26"/>
  <c r="F2994" i="26"/>
  <c r="D2894" i="26"/>
  <c r="F2894" i="26"/>
  <c r="D2854" i="26"/>
  <c r="F2854" i="26"/>
  <c r="D2834" i="26"/>
  <c r="F2834" i="26"/>
  <c r="D2814" i="26"/>
  <c r="F2814" i="26"/>
  <c r="D2774" i="26"/>
  <c r="F2774" i="26"/>
  <c r="D2754" i="26"/>
  <c r="F2754" i="26"/>
  <c r="D2734" i="26"/>
  <c r="F2734" i="26"/>
  <c r="D2714" i="26"/>
  <c r="F2714" i="26"/>
  <c r="D2654" i="26"/>
  <c r="F2654" i="26"/>
  <c r="D2634" i="26"/>
  <c r="F2634" i="26"/>
  <c r="D2614" i="26"/>
  <c r="F2614" i="26"/>
  <c r="D2594" i="26"/>
  <c r="F2594" i="26"/>
  <c r="D2554" i="26"/>
  <c r="F2554" i="26"/>
  <c r="D2534" i="26"/>
  <c r="F2534" i="26"/>
  <c r="D2514" i="26"/>
  <c r="F2514" i="26"/>
  <c r="D2434" i="26"/>
  <c r="F2434" i="26"/>
  <c r="D2414" i="26"/>
  <c r="F2414" i="26"/>
  <c r="D2374" i="26"/>
  <c r="F2374" i="26"/>
  <c r="D2354" i="26"/>
  <c r="F2354" i="26"/>
  <c r="D2334" i="26"/>
  <c r="F2334" i="26"/>
  <c r="D2314" i="26"/>
  <c r="F2314" i="26"/>
  <c r="D2294" i="26"/>
  <c r="F2294" i="26"/>
  <c r="D2254" i="26"/>
  <c r="F2254" i="26"/>
  <c r="D2234" i="26"/>
  <c r="F2234" i="26"/>
  <c r="D2214" i="26"/>
  <c r="F2214" i="26"/>
  <c r="D2194" i="26"/>
  <c r="F2194" i="26"/>
  <c r="D2154" i="26"/>
  <c r="F2154" i="26"/>
  <c r="D2134" i="26"/>
  <c r="F2134" i="26"/>
  <c r="D2114" i="26"/>
  <c r="F2114" i="26"/>
  <c r="D2094" i="26"/>
  <c r="F2094" i="26"/>
  <c r="D2074" i="26"/>
  <c r="F2074" i="26"/>
  <c r="D2054" i="26"/>
  <c r="F2054" i="26"/>
  <c r="D2034" i="26"/>
  <c r="F2034" i="26"/>
  <c r="D1994" i="26"/>
  <c r="F1994" i="26"/>
  <c r="D1954" i="26"/>
  <c r="F1954" i="26"/>
  <c r="D1934" i="26"/>
  <c r="F1934" i="26"/>
  <c r="D1874" i="26"/>
  <c r="F1874" i="26"/>
  <c r="D1854" i="26"/>
  <c r="F1854" i="26"/>
  <c r="D1834" i="26"/>
  <c r="F1834" i="26"/>
  <c r="D1814" i="26"/>
  <c r="F1814" i="26"/>
  <c r="D1794" i="26"/>
  <c r="F1794" i="26"/>
  <c r="D1774" i="26"/>
  <c r="F1774" i="26"/>
  <c r="D1754" i="26"/>
  <c r="F1754" i="26"/>
  <c r="D1734" i="26"/>
  <c r="F1734" i="26"/>
  <c r="D1714" i="26"/>
  <c r="F1714" i="26"/>
  <c r="D1694" i="26"/>
  <c r="F1694" i="26"/>
  <c r="D1674" i="26"/>
  <c r="F1674" i="26"/>
  <c r="D1654" i="26"/>
  <c r="F1654" i="26"/>
  <c r="D1634" i="26"/>
  <c r="F1634" i="26"/>
  <c r="D1614" i="26"/>
  <c r="F1614" i="26"/>
  <c r="D1594" i="26"/>
  <c r="F1594" i="26"/>
  <c r="D1574" i="26"/>
  <c r="F1574" i="26"/>
  <c r="D1554" i="26"/>
  <c r="F1554" i="26"/>
  <c r="D1534" i="26"/>
  <c r="F1534" i="26"/>
  <c r="D1514" i="26"/>
  <c r="F1514" i="26"/>
  <c r="D1494" i="26"/>
  <c r="F1494" i="26"/>
  <c r="D1474" i="26"/>
  <c r="F1474" i="26"/>
  <c r="D1434" i="26"/>
  <c r="F1434" i="26"/>
  <c r="D1414" i="26"/>
  <c r="F1414" i="26"/>
  <c r="D1394" i="26"/>
  <c r="F1394" i="26"/>
  <c r="D1374" i="26"/>
  <c r="F1374" i="26"/>
  <c r="D1354" i="26"/>
  <c r="F1354" i="26"/>
  <c r="D1334" i="26"/>
  <c r="F1334" i="26"/>
  <c r="D1314" i="26"/>
  <c r="F1314" i="26"/>
  <c r="D1294" i="26"/>
  <c r="F1294" i="26"/>
  <c r="D1274" i="26"/>
  <c r="F1274" i="26"/>
  <c r="D1254" i="26"/>
  <c r="F1254" i="26"/>
  <c r="D1234" i="26"/>
  <c r="F1234" i="26"/>
  <c r="D1214" i="26"/>
  <c r="F1214" i="26"/>
  <c r="D1194" i="26"/>
  <c r="F1194" i="26"/>
  <c r="D1154" i="26"/>
  <c r="F1154" i="26"/>
  <c r="D1134" i="26"/>
  <c r="F1134" i="26"/>
  <c r="D1094" i="26"/>
  <c r="F1094" i="26"/>
  <c r="D1054" i="26"/>
  <c r="F1054" i="26"/>
  <c r="D1014" i="26"/>
  <c r="F1014" i="26"/>
  <c r="F6781" i="26"/>
  <c r="F5994" i="26"/>
  <c r="F5914" i="26"/>
  <c r="F5274" i="26"/>
  <c r="F4254" i="26"/>
  <c r="F4074" i="26"/>
  <c r="F3621" i="26"/>
  <c r="F3434" i="26"/>
  <c r="F3034" i="26"/>
  <c r="F2874" i="26"/>
  <c r="F1681" i="26"/>
  <c r="F1601" i="26"/>
  <c r="D6593" i="26"/>
  <c r="F6593" i="26"/>
  <c r="D6573" i="26"/>
  <c r="F6573" i="26"/>
  <c r="D6433" i="26"/>
  <c r="F6433" i="26"/>
  <c r="D6413" i="26"/>
  <c r="F6413" i="26"/>
  <c r="D6193" i="26"/>
  <c r="F6193" i="26"/>
  <c r="D6033" i="26"/>
  <c r="F6033" i="26"/>
  <c r="D6013" i="26"/>
  <c r="F6013" i="26"/>
  <c r="D5853" i="26"/>
  <c r="F5853" i="26"/>
  <c r="D5773" i="26"/>
  <c r="F5773" i="26"/>
  <c r="D5753" i="26"/>
  <c r="F5753" i="26"/>
  <c r="D5633" i="26"/>
  <c r="F5633" i="26"/>
  <c r="D5573" i="26"/>
  <c r="F5573" i="26"/>
  <c r="D5533" i="26"/>
  <c r="F5533" i="26"/>
  <c r="D5393" i="26"/>
  <c r="F5393" i="26"/>
  <c r="D5353" i="26"/>
  <c r="F5353" i="26"/>
  <c r="D5313" i="26"/>
  <c r="F5313" i="26"/>
  <c r="D5253" i="26"/>
  <c r="F5253" i="26"/>
  <c r="D5173" i="26"/>
  <c r="F5173" i="26"/>
  <c r="D5153" i="26"/>
  <c r="F5153" i="26"/>
  <c r="D5113" i="26"/>
  <c r="F5113" i="26"/>
  <c r="D5053" i="26"/>
  <c r="F5053" i="26"/>
  <c r="D5033" i="26"/>
  <c r="F5033" i="26"/>
  <c r="D5013" i="26"/>
  <c r="F5013" i="26"/>
  <c r="D4993" i="26"/>
  <c r="F4993" i="26"/>
  <c r="D4813" i="26"/>
  <c r="F4813" i="26"/>
  <c r="D4793" i="26"/>
  <c r="F4793" i="26"/>
  <c r="D4773" i="26"/>
  <c r="F4773" i="26"/>
  <c r="D4753" i="26"/>
  <c r="F4753" i="26"/>
  <c r="D4733" i="26"/>
  <c r="F4733" i="26"/>
  <c r="D4713" i="26"/>
  <c r="F4713" i="26"/>
  <c r="D4693" i="26"/>
  <c r="F4693" i="26"/>
  <c r="D4673" i="26"/>
  <c r="F4673" i="26"/>
  <c r="D4653" i="26"/>
  <c r="F4653" i="26"/>
  <c r="D4633" i="26"/>
  <c r="F4633" i="26"/>
  <c r="D4613" i="26"/>
  <c r="F4613" i="26"/>
  <c r="D4593" i="26"/>
  <c r="F4593" i="26"/>
  <c r="D4573" i="26"/>
  <c r="F4573" i="26"/>
  <c r="D4553" i="26"/>
  <c r="F4553" i="26"/>
  <c r="D4533" i="26"/>
  <c r="F4533" i="26"/>
  <c r="D4513" i="26"/>
  <c r="F4513" i="26"/>
  <c r="D4493" i="26"/>
  <c r="F4493" i="26"/>
  <c r="D4473" i="26"/>
  <c r="F4473" i="26"/>
  <c r="D4453" i="26"/>
  <c r="F4453" i="26"/>
  <c r="D4433" i="26"/>
  <c r="F4433" i="26"/>
  <c r="D4413" i="26"/>
  <c r="F4413" i="26"/>
  <c r="D4393" i="26"/>
  <c r="F4393" i="26"/>
  <c r="D4373" i="26"/>
  <c r="F4373" i="26"/>
  <c r="D4353" i="26"/>
  <c r="F4353" i="26"/>
  <c r="D4333" i="26"/>
  <c r="F4333" i="26"/>
  <c r="D4313" i="26"/>
  <c r="F4313" i="26"/>
  <c r="D4293" i="26"/>
  <c r="F4293" i="26"/>
  <c r="D4273" i="26"/>
  <c r="F4273" i="26"/>
  <c r="D4253" i="26"/>
  <c r="F4253" i="26"/>
  <c r="D4213" i="26"/>
  <c r="F4213" i="26"/>
  <c r="D4153" i="26"/>
  <c r="F4153" i="26"/>
  <c r="D4093" i="26"/>
  <c r="F4093" i="26"/>
  <c r="D4053" i="26"/>
  <c r="F4053" i="26"/>
  <c r="D3993" i="26"/>
  <c r="F3993" i="26"/>
  <c r="D3973" i="26"/>
  <c r="F3973" i="26"/>
  <c r="D3953" i="26"/>
  <c r="F3953" i="26"/>
  <c r="D3913" i="26"/>
  <c r="F3913" i="26"/>
  <c r="D3893" i="26"/>
  <c r="F3893" i="26"/>
  <c r="D3813" i="26"/>
  <c r="F3813" i="26"/>
  <c r="D3773" i="26"/>
  <c r="F3773" i="26"/>
  <c r="D3753" i="26"/>
  <c r="F3753" i="26"/>
  <c r="D3733" i="26"/>
  <c r="F3733" i="26"/>
  <c r="D3673" i="26"/>
  <c r="F3673" i="26"/>
  <c r="D3633" i="26"/>
  <c r="F3633" i="26"/>
  <c r="D3613" i="26"/>
  <c r="F3613" i="26"/>
  <c r="D3593" i="26"/>
  <c r="F3593" i="26"/>
  <c r="D3573" i="26"/>
  <c r="F3573" i="26"/>
  <c r="D3493" i="26"/>
  <c r="F3493" i="26"/>
  <c r="D3473" i="26"/>
  <c r="F3473" i="26"/>
  <c r="D3453" i="26"/>
  <c r="F3453" i="26"/>
  <c r="D3433" i="26"/>
  <c r="F3433" i="26"/>
  <c r="D3413" i="26"/>
  <c r="F3413" i="26"/>
  <c r="D3393" i="26"/>
  <c r="F3393" i="26"/>
  <c r="D3373" i="26"/>
  <c r="F3373" i="26"/>
  <c r="D3353" i="26"/>
  <c r="F3353" i="26"/>
  <c r="D3333" i="26"/>
  <c r="F3333" i="26"/>
  <c r="D3313" i="26"/>
  <c r="F3313" i="26"/>
  <c r="D3293" i="26"/>
  <c r="F3293" i="26"/>
  <c r="D3273" i="26"/>
  <c r="F3273" i="26"/>
  <c r="D3253" i="26"/>
  <c r="F3253" i="26"/>
  <c r="D3233" i="26"/>
  <c r="F3233" i="26"/>
  <c r="D3213" i="26"/>
  <c r="F3213" i="26"/>
  <c r="D3193" i="26"/>
  <c r="F3193" i="26"/>
  <c r="D3173" i="26"/>
  <c r="F3173" i="26"/>
  <c r="D3153" i="26"/>
  <c r="F3153" i="26"/>
  <c r="D3133" i="26"/>
  <c r="F3133" i="26"/>
  <c r="D3113" i="26"/>
  <c r="F3113" i="26"/>
  <c r="D3093" i="26"/>
  <c r="F3093" i="26"/>
  <c r="D3073" i="26"/>
  <c r="F3073" i="26"/>
  <c r="D3053" i="26"/>
  <c r="F3053" i="26"/>
  <c r="D3033" i="26"/>
  <c r="F3033" i="26"/>
  <c r="D3013" i="26"/>
  <c r="F3013" i="26"/>
  <c r="D2973" i="26"/>
  <c r="F2973" i="26"/>
  <c r="D2953" i="26"/>
  <c r="F2953" i="26"/>
  <c r="D2853" i="26"/>
  <c r="F2853" i="26"/>
  <c r="D2833" i="26"/>
  <c r="F2833" i="26"/>
  <c r="D2813" i="26"/>
  <c r="F2813" i="26"/>
  <c r="D2793" i="26"/>
  <c r="F2793" i="26"/>
  <c r="D2753" i="26"/>
  <c r="F2753" i="26"/>
  <c r="D2693" i="26"/>
  <c r="F2693" i="26"/>
  <c r="D2653" i="26"/>
  <c r="F2653" i="26"/>
  <c r="D2633" i="26"/>
  <c r="F2633" i="26"/>
  <c r="D2613" i="26"/>
  <c r="F2613" i="26"/>
  <c r="D2593" i="26"/>
  <c r="F2593" i="26"/>
  <c r="D2573" i="26"/>
  <c r="F2573" i="26"/>
  <c r="D2553" i="26"/>
  <c r="F2553" i="26"/>
  <c r="D2513" i="26"/>
  <c r="F2513" i="26"/>
  <c r="D2473" i="26"/>
  <c r="F2473" i="26"/>
  <c r="D2433" i="26"/>
  <c r="F2433" i="26"/>
  <c r="D2413" i="26"/>
  <c r="F2413" i="26"/>
  <c r="D2353" i="26"/>
  <c r="F2353" i="26"/>
  <c r="D2333" i="26"/>
  <c r="F2333" i="26"/>
  <c r="D2293" i="26"/>
  <c r="F2293" i="26"/>
  <c r="D2253" i="26"/>
  <c r="F2253" i="26"/>
  <c r="D2213" i="26"/>
  <c r="F2213" i="26"/>
  <c r="D2193" i="26"/>
  <c r="F2193" i="26"/>
  <c r="D2113" i="26"/>
  <c r="F2113" i="26"/>
  <c r="D2073" i="26"/>
  <c r="F2073" i="26"/>
  <c r="D2013" i="26"/>
  <c r="F2013" i="26"/>
  <c r="D1993" i="26"/>
  <c r="F1993" i="26"/>
  <c r="D1973" i="26"/>
  <c r="F1973" i="26"/>
  <c r="D1953" i="26"/>
  <c r="F1953" i="26"/>
  <c r="D1933" i="26"/>
  <c r="F1933" i="26"/>
  <c r="D1913" i="26"/>
  <c r="F1913" i="26"/>
  <c r="D1873" i="26"/>
  <c r="F1873" i="26"/>
  <c r="D1853" i="26"/>
  <c r="F1853" i="26"/>
  <c r="D1793" i="26"/>
  <c r="F1793" i="26"/>
  <c r="D1773" i="26"/>
  <c r="F1773" i="26"/>
  <c r="D1753" i="26"/>
  <c r="F1753" i="26"/>
  <c r="D1733" i="26"/>
  <c r="F1733" i="26"/>
  <c r="D1713" i="26"/>
  <c r="F1713" i="26"/>
  <c r="D1693" i="26"/>
  <c r="F1693" i="26"/>
  <c r="D1633" i="26"/>
  <c r="F1633" i="26"/>
  <c r="D1613" i="26"/>
  <c r="F1613" i="26"/>
  <c r="D1593" i="26"/>
  <c r="F1593" i="26"/>
  <c r="D1553" i="26"/>
  <c r="F1553" i="26"/>
  <c r="D1513" i="26"/>
  <c r="F1513" i="26"/>
  <c r="D1493" i="26"/>
  <c r="F1493" i="26"/>
  <c r="D1433" i="26"/>
  <c r="F1433" i="26"/>
  <c r="D1413" i="26"/>
  <c r="F1413" i="26"/>
  <c r="D1393" i="26"/>
  <c r="F1393" i="26"/>
  <c r="D1353" i="26"/>
  <c r="F1353" i="26"/>
  <c r="D1333" i="26"/>
  <c r="F1333" i="26"/>
  <c r="D1293" i="26"/>
  <c r="F1293" i="26"/>
  <c r="D1273" i="26"/>
  <c r="F1273" i="26"/>
  <c r="D1233" i="26"/>
  <c r="F1233" i="26"/>
  <c r="D1193" i="26"/>
  <c r="F1193" i="26"/>
  <c r="D1173" i="26"/>
  <c r="F1173" i="26"/>
  <c r="D1153" i="26"/>
  <c r="F1153" i="26"/>
  <c r="D1133" i="26"/>
  <c r="F1133" i="26"/>
  <c r="D1093" i="26"/>
  <c r="F1093" i="26"/>
  <c r="D1073" i="26"/>
  <c r="F1073" i="26"/>
  <c r="D1053" i="26"/>
  <c r="F1053" i="26"/>
  <c r="D1033" i="26"/>
  <c r="F1033" i="26"/>
  <c r="D2032" i="26"/>
  <c r="F6492" i="26"/>
  <c r="F6414" i="26"/>
  <c r="F6334" i="26"/>
  <c r="F6281" i="26"/>
  <c r="F6254" i="26"/>
  <c r="F5993" i="26"/>
  <c r="F5913" i="26"/>
  <c r="F5413" i="26"/>
  <c r="F5273" i="26"/>
  <c r="F5234" i="26"/>
  <c r="F4892" i="26"/>
  <c r="F4432" i="26"/>
  <c r="F4114" i="26"/>
  <c r="F4073" i="26"/>
  <c r="F3712" i="26"/>
  <c r="F3334" i="26"/>
  <c r="F3181" i="26"/>
  <c r="F2873" i="26"/>
  <c r="F2441" i="26"/>
  <c r="F2201" i="26"/>
  <c r="F2001" i="26"/>
  <c r="F1512" i="26"/>
  <c r="D1095" i="26"/>
  <c r="F1095" i="26"/>
  <c r="F4894" i="26"/>
  <c r="D6614" i="26"/>
  <c r="F6614" i="26"/>
  <c r="D6594" i="26"/>
  <c r="F6594" i="26"/>
  <c r="D6454" i="26"/>
  <c r="F6454" i="26"/>
  <c r="D6434" i="26"/>
  <c r="F6434" i="26"/>
  <c r="D6214" i="26"/>
  <c r="F6214" i="26"/>
  <c r="D6194" i="26"/>
  <c r="F6194" i="26"/>
  <c r="D6054" i="26"/>
  <c r="F6054" i="26"/>
  <c r="D6034" i="26"/>
  <c r="F6034" i="26"/>
  <c r="D5854" i="26"/>
  <c r="F5854" i="26"/>
  <c r="D5774" i="26"/>
  <c r="F5774" i="26"/>
  <c r="D5694" i="26"/>
  <c r="F5694" i="26"/>
  <c r="D5634" i="26"/>
  <c r="F5634" i="26"/>
  <c r="D5594" i="26"/>
  <c r="F5594" i="26"/>
  <c r="D5554" i="26"/>
  <c r="F5554" i="26"/>
  <c r="D5534" i="26"/>
  <c r="F5534" i="26"/>
  <c r="D5494" i="26"/>
  <c r="F5494" i="26"/>
  <c r="D5414" i="26"/>
  <c r="F5414" i="26"/>
  <c r="D5354" i="26"/>
  <c r="F5354" i="26"/>
  <c r="D5314" i="26"/>
  <c r="F5314" i="26"/>
  <c r="D5294" i="26"/>
  <c r="F5294" i="26"/>
  <c r="D5254" i="26"/>
  <c r="F5254" i="26"/>
  <c r="D5194" i="26"/>
  <c r="F5194" i="26"/>
  <c r="D5154" i="26"/>
  <c r="F5154" i="26"/>
  <c r="D5054" i="26"/>
  <c r="F5054" i="26"/>
  <c r="D5034" i="26"/>
  <c r="F5034" i="26"/>
  <c r="D5014" i="26"/>
  <c r="F5014" i="26"/>
  <c r="D4994" i="26"/>
  <c r="F4994" i="26"/>
  <c r="D4974" i="26"/>
  <c r="F4974" i="26"/>
  <c r="D4934" i="26"/>
  <c r="F4934" i="26"/>
  <c r="D4874" i="26"/>
  <c r="F4874" i="26"/>
  <c r="D4734" i="26"/>
  <c r="F4734" i="26"/>
  <c r="D4554" i="26"/>
  <c r="F4554" i="26"/>
  <c r="D4434" i="26"/>
  <c r="F4434" i="26"/>
  <c r="D4214" i="26"/>
  <c r="F4214" i="26"/>
  <c r="D4134" i="26"/>
  <c r="F4134" i="26"/>
  <c r="D4054" i="26"/>
  <c r="F4054" i="26"/>
  <c r="D3354" i="26"/>
  <c r="F3354" i="26"/>
  <c r="D6572" i="26"/>
  <c r="F6572" i="26"/>
  <c r="D6552" i="26"/>
  <c r="F6552" i="26"/>
  <c r="D6412" i="26"/>
  <c r="F6412" i="26"/>
  <c r="D6392" i="26"/>
  <c r="F6392" i="26"/>
  <c r="D6172" i="26"/>
  <c r="F6172" i="26"/>
  <c r="D6152" i="26"/>
  <c r="F6152" i="26"/>
  <c r="D6012" i="26"/>
  <c r="F6012" i="26"/>
  <c r="D5992" i="26"/>
  <c r="F5992" i="26"/>
  <c r="D5832" i="26"/>
  <c r="F5832" i="26"/>
  <c r="D5672" i="26"/>
  <c r="F5672" i="26"/>
  <c r="D5552" i="26"/>
  <c r="F5552" i="26"/>
  <c r="D5532" i="26"/>
  <c r="F5532" i="26"/>
  <c r="D5472" i="26"/>
  <c r="F5472" i="26"/>
  <c r="D5392" i="26"/>
  <c r="F5392" i="26"/>
  <c r="D5372" i="26"/>
  <c r="F5372" i="26"/>
  <c r="D5352" i="26"/>
  <c r="F5352" i="26"/>
  <c r="D5312" i="26"/>
  <c r="F5312" i="26"/>
  <c r="D5252" i="26"/>
  <c r="F5252" i="26"/>
  <c r="D5212" i="26"/>
  <c r="F5212" i="26"/>
  <c r="D5152" i="26"/>
  <c r="F5152" i="26"/>
  <c r="D5092" i="26"/>
  <c r="F5092" i="26"/>
  <c r="D5032" i="26"/>
  <c r="F5032" i="26"/>
  <c r="D4992" i="26"/>
  <c r="F4992" i="26"/>
  <c r="D4972" i="26"/>
  <c r="F4972" i="26"/>
  <c r="D4932" i="26"/>
  <c r="F4932" i="26"/>
  <c r="D4832" i="26"/>
  <c r="F4832" i="26"/>
  <c r="D4752" i="26"/>
  <c r="F4752" i="26"/>
  <c r="D4732" i="26"/>
  <c r="F4732" i="26"/>
  <c r="D4692" i="26"/>
  <c r="F4692" i="26"/>
  <c r="D4672" i="26"/>
  <c r="F4672" i="26"/>
  <c r="D4652" i="26"/>
  <c r="F4652" i="26"/>
  <c r="D4632" i="26"/>
  <c r="F4632" i="26"/>
  <c r="D4612" i="26"/>
  <c r="F4612" i="26"/>
  <c r="D4552" i="26"/>
  <c r="F4552" i="26"/>
  <c r="D4472" i="26"/>
  <c r="F4472" i="26"/>
  <c r="D4392" i="26"/>
  <c r="F4392" i="26"/>
  <c r="D4372" i="26"/>
  <c r="F4372" i="26"/>
  <c r="D4352" i="26"/>
  <c r="F4352" i="26"/>
  <c r="D4332" i="26"/>
  <c r="F4332" i="26"/>
  <c r="D4292" i="26"/>
  <c r="F4292" i="26"/>
  <c r="D4272" i="26"/>
  <c r="F4272" i="26"/>
  <c r="D4252" i="26"/>
  <c r="F4252" i="26"/>
  <c r="D4192" i="26"/>
  <c r="F4192" i="26"/>
  <c r="D4152" i="26"/>
  <c r="F4152" i="26"/>
  <c r="D4132" i="26"/>
  <c r="F4132" i="26"/>
  <c r="D4052" i="26"/>
  <c r="F4052" i="26"/>
  <c r="D3972" i="26"/>
  <c r="F3972" i="26"/>
  <c r="D3952" i="26"/>
  <c r="F3952" i="26"/>
  <c r="D3932" i="26"/>
  <c r="F3932" i="26"/>
  <c r="D3892" i="26"/>
  <c r="F3892" i="26"/>
  <c r="D3832" i="26"/>
  <c r="F3832" i="26"/>
  <c r="D3632" i="26"/>
  <c r="F3632" i="26"/>
  <c r="F3572" i="26"/>
  <c r="D3572" i="26"/>
  <c r="D3552" i="26"/>
  <c r="F3552" i="26"/>
  <c r="D3492" i="26"/>
  <c r="F3492" i="26"/>
  <c r="D3472" i="26"/>
  <c r="F3472" i="26"/>
  <c r="D3452" i="26"/>
  <c r="F3452" i="26"/>
  <c r="F3432" i="26"/>
  <c r="D3432" i="26"/>
  <c r="D3412" i="26"/>
  <c r="F3412" i="26"/>
  <c r="D3372" i="26"/>
  <c r="F3372" i="26"/>
  <c r="D3352" i="26"/>
  <c r="F3352" i="26"/>
  <c r="D3332" i="26"/>
  <c r="F3332" i="26"/>
  <c r="D3312" i="26"/>
  <c r="F3312" i="26"/>
  <c r="D3292" i="26"/>
  <c r="F3292" i="26"/>
  <c r="D3272" i="26"/>
  <c r="F3272" i="26"/>
  <c r="D3252" i="26"/>
  <c r="F3252" i="26"/>
  <c r="D3232" i="26"/>
  <c r="F3232" i="26"/>
  <c r="F3192" i="26"/>
  <c r="D3192" i="26"/>
  <c r="D3132" i="26"/>
  <c r="F3132" i="26"/>
  <c r="D3112" i="26"/>
  <c r="F3112" i="26"/>
  <c r="D3092" i="26"/>
  <c r="F3092" i="26"/>
  <c r="D3072" i="26"/>
  <c r="F3072" i="26"/>
  <c r="D3052" i="26"/>
  <c r="F3052" i="26"/>
  <c r="D3032" i="26"/>
  <c r="F3032" i="26"/>
  <c r="D3012" i="26"/>
  <c r="F3012" i="26"/>
  <c r="F2992" i="26"/>
  <c r="D2992" i="26"/>
  <c r="D2852" i="26"/>
  <c r="F2852" i="26"/>
  <c r="D2792" i="26"/>
  <c r="F2792" i="26"/>
  <c r="D2772" i="26"/>
  <c r="F2772" i="26"/>
  <c r="D2692" i="26"/>
  <c r="F2692" i="26"/>
  <c r="D2632" i="26"/>
  <c r="F2632" i="26"/>
  <c r="F2612" i="26"/>
  <c r="D2612" i="26"/>
  <c r="D2592" i="26"/>
  <c r="F2592" i="26"/>
  <c r="D2572" i="26"/>
  <c r="F2572" i="26"/>
  <c r="D2552" i="26"/>
  <c r="F2552" i="26"/>
  <c r="F2472" i="26"/>
  <c r="D2472" i="26"/>
  <c r="D2432" i="26"/>
  <c r="F2432" i="26"/>
  <c r="D2412" i="26"/>
  <c r="F2412" i="26"/>
  <c r="D2352" i="26"/>
  <c r="F2352" i="26"/>
  <c r="D2332" i="26"/>
  <c r="F2332" i="26"/>
  <c r="D2292" i="26"/>
  <c r="F2292" i="26"/>
  <c r="D2252" i="26"/>
  <c r="F2252" i="26"/>
  <c r="D2232" i="26"/>
  <c r="F2232" i="26"/>
  <c r="D2212" i="26"/>
  <c r="F2212" i="26"/>
  <c r="D2192" i="26"/>
  <c r="F2192" i="26"/>
  <c r="D2112" i="26"/>
  <c r="F2112" i="26"/>
  <c r="D2072" i="26"/>
  <c r="F2072" i="26"/>
  <c r="D2012" i="26"/>
  <c r="F2012" i="26"/>
  <c r="D1992" i="26"/>
  <c r="F1992" i="26"/>
  <c r="D1952" i="26"/>
  <c r="F1952" i="26"/>
  <c r="D1912" i="26"/>
  <c r="F1912" i="26"/>
  <c r="D1872" i="26"/>
  <c r="F1872" i="26"/>
  <c r="F1852" i="26"/>
  <c r="D1852" i="26"/>
  <c r="D1812" i="26"/>
  <c r="F1812" i="26"/>
  <c r="D1752" i="26"/>
  <c r="F1752" i="26"/>
  <c r="D1732" i="26"/>
  <c r="F1732" i="26"/>
  <c r="D1712" i="26"/>
  <c r="F1712" i="26"/>
  <c r="D1692" i="26"/>
  <c r="F1692" i="26"/>
  <c r="D1672" i="26"/>
  <c r="F1672" i="26"/>
  <c r="D1632" i="26"/>
  <c r="F1632" i="26"/>
  <c r="D1612" i="26"/>
  <c r="F1612" i="26"/>
  <c r="D1592" i="26"/>
  <c r="F1592" i="26"/>
  <c r="D1572" i="26"/>
  <c r="F1572" i="26"/>
  <c r="D1552" i="26"/>
  <c r="F1552" i="26"/>
  <c r="D1532" i="26"/>
  <c r="F1532" i="26"/>
  <c r="D1492" i="26"/>
  <c r="F1492" i="26"/>
  <c r="D1472" i="26"/>
  <c r="F1472" i="26"/>
  <c r="D1432" i="26"/>
  <c r="F1432" i="26"/>
  <c r="D1412" i="26"/>
  <c r="F1412" i="26"/>
  <c r="D1372" i="26"/>
  <c r="F1372" i="26"/>
  <c r="D1352" i="26"/>
  <c r="F1352" i="26"/>
  <c r="D1332" i="26"/>
  <c r="F1332" i="26"/>
  <c r="D1312" i="26"/>
  <c r="F1312" i="26"/>
  <c r="D1292" i="26"/>
  <c r="F1292" i="26"/>
  <c r="D1272" i="26"/>
  <c r="F1272" i="26"/>
  <c r="D1232" i="26"/>
  <c r="F1232" i="26"/>
  <c r="D1212" i="26"/>
  <c r="F1212" i="26"/>
  <c r="D1192" i="26"/>
  <c r="F1192" i="26"/>
  <c r="D1172" i="26"/>
  <c r="F1172" i="26"/>
  <c r="D1152" i="26"/>
  <c r="F1152" i="26"/>
  <c r="D1132" i="26"/>
  <c r="F1132" i="26"/>
  <c r="D1112" i="26"/>
  <c r="F1112" i="26"/>
  <c r="D1092" i="26"/>
  <c r="F1092" i="26"/>
  <c r="D1072" i="26"/>
  <c r="F1072" i="26"/>
  <c r="D1032" i="26"/>
  <c r="F1032" i="26"/>
  <c r="D1012" i="26"/>
  <c r="F1012" i="26"/>
  <c r="D4133" i="26"/>
  <c r="D3512" i="26"/>
  <c r="F6754" i="26"/>
  <c r="F6701" i="26"/>
  <c r="F6674" i="26"/>
  <c r="F6621" i="26"/>
  <c r="F6333" i="26"/>
  <c r="F6253" i="26"/>
  <c r="F5912" i="26"/>
  <c r="F5801" i="26"/>
  <c r="F5772" i="26"/>
  <c r="F5714" i="26"/>
  <c r="F5412" i="26"/>
  <c r="F5272" i="26"/>
  <c r="F5233" i="26"/>
  <c r="F5193" i="26"/>
  <c r="F5041" i="26"/>
  <c r="F4681" i="26"/>
  <c r="F4512" i="26"/>
  <c r="F4113" i="26"/>
  <c r="F4072" i="26"/>
  <c r="F3841" i="26"/>
  <c r="F2872" i="26"/>
  <c r="F2494" i="26"/>
  <c r="F2321" i="26"/>
  <c r="F2133" i="26"/>
  <c r="F1155" i="26"/>
  <c r="F1061" i="26"/>
  <c r="D1788" i="26"/>
  <c r="F1788" i="26"/>
  <c r="D1748" i="26"/>
  <c r="F1748" i="26"/>
  <c r="D1728" i="26"/>
  <c r="F1728" i="26"/>
  <c r="D1708" i="26"/>
  <c r="F1708" i="26"/>
  <c r="D1688" i="26"/>
  <c r="F1688" i="26"/>
  <c r="D1668" i="26"/>
  <c r="F1668" i="26"/>
  <c r="D1608" i="26"/>
  <c r="F1608" i="26"/>
  <c r="D1588" i="26"/>
  <c r="F1588" i="26"/>
  <c r="D1568" i="26"/>
  <c r="F1568" i="26"/>
  <c r="D1548" i="26"/>
  <c r="F1548" i="26"/>
  <c r="D1528" i="26"/>
  <c r="F1528" i="26"/>
  <c r="D1508" i="26"/>
  <c r="F1508" i="26"/>
  <c r="D1468" i="26"/>
  <c r="F1468" i="26"/>
  <c r="D1428" i="26"/>
  <c r="F1428" i="26"/>
  <c r="D1388" i="26"/>
  <c r="F1388" i="26"/>
  <c r="D1368" i="26"/>
  <c r="F1368" i="26"/>
  <c r="D1348" i="26"/>
  <c r="F1348" i="26"/>
  <c r="D1328" i="26"/>
  <c r="F1328" i="26"/>
  <c r="D1308" i="26"/>
  <c r="F1308" i="26"/>
  <c r="D1288" i="26"/>
  <c r="F1288" i="26"/>
  <c r="D1268" i="26"/>
  <c r="F1268" i="26"/>
  <c r="D1228" i="26"/>
  <c r="F1228" i="26"/>
  <c r="D1188" i="26"/>
  <c r="F1188" i="26"/>
  <c r="D1108" i="26"/>
  <c r="F1108" i="26"/>
  <c r="D1068" i="26"/>
  <c r="F1068" i="26"/>
  <c r="D1048" i="26"/>
  <c r="F1048" i="26"/>
  <c r="F6708" i="26"/>
  <c r="F6687" i="26"/>
  <c r="F6560" i="26"/>
  <c r="F6539" i="26"/>
  <c r="F6308" i="26"/>
  <c r="F6287" i="26"/>
  <c r="F6160" i="26"/>
  <c r="F6139" i="26"/>
  <c r="F5908" i="26"/>
  <c r="F5819" i="26"/>
  <c r="F5728" i="26"/>
  <c r="F5588" i="26"/>
  <c r="F5268" i="26"/>
  <c r="F5179" i="26"/>
  <c r="F4859" i="26"/>
  <c r="F4700" i="26"/>
  <c r="F4668" i="26"/>
  <c r="F4439" i="26"/>
  <c r="F4407" i="26"/>
  <c r="F4200" i="26"/>
  <c r="F4100" i="26"/>
  <c r="F3927" i="26"/>
  <c r="F3859" i="26"/>
  <c r="F3687" i="26"/>
  <c r="F3619" i="26"/>
  <c r="F3587" i="26"/>
  <c r="F3440" i="26"/>
  <c r="F3019" i="26"/>
  <c r="F2900" i="26"/>
  <c r="F2168" i="26"/>
  <c r="F2119" i="26"/>
  <c r="F1648" i="26"/>
  <c r="F1579" i="26"/>
  <c r="F1447" i="26"/>
  <c r="D5468" i="26"/>
  <c r="F5468" i="26"/>
  <c r="D5308" i="26"/>
  <c r="F5308" i="26"/>
  <c r="D5288" i="26"/>
  <c r="F5288" i="26"/>
  <c r="D5228" i="26"/>
  <c r="F5228" i="26"/>
  <c r="D5188" i="26"/>
  <c r="F5188" i="26"/>
  <c r="D5128" i="26"/>
  <c r="F5128" i="26"/>
  <c r="D5088" i="26"/>
  <c r="F5088" i="26"/>
  <c r="D5068" i="26"/>
  <c r="F5068" i="26"/>
  <c r="D4908" i="26"/>
  <c r="F4908" i="26"/>
  <c r="D4888" i="26"/>
  <c r="F4888" i="26"/>
  <c r="D4748" i="26"/>
  <c r="F4748" i="26"/>
  <c r="D4648" i="26"/>
  <c r="F4648" i="26"/>
  <c r="D4588" i="26"/>
  <c r="F4588" i="26"/>
  <c r="D4528" i="26"/>
  <c r="F4528" i="26"/>
  <c r="D4508" i="26"/>
  <c r="F4508" i="26"/>
  <c r="D4448" i="26"/>
  <c r="F4448" i="26"/>
  <c r="D4428" i="26"/>
  <c r="F4428" i="26"/>
  <c r="D4388" i="26"/>
  <c r="F4388" i="26"/>
  <c r="D4288" i="26"/>
  <c r="F4288" i="26"/>
  <c r="D4268" i="26"/>
  <c r="F4268" i="26"/>
  <c r="D4228" i="26"/>
  <c r="F4228" i="26"/>
  <c r="D4168" i="26"/>
  <c r="F4168" i="26"/>
  <c r="D4128" i="26"/>
  <c r="F4128" i="26"/>
  <c r="D4068" i="26"/>
  <c r="F4068" i="26"/>
  <c r="D4048" i="26"/>
  <c r="F4048" i="26"/>
  <c r="D3888" i="26"/>
  <c r="F3888" i="26"/>
  <c r="D3868" i="26"/>
  <c r="F3868" i="26"/>
  <c r="D3848" i="26"/>
  <c r="F3848" i="26"/>
  <c r="D3808" i="26"/>
  <c r="F3808" i="26"/>
  <c r="D3748" i="26"/>
  <c r="F3748" i="26"/>
  <c r="D3708" i="26"/>
  <c r="F3708" i="26"/>
  <c r="D3648" i="26"/>
  <c r="F3648" i="26"/>
  <c r="D3608" i="26"/>
  <c r="F3608" i="26"/>
  <c r="D3548" i="26"/>
  <c r="F3548" i="26"/>
  <c r="D3508" i="26"/>
  <c r="F3508" i="26"/>
  <c r="D3448" i="26"/>
  <c r="F3448" i="26"/>
  <c r="D3428" i="26"/>
  <c r="F3428" i="26"/>
  <c r="D3368" i="26"/>
  <c r="F3368" i="26"/>
  <c r="D3288" i="26"/>
  <c r="F3288" i="26"/>
  <c r="D3188" i="26"/>
  <c r="F3188" i="26"/>
  <c r="D3168" i="26"/>
  <c r="F3168" i="26"/>
  <c r="D3148" i="26"/>
  <c r="F3148" i="26"/>
  <c r="D3108" i="26"/>
  <c r="F3108" i="26"/>
  <c r="D3028" i="26"/>
  <c r="F3028" i="26"/>
  <c r="D2928" i="26"/>
  <c r="F2928" i="26"/>
  <c r="D2908" i="26"/>
  <c r="F2908" i="26"/>
  <c r="D2868" i="26"/>
  <c r="F2868" i="26"/>
  <c r="D2808" i="26"/>
  <c r="F2808" i="26"/>
  <c r="D2788" i="26"/>
  <c r="F2788" i="26"/>
  <c r="D2768" i="26"/>
  <c r="F2768" i="26"/>
  <c r="D2748" i="26"/>
  <c r="F2748" i="26"/>
  <c r="D2688" i="26"/>
  <c r="F2688" i="26"/>
  <c r="D2668" i="26"/>
  <c r="F2668" i="26"/>
  <c r="D2628" i="26"/>
  <c r="F2628" i="26"/>
  <c r="D2568" i="26"/>
  <c r="F2568" i="26"/>
  <c r="D2508" i="26"/>
  <c r="F2508" i="26"/>
  <c r="D2488" i="26"/>
  <c r="F2488" i="26"/>
  <c r="D2448" i="26"/>
  <c r="F2448" i="26"/>
  <c r="D2408" i="26"/>
  <c r="F2408" i="26"/>
  <c r="D2388" i="26"/>
  <c r="F2388" i="26"/>
  <c r="D2348" i="26"/>
  <c r="F2348" i="26"/>
  <c r="D2328" i="26"/>
  <c r="F2328" i="26"/>
  <c r="D2288" i="26"/>
  <c r="F2288" i="26"/>
  <c r="D2268" i="26"/>
  <c r="F2268" i="26"/>
  <c r="D2248" i="26"/>
  <c r="F2248" i="26"/>
  <c r="D2228" i="26"/>
  <c r="F2228" i="26"/>
  <c r="D2208" i="26"/>
  <c r="F2208" i="26"/>
  <c r="D2148" i="26"/>
  <c r="F2148" i="26"/>
  <c r="D2128" i="26"/>
  <c r="F2128" i="26"/>
  <c r="D2108" i="26"/>
  <c r="F2108" i="26"/>
  <c r="D2088" i="26"/>
  <c r="F2088" i="26"/>
  <c r="D2068" i="26"/>
  <c r="F2068" i="26"/>
  <c r="D2028" i="26"/>
  <c r="F2028" i="26"/>
  <c r="D2008" i="26"/>
  <c r="F2008" i="26"/>
  <c r="D1988" i="26"/>
  <c r="F1988" i="26"/>
  <c r="D1968" i="26"/>
  <c r="F1968" i="26"/>
  <c r="D1948" i="26"/>
  <c r="F1948" i="26"/>
  <c r="D1908" i="26"/>
  <c r="F1908" i="26"/>
  <c r="D1888" i="26"/>
  <c r="F1888" i="26"/>
  <c r="D1868" i="26"/>
  <c r="F1868" i="26"/>
  <c r="D1848" i="26"/>
  <c r="F1848" i="26"/>
  <c r="D1828" i="26"/>
  <c r="F1828" i="26"/>
  <c r="D1808" i="26"/>
  <c r="F1808" i="26"/>
  <c r="D1768" i="26"/>
  <c r="F1768" i="26"/>
  <c r="D5687" i="26"/>
  <c r="F5687" i="26"/>
  <c r="D5487" i="26"/>
  <c r="F5487" i="26"/>
  <c r="D5447" i="26"/>
  <c r="F5447" i="26"/>
  <c r="D5327" i="26"/>
  <c r="F5327" i="26"/>
  <c r="D5287" i="26"/>
  <c r="F5287" i="26"/>
  <c r="D5267" i="26"/>
  <c r="F5267" i="26"/>
  <c r="D5047" i="26"/>
  <c r="F5047" i="26"/>
  <c r="D4887" i="26"/>
  <c r="F4887" i="26"/>
  <c r="D4867" i="26"/>
  <c r="F4867" i="26"/>
  <c r="D4787" i="26"/>
  <c r="F4787" i="26"/>
  <c r="D4767" i="26"/>
  <c r="F4767" i="26"/>
  <c r="D4707" i="26"/>
  <c r="F4707" i="26"/>
  <c r="D4667" i="26"/>
  <c r="F4667" i="26"/>
  <c r="D4567" i="26"/>
  <c r="F4567" i="26"/>
  <c r="D4527" i="26"/>
  <c r="F4527" i="26"/>
  <c r="D4447" i="26"/>
  <c r="F4447" i="26"/>
  <c r="D4327" i="26"/>
  <c r="F4327" i="26"/>
  <c r="D4267" i="26"/>
  <c r="F4267" i="26"/>
  <c r="D4247" i="26"/>
  <c r="F4247" i="26"/>
  <c r="D4187" i="26"/>
  <c r="F4187" i="26"/>
  <c r="D4167" i="26"/>
  <c r="F4167" i="26"/>
  <c r="D4127" i="26"/>
  <c r="F4127" i="26"/>
  <c r="D4067" i="26"/>
  <c r="F4067" i="26"/>
  <c r="D4027" i="26"/>
  <c r="F4027" i="26"/>
  <c r="D3867" i="26"/>
  <c r="F3867" i="26"/>
  <c r="D3847" i="26"/>
  <c r="F3847" i="26"/>
  <c r="D3807" i="26"/>
  <c r="F3807" i="26"/>
  <c r="D3747" i="26"/>
  <c r="F3747" i="26"/>
  <c r="D3707" i="26"/>
  <c r="F3707" i="26"/>
  <c r="D3647" i="26"/>
  <c r="F3647" i="26"/>
  <c r="D3627" i="26"/>
  <c r="F3627" i="26"/>
  <c r="D3507" i="26"/>
  <c r="F3507" i="26"/>
  <c r="D3367" i="26"/>
  <c r="F3367" i="26"/>
  <c r="D3287" i="26"/>
  <c r="F3287" i="26"/>
  <c r="D3267" i="26"/>
  <c r="F3267" i="26"/>
  <c r="D3247" i="26"/>
  <c r="F3247" i="26"/>
  <c r="D3227" i="26"/>
  <c r="F3227" i="26"/>
  <c r="D3067" i="26"/>
  <c r="F3067" i="26"/>
  <c r="D3027" i="26"/>
  <c r="F3027" i="26"/>
  <c r="D2907" i="26"/>
  <c r="F2907" i="26"/>
  <c r="D2887" i="26"/>
  <c r="F2887" i="26"/>
  <c r="D2867" i="26"/>
  <c r="F2867" i="26"/>
  <c r="D2807" i="26"/>
  <c r="F2807" i="26"/>
  <c r="D2787" i="26"/>
  <c r="F2787" i="26"/>
  <c r="D2767" i="26"/>
  <c r="F2767" i="26"/>
  <c r="D2707" i="26"/>
  <c r="F2707" i="26"/>
  <c r="D2667" i="26"/>
  <c r="F2667" i="26"/>
  <c r="D2607" i="26"/>
  <c r="F2607" i="26"/>
  <c r="D2587" i="26"/>
  <c r="F2587" i="26"/>
  <c r="D2567" i="26"/>
  <c r="F2567" i="26"/>
  <c r="D2547" i="26"/>
  <c r="F2547" i="26"/>
  <c r="D2527" i="26"/>
  <c r="F2527" i="26"/>
  <c r="D2507" i="26"/>
  <c r="F2507" i="26"/>
  <c r="D2487" i="26"/>
  <c r="F2487" i="26"/>
  <c r="D2447" i="26"/>
  <c r="F2447" i="26"/>
  <c r="D2387" i="26"/>
  <c r="F2387" i="26"/>
  <c r="D2247" i="26"/>
  <c r="F2247" i="26"/>
  <c r="D2227" i="26"/>
  <c r="F2227" i="26"/>
  <c r="D2207" i="26"/>
  <c r="F2207" i="26"/>
  <c r="D2167" i="26"/>
  <c r="F2167" i="26"/>
  <c r="D2107" i="26"/>
  <c r="F2107" i="26"/>
  <c r="D2087" i="26"/>
  <c r="F2087" i="26"/>
  <c r="D2047" i="26"/>
  <c r="F2047" i="26"/>
  <c r="D2027" i="26"/>
  <c r="F2027" i="26"/>
  <c r="D2007" i="26"/>
  <c r="F2007" i="26"/>
  <c r="D1947" i="26"/>
  <c r="F1947" i="26"/>
  <c r="D1907" i="26"/>
  <c r="F1907" i="26"/>
  <c r="D1887" i="26"/>
  <c r="F1887" i="26"/>
  <c r="D1847" i="26"/>
  <c r="F1847" i="26"/>
  <c r="D1827" i="26"/>
  <c r="F1827" i="26"/>
  <c r="D1807" i="26"/>
  <c r="F1807" i="26"/>
  <c r="D1787" i="26"/>
  <c r="F1787" i="26"/>
  <c r="D1747" i="26"/>
  <c r="F1747" i="26"/>
  <c r="D1727" i="26"/>
  <c r="F1727" i="26"/>
  <c r="D1687" i="26"/>
  <c r="F1687" i="26"/>
  <c r="D1607" i="26"/>
  <c r="F1607" i="26"/>
  <c r="D1567" i="26"/>
  <c r="F1567" i="26"/>
  <c r="D1547" i="26"/>
  <c r="F1547" i="26"/>
  <c r="D1527" i="26"/>
  <c r="F1527" i="26"/>
  <c r="D1487" i="26"/>
  <c r="F1487" i="26"/>
  <c r="D1407" i="26"/>
  <c r="F1407" i="26"/>
  <c r="D1387" i="26"/>
  <c r="F1387" i="26"/>
  <c r="D1367" i="26"/>
  <c r="F1367" i="26"/>
  <c r="D1287" i="26"/>
  <c r="F1287" i="26"/>
  <c r="D1267" i="26"/>
  <c r="F1267" i="26"/>
  <c r="D1227" i="26"/>
  <c r="F1227" i="26"/>
  <c r="D1207" i="26"/>
  <c r="F1207" i="26"/>
  <c r="D1187" i="26"/>
  <c r="F1187" i="26"/>
  <c r="D1167" i="26"/>
  <c r="F1167" i="26"/>
  <c r="D1087" i="26"/>
  <c r="F1087" i="26"/>
  <c r="D1027" i="26"/>
  <c r="F1027" i="26"/>
  <c r="F6728" i="26"/>
  <c r="F6707" i="26"/>
  <c r="F6559" i="26"/>
  <c r="F6328" i="26"/>
  <c r="F6307" i="26"/>
  <c r="F6180" i="26"/>
  <c r="F6159" i="26"/>
  <c r="F5928" i="26"/>
  <c r="F5907" i="26"/>
  <c r="F5727" i="26"/>
  <c r="F5680" i="26"/>
  <c r="F5587" i="26"/>
  <c r="F5540" i="26"/>
  <c r="F5448" i="26"/>
  <c r="F5400" i="26"/>
  <c r="F5208" i="26"/>
  <c r="F5148" i="26"/>
  <c r="F5120" i="26"/>
  <c r="F4828" i="26"/>
  <c r="F4699" i="26"/>
  <c r="F4600" i="26"/>
  <c r="F4468" i="26"/>
  <c r="F4199" i="26"/>
  <c r="F4028" i="26"/>
  <c r="F3960" i="26"/>
  <c r="F2528" i="26"/>
  <c r="F1899" i="26"/>
  <c r="F1839" i="26"/>
  <c r="F1647" i="26"/>
  <c r="F1507" i="26"/>
  <c r="F1159" i="26"/>
  <c r="F1019" i="26"/>
  <c r="D5880" i="26"/>
  <c r="F5880" i="26"/>
  <c r="D5720" i="26"/>
  <c r="F5720" i="26"/>
  <c r="D5620" i="26"/>
  <c r="F5620" i="26"/>
  <c r="D5420" i="26"/>
  <c r="F5420" i="26"/>
  <c r="D5320" i="26"/>
  <c r="F5320" i="26"/>
  <c r="D5160" i="26"/>
  <c r="F5160" i="26"/>
  <c r="D5140" i="26"/>
  <c r="F5140" i="26"/>
  <c r="D5080" i="26"/>
  <c r="F5080" i="26"/>
  <c r="D4980" i="26"/>
  <c r="F4980" i="26"/>
  <c r="D4920" i="26"/>
  <c r="F4920" i="26"/>
  <c r="D4880" i="26"/>
  <c r="F4880" i="26"/>
  <c r="D4840" i="26"/>
  <c r="F4840" i="26"/>
  <c r="D4800" i="26"/>
  <c r="F4800" i="26"/>
  <c r="D4760" i="26"/>
  <c r="F4760" i="26"/>
  <c r="D4720" i="26"/>
  <c r="F4720" i="26"/>
  <c r="D4660" i="26"/>
  <c r="F4660" i="26"/>
  <c r="D4640" i="26"/>
  <c r="F4640" i="26"/>
  <c r="D4500" i="26"/>
  <c r="F4500" i="26"/>
  <c r="D4400" i="26"/>
  <c r="F4400" i="26"/>
  <c r="D4360" i="26"/>
  <c r="F4360" i="26"/>
  <c r="D4340" i="26"/>
  <c r="F4340" i="26"/>
  <c r="D4300" i="26"/>
  <c r="F4300" i="26"/>
  <c r="D4140" i="26"/>
  <c r="F4140" i="26"/>
  <c r="D4120" i="26"/>
  <c r="F4120" i="26"/>
  <c r="D4080" i="26"/>
  <c r="F4080" i="26"/>
  <c r="D4040" i="26"/>
  <c r="F4040" i="26"/>
  <c r="D3980" i="26"/>
  <c r="F3980" i="26"/>
  <c r="D3900" i="26"/>
  <c r="F3900" i="26"/>
  <c r="D3880" i="26"/>
  <c r="F3880" i="26"/>
  <c r="D3820" i="26"/>
  <c r="F3820" i="26"/>
  <c r="D3780" i="26"/>
  <c r="F3780" i="26"/>
  <c r="D3740" i="26"/>
  <c r="F3740" i="26"/>
  <c r="D3720" i="26"/>
  <c r="F3720" i="26"/>
  <c r="D3480" i="26"/>
  <c r="F3480" i="26"/>
  <c r="D3320" i="26"/>
  <c r="F3320" i="26"/>
  <c r="D3300" i="26"/>
  <c r="F3300" i="26"/>
  <c r="D3260" i="26"/>
  <c r="F3260" i="26"/>
  <c r="D3240" i="26"/>
  <c r="F3240" i="26"/>
  <c r="D3220" i="26"/>
  <c r="F3220" i="26"/>
  <c r="D3200" i="26"/>
  <c r="F3200" i="26"/>
  <c r="D3180" i="26"/>
  <c r="F3180" i="26"/>
  <c r="D3120" i="26"/>
  <c r="F3120" i="26"/>
  <c r="D3040" i="26"/>
  <c r="F3040" i="26"/>
  <c r="D2980" i="26"/>
  <c r="F2980" i="26"/>
  <c r="D2960" i="26"/>
  <c r="F2960" i="26"/>
  <c r="D2940" i="26"/>
  <c r="F2940" i="26"/>
  <c r="D2920" i="26"/>
  <c r="F2920" i="26"/>
  <c r="D2800" i="26"/>
  <c r="F2800" i="26"/>
  <c r="D2760" i="26"/>
  <c r="F2760" i="26"/>
  <c r="D2740" i="26"/>
  <c r="F2740" i="26"/>
  <c r="D2720" i="26"/>
  <c r="F2720" i="26"/>
  <c r="D2700" i="26"/>
  <c r="F2700" i="26"/>
  <c r="D2620" i="26"/>
  <c r="F2620" i="26"/>
  <c r="D2600" i="26"/>
  <c r="F2600" i="26"/>
  <c r="D2580" i="26"/>
  <c r="F2580" i="26"/>
  <c r="D2560" i="26"/>
  <c r="F2560" i="26"/>
  <c r="D2540" i="26"/>
  <c r="F2540" i="26"/>
  <c r="D2520" i="26"/>
  <c r="F2520" i="26"/>
  <c r="D2500" i="26"/>
  <c r="F2500" i="26"/>
  <c r="D2480" i="26"/>
  <c r="F2480" i="26"/>
  <c r="D2460" i="26"/>
  <c r="F2460" i="26"/>
  <c r="D2440" i="26"/>
  <c r="F2440" i="26"/>
  <c r="D2420" i="26"/>
  <c r="F2420" i="26"/>
  <c r="D2400" i="26"/>
  <c r="F2400" i="26"/>
  <c r="D2380" i="26"/>
  <c r="F2380" i="26"/>
  <c r="D2360" i="26"/>
  <c r="F2360" i="26"/>
  <c r="D2340" i="26"/>
  <c r="F2340" i="26"/>
  <c r="D2320" i="26"/>
  <c r="F2320" i="26"/>
  <c r="D2300" i="26"/>
  <c r="F2300" i="26"/>
  <c r="D2280" i="26"/>
  <c r="F2280" i="26"/>
  <c r="D2260" i="26"/>
  <c r="F2260" i="26"/>
  <c r="D2240" i="26"/>
  <c r="F2240" i="26"/>
  <c r="D2220" i="26"/>
  <c r="F2220" i="26"/>
  <c r="D2200" i="26"/>
  <c r="F2200" i="26"/>
  <c r="D2180" i="26"/>
  <c r="F2180" i="26"/>
  <c r="D2160" i="26"/>
  <c r="F2160" i="26"/>
  <c r="D2140" i="26"/>
  <c r="F2140" i="26"/>
  <c r="D2120" i="26"/>
  <c r="F2120" i="26"/>
  <c r="D2100" i="26"/>
  <c r="F2100" i="26"/>
  <c r="D2080" i="26"/>
  <c r="F2080" i="26"/>
  <c r="D2060" i="26"/>
  <c r="F2060" i="26"/>
  <c r="D2040" i="26"/>
  <c r="F2040" i="26"/>
  <c r="D2020" i="26"/>
  <c r="F2020" i="26"/>
  <c r="D2000" i="26"/>
  <c r="F2000" i="26"/>
  <c r="D1980" i="26"/>
  <c r="F1980" i="26"/>
  <c r="D1960" i="26"/>
  <c r="F1960" i="26"/>
  <c r="D1940" i="26"/>
  <c r="F1940" i="26"/>
  <c r="D1920" i="26"/>
  <c r="F1920" i="26"/>
  <c r="D1900" i="26"/>
  <c r="F1900" i="26"/>
  <c r="D1880" i="26"/>
  <c r="F1880" i="26"/>
  <c r="D1860" i="26"/>
  <c r="F1860" i="26"/>
  <c r="D1840" i="26"/>
  <c r="F1840" i="26"/>
  <c r="D1820" i="26"/>
  <c r="F1820" i="26"/>
  <c r="D1800" i="26"/>
  <c r="F1800" i="26"/>
  <c r="D1780" i="26"/>
  <c r="F1780" i="26"/>
  <c r="D1760" i="26"/>
  <c r="F1760" i="26"/>
  <c r="D1740" i="26"/>
  <c r="F1740" i="26"/>
  <c r="D1720" i="26"/>
  <c r="F1720" i="26"/>
  <c r="D1700" i="26"/>
  <c r="F1700" i="26"/>
  <c r="D1660" i="26"/>
  <c r="F1660" i="26"/>
  <c r="D1640" i="26"/>
  <c r="F1640" i="26"/>
  <c r="D1620" i="26"/>
  <c r="F1620" i="26"/>
  <c r="D1520" i="26"/>
  <c r="F1520" i="26"/>
  <c r="D1500" i="26"/>
  <c r="F1500" i="26"/>
  <c r="D1480" i="26"/>
  <c r="F1480" i="26"/>
  <c r="D1460" i="26"/>
  <c r="F1460" i="26"/>
  <c r="D1440" i="26"/>
  <c r="F1440" i="26"/>
  <c r="D1420" i="26"/>
  <c r="F1420" i="26"/>
  <c r="D1400" i="26"/>
  <c r="F1400" i="26"/>
  <c r="D1380" i="26"/>
  <c r="F1380" i="26"/>
  <c r="D1340" i="26"/>
  <c r="F1340" i="26"/>
  <c r="D1320" i="26"/>
  <c r="F1320" i="26"/>
  <c r="D1300" i="26"/>
  <c r="F1300" i="26"/>
  <c r="D1280" i="26"/>
  <c r="F1280" i="26"/>
  <c r="D1260" i="26"/>
  <c r="F1260" i="26"/>
  <c r="D1240" i="26"/>
  <c r="F1240" i="26"/>
  <c r="D1220" i="26"/>
  <c r="F1220" i="26"/>
  <c r="D1200" i="26"/>
  <c r="F1200" i="26"/>
  <c r="D1160" i="26"/>
  <c r="F1160" i="26"/>
  <c r="D1140" i="26"/>
  <c r="F1140" i="26"/>
  <c r="D1120" i="26"/>
  <c r="F1120" i="26"/>
  <c r="D1100" i="26"/>
  <c r="F1100" i="26"/>
  <c r="D1080" i="26"/>
  <c r="F1080" i="26"/>
  <c r="D1060" i="26"/>
  <c r="F1060" i="26"/>
  <c r="D1040" i="26"/>
  <c r="F1040" i="26"/>
  <c r="D1020" i="26"/>
  <c r="F1020" i="26"/>
  <c r="F6720" i="26"/>
  <c r="F6699" i="26"/>
  <c r="F6468" i="26"/>
  <c r="F6447" i="26"/>
  <c r="F6320" i="26"/>
  <c r="F6299" i="26"/>
  <c r="F6068" i="26"/>
  <c r="F6047" i="26"/>
  <c r="F5920" i="26"/>
  <c r="F5788" i="26"/>
  <c r="F5508" i="26"/>
  <c r="F5368" i="26"/>
  <c r="F5168" i="26"/>
  <c r="F4848" i="26"/>
  <c r="F4687" i="26"/>
  <c r="F4427" i="26"/>
  <c r="F3947" i="26"/>
  <c r="F3640" i="26"/>
  <c r="F3387" i="26"/>
  <c r="F3348" i="26"/>
  <c r="F3308" i="26"/>
  <c r="F2880" i="26"/>
  <c r="F2680" i="26"/>
  <c r="F2640" i="26"/>
  <c r="F2468" i="26"/>
  <c r="F2048" i="26"/>
  <c r="D5859" i="26"/>
  <c r="F5859" i="26"/>
  <c r="D5699" i="26"/>
  <c r="F5699" i="26"/>
  <c r="D5299" i="26"/>
  <c r="F5299" i="26"/>
  <c r="D5139" i="26"/>
  <c r="F5139" i="26"/>
  <c r="D5119" i="26"/>
  <c r="F5119" i="26"/>
  <c r="D5079" i="26"/>
  <c r="F5079" i="26"/>
  <c r="D5039" i="26"/>
  <c r="F5039" i="26"/>
  <c r="D4979" i="26"/>
  <c r="F4979" i="26"/>
  <c r="D4939" i="26"/>
  <c r="F4939" i="26"/>
  <c r="D4899" i="26"/>
  <c r="F4899" i="26"/>
  <c r="D4779" i="26"/>
  <c r="F4779" i="26"/>
  <c r="D4659" i="26"/>
  <c r="F4659" i="26"/>
  <c r="D4639" i="26"/>
  <c r="F4639" i="26"/>
  <c r="D4579" i="26"/>
  <c r="F4579" i="26"/>
  <c r="D4519" i="26"/>
  <c r="F4519" i="26"/>
  <c r="D4399" i="26"/>
  <c r="F4399" i="26"/>
  <c r="D4359" i="26"/>
  <c r="F4359" i="26"/>
  <c r="D4299" i="26"/>
  <c r="F4299" i="26"/>
  <c r="D4279" i="26"/>
  <c r="F4279" i="26"/>
  <c r="D4119" i="26"/>
  <c r="F4119" i="26"/>
  <c r="D4099" i="26"/>
  <c r="F4099" i="26"/>
  <c r="D4079" i="26"/>
  <c r="F4079" i="26"/>
  <c r="D4039" i="26"/>
  <c r="F4039" i="26"/>
  <c r="D4019" i="26"/>
  <c r="F4019" i="26"/>
  <c r="D3979" i="26"/>
  <c r="F3979" i="26"/>
  <c r="D3919" i="26"/>
  <c r="F3919" i="26"/>
  <c r="D3879" i="26"/>
  <c r="F3879" i="26"/>
  <c r="D3759" i="26"/>
  <c r="F3759" i="26"/>
  <c r="D3719" i="26"/>
  <c r="F3719" i="26"/>
  <c r="D3699" i="26"/>
  <c r="F3699" i="26"/>
  <c r="D3659" i="26"/>
  <c r="F3659" i="26"/>
  <c r="D3559" i="26"/>
  <c r="F3559" i="26"/>
  <c r="D3499" i="26"/>
  <c r="F3499" i="26"/>
  <c r="D3439" i="26"/>
  <c r="F3439" i="26"/>
  <c r="D3419" i="26"/>
  <c r="F3419" i="26"/>
  <c r="D3399" i="26"/>
  <c r="F3399" i="26"/>
  <c r="D3359" i="26"/>
  <c r="F3359" i="26"/>
  <c r="D3319" i="26"/>
  <c r="F3319" i="26"/>
  <c r="D3259" i="26"/>
  <c r="F3259" i="26"/>
  <c r="D3179" i="26"/>
  <c r="F3179" i="26"/>
  <c r="D3159" i="26"/>
  <c r="F3159" i="26"/>
  <c r="D3099" i="26"/>
  <c r="F3099" i="26"/>
  <c r="D3059" i="26"/>
  <c r="F3059" i="26"/>
  <c r="D3039" i="26"/>
  <c r="F3039" i="26"/>
  <c r="D2999" i="26"/>
  <c r="F2999" i="26"/>
  <c r="D2979" i="26"/>
  <c r="F2979" i="26"/>
  <c r="D2959" i="26"/>
  <c r="F2959" i="26"/>
  <c r="D2939" i="26"/>
  <c r="F2939" i="26"/>
  <c r="D2919" i="26"/>
  <c r="F2919" i="26"/>
  <c r="D2899" i="26"/>
  <c r="F2899" i="26"/>
  <c r="D2879" i="26"/>
  <c r="F2879" i="26"/>
  <c r="D2859" i="26"/>
  <c r="F2859" i="26"/>
  <c r="D2839" i="26"/>
  <c r="F2839" i="26"/>
  <c r="D2819" i="26"/>
  <c r="F2819" i="26"/>
  <c r="D2799" i="26"/>
  <c r="F2799" i="26"/>
  <c r="D2779" i="26"/>
  <c r="F2779" i="26"/>
  <c r="D2759" i="26"/>
  <c r="F2759" i="26"/>
  <c r="D2739" i="26"/>
  <c r="F2739" i="26"/>
  <c r="D2719" i="26"/>
  <c r="F2719" i="26"/>
  <c r="D2699" i="26"/>
  <c r="F2699" i="26"/>
  <c r="D2679" i="26"/>
  <c r="F2679" i="26"/>
  <c r="D2659" i="26"/>
  <c r="F2659" i="26"/>
  <c r="D2639" i="26"/>
  <c r="F2639" i="26"/>
  <c r="D2619" i="26"/>
  <c r="F2619" i="26"/>
  <c r="D2579" i="26"/>
  <c r="F2579" i="26"/>
  <c r="D2539" i="26"/>
  <c r="F2539" i="26"/>
  <c r="D2479" i="26"/>
  <c r="F2479" i="26"/>
  <c r="D2399" i="26"/>
  <c r="F2399" i="26"/>
  <c r="D2359" i="26"/>
  <c r="F2359" i="26"/>
  <c r="D2339" i="26"/>
  <c r="F2339" i="26"/>
  <c r="D2319" i="26"/>
  <c r="F2319" i="26"/>
  <c r="D2279" i="26"/>
  <c r="F2279" i="26"/>
  <c r="D2239" i="26"/>
  <c r="F2239" i="26"/>
  <c r="D2179" i="26"/>
  <c r="F2179" i="26"/>
  <c r="D2139" i="26"/>
  <c r="F2139" i="26"/>
  <c r="D2099" i="26"/>
  <c r="F2099" i="26"/>
  <c r="D2019" i="26"/>
  <c r="F2019" i="26"/>
  <c r="D1979" i="26"/>
  <c r="F1979" i="26"/>
  <c r="D1959" i="26"/>
  <c r="F1959" i="26"/>
  <c r="D1939" i="26"/>
  <c r="F1939" i="26"/>
  <c r="D1919" i="26"/>
  <c r="F1919" i="26"/>
  <c r="D1859" i="26"/>
  <c r="F1859" i="26"/>
  <c r="D1799" i="26"/>
  <c r="F1799" i="26"/>
  <c r="D1779" i="26"/>
  <c r="F1779" i="26"/>
  <c r="D1759" i="26"/>
  <c r="F1759" i="26"/>
  <c r="D1739" i="26"/>
  <c r="F1739" i="26"/>
  <c r="D1719" i="26"/>
  <c r="F1719" i="26"/>
  <c r="D1699" i="26"/>
  <c r="F1699" i="26"/>
  <c r="D1679" i="26"/>
  <c r="F1679" i="26"/>
  <c r="D1659" i="26"/>
  <c r="F1659" i="26"/>
  <c r="D1639" i="26"/>
  <c r="F1639" i="26"/>
  <c r="D1619" i="26"/>
  <c r="F1619" i="26"/>
  <c r="D1599" i="26"/>
  <c r="F1599" i="26"/>
  <c r="D1539" i="26"/>
  <c r="F1539" i="26"/>
  <c r="D1519" i="26"/>
  <c r="F1519" i="26"/>
  <c r="D1479" i="26"/>
  <c r="F1479" i="26"/>
  <c r="D1459" i="26"/>
  <c r="F1459" i="26"/>
  <c r="D1439" i="26"/>
  <c r="F1439" i="26"/>
  <c r="D1419" i="26"/>
  <c r="F1419" i="26"/>
  <c r="D1399" i="26"/>
  <c r="F1399" i="26"/>
  <c r="D1379" i="26"/>
  <c r="F1379" i="26"/>
  <c r="D1339" i="26"/>
  <c r="F1339" i="26"/>
  <c r="D1319" i="26"/>
  <c r="F1319" i="26"/>
  <c r="D1259" i="26"/>
  <c r="F1259" i="26"/>
  <c r="D1239" i="26"/>
  <c r="F1239" i="26"/>
  <c r="D1219" i="26"/>
  <c r="F1219" i="26"/>
  <c r="D1199" i="26"/>
  <c r="F1199" i="26"/>
  <c r="D1139" i="26"/>
  <c r="F1139" i="26"/>
  <c r="D1119" i="26"/>
  <c r="F1119" i="26"/>
  <c r="D1099" i="26"/>
  <c r="F1099" i="26"/>
  <c r="D1079" i="26"/>
  <c r="F1079" i="26"/>
  <c r="D1059" i="26"/>
  <c r="F1059" i="26"/>
  <c r="D1039" i="26"/>
  <c r="F1039" i="26"/>
  <c r="F6740" i="26"/>
  <c r="F6719" i="26"/>
  <c r="F6488" i="26"/>
  <c r="F6467" i="26"/>
  <c r="F6340" i="26"/>
  <c r="F6319" i="26"/>
  <c r="F6088" i="26"/>
  <c r="F6067" i="26"/>
  <c r="F5940" i="26"/>
  <c r="F5919" i="26"/>
  <c r="F5787" i="26"/>
  <c r="F5740" i="26"/>
  <c r="F5648" i="26"/>
  <c r="F5507" i="26"/>
  <c r="F5460" i="26"/>
  <c r="F5367" i="26"/>
  <c r="F5340" i="26"/>
  <c r="F5167" i="26"/>
  <c r="F5108" i="26"/>
  <c r="F5020" i="26"/>
  <c r="F4847" i="26"/>
  <c r="F4620" i="26"/>
  <c r="F4587" i="26"/>
  <c r="F4220" i="26"/>
  <c r="F4188" i="26"/>
  <c r="F3739" i="26"/>
  <c r="F3639" i="26"/>
  <c r="F3568" i="26"/>
  <c r="F3500" i="26"/>
  <c r="F3460" i="26"/>
  <c r="F3347" i="26"/>
  <c r="F3307" i="26"/>
  <c r="F2840" i="26"/>
  <c r="F2467" i="26"/>
  <c r="F2379" i="26"/>
  <c r="F1987" i="26"/>
  <c r="F1127" i="26"/>
  <c r="AA938" i="19" l="1"/>
  <c r="AA886" i="19"/>
  <c r="AB887" i="19" s="1"/>
  <c r="AA845" i="19"/>
  <c r="AB846" i="19" s="1"/>
  <c r="AA838" i="19"/>
  <c r="AB839" i="19" s="1"/>
  <c r="AA584" i="19"/>
  <c r="AA697" i="19"/>
  <c r="AB698" i="19" s="1"/>
  <c r="AA870" i="19"/>
  <c r="AA637" i="19"/>
  <c r="AA804" i="19"/>
  <c r="AB805" i="19" s="1"/>
  <c r="AA760" i="19"/>
  <c r="AB761" i="19" s="1"/>
  <c r="AA836" i="19"/>
  <c r="AB837" i="19" s="1"/>
  <c r="AA735" i="19"/>
  <c r="AB736" i="19" s="1"/>
  <c r="AA826" i="19"/>
  <c r="AB827" i="19" s="1"/>
  <c r="AA578" i="19"/>
  <c r="AB579" i="19" s="1"/>
  <c r="AA677" i="19"/>
  <c r="AB678" i="19" s="1"/>
  <c r="AA951" i="19"/>
  <c r="AA738" i="19"/>
  <c r="AA965" i="19"/>
  <c r="AA727" i="19"/>
  <c r="AB728" i="19" s="1"/>
  <c r="AA718" i="19"/>
  <c r="AA977" i="19"/>
  <c r="AB978" i="19" s="1"/>
  <c r="AA927" i="19"/>
  <c r="AB928" i="19" s="1"/>
  <c r="AA617" i="19"/>
  <c r="AB618" i="19" s="1"/>
  <c r="AA655" i="19"/>
  <c r="AB656" i="19" s="1"/>
  <c r="AA841" i="19"/>
  <c r="AA995" i="19"/>
  <c r="AA652" i="19"/>
  <c r="AB653" i="19" s="1"/>
  <c r="AC652" i="19"/>
  <c r="AB823" i="19"/>
  <c r="AC823" i="19" s="1"/>
  <c r="AA921" i="19"/>
  <c r="AB922" i="19" s="1"/>
  <c r="AC922" i="19" s="1"/>
  <c r="AA898" i="19"/>
  <c r="AA920" i="19"/>
  <c r="AB921" i="19" s="1"/>
  <c r="AA658" i="19"/>
  <c r="AA694" i="19"/>
  <c r="AA639" i="19"/>
  <c r="AA765" i="19"/>
  <c r="AB766" i="19" s="1"/>
  <c r="AA586" i="19"/>
  <c r="AB587" i="19" s="1"/>
  <c r="AA740" i="19"/>
  <c r="AA559" i="19"/>
  <c r="AA931" i="19"/>
  <c r="AA925" i="19"/>
  <c r="AB926" i="19" s="1"/>
  <c r="AA799" i="19"/>
  <c r="AB800" i="19" s="1"/>
  <c r="AA922" i="19"/>
  <c r="AB923" i="19" s="1"/>
  <c r="AA696" i="19"/>
  <c r="AA713" i="19"/>
  <c r="AB714" i="19" s="1"/>
  <c r="AA897" i="19"/>
  <c r="AB898" i="19" s="1"/>
  <c r="AA857" i="19"/>
  <c r="AA732" i="19"/>
  <c r="AA566" i="19"/>
  <c r="AB567" i="19" s="1"/>
  <c r="AA910" i="19"/>
  <c r="AA856" i="19"/>
  <c r="AA926" i="19"/>
  <c r="AA968" i="19"/>
  <c r="AA816" i="19"/>
  <c r="AB817" i="19" s="1"/>
  <c r="AA650" i="19"/>
  <c r="AA933" i="19"/>
  <c r="AA773" i="19"/>
  <c r="AB774" i="19" s="1"/>
  <c r="AA708" i="19"/>
  <c r="AA704" i="19"/>
  <c r="AA759" i="19"/>
  <c r="AB760" i="19" s="1"/>
  <c r="AC760" i="19" s="1"/>
  <c r="AA770" i="19"/>
  <c r="AA590" i="19"/>
  <c r="AB591" i="19" s="1"/>
  <c r="AA758" i="19"/>
  <c r="AA671" i="19"/>
  <c r="AA748" i="19"/>
  <c r="AA567" i="19"/>
  <c r="AB568" i="19" s="1"/>
  <c r="AA877" i="19"/>
  <c r="AB878" i="19" s="1"/>
  <c r="AA948" i="19"/>
  <c r="AB985" i="19"/>
  <c r="AB723" i="19"/>
  <c r="AB647" i="19"/>
  <c r="AB931" i="19"/>
  <c r="AA746" i="19"/>
  <c r="AA981" i="19"/>
  <c r="AA840" i="19"/>
  <c r="AA778" i="19"/>
  <c r="AB779" i="19" s="1"/>
  <c r="AA645" i="19"/>
  <c r="AB646" i="19" s="1"/>
  <c r="AC646" i="19" s="1"/>
  <c r="AA719" i="19"/>
  <c r="AA608" i="19"/>
  <c r="AA660" i="19"/>
  <c r="AA743" i="19"/>
  <c r="AA565" i="19"/>
  <c r="AB566" i="19" s="1"/>
  <c r="AA724" i="19"/>
  <c r="AA992" i="19"/>
  <c r="AB993" i="19" s="1"/>
  <c r="AA621" i="19"/>
  <c r="AA812" i="19"/>
  <c r="AB813" i="19" s="1"/>
  <c r="AA881" i="19"/>
  <c r="AA702" i="19"/>
  <c r="AA562" i="19"/>
  <c r="AA825" i="19"/>
  <c r="AB826" i="19" s="1"/>
  <c r="AC826" i="19" s="1"/>
  <c r="AA777" i="19"/>
  <c r="AA982" i="19"/>
  <c r="AA962" i="19"/>
  <c r="AA801" i="19"/>
  <c r="AA769" i="19"/>
  <c r="AA632" i="19"/>
  <c r="AB633" i="19" s="1"/>
  <c r="AA726" i="19"/>
  <c r="AB727" i="19" s="1"/>
  <c r="AA853" i="19"/>
  <c r="AA568" i="19"/>
  <c r="AA915" i="19"/>
  <c r="AA564" i="19"/>
  <c r="AA700" i="19"/>
  <c r="AA747" i="19"/>
  <c r="AB748" i="19" s="1"/>
  <c r="AA975" i="19"/>
  <c r="AA737" i="19"/>
  <c r="AB738" i="19" s="1"/>
  <c r="AA990" i="19"/>
  <c r="AB991" i="19" s="1"/>
  <c r="AA716" i="19"/>
  <c r="AA819" i="19"/>
  <c r="AA597" i="19"/>
  <c r="AB598" i="19" s="1"/>
  <c r="AA721" i="19"/>
  <c r="AA815" i="19"/>
  <c r="AA828" i="19"/>
  <c r="AA817" i="19"/>
  <c r="AA688" i="19"/>
  <c r="AB754" i="19"/>
  <c r="AB866" i="19"/>
  <c r="AB933" i="19"/>
  <c r="AB876" i="19"/>
  <c r="AA741" i="19"/>
  <c r="AA717" i="19"/>
  <c r="AB718" i="19" s="1"/>
  <c r="AA627" i="19"/>
  <c r="AB628" i="19" s="1"/>
  <c r="AA781" i="19"/>
  <c r="AA919" i="19"/>
  <c r="AA698" i="19"/>
  <c r="AA662" i="19"/>
  <c r="AA859" i="19"/>
  <c r="AB860" i="19" s="1"/>
  <c r="AA619" i="19"/>
  <c r="AA667" i="19"/>
  <c r="AB668" i="19" s="1"/>
  <c r="AA602" i="19"/>
  <c r="AA963" i="19"/>
  <c r="AB964" i="19" s="1"/>
  <c r="AA908" i="19"/>
  <c r="AA783" i="19"/>
  <c r="AB784" i="19" s="1"/>
  <c r="AA601" i="19"/>
  <c r="AA711" i="19"/>
  <c r="AB712" i="19" s="1"/>
  <c r="AA830" i="19"/>
  <c r="AA980" i="19"/>
  <c r="AA714" i="19"/>
  <c r="AB715" i="19" s="1"/>
  <c r="AA654" i="19"/>
  <c r="AA689" i="19"/>
  <c r="AB690" i="19" s="1"/>
  <c r="AA842" i="19"/>
  <c r="AB843" i="19" s="1"/>
  <c r="AA573" i="19"/>
  <c r="AB574" i="19" s="1"/>
  <c r="AA851" i="19"/>
  <c r="AA589" i="19"/>
  <c r="AA734" i="19"/>
  <c r="AA952" i="19"/>
  <c r="AB953" i="19" s="1"/>
  <c r="AA985" i="19"/>
  <c r="AB986" i="19" s="1"/>
  <c r="AA998" i="19"/>
  <c r="AA994" i="19"/>
  <c r="AB995" i="19" s="1"/>
  <c r="AA585" i="19"/>
  <c r="AA793" i="19"/>
  <c r="AA971" i="19"/>
  <c r="AA947" i="19"/>
  <c r="AB948" i="19" s="1"/>
  <c r="AB611" i="19"/>
  <c r="AA949" i="19"/>
  <c r="AB950" i="19" s="1"/>
  <c r="AA972" i="19"/>
  <c r="AA796" i="19"/>
  <c r="AB797" i="19" s="1"/>
  <c r="AA943" i="19"/>
  <c r="AB944" i="19" s="1"/>
  <c r="AA761" i="19"/>
  <c r="AA800" i="19"/>
  <c r="AA725" i="19"/>
  <c r="AB726" i="19" s="1"/>
  <c r="AC726" i="19" s="1"/>
  <c r="AA979" i="19"/>
  <c r="AB980" i="19" s="1"/>
  <c r="AA683" i="19"/>
  <c r="AB684" i="19" s="1"/>
  <c r="AA629" i="19"/>
  <c r="AA695" i="19"/>
  <c r="AA569" i="19"/>
  <c r="AB570" i="19" s="1"/>
  <c r="AA611" i="19"/>
  <c r="AB612" i="19" s="1"/>
  <c r="AA756" i="19"/>
  <c r="AB757" i="19" s="1"/>
  <c r="AA809" i="19"/>
  <c r="AB810" i="19" s="1"/>
  <c r="AA670" i="19"/>
  <c r="AB671" i="19" s="1"/>
  <c r="AA631" i="19"/>
  <c r="AB632" i="19" s="1"/>
  <c r="AC632" i="19" s="1"/>
  <c r="AA929" i="19"/>
  <c r="AB930" i="19" s="1"/>
  <c r="AC930" i="19" s="1"/>
  <c r="AA582" i="19"/>
  <c r="AA889" i="19"/>
  <c r="AA792" i="19"/>
  <c r="AA661" i="19"/>
  <c r="AA620" i="19"/>
  <c r="AA978" i="19"/>
  <c r="AA911" i="19"/>
  <c r="AA583" i="19"/>
  <c r="AB584" i="19" s="1"/>
  <c r="AA703" i="19"/>
  <c r="AA944" i="19"/>
  <c r="AB945" i="19" s="1"/>
  <c r="AC945" i="19" s="1"/>
  <c r="AA986" i="19"/>
  <c r="AB987" i="19" s="1"/>
  <c r="AA993" i="19"/>
  <c r="AA579" i="19"/>
  <c r="AA636" i="19"/>
  <c r="AA768" i="19"/>
  <c r="AA607" i="19"/>
  <c r="AB608" i="19" s="1"/>
  <c r="AA554" i="19"/>
  <c r="AA679" i="19"/>
  <c r="AA899" i="19"/>
  <c r="AA844" i="19"/>
  <c r="AB845" i="19" s="1"/>
  <c r="AC845" i="19" s="1"/>
  <c r="AA710" i="19"/>
  <c r="AA625" i="19"/>
  <c r="AB626" i="19" s="1"/>
  <c r="AA834" i="19"/>
  <c r="AB835" i="19" s="1"/>
  <c r="AA863" i="19"/>
  <c r="AA588" i="19"/>
  <c r="AB564" i="19"/>
  <c r="AB681" i="19"/>
  <c r="AB833" i="19"/>
  <c r="AB702" i="19"/>
  <c r="AA937" i="19"/>
  <c r="AB938" i="19" s="1"/>
  <c r="AA736" i="19"/>
  <c r="AB737" i="19" s="1"/>
  <c r="AA624" i="19"/>
  <c r="AA709" i="19"/>
  <c r="AB710" i="19" s="1"/>
  <c r="AA957" i="19"/>
  <c r="AB958" i="19" s="1"/>
  <c r="AA603" i="19"/>
  <c r="AB604" i="19" s="1"/>
  <c r="AA692" i="19"/>
  <c r="AA731" i="19"/>
  <c r="AA879" i="19"/>
  <c r="AA669" i="19"/>
  <c r="AA581" i="19"/>
  <c r="AB582" i="19" s="1"/>
  <c r="AA599" i="19"/>
  <c r="AA814" i="19"/>
  <c r="AA757" i="19"/>
  <c r="AA958" i="19"/>
  <c r="AA668" i="19"/>
  <c r="AA638" i="19"/>
  <c r="AB639" i="19" s="1"/>
  <c r="AA663" i="19"/>
  <c r="AA821" i="19"/>
  <c r="AA598" i="19"/>
  <c r="AB599" i="19" s="1"/>
  <c r="AA615" i="19"/>
  <c r="AA996" i="19"/>
  <c r="AA880" i="19"/>
  <c r="AB881" i="19" s="1"/>
  <c r="AA873" i="19"/>
  <c r="AB874" i="19" s="1"/>
  <c r="AA676" i="19"/>
  <c r="AA893" i="19"/>
  <c r="AA626" i="19"/>
  <c r="AB627" i="19" s="1"/>
  <c r="AA600" i="19"/>
  <c r="AA894" i="19"/>
  <c r="AB895" i="19" s="1"/>
  <c r="AA810" i="19"/>
  <c r="AA824" i="19"/>
  <c r="AA643" i="19"/>
  <c r="AA771" i="19"/>
  <c r="AA707" i="19"/>
  <c r="AB708" i="19" s="1"/>
  <c r="AA973" i="19"/>
  <c r="AB974" i="19" s="1"/>
  <c r="AC974" i="19" s="1"/>
  <c r="AA907" i="19"/>
  <c r="AB908" i="19" s="1"/>
  <c r="AA854" i="19"/>
  <c r="AB855" i="19" s="1"/>
  <c r="AA782" i="19"/>
  <c r="AA685" i="19"/>
  <c r="AA605" i="19"/>
  <c r="AA827" i="19"/>
  <c r="AB828" i="19" s="1"/>
  <c r="AA936" i="19"/>
  <c r="AB937" i="19" s="1"/>
  <c r="AC937" i="19" s="1"/>
  <c r="AB984" i="19"/>
  <c r="AC984" i="19" s="1"/>
  <c r="AB862" i="19"/>
  <c r="AA1000" i="19"/>
  <c r="AA664" i="19"/>
  <c r="AA791" i="19"/>
  <c r="AA871" i="19"/>
  <c r="AA728" i="19"/>
  <c r="AA848" i="19"/>
  <c r="AA595" i="19"/>
  <c r="AB596" i="19" s="1"/>
  <c r="AA575" i="19"/>
  <c r="AB576" i="19" s="1"/>
  <c r="AA648" i="19"/>
  <c r="AA940" i="19"/>
  <c r="AA744" i="19"/>
  <c r="AB745" i="19" s="1"/>
  <c r="AA997" i="19"/>
  <c r="AA867" i="19"/>
  <c r="AB868" i="19" s="1"/>
  <c r="AA673" i="19"/>
  <c r="AA678" i="19"/>
  <c r="AB679" i="19" s="1"/>
  <c r="AA675" i="19"/>
  <c r="AB676" i="19" s="1"/>
  <c r="AA887" i="19"/>
  <c r="AB888" i="19" s="1"/>
  <c r="AA560" i="19"/>
  <c r="AB561" i="19" s="1"/>
  <c r="AA953" i="19"/>
  <c r="AB954" i="19" s="1"/>
  <c r="AA935" i="19"/>
  <c r="AA557" i="19"/>
  <c r="AA858" i="19"/>
  <c r="AA964" i="19"/>
  <c r="AB965" i="19" s="1"/>
  <c r="AA604" i="19"/>
  <c r="AB605" i="19" s="1"/>
  <c r="AA733" i="19"/>
  <c r="AB734" i="19" s="1"/>
  <c r="AA961" i="19"/>
  <c r="AB962" i="19" s="1"/>
  <c r="AA852" i="19"/>
  <c r="AB853" i="19" s="1"/>
  <c r="AA641" i="19"/>
  <c r="AA901" i="19"/>
  <c r="AA644" i="19"/>
  <c r="AA831" i="19"/>
  <c r="AB832" i="19" s="1"/>
  <c r="AC832" i="19" s="1"/>
  <c r="AA924" i="19"/>
  <c r="AA764" i="19"/>
  <c r="AA784" i="19"/>
  <c r="AB785" i="19" s="1"/>
  <c r="AA593" i="19"/>
  <c r="AA874" i="19"/>
  <c r="AB875" i="19" s="1"/>
  <c r="AC875" i="19" s="1"/>
  <c r="AA923" i="19"/>
  <c r="AA642" i="19"/>
  <c r="AB643" i="19" s="1"/>
  <c r="AA754" i="19"/>
  <c r="AB755" i="19" s="1"/>
  <c r="AA803" i="19"/>
  <c r="AB942" i="19"/>
  <c r="AB781" i="19"/>
  <c r="AB629" i="19"/>
  <c r="AC628" i="19"/>
  <c r="AA763" i="19"/>
  <c r="AA587" i="19"/>
  <c r="AB588" i="19" s="1"/>
  <c r="AA633" i="19"/>
  <c r="AA555" i="19"/>
  <c r="AA976" i="19"/>
  <c r="AB977" i="19" s="1"/>
  <c r="AC977" i="19" s="1"/>
  <c r="AA659" i="19"/>
  <c r="AB660" i="19" s="1"/>
  <c r="AA614" i="19"/>
  <c r="AB615" i="19" s="1"/>
  <c r="AA946" i="19"/>
  <c r="AB947" i="19" s="1"/>
  <c r="AA634" i="19"/>
  <c r="AB635" i="19" s="1"/>
  <c r="AA580" i="19"/>
  <c r="AA918" i="19"/>
  <c r="AB919" i="19" s="1"/>
  <c r="AA553" i="19"/>
  <c r="AA928" i="19"/>
  <c r="AA798" i="19"/>
  <c r="AA776" i="19"/>
  <c r="AB777" i="19" s="1"/>
  <c r="AA556" i="19"/>
  <c r="AB557" i="19" s="1"/>
  <c r="AA847" i="19"/>
  <c r="AB848" i="19" s="1"/>
  <c r="AA916" i="19"/>
  <c r="AA900" i="19"/>
  <c r="AA882" i="19"/>
  <c r="AB883" i="19" s="1"/>
  <c r="AA999" i="19"/>
  <c r="AA674" i="19"/>
  <c r="AB675" i="19" s="1"/>
  <c r="AA609" i="19"/>
  <c r="AA572" i="19"/>
  <c r="AA789" i="19"/>
  <c r="AA891" i="19"/>
  <c r="AB892" i="19" s="1"/>
  <c r="AC892" i="19" s="1"/>
  <c r="AA635" i="19"/>
  <c r="AA872" i="19"/>
  <c r="AA616" i="19"/>
  <c r="AA888" i="19"/>
  <c r="AA779" i="19"/>
  <c r="AA902" i="19"/>
  <c r="AB903" i="19" s="1"/>
  <c r="AA720" i="19"/>
  <c r="AB721" i="19" s="1"/>
  <c r="AA577" i="19"/>
  <c r="AB578" i="19" s="1"/>
  <c r="AC578" i="19" s="1"/>
  <c r="AA665" i="19"/>
  <c r="AB666" i="19" s="1"/>
  <c r="AA552" i="19"/>
  <c r="AA813" i="19"/>
  <c r="AA829" i="19"/>
  <c r="AB830" i="19" s="1"/>
  <c r="AB809" i="19"/>
  <c r="AC809" i="19" s="1"/>
  <c r="AB776" i="19"/>
  <c r="AC776" i="19" s="1"/>
  <c r="AB918" i="19"/>
  <c r="AB821" i="19"/>
  <c r="AA766" i="19"/>
  <c r="AA876" i="19"/>
  <c r="AB877" i="19" s="1"/>
  <c r="AA934" i="19"/>
  <c r="AB935" i="19" s="1"/>
  <c r="AA613" i="19"/>
  <c r="AA558" i="19"/>
  <c r="AA794" i="19"/>
  <c r="AB795" i="19" s="1"/>
  <c r="AA630" i="19"/>
  <c r="AA855" i="19"/>
  <c r="AB856" i="19" s="1"/>
  <c r="AA864" i="19"/>
  <c r="AB865" i="19" s="1"/>
  <c r="AC865" i="19" s="1"/>
  <c r="AA684" i="19"/>
  <c r="AB685" i="19" s="1"/>
  <c r="AA682" i="19"/>
  <c r="AA653" i="19"/>
  <c r="AA762" i="19"/>
  <c r="AB763" i="19" s="1"/>
  <c r="AA687" i="19"/>
  <c r="AB688" i="19" s="1"/>
  <c r="AA681" i="19"/>
  <c r="AA767" i="19"/>
  <c r="AB768" i="19" s="1"/>
  <c r="AA896" i="19"/>
  <c r="AB897" i="19" s="1"/>
  <c r="AC897" i="19" s="1"/>
  <c r="AA884" i="19"/>
  <c r="AB885" i="19" s="1"/>
  <c r="AA647" i="19"/>
  <c r="AB648" i="19" s="1"/>
  <c r="AA960" i="19"/>
  <c r="AB961" i="19" s="1"/>
  <c r="AA612" i="19"/>
  <c r="AB613" i="19" s="1"/>
  <c r="AA987" i="19"/>
  <c r="AB988" i="19" s="1"/>
  <c r="AA790" i="19"/>
  <c r="AB791" i="19" s="1"/>
  <c r="AA912" i="19"/>
  <c r="AB913" i="19" s="1"/>
  <c r="AA956" i="19"/>
  <c r="AA574" i="19"/>
  <c r="AB575" i="19" s="1"/>
  <c r="AA729" i="19"/>
  <c r="AB730" i="19" s="1"/>
  <c r="AA954" i="19"/>
  <c r="AB955" i="19" s="1"/>
  <c r="AA835" i="19"/>
  <c r="AA561" i="19"/>
  <c r="AA699" i="19"/>
  <c r="AB700" i="19" s="1"/>
  <c r="AA656" i="19"/>
  <c r="AB657" i="19" s="1"/>
  <c r="AA969" i="19"/>
  <c r="AA860" i="19"/>
  <c r="AA959" i="19"/>
  <c r="AA988" i="19"/>
  <c r="AA869" i="19"/>
  <c r="AB870" i="19" s="1"/>
  <c r="AC795" i="19"/>
  <c r="AB796" i="19"/>
  <c r="AB840" i="19"/>
  <c r="AC839" i="19"/>
  <c r="AB619" i="19"/>
  <c r="AC618" i="19"/>
  <c r="AA955" i="19"/>
  <c r="AA903" i="19"/>
  <c r="AA752" i="19"/>
  <c r="AB753" i="19" s="1"/>
  <c r="AC753" i="19" s="1"/>
  <c r="AA885" i="19"/>
  <c r="AB886" i="19" s="1"/>
  <c r="AC886" i="19" s="1"/>
  <c r="AA862" i="19"/>
  <c r="AA805" i="19"/>
  <c r="AA868" i="19"/>
  <c r="AA785" i="19"/>
  <c r="AA774" i="19"/>
  <c r="AB775" i="19" s="1"/>
  <c r="AC775" i="19" s="1"/>
  <c r="AA730" i="19"/>
  <c r="AB731" i="19" s="1"/>
  <c r="AA749" i="19"/>
  <c r="AB750" i="19" s="1"/>
  <c r="AA576" i="19"/>
  <c r="AA913" i="19"/>
  <c r="AA818" i="19"/>
  <c r="AB819" i="19" s="1"/>
  <c r="AA966" i="19"/>
  <c r="AB967" i="19" s="1"/>
  <c r="AC967" i="19" s="1"/>
  <c r="AA592" i="19"/>
  <c r="AA890" i="19"/>
  <c r="AB891" i="19" s="1"/>
  <c r="AC891" i="19" s="1"/>
  <c r="AA905" i="19"/>
  <c r="AA622" i="19"/>
  <c r="AB623" i="19" s="1"/>
  <c r="AA649" i="19"/>
  <c r="AB650" i="19" s="1"/>
  <c r="AA623" i="19"/>
  <c r="AB624" i="19" s="1"/>
  <c r="AA751" i="19"/>
  <c r="AA843" i="19"/>
  <c r="AA788" i="19"/>
  <c r="AA906" i="19"/>
  <c r="AA715" i="19"/>
  <c r="AA705" i="19"/>
  <c r="AA594" i="19"/>
  <c r="AB595" i="19" s="1"/>
  <c r="AA837" i="19"/>
  <c r="AA666" i="19"/>
  <c r="AB667" i="19" s="1"/>
  <c r="AC667" i="19" s="1"/>
  <c r="AA657" i="19"/>
  <c r="AB658" i="19" s="1"/>
  <c r="AA745" i="19"/>
  <c r="AA970" i="19"/>
  <c r="AA712" i="19"/>
  <c r="AA755" i="19"/>
  <c r="AA807" i="19"/>
  <c r="AB808" i="19" s="1"/>
  <c r="AC808" i="19" s="1"/>
  <c r="AA833" i="19"/>
  <c r="AA942" i="19"/>
  <c r="AA802" i="19"/>
  <c r="AA989" i="19"/>
  <c r="AA878" i="19"/>
  <c r="AA591" i="19"/>
  <c r="AA723" i="19"/>
  <c r="AB724" i="19" s="1"/>
  <c r="AA909" i="19"/>
  <c r="AB910" i="19" s="1"/>
  <c r="AB694" i="19"/>
  <c r="AB773" i="19"/>
  <c r="AA883" i="19"/>
  <c r="AA991" i="19"/>
  <c r="AA895" i="19"/>
  <c r="AA846" i="19"/>
  <c r="AB847" i="19" s="1"/>
  <c r="AC847" i="19" s="1"/>
  <c r="AA849" i="19"/>
  <c r="AB850" i="19" s="1"/>
  <c r="AC850" i="19" s="1"/>
  <c r="AA806" i="19"/>
  <c r="AA596" i="19"/>
  <c r="AA570" i="19"/>
  <c r="AA950" i="19"/>
  <c r="AB951" i="19" s="1"/>
  <c r="AA690" i="19"/>
  <c r="AA739" i="19"/>
  <c r="AB740" i="19" s="1"/>
  <c r="AA797" i="19"/>
  <c r="AB798" i="19" s="1"/>
  <c r="AA606" i="19"/>
  <c r="AB607" i="19" s="1"/>
  <c r="AC607" i="19" s="1"/>
  <c r="AA571" i="19"/>
  <c r="AB572" i="19" s="1"/>
  <c r="AA672" i="19"/>
  <c r="AA866" i="19"/>
  <c r="AB867" i="19" s="1"/>
  <c r="AA750" i="19"/>
  <c r="AB751" i="19" s="1"/>
  <c r="AA706" i="19"/>
  <c r="AB707" i="19" s="1"/>
  <c r="O13" i="16"/>
  <c r="C12" i="16"/>
  <c r="J44" i="16"/>
  <c r="K27" i="16"/>
  <c r="K28" i="16"/>
  <c r="N835" i="28"/>
  <c r="N834" i="28"/>
  <c r="N788" i="28"/>
  <c r="N787" i="28"/>
  <c r="N741" i="28"/>
  <c r="N740" i="28"/>
  <c r="N694" i="28"/>
  <c r="N693" i="28"/>
  <c r="N647" i="28"/>
  <c r="N646" i="28"/>
  <c r="N600" i="28"/>
  <c r="N599" i="28"/>
  <c r="N553" i="28"/>
  <c r="N552" i="28"/>
  <c r="N506" i="28"/>
  <c r="N505" i="28"/>
  <c r="AC623" i="19" l="1"/>
  <c r="AC796" i="19"/>
  <c r="AC737" i="19"/>
  <c r="AC575" i="19"/>
  <c r="AC985" i="19"/>
  <c r="AC595" i="19"/>
  <c r="AC687" i="19"/>
  <c r="AC961" i="19"/>
  <c r="AC812" i="19"/>
  <c r="AC567" i="19"/>
  <c r="AC918" i="19"/>
  <c r="AC867" i="19"/>
  <c r="AC855" i="19"/>
  <c r="AC627" i="19"/>
  <c r="AC727" i="19"/>
  <c r="AC773" i="19"/>
  <c r="AC947" i="19"/>
  <c r="AC944" i="19"/>
  <c r="AC707" i="19"/>
  <c r="AC877" i="19"/>
  <c r="AC848" i="19"/>
  <c r="AB849" i="19"/>
  <c r="AC849" i="19" s="1"/>
  <c r="AB606" i="19"/>
  <c r="AC606" i="19" s="1"/>
  <c r="AC605" i="19"/>
  <c r="AB811" i="19"/>
  <c r="AC811" i="19" s="1"/>
  <c r="AC810" i="19"/>
  <c r="AB670" i="19"/>
  <c r="AC670" i="19" s="1"/>
  <c r="AB900" i="19"/>
  <c r="AC900" i="19" s="1"/>
  <c r="AB704" i="19"/>
  <c r="AC704" i="19" s="1"/>
  <c r="AB794" i="19"/>
  <c r="AC794" i="19" s="1"/>
  <c r="AC964" i="19"/>
  <c r="AB722" i="19"/>
  <c r="AC722" i="19" s="1"/>
  <c r="AC721" i="19"/>
  <c r="AB916" i="19"/>
  <c r="AC916" i="19" s="1"/>
  <c r="AC915" i="19"/>
  <c r="AB661" i="19"/>
  <c r="AC660" i="19"/>
  <c r="AC723" i="19"/>
  <c r="AB911" i="19"/>
  <c r="AC910" i="19"/>
  <c r="AB932" i="19"/>
  <c r="AC932" i="19" s="1"/>
  <c r="AC931" i="19"/>
  <c r="AB719" i="19"/>
  <c r="AC719" i="19" s="1"/>
  <c r="AC718" i="19"/>
  <c r="AB562" i="19"/>
  <c r="AC562" i="19" s="1"/>
  <c r="AC561" i="19"/>
  <c r="AC675" i="19"/>
  <c r="AB554" i="19"/>
  <c r="AC554" i="19" s="1"/>
  <c r="AB803" i="19"/>
  <c r="AC803" i="19" s="1"/>
  <c r="AB594" i="19"/>
  <c r="AC594" i="19" s="1"/>
  <c r="AC728" i="19"/>
  <c r="AB729" i="19"/>
  <c r="AC729" i="19" s="1"/>
  <c r="AC685" i="19"/>
  <c r="AB686" i="19"/>
  <c r="AC686" i="19" s="1"/>
  <c r="AB822" i="19"/>
  <c r="AC822" i="19" s="1"/>
  <c r="AC821" i="19"/>
  <c r="AB880" i="19"/>
  <c r="AC880" i="19" s="1"/>
  <c r="AB680" i="19"/>
  <c r="AC680" i="19" s="1"/>
  <c r="AC679" i="19"/>
  <c r="AB801" i="19"/>
  <c r="AC801" i="19" s="1"/>
  <c r="AC800" i="19"/>
  <c r="AB586" i="19"/>
  <c r="AC586" i="19" s="1"/>
  <c r="AB603" i="19"/>
  <c r="AC603" i="19" s="1"/>
  <c r="AB742" i="19"/>
  <c r="AC742" i="19" s="1"/>
  <c r="AC598" i="19"/>
  <c r="AB569" i="19"/>
  <c r="AC569" i="19" s="1"/>
  <c r="AC568" i="19"/>
  <c r="AB563" i="19"/>
  <c r="AC563" i="19" s="1"/>
  <c r="AB609" i="19"/>
  <c r="AC608" i="19"/>
  <c r="AB705" i="19"/>
  <c r="AC705" i="19" s="1"/>
  <c r="AB560" i="19"/>
  <c r="AC560" i="19" s="1"/>
  <c r="AC946" i="19"/>
  <c r="AB838" i="19"/>
  <c r="AC838" i="19" s="1"/>
  <c r="AC837" i="19"/>
  <c r="AB836" i="19"/>
  <c r="AC836" i="19" s="1"/>
  <c r="AC835" i="19"/>
  <c r="AB780" i="19"/>
  <c r="AC780" i="19" s="1"/>
  <c r="AC779" i="19"/>
  <c r="AB1000" i="19"/>
  <c r="AC1000" i="19" s="1"/>
  <c r="AB764" i="19"/>
  <c r="AC764" i="19" s="1"/>
  <c r="AC763" i="19"/>
  <c r="AB786" i="19"/>
  <c r="AC786" i="19" s="1"/>
  <c r="AC785" i="19"/>
  <c r="AB674" i="19"/>
  <c r="AC674" i="19" s="1"/>
  <c r="AB872" i="19"/>
  <c r="AB783" i="19"/>
  <c r="AC783" i="19" s="1"/>
  <c r="AB601" i="19"/>
  <c r="AB664" i="19"/>
  <c r="AC664" i="19" s="1"/>
  <c r="AB732" i="19"/>
  <c r="AC732" i="19" s="1"/>
  <c r="AC731" i="19"/>
  <c r="AB555" i="19"/>
  <c r="AC555" i="19" s="1"/>
  <c r="AB912" i="19"/>
  <c r="AC912" i="19" s="1"/>
  <c r="AC911" i="19"/>
  <c r="AC761" i="19"/>
  <c r="AB762" i="19"/>
  <c r="AC762" i="19" s="1"/>
  <c r="AB655" i="19"/>
  <c r="AC655" i="19" s="1"/>
  <c r="AB820" i="19"/>
  <c r="AC820" i="19" s="1"/>
  <c r="AC819" i="19"/>
  <c r="AB854" i="19"/>
  <c r="AC854" i="19" s="1"/>
  <c r="AC853" i="19"/>
  <c r="AB703" i="19"/>
  <c r="AC703" i="19" s="1"/>
  <c r="AC702" i="19"/>
  <c r="AB720" i="19"/>
  <c r="AC720" i="19" s="1"/>
  <c r="AB949" i="19"/>
  <c r="AC949" i="19" s="1"/>
  <c r="AC948" i="19"/>
  <c r="AB709" i="19"/>
  <c r="AC709" i="19" s="1"/>
  <c r="AC708" i="19"/>
  <c r="AB733" i="19"/>
  <c r="AC733" i="19" s="1"/>
  <c r="AB741" i="19"/>
  <c r="AC741" i="19" s="1"/>
  <c r="AC740" i="19"/>
  <c r="AB966" i="19"/>
  <c r="AC966" i="19" s="1"/>
  <c r="AC965" i="19"/>
  <c r="AB638" i="19"/>
  <c r="AC638" i="19" s="1"/>
  <c r="AB992" i="19"/>
  <c r="AC992" i="19" s="1"/>
  <c r="AC991" i="19"/>
  <c r="AB943" i="19"/>
  <c r="AC943" i="19" s="1"/>
  <c r="AC942" i="19"/>
  <c r="AB906" i="19"/>
  <c r="AC906" i="19" s="1"/>
  <c r="AC905" i="19"/>
  <c r="AC885" i="19"/>
  <c r="AB889" i="19"/>
  <c r="AC888" i="19"/>
  <c r="AB581" i="19"/>
  <c r="AC581" i="19" s="1"/>
  <c r="AC876" i="19"/>
  <c r="AB990" i="19"/>
  <c r="AC990" i="19" s="1"/>
  <c r="AB884" i="19"/>
  <c r="AC884" i="19" s="1"/>
  <c r="AC883" i="19"/>
  <c r="AC868" i="19"/>
  <c r="AB869" i="19"/>
  <c r="AC869" i="19" s="1"/>
  <c r="AB765" i="19"/>
  <c r="AC765" i="19" s="1"/>
  <c r="AB792" i="19"/>
  <c r="AC792" i="19" s="1"/>
  <c r="AC791" i="19"/>
  <c r="AB693" i="19"/>
  <c r="AC693" i="19" s="1"/>
  <c r="AC692" i="19"/>
  <c r="AB979" i="19"/>
  <c r="AC979" i="19" s="1"/>
  <c r="AC978" i="19"/>
  <c r="AB999" i="19"/>
  <c r="AC999" i="19" s="1"/>
  <c r="AB620" i="19"/>
  <c r="AC619" i="19"/>
  <c r="AB717" i="19"/>
  <c r="AC717" i="19" s="1"/>
  <c r="AB882" i="19"/>
  <c r="AC882" i="19" s="1"/>
  <c r="AC881" i="19"/>
  <c r="AC774" i="19"/>
  <c r="AB858" i="19"/>
  <c r="AC587" i="19"/>
  <c r="AB739" i="19"/>
  <c r="AC739" i="19" s="1"/>
  <c r="AC738" i="19"/>
  <c r="AB871" i="19"/>
  <c r="AC871" i="19" s="1"/>
  <c r="AC870" i="19"/>
  <c r="AC730" i="19"/>
  <c r="AB631" i="19"/>
  <c r="AC631" i="19" s="1"/>
  <c r="AB617" i="19"/>
  <c r="AC617" i="19" s="1"/>
  <c r="AB901" i="19"/>
  <c r="AC901" i="19" s="1"/>
  <c r="AB691" i="19"/>
  <c r="AC691" i="19" s="1"/>
  <c r="AC690" i="19"/>
  <c r="AB716" i="19"/>
  <c r="AC716" i="19" s="1"/>
  <c r="AC715" i="19"/>
  <c r="AB593" i="19"/>
  <c r="AC593" i="19" s="1"/>
  <c r="AB806" i="19"/>
  <c r="AC806" i="19" s="1"/>
  <c r="AC805" i="19"/>
  <c r="AB925" i="19"/>
  <c r="AC925" i="19" s="1"/>
  <c r="AB859" i="19"/>
  <c r="AC859" i="19" s="1"/>
  <c r="AC858" i="19"/>
  <c r="AB998" i="19"/>
  <c r="AC998" i="19" s="1"/>
  <c r="AB665" i="19"/>
  <c r="AC665" i="19" s="1"/>
  <c r="AB894" i="19"/>
  <c r="AC894" i="19" s="1"/>
  <c r="AC893" i="19"/>
  <c r="AC668" i="19"/>
  <c r="AB669" i="19"/>
  <c r="AC669" i="19" s="1"/>
  <c r="AC604" i="19"/>
  <c r="AC588" i="19"/>
  <c r="AB589" i="19"/>
  <c r="AC589" i="19" s="1"/>
  <c r="AC768" i="19"/>
  <c r="AB769" i="19"/>
  <c r="AC769" i="19" s="1"/>
  <c r="AB621" i="19"/>
  <c r="AC621" i="19" s="1"/>
  <c r="AC620" i="19"/>
  <c r="AC612" i="19"/>
  <c r="AC797" i="19"/>
  <c r="AC986" i="19"/>
  <c r="AC980" i="19"/>
  <c r="AB981" i="19"/>
  <c r="AC981" i="19" s="1"/>
  <c r="AC866" i="19"/>
  <c r="AB934" i="19"/>
  <c r="AC934" i="19" s="1"/>
  <c r="AC933" i="19"/>
  <c r="AB996" i="19"/>
  <c r="AC995" i="19"/>
  <c r="AC951" i="19"/>
  <c r="AB952" i="19"/>
  <c r="AC952" i="19" s="1"/>
  <c r="AB989" i="19"/>
  <c r="AC989" i="19" s="1"/>
  <c r="AC988" i="19"/>
  <c r="AB873" i="19"/>
  <c r="AC873" i="19" s="1"/>
  <c r="AC872" i="19"/>
  <c r="AB917" i="19"/>
  <c r="AC917" i="19" s="1"/>
  <c r="AB896" i="19"/>
  <c r="AC896" i="19" s="1"/>
  <c r="AC895" i="19"/>
  <c r="AB706" i="19"/>
  <c r="AC706" i="19" s="1"/>
  <c r="AB907" i="19"/>
  <c r="AC907" i="19" s="1"/>
  <c r="AC862" i="19"/>
  <c r="AB863" i="19"/>
  <c r="AC863" i="19" s="1"/>
  <c r="AB558" i="19"/>
  <c r="AC558" i="19" s="1"/>
  <c r="AC557" i="19"/>
  <c r="AB677" i="19"/>
  <c r="AC677" i="19" s="1"/>
  <c r="AC676" i="19"/>
  <c r="AB959" i="19"/>
  <c r="AC959" i="19" s="1"/>
  <c r="AC958" i="19"/>
  <c r="AB864" i="19"/>
  <c r="AC864" i="19" s="1"/>
  <c r="AB637" i="19"/>
  <c r="AC637" i="19" s="1"/>
  <c r="AB662" i="19"/>
  <c r="AC662" i="19" s="1"/>
  <c r="AC661" i="19"/>
  <c r="AB973" i="19"/>
  <c r="AC973" i="19" s="1"/>
  <c r="AC953" i="19"/>
  <c r="AB831" i="19"/>
  <c r="AC831" i="19" s="1"/>
  <c r="AC830" i="19"/>
  <c r="AB663" i="19"/>
  <c r="AC663" i="19" s="1"/>
  <c r="AC754" i="19"/>
  <c r="AB770" i="19"/>
  <c r="AC770" i="19" s="1"/>
  <c r="AB622" i="19"/>
  <c r="AC622" i="19" s="1"/>
  <c r="AB841" i="19"/>
  <c r="AC840" i="19"/>
  <c r="AC748" i="19"/>
  <c r="AB749" i="19"/>
  <c r="AC749" i="19" s="1"/>
  <c r="AB651" i="19"/>
  <c r="AC651" i="19" s="1"/>
  <c r="AC650" i="19"/>
  <c r="AC714" i="19"/>
  <c r="AB640" i="19"/>
  <c r="AC640" i="19" s="1"/>
  <c r="AC639" i="19"/>
  <c r="AB842" i="19"/>
  <c r="AC842" i="19" s="1"/>
  <c r="AC841" i="19"/>
  <c r="AC678" i="19"/>
  <c r="AB585" i="19"/>
  <c r="AC585" i="19" s="1"/>
  <c r="AC584" i="19"/>
  <c r="AC755" i="19"/>
  <c r="AB756" i="19"/>
  <c r="AC756" i="19" s="1"/>
  <c r="AB960" i="19"/>
  <c r="AC960" i="19" s="1"/>
  <c r="AB957" i="19"/>
  <c r="AC957" i="19" s="1"/>
  <c r="AB682" i="19"/>
  <c r="AC681" i="19"/>
  <c r="AB559" i="19"/>
  <c r="AC559" i="19" s="1"/>
  <c r="AB814" i="19"/>
  <c r="AC814" i="19" s="1"/>
  <c r="AC813" i="19"/>
  <c r="AB636" i="19"/>
  <c r="AC636" i="19" s="1"/>
  <c r="AC635" i="19"/>
  <c r="AB571" i="19"/>
  <c r="AC571" i="19" s="1"/>
  <c r="AC570" i="19"/>
  <c r="AB713" i="19"/>
  <c r="AC713" i="19" s="1"/>
  <c r="AC712" i="19"/>
  <c r="AB789" i="19"/>
  <c r="AC789" i="19" s="1"/>
  <c r="AC788" i="19"/>
  <c r="AB804" i="19"/>
  <c r="AC804" i="19" s="1"/>
  <c r="AB645" i="19"/>
  <c r="AC645" i="19" s="1"/>
  <c r="AC935" i="19"/>
  <c r="AB936" i="19"/>
  <c r="AC936" i="19" s="1"/>
  <c r="AB941" i="19"/>
  <c r="AC941" i="19" s="1"/>
  <c r="AC940" i="19"/>
  <c r="AC874" i="19"/>
  <c r="AB758" i="19"/>
  <c r="AC758" i="19" s="1"/>
  <c r="AC757" i="19"/>
  <c r="AB580" i="19"/>
  <c r="AC580" i="19" s="1"/>
  <c r="AC579" i="19"/>
  <c r="AB793" i="19"/>
  <c r="AC793" i="19" s="1"/>
  <c r="AB696" i="19"/>
  <c r="AC696" i="19" s="1"/>
  <c r="AC695" i="19"/>
  <c r="AC950" i="19"/>
  <c r="AB735" i="19"/>
  <c r="AC735" i="19" s="1"/>
  <c r="AC734" i="19"/>
  <c r="AB699" i="19"/>
  <c r="AC699" i="19" s="1"/>
  <c r="AC698" i="19"/>
  <c r="AB689" i="19"/>
  <c r="AC689" i="19" s="1"/>
  <c r="AC688" i="19"/>
  <c r="AC975" i="19"/>
  <c r="AB976" i="19"/>
  <c r="AC976" i="19" s="1"/>
  <c r="AB802" i="19"/>
  <c r="AC802" i="19" s="1"/>
  <c r="AB982" i="19"/>
  <c r="AB672" i="19"/>
  <c r="AC672" i="19" s="1"/>
  <c r="AC671" i="19"/>
  <c r="AB697" i="19"/>
  <c r="AC697" i="19" s="1"/>
  <c r="AB695" i="19"/>
  <c r="AC694" i="19"/>
  <c r="AC656" i="19"/>
  <c r="AB834" i="19"/>
  <c r="AC834" i="19" s="1"/>
  <c r="AC833" i="19"/>
  <c r="AB861" i="19"/>
  <c r="AC861" i="19" s="1"/>
  <c r="AC860" i="19"/>
  <c r="AC613" i="19"/>
  <c r="AB614" i="19"/>
  <c r="AC614" i="19" s="1"/>
  <c r="AB553" i="19"/>
  <c r="AC553" i="19" s="1"/>
  <c r="AB597" i="19"/>
  <c r="AC597" i="19" s="1"/>
  <c r="AC596" i="19"/>
  <c r="AB971" i="19"/>
  <c r="AC843" i="19"/>
  <c r="AB844" i="19"/>
  <c r="AC844" i="19" s="1"/>
  <c r="AB914" i="19"/>
  <c r="AC914" i="19" s="1"/>
  <c r="AC913" i="19"/>
  <c r="AB902" i="19"/>
  <c r="AC902" i="19" s="1"/>
  <c r="AC954" i="19"/>
  <c r="AB649" i="19"/>
  <c r="AC649" i="19" s="1"/>
  <c r="AC648" i="19"/>
  <c r="AB772" i="19"/>
  <c r="AC772" i="19" s="1"/>
  <c r="AB815" i="19"/>
  <c r="AC815" i="19" s="1"/>
  <c r="AB625" i="19"/>
  <c r="AC625" i="19" s="1"/>
  <c r="AC624" i="19"/>
  <c r="AC626" i="19"/>
  <c r="AB994" i="19"/>
  <c r="AC994" i="19" s="1"/>
  <c r="AC993" i="19"/>
  <c r="AB890" i="19"/>
  <c r="AC890" i="19" s="1"/>
  <c r="AC889" i="19"/>
  <c r="AB630" i="19"/>
  <c r="AC630" i="19" s="1"/>
  <c r="AC629" i="19"/>
  <c r="AC611" i="19"/>
  <c r="AB590" i="19"/>
  <c r="AC590" i="19" s="1"/>
  <c r="AB602" i="19"/>
  <c r="AC602" i="19" s="1"/>
  <c r="AC601" i="19"/>
  <c r="AB920" i="19"/>
  <c r="AC920" i="19" s="1"/>
  <c r="AC919" i="19"/>
  <c r="AB818" i="19"/>
  <c r="AC818" i="19" s="1"/>
  <c r="AC817" i="19"/>
  <c r="AB963" i="19"/>
  <c r="AC963" i="19" s="1"/>
  <c r="AC962" i="19"/>
  <c r="AC724" i="19"/>
  <c r="AB725" i="19"/>
  <c r="AC725" i="19" s="1"/>
  <c r="AB747" i="19"/>
  <c r="AC747" i="19" s="1"/>
  <c r="AB759" i="19"/>
  <c r="AC759" i="19" s="1"/>
  <c r="AB969" i="19"/>
  <c r="AC969" i="19" s="1"/>
  <c r="AC968" i="19"/>
  <c r="AB659" i="19"/>
  <c r="AC659" i="19" s="1"/>
  <c r="AC658" i="19"/>
  <c r="AC827" i="19"/>
  <c r="AC846" i="19"/>
  <c r="AB970" i="19"/>
  <c r="AC970" i="19" s="1"/>
  <c r="AC666" i="19"/>
  <c r="AB790" i="19"/>
  <c r="AC790" i="19" s="1"/>
  <c r="AB592" i="19"/>
  <c r="AC592" i="19" s="1"/>
  <c r="AC591" i="19"/>
  <c r="AB904" i="19"/>
  <c r="AC904" i="19" s="1"/>
  <c r="AC903" i="19"/>
  <c r="AC641" i="19"/>
  <c r="AB642" i="19"/>
  <c r="AC642" i="19" s="1"/>
  <c r="AB644" i="19"/>
  <c r="AC644" i="19" s="1"/>
  <c r="AC643" i="19"/>
  <c r="AB997" i="19"/>
  <c r="AC997" i="19" s="1"/>
  <c r="AC996" i="19"/>
  <c r="AB600" i="19"/>
  <c r="AC600" i="19" s="1"/>
  <c r="AC599" i="19"/>
  <c r="AB711" i="19"/>
  <c r="AC711" i="19" s="1"/>
  <c r="AC710" i="19"/>
  <c r="AC987" i="19"/>
  <c r="AC582" i="19"/>
  <c r="AB583" i="19"/>
  <c r="AC583" i="19" s="1"/>
  <c r="AC684" i="19"/>
  <c r="AB852" i="19"/>
  <c r="AC852" i="19" s="1"/>
  <c r="AC851" i="19"/>
  <c r="AC784" i="19"/>
  <c r="AB782" i="19"/>
  <c r="AC782" i="19" s="1"/>
  <c r="AC781" i="19"/>
  <c r="AC828" i="19"/>
  <c r="AB829" i="19"/>
  <c r="AC829" i="19" s="1"/>
  <c r="AB701" i="19"/>
  <c r="AC701" i="19" s="1"/>
  <c r="AC700" i="19"/>
  <c r="AB983" i="19"/>
  <c r="AC983" i="19" s="1"/>
  <c r="AC982" i="19"/>
  <c r="AC566" i="19"/>
  <c r="AB927" i="19"/>
  <c r="AC927" i="19" s="1"/>
  <c r="AC926" i="19"/>
  <c r="AC921" i="19"/>
  <c r="AC736" i="19"/>
  <c r="AC887" i="19"/>
  <c r="AB752" i="19"/>
  <c r="AC752" i="19" s="1"/>
  <c r="AC751" i="19"/>
  <c r="AC657" i="19"/>
  <c r="AC653" i="19"/>
  <c r="AB654" i="19"/>
  <c r="AC654" i="19" s="1"/>
  <c r="AC572" i="19"/>
  <c r="AB573" i="19"/>
  <c r="AC573" i="19" s="1"/>
  <c r="AB799" i="19"/>
  <c r="AC799" i="19" s="1"/>
  <c r="AC798" i="19"/>
  <c r="AB556" i="19"/>
  <c r="AC556" i="19" s="1"/>
  <c r="AB746" i="19"/>
  <c r="AC746" i="19" s="1"/>
  <c r="AC745" i="19"/>
  <c r="AB673" i="19"/>
  <c r="AC673" i="19" s="1"/>
  <c r="AB879" i="19"/>
  <c r="AC879" i="19" s="1"/>
  <c r="AC878" i="19"/>
  <c r="AC750" i="19"/>
  <c r="AB924" i="19"/>
  <c r="AC924" i="19" s="1"/>
  <c r="AC923" i="19"/>
  <c r="AB825" i="19"/>
  <c r="AC825" i="19" s="1"/>
  <c r="AC824" i="19"/>
  <c r="AB616" i="19"/>
  <c r="AC616" i="19" s="1"/>
  <c r="AC615" i="19"/>
  <c r="AB972" i="19"/>
  <c r="AC972" i="19" s="1"/>
  <c r="AC971" i="19"/>
  <c r="AC574" i="19"/>
  <c r="AB909" i="19"/>
  <c r="AC909" i="19" s="1"/>
  <c r="AC908" i="19"/>
  <c r="AB816" i="19"/>
  <c r="AC816" i="19" s="1"/>
  <c r="AB565" i="19"/>
  <c r="AC565" i="19" s="1"/>
  <c r="AC564" i="19"/>
  <c r="AB778" i="19"/>
  <c r="AC778" i="19" s="1"/>
  <c r="AC777" i="19"/>
  <c r="AB744" i="19"/>
  <c r="AC744" i="19" s="1"/>
  <c r="AC743" i="19"/>
  <c r="AB771" i="19"/>
  <c r="AC771" i="19" s="1"/>
  <c r="AB857" i="19"/>
  <c r="AC857" i="19" s="1"/>
  <c r="AC856" i="19"/>
  <c r="AB899" i="19"/>
  <c r="AC899" i="19" s="1"/>
  <c r="AC898" i="19"/>
  <c r="AB939" i="19"/>
  <c r="AC939" i="19" s="1"/>
  <c r="AC938" i="19"/>
  <c r="AB807" i="19"/>
  <c r="AC807" i="19" s="1"/>
  <c r="AC576" i="19"/>
  <c r="AB577" i="19"/>
  <c r="AC577" i="19" s="1"/>
  <c r="AB956" i="19"/>
  <c r="AC956" i="19" s="1"/>
  <c r="AC955" i="19"/>
  <c r="AC682" i="19"/>
  <c r="AB683" i="19"/>
  <c r="AC683" i="19" s="1"/>
  <c r="AC766" i="19"/>
  <c r="AB767" i="19"/>
  <c r="AC767" i="19" s="1"/>
  <c r="AB610" i="19"/>
  <c r="AC610" i="19" s="1"/>
  <c r="AC609" i="19"/>
  <c r="AB929" i="19"/>
  <c r="AC929" i="19" s="1"/>
  <c r="AC928" i="19"/>
  <c r="AB634" i="19"/>
  <c r="AC634" i="19" s="1"/>
  <c r="AC633" i="19"/>
  <c r="AC647" i="19"/>
  <c r="O14" i="16"/>
  <c r="C14" i="16" s="1"/>
  <c r="P13" i="16"/>
  <c r="C13" i="16"/>
  <c r="H334" i="39"/>
  <c r="K328" i="39"/>
  <c r="K327" i="39"/>
  <c r="A14" i="39"/>
  <c r="A13" i="39" s="1"/>
  <c r="A7" i="39"/>
  <c r="Q4" i="39"/>
  <c r="E4" i="39"/>
  <c r="Q3" i="39"/>
  <c r="B2" i="39"/>
  <c r="H334" i="38"/>
  <c r="K328" i="38"/>
  <c r="K327" i="38"/>
  <c r="J14" i="38"/>
  <c r="G14" i="38"/>
  <c r="A14" i="38"/>
  <c r="A13" i="38" s="1"/>
  <c r="A7" i="38"/>
  <c r="Q4" i="38"/>
  <c r="E4" i="38"/>
  <c r="Q3" i="38"/>
  <c r="B2" i="38"/>
  <c r="H334" i="37"/>
  <c r="K328" i="37"/>
  <c r="K327" i="37"/>
  <c r="J14" i="37"/>
  <c r="G14" i="37"/>
  <c r="A14" i="37"/>
  <c r="A13" i="37" s="1"/>
  <c r="A7" i="37"/>
  <c r="Q4" i="37"/>
  <c r="E4" i="37"/>
  <c r="Q3" i="37"/>
  <c r="B2" i="37"/>
  <c r="H334" i="6"/>
  <c r="J14" i="6"/>
  <c r="A14" i="6"/>
  <c r="A13" i="6" s="1"/>
  <c r="A7" i="6"/>
  <c r="P185" i="30"/>
  <c r="A341" i="30" s="1"/>
  <c r="P185" i="31"/>
  <c r="A341" i="31" s="1"/>
  <c r="P184" i="29"/>
  <c r="F1" i="30"/>
  <c r="F1" i="31"/>
  <c r="F1" i="29"/>
  <c r="F18" i="29"/>
  <c r="F18" i="30"/>
  <c r="F18" i="31"/>
  <c r="E4" i="29"/>
  <c r="E5" i="29"/>
  <c r="E7" i="29"/>
  <c r="D22" i="29" s="1"/>
  <c r="E8" i="29"/>
  <c r="C359" i="29" s="1"/>
  <c r="E10" i="29"/>
  <c r="H359" i="29" s="1"/>
  <c r="E15" i="29"/>
  <c r="E16" i="29"/>
  <c r="E4" i="30"/>
  <c r="K353" i="30" s="1"/>
  <c r="E5" i="30"/>
  <c r="D26" i="30" s="1"/>
  <c r="E7" i="30"/>
  <c r="D22" i="30" s="1"/>
  <c r="E8" i="30"/>
  <c r="C360" i="30" s="1"/>
  <c r="E9" i="30"/>
  <c r="C361" i="30" s="1"/>
  <c r="E10" i="30"/>
  <c r="H360" i="30" s="1"/>
  <c r="E11" i="30"/>
  <c r="H361" i="30" s="1"/>
  <c r="E12" i="30"/>
  <c r="L360" i="30" s="1"/>
  <c r="E15" i="30"/>
  <c r="E16" i="30"/>
  <c r="E4" i="31"/>
  <c r="I25" i="31" s="1"/>
  <c r="E5" i="31"/>
  <c r="D26" i="31" s="1"/>
  <c r="E7" i="31"/>
  <c r="D22" i="31" s="1"/>
  <c r="E8" i="31"/>
  <c r="C360" i="31" s="1"/>
  <c r="E10" i="31"/>
  <c r="H360" i="31" s="1"/>
  <c r="E15" i="31"/>
  <c r="E16" i="31"/>
  <c r="E3" i="29"/>
  <c r="E3" i="30"/>
  <c r="C355" i="30" s="1"/>
  <c r="E3" i="31"/>
  <c r="C355" i="31" s="1"/>
  <c r="E1" i="29"/>
  <c r="E1" i="30"/>
  <c r="E1" i="31"/>
  <c r="L342" i="31"/>
  <c r="L188" i="31"/>
  <c r="U186" i="31"/>
  <c r="B186" i="31"/>
  <c r="S34" i="31"/>
  <c r="S35" i="31" s="1"/>
  <c r="S36" i="31" s="1"/>
  <c r="E24" i="31"/>
  <c r="L342" i="30"/>
  <c r="L188" i="30"/>
  <c r="U186" i="30"/>
  <c r="B186" i="30"/>
  <c r="S34" i="30"/>
  <c r="S35" i="30" s="1"/>
  <c r="E24" i="30"/>
  <c r="L341" i="29"/>
  <c r="L187" i="29"/>
  <c r="U185" i="29"/>
  <c r="B185" i="29"/>
  <c r="S33" i="29"/>
  <c r="E24" i="29"/>
  <c r="H360" i="1"/>
  <c r="G34" i="16" s="1"/>
  <c r="J1003" i="23"/>
  <c r="I1003" i="23"/>
  <c r="H1003" i="23"/>
  <c r="G1003" i="23"/>
  <c r="F1003" i="23"/>
  <c r="E1003" i="23"/>
  <c r="C1003" i="23"/>
  <c r="B1003" i="23"/>
  <c r="A1003" i="23"/>
  <c r="A6785" i="26"/>
  <c r="A6784" i="26"/>
  <c r="A6775" i="26"/>
  <c r="A6772" i="26"/>
  <c r="A6771" i="26"/>
  <c r="A6769" i="26"/>
  <c r="A6764" i="26"/>
  <c r="A6760" i="26"/>
  <c r="A6759" i="26"/>
  <c r="A6751" i="26"/>
  <c r="A6736" i="26"/>
  <c r="A6734" i="26"/>
  <c r="A6727" i="26"/>
  <c r="A6689" i="26"/>
  <c r="A6687" i="26"/>
  <c r="A6682" i="26"/>
  <c r="A6680" i="26"/>
  <c r="A6679" i="26"/>
  <c r="A6665" i="26"/>
  <c r="A6664" i="26"/>
  <c r="A6662" i="26"/>
  <c r="A6653" i="26"/>
  <c r="A6649" i="26"/>
  <c r="A6648" i="26"/>
  <c r="A6627" i="26"/>
  <c r="A6621" i="26"/>
  <c r="A6619" i="26"/>
  <c r="A6618" i="26"/>
  <c r="A6617" i="26"/>
  <c r="A6611" i="26"/>
  <c r="A6607" i="26"/>
  <c r="A6605" i="26"/>
  <c r="A6591" i="26"/>
  <c r="A6589" i="26"/>
  <c r="A6588" i="26"/>
  <c r="A6579" i="26"/>
  <c r="A6577" i="26"/>
  <c r="A6573" i="26"/>
  <c r="A6568" i="26"/>
  <c r="A6567" i="26"/>
  <c r="A6564" i="26"/>
  <c r="A6557" i="26"/>
  <c r="A6553" i="26"/>
  <c r="A6550" i="26"/>
  <c r="A6540" i="26"/>
  <c r="A6539" i="26"/>
  <c r="A6536" i="26"/>
  <c r="A6535" i="26"/>
  <c r="A6526" i="26"/>
  <c r="A6524" i="26"/>
  <c r="A6523" i="26"/>
  <c r="A6522" i="26"/>
  <c r="A6513" i="26"/>
  <c r="A6509" i="26"/>
  <c r="A6504" i="26"/>
  <c r="A6501" i="26"/>
  <c r="A6498" i="26"/>
  <c r="A6494" i="26"/>
  <c r="A6488" i="26"/>
  <c r="A6482" i="26"/>
  <c r="A6481" i="26"/>
  <c r="A6478" i="26"/>
  <c r="A6475" i="26"/>
  <c r="A6467" i="26"/>
  <c r="A6461" i="26"/>
  <c r="A6460" i="26"/>
  <c r="A6455" i="26"/>
  <c r="A6447" i="26"/>
  <c r="A6446" i="26"/>
  <c r="A6442" i="26"/>
  <c r="A6440" i="26"/>
  <c r="A6439" i="26"/>
  <c r="A6437" i="26"/>
  <c r="A6430" i="26"/>
  <c r="A6425" i="26"/>
  <c r="A6424" i="26"/>
  <c r="A6421" i="26"/>
  <c r="A6417" i="26"/>
  <c r="A6410" i="26"/>
  <c r="A6409" i="26"/>
  <c r="A6405" i="26"/>
  <c r="A6402" i="26"/>
  <c r="A6395" i="26"/>
  <c r="A6389" i="26"/>
  <c r="A6381" i="26"/>
  <c r="A6379" i="26"/>
  <c r="A6372" i="26"/>
  <c r="A6371" i="26"/>
  <c r="A6368" i="26"/>
  <c r="A6362" i="26"/>
  <c r="A6336" i="26"/>
  <c r="A6324" i="26"/>
  <c r="A6315" i="26"/>
  <c r="A6313" i="26"/>
  <c r="A6311" i="26"/>
  <c r="A6301" i="26"/>
  <c r="A6295" i="26"/>
  <c r="A6287" i="26"/>
  <c r="A6283" i="26"/>
  <c r="A6275" i="26"/>
  <c r="A6271" i="26"/>
  <c r="A6268" i="26"/>
  <c r="A6267" i="26"/>
  <c r="A6257" i="26"/>
  <c r="A6256" i="26"/>
  <c r="A6255" i="26"/>
  <c r="A6252" i="26"/>
  <c r="A6251" i="26"/>
  <c r="A6248" i="26"/>
  <c r="A6241" i="26"/>
  <c r="A6226" i="26"/>
  <c r="A6223" i="26"/>
  <c r="A6218" i="26"/>
  <c r="A6215" i="26"/>
  <c r="A6201" i="26"/>
  <c r="A6191" i="26"/>
  <c r="A6183" i="26"/>
  <c r="A6178" i="26"/>
  <c r="A6169" i="26"/>
  <c r="A6166" i="26"/>
  <c r="A6165" i="26"/>
  <c r="A6160" i="26"/>
  <c r="A6157" i="26"/>
  <c r="A6151" i="26"/>
  <c r="A6148" i="26"/>
  <c r="A6146" i="26"/>
  <c r="A6145" i="26"/>
  <c r="A6142" i="26"/>
  <c r="A6138" i="26"/>
  <c r="A6133" i="26"/>
  <c r="A6126" i="26"/>
  <c r="A6120" i="26"/>
  <c r="A6117" i="26"/>
  <c r="A6103" i="26"/>
  <c r="A6101" i="26"/>
  <c r="A6081" i="26"/>
  <c r="A6080" i="26"/>
  <c r="A6073" i="26"/>
  <c r="A6070" i="26"/>
  <c r="A6060" i="26"/>
  <c r="A6053" i="26"/>
  <c r="A6047" i="26"/>
  <c r="A6042" i="26"/>
  <c r="A6040" i="26"/>
  <c r="A6039" i="26"/>
  <c r="A6031" i="26"/>
  <c r="A6024" i="26"/>
  <c r="A6019" i="26"/>
  <c r="A6015" i="26"/>
  <c r="A6006" i="26"/>
  <c r="A6003" i="26"/>
  <c r="A6001" i="26"/>
  <c r="A5979" i="26"/>
  <c r="A5978" i="26"/>
  <c r="A5974" i="26"/>
  <c r="A5968" i="26"/>
  <c r="A5967" i="26"/>
  <c r="A5964" i="26"/>
  <c r="A5960" i="26"/>
  <c r="A5956" i="26"/>
  <c r="A5949" i="26"/>
  <c r="A5945" i="26"/>
  <c r="A5943" i="26"/>
  <c r="A5939" i="26"/>
  <c r="A5938" i="26"/>
  <c r="A5936" i="26"/>
  <c r="A5929" i="26"/>
  <c r="A5927" i="26"/>
  <c r="A5924" i="26"/>
  <c r="A5921" i="26"/>
  <c r="A5920" i="26"/>
  <c r="A5918" i="26"/>
  <c r="A5910" i="26"/>
  <c r="A5907" i="26"/>
  <c r="A5904" i="26"/>
  <c r="A5901" i="26"/>
  <c r="A5897" i="26"/>
  <c r="A5894" i="26"/>
  <c r="A5883" i="26"/>
  <c r="A5877" i="26"/>
  <c r="A5870" i="26"/>
  <c r="A5868" i="26"/>
  <c r="A5865" i="26"/>
  <c r="A5864" i="26"/>
  <c r="A5861" i="26"/>
  <c r="A5858" i="26"/>
  <c r="A5850" i="26"/>
  <c r="A5846" i="26"/>
  <c r="A5841" i="26"/>
  <c r="A5839" i="26"/>
  <c r="A5837" i="26"/>
  <c r="A5835" i="26"/>
  <c r="A5826" i="26"/>
  <c r="A5808" i="26"/>
  <c r="A5797" i="26"/>
  <c r="A5788" i="26"/>
  <c r="A5786" i="26"/>
  <c r="A5784" i="26"/>
  <c r="A5771" i="26"/>
  <c r="A5765" i="26"/>
  <c r="A5763" i="26"/>
  <c r="A5762" i="26"/>
  <c r="A5759" i="26"/>
  <c r="A5758" i="26"/>
  <c r="A5756" i="26"/>
  <c r="A5748" i="26"/>
  <c r="A5746" i="26"/>
  <c r="A5745" i="26"/>
  <c r="A5744" i="26"/>
  <c r="A5743" i="26"/>
  <c r="A5742" i="26"/>
  <c r="A5740" i="26"/>
  <c r="A5732" i="26"/>
  <c r="A5725" i="26"/>
  <c r="A5722" i="26"/>
  <c r="A5719" i="26"/>
  <c r="A5718" i="26"/>
  <c r="A5712" i="26"/>
  <c r="A5711" i="26"/>
  <c r="A5706" i="26"/>
  <c r="A5696" i="26"/>
  <c r="A5695" i="26"/>
  <c r="A5690" i="26"/>
  <c r="A5689" i="26"/>
  <c r="A5687" i="26"/>
  <c r="A5686" i="26"/>
  <c r="A5665" i="26"/>
  <c r="A5664" i="26"/>
  <c r="A5661" i="26"/>
  <c r="A5646" i="26"/>
  <c r="A5638" i="26"/>
  <c r="A5634" i="26"/>
  <c r="A5630" i="26"/>
  <c r="A5624" i="26"/>
  <c r="A5621" i="26"/>
  <c r="A5617" i="26"/>
  <c r="A5602" i="26"/>
  <c r="A5598" i="26"/>
  <c r="A5594" i="26"/>
  <c r="A5588" i="26"/>
  <c r="A5584" i="26"/>
  <c r="A5583" i="26"/>
  <c r="A5582" i="26"/>
  <c r="A5578" i="26"/>
  <c r="A5576" i="26"/>
  <c r="A5574" i="26"/>
  <c r="A5567" i="26"/>
  <c r="A5557" i="26"/>
  <c r="A5550" i="26"/>
  <c r="A5527" i="26"/>
  <c r="A5526" i="26"/>
  <c r="A5525" i="26"/>
  <c r="A5520" i="26"/>
  <c r="A5516" i="26"/>
  <c r="A5511" i="26"/>
  <c r="A5507" i="26"/>
  <c r="A5500" i="26"/>
  <c r="A5494" i="26"/>
  <c r="A5490" i="26"/>
  <c r="A5489" i="26"/>
  <c r="A5485" i="26"/>
  <c r="A5477" i="26"/>
  <c r="A5476" i="26"/>
  <c r="A5475" i="26"/>
  <c r="A5474" i="26"/>
  <c r="A5473" i="26"/>
  <c r="A5472" i="26"/>
  <c r="A5471" i="26"/>
  <c r="A5468" i="26"/>
  <c r="A5466" i="26"/>
  <c r="A5465" i="26"/>
  <c r="A5462" i="26"/>
  <c r="A5454" i="26"/>
  <c r="A5453" i="26"/>
  <c r="A5444" i="26"/>
  <c r="A5442" i="26"/>
  <c r="A5437" i="26"/>
  <c r="A5433" i="26"/>
  <c r="A5430" i="26"/>
  <c r="A5420" i="26"/>
  <c r="A5417" i="26"/>
  <c r="A5414" i="26"/>
  <c r="A5408" i="26"/>
  <c r="A5401" i="26"/>
  <c r="A5399" i="26"/>
  <c r="A5388" i="26"/>
  <c r="A5386" i="26"/>
  <c r="A5385" i="26"/>
  <c r="A5373" i="26"/>
  <c r="A5371" i="26"/>
  <c r="A5367" i="26"/>
  <c r="A5366" i="26"/>
  <c r="A5359" i="26"/>
  <c r="A5357" i="26"/>
  <c r="A5353" i="26"/>
  <c r="A5345" i="26"/>
  <c r="A5341" i="26"/>
  <c r="A5337" i="26"/>
  <c r="A5335" i="26"/>
  <c r="A5333" i="26"/>
  <c r="A5332" i="26"/>
  <c r="A5331" i="26"/>
  <c r="A5330" i="26"/>
  <c r="A5328" i="26"/>
  <c r="A5327" i="26"/>
  <c r="A5323" i="26"/>
  <c r="A5314" i="26"/>
  <c r="A5313" i="26"/>
  <c r="A5311" i="26"/>
  <c r="A5307" i="26"/>
  <c r="A5306" i="26"/>
  <c r="A5305" i="26"/>
  <c r="A5295" i="26"/>
  <c r="A5288" i="26"/>
  <c r="A5287" i="26"/>
  <c r="A5286" i="26"/>
  <c r="A5282" i="26"/>
  <c r="A5281" i="26"/>
  <c r="A5275" i="26"/>
  <c r="A5273" i="26"/>
  <c r="A5272" i="26"/>
  <c r="A5269" i="26"/>
  <c r="A5267" i="26"/>
  <c r="A5266" i="26"/>
  <c r="A5265" i="26"/>
  <c r="A5264" i="26"/>
  <c r="A5263" i="26"/>
  <c r="A5260" i="26"/>
  <c r="A5257" i="26"/>
  <c r="A5254" i="26"/>
  <c r="A5252" i="26"/>
  <c r="A5245" i="26"/>
  <c r="A5240" i="26"/>
  <c r="A5238" i="26"/>
  <c r="A5236" i="26"/>
  <c r="A5227" i="26"/>
  <c r="A5223" i="26"/>
  <c r="A5220" i="26"/>
  <c r="A5219" i="26"/>
  <c r="A5218" i="26"/>
  <c r="A5216" i="26"/>
  <c r="A5212" i="26"/>
  <c r="A5211" i="26"/>
  <c r="A5210" i="26"/>
  <c r="A5205" i="26"/>
  <c r="A5202" i="26"/>
  <c r="A5201" i="26"/>
  <c r="A5199" i="26"/>
  <c r="A5198" i="26"/>
  <c r="A5193" i="26"/>
  <c r="A5191" i="26"/>
  <c r="A5190" i="26"/>
  <c r="A5188" i="26"/>
  <c r="A5187" i="26"/>
  <c r="A5185" i="26"/>
  <c r="A5179" i="26"/>
  <c r="A5170" i="26"/>
  <c r="A5169" i="26"/>
  <c r="A5168" i="26"/>
  <c r="A5160" i="26"/>
  <c r="A5153" i="26"/>
  <c r="A5148" i="26"/>
  <c r="A5143" i="26"/>
  <c r="A5139" i="26"/>
  <c r="A5135" i="26"/>
  <c r="A5130" i="26"/>
  <c r="A5129" i="26"/>
  <c r="A5126" i="26"/>
  <c r="A5124" i="26"/>
  <c r="A5121" i="26"/>
  <c r="A5118" i="26"/>
  <c r="A5117" i="26"/>
  <c r="A5115" i="26"/>
  <c r="A5114" i="26"/>
  <c r="A5111" i="26"/>
  <c r="A5100" i="26"/>
  <c r="A5098" i="26"/>
  <c r="A5097" i="26"/>
  <c r="A5095" i="26"/>
  <c r="A5094" i="26"/>
  <c r="A5091" i="26"/>
  <c r="A5088" i="26"/>
  <c r="A5087" i="26"/>
  <c r="A5086" i="26"/>
  <c r="A5085" i="26"/>
  <c r="A5077" i="26"/>
  <c r="A5076" i="26"/>
  <c r="A5068" i="26"/>
  <c r="A5065" i="26"/>
  <c r="A5063" i="26"/>
  <c r="A5058" i="26"/>
  <c r="A5055" i="26"/>
  <c r="A5054" i="26"/>
  <c r="A5049" i="26"/>
  <c r="A5048" i="26"/>
  <c r="A5047" i="26"/>
  <c r="A5040" i="26"/>
  <c r="A5039" i="26"/>
  <c r="A5031" i="26"/>
  <c r="A5025" i="26"/>
  <c r="A5021" i="26"/>
  <c r="A5020" i="26"/>
  <c r="A5018" i="26"/>
  <c r="A5007" i="26"/>
  <c r="A5003" i="26"/>
  <c r="A4995" i="26"/>
  <c r="A4994" i="26"/>
  <c r="A4991" i="26"/>
  <c r="A4990" i="26"/>
  <c r="A4980" i="26"/>
  <c r="A4979" i="26"/>
  <c r="A4975" i="26"/>
  <c r="A4971" i="26"/>
  <c r="A4970" i="26"/>
  <c r="A4969" i="26"/>
  <c r="A4963" i="26"/>
  <c r="A4962" i="26"/>
  <c r="A4961" i="26"/>
  <c r="A4958" i="26"/>
  <c r="A4953" i="26"/>
  <c r="A4952" i="26"/>
  <c r="A4948" i="26"/>
  <c r="A4946" i="26"/>
  <c r="A4938" i="26"/>
  <c r="A4935" i="26"/>
  <c r="A4931" i="26"/>
  <c r="A4926" i="26"/>
  <c r="A4922" i="26"/>
  <c r="A4918" i="26"/>
  <c r="A4917" i="26"/>
  <c r="A4912" i="26"/>
  <c r="A4911" i="26"/>
  <c r="A4900" i="26"/>
  <c r="A4897" i="26"/>
  <c r="A4892" i="26"/>
  <c r="A4885" i="26"/>
  <c r="A4884" i="26"/>
  <c r="A4883" i="26"/>
  <c r="A4882" i="26"/>
  <c r="A4873" i="26"/>
  <c r="A4868" i="26"/>
  <c r="A4865" i="26"/>
  <c r="A4862" i="26"/>
  <c r="A4861" i="26"/>
  <c r="A4858" i="26"/>
  <c r="A4857" i="26"/>
  <c r="A4847" i="26"/>
  <c r="A4845" i="26"/>
  <c r="A4840" i="26"/>
  <c r="A4838" i="26"/>
  <c r="A4835" i="26"/>
  <c r="A4834" i="26"/>
  <c r="A4832" i="26"/>
  <c r="A4826" i="26"/>
  <c r="A4823" i="26"/>
  <c r="A4821" i="26"/>
  <c r="A4820" i="26"/>
  <c r="A4819" i="26"/>
  <c r="A4817" i="26"/>
  <c r="A4799" i="26"/>
  <c r="A4797" i="26"/>
  <c r="A4791" i="26"/>
  <c r="A4787" i="26"/>
  <c r="A4786" i="26"/>
  <c r="A4782" i="26"/>
  <c r="A4775" i="26"/>
  <c r="A4774" i="26"/>
  <c r="A4769" i="26"/>
  <c r="A4766" i="26"/>
  <c r="A4765" i="26"/>
  <c r="A4764" i="26"/>
  <c r="A4761" i="26"/>
  <c r="A4760" i="26"/>
  <c r="A4754" i="26"/>
  <c r="A4751" i="26"/>
  <c r="A4735" i="26"/>
  <c r="A4734" i="26"/>
  <c r="A4731" i="26"/>
  <c r="A4728" i="26"/>
  <c r="A4725" i="26"/>
  <c r="A4724" i="26"/>
  <c r="A4721" i="26"/>
  <c r="A4718" i="26"/>
  <c r="A4716" i="26"/>
  <c r="A4712" i="26"/>
  <c r="A4702" i="26"/>
  <c r="A4691" i="26"/>
  <c r="A4677" i="26"/>
  <c r="A4676" i="26"/>
  <c r="A4675" i="26"/>
  <c r="A4672" i="26"/>
  <c r="A4669" i="26"/>
  <c r="A4667" i="26"/>
  <c r="A4664" i="26"/>
  <c r="A4660" i="26"/>
  <c r="A4650" i="26"/>
  <c r="A4644" i="26"/>
  <c r="A4635" i="26"/>
  <c r="A4630" i="26"/>
  <c r="A4626" i="26"/>
  <c r="A4622" i="26"/>
  <c r="A4618" i="26"/>
  <c r="A4613" i="26"/>
  <c r="A4611" i="26"/>
  <c r="A4607" i="26"/>
  <c r="A4603" i="26"/>
  <c r="A4597" i="26"/>
  <c r="A4596" i="26"/>
  <c r="A4592" i="26"/>
  <c r="A4591" i="26"/>
  <c r="A4587" i="26"/>
  <c r="A4586" i="26"/>
  <c r="A4585" i="26"/>
  <c r="A4581" i="26"/>
  <c r="A4579" i="26"/>
  <c r="A4576" i="26"/>
  <c r="A4573" i="26"/>
  <c r="A4555" i="26"/>
  <c r="A4549" i="26"/>
  <c r="A4544" i="26"/>
  <c r="A4535" i="26"/>
  <c r="A4525" i="26"/>
  <c r="A4515" i="26"/>
  <c r="A4514" i="26"/>
  <c r="A4511" i="26"/>
  <c r="A4510" i="26"/>
  <c r="A4505" i="26"/>
  <c r="A4503" i="26"/>
  <c r="A4502" i="26"/>
  <c r="A4501" i="26"/>
  <c r="A4500" i="26"/>
  <c r="A4497" i="26"/>
  <c r="A4495" i="26"/>
  <c r="A4494" i="26"/>
  <c r="A4493" i="26"/>
  <c r="A4476" i="26"/>
  <c r="A4474" i="26"/>
  <c r="A4473" i="26"/>
  <c r="A4470" i="26"/>
  <c r="A4466" i="26"/>
  <c r="A4461" i="26"/>
  <c r="A4460" i="26"/>
  <c r="A4459" i="26"/>
  <c r="A4452" i="26"/>
  <c r="A4442" i="26"/>
  <c r="A4434" i="26"/>
  <c r="A4433" i="26"/>
  <c r="A4431" i="26"/>
  <c r="A4429" i="26"/>
  <c r="A4428" i="26"/>
  <c r="A4426" i="26"/>
  <c r="A4425" i="26"/>
  <c r="A4419" i="26"/>
  <c r="A4414" i="26"/>
  <c r="A4413" i="26"/>
  <c r="A4412" i="26"/>
  <c r="A4399" i="26"/>
  <c r="A4395" i="26"/>
  <c r="A4391" i="26"/>
  <c r="A4389" i="26"/>
  <c r="A4387" i="26"/>
  <c r="A4380" i="26"/>
  <c r="A4377" i="26"/>
  <c r="A4373" i="26"/>
  <c r="A4367" i="26"/>
  <c r="A4361" i="26"/>
  <c r="A4358" i="26"/>
  <c r="A4357" i="26"/>
  <c r="A4356" i="26"/>
  <c r="A4354" i="26"/>
  <c r="A4348" i="26"/>
  <c r="A4347" i="26"/>
  <c r="A4346" i="26"/>
  <c r="A4345" i="26"/>
  <c r="A4341" i="26"/>
  <c r="A4339" i="26"/>
  <c r="A4337" i="26"/>
  <c r="A4336" i="26"/>
  <c r="A4335" i="26"/>
  <c r="A4331" i="26"/>
  <c r="A4327" i="26"/>
  <c r="A4322" i="26"/>
  <c r="A4318" i="26"/>
  <c r="A4293" i="26"/>
  <c r="A4286" i="26"/>
  <c r="A4283" i="26"/>
  <c r="A4273" i="26"/>
  <c r="A4262" i="26"/>
  <c r="A4256" i="26"/>
  <c r="A4253" i="26"/>
  <c r="A4250" i="26"/>
  <c r="A4244" i="26"/>
  <c r="A4243" i="26"/>
  <c r="A4241" i="26"/>
  <c r="A4234" i="26"/>
  <c r="A4230" i="26"/>
  <c r="A4228" i="26"/>
  <c r="A4225" i="26"/>
  <c r="A4221" i="26"/>
  <c r="A4213" i="26"/>
  <c r="A4209" i="26"/>
  <c r="A4208" i="26"/>
  <c r="A4206" i="26"/>
  <c r="A4202" i="26"/>
  <c r="A4200" i="26"/>
  <c r="A4199" i="26"/>
  <c r="A4197" i="26"/>
  <c r="A4196" i="26"/>
  <c r="A4193" i="26"/>
  <c r="A4186" i="26"/>
  <c r="A4185" i="26"/>
  <c r="A4183" i="26"/>
  <c r="A4181" i="26"/>
  <c r="A4178" i="26"/>
  <c r="A4177" i="26"/>
  <c r="A4175" i="26"/>
  <c r="A4174" i="26"/>
  <c r="A4168" i="26"/>
  <c r="A4167" i="26"/>
  <c r="A4162" i="26"/>
  <c r="A4159" i="26"/>
  <c r="A4158" i="26"/>
  <c r="A4157" i="26"/>
  <c r="A4155" i="26"/>
  <c r="A4151" i="26"/>
  <c r="A4148" i="26"/>
  <c r="A4147" i="26"/>
  <c r="A4143" i="26"/>
  <c r="A4140" i="26"/>
  <c r="A4135" i="26"/>
  <c r="A4132" i="26"/>
  <c r="A4128" i="26"/>
  <c r="A4118" i="26"/>
  <c r="A4113" i="26"/>
  <c r="A4112" i="26"/>
  <c r="A4111" i="26"/>
  <c r="A4097" i="26"/>
  <c r="A4094" i="26"/>
  <c r="A4093" i="26"/>
  <c r="A4091" i="26"/>
  <c r="A4086" i="26"/>
  <c r="A4084" i="26"/>
  <c r="A4083" i="26"/>
  <c r="A4079" i="26"/>
  <c r="A4078" i="26"/>
  <c r="A4077" i="26"/>
  <c r="A4075" i="26"/>
  <c r="A4073" i="26"/>
  <c r="A4072" i="26"/>
  <c r="A4070" i="26"/>
  <c r="A4066" i="26"/>
  <c r="A4059" i="26"/>
  <c r="A4056" i="26"/>
  <c r="A4047" i="26"/>
  <c r="A4039" i="26"/>
  <c r="A4034" i="26"/>
  <c r="A4027" i="26"/>
  <c r="A4023" i="26"/>
  <c r="A4019" i="26"/>
  <c r="A4016" i="26"/>
  <c r="A4015" i="26"/>
  <c r="A4014" i="26"/>
  <c r="A4012" i="26"/>
  <c r="A4011" i="26"/>
  <c r="A4009" i="26"/>
  <c r="A4008" i="26"/>
  <c r="A4005" i="26"/>
  <c r="A4002" i="26"/>
  <c r="A3999" i="26"/>
  <c r="A3996" i="26"/>
  <c r="A3994" i="26"/>
  <c r="A3990" i="26"/>
  <c r="A3989" i="26"/>
  <c r="A3983" i="26"/>
  <c r="A3982" i="26"/>
  <c r="A3980" i="26"/>
  <c r="A3978" i="26"/>
  <c r="A3973" i="26"/>
  <c r="A3964" i="26"/>
  <c r="A3962" i="26"/>
  <c r="A3958" i="26"/>
  <c r="A3957" i="26"/>
  <c r="A3955" i="26"/>
  <c r="A3952" i="26"/>
  <c r="A3946" i="26"/>
  <c r="A3944" i="26"/>
  <c r="A3939" i="26"/>
  <c r="A3937" i="26"/>
  <c r="A3928" i="26"/>
  <c r="A3920" i="26"/>
  <c r="A3919" i="26"/>
  <c r="A3913" i="26"/>
  <c r="A3912" i="26"/>
  <c r="A3911" i="26"/>
  <c r="A3901" i="26"/>
  <c r="A3892" i="26"/>
  <c r="A3888" i="26"/>
  <c r="A3887" i="26"/>
  <c r="A3883" i="26"/>
  <c r="A3878" i="26"/>
  <c r="A3877" i="26"/>
  <c r="A3876" i="26"/>
  <c r="A3873" i="26"/>
  <c r="A3870" i="26"/>
  <c r="A3865" i="26"/>
  <c r="A3862" i="26"/>
  <c r="A3855" i="26"/>
  <c r="A3854" i="26"/>
  <c r="A3850" i="26"/>
  <c r="A3845" i="26"/>
  <c r="A3839" i="26"/>
  <c r="A3834" i="26"/>
  <c r="A3833" i="26"/>
  <c r="A3832" i="26"/>
  <c r="A3828" i="26"/>
  <c r="A3826" i="26"/>
  <c r="A3823" i="26"/>
  <c r="A3822" i="26"/>
  <c r="A3820" i="26"/>
  <c r="A3819" i="26"/>
  <c r="A3816" i="26"/>
  <c r="A3811" i="26"/>
  <c r="A3806" i="26"/>
  <c r="A3805" i="26"/>
  <c r="A3804" i="26"/>
  <c r="A3801" i="26"/>
  <c r="A3800" i="26"/>
  <c r="A3798" i="26"/>
  <c r="A3795" i="26"/>
  <c r="A3791" i="26"/>
  <c r="A3790" i="26"/>
  <c r="A3789" i="26"/>
  <c r="A3788" i="26"/>
  <c r="A3784" i="26"/>
  <c r="A3779" i="26"/>
  <c r="A3777" i="26"/>
  <c r="A3771" i="26"/>
  <c r="A3769" i="26"/>
  <c r="A3765" i="26"/>
  <c r="A3760" i="26"/>
  <c r="A3756" i="26"/>
  <c r="A3751" i="26"/>
  <c r="A3742" i="26"/>
  <c r="A3740" i="26"/>
  <c r="A3733" i="26"/>
  <c r="A3724" i="26"/>
  <c r="A3717" i="26"/>
  <c r="A3715" i="26"/>
  <c r="A3712" i="26"/>
  <c r="A3711" i="26"/>
  <c r="A3710" i="26"/>
  <c r="A3708" i="26"/>
  <c r="A3705" i="26"/>
  <c r="A3704" i="26"/>
  <c r="A3696" i="26"/>
  <c r="A3691" i="26"/>
  <c r="A3688" i="26"/>
  <c r="A3681" i="26"/>
  <c r="A3677" i="26"/>
  <c r="A3675" i="26"/>
  <c r="A3672" i="26"/>
  <c r="A3664" i="26"/>
  <c r="A3662" i="26"/>
  <c r="A3656" i="26"/>
  <c r="A3650" i="26"/>
  <c r="A3647" i="26"/>
  <c r="A3643" i="26"/>
  <c r="A3642" i="26"/>
  <c r="A3637" i="26"/>
  <c r="A3636" i="26"/>
  <c r="A3632" i="26"/>
  <c r="A3628" i="26"/>
  <c r="A3626" i="26"/>
  <c r="A3624" i="26"/>
  <c r="A3616" i="26"/>
  <c r="A3615" i="26"/>
  <c r="A3607" i="26"/>
  <c r="A3602" i="26"/>
  <c r="A3601" i="26"/>
  <c r="A3600" i="26"/>
  <c r="A3598" i="26"/>
  <c r="A3596" i="26"/>
  <c r="A3594" i="26"/>
  <c r="A3593" i="26"/>
  <c r="A3592" i="26"/>
  <c r="A3589" i="26"/>
  <c r="A3588" i="26"/>
  <c r="A3582" i="26"/>
  <c r="A3581" i="26"/>
  <c r="A3579" i="26"/>
  <c r="A3574" i="26"/>
  <c r="A3573" i="26"/>
  <c r="A3567" i="26"/>
  <c r="A3564" i="26"/>
  <c r="A3563" i="26"/>
  <c r="A3557" i="26"/>
  <c r="A3551" i="26"/>
  <c r="A3550" i="26"/>
  <c r="A3548" i="26"/>
  <c r="A3541" i="26"/>
  <c r="A3540" i="26"/>
  <c r="A3534" i="26"/>
  <c r="A3533" i="26"/>
  <c r="A3527" i="26"/>
  <c r="A3526" i="26"/>
  <c r="A3524" i="26"/>
  <c r="A3523" i="26"/>
  <c r="A3521" i="26"/>
  <c r="A3517" i="26"/>
  <c r="A3514" i="26"/>
  <c r="A3513" i="26"/>
  <c r="A3512" i="26"/>
  <c r="A3510" i="26"/>
  <c r="A3507" i="26"/>
  <c r="A3502" i="26"/>
  <c r="A3490" i="26"/>
  <c r="A3485" i="26"/>
  <c r="A3481" i="26"/>
  <c r="A3477" i="26"/>
  <c r="A3474" i="26"/>
  <c r="A3473" i="26"/>
  <c r="A3471" i="26"/>
  <c r="A3466" i="26"/>
  <c r="A3458" i="26"/>
  <c r="A3454" i="26"/>
  <c r="A3453" i="26"/>
  <c r="A3452" i="26"/>
  <c r="A3447" i="26"/>
  <c r="A3444" i="26"/>
  <c r="A3443" i="26"/>
  <c r="A3436" i="26"/>
  <c r="A3435" i="26"/>
  <c r="A3430" i="26"/>
  <c r="A3429" i="26"/>
  <c r="A3424" i="26"/>
  <c r="A3422" i="26"/>
  <c r="A3408" i="26"/>
  <c r="A3399" i="26"/>
  <c r="A3398" i="26"/>
  <c r="A3395" i="26"/>
  <c r="A3393" i="26"/>
  <c r="A3392" i="26"/>
  <c r="A3389" i="26"/>
  <c r="A3388" i="26"/>
  <c r="A3387" i="26"/>
  <c r="A3372" i="26"/>
  <c r="A3371" i="26"/>
  <c r="A3367" i="26"/>
  <c r="A3366" i="26"/>
  <c r="A3365" i="26"/>
  <c r="A3358" i="26"/>
  <c r="A3356" i="26"/>
  <c r="A3351" i="26"/>
  <c r="A3345" i="26"/>
  <c r="A3342" i="26"/>
  <c r="A3335" i="26"/>
  <c r="A3333" i="26"/>
  <c r="A3328" i="26"/>
  <c r="A3320" i="26"/>
  <c r="A3315" i="26"/>
  <c r="A3312" i="26"/>
  <c r="A3311" i="26"/>
  <c r="A3300" i="26"/>
  <c r="A3297" i="26"/>
  <c r="A3292" i="26"/>
  <c r="A3290" i="26"/>
  <c r="A3288" i="26"/>
  <c r="A3287" i="26"/>
  <c r="A3284" i="26"/>
  <c r="A3283" i="26"/>
  <c r="A3280" i="26"/>
  <c r="A3277" i="26"/>
  <c r="A3276" i="26"/>
  <c r="A3275" i="26"/>
  <c r="A3272" i="26"/>
  <c r="A3270" i="26"/>
  <c r="A3268" i="26"/>
  <c r="A3258" i="26"/>
  <c r="A3257" i="26"/>
  <c r="A3255" i="26"/>
  <c r="A3251" i="26"/>
  <c r="A3245" i="26"/>
  <c r="A3236" i="26"/>
  <c r="A3235" i="26"/>
  <c r="A3232" i="26"/>
  <c r="A3218" i="26"/>
  <c r="A3206" i="26"/>
  <c r="A3201" i="26"/>
  <c r="A3188" i="26"/>
  <c r="A3187" i="26"/>
  <c r="A3186" i="26"/>
  <c r="A3183" i="26"/>
  <c r="A3182" i="26"/>
  <c r="A3170" i="26"/>
  <c r="A3166" i="26"/>
  <c r="A3164" i="26"/>
  <c r="A3158" i="26"/>
  <c r="A3157" i="26"/>
  <c r="A3152" i="26"/>
  <c r="A3148" i="26"/>
  <c r="A3139" i="26"/>
  <c r="A3137" i="26"/>
  <c r="A3133" i="26"/>
  <c r="A3130" i="26"/>
  <c r="A3129" i="26"/>
  <c r="A3128" i="26"/>
  <c r="A3121" i="26"/>
  <c r="A3117" i="26"/>
  <c r="A3110" i="26"/>
  <c r="A3106" i="26"/>
  <c r="A3096" i="26"/>
  <c r="A3094" i="26"/>
  <c r="A3093" i="26"/>
  <c r="A3091" i="26"/>
  <c r="A3090" i="26"/>
  <c r="A3085" i="26"/>
  <c r="A3084" i="26"/>
  <c r="A3083" i="26"/>
  <c r="A3082" i="26"/>
  <c r="A3080" i="26"/>
  <c r="A3076" i="26"/>
  <c r="A3069" i="26"/>
  <c r="A3068" i="26"/>
  <c r="A3064" i="26"/>
  <c r="A3058" i="26"/>
  <c r="A3054" i="26"/>
  <c r="A3046" i="26"/>
  <c r="A3045" i="26"/>
  <c r="A3036" i="26"/>
  <c r="A3030" i="26"/>
  <c r="A3024" i="26"/>
  <c r="A3022" i="26"/>
  <c r="A3020" i="26"/>
  <c r="A3019" i="26"/>
  <c r="A3016" i="26"/>
  <c r="A3012" i="26"/>
  <c r="A3010" i="26"/>
  <c r="A3008" i="26"/>
  <c r="A3005" i="26"/>
  <c r="A3001" i="26"/>
  <c r="A2999" i="26"/>
  <c r="A2998" i="26"/>
  <c r="A2993" i="26"/>
  <c r="A2985" i="26"/>
  <c r="A2984" i="26"/>
  <c r="A2982" i="26"/>
  <c r="A2978" i="26"/>
  <c r="A2976" i="26"/>
  <c r="A2972" i="26"/>
  <c r="A2969" i="26"/>
  <c r="A2966" i="26"/>
  <c r="A2963" i="26"/>
  <c r="A2961" i="26"/>
  <c r="A2957" i="26"/>
  <c r="A2951" i="26"/>
  <c r="A2950" i="26"/>
  <c r="A2945" i="26"/>
  <c r="A2934" i="26"/>
  <c r="A2932" i="26"/>
  <c r="A2930" i="26"/>
  <c r="A2924" i="26"/>
  <c r="A2923" i="26"/>
  <c r="A2917" i="26"/>
  <c r="A2910" i="26"/>
  <c r="A2906" i="26"/>
  <c r="A2899" i="26"/>
  <c r="A2895" i="26"/>
  <c r="A2893" i="26"/>
  <c r="A2892" i="26"/>
  <c r="A2889" i="26"/>
  <c r="A2887" i="26"/>
  <c r="A2883" i="26"/>
  <c r="A2873" i="26"/>
  <c r="A2871" i="26"/>
  <c r="A2870" i="26"/>
  <c r="A2865" i="26"/>
  <c r="A2855" i="26"/>
  <c r="A2850" i="26"/>
  <c r="A2848" i="26"/>
  <c r="A2841" i="26"/>
  <c r="A2834" i="26"/>
  <c r="A2818" i="26"/>
  <c r="A2815" i="26"/>
  <c r="A2809" i="26"/>
  <c r="A2803" i="26"/>
  <c r="A2802" i="26"/>
  <c r="A2796" i="26"/>
  <c r="A2794" i="26"/>
  <c r="A2786" i="26"/>
  <c r="A2782" i="26"/>
  <c r="A2772" i="26"/>
  <c r="A2769" i="26"/>
  <c r="A2767" i="26"/>
  <c r="A2761" i="26"/>
  <c r="A2759" i="26"/>
  <c r="A2757" i="26"/>
  <c r="A2754" i="26"/>
  <c r="A2753" i="26"/>
  <c r="A2748" i="26"/>
  <c r="A2746" i="26"/>
  <c r="A2742" i="26"/>
  <c r="A2739" i="26"/>
  <c r="A2730" i="26"/>
  <c r="A2729" i="26"/>
  <c r="A2721" i="26"/>
  <c r="A2717" i="26"/>
  <c r="A2710" i="26"/>
  <c r="A2702" i="26"/>
  <c r="A2687" i="26"/>
  <c r="A2686" i="26"/>
  <c r="A2681" i="26"/>
  <c r="A2680" i="26"/>
  <c r="A2679" i="26"/>
  <c r="A2675" i="26"/>
  <c r="A2673" i="26"/>
  <c r="A2670" i="26"/>
  <c r="A2659" i="26"/>
  <c r="A2658" i="26"/>
  <c r="A2653" i="26"/>
  <c r="A2644" i="26"/>
  <c r="A2642" i="26"/>
  <c r="A2624" i="26"/>
  <c r="A2616" i="26"/>
  <c r="A2613" i="26"/>
  <c r="A2607" i="26"/>
  <c r="A2606" i="26"/>
  <c r="A2602" i="26"/>
  <c r="A2595" i="26"/>
  <c r="A2590" i="26"/>
  <c r="A2582" i="26"/>
  <c r="A2581" i="26"/>
  <c r="A2575" i="26"/>
  <c r="A2572" i="26"/>
  <c r="A2571" i="26"/>
  <c r="A2567" i="26"/>
  <c r="A2564" i="26"/>
  <c r="A2559" i="26"/>
  <c r="A2558" i="26"/>
  <c r="A2554" i="26"/>
  <c r="A2551" i="26"/>
  <c r="A2550" i="26"/>
  <c r="A2549" i="26"/>
  <c r="A2545" i="26"/>
  <c r="A2541" i="26"/>
  <c r="A2533" i="26"/>
  <c r="A2530" i="26"/>
  <c r="A2529" i="26"/>
  <c r="A2527" i="26"/>
  <c r="A2524" i="26"/>
  <c r="A2523" i="26"/>
  <c r="A2519" i="26"/>
  <c r="A2517" i="26"/>
  <c r="A2511" i="26"/>
  <c r="A2507" i="26"/>
  <c r="A2502" i="26"/>
  <c r="A2493" i="26"/>
  <c r="A2486" i="26"/>
  <c r="A2480" i="26"/>
  <c r="A2471" i="26"/>
  <c r="A2470" i="26"/>
  <c r="A2466" i="26"/>
  <c r="A2460" i="26"/>
  <c r="A2459" i="26"/>
  <c r="A2455" i="26"/>
  <c r="A2452" i="26"/>
  <c r="A2448" i="26"/>
  <c r="A2447" i="26"/>
  <c r="A2446" i="26"/>
  <c r="A2445" i="26"/>
  <c r="A2443" i="26"/>
  <c r="A2437" i="26"/>
  <c r="A2434" i="26"/>
  <c r="A2433" i="26"/>
  <c r="A2429" i="26"/>
  <c r="A2427" i="26"/>
  <c r="A2425" i="26"/>
  <c r="A2424" i="26"/>
  <c r="A2421" i="26"/>
  <c r="A2414" i="26"/>
  <c r="A2408" i="26"/>
  <c r="A2406" i="26"/>
  <c r="A2400" i="26"/>
  <c r="A2399" i="26"/>
  <c r="A2389" i="26"/>
  <c r="A2382" i="26"/>
  <c r="A2373" i="26"/>
  <c r="A2372" i="26"/>
  <c r="A2371" i="26"/>
  <c r="A2367" i="26"/>
  <c r="A2364" i="26"/>
  <c r="A2352" i="26"/>
  <c r="A2350" i="26"/>
  <c r="A2343" i="26"/>
  <c r="A2342" i="26"/>
  <c r="A2340" i="26"/>
  <c r="A2334" i="26"/>
  <c r="A2329" i="26"/>
  <c r="A2326" i="26"/>
  <c r="A2321" i="26"/>
  <c r="A2319" i="26"/>
  <c r="A2315" i="26"/>
  <c r="A2313" i="26"/>
  <c r="A2306" i="26"/>
  <c r="A2299" i="26"/>
  <c r="A2296" i="26"/>
  <c r="A2285" i="26"/>
  <c r="A2279" i="26"/>
  <c r="A2278" i="26"/>
  <c r="A2277" i="26"/>
  <c r="A2276" i="26"/>
  <c r="A2272" i="26"/>
  <c r="A2270" i="26"/>
  <c r="A2268" i="26"/>
  <c r="A2263" i="26"/>
  <c r="A2256" i="26"/>
  <c r="A2252" i="26"/>
  <c r="A2249" i="26"/>
  <c r="A2073" i="26"/>
  <c r="A1905" i="26"/>
  <c r="A1903" i="26"/>
  <c r="A1902" i="26"/>
  <c r="A1900" i="26"/>
  <c r="A1897" i="26"/>
  <c r="A1893" i="26"/>
  <c r="A1890" i="26"/>
  <c r="A1889" i="26"/>
  <c r="A1885" i="26"/>
  <c r="A1880" i="26"/>
  <c r="A1878" i="26"/>
  <c r="A1504" i="26"/>
  <c r="A1501" i="26"/>
  <c r="A1499" i="26"/>
  <c r="A1498" i="26"/>
  <c r="A1070" i="26"/>
  <c r="A1061" i="26"/>
  <c r="A1059" i="26"/>
  <c r="A1054" i="26"/>
  <c r="A1050" i="26"/>
  <c r="A1048" i="26"/>
  <c r="A1047" i="26"/>
  <c r="A1046" i="26"/>
  <c r="A1045" i="26"/>
  <c r="A7" i="26"/>
  <c r="A6" i="26"/>
  <c r="A5" i="26"/>
  <c r="A4" i="26"/>
  <c r="H44" i="16"/>
  <c r="X40" i="16"/>
  <c r="X41" i="16" s="1"/>
  <c r="X42" i="16" s="1"/>
  <c r="X43" i="16" s="1"/>
  <c r="X44" i="16" s="1"/>
  <c r="X45" i="16" s="1"/>
  <c r="X46" i="16" s="1"/>
  <c r="X47" i="16" s="1"/>
  <c r="X48" i="16" s="1"/>
  <c r="X49" i="16" s="1"/>
  <c r="X50" i="16" s="1"/>
  <c r="X51" i="16" s="1"/>
  <c r="X52" i="16" s="1"/>
  <c r="X53" i="16" s="1"/>
  <c r="X54" i="16" s="1"/>
  <c r="X55" i="16" s="1"/>
  <c r="X56" i="16" s="1"/>
  <c r="X57" i="16" s="1"/>
  <c r="X58" i="16" s="1"/>
  <c r="X59" i="16" s="1"/>
  <c r="X60" i="16" s="1"/>
  <c r="X61" i="16" s="1"/>
  <c r="X62" i="16" s="1"/>
  <c r="X63" i="16" s="1"/>
  <c r="X64" i="16" s="1"/>
  <c r="X65" i="16" s="1"/>
  <c r="X66" i="16" s="1"/>
  <c r="X67" i="16" s="1"/>
  <c r="X68" i="16" s="1"/>
  <c r="X69" i="16" s="1"/>
  <c r="X70" i="16" s="1"/>
  <c r="X71" i="16" s="1"/>
  <c r="X72" i="16" s="1"/>
  <c r="X73" i="16" s="1"/>
  <c r="X74" i="16" s="1"/>
  <c r="X75" i="16" s="1"/>
  <c r="X76" i="16" s="1"/>
  <c r="X77" i="16" s="1"/>
  <c r="X78" i="16" s="1"/>
  <c r="X79" i="16" s="1"/>
  <c r="X80" i="16" s="1"/>
  <c r="X81" i="16" s="1"/>
  <c r="X82" i="16" s="1"/>
  <c r="X83" i="16" s="1"/>
  <c r="X84" i="16" s="1"/>
  <c r="X85" i="16" s="1"/>
  <c r="X86" i="16" s="1"/>
  <c r="X87" i="16" s="1"/>
  <c r="X88" i="16" s="1"/>
  <c r="X89" i="16" s="1"/>
  <c r="X90" i="16" s="1"/>
  <c r="X91" i="16" s="1"/>
  <c r="X92" i="16" s="1"/>
  <c r="X93" i="16" s="1"/>
  <c r="X94" i="16" s="1"/>
  <c r="X95" i="16" s="1"/>
  <c r="X96" i="16" s="1"/>
  <c r="X97" i="16" s="1"/>
  <c r="X98" i="16" s="1"/>
  <c r="X99" i="16" s="1"/>
  <c r="X100" i="16" s="1"/>
  <c r="X101" i="16" s="1"/>
  <c r="X102" i="16" s="1"/>
  <c r="X103" i="16" s="1"/>
  <c r="X104" i="16" s="1"/>
  <c r="X105" i="16" s="1"/>
  <c r="X106" i="16" s="1"/>
  <c r="X107" i="16" s="1"/>
  <c r="X108" i="16" s="1"/>
  <c r="X109" i="16" s="1"/>
  <c r="X110" i="16" s="1"/>
  <c r="X111" i="16" s="1"/>
  <c r="X112" i="16" s="1"/>
  <c r="X113" i="16" s="1"/>
  <c r="X114" i="16" s="1"/>
  <c r="X115" i="16" s="1"/>
  <c r="X116" i="16" s="1"/>
  <c r="X117" i="16" s="1"/>
  <c r="X118" i="16" s="1"/>
  <c r="X119" i="16" s="1"/>
  <c r="X120" i="16" s="1"/>
  <c r="X121" i="16" s="1"/>
  <c r="X122" i="16" s="1"/>
  <c r="X123" i="16" s="1"/>
  <c r="X124" i="16" s="1"/>
  <c r="X125" i="16" s="1"/>
  <c r="X126" i="16" s="1"/>
  <c r="X127" i="16" s="1"/>
  <c r="X128" i="16" s="1"/>
  <c r="X129" i="16" s="1"/>
  <c r="X130" i="16" s="1"/>
  <c r="X131" i="16" s="1"/>
  <c r="X132" i="16" s="1"/>
  <c r="X133" i="16" s="1"/>
  <c r="X134" i="16" s="1"/>
  <c r="X135" i="16" s="1"/>
  <c r="X136" i="16" s="1"/>
  <c r="X137" i="16" s="1"/>
  <c r="X138" i="16" s="1"/>
  <c r="X139" i="16" s="1"/>
  <c r="X140" i="16" s="1"/>
  <c r="X141" i="16" s="1"/>
  <c r="X142" i="16" s="1"/>
  <c r="X143" i="16" s="1"/>
  <c r="X144" i="16" s="1"/>
  <c r="X145" i="16" s="1"/>
  <c r="X146" i="16" s="1"/>
  <c r="X147" i="16" s="1"/>
  <c r="X148" i="16" s="1"/>
  <c r="X149" i="16" s="1"/>
  <c r="X150" i="16" s="1"/>
  <c r="X151" i="16" s="1"/>
  <c r="X152" i="16" s="1"/>
  <c r="X153" i="16" s="1"/>
  <c r="X154" i="16" s="1"/>
  <c r="X155" i="16" s="1"/>
  <c r="X156" i="16" s="1"/>
  <c r="X157" i="16" s="1"/>
  <c r="X158" i="16" s="1"/>
  <c r="X159" i="16" s="1"/>
  <c r="X160" i="16" s="1"/>
  <c r="X161" i="16" s="1"/>
  <c r="X162" i="16" s="1"/>
  <c r="X163" i="16" s="1"/>
  <c r="X164" i="16" s="1"/>
  <c r="X165" i="16" s="1"/>
  <c r="X166" i="16" s="1"/>
  <c r="X167" i="16" s="1"/>
  <c r="X168" i="16" s="1"/>
  <c r="X169" i="16" s="1"/>
  <c r="X170" i="16" s="1"/>
  <c r="X171" i="16" s="1"/>
  <c r="X172" i="16" s="1"/>
  <c r="X173" i="16" s="1"/>
  <c r="X174" i="16" s="1"/>
  <c r="X175" i="16" s="1"/>
  <c r="X176" i="16" s="1"/>
  <c r="X177" i="16" s="1"/>
  <c r="X178" i="16" s="1"/>
  <c r="X179" i="16" s="1"/>
  <c r="X180" i="16" s="1"/>
  <c r="X181" i="16" s="1"/>
  <c r="X182" i="16" s="1"/>
  <c r="X183" i="16" s="1"/>
  <c r="X184" i="16" s="1"/>
  <c r="X185" i="16" s="1"/>
  <c r="X186" i="16" s="1"/>
  <c r="X187" i="16" s="1"/>
  <c r="X188" i="16" s="1"/>
  <c r="X189" i="16" s="1"/>
  <c r="X190" i="16" s="1"/>
  <c r="X191" i="16" s="1"/>
  <c r="X192" i="16" s="1"/>
  <c r="X193" i="16" s="1"/>
  <c r="X194" i="16" s="1"/>
  <c r="X195" i="16" s="1"/>
  <c r="X196" i="16" s="1"/>
  <c r="X197" i="16" s="1"/>
  <c r="X198" i="16" s="1"/>
  <c r="X199" i="16" s="1"/>
  <c r="X200" i="16" s="1"/>
  <c r="X201" i="16" s="1"/>
  <c r="X202" i="16" s="1"/>
  <c r="X203" i="16" s="1"/>
  <c r="X204" i="16" s="1"/>
  <c r="X205" i="16" s="1"/>
  <c r="X206" i="16" s="1"/>
  <c r="X207" i="16" s="1"/>
  <c r="X208" i="16" s="1"/>
  <c r="X209" i="16" s="1"/>
  <c r="X210" i="16" s="1"/>
  <c r="X211" i="16" s="1"/>
  <c r="X212" i="16" s="1"/>
  <c r="X213" i="16" s="1"/>
  <c r="X214" i="16" s="1"/>
  <c r="X215" i="16" s="1"/>
  <c r="X216" i="16" s="1"/>
  <c r="X217" i="16" s="1"/>
  <c r="X218" i="16" s="1"/>
  <c r="X219" i="16" s="1"/>
  <c r="X220" i="16" s="1"/>
  <c r="X221" i="16" s="1"/>
  <c r="X222" i="16" s="1"/>
  <c r="X223" i="16" s="1"/>
  <c r="X224" i="16" s="1"/>
  <c r="X225" i="16" s="1"/>
  <c r="X226" i="16" s="1"/>
  <c r="X227" i="16" s="1"/>
  <c r="X228" i="16" s="1"/>
  <c r="X229" i="16" s="1"/>
  <c r="X230" i="16" s="1"/>
  <c r="X231" i="16" s="1"/>
  <c r="X232" i="16" s="1"/>
  <c r="X233" i="16" s="1"/>
  <c r="X234" i="16" s="1"/>
  <c r="X235" i="16" s="1"/>
  <c r="X236" i="16" s="1"/>
  <c r="X237" i="16" s="1"/>
  <c r="X238" i="16" s="1"/>
  <c r="X239" i="16" s="1"/>
  <c r="X240" i="16" s="1"/>
  <c r="X241" i="16" s="1"/>
  <c r="X242" i="16" s="1"/>
  <c r="X243" i="16" s="1"/>
  <c r="X244" i="16" s="1"/>
  <c r="X245" i="16" s="1"/>
  <c r="X246" i="16" s="1"/>
  <c r="X247" i="16" s="1"/>
  <c r="X248" i="16" s="1"/>
  <c r="X249" i="16" s="1"/>
  <c r="X250" i="16" s="1"/>
  <c r="X251" i="16" s="1"/>
  <c r="X252" i="16" s="1"/>
  <c r="X253" i="16" s="1"/>
  <c r="X254" i="16" s="1"/>
  <c r="X255" i="16" s="1"/>
  <c r="X256" i="16" s="1"/>
  <c r="X257" i="16" s="1"/>
  <c r="X258" i="16" s="1"/>
  <c r="X259" i="16" s="1"/>
  <c r="X260" i="16" s="1"/>
  <c r="X261" i="16" s="1"/>
  <c r="X262" i="16" s="1"/>
  <c r="X263" i="16" s="1"/>
  <c r="X264" i="16" s="1"/>
  <c r="X265" i="16" s="1"/>
  <c r="X266" i="16" s="1"/>
  <c r="X267" i="16" s="1"/>
  <c r="X268" i="16" s="1"/>
  <c r="X269" i="16" s="1"/>
  <c r="X270" i="16" s="1"/>
  <c r="X271" i="16" s="1"/>
  <c r="X272" i="16" s="1"/>
  <c r="X273" i="16" s="1"/>
  <c r="X274" i="16" s="1"/>
  <c r="X275" i="16" s="1"/>
  <c r="X276" i="16" s="1"/>
  <c r="X277" i="16" s="1"/>
  <c r="X278" i="16" s="1"/>
  <c r="X279" i="16" s="1"/>
  <c r="X280" i="16" s="1"/>
  <c r="X281" i="16" s="1"/>
  <c r="X282" i="16" s="1"/>
  <c r="X283" i="16" s="1"/>
  <c r="X284" i="16" s="1"/>
  <c r="X285" i="16" s="1"/>
  <c r="X286" i="16" s="1"/>
  <c r="X287" i="16" s="1"/>
  <c r="X288" i="16" s="1"/>
  <c r="D147" i="7"/>
  <c r="D146" i="7"/>
  <c r="A146" i="7"/>
  <c r="B30" i="8" s="1"/>
  <c r="C8" i="7"/>
  <c r="D8" i="8" s="1"/>
  <c r="A8" i="7"/>
  <c r="B8" i="8" s="1"/>
  <c r="C7" i="7"/>
  <c r="D7" i="8" s="1"/>
  <c r="A7" i="7"/>
  <c r="B7" i="8" s="1"/>
  <c r="H31" i="8"/>
  <c r="H30" i="8"/>
  <c r="Q751" i="3"/>
  <c r="Q750" i="3"/>
  <c r="AE744" i="3"/>
  <c r="AD744" i="3"/>
  <c r="AC744" i="3"/>
  <c r="AB744" i="3"/>
  <c r="AA744" i="3"/>
  <c r="Z744" i="3"/>
  <c r="Y744" i="3"/>
  <c r="AE743" i="3"/>
  <c r="AD743" i="3"/>
  <c r="AC743" i="3"/>
  <c r="AB743" i="3"/>
  <c r="AA743" i="3"/>
  <c r="Z743" i="3"/>
  <c r="Y743" i="3"/>
  <c r="AE742" i="3"/>
  <c r="AD742" i="3"/>
  <c r="AC742" i="3"/>
  <c r="AB742" i="3"/>
  <c r="AA742" i="3"/>
  <c r="Z742" i="3"/>
  <c r="Y742" i="3"/>
  <c r="AE741" i="3"/>
  <c r="AD741" i="3"/>
  <c r="AC741" i="3"/>
  <c r="AB741" i="3"/>
  <c r="AA741" i="3"/>
  <c r="Z741" i="3"/>
  <c r="Y741" i="3"/>
  <c r="AE740" i="3"/>
  <c r="AD740" i="3"/>
  <c r="AC740" i="3"/>
  <c r="AB740" i="3"/>
  <c r="AA740" i="3"/>
  <c r="Z740" i="3"/>
  <c r="Y740" i="3"/>
  <c r="AE739" i="3"/>
  <c r="AD739" i="3"/>
  <c r="AC739" i="3"/>
  <c r="AB739" i="3"/>
  <c r="AA739" i="3"/>
  <c r="Z739" i="3"/>
  <c r="Y739" i="3"/>
  <c r="AE738" i="3"/>
  <c r="AD738" i="3"/>
  <c r="AC738" i="3"/>
  <c r="AB738" i="3"/>
  <c r="AA738" i="3"/>
  <c r="Z738" i="3"/>
  <c r="Y738" i="3"/>
  <c r="AE737" i="3"/>
  <c r="AD737" i="3"/>
  <c r="AC737" i="3"/>
  <c r="AB737" i="3"/>
  <c r="AA737" i="3"/>
  <c r="Z737" i="3"/>
  <c r="Y737" i="3"/>
  <c r="AE736" i="3"/>
  <c r="AD736" i="3"/>
  <c r="AC736" i="3"/>
  <c r="AB736" i="3"/>
  <c r="AA736" i="3"/>
  <c r="Z736" i="3"/>
  <c r="Y736" i="3"/>
  <c r="AE735" i="3"/>
  <c r="AD735" i="3"/>
  <c r="AC735" i="3"/>
  <c r="AB735" i="3"/>
  <c r="AA735" i="3"/>
  <c r="Z735" i="3"/>
  <c r="Y735" i="3"/>
  <c r="B735" i="3"/>
  <c r="B736" i="3" s="1"/>
  <c r="B737" i="3" s="1"/>
  <c r="B738" i="3" s="1"/>
  <c r="B739" i="3" s="1"/>
  <c r="B740" i="3" s="1"/>
  <c r="B741" i="3" s="1"/>
  <c r="B742" i="3" s="1"/>
  <c r="B743" i="3" s="1"/>
  <c r="B744" i="3" s="1"/>
  <c r="AE734" i="3"/>
  <c r="AD734" i="3"/>
  <c r="AC734" i="3"/>
  <c r="AB734" i="3"/>
  <c r="AA734" i="3"/>
  <c r="Z734" i="3"/>
  <c r="Y734" i="3"/>
  <c r="Q713" i="3"/>
  <c r="Q712" i="3"/>
  <c r="AE706" i="3"/>
  <c r="AD706" i="3"/>
  <c r="AC706" i="3"/>
  <c r="AB706" i="3"/>
  <c r="AA706" i="3"/>
  <c r="Z706" i="3"/>
  <c r="Y706" i="3"/>
  <c r="AE705" i="3"/>
  <c r="AD705" i="3"/>
  <c r="AC705" i="3"/>
  <c r="AB705" i="3"/>
  <c r="AA705" i="3"/>
  <c r="Z705" i="3"/>
  <c r="Y705" i="3"/>
  <c r="AE704" i="3"/>
  <c r="AD704" i="3"/>
  <c r="AC704" i="3"/>
  <c r="AB704" i="3"/>
  <c r="AA704" i="3"/>
  <c r="Z704" i="3"/>
  <c r="Y704" i="3"/>
  <c r="AE703" i="3"/>
  <c r="AD703" i="3"/>
  <c r="AC703" i="3"/>
  <c r="AB703" i="3"/>
  <c r="AA703" i="3"/>
  <c r="Z703" i="3"/>
  <c r="Y703" i="3"/>
  <c r="AE702" i="3"/>
  <c r="AD702" i="3"/>
  <c r="AC702" i="3"/>
  <c r="AB702" i="3"/>
  <c r="AA702" i="3"/>
  <c r="Z702" i="3"/>
  <c r="Y702" i="3"/>
  <c r="AE701" i="3"/>
  <c r="AD701" i="3"/>
  <c r="AC701" i="3"/>
  <c r="AB701" i="3"/>
  <c r="AA701" i="3"/>
  <c r="Z701" i="3"/>
  <c r="Y701" i="3"/>
  <c r="AE700" i="3"/>
  <c r="AD700" i="3"/>
  <c r="AC700" i="3"/>
  <c r="AB700" i="3"/>
  <c r="AA700" i="3"/>
  <c r="Z700" i="3"/>
  <c r="Y700" i="3"/>
  <c r="AE699" i="3"/>
  <c r="AD699" i="3"/>
  <c r="AC699" i="3"/>
  <c r="AB699" i="3"/>
  <c r="AA699" i="3"/>
  <c r="Z699" i="3"/>
  <c r="Y699" i="3"/>
  <c r="AE698" i="3"/>
  <c r="AD698" i="3"/>
  <c r="AC698" i="3"/>
  <c r="AB698" i="3"/>
  <c r="AA698" i="3"/>
  <c r="Z698" i="3"/>
  <c r="Y698" i="3"/>
  <c r="AE697" i="3"/>
  <c r="AD697" i="3"/>
  <c r="AC697" i="3"/>
  <c r="AB697" i="3"/>
  <c r="AA697" i="3"/>
  <c r="Z697" i="3"/>
  <c r="Y697" i="3"/>
  <c r="B697" i="3"/>
  <c r="B698" i="3" s="1"/>
  <c r="B699" i="3" s="1"/>
  <c r="B700" i="3" s="1"/>
  <c r="B701" i="3" s="1"/>
  <c r="B702" i="3" s="1"/>
  <c r="B703" i="3" s="1"/>
  <c r="B704" i="3" s="1"/>
  <c r="B705" i="3" s="1"/>
  <c r="B706" i="3" s="1"/>
  <c r="AE696" i="3"/>
  <c r="AD696" i="3"/>
  <c r="AC696" i="3"/>
  <c r="AB696" i="3"/>
  <c r="AA696" i="3"/>
  <c r="Z696" i="3"/>
  <c r="Y696" i="3"/>
  <c r="Q675" i="3"/>
  <c r="Q674" i="3"/>
  <c r="AE668" i="3"/>
  <c r="AD668" i="3"/>
  <c r="AC668" i="3"/>
  <c r="AB668" i="3"/>
  <c r="AA668" i="3"/>
  <c r="Z668" i="3"/>
  <c r="Y668" i="3"/>
  <c r="AE667" i="3"/>
  <c r="AD667" i="3"/>
  <c r="AC667" i="3"/>
  <c r="AB667" i="3"/>
  <c r="AA667" i="3"/>
  <c r="Z667" i="3"/>
  <c r="Y667" i="3"/>
  <c r="AE666" i="3"/>
  <c r="AD666" i="3"/>
  <c r="AC666" i="3"/>
  <c r="AB666" i="3"/>
  <c r="AA666" i="3"/>
  <c r="Z666" i="3"/>
  <c r="Y666" i="3"/>
  <c r="AE665" i="3"/>
  <c r="AD665" i="3"/>
  <c r="AC665" i="3"/>
  <c r="AB665" i="3"/>
  <c r="AA665" i="3"/>
  <c r="Z665" i="3"/>
  <c r="Y665" i="3"/>
  <c r="AE664" i="3"/>
  <c r="AD664" i="3"/>
  <c r="AC664" i="3"/>
  <c r="AB664" i="3"/>
  <c r="AA664" i="3"/>
  <c r="Z664" i="3"/>
  <c r="Y664" i="3"/>
  <c r="AE663" i="3"/>
  <c r="AD663" i="3"/>
  <c r="AC663" i="3"/>
  <c r="AB663" i="3"/>
  <c r="AA663" i="3"/>
  <c r="Z663" i="3"/>
  <c r="Y663" i="3"/>
  <c r="AE662" i="3"/>
  <c r="AD662" i="3"/>
  <c r="AC662" i="3"/>
  <c r="AB662" i="3"/>
  <c r="AA662" i="3"/>
  <c r="Z662" i="3"/>
  <c r="Y662" i="3"/>
  <c r="AE661" i="3"/>
  <c r="AD661" i="3"/>
  <c r="AC661" i="3"/>
  <c r="AB661" i="3"/>
  <c r="AA661" i="3"/>
  <c r="Z661" i="3"/>
  <c r="Y661" i="3"/>
  <c r="AE660" i="3"/>
  <c r="AD660" i="3"/>
  <c r="AC660" i="3"/>
  <c r="AB660" i="3"/>
  <c r="AA660" i="3"/>
  <c r="Z660" i="3"/>
  <c r="Y660" i="3"/>
  <c r="AE659" i="3"/>
  <c r="AD659" i="3"/>
  <c r="AC659" i="3"/>
  <c r="AB659" i="3"/>
  <c r="AA659" i="3"/>
  <c r="Z659" i="3"/>
  <c r="Y659" i="3"/>
  <c r="B659" i="3"/>
  <c r="B660" i="3" s="1"/>
  <c r="B661" i="3" s="1"/>
  <c r="B662" i="3" s="1"/>
  <c r="B663" i="3" s="1"/>
  <c r="B664" i="3" s="1"/>
  <c r="B665" i="3" s="1"/>
  <c r="B666" i="3" s="1"/>
  <c r="B667" i="3" s="1"/>
  <c r="B668" i="3" s="1"/>
  <c r="AE658" i="3"/>
  <c r="AD658" i="3"/>
  <c r="AC658" i="3"/>
  <c r="AB658" i="3"/>
  <c r="AA658" i="3"/>
  <c r="Z658" i="3"/>
  <c r="Y658" i="3"/>
  <c r="Q637" i="3"/>
  <c r="Q636" i="3"/>
  <c r="AE630" i="3"/>
  <c r="AD630" i="3"/>
  <c r="AC630" i="3"/>
  <c r="AB630" i="3"/>
  <c r="AA630" i="3"/>
  <c r="Z630" i="3"/>
  <c r="Y630" i="3"/>
  <c r="AE629" i="3"/>
  <c r="AD629" i="3"/>
  <c r="AC629" i="3"/>
  <c r="AB629" i="3"/>
  <c r="AA629" i="3"/>
  <c r="Z629" i="3"/>
  <c r="Y629" i="3"/>
  <c r="AE628" i="3"/>
  <c r="AD628" i="3"/>
  <c r="AC628" i="3"/>
  <c r="AB628" i="3"/>
  <c r="AA628" i="3"/>
  <c r="Z628" i="3"/>
  <c r="Y628" i="3"/>
  <c r="AE627" i="3"/>
  <c r="AD627" i="3"/>
  <c r="AC627" i="3"/>
  <c r="AB627" i="3"/>
  <c r="AA627" i="3"/>
  <c r="Z627" i="3"/>
  <c r="Y627" i="3"/>
  <c r="AE626" i="3"/>
  <c r="AD626" i="3"/>
  <c r="AC626" i="3"/>
  <c r="AB626" i="3"/>
  <c r="AA626" i="3"/>
  <c r="Z626" i="3"/>
  <c r="Y626" i="3"/>
  <c r="AE625" i="3"/>
  <c r="AD625" i="3"/>
  <c r="AC625" i="3"/>
  <c r="AB625" i="3"/>
  <c r="AA625" i="3"/>
  <c r="Z625" i="3"/>
  <c r="Y625" i="3"/>
  <c r="AE624" i="3"/>
  <c r="AD624" i="3"/>
  <c r="AC624" i="3"/>
  <c r="AB624" i="3"/>
  <c r="AA624" i="3"/>
  <c r="Z624" i="3"/>
  <c r="Y624" i="3"/>
  <c r="AE623" i="3"/>
  <c r="AD623" i="3"/>
  <c r="AC623" i="3"/>
  <c r="AB623" i="3"/>
  <c r="AA623" i="3"/>
  <c r="Z623" i="3"/>
  <c r="Y623" i="3"/>
  <c r="AE622" i="3"/>
  <c r="AD622" i="3"/>
  <c r="AC622" i="3"/>
  <c r="AB622" i="3"/>
  <c r="AA622" i="3"/>
  <c r="Z622" i="3"/>
  <c r="Y622" i="3"/>
  <c r="AE621" i="3"/>
  <c r="AD621" i="3"/>
  <c r="AC621" i="3"/>
  <c r="AB621" i="3"/>
  <c r="AA621" i="3"/>
  <c r="Z621" i="3"/>
  <c r="Y621" i="3"/>
  <c r="B621" i="3"/>
  <c r="B622" i="3" s="1"/>
  <c r="B623" i="3" s="1"/>
  <c r="B624" i="3" s="1"/>
  <c r="B625" i="3" s="1"/>
  <c r="B626" i="3" s="1"/>
  <c r="B627" i="3" s="1"/>
  <c r="B628" i="3" s="1"/>
  <c r="B629" i="3" s="1"/>
  <c r="B630" i="3" s="1"/>
  <c r="AE620" i="3"/>
  <c r="AD620" i="3"/>
  <c r="AC620" i="3"/>
  <c r="AB620" i="3"/>
  <c r="AA620" i="3"/>
  <c r="Z620" i="3"/>
  <c r="Y620" i="3"/>
  <c r="Q599" i="3"/>
  <c r="Q598" i="3"/>
  <c r="AE592" i="3"/>
  <c r="AD592" i="3"/>
  <c r="AC592" i="3"/>
  <c r="AB592" i="3"/>
  <c r="AA592" i="3"/>
  <c r="Z592" i="3"/>
  <c r="Y592" i="3"/>
  <c r="AE591" i="3"/>
  <c r="AD591" i="3"/>
  <c r="AC591" i="3"/>
  <c r="AB591" i="3"/>
  <c r="AA591" i="3"/>
  <c r="Z591" i="3"/>
  <c r="Y591" i="3"/>
  <c r="AE590" i="3"/>
  <c r="AD590" i="3"/>
  <c r="AC590" i="3"/>
  <c r="AB590" i="3"/>
  <c r="AA590" i="3"/>
  <c r="Z590" i="3"/>
  <c r="Y590" i="3"/>
  <c r="AE589" i="3"/>
  <c r="AD589" i="3"/>
  <c r="AC589" i="3"/>
  <c r="AB589" i="3"/>
  <c r="AA589" i="3"/>
  <c r="Z589" i="3"/>
  <c r="Y589" i="3"/>
  <c r="AE588" i="3"/>
  <c r="AD588" i="3"/>
  <c r="AC588" i="3"/>
  <c r="AB588" i="3"/>
  <c r="AA588" i="3"/>
  <c r="Z588" i="3"/>
  <c r="Y588" i="3"/>
  <c r="AE587" i="3"/>
  <c r="AD587" i="3"/>
  <c r="AC587" i="3"/>
  <c r="AB587" i="3"/>
  <c r="AA587" i="3"/>
  <c r="Z587" i="3"/>
  <c r="Y587" i="3"/>
  <c r="AE586" i="3"/>
  <c r="AD586" i="3"/>
  <c r="AC586" i="3"/>
  <c r="AB586" i="3"/>
  <c r="AA586" i="3"/>
  <c r="Z586" i="3"/>
  <c r="Y586" i="3"/>
  <c r="AE585" i="3"/>
  <c r="AD585" i="3"/>
  <c r="AC585" i="3"/>
  <c r="AB585" i="3"/>
  <c r="AA585" i="3"/>
  <c r="Z585" i="3"/>
  <c r="Y585" i="3"/>
  <c r="AE584" i="3"/>
  <c r="AD584" i="3"/>
  <c r="AC584" i="3"/>
  <c r="AB584" i="3"/>
  <c r="AA584" i="3"/>
  <c r="Z584" i="3"/>
  <c r="Y584" i="3"/>
  <c r="AE583" i="3"/>
  <c r="AD583" i="3"/>
  <c r="AC583" i="3"/>
  <c r="AB583" i="3"/>
  <c r="AA583" i="3"/>
  <c r="Z583" i="3"/>
  <c r="Y583" i="3"/>
  <c r="B583" i="3"/>
  <c r="B584" i="3" s="1"/>
  <c r="B585" i="3" s="1"/>
  <c r="B586" i="3" s="1"/>
  <c r="B587" i="3" s="1"/>
  <c r="B588" i="3" s="1"/>
  <c r="B589" i="3" s="1"/>
  <c r="B590" i="3" s="1"/>
  <c r="B591" i="3" s="1"/>
  <c r="B592" i="3" s="1"/>
  <c r="AE582" i="3"/>
  <c r="AD582" i="3"/>
  <c r="AC582" i="3"/>
  <c r="AB582" i="3"/>
  <c r="AA582" i="3"/>
  <c r="Z582" i="3"/>
  <c r="Y582" i="3"/>
  <c r="Q561" i="3"/>
  <c r="Q560" i="3"/>
  <c r="AE554" i="3"/>
  <c r="AD554" i="3"/>
  <c r="AC554" i="3"/>
  <c r="AB554" i="3"/>
  <c r="AA554" i="3"/>
  <c r="Z554" i="3"/>
  <c r="Y554" i="3"/>
  <c r="AE553" i="3"/>
  <c r="AD553" i="3"/>
  <c r="AC553" i="3"/>
  <c r="AB553" i="3"/>
  <c r="AA553" i="3"/>
  <c r="Z553" i="3"/>
  <c r="Y553" i="3"/>
  <c r="AE552" i="3"/>
  <c r="AD552" i="3"/>
  <c r="AC552" i="3"/>
  <c r="AB552" i="3"/>
  <c r="AA552" i="3"/>
  <c r="Z552" i="3"/>
  <c r="Y552" i="3"/>
  <c r="AE551" i="3"/>
  <c r="AD551" i="3"/>
  <c r="AC551" i="3"/>
  <c r="AB551" i="3"/>
  <c r="AA551" i="3"/>
  <c r="Z551" i="3"/>
  <c r="Y551" i="3"/>
  <c r="AE550" i="3"/>
  <c r="AD550" i="3"/>
  <c r="AC550" i="3"/>
  <c r="AB550" i="3"/>
  <c r="AA550" i="3"/>
  <c r="Z550" i="3"/>
  <c r="Y550" i="3"/>
  <c r="AE549" i="3"/>
  <c r="AD549" i="3"/>
  <c r="AC549" i="3"/>
  <c r="AB549" i="3"/>
  <c r="AA549" i="3"/>
  <c r="Z549" i="3"/>
  <c r="Y549" i="3"/>
  <c r="AE548" i="3"/>
  <c r="AD548" i="3"/>
  <c r="AC548" i="3"/>
  <c r="AB548" i="3"/>
  <c r="AA548" i="3"/>
  <c r="Z548" i="3"/>
  <c r="Y548" i="3"/>
  <c r="AE547" i="3"/>
  <c r="AD547" i="3"/>
  <c r="AC547" i="3"/>
  <c r="AB547" i="3"/>
  <c r="AA547" i="3"/>
  <c r="Z547" i="3"/>
  <c r="Y547" i="3"/>
  <c r="AE546" i="3"/>
  <c r="AD546" i="3"/>
  <c r="AC546" i="3"/>
  <c r="AB546" i="3"/>
  <c r="AA546" i="3"/>
  <c r="Z546" i="3"/>
  <c r="Y546" i="3"/>
  <c r="AE545" i="3"/>
  <c r="AD545" i="3"/>
  <c r="AC545" i="3"/>
  <c r="AB545" i="3"/>
  <c r="AA545" i="3"/>
  <c r="Z545" i="3"/>
  <c r="Y545" i="3"/>
  <c r="B545" i="3"/>
  <c r="B546" i="3" s="1"/>
  <c r="B547" i="3" s="1"/>
  <c r="B548" i="3" s="1"/>
  <c r="B549" i="3" s="1"/>
  <c r="B550" i="3" s="1"/>
  <c r="B551" i="3" s="1"/>
  <c r="B552" i="3" s="1"/>
  <c r="B553" i="3" s="1"/>
  <c r="B554" i="3" s="1"/>
  <c r="AE544" i="3"/>
  <c r="AD544" i="3"/>
  <c r="AC544" i="3"/>
  <c r="AB544" i="3"/>
  <c r="AA544" i="3"/>
  <c r="Z544" i="3"/>
  <c r="Y544" i="3"/>
  <c r="Q523" i="3"/>
  <c r="Q522" i="3"/>
  <c r="AE516" i="3"/>
  <c r="AD516" i="3"/>
  <c r="AC516" i="3"/>
  <c r="AB516" i="3"/>
  <c r="AA516" i="3"/>
  <c r="Z516" i="3"/>
  <c r="Y516" i="3"/>
  <c r="AE515" i="3"/>
  <c r="AD515" i="3"/>
  <c r="AC515" i="3"/>
  <c r="AB515" i="3"/>
  <c r="AA515" i="3"/>
  <c r="Z515" i="3"/>
  <c r="Y515" i="3"/>
  <c r="AE514" i="3"/>
  <c r="AD514" i="3"/>
  <c r="AC514" i="3"/>
  <c r="AB514" i="3"/>
  <c r="AA514" i="3"/>
  <c r="Z514" i="3"/>
  <c r="Y514" i="3"/>
  <c r="AE513" i="3"/>
  <c r="AD513" i="3"/>
  <c r="AC513" i="3"/>
  <c r="AB513" i="3"/>
  <c r="AA513" i="3"/>
  <c r="Z513" i="3"/>
  <c r="Y513" i="3"/>
  <c r="AE512" i="3"/>
  <c r="AD512" i="3"/>
  <c r="AC512" i="3"/>
  <c r="AB512" i="3"/>
  <c r="AA512" i="3"/>
  <c r="Z512" i="3"/>
  <c r="Y512" i="3"/>
  <c r="AE511" i="3"/>
  <c r="AD511" i="3"/>
  <c r="AC511" i="3"/>
  <c r="AB511" i="3"/>
  <c r="AA511" i="3"/>
  <c r="Z511" i="3"/>
  <c r="Y511" i="3"/>
  <c r="AE510" i="3"/>
  <c r="AD510" i="3"/>
  <c r="AC510" i="3"/>
  <c r="AB510" i="3"/>
  <c r="AA510" i="3"/>
  <c r="Z510" i="3"/>
  <c r="Y510" i="3"/>
  <c r="AE509" i="3"/>
  <c r="AD509" i="3"/>
  <c r="AC509" i="3"/>
  <c r="AB509" i="3"/>
  <c r="AA509" i="3"/>
  <c r="Z509" i="3"/>
  <c r="Y509" i="3"/>
  <c r="AE508" i="3"/>
  <c r="AD508" i="3"/>
  <c r="AC508" i="3"/>
  <c r="AB508" i="3"/>
  <c r="AA508" i="3"/>
  <c r="Z508" i="3"/>
  <c r="Y508" i="3"/>
  <c r="AE507" i="3"/>
  <c r="AD507" i="3"/>
  <c r="AC507" i="3"/>
  <c r="AB507" i="3"/>
  <c r="AA507" i="3"/>
  <c r="Z507" i="3"/>
  <c r="Y507" i="3"/>
  <c r="B507" i="3"/>
  <c r="B508" i="3" s="1"/>
  <c r="B509" i="3" s="1"/>
  <c r="B510" i="3" s="1"/>
  <c r="B511" i="3" s="1"/>
  <c r="B512" i="3" s="1"/>
  <c r="B513" i="3" s="1"/>
  <c r="B514" i="3" s="1"/>
  <c r="B515" i="3" s="1"/>
  <c r="B516" i="3" s="1"/>
  <c r="AE506" i="3"/>
  <c r="AD506" i="3"/>
  <c r="AC506" i="3"/>
  <c r="AB506" i="3"/>
  <c r="AA506" i="3"/>
  <c r="Z506" i="3"/>
  <c r="Y506" i="3"/>
  <c r="Q485" i="3"/>
  <c r="Q484" i="3"/>
  <c r="AE478" i="3"/>
  <c r="AD478" i="3"/>
  <c r="AC478" i="3"/>
  <c r="AB478" i="3"/>
  <c r="AA478" i="3"/>
  <c r="Z478" i="3"/>
  <c r="Y478" i="3"/>
  <c r="AE477" i="3"/>
  <c r="AD477" i="3"/>
  <c r="AC477" i="3"/>
  <c r="AB477" i="3"/>
  <c r="AA477" i="3"/>
  <c r="Z477" i="3"/>
  <c r="Y477" i="3"/>
  <c r="AE476" i="3"/>
  <c r="AD476" i="3"/>
  <c r="AC476" i="3"/>
  <c r="AB476" i="3"/>
  <c r="AA476" i="3"/>
  <c r="Z476" i="3"/>
  <c r="Y476" i="3"/>
  <c r="AE475" i="3"/>
  <c r="AD475" i="3"/>
  <c r="AC475" i="3"/>
  <c r="AB475" i="3"/>
  <c r="AA475" i="3"/>
  <c r="Z475" i="3"/>
  <c r="Y475" i="3"/>
  <c r="AE474" i="3"/>
  <c r="AD474" i="3"/>
  <c r="AC474" i="3"/>
  <c r="AB474" i="3"/>
  <c r="AA474" i="3"/>
  <c r="Z474" i="3"/>
  <c r="Y474" i="3"/>
  <c r="AE473" i="3"/>
  <c r="AD473" i="3"/>
  <c r="AC473" i="3"/>
  <c r="AB473" i="3"/>
  <c r="AA473" i="3"/>
  <c r="Z473" i="3"/>
  <c r="Y473" i="3"/>
  <c r="AE472" i="3"/>
  <c r="AD472" i="3"/>
  <c r="AC472" i="3"/>
  <c r="AB472" i="3"/>
  <c r="AA472" i="3"/>
  <c r="Z472" i="3"/>
  <c r="Y472" i="3"/>
  <c r="AE471" i="3"/>
  <c r="AD471" i="3"/>
  <c r="AC471" i="3"/>
  <c r="AB471" i="3"/>
  <c r="AA471" i="3"/>
  <c r="Z471" i="3"/>
  <c r="Y471" i="3"/>
  <c r="AE470" i="3"/>
  <c r="AD470" i="3"/>
  <c r="AC470" i="3"/>
  <c r="AB470" i="3"/>
  <c r="AA470" i="3"/>
  <c r="Z470" i="3"/>
  <c r="Y470" i="3"/>
  <c r="AE469" i="3"/>
  <c r="AD469" i="3"/>
  <c r="AC469" i="3"/>
  <c r="AB469" i="3"/>
  <c r="AA469" i="3"/>
  <c r="Z469" i="3"/>
  <c r="Y469" i="3"/>
  <c r="B469" i="3"/>
  <c r="B470" i="3" s="1"/>
  <c r="B471" i="3" s="1"/>
  <c r="B472" i="3" s="1"/>
  <c r="B473" i="3" s="1"/>
  <c r="B474" i="3" s="1"/>
  <c r="B475" i="3" s="1"/>
  <c r="B476" i="3" s="1"/>
  <c r="B477" i="3" s="1"/>
  <c r="B478" i="3" s="1"/>
  <c r="AE468" i="3"/>
  <c r="AD468" i="3"/>
  <c r="AC468" i="3"/>
  <c r="AB468" i="3"/>
  <c r="AA468" i="3"/>
  <c r="Z468" i="3"/>
  <c r="Y468" i="3"/>
  <c r="Q447" i="3"/>
  <c r="Q446" i="3"/>
  <c r="AE440" i="3"/>
  <c r="AD440" i="3"/>
  <c r="AC440" i="3"/>
  <c r="AB440" i="3"/>
  <c r="AA440" i="3"/>
  <c r="Z440" i="3"/>
  <c r="Y440" i="3"/>
  <c r="O440" i="3"/>
  <c r="O478" i="3" s="1"/>
  <c r="N478" i="3" s="1"/>
  <c r="AE439" i="3"/>
  <c r="AD439" i="3"/>
  <c r="AC439" i="3"/>
  <c r="AB439" i="3"/>
  <c r="AA439" i="3"/>
  <c r="Z439" i="3"/>
  <c r="Y439" i="3"/>
  <c r="AE438" i="3"/>
  <c r="AD438" i="3"/>
  <c r="AC438" i="3"/>
  <c r="AB438" i="3"/>
  <c r="AA438" i="3"/>
  <c r="Z438" i="3"/>
  <c r="Y438" i="3"/>
  <c r="AE437" i="3"/>
  <c r="AD437" i="3"/>
  <c r="AC437" i="3"/>
  <c r="AB437" i="3"/>
  <c r="AA437" i="3"/>
  <c r="Z437" i="3"/>
  <c r="Y437" i="3"/>
  <c r="AE436" i="3"/>
  <c r="AD436" i="3"/>
  <c r="AC436" i="3"/>
  <c r="AB436" i="3"/>
  <c r="AA436" i="3"/>
  <c r="Z436" i="3"/>
  <c r="Y436" i="3"/>
  <c r="AE435" i="3"/>
  <c r="AD435" i="3"/>
  <c r="AC435" i="3"/>
  <c r="AB435" i="3"/>
  <c r="AA435" i="3"/>
  <c r="Z435" i="3"/>
  <c r="Y435" i="3"/>
  <c r="AE434" i="3"/>
  <c r="AD434" i="3"/>
  <c r="AC434" i="3"/>
  <c r="AB434" i="3"/>
  <c r="AA434" i="3"/>
  <c r="Z434" i="3"/>
  <c r="Y434" i="3"/>
  <c r="AE433" i="3"/>
  <c r="AD433" i="3"/>
  <c r="AC433" i="3"/>
  <c r="AB433" i="3"/>
  <c r="AA433" i="3"/>
  <c r="Z433" i="3"/>
  <c r="Y433" i="3"/>
  <c r="AE432" i="3"/>
  <c r="AD432" i="3"/>
  <c r="AC432" i="3"/>
  <c r="AB432" i="3"/>
  <c r="AA432" i="3"/>
  <c r="Z432" i="3"/>
  <c r="Y432" i="3"/>
  <c r="AE431" i="3"/>
  <c r="AD431" i="3"/>
  <c r="AC431" i="3"/>
  <c r="AB431" i="3"/>
  <c r="AA431" i="3"/>
  <c r="Z431" i="3"/>
  <c r="Y431" i="3"/>
  <c r="B431" i="3"/>
  <c r="B432" i="3" s="1"/>
  <c r="B433" i="3" s="1"/>
  <c r="B434" i="3" s="1"/>
  <c r="B435" i="3" s="1"/>
  <c r="B436" i="3" s="1"/>
  <c r="B437" i="3" s="1"/>
  <c r="B438" i="3" s="1"/>
  <c r="B439" i="3" s="1"/>
  <c r="B440" i="3" s="1"/>
  <c r="AE430" i="3"/>
  <c r="AD430" i="3"/>
  <c r="AC430" i="3"/>
  <c r="AB430" i="3"/>
  <c r="AA430" i="3"/>
  <c r="Z430" i="3"/>
  <c r="Y430" i="3"/>
  <c r="Q409" i="3"/>
  <c r="Q408" i="3"/>
  <c r="AE402" i="3"/>
  <c r="AD402" i="3"/>
  <c r="AC402" i="3"/>
  <c r="AB402" i="3"/>
  <c r="AA402" i="3"/>
  <c r="Z402" i="3"/>
  <c r="Y402" i="3"/>
  <c r="AE401" i="3"/>
  <c r="AD401" i="3"/>
  <c r="AC401" i="3"/>
  <c r="AB401" i="3"/>
  <c r="AA401" i="3"/>
  <c r="Z401" i="3"/>
  <c r="Y401" i="3"/>
  <c r="AE400" i="3"/>
  <c r="AD400" i="3"/>
  <c r="AC400" i="3"/>
  <c r="AB400" i="3"/>
  <c r="AA400" i="3"/>
  <c r="Z400" i="3"/>
  <c r="Y400" i="3"/>
  <c r="AE399" i="3"/>
  <c r="AD399" i="3"/>
  <c r="AC399" i="3"/>
  <c r="AB399" i="3"/>
  <c r="AA399" i="3"/>
  <c r="Z399" i="3"/>
  <c r="Y399" i="3"/>
  <c r="AE398" i="3"/>
  <c r="AD398" i="3"/>
  <c r="AC398" i="3"/>
  <c r="AB398" i="3"/>
  <c r="AA398" i="3"/>
  <c r="Z398" i="3"/>
  <c r="Y398" i="3"/>
  <c r="AE397" i="3"/>
  <c r="AD397" i="3"/>
  <c r="AC397" i="3"/>
  <c r="AB397" i="3"/>
  <c r="AA397" i="3"/>
  <c r="Z397" i="3"/>
  <c r="Y397" i="3"/>
  <c r="AE396" i="3"/>
  <c r="AD396" i="3"/>
  <c r="AC396" i="3"/>
  <c r="AB396" i="3"/>
  <c r="AA396" i="3"/>
  <c r="Z396" i="3"/>
  <c r="Y396" i="3"/>
  <c r="AE395" i="3"/>
  <c r="AD395" i="3"/>
  <c r="AC395" i="3"/>
  <c r="AB395" i="3"/>
  <c r="AA395" i="3"/>
  <c r="Z395" i="3"/>
  <c r="Y395" i="3"/>
  <c r="AE394" i="3"/>
  <c r="AD394" i="3"/>
  <c r="AC394" i="3"/>
  <c r="AB394" i="3"/>
  <c r="AA394" i="3"/>
  <c r="Z394" i="3"/>
  <c r="Y394" i="3"/>
  <c r="AE393" i="3"/>
  <c r="AD393" i="3"/>
  <c r="AC393" i="3"/>
  <c r="AB393" i="3"/>
  <c r="AA393" i="3"/>
  <c r="Z393" i="3"/>
  <c r="Y393" i="3"/>
  <c r="B393" i="3"/>
  <c r="B394" i="3" s="1"/>
  <c r="B395" i="3" s="1"/>
  <c r="B396" i="3" s="1"/>
  <c r="B397" i="3" s="1"/>
  <c r="B398" i="3" s="1"/>
  <c r="B399" i="3" s="1"/>
  <c r="B400" i="3" s="1"/>
  <c r="B401" i="3" s="1"/>
  <c r="B402" i="3" s="1"/>
  <c r="AE392" i="3"/>
  <c r="AD392" i="3"/>
  <c r="AC392" i="3"/>
  <c r="AB392" i="3"/>
  <c r="AA392" i="3"/>
  <c r="Z392" i="3"/>
  <c r="Y392" i="3"/>
  <c r="Q371" i="3"/>
  <c r="Q370" i="3"/>
  <c r="AE364" i="3"/>
  <c r="AD364" i="3"/>
  <c r="AC364" i="3"/>
  <c r="AB364" i="3"/>
  <c r="AA364" i="3"/>
  <c r="Z364" i="3"/>
  <c r="Y364" i="3"/>
  <c r="AE363" i="3"/>
  <c r="AD363" i="3"/>
  <c r="AC363" i="3"/>
  <c r="AB363" i="3"/>
  <c r="AA363" i="3"/>
  <c r="Z363" i="3"/>
  <c r="Y363" i="3"/>
  <c r="AE362" i="3"/>
  <c r="AD362" i="3"/>
  <c r="AC362" i="3"/>
  <c r="AB362" i="3"/>
  <c r="AA362" i="3"/>
  <c r="Z362" i="3"/>
  <c r="Y362" i="3"/>
  <c r="AE361" i="3"/>
  <c r="AD361" i="3"/>
  <c r="AC361" i="3"/>
  <c r="AB361" i="3"/>
  <c r="AA361" i="3"/>
  <c r="Z361" i="3"/>
  <c r="Y361" i="3"/>
  <c r="AE360" i="3"/>
  <c r="AD360" i="3"/>
  <c r="AC360" i="3"/>
  <c r="AB360" i="3"/>
  <c r="AA360" i="3"/>
  <c r="Z360" i="3"/>
  <c r="Y360" i="3"/>
  <c r="AE359" i="3"/>
  <c r="AD359" i="3"/>
  <c r="AC359" i="3"/>
  <c r="AB359" i="3"/>
  <c r="AA359" i="3"/>
  <c r="Z359" i="3"/>
  <c r="Y359" i="3"/>
  <c r="AE358" i="3"/>
  <c r="AD358" i="3"/>
  <c r="AC358" i="3"/>
  <c r="AB358" i="3"/>
  <c r="AA358" i="3"/>
  <c r="Z358" i="3"/>
  <c r="Y358" i="3"/>
  <c r="AE357" i="3"/>
  <c r="AD357" i="3"/>
  <c r="AC357" i="3"/>
  <c r="AB357" i="3"/>
  <c r="AA357" i="3"/>
  <c r="Z357" i="3"/>
  <c r="Y357" i="3"/>
  <c r="AE356" i="3"/>
  <c r="AD356" i="3"/>
  <c r="AC356" i="3"/>
  <c r="AB356" i="3"/>
  <c r="AA356" i="3"/>
  <c r="Z356" i="3"/>
  <c r="Y356" i="3"/>
  <c r="AE355" i="3"/>
  <c r="AD355" i="3"/>
  <c r="AC355" i="3"/>
  <c r="AB355" i="3"/>
  <c r="AA355" i="3"/>
  <c r="Z355" i="3"/>
  <c r="Y355" i="3"/>
  <c r="B355" i="3"/>
  <c r="B356" i="3" s="1"/>
  <c r="B357" i="3" s="1"/>
  <c r="B358" i="3" s="1"/>
  <c r="B359" i="3" s="1"/>
  <c r="B360" i="3" s="1"/>
  <c r="B361" i="3" s="1"/>
  <c r="B362" i="3" s="1"/>
  <c r="B363" i="3" s="1"/>
  <c r="B364" i="3" s="1"/>
  <c r="AE354" i="3"/>
  <c r="AD354" i="3"/>
  <c r="AC354" i="3"/>
  <c r="AB354" i="3"/>
  <c r="AA354" i="3"/>
  <c r="Z354" i="3"/>
  <c r="Y354" i="3"/>
  <c r="Q333" i="3"/>
  <c r="Q332" i="3"/>
  <c r="AE326" i="3"/>
  <c r="AD326" i="3"/>
  <c r="AC326" i="3"/>
  <c r="AB326" i="3"/>
  <c r="AA326" i="3"/>
  <c r="Z326" i="3"/>
  <c r="Y326" i="3"/>
  <c r="AE325" i="3"/>
  <c r="AD325" i="3"/>
  <c r="AC325" i="3"/>
  <c r="AB325" i="3"/>
  <c r="AA325" i="3"/>
  <c r="Z325" i="3"/>
  <c r="Y325" i="3"/>
  <c r="AE324" i="3"/>
  <c r="AD324" i="3"/>
  <c r="AC324" i="3"/>
  <c r="AB324" i="3"/>
  <c r="AA324" i="3"/>
  <c r="Z324" i="3"/>
  <c r="Y324" i="3"/>
  <c r="AE323" i="3"/>
  <c r="AD323" i="3"/>
  <c r="AC323" i="3"/>
  <c r="AB323" i="3"/>
  <c r="AA323" i="3"/>
  <c r="Z323" i="3"/>
  <c r="Y323" i="3"/>
  <c r="AE322" i="3"/>
  <c r="AD322" i="3"/>
  <c r="AC322" i="3"/>
  <c r="AB322" i="3"/>
  <c r="AA322" i="3"/>
  <c r="Z322" i="3"/>
  <c r="Y322" i="3"/>
  <c r="AE321" i="3"/>
  <c r="AD321" i="3"/>
  <c r="AC321" i="3"/>
  <c r="AB321" i="3"/>
  <c r="AA321" i="3"/>
  <c r="Z321" i="3"/>
  <c r="Y321" i="3"/>
  <c r="AE320" i="3"/>
  <c r="AD320" i="3"/>
  <c r="AC320" i="3"/>
  <c r="AB320" i="3"/>
  <c r="AA320" i="3"/>
  <c r="Z320" i="3"/>
  <c r="Y320" i="3"/>
  <c r="AE319" i="3"/>
  <c r="AD319" i="3"/>
  <c r="AC319" i="3"/>
  <c r="AB319" i="3"/>
  <c r="AA319" i="3"/>
  <c r="Z319" i="3"/>
  <c r="Y319" i="3"/>
  <c r="AE318" i="3"/>
  <c r="AD318" i="3"/>
  <c r="AC318" i="3"/>
  <c r="AB318" i="3"/>
  <c r="AA318" i="3"/>
  <c r="Z318" i="3"/>
  <c r="Y318" i="3"/>
  <c r="AE317" i="3"/>
  <c r="AD317" i="3"/>
  <c r="AC317" i="3"/>
  <c r="AB317" i="3"/>
  <c r="AA317" i="3"/>
  <c r="Z317" i="3"/>
  <c r="Y317" i="3"/>
  <c r="B317" i="3"/>
  <c r="B318" i="3" s="1"/>
  <c r="B319" i="3" s="1"/>
  <c r="B320" i="3" s="1"/>
  <c r="B321" i="3" s="1"/>
  <c r="B322" i="3" s="1"/>
  <c r="B323" i="3" s="1"/>
  <c r="B324" i="3" s="1"/>
  <c r="B325" i="3" s="1"/>
  <c r="B326" i="3" s="1"/>
  <c r="AE316" i="3"/>
  <c r="AD316" i="3"/>
  <c r="AC316" i="3"/>
  <c r="AB316" i="3"/>
  <c r="AA316" i="3"/>
  <c r="Z316" i="3"/>
  <c r="Y316" i="3"/>
  <c r="Q295" i="3"/>
  <c r="Q294" i="3"/>
  <c r="AE288" i="3"/>
  <c r="AD288" i="3"/>
  <c r="AC288" i="3"/>
  <c r="AB288" i="3"/>
  <c r="AA288" i="3"/>
  <c r="Z288" i="3"/>
  <c r="Y288" i="3"/>
  <c r="AE287" i="3"/>
  <c r="AD287" i="3"/>
  <c r="AC287" i="3"/>
  <c r="AB287" i="3"/>
  <c r="AA287" i="3"/>
  <c r="Z287" i="3"/>
  <c r="Y287" i="3"/>
  <c r="AE286" i="3"/>
  <c r="AD286" i="3"/>
  <c r="AC286" i="3"/>
  <c r="AB286" i="3"/>
  <c r="AA286" i="3"/>
  <c r="Z286" i="3"/>
  <c r="Y286" i="3"/>
  <c r="AE285" i="3"/>
  <c r="AD285" i="3"/>
  <c r="AC285" i="3"/>
  <c r="AB285" i="3"/>
  <c r="AA285" i="3"/>
  <c r="Z285" i="3"/>
  <c r="Y285" i="3"/>
  <c r="AE284" i="3"/>
  <c r="AD284" i="3"/>
  <c r="AC284" i="3"/>
  <c r="AB284" i="3"/>
  <c r="AA284" i="3"/>
  <c r="Z284" i="3"/>
  <c r="Y284" i="3"/>
  <c r="AE283" i="3"/>
  <c r="AD283" i="3"/>
  <c r="AC283" i="3"/>
  <c r="AB283" i="3"/>
  <c r="AA283" i="3"/>
  <c r="Z283" i="3"/>
  <c r="Y283" i="3"/>
  <c r="AE282" i="3"/>
  <c r="AD282" i="3"/>
  <c r="AC282" i="3"/>
  <c r="AB282" i="3"/>
  <c r="AA282" i="3"/>
  <c r="Z282" i="3"/>
  <c r="Y282" i="3"/>
  <c r="AE281" i="3"/>
  <c r="AD281" i="3"/>
  <c r="AC281" i="3"/>
  <c r="AB281" i="3"/>
  <c r="AA281" i="3"/>
  <c r="Z281" i="3"/>
  <c r="Y281" i="3"/>
  <c r="AE280" i="3"/>
  <c r="AD280" i="3"/>
  <c r="AC280" i="3"/>
  <c r="AB280" i="3"/>
  <c r="AA280" i="3"/>
  <c r="Z280" i="3"/>
  <c r="Y280" i="3"/>
  <c r="AE279" i="3"/>
  <c r="AD279" i="3"/>
  <c r="AC279" i="3"/>
  <c r="AB279" i="3"/>
  <c r="AA279" i="3"/>
  <c r="Z279" i="3"/>
  <c r="Y279" i="3"/>
  <c r="AE278" i="3"/>
  <c r="AD278" i="3"/>
  <c r="AC278" i="3"/>
  <c r="AB278" i="3"/>
  <c r="AA278" i="3"/>
  <c r="Z278" i="3"/>
  <c r="Y278" i="3"/>
  <c r="Q257" i="3"/>
  <c r="Q256" i="3"/>
  <c r="AE250" i="3"/>
  <c r="AD250" i="3"/>
  <c r="AC250" i="3"/>
  <c r="AB250" i="3"/>
  <c r="AA250" i="3"/>
  <c r="Z250" i="3"/>
  <c r="Y250" i="3"/>
  <c r="AE249" i="3"/>
  <c r="AD249" i="3"/>
  <c r="AC249" i="3"/>
  <c r="AB249" i="3"/>
  <c r="AA249" i="3"/>
  <c r="Z249" i="3"/>
  <c r="Y249" i="3"/>
  <c r="AE248" i="3"/>
  <c r="AD248" i="3"/>
  <c r="AC248" i="3"/>
  <c r="AB248" i="3"/>
  <c r="AA248" i="3"/>
  <c r="Z248" i="3"/>
  <c r="Y248" i="3"/>
  <c r="AE247" i="3"/>
  <c r="AD247" i="3"/>
  <c r="AC247" i="3"/>
  <c r="AB247" i="3"/>
  <c r="AA247" i="3"/>
  <c r="Z247" i="3"/>
  <c r="Y247" i="3"/>
  <c r="AE246" i="3"/>
  <c r="AD246" i="3"/>
  <c r="AC246" i="3"/>
  <c r="AB246" i="3"/>
  <c r="AA246" i="3"/>
  <c r="Z246" i="3"/>
  <c r="Y246" i="3"/>
  <c r="AE245" i="3"/>
  <c r="AD245" i="3"/>
  <c r="AC245" i="3"/>
  <c r="AB245" i="3"/>
  <c r="AA245" i="3"/>
  <c r="Z245" i="3"/>
  <c r="Y245" i="3"/>
  <c r="AE244" i="3"/>
  <c r="AD244" i="3"/>
  <c r="AC244" i="3"/>
  <c r="AB244" i="3"/>
  <c r="AA244" i="3"/>
  <c r="Z244" i="3"/>
  <c r="Y244" i="3"/>
  <c r="AE243" i="3"/>
  <c r="AD243" i="3"/>
  <c r="AC243" i="3"/>
  <c r="AB243" i="3"/>
  <c r="AA243" i="3"/>
  <c r="Z243" i="3"/>
  <c r="Y243" i="3"/>
  <c r="AE242" i="3"/>
  <c r="AD242" i="3"/>
  <c r="AC242" i="3"/>
  <c r="AB242" i="3"/>
  <c r="AA242" i="3"/>
  <c r="Z242" i="3"/>
  <c r="Y242" i="3"/>
  <c r="AE241" i="3"/>
  <c r="AD241" i="3"/>
  <c r="AC241" i="3"/>
  <c r="AB241" i="3"/>
  <c r="AA241" i="3"/>
  <c r="Z241" i="3"/>
  <c r="Y241" i="3"/>
  <c r="AE240" i="3"/>
  <c r="AD240" i="3"/>
  <c r="AC240" i="3"/>
  <c r="AB240" i="3"/>
  <c r="AA240" i="3"/>
  <c r="Z240" i="3"/>
  <c r="Y240" i="3"/>
  <c r="Q219" i="3"/>
  <c r="Q218" i="3"/>
  <c r="AE212" i="3"/>
  <c r="AD212" i="3"/>
  <c r="AC212" i="3"/>
  <c r="AB212" i="3"/>
  <c r="AA212" i="3"/>
  <c r="Z212" i="3"/>
  <c r="Y212" i="3"/>
  <c r="AE211" i="3"/>
  <c r="AD211" i="3"/>
  <c r="AC211" i="3"/>
  <c r="AB211" i="3"/>
  <c r="AA211" i="3"/>
  <c r="Z211" i="3"/>
  <c r="Y211" i="3"/>
  <c r="AE210" i="3"/>
  <c r="AD210" i="3"/>
  <c r="AC210" i="3"/>
  <c r="AB210" i="3"/>
  <c r="AA210" i="3"/>
  <c r="Z210" i="3"/>
  <c r="Y210" i="3"/>
  <c r="AE209" i="3"/>
  <c r="AD209" i="3"/>
  <c r="AC209" i="3"/>
  <c r="AB209" i="3"/>
  <c r="AA209" i="3"/>
  <c r="Z209" i="3"/>
  <c r="Y209" i="3"/>
  <c r="AE208" i="3"/>
  <c r="AD208" i="3"/>
  <c r="AC208" i="3"/>
  <c r="AB208" i="3"/>
  <c r="AA208" i="3"/>
  <c r="Z208" i="3"/>
  <c r="Y208" i="3"/>
  <c r="AE207" i="3"/>
  <c r="AD207" i="3"/>
  <c r="AC207" i="3"/>
  <c r="AB207" i="3"/>
  <c r="AA207" i="3"/>
  <c r="Z207" i="3"/>
  <c r="Y207" i="3"/>
  <c r="AE206" i="3"/>
  <c r="AD206" i="3"/>
  <c r="AC206" i="3"/>
  <c r="AB206" i="3"/>
  <c r="AA206" i="3"/>
  <c r="Z206" i="3"/>
  <c r="Y206" i="3"/>
  <c r="AE205" i="3"/>
  <c r="AD205" i="3"/>
  <c r="AC205" i="3"/>
  <c r="AB205" i="3"/>
  <c r="AA205" i="3"/>
  <c r="Z205" i="3"/>
  <c r="Y205" i="3"/>
  <c r="AE204" i="3"/>
  <c r="AD204" i="3"/>
  <c r="AC204" i="3"/>
  <c r="AB204" i="3"/>
  <c r="AA204" i="3"/>
  <c r="Z204" i="3"/>
  <c r="Y204" i="3"/>
  <c r="AE203" i="3"/>
  <c r="AD203" i="3"/>
  <c r="AC203" i="3"/>
  <c r="AB203" i="3"/>
  <c r="AA203" i="3"/>
  <c r="Z203" i="3"/>
  <c r="Y203" i="3"/>
  <c r="AE202" i="3"/>
  <c r="AD202" i="3"/>
  <c r="AC202" i="3"/>
  <c r="AB202" i="3"/>
  <c r="AA202" i="3"/>
  <c r="Z202" i="3"/>
  <c r="Y202" i="3"/>
  <c r="Q181" i="3"/>
  <c r="Q180" i="3"/>
  <c r="AE174" i="3"/>
  <c r="AD174" i="3"/>
  <c r="AC174" i="3"/>
  <c r="AB174" i="3"/>
  <c r="AA174" i="3"/>
  <c r="Z174" i="3"/>
  <c r="Y174" i="3"/>
  <c r="AE173" i="3"/>
  <c r="AD173" i="3"/>
  <c r="AC173" i="3"/>
  <c r="AB173" i="3"/>
  <c r="AA173" i="3"/>
  <c r="Z173" i="3"/>
  <c r="Y173" i="3"/>
  <c r="AE172" i="3"/>
  <c r="AD172" i="3"/>
  <c r="AC172" i="3"/>
  <c r="AB172" i="3"/>
  <c r="AA172" i="3"/>
  <c r="Z172" i="3"/>
  <c r="Y172" i="3"/>
  <c r="AE171" i="3"/>
  <c r="AD171" i="3"/>
  <c r="AC171" i="3"/>
  <c r="AB171" i="3"/>
  <c r="AA171" i="3"/>
  <c r="Z171" i="3"/>
  <c r="Y171" i="3"/>
  <c r="AE170" i="3"/>
  <c r="AD170" i="3"/>
  <c r="AC170" i="3"/>
  <c r="AB170" i="3"/>
  <c r="AA170" i="3"/>
  <c r="Z170" i="3"/>
  <c r="Y170" i="3"/>
  <c r="AE169" i="3"/>
  <c r="AD169" i="3"/>
  <c r="AC169" i="3"/>
  <c r="AB169" i="3"/>
  <c r="AA169" i="3"/>
  <c r="Z169" i="3"/>
  <c r="Y169" i="3"/>
  <c r="AE168" i="3"/>
  <c r="AD168" i="3"/>
  <c r="AC168" i="3"/>
  <c r="AB168" i="3"/>
  <c r="AA168" i="3"/>
  <c r="Z168" i="3"/>
  <c r="Y168" i="3"/>
  <c r="AE167" i="3"/>
  <c r="AD167" i="3"/>
  <c r="AC167" i="3"/>
  <c r="AB167" i="3"/>
  <c r="AA167" i="3"/>
  <c r="Z167" i="3"/>
  <c r="Y167" i="3"/>
  <c r="AE166" i="3"/>
  <c r="AD166" i="3"/>
  <c r="AC166" i="3"/>
  <c r="AB166" i="3"/>
  <c r="AA166" i="3"/>
  <c r="Z166" i="3"/>
  <c r="Y166" i="3"/>
  <c r="AE165" i="3"/>
  <c r="AD165" i="3"/>
  <c r="AC165" i="3"/>
  <c r="AB165" i="3"/>
  <c r="AA165" i="3"/>
  <c r="Z165" i="3"/>
  <c r="Y165" i="3"/>
  <c r="AE164" i="3"/>
  <c r="AD164" i="3"/>
  <c r="AC164" i="3"/>
  <c r="AB164" i="3"/>
  <c r="AA164" i="3"/>
  <c r="Z164" i="3"/>
  <c r="Y164" i="3"/>
  <c r="Q143" i="3"/>
  <c r="Q142" i="3"/>
  <c r="AE136" i="3"/>
  <c r="AD136" i="3"/>
  <c r="AC136" i="3"/>
  <c r="AB136" i="3"/>
  <c r="AA136" i="3"/>
  <c r="Z136" i="3"/>
  <c r="Y136" i="3"/>
  <c r="AE135" i="3"/>
  <c r="AD135" i="3"/>
  <c r="AC135" i="3"/>
  <c r="AB135" i="3"/>
  <c r="AA135" i="3"/>
  <c r="Z135" i="3"/>
  <c r="Y135" i="3"/>
  <c r="AE134" i="3"/>
  <c r="AD134" i="3"/>
  <c r="AC134" i="3"/>
  <c r="AB134" i="3"/>
  <c r="AA134" i="3"/>
  <c r="Z134" i="3"/>
  <c r="Y134" i="3"/>
  <c r="AE133" i="3"/>
  <c r="AD133" i="3"/>
  <c r="AC133" i="3"/>
  <c r="AB133" i="3"/>
  <c r="AA133" i="3"/>
  <c r="Z133" i="3"/>
  <c r="Y133" i="3"/>
  <c r="AE132" i="3"/>
  <c r="AD132" i="3"/>
  <c r="AC132" i="3"/>
  <c r="AB132" i="3"/>
  <c r="AA132" i="3"/>
  <c r="Z132" i="3"/>
  <c r="Y132" i="3"/>
  <c r="AE131" i="3"/>
  <c r="AD131" i="3"/>
  <c r="AC131" i="3"/>
  <c r="AB131" i="3"/>
  <c r="AA131" i="3"/>
  <c r="Z131" i="3"/>
  <c r="Y131" i="3"/>
  <c r="AE130" i="3"/>
  <c r="AD130" i="3"/>
  <c r="AC130" i="3"/>
  <c r="AB130" i="3"/>
  <c r="AA130" i="3"/>
  <c r="Z130" i="3"/>
  <c r="Y130" i="3"/>
  <c r="AE129" i="3"/>
  <c r="AD129" i="3"/>
  <c r="AC129" i="3"/>
  <c r="AB129" i="3"/>
  <c r="AA129" i="3"/>
  <c r="Z129" i="3"/>
  <c r="Y129" i="3"/>
  <c r="AE128" i="3"/>
  <c r="AD128" i="3"/>
  <c r="AC128" i="3"/>
  <c r="AB128" i="3"/>
  <c r="AA128" i="3"/>
  <c r="Z128" i="3"/>
  <c r="Y128" i="3"/>
  <c r="AE127" i="3"/>
  <c r="AD127" i="3"/>
  <c r="AC127" i="3"/>
  <c r="AB127" i="3"/>
  <c r="AA127" i="3"/>
  <c r="Z127" i="3"/>
  <c r="Y127" i="3"/>
  <c r="AE126" i="3"/>
  <c r="AD126" i="3"/>
  <c r="AC126" i="3"/>
  <c r="AB126" i="3"/>
  <c r="AA126" i="3"/>
  <c r="Z126" i="3"/>
  <c r="Y126" i="3"/>
  <c r="Q105" i="3"/>
  <c r="Q104" i="3"/>
  <c r="A100" i="3"/>
  <c r="A138" i="3" s="1"/>
  <c r="A176" i="3" s="1"/>
  <c r="A214" i="3" s="1"/>
  <c r="A252" i="3" s="1"/>
  <c r="A290" i="3" s="1"/>
  <c r="A328" i="3" s="1"/>
  <c r="A366" i="3" s="1"/>
  <c r="A404" i="3" s="1"/>
  <c r="A442" i="3" s="1"/>
  <c r="A480" i="3" s="1"/>
  <c r="A518" i="3" s="1"/>
  <c r="AE98" i="3"/>
  <c r="AD98" i="3"/>
  <c r="AC98" i="3"/>
  <c r="AB98" i="3"/>
  <c r="AA98" i="3"/>
  <c r="Z98" i="3"/>
  <c r="Y98" i="3"/>
  <c r="AE97" i="3"/>
  <c r="AD97" i="3"/>
  <c r="AC97" i="3"/>
  <c r="AB97" i="3"/>
  <c r="AA97" i="3"/>
  <c r="Z97" i="3"/>
  <c r="Y97" i="3"/>
  <c r="AE96" i="3"/>
  <c r="AD96" i="3"/>
  <c r="AC96" i="3"/>
  <c r="AB96" i="3"/>
  <c r="AA96" i="3"/>
  <c r="Z96" i="3"/>
  <c r="Y96" i="3"/>
  <c r="AE95" i="3"/>
  <c r="AD95" i="3"/>
  <c r="AC95" i="3"/>
  <c r="AB95" i="3"/>
  <c r="AA95" i="3"/>
  <c r="Z95" i="3"/>
  <c r="Y95" i="3"/>
  <c r="AE94" i="3"/>
  <c r="AD94" i="3"/>
  <c r="AC94" i="3"/>
  <c r="AB94" i="3"/>
  <c r="AA94" i="3"/>
  <c r="Z94" i="3"/>
  <c r="Y94" i="3"/>
  <c r="AE93" i="3"/>
  <c r="AD93" i="3"/>
  <c r="AC93" i="3"/>
  <c r="AB93" i="3"/>
  <c r="AA93" i="3"/>
  <c r="Z93" i="3"/>
  <c r="Y93" i="3"/>
  <c r="AE92" i="3"/>
  <c r="AD92" i="3"/>
  <c r="AC92" i="3"/>
  <c r="AB92" i="3"/>
  <c r="AA92" i="3"/>
  <c r="Z92" i="3"/>
  <c r="Y92" i="3"/>
  <c r="AE91" i="3"/>
  <c r="AD91" i="3"/>
  <c r="AC91" i="3"/>
  <c r="AB91" i="3"/>
  <c r="AA91" i="3"/>
  <c r="Z91" i="3"/>
  <c r="Y91" i="3"/>
  <c r="AE90" i="3"/>
  <c r="AD90" i="3"/>
  <c r="AC90" i="3"/>
  <c r="AB90" i="3"/>
  <c r="AA90" i="3"/>
  <c r="Z90" i="3"/>
  <c r="Y90" i="3"/>
  <c r="AE89" i="3"/>
  <c r="AD89" i="3"/>
  <c r="AC89" i="3"/>
  <c r="AB89" i="3"/>
  <c r="AA89" i="3"/>
  <c r="Z89" i="3"/>
  <c r="Y89" i="3"/>
  <c r="AE88" i="3"/>
  <c r="AD88" i="3"/>
  <c r="AC88" i="3"/>
  <c r="AB88" i="3"/>
  <c r="AA88" i="3"/>
  <c r="Z88" i="3"/>
  <c r="Y88" i="3"/>
  <c r="J74" i="3"/>
  <c r="Q67" i="3"/>
  <c r="Q66" i="3"/>
  <c r="AE60" i="3"/>
  <c r="AD60" i="3"/>
  <c r="AC60" i="3"/>
  <c r="AB60" i="3"/>
  <c r="AA60" i="3"/>
  <c r="Z60" i="3"/>
  <c r="Y60" i="3"/>
  <c r="E60" i="3"/>
  <c r="E98" i="3" s="1"/>
  <c r="E136" i="3" s="1"/>
  <c r="E174" i="3" s="1"/>
  <c r="E212" i="3" s="1"/>
  <c r="E250" i="3" s="1"/>
  <c r="E288" i="3" s="1"/>
  <c r="E326" i="3" s="1"/>
  <c r="E364" i="3" s="1"/>
  <c r="E402" i="3" s="1"/>
  <c r="E440" i="3" s="1"/>
  <c r="E478" i="3" s="1"/>
  <c r="E516" i="3" s="1"/>
  <c r="E554" i="3" s="1"/>
  <c r="E592" i="3" s="1"/>
  <c r="E630" i="3" s="1"/>
  <c r="E668" i="3" s="1"/>
  <c r="E706" i="3" s="1"/>
  <c r="E744" i="3" s="1"/>
  <c r="C60" i="3"/>
  <c r="C98" i="3" s="1"/>
  <c r="C136" i="3" s="1"/>
  <c r="C174" i="3" s="1"/>
  <c r="C212" i="3" s="1"/>
  <c r="C250" i="3" s="1"/>
  <c r="C288" i="3" s="1"/>
  <c r="C326" i="3" s="1"/>
  <c r="C364" i="3" s="1"/>
  <c r="C402" i="3" s="1"/>
  <c r="C440" i="3" s="1"/>
  <c r="C478" i="3" s="1"/>
  <c r="C516" i="3" s="1"/>
  <c r="C554" i="3" s="1"/>
  <c r="C592" i="3" s="1"/>
  <c r="C630" i="3" s="1"/>
  <c r="C668" i="3" s="1"/>
  <c r="C706" i="3" s="1"/>
  <c r="C744" i="3" s="1"/>
  <c r="AE59" i="3"/>
  <c r="AD59" i="3"/>
  <c r="AC59" i="3"/>
  <c r="AB59" i="3"/>
  <c r="AA59" i="3"/>
  <c r="Z59" i="3"/>
  <c r="Y59" i="3"/>
  <c r="O59" i="3"/>
  <c r="E59" i="3"/>
  <c r="E97" i="3" s="1"/>
  <c r="E135" i="3" s="1"/>
  <c r="E173" i="3" s="1"/>
  <c r="E211" i="3" s="1"/>
  <c r="E249" i="3" s="1"/>
  <c r="E287" i="3" s="1"/>
  <c r="E325" i="3" s="1"/>
  <c r="E363" i="3" s="1"/>
  <c r="E401" i="3" s="1"/>
  <c r="E439" i="3" s="1"/>
  <c r="E477" i="3" s="1"/>
  <c r="E515" i="3" s="1"/>
  <c r="E553" i="3" s="1"/>
  <c r="E591" i="3" s="1"/>
  <c r="E629" i="3" s="1"/>
  <c r="E667" i="3" s="1"/>
  <c r="E705" i="3" s="1"/>
  <c r="E743" i="3" s="1"/>
  <c r="C59" i="3"/>
  <c r="C97" i="3" s="1"/>
  <c r="C135" i="3" s="1"/>
  <c r="C173" i="3" s="1"/>
  <c r="C211" i="3" s="1"/>
  <c r="C249" i="3" s="1"/>
  <c r="C287" i="3" s="1"/>
  <c r="C325" i="3" s="1"/>
  <c r="C363" i="3" s="1"/>
  <c r="C401" i="3" s="1"/>
  <c r="C439" i="3" s="1"/>
  <c r="C477" i="3" s="1"/>
  <c r="C515" i="3" s="1"/>
  <c r="C553" i="3" s="1"/>
  <c r="C591" i="3" s="1"/>
  <c r="C629" i="3" s="1"/>
  <c r="C667" i="3" s="1"/>
  <c r="C705" i="3" s="1"/>
  <c r="C743" i="3" s="1"/>
  <c r="AE58" i="3"/>
  <c r="AD58" i="3"/>
  <c r="AC58" i="3"/>
  <c r="AB58" i="3"/>
  <c r="AA58" i="3"/>
  <c r="Z58" i="3"/>
  <c r="Y58" i="3"/>
  <c r="O58" i="3"/>
  <c r="N58" i="3" s="1"/>
  <c r="E58" i="3"/>
  <c r="E96" i="3" s="1"/>
  <c r="E134" i="3" s="1"/>
  <c r="E172" i="3" s="1"/>
  <c r="E210" i="3" s="1"/>
  <c r="E248" i="3" s="1"/>
  <c r="E286" i="3" s="1"/>
  <c r="E324" i="3" s="1"/>
  <c r="E362" i="3" s="1"/>
  <c r="E400" i="3" s="1"/>
  <c r="E438" i="3" s="1"/>
  <c r="E476" i="3" s="1"/>
  <c r="E514" i="3" s="1"/>
  <c r="E552" i="3" s="1"/>
  <c r="E590" i="3" s="1"/>
  <c r="E628" i="3" s="1"/>
  <c r="E666" i="3" s="1"/>
  <c r="E704" i="3" s="1"/>
  <c r="E742" i="3" s="1"/>
  <c r="C58" i="3"/>
  <c r="C96" i="3" s="1"/>
  <c r="C134" i="3" s="1"/>
  <c r="C172" i="3" s="1"/>
  <c r="C210" i="3" s="1"/>
  <c r="C248" i="3" s="1"/>
  <c r="C286" i="3" s="1"/>
  <c r="C324" i="3" s="1"/>
  <c r="C362" i="3" s="1"/>
  <c r="C400" i="3" s="1"/>
  <c r="C438" i="3" s="1"/>
  <c r="C476" i="3" s="1"/>
  <c r="C514" i="3" s="1"/>
  <c r="C552" i="3" s="1"/>
  <c r="C590" i="3" s="1"/>
  <c r="C628" i="3" s="1"/>
  <c r="C666" i="3" s="1"/>
  <c r="C704" i="3" s="1"/>
  <c r="C742" i="3" s="1"/>
  <c r="AE57" i="3"/>
  <c r="AD57" i="3"/>
  <c r="AC57" i="3"/>
  <c r="AB57" i="3"/>
  <c r="AA57" i="3"/>
  <c r="Z57" i="3"/>
  <c r="Y57" i="3"/>
  <c r="O57" i="3"/>
  <c r="O95" i="3" s="1"/>
  <c r="N95" i="3" s="1"/>
  <c r="E57" i="3"/>
  <c r="E95" i="3" s="1"/>
  <c r="E133" i="3" s="1"/>
  <c r="E171" i="3" s="1"/>
  <c r="E209" i="3" s="1"/>
  <c r="E247" i="3" s="1"/>
  <c r="E285" i="3" s="1"/>
  <c r="E323" i="3" s="1"/>
  <c r="E361" i="3" s="1"/>
  <c r="E399" i="3" s="1"/>
  <c r="E437" i="3" s="1"/>
  <c r="E475" i="3" s="1"/>
  <c r="E513" i="3" s="1"/>
  <c r="E551" i="3" s="1"/>
  <c r="E589" i="3" s="1"/>
  <c r="E627" i="3" s="1"/>
  <c r="E665" i="3" s="1"/>
  <c r="E703" i="3" s="1"/>
  <c r="E741" i="3" s="1"/>
  <c r="C57" i="3"/>
  <c r="C95" i="3" s="1"/>
  <c r="C133" i="3" s="1"/>
  <c r="C171" i="3" s="1"/>
  <c r="C209" i="3" s="1"/>
  <c r="C247" i="3" s="1"/>
  <c r="C285" i="3" s="1"/>
  <c r="C323" i="3" s="1"/>
  <c r="C361" i="3" s="1"/>
  <c r="C399" i="3" s="1"/>
  <c r="C437" i="3" s="1"/>
  <c r="C475" i="3" s="1"/>
  <c r="C513" i="3" s="1"/>
  <c r="C551" i="3" s="1"/>
  <c r="C589" i="3" s="1"/>
  <c r="C627" i="3" s="1"/>
  <c r="C665" i="3" s="1"/>
  <c r="C703" i="3" s="1"/>
  <c r="C741" i="3" s="1"/>
  <c r="AE56" i="3"/>
  <c r="AD56" i="3"/>
  <c r="AC56" i="3"/>
  <c r="AB56" i="3"/>
  <c r="AA56" i="3"/>
  <c r="Z56" i="3"/>
  <c r="Y56" i="3"/>
  <c r="O56" i="3"/>
  <c r="N56" i="3" s="1"/>
  <c r="E56" i="3"/>
  <c r="E94" i="3" s="1"/>
  <c r="E132" i="3" s="1"/>
  <c r="E170" i="3" s="1"/>
  <c r="E208" i="3" s="1"/>
  <c r="E246" i="3" s="1"/>
  <c r="E284" i="3" s="1"/>
  <c r="E322" i="3" s="1"/>
  <c r="E360" i="3" s="1"/>
  <c r="E398" i="3" s="1"/>
  <c r="E436" i="3" s="1"/>
  <c r="E474" i="3" s="1"/>
  <c r="E512" i="3" s="1"/>
  <c r="E550" i="3" s="1"/>
  <c r="E588" i="3" s="1"/>
  <c r="E626" i="3" s="1"/>
  <c r="E664" i="3" s="1"/>
  <c r="E702" i="3" s="1"/>
  <c r="E740" i="3" s="1"/>
  <c r="C56" i="3"/>
  <c r="C94" i="3" s="1"/>
  <c r="C132" i="3" s="1"/>
  <c r="C170" i="3" s="1"/>
  <c r="C208" i="3" s="1"/>
  <c r="C246" i="3" s="1"/>
  <c r="C284" i="3" s="1"/>
  <c r="C322" i="3" s="1"/>
  <c r="C360" i="3" s="1"/>
  <c r="C398" i="3" s="1"/>
  <c r="C436" i="3" s="1"/>
  <c r="C474" i="3" s="1"/>
  <c r="C512" i="3" s="1"/>
  <c r="C550" i="3" s="1"/>
  <c r="C588" i="3" s="1"/>
  <c r="C626" i="3" s="1"/>
  <c r="C664" i="3" s="1"/>
  <c r="C702" i="3" s="1"/>
  <c r="C740" i="3" s="1"/>
  <c r="AE55" i="3"/>
  <c r="AD55" i="3"/>
  <c r="AC55" i="3"/>
  <c r="AB55" i="3"/>
  <c r="AA55" i="3"/>
  <c r="Z55" i="3"/>
  <c r="Y55" i="3"/>
  <c r="E55" i="3"/>
  <c r="E93" i="3" s="1"/>
  <c r="E131" i="3" s="1"/>
  <c r="E169" i="3" s="1"/>
  <c r="E207" i="3" s="1"/>
  <c r="E245" i="3" s="1"/>
  <c r="E283" i="3" s="1"/>
  <c r="E321" i="3" s="1"/>
  <c r="E359" i="3" s="1"/>
  <c r="E397" i="3" s="1"/>
  <c r="E435" i="3" s="1"/>
  <c r="E473" i="3" s="1"/>
  <c r="E511" i="3" s="1"/>
  <c r="E549" i="3" s="1"/>
  <c r="E587" i="3" s="1"/>
  <c r="E625" i="3" s="1"/>
  <c r="E663" i="3" s="1"/>
  <c r="E701" i="3" s="1"/>
  <c r="E739" i="3" s="1"/>
  <c r="C55" i="3"/>
  <c r="C93" i="3" s="1"/>
  <c r="C131" i="3" s="1"/>
  <c r="C169" i="3" s="1"/>
  <c r="C207" i="3" s="1"/>
  <c r="C245" i="3" s="1"/>
  <c r="C283" i="3" s="1"/>
  <c r="C321" i="3" s="1"/>
  <c r="C359" i="3" s="1"/>
  <c r="C397" i="3" s="1"/>
  <c r="C435" i="3" s="1"/>
  <c r="C473" i="3" s="1"/>
  <c r="C511" i="3" s="1"/>
  <c r="C549" i="3" s="1"/>
  <c r="C587" i="3" s="1"/>
  <c r="C625" i="3" s="1"/>
  <c r="C663" i="3" s="1"/>
  <c r="C701" i="3" s="1"/>
  <c r="C739" i="3" s="1"/>
  <c r="AE54" i="3"/>
  <c r="AD54" i="3"/>
  <c r="AC54" i="3"/>
  <c r="AB54" i="3"/>
  <c r="AA54" i="3"/>
  <c r="Z54" i="3"/>
  <c r="Y54" i="3"/>
  <c r="O54" i="3"/>
  <c r="E54" i="3"/>
  <c r="E92" i="3" s="1"/>
  <c r="E130" i="3" s="1"/>
  <c r="E168" i="3" s="1"/>
  <c r="E206" i="3" s="1"/>
  <c r="E244" i="3" s="1"/>
  <c r="E282" i="3" s="1"/>
  <c r="E320" i="3" s="1"/>
  <c r="E358" i="3" s="1"/>
  <c r="E396" i="3" s="1"/>
  <c r="E434" i="3" s="1"/>
  <c r="E472" i="3" s="1"/>
  <c r="E510" i="3" s="1"/>
  <c r="E548" i="3" s="1"/>
  <c r="E586" i="3" s="1"/>
  <c r="E624" i="3" s="1"/>
  <c r="E662" i="3" s="1"/>
  <c r="E700" i="3" s="1"/>
  <c r="E738" i="3" s="1"/>
  <c r="C54" i="3"/>
  <c r="C92" i="3" s="1"/>
  <c r="C130" i="3" s="1"/>
  <c r="C168" i="3" s="1"/>
  <c r="C206" i="3" s="1"/>
  <c r="C244" i="3" s="1"/>
  <c r="C282" i="3" s="1"/>
  <c r="C320" i="3" s="1"/>
  <c r="C358" i="3" s="1"/>
  <c r="C396" i="3" s="1"/>
  <c r="C434" i="3" s="1"/>
  <c r="C472" i="3" s="1"/>
  <c r="C510" i="3" s="1"/>
  <c r="C548" i="3" s="1"/>
  <c r="C586" i="3" s="1"/>
  <c r="C624" i="3" s="1"/>
  <c r="C662" i="3" s="1"/>
  <c r="C700" i="3" s="1"/>
  <c r="C738" i="3" s="1"/>
  <c r="AE53" i="3"/>
  <c r="AD53" i="3"/>
  <c r="AC53" i="3"/>
  <c r="AB53" i="3"/>
  <c r="AA53" i="3"/>
  <c r="Z53" i="3"/>
  <c r="Y53" i="3"/>
  <c r="E53" i="3"/>
  <c r="E91" i="3" s="1"/>
  <c r="E129" i="3" s="1"/>
  <c r="E167" i="3" s="1"/>
  <c r="E205" i="3" s="1"/>
  <c r="E243" i="3" s="1"/>
  <c r="E281" i="3" s="1"/>
  <c r="E319" i="3" s="1"/>
  <c r="E357" i="3" s="1"/>
  <c r="E395" i="3" s="1"/>
  <c r="E433" i="3" s="1"/>
  <c r="E471" i="3" s="1"/>
  <c r="E509" i="3" s="1"/>
  <c r="E547" i="3" s="1"/>
  <c r="E585" i="3" s="1"/>
  <c r="E623" i="3" s="1"/>
  <c r="E661" i="3" s="1"/>
  <c r="E699" i="3" s="1"/>
  <c r="E737" i="3" s="1"/>
  <c r="C53" i="3"/>
  <c r="C91" i="3" s="1"/>
  <c r="C129" i="3" s="1"/>
  <c r="C167" i="3" s="1"/>
  <c r="C205" i="3" s="1"/>
  <c r="C243" i="3" s="1"/>
  <c r="C281" i="3" s="1"/>
  <c r="C319" i="3" s="1"/>
  <c r="C357" i="3" s="1"/>
  <c r="C395" i="3" s="1"/>
  <c r="C433" i="3" s="1"/>
  <c r="C471" i="3" s="1"/>
  <c r="C509" i="3" s="1"/>
  <c r="C547" i="3" s="1"/>
  <c r="C585" i="3" s="1"/>
  <c r="C623" i="3" s="1"/>
  <c r="C661" i="3" s="1"/>
  <c r="C699" i="3" s="1"/>
  <c r="C737" i="3" s="1"/>
  <c r="AE52" i="3"/>
  <c r="AD52" i="3"/>
  <c r="AC52" i="3"/>
  <c r="AB52" i="3"/>
  <c r="AA52" i="3"/>
  <c r="Z52" i="3"/>
  <c r="Y52" i="3"/>
  <c r="E52" i="3"/>
  <c r="E90" i="3" s="1"/>
  <c r="E128" i="3" s="1"/>
  <c r="E166" i="3" s="1"/>
  <c r="E204" i="3" s="1"/>
  <c r="E242" i="3" s="1"/>
  <c r="E280" i="3" s="1"/>
  <c r="E318" i="3" s="1"/>
  <c r="E356" i="3" s="1"/>
  <c r="E394" i="3" s="1"/>
  <c r="E432" i="3" s="1"/>
  <c r="E470" i="3" s="1"/>
  <c r="E508" i="3" s="1"/>
  <c r="E546" i="3" s="1"/>
  <c r="E584" i="3" s="1"/>
  <c r="E622" i="3" s="1"/>
  <c r="E660" i="3" s="1"/>
  <c r="E698" i="3" s="1"/>
  <c r="E736" i="3" s="1"/>
  <c r="C52" i="3"/>
  <c r="C90" i="3" s="1"/>
  <c r="C128" i="3" s="1"/>
  <c r="C166" i="3" s="1"/>
  <c r="C204" i="3" s="1"/>
  <c r="C242" i="3" s="1"/>
  <c r="C280" i="3" s="1"/>
  <c r="C318" i="3" s="1"/>
  <c r="C356" i="3" s="1"/>
  <c r="C394" i="3" s="1"/>
  <c r="C432" i="3" s="1"/>
  <c r="C470" i="3" s="1"/>
  <c r="C508" i="3" s="1"/>
  <c r="C546" i="3" s="1"/>
  <c r="C584" i="3" s="1"/>
  <c r="C622" i="3" s="1"/>
  <c r="C660" i="3" s="1"/>
  <c r="C698" i="3" s="1"/>
  <c r="C736" i="3" s="1"/>
  <c r="AE51" i="3"/>
  <c r="AD51" i="3"/>
  <c r="AC51" i="3"/>
  <c r="AB51" i="3"/>
  <c r="AA51" i="3"/>
  <c r="Z51" i="3"/>
  <c r="Y51" i="3"/>
  <c r="O51" i="3"/>
  <c r="E51" i="3"/>
  <c r="E89" i="3" s="1"/>
  <c r="E127" i="3" s="1"/>
  <c r="E165" i="3" s="1"/>
  <c r="E203" i="3" s="1"/>
  <c r="E241" i="3" s="1"/>
  <c r="E279" i="3" s="1"/>
  <c r="E317" i="3" s="1"/>
  <c r="E355" i="3" s="1"/>
  <c r="E393" i="3" s="1"/>
  <c r="E431" i="3" s="1"/>
  <c r="E469" i="3" s="1"/>
  <c r="E507" i="3" s="1"/>
  <c r="E545" i="3" s="1"/>
  <c r="E583" i="3" s="1"/>
  <c r="E621" i="3" s="1"/>
  <c r="E659" i="3" s="1"/>
  <c r="E697" i="3" s="1"/>
  <c r="E735" i="3" s="1"/>
  <c r="C51" i="3"/>
  <c r="C89" i="3" s="1"/>
  <c r="C127" i="3" s="1"/>
  <c r="C165" i="3" s="1"/>
  <c r="C203" i="3" s="1"/>
  <c r="C241" i="3" s="1"/>
  <c r="C279" i="3" s="1"/>
  <c r="C317" i="3" s="1"/>
  <c r="C355" i="3" s="1"/>
  <c r="C393" i="3" s="1"/>
  <c r="C431" i="3" s="1"/>
  <c r="C469" i="3" s="1"/>
  <c r="C507" i="3" s="1"/>
  <c r="C545" i="3" s="1"/>
  <c r="C583" i="3" s="1"/>
  <c r="C621" i="3" s="1"/>
  <c r="C659" i="3" s="1"/>
  <c r="C697" i="3" s="1"/>
  <c r="C735" i="3" s="1"/>
  <c r="AE50" i="3"/>
  <c r="AD50" i="3"/>
  <c r="AC50" i="3"/>
  <c r="AB50" i="3"/>
  <c r="AA50" i="3"/>
  <c r="Z50" i="3"/>
  <c r="Y50" i="3"/>
  <c r="O50" i="3"/>
  <c r="E50" i="3"/>
  <c r="E88" i="3" s="1"/>
  <c r="E126" i="3" s="1"/>
  <c r="E164" i="3" s="1"/>
  <c r="E202" i="3" s="1"/>
  <c r="E240" i="3" s="1"/>
  <c r="E278" i="3" s="1"/>
  <c r="E316" i="3" s="1"/>
  <c r="E354" i="3" s="1"/>
  <c r="E392" i="3" s="1"/>
  <c r="E430" i="3" s="1"/>
  <c r="E468" i="3" s="1"/>
  <c r="E506" i="3" s="1"/>
  <c r="E544" i="3" s="1"/>
  <c r="E582" i="3" s="1"/>
  <c r="E620" i="3" s="1"/>
  <c r="E658" i="3" s="1"/>
  <c r="E696" i="3" s="1"/>
  <c r="E734" i="3" s="1"/>
  <c r="C50" i="3"/>
  <c r="C88" i="3" s="1"/>
  <c r="C126" i="3" s="1"/>
  <c r="C164" i="3" s="1"/>
  <c r="C202" i="3" s="1"/>
  <c r="C240" i="3" s="1"/>
  <c r="C278" i="3" s="1"/>
  <c r="C316" i="3" s="1"/>
  <c r="C354" i="3" s="1"/>
  <c r="C392" i="3" s="1"/>
  <c r="C430" i="3" s="1"/>
  <c r="C468" i="3" s="1"/>
  <c r="C506" i="3" s="1"/>
  <c r="C544" i="3" s="1"/>
  <c r="C582" i="3" s="1"/>
  <c r="C620" i="3" s="1"/>
  <c r="C658" i="3" s="1"/>
  <c r="C696" i="3" s="1"/>
  <c r="C734" i="3" s="1"/>
  <c r="E44" i="3"/>
  <c r="G44" i="3" s="1"/>
  <c r="J36" i="3"/>
  <c r="Q29" i="3"/>
  <c r="Q28" i="3"/>
  <c r="AE22" i="3"/>
  <c r="AD22" i="3"/>
  <c r="AC22" i="3"/>
  <c r="AB22" i="3"/>
  <c r="AA22" i="3"/>
  <c r="Z22" i="3"/>
  <c r="Y22" i="3"/>
  <c r="AE21" i="3"/>
  <c r="AD21" i="3"/>
  <c r="AC21" i="3"/>
  <c r="AB21" i="3"/>
  <c r="AA21" i="3"/>
  <c r="Z21" i="3"/>
  <c r="Y21" i="3"/>
  <c r="N21" i="3"/>
  <c r="AE20" i="3"/>
  <c r="AD20" i="3"/>
  <c r="AC20" i="3"/>
  <c r="AB20" i="3"/>
  <c r="AA20" i="3"/>
  <c r="Z20" i="3"/>
  <c r="Y20" i="3"/>
  <c r="N20" i="3"/>
  <c r="AE19" i="3"/>
  <c r="AD19" i="3"/>
  <c r="AC19" i="3"/>
  <c r="AB19" i="3"/>
  <c r="AA19" i="3"/>
  <c r="Z19" i="3"/>
  <c r="Y19" i="3"/>
  <c r="N19" i="3"/>
  <c r="AE18" i="3"/>
  <c r="AD18" i="3"/>
  <c r="AC18" i="3"/>
  <c r="AB18" i="3"/>
  <c r="AA18" i="3"/>
  <c r="Z18" i="3"/>
  <c r="Y18" i="3"/>
  <c r="N18" i="3"/>
  <c r="AE17" i="3"/>
  <c r="AD17" i="3"/>
  <c r="AC17" i="3"/>
  <c r="AB17" i="3"/>
  <c r="AA17" i="3"/>
  <c r="Z17" i="3"/>
  <c r="Y17" i="3"/>
  <c r="O17" i="3"/>
  <c r="N17" i="3" s="1"/>
  <c r="AE16" i="3"/>
  <c r="AD16" i="3"/>
  <c r="AC16" i="3"/>
  <c r="AB16" i="3"/>
  <c r="AA16" i="3"/>
  <c r="Z16" i="3"/>
  <c r="Y16" i="3"/>
  <c r="N16" i="3"/>
  <c r="AE15" i="3"/>
  <c r="AD15" i="3"/>
  <c r="AC15" i="3"/>
  <c r="AB15" i="3"/>
  <c r="AA15" i="3"/>
  <c r="Z15" i="3"/>
  <c r="Y15" i="3"/>
  <c r="AE14" i="3"/>
  <c r="AD14" i="3"/>
  <c r="AC14" i="3"/>
  <c r="AB14" i="3"/>
  <c r="AA14" i="3"/>
  <c r="Z14" i="3"/>
  <c r="Y14" i="3"/>
  <c r="O14" i="3"/>
  <c r="N14" i="3" s="1"/>
  <c r="AE13" i="3"/>
  <c r="AD13" i="3"/>
  <c r="AC13" i="3"/>
  <c r="AB13" i="3"/>
  <c r="AA13" i="3"/>
  <c r="Z13" i="3"/>
  <c r="Y13" i="3"/>
  <c r="N13" i="3"/>
  <c r="AE12" i="3"/>
  <c r="AD12" i="3"/>
  <c r="AC12" i="3"/>
  <c r="AB12" i="3"/>
  <c r="AA12" i="3"/>
  <c r="Z12" i="3"/>
  <c r="Y12" i="3"/>
  <c r="N12" i="3"/>
  <c r="G6" i="3"/>
  <c r="AA827" i="28"/>
  <c r="AA826" i="28"/>
  <c r="AO820" i="28"/>
  <c r="AN820" i="28"/>
  <c r="AM820" i="28"/>
  <c r="AL820" i="28"/>
  <c r="AK820" i="28"/>
  <c r="AJ820" i="28"/>
  <c r="AI820" i="28"/>
  <c r="AO819" i="28"/>
  <c r="AN819" i="28"/>
  <c r="AM819" i="28"/>
  <c r="AL819" i="28"/>
  <c r="AK819" i="28"/>
  <c r="AJ819" i="28"/>
  <c r="AI819" i="28"/>
  <c r="AO818" i="28"/>
  <c r="AN818" i="28"/>
  <c r="AM818" i="28"/>
  <c r="AL818" i="28"/>
  <c r="AK818" i="28"/>
  <c r="AJ818" i="28"/>
  <c r="AI818" i="28"/>
  <c r="AO817" i="28"/>
  <c r="AN817" i="28"/>
  <c r="AM817" i="28"/>
  <c r="AL817" i="28"/>
  <c r="AK817" i="28"/>
  <c r="AJ817" i="28"/>
  <c r="AI817" i="28"/>
  <c r="AO816" i="28"/>
  <c r="AN816" i="28"/>
  <c r="AM816" i="28"/>
  <c r="AL816" i="28"/>
  <c r="AK816" i="28"/>
  <c r="AJ816" i="28"/>
  <c r="AI816" i="28"/>
  <c r="AO815" i="28"/>
  <c r="AN815" i="28"/>
  <c r="AM815" i="28"/>
  <c r="AL815" i="28"/>
  <c r="AK815" i="28"/>
  <c r="AJ815" i="28"/>
  <c r="AI815" i="28"/>
  <c r="AO814" i="28"/>
  <c r="AN814" i="28"/>
  <c r="AM814" i="28"/>
  <c r="AL814" i="28"/>
  <c r="AK814" i="28"/>
  <c r="AJ814" i="28"/>
  <c r="AI814" i="28"/>
  <c r="AO813" i="28"/>
  <c r="AN813" i="28"/>
  <c r="AM813" i="28"/>
  <c r="AL813" i="28"/>
  <c r="AK813" i="28"/>
  <c r="AJ813" i="28"/>
  <c r="AI813" i="28"/>
  <c r="AO812" i="28"/>
  <c r="AN812" i="28"/>
  <c r="AM812" i="28"/>
  <c r="AL812" i="28"/>
  <c r="AK812" i="28"/>
  <c r="AJ812" i="28"/>
  <c r="AI812" i="28"/>
  <c r="AO811" i="28"/>
  <c r="AN811" i="28"/>
  <c r="AM811" i="28"/>
  <c r="AL811" i="28"/>
  <c r="AK811" i="28"/>
  <c r="AJ811" i="28"/>
  <c r="AI811" i="28"/>
  <c r="AO810" i="28"/>
  <c r="AN810" i="28"/>
  <c r="AM810" i="28"/>
  <c r="AL810" i="28"/>
  <c r="AK810" i="28"/>
  <c r="AJ810" i="28"/>
  <c r="AI810" i="28"/>
  <c r="AO809" i="28"/>
  <c r="AN809" i="28"/>
  <c r="AM809" i="28"/>
  <c r="AL809" i="28"/>
  <c r="AK809" i="28"/>
  <c r="AJ809" i="28"/>
  <c r="AI809" i="28"/>
  <c r="AO808" i="28"/>
  <c r="AN808" i="28"/>
  <c r="AM808" i="28"/>
  <c r="AL808" i="28"/>
  <c r="AK808" i="28"/>
  <c r="AJ808" i="28"/>
  <c r="AI808" i="28"/>
  <c r="AO807" i="28"/>
  <c r="AN807" i="28"/>
  <c r="AM807" i="28"/>
  <c r="AL807" i="28"/>
  <c r="AK807" i="28"/>
  <c r="AJ807" i="28"/>
  <c r="AI807" i="28"/>
  <c r="AO806" i="28"/>
  <c r="AN806" i="28"/>
  <c r="AM806" i="28"/>
  <c r="AL806" i="28"/>
  <c r="AK806" i="28"/>
  <c r="AJ806" i="28"/>
  <c r="AI806" i="28"/>
  <c r="AO805" i="28"/>
  <c r="AN805" i="28"/>
  <c r="AM805" i="28"/>
  <c r="AL805" i="28"/>
  <c r="AK805" i="28"/>
  <c r="AJ805" i="28"/>
  <c r="AI805" i="28"/>
  <c r="AO804" i="28"/>
  <c r="AN804" i="28"/>
  <c r="AM804" i="28"/>
  <c r="AL804" i="28"/>
  <c r="AK804" i="28"/>
  <c r="AJ804" i="28"/>
  <c r="AI804" i="28"/>
  <c r="AO803" i="28"/>
  <c r="AN803" i="28"/>
  <c r="AM803" i="28"/>
  <c r="AL803" i="28"/>
  <c r="AK803" i="28"/>
  <c r="AJ803" i="28"/>
  <c r="AI803" i="28"/>
  <c r="AO802" i="28"/>
  <c r="AN802" i="28"/>
  <c r="AM802" i="28"/>
  <c r="AL802" i="28"/>
  <c r="AK802" i="28"/>
  <c r="AJ802" i="28"/>
  <c r="AI802" i="28"/>
  <c r="B802" i="28"/>
  <c r="B803" i="28" s="1"/>
  <c r="B804" i="28" s="1"/>
  <c r="B805" i="28" s="1"/>
  <c r="B806" i="28" s="1"/>
  <c r="B807" i="28" s="1"/>
  <c r="B808" i="28" s="1"/>
  <c r="B809" i="28" s="1"/>
  <c r="B810" i="28" s="1"/>
  <c r="B811" i="28" s="1"/>
  <c r="B812" i="28" s="1"/>
  <c r="B813" i="28" s="1"/>
  <c r="B814" i="28" s="1"/>
  <c r="B815" i="28" s="1"/>
  <c r="B816" i="28" s="1"/>
  <c r="B817" i="28" s="1"/>
  <c r="B818" i="28" s="1"/>
  <c r="B819" i="28" s="1"/>
  <c r="B820" i="28" s="1"/>
  <c r="AO801" i="28"/>
  <c r="AN801" i="28"/>
  <c r="AM801" i="28"/>
  <c r="AL801" i="28"/>
  <c r="AK801" i="28"/>
  <c r="AJ801" i="28"/>
  <c r="AI801" i="28"/>
  <c r="AA780" i="28"/>
  <c r="AA779" i="28"/>
  <c r="AO773" i="28"/>
  <c r="AN773" i="28"/>
  <c r="AM773" i="28"/>
  <c r="AL773" i="28"/>
  <c r="AK773" i="28"/>
  <c r="AJ773" i="28"/>
  <c r="AI773" i="28"/>
  <c r="AO772" i="28"/>
  <c r="AN772" i="28"/>
  <c r="AM772" i="28"/>
  <c r="AL772" i="28"/>
  <c r="AK772" i="28"/>
  <c r="AJ772" i="28"/>
  <c r="AI772" i="28"/>
  <c r="AO771" i="28"/>
  <c r="AN771" i="28"/>
  <c r="AM771" i="28"/>
  <c r="AL771" i="28"/>
  <c r="AK771" i="28"/>
  <c r="AJ771" i="28"/>
  <c r="AI771" i="28"/>
  <c r="AO770" i="28"/>
  <c r="AN770" i="28"/>
  <c r="AM770" i="28"/>
  <c r="AL770" i="28"/>
  <c r="AK770" i="28"/>
  <c r="AJ770" i="28"/>
  <c r="AI770" i="28"/>
  <c r="AO769" i="28"/>
  <c r="AN769" i="28"/>
  <c r="AM769" i="28"/>
  <c r="AL769" i="28"/>
  <c r="AK769" i="28"/>
  <c r="AJ769" i="28"/>
  <c r="AI769" i="28"/>
  <c r="AO768" i="28"/>
  <c r="AN768" i="28"/>
  <c r="AM768" i="28"/>
  <c r="AL768" i="28"/>
  <c r="AK768" i="28"/>
  <c r="AJ768" i="28"/>
  <c r="AI768" i="28"/>
  <c r="AO767" i="28"/>
  <c r="AN767" i="28"/>
  <c r="AM767" i="28"/>
  <c r="AL767" i="28"/>
  <c r="AK767" i="28"/>
  <c r="AJ767" i="28"/>
  <c r="AI767" i="28"/>
  <c r="AO766" i="28"/>
  <c r="AN766" i="28"/>
  <c r="AM766" i="28"/>
  <c r="AL766" i="28"/>
  <c r="AK766" i="28"/>
  <c r="AJ766" i="28"/>
  <c r="AI766" i="28"/>
  <c r="AO765" i="28"/>
  <c r="AN765" i="28"/>
  <c r="AM765" i="28"/>
  <c r="AL765" i="28"/>
  <c r="AK765" i="28"/>
  <c r="AJ765" i="28"/>
  <c r="AI765" i="28"/>
  <c r="AO764" i="28"/>
  <c r="AN764" i="28"/>
  <c r="AM764" i="28"/>
  <c r="AL764" i="28"/>
  <c r="AK764" i="28"/>
  <c r="AJ764" i="28"/>
  <c r="AI764" i="28"/>
  <c r="AO763" i="28"/>
  <c r="AN763" i="28"/>
  <c r="AM763" i="28"/>
  <c r="AL763" i="28"/>
  <c r="AK763" i="28"/>
  <c r="AJ763" i="28"/>
  <c r="AI763" i="28"/>
  <c r="AO762" i="28"/>
  <c r="AN762" i="28"/>
  <c r="AM762" i="28"/>
  <c r="AL762" i="28"/>
  <c r="AK762" i="28"/>
  <c r="AJ762" i="28"/>
  <c r="AI762" i="28"/>
  <c r="AO761" i="28"/>
  <c r="AN761" i="28"/>
  <c r="AM761" i="28"/>
  <c r="AL761" i="28"/>
  <c r="AK761" i="28"/>
  <c r="AJ761" i="28"/>
  <c r="AI761" i="28"/>
  <c r="AO760" i="28"/>
  <c r="AN760" i="28"/>
  <c r="AM760" i="28"/>
  <c r="AL760" i="28"/>
  <c r="AK760" i="28"/>
  <c r="AJ760" i="28"/>
  <c r="AI760" i="28"/>
  <c r="AO759" i="28"/>
  <c r="AN759" i="28"/>
  <c r="AM759" i="28"/>
  <c r="AL759" i="28"/>
  <c r="AK759" i="28"/>
  <c r="AJ759" i="28"/>
  <c r="AI759" i="28"/>
  <c r="AO758" i="28"/>
  <c r="AN758" i="28"/>
  <c r="AM758" i="28"/>
  <c r="AL758" i="28"/>
  <c r="AK758" i="28"/>
  <c r="AJ758" i="28"/>
  <c r="AI758" i="28"/>
  <c r="AO757" i="28"/>
  <c r="AN757" i="28"/>
  <c r="AM757" i="28"/>
  <c r="AL757" i="28"/>
  <c r="AK757" i="28"/>
  <c r="AJ757" i="28"/>
  <c r="AI757" i="28"/>
  <c r="AO756" i="28"/>
  <c r="AN756" i="28"/>
  <c r="AM756" i="28"/>
  <c r="AL756" i="28"/>
  <c r="AK756" i="28"/>
  <c r="AJ756" i="28"/>
  <c r="AI756" i="28"/>
  <c r="AO755" i="28"/>
  <c r="AN755" i="28"/>
  <c r="AM755" i="28"/>
  <c r="AL755" i="28"/>
  <c r="AK755" i="28"/>
  <c r="AJ755" i="28"/>
  <c r="AI755" i="28"/>
  <c r="B755" i="28"/>
  <c r="B756" i="28" s="1"/>
  <c r="B757" i="28" s="1"/>
  <c r="B758" i="28" s="1"/>
  <c r="B759" i="28" s="1"/>
  <c r="B760" i="28" s="1"/>
  <c r="B761" i="28" s="1"/>
  <c r="B762" i="28" s="1"/>
  <c r="B763" i="28" s="1"/>
  <c r="B764" i="28" s="1"/>
  <c r="B765" i="28" s="1"/>
  <c r="B766" i="28" s="1"/>
  <c r="B767" i="28" s="1"/>
  <c r="B768" i="28" s="1"/>
  <c r="B769" i="28" s="1"/>
  <c r="B770" i="28" s="1"/>
  <c r="B771" i="28" s="1"/>
  <c r="B772" i="28" s="1"/>
  <c r="B773" i="28" s="1"/>
  <c r="AO754" i="28"/>
  <c r="AN754" i="28"/>
  <c r="AM754" i="28"/>
  <c r="AL754" i="28"/>
  <c r="AK754" i="28"/>
  <c r="AJ754" i="28"/>
  <c r="AI754" i="28"/>
  <c r="AA733" i="28"/>
  <c r="AA732" i="28"/>
  <c r="AO726" i="28"/>
  <c r="AN726" i="28"/>
  <c r="AM726" i="28"/>
  <c r="AL726" i="28"/>
  <c r="AK726" i="28"/>
  <c r="AJ726" i="28"/>
  <c r="AI726" i="28"/>
  <c r="AO725" i="28"/>
  <c r="AN725" i="28"/>
  <c r="AM725" i="28"/>
  <c r="AL725" i="28"/>
  <c r="AK725" i="28"/>
  <c r="AJ725" i="28"/>
  <c r="AI725" i="28"/>
  <c r="AO724" i="28"/>
  <c r="AN724" i="28"/>
  <c r="AM724" i="28"/>
  <c r="AL724" i="28"/>
  <c r="AK724" i="28"/>
  <c r="AJ724" i="28"/>
  <c r="AI724" i="28"/>
  <c r="AO723" i="28"/>
  <c r="AN723" i="28"/>
  <c r="AM723" i="28"/>
  <c r="AL723" i="28"/>
  <c r="AK723" i="28"/>
  <c r="AJ723" i="28"/>
  <c r="AI723" i="28"/>
  <c r="AO722" i="28"/>
  <c r="AN722" i="28"/>
  <c r="AM722" i="28"/>
  <c r="AL722" i="28"/>
  <c r="AK722" i="28"/>
  <c r="AJ722" i="28"/>
  <c r="AI722" i="28"/>
  <c r="AO721" i="28"/>
  <c r="AN721" i="28"/>
  <c r="AM721" i="28"/>
  <c r="AL721" i="28"/>
  <c r="AK721" i="28"/>
  <c r="AJ721" i="28"/>
  <c r="AI721" i="28"/>
  <c r="AO720" i="28"/>
  <c r="AN720" i="28"/>
  <c r="AM720" i="28"/>
  <c r="AL720" i="28"/>
  <c r="AK720" i="28"/>
  <c r="AJ720" i="28"/>
  <c r="AI720" i="28"/>
  <c r="AO719" i="28"/>
  <c r="AN719" i="28"/>
  <c r="AM719" i="28"/>
  <c r="AL719" i="28"/>
  <c r="AK719" i="28"/>
  <c r="AJ719" i="28"/>
  <c r="AI719" i="28"/>
  <c r="AO718" i="28"/>
  <c r="AN718" i="28"/>
  <c r="AM718" i="28"/>
  <c r="AL718" i="28"/>
  <c r="AK718" i="28"/>
  <c r="AJ718" i="28"/>
  <c r="AI718" i="28"/>
  <c r="AO717" i="28"/>
  <c r="AN717" i="28"/>
  <c r="AM717" i="28"/>
  <c r="AL717" i="28"/>
  <c r="AK717" i="28"/>
  <c r="AJ717" i="28"/>
  <c r="AI717" i="28"/>
  <c r="AO716" i="28"/>
  <c r="AN716" i="28"/>
  <c r="AM716" i="28"/>
  <c r="AL716" i="28"/>
  <c r="AK716" i="28"/>
  <c r="AJ716" i="28"/>
  <c r="AI716" i="28"/>
  <c r="AO715" i="28"/>
  <c r="AN715" i="28"/>
  <c r="AM715" i="28"/>
  <c r="AL715" i="28"/>
  <c r="AK715" i="28"/>
  <c r="AJ715" i="28"/>
  <c r="AI715" i="28"/>
  <c r="AO714" i="28"/>
  <c r="AN714" i="28"/>
  <c r="AM714" i="28"/>
  <c r="AL714" i="28"/>
  <c r="AK714" i="28"/>
  <c r="AJ714" i="28"/>
  <c r="AI714" i="28"/>
  <c r="AO713" i="28"/>
  <c r="AN713" i="28"/>
  <c r="AM713" i="28"/>
  <c r="AL713" i="28"/>
  <c r="AK713" i="28"/>
  <c r="AJ713" i="28"/>
  <c r="AI713" i="28"/>
  <c r="AO712" i="28"/>
  <c r="AN712" i="28"/>
  <c r="AM712" i="28"/>
  <c r="AL712" i="28"/>
  <c r="AK712" i="28"/>
  <c r="AJ712" i="28"/>
  <c r="AI712" i="28"/>
  <c r="AO711" i="28"/>
  <c r="AN711" i="28"/>
  <c r="AM711" i="28"/>
  <c r="AL711" i="28"/>
  <c r="AK711" i="28"/>
  <c r="AJ711" i="28"/>
  <c r="AI711" i="28"/>
  <c r="AO710" i="28"/>
  <c r="AN710" i="28"/>
  <c r="AM710" i="28"/>
  <c r="AL710" i="28"/>
  <c r="AK710" i="28"/>
  <c r="AJ710" i="28"/>
  <c r="AI710" i="28"/>
  <c r="AO709" i="28"/>
  <c r="AN709" i="28"/>
  <c r="AM709" i="28"/>
  <c r="AL709" i="28"/>
  <c r="AK709" i="28"/>
  <c r="AJ709" i="28"/>
  <c r="AI709" i="28"/>
  <c r="AO708" i="28"/>
  <c r="AN708" i="28"/>
  <c r="AM708" i="28"/>
  <c r="AL708" i="28"/>
  <c r="AK708" i="28"/>
  <c r="AJ708" i="28"/>
  <c r="AI708" i="28"/>
  <c r="B708" i="28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B722" i="28" s="1"/>
  <c r="B723" i="28" s="1"/>
  <c r="B724" i="28" s="1"/>
  <c r="B725" i="28" s="1"/>
  <c r="B726" i="28" s="1"/>
  <c r="AO707" i="28"/>
  <c r="AN707" i="28"/>
  <c r="AM707" i="28"/>
  <c r="AL707" i="28"/>
  <c r="AK707" i="28"/>
  <c r="AJ707" i="28"/>
  <c r="AI707" i="28"/>
  <c r="AA686" i="28"/>
  <c r="AA685" i="28"/>
  <c r="AO679" i="28"/>
  <c r="AN679" i="28"/>
  <c r="AM679" i="28"/>
  <c r="AL679" i="28"/>
  <c r="AK679" i="28"/>
  <c r="AJ679" i="28"/>
  <c r="AI679" i="28"/>
  <c r="AO678" i="28"/>
  <c r="AN678" i="28"/>
  <c r="AM678" i="28"/>
  <c r="AL678" i="28"/>
  <c r="AK678" i="28"/>
  <c r="AJ678" i="28"/>
  <c r="AI678" i="28"/>
  <c r="AO677" i="28"/>
  <c r="AN677" i="28"/>
  <c r="AM677" i="28"/>
  <c r="AL677" i="28"/>
  <c r="AK677" i="28"/>
  <c r="AJ677" i="28"/>
  <c r="AI677" i="28"/>
  <c r="AO676" i="28"/>
  <c r="AN676" i="28"/>
  <c r="AM676" i="28"/>
  <c r="AL676" i="28"/>
  <c r="AK676" i="28"/>
  <c r="AJ676" i="28"/>
  <c r="AI676" i="28"/>
  <c r="AO675" i="28"/>
  <c r="AN675" i="28"/>
  <c r="AM675" i="28"/>
  <c r="AL675" i="28"/>
  <c r="AK675" i="28"/>
  <c r="AJ675" i="28"/>
  <c r="AI675" i="28"/>
  <c r="AO674" i="28"/>
  <c r="AN674" i="28"/>
  <c r="AM674" i="28"/>
  <c r="AL674" i="28"/>
  <c r="AK674" i="28"/>
  <c r="AJ674" i="28"/>
  <c r="AI674" i="28"/>
  <c r="AO673" i="28"/>
  <c r="AN673" i="28"/>
  <c r="AM673" i="28"/>
  <c r="AL673" i="28"/>
  <c r="AK673" i="28"/>
  <c r="AJ673" i="28"/>
  <c r="AI673" i="28"/>
  <c r="AO672" i="28"/>
  <c r="AN672" i="28"/>
  <c r="AM672" i="28"/>
  <c r="AL672" i="28"/>
  <c r="AK672" i="28"/>
  <c r="AJ672" i="28"/>
  <c r="AI672" i="28"/>
  <c r="AO671" i="28"/>
  <c r="AN671" i="28"/>
  <c r="AM671" i="28"/>
  <c r="AL671" i="28"/>
  <c r="AK671" i="28"/>
  <c r="AJ671" i="28"/>
  <c r="AI671" i="28"/>
  <c r="AO670" i="28"/>
  <c r="AN670" i="28"/>
  <c r="AM670" i="28"/>
  <c r="AL670" i="28"/>
  <c r="AK670" i="28"/>
  <c r="AJ670" i="28"/>
  <c r="AI670" i="28"/>
  <c r="AO669" i="28"/>
  <c r="AN669" i="28"/>
  <c r="AM669" i="28"/>
  <c r="AL669" i="28"/>
  <c r="AK669" i="28"/>
  <c r="AJ669" i="28"/>
  <c r="AI669" i="28"/>
  <c r="AO668" i="28"/>
  <c r="AN668" i="28"/>
  <c r="AM668" i="28"/>
  <c r="AL668" i="28"/>
  <c r="AK668" i="28"/>
  <c r="AJ668" i="28"/>
  <c r="AI668" i="28"/>
  <c r="AO667" i="28"/>
  <c r="AN667" i="28"/>
  <c r="AM667" i="28"/>
  <c r="AL667" i="28"/>
  <c r="AK667" i="28"/>
  <c r="AJ667" i="28"/>
  <c r="AI667" i="28"/>
  <c r="AO666" i="28"/>
  <c r="AN666" i="28"/>
  <c r="AM666" i="28"/>
  <c r="AL666" i="28"/>
  <c r="AK666" i="28"/>
  <c r="AJ666" i="28"/>
  <c r="AI666" i="28"/>
  <c r="AO665" i="28"/>
  <c r="AN665" i="28"/>
  <c r="AM665" i="28"/>
  <c r="AL665" i="28"/>
  <c r="AK665" i="28"/>
  <c r="AJ665" i="28"/>
  <c r="AI665" i="28"/>
  <c r="AO664" i="28"/>
  <c r="AN664" i="28"/>
  <c r="AM664" i="28"/>
  <c r="AL664" i="28"/>
  <c r="AK664" i="28"/>
  <c r="AJ664" i="28"/>
  <c r="AI664" i="28"/>
  <c r="AO663" i="28"/>
  <c r="AN663" i="28"/>
  <c r="AM663" i="28"/>
  <c r="AL663" i="28"/>
  <c r="AK663" i="28"/>
  <c r="AJ663" i="28"/>
  <c r="AI663" i="28"/>
  <c r="AO662" i="28"/>
  <c r="AN662" i="28"/>
  <c r="AM662" i="28"/>
  <c r="AL662" i="28"/>
  <c r="AK662" i="28"/>
  <c r="AJ662" i="28"/>
  <c r="AI662" i="28"/>
  <c r="AO661" i="28"/>
  <c r="AN661" i="28"/>
  <c r="AM661" i="28"/>
  <c r="AL661" i="28"/>
  <c r="AK661" i="28"/>
  <c r="AJ661" i="28"/>
  <c r="AI661" i="28"/>
  <c r="B661" i="28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AO660" i="28"/>
  <c r="AN660" i="28"/>
  <c r="AM660" i="28"/>
  <c r="AL660" i="28"/>
  <c r="AK660" i="28"/>
  <c r="AJ660" i="28"/>
  <c r="AI660" i="28"/>
  <c r="AA639" i="28"/>
  <c r="AA638" i="28"/>
  <c r="AO632" i="28"/>
  <c r="AN632" i="28"/>
  <c r="AM632" i="28"/>
  <c r="AL632" i="28"/>
  <c r="AK632" i="28"/>
  <c r="AJ632" i="28"/>
  <c r="AI632" i="28"/>
  <c r="AO631" i="28"/>
  <c r="AN631" i="28"/>
  <c r="AM631" i="28"/>
  <c r="AL631" i="28"/>
  <c r="AK631" i="28"/>
  <c r="AJ631" i="28"/>
  <c r="AI631" i="28"/>
  <c r="AO630" i="28"/>
  <c r="AN630" i="28"/>
  <c r="AM630" i="28"/>
  <c r="AL630" i="28"/>
  <c r="AK630" i="28"/>
  <c r="AJ630" i="28"/>
  <c r="AI630" i="28"/>
  <c r="AO629" i="28"/>
  <c r="AN629" i="28"/>
  <c r="AM629" i="28"/>
  <c r="AL629" i="28"/>
  <c r="AK629" i="28"/>
  <c r="AJ629" i="28"/>
  <c r="AI629" i="28"/>
  <c r="AO628" i="28"/>
  <c r="AN628" i="28"/>
  <c r="AM628" i="28"/>
  <c r="AL628" i="28"/>
  <c r="AK628" i="28"/>
  <c r="AJ628" i="28"/>
  <c r="AI628" i="28"/>
  <c r="AO627" i="28"/>
  <c r="AN627" i="28"/>
  <c r="AM627" i="28"/>
  <c r="AL627" i="28"/>
  <c r="AK627" i="28"/>
  <c r="AJ627" i="28"/>
  <c r="AI627" i="28"/>
  <c r="AO626" i="28"/>
  <c r="AN626" i="28"/>
  <c r="AM626" i="28"/>
  <c r="AL626" i="28"/>
  <c r="AK626" i="28"/>
  <c r="AJ626" i="28"/>
  <c r="AI626" i="28"/>
  <c r="AO625" i="28"/>
  <c r="AN625" i="28"/>
  <c r="AM625" i="28"/>
  <c r="AL625" i="28"/>
  <c r="AK625" i="28"/>
  <c r="AJ625" i="28"/>
  <c r="AI625" i="28"/>
  <c r="AO624" i="28"/>
  <c r="AN624" i="28"/>
  <c r="AM624" i="28"/>
  <c r="AL624" i="28"/>
  <c r="AK624" i="28"/>
  <c r="AJ624" i="28"/>
  <c r="AI624" i="28"/>
  <c r="AO623" i="28"/>
  <c r="AN623" i="28"/>
  <c r="AM623" i="28"/>
  <c r="AL623" i="28"/>
  <c r="AK623" i="28"/>
  <c r="AJ623" i="28"/>
  <c r="AI623" i="28"/>
  <c r="AO622" i="28"/>
  <c r="AN622" i="28"/>
  <c r="AM622" i="28"/>
  <c r="AL622" i="28"/>
  <c r="AK622" i="28"/>
  <c r="AJ622" i="28"/>
  <c r="AI622" i="28"/>
  <c r="AO621" i="28"/>
  <c r="AN621" i="28"/>
  <c r="AM621" i="28"/>
  <c r="AL621" i="28"/>
  <c r="AK621" i="28"/>
  <c r="AJ621" i="28"/>
  <c r="AI621" i="28"/>
  <c r="AO620" i="28"/>
  <c r="AN620" i="28"/>
  <c r="AM620" i="28"/>
  <c r="AL620" i="28"/>
  <c r="AK620" i="28"/>
  <c r="AJ620" i="28"/>
  <c r="AI620" i="28"/>
  <c r="AO619" i="28"/>
  <c r="AN619" i="28"/>
  <c r="AM619" i="28"/>
  <c r="AL619" i="28"/>
  <c r="AK619" i="28"/>
  <c r="AJ619" i="28"/>
  <c r="AI619" i="28"/>
  <c r="AO618" i="28"/>
  <c r="AN618" i="28"/>
  <c r="AM618" i="28"/>
  <c r="AL618" i="28"/>
  <c r="AK618" i="28"/>
  <c r="AJ618" i="28"/>
  <c r="AI618" i="28"/>
  <c r="AO617" i="28"/>
  <c r="AN617" i="28"/>
  <c r="AM617" i="28"/>
  <c r="AL617" i="28"/>
  <c r="AK617" i="28"/>
  <c r="AJ617" i="28"/>
  <c r="AI617" i="28"/>
  <c r="AO616" i="28"/>
  <c r="AN616" i="28"/>
  <c r="AM616" i="28"/>
  <c r="AL616" i="28"/>
  <c r="AK616" i="28"/>
  <c r="AJ616" i="28"/>
  <c r="AI616" i="28"/>
  <c r="AO615" i="28"/>
  <c r="AN615" i="28"/>
  <c r="AM615" i="28"/>
  <c r="AL615" i="28"/>
  <c r="AK615" i="28"/>
  <c r="AJ615" i="28"/>
  <c r="AI615" i="28"/>
  <c r="AO614" i="28"/>
  <c r="AN614" i="28"/>
  <c r="AM614" i="28"/>
  <c r="AL614" i="28"/>
  <c r="AK614" i="28"/>
  <c r="AJ614" i="28"/>
  <c r="AI614" i="28"/>
  <c r="B614" i="28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AO613" i="28"/>
  <c r="AN613" i="28"/>
  <c r="AM613" i="28"/>
  <c r="AL613" i="28"/>
  <c r="AK613" i="28"/>
  <c r="AJ613" i="28"/>
  <c r="AI613" i="28"/>
  <c r="AA592" i="28"/>
  <c r="AA591" i="28"/>
  <c r="AO585" i="28"/>
  <c r="AN585" i="28"/>
  <c r="AM585" i="28"/>
  <c r="AL585" i="28"/>
  <c r="AK585" i="28"/>
  <c r="AJ585" i="28"/>
  <c r="AI585" i="28"/>
  <c r="AO584" i="28"/>
  <c r="AN584" i="28"/>
  <c r="AM584" i="28"/>
  <c r="AL584" i="28"/>
  <c r="AK584" i="28"/>
  <c r="AJ584" i="28"/>
  <c r="AI584" i="28"/>
  <c r="AO583" i="28"/>
  <c r="AN583" i="28"/>
  <c r="AM583" i="28"/>
  <c r="AL583" i="28"/>
  <c r="AK583" i="28"/>
  <c r="AJ583" i="28"/>
  <c r="AI583" i="28"/>
  <c r="AO582" i="28"/>
  <c r="AN582" i="28"/>
  <c r="AM582" i="28"/>
  <c r="AL582" i="28"/>
  <c r="AK582" i="28"/>
  <c r="AJ582" i="28"/>
  <c r="AI582" i="28"/>
  <c r="AO581" i="28"/>
  <c r="AN581" i="28"/>
  <c r="AM581" i="28"/>
  <c r="AL581" i="28"/>
  <c r="AK581" i="28"/>
  <c r="AJ581" i="28"/>
  <c r="AI581" i="28"/>
  <c r="AO580" i="28"/>
  <c r="AN580" i="28"/>
  <c r="AM580" i="28"/>
  <c r="AL580" i="28"/>
  <c r="AK580" i="28"/>
  <c r="AJ580" i="28"/>
  <c r="AI580" i="28"/>
  <c r="AO579" i="28"/>
  <c r="AN579" i="28"/>
  <c r="AM579" i="28"/>
  <c r="AL579" i="28"/>
  <c r="AK579" i="28"/>
  <c r="AJ579" i="28"/>
  <c r="AI579" i="28"/>
  <c r="AO578" i="28"/>
  <c r="AN578" i="28"/>
  <c r="AM578" i="28"/>
  <c r="AL578" i="28"/>
  <c r="AK578" i="28"/>
  <c r="AJ578" i="28"/>
  <c r="AI578" i="28"/>
  <c r="AO577" i="28"/>
  <c r="AN577" i="28"/>
  <c r="AM577" i="28"/>
  <c r="AL577" i="28"/>
  <c r="AK577" i="28"/>
  <c r="AJ577" i="28"/>
  <c r="AI577" i="28"/>
  <c r="AO576" i="28"/>
  <c r="AN576" i="28"/>
  <c r="AM576" i="28"/>
  <c r="AL576" i="28"/>
  <c r="AK576" i="28"/>
  <c r="AJ576" i="28"/>
  <c r="AI576" i="28"/>
  <c r="AO575" i="28"/>
  <c r="AN575" i="28"/>
  <c r="AM575" i="28"/>
  <c r="AL575" i="28"/>
  <c r="AK575" i="28"/>
  <c r="AJ575" i="28"/>
  <c r="AI575" i="28"/>
  <c r="AO574" i="28"/>
  <c r="AN574" i="28"/>
  <c r="AM574" i="28"/>
  <c r="AL574" i="28"/>
  <c r="AK574" i="28"/>
  <c r="AJ574" i="28"/>
  <c r="AI574" i="28"/>
  <c r="AO573" i="28"/>
  <c r="AN573" i="28"/>
  <c r="AM573" i="28"/>
  <c r="AL573" i="28"/>
  <c r="AK573" i="28"/>
  <c r="AJ573" i="28"/>
  <c r="AI573" i="28"/>
  <c r="AO572" i="28"/>
  <c r="AN572" i="28"/>
  <c r="AM572" i="28"/>
  <c r="AL572" i="28"/>
  <c r="AK572" i="28"/>
  <c r="AJ572" i="28"/>
  <c r="AI572" i="28"/>
  <c r="AO571" i="28"/>
  <c r="AN571" i="28"/>
  <c r="AM571" i="28"/>
  <c r="AL571" i="28"/>
  <c r="AK571" i="28"/>
  <c r="AJ571" i="28"/>
  <c r="AI571" i="28"/>
  <c r="AO570" i="28"/>
  <c r="AN570" i="28"/>
  <c r="AM570" i="28"/>
  <c r="AL570" i="28"/>
  <c r="AK570" i="28"/>
  <c r="AJ570" i="28"/>
  <c r="AI570" i="28"/>
  <c r="AO569" i="28"/>
  <c r="AN569" i="28"/>
  <c r="AM569" i="28"/>
  <c r="AL569" i="28"/>
  <c r="AK569" i="28"/>
  <c r="AJ569" i="28"/>
  <c r="AI569" i="28"/>
  <c r="AO568" i="28"/>
  <c r="AN568" i="28"/>
  <c r="AM568" i="28"/>
  <c r="AL568" i="28"/>
  <c r="AK568" i="28"/>
  <c r="AJ568" i="28"/>
  <c r="AI568" i="28"/>
  <c r="AO567" i="28"/>
  <c r="AN567" i="28"/>
  <c r="AM567" i="28"/>
  <c r="AL567" i="28"/>
  <c r="AK567" i="28"/>
  <c r="AJ567" i="28"/>
  <c r="AI567" i="28"/>
  <c r="B567" i="28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AO566" i="28"/>
  <c r="AN566" i="28"/>
  <c r="AM566" i="28"/>
  <c r="AL566" i="28"/>
  <c r="AK566" i="28"/>
  <c r="AJ566" i="28"/>
  <c r="AI566" i="28"/>
  <c r="AA545" i="28"/>
  <c r="AA544" i="28"/>
  <c r="AO538" i="28"/>
  <c r="AN538" i="28"/>
  <c r="AM538" i="28"/>
  <c r="AL538" i="28"/>
  <c r="AK538" i="28"/>
  <c r="AJ538" i="28"/>
  <c r="AI538" i="28"/>
  <c r="Y538" i="28"/>
  <c r="W538" i="28"/>
  <c r="E538" i="28"/>
  <c r="E585" i="28" s="1"/>
  <c r="E632" i="28" s="1"/>
  <c r="E679" i="28" s="1"/>
  <c r="E726" i="28" s="1"/>
  <c r="E773" i="28" s="1"/>
  <c r="E820" i="28" s="1"/>
  <c r="C538" i="28"/>
  <c r="C585" i="28" s="1"/>
  <c r="C632" i="28" s="1"/>
  <c r="C679" i="28" s="1"/>
  <c r="C726" i="28" s="1"/>
  <c r="C773" i="28" s="1"/>
  <c r="C820" i="28" s="1"/>
  <c r="AO537" i="28"/>
  <c r="AN537" i="28"/>
  <c r="AM537" i="28"/>
  <c r="AL537" i="28"/>
  <c r="AK537" i="28"/>
  <c r="AJ537" i="28"/>
  <c r="AI537" i="28"/>
  <c r="Y537" i="28"/>
  <c r="X537" i="28" s="1"/>
  <c r="W537" i="28"/>
  <c r="W584" i="28" s="1"/>
  <c r="E537" i="28"/>
  <c r="E584" i="28" s="1"/>
  <c r="E631" i="28" s="1"/>
  <c r="E678" i="28" s="1"/>
  <c r="E725" i="28" s="1"/>
  <c r="E772" i="28" s="1"/>
  <c r="E819" i="28" s="1"/>
  <c r="C537" i="28"/>
  <c r="C584" i="28" s="1"/>
  <c r="C631" i="28" s="1"/>
  <c r="C678" i="28" s="1"/>
  <c r="C725" i="28" s="1"/>
  <c r="C772" i="28" s="1"/>
  <c r="C819" i="28" s="1"/>
  <c r="AO536" i="28"/>
  <c r="AN536" i="28"/>
  <c r="AM536" i="28"/>
  <c r="AL536" i="28"/>
  <c r="AK536" i="28"/>
  <c r="AJ536" i="28"/>
  <c r="AI536" i="28"/>
  <c r="Y536" i="28"/>
  <c r="Y583" i="28" s="1"/>
  <c r="W536" i="28"/>
  <c r="V536" i="28" s="1"/>
  <c r="E536" i="28"/>
  <c r="E583" i="28" s="1"/>
  <c r="E630" i="28" s="1"/>
  <c r="E677" i="28" s="1"/>
  <c r="E724" i="28" s="1"/>
  <c r="E771" i="28" s="1"/>
  <c r="E818" i="28" s="1"/>
  <c r="C536" i="28"/>
  <c r="C583" i="28" s="1"/>
  <c r="C630" i="28" s="1"/>
  <c r="C677" i="28" s="1"/>
  <c r="C724" i="28" s="1"/>
  <c r="C771" i="28" s="1"/>
  <c r="C818" i="28" s="1"/>
  <c r="AO535" i="28"/>
  <c r="AN535" i="28"/>
  <c r="AM535" i="28"/>
  <c r="AL535" i="28"/>
  <c r="AK535" i="28"/>
  <c r="AJ535" i="28"/>
  <c r="AI535" i="28"/>
  <c r="Y535" i="28"/>
  <c r="Y582" i="28" s="1"/>
  <c r="W535" i="28"/>
  <c r="W582" i="28" s="1"/>
  <c r="E535" i="28"/>
  <c r="E582" i="28" s="1"/>
  <c r="E629" i="28" s="1"/>
  <c r="E676" i="28" s="1"/>
  <c r="E723" i="28" s="1"/>
  <c r="E770" i="28" s="1"/>
  <c r="E817" i="28" s="1"/>
  <c r="C535" i="28"/>
  <c r="C582" i="28" s="1"/>
  <c r="C629" i="28" s="1"/>
  <c r="C676" i="28" s="1"/>
  <c r="C723" i="28" s="1"/>
  <c r="C770" i="28" s="1"/>
  <c r="C817" i="28" s="1"/>
  <c r="AO534" i="28"/>
  <c r="AN534" i="28"/>
  <c r="AM534" i="28"/>
  <c r="AL534" i="28"/>
  <c r="AK534" i="28"/>
  <c r="AJ534" i="28"/>
  <c r="AI534" i="28"/>
  <c r="Y534" i="28"/>
  <c r="W534" i="28"/>
  <c r="W581" i="28" s="1"/>
  <c r="E534" i="28"/>
  <c r="E581" i="28" s="1"/>
  <c r="E628" i="28" s="1"/>
  <c r="E675" i="28" s="1"/>
  <c r="E722" i="28" s="1"/>
  <c r="E769" i="28" s="1"/>
  <c r="E816" i="28" s="1"/>
  <c r="C534" i="28"/>
  <c r="C581" i="28" s="1"/>
  <c r="C628" i="28" s="1"/>
  <c r="C675" i="28" s="1"/>
  <c r="C722" i="28" s="1"/>
  <c r="C769" i="28" s="1"/>
  <c r="C816" i="28" s="1"/>
  <c r="AO533" i="28"/>
  <c r="AN533" i="28"/>
  <c r="AM533" i="28"/>
  <c r="AL533" i="28"/>
  <c r="AK533" i="28"/>
  <c r="AJ533" i="28"/>
  <c r="AI533" i="28"/>
  <c r="Y533" i="28"/>
  <c r="X533" i="28" s="1"/>
  <c r="W533" i="28"/>
  <c r="W580" i="28" s="1"/>
  <c r="W627" i="28" s="1"/>
  <c r="V627" i="28" s="1"/>
  <c r="E533" i="28"/>
  <c r="E580" i="28" s="1"/>
  <c r="E627" i="28" s="1"/>
  <c r="E674" i="28" s="1"/>
  <c r="E721" i="28" s="1"/>
  <c r="E768" i="28" s="1"/>
  <c r="E815" i="28" s="1"/>
  <c r="C533" i="28"/>
  <c r="C580" i="28" s="1"/>
  <c r="C627" i="28" s="1"/>
  <c r="C674" i="28" s="1"/>
  <c r="C721" i="28" s="1"/>
  <c r="C768" i="28" s="1"/>
  <c r="C815" i="28" s="1"/>
  <c r="AO532" i="28"/>
  <c r="AN532" i="28"/>
  <c r="AM532" i="28"/>
  <c r="AL532" i="28"/>
  <c r="AK532" i="28"/>
  <c r="AJ532" i="28"/>
  <c r="AI532" i="28"/>
  <c r="Y532" i="28"/>
  <c r="Y579" i="28" s="1"/>
  <c r="W532" i="28"/>
  <c r="W579" i="28" s="1"/>
  <c r="W626" i="28" s="1"/>
  <c r="E532" i="28"/>
  <c r="E579" i="28" s="1"/>
  <c r="E626" i="28" s="1"/>
  <c r="E673" i="28" s="1"/>
  <c r="E720" i="28" s="1"/>
  <c r="E767" i="28" s="1"/>
  <c r="E814" i="28" s="1"/>
  <c r="C532" i="28"/>
  <c r="C579" i="28" s="1"/>
  <c r="C626" i="28" s="1"/>
  <c r="C673" i="28" s="1"/>
  <c r="C720" i="28" s="1"/>
  <c r="C767" i="28" s="1"/>
  <c r="C814" i="28" s="1"/>
  <c r="AO531" i="28"/>
  <c r="AN531" i="28"/>
  <c r="AM531" i="28"/>
  <c r="AL531" i="28"/>
  <c r="AK531" i="28"/>
  <c r="AJ531" i="28"/>
  <c r="AI531" i="28"/>
  <c r="Y531" i="28"/>
  <c r="W531" i="28"/>
  <c r="W578" i="28" s="1"/>
  <c r="V578" i="28" s="1"/>
  <c r="E531" i="28"/>
  <c r="E578" i="28" s="1"/>
  <c r="E625" i="28" s="1"/>
  <c r="E672" i="28" s="1"/>
  <c r="E719" i="28" s="1"/>
  <c r="E766" i="28" s="1"/>
  <c r="E813" i="28" s="1"/>
  <c r="C531" i="28"/>
  <c r="C578" i="28" s="1"/>
  <c r="C625" i="28" s="1"/>
  <c r="C672" i="28" s="1"/>
  <c r="C719" i="28" s="1"/>
  <c r="C766" i="28" s="1"/>
  <c r="C813" i="28" s="1"/>
  <c r="AO530" i="28"/>
  <c r="AN530" i="28"/>
  <c r="AM530" i="28"/>
  <c r="AL530" i="28"/>
  <c r="AK530" i="28"/>
  <c r="AJ530" i="28"/>
  <c r="AI530" i="28"/>
  <c r="Y530" i="28"/>
  <c r="Y577" i="28" s="1"/>
  <c r="W530" i="28"/>
  <c r="E530" i="28"/>
  <c r="E577" i="28" s="1"/>
  <c r="E624" i="28" s="1"/>
  <c r="E671" i="28" s="1"/>
  <c r="E718" i="28" s="1"/>
  <c r="E765" i="28" s="1"/>
  <c r="E812" i="28" s="1"/>
  <c r="C530" i="28"/>
  <c r="C577" i="28" s="1"/>
  <c r="C624" i="28" s="1"/>
  <c r="C671" i="28" s="1"/>
  <c r="C718" i="28" s="1"/>
  <c r="C765" i="28" s="1"/>
  <c r="C812" i="28" s="1"/>
  <c r="AO529" i="28"/>
  <c r="AN529" i="28"/>
  <c r="AM529" i="28"/>
  <c r="AL529" i="28"/>
  <c r="AK529" i="28"/>
  <c r="AJ529" i="28"/>
  <c r="AI529" i="28"/>
  <c r="Y529" i="28"/>
  <c r="X529" i="28" s="1"/>
  <c r="W529" i="28"/>
  <c r="AO528" i="28"/>
  <c r="AN528" i="28"/>
  <c r="AM528" i="28"/>
  <c r="AL528" i="28"/>
  <c r="AK528" i="28"/>
  <c r="AJ528" i="28"/>
  <c r="AI528" i="28"/>
  <c r="Y528" i="28"/>
  <c r="AO527" i="28"/>
  <c r="AN527" i="28"/>
  <c r="AM527" i="28"/>
  <c r="AL527" i="28"/>
  <c r="AK527" i="28"/>
  <c r="AJ527" i="28"/>
  <c r="AI527" i="28"/>
  <c r="Y527" i="28"/>
  <c r="Y574" i="28" s="1"/>
  <c r="AO526" i="28"/>
  <c r="AN526" i="28"/>
  <c r="AM526" i="28"/>
  <c r="AL526" i="28"/>
  <c r="AK526" i="28"/>
  <c r="AJ526" i="28"/>
  <c r="AI526" i="28"/>
  <c r="Y526" i="28"/>
  <c r="Y573" i="28" s="1"/>
  <c r="Y620" i="28" s="1"/>
  <c r="AO525" i="28"/>
  <c r="AN525" i="28"/>
  <c r="AM525" i="28"/>
  <c r="AL525" i="28"/>
  <c r="AK525" i="28"/>
  <c r="AJ525" i="28"/>
  <c r="AI525" i="28"/>
  <c r="Y525" i="28"/>
  <c r="X525" i="28" s="1"/>
  <c r="AO524" i="28"/>
  <c r="AN524" i="28"/>
  <c r="AM524" i="28"/>
  <c r="AL524" i="28"/>
  <c r="AK524" i="28"/>
  <c r="AJ524" i="28"/>
  <c r="AI524" i="28"/>
  <c r="Y524" i="28"/>
  <c r="Y571" i="28" s="1"/>
  <c r="Y618" i="28" s="1"/>
  <c r="AO523" i="28"/>
  <c r="AN523" i="28"/>
  <c r="AM523" i="28"/>
  <c r="AL523" i="28"/>
  <c r="AK523" i="28"/>
  <c r="AJ523" i="28"/>
  <c r="AI523" i="28"/>
  <c r="Y523" i="28"/>
  <c r="X523" i="28" s="1"/>
  <c r="AO522" i="28"/>
  <c r="AN522" i="28"/>
  <c r="AM522" i="28"/>
  <c r="AL522" i="28"/>
  <c r="AK522" i="28"/>
  <c r="AJ522" i="28"/>
  <c r="AI522" i="28"/>
  <c r="Y522" i="28"/>
  <c r="X522" i="28" s="1"/>
  <c r="AO521" i="28"/>
  <c r="AN521" i="28"/>
  <c r="AM521" i="28"/>
  <c r="AL521" i="28"/>
  <c r="AK521" i="28"/>
  <c r="AJ521" i="28"/>
  <c r="AI521" i="28"/>
  <c r="Y521" i="28"/>
  <c r="X521" i="28" s="1"/>
  <c r="AO520" i="28"/>
  <c r="AN520" i="28"/>
  <c r="AM520" i="28"/>
  <c r="AL520" i="28"/>
  <c r="AK520" i="28"/>
  <c r="AJ520" i="28"/>
  <c r="AI520" i="28"/>
  <c r="Y520" i="28"/>
  <c r="X520" i="28" s="1"/>
  <c r="B520" i="28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AO519" i="28"/>
  <c r="AN519" i="28"/>
  <c r="AM519" i="28"/>
  <c r="AL519" i="28"/>
  <c r="AK519" i="28"/>
  <c r="AJ519" i="28"/>
  <c r="AI519" i="28"/>
  <c r="Y519" i="28"/>
  <c r="Y566" i="28" s="1"/>
  <c r="AA498" i="28"/>
  <c r="AA497" i="28"/>
  <c r="AO491" i="28"/>
  <c r="AN491" i="28"/>
  <c r="AM491" i="28"/>
  <c r="AL491" i="28"/>
  <c r="AK491" i="28"/>
  <c r="AJ491" i="28"/>
  <c r="AI491" i="28"/>
  <c r="U491" i="28"/>
  <c r="AO490" i="28"/>
  <c r="AN490" i="28"/>
  <c r="AM490" i="28"/>
  <c r="AL490" i="28"/>
  <c r="AK490" i="28"/>
  <c r="AJ490" i="28"/>
  <c r="AI490" i="28"/>
  <c r="U490" i="28"/>
  <c r="AO489" i="28"/>
  <c r="AN489" i="28"/>
  <c r="AM489" i="28"/>
  <c r="AL489" i="28"/>
  <c r="AK489" i="28"/>
  <c r="AJ489" i="28"/>
  <c r="AI489" i="28"/>
  <c r="X489" i="28"/>
  <c r="S489" i="28"/>
  <c r="Q489" i="28"/>
  <c r="O489" i="28"/>
  <c r="M489" i="28"/>
  <c r="K489" i="28"/>
  <c r="I489" i="28"/>
  <c r="G489" i="28"/>
  <c r="AO488" i="28"/>
  <c r="AN488" i="28"/>
  <c r="AM488" i="28"/>
  <c r="AL488" i="28"/>
  <c r="AK488" i="28"/>
  <c r="AJ488" i="28"/>
  <c r="AI488" i="28"/>
  <c r="X488" i="28"/>
  <c r="S488" i="28"/>
  <c r="Q488" i="28"/>
  <c r="O488" i="28"/>
  <c r="M488" i="28"/>
  <c r="K488" i="28"/>
  <c r="I488" i="28"/>
  <c r="G488" i="28"/>
  <c r="AO487" i="28"/>
  <c r="AN487" i="28"/>
  <c r="AM487" i="28"/>
  <c r="AL487" i="28"/>
  <c r="AK487" i="28"/>
  <c r="AJ487" i="28"/>
  <c r="AI487" i="28"/>
  <c r="X487" i="28"/>
  <c r="S487" i="28"/>
  <c r="Q487" i="28"/>
  <c r="O487" i="28"/>
  <c r="M487" i="28"/>
  <c r="K487" i="28"/>
  <c r="I487" i="28"/>
  <c r="G487" i="28"/>
  <c r="AO486" i="28"/>
  <c r="AN486" i="28"/>
  <c r="AM486" i="28"/>
  <c r="AL486" i="28"/>
  <c r="AK486" i="28"/>
  <c r="AJ486" i="28"/>
  <c r="AI486" i="28"/>
  <c r="X486" i="28"/>
  <c r="S486" i="28"/>
  <c r="Q486" i="28"/>
  <c r="O486" i="28"/>
  <c r="M486" i="28"/>
  <c r="K486" i="28"/>
  <c r="I486" i="28"/>
  <c r="G486" i="28"/>
  <c r="AO485" i="28"/>
  <c r="AN485" i="28"/>
  <c r="AM485" i="28"/>
  <c r="AL485" i="28"/>
  <c r="AK485" i="28"/>
  <c r="AJ485" i="28"/>
  <c r="AI485" i="28"/>
  <c r="X485" i="28"/>
  <c r="S485" i="28"/>
  <c r="Q485" i="28"/>
  <c r="O485" i="28"/>
  <c r="M485" i="28"/>
  <c r="K485" i="28"/>
  <c r="I485" i="28"/>
  <c r="G485" i="28"/>
  <c r="AO484" i="28"/>
  <c r="AN484" i="28"/>
  <c r="AM484" i="28"/>
  <c r="AL484" i="28"/>
  <c r="AK484" i="28"/>
  <c r="AJ484" i="28"/>
  <c r="AI484" i="28"/>
  <c r="X484" i="28"/>
  <c r="S484" i="28"/>
  <c r="Q484" i="28"/>
  <c r="O484" i="28"/>
  <c r="M484" i="28"/>
  <c r="K484" i="28"/>
  <c r="I484" i="28"/>
  <c r="G484" i="28"/>
  <c r="AO483" i="28"/>
  <c r="AN483" i="28"/>
  <c r="AM483" i="28"/>
  <c r="AL483" i="28"/>
  <c r="AK483" i="28"/>
  <c r="AJ483" i="28"/>
  <c r="AI483" i="28"/>
  <c r="X483" i="28"/>
  <c r="S483" i="28"/>
  <c r="Q483" i="28"/>
  <c r="O483" i="28"/>
  <c r="M483" i="28"/>
  <c r="K483" i="28"/>
  <c r="I483" i="28"/>
  <c r="G483" i="28"/>
  <c r="AO482" i="28"/>
  <c r="AN482" i="28"/>
  <c r="AM482" i="28"/>
  <c r="AL482" i="28"/>
  <c r="AK482" i="28"/>
  <c r="AJ482" i="28"/>
  <c r="AI482" i="28"/>
  <c r="X482" i="28"/>
  <c r="S482" i="28"/>
  <c r="Q482" i="28"/>
  <c r="O482" i="28"/>
  <c r="M482" i="28"/>
  <c r="K482" i="28"/>
  <c r="I482" i="28"/>
  <c r="G482" i="28"/>
  <c r="AO481" i="28"/>
  <c r="AN481" i="28"/>
  <c r="AM481" i="28"/>
  <c r="AL481" i="28"/>
  <c r="AK481" i="28"/>
  <c r="AJ481" i="28"/>
  <c r="AI481" i="28"/>
  <c r="X481" i="28"/>
  <c r="S481" i="28"/>
  <c r="Q481" i="28"/>
  <c r="O481" i="28"/>
  <c r="M481" i="28"/>
  <c r="K481" i="28"/>
  <c r="I481" i="28"/>
  <c r="AO480" i="28"/>
  <c r="AN480" i="28"/>
  <c r="AM480" i="28"/>
  <c r="AL480" i="28"/>
  <c r="AK480" i="28"/>
  <c r="AJ480" i="28"/>
  <c r="AI480" i="28"/>
  <c r="X480" i="28"/>
  <c r="S480" i="28"/>
  <c r="Q480" i="28"/>
  <c r="O480" i="28"/>
  <c r="M480" i="28"/>
  <c r="K480" i="28"/>
  <c r="I480" i="28"/>
  <c r="AA459" i="28"/>
  <c r="AA458" i="28"/>
  <c r="AO452" i="28"/>
  <c r="AN452" i="28"/>
  <c r="AM452" i="28"/>
  <c r="AL452" i="28"/>
  <c r="AK452" i="28"/>
  <c r="AJ452" i="28"/>
  <c r="AI452" i="28"/>
  <c r="U452" i="28"/>
  <c r="AO451" i="28"/>
  <c r="AN451" i="28"/>
  <c r="AM451" i="28"/>
  <c r="AL451" i="28"/>
  <c r="AK451" i="28"/>
  <c r="AJ451" i="28"/>
  <c r="AI451" i="28"/>
  <c r="U451" i="28"/>
  <c r="AO450" i="28"/>
  <c r="AN450" i="28"/>
  <c r="AM450" i="28"/>
  <c r="AL450" i="28"/>
  <c r="AK450" i="28"/>
  <c r="AJ450" i="28"/>
  <c r="AI450" i="28"/>
  <c r="AA450" i="28"/>
  <c r="Z450" i="28" s="1"/>
  <c r="AO449" i="28"/>
  <c r="AN449" i="28"/>
  <c r="AM449" i="28"/>
  <c r="AL449" i="28"/>
  <c r="AK449" i="28"/>
  <c r="AJ449" i="28"/>
  <c r="AI449" i="28"/>
  <c r="U449" i="28"/>
  <c r="AO448" i="28"/>
  <c r="AN448" i="28"/>
  <c r="AM448" i="28"/>
  <c r="AL448" i="28"/>
  <c r="AK448" i="28"/>
  <c r="AJ448" i="28"/>
  <c r="AI448" i="28"/>
  <c r="U448" i="28"/>
  <c r="AO447" i="28"/>
  <c r="AN447" i="28"/>
  <c r="AM447" i="28"/>
  <c r="AL447" i="28"/>
  <c r="AK447" i="28"/>
  <c r="AJ447" i="28"/>
  <c r="AI447" i="28"/>
  <c r="U447" i="28"/>
  <c r="AO446" i="28"/>
  <c r="AN446" i="28"/>
  <c r="AM446" i="28"/>
  <c r="AL446" i="28"/>
  <c r="AK446" i="28"/>
  <c r="AJ446" i="28"/>
  <c r="AI446" i="28"/>
  <c r="U446" i="28"/>
  <c r="AO445" i="28"/>
  <c r="AN445" i="28"/>
  <c r="AM445" i="28"/>
  <c r="AL445" i="28"/>
  <c r="AK445" i="28"/>
  <c r="AJ445" i="28"/>
  <c r="AI445" i="28"/>
  <c r="U445" i="28"/>
  <c r="AO444" i="28"/>
  <c r="AN444" i="28"/>
  <c r="AM444" i="28"/>
  <c r="AL444" i="28"/>
  <c r="AK444" i="28"/>
  <c r="AJ444" i="28"/>
  <c r="AI444" i="28"/>
  <c r="U444" i="28"/>
  <c r="AO443" i="28"/>
  <c r="AN443" i="28"/>
  <c r="AM443" i="28"/>
  <c r="AL443" i="28"/>
  <c r="AK443" i="28"/>
  <c r="AJ443" i="28"/>
  <c r="AI443" i="28"/>
  <c r="U443" i="28"/>
  <c r="AO442" i="28"/>
  <c r="AN442" i="28"/>
  <c r="AM442" i="28"/>
  <c r="AL442" i="28"/>
  <c r="AK442" i="28"/>
  <c r="AJ442" i="28"/>
  <c r="AI442" i="28"/>
  <c r="U442" i="28"/>
  <c r="AO441" i="28"/>
  <c r="AN441" i="28"/>
  <c r="AM441" i="28"/>
  <c r="AL441" i="28"/>
  <c r="AK441" i="28"/>
  <c r="AJ441" i="28"/>
  <c r="AI441" i="28"/>
  <c r="U441" i="28"/>
  <c r="AA420" i="28"/>
  <c r="AA419" i="28"/>
  <c r="AO413" i="28"/>
  <c r="AN413" i="28"/>
  <c r="AM413" i="28"/>
  <c r="AL413" i="28"/>
  <c r="AK413" i="28"/>
  <c r="AJ413" i="28"/>
  <c r="AI413" i="28"/>
  <c r="U413" i="28"/>
  <c r="AO412" i="28"/>
  <c r="AN412" i="28"/>
  <c r="AM412" i="28"/>
  <c r="AL412" i="28"/>
  <c r="AK412" i="28"/>
  <c r="AJ412" i="28"/>
  <c r="AI412" i="28"/>
  <c r="U412" i="28"/>
  <c r="AO411" i="28"/>
  <c r="AN411" i="28"/>
  <c r="AM411" i="28"/>
  <c r="AL411" i="28"/>
  <c r="AK411" i="28"/>
  <c r="AJ411" i="28"/>
  <c r="AI411" i="28"/>
  <c r="AA411" i="28"/>
  <c r="Z411" i="28" s="1"/>
  <c r="AO410" i="28"/>
  <c r="AN410" i="28"/>
  <c r="AM410" i="28"/>
  <c r="AL410" i="28"/>
  <c r="AK410" i="28"/>
  <c r="AJ410" i="28"/>
  <c r="AI410" i="28"/>
  <c r="U410" i="28"/>
  <c r="AO409" i="28"/>
  <c r="AN409" i="28"/>
  <c r="AM409" i="28"/>
  <c r="AL409" i="28"/>
  <c r="AK409" i="28"/>
  <c r="AJ409" i="28"/>
  <c r="AI409" i="28"/>
  <c r="U409" i="28"/>
  <c r="AO408" i="28"/>
  <c r="AN408" i="28"/>
  <c r="AM408" i="28"/>
  <c r="AL408" i="28"/>
  <c r="AK408" i="28"/>
  <c r="AJ408" i="28"/>
  <c r="AI408" i="28"/>
  <c r="U408" i="28"/>
  <c r="AO407" i="28"/>
  <c r="AN407" i="28"/>
  <c r="AM407" i="28"/>
  <c r="AL407" i="28"/>
  <c r="AK407" i="28"/>
  <c r="AJ407" i="28"/>
  <c r="AI407" i="28"/>
  <c r="U407" i="28"/>
  <c r="AO406" i="28"/>
  <c r="AN406" i="28"/>
  <c r="AM406" i="28"/>
  <c r="AL406" i="28"/>
  <c r="AK406" i="28"/>
  <c r="AJ406" i="28"/>
  <c r="AI406" i="28"/>
  <c r="U406" i="28"/>
  <c r="AO405" i="28"/>
  <c r="AN405" i="28"/>
  <c r="AM405" i="28"/>
  <c r="AL405" i="28"/>
  <c r="AK405" i="28"/>
  <c r="AJ405" i="28"/>
  <c r="AI405" i="28"/>
  <c r="U405" i="28"/>
  <c r="AO404" i="28"/>
  <c r="AN404" i="28"/>
  <c r="AM404" i="28"/>
  <c r="AL404" i="28"/>
  <c r="AK404" i="28"/>
  <c r="AJ404" i="28"/>
  <c r="AI404" i="28"/>
  <c r="U404" i="28"/>
  <c r="AO403" i="28"/>
  <c r="AN403" i="28"/>
  <c r="AM403" i="28"/>
  <c r="AL403" i="28"/>
  <c r="AK403" i="28"/>
  <c r="AJ403" i="28"/>
  <c r="AI403" i="28"/>
  <c r="U403" i="28"/>
  <c r="AO402" i="28"/>
  <c r="AN402" i="28"/>
  <c r="AM402" i="28"/>
  <c r="AL402" i="28"/>
  <c r="AK402" i="28"/>
  <c r="AJ402" i="28"/>
  <c r="AI402" i="28"/>
  <c r="U402" i="28"/>
  <c r="AA381" i="28"/>
  <c r="AA380" i="28"/>
  <c r="AO374" i="28"/>
  <c r="AN374" i="28"/>
  <c r="AM374" i="28"/>
  <c r="AL374" i="28"/>
  <c r="AK374" i="28"/>
  <c r="AJ374" i="28"/>
  <c r="AI374" i="28"/>
  <c r="U374" i="28"/>
  <c r="AO373" i="28"/>
  <c r="AN373" i="28"/>
  <c r="AM373" i="28"/>
  <c r="AL373" i="28"/>
  <c r="AK373" i="28"/>
  <c r="AJ373" i="28"/>
  <c r="AI373" i="28"/>
  <c r="U373" i="28"/>
  <c r="AO372" i="28"/>
  <c r="AN372" i="28"/>
  <c r="AM372" i="28"/>
  <c r="AL372" i="28"/>
  <c r="AK372" i="28"/>
  <c r="AJ372" i="28"/>
  <c r="AI372" i="28"/>
  <c r="AA372" i="28"/>
  <c r="Z372" i="28" s="1"/>
  <c r="AO371" i="28"/>
  <c r="AN371" i="28"/>
  <c r="AM371" i="28"/>
  <c r="AL371" i="28"/>
  <c r="AK371" i="28"/>
  <c r="AJ371" i="28"/>
  <c r="AI371" i="28"/>
  <c r="U371" i="28"/>
  <c r="AO370" i="28"/>
  <c r="AN370" i="28"/>
  <c r="AM370" i="28"/>
  <c r="AL370" i="28"/>
  <c r="AK370" i="28"/>
  <c r="AJ370" i="28"/>
  <c r="AI370" i="28"/>
  <c r="U370" i="28"/>
  <c r="AO369" i="28"/>
  <c r="AN369" i="28"/>
  <c r="AM369" i="28"/>
  <c r="AL369" i="28"/>
  <c r="AK369" i="28"/>
  <c r="AJ369" i="28"/>
  <c r="AI369" i="28"/>
  <c r="U369" i="28"/>
  <c r="AO368" i="28"/>
  <c r="AN368" i="28"/>
  <c r="AM368" i="28"/>
  <c r="AL368" i="28"/>
  <c r="AK368" i="28"/>
  <c r="AJ368" i="28"/>
  <c r="AI368" i="28"/>
  <c r="U368" i="28"/>
  <c r="AO367" i="28"/>
  <c r="AN367" i="28"/>
  <c r="AM367" i="28"/>
  <c r="AL367" i="28"/>
  <c r="AK367" i="28"/>
  <c r="AJ367" i="28"/>
  <c r="AI367" i="28"/>
  <c r="U367" i="28"/>
  <c r="AO366" i="28"/>
  <c r="AN366" i="28"/>
  <c r="AM366" i="28"/>
  <c r="AL366" i="28"/>
  <c r="AK366" i="28"/>
  <c r="AJ366" i="28"/>
  <c r="AI366" i="28"/>
  <c r="U366" i="28"/>
  <c r="AO365" i="28"/>
  <c r="AN365" i="28"/>
  <c r="AM365" i="28"/>
  <c r="AL365" i="28"/>
  <c r="AK365" i="28"/>
  <c r="AJ365" i="28"/>
  <c r="AI365" i="28"/>
  <c r="U365" i="28"/>
  <c r="AO364" i="28"/>
  <c r="AN364" i="28"/>
  <c r="AM364" i="28"/>
  <c r="AL364" i="28"/>
  <c r="AK364" i="28"/>
  <c r="AJ364" i="28"/>
  <c r="AI364" i="28"/>
  <c r="U364" i="28"/>
  <c r="AO363" i="28"/>
  <c r="AN363" i="28"/>
  <c r="AM363" i="28"/>
  <c r="AL363" i="28"/>
  <c r="AK363" i="28"/>
  <c r="AJ363" i="28"/>
  <c r="AI363" i="28"/>
  <c r="U363" i="28"/>
  <c r="AA342" i="28"/>
  <c r="AA341" i="28"/>
  <c r="AO335" i="28"/>
  <c r="AN335" i="28"/>
  <c r="AM335" i="28"/>
  <c r="AL335" i="28"/>
  <c r="AK335" i="28"/>
  <c r="AJ335" i="28"/>
  <c r="AI335" i="28"/>
  <c r="U335" i="28"/>
  <c r="AO334" i="28"/>
  <c r="AN334" i="28"/>
  <c r="AM334" i="28"/>
  <c r="AL334" i="28"/>
  <c r="AK334" i="28"/>
  <c r="AJ334" i="28"/>
  <c r="AI334" i="28"/>
  <c r="U334" i="28"/>
  <c r="AO333" i="28"/>
  <c r="AN333" i="28"/>
  <c r="AM333" i="28"/>
  <c r="AL333" i="28"/>
  <c r="AK333" i="28"/>
  <c r="AJ333" i="28"/>
  <c r="AI333" i="28"/>
  <c r="AA333" i="28"/>
  <c r="Z333" i="28" s="1"/>
  <c r="AO332" i="28"/>
  <c r="AN332" i="28"/>
  <c r="AM332" i="28"/>
  <c r="AL332" i="28"/>
  <c r="AK332" i="28"/>
  <c r="AJ332" i="28"/>
  <c r="AI332" i="28"/>
  <c r="U332" i="28"/>
  <c r="AO331" i="28"/>
  <c r="AN331" i="28"/>
  <c r="AM331" i="28"/>
  <c r="AL331" i="28"/>
  <c r="AK331" i="28"/>
  <c r="AJ331" i="28"/>
  <c r="AI331" i="28"/>
  <c r="U331" i="28"/>
  <c r="AO330" i="28"/>
  <c r="AN330" i="28"/>
  <c r="AM330" i="28"/>
  <c r="AL330" i="28"/>
  <c r="AK330" i="28"/>
  <c r="AJ330" i="28"/>
  <c r="AI330" i="28"/>
  <c r="U330" i="28"/>
  <c r="AO329" i="28"/>
  <c r="AN329" i="28"/>
  <c r="AM329" i="28"/>
  <c r="AL329" i="28"/>
  <c r="AK329" i="28"/>
  <c r="AJ329" i="28"/>
  <c r="AI329" i="28"/>
  <c r="U329" i="28"/>
  <c r="AO328" i="28"/>
  <c r="AN328" i="28"/>
  <c r="AM328" i="28"/>
  <c r="AL328" i="28"/>
  <c r="AK328" i="28"/>
  <c r="AJ328" i="28"/>
  <c r="AI328" i="28"/>
  <c r="U328" i="28"/>
  <c r="AO327" i="28"/>
  <c r="AN327" i="28"/>
  <c r="AM327" i="28"/>
  <c r="AL327" i="28"/>
  <c r="AK327" i="28"/>
  <c r="AJ327" i="28"/>
  <c r="AI327" i="28"/>
  <c r="U327" i="28"/>
  <c r="AO326" i="28"/>
  <c r="AN326" i="28"/>
  <c r="AM326" i="28"/>
  <c r="AL326" i="28"/>
  <c r="AK326" i="28"/>
  <c r="AJ326" i="28"/>
  <c r="AI326" i="28"/>
  <c r="U326" i="28"/>
  <c r="AO325" i="28"/>
  <c r="AN325" i="28"/>
  <c r="AM325" i="28"/>
  <c r="AL325" i="28"/>
  <c r="AK325" i="28"/>
  <c r="AJ325" i="28"/>
  <c r="AI325" i="28"/>
  <c r="U325" i="28"/>
  <c r="AO324" i="28"/>
  <c r="AN324" i="28"/>
  <c r="AM324" i="28"/>
  <c r="AL324" i="28"/>
  <c r="AK324" i="28"/>
  <c r="AJ324" i="28"/>
  <c r="AI324" i="28"/>
  <c r="U324" i="28"/>
  <c r="AA303" i="28"/>
  <c r="AA302" i="28"/>
  <c r="AO296" i="28"/>
  <c r="AN296" i="28"/>
  <c r="AM296" i="28"/>
  <c r="AL296" i="28"/>
  <c r="AK296" i="28"/>
  <c r="AJ296" i="28"/>
  <c r="AI296" i="28"/>
  <c r="U296" i="28"/>
  <c r="AO295" i="28"/>
  <c r="AN295" i="28"/>
  <c r="AM295" i="28"/>
  <c r="AL295" i="28"/>
  <c r="AK295" i="28"/>
  <c r="AJ295" i="28"/>
  <c r="AI295" i="28"/>
  <c r="U295" i="28"/>
  <c r="AO294" i="28"/>
  <c r="AN294" i="28"/>
  <c r="AM294" i="28"/>
  <c r="AL294" i="28"/>
  <c r="AK294" i="28"/>
  <c r="AJ294" i="28"/>
  <c r="AI294" i="28"/>
  <c r="AA294" i="28"/>
  <c r="Z294" i="28" s="1"/>
  <c r="AO293" i="28"/>
  <c r="AN293" i="28"/>
  <c r="AM293" i="28"/>
  <c r="AL293" i="28"/>
  <c r="AK293" i="28"/>
  <c r="AJ293" i="28"/>
  <c r="AI293" i="28"/>
  <c r="U293" i="28"/>
  <c r="AO292" i="28"/>
  <c r="AN292" i="28"/>
  <c r="AM292" i="28"/>
  <c r="AL292" i="28"/>
  <c r="AK292" i="28"/>
  <c r="AJ292" i="28"/>
  <c r="AI292" i="28"/>
  <c r="U292" i="28"/>
  <c r="AO291" i="28"/>
  <c r="AN291" i="28"/>
  <c r="AM291" i="28"/>
  <c r="AL291" i="28"/>
  <c r="AK291" i="28"/>
  <c r="AJ291" i="28"/>
  <c r="AI291" i="28"/>
  <c r="U291" i="28"/>
  <c r="AO290" i="28"/>
  <c r="AN290" i="28"/>
  <c r="AM290" i="28"/>
  <c r="AL290" i="28"/>
  <c r="AK290" i="28"/>
  <c r="AJ290" i="28"/>
  <c r="AI290" i="28"/>
  <c r="U290" i="28"/>
  <c r="AO289" i="28"/>
  <c r="AN289" i="28"/>
  <c r="AM289" i="28"/>
  <c r="AL289" i="28"/>
  <c r="AK289" i="28"/>
  <c r="AJ289" i="28"/>
  <c r="AI289" i="28"/>
  <c r="U289" i="28"/>
  <c r="AO288" i="28"/>
  <c r="AN288" i="28"/>
  <c r="AM288" i="28"/>
  <c r="AL288" i="28"/>
  <c r="AK288" i="28"/>
  <c r="AJ288" i="28"/>
  <c r="AI288" i="28"/>
  <c r="U288" i="28"/>
  <c r="AO287" i="28"/>
  <c r="AN287" i="28"/>
  <c r="AM287" i="28"/>
  <c r="AL287" i="28"/>
  <c r="AK287" i="28"/>
  <c r="AJ287" i="28"/>
  <c r="AI287" i="28"/>
  <c r="U287" i="28"/>
  <c r="AO286" i="28"/>
  <c r="AN286" i="28"/>
  <c r="AM286" i="28"/>
  <c r="AL286" i="28"/>
  <c r="AK286" i="28"/>
  <c r="AJ286" i="28"/>
  <c r="AI286" i="28"/>
  <c r="U286" i="28"/>
  <c r="AO285" i="28"/>
  <c r="AN285" i="28"/>
  <c r="AM285" i="28"/>
  <c r="AL285" i="28"/>
  <c r="AK285" i="28"/>
  <c r="AJ285" i="28"/>
  <c r="AI285" i="28"/>
  <c r="U285" i="28"/>
  <c r="AA264" i="28"/>
  <c r="AA263" i="28"/>
  <c r="AO257" i="28"/>
  <c r="AN257" i="28"/>
  <c r="AM257" i="28"/>
  <c r="AL257" i="28"/>
  <c r="AK257" i="28"/>
  <c r="AJ257" i="28"/>
  <c r="AI257" i="28"/>
  <c r="U257" i="28"/>
  <c r="AO256" i="28"/>
  <c r="AN256" i="28"/>
  <c r="AM256" i="28"/>
  <c r="AL256" i="28"/>
  <c r="AK256" i="28"/>
  <c r="AJ256" i="28"/>
  <c r="AI256" i="28"/>
  <c r="U256" i="28"/>
  <c r="AO255" i="28"/>
  <c r="AN255" i="28"/>
  <c r="AM255" i="28"/>
  <c r="AL255" i="28"/>
  <c r="AK255" i="28"/>
  <c r="AJ255" i="28"/>
  <c r="AI255" i="28"/>
  <c r="AA255" i="28"/>
  <c r="Z255" i="28" s="1"/>
  <c r="AO254" i="28"/>
  <c r="AN254" i="28"/>
  <c r="AM254" i="28"/>
  <c r="AL254" i="28"/>
  <c r="AK254" i="28"/>
  <c r="AJ254" i="28"/>
  <c r="AI254" i="28"/>
  <c r="U254" i="28"/>
  <c r="AO253" i="28"/>
  <c r="AN253" i="28"/>
  <c r="AM253" i="28"/>
  <c r="AL253" i="28"/>
  <c r="AK253" i="28"/>
  <c r="AJ253" i="28"/>
  <c r="AI253" i="28"/>
  <c r="U253" i="28"/>
  <c r="AO252" i="28"/>
  <c r="AN252" i="28"/>
  <c r="AM252" i="28"/>
  <c r="AL252" i="28"/>
  <c r="AK252" i="28"/>
  <c r="AJ252" i="28"/>
  <c r="AI252" i="28"/>
  <c r="U252" i="28"/>
  <c r="AO251" i="28"/>
  <c r="AN251" i="28"/>
  <c r="AM251" i="28"/>
  <c r="AL251" i="28"/>
  <c r="AK251" i="28"/>
  <c r="AJ251" i="28"/>
  <c r="AI251" i="28"/>
  <c r="U251" i="28"/>
  <c r="AO250" i="28"/>
  <c r="AN250" i="28"/>
  <c r="AM250" i="28"/>
  <c r="AL250" i="28"/>
  <c r="AK250" i="28"/>
  <c r="AJ250" i="28"/>
  <c r="AI250" i="28"/>
  <c r="U250" i="28"/>
  <c r="AO249" i="28"/>
  <c r="AN249" i="28"/>
  <c r="AM249" i="28"/>
  <c r="AL249" i="28"/>
  <c r="AK249" i="28"/>
  <c r="AJ249" i="28"/>
  <c r="AI249" i="28"/>
  <c r="U249" i="28"/>
  <c r="AO248" i="28"/>
  <c r="AN248" i="28"/>
  <c r="AM248" i="28"/>
  <c r="AL248" i="28"/>
  <c r="AK248" i="28"/>
  <c r="AJ248" i="28"/>
  <c r="AI248" i="28"/>
  <c r="U248" i="28"/>
  <c r="AO247" i="28"/>
  <c r="AN247" i="28"/>
  <c r="AM247" i="28"/>
  <c r="AL247" i="28"/>
  <c r="AK247" i="28"/>
  <c r="AJ247" i="28"/>
  <c r="AI247" i="28"/>
  <c r="U247" i="28"/>
  <c r="AO246" i="28"/>
  <c r="AN246" i="28"/>
  <c r="AM246" i="28"/>
  <c r="AL246" i="28"/>
  <c r="AK246" i="28"/>
  <c r="AJ246" i="28"/>
  <c r="AI246" i="28"/>
  <c r="U246" i="28"/>
  <c r="AA225" i="28"/>
  <c r="AA224" i="28"/>
  <c r="AO218" i="28"/>
  <c r="AN218" i="28"/>
  <c r="AM218" i="28"/>
  <c r="AL218" i="28"/>
  <c r="AK218" i="28"/>
  <c r="AJ218" i="28"/>
  <c r="AI218" i="28"/>
  <c r="U218" i="28"/>
  <c r="AO217" i="28"/>
  <c r="AN217" i="28"/>
  <c r="AM217" i="28"/>
  <c r="AL217" i="28"/>
  <c r="AK217" i="28"/>
  <c r="AJ217" i="28"/>
  <c r="AI217" i="28"/>
  <c r="U217" i="28"/>
  <c r="AO216" i="28"/>
  <c r="AN216" i="28"/>
  <c r="AM216" i="28"/>
  <c r="AL216" i="28"/>
  <c r="AK216" i="28"/>
  <c r="AJ216" i="28"/>
  <c r="AI216" i="28"/>
  <c r="AA216" i="28"/>
  <c r="Z216" i="28" s="1"/>
  <c r="AO215" i="28"/>
  <c r="AN215" i="28"/>
  <c r="AM215" i="28"/>
  <c r="AL215" i="28"/>
  <c r="AK215" i="28"/>
  <c r="AJ215" i="28"/>
  <c r="AI215" i="28"/>
  <c r="U215" i="28"/>
  <c r="AO214" i="28"/>
  <c r="AN214" i="28"/>
  <c r="AM214" i="28"/>
  <c r="AL214" i="28"/>
  <c r="AK214" i="28"/>
  <c r="AJ214" i="28"/>
  <c r="AI214" i="28"/>
  <c r="U214" i="28"/>
  <c r="AO213" i="28"/>
  <c r="AN213" i="28"/>
  <c r="AM213" i="28"/>
  <c r="AL213" i="28"/>
  <c r="AK213" i="28"/>
  <c r="AJ213" i="28"/>
  <c r="AI213" i="28"/>
  <c r="U213" i="28"/>
  <c r="AO212" i="28"/>
  <c r="AN212" i="28"/>
  <c r="AM212" i="28"/>
  <c r="AL212" i="28"/>
  <c r="AK212" i="28"/>
  <c r="AJ212" i="28"/>
  <c r="AI212" i="28"/>
  <c r="U212" i="28"/>
  <c r="AO211" i="28"/>
  <c r="AN211" i="28"/>
  <c r="AM211" i="28"/>
  <c r="AL211" i="28"/>
  <c r="AK211" i="28"/>
  <c r="AJ211" i="28"/>
  <c r="AI211" i="28"/>
  <c r="U211" i="28"/>
  <c r="AO210" i="28"/>
  <c r="AN210" i="28"/>
  <c r="AM210" i="28"/>
  <c r="AL210" i="28"/>
  <c r="AK210" i="28"/>
  <c r="AJ210" i="28"/>
  <c r="AI210" i="28"/>
  <c r="U210" i="28"/>
  <c r="AO209" i="28"/>
  <c r="AN209" i="28"/>
  <c r="AM209" i="28"/>
  <c r="AL209" i="28"/>
  <c r="AK209" i="28"/>
  <c r="AJ209" i="28"/>
  <c r="AI209" i="28"/>
  <c r="U209" i="28"/>
  <c r="AO208" i="28"/>
  <c r="AN208" i="28"/>
  <c r="AM208" i="28"/>
  <c r="AL208" i="28"/>
  <c r="AK208" i="28"/>
  <c r="AJ208" i="28"/>
  <c r="AI208" i="28"/>
  <c r="U208" i="28"/>
  <c r="AO207" i="28"/>
  <c r="AN207" i="28"/>
  <c r="AM207" i="28"/>
  <c r="AL207" i="28"/>
  <c r="AK207" i="28"/>
  <c r="AJ207" i="28"/>
  <c r="AI207" i="28"/>
  <c r="U207" i="28"/>
  <c r="AA186" i="28"/>
  <c r="AA185" i="28"/>
  <c r="AO179" i="28"/>
  <c r="AN179" i="28"/>
  <c r="AM179" i="28"/>
  <c r="AL179" i="28"/>
  <c r="AK179" i="28"/>
  <c r="AJ179" i="28"/>
  <c r="AI179" i="28"/>
  <c r="U179" i="28"/>
  <c r="AO178" i="28"/>
  <c r="AN178" i="28"/>
  <c r="AM178" i="28"/>
  <c r="AL178" i="28"/>
  <c r="AK178" i="28"/>
  <c r="AJ178" i="28"/>
  <c r="AI178" i="28"/>
  <c r="U178" i="28"/>
  <c r="AO177" i="28"/>
  <c r="AN177" i="28"/>
  <c r="AM177" i="28"/>
  <c r="AL177" i="28"/>
  <c r="AK177" i="28"/>
  <c r="AJ177" i="28"/>
  <c r="AI177" i="28"/>
  <c r="AA177" i="28"/>
  <c r="Z177" i="28" s="1"/>
  <c r="AO176" i="28"/>
  <c r="AN176" i="28"/>
  <c r="AM176" i="28"/>
  <c r="AL176" i="28"/>
  <c r="AK176" i="28"/>
  <c r="AJ176" i="28"/>
  <c r="AI176" i="28"/>
  <c r="U176" i="28"/>
  <c r="AO175" i="28"/>
  <c r="AN175" i="28"/>
  <c r="AM175" i="28"/>
  <c r="AL175" i="28"/>
  <c r="AK175" i="28"/>
  <c r="AJ175" i="28"/>
  <c r="AI175" i="28"/>
  <c r="U175" i="28"/>
  <c r="AO174" i="28"/>
  <c r="AN174" i="28"/>
  <c r="AM174" i="28"/>
  <c r="AL174" i="28"/>
  <c r="AK174" i="28"/>
  <c r="AJ174" i="28"/>
  <c r="AI174" i="28"/>
  <c r="U174" i="28"/>
  <c r="AO173" i="28"/>
  <c r="AN173" i="28"/>
  <c r="AM173" i="28"/>
  <c r="AL173" i="28"/>
  <c r="AK173" i="28"/>
  <c r="AJ173" i="28"/>
  <c r="AI173" i="28"/>
  <c r="U173" i="28"/>
  <c r="AO172" i="28"/>
  <c r="AN172" i="28"/>
  <c r="AM172" i="28"/>
  <c r="AL172" i="28"/>
  <c r="AK172" i="28"/>
  <c r="AJ172" i="28"/>
  <c r="AI172" i="28"/>
  <c r="U172" i="28"/>
  <c r="AO171" i="28"/>
  <c r="AN171" i="28"/>
  <c r="AM171" i="28"/>
  <c r="AL171" i="28"/>
  <c r="AK171" i="28"/>
  <c r="AJ171" i="28"/>
  <c r="AI171" i="28"/>
  <c r="U171" i="28"/>
  <c r="AO170" i="28"/>
  <c r="AN170" i="28"/>
  <c r="AM170" i="28"/>
  <c r="AL170" i="28"/>
  <c r="AK170" i="28"/>
  <c r="AJ170" i="28"/>
  <c r="AI170" i="28"/>
  <c r="U170" i="28"/>
  <c r="AO169" i="28"/>
  <c r="AN169" i="28"/>
  <c r="AM169" i="28"/>
  <c r="AL169" i="28"/>
  <c r="AK169" i="28"/>
  <c r="AJ169" i="28"/>
  <c r="AI169" i="28"/>
  <c r="U169" i="28"/>
  <c r="AO168" i="28"/>
  <c r="AN168" i="28"/>
  <c r="AM168" i="28"/>
  <c r="AL168" i="28"/>
  <c r="AK168" i="28"/>
  <c r="AJ168" i="28"/>
  <c r="AI168" i="28"/>
  <c r="U168" i="28"/>
  <c r="AA147" i="28"/>
  <c r="AA146" i="28"/>
  <c r="AO140" i="28"/>
  <c r="AN140" i="28"/>
  <c r="AM140" i="28"/>
  <c r="AL140" i="28"/>
  <c r="AK140" i="28"/>
  <c r="AJ140" i="28"/>
  <c r="AI140" i="28"/>
  <c r="U140" i="28"/>
  <c r="AO139" i="28"/>
  <c r="AN139" i="28"/>
  <c r="AM139" i="28"/>
  <c r="AL139" i="28"/>
  <c r="AK139" i="28"/>
  <c r="AJ139" i="28"/>
  <c r="AI139" i="28"/>
  <c r="U139" i="28"/>
  <c r="AO138" i="28"/>
  <c r="AN138" i="28"/>
  <c r="AM138" i="28"/>
  <c r="AL138" i="28"/>
  <c r="AK138" i="28"/>
  <c r="AJ138" i="28"/>
  <c r="AI138" i="28"/>
  <c r="AA138" i="28"/>
  <c r="Z138" i="28" s="1"/>
  <c r="AO137" i="28"/>
  <c r="AN137" i="28"/>
  <c r="AM137" i="28"/>
  <c r="AL137" i="28"/>
  <c r="AK137" i="28"/>
  <c r="AJ137" i="28"/>
  <c r="AI137" i="28"/>
  <c r="U137" i="28"/>
  <c r="AO136" i="28"/>
  <c r="AN136" i="28"/>
  <c r="AM136" i="28"/>
  <c r="AL136" i="28"/>
  <c r="AK136" i="28"/>
  <c r="AJ136" i="28"/>
  <c r="AI136" i="28"/>
  <c r="U136" i="28"/>
  <c r="AO135" i="28"/>
  <c r="AN135" i="28"/>
  <c r="AM135" i="28"/>
  <c r="AL135" i="28"/>
  <c r="AK135" i="28"/>
  <c r="AJ135" i="28"/>
  <c r="AI135" i="28"/>
  <c r="U135" i="28"/>
  <c r="AO134" i="28"/>
  <c r="AN134" i="28"/>
  <c r="AM134" i="28"/>
  <c r="AL134" i="28"/>
  <c r="AK134" i="28"/>
  <c r="AJ134" i="28"/>
  <c r="AI134" i="28"/>
  <c r="U134" i="28"/>
  <c r="AO133" i="28"/>
  <c r="AN133" i="28"/>
  <c r="AM133" i="28"/>
  <c r="AL133" i="28"/>
  <c r="AK133" i="28"/>
  <c r="AJ133" i="28"/>
  <c r="AI133" i="28"/>
  <c r="U133" i="28"/>
  <c r="AO132" i="28"/>
  <c r="AN132" i="28"/>
  <c r="AM132" i="28"/>
  <c r="AL132" i="28"/>
  <c r="AK132" i="28"/>
  <c r="AJ132" i="28"/>
  <c r="AI132" i="28"/>
  <c r="U132" i="28"/>
  <c r="AO131" i="28"/>
  <c r="AN131" i="28"/>
  <c r="AM131" i="28"/>
  <c r="AL131" i="28"/>
  <c r="AK131" i="28"/>
  <c r="AJ131" i="28"/>
  <c r="AI131" i="28"/>
  <c r="U131" i="28"/>
  <c r="AO130" i="28"/>
  <c r="AN130" i="28"/>
  <c r="AM130" i="28"/>
  <c r="AL130" i="28"/>
  <c r="AK130" i="28"/>
  <c r="AJ130" i="28"/>
  <c r="AI130" i="28"/>
  <c r="U130" i="28"/>
  <c r="AO129" i="28"/>
  <c r="AN129" i="28"/>
  <c r="AM129" i="28"/>
  <c r="AL129" i="28"/>
  <c r="AK129" i="28"/>
  <c r="AJ129" i="28"/>
  <c r="AI129" i="28"/>
  <c r="U129" i="28"/>
  <c r="AA108" i="28"/>
  <c r="AA107" i="28"/>
  <c r="A103" i="28"/>
  <c r="AO101" i="28"/>
  <c r="AN101" i="28"/>
  <c r="AM101" i="28"/>
  <c r="AL101" i="28"/>
  <c r="AK101" i="28"/>
  <c r="AJ101" i="28"/>
  <c r="AI101" i="28"/>
  <c r="U101" i="28"/>
  <c r="AO100" i="28"/>
  <c r="AN100" i="28"/>
  <c r="AM100" i="28"/>
  <c r="AL100" i="28"/>
  <c r="AK100" i="28"/>
  <c r="AJ100" i="28"/>
  <c r="AI100" i="28"/>
  <c r="U100" i="28"/>
  <c r="AO99" i="28"/>
  <c r="AN99" i="28"/>
  <c r="AM99" i="28"/>
  <c r="AL99" i="28"/>
  <c r="AK99" i="28"/>
  <c r="AJ99" i="28"/>
  <c r="AI99" i="28"/>
  <c r="AA99" i="28"/>
  <c r="Z99" i="28" s="1"/>
  <c r="AO98" i="28"/>
  <c r="AN98" i="28"/>
  <c r="AM98" i="28"/>
  <c r="AL98" i="28"/>
  <c r="AK98" i="28"/>
  <c r="AJ98" i="28"/>
  <c r="AI98" i="28"/>
  <c r="U98" i="28"/>
  <c r="AO97" i="28"/>
  <c r="AN97" i="28"/>
  <c r="AM97" i="28"/>
  <c r="AL97" i="28"/>
  <c r="AK97" i="28"/>
  <c r="AJ97" i="28"/>
  <c r="AI97" i="28"/>
  <c r="U97" i="28"/>
  <c r="AO96" i="28"/>
  <c r="AN96" i="28"/>
  <c r="AM96" i="28"/>
  <c r="AL96" i="28"/>
  <c r="AK96" i="28"/>
  <c r="AJ96" i="28"/>
  <c r="AI96" i="28"/>
  <c r="U96" i="28"/>
  <c r="AO95" i="28"/>
  <c r="AN95" i="28"/>
  <c r="AM95" i="28"/>
  <c r="AL95" i="28"/>
  <c r="AK95" i="28"/>
  <c r="AJ95" i="28"/>
  <c r="AI95" i="28"/>
  <c r="U95" i="28"/>
  <c r="AO94" i="28"/>
  <c r="AN94" i="28"/>
  <c r="AM94" i="28"/>
  <c r="AL94" i="28"/>
  <c r="AK94" i="28"/>
  <c r="AJ94" i="28"/>
  <c r="AI94" i="28"/>
  <c r="U94" i="28"/>
  <c r="AO93" i="28"/>
  <c r="AN93" i="28"/>
  <c r="AM93" i="28"/>
  <c r="AL93" i="28"/>
  <c r="AK93" i="28"/>
  <c r="AJ93" i="28"/>
  <c r="AI93" i="28"/>
  <c r="U93" i="28"/>
  <c r="AO92" i="28"/>
  <c r="AN92" i="28"/>
  <c r="AM92" i="28"/>
  <c r="AL92" i="28"/>
  <c r="AK92" i="28"/>
  <c r="AJ92" i="28"/>
  <c r="AI92" i="28"/>
  <c r="U92" i="28"/>
  <c r="AO91" i="28"/>
  <c r="AN91" i="28"/>
  <c r="AM91" i="28"/>
  <c r="AL91" i="28"/>
  <c r="AK91" i="28"/>
  <c r="AJ91" i="28"/>
  <c r="AI91" i="28"/>
  <c r="U91" i="28"/>
  <c r="AO90" i="28"/>
  <c r="AN90" i="28"/>
  <c r="AM90" i="28"/>
  <c r="AL90" i="28"/>
  <c r="AK90" i="28"/>
  <c r="AJ90" i="28"/>
  <c r="AI90" i="28"/>
  <c r="U90" i="28"/>
  <c r="AA69" i="28"/>
  <c r="AA68" i="28"/>
  <c r="AO62" i="28"/>
  <c r="AN62" i="28"/>
  <c r="AM62" i="28"/>
  <c r="AL62" i="28"/>
  <c r="AK62" i="28"/>
  <c r="AJ62" i="28"/>
  <c r="AI62" i="28"/>
  <c r="U62" i="28"/>
  <c r="AO61" i="28"/>
  <c r="AN61" i="28"/>
  <c r="AM61" i="28"/>
  <c r="AL61" i="28"/>
  <c r="AK61" i="28"/>
  <c r="AJ61" i="28"/>
  <c r="AI61" i="28"/>
  <c r="U61" i="28"/>
  <c r="E61" i="28"/>
  <c r="E100" i="28" s="1"/>
  <c r="E139" i="28" s="1"/>
  <c r="E178" i="28" s="1"/>
  <c r="E217" i="28" s="1"/>
  <c r="E256" i="28" s="1"/>
  <c r="E295" i="28" s="1"/>
  <c r="E334" i="28" s="1"/>
  <c r="E373" i="28" s="1"/>
  <c r="E412" i="28" s="1"/>
  <c r="E451" i="28" s="1"/>
  <c r="E490" i="28" s="1"/>
  <c r="E529" i="28" s="1"/>
  <c r="E576" i="28" s="1"/>
  <c r="E623" i="28" s="1"/>
  <c r="E670" i="28" s="1"/>
  <c r="E717" i="28" s="1"/>
  <c r="E764" i="28" s="1"/>
  <c r="E811" i="28" s="1"/>
  <c r="C61" i="28"/>
  <c r="C100" i="28" s="1"/>
  <c r="C139" i="28" s="1"/>
  <c r="C178" i="28" s="1"/>
  <c r="C217" i="28" s="1"/>
  <c r="C256" i="28" s="1"/>
  <c r="C295" i="28" s="1"/>
  <c r="C334" i="28" s="1"/>
  <c r="C373" i="28" s="1"/>
  <c r="C412" i="28" s="1"/>
  <c r="C451" i="28" s="1"/>
  <c r="C490" i="28" s="1"/>
  <c r="C529" i="28" s="1"/>
  <c r="C576" i="28" s="1"/>
  <c r="C623" i="28" s="1"/>
  <c r="C670" i="28" s="1"/>
  <c r="C717" i="28" s="1"/>
  <c r="C764" i="28" s="1"/>
  <c r="C811" i="28" s="1"/>
  <c r="AO60" i="28"/>
  <c r="AN60" i="28"/>
  <c r="AM60" i="28"/>
  <c r="AL60" i="28"/>
  <c r="AK60" i="28"/>
  <c r="AJ60" i="28"/>
  <c r="AI60" i="28"/>
  <c r="AA60" i="28"/>
  <c r="AB60" i="28" s="1"/>
  <c r="E60" i="28"/>
  <c r="E99" i="28" s="1"/>
  <c r="E138" i="28" s="1"/>
  <c r="E177" i="28" s="1"/>
  <c r="E216" i="28" s="1"/>
  <c r="E255" i="28" s="1"/>
  <c r="E294" i="28" s="1"/>
  <c r="E333" i="28" s="1"/>
  <c r="E372" i="28" s="1"/>
  <c r="E411" i="28" s="1"/>
  <c r="E450" i="28" s="1"/>
  <c r="E489" i="28" s="1"/>
  <c r="E528" i="28" s="1"/>
  <c r="E575" i="28" s="1"/>
  <c r="E622" i="28" s="1"/>
  <c r="E669" i="28" s="1"/>
  <c r="E716" i="28" s="1"/>
  <c r="E763" i="28" s="1"/>
  <c r="E810" i="28" s="1"/>
  <c r="C60" i="28"/>
  <c r="C99" i="28" s="1"/>
  <c r="C138" i="28" s="1"/>
  <c r="C177" i="28" s="1"/>
  <c r="C216" i="28" s="1"/>
  <c r="C255" i="28" s="1"/>
  <c r="C294" i="28" s="1"/>
  <c r="C333" i="28" s="1"/>
  <c r="C372" i="28" s="1"/>
  <c r="C411" i="28" s="1"/>
  <c r="C450" i="28" s="1"/>
  <c r="C489" i="28" s="1"/>
  <c r="C528" i="28" s="1"/>
  <c r="C575" i="28" s="1"/>
  <c r="C622" i="28" s="1"/>
  <c r="C669" i="28" s="1"/>
  <c r="C716" i="28" s="1"/>
  <c r="C763" i="28" s="1"/>
  <c r="C810" i="28" s="1"/>
  <c r="AO59" i="28"/>
  <c r="AN59" i="28"/>
  <c r="AM59" i="28"/>
  <c r="AL59" i="28"/>
  <c r="AK59" i="28"/>
  <c r="AJ59" i="28"/>
  <c r="AI59" i="28"/>
  <c r="Y59" i="28"/>
  <c r="W59" i="28"/>
  <c r="V59" i="28" s="1"/>
  <c r="U59" i="28"/>
  <c r="E59" i="28"/>
  <c r="E98" i="28" s="1"/>
  <c r="E137" i="28" s="1"/>
  <c r="E176" i="28" s="1"/>
  <c r="E215" i="28" s="1"/>
  <c r="E254" i="28" s="1"/>
  <c r="E293" i="28" s="1"/>
  <c r="E332" i="28" s="1"/>
  <c r="E371" i="28" s="1"/>
  <c r="E410" i="28" s="1"/>
  <c r="E449" i="28" s="1"/>
  <c r="E488" i="28" s="1"/>
  <c r="E527" i="28" s="1"/>
  <c r="E574" i="28" s="1"/>
  <c r="E621" i="28" s="1"/>
  <c r="E668" i="28" s="1"/>
  <c r="E715" i="28" s="1"/>
  <c r="E762" i="28" s="1"/>
  <c r="E809" i="28" s="1"/>
  <c r="C59" i="28"/>
  <c r="C98" i="28" s="1"/>
  <c r="C137" i="28" s="1"/>
  <c r="C176" i="28" s="1"/>
  <c r="C215" i="28" s="1"/>
  <c r="C254" i="28" s="1"/>
  <c r="C293" i="28" s="1"/>
  <c r="C332" i="28" s="1"/>
  <c r="C371" i="28" s="1"/>
  <c r="C410" i="28" s="1"/>
  <c r="C449" i="28" s="1"/>
  <c r="C488" i="28" s="1"/>
  <c r="C527" i="28" s="1"/>
  <c r="C574" i="28" s="1"/>
  <c r="C621" i="28" s="1"/>
  <c r="C668" i="28" s="1"/>
  <c r="C715" i="28" s="1"/>
  <c r="C762" i="28" s="1"/>
  <c r="C809" i="28" s="1"/>
  <c r="AO58" i="28"/>
  <c r="AN58" i="28"/>
  <c r="AM58" i="28"/>
  <c r="AL58" i="28"/>
  <c r="AK58" i="28"/>
  <c r="AJ58" i="28"/>
  <c r="AI58" i="28"/>
  <c r="U58" i="28"/>
  <c r="E58" i="28"/>
  <c r="E97" i="28" s="1"/>
  <c r="E136" i="28" s="1"/>
  <c r="E175" i="28" s="1"/>
  <c r="E214" i="28" s="1"/>
  <c r="E253" i="28" s="1"/>
  <c r="E292" i="28" s="1"/>
  <c r="E331" i="28" s="1"/>
  <c r="E370" i="28" s="1"/>
  <c r="E409" i="28" s="1"/>
  <c r="E448" i="28" s="1"/>
  <c r="E487" i="28" s="1"/>
  <c r="E526" i="28" s="1"/>
  <c r="E573" i="28" s="1"/>
  <c r="E620" i="28" s="1"/>
  <c r="E667" i="28" s="1"/>
  <c r="E714" i="28" s="1"/>
  <c r="E761" i="28" s="1"/>
  <c r="E808" i="28" s="1"/>
  <c r="C58" i="28"/>
  <c r="C97" i="28" s="1"/>
  <c r="C136" i="28" s="1"/>
  <c r="C175" i="28" s="1"/>
  <c r="C214" i="28" s="1"/>
  <c r="C253" i="28" s="1"/>
  <c r="C292" i="28" s="1"/>
  <c r="C331" i="28" s="1"/>
  <c r="C370" i="28" s="1"/>
  <c r="C409" i="28" s="1"/>
  <c r="C448" i="28" s="1"/>
  <c r="C487" i="28" s="1"/>
  <c r="C526" i="28" s="1"/>
  <c r="C573" i="28" s="1"/>
  <c r="C620" i="28" s="1"/>
  <c r="C667" i="28" s="1"/>
  <c r="C714" i="28" s="1"/>
  <c r="C761" i="28" s="1"/>
  <c r="C808" i="28" s="1"/>
  <c r="AO57" i="28"/>
  <c r="AN57" i="28"/>
  <c r="AM57" i="28"/>
  <c r="AL57" i="28"/>
  <c r="AK57" i="28"/>
  <c r="AJ57" i="28"/>
  <c r="AI57" i="28"/>
  <c r="U57" i="28"/>
  <c r="E57" i="28"/>
  <c r="E96" i="28" s="1"/>
  <c r="E135" i="28" s="1"/>
  <c r="E174" i="28" s="1"/>
  <c r="E213" i="28" s="1"/>
  <c r="E252" i="28" s="1"/>
  <c r="E291" i="28" s="1"/>
  <c r="E330" i="28" s="1"/>
  <c r="E369" i="28" s="1"/>
  <c r="E408" i="28" s="1"/>
  <c r="E447" i="28" s="1"/>
  <c r="E486" i="28" s="1"/>
  <c r="E525" i="28" s="1"/>
  <c r="E572" i="28" s="1"/>
  <c r="E619" i="28" s="1"/>
  <c r="E666" i="28" s="1"/>
  <c r="E713" i="28" s="1"/>
  <c r="E760" i="28" s="1"/>
  <c r="E807" i="28" s="1"/>
  <c r="C57" i="28"/>
  <c r="C96" i="28" s="1"/>
  <c r="C135" i="28" s="1"/>
  <c r="C174" i="28" s="1"/>
  <c r="C213" i="28" s="1"/>
  <c r="C252" i="28" s="1"/>
  <c r="C291" i="28" s="1"/>
  <c r="C330" i="28" s="1"/>
  <c r="C369" i="28" s="1"/>
  <c r="C408" i="28" s="1"/>
  <c r="C447" i="28" s="1"/>
  <c r="C486" i="28" s="1"/>
  <c r="C525" i="28" s="1"/>
  <c r="C572" i="28" s="1"/>
  <c r="C619" i="28" s="1"/>
  <c r="C666" i="28" s="1"/>
  <c r="C713" i="28" s="1"/>
  <c r="C760" i="28" s="1"/>
  <c r="C807" i="28" s="1"/>
  <c r="AO56" i="28"/>
  <c r="AN56" i="28"/>
  <c r="AM56" i="28"/>
  <c r="AL56" i="28"/>
  <c r="AK56" i="28"/>
  <c r="AJ56" i="28"/>
  <c r="AI56" i="28"/>
  <c r="U56" i="28"/>
  <c r="E56" i="28"/>
  <c r="E95" i="28" s="1"/>
  <c r="E134" i="28" s="1"/>
  <c r="E173" i="28" s="1"/>
  <c r="E212" i="28" s="1"/>
  <c r="E251" i="28" s="1"/>
  <c r="E290" i="28" s="1"/>
  <c r="E329" i="28" s="1"/>
  <c r="E368" i="28" s="1"/>
  <c r="E407" i="28" s="1"/>
  <c r="E446" i="28" s="1"/>
  <c r="E485" i="28" s="1"/>
  <c r="E524" i="28" s="1"/>
  <c r="E571" i="28" s="1"/>
  <c r="E618" i="28" s="1"/>
  <c r="E665" i="28" s="1"/>
  <c r="E712" i="28" s="1"/>
  <c r="E759" i="28" s="1"/>
  <c r="E806" i="28" s="1"/>
  <c r="C56" i="28"/>
  <c r="C95" i="28" s="1"/>
  <c r="C134" i="28" s="1"/>
  <c r="C173" i="28" s="1"/>
  <c r="C212" i="28" s="1"/>
  <c r="C251" i="28" s="1"/>
  <c r="C290" i="28" s="1"/>
  <c r="C329" i="28" s="1"/>
  <c r="C368" i="28" s="1"/>
  <c r="C407" i="28" s="1"/>
  <c r="C446" i="28" s="1"/>
  <c r="C485" i="28" s="1"/>
  <c r="C524" i="28" s="1"/>
  <c r="C571" i="28" s="1"/>
  <c r="C618" i="28" s="1"/>
  <c r="C665" i="28" s="1"/>
  <c r="C712" i="28" s="1"/>
  <c r="C759" i="28" s="1"/>
  <c r="C806" i="28" s="1"/>
  <c r="AO55" i="28"/>
  <c r="AN55" i="28"/>
  <c r="AM55" i="28"/>
  <c r="AL55" i="28"/>
  <c r="AK55" i="28"/>
  <c r="AJ55" i="28"/>
  <c r="AI55" i="28"/>
  <c r="Y55" i="28"/>
  <c r="W55" i="28"/>
  <c r="U55" i="28"/>
  <c r="E55" i="28"/>
  <c r="E94" i="28" s="1"/>
  <c r="E133" i="28" s="1"/>
  <c r="E172" i="28" s="1"/>
  <c r="E211" i="28" s="1"/>
  <c r="E250" i="28" s="1"/>
  <c r="E289" i="28" s="1"/>
  <c r="E328" i="28" s="1"/>
  <c r="E367" i="28" s="1"/>
  <c r="E406" i="28" s="1"/>
  <c r="E445" i="28" s="1"/>
  <c r="E484" i="28" s="1"/>
  <c r="E523" i="28" s="1"/>
  <c r="E570" i="28" s="1"/>
  <c r="E617" i="28" s="1"/>
  <c r="E664" i="28" s="1"/>
  <c r="E711" i="28" s="1"/>
  <c r="E758" i="28" s="1"/>
  <c r="E805" i="28" s="1"/>
  <c r="C55" i="28"/>
  <c r="C94" i="28" s="1"/>
  <c r="C133" i="28" s="1"/>
  <c r="C172" i="28" s="1"/>
  <c r="C211" i="28" s="1"/>
  <c r="C250" i="28" s="1"/>
  <c r="C289" i="28" s="1"/>
  <c r="C328" i="28" s="1"/>
  <c r="C367" i="28" s="1"/>
  <c r="C406" i="28" s="1"/>
  <c r="C445" i="28" s="1"/>
  <c r="C484" i="28" s="1"/>
  <c r="C523" i="28" s="1"/>
  <c r="C570" i="28" s="1"/>
  <c r="C617" i="28" s="1"/>
  <c r="C664" i="28" s="1"/>
  <c r="C711" i="28" s="1"/>
  <c r="C758" i="28" s="1"/>
  <c r="C805" i="28" s="1"/>
  <c r="AO54" i="28"/>
  <c r="AN54" i="28"/>
  <c r="AM54" i="28"/>
  <c r="AL54" i="28"/>
  <c r="AK54" i="28"/>
  <c r="AJ54" i="28"/>
  <c r="AI54" i="28"/>
  <c r="U54" i="28"/>
  <c r="E54" i="28"/>
  <c r="E93" i="28" s="1"/>
  <c r="E132" i="28" s="1"/>
  <c r="E171" i="28" s="1"/>
  <c r="E210" i="28" s="1"/>
  <c r="E249" i="28" s="1"/>
  <c r="E288" i="28" s="1"/>
  <c r="E327" i="28" s="1"/>
  <c r="E366" i="28" s="1"/>
  <c r="E405" i="28" s="1"/>
  <c r="E444" i="28" s="1"/>
  <c r="E483" i="28" s="1"/>
  <c r="E522" i="28" s="1"/>
  <c r="E569" i="28" s="1"/>
  <c r="E616" i="28" s="1"/>
  <c r="E663" i="28" s="1"/>
  <c r="E710" i="28" s="1"/>
  <c r="E757" i="28" s="1"/>
  <c r="E804" i="28" s="1"/>
  <c r="C54" i="28"/>
  <c r="C93" i="28" s="1"/>
  <c r="C132" i="28" s="1"/>
  <c r="C171" i="28" s="1"/>
  <c r="C210" i="28" s="1"/>
  <c r="C249" i="28" s="1"/>
  <c r="C288" i="28" s="1"/>
  <c r="C327" i="28" s="1"/>
  <c r="C366" i="28" s="1"/>
  <c r="C405" i="28" s="1"/>
  <c r="C444" i="28" s="1"/>
  <c r="C483" i="28" s="1"/>
  <c r="C522" i="28" s="1"/>
  <c r="C569" i="28" s="1"/>
  <c r="C616" i="28" s="1"/>
  <c r="C663" i="28" s="1"/>
  <c r="C710" i="28" s="1"/>
  <c r="C757" i="28" s="1"/>
  <c r="C804" i="28" s="1"/>
  <c r="AO53" i="28"/>
  <c r="AN53" i="28"/>
  <c r="AM53" i="28"/>
  <c r="AL53" i="28"/>
  <c r="AK53" i="28"/>
  <c r="AJ53" i="28"/>
  <c r="AI53" i="28"/>
  <c r="U53" i="28"/>
  <c r="E53" i="28"/>
  <c r="E92" i="28" s="1"/>
  <c r="E131" i="28" s="1"/>
  <c r="E170" i="28" s="1"/>
  <c r="E209" i="28" s="1"/>
  <c r="E248" i="28" s="1"/>
  <c r="E287" i="28" s="1"/>
  <c r="E326" i="28" s="1"/>
  <c r="E365" i="28" s="1"/>
  <c r="E404" i="28" s="1"/>
  <c r="E443" i="28" s="1"/>
  <c r="E482" i="28" s="1"/>
  <c r="E521" i="28" s="1"/>
  <c r="E568" i="28" s="1"/>
  <c r="E615" i="28" s="1"/>
  <c r="E662" i="28" s="1"/>
  <c r="E709" i="28" s="1"/>
  <c r="E756" i="28" s="1"/>
  <c r="E803" i="28" s="1"/>
  <c r="C53" i="28"/>
  <c r="C92" i="28" s="1"/>
  <c r="C131" i="28" s="1"/>
  <c r="C170" i="28" s="1"/>
  <c r="C209" i="28" s="1"/>
  <c r="C248" i="28" s="1"/>
  <c r="C287" i="28" s="1"/>
  <c r="C326" i="28" s="1"/>
  <c r="C365" i="28" s="1"/>
  <c r="C404" i="28" s="1"/>
  <c r="C443" i="28" s="1"/>
  <c r="C482" i="28" s="1"/>
  <c r="C521" i="28" s="1"/>
  <c r="C568" i="28" s="1"/>
  <c r="C615" i="28" s="1"/>
  <c r="C662" i="28" s="1"/>
  <c r="C709" i="28" s="1"/>
  <c r="C756" i="28" s="1"/>
  <c r="C803" i="28" s="1"/>
  <c r="AO52" i="28"/>
  <c r="AN52" i="28"/>
  <c r="AM52" i="28"/>
  <c r="AL52" i="28"/>
  <c r="AK52" i="28"/>
  <c r="AJ52" i="28"/>
  <c r="AI52" i="28"/>
  <c r="Y52" i="28"/>
  <c r="Y91" i="28" s="1"/>
  <c r="W52" i="28"/>
  <c r="W91" i="28" s="1"/>
  <c r="U52" i="28"/>
  <c r="E52" i="28"/>
  <c r="E91" i="28" s="1"/>
  <c r="E130" i="28" s="1"/>
  <c r="E169" i="28" s="1"/>
  <c r="E208" i="28" s="1"/>
  <c r="E247" i="28" s="1"/>
  <c r="E286" i="28" s="1"/>
  <c r="E325" i="28" s="1"/>
  <c r="E364" i="28" s="1"/>
  <c r="E403" i="28" s="1"/>
  <c r="E442" i="28" s="1"/>
  <c r="E481" i="28" s="1"/>
  <c r="E520" i="28" s="1"/>
  <c r="E567" i="28" s="1"/>
  <c r="E614" i="28" s="1"/>
  <c r="E661" i="28" s="1"/>
  <c r="E708" i="28" s="1"/>
  <c r="E755" i="28" s="1"/>
  <c r="E802" i="28" s="1"/>
  <c r="C52" i="28"/>
  <c r="C91" i="28" s="1"/>
  <c r="C130" i="28" s="1"/>
  <c r="C169" i="28" s="1"/>
  <c r="C208" i="28" s="1"/>
  <c r="C247" i="28" s="1"/>
  <c r="C286" i="28" s="1"/>
  <c r="C325" i="28" s="1"/>
  <c r="C364" i="28" s="1"/>
  <c r="C403" i="28" s="1"/>
  <c r="C442" i="28" s="1"/>
  <c r="C481" i="28" s="1"/>
  <c r="C520" i="28" s="1"/>
  <c r="C567" i="28" s="1"/>
  <c r="C614" i="28" s="1"/>
  <c r="C661" i="28" s="1"/>
  <c r="C708" i="28" s="1"/>
  <c r="C755" i="28" s="1"/>
  <c r="C802" i="28" s="1"/>
  <c r="AO51" i="28"/>
  <c r="AN51" i="28"/>
  <c r="AM51" i="28"/>
  <c r="AL51" i="28"/>
  <c r="AK51" i="28"/>
  <c r="AJ51" i="28"/>
  <c r="AI51" i="28"/>
  <c r="Y51" i="28"/>
  <c r="Y90" i="28" s="1"/>
  <c r="W51" i="28"/>
  <c r="U51" i="28"/>
  <c r="E51" i="28"/>
  <c r="E90" i="28" s="1"/>
  <c r="E129" i="28" s="1"/>
  <c r="E168" i="28" s="1"/>
  <c r="E207" i="28" s="1"/>
  <c r="E246" i="28" s="1"/>
  <c r="E285" i="28" s="1"/>
  <c r="E324" i="28" s="1"/>
  <c r="E363" i="28" s="1"/>
  <c r="E402" i="28" s="1"/>
  <c r="E441" i="28" s="1"/>
  <c r="E480" i="28" s="1"/>
  <c r="E519" i="28" s="1"/>
  <c r="E566" i="28" s="1"/>
  <c r="E613" i="28" s="1"/>
  <c r="E660" i="28" s="1"/>
  <c r="E707" i="28" s="1"/>
  <c r="E754" i="28" s="1"/>
  <c r="E801" i="28" s="1"/>
  <c r="C51" i="28"/>
  <c r="C90" i="28" s="1"/>
  <c r="C129" i="28" s="1"/>
  <c r="C168" i="28" s="1"/>
  <c r="C207" i="28" s="1"/>
  <c r="C246" i="28" s="1"/>
  <c r="C285" i="28" s="1"/>
  <c r="C324" i="28" s="1"/>
  <c r="C363" i="28" s="1"/>
  <c r="C402" i="28" s="1"/>
  <c r="C441" i="28" s="1"/>
  <c r="C480" i="28" s="1"/>
  <c r="C519" i="28" s="1"/>
  <c r="C566" i="28" s="1"/>
  <c r="C613" i="28" s="1"/>
  <c r="C660" i="28" s="1"/>
  <c r="C707" i="28" s="1"/>
  <c r="C754" i="28" s="1"/>
  <c r="C801" i="28" s="1"/>
  <c r="E45" i="28"/>
  <c r="E84" i="28" s="1"/>
  <c r="AA30" i="28"/>
  <c r="AA29" i="28"/>
  <c r="AO23" i="28"/>
  <c r="AN23" i="28"/>
  <c r="AM23" i="28"/>
  <c r="AL23" i="28"/>
  <c r="AK23" i="28"/>
  <c r="AJ23" i="28"/>
  <c r="AI23" i="28"/>
  <c r="U23" i="28"/>
  <c r="AO22" i="28"/>
  <c r="AN22" i="28"/>
  <c r="AM22" i="28"/>
  <c r="AL22" i="28"/>
  <c r="AK22" i="28"/>
  <c r="AJ22" i="28"/>
  <c r="AI22" i="28"/>
  <c r="U22" i="28"/>
  <c r="AO21" i="28"/>
  <c r="AN21" i="28"/>
  <c r="AM21" i="28"/>
  <c r="AL21" i="28"/>
  <c r="AK21" i="28"/>
  <c r="AJ21" i="28"/>
  <c r="AI21" i="28"/>
  <c r="AB21" i="28"/>
  <c r="AO20" i="28"/>
  <c r="AN20" i="28"/>
  <c r="AM20" i="28"/>
  <c r="AL20" i="28"/>
  <c r="AK20" i="28"/>
  <c r="AJ20" i="28"/>
  <c r="AI20" i="28"/>
  <c r="X20" i="28"/>
  <c r="V20" i="28"/>
  <c r="U20" i="28"/>
  <c r="AO19" i="28"/>
  <c r="AN19" i="28"/>
  <c r="AM19" i="28"/>
  <c r="AL19" i="28"/>
  <c r="AK19" i="28"/>
  <c r="AJ19" i="28"/>
  <c r="AI19" i="28"/>
  <c r="U19" i="28"/>
  <c r="AO18" i="28"/>
  <c r="AN18" i="28"/>
  <c r="AM18" i="28"/>
  <c r="AL18" i="28"/>
  <c r="AK18" i="28"/>
  <c r="AJ18" i="28"/>
  <c r="AI18" i="28"/>
  <c r="U18" i="28"/>
  <c r="AO17" i="28"/>
  <c r="AN17" i="28"/>
  <c r="AM17" i="28"/>
  <c r="AL17" i="28"/>
  <c r="AK17" i="28"/>
  <c r="AJ17" i="28"/>
  <c r="AI17" i="28"/>
  <c r="Y17" i="28"/>
  <c r="W17" i="28"/>
  <c r="W56" i="28" s="1"/>
  <c r="U17" i="28"/>
  <c r="AO16" i="28"/>
  <c r="AN16" i="28"/>
  <c r="AM16" i="28"/>
  <c r="AL16" i="28"/>
  <c r="AK16" i="28"/>
  <c r="AJ16" i="28"/>
  <c r="AI16" i="28"/>
  <c r="X16" i="28"/>
  <c r="V16" i="28"/>
  <c r="U16" i="28"/>
  <c r="AO15" i="28"/>
  <c r="AN15" i="28"/>
  <c r="AM15" i="28"/>
  <c r="AL15" i="28"/>
  <c r="AK15" i="28"/>
  <c r="AJ15" i="28"/>
  <c r="AI15" i="28"/>
  <c r="U15" i="28"/>
  <c r="AO14" i="28"/>
  <c r="AN14" i="28"/>
  <c r="AM14" i="28"/>
  <c r="AL14" i="28"/>
  <c r="AK14" i="28"/>
  <c r="AJ14" i="28"/>
  <c r="AI14" i="28"/>
  <c r="Y14" i="28"/>
  <c r="Y15" i="28" s="1"/>
  <c r="X15" i="28" s="1"/>
  <c r="W14" i="28"/>
  <c r="W53" i="28" s="1"/>
  <c r="U14" i="28"/>
  <c r="AO13" i="28"/>
  <c r="AN13" i="28"/>
  <c r="AM13" i="28"/>
  <c r="AL13" i="28"/>
  <c r="AK13" i="28"/>
  <c r="AJ13" i="28"/>
  <c r="AI13" i="28"/>
  <c r="X13" i="28"/>
  <c r="V13" i="28"/>
  <c r="U13" i="28"/>
  <c r="AO12" i="28"/>
  <c r="AN12" i="28"/>
  <c r="AM12" i="28"/>
  <c r="AL12" i="28"/>
  <c r="AK12" i="28"/>
  <c r="AJ12" i="28"/>
  <c r="AI12" i="28"/>
  <c r="X12" i="28"/>
  <c r="V12" i="28"/>
  <c r="U12" i="28"/>
  <c r="H6" i="28"/>
  <c r="K328" i="6"/>
  <c r="K327" i="6"/>
  <c r="G14" i="6"/>
  <c r="G13" i="6"/>
  <c r="Q4" i="6"/>
  <c r="E4" i="6"/>
  <c r="Q3" i="6"/>
  <c r="B2" i="6"/>
  <c r="C360" i="1"/>
  <c r="L342" i="1"/>
  <c r="L188" i="1"/>
  <c r="U186" i="1"/>
  <c r="B186" i="1"/>
  <c r="P185" i="1"/>
  <c r="S34" i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E24" i="1"/>
  <c r="E19" i="29"/>
  <c r="E18" i="31"/>
  <c r="D8" i="16"/>
  <c r="B7" i="26" s="1"/>
  <c r="E14" i="31"/>
  <c r="L360" i="1"/>
  <c r="T9" i="1"/>
  <c r="T8" i="1"/>
  <c r="T7" i="1"/>
  <c r="D22" i="1"/>
  <c r="B382" i="3" s="1"/>
  <c r="T6" i="1"/>
  <c r="E6" i="30"/>
  <c r="E997" i="23"/>
  <c r="H993" i="23"/>
  <c r="E992" i="23"/>
  <c r="G990" i="23"/>
  <c r="H988" i="23"/>
  <c r="G986" i="23"/>
  <c r="B983" i="19"/>
  <c r="F984" i="23"/>
  <c r="H978" i="23"/>
  <c r="R974" i="19"/>
  <c r="F975" i="23"/>
  <c r="H973" i="23"/>
  <c r="H970" i="23"/>
  <c r="H969" i="23"/>
  <c r="H966" i="23"/>
  <c r="H956" i="23"/>
  <c r="H945" i="23"/>
  <c r="E944" i="23"/>
  <c r="H929" i="23"/>
  <c r="H917" i="23"/>
  <c r="AP913" i="19"/>
  <c r="H913" i="23"/>
  <c r="R891" i="19"/>
  <c r="AP889" i="19"/>
  <c r="B887" i="19"/>
  <c r="R886" i="19"/>
  <c r="H885" i="23"/>
  <c r="V880" i="19"/>
  <c r="W880" i="19" s="1"/>
  <c r="H873" i="23"/>
  <c r="H862" i="23"/>
  <c r="F858" i="23"/>
  <c r="E848" i="23"/>
  <c r="H847" i="23"/>
  <c r="V840" i="19"/>
  <c r="W840" i="19" s="1"/>
  <c r="B828" i="19"/>
  <c r="H828" i="23"/>
  <c r="H825" i="23"/>
  <c r="H816" i="23"/>
  <c r="G815" i="23"/>
  <c r="E812" i="23"/>
  <c r="B805" i="19"/>
  <c r="H806" i="23"/>
  <c r="H794" i="23"/>
  <c r="V789" i="19"/>
  <c r="W789" i="19" s="1"/>
  <c r="H784" i="23"/>
  <c r="B774" i="19"/>
  <c r="H773" i="23"/>
  <c r="H771" i="23"/>
  <c r="H765" i="23"/>
  <c r="H753" i="23"/>
  <c r="H749" i="23"/>
  <c r="H717" i="23"/>
  <c r="F706" i="23"/>
  <c r="E697" i="23"/>
  <c r="G695" i="23"/>
  <c r="E694" i="23"/>
  <c r="G692" i="23"/>
  <c r="H691" i="23"/>
  <c r="H690" i="23"/>
  <c r="H687" i="23"/>
  <c r="H683" i="23"/>
  <c r="E681" i="23"/>
  <c r="H677" i="23"/>
  <c r="H672" i="23"/>
  <c r="F671" i="23"/>
  <c r="H663" i="23"/>
  <c r="H652" i="23"/>
  <c r="R649" i="19"/>
  <c r="F647" i="23"/>
  <c r="H644" i="23"/>
  <c r="H641" i="23"/>
  <c r="H636" i="23"/>
  <c r="F634" i="23"/>
  <c r="H632" i="23"/>
  <c r="H631" i="23"/>
  <c r="F627" i="23"/>
  <c r="H625" i="23"/>
  <c r="G624" i="23"/>
  <c r="V606" i="19"/>
  <c r="W606" i="19" s="1"/>
  <c r="H605" i="23"/>
  <c r="F603" i="23"/>
  <c r="H597" i="23"/>
  <c r="H596" i="23"/>
  <c r="H593" i="23"/>
  <c r="H591" i="23"/>
  <c r="H590" i="23"/>
  <c r="E587" i="23"/>
  <c r="F583" i="23"/>
  <c r="H581" i="23"/>
  <c r="E577" i="23"/>
  <c r="G575" i="23"/>
  <c r="F574" i="23"/>
  <c r="H573" i="23"/>
  <c r="H569" i="23"/>
  <c r="H567" i="23"/>
  <c r="E564" i="23"/>
  <c r="H554" i="23"/>
  <c r="H545" i="23"/>
  <c r="E544" i="23"/>
  <c r="H522" i="23"/>
  <c r="H509" i="23"/>
  <c r="R506" i="19"/>
  <c r="H507" i="23"/>
  <c r="E506" i="23"/>
  <c r="G505" i="23"/>
  <c r="H504" i="23"/>
  <c r="B497" i="19"/>
  <c r="H497" i="23"/>
  <c r="H481" i="23"/>
  <c r="G477" i="23"/>
  <c r="E474" i="23"/>
  <c r="G469" i="23"/>
  <c r="F466" i="23"/>
  <c r="F462" i="23"/>
  <c r="H461" i="23"/>
  <c r="H452" i="23"/>
  <c r="F451" i="23"/>
  <c r="H449" i="23"/>
  <c r="E445" i="23"/>
  <c r="F444" i="23"/>
  <c r="G443" i="23"/>
  <c r="H441" i="23"/>
  <c r="R433" i="19"/>
  <c r="G434" i="23"/>
  <c r="H432" i="23"/>
  <c r="F430" i="23"/>
  <c r="H428" i="23"/>
  <c r="B415" i="19"/>
  <c r="H416" i="23"/>
  <c r="G415" i="23"/>
  <c r="F409" i="23"/>
  <c r="G403" i="23"/>
  <c r="G402" i="23"/>
  <c r="H394" i="23"/>
  <c r="F392" i="23"/>
  <c r="H390" i="23"/>
  <c r="G388" i="23"/>
  <c r="F381" i="23"/>
  <c r="H379" i="23"/>
  <c r="G378" i="23"/>
  <c r="H376" i="23"/>
  <c r="F374" i="23"/>
  <c r="H371" i="23"/>
  <c r="E369" i="23"/>
  <c r="H364" i="23"/>
  <c r="H362" i="23"/>
  <c r="G359" i="23"/>
  <c r="G357" i="23"/>
  <c r="H355" i="23"/>
  <c r="H354" i="23"/>
  <c r="H344" i="23"/>
  <c r="H343" i="23"/>
  <c r="F339" i="23"/>
  <c r="F337" i="23"/>
  <c r="H324" i="23"/>
  <c r="G323" i="23"/>
  <c r="H320" i="23"/>
  <c r="H318" i="23"/>
  <c r="H317" i="23"/>
  <c r="H310" i="23"/>
  <c r="H306" i="23"/>
  <c r="H302" i="23"/>
  <c r="H301" i="23"/>
  <c r="H298" i="23"/>
  <c r="G297" i="23"/>
  <c r="H294" i="23"/>
  <c r="H288" i="23"/>
  <c r="B282" i="19"/>
  <c r="H279" i="23"/>
  <c r="F277" i="23"/>
  <c r="F276" i="23"/>
  <c r="H273" i="23"/>
  <c r="B265" i="19"/>
  <c r="H259" i="23"/>
  <c r="F248" i="23"/>
  <c r="G246" i="23"/>
  <c r="B240" i="19"/>
  <c r="H227" i="23"/>
  <c r="H225" i="23"/>
  <c r="G222" i="23"/>
  <c r="G210" i="23"/>
  <c r="H206" i="23"/>
  <c r="H200" i="23"/>
  <c r="G198" i="23"/>
  <c r="R194" i="19"/>
  <c r="E194" i="23"/>
  <c r="H193" i="23"/>
  <c r="G192" i="23"/>
  <c r="AE28" i="19"/>
  <c r="AP1" i="19"/>
  <c r="AD1" i="19"/>
  <c r="J13" i="6"/>
  <c r="I776" i="23" l="1"/>
  <c r="I267" i="23"/>
  <c r="B830" i="23"/>
  <c r="K1003" i="23"/>
  <c r="L1003" i="23" s="1"/>
  <c r="M1003" i="23" s="1"/>
  <c r="O15" i="16"/>
  <c r="P14" i="16"/>
  <c r="V17" i="28"/>
  <c r="K333" i="39"/>
  <c r="K34" i="16"/>
  <c r="R717" i="19"/>
  <c r="C758" i="3"/>
  <c r="B34" i="16"/>
  <c r="F252" i="23"/>
  <c r="N57" i="3"/>
  <c r="N271" i="28"/>
  <c r="N232" i="28"/>
  <c r="N193" i="28"/>
  <c r="N154" i="28"/>
  <c r="N115" i="28"/>
  <c r="N76" i="28"/>
  <c r="N466" i="28"/>
  <c r="N427" i="28"/>
  <c r="N388" i="28"/>
  <c r="N349" i="28"/>
  <c r="N310" i="28"/>
  <c r="N37" i="28"/>
  <c r="E923" i="23"/>
  <c r="E458" i="23"/>
  <c r="E869" i="23"/>
  <c r="V532" i="28"/>
  <c r="V533" i="28"/>
  <c r="G685" i="23"/>
  <c r="B448" i="19"/>
  <c r="G527" i="23"/>
  <c r="X526" i="28"/>
  <c r="M738" i="3"/>
  <c r="M705" i="3"/>
  <c r="X52" i="28"/>
  <c r="X536" i="28"/>
  <c r="M697" i="3"/>
  <c r="M624" i="3"/>
  <c r="T715" i="28"/>
  <c r="M326" i="3"/>
  <c r="M627" i="3"/>
  <c r="H333" i="37"/>
  <c r="H333" i="39"/>
  <c r="H333" i="6"/>
  <c r="H333" i="38"/>
  <c r="M507" i="3"/>
  <c r="M659" i="3"/>
  <c r="T808" i="28"/>
  <c r="X527" i="28"/>
  <c r="X14" i="28"/>
  <c r="V535" i="28"/>
  <c r="G435" i="23"/>
  <c r="X901" i="19"/>
  <c r="E379" i="23"/>
  <c r="X281" i="19"/>
  <c r="G302" i="23"/>
  <c r="G379" i="23"/>
  <c r="X377" i="19"/>
  <c r="R867" i="19"/>
  <c r="X535" i="28"/>
  <c r="W18" i="28"/>
  <c r="W57" i="28" s="1"/>
  <c r="W96" i="28" s="1"/>
  <c r="W135" i="28" s="1"/>
  <c r="V135" i="28" s="1"/>
  <c r="Y639" i="19"/>
  <c r="G660" i="23"/>
  <c r="V52" i="28"/>
  <c r="X530" i="28"/>
  <c r="X257" i="19"/>
  <c r="Y604" i="19"/>
  <c r="Y621" i="28"/>
  <c r="X621" i="28" s="1"/>
  <c r="X574" i="28"/>
  <c r="T491" i="28"/>
  <c r="AA491" i="28" s="1"/>
  <c r="AB491" i="28" s="1"/>
  <c r="T571" i="28"/>
  <c r="X51" i="28"/>
  <c r="T526" i="28"/>
  <c r="X532" i="28"/>
  <c r="X524" i="28"/>
  <c r="M433" i="3"/>
  <c r="T708" i="28"/>
  <c r="T402" i="28"/>
  <c r="T172" i="28"/>
  <c r="M630" i="3"/>
  <c r="G195" i="23"/>
  <c r="H405" i="23"/>
  <c r="W95" i="28"/>
  <c r="V95" i="28" s="1"/>
  <c r="V56" i="28"/>
  <c r="M202" i="3"/>
  <c r="M22" i="3"/>
  <c r="T407" i="28"/>
  <c r="H326" i="23"/>
  <c r="G213" i="23"/>
  <c r="F326" i="23"/>
  <c r="T615" i="28"/>
  <c r="T489" i="28"/>
  <c r="M57" i="3"/>
  <c r="Q57" i="3" s="1"/>
  <c r="P57" i="3" s="1"/>
  <c r="T816" i="28"/>
  <c r="T677" i="28"/>
  <c r="T522" i="28"/>
  <c r="Y805" i="19"/>
  <c r="Z60" i="28"/>
  <c r="T328" i="28"/>
  <c r="M88" i="3"/>
  <c r="T811" i="28"/>
  <c r="T207" i="28"/>
  <c r="T814" i="28"/>
  <c r="M282" i="3"/>
  <c r="M288" i="3"/>
  <c r="T806" i="28"/>
  <c r="T443" i="28"/>
  <c r="T448" i="28"/>
  <c r="T531" i="28"/>
  <c r="AA531" i="28" s="1"/>
  <c r="T801" i="28"/>
  <c r="T250" i="28"/>
  <c r="T766" i="28"/>
  <c r="H588" i="23"/>
  <c r="F778" i="23"/>
  <c r="T763" i="28"/>
  <c r="M585" i="3"/>
  <c r="T256" i="28"/>
  <c r="AA256" i="28" s="1"/>
  <c r="Z256" i="28" s="1"/>
  <c r="T447" i="28"/>
  <c r="M323" i="3"/>
  <c r="T96" i="28"/>
  <c r="T809" i="28"/>
  <c r="U487" i="28"/>
  <c r="T538" i="28"/>
  <c r="AA538" i="28" s="1"/>
  <c r="T523" i="28"/>
  <c r="Y584" i="28"/>
  <c r="Y631" i="28" s="1"/>
  <c r="T619" i="28"/>
  <c r="M584" i="3"/>
  <c r="T324" i="28"/>
  <c r="T329" i="28"/>
  <c r="T576" i="28"/>
  <c r="Y54" i="28"/>
  <c r="Y93" i="28" s="1"/>
  <c r="Y132" i="28" s="1"/>
  <c r="Y171" i="28" s="1"/>
  <c r="Y210" i="28" s="1"/>
  <c r="M205" i="3"/>
  <c r="T335" i="28"/>
  <c r="AA335" i="28" s="1"/>
  <c r="Z335" i="28" s="1"/>
  <c r="T804" i="28"/>
  <c r="T208" i="28"/>
  <c r="T626" i="28"/>
  <c r="AA626" i="28" s="1"/>
  <c r="M16" i="3"/>
  <c r="Q16" i="3" s="1"/>
  <c r="P16" i="3" s="1"/>
  <c r="M167" i="3"/>
  <c r="T370" i="28"/>
  <c r="M356" i="3"/>
  <c r="M661" i="3"/>
  <c r="Y53" i="28"/>
  <c r="T331" i="28"/>
  <c r="T802" i="28"/>
  <c r="T805" i="28"/>
  <c r="T16" i="28"/>
  <c r="AA16" i="28" s="1"/>
  <c r="Z16" i="28" s="1"/>
  <c r="T773" i="28"/>
  <c r="M246" i="3"/>
  <c r="Y570" i="28"/>
  <c r="V580" i="28"/>
  <c r="M17" i="3"/>
  <c r="Q17" i="3" s="1"/>
  <c r="P17" i="3" s="1"/>
  <c r="M435" i="3"/>
  <c r="M473" i="3"/>
  <c r="M548" i="3"/>
  <c r="T214" i="28"/>
  <c r="T292" i="28"/>
  <c r="M130" i="3"/>
  <c r="M211" i="3"/>
  <c r="T217" i="28"/>
  <c r="AA217" i="28" s="1"/>
  <c r="T371" i="28"/>
  <c r="T405" i="28"/>
  <c r="T488" i="28"/>
  <c r="O15" i="3"/>
  <c r="N15" i="3" s="1"/>
  <c r="E82" i="3"/>
  <c r="E120" i="3" s="1"/>
  <c r="M98" i="3"/>
  <c r="M587" i="3"/>
  <c r="T19" i="28"/>
  <c r="T55" i="28"/>
  <c r="AA55" i="28" s="1"/>
  <c r="Z55" i="28" s="1"/>
  <c r="T449" i="28"/>
  <c r="U482" i="28"/>
  <c r="Y568" i="28"/>
  <c r="X573" i="28"/>
  <c r="T575" i="28"/>
  <c r="T627" i="28"/>
  <c r="AA627" i="28" s="1"/>
  <c r="T296" i="28"/>
  <c r="AA296" i="28" s="1"/>
  <c r="Z296" i="28" s="1"/>
  <c r="T442" i="28"/>
  <c r="M96" i="3"/>
  <c r="U489" i="28"/>
  <c r="T534" i="28"/>
  <c r="AA534" i="28" s="1"/>
  <c r="M97" i="3"/>
  <c r="M318" i="3"/>
  <c r="M89" i="3"/>
  <c r="M588" i="3"/>
  <c r="M702" i="3"/>
  <c r="M699" i="3"/>
  <c r="M545" i="3"/>
  <c r="M59" i="3"/>
  <c r="Q59" i="3" s="1"/>
  <c r="P59" i="3" s="1"/>
  <c r="T215" i="28"/>
  <c r="T293" i="28"/>
  <c r="M471" i="3"/>
  <c r="T578" i="28"/>
  <c r="AA578" i="28" s="1"/>
  <c r="T617" i="28"/>
  <c r="T625" i="28"/>
  <c r="T679" i="28"/>
  <c r="T725" i="28"/>
  <c r="T757" i="28"/>
  <c r="M244" i="3"/>
  <c r="T583" i="28"/>
  <c r="M625" i="3"/>
  <c r="D1003" i="23"/>
  <c r="R204" i="19"/>
  <c r="G619" i="23"/>
  <c r="F846" i="23"/>
  <c r="G938" i="23"/>
  <c r="T247" i="28"/>
  <c r="X571" i="28"/>
  <c r="Y576" i="28"/>
  <c r="Y623" i="28" s="1"/>
  <c r="Y130" i="28"/>
  <c r="Y169" i="28" s="1"/>
  <c r="Y208" i="28" s="1"/>
  <c r="X91" i="28"/>
  <c r="Y56" i="28"/>
  <c r="X56" i="28" s="1"/>
  <c r="Y18" i="28"/>
  <c r="Y57" i="28" s="1"/>
  <c r="T129" i="28"/>
  <c r="M92" i="3"/>
  <c r="M245" i="3"/>
  <c r="E123" i="28"/>
  <c r="E162" i="28" s="1"/>
  <c r="H84" i="28"/>
  <c r="H45" i="28"/>
  <c r="Y569" i="28"/>
  <c r="Y616" i="28" s="1"/>
  <c r="Y578" i="28"/>
  <c r="Y625" i="28" s="1"/>
  <c r="X531" i="28"/>
  <c r="T768" i="28"/>
  <c r="T92" i="28"/>
  <c r="T94" i="28"/>
  <c r="T368" i="28"/>
  <c r="Y630" i="28"/>
  <c r="X583" i="28"/>
  <c r="T537" i="28"/>
  <c r="AA537" i="28" s="1"/>
  <c r="T17" i="28"/>
  <c r="AA17" i="28" s="1"/>
  <c r="Z17" i="28" s="1"/>
  <c r="M735" i="3"/>
  <c r="T481" i="28"/>
  <c r="U483" i="28"/>
  <c r="M360" i="3"/>
  <c r="AA530" i="28"/>
  <c r="W577" i="28"/>
  <c r="AA577" i="28" s="1"/>
  <c r="V530" i="28"/>
  <c r="M250" i="3"/>
  <c r="M320" i="3"/>
  <c r="T291" i="28"/>
  <c r="X566" i="28"/>
  <c r="Y613" i="28"/>
  <c r="T573" i="28"/>
  <c r="M204" i="3"/>
  <c r="M285" i="3"/>
  <c r="H785" i="23"/>
  <c r="U488" i="28"/>
  <c r="M737" i="3"/>
  <c r="M322" i="3"/>
  <c r="M592" i="3"/>
  <c r="T621" i="28"/>
  <c r="M317" i="3"/>
  <c r="T570" i="28"/>
  <c r="T131" i="28"/>
  <c r="T174" i="28"/>
  <c r="T568" i="28"/>
  <c r="M280" i="3"/>
  <c r="B766" i="19"/>
  <c r="G768" i="23"/>
  <c r="E768" i="23"/>
  <c r="G628" i="23"/>
  <c r="B626" i="19"/>
  <c r="Y575" i="28"/>
  <c r="Y622" i="28" s="1"/>
  <c r="Y669" i="28" s="1"/>
  <c r="X528" i="28"/>
  <c r="T616" i="28"/>
  <c r="T332" i="28"/>
  <c r="M212" i="3"/>
  <c r="M242" i="3"/>
  <c r="X366" i="19"/>
  <c r="E368" i="23"/>
  <c r="T325" i="28"/>
  <c r="Y580" i="28"/>
  <c r="M207" i="3"/>
  <c r="M247" i="3"/>
  <c r="V55" i="28"/>
  <c r="W94" i="28"/>
  <c r="V94" i="28" s="1"/>
  <c r="M248" i="3"/>
  <c r="T61" i="28"/>
  <c r="AA61" i="28" s="1"/>
  <c r="Z61" i="28" s="1"/>
  <c r="T136" i="28"/>
  <c r="W628" i="28"/>
  <c r="V628" i="28" s="1"/>
  <c r="V581" i="28"/>
  <c r="M135" i="3"/>
  <c r="M321" i="3"/>
  <c r="T536" i="28"/>
  <c r="AA536" i="28" s="1"/>
  <c r="T567" i="28"/>
  <c r="T581" i="28"/>
  <c r="AA581" i="28" s="1"/>
  <c r="M165" i="3"/>
  <c r="M506" i="3"/>
  <c r="M515" i="3"/>
  <c r="T252" i="28"/>
  <c r="T366" i="28"/>
  <c r="T572" i="28"/>
  <c r="T726" i="28"/>
  <c r="T756" i="28"/>
  <c r="M283" i="3"/>
  <c r="M437" i="3"/>
  <c r="M550" i="3"/>
  <c r="M668" i="3"/>
  <c r="T519" i="28"/>
  <c r="T660" i="28"/>
  <c r="T56" i="28"/>
  <c r="T289" i="28"/>
  <c r="T521" i="28"/>
  <c r="T665" i="28"/>
  <c r="T678" i="28"/>
  <c r="M52" i="3"/>
  <c r="M362" i="3"/>
  <c r="M512" i="3"/>
  <c r="M622" i="3"/>
  <c r="T58" i="28"/>
  <c r="T211" i="28"/>
  <c r="T724" i="28"/>
  <c r="M54" i="3"/>
  <c r="Q54" i="3" s="1"/>
  <c r="P54" i="3" s="1"/>
  <c r="O94" i="3"/>
  <c r="M241" i="3"/>
  <c r="M354" i="3"/>
  <c r="M394" i="3"/>
  <c r="M513" i="3"/>
  <c r="M591" i="3"/>
  <c r="T171" i="28"/>
  <c r="T209" i="28"/>
  <c r="T253" i="28"/>
  <c r="T445" i="28"/>
  <c r="Y665" i="28"/>
  <c r="X618" i="28"/>
  <c r="Y629" i="28"/>
  <c r="X629" i="28" s="1"/>
  <c r="X582" i="28"/>
  <c r="T671" i="28"/>
  <c r="M14" i="3"/>
  <c r="Q14" i="3" s="1"/>
  <c r="P14" i="3" s="1"/>
  <c r="M60" i="3"/>
  <c r="G408" i="23"/>
  <c r="R406" i="19"/>
  <c r="B875" i="19"/>
  <c r="T452" i="28"/>
  <c r="AA452" i="28" s="1"/>
  <c r="AB452" i="28" s="1"/>
  <c r="U481" i="28"/>
  <c r="T524" i="28"/>
  <c r="T631" i="28"/>
  <c r="T674" i="28"/>
  <c r="M94" i="3"/>
  <c r="M516" i="3"/>
  <c r="M551" i="3"/>
  <c r="H861" i="23"/>
  <c r="T13" i="28"/>
  <c r="AA13" i="28" s="1"/>
  <c r="Z13" i="28" s="1"/>
  <c r="T15" i="28"/>
  <c r="T53" i="28"/>
  <c r="T404" i="28"/>
  <c r="T813" i="28"/>
  <c r="M438" i="3"/>
  <c r="M742" i="3"/>
  <c r="T410" i="28"/>
  <c r="T441" i="28"/>
  <c r="T672" i="28"/>
  <c r="T759" i="28"/>
  <c r="T767" i="28"/>
  <c r="T772" i="28"/>
  <c r="M170" i="3"/>
  <c r="M741" i="3"/>
  <c r="T170" i="28"/>
  <c r="T213" i="28"/>
  <c r="T290" i="28"/>
  <c r="T326" i="28"/>
  <c r="T480" i="28"/>
  <c r="T484" i="28"/>
  <c r="T664" i="28"/>
  <c r="T817" i="28"/>
  <c r="M126" i="3"/>
  <c r="M168" i="3"/>
  <c r="M243" i="3"/>
  <c r="M358" i="3"/>
  <c r="M401" i="3"/>
  <c r="M628" i="3"/>
  <c r="M660" i="3"/>
  <c r="M704" i="3"/>
  <c r="T91" i="28"/>
  <c r="AA91" i="28" s="1"/>
  <c r="Z91" i="28" s="1"/>
  <c r="T168" i="28"/>
  <c r="T364" i="28"/>
  <c r="T412" i="28"/>
  <c r="AA412" i="28" s="1"/>
  <c r="Z412" i="28" s="1"/>
  <c r="T444" i="28"/>
  <c r="Y572" i="28"/>
  <c r="Y619" i="28" s="1"/>
  <c r="T713" i="28"/>
  <c r="M136" i="3"/>
  <c r="M395" i="3"/>
  <c r="M546" i="3"/>
  <c r="M696" i="3"/>
  <c r="M744" i="3"/>
  <c r="T22" i="28"/>
  <c r="AA22" i="28" s="1"/>
  <c r="T218" i="28"/>
  <c r="AA218" i="28" s="1"/>
  <c r="Z218" i="28" s="1"/>
  <c r="M171" i="3"/>
  <c r="M281" i="3"/>
  <c r="T532" i="28"/>
  <c r="AA532" i="28" s="1"/>
  <c r="Z532" i="28" s="1"/>
  <c r="T762" i="28"/>
  <c r="M361" i="3"/>
  <c r="T529" i="28"/>
  <c r="AA529" i="28" s="1"/>
  <c r="T535" i="28"/>
  <c r="AA535" i="28" s="1"/>
  <c r="M206" i="3"/>
  <c r="T295" i="28"/>
  <c r="AA295" i="28" s="1"/>
  <c r="AB295" i="28" s="1"/>
  <c r="T714" i="28"/>
  <c r="M90" i="3"/>
  <c r="T57" i="28"/>
  <c r="T675" i="28"/>
  <c r="M316" i="3"/>
  <c r="T249" i="28"/>
  <c r="T365" i="28"/>
  <c r="T406" i="28"/>
  <c r="T525" i="28"/>
  <c r="T667" i="28"/>
  <c r="T765" i="28"/>
  <c r="M284" i="3"/>
  <c r="M399" i="3"/>
  <c r="T12" i="28"/>
  <c r="AA12" i="28" s="1"/>
  <c r="Z12" i="28" s="1"/>
  <c r="T288" i="28"/>
  <c r="T483" i="28"/>
  <c r="X519" i="28"/>
  <c r="T812" i="28"/>
  <c r="M91" i="3"/>
  <c r="T97" i="28"/>
  <c r="T132" i="28"/>
  <c r="T139" i="28"/>
  <c r="AA139" i="28" s="1"/>
  <c r="AB139" i="28" s="1"/>
  <c r="T285" i="28"/>
  <c r="M93" i="3"/>
  <c r="T134" i="28"/>
  <c r="T527" i="28"/>
  <c r="T807" i="28"/>
  <c r="M393" i="3"/>
  <c r="T52" i="28"/>
  <c r="AA52" i="28" s="1"/>
  <c r="Z52" i="28" s="1"/>
  <c r="T413" i="28"/>
  <c r="AA413" i="28" s="1"/>
  <c r="Z413" i="28" s="1"/>
  <c r="T628" i="28"/>
  <c r="M209" i="3"/>
  <c r="M468" i="3"/>
  <c r="M734" i="3"/>
  <c r="M739" i="3"/>
  <c r="T54" i="28"/>
  <c r="T59" i="28"/>
  <c r="AA59" i="28" s="1"/>
  <c r="Z59" i="28" s="1"/>
  <c r="T90" i="28"/>
  <c r="T135" i="28"/>
  <c r="T815" i="28"/>
  <c r="M359" i="3"/>
  <c r="R910" i="19"/>
  <c r="F912" i="23"/>
  <c r="T62" i="28"/>
  <c r="AA62" i="28" s="1"/>
  <c r="W92" i="28"/>
  <c r="V53" i="28"/>
  <c r="T363" i="28"/>
  <c r="W576" i="28"/>
  <c r="F342" i="23"/>
  <c r="G342" i="23"/>
  <c r="E546" i="23"/>
  <c r="H546" i="23"/>
  <c r="O97" i="3"/>
  <c r="N59" i="3"/>
  <c r="G600" i="23"/>
  <c r="X598" i="19"/>
  <c r="A556" i="3"/>
  <c r="U518" i="3"/>
  <c r="E930" i="23"/>
  <c r="V529" i="28"/>
  <c r="V91" i="28"/>
  <c r="W130" i="28"/>
  <c r="X538" i="28"/>
  <c r="Y585" i="28"/>
  <c r="B573" i="19"/>
  <c r="W98" i="28"/>
  <c r="T482" i="28"/>
  <c r="U486" i="28"/>
  <c r="Y581" i="28"/>
  <c r="X534" i="28"/>
  <c r="H367" i="23"/>
  <c r="O133" i="3"/>
  <c r="V534" i="28"/>
  <c r="T130" i="28"/>
  <c r="T178" i="28"/>
  <c r="AA178" i="28" s="1"/>
  <c r="X17" i="28"/>
  <c r="X90" i="28"/>
  <c r="Y129" i="28"/>
  <c r="T93" i="28"/>
  <c r="T374" i="28"/>
  <c r="AA374" i="28" s="1"/>
  <c r="M249" i="3"/>
  <c r="M287" i="3"/>
  <c r="M474" i="3"/>
  <c r="B436" i="19"/>
  <c r="F438" i="23"/>
  <c r="W625" i="28"/>
  <c r="E201" i="23"/>
  <c r="T287" i="28"/>
  <c r="T709" i="28"/>
  <c r="T818" i="28"/>
  <c r="M439" i="3"/>
  <c r="M583" i="3"/>
  <c r="M700" i="3"/>
  <c r="Y626" i="28"/>
  <c r="X579" i="28"/>
  <c r="V538" i="28"/>
  <c r="W585" i="28"/>
  <c r="V531" i="28"/>
  <c r="F534" i="23"/>
  <c r="H534" i="23"/>
  <c r="T684" i="19"/>
  <c r="H686" i="23"/>
  <c r="V582" i="28"/>
  <c r="W629" i="28"/>
  <c r="T723" i="28"/>
  <c r="T764" i="28"/>
  <c r="M13" i="3"/>
  <c r="Q13" i="3" s="1"/>
  <c r="P13" i="3" s="1"/>
  <c r="M169" i="3"/>
  <c r="F244" i="23"/>
  <c r="B667" i="19"/>
  <c r="F669" i="23"/>
  <c r="T137" i="28"/>
  <c r="Y667" i="28"/>
  <c r="X620" i="28"/>
  <c r="W673" i="28"/>
  <c r="V626" i="28"/>
  <c r="T670" i="28"/>
  <c r="T707" i="28"/>
  <c r="T760" i="28"/>
  <c r="V14" i="28"/>
  <c r="W15" i="28"/>
  <c r="T23" i="28"/>
  <c r="AA23" i="28" s="1"/>
  <c r="T408" i="28"/>
  <c r="T520" i="28"/>
  <c r="V584" i="28"/>
  <c r="W631" i="28"/>
  <c r="H838" i="23"/>
  <c r="T836" i="19"/>
  <c r="B836" i="19"/>
  <c r="F838" i="23"/>
  <c r="T98" i="28"/>
  <c r="T173" i="28"/>
  <c r="T334" i="28"/>
  <c r="AA334" i="28" s="1"/>
  <c r="T618" i="28"/>
  <c r="O89" i="3"/>
  <c r="N51" i="3"/>
  <c r="M434" i="3"/>
  <c r="M470" i="3"/>
  <c r="M477" i="3"/>
  <c r="T613" i="28"/>
  <c r="T623" i="28"/>
  <c r="M51" i="3"/>
  <c r="Q51" i="3" s="1"/>
  <c r="P51" i="3" s="1"/>
  <c r="M363" i="3"/>
  <c r="M398" i="3"/>
  <c r="M400" i="3"/>
  <c r="T101" i="28"/>
  <c r="AA101" i="28" s="1"/>
  <c r="M431" i="3"/>
  <c r="T286" i="28"/>
  <c r="U485" i="28"/>
  <c r="Y624" i="28"/>
  <c r="X577" i="28"/>
  <c r="Y567" i="28"/>
  <c r="T620" i="28"/>
  <c r="T819" i="28"/>
  <c r="M590" i="3"/>
  <c r="U484" i="28"/>
  <c r="T718" i="28"/>
  <c r="M173" i="3"/>
  <c r="M440" i="3"/>
  <c r="Q440" i="3" s="1"/>
  <c r="F799" i="23"/>
  <c r="E799" i="23"/>
  <c r="T18" i="28"/>
  <c r="T169" i="28"/>
  <c r="T179" i="28"/>
  <c r="AA179" i="28" s="1"/>
  <c r="T251" i="28"/>
  <c r="T367" i="28"/>
  <c r="T451" i="28"/>
  <c r="AA451" i="28" s="1"/>
  <c r="T710" i="28"/>
  <c r="T770" i="28"/>
  <c r="T133" i="28"/>
  <c r="T533" i="28"/>
  <c r="AA533" i="28" s="1"/>
  <c r="T585" i="28"/>
  <c r="M508" i="3"/>
  <c r="W90" i="28"/>
  <c r="V51" i="28"/>
  <c r="X55" i="28"/>
  <c r="Y94" i="28"/>
  <c r="T248" i="28"/>
  <c r="T369" i="28"/>
  <c r="T486" i="28"/>
  <c r="T579" i="28"/>
  <c r="AA579" i="28" s="1"/>
  <c r="T622" i="28"/>
  <c r="T666" i="28"/>
  <c r="T719" i="28"/>
  <c r="T769" i="28"/>
  <c r="N50" i="3"/>
  <c r="O88" i="3"/>
  <c r="M129" i="3"/>
  <c r="M131" i="3"/>
  <c r="M174" i="3"/>
  <c r="M278" i="3"/>
  <c r="M357" i="3"/>
  <c r="M547" i="3"/>
  <c r="M582" i="3"/>
  <c r="M621" i="3"/>
  <c r="F894" i="23"/>
  <c r="G894" i="23"/>
  <c r="X59" i="28"/>
  <c r="Y98" i="28"/>
  <c r="W583" i="28"/>
  <c r="M743" i="3"/>
  <c r="G549" i="23"/>
  <c r="B547" i="19"/>
  <c r="R969" i="19"/>
  <c r="B969" i="19"/>
  <c r="T14" i="28"/>
  <c r="AA14" i="28" s="1"/>
  <c r="T95" i="28"/>
  <c r="T373" i="28"/>
  <c r="AA373" i="28" s="1"/>
  <c r="T403" i="28"/>
  <c r="T569" i="28"/>
  <c r="T582" i="28"/>
  <c r="AA582" i="28" s="1"/>
  <c r="T614" i="28"/>
  <c r="T661" i="28"/>
  <c r="T673" i="28"/>
  <c r="T712" i="28"/>
  <c r="O92" i="3"/>
  <c r="N54" i="3"/>
  <c r="M324" i="3"/>
  <c r="M432" i="3"/>
  <c r="T175" i="28"/>
  <c r="T409" i="28"/>
  <c r="W674" i="28"/>
  <c r="V537" i="28"/>
  <c r="T624" i="28"/>
  <c r="T669" i="28"/>
  <c r="T717" i="28"/>
  <c r="T771" i="28"/>
  <c r="O52" i="3"/>
  <c r="O96" i="3"/>
  <c r="M472" i="3"/>
  <c r="O516" i="3"/>
  <c r="M620" i="3"/>
  <c r="M665" i="3"/>
  <c r="E524" i="23"/>
  <c r="F524" i="23"/>
  <c r="F598" i="23"/>
  <c r="T140" i="28"/>
  <c r="AA140" i="28" s="1"/>
  <c r="T246" i="28"/>
  <c r="M133" i="3"/>
  <c r="M172" i="3"/>
  <c r="N440" i="3"/>
  <c r="H564" i="23"/>
  <c r="T210" i="28"/>
  <c r="T257" i="28"/>
  <c r="AA257" i="28" s="1"/>
  <c r="T574" i="28"/>
  <c r="T584" i="28"/>
  <c r="AA584" i="28" s="1"/>
  <c r="M166" i="3"/>
  <c r="M355" i="3"/>
  <c r="M430" i="3"/>
  <c r="M586" i="3"/>
  <c r="T580" i="28"/>
  <c r="AA580" i="28" s="1"/>
  <c r="T629" i="28"/>
  <c r="T662" i="28"/>
  <c r="T668" i="28"/>
  <c r="T716" i="28"/>
  <c r="T754" i="28"/>
  <c r="M396" i="3"/>
  <c r="M402" i="3"/>
  <c r="M740" i="3"/>
  <c r="F437" i="23"/>
  <c r="H437" i="23"/>
  <c r="T446" i="28"/>
  <c r="T528" i="28"/>
  <c r="M55" i="3"/>
  <c r="M319" i="3"/>
  <c r="M626" i="3"/>
  <c r="M666" i="3"/>
  <c r="T721" i="28"/>
  <c r="M50" i="3"/>
  <c r="Q50" i="3" s="1"/>
  <c r="M132" i="3"/>
  <c r="M203" i="3"/>
  <c r="M325" i="3"/>
  <c r="M544" i="3"/>
  <c r="M664" i="3"/>
  <c r="M706" i="3"/>
  <c r="H614" i="23"/>
  <c r="T20" i="28"/>
  <c r="AA20" i="28" s="1"/>
  <c r="Z20" i="28" s="1"/>
  <c r="T254" i="28"/>
  <c r="T566" i="28"/>
  <c r="V579" i="28"/>
  <c r="T632" i="28"/>
  <c r="T663" i="28"/>
  <c r="T676" i="28"/>
  <c r="T711" i="28"/>
  <c r="T758" i="28"/>
  <c r="M134" i="3"/>
  <c r="M436" i="3"/>
  <c r="M475" i="3"/>
  <c r="M514" i="3"/>
  <c r="M701" i="3"/>
  <c r="M20" i="3"/>
  <c r="Q20" i="3" s="1"/>
  <c r="P20" i="3" s="1"/>
  <c r="M127" i="3"/>
  <c r="M12" i="3"/>
  <c r="Q12" i="3" s="1"/>
  <c r="M95" i="3"/>
  <c r="Q95" i="3" s="1"/>
  <c r="P95" i="3" s="1"/>
  <c r="M392" i="3"/>
  <c r="M698" i="3"/>
  <c r="M703" i="3"/>
  <c r="T176" i="28"/>
  <c r="T330" i="28"/>
  <c r="M18" i="3"/>
  <c r="Q18" i="3" s="1"/>
  <c r="P18" i="3" s="1"/>
  <c r="M56" i="3"/>
  <c r="Q56" i="3" s="1"/>
  <c r="P56" i="3" s="1"/>
  <c r="M629" i="3"/>
  <c r="A142" i="28"/>
  <c r="AG7" i="19"/>
  <c r="G12" i="8" s="1"/>
  <c r="E12" i="8" s="1"/>
  <c r="AJ4" i="19"/>
  <c r="T100" i="28"/>
  <c r="AA100" i="28" s="1"/>
  <c r="T755" i="28"/>
  <c r="M53" i="3"/>
  <c r="M58" i="3"/>
  <c r="Q58" i="3" s="1"/>
  <c r="P58" i="3" s="1"/>
  <c r="M552" i="3"/>
  <c r="M667" i="3"/>
  <c r="P949" i="19"/>
  <c r="G951" i="23"/>
  <c r="T51" i="28"/>
  <c r="AA51" i="28" s="1"/>
  <c r="T485" i="28"/>
  <c r="T720" i="28"/>
  <c r="M553" i="3"/>
  <c r="M589" i="3"/>
  <c r="M663" i="3"/>
  <c r="T212" i="28"/>
  <c r="T487" i="28"/>
  <c r="T630" i="28"/>
  <c r="M476" i="3"/>
  <c r="M509" i="3"/>
  <c r="T327" i="28"/>
  <c r="T803" i="28"/>
  <c r="M210" i="3"/>
  <c r="M364" i="3"/>
  <c r="M511" i="3"/>
  <c r="M736" i="3"/>
  <c r="M164" i="3"/>
  <c r="M279" i="3"/>
  <c r="M623" i="3"/>
  <c r="M15" i="3"/>
  <c r="O55" i="3"/>
  <c r="M19" i="3"/>
  <c r="Q19" i="3" s="1"/>
  <c r="P19" i="3" s="1"/>
  <c r="M478" i="3"/>
  <c r="Q478" i="3" s="1"/>
  <c r="M658" i="3"/>
  <c r="U480" i="28"/>
  <c r="T490" i="28"/>
  <c r="AA490" i="28" s="1"/>
  <c r="T810" i="28"/>
  <c r="T820" i="28"/>
  <c r="M128" i="3"/>
  <c r="M208" i="3"/>
  <c r="M240" i="3"/>
  <c r="M397" i="3"/>
  <c r="M510" i="3"/>
  <c r="T761" i="28"/>
  <c r="M21" i="3"/>
  <c r="Q21" i="3" s="1"/>
  <c r="P21" i="3" s="1"/>
  <c r="M549" i="3"/>
  <c r="M662" i="3"/>
  <c r="T722" i="28"/>
  <c r="M286" i="3"/>
  <c r="M469" i="3"/>
  <c r="M554" i="3"/>
  <c r="K333" i="38"/>
  <c r="C76" i="28"/>
  <c r="C271" i="28"/>
  <c r="K333" i="37"/>
  <c r="E18" i="29"/>
  <c r="E12" i="31"/>
  <c r="L360" i="31" s="1"/>
  <c r="C720" i="3"/>
  <c r="E11" i="31"/>
  <c r="H361" i="31" s="1"/>
  <c r="C378" i="3"/>
  <c r="E12" i="29"/>
  <c r="L359" i="29" s="1"/>
  <c r="E11" i="29"/>
  <c r="H360" i="29" s="1"/>
  <c r="C552" i="28"/>
  <c r="C606" i="3"/>
  <c r="E6" i="31"/>
  <c r="E9" i="29"/>
  <c r="C360" i="29" s="1"/>
  <c r="C349" i="28"/>
  <c r="C115" i="28"/>
  <c r="C310" i="28"/>
  <c r="E17" i="29"/>
  <c r="E19" i="30"/>
  <c r="E18" i="30"/>
  <c r="E14" i="29"/>
  <c r="E17" i="30"/>
  <c r="E13" i="29"/>
  <c r="L360" i="29" s="1"/>
  <c r="E19" i="31"/>
  <c r="E14" i="30"/>
  <c r="E17" i="31"/>
  <c r="E13" i="30"/>
  <c r="L361" i="30" s="1"/>
  <c r="D333" i="37"/>
  <c r="C36" i="3"/>
  <c r="C340" i="3"/>
  <c r="D333" i="38"/>
  <c r="E6" i="29"/>
  <c r="D333" i="39"/>
  <c r="C505" i="28"/>
  <c r="E13" i="31"/>
  <c r="L361" i="31" s="1"/>
  <c r="C530" i="3"/>
  <c r="D333" i="6"/>
  <c r="C740" i="28"/>
  <c r="E9" i="31"/>
  <c r="C361" i="31" s="1"/>
  <c r="C2" i="39"/>
  <c r="C2" i="6"/>
  <c r="C2" i="37"/>
  <c r="C2" i="38"/>
  <c r="A185" i="31"/>
  <c r="A185" i="30"/>
  <c r="K353" i="31"/>
  <c r="D25" i="30"/>
  <c r="S37" i="31"/>
  <c r="D25" i="31"/>
  <c r="S36" i="30"/>
  <c r="I25" i="30"/>
  <c r="C354" i="29"/>
  <c r="D25" i="29"/>
  <c r="K352" i="29"/>
  <c r="I25" i="29"/>
  <c r="S34" i="29"/>
  <c r="D26" i="29"/>
  <c r="Q74" i="3"/>
  <c r="AA388" i="28"/>
  <c r="H361" i="1"/>
  <c r="C74" i="3"/>
  <c r="C2" i="20"/>
  <c r="C646" i="28"/>
  <c r="A4947" i="26"/>
  <c r="A6485" i="26"/>
  <c r="A5250" i="26"/>
  <c r="A5989" i="26"/>
  <c r="A5517" i="26"/>
  <c r="A5873" i="26"/>
  <c r="A3132" i="26"/>
  <c r="A3587" i="26"/>
  <c r="A5770" i="26"/>
  <c r="A2632" i="26"/>
  <c r="A3192" i="26"/>
  <c r="A4780" i="26"/>
  <c r="A6093" i="26"/>
  <c r="A6394" i="26"/>
  <c r="A5215" i="26"/>
  <c r="A5704" i="26"/>
  <c r="A6102" i="26"/>
  <c r="A5499" i="26"/>
  <c r="A4520" i="26"/>
  <c r="A4098" i="26"/>
  <c r="A6153" i="26"/>
  <c r="A4601" i="26"/>
  <c r="A4905" i="26"/>
  <c r="A5482" i="26"/>
  <c r="A6690" i="26"/>
  <c r="A2747" i="26"/>
  <c r="A4454" i="26"/>
  <c r="A6602" i="26"/>
  <c r="A2650" i="26"/>
  <c r="A2718" i="26"/>
  <c r="A2777" i="26"/>
  <c r="A4445" i="26"/>
  <c r="A4867" i="26"/>
  <c r="A3924" i="26"/>
  <c r="A4484" i="26"/>
  <c r="A4705" i="26"/>
  <c r="A2362" i="26"/>
  <c r="A5644" i="26"/>
  <c r="A4033" i="26"/>
  <c r="A4928" i="26"/>
  <c r="A5348" i="26"/>
  <c r="A6518" i="26"/>
  <c r="A2555" i="26"/>
  <c r="A3995" i="26"/>
  <c r="A5933" i="26"/>
  <c r="A6265" i="26"/>
  <c r="A3015" i="26"/>
  <c r="A3731" i="26"/>
  <c r="A5847" i="26"/>
  <c r="A3646" i="26"/>
  <c r="A2324" i="26"/>
  <c r="A4239" i="26"/>
  <c r="A3229" i="26"/>
  <c r="A2977" i="26"/>
  <c r="A3338" i="26"/>
  <c r="A3722" i="26"/>
  <c r="A3859" i="26"/>
  <c r="A3908" i="26"/>
  <c r="A4733" i="26"/>
  <c r="A4986" i="26"/>
  <c r="A5178" i="26"/>
  <c r="A6097" i="26"/>
  <c r="A3484" i="26"/>
  <c r="A2345" i="26"/>
  <c r="A3900" i="26"/>
  <c r="A2548" i="26"/>
  <c r="A4184" i="26"/>
  <c r="A4602" i="26"/>
  <c r="A5467" i="26"/>
  <c r="A6213" i="26"/>
  <c r="A3168" i="26"/>
  <c r="A5755" i="26"/>
  <c r="A2693" i="26"/>
  <c r="A4632" i="26"/>
  <c r="A5103" i="26"/>
  <c r="A5592" i="26"/>
  <c r="A2309" i="26"/>
  <c r="A5342" i="26"/>
  <c r="A6062" i="26"/>
  <c r="A2579" i="26"/>
  <c r="A3439" i="26"/>
  <c r="A3825" i="26"/>
  <c r="A6177" i="26"/>
  <c r="A6375" i="26"/>
  <c r="A4117" i="26"/>
  <c r="A4854" i="26"/>
  <c r="A4881" i="26"/>
  <c r="A6500" i="26"/>
  <c r="A3357" i="26"/>
  <c r="A5448" i="26"/>
  <c r="A5916" i="26"/>
  <c r="A4864" i="26"/>
  <c r="A5629" i="26"/>
  <c r="A6127" i="26"/>
  <c r="A6673" i="26"/>
  <c r="A3495" i="26"/>
  <c r="A4902" i="26"/>
  <c r="A6320" i="26"/>
  <c r="A5659" i="26"/>
  <c r="A6645" i="26"/>
  <c r="A5708" i="26"/>
  <c r="A6083" i="26"/>
  <c r="A6016" i="26"/>
  <c r="A2652" i="26"/>
  <c r="A3440" i="26"/>
  <c r="A2862" i="26"/>
  <c r="A6615" i="26"/>
  <c r="A4698" i="26"/>
  <c r="A5493" i="26"/>
  <c r="A2854" i="26"/>
  <c r="A3815" i="26"/>
  <c r="A4195" i="26"/>
  <c r="A4410" i="26"/>
  <c r="A5294" i="26"/>
  <c r="A5790" i="26"/>
  <c r="A2817" i="26"/>
  <c r="A3116" i="26"/>
  <c r="A3761" i="26"/>
  <c r="A5152" i="26"/>
  <c r="A5096" i="26"/>
  <c r="A5432" i="26"/>
  <c r="A3089" i="26"/>
  <c r="A5622" i="26"/>
  <c r="A6717" i="26"/>
  <c r="A3935" i="26"/>
  <c r="A4578" i="26"/>
  <c r="A5888" i="26"/>
  <c r="A2751" i="26"/>
  <c r="A3897" i="26"/>
  <c r="A2714" i="26"/>
  <c r="A2743" i="26"/>
  <c r="A4569" i="26"/>
  <c r="A5862" i="26"/>
  <c r="A6376" i="26"/>
  <c r="A6699" i="26"/>
  <c r="A3330" i="26"/>
  <c r="A3716" i="26"/>
  <c r="A6072" i="26"/>
  <c r="A2390" i="26"/>
  <c r="A2428" i="26"/>
  <c r="A3301" i="26"/>
  <c r="A4530" i="26"/>
  <c r="A6137" i="26"/>
  <c r="A6359" i="26"/>
  <c r="A2419" i="26"/>
  <c r="A3033" i="26"/>
  <c r="A3063" i="26"/>
  <c r="A3543" i="26"/>
  <c r="A4307" i="26"/>
  <c r="A4464" i="26"/>
  <c r="A3144" i="26"/>
  <c r="A3413" i="26"/>
  <c r="A3797" i="26"/>
  <c r="A5459" i="26"/>
  <c r="A3302" i="26"/>
  <c r="A3651" i="26"/>
  <c r="A4365" i="26"/>
  <c r="A2355" i="26"/>
  <c r="A2725" i="26"/>
  <c r="A3433" i="26"/>
  <c r="A3489" i="26"/>
  <c r="A5973" i="26"/>
  <c r="A6195" i="26"/>
  <c r="A4996" i="26"/>
  <c r="A2955" i="26"/>
  <c r="A3397" i="26"/>
  <c r="A4254" i="26"/>
  <c r="A5316" i="26"/>
  <c r="A2431" i="26"/>
  <c r="A3204" i="26"/>
  <c r="A4737" i="26"/>
  <c r="A4792" i="26"/>
  <c r="A5061" i="26"/>
  <c r="A3370" i="26"/>
  <c r="A4711" i="26"/>
  <c r="A4302" i="26"/>
  <c r="A4822" i="26"/>
  <c r="A2775" i="26"/>
  <c r="A3640" i="26"/>
  <c r="A3875" i="26"/>
  <c r="A3975" i="26"/>
  <c r="A2832" i="26"/>
  <c r="A2860" i="26"/>
  <c r="A2949" i="26"/>
  <c r="A3838" i="26"/>
  <c r="A2351" i="26"/>
  <c r="A2500" i="26"/>
  <c r="A2566" i="26"/>
  <c r="A2776" i="26"/>
  <c r="A2804" i="26"/>
  <c r="A3758" i="26"/>
  <c r="A3794" i="26"/>
  <c r="A5214" i="26"/>
  <c r="A5673" i="26"/>
  <c r="A6107" i="26"/>
  <c r="A4662" i="26"/>
  <c r="A3506" i="26"/>
  <c r="A3725" i="26"/>
  <c r="A3744" i="26"/>
  <c r="A4383" i="26"/>
  <c r="A2588" i="26"/>
  <c r="A2706" i="26"/>
  <c r="A3350" i="26"/>
  <c r="A2515" i="26"/>
  <c r="A5396" i="26"/>
  <c r="A3249" i="26"/>
  <c r="A4393" i="26"/>
  <c r="A5810" i="26"/>
  <c r="A2974" i="26"/>
  <c r="A5792" i="26"/>
  <c r="A2937" i="26"/>
  <c r="A4756" i="26"/>
  <c r="A5080" i="26"/>
  <c r="A2911" i="26"/>
  <c r="A4255" i="26"/>
  <c r="A5194" i="26"/>
  <c r="A3011" i="26"/>
  <c r="A3846" i="26"/>
  <c r="A3949" i="26"/>
  <c r="A5082" i="26"/>
  <c r="A3585" i="26"/>
  <c r="A4285" i="26"/>
  <c r="A5000" i="26"/>
  <c r="A6641" i="26"/>
  <c r="A4224" i="26"/>
  <c r="A2762" i="26"/>
  <c r="A4447" i="26"/>
  <c r="A3035" i="26"/>
  <c r="A3645" i="26"/>
  <c r="A4052" i="26"/>
  <c r="A5144" i="26"/>
  <c r="A5955" i="26"/>
  <c r="A2291" i="26"/>
  <c r="A3026" i="26"/>
  <c r="A3072" i="26"/>
  <c r="A3100" i="26"/>
  <c r="A4280" i="26"/>
  <c r="A4959" i="26"/>
  <c r="A4968" i="26"/>
  <c r="A5032" i="26"/>
  <c r="A5324" i="26"/>
  <c r="A5653" i="26"/>
  <c r="A4701" i="26"/>
  <c r="A4951" i="26"/>
  <c r="A5713" i="26"/>
  <c r="A4062" i="26"/>
  <c r="A4152" i="26"/>
  <c r="A5379" i="26"/>
  <c r="A5688" i="26"/>
  <c r="A6242" i="26"/>
  <c r="A5271" i="26"/>
  <c r="A4311" i="26"/>
  <c r="A5237" i="26"/>
  <c r="A2386" i="26"/>
  <c r="A3224" i="26"/>
  <c r="A4264" i="26"/>
  <c r="A4321" i="26"/>
  <c r="A5427" i="26"/>
  <c r="A5563" i="26"/>
  <c r="A2359" i="26"/>
  <c r="A2868" i="26"/>
  <c r="A3178" i="26"/>
  <c r="A1894" i="26"/>
  <c r="A2886" i="26"/>
  <c r="A2894" i="26"/>
  <c r="A2921" i="26"/>
  <c r="A3575" i="26"/>
  <c r="A3776" i="26"/>
  <c r="A4536" i="26"/>
  <c r="A5681" i="26"/>
  <c r="A5363" i="26"/>
  <c r="A5391" i="26"/>
  <c r="A2585" i="26"/>
  <c r="A3105" i="26"/>
  <c r="A3123" i="26"/>
  <c r="A3347" i="26"/>
  <c r="A3568" i="26"/>
  <c r="A3586" i="26"/>
  <c r="A3830" i="26"/>
  <c r="A3942" i="26"/>
  <c r="A3968" i="26"/>
  <c r="A4249" i="26"/>
  <c r="A4266" i="26"/>
  <c r="A5232" i="26"/>
  <c r="A5491" i="26"/>
  <c r="A6338" i="26"/>
  <c r="A5181" i="26"/>
  <c r="A5568" i="26"/>
  <c r="A5999" i="26"/>
  <c r="A4550" i="26"/>
  <c r="A4605" i="26"/>
  <c r="A5358" i="26"/>
  <c r="A5450" i="26"/>
  <c r="A6240" i="26"/>
  <c r="A6284" i="26"/>
  <c r="A6369" i="26"/>
  <c r="A6542" i="26"/>
  <c r="A3025" i="26"/>
  <c r="A4848" i="26"/>
  <c r="A5818" i="26"/>
  <c r="A5827" i="26"/>
  <c r="A5855" i="26"/>
  <c r="A5990" i="26"/>
  <c r="A6008" i="26"/>
  <c r="A6222" i="26"/>
  <c r="A6303" i="26"/>
  <c r="A3267" i="26"/>
  <c r="A5531" i="26"/>
  <c r="A5774" i="26"/>
  <c r="A5791" i="26"/>
  <c r="A5800" i="26"/>
  <c r="A6506" i="26"/>
  <c r="A6710" i="26"/>
  <c r="A3619" i="26"/>
  <c r="A4439" i="26"/>
  <c r="A3000" i="26"/>
  <c r="A6729" i="26"/>
  <c r="A2412" i="26"/>
  <c r="A5670" i="26"/>
  <c r="A6286" i="26"/>
  <c r="A6453" i="26"/>
  <c r="A3360" i="26"/>
  <c r="A4026" i="26"/>
  <c r="A5289" i="26"/>
  <c r="A5325" i="26"/>
  <c r="A5654" i="26"/>
  <c r="A6038" i="26"/>
  <c r="A6462" i="26"/>
  <c r="A3379" i="26"/>
  <c r="A4422" i="26"/>
  <c r="A4683" i="26"/>
  <c r="A4063" i="26"/>
  <c r="A4803" i="26"/>
  <c r="A5761" i="26"/>
  <c r="A2266" i="26"/>
  <c r="A5609" i="26"/>
  <c r="A5715" i="26"/>
  <c r="A6020" i="26"/>
  <c r="A6391" i="26"/>
  <c r="A6546" i="26"/>
  <c r="A4001" i="26"/>
  <c r="A5903" i="26"/>
  <c r="A5985" i="26"/>
  <c r="A6161" i="26"/>
  <c r="A6217" i="26"/>
  <c r="A6365" i="26"/>
  <c r="A6419" i="26"/>
  <c r="A6695" i="26"/>
  <c r="A2305" i="26"/>
  <c r="A3281" i="26"/>
  <c r="A3922" i="26"/>
  <c r="A4638" i="26"/>
  <c r="A4776" i="26"/>
  <c r="A6658" i="26"/>
  <c r="A2297" i="26"/>
  <c r="A2678" i="26"/>
  <c r="A3023" i="26"/>
  <c r="A3077" i="26"/>
  <c r="A3162" i="26"/>
  <c r="A3171" i="26"/>
  <c r="A3467" i="26"/>
  <c r="A3687" i="26"/>
  <c r="A3977" i="26"/>
  <c r="A4194" i="26"/>
  <c r="A4723" i="26"/>
  <c r="A4871" i="26"/>
  <c r="A5547" i="26"/>
  <c r="A5658" i="26"/>
  <c r="A5915" i="26"/>
  <c r="A6595" i="26"/>
  <c r="A3970" i="26"/>
  <c r="A2307" i="26"/>
  <c r="A3066" i="26"/>
  <c r="A3092" i="26"/>
  <c r="A3516" i="26"/>
  <c r="A3808" i="26"/>
  <c r="A4294" i="26"/>
  <c r="A4671" i="26"/>
  <c r="A4894" i="26"/>
  <c r="A4930" i="26"/>
  <c r="A4939" i="26"/>
  <c r="A5276" i="26"/>
  <c r="A5346" i="26"/>
  <c r="A5623" i="26"/>
  <c r="A2335" i="26"/>
  <c r="A3259" i="26"/>
  <c r="A3554" i="26"/>
  <c r="A3746" i="26"/>
  <c r="A4137" i="26"/>
  <c r="A4406" i="26"/>
  <c r="A5209" i="26"/>
  <c r="A5504" i="26"/>
  <c r="A2388" i="26"/>
  <c r="A2498" i="26"/>
  <c r="A2629" i="26"/>
  <c r="A2971" i="26"/>
  <c r="A2997" i="26"/>
  <c r="A3720" i="26"/>
  <c r="A3817" i="26"/>
  <c r="A3988" i="26"/>
  <c r="A4580" i="26"/>
  <c r="A4949" i="26"/>
  <c r="A5056" i="26"/>
  <c r="A5102" i="26"/>
  <c r="A5110" i="26"/>
  <c r="A3156" i="26"/>
  <c r="A3499" i="26"/>
  <c r="A3666" i="26"/>
  <c r="A4478" i="26"/>
  <c r="A4753" i="26"/>
  <c r="A5174" i="26"/>
  <c r="A5455" i="26"/>
  <c r="A5652" i="26"/>
  <c r="A2684" i="26"/>
  <c r="A3013" i="26"/>
  <c r="A3200" i="26"/>
  <c r="A3324" i="26"/>
  <c r="A3810" i="26"/>
  <c r="A4173" i="26"/>
  <c r="A4617" i="26"/>
  <c r="A4807" i="26"/>
  <c r="A4887" i="26"/>
  <c r="A4895" i="26"/>
  <c r="A5165" i="26"/>
  <c r="A5296" i="26"/>
  <c r="A5764" i="26"/>
  <c r="A5814" i="26"/>
  <c r="A6061" i="26"/>
  <c r="A6123" i="26"/>
  <c r="A6281" i="26"/>
  <c r="A6610" i="26"/>
  <c r="A6626" i="26"/>
  <c r="A6555" i="26"/>
  <c r="A4814" i="26"/>
  <c r="A6377" i="26"/>
  <c r="A6633" i="26"/>
  <c r="A6713" i="26"/>
  <c r="A2942" i="26"/>
  <c r="A3004" i="26"/>
  <c r="A3207" i="26"/>
  <c r="A3380" i="26"/>
  <c r="A3606" i="26"/>
  <c r="A3703" i="26"/>
  <c r="A3755" i="26"/>
  <c r="A4833" i="26"/>
  <c r="A6086" i="26"/>
  <c r="A6279" i="26"/>
  <c r="A6353" i="26"/>
  <c r="A6457" i="26"/>
  <c r="A6600" i="26"/>
  <c r="A2690" i="26"/>
  <c r="A3571" i="26"/>
  <c r="A4251" i="26"/>
  <c r="A5685" i="26"/>
  <c r="A5900" i="26"/>
  <c r="A6014" i="26"/>
  <c r="A6068" i="26"/>
  <c r="A6236" i="26"/>
  <c r="A6253" i="26"/>
  <c r="A6335" i="26"/>
  <c r="A6696" i="26"/>
  <c r="A3234" i="26"/>
  <c r="A3331" i="26"/>
  <c r="A3633" i="26"/>
  <c r="A4022" i="26"/>
  <c r="A5779" i="26"/>
  <c r="A5804" i="26"/>
  <c r="A5840" i="26"/>
  <c r="A5917" i="26"/>
  <c r="A5988" i="26"/>
  <c r="A6200" i="26"/>
  <c r="A6270" i="26"/>
  <c r="A6307" i="26"/>
  <c r="A6432" i="26"/>
  <c r="A6592" i="26"/>
  <c r="A3508" i="26"/>
  <c r="A3881" i="26"/>
  <c r="A4295" i="26"/>
  <c r="A6104" i="26"/>
  <c r="A6139" i="26"/>
  <c r="A6192" i="26"/>
  <c r="A6450" i="26"/>
  <c r="A6634" i="26"/>
  <c r="A3456" i="26"/>
  <c r="A3509" i="26"/>
  <c r="A3721" i="26"/>
  <c r="A4041" i="26"/>
  <c r="A5147" i="26"/>
  <c r="A5893" i="26"/>
  <c r="A5303" i="26"/>
  <c r="A5336" i="26"/>
  <c r="A5441" i="26"/>
  <c r="A5498" i="26"/>
  <c r="A5615" i="26"/>
  <c r="A5736" i="26"/>
  <c r="A6027" i="26"/>
  <c r="A6272" i="26"/>
  <c r="A6299" i="26"/>
  <c r="A6603" i="26"/>
  <c r="A5156" i="26"/>
  <c r="A6176" i="26"/>
  <c r="A1510" i="26"/>
  <c r="A2420" i="26"/>
  <c r="A2561" i="26"/>
  <c r="A2765" i="26"/>
  <c r="A2792" i="26"/>
  <c r="A2970" i="26"/>
  <c r="A3211" i="26"/>
  <c r="A3317" i="26"/>
  <c r="A4160" i="26"/>
  <c r="A4203" i="26"/>
  <c r="A4409" i="26"/>
  <c r="A4471" i="26"/>
  <c r="A4516" i="26"/>
  <c r="A4955" i="26"/>
  <c r="A5416" i="26"/>
  <c r="A5449" i="26"/>
  <c r="A5632" i="26"/>
  <c r="A6159" i="26"/>
  <c r="A6387" i="26"/>
  <c r="A4575" i="26"/>
  <c r="A4655" i="26"/>
  <c r="A4830" i="26"/>
  <c r="A4924" i="26"/>
  <c r="A5089" i="26"/>
  <c r="A5140" i="26"/>
  <c r="A5368" i="26"/>
  <c r="A5438" i="26"/>
  <c r="A5502" i="26"/>
  <c r="A5660" i="26"/>
  <c r="A6007" i="26"/>
  <c r="A6021" i="26"/>
  <c r="A6048" i="26"/>
  <c r="A6134" i="26"/>
  <c r="A6202" i="26"/>
  <c r="A6228" i="26"/>
  <c r="A6572" i="26"/>
  <c r="A6681" i="26"/>
  <c r="A2594" i="26"/>
  <c r="A3040" i="26"/>
  <c r="A3212" i="26"/>
  <c r="A4124" i="26"/>
  <c r="A4567" i="26"/>
  <c r="A5966" i="26"/>
  <c r="A2488" i="26"/>
  <c r="A2621" i="26"/>
  <c r="A2622" i="26"/>
  <c r="A2814" i="26"/>
  <c r="A3131" i="26"/>
  <c r="A3214" i="26"/>
  <c r="A3400" i="26"/>
  <c r="A2381" i="26"/>
  <c r="A2423" i="26"/>
  <c r="A2542" i="26"/>
  <c r="A2439" i="26"/>
  <c r="A2574" i="26"/>
  <c r="A2869" i="26"/>
  <c r="A2973" i="26"/>
  <c r="A3902" i="26"/>
  <c r="A2366" i="26"/>
  <c r="A2744" i="26"/>
  <c r="A3108" i="26"/>
  <c r="A3428" i="26"/>
  <c r="A3504" i="26"/>
  <c r="A3658" i="26"/>
  <c r="A2416" i="26"/>
  <c r="A3124" i="26"/>
  <c r="A6770" i="26"/>
  <c r="A3325" i="26"/>
  <c r="A3793" i="26"/>
  <c r="A3852" i="26"/>
  <c r="A5228" i="26"/>
  <c r="A2925" i="26"/>
  <c r="A2990" i="26"/>
  <c r="A2849" i="26"/>
  <c r="A2347" i="26"/>
  <c r="A2553" i="26"/>
  <c r="A2864" i="26"/>
  <c r="A2783" i="26"/>
  <c r="A2859" i="26"/>
  <c r="A3079" i="26"/>
  <c r="A3219" i="26"/>
  <c r="A3304" i="26"/>
  <c r="A3492" i="26"/>
  <c r="A3680" i="26"/>
  <c r="A3907" i="26"/>
  <c r="A3950" i="26"/>
  <c r="A4217" i="26"/>
  <c r="A4259" i="26"/>
  <c r="A4317" i="26"/>
  <c r="A4325" i="26"/>
  <c r="A4379" i="26"/>
  <c r="A4625" i="26"/>
  <c r="A4914" i="26"/>
  <c r="A5370" i="26"/>
  <c r="A5378" i="26"/>
  <c r="A5655" i="26"/>
  <c r="A6352" i="26"/>
  <c r="A6360" i="26"/>
  <c r="A3238" i="26"/>
  <c r="A4898" i="26"/>
  <c r="A6205" i="26"/>
  <c r="A6483" i="26"/>
  <c r="A2667" i="26"/>
  <c r="A3256" i="26"/>
  <c r="A3417" i="26"/>
  <c r="A3442" i="26"/>
  <c r="A3460" i="26"/>
  <c r="A3553" i="26"/>
  <c r="A4116" i="26"/>
  <c r="A4563" i="26"/>
  <c r="A5339" i="26"/>
  <c r="A2979" i="26"/>
  <c r="A3394" i="26"/>
  <c r="A3674" i="26"/>
  <c r="A5158" i="26"/>
  <c r="A5618" i="26"/>
  <c r="A6131" i="26"/>
  <c r="A6484" i="26"/>
  <c r="A3910" i="26"/>
  <c r="A5522" i="26"/>
  <c r="A5909" i="26"/>
  <c r="A3536" i="26"/>
  <c r="A3792" i="26"/>
  <c r="A4432" i="26"/>
  <c r="A4564" i="26"/>
  <c r="A4726" i="26"/>
  <c r="A5243" i="26"/>
  <c r="A5611" i="26"/>
  <c r="A5856" i="26"/>
  <c r="A5895" i="26"/>
  <c r="A6092" i="26"/>
  <c r="A6181" i="26"/>
  <c r="A3034" i="26"/>
  <c r="A4061" i="26"/>
  <c r="A4076" i="26"/>
  <c r="A4205" i="26"/>
  <c r="A4416" i="26"/>
  <c r="A4742" i="26"/>
  <c r="A5066" i="26"/>
  <c r="A5902" i="26"/>
  <c r="A6124" i="26"/>
  <c r="A6777" i="26"/>
  <c r="A2311" i="26"/>
  <c r="A2374" i="26"/>
  <c r="A3340" i="26"/>
  <c r="A5186" i="26"/>
  <c r="A5515" i="26"/>
  <c r="A5603" i="26"/>
  <c r="A5969" i="26"/>
  <c r="A6022" i="26"/>
  <c r="A6321" i="26"/>
  <c r="A6420" i="26"/>
  <c r="A6742" i="26"/>
  <c r="A2304" i="26"/>
  <c r="A3610" i="26"/>
  <c r="A4680" i="26"/>
  <c r="A4720" i="26"/>
  <c r="A4960" i="26"/>
  <c r="A5309" i="26"/>
  <c r="A6108" i="26"/>
  <c r="A6413" i="26"/>
  <c r="A3396" i="26"/>
  <c r="A4102" i="26"/>
  <c r="A4656" i="26"/>
  <c r="A5127" i="26"/>
  <c r="A5543" i="26"/>
  <c r="A5604" i="26"/>
  <c r="A5954" i="26"/>
  <c r="A5962" i="26"/>
  <c r="A6725" i="26"/>
  <c r="A2763" i="26"/>
  <c r="A4418" i="26"/>
  <c r="A4469" i="26"/>
  <c r="A4648" i="26"/>
  <c r="A4673" i="26"/>
  <c r="A5825" i="26"/>
  <c r="A6280" i="26"/>
  <c r="A2918" i="26"/>
  <c r="A3086" i="26"/>
  <c r="A3611" i="26"/>
  <c r="A3844" i="26"/>
  <c r="A4699" i="26"/>
  <c r="A4706" i="26"/>
  <c r="A5011" i="26"/>
  <c r="A5027" i="26"/>
  <c r="A5668" i="26"/>
  <c r="A5701" i="26"/>
  <c r="A6380" i="26"/>
  <c r="A2833" i="26"/>
  <c r="A3738" i="26"/>
  <c r="A4316" i="26"/>
  <c r="A4606" i="26"/>
  <c r="A5043" i="26"/>
  <c r="A5817" i="26"/>
  <c r="A2722" i="26"/>
  <c r="A3111" i="26"/>
  <c r="A4013" i="26"/>
  <c r="A4300" i="26"/>
  <c r="A4332" i="26"/>
  <c r="A4583" i="26"/>
  <c r="A4658" i="26"/>
  <c r="A4988" i="26"/>
  <c r="A5483" i="26"/>
  <c r="A5508" i="26"/>
  <c r="A2354" i="26"/>
  <c r="A2627" i="26"/>
  <c r="A3070" i="26"/>
  <c r="A3762" i="26"/>
  <c r="A4038" i="26"/>
  <c r="A4309" i="26"/>
  <c r="A4641" i="26"/>
  <c r="A5428" i="26"/>
  <c r="A5866" i="26"/>
  <c r="A6244" i="26"/>
  <c r="A6367" i="26"/>
  <c r="A3475" i="26"/>
  <c r="A3706" i="26"/>
  <c r="A3915" i="26"/>
  <c r="A5402" i="26"/>
  <c r="A5412" i="26"/>
  <c r="A5678" i="26"/>
  <c r="A5694" i="26"/>
  <c r="A6667" i="26"/>
  <c r="A2349" i="26"/>
  <c r="A2487" i="26"/>
  <c r="A2611" i="26"/>
  <c r="A2723" i="26"/>
  <c r="A2843" i="26"/>
  <c r="A2436" i="26"/>
  <c r="A2819" i="26"/>
  <c r="A2828" i="26"/>
  <c r="A3031" i="26"/>
  <c r="A3048" i="26"/>
  <c r="A3057" i="26"/>
  <c r="A3254" i="26"/>
  <c r="A3500" i="26"/>
  <c r="A3698" i="26"/>
  <c r="A3991" i="26"/>
  <c r="A4310" i="26"/>
  <c r="A4353" i="26"/>
  <c r="A4472" i="26"/>
  <c r="A4524" i="26"/>
  <c r="A4824" i="26"/>
  <c r="A5279" i="26"/>
  <c r="A5501" i="26"/>
  <c r="A5640" i="26"/>
  <c r="A5662" i="26"/>
  <c r="A6221" i="26"/>
  <c r="A6238" i="26"/>
  <c r="A6543" i="26"/>
  <c r="A6586" i="26"/>
  <c r="A2683" i="26"/>
  <c r="A2573" i="26"/>
  <c r="A2915" i="26"/>
  <c r="A2956" i="26"/>
  <c r="A2565" i="26"/>
  <c r="A2596" i="26"/>
  <c r="A2987" i="26"/>
  <c r="A4141" i="26"/>
  <c r="A2337" i="26"/>
  <c r="A2787" i="26"/>
  <c r="A3149" i="26"/>
  <c r="A4483" i="26"/>
  <c r="A2736" i="26"/>
  <c r="A2876" i="26"/>
  <c r="A2980" i="26"/>
  <c r="A3355" i="26"/>
  <c r="A2295" i="26"/>
  <c r="A4475" i="26"/>
  <c r="A2863" i="26"/>
  <c r="A3886" i="26"/>
  <c r="A4127" i="26"/>
  <c r="A3185" i="26"/>
  <c r="A2312" i="26"/>
  <c r="A2877" i="26"/>
  <c r="A2375" i="26"/>
  <c r="A2501" i="26"/>
  <c r="A2738" i="26"/>
  <c r="A4402" i="26"/>
  <c r="A2361" i="26"/>
  <c r="A3381" i="26"/>
  <c r="A2878" i="26"/>
  <c r="A2936" i="26"/>
  <c r="A3244" i="26"/>
  <c r="A2538" i="26"/>
  <c r="A2674" i="26"/>
  <c r="A2844" i="26"/>
  <c r="A4326" i="26"/>
  <c r="A4593" i="26"/>
  <c r="A4839" i="26"/>
  <c r="A4981" i="26"/>
  <c r="A5599" i="26"/>
  <c r="A6260" i="26"/>
  <c r="A2707" i="26"/>
  <c r="A2836" i="26"/>
  <c r="A3882" i="26"/>
  <c r="A4165" i="26"/>
  <c r="A4227" i="26"/>
  <c r="A4237" i="26"/>
  <c r="A4800" i="26"/>
  <c r="A4906" i="26"/>
  <c r="A6114" i="26"/>
  <c r="A6239" i="26"/>
  <c r="A6492" i="26"/>
  <c r="A2580" i="26"/>
  <c r="A2785" i="26"/>
  <c r="A2829" i="26"/>
  <c r="A2922" i="26"/>
  <c r="A2986" i="26"/>
  <c r="A3434" i="26"/>
  <c r="A3451" i="26"/>
  <c r="A4211" i="26"/>
  <c r="A4890" i="26"/>
  <c r="A3017" i="26"/>
  <c r="A3199" i="26"/>
  <c r="A3230" i="26"/>
  <c r="A3961" i="26"/>
  <c r="A4133" i="26"/>
  <c r="A4825" i="26"/>
  <c r="A5242" i="26"/>
  <c r="A5558" i="26"/>
  <c r="A6493" i="26"/>
  <c r="A6537" i="26"/>
  <c r="A2964" i="26"/>
  <c r="A3625" i="26"/>
  <c r="A4204" i="26"/>
  <c r="A5365" i="26"/>
  <c r="A6056" i="26"/>
  <c r="A6776" i="26"/>
  <c r="A2614" i="26"/>
  <c r="A4423" i="26"/>
  <c r="A4750" i="26"/>
  <c r="A4859" i="26"/>
  <c r="A5150" i="26"/>
  <c r="A5830" i="26"/>
  <c r="A6000" i="26"/>
  <c r="A6164" i="26"/>
  <c r="A6538" i="26"/>
  <c r="A6750" i="26"/>
  <c r="A4190" i="26"/>
  <c r="A4263" i="26"/>
  <c r="A5251" i="26"/>
  <c r="A5976" i="26"/>
  <c r="A6435" i="26"/>
  <c r="A6459" i="26"/>
  <c r="A6530" i="26"/>
  <c r="A6741" i="26"/>
  <c r="A3462" i="26"/>
  <c r="A4069" i="26"/>
  <c r="A5823" i="26"/>
  <c r="A6030" i="26"/>
  <c r="A6057" i="26"/>
  <c r="A4392" i="26"/>
  <c r="A5041" i="26"/>
  <c r="A5334" i="26"/>
  <c r="A5879" i="26"/>
  <c r="A6329" i="26"/>
  <c r="A6698" i="26"/>
  <c r="A2900" i="26"/>
  <c r="A2958" i="26"/>
  <c r="A4198" i="26"/>
  <c r="A4727" i="26"/>
  <c r="A4785" i="26"/>
  <c r="A5203" i="26"/>
  <c r="A5326" i="26"/>
  <c r="A3719" i="26"/>
  <c r="A4548" i="26"/>
  <c r="A4713" i="26"/>
  <c r="A4804" i="26"/>
  <c r="A5807" i="26"/>
  <c r="A5872" i="26"/>
  <c r="A6514" i="26"/>
  <c r="A1899" i="26"/>
  <c r="A4614" i="26"/>
  <c r="A5034" i="26"/>
  <c r="A6009" i="26"/>
  <c r="A6032" i="26"/>
  <c r="A6314" i="26"/>
  <c r="A6396" i="26"/>
  <c r="A6487" i="26"/>
  <c r="A2418" i="26"/>
  <c r="A3595" i="26"/>
  <c r="A3853" i="26"/>
  <c r="A4161" i="26"/>
  <c r="A4623" i="26"/>
  <c r="A5162" i="26"/>
  <c r="A5833" i="26"/>
  <c r="A5963" i="26"/>
  <c r="A6002" i="26"/>
  <c r="A6297" i="26"/>
  <c r="A6470" i="26"/>
  <c r="A6683" i="26"/>
  <c r="A2289" i="26"/>
  <c r="A2617" i="26"/>
  <c r="A3294" i="26"/>
  <c r="A3319" i="26"/>
  <c r="A3827" i="26"/>
  <c r="A4020" i="26"/>
  <c r="A4929" i="26"/>
  <c r="A5717" i="26"/>
  <c r="A5753" i="26"/>
  <c r="A5971" i="26"/>
  <c r="A5995" i="26"/>
  <c r="A6414" i="26"/>
  <c r="A2478" i="26"/>
  <c r="A3195" i="26"/>
  <c r="A3941" i="26"/>
  <c r="A4394" i="26"/>
  <c r="A4600" i="26"/>
  <c r="A4615" i="26"/>
  <c r="A4649" i="26"/>
  <c r="A4714" i="26"/>
  <c r="A5436" i="26"/>
  <c r="A5859" i="26"/>
  <c r="A5947" i="26"/>
  <c r="A6258" i="26"/>
  <c r="A6273" i="26"/>
  <c r="A6558" i="26"/>
  <c r="A6745" i="26"/>
  <c r="A2645" i="26"/>
  <c r="A2858" i="26"/>
  <c r="A4104" i="26"/>
  <c r="A4855" i="26"/>
  <c r="A5785" i="26"/>
  <c r="A5801" i="26"/>
  <c r="A5930" i="26"/>
  <c r="A6341" i="26"/>
  <c r="A6701" i="26"/>
  <c r="A6718" i="26"/>
  <c r="A2281" i="26"/>
  <c r="A2636" i="26"/>
  <c r="A3227" i="26"/>
  <c r="A3278" i="26"/>
  <c r="A4708" i="26"/>
  <c r="A5509" i="26"/>
  <c r="A5737" i="26"/>
  <c r="A1065" i="26"/>
  <c r="A3441" i="26"/>
  <c r="A3960" i="26"/>
  <c r="A4278" i="26"/>
  <c r="A4781" i="26"/>
  <c r="A5387" i="26"/>
  <c r="A5650" i="26"/>
  <c r="A5656" i="26"/>
  <c r="A2267" i="26"/>
  <c r="A2409" i="26"/>
  <c r="A3496" i="26"/>
  <c r="A4192" i="26"/>
  <c r="A5119" i="26"/>
  <c r="A6078" i="26"/>
  <c r="A6232" i="26"/>
  <c r="A2852" i="26"/>
  <c r="A3264" i="26"/>
  <c r="A3374" i="26"/>
  <c r="A3402" i="26"/>
  <c r="A3630" i="26"/>
  <c r="A3732" i="26"/>
  <c r="A3954" i="26"/>
  <c r="A4388" i="26"/>
  <c r="A4453" i="26"/>
  <c r="A4521" i="26"/>
  <c r="A4685" i="26"/>
  <c r="A4770" i="26"/>
  <c r="A4907" i="26"/>
  <c r="A4965" i="26"/>
  <c r="A5478" i="26"/>
  <c r="A5612" i="26"/>
  <c r="A5619" i="26"/>
  <c r="A5633" i="26"/>
  <c r="A5730" i="26"/>
  <c r="A5794" i="26"/>
  <c r="A6612" i="26"/>
  <c r="A6686" i="26"/>
  <c r="A6765" i="26"/>
  <c r="A2822" i="26"/>
  <c r="A3169" i="26"/>
  <c r="A3412" i="26"/>
  <c r="A3661" i="26"/>
  <c r="A3863" i="26"/>
  <c r="A4153" i="26"/>
  <c r="A4779" i="26"/>
  <c r="A4982" i="26"/>
  <c r="A5425" i="26"/>
  <c r="A5590" i="26"/>
  <c r="A5605" i="26"/>
  <c r="A6310" i="26"/>
  <c r="A6737" i="26"/>
  <c r="A2379" i="26"/>
  <c r="A2426" i="26"/>
  <c r="A2531" i="26"/>
  <c r="A2740" i="26"/>
  <c r="A3021" i="26"/>
  <c r="A3638" i="26"/>
  <c r="A3718" i="26"/>
  <c r="A3813" i="26"/>
  <c r="A3821" i="26"/>
  <c r="A3872" i="26"/>
  <c r="A3947" i="26"/>
  <c r="A4081" i="26"/>
  <c r="A4105" i="26"/>
  <c r="A4146" i="26"/>
  <c r="A4438" i="26"/>
  <c r="A4565" i="26"/>
  <c r="A4686" i="26"/>
  <c r="A4763" i="26"/>
  <c r="A5006" i="26"/>
  <c r="A5112" i="26"/>
  <c r="A5172" i="26"/>
  <c r="A5350" i="26"/>
  <c r="A5464" i="26"/>
  <c r="A5479" i="26"/>
  <c r="A5529" i="26"/>
  <c r="A5556" i="26"/>
  <c r="A5597" i="26"/>
  <c r="A5958" i="26"/>
  <c r="A6079" i="26"/>
  <c r="A6087" i="26"/>
  <c r="A6143" i="26"/>
  <c r="A6354" i="26"/>
  <c r="A6448" i="26"/>
  <c r="A6507" i="26"/>
  <c r="A6515" i="26"/>
  <c r="A6598" i="26"/>
  <c r="A6635" i="26"/>
  <c r="A6644" i="26"/>
  <c r="A2318" i="26"/>
  <c r="A2344" i="26"/>
  <c r="A2394" i="26"/>
  <c r="A2492" i="26"/>
  <c r="A2516" i="26"/>
  <c r="A2562" i="26"/>
  <c r="A2732" i="26"/>
  <c r="A2774" i="26"/>
  <c r="A2799" i="26"/>
  <c r="A2807" i="26"/>
  <c r="A2954" i="26"/>
  <c r="A3115" i="26"/>
  <c r="A3194" i="26"/>
  <c r="A3209" i="26"/>
  <c r="A3250" i="26"/>
  <c r="A3265" i="26"/>
  <c r="A3368" i="26"/>
  <c r="A3529" i="26"/>
  <c r="A3538" i="26"/>
  <c r="A3608" i="26"/>
  <c r="A3653" i="26"/>
  <c r="A3670" i="26"/>
  <c r="A3782" i="26"/>
  <c r="A3972" i="26"/>
  <c r="A4122" i="26"/>
  <c r="A4281" i="26"/>
  <c r="A4329" i="26"/>
  <c r="A4558" i="26"/>
  <c r="A4645" i="26"/>
  <c r="A4678" i="26"/>
  <c r="A4748" i="26"/>
  <c r="A4755" i="26"/>
  <c r="A4836" i="26"/>
  <c r="A5104" i="26"/>
  <c r="A5155" i="26"/>
  <c r="A5409" i="26"/>
  <c r="A5426" i="26"/>
  <c r="A6426" i="26"/>
  <c r="A6620" i="26"/>
  <c r="A2258" i="26"/>
  <c r="A2292" i="26"/>
  <c r="A2866" i="26"/>
  <c r="A3420" i="26"/>
  <c r="A2440" i="26"/>
  <c r="A2608" i="26"/>
  <c r="A2669" i="26"/>
  <c r="A2724" i="26"/>
  <c r="A3098" i="26"/>
  <c r="A2468" i="26"/>
  <c r="A2914" i="26"/>
  <c r="A3014" i="26"/>
  <c r="A3631" i="26"/>
  <c r="A3639" i="26"/>
  <c r="A3814" i="26"/>
  <c r="A3864" i="26"/>
  <c r="A4772" i="26"/>
  <c r="A4999" i="26"/>
  <c r="A5206" i="26"/>
  <c r="A5457" i="26"/>
  <c r="A5606" i="26"/>
  <c r="A5925" i="26"/>
  <c r="A6136" i="26"/>
  <c r="A6614" i="26"/>
  <c r="A6479" i="26"/>
  <c r="A2584" i="26"/>
  <c r="A2944" i="26"/>
  <c r="A3757" i="26"/>
  <c r="A4120" i="26"/>
  <c r="A4271" i="26"/>
  <c r="A4362" i="26"/>
  <c r="A5463" i="26"/>
  <c r="A5596" i="26"/>
  <c r="A5802" i="26"/>
  <c r="A6199" i="26"/>
  <c r="A6216" i="26"/>
  <c r="A6694" i="26"/>
  <c r="A3114" i="26"/>
  <c r="A3177" i="26"/>
  <c r="A3685" i="26"/>
  <c r="A3749" i="26"/>
  <c r="A3986" i="26"/>
  <c r="A4169" i="26"/>
  <c r="A4504" i="26"/>
  <c r="A4694" i="26"/>
  <c r="A5310" i="26"/>
  <c r="A6247" i="26"/>
  <c r="A2402" i="26"/>
  <c r="A2600" i="26"/>
  <c r="A2781" i="26"/>
  <c r="A3006" i="26"/>
  <c r="A3623" i="26"/>
  <c r="A4670" i="26"/>
  <c r="A5626" i="26"/>
  <c r="A6150" i="26"/>
  <c r="A6224" i="26"/>
  <c r="A6669" i="26"/>
  <c r="A2476" i="26"/>
  <c r="A2790" i="26"/>
  <c r="A2905" i="26"/>
  <c r="A3382" i="26"/>
  <c r="A2286" i="26"/>
  <c r="A2380" i="26"/>
  <c r="A2532" i="26"/>
  <c r="A2556" i="26"/>
  <c r="A2766" i="26"/>
  <c r="A3163" i="26"/>
  <c r="A3566" i="26"/>
  <c r="A3654" i="26"/>
  <c r="A3932" i="26"/>
  <c r="A4003" i="26"/>
  <c r="A4060" i="26"/>
  <c r="A4201" i="26"/>
  <c r="A4233" i="26"/>
  <c r="A4265" i="26"/>
  <c r="A4374" i="26"/>
  <c r="A4430" i="26"/>
  <c r="A4566" i="26"/>
  <c r="A4687" i="26"/>
  <c r="A4815" i="26"/>
  <c r="A4846" i="26"/>
  <c r="A4886" i="26"/>
  <c r="A4983" i="26"/>
  <c r="A5189" i="26"/>
  <c r="A5434" i="26"/>
  <c r="A5548" i="26"/>
  <c r="A5699" i="26"/>
  <c r="A6434" i="26"/>
  <c r="A6449" i="26"/>
  <c r="A6599" i="26"/>
  <c r="A5931" i="26"/>
  <c r="A6017" i="26"/>
  <c r="A6129" i="26"/>
  <c r="A6184" i="26"/>
  <c r="A6629" i="26"/>
  <c r="A2481" i="26"/>
  <c r="A3165" i="26"/>
  <c r="A3544" i="26"/>
  <c r="A3562" i="26"/>
  <c r="A5164" i="26"/>
  <c r="A5213" i="26"/>
  <c r="A5446" i="26"/>
  <c r="A5492" i="26"/>
  <c r="A5541" i="26"/>
  <c r="A5723" i="26"/>
  <c r="A5948" i="26"/>
  <c r="A6010" i="26"/>
  <c r="A6100" i="26"/>
  <c r="A6106" i="26"/>
  <c r="A6122" i="26"/>
  <c r="A6344" i="26"/>
  <c r="A6382" i="26"/>
  <c r="A6528" i="26"/>
  <c r="A6552" i="26"/>
  <c r="A6584" i="26"/>
  <c r="A6637" i="26"/>
  <c r="A6722" i="26"/>
  <c r="A3198" i="26"/>
  <c r="A4543" i="26"/>
  <c r="A4621" i="26"/>
  <c r="A5700" i="26"/>
  <c r="A5996" i="26"/>
  <c r="A6018" i="26"/>
  <c r="A6622" i="26"/>
  <c r="A6758" i="26"/>
  <c r="A2325" i="26"/>
  <c r="A2377" i="26"/>
  <c r="A2620" i="26"/>
  <c r="A2897" i="26"/>
  <c r="A2929" i="26"/>
  <c r="A3228" i="26"/>
  <c r="A3339" i="26"/>
  <c r="A3361" i="26"/>
  <c r="A3528" i="26"/>
  <c r="A3614" i="26"/>
  <c r="A3629" i="26"/>
  <c r="A3667" i="26"/>
  <c r="A3778" i="26"/>
  <c r="A4385" i="26"/>
  <c r="A4509" i="26"/>
  <c r="A4715" i="26"/>
  <c r="A4954" i="26"/>
  <c r="A5099" i="26"/>
  <c r="A5469" i="26"/>
  <c r="A5484" i="26"/>
  <c r="A5532" i="26"/>
  <c r="A5616" i="26"/>
  <c r="A5676" i="26"/>
  <c r="A5741" i="26"/>
  <c r="A5932" i="26"/>
  <c r="A6130" i="26"/>
  <c r="A6399" i="26"/>
  <c r="A6545" i="26"/>
  <c r="A5651" i="26"/>
  <c r="A5757" i="26"/>
  <c r="A6300" i="26"/>
  <c r="A3216" i="26"/>
  <c r="A3299" i="26"/>
  <c r="A3314" i="26"/>
  <c r="A3455" i="26"/>
  <c r="A3478" i="26"/>
  <c r="A3494" i="26"/>
  <c r="A3501" i="26"/>
  <c r="A3690" i="26"/>
  <c r="A3848" i="26"/>
  <c r="A3965" i="26"/>
  <c r="A3993" i="26"/>
  <c r="A4297" i="26"/>
  <c r="A4465" i="26"/>
  <c r="A4560" i="26"/>
  <c r="A4805" i="26"/>
  <c r="A5167" i="26"/>
  <c r="A5481" i="26"/>
  <c r="A5787" i="26"/>
  <c r="A6033" i="26"/>
  <c r="A2274" i="26"/>
  <c r="A2290" i="26"/>
  <c r="A2578" i="26"/>
  <c r="A2591" i="26"/>
  <c r="A2597" i="26"/>
  <c r="A2734" i="26"/>
  <c r="A2741" i="26"/>
  <c r="A2756" i="26"/>
  <c r="A2793" i="26"/>
  <c r="A2938" i="26"/>
  <c r="A3044" i="26"/>
  <c r="A3349" i="26"/>
  <c r="A3735" i="26"/>
  <c r="A4048" i="26"/>
  <c r="A4170" i="26"/>
  <c r="A4375" i="26"/>
  <c r="A4518" i="26"/>
  <c r="A4901" i="26"/>
  <c r="A4925" i="26"/>
  <c r="A5070" i="26"/>
  <c r="A5569" i="26"/>
  <c r="A5727" i="26"/>
  <c r="A5772" i="26"/>
  <c r="A6531" i="26"/>
  <c r="A6640" i="26"/>
  <c r="A6654" i="26"/>
  <c r="A6743" i="26"/>
  <c r="A6766" i="26"/>
  <c r="A6773" i="26"/>
  <c r="A2407" i="26"/>
  <c r="A2456" i="26"/>
  <c r="A2605" i="26"/>
  <c r="A2808" i="26"/>
  <c r="A2816" i="26"/>
  <c r="A2909" i="26"/>
  <c r="A2916" i="26"/>
  <c r="A2960" i="26"/>
  <c r="A2988" i="26"/>
  <c r="A3173" i="26"/>
  <c r="A3203" i="26"/>
  <c r="A3463" i="26"/>
  <c r="A3555" i="26"/>
  <c r="A3570" i="26"/>
  <c r="A3648" i="26"/>
  <c r="A3743" i="26"/>
  <c r="A3945" i="26"/>
  <c r="A3951" i="26"/>
  <c r="A4085" i="26"/>
  <c r="A4092" i="26"/>
  <c r="A4114" i="26"/>
  <c r="A4142" i="26"/>
  <c r="A4238" i="26"/>
  <c r="A4404" i="26"/>
  <c r="A4488" i="26"/>
  <c r="A5562" i="26"/>
  <c r="A5593" i="26"/>
  <c r="A5828" i="26"/>
  <c r="A5944" i="26"/>
  <c r="A6156" i="26"/>
  <c r="A6171" i="26"/>
  <c r="A2391" i="26"/>
  <c r="A2626" i="26"/>
  <c r="A2668" i="26"/>
  <c r="A3145" i="26"/>
  <c r="A3160" i="26"/>
  <c r="A3329" i="26"/>
  <c r="A3385" i="26"/>
  <c r="A3613" i="26"/>
  <c r="A3655" i="26"/>
  <c r="A3841" i="26"/>
  <c r="A4121" i="26"/>
  <c r="A4164" i="26"/>
  <c r="A4396" i="26"/>
  <c r="A4612" i="26"/>
  <c r="A4747" i="26"/>
  <c r="A5546" i="26"/>
  <c r="A5697" i="26"/>
  <c r="A5812" i="26"/>
  <c r="A5984" i="26"/>
  <c r="A6034" i="26"/>
  <c r="A6211" i="26"/>
  <c r="A6264" i="26"/>
  <c r="A6278" i="26"/>
  <c r="A6331" i="26"/>
  <c r="A6339" i="26"/>
  <c r="A6671" i="26"/>
  <c r="A6712" i="26"/>
  <c r="A2251" i="26"/>
  <c r="A2330" i="26"/>
  <c r="A2378" i="26"/>
  <c r="A2422" i="26"/>
  <c r="A2435" i="26"/>
  <c r="A2449" i="26"/>
  <c r="A2592" i="26"/>
  <c r="A2598" i="26"/>
  <c r="A2619" i="26"/>
  <c r="A2660" i="26"/>
  <c r="A2689" i="26"/>
  <c r="A2696" i="26"/>
  <c r="A2713" i="26"/>
  <c r="A2735" i="26"/>
  <c r="A2881" i="26"/>
  <c r="A2903" i="26"/>
  <c r="A2968" i="26"/>
  <c r="A3074" i="26"/>
  <c r="A3241" i="26"/>
  <c r="A3308" i="26"/>
  <c r="A3736" i="26"/>
  <c r="A3773" i="26"/>
  <c r="A3959" i="26"/>
  <c r="A3981" i="26"/>
  <c r="A4010" i="26"/>
  <c r="A4100" i="26"/>
  <c r="A4107" i="26"/>
  <c r="A4268" i="26"/>
  <c r="A4328" i="26"/>
  <c r="A4352" i="26"/>
  <c r="A4436" i="26"/>
  <c r="A4444" i="26"/>
  <c r="A4481" i="26"/>
  <c r="A4661" i="26"/>
  <c r="A4851" i="26"/>
  <c r="A4872" i="26"/>
  <c r="A4919" i="26"/>
  <c r="A5107" i="26"/>
  <c r="A5192" i="26"/>
  <c r="A5283" i="26"/>
  <c r="A5528" i="26"/>
  <c r="A5554" i="26"/>
  <c r="A5587" i="26"/>
  <c r="A5751" i="26"/>
  <c r="A5869" i="26"/>
  <c r="A5875" i="26"/>
  <c r="A5975" i="26"/>
  <c r="A6043" i="26"/>
  <c r="A6135" i="26"/>
  <c r="A6149" i="26"/>
  <c r="A6172" i="26"/>
  <c r="A6188" i="26"/>
  <c r="A6302" i="26"/>
  <c r="A6309" i="26"/>
  <c r="A6364" i="26"/>
  <c r="A6728" i="26"/>
  <c r="A6744" i="26"/>
  <c r="A3231" i="26"/>
  <c r="A3404" i="26"/>
  <c r="A3896" i="26"/>
  <c r="A4551" i="26"/>
  <c r="A6233" i="26"/>
  <c r="A3641" i="26"/>
  <c r="A4252" i="26"/>
  <c r="A4457" i="26"/>
  <c r="A4798" i="26"/>
  <c r="A4827" i="26"/>
  <c r="A4879" i="26"/>
  <c r="A4977" i="26"/>
  <c r="A5229" i="26"/>
  <c r="A5343" i="26"/>
  <c r="A5421" i="26"/>
  <c r="A5585" i="26"/>
  <c r="A5613" i="26"/>
  <c r="A6025" i="26"/>
  <c r="A6065" i="26"/>
  <c r="A6194" i="26"/>
  <c r="A6554" i="26"/>
  <c r="A6719" i="26"/>
  <c r="A2535" i="26"/>
  <c r="A2952" i="26"/>
  <c r="A3101" i="26"/>
  <c r="A3362" i="26"/>
  <c r="A3576" i="26"/>
  <c r="A3750" i="26"/>
  <c r="A4032" i="26"/>
  <c r="A4260" i="26"/>
  <c r="A4366" i="26"/>
  <c r="A4382" i="26"/>
  <c r="A4411" i="26"/>
  <c r="A4674" i="26"/>
  <c r="A4813" i="26"/>
  <c r="A5553" i="26"/>
  <c r="A5795" i="26"/>
  <c r="A6162" i="26"/>
  <c r="A6322" i="26"/>
  <c r="A2441" i="26"/>
  <c r="A2465" i="26"/>
  <c r="A2514" i="26"/>
  <c r="A3061" i="26"/>
  <c r="A3322" i="26"/>
  <c r="A3532" i="26"/>
  <c r="A4343" i="26"/>
  <c r="A4451" i="26"/>
  <c r="A5079" i="26"/>
  <c r="A5221" i="26"/>
  <c r="A5261" i="26"/>
  <c r="A5290" i="26"/>
  <c r="A5415" i="26"/>
  <c r="A5735" i="26"/>
  <c r="A6058" i="26"/>
  <c r="A6370" i="26"/>
  <c r="A6647" i="26"/>
  <c r="A6735" i="26"/>
  <c r="A2385" i="26"/>
  <c r="A2634" i="26"/>
  <c r="A3067" i="26"/>
  <c r="A3668" i="26"/>
  <c r="A4057" i="26"/>
  <c r="A4136" i="26"/>
  <c r="A4207" i="26"/>
  <c r="A4627" i="26"/>
  <c r="A4828" i="26"/>
  <c r="A4910" i="26"/>
  <c r="A4941" i="26"/>
  <c r="A5120" i="26"/>
  <c r="A5268" i="26"/>
  <c r="A5422" i="26"/>
  <c r="A5460" i="26"/>
  <c r="A2075" i="26"/>
  <c r="A2365" i="26"/>
  <c r="A2506" i="26"/>
  <c r="A2705" i="26"/>
  <c r="A2975" i="26"/>
  <c r="A3263" i="26"/>
  <c r="A3285" i="26"/>
  <c r="A3316" i="26"/>
  <c r="A3472" i="26"/>
  <c r="A3549" i="26"/>
  <c r="A3556" i="26"/>
  <c r="A3578" i="26"/>
  <c r="A3890" i="26"/>
  <c r="A3930" i="26"/>
  <c r="A4231" i="26"/>
  <c r="A4299" i="26"/>
  <c r="A4344" i="26"/>
  <c r="A4489" i="26"/>
  <c r="A4513" i="26"/>
  <c r="A4562" i="26"/>
  <c r="A4598" i="26"/>
  <c r="A4653" i="26"/>
  <c r="A4783" i="26"/>
  <c r="A5008" i="26"/>
  <c r="A5017" i="26"/>
  <c r="A5200" i="26"/>
  <c r="A5208" i="26"/>
  <c r="A5537" i="26"/>
  <c r="A5571" i="26"/>
  <c r="A5682" i="26"/>
  <c r="A5721" i="26"/>
  <c r="A5789" i="26"/>
  <c r="A5953" i="26"/>
  <c r="A6051" i="26"/>
  <c r="A6294" i="26"/>
  <c r="A6332" i="26"/>
  <c r="A6357" i="26"/>
  <c r="A6503" i="26"/>
  <c r="A6556" i="26"/>
  <c r="A5014" i="26"/>
  <c r="A5488" i="26"/>
  <c r="A2540" i="26"/>
  <c r="A2830" i="26"/>
  <c r="A3483" i="26"/>
  <c r="A4212" i="26"/>
  <c r="A4276" i="26"/>
  <c r="A4363" i="26"/>
  <c r="A4448" i="26"/>
  <c r="A4463" i="26"/>
  <c r="A4553" i="26"/>
  <c r="A4574" i="26"/>
  <c r="A4594" i="26"/>
  <c r="A4668" i="26"/>
  <c r="A4870" i="26"/>
  <c r="A4942" i="26"/>
  <c r="A5145" i="26"/>
  <c r="A5204" i="26"/>
  <c r="A5233" i="26"/>
  <c r="A5352" i="26"/>
  <c r="A5397" i="26"/>
  <c r="A5754" i="26"/>
  <c r="A5805" i="26"/>
  <c r="A5821" i="26"/>
  <c r="A5987" i="26"/>
  <c r="A6175" i="26"/>
  <c r="A6261" i="26"/>
  <c r="A6282" i="26"/>
  <c r="A6472" i="26"/>
  <c r="A6510" i="26"/>
  <c r="A6638" i="26"/>
  <c r="A2293" i="26"/>
  <c r="A2323" i="26"/>
  <c r="A2338" i="26"/>
  <c r="A2450" i="26"/>
  <c r="A2503" i="26"/>
  <c r="A2593" i="26"/>
  <c r="A2631" i="26"/>
  <c r="A2647" i="26"/>
  <c r="A2941" i="26"/>
  <c r="A3009" i="26"/>
  <c r="A3112" i="26"/>
  <c r="A3161" i="26"/>
  <c r="A3246" i="26"/>
  <c r="A3273" i="26"/>
  <c r="A3446" i="26"/>
  <c r="A3511" i="26"/>
  <c r="A3590" i="26"/>
  <c r="A3618" i="26"/>
  <c r="A3665" i="26"/>
  <c r="A3842" i="26"/>
  <c r="A3918" i="26"/>
  <c r="A4025" i="26"/>
  <c r="A4068" i="26"/>
  <c r="A4131" i="26"/>
  <c r="A4172" i="26"/>
  <c r="A4752" i="26"/>
  <c r="A4842" i="26"/>
  <c r="A5030" i="26"/>
  <c r="A5175" i="26"/>
  <c r="A5292" i="26"/>
  <c r="A5374" i="26"/>
  <c r="A5439" i="26"/>
  <c r="A5503" i="26"/>
  <c r="A5510" i="26"/>
  <c r="A5581" i="26"/>
  <c r="A5672" i="26"/>
  <c r="A5775" i="26"/>
  <c r="A5829" i="26"/>
  <c r="A5890" i="26"/>
  <c r="A5912" i="26"/>
  <c r="A5957" i="26"/>
  <c r="A5994" i="26"/>
  <c r="A6066" i="26"/>
  <c r="A6140" i="26"/>
  <c r="A6147" i="26"/>
  <c r="A6212" i="26"/>
  <c r="A6235" i="26"/>
  <c r="A6312" i="26"/>
  <c r="A6319" i="26"/>
  <c r="A6351" i="26"/>
  <c r="A6358" i="26"/>
  <c r="A6386" i="26"/>
  <c r="A6393" i="26"/>
  <c r="A6400" i="26"/>
  <c r="A6443" i="26"/>
  <c r="A6533" i="26"/>
  <c r="A6594" i="26"/>
  <c r="A6668" i="26"/>
  <c r="A6767" i="26"/>
  <c r="A2301" i="26"/>
  <c r="A2308" i="26"/>
  <c r="A2357" i="26"/>
  <c r="A2363" i="26"/>
  <c r="A2376" i="26"/>
  <c r="A2396" i="26"/>
  <c r="A2411" i="26"/>
  <c r="A2458" i="26"/>
  <c r="A2474" i="26"/>
  <c r="A2512" i="26"/>
  <c r="A2612" i="26"/>
  <c r="A2640" i="26"/>
  <c r="A2655" i="26"/>
  <c r="A2663" i="26"/>
  <c r="A2726" i="26"/>
  <c r="A2733" i="26"/>
  <c r="A2823" i="26"/>
  <c r="A2908" i="26"/>
  <c r="A2928" i="26"/>
  <c r="A2935" i="26"/>
  <c r="A2983" i="26"/>
  <c r="A2989" i="26"/>
  <c r="A3029" i="26"/>
  <c r="A3059" i="26"/>
  <c r="A3078" i="26"/>
  <c r="A3125" i="26"/>
  <c r="A3174" i="26"/>
  <c r="A3253" i="26"/>
  <c r="A3310" i="26"/>
  <c r="A3406" i="26"/>
  <c r="A3565" i="26"/>
  <c r="A3652" i="26"/>
  <c r="A3671" i="26"/>
  <c r="A3694" i="26"/>
  <c r="A3737" i="26"/>
  <c r="A3764" i="26"/>
  <c r="A3926" i="26"/>
  <c r="A4018" i="26"/>
  <c r="A4236" i="26"/>
  <c r="A4334" i="26"/>
  <c r="A4349" i="26"/>
  <c r="A4371" i="26"/>
  <c r="A4378" i="26"/>
  <c r="A4384" i="26"/>
  <c r="A4477" i="26"/>
  <c r="A4561" i="26"/>
  <c r="A4624" i="26"/>
  <c r="A4639" i="26"/>
  <c r="A4703" i="26"/>
  <c r="A4816" i="26"/>
  <c r="A4850" i="26"/>
  <c r="A4878" i="26"/>
  <c r="A4891" i="26"/>
  <c r="A4921" i="26"/>
  <c r="A5183" i="26"/>
  <c r="A5197" i="26"/>
  <c r="A5249" i="26"/>
  <c r="A5300" i="26"/>
  <c r="A5361" i="26"/>
  <c r="A5542" i="26"/>
  <c r="A5573" i="26"/>
  <c r="A5733" i="26"/>
  <c r="A5768" i="26"/>
  <c r="A6052" i="26"/>
  <c r="A6059" i="26"/>
  <c r="A6154" i="26"/>
  <c r="A6190" i="26"/>
  <c r="A6262" i="26"/>
  <c r="A6416" i="26"/>
  <c r="A6465" i="26"/>
  <c r="A6624" i="26"/>
  <c r="A6724" i="26"/>
  <c r="A6753" i="26"/>
  <c r="A4333" i="26"/>
  <c r="A4744" i="26"/>
  <c r="A4934" i="26"/>
  <c r="A5671" i="26"/>
  <c r="A6118" i="26"/>
  <c r="A6189" i="26"/>
  <c r="A6707" i="26"/>
  <c r="A3597" i="26"/>
  <c r="A3948" i="26"/>
  <c r="A4269" i="26"/>
  <c r="A4441" i="26"/>
  <c r="A4528" i="26"/>
  <c r="A4631" i="26"/>
  <c r="A4696" i="26"/>
  <c r="A5045" i="26"/>
  <c r="A5256" i="26"/>
  <c r="A5285" i="26"/>
  <c r="A5405" i="26"/>
  <c r="A5564" i="26"/>
  <c r="A5600" i="26"/>
  <c r="A5783" i="26"/>
  <c r="A5942" i="26"/>
  <c r="A6088" i="26"/>
  <c r="A2560" i="26"/>
  <c r="A2720" i="26"/>
  <c r="A3386" i="26"/>
  <c r="A3505" i="26"/>
  <c r="A3678" i="26"/>
  <c r="A3787" i="26"/>
  <c r="A3880" i="26"/>
  <c r="A3976" i="26"/>
  <c r="A4088" i="26"/>
  <c r="A4095" i="26"/>
  <c r="A4138" i="26"/>
  <c r="A4291" i="26"/>
  <c r="A4405" i="26"/>
  <c r="A4427" i="26"/>
  <c r="A4491" i="26"/>
  <c r="A4773" i="26"/>
  <c r="A4802" i="26"/>
  <c r="A4956" i="26"/>
  <c r="A5037" i="26"/>
  <c r="A5053" i="26"/>
  <c r="A3476" i="26"/>
  <c r="A3577" i="26"/>
  <c r="A4284" i="26"/>
  <c r="A4398" i="26"/>
  <c r="A5046" i="26"/>
  <c r="A5132" i="26"/>
  <c r="A5234" i="26"/>
  <c r="A5338" i="26"/>
  <c r="A5747" i="26"/>
  <c r="A5776" i="26"/>
  <c r="A5913" i="26"/>
  <c r="A5980" i="26"/>
  <c r="A6029" i="26"/>
  <c r="A6074" i="26"/>
  <c r="A6204" i="26"/>
  <c r="A6306" i="26"/>
  <c r="A6685" i="26"/>
  <c r="A6746" i="26"/>
  <c r="A6642" i="26"/>
  <c r="A3055" i="26"/>
  <c r="A4306" i="26"/>
  <c r="A5166" i="26"/>
  <c r="A5566" i="26"/>
  <c r="A5885" i="26"/>
  <c r="A5892" i="26"/>
  <c r="A5928" i="26"/>
  <c r="A5970" i="26"/>
  <c r="A6004" i="26"/>
  <c r="A6089" i="26"/>
  <c r="A6193" i="26"/>
  <c r="A6206" i="26"/>
  <c r="A6263" i="26"/>
  <c r="A6348" i="26"/>
  <c r="A6374" i="26"/>
  <c r="A6527" i="26"/>
  <c r="A6563" i="26"/>
  <c r="A6711" i="26"/>
  <c r="A6732" i="26"/>
  <c r="A5848" i="26"/>
  <c r="A6158" i="26"/>
  <c r="A2403" i="26"/>
  <c r="A2491" i="26"/>
  <c r="A2526" i="26"/>
  <c r="A2853" i="26"/>
  <c r="A3261" i="26"/>
  <c r="A3296" i="26"/>
  <c r="A3479" i="26"/>
  <c r="A3612" i="26"/>
  <c r="A3684" i="26"/>
  <c r="A3726" i="26"/>
  <c r="A3734" i="26"/>
  <c r="A3748" i="26"/>
  <c r="A4035" i="26"/>
  <c r="A4144" i="26"/>
  <c r="A4191" i="26"/>
  <c r="A4298" i="26"/>
  <c r="A4690" i="26"/>
  <c r="A5022" i="26"/>
  <c r="A5052" i="26"/>
  <c r="A5230" i="26"/>
  <c r="A5317" i="26"/>
  <c r="A5410" i="26"/>
  <c r="A5431" i="26"/>
  <c r="A5536" i="26"/>
  <c r="A5710" i="26"/>
  <c r="A5766" i="26"/>
  <c r="A5849" i="26"/>
  <c r="A5905" i="26"/>
  <c r="A6011" i="26"/>
  <c r="A6152" i="26"/>
  <c r="A6173" i="26"/>
  <c r="A6179" i="26"/>
  <c r="A6229" i="26"/>
  <c r="A6276" i="26"/>
  <c r="A6491" i="26"/>
  <c r="A6541" i="26"/>
  <c r="A6593" i="26"/>
  <c r="A6636" i="26"/>
  <c r="A5551" i="26"/>
  <c r="A5796" i="26"/>
  <c r="A6076" i="26"/>
  <c r="A6761" i="26"/>
  <c r="A2812" i="26"/>
  <c r="A2838" i="26"/>
  <c r="A2872" i="26"/>
  <c r="A3176" i="26"/>
  <c r="A3269" i="26"/>
  <c r="A3343" i="26"/>
  <c r="A4029" i="26"/>
  <c r="A4050" i="26"/>
  <c r="A4089" i="26"/>
  <c r="A4485" i="26"/>
  <c r="A4508" i="26"/>
  <c r="A4590" i="26"/>
  <c r="A4757" i="26"/>
  <c r="A4809" i="26"/>
  <c r="A4853" i="26"/>
  <c r="A5059" i="26"/>
  <c r="A5321" i="26"/>
  <c r="A5495" i="26"/>
  <c r="A5714" i="26"/>
  <c r="A5941" i="26"/>
  <c r="A6259" i="26"/>
  <c r="A6293" i="26"/>
  <c r="A6350" i="26"/>
  <c r="A6412" i="26"/>
  <c r="A6466" i="26"/>
  <c r="A6525" i="26"/>
  <c r="A6532" i="26"/>
  <c r="A6583" i="26"/>
  <c r="A6754" i="26"/>
  <c r="A5171" i="26"/>
  <c r="A6511" i="26"/>
  <c r="A5075" i="26"/>
  <c r="A5293" i="26"/>
  <c r="A5404" i="26"/>
  <c r="A5539" i="26"/>
  <c r="A5675" i="26"/>
  <c r="A5876" i="26"/>
  <c r="A5891" i="26"/>
  <c r="A5977" i="26"/>
  <c r="A5997" i="26"/>
  <c r="A6125" i="26"/>
  <c r="A6243" i="26"/>
  <c r="A6250" i="26"/>
  <c r="A6423" i="26"/>
  <c r="A6436" i="26"/>
  <c r="A6499" i="26"/>
  <c r="A6505" i="26"/>
  <c r="A6574" i="26"/>
  <c r="A6692" i="26"/>
  <c r="AA37" i="28"/>
  <c r="Q454" i="3"/>
  <c r="AA310" i="28"/>
  <c r="J758" i="3"/>
  <c r="A1053" i="26"/>
  <c r="A1060" i="26"/>
  <c r="A2257" i="26"/>
  <c r="Q644" i="3"/>
  <c r="A1069" i="26"/>
  <c r="A1882" i="26"/>
  <c r="A1517" i="26"/>
  <c r="A1506" i="26"/>
  <c r="A1513" i="26"/>
  <c r="A1887" i="26"/>
  <c r="J226" i="3"/>
  <c r="J606" i="3"/>
  <c r="J720" i="3"/>
  <c r="A1055" i="26"/>
  <c r="A1511" i="26"/>
  <c r="A1886" i="26"/>
  <c r="A1528" i="26"/>
  <c r="A2259" i="26"/>
  <c r="J112" i="3"/>
  <c r="A1049" i="26"/>
  <c r="A1042" i="26"/>
  <c r="B496" i="3"/>
  <c r="B344" i="3"/>
  <c r="B556" i="28"/>
  <c r="A1888" i="26"/>
  <c r="J378" i="3"/>
  <c r="B686" i="3"/>
  <c r="Q112" i="3"/>
  <c r="A1062" i="26"/>
  <c r="A1508" i="26"/>
  <c r="A1876" i="26"/>
  <c r="A2254" i="26"/>
  <c r="A1522" i="26"/>
  <c r="A1896" i="26"/>
  <c r="A1700" i="26"/>
  <c r="A2260" i="26"/>
  <c r="A2255" i="26"/>
  <c r="A1509" i="26"/>
  <c r="A1515" i="26"/>
  <c r="A1877" i="26"/>
  <c r="A2248" i="26"/>
  <c r="A1051" i="26"/>
  <c r="A1064" i="26"/>
  <c r="A1891" i="26"/>
  <c r="A1058" i="26"/>
  <c r="A1524" i="26"/>
  <c r="A1701" i="26"/>
  <c r="A2261" i="26"/>
  <c r="A2074" i="26"/>
  <c r="A2077" i="26"/>
  <c r="A3971" i="26"/>
  <c r="A1044" i="26"/>
  <c r="A1056" i="26"/>
  <c r="A1284" i="26"/>
  <c r="A2246" i="26"/>
  <c r="A2348" i="26"/>
  <c r="A2360" i="26"/>
  <c r="A2528" i="26"/>
  <c r="A2651" i="26"/>
  <c r="A2697" i="26"/>
  <c r="A2820" i="26"/>
  <c r="A3191" i="26"/>
  <c r="A3233" i="26"/>
  <c r="A3282" i="26"/>
  <c r="A3295" i="26"/>
  <c r="A3407" i="26"/>
  <c r="A4740" i="26"/>
  <c r="A5108" i="26"/>
  <c r="A5142" i="26"/>
  <c r="A5380" i="26"/>
  <c r="A1067" i="26"/>
  <c r="A1503" i="26"/>
  <c r="A2273" i="26"/>
  <c r="A2405" i="26"/>
  <c r="A2475" i="26"/>
  <c r="A2496" i="26"/>
  <c r="A2510" i="26"/>
  <c r="A2522" i="26"/>
  <c r="A2839" i="26"/>
  <c r="A2847" i="26"/>
  <c r="A2898" i="26"/>
  <c r="A2967" i="26"/>
  <c r="A3210" i="26"/>
  <c r="A3221" i="26"/>
  <c r="A3247" i="26"/>
  <c r="A3415" i="26"/>
  <c r="A3423" i="26"/>
  <c r="A3871" i="26"/>
  <c r="A3927" i="26"/>
  <c r="A4150" i="26"/>
  <c r="A4216" i="26"/>
  <c r="A4506" i="26"/>
  <c r="A5636" i="26"/>
  <c r="A6337" i="26"/>
  <c r="A6569" i="26"/>
  <c r="A2454" i="26"/>
  <c r="A2638" i="26"/>
  <c r="A2672" i="26"/>
  <c r="A2827" i="26"/>
  <c r="A3003" i="26"/>
  <c r="A3438" i="26"/>
  <c r="A3620" i="26"/>
  <c r="A3857" i="26"/>
  <c r="A4397" i="26"/>
  <c r="A4417" i="26"/>
  <c r="A4811" i="26"/>
  <c r="A5381" i="26"/>
  <c r="A6551" i="26"/>
  <c r="A2888" i="26"/>
  <c r="A3179" i="26"/>
  <c r="A3337" i="26"/>
  <c r="A4101" i="26"/>
  <c r="A4806" i="26"/>
  <c r="A5589" i="26"/>
  <c r="A5857" i="26"/>
  <c r="D25" i="1"/>
  <c r="A2250" i="26"/>
  <c r="A2320" i="26"/>
  <c r="A2432" i="26"/>
  <c r="A2505" i="26"/>
  <c r="A2875" i="26"/>
  <c r="A2912" i="26"/>
  <c r="A3042" i="26"/>
  <c r="A3377" i="26"/>
  <c r="A3518" i="26"/>
  <c r="A3545" i="26"/>
  <c r="A3605" i="26"/>
  <c r="A4082" i="26"/>
  <c r="A4831" i="26"/>
  <c r="A4889" i="26"/>
  <c r="A5277" i="26"/>
  <c r="A5595" i="26"/>
  <c r="A5773" i="26"/>
  <c r="A1526" i="26"/>
  <c r="A2339" i="26"/>
  <c r="A2543" i="26"/>
  <c r="A2615" i="26"/>
  <c r="A2907" i="26"/>
  <c r="A3049" i="26"/>
  <c r="A3480" i="26"/>
  <c r="A3818" i="26"/>
  <c r="A3867" i="26"/>
  <c r="A4049" i="26"/>
  <c r="A5071" i="26"/>
  <c r="A5530" i="26"/>
  <c r="A1904" i="26"/>
  <c r="A2715" i="26"/>
  <c r="A2779" i="26"/>
  <c r="A3155" i="26"/>
  <c r="A3286" i="26"/>
  <c r="A3468" i="26"/>
  <c r="A3519" i="26"/>
  <c r="A3546" i="26"/>
  <c r="A3699" i="26"/>
  <c r="A5544" i="26"/>
  <c r="A1500" i="26"/>
  <c r="A1507" i="26"/>
  <c r="A2333" i="26"/>
  <c r="A2472" i="26"/>
  <c r="A2568" i="26"/>
  <c r="A2902" i="26"/>
  <c r="A3043" i="26"/>
  <c r="A3081" i="26"/>
  <c r="A3305" i="26"/>
  <c r="A3364" i="26"/>
  <c r="A3488" i="26"/>
  <c r="A3707" i="26"/>
  <c r="A3963" i="26"/>
  <c r="A6113" i="26"/>
  <c r="A1512" i="26"/>
  <c r="A2264" i="26"/>
  <c r="A2327" i="26"/>
  <c r="A2682" i="26"/>
  <c r="A2760" i="26"/>
  <c r="A3293" i="26"/>
  <c r="A3693" i="26"/>
  <c r="A4042" i="26"/>
  <c r="A5506" i="26"/>
  <c r="A5937" i="26"/>
  <c r="A1892" i="26"/>
  <c r="A2316" i="26"/>
  <c r="A2695" i="26"/>
  <c r="A3050" i="26"/>
  <c r="A3679" i="26"/>
  <c r="A3700" i="26"/>
  <c r="A1520" i="26"/>
  <c r="A2664" i="26"/>
  <c r="A2703" i="26"/>
  <c r="A2825" i="26"/>
  <c r="A2837" i="26"/>
  <c r="A3018" i="26"/>
  <c r="A3580" i="26"/>
  <c r="A4214" i="26"/>
  <c r="A4240" i="26"/>
  <c r="A5572" i="26"/>
  <c r="A6739" i="26"/>
  <c r="A6778" i="26"/>
  <c r="A1066" i="26"/>
  <c r="A2310" i="26"/>
  <c r="A2677" i="26"/>
  <c r="A3450" i="26"/>
  <c r="A4222" i="26"/>
  <c r="A4372" i="26"/>
  <c r="A4732" i="26"/>
  <c r="A4789" i="26"/>
  <c r="A4852" i="26"/>
  <c r="A5074" i="26"/>
  <c r="A6670" i="26"/>
  <c r="A6733" i="26"/>
  <c r="A2557" i="26"/>
  <c r="A2996" i="26"/>
  <c r="A3037" i="26"/>
  <c r="A3215" i="26"/>
  <c r="A3470" i="26"/>
  <c r="A3709" i="26"/>
  <c r="A3985" i="26"/>
  <c r="A4180" i="26"/>
  <c r="A4215" i="26"/>
  <c r="A4759" i="26"/>
  <c r="A6623" i="26"/>
  <c r="A1502" i="26"/>
  <c r="A2410" i="26"/>
  <c r="A2467" i="26"/>
  <c r="A2534" i="26"/>
  <c r="A2589" i="26"/>
  <c r="A2599" i="26"/>
  <c r="A2704" i="26"/>
  <c r="A2826" i="26"/>
  <c r="A3136" i="26"/>
  <c r="A3905" i="26"/>
  <c r="A3979" i="26"/>
  <c r="A4149" i="26"/>
  <c r="A4223" i="26"/>
  <c r="A4499" i="26"/>
  <c r="A4512" i="26"/>
  <c r="A4964" i="26"/>
  <c r="A5451" i="26"/>
  <c r="A5458" i="26"/>
  <c r="A5470" i="26"/>
  <c r="A6597" i="26"/>
  <c r="A6657" i="26"/>
  <c r="A6779" i="26"/>
  <c r="A2821" i="26"/>
  <c r="A2840" i="26"/>
  <c r="A3774" i="26"/>
  <c r="A6266" i="26"/>
  <c r="A6464" i="26"/>
  <c r="A1057" i="26"/>
  <c r="A2280" i="26"/>
  <c r="A3222" i="26"/>
  <c r="A3609" i="26"/>
  <c r="A3621" i="26"/>
  <c r="A4126" i="26"/>
  <c r="A4595" i="26"/>
  <c r="A6210" i="26"/>
  <c r="A1063" i="26"/>
  <c r="A2490" i="26"/>
  <c r="A2646" i="26"/>
  <c r="A2797" i="26"/>
  <c r="A2962" i="26"/>
  <c r="A3205" i="26"/>
  <c r="A3401" i="26"/>
  <c r="A3914" i="26"/>
  <c r="A4582" i="26"/>
  <c r="A5123" i="26"/>
  <c r="A5308" i="26"/>
  <c r="A5820" i="26"/>
  <c r="A6755" i="26"/>
  <c r="A1052" i="26"/>
  <c r="A2764" i="26"/>
  <c r="A3193" i="26"/>
  <c r="A3829" i="26"/>
  <c r="A4106" i="26"/>
  <c r="A4381" i="26"/>
  <c r="A4570" i="26"/>
  <c r="A5084" i="26"/>
  <c r="A5302" i="26"/>
  <c r="A5881" i="26"/>
  <c r="A6749" i="26"/>
  <c r="A3559" i="26"/>
  <c r="A4289" i="26"/>
  <c r="A5078" i="26"/>
  <c r="A5284" i="26"/>
  <c r="A3062" i="26"/>
  <c r="A3087" i="26"/>
  <c r="A3127" i="26"/>
  <c r="A3154" i="26"/>
  <c r="A4342" i="26"/>
  <c r="A4467" i="26"/>
  <c r="A4877" i="26"/>
  <c r="A4908" i="26"/>
  <c r="A5002" i="26"/>
  <c r="A5601" i="26"/>
  <c r="A1518" i="26"/>
  <c r="A2076" i="26"/>
  <c r="A2369" i="26"/>
  <c r="A3713" i="26"/>
  <c r="A4277" i="26"/>
  <c r="A4794" i="26"/>
  <c r="A4950" i="26"/>
  <c r="A5570" i="26"/>
  <c r="A2303" i="26"/>
  <c r="A2857" i="26"/>
  <c r="A2882" i="26"/>
  <c r="A3056" i="26"/>
  <c r="A3088" i="26"/>
  <c r="A3448" i="26"/>
  <c r="A4304" i="26"/>
  <c r="A4420" i="26"/>
  <c r="A4496" i="26"/>
  <c r="A4909" i="26"/>
  <c r="A5064" i="26"/>
  <c r="A5767" i="26"/>
  <c r="A1071" i="26"/>
  <c r="A2415" i="26"/>
  <c r="A2610" i="26"/>
  <c r="A2708" i="26"/>
  <c r="A2851" i="26"/>
  <c r="A3075" i="26"/>
  <c r="A3181" i="26"/>
  <c r="A3539" i="26"/>
  <c r="A4246" i="26"/>
  <c r="A4401" i="26"/>
  <c r="A4937" i="26"/>
  <c r="A4943" i="26"/>
  <c r="A5443" i="26"/>
  <c r="A5518" i="26"/>
  <c r="A1519" i="26"/>
  <c r="A1898" i="26"/>
  <c r="A2539" i="26"/>
  <c r="A2676" i="26"/>
  <c r="A2688" i="26"/>
  <c r="A2716" i="26"/>
  <c r="A3102" i="26"/>
  <c r="A3599" i="26"/>
  <c r="A3714" i="26"/>
  <c r="A4692" i="26"/>
  <c r="A4745" i="26"/>
  <c r="A2284" i="26"/>
  <c r="A2358" i="26"/>
  <c r="A2544" i="26"/>
  <c r="A2995" i="26"/>
  <c r="A3134" i="26"/>
  <c r="A3142" i="26"/>
  <c r="A3405" i="26"/>
  <c r="A3482" i="26"/>
  <c r="A3520" i="26"/>
  <c r="A4679" i="26"/>
  <c r="A4896" i="26"/>
  <c r="A5259" i="26"/>
  <c r="AE2" i="19"/>
  <c r="AH2" i="19"/>
  <c r="AF2" i="19"/>
  <c r="A2657" i="26"/>
  <c r="A2709" i="26"/>
  <c r="A2831" i="26"/>
  <c r="A2927" i="26"/>
  <c r="A3226" i="26"/>
  <c r="A4064" i="26"/>
  <c r="A4738" i="26"/>
  <c r="A5226" i="26"/>
  <c r="A1072" i="26"/>
  <c r="A2521" i="26"/>
  <c r="A3007" i="26"/>
  <c r="A3220" i="26"/>
  <c r="A3239" i="26"/>
  <c r="A3673" i="26"/>
  <c r="A3904" i="26"/>
  <c r="A3933" i="26"/>
  <c r="A4017" i="26"/>
  <c r="A4517" i="26"/>
  <c r="A4693" i="26"/>
  <c r="A4998" i="26"/>
  <c r="A5154" i="26"/>
  <c r="A5628" i="26"/>
  <c r="A6656" i="26"/>
  <c r="A1874" i="26"/>
  <c r="A2245" i="26"/>
  <c r="A3197" i="26"/>
  <c r="A3252" i="26"/>
  <c r="A3649" i="26"/>
  <c r="A3248" i="26"/>
  <c r="A3781" i="26"/>
  <c r="A3835" i="26"/>
  <c r="A3974" i="26"/>
  <c r="A4119" i="26"/>
  <c r="A4139" i="26"/>
  <c r="A5177" i="26"/>
  <c r="A2398" i="26"/>
  <c r="A3767" i="26"/>
  <c r="A4386" i="26"/>
  <c r="A1883" i="26"/>
  <c r="A2461" i="26"/>
  <c r="A2639" i="26"/>
  <c r="A3775" i="26"/>
  <c r="A3943" i="26"/>
  <c r="A4145" i="26"/>
  <c r="A4689" i="26"/>
  <c r="A2331" i="26"/>
  <c r="A2392" i="26"/>
  <c r="A2442" i="26"/>
  <c r="A2601" i="26"/>
  <c r="A2654" i="26"/>
  <c r="A2750" i="26"/>
  <c r="A2784" i="26"/>
  <c r="A2798" i="26"/>
  <c r="A2992" i="26"/>
  <c r="A3723" i="26"/>
  <c r="A3768" i="26"/>
  <c r="A3803" i="26"/>
  <c r="A4355" i="26"/>
  <c r="A4637" i="26"/>
  <c r="A4967" i="26"/>
  <c r="A5001" i="26"/>
  <c r="A5029" i="26"/>
  <c r="A5062" i="26"/>
  <c r="A5375" i="26"/>
  <c r="A5647" i="26"/>
  <c r="A5679" i="26"/>
  <c r="A5813" i="26"/>
  <c r="A6519" i="26"/>
  <c r="A2282" i="26"/>
  <c r="A2499" i="26"/>
  <c r="A3172" i="26"/>
  <c r="A2332" i="26"/>
  <c r="A4863" i="26"/>
  <c r="A2479" i="26"/>
  <c r="A6774" i="26"/>
  <c r="I25" i="1"/>
  <c r="AA67" i="28" s="1"/>
  <c r="A1525" i="26"/>
  <c r="A2485" i="26"/>
  <c r="A2791" i="26"/>
  <c r="A3107" i="26"/>
  <c r="A3383" i="26"/>
  <c r="A3552" i="26"/>
  <c r="A3604" i="26"/>
  <c r="A3796" i="26"/>
  <c r="A3824" i="26"/>
  <c r="A4087" i="26"/>
  <c r="A5369" i="26"/>
  <c r="A5760" i="26"/>
  <c r="A2322" i="26"/>
  <c r="A2397" i="26"/>
  <c r="A2563" i="26"/>
  <c r="A2666" i="26"/>
  <c r="A3874" i="26"/>
  <c r="A4051" i="26"/>
  <c r="A4176" i="26"/>
  <c r="A4364" i="26"/>
  <c r="A4529" i="26"/>
  <c r="A4545" i="26"/>
  <c r="A4559" i="26"/>
  <c r="A4628" i="26"/>
  <c r="A5109" i="26"/>
  <c r="A5136" i="26"/>
  <c r="A5445" i="26"/>
  <c r="A5513" i="26"/>
  <c r="A5716" i="26"/>
  <c r="A6230" i="26"/>
  <c r="A6249" i="26"/>
  <c r="A6604" i="26"/>
  <c r="A1285" i="26"/>
  <c r="A2298" i="26"/>
  <c r="A2368" i="26"/>
  <c r="A2438" i="26"/>
  <c r="A2504" i="26"/>
  <c r="A2552" i="26"/>
  <c r="A2633" i="26"/>
  <c r="A2698" i="26"/>
  <c r="A2773" i="26"/>
  <c r="A2778" i="26"/>
  <c r="A2805" i="26"/>
  <c r="A2810" i="26"/>
  <c r="A3038" i="26"/>
  <c r="A3052" i="26"/>
  <c r="A3143" i="26"/>
  <c r="A3167" i="26"/>
  <c r="A3242" i="26"/>
  <c r="A3271" i="26"/>
  <c r="A3346" i="26"/>
  <c r="A3437" i="26"/>
  <c r="A3464" i="26"/>
  <c r="A3644" i="26"/>
  <c r="A3752" i="26"/>
  <c r="A3894" i="26"/>
  <c r="A3921" i="26"/>
  <c r="A4058" i="26"/>
  <c r="A4134" i="26"/>
  <c r="A4400" i="26"/>
  <c r="A4446" i="26"/>
  <c r="A4571" i="26"/>
  <c r="A4589" i="26"/>
  <c r="A4682" i="26"/>
  <c r="A4810" i="26"/>
  <c r="A5083" i="26"/>
  <c r="A5195" i="26"/>
  <c r="A5207" i="26"/>
  <c r="A5278" i="26"/>
  <c r="A5315" i="26"/>
  <c r="A5329" i="26"/>
  <c r="A5355" i="26"/>
  <c r="A5389" i="26"/>
  <c r="A5643" i="26"/>
  <c r="A6112" i="26"/>
  <c r="A6196" i="26"/>
  <c r="A6203" i="26"/>
  <c r="A6385" i="26"/>
  <c r="A6578" i="26"/>
  <c r="A1068" i="26"/>
  <c r="A1529" i="26"/>
  <c r="A2317" i="26"/>
  <c r="A2404" i="26"/>
  <c r="A2464" i="26"/>
  <c r="A2685" i="26"/>
  <c r="A2939" i="26"/>
  <c r="A3032" i="26"/>
  <c r="A3410" i="26"/>
  <c r="A3701" i="26"/>
  <c r="A3739" i="26"/>
  <c r="A3860" i="26"/>
  <c r="A3936" i="26"/>
  <c r="A3966" i="26"/>
  <c r="A3992" i="26"/>
  <c r="A4044" i="26"/>
  <c r="A4115" i="26"/>
  <c r="A4320" i="26"/>
  <c r="A4479" i="26"/>
  <c r="A4492" i="26"/>
  <c r="A4522" i="26"/>
  <c r="A4537" i="26"/>
  <c r="A4577" i="26"/>
  <c r="A4610" i="26"/>
  <c r="A5090" i="26"/>
  <c r="A5116" i="26"/>
  <c r="A5383" i="26"/>
  <c r="A5514" i="26"/>
  <c r="A6099" i="26"/>
  <c r="A6105" i="26"/>
  <c r="A6119" i="26"/>
  <c r="A6571" i="26"/>
  <c r="A6652" i="26"/>
  <c r="A6780" i="26"/>
  <c r="A3702" i="26"/>
  <c r="A3861" i="26"/>
  <c r="A4359" i="26"/>
  <c r="A4538" i="26"/>
  <c r="A5138" i="26"/>
  <c r="A6155" i="26"/>
  <c r="A6326" i="26"/>
  <c r="A2719" i="26"/>
  <c r="A2731" i="26"/>
  <c r="A2780" i="26"/>
  <c r="A2940" i="26"/>
  <c r="A2981" i="26"/>
  <c r="A3359" i="26"/>
  <c r="A3418" i="26"/>
  <c r="A3695" i="26"/>
  <c r="A4090" i="26"/>
  <c r="A4421" i="26"/>
  <c r="A4480" i="26"/>
  <c r="A4984" i="26"/>
  <c r="A5253" i="26"/>
  <c r="A6198" i="26"/>
  <c r="A1523" i="26"/>
  <c r="A1875" i="26"/>
  <c r="A2262" i="26"/>
  <c r="A2275" i="26"/>
  <c r="A2287" i="26"/>
  <c r="A2648" i="26"/>
  <c r="A2768" i="26"/>
  <c r="A3151" i="26"/>
  <c r="A3669" i="26"/>
  <c r="A3689" i="26"/>
  <c r="A3840" i="26"/>
  <c r="A4007" i="26"/>
  <c r="A4065" i="26"/>
  <c r="A4468" i="26"/>
  <c r="A4554" i="26"/>
  <c r="A5012" i="26"/>
  <c r="A5026" i="26"/>
  <c r="A5072" i="26"/>
  <c r="A5291" i="26"/>
  <c r="A5297" i="26"/>
  <c r="A5304" i="26"/>
  <c r="A5440" i="26"/>
  <c r="A5738" i="26"/>
  <c r="A5887" i="26"/>
  <c r="A6132" i="26"/>
  <c r="A6219" i="26"/>
  <c r="A6327" i="26"/>
  <c r="A1516" i="26"/>
  <c r="A1881" i="26"/>
  <c r="A2353" i="26"/>
  <c r="A2393" i="26"/>
  <c r="A2583" i="26"/>
  <c r="A2874" i="26"/>
  <c r="A2880" i="26"/>
  <c r="A3099" i="26"/>
  <c r="A3118" i="26"/>
  <c r="A3291" i="26"/>
  <c r="A3298" i="26"/>
  <c r="A3354" i="26"/>
  <c r="A3569" i="26"/>
  <c r="A3917" i="26"/>
  <c r="A3923" i="26"/>
  <c r="A4053" i="26"/>
  <c r="A4220" i="26"/>
  <c r="A4360" i="26"/>
  <c r="A4415" i="26"/>
  <c r="A4507" i="26"/>
  <c r="A4652" i="26"/>
  <c r="A4985" i="26"/>
  <c r="A5092" i="26"/>
  <c r="A5131" i="26"/>
  <c r="A5423" i="26"/>
  <c r="A5429" i="26"/>
  <c r="A5811" i="26"/>
  <c r="A5940" i="26"/>
  <c r="A6167" i="26"/>
  <c r="A6186" i="26"/>
  <c r="A6428" i="26"/>
  <c r="A6473" i="26"/>
  <c r="A6495" i="26"/>
  <c r="A6502" i="26"/>
  <c r="A3334" i="26"/>
  <c r="A3432" i="26"/>
  <c r="A3967" i="26"/>
  <c r="A4045" i="26"/>
  <c r="A4108" i="26"/>
  <c r="A5184" i="26"/>
  <c r="A5561" i="26"/>
  <c r="A5952" i="26"/>
  <c r="A5983" i="26"/>
  <c r="A2269" i="26"/>
  <c r="A2518" i="26"/>
  <c r="A2628" i="26"/>
  <c r="A3353" i="26"/>
  <c r="A3411" i="26"/>
  <c r="A3425" i="26"/>
  <c r="A3868" i="26"/>
  <c r="A4071" i="26"/>
  <c r="A4232" i="26"/>
  <c r="A4275" i="26"/>
  <c r="A4315" i="26"/>
  <c r="A4486" i="26"/>
  <c r="A4523" i="26"/>
  <c r="A4547" i="26"/>
  <c r="A4992" i="26"/>
  <c r="A5364" i="26"/>
  <c r="A5496" i="26"/>
  <c r="A6333" i="26"/>
  <c r="A6340" i="26"/>
  <c r="A6408" i="26"/>
  <c r="A6427" i="26"/>
  <c r="A6520" i="26"/>
  <c r="A6661" i="26"/>
  <c r="A6674" i="26"/>
  <c r="A1530" i="26"/>
  <c r="A2387" i="26"/>
  <c r="A2473" i="26"/>
  <c r="A2513" i="26"/>
  <c r="A2800" i="26"/>
  <c r="A2946" i="26"/>
  <c r="A3682" i="26"/>
  <c r="A4046" i="26"/>
  <c r="A4531" i="26"/>
  <c r="A4604" i="26"/>
  <c r="A5019" i="26"/>
  <c r="A2370" i="26"/>
  <c r="A2737" i="26"/>
  <c r="A2749" i="26"/>
  <c r="A3279" i="26"/>
  <c r="A3348" i="26"/>
  <c r="A3676" i="26"/>
  <c r="A4245" i="26"/>
  <c r="A4435" i="26"/>
  <c r="A4487" i="26"/>
  <c r="A4875" i="26"/>
  <c r="A5033" i="26"/>
  <c r="A5073" i="26"/>
  <c r="A5125" i="26"/>
  <c r="A5280" i="26"/>
  <c r="A5691" i="26"/>
  <c r="A5972" i="26"/>
  <c r="A6054" i="26"/>
  <c r="A6180" i="26"/>
  <c r="A6308" i="26"/>
  <c r="A6349" i="26"/>
  <c r="A2577" i="26"/>
  <c r="A3138" i="26"/>
  <c r="A3323" i="26"/>
  <c r="A3336" i="26"/>
  <c r="A3486" i="26"/>
  <c r="A3530" i="26"/>
  <c r="A3635" i="26"/>
  <c r="A3780" i="26"/>
  <c r="A3903" i="26"/>
  <c r="A4258" i="26"/>
  <c r="A4455" i="26"/>
  <c r="A5274" i="26"/>
  <c r="A5880" i="26"/>
  <c r="A1702" i="26"/>
  <c r="A3617" i="26"/>
  <c r="A4187" i="26"/>
  <c r="A4272" i="26"/>
  <c r="A4519" i="26"/>
  <c r="A4665" i="26"/>
  <c r="A4957" i="26"/>
  <c r="A5749" i="26"/>
  <c r="A6055" i="26"/>
  <c r="A6288" i="26"/>
  <c r="A6401" i="26"/>
  <c r="A6441" i="26"/>
  <c r="A6768" i="26"/>
  <c r="A2462" i="26"/>
  <c r="A2494" i="26"/>
  <c r="A2692" i="26"/>
  <c r="A2727" i="26"/>
  <c r="A2758" i="26"/>
  <c r="A2771" i="26"/>
  <c r="A2835" i="26"/>
  <c r="A2884" i="26"/>
  <c r="A2953" i="26"/>
  <c r="A3175" i="26"/>
  <c r="A3786" i="26"/>
  <c r="A3837" i="26"/>
  <c r="A3931" i="26"/>
  <c r="A4021" i="26"/>
  <c r="A4040" i="26"/>
  <c r="A4103" i="26"/>
  <c r="A4182" i="26"/>
  <c r="A4292" i="26"/>
  <c r="A4305" i="26"/>
  <c r="A4710" i="26"/>
  <c r="A4866" i="26"/>
  <c r="A5035" i="26"/>
  <c r="A5060" i="26"/>
  <c r="A5106" i="26"/>
  <c r="A5406" i="26"/>
  <c r="A5424" i="26"/>
  <c r="A5683" i="26"/>
  <c r="A5844" i="26"/>
  <c r="A5908" i="26"/>
  <c r="A6028" i="26"/>
  <c r="A6548" i="26"/>
  <c r="A6608" i="26"/>
  <c r="A6756" i="26"/>
  <c r="A6762" i="26"/>
  <c r="C416" i="3"/>
  <c r="C112" i="3"/>
  <c r="C154" i="28"/>
  <c r="C150" i="3"/>
  <c r="C693" i="28"/>
  <c r="C264" i="3"/>
  <c r="C568" i="3"/>
  <c r="C834" i="28"/>
  <c r="C454" i="3"/>
  <c r="C388" i="28"/>
  <c r="C188" i="3"/>
  <c r="C427" i="28"/>
  <c r="C37" i="28"/>
  <c r="C599" i="28"/>
  <c r="C644" i="3"/>
  <c r="C302" i="3"/>
  <c r="C226" i="3"/>
  <c r="A152" i="7"/>
  <c r="B38" i="8" s="1"/>
  <c r="C682" i="3"/>
  <c r="C232" i="28"/>
  <c r="A2265" i="26"/>
  <c r="A2328" i="26"/>
  <c r="A2401" i="26"/>
  <c r="A2451" i="26"/>
  <c r="A2547" i="26"/>
  <c r="A2570" i="26"/>
  <c r="A2643" i="26"/>
  <c r="A2649" i="26"/>
  <c r="A2662" i="26"/>
  <c r="A3213" i="26"/>
  <c r="A3375" i="26"/>
  <c r="A3419" i="26"/>
  <c r="A3925" i="26"/>
  <c r="A4006" i="26"/>
  <c r="A4171" i="26"/>
  <c r="A4666" i="26"/>
  <c r="A4841" i="26"/>
  <c r="A4880" i="26"/>
  <c r="A5042" i="26"/>
  <c r="A5113" i="26"/>
  <c r="A5393" i="26"/>
  <c r="A5418" i="26"/>
  <c r="A5631" i="26"/>
  <c r="A5816" i="26"/>
  <c r="A5992" i="26"/>
  <c r="A5998" i="26"/>
  <c r="A6277" i="26"/>
  <c r="A6356" i="26"/>
  <c r="A6490" i="26"/>
  <c r="A6731" i="26"/>
  <c r="J150" i="3"/>
  <c r="J302" i="3"/>
  <c r="J454" i="3"/>
  <c r="J340" i="3"/>
  <c r="J568" i="3"/>
  <c r="J188" i="3"/>
  <c r="J644" i="3"/>
  <c r="J530" i="3"/>
  <c r="J682" i="3"/>
  <c r="J416" i="3"/>
  <c r="J264" i="3"/>
  <c r="C787" i="28"/>
  <c r="J492" i="3"/>
  <c r="A1521" i="26"/>
  <c r="A2283" i="26"/>
  <c r="A2384" i="26"/>
  <c r="A2395" i="26"/>
  <c r="A2413" i="26"/>
  <c r="A2430" i="26"/>
  <c r="A2457" i="26"/>
  <c r="A2463" i="26"/>
  <c r="A2484" i="26"/>
  <c r="A2489" i="26"/>
  <c r="A2604" i="26"/>
  <c r="A2609" i="26"/>
  <c r="A2625" i="26"/>
  <c r="A2637" i="26"/>
  <c r="A2699" i="26"/>
  <c r="A2752" i="26"/>
  <c r="A2789" i="26"/>
  <c r="A2795" i="26"/>
  <c r="A2824" i="26"/>
  <c r="A2879" i="26"/>
  <c r="A2913" i="26"/>
  <c r="A2965" i="26"/>
  <c r="A2994" i="26"/>
  <c r="A3028" i="26"/>
  <c r="A3060" i="26"/>
  <c r="A3065" i="26"/>
  <c r="A3071" i="26"/>
  <c r="A3097" i="26"/>
  <c r="A3122" i="26"/>
  <c r="A3147" i="26"/>
  <c r="A3189" i="26"/>
  <c r="A3321" i="26"/>
  <c r="A3327" i="26"/>
  <c r="A3332" i="26"/>
  <c r="A3459" i="26"/>
  <c r="A3503" i="26"/>
  <c r="A3522" i="26"/>
  <c r="A3584" i="26"/>
  <c r="A3799" i="26"/>
  <c r="A3906" i="26"/>
  <c r="A4000" i="26"/>
  <c r="A4028" i="26"/>
  <c r="A4370" i="26"/>
  <c r="A4490" i="26"/>
  <c r="A4557" i="26"/>
  <c r="A4620" i="26"/>
  <c r="A4633" i="26"/>
  <c r="A4640" i="26"/>
  <c r="A4647" i="26"/>
  <c r="A4704" i="26"/>
  <c r="A4860" i="26"/>
  <c r="A4945" i="26"/>
  <c r="A5407" i="26"/>
  <c r="A5575" i="26"/>
  <c r="A5684" i="26"/>
  <c r="A5731" i="26"/>
  <c r="A5838" i="26"/>
  <c r="A5845" i="26"/>
  <c r="A6041" i="26"/>
  <c r="A6094" i="26"/>
  <c r="A6296" i="26"/>
  <c r="A6415" i="26"/>
  <c r="A1884" i="26"/>
  <c r="A2483" i="26"/>
  <c r="A3843" i="26"/>
  <c r="A4542" i="26"/>
  <c r="A4646" i="26"/>
  <c r="A5159" i="26"/>
  <c r="A5863" i="26"/>
  <c r="A5882" i="26"/>
  <c r="A5934" i="26"/>
  <c r="A6342" i="26"/>
  <c r="A6489" i="26"/>
  <c r="A6580" i="26"/>
  <c r="A6703" i="26"/>
  <c r="A1286" i="26"/>
  <c r="A1514" i="26"/>
  <c r="A1527" i="26"/>
  <c r="A2247" i="26"/>
  <c r="A2253" i="26"/>
  <c r="A2288" i="26"/>
  <c r="A2300" i="26"/>
  <c r="A2469" i="26"/>
  <c r="A2630" i="26"/>
  <c r="A2745" i="26"/>
  <c r="A2867" i="26"/>
  <c r="A2959" i="26"/>
  <c r="A3243" i="26"/>
  <c r="A3266" i="26"/>
  <c r="A3344" i="26"/>
  <c r="A3683" i="26"/>
  <c r="A3759" i="26"/>
  <c r="A3812" i="26"/>
  <c r="A3885" i="26"/>
  <c r="A3899" i="26"/>
  <c r="A3938" i="26"/>
  <c r="A4054" i="26"/>
  <c r="A4109" i="26"/>
  <c r="A5703" i="26"/>
  <c r="A6559" i="26"/>
  <c r="C492" i="3"/>
  <c r="A2587" i="26"/>
  <c r="A2861" i="26"/>
  <c r="A2891" i="26"/>
  <c r="A2948" i="26"/>
  <c r="A3047" i="26"/>
  <c r="A3754" i="26"/>
  <c r="A3772" i="26"/>
  <c r="A3956" i="26"/>
  <c r="A4129" i="26"/>
  <c r="A4279" i="26"/>
  <c r="A4659" i="26"/>
  <c r="A4722" i="26"/>
  <c r="A4762" i="26"/>
  <c r="A4812" i="26"/>
  <c r="A4829" i="26"/>
  <c r="Q302" i="3"/>
  <c r="AA193" i="28"/>
  <c r="Q530" i="3"/>
  <c r="Q188" i="3"/>
  <c r="AA232" i="28"/>
  <c r="Q606" i="3"/>
  <c r="AA349" i="28"/>
  <c r="Q758" i="3"/>
  <c r="Q226" i="3"/>
  <c r="Q568" i="3"/>
  <c r="Q264" i="3"/>
  <c r="C193" i="28"/>
  <c r="C466" i="28"/>
  <c r="A1873" i="26"/>
  <c r="A2294" i="26"/>
  <c r="A2356" i="26"/>
  <c r="A2495" i="26"/>
  <c r="A2537" i="26"/>
  <c r="A2576" i="26"/>
  <c r="A2656" i="26"/>
  <c r="A2885" i="26"/>
  <c r="A3041" i="26"/>
  <c r="A3140" i="26"/>
  <c r="A3153" i="26"/>
  <c r="A3303" i="26"/>
  <c r="A3427" i="26"/>
  <c r="A3497" i="26"/>
  <c r="A3572" i="26"/>
  <c r="A3697" i="26"/>
  <c r="A3729" i="26"/>
  <c r="A3893" i="26"/>
  <c r="A4130" i="26"/>
  <c r="A4793" i="26"/>
  <c r="A5394" i="26"/>
  <c r="A5769" i="26"/>
  <c r="A6069" i="26"/>
  <c r="A2896" i="26"/>
  <c r="A1879" i="26"/>
  <c r="A2341" i="26"/>
  <c r="A2508" i="26"/>
  <c r="A2525" i="26"/>
  <c r="A3104" i="26"/>
  <c r="A3376" i="26"/>
  <c r="A3491" i="26"/>
  <c r="A3561" i="26"/>
  <c r="A4313" i="26"/>
  <c r="A4818" i="26"/>
  <c r="A5161" i="26"/>
  <c r="A5301" i="26"/>
  <c r="A5524" i="26"/>
  <c r="A5698" i="26"/>
  <c r="A5803" i="26"/>
  <c r="A6050" i="26"/>
  <c r="A5832" i="26"/>
  <c r="A6601" i="26"/>
  <c r="A6609" i="26"/>
  <c r="A6676" i="26"/>
  <c r="A2417" i="26"/>
  <c r="A2623" i="26"/>
  <c r="A2641" i="26"/>
  <c r="A2919" i="26"/>
  <c r="A2926" i="26"/>
  <c r="A2943" i="26"/>
  <c r="A3039" i="26"/>
  <c r="A3113" i="26"/>
  <c r="A3307" i="26"/>
  <c r="A3378" i="26"/>
  <c r="A3390" i="26"/>
  <c r="A3498" i="26"/>
  <c r="A3847" i="26"/>
  <c r="A4154" i="26"/>
  <c r="A4189" i="26"/>
  <c r="A4218" i="26"/>
  <c r="A4443" i="26"/>
  <c r="A4663" i="26"/>
  <c r="A4707" i="26"/>
  <c r="A4843" i="26"/>
  <c r="A4927" i="26"/>
  <c r="A4933" i="26"/>
  <c r="A5010" i="26"/>
  <c r="A5036" i="26"/>
  <c r="A5376" i="26"/>
  <c r="A5545" i="26"/>
  <c r="A5608" i="26"/>
  <c r="A5860" i="26"/>
  <c r="A5950" i="26"/>
  <c r="A6023" i="26"/>
  <c r="A1872" i="26"/>
  <c r="A2302" i="26"/>
  <c r="A2383" i="26"/>
  <c r="A2497" i="26"/>
  <c r="A2509" i="26"/>
  <c r="A2569" i="26"/>
  <c r="A2586" i="26"/>
  <c r="A2665" i="26"/>
  <c r="A2671" i="26"/>
  <c r="A2694" i="26"/>
  <c r="A2712" i="26"/>
  <c r="A2806" i="26"/>
  <c r="A2846" i="26"/>
  <c r="A2904" i="26"/>
  <c r="A3095" i="26"/>
  <c r="A3119" i="26"/>
  <c r="A3190" i="26"/>
  <c r="A3196" i="26"/>
  <c r="A3202" i="26"/>
  <c r="A3208" i="26"/>
  <c r="A3225" i="26"/>
  <c r="A3237" i="26"/>
  <c r="A3260" i="26"/>
  <c r="A3289" i="26"/>
  <c r="A3384" i="26"/>
  <c r="A3416" i="26"/>
  <c r="A3660" i="26"/>
  <c r="A3753" i="26"/>
  <c r="A3916" i="26"/>
  <c r="A4024" i="26"/>
  <c r="A4074" i="26"/>
  <c r="A4080" i="26"/>
  <c r="A4267" i="26"/>
  <c r="A4350" i="26"/>
  <c r="A4482" i="26"/>
  <c r="A4739" i="26"/>
  <c r="A4746" i="26"/>
  <c r="A4758" i="26"/>
  <c r="A4997" i="26"/>
  <c r="A5024" i="26"/>
  <c r="A5146" i="26"/>
  <c r="A5173" i="26"/>
  <c r="A5180" i="26"/>
  <c r="A5452" i="26"/>
  <c r="A5512" i="26"/>
  <c r="A5519" i="26"/>
  <c r="A5538" i="26"/>
  <c r="A5666" i="26"/>
  <c r="A5778" i="26"/>
  <c r="A6209" i="26"/>
  <c r="A6298" i="26"/>
  <c r="A6403" i="26"/>
  <c r="A1505" i="26"/>
  <c r="A2336" i="26"/>
  <c r="A2618" i="26"/>
  <c r="A2635" i="26"/>
  <c r="A2788" i="26"/>
  <c r="A2920" i="26"/>
  <c r="A3027" i="26"/>
  <c r="A3150" i="26"/>
  <c r="A3326" i="26"/>
  <c r="A3449" i="26"/>
  <c r="A3603" i="26"/>
  <c r="A3727" i="26"/>
  <c r="A3869" i="26"/>
  <c r="A3953" i="26"/>
  <c r="A4031" i="26"/>
  <c r="A4037" i="26"/>
  <c r="A4099" i="26"/>
  <c r="A4437" i="26"/>
  <c r="A4541" i="26"/>
  <c r="A4599" i="26"/>
  <c r="A5344" i="26"/>
  <c r="A5411" i="26"/>
  <c r="A5552" i="26"/>
  <c r="A5579" i="26"/>
  <c r="A5591" i="26"/>
  <c r="A5649" i="26"/>
  <c r="A5799" i="26"/>
  <c r="A6254" i="26"/>
  <c r="A6316" i="26"/>
  <c r="A3184" i="26"/>
  <c r="A3217" i="26"/>
  <c r="A3493" i="26"/>
  <c r="A3747" i="26"/>
  <c r="A3889" i="26"/>
  <c r="A4248" i="26"/>
  <c r="A4282" i="26"/>
  <c r="A4532" i="26"/>
  <c r="A4808" i="26"/>
  <c r="A5400" i="26"/>
  <c r="A5413" i="26"/>
  <c r="A5680" i="26"/>
  <c r="A5726" i="26"/>
  <c r="A6187" i="26"/>
  <c r="A6469" i="26"/>
  <c r="A6582" i="26"/>
  <c r="A6697" i="26"/>
  <c r="A2701" i="26"/>
  <c r="A2728" i="26"/>
  <c r="A2801" i="26"/>
  <c r="A2811" i="26"/>
  <c r="A2856" i="26"/>
  <c r="A2931" i="26"/>
  <c r="A2947" i="26"/>
  <c r="A3051" i="26"/>
  <c r="A3103" i="26"/>
  <c r="A3135" i="26"/>
  <c r="A3141" i="26"/>
  <c r="A3146" i="26"/>
  <c r="A3240" i="26"/>
  <c r="A3262" i="26"/>
  <c r="A3306" i="26"/>
  <c r="A3318" i="26"/>
  <c r="A3373" i="26"/>
  <c r="A3391" i="26"/>
  <c r="A3469" i="26"/>
  <c r="A3535" i="26"/>
  <c r="A3560" i="26"/>
  <c r="A3634" i="26"/>
  <c r="A3657" i="26"/>
  <c r="A3663" i="26"/>
  <c r="A3728" i="26"/>
  <c r="A3763" i="26"/>
  <c r="A3807" i="26"/>
  <c r="A3836" i="26"/>
  <c r="A3849" i="26"/>
  <c r="A3909" i="26"/>
  <c r="A4096" i="26"/>
  <c r="A4125" i="26"/>
  <c r="A4166" i="26"/>
  <c r="A4188" i="26"/>
  <c r="A4229" i="26"/>
  <c r="A4270" i="26"/>
  <c r="A4288" i="26"/>
  <c r="A4301" i="26"/>
  <c r="A4314" i="26"/>
  <c r="A4319" i="26"/>
  <c r="A4330" i="26"/>
  <c r="A4458" i="26"/>
  <c r="A4609" i="26"/>
  <c r="A4634" i="26"/>
  <c r="A4709" i="26"/>
  <c r="A4844" i="26"/>
  <c r="A4869" i="26"/>
  <c r="A4899" i="26"/>
  <c r="A4913" i="26"/>
  <c r="A4944" i="26"/>
  <c r="A4974" i="26"/>
  <c r="A5067" i="26"/>
  <c r="A5093" i="26"/>
  <c r="A5137" i="26"/>
  <c r="A5225" i="26"/>
  <c r="A5231" i="26"/>
  <c r="A5262" i="26"/>
  <c r="A5419" i="26"/>
  <c r="A5461" i="26"/>
  <c r="A5497" i="26"/>
  <c r="A5521" i="26"/>
  <c r="A5610" i="26"/>
  <c r="A5642" i="26"/>
  <c r="A5777" i="26"/>
  <c r="A6075" i="26"/>
  <c r="A6082" i="26"/>
  <c r="A6383" i="26"/>
  <c r="A6397" i="26"/>
  <c r="A6516" i="26"/>
  <c r="A6655" i="26"/>
  <c r="A6663" i="26"/>
  <c r="A6684" i="26"/>
  <c r="A6726" i="26"/>
  <c r="A6757" i="26"/>
  <c r="A1043" i="26"/>
  <c r="A2271" i="26"/>
  <c r="A2661" i="26"/>
  <c r="A3223" i="26"/>
  <c r="A3414" i="26"/>
  <c r="A3542" i="26"/>
  <c r="A3583" i="26"/>
  <c r="A3741" i="26"/>
  <c r="A3997" i="26"/>
  <c r="A4308" i="26"/>
  <c r="A4408" i="26"/>
  <c r="A4654" i="26"/>
  <c r="A4697" i="26"/>
  <c r="A4920" i="26"/>
  <c r="A5005" i="26"/>
  <c r="A5149" i="26"/>
  <c r="A5163" i="26"/>
  <c r="A5299" i="26"/>
  <c r="A5395" i="26"/>
  <c r="A5533" i="26"/>
  <c r="A5667" i="26"/>
  <c r="A5852" i="26"/>
  <c r="A6035" i="26"/>
  <c r="A6049" i="26"/>
  <c r="A6456" i="26"/>
  <c r="A6562" i="26"/>
  <c r="A6575" i="26"/>
  <c r="A6691" i="26"/>
  <c r="A6706" i="26"/>
  <c r="A2244" i="26"/>
  <c r="A1895" i="26"/>
  <c r="A1901" i="26"/>
  <c r="A2314" i="26"/>
  <c r="A2346" i="26"/>
  <c r="A2477" i="26"/>
  <c r="A2603" i="26"/>
  <c r="A2770" i="26"/>
  <c r="A2813" i="26"/>
  <c r="A2890" i="26"/>
  <c r="A2901" i="26"/>
  <c r="A3002" i="26"/>
  <c r="A3659" i="26"/>
  <c r="A3730" i="26"/>
  <c r="A3770" i="26"/>
  <c r="A3934" i="26"/>
  <c r="A4156" i="26"/>
  <c r="A4290" i="26"/>
  <c r="A4303" i="26"/>
  <c r="A4351" i="26"/>
  <c r="A4369" i="26"/>
  <c r="A4527" i="26"/>
  <c r="A4556" i="26"/>
  <c r="A4616" i="26"/>
  <c r="A4729" i="26"/>
  <c r="A4749" i="26"/>
  <c r="A5013" i="26"/>
  <c r="A5038" i="26"/>
  <c r="A5196" i="26"/>
  <c r="A5320" i="26"/>
  <c r="A5486" i="26"/>
  <c r="A5535" i="26"/>
  <c r="A5898" i="26"/>
  <c r="A6012" i="26"/>
  <c r="A6109" i="26"/>
  <c r="A6392" i="26"/>
  <c r="A6445" i="26"/>
  <c r="A6721" i="26"/>
  <c r="A6752" i="26"/>
  <c r="B80" i="28"/>
  <c r="A2444" i="26"/>
  <c r="A2520" i="26"/>
  <c r="A2536" i="26"/>
  <c r="A2546" i="26"/>
  <c r="A2691" i="26"/>
  <c r="A2845" i="26"/>
  <c r="A2933" i="26"/>
  <c r="A2991" i="26"/>
  <c r="A3053" i="26"/>
  <c r="A3109" i="26"/>
  <c r="A3120" i="26"/>
  <c r="A3126" i="26"/>
  <c r="A3159" i="26"/>
  <c r="A3180" i="26"/>
  <c r="A3341" i="26"/>
  <c r="A3352" i="26"/>
  <c r="A3403" i="26"/>
  <c r="A3409" i="26"/>
  <c r="A3465" i="26"/>
  <c r="A3525" i="26"/>
  <c r="A3531" i="26"/>
  <c r="A3802" i="26"/>
  <c r="A3851" i="26"/>
  <c r="A3858" i="26"/>
  <c r="A3898" i="26"/>
  <c r="A3969" i="26"/>
  <c r="A4219" i="26"/>
  <c r="A4261" i="26"/>
  <c r="A4338" i="26"/>
  <c r="A4376" i="26"/>
  <c r="A4440" i="26"/>
  <c r="A4568" i="26"/>
  <c r="A4629" i="26"/>
  <c r="A4636" i="26"/>
  <c r="A4643" i="26"/>
  <c r="A4743" i="26"/>
  <c r="A4768" i="26"/>
  <c r="A5637" i="26"/>
  <c r="A5878" i="26"/>
  <c r="A5951" i="26"/>
  <c r="A6077" i="26"/>
  <c r="A6084" i="26"/>
  <c r="A6366" i="26"/>
  <c r="A6433" i="26"/>
  <c r="A6451" i="26"/>
  <c r="A6650" i="26"/>
  <c r="A2453" i="26"/>
  <c r="A2700" i="26"/>
  <c r="A2711" i="26"/>
  <c r="A2842" i="26"/>
  <c r="A3461" i="26"/>
  <c r="A3783" i="26"/>
  <c r="A4030" i="26"/>
  <c r="A4110" i="26"/>
  <c r="A4257" i="26"/>
  <c r="A4390" i="26"/>
  <c r="A4539" i="26"/>
  <c r="A4788" i="26"/>
  <c r="A4795" i="26"/>
  <c r="A4915" i="26"/>
  <c r="A4940" i="26"/>
  <c r="A5141" i="26"/>
  <c r="A5351" i="26"/>
  <c r="A5382" i="26"/>
  <c r="A5559" i="26"/>
  <c r="A5854" i="26"/>
  <c r="A6121" i="26"/>
  <c r="A6174" i="26"/>
  <c r="A6305" i="26"/>
  <c r="A3785" i="26"/>
  <c r="A4123" i="26"/>
  <c r="A4340" i="26"/>
  <c r="A4407" i="26"/>
  <c r="A4526" i="26"/>
  <c r="A4651" i="26"/>
  <c r="A4837" i="26"/>
  <c r="A5105" i="26"/>
  <c r="A5322" i="26"/>
  <c r="A5340" i="26"/>
  <c r="A5377" i="26"/>
  <c r="A5384" i="26"/>
  <c r="A5635" i="26"/>
  <c r="A5692" i="26"/>
  <c r="A5750" i="26"/>
  <c r="A5919" i="26"/>
  <c r="A5982" i="26"/>
  <c r="A6037" i="26"/>
  <c r="A6044" i="26"/>
  <c r="A6411" i="26"/>
  <c r="A6565" i="26"/>
  <c r="A6708" i="26"/>
  <c r="A2482" i="26"/>
  <c r="A2755" i="26"/>
  <c r="A3073" i="26"/>
  <c r="A3309" i="26"/>
  <c r="A3363" i="26"/>
  <c r="A3369" i="26"/>
  <c r="A3426" i="26"/>
  <c r="A3445" i="26"/>
  <c r="A3457" i="26"/>
  <c r="A3515" i="26"/>
  <c r="A3591" i="26"/>
  <c r="A3686" i="26"/>
  <c r="A3692" i="26"/>
  <c r="A3745" i="26"/>
  <c r="A3766" i="26"/>
  <c r="A3856" i="26"/>
  <c r="A3895" i="26"/>
  <c r="A3987" i="26"/>
  <c r="A3998" i="26"/>
  <c r="A4043" i="26"/>
  <c r="A4055" i="26"/>
  <c r="A4235" i="26"/>
  <c r="A4287" i="26"/>
  <c r="A4450" i="26"/>
  <c r="A4456" i="26"/>
  <c r="A4534" i="26"/>
  <c r="A4572" i="26"/>
  <c r="A4588" i="26"/>
  <c r="A4778" i="26"/>
  <c r="A4849" i="26"/>
  <c r="A4904" i="26"/>
  <c r="A4978" i="26"/>
  <c r="A5050" i="26"/>
  <c r="A5248" i="26"/>
  <c r="A5360" i="26"/>
  <c r="A5782" i="26"/>
  <c r="A5842" i="26"/>
  <c r="A5965" i="26"/>
  <c r="A6214" i="26"/>
  <c r="A6227" i="26"/>
  <c r="A6468" i="26"/>
  <c r="A6508" i="26"/>
  <c r="A6613" i="26"/>
  <c r="A3421" i="26"/>
  <c r="A3487" i="26"/>
  <c r="A3831" i="26"/>
  <c r="A4777" i="26"/>
  <c r="A4903" i="26"/>
  <c r="A4916" i="26"/>
  <c r="A5239" i="26"/>
  <c r="A5480" i="26"/>
  <c r="A5889" i="26"/>
  <c r="A5914" i="26"/>
  <c r="A5946" i="26"/>
  <c r="A6116" i="26"/>
  <c r="A6163" i="26"/>
  <c r="A6438" i="26"/>
  <c r="A6444" i="26"/>
  <c r="A6632" i="26"/>
  <c r="A6738" i="26"/>
  <c r="A3313" i="26"/>
  <c r="A3547" i="26"/>
  <c r="A3622" i="26"/>
  <c r="A3809" i="26"/>
  <c r="A3866" i="26"/>
  <c r="A3884" i="26"/>
  <c r="A4247" i="26"/>
  <c r="A4312" i="26"/>
  <c r="A4323" i="26"/>
  <c r="A4403" i="26"/>
  <c r="A4498" i="26"/>
  <c r="A4584" i="26"/>
  <c r="A4642" i="26"/>
  <c r="A4730" i="26"/>
  <c r="A4856" i="26"/>
  <c r="A4874" i="26"/>
  <c r="A4923" i="26"/>
  <c r="A5009" i="26"/>
  <c r="A5051" i="26"/>
  <c r="A5246" i="26"/>
  <c r="A5298" i="26"/>
  <c r="A5354" i="26"/>
  <c r="A5403" i="26"/>
  <c r="A5456" i="26"/>
  <c r="A5534" i="26"/>
  <c r="A5560" i="26"/>
  <c r="A5607" i="26"/>
  <c r="A5625" i="26"/>
  <c r="A5707" i="26"/>
  <c r="A5781" i="26"/>
  <c r="A5793" i="26"/>
  <c r="A5819" i="26"/>
  <c r="A5831" i="26"/>
  <c r="A5851" i="26"/>
  <c r="A5959" i="26"/>
  <c r="A6045" i="26"/>
  <c r="A6220" i="26"/>
  <c r="A6463" i="26"/>
  <c r="A6497" i="26"/>
  <c r="A6534" i="26"/>
  <c r="A6547" i="26"/>
  <c r="A6651" i="26"/>
  <c r="A6720" i="26"/>
  <c r="A3879" i="26"/>
  <c r="A3940" i="26"/>
  <c r="A4004" i="26"/>
  <c r="A4163" i="26"/>
  <c r="A4242" i="26"/>
  <c r="A4533" i="26"/>
  <c r="A4987" i="26"/>
  <c r="A5069" i="26"/>
  <c r="A5372" i="26"/>
  <c r="A5614" i="26"/>
  <c r="A5720" i="26"/>
  <c r="A5739" i="26"/>
  <c r="A6046" i="26"/>
  <c r="A6064" i="26"/>
  <c r="A6182" i="26"/>
  <c r="A6269" i="26"/>
  <c r="A6318" i="26"/>
  <c r="A6639" i="26"/>
  <c r="A6740" i="26"/>
  <c r="F19" i="1"/>
  <c r="A3274" i="26"/>
  <c r="A3891" i="26"/>
  <c r="A3929" i="26"/>
  <c r="A4036" i="26"/>
  <c r="A4067" i="26"/>
  <c r="A4179" i="26"/>
  <c r="A4210" i="26"/>
  <c r="A4274" i="26"/>
  <c r="A4296" i="26"/>
  <c r="A4324" i="26"/>
  <c r="A4368" i="26"/>
  <c r="A4449" i="26"/>
  <c r="A4540" i="26"/>
  <c r="A4546" i="26"/>
  <c r="A4552" i="26"/>
  <c r="A4608" i="26"/>
  <c r="A4619" i="26"/>
  <c r="A4684" i="26"/>
  <c r="A4719" i="26"/>
  <c r="A4767" i="26"/>
  <c r="A4784" i="26"/>
  <c r="A4796" i="26"/>
  <c r="A4801" i="26"/>
  <c r="A4936" i="26"/>
  <c r="A4976" i="26"/>
  <c r="A5004" i="26"/>
  <c r="A5028" i="26"/>
  <c r="A5057" i="26"/>
  <c r="A5081" i="26"/>
  <c r="A5151" i="26"/>
  <c r="A5157" i="26"/>
  <c r="A5176" i="26"/>
  <c r="A5224" i="26"/>
  <c r="A5235" i="26"/>
  <c r="A5247" i="26"/>
  <c r="A5258" i="26"/>
  <c r="A5270" i="26"/>
  <c r="A5312" i="26"/>
  <c r="A5487" i="26"/>
  <c r="A5505" i="26"/>
  <c r="A5586" i="26"/>
  <c r="A5620" i="26"/>
  <c r="A5657" i="26"/>
  <c r="A5669" i="26"/>
  <c r="A5884" i="26"/>
  <c r="A5896" i="26"/>
  <c r="A5935" i="26"/>
  <c r="A6026" i="26"/>
  <c r="A6246" i="26"/>
  <c r="A6363" i="26"/>
  <c r="A6422" i="26"/>
  <c r="A6458" i="26"/>
  <c r="A6549" i="26"/>
  <c r="A6709" i="26"/>
  <c r="A6715" i="26"/>
  <c r="A4226" i="26"/>
  <c r="A4790" i="26"/>
  <c r="A4876" i="26"/>
  <c r="A5023" i="26"/>
  <c r="A5134" i="26"/>
  <c r="A5241" i="26"/>
  <c r="A5318" i="26"/>
  <c r="A5549" i="26"/>
  <c r="A5555" i="26"/>
  <c r="A5752" i="26"/>
  <c r="A5923" i="26"/>
  <c r="A6098" i="26"/>
  <c r="A6208" i="26"/>
  <c r="A6234" i="26"/>
  <c r="A6346" i="26"/>
  <c r="A6581" i="26"/>
  <c r="A6646" i="26"/>
  <c r="A4688" i="26"/>
  <c r="A4700" i="26"/>
  <c r="A4717" i="26"/>
  <c r="A4741" i="26"/>
  <c r="A4993" i="26"/>
  <c r="A5016" i="26"/>
  <c r="A5044" i="26"/>
  <c r="A5627" i="26"/>
  <c r="A5663" i="26"/>
  <c r="A5815" i="26"/>
  <c r="A5922" i="26"/>
  <c r="A6096" i="26"/>
  <c r="A6231" i="26"/>
  <c r="A6290" i="26"/>
  <c r="A6398" i="26"/>
  <c r="A4424" i="26"/>
  <c r="A4695" i="26"/>
  <c r="A4736" i="26"/>
  <c r="A4771" i="26"/>
  <c r="A4893" i="26"/>
  <c r="A5101" i="26"/>
  <c r="A5244" i="26"/>
  <c r="A5349" i="26"/>
  <c r="A5565" i="26"/>
  <c r="A5641" i="26"/>
  <c r="A5677" i="26"/>
  <c r="A5798" i="26"/>
  <c r="A5867" i="26"/>
  <c r="A5991" i="26"/>
  <c r="A6071" i="26"/>
  <c r="A6170" i="26"/>
  <c r="A6576" i="26"/>
  <c r="A6590" i="26"/>
  <c r="A6596" i="26"/>
  <c r="A6628" i="26"/>
  <c r="A6783" i="26"/>
  <c r="A3431" i="26"/>
  <c r="A3537" i="26"/>
  <c r="A3558" i="26"/>
  <c r="A3627" i="26"/>
  <c r="A3984" i="26"/>
  <c r="A4462" i="26"/>
  <c r="A4657" i="26"/>
  <c r="A4972" i="26"/>
  <c r="A5182" i="26"/>
  <c r="A5222" i="26"/>
  <c r="A5356" i="26"/>
  <c r="A5392" i="26"/>
  <c r="A5540" i="26"/>
  <c r="A5648" i="26"/>
  <c r="A5702" i="26"/>
  <c r="A5780" i="26"/>
  <c r="A5824" i="26"/>
  <c r="A5843" i="26"/>
  <c r="A6110" i="26"/>
  <c r="A6141" i="26"/>
  <c r="A6285" i="26"/>
  <c r="A6292" i="26"/>
  <c r="A6343" i="26"/>
  <c r="A6407" i="26"/>
  <c r="A6431" i="26"/>
  <c r="A6474" i="26"/>
  <c r="A6675" i="26"/>
  <c r="A6702" i="26"/>
  <c r="A4888" i="26"/>
  <c r="A4966" i="26"/>
  <c r="A5015" i="26"/>
  <c r="A5133" i="26"/>
  <c r="A5435" i="26"/>
  <c r="A6063" i="26"/>
  <c r="A6384" i="26"/>
  <c r="A6404" i="26"/>
  <c r="A6643" i="26"/>
  <c r="A4989" i="26"/>
  <c r="A5128" i="26"/>
  <c r="A5674" i="26"/>
  <c r="A5705" i="26"/>
  <c r="A5729" i="26"/>
  <c r="A5822" i="26"/>
  <c r="A6085" i="26"/>
  <c r="A6091" i="26"/>
  <c r="A6185" i="26"/>
  <c r="A6323" i="26"/>
  <c r="A6454" i="26"/>
  <c r="A6560" i="26"/>
  <c r="A6587" i="26"/>
  <c r="A6606" i="26"/>
  <c r="A6625" i="26"/>
  <c r="A6747" i="26"/>
  <c r="A4681" i="26"/>
  <c r="A4932" i="26"/>
  <c r="A4973" i="26"/>
  <c r="A5122" i="26"/>
  <c r="A5217" i="26"/>
  <c r="A5255" i="26"/>
  <c r="A5362" i="26"/>
  <c r="A5523" i="26"/>
  <c r="A5577" i="26"/>
  <c r="A5639" i="26"/>
  <c r="A5645" i="26"/>
  <c r="A5834" i="26"/>
  <c r="A5853" i="26"/>
  <c r="A5993" i="26"/>
  <c r="A6128" i="26"/>
  <c r="A6168" i="26"/>
  <c r="A6317" i="26"/>
  <c r="A6361" i="26"/>
  <c r="A6373" i="26"/>
  <c r="A6406" i="26"/>
  <c r="A6480" i="26"/>
  <c r="A6678" i="26"/>
  <c r="A6095" i="26"/>
  <c r="A6452" i="26"/>
  <c r="A6521" i="26"/>
  <c r="A6716" i="26"/>
  <c r="A5447" i="26"/>
  <c r="A6115" i="26"/>
  <c r="A6237" i="26"/>
  <c r="A6325" i="26"/>
  <c r="A6418" i="26"/>
  <c r="A6672" i="26"/>
  <c r="A5319" i="26"/>
  <c r="A5347" i="26"/>
  <c r="A5398" i="26"/>
  <c r="A5693" i="26"/>
  <c r="A5728" i="26"/>
  <c r="A5734" i="26"/>
  <c r="A5806" i="26"/>
  <c r="A5836" i="26"/>
  <c r="A5899" i="26"/>
  <c r="A5961" i="26"/>
  <c r="A6013" i="26"/>
  <c r="A6090" i="26"/>
  <c r="A6207" i="26"/>
  <c r="A6225" i="26"/>
  <c r="A6486" i="26"/>
  <c r="A6529" i="26"/>
  <c r="A6566" i="26"/>
  <c r="A6666" i="26"/>
  <c r="A6748" i="26"/>
  <c r="A5981" i="26"/>
  <c r="A6067" i="26"/>
  <c r="A6245" i="26"/>
  <c r="A6429" i="26"/>
  <c r="A6476" i="26"/>
  <c r="A6512" i="26"/>
  <c r="A6561" i="26"/>
  <c r="A6660" i="26"/>
  <c r="A6763" i="26"/>
  <c r="A5724" i="26"/>
  <c r="A5871" i="26"/>
  <c r="A6005" i="26"/>
  <c r="A6144" i="26"/>
  <c r="A6274" i="26"/>
  <c r="A6544" i="26"/>
  <c r="A6704" i="26"/>
  <c r="A5390" i="26"/>
  <c r="A5906" i="26"/>
  <c r="A6111" i="26"/>
  <c r="A6328" i="26"/>
  <c r="A6334" i="26"/>
  <c r="A6693" i="26"/>
  <c r="A6730" i="26"/>
  <c r="A5580" i="26"/>
  <c r="A6347" i="26"/>
  <c r="A6477" i="26"/>
  <c r="A6496" i="26"/>
  <c r="A6705" i="26"/>
  <c r="A6723" i="26"/>
  <c r="A6390" i="26"/>
  <c r="A6471" i="26"/>
  <c r="A5809" i="26"/>
  <c r="A5986" i="26"/>
  <c r="A6036" i="26"/>
  <c r="A6304" i="26"/>
  <c r="A6355" i="26"/>
  <c r="A6517" i="26"/>
  <c r="A6570" i="26"/>
  <c r="A6714" i="26"/>
  <c r="A5874" i="26"/>
  <c r="A5886" i="26"/>
  <c r="A5926" i="26"/>
  <c r="A6388" i="26"/>
  <c r="A6585" i="26"/>
  <c r="A6781" i="26"/>
  <c r="A6291" i="26"/>
  <c r="A6330" i="26"/>
  <c r="A6631" i="26"/>
  <c r="A6659" i="26"/>
  <c r="A6677" i="26"/>
  <c r="A6700" i="26"/>
  <c r="A6197" i="26"/>
  <c r="A6378" i="26"/>
  <c r="A6616" i="26"/>
  <c r="A5709" i="26"/>
  <c r="A6345" i="26"/>
  <c r="A6782" i="26"/>
  <c r="A5911" i="26"/>
  <c r="A6630" i="26"/>
  <c r="A6289" i="26"/>
  <c r="A6688" i="26"/>
  <c r="E428" i="23"/>
  <c r="G374" i="23"/>
  <c r="H374" i="23"/>
  <c r="B372" i="19"/>
  <c r="X426" i="19"/>
  <c r="T308" i="19"/>
  <c r="B978" i="19"/>
  <c r="H980" i="23"/>
  <c r="AH7" i="19"/>
  <c r="E510" i="23"/>
  <c r="K353" i="1"/>
  <c r="H407" i="23"/>
  <c r="H325" i="23"/>
  <c r="G325" i="23"/>
  <c r="R323" i="19"/>
  <c r="H270" i="23"/>
  <c r="G290" i="23"/>
  <c r="H290" i="23"/>
  <c r="F626" i="23"/>
  <c r="H255" i="23"/>
  <c r="E255" i="23"/>
  <c r="G595" i="23"/>
  <c r="B2" i="3"/>
  <c r="B791" i="28"/>
  <c r="B744" i="28"/>
  <c r="B697" i="28"/>
  <c r="B650" i="28"/>
  <c r="B603" i="28"/>
  <c r="B2" i="28"/>
  <c r="B2" i="16"/>
  <c r="B724" i="3"/>
  <c r="B534" i="3"/>
  <c r="B268" i="3"/>
  <c r="B392" i="28"/>
  <c r="B154" i="3"/>
  <c r="B40" i="3"/>
  <c r="B275" i="28"/>
  <c r="B420" i="3"/>
  <c r="B158" i="28"/>
  <c r="B41" i="28"/>
  <c r="B572" i="3"/>
  <c r="B2" i="8"/>
  <c r="B470" i="28"/>
  <c r="B230" i="3"/>
  <c r="B353" i="28"/>
  <c r="B610" i="3"/>
  <c r="B116" i="3"/>
  <c r="B236" i="28"/>
  <c r="B119" i="28"/>
  <c r="B78" i="3"/>
  <c r="B197" i="28"/>
  <c r="B458" i="3"/>
  <c r="B648" i="3"/>
  <c r="B306" i="3"/>
  <c r="B509" i="28"/>
  <c r="B431" i="28"/>
  <c r="B192" i="3"/>
  <c r="B314" i="28"/>
  <c r="A2" i="26"/>
  <c r="A2" i="7"/>
  <c r="T200" i="19"/>
  <c r="T949" i="19"/>
  <c r="D26" i="1"/>
  <c r="F317" i="23"/>
  <c r="Y365" i="19"/>
  <c r="H501" i="23"/>
  <c r="E618" i="23"/>
  <c r="F720" i="23"/>
  <c r="G789" i="23"/>
  <c r="E925" i="23"/>
  <c r="AA115" i="28"/>
  <c r="E2" i="20"/>
  <c r="H941" i="23"/>
  <c r="G842" i="23"/>
  <c r="AA466" i="28"/>
  <c r="B232" i="19"/>
  <c r="G267" i="23"/>
  <c r="T465" i="19"/>
  <c r="F540" i="23"/>
  <c r="H673" i="23"/>
  <c r="H842" i="23"/>
  <c r="B892" i="19"/>
  <c r="E795" i="23"/>
  <c r="H930" i="23"/>
  <c r="H946" i="23"/>
  <c r="C355" i="1"/>
  <c r="B28" i="16" s="1"/>
  <c r="AA154" i="28"/>
  <c r="Q416" i="3"/>
  <c r="G438" i="23"/>
  <c r="AA271" i="28"/>
  <c r="Q36" i="3"/>
  <c r="Q150" i="3"/>
  <c r="Q720" i="3"/>
  <c r="Q378" i="3"/>
  <c r="C361" i="1"/>
  <c r="B35" i="16" s="1"/>
  <c r="AA599" i="28"/>
  <c r="AA646" i="28"/>
  <c r="AA693" i="28"/>
  <c r="AA740" i="28"/>
  <c r="AA787" i="28"/>
  <c r="AA834" i="28"/>
  <c r="D152" i="7"/>
  <c r="L361" i="1"/>
  <c r="K35" i="16" s="1"/>
  <c r="K333" i="6"/>
  <c r="AA76" i="28"/>
  <c r="AA552" i="28"/>
  <c r="Q340" i="3"/>
  <c r="Q492" i="3"/>
  <c r="Q682" i="3"/>
  <c r="H38" i="8"/>
  <c r="AA427" i="28"/>
  <c r="AA505" i="28"/>
  <c r="R942" i="19"/>
  <c r="B899" i="19"/>
  <c r="G317" i="23"/>
  <c r="Y473" i="19"/>
  <c r="R871" i="19"/>
  <c r="G901" i="23"/>
  <c r="H944" i="23"/>
  <c r="AP766" i="19"/>
  <c r="E284" i="23"/>
  <c r="H462" i="23"/>
  <c r="G561" i="23"/>
  <c r="Y923" i="19"/>
  <c r="F997" i="23"/>
  <c r="H284" i="23"/>
  <c r="H512" i="23"/>
  <c r="G541" i="23"/>
  <c r="B820" i="19"/>
  <c r="H925" i="23"/>
  <c r="H198" i="23"/>
  <c r="B264" i="19"/>
  <c r="F284" i="23"/>
  <c r="E342" i="23"/>
  <c r="G399" i="23"/>
  <c r="R501" i="19"/>
  <c r="E588" i="23"/>
  <c r="R612" i="19"/>
  <c r="E641" i="23"/>
  <c r="G662" i="23"/>
  <c r="F891" i="23"/>
  <c r="G918" i="23"/>
  <c r="R998" i="19"/>
  <c r="B998" i="19"/>
  <c r="V640" i="19"/>
  <c r="W640" i="19" s="1"/>
  <c r="T257" i="19"/>
  <c r="H429" i="23"/>
  <c r="H651" i="23"/>
  <c r="E976" i="23"/>
  <c r="G929" i="23"/>
  <c r="T288" i="19"/>
  <c r="T329" i="19"/>
  <c r="R640" i="19"/>
  <c r="E669" i="23"/>
  <c r="E720" i="23"/>
  <c r="Y220" i="19"/>
  <c r="B250" i="19"/>
  <c r="R273" i="19"/>
  <c r="B315" i="19"/>
  <c r="G331" i="23"/>
  <c r="F398" i="23"/>
  <c r="F429" i="23"/>
  <c r="B538" i="19"/>
  <c r="R586" i="19"/>
  <c r="G642" i="23"/>
  <c r="F651" i="23"/>
  <c r="H669" i="23"/>
  <c r="T712" i="19"/>
  <c r="H720" i="23"/>
  <c r="B754" i="19"/>
  <c r="F884" i="23"/>
  <c r="H893" i="23"/>
  <c r="X927" i="19"/>
  <c r="F976" i="23"/>
  <c r="G278" i="23"/>
  <c r="B424" i="19"/>
  <c r="H458" i="23"/>
  <c r="H473" i="23"/>
  <c r="B508" i="19"/>
  <c r="E541" i="23"/>
  <c r="F547" i="23"/>
  <c r="X562" i="19"/>
  <c r="H836" i="23"/>
  <c r="H869" i="23"/>
  <c r="H901" i="23"/>
  <c r="G930" i="23"/>
  <c r="F876" i="23"/>
  <c r="G270" i="23"/>
  <c r="H335" i="23"/>
  <c r="F362" i="23"/>
  <c r="E376" i="23"/>
  <c r="E408" i="23"/>
  <c r="H450" i="23"/>
  <c r="R465" i="19"/>
  <c r="Y508" i="19"/>
  <c r="H518" i="23"/>
  <c r="H527" i="23"/>
  <c r="F541" i="23"/>
  <c r="H608" i="23"/>
  <c r="H768" i="23"/>
  <c r="R793" i="19"/>
  <c r="G889" i="23"/>
  <c r="E980" i="23"/>
  <c r="B986" i="19"/>
  <c r="V927" i="19"/>
  <c r="W927" i="19" s="1"/>
  <c r="A720" i="23"/>
  <c r="F732" i="23"/>
  <c r="H807" i="23"/>
  <c r="X790" i="19"/>
  <c r="B583" i="19"/>
  <c r="E585" i="23"/>
  <c r="E288" i="23"/>
  <c r="R401" i="19"/>
  <c r="F624" i="23"/>
  <c r="E632" i="23"/>
  <c r="H719" i="23"/>
  <c r="H795" i="23"/>
  <c r="E266" i="23"/>
  <c r="G364" i="23"/>
  <c r="R435" i="19"/>
  <c r="R460" i="19"/>
  <c r="E469" i="23"/>
  <c r="E505" i="23"/>
  <c r="H530" i="23"/>
  <c r="R559" i="19"/>
  <c r="E561" i="23"/>
  <c r="Y616" i="19"/>
  <c r="B658" i="19"/>
  <c r="R699" i="19"/>
  <c r="G838" i="23"/>
  <c r="G846" i="23"/>
  <c r="F867" i="23"/>
  <c r="E929" i="23"/>
  <c r="B955" i="19"/>
  <c r="H957" i="23"/>
  <c r="H243" i="23"/>
  <c r="R358" i="19"/>
  <c r="B358" i="19"/>
  <c r="G494" i="23"/>
  <c r="H531" i="23"/>
  <c r="E531" i="23"/>
  <c r="G819" i="23"/>
  <c r="T817" i="19"/>
  <c r="E243" i="23"/>
  <c r="B293" i="19"/>
  <c r="B427" i="19"/>
  <c r="E460" i="23"/>
  <c r="T458" i="19"/>
  <c r="H495" i="23"/>
  <c r="F495" i="23"/>
  <c r="E495" i="23"/>
  <c r="B493" i="19"/>
  <c r="E777" i="23"/>
  <c r="R796" i="19"/>
  <c r="AP808" i="19"/>
  <c r="R808" i="19"/>
  <c r="Y984" i="19"/>
  <c r="H205" i="23"/>
  <c r="E205" i="23"/>
  <c r="R261" i="19"/>
  <c r="G525" i="23"/>
  <c r="F525" i="23"/>
  <c r="E525" i="23"/>
  <c r="B523" i="19"/>
  <c r="E552" i="23"/>
  <c r="G696" i="23"/>
  <c r="B694" i="19"/>
  <c r="G243" i="23"/>
  <c r="R257" i="19"/>
  <c r="E343" i="23"/>
  <c r="R341" i="19"/>
  <c r="G362" i="23"/>
  <c r="G429" i="23"/>
  <c r="G501" i="23"/>
  <c r="E501" i="23"/>
  <c r="R525" i="19"/>
  <c r="B561" i="19"/>
  <c r="G608" i="23"/>
  <c r="B619" i="19"/>
  <c r="H674" i="23"/>
  <c r="F674" i="23"/>
  <c r="F798" i="23"/>
  <c r="B849" i="19"/>
  <c r="E946" i="23"/>
  <c r="B944" i="19"/>
  <c r="F295" i="23"/>
  <c r="H295" i="23"/>
  <c r="V891" i="19"/>
  <c r="W891" i="19" s="1"/>
  <c r="G893" i="23"/>
  <c r="T891" i="19"/>
  <c r="R775" i="19"/>
  <c r="H777" i="23"/>
  <c r="G777" i="23"/>
  <c r="X1000" i="19"/>
  <c r="B1000" i="19"/>
  <c r="E941" i="23"/>
  <c r="R939" i="19"/>
  <c r="H965" i="23"/>
  <c r="G965" i="23"/>
  <c r="E965" i="23"/>
  <c r="B932" i="19"/>
  <c r="H934" i="23"/>
  <c r="Y932" i="19"/>
  <c r="G490" i="23"/>
  <c r="H678" i="23"/>
  <c r="F756" i="23"/>
  <c r="G339" i="23"/>
  <c r="F710" i="23"/>
  <c r="G710" i="23"/>
  <c r="X375" i="19"/>
  <c r="F447" i="23"/>
  <c r="E447" i="23"/>
  <c r="E492" i="23"/>
  <c r="F513" i="23"/>
  <c r="H513" i="23"/>
  <c r="X535" i="19"/>
  <c r="G537" i="23"/>
  <c r="B595" i="19"/>
  <c r="G632" i="23"/>
  <c r="U722" i="19"/>
  <c r="F724" i="23"/>
  <c r="H724" i="23"/>
  <c r="E724" i="23"/>
  <c r="E990" i="23"/>
  <c r="F208" i="23"/>
  <c r="F391" i="23"/>
  <c r="R389" i="19"/>
  <c r="F716" i="23"/>
  <c r="Y714" i="19"/>
  <c r="H299" i="23"/>
  <c r="F814" i="23"/>
  <c r="H814" i="23"/>
  <c r="H855" i="23"/>
  <c r="E220" i="23"/>
  <c r="F267" i="23"/>
  <c r="G306" i="23"/>
  <c r="E403" i="23"/>
  <c r="B478" i="19"/>
  <c r="F212" i="23"/>
  <c r="H212" i="23"/>
  <c r="F319" i="23"/>
  <c r="G319" i="23"/>
  <c r="R371" i="19"/>
  <c r="G671" i="23"/>
  <c r="E671" i="23"/>
  <c r="E810" i="23"/>
  <c r="G890" i="23"/>
  <c r="H976" i="23"/>
  <c r="T304" i="19"/>
  <c r="F306" i="23"/>
  <c r="E365" i="23"/>
  <c r="R363" i="19"/>
  <c r="G492" i="23"/>
  <c r="R490" i="19"/>
  <c r="G597" i="23"/>
  <c r="E597" i="23"/>
  <c r="R630" i="19"/>
  <c r="H647" i="23"/>
  <c r="E665" i="23"/>
  <c r="B750" i="19"/>
  <c r="F990" i="23"/>
  <c r="R988" i="19"/>
  <c r="G282" i="23"/>
  <c r="H282" i="23"/>
  <c r="T553" i="19"/>
  <c r="H555" i="23"/>
  <c r="F236" i="23"/>
  <c r="E407" i="23"/>
  <c r="B405" i="19"/>
  <c r="Y555" i="19"/>
  <c r="R555" i="19"/>
  <c r="B195" i="19"/>
  <c r="B203" i="19"/>
  <c r="G263" i="23"/>
  <c r="R326" i="19"/>
  <c r="G360" i="23"/>
  <c r="R499" i="19"/>
  <c r="F531" i="23"/>
  <c r="C597" i="23"/>
  <c r="F648" i="23"/>
  <c r="H648" i="23"/>
  <c r="G648" i="23"/>
  <c r="P646" i="19"/>
  <c r="T694" i="19"/>
  <c r="E805" i="23"/>
  <c r="H810" i="23"/>
  <c r="H876" i="23"/>
  <c r="H912" i="23"/>
  <c r="G912" i="23"/>
  <c r="V975" i="19"/>
  <c r="W975" i="19" s="1"/>
  <c r="H977" i="23"/>
  <c r="R975" i="19"/>
  <c r="G977" i="23"/>
  <c r="E977" i="23"/>
  <c r="G985" i="23"/>
  <c r="E985" i="23"/>
  <c r="G202" i="23"/>
  <c r="H266" i="23"/>
  <c r="B403" i="19"/>
  <c r="G431" i="23"/>
  <c r="R449" i="19"/>
  <c r="H459" i="23"/>
  <c r="H561" i="23"/>
  <c r="F588" i="23"/>
  <c r="R598" i="19"/>
  <c r="E679" i="23"/>
  <c r="X684" i="19"/>
  <c r="F779" i="23"/>
  <c r="C838" i="23"/>
  <c r="E1001" i="23"/>
  <c r="B259" i="19"/>
  <c r="F266" i="23"/>
  <c r="G451" i="23"/>
  <c r="F459" i="23"/>
  <c r="R471" i="19"/>
  <c r="B528" i="19"/>
  <c r="E600" i="23"/>
  <c r="R604" i="19"/>
  <c r="E624" i="23"/>
  <c r="E903" i="23"/>
  <c r="G1001" i="23"/>
  <c r="R516" i="19"/>
  <c r="G530" i="23"/>
  <c r="H600" i="23"/>
  <c r="H624" i="23"/>
  <c r="P684" i="19"/>
  <c r="R740" i="19"/>
  <c r="X407" i="19"/>
  <c r="V559" i="19"/>
  <c r="W559" i="19" s="1"/>
  <c r="V916" i="19"/>
  <c r="W916" i="19" s="1"/>
  <c r="X274" i="19"/>
  <c r="X372" i="19"/>
  <c r="Y432" i="19"/>
  <c r="J978" i="23"/>
  <c r="Y196" i="19"/>
  <c r="E326" i="23"/>
  <c r="B928" i="19"/>
  <c r="B509" i="19"/>
  <c r="R509" i="19"/>
  <c r="G942" i="23"/>
  <c r="Y940" i="19"/>
  <c r="F514" i="23"/>
  <c r="X512" i="19"/>
  <c r="F475" i="23"/>
  <c r="X473" i="19"/>
  <c r="F328" i="23"/>
  <c r="X326" i="19"/>
  <c r="B494" i="19"/>
  <c r="E496" i="23"/>
  <c r="F630" i="23"/>
  <c r="R628" i="19"/>
  <c r="V628" i="19"/>
  <c r="W628" i="19" s="1"/>
  <c r="H239" i="23"/>
  <c r="B438" i="19"/>
  <c r="F440" i="23"/>
  <c r="H196" i="23"/>
  <c r="H222" i="23"/>
  <c r="H226" i="23"/>
  <c r="H246" i="23"/>
  <c r="G272" i="23"/>
  <c r="E276" i="23"/>
  <c r="B286" i="19"/>
  <c r="E292" i="23"/>
  <c r="X327" i="19"/>
  <c r="H334" i="23"/>
  <c r="X335" i="19"/>
  <c r="R357" i="19"/>
  <c r="F386" i="23"/>
  <c r="G398" i="23"/>
  <c r="F415" i="23"/>
  <c r="X419" i="19"/>
  <c r="B454" i="19"/>
  <c r="B470" i="19"/>
  <c r="F479" i="23"/>
  <c r="E500" i="23"/>
  <c r="R498" i="19"/>
  <c r="F562" i="23"/>
  <c r="H566" i="23"/>
  <c r="B564" i="19"/>
  <c r="F629" i="23"/>
  <c r="H844" i="23"/>
  <c r="R842" i="19"/>
  <c r="E879" i="23"/>
  <c r="E932" i="23"/>
  <c r="H932" i="23"/>
  <c r="R930" i="19"/>
  <c r="H892" i="23"/>
  <c r="F892" i="23"/>
  <c r="B890" i="19"/>
  <c r="E892" i="23"/>
  <c r="T314" i="19"/>
  <c r="F316" i="23"/>
  <c r="H635" i="23"/>
  <c r="V633" i="19"/>
  <c r="W633" i="19" s="1"/>
  <c r="G635" i="23"/>
  <c r="B691" i="19"/>
  <c r="H693" i="23"/>
  <c r="G744" i="23"/>
  <c r="B229" i="19"/>
  <c r="G941" i="23"/>
  <c r="Y939" i="19"/>
  <c r="X194" i="19"/>
  <c r="T202" i="19"/>
  <c r="Y202" i="19"/>
  <c r="H208" i="23"/>
  <c r="G208" i="23"/>
  <c r="F222" i="23"/>
  <c r="F226" i="23"/>
  <c r="E232" i="23"/>
  <c r="H276" i="23"/>
  <c r="G292" i="23"/>
  <c r="F323" i="23"/>
  <c r="R345" i="19"/>
  <c r="E366" i="23"/>
  <c r="H377" i="23"/>
  <c r="G377" i="23"/>
  <c r="T425" i="19"/>
  <c r="B425" i="19"/>
  <c r="E430" i="23"/>
  <c r="H430" i="23"/>
  <c r="F439" i="23"/>
  <c r="E472" i="23"/>
  <c r="T511" i="19"/>
  <c r="R514" i="19"/>
  <c r="B520" i="19"/>
  <c r="H536" i="23"/>
  <c r="R565" i="19"/>
  <c r="A573" i="23"/>
  <c r="E579" i="23"/>
  <c r="B592" i="19"/>
  <c r="F594" i="23"/>
  <c r="T623" i="19"/>
  <c r="E664" i="23"/>
  <c r="H664" i="23"/>
  <c r="H743" i="23"/>
  <c r="G743" i="23"/>
  <c r="E743" i="23"/>
  <c r="F743" i="23"/>
  <c r="H750" i="23"/>
  <c r="X748" i="19"/>
  <c r="R748" i="19"/>
  <c r="F811" i="23"/>
  <c r="G811" i="23"/>
  <c r="C811" i="23"/>
  <c r="B832" i="19"/>
  <c r="G834" i="23"/>
  <c r="R883" i="19"/>
  <c r="F913" i="23"/>
  <c r="G913" i="23"/>
  <c r="F553" i="23"/>
  <c r="E553" i="23"/>
  <c r="X773" i="19"/>
  <c r="J854" i="23"/>
  <c r="H854" i="23"/>
  <c r="E982" i="23"/>
  <c r="B980" i="19"/>
  <c r="G982" i="23"/>
  <c r="B395" i="19"/>
  <c r="G397" i="23"/>
  <c r="T211" i="19"/>
  <c r="H292" i="23"/>
  <c r="B295" i="19"/>
  <c r="B333" i="19"/>
  <c r="F354" i="23"/>
  <c r="H359" i="23"/>
  <c r="E359" i="23"/>
  <c r="G366" i="23"/>
  <c r="G371" i="23"/>
  <c r="E380" i="23"/>
  <c r="B420" i="19"/>
  <c r="E440" i="23"/>
  <c r="F472" i="23"/>
  <c r="E475" i="23"/>
  <c r="G513" i="23"/>
  <c r="H516" i="23"/>
  <c r="G522" i="23"/>
  <c r="F585" i="23"/>
  <c r="H585" i="23"/>
  <c r="Y583" i="19"/>
  <c r="H615" i="23"/>
  <c r="F621" i="23"/>
  <c r="Y619" i="19"/>
  <c r="Y623" i="19"/>
  <c r="G634" i="23"/>
  <c r="V632" i="19"/>
  <c r="W632" i="19" s="1"/>
  <c r="H656" i="23"/>
  <c r="G656" i="23"/>
  <c r="G773" i="23"/>
  <c r="T826" i="19"/>
  <c r="X858" i="19"/>
  <c r="H874" i="23"/>
  <c r="H879" i="23"/>
  <c r="B877" i="19"/>
  <c r="F879" i="23"/>
  <c r="F902" i="23"/>
  <c r="G902" i="23"/>
  <c r="B907" i="19"/>
  <c r="G914" i="23"/>
  <c r="E934" i="23"/>
  <c r="T932" i="19"/>
  <c r="E939" i="23"/>
  <c r="X937" i="19"/>
  <c r="G939" i="23"/>
  <c r="B937" i="19"/>
  <c r="H958" i="23"/>
  <c r="B956" i="19"/>
  <c r="H209" i="23"/>
  <c r="H213" i="23"/>
  <c r="G227" i="23"/>
  <c r="E267" i="23"/>
  <c r="F282" i="23"/>
  <c r="Y295" i="19"/>
  <c r="G311" i="23"/>
  <c r="F335" i="23"/>
  <c r="G343" i="23"/>
  <c r="X341" i="19"/>
  <c r="X347" i="19"/>
  <c r="G349" i="23"/>
  <c r="G375" i="23"/>
  <c r="H440" i="23"/>
  <c r="H480" i="23"/>
  <c r="H493" i="23"/>
  <c r="X491" i="19"/>
  <c r="F505" i="23"/>
  <c r="H510" i="23"/>
  <c r="G523" i="23"/>
  <c r="B531" i="19"/>
  <c r="G533" i="23"/>
  <c r="E537" i="23"/>
  <c r="J579" i="23"/>
  <c r="H617" i="23"/>
  <c r="H692" i="23"/>
  <c r="H705" i="23"/>
  <c r="T703" i="19"/>
  <c r="B703" i="19"/>
  <c r="H744" i="23"/>
  <c r="H804" i="23"/>
  <c r="T802" i="19"/>
  <c r="R806" i="19"/>
  <c r="T810" i="19"/>
  <c r="H829" i="23"/>
  <c r="R827" i="19"/>
  <c r="E829" i="23"/>
  <c r="H921" i="23"/>
  <c r="B919" i="19"/>
  <c r="H981" i="23"/>
  <c r="H251" i="23"/>
  <c r="G251" i="23"/>
  <c r="G256" i="23"/>
  <c r="E567" i="23"/>
  <c r="F567" i="23"/>
  <c r="H909" i="23"/>
  <c r="X940" i="19"/>
  <c r="E680" i="23"/>
  <c r="H680" i="23"/>
  <c r="V790" i="19"/>
  <c r="W790" i="19" s="1"/>
  <c r="B790" i="19"/>
  <c r="H987" i="23"/>
  <c r="B985" i="19"/>
  <c r="F987" i="23"/>
  <c r="E987" i="23"/>
  <c r="H195" i="23"/>
  <c r="H197" i="23"/>
  <c r="H201" i="23"/>
  <c r="E206" i="23"/>
  <c r="E210" i="23"/>
  <c r="F223" i="23"/>
  <c r="B226" i="19"/>
  <c r="E261" i="23"/>
  <c r="E275" i="23"/>
  <c r="R282" i="19"/>
  <c r="H328" i="23"/>
  <c r="G355" i="23"/>
  <c r="H360" i="23"/>
  <c r="H381" i="23"/>
  <c r="X415" i="19"/>
  <c r="T423" i="19"/>
  <c r="T435" i="19"/>
  <c r="Y435" i="19"/>
  <c r="H542" i="23"/>
  <c r="E596" i="23"/>
  <c r="B594" i="19"/>
  <c r="F596" i="23"/>
  <c r="G596" i="23"/>
  <c r="V594" i="19"/>
  <c r="W594" i="19" s="1"/>
  <c r="H611" i="23"/>
  <c r="B609" i="19"/>
  <c r="Y609" i="19"/>
  <c r="E830" i="23"/>
  <c r="C830" i="23"/>
  <c r="F830" i="23"/>
  <c r="Y828" i="19"/>
  <c r="G869" i="23"/>
  <c r="F869" i="23"/>
  <c r="F888" i="23"/>
  <c r="H888" i="23"/>
  <c r="G888" i="23"/>
  <c r="F949" i="23"/>
  <c r="H949" i="23"/>
  <c r="E214" i="23"/>
  <c r="H228" i="23"/>
  <c r="G234" i="23"/>
  <c r="E234" i="23"/>
  <c r="H275" i="23"/>
  <c r="E299" i="23"/>
  <c r="F344" i="23"/>
  <c r="X379" i="19"/>
  <c r="H397" i="23"/>
  <c r="E414" i="23"/>
  <c r="X423" i="19"/>
  <c r="H494" i="23"/>
  <c r="B532" i="19"/>
  <c r="E543" i="23"/>
  <c r="G687" i="23"/>
  <c r="F687" i="23"/>
  <c r="E687" i="23"/>
  <c r="B710" i="19"/>
  <c r="G712" i="23"/>
  <c r="H823" i="23"/>
  <c r="F823" i="23"/>
  <c r="Y845" i="19"/>
  <c r="E847" i="23"/>
  <c r="R898" i="19"/>
  <c r="X898" i="19"/>
  <c r="Y898" i="19"/>
  <c r="B915" i="19"/>
  <c r="F917" i="23"/>
  <c r="H954" i="23"/>
  <c r="J954" i="23"/>
  <c r="G966" i="23"/>
  <c r="H992" i="23"/>
  <c r="R990" i="19"/>
  <c r="G324" i="23"/>
  <c r="B322" i="19"/>
  <c r="E324" i="23"/>
  <c r="H739" i="23"/>
  <c r="F221" i="23"/>
  <c r="H231" i="23"/>
  <c r="H248" i="23"/>
  <c r="F286" i="23"/>
  <c r="H308" i="23"/>
  <c r="G336" i="23"/>
  <c r="B334" i="19"/>
  <c r="H336" i="23"/>
  <c r="G341" i="23"/>
  <c r="G361" i="23"/>
  <c r="F390" i="23"/>
  <c r="G390" i="23"/>
  <c r="F397" i="23"/>
  <c r="F449" i="23"/>
  <c r="X509" i="19"/>
  <c r="Y509" i="19"/>
  <c r="G514" i="23"/>
  <c r="E643" i="23"/>
  <c r="Y641" i="19"/>
  <c r="B641" i="19"/>
  <c r="G653" i="23"/>
  <c r="V670" i="19"/>
  <c r="W670" i="19" s="1"/>
  <c r="E672" i="23"/>
  <c r="G806" i="23"/>
  <c r="F864" i="23"/>
  <c r="H864" i="23"/>
  <c r="R862" i="19"/>
  <c r="G870" i="23"/>
  <c r="E870" i="23"/>
  <c r="H870" i="23"/>
  <c r="X934" i="19"/>
  <c r="H936" i="23"/>
  <c r="B511" i="19"/>
  <c r="F454" i="23"/>
  <c r="X452" i="19"/>
  <c r="G556" i="23"/>
  <c r="E556" i="23"/>
  <c r="B554" i="19"/>
  <c r="H708" i="23"/>
  <c r="R706" i="19"/>
  <c r="H767" i="23"/>
  <c r="X818" i="19"/>
  <c r="B818" i="19"/>
  <c r="E196" i="23"/>
  <c r="R206" i="19"/>
  <c r="B220" i="19"/>
  <c r="G283" i="23"/>
  <c r="X285" i="19"/>
  <c r="H305" i="23"/>
  <c r="H337" i="23"/>
  <c r="T351" i="19"/>
  <c r="H391" i="23"/>
  <c r="G426" i="23"/>
  <c r="H438" i="23"/>
  <c r="E438" i="23"/>
  <c r="H471" i="23"/>
  <c r="R469" i="19"/>
  <c r="B571" i="19"/>
  <c r="B582" i="19"/>
  <c r="H584" i="23"/>
  <c r="F689" i="23"/>
  <c r="R687" i="19"/>
  <c r="H689" i="23"/>
  <c r="G736" i="23"/>
  <c r="R734" i="19"/>
  <c r="G754" i="23"/>
  <c r="B752" i="19"/>
  <c r="G826" i="23"/>
  <c r="F866" i="23"/>
  <c r="G866" i="23"/>
  <c r="H877" i="23"/>
  <c r="F653" i="23"/>
  <c r="H653" i="23"/>
  <c r="G728" i="23"/>
  <c r="R854" i="19"/>
  <c r="H964" i="23"/>
  <c r="F966" i="23"/>
  <c r="B964" i="19"/>
  <c r="E966" i="23"/>
  <c r="F193" i="23"/>
  <c r="E208" i="23"/>
  <c r="H216" i="23"/>
  <c r="H236" i="23"/>
  <c r="H281" i="23"/>
  <c r="B290" i="19"/>
  <c r="H300" i="23"/>
  <c r="Y298" i="19"/>
  <c r="G329" i="23"/>
  <c r="G353" i="23"/>
  <c r="F369" i="23"/>
  <c r="E377" i="23"/>
  <c r="B396" i="19"/>
  <c r="B407" i="19"/>
  <c r="F426" i="23"/>
  <c r="F435" i="23"/>
  <c r="X454" i="19"/>
  <c r="G465" i="23"/>
  <c r="F465" i="23"/>
  <c r="F499" i="23"/>
  <c r="G508" i="23"/>
  <c r="H714" i="23"/>
  <c r="G714" i="23"/>
  <c r="B721" i="19"/>
  <c r="H723" i="23"/>
  <c r="H789" i="23"/>
  <c r="V787" i="19"/>
  <c r="W787" i="19" s="1"/>
  <c r="G800" i="23"/>
  <c r="Y798" i="19"/>
  <c r="H989" i="23"/>
  <c r="X987" i="19"/>
  <c r="X665" i="19"/>
  <c r="G667" i="23"/>
  <c r="H780" i="23"/>
  <c r="B778" i="19"/>
  <c r="V892" i="19"/>
  <c r="W892" i="19" s="1"/>
  <c r="E894" i="23"/>
  <c r="H894" i="23"/>
  <c r="F924" i="23"/>
  <c r="H924" i="23"/>
  <c r="F738" i="23"/>
  <c r="H738" i="23"/>
  <c r="G746" i="23"/>
  <c r="H790" i="23"/>
  <c r="E790" i="23"/>
  <c r="X798" i="19"/>
  <c r="G821" i="23"/>
  <c r="G899" i="23"/>
  <c r="E899" i="23"/>
  <c r="B923" i="19"/>
  <c r="F925" i="23"/>
  <c r="H540" i="23"/>
  <c r="V667" i="19"/>
  <c r="W667" i="19" s="1"/>
  <c r="H698" i="23"/>
  <c r="F889" i="23"/>
  <c r="E889" i="23"/>
  <c r="H889" i="23"/>
  <c r="H903" i="23"/>
  <c r="B901" i="19"/>
  <c r="F916" i="23"/>
  <c r="E916" i="23"/>
  <c r="B914" i="19"/>
  <c r="X969" i="19"/>
  <c r="G971" i="23"/>
  <c r="H403" i="23"/>
  <c r="F403" i="23"/>
  <c r="E473" i="23"/>
  <c r="F473" i="23"/>
  <c r="G576" i="23"/>
  <c r="F576" i="23"/>
  <c r="H576" i="23"/>
  <c r="E576" i="23"/>
  <c r="V574" i="19"/>
  <c r="W574" i="19" s="1"/>
  <c r="G700" i="23"/>
  <c r="R698" i="19"/>
  <c r="E732" i="23"/>
  <c r="H732" i="23"/>
  <c r="B751" i="19"/>
  <c r="H846" i="23"/>
  <c r="E927" i="23"/>
  <c r="Y925" i="19"/>
  <c r="B925" i="19"/>
  <c r="H822" i="23"/>
  <c r="G822" i="23"/>
  <c r="H839" i="23"/>
  <c r="E839" i="23"/>
  <c r="H1000" i="23"/>
  <c r="X981" i="19"/>
  <c r="B981" i="19"/>
  <c r="X999" i="19"/>
  <c r="R999" i="19"/>
  <c r="H1001" i="23"/>
  <c r="H563" i="23"/>
  <c r="E563" i="23"/>
  <c r="E608" i="23"/>
  <c r="B606" i="19"/>
  <c r="F614" i="23"/>
  <c r="J614" i="23"/>
  <c r="G673" i="23"/>
  <c r="E701" i="23"/>
  <c r="G701" i="23"/>
  <c r="F731" i="23"/>
  <c r="R729" i="19"/>
  <c r="H868" i="23"/>
  <c r="E868" i="23"/>
  <c r="B866" i="19"/>
  <c r="H541" i="23"/>
  <c r="E570" i="23"/>
  <c r="F597" i="23"/>
  <c r="H606" i="23"/>
  <c r="H696" i="23"/>
  <c r="F893" i="23"/>
  <c r="F901" i="23"/>
  <c r="H918" i="23"/>
  <c r="B974" i="19"/>
  <c r="X975" i="19"/>
  <c r="H985" i="23"/>
  <c r="E988" i="23"/>
  <c r="R622" i="19"/>
  <c r="H626" i="23"/>
  <c r="V658" i="19"/>
  <c r="W658" i="19" s="1"/>
  <c r="H684" i="23"/>
  <c r="X694" i="19"/>
  <c r="G740" i="23"/>
  <c r="G852" i="23"/>
  <c r="E863" i="23"/>
  <c r="E875" i="23"/>
  <c r="F918" i="23"/>
  <c r="G970" i="23"/>
  <c r="F988" i="23"/>
  <c r="H1002" i="23"/>
  <c r="J1001" i="23"/>
  <c r="P960" i="19"/>
  <c r="B384" i="19"/>
  <c r="R384" i="19"/>
  <c r="G410" i="23"/>
  <c r="H410" i="23"/>
  <c r="F410" i="23"/>
  <c r="E207" i="23"/>
  <c r="T205" i="19"/>
  <c r="E219" i="23"/>
  <c r="T217" i="19"/>
  <c r="F240" i="23"/>
  <c r="X238" i="19"/>
  <c r="H348" i="23"/>
  <c r="E348" i="23"/>
  <c r="H191" i="23"/>
  <c r="G191" i="23"/>
  <c r="H199" i="23"/>
  <c r="E199" i="23"/>
  <c r="F207" i="23"/>
  <c r="H207" i="23"/>
  <c r="X217" i="19"/>
  <c r="H219" i="23"/>
  <c r="F235" i="23"/>
  <c r="E235" i="23"/>
  <c r="G269" i="23"/>
  <c r="G274" i="23"/>
  <c r="H274" i="23"/>
  <c r="B317" i="19"/>
  <c r="R317" i="19"/>
  <c r="F489" i="23"/>
  <c r="E489" i="23"/>
  <c r="H489" i="23"/>
  <c r="H240" i="23"/>
  <c r="B238" i="19"/>
  <c r="H244" i="23"/>
  <c r="G244" i="23"/>
  <c r="F247" i="23"/>
  <c r="E247" i="23"/>
  <c r="F303" i="23"/>
  <c r="X301" i="19"/>
  <c r="B373" i="19"/>
  <c r="F375" i="23"/>
  <c r="H400" i="23"/>
  <c r="B398" i="19"/>
  <c r="G200" i="23"/>
  <c r="E200" i="23"/>
  <c r="G599" i="23"/>
  <c r="Y597" i="19"/>
  <c r="R298" i="19"/>
  <c r="B298" i="19"/>
  <c r="E350" i="23"/>
  <c r="E999" i="23"/>
  <c r="T997" i="19"/>
  <c r="F220" i="23"/>
  <c r="H220" i="23"/>
  <c r="G220" i="23"/>
  <c r="X230" i="19"/>
  <c r="H232" i="23"/>
  <c r="G232" i="23"/>
  <c r="X275" i="19"/>
  <c r="X349" i="19"/>
  <c r="R349" i="19"/>
  <c r="B657" i="19"/>
  <c r="H659" i="23"/>
  <c r="B194" i="19"/>
  <c r="E271" i="23"/>
  <c r="X269" i="19"/>
  <c r="H271" i="23"/>
  <c r="G321" i="23"/>
  <c r="F321" i="23"/>
  <c r="E321" i="23"/>
  <c r="E733" i="23"/>
  <c r="T731" i="19"/>
  <c r="Y302" i="19"/>
  <c r="H304" i="23"/>
  <c r="G386" i="23"/>
  <c r="H386" i="23"/>
  <c r="H221" i="23"/>
  <c r="G221" i="23"/>
  <c r="H237" i="23"/>
  <c r="B313" i="19"/>
  <c r="R313" i="19"/>
  <c r="H346" i="23"/>
  <c r="T344" i="19"/>
  <c r="H293" i="23"/>
  <c r="R291" i="19"/>
  <c r="F293" i="23"/>
  <c r="G293" i="23"/>
  <c r="B305" i="19"/>
  <c r="H307" i="23"/>
  <c r="G307" i="23"/>
  <c r="E307" i="23"/>
  <c r="H333" i="23"/>
  <c r="E333" i="23"/>
  <c r="R331" i="19"/>
  <c r="G425" i="23"/>
  <c r="Y423" i="19"/>
  <c r="E455" i="23"/>
  <c r="H455" i="23"/>
  <c r="Y453" i="19"/>
  <c r="F455" i="23"/>
  <c r="G224" i="23"/>
  <c r="F228" i="23"/>
  <c r="X226" i="19"/>
  <c r="B256" i="19"/>
  <c r="R256" i="19"/>
  <c r="E265" i="23"/>
  <c r="H265" i="23"/>
  <c r="G265" i="23"/>
  <c r="G389" i="23"/>
  <c r="Y387" i="19"/>
  <c r="X213" i="19"/>
  <c r="H215" i="23"/>
  <c r="R213" i="19"/>
  <c r="T190" i="19"/>
  <c r="H194" i="23"/>
  <c r="F194" i="23"/>
  <c r="R223" i="19"/>
  <c r="F238" i="23"/>
  <c r="H238" i="23"/>
  <c r="G238" i="23"/>
  <c r="H249" i="23"/>
  <c r="G258" i="23"/>
  <c r="X256" i="19"/>
  <c r="H258" i="23"/>
  <c r="H280" i="23"/>
  <c r="R278" i="19"/>
  <c r="E382" i="23"/>
  <c r="T380" i="19"/>
  <c r="H389" i="23"/>
  <c r="X387" i="19"/>
  <c r="E389" i="23"/>
  <c r="B252" i="19"/>
  <c r="R201" i="19"/>
  <c r="R205" i="19"/>
  <c r="F250" i="23"/>
  <c r="H250" i="23"/>
  <c r="F292" i="23"/>
  <c r="X290" i="19"/>
  <c r="H383" i="23"/>
  <c r="E383" i="23"/>
  <c r="B580" i="19"/>
  <c r="F582" i="23"/>
  <c r="C582" i="23"/>
  <c r="H582" i="23"/>
  <c r="G582" i="23"/>
  <c r="F255" i="23"/>
  <c r="H285" i="23"/>
  <c r="F301" i="23"/>
  <c r="X343" i="19"/>
  <c r="G345" i="23"/>
  <c r="H353" i="23"/>
  <c r="R351" i="19"/>
  <c r="G396" i="23"/>
  <c r="R394" i="19"/>
  <c r="E404" i="23"/>
  <c r="R416" i="19"/>
  <c r="H418" i="23"/>
  <c r="F423" i="23"/>
  <c r="G464" i="23"/>
  <c r="T474" i="19"/>
  <c r="G476" i="23"/>
  <c r="X316" i="19"/>
  <c r="H341" i="23"/>
  <c r="X339" i="19"/>
  <c r="E384" i="23"/>
  <c r="H413" i="23"/>
  <c r="F441" i="23"/>
  <c r="B439" i="19"/>
  <c r="G446" i="23"/>
  <c r="H446" i="23"/>
  <c r="F520" i="23"/>
  <c r="T518" i="19"/>
  <c r="Y518" i="19"/>
  <c r="R526" i="19"/>
  <c r="F528" i="23"/>
  <c r="H528" i="23"/>
  <c r="R241" i="19"/>
  <c r="F355" i="23"/>
  <c r="E381" i="23"/>
  <c r="H402" i="23"/>
  <c r="F402" i="23"/>
  <c r="X475" i="19"/>
  <c r="B475" i="19"/>
  <c r="H477" i="23"/>
  <c r="E477" i="23"/>
  <c r="J748" i="23"/>
  <c r="R746" i="19"/>
  <c r="E516" i="23"/>
  <c r="T514" i="19"/>
  <c r="F733" i="23"/>
  <c r="R445" i="19"/>
  <c r="R202" i="19"/>
  <c r="H234" i="23"/>
  <c r="F243" i="23"/>
  <c r="H264" i="23"/>
  <c r="H267" i="23"/>
  <c r="E278" i="23"/>
  <c r="R279" i="19"/>
  <c r="F290" i="23"/>
  <c r="F296" i="23"/>
  <c r="E319" i="23"/>
  <c r="G347" i="23"/>
  <c r="H366" i="23"/>
  <c r="H373" i="23"/>
  <c r="F373" i="23"/>
  <c r="E391" i="23"/>
  <c r="G391" i="23"/>
  <c r="Y409" i="19"/>
  <c r="F411" i="23"/>
  <c r="F416" i="23"/>
  <c r="H421" i="23"/>
  <c r="F443" i="23"/>
  <c r="H331" i="23"/>
  <c r="H342" i="23"/>
  <c r="E352" i="23"/>
  <c r="H358" i="23"/>
  <c r="R376" i="19"/>
  <c r="H378" i="23"/>
  <c r="F378" i="23"/>
  <c r="R380" i="19"/>
  <c r="H382" i="23"/>
  <c r="H401" i="23"/>
  <c r="E401" i="23"/>
  <c r="G414" i="23"/>
  <c r="H414" i="23"/>
  <c r="F471" i="23"/>
  <c r="X469" i="19"/>
  <c r="Y480" i="19"/>
  <c r="G509" i="23"/>
  <c r="H558" i="23"/>
  <c r="G558" i="23"/>
  <c r="R556" i="19"/>
  <c r="B576" i="19"/>
  <c r="H578" i="23"/>
  <c r="G801" i="23"/>
  <c r="Y799" i="19"/>
  <c r="G814" i="23"/>
  <c r="Y812" i="19"/>
  <c r="G850" i="23"/>
  <c r="E193" i="23"/>
  <c r="E195" i="23"/>
  <c r="G201" i="23"/>
  <c r="E231" i="23"/>
  <c r="H252" i="23"/>
  <c r="R253" i="19"/>
  <c r="H256" i="23"/>
  <c r="G276" i="23"/>
  <c r="H283" i="23"/>
  <c r="R297" i="19"/>
  <c r="G305" i="23"/>
  <c r="H319" i="23"/>
  <c r="G327" i="23"/>
  <c r="R327" i="19"/>
  <c r="B327" i="19"/>
  <c r="H380" i="23"/>
  <c r="F387" i="23"/>
  <c r="H412" i="23"/>
  <c r="H422" i="23"/>
  <c r="H425" i="23"/>
  <c r="Y426" i="19"/>
  <c r="E453" i="23"/>
  <c r="H453" i="23"/>
  <c r="F453" i="23"/>
  <c r="E479" i="23"/>
  <c r="T477" i="19"/>
  <c r="H483" i="23"/>
  <c r="G496" i="23"/>
  <c r="H517" i="23"/>
  <c r="E517" i="23"/>
  <c r="T546" i="19"/>
  <c r="E603" i="23"/>
  <c r="H603" i="23"/>
  <c r="F638" i="23"/>
  <c r="X636" i="19"/>
  <c r="H406" i="23"/>
  <c r="G444" i="23"/>
  <c r="E444" i="23"/>
  <c r="H444" i="23"/>
  <c r="R489" i="19"/>
  <c r="H491" i="23"/>
  <c r="G491" i="23"/>
  <c r="G506" i="23"/>
  <c r="H506" i="23"/>
  <c r="B283" i="19"/>
  <c r="E297" i="23"/>
  <c r="G369" i="23"/>
  <c r="E422" i="23"/>
  <c r="Y420" i="19"/>
  <c r="X442" i="19"/>
  <c r="Y472" i="19"/>
  <c r="H474" i="23"/>
  <c r="R472" i="19"/>
  <c r="G485" i="23"/>
  <c r="F504" i="23"/>
  <c r="X597" i="19"/>
  <c r="H599" i="23"/>
  <c r="E599" i="23"/>
  <c r="E198" i="23"/>
  <c r="G239" i="23"/>
  <c r="E285" i="23"/>
  <c r="H297" i="23"/>
  <c r="F299" i="23"/>
  <c r="E328" i="23"/>
  <c r="H329" i="23"/>
  <c r="R343" i="19"/>
  <c r="F353" i="23"/>
  <c r="E355" i="23"/>
  <c r="H365" i="23"/>
  <c r="G365" i="23"/>
  <c r="E367" i="23"/>
  <c r="H370" i="23"/>
  <c r="H388" i="23"/>
  <c r="F388" i="23"/>
  <c r="E390" i="23"/>
  <c r="H395" i="23"/>
  <c r="G395" i="23"/>
  <c r="G433" i="23"/>
  <c r="E433" i="23"/>
  <c r="E441" i="23"/>
  <c r="H464" i="23"/>
  <c r="H476" i="23"/>
  <c r="X484" i="19"/>
  <c r="G486" i="23"/>
  <c r="E507" i="23"/>
  <c r="T548" i="19"/>
  <c r="G550" i="23"/>
  <c r="R574" i="19"/>
  <c r="B574" i="19"/>
  <c r="G442" i="23"/>
  <c r="E442" i="23"/>
  <c r="H457" i="23"/>
  <c r="E498" i="23"/>
  <c r="G546" i="23"/>
  <c r="F546" i="23"/>
  <c r="H557" i="23"/>
  <c r="T562" i="19"/>
  <c r="T575" i="19"/>
  <c r="X585" i="19"/>
  <c r="J587" i="23"/>
  <c r="H587" i="23"/>
  <c r="G616" i="23"/>
  <c r="H676" i="23"/>
  <c r="F676" i="23"/>
  <c r="G676" i="23"/>
  <c r="E676" i="23"/>
  <c r="R678" i="19"/>
  <c r="B678" i="19"/>
  <c r="H845" i="23"/>
  <c r="X843" i="19"/>
  <c r="T636" i="19"/>
  <c r="F668" i="23"/>
  <c r="X666" i="19"/>
  <c r="B447" i="19"/>
  <c r="B456" i="19"/>
  <c r="R456" i="19"/>
  <c r="H465" i="23"/>
  <c r="R491" i="19"/>
  <c r="G493" i="23"/>
  <c r="T521" i="19"/>
  <c r="H565" i="23"/>
  <c r="Y563" i="19"/>
  <c r="F590" i="23"/>
  <c r="R588" i="19"/>
  <c r="F602" i="23"/>
  <c r="R600" i="19"/>
  <c r="H602" i="23"/>
  <c r="F764" i="23"/>
  <c r="R762" i="19"/>
  <c r="E429" i="23"/>
  <c r="G458" i="23"/>
  <c r="F480" i="23"/>
  <c r="B506" i="19"/>
  <c r="E591" i="23"/>
  <c r="F591" i="23"/>
  <c r="G604" i="23"/>
  <c r="G739" i="23"/>
  <c r="G592" i="23"/>
  <c r="H618" i="23"/>
  <c r="R616" i="19"/>
  <c r="E644" i="23"/>
  <c r="G644" i="23"/>
  <c r="F644" i="23"/>
  <c r="F678" i="23"/>
  <c r="X676" i="19"/>
  <c r="G973" i="23"/>
  <c r="E973" i="23"/>
  <c r="F973" i="23"/>
  <c r="E494" i="23"/>
  <c r="H533" i="23"/>
  <c r="F539" i="23"/>
  <c r="B537" i="19"/>
  <c r="G552" i="23"/>
  <c r="H552" i="23"/>
  <c r="F552" i="23"/>
  <c r="X557" i="19"/>
  <c r="G622" i="23"/>
  <c r="X786" i="19"/>
  <c r="B786" i="19"/>
  <c r="H897" i="23"/>
  <c r="J897" i="23"/>
  <c r="B895" i="19"/>
  <c r="E560" i="23"/>
  <c r="J560" i="23"/>
  <c r="R635" i="19"/>
  <c r="B635" i="19"/>
  <c r="J788" i="23"/>
  <c r="E335" i="23"/>
  <c r="B360" i="19"/>
  <c r="H398" i="23"/>
  <c r="H415" i="23"/>
  <c r="H417" i="23"/>
  <c r="H426" i="23"/>
  <c r="G456" i="23"/>
  <c r="G462" i="23"/>
  <c r="G471" i="23"/>
  <c r="E490" i="23"/>
  <c r="F490" i="23"/>
  <c r="E508" i="23"/>
  <c r="H508" i="23"/>
  <c r="E527" i="23"/>
  <c r="Y534" i="19"/>
  <c r="B534" i="19"/>
  <c r="R544" i="19"/>
  <c r="E612" i="23"/>
  <c r="H612" i="23"/>
  <c r="F612" i="23"/>
  <c r="F615" i="23"/>
  <c r="E623" i="23"/>
  <c r="H623" i="23"/>
  <c r="G645" i="23"/>
  <c r="F445" i="23"/>
  <c r="R443" i="19"/>
  <c r="H451" i="23"/>
  <c r="H468" i="23"/>
  <c r="F468" i="23"/>
  <c r="H503" i="23"/>
  <c r="E522" i="23"/>
  <c r="H549" i="23"/>
  <c r="F549" i="23"/>
  <c r="T547" i="19"/>
  <c r="J625" i="23"/>
  <c r="F631" i="23"/>
  <c r="G631" i="23"/>
  <c r="E631" i="23"/>
  <c r="R636" i="19"/>
  <c r="G449" i="23"/>
  <c r="B463" i="19"/>
  <c r="H479" i="23"/>
  <c r="R477" i="19"/>
  <c r="E493" i="23"/>
  <c r="H505" i="23"/>
  <c r="E512" i="23"/>
  <c r="G516" i="23"/>
  <c r="F516" i="23"/>
  <c r="H525" i="23"/>
  <c r="H577" i="23"/>
  <c r="G577" i="23"/>
  <c r="G587" i="23"/>
  <c r="F609" i="23"/>
  <c r="H609" i="23"/>
  <c r="E620" i="23"/>
  <c r="B618" i="19"/>
  <c r="X618" i="19"/>
  <c r="H620" i="23"/>
  <c r="G620" i="23"/>
  <c r="H638" i="23"/>
  <c r="H650" i="23"/>
  <c r="E650" i="23"/>
  <c r="F650" i="23"/>
  <c r="F661" i="23"/>
  <c r="H661" i="23"/>
  <c r="H770" i="23"/>
  <c r="T768" i="19"/>
  <c r="F783" i="23"/>
  <c r="H783" i="23"/>
  <c r="R815" i="19"/>
  <c r="B815" i="19"/>
  <c r="H543" i="23"/>
  <c r="H579" i="23"/>
  <c r="F639" i="23"/>
  <c r="H639" i="23"/>
  <c r="F664" i="23"/>
  <c r="U666" i="19"/>
  <c r="B681" i="19"/>
  <c r="E683" i="23"/>
  <c r="R689" i="19"/>
  <c r="G691" i="23"/>
  <c r="H713" i="23"/>
  <c r="E713" i="23"/>
  <c r="H715" i="23"/>
  <c r="E715" i="23"/>
  <c r="H731" i="23"/>
  <c r="J731" i="23"/>
  <c r="E745" i="23"/>
  <c r="H940" i="23"/>
  <c r="F940" i="23"/>
  <c r="E940" i="23"/>
  <c r="V938" i="19"/>
  <c r="W938" i="19" s="1"/>
  <c r="F611" i="23"/>
  <c r="R634" i="19"/>
  <c r="H640" i="23"/>
  <c r="E640" i="23"/>
  <c r="B638" i="19"/>
  <c r="Y638" i="19"/>
  <c r="H726" i="23"/>
  <c r="E726" i="23"/>
  <c r="Y815" i="19"/>
  <c r="J570" i="23"/>
  <c r="H570" i="23"/>
  <c r="V609" i="19"/>
  <c r="W609" i="19" s="1"/>
  <c r="H629" i="23"/>
  <c r="H643" i="23"/>
  <c r="G688" i="23"/>
  <c r="H688" i="23"/>
  <c r="B744" i="19"/>
  <c r="R744" i="19"/>
  <c r="G544" i="23"/>
  <c r="F544" i="23"/>
  <c r="T545" i="19"/>
  <c r="G547" i="23"/>
  <c r="F584" i="23"/>
  <c r="Y605" i="19"/>
  <c r="V635" i="19"/>
  <c r="W635" i="19" s="1"/>
  <c r="H637" i="23"/>
  <c r="V701" i="19"/>
  <c r="W701" i="19" s="1"/>
  <c r="R701" i="19"/>
  <c r="T761" i="19"/>
  <c r="H763" i="23"/>
  <c r="F763" i="23"/>
  <c r="E846" i="23"/>
  <c r="T844" i="19"/>
  <c r="H880" i="23"/>
  <c r="B878" i="19"/>
  <c r="R945" i="19"/>
  <c r="Y945" i="19"/>
  <c r="H435" i="23"/>
  <c r="H492" i="23"/>
  <c r="E511" i="23"/>
  <c r="Y522" i="19"/>
  <c r="H537" i="23"/>
  <c r="F575" i="23"/>
  <c r="H575" i="23"/>
  <c r="E611" i="23"/>
  <c r="V630" i="19"/>
  <c r="W630" i="19" s="1"/>
  <c r="F632" i="23"/>
  <c r="E648" i="23"/>
  <c r="E678" i="23"/>
  <c r="Y676" i="19"/>
  <c r="B692" i="19"/>
  <c r="H700" i="23"/>
  <c r="G731" i="23"/>
  <c r="X753" i="19"/>
  <c r="H759" i="23"/>
  <c r="T757" i="19"/>
  <c r="H766" i="23"/>
  <c r="F766" i="23"/>
  <c r="R764" i="19"/>
  <c r="F655" i="23"/>
  <c r="H655" i="23"/>
  <c r="H668" i="23"/>
  <c r="Y705" i="19"/>
  <c r="H725" i="23"/>
  <c r="B739" i="19"/>
  <c r="X755" i="19"/>
  <c r="H757" i="23"/>
  <c r="R780" i="19"/>
  <c r="G782" i="23"/>
  <c r="H802" i="23"/>
  <c r="J802" i="23"/>
  <c r="F802" i="23"/>
  <c r="B851" i="19"/>
  <c r="E853" i="23"/>
  <c r="H853" i="23"/>
  <c r="G853" i="23"/>
  <c r="B863" i="19"/>
  <c r="G865" i="23"/>
  <c r="E865" i="23"/>
  <c r="X683" i="19"/>
  <c r="F695" i="23"/>
  <c r="F704" i="23"/>
  <c r="G704" i="23"/>
  <c r="E746" i="23"/>
  <c r="H751" i="23"/>
  <c r="T773" i="19"/>
  <c r="G784" i="23"/>
  <c r="V802" i="19"/>
  <c r="W802" i="19" s="1"/>
  <c r="F804" i="23"/>
  <c r="H833" i="23"/>
  <c r="E833" i="23"/>
  <c r="R831" i="19"/>
  <c r="E842" i="23"/>
  <c r="R840" i="19"/>
  <c r="E667" i="23"/>
  <c r="E684" i="23"/>
  <c r="F708" i="23"/>
  <c r="E716" i="23"/>
  <c r="H716" i="23"/>
  <c r="H742" i="23"/>
  <c r="F742" i="23"/>
  <c r="E742" i="23"/>
  <c r="F784" i="23"/>
  <c r="H886" i="23"/>
  <c r="F926" i="23"/>
  <c r="G926" i="23"/>
  <c r="F697" i="23"/>
  <c r="H697" i="23"/>
  <c r="H746" i="23"/>
  <c r="J746" i="23"/>
  <c r="X744" i="19"/>
  <c r="H754" i="23"/>
  <c r="F754" i="23"/>
  <c r="T763" i="19"/>
  <c r="F765" i="23"/>
  <c r="F771" i="23"/>
  <c r="F780" i="23"/>
  <c r="H801" i="23"/>
  <c r="E801" i="23"/>
  <c r="F801" i="23"/>
  <c r="R799" i="19"/>
  <c r="H858" i="23"/>
  <c r="G858" i="23"/>
  <c r="E858" i="23"/>
  <c r="E994" i="23"/>
  <c r="B992" i="19"/>
  <c r="H994" i="23"/>
  <c r="G994" i="23"/>
  <c r="E540" i="23"/>
  <c r="R553" i="19"/>
  <c r="H594" i="23"/>
  <c r="E621" i="23"/>
  <c r="E630" i="23"/>
  <c r="E642" i="23"/>
  <c r="G665" i="23"/>
  <c r="H671" i="23"/>
  <c r="G720" i="23"/>
  <c r="H728" i="23"/>
  <c r="G749" i="23"/>
  <c r="E756" i="23"/>
  <c r="H756" i="23"/>
  <c r="V769" i="19"/>
  <c r="W769" i="19" s="1"/>
  <c r="F776" i="23"/>
  <c r="H778" i="23"/>
  <c r="Y776" i="19"/>
  <c r="F791" i="23"/>
  <c r="H791" i="23"/>
  <c r="E811" i="23"/>
  <c r="H811" i="23"/>
  <c r="H827" i="23"/>
  <c r="J858" i="23"/>
  <c r="F882" i="23"/>
  <c r="H882" i="23"/>
  <c r="G882" i="23"/>
  <c r="E882" i="23"/>
  <c r="H681" i="23"/>
  <c r="G684" i="23"/>
  <c r="T705" i="19"/>
  <c r="F714" i="23"/>
  <c r="X712" i="19"/>
  <c r="R774" i="19"/>
  <c r="X807" i="19"/>
  <c r="R807" i="19"/>
  <c r="H916" i="23"/>
  <c r="H621" i="23"/>
  <c r="H630" i="23"/>
  <c r="H642" i="23"/>
  <c r="H660" i="23"/>
  <c r="H679" i="23"/>
  <c r="H707" i="23"/>
  <c r="H712" i="23"/>
  <c r="F712" i="23"/>
  <c r="T710" i="19"/>
  <c r="F723" i="23"/>
  <c r="E725" i="23"/>
  <c r="E782" i="23"/>
  <c r="H865" i="23"/>
  <c r="F896" i="23"/>
  <c r="E896" i="23"/>
  <c r="J594" i="23"/>
  <c r="F642" i="23"/>
  <c r="G693" i="23"/>
  <c r="J712" i="23"/>
  <c r="Y723" i="19"/>
  <c r="G732" i="23"/>
  <c r="H741" i="23"/>
  <c r="F744" i="23"/>
  <c r="H782" i="23"/>
  <c r="G802" i="23"/>
  <c r="G835" i="23"/>
  <c r="F865" i="23"/>
  <c r="F905" i="23"/>
  <c r="H905" i="23"/>
  <c r="G905" i="23"/>
  <c r="H928" i="23"/>
  <c r="F928" i="23"/>
  <c r="B926" i="19"/>
  <c r="H961" i="23"/>
  <c r="Y959" i="19"/>
  <c r="E961" i="23"/>
  <c r="B959" i="19"/>
  <c r="E978" i="23"/>
  <c r="H821" i="23"/>
  <c r="F821" i="23"/>
  <c r="E821" i="23"/>
  <c r="F826" i="23"/>
  <c r="G837" i="23"/>
  <c r="H837" i="23"/>
  <c r="R835" i="19"/>
  <c r="H891" i="23"/>
  <c r="E891" i="23"/>
  <c r="B889" i="19"/>
  <c r="J905" i="23"/>
  <c r="J928" i="23"/>
  <c r="F978" i="23"/>
  <c r="H999" i="23"/>
  <c r="B997" i="19"/>
  <c r="F999" i="23"/>
  <c r="G999" i="23"/>
  <c r="E792" i="23"/>
  <c r="R828" i="19"/>
  <c r="E834" i="23"/>
  <c r="E851" i="23"/>
  <c r="G878" i="23"/>
  <c r="H904" i="23"/>
  <c r="B902" i="19"/>
  <c r="Y947" i="19"/>
  <c r="H951" i="23"/>
  <c r="H953" i="23"/>
  <c r="G953" i="23"/>
  <c r="H963" i="23"/>
  <c r="Y961" i="19"/>
  <c r="Y827" i="19"/>
  <c r="J839" i="23"/>
  <c r="H843" i="23"/>
  <c r="F906" i="23"/>
  <c r="H906" i="23"/>
  <c r="G906" i="23"/>
  <c r="E906" i="23"/>
  <c r="J913" i="23"/>
  <c r="E913" i="23"/>
  <c r="B911" i="19"/>
  <c r="R957" i="19"/>
  <c r="E970" i="23"/>
  <c r="H779" i="23"/>
  <c r="R787" i="19"/>
  <c r="G790" i="23"/>
  <c r="H792" i="23"/>
  <c r="F812" i="23"/>
  <c r="H812" i="23"/>
  <c r="E815" i="23"/>
  <c r="H834" i="23"/>
  <c r="R844" i="19"/>
  <c r="T846" i="19"/>
  <c r="G876" i="23"/>
  <c r="B891" i="19"/>
  <c r="G917" i="23"/>
  <c r="E937" i="23"/>
  <c r="H975" i="23"/>
  <c r="Y973" i="19"/>
  <c r="E975" i="23"/>
  <c r="B973" i="19"/>
  <c r="F881" i="23"/>
  <c r="H881" i="23"/>
  <c r="G881" i="23"/>
  <c r="G924" i="23"/>
  <c r="R922" i="19"/>
  <c r="Y935" i="19"/>
  <c r="E949" i="23"/>
  <c r="H808" i="23"/>
  <c r="Y813" i="19"/>
  <c r="R847" i="19"/>
  <c r="B855" i="19"/>
  <c r="H867" i="23"/>
  <c r="E867" i="23"/>
  <c r="B865" i="19"/>
  <c r="X870" i="19"/>
  <c r="E872" i="23"/>
  <c r="F920" i="23"/>
  <c r="E920" i="23"/>
  <c r="H937" i="23"/>
  <c r="F967" i="23"/>
  <c r="X965" i="19"/>
  <c r="H997" i="23"/>
  <c r="G997" i="23"/>
  <c r="R814" i="19"/>
  <c r="H819" i="23"/>
  <c r="R824" i="19"/>
  <c r="Y826" i="19"/>
  <c r="V830" i="19"/>
  <c r="W830" i="19" s="1"/>
  <c r="H849" i="23"/>
  <c r="B853" i="19"/>
  <c r="H857" i="23"/>
  <c r="J867" i="23"/>
  <c r="G891" i="23"/>
  <c r="H900" i="23"/>
  <c r="H915" i="23"/>
  <c r="F915" i="23"/>
  <c r="G915" i="23"/>
  <c r="E915" i="23"/>
  <c r="B913" i="19"/>
  <c r="H927" i="23"/>
  <c r="J927" i="23"/>
  <c r="F937" i="23"/>
  <c r="H939" i="23"/>
  <c r="H952" i="23"/>
  <c r="E952" i="23"/>
  <c r="F961" i="23"/>
  <c r="J989" i="23"/>
  <c r="Y988" i="19"/>
  <c r="B797" i="19"/>
  <c r="F854" i="23"/>
  <c r="F856" i="23"/>
  <c r="B859" i="19"/>
  <c r="F877" i="23"/>
  <c r="J892" i="23"/>
  <c r="X939" i="19"/>
  <c r="H942" i="23"/>
  <c r="F964" i="23"/>
  <c r="F965" i="23"/>
  <c r="H982" i="23"/>
  <c r="F985" i="23"/>
  <c r="E989" i="23"/>
  <c r="H990" i="23"/>
  <c r="T990" i="19"/>
  <c r="E1000" i="23"/>
  <c r="T942" i="19"/>
  <c r="G989" i="23"/>
  <c r="F1000" i="23"/>
  <c r="C798" i="23"/>
  <c r="C901" i="23"/>
  <c r="V999" i="19"/>
  <c r="W999" i="19" s="1"/>
  <c r="AP621" i="19"/>
  <c r="I830" i="23"/>
  <c r="V651" i="19"/>
  <c r="W651" i="19" s="1"/>
  <c r="F274" i="23"/>
  <c r="X272" i="19"/>
  <c r="F211" i="23"/>
  <c r="X209" i="19"/>
  <c r="F229" i="23"/>
  <c r="X227" i="19"/>
  <c r="G264" i="23"/>
  <c r="Y262" i="19"/>
  <c r="F241" i="23"/>
  <c r="X239" i="19"/>
  <c r="F253" i="23"/>
  <c r="X251" i="19"/>
  <c r="H245" i="23"/>
  <c r="F291" i="23"/>
  <c r="X289" i="19"/>
  <c r="F278" i="23"/>
  <c r="X276" i="19"/>
  <c r="H291" i="23"/>
  <c r="F327" i="23"/>
  <c r="X325" i="19"/>
  <c r="H260" i="23"/>
  <c r="H217" i="23"/>
  <c r="H262" i="23"/>
  <c r="F289" i="23"/>
  <c r="X287" i="19"/>
  <c r="F333" i="23"/>
  <c r="X331" i="19"/>
  <c r="G287" i="23"/>
  <c r="Y285" i="19"/>
  <c r="H241" i="23"/>
  <c r="H340" i="23"/>
  <c r="F424" i="23"/>
  <c r="X422" i="19"/>
  <c r="B214" i="19"/>
  <c r="R214" i="19"/>
  <c r="H419" i="23"/>
  <c r="H211" i="23"/>
  <c r="G218" i="23"/>
  <c r="Y216" i="19"/>
  <c r="H233" i="23"/>
  <c r="F436" i="23"/>
  <c r="X434" i="19"/>
  <c r="F214" i="23"/>
  <c r="X212" i="19"/>
  <c r="H229" i="23"/>
  <c r="H257" i="23"/>
  <c r="G261" i="23"/>
  <c r="Y259" i="19"/>
  <c r="F209" i="23"/>
  <c r="X207" i="19"/>
  <c r="I242" i="23"/>
  <c r="H338" i="23"/>
  <c r="I417" i="23"/>
  <c r="J324" i="6"/>
  <c r="L13" i="6"/>
  <c r="G226" i="23"/>
  <c r="Y224" i="19"/>
  <c r="F203" i="23"/>
  <c r="X201" i="19"/>
  <c r="E223" i="23"/>
  <c r="T221" i="19"/>
  <c r="R240" i="19"/>
  <c r="H253" i="23"/>
  <c r="F268" i="23"/>
  <c r="X266" i="19"/>
  <c r="G309" i="23"/>
  <c r="Y307" i="19"/>
  <c r="H202" i="23"/>
  <c r="H203" i="23"/>
  <c r="H204" i="23"/>
  <c r="H210" i="23"/>
  <c r="Y208" i="19"/>
  <c r="H223" i="23"/>
  <c r="F256" i="23"/>
  <c r="X254" i="19"/>
  <c r="H269" i="23"/>
  <c r="H287" i="23"/>
  <c r="E295" i="23"/>
  <c r="T293" i="19"/>
  <c r="F332" i="23"/>
  <c r="X330" i="19"/>
  <c r="B356" i="19"/>
  <c r="R356" i="19"/>
  <c r="F385" i="23"/>
  <c r="X383" i="19"/>
  <c r="G420" i="23"/>
  <c r="Y418" i="19"/>
  <c r="H235" i="23"/>
  <c r="H247" i="23"/>
  <c r="R281" i="19"/>
  <c r="B281" i="19"/>
  <c r="E322" i="23"/>
  <c r="T320" i="19"/>
  <c r="G330" i="23"/>
  <c r="Y328" i="19"/>
  <c r="H332" i="23"/>
  <c r="F450" i="23"/>
  <c r="X448" i="19"/>
  <c r="F487" i="23"/>
  <c r="X485" i="19"/>
  <c r="F565" i="23"/>
  <c r="X563" i="19"/>
  <c r="F654" i="23"/>
  <c r="X652" i="19"/>
  <c r="H272" i="23"/>
  <c r="H322" i="23"/>
  <c r="H330" i="23"/>
  <c r="F331" i="23"/>
  <c r="X329" i="19"/>
  <c r="H372" i="23"/>
  <c r="E431" i="23"/>
  <c r="T429" i="19"/>
  <c r="E446" i="23"/>
  <c r="T444" i="19"/>
  <c r="Y244" i="19"/>
  <c r="H263" i="23"/>
  <c r="H448" i="23"/>
  <c r="X464" i="19"/>
  <c r="F488" i="23"/>
  <c r="X486" i="19"/>
  <c r="T192" i="19"/>
  <c r="H214" i="23"/>
  <c r="H277" i="23"/>
  <c r="H289" i="23"/>
  <c r="H230" i="23"/>
  <c r="F234" i="23"/>
  <c r="X232" i="19"/>
  <c r="H242" i="23"/>
  <c r="X246" i="19"/>
  <c r="H254" i="23"/>
  <c r="H261" i="23"/>
  <c r="G275" i="23"/>
  <c r="Y273" i="19"/>
  <c r="G281" i="23"/>
  <c r="Y279" i="19"/>
  <c r="H296" i="23"/>
  <c r="R309" i="19"/>
  <c r="B309" i="19"/>
  <c r="F363" i="23"/>
  <c r="X361" i="19"/>
  <c r="H309" i="23"/>
  <c r="G313" i="23"/>
  <c r="Y311" i="19"/>
  <c r="Y321" i="19"/>
  <c r="H356" i="23"/>
  <c r="F404" i="23"/>
  <c r="X402" i="19"/>
  <c r="E412" i="23"/>
  <c r="T410" i="19"/>
  <c r="G467" i="23"/>
  <c r="Y465" i="19"/>
  <c r="F484" i="23"/>
  <c r="X482" i="19"/>
  <c r="I499" i="23"/>
  <c r="M25" i="1"/>
  <c r="M26" i="1" s="1"/>
  <c r="H192" i="23"/>
  <c r="H224" i="23"/>
  <c r="H311" i="23"/>
  <c r="H312" i="23"/>
  <c r="H313" i="23"/>
  <c r="F314" i="23"/>
  <c r="X312" i="19"/>
  <c r="H315" i="23"/>
  <c r="X390" i="19"/>
  <c r="Y190" i="19"/>
  <c r="H218" i="23"/>
  <c r="H278" i="23"/>
  <c r="H286" i="23"/>
  <c r="H314" i="23"/>
  <c r="H316" i="23"/>
  <c r="F361" i="23"/>
  <c r="X359" i="19"/>
  <c r="H393" i="23"/>
  <c r="F195" i="23"/>
  <c r="X193" i="19"/>
  <c r="R265" i="19"/>
  <c r="H268" i="23"/>
  <c r="H303" i="23"/>
  <c r="F305" i="23"/>
  <c r="X303" i="19"/>
  <c r="H339" i="23"/>
  <c r="Y357" i="19"/>
  <c r="F365" i="23"/>
  <c r="X363" i="19"/>
  <c r="F401" i="23"/>
  <c r="X399" i="19"/>
  <c r="H460" i="23"/>
  <c r="Y467" i="19"/>
  <c r="H586" i="23"/>
  <c r="E722" i="23"/>
  <c r="T720" i="19"/>
  <c r="F307" i="23"/>
  <c r="X305" i="19"/>
  <c r="H345" i="23"/>
  <c r="H347" i="23"/>
  <c r="H349" i="23"/>
  <c r="T367" i="19"/>
  <c r="H404" i="23"/>
  <c r="R415" i="19"/>
  <c r="H423" i="23"/>
  <c r="H443" i="23"/>
  <c r="T443" i="19"/>
  <c r="F535" i="23"/>
  <c r="X533" i="19"/>
  <c r="J629" i="23"/>
  <c r="V627" i="19"/>
  <c r="W627" i="19" s="1"/>
  <c r="H735" i="23"/>
  <c r="H350" i="23"/>
  <c r="H352" i="23"/>
  <c r="Y386" i="19"/>
  <c r="H392" i="23"/>
  <c r="H409" i="23"/>
  <c r="H433" i="23"/>
  <c r="H436" i="23"/>
  <c r="X460" i="19"/>
  <c r="H486" i="23"/>
  <c r="F519" i="23"/>
  <c r="X517" i="19"/>
  <c r="H529" i="23"/>
  <c r="H538" i="23"/>
  <c r="A650" i="23"/>
  <c r="P648" i="19"/>
  <c r="AP648" i="19"/>
  <c r="H351" i="23"/>
  <c r="Y413" i="19"/>
  <c r="E439" i="23"/>
  <c r="T437" i="19"/>
  <c r="B496" i="19"/>
  <c r="R496" i="19"/>
  <c r="H515" i="23"/>
  <c r="G568" i="23"/>
  <c r="Y566" i="19"/>
  <c r="H357" i="23"/>
  <c r="Y355" i="19"/>
  <c r="H363" i="23"/>
  <c r="H385" i="23"/>
  <c r="Y401" i="19"/>
  <c r="H466" i="23"/>
  <c r="H469" i="23"/>
  <c r="H472" i="23"/>
  <c r="R497" i="19"/>
  <c r="G512" i="23"/>
  <c r="Y510" i="19"/>
  <c r="H601" i="23"/>
  <c r="H613" i="23"/>
  <c r="R660" i="19"/>
  <c r="B660" i="19"/>
  <c r="H321" i="23"/>
  <c r="H323" i="23"/>
  <c r="H369" i="23"/>
  <c r="H375" i="23"/>
  <c r="H434" i="23"/>
  <c r="B433" i="19"/>
  <c r="H439" i="23"/>
  <c r="R457" i="19"/>
  <c r="B457" i="19"/>
  <c r="H482" i="23"/>
  <c r="H485" i="23"/>
  <c r="H526" i="23"/>
  <c r="F558" i="23"/>
  <c r="X556" i="19"/>
  <c r="J707" i="23"/>
  <c r="V705" i="19"/>
  <c r="W705" i="19" s="1"/>
  <c r="Y400" i="19"/>
  <c r="H420" i="23"/>
  <c r="H424" i="23"/>
  <c r="H454" i="23"/>
  <c r="G473" i="23"/>
  <c r="Y471" i="19"/>
  <c r="H488" i="23"/>
  <c r="H327" i="23"/>
  <c r="H361" i="23"/>
  <c r="H368" i="23"/>
  <c r="G373" i="23"/>
  <c r="Y371" i="19"/>
  <c r="H411" i="23"/>
  <c r="F414" i="23"/>
  <c r="X412" i="19"/>
  <c r="H431" i="23"/>
  <c r="G440" i="23"/>
  <c r="Y438" i="19"/>
  <c r="E457" i="23"/>
  <c r="T455" i="19"/>
  <c r="H470" i="23"/>
  <c r="J563" i="23"/>
  <c r="V561" i="19"/>
  <c r="W561" i="19" s="1"/>
  <c r="J620" i="23"/>
  <c r="V618" i="19"/>
  <c r="W618" i="19" s="1"/>
  <c r="H399" i="23"/>
  <c r="H408" i="23"/>
  <c r="Y441" i="19"/>
  <c r="F503" i="23"/>
  <c r="X501" i="19"/>
  <c r="G518" i="23"/>
  <c r="Y516" i="19"/>
  <c r="H521" i="23"/>
  <c r="F571" i="23"/>
  <c r="X569" i="19"/>
  <c r="X337" i="19"/>
  <c r="G384" i="23"/>
  <c r="Y382" i="19"/>
  <c r="H387" i="23"/>
  <c r="H396" i="23"/>
  <c r="G421" i="23"/>
  <c r="Y419" i="19"/>
  <c r="H427" i="23"/>
  <c r="H442" i="23"/>
  <c r="H445" i="23"/>
  <c r="H467" i="23"/>
  <c r="J588" i="23"/>
  <c r="V586" i="19"/>
  <c r="W586" i="19" s="1"/>
  <c r="A713" i="23"/>
  <c r="P711" i="19"/>
  <c r="AP711" i="19"/>
  <c r="F366" i="23"/>
  <c r="X364" i="19"/>
  <c r="Y376" i="19"/>
  <c r="H384" i="23"/>
  <c r="F413" i="23"/>
  <c r="X411" i="19"/>
  <c r="X428" i="19"/>
  <c r="G453" i="23"/>
  <c r="Y451" i="19"/>
  <c r="H463" i="23"/>
  <c r="H478" i="23"/>
  <c r="H484" i="23"/>
  <c r="H487" i="23"/>
  <c r="H502" i="23"/>
  <c r="H551" i="23"/>
  <c r="R577" i="19"/>
  <c r="B577" i="19"/>
  <c r="H524" i="23"/>
  <c r="H532" i="23"/>
  <c r="R541" i="19"/>
  <c r="B541" i="19"/>
  <c r="G570" i="23"/>
  <c r="Y568" i="19"/>
  <c r="H574" i="23"/>
  <c r="H580" i="23"/>
  <c r="H583" i="23"/>
  <c r="H598" i="23"/>
  <c r="C609" i="23"/>
  <c r="U607" i="19"/>
  <c r="H610" i="23"/>
  <c r="J612" i="23"/>
  <c r="V610" i="19"/>
  <c r="W610" i="19" s="1"/>
  <c r="E710" i="23"/>
  <c r="T708" i="19"/>
  <c r="J713" i="23"/>
  <c r="V711" i="19"/>
  <c r="W711" i="19" s="1"/>
  <c r="G718" i="23"/>
  <c r="Y716" i="19"/>
  <c r="E730" i="23"/>
  <c r="T728" i="19"/>
  <c r="F841" i="23"/>
  <c r="X839" i="19"/>
  <c r="G517" i="23"/>
  <c r="Y515" i="19"/>
  <c r="H544" i="23"/>
  <c r="F561" i="23"/>
  <c r="X559" i="19"/>
  <c r="T585" i="19"/>
  <c r="G594" i="23"/>
  <c r="Y592" i="19"/>
  <c r="X601" i="19"/>
  <c r="J608" i="23"/>
  <c r="F673" i="23"/>
  <c r="X671" i="19"/>
  <c r="B737" i="19"/>
  <c r="R737" i="19"/>
  <c r="F740" i="23"/>
  <c r="X738" i="19"/>
  <c r="H490" i="23"/>
  <c r="F492" i="23"/>
  <c r="X490" i="19"/>
  <c r="H550" i="23"/>
  <c r="F646" i="23"/>
  <c r="X644" i="19"/>
  <c r="G658" i="23"/>
  <c r="Y656" i="19"/>
  <c r="B717" i="19"/>
  <c r="H722" i="23"/>
  <c r="F769" i="23"/>
  <c r="X767" i="19"/>
  <c r="T472" i="19"/>
  <c r="H496" i="23"/>
  <c r="H498" i="23"/>
  <c r="H500" i="23"/>
  <c r="T504" i="19"/>
  <c r="H523" i="23"/>
  <c r="H548" i="23"/>
  <c r="H560" i="23"/>
  <c r="C612" i="23"/>
  <c r="U610" i="19"/>
  <c r="X625" i="19"/>
  <c r="F666" i="23"/>
  <c r="X664" i="19"/>
  <c r="F675" i="23"/>
  <c r="X673" i="19"/>
  <c r="B677" i="19"/>
  <c r="R677" i="19"/>
  <c r="F682" i="23"/>
  <c r="X680" i="19"/>
  <c r="E780" i="23"/>
  <c r="T778" i="19"/>
  <c r="H572" i="23"/>
  <c r="Y573" i="19"/>
  <c r="F606" i="23"/>
  <c r="X604" i="19"/>
  <c r="F618" i="23"/>
  <c r="X616" i="19"/>
  <c r="Y622" i="19"/>
  <c r="H634" i="23"/>
  <c r="H670" i="23"/>
  <c r="B686" i="19"/>
  <c r="R686" i="19"/>
  <c r="F715" i="23"/>
  <c r="X713" i="19"/>
  <c r="G719" i="23"/>
  <c r="Y717" i="19"/>
  <c r="J786" i="23"/>
  <c r="V784" i="19"/>
  <c r="W784" i="19" s="1"/>
  <c r="H499" i="23"/>
  <c r="F501" i="23"/>
  <c r="X499" i="19"/>
  <c r="H535" i="23"/>
  <c r="J621" i="23"/>
  <c r="V619" i="19"/>
  <c r="W619" i="19" s="1"/>
  <c r="H654" i="23"/>
  <c r="J699" i="23"/>
  <c r="V697" i="19"/>
  <c r="W697" i="19" s="1"/>
  <c r="J701" i="23"/>
  <c r="V699" i="19"/>
  <c r="W699" i="19" s="1"/>
  <c r="G760" i="23"/>
  <c r="Y758" i="19"/>
  <c r="E572" i="23"/>
  <c r="T570" i="19"/>
  <c r="H633" i="23"/>
  <c r="H657" i="23"/>
  <c r="H662" i="23"/>
  <c r="G758" i="23"/>
  <c r="Y756" i="19"/>
  <c r="Y503" i="19"/>
  <c r="T542" i="19"/>
  <c r="H547" i="23"/>
  <c r="G559" i="23"/>
  <c r="Y557" i="19"/>
  <c r="X572" i="19"/>
  <c r="X581" i="19"/>
  <c r="H595" i="23"/>
  <c r="J609" i="23"/>
  <c r="V607" i="19"/>
  <c r="W607" i="19" s="1"/>
  <c r="H622" i="23"/>
  <c r="X632" i="19"/>
  <c r="H649" i="23"/>
  <c r="J653" i="23"/>
  <c r="F684" i="23"/>
  <c r="X682" i="19"/>
  <c r="H729" i="23"/>
  <c r="H737" i="23"/>
  <c r="E852" i="23"/>
  <c r="T850" i="19"/>
  <c r="X449" i="19"/>
  <c r="H514" i="23"/>
  <c r="H553" i="23"/>
  <c r="H607" i="23"/>
  <c r="H619" i="23"/>
  <c r="H702" i="23"/>
  <c r="E708" i="23"/>
  <c r="T706" i="19"/>
  <c r="F789" i="23"/>
  <c r="X787" i="19"/>
  <c r="F972" i="23"/>
  <c r="X970" i="19"/>
  <c r="H447" i="23"/>
  <c r="H456" i="23"/>
  <c r="H475" i="23"/>
  <c r="Y475" i="19"/>
  <c r="H511" i="23"/>
  <c r="H519" i="23"/>
  <c r="H520" i="23"/>
  <c r="H539" i="23"/>
  <c r="H556" i="23"/>
  <c r="H559" i="23"/>
  <c r="H589" i="23"/>
  <c r="H592" i="23"/>
  <c r="H604" i="23"/>
  <c r="H616" i="23"/>
  <c r="J623" i="23"/>
  <c r="V621" i="19"/>
  <c r="W621" i="19" s="1"/>
  <c r="H627" i="23"/>
  <c r="H727" i="23"/>
  <c r="G770" i="23"/>
  <c r="Y768" i="19"/>
  <c r="H562" i="23"/>
  <c r="H568" i="23"/>
  <c r="H571" i="23"/>
  <c r="G580" i="23"/>
  <c r="Y578" i="19"/>
  <c r="A623" i="23"/>
  <c r="P621" i="19"/>
  <c r="J650" i="23"/>
  <c r="V648" i="19"/>
  <c r="W648" i="19" s="1"/>
  <c r="J696" i="23"/>
  <c r="V694" i="19"/>
  <c r="W694" i="19" s="1"/>
  <c r="B696" i="19"/>
  <c r="R696" i="19"/>
  <c r="J756" i="23"/>
  <c r="V754" i="19"/>
  <c r="W754" i="19" s="1"/>
  <c r="T692" i="19"/>
  <c r="H709" i="23"/>
  <c r="H734" i="23"/>
  <c r="H761" i="23"/>
  <c r="E781" i="23"/>
  <c r="T779" i="19"/>
  <c r="H796" i="23"/>
  <c r="F832" i="23"/>
  <c r="X830" i="19"/>
  <c r="H695" i="23"/>
  <c r="T695" i="19"/>
  <c r="H736" i="23"/>
  <c r="H786" i="23"/>
  <c r="F818" i="23"/>
  <c r="X816" i="19"/>
  <c r="H931" i="23"/>
  <c r="H701" i="23"/>
  <c r="R724" i="19"/>
  <c r="B724" i="19"/>
  <c r="H760" i="23"/>
  <c r="E783" i="23"/>
  <c r="T781" i="19"/>
  <c r="F795" i="23"/>
  <c r="X793" i="19"/>
  <c r="H797" i="23"/>
  <c r="H803" i="23"/>
  <c r="F895" i="23"/>
  <c r="X893" i="19"/>
  <c r="F914" i="23"/>
  <c r="X912" i="19"/>
  <c r="H704" i="23"/>
  <c r="H730" i="23"/>
  <c r="B749" i="19"/>
  <c r="R749" i="19"/>
  <c r="F752" i="23"/>
  <c r="X750" i="19"/>
  <c r="E820" i="23"/>
  <c r="T818" i="19"/>
  <c r="G833" i="23"/>
  <c r="Y831" i="19"/>
  <c r="J857" i="23"/>
  <c r="V855" i="19"/>
  <c r="W855" i="19" s="1"/>
  <c r="H694" i="23"/>
  <c r="H710" i="23"/>
  <c r="E744" i="23"/>
  <c r="T742" i="19"/>
  <c r="H824" i="23"/>
  <c r="A835" i="23"/>
  <c r="AP833" i="19"/>
  <c r="P833" i="19"/>
  <c r="B649" i="19"/>
  <c r="F660" i="23"/>
  <c r="X658" i="19"/>
  <c r="G703" i="23"/>
  <c r="Y701" i="19"/>
  <c r="X704" i="19"/>
  <c r="G721" i="23"/>
  <c r="Y719" i="19"/>
  <c r="H740" i="23"/>
  <c r="G762" i="23"/>
  <c r="Y760" i="19"/>
  <c r="E778" i="23"/>
  <c r="T776" i="19"/>
  <c r="H787" i="23"/>
  <c r="F859" i="23"/>
  <c r="X857" i="19"/>
  <c r="H628" i="23"/>
  <c r="H645" i="23"/>
  <c r="H666" i="23"/>
  <c r="H667" i="23"/>
  <c r="X669" i="19"/>
  <c r="H675" i="23"/>
  <c r="T679" i="19"/>
  <c r="H733" i="23"/>
  <c r="H747" i="23"/>
  <c r="H762" i="23"/>
  <c r="B811" i="19"/>
  <c r="R811" i="19"/>
  <c r="X645" i="19"/>
  <c r="H745" i="23"/>
  <c r="H772" i="23"/>
  <c r="J782" i="23"/>
  <c r="V780" i="19"/>
  <c r="W780" i="19" s="1"/>
  <c r="F996" i="23"/>
  <c r="X994" i="19"/>
  <c r="H646" i="23"/>
  <c r="H658" i="23"/>
  <c r="H682" i="23"/>
  <c r="H711" i="23"/>
  <c r="H718" i="23"/>
  <c r="J755" i="23"/>
  <c r="V753" i="19"/>
  <c r="W753" i="19" s="1"/>
  <c r="H758" i="23"/>
  <c r="J779" i="23"/>
  <c r="V777" i="19"/>
  <c r="W777" i="19" s="1"/>
  <c r="J791" i="23"/>
  <c r="F836" i="23"/>
  <c r="X834" i="19"/>
  <c r="F907" i="23"/>
  <c r="X905" i="19"/>
  <c r="H665" i="23"/>
  <c r="Y690" i="19"/>
  <c r="Y693" i="19"/>
  <c r="H699" i="23"/>
  <c r="H706" i="23"/>
  <c r="B841" i="19"/>
  <c r="R841" i="19"/>
  <c r="F871" i="23"/>
  <c r="X869" i="19"/>
  <c r="J886" i="23"/>
  <c r="V884" i="19"/>
  <c r="W884" i="19" s="1"/>
  <c r="H943" i="23"/>
  <c r="H769" i="23"/>
  <c r="H793" i="23"/>
  <c r="J874" i="23"/>
  <c r="V872" i="19"/>
  <c r="W872" i="19" s="1"/>
  <c r="G879" i="23"/>
  <c r="Y877" i="19"/>
  <c r="G911" i="23"/>
  <c r="Y909" i="19"/>
  <c r="F777" i="23"/>
  <c r="X775" i="19"/>
  <c r="G851" i="23"/>
  <c r="Y849" i="19"/>
  <c r="F919" i="23"/>
  <c r="X917" i="19"/>
  <c r="F948" i="23"/>
  <c r="X946" i="19"/>
  <c r="H764" i="23"/>
  <c r="H775" i="23"/>
  <c r="H781" i="23"/>
  <c r="H813" i="23"/>
  <c r="J882" i="23"/>
  <c r="H919" i="23"/>
  <c r="H948" i="23"/>
  <c r="F768" i="23"/>
  <c r="X766" i="19"/>
  <c r="H798" i="23"/>
  <c r="G863" i="23"/>
  <c r="Y861" i="19"/>
  <c r="F890" i="23"/>
  <c r="X888" i="19"/>
  <c r="J909" i="23"/>
  <c r="V907" i="19"/>
  <c r="W907" i="19" s="1"/>
  <c r="J798" i="23"/>
  <c r="V796" i="19"/>
  <c r="W796" i="19" s="1"/>
  <c r="H809" i="23"/>
  <c r="J842" i="23"/>
  <c r="H850" i="23"/>
  <c r="G867" i="23"/>
  <c r="Y865" i="19"/>
  <c r="H871" i="23"/>
  <c r="G887" i="23"/>
  <c r="Y885" i="19"/>
  <c r="H907" i="23"/>
  <c r="F927" i="23"/>
  <c r="X925" i="19"/>
  <c r="G946" i="23"/>
  <c r="Y944" i="19"/>
  <c r="H960" i="23"/>
  <c r="G998" i="23"/>
  <c r="Y996" i="19"/>
  <c r="J835" i="23"/>
  <c r="V833" i="19"/>
  <c r="W833" i="19" s="1"/>
  <c r="H841" i="23"/>
  <c r="J922" i="23"/>
  <c r="V920" i="19"/>
  <c r="W920" i="19" s="1"/>
  <c r="G875" i="23"/>
  <c r="Y873" i="19"/>
  <c r="F878" i="23"/>
  <c r="X876" i="19"/>
  <c r="F883" i="23"/>
  <c r="X881" i="19"/>
  <c r="H895" i="23"/>
  <c r="F938" i="23"/>
  <c r="X936" i="19"/>
  <c r="F955" i="23"/>
  <c r="X953" i="19"/>
  <c r="H840" i="23"/>
  <c r="H883" i="23"/>
  <c r="G903" i="23"/>
  <c r="Y901" i="19"/>
  <c r="J910" i="23"/>
  <c r="V908" i="19"/>
  <c r="W908" i="19" s="1"/>
  <c r="H955" i="23"/>
  <c r="E958" i="23"/>
  <c r="T956" i="19"/>
  <c r="H685" i="23"/>
  <c r="H703" i="23"/>
  <c r="H721" i="23"/>
  <c r="H748" i="23"/>
  <c r="H774" i="23"/>
  <c r="H820" i="23"/>
  <c r="H831" i="23"/>
  <c r="H832" i="23"/>
  <c r="J869" i="23"/>
  <c r="V867" i="19"/>
  <c r="W867" i="19" s="1"/>
  <c r="G935" i="23"/>
  <c r="Y933" i="19"/>
  <c r="F963" i="23"/>
  <c r="X961" i="19"/>
  <c r="H799" i="23"/>
  <c r="H818" i="23"/>
  <c r="H859" i="23"/>
  <c r="J898" i="23"/>
  <c r="V896" i="19"/>
  <c r="W896" i="19" s="1"/>
  <c r="F908" i="23"/>
  <c r="X906" i="19"/>
  <c r="J933" i="23"/>
  <c r="V931" i="19"/>
  <c r="W931" i="19" s="1"/>
  <c r="H972" i="23"/>
  <c r="H752" i="23"/>
  <c r="H755" i="23"/>
  <c r="H805" i="23"/>
  <c r="R805" i="19"/>
  <c r="G808" i="23"/>
  <c r="Y806" i="19"/>
  <c r="F810" i="23"/>
  <c r="X808" i="19"/>
  <c r="H815" i="23"/>
  <c r="H848" i="23"/>
  <c r="H852" i="23"/>
  <c r="I889" i="23"/>
  <c r="G923" i="23"/>
  <c r="Y921" i="19"/>
  <c r="F950" i="23"/>
  <c r="X948" i="19"/>
  <c r="G864" i="23"/>
  <c r="Y862" i="19"/>
  <c r="J901" i="23"/>
  <c r="R934" i="19"/>
  <c r="B934" i="19"/>
  <c r="A939" i="23"/>
  <c r="P937" i="19"/>
  <c r="F953" i="23"/>
  <c r="X951" i="19"/>
  <c r="J962" i="23"/>
  <c r="V960" i="19"/>
  <c r="W960" i="19" s="1"/>
  <c r="I985" i="23"/>
  <c r="H851" i="23"/>
  <c r="R887" i="19"/>
  <c r="J891" i="23"/>
  <c r="V889" i="19"/>
  <c r="W889" i="19" s="1"/>
  <c r="J915" i="23"/>
  <c r="V913" i="19"/>
  <c r="W913" i="19" s="1"/>
  <c r="H938" i="23"/>
  <c r="F952" i="23"/>
  <c r="X950" i="19"/>
  <c r="A891" i="23"/>
  <c r="P889" i="19"/>
  <c r="A915" i="23"/>
  <c r="P913" i="19"/>
  <c r="H950" i="23"/>
  <c r="H991" i="23"/>
  <c r="H996" i="23"/>
  <c r="H830" i="23"/>
  <c r="F834" i="23"/>
  <c r="X832" i="19"/>
  <c r="H856" i="23"/>
  <c r="R983" i="19"/>
  <c r="G987" i="23"/>
  <c r="Y985" i="19"/>
  <c r="H863" i="23"/>
  <c r="H866" i="23"/>
  <c r="H875" i="23"/>
  <c r="H878" i="23"/>
  <c r="H887" i="23"/>
  <c r="H890" i="23"/>
  <c r="H899" i="23"/>
  <c r="V899" i="19"/>
  <c r="W899" i="19" s="1"/>
  <c r="H902" i="23"/>
  <c r="H911" i="23"/>
  <c r="H914" i="23"/>
  <c r="H923" i="23"/>
  <c r="H926" i="23"/>
  <c r="H776" i="23"/>
  <c r="H788" i="23"/>
  <c r="H800" i="23"/>
  <c r="H817" i="23"/>
  <c r="H826" i="23"/>
  <c r="H835" i="23"/>
  <c r="H860" i="23"/>
  <c r="H872" i="23"/>
  <c r="H884" i="23"/>
  <c r="H896" i="23"/>
  <c r="H908" i="23"/>
  <c r="H920" i="23"/>
  <c r="AP937" i="19"/>
  <c r="H947" i="23"/>
  <c r="G959" i="23"/>
  <c r="Y957" i="19"/>
  <c r="H974" i="23"/>
  <c r="H979" i="23"/>
  <c r="H984" i="23"/>
  <c r="F868" i="23"/>
  <c r="X866" i="19"/>
  <c r="F880" i="23"/>
  <c r="X878" i="19"/>
  <c r="B886" i="19"/>
  <c r="H959" i="23"/>
  <c r="F822" i="23"/>
  <c r="X820" i="19"/>
  <c r="H935" i="23"/>
  <c r="F951" i="23"/>
  <c r="X949" i="19"/>
  <c r="X982" i="19"/>
  <c r="H898" i="23"/>
  <c r="H910" i="23"/>
  <c r="H922" i="23"/>
  <c r="H933" i="23"/>
  <c r="J939" i="23"/>
  <c r="V937" i="19"/>
  <c r="W937" i="19" s="1"/>
  <c r="H962" i="23"/>
  <c r="H967" i="23"/>
  <c r="H968" i="23"/>
  <c r="F995" i="23"/>
  <c r="X993" i="19"/>
  <c r="H986" i="23"/>
  <c r="H998" i="23"/>
  <c r="T995" i="19"/>
  <c r="X973" i="19"/>
  <c r="H971" i="23"/>
  <c r="H983" i="23"/>
  <c r="H995" i="23"/>
  <c r="X856" i="19"/>
  <c r="I934" i="23" l="1"/>
  <c r="A774" i="19"/>
  <c r="I231" i="23"/>
  <c r="A997" i="19"/>
  <c r="A463" i="19"/>
  <c r="I441" i="23"/>
  <c r="I683" i="23"/>
  <c r="A265" i="19"/>
  <c r="I726" i="23"/>
  <c r="B1002" i="23"/>
  <c r="I696" i="23"/>
  <c r="I855" i="23"/>
  <c r="B754" i="23"/>
  <c r="I751" i="23"/>
  <c r="I651" i="23"/>
  <c r="B575" i="23"/>
  <c r="I608" i="23"/>
  <c r="I297" i="23"/>
  <c r="I851" i="23"/>
  <c r="I292" i="23"/>
  <c r="I543" i="23"/>
  <c r="A981" i="19"/>
  <c r="I458" i="23"/>
  <c r="I694" i="23"/>
  <c r="I266" i="23"/>
  <c r="K939" i="23"/>
  <c r="L939" i="23" s="1"/>
  <c r="M939" i="23" s="1"/>
  <c r="K713" i="23"/>
  <c r="K915" i="23"/>
  <c r="L915" i="23" s="1"/>
  <c r="M915" i="23" s="1"/>
  <c r="K650" i="23"/>
  <c r="L650" i="23" s="1"/>
  <c r="M650" i="23" s="1"/>
  <c r="K891" i="23"/>
  <c r="L891" i="23" s="1"/>
  <c r="M891" i="23" s="1"/>
  <c r="K623" i="23"/>
  <c r="L623" i="23" s="1"/>
  <c r="M623" i="23" s="1"/>
  <c r="I284" i="23"/>
  <c r="B894" i="23"/>
  <c r="A220" i="19"/>
  <c r="A992" i="19"/>
  <c r="B329" i="23"/>
  <c r="B693" i="23"/>
  <c r="B746" i="23"/>
  <c r="B868" i="23"/>
  <c r="A818" i="19"/>
  <c r="B525" i="23"/>
  <c r="B660" i="23"/>
  <c r="A583" i="19"/>
  <c r="B669" i="23"/>
  <c r="A283" i="19"/>
  <c r="A901" i="19"/>
  <c r="B450" i="23"/>
  <c r="B611" i="23"/>
  <c r="B879" i="23"/>
  <c r="A564" i="19"/>
  <c r="A836" i="19"/>
  <c r="B925" i="23"/>
  <c r="B398" i="23"/>
  <c r="B584" i="23"/>
  <c r="B643" i="23"/>
  <c r="A454" i="19"/>
  <c r="B621" i="23"/>
  <c r="B637" i="23"/>
  <c r="B573" i="23"/>
  <c r="A554" i="19"/>
  <c r="B971" i="23"/>
  <c r="B741" i="23"/>
  <c r="B477" i="23"/>
  <c r="A256" i="19"/>
  <c r="B976" i="23"/>
  <c r="B865" i="23"/>
  <c r="B752" i="23"/>
  <c r="A334" i="19"/>
  <c r="B533" i="23"/>
  <c r="B197" i="23"/>
  <c r="A925" i="19"/>
  <c r="B324" i="23"/>
  <c r="B987" i="23"/>
  <c r="A937" i="19"/>
  <c r="A561" i="19"/>
  <c r="A511" i="19"/>
  <c r="B405" i="23"/>
  <c r="A911" i="19"/>
  <c r="B362" i="23"/>
  <c r="B723" i="23"/>
  <c r="B317" i="23"/>
  <c r="A657" i="19"/>
  <c r="B315" i="23"/>
  <c r="A384" i="19"/>
  <c r="A915" i="19"/>
  <c r="A891" i="19"/>
  <c r="B982" i="23"/>
  <c r="B817" i="23"/>
  <c r="B788" i="23"/>
  <c r="B680" i="23"/>
  <c r="A913" i="19"/>
  <c r="B988" i="23"/>
  <c r="B1000" i="23"/>
  <c r="B374" i="23"/>
  <c r="B549" i="23"/>
  <c r="B904" i="23"/>
  <c r="A194" i="19"/>
  <c r="A703" i="19"/>
  <c r="B857" i="23"/>
  <c r="B901" i="23"/>
  <c r="B756" i="23"/>
  <c r="A914" i="19"/>
  <c r="B792" i="23"/>
  <c r="B360" i="23"/>
  <c r="I807" i="23"/>
  <c r="O16" i="16"/>
  <c r="P15" i="16"/>
  <c r="C15" i="16"/>
  <c r="X250" i="19"/>
  <c r="T867" i="19"/>
  <c r="T456" i="19"/>
  <c r="Y525" i="19"/>
  <c r="T921" i="19"/>
  <c r="Y377" i="19"/>
  <c r="R448" i="19"/>
  <c r="Y683" i="19"/>
  <c r="G641" i="23"/>
  <c r="Y433" i="19"/>
  <c r="F903" i="23"/>
  <c r="F283" i="23"/>
  <c r="T377" i="19"/>
  <c r="B867" i="19"/>
  <c r="Y300" i="19"/>
  <c r="F379" i="23"/>
  <c r="B204" i="19"/>
  <c r="Y626" i="19"/>
  <c r="R229" i="19"/>
  <c r="Y658" i="19"/>
  <c r="F600" i="23"/>
  <c r="V57" i="28"/>
  <c r="F511" i="23"/>
  <c r="E204" i="23"/>
  <c r="Y766" i="19"/>
  <c r="W19" i="28"/>
  <c r="V19" i="28" s="1"/>
  <c r="V18" i="28"/>
  <c r="Y668" i="28"/>
  <c r="X668" i="28" s="1"/>
  <c r="X93" i="28"/>
  <c r="Z491" i="28"/>
  <c r="G606" i="23"/>
  <c r="R836" i="19"/>
  <c r="AB61" i="28"/>
  <c r="R766" i="19"/>
  <c r="AA57" i="28"/>
  <c r="Z57" i="28" s="1"/>
  <c r="F259" i="23"/>
  <c r="Y936" i="19"/>
  <c r="Y211" i="19"/>
  <c r="R955" i="19"/>
  <c r="B241" i="19"/>
  <c r="W134" i="28"/>
  <c r="W173" i="28" s="1"/>
  <c r="R907" i="19"/>
  <c r="R424" i="19"/>
  <c r="F792" i="23"/>
  <c r="T366" i="19"/>
  <c r="X865" i="19"/>
  <c r="X900" i="19"/>
  <c r="X714" i="19"/>
  <c r="F1001" i="23"/>
  <c r="R547" i="19"/>
  <c r="F564" i="23"/>
  <c r="T598" i="19"/>
  <c r="E513" i="23"/>
  <c r="X522" i="19"/>
  <c r="Y964" i="19"/>
  <c r="E705" i="23"/>
  <c r="X340" i="19"/>
  <c r="X54" i="28"/>
  <c r="W174" i="28"/>
  <c r="W213" i="28" s="1"/>
  <c r="F215" i="23"/>
  <c r="B472" i="19"/>
  <c r="Y887" i="19"/>
  <c r="Y676" i="28"/>
  <c r="X676" i="28" s="1"/>
  <c r="Y651" i="19"/>
  <c r="Y856" i="19"/>
  <c r="Y494" i="19"/>
  <c r="Y193" i="19"/>
  <c r="X910" i="19"/>
  <c r="F696" i="23"/>
  <c r="W675" i="28"/>
  <c r="W722" i="28" s="1"/>
  <c r="T797" i="19"/>
  <c r="Y598" i="19"/>
  <c r="AB256" i="28"/>
  <c r="X797" i="19"/>
  <c r="Y888" i="19"/>
  <c r="P596" i="19"/>
  <c r="U596" i="19"/>
  <c r="X890" i="19"/>
  <c r="T375" i="19"/>
  <c r="J598" i="23"/>
  <c r="B498" i="19"/>
  <c r="G367" i="23"/>
  <c r="AB335" i="28"/>
  <c r="T983" i="19"/>
  <c r="G817" i="23"/>
  <c r="G807" i="23"/>
  <c r="Y665" i="19"/>
  <c r="X389" i="19"/>
  <c r="X315" i="19"/>
  <c r="G204" i="23"/>
  <c r="F667" i="23"/>
  <c r="R892" i="19"/>
  <c r="X995" i="19"/>
  <c r="T535" i="19"/>
  <c r="X386" i="19"/>
  <c r="X324" i="19"/>
  <c r="AA94" i="28"/>
  <c r="Z94" i="28" s="1"/>
  <c r="T870" i="19"/>
  <c r="X596" i="19"/>
  <c r="T766" i="19"/>
  <c r="T642" i="19"/>
  <c r="Y547" i="19"/>
  <c r="T923" i="19"/>
  <c r="X889" i="19"/>
  <c r="G963" i="23"/>
  <c r="X731" i="19"/>
  <c r="AB296" i="28"/>
  <c r="X388" i="19"/>
  <c r="F942" i="23"/>
  <c r="Y892" i="19"/>
  <c r="T515" i="19"/>
  <c r="H123" i="28"/>
  <c r="V96" i="28"/>
  <c r="X584" i="28"/>
  <c r="F219" i="23"/>
  <c r="R890" i="19"/>
  <c r="Y910" i="19"/>
  <c r="V596" i="19"/>
  <c r="W596" i="19" s="1"/>
  <c r="B297" i="19"/>
  <c r="R250" i="19"/>
  <c r="X576" i="28"/>
  <c r="F351" i="23"/>
  <c r="R626" i="19"/>
  <c r="AP949" i="19"/>
  <c r="Z139" i="28"/>
  <c r="X471" i="19"/>
  <c r="Y554" i="19"/>
  <c r="R606" i="19"/>
  <c r="Y971" i="19"/>
  <c r="F746" i="23"/>
  <c r="G524" i="23"/>
  <c r="T606" i="19"/>
  <c r="Y462" i="19"/>
  <c r="G611" i="23"/>
  <c r="F417" i="23"/>
  <c r="AA56" i="28"/>
  <c r="Z56" i="28" s="1"/>
  <c r="T544" i="19"/>
  <c r="Y771" i="19"/>
  <c r="Y928" i="19"/>
  <c r="X776" i="19"/>
  <c r="X646" i="19"/>
  <c r="G716" i="23"/>
  <c r="B371" i="19"/>
  <c r="X242" i="19"/>
  <c r="U949" i="19"/>
  <c r="X796" i="19"/>
  <c r="T431" i="19"/>
  <c r="X171" i="28"/>
  <c r="Y254" i="19"/>
  <c r="T471" i="19"/>
  <c r="Y900" i="19"/>
  <c r="Y489" i="19"/>
  <c r="T831" i="19"/>
  <c r="X532" i="19"/>
  <c r="X414" i="19"/>
  <c r="X622" i="28"/>
  <c r="AA628" i="28"/>
  <c r="Z628" i="28" s="1"/>
  <c r="X887" i="19"/>
  <c r="AB412" i="28"/>
  <c r="Z452" i="28"/>
  <c r="AA53" i="28"/>
  <c r="Z53" i="28" s="1"/>
  <c r="Z217" i="28"/>
  <c r="AB217" i="28"/>
  <c r="B555" i="19"/>
  <c r="T399" i="19"/>
  <c r="T438" i="19"/>
  <c r="X877" i="19"/>
  <c r="G934" i="23"/>
  <c r="G82" i="3"/>
  <c r="K12" i="8"/>
  <c r="AE25" i="28" s="1"/>
  <c r="R523" i="19"/>
  <c r="Y891" i="19"/>
  <c r="X396" i="19"/>
  <c r="F977" i="23"/>
  <c r="T894" i="19"/>
  <c r="F345" i="23"/>
  <c r="T681" i="19"/>
  <c r="F537" i="23"/>
  <c r="T340" i="19"/>
  <c r="X986" i="19"/>
  <c r="X914" i="19"/>
  <c r="X867" i="19"/>
  <c r="A951" i="23"/>
  <c r="R508" i="19"/>
  <c r="E555" i="23"/>
  <c r="B345" i="19"/>
  <c r="Y397" i="19"/>
  <c r="B394" i="19"/>
  <c r="T490" i="19"/>
  <c r="B291" i="19"/>
  <c r="T196" i="19"/>
  <c r="X575" i="28"/>
  <c r="X169" i="28"/>
  <c r="X568" i="28"/>
  <c r="Y615" i="28"/>
  <c r="T583" i="19"/>
  <c r="Y249" i="19"/>
  <c r="Y369" i="19"/>
  <c r="Y92" i="28"/>
  <c r="AA92" i="28" s="1"/>
  <c r="Z92" i="28" s="1"/>
  <c r="X53" i="28"/>
  <c r="Y322" i="19"/>
  <c r="X578" i="28"/>
  <c r="B824" i="19"/>
  <c r="X922" i="19"/>
  <c r="X836" i="19"/>
  <c r="X730" i="19"/>
  <c r="R438" i="19"/>
  <c r="Y617" i="19"/>
  <c r="Y358" i="19"/>
  <c r="R334" i="19"/>
  <c r="T901" i="19"/>
  <c r="Y867" i="19"/>
  <c r="X451" i="19"/>
  <c r="E893" i="23"/>
  <c r="X607" i="19"/>
  <c r="X427" i="19"/>
  <c r="X892" i="19"/>
  <c r="AA18" i="28"/>
  <c r="Z18" i="28" s="1"/>
  <c r="B910" i="19"/>
  <c r="F872" i="23"/>
  <c r="T714" i="19"/>
  <c r="R865" i="19"/>
  <c r="T379" i="19"/>
  <c r="T405" i="19"/>
  <c r="Z295" i="28"/>
  <c r="B630" i="19"/>
  <c r="T974" i="19"/>
  <c r="E290" i="23"/>
  <c r="P7" i="28"/>
  <c r="X321" i="19"/>
  <c r="K7" i="3"/>
  <c r="R923" i="19"/>
  <c r="X985" i="19"/>
  <c r="F750" i="23"/>
  <c r="B501" i="19"/>
  <c r="Y189" i="19"/>
  <c r="Y742" i="19"/>
  <c r="T539" i="19"/>
  <c r="AB413" i="28"/>
  <c r="Y817" i="19"/>
  <c r="R583" i="19"/>
  <c r="T506" i="19"/>
  <c r="B604" i="19"/>
  <c r="R232" i="19"/>
  <c r="T889" i="19"/>
  <c r="G961" i="23"/>
  <c r="T677" i="19"/>
  <c r="T674" i="19"/>
  <c r="X573" i="19"/>
  <c r="B331" i="19"/>
  <c r="Y844" i="19"/>
  <c r="Y340" i="19"/>
  <c r="T550" i="19"/>
  <c r="H12" i="8"/>
  <c r="AB28" i="28" s="1"/>
  <c r="B490" i="19"/>
  <c r="X385" i="19"/>
  <c r="T911" i="19"/>
  <c r="O53" i="3"/>
  <c r="B844" i="19"/>
  <c r="B349" i="19"/>
  <c r="Y272" i="19"/>
  <c r="Q15" i="3"/>
  <c r="P15" i="3" s="1"/>
  <c r="X916" i="19"/>
  <c r="G925" i="23"/>
  <c r="R405" i="19"/>
  <c r="F428" i="23"/>
  <c r="G828" i="23"/>
  <c r="F493" i="23"/>
  <c r="X844" i="19"/>
  <c r="Y899" i="19"/>
  <c r="R901" i="19"/>
  <c r="B883" i="19"/>
  <c r="E770" i="23"/>
  <c r="G607" i="23"/>
  <c r="F757" i="23"/>
  <c r="Y488" i="19"/>
  <c r="R454" i="19"/>
  <c r="E202" i="23"/>
  <c r="Y832" i="19"/>
  <c r="G557" i="23"/>
  <c r="Y95" i="28"/>
  <c r="AA95" i="28" s="1"/>
  <c r="Z95" i="28" s="1"/>
  <c r="X132" i="28"/>
  <c r="Y617" i="28"/>
  <c r="X570" i="28"/>
  <c r="X926" i="19"/>
  <c r="Y236" i="19"/>
  <c r="I877" i="23"/>
  <c r="F755" i="23"/>
  <c r="X395" i="19"/>
  <c r="B746" i="19"/>
  <c r="T387" i="19"/>
  <c r="Y329" i="19"/>
  <c r="F800" i="23"/>
  <c r="R832" i="19"/>
  <c r="T828" i="19"/>
  <c r="T845" i="19"/>
  <c r="Y903" i="19"/>
  <c r="T944" i="19"/>
  <c r="E819" i="23"/>
  <c r="R849" i="19"/>
  <c r="Y575" i="19"/>
  <c r="T473" i="19"/>
  <c r="Y280" i="19"/>
  <c r="X761" i="19"/>
  <c r="T799" i="19"/>
  <c r="Y556" i="19"/>
  <c r="X502" i="19"/>
  <c r="Y406" i="19"/>
  <c r="T496" i="19"/>
  <c r="X408" i="19"/>
  <c r="T218" i="19"/>
  <c r="R573" i="19"/>
  <c r="T988" i="19"/>
  <c r="T978" i="19"/>
  <c r="F900" i="23"/>
  <c r="G927" i="23"/>
  <c r="B351" i="19"/>
  <c r="R1000" i="19"/>
  <c r="Q94" i="3"/>
  <c r="P94" i="3" s="1"/>
  <c r="N94" i="3"/>
  <c r="O132" i="3"/>
  <c r="Q132" i="3" s="1"/>
  <c r="P132" i="3" s="1"/>
  <c r="R925" i="19"/>
  <c r="Y627" i="28"/>
  <c r="X580" i="28"/>
  <c r="AC530" i="28"/>
  <c r="Z530" i="28"/>
  <c r="T470" i="19"/>
  <c r="X424" i="19"/>
  <c r="T203" i="19"/>
  <c r="Y708" i="19"/>
  <c r="E638" i="23"/>
  <c r="T559" i="19"/>
  <c r="T538" i="19"/>
  <c r="X224" i="19"/>
  <c r="X631" i="28"/>
  <c r="Y678" i="28"/>
  <c r="T925" i="19"/>
  <c r="B847" i="19"/>
  <c r="X595" i="19"/>
  <c r="R875" i="19"/>
  <c r="X762" i="19"/>
  <c r="T365" i="19"/>
  <c r="X443" i="19"/>
  <c r="R315" i="19"/>
  <c r="E625" i="23"/>
  <c r="W133" i="28"/>
  <c r="W172" i="28" s="1"/>
  <c r="E201" i="28"/>
  <c r="H162" i="28"/>
  <c r="X130" i="28"/>
  <c r="Y712" i="28"/>
  <c r="X665" i="28"/>
  <c r="AB535" i="28"/>
  <c r="Z535" i="28"/>
  <c r="B357" i="19"/>
  <c r="E331" i="23"/>
  <c r="B406" i="19"/>
  <c r="T426" i="19"/>
  <c r="X435" i="19"/>
  <c r="E259" i="23"/>
  <c r="F929" i="23"/>
  <c r="B871" i="19"/>
  <c r="X580" i="19"/>
  <c r="T363" i="19"/>
  <c r="T508" i="19"/>
  <c r="Y574" i="19"/>
  <c r="R425" i="19"/>
  <c r="Y911" i="19"/>
  <c r="X988" i="19"/>
  <c r="F368" i="23"/>
  <c r="R899" i="19"/>
  <c r="F936" i="23"/>
  <c r="G830" i="23"/>
  <c r="G707" i="23"/>
  <c r="Y642" i="19"/>
  <c r="T638" i="19"/>
  <c r="Y550" i="19"/>
  <c r="Y618" i="19"/>
  <c r="G475" i="23"/>
  <c r="Y585" i="19"/>
  <c r="Y353" i="19"/>
  <c r="Y360" i="19"/>
  <c r="Y319" i="19"/>
  <c r="B376" i="19"/>
  <c r="E306" i="23"/>
  <c r="Y232" i="19"/>
  <c r="R264" i="19"/>
  <c r="R305" i="19"/>
  <c r="T561" i="19"/>
  <c r="X569" i="28"/>
  <c r="X572" i="28"/>
  <c r="Y19" i="28"/>
  <c r="X18" i="28"/>
  <c r="W624" i="28"/>
  <c r="V577" i="28"/>
  <c r="P928" i="19"/>
  <c r="Y738" i="19"/>
  <c r="E437" i="23"/>
  <c r="B544" i="19"/>
  <c r="X974" i="19"/>
  <c r="T950" i="19"/>
  <c r="B806" i="19"/>
  <c r="T937" i="19"/>
  <c r="Y886" i="19"/>
  <c r="X742" i="19"/>
  <c r="Y710" i="19"/>
  <c r="R778" i="19"/>
  <c r="G536" i="23"/>
  <c r="B341" i="19"/>
  <c r="Y633" i="19"/>
  <c r="G304" i="23"/>
  <c r="R420" i="19"/>
  <c r="T586" i="19"/>
  <c r="E549" i="23"/>
  <c r="T788" i="19"/>
  <c r="Y752" i="19"/>
  <c r="G455" i="23"/>
  <c r="E427" i="23"/>
  <c r="E838" i="23"/>
  <c r="X997" i="19"/>
  <c r="T401" i="19"/>
  <c r="F425" i="23"/>
  <c r="X293" i="19"/>
  <c r="R333" i="19"/>
  <c r="AC532" i="28"/>
  <c r="AB218" i="28"/>
  <c r="Y660" i="28"/>
  <c r="X613" i="28"/>
  <c r="Y677" i="28"/>
  <c r="X630" i="28"/>
  <c r="Y836" i="19"/>
  <c r="Y850" i="19"/>
  <c r="R818" i="19"/>
  <c r="B734" i="19"/>
  <c r="B699" i="19"/>
  <c r="R915" i="19"/>
  <c r="Y429" i="19"/>
  <c r="G949" i="23"/>
  <c r="T744" i="19"/>
  <c r="Y995" i="19"/>
  <c r="Y924" i="19"/>
  <c r="X401" i="19"/>
  <c r="T568" i="19"/>
  <c r="R427" i="19"/>
  <c r="X206" i="19"/>
  <c r="B278" i="19"/>
  <c r="B380" i="19"/>
  <c r="AB582" i="28"/>
  <c r="Z582" i="28"/>
  <c r="Z14" i="28"/>
  <c r="Z51" i="28"/>
  <c r="R478" i="3"/>
  <c r="P478" i="3"/>
  <c r="AC579" i="28"/>
  <c r="Z579" i="28"/>
  <c r="P50" i="3"/>
  <c r="G618" i="23"/>
  <c r="Y521" i="19"/>
  <c r="B416" i="19"/>
  <c r="AB100" i="28"/>
  <c r="Z100" i="28"/>
  <c r="P12" i="3"/>
  <c r="O126" i="3"/>
  <c r="Q88" i="3"/>
  <c r="N88" i="3"/>
  <c r="X624" i="28"/>
  <c r="Y671" i="28"/>
  <c r="X581" i="28"/>
  <c r="Y628" i="28"/>
  <c r="Z581" i="28"/>
  <c r="AC581" i="28"/>
  <c r="Y714" i="28"/>
  <c r="X667" i="28"/>
  <c r="T976" i="19"/>
  <c r="B922" i="19"/>
  <c r="G829" i="23"/>
  <c r="T229" i="19"/>
  <c r="Y975" i="19"/>
  <c r="T975" i="19"/>
  <c r="X911" i="19"/>
  <c r="Y694" i="19"/>
  <c r="R919" i="19"/>
  <c r="R751" i="19"/>
  <c r="Y686" i="19"/>
  <c r="R797" i="19"/>
  <c r="X588" i="19"/>
  <c r="Y337" i="19"/>
  <c r="X477" i="19"/>
  <c r="X436" i="19"/>
  <c r="AK4" i="19"/>
  <c r="B13" i="6"/>
  <c r="Z140" i="28"/>
  <c r="AB140" i="28"/>
  <c r="AB627" i="28"/>
  <c r="Z627" i="28"/>
  <c r="AC577" i="28"/>
  <c r="Z577" i="28"/>
  <c r="W676" i="28"/>
  <c r="V629" i="28"/>
  <c r="AA629" i="28"/>
  <c r="Z538" i="28"/>
  <c r="AC538" i="28"/>
  <c r="AC534" i="28"/>
  <c r="Z534" i="28"/>
  <c r="F486" i="23"/>
  <c r="R395" i="19"/>
  <c r="B273" i="19"/>
  <c r="T928" i="19"/>
  <c r="X809" i="19"/>
  <c r="R932" i="19"/>
  <c r="Y237" i="19"/>
  <c r="AB490" i="28"/>
  <c r="Z490" i="28"/>
  <c r="V674" i="28"/>
  <c r="AA674" i="28"/>
  <c r="W721" i="28"/>
  <c r="Y864" i="19"/>
  <c r="Y737" i="19"/>
  <c r="R580" i="19"/>
  <c r="Y514" i="19"/>
  <c r="X545" i="19"/>
  <c r="X441" i="19"/>
  <c r="Y449" i="19"/>
  <c r="T199" i="19"/>
  <c r="R373" i="19"/>
  <c r="T241" i="19"/>
  <c r="E13" i="8"/>
  <c r="J13" i="8" s="1"/>
  <c r="R754" i="19"/>
  <c r="Y323" i="19"/>
  <c r="AC626" i="28"/>
  <c r="Z626" i="28"/>
  <c r="Y673" i="28"/>
  <c r="X626" i="28"/>
  <c r="AB578" i="28"/>
  <c r="Z578" i="28"/>
  <c r="Q133" i="3"/>
  <c r="P133" i="3" s="1"/>
  <c r="N133" i="3"/>
  <c r="O171" i="3"/>
  <c r="AA98" i="28"/>
  <c r="Z98" i="28" s="1"/>
  <c r="V98" i="28"/>
  <c r="W137" i="28"/>
  <c r="F620" i="23"/>
  <c r="AB451" i="28"/>
  <c r="Z451" i="28"/>
  <c r="Y880" i="19"/>
  <c r="R878" i="19"/>
  <c r="R959" i="19"/>
  <c r="T577" i="19"/>
  <c r="B827" i="19"/>
  <c r="R511" i="19"/>
  <c r="T467" i="19"/>
  <c r="Y281" i="19"/>
  <c r="X218" i="19"/>
  <c r="X284" i="19"/>
  <c r="Z580" i="28"/>
  <c r="AB580" i="28"/>
  <c r="AB101" i="28"/>
  <c r="Z101" i="28"/>
  <c r="W720" i="28"/>
  <c r="AA673" i="28"/>
  <c r="V673" i="28"/>
  <c r="AA625" i="28"/>
  <c r="V625" i="28"/>
  <c r="W672" i="28"/>
  <c r="AB584" i="28"/>
  <c r="Z584" i="28"/>
  <c r="W678" i="28"/>
  <c r="V631" i="28"/>
  <c r="AA631" i="28"/>
  <c r="X625" i="28"/>
  <c r="Y672" i="28"/>
  <c r="U556" i="3"/>
  <c r="A594" i="3"/>
  <c r="X98" i="28"/>
  <c r="Y137" i="28"/>
  <c r="B990" i="19"/>
  <c r="R895" i="19"/>
  <c r="F845" i="23"/>
  <c r="X667" i="19"/>
  <c r="G520" i="23"/>
  <c r="R436" i="19"/>
  <c r="X445" i="19"/>
  <c r="X470" i="19"/>
  <c r="T494" i="19"/>
  <c r="X314" i="19"/>
  <c r="Y949" i="19"/>
  <c r="R710" i="19"/>
  <c r="X265" i="19"/>
  <c r="R372" i="19"/>
  <c r="T793" i="19"/>
  <c r="Y133" i="28"/>
  <c r="X94" i="28"/>
  <c r="Z374" i="28"/>
  <c r="AB374" i="28"/>
  <c r="W131" i="28"/>
  <c r="V92" i="28"/>
  <c r="N55" i="3"/>
  <c r="O93" i="3"/>
  <c r="Q55" i="3"/>
  <c r="P55" i="3" s="1"/>
  <c r="Z536" i="28"/>
  <c r="AC536" i="28"/>
  <c r="AB22" i="28"/>
  <c r="Z22" i="28"/>
  <c r="U928" i="19"/>
  <c r="G847" i="23"/>
  <c r="F559" i="23"/>
  <c r="Q516" i="3"/>
  <c r="N516" i="3"/>
  <c r="O554" i="3"/>
  <c r="N92" i="3"/>
  <c r="O130" i="3"/>
  <c r="Q92" i="3"/>
  <c r="P92" i="3" s="1"/>
  <c r="T918" i="19"/>
  <c r="R866" i="19"/>
  <c r="J930" i="23"/>
  <c r="G643" i="23"/>
  <c r="Y640" i="19"/>
  <c r="X529" i="19"/>
  <c r="Y343" i="19"/>
  <c r="E346" i="23"/>
  <c r="T374" i="19"/>
  <c r="F349" i="23"/>
  <c r="X282" i="19"/>
  <c r="Y315" i="19"/>
  <c r="T971" i="19"/>
  <c r="R980" i="19"/>
  <c r="T985" i="19"/>
  <c r="T968" i="19"/>
  <c r="Y916" i="19"/>
  <c r="X918" i="19"/>
  <c r="Y913" i="19"/>
  <c r="T837" i="19"/>
  <c r="Y726" i="19"/>
  <c r="R554" i="19"/>
  <c r="R592" i="19"/>
  <c r="T451" i="19"/>
  <c r="T297" i="19"/>
  <c r="T324" i="19"/>
  <c r="B616" i="19"/>
  <c r="Y394" i="19"/>
  <c r="T276" i="19"/>
  <c r="Y265" i="19"/>
  <c r="Y983" i="19"/>
  <c r="X828" i="19"/>
  <c r="Y712" i="19"/>
  <c r="R739" i="19"/>
  <c r="B687" i="19"/>
  <c r="B636" i="19"/>
  <c r="R681" i="19"/>
  <c r="F477" i="23"/>
  <c r="T594" i="19"/>
  <c r="X360" i="19"/>
  <c r="Y241" i="19"/>
  <c r="AB257" i="28"/>
  <c r="Z257" i="28"/>
  <c r="X208" i="28"/>
  <c r="Y247" i="28"/>
  <c r="Y670" i="28"/>
  <c r="X623" i="28"/>
  <c r="X497" i="19"/>
  <c r="Y168" i="28"/>
  <c r="X129" i="28"/>
  <c r="T616" i="19"/>
  <c r="Z529" i="28"/>
  <c r="AB529" i="28"/>
  <c r="A181" i="28"/>
  <c r="X862" i="19"/>
  <c r="Y632" i="28"/>
  <c r="X585" i="28"/>
  <c r="R877" i="19"/>
  <c r="X886" i="19"/>
  <c r="T630" i="19"/>
  <c r="E804" i="23"/>
  <c r="X874" i="19"/>
  <c r="O90" i="3"/>
  <c r="N52" i="3"/>
  <c r="Q52" i="3"/>
  <c r="P52" i="3" s="1"/>
  <c r="Y809" i="19"/>
  <c r="T803" i="19"/>
  <c r="T487" i="19"/>
  <c r="T197" i="19"/>
  <c r="P440" i="3"/>
  <c r="R440" i="3"/>
  <c r="AB23" i="28"/>
  <c r="Z23" i="28"/>
  <c r="Z531" i="28"/>
  <c r="AB531" i="28"/>
  <c r="Y96" i="28"/>
  <c r="X57" i="28"/>
  <c r="T980" i="19"/>
  <c r="Y968" i="19"/>
  <c r="B808" i="19"/>
  <c r="Y980" i="19"/>
  <c r="Y912" i="19"/>
  <c r="J951" i="23"/>
  <c r="X752" i="19"/>
  <c r="R851" i="19"/>
  <c r="X764" i="19"/>
  <c r="X740" i="19"/>
  <c r="E686" i="23"/>
  <c r="G625" i="23"/>
  <c r="X693" i="19"/>
  <c r="T722" i="19"/>
  <c r="X662" i="19"/>
  <c r="X619" i="19"/>
  <c r="Y474" i="19"/>
  <c r="X291" i="19"/>
  <c r="Y276" i="19"/>
  <c r="R203" i="19"/>
  <c r="X687" i="19"/>
  <c r="R790" i="19"/>
  <c r="E951" i="23"/>
  <c r="B793" i="19"/>
  <c r="B586" i="19"/>
  <c r="N89" i="3"/>
  <c r="O127" i="3"/>
  <c r="Q89" i="3"/>
  <c r="P89" i="3" s="1"/>
  <c r="X669" i="28"/>
  <c r="Y716" i="28"/>
  <c r="V949" i="19"/>
  <c r="W949" i="19" s="1"/>
  <c r="R703" i="19"/>
  <c r="X852" i="19"/>
  <c r="AA130" i="28"/>
  <c r="Z130" i="28" s="1"/>
  <c r="W169" i="28"/>
  <c r="V130" i="28"/>
  <c r="G937" i="23"/>
  <c r="V928" i="19"/>
  <c r="W928" i="19" s="1"/>
  <c r="X864" i="19"/>
  <c r="X824" i="19"/>
  <c r="G640" i="23"/>
  <c r="F587" i="23"/>
  <c r="X538" i="19"/>
  <c r="T667" i="19"/>
  <c r="T558" i="19"/>
  <c r="Y528" i="19"/>
  <c r="T670" i="19"/>
  <c r="Y372" i="19"/>
  <c r="G482" i="23"/>
  <c r="X685" i="19"/>
  <c r="Y820" i="19"/>
  <c r="X708" i="19"/>
  <c r="X565" i="19"/>
  <c r="Y268" i="19"/>
  <c r="B389" i="19"/>
  <c r="B988" i="19"/>
  <c r="Z373" i="28"/>
  <c r="AB373" i="28"/>
  <c r="AB533" i="28"/>
  <c r="Z533" i="28"/>
  <c r="V15" i="28"/>
  <c r="W54" i="28"/>
  <c r="AA15" i="28"/>
  <c r="Z15" i="28" s="1"/>
  <c r="Y249" i="28"/>
  <c r="X210" i="28"/>
  <c r="X616" i="28"/>
  <c r="Y663" i="28"/>
  <c r="Q97" i="3"/>
  <c r="P97" i="3" s="1"/>
  <c r="N97" i="3"/>
  <c r="O135" i="3"/>
  <c r="Z62" i="28"/>
  <c r="AB62" i="28"/>
  <c r="X964" i="19"/>
  <c r="V576" i="28"/>
  <c r="AA576" i="28"/>
  <c r="W623" i="28"/>
  <c r="Q96" i="3"/>
  <c r="P96" i="3" s="1"/>
  <c r="O134" i="3"/>
  <c r="N96" i="3"/>
  <c r="T887" i="19"/>
  <c r="R493" i="19"/>
  <c r="T574" i="19"/>
  <c r="R619" i="19"/>
  <c r="T877" i="19"/>
  <c r="X903" i="19"/>
  <c r="R944" i="19"/>
  <c r="G947" i="23"/>
  <c r="T963" i="19"/>
  <c r="X924" i="19"/>
  <c r="X799" i="19"/>
  <c r="R667" i="19"/>
  <c r="R691" i="19"/>
  <c r="Y654" i="19"/>
  <c r="X622" i="19"/>
  <c r="R641" i="19"/>
  <c r="Y593" i="19"/>
  <c r="X612" i="19"/>
  <c r="T522" i="19"/>
  <c r="X560" i="19"/>
  <c r="R528" i="19"/>
  <c r="T529" i="19"/>
  <c r="X376" i="19"/>
  <c r="F196" i="23"/>
  <c r="X221" i="19"/>
  <c r="Y362" i="19"/>
  <c r="R293" i="19"/>
  <c r="X567" i="28"/>
  <c r="Y614" i="28"/>
  <c r="AB334" i="28"/>
  <c r="Z334" i="28"/>
  <c r="X619" i="28"/>
  <c r="Y666" i="28"/>
  <c r="AB179" i="28"/>
  <c r="Z179" i="28"/>
  <c r="W630" i="28"/>
  <c r="AA583" i="28"/>
  <c r="V583" i="28"/>
  <c r="Y309" i="19"/>
  <c r="T341" i="19"/>
  <c r="X863" i="19"/>
  <c r="G725" i="23"/>
  <c r="B628" i="19"/>
  <c r="G565" i="23"/>
  <c r="AA90" i="28"/>
  <c r="V90" i="28"/>
  <c r="W129" i="28"/>
  <c r="G120" i="3"/>
  <c r="E158" i="3"/>
  <c r="T999" i="19"/>
  <c r="F939" i="23"/>
  <c r="R985" i="19"/>
  <c r="X976" i="19"/>
  <c r="B588" i="19"/>
  <c r="X400" i="19"/>
  <c r="B499" i="19"/>
  <c r="F329" i="23"/>
  <c r="R494" i="19"/>
  <c r="Y339" i="19"/>
  <c r="Y230" i="19"/>
  <c r="AF8" i="19"/>
  <c r="AG8" i="19" s="1"/>
  <c r="AF26" i="19" s="1"/>
  <c r="R561" i="19"/>
  <c r="B326" i="19"/>
  <c r="Z537" i="28"/>
  <c r="AB537" i="28"/>
  <c r="W632" i="28"/>
  <c r="V585" i="28"/>
  <c r="AA585" i="28"/>
  <c r="AB178" i="28"/>
  <c r="Z178" i="28"/>
  <c r="Q673" i="3"/>
  <c r="Q217" i="3"/>
  <c r="P3" i="6"/>
  <c r="P3" i="38"/>
  <c r="P3" i="37"/>
  <c r="P3" i="39"/>
  <c r="D334" i="39"/>
  <c r="D334" i="38"/>
  <c r="D334" i="37"/>
  <c r="D334" i="6"/>
  <c r="P4" i="6"/>
  <c r="P4" i="39"/>
  <c r="P4" i="38"/>
  <c r="P4" i="37"/>
  <c r="Q103" i="3"/>
  <c r="F19" i="29"/>
  <c r="F19" i="30"/>
  <c r="F19" i="31"/>
  <c r="K334" i="39"/>
  <c r="K334" i="38"/>
  <c r="K334" i="37"/>
  <c r="E605" i="28"/>
  <c r="D6" i="37"/>
  <c r="D6" i="38"/>
  <c r="D6" i="39"/>
  <c r="E511" i="28"/>
  <c r="D328" i="38"/>
  <c r="D328" i="37"/>
  <c r="D328" i="39"/>
  <c r="D328" i="6"/>
  <c r="E433" i="28"/>
  <c r="E612" i="3"/>
  <c r="E384" i="3"/>
  <c r="D7" i="37"/>
  <c r="D7" i="39"/>
  <c r="D7" i="38"/>
  <c r="AA590" i="28"/>
  <c r="AA637" i="28"/>
  <c r="AA379" i="28"/>
  <c r="Q711" i="3"/>
  <c r="AA684" i="28"/>
  <c r="Q369" i="3"/>
  <c r="AA731" i="28"/>
  <c r="AA825" i="28"/>
  <c r="Q521" i="3"/>
  <c r="AA223" i="28"/>
  <c r="K6" i="38"/>
  <c r="K6" i="39"/>
  <c r="K6" i="37"/>
  <c r="AA543" i="28"/>
  <c r="K326" i="37"/>
  <c r="K326" i="39"/>
  <c r="K326" i="38"/>
  <c r="Q331" i="3"/>
  <c r="AA28" i="28"/>
  <c r="D6" i="8"/>
  <c r="Q293" i="3"/>
  <c r="Q635" i="3"/>
  <c r="Q407" i="3"/>
  <c r="Q445" i="3"/>
  <c r="AA496" i="28"/>
  <c r="AA106" i="28"/>
  <c r="C6" i="7"/>
  <c r="Q597" i="3"/>
  <c r="AA457" i="28"/>
  <c r="D7" i="16"/>
  <c r="B6" i="26" s="1"/>
  <c r="K6" i="6"/>
  <c r="AA340" i="28"/>
  <c r="Z652" i="19"/>
  <c r="S38" i="31"/>
  <c r="S37" i="30"/>
  <c r="S35" i="29"/>
  <c r="E194" i="3"/>
  <c r="E4" i="28"/>
  <c r="AG2" i="19"/>
  <c r="C759" i="23"/>
  <c r="AA145" i="28"/>
  <c r="AA778" i="28"/>
  <c r="E316" i="28"/>
  <c r="E355" i="28"/>
  <c r="E4" i="3"/>
  <c r="I2" i="20"/>
  <c r="AA184" i="28"/>
  <c r="E472" i="28"/>
  <c r="Q749" i="3"/>
  <c r="Q559" i="3"/>
  <c r="Q65" i="3"/>
  <c r="E574" i="3"/>
  <c r="Q255" i="3"/>
  <c r="AA262" i="28"/>
  <c r="AA301" i="28"/>
  <c r="D4" i="8"/>
  <c r="Q27" i="3"/>
  <c r="Q179" i="3"/>
  <c r="Q483" i="3"/>
  <c r="Q141" i="3"/>
  <c r="AA418" i="28"/>
  <c r="J893" i="23"/>
  <c r="C826" i="23"/>
  <c r="AP939" i="19"/>
  <c r="C941" i="23"/>
  <c r="P824" i="19"/>
  <c r="J724" i="23"/>
  <c r="A954" i="23"/>
  <c r="C724" i="23"/>
  <c r="V939" i="19"/>
  <c r="W939" i="19" s="1"/>
  <c r="J674" i="23"/>
  <c r="J677" i="23"/>
  <c r="I822" i="23"/>
  <c r="J941" i="23"/>
  <c r="V952" i="19"/>
  <c r="W952" i="19" s="1"/>
  <c r="J834" i="23"/>
  <c r="V824" i="19"/>
  <c r="W824" i="19" s="1"/>
  <c r="J573" i="23"/>
  <c r="V672" i="19"/>
  <c r="W672" i="19" s="1"/>
  <c r="AP975" i="19"/>
  <c r="C674" i="23"/>
  <c r="V675" i="19"/>
  <c r="W675" i="19" s="1"/>
  <c r="C800" i="23"/>
  <c r="A894" i="23"/>
  <c r="V798" i="19"/>
  <c r="W798" i="19" s="1"/>
  <c r="U892" i="19"/>
  <c r="J759" i="23"/>
  <c r="A854" i="23"/>
  <c r="C812" i="23"/>
  <c r="C985" i="23"/>
  <c r="C819" i="23"/>
  <c r="V983" i="19"/>
  <c r="W983" i="19" s="1"/>
  <c r="J819" i="23"/>
  <c r="J985" i="23"/>
  <c r="V817" i="19"/>
  <c r="W817" i="19" s="1"/>
  <c r="C768" i="23"/>
  <c r="J768" i="23"/>
  <c r="C978" i="23"/>
  <c r="V766" i="19"/>
  <c r="W766" i="19" s="1"/>
  <c r="A810" i="23"/>
  <c r="A819" i="23"/>
  <c r="A674" i="23"/>
  <c r="I422" i="23"/>
  <c r="P986" i="19"/>
  <c r="U986" i="19"/>
  <c r="V986" i="19"/>
  <c r="W986" i="19" s="1"/>
  <c r="J988" i="23"/>
  <c r="P793" i="19"/>
  <c r="V685" i="19"/>
  <c r="W685" i="19" s="1"/>
  <c r="B892" i="23"/>
  <c r="C732" i="23"/>
  <c r="J732" i="23"/>
  <c r="I295" i="23"/>
  <c r="A642" i="23"/>
  <c r="V810" i="19"/>
  <c r="W810" i="19" s="1"/>
  <c r="U640" i="19"/>
  <c r="J812" i="23"/>
  <c r="J642" i="23"/>
  <c r="P628" i="19"/>
  <c r="V793" i="19"/>
  <c r="W793" i="19" s="1"/>
  <c r="C795" i="23"/>
  <c r="P808" i="19"/>
  <c r="C810" i="23"/>
  <c r="J630" i="23"/>
  <c r="J810" i="23"/>
  <c r="J800" i="23"/>
  <c r="E746" i="28"/>
  <c r="D6" i="6"/>
  <c r="E232" i="3"/>
  <c r="E422" i="3"/>
  <c r="E82" i="28"/>
  <c r="H2" i="20"/>
  <c r="E160" i="28"/>
  <c r="E793" i="28"/>
  <c r="E277" i="28"/>
  <c r="P766" i="19"/>
  <c r="V730" i="19"/>
  <c r="W730" i="19" s="1"/>
  <c r="E558" i="28"/>
  <c r="E42" i="3"/>
  <c r="E270" i="3"/>
  <c r="A768" i="23"/>
  <c r="A732" i="23"/>
  <c r="E346" i="3"/>
  <c r="E156" i="3"/>
  <c r="A595" i="19"/>
  <c r="E308" i="3"/>
  <c r="E726" i="3"/>
  <c r="J648" i="23"/>
  <c r="D5" i="16"/>
  <c r="B4" i="26" s="1"/>
  <c r="C671" i="23"/>
  <c r="E650" i="3"/>
  <c r="U775" i="19"/>
  <c r="C630" i="23"/>
  <c r="E460" i="3"/>
  <c r="C792" i="23"/>
  <c r="C648" i="23"/>
  <c r="E394" i="28"/>
  <c r="E43" i="28"/>
  <c r="E536" i="3"/>
  <c r="E498" i="3"/>
  <c r="V750" i="19"/>
  <c r="W750" i="19" s="1"/>
  <c r="AP685" i="19"/>
  <c r="E688" i="3"/>
  <c r="V775" i="19"/>
  <c r="W775" i="19" s="1"/>
  <c r="J777" i="23"/>
  <c r="A752" i="23"/>
  <c r="C4" i="7"/>
  <c r="A1" i="23"/>
  <c r="E121" i="28"/>
  <c r="E199" i="28"/>
  <c r="E238" i="28"/>
  <c r="V976" i="19"/>
  <c r="W976" i="19" s="1"/>
  <c r="C953" i="23"/>
  <c r="J805" i="23"/>
  <c r="AP891" i="19"/>
  <c r="J953" i="23"/>
  <c r="P798" i="19"/>
  <c r="C677" i="23"/>
  <c r="A648" i="23"/>
  <c r="E652" i="28"/>
  <c r="E80" i="3"/>
  <c r="E118" i="3"/>
  <c r="E699" i="28"/>
  <c r="F853" i="23"/>
  <c r="X851" i="19"/>
  <c r="B218" i="19"/>
  <c r="R218" i="19"/>
  <c r="B817" i="19"/>
  <c r="R817" i="19"/>
  <c r="X952" i="19"/>
  <c r="F954" i="23"/>
  <c r="Y219" i="19"/>
  <c r="X670" i="19"/>
  <c r="F672" i="23"/>
  <c r="T715" i="19"/>
  <c r="E717" i="23"/>
  <c r="B492" i="19"/>
  <c r="R492" i="19"/>
  <c r="G680" i="23"/>
  <c r="Y678" i="19"/>
  <c r="E860" i="23"/>
  <c r="T858" i="19"/>
  <c r="F941" i="23"/>
  <c r="B565" i="19"/>
  <c r="F258" i="23"/>
  <c r="E218" i="23"/>
  <c r="T216" i="19"/>
  <c r="R658" i="19"/>
  <c r="X537" i="19"/>
  <c r="F685" i="23"/>
  <c r="X367" i="19"/>
  <c r="F271" i="23"/>
  <c r="B517" i="19"/>
  <c r="R517" i="19"/>
  <c r="G326" i="23"/>
  <c r="Y324" i="19"/>
  <c r="E582" i="23"/>
  <c r="T580" i="19"/>
  <c r="E917" i="23"/>
  <c r="T915" i="19"/>
  <c r="T675" i="19"/>
  <c r="E677" i="23"/>
  <c r="G231" i="23"/>
  <c r="Y229" i="19"/>
  <c r="R874" i="19"/>
  <c r="B874" i="19"/>
  <c r="D6" i="16"/>
  <c r="B5" i="26" s="1"/>
  <c r="E385" i="3"/>
  <c r="E727" i="3"/>
  <c r="E423" i="3"/>
  <c r="E161" i="28"/>
  <c r="E44" i="28"/>
  <c r="D5" i="8"/>
  <c r="E575" i="3"/>
  <c r="E473" i="28"/>
  <c r="E233" i="3"/>
  <c r="E356" i="28"/>
  <c r="E613" i="3"/>
  <c r="E119" i="3"/>
  <c r="E239" i="28"/>
  <c r="E122" i="28"/>
  <c r="E461" i="3"/>
  <c r="E309" i="3"/>
  <c r="E512" i="28"/>
  <c r="E434" i="28"/>
  <c r="D7" i="6"/>
  <c r="E5" i="3"/>
  <c r="E794" i="28"/>
  <c r="E747" i="28"/>
  <c r="E700" i="28"/>
  <c r="E653" i="28"/>
  <c r="E606" i="28"/>
  <c r="E5" i="28"/>
  <c r="E651" i="3"/>
  <c r="E195" i="3"/>
  <c r="E317" i="28"/>
  <c r="C5" i="7"/>
  <c r="E81" i="3"/>
  <c r="E200" i="28"/>
  <c r="E689" i="3"/>
  <c r="E499" i="3"/>
  <c r="E347" i="3"/>
  <c r="E559" i="28"/>
  <c r="E83" i="28"/>
  <c r="E537" i="3"/>
  <c r="E395" i="28"/>
  <c r="E278" i="28"/>
  <c r="E271" i="3"/>
  <c r="E157" i="3"/>
  <c r="E43" i="3"/>
  <c r="G810" i="23"/>
  <c r="Y808" i="19"/>
  <c r="E584" i="23"/>
  <c r="T582" i="19"/>
  <c r="G255" i="23"/>
  <c r="Y253" i="19"/>
  <c r="X698" i="19"/>
  <c r="F700" i="23"/>
  <c r="F573" i="23"/>
  <c r="X571" i="19"/>
  <c r="X229" i="19"/>
  <c r="F231" i="23"/>
  <c r="F904" i="23"/>
  <c r="X902" i="19"/>
  <c r="G407" i="23"/>
  <c r="Y405" i="19"/>
  <c r="Y195" i="19"/>
  <c r="G197" i="23"/>
  <c r="G674" i="23"/>
  <c r="Y672" i="19"/>
  <c r="T613" i="19"/>
  <c r="E615" i="23"/>
  <c r="R837" i="19"/>
  <c r="B837" i="19"/>
  <c r="G259" i="23"/>
  <c r="Y257" i="19"/>
  <c r="G832" i="23"/>
  <c r="Y830" i="19"/>
  <c r="Y627" i="19"/>
  <c r="G629" i="23"/>
  <c r="F550" i="23"/>
  <c r="X548" i="19"/>
  <c r="V980" i="19"/>
  <c r="W980" i="19" s="1"/>
  <c r="G785" i="23"/>
  <c r="Y783" i="19"/>
  <c r="E908" i="23"/>
  <c r="T906" i="19"/>
  <c r="G742" i="23"/>
  <c r="Y740" i="19"/>
  <c r="E901" i="23"/>
  <c r="T899" i="19"/>
  <c r="F608" i="23"/>
  <c r="X606" i="19"/>
  <c r="F202" i="23"/>
  <c r="X200" i="19"/>
  <c r="T364" i="19"/>
  <c r="F246" i="23"/>
  <c r="X244" i="19"/>
  <c r="E1002" i="23"/>
  <c r="T1000" i="19"/>
  <c r="E317" i="23"/>
  <c r="T315" i="19"/>
  <c r="Y703" i="19"/>
  <c r="G705" i="23"/>
  <c r="T604" i="19"/>
  <c r="E606" i="23"/>
  <c r="Y240" i="19"/>
  <c r="G242" i="23"/>
  <c r="J647" i="23"/>
  <c r="U645" i="19"/>
  <c r="X962" i="19"/>
  <c r="F532" i="23"/>
  <c r="X530" i="19"/>
  <c r="E467" i="23"/>
  <c r="F536" i="23"/>
  <c r="X534" i="19"/>
  <c r="F693" i="23"/>
  <c r="X691" i="19"/>
  <c r="T434" i="19"/>
  <c r="E436" i="23"/>
  <c r="Y934" i="19"/>
  <c r="G936" i="23"/>
  <c r="X678" i="19"/>
  <c r="F680" i="23"/>
  <c r="G776" i="23"/>
  <c r="Y774" i="19"/>
  <c r="B745" i="19"/>
  <c r="R745" i="19"/>
  <c r="J628" i="23"/>
  <c r="F192" i="23"/>
  <c r="X190" i="19"/>
  <c r="F522" i="23"/>
  <c r="X520" i="19"/>
  <c r="R470" i="19"/>
  <c r="B559" i="19"/>
  <c r="B461" i="19"/>
  <c r="R461" i="19"/>
  <c r="X621" i="19"/>
  <c r="F623" i="23"/>
  <c r="F367" i="23"/>
  <c r="X365" i="19"/>
  <c r="G763" i="23"/>
  <c r="Y761" i="19"/>
  <c r="B728" i="19"/>
  <c r="R728" i="19"/>
  <c r="F819" i="23"/>
  <c r="X817" i="19"/>
  <c r="E884" i="23"/>
  <c r="T882" i="19"/>
  <c r="E918" i="23"/>
  <c r="T916" i="19"/>
  <c r="E629" i="23"/>
  <c r="T627" i="19"/>
  <c r="G848" i="23"/>
  <c r="Y846" i="19"/>
  <c r="R672" i="19"/>
  <c r="B672" i="19"/>
  <c r="G497" i="23"/>
  <c r="Y495" i="19"/>
  <c r="G250" i="23"/>
  <c r="Y248" i="19"/>
  <c r="V991" i="19"/>
  <c r="W991" i="19" s="1"/>
  <c r="J993" i="23"/>
  <c r="E341" i="23"/>
  <c r="T339" i="19"/>
  <c r="B230" i="19"/>
  <c r="R230" i="19"/>
  <c r="T534" i="19"/>
  <c r="E536" i="23"/>
  <c r="R208" i="19"/>
  <c r="B208" i="19"/>
  <c r="F563" i="23"/>
  <c r="X561" i="19"/>
  <c r="F790" i="23"/>
  <c r="X788" i="19"/>
  <c r="Y201" i="19"/>
  <c r="G203" i="23"/>
  <c r="R335" i="19"/>
  <c r="B335" i="19"/>
  <c r="B868" i="19"/>
  <c r="R868" i="19"/>
  <c r="E653" i="23"/>
  <c r="T651" i="19"/>
  <c r="T746" i="19"/>
  <c r="E748" i="23"/>
  <c r="G636" i="23"/>
  <c r="Y634" i="19"/>
  <c r="V844" i="19"/>
  <c r="W844" i="19" s="1"/>
  <c r="C846" i="23"/>
  <c r="A846" i="23"/>
  <c r="G698" i="23"/>
  <c r="Y696" i="19"/>
  <c r="E594" i="23"/>
  <c r="T592" i="19"/>
  <c r="F788" i="23"/>
  <c r="G723" i="23"/>
  <c r="Y721" i="19"/>
  <c r="G669" i="23"/>
  <c r="Y667" i="19"/>
  <c r="F774" i="23"/>
  <c r="X772" i="19"/>
  <c r="G844" i="23"/>
  <c r="Y842" i="19"/>
  <c r="G573" i="23"/>
  <c r="Y571" i="19"/>
  <c r="E877" i="23"/>
  <c r="T875" i="19"/>
  <c r="E689" i="23"/>
  <c r="T687" i="19"/>
  <c r="T849" i="19"/>
  <c r="X351" i="19"/>
  <c r="E212" i="23"/>
  <c r="T210" i="19"/>
  <c r="T267" i="19"/>
  <c r="E269" i="23"/>
  <c r="F930" i="23"/>
  <c r="X928" i="19"/>
  <c r="B495" i="19"/>
  <c r="R495" i="19"/>
  <c r="B722" i="19"/>
  <c r="R722" i="19"/>
  <c r="R568" i="19"/>
  <c r="B568" i="19"/>
  <c r="F422" i="23"/>
  <c r="X420" i="19"/>
  <c r="Y754" i="19"/>
  <c r="G756" i="23"/>
  <c r="A993" i="23"/>
  <c r="A678" i="23"/>
  <c r="B796" i="19"/>
  <c r="C854" i="23"/>
  <c r="V852" i="19"/>
  <c r="W852" i="19" s="1"/>
  <c r="E714" i="23"/>
  <c r="T633" i="19"/>
  <c r="E635" i="23"/>
  <c r="B748" i="19"/>
  <c r="F748" i="23"/>
  <c r="X746" i="19"/>
  <c r="F191" i="23"/>
  <c r="X189" i="19"/>
  <c r="F570" i="23"/>
  <c r="X568" i="19"/>
  <c r="R772" i="19"/>
  <c r="B772" i="19"/>
  <c r="E323" i="23"/>
  <c r="T321" i="19"/>
  <c r="G877" i="23"/>
  <c r="Y875" i="19"/>
  <c r="Y687" i="19"/>
  <c r="G689" i="23"/>
  <c r="E305" i="23"/>
  <c r="T303" i="19"/>
  <c r="F325" i="23"/>
  <c r="X323" i="19"/>
  <c r="F989" i="23"/>
  <c r="F870" i="23"/>
  <c r="X868" i="19"/>
  <c r="Y666" i="19"/>
  <c r="G668" i="23"/>
  <c r="G585" i="23"/>
  <c r="Y927" i="19"/>
  <c r="Y559" i="19"/>
  <c r="X923" i="19"/>
  <c r="C952" i="23"/>
  <c r="X777" i="19"/>
  <c r="T868" i="19"/>
  <c r="Y848" i="19"/>
  <c r="T665" i="19"/>
  <c r="X413" i="19"/>
  <c r="X672" i="19"/>
  <c r="R571" i="19"/>
  <c r="Y741" i="19"/>
  <c r="E765" i="23"/>
  <c r="X600" i="19"/>
  <c r="E547" i="23"/>
  <c r="T601" i="19"/>
  <c r="X373" i="19"/>
  <c r="F343" i="23"/>
  <c r="X236" i="19"/>
  <c r="F389" i="23"/>
  <c r="Y606" i="19"/>
  <c r="B942" i="19"/>
  <c r="C108" i="28"/>
  <c r="C637" i="3"/>
  <c r="C295" i="3"/>
  <c r="C498" i="28"/>
  <c r="C420" i="28"/>
  <c r="C181" i="3"/>
  <c r="C303" i="28"/>
  <c r="C67" i="3"/>
  <c r="C186" i="28"/>
  <c r="C485" i="3"/>
  <c r="C333" i="3"/>
  <c r="C545" i="28"/>
  <c r="C69" i="28"/>
  <c r="A147" i="7"/>
  <c r="B31" i="8" s="1"/>
  <c r="C675" i="3"/>
  <c r="C827" i="28"/>
  <c r="C780" i="28"/>
  <c r="C733" i="28"/>
  <c r="C686" i="28"/>
  <c r="C639" i="28"/>
  <c r="C592" i="28"/>
  <c r="C371" i="3"/>
  <c r="C713" i="3"/>
  <c r="C523" i="3"/>
  <c r="C257" i="3"/>
  <c r="C381" i="28"/>
  <c r="C143" i="3"/>
  <c r="C29" i="3"/>
  <c r="C264" i="28"/>
  <c r="C30" i="28"/>
  <c r="C219" i="3"/>
  <c r="C342" i="28"/>
  <c r="C409" i="3"/>
  <c r="C147" i="28"/>
  <c r="C751" i="3"/>
  <c r="C561" i="3"/>
  <c r="C459" i="28"/>
  <c r="C447" i="3"/>
  <c r="C599" i="3"/>
  <c r="C225" i="28"/>
  <c r="C105" i="3"/>
  <c r="V950" i="19"/>
  <c r="W950" i="19" s="1"/>
  <c r="T676" i="19"/>
  <c r="X736" i="19"/>
  <c r="Y660" i="19"/>
  <c r="Y545" i="19"/>
  <c r="T628" i="19"/>
  <c r="F599" i="23"/>
  <c r="Y492" i="19"/>
  <c r="R520" i="19"/>
  <c r="E192" i="23"/>
  <c r="T233" i="19"/>
  <c r="Y511" i="19"/>
  <c r="C189" i="3"/>
  <c r="C311" i="28"/>
  <c r="C683" i="3"/>
  <c r="A153" i="7"/>
  <c r="B39" i="8" s="1"/>
  <c r="C835" i="28"/>
  <c r="C788" i="28"/>
  <c r="C741" i="28"/>
  <c r="C694" i="28"/>
  <c r="C647" i="28"/>
  <c r="C600" i="28"/>
  <c r="C379" i="3"/>
  <c r="C721" i="3"/>
  <c r="C531" i="3"/>
  <c r="C265" i="3"/>
  <c r="C389" i="28"/>
  <c r="C151" i="3"/>
  <c r="C37" i="3"/>
  <c r="C272" i="28"/>
  <c r="C417" i="3"/>
  <c r="C155" i="28"/>
  <c r="C38" i="28"/>
  <c r="C759" i="3"/>
  <c r="C569" i="3"/>
  <c r="C467" i="28"/>
  <c r="C607" i="3"/>
  <c r="C113" i="3"/>
  <c r="C233" i="28"/>
  <c r="C645" i="3"/>
  <c r="C227" i="3"/>
  <c r="C350" i="28"/>
  <c r="C116" i="28"/>
  <c r="C455" i="3"/>
  <c r="D2" i="20"/>
  <c r="C428" i="28"/>
  <c r="C194" i="28"/>
  <c r="C341" i="3"/>
  <c r="C506" i="28"/>
  <c r="C77" i="28"/>
  <c r="C493" i="3"/>
  <c r="C303" i="3"/>
  <c r="C75" i="3"/>
  <c r="C553" i="28"/>
  <c r="X317" i="19"/>
  <c r="G900" i="23"/>
  <c r="G300" i="23"/>
  <c r="B612" i="19"/>
  <c r="X589" i="19"/>
  <c r="R978" i="19"/>
  <c r="E548" i="23"/>
  <c r="T935" i="19"/>
  <c r="C789" i="23"/>
  <c r="T998" i="19"/>
  <c r="Y937" i="19"/>
  <c r="F971" i="23"/>
  <c r="Y868" i="19"/>
  <c r="X810" i="19"/>
  <c r="A992" i="23"/>
  <c r="E828" i="23"/>
  <c r="Y992" i="19"/>
  <c r="F983" i="23"/>
  <c r="Y840" i="19"/>
  <c r="J894" i="23"/>
  <c r="X774" i="19"/>
  <c r="B706" i="19"/>
  <c r="Y669" i="19"/>
  <c r="Y775" i="19"/>
  <c r="F775" i="23"/>
  <c r="B514" i="19"/>
  <c r="X649" i="19"/>
  <c r="T730" i="19"/>
  <c r="X583" i="19"/>
  <c r="X447" i="19"/>
  <c r="X624" i="19"/>
  <c r="Y460" i="19"/>
  <c r="B460" i="19"/>
  <c r="Y373" i="19"/>
  <c r="Y347" i="19"/>
  <c r="R259" i="19"/>
  <c r="T350" i="19"/>
  <c r="Y206" i="19"/>
  <c r="F318" i="23"/>
  <c r="Y200" i="19"/>
  <c r="T741" i="19"/>
  <c r="T554" i="19"/>
  <c r="T436" i="19"/>
  <c r="T523" i="19"/>
  <c r="B465" i="19"/>
  <c r="E310" i="23"/>
  <c r="T259" i="19"/>
  <c r="R926" i="19"/>
  <c r="F421" i="23"/>
  <c r="F809" i="23"/>
  <c r="T388" i="19"/>
  <c r="Y787" i="19"/>
  <c r="F1002" i="23"/>
  <c r="Y788" i="19"/>
  <c r="R609" i="19"/>
  <c r="G510" i="23"/>
  <c r="G411" i="23"/>
  <c r="E425" i="23"/>
  <c r="X899" i="19"/>
  <c r="X891" i="19"/>
  <c r="J992" i="23"/>
  <c r="Y800" i="19"/>
  <c r="X882" i="19"/>
  <c r="Y819" i="19"/>
  <c r="X511" i="19"/>
  <c r="Y539" i="19"/>
  <c r="Y671" i="19"/>
  <c r="X438" i="19"/>
  <c r="X812" i="19"/>
  <c r="T493" i="19"/>
  <c r="T541" i="19"/>
  <c r="T253" i="19"/>
  <c r="B854" i="19"/>
  <c r="X722" i="19"/>
  <c r="T827" i="19"/>
  <c r="E316" i="23"/>
  <c r="E520" i="23"/>
  <c r="R538" i="19"/>
  <c r="Y999" i="19"/>
  <c r="Y969" i="19"/>
  <c r="X915" i="19"/>
  <c r="Y897" i="19"/>
  <c r="X718" i="19"/>
  <c r="B600" i="19"/>
  <c r="Y632" i="19"/>
  <c r="X610" i="19"/>
  <c r="X582" i="19"/>
  <c r="T618" i="19"/>
  <c r="Y614" i="19"/>
  <c r="Y288" i="19"/>
  <c r="X333" i="19"/>
  <c r="T914" i="19"/>
  <c r="F686" i="23"/>
  <c r="R295" i="19"/>
  <c r="B323" i="19"/>
  <c r="G29" i="8"/>
  <c r="K326" i="6"/>
  <c r="D145" i="7"/>
  <c r="T269" i="19"/>
  <c r="B898" i="19"/>
  <c r="T678" i="19"/>
  <c r="T938" i="19"/>
  <c r="T669" i="19"/>
  <c r="Y698" i="19"/>
  <c r="B764" i="19"/>
  <c r="R594" i="19"/>
  <c r="T640" i="19"/>
  <c r="P741" i="19"/>
  <c r="Y388" i="19"/>
  <c r="X487" i="19"/>
  <c r="X433" i="19"/>
  <c r="T286" i="19"/>
  <c r="R595" i="19"/>
  <c r="X539" i="19"/>
  <c r="R564" i="19"/>
  <c r="R820" i="19"/>
  <c r="B862" i="19"/>
  <c r="X947" i="19"/>
  <c r="A870" i="23"/>
  <c r="B842" i="19"/>
  <c r="J870" i="23"/>
  <c r="X754" i="19"/>
  <c r="T639" i="19"/>
  <c r="X627" i="19"/>
  <c r="X488" i="19"/>
  <c r="T986" i="19"/>
  <c r="T892" i="19"/>
  <c r="T718" i="19"/>
  <c r="Y630" i="19"/>
  <c r="T622" i="19"/>
  <c r="V765" i="19"/>
  <c r="W765" i="19" s="1"/>
  <c r="T420" i="19"/>
  <c r="AP633" i="19"/>
  <c r="J743" i="23"/>
  <c r="X594" i="19"/>
  <c r="Y396" i="19"/>
  <c r="B443" i="19"/>
  <c r="Y325" i="19"/>
  <c r="R750" i="19"/>
  <c r="B640" i="19"/>
  <c r="Y646" i="19"/>
  <c r="R752" i="19"/>
  <c r="T282" i="19"/>
  <c r="T939" i="19"/>
  <c r="B435" i="19"/>
  <c r="H39" i="8"/>
  <c r="Q683" i="3"/>
  <c r="Q493" i="3"/>
  <c r="Q341" i="3"/>
  <c r="AA553" i="28"/>
  <c r="AA77" i="28"/>
  <c r="K334" i="6"/>
  <c r="D153" i="7"/>
  <c r="Q379" i="3"/>
  <c r="Q721" i="3"/>
  <c r="Q531" i="3"/>
  <c r="Q265" i="3"/>
  <c r="AA389" i="28"/>
  <c r="Q151" i="3"/>
  <c r="Q37" i="3"/>
  <c r="AA272" i="28"/>
  <c r="Q417" i="3"/>
  <c r="AA155" i="28"/>
  <c r="AA38" i="28"/>
  <c r="Q759" i="3"/>
  <c r="Q569" i="3"/>
  <c r="AA467" i="28"/>
  <c r="Q227" i="3"/>
  <c r="AA350" i="28"/>
  <c r="Q607" i="3"/>
  <c r="Q113" i="3"/>
  <c r="AA233" i="28"/>
  <c r="Q455" i="3"/>
  <c r="Q189" i="3"/>
  <c r="AA311" i="28"/>
  <c r="AA116" i="28"/>
  <c r="F2" i="20"/>
  <c r="Q645" i="3"/>
  <c r="Q303" i="3"/>
  <c r="AA506" i="28"/>
  <c r="AA428" i="28"/>
  <c r="AA694" i="28"/>
  <c r="AA788" i="28"/>
  <c r="AA647" i="28"/>
  <c r="AA741" i="28"/>
  <c r="AA835" i="28"/>
  <c r="AA600" i="28"/>
  <c r="AA194" i="28"/>
  <c r="Q75" i="3"/>
  <c r="Y436" i="19"/>
  <c r="R981" i="19"/>
  <c r="J75" i="3"/>
  <c r="J683" i="3"/>
  <c r="J379" i="3"/>
  <c r="J721" i="3"/>
  <c r="J531" i="3"/>
  <c r="J265" i="3"/>
  <c r="J151" i="3"/>
  <c r="J37" i="3"/>
  <c r="J417" i="3"/>
  <c r="J759" i="3"/>
  <c r="J569" i="3"/>
  <c r="J227" i="3"/>
  <c r="J303" i="3"/>
  <c r="J607" i="3"/>
  <c r="J113" i="3"/>
  <c r="J455" i="3"/>
  <c r="J645" i="3"/>
  <c r="J341" i="3"/>
  <c r="J493" i="3"/>
  <c r="J189" i="3"/>
  <c r="R956" i="19"/>
  <c r="Y317" i="19"/>
  <c r="Y863" i="19"/>
  <c r="B775" i="19"/>
  <c r="X821" i="19"/>
  <c r="R997" i="19"/>
  <c r="F860" i="23"/>
  <c r="X763" i="19"/>
  <c r="AP765" i="19"/>
  <c r="T662" i="19"/>
  <c r="B701" i="19"/>
  <c r="J635" i="23"/>
  <c r="T406" i="19"/>
  <c r="Y384" i="19"/>
  <c r="R252" i="19"/>
  <c r="R964" i="19"/>
  <c r="B257" i="19"/>
  <c r="J687" i="23"/>
  <c r="A978" i="23"/>
  <c r="K978" i="23" s="1"/>
  <c r="J795" i="23"/>
  <c r="U685" i="19"/>
  <c r="V808" i="19"/>
  <c r="W808" i="19" s="1"/>
  <c r="AP646" i="19"/>
  <c r="I261" i="23"/>
  <c r="V741" i="19"/>
  <c r="W741" i="19" s="1"/>
  <c r="C743" i="23"/>
  <c r="V567" i="19"/>
  <c r="W567" i="19" s="1"/>
  <c r="V669" i="19"/>
  <c r="W669" i="19" s="1"/>
  <c r="I511" i="23"/>
  <c r="J671" i="23"/>
  <c r="V963" i="19"/>
  <c r="W963" i="19" s="1"/>
  <c r="I429" i="23"/>
  <c r="U975" i="19"/>
  <c r="V663" i="19"/>
  <c r="W663" i="19" s="1"/>
  <c r="J977" i="23"/>
  <c r="AP835" i="19"/>
  <c r="U955" i="19"/>
  <c r="U739" i="19"/>
  <c r="U573" i="19"/>
  <c r="C999" i="23"/>
  <c r="P955" i="19"/>
  <c r="A626" i="23"/>
  <c r="AP963" i="19"/>
  <c r="U820" i="19"/>
  <c r="P826" i="19"/>
  <c r="V826" i="19"/>
  <c r="W826" i="19" s="1"/>
  <c r="A815" i="23"/>
  <c r="J980" i="23"/>
  <c r="V955" i="19"/>
  <c r="W955" i="19" s="1"/>
  <c r="V835" i="19"/>
  <c r="W835" i="19" s="1"/>
  <c r="J686" i="23"/>
  <c r="J815" i="23"/>
  <c r="V804" i="19"/>
  <c r="W804" i="19" s="1"/>
  <c r="J822" i="23"/>
  <c r="U963" i="19"/>
  <c r="P718" i="19"/>
  <c r="J965" i="23"/>
  <c r="AP718" i="19"/>
  <c r="A585" i="23"/>
  <c r="U826" i="19"/>
  <c r="J769" i="23"/>
  <c r="A981" i="23"/>
  <c r="J830" i="23"/>
  <c r="J828" i="23"/>
  <c r="C873" i="23"/>
  <c r="J847" i="23"/>
  <c r="V654" i="19"/>
  <c r="W654" i="19" s="1"/>
  <c r="P871" i="19"/>
  <c r="AP573" i="19"/>
  <c r="A672" i="23"/>
  <c r="C815" i="23"/>
  <c r="U684" i="19"/>
  <c r="C573" i="23"/>
  <c r="V997" i="19"/>
  <c r="W997" i="19" s="1"/>
  <c r="J877" i="23"/>
  <c r="C626" i="23"/>
  <c r="V854" i="19"/>
  <c r="W854" i="19" s="1"/>
  <c r="V624" i="19"/>
  <c r="W624" i="19" s="1"/>
  <c r="C856" i="23"/>
  <c r="AP997" i="19"/>
  <c r="J999" i="23"/>
  <c r="A847" i="23"/>
  <c r="J856" i="23"/>
  <c r="J708" i="23"/>
  <c r="V571" i="19"/>
  <c r="W571" i="19" s="1"/>
  <c r="J626" i="23"/>
  <c r="V615" i="19"/>
  <c r="W615" i="19" s="1"/>
  <c r="V936" i="19"/>
  <c r="W936" i="19" s="1"/>
  <c r="V809" i="19"/>
  <c r="W809" i="19" s="1"/>
  <c r="AP834" i="19"/>
  <c r="A624" i="23"/>
  <c r="C925" i="23"/>
  <c r="C981" i="23"/>
  <c r="U936" i="19"/>
  <c r="A792" i="23"/>
  <c r="J811" i="23"/>
  <c r="C836" i="23"/>
  <c r="AP684" i="19"/>
  <c r="U622" i="19"/>
  <c r="V923" i="19"/>
  <c r="W923" i="19" s="1"/>
  <c r="V875" i="19"/>
  <c r="W875" i="19" s="1"/>
  <c r="J938" i="23"/>
  <c r="J792" i="23"/>
  <c r="C769" i="23"/>
  <c r="V684" i="19"/>
  <c r="W684" i="19" s="1"/>
  <c r="A686" i="23"/>
  <c r="J624" i="23"/>
  <c r="U842" i="19"/>
  <c r="J982" i="23"/>
  <c r="U828" i="19"/>
  <c r="C805" i="23"/>
  <c r="AP574" i="19"/>
  <c r="AP842" i="19"/>
  <c r="P978" i="19"/>
  <c r="C821" i="23"/>
  <c r="AP803" i="19"/>
  <c r="I540" i="23"/>
  <c r="J576" i="23"/>
  <c r="V978" i="19"/>
  <c r="W978" i="19" s="1"/>
  <c r="V803" i="19"/>
  <c r="W803" i="19" s="1"/>
  <c r="C634" i="23"/>
  <c r="J695" i="23"/>
  <c r="J789" i="23"/>
  <c r="U765" i="19"/>
  <c r="V902" i="19"/>
  <c r="W902" i="19" s="1"/>
  <c r="J767" i="23"/>
  <c r="A628" i="23"/>
  <c r="V598" i="19"/>
  <c r="W598" i="19" s="1"/>
  <c r="P916" i="19"/>
  <c r="C904" i="23"/>
  <c r="J952" i="23"/>
  <c r="J904" i="23"/>
  <c r="C928" i="23"/>
  <c r="V626" i="19"/>
  <c r="W626" i="19" s="1"/>
  <c r="P598" i="19"/>
  <c r="AP775" i="19"/>
  <c r="A982" i="23"/>
  <c r="C678" i="23"/>
  <c r="P687" i="19"/>
  <c r="C600" i="23"/>
  <c r="AP675" i="19"/>
  <c r="C982" i="23"/>
  <c r="V871" i="19"/>
  <c r="W871" i="19" s="1"/>
  <c r="A789" i="23"/>
  <c r="V676" i="19"/>
  <c r="W676" i="19" s="1"/>
  <c r="C689" i="23"/>
  <c r="U574" i="19"/>
  <c r="C893" i="23"/>
  <c r="U978" i="19"/>
  <c r="V772" i="19"/>
  <c r="W772" i="19" s="1"/>
  <c r="V819" i="19"/>
  <c r="W819" i="19" s="1"/>
  <c r="J836" i="23"/>
  <c r="V845" i="19"/>
  <c r="W845" i="19" s="1"/>
  <c r="AP854" i="19"/>
  <c r="J741" i="23"/>
  <c r="A708" i="23"/>
  <c r="AP767" i="19"/>
  <c r="J600" i="23"/>
  <c r="AP615" i="19"/>
  <c r="V979" i="19"/>
  <c r="W979" i="19" s="1"/>
  <c r="V820" i="19"/>
  <c r="W820" i="19" s="1"/>
  <c r="J873" i="23"/>
  <c r="U853" i="19"/>
  <c r="P804" i="19"/>
  <c r="J672" i="23"/>
  <c r="J692" i="23"/>
  <c r="J575" i="23"/>
  <c r="C665" i="23"/>
  <c r="V646" i="19"/>
  <c r="W646" i="19" s="1"/>
  <c r="C720" i="23"/>
  <c r="AP875" i="19"/>
  <c r="C847" i="23"/>
  <c r="V853" i="19"/>
  <c r="W853" i="19" s="1"/>
  <c r="V925" i="19"/>
  <c r="W925" i="19" s="1"/>
  <c r="V842" i="19"/>
  <c r="W842" i="19" s="1"/>
  <c r="V837" i="19"/>
  <c r="W837" i="19" s="1"/>
  <c r="U990" i="19"/>
  <c r="J821" i="23"/>
  <c r="A855" i="23"/>
  <c r="V951" i="19"/>
  <c r="W951" i="19" s="1"/>
  <c r="P571" i="19"/>
  <c r="J665" i="23"/>
  <c r="J585" i="23"/>
  <c r="V708" i="19"/>
  <c r="W708" i="19" s="1"/>
  <c r="A656" i="23"/>
  <c r="V722" i="19"/>
  <c r="W722" i="19" s="1"/>
  <c r="A569" i="23"/>
  <c r="U809" i="19"/>
  <c r="J720" i="23"/>
  <c r="K720" i="23" s="1"/>
  <c r="J981" i="23"/>
  <c r="V718" i="19"/>
  <c r="W718" i="19" s="1"/>
  <c r="A985" i="23"/>
  <c r="V990" i="19"/>
  <c r="W990" i="19" s="1"/>
  <c r="J855" i="23"/>
  <c r="A953" i="23"/>
  <c r="V813" i="19"/>
  <c r="W813" i="19" s="1"/>
  <c r="J644" i="23"/>
  <c r="P669" i="19"/>
  <c r="J710" i="23"/>
  <c r="J656" i="23"/>
  <c r="A724" i="23"/>
  <c r="J569" i="23"/>
  <c r="V622" i="19"/>
  <c r="W622" i="19" s="1"/>
  <c r="V573" i="19"/>
  <c r="W573" i="19" s="1"/>
  <c r="AP860" i="19"/>
  <c r="I480" i="23"/>
  <c r="A904" i="23"/>
  <c r="P984" i="19"/>
  <c r="J918" i="23"/>
  <c r="C917" i="23"/>
  <c r="V740" i="19"/>
  <c r="W740" i="19" s="1"/>
  <c r="P649" i="19"/>
  <c r="C742" i="23"/>
  <c r="P843" i="19"/>
  <c r="V649" i="19"/>
  <c r="W649" i="19" s="1"/>
  <c r="J714" i="23"/>
  <c r="U836" i="19"/>
  <c r="V860" i="19"/>
  <c r="W860" i="19" s="1"/>
  <c r="AP595" i="19"/>
  <c r="A917" i="23"/>
  <c r="J921" i="23"/>
  <c r="J669" i="23"/>
  <c r="C606" i="23"/>
  <c r="J597" i="23"/>
  <c r="J606" i="23"/>
  <c r="J561" i="23"/>
  <c r="C750" i="23"/>
  <c r="A1000" i="23"/>
  <c r="V984" i="19"/>
  <c r="W984" i="19" s="1"/>
  <c r="J917" i="23"/>
  <c r="C918" i="23"/>
  <c r="V612" i="19"/>
  <c r="W612" i="19" s="1"/>
  <c r="U712" i="19"/>
  <c r="V712" i="19"/>
  <c r="W712" i="19" s="1"/>
  <c r="C651" i="23"/>
  <c r="AP740" i="19"/>
  <c r="C986" i="23"/>
  <c r="J742" i="23"/>
  <c r="V717" i="19"/>
  <c r="W717" i="19" s="1"/>
  <c r="V592" i="19"/>
  <c r="W592" i="19" s="1"/>
  <c r="J651" i="23"/>
  <c r="A778" i="23"/>
  <c r="A719" i="23"/>
  <c r="P594" i="19"/>
  <c r="J986" i="23"/>
  <c r="A838" i="23"/>
  <c r="U776" i="19"/>
  <c r="C719" i="23"/>
  <c r="A579" i="23"/>
  <c r="K579" i="23" s="1"/>
  <c r="C1000" i="23"/>
  <c r="U927" i="19"/>
  <c r="J838" i="23"/>
  <c r="V776" i="19"/>
  <c r="W776" i="19" s="1"/>
  <c r="J719" i="23"/>
  <c r="P748" i="19"/>
  <c r="P927" i="19"/>
  <c r="V998" i="19"/>
  <c r="W998" i="19" s="1"/>
  <c r="J929" i="23"/>
  <c r="J778" i="23"/>
  <c r="A593" i="23"/>
  <c r="V591" i="19"/>
  <c r="W591" i="19" s="1"/>
  <c r="C921" i="23"/>
  <c r="P604" i="19"/>
  <c r="U591" i="19"/>
  <c r="P712" i="19"/>
  <c r="V836" i="19"/>
  <c r="W836" i="19" s="1"/>
  <c r="J1000" i="23"/>
  <c r="V919" i="19"/>
  <c r="W919" i="19" s="1"/>
  <c r="V595" i="19"/>
  <c r="W595" i="19" s="1"/>
  <c r="V604" i="19"/>
  <c r="W604" i="19" s="1"/>
  <c r="J593" i="23"/>
  <c r="V915" i="19"/>
  <c r="W915" i="19" s="1"/>
  <c r="R859" i="19"/>
  <c r="Y997" i="19"/>
  <c r="X894" i="19"/>
  <c r="X514" i="19"/>
  <c r="T663" i="19"/>
  <c r="R992" i="19"/>
  <c r="B957" i="19"/>
  <c r="G422" i="23"/>
  <c r="R582" i="19"/>
  <c r="R531" i="19"/>
  <c r="B363" i="19"/>
  <c r="B401" i="19"/>
  <c r="Y876" i="19"/>
  <c r="G778" i="23"/>
  <c r="B807" i="19"/>
  <c r="B762" i="19"/>
  <c r="X526" i="19"/>
  <c r="Y447" i="19"/>
  <c r="R439" i="19"/>
  <c r="T499" i="19"/>
  <c r="T503" i="19"/>
  <c r="Y595" i="19"/>
  <c r="Y523" i="19"/>
  <c r="E353" i="23"/>
  <c r="Y963" i="19"/>
  <c r="T475" i="19"/>
  <c r="X782" i="19"/>
  <c r="Y674" i="19"/>
  <c r="T621" i="19"/>
  <c r="X637" i="19"/>
  <c r="F341" i="23"/>
  <c r="Y431" i="19"/>
  <c r="AP828" i="19"/>
  <c r="V828" i="19"/>
  <c r="W828" i="19" s="1"/>
  <c r="T274" i="19"/>
  <c r="T357" i="19"/>
  <c r="T927" i="19"/>
  <c r="B740" i="19"/>
  <c r="X935" i="19"/>
  <c r="T711" i="19"/>
  <c r="Y620" i="19"/>
  <c r="B343" i="19"/>
  <c r="T331" i="19"/>
  <c r="T440" i="19"/>
  <c r="R398" i="19"/>
  <c r="T873" i="19"/>
  <c r="X651" i="19"/>
  <c r="E696" i="23"/>
  <c r="Y987" i="19"/>
  <c r="X879" i="19"/>
  <c r="R902" i="19"/>
  <c r="E550" i="23"/>
  <c r="Y507" i="19"/>
  <c r="Y491" i="19"/>
  <c r="G428" i="23"/>
  <c r="B205" i="19"/>
  <c r="X280" i="19"/>
  <c r="V748" i="19"/>
  <c r="W748" i="19" s="1"/>
  <c r="B999" i="19"/>
  <c r="G621" i="23"/>
  <c r="X210" i="19"/>
  <c r="B471" i="19"/>
  <c r="B261" i="19"/>
  <c r="Y544" i="19"/>
  <c r="T973" i="19"/>
  <c r="Y915" i="19"/>
  <c r="X819" i="19"/>
  <c r="Y780" i="19"/>
  <c r="T609" i="19"/>
  <c r="T492" i="19"/>
  <c r="R220" i="19"/>
  <c r="F377" i="23"/>
  <c r="J750" i="23"/>
  <c r="B930" i="19"/>
  <c r="X741" i="19"/>
  <c r="X457" i="19"/>
  <c r="Y512" i="19"/>
  <c r="T445" i="19"/>
  <c r="T230" i="19"/>
  <c r="Y304" i="19"/>
  <c r="Y499" i="19"/>
  <c r="Y682" i="19"/>
  <c r="Y851" i="19"/>
  <c r="T629" i="19"/>
  <c r="E775" i="23"/>
  <c r="F287" i="23"/>
  <c r="B202" i="19"/>
  <c r="U832" i="19"/>
  <c r="T964" i="19"/>
  <c r="T808" i="19"/>
  <c r="X503" i="19"/>
  <c r="X493" i="19"/>
  <c r="T378" i="19"/>
  <c r="T206" i="19"/>
  <c r="U577" i="19"/>
  <c r="T264" i="19"/>
  <c r="B939" i="19"/>
  <c r="R986" i="19"/>
  <c r="T840" i="19"/>
  <c r="X778" i="19"/>
  <c r="T682" i="19"/>
  <c r="E759" i="23"/>
  <c r="Y702" i="19"/>
  <c r="R193" i="19"/>
  <c r="B193" i="19"/>
  <c r="R377" i="19"/>
  <c r="B377" i="19"/>
  <c r="R927" i="19"/>
  <c r="B927" i="19"/>
  <c r="V690" i="19"/>
  <c r="W690" i="19" s="1"/>
  <c r="R618" i="19"/>
  <c r="C561" i="23"/>
  <c r="V645" i="19"/>
  <c r="W645" i="19" s="1"/>
  <c r="T498" i="19"/>
  <c r="X702" i="19"/>
  <c r="J611" i="23"/>
  <c r="A710" i="23"/>
  <c r="X547" i="19"/>
  <c r="X523" i="19"/>
  <c r="T597" i="19"/>
  <c r="R692" i="19"/>
  <c r="X466" i="19"/>
  <c r="Y345" i="19"/>
  <c r="X299" i="19"/>
  <c r="X551" i="19"/>
  <c r="A759" i="23"/>
  <c r="P832" i="19"/>
  <c r="B729" i="19"/>
  <c r="B622" i="19"/>
  <c r="B449" i="19"/>
  <c r="Y364" i="19"/>
  <c r="R403" i="19"/>
  <c r="R963" i="19"/>
  <c r="B963" i="19"/>
  <c r="G678" i="23"/>
  <c r="T754" i="19"/>
  <c r="X642" i="19"/>
  <c r="X880" i="19"/>
  <c r="X983" i="19"/>
  <c r="T992" i="19"/>
  <c r="R913" i="19"/>
  <c r="R911" i="19"/>
  <c r="B945" i="19"/>
  <c r="T851" i="19"/>
  <c r="B831" i="19"/>
  <c r="T648" i="19"/>
  <c r="Y747" i="19"/>
  <c r="V767" i="19"/>
  <c r="W767" i="19" s="1"/>
  <c r="C672" i="23"/>
  <c r="U690" i="19"/>
  <c r="J678" i="23"/>
  <c r="T510" i="19"/>
  <c r="P645" i="19"/>
  <c r="C710" i="23"/>
  <c r="X592" i="19"/>
  <c r="R532" i="19"/>
  <c r="G474" i="23"/>
  <c r="Y590" i="19"/>
  <c r="B516" i="19"/>
  <c r="T427" i="19"/>
  <c r="Y424" i="19"/>
  <c r="X437" i="19"/>
  <c r="Y303" i="19"/>
  <c r="X294" i="19"/>
  <c r="Y242" i="19"/>
  <c r="T428" i="19"/>
  <c r="V832" i="19"/>
  <c r="W832" i="19" s="1"/>
  <c r="R937" i="19"/>
  <c r="G975" i="23"/>
  <c r="X706" i="19"/>
  <c r="B780" i="19"/>
  <c r="R855" i="19"/>
  <c r="C596" i="23"/>
  <c r="X248" i="19"/>
  <c r="X234" i="19"/>
  <c r="E523" i="23"/>
  <c r="C752" i="23"/>
  <c r="P923" i="19"/>
  <c r="X264" i="19"/>
  <c r="P559" i="19"/>
  <c r="R478" i="19"/>
  <c r="Y261" i="19"/>
  <c r="R195" i="19"/>
  <c r="J957" i="23"/>
  <c r="T904" i="19"/>
  <c r="J826" i="23"/>
  <c r="X781" i="19"/>
  <c r="B835" i="19"/>
  <c r="X630" i="19"/>
  <c r="Y643" i="19"/>
  <c r="Y691" i="19"/>
  <c r="T724" i="19"/>
  <c r="B491" i="19"/>
  <c r="Y782" i="19"/>
  <c r="G511" i="23"/>
  <c r="J634" i="23"/>
  <c r="V687" i="19"/>
  <c r="W687" i="19" s="1"/>
  <c r="X586" i="19"/>
  <c r="X628" i="19"/>
  <c r="C614" i="23"/>
  <c r="T453" i="19"/>
  <c r="Y602" i="19"/>
  <c r="R537" i="19"/>
  <c r="X353" i="19"/>
  <c r="X439" i="19"/>
  <c r="Y504" i="19"/>
  <c r="T265" i="19"/>
  <c r="C617" i="23"/>
  <c r="X463" i="19"/>
  <c r="X421" i="19"/>
  <c r="X304" i="19"/>
  <c r="AP612" i="19"/>
  <c r="T866" i="19"/>
  <c r="X729" i="19"/>
  <c r="Y744" i="19"/>
  <c r="Y535" i="19"/>
  <c r="T959" i="19"/>
  <c r="T819" i="19"/>
  <c r="X800" i="19"/>
  <c r="T790" i="19"/>
  <c r="B556" i="19"/>
  <c r="J689" i="23"/>
  <c r="C635" i="23"/>
  <c r="X609" i="19"/>
  <c r="Y427" i="19"/>
  <c r="T565" i="19"/>
  <c r="Y359" i="19"/>
  <c r="Y506" i="19"/>
  <c r="G437" i="23"/>
  <c r="X409" i="19"/>
  <c r="Y395" i="19"/>
  <c r="Y444" i="19"/>
  <c r="Y341" i="19"/>
  <c r="J617" i="23"/>
  <c r="T263" i="19"/>
  <c r="X297" i="19"/>
  <c r="T930" i="19"/>
  <c r="T775" i="19"/>
  <c r="B975" i="19"/>
  <c r="R304" i="19"/>
  <c r="B304" i="19"/>
  <c r="B799" i="19"/>
  <c r="R863" i="19"/>
  <c r="Y904" i="19"/>
  <c r="E763" i="23"/>
  <c r="T505" i="19"/>
  <c r="T439" i="19"/>
  <c r="X371" i="19"/>
  <c r="T509" i="19"/>
  <c r="F232" i="23"/>
  <c r="P950" i="19"/>
  <c r="B525" i="19"/>
  <c r="B553" i="19"/>
  <c r="V834" i="19"/>
  <c r="W834" i="19" s="1"/>
  <c r="J846" i="23"/>
  <c r="Y824" i="19"/>
  <c r="B814" i="19"/>
  <c r="V778" i="19"/>
  <c r="W778" i="19" s="1"/>
  <c r="V757" i="19"/>
  <c r="W757" i="19" s="1"/>
  <c r="J752" i="23"/>
  <c r="AP693" i="19"/>
  <c r="A665" i="23"/>
  <c r="AP571" i="19"/>
  <c r="T713" i="19"/>
  <c r="T610" i="19"/>
  <c r="C725" i="23"/>
  <c r="E712" i="23"/>
  <c r="Y363" i="19"/>
  <c r="X478" i="19"/>
  <c r="B477" i="19"/>
  <c r="T353" i="19"/>
  <c r="R407" i="19"/>
  <c r="Y291" i="19"/>
  <c r="R226" i="19"/>
  <c r="T208" i="19"/>
  <c r="B598" i="19"/>
  <c r="T595" i="19"/>
  <c r="C628" i="23"/>
  <c r="R694" i="19"/>
  <c r="Y490" i="19"/>
  <c r="B787" i="19"/>
  <c r="P778" i="19"/>
  <c r="V693" i="19"/>
  <c r="W693" i="19" s="1"/>
  <c r="J725" i="23"/>
  <c r="T317" i="19"/>
  <c r="Y222" i="19"/>
  <c r="X288" i="19"/>
  <c r="T198" i="19"/>
  <c r="F820" i="23"/>
  <c r="B206" i="19"/>
  <c r="G651" i="23"/>
  <c r="Y649" i="19"/>
  <c r="I930" i="23"/>
  <c r="B930" i="23"/>
  <c r="R973" i="19"/>
  <c r="T809" i="19"/>
  <c r="X653" i="19"/>
  <c r="B489" i="19"/>
  <c r="Y440" i="19"/>
  <c r="R928" i="19"/>
  <c r="B324" i="19"/>
  <c r="R324" i="19"/>
  <c r="T865" i="19"/>
  <c r="R475" i="19"/>
  <c r="J637" i="23"/>
  <c r="Y199" i="19"/>
  <c r="T856" i="19"/>
  <c r="Y833" i="19"/>
  <c r="X854" i="19"/>
  <c r="Y922" i="19"/>
  <c r="Y835" i="19"/>
  <c r="Y889" i="19"/>
  <c r="T520" i="19"/>
  <c r="T245" i="19"/>
  <c r="T832" i="19"/>
  <c r="X640" i="19"/>
  <c r="X769" i="19"/>
  <c r="T619" i="19"/>
  <c r="E213" i="23"/>
  <c r="X998" i="19"/>
  <c r="T880" i="19"/>
  <c r="T740" i="19"/>
  <c r="T780" i="19"/>
  <c r="R657" i="19"/>
  <c r="B223" i="19"/>
  <c r="F456" i="23"/>
  <c r="G295" i="23"/>
  <c r="Y293" i="19"/>
  <c r="G196" i="23"/>
  <c r="Y194" i="19"/>
  <c r="E856" i="23"/>
  <c r="T854" i="19"/>
  <c r="E575" i="23"/>
  <c r="T573" i="19"/>
  <c r="F828" i="23"/>
  <c r="X826" i="19"/>
  <c r="G230" i="23"/>
  <c r="Y228" i="19"/>
  <c r="B469" i="19"/>
  <c r="B535" i="19"/>
  <c r="R535" i="19"/>
  <c r="B741" i="19"/>
  <c r="R741" i="19"/>
  <c r="F635" i="23"/>
  <c r="X633" i="19"/>
  <c r="B840" i="19"/>
  <c r="X674" i="19"/>
  <c r="T589" i="19"/>
  <c r="X542" i="19"/>
  <c r="R360" i="19"/>
  <c r="T381" i="19"/>
  <c r="B279" i="19"/>
  <c r="B253" i="19"/>
  <c r="R290" i="19"/>
  <c r="Y267" i="19"/>
  <c r="C708" i="23"/>
  <c r="T232" i="19"/>
  <c r="Y290" i="19"/>
  <c r="G540" i="23"/>
  <c r="Y538" i="19"/>
  <c r="R765" i="19"/>
  <c r="B765" i="19"/>
  <c r="F543" i="23"/>
  <c r="X541" i="19"/>
  <c r="R952" i="19"/>
  <c r="B952" i="19"/>
  <c r="F555" i="23"/>
  <c r="X553" i="19"/>
  <c r="R254" i="19"/>
  <c r="B254" i="19"/>
  <c r="T947" i="19"/>
  <c r="T813" i="19"/>
  <c r="X629" i="19"/>
  <c r="E707" i="23"/>
  <c r="I754" i="23"/>
  <c r="Y734" i="19"/>
  <c r="J596" i="23"/>
  <c r="Y469" i="19"/>
  <c r="B689" i="19"/>
  <c r="Y389" i="19"/>
  <c r="B445" i="19"/>
  <c r="X352" i="19"/>
  <c r="X659" i="19"/>
  <c r="T412" i="19"/>
  <c r="X384" i="19"/>
  <c r="R283" i="19"/>
  <c r="Y456" i="19"/>
  <c r="T193" i="19"/>
  <c r="T348" i="19"/>
  <c r="T204" i="19"/>
  <c r="AP772" i="19"/>
  <c r="Y804" i="19"/>
  <c r="Y463" i="19"/>
  <c r="R322" i="19"/>
  <c r="E514" i="23"/>
  <c r="T512" i="19"/>
  <c r="E954" i="23"/>
  <c r="T952" i="19"/>
  <c r="E480" i="23"/>
  <c r="T478" i="19"/>
  <c r="F589" i="23"/>
  <c r="X587" i="19"/>
  <c r="Y874" i="19"/>
  <c r="T987" i="19"/>
  <c r="C837" i="23"/>
  <c r="T913" i="19"/>
  <c r="J774" i="23"/>
  <c r="A811" i="23"/>
  <c r="J837" i="23"/>
  <c r="P667" i="19"/>
  <c r="C585" i="23"/>
  <c r="V583" i="19"/>
  <c r="W583" i="19" s="1"/>
  <c r="Y520" i="19"/>
  <c r="B526" i="19"/>
  <c r="Y412" i="19"/>
  <c r="T305" i="19"/>
  <c r="U772" i="19"/>
  <c r="V577" i="19"/>
  <c r="W577" i="19" s="1"/>
  <c r="T861" i="19"/>
  <c r="R624" i="19"/>
  <c r="B624" i="19"/>
  <c r="G563" i="23"/>
  <c r="Y561" i="19"/>
  <c r="R712" i="19"/>
  <c r="B712" i="19"/>
  <c r="G954" i="23"/>
  <c r="Y952" i="19"/>
  <c r="B685" i="19"/>
  <c r="R685" i="19"/>
  <c r="B228" i="19"/>
  <c r="R228" i="19"/>
  <c r="G1002" i="23"/>
  <c r="Y1000" i="19"/>
  <c r="F837" i="23"/>
  <c r="X835" i="19"/>
  <c r="G752" i="23"/>
  <c r="Y750" i="19"/>
  <c r="E246" i="23"/>
  <c r="T244" i="19"/>
  <c r="B651" i="19"/>
  <c r="R651" i="19"/>
  <c r="B413" i="19"/>
  <c r="R413" i="19"/>
  <c r="F198" i="23"/>
  <c r="X196" i="19"/>
  <c r="F847" i="23"/>
  <c r="X845" i="19"/>
  <c r="E942" i="23"/>
  <c r="T940" i="19"/>
  <c r="G750" i="23"/>
  <c r="Y748" i="19"/>
  <c r="E964" i="23"/>
  <c r="T962" i="19"/>
  <c r="B352" i="19"/>
  <c r="R352" i="19"/>
  <c r="B742" i="19"/>
  <c r="R742" i="19"/>
  <c r="R993" i="19"/>
  <c r="B993" i="19"/>
  <c r="E789" i="23"/>
  <c r="T787" i="19"/>
  <c r="R914" i="19"/>
  <c r="J925" i="23"/>
  <c r="X963" i="19"/>
  <c r="C806" i="23"/>
  <c r="C669" i="23"/>
  <c r="A692" i="23"/>
  <c r="J618" i="23"/>
  <c r="P632" i="19"/>
  <c r="C712" i="23"/>
  <c r="Y454" i="19"/>
  <c r="Y263" i="19"/>
  <c r="T295" i="19"/>
  <c r="T326" i="19"/>
  <c r="T319" i="19"/>
  <c r="T283" i="19"/>
  <c r="T194" i="19"/>
  <c r="X220" i="19"/>
  <c r="B201" i="19"/>
  <c r="R286" i="19"/>
  <c r="C877" i="23"/>
  <c r="T890" i="19"/>
  <c r="E822" i="23"/>
  <c r="T820" i="19"/>
  <c r="B669" i="19"/>
  <c r="R669" i="19"/>
  <c r="E222" i="23"/>
  <c r="T220" i="19"/>
  <c r="R670" i="19"/>
  <c r="B670" i="19"/>
  <c r="F308" i="23"/>
  <c r="X306" i="19"/>
  <c r="F523" i="23"/>
  <c r="X521" i="19"/>
  <c r="R211" i="19"/>
  <c r="B211" i="19"/>
  <c r="X802" i="19"/>
  <c r="Y663" i="19"/>
  <c r="Y729" i="19"/>
  <c r="J806" i="23"/>
  <c r="Y689" i="19"/>
  <c r="B634" i="19"/>
  <c r="X613" i="19"/>
  <c r="R576" i="19"/>
  <c r="Y629" i="19"/>
  <c r="T488" i="19"/>
  <c r="X518" i="19"/>
  <c r="Y375" i="19"/>
  <c r="T382" i="19"/>
  <c r="T273" i="19"/>
  <c r="X245" i="19"/>
  <c r="X192" i="19"/>
  <c r="X342" i="19"/>
  <c r="R238" i="19"/>
  <c r="E314" i="23"/>
  <c r="T312" i="19"/>
  <c r="B962" i="19"/>
  <c r="R962" i="19"/>
  <c r="R399" i="19"/>
  <c r="B399" i="19"/>
  <c r="B284" i="19"/>
  <c r="R284" i="19"/>
  <c r="R940" i="19"/>
  <c r="B940" i="19"/>
  <c r="G630" i="23"/>
  <c r="Y628" i="19"/>
  <c r="T863" i="19"/>
  <c r="Y879" i="19"/>
  <c r="X938" i="19"/>
  <c r="X789" i="19"/>
  <c r="Y699" i="19"/>
  <c r="T699" i="19"/>
  <c r="A660" i="23"/>
  <c r="X574" i="19"/>
  <c r="Y531" i="19"/>
  <c r="C569" i="23"/>
  <c r="Y580" i="19"/>
  <c r="T442" i="19"/>
  <c r="T322" i="19"/>
  <c r="Y218" i="19"/>
  <c r="R447" i="19"/>
  <c r="X219" i="19"/>
  <c r="Y334" i="19"/>
  <c r="Y256" i="19"/>
  <c r="Y270" i="19"/>
  <c r="C954" i="23"/>
  <c r="V706" i="19"/>
  <c r="W706" i="19" s="1"/>
  <c r="V868" i="19"/>
  <c r="W868" i="19" s="1"/>
  <c r="R721" i="19"/>
  <c r="B698" i="19"/>
  <c r="T641" i="19"/>
  <c r="B375" i="19"/>
  <c r="R375" i="19"/>
  <c r="R451" i="19"/>
  <c r="B451" i="19"/>
  <c r="F579" i="23"/>
  <c r="X577" i="19"/>
  <c r="G854" i="23"/>
  <c r="Y852" i="19"/>
  <c r="R473" i="19"/>
  <c r="B473" i="19"/>
  <c r="X695" i="19"/>
  <c r="U658" i="19"/>
  <c r="Y442" i="19"/>
  <c r="R396" i="19"/>
  <c r="Y483" i="19"/>
  <c r="R463" i="19"/>
  <c r="X191" i="19"/>
  <c r="Y225" i="19"/>
  <c r="Y327" i="19"/>
  <c r="T290" i="19"/>
  <c r="C870" i="23"/>
  <c r="Y594" i="19"/>
  <c r="T212" i="19"/>
  <c r="R747" i="19"/>
  <c r="B747" i="19"/>
  <c r="F275" i="23"/>
  <c r="X273" i="19"/>
  <c r="G534" i="23"/>
  <c r="Y532" i="19"/>
  <c r="X875" i="19"/>
  <c r="X959" i="19"/>
  <c r="Y718" i="19"/>
  <c r="T723" i="19"/>
  <c r="R853" i="19"/>
  <c r="X710" i="19"/>
  <c r="U616" i="19"/>
  <c r="X550" i="19"/>
  <c r="X971" i="19"/>
  <c r="J844" i="23"/>
  <c r="A822" i="23"/>
  <c r="R786" i="19"/>
  <c r="Y685" i="19"/>
  <c r="P919" i="19"/>
  <c r="V739" i="19"/>
  <c r="W739" i="19" s="1"/>
  <c r="T646" i="19"/>
  <c r="T685" i="19"/>
  <c r="J660" i="23"/>
  <c r="T551" i="19"/>
  <c r="T525" i="19"/>
  <c r="C656" i="23"/>
  <c r="Y305" i="19"/>
  <c r="X233" i="19"/>
  <c r="T897" i="19"/>
  <c r="Y351" i="19"/>
  <c r="E415" i="23"/>
  <c r="T413" i="19"/>
  <c r="B244" i="19"/>
  <c r="R244" i="19"/>
  <c r="E248" i="23"/>
  <c r="T246" i="19"/>
  <c r="E312" i="23"/>
  <c r="T310" i="19"/>
  <c r="G792" i="23"/>
  <c r="Y790" i="19"/>
  <c r="R280" i="19"/>
  <c r="B280" i="19"/>
  <c r="E573" i="23"/>
  <c r="T571" i="19"/>
  <c r="A827" i="23"/>
  <c r="C994" i="23"/>
  <c r="A885" i="23"/>
  <c r="J994" i="23"/>
  <c r="J885" i="23"/>
  <c r="J827" i="23"/>
  <c r="P739" i="19"/>
  <c r="A804" i="23"/>
  <c r="J804" i="23"/>
  <c r="V678" i="19"/>
  <c r="W678" i="19" s="1"/>
  <c r="U899" i="19"/>
  <c r="C587" i="23"/>
  <c r="V992" i="19"/>
  <c r="W992" i="19" s="1"/>
  <c r="AP992" i="19"/>
  <c r="V883" i="19"/>
  <c r="W883" i="19" s="1"/>
  <c r="C827" i="23"/>
  <c r="A560" i="23"/>
  <c r="K560" i="23" s="1"/>
  <c r="U883" i="19"/>
  <c r="V825" i="19"/>
  <c r="W825" i="19" s="1"/>
  <c r="V914" i="19"/>
  <c r="W914" i="19" s="1"/>
  <c r="J703" i="23"/>
  <c r="V588" i="19"/>
  <c r="W588" i="19" s="1"/>
  <c r="V683" i="19"/>
  <c r="W683" i="19" s="1"/>
  <c r="V800" i="19"/>
  <c r="W800" i="19" s="1"/>
  <c r="V841" i="19"/>
  <c r="W841" i="19" s="1"/>
  <c r="J739" i="23"/>
  <c r="V911" i="19"/>
  <c r="W911" i="19" s="1"/>
  <c r="V974" i="19"/>
  <c r="W974" i="19" s="1"/>
  <c r="V1000" i="19"/>
  <c r="W1000" i="19" s="1"/>
  <c r="C746" i="23"/>
  <c r="A976" i="23"/>
  <c r="U572" i="19"/>
  <c r="U597" i="19"/>
  <c r="P781" i="19"/>
  <c r="A962" i="23"/>
  <c r="J599" i="23"/>
  <c r="A746" i="23"/>
  <c r="K746" i="23" s="1"/>
  <c r="C590" i="23"/>
  <c r="P810" i="19"/>
  <c r="U974" i="19"/>
  <c r="I575" i="23"/>
  <c r="AP936" i="19"/>
  <c r="J976" i="23"/>
  <c r="A802" i="23"/>
  <c r="C843" i="23"/>
  <c r="C703" i="23"/>
  <c r="C685" i="23"/>
  <c r="A798" i="23"/>
  <c r="AP995" i="19"/>
  <c r="P841" i="19"/>
  <c r="J685" i="23"/>
  <c r="J843" i="23"/>
  <c r="U737" i="19"/>
  <c r="AP683" i="19"/>
  <c r="A790" i="23"/>
  <c r="C916" i="23"/>
  <c r="AP960" i="19"/>
  <c r="V985" i="19"/>
  <c r="W985" i="19" s="1"/>
  <c r="AP819" i="19"/>
  <c r="P819" i="19"/>
  <c r="A821" i="23"/>
  <c r="J916" i="23"/>
  <c r="V935" i="19"/>
  <c r="W935" i="19" s="1"/>
  <c r="C987" i="23"/>
  <c r="V788" i="19"/>
  <c r="W788" i="19" s="1"/>
  <c r="J937" i="23"/>
  <c r="V961" i="19"/>
  <c r="W961" i="19" s="1"/>
  <c r="J790" i="23"/>
  <c r="A916" i="23"/>
  <c r="AP985" i="19"/>
  <c r="J987" i="23"/>
  <c r="I712" i="23"/>
  <c r="A812" i="23"/>
  <c r="V636" i="19"/>
  <c r="W636" i="19" s="1"/>
  <c r="C851" i="23"/>
  <c r="J783" i="23"/>
  <c r="C610" i="23"/>
  <c r="J558" i="23"/>
  <c r="J610" i="23"/>
  <c r="AP616" i="19"/>
  <c r="V616" i="19"/>
  <c r="W616" i="19" s="1"/>
  <c r="AP710" i="19"/>
  <c r="V556" i="19"/>
  <c r="W556" i="19" s="1"/>
  <c r="C558" i="23"/>
  <c r="P556" i="19"/>
  <c r="V962" i="19"/>
  <c r="W962" i="19" s="1"/>
  <c r="P995" i="19"/>
  <c r="U595" i="19"/>
  <c r="V597" i="19"/>
  <c r="W597" i="19" s="1"/>
  <c r="V576" i="19"/>
  <c r="W576" i="19" s="1"/>
  <c r="C783" i="23"/>
  <c r="A1002" i="23"/>
  <c r="C937" i="23"/>
  <c r="AP781" i="19"/>
  <c r="I853" i="23"/>
  <c r="U1000" i="19"/>
  <c r="C1002" i="23"/>
  <c r="C832" i="23"/>
  <c r="A574" i="23"/>
  <c r="A938" i="23"/>
  <c r="A725" i="23"/>
  <c r="AP856" i="19"/>
  <c r="U967" i="19"/>
  <c r="J969" i="23"/>
  <c r="J880" i="23"/>
  <c r="I578" i="23"/>
  <c r="V600" i="19"/>
  <c r="W600" i="19" s="1"/>
  <c r="C881" i="23"/>
  <c r="V996" i="19"/>
  <c r="W996" i="19" s="1"/>
  <c r="C570" i="23"/>
  <c r="U682" i="19"/>
  <c r="A998" i="23"/>
  <c r="J998" i="23"/>
  <c r="V682" i="19"/>
  <c r="W682" i="19" s="1"/>
  <c r="J809" i="23"/>
  <c r="V608" i="19"/>
  <c r="W608" i="19" s="1"/>
  <c r="V737" i="19"/>
  <c r="W737" i="19" s="1"/>
  <c r="A632" i="23"/>
  <c r="V863" i="19"/>
  <c r="W863" i="19" s="1"/>
  <c r="J659" i="23"/>
  <c r="J632" i="23"/>
  <c r="C611" i="23"/>
  <c r="J865" i="23"/>
  <c r="A776" i="23"/>
  <c r="D776" i="23" s="1"/>
  <c r="J706" i="23"/>
  <c r="V642" i="19"/>
  <c r="W642" i="19" s="1"/>
  <c r="V926" i="19"/>
  <c r="W926" i="19" s="1"/>
  <c r="J697" i="23"/>
  <c r="C706" i="23"/>
  <c r="U768" i="19"/>
  <c r="A744" i="23"/>
  <c r="V726" i="19"/>
  <c r="W726" i="19" s="1"/>
  <c r="C744" i="23"/>
  <c r="J744" i="23"/>
  <c r="C625" i="23"/>
  <c r="C728" i="23"/>
  <c r="AP623" i="19"/>
  <c r="J728" i="23"/>
  <c r="J605" i="23"/>
  <c r="C659" i="23"/>
  <c r="C861" i="23"/>
  <c r="J964" i="23"/>
  <c r="J879" i="23"/>
  <c r="V877" i="19"/>
  <c r="W877" i="19" s="1"/>
  <c r="C879" i="23"/>
  <c r="J832" i="23"/>
  <c r="J906" i="23"/>
  <c r="C906" i="23"/>
  <c r="J889" i="23"/>
  <c r="V887" i="19"/>
  <c r="W887" i="19" s="1"/>
  <c r="J829" i="23"/>
  <c r="J754" i="23"/>
  <c r="V752" i="19"/>
  <c r="W752" i="19" s="1"/>
  <c r="I983" i="23"/>
  <c r="AP641" i="19"/>
  <c r="C643" i="23"/>
  <c r="U729" i="19"/>
  <c r="V786" i="19"/>
  <c r="W786" i="19" s="1"/>
  <c r="C788" i="23"/>
  <c r="V895" i="19"/>
  <c r="W895" i="19" s="1"/>
  <c r="C897" i="23"/>
  <c r="V940" i="19"/>
  <c r="W940" i="19" s="1"/>
  <c r="I1002" i="23"/>
  <c r="J723" i="23"/>
  <c r="C723" i="23"/>
  <c r="V634" i="19"/>
  <c r="W634" i="19" s="1"/>
  <c r="C636" i="23"/>
  <c r="I465" i="23"/>
  <c r="AP796" i="19"/>
  <c r="P796" i="19"/>
  <c r="J766" i="23"/>
  <c r="B300" i="23"/>
  <c r="I300" i="23"/>
  <c r="B284" i="23"/>
  <c r="A282" i="19"/>
  <c r="U860" i="19"/>
  <c r="C780" i="23"/>
  <c r="C695" i="23"/>
  <c r="V723" i="19"/>
  <c r="W723" i="19" s="1"/>
  <c r="V572" i="19"/>
  <c r="W572" i="19" s="1"/>
  <c r="J862" i="23"/>
  <c r="C817" i="23"/>
  <c r="P849" i="19"/>
  <c r="J780" i="23"/>
  <c r="J574" i="23"/>
  <c r="J684" i="23"/>
  <c r="U925" i="19"/>
  <c r="J817" i="23"/>
  <c r="V849" i="19"/>
  <c r="W849" i="19" s="1"/>
  <c r="J582" i="23"/>
  <c r="J851" i="23"/>
  <c r="V947" i="19"/>
  <c r="W947" i="19" s="1"/>
  <c r="P936" i="19"/>
  <c r="P588" i="19"/>
  <c r="AP588" i="19"/>
  <c r="A590" i="23"/>
  <c r="J967" i="23"/>
  <c r="J833" i="23"/>
  <c r="J868" i="23"/>
  <c r="J631" i="23"/>
  <c r="J676" i="23"/>
  <c r="I508" i="23"/>
  <c r="C605" i="23"/>
  <c r="V843" i="19"/>
  <c r="W843" i="19" s="1"/>
  <c r="AP764" i="19"/>
  <c r="J861" i="23"/>
  <c r="C845" i="23"/>
  <c r="C766" i="23"/>
  <c r="V768" i="19"/>
  <c r="W768" i="19" s="1"/>
  <c r="C705" i="23"/>
  <c r="J845" i="23"/>
  <c r="V764" i="19"/>
  <c r="W764" i="19" s="1"/>
  <c r="J705" i="23"/>
  <c r="C748" i="23"/>
  <c r="J770" i="23"/>
  <c r="C680" i="23"/>
  <c r="AP810" i="19"/>
  <c r="C975" i="23"/>
  <c r="C867" i="23"/>
  <c r="C989" i="23"/>
  <c r="V973" i="19"/>
  <c r="W973" i="19" s="1"/>
  <c r="V865" i="19"/>
  <c r="W865" i="19" s="1"/>
  <c r="J680" i="23"/>
  <c r="P973" i="19"/>
  <c r="V859" i="19"/>
  <c r="W859" i="19" s="1"/>
  <c r="A868" i="23"/>
  <c r="V674" i="19"/>
  <c r="W674" i="19" s="1"/>
  <c r="U580" i="19"/>
  <c r="J975" i="23"/>
  <c r="V965" i="19"/>
  <c r="W965" i="19" s="1"/>
  <c r="A833" i="23"/>
  <c r="C868" i="23"/>
  <c r="C560" i="23"/>
  <c r="P629" i="19"/>
  <c r="C676" i="23"/>
  <c r="A605" i="23"/>
  <c r="B254" i="23"/>
  <c r="J949" i="23"/>
  <c r="C967" i="23"/>
  <c r="V703" i="19"/>
  <c r="W703" i="19" s="1"/>
  <c r="V866" i="19"/>
  <c r="W866" i="19" s="1"/>
  <c r="V603" i="19"/>
  <c r="W603" i="19" s="1"/>
  <c r="J990" i="23"/>
  <c r="J808" i="23"/>
  <c r="J681" i="23"/>
  <c r="C771" i="23"/>
  <c r="J564" i="23"/>
  <c r="C940" i="23"/>
  <c r="V719" i="19"/>
  <c r="W719" i="19" s="1"/>
  <c r="B891" i="23"/>
  <c r="C963" i="23"/>
  <c r="V967" i="19"/>
  <c r="W967" i="19" s="1"/>
  <c r="J942" i="23"/>
  <c r="C998" i="23"/>
  <c r="A828" i="19"/>
  <c r="A783" i="23"/>
  <c r="C793" i="23"/>
  <c r="V904" i="19"/>
  <c r="W904" i="19" s="1"/>
  <c r="C889" i="23"/>
  <c r="V851" i="19"/>
  <c r="W851" i="19" s="1"/>
  <c r="J643" i="23"/>
  <c r="C973" i="23"/>
  <c r="V791" i="19"/>
  <c r="W791" i="19" s="1"/>
  <c r="C668" i="23"/>
  <c r="J636" i="23"/>
  <c r="I628" i="23"/>
  <c r="V657" i="19"/>
  <c r="W657" i="19" s="1"/>
  <c r="V710" i="19"/>
  <c r="W710" i="19" s="1"/>
  <c r="J668" i="23"/>
  <c r="V585" i="19"/>
  <c r="W585" i="19" s="1"/>
  <c r="J963" i="23"/>
  <c r="U829" i="19"/>
  <c r="U774" i="19"/>
  <c r="C765" i="23"/>
  <c r="J793" i="23"/>
  <c r="V666" i="19"/>
  <c r="W666" i="19" s="1"/>
  <c r="V763" i="19"/>
  <c r="W763" i="19" s="1"/>
  <c r="V987" i="19"/>
  <c r="W987" i="19" s="1"/>
  <c r="V629" i="19"/>
  <c r="W629" i="19" s="1"/>
  <c r="C903" i="23"/>
  <c r="V971" i="19"/>
  <c r="W971" i="19" s="1"/>
  <c r="J765" i="23"/>
  <c r="V799" i="19"/>
  <c r="W799" i="19" s="1"/>
  <c r="U714" i="19"/>
  <c r="V555" i="19"/>
  <c r="W555" i="19" s="1"/>
  <c r="J831" i="23"/>
  <c r="V774" i="19"/>
  <c r="W774" i="19" s="1"/>
  <c r="V901" i="19"/>
  <c r="W901" i="19" s="1"/>
  <c r="J776" i="23"/>
  <c r="V847" i="19"/>
  <c r="W847" i="19" s="1"/>
  <c r="J973" i="23"/>
  <c r="U799" i="19"/>
  <c r="C697" i="23"/>
  <c r="V714" i="19"/>
  <c r="W714" i="19" s="1"/>
  <c r="V742" i="19"/>
  <c r="W742" i="19" s="1"/>
  <c r="J997" i="23"/>
  <c r="V744" i="19"/>
  <c r="W744" i="19" s="1"/>
  <c r="J590" i="23"/>
  <c r="J961" i="23"/>
  <c r="J903" i="23"/>
  <c r="U890" i="19"/>
  <c r="P899" i="19"/>
  <c r="A849" i="23"/>
  <c r="J801" i="23"/>
  <c r="J721" i="23"/>
  <c r="V695" i="19"/>
  <c r="W695" i="19" s="1"/>
  <c r="C557" i="23"/>
  <c r="V623" i="19"/>
  <c r="W623" i="19" s="1"/>
  <c r="J970" i="23"/>
  <c r="V807" i="19"/>
  <c r="W807" i="19" s="1"/>
  <c r="U878" i="19"/>
  <c r="U796" i="19"/>
  <c r="V890" i="19"/>
  <c r="W890" i="19" s="1"/>
  <c r="A901" i="23"/>
  <c r="J849" i="23"/>
  <c r="C809" i="23"/>
  <c r="J763" i="23"/>
  <c r="V878" i="19"/>
  <c r="W878" i="19" s="1"/>
  <c r="A697" i="23"/>
  <c r="U636" i="19"/>
  <c r="J716" i="23"/>
  <c r="J557" i="23"/>
  <c r="V815" i="19"/>
  <c r="W815" i="19" s="1"/>
  <c r="C853" i="23"/>
  <c r="V959" i="19"/>
  <c r="W959" i="19" s="1"/>
  <c r="V831" i="19"/>
  <c r="W831" i="19" s="1"/>
  <c r="V558" i="19"/>
  <c r="W558" i="19" s="1"/>
  <c r="V746" i="19"/>
  <c r="W746" i="19" s="1"/>
  <c r="V903" i="19"/>
  <c r="W903" i="19" s="1"/>
  <c r="V568" i="19"/>
  <c r="W568" i="19" s="1"/>
  <c r="J602" i="23"/>
  <c r="C905" i="23"/>
  <c r="J881" i="23"/>
  <c r="V879" i="19"/>
  <c r="W879" i="19" s="1"/>
  <c r="U761" i="19"/>
  <c r="J940" i="23"/>
  <c r="V704" i="19"/>
  <c r="W704" i="19" s="1"/>
  <c r="J638" i="23"/>
  <c r="V721" i="19"/>
  <c r="W721" i="19" s="1"/>
  <c r="C644" i="23"/>
  <c r="V580" i="19"/>
  <c r="W580" i="19" s="1"/>
  <c r="J1002" i="23"/>
  <c r="V781" i="19"/>
  <c r="W781" i="19" s="1"/>
  <c r="J578" i="23"/>
  <c r="U964" i="19"/>
  <c r="V729" i="19"/>
  <c r="W729" i="19" s="1"/>
  <c r="V856" i="19"/>
  <c r="W856" i="19" s="1"/>
  <c r="J853" i="23"/>
  <c r="C829" i="23"/>
  <c r="V641" i="19"/>
  <c r="W641" i="19" s="1"/>
  <c r="V827" i="19"/>
  <c r="W827" i="19" s="1"/>
  <c r="X453" i="19"/>
  <c r="R534" i="19"/>
  <c r="I536" i="23"/>
  <c r="T346" i="19"/>
  <c r="E881" i="23"/>
  <c r="T879" i="19"/>
  <c r="F839" i="23"/>
  <c r="X837" i="19"/>
  <c r="B916" i="19"/>
  <c r="R916" i="19"/>
  <c r="B809" i="19"/>
  <c r="R809" i="19"/>
  <c r="E771" i="23"/>
  <c r="T769" i="19"/>
  <c r="R705" i="19"/>
  <c r="B705" i="19"/>
  <c r="F713" i="23"/>
  <c r="X711" i="19"/>
  <c r="R781" i="19"/>
  <c r="B781" i="19"/>
  <c r="E661" i="23"/>
  <c r="T659" i="19"/>
  <c r="R550" i="19"/>
  <c r="B550" i="19"/>
  <c r="F494" i="23"/>
  <c r="X492" i="19"/>
  <c r="E706" i="23"/>
  <c r="T704" i="19"/>
  <c r="G413" i="23"/>
  <c r="Y411" i="19"/>
  <c r="E329" i="23"/>
  <c r="T327" i="19"/>
  <c r="F474" i="23"/>
  <c r="X472" i="19"/>
  <c r="E413" i="23"/>
  <c r="T411" i="19"/>
  <c r="R423" i="19"/>
  <c r="B423" i="19"/>
  <c r="F380" i="23"/>
  <c r="X378" i="19"/>
  <c r="F476" i="23"/>
  <c r="X474" i="19"/>
  <c r="E225" i="23"/>
  <c r="T223" i="19"/>
  <c r="G333" i="23"/>
  <c r="Y331" i="19"/>
  <c r="B487" i="19"/>
  <c r="R487" i="19"/>
  <c r="X319" i="19"/>
  <c r="Y393" i="19"/>
  <c r="B987" i="19"/>
  <c r="R987" i="19"/>
  <c r="B798" i="19"/>
  <c r="R798" i="19"/>
  <c r="R951" i="19"/>
  <c r="B951" i="19"/>
  <c r="E904" i="23"/>
  <c r="T902" i="19"/>
  <c r="R788" i="19"/>
  <c r="B788" i="19"/>
  <c r="B935" i="19"/>
  <c r="R935" i="19"/>
  <c r="G741" i="23"/>
  <c r="Y739" i="19"/>
  <c r="G672" i="23"/>
  <c r="Y670" i="19"/>
  <c r="B763" i="19"/>
  <c r="R763" i="19"/>
  <c r="E685" i="23"/>
  <c r="T683" i="19"/>
  <c r="G683" i="23"/>
  <c r="Y681" i="19"/>
  <c r="B761" i="19"/>
  <c r="R761" i="19"/>
  <c r="G647" i="23"/>
  <c r="Y645" i="19"/>
  <c r="G480" i="23"/>
  <c r="Y478" i="19"/>
  <c r="F261" i="23"/>
  <c r="X259" i="19"/>
  <c r="B444" i="19"/>
  <c r="R444" i="19"/>
  <c r="R382" i="19"/>
  <c r="B382" i="19"/>
  <c r="F297" i="23"/>
  <c r="X295" i="19"/>
  <c r="G225" i="23"/>
  <c r="Y223" i="19"/>
  <c r="R242" i="19"/>
  <c r="B242" i="19"/>
  <c r="G207" i="23"/>
  <c r="Y205" i="19"/>
  <c r="V968" i="19"/>
  <c r="W968" i="19" s="1"/>
  <c r="Y951" i="19"/>
  <c r="E476" i="23"/>
  <c r="Y367" i="19"/>
  <c r="T333" i="19"/>
  <c r="T191" i="19"/>
  <c r="V995" i="19"/>
  <c r="W995" i="19" s="1"/>
  <c r="E953" i="23"/>
  <c r="T951" i="19"/>
  <c r="F849" i="23"/>
  <c r="X847" i="19"/>
  <c r="B718" i="19"/>
  <c r="R718" i="19"/>
  <c r="B714" i="19"/>
  <c r="R714" i="19"/>
  <c r="E754" i="23"/>
  <c r="T752" i="19"/>
  <c r="R683" i="19"/>
  <c r="B683" i="19"/>
  <c r="B645" i="19"/>
  <c r="R645" i="19"/>
  <c r="R503" i="19"/>
  <c r="B503" i="19"/>
  <c r="B971" i="19"/>
  <c r="R971" i="19"/>
  <c r="B704" i="19"/>
  <c r="R704" i="19"/>
  <c r="F399" i="23"/>
  <c r="X397" i="19"/>
  <c r="B502" i="19"/>
  <c r="R502" i="19"/>
  <c r="R367" i="19"/>
  <c r="B367" i="19"/>
  <c r="B340" i="19"/>
  <c r="R340" i="19"/>
  <c r="R303" i="19"/>
  <c r="B303" i="19"/>
  <c r="E256" i="23"/>
  <c r="T254" i="19"/>
  <c r="E402" i="23"/>
  <c r="T400" i="19"/>
  <c r="G328" i="23"/>
  <c r="Y326" i="19"/>
  <c r="G528" i="23"/>
  <c r="Y526" i="19"/>
  <c r="F446" i="23"/>
  <c r="X444" i="19"/>
  <c r="B453" i="19"/>
  <c r="R453" i="19"/>
  <c r="G659" i="23"/>
  <c r="Y657" i="19"/>
  <c r="B950" i="19"/>
  <c r="R950" i="19"/>
  <c r="E887" i="23"/>
  <c r="T885" i="19"/>
  <c r="G765" i="23"/>
  <c r="Y763" i="19"/>
  <c r="B663" i="19"/>
  <c r="R663" i="19"/>
  <c r="G804" i="23"/>
  <c r="Y802" i="19"/>
  <c r="R665" i="19"/>
  <c r="B665" i="19"/>
  <c r="E647" i="23"/>
  <c r="T645" i="19"/>
  <c r="F691" i="23"/>
  <c r="X689" i="19"/>
  <c r="F458" i="23"/>
  <c r="X456" i="19"/>
  <c r="B614" i="19"/>
  <c r="R614" i="19"/>
  <c r="R467" i="19"/>
  <c r="B467" i="19"/>
  <c r="R518" i="19"/>
  <c r="B518" i="19"/>
  <c r="R217" i="19"/>
  <c r="B217" i="19"/>
  <c r="R247" i="19"/>
  <c r="B247" i="19"/>
  <c r="G470" i="23"/>
  <c r="Y468" i="19"/>
  <c r="G254" i="23"/>
  <c r="Y252" i="19"/>
  <c r="J771" i="23"/>
  <c r="Y198" i="19"/>
  <c r="V964" i="19"/>
  <c r="W964" i="19" s="1"/>
  <c r="E837" i="23"/>
  <c r="T835" i="19"/>
  <c r="E911" i="23"/>
  <c r="T909" i="19"/>
  <c r="F829" i="23"/>
  <c r="X827" i="19"/>
  <c r="B730" i="19"/>
  <c r="R730" i="19"/>
  <c r="E723" i="23"/>
  <c r="T721" i="19"/>
  <c r="G755" i="23"/>
  <c r="Y753" i="19"/>
  <c r="R676" i="19"/>
  <c r="B676" i="19"/>
  <c r="E534" i="23"/>
  <c r="T532" i="19"/>
  <c r="G564" i="23"/>
  <c r="Y562" i="19"/>
  <c r="R610" i="19"/>
  <c r="B610" i="19"/>
  <c r="B590" i="19"/>
  <c r="R590" i="19"/>
  <c r="B602" i="19"/>
  <c r="R602" i="19"/>
  <c r="F457" i="23"/>
  <c r="X455" i="19"/>
  <c r="B339" i="19"/>
  <c r="R339" i="19"/>
  <c r="R504" i="19"/>
  <c r="B504" i="19"/>
  <c r="E850" i="23"/>
  <c r="T848" i="19"/>
  <c r="B329" i="19"/>
  <c r="R329" i="19"/>
  <c r="R419" i="19"/>
  <c r="B419" i="19"/>
  <c r="E236" i="23"/>
  <c r="T234" i="19"/>
  <c r="R400" i="19"/>
  <c r="B400" i="19"/>
  <c r="E249" i="23"/>
  <c r="T247" i="19"/>
  <c r="R235" i="19"/>
  <c r="B235" i="19"/>
  <c r="F200" i="23"/>
  <c r="X198" i="19"/>
  <c r="Y730" i="19"/>
  <c r="T447" i="19"/>
  <c r="Y548" i="19"/>
  <c r="T491" i="19"/>
  <c r="J966" i="23"/>
  <c r="E928" i="23"/>
  <c r="T926" i="19"/>
  <c r="F962" i="23"/>
  <c r="X960" i="19"/>
  <c r="F679" i="23"/>
  <c r="X677" i="19"/>
  <c r="B682" i="19"/>
  <c r="R682" i="19"/>
  <c r="B802" i="19"/>
  <c r="R802" i="19"/>
  <c r="E880" i="23"/>
  <c r="T878" i="19"/>
  <c r="B938" i="19"/>
  <c r="R938" i="19"/>
  <c r="G609" i="23"/>
  <c r="Y607" i="19"/>
  <c r="F622" i="23"/>
  <c r="X620" i="19"/>
  <c r="E504" i="23"/>
  <c r="T502" i="19"/>
  <c r="E464" i="23"/>
  <c r="T462" i="19"/>
  <c r="R299" i="19"/>
  <c r="B299" i="19"/>
  <c r="R546" i="19"/>
  <c r="B546" i="19"/>
  <c r="E558" i="23"/>
  <c r="T556" i="19"/>
  <c r="F464" i="23"/>
  <c r="X462" i="19"/>
  <c r="E237" i="23"/>
  <c r="T235" i="19"/>
  <c r="E659" i="23"/>
  <c r="T657" i="19"/>
  <c r="R889" i="19"/>
  <c r="AP899" i="19"/>
  <c r="U755" i="19"/>
  <c r="X544" i="19"/>
  <c r="T743" i="19"/>
  <c r="E449" i="23"/>
  <c r="Y408" i="19"/>
  <c r="V562" i="19"/>
  <c r="W562" i="19" s="1"/>
  <c r="C681" i="23"/>
  <c r="X205" i="19"/>
  <c r="R826" i="19"/>
  <c r="B826" i="19"/>
  <c r="B947" i="19"/>
  <c r="R947" i="19"/>
  <c r="B949" i="19"/>
  <c r="R949" i="19"/>
  <c r="F741" i="23"/>
  <c r="X739" i="19"/>
  <c r="E766" i="23"/>
  <c r="T764" i="19"/>
  <c r="R753" i="19"/>
  <c r="B753" i="19"/>
  <c r="R562" i="19"/>
  <c r="B562" i="19"/>
  <c r="E703" i="23"/>
  <c r="T701" i="19"/>
  <c r="G588" i="23"/>
  <c r="Y586" i="19"/>
  <c r="E636" i="23"/>
  <c r="T634" i="19"/>
  <c r="B768" i="19"/>
  <c r="R768" i="19"/>
  <c r="B648" i="19"/>
  <c r="R648" i="19"/>
  <c r="B607" i="19"/>
  <c r="R607" i="19"/>
  <c r="G612" i="23"/>
  <c r="Y610" i="19"/>
  <c r="G504" i="23"/>
  <c r="Y502" i="19"/>
  <c r="E378" i="23"/>
  <c r="T376" i="19"/>
  <c r="E283" i="23"/>
  <c r="T281" i="19"/>
  <c r="B379" i="19"/>
  <c r="R379" i="19"/>
  <c r="G441" i="23"/>
  <c r="Y439" i="19"/>
  <c r="B316" i="19"/>
  <c r="R316" i="19"/>
  <c r="G280" i="23"/>
  <c r="Y278" i="19"/>
  <c r="F610" i="23"/>
  <c r="X608" i="19"/>
  <c r="X913" i="19"/>
  <c r="V755" i="19"/>
  <c r="W755" i="19" s="1"/>
  <c r="X648" i="19"/>
  <c r="V679" i="19"/>
  <c r="W679" i="19" s="1"/>
  <c r="X253" i="19"/>
  <c r="R810" i="19"/>
  <c r="B810" i="19"/>
  <c r="G978" i="23"/>
  <c r="Y976" i="19"/>
  <c r="B800" i="19"/>
  <c r="R800" i="19"/>
  <c r="E749" i="23"/>
  <c r="T747" i="19"/>
  <c r="R833" i="19"/>
  <c r="B833" i="19"/>
  <c r="E609" i="23"/>
  <c r="T607" i="19"/>
  <c r="E463" i="23"/>
  <c r="T461" i="19"/>
  <c r="B585" i="19"/>
  <c r="R585" i="19"/>
  <c r="F527" i="23"/>
  <c r="X525" i="19"/>
  <c r="F721" i="23"/>
  <c r="X719" i="19"/>
  <c r="E793" i="23"/>
  <c r="T791" i="19"/>
  <c r="R674" i="19"/>
  <c r="B674" i="19"/>
  <c r="B597" i="19"/>
  <c r="R597" i="19"/>
  <c r="R325" i="19"/>
  <c r="B325" i="19"/>
  <c r="G381" i="23"/>
  <c r="Y379" i="19"/>
  <c r="B411" i="19"/>
  <c r="R411" i="19"/>
  <c r="R462" i="19"/>
  <c r="B462" i="19"/>
  <c r="E293" i="23"/>
  <c r="T291" i="19"/>
  <c r="G271" i="23"/>
  <c r="Y269" i="19"/>
  <c r="R272" i="19"/>
  <c r="B272" i="19"/>
  <c r="G219" i="23"/>
  <c r="Y217" i="19"/>
  <c r="F199" i="23"/>
  <c r="X197" i="19"/>
  <c r="X904" i="19"/>
  <c r="V988" i="19"/>
  <c r="W988" i="19" s="1"/>
  <c r="J757" i="23"/>
  <c r="R638" i="19"/>
  <c r="AP562" i="19"/>
  <c r="T402" i="19"/>
  <c r="Y542" i="19"/>
  <c r="B995" i="19"/>
  <c r="R995" i="19"/>
  <c r="B961" i="19"/>
  <c r="R961" i="19"/>
  <c r="B903" i="19"/>
  <c r="R903" i="19"/>
  <c r="F707" i="23"/>
  <c r="X705" i="19"/>
  <c r="E660" i="23"/>
  <c r="T658" i="19"/>
  <c r="G708" i="23"/>
  <c r="Y706" i="19"/>
  <c r="R646" i="19"/>
  <c r="B646" i="19"/>
  <c r="R627" i="19"/>
  <c r="B627" i="19"/>
  <c r="E721" i="23"/>
  <c r="T719" i="19"/>
  <c r="G788" i="23"/>
  <c r="Y786" i="19"/>
  <c r="R642" i="19"/>
  <c r="B642" i="19"/>
  <c r="F739" i="23"/>
  <c r="X737" i="19"/>
  <c r="F506" i="23"/>
  <c r="X504" i="19"/>
  <c r="R404" i="19"/>
  <c r="B404" i="19"/>
  <c r="B364" i="19"/>
  <c r="R364" i="19"/>
  <c r="F216" i="23"/>
  <c r="X214" i="19"/>
  <c r="R365" i="19"/>
  <c r="B365" i="19"/>
  <c r="B288" i="19"/>
  <c r="R288" i="19"/>
  <c r="E528" i="23"/>
  <c r="T526" i="19"/>
  <c r="E274" i="23"/>
  <c r="T272" i="19"/>
  <c r="U562" i="19"/>
  <c r="T389" i="19"/>
  <c r="X241" i="19"/>
  <c r="V761" i="19"/>
  <c r="W761" i="19" s="1"/>
  <c r="E963" i="23"/>
  <c r="T961" i="19"/>
  <c r="E905" i="23"/>
  <c r="T903" i="19"/>
  <c r="R776" i="19"/>
  <c r="B776" i="19"/>
  <c r="F703" i="23"/>
  <c r="X701" i="19"/>
  <c r="F770" i="23"/>
  <c r="X768" i="19"/>
  <c r="R629" i="19"/>
  <c r="B629" i="19"/>
  <c r="G623" i="23"/>
  <c r="Y621" i="19"/>
  <c r="E417" i="23"/>
  <c r="T415" i="19"/>
  <c r="B719" i="19"/>
  <c r="R719" i="19"/>
  <c r="F507" i="23"/>
  <c r="X505" i="19"/>
  <c r="B388" i="19"/>
  <c r="R388" i="19"/>
  <c r="F491" i="23"/>
  <c r="X489" i="19"/>
  <c r="F517" i="23"/>
  <c r="X515" i="19"/>
  <c r="B412" i="19"/>
  <c r="R412" i="19"/>
  <c r="B274" i="19"/>
  <c r="R274" i="19"/>
  <c r="G748" i="23"/>
  <c r="Y746" i="19"/>
  <c r="F265" i="23"/>
  <c r="X263" i="19"/>
  <c r="R222" i="19"/>
  <c r="B222" i="19"/>
  <c r="E244" i="23"/>
  <c r="T242" i="19"/>
  <c r="G199" i="23"/>
  <c r="Y197" i="19"/>
  <c r="V829" i="19"/>
  <c r="W829" i="19" s="1"/>
  <c r="V806" i="19"/>
  <c r="W806" i="19" s="1"/>
  <c r="C721" i="23"/>
  <c r="Y274" i="19"/>
  <c r="Y484" i="19"/>
  <c r="R819" i="19"/>
  <c r="B819" i="19"/>
  <c r="E802" i="23"/>
  <c r="T800" i="19"/>
  <c r="B723" i="19"/>
  <c r="R723" i="19"/>
  <c r="R880" i="19"/>
  <c r="B880" i="19"/>
  <c r="R856" i="19"/>
  <c r="B856" i="19"/>
  <c r="R769" i="19"/>
  <c r="B769" i="19"/>
  <c r="G780" i="23"/>
  <c r="Y778" i="19"/>
  <c r="F725" i="23"/>
  <c r="X723" i="19"/>
  <c r="G766" i="23"/>
  <c r="Y764" i="19"/>
  <c r="E451" i="23"/>
  <c r="T449" i="19"/>
  <c r="B621" i="19"/>
  <c r="R621" i="19"/>
  <c r="E465" i="23"/>
  <c r="T463" i="19"/>
  <c r="R505" i="19"/>
  <c r="B505" i="19"/>
  <c r="B426" i="19"/>
  <c r="R426" i="19"/>
  <c r="G401" i="23"/>
  <c r="Y399" i="19"/>
  <c r="F197" i="23"/>
  <c r="X195" i="19"/>
  <c r="R353" i="19"/>
  <c r="B353" i="19"/>
  <c r="E258" i="23"/>
  <c r="T256" i="19"/>
  <c r="R263" i="19"/>
  <c r="B263" i="19"/>
  <c r="B269" i="19"/>
  <c r="R269" i="19"/>
  <c r="X721" i="19"/>
  <c r="B213" i="19"/>
  <c r="R967" i="19"/>
  <c r="B967" i="19"/>
  <c r="B976" i="19"/>
  <c r="R976" i="19"/>
  <c r="B879" i="19"/>
  <c r="R879" i="19"/>
  <c r="R904" i="19"/>
  <c r="B904" i="19"/>
  <c r="F705" i="23"/>
  <c r="X703" i="19"/>
  <c r="G694" i="23"/>
  <c r="Y692" i="19"/>
  <c r="F577" i="23"/>
  <c r="X575" i="19"/>
  <c r="R510" i="19"/>
  <c r="B510" i="19"/>
  <c r="G303" i="23"/>
  <c r="Y301" i="19"/>
  <c r="R507" i="19"/>
  <c r="B507" i="19"/>
  <c r="R474" i="19"/>
  <c r="B474" i="19"/>
  <c r="G423" i="23"/>
  <c r="Y421" i="19"/>
  <c r="B387" i="19"/>
  <c r="R387" i="19"/>
  <c r="F224" i="23"/>
  <c r="X222" i="19"/>
  <c r="G489" i="23"/>
  <c r="Y487" i="19"/>
  <c r="B408" i="19"/>
  <c r="R408" i="19"/>
  <c r="C961" i="23"/>
  <c r="U959" i="19"/>
  <c r="A997" i="23"/>
  <c r="B864" i="19"/>
  <c r="R864" i="19"/>
  <c r="B918" i="19"/>
  <c r="R918" i="19"/>
  <c r="B870" i="19"/>
  <c r="R870" i="19"/>
  <c r="F843" i="23"/>
  <c r="X841" i="19"/>
  <c r="E991" i="23"/>
  <c r="T989" i="19"/>
  <c r="R954" i="19"/>
  <c r="B954" i="19"/>
  <c r="E938" i="23"/>
  <c r="T936" i="19"/>
  <c r="F968" i="23"/>
  <c r="X966" i="19"/>
  <c r="I936" i="23"/>
  <c r="F922" i="23"/>
  <c r="X920" i="19"/>
  <c r="B889" i="23"/>
  <c r="A887" i="19"/>
  <c r="F852" i="23"/>
  <c r="X850" i="19"/>
  <c r="J823" i="23"/>
  <c r="V821" i="19"/>
  <c r="W821" i="19" s="1"/>
  <c r="F815" i="23"/>
  <c r="X813" i="19"/>
  <c r="E769" i="23"/>
  <c r="T767" i="19"/>
  <c r="F749" i="23"/>
  <c r="X747" i="19"/>
  <c r="C933" i="23"/>
  <c r="U931" i="19"/>
  <c r="C833" i="23"/>
  <c r="U831" i="19"/>
  <c r="G820" i="23"/>
  <c r="Y818" i="19"/>
  <c r="C910" i="23"/>
  <c r="U908" i="19"/>
  <c r="G883" i="23"/>
  <c r="Y881" i="19"/>
  <c r="G823" i="23"/>
  <c r="Y821" i="19"/>
  <c r="R893" i="19"/>
  <c r="B893" i="19"/>
  <c r="R869" i="19"/>
  <c r="B869" i="19"/>
  <c r="G836" i="23"/>
  <c r="Y834" i="19"/>
  <c r="G798" i="23"/>
  <c r="Y796" i="19"/>
  <c r="E779" i="23"/>
  <c r="T777" i="19"/>
  <c r="J948" i="23"/>
  <c r="V946" i="19"/>
  <c r="W946" i="19" s="1"/>
  <c r="E816" i="23"/>
  <c r="T814" i="19"/>
  <c r="J785" i="23"/>
  <c r="V783" i="19"/>
  <c r="W783" i="19" s="1"/>
  <c r="R755" i="19"/>
  <c r="B755" i="19"/>
  <c r="A874" i="23"/>
  <c r="AP872" i="19"/>
  <c r="P872" i="19"/>
  <c r="A886" i="23"/>
  <c r="AP884" i="19"/>
  <c r="P884" i="19"/>
  <c r="J718" i="23"/>
  <c r="V716" i="19"/>
  <c r="W716" i="19" s="1"/>
  <c r="J682" i="23"/>
  <c r="V680" i="19"/>
  <c r="W680" i="19" s="1"/>
  <c r="E651" i="23"/>
  <c r="T649" i="19"/>
  <c r="C779" i="23"/>
  <c r="U777" i="19"/>
  <c r="E718" i="23"/>
  <c r="T716" i="19"/>
  <c r="G690" i="23"/>
  <c r="Y688" i="19"/>
  <c r="E666" i="23"/>
  <c r="T664" i="19"/>
  <c r="G745" i="23"/>
  <c r="Y743" i="19"/>
  <c r="J679" i="23"/>
  <c r="V677" i="19"/>
  <c r="W677" i="19" s="1"/>
  <c r="E690" i="23"/>
  <c r="T688" i="19"/>
  <c r="J726" i="23"/>
  <c r="V724" i="19"/>
  <c r="W724" i="19" s="1"/>
  <c r="F683" i="23"/>
  <c r="X681" i="19"/>
  <c r="E668" i="23"/>
  <c r="T666" i="19"/>
  <c r="E738" i="23"/>
  <c r="T736" i="19"/>
  <c r="G803" i="23"/>
  <c r="Y801" i="19"/>
  <c r="J760" i="23"/>
  <c r="V758" i="19"/>
  <c r="W758" i="19" s="1"/>
  <c r="F688" i="23"/>
  <c r="X686" i="19"/>
  <c r="E736" i="23"/>
  <c r="T734" i="19"/>
  <c r="E698" i="23"/>
  <c r="T696" i="19"/>
  <c r="F681" i="23"/>
  <c r="X679" i="19"/>
  <c r="E656" i="23"/>
  <c r="T654" i="19"/>
  <c r="G796" i="23"/>
  <c r="Y794" i="19"/>
  <c r="A696" i="23"/>
  <c r="AP694" i="19"/>
  <c r="P694" i="19"/>
  <c r="B551" i="19"/>
  <c r="R551" i="19"/>
  <c r="E727" i="23"/>
  <c r="T725" i="19"/>
  <c r="A609" i="23"/>
  <c r="P607" i="19"/>
  <c r="AP607" i="19"/>
  <c r="E592" i="23"/>
  <c r="T590" i="19"/>
  <c r="E565" i="23"/>
  <c r="T563" i="19"/>
  <c r="E627" i="23"/>
  <c r="T625" i="19"/>
  <c r="E578" i="23"/>
  <c r="T576" i="19"/>
  <c r="B539" i="19"/>
  <c r="R539" i="19"/>
  <c r="E519" i="23"/>
  <c r="T517" i="19"/>
  <c r="G479" i="23"/>
  <c r="Y477" i="19"/>
  <c r="R735" i="19"/>
  <c r="B735" i="19"/>
  <c r="J603" i="23"/>
  <c r="V601" i="19"/>
  <c r="W601" i="19" s="1"/>
  <c r="E595" i="23"/>
  <c r="T593" i="19"/>
  <c r="B566" i="19"/>
  <c r="R566" i="19"/>
  <c r="G553" i="23"/>
  <c r="Y551" i="19"/>
  <c r="E662" i="23"/>
  <c r="T660" i="19"/>
  <c r="J654" i="23"/>
  <c r="V652" i="19"/>
  <c r="W652" i="19" s="1"/>
  <c r="R631" i="19"/>
  <c r="B631" i="19"/>
  <c r="E652" i="23"/>
  <c r="T650" i="19"/>
  <c r="E670" i="23"/>
  <c r="T668" i="19"/>
  <c r="F557" i="23"/>
  <c r="X555" i="19"/>
  <c r="G503" i="23"/>
  <c r="Y501" i="19"/>
  <c r="E410" i="23"/>
  <c r="T408" i="19"/>
  <c r="E654" i="23"/>
  <c r="T652" i="19"/>
  <c r="B575" i="19"/>
  <c r="R575" i="19"/>
  <c r="R488" i="19"/>
  <c r="B488" i="19"/>
  <c r="J627" i="23"/>
  <c r="V625" i="19"/>
  <c r="W625" i="19" s="1"/>
  <c r="F580" i="23"/>
  <c r="X578" i="19"/>
  <c r="J562" i="23"/>
  <c r="V560" i="19"/>
  <c r="W560" i="19" s="1"/>
  <c r="E471" i="23"/>
  <c r="T469" i="19"/>
  <c r="E421" i="23"/>
  <c r="T419" i="19"/>
  <c r="B362" i="19"/>
  <c r="R362" i="19"/>
  <c r="E481" i="23"/>
  <c r="T479" i="19"/>
  <c r="F442" i="23"/>
  <c r="X440" i="19"/>
  <c r="G521" i="23"/>
  <c r="Y519" i="19"/>
  <c r="R458" i="19"/>
  <c r="B458" i="19"/>
  <c r="G335" i="23"/>
  <c r="Y333" i="19"/>
  <c r="A563" i="23"/>
  <c r="K563" i="23" s="1"/>
  <c r="P561" i="19"/>
  <c r="AP561" i="19"/>
  <c r="E396" i="23"/>
  <c r="T394" i="19"/>
  <c r="E394" i="23"/>
  <c r="T392" i="19"/>
  <c r="I495" i="23"/>
  <c r="E349" i="23"/>
  <c r="T347" i="19"/>
  <c r="F529" i="23"/>
  <c r="X527" i="19"/>
  <c r="I426" i="23"/>
  <c r="G400" i="23"/>
  <c r="Y398" i="19"/>
  <c r="F376" i="23"/>
  <c r="X374" i="19"/>
  <c r="R319" i="19"/>
  <c r="B319" i="19"/>
  <c r="F735" i="23"/>
  <c r="X733" i="19"/>
  <c r="F483" i="23"/>
  <c r="X481" i="19"/>
  <c r="G468" i="23"/>
  <c r="Y466" i="19"/>
  <c r="G376" i="23"/>
  <c r="Y374" i="19"/>
  <c r="E354" i="23"/>
  <c r="T352" i="19"/>
  <c r="J586" i="23"/>
  <c r="V584" i="19"/>
  <c r="W584" i="19" s="1"/>
  <c r="E395" i="23"/>
  <c r="T393" i="19"/>
  <c r="R347" i="19"/>
  <c r="B347" i="19"/>
  <c r="F300" i="23"/>
  <c r="X298" i="19"/>
  <c r="G268" i="23"/>
  <c r="Y266" i="19"/>
  <c r="E393" i="23"/>
  <c r="T391" i="19"/>
  <c r="E298" i="23"/>
  <c r="T296" i="19"/>
  <c r="E227" i="23"/>
  <c r="T225" i="19"/>
  <c r="R311" i="19"/>
  <c r="B311" i="19"/>
  <c r="F311" i="23"/>
  <c r="X309" i="19"/>
  <c r="E268" i="23"/>
  <c r="T266" i="19"/>
  <c r="E304" i="23"/>
  <c r="T302" i="19"/>
  <c r="F242" i="23"/>
  <c r="X240" i="19"/>
  <c r="R207" i="19"/>
  <c r="B207" i="19"/>
  <c r="B446" i="19"/>
  <c r="R446" i="19"/>
  <c r="E263" i="23"/>
  <c r="T261" i="19"/>
  <c r="R328" i="19"/>
  <c r="B328" i="19"/>
  <c r="G289" i="23"/>
  <c r="Y287" i="19"/>
  <c r="R270" i="19"/>
  <c r="B270" i="19"/>
  <c r="R330" i="19"/>
  <c r="B330" i="19"/>
  <c r="B245" i="19"/>
  <c r="R245" i="19"/>
  <c r="F201" i="23"/>
  <c r="X199" i="19"/>
  <c r="E245" i="23"/>
  <c r="T243" i="19"/>
  <c r="G920" i="23"/>
  <c r="Y918" i="19"/>
  <c r="J947" i="23"/>
  <c r="V945" i="19"/>
  <c r="W945" i="19" s="1"/>
  <c r="E752" i="23"/>
  <c r="T750" i="19"/>
  <c r="B812" i="19"/>
  <c r="R812" i="19"/>
  <c r="F767" i="23"/>
  <c r="X765" i="19"/>
  <c r="G664" i="23"/>
  <c r="Y662" i="19"/>
  <c r="F794" i="23"/>
  <c r="X792" i="19"/>
  <c r="G574" i="23"/>
  <c r="Y572" i="19"/>
  <c r="E607" i="23"/>
  <c r="T605" i="19"/>
  <c r="B455" i="19"/>
  <c r="R455" i="19"/>
  <c r="B397" i="19"/>
  <c r="R397" i="19"/>
  <c r="G613" i="23"/>
  <c r="Y611" i="19"/>
  <c r="R198" i="19"/>
  <c r="B198" i="19"/>
  <c r="E448" i="23"/>
  <c r="T446" i="19"/>
  <c r="E252" i="23"/>
  <c r="T250" i="19"/>
  <c r="R370" i="19"/>
  <c r="B370" i="19"/>
  <c r="G981" i="23"/>
  <c r="Y979" i="19"/>
  <c r="J920" i="23"/>
  <c r="V918" i="19"/>
  <c r="W918" i="19" s="1"/>
  <c r="I958" i="23"/>
  <c r="J960" i="23"/>
  <c r="V958" i="19"/>
  <c r="W958" i="19" s="1"/>
  <c r="C755" i="23"/>
  <c r="U753" i="19"/>
  <c r="J717" i="23"/>
  <c r="V715" i="19"/>
  <c r="W715" i="19" s="1"/>
  <c r="C653" i="23"/>
  <c r="U651" i="19"/>
  <c r="F633" i="23"/>
  <c r="X631" i="19"/>
  <c r="J670" i="23"/>
  <c r="V668" i="19"/>
  <c r="W668" i="19" s="1"/>
  <c r="G655" i="23"/>
  <c r="Y653" i="19"/>
  <c r="J565" i="23"/>
  <c r="V563" i="19"/>
  <c r="W563" i="19" s="1"/>
  <c r="E358" i="23"/>
  <c r="T356" i="19"/>
  <c r="F460" i="23"/>
  <c r="X458" i="19"/>
  <c r="E372" i="23"/>
  <c r="T370" i="19"/>
  <c r="F206" i="23"/>
  <c r="X204" i="19"/>
  <c r="E291" i="23"/>
  <c r="T289" i="19"/>
  <c r="B912" i="19"/>
  <c r="R912" i="19"/>
  <c r="J950" i="23"/>
  <c r="V948" i="19"/>
  <c r="W948" i="19" s="1"/>
  <c r="R989" i="19"/>
  <c r="B989" i="19"/>
  <c r="G968" i="23"/>
  <c r="Y966" i="19"/>
  <c r="E750" i="23"/>
  <c r="T748" i="19"/>
  <c r="J807" i="23"/>
  <c r="V805" i="19"/>
  <c r="W805" i="19" s="1"/>
  <c r="G955" i="23"/>
  <c r="Y953" i="19"/>
  <c r="R958" i="19"/>
  <c r="B958" i="19"/>
  <c r="E798" i="23"/>
  <c r="T796" i="19"/>
  <c r="E871" i="23"/>
  <c r="T869" i="19"/>
  <c r="G967" i="23"/>
  <c r="Y965" i="19"/>
  <c r="E962" i="23"/>
  <c r="T960" i="19"/>
  <c r="G910" i="23"/>
  <c r="Y908" i="19"/>
  <c r="G974" i="23"/>
  <c r="Y972" i="19"/>
  <c r="B920" i="19"/>
  <c r="R920" i="19"/>
  <c r="J991" i="23"/>
  <c r="V989" i="19"/>
  <c r="W989" i="19" s="1"/>
  <c r="B858" i="19"/>
  <c r="R858" i="19"/>
  <c r="J820" i="23"/>
  <c r="V818" i="19"/>
  <c r="W818" i="19" s="1"/>
  <c r="E731" i="23"/>
  <c r="T729" i="19"/>
  <c r="R953" i="19"/>
  <c r="B953" i="19"/>
  <c r="J840" i="23"/>
  <c r="V838" i="19"/>
  <c r="W838" i="19" s="1"/>
  <c r="R905" i="19"/>
  <c r="B905" i="19"/>
  <c r="F850" i="23"/>
  <c r="X848" i="19"/>
  <c r="E741" i="23"/>
  <c r="T739" i="19"/>
  <c r="F758" i="23"/>
  <c r="X756" i="19"/>
  <c r="F772" i="23"/>
  <c r="X770" i="19"/>
  <c r="F824" i="23"/>
  <c r="X822" i="19"/>
  <c r="G730" i="23"/>
  <c r="Y728" i="19"/>
  <c r="R929" i="19"/>
  <c r="B929" i="19"/>
  <c r="E786" i="23"/>
  <c r="T784" i="19"/>
  <c r="G761" i="23"/>
  <c r="Y759" i="19"/>
  <c r="J727" i="23"/>
  <c r="V725" i="19"/>
  <c r="W725" i="19" s="1"/>
  <c r="R603" i="19"/>
  <c r="B603" i="19"/>
  <c r="I596" i="23"/>
  <c r="G562" i="23"/>
  <c r="Y560" i="19"/>
  <c r="J581" i="23"/>
  <c r="V579" i="19"/>
  <c r="W579" i="19" s="1"/>
  <c r="E566" i="23"/>
  <c r="T564" i="19"/>
  <c r="R533" i="19"/>
  <c r="B533" i="19"/>
  <c r="F500" i="23"/>
  <c r="X498" i="19"/>
  <c r="E398" i="23"/>
  <c r="T396" i="19"/>
  <c r="E530" i="23"/>
  <c r="T528" i="19"/>
  <c r="E503" i="23"/>
  <c r="T501" i="19"/>
  <c r="J577" i="23"/>
  <c r="V575" i="19"/>
  <c r="W575" i="19" s="1"/>
  <c r="G463" i="23"/>
  <c r="Y461" i="19"/>
  <c r="G417" i="23"/>
  <c r="Y415" i="19"/>
  <c r="B393" i="19"/>
  <c r="R393" i="19"/>
  <c r="G481" i="23"/>
  <c r="Y479" i="19"/>
  <c r="R440" i="19"/>
  <c r="B440" i="19"/>
  <c r="E459" i="23"/>
  <c r="T457" i="19"/>
  <c r="C563" i="23"/>
  <c r="U561" i="19"/>
  <c r="E362" i="23"/>
  <c r="T360" i="19"/>
  <c r="E327" i="23"/>
  <c r="T325" i="19"/>
  <c r="R464" i="19"/>
  <c r="B464" i="19"/>
  <c r="G394" i="23"/>
  <c r="Y392" i="19"/>
  <c r="I459" i="23"/>
  <c r="F406" i="23"/>
  <c r="X404" i="19"/>
  <c r="F382" i="23"/>
  <c r="X380" i="19"/>
  <c r="I662" i="23"/>
  <c r="B450" i="19"/>
  <c r="R450" i="19"/>
  <c r="E424" i="23"/>
  <c r="T422" i="19"/>
  <c r="F370" i="23"/>
  <c r="X368" i="19"/>
  <c r="E466" i="23"/>
  <c r="T464" i="19"/>
  <c r="B422" i="19"/>
  <c r="R422" i="19"/>
  <c r="F538" i="23"/>
  <c r="X536" i="19"/>
  <c r="B527" i="19"/>
  <c r="R527" i="19"/>
  <c r="G735" i="23"/>
  <c r="Y733" i="19"/>
  <c r="R481" i="19"/>
  <c r="B481" i="19"/>
  <c r="E416" i="23"/>
  <c r="T414" i="19"/>
  <c r="R346" i="19"/>
  <c r="B346" i="19"/>
  <c r="G285" i="23"/>
  <c r="Y283" i="19"/>
  <c r="F298" i="23"/>
  <c r="X296" i="19"/>
  <c r="F356" i="23"/>
  <c r="X354" i="19"/>
  <c r="B237" i="19"/>
  <c r="R237" i="19"/>
  <c r="G320" i="23"/>
  <c r="Y318" i="19"/>
  <c r="R275" i="19"/>
  <c r="B275" i="19"/>
  <c r="E209" i="23"/>
  <c r="T207" i="19"/>
  <c r="E240" i="23"/>
  <c r="T238" i="19"/>
  <c r="F372" i="23"/>
  <c r="X370" i="19"/>
  <c r="G247" i="23"/>
  <c r="Y245" i="19"/>
  <c r="O13" i="6"/>
  <c r="B227" i="19"/>
  <c r="R227" i="19"/>
  <c r="B417" i="19"/>
  <c r="R417" i="19"/>
  <c r="I216" i="23"/>
  <c r="F262" i="23"/>
  <c r="X260" i="19"/>
  <c r="R258" i="19"/>
  <c r="B258" i="19"/>
  <c r="A1001" i="23"/>
  <c r="K1001" i="23" s="1"/>
  <c r="AP999" i="19"/>
  <c r="P999" i="19"/>
  <c r="G980" i="23"/>
  <c r="Y978" i="19"/>
  <c r="F974" i="23"/>
  <c r="X972" i="19"/>
  <c r="G919" i="23"/>
  <c r="Y917" i="19"/>
  <c r="I843" i="23"/>
  <c r="C756" i="23"/>
  <c r="U754" i="19"/>
  <c r="E583" i="23"/>
  <c r="T581" i="19"/>
  <c r="B860" i="19"/>
  <c r="R860" i="19"/>
  <c r="J911" i="23"/>
  <c r="V909" i="19"/>
  <c r="W909" i="19" s="1"/>
  <c r="E890" i="23"/>
  <c r="T888" i="19"/>
  <c r="E878" i="23"/>
  <c r="T876" i="19"/>
  <c r="G944" i="23"/>
  <c r="Y942" i="19"/>
  <c r="F857" i="23"/>
  <c r="X855" i="19"/>
  <c r="G996" i="23"/>
  <c r="Y994" i="19"/>
  <c r="J936" i="23"/>
  <c r="V934" i="19"/>
  <c r="W934" i="19" s="1"/>
  <c r="R921" i="19"/>
  <c r="B921" i="19"/>
  <c r="R909" i="19"/>
  <c r="B909" i="19"/>
  <c r="R897" i="19"/>
  <c r="B897" i="19"/>
  <c r="R885" i="19"/>
  <c r="B885" i="19"/>
  <c r="R873" i="19"/>
  <c r="B873" i="19"/>
  <c r="F861" i="23"/>
  <c r="X859" i="19"/>
  <c r="G843" i="23"/>
  <c r="Y841" i="19"/>
  <c r="F933" i="23"/>
  <c r="X931" i="19"/>
  <c r="F898" i="23"/>
  <c r="X896" i="19"/>
  <c r="E823" i="23"/>
  <c r="T821" i="19"/>
  <c r="A933" i="23"/>
  <c r="AP931" i="19"/>
  <c r="P931" i="19"/>
  <c r="R830" i="19"/>
  <c r="B830" i="19"/>
  <c r="R881" i="19"/>
  <c r="B881" i="19"/>
  <c r="R838" i="19"/>
  <c r="B838" i="19"/>
  <c r="J850" i="23"/>
  <c r="V848" i="19"/>
  <c r="W848" i="19" s="1"/>
  <c r="E739" i="23"/>
  <c r="T737" i="19"/>
  <c r="A882" i="23"/>
  <c r="K882" i="23" s="1"/>
  <c r="P880" i="19"/>
  <c r="AP880" i="19"/>
  <c r="I867" i="23"/>
  <c r="J816" i="23"/>
  <c r="V814" i="19"/>
  <c r="W814" i="19" s="1"/>
  <c r="C808" i="23"/>
  <c r="U806" i="19"/>
  <c r="B789" i="19"/>
  <c r="R789" i="19"/>
  <c r="G769" i="23"/>
  <c r="Y767" i="19"/>
  <c r="J943" i="23"/>
  <c r="V941" i="19"/>
  <c r="W941" i="19" s="1"/>
  <c r="F709" i="23"/>
  <c r="X707" i="19"/>
  <c r="E693" i="23"/>
  <c r="T691" i="19"/>
  <c r="J758" i="23"/>
  <c r="V756" i="19"/>
  <c r="W756" i="19" s="1"/>
  <c r="J772" i="23"/>
  <c r="V770" i="19"/>
  <c r="W770" i="19" s="1"/>
  <c r="J700" i="23"/>
  <c r="V698" i="19"/>
  <c r="W698" i="19" s="1"/>
  <c r="F645" i="23"/>
  <c r="X643" i="19"/>
  <c r="F762" i="23"/>
  <c r="X760" i="19"/>
  <c r="J641" i="23"/>
  <c r="V639" i="19"/>
  <c r="W639" i="19" s="1"/>
  <c r="F726" i="23"/>
  <c r="X724" i="19"/>
  <c r="E646" i="23"/>
  <c r="T644" i="19"/>
  <c r="J824" i="23"/>
  <c r="V822" i="19"/>
  <c r="W822" i="19" s="1"/>
  <c r="F728" i="23"/>
  <c r="X726" i="19"/>
  <c r="J704" i="23"/>
  <c r="V702" i="19"/>
  <c r="W702" i="19" s="1"/>
  <c r="F730" i="23"/>
  <c r="X728" i="19"/>
  <c r="E760" i="23"/>
  <c r="T758" i="19"/>
  <c r="G786" i="23"/>
  <c r="Y784" i="19"/>
  <c r="E695" i="23"/>
  <c r="T693" i="19"/>
  <c r="B675" i="19"/>
  <c r="R675" i="19"/>
  <c r="J796" i="23"/>
  <c r="V794" i="19"/>
  <c r="W794" i="19" s="1"/>
  <c r="J711" i="23"/>
  <c r="V709" i="19"/>
  <c r="W709" i="19" s="1"/>
  <c r="F699" i="23"/>
  <c r="X697" i="19"/>
  <c r="J568" i="23"/>
  <c r="V566" i="19"/>
  <c r="W566" i="19" s="1"/>
  <c r="C621" i="23"/>
  <c r="U619" i="19"/>
  <c r="E604" i="23"/>
  <c r="T602" i="19"/>
  <c r="F592" i="23"/>
  <c r="X590" i="19"/>
  <c r="R542" i="19"/>
  <c r="B542" i="19"/>
  <c r="F702" i="23"/>
  <c r="X700" i="19"/>
  <c r="F578" i="23"/>
  <c r="X576" i="19"/>
  <c r="B512" i="19"/>
  <c r="R512" i="19"/>
  <c r="R589" i="19"/>
  <c r="B589" i="19"/>
  <c r="G566" i="23"/>
  <c r="Y564" i="19"/>
  <c r="R545" i="19"/>
  <c r="B545" i="19"/>
  <c r="J662" i="23"/>
  <c r="V660" i="19"/>
  <c r="W660" i="19" s="1"/>
  <c r="C701" i="23"/>
  <c r="U699" i="19"/>
  <c r="A636" i="23"/>
  <c r="AP634" i="19"/>
  <c r="P634" i="19"/>
  <c r="E557" i="23"/>
  <c r="T555" i="19"/>
  <c r="F498" i="23"/>
  <c r="X496" i="19"/>
  <c r="E386" i="23"/>
  <c r="T384" i="19"/>
  <c r="F530" i="23"/>
  <c r="X528" i="19"/>
  <c r="B548" i="19"/>
  <c r="R548" i="19"/>
  <c r="G487" i="23"/>
  <c r="Y485" i="19"/>
  <c r="E478" i="23"/>
  <c r="T476" i="19"/>
  <c r="F463" i="23"/>
  <c r="X461" i="19"/>
  <c r="E373" i="23"/>
  <c r="T371" i="19"/>
  <c r="R479" i="19"/>
  <c r="B479" i="19"/>
  <c r="G459" i="23"/>
  <c r="Y457" i="19"/>
  <c r="E374" i="23"/>
  <c r="T372" i="19"/>
  <c r="E325" i="23"/>
  <c r="T323" i="19"/>
  <c r="I435" i="23"/>
  <c r="E406" i="23"/>
  <c r="T404" i="19"/>
  <c r="G382" i="23"/>
  <c r="Y380" i="19"/>
  <c r="E601" i="23"/>
  <c r="T599" i="19"/>
  <c r="E420" i="23"/>
  <c r="T418" i="19"/>
  <c r="G370" i="23"/>
  <c r="Y368" i="19"/>
  <c r="R418" i="19"/>
  <c r="B418" i="19"/>
  <c r="F358" i="23"/>
  <c r="X356" i="19"/>
  <c r="F347" i="23"/>
  <c r="X345" i="19"/>
  <c r="G318" i="23"/>
  <c r="Y316" i="19"/>
  <c r="E483" i="23"/>
  <c r="T481" i="19"/>
  <c r="B421" i="19"/>
  <c r="R421" i="19"/>
  <c r="E400" i="23"/>
  <c r="T398" i="19"/>
  <c r="G352" i="23"/>
  <c r="Y350" i="19"/>
  <c r="E586" i="23"/>
  <c r="T584" i="19"/>
  <c r="B410" i="19"/>
  <c r="R410" i="19"/>
  <c r="E364" i="23"/>
  <c r="T362" i="19"/>
  <c r="E347" i="23"/>
  <c r="T345" i="19"/>
  <c r="F336" i="23"/>
  <c r="X334" i="19"/>
  <c r="E238" i="23"/>
  <c r="T236" i="19"/>
  <c r="G393" i="23"/>
  <c r="Y391" i="19"/>
  <c r="G298" i="23"/>
  <c r="Y296" i="19"/>
  <c r="F218" i="23"/>
  <c r="X216" i="19"/>
  <c r="F313" i="23"/>
  <c r="X311" i="19"/>
  <c r="E254" i="23"/>
  <c r="T252" i="19"/>
  <c r="I449" i="23"/>
  <c r="B318" i="19"/>
  <c r="R318" i="19"/>
  <c r="G277" i="23"/>
  <c r="Y275" i="19"/>
  <c r="F263" i="23"/>
  <c r="X261" i="19"/>
  <c r="G240" i="23"/>
  <c r="Y238" i="19"/>
  <c r="G288" i="23"/>
  <c r="Y286" i="19"/>
  <c r="E203" i="23"/>
  <c r="T201" i="19"/>
  <c r="R268" i="19"/>
  <c r="B268" i="19"/>
  <c r="I228" i="23"/>
  <c r="B251" i="19"/>
  <c r="R251" i="19"/>
  <c r="E229" i="23"/>
  <c r="T227" i="19"/>
  <c r="E419" i="23"/>
  <c r="T417" i="19"/>
  <c r="G294" i="23"/>
  <c r="Y292" i="19"/>
  <c r="B215" i="19"/>
  <c r="R215" i="19"/>
  <c r="C993" i="23"/>
  <c r="U991" i="19"/>
  <c r="B843" i="19"/>
  <c r="R843" i="19"/>
  <c r="E827" i="23"/>
  <c r="T825" i="19"/>
  <c r="G787" i="23"/>
  <c r="Y785" i="19"/>
  <c r="F619" i="23"/>
  <c r="X617" i="19"/>
  <c r="A653" i="23"/>
  <c r="P651" i="19"/>
  <c r="AP651" i="19"/>
  <c r="J567" i="23"/>
  <c r="V565" i="19"/>
  <c r="W565" i="19" s="1"/>
  <c r="E610" i="23"/>
  <c r="T608" i="19"/>
  <c r="G380" i="23"/>
  <c r="Y378" i="19"/>
  <c r="F431" i="23"/>
  <c r="X429" i="19"/>
  <c r="G452" i="23"/>
  <c r="Y450" i="19"/>
  <c r="E397" i="23"/>
  <c r="T395" i="19"/>
  <c r="E388" i="23"/>
  <c r="T386" i="19"/>
  <c r="F359" i="23"/>
  <c r="X357" i="19"/>
  <c r="E776" i="23"/>
  <c r="T774" i="19"/>
  <c r="E912" i="23"/>
  <c r="T910" i="19"/>
  <c r="F782" i="23"/>
  <c r="X780" i="19"/>
  <c r="I897" i="23"/>
  <c r="J931" i="23"/>
  <c r="V929" i="19"/>
  <c r="W929" i="19" s="1"/>
  <c r="F652" i="23"/>
  <c r="X650" i="19"/>
  <c r="J555" i="23"/>
  <c r="V553" i="19"/>
  <c r="W553" i="19" s="1"/>
  <c r="E435" i="23"/>
  <c r="T433" i="19"/>
  <c r="F515" i="23"/>
  <c r="X513" i="19"/>
  <c r="E215" i="23"/>
  <c r="T213" i="19"/>
  <c r="E330" i="23"/>
  <c r="T328" i="19"/>
  <c r="E340" i="23"/>
  <c r="T338" i="19"/>
  <c r="G884" i="23"/>
  <c r="Y882" i="19"/>
  <c r="E862" i="23"/>
  <c r="T860" i="19"/>
  <c r="E883" i="23"/>
  <c r="T881" i="19"/>
  <c r="E836" i="23"/>
  <c r="T834" i="19"/>
  <c r="B777" i="19"/>
  <c r="R777" i="19"/>
  <c r="E614" i="23"/>
  <c r="T612" i="19"/>
  <c r="R977" i="19"/>
  <c r="B977" i="19"/>
  <c r="F947" i="23"/>
  <c r="X945" i="19"/>
  <c r="G940" i="23"/>
  <c r="Y938" i="19"/>
  <c r="E995" i="23"/>
  <c r="T993" i="19"/>
  <c r="F994" i="23"/>
  <c r="X992" i="19"/>
  <c r="C939" i="23"/>
  <c r="U937" i="19"/>
  <c r="B966" i="19"/>
  <c r="R966" i="19"/>
  <c r="R845" i="19"/>
  <c r="B845" i="19"/>
  <c r="J852" i="23"/>
  <c r="V850" i="19"/>
  <c r="W850" i="19" s="1"/>
  <c r="J799" i="23"/>
  <c r="V797" i="19"/>
  <c r="W797" i="19" s="1"/>
  <c r="C909" i="23"/>
  <c r="U907" i="19"/>
  <c r="G779" i="23"/>
  <c r="Y777" i="19"/>
  <c r="F816" i="23"/>
  <c r="X814" i="19"/>
  <c r="G757" i="23"/>
  <c r="Y755" i="19"/>
  <c r="B767" i="19"/>
  <c r="R767" i="19"/>
  <c r="F711" i="23"/>
  <c r="X709" i="19"/>
  <c r="B693" i="19"/>
  <c r="R693" i="19"/>
  <c r="B679" i="19"/>
  <c r="R679" i="19"/>
  <c r="G650" i="23"/>
  <c r="Y648" i="19"/>
  <c r="F690" i="23"/>
  <c r="X688" i="19"/>
  <c r="J666" i="23"/>
  <c r="V664" i="19"/>
  <c r="W664" i="19" s="1"/>
  <c r="F643" i="23"/>
  <c r="X641" i="19"/>
  <c r="E602" i="23"/>
  <c r="T600" i="19"/>
  <c r="G726" i="23"/>
  <c r="Y724" i="19"/>
  <c r="R726" i="19"/>
  <c r="B726" i="19"/>
  <c r="F640" i="23"/>
  <c r="X638" i="19"/>
  <c r="R758" i="19"/>
  <c r="B758" i="19"/>
  <c r="B709" i="19"/>
  <c r="R709" i="19"/>
  <c r="E699" i="23"/>
  <c r="T697" i="19"/>
  <c r="I582" i="23"/>
  <c r="F568" i="23"/>
  <c r="X566" i="19"/>
  <c r="G583" i="23"/>
  <c r="Y581" i="19"/>
  <c r="G578" i="23"/>
  <c r="Y576" i="19"/>
  <c r="E737" i="23"/>
  <c r="T735" i="19"/>
  <c r="E622" i="23"/>
  <c r="T620" i="19"/>
  <c r="J652" i="23"/>
  <c r="V650" i="19"/>
  <c r="W650" i="19" s="1"/>
  <c r="E633" i="23"/>
  <c r="T631" i="19"/>
  <c r="A701" i="23"/>
  <c r="K701" i="23" s="1"/>
  <c r="P699" i="19"/>
  <c r="AP699" i="19"/>
  <c r="G670" i="23"/>
  <c r="Y668" i="19"/>
  <c r="B558" i="19"/>
  <c r="R558" i="19"/>
  <c r="E617" i="23"/>
  <c r="T615" i="19"/>
  <c r="E598" i="23"/>
  <c r="T596" i="19"/>
  <c r="E593" i="23"/>
  <c r="T591" i="19"/>
  <c r="J580" i="23"/>
  <c r="V578" i="19"/>
  <c r="W578" i="19" s="1"/>
  <c r="E462" i="23"/>
  <c r="T460" i="19"/>
  <c r="G988" i="23"/>
  <c r="Y986" i="19"/>
  <c r="G928" i="23"/>
  <c r="Y926" i="19"/>
  <c r="R991" i="19"/>
  <c r="B991" i="19"/>
  <c r="G992" i="23"/>
  <c r="Y990" i="19"/>
  <c r="B968" i="19"/>
  <c r="R968" i="19"/>
  <c r="F957" i="23"/>
  <c r="X955" i="19"/>
  <c r="J908" i="23"/>
  <c r="V906" i="19"/>
  <c r="W906" i="19" s="1"/>
  <c r="J959" i="23"/>
  <c r="V957" i="19"/>
  <c r="W957" i="19" s="1"/>
  <c r="G845" i="23"/>
  <c r="Y843" i="19"/>
  <c r="E984" i="23"/>
  <c r="T982" i="19"/>
  <c r="C1001" i="23"/>
  <c r="U999" i="19"/>
  <c r="R984" i="19"/>
  <c r="B984" i="19"/>
  <c r="G916" i="23"/>
  <c r="Y914" i="19"/>
  <c r="F992" i="23"/>
  <c r="X990" i="19"/>
  <c r="R965" i="19"/>
  <c r="B965" i="19"/>
  <c r="F935" i="23"/>
  <c r="X933" i="19"/>
  <c r="G874" i="23"/>
  <c r="Y872" i="19"/>
  <c r="G984" i="23"/>
  <c r="Y982" i="19"/>
  <c r="J890" i="23"/>
  <c r="V888" i="19"/>
  <c r="W888" i="19" s="1"/>
  <c r="J899" i="23"/>
  <c r="V897" i="19"/>
  <c r="W897" i="19" s="1"/>
  <c r="J863" i="23"/>
  <c r="V861" i="19"/>
  <c r="W861" i="19" s="1"/>
  <c r="F944" i="23"/>
  <c r="X942" i="19"/>
  <c r="B906" i="19"/>
  <c r="R906" i="19"/>
  <c r="G856" i="23"/>
  <c r="Y854" i="19"/>
  <c r="E835" i="23"/>
  <c r="K835" i="23" s="1"/>
  <c r="T833" i="19"/>
  <c r="E800" i="23"/>
  <c r="T798" i="19"/>
  <c r="F921" i="23"/>
  <c r="X919" i="19"/>
  <c r="F909" i="23"/>
  <c r="X907" i="19"/>
  <c r="F897" i="23"/>
  <c r="X895" i="19"/>
  <c r="F885" i="23"/>
  <c r="X883" i="19"/>
  <c r="F873" i="23"/>
  <c r="X871" i="19"/>
  <c r="E861" i="23"/>
  <c r="T859" i="19"/>
  <c r="E924" i="23"/>
  <c r="T922" i="19"/>
  <c r="E900" i="23"/>
  <c r="T898" i="19"/>
  <c r="E857" i="23"/>
  <c r="T855" i="19"/>
  <c r="A906" i="23"/>
  <c r="P904" i="19"/>
  <c r="AP904" i="19"/>
  <c r="R846" i="19"/>
  <c r="B846" i="19"/>
  <c r="R821" i="19"/>
  <c r="B821" i="19"/>
  <c r="R757" i="19"/>
  <c r="B757" i="19"/>
  <c r="E832" i="23"/>
  <c r="T830" i="19"/>
  <c r="E774" i="23"/>
  <c r="T772" i="19"/>
  <c r="A910" i="23"/>
  <c r="AP908" i="19"/>
  <c r="P908" i="19"/>
  <c r="E840" i="23"/>
  <c r="T838" i="19"/>
  <c r="C882" i="23"/>
  <c r="U880" i="19"/>
  <c r="J775" i="23"/>
  <c r="V773" i="19"/>
  <c r="W773" i="19" s="1"/>
  <c r="E791" i="23"/>
  <c r="T789" i="19"/>
  <c r="B823" i="19"/>
  <c r="R823" i="19"/>
  <c r="F943" i="23"/>
  <c r="X941" i="19"/>
  <c r="G706" i="23"/>
  <c r="Y704" i="19"/>
  <c r="J693" i="23"/>
  <c r="V691" i="19"/>
  <c r="W691" i="19" s="1"/>
  <c r="L713" i="23"/>
  <c r="M713" i="23" s="1"/>
  <c r="J762" i="23"/>
  <c r="V760" i="19"/>
  <c r="W760" i="19" s="1"/>
  <c r="E747" i="23"/>
  <c r="T745" i="19"/>
  <c r="B716" i="19"/>
  <c r="R716" i="19"/>
  <c r="J667" i="23"/>
  <c r="V665" i="19"/>
  <c r="W665" i="19" s="1"/>
  <c r="J640" i="23"/>
  <c r="V638" i="19"/>
  <c r="W638" i="19" s="1"/>
  <c r="E590" i="23"/>
  <c r="T588" i="19"/>
  <c r="G666" i="23"/>
  <c r="Y664" i="19"/>
  <c r="E645" i="23"/>
  <c r="T643" i="19"/>
  <c r="E728" i="23"/>
  <c r="T726" i="19"/>
  <c r="R664" i="19"/>
  <c r="B664" i="19"/>
  <c r="A857" i="23"/>
  <c r="P855" i="19"/>
  <c r="AP855" i="19"/>
  <c r="J730" i="23"/>
  <c r="V728" i="19"/>
  <c r="W728" i="19" s="1"/>
  <c r="G677" i="23"/>
  <c r="Y675" i="19"/>
  <c r="G711" i="23"/>
  <c r="Y709" i="19"/>
  <c r="G699" i="23"/>
  <c r="Y697" i="19"/>
  <c r="C696" i="23"/>
  <c r="U694" i="19"/>
  <c r="R615" i="19"/>
  <c r="B615" i="19"/>
  <c r="J592" i="23"/>
  <c r="V590" i="19"/>
  <c r="W590" i="19" s="1"/>
  <c r="E580" i="23"/>
  <c r="T578" i="19"/>
  <c r="J559" i="23"/>
  <c r="V557" i="19"/>
  <c r="W557" i="19" s="1"/>
  <c r="R700" i="19"/>
  <c r="B700" i="19"/>
  <c r="G589" i="23"/>
  <c r="Y587" i="19"/>
  <c r="F512" i="23"/>
  <c r="X510" i="19"/>
  <c r="E456" i="23"/>
  <c r="T454" i="19"/>
  <c r="F737" i="23"/>
  <c r="X735" i="19"/>
  <c r="F649" i="23"/>
  <c r="X647" i="19"/>
  <c r="B620" i="19"/>
  <c r="R620" i="19"/>
  <c r="G591" i="23"/>
  <c r="Y589" i="19"/>
  <c r="F566" i="23"/>
  <c r="X564" i="19"/>
  <c r="G633" i="23"/>
  <c r="Y631" i="19"/>
  <c r="F581" i="23"/>
  <c r="X579" i="19"/>
  <c r="F572" i="23"/>
  <c r="X570" i="19"/>
  <c r="E634" i="23"/>
  <c r="T632" i="19"/>
  <c r="R552" i="19"/>
  <c r="B552" i="19"/>
  <c r="F497" i="23"/>
  <c r="X495" i="19"/>
  <c r="G499" i="23"/>
  <c r="Y497" i="19"/>
  <c r="J722" i="23"/>
  <c r="V720" i="19"/>
  <c r="W720" i="19" s="1"/>
  <c r="G548" i="23"/>
  <c r="Y546" i="19"/>
  <c r="E639" i="23"/>
  <c r="T637" i="19"/>
  <c r="G605" i="23"/>
  <c r="Y603" i="19"/>
  <c r="B596" i="19"/>
  <c r="R596" i="19"/>
  <c r="G519" i="23"/>
  <c r="Y517" i="19"/>
  <c r="G478" i="23"/>
  <c r="Y476" i="19"/>
  <c r="I440" i="23"/>
  <c r="A588" i="23"/>
  <c r="K588" i="23" s="1"/>
  <c r="AP586" i="19"/>
  <c r="P586" i="19"/>
  <c r="I438" i="23"/>
  <c r="B385" i="19"/>
  <c r="R385" i="19"/>
  <c r="F521" i="23"/>
  <c r="X519" i="19"/>
  <c r="F408" i="23"/>
  <c r="X406" i="19"/>
  <c r="B468" i="19"/>
  <c r="R468" i="19"/>
  <c r="G387" i="23"/>
  <c r="Y385" i="19"/>
  <c r="G454" i="23"/>
  <c r="Y452" i="19"/>
  <c r="G424" i="23"/>
  <c r="Y422" i="19"/>
  <c r="G406" i="23"/>
  <c r="Y404" i="19"/>
  <c r="R359" i="19"/>
  <c r="B359" i="19"/>
  <c r="G601" i="23"/>
  <c r="Y599" i="19"/>
  <c r="F469" i="23"/>
  <c r="X467" i="19"/>
  <c r="F418" i="23"/>
  <c r="X416" i="19"/>
  <c r="B392" i="19"/>
  <c r="R392" i="19"/>
  <c r="G385" i="23"/>
  <c r="Y383" i="19"/>
  <c r="G358" i="23"/>
  <c r="Y356" i="19"/>
  <c r="F348" i="23"/>
  <c r="X346" i="19"/>
  <c r="G436" i="23"/>
  <c r="Y434" i="19"/>
  <c r="G416" i="23"/>
  <c r="Y414" i="19"/>
  <c r="F371" i="23"/>
  <c r="X369" i="19"/>
  <c r="F346" i="23"/>
  <c r="X344" i="19"/>
  <c r="F310" i="23"/>
  <c r="X308" i="19"/>
  <c r="G483" i="23"/>
  <c r="Y481" i="19"/>
  <c r="E423" i="23"/>
  <c r="T421" i="19"/>
  <c r="B368" i="19"/>
  <c r="R368" i="19"/>
  <c r="G351" i="23"/>
  <c r="Y349" i="19"/>
  <c r="F249" i="23"/>
  <c r="X247" i="19"/>
  <c r="G586" i="23"/>
  <c r="Y584" i="19"/>
  <c r="B434" i="19"/>
  <c r="R434" i="19"/>
  <c r="R344" i="19"/>
  <c r="B344" i="19"/>
  <c r="R308" i="19"/>
  <c r="B308" i="19"/>
  <c r="E281" i="23"/>
  <c r="T279" i="19"/>
  <c r="R332" i="19"/>
  <c r="B332" i="19"/>
  <c r="B312" i="19"/>
  <c r="R312" i="19"/>
  <c r="E313" i="23"/>
  <c r="T311" i="19"/>
  <c r="G212" i="23"/>
  <c r="Y210" i="19"/>
  <c r="B499" i="23"/>
  <c r="A497" i="19"/>
  <c r="G356" i="23"/>
  <c r="Y354" i="19"/>
  <c r="B234" i="19"/>
  <c r="R234" i="19"/>
  <c r="B216" i="19"/>
  <c r="R216" i="19"/>
  <c r="I409" i="23"/>
  <c r="E216" i="23"/>
  <c r="T214" i="19"/>
  <c r="B221" i="19"/>
  <c r="R221" i="19"/>
  <c r="E253" i="23"/>
  <c r="T251" i="19"/>
  <c r="G257" i="23"/>
  <c r="Y255" i="19"/>
  <c r="G229" i="23"/>
  <c r="Y227" i="19"/>
  <c r="G419" i="23"/>
  <c r="Y417" i="19"/>
  <c r="E294" i="23"/>
  <c r="T292" i="19"/>
  <c r="B260" i="19"/>
  <c r="R260" i="19"/>
  <c r="E217" i="23"/>
  <c r="T215" i="19"/>
  <c r="B267" i="23"/>
  <c r="G979" i="23"/>
  <c r="Y977" i="19"/>
  <c r="E826" i="23"/>
  <c r="T824" i="19"/>
  <c r="E755" i="23"/>
  <c r="T753" i="19"/>
  <c r="E773" i="23"/>
  <c r="T771" i="19"/>
  <c r="F797" i="23"/>
  <c r="X795" i="19"/>
  <c r="E688" i="23"/>
  <c r="T686" i="19"/>
  <c r="F670" i="23"/>
  <c r="X668" i="19"/>
  <c r="B563" i="19"/>
  <c r="R563" i="19"/>
  <c r="F502" i="23"/>
  <c r="X500" i="19"/>
  <c r="I496" i="23"/>
  <c r="G1000" i="23"/>
  <c r="Y998" i="19"/>
  <c r="B872" i="19"/>
  <c r="R872" i="19"/>
  <c r="F991" i="23"/>
  <c r="X989" i="19"/>
  <c r="C874" i="23"/>
  <c r="U872" i="19"/>
  <c r="J572" i="23"/>
  <c r="V570" i="19"/>
  <c r="W570" i="19" s="1"/>
  <c r="F405" i="23"/>
  <c r="X403" i="19"/>
  <c r="R366" i="19"/>
  <c r="B366" i="19"/>
  <c r="R480" i="19"/>
  <c r="B480" i="19"/>
  <c r="F400" i="23"/>
  <c r="X398" i="19"/>
  <c r="F285" i="23"/>
  <c r="X283" i="19"/>
  <c r="E302" i="23"/>
  <c r="T300" i="19"/>
  <c r="E272" i="23"/>
  <c r="T270" i="19"/>
  <c r="G241" i="23"/>
  <c r="Y239" i="19"/>
  <c r="J935" i="23"/>
  <c r="V933" i="19"/>
  <c r="W933" i="19" s="1"/>
  <c r="E956" i="23"/>
  <c r="T954" i="19"/>
  <c r="B936" i="19"/>
  <c r="R936" i="19"/>
  <c r="G849" i="23"/>
  <c r="Y847" i="19"/>
  <c r="F862" i="23"/>
  <c r="X860" i="19"/>
  <c r="B773" i="19"/>
  <c r="R773" i="19"/>
  <c r="G952" i="23"/>
  <c r="Y950" i="19"/>
  <c r="G904" i="23"/>
  <c r="Y902" i="19"/>
  <c r="J944" i="23"/>
  <c r="V942" i="19"/>
  <c r="W942" i="19" s="1"/>
  <c r="E909" i="23"/>
  <c r="T907" i="19"/>
  <c r="R816" i="19"/>
  <c r="B816" i="19"/>
  <c r="G637" i="23"/>
  <c r="Y635" i="19"/>
  <c r="C857" i="23"/>
  <c r="U855" i="19"/>
  <c r="B557" i="19"/>
  <c r="R557" i="19"/>
  <c r="G539" i="23"/>
  <c r="Y537" i="19"/>
  <c r="A621" i="23"/>
  <c r="K621" i="23" s="1"/>
  <c r="P619" i="19"/>
  <c r="AP619" i="19"/>
  <c r="F662" i="23"/>
  <c r="X660" i="19"/>
  <c r="F605" i="23"/>
  <c r="X603" i="19"/>
  <c r="B587" i="19"/>
  <c r="R587" i="19"/>
  <c r="B485" i="19"/>
  <c r="R485" i="19"/>
  <c r="F478" i="23"/>
  <c r="X476" i="19"/>
  <c r="G460" i="23"/>
  <c r="Y458" i="19"/>
  <c r="C588" i="23"/>
  <c r="U586" i="19"/>
  <c r="E387" i="23"/>
  <c r="T385" i="19"/>
  <c r="E521" i="23"/>
  <c r="T519" i="19"/>
  <c r="E487" i="23"/>
  <c r="T485" i="19"/>
  <c r="E405" i="23"/>
  <c r="T403" i="19"/>
  <c r="G266" i="23"/>
  <c r="Y264" i="19"/>
  <c r="E470" i="23"/>
  <c r="T468" i="19"/>
  <c r="E385" i="23"/>
  <c r="T383" i="19"/>
  <c r="A707" i="23"/>
  <c r="P705" i="19"/>
  <c r="AP705" i="19"/>
  <c r="B483" i="19"/>
  <c r="R483" i="19"/>
  <c r="B432" i="19"/>
  <c r="R432" i="19"/>
  <c r="F357" i="23"/>
  <c r="X355" i="19"/>
  <c r="B599" i="19"/>
  <c r="R599" i="19"/>
  <c r="G488" i="23"/>
  <c r="Y486" i="19"/>
  <c r="E418" i="23"/>
  <c r="T416" i="19"/>
  <c r="G392" i="23"/>
  <c r="Y390" i="19"/>
  <c r="B513" i="19"/>
  <c r="R513" i="19"/>
  <c r="I498" i="23"/>
  <c r="E357" i="23"/>
  <c r="T355" i="19"/>
  <c r="E538" i="23"/>
  <c r="T536" i="19"/>
  <c r="F395" i="23"/>
  <c r="X393" i="19"/>
  <c r="E370" i="23"/>
  <c r="T368" i="19"/>
  <c r="G346" i="23"/>
  <c r="Y344" i="19"/>
  <c r="G310" i="23"/>
  <c r="Y308" i="19"/>
  <c r="G350" i="23"/>
  <c r="Y348" i="19"/>
  <c r="E318" i="23"/>
  <c r="T316" i="19"/>
  <c r="F237" i="23"/>
  <c r="X235" i="19"/>
  <c r="R431" i="19"/>
  <c r="B431" i="19"/>
  <c r="R381" i="19"/>
  <c r="B381" i="19"/>
  <c r="E345" i="23"/>
  <c r="T343" i="19"/>
  <c r="E308" i="23"/>
  <c r="T306" i="19"/>
  <c r="R262" i="19"/>
  <c r="B262" i="19"/>
  <c r="E334" i="23"/>
  <c r="T332" i="19"/>
  <c r="G314" i="23"/>
  <c r="Y312" i="19"/>
  <c r="E286" i="23"/>
  <c r="T284" i="19"/>
  <c r="F251" i="23"/>
  <c r="X249" i="19"/>
  <c r="G248" i="23"/>
  <c r="Y246" i="19"/>
  <c r="B354" i="19"/>
  <c r="R354" i="19"/>
  <c r="R271" i="19"/>
  <c r="B271" i="19"/>
  <c r="I311" i="23"/>
  <c r="E296" i="23"/>
  <c r="T294" i="19"/>
  <c r="F254" i="23"/>
  <c r="X252" i="19"/>
  <c r="I335" i="23"/>
  <c r="B320" i="19"/>
  <c r="R320" i="19"/>
  <c r="F288" i="23"/>
  <c r="X286" i="19"/>
  <c r="R236" i="19"/>
  <c r="B236" i="19"/>
  <c r="G216" i="23"/>
  <c r="Y214" i="19"/>
  <c r="G223" i="23"/>
  <c r="Y221" i="19"/>
  <c r="G253" i="23"/>
  <c r="Y251" i="19"/>
  <c r="I288" i="23"/>
  <c r="G279" i="23"/>
  <c r="Y277" i="19"/>
  <c r="F294" i="23"/>
  <c r="X292" i="19"/>
  <c r="G262" i="23"/>
  <c r="Y260" i="19"/>
  <c r="G217" i="23"/>
  <c r="Y215" i="19"/>
  <c r="G862" i="23"/>
  <c r="Y860" i="19"/>
  <c r="F932" i="23"/>
  <c r="X930" i="19"/>
  <c r="B779" i="19"/>
  <c r="R779" i="19"/>
  <c r="B662" i="19"/>
  <c r="R662" i="19"/>
  <c r="G657" i="23"/>
  <c r="Y655" i="19"/>
  <c r="G579" i="23"/>
  <c r="Y577" i="19"/>
  <c r="R653" i="19"/>
  <c r="B653" i="19"/>
  <c r="C602" i="23"/>
  <c r="U600" i="19"/>
  <c r="F420" i="23"/>
  <c r="X418" i="19"/>
  <c r="E409" i="23"/>
  <c r="T407" i="19"/>
  <c r="E287" i="23"/>
  <c r="T285" i="19"/>
  <c r="F269" i="23"/>
  <c r="X267" i="19"/>
  <c r="B231" i="19"/>
  <c r="R231" i="19"/>
  <c r="G245" i="23"/>
  <c r="Y243" i="19"/>
  <c r="J945" i="23"/>
  <c r="V943" i="19"/>
  <c r="W943" i="19" s="1"/>
  <c r="E968" i="23"/>
  <c r="T966" i="19"/>
  <c r="G860" i="23"/>
  <c r="Y858" i="19"/>
  <c r="E922" i="23"/>
  <c r="T920" i="19"/>
  <c r="F958" i="23"/>
  <c r="X956" i="19"/>
  <c r="E888" i="23"/>
  <c r="T886" i="19"/>
  <c r="E807" i="23"/>
  <c r="T805" i="19"/>
  <c r="G799" i="23"/>
  <c r="Y797" i="19"/>
  <c r="G827" i="23"/>
  <c r="Y825" i="19"/>
  <c r="C886" i="23"/>
  <c r="U884" i="19"/>
  <c r="J658" i="23"/>
  <c r="V656" i="19"/>
  <c r="W656" i="19" s="1"/>
  <c r="G675" i="23"/>
  <c r="Y673" i="19"/>
  <c r="R822" i="19"/>
  <c r="B822" i="19"/>
  <c r="G738" i="23"/>
  <c r="Y736" i="19"/>
  <c r="F803" i="23"/>
  <c r="X801" i="19"/>
  <c r="E532" i="23"/>
  <c r="T530" i="19"/>
  <c r="A786" i="23"/>
  <c r="AP784" i="19"/>
  <c r="P784" i="19"/>
  <c r="F551" i="23"/>
  <c r="X549" i="19"/>
  <c r="R378" i="19"/>
  <c r="B378" i="19"/>
  <c r="R337" i="19"/>
  <c r="B337" i="19"/>
  <c r="F393" i="23"/>
  <c r="X391" i="19"/>
  <c r="F304" i="23"/>
  <c r="X302" i="19"/>
  <c r="I240" i="23"/>
  <c r="B960" i="19"/>
  <c r="R960" i="19"/>
  <c r="C964" i="23"/>
  <c r="U962" i="19"/>
  <c r="E974" i="23"/>
  <c r="T972" i="19"/>
  <c r="B896" i="19"/>
  <c r="R896" i="19"/>
  <c r="J864" i="23"/>
  <c r="V862" i="19"/>
  <c r="W862" i="19" s="1"/>
  <c r="E764" i="23"/>
  <c r="T762" i="19"/>
  <c r="J926" i="23"/>
  <c r="V924" i="19"/>
  <c r="W924" i="19" s="1"/>
  <c r="B900" i="19"/>
  <c r="R900" i="19"/>
  <c r="G995" i="23"/>
  <c r="Y993" i="19"/>
  <c r="G962" i="23"/>
  <c r="Y960" i="19"/>
  <c r="E935" i="23"/>
  <c r="T933" i="19"/>
  <c r="E979" i="23"/>
  <c r="T977" i="19"/>
  <c r="R943" i="19"/>
  <c r="B943" i="19"/>
  <c r="J866" i="23"/>
  <c r="V864" i="19"/>
  <c r="W864" i="19" s="1"/>
  <c r="J923" i="23"/>
  <c r="V921" i="19"/>
  <c r="W921" i="19" s="1"/>
  <c r="B888" i="19"/>
  <c r="R888" i="19"/>
  <c r="E866" i="23"/>
  <c r="T864" i="19"/>
  <c r="G839" i="23"/>
  <c r="Y837" i="19"/>
  <c r="E936" i="23"/>
  <c r="T934" i="19"/>
  <c r="F981" i="23"/>
  <c r="X979" i="19"/>
  <c r="E957" i="23"/>
  <c r="T955" i="19"/>
  <c r="R931" i="19"/>
  <c r="B931" i="19"/>
  <c r="E959" i="23"/>
  <c r="T957" i="19"/>
  <c r="E845" i="23"/>
  <c r="T843" i="19"/>
  <c r="J900" i="23"/>
  <c r="V898" i="19"/>
  <c r="W898" i="19" s="1"/>
  <c r="E855" i="23"/>
  <c r="K855" i="23" s="1"/>
  <c r="T853" i="19"/>
  <c r="I946" i="23"/>
  <c r="E933" i="23"/>
  <c r="T931" i="19"/>
  <c r="F874" i="23"/>
  <c r="X872" i="19"/>
  <c r="E682" i="23"/>
  <c r="T680" i="19"/>
  <c r="R792" i="19"/>
  <c r="B792" i="19"/>
  <c r="R770" i="19"/>
  <c r="B770" i="19"/>
  <c r="G682" i="23"/>
  <c r="Y680" i="19"/>
  <c r="E637" i="23"/>
  <c r="T635" i="19"/>
  <c r="B639" i="19"/>
  <c r="R639" i="19"/>
  <c r="E562" i="23"/>
  <c r="T560" i="19"/>
  <c r="B543" i="19"/>
  <c r="R543" i="19"/>
  <c r="G584" i="23"/>
  <c r="Y582" i="19"/>
  <c r="B515" i="19"/>
  <c r="R515" i="19"/>
  <c r="E497" i="23"/>
  <c r="T495" i="19"/>
  <c r="I799" i="23"/>
  <c r="R521" i="19"/>
  <c r="B521" i="19"/>
  <c r="F722" i="23"/>
  <c r="X720" i="19"/>
  <c r="A608" i="23"/>
  <c r="K608" i="23" s="1"/>
  <c r="P606" i="19"/>
  <c r="AP606" i="19"/>
  <c r="R540" i="19"/>
  <c r="B540" i="19"/>
  <c r="G500" i="23"/>
  <c r="Y498" i="19"/>
  <c r="E983" i="23"/>
  <c r="T981" i="19"/>
  <c r="G957" i="23"/>
  <c r="Y955" i="19"/>
  <c r="F945" i="23"/>
  <c r="X943" i="19"/>
  <c r="G898" i="23"/>
  <c r="Y896" i="19"/>
  <c r="J914" i="23"/>
  <c r="V912" i="19"/>
  <c r="W912" i="19" s="1"/>
  <c r="F844" i="23"/>
  <c r="X842" i="19"/>
  <c r="F956" i="23"/>
  <c r="X954" i="19"/>
  <c r="F911" i="23"/>
  <c r="X909" i="19"/>
  <c r="J946" i="23"/>
  <c r="V944" i="19"/>
  <c r="W944" i="19" s="1"/>
  <c r="G921" i="23"/>
  <c r="Y919" i="19"/>
  <c r="G909" i="23"/>
  <c r="Y907" i="19"/>
  <c r="G897" i="23"/>
  <c r="Y895" i="19"/>
  <c r="G885" i="23"/>
  <c r="Y883" i="19"/>
  <c r="G873" i="23"/>
  <c r="Y871" i="19"/>
  <c r="G857" i="23"/>
  <c r="Y855" i="19"/>
  <c r="F848" i="23"/>
  <c r="X846" i="19"/>
  <c r="G972" i="23"/>
  <c r="Y970" i="19"/>
  <c r="B829" i="19"/>
  <c r="R829" i="19"/>
  <c r="B711" i="19"/>
  <c r="R711" i="19"/>
  <c r="R813" i="19"/>
  <c r="B813" i="19"/>
  <c r="C922" i="23"/>
  <c r="U920" i="19"/>
  <c r="F960" i="23"/>
  <c r="X958" i="19"/>
  <c r="E809" i="23"/>
  <c r="T807" i="19"/>
  <c r="E813" i="23"/>
  <c r="T811" i="19"/>
  <c r="B807" i="23"/>
  <c r="A805" i="19"/>
  <c r="E806" i="23"/>
  <c r="T804" i="19"/>
  <c r="F825" i="23"/>
  <c r="X823" i="19"/>
  <c r="R804" i="19"/>
  <c r="B804" i="19"/>
  <c r="E767" i="23"/>
  <c r="T765" i="19"/>
  <c r="R690" i="19"/>
  <c r="B690" i="19"/>
  <c r="E674" i="23"/>
  <c r="T672" i="19"/>
  <c r="J645" i="23"/>
  <c r="V643" i="19"/>
  <c r="W643" i="19" s="1"/>
  <c r="A791" i="23"/>
  <c r="P789" i="19"/>
  <c r="AP789" i="19"/>
  <c r="E758" i="23"/>
  <c r="T756" i="19"/>
  <c r="E734" i="23"/>
  <c r="T732" i="19"/>
  <c r="G709" i="23"/>
  <c r="Y707" i="19"/>
  <c r="E794" i="23"/>
  <c r="T792" i="19"/>
  <c r="E772" i="23"/>
  <c r="T770" i="19"/>
  <c r="J747" i="23"/>
  <c r="V745" i="19"/>
  <c r="W745" i="19" s="1"/>
  <c r="J661" i="23"/>
  <c r="V659" i="19"/>
  <c r="W659" i="19" s="1"/>
  <c r="F636" i="23"/>
  <c r="X634" i="19"/>
  <c r="G751" i="23"/>
  <c r="Y749" i="19"/>
  <c r="J740" i="23"/>
  <c r="V738" i="19"/>
  <c r="W738" i="19" s="1"/>
  <c r="G661" i="23"/>
  <c r="Y659" i="19"/>
  <c r="F641" i="23"/>
  <c r="X639" i="19"/>
  <c r="E673" i="23"/>
  <c r="T671" i="19"/>
  <c r="E628" i="23"/>
  <c r="T626" i="19"/>
  <c r="B702" i="19"/>
  <c r="R702" i="19"/>
  <c r="G797" i="23"/>
  <c r="Y795" i="19"/>
  <c r="I753" i="23"/>
  <c r="I780" i="23"/>
  <c r="B715" i="19"/>
  <c r="R715" i="19"/>
  <c r="F692" i="23"/>
  <c r="X690" i="19"/>
  <c r="B633" i="19"/>
  <c r="R633" i="19"/>
  <c r="E796" i="23"/>
  <c r="T794" i="19"/>
  <c r="F761" i="23"/>
  <c r="X759" i="19"/>
  <c r="F734" i="23"/>
  <c r="X732" i="19"/>
  <c r="J709" i="23"/>
  <c r="V707" i="19"/>
  <c r="W707" i="19" s="1"/>
  <c r="J604" i="23"/>
  <c r="V602" i="19"/>
  <c r="W602" i="19" s="1"/>
  <c r="E559" i="23"/>
  <c r="T557" i="19"/>
  <c r="G532" i="23"/>
  <c r="Y530" i="19"/>
  <c r="F607" i="23"/>
  <c r="X605" i="19"/>
  <c r="F509" i="23"/>
  <c r="X507" i="19"/>
  <c r="F657" i="23"/>
  <c r="X655" i="19"/>
  <c r="E581" i="23"/>
  <c r="T579" i="19"/>
  <c r="G554" i="23"/>
  <c r="Y552" i="19"/>
  <c r="F548" i="23"/>
  <c r="X546" i="19"/>
  <c r="F496" i="23"/>
  <c r="X494" i="19"/>
  <c r="R579" i="19"/>
  <c r="B579" i="19"/>
  <c r="G543" i="23"/>
  <c r="Y541" i="19"/>
  <c r="B720" i="19"/>
  <c r="R720" i="19"/>
  <c r="G639" i="23"/>
  <c r="Y637" i="19"/>
  <c r="E535" i="23"/>
  <c r="T533" i="19"/>
  <c r="E499" i="23"/>
  <c r="T497" i="19"/>
  <c r="C713" i="23"/>
  <c r="U711" i="19"/>
  <c r="B661" i="19"/>
  <c r="R661" i="19"/>
  <c r="A612" i="23"/>
  <c r="K612" i="23" s="1"/>
  <c r="AP610" i="19"/>
  <c r="P610" i="19"/>
  <c r="J589" i="23"/>
  <c r="V587" i="19"/>
  <c r="W587" i="19" s="1"/>
  <c r="G457" i="23"/>
  <c r="Y455" i="19"/>
  <c r="R369" i="19"/>
  <c r="B369" i="19"/>
  <c r="E450" i="23"/>
  <c r="T448" i="19"/>
  <c r="I407" i="23"/>
  <c r="G484" i="23"/>
  <c r="Y482" i="19"/>
  <c r="E360" i="23"/>
  <c r="T358" i="19"/>
  <c r="A620" i="23"/>
  <c r="K620" i="23" s="1"/>
  <c r="P618" i="19"/>
  <c r="AP618" i="19"/>
  <c r="F470" i="23"/>
  <c r="X468" i="19"/>
  <c r="F324" i="23"/>
  <c r="X322" i="19"/>
  <c r="R452" i="19"/>
  <c r="B452" i="19"/>
  <c r="I539" i="23"/>
  <c r="F485" i="23"/>
  <c r="X483" i="19"/>
  <c r="E434" i="23"/>
  <c r="T432" i="19"/>
  <c r="E375" i="23"/>
  <c r="T373" i="19"/>
  <c r="F601" i="23"/>
  <c r="X599" i="19"/>
  <c r="G418" i="23"/>
  <c r="Y416" i="19"/>
  <c r="E515" i="23"/>
  <c r="T513" i="19"/>
  <c r="G404" i="23"/>
  <c r="Y402" i="19"/>
  <c r="F383" i="23"/>
  <c r="X381" i="19"/>
  <c r="G538" i="23"/>
  <c r="Y536" i="19"/>
  <c r="B484" i="19"/>
  <c r="R484" i="19"/>
  <c r="F461" i="23"/>
  <c r="X459" i="19"/>
  <c r="R414" i="19"/>
  <c r="B414" i="19"/>
  <c r="G344" i="23"/>
  <c r="Y342" i="19"/>
  <c r="G308" i="23"/>
  <c r="Y306" i="19"/>
  <c r="I522" i="23"/>
  <c r="E392" i="23"/>
  <c r="T390" i="19"/>
  <c r="F364" i="23"/>
  <c r="X362" i="19"/>
  <c r="F225" i="23"/>
  <c r="X223" i="19"/>
  <c r="B584" i="19"/>
  <c r="R584" i="19"/>
  <c r="B430" i="19"/>
  <c r="R430" i="19"/>
  <c r="G405" i="23"/>
  <c r="Y403" i="19"/>
  <c r="E344" i="23"/>
  <c r="T342" i="19"/>
  <c r="E264" i="23"/>
  <c r="T262" i="19"/>
  <c r="E191" i="23"/>
  <c r="T189" i="19"/>
  <c r="F334" i="23"/>
  <c r="X332" i="19"/>
  <c r="R310" i="19"/>
  <c r="B310" i="19"/>
  <c r="E309" i="23"/>
  <c r="T307" i="19"/>
  <c r="E273" i="23"/>
  <c r="T271" i="19"/>
  <c r="B249" i="19"/>
  <c r="R249" i="19"/>
  <c r="B210" i="19"/>
  <c r="R210" i="19"/>
  <c r="F280" i="23"/>
  <c r="X278" i="19"/>
  <c r="G215" i="23"/>
  <c r="Y213" i="19"/>
  <c r="F257" i="23"/>
  <c r="X255" i="19"/>
  <c r="G233" i="23"/>
  <c r="Y231" i="19"/>
  <c r="B209" i="19"/>
  <c r="R209" i="19"/>
  <c r="F419" i="23"/>
  <c r="X417" i="19"/>
  <c r="B277" i="19"/>
  <c r="R277" i="19"/>
  <c r="R292" i="19"/>
  <c r="B292" i="19"/>
  <c r="R289" i="19"/>
  <c r="B289" i="19"/>
  <c r="E843" i="23"/>
  <c r="T841" i="19"/>
  <c r="E784" i="23"/>
  <c r="T782" i="19"/>
  <c r="G652" i="23"/>
  <c r="Y650" i="19"/>
  <c r="C786" i="23"/>
  <c r="U784" i="19"/>
  <c r="F230" i="23"/>
  <c r="X228" i="19"/>
  <c r="I283" i="23"/>
  <c r="F338" i="23"/>
  <c r="X336" i="19"/>
  <c r="E260" i="23"/>
  <c r="T258" i="19"/>
  <c r="F842" i="23"/>
  <c r="X840" i="19"/>
  <c r="F886" i="23"/>
  <c r="X884" i="19"/>
  <c r="J955" i="23"/>
  <c r="V953" i="19"/>
  <c r="W953" i="19" s="1"/>
  <c r="F793" i="23"/>
  <c r="X791" i="19"/>
  <c r="G686" i="23"/>
  <c r="Y684" i="19"/>
  <c r="F787" i="23"/>
  <c r="X785" i="19"/>
  <c r="R437" i="19"/>
  <c r="B437" i="19"/>
  <c r="R355" i="19"/>
  <c r="B355" i="19"/>
  <c r="B466" i="19"/>
  <c r="R466" i="19"/>
  <c r="R197" i="19"/>
  <c r="B197" i="19"/>
  <c r="F312" i="23"/>
  <c r="X310" i="19"/>
  <c r="B225" i="19"/>
  <c r="R225" i="19"/>
  <c r="G205" i="23"/>
  <c r="Y203" i="19"/>
  <c r="E233" i="23"/>
  <c r="T231" i="19"/>
  <c r="G969" i="23"/>
  <c r="Y967" i="19"/>
  <c r="G964" i="23"/>
  <c r="Y962" i="19"/>
  <c r="E926" i="23"/>
  <c r="T924" i="19"/>
  <c r="G805" i="23"/>
  <c r="Y803" i="19"/>
  <c r="B848" i="19"/>
  <c r="R848" i="19"/>
  <c r="E948" i="23"/>
  <c r="T946" i="19"/>
  <c r="F781" i="23"/>
  <c r="X779" i="19"/>
  <c r="F785" i="23"/>
  <c r="X783" i="19"/>
  <c r="G775" i="23"/>
  <c r="Y773" i="19"/>
  <c r="A779" i="23"/>
  <c r="P777" i="19"/>
  <c r="AP777" i="19"/>
  <c r="E993" i="23"/>
  <c r="T991" i="19"/>
  <c r="J983" i="23"/>
  <c r="V981" i="19"/>
  <c r="W981" i="19" s="1"/>
  <c r="E898" i="23"/>
  <c r="T896" i="19"/>
  <c r="E902" i="23"/>
  <c r="T900" i="19"/>
  <c r="B876" i="19"/>
  <c r="R876" i="19"/>
  <c r="E808" i="23"/>
  <c r="T806" i="19"/>
  <c r="E996" i="23"/>
  <c r="T994" i="19"/>
  <c r="R861" i="19"/>
  <c r="B861" i="19"/>
  <c r="G958" i="23"/>
  <c r="Y956" i="19"/>
  <c r="F833" i="23"/>
  <c r="X831" i="19"/>
  <c r="J749" i="23"/>
  <c r="V747" i="19"/>
  <c r="W747" i="19" s="1"/>
  <c r="G956" i="23"/>
  <c r="Y954" i="19"/>
  <c r="F923" i="23"/>
  <c r="X921" i="19"/>
  <c r="J887" i="23"/>
  <c r="V885" i="19"/>
  <c r="W885" i="19" s="1"/>
  <c r="J875" i="23"/>
  <c r="V873" i="19"/>
  <c r="W873" i="19" s="1"/>
  <c r="G795" i="23"/>
  <c r="Y793" i="19"/>
  <c r="F946" i="23"/>
  <c r="X944" i="19"/>
  <c r="E897" i="23"/>
  <c r="T895" i="19"/>
  <c r="E885" i="23"/>
  <c r="T883" i="19"/>
  <c r="E873" i="23"/>
  <c r="T871" i="19"/>
  <c r="G861" i="23"/>
  <c r="Y859" i="19"/>
  <c r="J924" i="23"/>
  <c r="V922" i="19"/>
  <c r="W922" i="19" s="1"/>
  <c r="E876" i="23"/>
  <c r="T874" i="19"/>
  <c r="E757" i="23"/>
  <c r="T755" i="19"/>
  <c r="E972" i="23"/>
  <c r="T970" i="19"/>
  <c r="A909" i="23"/>
  <c r="P907" i="19"/>
  <c r="AP907" i="19"/>
  <c r="J646" i="23"/>
  <c r="V644" i="19"/>
  <c r="W644" i="19" s="1"/>
  <c r="E700" i="23"/>
  <c r="T698" i="19"/>
  <c r="R760" i="19"/>
  <c r="B760" i="19"/>
  <c r="J673" i="23"/>
  <c r="V671" i="19"/>
  <c r="W671" i="19" s="1"/>
  <c r="R794" i="19"/>
  <c r="B794" i="19"/>
  <c r="R759" i="19"/>
  <c r="B759" i="19"/>
  <c r="E616" i="23"/>
  <c r="T614" i="19"/>
  <c r="F604" i="23"/>
  <c r="X602" i="19"/>
  <c r="G702" i="23"/>
  <c r="Y700" i="19"/>
  <c r="F510" i="23"/>
  <c r="X508" i="19"/>
  <c r="F729" i="23"/>
  <c r="X727" i="19"/>
  <c r="J649" i="23"/>
  <c r="V647" i="19"/>
  <c r="W647" i="19" s="1"/>
  <c r="E554" i="23"/>
  <c r="T552" i="19"/>
  <c r="R652" i="19"/>
  <c r="B652" i="19"/>
  <c r="B637" i="19"/>
  <c r="R637" i="19"/>
  <c r="I739" i="23"/>
  <c r="G993" i="23"/>
  <c r="Y991" i="19"/>
  <c r="E981" i="23"/>
  <c r="T979" i="19"/>
  <c r="G880" i="23"/>
  <c r="Y878" i="19"/>
  <c r="G896" i="23"/>
  <c r="Y894" i="19"/>
  <c r="F959" i="23"/>
  <c r="X957" i="19"/>
  <c r="F817" i="23"/>
  <c r="X815" i="19"/>
  <c r="R933" i="19"/>
  <c r="B933" i="19"/>
  <c r="B908" i="19"/>
  <c r="R908" i="19"/>
  <c r="J956" i="23"/>
  <c r="V954" i="19"/>
  <c r="W954" i="19" s="1"/>
  <c r="F899" i="23"/>
  <c r="X897" i="19"/>
  <c r="F863" i="23"/>
  <c r="X861" i="19"/>
  <c r="B894" i="19"/>
  <c r="R894" i="19"/>
  <c r="R852" i="19"/>
  <c r="B852" i="19"/>
  <c r="E788" i="23"/>
  <c r="T786" i="19"/>
  <c r="R994" i="19"/>
  <c r="B994" i="19"/>
  <c r="E950" i="23"/>
  <c r="T948" i="19"/>
  <c r="C962" i="23"/>
  <c r="U960" i="19"/>
  <c r="J848" i="23"/>
  <c r="V846" i="19"/>
  <c r="W846" i="19" s="1"/>
  <c r="J972" i="23"/>
  <c r="V970" i="19"/>
  <c r="W970" i="19" s="1"/>
  <c r="J859" i="23"/>
  <c r="V857" i="19"/>
  <c r="W857" i="19" s="1"/>
  <c r="A869" i="23"/>
  <c r="K869" i="23" s="1"/>
  <c r="P867" i="19"/>
  <c r="AP867" i="19"/>
  <c r="E831" i="23"/>
  <c r="T829" i="19"/>
  <c r="E859" i="23"/>
  <c r="T857" i="19"/>
  <c r="F840" i="23"/>
  <c r="X838" i="19"/>
  <c r="J814" i="23"/>
  <c r="V812" i="19"/>
  <c r="W812" i="19" s="1"/>
  <c r="C835" i="23"/>
  <c r="U833" i="19"/>
  <c r="G960" i="23"/>
  <c r="Y958" i="19"/>
  <c r="A842" i="23"/>
  <c r="K842" i="23" s="1"/>
  <c r="AP840" i="19"/>
  <c r="P840" i="19"/>
  <c r="G809" i="23"/>
  <c r="Y807" i="19"/>
  <c r="J813" i="23"/>
  <c r="V811" i="19"/>
  <c r="W811" i="19" s="1"/>
  <c r="I957" i="23"/>
  <c r="J919" i="23"/>
  <c r="V917" i="19"/>
  <c r="W917" i="19" s="1"/>
  <c r="C790" i="23"/>
  <c r="U788" i="19"/>
  <c r="B771" i="19"/>
  <c r="R771" i="19"/>
  <c r="J825" i="23"/>
  <c r="V823" i="19"/>
  <c r="W823" i="19" s="1"/>
  <c r="B791" i="19"/>
  <c r="R791" i="19"/>
  <c r="G943" i="23"/>
  <c r="Y941" i="19"/>
  <c r="F796" i="23"/>
  <c r="X794" i="19"/>
  <c r="G734" i="23"/>
  <c r="Y732" i="19"/>
  <c r="J690" i="23"/>
  <c r="V688" i="19"/>
  <c r="W688" i="19" s="1"/>
  <c r="G733" i="23"/>
  <c r="Y731" i="19"/>
  <c r="F658" i="23"/>
  <c r="X656" i="19"/>
  <c r="G794" i="23"/>
  <c r="Y792" i="19"/>
  <c r="A782" i="23"/>
  <c r="K782" i="23" s="1"/>
  <c r="AP780" i="19"/>
  <c r="P780" i="19"/>
  <c r="B732" i="19"/>
  <c r="R732" i="19"/>
  <c r="G697" i="23"/>
  <c r="Y695" i="19"/>
  <c r="E762" i="23"/>
  <c r="T760" i="19"/>
  <c r="G747" i="23"/>
  <c r="Y745" i="19"/>
  <c r="F659" i="23"/>
  <c r="X657" i="19"/>
  <c r="B785" i="19"/>
  <c r="R785" i="19"/>
  <c r="F751" i="23"/>
  <c r="X749" i="19"/>
  <c r="E740" i="23"/>
  <c r="T738" i="19"/>
  <c r="E691" i="23"/>
  <c r="T689" i="19"/>
  <c r="R659" i="19"/>
  <c r="B659" i="19"/>
  <c r="G724" i="23"/>
  <c r="Y722" i="19"/>
  <c r="F694" i="23"/>
  <c r="X692" i="19"/>
  <c r="R671" i="19"/>
  <c r="B671" i="19"/>
  <c r="R644" i="19"/>
  <c r="B644" i="19"/>
  <c r="F625" i="23"/>
  <c r="X623" i="19"/>
  <c r="J803" i="23"/>
  <c r="V801" i="19"/>
  <c r="W801" i="19" s="1"/>
  <c r="E719" i="23"/>
  <c r="T717" i="19"/>
  <c r="F701" i="23"/>
  <c r="X699" i="19"/>
  <c r="E692" i="23"/>
  <c r="T690" i="19"/>
  <c r="B623" i="19"/>
  <c r="R623" i="19"/>
  <c r="J761" i="23"/>
  <c r="V759" i="19"/>
  <c r="W759" i="19" s="1"/>
  <c r="J734" i="23"/>
  <c r="V732" i="19"/>
  <c r="W732" i="19" s="1"/>
  <c r="E709" i="23"/>
  <c r="T707" i="19"/>
  <c r="C650" i="23"/>
  <c r="U648" i="19"/>
  <c r="B560" i="19"/>
  <c r="R560" i="19"/>
  <c r="F545" i="23"/>
  <c r="X543" i="19"/>
  <c r="F616" i="23"/>
  <c r="X614" i="19"/>
  <c r="R529" i="19"/>
  <c r="B529" i="19"/>
  <c r="E702" i="23"/>
  <c r="T700" i="19"/>
  <c r="J607" i="23"/>
  <c r="V605" i="19"/>
  <c r="W605" i="19" s="1"/>
  <c r="F533" i="23"/>
  <c r="X531" i="19"/>
  <c r="E509" i="23"/>
  <c r="T507" i="19"/>
  <c r="G447" i="23"/>
  <c r="Y445" i="19"/>
  <c r="B727" i="19"/>
  <c r="R727" i="19"/>
  <c r="E649" i="23"/>
  <c r="T647" i="19"/>
  <c r="I620" i="23"/>
  <c r="F554" i="23"/>
  <c r="X552" i="19"/>
  <c r="A699" i="23"/>
  <c r="P697" i="19"/>
  <c r="AP697" i="19"/>
  <c r="G654" i="23"/>
  <c r="Y652" i="19"/>
  <c r="F569" i="23"/>
  <c r="X567" i="19"/>
  <c r="I688" i="23"/>
  <c r="R632" i="19"/>
  <c r="B632" i="19"/>
  <c r="G495" i="23"/>
  <c r="Y493" i="19"/>
  <c r="I679" i="23"/>
  <c r="G722" i="23"/>
  <c r="Y720" i="19"/>
  <c r="J639" i="23"/>
  <c r="V637" i="19"/>
  <c r="W637" i="19" s="1"/>
  <c r="B570" i="19"/>
  <c r="R570" i="19"/>
  <c r="G498" i="23"/>
  <c r="Y496" i="19"/>
  <c r="E518" i="23"/>
  <c r="T516" i="19"/>
  <c r="F663" i="23"/>
  <c r="X661" i="19"/>
  <c r="E605" i="23"/>
  <c r="T603" i="19"/>
  <c r="J583" i="23"/>
  <c r="V581" i="19"/>
  <c r="W581" i="19" s="1"/>
  <c r="B572" i="19"/>
  <c r="R572" i="19"/>
  <c r="I579" i="23"/>
  <c r="B549" i="19"/>
  <c r="R549" i="19"/>
  <c r="E502" i="23"/>
  <c r="T500" i="19"/>
  <c r="R476" i="19"/>
  <c r="B476" i="19"/>
  <c r="G450" i="23"/>
  <c r="Y448" i="19"/>
  <c r="G427" i="23"/>
  <c r="Y425" i="19"/>
  <c r="R301" i="19"/>
  <c r="B301" i="19"/>
  <c r="F452" i="23"/>
  <c r="X450" i="19"/>
  <c r="C707" i="23"/>
  <c r="U705" i="19"/>
  <c r="E485" i="23"/>
  <c r="T483" i="19"/>
  <c r="F434" i="23"/>
  <c r="X432" i="19"/>
  <c r="J601" i="23"/>
  <c r="V599" i="19"/>
  <c r="W599" i="19" s="1"/>
  <c r="R390" i="19"/>
  <c r="B390" i="19"/>
  <c r="E363" i="23"/>
  <c r="T361" i="19"/>
  <c r="G515" i="23"/>
  <c r="Y513" i="19"/>
  <c r="E486" i="23"/>
  <c r="T484" i="19"/>
  <c r="B459" i="19"/>
  <c r="R459" i="19"/>
  <c r="R342" i="19"/>
  <c r="B342" i="19"/>
  <c r="R306" i="19"/>
  <c r="B306" i="19"/>
  <c r="I472" i="23"/>
  <c r="B361" i="19"/>
  <c r="R361" i="19"/>
  <c r="G348" i="23"/>
  <c r="Y346" i="19"/>
  <c r="F213" i="23"/>
  <c r="X211" i="19"/>
  <c r="E432" i="23"/>
  <c r="T430" i="19"/>
  <c r="F360" i="23"/>
  <c r="X358" i="19"/>
  <c r="G249" i="23"/>
  <c r="Y247" i="19"/>
  <c r="F264" i="23"/>
  <c r="X262" i="19"/>
  <c r="E226" i="23"/>
  <c r="T224" i="19"/>
  <c r="R200" i="19"/>
  <c r="B200" i="19"/>
  <c r="G334" i="23"/>
  <c r="Y332" i="19"/>
  <c r="E251" i="23"/>
  <c r="T249" i="19"/>
  <c r="G315" i="23"/>
  <c r="Y313" i="19"/>
  <c r="G312" i="23"/>
  <c r="Y310" i="19"/>
  <c r="G236" i="23"/>
  <c r="Y234" i="19"/>
  <c r="G194" i="23"/>
  <c r="Y192" i="19"/>
  <c r="F273" i="23"/>
  <c r="X271" i="19"/>
  <c r="G296" i="23"/>
  <c r="Y294" i="19"/>
  <c r="E230" i="23"/>
  <c r="T228" i="19"/>
  <c r="R307" i="19"/>
  <c r="B307" i="19"/>
  <c r="G273" i="23"/>
  <c r="Y271" i="19"/>
  <c r="I400" i="23"/>
  <c r="E228" i="23"/>
  <c r="T226" i="19"/>
  <c r="R287" i="19"/>
  <c r="B287" i="19"/>
  <c r="B233" i="19"/>
  <c r="R233" i="19"/>
  <c r="F210" i="23"/>
  <c r="X208" i="19"/>
  <c r="B255" i="19"/>
  <c r="R255" i="19"/>
  <c r="E211" i="23"/>
  <c r="T209" i="19"/>
  <c r="F279" i="23"/>
  <c r="X277" i="19"/>
  <c r="F340" i="23"/>
  <c r="X338" i="19"/>
  <c r="G291" i="23"/>
  <c r="Y289" i="19"/>
  <c r="E886" i="23"/>
  <c r="T884" i="19"/>
  <c r="E817" i="23"/>
  <c r="T815" i="19"/>
  <c r="R857" i="19"/>
  <c r="B857" i="19"/>
  <c r="F773" i="23"/>
  <c r="X771" i="19"/>
  <c r="R946" i="19"/>
  <c r="B946" i="19"/>
  <c r="J797" i="23"/>
  <c r="V795" i="19"/>
  <c r="W795" i="19" s="1"/>
  <c r="F736" i="23"/>
  <c r="X734" i="19"/>
  <c r="R482" i="19"/>
  <c r="B482" i="19"/>
  <c r="G299" i="23"/>
  <c r="Y297" i="19"/>
  <c r="R486" i="19"/>
  <c r="B486" i="19"/>
  <c r="E332" i="23"/>
  <c r="T330" i="19"/>
  <c r="E844" i="23"/>
  <c r="T842" i="19"/>
  <c r="F759" i="23"/>
  <c r="X757" i="19"/>
  <c r="J884" i="23"/>
  <c r="V882" i="19"/>
  <c r="W882" i="19" s="1"/>
  <c r="E914" i="23"/>
  <c r="T912" i="19"/>
  <c r="F970" i="23"/>
  <c r="X968" i="19"/>
  <c r="G908" i="23"/>
  <c r="Y906" i="19"/>
  <c r="F808" i="23"/>
  <c r="X806" i="19"/>
  <c r="J968" i="23"/>
  <c r="V966" i="19"/>
  <c r="W966" i="19" s="1"/>
  <c r="F805" i="23"/>
  <c r="X803" i="19"/>
  <c r="E998" i="23"/>
  <c r="T996" i="19"/>
  <c r="E967" i="23"/>
  <c r="T965" i="19"/>
  <c r="G872" i="23"/>
  <c r="Y870" i="19"/>
  <c r="F835" i="23"/>
  <c r="X833" i="19"/>
  <c r="B884" i="19"/>
  <c r="R884" i="19"/>
  <c r="J996" i="23"/>
  <c r="V994" i="19"/>
  <c r="W994" i="19" s="1"/>
  <c r="E921" i="23"/>
  <c r="T919" i="19"/>
  <c r="G713" i="23"/>
  <c r="Y711" i="19"/>
  <c r="G774" i="23"/>
  <c r="Y772" i="19"/>
  <c r="G840" i="23"/>
  <c r="Y838" i="19"/>
  <c r="G791" i="23"/>
  <c r="Y789" i="19"/>
  <c r="E825" i="23"/>
  <c r="T823" i="19"/>
  <c r="E943" i="23"/>
  <c r="T941" i="19"/>
  <c r="B756" i="19"/>
  <c r="R756" i="19"/>
  <c r="E751" i="23"/>
  <c r="T749" i="19"/>
  <c r="R738" i="19"/>
  <c r="B738" i="19"/>
  <c r="B795" i="19"/>
  <c r="R795" i="19"/>
  <c r="F677" i="23"/>
  <c r="X675" i="19"/>
  <c r="J622" i="23"/>
  <c r="V620" i="19"/>
  <c r="W620" i="19" s="1"/>
  <c r="E574" i="23"/>
  <c r="T572" i="19"/>
  <c r="J591" i="23"/>
  <c r="V589" i="19"/>
  <c r="W589" i="19" s="1"/>
  <c r="C699" i="23"/>
  <c r="U697" i="19"/>
  <c r="G892" i="23"/>
  <c r="Y890" i="19"/>
  <c r="F998" i="23"/>
  <c r="X996" i="19"/>
  <c r="J872" i="23"/>
  <c r="V870" i="19"/>
  <c r="W870" i="19" s="1"/>
  <c r="E910" i="23"/>
  <c r="T908" i="19"/>
  <c r="E874" i="23"/>
  <c r="K874" i="23" s="1"/>
  <c r="T872" i="19"/>
  <c r="J984" i="23"/>
  <c r="V982" i="19"/>
  <c r="W982" i="19" s="1"/>
  <c r="C970" i="23"/>
  <c r="U968" i="19"/>
  <c r="F855" i="23"/>
  <c r="X853" i="19"/>
  <c r="B948" i="19"/>
  <c r="R948" i="19"/>
  <c r="J876" i="23"/>
  <c r="V874" i="19"/>
  <c r="W874" i="19" s="1"/>
  <c r="G933" i="23"/>
  <c r="Y931" i="19"/>
  <c r="G818" i="23"/>
  <c r="Y816" i="19"/>
  <c r="I961" i="23"/>
  <c r="J784" i="23"/>
  <c r="V782" i="19"/>
  <c r="W782" i="19" s="1"/>
  <c r="E986" i="23"/>
  <c r="T984" i="19"/>
  <c r="G976" i="23"/>
  <c r="Y974" i="19"/>
  <c r="G868" i="23"/>
  <c r="Y866" i="19"/>
  <c r="G983" i="23"/>
  <c r="Y981" i="19"/>
  <c r="F980" i="23"/>
  <c r="X978" i="19"/>
  <c r="F982" i="23"/>
  <c r="X980" i="19"/>
  <c r="J995" i="23"/>
  <c r="V993" i="19"/>
  <c r="W993" i="19" s="1"/>
  <c r="J971" i="23"/>
  <c r="V969" i="19"/>
  <c r="W969" i="19" s="1"/>
  <c r="E945" i="23"/>
  <c r="T943" i="19"/>
  <c r="G922" i="23"/>
  <c r="Y920" i="19"/>
  <c r="J896" i="23"/>
  <c r="V894" i="19"/>
  <c r="W894" i="19" s="1"/>
  <c r="R982" i="19"/>
  <c r="B982" i="19"/>
  <c r="G932" i="23"/>
  <c r="Y930" i="19"/>
  <c r="F887" i="23"/>
  <c r="X885" i="19"/>
  <c r="F875" i="23"/>
  <c r="X873" i="19"/>
  <c r="E854" i="23"/>
  <c r="T852" i="19"/>
  <c r="G783" i="23"/>
  <c r="Y781" i="19"/>
  <c r="G991" i="23"/>
  <c r="Y989" i="19"/>
  <c r="C915" i="23"/>
  <c r="U913" i="19"/>
  <c r="C891" i="23"/>
  <c r="U889" i="19"/>
  <c r="G855" i="23"/>
  <c r="Y853" i="19"/>
  <c r="G950" i="23"/>
  <c r="Y948" i="19"/>
  <c r="F910" i="23"/>
  <c r="X908" i="19"/>
  <c r="B783" i="19"/>
  <c r="R783" i="19"/>
  <c r="C898" i="23"/>
  <c r="U896" i="19"/>
  <c r="G859" i="23"/>
  <c r="Y857" i="19"/>
  <c r="E818" i="23"/>
  <c r="T816" i="19"/>
  <c r="C869" i="23"/>
  <c r="U867" i="19"/>
  <c r="G831" i="23"/>
  <c r="Y829" i="19"/>
  <c r="R782" i="19"/>
  <c r="B782" i="19"/>
  <c r="R839" i="19"/>
  <c r="B839" i="19"/>
  <c r="C842" i="23"/>
  <c r="U840" i="19"/>
  <c r="R825" i="19"/>
  <c r="B825" i="19"/>
  <c r="E919" i="23"/>
  <c r="T917" i="19"/>
  <c r="F813" i="23"/>
  <c r="X811" i="19"/>
  <c r="G767" i="23"/>
  <c r="Y765" i="19"/>
  <c r="G825" i="23"/>
  <c r="Y823" i="19"/>
  <c r="G793" i="23"/>
  <c r="Y791" i="19"/>
  <c r="G764" i="23"/>
  <c r="Y762" i="19"/>
  <c r="F665" i="23"/>
  <c r="X663" i="19"/>
  <c r="G638" i="23"/>
  <c r="Y636" i="19"/>
  <c r="C791" i="23"/>
  <c r="U789" i="19"/>
  <c r="A755" i="23"/>
  <c r="P753" i="19"/>
  <c r="AP753" i="19"/>
  <c r="J733" i="23"/>
  <c r="V731" i="19"/>
  <c r="W731" i="19" s="1"/>
  <c r="R673" i="19"/>
  <c r="B673" i="19"/>
  <c r="J794" i="23"/>
  <c r="V792" i="19"/>
  <c r="W792" i="19" s="1"/>
  <c r="C782" i="23"/>
  <c r="U780" i="19"/>
  <c r="B695" i="19"/>
  <c r="R695" i="19"/>
  <c r="F628" i="23"/>
  <c r="X626" i="19"/>
  <c r="F747" i="23"/>
  <c r="X745" i="19"/>
  <c r="E658" i="23"/>
  <c r="T656" i="19"/>
  <c r="E787" i="23"/>
  <c r="T785" i="19"/>
  <c r="J751" i="23"/>
  <c r="V749" i="19"/>
  <c r="W749" i="19" s="1"/>
  <c r="J691" i="23"/>
  <c r="V689" i="19"/>
  <c r="W689" i="19" s="1"/>
  <c r="J753" i="23"/>
  <c r="V751" i="19"/>
  <c r="W751" i="19" s="1"/>
  <c r="J694" i="23"/>
  <c r="V692" i="19"/>
  <c r="W692" i="19" s="1"/>
  <c r="B643" i="19"/>
  <c r="R643" i="19"/>
  <c r="E704" i="23"/>
  <c r="T702" i="19"/>
  <c r="E797" i="23"/>
  <c r="T795" i="19"/>
  <c r="F719" i="23"/>
  <c r="X717" i="19"/>
  <c r="F931" i="23"/>
  <c r="X929" i="19"/>
  <c r="I768" i="23"/>
  <c r="R736" i="19"/>
  <c r="B736" i="19"/>
  <c r="R707" i="19"/>
  <c r="B707" i="19"/>
  <c r="J571" i="23"/>
  <c r="V569" i="19"/>
  <c r="W569" i="19" s="1"/>
  <c r="E545" i="23"/>
  <c r="T543" i="19"/>
  <c r="F727" i="23"/>
  <c r="X725" i="19"/>
  <c r="J616" i="23"/>
  <c r="V614" i="19"/>
  <c r="W614" i="19" s="1"/>
  <c r="R522" i="19"/>
  <c r="B522" i="19"/>
  <c r="J702" i="23"/>
  <c r="V700" i="19"/>
  <c r="W700" i="19" s="1"/>
  <c r="B605" i="19"/>
  <c r="R605" i="19"/>
  <c r="J584" i="23"/>
  <c r="V582" i="19"/>
  <c r="W582" i="19" s="1"/>
  <c r="G571" i="23"/>
  <c r="Y569" i="19"/>
  <c r="E533" i="23"/>
  <c r="T531" i="19"/>
  <c r="F508" i="23"/>
  <c r="X506" i="19"/>
  <c r="G729" i="23"/>
  <c r="Y727" i="19"/>
  <c r="G649" i="23"/>
  <c r="Y647" i="19"/>
  <c r="E589" i="23"/>
  <c r="T587" i="19"/>
  <c r="E539" i="23"/>
  <c r="T537" i="19"/>
  <c r="B655" i="19"/>
  <c r="R655" i="19"/>
  <c r="E542" i="23"/>
  <c r="T540" i="19"/>
  <c r="G581" i="23"/>
  <c r="Y579" i="19"/>
  <c r="G572" i="23"/>
  <c r="Y570" i="19"/>
  <c r="G542" i="23"/>
  <c r="Y540" i="19"/>
  <c r="R567" i="19"/>
  <c r="B567" i="19"/>
  <c r="F518" i="23"/>
  <c r="X516" i="19"/>
  <c r="J663" i="23"/>
  <c r="V661" i="19"/>
  <c r="W661" i="19" s="1"/>
  <c r="B581" i="19"/>
  <c r="R581" i="19"/>
  <c r="R442" i="19"/>
  <c r="B442" i="19"/>
  <c r="E551" i="23"/>
  <c r="T549" i="19"/>
  <c r="G502" i="23"/>
  <c r="Y500" i="19"/>
  <c r="F432" i="23"/>
  <c r="X430" i="19"/>
  <c r="F384" i="23"/>
  <c r="X382" i="19"/>
  <c r="F427" i="23"/>
  <c r="X425" i="19"/>
  <c r="G301" i="23"/>
  <c r="Y299" i="19"/>
  <c r="B409" i="19"/>
  <c r="R409" i="19"/>
  <c r="E452" i="23"/>
  <c r="T450" i="19"/>
  <c r="E526" i="23"/>
  <c r="T524" i="19"/>
  <c r="G439" i="23"/>
  <c r="Y437" i="19"/>
  <c r="E613" i="23"/>
  <c r="T611" i="19"/>
  <c r="B429" i="19"/>
  <c r="R429" i="19"/>
  <c r="R402" i="19"/>
  <c r="B402" i="19"/>
  <c r="R536" i="19"/>
  <c r="B536" i="19"/>
  <c r="G461" i="23"/>
  <c r="Y459" i="19"/>
  <c r="F412" i="23"/>
  <c r="X410" i="19"/>
  <c r="G363" i="23"/>
  <c r="Y361" i="19"/>
  <c r="A629" i="23"/>
  <c r="P627" i="19"/>
  <c r="AP627" i="19"/>
  <c r="B441" i="19"/>
  <c r="R441" i="19"/>
  <c r="G412" i="23"/>
  <c r="Y410" i="19"/>
  <c r="B386" i="19"/>
  <c r="R386" i="19"/>
  <c r="G237" i="23"/>
  <c r="Y235" i="19"/>
  <c r="R199" i="19"/>
  <c r="B199" i="19"/>
  <c r="G286" i="23"/>
  <c r="Y284" i="19"/>
  <c r="F239" i="23"/>
  <c r="X237" i="19"/>
  <c r="F315" i="23"/>
  <c r="X313" i="19"/>
  <c r="F309" i="23"/>
  <c r="X307" i="19"/>
  <c r="R294" i="19"/>
  <c r="B294" i="19"/>
  <c r="B246" i="19"/>
  <c r="R246" i="19"/>
  <c r="E270" i="23"/>
  <c r="T268" i="19"/>
  <c r="F448" i="23"/>
  <c r="X446" i="19"/>
  <c r="F302" i="23"/>
  <c r="X300" i="19"/>
  <c r="E280" i="23"/>
  <c r="T278" i="19"/>
  <c r="G228" i="23"/>
  <c r="Y226" i="19"/>
  <c r="F322" i="23"/>
  <c r="X320" i="19"/>
  <c r="E277" i="23"/>
  <c r="T275" i="19"/>
  <c r="G235" i="23"/>
  <c r="Y233" i="19"/>
  <c r="G209" i="23"/>
  <c r="Y207" i="19"/>
  <c r="I358" i="23"/>
  <c r="B267" i="19"/>
  <c r="R267" i="19"/>
  <c r="B242" i="23"/>
  <c r="A240" i="19"/>
  <c r="E257" i="23"/>
  <c r="T255" i="19"/>
  <c r="F233" i="23"/>
  <c r="X231" i="19"/>
  <c r="G211" i="23"/>
  <c r="Y209" i="19"/>
  <c r="E279" i="23"/>
  <c r="T277" i="19"/>
  <c r="B239" i="19"/>
  <c r="R239" i="19"/>
  <c r="J12" i="8"/>
  <c r="E7" i="3"/>
  <c r="E7" i="28"/>
  <c r="F260" i="23"/>
  <c r="X258" i="19"/>
  <c r="I397" i="23"/>
  <c r="R979" i="19"/>
  <c r="B979" i="19"/>
  <c r="J878" i="23"/>
  <c r="V876" i="19"/>
  <c r="W876" i="19" s="1"/>
  <c r="R970" i="19"/>
  <c r="B970" i="19"/>
  <c r="J895" i="23"/>
  <c r="V893" i="19"/>
  <c r="W893" i="19" s="1"/>
  <c r="E841" i="23"/>
  <c r="T839" i="19"/>
  <c r="F806" i="23"/>
  <c r="X804" i="19"/>
  <c r="I813" i="23"/>
  <c r="G531" i="23"/>
  <c r="Y529" i="19"/>
  <c r="F352" i="23"/>
  <c r="X350" i="19"/>
  <c r="G409" i="23"/>
  <c r="Y407" i="19"/>
  <c r="E241" i="23"/>
  <c r="T239" i="19"/>
  <c r="G945" i="23"/>
  <c r="Y943" i="19"/>
  <c r="F934" i="23"/>
  <c r="X932" i="19"/>
  <c r="I980" i="23"/>
  <c r="A922" i="23"/>
  <c r="AP920" i="19"/>
  <c r="P920" i="19"/>
  <c r="E960" i="23"/>
  <c r="T958" i="19"/>
  <c r="G813" i="23"/>
  <c r="Y811" i="19"/>
  <c r="R941" i="19"/>
  <c r="B941" i="19"/>
  <c r="E761" i="23"/>
  <c r="T759" i="19"/>
  <c r="B684" i="19"/>
  <c r="R684" i="19"/>
  <c r="F637" i="23"/>
  <c r="X635" i="19"/>
  <c r="J675" i="23"/>
  <c r="V673" i="19"/>
  <c r="W673" i="19" s="1"/>
  <c r="G626" i="23"/>
  <c r="Y624" i="19"/>
  <c r="R708" i="19"/>
  <c r="B708" i="19"/>
  <c r="B569" i="19"/>
  <c r="R569" i="19"/>
  <c r="G507" i="23"/>
  <c r="Y505" i="19"/>
  <c r="E569" i="23"/>
  <c r="T567" i="19"/>
  <c r="C631" i="23"/>
  <c r="U629" i="19"/>
  <c r="G368" i="23"/>
  <c r="Y366" i="19"/>
  <c r="C620" i="23"/>
  <c r="U618" i="19"/>
  <c r="G526" i="23"/>
  <c r="Y524" i="19"/>
  <c r="G430" i="23"/>
  <c r="Y428" i="19"/>
  <c r="E443" i="23"/>
  <c r="T441" i="19"/>
  <c r="R192" i="19"/>
  <c r="B192" i="19"/>
  <c r="B300" i="19"/>
  <c r="R300" i="19"/>
  <c r="G322" i="23"/>
  <c r="Y320" i="19"/>
  <c r="G206" i="23"/>
  <c r="Y204" i="19"/>
  <c r="B338" i="19"/>
  <c r="R338" i="19"/>
  <c r="J932" i="23"/>
  <c r="V930" i="19"/>
  <c r="W930" i="19" s="1"/>
  <c r="B882" i="19"/>
  <c r="R882" i="19"/>
  <c r="F851" i="23"/>
  <c r="X849" i="19"/>
  <c r="F831" i="23"/>
  <c r="X829" i="19"/>
  <c r="J871" i="23"/>
  <c r="V869" i="19"/>
  <c r="W869" i="19" s="1"/>
  <c r="F745" i="23"/>
  <c r="X743" i="19"/>
  <c r="G614" i="23"/>
  <c r="Y612" i="19"/>
  <c r="J664" i="23"/>
  <c r="V662" i="19"/>
  <c r="W662" i="19" s="1"/>
  <c r="G727" i="23"/>
  <c r="Y725" i="19"/>
  <c r="E729" i="23"/>
  <c r="T727" i="19"/>
  <c r="R613" i="19"/>
  <c r="B613" i="19"/>
  <c r="B530" i="19"/>
  <c r="R530" i="19"/>
  <c r="I510" i="23"/>
  <c r="F526" i="23"/>
  <c r="X524" i="19"/>
  <c r="B611" i="19"/>
  <c r="R611" i="19"/>
  <c r="F433" i="23"/>
  <c r="X431" i="19"/>
  <c r="C629" i="23"/>
  <c r="U627" i="19"/>
  <c r="B350" i="19"/>
  <c r="R350" i="19"/>
  <c r="E239" i="23"/>
  <c r="T237" i="19"/>
  <c r="E315" i="23"/>
  <c r="T313" i="19"/>
  <c r="R219" i="19"/>
  <c r="B219" i="19"/>
  <c r="B191" i="19"/>
  <c r="R191" i="19"/>
  <c r="B336" i="19"/>
  <c r="R336" i="19"/>
  <c r="G260" i="23"/>
  <c r="Y258" i="19"/>
  <c r="B731" i="19"/>
  <c r="R731" i="19"/>
  <c r="R688" i="19"/>
  <c r="B688" i="19"/>
  <c r="B725" i="19"/>
  <c r="R725" i="19"/>
  <c r="G560" i="23"/>
  <c r="Y558" i="19"/>
  <c r="G445" i="23"/>
  <c r="Y443" i="19"/>
  <c r="E411" i="23"/>
  <c r="T409" i="19"/>
  <c r="E461" i="23"/>
  <c r="T459" i="19"/>
  <c r="G193" i="23"/>
  <c r="Y191" i="19"/>
  <c r="R212" i="19"/>
  <c r="B212" i="19"/>
  <c r="F270" i="23"/>
  <c r="X268" i="19"/>
  <c r="J934" i="23"/>
  <c r="V932" i="19"/>
  <c r="W932" i="19" s="1"/>
  <c r="E814" i="23"/>
  <c r="T812" i="19"/>
  <c r="E895" i="23"/>
  <c r="T893" i="19"/>
  <c r="J841" i="23"/>
  <c r="V839" i="19"/>
  <c r="W839" i="19" s="1"/>
  <c r="J907" i="23"/>
  <c r="V905" i="19"/>
  <c r="W905" i="19" s="1"/>
  <c r="J764" i="23"/>
  <c r="V762" i="19"/>
  <c r="W762" i="19" s="1"/>
  <c r="G781" i="23"/>
  <c r="Y779" i="19"/>
  <c r="E711" i="23"/>
  <c r="T709" i="19"/>
  <c r="R656" i="19"/>
  <c r="B656" i="19"/>
  <c r="E571" i="23"/>
  <c r="T569" i="19"/>
  <c r="G598" i="23"/>
  <c r="Y596" i="19"/>
  <c r="R647" i="19"/>
  <c r="B647" i="19"/>
  <c r="E663" i="23"/>
  <c r="T661" i="19"/>
  <c r="E399" i="23"/>
  <c r="T397" i="19"/>
  <c r="M353" i="1"/>
  <c r="G252" i="23"/>
  <c r="Y250" i="19"/>
  <c r="R996" i="19"/>
  <c r="B996" i="19"/>
  <c r="E969" i="23"/>
  <c r="T967" i="19"/>
  <c r="F986" i="23"/>
  <c r="X984" i="19"/>
  <c r="F993" i="23"/>
  <c r="X991" i="19"/>
  <c r="G886" i="23"/>
  <c r="Y884" i="19"/>
  <c r="J860" i="23"/>
  <c r="V858" i="19"/>
  <c r="W858" i="19" s="1"/>
  <c r="J979" i="23"/>
  <c r="V977" i="19"/>
  <c r="W977" i="19" s="1"/>
  <c r="F979" i="23"/>
  <c r="X977" i="19"/>
  <c r="R972" i="19"/>
  <c r="B972" i="19"/>
  <c r="E947" i="23"/>
  <c r="T945" i="19"/>
  <c r="J902" i="23"/>
  <c r="V900" i="19"/>
  <c r="W900" i="19" s="1"/>
  <c r="B924" i="19"/>
  <c r="R924" i="19"/>
  <c r="G812" i="23"/>
  <c r="Y810" i="19"/>
  <c r="G771" i="23"/>
  <c r="Y769" i="19"/>
  <c r="J958" i="23"/>
  <c r="V956" i="19"/>
  <c r="W956" i="19" s="1"/>
  <c r="E849" i="23"/>
  <c r="T847" i="19"/>
  <c r="I975" i="23"/>
  <c r="J912" i="23"/>
  <c r="V910" i="19"/>
  <c r="W910" i="19" s="1"/>
  <c r="J888" i="23"/>
  <c r="V886" i="19"/>
  <c r="W886" i="19" s="1"/>
  <c r="E864" i="23"/>
  <c r="T862" i="19"/>
  <c r="B985" i="23"/>
  <c r="A983" i="19"/>
  <c r="R850" i="19"/>
  <c r="B850" i="19"/>
  <c r="J818" i="23"/>
  <c r="V816" i="19"/>
  <c r="W816" i="19" s="1"/>
  <c r="R803" i="19"/>
  <c r="B803" i="19"/>
  <c r="A898" i="23"/>
  <c r="AP896" i="19"/>
  <c r="P896" i="19"/>
  <c r="F807" i="23"/>
  <c r="X805" i="19"/>
  <c r="E955" i="23"/>
  <c r="T953" i="19"/>
  <c r="J883" i="23"/>
  <c r="V881" i="19"/>
  <c r="W881" i="19" s="1"/>
  <c r="G895" i="23"/>
  <c r="Y893" i="19"/>
  <c r="E907" i="23"/>
  <c r="T905" i="19"/>
  <c r="G871" i="23"/>
  <c r="Y869" i="19"/>
  <c r="R834" i="19"/>
  <c r="B834" i="19"/>
  <c r="F827" i="23"/>
  <c r="X825" i="19"/>
  <c r="J773" i="23"/>
  <c r="V771" i="19"/>
  <c r="W771" i="19" s="1"/>
  <c r="G841" i="23"/>
  <c r="Y839" i="19"/>
  <c r="J781" i="23"/>
  <c r="V779" i="19"/>
  <c r="W779" i="19" s="1"/>
  <c r="G948" i="23"/>
  <c r="Y946" i="19"/>
  <c r="R917" i="19"/>
  <c r="B917" i="19"/>
  <c r="E785" i="23"/>
  <c r="T783" i="19"/>
  <c r="G759" i="23"/>
  <c r="Y757" i="19"/>
  <c r="G816" i="23"/>
  <c r="Y814" i="19"/>
  <c r="B654" i="19"/>
  <c r="R654" i="19"/>
  <c r="F718" i="23"/>
  <c r="X716" i="19"/>
  <c r="J745" i="23"/>
  <c r="V743" i="19"/>
  <c r="W743" i="19" s="1"/>
  <c r="G602" i="23"/>
  <c r="Y600" i="19"/>
  <c r="G646" i="23"/>
  <c r="Y644" i="19"/>
  <c r="B680" i="19"/>
  <c r="R680" i="19"/>
  <c r="E824" i="23"/>
  <c r="T822" i="19"/>
  <c r="F753" i="23"/>
  <c r="X751" i="19"/>
  <c r="J688" i="23"/>
  <c r="V686" i="19"/>
  <c r="W686" i="19" s="1"/>
  <c r="J738" i="23"/>
  <c r="V736" i="19"/>
  <c r="W736" i="19" s="1"/>
  <c r="G717" i="23"/>
  <c r="Y715" i="19"/>
  <c r="J698" i="23"/>
  <c r="V696" i="19"/>
  <c r="W696" i="19" s="1"/>
  <c r="R801" i="19"/>
  <c r="B801" i="19"/>
  <c r="G715" i="23"/>
  <c r="Y713" i="19"/>
  <c r="E931" i="23"/>
  <c r="T929" i="19"/>
  <c r="R784" i="19"/>
  <c r="B784" i="19"/>
  <c r="J736" i="23"/>
  <c r="V734" i="19"/>
  <c r="W734" i="19" s="1"/>
  <c r="B713" i="19"/>
  <c r="R713" i="19"/>
  <c r="A756" i="23"/>
  <c r="K756" i="23" s="1"/>
  <c r="AP754" i="19"/>
  <c r="P754" i="19"/>
  <c r="F556" i="23"/>
  <c r="X554" i="19"/>
  <c r="B617" i="19"/>
  <c r="R617" i="19"/>
  <c r="B578" i="19"/>
  <c r="R578" i="19"/>
  <c r="E568" i="23"/>
  <c r="T566" i="19"/>
  <c r="G545" i="23"/>
  <c r="Y543" i="19"/>
  <c r="G737" i="23"/>
  <c r="Y735" i="19"/>
  <c r="J729" i="23"/>
  <c r="V727" i="19"/>
  <c r="W727" i="19" s="1"/>
  <c r="G615" i="23"/>
  <c r="Y613" i="19"/>
  <c r="R601" i="19"/>
  <c r="B601" i="19"/>
  <c r="J595" i="23"/>
  <c r="V593" i="19"/>
  <c r="W593" i="19" s="1"/>
  <c r="E657" i="23"/>
  <c r="T655" i="19"/>
  <c r="J633" i="23"/>
  <c r="V631" i="19"/>
  <c r="W631" i="19" s="1"/>
  <c r="C578" i="23"/>
  <c r="U576" i="19"/>
  <c r="F560" i="23"/>
  <c r="X558" i="19"/>
  <c r="G569" i="23"/>
  <c r="Y567" i="19"/>
  <c r="I719" i="23"/>
  <c r="G663" i="23"/>
  <c r="Y661" i="19"/>
  <c r="R625" i="19"/>
  <c r="B625" i="19"/>
  <c r="G617" i="23"/>
  <c r="Y615" i="19"/>
  <c r="B608" i="19"/>
  <c r="R608" i="19"/>
  <c r="G593" i="23"/>
  <c r="Y591" i="19"/>
  <c r="E491" i="23"/>
  <c r="T489" i="19"/>
  <c r="E484" i="23"/>
  <c r="T482" i="19"/>
  <c r="F481" i="23"/>
  <c r="X479" i="19"/>
  <c r="G337" i="23"/>
  <c r="Y335" i="19"/>
  <c r="E488" i="23"/>
  <c r="T486" i="19"/>
  <c r="G466" i="23"/>
  <c r="Y464" i="19"/>
  <c r="E482" i="23"/>
  <c r="T480" i="19"/>
  <c r="F613" i="23"/>
  <c r="X611" i="19"/>
  <c r="E351" i="23"/>
  <c r="T349" i="19"/>
  <c r="G529" i="23"/>
  <c r="Y527" i="19"/>
  <c r="R383" i="19"/>
  <c r="B383" i="19"/>
  <c r="B733" i="19"/>
  <c r="R733" i="19"/>
  <c r="E468" i="23"/>
  <c r="T466" i="19"/>
  <c r="G383" i="23"/>
  <c r="Y381" i="19"/>
  <c r="E282" i="23"/>
  <c r="T280" i="19"/>
  <c r="B374" i="19"/>
  <c r="R374" i="19"/>
  <c r="E339" i="23"/>
  <c r="T337" i="19"/>
  <c r="E250" i="23"/>
  <c r="T248" i="19"/>
  <c r="R196" i="19"/>
  <c r="B196" i="19"/>
  <c r="B314" i="19"/>
  <c r="R314" i="19"/>
  <c r="F227" i="23"/>
  <c r="X225" i="19"/>
  <c r="E311" i="23"/>
  <c r="T309" i="19"/>
  <c r="E221" i="23"/>
  <c r="T219" i="19"/>
  <c r="E242" i="23"/>
  <c r="T240" i="19"/>
  <c r="B190" i="19"/>
  <c r="R190" i="19"/>
  <c r="E320" i="23"/>
  <c r="T318" i="19"/>
  <c r="G448" i="23"/>
  <c r="Y446" i="19"/>
  <c r="G372" i="23"/>
  <c r="Y370" i="19"/>
  <c r="R248" i="19"/>
  <c r="B248" i="19"/>
  <c r="R224" i="19"/>
  <c r="B224" i="19"/>
  <c r="F205" i="23"/>
  <c r="X203" i="19"/>
  <c r="R285" i="19"/>
  <c r="B285" i="19"/>
  <c r="B417" i="23"/>
  <c r="A415" i="19"/>
  <c r="E338" i="23"/>
  <c r="T336" i="19"/>
  <c r="I375" i="23"/>
  <c r="I205" i="23"/>
  <c r="G340" i="23"/>
  <c r="Y338" i="19"/>
  <c r="F245" i="23"/>
  <c r="X243" i="19"/>
  <c r="I888" i="23"/>
  <c r="E753" i="23"/>
  <c r="T751" i="19"/>
  <c r="F542" i="23"/>
  <c r="X540" i="19"/>
  <c r="G551" i="23"/>
  <c r="Y549" i="19"/>
  <c r="E300" i="23"/>
  <c r="T298" i="19"/>
  <c r="G432" i="23"/>
  <c r="Y430" i="19"/>
  <c r="E303" i="23"/>
  <c r="T301" i="19"/>
  <c r="E971" i="23"/>
  <c r="T969" i="19"/>
  <c r="F969" i="23"/>
  <c r="X967" i="19"/>
  <c r="E626" i="23"/>
  <c r="T624" i="19"/>
  <c r="J683" i="23"/>
  <c r="V681" i="19"/>
  <c r="W681" i="19" s="1"/>
  <c r="G753" i="23"/>
  <c r="Y751" i="19"/>
  <c r="F698" i="23"/>
  <c r="X696" i="19"/>
  <c r="J619" i="23"/>
  <c r="V617" i="19"/>
  <c r="W617" i="19" s="1"/>
  <c r="F595" i="23"/>
  <c r="X593" i="19"/>
  <c r="I861" i="23"/>
  <c r="I594" i="23"/>
  <c r="G472" i="23"/>
  <c r="Y470" i="19"/>
  <c r="E529" i="23"/>
  <c r="T527" i="19"/>
  <c r="J735" i="23"/>
  <c r="V733" i="19"/>
  <c r="W733" i="19" s="1"/>
  <c r="E301" i="23"/>
  <c r="T299" i="19"/>
  <c r="J974" i="23"/>
  <c r="V972" i="19"/>
  <c r="W972" i="19" s="1"/>
  <c r="G907" i="23"/>
  <c r="Y905" i="19"/>
  <c r="B697" i="19"/>
  <c r="R697" i="19"/>
  <c r="G772" i="23"/>
  <c r="Y770" i="19"/>
  <c r="R743" i="19"/>
  <c r="B743" i="19"/>
  <c r="G679" i="23"/>
  <c r="Y677" i="19"/>
  <c r="G590" i="23"/>
  <c r="Y588" i="19"/>
  <c r="J787" i="23"/>
  <c r="V785" i="19"/>
  <c r="W785" i="19" s="1"/>
  <c r="E675" i="23"/>
  <c r="T673" i="19"/>
  <c r="G824" i="23"/>
  <c r="Y822" i="19"/>
  <c r="R666" i="19"/>
  <c r="B666" i="19"/>
  <c r="F717" i="23"/>
  <c r="X715" i="19"/>
  <c r="E803" i="23"/>
  <c r="T801" i="19"/>
  <c r="F760" i="23"/>
  <c r="X758" i="19"/>
  <c r="J715" i="23"/>
  <c r="V713" i="19"/>
  <c r="W713" i="19" s="1"/>
  <c r="G931" i="23"/>
  <c r="Y929" i="19"/>
  <c r="F786" i="23"/>
  <c r="X784" i="19"/>
  <c r="G681" i="23"/>
  <c r="Y679" i="19"/>
  <c r="F656" i="23"/>
  <c r="X654" i="19"/>
  <c r="I698" i="23"/>
  <c r="C623" i="23"/>
  <c r="U621" i="19"/>
  <c r="G610" i="23"/>
  <c r="Y608" i="19"/>
  <c r="R591" i="19"/>
  <c r="B591" i="19"/>
  <c r="J556" i="23"/>
  <c r="V554" i="19"/>
  <c r="W554" i="19" s="1"/>
  <c r="E619" i="23"/>
  <c r="T617" i="19"/>
  <c r="J566" i="23"/>
  <c r="V564" i="19"/>
  <c r="W564" i="19" s="1"/>
  <c r="J737" i="23"/>
  <c r="V735" i="19"/>
  <c r="W735" i="19" s="1"/>
  <c r="J615" i="23"/>
  <c r="V613" i="19"/>
  <c r="W613" i="19" s="1"/>
  <c r="G603" i="23"/>
  <c r="Y601" i="19"/>
  <c r="B593" i="19"/>
  <c r="R593" i="19"/>
  <c r="J554" i="23"/>
  <c r="V552" i="19"/>
  <c r="W552" i="19" s="1"/>
  <c r="J657" i="23"/>
  <c r="V655" i="19"/>
  <c r="W655" i="19" s="1"/>
  <c r="R650" i="19"/>
  <c r="B650" i="19"/>
  <c r="B668" i="19"/>
  <c r="R668" i="19"/>
  <c r="G567" i="23"/>
  <c r="Y565" i="19"/>
  <c r="G535" i="23"/>
  <c r="Y533" i="19"/>
  <c r="J655" i="23"/>
  <c r="V653" i="19"/>
  <c r="W653" i="19" s="1"/>
  <c r="G555" i="23"/>
  <c r="Y553" i="19"/>
  <c r="C608" i="23"/>
  <c r="U606" i="19"/>
  <c r="E655" i="23"/>
  <c r="T653" i="19"/>
  <c r="G627" i="23"/>
  <c r="Y625" i="19"/>
  <c r="F617" i="23"/>
  <c r="X615" i="19"/>
  <c r="F593" i="23"/>
  <c r="X591" i="19"/>
  <c r="E426" i="23"/>
  <c r="T424" i="19"/>
  <c r="B500" i="19"/>
  <c r="R500" i="19"/>
  <c r="F467" i="23"/>
  <c r="X465" i="19"/>
  <c r="F396" i="23"/>
  <c r="X394" i="19"/>
  <c r="E361" i="23"/>
  <c r="T359" i="19"/>
  <c r="R519" i="19"/>
  <c r="B519" i="19"/>
  <c r="E336" i="23"/>
  <c r="T334" i="19"/>
  <c r="G284" i="23"/>
  <c r="Y282" i="19"/>
  <c r="I427" i="23"/>
  <c r="F394" i="23"/>
  <c r="X392" i="19"/>
  <c r="B524" i="19"/>
  <c r="R524" i="19"/>
  <c r="F482" i="23"/>
  <c r="X480" i="19"/>
  <c r="J613" i="23"/>
  <c r="V611" i="19"/>
  <c r="W611" i="19" s="1"/>
  <c r="E454" i="23"/>
  <c r="T452" i="19"/>
  <c r="R428" i="19"/>
  <c r="B428" i="19"/>
  <c r="F350" i="23"/>
  <c r="X348" i="19"/>
  <c r="G354" i="23"/>
  <c r="Y352" i="19"/>
  <c r="R321" i="19"/>
  <c r="B321" i="19"/>
  <c r="E735" i="23"/>
  <c r="T733" i="19"/>
  <c r="F407" i="23"/>
  <c r="X405" i="19"/>
  <c r="F281" i="23"/>
  <c r="X279" i="19"/>
  <c r="F586" i="23"/>
  <c r="X584" i="19"/>
  <c r="E371" i="23"/>
  <c r="T369" i="19"/>
  <c r="B348" i="19"/>
  <c r="R348" i="19"/>
  <c r="E337" i="23"/>
  <c r="T335" i="19"/>
  <c r="B266" i="19"/>
  <c r="R266" i="19"/>
  <c r="E197" i="23"/>
  <c r="T195" i="19"/>
  <c r="B391" i="19"/>
  <c r="R391" i="19"/>
  <c r="G316" i="23"/>
  <c r="Y314" i="19"/>
  <c r="B296" i="19"/>
  <c r="R296" i="19"/>
  <c r="B276" i="19"/>
  <c r="R276" i="19"/>
  <c r="E356" i="23"/>
  <c r="T354" i="19"/>
  <c r="B302" i="19"/>
  <c r="R302" i="19"/>
  <c r="E224" i="23"/>
  <c r="T222" i="19"/>
  <c r="B189" i="19"/>
  <c r="R189" i="19"/>
  <c r="F320" i="23"/>
  <c r="X318" i="19"/>
  <c r="E289" i="23"/>
  <c r="T287" i="19"/>
  <c r="G214" i="23"/>
  <c r="Y212" i="19"/>
  <c r="F330" i="23"/>
  <c r="X328" i="19"/>
  <c r="F272" i="23"/>
  <c r="X270" i="19"/>
  <c r="G332" i="23"/>
  <c r="Y330" i="19"/>
  <c r="F204" i="23"/>
  <c r="X202" i="19"/>
  <c r="G338" i="23"/>
  <c r="Y336" i="19"/>
  <c r="E262" i="23"/>
  <c r="T260" i="19"/>
  <c r="F217" i="23"/>
  <c r="X215" i="19"/>
  <c r="B243" i="19"/>
  <c r="R243" i="19"/>
  <c r="K827" i="23" l="1"/>
  <c r="K886" i="23"/>
  <c r="K628" i="23"/>
  <c r="K894" i="23"/>
  <c r="B822" i="23"/>
  <c r="A820" i="19"/>
  <c r="B928" i="23"/>
  <c r="A926" i="19"/>
  <c r="A534" i="19"/>
  <c r="B536" i="23"/>
  <c r="B508" i="23"/>
  <c r="A506" i="19"/>
  <c r="B628" i="23"/>
  <c r="A626" i="19"/>
  <c r="B540" i="23"/>
  <c r="A538" i="19"/>
  <c r="B880" i="23"/>
  <c r="A878" i="19"/>
  <c r="A478" i="19"/>
  <c r="B480" i="23"/>
  <c r="B295" i="23"/>
  <c r="A293" i="19"/>
  <c r="B261" i="23"/>
  <c r="A259" i="19"/>
  <c r="B877" i="23"/>
  <c r="A875" i="19"/>
  <c r="B853" i="23"/>
  <c r="A851" i="19"/>
  <c r="B429" i="23"/>
  <c r="A427" i="19"/>
  <c r="B578" i="23"/>
  <c r="A576" i="19"/>
  <c r="B511" i="23"/>
  <c r="A509" i="19"/>
  <c r="A420" i="19"/>
  <c r="B422" i="23"/>
  <c r="B712" i="23"/>
  <c r="A710" i="19"/>
  <c r="I748" i="23"/>
  <c r="B776" i="23"/>
  <c r="I534" i="23"/>
  <c r="I289" i="23"/>
  <c r="I468" i="23"/>
  <c r="K786" i="23"/>
  <c r="B441" i="23"/>
  <c r="I388" i="23"/>
  <c r="I979" i="23"/>
  <c r="I814" i="23"/>
  <c r="I954" i="23"/>
  <c r="D954" i="23" s="1"/>
  <c r="I738" i="23"/>
  <c r="I740" i="23"/>
  <c r="I956" i="23"/>
  <c r="I953" i="23"/>
  <c r="D953" i="23" s="1"/>
  <c r="I671" i="23"/>
  <c r="I714" i="23"/>
  <c r="K632" i="23"/>
  <c r="I668" i="23"/>
  <c r="I686" i="23"/>
  <c r="D686" i="23" s="1"/>
  <c r="I607" i="23"/>
  <c r="I530" i="23"/>
  <c r="I252" i="23"/>
  <c r="I356" i="23"/>
  <c r="I487" i="23"/>
  <c r="I711" i="23"/>
  <c r="I270" i="23"/>
  <c r="I505" i="23"/>
  <c r="I928" i="23"/>
  <c r="I287" i="23"/>
  <c r="I640" i="23"/>
  <c r="I834" i="23"/>
  <c r="I760" i="23"/>
  <c r="I774" i="23"/>
  <c r="B826" i="23"/>
  <c r="I304" i="23"/>
  <c r="I248" i="23"/>
  <c r="I443" i="23"/>
  <c r="I415" i="23"/>
  <c r="I437" i="23"/>
  <c r="I217" i="23"/>
  <c r="I645" i="23"/>
  <c r="I940" i="23"/>
  <c r="B231" i="23"/>
  <c r="I783" i="23"/>
  <c r="D783" i="23" s="1"/>
  <c r="I202" i="23"/>
  <c r="I951" i="23"/>
  <c r="D951" i="23" s="1"/>
  <c r="I727" i="23"/>
  <c r="I793" i="23"/>
  <c r="I428" i="23"/>
  <c r="I475" i="23"/>
  <c r="I569" i="23"/>
  <c r="D569" i="23" s="1"/>
  <c r="I338" i="23"/>
  <c r="I720" i="23"/>
  <c r="D720" i="23" s="1"/>
  <c r="I538" i="23"/>
  <c r="I677" i="23"/>
  <c r="I192" i="23"/>
  <c r="I646" i="23"/>
  <c r="I609" i="23"/>
  <c r="D609" i="23" s="1"/>
  <c r="I595" i="23"/>
  <c r="I431" i="23"/>
  <c r="I238" i="23"/>
  <c r="I598" i="23"/>
  <c r="I658" i="23"/>
  <c r="I690" i="23"/>
  <c r="I257" i="23"/>
  <c r="I401" i="23"/>
  <c r="I909" i="23"/>
  <c r="I237" i="23"/>
  <c r="A573" i="19"/>
  <c r="I532" i="23"/>
  <c r="I831" i="23"/>
  <c r="I999" i="23"/>
  <c r="I581" i="23"/>
  <c r="I895" i="23"/>
  <c r="I725" i="23"/>
  <c r="D725" i="23" s="1"/>
  <c r="I629" i="23"/>
  <c r="D629" i="23" s="1"/>
  <c r="A516" i="19"/>
  <c r="A990" i="19"/>
  <c r="I503" i="23"/>
  <c r="I369" i="23"/>
  <c r="I308" i="23"/>
  <c r="I307" i="23"/>
  <c r="I986" i="23"/>
  <c r="I921" i="23"/>
  <c r="I587" i="23"/>
  <c r="I950" i="23"/>
  <c r="I419" i="23"/>
  <c r="I872" i="23"/>
  <c r="I290" i="23"/>
  <c r="I219" i="23"/>
  <c r="I469" i="23"/>
  <c r="I784" i="23"/>
  <c r="I452" i="23"/>
  <c r="I281" i="23"/>
  <c r="I343" i="23"/>
  <c r="I193" i="23"/>
  <c r="I996" i="23"/>
  <c r="I880" i="23"/>
  <c r="I316" i="23"/>
  <c r="I199" i="23"/>
  <c r="I613" i="23"/>
  <c r="I874" i="23"/>
  <c r="D874" i="23" s="1"/>
  <c r="I648" i="23"/>
  <c r="D648" i="23" s="1"/>
  <c r="I599" i="23"/>
  <c r="I564" i="23"/>
  <c r="K992" i="23"/>
  <c r="I991" i="23"/>
  <c r="I732" i="23"/>
  <c r="D732" i="23" s="1"/>
  <c r="A752" i="19"/>
  <c r="I559" i="23"/>
  <c r="I908" i="23"/>
  <c r="I483" i="23"/>
  <c r="I211" i="23"/>
  <c r="I652" i="23"/>
  <c r="I619" i="23"/>
  <c r="I349" i="23"/>
  <c r="I489" i="23"/>
  <c r="I749" i="23"/>
  <c r="I213" i="23"/>
  <c r="K648" i="23"/>
  <c r="K833" i="23"/>
  <c r="K847" i="23"/>
  <c r="L847" i="23" s="1"/>
  <c r="M847" i="23" s="1"/>
  <c r="K672" i="23"/>
  <c r="Z997" i="19"/>
  <c r="AT997" i="19" s="1"/>
  <c r="AR997" i="19" s="1"/>
  <c r="B1005" i="26" s="1"/>
  <c r="Z869" i="19"/>
  <c r="AT869" i="19" s="1"/>
  <c r="AR869" i="19" s="1"/>
  <c r="AQ869" i="19" s="1"/>
  <c r="Z557" i="19"/>
  <c r="AT557" i="19" s="1"/>
  <c r="AR557" i="19" s="1"/>
  <c r="AQ557" i="19" s="1"/>
  <c r="Z650" i="19"/>
  <c r="AT650" i="19" s="1"/>
  <c r="AR650" i="19" s="1"/>
  <c r="AQ650" i="19" s="1"/>
  <c r="Z835" i="19"/>
  <c r="G843" i="26" s="1"/>
  <c r="Z686" i="19"/>
  <c r="AT686" i="19" s="1"/>
  <c r="AR686" i="19" s="1"/>
  <c r="AQ686" i="19" s="1"/>
  <c r="Z727" i="19"/>
  <c r="AT727" i="19" s="1"/>
  <c r="AR727" i="19" s="1"/>
  <c r="B735" i="26" s="1"/>
  <c r="Z683" i="19"/>
  <c r="G691" i="26" s="1"/>
  <c r="Z751" i="19"/>
  <c r="G759" i="26" s="1"/>
  <c r="Z731" i="19"/>
  <c r="G739" i="26" s="1"/>
  <c r="Z712" i="19"/>
  <c r="AT712" i="19" s="1"/>
  <c r="AR712" i="19" s="1"/>
  <c r="AQ712" i="19" s="1"/>
  <c r="Z897" i="19"/>
  <c r="AT897" i="19" s="1"/>
  <c r="AR897" i="19" s="1"/>
  <c r="AQ897" i="19" s="1"/>
  <c r="Z804" i="19"/>
  <c r="G812" i="26" s="1"/>
  <c r="Z776" i="19"/>
  <c r="AT776" i="19" s="1"/>
  <c r="AR776" i="19" s="1"/>
  <c r="AQ776" i="19" s="1"/>
  <c r="Z724" i="19"/>
  <c r="AT724" i="19" s="1"/>
  <c r="AR724" i="19" s="1"/>
  <c r="B732" i="26" s="1"/>
  <c r="Z825" i="19"/>
  <c r="G833" i="26" s="1"/>
  <c r="Z709" i="19"/>
  <c r="AT709" i="19" s="1"/>
  <c r="AR709" i="19" s="1"/>
  <c r="B717" i="26" s="1"/>
  <c r="Z584" i="19"/>
  <c r="AT584" i="19" s="1"/>
  <c r="AR584" i="19" s="1"/>
  <c r="B592" i="26" s="1"/>
  <c r="Z608" i="19"/>
  <c r="AT608" i="19" s="1"/>
  <c r="AR608" i="19" s="1"/>
  <c r="B616" i="26" s="1"/>
  <c r="Z854" i="19"/>
  <c r="AT854" i="19" s="1"/>
  <c r="AR854" i="19" s="1"/>
  <c r="B862" i="26" s="1"/>
  <c r="Z979" i="19"/>
  <c r="Z900" i="19"/>
  <c r="AT900" i="19" s="1"/>
  <c r="AR900" i="19" s="1"/>
  <c r="AQ900" i="19" s="1"/>
  <c r="Z915" i="19"/>
  <c r="AT915" i="19" s="1"/>
  <c r="AR915" i="19" s="1"/>
  <c r="B923" i="26" s="1"/>
  <c r="Z704" i="19"/>
  <c r="AT704" i="19" s="1"/>
  <c r="AR704" i="19" s="1"/>
  <c r="AQ704" i="19" s="1"/>
  <c r="Z993" i="19"/>
  <c r="AT993" i="19" s="1"/>
  <c r="AR993" i="19" s="1"/>
  <c r="B1001" i="26" s="1"/>
  <c r="Z688" i="19"/>
  <c r="G696" i="26" s="1"/>
  <c r="Z950" i="19"/>
  <c r="AT950" i="19" s="1"/>
  <c r="AR950" i="19" s="1"/>
  <c r="B958" i="26" s="1"/>
  <c r="Z914" i="19"/>
  <c r="G922" i="26" s="1"/>
  <c r="Z833" i="19"/>
  <c r="AT833" i="19" s="1"/>
  <c r="AR833" i="19" s="1"/>
  <c r="AQ833" i="19" s="1"/>
  <c r="Z861" i="19"/>
  <c r="AT861" i="19" s="1"/>
  <c r="AR861" i="19" s="1"/>
  <c r="B869" i="26" s="1"/>
  <c r="Z706" i="19"/>
  <c r="AT706" i="19" s="1"/>
  <c r="AR706" i="19" s="1"/>
  <c r="AQ706" i="19" s="1"/>
  <c r="Z713" i="19"/>
  <c r="G721" i="26" s="1"/>
  <c r="Z984" i="19"/>
  <c r="G992" i="26" s="1"/>
  <c r="Z843" i="19"/>
  <c r="AT843" i="19" s="1"/>
  <c r="AR843" i="19" s="1"/>
  <c r="AQ843" i="19" s="1"/>
  <c r="Z556" i="19"/>
  <c r="AT556" i="19" s="1"/>
  <c r="AR556" i="19" s="1"/>
  <c r="B564" i="26" s="1"/>
  <c r="Z868" i="19"/>
  <c r="AT868" i="19" s="1"/>
  <c r="AR868" i="19" s="1"/>
  <c r="AQ868" i="19" s="1"/>
  <c r="Z932" i="19"/>
  <c r="G940" i="26" s="1"/>
  <c r="Z805" i="19"/>
  <c r="G813" i="26" s="1"/>
  <c r="Z974" i="19"/>
  <c r="AT974" i="19" s="1"/>
  <c r="AR974" i="19" s="1"/>
  <c r="AQ974" i="19" s="1"/>
  <c r="Z850" i="19"/>
  <c r="G858" i="26" s="1"/>
  <c r="Z599" i="19"/>
  <c r="G607" i="26" s="1"/>
  <c r="Z604" i="19"/>
  <c r="AT604" i="19" s="1"/>
  <c r="AR604" i="19" s="1"/>
  <c r="AQ604" i="19" s="1"/>
  <c r="Z622" i="19"/>
  <c r="G630" i="26" s="1"/>
  <c r="Z664" i="19"/>
  <c r="AT664" i="19" s="1"/>
  <c r="AR664" i="19" s="1"/>
  <c r="B672" i="26" s="1"/>
  <c r="Z986" i="19"/>
  <c r="AT986" i="19" s="1"/>
  <c r="AR986" i="19" s="1"/>
  <c r="AQ986" i="19" s="1"/>
  <c r="Z876" i="19"/>
  <c r="AT876" i="19" s="1"/>
  <c r="AR876" i="19" s="1"/>
  <c r="AQ876" i="19" s="1"/>
  <c r="Z773" i="19"/>
  <c r="G781" i="26" s="1"/>
  <c r="Z985" i="19"/>
  <c r="AT985" i="19" s="1"/>
  <c r="AR985" i="19" s="1"/>
  <c r="AQ985" i="19" s="1"/>
  <c r="Z951" i="19"/>
  <c r="AT951" i="19" s="1"/>
  <c r="AR951" i="19" s="1"/>
  <c r="AQ951" i="19" s="1"/>
  <c r="Z821" i="19"/>
  <c r="AT821" i="19" s="1"/>
  <c r="AR821" i="19" s="1"/>
  <c r="B829" i="26" s="1"/>
  <c r="Z742" i="19"/>
  <c r="AT742" i="19" s="1"/>
  <c r="AR742" i="19" s="1"/>
  <c r="AQ742" i="19" s="1"/>
  <c r="Z867" i="19"/>
  <c r="AT867" i="19" s="1"/>
  <c r="AR867" i="19" s="1"/>
  <c r="AQ867" i="19" s="1"/>
  <c r="Z884" i="19"/>
  <c r="G892" i="26" s="1"/>
  <c r="Z611" i="19"/>
  <c r="AT611" i="19" s="1"/>
  <c r="AR611" i="19" s="1"/>
  <c r="B619" i="26" s="1"/>
  <c r="Z597" i="19"/>
  <c r="AT597" i="19" s="1"/>
  <c r="AR597" i="19" s="1"/>
  <c r="AQ597" i="19" s="1"/>
  <c r="Z695" i="19"/>
  <c r="AT695" i="19" s="1"/>
  <c r="AR695" i="19" s="1"/>
  <c r="B703" i="26" s="1"/>
  <c r="Z879" i="19"/>
  <c r="AT879" i="19" s="1"/>
  <c r="AR879" i="19" s="1"/>
  <c r="AQ879" i="19" s="1"/>
  <c r="Z749" i="19"/>
  <c r="G757" i="26" s="1"/>
  <c r="Z999" i="19"/>
  <c r="AT999" i="19" s="1"/>
  <c r="AR999" i="19" s="1"/>
  <c r="AQ999" i="19" s="1"/>
  <c r="Z705" i="19"/>
  <c r="AT705" i="19" s="1"/>
  <c r="AR705" i="19" s="1"/>
  <c r="B713" i="26" s="1"/>
  <c r="Z842" i="19"/>
  <c r="G850" i="26" s="1"/>
  <c r="Z864" i="19"/>
  <c r="Z696" i="19"/>
  <c r="AT696" i="19" s="1"/>
  <c r="AR696" i="19" s="1"/>
  <c r="AQ696" i="19" s="1"/>
  <c r="Z966" i="19"/>
  <c r="AT966" i="19" s="1"/>
  <c r="AR966" i="19" s="1"/>
  <c r="AQ966" i="19" s="1"/>
  <c r="Z816" i="19"/>
  <c r="AT816" i="19" s="1"/>
  <c r="AR816" i="19" s="1"/>
  <c r="B824" i="26" s="1"/>
  <c r="Z607" i="19"/>
  <c r="AT607" i="19" s="1"/>
  <c r="AR607" i="19" s="1"/>
  <c r="AQ607" i="19" s="1"/>
  <c r="Z860" i="19"/>
  <c r="AT860" i="19" s="1"/>
  <c r="AR860" i="19" s="1"/>
  <c r="B868" i="26" s="1"/>
  <c r="Z598" i="19"/>
  <c r="AT598" i="19" s="1"/>
  <c r="AR598" i="19" s="1"/>
  <c r="AQ598" i="19" s="1"/>
  <c r="Z848" i="19"/>
  <c r="AT848" i="19" s="1"/>
  <c r="AR848" i="19" s="1"/>
  <c r="AQ848" i="19" s="1"/>
  <c r="Z691" i="19"/>
  <c r="AT691" i="19" s="1"/>
  <c r="AR691" i="19" s="1"/>
  <c r="B699" i="26" s="1"/>
  <c r="Z619" i="19"/>
  <c r="G627" i="26" s="1"/>
  <c r="Z961" i="19"/>
  <c r="AT961" i="19" s="1"/>
  <c r="AR961" i="19" s="1"/>
  <c r="AQ961" i="19" s="1"/>
  <c r="Z700" i="19"/>
  <c r="AT700" i="19" s="1"/>
  <c r="AR700" i="19" s="1"/>
  <c r="B708" i="26" s="1"/>
  <c r="Z872" i="19"/>
  <c r="AT872" i="19" s="1"/>
  <c r="AR872" i="19" s="1"/>
  <c r="B880" i="26" s="1"/>
  <c r="Z758" i="19"/>
  <c r="AT758" i="19" s="1"/>
  <c r="AR758" i="19" s="1"/>
  <c r="B766" i="26" s="1"/>
  <c r="Z779" i="19"/>
  <c r="G787" i="26" s="1"/>
  <c r="Z778" i="19"/>
  <c r="AT778" i="19" s="1"/>
  <c r="AR778" i="19" s="1"/>
  <c r="AQ778" i="19" s="1"/>
  <c r="Z841" i="19"/>
  <c r="AT841" i="19" s="1"/>
  <c r="AR841" i="19" s="1"/>
  <c r="AQ841" i="19" s="1"/>
  <c r="Z617" i="19"/>
  <c r="AT617" i="19" s="1"/>
  <c r="AR617" i="19" s="1"/>
  <c r="AQ617" i="19" s="1"/>
  <c r="Z637" i="19"/>
  <c r="G645" i="26" s="1"/>
  <c r="Z909" i="19"/>
  <c r="AT909" i="19" s="1"/>
  <c r="AR909" i="19" s="1"/>
  <c r="AQ909" i="19" s="1"/>
  <c r="Z846" i="19"/>
  <c r="AT846" i="19" s="1"/>
  <c r="AR846" i="19" s="1"/>
  <c r="B854" i="26" s="1"/>
  <c r="Z643" i="19"/>
  <c r="AT643" i="19" s="1"/>
  <c r="AR643" i="19" s="1"/>
  <c r="B651" i="26" s="1"/>
  <c r="Z698" i="19"/>
  <c r="AT698" i="19" s="1"/>
  <c r="AR698" i="19" s="1"/>
  <c r="B706" i="26" s="1"/>
  <c r="Z616" i="19"/>
  <c r="AT616" i="19" s="1"/>
  <c r="AR616" i="19" s="1"/>
  <c r="B624" i="26" s="1"/>
  <c r="Z620" i="19"/>
  <c r="AT620" i="19" s="1"/>
  <c r="AR620" i="19" s="1"/>
  <c r="AQ620" i="19" s="1"/>
  <c r="Z794" i="19"/>
  <c r="Z924" i="19"/>
  <c r="G932" i="26" s="1"/>
  <c r="Z738" i="19"/>
  <c r="AT738" i="19" s="1"/>
  <c r="AR738" i="19" s="1"/>
  <c r="AQ738" i="19" s="1"/>
  <c r="Z649" i="19"/>
  <c r="G657" i="26" s="1"/>
  <c r="Z573" i="19"/>
  <c r="Z768" i="19"/>
  <c r="AT768" i="19" s="1"/>
  <c r="AR768" i="19" s="1"/>
  <c r="AQ768" i="19" s="1"/>
  <c r="Z694" i="19"/>
  <c r="G702" i="26" s="1"/>
  <c r="Z998" i="19"/>
  <c r="AT998" i="19" s="1"/>
  <c r="AR998" i="19" s="1"/>
  <c r="B1006" i="26" s="1"/>
  <c r="Z929" i="19"/>
  <c r="AT929" i="19" s="1"/>
  <c r="AR929" i="19" s="1"/>
  <c r="AQ929" i="19" s="1"/>
  <c r="Z785" i="19"/>
  <c r="G793" i="26" s="1"/>
  <c r="Z834" i="19"/>
  <c r="AT834" i="19" s="1"/>
  <c r="AR834" i="19" s="1"/>
  <c r="B842" i="26" s="1"/>
  <c r="Z956" i="19"/>
  <c r="AT956" i="19" s="1"/>
  <c r="AR956" i="19" s="1"/>
  <c r="B964" i="26" s="1"/>
  <c r="Z754" i="19"/>
  <c r="AT754" i="19" s="1"/>
  <c r="AR754" i="19" s="1"/>
  <c r="B762" i="26" s="1"/>
  <c r="Z873" i="19"/>
  <c r="AT873" i="19" s="1"/>
  <c r="AR873" i="19" s="1"/>
  <c r="AQ873" i="19" s="1"/>
  <c r="Z972" i="19"/>
  <c r="Z715" i="19"/>
  <c r="AT715" i="19" s="1"/>
  <c r="AR715" i="19" s="1"/>
  <c r="B723" i="26" s="1"/>
  <c r="Z799" i="19"/>
  <c r="AT799" i="19" s="1"/>
  <c r="AR799" i="19" s="1"/>
  <c r="AQ799" i="19" s="1"/>
  <c r="Z814" i="19"/>
  <c r="AT814" i="19" s="1"/>
  <c r="AR814" i="19" s="1"/>
  <c r="AQ814" i="19" s="1"/>
  <c r="Z587" i="19"/>
  <c r="AT587" i="19" s="1"/>
  <c r="AR587" i="19" s="1"/>
  <c r="AQ587" i="19" s="1"/>
  <c r="Z948" i="19"/>
  <c r="AT948" i="19" s="1"/>
  <c r="AR948" i="19" s="1"/>
  <c r="AQ948" i="19" s="1"/>
  <c r="Z743" i="19"/>
  <c r="AT743" i="19" s="1"/>
  <c r="AR743" i="19" s="1"/>
  <c r="AQ743" i="19" s="1"/>
  <c r="Z777" i="19"/>
  <c r="G785" i="26" s="1"/>
  <c r="Z881" i="19"/>
  <c r="G889" i="26" s="1"/>
  <c r="Z605" i="19"/>
  <c r="G613" i="26" s="1"/>
  <c r="Z675" i="19"/>
  <c r="AT675" i="19" s="1"/>
  <c r="AR675" i="19" s="1"/>
  <c r="AQ675" i="19" s="1"/>
  <c r="Z908" i="19"/>
  <c r="AT908" i="19" s="1"/>
  <c r="AR908" i="19" s="1"/>
  <c r="AQ908" i="19" s="1"/>
  <c r="Z920" i="19"/>
  <c r="AT920" i="19" s="1"/>
  <c r="AR920" i="19" s="1"/>
  <c r="AQ920" i="19" s="1"/>
  <c r="Z625" i="19"/>
  <c r="AT625" i="19" s="1"/>
  <c r="AR625" i="19" s="1"/>
  <c r="AQ625" i="19" s="1"/>
  <c r="Z818" i="19"/>
  <c r="AT818" i="19" s="1"/>
  <c r="AR818" i="19" s="1"/>
  <c r="B826" i="26" s="1"/>
  <c r="Z921" i="19"/>
  <c r="G929" i="26" s="1"/>
  <c r="Z855" i="19"/>
  <c r="AT855" i="19" s="1"/>
  <c r="AR855" i="19" s="1"/>
  <c r="AQ855" i="19" s="1"/>
  <c r="Z655" i="19"/>
  <c r="AT655" i="19" s="1"/>
  <c r="AR655" i="19" s="1"/>
  <c r="AQ655" i="19" s="1"/>
  <c r="Z740" i="19"/>
  <c r="G748" i="26" s="1"/>
  <c r="Z797" i="19"/>
  <c r="AT797" i="19" s="1"/>
  <c r="AR797" i="19" s="1"/>
  <c r="AQ797" i="19" s="1"/>
  <c r="Z673" i="19"/>
  <c r="AT673" i="19" s="1"/>
  <c r="AR673" i="19" s="1"/>
  <c r="AQ673" i="19" s="1"/>
  <c r="Z885" i="19"/>
  <c r="Z707" i="19"/>
  <c r="AT707" i="19" s="1"/>
  <c r="AR707" i="19" s="1"/>
  <c r="B715" i="26" s="1"/>
  <c r="K783" i="23"/>
  <c r="L783" i="23" s="1"/>
  <c r="M783" i="23" s="1"/>
  <c r="K1000" i="23"/>
  <c r="L1000" i="23" s="1"/>
  <c r="M1000" i="23" s="1"/>
  <c r="K696" i="23"/>
  <c r="L696" i="23" s="1"/>
  <c r="M696" i="23" s="1"/>
  <c r="K778" i="23"/>
  <c r="L778" i="23" s="1"/>
  <c r="M778" i="23" s="1"/>
  <c r="K624" i="23"/>
  <c r="L624" i="23" s="1"/>
  <c r="M624" i="23" s="1"/>
  <c r="K802" i="23"/>
  <c r="L802" i="23" s="1"/>
  <c r="M802" i="23" s="1"/>
  <c r="K665" i="23"/>
  <c r="K846" i="23"/>
  <c r="L846" i="23" s="1"/>
  <c r="M846" i="23" s="1"/>
  <c r="K976" i="23"/>
  <c r="K810" i="23"/>
  <c r="K916" i="23"/>
  <c r="K792" i="23"/>
  <c r="L792" i="23" s="1"/>
  <c r="M792" i="23" s="1"/>
  <c r="K708" i="23"/>
  <c r="L708" i="23" s="1"/>
  <c r="M708" i="23" s="1"/>
  <c r="K898" i="23"/>
  <c r="L898" i="23" s="1"/>
  <c r="M898" i="23" s="1"/>
  <c r="K868" i="23"/>
  <c r="K678" i="23"/>
  <c r="K821" i="23"/>
  <c r="L821" i="23" s="1"/>
  <c r="M821" i="23" s="1"/>
  <c r="K870" i="23"/>
  <c r="L870" i="23" s="1"/>
  <c r="M870" i="23" s="1"/>
  <c r="K725" i="23"/>
  <c r="K811" i="23"/>
  <c r="L811" i="23" s="1"/>
  <c r="M811" i="23" s="1"/>
  <c r="K917" i="23"/>
  <c r="L917" i="23" s="1"/>
  <c r="M917" i="23" s="1"/>
  <c r="K981" i="23"/>
  <c r="L981" i="23" s="1"/>
  <c r="M981" i="23" s="1"/>
  <c r="K962" i="23"/>
  <c r="L962" i="23" s="1"/>
  <c r="M962" i="23" s="1"/>
  <c r="K642" i="23"/>
  <c r="L642" i="23" s="1"/>
  <c r="M642" i="23" s="1"/>
  <c r="I893" i="23"/>
  <c r="K954" i="23"/>
  <c r="L954" i="23" s="1"/>
  <c r="M954" i="23" s="1"/>
  <c r="K812" i="23"/>
  <c r="L812" i="23" s="1"/>
  <c r="M812" i="23" s="1"/>
  <c r="K710" i="23"/>
  <c r="L710" i="23" s="1"/>
  <c r="M710" i="23" s="1"/>
  <c r="K854" i="23"/>
  <c r="K674" i="23"/>
  <c r="L674" i="23" s="1"/>
  <c r="M674" i="23" s="1"/>
  <c r="K768" i="23"/>
  <c r="L768" i="23" s="1"/>
  <c r="M768" i="23" s="1"/>
  <c r="K755" i="23"/>
  <c r="L755" i="23" s="1"/>
  <c r="M755" i="23" s="1"/>
  <c r="K707" i="23"/>
  <c r="L707" i="23" s="1"/>
  <c r="M707" i="23" s="1"/>
  <c r="K759" i="23"/>
  <c r="L759" i="23" s="1"/>
  <c r="M759" i="23" s="1"/>
  <c r="K815" i="23"/>
  <c r="L815" i="23" s="1"/>
  <c r="M815" i="23" s="1"/>
  <c r="K605" i="23"/>
  <c r="L605" i="23" s="1"/>
  <c r="M605" i="23" s="1"/>
  <c r="K744" i="23"/>
  <c r="L744" i="23" s="1"/>
  <c r="M744" i="23" s="1"/>
  <c r="K982" i="23"/>
  <c r="L982" i="23" s="1"/>
  <c r="M982" i="23" s="1"/>
  <c r="K933" i="23"/>
  <c r="L933" i="23" s="1"/>
  <c r="M933" i="23" s="1"/>
  <c r="K857" i="23"/>
  <c r="L857" i="23" s="1"/>
  <c r="M857" i="23" s="1"/>
  <c r="K585" i="23"/>
  <c r="L585" i="23" s="1"/>
  <c r="M585" i="23" s="1"/>
  <c r="K732" i="23"/>
  <c r="L732" i="23" s="1"/>
  <c r="M732" i="23" s="1"/>
  <c r="K985" i="23"/>
  <c r="L985" i="23" s="1"/>
  <c r="M985" i="23" s="1"/>
  <c r="K692" i="23"/>
  <c r="L692" i="23" s="1"/>
  <c r="M692" i="23" s="1"/>
  <c r="K626" i="23"/>
  <c r="L626" i="23" s="1"/>
  <c r="M626" i="23" s="1"/>
  <c r="K849" i="23"/>
  <c r="L849" i="23" s="1"/>
  <c r="M849" i="23" s="1"/>
  <c r="K790" i="23"/>
  <c r="K593" i="23"/>
  <c r="L593" i="23" s="1"/>
  <c r="M593" i="23" s="1"/>
  <c r="K724" i="23"/>
  <c r="L724" i="23" s="1"/>
  <c r="M724" i="23" s="1"/>
  <c r="K901" i="23"/>
  <c r="L901" i="23" s="1"/>
  <c r="M901" i="23" s="1"/>
  <c r="K906" i="23"/>
  <c r="L906" i="23" s="1"/>
  <c r="M906" i="23" s="1"/>
  <c r="K629" i="23"/>
  <c r="L629" i="23" s="1"/>
  <c r="M629" i="23" s="1"/>
  <c r="K922" i="23"/>
  <c r="L922" i="23" s="1"/>
  <c r="M922" i="23" s="1"/>
  <c r="K590" i="23"/>
  <c r="L590" i="23" s="1"/>
  <c r="M590" i="23" s="1"/>
  <c r="K798" i="23"/>
  <c r="L798" i="23" s="1"/>
  <c r="M798" i="23" s="1"/>
  <c r="K574" i="23"/>
  <c r="L574" i="23" s="1"/>
  <c r="M574" i="23" s="1"/>
  <c r="K752" i="23"/>
  <c r="L752" i="23" s="1"/>
  <c r="M752" i="23" s="1"/>
  <c r="K686" i="23"/>
  <c r="L686" i="23" s="1"/>
  <c r="M686" i="23" s="1"/>
  <c r="K819" i="23"/>
  <c r="L819" i="23" s="1"/>
  <c r="M819" i="23" s="1"/>
  <c r="K998" i="23"/>
  <c r="L998" i="23" s="1"/>
  <c r="M998" i="23" s="1"/>
  <c r="K697" i="23"/>
  <c r="L697" i="23" s="1"/>
  <c r="M697" i="23" s="1"/>
  <c r="K838" i="23"/>
  <c r="L838" i="23" s="1"/>
  <c r="M838" i="23" s="1"/>
  <c r="K779" i="23"/>
  <c r="L779" i="23" s="1"/>
  <c r="M779" i="23" s="1"/>
  <c r="K953" i="23"/>
  <c r="L953" i="23" s="1"/>
  <c r="M953" i="23" s="1"/>
  <c r="K653" i="23"/>
  <c r="L653" i="23" s="1"/>
  <c r="M653" i="23" s="1"/>
  <c r="K938" i="23"/>
  <c r="L938" i="23" s="1"/>
  <c r="M938" i="23" s="1"/>
  <c r="K993" i="23"/>
  <c r="L993" i="23" s="1"/>
  <c r="M993" i="23" s="1"/>
  <c r="K791" i="23"/>
  <c r="L791" i="23" s="1"/>
  <c r="M791" i="23" s="1"/>
  <c r="K997" i="23"/>
  <c r="L997" i="23" s="1"/>
  <c r="M997" i="23" s="1"/>
  <c r="K699" i="23"/>
  <c r="L699" i="23" s="1"/>
  <c r="M699" i="23" s="1"/>
  <c r="K609" i="23"/>
  <c r="L609" i="23" s="1"/>
  <c r="M609" i="23" s="1"/>
  <c r="K804" i="23"/>
  <c r="L804" i="23" s="1"/>
  <c r="M804" i="23" s="1"/>
  <c r="K822" i="23"/>
  <c r="L822" i="23" s="1"/>
  <c r="M822" i="23" s="1"/>
  <c r="K885" i="23"/>
  <c r="K719" i="23"/>
  <c r="L719" i="23" s="1"/>
  <c r="M719" i="23" s="1"/>
  <c r="K636" i="23"/>
  <c r="L636" i="23" s="1"/>
  <c r="M636" i="23" s="1"/>
  <c r="K789" i="23"/>
  <c r="L789" i="23" s="1"/>
  <c r="M789" i="23" s="1"/>
  <c r="K951" i="23"/>
  <c r="L951" i="23" s="1"/>
  <c r="M951" i="23" s="1"/>
  <c r="K660" i="23"/>
  <c r="L660" i="23" s="1"/>
  <c r="M660" i="23" s="1"/>
  <c r="K904" i="23"/>
  <c r="L904" i="23" s="1"/>
  <c r="M904" i="23" s="1"/>
  <c r="K569" i="23"/>
  <c r="L569" i="23" s="1"/>
  <c r="M569" i="23" s="1"/>
  <c r="K573" i="23"/>
  <c r="L573" i="23" s="1"/>
  <c r="M573" i="23" s="1"/>
  <c r="K910" i="23"/>
  <c r="L910" i="23" s="1"/>
  <c r="M910" i="23" s="1"/>
  <c r="K909" i="23"/>
  <c r="L909" i="23" s="1"/>
  <c r="M909" i="23" s="1"/>
  <c r="K776" i="23"/>
  <c r="L776" i="23" s="1"/>
  <c r="M776" i="23" s="1"/>
  <c r="K1002" i="23"/>
  <c r="L1002" i="23" s="1"/>
  <c r="M1002" i="23" s="1"/>
  <c r="K656" i="23"/>
  <c r="L656" i="23" s="1"/>
  <c r="M656" i="23" s="1"/>
  <c r="I868" i="23"/>
  <c r="I838" i="23"/>
  <c r="D838" i="23" s="1"/>
  <c r="I659" i="23"/>
  <c r="I913" i="23"/>
  <c r="A448" i="19"/>
  <c r="I573" i="23"/>
  <c r="D573" i="23" s="1"/>
  <c r="L874" i="23"/>
  <c r="M874" i="23" s="1"/>
  <c r="I817" i="23"/>
  <c r="I285" i="23"/>
  <c r="I987" i="23"/>
  <c r="I857" i="23"/>
  <c r="D857" i="23" s="1"/>
  <c r="I621" i="23"/>
  <c r="D621" i="23" s="1"/>
  <c r="I525" i="23"/>
  <c r="I319" i="23"/>
  <c r="I398" i="23"/>
  <c r="I752" i="23"/>
  <c r="D752" i="23" s="1"/>
  <c r="I549" i="23"/>
  <c r="I746" i="23"/>
  <c r="D746" i="23" s="1"/>
  <c r="I792" i="23"/>
  <c r="D792" i="23" s="1"/>
  <c r="I477" i="23"/>
  <c r="I994" i="23"/>
  <c r="I915" i="23"/>
  <c r="D915" i="23" s="1"/>
  <c r="I879" i="23"/>
  <c r="I533" i="23"/>
  <c r="I513" i="23"/>
  <c r="I254" i="23"/>
  <c r="B215" i="23"/>
  <c r="B203" i="23"/>
  <c r="B225" i="23"/>
  <c r="A640" i="19"/>
  <c r="A842" i="19"/>
  <c r="B708" i="23"/>
  <c r="A278" i="19"/>
  <c r="A630" i="19"/>
  <c r="B347" i="23"/>
  <c r="A445" i="19"/>
  <c r="B900" i="23"/>
  <c r="B876" i="23"/>
  <c r="B220" i="23"/>
  <c r="B990" i="23"/>
  <c r="I360" i="23"/>
  <c r="I196" i="23"/>
  <c r="I788" i="23"/>
  <c r="I362" i="23"/>
  <c r="I197" i="23"/>
  <c r="I556" i="23"/>
  <c r="I925" i="23"/>
  <c r="I660" i="23"/>
  <c r="D660" i="23" s="1"/>
  <c r="B378" i="23"/>
  <c r="B691" i="23"/>
  <c r="A835" i="19"/>
  <c r="B932" i="23"/>
  <c r="B864" i="23"/>
  <c r="A722" i="19"/>
  <c r="B471" i="23"/>
  <c r="A775" i="19"/>
  <c r="B750" i="23"/>
  <c r="B497" i="23"/>
  <c r="I916" i="23"/>
  <c r="D916" i="23" s="1"/>
  <c r="I904" i="23"/>
  <c r="D904" i="23" s="1"/>
  <c r="I982" i="23"/>
  <c r="D982" i="23" s="1"/>
  <c r="I405" i="23"/>
  <c r="I336" i="23"/>
  <c r="I637" i="23"/>
  <c r="I566" i="23"/>
  <c r="I820" i="23"/>
  <c r="A588" i="19"/>
  <c r="B528" i="23"/>
  <c r="B325" i="23"/>
  <c r="A672" i="19"/>
  <c r="B618" i="23"/>
  <c r="A416" i="19"/>
  <c r="A544" i="19"/>
  <c r="B846" i="23"/>
  <c r="A498" i="19"/>
  <c r="B207" i="23"/>
  <c r="B337" i="23"/>
  <c r="B947" i="23"/>
  <c r="B494" i="23"/>
  <c r="A854" i="19"/>
  <c r="A461" i="19"/>
  <c r="B255" i="23"/>
  <c r="B816" i="23"/>
  <c r="B924" i="23"/>
  <c r="B701" i="23"/>
  <c r="B492" i="23"/>
  <c r="I966" i="23"/>
  <c r="I1000" i="23"/>
  <c r="D1000" i="23" s="1"/>
  <c r="I386" i="23"/>
  <c r="I892" i="23"/>
  <c r="I976" i="23"/>
  <c r="D976" i="23" s="1"/>
  <c r="I643" i="23"/>
  <c r="I450" i="23"/>
  <c r="I693" i="23"/>
  <c r="B445" i="23"/>
  <c r="B870" i="23"/>
  <c r="B558" i="23"/>
  <c r="B849" i="23"/>
  <c r="I917" i="23"/>
  <c r="D917" i="23" s="1"/>
  <c r="B839" i="23"/>
  <c r="B795" i="23"/>
  <c r="B206" i="23"/>
  <c r="I901" i="23"/>
  <c r="D901" i="23" s="1"/>
  <c r="I988" i="23"/>
  <c r="I315" i="23"/>
  <c r="I939" i="23"/>
  <c r="D939" i="23" s="1"/>
  <c r="I258" i="23"/>
  <c r="I584" i="23"/>
  <c r="I903" i="23"/>
  <c r="I329" i="23"/>
  <c r="A586" i="19"/>
  <c r="B959" i="23"/>
  <c r="B519" i="23"/>
  <c r="B810" i="23"/>
  <c r="A499" i="19"/>
  <c r="B555" i="23"/>
  <c r="B328" i="23"/>
  <c r="B630" i="23"/>
  <c r="A460" i="19"/>
  <c r="B561" i="23"/>
  <c r="B408" i="23"/>
  <c r="B353" i="23"/>
  <c r="B299" i="23"/>
  <c r="A241" i="19"/>
  <c r="I756" i="23"/>
  <c r="D756" i="23" s="1"/>
  <c r="I374" i="23"/>
  <c r="I456" i="23"/>
  <c r="B210" i="23"/>
  <c r="B636" i="23"/>
  <c r="A525" i="19"/>
  <c r="B467" i="23"/>
  <c r="B333" i="23"/>
  <c r="B869" i="23"/>
  <c r="I611" i="23"/>
  <c r="B208" i="23"/>
  <c r="A343" i="19"/>
  <c r="A600" i="19"/>
  <c r="B232" i="23"/>
  <c r="B829" i="23"/>
  <c r="I234" i="23"/>
  <c r="I680" i="23"/>
  <c r="I317" i="23"/>
  <c r="I324" i="23"/>
  <c r="I741" i="23"/>
  <c r="I576" i="23"/>
  <c r="I669" i="23"/>
  <c r="I222" i="23"/>
  <c r="B391" i="23"/>
  <c r="B606" i="23"/>
  <c r="B624" i="23"/>
  <c r="B808" i="23"/>
  <c r="B491" i="23"/>
  <c r="A831" i="19"/>
  <c r="A202" i="19"/>
  <c r="I563" i="23"/>
  <c r="D563" i="23" s="1"/>
  <c r="B259" i="23"/>
  <c r="B842" i="23"/>
  <c r="B703" i="23"/>
  <c r="A745" i="19"/>
  <c r="B638" i="23"/>
  <c r="B396" i="23"/>
  <c r="B700" i="23"/>
  <c r="I865" i="23"/>
  <c r="B736" i="23"/>
  <c r="B1001" i="23"/>
  <c r="B819" i="23"/>
  <c r="B275" i="23"/>
  <c r="B382" i="23"/>
  <c r="I705" i="23"/>
  <c r="I597" i="23"/>
  <c r="I723" i="23"/>
  <c r="I927" i="23"/>
  <c r="I971" i="23"/>
  <c r="I891" i="23"/>
  <c r="D891" i="23" s="1"/>
  <c r="I585" i="23"/>
  <c r="D585" i="23" s="1"/>
  <c r="I894" i="23"/>
  <c r="D894" i="23" s="1"/>
  <c r="L855" i="23"/>
  <c r="M855" i="23" s="1"/>
  <c r="L628" i="23"/>
  <c r="M628" i="23" s="1"/>
  <c r="L632" i="23"/>
  <c r="M632" i="23" s="1"/>
  <c r="L992" i="23"/>
  <c r="M992" i="23" s="1"/>
  <c r="L790" i="23"/>
  <c r="M790" i="23" s="1"/>
  <c r="L672" i="23"/>
  <c r="M672" i="23" s="1"/>
  <c r="L665" i="23"/>
  <c r="M665" i="23" s="1"/>
  <c r="L868" i="23"/>
  <c r="M868" i="23" s="1"/>
  <c r="L648" i="23"/>
  <c r="M648" i="23" s="1"/>
  <c r="L833" i="23"/>
  <c r="M833" i="23" s="1"/>
  <c r="L725" i="23"/>
  <c r="M725" i="23" s="1"/>
  <c r="L916" i="23"/>
  <c r="M916" i="23" s="1"/>
  <c r="L976" i="23"/>
  <c r="M976" i="23" s="1"/>
  <c r="L786" i="23"/>
  <c r="M786" i="23" s="1"/>
  <c r="L579" i="23"/>
  <c r="M579" i="23" s="1"/>
  <c r="L842" i="23"/>
  <c r="M842" i="23" s="1"/>
  <c r="L701" i="23"/>
  <c r="M701" i="23" s="1"/>
  <c r="L978" i="23"/>
  <c r="M978" i="23" s="1"/>
  <c r="L612" i="23"/>
  <c r="M612" i="23" s="1"/>
  <c r="L869" i="23"/>
  <c r="M869" i="23" s="1"/>
  <c r="L620" i="23"/>
  <c r="M620" i="23" s="1"/>
  <c r="L746" i="23"/>
  <c r="M746" i="23" s="1"/>
  <c r="L1001" i="23"/>
  <c r="M1001" i="23" s="1"/>
  <c r="L782" i="23"/>
  <c r="M782" i="23" s="1"/>
  <c r="L560" i="23"/>
  <c r="M560" i="23" s="1"/>
  <c r="L720" i="23"/>
  <c r="M720" i="23" s="1"/>
  <c r="L835" i="23"/>
  <c r="M835" i="23" s="1"/>
  <c r="L608" i="23"/>
  <c r="M608" i="23" s="1"/>
  <c r="AT694" i="19"/>
  <c r="AR694" i="19" s="1"/>
  <c r="AQ694" i="19" s="1"/>
  <c r="AT573" i="19"/>
  <c r="AR573" i="19" s="1"/>
  <c r="B581" i="26" s="1"/>
  <c r="G581" i="26"/>
  <c r="G681" i="26"/>
  <c r="AT885" i="19"/>
  <c r="AR885" i="19" s="1"/>
  <c r="AQ885" i="19" s="1"/>
  <c r="G893" i="26"/>
  <c r="AT864" i="19"/>
  <c r="AR864" i="19" s="1"/>
  <c r="AQ864" i="19" s="1"/>
  <c r="G872" i="26"/>
  <c r="AT842" i="19"/>
  <c r="AR842" i="19" s="1"/>
  <c r="B850" i="26" s="1"/>
  <c r="AT652" i="19"/>
  <c r="AR652" i="19" s="1"/>
  <c r="AQ652" i="19" s="1"/>
  <c r="G660" i="26"/>
  <c r="G750" i="26"/>
  <c r="G565" i="26"/>
  <c r="AT972" i="19"/>
  <c r="AR972" i="19" s="1"/>
  <c r="B980" i="26" s="1"/>
  <c r="G980" i="26"/>
  <c r="AT979" i="19"/>
  <c r="AR979" i="19" s="1"/>
  <c r="B987" i="26" s="1"/>
  <c r="G987" i="26"/>
  <c r="AT599" i="19"/>
  <c r="AR599" i="19" s="1"/>
  <c r="AQ599" i="19" s="1"/>
  <c r="G619" i="26"/>
  <c r="G917" i="26"/>
  <c r="AS741" i="19"/>
  <c r="C749" i="26"/>
  <c r="AS826" i="19"/>
  <c r="C834" i="26"/>
  <c r="AS775" i="19"/>
  <c r="C783" i="26"/>
  <c r="AS880" i="19"/>
  <c r="C888" i="26"/>
  <c r="O17" i="16"/>
  <c r="P16" i="16"/>
  <c r="C16" i="16"/>
  <c r="I474" i="23"/>
  <c r="Y715" i="28"/>
  <c r="X715" i="28" s="1"/>
  <c r="A598" i="23"/>
  <c r="K598" i="23" s="1"/>
  <c r="I826" i="23"/>
  <c r="I873" i="23"/>
  <c r="C951" i="23"/>
  <c r="V675" i="28"/>
  <c r="A667" i="19"/>
  <c r="A547" i="19"/>
  <c r="I373" i="23"/>
  <c r="AP596" i="19"/>
  <c r="C598" i="23"/>
  <c r="I885" i="23"/>
  <c r="D885" i="23" s="1"/>
  <c r="V174" i="28"/>
  <c r="W58" i="28"/>
  <c r="V58" i="28" s="1"/>
  <c r="V134" i="28"/>
  <c r="AA675" i="28"/>
  <c r="AC675" i="28" s="1"/>
  <c r="X95" i="28"/>
  <c r="Y134" i="28"/>
  <c r="Y173" i="28" s="1"/>
  <c r="AA173" i="28" s="1"/>
  <c r="Z173" i="28" s="1"/>
  <c r="Y723" i="28"/>
  <c r="Y770" i="28" s="1"/>
  <c r="I351" i="23"/>
  <c r="I689" i="23"/>
  <c r="I557" i="23"/>
  <c r="Q24" i="3"/>
  <c r="AC628" i="28"/>
  <c r="N53" i="3"/>
  <c r="O91" i="3"/>
  <c r="Y662" i="28"/>
  <c r="X615" i="28"/>
  <c r="U24" i="3"/>
  <c r="A930" i="23"/>
  <c r="D930" i="23" s="1"/>
  <c r="R27" i="3"/>
  <c r="B838" i="23"/>
  <c r="I912" i="23"/>
  <c r="A969" i="19"/>
  <c r="Q53" i="3"/>
  <c r="P53" i="3" s="1"/>
  <c r="AA133" i="28"/>
  <c r="Z133" i="28" s="1"/>
  <c r="I293" i="23"/>
  <c r="V133" i="28"/>
  <c r="X617" i="28"/>
  <c r="Y664" i="28"/>
  <c r="I359" i="23"/>
  <c r="AP928" i="19"/>
  <c r="E45" i="3"/>
  <c r="G13" i="8"/>
  <c r="K13" i="8" s="1"/>
  <c r="E46" i="28"/>
  <c r="X92" i="28"/>
  <c r="Y131" i="28"/>
  <c r="AA624" i="28"/>
  <c r="V624" i="28"/>
  <c r="W671" i="28"/>
  <c r="Y725" i="28"/>
  <c r="X678" i="28"/>
  <c r="AG26" i="19"/>
  <c r="Y58" i="28"/>
  <c r="X19" i="28"/>
  <c r="AA19" i="28"/>
  <c r="Z19" i="28" s="1"/>
  <c r="Y724" i="28"/>
  <c r="X677" i="28"/>
  <c r="X660" i="28"/>
  <c r="Y707" i="28"/>
  <c r="E240" i="28"/>
  <c r="H201" i="28"/>
  <c r="O170" i="3"/>
  <c r="N132" i="3"/>
  <c r="AF9" i="19"/>
  <c r="AG9" i="19" s="1"/>
  <c r="AF10" i="19" s="1"/>
  <c r="AG10" i="19" s="1"/>
  <c r="AF11" i="19" s="1"/>
  <c r="AG11" i="19" s="1"/>
  <c r="AF12" i="19" s="1"/>
  <c r="AG12" i="19" s="1"/>
  <c r="AF13" i="19" s="1"/>
  <c r="AG13" i="19" s="1"/>
  <c r="AF14" i="19" s="1"/>
  <c r="AG14" i="19" s="1"/>
  <c r="AF15" i="19" s="1"/>
  <c r="AG15" i="19" s="1"/>
  <c r="AF16" i="19" s="1"/>
  <c r="AG16" i="19" s="1"/>
  <c r="AF17" i="19" s="1"/>
  <c r="AG17" i="19" s="1"/>
  <c r="AF18" i="19" s="1"/>
  <c r="AG18" i="19" s="1"/>
  <c r="AF19" i="19" s="1"/>
  <c r="AG19" i="19" s="1"/>
  <c r="AF20" i="19" s="1"/>
  <c r="AG20" i="19" s="1"/>
  <c r="AF21" i="19" s="1"/>
  <c r="AG21" i="19" s="1"/>
  <c r="AF22" i="19" s="1"/>
  <c r="AG22" i="19" s="1"/>
  <c r="AF23" i="19" s="1"/>
  <c r="AG23" i="19" s="1"/>
  <c r="AF24" i="19" s="1"/>
  <c r="AG24" i="19" s="1"/>
  <c r="AF25" i="19" s="1"/>
  <c r="AG25" i="19" s="1"/>
  <c r="AF27" i="19" s="1"/>
  <c r="AG27" i="19" s="1"/>
  <c r="C930" i="23"/>
  <c r="X712" i="28"/>
  <c r="Y759" i="28"/>
  <c r="X627" i="28"/>
  <c r="Y674" i="28"/>
  <c r="Y288" i="28"/>
  <c r="X249" i="28"/>
  <c r="O165" i="3"/>
  <c r="Q127" i="3"/>
  <c r="P127" i="3" s="1"/>
  <c r="N127" i="3"/>
  <c r="Z625" i="28"/>
  <c r="AB625" i="28"/>
  <c r="AA54" i="28"/>
  <c r="V54" i="28"/>
  <c r="W93" i="28"/>
  <c r="V213" i="28"/>
  <c r="W252" i="28"/>
  <c r="W212" i="28"/>
  <c r="V173" i="28"/>
  <c r="O128" i="3"/>
  <c r="Q90" i="3"/>
  <c r="P90" i="3" s="1"/>
  <c r="N90" i="3"/>
  <c r="Y176" i="28"/>
  <c r="X137" i="28"/>
  <c r="AA722" i="28"/>
  <c r="W769" i="28"/>
  <c r="V722" i="28"/>
  <c r="X714" i="28"/>
  <c r="Y761" i="28"/>
  <c r="AC583" i="28"/>
  <c r="Z583" i="28"/>
  <c r="N134" i="3"/>
  <c r="O172" i="3"/>
  <c r="Q134" i="3"/>
  <c r="P134" i="3" s="1"/>
  <c r="V630" i="28"/>
  <c r="W677" i="28"/>
  <c r="AA630" i="28"/>
  <c r="Z673" i="28"/>
  <c r="AC673" i="28"/>
  <c r="AL4" i="19"/>
  <c r="B13" i="37"/>
  <c r="M25" i="29"/>
  <c r="AB576" i="28"/>
  <c r="Z576" i="28"/>
  <c r="Y286" i="28"/>
  <c r="X247" i="28"/>
  <c r="V137" i="28"/>
  <c r="W176" i="28"/>
  <c r="AA137" i="28"/>
  <c r="Z137" i="28" s="1"/>
  <c r="Z585" i="28"/>
  <c r="AC585" i="28"/>
  <c r="Y713" i="28"/>
  <c r="X666" i="28"/>
  <c r="Y135" i="28"/>
  <c r="X96" i="28"/>
  <c r="AA96" i="28"/>
  <c r="Z96" i="28" s="1"/>
  <c r="N93" i="3"/>
  <c r="O131" i="3"/>
  <c r="Q93" i="3"/>
  <c r="P93" i="3" s="1"/>
  <c r="Y719" i="28"/>
  <c r="X672" i="28"/>
  <c r="Y675" i="28"/>
  <c r="X628" i="28"/>
  <c r="Y717" i="28"/>
  <c r="X670" i="28"/>
  <c r="U594" i="3"/>
  <c r="A632" i="3"/>
  <c r="W208" i="28"/>
  <c r="AA169" i="28"/>
  <c r="Z169" i="28" s="1"/>
  <c r="V169" i="28"/>
  <c r="AA632" i="28"/>
  <c r="W679" i="28"/>
  <c r="V632" i="28"/>
  <c r="G158" i="3"/>
  <c r="E196" i="3"/>
  <c r="X632" i="28"/>
  <c r="Y679" i="28"/>
  <c r="N171" i="3"/>
  <c r="Q171" i="3"/>
  <c r="P171" i="3" s="1"/>
  <c r="O209" i="3"/>
  <c r="X671" i="28"/>
  <c r="Y718" i="28"/>
  <c r="AA623" i="28"/>
  <c r="W670" i="28"/>
  <c r="V623" i="28"/>
  <c r="AA720" i="28"/>
  <c r="W767" i="28"/>
  <c r="V720" i="28"/>
  <c r="W170" i="28"/>
  <c r="V131" i="28"/>
  <c r="AB629" i="28"/>
  <c r="Z629" i="28"/>
  <c r="V129" i="28"/>
  <c r="AA129" i="28"/>
  <c r="W168" i="28"/>
  <c r="X614" i="28"/>
  <c r="Y661" i="28"/>
  <c r="O168" i="3"/>
  <c r="Q130" i="3"/>
  <c r="P130" i="3" s="1"/>
  <c r="N130" i="3"/>
  <c r="Z631" i="28"/>
  <c r="AB631" i="28"/>
  <c r="AA721" i="28"/>
  <c r="V721" i="28"/>
  <c r="W768" i="28"/>
  <c r="P88" i="3"/>
  <c r="Z90" i="28"/>
  <c r="Q135" i="3"/>
  <c r="P135" i="3" s="1"/>
  <c r="N135" i="3"/>
  <c r="O173" i="3"/>
  <c r="A220" i="28"/>
  <c r="AB674" i="28"/>
  <c r="Z674" i="28"/>
  <c r="W723" i="28"/>
  <c r="AA676" i="28"/>
  <c r="V676" i="28"/>
  <c r="N126" i="3"/>
  <c r="O164" i="3"/>
  <c r="Q126" i="3"/>
  <c r="W211" i="28"/>
  <c r="V172" i="28"/>
  <c r="Q554" i="3"/>
  <c r="N554" i="3"/>
  <c r="O592" i="3"/>
  <c r="V678" i="28"/>
  <c r="AA678" i="28"/>
  <c r="W725" i="28"/>
  <c r="Y720" i="28"/>
  <c r="X673" i="28"/>
  <c r="Y710" i="28"/>
  <c r="X663" i="28"/>
  <c r="Y763" i="28"/>
  <c r="X716" i="28"/>
  <c r="R516" i="3"/>
  <c r="P516" i="3"/>
  <c r="W719" i="28"/>
  <c r="AA672" i="28"/>
  <c r="V672" i="28"/>
  <c r="X168" i="28"/>
  <c r="Y207" i="28"/>
  <c r="Y172" i="28"/>
  <c r="AA172" i="28" s="1"/>
  <c r="Z172" i="28" s="1"/>
  <c r="X133" i="28"/>
  <c r="Z676" i="19"/>
  <c r="Z574" i="19"/>
  <c r="Z628" i="19"/>
  <c r="Z962" i="19"/>
  <c r="Z679" i="19"/>
  <c r="Z975" i="19"/>
  <c r="Z568" i="19"/>
  <c r="Z1000" i="19"/>
  <c r="Z916" i="19"/>
  <c r="Z609" i="19"/>
  <c r="Z856" i="19"/>
  <c r="Z964" i="19"/>
  <c r="Z938" i="19"/>
  <c r="Z952" i="19"/>
  <c r="Z781" i="19"/>
  <c r="Z880" i="19"/>
  <c r="Z775" i="19"/>
  <c r="Z827" i="19"/>
  <c r="Z562" i="19"/>
  <c r="Z991" i="19"/>
  <c r="Z658" i="19"/>
  <c r="Z890" i="19"/>
  <c r="Z790" i="19"/>
  <c r="Z718" i="19"/>
  <c r="Z741" i="19"/>
  <c r="Z968" i="19"/>
  <c r="Z903" i="19"/>
  <c r="Z940" i="19"/>
  <c r="Z844" i="19"/>
  <c r="Z808" i="19"/>
  <c r="Z980" i="19"/>
  <c r="Z800" i="19"/>
  <c r="Z836" i="19"/>
  <c r="Z936" i="19"/>
  <c r="Z766" i="19"/>
  <c r="Z592" i="19"/>
  <c r="Z755" i="19"/>
  <c r="Z670" i="19"/>
  <c r="Z623" i="19"/>
  <c r="Z826" i="19"/>
  <c r="Z987" i="19"/>
  <c r="Z769" i="19"/>
  <c r="Z684" i="19"/>
  <c r="AP892" i="19"/>
  <c r="C642" i="23"/>
  <c r="S39" i="31"/>
  <c r="S38" i="30"/>
  <c r="S36" i="29"/>
  <c r="U824" i="19"/>
  <c r="U757" i="19"/>
  <c r="A941" i="23"/>
  <c r="K941" i="23" s="1"/>
  <c r="P939" i="19"/>
  <c r="U810" i="19"/>
  <c r="B705" i="23"/>
  <c r="U939" i="19"/>
  <c r="AP824" i="19"/>
  <c r="U817" i="19"/>
  <c r="A826" i="23"/>
  <c r="K826" i="23" s="1"/>
  <c r="U808" i="19"/>
  <c r="P852" i="19"/>
  <c r="U746" i="19"/>
  <c r="C988" i="23"/>
  <c r="AP793" i="19"/>
  <c r="U983" i="19"/>
  <c r="A767" i="23"/>
  <c r="K767" i="23" s="1"/>
  <c r="A795" i="23"/>
  <c r="K795" i="23" s="1"/>
  <c r="A800" i="23"/>
  <c r="K800" i="23" s="1"/>
  <c r="P975" i="19"/>
  <c r="AP852" i="19"/>
  <c r="P952" i="19"/>
  <c r="AP952" i="19"/>
  <c r="U951" i="19"/>
  <c r="L810" i="23"/>
  <c r="M810" i="23" s="1"/>
  <c r="B820" i="23"/>
  <c r="U675" i="19"/>
  <c r="C822" i="23"/>
  <c r="U730" i="19"/>
  <c r="P685" i="19"/>
  <c r="AP628" i="19"/>
  <c r="A630" i="23"/>
  <c r="K630" i="23" s="1"/>
  <c r="A687" i="23"/>
  <c r="K687" i="23" s="1"/>
  <c r="A372" i="19"/>
  <c r="A635" i="23"/>
  <c r="K635" i="23" s="1"/>
  <c r="B597" i="23"/>
  <c r="U766" i="19"/>
  <c r="U787" i="19"/>
  <c r="U672" i="19"/>
  <c r="A923" i="19"/>
  <c r="AP640" i="19"/>
  <c r="C894" i="23"/>
  <c r="P892" i="19"/>
  <c r="B585" i="23"/>
  <c r="P640" i="19"/>
  <c r="P672" i="19"/>
  <c r="I567" i="23"/>
  <c r="A890" i="19"/>
  <c r="P976" i="19"/>
  <c r="A873" i="23"/>
  <c r="K873" i="23" s="1"/>
  <c r="B903" i="23"/>
  <c r="U798" i="19"/>
  <c r="A977" i="23"/>
  <c r="K977" i="23" s="1"/>
  <c r="A619" i="19"/>
  <c r="U598" i="19"/>
  <c r="A600" i="23"/>
  <c r="K600" i="23" s="1"/>
  <c r="U852" i="19"/>
  <c r="AP817" i="19"/>
  <c r="A980" i="19"/>
  <c r="P595" i="19"/>
  <c r="P817" i="19"/>
  <c r="A597" i="23"/>
  <c r="K597" i="23" s="1"/>
  <c r="A689" i="23"/>
  <c r="K689" i="23" s="1"/>
  <c r="AP598" i="19"/>
  <c r="A929" i="23"/>
  <c r="K929" i="23" s="1"/>
  <c r="AP672" i="19"/>
  <c r="AP986" i="19"/>
  <c r="A974" i="19"/>
  <c r="A988" i="23"/>
  <c r="K988" i="23" s="1"/>
  <c r="I766" i="23"/>
  <c r="A998" i="19"/>
  <c r="I516" i="23"/>
  <c r="AP868" i="19"/>
  <c r="U793" i="19"/>
  <c r="C777" i="23"/>
  <c r="I570" i="23"/>
  <c r="AP706" i="19"/>
  <c r="C687" i="23"/>
  <c r="P854" i="19"/>
  <c r="C977" i="23"/>
  <c r="U767" i="19"/>
  <c r="AP750" i="19"/>
  <c r="AP853" i="19"/>
  <c r="P670" i="19"/>
  <c r="B465" i="23"/>
  <c r="AP717" i="19"/>
  <c r="P750" i="19"/>
  <c r="P868" i="19"/>
  <c r="P706" i="19"/>
  <c r="I493" i="23"/>
  <c r="P915" i="19"/>
  <c r="AP871" i="19"/>
  <c r="A754" i="19"/>
  <c r="U976" i="19"/>
  <c r="A643" i="23"/>
  <c r="K643" i="23" s="1"/>
  <c r="U669" i="19"/>
  <c r="C957" i="23"/>
  <c r="C575" i="23"/>
  <c r="AP730" i="19"/>
  <c r="C593" i="23"/>
  <c r="B456" i="23"/>
  <c r="AP708" i="19"/>
  <c r="AP915" i="19"/>
  <c r="AP984" i="19"/>
  <c r="A837" i="23"/>
  <c r="K837" i="23" s="1"/>
  <c r="I809" i="23"/>
  <c r="P730" i="19"/>
  <c r="D768" i="23"/>
  <c r="U741" i="19"/>
  <c r="P891" i="19"/>
  <c r="P835" i="19"/>
  <c r="P991" i="19"/>
  <c r="U904" i="19"/>
  <c r="P990" i="19"/>
  <c r="A743" i="23"/>
  <c r="K743" i="23" s="1"/>
  <c r="AP976" i="19"/>
  <c r="A893" i="23"/>
  <c r="K893" i="23" s="1"/>
  <c r="AP741" i="19"/>
  <c r="U624" i="19"/>
  <c r="AP991" i="19"/>
  <c r="AP990" i="19"/>
  <c r="P776" i="19"/>
  <c r="A617" i="23"/>
  <c r="K617" i="23" s="1"/>
  <c r="I789" i="23"/>
  <c r="D789" i="23" s="1"/>
  <c r="U844" i="19"/>
  <c r="AP776" i="19"/>
  <c r="U790" i="19"/>
  <c r="U646" i="19"/>
  <c r="A685" i="23"/>
  <c r="K685" i="23" s="1"/>
  <c r="U915" i="19"/>
  <c r="AP687" i="19"/>
  <c r="C767" i="23"/>
  <c r="AP798" i="19"/>
  <c r="U628" i="19"/>
  <c r="A836" i="23"/>
  <c r="K836" i="23" s="1"/>
  <c r="U710" i="19"/>
  <c r="P765" i="19"/>
  <c r="I614" i="23"/>
  <c r="C938" i="23"/>
  <c r="C980" i="23"/>
  <c r="A641" i="19"/>
  <c r="B917" i="23"/>
  <c r="U834" i="19"/>
  <c r="A322" i="19"/>
  <c r="C624" i="23"/>
  <c r="I764" i="23"/>
  <c r="P676" i="19"/>
  <c r="AP676" i="19"/>
  <c r="C647" i="23"/>
  <c r="U997" i="19"/>
  <c r="A828" i="23"/>
  <c r="K828" i="23" s="1"/>
  <c r="A671" i="23"/>
  <c r="K671" i="23" s="1"/>
  <c r="U891" i="19"/>
  <c r="A986" i="23"/>
  <c r="K986" i="23" s="1"/>
  <c r="A918" i="23"/>
  <c r="K918" i="23" s="1"/>
  <c r="C714" i="23"/>
  <c r="P844" i="19"/>
  <c r="U854" i="19"/>
  <c r="A596" i="23"/>
  <c r="K596" i="23" s="1"/>
  <c r="P722" i="19"/>
  <c r="A999" i="23"/>
  <c r="D999" i="23" s="1"/>
  <c r="AP844" i="19"/>
  <c r="AP669" i="19"/>
  <c r="A739" i="19"/>
  <c r="A571" i="19"/>
  <c r="I798" i="23"/>
  <c r="D798" i="23" s="1"/>
  <c r="A985" i="19"/>
  <c r="U950" i="19"/>
  <c r="C992" i="23"/>
  <c r="A892" i="19"/>
  <c r="A691" i="19"/>
  <c r="U803" i="19"/>
  <c r="AP826" i="19"/>
  <c r="U979" i="19"/>
  <c r="U708" i="19"/>
  <c r="U615" i="19"/>
  <c r="A677" i="23"/>
  <c r="K677" i="23" s="1"/>
  <c r="A358" i="19"/>
  <c r="P633" i="19"/>
  <c r="P902" i="19"/>
  <c r="AP902" i="19"/>
  <c r="U723" i="19"/>
  <c r="P834" i="19"/>
  <c r="AP594" i="19"/>
  <c r="AP916" i="19"/>
  <c r="P979" i="19"/>
  <c r="AP670" i="19"/>
  <c r="P963" i="19"/>
  <c r="C965" i="23"/>
  <c r="A582" i="19"/>
  <c r="A866" i="19"/>
  <c r="P853" i="19"/>
  <c r="P997" i="19"/>
  <c r="C741" i="23"/>
  <c r="A805" i="23"/>
  <c r="K805" i="23" s="1"/>
  <c r="AP979" i="19"/>
  <c r="AP813" i="19"/>
  <c r="P992" i="19"/>
  <c r="A994" i="23"/>
  <c r="K994" i="23" s="1"/>
  <c r="AP722" i="19"/>
  <c r="AP804" i="19"/>
  <c r="U571" i="19"/>
  <c r="A806" i="23"/>
  <c r="K806" i="23" s="1"/>
  <c r="A396" i="19"/>
  <c r="U583" i="19"/>
  <c r="P622" i="19"/>
  <c r="P683" i="19"/>
  <c r="AP832" i="19"/>
  <c r="AP825" i="19"/>
  <c r="U813" i="19"/>
  <c r="P813" i="19"/>
  <c r="U654" i="19"/>
  <c r="U902" i="19"/>
  <c r="AP583" i="19"/>
  <c r="C828" i="23"/>
  <c r="P583" i="19"/>
  <c r="U718" i="19"/>
  <c r="B513" i="23"/>
  <c r="P836" i="19"/>
  <c r="U985" i="19"/>
  <c r="U594" i="19"/>
  <c r="P615" i="19"/>
  <c r="A576" i="23"/>
  <c r="K576" i="23" s="1"/>
  <c r="U663" i="19"/>
  <c r="AP632" i="19"/>
  <c r="U744" i="19"/>
  <c r="AP567" i="19"/>
  <c r="A987" i="23"/>
  <c r="K987" i="23" s="1"/>
  <c r="A634" i="23"/>
  <c r="K634" i="23" s="1"/>
  <c r="P567" i="19"/>
  <c r="C929" i="23"/>
  <c r="P693" i="19"/>
  <c r="C576" i="23"/>
  <c r="U559" i="19"/>
  <c r="A695" i="23"/>
  <c r="K695" i="23" s="1"/>
  <c r="A195" i="19"/>
  <c r="C844" i="23"/>
  <c r="P860" i="19"/>
  <c r="U879" i="19"/>
  <c r="AP604" i="19"/>
  <c r="A786" i="19"/>
  <c r="A769" i="23"/>
  <c r="K769" i="23" s="1"/>
  <c r="A606" i="23"/>
  <c r="K606" i="23" s="1"/>
  <c r="A965" i="23"/>
  <c r="K965" i="23" s="1"/>
  <c r="AP790" i="19"/>
  <c r="P624" i="19"/>
  <c r="AP723" i="19"/>
  <c r="AP955" i="19"/>
  <c r="C692" i="23"/>
  <c r="AP690" i="19"/>
  <c r="A899" i="19"/>
  <c r="P790" i="19"/>
  <c r="P626" i="19"/>
  <c r="AP624" i="19"/>
  <c r="P723" i="19"/>
  <c r="AP951" i="19"/>
  <c r="U676" i="19"/>
  <c r="U871" i="19"/>
  <c r="B556" i="23"/>
  <c r="A862" i="23"/>
  <c r="K862" i="23" s="1"/>
  <c r="A957" i="23"/>
  <c r="D957" i="23" s="1"/>
  <c r="P690" i="19"/>
  <c r="AP626" i="19"/>
  <c r="P803" i="19"/>
  <c r="P951" i="19"/>
  <c r="AP654" i="19"/>
  <c r="P654" i="19"/>
  <c r="U634" i="19"/>
  <c r="U608" i="19"/>
  <c r="U649" i="19"/>
  <c r="AP836" i="19"/>
  <c r="AP622" i="19"/>
  <c r="U567" i="19"/>
  <c r="C686" i="23"/>
  <c r="AP927" i="19"/>
  <c r="B927" i="23"/>
  <c r="C660" i="23"/>
  <c r="U632" i="19"/>
  <c r="U612" i="19"/>
  <c r="U998" i="19"/>
  <c r="C855" i="23"/>
  <c r="U667" i="19"/>
  <c r="C778" i="23"/>
  <c r="P591" i="19"/>
  <c r="A658" i="19"/>
  <c r="AP978" i="19"/>
  <c r="P717" i="19"/>
  <c r="A651" i="23"/>
  <c r="D651" i="23" s="1"/>
  <c r="P842" i="19"/>
  <c r="U923" i="19"/>
  <c r="U687" i="19"/>
  <c r="U701" i="19"/>
  <c r="P845" i="19"/>
  <c r="AP591" i="19"/>
  <c r="A980" i="23"/>
  <c r="K980" i="23" s="1"/>
  <c r="U992" i="19"/>
  <c r="P856" i="19"/>
  <c r="AP649" i="19"/>
  <c r="AP845" i="19"/>
  <c r="A877" i="19"/>
  <c r="U604" i="19"/>
  <c r="U980" i="19"/>
  <c r="P574" i="19"/>
  <c r="U973" i="19"/>
  <c r="A844" i="23"/>
  <c r="K844" i="23" s="1"/>
  <c r="A315" i="19"/>
  <c r="U845" i="19"/>
  <c r="P675" i="19"/>
  <c r="A575" i="23"/>
  <c r="D575" i="23" s="1"/>
  <c r="P573" i="19"/>
  <c r="A986" i="19"/>
  <c r="D719" i="23"/>
  <c r="A877" i="23"/>
  <c r="K877" i="23" s="1"/>
  <c r="P767" i="19"/>
  <c r="U819" i="19"/>
  <c r="AP950" i="19"/>
  <c r="U683" i="19"/>
  <c r="P825" i="19"/>
  <c r="U938" i="19"/>
  <c r="B566" i="23"/>
  <c r="P757" i="19"/>
  <c r="P875" i="19"/>
  <c r="A750" i="23"/>
  <c r="K750" i="23" s="1"/>
  <c r="AP757" i="19"/>
  <c r="A834" i="23"/>
  <c r="K834" i="23" s="1"/>
  <c r="AP973" i="19"/>
  <c r="AP778" i="19"/>
  <c r="A845" i="23"/>
  <c r="K845" i="23" s="1"/>
  <c r="A975" i="23"/>
  <c r="U926" i="19"/>
  <c r="A780" i="23"/>
  <c r="D780" i="23" s="1"/>
  <c r="P577" i="19"/>
  <c r="A856" i="23"/>
  <c r="K856" i="23" s="1"/>
  <c r="P787" i="19"/>
  <c r="A902" i="19"/>
  <c r="AP787" i="19"/>
  <c r="AP980" i="19"/>
  <c r="P740" i="19"/>
  <c r="AP577" i="19"/>
  <c r="AP983" i="19"/>
  <c r="P980" i="19"/>
  <c r="A742" i="23"/>
  <c r="K742" i="23" s="1"/>
  <c r="U717" i="19"/>
  <c r="P996" i="19"/>
  <c r="P983" i="19"/>
  <c r="U984" i="19"/>
  <c r="AP996" i="19"/>
  <c r="AP843" i="19"/>
  <c r="A777" i="23"/>
  <c r="K777" i="23" s="1"/>
  <c r="I479" i="23"/>
  <c r="P775" i="19"/>
  <c r="U961" i="19"/>
  <c r="I518" i="23"/>
  <c r="U740" i="19"/>
  <c r="U750" i="19"/>
  <c r="U804" i="19"/>
  <c r="AP809" i="19"/>
  <c r="B939" i="23"/>
  <c r="P612" i="19"/>
  <c r="P809" i="19"/>
  <c r="A614" i="23"/>
  <c r="K614" i="23" s="1"/>
  <c r="A855" i="19"/>
  <c r="U748" i="19"/>
  <c r="U952" i="19"/>
  <c r="A830" i="23"/>
  <c r="AP748" i="19"/>
  <c r="A741" i="23"/>
  <c r="K741" i="23" s="1"/>
  <c r="P828" i="19"/>
  <c r="I782" i="23"/>
  <c r="D782" i="23" s="1"/>
  <c r="B386" i="23"/>
  <c r="AP800" i="19"/>
  <c r="A952" i="23"/>
  <c r="K952" i="23" s="1"/>
  <c r="A714" i="23"/>
  <c r="K714" i="23" s="1"/>
  <c r="A744" i="19"/>
  <c r="U919" i="19"/>
  <c r="AP712" i="19"/>
  <c r="P998" i="19"/>
  <c r="P663" i="19"/>
  <c r="U670" i="19"/>
  <c r="U916" i="19"/>
  <c r="AP998" i="19"/>
  <c r="AP663" i="19"/>
  <c r="A721" i="19"/>
  <c r="AP572" i="19"/>
  <c r="P630" i="19"/>
  <c r="U865" i="19"/>
  <c r="C880" i="23"/>
  <c r="P658" i="19"/>
  <c r="B801" i="23"/>
  <c r="U633" i="19"/>
  <c r="B916" i="23"/>
  <c r="A403" i="19"/>
  <c r="U585" i="19"/>
  <c r="AP919" i="19"/>
  <c r="C574" i="23"/>
  <c r="A925" i="23"/>
  <c r="K925" i="23" s="1"/>
  <c r="B563" i="23"/>
  <c r="B222" i="23"/>
  <c r="U764" i="19"/>
  <c r="A921" i="23"/>
  <c r="K921" i="23" s="1"/>
  <c r="P820" i="19"/>
  <c r="C579" i="23"/>
  <c r="I929" i="23"/>
  <c r="AP630" i="19"/>
  <c r="AP923" i="19"/>
  <c r="I379" i="23"/>
  <c r="I941" i="23"/>
  <c r="I263" i="23"/>
  <c r="AP658" i="19"/>
  <c r="I473" i="23"/>
  <c r="I195" i="23"/>
  <c r="C976" i="23"/>
  <c r="U623" i="19"/>
  <c r="U841" i="19"/>
  <c r="U626" i="19"/>
  <c r="I742" i="23"/>
  <c r="AP883" i="19"/>
  <c r="A790" i="19"/>
  <c r="P774" i="19"/>
  <c r="P883" i="19"/>
  <c r="C834" i="23"/>
  <c r="A558" i="23"/>
  <c r="K558" i="23" s="1"/>
  <c r="AP820" i="19"/>
  <c r="AP556" i="19"/>
  <c r="C739" i="23"/>
  <c r="A647" i="23"/>
  <c r="K647" i="23" s="1"/>
  <c r="I451" i="23"/>
  <c r="I731" i="23"/>
  <c r="A863" i="19"/>
  <c r="P708" i="19"/>
  <c r="C638" i="23"/>
  <c r="P772" i="19"/>
  <c r="I306" i="23"/>
  <c r="P985" i="19"/>
  <c r="I600" i="23"/>
  <c r="C774" i="23"/>
  <c r="A774" i="23"/>
  <c r="K774" i="23" s="1"/>
  <c r="I977" i="23"/>
  <c r="C618" i="23"/>
  <c r="AP847" i="19"/>
  <c r="C801" i="23"/>
  <c r="P847" i="19"/>
  <c r="P572" i="19"/>
  <c r="AP645" i="19"/>
  <c r="U868" i="19"/>
  <c r="AP559" i="19"/>
  <c r="A561" i="23"/>
  <c r="K561" i="23" s="1"/>
  <c r="U875" i="19"/>
  <c r="A928" i="19"/>
  <c r="I326" i="23"/>
  <c r="U706" i="19"/>
  <c r="A669" i="23"/>
  <c r="K669" i="23" s="1"/>
  <c r="I377" i="23"/>
  <c r="I964" i="23"/>
  <c r="I246" i="23"/>
  <c r="I995" i="23"/>
  <c r="P800" i="19"/>
  <c r="I942" i="23"/>
  <c r="I672" i="23"/>
  <c r="D672" i="23" s="1"/>
  <c r="I744" i="23"/>
  <c r="D744" i="23" s="1"/>
  <c r="I626" i="23"/>
  <c r="D626" i="23" s="1"/>
  <c r="I743" i="23"/>
  <c r="I282" i="23"/>
  <c r="C770" i="23"/>
  <c r="A523" i="19"/>
  <c r="I354" i="23"/>
  <c r="I230" i="23"/>
  <c r="I453" i="23"/>
  <c r="I286" i="23"/>
  <c r="I537" i="23"/>
  <c r="AP667" i="19"/>
  <c r="U835" i="19"/>
  <c r="I653" i="23"/>
  <c r="D653" i="23" s="1"/>
  <c r="I687" i="23"/>
  <c r="U726" i="19"/>
  <c r="C885" i="23"/>
  <c r="U703" i="19"/>
  <c r="C599" i="23"/>
  <c r="B999" i="23"/>
  <c r="A815" i="19"/>
  <c r="AP802" i="19"/>
  <c r="P802" i="19"/>
  <c r="A750" i="19"/>
  <c r="AP831" i="19"/>
  <c r="P831" i="19"/>
  <c r="A858" i="23"/>
  <c r="K858" i="23" s="1"/>
  <c r="A618" i="23"/>
  <c r="K618" i="23" s="1"/>
  <c r="A843" i="23"/>
  <c r="K843" i="23" s="1"/>
  <c r="U657" i="19"/>
  <c r="U815" i="19"/>
  <c r="U825" i="19"/>
  <c r="U693" i="19"/>
  <c r="AP744" i="19"/>
  <c r="P744" i="19"/>
  <c r="C731" i="23"/>
  <c r="B994" i="23"/>
  <c r="P788" i="19"/>
  <c r="P616" i="19"/>
  <c r="AP788" i="19"/>
  <c r="AP841" i="19"/>
  <c r="A313" i="19"/>
  <c r="U996" i="19"/>
  <c r="AP739" i="19"/>
  <c r="AP558" i="19"/>
  <c r="P558" i="19"/>
  <c r="U914" i="19"/>
  <c r="A635" i="19"/>
  <c r="U609" i="19"/>
  <c r="AP914" i="19"/>
  <c r="AP629" i="19"/>
  <c r="P914" i="19"/>
  <c r="P562" i="19"/>
  <c r="AP807" i="19"/>
  <c r="AP603" i="19"/>
  <c r="A770" i="23"/>
  <c r="K770" i="23" s="1"/>
  <c r="A684" i="23"/>
  <c r="K684" i="23" s="1"/>
  <c r="A880" i="23"/>
  <c r="D880" i="23" s="1"/>
  <c r="A557" i="23"/>
  <c r="K557" i="23" s="1"/>
  <c r="A865" i="23"/>
  <c r="K865" i="23" s="1"/>
  <c r="AP849" i="19"/>
  <c r="AP895" i="19"/>
  <c r="AP830" i="19"/>
  <c r="P903" i="19"/>
  <c r="P1000" i="19"/>
  <c r="A832" i="23"/>
  <c r="K832" i="23" s="1"/>
  <c r="A721" i="23"/>
  <c r="K721" i="23" s="1"/>
  <c r="A631" i="23"/>
  <c r="K631" i="23" s="1"/>
  <c r="A680" i="23"/>
  <c r="K680" i="23" s="1"/>
  <c r="AP774" i="19"/>
  <c r="A969" i="23"/>
  <c r="K969" i="23" s="1"/>
  <c r="A940" i="23"/>
  <c r="K940" i="23" s="1"/>
  <c r="A716" i="23"/>
  <c r="K716" i="23" s="1"/>
  <c r="P961" i="19"/>
  <c r="AP799" i="19"/>
  <c r="A788" i="23"/>
  <c r="K788" i="23" s="1"/>
  <c r="P752" i="19"/>
  <c r="AP737" i="19"/>
  <c r="P636" i="19"/>
  <c r="P674" i="19"/>
  <c r="P866" i="19"/>
  <c r="AP608" i="19"/>
  <c r="A712" i="23"/>
  <c r="D712" i="23" s="1"/>
  <c r="A970" i="23"/>
  <c r="K970" i="23" s="1"/>
  <c r="A766" i="23"/>
  <c r="K766" i="23" s="1"/>
  <c r="A659" i="23"/>
  <c r="D659" i="23" s="1"/>
  <c r="P742" i="19"/>
  <c r="P974" i="19"/>
  <c r="AP721" i="19"/>
  <c r="A739" i="23"/>
  <c r="D739" i="23" s="1"/>
  <c r="P737" i="19"/>
  <c r="A964" i="23"/>
  <c r="K964" i="23" s="1"/>
  <c r="AP597" i="19"/>
  <c r="AP974" i="19"/>
  <c r="P576" i="19"/>
  <c r="A967" i="23"/>
  <c r="K967" i="23" s="1"/>
  <c r="A748" i="23"/>
  <c r="K748" i="23" s="1"/>
  <c r="A839" i="23"/>
  <c r="K839" i="23" s="1"/>
  <c r="AP576" i="19"/>
  <c r="AP879" i="19"/>
  <c r="A706" i="23"/>
  <c r="K706" i="23" s="1"/>
  <c r="AP703" i="19"/>
  <c r="P635" i="19"/>
  <c r="U588" i="19"/>
  <c r="AP695" i="19"/>
  <c r="A594" i="23"/>
  <c r="K594" i="23" s="1"/>
  <c r="P641" i="19"/>
  <c r="A728" i="23"/>
  <c r="K728" i="23" s="1"/>
  <c r="P895" i="19"/>
  <c r="P682" i="19"/>
  <c r="A771" i="23"/>
  <c r="K771" i="23" s="1"/>
  <c r="A757" i="23"/>
  <c r="K757" i="23" s="1"/>
  <c r="A817" i="23"/>
  <c r="K817" i="23" s="1"/>
  <c r="U849" i="19"/>
  <c r="A937" i="23"/>
  <c r="K937" i="23" s="1"/>
  <c r="U859" i="19"/>
  <c r="AP962" i="19"/>
  <c r="P962" i="19"/>
  <c r="P971" i="19"/>
  <c r="B659" i="23"/>
  <c r="U641" i="19"/>
  <c r="AP657" i="19"/>
  <c r="U903" i="19"/>
  <c r="P710" i="19"/>
  <c r="AP806" i="19"/>
  <c r="P657" i="19"/>
  <c r="A808" i="23"/>
  <c r="K808" i="23" s="1"/>
  <c r="B915" i="23"/>
  <c r="AP742" i="19"/>
  <c r="C892" i="23"/>
  <c r="C564" i="23"/>
  <c r="A252" i="19"/>
  <c r="A905" i="23"/>
  <c r="K905" i="23" s="1"/>
  <c r="B913" i="23"/>
  <c r="P806" i="19"/>
  <c r="P623" i="19"/>
  <c r="A851" i="23"/>
  <c r="D851" i="23" s="1"/>
  <c r="P940" i="19"/>
  <c r="AP903" i="19"/>
  <c r="A625" i="23"/>
  <c r="K625" i="23" s="1"/>
  <c r="A942" i="23"/>
  <c r="K942" i="23" s="1"/>
  <c r="P879" i="19"/>
  <c r="A638" i="23"/>
  <c r="K638" i="23" s="1"/>
  <c r="C969" i="23"/>
  <c r="P678" i="19"/>
  <c r="A1000" i="19"/>
  <c r="A801" i="23"/>
  <c r="K801" i="23" s="1"/>
  <c r="U556" i="19"/>
  <c r="B196" i="23"/>
  <c r="AP636" i="19"/>
  <c r="A889" i="19"/>
  <c r="A963" i="23"/>
  <c r="K963" i="23" s="1"/>
  <c r="AP678" i="19"/>
  <c r="AP940" i="19"/>
  <c r="A599" i="23"/>
  <c r="K599" i="23" s="1"/>
  <c r="A637" i="23"/>
  <c r="K637" i="23" s="1"/>
  <c r="AP752" i="19"/>
  <c r="U935" i="19"/>
  <c r="P719" i="19"/>
  <c r="P807" i="19"/>
  <c r="A973" i="23"/>
  <c r="K973" i="23" s="1"/>
  <c r="A809" i="23"/>
  <c r="K809" i="23" s="1"/>
  <c r="P815" i="19"/>
  <c r="AP935" i="19"/>
  <c r="AP635" i="19"/>
  <c r="P935" i="19"/>
  <c r="A578" i="23"/>
  <c r="D578" i="23" s="1"/>
  <c r="A360" i="19"/>
  <c r="P597" i="19"/>
  <c r="AP1000" i="19"/>
  <c r="D696" i="23"/>
  <c r="C927" i="23"/>
  <c r="A531" i="19"/>
  <c r="P799" i="19"/>
  <c r="A861" i="23"/>
  <c r="D861" i="23" s="1"/>
  <c r="P830" i="19"/>
  <c r="U769" i="19"/>
  <c r="A897" i="23"/>
  <c r="D897" i="23" s="1"/>
  <c r="P967" i="19"/>
  <c r="U721" i="19"/>
  <c r="B336" i="23"/>
  <c r="A678" i="19"/>
  <c r="AP967" i="19"/>
  <c r="AP938" i="19"/>
  <c r="U901" i="19"/>
  <c r="P938" i="19"/>
  <c r="C862" i="23"/>
  <c r="AP666" i="19"/>
  <c r="U719" i="19"/>
  <c r="P608" i="19"/>
  <c r="U781" i="19"/>
  <c r="U568" i="19"/>
  <c r="B893" i="23"/>
  <c r="A327" i="19"/>
  <c r="U866" i="19"/>
  <c r="P666" i="19"/>
  <c r="U786" i="19"/>
  <c r="A723" i="23"/>
  <c r="K723" i="23" s="1"/>
  <c r="C831" i="23"/>
  <c r="A668" i="23"/>
  <c r="K668" i="23" s="1"/>
  <c r="A610" i="23"/>
  <c r="K610" i="23" s="1"/>
  <c r="AP961" i="19"/>
  <c r="L894" i="23"/>
  <c r="M894" i="23" s="1"/>
  <c r="AP768" i="19"/>
  <c r="U807" i="19"/>
  <c r="A754" i="23"/>
  <c r="K754" i="23" s="1"/>
  <c r="U877" i="19"/>
  <c r="P726" i="19"/>
  <c r="U674" i="19"/>
  <c r="P769" i="19"/>
  <c r="AP726" i="19"/>
  <c r="AP837" i="19"/>
  <c r="P987" i="19"/>
  <c r="P837" i="19"/>
  <c r="A989" i="23"/>
  <c r="K989" i="23" s="1"/>
  <c r="U830" i="19"/>
  <c r="AP786" i="19"/>
  <c r="P603" i="19"/>
  <c r="P786" i="19"/>
  <c r="C763" i="23"/>
  <c r="P768" i="19"/>
  <c r="P714" i="19"/>
  <c r="U778" i="19"/>
  <c r="U555" i="19"/>
  <c r="P721" i="19"/>
  <c r="P791" i="19"/>
  <c r="AP968" i="19"/>
  <c r="C757" i="23"/>
  <c r="A793" i="23"/>
  <c r="K793" i="23" s="1"/>
  <c r="P968" i="19"/>
  <c r="AP791" i="19"/>
  <c r="P764" i="19"/>
  <c r="AP815" i="19"/>
  <c r="U895" i="19"/>
  <c r="A298" i="19"/>
  <c r="A881" i="23"/>
  <c r="K881" i="23" s="1"/>
  <c r="A681" i="23"/>
  <c r="K681" i="23" s="1"/>
  <c r="AP674" i="19"/>
  <c r="P704" i="19"/>
  <c r="AP704" i="19"/>
  <c r="A676" i="23"/>
  <c r="K676" i="23" s="1"/>
  <c r="AP971" i="19"/>
  <c r="AP682" i="19"/>
  <c r="U704" i="19"/>
  <c r="B983" i="23"/>
  <c r="AP859" i="19"/>
  <c r="P703" i="19"/>
  <c r="U678" i="19"/>
  <c r="AP769" i="19"/>
  <c r="C684" i="23"/>
  <c r="B258" i="23"/>
  <c r="P859" i="19"/>
  <c r="AP878" i="19"/>
  <c r="A705" i="23"/>
  <c r="K705" i="23" s="1"/>
  <c r="U791" i="19"/>
  <c r="AP755" i="19"/>
  <c r="P755" i="19"/>
  <c r="AP719" i="19"/>
  <c r="AP987" i="19"/>
  <c r="P988" i="19"/>
  <c r="A990" i="23"/>
  <c r="K990" i="23" s="1"/>
  <c r="U742" i="19"/>
  <c r="C865" i="23"/>
  <c r="U863" i="19"/>
  <c r="P642" i="19"/>
  <c r="AP863" i="19"/>
  <c r="P679" i="19"/>
  <c r="AP679" i="19"/>
  <c r="U987" i="19"/>
  <c r="C776" i="23"/>
  <c r="AP642" i="19"/>
  <c r="A644" i="23"/>
  <c r="K644" i="23" s="1"/>
  <c r="P947" i="19"/>
  <c r="A949" i="23"/>
  <c r="K949" i="23" s="1"/>
  <c r="AP947" i="19"/>
  <c r="D628" i="23"/>
  <c r="A829" i="23"/>
  <c r="K829" i="23" s="1"/>
  <c r="AP866" i="19"/>
  <c r="U843" i="19"/>
  <c r="P878" i="19"/>
  <c r="U763" i="19"/>
  <c r="A609" i="19"/>
  <c r="P746" i="19"/>
  <c r="U603" i="19"/>
  <c r="P555" i="19"/>
  <c r="U695" i="19"/>
  <c r="AP555" i="19"/>
  <c r="C716" i="23"/>
  <c r="P965" i="19"/>
  <c r="P863" i="19"/>
  <c r="AP746" i="19"/>
  <c r="P592" i="19"/>
  <c r="U558" i="19"/>
  <c r="AP965" i="19"/>
  <c r="A475" i="19"/>
  <c r="U965" i="19"/>
  <c r="P695" i="19"/>
  <c r="AP592" i="19"/>
  <c r="U642" i="19"/>
  <c r="B285" i="23"/>
  <c r="C594" i="23"/>
  <c r="U592" i="19"/>
  <c r="C839" i="23"/>
  <c r="U837" i="19"/>
  <c r="P701" i="19"/>
  <c r="AP701" i="19"/>
  <c r="A703" i="23"/>
  <c r="K703" i="23" s="1"/>
  <c r="A961" i="23"/>
  <c r="K961" i="23" s="1"/>
  <c r="AP959" i="19"/>
  <c r="AP829" i="19"/>
  <c r="A831" i="23"/>
  <c r="K831" i="23" s="1"/>
  <c r="A602" i="23"/>
  <c r="K602" i="23" s="1"/>
  <c r="P600" i="19"/>
  <c r="AP600" i="19"/>
  <c r="AP865" i="19"/>
  <c r="P865" i="19"/>
  <c r="A867" i="23"/>
  <c r="K867" i="23" s="1"/>
  <c r="U752" i="19"/>
  <c r="C754" i="23"/>
  <c r="AP763" i="19"/>
  <c r="A765" i="23"/>
  <c r="K765" i="23" s="1"/>
  <c r="P763" i="19"/>
  <c r="U971" i="19"/>
  <c r="AP827" i="19"/>
  <c r="B966" i="23"/>
  <c r="A964" i="19"/>
  <c r="C802" i="23"/>
  <c r="U800" i="19"/>
  <c r="AP580" i="19"/>
  <c r="P580" i="19"/>
  <c r="A582" i="23"/>
  <c r="K582" i="23" s="1"/>
  <c r="AP761" i="19"/>
  <c r="A763" i="23"/>
  <c r="K763" i="23" s="1"/>
  <c r="P761" i="19"/>
  <c r="P827" i="19"/>
  <c r="AP964" i="19"/>
  <c r="A966" i="23"/>
  <c r="K966" i="23" s="1"/>
  <c r="C858" i="23"/>
  <c r="U856" i="19"/>
  <c r="AP901" i="19"/>
  <c r="A903" i="23"/>
  <c r="K903" i="23" s="1"/>
  <c r="P901" i="19"/>
  <c r="B319" i="23"/>
  <c r="A317" i="19"/>
  <c r="AP925" i="19"/>
  <c r="P925" i="19"/>
  <c r="A927" i="23"/>
  <c r="K927" i="23" s="1"/>
  <c r="AP609" i="19"/>
  <c r="P609" i="19"/>
  <c r="A611" i="23"/>
  <c r="K611" i="23" s="1"/>
  <c r="P585" i="19"/>
  <c r="A587" i="23"/>
  <c r="K587" i="23" s="1"/>
  <c r="AP714" i="19"/>
  <c r="P829" i="19"/>
  <c r="C949" i="23"/>
  <c r="U947" i="19"/>
  <c r="C913" i="23"/>
  <c r="U911" i="19"/>
  <c r="P964" i="19"/>
  <c r="U887" i="19"/>
  <c r="U635" i="19"/>
  <c r="C637" i="23"/>
  <c r="C632" i="23"/>
  <c r="U630" i="19"/>
  <c r="AP890" i="19"/>
  <c r="A892" i="23"/>
  <c r="K892" i="23" s="1"/>
  <c r="P890" i="19"/>
  <c r="P959" i="19"/>
  <c r="U940" i="19"/>
  <c r="C942" i="23"/>
  <c r="AP585" i="19"/>
  <c r="U851" i="19"/>
  <c r="AP926" i="19"/>
  <c r="P926" i="19"/>
  <c r="A928" i="23"/>
  <c r="D928" i="23" s="1"/>
  <c r="U802" i="19"/>
  <c r="C804" i="23"/>
  <c r="AP877" i="19"/>
  <c r="A879" i="23"/>
  <c r="K879" i="23" s="1"/>
  <c r="P877" i="19"/>
  <c r="A564" i="23"/>
  <c r="K564" i="23" s="1"/>
  <c r="U827" i="19"/>
  <c r="B234" i="23"/>
  <c r="A232" i="19"/>
  <c r="A731" i="23"/>
  <c r="K731" i="23" s="1"/>
  <c r="P729" i="19"/>
  <c r="AP729" i="19"/>
  <c r="B576" i="23"/>
  <c r="A574" i="19"/>
  <c r="AP988" i="19"/>
  <c r="C966" i="23"/>
  <c r="A853" i="23"/>
  <c r="AP851" i="19"/>
  <c r="P851" i="19"/>
  <c r="P568" i="19"/>
  <c r="A570" i="23"/>
  <c r="K570" i="23" s="1"/>
  <c r="AP568" i="19"/>
  <c r="A889" i="23"/>
  <c r="K889" i="23" s="1"/>
  <c r="P887" i="19"/>
  <c r="AP887" i="19"/>
  <c r="I331" i="23"/>
  <c r="C849" i="23"/>
  <c r="U847" i="19"/>
  <c r="I650" i="23"/>
  <c r="D650" i="23" s="1"/>
  <c r="I301" i="23"/>
  <c r="I612" i="23"/>
  <c r="D612" i="23" s="1"/>
  <c r="I455" i="23"/>
  <c r="I973" i="23"/>
  <c r="I763" i="23"/>
  <c r="I937" i="23"/>
  <c r="I355" i="23"/>
  <c r="I858" i="23"/>
  <c r="I390" i="23"/>
  <c r="I367" i="23"/>
  <c r="I644" i="23"/>
  <c r="I413" i="23"/>
  <c r="I384" i="23"/>
  <c r="I790" i="23"/>
  <c r="D790" i="23" s="1"/>
  <c r="I425" i="23"/>
  <c r="A913" i="23"/>
  <c r="K913" i="23" s="1"/>
  <c r="P911" i="19"/>
  <c r="AP911" i="19"/>
  <c r="I506" i="23"/>
  <c r="I616" i="23"/>
  <c r="I665" i="23"/>
  <c r="D665" i="23" s="1"/>
  <c r="C997" i="23"/>
  <c r="U995" i="19"/>
  <c r="I882" i="23"/>
  <c r="D882" i="23" s="1"/>
  <c r="I802" i="23"/>
  <c r="D802" i="23" s="1"/>
  <c r="I804" i="23"/>
  <c r="D804" i="23" s="1"/>
  <c r="I552" i="23"/>
  <c r="I592" i="23"/>
  <c r="I274" i="23"/>
  <c r="I327" i="23"/>
  <c r="I402" i="23"/>
  <c r="I276" i="23"/>
  <c r="I721" i="23"/>
  <c r="I684" i="23"/>
  <c r="I341" i="23"/>
  <c r="I249" i="23"/>
  <c r="I509" i="23"/>
  <c r="I906" i="23"/>
  <c r="D906" i="23" s="1"/>
  <c r="I366" i="23"/>
  <c r="I905" i="23"/>
  <c r="I504" i="23"/>
  <c r="U988" i="19"/>
  <c r="C990" i="23"/>
  <c r="I765" i="23"/>
  <c r="I918" i="23"/>
  <c r="I305" i="23"/>
  <c r="I707" i="23"/>
  <c r="D707" i="23" s="1"/>
  <c r="I410" i="23"/>
  <c r="I414" i="23"/>
  <c r="I406" i="23"/>
  <c r="I244" i="23"/>
  <c r="I771" i="23"/>
  <c r="U679" i="19"/>
  <c r="I271" i="23"/>
  <c r="I963" i="23"/>
  <c r="I676" i="23"/>
  <c r="I318" i="23"/>
  <c r="I949" i="23"/>
  <c r="I421" i="23"/>
  <c r="I800" i="23"/>
  <c r="I978" i="23"/>
  <c r="D978" i="23" s="1"/>
  <c r="I881" i="23"/>
  <c r="I265" i="23"/>
  <c r="I507" i="23"/>
  <c r="I821" i="23"/>
  <c r="D821" i="23" s="1"/>
  <c r="I828" i="23"/>
  <c r="I604" i="23"/>
  <c r="I520" i="23"/>
  <c r="I512" i="23"/>
  <c r="I224" i="23"/>
  <c r="I464" i="23"/>
  <c r="I835" i="23"/>
  <c r="D835" i="23" s="1"/>
  <c r="I548" i="23"/>
  <c r="I706" i="23"/>
  <c r="I716" i="23"/>
  <c r="I989" i="23"/>
  <c r="L886" i="23"/>
  <c r="M886" i="23" s="1"/>
  <c r="D855" i="23"/>
  <c r="L678" i="23"/>
  <c r="M678" i="23" s="1"/>
  <c r="D1002" i="23"/>
  <c r="L885" i="23"/>
  <c r="M885" i="23" s="1"/>
  <c r="L827" i="23"/>
  <c r="M827" i="23" s="1"/>
  <c r="L882" i="23"/>
  <c r="M882" i="23" s="1"/>
  <c r="L854" i="23"/>
  <c r="M854" i="23" s="1"/>
  <c r="I603" i="23"/>
  <c r="B594" i="23"/>
  <c r="A592" i="19"/>
  <c r="C633" i="23"/>
  <c r="U631" i="19"/>
  <c r="I803" i="23"/>
  <c r="A738" i="23"/>
  <c r="K738" i="23" s="1"/>
  <c r="AP736" i="19"/>
  <c r="P736" i="19"/>
  <c r="C781" i="23"/>
  <c r="U779" i="19"/>
  <c r="A818" i="23"/>
  <c r="K818" i="23" s="1"/>
  <c r="AP816" i="19"/>
  <c r="P816" i="19"/>
  <c r="A912" i="23"/>
  <c r="K912" i="23" s="1"/>
  <c r="AP910" i="19"/>
  <c r="P910" i="19"/>
  <c r="I571" i="23"/>
  <c r="A878" i="23"/>
  <c r="K878" i="23" s="1"/>
  <c r="P876" i="19"/>
  <c r="AP876" i="19"/>
  <c r="B358" i="23"/>
  <c r="A356" i="19"/>
  <c r="I201" i="23"/>
  <c r="A733" i="23"/>
  <c r="K733" i="23" s="1"/>
  <c r="AP731" i="19"/>
  <c r="P731" i="19"/>
  <c r="A995" i="23"/>
  <c r="K995" i="23" s="1"/>
  <c r="AP993" i="19"/>
  <c r="P993" i="19"/>
  <c r="A784" i="23"/>
  <c r="K784" i="23" s="1"/>
  <c r="AP782" i="19"/>
  <c r="P782" i="19"/>
  <c r="A872" i="23"/>
  <c r="K872" i="23" s="1"/>
  <c r="AP870" i="19"/>
  <c r="P870" i="19"/>
  <c r="C968" i="23"/>
  <c r="U966" i="19"/>
  <c r="I303" i="23"/>
  <c r="I478" i="23"/>
  <c r="A583" i="23"/>
  <c r="K583" i="23" s="1"/>
  <c r="P581" i="19"/>
  <c r="AP581" i="19"/>
  <c r="C607" i="23"/>
  <c r="U605" i="19"/>
  <c r="I531" i="23"/>
  <c r="A803" i="23"/>
  <c r="K803" i="23" s="1"/>
  <c r="P801" i="19"/>
  <c r="AP801" i="19"/>
  <c r="C972" i="23"/>
  <c r="U970" i="19"/>
  <c r="B283" i="23"/>
  <c r="A281" i="19"/>
  <c r="B855" i="23"/>
  <c r="A853" i="19"/>
  <c r="I542" i="23"/>
  <c r="B799" i="23"/>
  <c r="A797" i="19"/>
  <c r="I545" i="23"/>
  <c r="I890" i="23"/>
  <c r="I824" i="23"/>
  <c r="B311" i="23"/>
  <c r="A309" i="19"/>
  <c r="I515" i="23"/>
  <c r="I938" i="23"/>
  <c r="D938" i="23" s="1"/>
  <c r="B440" i="23"/>
  <c r="A438" i="19"/>
  <c r="A559" i="23"/>
  <c r="K559" i="23" s="1"/>
  <c r="AP557" i="19"/>
  <c r="P557" i="19"/>
  <c r="C762" i="23"/>
  <c r="U760" i="19"/>
  <c r="C863" i="23"/>
  <c r="U861" i="19"/>
  <c r="C908" i="23"/>
  <c r="U906" i="19"/>
  <c r="I970" i="23"/>
  <c r="A666" i="23"/>
  <c r="K666" i="23" s="1"/>
  <c r="AP664" i="19"/>
  <c r="P664" i="19"/>
  <c r="B897" i="23"/>
  <c r="A895" i="19"/>
  <c r="B228" i="23"/>
  <c r="A226" i="19"/>
  <c r="I412" i="23"/>
  <c r="A662" i="23"/>
  <c r="D662" i="23" s="1"/>
  <c r="P660" i="19"/>
  <c r="AP660" i="19"/>
  <c r="I544" i="23"/>
  <c r="C704" i="23"/>
  <c r="U702" i="19"/>
  <c r="I911" i="23"/>
  <c r="I239" i="23"/>
  <c r="I348" i="23"/>
  <c r="B596" i="23"/>
  <c r="A594" i="19"/>
  <c r="A565" i="23"/>
  <c r="K565" i="23" s="1"/>
  <c r="P563" i="19"/>
  <c r="AP563" i="19"/>
  <c r="B958" i="23"/>
  <c r="A956" i="19"/>
  <c r="A586" i="23"/>
  <c r="K586" i="23" s="1"/>
  <c r="P584" i="19"/>
  <c r="AP584" i="19"/>
  <c r="B495" i="23"/>
  <c r="A493" i="19"/>
  <c r="I920" i="23"/>
  <c r="A968" i="23"/>
  <c r="K968" i="23" s="1"/>
  <c r="P966" i="19"/>
  <c r="AP966" i="19"/>
  <c r="I773" i="23"/>
  <c r="I854" i="23"/>
  <c r="D854" i="23" s="1"/>
  <c r="I227" i="23"/>
  <c r="A955" i="23"/>
  <c r="K955" i="23" s="1"/>
  <c r="AP953" i="19"/>
  <c r="P953" i="19"/>
  <c r="I191" i="23"/>
  <c r="A615" i="23"/>
  <c r="K615" i="23" s="1"/>
  <c r="AP613" i="19"/>
  <c r="P613" i="19"/>
  <c r="A566" i="23"/>
  <c r="K566" i="23" s="1"/>
  <c r="AP564" i="19"/>
  <c r="P564" i="19"/>
  <c r="B570" i="23"/>
  <c r="A568" i="19"/>
  <c r="B698" i="23"/>
  <c r="A696" i="19"/>
  <c r="I699" i="23"/>
  <c r="D699" i="23" s="1"/>
  <c r="B375" i="23"/>
  <c r="A373" i="19"/>
  <c r="C736" i="23"/>
  <c r="U734" i="19"/>
  <c r="C818" i="23"/>
  <c r="U816" i="19"/>
  <c r="A841" i="23"/>
  <c r="K841" i="23" s="1"/>
  <c r="AP839" i="19"/>
  <c r="P839" i="19"/>
  <c r="C932" i="23"/>
  <c r="U930" i="19"/>
  <c r="A584" i="23"/>
  <c r="K584" i="23" s="1"/>
  <c r="P582" i="19"/>
  <c r="AP582" i="19"/>
  <c r="C702" i="23"/>
  <c r="U700" i="19"/>
  <c r="B493" i="23"/>
  <c r="A491" i="19"/>
  <c r="C995" i="23"/>
  <c r="U993" i="19"/>
  <c r="A797" i="23"/>
  <c r="K797" i="23" s="1"/>
  <c r="AP795" i="19"/>
  <c r="P795" i="19"/>
  <c r="C583" i="23"/>
  <c r="U581" i="19"/>
  <c r="C734" i="23"/>
  <c r="U732" i="19"/>
  <c r="I625" i="23"/>
  <c r="I673" i="23"/>
  <c r="A690" i="23"/>
  <c r="K690" i="23" s="1"/>
  <c r="AP688" i="19"/>
  <c r="P688" i="19"/>
  <c r="C919" i="23"/>
  <c r="U917" i="19"/>
  <c r="I654" i="23"/>
  <c r="B726" i="23"/>
  <c r="A724" i="19"/>
  <c r="I878" i="23"/>
  <c r="I312" i="23"/>
  <c r="I486" i="23"/>
  <c r="I454" i="23"/>
  <c r="B543" i="23"/>
  <c r="A541" i="19"/>
  <c r="A946" i="23"/>
  <c r="K946" i="23" s="1"/>
  <c r="AP944" i="19"/>
  <c r="P944" i="19"/>
  <c r="C914" i="23"/>
  <c r="U912" i="19"/>
  <c r="C923" i="23"/>
  <c r="U921" i="19"/>
  <c r="C926" i="23"/>
  <c r="U924" i="19"/>
  <c r="B288" i="23"/>
  <c r="A286" i="19"/>
  <c r="L621" i="23"/>
  <c r="M621" i="23" s="1"/>
  <c r="I482" i="23"/>
  <c r="B834" i="23"/>
  <c r="A832" i="19"/>
  <c r="B292" i="23"/>
  <c r="A290" i="19"/>
  <c r="I370" i="23"/>
  <c r="I361" i="23"/>
  <c r="A722" i="23"/>
  <c r="K722" i="23" s="1"/>
  <c r="P720" i="19"/>
  <c r="AP720" i="19"/>
  <c r="C559" i="23"/>
  <c r="U557" i="19"/>
  <c r="A667" i="23"/>
  <c r="K667" i="23" s="1"/>
  <c r="AP665" i="19"/>
  <c r="P665" i="19"/>
  <c r="A775" i="23"/>
  <c r="K775" i="23" s="1"/>
  <c r="P773" i="19"/>
  <c r="AP773" i="19"/>
  <c r="I848" i="23"/>
  <c r="A863" i="23"/>
  <c r="K863" i="23" s="1"/>
  <c r="AP861" i="19"/>
  <c r="P861" i="19"/>
  <c r="I728" i="23"/>
  <c r="C567" i="23"/>
  <c r="U565" i="19"/>
  <c r="I423" i="23"/>
  <c r="B683" i="23"/>
  <c r="A681" i="19"/>
  <c r="D822" i="23"/>
  <c r="A820" i="23"/>
  <c r="K820" i="23" s="1"/>
  <c r="AP818" i="19"/>
  <c r="P818" i="19"/>
  <c r="I457" i="23"/>
  <c r="C586" i="23"/>
  <c r="U584" i="19"/>
  <c r="B516" i="23"/>
  <c r="A514" i="19"/>
  <c r="C760" i="23"/>
  <c r="U758" i="19"/>
  <c r="C726" i="23"/>
  <c r="U724" i="19"/>
  <c r="A948" i="23"/>
  <c r="K948" i="23" s="1"/>
  <c r="AP946" i="19"/>
  <c r="P946" i="19"/>
  <c r="I871" i="23"/>
  <c r="C566" i="23"/>
  <c r="U564" i="19"/>
  <c r="C958" i="23"/>
  <c r="U956" i="19"/>
  <c r="C907" i="23"/>
  <c r="U905" i="19"/>
  <c r="I841" i="23"/>
  <c r="I502" i="23"/>
  <c r="I670" i="23"/>
  <c r="C554" i="23"/>
  <c r="U552" i="19"/>
  <c r="A619" i="23"/>
  <c r="K619" i="23" s="1"/>
  <c r="AP617" i="19"/>
  <c r="P617" i="19"/>
  <c r="L756" i="23"/>
  <c r="M756" i="23" s="1"/>
  <c r="A736" i="23"/>
  <c r="K736" i="23" s="1"/>
  <c r="AP734" i="19"/>
  <c r="P734" i="19"/>
  <c r="C698" i="23"/>
  <c r="U696" i="19"/>
  <c r="A781" i="23"/>
  <c r="K781" i="23" s="1"/>
  <c r="AP779" i="19"/>
  <c r="P779" i="19"/>
  <c r="I836" i="23"/>
  <c r="C912" i="23"/>
  <c r="U910" i="19"/>
  <c r="A958" i="23"/>
  <c r="D958" i="23" s="1"/>
  <c r="AP956" i="19"/>
  <c r="P956" i="19"/>
  <c r="C902" i="23"/>
  <c r="U900" i="19"/>
  <c r="C664" i="23"/>
  <c r="U662" i="19"/>
  <c r="I583" i="23"/>
  <c r="A694" i="23"/>
  <c r="K694" i="23" s="1"/>
  <c r="P692" i="19"/>
  <c r="AP692" i="19"/>
  <c r="A794" i="23"/>
  <c r="K794" i="23" s="1"/>
  <c r="AP792" i="19"/>
  <c r="P792" i="19"/>
  <c r="A734" i="23"/>
  <c r="K734" i="23" s="1"/>
  <c r="AP732" i="19"/>
  <c r="P732" i="19"/>
  <c r="I896" i="23"/>
  <c r="C875" i="23"/>
  <c r="U873" i="19"/>
  <c r="A749" i="23"/>
  <c r="K749" i="23" s="1"/>
  <c r="AP747" i="19"/>
  <c r="P747" i="19"/>
  <c r="I439" i="23"/>
  <c r="I586" i="23"/>
  <c r="B753" i="23"/>
  <c r="A751" i="19"/>
  <c r="A747" i="23"/>
  <c r="K747" i="23" s="1"/>
  <c r="AP745" i="19"/>
  <c r="P745" i="19"/>
  <c r="I713" i="23"/>
  <c r="D713" i="23" s="1"/>
  <c r="A914" i="23"/>
  <c r="K914" i="23" s="1"/>
  <c r="P912" i="19"/>
  <c r="AP912" i="19"/>
  <c r="A926" i="23"/>
  <c r="K926" i="23" s="1"/>
  <c r="P924" i="19"/>
  <c r="AP924" i="19"/>
  <c r="B240" i="23"/>
  <c r="A238" i="19"/>
  <c r="C944" i="23"/>
  <c r="U942" i="19"/>
  <c r="I314" i="23"/>
  <c r="I436" i="23"/>
  <c r="C722" i="23"/>
  <c r="U720" i="19"/>
  <c r="B851" i="23"/>
  <c r="A849" i="19"/>
  <c r="C667" i="23"/>
  <c r="U665" i="19"/>
  <c r="C775" i="23"/>
  <c r="U773" i="19"/>
  <c r="A652" i="23"/>
  <c r="K652" i="23" s="1"/>
  <c r="P650" i="19"/>
  <c r="AP650" i="19"/>
  <c r="A931" i="23"/>
  <c r="K931" i="23" s="1"/>
  <c r="AP929" i="19"/>
  <c r="P929" i="19"/>
  <c r="C772" i="23"/>
  <c r="U770" i="19"/>
  <c r="B867" i="23"/>
  <c r="A865" i="19"/>
  <c r="C850" i="23"/>
  <c r="U848" i="19"/>
  <c r="I923" i="23"/>
  <c r="I529" i="23"/>
  <c r="C840" i="23"/>
  <c r="U838" i="19"/>
  <c r="C807" i="23"/>
  <c r="U805" i="19"/>
  <c r="I209" i="23"/>
  <c r="A562" i="23"/>
  <c r="K562" i="23" s="1"/>
  <c r="P560" i="19"/>
  <c r="AP560" i="19"/>
  <c r="I568" i="23"/>
  <c r="A823" i="23"/>
  <c r="K823" i="23" s="1"/>
  <c r="P821" i="19"/>
  <c r="AP821" i="19"/>
  <c r="B936" i="23"/>
  <c r="A934" i="19"/>
  <c r="I526" i="23"/>
  <c r="A902" i="23"/>
  <c r="K902" i="23" s="1"/>
  <c r="P900" i="19"/>
  <c r="AP900" i="19"/>
  <c r="A979" i="23"/>
  <c r="K979" i="23" s="1"/>
  <c r="AP977" i="19"/>
  <c r="P977" i="19"/>
  <c r="L326" i="6"/>
  <c r="C345" i="1"/>
  <c r="A764" i="23"/>
  <c r="K764" i="23" s="1"/>
  <c r="P762" i="19"/>
  <c r="AP762" i="19"/>
  <c r="A932" i="23"/>
  <c r="K932" i="23" s="1"/>
  <c r="P930" i="19"/>
  <c r="AP930" i="19"/>
  <c r="I302" i="23"/>
  <c r="B534" i="23"/>
  <c r="A532" i="19"/>
  <c r="C584" i="23"/>
  <c r="U582" i="19"/>
  <c r="I524" i="23"/>
  <c r="B768" i="23"/>
  <c r="A766" i="19"/>
  <c r="C694" i="23"/>
  <c r="U692" i="19"/>
  <c r="C794" i="23"/>
  <c r="U792" i="19"/>
  <c r="I785" i="23"/>
  <c r="I488" i="23"/>
  <c r="B400" i="23"/>
  <c r="A398" i="19"/>
  <c r="I392" i="23"/>
  <c r="B530" i="23"/>
  <c r="A528" i="19"/>
  <c r="B620" i="23"/>
  <c r="A618" i="19"/>
  <c r="C803" i="23"/>
  <c r="U801" i="19"/>
  <c r="B957" i="23"/>
  <c r="A955" i="19"/>
  <c r="B739" i="23"/>
  <c r="A737" i="19"/>
  <c r="C749" i="23"/>
  <c r="U747" i="19"/>
  <c r="I294" i="23"/>
  <c r="I416" i="23"/>
  <c r="B766" i="23"/>
  <c r="A764" i="19"/>
  <c r="A709" i="23"/>
  <c r="K709" i="23" s="1"/>
  <c r="P707" i="19"/>
  <c r="AP707" i="19"/>
  <c r="I635" i="23"/>
  <c r="C747" i="23"/>
  <c r="U745" i="19"/>
  <c r="B789" i="23"/>
  <c r="A787" i="19"/>
  <c r="I772" i="23"/>
  <c r="A923" i="23"/>
  <c r="K923" i="23" s="1"/>
  <c r="AP921" i="19"/>
  <c r="P921" i="19"/>
  <c r="I233" i="23"/>
  <c r="I273" i="23"/>
  <c r="I264" i="23"/>
  <c r="I601" i="23"/>
  <c r="I334" i="23"/>
  <c r="A908" i="23"/>
  <c r="K908" i="23" s="1"/>
  <c r="AP906" i="19"/>
  <c r="P906" i="19"/>
  <c r="I993" i="23"/>
  <c r="D993" i="23" s="1"/>
  <c r="A567" i="23"/>
  <c r="K567" i="23" s="1"/>
  <c r="AP565" i="19"/>
  <c r="P565" i="19"/>
  <c r="C568" i="23"/>
  <c r="U566" i="19"/>
  <c r="C796" i="23"/>
  <c r="U794" i="19"/>
  <c r="A704" i="23"/>
  <c r="K704" i="23" s="1"/>
  <c r="P702" i="19"/>
  <c r="AP702" i="19"/>
  <c r="C911" i="23"/>
  <c r="U909" i="19"/>
  <c r="B662" i="23"/>
  <c r="A660" i="19"/>
  <c r="I395" i="23"/>
  <c r="B921" i="23"/>
  <c r="A919" i="19"/>
  <c r="I860" i="23"/>
  <c r="A807" i="23"/>
  <c r="D807" i="23" s="1"/>
  <c r="P805" i="19"/>
  <c r="AP805" i="19"/>
  <c r="A950" i="23"/>
  <c r="K950" i="23" s="1"/>
  <c r="P948" i="19"/>
  <c r="AP948" i="19"/>
  <c r="I372" i="23"/>
  <c r="I272" i="23"/>
  <c r="I321" i="23"/>
  <c r="C562" i="23"/>
  <c r="U560" i="19"/>
  <c r="I577" i="23"/>
  <c r="A654" i="23"/>
  <c r="K654" i="23" s="1"/>
  <c r="AP652" i="19"/>
  <c r="P652" i="19"/>
  <c r="A760" i="23"/>
  <c r="K760" i="23" s="1"/>
  <c r="AP758" i="19"/>
  <c r="P758" i="19"/>
  <c r="A726" i="23"/>
  <c r="AP724" i="19"/>
  <c r="P724" i="19"/>
  <c r="C823" i="23"/>
  <c r="U821" i="19"/>
  <c r="L588" i="23"/>
  <c r="M588" i="23" s="1"/>
  <c r="C883" i="23"/>
  <c r="U881" i="19"/>
  <c r="C784" i="23"/>
  <c r="U782" i="19"/>
  <c r="I350" i="23"/>
  <c r="A554" i="23"/>
  <c r="K554" i="23" s="1"/>
  <c r="P552" i="19"/>
  <c r="AP552" i="19"/>
  <c r="A715" i="23"/>
  <c r="K715" i="23" s="1"/>
  <c r="AP713" i="19"/>
  <c r="P713" i="19"/>
  <c r="C619" i="23"/>
  <c r="U617" i="19"/>
  <c r="A683" i="23"/>
  <c r="K683" i="23" s="1"/>
  <c r="P681" i="19"/>
  <c r="AP681" i="19"/>
  <c r="I376" i="23"/>
  <c r="C729" i="23"/>
  <c r="U727" i="19"/>
  <c r="I786" i="23"/>
  <c r="D786" i="23" s="1"/>
  <c r="A698" i="23"/>
  <c r="D698" i="23" s="1"/>
  <c r="P696" i="19"/>
  <c r="AP696" i="19"/>
  <c r="A824" i="19"/>
  <c r="B975" i="23"/>
  <c r="A973" i="19"/>
  <c r="C979" i="23"/>
  <c r="U977" i="19"/>
  <c r="C841" i="23"/>
  <c r="U839" i="19"/>
  <c r="C934" i="23"/>
  <c r="U932" i="19"/>
  <c r="A664" i="23"/>
  <c r="K664" i="23" s="1"/>
  <c r="P662" i="19"/>
  <c r="AP662" i="19"/>
  <c r="I194" i="23"/>
  <c r="I972" i="23"/>
  <c r="I241" i="23"/>
  <c r="I657" i="23"/>
  <c r="C691" i="23"/>
  <c r="U689" i="19"/>
  <c r="C896" i="23"/>
  <c r="U894" i="19"/>
  <c r="I461" i="23"/>
  <c r="D620" i="23"/>
  <c r="A825" i="23"/>
  <c r="K825" i="23" s="1"/>
  <c r="AP823" i="19"/>
  <c r="P823" i="19"/>
  <c r="A859" i="23"/>
  <c r="K859" i="23" s="1"/>
  <c r="AP857" i="19"/>
  <c r="P857" i="19"/>
  <c r="I761" i="23"/>
  <c r="C646" i="23"/>
  <c r="U644" i="19"/>
  <c r="A875" i="23"/>
  <c r="K875" i="23" s="1"/>
  <c r="AP873" i="19"/>
  <c r="P873" i="19"/>
  <c r="I863" i="23"/>
  <c r="I663" i="23"/>
  <c r="I641" i="23"/>
  <c r="B946" i="23"/>
  <c r="A944" i="19"/>
  <c r="I339" i="23"/>
  <c r="B252" i="23"/>
  <c r="A250" i="19"/>
  <c r="I383" i="23"/>
  <c r="B359" i="23"/>
  <c r="A357" i="19"/>
  <c r="I589" i="23"/>
  <c r="I775" i="23"/>
  <c r="I223" i="23"/>
  <c r="A730" i="23"/>
  <c r="K730" i="23" s="1"/>
  <c r="P728" i="19"/>
  <c r="AP728" i="19"/>
  <c r="I666" i="23"/>
  <c r="C899" i="23"/>
  <c r="U897" i="19"/>
  <c r="B582" i="23"/>
  <c r="A580" i="19"/>
  <c r="I968" i="23"/>
  <c r="C931" i="23"/>
  <c r="U929" i="19"/>
  <c r="I320" i="23"/>
  <c r="B694" i="23"/>
  <c r="A692" i="19"/>
  <c r="A772" i="23"/>
  <c r="K772" i="23" s="1"/>
  <c r="AP770" i="19"/>
  <c r="P770" i="19"/>
  <c r="A850" i="23"/>
  <c r="K850" i="23" s="1"/>
  <c r="P848" i="19"/>
  <c r="AP848" i="19"/>
  <c r="A936" i="23"/>
  <c r="D936" i="23" s="1"/>
  <c r="AP934" i="19"/>
  <c r="P934" i="19"/>
  <c r="B843" i="23"/>
  <c r="A841" i="19"/>
  <c r="B216" i="23"/>
  <c r="A214" i="19"/>
  <c r="I424" i="23"/>
  <c r="I605" i="23"/>
  <c r="D605" i="23" s="1"/>
  <c r="A840" i="23"/>
  <c r="K840" i="23" s="1"/>
  <c r="AP838" i="19"/>
  <c r="P838" i="19"/>
  <c r="L563" i="23"/>
  <c r="M563" i="23" s="1"/>
  <c r="C654" i="23"/>
  <c r="U652" i="19"/>
  <c r="I553" i="23"/>
  <c r="A682" i="23"/>
  <c r="K682" i="23" s="1"/>
  <c r="AP680" i="19"/>
  <c r="P680" i="19"/>
  <c r="C948" i="23"/>
  <c r="U946" i="19"/>
  <c r="A735" i="23"/>
  <c r="K735" i="23" s="1"/>
  <c r="AP733" i="19"/>
  <c r="P733" i="19"/>
  <c r="I268" i="23"/>
  <c r="A737" i="23"/>
  <c r="K737" i="23" s="1"/>
  <c r="P735" i="19"/>
  <c r="AP735" i="19"/>
  <c r="C715" i="23"/>
  <c r="U713" i="19"/>
  <c r="A787" i="23"/>
  <c r="K787" i="23" s="1"/>
  <c r="P785" i="19"/>
  <c r="AP785" i="19"/>
  <c r="I745" i="23"/>
  <c r="C683" i="23"/>
  <c r="U681" i="19"/>
  <c r="A729" i="23"/>
  <c r="K729" i="23" s="1"/>
  <c r="AP727" i="19"/>
  <c r="P727" i="19"/>
  <c r="C688" i="23"/>
  <c r="U686" i="19"/>
  <c r="C764" i="23"/>
  <c r="U762" i="19"/>
  <c r="I615" i="23"/>
  <c r="I411" i="23"/>
  <c r="A691" i="23"/>
  <c r="K691" i="23" s="1"/>
  <c r="P689" i="19"/>
  <c r="AP689" i="19"/>
  <c r="B961" i="23"/>
  <c r="A959" i="19"/>
  <c r="I948" i="23"/>
  <c r="I551" i="23"/>
  <c r="B679" i="23"/>
  <c r="A677" i="19"/>
  <c r="A761" i="23"/>
  <c r="K761" i="23" s="1"/>
  <c r="AP759" i="19"/>
  <c r="P759" i="19"/>
  <c r="C825" i="23"/>
  <c r="U823" i="19"/>
  <c r="I935" i="23"/>
  <c r="A673" i="23"/>
  <c r="K673" i="23" s="1"/>
  <c r="P671" i="19"/>
  <c r="AP671" i="19"/>
  <c r="A646" i="23"/>
  <c r="K646" i="23" s="1"/>
  <c r="AP644" i="19"/>
  <c r="P644" i="19"/>
  <c r="C589" i="23"/>
  <c r="U587" i="19"/>
  <c r="C604" i="23"/>
  <c r="U602" i="19"/>
  <c r="I517" i="23"/>
  <c r="B608" i="23"/>
  <c r="A606" i="19"/>
  <c r="C945" i="23"/>
  <c r="U943" i="19"/>
  <c r="I664" i="23"/>
  <c r="B307" i="23"/>
  <c r="A305" i="19"/>
  <c r="A944" i="23"/>
  <c r="K944" i="23" s="1"/>
  <c r="P942" i="19"/>
  <c r="AP942" i="19"/>
  <c r="B496" i="23"/>
  <c r="A494" i="19"/>
  <c r="I394" i="23"/>
  <c r="I387" i="23"/>
  <c r="I702" i="23"/>
  <c r="C730" i="23"/>
  <c r="U728" i="19"/>
  <c r="I759" i="23"/>
  <c r="D759" i="23" s="1"/>
  <c r="A799" i="23"/>
  <c r="K799" i="23" s="1"/>
  <c r="P797" i="19"/>
  <c r="AP797" i="19"/>
  <c r="C555" i="23"/>
  <c r="U553" i="19"/>
  <c r="I845" i="23"/>
  <c r="I420" i="23"/>
  <c r="B435" i="23"/>
  <c r="A433" i="19"/>
  <c r="A568" i="23"/>
  <c r="K568" i="23" s="1"/>
  <c r="AP566" i="19"/>
  <c r="P566" i="19"/>
  <c r="A796" i="23"/>
  <c r="K796" i="23" s="1"/>
  <c r="AP794" i="19"/>
  <c r="P794" i="19"/>
  <c r="C641" i="23"/>
  <c r="U639" i="19"/>
  <c r="C700" i="23"/>
  <c r="U698" i="19"/>
  <c r="A816" i="23"/>
  <c r="K816" i="23" s="1"/>
  <c r="AP814" i="19"/>
  <c r="P814" i="19"/>
  <c r="I832" i="23"/>
  <c r="A911" i="23"/>
  <c r="K911" i="23" s="1"/>
  <c r="AP909" i="19"/>
  <c r="P909" i="19"/>
  <c r="I260" i="23"/>
  <c r="C577" i="23"/>
  <c r="U575" i="19"/>
  <c r="I535" i="23"/>
  <c r="A670" i="23"/>
  <c r="K670" i="23" s="1"/>
  <c r="AP668" i="19"/>
  <c r="P668" i="19"/>
  <c r="C920" i="23"/>
  <c r="U918" i="19"/>
  <c r="C682" i="23"/>
  <c r="U680" i="19"/>
  <c r="C615" i="23"/>
  <c r="U613" i="19"/>
  <c r="I797" i="23"/>
  <c r="C797" i="23"/>
  <c r="U795" i="19"/>
  <c r="A972" i="23"/>
  <c r="K972" i="23" s="1"/>
  <c r="AP970" i="19"/>
  <c r="P970" i="19"/>
  <c r="B427" i="23"/>
  <c r="A425" i="19"/>
  <c r="A655" i="23"/>
  <c r="K655" i="23" s="1"/>
  <c r="P653" i="19"/>
  <c r="AP653" i="19"/>
  <c r="C737" i="23"/>
  <c r="U735" i="19"/>
  <c r="C787" i="23"/>
  <c r="U785" i="19"/>
  <c r="I226" i="23"/>
  <c r="I580" i="23"/>
  <c r="C860" i="23"/>
  <c r="U858" i="19"/>
  <c r="I221" i="23"/>
  <c r="A871" i="23"/>
  <c r="K871" i="23" s="1"/>
  <c r="AP869" i="19"/>
  <c r="P869" i="19"/>
  <c r="I340" i="23"/>
  <c r="D868" i="23"/>
  <c r="I709" i="23"/>
  <c r="A753" i="23"/>
  <c r="K753" i="23" s="1"/>
  <c r="P751" i="19"/>
  <c r="AP751" i="19"/>
  <c r="I984" i="23"/>
  <c r="A622" i="23"/>
  <c r="K622" i="23" s="1"/>
  <c r="AP620" i="19"/>
  <c r="P620" i="19"/>
  <c r="B579" i="23"/>
  <c r="A577" i="19"/>
  <c r="I572" i="23"/>
  <c r="I634" i="23"/>
  <c r="C813" i="23"/>
  <c r="U811" i="19"/>
  <c r="C673" i="23"/>
  <c r="U671" i="19"/>
  <c r="C983" i="23"/>
  <c r="U981" i="19"/>
  <c r="A589" i="23"/>
  <c r="K589" i="23" s="1"/>
  <c r="P587" i="19"/>
  <c r="AP587" i="19"/>
  <c r="I722" i="23"/>
  <c r="A604" i="23"/>
  <c r="K604" i="23" s="1"/>
  <c r="AP602" i="19"/>
  <c r="P602" i="19"/>
  <c r="C709" i="23"/>
  <c r="U707" i="19"/>
  <c r="D608" i="23"/>
  <c r="I933" i="23"/>
  <c r="D933" i="23" s="1"/>
  <c r="C866" i="23"/>
  <c r="U864" i="19"/>
  <c r="I655" i="23"/>
  <c r="I433" i="23"/>
  <c r="I218" i="23"/>
  <c r="B438" i="23"/>
  <c r="A436" i="19"/>
  <c r="I554" i="23"/>
  <c r="I825" i="23"/>
  <c r="A899" i="23"/>
  <c r="K899" i="23" s="1"/>
  <c r="AP897" i="19"/>
  <c r="P897" i="19"/>
  <c r="C799" i="23"/>
  <c r="U797" i="19"/>
  <c r="I779" i="23"/>
  <c r="D779" i="23" s="1"/>
  <c r="D985" i="23"/>
  <c r="B449" i="23"/>
  <c r="A447" i="19"/>
  <c r="I591" i="23"/>
  <c r="A727" i="23"/>
  <c r="K727" i="23" s="1"/>
  <c r="P725" i="19"/>
  <c r="AP725" i="19"/>
  <c r="I931" i="23"/>
  <c r="I907" i="23"/>
  <c r="A991" i="23"/>
  <c r="K991" i="23" s="1"/>
  <c r="AP989" i="19"/>
  <c r="P989" i="19"/>
  <c r="C950" i="23"/>
  <c r="U948" i="19"/>
  <c r="C670" i="23"/>
  <c r="U668" i="19"/>
  <c r="I399" i="23"/>
  <c r="C947" i="23"/>
  <c r="U945" i="19"/>
  <c r="I247" i="23"/>
  <c r="C603" i="23"/>
  <c r="U601" i="19"/>
  <c r="C679" i="23"/>
  <c r="U677" i="19"/>
  <c r="I757" i="23"/>
  <c r="A702" i="23"/>
  <c r="K702" i="23" s="1"/>
  <c r="AP700" i="19"/>
  <c r="P700" i="19"/>
  <c r="C655" i="23"/>
  <c r="U653" i="19"/>
  <c r="B888" i="23"/>
  <c r="A886" i="19"/>
  <c r="I610" i="23"/>
  <c r="A595" i="23"/>
  <c r="K595" i="23" s="1"/>
  <c r="P593" i="19"/>
  <c r="AP593" i="19"/>
  <c r="A773" i="23"/>
  <c r="K773" i="23" s="1"/>
  <c r="AP771" i="19"/>
  <c r="P771" i="19"/>
  <c r="A888" i="23"/>
  <c r="D888" i="23" s="1"/>
  <c r="AP886" i="19"/>
  <c r="P886" i="19"/>
  <c r="A934" i="23"/>
  <c r="D934" i="23" s="1"/>
  <c r="AP932" i="19"/>
  <c r="P932" i="19"/>
  <c r="B397" i="23"/>
  <c r="A395" i="19"/>
  <c r="C663" i="23"/>
  <c r="U661" i="19"/>
  <c r="B640" i="23"/>
  <c r="A638" i="19"/>
  <c r="A896" i="23"/>
  <c r="K896" i="23" s="1"/>
  <c r="AP894" i="19"/>
  <c r="P894" i="19"/>
  <c r="C971" i="23"/>
  <c r="U969" i="19"/>
  <c r="C622" i="23"/>
  <c r="U620" i="19"/>
  <c r="C884" i="23"/>
  <c r="U882" i="19"/>
  <c r="I484" i="23"/>
  <c r="I235" i="23"/>
  <c r="C601" i="23"/>
  <c r="U599" i="19"/>
  <c r="D579" i="23"/>
  <c r="I787" i="23"/>
  <c r="A813" i="23"/>
  <c r="K813" i="23" s="1"/>
  <c r="AP811" i="19"/>
  <c r="P811" i="19"/>
  <c r="C814" i="23"/>
  <c r="U812" i="19"/>
  <c r="C859" i="23"/>
  <c r="U857" i="19"/>
  <c r="A649" i="23"/>
  <c r="K649" i="23" s="1"/>
  <c r="P647" i="19"/>
  <c r="AP647" i="19"/>
  <c r="A924" i="23"/>
  <c r="K924" i="23" s="1"/>
  <c r="AP922" i="19"/>
  <c r="P922" i="19"/>
  <c r="C887" i="23"/>
  <c r="U885" i="19"/>
  <c r="A983" i="23"/>
  <c r="D983" i="23" s="1"/>
  <c r="AP981" i="19"/>
  <c r="P981" i="19"/>
  <c r="I357" i="23"/>
  <c r="B614" i="23"/>
  <c r="A612" i="19"/>
  <c r="B407" i="23"/>
  <c r="A405" i="19"/>
  <c r="C645" i="23"/>
  <c r="U643" i="19"/>
  <c r="A866" i="23"/>
  <c r="K866" i="23" s="1"/>
  <c r="AP864" i="19"/>
  <c r="P864" i="19"/>
  <c r="A864" i="23"/>
  <c r="K864" i="23" s="1"/>
  <c r="AP862" i="19"/>
  <c r="P862" i="19"/>
  <c r="I380" i="23"/>
  <c r="A658" i="23"/>
  <c r="K658" i="23" s="1"/>
  <c r="AP656" i="19"/>
  <c r="P656" i="19"/>
  <c r="A945" i="23"/>
  <c r="K945" i="23" s="1"/>
  <c r="AP943" i="19"/>
  <c r="P943" i="19"/>
  <c r="I781" i="23"/>
  <c r="I434" i="23"/>
  <c r="A935" i="23"/>
  <c r="K935" i="23" s="1"/>
  <c r="AP933" i="19"/>
  <c r="P933" i="19"/>
  <c r="I262" i="23"/>
  <c r="I622" i="23"/>
  <c r="C640" i="23"/>
  <c r="U638" i="19"/>
  <c r="I718" i="23"/>
  <c r="I823" i="23"/>
  <c r="A959" i="23"/>
  <c r="K959" i="23" s="1"/>
  <c r="AP957" i="19"/>
  <c r="P957" i="19"/>
  <c r="I769" i="23"/>
  <c r="A555" i="23"/>
  <c r="K555" i="23" s="1"/>
  <c r="AP553" i="19"/>
  <c r="P553" i="19"/>
  <c r="A641" i="23"/>
  <c r="K641" i="23" s="1"/>
  <c r="AP639" i="19"/>
  <c r="P639" i="19"/>
  <c r="A700" i="23"/>
  <c r="K700" i="23" s="1"/>
  <c r="AP698" i="19"/>
  <c r="P698" i="19"/>
  <c r="C758" i="23"/>
  <c r="U756" i="19"/>
  <c r="C816" i="23"/>
  <c r="U814" i="19"/>
  <c r="I840" i="23"/>
  <c r="C936" i="23"/>
  <c r="U934" i="19"/>
  <c r="A577" i="23"/>
  <c r="K577" i="23" s="1"/>
  <c r="P575" i="19"/>
  <c r="AP575" i="19"/>
  <c r="A581" i="23"/>
  <c r="K581" i="23" s="1"/>
  <c r="AP579" i="19"/>
  <c r="P579" i="19"/>
  <c r="C991" i="23"/>
  <c r="U989" i="19"/>
  <c r="A960" i="23"/>
  <c r="K960" i="23" s="1"/>
  <c r="AP958" i="19"/>
  <c r="P958" i="19"/>
  <c r="I330" i="23"/>
  <c r="I490" i="23"/>
  <c r="I541" i="23"/>
  <c r="I245" i="23"/>
  <c r="A616" i="23"/>
  <c r="K616" i="23" s="1"/>
  <c r="AP614" i="19"/>
  <c r="P614" i="19"/>
  <c r="C876" i="23"/>
  <c r="U874" i="19"/>
  <c r="I278" i="23"/>
  <c r="A657" i="23"/>
  <c r="K657" i="23" s="1"/>
  <c r="AP655" i="19"/>
  <c r="P655" i="19"/>
  <c r="C556" i="23"/>
  <c r="U554" i="19"/>
  <c r="A974" i="23"/>
  <c r="K974" i="23" s="1"/>
  <c r="AP972" i="19"/>
  <c r="P972" i="19"/>
  <c r="I250" i="23"/>
  <c r="I385" i="23"/>
  <c r="C595" i="23"/>
  <c r="U593" i="19"/>
  <c r="A688" i="23"/>
  <c r="D688" i="23" s="1"/>
  <c r="AP686" i="19"/>
  <c r="P686" i="19"/>
  <c r="C773" i="23"/>
  <c r="U771" i="19"/>
  <c r="C871" i="23"/>
  <c r="U869" i="19"/>
  <c r="I943" i="23"/>
  <c r="B813" i="23"/>
  <c r="A811" i="19"/>
  <c r="A895" i="23"/>
  <c r="K895" i="23" s="1"/>
  <c r="AP893" i="19"/>
  <c r="P893" i="19"/>
  <c r="A663" i="23"/>
  <c r="K663" i="23" s="1"/>
  <c r="P661" i="19"/>
  <c r="AP661" i="19"/>
  <c r="A571" i="23"/>
  <c r="K571" i="23" s="1"/>
  <c r="P569" i="19"/>
  <c r="AP569" i="19"/>
  <c r="A751" i="23"/>
  <c r="D751" i="23" s="1"/>
  <c r="AP749" i="19"/>
  <c r="P749" i="19"/>
  <c r="I827" i="23"/>
  <c r="D827" i="23" s="1"/>
  <c r="A971" i="23"/>
  <c r="K971" i="23" s="1"/>
  <c r="AP969" i="19"/>
  <c r="P969" i="19"/>
  <c r="C591" i="23"/>
  <c r="U589" i="19"/>
  <c r="A996" i="23"/>
  <c r="K996" i="23" s="1"/>
  <c r="AP994" i="19"/>
  <c r="P994" i="19"/>
  <c r="I363" i="23"/>
  <c r="I344" i="23"/>
  <c r="A601" i="23"/>
  <c r="K601" i="23" s="1"/>
  <c r="P599" i="19"/>
  <c r="AP599" i="19"/>
  <c r="A639" i="23"/>
  <c r="K639" i="23" s="1"/>
  <c r="AP637" i="19"/>
  <c r="P637" i="19"/>
  <c r="B688" i="23"/>
  <c r="A686" i="19"/>
  <c r="C761" i="23"/>
  <c r="U759" i="19"/>
  <c r="B909" i="23"/>
  <c r="A907" i="19"/>
  <c r="A848" i="23"/>
  <c r="K848" i="23" s="1"/>
  <c r="P846" i="19"/>
  <c r="AP846" i="19"/>
  <c r="C956" i="23"/>
  <c r="U954" i="19"/>
  <c r="I291" i="23"/>
  <c r="I279" i="23"/>
  <c r="I704" i="23"/>
  <c r="C661" i="23"/>
  <c r="U659" i="19"/>
  <c r="A645" i="23"/>
  <c r="K645" i="23" s="1"/>
  <c r="P643" i="19"/>
  <c r="AP643" i="19"/>
  <c r="I806" i="23"/>
  <c r="I523" i="23"/>
  <c r="C935" i="23"/>
  <c r="U933" i="19"/>
  <c r="I236" i="23"/>
  <c r="I470" i="23"/>
  <c r="C592" i="23"/>
  <c r="U590" i="19"/>
  <c r="C693" i="23"/>
  <c r="U691" i="19"/>
  <c r="C580" i="23"/>
  <c r="U578" i="19"/>
  <c r="I560" i="23"/>
  <c r="D560" i="23" s="1"/>
  <c r="I481" i="23"/>
  <c r="A711" i="23"/>
  <c r="K711" i="23" s="1"/>
  <c r="AP709" i="19"/>
  <c r="P709" i="19"/>
  <c r="C943" i="23"/>
  <c r="U941" i="19"/>
  <c r="I887" i="23"/>
  <c r="I466" i="23"/>
  <c r="C581" i="23"/>
  <c r="U579" i="19"/>
  <c r="C727" i="23"/>
  <c r="U725" i="19"/>
  <c r="C717" i="23"/>
  <c r="U715" i="19"/>
  <c r="A920" i="23"/>
  <c r="K920" i="23" s="1"/>
  <c r="AP918" i="19"/>
  <c r="P918" i="19"/>
  <c r="I200" i="23"/>
  <c r="A947" i="23"/>
  <c r="K947" i="23" s="1"/>
  <c r="AP945" i="19"/>
  <c r="P945" i="19"/>
  <c r="I448" i="23"/>
  <c r="A603" i="23"/>
  <c r="K603" i="23" s="1"/>
  <c r="AP601" i="19"/>
  <c r="P601" i="19"/>
  <c r="A679" i="23"/>
  <c r="D679" i="23" s="1"/>
  <c r="AP677" i="19"/>
  <c r="P677" i="19"/>
  <c r="A785" i="23"/>
  <c r="K785" i="23" s="1"/>
  <c r="P783" i="19"/>
  <c r="AP783" i="19"/>
  <c r="C878" i="23"/>
  <c r="U876" i="19"/>
  <c r="I521" i="23"/>
  <c r="C657" i="23"/>
  <c r="U655" i="19"/>
  <c r="C974" i="23"/>
  <c r="U972" i="19"/>
  <c r="C735" i="23"/>
  <c r="U733" i="19"/>
  <c r="A745" i="23"/>
  <c r="K745" i="23" s="1"/>
  <c r="AP743" i="19"/>
  <c r="P743" i="19"/>
  <c r="A883" i="23"/>
  <c r="K883" i="23" s="1"/>
  <c r="AP881" i="19"/>
  <c r="P881" i="19"/>
  <c r="I805" i="23"/>
  <c r="C888" i="23"/>
  <c r="U886" i="19"/>
  <c r="I974" i="23"/>
  <c r="A860" i="23"/>
  <c r="K860" i="23" s="1"/>
  <c r="AP858" i="19"/>
  <c r="P858" i="19"/>
  <c r="I998" i="23"/>
  <c r="D998" i="23" s="1"/>
  <c r="I649" i="23"/>
  <c r="A907" i="23"/>
  <c r="K907" i="23" s="1"/>
  <c r="AP905" i="19"/>
  <c r="P905" i="19"/>
  <c r="C675" i="23"/>
  <c r="U673" i="19"/>
  <c r="B980" i="23"/>
  <c r="A978" i="19"/>
  <c r="C571" i="23"/>
  <c r="U569" i="19"/>
  <c r="C753" i="23"/>
  <c r="U751" i="19"/>
  <c r="C751" i="23"/>
  <c r="U749" i="19"/>
  <c r="I697" i="23"/>
  <c r="D697" i="23" s="1"/>
  <c r="C733" i="23"/>
  <c r="U731" i="19"/>
  <c r="A876" i="23"/>
  <c r="K876" i="23" s="1"/>
  <c r="AP874" i="19"/>
  <c r="P874" i="19"/>
  <c r="A984" i="23"/>
  <c r="K984" i="23" s="1"/>
  <c r="AP982" i="19"/>
  <c r="P982" i="19"/>
  <c r="C872" i="23"/>
  <c r="U870" i="19"/>
  <c r="C996" i="23"/>
  <c r="U994" i="19"/>
  <c r="B472" i="23"/>
  <c r="A470" i="19"/>
  <c r="C639" i="23"/>
  <c r="U637" i="19"/>
  <c r="I562" i="23"/>
  <c r="D909" i="23"/>
  <c r="A814" i="23"/>
  <c r="K814" i="23" s="1"/>
  <c r="AP812" i="19"/>
  <c r="P812" i="19"/>
  <c r="C848" i="23"/>
  <c r="U846" i="19"/>
  <c r="C649" i="23"/>
  <c r="U647" i="19"/>
  <c r="C924" i="23"/>
  <c r="U922" i="19"/>
  <c r="A887" i="23"/>
  <c r="K887" i="23" s="1"/>
  <c r="AP885" i="19"/>
  <c r="P885" i="19"/>
  <c r="C955" i="23"/>
  <c r="U953" i="19"/>
  <c r="B522" i="23"/>
  <c r="A520" i="19"/>
  <c r="I717" i="23"/>
  <c r="C740" i="23"/>
  <c r="U738" i="19"/>
  <c r="A661" i="23"/>
  <c r="K661" i="23" s="1"/>
  <c r="P659" i="19"/>
  <c r="AP659" i="19"/>
  <c r="A900" i="23"/>
  <c r="K900" i="23" s="1"/>
  <c r="AP898" i="19"/>
  <c r="P898" i="19"/>
  <c r="C864" i="23"/>
  <c r="U862" i="19"/>
  <c r="C658" i="23"/>
  <c r="U656" i="19"/>
  <c r="I322" i="23"/>
  <c r="B498" i="23"/>
  <c r="A496" i="19"/>
  <c r="I485" i="23"/>
  <c r="A572" i="23"/>
  <c r="K572" i="23" s="1"/>
  <c r="P570" i="19"/>
  <c r="AP570" i="19"/>
  <c r="I310" i="23"/>
  <c r="A592" i="23"/>
  <c r="K592" i="23" s="1"/>
  <c r="AP590" i="19"/>
  <c r="P590" i="19"/>
  <c r="A640" i="23"/>
  <c r="K640" i="23" s="1"/>
  <c r="P638" i="19"/>
  <c r="AP638" i="19"/>
  <c r="C959" i="23"/>
  <c r="U957" i="19"/>
  <c r="A824" i="23"/>
  <c r="K824" i="23" s="1"/>
  <c r="AP822" i="19"/>
  <c r="P822" i="19"/>
  <c r="A758" i="23"/>
  <c r="K758" i="23" s="1"/>
  <c r="AP756" i="19"/>
  <c r="P756" i="19"/>
  <c r="I791" i="23"/>
  <c r="D791" i="23" s="1"/>
  <c r="B459" i="23"/>
  <c r="A457" i="19"/>
  <c r="I960" i="23"/>
  <c r="C565" i="23"/>
  <c r="U563" i="19"/>
  <c r="A717" i="23"/>
  <c r="K717" i="23" s="1"/>
  <c r="AP715" i="19"/>
  <c r="P715" i="19"/>
  <c r="B426" i="23"/>
  <c r="A424" i="19"/>
  <c r="A627" i="23"/>
  <c r="K627" i="23" s="1"/>
  <c r="AP625" i="19"/>
  <c r="P625" i="19"/>
  <c r="A718" i="23"/>
  <c r="K718" i="23" s="1"/>
  <c r="AP716" i="19"/>
  <c r="P716" i="19"/>
  <c r="A613" i="23"/>
  <c r="K613" i="23" s="1"/>
  <c r="P611" i="19"/>
  <c r="AP611" i="19"/>
  <c r="B205" i="23"/>
  <c r="A203" i="19"/>
  <c r="A633" i="23"/>
  <c r="K633" i="23" s="1"/>
  <c r="AP631" i="19"/>
  <c r="P631" i="19"/>
  <c r="I298" i="23"/>
  <c r="I430" i="23"/>
  <c r="C613" i="23"/>
  <c r="U611" i="19"/>
  <c r="A556" i="23"/>
  <c r="K556" i="23" s="1"/>
  <c r="AP554" i="19"/>
  <c r="P554" i="19"/>
  <c r="B861" i="23"/>
  <c r="A859" i="19"/>
  <c r="I627" i="23"/>
  <c r="B719" i="23"/>
  <c r="A717" i="19"/>
  <c r="C738" i="23"/>
  <c r="U736" i="19"/>
  <c r="C745" i="23"/>
  <c r="U743" i="19"/>
  <c r="I656" i="23"/>
  <c r="D656" i="23" s="1"/>
  <c r="B798" i="23"/>
  <c r="A796" i="19"/>
  <c r="I926" i="23"/>
  <c r="B510" i="23"/>
  <c r="A508" i="19"/>
  <c r="A675" i="23"/>
  <c r="K675" i="23" s="1"/>
  <c r="AP673" i="19"/>
  <c r="P673" i="19"/>
  <c r="C895" i="23"/>
  <c r="U893" i="19"/>
  <c r="C616" i="23"/>
  <c r="U614" i="19"/>
  <c r="C984" i="23"/>
  <c r="U982" i="19"/>
  <c r="A591" i="23"/>
  <c r="K591" i="23" s="1"/>
  <c r="AP589" i="19"/>
  <c r="P589" i="19"/>
  <c r="A884" i="23"/>
  <c r="K884" i="23" s="1"/>
  <c r="AP882" i="19"/>
  <c r="P882" i="19"/>
  <c r="A607" i="23"/>
  <c r="K607" i="23" s="1"/>
  <c r="P605" i="19"/>
  <c r="AP605" i="19"/>
  <c r="I661" i="23"/>
  <c r="A956" i="23"/>
  <c r="K956" i="23" s="1"/>
  <c r="P954" i="19"/>
  <c r="AP954" i="19"/>
  <c r="I762" i="23"/>
  <c r="B539" i="23"/>
  <c r="A537" i="19"/>
  <c r="B780" i="23"/>
  <c r="A778" i="19"/>
  <c r="I902" i="23"/>
  <c r="I962" i="23"/>
  <c r="D962" i="23" s="1"/>
  <c r="B335" i="23"/>
  <c r="A333" i="19"/>
  <c r="I818" i="23"/>
  <c r="I565" i="23"/>
  <c r="B409" i="23"/>
  <c r="A407" i="19"/>
  <c r="A762" i="23"/>
  <c r="K762" i="23" s="1"/>
  <c r="AP760" i="19"/>
  <c r="P760" i="19"/>
  <c r="A693" i="23"/>
  <c r="K693" i="23" s="1"/>
  <c r="AP691" i="19"/>
  <c r="P691" i="19"/>
  <c r="C890" i="23"/>
  <c r="U888" i="19"/>
  <c r="A580" i="23"/>
  <c r="K580" i="23" s="1"/>
  <c r="P578" i="19"/>
  <c r="AP578" i="19"/>
  <c r="A852" i="23"/>
  <c r="K852" i="23" s="1"/>
  <c r="AP850" i="19"/>
  <c r="P850" i="19"/>
  <c r="C662" i="23"/>
  <c r="U660" i="19"/>
  <c r="C711" i="23"/>
  <c r="U709" i="19"/>
  <c r="C824" i="23"/>
  <c r="U822" i="19"/>
  <c r="A943" i="23"/>
  <c r="K943" i="23" s="1"/>
  <c r="AP941" i="19"/>
  <c r="P941" i="19"/>
  <c r="I899" i="23"/>
  <c r="B751" i="23"/>
  <c r="A749" i="19"/>
  <c r="I922" i="23"/>
  <c r="D922" i="23" s="1"/>
  <c r="C960" i="23"/>
  <c r="U958" i="19"/>
  <c r="I332" i="23"/>
  <c r="C627" i="23"/>
  <c r="U625" i="19"/>
  <c r="C718" i="23"/>
  <c r="U716" i="19"/>
  <c r="C785" i="23"/>
  <c r="U783" i="19"/>
  <c r="C690" i="23"/>
  <c r="U688" i="19"/>
  <c r="A919" i="23"/>
  <c r="K919" i="23" s="1"/>
  <c r="AP917" i="19"/>
  <c r="P917" i="19"/>
  <c r="I371" i="23"/>
  <c r="A740" i="23"/>
  <c r="K740" i="23" s="1"/>
  <c r="AP738" i="19"/>
  <c r="P738" i="19"/>
  <c r="C946" i="23"/>
  <c r="U944" i="19"/>
  <c r="C900" i="23"/>
  <c r="U898" i="19"/>
  <c r="I945" i="23"/>
  <c r="C572" i="23"/>
  <c r="U570" i="19"/>
  <c r="I346" i="23"/>
  <c r="A890" i="23"/>
  <c r="K890" i="23" s="1"/>
  <c r="P888" i="19"/>
  <c r="AP888" i="19"/>
  <c r="C652" i="23"/>
  <c r="U650" i="19"/>
  <c r="C666" i="23"/>
  <c r="U664" i="19"/>
  <c r="I695" i="23"/>
  <c r="C852" i="23"/>
  <c r="U850" i="19"/>
  <c r="I253" i="23"/>
  <c r="I550" i="23"/>
  <c r="I862" i="23"/>
  <c r="C820" i="23"/>
  <c r="U818" i="19"/>
  <c r="I737" i="23"/>
  <c r="G723" i="26" l="1"/>
  <c r="G715" i="26"/>
  <c r="I444" i="23"/>
  <c r="B689" i="23"/>
  <c r="A687" i="19"/>
  <c r="I547" i="23"/>
  <c r="I313" i="23"/>
  <c r="AT794" i="19"/>
  <c r="AR794" i="19" s="1"/>
  <c r="AQ794" i="19" s="1"/>
  <c r="G802" i="26"/>
  <c r="B581" i="23"/>
  <c r="I277" i="23"/>
  <c r="B277" i="23"/>
  <c r="B468" i="23"/>
  <c r="A349" i="19"/>
  <c r="B351" i="23"/>
  <c r="B607" i="23"/>
  <c r="I965" i="23"/>
  <c r="I729" i="23"/>
  <c r="B474" i="23"/>
  <c r="A472" i="19"/>
  <c r="B809" i="23"/>
  <c r="A807" i="19"/>
  <c r="B557" i="23"/>
  <c r="A555" i="19"/>
  <c r="B431" i="23"/>
  <c r="B199" i="23"/>
  <c r="B564" i="23"/>
  <c r="B308" i="23"/>
  <c r="B373" i="23"/>
  <c r="A371" i="19"/>
  <c r="B518" i="23"/>
  <c r="B992" i="23"/>
  <c r="B912" i="23"/>
  <c r="A910" i="19"/>
  <c r="B873" i="23"/>
  <c r="A871" i="19"/>
  <c r="B782" i="23"/>
  <c r="A780" i="19"/>
  <c r="A932" i="19"/>
  <c r="B934" i="23"/>
  <c r="A379" i="19"/>
  <c r="I381" i="23"/>
  <c r="I393" i="23"/>
  <c r="B393" i="23"/>
  <c r="A567" i="19"/>
  <c r="A435" i="19"/>
  <c r="B567" i="23"/>
  <c r="A565" i="19"/>
  <c r="A694" i="19"/>
  <c r="B696" i="23"/>
  <c r="B885" i="23"/>
  <c r="A883" i="19"/>
  <c r="I352" i="23"/>
  <c r="I730" i="23"/>
  <c r="I342" i="23"/>
  <c r="B740" i="23"/>
  <c r="B764" i="23"/>
  <c r="A762" i="19"/>
  <c r="A386" i="19"/>
  <c r="B967" i="23"/>
  <c r="I967" i="23"/>
  <c r="D967" i="23" s="1"/>
  <c r="B479" i="23"/>
  <c r="A477" i="19"/>
  <c r="I309" i="23"/>
  <c r="B293" i="23"/>
  <c r="A291" i="19"/>
  <c r="A649" i="19"/>
  <c r="B651" i="23"/>
  <c r="B443" i="23"/>
  <c r="B815" i="23"/>
  <c r="I815" i="23"/>
  <c r="D815" i="23" s="1"/>
  <c r="B213" i="23"/>
  <c r="A736" i="19"/>
  <c r="I229" i="23"/>
  <c r="I794" i="23"/>
  <c r="D794" i="23" s="1"/>
  <c r="I919" i="23"/>
  <c r="I685" i="23"/>
  <c r="I969" i="23"/>
  <c r="I992" i="23"/>
  <c r="D992" i="23" s="1"/>
  <c r="I914" i="23"/>
  <c r="AT835" i="19"/>
  <c r="AR835" i="19" s="1"/>
  <c r="B843" i="26" s="1"/>
  <c r="I883" i="23"/>
  <c r="G877" i="26"/>
  <c r="I212" i="23"/>
  <c r="I364" i="23"/>
  <c r="I910" i="23"/>
  <c r="D910" i="23" s="1"/>
  <c r="I884" i="23"/>
  <c r="D884" i="23" s="1"/>
  <c r="A229" i="19"/>
  <c r="I859" i="23"/>
  <c r="D859" i="23" s="1"/>
  <c r="I631" i="23"/>
  <c r="D631" i="23" s="1"/>
  <c r="I446" i="23"/>
  <c r="I623" i="23"/>
  <c r="D623" i="23" s="1"/>
  <c r="B415" i="23"/>
  <c r="B304" i="23"/>
  <c r="A977" i="19"/>
  <c r="B686" i="23"/>
  <c r="I770" i="23"/>
  <c r="D770" i="23" s="1"/>
  <c r="A530" i="19"/>
  <c r="I852" i="23"/>
  <c r="D852" i="23" s="1"/>
  <c r="I675" i="23"/>
  <c r="I796" i="23"/>
  <c r="I678" i="23"/>
  <c r="D678" i="23" s="1"/>
  <c r="I647" i="23"/>
  <c r="G651" i="26"/>
  <c r="G1001" i="26"/>
  <c r="A295" i="19"/>
  <c r="B297" i="23"/>
  <c r="I251" i="23"/>
  <c r="I404" i="23"/>
  <c r="I955" i="23"/>
  <c r="I639" i="23"/>
  <c r="D639" i="23" s="1"/>
  <c r="I981" i="23"/>
  <c r="D981" i="23" s="1"/>
  <c r="I269" i="23"/>
  <c r="A439" i="19"/>
  <c r="B266" i="23"/>
  <c r="A264" i="19"/>
  <c r="A951" i="19"/>
  <c r="I442" i="23"/>
  <c r="I735" i="23"/>
  <c r="I296" i="23"/>
  <c r="I715" i="23"/>
  <c r="I886" i="23"/>
  <c r="D886" i="23" s="1"/>
  <c r="I667" i="23"/>
  <c r="I812" i="23"/>
  <c r="D812" i="23" s="1"/>
  <c r="I256" i="23"/>
  <c r="G615" i="26"/>
  <c r="G908" i="26"/>
  <c r="I758" i="23"/>
  <c r="I198" i="23"/>
  <c r="I214" i="23"/>
  <c r="I593" i="23"/>
  <c r="D593" i="23" s="1"/>
  <c r="I633" i="23"/>
  <c r="D633" i="23" s="1"/>
  <c r="I432" i="23"/>
  <c r="I767" i="23"/>
  <c r="D767" i="23" s="1"/>
  <c r="G994" i="26"/>
  <c r="A456" i="19"/>
  <c r="B458" i="23"/>
  <c r="B720" i="23"/>
  <c r="I847" i="23"/>
  <c r="D847" i="23" s="1"/>
  <c r="I389" i="23"/>
  <c r="I365" i="23"/>
  <c r="I682" i="23"/>
  <c r="I850" i="23"/>
  <c r="I692" i="23"/>
  <c r="D692" i="23" s="1"/>
  <c r="I460" i="23"/>
  <c r="I617" i="23"/>
  <c r="I778" i="23"/>
  <c r="D778" i="23" s="1"/>
  <c r="I944" i="23"/>
  <c r="G1005" i="26"/>
  <c r="G612" i="26"/>
  <c r="B725" i="23"/>
  <c r="I952" i="23"/>
  <c r="D952" i="23" s="1"/>
  <c r="B559" i="23"/>
  <c r="I811" i="23"/>
  <c r="D811" i="23" s="1"/>
  <c r="I710" i="23"/>
  <c r="D710" i="23" s="1"/>
  <c r="I514" i="23"/>
  <c r="I476" i="23"/>
  <c r="AT688" i="19"/>
  <c r="AR688" i="19" s="1"/>
  <c r="AQ688" i="19" s="1"/>
  <c r="I368" i="23"/>
  <c r="I323" i="23"/>
  <c r="A730" i="19"/>
  <c r="B193" i="23"/>
  <c r="A288" i="19"/>
  <c r="B609" i="23"/>
  <c r="B599" i="23"/>
  <c r="A829" i="19"/>
  <c r="I875" i="23"/>
  <c r="I997" i="23"/>
  <c r="D997" i="23" s="1"/>
  <c r="I574" i="23"/>
  <c r="D574" i="23" s="1"/>
  <c r="I733" i="23"/>
  <c r="I681" i="23"/>
  <c r="I866" i="23"/>
  <c r="G923" i="26"/>
  <c r="G854" i="26"/>
  <c r="I898" i="23"/>
  <c r="D898" i="23" s="1"/>
  <c r="I755" i="23"/>
  <c r="D755" i="23" s="1"/>
  <c r="B986" i="23"/>
  <c r="B784" i="23"/>
  <c r="B646" i="23"/>
  <c r="B727" i="23"/>
  <c r="A354" i="19"/>
  <c r="I734" i="23"/>
  <c r="D734" i="23" s="1"/>
  <c r="G624" i="26"/>
  <c r="G875" i="26"/>
  <c r="G595" i="26"/>
  <c r="G766" i="26"/>
  <c r="G708" i="26"/>
  <c r="G683" i="26"/>
  <c r="G916" i="26"/>
  <c r="G969" i="26"/>
  <c r="G974" i="26"/>
  <c r="G826" i="26"/>
  <c r="AT619" i="19"/>
  <c r="AR619" i="19" s="1"/>
  <c r="AQ619" i="19" s="1"/>
  <c r="AT884" i="19"/>
  <c r="AR884" i="19" s="1"/>
  <c r="AQ884" i="19" s="1"/>
  <c r="AT785" i="19"/>
  <c r="AR785" i="19" s="1"/>
  <c r="AQ785" i="19" s="1"/>
  <c r="AT921" i="19"/>
  <c r="AR921" i="19" s="1"/>
  <c r="AQ921" i="19" s="1"/>
  <c r="AT804" i="19"/>
  <c r="AR804" i="19" s="1"/>
  <c r="AQ804" i="19" s="1"/>
  <c r="G776" i="26"/>
  <c r="AT713" i="19"/>
  <c r="AR713" i="19" s="1"/>
  <c r="B721" i="26" s="1"/>
  <c r="G905" i="26"/>
  <c r="AT749" i="19"/>
  <c r="AR749" i="19" s="1"/>
  <c r="B757" i="26" s="1"/>
  <c r="G714" i="26"/>
  <c r="G807" i="26"/>
  <c r="G720" i="26"/>
  <c r="AT984" i="19"/>
  <c r="AR984" i="19" s="1"/>
  <c r="AQ984" i="19" s="1"/>
  <c r="G704" i="26"/>
  <c r="G824" i="26"/>
  <c r="AT881" i="19"/>
  <c r="AR881" i="19" s="1"/>
  <c r="AQ881" i="19" s="1"/>
  <c r="G937" i="26"/>
  <c r="G964" i="26"/>
  <c r="G605" i="26"/>
  <c r="AT914" i="19"/>
  <c r="AR914" i="19" s="1"/>
  <c r="B922" i="26" s="1"/>
  <c r="G717" i="26"/>
  <c r="G735" i="26"/>
  <c r="G869" i="26"/>
  <c r="G633" i="26"/>
  <c r="G868" i="26"/>
  <c r="G928" i="26"/>
  <c r="AT777" i="19"/>
  <c r="AR777" i="19" s="1"/>
  <c r="B785" i="26" s="1"/>
  <c r="G699" i="26"/>
  <c r="G672" i="26"/>
  <c r="G841" i="26"/>
  <c r="G751" i="26"/>
  <c r="AT924" i="19"/>
  <c r="AR924" i="19" s="1"/>
  <c r="AQ924" i="19" s="1"/>
  <c r="AT932" i="19"/>
  <c r="AR932" i="19" s="1"/>
  <c r="AQ932" i="19" s="1"/>
  <c r="G856" i="26"/>
  <c r="G628" i="26"/>
  <c r="G658" i="26"/>
  <c r="G956" i="26"/>
  <c r="G863" i="26"/>
  <c r="G703" i="26"/>
  <c r="G958" i="26"/>
  <c r="G606" i="26"/>
  <c r="AT622" i="19"/>
  <c r="AR622" i="19" s="1"/>
  <c r="B630" i="26" s="1"/>
  <c r="G880" i="26"/>
  <c r="G1007" i="26"/>
  <c r="AT805" i="19"/>
  <c r="AR805" i="19" s="1"/>
  <c r="B813" i="26" s="1"/>
  <c r="G842" i="26"/>
  <c r="G822" i="26"/>
  <c r="Z661" i="19"/>
  <c r="AT661" i="19" s="1"/>
  <c r="AR661" i="19" s="1"/>
  <c r="B669" i="26" s="1"/>
  <c r="Z983" i="19"/>
  <c r="G991" i="26" s="1"/>
  <c r="Z699" i="19"/>
  <c r="AT699" i="19" s="1"/>
  <c r="AR699" i="19" s="1"/>
  <c r="AQ699" i="19" s="1"/>
  <c r="Z902" i="19"/>
  <c r="AT902" i="19" s="1"/>
  <c r="AR902" i="19" s="1"/>
  <c r="AQ902" i="19" s="1"/>
  <c r="Z591" i="19"/>
  <c r="AT591" i="19" s="1"/>
  <c r="AR591" i="19" s="1"/>
  <c r="AQ591" i="19" s="1"/>
  <c r="Z973" i="19"/>
  <c r="G981" i="26" s="1"/>
  <c r="Z853" i="19"/>
  <c r="AT853" i="19" s="1"/>
  <c r="AR853" i="19" s="1"/>
  <c r="AQ853" i="19" s="1"/>
  <c r="Z943" i="19"/>
  <c r="AT943" i="19" s="1"/>
  <c r="AR943" i="19" s="1"/>
  <c r="B951" i="26" s="1"/>
  <c r="Z701" i="19"/>
  <c r="G709" i="26" s="1"/>
  <c r="Z685" i="19"/>
  <c r="AT685" i="19" s="1"/>
  <c r="AR685" i="19" s="1"/>
  <c r="AQ685" i="19" s="1"/>
  <c r="Z570" i="19"/>
  <c r="G578" i="26" s="1"/>
  <c r="Z590" i="19"/>
  <c r="AT590" i="19" s="1"/>
  <c r="AR590" i="19" s="1"/>
  <c r="AQ590" i="19" s="1"/>
  <c r="Z615" i="19"/>
  <c r="AT615" i="19" s="1"/>
  <c r="AR615" i="19" s="1"/>
  <c r="AQ615" i="19" s="1"/>
  <c r="Z586" i="19"/>
  <c r="AT586" i="19" s="1"/>
  <c r="AR586" i="19" s="1"/>
  <c r="AQ586" i="19" s="1"/>
  <c r="Z913" i="19"/>
  <c r="AT913" i="19" s="1"/>
  <c r="AR913" i="19" s="1"/>
  <c r="AQ913" i="19" s="1"/>
  <c r="Z667" i="19"/>
  <c r="AT667" i="19" s="1"/>
  <c r="AR667" i="19" s="1"/>
  <c r="AQ667" i="19" s="1"/>
  <c r="Z918" i="19"/>
  <c r="AT918" i="19" s="1"/>
  <c r="AR918" i="19" s="1"/>
  <c r="AQ918" i="19" s="1"/>
  <c r="Z847" i="19"/>
  <c r="AT847" i="19" s="1"/>
  <c r="AR847" i="19" s="1"/>
  <c r="AQ847" i="19" s="1"/>
  <c r="Z944" i="19"/>
  <c r="G952" i="26" s="1"/>
  <c r="Z822" i="19"/>
  <c r="G830" i="26" s="1"/>
  <c r="Z642" i="19"/>
  <c r="AT642" i="19" s="1"/>
  <c r="AR642" i="19" s="1"/>
  <c r="AQ642" i="19" s="1"/>
  <c r="Z660" i="19"/>
  <c r="AT660" i="19" s="1"/>
  <c r="AR660" i="19" s="1"/>
  <c r="B668" i="26" s="1"/>
  <c r="Z554" i="19"/>
  <c r="AT554" i="19" s="1"/>
  <c r="AR554" i="19" s="1"/>
  <c r="AQ554" i="19" s="1"/>
  <c r="Z737" i="19"/>
  <c r="G745" i="26" s="1"/>
  <c r="Z812" i="19"/>
  <c r="AT812" i="19" s="1"/>
  <c r="AR812" i="19" s="1"/>
  <c r="AQ812" i="19" s="1"/>
  <c r="Z603" i="19"/>
  <c r="AT603" i="19" s="1"/>
  <c r="AR603" i="19" s="1"/>
  <c r="AQ603" i="19" s="1"/>
  <c r="Z937" i="19"/>
  <c r="AT937" i="19" s="1"/>
  <c r="AR937" i="19" s="1"/>
  <c r="B945" i="26" s="1"/>
  <c r="Z893" i="19"/>
  <c r="AT893" i="19" s="1"/>
  <c r="AR893" i="19" s="1"/>
  <c r="AQ893" i="19" s="1"/>
  <c r="G805" i="26"/>
  <c r="Z982" i="19"/>
  <c r="AT982" i="19" s="1"/>
  <c r="AR982" i="19" s="1"/>
  <c r="AQ982" i="19" s="1"/>
  <c r="Z859" i="19"/>
  <c r="AT859" i="19" s="1"/>
  <c r="AR859" i="19" s="1"/>
  <c r="AQ859" i="19" s="1"/>
  <c r="Z654" i="19"/>
  <c r="G662" i="26" s="1"/>
  <c r="Z728" i="19"/>
  <c r="AT728" i="19" s="1"/>
  <c r="AR728" i="19" s="1"/>
  <c r="AQ728" i="19" s="1"/>
  <c r="Z669" i="19"/>
  <c r="AT669" i="19" s="1"/>
  <c r="AR669" i="19" s="1"/>
  <c r="AQ669" i="19" s="1"/>
  <c r="Z759" i="19"/>
  <c r="AT759" i="19" s="1"/>
  <c r="AR759" i="19" s="1"/>
  <c r="AQ759" i="19" s="1"/>
  <c r="Z575" i="19"/>
  <c r="AT575" i="19" s="1"/>
  <c r="AR575" i="19" s="1"/>
  <c r="AQ575" i="19" s="1"/>
  <c r="Z866" i="19"/>
  <c r="AT866" i="19" s="1"/>
  <c r="AR866" i="19" s="1"/>
  <c r="B874" i="26" s="1"/>
  <c r="Z636" i="19"/>
  <c r="G644" i="26" s="1"/>
  <c r="Z791" i="19"/>
  <c r="AT791" i="19" s="1"/>
  <c r="AR791" i="19" s="1"/>
  <c r="AQ791" i="19" s="1"/>
  <c r="Z830" i="19"/>
  <c r="AT830" i="19" s="1"/>
  <c r="AR830" i="19" s="1"/>
  <c r="AQ830" i="19" s="1"/>
  <c r="AT637" i="19"/>
  <c r="AR637" i="19" s="1"/>
  <c r="AQ637" i="19" s="1"/>
  <c r="AT683" i="19"/>
  <c r="AR683" i="19" s="1"/>
  <c r="AQ683" i="19" s="1"/>
  <c r="AT751" i="19"/>
  <c r="AR751" i="19" s="1"/>
  <c r="AQ751" i="19" s="1"/>
  <c r="Z784" i="19"/>
  <c r="AT784" i="19" s="1"/>
  <c r="AR784" i="19" s="1"/>
  <c r="AQ784" i="19" s="1"/>
  <c r="Z886" i="19"/>
  <c r="G894" i="26" s="1"/>
  <c r="Z882" i="19"/>
  <c r="AT882" i="19" s="1"/>
  <c r="AR882" i="19" s="1"/>
  <c r="B890" i="26" s="1"/>
  <c r="Z594" i="19"/>
  <c r="AT594" i="19" s="1"/>
  <c r="AR594" i="19" s="1"/>
  <c r="AQ594" i="19" s="1"/>
  <c r="Z870" i="19"/>
  <c r="Z806" i="19"/>
  <c r="G814" i="26" s="1"/>
  <c r="Z588" i="19"/>
  <c r="G596" i="26" s="1"/>
  <c r="Z763" i="19"/>
  <c r="AT763" i="19" s="1"/>
  <c r="AR763" i="19" s="1"/>
  <c r="AQ763" i="19" s="1"/>
  <c r="Z725" i="19"/>
  <c r="G733" i="26" s="1"/>
  <c r="Z978" i="19"/>
  <c r="AT978" i="19" s="1"/>
  <c r="AR978" i="19" s="1"/>
  <c r="AQ978" i="19" s="1"/>
  <c r="Z663" i="19"/>
  <c r="AT663" i="19" s="1"/>
  <c r="AR663" i="19" s="1"/>
  <c r="B671" i="26" s="1"/>
  <c r="Z735" i="19"/>
  <c r="G743" i="26" s="1"/>
  <c r="Z677" i="19"/>
  <c r="AT677" i="19" s="1"/>
  <c r="AR677" i="19" s="1"/>
  <c r="AQ677" i="19" s="1"/>
  <c r="Z917" i="19"/>
  <c r="G925" i="26" s="1"/>
  <c r="Z572" i="19"/>
  <c r="AT572" i="19" s="1"/>
  <c r="AR572" i="19" s="1"/>
  <c r="AQ572" i="19" s="1"/>
  <c r="Z989" i="19"/>
  <c r="AT989" i="19" s="1"/>
  <c r="AR989" i="19" s="1"/>
  <c r="B997" i="26" s="1"/>
  <c r="Z896" i="19"/>
  <c r="G904" i="26" s="1"/>
  <c r="Z764" i="19"/>
  <c r="AT764" i="19" s="1"/>
  <c r="AR764" i="19" s="1"/>
  <c r="B772" i="26" s="1"/>
  <c r="G625" i="26"/>
  <c r="G786" i="26"/>
  <c r="G829" i="26"/>
  <c r="G1006" i="26"/>
  <c r="G784" i="26"/>
  <c r="G762" i="26"/>
  <c r="G706" i="26"/>
  <c r="Z717" i="19"/>
  <c r="AT717" i="19" s="1"/>
  <c r="AR717" i="19" s="1"/>
  <c r="AQ717" i="19" s="1"/>
  <c r="Z648" i="19"/>
  <c r="AT648" i="19" s="1"/>
  <c r="AR648" i="19" s="1"/>
  <c r="AQ648" i="19" s="1"/>
  <c r="Z752" i="19"/>
  <c r="G760" i="26" s="1"/>
  <c r="Z817" i="19"/>
  <c r="G825" i="26" s="1"/>
  <c r="Z898" i="19"/>
  <c r="AT898" i="19" s="1"/>
  <c r="AR898" i="19" s="1"/>
  <c r="B906" i="26" s="1"/>
  <c r="Z795" i="19"/>
  <c r="AT795" i="19" s="1"/>
  <c r="AR795" i="19" s="1"/>
  <c r="AQ795" i="19" s="1"/>
  <c r="Z930" i="19"/>
  <c r="AT930" i="19" s="1"/>
  <c r="AR930" i="19" s="1"/>
  <c r="AQ930" i="19" s="1"/>
  <c r="Z561" i="19"/>
  <c r="AT561" i="19" s="1"/>
  <c r="AR561" i="19" s="1"/>
  <c r="B569" i="26" s="1"/>
  <c r="Z774" i="19"/>
  <c r="AT774" i="19" s="1"/>
  <c r="AR774" i="19" s="1"/>
  <c r="B782" i="26" s="1"/>
  <c r="Z828" i="19"/>
  <c r="G836" i="26" s="1"/>
  <c r="Z857" i="19"/>
  <c r="AT857" i="19" s="1"/>
  <c r="AR857" i="19" s="1"/>
  <c r="AQ857" i="19" s="1"/>
  <c r="Z762" i="19"/>
  <c r="AT762" i="19" s="1"/>
  <c r="AR762" i="19" s="1"/>
  <c r="B770" i="26" s="1"/>
  <c r="Z960" i="19"/>
  <c r="AT960" i="19" s="1"/>
  <c r="AR960" i="19" s="1"/>
  <c r="B968" i="26" s="1"/>
  <c r="Z765" i="19"/>
  <c r="AT765" i="19" s="1"/>
  <c r="AR765" i="19" s="1"/>
  <c r="AQ765" i="19" s="1"/>
  <c r="Z852" i="19"/>
  <c r="AT852" i="19" s="1"/>
  <c r="AR852" i="19" s="1"/>
  <c r="AQ852" i="19" s="1"/>
  <c r="Z734" i="19"/>
  <c r="AT734" i="19" s="1"/>
  <c r="AR734" i="19" s="1"/>
  <c r="AQ734" i="19" s="1"/>
  <c r="Z942" i="19"/>
  <c r="AT942" i="19" s="1"/>
  <c r="AR942" i="19" s="1"/>
  <c r="AQ942" i="19" s="1"/>
  <c r="Z783" i="19"/>
  <c r="AT783" i="19" s="1"/>
  <c r="AR783" i="19" s="1"/>
  <c r="AQ783" i="19" s="1"/>
  <c r="Z687" i="19"/>
  <c r="AT687" i="19" s="1"/>
  <c r="AR687" i="19" s="1"/>
  <c r="AQ687" i="19" s="1"/>
  <c r="Z662" i="19"/>
  <c r="AT662" i="19" s="1"/>
  <c r="AR662" i="19" s="1"/>
  <c r="AQ662" i="19" s="1"/>
  <c r="Z567" i="19"/>
  <c r="AT567" i="19" s="1"/>
  <c r="AR567" i="19" s="1"/>
  <c r="AQ567" i="19" s="1"/>
  <c r="Z653" i="19"/>
  <c r="AT653" i="19" s="1"/>
  <c r="AR653" i="19" s="1"/>
  <c r="B661" i="26" s="1"/>
  <c r="Z558" i="19"/>
  <c r="AT558" i="19" s="1"/>
  <c r="AR558" i="19" s="1"/>
  <c r="B566" i="26" s="1"/>
  <c r="Z582" i="19"/>
  <c r="AT582" i="19" s="1"/>
  <c r="AR582" i="19" s="1"/>
  <c r="B590" i="26" s="1"/>
  <c r="Z945" i="19"/>
  <c r="AT945" i="19" s="1"/>
  <c r="AR945" i="19" s="1"/>
  <c r="AQ945" i="19" s="1"/>
  <c r="Z720" i="19"/>
  <c r="AT720" i="19" s="1"/>
  <c r="AR720" i="19" s="1"/>
  <c r="AQ720" i="19" s="1"/>
  <c r="Z996" i="19"/>
  <c r="AT996" i="19" s="1"/>
  <c r="AR996" i="19" s="1"/>
  <c r="AQ996" i="19" s="1"/>
  <c r="Z878" i="19"/>
  <c r="AT878" i="19" s="1"/>
  <c r="AR878" i="19" s="1"/>
  <c r="B886" i="26" s="1"/>
  <c r="Z891" i="19"/>
  <c r="AT891" i="19" s="1"/>
  <c r="AR891" i="19" s="1"/>
  <c r="B899" i="26" s="1"/>
  <c r="Z569" i="19"/>
  <c r="AT569" i="19" s="1"/>
  <c r="AR569" i="19" s="1"/>
  <c r="AQ569" i="19" s="1"/>
  <c r="G849" i="26"/>
  <c r="G887" i="26"/>
  <c r="G959" i="26"/>
  <c r="G862" i="26"/>
  <c r="G746" i="26"/>
  <c r="Z553" i="19"/>
  <c r="AT553" i="19" s="1"/>
  <c r="AR553" i="19" s="1"/>
  <c r="AQ553" i="19" s="1"/>
  <c r="Z801" i="19"/>
  <c r="AT801" i="19" s="1"/>
  <c r="AR801" i="19" s="1"/>
  <c r="B809" i="26" s="1"/>
  <c r="Z782" i="19"/>
  <c r="G790" i="26" s="1"/>
  <c r="Z910" i="19"/>
  <c r="AT910" i="19" s="1"/>
  <c r="AR910" i="19" s="1"/>
  <c r="AQ910" i="19" s="1"/>
  <c r="Z840" i="19"/>
  <c r="AT840" i="19" s="1"/>
  <c r="AR840" i="19" s="1"/>
  <c r="B848" i="26" s="1"/>
  <c r="Z946" i="19"/>
  <c r="G954" i="26" s="1"/>
  <c r="Z820" i="19"/>
  <c r="G828" i="26" s="1"/>
  <c r="Z690" i="19"/>
  <c r="G698" i="26" s="1"/>
  <c r="Z633" i="19"/>
  <c r="AT633" i="19" s="1"/>
  <c r="AR633" i="19" s="1"/>
  <c r="B641" i="26" s="1"/>
  <c r="Z571" i="19"/>
  <c r="AT571" i="19" s="1"/>
  <c r="AR571" i="19" s="1"/>
  <c r="B579" i="26" s="1"/>
  <c r="Z656" i="19"/>
  <c r="AT656" i="19" s="1"/>
  <c r="AR656" i="19" s="1"/>
  <c r="AQ656" i="19" s="1"/>
  <c r="Z606" i="19"/>
  <c r="AT606" i="19" s="1"/>
  <c r="AR606" i="19" s="1"/>
  <c r="AQ606" i="19" s="1"/>
  <c r="Z746" i="19"/>
  <c r="AT746" i="19" s="1"/>
  <c r="AR746" i="19" s="1"/>
  <c r="AQ746" i="19" s="1"/>
  <c r="Z928" i="19"/>
  <c r="AT928" i="19" s="1"/>
  <c r="AR928" i="19" s="1"/>
  <c r="AQ928" i="19" s="1"/>
  <c r="AT850" i="19"/>
  <c r="AR850" i="19" s="1"/>
  <c r="AQ850" i="19" s="1"/>
  <c r="AT731" i="19"/>
  <c r="AR731" i="19" s="1"/>
  <c r="AQ731" i="19" s="1"/>
  <c r="Z906" i="19"/>
  <c r="AT906" i="19" s="1"/>
  <c r="AR906" i="19" s="1"/>
  <c r="AQ906" i="19" s="1"/>
  <c r="Z927" i="19"/>
  <c r="AT927" i="19" s="1"/>
  <c r="AR927" i="19" s="1"/>
  <c r="B935" i="26" s="1"/>
  <c r="Z585" i="19"/>
  <c r="AT585" i="19" s="1"/>
  <c r="AR585" i="19" s="1"/>
  <c r="AQ585" i="19" s="1"/>
  <c r="Z934" i="19"/>
  <c r="AT934" i="19" s="1"/>
  <c r="AR934" i="19" s="1"/>
  <c r="AQ934" i="19" s="1"/>
  <c r="Z555" i="19"/>
  <c r="AT555" i="19" s="1"/>
  <c r="AR555" i="19" s="1"/>
  <c r="B563" i="26" s="1"/>
  <c r="Z576" i="19"/>
  <c r="G584" i="26" s="1"/>
  <c r="Z682" i="19"/>
  <c r="AT682" i="19" s="1"/>
  <c r="AR682" i="19" s="1"/>
  <c r="AQ682" i="19" s="1"/>
  <c r="Z674" i="19"/>
  <c r="AT674" i="19" s="1"/>
  <c r="AR674" i="19" s="1"/>
  <c r="B682" i="26" s="1"/>
  <c r="Z845" i="19"/>
  <c r="G853" i="26" s="1"/>
  <c r="Z892" i="19"/>
  <c r="AT892" i="19" s="1"/>
  <c r="AR892" i="19" s="1"/>
  <c r="AQ892" i="19" s="1"/>
  <c r="Z641" i="19"/>
  <c r="AT641" i="19" s="1"/>
  <c r="AR641" i="19" s="1"/>
  <c r="AQ641" i="19" s="1"/>
  <c r="Z963" i="19"/>
  <c r="AT963" i="19" s="1"/>
  <c r="AR963" i="19" s="1"/>
  <c r="AQ963" i="19" s="1"/>
  <c r="AT773" i="19"/>
  <c r="AR773" i="19" s="1"/>
  <c r="AQ773" i="19" s="1"/>
  <c r="Z823" i="19"/>
  <c r="AT823" i="19" s="1"/>
  <c r="AR823" i="19" s="1"/>
  <c r="AQ823" i="19" s="1"/>
  <c r="Z901" i="19"/>
  <c r="AT901" i="19" s="1"/>
  <c r="AR901" i="19" s="1"/>
  <c r="AQ901" i="19" s="1"/>
  <c r="Z565" i="19"/>
  <c r="AT565" i="19" s="1"/>
  <c r="AR565" i="19" s="1"/>
  <c r="B573" i="26" s="1"/>
  <c r="Z745" i="19"/>
  <c r="AT745" i="19" s="1"/>
  <c r="AR745" i="19" s="1"/>
  <c r="AQ745" i="19" s="1"/>
  <c r="Z953" i="19"/>
  <c r="AT953" i="19" s="1"/>
  <c r="AR953" i="19" s="1"/>
  <c r="AQ953" i="19" s="1"/>
  <c r="Z912" i="19"/>
  <c r="AT912" i="19" s="1"/>
  <c r="AR912" i="19" s="1"/>
  <c r="AQ912" i="19" s="1"/>
  <c r="G884" i="26"/>
  <c r="G592" i="26"/>
  <c r="G663" i="26"/>
  <c r="G712" i="26"/>
  <c r="G881" i="26"/>
  <c r="Z813" i="19"/>
  <c r="G821" i="26" s="1"/>
  <c r="Z678" i="19"/>
  <c r="G686" i="26" s="1"/>
  <c r="Z580" i="19"/>
  <c r="G588" i="26" s="1"/>
  <c r="Z600" i="19"/>
  <c r="G608" i="26" s="1"/>
  <c r="Z839" i="19"/>
  <c r="G847" i="26" s="1"/>
  <c r="Z793" i="19"/>
  <c r="AT793" i="19" s="1"/>
  <c r="AR793" i="19" s="1"/>
  <c r="AQ793" i="19" s="1"/>
  <c r="Z780" i="19"/>
  <c r="AT780" i="19" s="1"/>
  <c r="AR780" i="19" s="1"/>
  <c r="AQ780" i="19" s="1"/>
  <c r="Z614" i="19"/>
  <c r="AT614" i="19" s="1"/>
  <c r="AR614" i="19" s="1"/>
  <c r="AQ614" i="19" s="1"/>
  <c r="Z981" i="19"/>
  <c r="AT981" i="19" s="1"/>
  <c r="AR981" i="19" s="1"/>
  <c r="AQ981" i="19" s="1"/>
  <c r="Z671" i="19"/>
  <c r="G679" i="26" s="1"/>
  <c r="Z719" i="19"/>
  <c r="AT719" i="19" s="1"/>
  <c r="AR719" i="19" s="1"/>
  <c r="AQ719" i="19" s="1"/>
  <c r="Z668" i="19"/>
  <c r="AT668" i="19" s="1"/>
  <c r="AR668" i="19" s="1"/>
  <c r="AQ668" i="19" s="1"/>
  <c r="Z965" i="19"/>
  <c r="AT965" i="19" s="1"/>
  <c r="AR965" i="19" s="1"/>
  <c r="B973" i="26" s="1"/>
  <c r="AT779" i="19"/>
  <c r="AR779" i="19" s="1"/>
  <c r="AQ779" i="19" s="1"/>
  <c r="AT825" i="19"/>
  <c r="AR825" i="19" s="1"/>
  <c r="AQ825" i="19" s="1"/>
  <c r="AT649" i="19"/>
  <c r="AR649" i="19" s="1"/>
  <c r="AQ649" i="19" s="1"/>
  <c r="Z899" i="19"/>
  <c r="AT899" i="19" s="1"/>
  <c r="AR899" i="19" s="1"/>
  <c r="AQ899" i="19" s="1"/>
  <c r="Z935" i="19"/>
  <c r="AT935" i="19" s="1"/>
  <c r="AR935" i="19" s="1"/>
  <c r="B943" i="26" s="1"/>
  <c r="Z949" i="19"/>
  <c r="AT949" i="19" s="1"/>
  <c r="AR949" i="19" s="1"/>
  <c r="B957" i="26" s="1"/>
  <c r="Z621" i="19"/>
  <c r="G629" i="26" s="1"/>
  <c r="Z736" i="19"/>
  <c r="AT736" i="19" s="1"/>
  <c r="AR736" i="19" s="1"/>
  <c r="AQ736" i="19" s="1"/>
  <c r="Z693" i="19"/>
  <c r="G701" i="26" s="1"/>
  <c r="Z747" i="19"/>
  <c r="AT747" i="19" s="1"/>
  <c r="AR747" i="19" s="1"/>
  <c r="AQ747" i="19" s="1"/>
  <c r="Z809" i="19"/>
  <c r="AT809" i="19" s="1"/>
  <c r="AR809" i="19" s="1"/>
  <c r="AQ809" i="19" s="1"/>
  <c r="Z756" i="19"/>
  <c r="AT756" i="19" s="1"/>
  <c r="AR756" i="19" s="1"/>
  <c r="AQ756" i="19" s="1"/>
  <c r="Z939" i="19"/>
  <c r="AT939" i="19" s="1"/>
  <c r="AR939" i="19" s="1"/>
  <c r="B947" i="26" s="1"/>
  <c r="Z680" i="19"/>
  <c r="AT680" i="19" s="1"/>
  <c r="AR680" i="19" s="1"/>
  <c r="AQ680" i="19" s="1"/>
  <c r="G993" i="26"/>
  <c r="G982" i="26"/>
  <c r="G876" i="26"/>
  <c r="G851" i="26"/>
  <c r="G564" i="26"/>
  <c r="G732" i="26"/>
  <c r="G694" i="26"/>
  <c r="G713" i="26"/>
  <c r="Z744" i="19"/>
  <c r="G752" i="26" s="1"/>
  <c r="Z750" i="19"/>
  <c r="AT750" i="19" s="1"/>
  <c r="AR750" i="19" s="1"/>
  <c r="AQ750" i="19" s="1"/>
  <c r="Z732" i="19"/>
  <c r="AT732" i="19" s="1"/>
  <c r="AR732" i="19" s="1"/>
  <c r="B740" i="26" s="1"/>
  <c r="Z894" i="19"/>
  <c r="AT894" i="19" s="1"/>
  <c r="AR894" i="19" s="1"/>
  <c r="AQ894" i="19" s="1"/>
  <c r="Z729" i="19"/>
  <c r="G737" i="26" s="1"/>
  <c r="Z702" i="19"/>
  <c r="AT702" i="19" s="1"/>
  <c r="AR702" i="19" s="1"/>
  <c r="AQ702" i="19" s="1"/>
  <c r="Z640" i="19"/>
  <c r="AT640" i="19" s="1"/>
  <c r="AR640" i="19" s="1"/>
  <c r="B648" i="26" s="1"/>
  <c r="Z753" i="19"/>
  <c r="AT753" i="19" s="1"/>
  <c r="AR753" i="19" s="1"/>
  <c r="AQ753" i="19" s="1"/>
  <c r="Z992" i="19"/>
  <c r="AT992" i="19" s="1"/>
  <c r="AR992" i="19" s="1"/>
  <c r="B1000" i="26" s="1"/>
  <c r="Z971" i="19"/>
  <c r="AT971" i="19" s="1"/>
  <c r="AR971" i="19" s="1"/>
  <c r="B979" i="26" s="1"/>
  <c r="Z895" i="19"/>
  <c r="AT895" i="19" s="1"/>
  <c r="AR895" i="19" s="1"/>
  <c r="AQ895" i="19" s="1"/>
  <c r="Z624" i="19"/>
  <c r="AT624" i="19" s="1"/>
  <c r="AR624" i="19" s="1"/>
  <c r="AQ624" i="19" s="1"/>
  <c r="Z995" i="19"/>
  <c r="AT995" i="19" s="1"/>
  <c r="AR995" i="19" s="1"/>
  <c r="AQ995" i="19" s="1"/>
  <c r="Z849" i="19"/>
  <c r="AT849" i="19" s="1"/>
  <c r="AR849" i="19" s="1"/>
  <c r="AQ849" i="19" s="1"/>
  <c r="Z907" i="19"/>
  <c r="AT907" i="19" s="1"/>
  <c r="AR907" i="19" s="1"/>
  <c r="B915" i="26" s="1"/>
  <c r="Z922" i="19"/>
  <c r="AT922" i="19" s="1"/>
  <c r="AR922" i="19" s="1"/>
  <c r="AQ922" i="19" s="1"/>
  <c r="Z911" i="19"/>
  <c r="AT911" i="19" s="1"/>
  <c r="AR911" i="19" s="1"/>
  <c r="B919" i="26" s="1"/>
  <c r="Z613" i="19"/>
  <c r="AT613" i="19" s="1"/>
  <c r="AR613" i="19" s="1"/>
  <c r="AQ613" i="19" s="1"/>
  <c r="Z595" i="19"/>
  <c r="AT595" i="19" s="1"/>
  <c r="AR595" i="19" s="1"/>
  <c r="AQ595" i="19" s="1"/>
  <c r="Z610" i="19"/>
  <c r="G618" i="26" s="1"/>
  <c r="Z863" i="19"/>
  <c r="AT863" i="19" s="1"/>
  <c r="AR863" i="19" s="1"/>
  <c r="AQ863" i="19" s="1"/>
  <c r="Z771" i="19"/>
  <c r="AT771" i="19" s="1"/>
  <c r="AR771" i="19" s="1"/>
  <c r="AQ771" i="19" s="1"/>
  <c r="Z789" i="19"/>
  <c r="G797" i="26" s="1"/>
  <c r="Z874" i="19"/>
  <c r="AT874" i="19" s="1"/>
  <c r="AR874" i="19" s="1"/>
  <c r="AQ874" i="19" s="1"/>
  <c r="Z770" i="19"/>
  <c r="AT770" i="19" s="1"/>
  <c r="AR770" i="19" s="1"/>
  <c r="AQ770" i="19" s="1"/>
  <c r="Z802" i="19"/>
  <c r="G810" i="26" s="1"/>
  <c r="Z581" i="19"/>
  <c r="AT581" i="19" s="1"/>
  <c r="AR581" i="19" s="1"/>
  <c r="B589" i="26" s="1"/>
  <c r="Z560" i="19"/>
  <c r="Z638" i="19"/>
  <c r="G646" i="26" s="1"/>
  <c r="Z970" i="19"/>
  <c r="AT970" i="19" s="1"/>
  <c r="AR970" i="19" s="1"/>
  <c r="AQ970" i="19" s="1"/>
  <c r="Z815" i="19"/>
  <c r="AT815" i="19" s="1"/>
  <c r="AR815" i="19" s="1"/>
  <c r="B823" i="26" s="1"/>
  <c r="Z796" i="19"/>
  <c r="AT796" i="19" s="1"/>
  <c r="AR796" i="19" s="1"/>
  <c r="AQ796" i="19" s="1"/>
  <c r="Z838" i="19"/>
  <c r="AT838" i="19" s="1"/>
  <c r="AR838" i="19" s="1"/>
  <c r="B846" i="26" s="1"/>
  <c r="Z969" i="19"/>
  <c r="AT969" i="19" s="1"/>
  <c r="AR969" i="19" s="1"/>
  <c r="AQ969" i="19" s="1"/>
  <c r="Z862" i="19"/>
  <c r="AT862" i="19" s="1"/>
  <c r="AR862" i="19" s="1"/>
  <c r="B870" i="26" s="1"/>
  <c r="Z786" i="19"/>
  <c r="AT786" i="19" s="1"/>
  <c r="AR786" i="19" s="1"/>
  <c r="AQ786" i="19" s="1"/>
  <c r="Z651" i="19"/>
  <c r="AT651" i="19" s="1"/>
  <c r="AR651" i="19" s="1"/>
  <c r="AQ651" i="19" s="1"/>
  <c r="Z957" i="19"/>
  <c r="AT957" i="19" s="1"/>
  <c r="AR957" i="19" s="1"/>
  <c r="AQ957" i="19" s="1"/>
  <c r="Z832" i="19"/>
  <c r="G840" i="26" s="1"/>
  <c r="Z760" i="19"/>
  <c r="AT760" i="19" s="1"/>
  <c r="AR760" i="19" s="1"/>
  <c r="AQ760" i="19" s="1"/>
  <c r="Z889" i="19"/>
  <c r="G897" i="26" s="1"/>
  <c r="Z589" i="19"/>
  <c r="G597" i="26" s="1"/>
  <c r="AT740" i="19"/>
  <c r="AR740" i="19" s="1"/>
  <c r="AQ740" i="19" s="1"/>
  <c r="AT605" i="19"/>
  <c r="AR605" i="19" s="1"/>
  <c r="B613" i="26" s="1"/>
  <c r="Z761" i="19"/>
  <c r="AT761" i="19" s="1"/>
  <c r="AR761" i="19" s="1"/>
  <c r="AQ761" i="19" s="1"/>
  <c r="Z566" i="19"/>
  <c r="AT566" i="19" s="1"/>
  <c r="AR566" i="19" s="1"/>
  <c r="AQ566" i="19" s="1"/>
  <c r="Z994" i="19"/>
  <c r="AT994" i="19" s="1"/>
  <c r="AR994" i="19" s="1"/>
  <c r="B1002" i="26" s="1"/>
  <c r="Z596" i="19"/>
  <c r="G604" i="26" s="1"/>
  <c r="Z657" i="19"/>
  <c r="AT657" i="19" s="1"/>
  <c r="AR657" i="19" s="1"/>
  <c r="AQ657" i="19" s="1"/>
  <c r="Z689" i="19"/>
  <c r="AT689" i="19" s="1"/>
  <c r="AR689" i="19" s="1"/>
  <c r="AQ689" i="19" s="1"/>
  <c r="Z941" i="19"/>
  <c r="G949" i="26" s="1"/>
  <c r="Z632" i="19"/>
  <c r="AT632" i="19" s="1"/>
  <c r="AR632" i="19" s="1"/>
  <c r="AQ632" i="19" s="1"/>
  <c r="Z579" i="19"/>
  <c r="AT579" i="19" s="1"/>
  <c r="AR579" i="19" s="1"/>
  <c r="AQ579" i="19" s="1"/>
  <c r="Z875" i="19"/>
  <c r="AT875" i="19" s="1"/>
  <c r="AR875" i="19" s="1"/>
  <c r="AQ875" i="19" s="1"/>
  <c r="Z631" i="19"/>
  <c r="AT631" i="19" s="1"/>
  <c r="AR631" i="19" s="1"/>
  <c r="AQ631" i="19" s="1"/>
  <c r="Z919" i="19"/>
  <c r="G927" i="26" s="1"/>
  <c r="Z819" i="19"/>
  <c r="AT819" i="19" s="1"/>
  <c r="AR819" i="19" s="1"/>
  <c r="B827" i="26" s="1"/>
  <c r="Z559" i="19"/>
  <c r="G567" i="26" s="1"/>
  <c r="Z865" i="19"/>
  <c r="G873" i="26" s="1"/>
  <c r="Z958" i="19"/>
  <c r="AT958" i="19" s="1"/>
  <c r="AR958" i="19" s="1"/>
  <c r="B966" i="26" s="1"/>
  <c r="Z933" i="19"/>
  <c r="AT933" i="19" s="1"/>
  <c r="AR933" i="19" s="1"/>
  <c r="AQ933" i="19" s="1"/>
  <c r="Z583" i="19"/>
  <c r="G591" i="26" s="1"/>
  <c r="Z723" i="19"/>
  <c r="AT723" i="19" s="1"/>
  <c r="AR723" i="19" s="1"/>
  <c r="AQ723" i="19" s="1"/>
  <c r="Z563" i="19"/>
  <c r="AT563" i="19" s="1"/>
  <c r="AR563" i="19" s="1"/>
  <c r="AQ563" i="19" s="1"/>
  <c r="Z923" i="19"/>
  <c r="AT923" i="19" s="1"/>
  <c r="AR923" i="19" s="1"/>
  <c r="B931" i="26" s="1"/>
  <c r="Z905" i="19"/>
  <c r="AT905" i="19" s="1"/>
  <c r="AR905" i="19" s="1"/>
  <c r="AQ905" i="19" s="1"/>
  <c r="Z645" i="19"/>
  <c r="G653" i="26" s="1"/>
  <c r="Z877" i="19"/>
  <c r="AT877" i="19" s="1"/>
  <c r="AR877" i="19" s="1"/>
  <c r="AQ877" i="19" s="1"/>
  <c r="Z711" i="19"/>
  <c r="AT711" i="19" s="1"/>
  <c r="AR711" i="19" s="1"/>
  <c r="AQ711" i="19" s="1"/>
  <c r="Z726" i="19"/>
  <c r="G734" i="26" s="1"/>
  <c r="Z887" i="19"/>
  <c r="AT887" i="19" s="1"/>
  <c r="AR887" i="19" s="1"/>
  <c r="AQ887" i="19" s="1"/>
  <c r="Z858" i="19"/>
  <c r="AT858" i="19" s="1"/>
  <c r="AR858" i="19" s="1"/>
  <c r="AQ858" i="19" s="1"/>
  <c r="Z931" i="19"/>
  <c r="AT931" i="19" s="1"/>
  <c r="AR931" i="19" s="1"/>
  <c r="AQ931" i="19" s="1"/>
  <c r="Z767" i="19"/>
  <c r="AT767" i="19" s="1"/>
  <c r="AR767" i="19" s="1"/>
  <c r="AQ767" i="19" s="1"/>
  <c r="Z955" i="19"/>
  <c r="AT955" i="19" s="1"/>
  <c r="AR955" i="19" s="1"/>
  <c r="B963" i="26" s="1"/>
  <c r="Z639" i="19"/>
  <c r="AT639" i="19" s="1"/>
  <c r="AR639" i="19" s="1"/>
  <c r="AQ639" i="19" s="1"/>
  <c r="Z716" i="19"/>
  <c r="AT716" i="19" s="1"/>
  <c r="AR716" i="19" s="1"/>
  <c r="AQ716" i="19" s="1"/>
  <c r="Z644" i="19"/>
  <c r="AT644" i="19" s="1"/>
  <c r="AR644" i="19" s="1"/>
  <c r="AQ644" i="19" s="1"/>
  <c r="Z626" i="19"/>
  <c r="G634" i="26" s="1"/>
  <c r="Z824" i="19"/>
  <c r="AT824" i="19" s="1"/>
  <c r="AR824" i="19" s="1"/>
  <c r="AQ824" i="19" s="1"/>
  <c r="Z681" i="19"/>
  <c r="AT681" i="19" s="1"/>
  <c r="AR681" i="19" s="1"/>
  <c r="B689" i="26" s="1"/>
  <c r="Z703" i="19"/>
  <c r="G711" i="26" s="1"/>
  <c r="Z967" i="19"/>
  <c r="G975" i="26" s="1"/>
  <c r="Z601" i="19"/>
  <c r="AT601" i="19" s="1"/>
  <c r="AR601" i="19" s="1"/>
  <c r="AQ601" i="19" s="1"/>
  <c r="Z811" i="19"/>
  <c r="AT811" i="19" s="1"/>
  <c r="AR811" i="19" s="1"/>
  <c r="B819" i="26" s="1"/>
  <c r="Z564" i="19"/>
  <c r="G572" i="26" s="1"/>
  <c r="Z739" i="19"/>
  <c r="AT739" i="19" s="1"/>
  <c r="AR739" i="19" s="1"/>
  <c r="AQ739" i="19" s="1"/>
  <c r="Z772" i="19"/>
  <c r="AT772" i="19" s="1"/>
  <c r="AR772" i="19" s="1"/>
  <c r="AQ772" i="19" s="1"/>
  <c r="Z708" i="19"/>
  <c r="AT708" i="19" s="1"/>
  <c r="AR708" i="19" s="1"/>
  <c r="B716" i="26" s="1"/>
  <c r="Z947" i="19"/>
  <c r="AT947" i="19" s="1"/>
  <c r="AR947" i="19" s="1"/>
  <c r="AQ947" i="19" s="1"/>
  <c r="Z666" i="19"/>
  <c r="AT666" i="19" s="1"/>
  <c r="AR666" i="19" s="1"/>
  <c r="AQ666" i="19" s="1"/>
  <c r="Z578" i="19"/>
  <c r="AT578" i="19" s="1"/>
  <c r="AR578" i="19" s="1"/>
  <c r="B586" i="26" s="1"/>
  <c r="Z977" i="19"/>
  <c r="AT977" i="19" s="1"/>
  <c r="AR977" i="19" s="1"/>
  <c r="AQ977" i="19" s="1"/>
  <c r="G616" i="26"/>
  <c r="Z692" i="19"/>
  <c r="AT692" i="19" s="1"/>
  <c r="AR692" i="19" s="1"/>
  <c r="AQ692" i="19" s="1"/>
  <c r="Z733" i="19"/>
  <c r="G741" i="26" s="1"/>
  <c r="Z647" i="19"/>
  <c r="AT647" i="19" s="1"/>
  <c r="AR647" i="19" s="1"/>
  <c r="B655" i="26" s="1"/>
  <c r="Z618" i="19"/>
  <c r="AT618" i="19" s="1"/>
  <c r="AR618" i="19" s="1"/>
  <c r="AQ618" i="19" s="1"/>
  <c r="Z810" i="19"/>
  <c r="AT810" i="19" s="1"/>
  <c r="AR810" i="19" s="1"/>
  <c r="AQ810" i="19" s="1"/>
  <c r="Z954" i="19"/>
  <c r="AT954" i="19" s="1"/>
  <c r="AR954" i="19" s="1"/>
  <c r="AQ954" i="19" s="1"/>
  <c r="Z959" i="19"/>
  <c r="G967" i="26" s="1"/>
  <c r="Z851" i="19"/>
  <c r="AT851" i="19" s="1"/>
  <c r="AR851" i="19" s="1"/>
  <c r="B859" i="26" s="1"/>
  <c r="Z612" i="19"/>
  <c r="AT612" i="19" s="1"/>
  <c r="AR612" i="19" s="1"/>
  <c r="B620" i="26" s="1"/>
  <c r="Z602" i="19"/>
  <c r="AT602" i="19" s="1"/>
  <c r="AR602" i="19" s="1"/>
  <c r="AQ602" i="19" s="1"/>
  <c r="Z990" i="19"/>
  <c r="AT990" i="19" s="1"/>
  <c r="AR990" i="19" s="1"/>
  <c r="AQ990" i="19" s="1"/>
  <c r="Z748" i="19"/>
  <c r="AT748" i="19" s="1"/>
  <c r="AR748" i="19" s="1"/>
  <c r="AQ748" i="19" s="1"/>
  <c r="Z672" i="19"/>
  <c r="G680" i="26" s="1"/>
  <c r="Z714" i="19"/>
  <c r="G722" i="26" s="1"/>
  <c r="Z721" i="19"/>
  <c r="AT721" i="19" s="1"/>
  <c r="AR721" i="19" s="1"/>
  <c r="AQ721" i="19" s="1"/>
  <c r="Z807" i="19"/>
  <c r="AT807" i="19" s="1"/>
  <c r="AR807" i="19" s="1"/>
  <c r="B815" i="26" s="1"/>
  <c r="Z593" i="19"/>
  <c r="G601" i="26" s="1"/>
  <c r="Z787" i="19"/>
  <c r="G795" i="26" s="1"/>
  <c r="Z888" i="19"/>
  <c r="AT888" i="19" s="1"/>
  <c r="AR888" i="19" s="1"/>
  <c r="AQ888" i="19" s="1"/>
  <c r="Z710" i="19"/>
  <c r="G718" i="26" s="1"/>
  <c r="Z871" i="19"/>
  <c r="AT871" i="19" s="1"/>
  <c r="AR871" i="19" s="1"/>
  <c r="AQ871" i="19" s="1"/>
  <c r="Z883" i="19"/>
  <c r="AT883" i="19" s="1"/>
  <c r="AR883" i="19" s="1"/>
  <c r="B891" i="26" s="1"/>
  <c r="Z757" i="19"/>
  <c r="AT757" i="19" s="1"/>
  <c r="AR757" i="19" s="1"/>
  <c r="AQ757" i="19" s="1"/>
  <c r="Z697" i="19"/>
  <c r="AT697" i="19" s="1"/>
  <c r="AR697" i="19" s="1"/>
  <c r="AQ697" i="19" s="1"/>
  <c r="Z798" i="19"/>
  <c r="AT798" i="19" s="1"/>
  <c r="AR798" i="19" s="1"/>
  <c r="B806" i="26" s="1"/>
  <c r="Z925" i="19"/>
  <c r="G933" i="26" s="1"/>
  <c r="Z665" i="19"/>
  <c r="G673" i="26" s="1"/>
  <c r="Z659" i="19"/>
  <c r="AT659" i="19" s="1"/>
  <c r="AR659" i="19" s="1"/>
  <c r="AQ659" i="19" s="1"/>
  <c r="Z730" i="19"/>
  <c r="G738" i="26" s="1"/>
  <c r="Z792" i="19"/>
  <c r="AT792" i="19" s="1"/>
  <c r="AR792" i="19" s="1"/>
  <c r="B800" i="26" s="1"/>
  <c r="Z803" i="19"/>
  <c r="AT803" i="19" s="1"/>
  <c r="AR803" i="19" s="1"/>
  <c r="AQ803" i="19" s="1"/>
  <c r="Z627" i="19"/>
  <c r="G635" i="26" s="1"/>
  <c r="K888" i="23"/>
  <c r="L888" i="23" s="1"/>
  <c r="M888" i="23" s="1"/>
  <c r="A218" i="19"/>
  <c r="K780" i="23"/>
  <c r="I869" i="23"/>
  <c r="D869" i="23" s="1"/>
  <c r="K688" i="23"/>
  <c r="L688" i="23" s="1"/>
  <c r="M688" i="23" s="1"/>
  <c r="K880" i="23"/>
  <c r="L880" i="23" s="1"/>
  <c r="M880" i="23" s="1"/>
  <c r="K575" i="23"/>
  <c r="L575" i="23" s="1"/>
  <c r="M575" i="23" s="1"/>
  <c r="A867" i="19"/>
  <c r="K751" i="23"/>
  <c r="L751" i="23" s="1"/>
  <c r="M751" i="23" s="1"/>
  <c r="D903" i="23"/>
  <c r="K651" i="23"/>
  <c r="L651" i="23" s="1"/>
  <c r="M651" i="23" s="1"/>
  <c r="K930" i="23"/>
  <c r="L930" i="23" s="1"/>
  <c r="M930" i="23" s="1"/>
  <c r="K698" i="23"/>
  <c r="L698" i="23" s="1"/>
  <c r="M698" i="23" s="1"/>
  <c r="K928" i="23"/>
  <c r="L928" i="23" s="1"/>
  <c r="M928" i="23" s="1"/>
  <c r="D830" i="23"/>
  <c r="K830" i="23"/>
  <c r="L830" i="23" s="1"/>
  <c r="M830" i="23" s="1"/>
  <c r="D853" i="23"/>
  <c r="K853" i="23"/>
  <c r="L853" i="23" s="1"/>
  <c r="M853" i="23" s="1"/>
  <c r="K662" i="23"/>
  <c r="L662" i="23" s="1"/>
  <c r="M662" i="23" s="1"/>
  <c r="A273" i="19"/>
  <c r="D975" i="23"/>
  <c r="K975" i="23"/>
  <c r="K897" i="23"/>
  <c r="K712" i="23"/>
  <c r="L712" i="23" s="1"/>
  <c r="M712" i="23" s="1"/>
  <c r="D669" i="23"/>
  <c r="D966" i="23"/>
  <c r="I325" i="23"/>
  <c r="I275" i="23"/>
  <c r="K958" i="23"/>
  <c r="L958" i="23" s="1"/>
  <c r="M958" i="23" s="1"/>
  <c r="K739" i="23"/>
  <c r="L739" i="23" s="1"/>
  <c r="M739" i="23" s="1"/>
  <c r="K578" i="23"/>
  <c r="L578" i="23" s="1"/>
  <c r="M578" i="23" s="1"/>
  <c r="K936" i="23"/>
  <c r="L936" i="23" s="1"/>
  <c r="M936" i="23" s="1"/>
  <c r="K679" i="23"/>
  <c r="L679" i="23" s="1"/>
  <c r="M679" i="23" s="1"/>
  <c r="K807" i="23"/>
  <c r="L807" i="23" s="1"/>
  <c r="M807" i="23" s="1"/>
  <c r="K999" i="23"/>
  <c r="L999" i="23" s="1"/>
  <c r="M999" i="23" s="1"/>
  <c r="K983" i="23"/>
  <c r="L983" i="23" s="1"/>
  <c r="M983" i="23" s="1"/>
  <c r="K659" i="23"/>
  <c r="L659" i="23" s="1"/>
  <c r="M659" i="23" s="1"/>
  <c r="K861" i="23"/>
  <c r="L861" i="23" s="1"/>
  <c r="M861" i="23" s="1"/>
  <c r="K957" i="23"/>
  <c r="L957" i="23" s="1"/>
  <c r="M957" i="23" s="1"/>
  <c r="D726" i="23"/>
  <c r="K726" i="23"/>
  <c r="K851" i="23"/>
  <c r="L851" i="23" s="1"/>
  <c r="M851" i="23" s="1"/>
  <c r="K934" i="23"/>
  <c r="L934" i="23" s="1"/>
  <c r="M934" i="23" s="1"/>
  <c r="I447" i="23"/>
  <c r="D988" i="23"/>
  <c r="I220" i="23"/>
  <c r="I408" i="23"/>
  <c r="A988" i="19"/>
  <c r="D987" i="23"/>
  <c r="I724" i="23"/>
  <c r="D724" i="23" s="1"/>
  <c r="D788" i="23"/>
  <c r="D817" i="23"/>
  <c r="D566" i="23"/>
  <c r="I255" i="23"/>
  <c r="A257" i="19"/>
  <c r="I208" i="23"/>
  <c r="I558" i="23"/>
  <c r="D558" i="23" s="1"/>
  <c r="I846" i="23"/>
  <c r="D846" i="23" s="1"/>
  <c r="D556" i="23"/>
  <c r="D820" i="23"/>
  <c r="I471" i="23"/>
  <c r="I636" i="23"/>
  <c r="D636" i="23" s="1"/>
  <c r="I810" i="23"/>
  <c r="D810" i="23" s="1"/>
  <c r="D705" i="23"/>
  <c r="I259" i="23"/>
  <c r="I299" i="23"/>
  <c r="D865" i="23"/>
  <c r="D637" i="23"/>
  <c r="I801" i="23"/>
  <c r="D801" i="23" s="1"/>
  <c r="I837" i="23"/>
  <c r="D837" i="23" s="1"/>
  <c r="A376" i="19"/>
  <c r="I467" i="23"/>
  <c r="I674" i="23"/>
  <c r="D674" i="23" s="1"/>
  <c r="I700" i="23"/>
  <c r="D700" i="23" s="1"/>
  <c r="I816" i="23"/>
  <c r="D816" i="23" s="1"/>
  <c r="I856" i="23"/>
  <c r="D856" i="23" s="1"/>
  <c r="I632" i="23"/>
  <c r="D632" i="23" s="1"/>
  <c r="I378" i="23"/>
  <c r="I588" i="23"/>
  <c r="D588" i="23" s="1"/>
  <c r="I870" i="23"/>
  <c r="D870" i="23" s="1"/>
  <c r="I243" i="23"/>
  <c r="I947" i="23"/>
  <c r="D947" i="23" s="1"/>
  <c r="I708" i="23"/>
  <c r="D708" i="23" s="1"/>
  <c r="I703" i="23"/>
  <c r="D703" i="23" s="1"/>
  <c r="I345" i="23"/>
  <c r="A326" i="19"/>
  <c r="I203" i="23"/>
  <c r="D741" i="23"/>
  <c r="I932" i="23"/>
  <c r="D932" i="23" s="1"/>
  <c r="I519" i="23"/>
  <c r="I1001" i="23"/>
  <c r="D1001" i="23" s="1"/>
  <c r="I624" i="23"/>
  <c r="D624" i="23" s="1"/>
  <c r="I561" i="23"/>
  <c r="D561" i="23" s="1"/>
  <c r="I492" i="23"/>
  <c r="I750" i="23"/>
  <c r="D750" i="23" s="1"/>
  <c r="I418" i="23"/>
  <c r="D994" i="23"/>
  <c r="I606" i="23"/>
  <c r="D606" i="23" s="1"/>
  <c r="I701" i="23"/>
  <c r="D701" i="23" s="1"/>
  <c r="I462" i="23"/>
  <c r="I736" i="23"/>
  <c r="D736" i="23" s="1"/>
  <c r="I527" i="23"/>
  <c r="I618" i="23"/>
  <c r="D618" i="23" s="1"/>
  <c r="I497" i="23"/>
  <c r="I347" i="23"/>
  <c r="I204" i="23"/>
  <c r="I630" i="23"/>
  <c r="D630" i="23" s="1"/>
  <c r="B856" i="23"/>
  <c r="I463" i="23"/>
  <c r="I403" i="23"/>
  <c r="I833" i="23"/>
  <c r="D833" i="23" s="1"/>
  <c r="I829" i="23"/>
  <c r="D829" i="23" s="1"/>
  <c r="I494" i="23"/>
  <c r="I210" i="23"/>
  <c r="A323" i="19"/>
  <c r="I777" i="23"/>
  <c r="D777" i="23" s="1"/>
  <c r="I280" i="23"/>
  <c r="I491" i="23"/>
  <c r="I232" i="23"/>
  <c r="I555" i="23"/>
  <c r="D555" i="23" s="1"/>
  <c r="I206" i="23"/>
  <c r="I808" i="23"/>
  <c r="D808" i="23" s="1"/>
  <c r="I602" i="23"/>
  <c r="D602" i="23" s="1"/>
  <c r="I501" i="23"/>
  <c r="I795" i="23"/>
  <c r="D795" i="23" s="1"/>
  <c r="B724" i="23"/>
  <c r="B612" i="26"/>
  <c r="I396" i="23"/>
  <c r="I337" i="23"/>
  <c r="I528" i="23"/>
  <c r="I844" i="23"/>
  <c r="D844" i="23" s="1"/>
  <c r="I638" i="23"/>
  <c r="D638" i="23" s="1"/>
  <c r="I839" i="23"/>
  <c r="D839" i="23" s="1"/>
  <c r="I207" i="23"/>
  <c r="I590" i="23"/>
  <c r="D590" i="23" s="1"/>
  <c r="I864" i="23"/>
  <c r="D864" i="23" s="1"/>
  <c r="I642" i="23"/>
  <c r="D642" i="23" s="1"/>
  <c r="I445" i="23"/>
  <c r="I382" i="23"/>
  <c r="I747" i="23"/>
  <c r="D747" i="23" s="1"/>
  <c r="I500" i="23"/>
  <c r="A930" i="19"/>
  <c r="I225" i="23"/>
  <c r="D925" i="23"/>
  <c r="I990" i="23"/>
  <c r="D990" i="23" s="1"/>
  <c r="I391" i="23"/>
  <c r="I353" i="23"/>
  <c r="I959" i="23"/>
  <c r="D959" i="23" s="1"/>
  <c r="I849" i="23"/>
  <c r="D849" i="23" s="1"/>
  <c r="I924" i="23"/>
  <c r="D924" i="23" s="1"/>
  <c r="I876" i="23"/>
  <c r="D876" i="23" s="1"/>
  <c r="D680" i="23"/>
  <c r="D643" i="23"/>
  <c r="I328" i="23"/>
  <c r="D971" i="23"/>
  <c r="D597" i="23"/>
  <c r="I900" i="23"/>
  <c r="D900" i="23" s="1"/>
  <c r="D693" i="23"/>
  <c r="I819" i="23"/>
  <c r="D819" i="23" s="1"/>
  <c r="I842" i="23"/>
  <c r="D842" i="23" s="1"/>
  <c r="I333" i="23"/>
  <c r="I546" i="23"/>
  <c r="I691" i="23"/>
  <c r="D691" i="23" s="1"/>
  <c r="I215" i="23"/>
  <c r="B784" i="26"/>
  <c r="AQ616" i="19"/>
  <c r="B956" i="26"/>
  <c r="AQ698" i="19"/>
  <c r="AQ846" i="19"/>
  <c r="AQ715" i="19"/>
  <c r="AQ700" i="19"/>
  <c r="AQ834" i="19"/>
  <c r="B863" i="26"/>
  <c r="AQ754" i="19"/>
  <c r="B841" i="26"/>
  <c r="B893" i="26"/>
  <c r="AQ998" i="19"/>
  <c r="AQ643" i="19"/>
  <c r="B786" i="26"/>
  <c r="AQ979" i="19"/>
  <c r="B658" i="26"/>
  <c r="AQ950" i="19"/>
  <c r="B751" i="26"/>
  <c r="B872" i="26"/>
  <c r="AQ993" i="19"/>
  <c r="B805" i="26"/>
  <c r="B625" i="26"/>
  <c r="B704" i="26"/>
  <c r="AQ872" i="19"/>
  <c r="B974" i="26"/>
  <c r="AQ695" i="19"/>
  <c r="B565" i="26"/>
  <c r="L924" i="23"/>
  <c r="M924" i="23" s="1"/>
  <c r="L597" i="23"/>
  <c r="M597" i="23" s="1"/>
  <c r="L875" i="23"/>
  <c r="M875" i="23" s="1"/>
  <c r="L677" i="23"/>
  <c r="M677" i="23" s="1"/>
  <c r="L556" i="23"/>
  <c r="M556" i="23" s="1"/>
  <c r="L740" i="23"/>
  <c r="M740" i="23" s="1"/>
  <c r="L871" i="23"/>
  <c r="M871" i="23" s="1"/>
  <c r="L601" i="23"/>
  <c r="M601" i="23" s="1"/>
  <c r="L989" i="23"/>
  <c r="M989" i="23" s="1"/>
  <c r="L943" i="23"/>
  <c r="M943" i="23" s="1"/>
  <c r="L955" i="23"/>
  <c r="M955" i="23" s="1"/>
  <c r="L902" i="23"/>
  <c r="M902" i="23" s="1"/>
  <c r="L723" i="23"/>
  <c r="M723" i="23" s="1"/>
  <c r="L900" i="23"/>
  <c r="M900" i="23" s="1"/>
  <c r="L925" i="23"/>
  <c r="M925" i="23" s="1"/>
  <c r="L640" i="23"/>
  <c r="M640" i="23" s="1"/>
  <c r="L858" i="23"/>
  <c r="M858" i="23" s="1"/>
  <c r="L836" i="23"/>
  <c r="M836" i="23" s="1"/>
  <c r="L816" i="23"/>
  <c r="M816" i="23" s="1"/>
  <c r="L693" i="23"/>
  <c r="M693" i="23" s="1"/>
  <c r="L721" i="23"/>
  <c r="M721" i="23" s="1"/>
  <c r="L948" i="23"/>
  <c r="M948" i="23" s="1"/>
  <c r="L576" i="23"/>
  <c r="M576" i="23" s="1"/>
  <c r="L834" i="23"/>
  <c r="M834" i="23" s="1"/>
  <c r="AQ727" i="19"/>
  <c r="L638" i="23"/>
  <c r="M638" i="23" s="1"/>
  <c r="L766" i="23"/>
  <c r="M766" i="23" s="1"/>
  <c r="L987" i="23"/>
  <c r="M987" i="23" s="1"/>
  <c r="L622" i="23"/>
  <c r="M622" i="23" s="1"/>
  <c r="L761" i="23"/>
  <c r="M761" i="23" s="1"/>
  <c r="L711" i="23"/>
  <c r="M711" i="23" s="1"/>
  <c r="L706" i="23"/>
  <c r="M706" i="23" s="1"/>
  <c r="L743" i="23"/>
  <c r="M743" i="23" s="1"/>
  <c r="L571" i="23"/>
  <c r="M571" i="23" s="1"/>
  <c r="L652" i="23"/>
  <c r="M652" i="23" s="1"/>
  <c r="L890" i="23"/>
  <c r="M890" i="23" s="1"/>
  <c r="L717" i="23"/>
  <c r="M717" i="23" s="1"/>
  <c r="L747" i="23"/>
  <c r="M747" i="23" s="1"/>
  <c r="L817" i="23"/>
  <c r="M817" i="23" s="1"/>
  <c r="L663" i="23"/>
  <c r="M663" i="23" s="1"/>
  <c r="L577" i="23"/>
  <c r="M577" i="23" s="1"/>
  <c r="L859" i="23"/>
  <c r="M859" i="23" s="1"/>
  <c r="L554" i="23"/>
  <c r="M554" i="23" s="1"/>
  <c r="L794" i="23"/>
  <c r="M794" i="23" s="1"/>
  <c r="L570" i="23"/>
  <c r="M570" i="23" s="1"/>
  <c r="L695" i="23"/>
  <c r="M695" i="23" s="1"/>
  <c r="L655" i="23"/>
  <c r="M655" i="23" s="1"/>
  <c r="L736" i="23"/>
  <c r="M736" i="23" s="1"/>
  <c r="L765" i="23"/>
  <c r="M765" i="23" s="1"/>
  <c r="L793" i="23"/>
  <c r="M793" i="23" s="1"/>
  <c r="L657" i="23"/>
  <c r="M657" i="23" s="1"/>
  <c r="L741" i="23"/>
  <c r="M741" i="23" s="1"/>
  <c r="L820" i="23"/>
  <c r="M820" i="23" s="1"/>
  <c r="L618" i="23"/>
  <c r="M618" i="23" s="1"/>
  <c r="L923" i="23"/>
  <c r="M923" i="23" s="1"/>
  <c r="L641" i="23"/>
  <c r="M641" i="23" s="1"/>
  <c r="L675" i="23"/>
  <c r="M675" i="23" s="1"/>
  <c r="L709" i="23"/>
  <c r="M709" i="23" s="1"/>
  <c r="L926" i="23"/>
  <c r="M926" i="23" s="1"/>
  <c r="L722" i="23"/>
  <c r="M722" i="23" s="1"/>
  <c r="L867" i="23"/>
  <c r="M867" i="23" s="1"/>
  <c r="L557" i="23"/>
  <c r="M557" i="23" s="1"/>
  <c r="L918" i="23"/>
  <c r="M918" i="23" s="1"/>
  <c r="L586" i="23"/>
  <c r="M586" i="23" s="1"/>
  <c r="L893" i="23"/>
  <c r="M893" i="23" s="1"/>
  <c r="L956" i="23"/>
  <c r="M956" i="23" s="1"/>
  <c r="L690" i="23"/>
  <c r="M690" i="23" s="1"/>
  <c r="L669" i="23"/>
  <c r="M669" i="23" s="1"/>
  <c r="L872" i="23"/>
  <c r="M872" i="23" s="1"/>
  <c r="L946" i="23"/>
  <c r="M946" i="23" s="1"/>
  <c r="L730" i="23"/>
  <c r="M730" i="23" s="1"/>
  <c r="L654" i="23"/>
  <c r="M654" i="23" s="1"/>
  <c r="L839" i="23"/>
  <c r="M839" i="23" s="1"/>
  <c r="L986" i="23"/>
  <c r="M986" i="23" s="1"/>
  <c r="AQ821" i="19"/>
  <c r="L772" i="23"/>
  <c r="M772" i="23" s="1"/>
  <c r="L670" i="23"/>
  <c r="M670" i="23" s="1"/>
  <c r="L594" i="23"/>
  <c r="M594" i="23" s="1"/>
  <c r="L760" i="23"/>
  <c r="M760" i="23" s="1"/>
  <c r="L599" i="23"/>
  <c r="M599" i="23" s="1"/>
  <c r="L600" i="23"/>
  <c r="M600" i="23" s="1"/>
  <c r="L780" i="23"/>
  <c r="M780" i="23" s="1"/>
  <c r="L595" i="23"/>
  <c r="M595" i="23" s="1"/>
  <c r="L753" i="23"/>
  <c r="M753" i="23" s="1"/>
  <c r="L676" i="23"/>
  <c r="M676" i="23" s="1"/>
  <c r="L581" i="23"/>
  <c r="M581" i="23" s="1"/>
  <c r="L895" i="23"/>
  <c r="M895" i="23" s="1"/>
  <c r="L942" i="23"/>
  <c r="M942" i="23" s="1"/>
  <c r="L559" i="23"/>
  <c r="M559" i="23" s="1"/>
  <c r="L813" i="23"/>
  <c r="M813" i="23" s="1"/>
  <c r="L580" i="23"/>
  <c r="M580" i="23" s="1"/>
  <c r="L565" i="23"/>
  <c r="M565" i="23" s="1"/>
  <c r="L887" i="23"/>
  <c r="M887" i="23" s="1"/>
  <c r="L823" i="23"/>
  <c r="M823" i="23" s="1"/>
  <c r="L975" i="23"/>
  <c r="M975" i="23" s="1"/>
  <c r="L988" i="23"/>
  <c r="M988" i="23" s="1"/>
  <c r="L896" i="23"/>
  <c r="M896" i="23" s="1"/>
  <c r="L658" i="23"/>
  <c r="M658" i="23" s="1"/>
  <c r="L785" i="23"/>
  <c r="M785" i="23" s="1"/>
  <c r="L825" i="23"/>
  <c r="M825" i="23" s="1"/>
  <c r="L562" i="23"/>
  <c r="M562" i="23" s="1"/>
  <c r="L781" i="23"/>
  <c r="M781" i="23" s="1"/>
  <c r="L666" i="23"/>
  <c r="M666" i="23" s="1"/>
  <c r="L784" i="23"/>
  <c r="M784" i="23" s="1"/>
  <c r="L963" i="23"/>
  <c r="M963" i="23" s="1"/>
  <c r="L967" i="23"/>
  <c r="M967" i="23" s="1"/>
  <c r="L714" i="23"/>
  <c r="M714" i="23" s="1"/>
  <c r="B917" i="26"/>
  <c r="L826" i="23"/>
  <c r="M826" i="23" s="1"/>
  <c r="L877" i="23"/>
  <c r="M877" i="23" s="1"/>
  <c r="L633" i="23"/>
  <c r="M633" i="23" s="1"/>
  <c r="L647" i="23"/>
  <c r="M647" i="23" s="1"/>
  <c r="L897" i="23"/>
  <c r="M897" i="23" s="1"/>
  <c r="L694" i="23"/>
  <c r="M694" i="23" s="1"/>
  <c r="L990" i="23"/>
  <c r="M990" i="23" s="1"/>
  <c r="L994" i="23"/>
  <c r="M994" i="23" s="1"/>
  <c r="L977" i="23"/>
  <c r="M977" i="23" s="1"/>
  <c r="L840" i="23"/>
  <c r="M840" i="23" s="1"/>
  <c r="L797" i="23"/>
  <c r="M797" i="23" s="1"/>
  <c r="L587" i="23"/>
  <c r="M587" i="23" s="1"/>
  <c r="L763" i="23"/>
  <c r="M763" i="23" s="1"/>
  <c r="L905" i="23"/>
  <c r="M905" i="23" s="1"/>
  <c r="L952" i="23"/>
  <c r="M952" i="23" s="1"/>
  <c r="L929" i="23"/>
  <c r="M929" i="23" s="1"/>
  <c r="L635" i="23"/>
  <c r="M635" i="23" s="1"/>
  <c r="L971" i="23"/>
  <c r="M971" i="23" s="1"/>
  <c r="L728" i="23"/>
  <c r="M728" i="23" s="1"/>
  <c r="L787" i="23"/>
  <c r="M787" i="23" s="1"/>
  <c r="L832" i="23"/>
  <c r="M832" i="23" s="1"/>
  <c r="L625" i="23"/>
  <c r="M625" i="23" s="1"/>
  <c r="L742" i="23"/>
  <c r="M742" i="23" s="1"/>
  <c r="L643" i="23"/>
  <c r="M643" i="23" s="1"/>
  <c r="L596" i="23"/>
  <c r="M596" i="23" s="1"/>
  <c r="L973" i="23"/>
  <c r="M973" i="23" s="1"/>
  <c r="L613" i="23"/>
  <c r="M613" i="23" s="1"/>
  <c r="L984" i="23"/>
  <c r="M984" i="23" s="1"/>
  <c r="L745" i="23"/>
  <c r="M745" i="23" s="1"/>
  <c r="L646" i="23"/>
  <c r="M646" i="23" s="1"/>
  <c r="L914" i="23"/>
  <c r="M914" i="23" s="1"/>
  <c r="L828" i="23"/>
  <c r="M828" i="23" s="1"/>
  <c r="L803" i="23"/>
  <c r="M803" i="23" s="1"/>
  <c r="L996" i="23"/>
  <c r="M996" i="23" s="1"/>
  <c r="L773" i="23"/>
  <c r="M773" i="23" s="1"/>
  <c r="L991" i="23"/>
  <c r="M991" i="23" s="1"/>
  <c r="L589" i="23"/>
  <c r="M589" i="23" s="1"/>
  <c r="L661" i="23"/>
  <c r="M661" i="23" s="1"/>
  <c r="L806" i="23"/>
  <c r="M806" i="23" s="1"/>
  <c r="L908" i="23"/>
  <c r="M908" i="23" s="1"/>
  <c r="L920" i="23"/>
  <c r="M920" i="23" s="1"/>
  <c r="L567" i="23"/>
  <c r="M567" i="23" s="1"/>
  <c r="L865" i="23"/>
  <c r="M865" i="23" s="1"/>
  <c r="L864" i="23"/>
  <c r="M864" i="23" s="1"/>
  <c r="L727" i="23"/>
  <c r="M727" i="23" s="1"/>
  <c r="L735" i="23"/>
  <c r="M735" i="23" s="1"/>
  <c r="L863" i="23"/>
  <c r="M863" i="23" s="1"/>
  <c r="L841" i="23"/>
  <c r="M841" i="23" s="1"/>
  <c r="L582" i="23"/>
  <c r="M582" i="23" s="1"/>
  <c r="L644" i="23"/>
  <c r="M644" i="23" s="1"/>
  <c r="L716" i="23"/>
  <c r="M716" i="23" s="1"/>
  <c r="L856" i="23"/>
  <c r="M856" i="23" s="1"/>
  <c r="L634" i="23"/>
  <c r="M634" i="23" s="1"/>
  <c r="L617" i="23"/>
  <c r="M617" i="23" s="1"/>
  <c r="L800" i="23"/>
  <c r="M800" i="23" s="1"/>
  <c r="L972" i="23"/>
  <c r="M972" i="23" s="1"/>
  <c r="L757" i="23"/>
  <c r="M757" i="23" s="1"/>
  <c r="L614" i="23"/>
  <c r="M614" i="23" s="1"/>
  <c r="L558" i="23"/>
  <c r="M558" i="23" s="1"/>
  <c r="L919" i="23"/>
  <c r="M919" i="23" s="1"/>
  <c r="L911" i="23"/>
  <c r="M911" i="23" s="1"/>
  <c r="L845" i="23"/>
  <c r="M845" i="23" s="1"/>
  <c r="L796" i="23"/>
  <c r="M796" i="23" s="1"/>
  <c r="L555" i="23"/>
  <c r="M555" i="23" s="1"/>
  <c r="L883" i="23"/>
  <c r="M883" i="23" s="1"/>
  <c r="L664" i="23"/>
  <c r="M664" i="23" s="1"/>
  <c r="L937" i="23"/>
  <c r="M937" i="23" s="1"/>
  <c r="L876" i="23"/>
  <c r="M876" i="23" s="1"/>
  <c r="L758" i="23"/>
  <c r="M758" i="23" s="1"/>
  <c r="L899" i="23"/>
  <c r="M899" i="23" s="1"/>
  <c r="L691" i="23"/>
  <c r="M691" i="23" s="1"/>
  <c r="L615" i="23"/>
  <c r="M615" i="23" s="1"/>
  <c r="L681" i="23"/>
  <c r="M681" i="23" s="1"/>
  <c r="L964" i="23"/>
  <c r="M964" i="23" s="1"/>
  <c r="L940" i="23"/>
  <c r="M940" i="23" s="1"/>
  <c r="L777" i="23"/>
  <c r="M777" i="23" s="1"/>
  <c r="L965" i="23"/>
  <c r="M965" i="23" s="1"/>
  <c r="L687" i="23"/>
  <c r="M687" i="23" s="1"/>
  <c r="L685" i="23"/>
  <c r="M685" i="23" s="1"/>
  <c r="L848" i="23"/>
  <c r="M848" i="23" s="1"/>
  <c r="L645" i="23"/>
  <c r="M645" i="23" s="1"/>
  <c r="L682" i="23"/>
  <c r="M682" i="23" s="1"/>
  <c r="L974" i="23"/>
  <c r="M974" i="23" s="1"/>
  <c r="L566" i="23"/>
  <c r="M566" i="23" s="1"/>
  <c r="L619" i="23"/>
  <c r="M619" i="23" s="1"/>
  <c r="L637" i="23"/>
  <c r="M637" i="23" s="1"/>
  <c r="L702" i="23"/>
  <c r="M702" i="23" s="1"/>
  <c r="L843" i="23"/>
  <c r="M843" i="23" s="1"/>
  <c r="L737" i="23"/>
  <c r="M737" i="23" s="1"/>
  <c r="L754" i="23"/>
  <c r="M754" i="23" s="1"/>
  <c r="L941" i="23"/>
  <c r="M941" i="23" s="1"/>
  <c r="L627" i="23"/>
  <c r="M627" i="23" s="1"/>
  <c r="L572" i="23"/>
  <c r="M572" i="23" s="1"/>
  <c r="L814" i="23"/>
  <c r="M814" i="23" s="1"/>
  <c r="L649" i="23"/>
  <c r="M649" i="23" s="1"/>
  <c r="L673" i="23"/>
  <c r="M673" i="23" s="1"/>
  <c r="L704" i="23"/>
  <c r="M704" i="23" s="1"/>
  <c r="L931" i="23"/>
  <c r="M931" i="23" s="1"/>
  <c r="L881" i="23"/>
  <c r="M881" i="23" s="1"/>
  <c r="L801" i="23"/>
  <c r="M801" i="23" s="1"/>
  <c r="L771" i="23"/>
  <c r="M771" i="23" s="1"/>
  <c r="L969" i="23"/>
  <c r="M969" i="23" s="1"/>
  <c r="L630" i="23"/>
  <c r="M630" i="23" s="1"/>
  <c r="L850" i="23"/>
  <c r="M850" i="23" s="1"/>
  <c r="L718" i="23"/>
  <c r="M718" i="23" s="1"/>
  <c r="L884" i="23"/>
  <c r="M884" i="23" s="1"/>
  <c r="L568" i="23"/>
  <c r="M568" i="23" s="1"/>
  <c r="L979" i="23"/>
  <c r="M979" i="23" s="1"/>
  <c r="L878" i="23"/>
  <c r="M878" i="23" s="1"/>
  <c r="L912" i="23"/>
  <c r="M912" i="23" s="1"/>
  <c r="L769" i="23"/>
  <c r="M769" i="23" s="1"/>
  <c r="L844" i="23"/>
  <c r="M844" i="23" s="1"/>
  <c r="L831" i="23"/>
  <c r="M831" i="23" s="1"/>
  <c r="L583" i="23"/>
  <c r="M583" i="23" s="1"/>
  <c r="L598" i="23"/>
  <c r="M598" i="23" s="1"/>
  <c r="L684" i="23"/>
  <c r="M684" i="23" s="1"/>
  <c r="L715" i="23"/>
  <c r="M715" i="23" s="1"/>
  <c r="L829" i="23"/>
  <c r="M829" i="23" s="1"/>
  <c r="L949" i="23"/>
  <c r="M949" i="23" s="1"/>
  <c r="L631" i="23"/>
  <c r="M631" i="23" s="1"/>
  <c r="L762" i="23"/>
  <c r="M762" i="23" s="1"/>
  <c r="L591" i="23"/>
  <c r="M591" i="23" s="1"/>
  <c r="L907" i="23"/>
  <c r="M907" i="23" s="1"/>
  <c r="L603" i="23"/>
  <c r="M603" i="23" s="1"/>
  <c r="L866" i="23"/>
  <c r="M866" i="23" s="1"/>
  <c r="L799" i="23"/>
  <c r="M799" i="23" s="1"/>
  <c r="L733" i="23"/>
  <c r="M733" i="23" s="1"/>
  <c r="L805" i="23"/>
  <c r="M805" i="23" s="1"/>
  <c r="L837" i="23"/>
  <c r="M837" i="23" s="1"/>
  <c r="L795" i="23"/>
  <c r="M795" i="23" s="1"/>
  <c r="AQ709" i="19"/>
  <c r="L748" i="23"/>
  <c r="M748" i="23" s="1"/>
  <c r="L705" i="23"/>
  <c r="M705" i="23" s="1"/>
  <c r="L700" i="23"/>
  <c r="M700" i="23" s="1"/>
  <c r="L818" i="23"/>
  <c r="M818" i="23" s="1"/>
  <c r="L639" i="23"/>
  <c r="M639" i="23" s="1"/>
  <c r="L966" i="23"/>
  <c r="M966" i="23" s="1"/>
  <c r="L671" i="23"/>
  <c r="M671" i="23" s="1"/>
  <c r="L726" i="23"/>
  <c r="M726" i="23" s="1"/>
  <c r="L961" i="23"/>
  <c r="M961" i="23" s="1"/>
  <c r="L607" i="23"/>
  <c r="M607" i="23" s="1"/>
  <c r="L824" i="23"/>
  <c r="M824" i="23" s="1"/>
  <c r="L960" i="23"/>
  <c r="M960" i="23" s="1"/>
  <c r="L729" i="23"/>
  <c r="M729" i="23" s="1"/>
  <c r="L950" i="23"/>
  <c r="M950" i="23" s="1"/>
  <c r="L734" i="23"/>
  <c r="M734" i="23" s="1"/>
  <c r="L775" i="23"/>
  <c r="M775" i="23" s="1"/>
  <c r="L738" i="23"/>
  <c r="M738" i="23" s="1"/>
  <c r="L703" i="23"/>
  <c r="M703" i="23" s="1"/>
  <c r="L921" i="23"/>
  <c r="M921" i="23" s="1"/>
  <c r="L862" i="23"/>
  <c r="M862" i="23" s="1"/>
  <c r="L606" i="23"/>
  <c r="M606" i="23" s="1"/>
  <c r="L767" i="23"/>
  <c r="M767" i="23" s="1"/>
  <c r="L668" i="23"/>
  <c r="M668" i="23" s="1"/>
  <c r="L564" i="23"/>
  <c r="M564" i="23" s="1"/>
  <c r="L808" i="23"/>
  <c r="M808" i="23" s="1"/>
  <c r="L935" i="23"/>
  <c r="M935" i="23" s="1"/>
  <c r="L770" i="23"/>
  <c r="M770" i="23" s="1"/>
  <c r="L750" i="23"/>
  <c r="M750" i="23" s="1"/>
  <c r="L959" i="23"/>
  <c r="M959" i="23" s="1"/>
  <c r="L610" i="23"/>
  <c r="M610" i="23" s="1"/>
  <c r="L860" i="23"/>
  <c r="M860" i="23" s="1"/>
  <c r="L788" i="23"/>
  <c r="M788" i="23" s="1"/>
  <c r="L968" i="23"/>
  <c r="M968" i="23" s="1"/>
  <c r="L945" i="23"/>
  <c r="M945" i="23" s="1"/>
  <c r="L602" i="23"/>
  <c r="M602" i="23" s="1"/>
  <c r="L852" i="23"/>
  <c r="M852" i="23" s="1"/>
  <c r="L980" i="23"/>
  <c r="M980" i="23" s="1"/>
  <c r="L683" i="23"/>
  <c r="M683" i="23" s="1"/>
  <c r="L970" i="23"/>
  <c r="M970" i="23" s="1"/>
  <c r="AQ860" i="19"/>
  <c r="AQ972" i="19"/>
  <c r="B606" i="26"/>
  <c r="AQ707" i="19"/>
  <c r="B802" i="26"/>
  <c r="AQ997" i="19"/>
  <c r="B628" i="26"/>
  <c r="B937" i="26"/>
  <c r="AQ818" i="19"/>
  <c r="B807" i="26"/>
  <c r="AQ573" i="19"/>
  <c r="AQ611" i="19"/>
  <c r="D783" i="26"/>
  <c r="F783" i="26"/>
  <c r="D834" i="26"/>
  <c r="F834" i="26"/>
  <c r="D749" i="26"/>
  <c r="F749" i="26"/>
  <c r="D888" i="26"/>
  <c r="F888" i="26"/>
  <c r="AQ842" i="19"/>
  <c r="AQ816" i="19"/>
  <c r="AQ758" i="19"/>
  <c r="AQ956" i="19"/>
  <c r="AQ861" i="19"/>
  <c r="AQ915" i="19"/>
  <c r="AQ556" i="19"/>
  <c r="B714" i="26"/>
  <c r="AQ724" i="19"/>
  <c r="AQ584" i="19"/>
  <c r="B694" i="26"/>
  <c r="B876" i="26"/>
  <c r="AQ854" i="19"/>
  <c r="AQ608" i="19"/>
  <c r="AQ705" i="19"/>
  <c r="B615" i="26"/>
  <c r="B849" i="26"/>
  <c r="B776" i="26"/>
  <c r="B696" i="26"/>
  <c r="B905" i="26"/>
  <c r="AQ691" i="19"/>
  <c r="AQ664" i="19"/>
  <c r="B720" i="26"/>
  <c r="B702" i="26"/>
  <c r="B875" i="26"/>
  <c r="B908" i="26"/>
  <c r="B595" i="26"/>
  <c r="B982" i="26"/>
  <c r="AT844" i="19"/>
  <c r="AR844" i="19" s="1"/>
  <c r="AQ844" i="19" s="1"/>
  <c r="G852" i="26"/>
  <c r="AT609" i="19"/>
  <c r="AR609" i="19" s="1"/>
  <c r="B617" i="26" s="1"/>
  <c r="G617" i="26"/>
  <c r="G965" i="26"/>
  <c r="AT940" i="19"/>
  <c r="AR940" i="19" s="1"/>
  <c r="B948" i="26" s="1"/>
  <c r="G948" i="26"/>
  <c r="AT916" i="19"/>
  <c r="AR916" i="19" s="1"/>
  <c r="AQ916" i="19" s="1"/>
  <c r="G924" i="26"/>
  <c r="AT600" i="19"/>
  <c r="AR600" i="19" s="1"/>
  <c r="AQ600" i="19" s="1"/>
  <c r="AT903" i="19"/>
  <c r="AR903" i="19" s="1"/>
  <c r="B911" i="26" s="1"/>
  <c r="G911" i="26"/>
  <c r="AT1000" i="19"/>
  <c r="AR1000" i="19" s="1"/>
  <c r="AQ1000" i="19" s="1"/>
  <c r="G1008" i="26"/>
  <c r="AT968" i="19"/>
  <c r="AR968" i="19" s="1"/>
  <c r="AQ968" i="19" s="1"/>
  <c r="G976" i="26"/>
  <c r="AT568" i="19"/>
  <c r="AR568" i="19" s="1"/>
  <c r="AQ568" i="19" s="1"/>
  <c r="G576" i="26"/>
  <c r="AT975" i="19"/>
  <c r="AR975" i="19" s="1"/>
  <c r="AQ975" i="19" s="1"/>
  <c r="G983" i="26"/>
  <c r="AT741" i="19"/>
  <c r="AR741" i="19" s="1"/>
  <c r="AQ741" i="19" s="1"/>
  <c r="G749" i="26"/>
  <c r="AT684" i="19"/>
  <c r="AR684" i="19" s="1"/>
  <c r="AQ684" i="19" s="1"/>
  <c r="G692" i="26"/>
  <c r="AT718" i="19"/>
  <c r="AR718" i="19" s="1"/>
  <c r="B726" i="26" s="1"/>
  <c r="G726" i="26"/>
  <c r="AT769" i="19"/>
  <c r="AR769" i="19" s="1"/>
  <c r="AQ769" i="19" s="1"/>
  <c r="G777" i="26"/>
  <c r="AT679" i="19"/>
  <c r="AR679" i="19" s="1"/>
  <c r="AQ679" i="19" s="1"/>
  <c r="G687" i="26"/>
  <c r="B633" i="26"/>
  <c r="B887" i="26"/>
  <c r="B681" i="26"/>
  <c r="B822" i="26"/>
  <c r="AT987" i="19"/>
  <c r="AR987" i="19" s="1"/>
  <c r="B995" i="26" s="1"/>
  <c r="G995" i="26"/>
  <c r="AT790" i="19"/>
  <c r="AR790" i="19" s="1"/>
  <c r="B798" i="26" s="1"/>
  <c r="G798" i="26"/>
  <c r="G891" i="26"/>
  <c r="AT870" i="19"/>
  <c r="AR870" i="19" s="1"/>
  <c r="AQ870" i="19" s="1"/>
  <c r="G878" i="26"/>
  <c r="AT839" i="19"/>
  <c r="AR839" i="19" s="1"/>
  <c r="AQ839" i="19" s="1"/>
  <c r="AT890" i="19"/>
  <c r="AR890" i="19" s="1"/>
  <c r="B898" i="26" s="1"/>
  <c r="G898" i="26"/>
  <c r="AT962" i="19"/>
  <c r="AR962" i="19" s="1"/>
  <c r="AQ962" i="19" s="1"/>
  <c r="G970" i="26"/>
  <c r="B928" i="26"/>
  <c r="B916" i="26"/>
  <c r="AT826" i="19"/>
  <c r="AR826" i="19" s="1"/>
  <c r="AQ826" i="19" s="1"/>
  <c r="G834" i="26"/>
  <c r="AT658" i="19"/>
  <c r="AR658" i="19" s="1"/>
  <c r="AQ658" i="19" s="1"/>
  <c r="G666" i="26"/>
  <c r="AT628" i="19"/>
  <c r="AR628" i="19" s="1"/>
  <c r="AQ628" i="19" s="1"/>
  <c r="G636" i="26"/>
  <c r="AT623" i="19"/>
  <c r="AR623" i="19" s="1"/>
  <c r="AQ623" i="19" s="1"/>
  <c r="G631" i="26"/>
  <c r="AT991" i="19"/>
  <c r="AR991" i="19" s="1"/>
  <c r="AQ991" i="19" s="1"/>
  <c r="G999" i="26"/>
  <c r="AT574" i="19"/>
  <c r="AR574" i="19" s="1"/>
  <c r="AQ574" i="19" s="1"/>
  <c r="G582" i="26"/>
  <c r="B969" i="26"/>
  <c r="B605" i="26"/>
  <c r="B750" i="26"/>
  <c r="AT670" i="19"/>
  <c r="AR670" i="19" s="1"/>
  <c r="AQ670" i="19" s="1"/>
  <c r="G678" i="26"/>
  <c r="AT562" i="19"/>
  <c r="AR562" i="19" s="1"/>
  <c r="B570" i="26" s="1"/>
  <c r="G570" i="26"/>
  <c r="AT676" i="19"/>
  <c r="AR676" i="19" s="1"/>
  <c r="B684" i="26" s="1"/>
  <c r="G684" i="26"/>
  <c r="AT755" i="19"/>
  <c r="AR755" i="19" s="1"/>
  <c r="AQ755" i="19" s="1"/>
  <c r="G763" i="26"/>
  <c r="AT827" i="19"/>
  <c r="AR827" i="19" s="1"/>
  <c r="AQ827" i="19" s="1"/>
  <c r="G835" i="26"/>
  <c r="B607" i="26"/>
  <c r="B851" i="26"/>
  <c r="B712" i="26"/>
  <c r="B683" i="26"/>
  <c r="B660" i="26"/>
  <c r="B663" i="26"/>
  <c r="AT592" i="19"/>
  <c r="AR592" i="19" s="1"/>
  <c r="AQ592" i="19" s="1"/>
  <c r="G600" i="26"/>
  <c r="AT775" i="19"/>
  <c r="AR775" i="19" s="1"/>
  <c r="AQ775" i="19" s="1"/>
  <c r="G783" i="26"/>
  <c r="AT703" i="19"/>
  <c r="AR703" i="19" s="1"/>
  <c r="B711" i="26" s="1"/>
  <c r="AT560" i="19"/>
  <c r="AR560" i="19" s="1"/>
  <c r="B568" i="26" s="1"/>
  <c r="G568" i="26"/>
  <c r="AT766" i="19"/>
  <c r="AR766" i="19" s="1"/>
  <c r="AQ766" i="19" s="1"/>
  <c r="G774" i="26"/>
  <c r="AT880" i="19"/>
  <c r="AR880" i="19" s="1"/>
  <c r="AQ880" i="19" s="1"/>
  <c r="G888" i="26"/>
  <c r="B877" i="26"/>
  <c r="B881" i="26"/>
  <c r="AT936" i="19"/>
  <c r="AR936" i="19" s="1"/>
  <c r="AQ936" i="19" s="1"/>
  <c r="G944" i="26"/>
  <c r="AT781" i="19"/>
  <c r="AR781" i="19" s="1"/>
  <c r="AQ781" i="19" s="1"/>
  <c r="G789" i="26"/>
  <c r="AT836" i="19"/>
  <c r="AR836" i="19" s="1"/>
  <c r="B844" i="26" s="1"/>
  <c r="G844" i="26"/>
  <c r="AT952" i="19"/>
  <c r="AR952" i="19" s="1"/>
  <c r="B960" i="26" s="1"/>
  <c r="G960" i="26"/>
  <c r="B959" i="26"/>
  <c r="B884" i="26"/>
  <c r="AT800" i="19"/>
  <c r="AR800" i="19" s="1"/>
  <c r="AQ800" i="19" s="1"/>
  <c r="G808" i="26"/>
  <c r="AT938" i="19"/>
  <c r="AR938" i="19" s="1"/>
  <c r="B946" i="26" s="1"/>
  <c r="G946" i="26"/>
  <c r="AT980" i="19"/>
  <c r="AR980" i="19" s="1"/>
  <c r="AQ980" i="19" s="1"/>
  <c r="G988" i="26"/>
  <c r="AT964" i="19"/>
  <c r="AR964" i="19" s="1"/>
  <c r="AQ964" i="19" s="1"/>
  <c r="G972" i="26"/>
  <c r="B856" i="26"/>
  <c r="B1007" i="26"/>
  <c r="B993" i="26"/>
  <c r="B994" i="26"/>
  <c r="B992" i="26"/>
  <c r="B746" i="26"/>
  <c r="AT808" i="19"/>
  <c r="AR808" i="19" s="1"/>
  <c r="AQ808" i="19" s="1"/>
  <c r="G816" i="26"/>
  <c r="AT856" i="19"/>
  <c r="AR856" i="19" s="1"/>
  <c r="AQ856" i="19" s="1"/>
  <c r="G864" i="26"/>
  <c r="AS643" i="19"/>
  <c r="C651" i="26"/>
  <c r="AS864" i="19"/>
  <c r="C872" i="26"/>
  <c r="AS686" i="19"/>
  <c r="C694" i="26"/>
  <c r="AS805" i="19"/>
  <c r="C813" i="26"/>
  <c r="AS617" i="19"/>
  <c r="C625" i="26"/>
  <c r="AS890" i="19"/>
  <c r="C898" i="26"/>
  <c r="AS608" i="19"/>
  <c r="C616" i="26"/>
  <c r="AS740" i="19"/>
  <c r="C748" i="26"/>
  <c r="AS630" i="19"/>
  <c r="C638" i="26"/>
  <c r="AS991" i="19"/>
  <c r="C999" i="26"/>
  <c r="AS609" i="19"/>
  <c r="C617" i="26"/>
  <c r="AS754" i="19"/>
  <c r="C762" i="26"/>
  <c r="AS855" i="19"/>
  <c r="C863" i="26"/>
  <c r="AS804" i="19"/>
  <c r="C812" i="26"/>
  <c r="AS837" i="19"/>
  <c r="C845" i="26"/>
  <c r="AS634" i="19"/>
  <c r="C642" i="26"/>
  <c r="AS652" i="19"/>
  <c r="C660" i="26"/>
  <c r="AS738" i="19"/>
  <c r="C746" i="26"/>
  <c r="AS816" i="19"/>
  <c r="C824" i="26"/>
  <c r="AS794" i="19"/>
  <c r="C802" i="26"/>
  <c r="AS818" i="19"/>
  <c r="C826" i="26"/>
  <c r="AS768" i="19"/>
  <c r="C776" i="26"/>
  <c r="AS903" i="19"/>
  <c r="C911" i="26"/>
  <c r="AS628" i="19"/>
  <c r="C636" i="26"/>
  <c r="AS622" i="19"/>
  <c r="C630" i="26"/>
  <c r="AS856" i="19"/>
  <c r="C864" i="26"/>
  <c r="AS980" i="19"/>
  <c r="C988" i="26"/>
  <c r="AS688" i="19"/>
  <c r="C696" i="26"/>
  <c r="AS766" i="19"/>
  <c r="C774" i="26"/>
  <c r="AS778" i="19"/>
  <c r="C786" i="26"/>
  <c r="AS884" i="19"/>
  <c r="C892" i="26"/>
  <c r="AS920" i="19"/>
  <c r="C928" i="26"/>
  <c r="AS722" i="19"/>
  <c r="C730" i="26"/>
  <c r="AS988" i="19"/>
  <c r="C996" i="26"/>
  <c r="AS848" i="19"/>
  <c r="C856" i="26"/>
  <c r="AS700" i="19"/>
  <c r="C708" i="26"/>
  <c r="AS915" i="19"/>
  <c r="C923" i="26"/>
  <c r="AS776" i="19"/>
  <c r="C784" i="26"/>
  <c r="AS854" i="19"/>
  <c r="C862" i="26"/>
  <c r="AS556" i="19"/>
  <c r="C564" i="26"/>
  <c r="AS975" i="19"/>
  <c r="C983" i="26"/>
  <c r="AS620" i="19"/>
  <c r="C628" i="26"/>
  <c r="AS900" i="19"/>
  <c r="C908" i="26"/>
  <c r="AS713" i="19"/>
  <c r="C721" i="26"/>
  <c r="AS921" i="19"/>
  <c r="C929" i="26"/>
  <c r="AS650" i="19"/>
  <c r="C658" i="26"/>
  <c r="AS743" i="19"/>
  <c r="C751" i="26"/>
  <c r="AS868" i="19"/>
  <c r="C876" i="26"/>
  <c r="AS952" i="19"/>
  <c r="C960" i="26"/>
  <c r="AS616" i="19"/>
  <c r="C624" i="26"/>
  <c r="AS879" i="19"/>
  <c r="C887" i="26"/>
  <c r="AS574" i="19"/>
  <c r="C582" i="26"/>
  <c r="AS926" i="19"/>
  <c r="C934" i="26"/>
  <c r="AS829" i="19"/>
  <c r="C837" i="26"/>
  <c r="AS727" i="19"/>
  <c r="C735" i="26"/>
  <c r="AS587" i="19"/>
  <c r="C595" i="26"/>
  <c r="AS557" i="19"/>
  <c r="C565" i="26"/>
  <c r="AS966" i="19"/>
  <c r="C974" i="26"/>
  <c r="AS598" i="19"/>
  <c r="C606" i="26"/>
  <c r="AS961" i="19"/>
  <c r="C969" i="26"/>
  <c r="AS825" i="19"/>
  <c r="C833" i="26"/>
  <c r="AS704" i="19"/>
  <c r="C712" i="26"/>
  <c r="AS976" i="19"/>
  <c r="C984" i="26"/>
  <c r="AS758" i="19"/>
  <c r="C766" i="26"/>
  <c r="AS940" i="19"/>
  <c r="C948" i="26"/>
  <c r="AS916" i="19"/>
  <c r="C924" i="26"/>
  <c r="AS670" i="19"/>
  <c r="C678" i="26"/>
  <c r="AS998" i="19"/>
  <c r="C1006" i="26"/>
  <c r="AS696" i="19"/>
  <c r="C704" i="26"/>
  <c r="AS956" i="19"/>
  <c r="C964" i="26"/>
  <c r="AS695" i="19"/>
  <c r="C703" i="26"/>
  <c r="AS836" i="19"/>
  <c r="C844" i="26"/>
  <c r="AS712" i="19"/>
  <c r="C720" i="26"/>
  <c r="AS962" i="19"/>
  <c r="C970" i="26"/>
  <c r="AS577" i="19"/>
  <c r="C585" i="26"/>
  <c r="AS873" i="19"/>
  <c r="C881" i="26"/>
  <c r="AS876" i="19"/>
  <c r="C884" i="26"/>
  <c r="AS799" i="19"/>
  <c r="C807" i="26"/>
  <c r="AS985" i="19"/>
  <c r="C993" i="26"/>
  <c r="AS936" i="19"/>
  <c r="C944" i="26"/>
  <c r="AS914" i="19"/>
  <c r="C922" i="26"/>
  <c r="AS844" i="19"/>
  <c r="C852" i="26"/>
  <c r="AS1000" i="19"/>
  <c r="C1008" i="26"/>
  <c r="AS597" i="19"/>
  <c r="C605" i="26"/>
  <c r="AS705" i="19"/>
  <c r="C713" i="26"/>
  <c r="AS755" i="19"/>
  <c r="C763" i="26"/>
  <c r="AS684" i="19"/>
  <c r="C692" i="26"/>
  <c r="AS658" i="19"/>
  <c r="C666" i="26"/>
  <c r="AS676" i="19"/>
  <c r="C684" i="26"/>
  <c r="AS846" i="19"/>
  <c r="C854" i="26"/>
  <c r="AS599" i="19"/>
  <c r="C607" i="26"/>
  <c r="AS664" i="19"/>
  <c r="C672" i="26"/>
  <c r="AS773" i="19"/>
  <c r="C781" i="26"/>
  <c r="AS950" i="19"/>
  <c r="C958" i="26"/>
  <c r="AS718" i="19"/>
  <c r="C726" i="26"/>
  <c r="AS592" i="19"/>
  <c r="C600" i="26"/>
  <c r="AS742" i="19"/>
  <c r="C750" i="26"/>
  <c r="AS808" i="19"/>
  <c r="C816" i="26"/>
  <c r="AS831" i="19"/>
  <c r="C839" i="26"/>
  <c r="AS788" i="19"/>
  <c r="C796" i="26"/>
  <c r="AS675" i="19"/>
  <c r="C683" i="26"/>
  <c r="AS749" i="19"/>
  <c r="C757" i="26"/>
  <c r="AS625" i="19"/>
  <c r="C633" i="26"/>
  <c r="AS885" i="19"/>
  <c r="C893" i="26"/>
  <c r="AS897" i="19"/>
  <c r="C905" i="26"/>
  <c r="AS909" i="19"/>
  <c r="C917" i="26"/>
  <c r="AS821" i="19"/>
  <c r="C829" i="26"/>
  <c r="AS779" i="19"/>
  <c r="C787" i="26"/>
  <c r="AS974" i="19"/>
  <c r="C982" i="26"/>
  <c r="AS867" i="19"/>
  <c r="C875" i="26"/>
  <c r="AS908" i="19"/>
  <c r="C916" i="26"/>
  <c r="AS860" i="19"/>
  <c r="C868" i="26"/>
  <c r="AS850" i="19"/>
  <c r="C858" i="26"/>
  <c r="AS814" i="19"/>
  <c r="C822" i="26"/>
  <c r="AS881" i="19"/>
  <c r="C889" i="26"/>
  <c r="AS698" i="19"/>
  <c r="C706" i="26"/>
  <c r="AS797" i="19"/>
  <c r="C805" i="26"/>
  <c r="AS785" i="19"/>
  <c r="C793" i="26"/>
  <c r="AS619" i="19"/>
  <c r="C627" i="26"/>
  <c r="AS607" i="19"/>
  <c r="C615" i="26"/>
  <c r="AS872" i="19"/>
  <c r="C880" i="26"/>
  <c r="AS706" i="19"/>
  <c r="C714" i="26"/>
  <c r="AS646" i="19"/>
  <c r="C654" i="26"/>
  <c r="AS951" i="19"/>
  <c r="C959" i="26"/>
  <c r="AS972" i="19"/>
  <c r="C980" i="26"/>
  <c r="AS715" i="19"/>
  <c r="C723" i="26"/>
  <c r="AS751" i="19"/>
  <c r="C759" i="26"/>
  <c r="AS683" i="19"/>
  <c r="C691" i="26"/>
  <c r="AS835" i="19"/>
  <c r="C843" i="26"/>
  <c r="AS649" i="19"/>
  <c r="C657" i="26"/>
  <c r="AS968" i="19"/>
  <c r="C976" i="26"/>
  <c r="AS987" i="19"/>
  <c r="C995" i="26"/>
  <c r="AS777" i="19"/>
  <c r="C785" i="26"/>
  <c r="AS637" i="19"/>
  <c r="C645" i="26"/>
  <c r="AS869" i="19"/>
  <c r="C877" i="26"/>
  <c r="AS924" i="19"/>
  <c r="C932" i="26"/>
  <c r="AS997" i="19"/>
  <c r="C1005" i="26"/>
  <c r="AS623" i="19"/>
  <c r="C631" i="26"/>
  <c r="AS568" i="19"/>
  <c r="C576" i="26"/>
  <c r="AS790" i="19"/>
  <c r="C798" i="26"/>
  <c r="AS834" i="19"/>
  <c r="C842" i="26"/>
  <c r="AS827" i="19"/>
  <c r="C835" i="26"/>
  <c r="AS629" i="19"/>
  <c r="C637" i="26"/>
  <c r="AS843" i="19"/>
  <c r="C851" i="26"/>
  <c r="AS584" i="19"/>
  <c r="C592" i="26"/>
  <c r="AS611" i="19"/>
  <c r="C619" i="26"/>
  <c r="AS993" i="19"/>
  <c r="C1001" i="26"/>
  <c r="AS769" i="19"/>
  <c r="C777" i="26"/>
  <c r="AS562" i="19"/>
  <c r="C570" i="26"/>
  <c r="AS604" i="19"/>
  <c r="C612" i="26"/>
  <c r="AS986" i="19"/>
  <c r="C994" i="26"/>
  <c r="AS833" i="19"/>
  <c r="C841" i="26"/>
  <c r="AS781" i="19"/>
  <c r="C789" i="26"/>
  <c r="AS694" i="19"/>
  <c r="C702" i="26"/>
  <c r="AS709" i="19"/>
  <c r="C717" i="26"/>
  <c r="AS861" i="19"/>
  <c r="C869" i="26"/>
  <c r="AS605" i="19"/>
  <c r="C613" i="26"/>
  <c r="AS707" i="19"/>
  <c r="C715" i="26"/>
  <c r="AS724" i="19"/>
  <c r="C732" i="26"/>
  <c r="AS673" i="19"/>
  <c r="C681" i="26"/>
  <c r="AS979" i="19"/>
  <c r="C987" i="26"/>
  <c r="AS984" i="19"/>
  <c r="C992" i="26"/>
  <c r="AS842" i="19"/>
  <c r="C850" i="26"/>
  <c r="AS999" i="19"/>
  <c r="C1007" i="26"/>
  <c r="AS948" i="19"/>
  <c r="C956" i="26"/>
  <c r="AS929" i="19"/>
  <c r="C937" i="26"/>
  <c r="AS964" i="19"/>
  <c r="C972" i="26"/>
  <c r="AS679" i="19"/>
  <c r="C687" i="26"/>
  <c r="AS800" i="19"/>
  <c r="C808" i="26"/>
  <c r="AS635" i="19"/>
  <c r="C643" i="26"/>
  <c r="AS691" i="19"/>
  <c r="C699" i="26"/>
  <c r="AS655" i="19"/>
  <c r="C663" i="26"/>
  <c r="AS731" i="19"/>
  <c r="C739" i="26"/>
  <c r="AS932" i="19"/>
  <c r="C940" i="26"/>
  <c r="AS573" i="19"/>
  <c r="C581" i="26"/>
  <c r="AS841" i="19"/>
  <c r="C849" i="26"/>
  <c r="AS938" i="19"/>
  <c r="C946" i="26"/>
  <c r="AS904" i="19"/>
  <c r="C912" i="26"/>
  <c r="O18" i="16"/>
  <c r="P17" i="16"/>
  <c r="C17" i="16"/>
  <c r="A204" i="19"/>
  <c r="D598" i="23"/>
  <c r="A345" i="19"/>
  <c r="Y762" i="28"/>
  <c r="X762" i="28" s="1"/>
  <c r="A380" i="19"/>
  <c r="B546" i="23"/>
  <c r="D873" i="23"/>
  <c r="A793" i="19"/>
  <c r="A394" i="19"/>
  <c r="A406" i="19"/>
  <c r="B243" i="23"/>
  <c r="X134" i="28"/>
  <c r="A604" i="19"/>
  <c r="AA134" i="28"/>
  <c r="Z134" i="28" s="1"/>
  <c r="B418" i="23"/>
  <c r="D689" i="23"/>
  <c r="Z675" i="28"/>
  <c r="B500" i="23"/>
  <c r="B501" i="23"/>
  <c r="A806" i="19"/>
  <c r="X723" i="28"/>
  <c r="A297" i="19"/>
  <c r="W97" i="28"/>
  <c r="W136" i="28" s="1"/>
  <c r="W175" i="28" s="1"/>
  <c r="A827" i="19"/>
  <c r="A636" i="19"/>
  <c r="A699" i="19"/>
  <c r="A351" i="19"/>
  <c r="A331" i="19"/>
  <c r="P46" i="28"/>
  <c r="A734" i="19"/>
  <c r="A922" i="19"/>
  <c r="A844" i="19"/>
  <c r="A616" i="19"/>
  <c r="E14" i="8"/>
  <c r="J14" i="8" s="1"/>
  <c r="AA25" i="28"/>
  <c r="I12" i="8" s="1"/>
  <c r="B590" i="23"/>
  <c r="A490" i="19"/>
  <c r="B632" i="23"/>
  <c r="A628" i="19"/>
  <c r="V24" i="3"/>
  <c r="H13" i="8"/>
  <c r="R65" i="3" s="1"/>
  <c r="A808" i="19"/>
  <c r="K45" i="3"/>
  <c r="Y170" i="28"/>
  <c r="AA170" i="28" s="1"/>
  <c r="Z170" i="28" s="1"/>
  <c r="X131" i="28"/>
  <c r="B280" i="23"/>
  <c r="A847" i="19"/>
  <c r="B588" i="23"/>
  <c r="AA131" i="28"/>
  <c r="Z131" i="28" s="1"/>
  <c r="Y711" i="28"/>
  <c r="X664" i="28"/>
  <c r="Y709" i="28"/>
  <c r="X662" i="28"/>
  <c r="Q62" i="3"/>
  <c r="Q91" i="3"/>
  <c r="P91" i="3" s="1"/>
  <c r="O129" i="3"/>
  <c r="N91" i="3"/>
  <c r="A389" i="19"/>
  <c r="O208" i="3"/>
  <c r="Q170" i="3"/>
  <c r="P170" i="3" s="1"/>
  <c r="N170" i="3"/>
  <c r="Y721" i="28"/>
  <c r="X674" i="28"/>
  <c r="Y97" i="28"/>
  <c r="X58" i="28"/>
  <c r="AA58" i="28"/>
  <c r="Z58" i="28" s="1"/>
  <c r="Y806" i="28"/>
  <c r="X806" i="28" s="1"/>
  <c r="X759" i="28"/>
  <c r="E279" i="28"/>
  <c r="H240" i="28"/>
  <c r="X724" i="28"/>
  <c r="Y771" i="28"/>
  <c r="X725" i="28"/>
  <c r="Y772" i="28"/>
  <c r="X707" i="28"/>
  <c r="Y754" i="28"/>
  <c r="W718" i="28"/>
  <c r="AA671" i="28"/>
  <c r="V671" i="28"/>
  <c r="AC624" i="28"/>
  <c r="Z624" i="28"/>
  <c r="Z678" i="28"/>
  <c r="AB678" i="28"/>
  <c r="O211" i="3"/>
  <c r="Q173" i="3"/>
  <c r="P173" i="3" s="1"/>
  <c r="N173" i="3"/>
  <c r="V168" i="28"/>
  <c r="AA168" i="28"/>
  <c r="W207" i="28"/>
  <c r="Y765" i="28"/>
  <c r="X718" i="28"/>
  <c r="A670" i="3"/>
  <c r="U632" i="3"/>
  <c r="W215" i="28"/>
  <c r="V176" i="28"/>
  <c r="AA176" i="28"/>
  <c r="Z176" i="28" s="1"/>
  <c r="P554" i="3"/>
  <c r="R554" i="3"/>
  <c r="X286" i="28"/>
  <c r="Y325" i="28"/>
  <c r="Q592" i="3"/>
  <c r="N592" i="3"/>
  <c r="O630" i="3"/>
  <c r="X675" i="28"/>
  <c r="Y722" i="28"/>
  <c r="W816" i="28"/>
  <c r="V769" i="28"/>
  <c r="AA769" i="28"/>
  <c r="Y212" i="28"/>
  <c r="AA212" i="28" s="1"/>
  <c r="Z212" i="28" s="1"/>
  <c r="X173" i="28"/>
  <c r="W250" i="28"/>
  <c r="V211" i="28"/>
  <c r="Z722" i="28"/>
  <c r="AC722" i="28"/>
  <c r="X719" i="28"/>
  <c r="Y766" i="28"/>
  <c r="M26" i="29"/>
  <c r="M352" i="29" s="1"/>
  <c r="C344" i="29" s="1"/>
  <c r="B31" i="29"/>
  <c r="W209" i="28"/>
  <c r="V170" i="28"/>
  <c r="Y726" i="28"/>
  <c r="X679" i="28"/>
  <c r="X176" i="28"/>
  <c r="Y215" i="28"/>
  <c r="Q164" i="3"/>
  <c r="O202" i="3"/>
  <c r="N164" i="3"/>
  <c r="W815" i="28"/>
  <c r="V768" i="28"/>
  <c r="AA768" i="28"/>
  <c r="Y817" i="28"/>
  <c r="X817" i="28" s="1"/>
  <c r="X770" i="28"/>
  <c r="N131" i="3"/>
  <c r="Q131" i="3"/>
  <c r="P131" i="3" s="1"/>
  <c r="O169" i="3"/>
  <c r="Y757" i="28"/>
  <c r="X710" i="28"/>
  <c r="W814" i="28"/>
  <c r="AA767" i="28"/>
  <c r="V767" i="28"/>
  <c r="N128" i="3"/>
  <c r="Q128" i="3"/>
  <c r="P128" i="3" s="1"/>
  <c r="O166" i="3"/>
  <c r="Z129" i="28"/>
  <c r="B13" i="38"/>
  <c r="M25" i="30"/>
  <c r="AM4" i="19"/>
  <c r="X172" i="28"/>
  <c r="Y211" i="28"/>
  <c r="AA211" i="28" s="1"/>
  <c r="Z211" i="28" s="1"/>
  <c r="Z721" i="28"/>
  <c r="AB721" i="28"/>
  <c r="AC720" i="28"/>
  <c r="Z720" i="28"/>
  <c r="G196" i="3"/>
  <c r="E234" i="3"/>
  <c r="AC630" i="28"/>
  <c r="Z630" i="28"/>
  <c r="AA93" i="28"/>
  <c r="V93" i="28"/>
  <c r="W132" i="28"/>
  <c r="Y808" i="28"/>
  <c r="X808" i="28" s="1"/>
  <c r="X761" i="28"/>
  <c r="X717" i="28"/>
  <c r="Y764" i="28"/>
  <c r="X207" i="28"/>
  <c r="Y246" i="28"/>
  <c r="Y767" i="28"/>
  <c r="X720" i="28"/>
  <c r="AB676" i="28"/>
  <c r="Z676" i="28"/>
  <c r="Y174" i="28"/>
  <c r="X135" i="28"/>
  <c r="AA135" i="28"/>
  <c r="Z135" i="28" s="1"/>
  <c r="W724" i="28"/>
  <c r="AA677" i="28"/>
  <c r="V677" i="28"/>
  <c r="W251" i="28"/>
  <c r="V212" i="28"/>
  <c r="V723" i="28"/>
  <c r="W770" i="28"/>
  <c r="AA723" i="28"/>
  <c r="N209" i="3"/>
  <c r="O247" i="3"/>
  <c r="Q209" i="3"/>
  <c r="P209" i="3" s="1"/>
  <c r="X763" i="28"/>
  <c r="Y810" i="28"/>
  <c r="X810" i="28" s="1"/>
  <c r="W726" i="28"/>
  <c r="V679" i="28"/>
  <c r="AA679" i="28"/>
  <c r="Y760" i="28"/>
  <c r="X713" i="28"/>
  <c r="Z672" i="28"/>
  <c r="AB672" i="28"/>
  <c r="AC632" i="28"/>
  <c r="Z632" i="28"/>
  <c r="O203" i="3"/>
  <c r="N165" i="3"/>
  <c r="Q165" i="3"/>
  <c r="P165" i="3" s="1"/>
  <c r="P126" i="3"/>
  <c r="AA719" i="28"/>
  <c r="V719" i="28"/>
  <c r="W766" i="28"/>
  <c r="O206" i="3"/>
  <c r="Q168" i="3"/>
  <c r="P168" i="3" s="1"/>
  <c r="N168" i="3"/>
  <c r="Z54" i="28"/>
  <c r="X661" i="28"/>
  <c r="Y708" i="28"/>
  <c r="W717" i="28"/>
  <c r="AA670" i="28"/>
  <c r="V670" i="28"/>
  <c r="N172" i="3"/>
  <c r="Q172" i="3"/>
  <c r="P172" i="3" s="1"/>
  <c r="O210" i="3"/>
  <c r="W291" i="28"/>
  <c r="V252" i="28"/>
  <c r="Y327" i="28"/>
  <c r="X288" i="28"/>
  <c r="W772" i="28"/>
  <c r="AA725" i="28"/>
  <c r="V725" i="28"/>
  <c r="A259" i="28"/>
  <c r="Z623" i="28"/>
  <c r="AB623" i="28"/>
  <c r="W247" i="28"/>
  <c r="AA208" i="28"/>
  <c r="Z208" i="28" s="1"/>
  <c r="V208" i="28"/>
  <c r="Z829" i="19"/>
  <c r="Z629" i="19"/>
  <c r="Z577" i="19"/>
  <c r="Z926" i="19"/>
  <c r="Z635" i="19"/>
  <c r="Z988" i="19"/>
  <c r="Z722" i="19"/>
  <c r="Z630" i="19"/>
  <c r="Z904" i="19"/>
  <c r="Z976" i="19"/>
  <c r="Z634" i="19"/>
  <c r="Z646" i="19"/>
  <c r="Z837" i="19"/>
  <c r="Z788" i="19"/>
  <c r="Z831" i="19"/>
  <c r="B602" i="23"/>
  <c r="D826" i="23"/>
  <c r="D941" i="23"/>
  <c r="S40" i="31"/>
  <c r="S39" i="30"/>
  <c r="S37" i="29"/>
  <c r="A862" i="19"/>
  <c r="L873" i="23"/>
  <c r="M873" i="23" s="1"/>
  <c r="D695" i="23"/>
  <c r="B447" i="23"/>
  <c r="A898" i="19"/>
  <c r="B462" i="23"/>
  <c r="D800" i="23"/>
  <c r="A492" i="19"/>
  <c r="D687" i="23"/>
  <c r="A874" i="19"/>
  <c r="D944" i="23"/>
  <c r="A634" i="19"/>
  <c r="B674" i="23"/>
  <c r="A837" i="19"/>
  <c r="D600" i="23"/>
  <c r="A817" i="19"/>
  <c r="A526" i="19"/>
  <c r="D635" i="23"/>
  <c r="A335" i="19"/>
  <c r="L689" i="23"/>
  <c r="M689" i="23" s="1"/>
  <c r="A230" i="19"/>
  <c r="A701" i="19"/>
  <c r="D929" i="23"/>
  <c r="D617" i="23"/>
  <c r="D685" i="23"/>
  <c r="D977" i="23"/>
  <c r="B844" i="23"/>
  <c r="D809" i="23"/>
  <c r="A517" i="19"/>
  <c r="B463" i="23"/>
  <c r="A465" i="19"/>
  <c r="A748" i="19"/>
  <c r="A868" i="19"/>
  <c r="B642" i="23"/>
  <c r="D836" i="23"/>
  <c r="B777" i="23"/>
  <c r="A495" i="19"/>
  <c r="D576" i="23"/>
  <c r="D743" i="23"/>
  <c r="D805" i="23"/>
  <c r="D965" i="23"/>
  <c r="B833" i="23"/>
  <c r="D845" i="23"/>
  <c r="A205" i="19"/>
  <c r="A206" i="19"/>
  <c r="A840" i="19"/>
  <c r="A559" i="19"/>
  <c r="B747" i="23"/>
  <c r="D596" i="23"/>
  <c r="D671" i="23"/>
  <c r="D806" i="23"/>
  <c r="D774" i="23"/>
  <c r="D634" i="23"/>
  <c r="D893" i="23"/>
  <c r="A208" i="19"/>
  <c r="D986" i="23"/>
  <c r="A201" i="19"/>
  <c r="D769" i="23"/>
  <c r="B944" i="23"/>
  <c r="A942" i="19"/>
  <c r="A706" i="19"/>
  <c r="A443" i="19"/>
  <c r="D918" i="23"/>
  <c r="D764" i="23"/>
  <c r="D828" i="23"/>
  <c r="D677" i="23"/>
  <c r="A957" i="19"/>
  <c r="A556" i="19"/>
  <c r="B837" i="23"/>
  <c r="A253" i="19"/>
  <c r="D862" i="23"/>
  <c r="D614" i="23"/>
  <c r="D834" i="23"/>
  <c r="D980" i="23"/>
  <c r="D877" i="23"/>
  <c r="A814" i="19"/>
  <c r="A945" i="19"/>
  <c r="A799" i="19"/>
  <c r="D723" i="23"/>
  <c r="A698" i="19"/>
  <c r="D749" i="23"/>
  <c r="B204" i="23"/>
  <c r="A999" i="19"/>
  <c r="B527" i="23"/>
  <c r="B345" i="23"/>
  <c r="D843" i="23"/>
  <c r="D714" i="23"/>
  <c r="A553" i="19"/>
  <c r="D742" i="23"/>
  <c r="D757" i="23"/>
  <c r="A622" i="19"/>
  <c r="A223" i="19"/>
  <c r="D940" i="23"/>
  <c r="A489" i="19"/>
  <c r="D921" i="23"/>
  <c r="L774" i="23"/>
  <c r="M774" i="23" s="1"/>
  <c r="B403" i="23"/>
  <c r="A401" i="19"/>
  <c r="B365" i="23"/>
  <c r="A363" i="19"/>
  <c r="A469" i="19"/>
  <c r="D731" i="23"/>
  <c r="D832" i="23"/>
  <c r="A377" i="19"/>
  <c r="B379" i="23"/>
  <c r="B195" i="23"/>
  <c r="A193" i="19"/>
  <c r="B473" i="23"/>
  <c r="A471" i="19"/>
  <c r="B929" i="23"/>
  <c r="A927" i="19"/>
  <c r="A689" i="19"/>
  <c r="A740" i="19"/>
  <c r="B742" i="23"/>
  <c r="D681" i="23"/>
  <c r="B263" i="23"/>
  <c r="A261" i="19"/>
  <c r="A939" i="19"/>
  <c r="B941" i="23"/>
  <c r="A304" i="19"/>
  <c r="B306" i="23"/>
  <c r="B600" i="23"/>
  <c r="A598" i="19"/>
  <c r="B451" i="23"/>
  <c r="A449" i="19"/>
  <c r="D995" i="23"/>
  <c r="D793" i="23"/>
  <c r="A963" i="19"/>
  <c r="B965" i="23"/>
  <c r="D647" i="23"/>
  <c r="L561" i="23"/>
  <c r="M561" i="23" s="1"/>
  <c r="A975" i="19"/>
  <c r="B977" i="23"/>
  <c r="D858" i="23"/>
  <c r="D964" i="23"/>
  <c r="A729" i="19"/>
  <c r="B731" i="23"/>
  <c r="B326" i="23"/>
  <c r="A324" i="19"/>
  <c r="B286" i="23"/>
  <c r="A284" i="19"/>
  <c r="B995" i="23"/>
  <c r="A993" i="19"/>
  <c r="B671" i="23"/>
  <c r="A669" i="19"/>
  <c r="B537" i="23"/>
  <c r="A535" i="19"/>
  <c r="B354" i="23"/>
  <c r="A352" i="19"/>
  <c r="B744" i="23"/>
  <c r="A742" i="19"/>
  <c r="B964" i="23"/>
  <c r="A962" i="19"/>
  <c r="D592" i="23"/>
  <c r="B767" i="23"/>
  <c r="A765" i="19"/>
  <c r="B475" i="23"/>
  <c r="A473" i="19"/>
  <c r="B687" i="23"/>
  <c r="A685" i="19"/>
  <c r="B672" i="23"/>
  <c r="A670" i="19"/>
  <c r="B453" i="23"/>
  <c r="A451" i="19"/>
  <c r="B282" i="23"/>
  <c r="A280" i="19"/>
  <c r="B246" i="23"/>
  <c r="A244" i="19"/>
  <c r="B942" i="23"/>
  <c r="A940" i="19"/>
  <c r="B377" i="23"/>
  <c r="A375" i="19"/>
  <c r="B653" i="23"/>
  <c r="A651" i="19"/>
  <c r="D594" i="23"/>
  <c r="B401" i="23"/>
  <c r="A399" i="19"/>
  <c r="B230" i="23"/>
  <c r="A228" i="19"/>
  <c r="B743" i="23"/>
  <c r="A741" i="19"/>
  <c r="A952" i="19"/>
  <c r="B954" i="23"/>
  <c r="B256" i="23"/>
  <c r="A254" i="19"/>
  <c r="B749" i="23"/>
  <c r="A747" i="19"/>
  <c r="L680" i="23"/>
  <c r="M680" i="23" s="1"/>
  <c r="B626" i="23"/>
  <c r="A624" i="19"/>
  <c r="B714" i="23"/>
  <c r="A712" i="19"/>
  <c r="D559" i="23"/>
  <c r="D684" i="23"/>
  <c r="D557" i="23"/>
  <c r="D565" i="23"/>
  <c r="D748" i="23"/>
  <c r="D969" i="23"/>
  <c r="D766" i="23"/>
  <c r="D728" i="23"/>
  <c r="D937" i="23"/>
  <c r="D942" i="23"/>
  <c r="D706" i="23"/>
  <c r="D721" i="23"/>
  <c r="D905" i="23"/>
  <c r="D771" i="23"/>
  <c r="D831" i="23"/>
  <c r="D970" i="23"/>
  <c r="D716" i="23"/>
  <c r="A213" i="19"/>
  <c r="D625" i="23"/>
  <c r="L809" i="23"/>
  <c r="M809" i="23" s="1"/>
  <c r="D722" i="23"/>
  <c r="D616" i="23"/>
  <c r="D963" i="23"/>
  <c r="D823" i="23"/>
  <c r="D599" i="23"/>
  <c r="D694" i="23"/>
  <c r="D973" i="23"/>
  <c r="D754" i="23"/>
  <c r="D912" i="23"/>
  <c r="D564" i="23"/>
  <c r="D604" i="23"/>
  <c r="D610" i="23"/>
  <c r="D668" i="23"/>
  <c r="D989" i="23"/>
  <c r="D676" i="23"/>
  <c r="D733" i="23"/>
  <c r="D946" i="23"/>
  <c r="D765" i="23"/>
  <c r="D881" i="23"/>
  <c r="D784" i="23"/>
  <c r="D562" i="23"/>
  <c r="D948" i="23"/>
  <c r="D899" i="23"/>
  <c r="D949" i="23"/>
  <c r="L764" i="23"/>
  <c r="M764" i="23" s="1"/>
  <c r="D961" i="23"/>
  <c r="D644" i="23"/>
  <c r="D763" i="23"/>
  <c r="D582" i="23"/>
  <c r="D867" i="23"/>
  <c r="D611" i="23"/>
  <c r="L611" i="23"/>
  <c r="M611" i="23" s="1"/>
  <c r="L892" i="23"/>
  <c r="M892" i="23" s="1"/>
  <c r="D892" i="23"/>
  <c r="D879" i="23"/>
  <c r="L879" i="23"/>
  <c r="M879" i="23" s="1"/>
  <c r="D927" i="23"/>
  <c r="L927" i="23"/>
  <c r="M927" i="23" s="1"/>
  <c r="L903" i="23"/>
  <c r="M903" i="23" s="1"/>
  <c r="D587" i="23"/>
  <c r="D889" i="23"/>
  <c r="L889" i="23"/>
  <c r="M889" i="23" s="1"/>
  <c r="D570" i="23"/>
  <c r="L731" i="23"/>
  <c r="M731" i="23" s="1"/>
  <c r="D955" i="23"/>
  <c r="B464" i="23"/>
  <c r="A462" i="19"/>
  <c r="B667" i="23"/>
  <c r="A665" i="19"/>
  <c r="B821" i="23"/>
  <c r="A819" i="19"/>
  <c r="B414" i="23"/>
  <c r="A412" i="19"/>
  <c r="B765" i="23"/>
  <c r="A763" i="19"/>
  <c r="B905" i="23"/>
  <c r="A903" i="19"/>
  <c r="B446" i="23"/>
  <c r="A444" i="19"/>
  <c r="B804" i="23"/>
  <c r="A802" i="19"/>
  <c r="B425" i="23"/>
  <c r="A423" i="19"/>
  <c r="B650" i="23"/>
  <c r="A648" i="19"/>
  <c r="A987" i="19"/>
  <c r="B989" i="23"/>
  <c r="B952" i="23"/>
  <c r="A950" i="19"/>
  <c r="A426" i="19"/>
  <c r="B428" i="23"/>
  <c r="A781" i="19"/>
  <c r="B783" i="23"/>
  <c r="B721" i="23"/>
  <c r="A719" i="19"/>
  <c r="B476" i="23"/>
  <c r="A474" i="19"/>
  <c r="A340" i="19"/>
  <c r="B342" i="23"/>
  <c r="B389" i="23"/>
  <c r="A387" i="19"/>
  <c r="B973" i="23"/>
  <c r="A971" i="19"/>
  <c r="B716" i="23"/>
  <c r="A714" i="19"/>
  <c r="B997" i="23"/>
  <c r="A995" i="19"/>
  <c r="B507" i="23"/>
  <c r="A505" i="19"/>
  <c r="B244" i="23"/>
  <c r="A242" i="19"/>
  <c r="B410" i="23"/>
  <c r="A408" i="19"/>
  <c r="B366" i="23"/>
  <c r="A364" i="19"/>
  <c r="B647" i="23"/>
  <c r="A645" i="19"/>
  <c r="A800" i="19"/>
  <c r="B802" i="23"/>
  <c r="B790" i="23"/>
  <c r="A788" i="19"/>
  <c r="B644" i="23"/>
  <c r="A642" i="19"/>
  <c r="B455" i="23"/>
  <c r="A453" i="19"/>
  <c r="B520" i="23"/>
  <c r="A518" i="19"/>
  <c r="A419" i="19"/>
  <c r="B421" i="23"/>
  <c r="B271" i="23"/>
  <c r="A269" i="19"/>
  <c r="B276" i="23"/>
  <c r="A274" i="19"/>
  <c r="B665" i="23"/>
  <c r="A663" i="19"/>
  <c r="A704" i="19"/>
  <c r="B706" i="23"/>
  <c r="B631" i="23"/>
  <c r="A629" i="19"/>
  <c r="A602" i="19"/>
  <c r="B604" i="23"/>
  <c r="B219" i="23"/>
  <c r="A217" i="19"/>
  <c r="B504" i="23"/>
  <c r="A502" i="19"/>
  <c r="B685" i="23"/>
  <c r="A683" i="19"/>
  <c r="A400" i="19"/>
  <c r="B402" i="23"/>
  <c r="B882" i="23"/>
  <c r="A880" i="19"/>
  <c r="D913" i="23"/>
  <c r="L913" i="23"/>
  <c r="M913" i="23" s="1"/>
  <c r="B384" i="23"/>
  <c r="A382" i="19"/>
  <c r="B367" i="23"/>
  <c r="A365" i="19"/>
  <c r="B612" i="23"/>
  <c r="A610" i="19"/>
  <c r="B265" i="23"/>
  <c r="A263" i="19"/>
  <c r="B949" i="23"/>
  <c r="A947" i="19"/>
  <c r="B249" i="23"/>
  <c r="A247" i="19"/>
  <c r="B616" i="23"/>
  <c r="A614" i="19"/>
  <c r="B548" i="23"/>
  <c r="A546" i="19"/>
  <c r="B224" i="23"/>
  <c r="A222" i="19"/>
  <c r="B828" i="23"/>
  <c r="A826" i="19"/>
  <c r="A879" i="19"/>
  <c r="B881" i="23"/>
  <c r="B707" i="23"/>
  <c r="A705" i="19"/>
  <c r="B906" i="23"/>
  <c r="A904" i="19"/>
  <c r="B755" i="23"/>
  <c r="A753" i="19"/>
  <c r="B592" i="23"/>
  <c r="A590" i="19"/>
  <c r="B505" i="23"/>
  <c r="A503" i="19"/>
  <c r="B390" i="23"/>
  <c r="A388" i="19"/>
  <c r="B937" i="23"/>
  <c r="A935" i="19"/>
  <c r="A235" i="19"/>
  <c r="B237" i="23"/>
  <c r="B318" i="23"/>
  <c r="A316" i="19"/>
  <c r="B678" i="23"/>
  <c r="A676" i="19"/>
  <c r="A339" i="19"/>
  <c r="B341" i="23"/>
  <c r="B327" i="23"/>
  <c r="A325" i="19"/>
  <c r="B506" i="23"/>
  <c r="A504" i="19"/>
  <c r="D667" i="23"/>
  <c r="B512" i="23"/>
  <c r="A510" i="19"/>
  <c r="B469" i="23"/>
  <c r="A467" i="19"/>
  <c r="B629" i="23"/>
  <c r="A627" i="19"/>
  <c r="B305" i="23"/>
  <c r="A303" i="19"/>
  <c r="B951" i="23"/>
  <c r="A949" i="19"/>
  <c r="B811" i="23"/>
  <c r="A809" i="19"/>
  <c r="A272" i="19"/>
  <c r="B274" i="23"/>
  <c r="A550" i="19"/>
  <c r="B552" i="23"/>
  <c r="B858" i="23"/>
  <c r="A856" i="19"/>
  <c r="B763" i="23"/>
  <c r="A761" i="19"/>
  <c r="B969" i="23"/>
  <c r="A967" i="19"/>
  <c r="B978" i="23"/>
  <c r="A976" i="19"/>
  <c r="B676" i="23"/>
  <c r="A674" i="19"/>
  <c r="B509" i="23"/>
  <c r="A507" i="19"/>
  <c r="B684" i="23"/>
  <c r="A682" i="19"/>
  <c r="B835" i="23"/>
  <c r="A833" i="19"/>
  <c r="B771" i="23"/>
  <c r="A769" i="19"/>
  <c r="A404" i="19"/>
  <c r="B406" i="23"/>
  <c r="B918" i="23"/>
  <c r="A916" i="19"/>
  <c r="B812" i="23"/>
  <c r="A810" i="19"/>
  <c r="B489" i="23"/>
  <c r="A487" i="19"/>
  <c r="B778" i="23"/>
  <c r="A776" i="19"/>
  <c r="B369" i="23"/>
  <c r="A367" i="19"/>
  <c r="B770" i="23"/>
  <c r="A768" i="19"/>
  <c r="B940" i="23"/>
  <c r="A938" i="19"/>
  <c r="A353" i="19"/>
  <c r="B355" i="23"/>
  <c r="A329" i="19"/>
  <c r="B331" i="23"/>
  <c r="B648" i="23"/>
  <c r="A646" i="19"/>
  <c r="B800" i="23"/>
  <c r="A798" i="19"/>
  <c r="B963" i="23"/>
  <c r="A961" i="19"/>
  <c r="B587" i="23"/>
  <c r="A585" i="19"/>
  <c r="A621" i="19"/>
  <c r="B623" i="23"/>
  <c r="A411" i="19"/>
  <c r="B413" i="23"/>
  <c r="B301" i="23"/>
  <c r="A299" i="19"/>
  <c r="D931" i="23"/>
  <c r="D704" i="23"/>
  <c r="D567" i="23"/>
  <c r="D878" i="23"/>
  <c r="D682" i="23"/>
  <c r="D583" i="23"/>
  <c r="D586" i="23"/>
  <c r="D737" i="23"/>
  <c r="L932" i="23"/>
  <c r="M932" i="23" s="1"/>
  <c r="L749" i="23"/>
  <c r="M749" i="23" s="1"/>
  <c r="D908" i="23"/>
  <c r="D619" i="23"/>
  <c r="D840" i="23"/>
  <c r="D914" i="23"/>
  <c r="D818" i="23"/>
  <c r="D730" i="23"/>
  <c r="D738" i="23"/>
  <c r="D775" i="23"/>
  <c r="D825" i="23"/>
  <c r="D872" i="23"/>
  <c r="D649" i="23"/>
  <c r="D968" i="23"/>
  <c r="D979" i="23"/>
  <c r="D666" i="23"/>
  <c r="D926" i="23"/>
  <c r="D690" i="23"/>
  <c r="D709" i="23"/>
  <c r="D622" i="23"/>
  <c r="D762" i="23"/>
  <c r="D627" i="23"/>
  <c r="L995" i="23"/>
  <c r="M995" i="23" s="1"/>
  <c r="D781" i="23"/>
  <c r="D711" i="23"/>
  <c r="D850" i="23"/>
  <c r="D664" i="23"/>
  <c r="D787" i="23"/>
  <c r="D813" i="23"/>
  <c r="D727" i="23"/>
  <c r="D655" i="23"/>
  <c r="D875" i="23"/>
  <c r="D863" i="23"/>
  <c r="L592" i="23"/>
  <c r="M592" i="23" s="1"/>
  <c r="D683" i="23"/>
  <c r="D960" i="23"/>
  <c r="L667" i="23"/>
  <c r="M667" i="23" s="1"/>
  <c r="D661" i="23"/>
  <c r="D718" i="23"/>
  <c r="D753" i="23"/>
  <c r="D640" i="23"/>
  <c r="D911" i="23"/>
  <c r="D615" i="23"/>
  <c r="D568" i="23"/>
  <c r="D675" i="23"/>
  <c r="D654" i="23"/>
  <c r="D603" i="23"/>
  <c r="D841" i="23"/>
  <c r="D950" i="23"/>
  <c r="B854" i="23"/>
  <c r="A852" i="19"/>
  <c r="B818" i="23"/>
  <c r="A816" i="19"/>
  <c r="B681" i="23"/>
  <c r="A679" i="19"/>
  <c r="B717" i="23"/>
  <c r="A715" i="19"/>
  <c r="B448" i="23"/>
  <c r="A446" i="19"/>
  <c r="B466" i="23"/>
  <c r="A464" i="19"/>
  <c r="B887" i="23"/>
  <c r="A885" i="19"/>
  <c r="B560" i="23"/>
  <c r="A558" i="19"/>
  <c r="B291" i="23"/>
  <c r="A289" i="19"/>
  <c r="B344" i="23"/>
  <c r="A342" i="19"/>
  <c r="B827" i="23"/>
  <c r="A825" i="19"/>
  <c r="B757" i="23"/>
  <c r="A755" i="19"/>
  <c r="B931" i="23"/>
  <c r="A929" i="19"/>
  <c r="B779" i="23"/>
  <c r="A777" i="19"/>
  <c r="B444" i="23"/>
  <c r="A442" i="19"/>
  <c r="B832" i="23"/>
  <c r="A830" i="19"/>
  <c r="B702" i="23"/>
  <c r="A700" i="19"/>
  <c r="B538" i="23"/>
  <c r="A536" i="19"/>
  <c r="B968" i="23"/>
  <c r="A966" i="19"/>
  <c r="B641" i="23"/>
  <c r="A639" i="19"/>
  <c r="B895" i="23"/>
  <c r="A893" i="19"/>
  <c r="B272" i="23"/>
  <c r="A270" i="19"/>
  <c r="D601" i="23"/>
  <c r="D785" i="23"/>
  <c r="B923" i="23"/>
  <c r="A921" i="19"/>
  <c r="B270" i="23"/>
  <c r="A268" i="19"/>
  <c r="B938" i="23"/>
  <c r="A936" i="19"/>
  <c r="D581" i="23"/>
  <c r="B899" i="23"/>
  <c r="A897" i="19"/>
  <c r="B852" i="23"/>
  <c r="A850" i="19"/>
  <c r="B251" i="23"/>
  <c r="A249" i="19"/>
  <c r="B883" i="23"/>
  <c r="A881" i="19"/>
  <c r="B310" i="23"/>
  <c r="A308" i="19"/>
  <c r="D717" i="23"/>
  <c r="B212" i="23"/>
  <c r="A210" i="19"/>
  <c r="B998" i="23"/>
  <c r="A996" i="19"/>
  <c r="B805" i="23"/>
  <c r="A803" i="19"/>
  <c r="B323" i="23"/>
  <c r="A321" i="19"/>
  <c r="D887" i="23"/>
  <c r="B245" i="23"/>
  <c r="A243" i="19"/>
  <c r="B434" i="23"/>
  <c r="A432" i="19"/>
  <c r="B781" i="23"/>
  <c r="A779" i="19"/>
  <c r="B787" i="23"/>
  <c r="A785" i="19"/>
  <c r="B257" i="23"/>
  <c r="A255" i="19"/>
  <c r="B349" i="23"/>
  <c r="A347" i="19"/>
  <c r="B875" i="23"/>
  <c r="A873" i="19"/>
  <c r="B591" i="23"/>
  <c r="A589" i="19"/>
  <c r="B221" i="23"/>
  <c r="A219" i="19"/>
  <c r="B797" i="23"/>
  <c r="A795" i="19"/>
  <c r="D702" i="23"/>
  <c r="B794" i="23"/>
  <c r="A792" i="19"/>
  <c r="B424" i="23"/>
  <c r="A422" i="19"/>
  <c r="B320" i="23"/>
  <c r="A318" i="19"/>
  <c r="D641" i="23"/>
  <c r="B461" i="23"/>
  <c r="A459" i="19"/>
  <c r="B652" i="23"/>
  <c r="A650" i="19"/>
  <c r="D895" i="23"/>
  <c r="B395" i="23"/>
  <c r="A393" i="19"/>
  <c r="B635" i="23"/>
  <c r="A633" i="19"/>
  <c r="B294" i="23"/>
  <c r="A292" i="19"/>
  <c r="B392" i="23"/>
  <c r="A390" i="19"/>
  <c r="B526" i="23"/>
  <c r="A524" i="19"/>
  <c r="D923" i="23"/>
  <c r="B547" i="23"/>
  <c r="A545" i="19"/>
  <c r="B439" i="23"/>
  <c r="A437" i="19"/>
  <c r="B583" i="23"/>
  <c r="A581" i="19"/>
  <c r="B670" i="23"/>
  <c r="A668" i="19"/>
  <c r="B847" i="23"/>
  <c r="A845" i="19"/>
  <c r="B699" i="23"/>
  <c r="A697" i="19"/>
  <c r="B773" i="23"/>
  <c r="A771" i="19"/>
  <c r="B890" i="23"/>
  <c r="A888" i="19"/>
  <c r="B201" i="23"/>
  <c r="A199" i="19"/>
  <c r="B338" i="23"/>
  <c r="A336" i="19"/>
  <c r="B346" i="23"/>
  <c r="A344" i="19"/>
  <c r="B332" i="23"/>
  <c r="A330" i="19"/>
  <c r="D883" i="23"/>
  <c r="B711" i="23"/>
  <c r="A709" i="19"/>
  <c r="B521" i="23"/>
  <c r="A519" i="19"/>
  <c r="B200" i="23"/>
  <c r="A198" i="19"/>
  <c r="B874" i="23"/>
  <c r="A872" i="19"/>
  <c r="B363" i="23"/>
  <c r="A361" i="19"/>
  <c r="B690" i="23"/>
  <c r="A688" i="19"/>
  <c r="B364" i="23"/>
  <c r="A362" i="19"/>
  <c r="D591" i="23"/>
  <c r="B226" i="23"/>
  <c r="A224" i="19"/>
  <c r="D797" i="23"/>
  <c r="B664" i="23"/>
  <c r="A662" i="19"/>
  <c r="B388" i="23"/>
  <c r="B339" i="23"/>
  <c r="A337" i="19"/>
  <c r="D652" i="23"/>
  <c r="B321" i="23"/>
  <c r="A319" i="19"/>
  <c r="B772" i="23"/>
  <c r="A770" i="19"/>
  <c r="B416" i="23"/>
  <c r="A414" i="19"/>
  <c r="B568" i="23"/>
  <c r="A566" i="19"/>
  <c r="D670" i="23"/>
  <c r="B361" i="23"/>
  <c r="A359" i="19"/>
  <c r="B482" i="23"/>
  <c r="A480" i="19"/>
  <c r="D799" i="23"/>
  <c r="B673" i="23"/>
  <c r="A671" i="19"/>
  <c r="D773" i="23"/>
  <c r="B316" i="23"/>
  <c r="A314" i="19"/>
  <c r="D890" i="23"/>
  <c r="B531" i="23"/>
  <c r="A529" i="19"/>
  <c r="B303" i="23"/>
  <c r="A301" i="19"/>
  <c r="B598" i="23"/>
  <c r="A596" i="19"/>
  <c r="B565" i="23"/>
  <c r="A563" i="19"/>
  <c r="B762" i="23"/>
  <c r="A760" i="19"/>
  <c r="B298" i="23"/>
  <c r="A296" i="19"/>
  <c r="B791" i="23"/>
  <c r="A789" i="19"/>
  <c r="B322" i="23"/>
  <c r="A320" i="19"/>
  <c r="B704" i="23"/>
  <c r="A702" i="19"/>
  <c r="B289" i="23"/>
  <c r="A287" i="19"/>
  <c r="B385" i="23"/>
  <c r="A383" i="19"/>
  <c r="B250" i="23"/>
  <c r="A248" i="19"/>
  <c r="B840" i="23"/>
  <c r="A838" i="19"/>
  <c r="B610" i="23"/>
  <c r="A608" i="19"/>
  <c r="B933" i="23"/>
  <c r="A931" i="19"/>
  <c r="B340" i="23"/>
  <c r="A338" i="19"/>
  <c r="B260" i="23"/>
  <c r="A258" i="19"/>
  <c r="B845" i="23"/>
  <c r="A843" i="19"/>
  <c r="B666" i="23"/>
  <c r="A664" i="19"/>
  <c r="B775" i="23"/>
  <c r="A773" i="19"/>
  <c r="B238" i="23"/>
  <c r="A236" i="19"/>
  <c r="D772" i="23"/>
  <c r="B896" i="23"/>
  <c r="A894" i="19"/>
  <c r="B950" i="23"/>
  <c r="A948" i="19"/>
  <c r="B457" i="23"/>
  <c r="A455" i="19"/>
  <c r="B991" i="23"/>
  <c r="A989" i="19"/>
  <c r="B728" i="23"/>
  <c r="A726" i="19"/>
  <c r="B848" i="23"/>
  <c r="A846" i="19"/>
  <c r="B486" i="23"/>
  <c r="A484" i="19"/>
  <c r="B654" i="23"/>
  <c r="A652" i="19"/>
  <c r="D673" i="23"/>
  <c r="B758" i="23"/>
  <c r="A756" i="19"/>
  <c r="D584" i="23"/>
  <c r="L584" i="23"/>
  <c r="M584" i="23" s="1"/>
  <c r="B633" i="23"/>
  <c r="A631" i="19"/>
  <c r="B544" i="23"/>
  <c r="A542" i="19"/>
  <c r="B545" i="23"/>
  <c r="A543" i="19"/>
  <c r="B617" i="23"/>
  <c r="A615" i="19"/>
  <c r="B515" i="23"/>
  <c r="A513" i="19"/>
  <c r="B550" i="23"/>
  <c r="A548" i="19"/>
  <c r="B229" i="23"/>
  <c r="A227" i="19"/>
  <c r="B962" i="23"/>
  <c r="A960" i="19"/>
  <c r="B926" i="23"/>
  <c r="A924" i="19"/>
  <c r="B914" i="23"/>
  <c r="A912" i="19"/>
  <c r="B470" i="23"/>
  <c r="A468" i="19"/>
  <c r="B236" i="23"/>
  <c r="A234" i="19"/>
  <c r="B247" i="23"/>
  <c r="A245" i="19"/>
  <c r="B825" i="23"/>
  <c r="A823" i="19"/>
  <c r="B919" i="23"/>
  <c r="A917" i="19"/>
  <c r="B786" i="23"/>
  <c r="A784" i="19"/>
  <c r="B376" i="23"/>
  <c r="A374" i="19"/>
  <c r="B264" i="23"/>
  <c r="A262" i="19"/>
  <c r="B302" i="23"/>
  <c r="A300" i="19"/>
  <c r="B760" i="23"/>
  <c r="A758" i="19"/>
  <c r="B898" i="23"/>
  <c r="A896" i="19"/>
  <c r="D896" i="23"/>
  <c r="B836" i="23"/>
  <c r="A834" i="19"/>
  <c r="D991" i="23"/>
  <c r="D848" i="23"/>
  <c r="B625" i="23"/>
  <c r="A623" i="19"/>
  <c r="D758" i="23"/>
  <c r="B729" i="23"/>
  <c r="A727" i="19"/>
  <c r="B859" i="23"/>
  <c r="A857" i="19"/>
  <c r="B571" i="23"/>
  <c r="A569" i="19"/>
  <c r="B613" i="23"/>
  <c r="A611" i="19"/>
  <c r="B675" i="23"/>
  <c r="A673" i="19"/>
  <c r="B655" i="23"/>
  <c r="A653" i="19"/>
  <c r="B910" i="23"/>
  <c r="A908" i="19"/>
  <c r="B862" i="23"/>
  <c r="A860" i="19"/>
  <c r="D646" i="23"/>
  <c r="B485" i="23"/>
  <c r="A483" i="19"/>
  <c r="B562" i="23"/>
  <c r="A560" i="19"/>
  <c r="B523" i="23"/>
  <c r="A521" i="19"/>
  <c r="B619" i="23"/>
  <c r="A617" i="19"/>
  <c r="B490" i="23"/>
  <c r="A488" i="19"/>
  <c r="A965" i="19"/>
  <c r="B357" i="23"/>
  <c r="A355" i="19"/>
  <c r="B484" i="23"/>
  <c r="A482" i="19"/>
  <c r="B682" i="23"/>
  <c r="A680" i="19"/>
  <c r="B634" i="23"/>
  <c r="A632" i="19"/>
  <c r="B709" i="23"/>
  <c r="A707" i="19"/>
  <c r="B420" i="23"/>
  <c r="A418" i="19"/>
  <c r="B517" i="23"/>
  <c r="A515" i="19"/>
  <c r="D919" i="23"/>
  <c r="B217" i="23"/>
  <c r="A215" i="19"/>
  <c r="B589" i="23"/>
  <c r="A587" i="19"/>
  <c r="B383" i="23"/>
  <c r="A381" i="19"/>
  <c r="B532" i="23"/>
  <c r="B593" i="23"/>
  <c r="A591" i="19"/>
  <c r="D760" i="23"/>
  <c r="B436" i="23"/>
  <c r="A434" i="19"/>
  <c r="B502" i="23"/>
  <c r="A500" i="19"/>
  <c r="B871" i="23"/>
  <c r="A869" i="19"/>
  <c r="B483" i="23"/>
  <c r="A481" i="19"/>
  <c r="B370" i="23"/>
  <c r="A368" i="19"/>
  <c r="D729" i="23"/>
  <c r="B884" i="23"/>
  <c r="A882" i="19"/>
  <c r="B920" i="23"/>
  <c r="A918" i="19"/>
  <c r="B239" i="23"/>
  <c r="A237" i="19"/>
  <c r="B514" i="23"/>
  <c r="A512" i="19"/>
  <c r="D571" i="23"/>
  <c r="D613" i="23"/>
  <c r="B656" i="23"/>
  <c r="A654" i="19"/>
  <c r="B649" i="23"/>
  <c r="A647" i="19"/>
  <c r="B262" i="23"/>
  <c r="A260" i="19"/>
  <c r="B352" i="23"/>
  <c r="A350" i="19"/>
  <c r="B605" i="23"/>
  <c r="A603" i="19"/>
  <c r="B574" i="23"/>
  <c r="A572" i="19"/>
  <c r="B902" i="23"/>
  <c r="A900" i="19"/>
  <c r="B734" i="23"/>
  <c r="A732" i="19"/>
  <c r="B960" i="23"/>
  <c r="A958" i="19"/>
  <c r="B481" i="23"/>
  <c r="A479" i="19"/>
  <c r="B735" i="23"/>
  <c r="A733" i="19"/>
  <c r="B399" i="23"/>
  <c r="A397" i="19"/>
  <c r="B935" i="23"/>
  <c r="A933" i="19"/>
  <c r="B658" i="23"/>
  <c r="A656" i="19"/>
  <c r="B223" i="23"/>
  <c r="A221" i="19"/>
  <c r="D589" i="23"/>
  <c r="B972" i="23"/>
  <c r="A970" i="19"/>
  <c r="B715" i="23"/>
  <c r="A713" i="19"/>
  <c r="B269" i="23"/>
  <c r="A267" i="19"/>
  <c r="B860" i="23"/>
  <c r="A858" i="19"/>
  <c r="B233" i="23"/>
  <c r="A231" i="19"/>
  <c r="B793" i="23"/>
  <c r="A791" i="19"/>
  <c r="A191" i="19"/>
  <c r="B452" i="23"/>
  <c r="A450" i="19"/>
  <c r="D871" i="23"/>
  <c r="B312" i="23"/>
  <c r="A310" i="19"/>
  <c r="D920" i="23"/>
  <c r="B622" i="23"/>
  <c r="A620" i="19"/>
  <c r="B214" i="23"/>
  <c r="A212" i="19"/>
  <c r="B737" i="23"/>
  <c r="A735" i="19"/>
  <c r="B945" i="23"/>
  <c r="A943" i="19"/>
  <c r="B872" i="23"/>
  <c r="A870" i="19"/>
  <c r="B922" i="23"/>
  <c r="A920" i="19"/>
  <c r="D902" i="23"/>
  <c r="B645" i="23"/>
  <c r="A643" i="19"/>
  <c r="B974" i="23"/>
  <c r="A972" i="19"/>
  <c r="B806" i="23"/>
  <c r="A804" i="19"/>
  <c r="B943" i="23"/>
  <c r="A941" i="19"/>
  <c r="L947" i="23"/>
  <c r="M947" i="23" s="1"/>
  <c r="B541" i="23"/>
  <c r="A539" i="19"/>
  <c r="B955" i="23"/>
  <c r="A953" i="19"/>
  <c r="B823" i="23"/>
  <c r="A821" i="19"/>
  <c r="B380" i="23"/>
  <c r="A378" i="19"/>
  <c r="D735" i="23"/>
  <c r="B668" i="23"/>
  <c r="A666" i="19"/>
  <c r="B554" i="23"/>
  <c r="A552" i="19"/>
  <c r="L944" i="23"/>
  <c r="M944" i="23" s="1"/>
  <c r="B722" i="23"/>
  <c r="A720" i="19"/>
  <c r="B796" i="23"/>
  <c r="A794" i="19"/>
  <c r="B984" i="23"/>
  <c r="A982" i="19"/>
  <c r="B981" i="23"/>
  <c r="A979" i="19"/>
  <c r="B580" i="23"/>
  <c r="A578" i="19"/>
  <c r="B387" i="23"/>
  <c r="A385" i="19"/>
  <c r="D935" i="23"/>
  <c r="B948" i="23"/>
  <c r="A946" i="19"/>
  <c r="B411" i="23"/>
  <c r="A409" i="19"/>
  <c r="B615" i="23"/>
  <c r="A613" i="19"/>
  <c r="D658" i="23"/>
  <c r="B268" i="23"/>
  <c r="A266" i="19"/>
  <c r="B553" i="23"/>
  <c r="A551" i="19"/>
  <c r="B487" i="23"/>
  <c r="A485" i="19"/>
  <c r="B761" i="23"/>
  <c r="A759" i="19"/>
  <c r="B248" i="23"/>
  <c r="A246" i="19"/>
  <c r="D972" i="23"/>
  <c r="D715" i="23"/>
  <c r="B577" i="23"/>
  <c r="A575" i="19"/>
  <c r="B372" i="23"/>
  <c r="A370" i="19"/>
  <c r="D860" i="23"/>
  <c r="B273" i="23"/>
  <c r="A271" i="19"/>
  <c r="B488" i="23"/>
  <c r="A486" i="19"/>
  <c r="B524" i="23"/>
  <c r="A522" i="19"/>
  <c r="B314" i="23"/>
  <c r="A312" i="19"/>
  <c r="B713" i="23"/>
  <c r="A711" i="19"/>
  <c r="B423" i="23"/>
  <c r="A421" i="19"/>
  <c r="B191" i="23"/>
  <c r="A189" i="19"/>
  <c r="B956" i="23"/>
  <c r="A954" i="19"/>
  <c r="B542" i="23"/>
  <c r="A540" i="19"/>
  <c r="B432" i="23"/>
  <c r="A430" i="19"/>
  <c r="B803" i="23"/>
  <c r="A801" i="19"/>
  <c r="B718" i="23"/>
  <c r="A716" i="19"/>
  <c r="B601" i="23"/>
  <c r="A599" i="19"/>
  <c r="B785" i="23"/>
  <c r="A783" i="19"/>
  <c r="B253" i="23"/>
  <c r="A251" i="19"/>
  <c r="B695" i="23"/>
  <c r="A693" i="19"/>
  <c r="D945" i="23"/>
  <c r="B371" i="23"/>
  <c r="A369" i="19"/>
  <c r="B661" i="23"/>
  <c r="A659" i="19"/>
  <c r="D645" i="23"/>
  <c r="B430" i="23"/>
  <c r="A428" i="19"/>
  <c r="D974" i="23"/>
  <c r="B419" i="23"/>
  <c r="A417" i="19"/>
  <c r="B908" i="23"/>
  <c r="A906" i="19"/>
  <c r="B202" i="23"/>
  <c r="A200" i="19"/>
  <c r="D943" i="23"/>
  <c r="B278" i="23"/>
  <c r="A276" i="19"/>
  <c r="D554" i="23"/>
  <c r="B218" i="23"/>
  <c r="A216" i="19"/>
  <c r="D796" i="23"/>
  <c r="B572" i="23"/>
  <c r="A570" i="19"/>
  <c r="D984" i="23"/>
  <c r="D607" i="23"/>
  <c r="D580" i="23"/>
  <c r="B850" i="23"/>
  <c r="A848" i="19"/>
  <c r="B759" i="23"/>
  <c r="A757" i="19"/>
  <c r="B663" i="23"/>
  <c r="A661" i="19"/>
  <c r="B863" i="23"/>
  <c r="A861" i="19"/>
  <c r="D761" i="23"/>
  <c r="B657" i="23"/>
  <c r="A655" i="19"/>
  <c r="D577" i="23"/>
  <c r="A391" i="19"/>
  <c r="B866" i="23"/>
  <c r="A864" i="19"/>
  <c r="B529" i="23"/>
  <c r="A527" i="19"/>
  <c r="B841" i="23"/>
  <c r="A839" i="19"/>
  <c r="B227" i="23"/>
  <c r="A225" i="19"/>
  <c r="D956" i="23"/>
  <c r="B348" i="23"/>
  <c r="A346" i="19"/>
  <c r="B412" i="23"/>
  <c r="A410" i="19"/>
  <c r="B970" i="23"/>
  <c r="A968" i="19"/>
  <c r="B824" i="23"/>
  <c r="A822" i="19"/>
  <c r="B886" i="23"/>
  <c r="A884" i="19"/>
  <c r="D803" i="23"/>
  <c r="B330" i="23"/>
  <c r="A328" i="19"/>
  <c r="B235" i="23"/>
  <c r="A233" i="19"/>
  <c r="B198" i="23"/>
  <c r="A196" i="19"/>
  <c r="B677" i="23"/>
  <c r="A675" i="19"/>
  <c r="B697" i="23"/>
  <c r="A695" i="19"/>
  <c r="B404" i="23"/>
  <c r="A402" i="19"/>
  <c r="B442" i="23"/>
  <c r="A440" i="19"/>
  <c r="B996" i="23"/>
  <c r="A994" i="19"/>
  <c r="B309" i="23"/>
  <c r="A307" i="19"/>
  <c r="B595" i="23"/>
  <c r="A593" i="19"/>
  <c r="B907" i="23"/>
  <c r="A905" i="19"/>
  <c r="D572" i="23"/>
  <c r="B535" i="23"/>
  <c r="A533" i="19"/>
  <c r="L604" i="23"/>
  <c r="M604" i="23" s="1"/>
  <c r="B394" i="23"/>
  <c r="A392" i="19"/>
  <c r="B296" i="23"/>
  <c r="A294" i="19"/>
  <c r="B745" i="23"/>
  <c r="A743" i="19"/>
  <c r="B368" i="23"/>
  <c r="A366" i="19"/>
  <c r="D663" i="23"/>
  <c r="D657" i="23"/>
  <c r="B241" i="23"/>
  <c r="A239" i="19"/>
  <c r="B993" i="23"/>
  <c r="A991" i="19"/>
  <c r="D866" i="23"/>
  <c r="B209" i="23"/>
  <c r="A207" i="19"/>
  <c r="B814" i="23"/>
  <c r="A812" i="19"/>
  <c r="B586" i="23"/>
  <c r="A584" i="19"/>
  <c r="B454" i="23"/>
  <c r="A452" i="19"/>
  <c r="B460" i="23"/>
  <c r="A458" i="19"/>
  <c r="D824" i="23"/>
  <c r="B733" i="23"/>
  <c r="A731" i="19"/>
  <c r="B627" i="23"/>
  <c r="A625" i="19"/>
  <c r="B313" i="23"/>
  <c r="A311" i="19"/>
  <c r="B279" i="23"/>
  <c r="A277" i="19"/>
  <c r="U62" i="3"/>
  <c r="AE64" i="28"/>
  <c r="B769" i="23"/>
  <c r="A767" i="19"/>
  <c r="D996" i="23"/>
  <c r="B192" i="23"/>
  <c r="A190" i="19"/>
  <c r="D595" i="23"/>
  <c r="D907" i="23"/>
  <c r="B433" i="23"/>
  <c r="A431" i="19"/>
  <c r="B639" i="23"/>
  <c r="A637" i="19"/>
  <c r="L616" i="23"/>
  <c r="M616" i="23" s="1"/>
  <c r="B551" i="23"/>
  <c r="A549" i="19"/>
  <c r="D745" i="23"/>
  <c r="B194" i="23"/>
  <c r="A192" i="19"/>
  <c r="B350" i="23"/>
  <c r="A348" i="19"/>
  <c r="B334" i="23"/>
  <c r="A332" i="19"/>
  <c r="D814" i="23"/>
  <c r="B692" i="23"/>
  <c r="A690" i="19"/>
  <c r="B211" i="23"/>
  <c r="A209" i="19"/>
  <c r="D740" i="23"/>
  <c r="B878" i="23"/>
  <c r="A876" i="19"/>
  <c r="B710" i="23"/>
  <c r="A708" i="19"/>
  <c r="B911" i="23"/>
  <c r="A909" i="19"/>
  <c r="B478" i="23"/>
  <c r="A476" i="19"/>
  <c r="B287" i="23"/>
  <c r="A285" i="19"/>
  <c r="B603" i="23"/>
  <c r="A601" i="19"/>
  <c r="G655" i="26" l="1"/>
  <c r="G740" i="26"/>
  <c r="AQ835" i="19"/>
  <c r="A746" i="19"/>
  <c r="B748" i="23"/>
  <c r="G966" i="26"/>
  <c r="B738" i="23"/>
  <c r="B569" i="23"/>
  <c r="B290" i="23"/>
  <c r="AQ713" i="19"/>
  <c r="A772" i="19"/>
  <c r="B774" i="23"/>
  <c r="B343" i="23"/>
  <c r="A341" i="19"/>
  <c r="B831" i="23"/>
  <c r="B979" i="23"/>
  <c r="A441" i="19"/>
  <c r="A813" i="19"/>
  <c r="B381" i="23"/>
  <c r="B730" i="23"/>
  <c r="A728" i="19"/>
  <c r="A562" i="19"/>
  <c r="B437" i="23"/>
  <c r="B503" i="23"/>
  <c r="A501" i="19"/>
  <c r="A605" i="19"/>
  <c r="A725" i="19"/>
  <c r="B627" i="26"/>
  <c r="B356" i="23"/>
  <c r="G579" i="26"/>
  <c r="A597" i="19"/>
  <c r="A197" i="19"/>
  <c r="B953" i="23"/>
  <c r="A211" i="19"/>
  <c r="A306" i="19"/>
  <c r="A275" i="19"/>
  <c r="A644" i="19"/>
  <c r="A684" i="19"/>
  <c r="A429" i="19"/>
  <c r="B732" i="23"/>
  <c r="A607" i="19"/>
  <c r="A984" i="19"/>
  <c r="A738" i="19"/>
  <c r="A413" i="19"/>
  <c r="G899" i="26"/>
  <c r="A466" i="19"/>
  <c r="A557" i="19"/>
  <c r="A579" i="19"/>
  <c r="A718" i="19"/>
  <c r="A782" i="19"/>
  <c r="A302" i="19"/>
  <c r="A723" i="19"/>
  <c r="B281" i="23"/>
  <c r="A279" i="19"/>
  <c r="AT820" i="19"/>
  <c r="AR820" i="19" s="1"/>
  <c r="AQ820" i="19" s="1"/>
  <c r="AT627" i="19"/>
  <c r="AR627" i="19" s="1"/>
  <c r="AQ627" i="19" s="1"/>
  <c r="B892" i="26"/>
  <c r="G903" i="26"/>
  <c r="B812" i="26"/>
  <c r="AT621" i="19"/>
  <c r="AR621" i="19" s="1"/>
  <c r="AQ621" i="19" s="1"/>
  <c r="G573" i="26"/>
  <c r="B929" i="26"/>
  <c r="B793" i="26"/>
  <c r="AT813" i="19"/>
  <c r="AR813" i="19" s="1"/>
  <c r="AQ813" i="19" s="1"/>
  <c r="AT889" i="19"/>
  <c r="AR889" i="19" s="1"/>
  <c r="AQ889" i="19" s="1"/>
  <c r="B889" i="26"/>
  <c r="AQ749" i="19"/>
  <c r="AT654" i="19"/>
  <c r="AR654" i="19" s="1"/>
  <c r="AQ654" i="19" s="1"/>
  <c r="AT817" i="19"/>
  <c r="AR817" i="19" s="1"/>
  <c r="AQ817" i="19" s="1"/>
  <c r="G574" i="26"/>
  <c r="G931" i="26"/>
  <c r="AT693" i="19"/>
  <c r="AR693" i="19" s="1"/>
  <c r="AQ693" i="19" s="1"/>
  <c r="G602" i="26"/>
  <c r="AT589" i="19"/>
  <c r="AR589" i="19" s="1"/>
  <c r="AQ589" i="19" s="1"/>
  <c r="G587" i="26"/>
  <c r="AT752" i="19"/>
  <c r="AR752" i="19" s="1"/>
  <c r="AQ752" i="19" s="1"/>
  <c r="G586" i="26"/>
  <c r="G742" i="26"/>
  <c r="G902" i="26"/>
  <c r="G860" i="26"/>
  <c r="G575" i="26"/>
  <c r="G773" i="26"/>
  <c r="G947" i="26"/>
  <c r="G599" i="26"/>
  <c r="AQ914" i="19"/>
  <c r="G971" i="26"/>
  <c r="AT583" i="19"/>
  <c r="AR583" i="19" s="1"/>
  <c r="AQ583" i="19" s="1"/>
  <c r="G594" i="26"/>
  <c r="G973" i="26"/>
  <c r="G838" i="26"/>
  <c r="G782" i="26"/>
  <c r="G670" i="26"/>
  <c r="G669" i="26"/>
  <c r="AT690" i="19"/>
  <c r="AR690" i="19" s="1"/>
  <c r="AQ690" i="19" s="1"/>
  <c r="AT925" i="19"/>
  <c r="AR925" i="19" s="1"/>
  <c r="B933" i="26" s="1"/>
  <c r="G942" i="26"/>
  <c r="G935" i="26"/>
  <c r="G593" i="26"/>
  <c r="G890" i="26"/>
  <c r="AT730" i="19"/>
  <c r="AR730" i="19" s="1"/>
  <c r="AQ730" i="19" s="1"/>
  <c r="AT983" i="19"/>
  <c r="AR983" i="19" s="1"/>
  <c r="B991" i="26" s="1"/>
  <c r="AT828" i="19"/>
  <c r="AR828" i="19" s="1"/>
  <c r="AQ828" i="19" s="1"/>
  <c r="B781" i="26"/>
  <c r="AT726" i="19"/>
  <c r="AR726" i="19" s="1"/>
  <c r="AQ726" i="19" s="1"/>
  <c r="G632" i="26"/>
  <c r="G866" i="26"/>
  <c r="G792" i="26"/>
  <c r="AQ605" i="19"/>
  <c r="AT580" i="19"/>
  <c r="AR580" i="19" s="1"/>
  <c r="B588" i="26" s="1"/>
  <c r="G725" i="26"/>
  <c r="G685" i="26"/>
  <c r="G758" i="26"/>
  <c r="G831" i="26"/>
  <c r="AT671" i="19"/>
  <c r="AR671" i="19" s="1"/>
  <c r="AQ671" i="19" s="1"/>
  <c r="AT946" i="19"/>
  <c r="AR946" i="19" s="1"/>
  <c r="AQ946" i="19" s="1"/>
  <c r="AT789" i="19"/>
  <c r="AR789" i="19" s="1"/>
  <c r="B797" i="26" s="1"/>
  <c r="G571" i="26"/>
  <c r="G896" i="26"/>
  <c r="AT737" i="19"/>
  <c r="AR737" i="19" s="1"/>
  <c r="B745" i="26" s="1"/>
  <c r="AT967" i="19"/>
  <c r="AR967" i="19" s="1"/>
  <c r="AQ967" i="19" s="1"/>
  <c r="G623" i="26"/>
  <c r="G755" i="26"/>
  <c r="G871" i="26"/>
  <c r="G620" i="26"/>
  <c r="G671" i="26"/>
  <c r="G695" i="26"/>
  <c r="AT626" i="19"/>
  <c r="AR626" i="19" s="1"/>
  <c r="AQ626" i="19" s="1"/>
  <c r="AT806" i="19"/>
  <c r="AR806" i="19" s="1"/>
  <c r="B814" i="26" s="1"/>
  <c r="G641" i="26"/>
  <c r="AT570" i="19"/>
  <c r="AR570" i="19" s="1"/>
  <c r="AQ570" i="19" s="1"/>
  <c r="G598" i="26"/>
  <c r="AT710" i="19"/>
  <c r="AR710" i="19" s="1"/>
  <c r="B718" i="26" s="1"/>
  <c r="G640" i="26"/>
  <c r="G569" i="26"/>
  <c r="AT744" i="19"/>
  <c r="AR744" i="19" s="1"/>
  <c r="AQ744" i="19" s="1"/>
  <c r="G727" i="26"/>
  <c r="G668" i="26"/>
  <c r="G650" i="26"/>
  <c r="G667" i="26"/>
  <c r="AT787" i="19"/>
  <c r="AR787" i="19" s="1"/>
  <c r="B795" i="26" s="1"/>
  <c r="G823" i="26"/>
  <c r="G744" i="26"/>
  <c r="G648" i="26"/>
  <c r="G682" i="26"/>
  <c r="G647" i="26"/>
  <c r="G907" i="26"/>
  <c r="G690" i="26"/>
  <c r="AT636" i="19"/>
  <c r="AR636" i="19" s="1"/>
  <c r="B644" i="26" s="1"/>
  <c r="G688" i="26"/>
  <c r="AT919" i="19"/>
  <c r="AR919" i="19" s="1"/>
  <c r="AQ919" i="19" s="1"/>
  <c r="G778" i="26"/>
  <c r="AQ777" i="19"/>
  <c r="AT576" i="19"/>
  <c r="AR576" i="19" s="1"/>
  <c r="AQ576" i="19" s="1"/>
  <c r="G747" i="26"/>
  <c r="G963" i="26"/>
  <c r="AT917" i="19"/>
  <c r="AR917" i="19" s="1"/>
  <c r="B925" i="26" s="1"/>
  <c r="G945" i="26"/>
  <c r="AT733" i="19"/>
  <c r="AR733" i="19" s="1"/>
  <c r="B741" i="26" s="1"/>
  <c r="AQ622" i="19"/>
  <c r="G736" i="26"/>
  <c r="G626" i="26"/>
  <c r="G583" i="26"/>
  <c r="B748" i="26"/>
  <c r="AT564" i="19"/>
  <c r="AR564" i="19" s="1"/>
  <c r="AQ564" i="19" s="1"/>
  <c r="AT735" i="19"/>
  <c r="AR735" i="19" s="1"/>
  <c r="AQ735" i="19" s="1"/>
  <c r="G914" i="26"/>
  <c r="G997" i="26"/>
  <c r="AT714" i="19"/>
  <c r="AR714" i="19" s="1"/>
  <c r="AQ714" i="19" s="1"/>
  <c r="G857" i="26"/>
  <c r="G611" i="26"/>
  <c r="AT645" i="19"/>
  <c r="AR645" i="19" s="1"/>
  <c r="AQ645" i="19" s="1"/>
  <c r="G926" i="26"/>
  <c r="B940" i="26"/>
  <c r="G756" i="26"/>
  <c r="G874" i="26"/>
  <c r="G820" i="26"/>
  <c r="G589" i="26"/>
  <c r="G788" i="26"/>
  <c r="G764" i="26"/>
  <c r="AQ805" i="19"/>
  <c r="G614" i="26"/>
  <c r="AT588" i="19"/>
  <c r="AR588" i="19" s="1"/>
  <c r="B596" i="26" s="1"/>
  <c r="AT672" i="19"/>
  <c r="AR672" i="19" s="1"/>
  <c r="AQ672" i="19" s="1"/>
  <c r="G590" i="26"/>
  <c r="AT973" i="19"/>
  <c r="AR973" i="19" s="1"/>
  <c r="B981" i="26" s="1"/>
  <c r="G921" i="26"/>
  <c r="AT729" i="19"/>
  <c r="AR729" i="19" s="1"/>
  <c r="AQ729" i="19" s="1"/>
  <c r="G986" i="26"/>
  <c r="G977" i="26"/>
  <c r="AT886" i="19"/>
  <c r="AR886" i="19" s="1"/>
  <c r="B894" i="26" s="1"/>
  <c r="G846" i="26"/>
  <c r="G968" i="26"/>
  <c r="G859" i="26"/>
  <c r="AT678" i="19"/>
  <c r="AR678" i="19" s="1"/>
  <c r="AQ678" i="19" s="1"/>
  <c r="G731" i="26"/>
  <c r="G639" i="26"/>
  <c r="G804" i="26"/>
  <c r="G939" i="26"/>
  <c r="G649" i="26"/>
  <c r="G943" i="26"/>
  <c r="G609" i="26"/>
  <c r="B932" i="26"/>
  <c r="G919" i="26"/>
  <c r="G664" i="26"/>
  <c r="G985" i="26"/>
  <c r="B691" i="26"/>
  <c r="G580" i="26"/>
  <c r="G563" i="26"/>
  <c r="G819" i="26"/>
  <c r="B787" i="26"/>
  <c r="B833" i="26"/>
  <c r="B645" i="26"/>
  <c r="B657" i="26"/>
  <c r="AT725" i="19"/>
  <c r="AR725" i="19" s="1"/>
  <c r="AQ725" i="19" s="1"/>
  <c r="G799" i="26"/>
  <c r="AT638" i="19"/>
  <c r="AR638" i="19" s="1"/>
  <c r="B646" i="26" s="1"/>
  <c r="B739" i="26"/>
  <c r="G950" i="26"/>
  <c r="AT845" i="19"/>
  <c r="AR845" i="19" s="1"/>
  <c r="AQ845" i="19" s="1"/>
  <c r="AT822" i="19"/>
  <c r="AR822" i="19" s="1"/>
  <c r="AQ822" i="19" s="1"/>
  <c r="AT593" i="19"/>
  <c r="AR593" i="19" s="1"/>
  <c r="AQ593" i="19" s="1"/>
  <c r="AT665" i="19"/>
  <c r="AR665" i="19" s="1"/>
  <c r="AQ665" i="19" s="1"/>
  <c r="B858" i="26"/>
  <c r="AT832" i="19"/>
  <c r="AR832" i="19" s="1"/>
  <c r="AQ832" i="19" s="1"/>
  <c r="G815" i="26"/>
  <c r="G848" i="26"/>
  <c r="G652" i="26"/>
  <c r="G801" i="26"/>
  <c r="G659" i="26"/>
  <c r="G622" i="26"/>
  <c r="G716" i="26"/>
  <c r="G906" i="26"/>
  <c r="G955" i="26"/>
  <c r="G978" i="26"/>
  <c r="G900" i="26"/>
  <c r="G791" i="26"/>
  <c r="G780" i="26"/>
  <c r="G767" i="26"/>
  <c r="G827" i="26"/>
  <c r="G886" i="26"/>
  <c r="G772" i="26"/>
  <c r="G951" i="26"/>
  <c r="G769" i="26"/>
  <c r="G817" i="26"/>
  <c r="G930" i="26"/>
  <c r="G729" i="26"/>
  <c r="G661" i="26"/>
  <c r="G677" i="26"/>
  <c r="G603" i="26"/>
  <c r="G957" i="26"/>
  <c r="G910" i="26"/>
  <c r="G724" i="26"/>
  <c r="G990" i="26"/>
  <c r="G998" i="26"/>
  <c r="G753" i="26"/>
  <c r="G665" i="26"/>
  <c r="AT610" i="19"/>
  <c r="AR610" i="19" s="1"/>
  <c r="AQ610" i="19" s="1"/>
  <c r="AT944" i="19"/>
  <c r="AR944" i="19" s="1"/>
  <c r="AQ944" i="19" s="1"/>
  <c r="G885" i="26"/>
  <c r="AT559" i="19"/>
  <c r="AR559" i="19" s="1"/>
  <c r="B567" i="26" s="1"/>
  <c r="AT959" i="19"/>
  <c r="AR959" i="19" s="1"/>
  <c r="AQ959" i="19" s="1"/>
  <c r="G561" i="26"/>
  <c r="G707" i="26"/>
  <c r="G770" i="26"/>
  <c r="G610" i="26"/>
  <c r="G754" i="26"/>
  <c r="G562" i="26"/>
  <c r="G719" i="26"/>
  <c r="G675" i="26"/>
  <c r="G1002" i="26"/>
  <c r="G1000" i="26"/>
  <c r="G693" i="26"/>
  <c r="G855" i="26"/>
  <c r="G861" i="26"/>
  <c r="G800" i="26"/>
  <c r="G676" i="26"/>
  <c r="G962" i="26"/>
  <c r="G882" i="26"/>
  <c r="G768" i="26"/>
  <c r="G989" i="26"/>
  <c r="G697" i="26"/>
  <c r="G979" i="26"/>
  <c r="AT865" i="19"/>
  <c r="AR865" i="19" s="1"/>
  <c r="AQ865" i="19" s="1"/>
  <c r="G621" i="26"/>
  <c r="G761" i="26"/>
  <c r="G953" i="26"/>
  <c r="G961" i="26"/>
  <c r="AT896" i="19"/>
  <c r="AR896" i="19" s="1"/>
  <c r="AQ896" i="19" s="1"/>
  <c r="G803" i="26"/>
  <c r="G794" i="26"/>
  <c r="G710" i="26"/>
  <c r="G656" i="26"/>
  <c r="G818" i="26"/>
  <c r="AT782" i="19"/>
  <c r="AR782" i="19" s="1"/>
  <c r="AQ782" i="19" s="1"/>
  <c r="AT596" i="19"/>
  <c r="AR596" i="19" s="1"/>
  <c r="B604" i="26" s="1"/>
  <c r="G765" i="26"/>
  <c r="G918" i="26"/>
  <c r="AT701" i="19"/>
  <c r="AR701" i="19" s="1"/>
  <c r="AQ701" i="19" s="1"/>
  <c r="B759" i="26"/>
  <c r="G941" i="26"/>
  <c r="G920" i="26"/>
  <c r="G705" i="26"/>
  <c r="AT941" i="19"/>
  <c r="AR941" i="19" s="1"/>
  <c r="AQ941" i="19" s="1"/>
  <c r="G689" i="26"/>
  <c r="AT802" i="19"/>
  <c r="AR802" i="19" s="1"/>
  <c r="AQ802" i="19" s="1"/>
  <c r="G577" i="26"/>
  <c r="G779" i="26"/>
  <c r="G1003" i="26"/>
  <c r="G566" i="26"/>
  <c r="G1004" i="26"/>
  <c r="G895" i="26"/>
  <c r="G901" i="26"/>
  <c r="G909" i="26"/>
  <c r="G936" i="26"/>
  <c r="G832" i="26"/>
  <c r="G775" i="26"/>
  <c r="G913" i="26"/>
  <c r="G867" i="26"/>
  <c r="G915" i="26"/>
  <c r="G870" i="26"/>
  <c r="G728" i="26"/>
  <c r="G674" i="26"/>
  <c r="G809" i="26"/>
  <c r="G865" i="26"/>
  <c r="G879" i="26"/>
  <c r="G771" i="26"/>
  <c r="G938" i="26"/>
  <c r="G806" i="26"/>
  <c r="G700" i="26"/>
  <c r="G811" i="26"/>
  <c r="G883" i="26"/>
  <c r="AQ660" i="19"/>
  <c r="B965" i="26"/>
  <c r="B649" i="26"/>
  <c r="B780" i="26"/>
  <c r="AQ647" i="19"/>
  <c r="AQ718" i="19"/>
  <c r="B950" i="26"/>
  <c r="B688" i="26"/>
  <c r="B731" i="26"/>
  <c r="B989" i="26"/>
  <c r="AQ891" i="19"/>
  <c r="AQ633" i="19"/>
  <c r="AQ561" i="19"/>
  <c r="AQ578" i="19"/>
  <c r="AQ923" i="19"/>
  <c r="AQ965" i="19"/>
  <c r="B764" i="26"/>
  <c r="B852" i="26"/>
  <c r="AQ955" i="19"/>
  <c r="B926" i="26"/>
  <c r="AQ640" i="19"/>
  <c r="AQ774" i="19"/>
  <c r="B838" i="26"/>
  <c r="AQ612" i="19"/>
  <c r="AQ663" i="19"/>
  <c r="AQ732" i="19"/>
  <c r="AQ882" i="19"/>
  <c r="B939" i="26"/>
  <c r="B902" i="26"/>
  <c r="B650" i="26"/>
  <c r="B636" i="26"/>
  <c r="B725" i="26"/>
  <c r="AQ927" i="19"/>
  <c r="B670" i="26"/>
  <c r="B944" i="26"/>
  <c r="B742" i="26"/>
  <c r="B576" i="26"/>
  <c r="B924" i="26"/>
  <c r="B736" i="26"/>
  <c r="B666" i="26"/>
  <c r="B788" i="26"/>
  <c r="B971" i="26"/>
  <c r="B768" i="26"/>
  <c r="AQ866" i="19"/>
  <c r="B976" i="26"/>
  <c r="AQ811" i="19"/>
  <c r="B664" i="26"/>
  <c r="B834" i="26"/>
  <c r="AQ661" i="19"/>
  <c r="B977" i="26"/>
  <c r="B593" i="26"/>
  <c r="B744" i="26"/>
  <c r="B749" i="26"/>
  <c r="AQ609" i="19"/>
  <c r="AQ898" i="19"/>
  <c r="B778" i="26"/>
  <c r="AQ958" i="19"/>
  <c r="AQ560" i="19"/>
  <c r="B609" i="26"/>
  <c r="AQ938" i="19"/>
  <c r="AQ806" i="19"/>
  <c r="AQ838" i="19"/>
  <c r="AQ674" i="19"/>
  <c r="AQ911" i="19"/>
  <c r="D699" i="26"/>
  <c r="F699" i="26"/>
  <c r="D987" i="26"/>
  <c r="F987" i="26"/>
  <c r="D994" i="26"/>
  <c r="F994" i="26"/>
  <c r="D842" i="26"/>
  <c r="F842" i="26"/>
  <c r="D976" i="26"/>
  <c r="F976" i="26"/>
  <c r="D880" i="26"/>
  <c r="F880" i="26"/>
  <c r="D916" i="26"/>
  <c r="F916" i="26"/>
  <c r="D683" i="26"/>
  <c r="F683" i="26"/>
  <c r="D607" i="26"/>
  <c r="F607" i="26"/>
  <c r="D922" i="26"/>
  <c r="F922" i="26"/>
  <c r="D703" i="26"/>
  <c r="F703" i="26"/>
  <c r="D833" i="26"/>
  <c r="F833" i="26"/>
  <c r="D887" i="26"/>
  <c r="F887" i="26"/>
  <c r="D983" i="26"/>
  <c r="F983" i="26"/>
  <c r="D892" i="26"/>
  <c r="F892" i="26"/>
  <c r="D826" i="26"/>
  <c r="F826" i="26"/>
  <c r="D617" i="26"/>
  <c r="F617" i="26"/>
  <c r="D651" i="26"/>
  <c r="F651" i="26"/>
  <c r="D808" i="26"/>
  <c r="F808" i="26"/>
  <c r="D570" i="26"/>
  <c r="F570" i="26"/>
  <c r="D843" i="26"/>
  <c r="F843" i="26"/>
  <c r="D839" i="26"/>
  <c r="F839" i="26"/>
  <c r="D704" i="26"/>
  <c r="F704" i="26"/>
  <c r="D774" i="26"/>
  <c r="F774" i="26"/>
  <c r="AQ555" i="19"/>
  <c r="D732" i="26"/>
  <c r="F732" i="26"/>
  <c r="D576" i="26"/>
  <c r="F576" i="26"/>
  <c r="D627" i="26"/>
  <c r="F627" i="26"/>
  <c r="D982" i="26"/>
  <c r="F982" i="26"/>
  <c r="D684" i="26"/>
  <c r="F684" i="26"/>
  <c r="D993" i="26"/>
  <c r="F993" i="26"/>
  <c r="D606" i="26"/>
  <c r="F606" i="26"/>
  <c r="D960" i="26"/>
  <c r="F960" i="26"/>
  <c r="D862" i="26"/>
  <c r="F862" i="26"/>
  <c r="D824" i="26"/>
  <c r="F824" i="26"/>
  <c r="D638" i="26"/>
  <c r="F638" i="26"/>
  <c r="B879" i="26"/>
  <c r="B583" i="26"/>
  <c r="AQ907" i="19"/>
  <c r="D912" i="26"/>
  <c r="F912" i="26"/>
  <c r="D687" i="26"/>
  <c r="F687" i="26"/>
  <c r="D715" i="26"/>
  <c r="F715" i="26"/>
  <c r="D777" i="26"/>
  <c r="F777" i="26"/>
  <c r="D631" i="26"/>
  <c r="F631" i="26"/>
  <c r="D691" i="26"/>
  <c r="F691" i="26"/>
  <c r="D793" i="26"/>
  <c r="F793" i="26"/>
  <c r="D787" i="26"/>
  <c r="F787" i="26"/>
  <c r="D816" i="26"/>
  <c r="F816" i="26"/>
  <c r="D666" i="26"/>
  <c r="F666" i="26"/>
  <c r="D807" i="26"/>
  <c r="F807" i="26"/>
  <c r="D1006" i="26"/>
  <c r="F1006" i="26"/>
  <c r="D974" i="26"/>
  <c r="F974" i="26"/>
  <c r="D876" i="26"/>
  <c r="F876" i="26"/>
  <c r="D784" i="26"/>
  <c r="F784" i="26"/>
  <c r="D696" i="26"/>
  <c r="F696" i="26"/>
  <c r="D746" i="26"/>
  <c r="F746" i="26"/>
  <c r="D748" i="26"/>
  <c r="F748" i="26"/>
  <c r="B985" i="26"/>
  <c r="B799" i="26"/>
  <c r="D615" i="26"/>
  <c r="F615" i="26"/>
  <c r="D564" i="26"/>
  <c r="F564" i="26"/>
  <c r="D946" i="26"/>
  <c r="F946" i="26"/>
  <c r="D972" i="26"/>
  <c r="F972" i="26"/>
  <c r="D613" i="26"/>
  <c r="F613" i="26"/>
  <c r="D1001" i="26"/>
  <c r="F1001" i="26"/>
  <c r="D1005" i="26"/>
  <c r="F1005" i="26"/>
  <c r="D759" i="26"/>
  <c r="F759" i="26"/>
  <c r="D805" i="26"/>
  <c r="F805" i="26"/>
  <c r="D829" i="26"/>
  <c r="F829" i="26"/>
  <c r="D750" i="26"/>
  <c r="F750" i="26"/>
  <c r="D692" i="26"/>
  <c r="F692" i="26"/>
  <c r="D884" i="26"/>
  <c r="F884" i="26"/>
  <c r="D678" i="26"/>
  <c r="F678" i="26"/>
  <c r="D565" i="26"/>
  <c r="F565" i="26"/>
  <c r="D751" i="26"/>
  <c r="F751" i="26"/>
  <c r="D923" i="26"/>
  <c r="F923" i="26"/>
  <c r="D988" i="26"/>
  <c r="F988" i="26"/>
  <c r="D660" i="26"/>
  <c r="F660" i="26"/>
  <c r="D616" i="26"/>
  <c r="F616" i="26"/>
  <c r="AQ801" i="19"/>
  <c r="D849" i="26"/>
  <c r="F849" i="26"/>
  <c r="D937" i="26"/>
  <c r="F937" i="26"/>
  <c r="D869" i="26"/>
  <c r="F869" i="26"/>
  <c r="D619" i="26"/>
  <c r="F619" i="26"/>
  <c r="D932" i="26"/>
  <c r="F932" i="26"/>
  <c r="D723" i="26"/>
  <c r="F723" i="26"/>
  <c r="D706" i="26"/>
  <c r="F706" i="26"/>
  <c r="D917" i="26"/>
  <c r="F917" i="26"/>
  <c r="D600" i="26"/>
  <c r="F600" i="26"/>
  <c r="D763" i="26"/>
  <c r="F763" i="26"/>
  <c r="D881" i="26"/>
  <c r="F881" i="26"/>
  <c r="D924" i="26"/>
  <c r="F924" i="26"/>
  <c r="D595" i="26"/>
  <c r="F595" i="26"/>
  <c r="D658" i="26"/>
  <c r="F658" i="26"/>
  <c r="D708" i="26"/>
  <c r="F708" i="26"/>
  <c r="D864" i="26"/>
  <c r="F864" i="26"/>
  <c r="D642" i="26"/>
  <c r="F642" i="26"/>
  <c r="D898" i="26"/>
  <c r="F898" i="26"/>
  <c r="B808" i="26"/>
  <c r="D581" i="26"/>
  <c r="F581" i="26"/>
  <c r="D956" i="26"/>
  <c r="F956" i="26"/>
  <c r="D717" i="26"/>
  <c r="F717" i="26"/>
  <c r="D592" i="26"/>
  <c r="F592" i="26"/>
  <c r="D877" i="26"/>
  <c r="F877" i="26"/>
  <c r="D980" i="26"/>
  <c r="F980" i="26"/>
  <c r="D889" i="26"/>
  <c r="F889" i="26"/>
  <c r="D905" i="26"/>
  <c r="F905" i="26"/>
  <c r="D726" i="26"/>
  <c r="F726" i="26"/>
  <c r="D713" i="26"/>
  <c r="F713" i="26"/>
  <c r="D585" i="26"/>
  <c r="F585" i="26"/>
  <c r="D948" i="26"/>
  <c r="F948" i="26"/>
  <c r="D735" i="26"/>
  <c r="F735" i="26"/>
  <c r="D929" i="26"/>
  <c r="F929" i="26"/>
  <c r="D856" i="26"/>
  <c r="F856" i="26"/>
  <c r="D630" i="26"/>
  <c r="F630" i="26"/>
  <c r="D845" i="26"/>
  <c r="F845" i="26"/>
  <c r="D625" i="26"/>
  <c r="F625" i="26"/>
  <c r="B599" i="26"/>
  <c r="D796" i="26"/>
  <c r="F796" i="26"/>
  <c r="D999" i="26"/>
  <c r="F999" i="26"/>
  <c r="B676" i="26"/>
  <c r="D702" i="26"/>
  <c r="F702" i="26"/>
  <c r="D645" i="26"/>
  <c r="F645" i="26"/>
  <c r="D822" i="26"/>
  <c r="F822" i="26"/>
  <c r="D893" i="26"/>
  <c r="F893" i="26"/>
  <c r="D970" i="26"/>
  <c r="F970" i="26"/>
  <c r="D766" i="26"/>
  <c r="F766" i="26"/>
  <c r="D837" i="26"/>
  <c r="F837" i="26"/>
  <c r="D721" i="26"/>
  <c r="F721" i="26"/>
  <c r="D636" i="26"/>
  <c r="F636" i="26"/>
  <c r="D812" i="26"/>
  <c r="F812" i="26"/>
  <c r="D813" i="26"/>
  <c r="F813" i="26"/>
  <c r="AQ939" i="19"/>
  <c r="AQ935" i="19"/>
  <c r="B986" i="26"/>
  <c r="D798" i="26"/>
  <c r="F798" i="26"/>
  <c r="D875" i="26"/>
  <c r="F875" i="26"/>
  <c r="D944" i="26"/>
  <c r="F944" i="26"/>
  <c r="D786" i="26"/>
  <c r="F786" i="26"/>
  <c r="D940" i="26"/>
  <c r="F940" i="26"/>
  <c r="D851" i="26"/>
  <c r="F851" i="26"/>
  <c r="D959" i="26"/>
  <c r="F959" i="26"/>
  <c r="D958" i="26"/>
  <c r="F958" i="26"/>
  <c r="D996" i="26"/>
  <c r="F996" i="26"/>
  <c r="B918" i="26"/>
  <c r="B727" i="26"/>
  <c r="B962" i="26"/>
  <c r="AQ937" i="19"/>
  <c r="D739" i="26"/>
  <c r="F739" i="26"/>
  <c r="D850" i="26"/>
  <c r="F850" i="26"/>
  <c r="D789" i="26"/>
  <c r="F789" i="26"/>
  <c r="D637" i="26"/>
  <c r="F637" i="26"/>
  <c r="D785" i="26"/>
  <c r="F785" i="26"/>
  <c r="D654" i="26"/>
  <c r="F654" i="26"/>
  <c r="D858" i="26"/>
  <c r="F858" i="26"/>
  <c r="D633" i="26"/>
  <c r="F633" i="26"/>
  <c r="D781" i="26"/>
  <c r="F781" i="26"/>
  <c r="D1008" i="26"/>
  <c r="F1008" i="26"/>
  <c r="D720" i="26"/>
  <c r="F720" i="26"/>
  <c r="D984" i="26"/>
  <c r="F984" i="26"/>
  <c r="D934" i="26"/>
  <c r="F934" i="26"/>
  <c r="D908" i="26"/>
  <c r="F908" i="26"/>
  <c r="D730" i="26"/>
  <c r="F730" i="26"/>
  <c r="D911" i="26"/>
  <c r="F911" i="26"/>
  <c r="D863" i="26"/>
  <c r="F863" i="26"/>
  <c r="D694" i="26"/>
  <c r="F694" i="26"/>
  <c r="D643" i="26"/>
  <c r="F643" i="26"/>
  <c r="D657" i="26"/>
  <c r="F657" i="26"/>
  <c r="D854" i="26"/>
  <c r="F854" i="26"/>
  <c r="D969" i="26"/>
  <c r="F969" i="26"/>
  <c r="D802" i="26"/>
  <c r="F802" i="26"/>
  <c r="D605" i="26"/>
  <c r="F605" i="26"/>
  <c r="B816" i="26"/>
  <c r="B847" i="26"/>
  <c r="D681" i="26"/>
  <c r="F681" i="26"/>
  <c r="D964" i="26"/>
  <c r="F964" i="26"/>
  <c r="B897" i="26"/>
  <c r="B983" i="26"/>
  <c r="D663" i="26"/>
  <c r="F663" i="26"/>
  <c r="D992" i="26"/>
  <c r="F992" i="26"/>
  <c r="D841" i="26"/>
  <c r="F841" i="26"/>
  <c r="D835" i="26"/>
  <c r="F835" i="26"/>
  <c r="D995" i="26"/>
  <c r="F995" i="26"/>
  <c r="D714" i="26"/>
  <c r="F714" i="26"/>
  <c r="D868" i="26"/>
  <c r="F868" i="26"/>
  <c r="D757" i="26"/>
  <c r="F757" i="26"/>
  <c r="D672" i="26"/>
  <c r="F672" i="26"/>
  <c r="D852" i="26"/>
  <c r="F852" i="26"/>
  <c r="D844" i="26"/>
  <c r="F844" i="26"/>
  <c r="D712" i="26"/>
  <c r="F712" i="26"/>
  <c r="D582" i="26"/>
  <c r="F582" i="26"/>
  <c r="D628" i="26"/>
  <c r="F628" i="26"/>
  <c r="D928" i="26"/>
  <c r="F928" i="26"/>
  <c r="D776" i="26"/>
  <c r="F776" i="26"/>
  <c r="D762" i="26"/>
  <c r="F762" i="26"/>
  <c r="D872" i="26"/>
  <c r="F872" i="26"/>
  <c r="D612" i="26"/>
  <c r="F612" i="26"/>
  <c r="D624" i="26"/>
  <c r="F624" i="26"/>
  <c r="D1007" i="26"/>
  <c r="F1007" i="26"/>
  <c r="AQ862" i="19"/>
  <c r="AQ992" i="19"/>
  <c r="B828" i="26"/>
  <c r="AQ949" i="19"/>
  <c r="AQ943" i="19"/>
  <c r="B817" i="26"/>
  <c r="AQ562" i="19"/>
  <c r="AQ851" i="19"/>
  <c r="AQ676" i="19"/>
  <c r="AQ878" i="19"/>
  <c r="B1004" i="26"/>
  <c r="B580" i="26"/>
  <c r="AQ708" i="19"/>
  <c r="AQ840" i="19"/>
  <c r="AQ989" i="19"/>
  <c r="AQ558" i="19"/>
  <c r="B610" i="26"/>
  <c r="B883" i="26"/>
  <c r="AQ762" i="19"/>
  <c r="AQ903" i="19"/>
  <c r="AQ940" i="19"/>
  <c r="AQ952" i="19"/>
  <c r="B791" i="26"/>
  <c r="AQ764" i="19"/>
  <c r="B697" i="26"/>
  <c r="AQ819" i="19"/>
  <c r="AQ653" i="19"/>
  <c r="AQ565" i="19"/>
  <c r="AQ890" i="19"/>
  <c r="AQ987" i="19"/>
  <c r="AQ571" i="19"/>
  <c r="B896" i="26"/>
  <c r="B659" i="26"/>
  <c r="B729" i="26"/>
  <c r="B677" i="26"/>
  <c r="B594" i="26"/>
  <c r="B910" i="26"/>
  <c r="B724" i="26"/>
  <c r="AQ807" i="19"/>
  <c r="B930" i="26"/>
  <c r="B998" i="26"/>
  <c r="B571" i="26"/>
  <c r="B687" i="26"/>
  <c r="B647" i="26"/>
  <c r="B767" i="26"/>
  <c r="B652" i="26"/>
  <c r="B769" i="26"/>
  <c r="B695" i="26"/>
  <c r="B603" i="26"/>
  <c r="B777" i="26"/>
  <c r="B804" i="26"/>
  <c r="AQ581" i="19"/>
  <c r="B608" i="26"/>
  <c r="B978" i="26"/>
  <c r="B794" i="26"/>
  <c r="B801" i="26"/>
  <c r="B900" i="26"/>
  <c r="B888" i="26"/>
  <c r="B754" i="26"/>
  <c r="B582" i="26"/>
  <c r="B955" i="26"/>
  <c r="B990" i="26"/>
  <c r="AQ836" i="19"/>
  <c r="AQ790" i="19"/>
  <c r="B753" i="26"/>
  <c r="B860" i="26"/>
  <c r="B774" i="26"/>
  <c r="B909" i="26"/>
  <c r="B623" i="26"/>
  <c r="B999" i="26"/>
  <c r="B747" i="26"/>
  <c r="B662" i="26"/>
  <c r="AQ971" i="19"/>
  <c r="B1008" i="26"/>
  <c r="B773" i="26"/>
  <c r="B901" i="26"/>
  <c r="B878" i="26"/>
  <c r="B622" i="26"/>
  <c r="B690" i="26"/>
  <c r="B970" i="26"/>
  <c r="AQ960" i="19"/>
  <c r="AQ681" i="19"/>
  <c r="AQ703" i="19"/>
  <c r="AQ994" i="19"/>
  <c r="AQ883" i="19"/>
  <c r="AQ815" i="19"/>
  <c r="AQ792" i="19"/>
  <c r="AQ582" i="19"/>
  <c r="AT837" i="19"/>
  <c r="AR837" i="19" s="1"/>
  <c r="AQ837" i="19" s="1"/>
  <c r="G845" i="26"/>
  <c r="AT904" i="19"/>
  <c r="AR904" i="19" s="1"/>
  <c r="AQ904" i="19" s="1"/>
  <c r="G912" i="26"/>
  <c r="B866" i="26"/>
  <c r="B938" i="26"/>
  <c r="B632" i="26"/>
  <c r="B903" i="26"/>
  <c r="B710" i="26"/>
  <c r="B820" i="26"/>
  <c r="B792" i="26"/>
  <c r="B961" i="26"/>
  <c r="B803" i="26"/>
  <c r="B941" i="26"/>
  <c r="B626" i="26"/>
  <c r="B675" i="26"/>
  <c r="B861" i="26"/>
  <c r="B656" i="26"/>
  <c r="B707" i="26"/>
  <c r="B631" i="26"/>
  <c r="AT630" i="19"/>
  <c r="AR630" i="19" s="1"/>
  <c r="AQ630" i="19" s="1"/>
  <c r="G638" i="26"/>
  <c r="AT788" i="19"/>
  <c r="AR788" i="19" s="1"/>
  <c r="AQ788" i="19" s="1"/>
  <c r="G796" i="26"/>
  <c r="B765" i="26"/>
  <c r="B818" i="26"/>
  <c r="B705" i="26"/>
  <c r="B685" i="26"/>
  <c r="B756" i="26"/>
  <c r="B783" i="26"/>
  <c r="B921" i="26"/>
  <c r="B913" i="26"/>
  <c r="B871" i="26"/>
  <c r="B587" i="26"/>
  <c r="B639" i="26"/>
  <c r="B674" i="26"/>
  <c r="B758" i="26"/>
  <c r="AT646" i="19"/>
  <c r="AR646" i="19" s="1"/>
  <c r="AQ646" i="19" s="1"/>
  <c r="G654" i="26"/>
  <c r="B755" i="26"/>
  <c r="B885" i="26"/>
  <c r="B602" i="26"/>
  <c r="B611" i="26"/>
  <c r="B895" i="26"/>
  <c r="B600" i="26"/>
  <c r="B835" i="26"/>
  <c r="B562" i="26"/>
  <c r="B678" i="26"/>
  <c r="B665" i="26"/>
  <c r="B640" i="26"/>
  <c r="AT635" i="19"/>
  <c r="AR635" i="19" s="1"/>
  <c r="B643" i="26" s="1"/>
  <c r="G643" i="26"/>
  <c r="B914" i="26"/>
  <c r="B865" i="26"/>
  <c r="B972" i="26"/>
  <c r="B574" i="26"/>
  <c r="B789" i="26"/>
  <c r="B936" i="26"/>
  <c r="B763" i="26"/>
  <c r="B832" i="26"/>
  <c r="B693" i="26"/>
  <c r="B1003" i="26"/>
  <c r="AT926" i="19"/>
  <c r="AR926" i="19" s="1"/>
  <c r="AQ926" i="19" s="1"/>
  <c r="G934" i="26"/>
  <c r="B882" i="26"/>
  <c r="B864" i="26"/>
  <c r="B988" i="26"/>
  <c r="B561" i="26"/>
  <c r="B719" i="26"/>
  <c r="B907" i="26"/>
  <c r="B700" i="26"/>
  <c r="B621" i="26"/>
  <c r="B614" i="26"/>
  <c r="B728" i="26"/>
  <c r="B855" i="26"/>
  <c r="B692" i="26"/>
  <c r="B953" i="26"/>
  <c r="AT629" i="19"/>
  <c r="AR629" i="19" s="1"/>
  <c r="AQ629" i="19" s="1"/>
  <c r="G637" i="26"/>
  <c r="AT831" i="19"/>
  <c r="AR831" i="19" s="1"/>
  <c r="B839" i="26" s="1"/>
  <c r="G839" i="26"/>
  <c r="AT722" i="19"/>
  <c r="AR722" i="19" s="1"/>
  <c r="B730" i="26" s="1"/>
  <c r="G730" i="26"/>
  <c r="AT829" i="19"/>
  <c r="AR829" i="19" s="1"/>
  <c r="AQ829" i="19" s="1"/>
  <c r="G837" i="26"/>
  <c r="AT577" i="19"/>
  <c r="AR577" i="19" s="1"/>
  <c r="B585" i="26" s="1"/>
  <c r="G585" i="26"/>
  <c r="B920" i="26"/>
  <c r="B942" i="26"/>
  <c r="B771" i="26"/>
  <c r="B577" i="26"/>
  <c r="B779" i="26"/>
  <c r="B575" i="26"/>
  <c r="B775" i="26"/>
  <c r="B598" i="26"/>
  <c r="B667" i="26"/>
  <c r="B761" i="26"/>
  <c r="B831" i="26"/>
  <c r="B867" i="26"/>
  <c r="B811" i="26"/>
  <c r="B857" i="26"/>
  <c r="AT976" i="19"/>
  <c r="AR976" i="19" s="1"/>
  <c r="AQ976" i="19" s="1"/>
  <c r="G984" i="26"/>
  <c r="AQ798" i="19"/>
  <c r="AT988" i="19"/>
  <c r="AR988" i="19" s="1"/>
  <c r="B996" i="26" s="1"/>
  <c r="G996" i="26"/>
  <c r="AT634" i="19"/>
  <c r="AR634" i="19" s="1"/>
  <c r="AQ634" i="19" s="1"/>
  <c r="G642" i="26"/>
  <c r="AS576" i="19"/>
  <c r="C584" i="26"/>
  <c r="AS946" i="19"/>
  <c r="C954" i="26"/>
  <c r="AS930" i="19"/>
  <c r="C938" i="26"/>
  <c r="AS645" i="19"/>
  <c r="C653" i="26"/>
  <c r="AS661" i="19"/>
  <c r="C669" i="26"/>
  <c r="AS922" i="19"/>
  <c r="C930" i="26"/>
  <c r="AS918" i="19"/>
  <c r="C926" i="26"/>
  <c r="AS813" i="19"/>
  <c r="C821" i="26"/>
  <c r="AS994" i="19"/>
  <c r="C1002" i="26"/>
  <c r="AS828" i="19"/>
  <c r="C836" i="26"/>
  <c r="AS720" i="19"/>
  <c r="C728" i="26"/>
  <c r="AS896" i="19"/>
  <c r="C904" i="26"/>
  <c r="AS917" i="19"/>
  <c r="C925" i="26"/>
  <c r="AS641" i="19"/>
  <c r="C649" i="26"/>
  <c r="AS858" i="19"/>
  <c r="C866" i="26"/>
  <c r="AS784" i="19"/>
  <c r="C792" i="26"/>
  <c r="AS978" i="19"/>
  <c r="C986" i="26"/>
  <c r="AS863" i="19"/>
  <c r="C871" i="26"/>
  <c r="AS780" i="19"/>
  <c r="C788" i="26"/>
  <c r="AS763" i="19"/>
  <c r="C771" i="26"/>
  <c r="AS954" i="19"/>
  <c r="C962" i="26"/>
  <c r="AS982" i="19"/>
  <c r="C990" i="26"/>
  <c r="AS957" i="19"/>
  <c r="C965" i="26"/>
  <c r="AS809" i="19"/>
  <c r="C817" i="26"/>
  <c r="AS610" i="19"/>
  <c r="C618" i="26"/>
  <c r="AS723" i="19"/>
  <c r="C731" i="26"/>
  <c r="AS595" i="19"/>
  <c r="C603" i="26"/>
  <c r="AS569" i="19"/>
  <c r="C577" i="26"/>
  <c r="AS594" i="19"/>
  <c r="C602" i="26"/>
  <c r="AS565" i="19"/>
  <c r="C573" i="26"/>
  <c r="AS877" i="19"/>
  <c r="C885" i="26"/>
  <c r="AS579" i="19"/>
  <c r="C587" i="26"/>
  <c r="AS894" i="19"/>
  <c r="C902" i="26"/>
  <c r="AS681" i="19"/>
  <c r="C689" i="26"/>
  <c r="AS739" i="19"/>
  <c r="C747" i="26"/>
  <c r="AS823" i="19"/>
  <c r="C831" i="26"/>
  <c r="AS902" i="19"/>
  <c r="C910" i="26"/>
  <c r="AS593" i="19"/>
  <c r="C601" i="26"/>
  <c r="AS787" i="19"/>
  <c r="C795" i="26"/>
  <c r="AS764" i="19"/>
  <c r="C772" i="26"/>
  <c r="AS891" i="19"/>
  <c r="C899" i="26"/>
  <c r="AS580" i="19"/>
  <c r="C588" i="26"/>
  <c r="AS721" i="19"/>
  <c r="C729" i="26"/>
  <c r="AS583" i="19"/>
  <c r="C591" i="26"/>
  <c r="AS737" i="19"/>
  <c r="C745" i="26"/>
  <c r="AS906" i="19"/>
  <c r="C914" i="26"/>
  <c r="AS606" i="19"/>
  <c r="C614" i="26"/>
  <c r="AS660" i="19"/>
  <c r="C668" i="26"/>
  <c r="AS883" i="19"/>
  <c r="C891" i="26"/>
  <c r="AS782" i="19"/>
  <c r="C790" i="26"/>
  <c r="AS586" i="19"/>
  <c r="C594" i="26"/>
  <c r="AS767" i="19"/>
  <c r="C775" i="26"/>
  <c r="AS989" i="19"/>
  <c r="C997" i="26"/>
  <c r="AS995" i="19"/>
  <c r="C1003" i="26"/>
  <c r="AS774" i="19"/>
  <c r="C782" i="26"/>
  <c r="AS949" i="19"/>
  <c r="C957" i="26"/>
  <c r="AS750" i="19"/>
  <c r="C758" i="26"/>
  <c r="AS674" i="19"/>
  <c r="C682" i="26"/>
  <c r="AS824" i="19"/>
  <c r="C832" i="26"/>
  <c r="AS692" i="19"/>
  <c r="C700" i="26"/>
  <c r="AS871" i="19"/>
  <c r="C879" i="26"/>
  <c r="AS647" i="19"/>
  <c r="C655" i="26"/>
  <c r="AS789" i="19"/>
  <c r="C797" i="26"/>
  <c r="AS702" i="19"/>
  <c r="C710" i="26"/>
  <c r="AS937" i="19"/>
  <c r="C945" i="26"/>
  <c r="AS983" i="19"/>
  <c r="C991" i="26"/>
  <c r="AS931" i="19"/>
  <c r="C939" i="26"/>
  <c r="AS760" i="19"/>
  <c r="C768" i="26"/>
  <c r="AS807" i="19"/>
  <c r="C815" i="26"/>
  <c r="AS967" i="19"/>
  <c r="C975" i="26"/>
  <c r="AS657" i="19"/>
  <c r="C665" i="26"/>
  <c r="AS571" i="19"/>
  <c r="C579" i="26"/>
  <c r="AS632" i="19"/>
  <c r="C640" i="26"/>
  <c r="AS614" i="19"/>
  <c r="C622" i="26"/>
  <c r="AS627" i="19"/>
  <c r="C635" i="26"/>
  <c r="AS866" i="19"/>
  <c r="C874" i="26"/>
  <c r="AS939" i="19"/>
  <c r="C947" i="26"/>
  <c r="AS572" i="19"/>
  <c r="C580" i="26"/>
  <c r="AS791" i="19"/>
  <c r="C799" i="26"/>
  <c r="AS817" i="19"/>
  <c r="C825" i="26"/>
  <c r="AS802" i="19"/>
  <c r="C810" i="26"/>
  <c r="AS602" i="19"/>
  <c r="C610" i="26"/>
  <c r="AS561" i="19"/>
  <c r="C569" i="26"/>
  <c r="AS582" i="19"/>
  <c r="C590" i="26"/>
  <c r="AS761" i="19"/>
  <c r="C769" i="26"/>
  <c r="AS716" i="19"/>
  <c r="C724" i="26"/>
  <c r="AS911" i="19"/>
  <c r="C919" i="26"/>
  <c r="AS725" i="19"/>
  <c r="C733" i="26"/>
  <c r="AS996" i="19"/>
  <c r="C1004" i="26"/>
  <c r="AS888" i="19"/>
  <c r="C896" i="26"/>
  <c r="AS878" i="19"/>
  <c r="C886" i="26"/>
  <c r="AS810" i="19"/>
  <c r="C818" i="26"/>
  <c r="AS626" i="19"/>
  <c r="C634" i="26"/>
  <c r="AS566" i="19"/>
  <c r="C574" i="26"/>
  <c r="AS639" i="19"/>
  <c r="C647" i="26"/>
  <c r="AS651" i="19"/>
  <c r="C659" i="26"/>
  <c r="AS840" i="19"/>
  <c r="C848" i="26"/>
  <c r="AS913" i="19"/>
  <c r="C921" i="26"/>
  <c r="AS851" i="19"/>
  <c r="C859" i="26"/>
  <c r="AS703" i="19"/>
  <c r="C711" i="26"/>
  <c r="AS981" i="19"/>
  <c r="C989" i="26"/>
  <c r="AS969" i="19"/>
  <c r="C977" i="26"/>
  <c r="AS803" i="19"/>
  <c r="C811" i="26"/>
  <c r="AS977" i="19"/>
  <c r="C985" i="26"/>
  <c r="AS838" i="19"/>
  <c r="C846" i="26"/>
  <c r="AS934" i="19"/>
  <c r="C942" i="26"/>
  <c r="AS714" i="19"/>
  <c r="C722" i="26"/>
  <c r="AS815" i="19"/>
  <c r="C823" i="26"/>
  <c r="AS701" i="19"/>
  <c r="C709" i="26"/>
  <c r="AS621" i="19"/>
  <c r="C629" i="26"/>
  <c r="AS567" i="19"/>
  <c r="C575" i="26"/>
  <c r="AS945" i="19"/>
  <c r="C953" i="26"/>
  <c r="AS947" i="19"/>
  <c r="C955" i="26"/>
  <c r="AS759" i="19"/>
  <c r="C767" i="26"/>
  <c r="AS845" i="19"/>
  <c r="C853" i="26"/>
  <c r="AS965" i="19"/>
  <c r="C973" i="26"/>
  <c r="AS671" i="19"/>
  <c r="C679" i="26"/>
  <c r="AS578" i="19"/>
  <c r="C586" i="26"/>
  <c r="AS744" i="19"/>
  <c r="C752" i="26"/>
  <c r="AS618" i="19"/>
  <c r="C626" i="26"/>
  <c r="AS955" i="19"/>
  <c r="C963" i="26"/>
  <c r="AS729" i="19"/>
  <c r="C737" i="26"/>
  <c r="AS923" i="19"/>
  <c r="C931" i="26"/>
  <c r="AS591" i="19"/>
  <c r="C599" i="26"/>
  <c r="AS693" i="19"/>
  <c r="C701" i="26"/>
  <c r="AS901" i="19"/>
  <c r="C909" i="26"/>
  <c r="AS943" i="19"/>
  <c r="C951" i="26"/>
  <c r="AS689" i="19"/>
  <c r="C697" i="26"/>
  <c r="AS992" i="19"/>
  <c r="C1000" i="26"/>
  <c r="AS596" i="19"/>
  <c r="C604" i="26"/>
  <c r="AS560" i="19"/>
  <c r="C568" i="26"/>
  <c r="AS762" i="19"/>
  <c r="C770" i="26"/>
  <c r="AS819" i="19"/>
  <c r="C827" i="26"/>
  <c r="AS733" i="19"/>
  <c r="C741" i="26"/>
  <c r="AS865" i="19"/>
  <c r="C873" i="26"/>
  <c r="AS786" i="19"/>
  <c r="C794" i="26"/>
  <c r="AS935" i="19"/>
  <c r="C943" i="26"/>
  <c r="AS666" i="19"/>
  <c r="C674" i="26"/>
  <c r="AS889" i="19"/>
  <c r="C897" i="26"/>
  <c r="AS640" i="19"/>
  <c r="C648" i="26"/>
  <c r="AS747" i="19"/>
  <c r="C755" i="26"/>
  <c r="AS822" i="19"/>
  <c r="C830" i="26"/>
  <c r="AS830" i="19"/>
  <c r="C838" i="26"/>
  <c r="AS581" i="19"/>
  <c r="C589" i="26"/>
  <c r="AS811" i="19"/>
  <c r="C819" i="26"/>
  <c r="AS667" i="19"/>
  <c r="C675" i="26"/>
  <c r="AS832" i="19"/>
  <c r="C840" i="26"/>
  <c r="AS682" i="19"/>
  <c r="C690" i="26"/>
  <c r="AS870" i="19"/>
  <c r="C878" i="26"/>
  <c r="AS585" i="19"/>
  <c r="C593" i="26"/>
  <c r="AS662" i="19"/>
  <c r="C670" i="26"/>
  <c r="AS973" i="19"/>
  <c r="C981" i="26"/>
  <c r="AS603" i="19"/>
  <c r="C611" i="26"/>
  <c r="AS907" i="19"/>
  <c r="C915" i="26"/>
  <c r="AS654" i="19"/>
  <c r="C662" i="26"/>
  <c r="AS771" i="19"/>
  <c r="C779" i="26"/>
  <c r="AS852" i="19"/>
  <c r="C860" i="26"/>
  <c r="AS792" i="19"/>
  <c r="C800" i="26"/>
  <c r="AS601" i="19"/>
  <c r="C609" i="26"/>
  <c r="AS631" i="19"/>
  <c r="C639" i="26"/>
  <c r="AS925" i="19"/>
  <c r="C933" i="26"/>
  <c r="AS748" i="19"/>
  <c r="C756" i="26"/>
  <c r="AS663" i="19"/>
  <c r="C671" i="26"/>
  <c r="AS554" i="19"/>
  <c r="C562" i="26"/>
  <c r="AS859" i="19"/>
  <c r="C867" i="26"/>
  <c r="AS795" i="19"/>
  <c r="C803" i="26"/>
  <c r="AS553" i="19"/>
  <c r="C561" i="26"/>
  <c r="AS875" i="19"/>
  <c r="C883" i="26"/>
  <c r="AS753" i="19"/>
  <c r="C761" i="26"/>
  <c r="AS685" i="19"/>
  <c r="C693" i="26"/>
  <c r="AS905" i="19"/>
  <c r="C913" i="26"/>
  <c r="AS563" i="19"/>
  <c r="C571" i="26"/>
  <c r="AS735" i="19"/>
  <c r="C743" i="26"/>
  <c r="AS798" i="19"/>
  <c r="C806" i="26"/>
  <c r="AS990" i="19"/>
  <c r="C998" i="26"/>
  <c r="AS849" i="19"/>
  <c r="C857" i="26"/>
  <c r="AS847" i="19"/>
  <c r="C855" i="26"/>
  <c r="AS648" i="19"/>
  <c r="C656" i="26"/>
  <c r="AS687" i="19"/>
  <c r="C695" i="26"/>
  <c r="AS736" i="19"/>
  <c r="C744" i="26"/>
  <c r="AS570" i="19"/>
  <c r="C578" i="26"/>
  <c r="AS677" i="19"/>
  <c r="C685" i="26"/>
  <c r="AS892" i="19"/>
  <c r="C900" i="26"/>
  <c r="AS928" i="19"/>
  <c r="C936" i="26"/>
  <c r="AS927" i="19"/>
  <c r="C935" i="26"/>
  <c r="AS559" i="19"/>
  <c r="C567" i="26"/>
  <c r="AS613" i="19"/>
  <c r="C621" i="26"/>
  <c r="AS793" i="19"/>
  <c r="C801" i="26"/>
  <c r="AS910" i="19"/>
  <c r="C918" i="26"/>
  <c r="AS600" i="19"/>
  <c r="C608" i="26"/>
  <c r="AS839" i="19"/>
  <c r="C847" i="26"/>
  <c r="AS882" i="19"/>
  <c r="C890" i="26"/>
  <c r="AS899" i="19"/>
  <c r="C907" i="26"/>
  <c r="AS919" i="19"/>
  <c r="C927" i="26"/>
  <c r="AS806" i="19"/>
  <c r="C814" i="26"/>
  <c r="AS971" i="19"/>
  <c r="C979" i="26"/>
  <c r="AS912" i="19"/>
  <c r="C920" i="26"/>
  <c r="AS636" i="19"/>
  <c r="C644" i="26"/>
  <c r="AS963" i="19"/>
  <c r="C971" i="26"/>
  <c r="AS853" i="19"/>
  <c r="C861" i="26"/>
  <c r="AS796" i="19"/>
  <c r="C804" i="26"/>
  <c r="AS669" i="19"/>
  <c r="C677" i="26"/>
  <c r="AS699" i="19"/>
  <c r="C707" i="26"/>
  <c r="AS672" i="19"/>
  <c r="C680" i="26"/>
  <c r="AS732" i="19"/>
  <c r="C740" i="26"/>
  <c r="AS783" i="19"/>
  <c r="C791" i="26"/>
  <c r="AS678" i="19"/>
  <c r="C686" i="26"/>
  <c r="AS898" i="19"/>
  <c r="C906" i="26"/>
  <c r="AS644" i="19"/>
  <c r="C652" i="26"/>
  <c r="AS857" i="19"/>
  <c r="C865" i="26"/>
  <c r="AS659" i="19"/>
  <c r="C667" i="26"/>
  <c r="AS668" i="19"/>
  <c r="C676" i="26"/>
  <c r="AS801" i="19"/>
  <c r="C809" i="26"/>
  <c r="AS711" i="19"/>
  <c r="C719" i="26"/>
  <c r="AS624" i="19"/>
  <c r="C632" i="26"/>
  <c r="AS558" i="19"/>
  <c r="C566" i="26"/>
  <c r="AS708" i="19"/>
  <c r="C716" i="26"/>
  <c r="AS612" i="19"/>
  <c r="C620" i="26"/>
  <c r="AS588" i="19"/>
  <c r="C596" i="26"/>
  <c r="AS615" i="19"/>
  <c r="C623" i="26"/>
  <c r="AS590" i="19"/>
  <c r="C598" i="26"/>
  <c r="AS886" i="19"/>
  <c r="C894" i="26"/>
  <c r="AS933" i="19"/>
  <c r="C941" i="26"/>
  <c r="AS862" i="19"/>
  <c r="C870" i="26"/>
  <c r="AS812" i="19"/>
  <c r="C820" i="26"/>
  <c r="AS756" i="19"/>
  <c r="C764" i="26"/>
  <c r="AS730" i="19"/>
  <c r="C738" i="26"/>
  <c r="AS765" i="19"/>
  <c r="C773" i="26"/>
  <c r="AS745" i="19"/>
  <c r="C753" i="26"/>
  <c r="AS893" i="19"/>
  <c r="C901" i="26"/>
  <c r="AS820" i="19"/>
  <c r="C828" i="26"/>
  <c r="AS953" i="19"/>
  <c r="C961" i="26"/>
  <c r="AS665" i="19"/>
  <c r="C673" i="26"/>
  <c r="AS728" i="19"/>
  <c r="C736" i="26"/>
  <c r="AS942" i="19"/>
  <c r="C950" i="26"/>
  <c r="AS697" i="19"/>
  <c r="C705" i="26"/>
  <c r="AS970" i="19"/>
  <c r="C978" i="26"/>
  <c r="AS726" i="19"/>
  <c r="C734" i="26"/>
  <c r="AS958" i="19"/>
  <c r="C966" i="26"/>
  <c r="AS944" i="19"/>
  <c r="C952" i="26"/>
  <c r="AS734" i="19"/>
  <c r="C742" i="26"/>
  <c r="AS874" i="19"/>
  <c r="C882" i="26"/>
  <c r="AS690" i="19"/>
  <c r="C698" i="26"/>
  <c r="AS564" i="19"/>
  <c r="C572" i="26"/>
  <c r="AS887" i="19"/>
  <c r="C895" i="26"/>
  <c r="AS656" i="19"/>
  <c r="C664" i="26"/>
  <c r="AS638" i="19"/>
  <c r="C646" i="26"/>
  <c r="AS555" i="19"/>
  <c r="C563" i="26"/>
  <c r="AS653" i="19"/>
  <c r="C661" i="26"/>
  <c r="AS960" i="19"/>
  <c r="C968" i="26"/>
  <c r="AS680" i="19"/>
  <c r="C688" i="26"/>
  <c r="AS633" i="19"/>
  <c r="C641" i="26"/>
  <c r="AS589" i="19"/>
  <c r="C597" i="26"/>
  <c r="AS746" i="19"/>
  <c r="C754" i="26"/>
  <c r="AS757" i="19"/>
  <c r="C765" i="26"/>
  <c r="AS717" i="19"/>
  <c r="C725" i="26"/>
  <c r="AS895" i="19"/>
  <c r="C903" i="26"/>
  <c r="AS959" i="19"/>
  <c r="C967" i="26"/>
  <c r="AS710" i="19"/>
  <c r="C718" i="26"/>
  <c r="AS772" i="19"/>
  <c r="C780" i="26"/>
  <c r="AS752" i="19"/>
  <c r="C760" i="26"/>
  <c r="AS575" i="19"/>
  <c r="C583" i="26"/>
  <c r="AS941" i="19"/>
  <c r="C949" i="26"/>
  <c r="AS642" i="19"/>
  <c r="C650" i="26"/>
  <c r="AS719" i="19"/>
  <c r="C727" i="26"/>
  <c r="AS770" i="19"/>
  <c r="C778" i="26"/>
  <c r="O19" i="16"/>
  <c r="P18" i="16"/>
  <c r="C18" i="16"/>
  <c r="Y809" i="28"/>
  <c r="X809" i="28" s="1"/>
  <c r="E85" i="28"/>
  <c r="E83" i="3"/>
  <c r="V97" i="28"/>
  <c r="V136" i="28"/>
  <c r="AB67" i="28"/>
  <c r="G14" i="8"/>
  <c r="P85" i="28" s="1"/>
  <c r="AA64" i="28"/>
  <c r="I13" i="8" s="1"/>
  <c r="AF25" i="28"/>
  <c r="V62" i="3"/>
  <c r="Q100" i="3"/>
  <c r="O167" i="3"/>
  <c r="Q129" i="3"/>
  <c r="P129" i="3" s="1"/>
  <c r="N129" i="3"/>
  <c r="Y756" i="28"/>
  <c r="X709" i="28"/>
  <c r="X711" i="28"/>
  <c r="Y758" i="28"/>
  <c r="X170" i="28"/>
  <c r="Y209" i="28"/>
  <c r="AA209" i="28" s="1"/>
  <c r="Z209" i="28" s="1"/>
  <c r="Y819" i="28"/>
  <c r="X819" i="28" s="1"/>
  <c r="X772" i="28"/>
  <c r="X771" i="28"/>
  <c r="Y818" i="28"/>
  <c r="X818" i="28" s="1"/>
  <c r="X97" i="28"/>
  <c r="Y136" i="28"/>
  <c r="AA97" i="28"/>
  <c r="Z97" i="28" s="1"/>
  <c r="X721" i="28"/>
  <c r="Y768" i="28"/>
  <c r="H279" i="28"/>
  <c r="E318" i="28"/>
  <c r="AA718" i="28"/>
  <c r="V718" i="28"/>
  <c r="W765" i="28"/>
  <c r="Y801" i="28"/>
  <c r="X801" i="28" s="1"/>
  <c r="X754" i="28"/>
  <c r="Z671" i="28"/>
  <c r="AC671" i="28"/>
  <c r="O246" i="3"/>
  <c r="N208" i="3"/>
  <c r="Q208" i="3"/>
  <c r="P208" i="3" s="1"/>
  <c r="Q203" i="3"/>
  <c r="P203" i="3" s="1"/>
  <c r="N203" i="3"/>
  <c r="O241" i="3"/>
  <c r="Z723" i="28"/>
  <c r="AB723" i="28"/>
  <c r="Y254" i="28"/>
  <c r="X215" i="28"/>
  <c r="AA215" i="28"/>
  <c r="Z215" i="28" s="1"/>
  <c r="W254" i="28"/>
  <c r="V215" i="28"/>
  <c r="Y773" i="28"/>
  <c r="X726" i="28"/>
  <c r="AB725" i="28"/>
  <c r="Z725" i="28"/>
  <c r="V772" i="28"/>
  <c r="AA772" i="28"/>
  <c r="W819" i="28"/>
  <c r="W773" i="28"/>
  <c r="AA726" i="28"/>
  <c r="V726" i="28"/>
  <c r="V209" i="28"/>
  <c r="W248" i="28"/>
  <c r="Y769" i="28"/>
  <c r="X722" i="28"/>
  <c r="Y812" i="28"/>
  <c r="X812" i="28" s="1"/>
  <c r="X765" i="28"/>
  <c r="N166" i="3"/>
  <c r="O204" i="3"/>
  <c r="Q166" i="3"/>
  <c r="P166" i="3" s="1"/>
  <c r="O240" i="3"/>
  <c r="Q202" i="3"/>
  <c r="N202" i="3"/>
  <c r="V814" i="28"/>
  <c r="AA814" i="28"/>
  <c r="AC679" i="28"/>
  <c r="Z679" i="28"/>
  <c r="W771" i="28"/>
  <c r="AA724" i="28"/>
  <c r="V724" i="28"/>
  <c r="Q169" i="3"/>
  <c r="P169" i="3" s="1"/>
  <c r="O207" i="3"/>
  <c r="N169" i="3"/>
  <c r="A708" i="3"/>
  <c r="U670" i="3"/>
  <c r="AA816" i="28"/>
  <c r="V816" i="28"/>
  <c r="N206" i="3"/>
  <c r="O244" i="3"/>
  <c r="Q206" i="3"/>
  <c r="P206" i="3" s="1"/>
  <c r="X174" i="28"/>
  <c r="Y213" i="28"/>
  <c r="AA174" i="28"/>
  <c r="Z174" i="28" s="1"/>
  <c r="V207" i="28"/>
  <c r="W246" i="28"/>
  <c r="AA207" i="28"/>
  <c r="AB670" i="28"/>
  <c r="Z670" i="28"/>
  <c r="W817" i="28"/>
  <c r="V770" i="28"/>
  <c r="AA770" i="28"/>
  <c r="X708" i="28"/>
  <c r="Y755" i="28"/>
  <c r="A298" i="28"/>
  <c r="Y366" i="28"/>
  <c r="X327" i="28"/>
  <c r="V766" i="28"/>
  <c r="AA766" i="28"/>
  <c r="W813" i="28"/>
  <c r="Z168" i="28"/>
  <c r="X325" i="28"/>
  <c r="Y364" i="28"/>
  <c r="AC769" i="28"/>
  <c r="Z769" i="28"/>
  <c r="Y250" i="28"/>
  <c r="AA250" i="28" s="1"/>
  <c r="Z250" i="28" s="1"/>
  <c r="X211" i="28"/>
  <c r="V250" i="28"/>
  <c r="W289" i="28"/>
  <c r="AC677" i="28"/>
  <c r="Z677" i="28"/>
  <c r="AB719" i="28"/>
  <c r="Z719" i="28"/>
  <c r="X760" i="28"/>
  <c r="Y807" i="28"/>
  <c r="X807" i="28" s="1"/>
  <c r="P592" i="3"/>
  <c r="R592" i="3"/>
  <c r="P164" i="3"/>
  <c r="W290" i="28"/>
  <c r="V251" i="28"/>
  <c r="X212" i="28"/>
  <c r="Y251" i="28"/>
  <c r="Y804" i="28"/>
  <c r="X804" i="28" s="1"/>
  <c r="X757" i="28"/>
  <c r="V291" i="28"/>
  <c r="W330" i="28"/>
  <c r="Y814" i="28"/>
  <c r="X814" i="28" s="1"/>
  <c r="X767" i="28"/>
  <c r="AN4" i="19"/>
  <c r="B13" i="39"/>
  <c r="M25" i="31"/>
  <c r="Q210" i="3"/>
  <c r="P210" i="3" s="1"/>
  <c r="N210" i="3"/>
  <c r="O248" i="3"/>
  <c r="Y285" i="28"/>
  <c r="X246" i="28"/>
  <c r="M26" i="30"/>
  <c r="M353" i="30" s="1"/>
  <c r="C345" i="30" s="1"/>
  <c r="B31" i="30"/>
  <c r="Y813" i="28"/>
  <c r="X813" i="28" s="1"/>
  <c r="X766" i="28"/>
  <c r="O249" i="3"/>
  <c r="N211" i="3"/>
  <c r="Q211" i="3"/>
  <c r="P211" i="3" s="1"/>
  <c r="V815" i="28"/>
  <c r="AA815" i="28"/>
  <c r="W171" i="28"/>
  <c r="V132" i="28"/>
  <c r="AA132" i="28"/>
  <c r="Z93" i="28"/>
  <c r="O285" i="3"/>
  <c r="Q247" i="3"/>
  <c r="P247" i="3" s="1"/>
  <c r="N247" i="3"/>
  <c r="Q630" i="3"/>
  <c r="O668" i="3"/>
  <c r="N630" i="3"/>
  <c r="W764" i="28"/>
  <c r="V717" i="28"/>
  <c r="AA717" i="28"/>
  <c r="Z767" i="28"/>
  <c r="AC767" i="28"/>
  <c r="W214" i="28"/>
  <c r="V175" i="28"/>
  <c r="G234" i="3"/>
  <c r="E272" i="3"/>
  <c r="AA247" i="28"/>
  <c r="Z247" i="28" s="1"/>
  <c r="V247" i="28"/>
  <c r="W286" i="28"/>
  <c r="Y811" i="28"/>
  <c r="X811" i="28" s="1"/>
  <c r="X764" i="28"/>
  <c r="Z768" i="28"/>
  <c r="AB768" i="28"/>
  <c r="S41" i="31"/>
  <c r="S40" i="30"/>
  <c r="S38" i="29"/>
  <c r="B760" i="26" l="1"/>
  <c r="AQ789" i="19"/>
  <c r="B635" i="26"/>
  <c r="B629" i="26"/>
  <c r="B821" i="26"/>
  <c r="B686" i="26"/>
  <c r="B825" i="26"/>
  <c r="B597" i="26"/>
  <c r="B701" i="26"/>
  <c r="AQ737" i="19"/>
  <c r="B591" i="26"/>
  <c r="AQ580" i="19"/>
  <c r="B634" i="26"/>
  <c r="B954" i="26"/>
  <c r="B737" i="26"/>
  <c r="B679" i="26"/>
  <c r="AQ710" i="19"/>
  <c r="B752" i="26"/>
  <c r="B572" i="26"/>
  <c r="B790" i="26"/>
  <c r="B698" i="26"/>
  <c r="B975" i="26"/>
  <c r="AQ733" i="19"/>
  <c r="AQ973" i="19"/>
  <c r="B738" i="26"/>
  <c r="B927" i="26"/>
  <c r="B578" i="26"/>
  <c r="AQ787" i="19"/>
  <c r="AQ983" i="19"/>
  <c r="B680" i="26"/>
  <c r="AQ886" i="19"/>
  <c r="B840" i="26"/>
  <c r="AQ925" i="19"/>
  <c r="B836" i="26"/>
  <c r="B743" i="26"/>
  <c r="B734" i="26"/>
  <c r="B810" i="26"/>
  <c r="B949" i="26"/>
  <c r="AQ596" i="19"/>
  <c r="AQ588" i="19"/>
  <c r="AQ638" i="19"/>
  <c r="B673" i="26"/>
  <c r="B584" i="26"/>
  <c r="AQ636" i="19"/>
  <c r="B722" i="26"/>
  <c r="AQ917" i="19"/>
  <c r="B709" i="26"/>
  <c r="B853" i="26"/>
  <c r="B952" i="26"/>
  <c r="B653" i="26"/>
  <c r="B904" i="26"/>
  <c r="B733" i="26"/>
  <c r="B873" i="26"/>
  <c r="B601" i="26"/>
  <c r="AQ559" i="19"/>
  <c r="B618" i="26"/>
  <c r="B967" i="26"/>
  <c r="B830" i="26"/>
  <c r="D775" i="26"/>
  <c r="F775" i="26"/>
  <c r="D990" i="26"/>
  <c r="F990" i="26"/>
  <c r="D989" i="26"/>
  <c r="F989" i="26"/>
  <c r="D879" i="26"/>
  <c r="F879" i="26"/>
  <c r="D952" i="26"/>
  <c r="F952" i="26"/>
  <c r="D626" i="26"/>
  <c r="F626" i="26"/>
  <c r="D573" i="26"/>
  <c r="F573" i="26"/>
  <c r="D718" i="26"/>
  <c r="F718" i="26"/>
  <c r="D661" i="26"/>
  <c r="F661" i="26"/>
  <c r="D966" i="26"/>
  <c r="F966" i="26"/>
  <c r="D753" i="26"/>
  <c r="F753" i="26"/>
  <c r="D596" i="26"/>
  <c r="F596" i="26"/>
  <c r="D652" i="26"/>
  <c r="F652" i="26"/>
  <c r="D971" i="26"/>
  <c r="F971" i="26"/>
  <c r="D918" i="26"/>
  <c r="F918" i="26"/>
  <c r="D695" i="26"/>
  <c r="F695" i="26"/>
  <c r="D761" i="26"/>
  <c r="F761" i="26"/>
  <c r="D609" i="26"/>
  <c r="F609" i="26"/>
  <c r="D878" i="26"/>
  <c r="F878" i="26"/>
  <c r="D897" i="26"/>
  <c r="F897" i="26"/>
  <c r="D1000" i="26"/>
  <c r="F1000" i="26"/>
  <c r="D752" i="26"/>
  <c r="F752" i="26"/>
  <c r="D709" i="26"/>
  <c r="F709" i="26"/>
  <c r="D859" i="26"/>
  <c r="F859" i="26"/>
  <c r="D1004" i="26"/>
  <c r="F1004" i="26"/>
  <c r="D799" i="26"/>
  <c r="F799" i="26"/>
  <c r="D815" i="26"/>
  <c r="F815" i="26"/>
  <c r="D832" i="26"/>
  <c r="F832" i="26"/>
  <c r="D891" i="26"/>
  <c r="F891" i="26"/>
  <c r="D795" i="26"/>
  <c r="F795" i="26"/>
  <c r="D602" i="26"/>
  <c r="F602" i="26"/>
  <c r="D788" i="26"/>
  <c r="F788" i="26"/>
  <c r="D1002" i="26"/>
  <c r="F1002" i="26"/>
  <c r="D894" i="26"/>
  <c r="F894" i="26"/>
  <c r="D818" i="26"/>
  <c r="F818" i="26"/>
  <c r="D629" i="26"/>
  <c r="F629" i="26"/>
  <c r="D773" i="26"/>
  <c r="F773" i="26"/>
  <c r="B845" i="26"/>
  <c r="D903" i="26"/>
  <c r="F903" i="26"/>
  <c r="D646" i="26"/>
  <c r="F646" i="26"/>
  <c r="D978" i="26"/>
  <c r="F978" i="26"/>
  <c r="D738" i="26"/>
  <c r="F738" i="26"/>
  <c r="D716" i="26"/>
  <c r="F716" i="26"/>
  <c r="D686" i="26"/>
  <c r="F686" i="26"/>
  <c r="D920" i="26"/>
  <c r="F920" i="26"/>
  <c r="D621" i="26"/>
  <c r="F621" i="26"/>
  <c r="D855" i="26"/>
  <c r="F855" i="26"/>
  <c r="D561" i="26"/>
  <c r="F561" i="26"/>
  <c r="D860" i="26"/>
  <c r="F860" i="26"/>
  <c r="D840" i="26"/>
  <c r="F840" i="26"/>
  <c r="D943" i="26"/>
  <c r="F943" i="26"/>
  <c r="D951" i="26"/>
  <c r="F951" i="26"/>
  <c r="D679" i="26"/>
  <c r="F679" i="26"/>
  <c r="D722" i="26"/>
  <c r="F722" i="26"/>
  <c r="D848" i="26"/>
  <c r="F848" i="26"/>
  <c r="D919" i="26"/>
  <c r="F919" i="26"/>
  <c r="D947" i="26"/>
  <c r="F947" i="26"/>
  <c r="D939" i="26"/>
  <c r="F939" i="26"/>
  <c r="D756" i="26"/>
  <c r="F756" i="26"/>
  <c r="D823" i="26"/>
  <c r="F823" i="26"/>
  <c r="D758" i="26"/>
  <c r="F758" i="26"/>
  <c r="D614" i="26"/>
  <c r="F614" i="26"/>
  <c r="D910" i="26"/>
  <c r="F910" i="26"/>
  <c r="D603" i="26"/>
  <c r="F603" i="26"/>
  <c r="D986" i="26"/>
  <c r="F986" i="26"/>
  <c r="D926" i="26"/>
  <c r="F926" i="26"/>
  <c r="D830" i="26"/>
  <c r="F830" i="26"/>
  <c r="D724" i="26"/>
  <c r="F724" i="26"/>
  <c r="D770" i="26"/>
  <c r="F770" i="26"/>
  <c r="D968" i="26"/>
  <c r="F968" i="26"/>
  <c r="D871" i="26"/>
  <c r="F871" i="26"/>
  <c r="D902" i="26"/>
  <c r="F902" i="26"/>
  <c r="D676" i="26"/>
  <c r="F676" i="26"/>
  <c r="D737" i="26"/>
  <c r="F737" i="26"/>
  <c r="D954" i="26"/>
  <c r="F954" i="26"/>
  <c r="D963" i="26"/>
  <c r="F963" i="26"/>
  <c r="D962" i="26"/>
  <c r="F962" i="26"/>
  <c r="D825" i="26"/>
  <c r="F825" i="26"/>
  <c r="D580" i="26"/>
  <c r="F580" i="26"/>
  <c r="D803" i="26"/>
  <c r="F803" i="26"/>
  <c r="D727" i="26"/>
  <c r="F727" i="26"/>
  <c r="D765" i="26"/>
  <c r="F765" i="26"/>
  <c r="D895" i="26"/>
  <c r="F895" i="26"/>
  <c r="D950" i="26"/>
  <c r="F950" i="26"/>
  <c r="D820" i="26"/>
  <c r="F820" i="26"/>
  <c r="D632" i="26"/>
  <c r="F632" i="26"/>
  <c r="D740" i="26"/>
  <c r="F740" i="26"/>
  <c r="D814" i="26"/>
  <c r="F814" i="26"/>
  <c r="D935" i="26"/>
  <c r="F935" i="26"/>
  <c r="D998" i="26"/>
  <c r="F998" i="26"/>
  <c r="D867" i="26"/>
  <c r="F867" i="26"/>
  <c r="D662" i="26"/>
  <c r="F662" i="26"/>
  <c r="D819" i="26"/>
  <c r="F819" i="26"/>
  <c r="D873" i="26"/>
  <c r="F873" i="26"/>
  <c r="D701" i="26"/>
  <c r="F701" i="26"/>
  <c r="D853" i="26"/>
  <c r="F853" i="26"/>
  <c r="D846" i="26"/>
  <c r="F846" i="26"/>
  <c r="D647" i="26"/>
  <c r="F647" i="26"/>
  <c r="D769" i="26"/>
  <c r="F769" i="26"/>
  <c r="D635" i="26"/>
  <c r="F635" i="26"/>
  <c r="D729" i="26"/>
  <c r="F729" i="26"/>
  <c r="D925" i="26"/>
  <c r="F925" i="26"/>
  <c r="D583" i="26"/>
  <c r="F583" i="26"/>
  <c r="D890" i="26"/>
  <c r="F890" i="26"/>
  <c r="D953" i="26"/>
  <c r="F953" i="26"/>
  <c r="D655" i="26"/>
  <c r="F655" i="26"/>
  <c r="D904" i="26"/>
  <c r="F904" i="26"/>
  <c r="D810" i="26"/>
  <c r="F810" i="26"/>
  <c r="D594" i="26"/>
  <c r="F594" i="26"/>
  <c r="D623" i="26"/>
  <c r="F623" i="26"/>
  <c r="D693" i="26"/>
  <c r="F693" i="26"/>
  <c r="D711" i="26"/>
  <c r="F711" i="26"/>
  <c r="D790" i="26"/>
  <c r="F790" i="26"/>
  <c r="D771" i="26"/>
  <c r="F771" i="26"/>
  <c r="D967" i="26"/>
  <c r="F967" i="26"/>
  <c r="D563" i="26"/>
  <c r="F563" i="26"/>
  <c r="D734" i="26"/>
  <c r="F734" i="26"/>
  <c r="D620" i="26"/>
  <c r="F620" i="26"/>
  <c r="D644" i="26"/>
  <c r="F644" i="26"/>
  <c r="D801" i="26"/>
  <c r="F801" i="26"/>
  <c r="D656" i="26"/>
  <c r="F656" i="26"/>
  <c r="D883" i="26"/>
  <c r="F883" i="26"/>
  <c r="D800" i="26"/>
  <c r="F800" i="26"/>
  <c r="D690" i="26"/>
  <c r="F690" i="26"/>
  <c r="D674" i="26"/>
  <c r="F674" i="26"/>
  <c r="D586" i="26"/>
  <c r="F586" i="26"/>
  <c r="D921" i="26"/>
  <c r="F921" i="26"/>
  <c r="D768" i="26"/>
  <c r="F768" i="26"/>
  <c r="D566" i="26"/>
  <c r="F566" i="26"/>
  <c r="D794" i="26"/>
  <c r="F794" i="26"/>
  <c r="D957" i="26"/>
  <c r="F957" i="26"/>
  <c r="D831" i="26"/>
  <c r="F831" i="26"/>
  <c r="D731" i="26"/>
  <c r="F731" i="26"/>
  <c r="D930" i="26"/>
  <c r="F930" i="26"/>
  <c r="D945" i="26"/>
  <c r="F945" i="26"/>
  <c r="D782" i="26"/>
  <c r="F782" i="26"/>
  <c r="D745" i="26"/>
  <c r="F745" i="26"/>
  <c r="D747" i="26"/>
  <c r="F747" i="26"/>
  <c r="D618" i="26"/>
  <c r="F618" i="26"/>
  <c r="D866" i="26"/>
  <c r="F866" i="26"/>
  <c r="D669" i="26"/>
  <c r="F669" i="26"/>
  <c r="D797" i="26"/>
  <c r="F797" i="26"/>
  <c r="D677" i="26"/>
  <c r="F677" i="26"/>
  <c r="D610" i="26"/>
  <c r="F610" i="26"/>
  <c r="D568" i="26"/>
  <c r="F568" i="26"/>
  <c r="D861" i="26"/>
  <c r="F861" i="26"/>
  <c r="D593" i="26"/>
  <c r="F593" i="26"/>
  <c r="D975" i="26"/>
  <c r="F975" i="26"/>
  <c r="D772" i="26"/>
  <c r="F772" i="26"/>
  <c r="D697" i="26"/>
  <c r="F697" i="26"/>
  <c r="D705" i="26"/>
  <c r="F705" i="26"/>
  <c r="D857" i="26"/>
  <c r="F857" i="26"/>
  <c r="D991" i="26"/>
  <c r="F991" i="26"/>
  <c r="D914" i="26"/>
  <c r="F914" i="26"/>
  <c r="D792" i="26"/>
  <c r="F792" i="26"/>
  <c r="D650" i="26"/>
  <c r="F650" i="26"/>
  <c r="D754" i="26"/>
  <c r="F754" i="26"/>
  <c r="D572" i="26"/>
  <c r="F572" i="26"/>
  <c r="D736" i="26"/>
  <c r="F736" i="26"/>
  <c r="D870" i="26"/>
  <c r="F870" i="26"/>
  <c r="D719" i="26"/>
  <c r="F719" i="26"/>
  <c r="D680" i="26"/>
  <c r="F680" i="26"/>
  <c r="D927" i="26"/>
  <c r="F927" i="26"/>
  <c r="D936" i="26"/>
  <c r="F936" i="26"/>
  <c r="D806" i="26"/>
  <c r="F806" i="26"/>
  <c r="D562" i="26"/>
  <c r="F562" i="26"/>
  <c r="D915" i="26"/>
  <c r="F915" i="26"/>
  <c r="D589" i="26"/>
  <c r="F589" i="26"/>
  <c r="D741" i="26"/>
  <c r="F741" i="26"/>
  <c r="D599" i="26"/>
  <c r="F599" i="26"/>
  <c r="D767" i="26"/>
  <c r="F767" i="26"/>
  <c r="D985" i="26"/>
  <c r="F985" i="26"/>
  <c r="D574" i="26"/>
  <c r="F574" i="26"/>
  <c r="D590" i="26"/>
  <c r="F590" i="26"/>
  <c r="D622" i="26"/>
  <c r="F622" i="26"/>
  <c r="D997" i="26"/>
  <c r="F997" i="26"/>
  <c r="D938" i="26"/>
  <c r="F938" i="26"/>
  <c r="D882" i="26"/>
  <c r="F882" i="26"/>
  <c r="D961" i="26"/>
  <c r="F961" i="26"/>
  <c r="D685" i="26"/>
  <c r="F685" i="26"/>
  <c r="D981" i="26"/>
  <c r="F981" i="26"/>
  <c r="D977" i="26"/>
  <c r="F977" i="26"/>
  <c r="D688" i="26"/>
  <c r="F688" i="26"/>
  <c r="D742" i="26"/>
  <c r="F742" i="26"/>
  <c r="D828" i="26"/>
  <c r="F828" i="26"/>
  <c r="D598" i="26"/>
  <c r="F598" i="26"/>
  <c r="D667" i="26"/>
  <c r="F667" i="26"/>
  <c r="D804" i="26"/>
  <c r="F804" i="26"/>
  <c r="D847" i="26"/>
  <c r="F847" i="26"/>
  <c r="D578" i="26"/>
  <c r="F578" i="26"/>
  <c r="D913" i="26"/>
  <c r="F913" i="26"/>
  <c r="D933" i="26"/>
  <c r="F933" i="26"/>
  <c r="D670" i="26"/>
  <c r="F670" i="26"/>
  <c r="D755" i="26"/>
  <c r="F755" i="26"/>
  <c r="D575" i="26"/>
  <c r="F575" i="26"/>
  <c r="D886" i="26"/>
  <c r="F886" i="26"/>
  <c r="D665" i="26"/>
  <c r="F665" i="26"/>
  <c r="D885" i="26"/>
  <c r="F885" i="26"/>
  <c r="D604" i="26"/>
  <c r="F604" i="26"/>
  <c r="B796" i="26"/>
  <c r="D682" i="26"/>
  <c r="F682" i="26"/>
  <c r="D668" i="26"/>
  <c r="F668" i="26"/>
  <c r="D601" i="26"/>
  <c r="F601" i="26"/>
  <c r="D577" i="26"/>
  <c r="F577" i="26"/>
  <c r="D821" i="26"/>
  <c r="F821" i="26"/>
  <c r="B654" i="26"/>
  <c r="D664" i="26"/>
  <c r="F664" i="26"/>
  <c r="D710" i="26"/>
  <c r="F710" i="26"/>
  <c r="D1003" i="26"/>
  <c r="F1003" i="26"/>
  <c r="D591" i="26"/>
  <c r="F591" i="26"/>
  <c r="D689" i="26"/>
  <c r="F689" i="26"/>
  <c r="D817" i="26"/>
  <c r="F817" i="26"/>
  <c r="D649" i="26"/>
  <c r="F649" i="26"/>
  <c r="D653" i="26"/>
  <c r="F653" i="26"/>
  <c r="D965" i="26"/>
  <c r="F965" i="26"/>
  <c r="D641" i="26"/>
  <c r="F641" i="26"/>
  <c r="D571" i="26"/>
  <c r="F571" i="26"/>
  <c r="D579" i="26"/>
  <c r="F579" i="26"/>
  <c r="D588" i="26"/>
  <c r="F588" i="26"/>
  <c r="D587" i="26"/>
  <c r="F587" i="26"/>
  <c r="D760" i="26"/>
  <c r="F760" i="26"/>
  <c r="D899" i="26"/>
  <c r="F899" i="26"/>
  <c r="D728" i="26"/>
  <c r="F728" i="26"/>
  <c r="D584" i="26"/>
  <c r="F584" i="26"/>
  <c r="D780" i="26"/>
  <c r="F780" i="26"/>
  <c r="D901" i="26"/>
  <c r="F901" i="26"/>
  <c r="D865" i="26"/>
  <c r="F865" i="26"/>
  <c r="D608" i="26"/>
  <c r="F608" i="26"/>
  <c r="D744" i="26"/>
  <c r="F744" i="26"/>
  <c r="D639" i="26"/>
  <c r="F639" i="26"/>
  <c r="D648" i="26"/>
  <c r="F648" i="26"/>
  <c r="D896" i="26"/>
  <c r="F896" i="26"/>
  <c r="D700" i="26"/>
  <c r="F700" i="26"/>
  <c r="D836" i="26"/>
  <c r="F836" i="26"/>
  <c r="D906" i="26"/>
  <c r="F906" i="26"/>
  <c r="D733" i="26"/>
  <c r="F733" i="26"/>
  <c r="D778" i="26"/>
  <c r="F778" i="26"/>
  <c r="D725" i="26"/>
  <c r="F725" i="26"/>
  <c r="D764" i="26"/>
  <c r="F764" i="26"/>
  <c r="D791" i="26"/>
  <c r="F791" i="26"/>
  <c r="D979" i="26"/>
  <c r="F979" i="26"/>
  <c r="D567" i="26"/>
  <c r="F567" i="26"/>
  <c r="D779" i="26"/>
  <c r="F779" i="26"/>
  <c r="D675" i="26"/>
  <c r="F675" i="26"/>
  <c r="D909" i="26"/>
  <c r="F909" i="26"/>
  <c r="D973" i="26"/>
  <c r="F973" i="26"/>
  <c r="D942" i="26"/>
  <c r="F942" i="26"/>
  <c r="D659" i="26"/>
  <c r="F659" i="26"/>
  <c r="D874" i="26"/>
  <c r="F874" i="26"/>
  <c r="D949" i="26"/>
  <c r="F949" i="26"/>
  <c r="D597" i="26"/>
  <c r="F597" i="26"/>
  <c r="D698" i="26"/>
  <c r="F698" i="26"/>
  <c r="D673" i="26"/>
  <c r="F673" i="26"/>
  <c r="D941" i="26"/>
  <c r="F941" i="26"/>
  <c r="D809" i="26"/>
  <c r="F809" i="26"/>
  <c r="D707" i="26"/>
  <c r="F707" i="26"/>
  <c r="D907" i="26"/>
  <c r="F907" i="26"/>
  <c r="D900" i="26"/>
  <c r="F900" i="26"/>
  <c r="D743" i="26"/>
  <c r="F743" i="26"/>
  <c r="D671" i="26"/>
  <c r="F671" i="26"/>
  <c r="D611" i="26"/>
  <c r="F611" i="26"/>
  <c r="D838" i="26"/>
  <c r="F838" i="26"/>
  <c r="D827" i="26"/>
  <c r="F827" i="26"/>
  <c r="D931" i="26"/>
  <c r="F931" i="26"/>
  <c r="D955" i="26"/>
  <c r="F955" i="26"/>
  <c r="D811" i="26"/>
  <c r="F811" i="26"/>
  <c r="D634" i="26"/>
  <c r="F634" i="26"/>
  <c r="D569" i="26"/>
  <c r="F569" i="26"/>
  <c r="D640" i="26"/>
  <c r="F640" i="26"/>
  <c r="AQ635" i="19"/>
  <c r="AQ831" i="19"/>
  <c r="AQ722" i="19"/>
  <c r="B837" i="26"/>
  <c r="AQ577" i="19"/>
  <c r="B934" i="26"/>
  <c r="B984" i="26"/>
  <c r="AQ988" i="19"/>
  <c r="B638" i="26"/>
  <c r="B912" i="26"/>
  <c r="B637" i="26"/>
  <c r="B642" i="26"/>
  <c r="O20" i="16"/>
  <c r="P19" i="16"/>
  <c r="C19" i="16"/>
  <c r="E15" i="8"/>
  <c r="J15" i="8" s="1"/>
  <c r="K83" i="3"/>
  <c r="H14" i="8"/>
  <c r="R103" i="3" s="1"/>
  <c r="K14" i="8"/>
  <c r="AE103" i="28" s="1"/>
  <c r="AF64" i="28"/>
  <c r="AA103" i="28"/>
  <c r="I14" i="8" s="1"/>
  <c r="Y248" i="28"/>
  <c r="AA248" i="28" s="1"/>
  <c r="Z248" i="28" s="1"/>
  <c r="X209" i="28"/>
  <c r="Y805" i="28"/>
  <c r="X805" i="28" s="1"/>
  <c r="X758" i="28"/>
  <c r="X756" i="28"/>
  <c r="Y803" i="28"/>
  <c r="X803" i="28" s="1"/>
  <c r="Q138" i="3"/>
  <c r="N167" i="3"/>
  <c r="O205" i="3"/>
  <c r="Q167" i="3"/>
  <c r="P167" i="3" s="1"/>
  <c r="X136" i="28"/>
  <c r="Y175" i="28"/>
  <c r="AA136" i="28"/>
  <c r="Z136" i="28" s="1"/>
  <c r="V765" i="28"/>
  <c r="AA765" i="28"/>
  <c r="W812" i="28"/>
  <c r="Z718" i="28"/>
  <c r="AC718" i="28"/>
  <c r="E357" i="28"/>
  <c r="H318" i="28"/>
  <c r="Y815" i="28"/>
  <c r="X815" i="28" s="1"/>
  <c r="X768" i="28"/>
  <c r="O284" i="3"/>
  <c r="Q246" i="3"/>
  <c r="P246" i="3" s="1"/>
  <c r="N246" i="3"/>
  <c r="V817" i="28"/>
  <c r="AA817" i="28"/>
  <c r="Q207" i="3"/>
  <c r="P207" i="3" s="1"/>
  <c r="O245" i="3"/>
  <c r="N207" i="3"/>
  <c r="X364" i="28"/>
  <c r="Y403" i="28"/>
  <c r="E310" i="3"/>
  <c r="G272" i="3"/>
  <c r="AC724" i="28"/>
  <c r="Z724" i="28"/>
  <c r="AA819" i="28"/>
  <c r="V819" i="28"/>
  <c r="AB717" i="28"/>
  <c r="Z717" i="28"/>
  <c r="V330" i="28"/>
  <c r="W369" i="28"/>
  <c r="W328" i="28"/>
  <c r="V289" i="28"/>
  <c r="AA813" i="28"/>
  <c r="V813" i="28"/>
  <c r="P202" i="3"/>
  <c r="Y290" i="28"/>
  <c r="AA290" i="28" s="1"/>
  <c r="Z290" i="28" s="1"/>
  <c r="X251" i="28"/>
  <c r="X366" i="28"/>
  <c r="Y405" i="28"/>
  <c r="O282" i="3"/>
  <c r="N244" i="3"/>
  <c r="Q244" i="3"/>
  <c r="P244" i="3" s="1"/>
  <c r="Q204" i="3"/>
  <c r="P204" i="3" s="1"/>
  <c r="N204" i="3"/>
  <c r="O242" i="3"/>
  <c r="W293" i="28"/>
  <c r="AA254" i="28"/>
  <c r="Z254" i="28" s="1"/>
  <c r="V254" i="28"/>
  <c r="Q668" i="3"/>
  <c r="N668" i="3"/>
  <c r="O706" i="3"/>
  <c r="X250" i="28"/>
  <c r="Y289" i="28"/>
  <c r="AA289" i="28" s="1"/>
  <c r="Z289" i="28" s="1"/>
  <c r="M26" i="31"/>
  <c r="M353" i="31" s="1"/>
  <c r="C345" i="31" s="1"/>
  <c r="B31" i="31"/>
  <c r="W285" i="28"/>
  <c r="V246" i="28"/>
  <c r="AA246" i="28"/>
  <c r="V771" i="28"/>
  <c r="W818" i="28"/>
  <c r="AA771" i="28"/>
  <c r="V214" i="28"/>
  <c r="W253" i="28"/>
  <c r="AB772" i="28"/>
  <c r="Z772" i="28"/>
  <c r="AA171" i="28"/>
  <c r="W210" i="28"/>
  <c r="V171" i="28"/>
  <c r="AB766" i="28"/>
  <c r="Z766" i="28"/>
  <c r="N240" i="3"/>
  <c r="Q240" i="3"/>
  <c r="O278" i="3"/>
  <c r="Y820" i="28"/>
  <c r="X820" i="28" s="1"/>
  <c r="X773" i="28"/>
  <c r="N249" i="3"/>
  <c r="O287" i="3"/>
  <c r="Q249" i="3"/>
  <c r="P249" i="3" s="1"/>
  <c r="AA251" i="28"/>
  <c r="Z251" i="28" s="1"/>
  <c r="A337" i="28"/>
  <c r="P630" i="3"/>
  <c r="R630" i="3"/>
  <c r="O286" i="3"/>
  <c r="Q248" i="3"/>
  <c r="P248" i="3" s="1"/>
  <c r="N248" i="3"/>
  <c r="Q285" i="3"/>
  <c r="P285" i="3" s="1"/>
  <c r="O323" i="3"/>
  <c r="N285" i="3"/>
  <c r="Z207" i="28"/>
  <c r="AC726" i="28"/>
  <c r="Z726" i="28"/>
  <c r="V773" i="28"/>
  <c r="AA773" i="28"/>
  <c r="W820" i="28"/>
  <c r="Z132" i="28"/>
  <c r="Z814" i="28"/>
  <c r="AC814" i="28"/>
  <c r="AB815" i="28"/>
  <c r="Z815" i="28"/>
  <c r="Y252" i="28"/>
  <c r="X213" i="28"/>
  <c r="AA213" i="28"/>
  <c r="Z213" i="28" s="1"/>
  <c r="W811" i="28"/>
  <c r="AA764" i="28"/>
  <c r="V764" i="28"/>
  <c r="Y802" i="28"/>
  <c r="X802" i="28" s="1"/>
  <c r="X755" i="28"/>
  <c r="Z816" i="28"/>
  <c r="AC816" i="28"/>
  <c r="X254" i="28"/>
  <c r="Y293" i="28"/>
  <c r="W329" i="28"/>
  <c r="V290" i="28"/>
  <c r="X285" i="28"/>
  <c r="Y324" i="28"/>
  <c r="Z770" i="28"/>
  <c r="AB770" i="28"/>
  <c r="U708" i="3"/>
  <c r="A746" i="3"/>
  <c r="U746" i="3" s="1"/>
  <c r="Y816" i="28"/>
  <c r="X816" i="28" s="1"/>
  <c r="X769" i="28"/>
  <c r="AA286" i="28"/>
  <c r="Z286" i="28" s="1"/>
  <c r="V286" i="28"/>
  <c r="W325" i="28"/>
  <c r="W287" i="28"/>
  <c r="V248" i="28"/>
  <c r="N241" i="3"/>
  <c r="Q241" i="3"/>
  <c r="P241" i="3" s="1"/>
  <c r="O279" i="3"/>
  <c r="S42" i="31"/>
  <c r="S41" i="30"/>
  <c r="S39" i="29"/>
  <c r="O21" i="16" l="1"/>
  <c r="P20" i="16"/>
  <c r="C20" i="16"/>
  <c r="U100" i="3"/>
  <c r="V100" i="3" s="1"/>
  <c r="AB106" i="28"/>
  <c r="E121" i="3"/>
  <c r="E124" i="28"/>
  <c r="G15" i="8"/>
  <c r="K121" i="3" s="1"/>
  <c r="AF103" i="28"/>
  <c r="AA142" i="28"/>
  <c r="I15" i="8" s="1"/>
  <c r="Q176" i="3"/>
  <c r="Q205" i="3"/>
  <c r="P205" i="3" s="1"/>
  <c r="N205" i="3"/>
  <c r="O243" i="3"/>
  <c r="Y287" i="28"/>
  <c r="AA287" i="28" s="1"/>
  <c r="Z287" i="28" s="1"/>
  <c r="X248" i="28"/>
  <c r="Q284" i="3"/>
  <c r="P284" i="3" s="1"/>
  <c r="N284" i="3"/>
  <c r="O322" i="3"/>
  <c r="Z765" i="28"/>
  <c r="AC765" i="28"/>
  <c r="H357" i="28"/>
  <c r="E396" i="28"/>
  <c r="V812" i="28"/>
  <c r="AA812" i="28"/>
  <c r="Y214" i="28"/>
  <c r="X175" i="28"/>
  <c r="AA175" i="28"/>
  <c r="Z175" i="28" s="1"/>
  <c r="N706" i="3"/>
  <c r="Q706" i="3"/>
  <c r="O744" i="3"/>
  <c r="O317" i="3"/>
  <c r="Q279" i="3"/>
  <c r="P279" i="3" s="1"/>
  <c r="N279" i="3"/>
  <c r="R668" i="3"/>
  <c r="P668" i="3"/>
  <c r="V329" i="28"/>
  <c r="W368" i="28"/>
  <c r="W249" i="28"/>
  <c r="AA210" i="28"/>
  <c r="V210" i="28"/>
  <c r="Z813" i="28"/>
  <c r="AB813" i="28"/>
  <c r="AB817" i="28"/>
  <c r="Z817" i="28"/>
  <c r="X293" i="28"/>
  <c r="Y332" i="28"/>
  <c r="Z171" i="28"/>
  <c r="AA820" i="28"/>
  <c r="V820" i="28"/>
  <c r="A376" i="28"/>
  <c r="V293" i="28"/>
  <c r="W332" i="28"/>
  <c r="AA293" i="28"/>
  <c r="Z293" i="28" s="1"/>
  <c r="V328" i="28"/>
  <c r="W367" i="28"/>
  <c r="W364" i="28"/>
  <c r="V325" i="28"/>
  <c r="AA325" i="28"/>
  <c r="Z325" i="28" s="1"/>
  <c r="N287" i="3"/>
  <c r="Q287" i="3"/>
  <c r="P287" i="3" s="1"/>
  <c r="O325" i="3"/>
  <c r="Z771" i="28"/>
  <c r="AC771" i="28"/>
  <c r="AA818" i="28"/>
  <c r="V818" i="28"/>
  <c r="O320" i="3"/>
  <c r="N282" i="3"/>
  <c r="Q282" i="3"/>
  <c r="P282" i="3" s="1"/>
  <c r="N278" i="3"/>
  <c r="Q278" i="3"/>
  <c r="O316" i="3"/>
  <c r="X405" i="28"/>
  <c r="Y444" i="28"/>
  <c r="X444" i="28" s="1"/>
  <c r="Q323" i="3"/>
  <c r="P323" i="3" s="1"/>
  <c r="O361" i="3"/>
  <c r="N323" i="3"/>
  <c r="P240" i="3"/>
  <c r="Z246" i="28"/>
  <c r="AB819" i="28"/>
  <c r="Z819" i="28"/>
  <c r="AB764" i="28"/>
  <c r="Z764" i="28"/>
  <c r="AA811" i="28"/>
  <c r="V811" i="28"/>
  <c r="V285" i="28"/>
  <c r="AA285" i="28"/>
  <c r="W324" i="28"/>
  <c r="X290" i="28"/>
  <c r="Y329" i="28"/>
  <c r="Q245" i="3"/>
  <c r="P245" i="3" s="1"/>
  <c r="N245" i="3"/>
  <c r="O283" i="3"/>
  <c r="V287" i="28"/>
  <c r="W326" i="28"/>
  <c r="Z773" i="28"/>
  <c r="AC773" i="28"/>
  <c r="O280" i="3"/>
  <c r="Q242" i="3"/>
  <c r="P242" i="3" s="1"/>
  <c r="N242" i="3"/>
  <c r="V253" i="28"/>
  <c r="W292" i="28"/>
  <c r="V369" i="28"/>
  <c r="W408" i="28"/>
  <c r="Y363" i="28"/>
  <c r="X324" i="28"/>
  <c r="Q286" i="3"/>
  <c r="P286" i="3" s="1"/>
  <c r="O324" i="3"/>
  <c r="N286" i="3"/>
  <c r="E348" i="3"/>
  <c r="G310" i="3"/>
  <c r="X252" i="28"/>
  <c r="Y291" i="28"/>
  <c r="AA252" i="28"/>
  <c r="Z252" i="28" s="1"/>
  <c r="X289" i="28"/>
  <c r="Y328" i="28"/>
  <c r="AA328" i="28" s="1"/>
  <c r="Z328" i="28" s="1"/>
  <c r="X403" i="28"/>
  <c r="Y442" i="28"/>
  <c r="X442" i="28" s="1"/>
  <c r="S43" i="31"/>
  <c r="S42" i="30"/>
  <c r="S40" i="29"/>
  <c r="O22" i="16" l="1"/>
  <c r="P21" i="16"/>
  <c r="C21" i="16"/>
  <c r="P124" i="28"/>
  <c r="H15" i="8"/>
  <c r="R141" i="3" s="1"/>
  <c r="E16" i="8"/>
  <c r="E159" i="3" s="1"/>
  <c r="K15" i="8"/>
  <c r="AE142" i="28" s="1"/>
  <c r="AF142" i="28" s="1"/>
  <c r="AA181" i="28"/>
  <c r="I16" i="8" s="1"/>
  <c r="Y326" i="28"/>
  <c r="AA326" i="28" s="1"/>
  <c r="Z326" i="28" s="1"/>
  <c r="X287" i="28"/>
  <c r="O281" i="3"/>
  <c r="Q243" i="3"/>
  <c r="P243" i="3" s="1"/>
  <c r="N243" i="3"/>
  <c r="Q214" i="3"/>
  <c r="Z812" i="28"/>
  <c r="AC812" i="28"/>
  <c r="Y253" i="28"/>
  <c r="X214" i="28"/>
  <c r="AA214" i="28"/>
  <c r="Z214" i="28" s="1"/>
  <c r="Q322" i="3"/>
  <c r="P322" i="3" s="1"/>
  <c r="O360" i="3"/>
  <c r="N322" i="3"/>
  <c r="H396" i="28"/>
  <c r="E435" i="28"/>
  <c r="O363" i="3"/>
  <c r="N325" i="3"/>
  <c r="Q325" i="3"/>
  <c r="P325" i="3" s="1"/>
  <c r="V249" i="28"/>
  <c r="AA249" i="28"/>
  <c r="W288" i="28"/>
  <c r="Q316" i="3"/>
  <c r="O354" i="3"/>
  <c r="N316" i="3"/>
  <c r="W407" i="28"/>
  <c r="V368" i="28"/>
  <c r="W331" i="28"/>
  <c r="V292" i="28"/>
  <c r="X291" i="28"/>
  <c r="Y330" i="28"/>
  <c r="AA291" i="28"/>
  <c r="Z291" i="28" s="1"/>
  <c r="A415" i="28"/>
  <c r="Z210" i="28"/>
  <c r="W447" i="28"/>
  <c r="V408" i="28"/>
  <c r="V367" i="28"/>
  <c r="W406" i="28"/>
  <c r="P278" i="3"/>
  <c r="Z811" i="28"/>
  <c r="AB811" i="28"/>
  <c r="N280" i="3"/>
  <c r="Q280" i="3"/>
  <c r="P280" i="3" s="1"/>
  <c r="O318" i="3"/>
  <c r="Z818" i="28"/>
  <c r="AC818" i="28"/>
  <c r="O355" i="3"/>
  <c r="N317" i="3"/>
  <c r="Q317" i="3"/>
  <c r="P317" i="3" s="1"/>
  <c r="Q320" i="3"/>
  <c r="P320" i="3" s="1"/>
  <c r="O358" i="3"/>
  <c r="N320" i="3"/>
  <c r="Q744" i="3"/>
  <c r="N744" i="3"/>
  <c r="N283" i="3"/>
  <c r="O321" i="3"/>
  <c r="Q283" i="3"/>
  <c r="P283" i="3" s="1"/>
  <c r="N324" i="3"/>
  <c r="O362" i="3"/>
  <c r="Q324" i="3"/>
  <c r="P324" i="3" s="1"/>
  <c r="Q361" i="3"/>
  <c r="P361" i="3" s="1"/>
  <c r="O399" i="3"/>
  <c r="N361" i="3"/>
  <c r="X363" i="28"/>
  <c r="Y402" i="28"/>
  <c r="Y368" i="28"/>
  <c r="AA368" i="28" s="1"/>
  <c r="Z368" i="28" s="1"/>
  <c r="X329" i="28"/>
  <c r="V364" i="28"/>
  <c r="AA364" i="28"/>
  <c r="Z364" i="28" s="1"/>
  <c r="W403" i="28"/>
  <c r="W363" i="28"/>
  <c r="AA324" i="28"/>
  <c r="V324" i="28"/>
  <c r="AA329" i="28"/>
  <c r="Z329" i="28" s="1"/>
  <c r="Z285" i="28"/>
  <c r="X328" i="28"/>
  <c r="Y367" i="28"/>
  <c r="AA367" i="28" s="1"/>
  <c r="Z367" i="28" s="1"/>
  <c r="V332" i="28"/>
  <c r="W371" i="28"/>
  <c r="AA332" i="28"/>
  <c r="Z332" i="28" s="1"/>
  <c r="AC820" i="28"/>
  <c r="Z820" i="28"/>
  <c r="G348" i="3"/>
  <c r="E386" i="3"/>
  <c r="P706" i="3"/>
  <c r="R706" i="3"/>
  <c r="V326" i="28"/>
  <c r="W365" i="28"/>
  <c r="Y371" i="28"/>
  <c r="X332" i="28"/>
  <c r="S44" i="31"/>
  <c r="S43" i="30"/>
  <c r="S41" i="29"/>
  <c r="O23" i="16" l="1"/>
  <c r="P22" i="16"/>
  <c r="C22" i="16"/>
  <c r="AB145" i="28"/>
  <c r="E163" i="28"/>
  <c r="J16" i="8"/>
  <c r="G16" i="8"/>
  <c r="E17" i="8" s="1"/>
  <c r="U138" i="3"/>
  <c r="V138" i="3" s="1"/>
  <c r="AA220" i="28"/>
  <c r="I17" i="8" s="1"/>
  <c r="Q252" i="3"/>
  <c r="O319" i="3"/>
  <c r="N281" i="3"/>
  <c r="Q281" i="3"/>
  <c r="P281" i="3" s="1"/>
  <c r="Y365" i="28"/>
  <c r="AA365" i="28" s="1"/>
  <c r="Z365" i="28" s="1"/>
  <c r="X326" i="28"/>
  <c r="E474" i="28"/>
  <c r="H435" i="28"/>
  <c r="X253" i="28"/>
  <c r="Y292" i="28"/>
  <c r="AA253" i="28"/>
  <c r="Z253" i="28" s="1"/>
  <c r="Q360" i="3"/>
  <c r="P360" i="3" s="1"/>
  <c r="N360" i="3"/>
  <c r="O398" i="3"/>
  <c r="W404" i="28"/>
  <c r="V365" i="28"/>
  <c r="O393" i="3"/>
  <c r="N355" i="3"/>
  <c r="Q355" i="3"/>
  <c r="P355" i="3" s="1"/>
  <c r="Q321" i="3"/>
  <c r="P321" i="3" s="1"/>
  <c r="O359" i="3"/>
  <c r="N321" i="3"/>
  <c r="Z324" i="28"/>
  <c r="W402" i="28"/>
  <c r="AA363" i="28"/>
  <c r="V363" i="28"/>
  <c r="P316" i="3"/>
  <c r="W327" i="28"/>
  <c r="AA288" i="28"/>
  <c r="V288" i="28"/>
  <c r="Y410" i="28"/>
  <c r="X371" i="28"/>
  <c r="V407" i="28"/>
  <c r="W446" i="28"/>
  <c r="V406" i="28"/>
  <c r="W445" i="28"/>
  <c r="A454" i="28"/>
  <c r="A493" i="28" s="1"/>
  <c r="A540" i="28" s="1"/>
  <c r="A587" i="28" s="1"/>
  <c r="O356" i="3"/>
  <c r="Q318" i="3"/>
  <c r="P318" i="3" s="1"/>
  <c r="N318" i="3"/>
  <c r="W442" i="28"/>
  <c r="AA403" i="28"/>
  <c r="Z403" i="28" s="1"/>
  <c r="V403" i="28"/>
  <c r="R744" i="3"/>
  <c r="P744" i="3"/>
  <c r="Y441" i="28"/>
  <c r="X441" i="28" s="1"/>
  <c r="X402" i="28"/>
  <c r="O392" i="3"/>
  <c r="Q354" i="3"/>
  <c r="N354" i="3"/>
  <c r="N399" i="3"/>
  <c r="O437" i="3"/>
  <c r="Q399" i="3"/>
  <c r="P399" i="3" s="1"/>
  <c r="Q358" i="3"/>
  <c r="P358" i="3" s="1"/>
  <c r="N358" i="3"/>
  <c r="O396" i="3"/>
  <c r="Z249" i="28"/>
  <c r="W486" i="28"/>
  <c r="V447" i="28"/>
  <c r="AA371" i="28"/>
  <c r="Z371" i="28" s="1"/>
  <c r="V371" i="28"/>
  <c r="W410" i="28"/>
  <c r="N362" i="3"/>
  <c r="Q362" i="3"/>
  <c r="P362" i="3" s="1"/>
  <c r="O400" i="3"/>
  <c r="X330" i="28"/>
  <c r="Y369" i="28"/>
  <c r="AA330" i="28"/>
  <c r="Z330" i="28" s="1"/>
  <c r="W370" i="28"/>
  <c r="V331" i="28"/>
  <c r="Y407" i="28"/>
  <c r="AA407" i="28" s="1"/>
  <c r="Z407" i="28" s="1"/>
  <c r="X368" i="28"/>
  <c r="G386" i="3"/>
  <c r="E424" i="3"/>
  <c r="X367" i="28"/>
  <c r="Y406" i="28"/>
  <c r="AA406" i="28" s="1"/>
  <c r="Z406" i="28" s="1"/>
  <c r="O401" i="3"/>
  <c r="N363" i="3"/>
  <c r="Q363" i="3"/>
  <c r="P363" i="3" s="1"/>
  <c r="S45" i="31"/>
  <c r="S44" i="30"/>
  <c r="S42" i="29"/>
  <c r="C23" i="16" l="1"/>
  <c r="P23" i="16"/>
  <c r="K159" i="3"/>
  <c r="H16" i="8"/>
  <c r="AB184" i="28" s="1"/>
  <c r="K16" i="8"/>
  <c r="U176" i="3" s="1"/>
  <c r="V176" i="3" s="1"/>
  <c r="P163" i="28"/>
  <c r="Q290" i="3"/>
  <c r="Y404" i="28"/>
  <c r="AA404" i="28" s="1"/>
  <c r="Z404" i="28" s="1"/>
  <c r="X365" i="28"/>
  <c r="AA259" i="28"/>
  <c r="I18" i="8" s="1"/>
  <c r="Q319" i="3"/>
  <c r="P319" i="3" s="1"/>
  <c r="O357" i="3"/>
  <c r="N319" i="3"/>
  <c r="X292" i="28"/>
  <c r="Y331" i="28"/>
  <c r="AA292" i="28"/>
  <c r="Z292" i="28" s="1"/>
  <c r="H474" i="28"/>
  <c r="E475" i="28"/>
  <c r="E513" i="28"/>
  <c r="P475" i="28"/>
  <c r="Q398" i="3"/>
  <c r="P398" i="3" s="1"/>
  <c r="O436" i="3"/>
  <c r="N398" i="3"/>
  <c r="W525" i="28"/>
  <c r="V486" i="28"/>
  <c r="AA486" i="28"/>
  <c r="Z486" i="28" s="1"/>
  <c r="Z288" i="28"/>
  <c r="N356" i="3"/>
  <c r="O394" i="3"/>
  <c r="Q356" i="3"/>
  <c r="P356" i="3" s="1"/>
  <c r="O438" i="3"/>
  <c r="Q400" i="3"/>
  <c r="P400" i="3" s="1"/>
  <c r="N400" i="3"/>
  <c r="P354" i="3"/>
  <c r="W484" i="28"/>
  <c r="V445" i="28"/>
  <c r="O430" i="3"/>
  <c r="Q392" i="3"/>
  <c r="N392" i="3"/>
  <c r="Z363" i="28"/>
  <c r="O397" i="3"/>
  <c r="Q359" i="3"/>
  <c r="P359" i="3" s="1"/>
  <c r="N359" i="3"/>
  <c r="W366" i="28"/>
  <c r="V327" i="28"/>
  <c r="AA327" i="28"/>
  <c r="A634" i="28"/>
  <c r="AE587" i="28"/>
  <c r="X369" i="28"/>
  <c r="Y408" i="28"/>
  <c r="AA369" i="28"/>
  <c r="Z369" i="28" s="1"/>
  <c r="N393" i="3"/>
  <c r="O431" i="3"/>
  <c r="Q393" i="3"/>
  <c r="P393" i="3" s="1"/>
  <c r="N437" i="3"/>
  <c r="O475" i="3"/>
  <c r="Q437" i="3"/>
  <c r="O439" i="3"/>
  <c r="N401" i="3"/>
  <c r="Q401" i="3"/>
  <c r="P401" i="3" s="1"/>
  <c r="G424" i="3"/>
  <c r="E462" i="3"/>
  <c r="V410" i="28"/>
  <c r="W449" i="28"/>
  <c r="AA410" i="28"/>
  <c r="Z410" i="28" s="1"/>
  <c r="V370" i="28"/>
  <c r="W409" i="28"/>
  <c r="V402" i="28"/>
  <c r="AA402" i="28"/>
  <c r="W441" i="28"/>
  <c r="AA442" i="28"/>
  <c r="Z442" i="28" s="1"/>
  <c r="W481" i="28"/>
  <c r="V442" i="28"/>
  <c r="Y449" i="28"/>
  <c r="X449" i="28" s="1"/>
  <c r="X410" i="28"/>
  <c r="W443" i="28"/>
  <c r="V404" i="28"/>
  <c r="Q396" i="3"/>
  <c r="P396" i="3" s="1"/>
  <c r="N396" i="3"/>
  <c r="O434" i="3"/>
  <c r="Y445" i="28"/>
  <c r="X445" i="28" s="1"/>
  <c r="X406" i="28"/>
  <c r="W485" i="28"/>
  <c r="V446" i="28"/>
  <c r="X407" i="28"/>
  <c r="Y446" i="28"/>
  <c r="X446" i="28" s="1"/>
  <c r="S46" i="31"/>
  <c r="S45" i="30"/>
  <c r="S43" i="29"/>
  <c r="G17" i="8"/>
  <c r="E197" i="3"/>
  <c r="J17" i="8"/>
  <c r="E202" i="28"/>
  <c r="R179" i="3" l="1"/>
  <c r="AE181" i="28"/>
  <c r="AF181" i="28" s="1"/>
  <c r="Q328" i="3"/>
  <c r="Q357" i="3"/>
  <c r="P357" i="3" s="1"/>
  <c r="N357" i="3"/>
  <c r="O395" i="3"/>
  <c r="AA298" i="28"/>
  <c r="I19" i="8" s="1"/>
  <c r="Y443" i="28"/>
  <c r="X443" i="28" s="1"/>
  <c r="X404" i="28"/>
  <c r="P514" i="28"/>
  <c r="H513" i="28"/>
  <c r="E514" i="28"/>
  <c r="E560" i="28"/>
  <c r="AA446" i="28"/>
  <c r="Z446" i="28" s="1"/>
  <c r="O474" i="3"/>
  <c r="N436" i="3"/>
  <c r="Q436" i="3"/>
  <c r="P436" i="3" s="1"/>
  <c r="X331" i="28"/>
  <c r="Y370" i="28"/>
  <c r="AA331" i="28"/>
  <c r="Z331" i="28" s="1"/>
  <c r="V484" i="28"/>
  <c r="AA484" i="28"/>
  <c r="Z484" i="28" s="1"/>
  <c r="W523" i="28"/>
  <c r="Z402" i="28"/>
  <c r="O472" i="3"/>
  <c r="Q434" i="3"/>
  <c r="N434" i="3"/>
  <c r="A681" i="28"/>
  <c r="AE634" i="28"/>
  <c r="W405" i="28"/>
  <c r="V366" i="28"/>
  <c r="AA366" i="28"/>
  <c r="Q397" i="3"/>
  <c r="P397" i="3" s="1"/>
  <c r="N397" i="3"/>
  <c r="O435" i="3"/>
  <c r="N439" i="3"/>
  <c r="Q439" i="3"/>
  <c r="O477" i="3"/>
  <c r="V441" i="28"/>
  <c r="W480" i="28"/>
  <c r="AA441" i="28"/>
  <c r="E463" i="3"/>
  <c r="K463" i="3"/>
  <c r="E500" i="3"/>
  <c r="G462" i="3"/>
  <c r="Z327" i="28"/>
  <c r="Q475" i="3"/>
  <c r="N475" i="3"/>
  <c r="O513" i="3"/>
  <c r="Q430" i="3"/>
  <c r="O468" i="3"/>
  <c r="N430" i="3"/>
  <c r="AA485" i="28"/>
  <c r="Z485" i="28" s="1"/>
  <c r="W524" i="28"/>
  <c r="V485" i="28"/>
  <c r="W448" i="28"/>
  <c r="V409" i="28"/>
  <c r="Y447" i="28"/>
  <c r="X408" i="28"/>
  <c r="AA408" i="28"/>
  <c r="Z408" i="28" s="1"/>
  <c r="N438" i="3"/>
  <c r="Q438" i="3"/>
  <c r="O476" i="3"/>
  <c r="AA449" i="28"/>
  <c r="Z449" i="28" s="1"/>
  <c r="V449" i="28"/>
  <c r="W488" i="28"/>
  <c r="N394" i="3"/>
  <c r="O432" i="3"/>
  <c r="Q394" i="3"/>
  <c r="P394" i="3" s="1"/>
  <c r="V443" i="28"/>
  <c r="W482" i="28"/>
  <c r="P437" i="3"/>
  <c r="P392" i="3"/>
  <c r="V481" i="28"/>
  <c r="AA481" i="28"/>
  <c r="Z481" i="28" s="1"/>
  <c r="W520" i="28"/>
  <c r="O469" i="3"/>
  <c r="N431" i="3"/>
  <c r="Q431" i="3"/>
  <c r="AA445" i="28"/>
  <c r="Z445" i="28" s="1"/>
  <c r="W572" i="28"/>
  <c r="V525" i="28"/>
  <c r="AA525" i="28"/>
  <c r="S47" i="31"/>
  <c r="S46" i="30"/>
  <c r="S44" i="29"/>
  <c r="H17" i="8"/>
  <c r="K197" i="3"/>
  <c r="E18" i="8"/>
  <c r="K17" i="8"/>
  <c r="P202" i="28"/>
  <c r="AA443" i="28" l="1"/>
  <c r="Z443" i="28" s="1"/>
  <c r="Q366" i="3"/>
  <c r="O433" i="3"/>
  <c r="Q395" i="3"/>
  <c r="P395" i="3" s="1"/>
  <c r="N395" i="3"/>
  <c r="X370" i="28"/>
  <c r="Y409" i="28"/>
  <c r="AA370" i="28"/>
  <c r="Z370" i="28" s="1"/>
  <c r="AA337" i="28"/>
  <c r="N474" i="3"/>
  <c r="O512" i="3"/>
  <c r="Q474" i="3"/>
  <c r="H560" i="28"/>
  <c r="E561" i="28"/>
  <c r="P561" i="28"/>
  <c r="E607" i="28"/>
  <c r="AB590" i="28"/>
  <c r="Q476" i="3"/>
  <c r="O514" i="3"/>
  <c r="N476" i="3"/>
  <c r="Q435" i="3"/>
  <c r="O473" i="3"/>
  <c r="N435" i="3"/>
  <c r="AA520" i="28"/>
  <c r="V520" i="28"/>
  <c r="W567" i="28"/>
  <c r="AA482" i="28"/>
  <c r="Z482" i="28" s="1"/>
  <c r="V482" i="28"/>
  <c r="W521" i="28"/>
  <c r="Q472" i="3"/>
  <c r="N472" i="3"/>
  <c r="O510" i="3"/>
  <c r="P431" i="3"/>
  <c r="S431" i="3"/>
  <c r="O507" i="3"/>
  <c r="N469" i="3"/>
  <c r="Q469" i="3"/>
  <c r="Z366" i="28"/>
  <c r="AA376" i="28"/>
  <c r="N468" i="3"/>
  <c r="O506" i="3"/>
  <c r="Q468" i="3"/>
  <c r="W519" i="28"/>
  <c r="V480" i="28"/>
  <c r="AA480" i="28"/>
  <c r="W570" i="28"/>
  <c r="V523" i="28"/>
  <c r="AA523" i="28"/>
  <c r="X447" i="28"/>
  <c r="AA447" i="28"/>
  <c r="Z447" i="28" s="1"/>
  <c r="AA524" i="28"/>
  <c r="W571" i="28"/>
  <c r="V524" i="28"/>
  <c r="K501" i="3"/>
  <c r="E501" i="3"/>
  <c r="E538" i="3"/>
  <c r="G500" i="3"/>
  <c r="R521" i="3"/>
  <c r="Z441" i="28"/>
  <c r="V488" i="28"/>
  <c r="W489" i="28"/>
  <c r="AA488" i="28"/>
  <c r="Z488" i="28" s="1"/>
  <c r="W527" i="28"/>
  <c r="P475" i="3"/>
  <c r="S475" i="3"/>
  <c r="P438" i="3"/>
  <c r="R438" i="3"/>
  <c r="W444" i="28"/>
  <c r="V405" i="28"/>
  <c r="AA405" i="28"/>
  <c r="A728" i="28"/>
  <c r="AE681" i="28"/>
  <c r="P434" i="3"/>
  <c r="P430" i="3"/>
  <c r="R430" i="3"/>
  <c r="Q432" i="3"/>
  <c r="N432" i="3"/>
  <c r="O470" i="3"/>
  <c r="O551" i="3"/>
  <c r="N513" i="3"/>
  <c r="Q513" i="3"/>
  <c r="Q477" i="3"/>
  <c r="N477" i="3"/>
  <c r="O515" i="3"/>
  <c r="W487" i="28"/>
  <c r="V448" i="28"/>
  <c r="AB525" i="28"/>
  <c r="Z525" i="28"/>
  <c r="AA572" i="28"/>
  <c r="W619" i="28"/>
  <c r="V572" i="28"/>
  <c r="S439" i="3"/>
  <c r="P439" i="3"/>
  <c r="S48" i="31"/>
  <c r="S47" i="30"/>
  <c r="S45" i="29"/>
  <c r="AE220" i="28"/>
  <c r="AF220" i="28" s="1"/>
  <c r="U214" i="3"/>
  <c r="V214" i="3" s="1"/>
  <c r="R217" i="3"/>
  <c r="AB223" i="28"/>
  <c r="J18" i="8"/>
  <c r="E241" i="28"/>
  <c r="G18" i="8"/>
  <c r="E235" i="3"/>
  <c r="Q404" i="3" l="1"/>
  <c r="Q433" i="3"/>
  <c r="P433" i="3" s="1"/>
  <c r="N433" i="3"/>
  <c r="O471" i="3"/>
  <c r="N512" i="3"/>
  <c r="Q512" i="3"/>
  <c r="O550" i="3"/>
  <c r="R474" i="3"/>
  <c r="P474" i="3"/>
  <c r="E608" i="28"/>
  <c r="H607" i="28"/>
  <c r="E654" i="28"/>
  <c r="AB637" i="28"/>
  <c r="P608" i="28"/>
  <c r="X409" i="28"/>
  <c r="Y448" i="28"/>
  <c r="AA409" i="28"/>
  <c r="Z409" i="28" s="1"/>
  <c r="N510" i="3"/>
  <c r="Q510" i="3"/>
  <c r="O548" i="3"/>
  <c r="P472" i="3"/>
  <c r="P513" i="3"/>
  <c r="S513" i="3"/>
  <c r="Z480" i="28"/>
  <c r="W614" i="28"/>
  <c r="AA567" i="28"/>
  <c r="V567" i="28"/>
  <c r="AC520" i="28"/>
  <c r="Z520" i="28"/>
  <c r="O544" i="3"/>
  <c r="N506" i="3"/>
  <c r="Q506" i="3"/>
  <c r="P468" i="3"/>
  <c r="R468" i="3"/>
  <c r="AA487" i="28"/>
  <c r="Z487" i="28" s="1"/>
  <c r="V487" i="28"/>
  <c r="W526" i="28"/>
  <c r="A775" i="28"/>
  <c r="AE728" i="28"/>
  <c r="G538" i="3"/>
  <c r="E539" i="3"/>
  <c r="R559" i="3"/>
  <c r="K539" i="3"/>
  <c r="E576" i="3"/>
  <c r="P469" i="3"/>
  <c r="S469" i="3"/>
  <c r="Q473" i="3"/>
  <c r="N473" i="3"/>
  <c r="O511" i="3"/>
  <c r="Z524" i="28"/>
  <c r="Q551" i="3"/>
  <c r="N551" i="3"/>
  <c r="O589" i="3"/>
  <c r="W666" i="28"/>
  <c r="V619" i="28"/>
  <c r="AA619" i="28"/>
  <c r="Z572" i="28"/>
  <c r="P435" i="3"/>
  <c r="Z523" i="28"/>
  <c r="O545" i="3"/>
  <c r="Q507" i="3"/>
  <c r="N507" i="3"/>
  <c r="W617" i="28"/>
  <c r="AA570" i="28"/>
  <c r="V570" i="28"/>
  <c r="Q470" i="3"/>
  <c r="N470" i="3"/>
  <c r="O508" i="3"/>
  <c r="W574" i="28"/>
  <c r="V527" i="28"/>
  <c r="AA527" i="28"/>
  <c r="W566" i="28"/>
  <c r="V519" i="28"/>
  <c r="AA519" i="28"/>
  <c r="W528" i="28"/>
  <c r="V489" i="28"/>
  <c r="AA489" i="28"/>
  <c r="Z489" i="28" s="1"/>
  <c r="V444" i="28"/>
  <c r="W483" i="28"/>
  <c r="AA444" i="28"/>
  <c r="Q514" i="3"/>
  <c r="N514" i="3"/>
  <c r="O552" i="3"/>
  <c r="AA521" i="28"/>
  <c r="V521" i="28"/>
  <c r="W568" i="28"/>
  <c r="R432" i="3"/>
  <c r="R434" i="3" s="1"/>
  <c r="R436" i="3" s="1"/>
  <c r="P432" i="3"/>
  <c r="Z405" i="28"/>
  <c r="N515" i="3"/>
  <c r="O553" i="3"/>
  <c r="Q515" i="3"/>
  <c r="S477" i="3"/>
  <c r="P477" i="3"/>
  <c r="V571" i="28"/>
  <c r="AA571" i="28"/>
  <c r="W618" i="28"/>
  <c r="R476" i="3"/>
  <c r="P476" i="3"/>
  <c r="S49" i="31"/>
  <c r="S48" i="30"/>
  <c r="S46" i="29"/>
  <c r="E19" i="8"/>
  <c r="K18" i="8"/>
  <c r="P241" i="28"/>
  <c r="K235" i="3"/>
  <c r="H18" i="8"/>
  <c r="N471" i="3" l="1"/>
  <c r="Q471" i="3"/>
  <c r="P471" i="3" s="1"/>
  <c r="O509" i="3"/>
  <c r="AA415" i="28"/>
  <c r="S433" i="3"/>
  <c r="S435" i="3" s="1"/>
  <c r="S437" i="3" s="1"/>
  <c r="Q442" i="3"/>
  <c r="X448" i="28"/>
  <c r="AA448" i="28"/>
  <c r="Z448" i="28" s="1"/>
  <c r="E701" i="28"/>
  <c r="P655" i="28"/>
  <c r="H654" i="28"/>
  <c r="E655" i="28"/>
  <c r="AB684" i="28"/>
  <c r="Q550" i="3"/>
  <c r="P550" i="3" s="1"/>
  <c r="O588" i="3"/>
  <c r="N550" i="3"/>
  <c r="R512" i="3"/>
  <c r="P512" i="3"/>
  <c r="W615" i="28"/>
  <c r="AA568" i="28"/>
  <c r="V568" i="28"/>
  <c r="A822" i="28"/>
  <c r="AE822" i="28" s="1"/>
  <c r="AE775" i="28"/>
  <c r="V614" i="28"/>
  <c r="AA614" i="28"/>
  <c r="W661" i="28"/>
  <c r="Z619" i="28"/>
  <c r="V526" i="28"/>
  <c r="W573" i="28"/>
  <c r="AA526" i="28"/>
  <c r="Q553" i="3"/>
  <c r="N553" i="3"/>
  <c r="O591" i="3"/>
  <c r="V574" i="28"/>
  <c r="W621" i="28"/>
  <c r="AA574" i="28"/>
  <c r="R506" i="3"/>
  <c r="P506" i="3"/>
  <c r="V566" i="28"/>
  <c r="W613" i="28"/>
  <c r="AA566" i="28"/>
  <c r="G576" i="3"/>
  <c r="R597" i="3"/>
  <c r="E577" i="3"/>
  <c r="E614" i="3"/>
  <c r="K577" i="3"/>
  <c r="Z567" i="28"/>
  <c r="AC567" i="28"/>
  <c r="P515" i="3"/>
  <c r="S515" i="3"/>
  <c r="W713" i="28"/>
  <c r="AA666" i="28"/>
  <c r="V666" i="28"/>
  <c r="P507" i="3"/>
  <c r="S507" i="3"/>
  <c r="Z444" i="28"/>
  <c r="Q545" i="3"/>
  <c r="N545" i="3"/>
  <c r="O583" i="3"/>
  <c r="P551" i="3"/>
  <c r="Z519" i="28"/>
  <c r="AB519" i="28"/>
  <c r="AB521" i="28" s="1"/>
  <c r="AB523" i="28" s="1"/>
  <c r="Q508" i="3"/>
  <c r="O546" i="3"/>
  <c r="N508" i="3"/>
  <c r="R470" i="3"/>
  <c r="R472" i="3" s="1"/>
  <c r="P470" i="3"/>
  <c r="Z521" i="28"/>
  <c r="Z570" i="28"/>
  <c r="O627" i="3"/>
  <c r="Q589" i="3"/>
  <c r="N589" i="3"/>
  <c r="O586" i="3"/>
  <c r="Q548" i="3"/>
  <c r="N548" i="3"/>
  <c r="W664" i="28"/>
  <c r="AA617" i="28"/>
  <c r="V617" i="28"/>
  <c r="P510" i="3"/>
  <c r="AA528" i="28"/>
  <c r="V528" i="28"/>
  <c r="W575" i="28"/>
  <c r="P473" i="3"/>
  <c r="S473" i="3"/>
  <c r="O582" i="3"/>
  <c r="N544" i="3"/>
  <c r="Q544" i="3"/>
  <c r="AB527" i="28"/>
  <c r="Z527" i="28"/>
  <c r="O590" i="3"/>
  <c r="Q552" i="3"/>
  <c r="N552" i="3"/>
  <c r="R514" i="3"/>
  <c r="P514" i="3"/>
  <c r="AA618" i="28"/>
  <c r="V618" i="28"/>
  <c r="W665" i="28"/>
  <c r="Z571" i="28"/>
  <c r="AA483" i="28"/>
  <c r="V483" i="28"/>
  <c r="W522" i="28"/>
  <c r="O549" i="3"/>
  <c r="Q511" i="3"/>
  <c r="N511" i="3"/>
  <c r="S50" i="31"/>
  <c r="S49" i="30"/>
  <c r="S47" i="29"/>
  <c r="R255" i="3"/>
  <c r="AB262" i="28"/>
  <c r="E273" i="3"/>
  <c r="E280" i="28"/>
  <c r="J19" i="8"/>
  <c r="G19" i="8"/>
  <c r="U252" i="3"/>
  <c r="V252" i="3" s="1"/>
  <c r="AE259" i="28"/>
  <c r="AF259" i="28" s="1"/>
  <c r="S471" i="3" l="1"/>
  <c r="AA454" i="28"/>
  <c r="I23" i="8" s="1"/>
  <c r="O547" i="3"/>
  <c r="N509" i="3"/>
  <c r="Q509" i="3"/>
  <c r="P509" i="3" s="1"/>
  <c r="Q480" i="3"/>
  <c r="AB731" i="28"/>
  <c r="E748" i="28"/>
  <c r="P702" i="28"/>
  <c r="E702" i="28"/>
  <c r="H701" i="28"/>
  <c r="N588" i="3"/>
  <c r="Q588" i="3"/>
  <c r="P588" i="3" s="1"/>
  <c r="O626" i="3"/>
  <c r="R635" i="3"/>
  <c r="E652" i="3"/>
  <c r="K615" i="3"/>
  <c r="E615" i="3"/>
  <c r="G614" i="3"/>
  <c r="Z618" i="28"/>
  <c r="Z566" i="28"/>
  <c r="AB566" i="28"/>
  <c r="AB568" i="28" s="1"/>
  <c r="AB570" i="28" s="1"/>
  <c r="AB572" i="28" s="1"/>
  <c r="AA522" i="28"/>
  <c r="V522" i="28"/>
  <c r="W569" i="28"/>
  <c r="AA613" i="28"/>
  <c r="V613" i="28"/>
  <c r="W660" i="28"/>
  <c r="N591" i="3"/>
  <c r="Q591" i="3"/>
  <c r="O629" i="3"/>
  <c r="AA665" i="28"/>
  <c r="W712" i="28"/>
  <c r="V665" i="28"/>
  <c r="Z617" i="28"/>
  <c r="Z666" i="28"/>
  <c r="R508" i="3"/>
  <c r="R510" i="3" s="1"/>
  <c r="P508" i="3"/>
  <c r="Z568" i="28"/>
  <c r="S553" i="3"/>
  <c r="P553" i="3"/>
  <c r="AA575" i="28"/>
  <c r="W622" i="28"/>
  <c r="V575" i="28"/>
  <c r="AC526" i="28"/>
  <c r="Z526" i="28"/>
  <c r="O584" i="3"/>
  <c r="N546" i="3"/>
  <c r="Q546" i="3"/>
  <c r="AA615" i="28"/>
  <c r="W662" i="28"/>
  <c r="V615" i="28"/>
  <c r="O620" i="3"/>
  <c r="N582" i="3"/>
  <c r="Q582" i="3"/>
  <c r="AA713" i="28"/>
  <c r="W760" i="28"/>
  <c r="V713" i="28"/>
  <c r="V661" i="28"/>
  <c r="AA661" i="28"/>
  <c r="W708" i="28"/>
  <c r="O621" i="3"/>
  <c r="N583" i="3"/>
  <c r="Q583" i="3"/>
  <c r="P589" i="3"/>
  <c r="AA573" i="28"/>
  <c r="W620" i="28"/>
  <c r="V573" i="28"/>
  <c r="AC528" i="28"/>
  <c r="Z528" i="28"/>
  <c r="AC614" i="28"/>
  <c r="Z614" i="28"/>
  <c r="N627" i="3"/>
  <c r="O665" i="3"/>
  <c r="Q627" i="3"/>
  <c r="Z574" i="28"/>
  <c r="AB574" i="28"/>
  <c r="Z483" i="28"/>
  <c r="AA493" i="28"/>
  <c r="P511" i="3"/>
  <c r="O587" i="3"/>
  <c r="N549" i="3"/>
  <c r="Q549" i="3"/>
  <c r="P548" i="3"/>
  <c r="P552" i="3"/>
  <c r="R552" i="3"/>
  <c r="N586" i="3"/>
  <c r="O624" i="3"/>
  <c r="Q586" i="3"/>
  <c r="S545" i="3"/>
  <c r="P545" i="3"/>
  <c r="O628" i="3"/>
  <c r="Q590" i="3"/>
  <c r="N590" i="3"/>
  <c r="P544" i="3"/>
  <c r="R544" i="3"/>
  <c r="W668" i="28"/>
  <c r="AA621" i="28"/>
  <c r="V621" i="28"/>
  <c r="AA664" i="28"/>
  <c r="V664" i="28"/>
  <c r="W711" i="28"/>
  <c r="I20" i="8"/>
  <c r="I21" i="8"/>
  <c r="I22" i="8"/>
  <c r="S51" i="31"/>
  <c r="S50" i="30"/>
  <c r="S48" i="29"/>
  <c r="P280" i="28"/>
  <c r="K19" i="8"/>
  <c r="H19" i="8"/>
  <c r="E20" i="8"/>
  <c r="K273" i="3"/>
  <c r="Q518" i="3" l="1"/>
  <c r="V518" i="3" s="1"/>
  <c r="Q547" i="3"/>
  <c r="P547" i="3" s="1"/>
  <c r="N547" i="3"/>
  <c r="O585" i="3"/>
  <c r="S509" i="3"/>
  <c r="S511" i="3" s="1"/>
  <c r="Q626" i="3"/>
  <c r="P626" i="3" s="1"/>
  <c r="O664" i="3"/>
  <c r="N626" i="3"/>
  <c r="H748" i="28"/>
  <c r="P749" i="28"/>
  <c r="E795" i="28"/>
  <c r="E749" i="28"/>
  <c r="AB778" i="28"/>
  <c r="V622" i="28"/>
  <c r="W669" i="28"/>
  <c r="AA622" i="28"/>
  <c r="Z575" i="28"/>
  <c r="AC575" i="28"/>
  <c r="V708" i="28"/>
  <c r="AA708" i="28"/>
  <c r="W755" i="28"/>
  <c r="W707" i="28"/>
  <c r="AA660" i="28"/>
  <c r="V660" i="28"/>
  <c r="Z613" i="28"/>
  <c r="AB613" i="28"/>
  <c r="AB615" i="28" s="1"/>
  <c r="AB617" i="28" s="1"/>
  <c r="AB619" i="28" s="1"/>
  <c r="Q620" i="3"/>
  <c r="N620" i="3"/>
  <c r="O658" i="3"/>
  <c r="R590" i="3"/>
  <c r="P590" i="3"/>
  <c r="P627" i="3"/>
  <c r="Q621" i="3"/>
  <c r="O659" i="3"/>
  <c r="N621" i="3"/>
  <c r="Z664" i="28"/>
  <c r="O703" i="3"/>
  <c r="N665" i="3"/>
  <c r="Q665" i="3"/>
  <c r="P546" i="3"/>
  <c r="R546" i="3"/>
  <c r="R548" i="3" s="1"/>
  <c r="R550" i="3" s="1"/>
  <c r="AC661" i="28"/>
  <c r="Z661" i="28"/>
  <c r="W807" i="28"/>
  <c r="AA760" i="28"/>
  <c r="V760" i="28"/>
  <c r="Z713" i="28"/>
  <c r="O666" i="3"/>
  <c r="N628" i="3"/>
  <c r="Q628" i="3"/>
  <c r="W616" i="28"/>
  <c r="AA569" i="28"/>
  <c r="V569" i="28"/>
  <c r="P582" i="3"/>
  <c r="R582" i="3"/>
  <c r="AA711" i="28"/>
  <c r="W758" i="28"/>
  <c r="V711" i="28"/>
  <c r="W709" i="28"/>
  <c r="AA662" i="28"/>
  <c r="V662" i="28"/>
  <c r="Z615" i="28"/>
  <c r="W759" i="28"/>
  <c r="V712" i="28"/>
  <c r="AA712" i="28"/>
  <c r="AB621" i="28"/>
  <c r="Z621" i="28"/>
  <c r="Q584" i="3"/>
  <c r="O622" i="3"/>
  <c r="N584" i="3"/>
  <c r="O667" i="3"/>
  <c r="Q629" i="3"/>
  <c r="N629" i="3"/>
  <c r="AA620" i="28"/>
  <c r="V620" i="28"/>
  <c r="W667" i="28"/>
  <c r="AA668" i="28"/>
  <c r="W715" i="28"/>
  <c r="V668" i="28"/>
  <c r="S591" i="3"/>
  <c r="P591" i="3"/>
  <c r="E653" i="3"/>
  <c r="G652" i="3"/>
  <c r="K653" i="3"/>
  <c r="E690" i="3"/>
  <c r="R673" i="3"/>
  <c r="S583" i="3"/>
  <c r="P583" i="3"/>
  <c r="AC522" i="28"/>
  <c r="AC524" i="28" s="1"/>
  <c r="Z522" i="28"/>
  <c r="AA540" i="28"/>
  <c r="P586" i="3"/>
  <c r="N624" i="3"/>
  <c r="O662" i="3"/>
  <c r="Q624" i="3"/>
  <c r="Z573" i="28"/>
  <c r="Z665" i="28"/>
  <c r="P549" i="3"/>
  <c r="O625" i="3"/>
  <c r="Q587" i="3"/>
  <c r="N587" i="3"/>
  <c r="S52" i="31"/>
  <c r="S51" i="30"/>
  <c r="S49" i="29"/>
  <c r="J20" i="8"/>
  <c r="E311" i="3"/>
  <c r="E319" i="28"/>
  <c r="G20" i="8"/>
  <c r="AB301" i="28"/>
  <c r="R293" i="3"/>
  <c r="U290" i="3"/>
  <c r="V290" i="3" s="1"/>
  <c r="AE298" i="28"/>
  <c r="AF298" i="28" s="1"/>
  <c r="S547" i="3" l="1"/>
  <c r="S549" i="3" s="1"/>
  <c r="S551" i="3" s="1"/>
  <c r="Q585" i="3"/>
  <c r="O623" i="3"/>
  <c r="N585" i="3"/>
  <c r="Q556" i="3"/>
  <c r="V556" i="3" s="1"/>
  <c r="AB825" i="28"/>
  <c r="P796" i="28"/>
  <c r="E796" i="28"/>
  <c r="H795" i="28"/>
  <c r="Q664" i="3"/>
  <c r="P664" i="3" s="1"/>
  <c r="N664" i="3"/>
  <c r="O702" i="3"/>
  <c r="P629" i="3"/>
  <c r="S629" i="3"/>
  <c r="Z660" i="28"/>
  <c r="AB660" i="28"/>
  <c r="AB662" i="28" s="1"/>
  <c r="AB664" i="28" s="1"/>
  <c r="AB666" i="28" s="1"/>
  <c r="N662" i="3"/>
  <c r="O700" i="3"/>
  <c r="Q662" i="3"/>
  <c r="P584" i="3"/>
  <c r="R584" i="3"/>
  <c r="R586" i="3" s="1"/>
  <c r="R588" i="3" s="1"/>
  <c r="O696" i="3"/>
  <c r="Q658" i="3"/>
  <c r="N658" i="3"/>
  <c r="Z668" i="28"/>
  <c r="AB668" i="28"/>
  <c r="Z620" i="28"/>
  <c r="W714" i="28"/>
  <c r="AA667" i="28"/>
  <c r="V667" i="28"/>
  <c r="AA755" i="28"/>
  <c r="V755" i="28"/>
  <c r="W802" i="28"/>
  <c r="P665" i="3"/>
  <c r="Z712" i="28"/>
  <c r="W756" i="28"/>
  <c r="V709" i="28"/>
  <c r="AA709" i="28"/>
  <c r="AC708" i="28"/>
  <c r="Z708" i="28"/>
  <c r="P587" i="3"/>
  <c r="P621" i="3"/>
  <c r="S621" i="3"/>
  <c r="Z662" i="28"/>
  <c r="W762" i="28"/>
  <c r="AA715" i="28"/>
  <c r="V715" i="28"/>
  <c r="P624" i="3"/>
  <c r="N667" i="3"/>
  <c r="Q667" i="3"/>
  <c r="O705" i="3"/>
  <c r="O741" i="3"/>
  <c r="N703" i="3"/>
  <c r="Q703" i="3"/>
  <c r="AA759" i="28"/>
  <c r="W806" i="28"/>
  <c r="V759" i="28"/>
  <c r="N666" i="3"/>
  <c r="O704" i="3"/>
  <c r="Q666" i="3"/>
  <c r="AC622" i="28"/>
  <c r="Z622" i="28"/>
  <c r="Z760" i="28"/>
  <c r="P620" i="3"/>
  <c r="R620" i="3"/>
  <c r="AA758" i="28"/>
  <c r="V758" i="28"/>
  <c r="W805" i="28"/>
  <c r="Z711" i="28"/>
  <c r="V616" i="28"/>
  <c r="W663" i="28"/>
  <c r="AA616" i="28"/>
  <c r="E728" i="3"/>
  <c r="R711" i="3"/>
  <c r="K691" i="3"/>
  <c r="E691" i="3"/>
  <c r="G690" i="3"/>
  <c r="R628" i="3"/>
  <c r="P628" i="3"/>
  <c r="Q659" i="3"/>
  <c r="N659" i="3"/>
  <c r="O697" i="3"/>
  <c r="V669" i="28"/>
  <c r="W716" i="28"/>
  <c r="AA669" i="28"/>
  <c r="V807" i="28"/>
  <c r="AA807" i="28"/>
  <c r="W754" i="28"/>
  <c r="V707" i="28"/>
  <c r="AA707" i="28"/>
  <c r="Q622" i="3"/>
  <c r="O660" i="3"/>
  <c r="N622" i="3"/>
  <c r="AC569" i="28"/>
  <c r="AC571" i="28" s="1"/>
  <c r="AC573" i="28" s="1"/>
  <c r="Z569" i="28"/>
  <c r="AA587" i="28"/>
  <c r="AF587" i="28" s="1"/>
  <c r="O663" i="3"/>
  <c r="N625" i="3"/>
  <c r="Q625" i="3"/>
  <c r="S53" i="31"/>
  <c r="S52" i="30"/>
  <c r="S50" i="29"/>
  <c r="K20" i="8"/>
  <c r="K311" i="3"/>
  <c r="H20" i="8"/>
  <c r="E21" i="8"/>
  <c r="P319" i="28"/>
  <c r="N623" i="3" l="1"/>
  <c r="Q623" i="3"/>
  <c r="P623" i="3" s="1"/>
  <c r="O661" i="3"/>
  <c r="P585" i="3"/>
  <c r="S585" i="3"/>
  <c r="S587" i="3" s="1"/>
  <c r="S589" i="3" s="1"/>
  <c r="Q594" i="3"/>
  <c r="V594" i="3" s="1"/>
  <c r="Q702" i="3"/>
  <c r="P702" i="3" s="1"/>
  <c r="O740" i="3"/>
  <c r="N702" i="3"/>
  <c r="R658" i="3"/>
  <c r="P658" i="3"/>
  <c r="P667" i="3"/>
  <c r="S667" i="3"/>
  <c r="Z758" i="28"/>
  <c r="P662" i="3"/>
  <c r="R666" i="3"/>
  <c r="P666" i="3"/>
  <c r="Z667" i="28"/>
  <c r="Z759" i="28"/>
  <c r="P622" i="3"/>
  <c r="R622" i="3"/>
  <c r="R624" i="3" s="1"/>
  <c r="R626" i="3" s="1"/>
  <c r="P703" i="3"/>
  <c r="N705" i="3"/>
  <c r="Q705" i="3"/>
  <c r="O743" i="3"/>
  <c r="N700" i="3"/>
  <c r="O738" i="3"/>
  <c r="Q700" i="3"/>
  <c r="Q663" i="3"/>
  <c r="O701" i="3"/>
  <c r="N663" i="3"/>
  <c r="O742" i="3"/>
  <c r="Q704" i="3"/>
  <c r="N704" i="3"/>
  <c r="AA806" i="28"/>
  <c r="V806" i="28"/>
  <c r="AC616" i="28"/>
  <c r="AC618" i="28" s="1"/>
  <c r="AC620" i="28" s="1"/>
  <c r="Z616" i="28"/>
  <c r="AA634" i="28"/>
  <c r="AF634" i="28" s="1"/>
  <c r="Z707" i="28"/>
  <c r="AB707" i="28"/>
  <c r="AB709" i="28" s="1"/>
  <c r="AB711" i="28" s="1"/>
  <c r="AB713" i="28" s="1"/>
  <c r="Z709" i="28"/>
  <c r="AA805" i="28"/>
  <c r="V805" i="28"/>
  <c r="AA714" i="28"/>
  <c r="V714" i="28"/>
  <c r="W761" i="28"/>
  <c r="Q660" i="3"/>
  <c r="O698" i="3"/>
  <c r="N660" i="3"/>
  <c r="N741" i="3"/>
  <c r="Q741" i="3"/>
  <c r="W801" i="28"/>
  <c r="AA754" i="28"/>
  <c r="V754" i="28"/>
  <c r="Z807" i="28"/>
  <c r="V716" i="28"/>
  <c r="W763" i="28"/>
  <c r="AA716" i="28"/>
  <c r="G728" i="3"/>
  <c r="K729" i="3"/>
  <c r="E729" i="3"/>
  <c r="R749" i="3"/>
  <c r="Q697" i="3"/>
  <c r="O735" i="3"/>
  <c r="N697" i="3"/>
  <c r="AA756" i="28"/>
  <c r="W803" i="28"/>
  <c r="V756" i="28"/>
  <c r="AC669" i="28"/>
  <c r="Z669" i="28"/>
  <c r="V802" i="28"/>
  <c r="AA802" i="28"/>
  <c r="V663" i="28"/>
  <c r="AA663" i="28"/>
  <c r="W710" i="28"/>
  <c r="P625" i="3"/>
  <c r="O734" i="3"/>
  <c r="Q696" i="3"/>
  <c r="N696" i="3"/>
  <c r="Z715" i="28"/>
  <c r="AB715" i="28"/>
  <c r="W809" i="28"/>
  <c r="V762" i="28"/>
  <c r="AA762" i="28"/>
  <c r="S659" i="3"/>
  <c r="P659" i="3"/>
  <c r="AC755" i="28"/>
  <c r="Z755" i="28"/>
  <c r="S54" i="31"/>
  <c r="S53" i="30"/>
  <c r="S51" i="29"/>
  <c r="E349" i="3"/>
  <c r="E358" i="28"/>
  <c r="J21" i="8"/>
  <c r="G21" i="8"/>
  <c r="U328" i="3"/>
  <c r="V328" i="3" s="1"/>
  <c r="AE337" i="28"/>
  <c r="AF337" i="28" s="1"/>
  <c r="R331" i="3"/>
  <c r="AB340" i="28"/>
  <c r="Q632" i="3" l="1"/>
  <c r="V632" i="3" s="1"/>
  <c r="O699" i="3"/>
  <c r="Q661" i="3"/>
  <c r="P661" i="3" s="1"/>
  <c r="N661" i="3"/>
  <c r="S623" i="3"/>
  <c r="S625" i="3" s="1"/>
  <c r="S627" i="3" s="1"/>
  <c r="Q740" i="3"/>
  <c r="P740" i="3" s="1"/>
  <c r="N740" i="3"/>
  <c r="P741" i="3"/>
  <c r="Z756" i="28"/>
  <c r="V809" i="28"/>
  <c r="AA809" i="28"/>
  <c r="R660" i="3"/>
  <c r="R662" i="3" s="1"/>
  <c r="R664" i="3" s="1"/>
  <c r="P660" i="3"/>
  <c r="Q735" i="3"/>
  <c r="N735" i="3"/>
  <c r="AA761" i="28"/>
  <c r="W808" i="28"/>
  <c r="V761" i="28"/>
  <c r="P663" i="3"/>
  <c r="W757" i="28"/>
  <c r="AA710" i="28"/>
  <c r="V710" i="28"/>
  <c r="R704" i="3"/>
  <c r="P704" i="3"/>
  <c r="V801" i="28"/>
  <c r="AA801" i="28"/>
  <c r="O736" i="3"/>
  <c r="N698" i="3"/>
  <c r="Q698" i="3"/>
  <c r="O739" i="3"/>
  <c r="N701" i="3"/>
  <c r="Q701" i="3"/>
  <c r="Z805" i="28"/>
  <c r="AC663" i="28"/>
  <c r="AC665" i="28" s="1"/>
  <c r="AC667" i="28" s="1"/>
  <c r="Z663" i="28"/>
  <c r="AA681" i="28"/>
  <c r="AF681" i="28" s="1"/>
  <c r="N742" i="3"/>
  <c r="Q742" i="3"/>
  <c r="P700" i="3"/>
  <c r="AC802" i="28"/>
  <c r="Z802" i="28"/>
  <c r="AB754" i="28"/>
  <c r="AB756" i="28" s="1"/>
  <c r="AB758" i="28" s="1"/>
  <c r="AB760" i="28" s="1"/>
  <c r="Z754" i="28"/>
  <c r="Z806" i="28"/>
  <c r="AA803" i="28"/>
  <c r="V803" i="28"/>
  <c r="P697" i="3"/>
  <c r="S697" i="3"/>
  <c r="Z714" i="28"/>
  <c r="N738" i="3"/>
  <c r="Q738" i="3"/>
  <c r="R696" i="3"/>
  <c r="P696" i="3"/>
  <c r="Z716" i="28"/>
  <c r="AC716" i="28"/>
  <c r="AB762" i="28"/>
  <c r="Z762" i="28"/>
  <c r="N734" i="3"/>
  <c r="Q734" i="3"/>
  <c r="N743" i="3"/>
  <c r="Q743" i="3"/>
  <c r="P705" i="3"/>
  <c r="S705" i="3"/>
  <c r="AA763" i="28"/>
  <c r="W810" i="28"/>
  <c r="V763" i="28"/>
  <c r="S55" i="31"/>
  <c r="S54" i="30"/>
  <c r="S52" i="29"/>
  <c r="P358" i="28"/>
  <c r="E22" i="8"/>
  <c r="H21" i="8"/>
  <c r="K349" i="3"/>
  <c r="K21" i="8"/>
  <c r="Q670" i="3" l="1"/>
  <c r="V670" i="3" s="1"/>
  <c r="Q699" i="3"/>
  <c r="O737" i="3"/>
  <c r="N699" i="3"/>
  <c r="S661" i="3"/>
  <c r="S663" i="3" s="1"/>
  <c r="S665" i="3" s="1"/>
  <c r="Z761" i="28"/>
  <c r="Q736" i="3"/>
  <c r="N736" i="3"/>
  <c r="Q739" i="3"/>
  <c r="N739" i="3"/>
  <c r="R742" i="3"/>
  <c r="P742" i="3"/>
  <c r="P701" i="3"/>
  <c r="AC763" i="28"/>
  <c r="Z763" i="28"/>
  <c r="Z803" i="28"/>
  <c r="AB803" i="28"/>
  <c r="AB805" i="28" s="1"/>
  <c r="AB807" i="28" s="1"/>
  <c r="P698" i="3"/>
  <c r="R698" i="3"/>
  <c r="R700" i="3" s="1"/>
  <c r="R702" i="3" s="1"/>
  <c r="P738" i="3"/>
  <c r="AA808" i="28"/>
  <c r="V808" i="28"/>
  <c r="S735" i="3"/>
  <c r="P735" i="3"/>
  <c r="P734" i="3"/>
  <c r="R734" i="3"/>
  <c r="Z801" i="28"/>
  <c r="AB801" i="28"/>
  <c r="AC710" i="28"/>
  <c r="AC712" i="28" s="1"/>
  <c r="AC714" i="28" s="1"/>
  <c r="Z710" i="28"/>
  <c r="AA728" i="28"/>
  <c r="AF728" i="28" s="1"/>
  <c r="AA757" i="28"/>
  <c r="V757" i="28"/>
  <c r="W804" i="28"/>
  <c r="AA810" i="28"/>
  <c r="V810" i="28"/>
  <c r="P743" i="3"/>
  <c r="S743" i="3"/>
  <c r="Z809" i="28"/>
  <c r="AB809" i="28"/>
  <c r="S56" i="31"/>
  <c r="S55" i="30"/>
  <c r="S53" i="29"/>
  <c r="AE376" i="28"/>
  <c r="AF376" i="28" s="1"/>
  <c r="U366" i="3"/>
  <c r="V366" i="3" s="1"/>
  <c r="R369" i="3"/>
  <c r="AB379" i="28"/>
  <c r="G22" i="8"/>
  <c r="E397" i="28"/>
  <c r="E387" i="3"/>
  <c r="J22" i="8"/>
  <c r="P699" i="3" l="1"/>
  <c r="Q708" i="3"/>
  <c r="V708" i="3" s="1"/>
  <c r="Q737" i="3"/>
  <c r="P737" i="3" s="1"/>
  <c r="N737" i="3"/>
  <c r="S699" i="3"/>
  <c r="S701" i="3" s="1"/>
  <c r="S703" i="3" s="1"/>
  <c r="Z808" i="28"/>
  <c r="Z757" i="28"/>
  <c r="AC757" i="28"/>
  <c r="AC759" i="28" s="1"/>
  <c r="AC761" i="28" s="1"/>
  <c r="AA775" i="28"/>
  <c r="AF775" i="28" s="1"/>
  <c r="Z810" i="28"/>
  <c r="AC810" i="28"/>
  <c r="AA804" i="28"/>
  <c r="V804" i="28"/>
  <c r="P736" i="3"/>
  <c r="R736" i="3"/>
  <c r="R738" i="3" s="1"/>
  <c r="R740" i="3" s="1"/>
  <c r="P739" i="3"/>
  <c r="S57" i="31"/>
  <c r="S56" i="30"/>
  <c r="S54" i="29"/>
  <c r="H22" i="8"/>
  <c r="P397" i="28"/>
  <c r="E23" i="8"/>
  <c r="K387" i="3"/>
  <c r="K22" i="8"/>
  <c r="Q746" i="3" l="1"/>
  <c r="V746" i="3" s="1"/>
  <c r="S737" i="3"/>
  <c r="S739" i="3" s="1"/>
  <c r="S741" i="3" s="1"/>
  <c r="Z804" i="28"/>
  <c r="AC804" i="28"/>
  <c r="AC806" i="28" s="1"/>
  <c r="AC808" i="28" s="1"/>
  <c r="AA822" i="28"/>
  <c r="AF822" i="28" s="1"/>
  <c r="S58" i="31"/>
  <c r="S57" i="30"/>
  <c r="S55" i="29"/>
  <c r="U404" i="3"/>
  <c r="V404" i="3" s="1"/>
  <c r="AE415" i="28"/>
  <c r="AF415" i="28" s="1"/>
  <c r="G23" i="8"/>
  <c r="E425" i="3"/>
  <c r="E436" i="28"/>
  <c r="J23" i="8"/>
  <c r="AB418" i="28"/>
  <c r="R407" i="3"/>
  <c r="S59" i="31" l="1"/>
  <c r="S58" i="30"/>
  <c r="S56" i="29"/>
  <c r="K23" i="8"/>
  <c r="H23" i="8"/>
  <c r="K425" i="3"/>
  <c r="P436" i="28"/>
  <c r="S60" i="31" l="1"/>
  <c r="S59" i="30"/>
  <c r="S57" i="29"/>
  <c r="U442" i="3"/>
  <c r="V442" i="3" s="1"/>
  <c r="AE454" i="28"/>
  <c r="AF454" i="28" s="1"/>
  <c r="R445" i="3"/>
  <c r="AB457" i="28"/>
  <c r="S61" i="31" l="1"/>
  <c r="S60" i="30"/>
  <c r="S58" i="29"/>
  <c r="S62" i="31" l="1"/>
  <c r="S61" i="30"/>
  <c r="S59" i="29"/>
  <c r="S63" i="31" l="1"/>
  <c r="S62" i="30"/>
  <c r="S60" i="29"/>
  <c r="S64" i="31" l="1"/>
  <c r="S63" i="30"/>
  <c r="S61" i="29"/>
  <c r="S65" i="31" l="1"/>
  <c r="S64" i="30"/>
  <c r="S62" i="29"/>
  <c r="S66" i="31" l="1"/>
  <c r="S65" i="30"/>
  <c r="S63" i="29"/>
  <c r="S67" i="31" l="1"/>
  <c r="S66" i="30"/>
  <c r="S64" i="29"/>
  <c r="S68" i="31" l="1"/>
  <c r="S67" i="30"/>
  <c r="S65" i="29"/>
  <c r="S69" i="31" l="1"/>
  <c r="S68" i="30"/>
  <c r="S66" i="29"/>
  <c r="S70" i="31" l="1"/>
  <c r="S69" i="30"/>
  <c r="S67" i="29"/>
  <c r="M27" i="8" l="1"/>
  <c r="S71" i="31"/>
  <c r="S70" i="30"/>
  <c r="S68" i="29"/>
  <c r="S72" i="31" l="1"/>
  <c r="S71" i="30"/>
  <c r="S69" i="29"/>
  <c r="S73" i="31" l="1"/>
  <c r="S72" i="30"/>
  <c r="S70" i="29"/>
  <c r="S74" i="31" l="1"/>
  <c r="S73" i="30"/>
  <c r="S71" i="29"/>
  <c r="S75" i="31" l="1"/>
  <c r="S74" i="30"/>
  <c r="S72" i="29"/>
  <c r="S76" i="31" l="1"/>
  <c r="S75" i="30"/>
  <c r="S73" i="29"/>
  <c r="A1970" i="26"/>
  <c r="S77" i="31" l="1"/>
  <c r="S76" i="30"/>
  <c r="S74" i="29"/>
  <c r="A2141" i="26"/>
  <c r="A1906" i="26"/>
  <c r="A1073" i="26" l="1"/>
  <c r="S78" i="31"/>
  <c r="S77" i="30"/>
  <c r="S75" i="29"/>
  <c r="A1531" i="26"/>
  <c r="A1074" i="26"/>
  <c r="A1907" i="26" l="1"/>
  <c r="A1908" i="26"/>
  <c r="S79" i="31"/>
  <c r="S78" i="30"/>
  <c r="S76" i="29"/>
  <c r="A1287" i="26"/>
  <c r="A1532" i="26"/>
  <c r="A1703" i="26"/>
  <c r="A1075" i="26"/>
  <c r="A1288" i="26"/>
  <c r="A2078" i="26" l="1"/>
  <c r="S80" i="31"/>
  <c r="S79" i="30"/>
  <c r="S77" i="29"/>
  <c r="A1533" i="26"/>
  <c r="A1704" i="26"/>
  <c r="A2079" i="26"/>
  <c r="A1909" i="26"/>
  <c r="A1289" i="26"/>
  <c r="A1076" i="26"/>
  <c r="S81" i="31" l="1"/>
  <c r="S80" i="30"/>
  <c r="S78" i="29"/>
  <c r="A1705" i="26"/>
  <c r="A1534" i="26"/>
  <c r="A1290" i="26"/>
  <c r="A1910" i="26"/>
  <c r="A2080" i="26"/>
  <c r="A1077" i="26"/>
  <c r="S82" i="31" l="1"/>
  <c r="S81" i="30"/>
  <c r="S79" i="29"/>
  <c r="A1535" i="26"/>
  <c r="A1706" i="26"/>
  <c r="A2081" i="26"/>
  <c r="A1078" i="26"/>
  <c r="A1291" i="26"/>
  <c r="A1911" i="26"/>
  <c r="S83" i="31" l="1"/>
  <c r="S82" i="30"/>
  <c r="S80" i="29"/>
  <c r="A1536" i="26"/>
  <c r="A1707" i="26"/>
  <c r="A1079" i="26"/>
  <c r="A1292" i="26"/>
  <c r="A2082" i="26"/>
  <c r="A1912" i="26"/>
  <c r="S84" i="31" l="1"/>
  <c r="S83" i="30"/>
  <c r="S81" i="29"/>
  <c r="A1537" i="26"/>
  <c r="A1708" i="26"/>
  <c r="A1080" i="26"/>
  <c r="A2083" i="26"/>
  <c r="A1293" i="26"/>
  <c r="A1913" i="26"/>
  <c r="S85" i="31" l="1"/>
  <c r="S84" i="30"/>
  <c r="S82" i="29"/>
  <c r="A1709" i="26"/>
  <c r="A1538" i="26"/>
  <c r="A1081" i="26"/>
  <c r="A1914" i="26"/>
  <c r="A2084" i="26"/>
  <c r="A1294" i="26"/>
  <c r="S86" i="31" l="1"/>
  <c r="S85" i="30"/>
  <c r="S83" i="29"/>
  <c r="A1710" i="26"/>
  <c r="A1539" i="26"/>
  <c r="A2085" i="26"/>
  <c r="A1295" i="26"/>
  <c r="A1082" i="26"/>
  <c r="A1915" i="26"/>
  <c r="S87" i="31" l="1"/>
  <c r="S86" i="30"/>
  <c r="S84" i="29"/>
  <c r="A1711" i="26"/>
  <c r="A1540" i="26"/>
  <c r="A1083" i="26"/>
  <c r="A1916" i="26"/>
  <c r="A1296" i="26"/>
  <c r="A2086" i="26"/>
  <c r="S88" i="31" l="1"/>
  <c r="S87" i="30"/>
  <c r="S85" i="29"/>
  <c r="A1541" i="26"/>
  <c r="A1712" i="26"/>
  <c r="A1084" i="26"/>
  <c r="A1917" i="26"/>
  <c r="A2087" i="26"/>
  <c r="A1297" i="26"/>
  <c r="S89" i="31" l="1"/>
  <c r="S88" i="30"/>
  <c r="S86" i="29"/>
  <c r="A1713" i="26"/>
  <c r="A1542" i="26"/>
  <c r="A2088" i="26"/>
  <c r="A1918" i="26"/>
  <c r="A1085" i="26"/>
  <c r="A1298" i="26"/>
  <c r="S90" i="31" l="1"/>
  <c r="S89" i="30"/>
  <c r="S87" i="29"/>
  <c r="A1543" i="26"/>
  <c r="A1714" i="26"/>
  <c r="A1919" i="26"/>
  <c r="A1299" i="26"/>
  <c r="A2089" i="26"/>
  <c r="A1086" i="26"/>
  <c r="S91" i="31" l="1"/>
  <c r="S90" i="30"/>
  <c r="S88" i="29"/>
  <c r="A1715" i="26"/>
  <c r="A1544" i="26"/>
  <c r="A2090" i="26"/>
  <c r="A1920" i="26"/>
  <c r="A1087" i="26"/>
  <c r="A1300" i="26"/>
  <c r="S92" i="31" l="1"/>
  <c r="S91" i="30"/>
  <c r="S89" i="29"/>
  <c r="A1545" i="26"/>
  <c r="A1716" i="26"/>
  <c r="A2091" i="26"/>
  <c r="A1301" i="26"/>
  <c r="A1088" i="26"/>
  <c r="A1921" i="26"/>
  <c r="S93" i="31" l="1"/>
  <c r="S92" i="30"/>
  <c r="S90" i="29"/>
  <c r="A1717" i="26"/>
  <c r="A1546" i="26"/>
  <c r="A1089" i="26"/>
  <c r="A2092" i="26"/>
  <c r="A1302" i="26"/>
  <c r="A1922" i="26"/>
  <c r="S94" i="31" l="1"/>
  <c r="S93" i="30"/>
  <c r="S91" i="29"/>
  <c r="A1718" i="26"/>
  <c r="A1547" i="26"/>
  <c r="A1090" i="26"/>
  <c r="A1303" i="26"/>
  <c r="A2093" i="26"/>
  <c r="A1923" i="26"/>
  <c r="S95" i="31" l="1"/>
  <c r="S94" i="30"/>
  <c r="S92" i="29"/>
  <c r="A1719" i="26"/>
  <c r="A1548" i="26"/>
  <c r="A1091" i="26"/>
  <c r="A2094" i="26"/>
  <c r="A1304" i="26"/>
  <c r="A1924" i="26"/>
  <c r="S96" i="31" l="1"/>
  <c r="S95" i="30"/>
  <c r="S93" i="29"/>
  <c r="A1549" i="26"/>
  <c r="A1720" i="26"/>
  <c r="A1092" i="26"/>
  <c r="A1925" i="26"/>
  <c r="A2095" i="26"/>
  <c r="A1305" i="26"/>
  <c r="S97" i="31" l="1"/>
  <c r="S96" i="30"/>
  <c r="S94" i="29"/>
  <c r="A1550" i="26"/>
  <c r="A1721" i="26"/>
  <c r="A1306" i="26"/>
  <c r="A1093" i="26"/>
  <c r="A1926" i="26"/>
  <c r="A2096" i="26"/>
  <c r="S98" i="31" l="1"/>
  <c r="S97" i="30"/>
  <c r="S95" i="29"/>
  <c r="A1551" i="26"/>
  <c r="A1722" i="26"/>
  <c r="A1307" i="26"/>
  <c r="A1094" i="26"/>
  <c r="A1927" i="26"/>
  <c r="A2097" i="26"/>
  <c r="S99" i="31" l="1"/>
  <c r="S98" i="30"/>
  <c r="S96" i="29"/>
  <c r="A1723" i="26"/>
  <c r="A1552" i="26"/>
  <c r="A2098" i="26"/>
  <c r="A1308" i="26"/>
  <c r="A1095" i="26"/>
  <c r="A1928" i="26"/>
  <c r="S100" i="31" l="1"/>
  <c r="S99" i="30"/>
  <c r="S97" i="29"/>
  <c r="A1553" i="26"/>
  <c r="A1724" i="26"/>
  <c r="A1096" i="26"/>
  <c r="A1309" i="26"/>
  <c r="A2099" i="26"/>
  <c r="A1929" i="26"/>
  <c r="S101" i="31" l="1"/>
  <c r="S100" i="30"/>
  <c r="S98" i="29"/>
  <c r="A1725" i="26"/>
  <c r="A1554" i="26"/>
  <c r="A1930" i="26"/>
  <c r="A1097" i="26"/>
  <c r="A2100" i="26"/>
  <c r="A1310" i="26"/>
  <c r="S102" i="31" l="1"/>
  <c r="S101" i="30"/>
  <c r="S99" i="29"/>
  <c r="A1555" i="26"/>
  <c r="A1726" i="26"/>
  <c r="A1098" i="26"/>
  <c r="A1311" i="26"/>
  <c r="A2101" i="26"/>
  <c r="A1931" i="26"/>
  <c r="S103" i="31" l="1"/>
  <c r="S102" i="30"/>
  <c r="S100" i="29"/>
  <c r="A1556" i="26"/>
  <c r="A1727" i="26"/>
  <c r="A1932" i="26"/>
  <c r="A1099" i="26"/>
  <c r="A1312" i="26"/>
  <c r="A2102" i="26"/>
  <c r="S104" i="31" l="1"/>
  <c r="S103" i="30"/>
  <c r="S101" i="29"/>
  <c r="A1557" i="26"/>
  <c r="A1728" i="26"/>
  <c r="A2103" i="26"/>
  <c r="A1933" i="26"/>
  <c r="A1313" i="26"/>
  <c r="A1100" i="26"/>
  <c r="S105" i="31" l="1"/>
  <c r="S104" i="30"/>
  <c r="S102" i="29"/>
  <c r="A1729" i="26"/>
  <c r="A1558" i="26"/>
  <c r="A1101" i="26"/>
  <c r="A2104" i="26"/>
  <c r="A1934" i="26"/>
  <c r="A1314" i="26"/>
  <c r="S106" i="31" l="1"/>
  <c r="S105" i="30"/>
  <c r="S103" i="29"/>
  <c r="A1730" i="26"/>
  <c r="A1559" i="26"/>
  <c r="A1102" i="26"/>
  <c r="A1315" i="26"/>
  <c r="A1935" i="26"/>
  <c r="A2105" i="26"/>
  <c r="S107" i="31" l="1"/>
  <c r="S106" i="30"/>
  <c r="S104" i="29"/>
  <c r="A1560" i="26"/>
  <c r="A1731" i="26"/>
  <c r="A1316" i="26"/>
  <c r="A1103" i="26"/>
  <c r="A1936" i="26"/>
  <c r="A2106" i="26"/>
  <c r="S108" i="31" l="1"/>
  <c r="S107" i="30"/>
  <c r="S105" i="29"/>
  <c r="A1732" i="26"/>
  <c r="A1561" i="26"/>
  <c r="A1104" i="26"/>
  <c r="A2107" i="26"/>
  <c r="A1317" i="26"/>
  <c r="A1937" i="26"/>
  <c r="S109" i="31" l="1"/>
  <c r="S108" i="30"/>
  <c r="S106" i="29"/>
  <c r="A1733" i="26"/>
  <c r="A1562" i="26"/>
  <c r="A2108" i="26"/>
  <c r="A1105" i="26"/>
  <c r="A1938" i="26"/>
  <c r="A1318" i="26"/>
  <c r="S110" i="31" l="1"/>
  <c r="S109" i="30"/>
  <c r="S107" i="29"/>
  <c r="A1563" i="26"/>
  <c r="A1734" i="26"/>
  <c r="A2109" i="26"/>
  <c r="A1939" i="26"/>
  <c r="A1319" i="26"/>
  <c r="A1106" i="26"/>
  <c r="S111" i="31" l="1"/>
  <c r="S110" i="30"/>
  <c r="S108" i="29"/>
  <c r="A1564" i="26"/>
  <c r="A1735" i="26"/>
  <c r="A1940" i="26"/>
  <c r="A1320" i="26"/>
  <c r="A2110" i="26"/>
  <c r="A1107" i="26"/>
  <c r="S112" i="31" l="1"/>
  <c r="S111" i="30"/>
  <c r="S109" i="29"/>
  <c r="A1736" i="26"/>
  <c r="A1565" i="26"/>
  <c r="A2111" i="26"/>
  <c r="A1108" i="26"/>
  <c r="A1941" i="26"/>
  <c r="A1321" i="26"/>
  <c r="S113" i="31" l="1"/>
  <c r="S112" i="30"/>
  <c r="S110" i="29"/>
  <c r="A1566" i="26"/>
  <c r="A1737" i="26"/>
  <c r="A1322" i="26"/>
  <c r="A1109" i="26"/>
  <c r="A2112" i="26"/>
  <c r="A1942" i="26"/>
  <c r="S114" i="31" l="1"/>
  <c r="S113" i="30"/>
  <c r="S111" i="29"/>
  <c r="A1567" i="26"/>
  <c r="A1738" i="26"/>
  <c r="A1943" i="26"/>
  <c r="A1110" i="26"/>
  <c r="A1323" i="26"/>
  <c r="A2113" i="26"/>
  <c r="S115" i="31" l="1"/>
  <c r="S114" i="30"/>
  <c r="S112" i="29"/>
  <c r="A1739" i="26"/>
  <c r="A1568" i="26"/>
  <c r="A1324" i="26"/>
  <c r="A1111" i="26"/>
  <c r="A2114" i="26"/>
  <c r="A1944" i="26"/>
  <c r="S116" i="31" l="1"/>
  <c r="S115" i="30"/>
  <c r="S113" i="29"/>
  <c r="A1740" i="26"/>
  <c r="A1569" i="26"/>
  <c r="A2115" i="26"/>
  <c r="A1325" i="26"/>
  <c r="A1112" i="26"/>
  <c r="A1945" i="26"/>
  <c r="S117" i="31" l="1"/>
  <c r="S116" i="30"/>
  <c r="S114" i="29"/>
  <c r="A1570" i="26"/>
  <c r="A1741" i="26"/>
  <c r="A1946" i="26"/>
  <c r="A1326" i="26"/>
  <c r="A2116" i="26"/>
  <c r="A1113" i="26"/>
  <c r="S118" i="31" l="1"/>
  <c r="S117" i="30"/>
  <c r="S115" i="29"/>
  <c r="A1571" i="26"/>
  <c r="A1742" i="26"/>
  <c r="A1947" i="26"/>
  <c r="A2117" i="26"/>
  <c r="A1327" i="26"/>
  <c r="A1114" i="26"/>
  <c r="S119" i="31" l="1"/>
  <c r="S118" i="30"/>
  <c r="S116" i="29"/>
  <c r="A1743" i="26"/>
  <c r="A1572" i="26"/>
  <c r="A1328" i="26"/>
  <c r="A2118" i="26"/>
  <c r="A1948" i="26"/>
  <c r="A1115" i="26"/>
  <c r="S120" i="31" l="1"/>
  <c r="S119" i="30"/>
  <c r="S117" i="29"/>
  <c r="A1573" i="26"/>
  <c r="A1744" i="26"/>
  <c r="A2119" i="26"/>
  <c r="A1949" i="26"/>
  <c r="A1116" i="26"/>
  <c r="A1329" i="26"/>
  <c r="S121" i="31" l="1"/>
  <c r="S120" i="30"/>
  <c r="S118" i="29"/>
  <c r="A1745" i="26"/>
  <c r="A1574" i="26"/>
  <c r="A1950" i="26"/>
  <c r="A1330" i="26"/>
  <c r="A1117" i="26"/>
  <c r="A2120" i="26"/>
  <c r="S122" i="31" l="1"/>
  <c r="S121" i="30"/>
  <c r="S119" i="29"/>
  <c r="A1746" i="26"/>
  <c r="A1575" i="26"/>
  <c r="A1331" i="26"/>
  <c r="A1951" i="26"/>
  <c r="A1118" i="26"/>
  <c r="A2121" i="26"/>
  <c r="S123" i="31" l="1"/>
  <c r="S122" i="30"/>
  <c r="S120" i="29"/>
  <c r="A1576" i="26"/>
  <c r="A1747" i="26"/>
  <c r="A1332" i="26"/>
  <c r="A1119" i="26"/>
  <c r="A1952" i="26"/>
  <c r="A2122" i="26"/>
  <c r="S124" i="31" l="1"/>
  <c r="S123" i="30"/>
  <c r="S121" i="29"/>
  <c r="A1577" i="26"/>
  <c r="A1748" i="26"/>
  <c r="A1120" i="26"/>
  <c r="A2123" i="26"/>
  <c r="A1333" i="26"/>
  <c r="A1953" i="26"/>
  <c r="S125" i="31" l="1"/>
  <c r="S124" i="30"/>
  <c r="S122" i="29"/>
  <c r="A1749" i="26"/>
  <c r="A1578" i="26"/>
  <c r="A1954" i="26"/>
  <c r="A1334" i="26"/>
  <c r="A1121" i="26"/>
  <c r="A2124" i="26"/>
  <c r="S126" i="31" l="1"/>
  <c r="S125" i="30"/>
  <c r="S123" i="29"/>
  <c r="A1750" i="26"/>
  <c r="A1579" i="26"/>
  <c r="A1335" i="26"/>
  <c r="A1122" i="26"/>
  <c r="A1955" i="26"/>
  <c r="A2125" i="26"/>
  <c r="S127" i="31" l="1"/>
  <c r="S126" i="30"/>
  <c r="S124" i="29"/>
  <c r="A1751" i="26"/>
  <c r="A1580" i="26"/>
  <c r="A1336" i="26"/>
  <c r="A2126" i="26"/>
  <c r="A1956" i="26"/>
  <c r="A1123" i="26"/>
  <c r="S128" i="31" l="1"/>
  <c r="S127" i="30"/>
  <c r="S125" i="29"/>
  <c r="A1581" i="26"/>
  <c r="A1752" i="26"/>
  <c r="A1957" i="26"/>
  <c r="A2127" i="26"/>
  <c r="A1124" i="26"/>
  <c r="A1337" i="26"/>
  <c r="S129" i="31" l="1"/>
  <c r="S128" i="30"/>
  <c r="S126" i="29"/>
  <c r="A1753" i="26"/>
  <c r="A1582" i="26"/>
  <c r="A1338" i="26"/>
  <c r="A1958" i="26"/>
  <c r="A2128" i="26"/>
  <c r="A1125" i="26"/>
  <c r="S130" i="31" l="1"/>
  <c r="S129" i="30"/>
  <c r="S127" i="29"/>
  <c r="A1754" i="26"/>
  <c r="A1583" i="26"/>
  <c r="A1959" i="26"/>
  <c r="A2129" i="26"/>
  <c r="A1126" i="26"/>
  <c r="A1339" i="26"/>
  <c r="S131" i="31" l="1"/>
  <c r="S130" i="30"/>
  <c r="S128" i="29"/>
  <c r="A1755" i="26"/>
  <c r="A1584" i="26"/>
  <c r="A1340" i="26"/>
  <c r="A1960" i="26"/>
  <c r="A1127" i="26"/>
  <c r="A2130" i="26"/>
  <c r="S132" i="31" l="1"/>
  <c r="S131" i="30"/>
  <c r="S129" i="29"/>
  <c r="A1585" i="26"/>
  <c r="A1756" i="26"/>
  <c r="A2131" i="26"/>
  <c r="A1961" i="26"/>
  <c r="A1341" i="26"/>
  <c r="A1128" i="26"/>
  <c r="S133" i="31" l="1"/>
  <c r="S132" i="30"/>
  <c r="S130" i="29"/>
  <c r="A1757" i="26"/>
  <c r="A1586" i="26"/>
  <c r="A1129" i="26"/>
  <c r="A1342" i="26"/>
  <c r="A1962" i="26"/>
  <c r="A2132" i="26"/>
  <c r="S134" i="31" l="1"/>
  <c r="S133" i="30"/>
  <c r="S131" i="29"/>
  <c r="A1587" i="26"/>
  <c r="A1758" i="26"/>
  <c r="A1130" i="26"/>
  <c r="A1963" i="26"/>
  <c r="A1343" i="26"/>
  <c r="A2133" i="26"/>
  <c r="S135" i="31" l="1"/>
  <c r="S134" i="30"/>
  <c r="S132" i="29"/>
  <c r="A1588" i="26"/>
  <c r="A1759" i="26"/>
  <c r="A1131" i="26"/>
  <c r="A2134" i="26"/>
  <c r="A1344" i="26"/>
  <c r="A1964" i="26"/>
  <c r="S136" i="31" l="1"/>
  <c r="S135" i="30"/>
  <c r="S133" i="29"/>
  <c r="A1589" i="26"/>
  <c r="A1760" i="26"/>
  <c r="A1965" i="26"/>
  <c r="A2135" i="26"/>
  <c r="A1132" i="26"/>
  <c r="A1345" i="26"/>
  <c r="S137" i="31" l="1"/>
  <c r="S136" i="30"/>
  <c r="S134" i="29"/>
  <c r="A1590" i="26"/>
  <c r="A1761" i="26"/>
  <c r="A1346" i="26"/>
  <c r="A1966" i="26"/>
  <c r="A2136" i="26"/>
  <c r="A1133" i="26"/>
  <c r="S138" i="31" l="1"/>
  <c r="S137" i="30"/>
  <c r="S135" i="29"/>
  <c r="A1762" i="26"/>
  <c r="A1591" i="26"/>
  <c r="A2137" i="26"/>
  <c r="A1967" i="26"/>
  <c r="A1134" i="26"/>
  <c r="A1347" i="26"/>
  <c r="S139" i="31" l="1"/>
  <c r="S138" i="30"/>
  <c r="S136" i="29"/>
  <c r="A1763" i="26"/>
  <c r="A1592" i="26"/>
  <c r="A1968" i="26"/>
  <c r="A1348" i="26"/>
  <c r="A2138" i="26"/>
  <c r="A1135" i="26"/>
  <c r="S140" i="31" l="1"/>
  <c r="S139" i="30"/>
  <c r="S137" i="29"/>
  <c r="A1593" i="26"/>
  <c r="A1764" i="26"/>
  <c r="A1969" i="26"/>
  <c r="A2139" i="26"/>
  <c r="A1136" i="26"/>
  <c r="A1349" i="26"/>
  <c r="S141" i="31" l="1"/>
  <c r="S140" i="30"/>
  <c r="S138" i="29"/>
  <c r="A1765" i="26"/>
  <c r="A1594" i="26"/>
  <c r="A1350" i="26"/>
  <c r="A2140" i="26"/>
  <c r="A1137" i="26"/>
  <c r="S142" i="31" l="1"/>
  <c r="S141" i="30"/>
  <c r="S139" i="29"/>
  <c r="A1595" i="26"/>
  <c r="A1766" i="26"/>
  <c r="A1971" i="26"/>
  <c r="A1351" i="26"/>
  <c r="A1138" i="26"/>
  <c r="S143" i="31" l="1"/>
  <c r="S142" i="30"/>
  <c r="S140" i="29"/>
  <c r="A1767" i="26"/>
  <c r="A1596" i="26"/>
  <c r="A2142" i="26"/>
  <c r="A1139" i="26"/>
  <c r="A1352" i="26"/>
  <c r="A1972" i="26"/>
  <c r="S144" i="31" l="1"/>
  <c r="S143" i="30"/>
  <c r="S141" i="29"/>
  <c r="A1597" i="26"/>
  <c r="A1768" i="26"/>
  <c r="A1973" i="26"/>
  <c r="A2143" i="26"/>
  <c r="A1353" i="26"/>
  <c r="A1140" i="26"/>
  <c r="S145" i="31" l="1"/>
  <c r="S144" i="30"/>
  <c r="S142" i="29"/>
  <c r="A1769" i="26"/>
  <c r="A1598" i="26"/>
  <c r="A1974" i="26"/>
  <c r="A2144" i="26"/>
  <c r="A1141" i="26"/>
  <c r="A1354" i="26"/>
  <c r="S146" i="31" l="1"/>
  <c r="S145" i="30"/>
  <c r="S143" i="29"/>
  <c r="A1770" i="26"/>
  <c r="A1599" i="26"/>
  <c r="A2145" i="26"/>
  <c r="A1142" i="26"/>
  <c r="A1355" i="26"/>
  <c r="A1975" i="26"/>
  <c r="S147" i="31" l="1"/>
  <c r="S146" i="30"/>
  <c r="S144" i="29"/>
  <c r="A1771" i="26"/>
  <c r="A1600" i="26"/>
  <c r="A1356" i="26"/>
  <c r="A1143" i="26"/>
  <c r="A1976" i="26"/>
  <c r="A2146" i="26"/>
  <c r="S148" i="31" l="1"/>
  <c r="S147" i="30"/>
  <c r="S145" i="29"/>
  <c r="A1601" i="26"/>
  <c r="A1772" i="26"/>
  <c r="A1357" i="26"/>
  <c r="A2147" i="26"/>
  <c r="A1977" i="26"/>
  <c r="A1144" i="26"/>
  <c r="S149" i="31" l="1"/>
  <c r="S148" i="30"/>
  <c r="S146" i="29"/>
  <c r="A1602" i="26"/>
  <c r="A1773" i="26"/>
  <c r="A1358" i="26"/>
  <c r="A1145" i="26"/>
  <c r="A2148" i="26"/>
  <c r="A1978" i="26"/>
  <c r="S150" i="31" l="1"/>
  <c r="S149" i="30"/>
  <c r="S147" i="29"/>
  <c r="A1603" i="26"/>
  <c r="A1774" i="26"/>
  <c r="A1979" i="26"/>
  <c r="A1146" i="26"/>
  <c r="A1359" i="26"/>
  <c r="A2149" i="26"/>
  <c r="S151" i="31" l="1"/>
  <c r="S150" i="30"/>
  <c r="S148" i="29"/>
  <c r="A1604" i="26"/>
  <c r="A1775" i="26"/>
  <c r="A1980" i="26"/>
  <c r="A1360" i="26"/>
  <c r="A2150" i="26"/>
  <c r="A1147" i="26"/>
  <c r="S152" i="31" l="1"/>
  <c r="S151" i="30"/>
  <c r="S149" i="29"/>
  <c r="A1605" i="26"/>
  <c r="A1776" i="26"/>
  <c r="A1361" i="26"/>
  <c r="A1981" i="26"/>
  <c r="A1148" i="26"/>
  <c r="A2151" i="26"/>
  <c r="S153" i="31" l="1"/>
  <c r="S152" i="30"/>
  <c r="S150" i="29"/>
  <c r="A1777" i="26"/>
  <c r="A1606" i="26"/>
  <c r="A2152" i="26"/>
  <c r="A1362" i="26"/>
  <c r="A1982" i="26"/>
  <c r="A1149" i="26"/>
  <c r="S154" i="31" l="1"/>
  <c r="S153" i="30"/>
  <c r="S151" i="29"/>
  <c r="A1607" i="26"/>
  <c r="A1778" i="26"/>
  <c r="A1983" i="26"/>
  <c r="A1363" i="26"/>
  <c r="A1150" i="26"/>
  <c r="A2153" i="26"/>
  <c r="S155" i="31" l="1"/>
  <c r="S154" i="30"/>
  <c r="S152" i="29"/>
  <c r="A1779" i="26"/>
  <c r="A1608" i="26"/>
  <c r="A1364" i="26"/>
  <c r="A1984" i="26"/>
  <c r="A2154" i="26"/>
  <c r="A1151" i="26"/>
  <c r="S156" i="31" l="1"/>
  <c r="S155" i="30"/>
  <c r="S153" i="29"/>
  <c r="A1780" i="26"/>
  <c r="A1609" i="26"/>
  <c r="A1985" i="26"/>
  <c r="A1365" i="26"/>
  <c r="A1152" i="26"/>
  <c r="A2155" i="26"/>
  <c r="S157" i="31" l="1"/>
  <c r="S156" i="30"/>
  <c r="S154" i="29"/>
  <c r="A1781" i="26"/>
  <c r="A1610" i="26"/>
  <c r="A1153" i="26"/>
  <c r="A1986" i="26"/>
  <c r="A1366" i="26"/>
  <c r="A2156" i="26"/>
  <c r="S158" i="31" l="1"/>
  <c r="S157" i="30"/>
  <c r="S155" i="29"/>
  <c r="A1611" i="26"/>
  <c r="A1782" i="26"/>
  <c r="A1987" i="26"/>
  <c r="A1154" i="26"/>
  <c r="A2157" i="26"/>
  <c r="A1367" i="26"/>
  <c r="S159" i="31" l="1"/>
  <c r="S158" i="30"/>
  <c r="S156" i="29"/>
  <c r="A1783" i="26"/>
  <c r="A1612" i="26"/>
  <c r="A1155" i="26"/>
  <c r="A2158" i="26"/>
  <c r="A1988" i="26"/>
  <c r="A1368" i="26"/>
  <c r="S160" i="31" l="1"/>
  <c r="S159" i="30"/>
  <c r="S157" i="29"/>
  <c r="A1784" i="26"/>
  <c r="A1613" i="26"/>
  <c r="A1156" i="26"/>
  <c r="A1989" i="26"/>
  <c r="A2159" i="26"/>
  <c r="A1369" i="26"/>
  <c r="S161" i="31" l="1"/>
  <c r="S160" i="30"/>
  <c r="S158" i="29"/>
  <c r="A1785" i="26"/>
  <c r="A1614" i="26"/>
  <c r="A1370" i="26"/>
  <c r="A1990" i="26"/>
  <c r="A1157" i="26"/>
  <c r="A2160" i="26"/>
  <c r="S162" i="31" l="1"/>
  <c r="S161" i="30"/>
  <c r="S159" i="29"/>
  <c r="A1615" i="26"/>
  <c r="A1786" i="26"/>
  <c r="A1158" i="26"/>
  <c r="A1991" i="26"/>
  <c r="A1371" i="26"/>
  <c r="A2161" i="26"/>
  <c r="S163" i="31" l="1"/>
  <c r="S162" i="30"/>
  <c r="S160" i="29"/>
  <c r="A1787" i="26"/>
  <c r="A1616" i="26"/>
  <c r="A1992" i="26"/>
  <c r="A1372" i="26"/>
  <c r="A2162" i="26"/>
  <c r="A1159" i="26"/>
  <c r="S164" i="31" l="1"/>
  <c r="S163" i="30"/>
  <c r="S161" i="29"/>
  <c r="A1617" i="26"/>
  <c r="A1788" i="26"/>
  <c r="A1373" i="26"/>
  <c r="A2163" i="26"/>
  <c r="A1160" i="26"/>
  <c r="A1993" i="26"/>
  <c r="S165" i="31" l="1"/>
  <c r="S164" i="30"/>
  <c r="S162" i="29"/>
  <c r="A1618" i="26"/>
  <c r="A1789" i="26"/>
  <c r="A1374" i="26"/>
  <c r="A1161" i="26"/>
  <c r="A2164" i="26"/>
  <c r="A1994" i="26"/>
  <c r="S166" i="31" l="1"/>
  <c r="S165" i="30"/>
  <c r="S163" i="29"/>
  <c r="A1619" i="26"/>
  <c r="A1790" i="26"/>
  <c r="A2165" i="26"/>
  <c r="A1162" i="26"/>
  <c r="A1375" i="26"/>
  <c r="A1995" i="26"/>
  <c r="S167" i="31" l="1"/>
  <c r="S166" i="30"/>
  <c r="S164" i="29"/>
  <c r="A1791" i="26"/>
  <c r="A1620" i="26"/>
  <c r="A2166" i="26"/>
  <c r="A1376" i="26"/>
  <c r="A1996" i="26"/>
  <c r="A1163" i="26"/>
  <c r="S168" i="31" l="1"/>
  <c r="S167" i="30"/>
  <c r="S165" i="29"/>
  <c r="A1792" i="26"/>
  <c r="A1621" i="26"/>
  <c r="A1997" i="26"/>
  <c r="A1377" i="26"/>
  <c r="A2167" i="26"/>
  <c r="A1164" i="26"/>
  <c r="S169" i="31" l="1"/>
  <c r="S168" i="30"/>
  <c r="S166" i="29"/>
  <c r="A1622" i="26"/>
  <c r="A1793" i="26"/>
  <c r="A1165" i="26"/>
  <c r="A2168" i="26"/>
  <c r="A1378" i="26"/>
  <c r="A1998" i="26"/>
  <c r="S170" i="31" l="1"/>
  <c r="S169" i="30"/>
  <c r="S167" i="29"/>
  <c r="A1794" i="26"/>
  <c r="A1623" i="26"/>
  <c r="A1999" i="26"/>
  <c r="A2169" i="26"/>
  <c r="A1379" i="26"/>
  <c r="A1166" i="26"/>
  <c r="S171" i="31" l="1"/>
  <c r="S170" i="30"/>
  <c r="S168" i="29"/>
  <c r="A1795" i="26"/>
  <c r="A1624" i="26"/>
  <c r="A1380" i="26"/>
  <c r="A1167" i="26"/>
  <c r="A2000" i="26"/>
  <c r="A2170" i="26"/>
  <c r="S172" i="31" l="1"/>
  <c r="S171" i="30"/>
  <c r="S169" i="29"/>
  <c r="A1625" i="26"/>
  <c r="A1796" i="26"/>
  <c r="A1168" i="26"/>
  <c r="A1381" i="26"/>
  <c r="A2171" i="26"/>
  <c r="A2001" i="26"/>
  <c r="S173" i="31" l="1"/>
  <c r="S172" i="30"/>
  <c r="S170" i="29"/>
  <c r="A1797" i="26"/>
  <c r="A1626" i="26"/>
  <c r="A1382" i="26"/>
  <c r="A2002" i="26"/>
  <c r="A1169" i="26"/>
  <c r="A2172" i="26"/>
  <c r="S174" i="31" l="1"/>
  <c r="S173" i="30"/>
  <c r="S171" i="29"/>
  <c r="A1798" i="26"/>
  <c r="A1627" i="26"/>
  <c r="A1383" i="26"/>
  <c r="A2173" i="26"/>
  <c r="A1170" i="26"/>
  <c r="A2003" i="26"/>
  <c r="S175" i="31" l="1"/>
  <c r="S174" i="30"/>
  <c r="S172" i="29"/>
  <c r="A1799" i="26"/>
  <c r="A1628" i="26"/>
  <c r="A1384" i="26"/>
  <c r="A2174" i="26"/>
  <c r="A1171" i="26"/>
  <c r="A2004" i="26"/>
  <c r="S176" i="31" l="1"/>
  <c r="S175" i="30"/>
  <c r="S173" i="29"/>
  <c r="A1629" i="26"/>
  <c r="A1800" i="26"/>
  <c r="A1172" i="26"/>
  <c r="A2175" i="26"/>
  <c r="A2005" i="26"/>
  <c r="A1385" i="26"/>
  <c r="S177" i="31" l="1"/>
  <c r="S176" i="30"/>
  <c r="S174" i="29"/>
  <c r="A1630" i="26"/>
  <c r="A1801" i="26"/>
  <c r="A2176" i="26"/>
  <c r="A1386" i="26"/>
  <c r="A1173" i="26"/>
  <c r="A2006" i="26"/>
  <c r="S178" i="31" l="1"/>
  <c r="S177" i="30"/>
  <c r="S175" i="29"/>
  <c r="A1802" i="26"/>
  <c r="A1631" i="26"/>
  <c r="A2177" i="26"/>
  <c r="A1387" i="26"/>
  <c r="A1174" i="26"/>
  <c r="A2007" i="26"/>
  <c r="S179" i="31" l="1"/>
  <c r="S178" i="30"/>
  <c r="S176" i="29"/>
  <c r="A1632" i="26"/>
  <c r="A1803" i="26"/>
  <c r="A2178" i="26"/>
  <c r="A2008" i="26"/>
  <c r="A1388" i="26"/>
  <c r="A1175" i="26"/>
  <c r="S180" i="31" l="1"/>
  <c r="S179" i="30"/>
  <c r="S177" i="29"/>
  <c r="A1633" i="26"/>
  <c r="A1804" i="26"/>
  <c r="A2179" i="26"/>
  <c r="A1176" i="26"/>
  <c r="A1389" i="26"/>
  <c r="A2009" i="26"/>
  <c r="S181" i="31" l="1"/>
  <c r="S180" i="30"/>
  <c r="S178" i="29"/>
  <c r="A1634" i="26"/>
  <c r="A1805" i="26"/>
  <c r="A1390" i="26"/>
  <c r="A2180" i="26"/>
  <c r="A2010" i="26"/>
  <c r="A1177" i="26"/>
  <c r="S182" i="31" l="1"/>
  <c r="S181" i="30"/>
  <c r="S179" i="29"/>
  <c r="A1635" i="26"/>
  <c r="A1806" i="26"/>
  <c r="A2011" i="26"/>
  <c r="A2181" i="26"/>
  <c r="A1391" i="26"/>
  <c r="A1178" i="26"/>
  <c r="S183" i="31" l="1"/>
  <c r="S182" i="30"/>
  <c r="S180" i="29"/>
  <c r="A1807" i="26"/>
  <c r="A1636" i="26"/>
  <c r="A1392" i="26"/>
  <c r="A2182" i="26"/>
  <c r="A1179" i="26"/>
  <c r="A2012" i="26"/>
  <c r="S184" i="31" l="1"/>
  <c r="S183" i="30"/>
  <c r="S181" i="29"/>
  <c r="A1637" i="26"/>
  <c r="A1808" i="26"/>
  <c r="A2013" i="26"/>
  <c r="A1393" i="26"/>
  <c r="A1180" i="26"/>
  <c r="A2183" i="26"/>
  <c r="S184" i="30" l="1"/>
  <c r="S182" i="29"/>
  <c r="A1809" i="26"/>
  <c r="A1638" i="26"/>
  <c r="A2014" i="26"/>
  <c r="A2184" i="26"/>
  <c r="A1181" i="26"/>
  <c r="A1394" i="26"/>
  <c r="S183" i="29" l="1"/>
  <c r="A1810" i="26"/>
  <c r="A1639" i="26"/>
  <c r="A1395" i="26"/>
  <c r="A2185" i="26"/>
  <c r="A2015" i="26"/>
  <c r="A1182" i="26"/>
  <c r="A1640" i="26" l="1"/>
  <c r="A1811" i="26"/>
  <c r="A2016" i="26"/>
  <c r="A1396" i="26"/>
  <c r="A2186" i="26"/>
  <c r="A1183" i="26"/>
  <c r="A1641" i="26" l="1"/>
  <c r="A1812" i="26"/>
  <c r="A2017" i="26"/>
  <c r="A2187" i="26"/>
  <c r="A1397" i="26"/>
  <c r="A1184" i="26"/>
  <c r="A1813" i="26" l="1"/>
  <c r="A1642" i="26"/>
  <c r="A2188" i="26"/>
  <c r="A2018" i="26"/>
  <c r="A1398" i="26"/>
  <c r="A1185" i="26"/>
  <c r="A1643" i="26" l="1"/>
  <c r="A1814" i="26"/>
  <c r="A1399" i="26"/>
  <c r="A2189" i="26"/>
  <c r="A1186" i="26"/>
  <c r="A2019" i="26"/>
  <c r="A1815" i="26" l="1"/>
  <c r="A1644" i="26"/>
  <c r="A1187" i="26"/>
  <c r="A2190" i="26"/>
  <c r="A2020" i="26"/>
  <c r="A1400" i="26"/>
  <c r="A1645" i="26" l="1"/>
  <c r="A1816" i="26"/>
  <c r="A2021" i="26"/>
  <c r="A1188" i="26"/>
  <c r="A1401" i="26"/>
  <c r="A2191" i="26"/>
  <c r="A1646" i="26" l="1"/>
  <c r="A1817" i="26"/>
  <c r="A1189" i="26"/>
  <c r="A1402" i="26"/>
  <c r="A2022" i="26"/>
  <c r="A2192" i="26"/>
  <c r="A1818" i="26" l="1"/>
  <c r="A1647" i="26"/>
  <c r="A2023" i="26"/>
  <c r="A2193" i="26"/>
  <c r="A1403" i="26"/>
  <c r="A1190" i="26"/>
  <c r="A1819" i="26" l="1"/>
  <c r="A1648" i="26"/>
  <c r="A1404" i="26"/>
  <c r="A1191" i="26"/>
  <c r="A2194" i="26"/>
  <c r="A2024" i="26"/>
  <c r="A1649" i="26" l="1"/>
  <c r="A1820" i="26"/>
  <c r="A2195" i="26"/>
  <c r="A1405" i="26"/>
  <c r="A1192" i="26"/>
  <c r="A2025" i="26"/>
  <c r="A1821" i="26" l="1"/>
  <c r="A1650" i="26"/>
  <c r="A2026" i="26"/>
  <c r="A1193" i="26"/>
  <c r="A2196" i="26"/>
  <c r="A1406" i="26"/>
  <c r="A1651" i="26" l="1"/>
  <c r="A1822" i="26"/>
  <c r="A1194" i="26"/>
  <c r="A1407" i="26"/>
  <c r="A2197" i="26"/>
  <c r="A2027" i="26"/>
  <c r="A1823" i="26" l="1"/>
  <c r="A1652" i="26"/>
  <c r="A1195" i="26"/>
  <c r="A1408" i="26"/>
  <c r="A2028" i="26"/>
  <c r="A2198" i="26"/>
  <c r="A1824" i="26" l="1"/>
  <c r="A1653" i="26"/>
  <c r="A1196" i="26"/>
  <c r="A2029" i="26"/>
  <c r="A2199" i="26"/>
  <c r="A1409" i="26"/>
  <c r="A1654" i="26" l="1"/>
  <c r="A1825" i="26"/>
  <c r="A2200" i="26"/>
  <c r="A2030" i="26"/>
  <c r="A1410" i="26"/>
  <c r="A1197" i="26"/>
  <c r="A1655" i="26" l="1"/>
  <c r="A1826" i="26"/>
  <c r="A2031" i="26"/>
  <c r="A2201" i="26"/>
  <c r="A1411" i="26"/>
  <c r="A1198" i="26"/>
  <c r="A1656" i="26" l="1"/>
  <c r="A1827" i="26"/>
  <c r="A1412" i="26"/>
  <c r="A1199" i="26"/>
  <c r="A2032" i="26"/>
  <c r="A2202" i="26"/>
  <c r="A1828" i="26" l="1"/>
  <c r="A1657" i="26"/>
  <c r="A2203" i="26"/>
  <c r="A1200" i="26"/>
  <c r="A1413" i="26"/>
  <c r="A2033" i="26"/>
  <c r="A1829" i="26" l="1"/>
  <c r="A1658" i="26"/>
  <c r="A1414" i="26"/>
  <c r="A2034" i="26"/>
  <c r="A2204" i="26"/>
  <c r="A1201" i="26"/>
  <c r="A1659" i="26" l="1"/>
  <c r="A1830" i="26"/>
  <c r="A2205" i="26"/>
  <c r="A1202" i="26"/>
  <c r="A2035" i="26"/>
  <c r="A1415" i="26"/>
  <c r="A1831" i="26" l="1"/>
  <c r="A1660" i="26"/>
  <c r="A1416" i="26"/>
  <c r="A2206" i="26"/>
  <c r="A2036" i="26"/>
  <c r="A1203" i="26"/>
  <c r="A1832" i="26" l="1"/>
  <c r="A1661" i="26"/>
  <c r="A2037" i="26"/>
  <c r="A2207" i="26"/>
  <c r="A1417" i="26"/>
  <c r="A1204" i="26"/>
  <c r="A1662" i="26" l="1"/>
  <c r="A1833" i="26"/>
  <c r="A1418" i="26"/>
  <c r="A2038" i="26"/>
  <c r="A2208" i="26"/>
  <c r="A1205" i="26"/>
  <c r="A1663" i="26" l="1"/>
  <c r="A1834" i="26"/>
  <c r="A2039" i="26"/>
  <c r="A1419" i="26"/>
  <c r="A1206" i="26"/>
  <c r="A2209" i="26"/>
  <c r="A1835" i="26" l="1"/>
  <c r="A1664" i="26"/>
  <c r="A1420" i="26"/>
  <c r="A1207" i="26"/>
  <c r="A2210" i="26"/>
  <c r="A2040" i="26"/>
  <c r="A1836" i="26" l="1"/>
  <c r="A1665" i="26"/>
  <c r="A2211" i="26"/>
  <c r="A1208" i="26"/>
  <c r="A2041" i="26"/>
  <c r="A1421" i="26"/>
  <c r="A1666" i="26" l="1"/>
  <c r="A1837" i="26"/>
  <c r="A2212" i="26"/>
  <c r="A1422" i="26"/>
  <c r="A2042" i="26"/>
  <c r="A1209" i="26"/>
  <c r="A1838" i="26" l="1"/>
  <c r="A1667" i="26"/>
  <c r="A1210" i="26"/>
  <c r="A2043" i="26"/>
  <c r="A2213" i="26"/>
  <c r="A1423" i="26"/>
  <c r="A1839" i="26" l="1"/>
  <c r="A1668" i="26"/>
  <c r="A2044" i="26"/>
  <c r="A1424" i="26"/>
  <c r="A2214" i="26"/>
  <c r="A1211" i="26"/>
  <c r="A1840" i="26" l="1"/>
  <c r="A1669" i="26"/>
  <c r="A2045" i="26"/>
  <c r="A2215" i="26"/>
  <c r="A1212" i="26"/>
  <c r="A1425" i="26"/>
  <c r="A1841" i="26" l="1"/>
  <c r="A1670" i="26"/>
  <c r="A2046" i="26"/>
  <c r="A1426" i="26"/>
  <c r="A2216" i="26"/>
  <c r="A1213" i="26"/>
  <c r="A1671" i="26" l="1"/>
  <c r="A1842" i="26"/>
  <c r="A2217" i="26"/>
  <c r="A1427" i="26"/>
  <c r="A1214" i="26"/>
  <c r="A2047" i="26"/>
  <c r="A1843" i="26" l="1"/>
  <c r="A1672" i="26"/>
  <c r="A2048" i="26"/>
  <c r="A1215" i="26"/>
  <c r="A2218" i="26"/>
  <c r="A1428" i="26"/>
  <c r="A1844" i="26" l="1"/>
  <c r="A1673" i="26"/>
  <c r="A2049" i="26"/>
  <c r="A1216" i="26"/>
  <c r="A2219" i="26"/>
  <c r="A1429" i="26"/>
  <c r="A1674" i="26" l="1"/>
  <c r="A1845" i="26"/>
  <c r="A1217" i="26"/>
  <c r="A2220" i="26"/>
  <c r="A1430" i="26"/>
  <c r="A2050" i="26"/>
  <c r="A1675" i="26" l="1"/>
  <c r="A1846" i="26"/>
  <c r="A1431" i="26"/>
  <c r="A1218" i="26"/>
  <c r="A2051" i="26"/>
  <c r="A2221" i="26"/>
  <c r="A1847" i="26" l="1"/>
  <c r="A1676" i="26"/>
  <c r="A2052" i="26"/>
  <c r="A1432" i="26"/>
  <c r="A2222" i="26"/>
  <c r="A1219" i="26"/>
  <c r="A1677" i="26" l="1"/>
  <c r="A1848" i="26"/>
  <c r="A2053" i="26"/>
  <c r="A1220" i="26"/>
  <c r="A2223" i="26"/>
  <c r="A1433" i="26"/>
  <c r="A1849" i="26" l="1"/>
  <c r="A1678" i="26"/>
  <c r="A1221" i="26"/>
  <c r="A2224" i="26"/>
  <c r="A2054" i="26"/>
  <c r="A1434" i="26"/>
  <c r="A1850" i="26" l="1"/>
  <c r="A1679" i="26"/>
  <c r="A1222" i="26"/>
  <c r="A1435" i="26"/>
  <c r="A2055" i="26"/>
  <c r="A2225" i="26"/>
  <c r="A1851" i="26" l="1"/>
  <c r="A1680" i="26"/>
  <c r="A2226" i="26"/>
  <c r="A1223" i="26"/>
  <c r="A2056" i="26"/>
  <c r="A1436" i="26"/>
  <c r="A1852" i="26" l="1"/>
  <c r="A1681" i="26"/>
  <c r="A1224" i="26"/>
  <c r="A2227" i="26"/>
  <c r="A1437" i="26"/>
  <c r="A2057" i="26"/>
  <c r="A1853" i="26" l="1"/>
  <c r="A1682" i="26"/>
  <c r="A1438" i="26"/>
  <c r="A1225" i="26"/>
  <c r="A2228" i="26"/>
  <c r="A2058" i="26"/>
  <c r="A1854" i="26" l="1"/>
  <c r="A1683" i="26"/>
  <c r="A1226" i="26"/>
  <c r="A2059" i="26"/>
  <c r="A1439" i="26"/>
  <c r="A2229" i="26"/>
  <c r="A1684" i="26" l="1"/>
  <c r="A1855" i="26"/>
  <c r="A2060" i="26"/>
  <c r="A1440" i="26"/>
  <c r="A2230" i="26"/>
  <c r="A1227" i="26"/>
  <c r="A1856" i="26" l="1"/>
  <c r="A1685" i="26"/>
  <c r="A1441" i="26"/>
  <c r="A2061" i="26"/>
  <c r="A2231" i="26"/>
  <c r="A1228" i="26"/>
  <c r="A1686" i="26" l="1"/>
  <c r="A1857" i="26"/>
  <c r="A2232" i="26"/>
  <c r="A1229" i="26"/>
  <c r="A2062" i="26"/>
  <c r="A1442" i="26"/>
  <c r="A1858" i="26" l="1"/>
  <c r="A1687" i="26"/>
  <c r="A1443" i="26"/>
  <c r="A2233" i="26"/>
  <c r="A1230" i="26"/>
  <c r="A2063" i="26"/>
  <c r="A1859" i="26" l="1"/>
  <c r="A1688" i="26"/>
  <c r="A1231" i="26"/>
  <c r="A1444" i="26"/>
  <c r="A2064" i="26"/>
  <c r="A2234" i="26"/>
  <c r="A1689" i="26" l="1"/>
  <c r="A1860" i="26"/>
  <c r="A2065" i="26"/>
  <c r="A1445" i="26"/>
  <c r="A2235" i="26"/>
  <c r="A1232" i="26"/>
  <c r="A1861" i="26" l="1"/>
  <c r="A1690" i="26"/>
  <c r="A2236" i="26"/>
  <c r="A2066" i="26"/>
  <c r="A1446" i="26"/>
  <c r="A1233" i="26"/>
  <c r="A1691" i="26" l="1"/>
  <c r="A1862" i="26"/>
  <c r="A2067" i="26"/>
  <c r="A1234" i="26"/>
  <c r="A2237" i="26"/>
  <c r="A1447" i="26"/>
  <c r="A1863" i="26" l="1"/>
  <c r="A1692" i="26"/>
  <c r="A2238" i="26"/>
  <c r="A1235" i="26"/>
  <c r="A1448" i="26"/>
  <c r="A2068" i="26"/>
  <c r="A1864" i="26" l="1"/>
  <c r="A1693" i="26"/>
  <c r="A2239" i="26"/>
  <c r="A2069" i="26"/>
  <c r="A1449" i="26"/>
  <c r="A1236" i="26"/>
  <c r="A1865" i="26" l="1"/>
  <c r="A1694" i="26"/>
  <c r="A2070" i="26"/>
  <c r="A1237" i="26"/>
  <c r="A2240" i="26"/>
  <c r="A1450" i="26"/>
  <c r="A1695" i="26" l="1"/>
  <c r="A1866" i="26"/>
  <c r="A1238" i="26"/>
  <c r="A1451" i="26"/>
  <c r="A2071" i="26"/>
  <c r="A2241" i="26"/>
  <c r="A1696" i="26" l="1"/>
  <c r="A1867" i="26"/>
  <c r="A2072" i="26"/>
  <c r="A1452" i="26"/>
  <c r="A1239" i="26"/>
  <c r="A2242" i="26"/>
  <c r="A1868" i="26" l="1"/>
  <c r="A1697" i="26"/>
  <c r="A1453" i="26"/>
  <c r="A2243" i="26"/>
  <c r="A1240" i="26"/>
  <c r="A1869" i="26" l="1"/>
  <c r="A1698" i="26"/>
  <c r="A1699" i="26"/>
  <c r="A1454" i="26"/>
  <c r="A1241" i="26"/>
  <c r="A1870" i="26" l="1"/>
  <c r="A1871" i="26"/>
  <c r="A1455" i="26"/>
  <c r="A1242" i="26"/>
  <c r="A1243" i="26" l="1"/>
  <c r="A1456" i="26"/>
  <c r="A1457" i="26" l="1"/>
  <c r="A1244" i="26"/>
  <c r="A1245" i="26" l="1"/>
  <c r="A1458" i="26"/>
  <c r="A1246" i="26" l="1"/>
  <c r="A1459" i="26"/>
  <c r="A1247" i="26" l="1"/>
  <c r="A1460" i="26"/>
  <c r="A1248" i="26" l="1"/>
  <c r="A1461" i="26"/>
  <c r="A1462" i="26" l="1"/>
  <c r="A1249" i="26"/>
  <c r="A1463" i="26" l="1"/>
  <c r="A1250" i="26"/>
  <c r="A1251" i="26" l="1"/>
  <c r="A1464" i="26"/>
  <c r="A1465" i="26" l="1"/>
  <c r="A1252" i="26"/>
  <c r="A1253" i="26" l="1"/>
  <c r="A1466" i="26"/>
  <c r="A1254" i="26" l="1"/>
  <c r="A1467" i="26"/>
  <c r="A1255" i="26" l="1"/>
  <c r="A1468" i="26"/>
  <c r="A1469" i="26" l="1"/>
  <c r="A1256" i="26"/>
  <c r="A1470" i="26" l="1"/>
  <c r="A1257" i="26"/>
  <c r="A1471" i="26" l="1"/>
  <c r="A1258" i="26"/>
  <c r="A1472" i="26" l="1"/>
  <c r="A1259" i="26"/>
  <c r="A1260" i="26" l="1"/>
  <c r="A1473" i="26"/>
  <c r="A1474" i="26" l="1"/>
  <c r="A1261" i="26"/>
  <c r="A1262" i="26" l="1"/>
  <c r="A1475" i="26"/>
  <c r="A1476" i="26" l="1"/>
  <c r="A1263" i="26"/>
  <c r="A1477" i="26" l="1"/>
  <c r="A1264" i="26"/>
  <c r="A1478" i="26" l="1"/>
  <c r="A1265" i="26"/>
  <c r="A1266" i="26" l="1"/>
  <c r="A1479" i="26"/>
  <c r="A1480" i="26" l="1"/>
  <c r="A1267" i="26"/>
  <c r="A1268" i="26" l="1"/>
  <c r="A1481" i="26"/>
  <c r="A1482" i="26" l="1"/>
  <c r="A1269" i="26"/>
  <c r="A1270" i="26" l="1"/>
  <c r="A1483" i="26"/>
  <c r="A1271" i="26" l="1"/>
  <c r="A1484" i="26"/>
  <c r="A1485" i="26" l="1"/>
  <c r="A1272" i="26"/>
  <c r="A1273" i="26" l="1"/>
  <c r="A1486" i="26"/>
  <c r="A1487" i="26" l="1"/>
  <c r="A1274" i="26"/>
  <c r="A1275" i="26" l="1"/>
  <c r="A1488" i="26"/>
  <c r="A1489" i="26" l="1"/>
  <c r="A1276" i="26"/>
  <c r="A1277" i="26" l="1"/>
  <c r="A1490" i="26"/>
  <c r="A1278" i="26" l="1"/>
  <c r="A1491" i="26"/>
  <c r="A1492" i="26" l="1"/>
  <c r="A1279" i="26"/>
  <c r="A1280" i="26" l="1"/>
  <c r="A1493" i="26"/>
  <c r="A1494" i="26" l="1"/>
  <c r="A1281" i="26"/>
  <c r="A1495" i="26" l="1"/>
  <c r="A1283" i="26"/>
  <c r="A1282" i="26"/>
  <c r="A1496" i="26" l="1"/>
  <c r="A1497" i="26"/>
  <c r="A1009" i="26" l="1"/>
  <c r="A1010" i="26" l="1"/>
  <c r="A1011" i="26" l="1"/>
  <c r="A1012" i="26" l="1"/>
  <c r="A1013" i="26" l="1"/>
  <c r="A1014" i="26" l="1"/>
  <c r="A1015" i="26" l="1"/>
  <c r="A1016" i="26" l="1"/>
  <c r="A1017" i="26" l="1"/>
  <c r="A1018" i="26" l="1"/>
  <c r="A1019" i="26" l="1"/>
  <c r="A1020" i="26" l="1"/>
  <c r="A1021" i="26" l="1"/>
  <c r="A1022" i="26" l="1"/>
  <c r="A1023" i="26" l="1"/>
  <c r="A1024" i="26" l="1"/>
  <c r="A1025" i="26" l="1"/>
  <c r="A1026" i="26" l="1"/>
  <c r="A1027" i="26" l="1"/>
  <c r="A1028" i="26" l="1"/>
  <c r="A1029" i="26" l="1"/>
  <c r="A1030" i="26" l="1"/>
  <c r="A1031" i="26" l="1"/>
  <c r="A1032" i="26" l="1"/>
  <c r="A1033" i="26" l="1"/>
  <c r="A1034" i="26" l="1"/>
  <c r="A1035" i="26" l="1"/>
  <c r="A1036" i="26" l="1"/>
  <c r="A1037" i="26" l="1"/>
  <c r="A1038" i="26" l="1"/>
  <c r="A1039" i="26" l="1"/>
  <c r="A1041" i="26"/>
  <c r="G24" i="16" l="1"/>
  <c r="E24" i="16"/>
  <c r="A1040" i="26"/>
  <c r="P24" i="16" l="1"/>
  <c r="AA232" i="19" l="1"/>
  <c r="AA512" i="19"/>
  <c r="AA493" i="19"/>
  <c r="AA494" i="19"/>
  <c r="AA195" i="19"/>
  <c r="AA275" i="19"/>
  <c r="AA335" i="19"/>
  <c r="AB336" i="19" s="1"/>
  <c r="AA395" i="19"/>
  <c r="AA415" i="19"/>
  <c r="AA435" i="19"/>
  <c r="AA455" i="19"/>
  <c r="AA475" i="19"/>
  <c r="AA495" i="19"/>
  <c r="AB496" i="19" s="1"/>
  <c r="AA515" i="19"/>
  <c r="AA535" i="19"/>
  <c r="AB536" i="19" s="1"/>
  <c r="AA196" i="19"/>
  <c r="AA216" i="19"/>
  <c r="AB217" i="19" s="1"/>
  <c r="AA236" i="19"/>
  <c r="AA256" i="19"/>
  <c r="AB257" i="19" s="1"/>
  <c r="AA276" i="19"/>
  <c r="AB277" i="19" s="1"/>
  <c r="AA296" i="19"/>
  <c r="AA316" i="19"/>
  <c r="AA336" i="19"/>
  <c r="AA356" i="19"/>
  <c r="AB357" i="19" s="1"/>
  <c r="AA376" i="19"/>
  <c r="AB377" i="19" s="1"/>
  <c r="AA396" i="19"/>
  <c r="AB397" i="19" s="1"/>
  <c r="AA416" i="19"/>
  <c r="AA436" i="19"/>
  <c r="AB437" i="19" s="1"/>
  <c r="AA456" i="19"/>
  <c r="AB457" i="19" s="1"/>
  <c r="AA476" i="19"/>
  <c r="AB477" i="19" s="1"/>
  <c r="AA496" i="19"/>
  <c r="AB497" i="19" s="1"/>
  <c r="AA516" i="19"/>
  <c r="AA536" i="19"/>
  <c r="AA412" i="19"/>
  <c r="AA253" i="19"/>
  <c r="AA374" i="19"/>
  <c r="AA197" i="19"/>
  <c r="AB198" i="19" s="1"/>
  <c r="AA537" i="19"/>
  <c r="AA198" i="19"/>
  <c r="AB199" i="19" s="1"/>
  <c r="AA218" i="19"/>
  <c r="AB219" i="19" s="1"/>
  <c r="AA238" i="19"/>
  <c r="AB239" i="19" s="1"/>
  <c r="AA258" i="19"/>
  <c r="AA278" i="19"/>
  <c r="AB279" i="19" s="1"/>
  <c r="AA298" i="19"/>
  <c r="AA318" i="19"/>
  <c r="AA338" i="19"/>
  <c r="AB339" i="19" s="1"/>
  <c r="AA358" i="19"/>
  <c r="AA378" i="19"/>
  <c r="AB379" i="19" s="1"/>
  <c r="AA398" i="19"/>
  <c r="AB399" i="19" s="1"/>
  <c r="AA418" i="19"/>
  <c r="AB419" i="19" s="1"/>
  <c r="AA438" i="19"/>
  <c r="AB439" i="19" s="1"/>
  <c r="AA458" i="19"/>
  <c r="AA478" i="19"/>
  <c r="AA498" i="19"/>
  <c r="AA518" i="19"/>
  <c r="AB519" i="19" s="1"/>
  <c r="AA538" i="19"/>
  <c r="AB539" i="19" s="1"/>
  <c r="AA252" i="19"/>
  <c r="AB253" i="19" s="1"/>
  <c r="AA532" i="19"/>
  <c r="AA453" i="19"/>
  <c r="AA474" i="19"/>
  <c r="AB475" i="19" s="1"/>
  <c r="AA295" i="19"/>
  <c r="AB296" i="19" s="1"/>
  <c r="AA237" i="19"/>
  <c r="AB238" i="19" s="1"/>
  <c r="AA257" i="19"/>
  <c r="AA517" i="19"/>
  <c r="AA199" i="19"/>
  <c r="AA219" i="19"/>
  <c r="AA239" i="19"/>
  <c r="AB240" i="19" s="1"/>
  <c r="AA259" i="19"/>
  <c r="AB260" i="19" s="1"/>
  <c r="AA279" i="19"/>
  <c r="AA299" i="19"/>
  <c r="AB300" i="19" s="1"/>
  <c r="AA319" i="19"/>
  <c r="AA339" i="19"/>
  <c r="AB340" i="19" s="1"/>
  <c r="AA359" i="19"/>
  <c r="AB360" i="19" s="1"/>
  <c r="AA379" i="19"/>
  <c r="AA399" i="19"/>
  <c r="AA419" i="19"/>
  <c r="AA439" i="19"/>
  <c r="AA459" i="19"/>
  <c r="AB460" i="19" s="1"/>
  <c r="AA479" i="19"/>
  <c r="AA499" i="19"/>
  <c r="AA519" i="19"/>
  <c r="AB520" i="19" s="1"/>
  <c r="AA539" i="19"/>
  <c r="AA332" i="19"/>
  <c r="AB333" i="19" s="1"/>
  <c r="AA293" i="19"/>
  <c r="AB294" i="19" s="1"/>
  <c r="AA294" i="19"/>
  <c r="AA215" i="19"/>
  <c r="AA277" i="19"/>
  <c r="AA200" i="19"/>
  <c r="AB201" i="19" s="1"/>
  <c r="AA220" i="19"/>
  <c r="AA240" i="19"/>
  <c r="AB241" i="19" s="1"/>
  <c r="AA260" i="19"/>
  <c r="AB261" i="19" s="1"/>
  <c r="AA280" i="19"/>
  <c r="AB281" i="19" s="1"/>
  <c r="AA300" i="19"/>
  <c r="AB301" i="19" s="1"/>
  <c r="AA320" i="19"/>
  <c r="AB321" i="19" s="1"/>
  <c r="AA340" i="19"/>
  <c r="AA360" i="19"/>
  <c r="AA380" i="19"/>
  <c r="AA400" i="19"/>
  <c r="AA420" i="19"/>
  <c r="AA440" i="19"/>
  <c r="AA460" i="19"/>
  <c r="AA480" i="19"/>
  <c r="AB481" i="19" s="1"/>
  <c r="AA500" i="19"/>
  <c r="AB501" i="19" s="1"/>
  <c r="AA520" i="19"/>
  <c r="AB521" i="19" s="1"/>
  <c r="AA540" i="19"/>
  <c r="AB541" i="19" s="1"/>
  <c r="AA372" i="19"/>
  <c r="AB373" i="19" s="1"/>
  <c r="AA353" i="19"/>
  <c r="AA414" i="19"/>
  <c r="AA497" i="19"/>
  <c r="AA201" i="19"/>
  <c r="AA221" i="19"/>
  <c r="AB222" i="19" s="1"/>
  <c r="AA241" i="19"/>
  <c r="AA261" i="19"/>
  <c r="AA281" i="19"/>
  <c r="AA301" i="19"/>
  <c r="AA321" i="19"/>
  <c r="AA341" i="19"/>
  <c r="AA361" i="19"/>
  <c r="AA381" i="19"/>
  <c r="AA401" i="19"/>
  <c r="AA421" i="19"/>
  <c r="AA441" i="19"/>
  <c r="AA461" i="19"/>
  <c r="AA481" i="19"/>
  <c r="AA501" i="19"/>
  <c r="AA521" i="19"/>
  <c r="AA541" i="19"/>
  <c r="AA373" i="19"/>
  <c r="AA254" i="19"/>
  <c r="AB255" i="19" s="1"/>
  <c r="AA255" i="19"/>
  <c r="AA297" i="19"/>
  <c r="AA202" i="19"/>
  <c r="AA222" i="19"/>
  <c r="AB223" i="19" s="1"/>
  <c r="AA242" i="19"/>
  <c r="AA262" i="19"/>
  <c r="AB263" i="19" s="1"/>
  <c r="AA282" i="19"/>
  <c r="AA302" i="19"/>
  <c r="AA322" i="19"/>
  <c r="AA342" i="19"/>
  <c r="AB343" i="19" s="1"/>
  <c r="AA362" i="19"/>
  <c r="AA382" i="19"/>
  <c r="AA402" i="19"/>
  <c r="AA422" i="19"/>
  <c r="AA442" i="19"/>
  <c r="AA462" i="19"/>
  <c r="AA482" i="19"/>
  <c r="AA502" i="19"/>
  <c r="AB503" i="19" s="1"/>
  <c r="AA522" i="19"/>
  <c r="AA542" i="19"/>
  <c r="AB543" i="19" s="1"/>
  <c r="AA352" i="19"/>
  <c r="AA333" i="19"/>
  <c r="AA394" i="19"/>
  <c r="AB395" i="19" s="1"/>
  <c r="AA457" i="19"/>
  <c r="AB458" i="19" s="1"/>
  <c r="AA203" i="19"/>
  <c r="AA223" i="19"/>
  <c r="AA243" i="19"/>
  <c r="AA263" i="19"/>
  <c r="AA283" i="19"/>
  <c r="AA303" i="19"/>
  <c r="AB304" i="19" s="1"/>
  <c r="AA323" i="19"/>
  <c r="AB324" i="19" s="1"/>
  <c r="AA343" i="19"/>
  <c r="AA363" i="19"/>
  <c r="AB364" i="19" s="1"/>
  <c r="AA383" i="19"/>
  <c r="AB384" i="19" s="1"/>
  <c r="AA403" i="19"/>
  <c r="AB404" i="19" s="1"/>
  <c r="AA423" i="19"/>
  <c r="AA443" i="19"/>
  <c r="AA463" i="19"/>
  <c r="AB464" i="19" s="1"/>
  <c r="AA483" i="19"/>
  <c r="AA503" i="19"/>
  <c r="AA523" i="19"/>
  <c r="AA543" i="19"/>
  <c r="AA413" i="19"/>
  <c r="AA314" i="19"/>
  <c r="AB315" i="19" s="1"/>
  <c r="AA337" i="19"/>
  <c r="AB338" i="19" s="1"/>
  <c r="AC338" i="19" s="1"/>
  <c r="AA204" i="19"/>
  <c r="AB205" i="19" s="1"/>
  <c r="AA224" i="19"/>
  <c r="AA244" i="19"/>
  <c r="AB245" i="19" s="1"/>
  <c r="AA264" i="19"/>
  <c r="AA284" i="19"/>
  <c r="AB285" i="19" s="1"/>
  <c r="AA304" i="19"/>
  <c r="AB305" i="19" s="1"/>
  <c r="AC305" i="19" s="1"/>
  <c r="AA324" i="19"/>
  <c r="AA344" i="19"/>
  <c r="AB345" i="19" s="1"/>
  <c r="AA364" i="19"/>
  <c r="AB365" i="19" s="1"/>
  <c r="AA384" i="19"/>
  <c r="AA404" i="19"/>
  <c r="AB405" i="19" s="1"/>
  <c r="AA424" i="19"/>
  <c r="AA444" i="19"/>
  <c r="AA464" i="19"/>
  <c r="AB465" i="19" s="1"/>
  <c r="AA484" i="19"/>
  <c r="AB485" i="19" s="1"/>
  <c r="AA504" i="19"/>
  <c r="AA524" i="19"/>
  <c r="AB525" i="19" s="1"/>
  <c r="AA544" i="19"/>
  <c r="AB545" i="19" s="1"/>
  <c r="AA192" i="19"/>
  <c r="AA433" i="19"/>
  <c r="AB434" i="19" s="1"/>
  <c r="AA354" i="19"/>
  <c r="AA357" i="19"/>
  <c r="AA205" i="19"/>
  <c r="AA225" i="19"/>
  <c r="AB226" i="19" s="1"/>
  <c r="AA245" i="19"/>
  <c r="AB246" i="19" s="1"/>
  <c r="AA265" i="19"/>
  <c r="AB266" i="19" s="1"/>
  <c r="AA285" i="19"/>
  <c r="AA305" i="19"/>
  <c r="AB306" i="19" s="1"/>
  <c r="AA325" i="19"/>
  <c r="AA345" i="19"/>
  <c r="AA365" i="19"/>
  <c r="AA385" i="19"/>
  <c r="AA405" i="19"/>
  <c r="AA425" i="19"/>
  <c r="AB426" i="19" s="1"/>
  <c r="AA445" i="19"/>
  <c r="AB446" i="19" s="1"/>
  <c r="AA465" i="19"/>
  <c r="AA485" i="19"/>
  <c r="AA505" i="19"/>
  <c r="AA525" i="19"/>
  <c r="AA545" i="19"/>
  <c r="AA212" i="19"/>
  <c r="AA393" i="19"/>
  <c r="AB394" i="19" s="1"/>
  <c r="AC394" i="19" s="1"/>
  <c r="AA334" i="19"/>
  <c r="AB335" i="19" s="1"/>
  <c r="AC335" i="19" s="1"/>
  <c r="AA317" i="19"/>
  <c r="AA206" i="19"/>
  <c r="AA226" i="19"/>
  <c r="AA246" i="19"/>
  <c r="AB247" i="19" s="1"/>
  <c r="AA266" i="19"/>
  <c r="AB267" i="19" s="1"/>
  <c r="AA286" i="19"/>
  <c r="AA306" i="19"/>
  <c r="AA326" i="19"/>
  <c r="AB327" i="19" s="1"/>
  <c r="AA346" i="19"/>
  <c r="AA366" i="19"/>
  <c r="AA386" i="19"/>
  <c r="AB387" i="19" s="1"/>
  <c r="AA406" i="19"/>
  <c r="AA426" i="19"/>
  <c r="AA446" i="19"/>
  <c r="AA466" i="19"/>
  <c r="AB467" i="19" s="1"/>
  <c r="AA486" i="19"/>
  <c r="AB487" i="19" s="1"/>
  <c r="AA506" i="19"/>
  <c r="AB507" i="19" s="1"/>
  <c r="AA526" i="19"/>
  <c r="AB527" i="19" s="1"/>
  <c r="AA546" i="19"/>
  <c r="AA392" i="19"/>
  <c r="AA313" i="19"/>
  <c r="AA274" i="19"/>
  <c r="AA235" i="19"/>
  <c r="AA377" i="19"/>
  <c r="AB378" i="19" s="1"/>
  <c r="AA227" i="19"/>
  <c r="AB228" i="19" s="1"/>
  <c r="AA247" i="19"/>
  <c r="AB248" i="19" s="1"/>
  <c r="AA267" i="19"/>
  <c r="AB268" i="19" s="1"/>
  <c r="AA287" i="19"/>
  <c r="AB288" i="19" s="1"/>
  <c r="AA307" i="19"/>
  <c r="AB308" i="19" s="1"/>
  <c r="AA327" i="19"/>
  <c r="AB328" i="19" s="1"/>
  <c r="AA347" i="19"/>
  <c r="AB348" i="19" s="1"/>
  <c r="AA367" i="19"/>
  <c r="AB368" i="19" s="1"/>
  <c r="AA387" i="19"/>
  <c r="AB388" i="19" s="1"/>
  <c r="AA407" i="19"/>
  <c r="AB408" i="19" s="1"/>
  <c r="AA427" i="19"/>
  <c r="AB428" i="19" s="1"/>
  <c r="AA447" i="19"/>
  <c r="AB448" i="19" s="1"/>
  <c r="AA467" i="19"/>
  <c r="AB468" i="19" s="1"/>
  <c r="AA487" i="19"/>
  <c r="AB488" i="19" s="1"/>
  <c r="AA507" i="19"/>
  <c r="AB508" i="19" s="1"/>
  <c r="AA527" i="19"/>
  <c r="AB528" i="19" s="1"/>
  <c r="AA547" i="19"/>
  <c r="AB548" i="19" s="1"/>
  <c r="AA432" i="19"/>
  <c r="AA213" i="19"/>
  <c r="AB214" i="19" s="1"/>
  <c r="AA434" i="19"/>
  <c r="AB435" i="19" s="1"/>
  <c r="AA477" i="19"/>
  <c r="AA208" i="19"/>
  <c r="AA228" i="19"/>
  <c r="AA248" i="19"/>
  <c r="AA268" i="19"/>
  <c r="AA288" i="19"/>
  <c r="AA308" i="19"/>
  <c r="AA328" i="19"/>
  <c r="AA348" i="19"/>
  <c r="AA368" i="19"/>
  <c r="AA388" i="19"/>
  <c r="AA408" i="19"/>
  <c r="AA428" i="19"/>
  <c r="AA448" i="19"/>
  <c r="AA468" i="19"/>
  <c r="AA488" i="19"/>
  <c r="AA508" i="19"/>
  <c r="AA528" i="19"/>
  <c r="AA548" i="19"/>
  <c r="AA312" i="19"/>
  <c r="AA492" i="19"/>
  <c r="AB493" i="19" s="1"/>
  <c r="AA233" i="19"/>
  <c r="AA473" i="19"/>
  <c r="AB474" i="19" s="1"/>
  <c r="AA234" i="19"/>
  <c r="AB235" i="19" s="1"/>
  <c r="AA454" i="19"/>
  <c r="AB455" i="19" s="1"/>
  <c r="AA355" i="19"/>
  <c r="AA397" i="19"/>
  <c r="AB398" i="19" s="1"/>
  <c r="AC398" i="19" s="1"/>
  <c r="AA209" i="19"/>
  <c r="AA229" i="19"/>
  <c r="AB230" i="19" s="1"/>
  <c r="AA249" i="19"/>
  <c r="AB250" i="19" s="1"/>
  <c r="AA269" i="19"/>
  <c r="AA289" i="19"/>
  <c r="AA309" i="19"/>
  <c r="AA329" i="19"/>
  <c r="AB330" i="19" s="1"/>
  <c r="AA349" i="19"/>
  <c r="AA369" i="19"/>
  <c r="AB370" i="19" s="1"/>
  <c r="AA389" i="19"/>
  <c r="AA409" i="19"/>
  <c r="AB410" i="19" s="1"/>
  <c r="AA429" i="19"/>
  <c r="AA449" i="19"/>
  <c r="AA469" i="19"/>
  <c r="AB470" i="19" s="1"/>
  <c r="AA489" i="19"/>
  <c r="AA509" i="19"/>
  <c r="AB510" i="19" s="1"/>
  <c r="AA529" i="19"/>
  <c r="AA549" i="19"/>
  <c r="AB550" i="19" s="1"/>
  <c r="AA272" i="19"/>
  <c r="AA472" i="19"/>
  <c r="AB473" i="19" s="1"/>
  <c r="AC473" i="19" s="1"/>
  <c r="AA273" i="19"/>
  <c r="AB274" i="19" s="1"/>
  <c r="AA533" i="19"/>
  <c r="AA214" i="19"/>
  <c r="AB215" i="19" s="1"/>
  <c r="AA534" i="19"/>
  <c r="AB535" i="19" s="1"/>
  <c r="AA315" i="19"/>
  <c r="AB316" i="19" s="1"/>
  <c r="AA417" i="19"/>
  <c r="AA207" i="19"/>
  <c r="AB208" i="19" s="1"/>
  <c r="AA190" i="19"/>
  <c r="AB191" i="19" s="1"/>
  <c r="AA210" i="19"/>
  <c r="AA230" i="19"/>
  <c r="AA250" i="19"/>
  <c r="AA270" i="19"/>
  <c r="AB271" i="19" s="1"/>
  <c r="AA290" i="19"/>
  <c r="AB291" i="19" s="1"/>
  <c r="AA310" i="19"/>
  <c r="AB311" i="19" s="1"/>
  <c r="AA330" i="19"/>
  <c r="AB331" i="19" s="1"/>
  <c r="AA350" i="19"/>
  <c r="AA370" i="19"/>
  <c r="AA390" i="19"/>
  <c r="AB391" i="19" s="1"/>
  <c r="AA410" i="19"/>
  <c r="AA430" i="19"/>
  <c r="AB431" i="19" s="1"/>
  <c r="AA450" i="19"/>
  <c r="AB451" i="19" s="1"/>
  <c r="AA470" i="19"/>
  <c r="AA490" i="19"/>
  <c r="AB491" i="19" s="1"/>
  <c r="AA510" i="19"/>
  <c r="AA530" i="19"/>
  <c r="AA550" i="19"/>
  <c r="AB551" i="19" s="1"/>
  <c r="AA292" i="19"/>
  <c r="AA452" i="19"/>
  <c r="AB453" i="19" s="1"/>
  <c r="AA193" i="19"/>
  <c r="AA513" i="19"/>
  <c r="AA194" i="19"/>
  <c r="AA514" i="19"/>
  <c r="AB515" i="19" s="1"/>
  <c r="AA375" i="19"/>
  <c r="AB376" i="19" s="1"/>
  <c r="AC376" i="19" s="1"/>
  <c r="AA217" i="19"/>
  <c r="AA437" i="19"/>
  <c r="AA191" i="19"/>
  <c r="AB192" i="19" s="1"/>
  <c r="AA211" i="19"/>
  <c r="AA231" i="19"/>
  <c r="AA251" i="19"/>
  <c r="AA271" i="19"/>
  <c r="AA291" i="19"/>
  <c r="AB292" i="19" s="1"/>
  <c r="AA311" i="19"/>
  <c r="AA331" i="19"/>
  <c r="AA351" i="19"/>
  <c r="AA371" i="19"/>
  <c r="AA391" i="19"/>
  <c r="AA411" i="19"/>
  <c r="AA431" i="19"/>
  <c r="AA451" i="19"/>
  <c r="AB452" i="19" s="1"/>
  <c r="AA471" i="19"/>
  <c r="AB472" i="19" s="1"/>
  <c r="AC472" i="19" s="1"/>
  <c r="AA491" i="19"/>
  <c r="AA511" i="19"/>
  <c r="AA531" i="19"/>
  <c r="AB532" i="19" s="1"/>
  <c r="AA551" i="19"/>
  <c r="AC266" i="19" l="1"/>
  <c r="AC330" i="19"/>
  <c r="AC246" i="19"/>
  <c r="AC519" i="19"/>
  <c r="AC452" i="19"/>
  <c r="AC191" i="19"/>
  <c r="AC434" i="19"/>
  <c r="AC238" i="19"/>
  <c r="AC378" i="19"/>
  <c r="AC535" i="19"/>
  <c r="AC467" i="19"/>
  <c r="AC474" i="19"/>
  <c r="AC487" i="19"/>
  <c r="AC451" i="19"/>
  <c r="AB430" i="19"/>
  <c r="AC430" i="19" s="1"/>
  <c r="AC548" i="19"/>
  <c r="AB549" i="19"/>
  <c r="AC549" i="19" s="1"/>
  <c r="AC214" i="19"/>
  <c r="AB236" i="19"/>
  <c r="AC236" i="19" s="1"/>
  <c r="AC235" i="19"/>
  <c r="AB227" i="19"/>
  <c r="AC227" i="19" s="1"/>
  <c r="AC226" i="19"/>
  <c r="AB363" i="19"/>
  <c r="AC363" i="19" s="1"/>
  <c r="AB402" i="19"/>
  <c r="AC402" i="19" s="1"/>
  <c r="AB441" i="19"/>
  <c r="AC441" i="19" s="1"/>
  <c r="AB500" i="19"/>
  <c r="AC500" i="19" s="1"/>
  <c r="AB409" i="19"/>
  <c r="AC409" i="19" s="1"/>
  <c r="AC408" i="19"/>
  <c r="AB195" i="19"/>
  <c r="AC195" i="19" s="1"/>
  <c r="AC250" i="19"/>
  <c r="AB251" i="19"/>
  <c r="AB529" i="19"/>
  <c r="AC528" i="19"/>
  <c r="AB433" i="19"/>
  <c r="AC433" i="19" s="1"/>
  <c r="AC274" i="19"/>
  <c r="AB275" i="19"/>
  <c r="AB207" i="19"/>
  <c r="AC207" i="19" s="1"/>
  <c r="AC304" i="19"/>
  <c r="AB382" i="19"/>
  <c r="AC382" i="19" s="1"/>
  <c r="AB421" i="19"/>
  <c r="AC421" i="19" s="1"/>
  <c r="AB480" i="19"/>
  <c r="AC480" i="19" s="1"/>
  <c r="AC453" i="19"/>
  <c r="AB454" i="19"/>
  <c r="AC454" i="19" s="1"/>
  <c r="AB514" i="19"/>
  <c r="AC514" i="19" s="1"/>
  <c r="AB231" i="19"/>
  <c r="AC231" i="19" s="1"/>
  <c r="AC230" i="19"/>
  <c r="AB390" i="19"/>
  <c r="AC390" i="19" s="1"/>
  <c r="AB509" i="19"/>
  <c r="AC509" i="19" s="1"/>
  <c r="AC508" i="19"/>
  <c r="AB314" i="19"/>
  <c r="AC314" i="19" s="1"/>
  <c r="AB318" i="19"/>
  <c r="AB265" i="19"/>
  <c r="AC265" i="19" s="1"/>
  <c r="AB284" i="19"/>
  <c r="AC284" i="19" s="1"/>
  <c r="AB323" i="19"/>
  <c r="AC323" i="19" s="1"/>
  <c r="AB362" i="19"/>
  <c r="AC362" i="19" s="1"/>
  <c r="AB401" i="19"/>
  <c r="AC401" i="19" s="1"/>
  <c r="AB533" i="19"/>
  <c r="AC533" i="19" s="1"/>
  <c r="AC532" i="19"/>
  <c r="AB538" i="19"/>
  <c r="AC538" i="19" s="1"/>
  <c r="AB237" i="19"/>
  <c r="AC237" i="19" s="1"/>
  <c r="AC331" i="19"/>
  <c r="AB332" i="19"/>
  <c r="AC332" i="19" s="1"/>
  <c r="AB194" i="19"/>
  <c r="AC194" i="19" s="1"/>
  <c r="AB211" i="19"/>
  <c r="AB489" i="19"/>
  <c r="AC488" i="19"/>
  <c r="AB393" i="19"/>
  <c r="AC393" i="19" s="1"/>
  <c r="AC205" i="19"/>
  <c r="AB206" i="19"/>
  <c r="AC206" i="19" s="1"/>
  <c r="AC245" i="19"/>
  <c r="AB264" i="19"/>
  <c r="AC264" i="19" s="1"/>
  <c r="AC263" i="19"/>
  <c r="AB303" i="19"/>
  <c r="AC303" i="19" s="1"/>
  <c r="AB342" i="19"/>
  <c r="AC342" i="19" s="1"/>
  <c r="AB381" i="19"/>
  <c r="AC381" i="19" s="1"/>
  <c r="AB440" i="19"/>
  <c r="AC440" i="19" s="1"/>
  <c r="AC439" i="19"/>
  <c r="AC198" i="19"/>
  <c r="AB352" i="19"/>
  <c r="AC352" i="19" s="1"/>
  <c r="AB512" i="19"/>
  <c r="AC512" i="19" s="1"/>
  <c r="AC511" i="19"/>
  <c r="AB432" i="19"/>
  <c r="AC432" i="19" s="1"/>
  <c r="AC431" i="19"/>
  <c r="AB350" i="19"/>
  <c r="AC468" i="19"/>
  <c r="AB469" i="19"/>
  <c r="AC469" i="19" s="1"/>
  <c r="AB547" i="19"/>
  <c r="AC547" i="19" s="1"/>
  <c r="AC357" i="19"/>
  <c r="AB358" i="19"/>
  <c r="AB225" i="19"/>
  <c r="AC225" i="19" s="1"/>
  <c r="AB244" i="19"/>
  <c r="AC244" i="19" s="1"/>
  <c r="AB283" i="19"/>
  <c r="AC283" i="19" s="1"/>
  <c r="AB322" i="19"/>
  <c r="AC322" i="19" s="1"/>
  <c r="AC321" i="19"/>
  <c r="AC360" i="19"/>
  <c r="AB361" i="19"/>
  <c r="AC361" i="19" s="1"/>
  <c r="AB420" i="19"/>
  <c r="AC420" i="19" s="1"/>
  <c r="AC419" i="19"/>
  <c r="AB375" i="19"/>
  <c r="AC375" i="19" s="1"/>
  <c r="AB197" i="19"/>
  <c r="AC197" i="19" s="1"/>
  <c r="AB531" i="19"/>
  <c r="AC531" i="19" s="1"/>
  <c r="AB312" i="19"/>
  <c r="AC311" i="19"/>
  <c r="AB412" i="19"/>
  <c r="AC412" i="19" s="1"/>
  <c r="AB449" i="19"/>
  <c r="AC449" i="19" s="1"/>
  <c r="AC448" i="19"/>
  <c r="AC527" i="19"/>
  <c r="AB213" i="19"/>
  <c r="AC213" i="19" s="1"/>
  <c r="AB355" i="19"/>
  <c r="AC355" i="19" s="1"/>
  <c r="AB224" i="19"/>
  <c r="AC224" i="19" s="1"/>
  <c r="AC223" i="19"/>
  <c r="AB302" i="19"/>
  <c r="AC302" i="19" s="1"/>
  <c r="AC301" i="19"/>
  <c r="AB341" i="19"/>
  <c r="AC341" i="19" s="1"/>
  <c r="AC340" i="19"/>
  <c r="AB400" i="19"/>
  <c r="AC400" i="19" s="1"/>
  <c r="AC399" i="19"/>
  <c r="AB254" i="19"/>
  <c r="AC254" i="19" s="1"/>
  <c r="AC253" i="19"/>
  <c r="AB511" i="19"/>
  <c r="AC510" i="19"/>
  <c r="AC491" i="19"/>
  <c r="AB492" i="19"/>
  <c r="AC492" i="19" s="1"/>
  <c r="AB293" i="19"/>
  <c r="AC293" i="19" s="1"/>
  <c r="AC292" i="19"/>
  <c r="AB392" i="19"/>
  <c r="AC392" i="19" s="1"/>
  <c r="AC391" i="19"/>
  <c r="AB418" i="19"/>
  <c r="AC418" i="19" s="1"/>
  <c r="AB310" i="19"/>
  <c r="AC310" i="19" s="1"/>
  <c r="AB429" i="19"/>
  <c r="AC429" i="19" s="1"/>
  <c r="AC428" i="19"/>
  <c r="AC507" i="19"/>
  <c r="AB546" i="19"/>
  <c r="AC546" i="19" s="1"/>
  <c r="AC545" i="19"/>
  <c r="AB204" i="19"/>
  <c r="AC204" i="19" s="1"/>
  <c r="AB243" i="19"/>
  <c r="AC243" i="19" s="1"/>
  <c r="AB282" i="19"/>
  <c r="AC282" i="19" s="1"/>
  <c r="AC281" i="19"/>
  <c r="AB380" i="19"/>
  <c r="AC380" i="19" s="1"/>
  <c r="AC379" i="19"/>
  <c r="AB499" i="19"/>
  <c r="AC499" i="19" s="1"/>
  <c r="AB413" i="19"/>
  <c r="AB516" i="19"/>
  <c r="AC516" i="19" s="1"/>
  <c r="AC515" i="19"/>
  <c r="AB526" i="19"/>
  <c r="AC526" i="19" s="1"/>
  <c r="AC525" i="19"/>
  <c r="AB193" i="19"/>
  <c r="AC193" i="19" s="1"/>
  <c r="AC192" i="19"/>
  <c r="AC315" i="19"/>
  <c r="AB262" i="19"/>
  <c r="AC262" i="19" s="1"/>
  <c r="AC261" i="19"/>
  <c r="AB479" i="19"/>
  <c r="AC479" i="19" s="1"/>
  <c r="AB537" i="19"/>
  <c r="AC537" i="19" s="1"/>
  <c r="AC536" i="19"/>
  <c r="AC496" i="19"/>
  <c r="AB270" i="19"/>
  <c r="AC270" i="19" s="1"/>
  <c r="AB389" i="19"/>
  <c r="AC389" i="19" s="1"/>
  <c r="AC388" i="19"/>
  <c r="AB506" i="19"/>
  <c r="AC506" i="19" s="1"/>
  <c r="AB414" i="19"/>
  <c r="AC414" i="19" s="1"/>
  <c r="AC413" i="19"/>
  <c r="AB203" i="19"/>
  <c r="AC203" i="19" s="1"/>
  <c r="AC202" i="19"/>
  <c r="AB242" i="19"/>
  <c r="AC242" i="19" s="1"/>
  <c r="AC241" i="19"/>
  <c r="AC458" i="19"/>
  <c r="AB459" i="19"/>
  <c r="AC459" i="19" s="1"/>
  <c r="AB517" i="19"/>
  <c r="AB476" i="19"/>
  <c r="AC476" i="19" s="1"/>
  <c r="AC475" i="19"/>
  <c r="AB447" i="19"/>
  <c r="AC447" i="19" s="1"/>
  <c r="AC446" i="19"/>
  <c r="AB486" i="19"/>
  <c r="AC486" i="19" s="1"/>
  <c r="AC485" i="19"/>
  <c r="AB544" i="19"/>
  <c r="AC544" i="19" s="1"/>
  <c r="AC543" i="19"/>
  <c r="AC333" i="19"/>
  <c r="AB334" i="19"/>
  <c r="AC334" i="19" s="1"/>
  <c r="AB298" i="19"/>
  <c r="AC222" i="19"/>
  <c r="AB320" i="19"/>
  <c r="AC320" i="19" s="1"/>
  <c r="AB456" i="19"/>
  <c r="AC456" i="19" s="1"/>
  <c r="AC455" i="19"/>
  <c r="AB534" i="19"/>
  <c r="AC534" i="19" s="1"/>
  <c r="AC426" i="19"/>
  <c r="AB427" i="19"/>
  <c r="AC427" i="19" s="1"/>
  <c r="AC465" i="19"/>
  <c r="AB466" i="19"/>
  <c r="AC466" i="19" s="1"/>
  <c r="AB505" i="19"/>
  <c r="AC505" i="19" s="1"/>
  <c r="AB524" i="19"/>
  <c r="AC524" i="19" s="1"/>
  <c r="AB353" i="19"/>
  <c r="AC353" i="19" s="1"/>
  <c r="AB256" i="19"/>
  <c r="AC256" i="19" s="1"/>
  <c r="AC255" i="19"/>
  <c r="AB202" i="19"/>
  <c r="AC201" i="19"/>
  <c r="AC300" i="19"/>
  <c r="AB436" i="19"/>
  <c r="AC436" i="19" s="1"/>
  <c r="AC435" i="19"/>
  <c r="AB290" i="19"/>
  <c r="AC290" i="19" s="1"/>
  <c r="AB329" i="19"/>
  <c r="AC329" i="19" s="1"/>
  <c r="AC328" i="19"/>
  <c r="AB407" i="19"/>
  <c r="AC407" i="19" s="1"/>
  <c r="AC503" i="19"/>
  <c r="AB504" i="19"/>
  <c r="AC504" i="19" s="1"/>
  <c r="AB498" i="19"/>
  <c r="AC498" i="19" s="1"/>
  <c r="AC497" i="19"/>
  <c r="AB221" i="19"/>
  <c r="AC221" i="19" s="1"/>
  <c r="AB280" i="19"/>
  <c r="AC280" i="19" s="1"/>
  <c r="AC279" i="19"/>
  <c r="AC457" i="19"/>
  <c r="AB416" i="19"/>
  <c r="AC416" i="19" s="1"/>
  <c r="AB471" i="19"/>
  <c r="AC471" i="19" s="1"/>
  <c r="AC470" i="19"/>
  <c r="AC387" i="19"/>
  <c r="AB484" i="19"/>
  <c r="AC484" i="19" s="1"/>
  <c r="AB523" i="19"/>
  <c r="AC523" i="19" s="1"/>
  <c r="AB374" i="19"/>
  <c r="AC374" i="19" s="1"/>
  <c r="AC373" i="19"/>
  <c r="AB415" i="19"/>
  <c r="AC415" i="19" s="1"/>
  <c r="AC260" i="19"/>
  <c r="AC395" i="19"/>
  <c r="AB396" i="19"/>
  <c r="AC396" i="19" s="1"/>
  <c r="AB210" i="19"/>
  <c r="AC210" i="19" s="1"/>
  <c r="AB406" i="19"/>
  <c r="AC406" i="19" s="1"/>
  <c r="AC405" i="19"/>
  <c r="AB445" i="19"/>
  <c r="AC445" i="19" s="1"/>
  <c r="AC444" i="19"/>
  <c r="AC464" i="19"/>
  <c r="AC541" i="19"/>
  <c r="AB542" i="19"/>
  <c r="AC542" i="19" s="1"/>
  <c r="AB354" i="19"/>
  <c r="AC354" i="19" s="1"/>
  <c r="AB278" i="19"/>
  <c r="AC278" i="19" s="1"/>
  <c r="AC277" i="19"/>
  <c r="AC240" i="19"/>
  <c r="AB359" i="19"/>
  <c r="AC359" i="19" s="1"/>
  <c r="AC358" i="19"/>
  <c r="AB417" i="19"/>
  <c r="AC417" i="19" s="1"/>
  <c r="AB369" i="19"/>
  <c r="AC369" i="19" s="1"/>
  <c r="AC368" i="19"/>
  <c r="AB272" i="19"/>
  <c r="AC272" i="19" s="1"/>
  <c r="AC271" i="19"/>
  <c r="AB411" i="19"/>
  <c r="AC411" i="19" s="1"/>
  <c r="AC410" i="19"/>
  <c r="AB269" i="19"/>
  <c r="AC269" i="19" s="1"/>
  <c r="AC268" i="19"/>
  <c r="AB386" i="19"/>
  <c r="AC386" i="19" s="1"/>
  <c r="AB425" i="19"/>
  <c r="AC425" i="19" s="1"/>
  <c r="AB444" i="19"/>
  <c r="AB483" i="19"/>
  <c r="AC483" i="19" s="1"/>
  <c r="AB522" i="19"/>
  <c r="AC522" i="19" s="1"/>
  <c r="AC521" i="19"/>
  <c r="AB216" i="19"/>
  <c r="AC216" i="19" s="1"/>
  <c r="AC215" i="19"/>
  <c r="AB220" i="19"/>
  <c r="AC220" i="19" s="1"/>
  <c r="AC219" i="19"/>
  <c r="AC339" i="19"/>
  <c r="AC397" i="19"/>
  <c r="AB276" i="19"/>
  <c r="AC276" i="19" s="1"/>
  <c r="AC275" i="19"/>
  <c r="AB252" i="19"/>
  <c r="AC252" i="19" s="1"/>
  <c r="AC251" i="19"/>
  <c r="AB367" i="19"/>
  <c r="AC367" i="19" s="1"/>
  <c r="AC366" i="19"/>
  <c r="AB371" i="19"/>
  <c r="AC371" i="19" s="1"/>
  <c r="AC370" i="19"/>
  <c r="AB530" i="19"/>
  <c r="AC530" i="19" s="1"/>
  <c r="AC529" i="19"/>
  <c r="AB249" i="19"/>
  <c r="AC249" i="19" s="1"/>
  <c r="AC248" i="19"/>
  <c r="AC327" i="19"/>
  <c r="AC365" i="19"/>
  <c r="AB366" i="19"/>
  <c r="AB424" i="19"/>
  <c r="AC424" i="19" s="1"/>
  <c r="AB463" i="19"/>
  <c r="AC463" i="19" s="1"/>
  <c r="AB502" i="19"/>
  <c r="AC502" i="19" s="1"/>
  <c r="AC501" i="19"/>
  <c r="AB295" i="19"/>
  <c r="AC295" i="19" s="1"/>
  <c r="AC294" i="19"/>
  <c r="AB200" i="19"/>
  <c r="AC200" i="19" s="1"/>
  <c r="AC199" i="19"/>
  <c r="AB319" i="19"/>
  <c r="AC319" i="19" s="1"/>
  <c r="AC318" i="19"/>
  <c r="AC377" i="19"/>
  <c r="AB196" i="19"/>
  <c r="AC196" i="19" s="1"/>
  <c r="AB372" i="19"/>
  <c r="AC372" i="19" s="1"/>
  <c r="AB273" i="19"/>
  <c r="AC273" i="19" s="1"/>
  <c r="AB347" i="19"/>
  <c r="AC347" i="19" s="1"/>
  <c r="AB351" i="19"/>
  <c r="AC351" i="19" s="1"/>
  <c r="AC350" i="19"/>
  <c r="AB229" i="19"/>
  <c r="AC229" i="19" s="1"/>
  <c r="AC228" i="19"/>
  <c r="AB307" i="19"/>
  <c r="AC307" i="19" s="1"/>
  <c r="AC306" i="19"/>
  <c r="AB346" i="19"/>
  <c r="AC346" i="19" s="1"/>
  <c r="AC345" i="19"/>
  <c r="AB385" i="19"/>
  <c r="AC385" i="19" s="1"/>
  <c r="AC384" i="19"/>
  <c r="AC404" i="19"/>
  <c r="AB443" i="19"/>
  <c r="AC443" i="19" s="1"/>
  <c r="AB482" i="19"/>
  <c r="AC482" i="19" s="1"/>
  <c r="AC481" i="19"/>
  <c r="AB518" i="19"/>
  <c r="AC518" i="19" s="1"/>
  <c r="AC517" i="19"/>
  <c r="AB299" i="19"/>
  <c r="AC299" i="19" s="1"/>
  <c r="AC298" i="19"/>
  <c r="AB495" i="19"/>
  <c r="AC495" i="19" s="1"/>
  <c r="AB309" i="19"/>
  <c r="AC309" i="19" s="1"/>
  <c r="AC308" i="19"/>
  <c r="AB289" i="19"/>
  <c r="AC289" i="19" s="1"/>
  <c r="AC288" i="19"/>
  <c r="AC550" i="19"/>
  <c r="AB212" i="19"/>
  <c r="AC212" i="19" s="1"/>
  <c r="AC211" i="19"/>
  <c r="AC437" i="19"/>
  <c r="AB438" i="19"/>
  <c r="AC438" i="19" s="1"/>
  <c r="AC489" i="19"/>
  <c r="AB490" i="19"/>
  <c r="AC490" i="19" s="1"/>
  <c r="AB234" i="19"/>
  <c r="AC234" i="19" s="1"/>
  <c r="AB209" i="19"/>
  <c r="AC209" i="19" s="1"/>
  <c r="AC208" i="19"/>
  <c r="AB287" i="19"/>
  <c r="AC287" i="19" s="1"/>
  <c r="AB326" i="19"/>
  <c r="AC326" i="19" s="1"/>
  <c r="AB423" i="19"/>
  <c r="AC423" i="19" s="1"/>
  <c r="AB462" i="19"/>
  <c r="AC462" i="19" s="1"/>
  <c r="AC461" i="19"/>
  <c r="AB258" i="19"/>
  <c r="AC258" i="19" s="1"/>
  <c r="AC257" i="19"/>
  <c r="AB337" i="19"/>
  <c r="AC337" i="19" s="1"/>
  <c r="AC336" i="19"/>
  <c r="AB494" i="19"/>
  <c r="AC494" i="19" s="1"/>
  <c r="AC493" i="19"/>
  <c r="AB552" i="19"/>
  <c r="AC552" i="19" s="1"/>
  <c r="AC551" i="19"/>
  <c r="AC217" i="19"/>
  <c r="AB218" i="19"/>
  <c r="AC218" i="19" s="1"/>
  <c r="AB478" i="19"/>
  <c r="AC478" i="19" s="1"/>
  <c r="AC477" i="19"/>
  <c r="AC267" i="19"/>
  <c r="AC364" i="19"/>
  <c r="AB403" i="19"/>
  <c r="AC403" i="19" s="1"/>
  <c r="AB442" i="19"/>
  <c r="AC442" i="19" s="1"/>
  <c r="AB540" i="19"/>
  <c r="AC540" i="19" s="1"/>
  <c r="AC539" i="19"/>
  <c r="AB259" i="19"/>
  <c r="AC259" i="19" s="1"/>
  <c r="AB317" i="19"/>
  <c r="AC317" i="19" s="1"/>
  <c r="AC316" i="19"/>
  <c r="AB513" i="19"/>
  <c r="AC513" i="19" s="1"/>
  <c r="AC348" i="19"/>
  <c r="AB349" i="19"/>
  <c r="AC349" i="19" s="1"/>
  <c r="AB356" i="19"/>
  <c r="AC356" i="19" s="1"/>
  <c r="AB232" i="19"/>
  <c r="AC232" i="19" s="1"/>
  <c r="AC291" i="19"/>
  <c r="AB450" i="19"/>
  <c r="AC450" i="19" s="1"/>
  <c r="AB313" i="19"/>
  <c r="AC313" i="19" s="1"/>
  <c r="AC312" i="19"/>
  <c r="AC247" i="19"/>
  <c r="AB286" i="19"/>
  <c r="AC286" i="19" s="1"/>
  <c r="AC285" i="19"/>
  <c r="AC324" i="19"/>
  <c r="AB325" i="19"/>
  <c r="AC325" i="19" s="1"/>
  <c r="AC343" i="19"/>
  <c r="AB344" i="19"/>
  <c r="AC344" i="19" s="1"/>
  <c r="AB383" i="19"/>
  <c r="AC383" i="19" s="1"/>
  <c r="AB422" i="19"/>
  <c r="AC422" i="19" s="1"/>
  <c r="AB461" i="19"/>
  <c r="AC460" i="19"/>
  <c r="AC520" i="19"/>
  <c r="AC239" i="19"/>
  <c r="AB297" i="19"/>
  <c r="AC297" i="19" s="1"/>
  <c r="AC296" i="19"/>
  <c r="AB233" i="19"/>
  <c r="AC233" i="19" s="1"/>
  <c r="J513" i="23"/>
  <c r="V511" i="19"/>
  <c r="V311" i="19"/>
  <c r="J313" i="23"/>
  <c r="J516" i="23"/>
  <c r="V514" i="19"/>
  <c r="V470" i="19"/>
  <c r="J472" i="23"/>
  <c r="J272" i="23"/>
  <c r="V270" i="19"/>
  <c r="J535" i="23"/>
  <c r="V533" i="19"/>
  <c r="J431" i="23"/>
  <c r="V429" i="19"/>
  <c r="J231" i="23"/>
  <c r="V229" i="19"/>
  <c r="V548" i="19"/>
  <c r="J550" i="23"/>
  <c r="J350" i="23"/>
  <c r="V348" i="19"/>
  <c r="J215" i="23"/>
  <c r="V213" i="19"/>
  <c r="V387" i="19"/>
  <c r="J389" i="23"/>
  <c r="V235" i="19"/>
  <c r="J237" i="23"/>
  <c r="J428" i="23"/>
  <c r="V426" i="19"/>
  <c r="J228" i="23"/>
  <c r="V226" i="19"/>
  <c r="V465" i="19"/>
  <c r="J467" i="23"/>
  <c r="J267" i="23"/>
  <c r="V265" i="19"/>
  <c r="V504" i="19"/>
  <c r="J506" i="23"/>
  <c r="V304" i="19"/>
  <c r="J306" i="23"/>
  <c r="J525" i="23"/>
  <c r="V523" i="19"/>
  <c r="J325" i="23"/>
  <c r="V323" i="19"/>
  <c r="V352" i="19"/>
  <c r="J354" i="23"/>
  <c r="V362" i="19"/>
  <c r="J364" i="23"/>
  <c r="J257" i="23"/>
  <c r="V255" i="19"/>
  <c r="J403" i="23"/>
  <c r="V401" i="19"/>
  <c r="J203" i="23"/>
  <c r="V201" i="19"/>
  <c r="J442" i="23"/>
  <c r="V440" i="19"/>
  <c r="J242" i="23"/>
  <c r="V240" i="19"/>
  <c r="J501" i="23"/>
  <c r="V499" i="19"/>
  <c r="J301" i="23"/>
  <c r="V299" i="19"/>
  <c r="J476" i="23"/>
  <c r="V474" i="19"/>
  <c r="J420" i="23"/>
  <c r="V418" i="19"/>
  <c r="J220" i="23"/>
  <c r="V218" i="19"/>
  <c r="J478" i="23"/>
  <c r="V476" i="19"/>
  <c r="V276" i="19"/>
  <c r="J278" i="23"/>
  <c r="J437" i="23"/>
  <c r="V435" i="19"/>
  <c r="V491" i="19"/>
  <c r="J493" i="23"/>
  <c r="J293" i="23"/>
  <c r="V291" i="19"/>
  <c r="J196" i="23"/>
  <c r="V194" i="19"/>
  <c r="J452" i="23"/>
  <c r="V450" i="19"/>
  <c r="J252" i="23"/>
  <c r="V250" i="19"/>
  <c r="V273" i="19"/>
  <c r="J275" i="23"/>
  <c r="J411" i="23"/>
  <c r="V409" i="19"/>
  <c r="J211" i="23"/>
  <c r="V209" i="19"/>
  <c r="J530" i="23"/>
  <c r="V528" i="19"/>
  <c r="J330" i="23"/>
  <c r="V328" i="19"/>
  <c r="V432" i="19"/>
  <c r="J434" i="23"/>
  <c r="V367" i="19"/>
  <c r="J369" i="23"/>
  <c r="J276" i="23"/>
  <c r="V274" i="19"/>
  <c r="J408" i="23"/>
  <c r="V406" i="19"/>
  <c r="J208" i="23"/>
  <c r="V206" i="19"/>
  <c r="J447" i="23"/>
  <c r="V445" i="19"/>
  <c r="J247" i="23"/>
  <c r="V245" i="19"/>
  <c r="J486" i="23"/>
  <c r="V484" i="19"/>
  <c r="V284" i="19"/>
  <c r="J286" i="23"/>
  <c r="V503" i="19"/>
  <c r="J505" i="23"/>
  <c r="V303" i="19"/>
  <c r="J305" i="23"/>
  <c r="V542" i="19"/>
  <c r="J544" i="23"/>
  <c r="J344" i="23"/>
  <c r="V342" i="19"/>
  <c r="J256" i="23"/>
  <c r="V254" i="19"/>
  <c r="J383" i="23"/>
  <c r="V381" i="19"/>
  <c r="J499" i="23"/>
  <c r="V497" i="19"/>
  <c r="V420" i="19"/>
  <c r="J422" i="23"/>
  <c r="J222" i="23"/>
  <c r="V220" i="19"/>
  <c r="V479" i="19"/>
  <c r="J481" i="23"/>
  <c r="V279" i="19"/>
  <c r="J281" i="23"/>
  <c r="J455" i="23"/>
  <c r="V453" i="19"/>
  <c r="J400" i="23"/>
  <c r="V398" i="19"/>
  <c r="V198" i="19"/>
  <c r="J200" i="23"/>
  <c r="V456" i="19"/>
  <c r="J458" i="23"/>
  <c r="V256" i="19"/>
  <c r="J258" i="23"/>
  <c r="V415" i="19"/>
  <c r="J417" i="23"/>
  <c r="J473" i="23"/>
  <c r="V471" i="19"/>
  <c r="V271" i="19"/>
  <c r="J273" i="23"/>
  <c r="V513" i="19"/>
  <c r="J515" i="23"/>
  <c r="J432" i="23"/>
  <c r="V430" i="19"/>
  <c r="J232" i="23"/>
  <c r="V230" i="19"/>
  <c r="J474" i="23"/>
  <c r="V472" i="19"/>
  <c r="V389" i="19"/>
  <c r="J391" i="23"/>
  <c r="V397" i="19"/>
  <c r="J399" i="23"/>
  <c r="V508" i="19"/>
  <c r="J510" i="23"/>
  <c r="J310" i="23"/>
  <c r="V308" i="19"/>
  <c r="J549" i="23"/>
  <c r="V547" i="19"/>
  <c r="J349" i="23"/>
  <c r="V347" i="19"/>
  <c r="J315" i="23"/>
  <c r="V313" i="19"/>
  <c r="V386" i="19"/>
  <c r="J388" i="23"/>
  <c r="J319" i="23"/>
  <c r="V317" i="19"/>
  <c r="V425" i="19"/>
  <c r="J427" i="23"/>
  <c r="J227" i="23"/>
  <c r="V225" i="19"/>
  <c r="J466" i="23"/>
  <c r="V464" i="19"/>
  <c r="J266" i="23"/>
  <c r="V264" i="19"/>
  <c r="J485" i="23"/>
  <c r="V483" i="19"/>
  <c r="J285" i="23"/>
  <c r="V283" i="19"/>
  <c r="J524" i="23"/>
  <c r="V522" i="19"/>
  <c r="V322" i="19"/>
  <c r="J324" i="23"/>
  <c r="J375" i="23"/>
  <c r="V373" i="19"/>
  <c r="J363" i="23"/>
  <c r="V361" i="19"/>
  <c r="J416" i="23"/>
  <c r="V414" i="19"/>
  <c r="J402" i="23"/>
  <c r="V400" i="19"/>
  <c r="J202" i="23"/>
  <c r="V200" i="19"/>
  <c r="J461" i="23"/>
  <c r="V459" i="19"/>
  <c r="V259" i="19"/>
  <c r="J261" i="23"/>
  <c r="V532" i="19"/>
  <c r="J534" i="23"/>
  <c r="V378" i="19"/>
  <c r="J380" i="23"/>
  <c r="J539" i="23"/>
  <c r="V537" i="19"/>
  <c r="V436" i="19"/>
  <c r="J438" i="23"/>
  <c r="V236" i="19"/>
  <c r="J238" i="23"/>
  <c r="J397" i="23"/>
  <c r="V395" i="19"/>
  <c r="J453" i="23"/>
  <c r="V451" i="19"/>
  <c r="V251" i="19"/>
  <c r="J253" i="23"/>
  <c r="J195" i="23"/>
  <c r="V193" i="19"/>
  <c r="V410" i="19"/>
  <c r="J412" i="23"/>
  <c r="V210" i="19"/>
  <c r="J212" i="23"/>
  <c r="J274" i="23"/>
  <c r="V272" i="19"/>
  <c r="J371" i="23"/>
  <c r="V369" i="19"/>
  <c r="J357" i="23"/>
  <c r="V355" i="19"/>
  <c r="J490" i="23"/>
  <c r="V488" i="19"/>
  <c r="V288" i="19"/>
  <c r="J290" i="23"/>
  <c r="V527" i="19"/>
  <c r="J529" i="23"/>
  <c r="J329" i="23"/>
  <c r="V327" i="19"/>
  <c r="V392" i="19"/>
  <c r="J394" i="23"/>
  <c r="J368" i="23"/>
  <c r="V366" i="19"/>
  <c r="V334" i="19"/>
  <c r="J336" i="23"/>
  <c r="V405" i="19"/>
  <c r="J407" i="23"/>
  <c r="V205" i="19"/>
  <c r="J207" i="23"/>
  <c r="V444" i="19"/>
  <c r="J446" i="23"/>
  <c r="J246" i="23"/>
  <c r="V244" i="19"/>
  <c r="J465" i="23"/>
  <c r="V463" i="19"/>
  <c r="J265" i="23"/>
  <c r="V263" i="19"/>
  <c r="J504" i="23"/>
  <c r="V502" i="19"/>
  <c r="V302" i="19"/>
  <c r="J304" i="23"/>
  <c r="J543" i="23"/>
  <c r="V541" i="19"/>
  <c r="J343" i="23"/>
  <c r="V341" i="19"/>
  <c r="V353" i="19"/>
  <c r="J355" i="23"/>
  <c r="J382" i="23"/>
  <c r="V380" i="19"/>
  <c r="V277" i="19"/>
  <c r="J279" i="23"/>
  <c r="V439" i="19"/>
  <c r="J441" i="23"/>
  <c r="V239" i="19"/>
  <c r="J241" i="23"/>
  <c r="V252" i="19"/>
  <c r="J254" i="23"/>
  <c r="J360" i="23"/>
  <c r="V358" i="19"/>
  <c r="V197" i="19"/>
  <c r="J199" i="23"/>
  <c r="V416" i="19"/>
  <c r="J418" i="23"/>
  <c r="J218" i="23"/>
  <c r="V216" i="19"/>
  <c r="J337" i="23"/>
  <c r="V335" i="19"/>
  <c r="J433" i="23"/>
  <c r="V431" i="19"/>
  <c r="J233" i="23"/>
  <c r="V231" i="19"/>
  <c r="J454" i="23"/>
  <c r="V452" i="19"/>
  <c r="J392" i="23"/>
  <c r="V390" i="19"/>
  <c r="J192" i="23"/>
  <c r="V190" i="19"/>
  <c r="J551" i="23"/>
  <c r="V549" i="19"/>
  <c r="J351" i="23"/>
  <c r="V349" i="19"/>
  <c r="V454" i="19"/>
  <c r="J456" i="23"/>
  <c r="V468" i="19"/>
  <c r="J470" i="23"/>
  <c r="J270" i="23"/>
  <c r="V268" i="19"/>
  <c r="V507" i="19"/>
  <c r="J509" i="23"/>
  <c r="V307" i="19"/>
  <c r="J309" i="23"/>
  <c r="J548" i="23"/>
  <c r="V546" i="19"/>
  <c r="V346" i="19"/>
  <c r="J348" i="23"/>
  <c r="V393" i="19"/>
  <c r="J395" i="23"/>
  <c r="V385" i="19"/>
  <c r="J387" i="23"/>
  <c r="V357" i="19"/>
  <c r="J359" i="23"/>
  <c r="V424" i="19"/>
  <c r="J426" i="23"/>
  <c r="J226" i="23"/>
  <c r="V224" i="19"/>
  <c r="J445" i="23"/>
  <c r="V443" i="19"/>
  <c r="J245" i="23"/>
  <c r="V243" i="19"/>
  <c r="J484" i="23"/>
  <c r="V482" i="19"/>
  <c r="J284" i="23"/>
  <c r="V282" i="19"/>
  <c r="J523" i="23"/>
  <c r="V521" i="19"/>
  <c r="J323" i="23"/>
  <c r="V321" i="19"/>
  <c r="J374" i="23"/>
  <c r="V372" i="19"/>
  <c r="V360" i="19"/>
  <c r="J362" i="23"/>
  <c r="V215" i="19"/>
  <c r="J217" i="23"/>
  <c r="J421" i="23"/>
  <c r="V419" i="19"/>
  <c r="J221" i="23"/>
  <c r="V219" i="19"/>
  <c r="V538" i="19"/>
  <c r="J540" i="23"/>
  <c r="J340" i="23"/>
  <c r="V338" i="19"/>
  <c r="V374" i="19"/>
  <c r="J376" i="23"/>
  <c r="J398" i="23"/>
  <c r="V396" i="19"/>
  <c r="J198" i="23"/>
  <c r="V196" i="19"/>
  <c r="J277" i="23"/>
  <c r="V275" i="19"/>
  <c r="J413" i="23"/>
  <c r="V411" i="19"/>
  <c r="V211" i="19"/>
  <c r="J213" i="23"/>
  <c r="J294" i="23"/>
  <c r="V292" i="19"/>
  <c r="J372" i="23"/>
  <c r="V370" i="19"/>
  <c r="V207" i="19"/>
  <c r="J209" i="23"/>
  <c r="V529" i="19"/>
  <c r="J531" i="23"/>
  <c r="J331" i="23"/>
  <c r="V329" i="19"/>
  <c r="J236" i="23"/>
  <c r="V234" i="19"/>
  <c r="V448" i="19"/>
  <c r="J450" i="23"/>
  <c r="J250" i="23"/>
  <c r="V248" i="19"/>
  <c r="V487" i="19"/>
  <c r="J489" i="23"/>
  <c r="V287" i="19"/>
  <c r="J289" i="23"/>
  <c r="V526" i="19"/>
  <c r="J528" i="23"/>
  <c r="J328" i="23"/>
  <c r="V326" i="19"/>
  <c r="V212" i="19"/>
  <c r="J214" i="23"/>
  <c r="J367" i="23"/>
  <c r="V365" i="19"/>
  <c r="J356" i="23"/>
  <c r="V354" i="19"/>
  <c r="V404" i="19"/>
  <c r="J406" i="23"/>
  <c r="J206" i="23"/>
  <c r="V204" i="19"/>
  <c r="J425" i="23"/>
  <c r="V423" i="19"/>
  <c r="J225" i="23"/>
  <c r="V223" i="19"/>
  <c r="J464" i="23"/>
  <c r="V462" i="19"/>
  <c r="V262" i="19"/>
  <c r="J264" i="23"/>
  <c r="V501" i="19"/>
  <c r="J503" i="23"/>
  <c r="J303" i="23"/>
  <c r="V301" i="19"/>
  <c r="J542" i="23"/>
  <c r="V540" i="19"/>
  <c r="J342" i="23"/>
  <c r="V340" i="19"/>
  <c r="V294" i="19"/>
  <c r="J296" i="23"/>
  <c r="J401" i="23"/>
  <c r="V399" i="19"/>
  <c r="J201" i="23"/>
  <c r="V199" i="19"/>
  <c r="J520" i="23"/>
  <c r="V518" i="19"/>
  <c r="V318" i="19"/>
  <c r="J320" i="23"/>
  <c r="V253" i="19"/>
  <c r="J255" i="23"/>
  <c r="J378" i="23"/>
  <c r="V376" i="19"/>
  <c r="J537" i="23"/>
  <c r="V535" i="19"/>
  <c r="V195" i="19"/>
  <c r="J197" i="23"/>
  <c r="V391" i="19"/>
  <c r="J393" i="23"/>
  <c r="J193" i="23"/>
  <c r="V191" i="19"/>
  <c r="V550" i="19"/>
  <c r="J552" i="23"/>
  <c r="J352" i="23"/>
  <c r="V350" i="19"/>
  <c r="J419" i="23"/>
  <c r="V417" i="19"/>
  <c r="V509" i="19"/>
  <c r="J511" i="23"/>
  <c r="J311" i="23"/>
  <c r="V309" i="19"/>
  <c r="J475" i="23"/>
  <c r="V473" i="19"/>
  <c r="J430" i="23"/>
  <c r="V428" i="19"/>
  <c r="J230" i="23"/>
  <c r="V228" i="19"/>
  <c r="V467" i="19"/>
  <c r="J469" i="23"/>
  <c r="J269" i="23"/>
  <c r="V267" i="19"/>
  <c r="J508" i="23"/>
  <c r="V506" i="19"/>
  <c r="V306" i="19"/>
  <c r="J308" i="23"/>
  <c r="J547" i="23"/>
  <c r="V545" i="19"/>
  <c r="J347" i="23"/>
  <c r="V345" i="19"/>
  <c r="J435" i="23"/>
  <c r="V433" i="19"/>
  <c r="J386" i="23"/>
  <c r="V384" i="19"/>
  <c r="J339" i="23"/>
  <c r="V337" i="19"/>
  <c r="J405" i="23"/>
  <c r="V403" i="19"/>
  <c r="J205" i="23"/>
  <c r="V203" i="19"/>
  <c r="V442" i="19"/>
  <c r="J444" i="23"/>
  <c r="J244" i="23"/>
  <c r="V242" i="19"/>
  <c r="J483" i="23"/>
  <c r="V481" i="19"/>
  <c r="V281" i="19"/>
  <c r="J283" i="23"/>
  <c r="J522" i="23"/>
  <c r="V520" i="19"/>
  <c r="V320" i="19"/>
  <c r="J322" i="23"/>
  <c r="J295" i="23"/>
  <c r="V293" i="19"/>
  <c r="V379" i="19"/>
  <c r="J381" i="23"/>
  <c r="V517" i="19"/>
  <c r="J519" i="23"/>
  <c r="J500" i="23"/>
  <c r="V498" i="19"/>
  <c r="V298" i="19"/>
  <c r="J300" i="23"/>
  <c r="V412" i="19"/>
  <c r="J414" i="23"/>
  <c r="V356" i="19"/>
  <c r="J358" i="23"/>
  <c r="J517" i="23"/>
  <c r="V515" i="19"/>
  <c r="J496" i="23"/>
  <c r="V494" i="19"/>
  <c r="V371" i="19"/>
  <c r="J373" i="23"/>
  <c r="V437" i="19"/>
  <c r="J439" i="23"/>
  <c r="J532" i="23"/>
  <c r="V530" i="19"/>
  <c r="J332" i="23"/>
  <c r="V330" i="19"/>
  <c r="V315" i="19"/>
  <c r="J317" i="23"/>
  <c r="J491" i="23"/>
  <c r="V489" i="19"/>
  <c r="J291" i="23"/>
  <c r="V289" i="19"/>
  <c r="J235" i="23"/>
  <c r="V233" i="19"/>
  <c r="V408" i="19"/>
  <c r="J410" i="23"/>
  <c r="J210" i="23"/>
  <c r="V208" i="19"/>
  <c r="J449" i="23"/>
  <c r="V447" i="19"/>
  <c r="J249" i="23"/>
  <c r="V247" i="19"/>
  <c r="J488" i="23"/>
  <c r="V486" i="19"/>
  <c r="J288" i="23"/>
  <c r="V286" i="19"/>
  <c r="J527" i="23"/>
  <c r="V525" i="19"/>
  <c r="J327" i="23"/>
  <c r="V325" i="19"/>
  <c r="V192" i="19"/>
  <c r="J194" i="23"/>
  <c r="J366" i="23"/>
  <c r="V364" i="19"/>
  <c r="J316" i="23"/>
  <c r="V314" i="19"/>
  <c r="V383" i="19"/>
  <c r="J385" i="23"/>
  <c r="V457" i="19"/>
  <c r="J459" i="23"/>
  <c r="J424" i="23"/>
  <c r="V422" i="19"/>
  <c r="J224" i="23"/>
  <c r="V222" i="19"/>
  <c r="J463" i="23"/>
  <c r="V461" i="19"/>
  <c r="J263" i="23"/>
  <c r="V261" i="19"/>
  <c r="V500" i="19"/>
  <c r="J502" i="23"/>
  <c r="V300" i="19"/>
  <c r="J302" i="23"/>
  <c r="J334" i="23"/>
  <c r="V332" i="19"/>
  <c r="J361" i="23"/>
  <c r="V359" i="19"/>
  <c r="J259" i="23"/>
  <c r="V257" i="19"/>
  <c r="V478" i="19"/>
  <c r="J480" i="23"/>
  <c r="V278" i="19"/>
  <c r="J280" i="23"/>
  <c r="J538" i="23"/>
  <c r="V536" i="19"/>
  <c r="V336" i="19"/>
  <c r="J338" i="23"/>
  <c r="J497" i="23"/>
  <c r="V495" i="19"/>
  <c r="J495" i="23"/>
  <c r="V493" i="19"/>
  <c r="V551" i="19"/>
  <c r="J553" i="23"/>
  <c r="V351" i="19"/>
  <c r="J353" i="23"/>
  <c r="V217" i="19"/>
  <c r="J219" i="23"/>
  <c r="J512" i="23"/>
  <c r="V510" i="19"/>
  <c r="V310" i="19"/>
  <c r="J312" i="23"/>
  <c r="J536" i="23"/>
  <c r="V534" i="19"/>
  <c r="J471" i="23"/>
  <c r="V469" i="19"/>
  <c r="J271" i="23"/>
  <c r="V269" i="19"/>
  <c r="J494" i="23"/>
  <c r="V492" i="19"/>
  <c r="J390" i="23"/>
  <c r="V388" i="19"/>
  <c r="J479" i="23"/>
  <c r="V477" i="19"/>
  <c r="J429" i="23"/>
  <c r="V427" i="19"/>
  <c r="V227" i="19"/>
  <c r="J229" i="23"/>
  <c r="J468" i="23"/>
  <c r="V466" i="19"/>
  <c r="J268" i="23"/>
  <c r="V266" i="19"/>
  <c r="J507" i="23"/>
  <c r="V505" i="19"/>
  <c r="V305" i="19"/>
  <c r="J307" i="23"/>
  <c r="V544" i="19"/>
  <c r="J546" i="23"/>
  <c r="J346" i="23"/>
  <c r="V344" i="19"/>
  <c r="J415" i="23"/>
  <c r="V413" i="19"/>
  <c r="J365" i="23"/>
  <c r="V363" i="19"/>
  <c r="V394" i="19"/>
  <c r="J396" i="23"/>
  <c r="J404" i="23"/>
  <c r="V402" i="19"/>
  <c r="J204" i="23"/>
  <c r="V202" i="19"/>
  <c r="J443" i="23"/>
  <c r="V441" i="19"/>
  <c r="J243" i="23"/>
  <c r="V241" i="19"/>
  <c r="V480" i="19"/>
  <c r="J482" i="23"/>
  <c r="V280" i="19"/>
  <c r="J282" i="23"/>
  <c r="J541" i="23"/>
  <c r="V539" i="19"/>
  <c r="V339" i="19"/>
  <c r="J341" i="23"/>
  <c r="V237" i="19"/>
  <c r="J239" i="23"/>
  <c r="V458" i="19"/>
  <c r="J460" i="23"/>
  <c r="J260" i="23"/>
  <c r="V258" i="19"/>
  <c r="J518" i="23"/>
  <c r="V516" i="19"/>
  <c r="J318" i="23"/>
  <c r="V316" i="19"/>
  <c r="J477" i="23"/>
  <c r="V475" i="19"/>
  <c r="J514" i="23"/>
  <c r="V512" i="19"/>
  <c r="J533" i="23"/>
  <c r="V531" i="19"/>
  <c r="J333" i="23"/>
  <c r="V331" i="19"/>
  <c r="J377" i="23"/>
  <c r="V375" i="19"/>
  <c r="V490" i="19"/>
  <c r="J492" i="23"/>
  <c r="J292" i="23"/>
  <c r="V290" i="19"/>
  <c r="V214" i="19"/>
  <c r="J216" i="23"/>
  <c r="V449" i="19"/>
  <c r="J451" i="23"/>
  <c r="J251" i="23"/>
  <c r="V249" i="19"/>
  <c r="J314" i="23"/>
  <c r="V312" i="19"/>
  <c r="V368" i="19"/>
  <c r="J370" i="23"/>
  <c r="V434" i="19"/>
  <c r="J436" i="23"/>
  <c r="J409" i="23"/>
  <c r="V407" i="19"/>
  <c r="J379" i="23"/>
  <c r="V377" i="19"/>
  <c r="J448" i="23"/>
  <c r="V446" i="19"/>
  <c r="J248" i="23"/>
  <c r="V246" i="19"/>
  <c r="V485" i="19"/>
  <c r="J487" i="23"/>
  <c r="J287" i="23"/>
  <c r="V285" i="19"/>
  <c r="V524" i="19"/>
  <c r="J526" i="23"/>
  <c r="J326" i="23"/>
  <c r="V324" i="19"/>
  <c r="V543" i="19"/>
  <c r="J545" i="23"/>
  <c r="J345" i="23"/>
  <c r="V343" i="19"/>
  <c r="J335" i="23"/>
  <c r="V333" i="19"/>
  <c r="J384" i="23"/>
  <c r="V382" i="19"/>
  <c r="V297" i="19"/>
  <c r="J299" i="23"/>
  <c r="J423" i="23"/>
  <c r="V421" i="19"/>
  <c r="J223" i="23"/>
  <c r="V221" i="19"/>
  <c r="V460" i="19"/>
  <c r="J462" i="23"/>
  <c r="J262" i="23"/>
  <c r="V260" i="19"/>
  <c r="J521" i="23"/>
  <c r="V519" i="19"/>
  <c r="V319" i="19"/>
  <c r="J321" i="23"/>
  <c r="J297" i="23"/>
  <c r="V295" i="19"/>
  <c r="J440" i="23"/>
  <c r="V438" i="19"/>
  <c r="J240" i="23"/>
  <c r="V238" i="19"/>
  <c r="J498" i="23"/>
  <c r="V496" i="19"/>
  <c r="J298" i="23"/>
  <c r="V296" i="19"/>
  <c r="J457" i="23"/>
  <c r="V455" i="19"/>
  <c r="J234" i="23"/>
  <c r="V232" i="19"/>
  <c r="W239" i="19"/>
  <c r="W372" i="19"/>
  <c r="W392" i="19"/>
  <c r="W199" i="19"/>
  <c r="W342" i="19"/>
  <c r="W223" i="19"/>
  <c r="W334" i="19"/>
  <c r="W484" i="19"/>
  <c r="W381" i="19"/>
  <c r="W398" i="19"/>
  <c r="W405" i="19"/>
  <c r="W475" i="19"/>
  <c r="W411" i="19"/>
  <c r="W328" i="19"/>
  <c r="W435" i="19"/>
  <c r="W384" i="19"/>
  <c r="W518" i="19"/>
  <c r="W540" i="19"/>
  <c r="W483" i="19"/>
  <c r="W257" i="19"/>
  <c r="W443" i="19"/>
  <c r="W447" i="19"/>
  <c r="W448" i="19"/>
  <c r="W268" i="19"/>
  <c r="W535" i="19"/>
  <c r="W304" i="19"/>
  <c r="W503" i="19"/>
  <c r="W275" i="19"/>
  <c r="W409" i="19"/>
  <c r="W346" i="19"/>
  <c r="W324" i="19"/>
  <c r="W417" i="19"/>
  <c r="W331" i="19"/>
  <c r="W269" i="19"/>
  <c r="W482" i="19"/>
  <c r="W311" i="19"/>
  <c r="W258" i="19"/>
  <c r="W361" i="19"/>
  <c r="W391" i="19"/>
  <c r="W293" i="19"/>
  <c r="W279" i="19"/>
  <c r="W344" i="19"/>
  <c r="W299" i="19"/>
  <c r="W454" i="19"/>
  <c r="W528" i="19"/>
  <c r="W438" i="19"/>
  <c r="W476" i="19"/>
  <c r="W526" i="19"/>
  <c r="W519" i="19"/>
  <c r="W495" i="19"/>
  <c r="W499" i="19"/>
  <c r="W325" i="19"/>
  <c r="W240" i="19"/>
  <c r="W453" i="19"/>
  <c r="W343" i="19"/>
  <c r="W541" i="19"/>
  <c r="W451" i="19"/>
  <c r="W550" i="19"/>
  <c r="W436" i="19"/>
  <c r="W216" i="19"/>
  <c r="W415" i="19"/>
  <c r="W516" i="19"/>
  <c r="W537" i="19"/>
  <c r="W283" i="19"/>
  <c r="W307" i="19"/>
  <c r="W320" i="19"/>
  <c r="W363" i="19"/>
  <c r="W224" i="19"/>
  <c r="W471" i="19"/>
  <c r="W233" i="19"/>
  <c r="W209" i="19"/>
  <c r="W219" i="19"/>
  <c r="W226" i="19"/>
  <c r="W303" i="19"/>
  <c r="W428" i="19"/>
  <c r="W352" i="19"/>
  <c r="W491" i="19"/>
  <c r="W259" i="19"/>
  <c r="W488" i="19"/>
  <c r="W492" i="19"/>
  <c r="W274" i="19"/>
  <c r="W395" i="19"/>
  <c r="W341" i="19"/>
  <c r="W194" i="19"/>
  <c r="W373" i="19"/>
  <c r="W234" i="19"/>
  <c r="W263" i="19"/>
  <c r="W336" i="19"/>
  <c r="W198" i="19"/>
  <c r="W225" i="19"/>
  <c r="W215" i="19"/>
  <c r="W340" i="19"/>
  <c r="W230" i="19"/>
  <c r="W244" i="19"/>
  <c r="W466" i="19"/>
  <c r="W249" i="19"/>
  <c r="W513" i="19"/>
  <c r="W282" i="19"/>
  <c r="W406" i="19"/>
  <c r="W446" i="19"/>
  <c r="W306" i="19"/>
  <c r="W204" i="19"/>
  <c r="W506" i="19"/>
  <c r="W250" i="19"/>
  <c r="W385" i="19"/>
  <c r="W252" i="19"/>
  <c r="W371" i="19"/>
  <c r="W266" i="19"/>
  <c r="W245" i="19"/>
  <c r="W538" i="19"/>
  <c r="W353" i="19"/>
  <c r="W200" i="19"/>
  <c r="W347" i="19"/>
  <c r="W273" i="19"/>
  <c r="W387" i="19"/>
  <c r="W253" i="19"/>
  <c r="W497" i="19"/>
  <c r="W288" i="19"/>
  <c r="W410" i="19"/>
  <c r="W546" i="19"/>
  <c r="W286" i="19"/>
  <c r="W375" i="19"/>
  <c r="W291" i="19"/>
  <c r="W421" i="19"/>
  <c r="W520" i="19"/>
  <c r="W217" i="19"/>
  <c r="W469" i="19"/>
  <c r="W326" i="19"/>
  <c r="W420" i="19"/>
  <c r="W472" i="19"/>
  <c r="W207" i="19"/>
  <c r="W455" i="19"/>
  <c r="W536" i="19"/>
  <c r="W302" i="19"/>
  <c r="W354" i="19"/>
  <c r="W278" i="19"/>
  <c r="W243" i="19"/>
  <c r="W481" i="19"/>
  <c r="W419" i="19"/>
  <c r="W470" i="19"/>
  <c r="W376" i="19"/>
  <c r="W422" i="19"/>
  <c r="W426" i="19"/>
  <c r="W521" i="19"/>
  <c r="W270" i="19"/>
  <c r="W290" i="19"/>
  <c r="W548" i="19"/>
  <c r="W335" i="19"/>
  <c r="W356" i="19"/>
  <c r="W493" i="19"/>
  <c r="W489" i="19"/>
  <c r="W301" i="19"/>
  <c r="W191" i="19"/>
  <c r="W251" i="19"/>
  <c r="W547" i="19"/>
  <c r="W494" i="19"/>
  <c r="W323" i="19"/>
  <c r="W416" i="19"/>
  <c r="W486" i="19"/>
  <c r="W374" i="19"/>
  <c r="W338" i="19"/>
  <c r="W512" i="19"/>
  <c r="W510" i="19"/>
  <c r="W329" i="19"/>
  <c r="W539" i="19"/>
  <c r="W350" i="19"/>
  <c r="W327" i="19"/>
  <c r="W267" i="19"/>
  <c r="W468" i="19"/>
  <c r="W412" i="19"/>
  <c r="W190" i="19"/>
  <c r="W358" i="19"/>
  <c r="W308" i="19"/>
  <c r="W218" i="19"/>
  <c r="W370" i="19"/>
  <c r="W394" i="19"/>
  <c r="W414" i="19"/>
  <c r="W220" i="19"/>
  <c r="W523" i="19"/>
  <c r="W355" i="19"/>
  <c r="W367" i="19"/>
  <c r="W212" i="19"/>
  <c r="W255" i="19"/>
  <c r="W382" i="19"/>
  <c r="W545" i="19"/>
  <c r="W295" i="19"/>
  <c r="W508" i="19"/>
  <c r="W386" i="19"/>
  <c r="W317" i="19"/>
  <c r="W201" i="19"/>
  <c r="W277" i="19"/>
  <c r="W403" i="19"/>
  <c r="W429" i="19"/>
  <c r="W462" i="19"/>
  <c r="W407" i="19"/>
  <c r="W294" i="19"/>
  <c r="W505" i="19"/>
  <c r="W431" i="19"/>
  <c r="W348" i="19"/>
  <c r="W222" i="19"/>
  <c r="W514" i="19"/>
  <c r="W389" i="19"/>
  <c r="W316" i="19"/>
  <c r="W260" i="19"/>
  <c r="W460" i="19"/>
  <c r="W214" i="19"/>
  <c r="W452" i="19"/>
  <c r="W281" i="19"/>
  <c r="W265" i="19"/>
  <c r="W285" i="19"/>
  <c r="W532" i="19"/>
  <c r="W210" i="19"/>
  <c r="W364" i="19"/>
  <c r="W206" i="19"/>
  <c r="W511" i="19"/>
  <c r="W232" i="19"/>
  <c r="W292" i="19"/>
  <c r="W496" i="19"/>
  <c r="W321" i="19"/>
  <c r="W404" i="19"/>
  <c r="W231" i="19"/>
  <c r="W467" i="19"/>
  <c r="W241" i="19"/>
  <c r="W463" i="19"/>
  <c r="W237" i="19"/>
  <c r="W542" i="19"/>
  <c r="W459" i="19"/>
  <c r="W312" i="19"/>
  <c r="W264" i="19"/>
  <c r="W427" i="19"/>
  <c r="W351" i="19"/>
  <c r="W449" i="19"/>
  <c r="W300" i="19"/>
  <c r="W473" i="19"/>
  <c r="W271" i="19"/>
  <c r="W500" i="19"/>
  <c r="W461" i="19"/>
  <c r="W444" i="19"/>
  <c r="W515" i="19"/>
  <c r="W359" i="19"/>
  <c r="W345" i="19"/>
  <c r="W309" i="19"/>
  <c r="W193" i="19"/>
  <c r="W280" i="19"/>
  <c r="W439" i="19"/>
  <c r="W445" i="19"/>
  <c r="W401" i="19"/>
  <c r="W504" i="19"/>
  <c r="W366" i="19"/>
  <c r="W400" i="19"/>
  <c r="W322" i="19"/>
  <c r="W478" i="19"/>
  <c r="W457" i="19"/>
  <c r="W284" i="19"/>
  <c r="W442" i="19"/>
  <c r="W413" i="19"/>
  <c r="W456" i="19"/>
  <c r="W450" i="19"/>
  <c r="W272" i="19"/>
  <c r="W229" i="19"/>
  <c r="W425" i="19"/>
  <c r="W362" i="19"/>
  <c r="W423" i="19"/>
  <c r="W408" i="19"/>
  <c r="W242" i="19"/>
  <c r="W543" i="19"/>
  <c r="W388" i="19"/>
  <c r="W213" i="19"/>
  <c r="W383" i="19"/>
  <c r="W533" i="19"/>
  <c r="W465" i="19"/>
  <c r="W525" i="19"/>
  <c r="W221" i="19"/>
  <c r="W314" i="19"/>
  <c r="W531" i="19"/>
  <c r="W418" i="19"/>
  <c r="W203" i="19"/>
  <c r="W333" i="19"/>
  <c r="W289" i="19"/>
  <c r="W522" i="19"/>
  <c r="W377" i="19"/>
  <c r="W196" i="19"/>
  <c r="W261" i="19"/>
  <c r="W256" i="19"/>
  <c r="W197" i="19"/>
  <c r="W202" i="19"/>
  <c r="W235" i="19"/>
  <c r="W517" i="19"/>
  <c r="W549" i="19"/>
  <c r="W276" i="19"/>
  <c r="W464" i="19"/>
  <c r="W433" i="19"/>
  <c r="W393" i="19"/>
  <c r="W360" i="19"/>
  <c r="W205" i="19"/>
  <c r="W254" i="19"/>
  <c r="W369" i="19"/>
  <c r="W380" i="19"/>
  <c r="W349" i="19"/>
  <c r="W474" i="19"/>
  <c r="W399" i="19"/>
  <c r="W313" i="19"/>
  <c r="W530" i="19"/>
  <c r="W430" i="19"/>
  <c r="W440" i="19"/>
  <c r="W337" i="19"/>
  <c r="W498" i="19"/>
  <c r="W441" i="19"/>
  <c r="W485" i="19"/>
  <c r="W297" i="19"/>
  <c r="W397" i="19"/>
  <c r="W378" i="19"/>
  <c r="W211" i="19"/>
  <c r="W318" i="19"/>
  <c r="W298" i="19"/>
  <c r="W437" i="19"/>
  <c r="W458" i="19"/>
  <c r="W305" i="19"/>
  <c r="W524" i="19"/>
  <c r="W480" i="19"/>
  <c r="W368" i="19"/>
  <c r="W477" i="19"/>
  <c r="W296" i="19"/>
  <c r="W238" i="19"/>
  <c r="W227" i="19"/>
  <c r="W319" i="19"/>
  <c r="W502" i="19"/>
  <c r="W390" i="19"/>
  <c r="W396" i="19"/>
  <c r="W248" i="19"/>
  <c r="W365" i="19"/>
  <c r="W228" i="19"/>
  <c r="W330" i="19"/>
  <c r="W208" i="19"/>
  <c r="W332" i="19"/>
  <c r="W246" i="19"/>
  <c r="W310" i="19"/>
  <c r="W490" i="19"/>
  <c r="W534" i="19"/>
  <c r="W551" i="19"/>
  <c r="W432" i="19"/>
  <c r="W479" i="19"/>
  <c r="W236" i="19"/>
  <c r="W527" i="19"/>
  <c r="W507" i="19"/>
  <c r="W357" i="19"/>
  <c r="W487" i="19"/>
  <c r="W262" i="19"/>
  <c r="W379" i="19"/>
  <c r="W315" i="19"/>
  <c r="W192" i="19"/>
  <c r="W402" i="19"/>
  <c r="W424" i="19"/>
  <c r="W529" i="19"/>
  <c r="W287" i="19"/>
  <c r="W501" i="19"/>
  <c r="W195" i="19"/>
  <c r="W509" i="19"/>
  <c r="W544" i="19"/>
  <c r="W339" i="19"/>
  <c r="W434" i="19"/>
  <c r="W247" i="19"/>
  <c r="P516" i="19" l="1"/>
  <c r="A518" i="23"/>
  <c r="D518" i="23" s="1"/>
  <c r="AP516" i="19"/>
  <c r="P241" i="19"/>
  <c r="A243" i="23"/>
  <c r="K243" i="23" s="1"/>
  <c r="AP241" i="19"/>
  <c r="P534" i="19"/>
  <c r="A536" i="23"/>
  <c r="D536" i="23" s="1"/>
  <c r="AP534" i="19"/>
  <c r="A338" i="23"/>
  <c r="K338" i="23" s="1"/>
  <c r="P336" i="19"/>
  <c r="AP336" i="19"/>
  <c r="P257" i="19"/>
  <c r="AP257" i="19"/>
  <c r="A259" i="23"/>
  <c r="D259" i="23" s="1"/>
  <c r="AP500" i="19"/>
  <c r="A502" i="23"/>
  <c r="K502" i="23" s="1"/>
  <c r="P500" i="19"/>
  <c r="A288" i="23"/>
  <c r="K288" i="23" s="1"/>
  <c r="P286" i="19"/>
  <c r="AP286" i="19"/>
  <c r="P208" i="19"/>
  <c r="AP208" i="19"/>
  <c r="A210" i="23"/>
  <c r="K210" i="23" s="1"/>
  <c r="P437" i="19"/>
  <c r="AP437" i="19"/>
  <c r="A439" i="23"/>
  <c r="K439" i="23" s="1"/>
  <c r="U535" i="19"/>
  <c r="C537" i="23"/>
  <c r="C520" i="23"/>
  <c r="U518" i="19"/>
  <c r="U340" i="19"/>
  <c r="C342" i="23"/>
  <c r="C264" i="23"/>
  <c r="U262" i="19"/>
  <c r="C206" i="23"/>
  <c r="U204" i="19"/>
  <c r="U212" i="19"/>
  <c r="C214" i="23"/>
  <c r="C489" i="23"/>
  <c r="U487" i="19"/>
  <c r="U329" i="19"/>
  <c r="C331" i="23"/>
  <c r="U292" i="19"/>
  <c r="C294" i="23"/>
  <c r="U196" i="19"/>
  <c r="C198" i="23"/>
  <c r="U538" i="19"/>
  <c r="C540" i="23"/>
  <c r="U360" i="19"/>
  <c r="C362" i="23"/>
  <c r="C284" i="23"/>
  <c r="U282" i="19"/>
  <c r="C226" i="23"/>
  <c r="U224" i="19"/>
  <c r="U393" i="19"/>
  <c r="C395" i="23"/>
  <c r="U507" i="19"/>
  <c r="C509" i="23"/>
  <c r="U349" i="19"/>
  <c r="C351" i="23"/>
  <c r="U452" i="19"/>
  <c r="C454" i="23"/>
  <c r="U197" i="19"/>
  <c r="C199" i="23"/>
  <c r="C441" i="23"/>
  <c r="U439" i="19"/>
  <c r="U341" i="19"/>
  <c r="C343" i="23"/>
  <c r="C265" i="23"/>
  <c r="U263" i="19"/>
  <c r="C207" i="23"/>
  <c r="U205" i="19"/>
  <c r="U392" i="19"/>
  <c r="C394" i="23"/>
  <c r="U488" i="19"/>
  <c r="C490" i="23"/>
  <c r="C212" i="23"/>
  <c r="U210" i="19"/>
  <c r="C453" i="23"/>
  <c r="U451" i="19"/>
  <c r="P283" i="19"/>
  <c r="A285" i="23"/>
  <c r="D285" i="23" s="1"/>
  <c r="AP283" i="19"/>
  <c r="A411" i="23"/>
  <c r="K411" i="23" s="1"/>
  <c r="AP409" i="19"/>
  <c r="P409" i="19"/>
  <c r="U435" i="19"/>
  <c r="C437" i="23"/>
  <c r="C420" i="23"/>
  <c r="U418" i="19"/>
  <c r="C242" i="23"/>
  <c r="U240" i="19"/>
  <c r="C257" i="23"/>
  <c r="U255" i="19"/>
  <c r="C525" i="23"/>
  <c r="U523" i="19"/>
  <c r="U465" i="19"/>
  <c r="C467" i="23"/>
  <c r="U387" i="19"/>
  <c r="C389" i="23"/>
  <c r="C231" i="23"/>
  <c r="U229" i="19"/>
  <c r="C472" i="23"/>
  <c r="U470" i="19"/>
  <c r="U455" i="19"/>
  <c r="C457" i="23"/>
  <c r="C440" i="23"/>
  <c r="U438" i="19"/>
  <c r="C262" i="23"/>
  <c r="U260" i="19"/>
  <c r="C299" i="23"/>
  <c r="U297" i="19"/>
  <c r="C545" i="23"/>
  <c r="U543" i="19"/>
  <c r="C487" i="23"/>
  <c r="U485" i="19"/>
  <c r="U407" i="19"/>
  <c r="C409" i="23"/>
  <c r="C251" i="23"/>
  <c r="U249" i="19"/>
  <c r="U490" i="19"/>
  <c r="C492" i="23"/>
  <c r="AP544" i="19"/>
  <c r="P544" i="19"/>
  <c r="A546" i="23"/>
  <c r="D546" i="23" s="1"/>
  <c r="P466" i="19"/>
  <c r="A468" i="23"/>
  <c r="K468" i="23" s="1"/>
  <c r="AP466" i="19"/>
  <c r="A353" i="23"/>
  <c r="K353" i="23" s="1"/>
  <c r="P351" i="19"/>
  <c r="AP351" i="19"/>
  <c r="U515" i="19"/>
  <c r="C517" i="23"/>
  <c r="C500" i="23"/>
  <c r="U498" i="19"/>
  <c r="U320" i="19"/>
  <c r="C322" i="23"/>
  <c r="U242" i="19"/>
  <c r="C244" i="23"/>
  <c r="U337" i="19"/>
  <c r="C339" i="23"/>
  <c r="C547" i="23"/>
  <c r="U545" i="19"/>
  <c r="U467" i="19"/>
  <c r="C469" i="23"/>
  <c r="C311" i="23"/>
  <c r="U309" i="19"/>
  <c r="U550" i="19"/>
  <c r="C552" i="23"/>
  <c r="A378" i="23"/>
  <c r="K378" i="23" s="1"/>
  <c r="AP376" i="19"/>
  <c r="P376" i="19"/>
  <c r="AP326" i="19"/>
  <c r="P326" i="19"/>
  <c r="A328" i="23"/>
  <c r="D328" i="23" s="1"/>
  <c r="A337" i="23"/>
  <c r="D337" i="23" s="1"/>
  <c r="P335" i="19"/>
  <c r="AP335" i="19"/>
  <c r="A360" i="23"/>
  <c r="D360" i="23" s="1"/>
  <c r="P358" i="19"/>
  <c r="AP358" i="19"/>
  <c r="U537" i="19"/>
  <c r="C539" i="23"/>
  <c r="C461" i="23"/>
  <c r="U459" i="19"/>
  <c r="C363" i="23"/>
  <c r="U361" i="19"/>
  <c r="C285" i="23"/>
  <c r="U283" i="19"/>
  <c r="U225" i="19"/>
  <c r="C227" i="23"/>
  <c r="C315" i="23"/>
  <c r="U313" i="19"/>
  <c r="U508" i="19"/>
  <c r="C510" i="23"/>
  <c r="C232" i="23"/>
  <c r="U230" i="19"/>
  <c r="U471" i="19"/>
  <c r="C473" i="23"/>
  <c r="A258" i="23"/>
  <c r="D258" i="23" s="1"/>
  <c r="P256" i="19"/>
  <c r="AP256" i="19"/>
  <c r="P206" i="19"/>
  <c r="AP206" i="19"/>
  <c r="A208" i="23"/>
  <c r="K208" i="23" s="1"/>
  <c r="P276" i="19"/>
  <c r="A278" i="23"/>
  <c r="K278" i="23" s="1"/>
  <c r="AP276" i="19"/>
  <c r="A516" i="23"/>
  <c r="K516" i="23" s="1"/>
  <c r="AP514" i="19"/>
  <c r="P514" i="19"/>
  <c r="AP460" i="19"/>
  <c r="A462" i="23"/>
  <c r="D462" i="23" s="1"/>
  <c r="P460" i="19"/>
  <c r="AP382" i="19"/>
  <c r="P382" i="19"/>
  <c r="A384" i="23"/>
  <c r="D384" i="23" s="1"/>
  <c r="Z516" i="19"/>
  <c r="P339" i="19"/>
  <c r="AP339" i="19"/>
  <c r="A341" i="23"/>
  <c r="K341" i="23" s="1"/>
  <c r="AP394" i="19"/>
  <c r="P394" i="19"/>
  <c r="A396" i="23"/>
  <c r="D396" i="23" s="1"/>
  <c r="P388" i="19"/>
  <c r="AP388" i="19"/>
  <c r="A390" i="23"/>
  <c r="D390" i="23" s="1"/>
  <c r="P520" i="19"/>
  <c r="AP520" i="19"/>
  <c r="A522" i="23"/>
  <c r="D522" i="23" s="1"/>
  <c r="AP306" i="19"/>
  <c r="A308" i="23"/>
  <c r="K308" i="23" s="1"/>
  <c r="P306" i="19"/>
  <c r="P228" i="19"/>
  <c r="A230" i="23"/>
  <c r="D230" i="23" s="1"/>
  <c r="AP228" i="19"/>
  <c r="A201" i="23"/>
  <c r="K201" i="23" s="1"/>
  <c r="AP199" i="19"/>
  <c r="P199" i="19"/>
  <c r="A542" i="23"/>
  <c r="K542" i="23" s="1"/>
  <c r="P540" i="19"/>
  <c r="AP540" i="19"/>
  <c r="P248" i="19"/>
  <c r="AP248" i="19"/>
  <c r="A250" i="23"/>
  <c r="K250" i="23" s="1"/>
  <c r="P396" i="19"/>
  <c r="AP396" i="19"/>
  <c r="A398" i="23"/>
  <c r="D398" i="23" s="1"/>
  <c r="P219" i="19"/>
  <c r="AP219" i="19"/>
  <c r="A221" i="23"/>
  <c r="K221" i="23" s="1"/>
  <c r="P372" i="19"/>
  <c r="AP372" i="19"/>
  <c r="A374" i="23"/>
  <c r="D374" i="23" s="1"/>
  <c r="A484" i="23"/>
  <c r="K484" i="23" s="1"/>
  <c r="P482" i="19"/>
  <c r="AP482" i="19"/>
  <c r="AP268" i="19"/>
  <c r="A270" i="23"/>
  <c r="K270" i="23" s="1"/>
  <c r="P268" i="19"/>
  <c r="P231" i="19"/>
  <c r="AP231" i="19"/>
  <c r="A233" i="23"/>
  <c r="K233" i="23" s="1"/>
  <c r="AP463" i="19"/>
  <c r="P463" i="19"/>
  <c r="A465" i="23"/>
  <c r="D465" i="23" s="1"/>
  <c r="A329" i="23"/>
  <c r="D329" i="23" s="1"/>
  <c r="P327" i="19"/>
  <c r="AP327" i="19"/>
  <c r="P373" i="19"/>
  <c r="A375" i="23"/>
  <c r="K375" i="23" s="1"/>
  <c r="AP373" i="19"/>
  <c r="C258" i="23"/>
  <c r="U256" i="19"/>
  <c r="C455" i="23"/>
  <c r="U453" i="19"/>
  <c r="U420" i="19"/>
  <c r="C422" i="23"/>
  <c r="C344" i="23"/>
  <c r="U342" i="19"/>
  <c r="C286" i="23"/>
  <c r="U284" i="19"/>
  <c r="U206" i="19"/>
  <c r="C208" i="23"/>
  <c r="U432" i="19"/>
  <c r="C434" i="23"/>
  <c r="C411" i="23"/>
  <c r="U409" i="19"/>
  <c r="C196" i="23"/>
  <c r="U194" i="19"/>
  <c r="A442" i="23"/>
  <c r="K442" i="23" s="1"/>
  <c r="AP440" i="19"/>
  <c r="P440" i="19"/>
  <c r="P362" i="19"/>
  <c r="A364" i="23"/>
  <c r="K364" i="23" s="1"/>
  <c r="AP362" i="19"/>
  <c r="P304" i="19"/>
  <c r="A306" i="23"/>
  <c r="D306" i="23" s="1"/>
  <c r="AP304" i="19"/>
  <c r="A297" i="23"/>
  <c r="D297" i="23" s="1"/>
  <c r="AP295" i="19"/>
  <c r="P295" i="19"/>
  <c r="AP246" i="19"/>
  <c r="A248" i="23"/>
  <c r="K248" i="23" s="1"/>
  <c r="P246" i="19"/>
  <c r="P449" i="19"/>
  <c r="A451" i="23"/>
  <c r="D451" i="23" s="1"/>
  <c r="AP449" i="19"/>
  <c r="A377" i="23"/>
  <c r="K377" i="23" s="1"/>
  <c r="P375" i="19"/>
  <c r="AP375" i="19"/>
  <c r="U516" i="19"/>
  <c r="C518" i="23"/>
  <c r="C341" i="23"/>
  <c r="U339" i="19"/>
  <c r="C243" i="23"/>
  <c r="U241" i="19"/>
  <c r="U394" i="19"/>
  <c r="C396" i="23"/>
  <c r="C546" i="23"/>
  <c r="U544" i="19"/>
  <c r="U466" i="19"/>
  <c r="C468" i="23"/>
  <c r="U388" i="19"/>
  <c r="C390" i="23"/>
  <c r="U534" i="19"/>
  <c r="C536" i="23"/>
  <c r="C353" i="23"/>
  <c r="U351" i="19"/>
  <c r="U336" i="19"/>
  <c r="C338" i="23"/>
  <c r="U257" i="19"/>
  <c r="C259" i="23"/>
  <c r="C502" i="23"/>
  <c r="U500" i="19"/>
  <c r="U422" i="19"/>
  <c r="C424" i="23"/>
  <c r="U364" i="19"/>
  <c r="C366" i="23"/>
  <c r="C288" i="23"/>
  <c r="U286" i="19"/>
  <c r="C210" i="23"/>
  <c r="U208" i="19"/>
  <c r="C491" i="23"/>
  <c r="U489" i="19"/>
  <c r="U437" i="19"/>
  <c r="C439" i="23"/>
  <c r="P356" i="19"/>
  <c r="A358" i="23"/>
  <c r="D358" i="23" s="1"/>
  <c r="AP356" i="19"/>
  <c r="AP404" i="19"/>
  <c r="A406" i="23"/>
  <c r="D406" i="23" s="1"/>
  <c r="P404" i="19"/>
  <c r="AP211" i="19"/>
  <c r="P211" i="19"/>
  <c r="A213" i="23"/>
  <c r="K213" i="23" s="1"/>
  <c r="P424" i="19"/>
  <c r="AP424" i="19"/>
  <c r="A426" i="23"/>
  <c r="K426" i="23" s="1"/>
  <c r="A348" i="23"/>
  <c r="K348" i="23" s="1"/>
  <c r="P346" i="19"/>
  <c r="AP346" i="19"/>
  <c r="P549" i="19"/>
  <c r="AP549" i="19"/>
  <c r="A551" i="23"/>
  <c r="K551" i="23" s="1"/>
  <c r="AP541" i="19"/>
  <c r="P541" i="19"/>
  <c r="A543" i="23"/>
  <c r="K543" i="23" s="1"/>
  <c r="AP355" i="19"/>
  <c r="P355" i="19"/>
  <c r="A357" i="23"/>
  <c r="K357" i="23" s="1"/>
  <c r="A397" i="23"/>
  <c r="D397" i="23" s="1"/>
  <c r="AP395" i="19"/>
  <c r="P395" i="19"/>
  <c r="A485" i="23"/>
  <c r="K485" i="23" s="1"/>
  <c r="AP483" i="19"/>
  <c r="P483" i="19"/>
  <c r="A427" i="23"/>
  <c r="K427" i="23" s="1"/>
  <c r="AP425" i="19"/>
  <c r="P425" i="19"/>
  <c r="A349" i="23"/>
  <c r="D349" i="23" s="1"/>
  <c r="AP347" i="19"/>
  <c r="P347" i="19"/>
  <c r="A281" i="23"/>
  <c r="K281" i="23" s="1"/>
  <c r="P279" i="19"/>
  <c r="AP279" i="19"/>
  <c r="AP497" i="19"/>
  <c r="A499" i="23"/>
  <c r="D499" i="23" s="1"/>
  <c r="P497" i="19"/>
  <c r="AP226" i="19"/>
  <c r="P226" i="19"/>
  <c r="A228" i="23"/>
  <c r="K228" i="23" s="1"/>
  <c r="A215" i="23"/>
  <c r="D215" i="23" s="1"/>
  <c r="P213" i="19"/>
  <c r="AP213" i="19"/>
  <c r="A431" i="23"/>
  <c r="K431" i="23" s="1"/>
  <c r="P429" i="19"/>
  <c r="AP429" i="19"/>
  <c r="AP434" i="19"/>
  <c r="P434" i="19"/>
  <c r="A436" i="23"/>
  <c r="K436" i="23" s="1"/>
  <c r="P227" i="19"/>
  <c r="AP227" i="19"/>
  <c r="A229" i="23"/>
  <c r="K229" i="23" s="1"/>
  <c r="AP359" i="19"/>
  <c r="A361" i="23"/>
  <c r="K361" i="23" s="1"/>
  <c r="P359" i="19"/>
  <c r="A488" i="23"/>
  <c r="K488" i="23" s="1"/>
  <c r="P486" i="19"/>
  <c r="AP486" i="19"/>
  <c r="A317" i="23"/>
  <c r="D317" i="23" s="1"/>
  <c r="AP315" i="19"/>
  <c r="P315" i="19"/>
  <c r="A444" i="23"/>
  <c r="K444" i="23" s="1"/>
  <c r="P442" i="19"/>
  <c r="AP442" i="19"/>
  <c r="AP384" i="19"/>
  <c r="A386" i="23"/>
  <c r="D386" i="23" s="1"/>
  <c r="P384" i="19"/>
  <c r="A511" i="23"/>
  <c r="D511" i="23" s="1"/>
  <c r="P509" i="19"/>
  <c r="AP509" i="19"/>
  <c r="P191" i="19"/>
  <c r="AP191" i="19"/>
  <c r="A193" i="23"/>
  <c r="K193" i="23" s="1"/>
  <c r="P462" i="19"/>
  <c r="AP462" i="19"/>
  <c r="A464" i="23"/>
  <c r="D464" i="23" s="1"/>
  <c r="P529" i="19"/>
  <c r="AP529" i="19"/>
  <c r="A531" i="23"/>
  <c r="K531" i="23" s="1"/>
  <c r="P277" i="19"/>
  <c r="A279" i="23"/>
  <c r="K279" i="23" s="1"/>
  <c r="AP277" i="19"/>
  <c r="A407" i="23"/>
  <c r="K407" i="23" s="1"/>
  <c r="AP405" i="19"/>
  <c r="P405" i="19"/>
  <c r="A412" i="23"/>
  <c r="K412" i="23" s="1"/>
  <c r="P410" i="19"/>
  <c r="AP410" i="19"/>
  <c r="A380" i="23"/>
  <c r="K380" i="23" s="1"/>
  <c r="P378" i="19"/>
  <c r="AP378" i="19"/>
  <c r="AP200" i="19"/>
  <c r="P200" i="19"/>
  <c r="A202" i="23"/>
  <c r="K202" i="23" s="1"/>
  <c r="A399" i="23"/>
  <c r="K399" i="23" s="1"/>
  <c r="AP397" i="19"/>
  <c r="P397" i="19"/>
  <c r="P430" i="19"/>
  <c r="A432" i="23"/>
  <c r="K432" i="23" s="1"/>
  <c r="AP430" i="19"/>
  <c r="AP456" i="19"/>
  <c r="A458" i="23"/>
  <c r="D458" i="23" s="1"/>
  <c r="P456" i="19"/>
  <c r="P542" i="19"/>
  <c r="A544" i="23"/>
  <c r="K544" i="23" s="1"/>
  <c r="AP542" i="19"/>
  <c r="A408" i="23"/>
  <c r="D408" i="23" s="1"/>
  <c r="AP406" i="19"/>
  <c r="P406" i="19"/>
  <c r="A476" i="23"/>
  <c r="D476" i="23" s="1"/>
  <c r="P474" i="19"/>
  <c r="AP474" i="19"/>
  <c r="AP296" i="19"/>
  <c r="P296" i="19"/>
  <c r="A298" i="23"/>
  <c r="K298" i="23" s="1"/>
  <c r="P324" i="19"/>
  <c r="AP324" i="19"/>
  <c r="A326" i="23"/>
  <c r="D326" i="23" s="1"/>
  <c r="AP512" i="19"/>
  <c r="A514" i="23"/>
  <c r="K514" i="23" s="1"/>
  <c r="P512" i="19"/>
  <c r="A541" i="23"/>
  <c r="K541" i="23" s="1"/>
  <c r="AP539" i="19"/>
  <c r="P539" i="19"/>
  <c r="P441" i="19"/>
  <c r="A443" i="23"/>
  <c r="K443" i="23" s="1"/>
  <c r="AP441" i="19"/>
  <c r="A365" i="23"/>
  <c r="K365" i="23" s="1"/>
  <c r="P363" i="19"/>
  <c r="AP363" i="19"/>
  <c r="P408" i="19"/>
  <c r="AP408" i="19"/>
  <c r="A410" i="23"/>
  <c r="D410" i="23" s="1"/>
  <c r="AP517" i="19"/>
  <c r="P517" i="19"/>
  <c r="A519" i="23"/>
  <c r="K519" i="23" s="1"/>
  <c r="C378" i="23"/>
  <c r="U376" i="19"/>
  <c r="C201" i="23"/>
  <c r="U199" i="19"/>
  <c r="U540" i="19"/>
  <c r="C542" i="23"/>
  <c r="C464" i="23"/>
  <c r="U462" i="19"/>
  <c r="C406" i="23"/>
  <c r="U404" i="19"/>
  <c r="C328" i="23"/>
  <c r="U326" i="19"/>
  <c r="U248" i="19"/>
  <c r="C250" i="23"/>
  <c r="C531" i="23"/>
  <c r="U529" i="19"/>
  <c r="C213" i="23"/>
  <c r="U211" i="19"/>
  <c r="U396" i="19"/>
  <c r="C398" i="23"/>
  <c r="U219" i="19"/>
  <c r="C221" i="23"/>
  <c r="C374" i="23"/>
  <c r="U372" i="19"/>
  <c r="C484" i="23"/>
  <c r="U482" i="19"/>
  <c r="U424" i="19"/>
  <c r="C426" i="23"/>
  <c r="U346" i="19"/>
  <c r="C348" i="23"/>
  <c r="C270" i="23"/>
  <c r="U268" i="19"/>
  <c r="C551" i="23"/>
  <c r="U549" i="19"/>
  <c r="U231" i="19"/>
  <c r="C233" i="23"/>
  <c r="C337" i="23"/>
  <c r="U335" i="19"/>
  <c r="U358" i="19"/>
  <c r="C360" i="23"/>
  <c r="C279" i="23"/>
  <c r="U277" i="19"/>
  <c r="C543" i="23"/>
  <c r="U541" i="19"/>
  <c r="C465" i="23"/>
  <c r="U463" i="19"/>
  <c r="U405" i="19"/>
  <c r="C407" i="23"/>
  <c r="U327" i="19"/>
  <c r="C329" i="23"/>
  <c r="C357" i="23"/>
  <c r="U355" i="19"/>
  <c r="C412" i="23"/>
  <c r="U410" i="19"/>
  <c r="A486" i="23"/>
  <c r="K486" i="23" s="1"/>
  <c r="AP484" i="19"/>
  <c r="P484" i="19"/>
  <c r="P273" i="19"/>
  <c r="AP273" i="19"/>
  <c r="A275" i="23"/>
  <c r="D275" i="23" s="1"/>
  <c r="AP291" i="19"/>
  <c r="A293" i="23"/>
  <c r="D293" i="23" s="1"/>
  <c r="P291" i="19"/>
  <c r="C278" i="23"/>
  <c r="U276" i="19"/>
  <c r="C476" i="23"/>
  <c r="U474" i="19"/>
  <c r="C442" i="23"/>
  <c r="U440" i="19"/>
  <c r="C364" i="23"/>
  <c r="U362" i="19"/>
  <c r="C306" i="23"/>
  <c r="U304" i="19"/>
  <c r="C228" i="23"/>
  <c r="U226" i="19"/>
  <c r="C215" i="23"/>
  <c r="U213" i="19"/>
  <c r="U429" i="19"/>
  <c r="C431" i="23"/>
  <c r="C516" i="23"/>
  <c r="U514" i="19"/>
  <c r="C298" i="23"/>
  <c r="U296" i="19"/>
  <c r="C297" i="23"/>
  <c r="U295" i="19"/>
  <c r="C462" i="23"/>
  <c r="U460" i="19"/>
  <c r="C384" i="23"/>
  <c r="U382" i="19"/>
  <c r="C326" i="23"/>
  <c r="U324" i="19"/>
  <c r="C248" i="23"/>
  <c r="U246" i="19"/>
  <c r="C436" i="23"/>
  <c r="U434" i="19"/>
  <c r="U449" i="19"/>
  <c r="C451" i="23"/>
  <c r="C377" i="23"/>
  <c r="U375" i="19"/>
  <c r="P258" i="19"/>
  <c r="AP258" i="19"/>
  <c r="A260" i="23"/>
  <c r="K260" i="23" s="1"/>
  <c r="P305" i="19"/>
  <c r="AP305" i="19"/>
  <c r="A307" i="23"/>
  <c r="K307" i="23" s="1"/>
  <c r="A312" i="23"/>
  <c r="K312" i="23" s="1"/>
  <c r="P310" i="19"/>
  <c r="AP310" i="19"/>
  <c r="AP551" i="19"/>
  <c r="P551" i="19"/>
  <c r="A553" i="23"/>
  <c r="K553" i="23" s="1"/>
  <c r="A538" i="23"/>
  <c r="K538" i="23" s="1"/>
  <c r="P536" i="19"/>
  <c r="AP536" i="19"/>
  <c r="P261" i="19"/>
  <c r="AP261" i="19"/>
  <c r="A263" i="23"/>
  <c r="D263" i="23" s="1"/>
  <c r="A459" i="23"/>
  <c r="D459" i="23" s="1"/>
  <c r="P457" i="19"/>
  <c r="AP457" i="19"/>
  <c r="P371" i="19"/>
  <c r="AP371" i="19"/>
  <c r="A373" i="23"/>
  <c r="D373" i="23" s="1"/>
  <c r="C358" i="23"/>
  <c r="U356" i="19"/>
  <c r="U517" i="19"/>
  <c r="C519" i="23"/>
  <c r="U520" i="19"/>
  <c r="C522" i="23"/>
  <c r="C444" i="23"/>
  <c r="U442" i="19"/>
  <c r="U384" i="19"/>
  <c r="C386" i="23"/>
  <c r="C308" i="23"/>
  <c r="U306" i="19"/>
  <c r="U228" i="19"/>
  <c r="C230" i="23"/>
  <c r="C511" i="23"/>
  <c r="U509" i="19"/>
  <c r="U191" i="19"/>
  <c r="C193" i="23"/>
  <c r="AP321" i="19"/>
  <c r="P321" i="19"/>
  <c r="A323" i="23"/>
  <c r="K323" i="23" s="1"/>
  <c r="P243" i="19"/>
  <c r="A245" i="23"/>
  <c r="K245" i="23" s="1"/>
  <c r="AP243" i="19"/>
  <c r="A470" i="23"/>
  <c r="K470" i="23" s="1"/>
  <c r="AP468" i="19"/>
  <c r="P468" i="19"/>
  <c r="AP190" i="19"/>
  <c r="A192" i="23"/>
  <c r="K192" i="23" s="1"/>
  <c r="P190" i="19"/>
  <c r="P216" i="19"/>
  <c r="A218" i="23"/>
  <c r="K218" i="23" s="1"/>
  <c r="AP216" i="19"/>
  <c r="P252" i="19"/>
  <c r="A254" i="23"/>
  <c r="D254" i="23" s="1"/>
  <c r="AP252" i="19"/>
  <c r="A195" i="23"/>
  <c r="D195" i="23" s="1"/>
  <c r="AP193" i="19"/>
  <c r="P193" i="19"/>
  <c r="U395" i="19"/>
  <c r="C397" i="23"/>
  <c r="C380" i="23"/>
  <c r="U378" i="19"/>
  <c r="U200" i="19"/>
  <c r="C202" i="23"/>
  <c r="U373" i="19"/>
  <c r="C375" i="23"/>
  <c r="C485" i="23"/>
  <c r="U483" i="19"/>
  <c r="U425" i="19"/>
  <c r="C427" i="23"/>
  <c r="C349" i="23"/>
  <c r="U347" i="19"/>
  <c r="C399" i="23"/>
  <c r="U397" i="19"/>
  <c r="C432" i="23"/>
  <c r="U430" i="19"/>
  <c r="Z456" i="19"/>
  <c r="AP328" i="19"/>
  <c r="A330" i="23"/>
  <c r="K330" i="23" s="1"/>
  <c r="P328" i="19"/>
  <c r="A428" i="23"/>
  <c r="D428" i="23" s="1"/>
  <c r="P426" i="19"/>
  <c r="AP426" i="19"/>
  <c r="A535" i="23"/>
  <c r="K535" i="23" s="1"/>
  <c r="AP533" i="19"/>
  <c r="P533" i="19"/>
  <c r="AP319" i="19"/>
  <c r="A321" i="23"/>
  <c r="K321" i="23" s="1"/>
  <c r="P319" i="19"/>
  <c r="Z214" i="19"/>
  <c r="A333" i="23"/>
  <c r="K333" i="23" s="1"/>
  <c r="P331" i="19"/>
  <c r="AP331" i="19"/>
  <c r="A494" i="23"/>
  <c r="K494" i="23" s="1"/>
  <c r="P492" i="19"/>
  <c r="AP492" i="19"/>
  <c r="Z551" i="19"/>
  <c r="P192" i="19"/>
  <c r="AP192" i="19"/>
  <c r="A194" i="23"/>
  <c r="K194" i="23" s="1"/>
  <c r="Z486" i="19"/>
  <c r="AP412" i="19"/>
  <c r="A414" i="23"/>
  <c r="D414" i="23" s="1"/>
  <c r="P412" i="19"/>
  <c r="A430" i="23"/>
  <c r="K430" i="23" s="1"/>
  <c r="P428" i="19"/>
  <c r="AP428" i="19"/>
  <c r="A393" i="23"/>
  <c r="K393" i="23" s="1"/>
  <c r="P391" i="19"/>
  <c r="AP391" i="19"/>
  <c r="P223" i="19"/>
  <c r="A225" i="23"/>
  <c r="D225" i="23" s="1"/>
  <c r="AP223" i="19"/>
  <c r="AP448" i="19"/>
  <c r="A450" i="23"/>
  <c r="D450" i="23" s="1"/>
  <c r="P448" i="19"/>
  <c r="P374" i="19"/>
  <c r="AP374" i="19"/>
  <c r="A376" i="23"/>
  <c r="K376" i="23" s="1"/>
  <c r="A548" i="23"/>
  <c r="D548" i="23" s="1"/>
  <c r="P546" i="19"/>
  <c r="AP546" i="19"/>
  <c r="A304" i="23"/>
  <c r="K304" i="23" s="1"/>
  <c r="P302" i="19"/>
  <c r="AP302" i="19"/>
  <c r="AP244" i="19"/>
  <c r="A246" i="23"/>
  <c r="D246" i="23" s="1"/>
  <c r="P244" i="19"/>
  <c r="P334" i="19"/>
  <c r="AP334" i="19"/>
  <c r="A336" i="23"/>
  <c r="D336" i="23" s="1"/>
  <c r="A371" i="23"/>
  <c r="K371" i="23" s="1"/>
  <c r="AP369" i="19"/>
  <c r="P369" i="19"/>
  <c r="AP264" i="19"/>
  <c r="A266" i="23"/>
  <c r="D266" i="23" s="1"/>
  <c r="P264" i="19"/>
  <c r="A319" i="23"/>
  <c r="D319" i="23" s="1"/>
  <c r="P317" i="19"/>
  <c r="AP317" i="19"/>
  <c r="U456" i="19"/>
  <c r="C458" i="23"/>
  <c r="U279" i="19"/>
  <c r="C281" i="23"/>
  <c r="C499" i="23"/>
  <c r="U497" i="19"/>
  <c r="U542" i="19"/>
  <c r="C544" i="23"/>
  <c r="C486" i="23"/>
  <c r="U484" i="19"/>
  <c r="U406" i="19"/>
  <c r="C408" i="23"/>
  <c r="C330" i="23"/>
  <c r="U328" i="19"/>
  <c r="U273" i="19"/>
  <c r="C275" i="23"/>
  <c r="C293" i="23"/>
  <c r="U291" i="19"/>
  <c r="P476" i="19"/>
  <c r="A478" i="23"/>
  <c r="K478" i="23" s="1"/>
  <c r="AP476" i="19"/>
  <c r="AP299" i="19"/>
  <c r="P299" i="19"/>
  <c r="A301" i="23"/>
  <c r="D301" i="23" s="1"/>
  <c r="A498" i="23"/>
  <c r="K498" i="23" s="1"/>
  <c r="AP496" i="19"/>
  <c r="P496" i="19"/>
  <c r="AP221" i="19"/>
  <c r="P221" i="19"/>
  <c r="A223" i="23"/>
  <c r="K223" i="23" s="1"/>
  <c r="AP333" i="19"/>
  <c r="P333" i="19"/>
  <c r="A335" i="23"/>
  <c r="K335" i="23" s="1"/>
  <c r="AP214" i="19"/>
  <c r="A216" i="23"/>
  <c r="K216" i="23" s="1"/>
  <c r="P214" i="19"/>
  <c r="C514" i="23"/>
  <c r="U512" i="19"/>
  <c r="U258" i="19"/>
  <c r="C260" i="23"/>
  <c r="C541" i="23"/>
  <c r="U539" i="19"/>
  <c r="C443" i="23"/>
  <c r="U441" i="19"/>
  <c r="U363" i="19"/>
  <c r="C365" i="23"/>
  <c r="C307" i="23"/>
  <c r="U305" i="19"/>
  <c r="C229" i="23"/>
  <c r="U227" i="19"/>
  <c r="U492" i="19"/>
  <c r="C494" i="23"/>
  <c r="C312" i="23"/>
  <c r="U310" i="19"/>
  <c r="C553" i="23"/>
  <c r="U551" i="19"/>
  <c r="U536" i="19"/>
  <c r="C538" i="23"/>
  <c r="C361" i="23"/>
  <c r="U359" i="19"/>
  <c r="C263" i="23"/>
  <c r="U261" i="19"/>
  <c r="U457" i="19"/>
  <c r="C459" i="23"/>
  <c r="U192" i="19"/>
  <c r="C194" i="23"/>
  <c r="U486" i="19"/>
  <c r="C488" i="23"/>
  <c r="C410" i="23"/>
  <c r="U408" i="19"/>
  <c r="C317" i="23"/>
  <c r="U315" i="19"/>
  <c r="C373" i="23"/>
  <c r="U371" i="19"/>
  <c r="AP506" i="19"/>
  <c r="A508" i="23"/>
  <c r="K508" i="23" s="1"/>
  <c r="P506" i="19"/>
  <c r="A419" i="23"/>
  <c r="K419" i="23" s="1"/>
  <c r="AP417" i="19"/>
  <c r="P417" i="19"/>
  <c r="AP253" i="19"/>
  <c r="A255" i="23"/>
  <c r="D255" i="23" s="1"/>
  <c r="P253" i="19"/>
  <c r="P399" i="19"/>
  <c r="AP399" i="19"/>
  <c r="A401" i="23"/>
  <c r="D401" i="23" s="1"/>
  <c r="A303" i="23"/>
  <c r="K303" i="23" s="1"/>
  <c r="P301" i="19"/>
  <c r="AP301" i="19"/>
  <c r="AP207" i="19"/>
  <c r="A209" i="23"/>
  <c r="K209" i="23" s="1"/>
  <c r="P207" i="19"/>
  <c r="A413" i="23"/>
  <c r="D413" i="23" s="1"/>
  <c r="P411" i="19"/>
  <c r="AP411" i="19"/>
  <c r="P419" i="19"/>
  <c r="A421" i="23"/>
  <c r="D421" i="23" s="1"/>
  <c r="AP419" i="19"/>
  <c r="A359" i="23"/>
  <c r="K359" i="23" s="1"/>
  <c r="P357" i="19"/>
  <c r="AP357" i="19"/>
  <c r="P431" i="19"/>
  <c r="AP431" i="19"/>
  <c r="A433" i="23"/>
  <c r="K433" i="23" s="1"/>
  <c r="AP527" i="19"/>
  <c r="P527" i="19"/>
  <c r="A529" i="23"/>
  <c r="K529" i="23" s="1"/>
  <c r="A238" i="23"/>
  <c r="D238" i="23" s="1"/>
  <c r="P236" i="19"/>
  <c r="AP236" i="19"/>
  <c r="P400" i="19"/>
  <c r="AP400" i="19"/>
  <c r="A402" i="23"/>
  <c r="K402" i="23" s="1"/>
  <c r="A324" i="23"/>
  <c r="D324" i="23" s="1"/>
  <c r="P322" i="19"/>
  <c r="AP322" i="19"/>
  <c r="AP389" i="19"/>
  <c r="A391" i="23"/>
  <c r="D391" i="23" s="1"/>
  <c r="P389" i="19"/>
  <c r="A247" i="23"/>
  <c r="K247" i="23" s="1"/>
  <c r="P245" i="19"/>
  <c r="AP245" i="19"/>
  <c r="P274" i="19"/>
  <c r="A276" i="23"/>
  <c r="D276" i="23" s="1"/>
  <c r="AP274" i="19"/>
  <c r="A252" i="23"/>
  <c r="D252" i="23" s="1"/>
  <c r="P250" i="19"/>
  <c r="AP250" i="19"/>
  <c r="A203" i="23"/>
  <c r="K203" i="23" s="1"/>
  <c r="P201" i="19"/>
  <c r="AP201" i="19"/>
  <c r="AP352" i="19"/>
  <c r="A354" i="23"/>
  <c r="D354" i="23" s="1"/>
  <c r="P352" i="19"/>
  <c r="P348" i="19"/>
  <c r="A350" i="23"/>
  <c r="K350" i="23" s="1"/>
  <c r="AP348" i="19"/>
  <c r="P311" i="19"/>
  <c r="AP311" i="19"/>
  <c r="A313" i="23"/>
  <c r="K313" i="23" s="1"/>
  <c r="P524" i="19"/>
  <c r="AP524" i="19"/>
  <c r="A526" i="23"/>
  <c r="K526" i="23" s="1"/>
  <c r="A370" i="23"/>
  <c r="K370" i="23" s="1"/>
  <c r="P368" i="19"/>
  <c r="AP368" i="19"/>
  <c r="AP458" i="19"/>
  <c r="A460" i="23"/>
  <c r="D460" i="23" s="1"/>
  <c r="P458" i="19"/>
  <c r="AP280" i="19"/>
  <c r="A282" i="23"/>
  <c r="D282" i="23" s="1"/>
  <c r="P280" i="19"/>
  <c r="P505" i="19"/>
  <c r="A507" i="23"/>
  <c r="K507" i="23" s="1"/>
  <c r="AP505" i="19"/>
  <c r="A512" i="23"/>
  <c r="D512" i="23" s="1"/>
  <c r="P510" i="19"/>
  <c r="AP510" i="19"/>
  <c r="A280" i="23"/>
  <c r="K280" i="23" s="1"/>
  <c r="AP278" i="19"/>
  <c r="P278" i="19"/>
  <c r="A249" i="23"/>
  <c r="D249" i="23" s="1"/>
  <c r="AP247" i="19"/>
  <c r="P247" i="19"/>
  <c r="A381" i="23"/>
  <c r="D381" i="23" s="1"/>
  <c r="AP379" i="19"/>
  <c r="P379" i="19"/>
  <c r="AP433" i="19"/>
  <c r="P433" i="19"/>
  <c r="A435" i="23"/>
  <c r="D435" i="23" s="1"/>
  <c r="AP354" i="19"/>
  <c r="P354" i="19"/>
  <c r="A356" i="23"/>
  <c r="K356" i="23" s="1"/>
  <c r="A528" i="23"/>
  <c r="K528" i="23" s="1"/>
  <c r="AP526" i="19"/>
  <c r="P526" i="19"/>
  <c r="Z411" i="19"/>
  <c r="Z357" i="19"/>
  <c r="Z546" i="19"/>
  <c r="Z468" i="19"/>
  <c r="AP380" i="19"/>
  <c r="A382" i="23"/>
  <c r="D382" i="23" s="1"/>
  <c r="P380" i="19"/>
  <c r="P532" i="19"/>
  <c r="A534" i="23"/>
  <c r="D534" i="23" s="1"/>
  <c r="AP532" i="19"/>
  <c r="AP547" i="19"/>
  <c r="P547" i="19"/>
  <c r="A549" i="23"/>
  <c r="D549" i="23" s="1"/>
  <c r="A481" i="23"/>
  <c r="K481" i="23" s="1"/>
  <c r="P479" i="19"/>
  <c r="AP479" i="19"/>
  <c r="P381" i="19"/>
  <c r="A383" i="23"/>
  <c r="K383" i="23" s="1"/>
  <c r="AP381" i="19"/>
  <c r="P303" i="19"/>
  <c r="A305" i="23"/>
  <c r="D305" i="23" s="1"/>
  <c r="AP303" i="19"/>
  <c r="P504" i="19"/>
  <c r="A506" i="23"/>
  <c r="D506" i="23" s="1"/>
  <c r="AP504" i="19"/>
  <c r="AP446" i="19"/>
  <c r="A448" i="23"/>
  <c r="D448" i="23" s="1"/>
  <c r="P446" i="19"/>
  <c r="AP413" i="19"/>
  <c r="A415" i="23"/>
  <c r="D415" i="23" s="1"/>
  <c r="P413" i="19"/>
  <c r="AP269" i="19"/>
  <c r="P269" i="19"/>
  <c r="A271" i="23"/>
  <c r="D271" i="23" s="1"/>
  <c r="P461" i="19"/>
  <c r="A463" i="23"/>
  <c r="D463" i="23" s="1"/>
  <c r="AP461" i="19"/>
  <c r="P325" i="19"/>
  <c r="AP325" i="19"/>
  <c r="A327" i="23"/>
  <c r="D327" i="23" s="1"/>
  <c r="A235" i="23"/>
  <c r="K235" i="23" s="1"/>
  <c r="AP233" i="19"/>
  <c r="P233" i="19"/>
  <c r="P330" i="19"/>
  <c r="A332" i="23"/>
  <c r="K332" i="23" s="1"/>
  <c r="AP330" i="19"/>
  <c r="AP281" i="19"/>
  <c r="A283" i="23"/>
  <c r="D283" i="23" s="1"/>
  <c r="P281" i="19"/>
  <c r="A205" i="23"/>
  <c r="K205" i="23" s="1"/>
  <c r="P203" i="19"/>
  <c r="AP203" i="19"/>
  <c r="Z433" i="19"/>
  <c r="C255" i="23"/>
  <c r="U253" i="19"/>
  <c r="C401" i="23"/>
  <c r="U399" i="19"/>
  <c r="U301" i="19"/>
  <c r="C303" i="23"/>
  <c r="C225" i="23"/>
  <c r="U223" i="19"/>
  <c r="U354" i="19"/>
  <c r="C356" i="23"/>
  <c r="C528" i="23"/>
  <c r="U526" i="19"/>
  <c r="U448" i="19"/>
  <c r="C450" i="23"/>
  <c r="U207" i="19"/>
  <c r="C209" i="23"/>
  <c r="C413" i="23"/>
  <c r="U411" i="19"/>
  <c r="C376" i="23"/>
  <c r="U374" i="19"/>
  <c r="U419" i="19"/>
  <c r="C421" i="23"/>
  <c r="C323" i="23"/>
  <c r="U321" i="19"/>
  <c r="C245" i="23"/>
  <c r="U243" i="19"/>
  <c r="C359" i="23"/>
  <c r="U357" i="19"/>
  <c r="U546" i="19"/>
  <c r="C548" i="23"/>
  <c r="C470" i="23"/>
  <c r="U468" i="19"/>
  <c r="C192" i="23"/>
  <c r="U190" i="19"/>
  <c r="C433" i="23"/>
  <c r="U431" i="19"/>
  <c r="U216" i="19"/>
  <c r="C218" i="23"/>
  <c r="C254" i="23"/>
  <c r="U252" i="19"/>
  <c r="U380" i="19"/>
  <c r="C382" i="23"/>
  <c r="U302" i="19"/>
  <c r="C304" i="23"/>
  <c r="U244" i="19"/>
  <c r="C246" i="23"/>
  <c r="C336" i="23"/>
  <c r="U334" i="19"/>
  <c r="C529" i="23"/>
  <c r="U527" i="19"/>
  <c r="U369" i="19"/>
  <c r="C371" i="23"/>
  <c r="C195" i="23"/>
  <c r="U193" i="19"/>
  <c r="Z322" i="19"/>
  <c r="P513" i="19"/>
  <c r="AP513" i="19"/>
  <c r="A515" i="23"/>
  <c r="K515" i="23" s="1"/>
  <c r="A200" i="23"/>
  <c r="K200" i="23" s="1"/>
  <c r="P198" i="19"/>
  <c r="AP198" i="19"/>
  <c r="P528" i="19"/>
  <c r="AP528" i="19"/>
  <c r="A530" i="23"/>
  <c r="K530" i="23" s="1"/>
  <c r="AP491" i="19"/>
  <c r="A493" i="23"/>
  <c r="D493" i="23" s="1"/>
  <c r="P491" i="19"/>
  <c r="C478" i="23"/>
  <c r="U476" i="19"/>
  <c r="U299" i="19"/>
  <c r="C301" i="23"/>
  <c r="C203" i="23"/>
  <c r="U201" i="19"/>
  <c r="U352" i="19"/>
  <c r="C354" i="23"/>
  <c r="C506" i="23"/>
  <c r="U504" i="19"/>
  <c r="C428" i="23"/>
  <c r="U426" i="19"/>
  <c r="C350" i="23"/>
  <c r="U348" i="19"/>
  <c r="C535" i="23"/>
  <c r="U533" i="19"/>
  <c r="U311" i="19"/>
  <c r="C313" i="23"/>
  <c r="C498" i="23"/>
  <c r="U496" i="19"/>
  <c r="C321" i="23"/>
  <c r="U319" i="19"/>
  <c r="C223" i="23"/>
  <c r="U221" i="19"/>
  <c r="C335" i="23"/>
  <c r="U333" i="19"/>
  <c r="U524" i="19"/>
  <c r="C526" i="23"/>
  <c r="U446" i="19"/>
  <c r="C448" i="23"/>
  <c r="C370" i="23"/>
  <c r="U368" i="19"/>
  <c r="U214" i="19"/>
  <c r="C216" i="23"/>
  <c r="U331" i="19"/>
  <c r="C333" i="23"/>
  <c r="P475" i="19"/>
  <c r="AP475" i="19"/>
  <c r="A477" i="23"/>
  <c r="D477" i="23" s="1"/>
  <c r="A204" i="23"/>
  <c r="K204" i="23" s="1"/>
  <c r="P202" i="19"/>
  <c r="AP202" i="19"/>
  <c r="AP427" i="19"/>
  <c r="A429" i="23"/>
  <c r="D429" i="23" s="1"/>
  <c r="P427" i="19"/>
  <c r="A495" i="23"/>
  <c r="K495" i="23" s="1"/>
  <c r="P493" i="19"/>
  <c r="AP493" i="19"/>
  <c r="A334" i="23"/>
  <c r="K334" i="23" s="1"/>
  <c r="P332" i="19"/>
  <c r="AP332" i="19"/>
  <c r="U412" i="19"/>
  <c r="C414" i="23"/>
  <c r="U379" i="19"/>
  <c r="C381" i="23"/>
  <c r="U281" i="19"/>
  <c r="C283" i="23"/>
  <c r="C205" i="23"/>
  <c r="U203" i="19"/>
  <c r="C435" i="23"/>
  <c r="U433" i="19"/>
  <c r="U506" i="19"/>
  <c r="C508" i="23"/>
  <c r="U428" i="19"/>
  <c r="C430" i="23"/>
  <c r="U417" i="19"/>
  <c r="C419" i="23"/>
  <c r="C393" i="23"/>
  <c r="U391" i="19"/>
  <c r="P195" i="19"/>
  <c r="A197" i="23"/>
  <c r="D197" i="23" s="1"/>
  <c r="AP195" i="19"/>
  <c r="A503" i="23"/>
  <c r="D503" i="23" s="1"/>
  <c r="P501" i="19"/>
  <c r="AP501" i="19"/>
  <c r="AP287" i="19"/>
  <c r="A289" i="23"/>
  <c r="K289" i="23" s="1"/>
  <c r="P287" i="19"/>
  <c r="P338" i="19"/>
  <c r="A340" i="23"/>
  <c r="K340" i="23" s="1"/>
  <c r="AP338" i="19"/>
  <c r="AP215" i="19"/>
  <c r="P215" i="19"/>
  <c r="A217" i="23"/>
  <c r="K217" i="23" s="1"/>
  <c r="Z521" i="19"/>
  <c r="AP307" i="19"/>
  <c r="P307" i="19"/>
  <c r="A309" i="23"/>
  <c r="D309" i="23" s="1"/>
  <c r="A456" i="23"/>
  <c r="D456" i="23" s="1"/>
  <c r="P454" i="19"/>
  <c r="AP454" i="19"/>
  <c r="AP390" i="19"/>
  <c r="A392" i="23"/>
  <c r="K392" i="23" s="1"/>
  <c r="P390" i="19"/>
  <c r="A241" i="23"/>
  <c r="K241" i="23" s="1"/>
  <c r="AP239" i="19"/>
  <c r="P239" i="19"/>
  <c r="AP444" i="19"/>
  <c r="P444" i="19"/>
  <c r="A446" i="23"/>
  <c r="D446" i="23" s="1"/>
  <c r="P366" i="19"/>
  <c r="AP366" i="19"/>
  <c r="A368" i="23"/>
  <c r="K368" i="23" s="1"/>
  <c r="U236" i="19"/>
  <c r="C238" i="23"/>
  <c r="U532" i="19"/>
  <c r="C534" i="23"/>
  <c r="C402" i="23"/>
  <c r="U400" i="19"/>
  <c r="C324" i="23"/>
  <c r="U322" i="19"/>
  <c r="C266" i="23"/>
  <c r="U264" i="19"/>
  <c r="U317" i="19"/>
  <c r="C319" i="23"/>
  <c r="C549" i="23"/>
  <c r="U547" i="19"/>
  <c r="C391" i="23"/>
  <c r="U389" i="19"/>
  <c r="U513" i="19"/>
  <c r="C515" i="23"/>
  <c r="A220" i="23"/>
  <c r="K220" i="23" s="1"/>
  <c r="AP218" i="19"/>
  <c r="P218" i="19"/>
  <c r="P270" i="19"/>
  <c r="A272" i="23"/>
  <c r="K272" i="23" s="1"/>
  <c r="AP270" i="19"/>
  <c r="Z269" i="19"/>
  <c r="Z510" i="19"/>
  <c r="A385" i="23"/>
  <c r="K385" i="23" s="1"/>
  <c r="AP383" i="19"/>
  <c r="P383" i="19"/>
  <c r="A295" i="23"/>
  <c r="K295" i="23" s="1"/>
  <c r="P293" i="19"/>
  <c r="AP293" i="19"/>
  <c r="A475" i="23"/>
  <c r="D475" i="23" s="1"/>
  <c r="P473" i="19"/>
  <c r="AP473" i="19"/>
  <c r="A320" i="23"/>
  <c r="K320" i="23" s="1"/>
  <c r="AP318" i="19"/>
  <c r="P318" i="19"/>
  <c r="AP294" i="19"/>
  <c r="A296" i="23"/>
  <c r="K296" i="23" s="1"/>
  <c r="P294" i="19"/>
  <c r="P521" i="19"/>
  <c r="AP521" i="19"/>
  <c r="A523" i="23"/>
  <c r="K523" i="23" s="1"/>
  <c r="A445" i="23"/>
  <c r="K445" i="23" s="1"/>
  <c r="P443" i="19"/>
  <c r="AP443" i="19"/>
  <c r="P385" i="19"/>
  <c r="A387" i="23"/>
  <c r="K387" i="23" s="1"/>
  <c r="AP385" i="19"/>
  <c r="AP272" i="19"/>
  <c r="A274" i="23"/>
  <c r="D274" i="23" s="1"/>
  <c r="P272" i="19"/>
  <c r="AP436" i="19"/>
  <c r="A438" i="23"/>
  <c r="K438" i="23" s="1"/>
  <c r="P436" i="19"/>
  <c r="A261" i="23"/>
  <c r="D261" i="23" s="1"/>
  <c r="P259" i="19"/>
  <c r="AP259" i="19"/>
  <c r="P522" i="19"/>
  <c r="AP522" i="19"/>
  <c r="A524" i="23"/>
  <c r="K524" i="23" s="1"/>
  <c r="P464" i="19"/>
  <c r="AP464" i="19"/>
  <c r="A466" i="23"/>
  <c r="K466" i="23" s="1"/>
  <c r="P308" i="19"/>
  <c r="AP308" i="19"/>
  <c r="A310" i="23"/>
  <c r="K310" i="23" s="1"/>
  <c r="C200" i="23"/>
  <c r="U198" i="19"/>
  <c r="C481" i="23"/>
  <c r="U479" i="19"/>
  <c r="U381" i="19"/>
  <c r="C383" i="23"/>
  <c r="C305" i="23"/>
  <c r="U303" i="19"/>
  <c r="C247" i="23"/>
  <c r="U245" i="19"/>
  <c r="C276" i="23"/>
  <c r="U274" i="19"/>
  <c r="C530" i="23"/>
  <c r="U528" i="19"/>
  <c r="C252" i="23"/>
  <c r="U250" i="19"/>
  <c r="C493" i="23"/>
  <c r="U491" i="19"/>
  <c r="AP499" i="19"/>
  <c r="P499" i="19"/>
  <c r="A501" i="23"/>
  <c r="K501" i="23" s="1"/>
  <c r="A325" i="23"/>
  <c r="D325" i="23" s="1"/>
  <c r="AP323" i="19"/>
  <c r="P323" i="19"/>
  <c r="P265" i="19"/>
  <c r="AP265" i="19"/>
  <c r="A267" i="23"/>
  <c r="K267" i="23" s="1"/>
  <c r="A513" i="23"/>
  <c r="D513" i="23" s="1"/>
  <c r="AP511" i="19"/>
  <c r="P511" i="19"/>
  <c r="AP519" i="19"/>
  <c r="A521" i="23"/>
  <c r="K521" i="23" s="1"/>
  <c r="P519" i="19"/>
  <c r="AP421" i="19"/>
  <c r="P421" i="19"/>
  <c r="A423" i="23"/>
  <c r="K423" i="23" s="1"/>
  <c r="AP312" i="19"/>
  <c r="P312" i="19"/>
  <c r="A314" i="23"/>
  <c r="K314" i="23" s="1"/>
  <c r="A292" i="23"/>
  <c r="K292" i="23" s="1"/>
  <c r="P290" i="19"/>
  <c r="AP290" i="19"/>
  <c r="AP531" i="19"/>
  <c r="A533" i="23"/>
  <c r="D533" i="23" s="1"/>
  <c r="P531" i="19"/>
  <c r="C477" i="23"/>
  <c r="U475" i="19"/>
  <c r="C460" i="23"/>
  <c r="U458" i="19"/>
  <c r="C282" i="23"/>
  <c r="U280" i="19"/>
  <c r="C204" i="23"/>
  <c r="U202" i="19"/>
  <c r="C415" i="23"/>
  <c r="U413" i="19"/>
  <c r="C507" i="23"/>
  <c r="U505" i="19"/>
  <c r="C429" i="23"/>
  <c r="U427" i="19"/>
  <c r="C271" i="23"/>
  <c r="U269" i="19"/>
  <c r="C512" i="23"/>
  <c r="U510" i="19"/>
  <c r="C495" i="23"/>
  <c r="U493" i="19"/>
  <c r="C280" i="23"/>
  <c r="U278" i="19"/>
  <c r="C334" i="23"/>
  <c r="U332" i="19"/>
  <c r="C463" i="23"/>
  <c r="U461" i="19"/>
  <c r="U383" i="19"/>
  <c r="C385" i="23"/>
  <c r="U325" i="19"/>
  <c r="C327" i="23"/>
  <c r="C249" i="23"/>
  <c r="U247" i="19"/>
  <c r="U233" i="19"/>
  <c r="C235" i="23"/>
  <c r="C332" i="23"/>
  <c r="U330" i="19"/>
  <c r="A405" i="23"/>
  <c r="D405" i="23" s="1"/>
  <c r="P403" i="19"/>
  <c r="AP403" i="19"/>
  <c r="AP423" i="19"/>
  <c r="P423" i="19"/>
  <c r="A425" i="23"/>
  <c r="K425" i="23" s="1"/>
  <c r="A367" i="23"/>
  <c r="D367" i="23" s="1"/>
  <c r="AP365" i="19"/>
  <c r="P365" i="19"/>
  <c r="AP234" i="19"/>
  <c r="A236" i="23"/>
  <c r="K236" i="23" s="1"/>
  <c r="P234" i="19"/>
  <c r="A372" i="23"/>
  <c r="K372" i="23" s="1"/>
  <c r="AP370" i="19"/>
  <c r="P370" i="19"/>
  <c r="AP275" i="19"/>
  <c r="P275" i="19"/>
  <c r="A277" i="23"/>
  <c r="K277" i="23" s="1"/>
  <c r="AP353" i="19"/>
  <c r="A355" i="23"/>
  <c r="D355" i="23" s="1"/>
  <c r="P353" i="19"/>
  <c r="P502" i="19"/>
  <c r="A504" i="23"/>
  <c r="D504" i="23" s="1"/>
  <c r="AP502" i="19"/>
  <c r="AP288" i="19"/>
  <c r="P288" i="19"/>
  <c r="A290" i="23"/>
  <c r="D290" i="23" s="1"/>
  <c r="AP251" i="19"/>
  <c r="P251" i="19"/>
  <c r="A253" i="23"/>
  <c r="K253" i="23" s="1"/>
  <c r="A388" i="23"/>
  <c r="K388" i="23" s="1"/>
  <c r="P386" i="19"/>
  <c r="AP386" i="19"/>
  <c r="A474" i="23"/>
  <c r="D474" i="23" s="1"/>
  <c r="P472" i="19"/>
  <c r="AP472" i="19"/>
  <c r="AP271" i="19"/>
  <c r="A273" i="23"/>
  <c r="D273" i="23" s="1"/>
  <c r="P271" i="19"/>
  <c r="A400" i="23"/>
  <c r="D400" i="23" s="1"/>
  <c r="P398" i="19"/>
  <c r="AP398" i="19"/>
  <c r="A222" i="23"/>
  <c r="D222" i="23" s="1"/>
  <c r="P220" i="19"/>
  <c r="AP220" i="19"/>
  <c r="AP450" i="19"/>
  <c r="A452" i="23"/>
  <c r="K452" i="23" s="1"/>
  <c r="P450" i="19"/>
  <c r="A403" i="23"/>
  <c r="D403" i="23" s="1"/>
  <c r="P401" i="19"/>
  <c r="AP401" i="19"/>
  <c r="AP235" i="19"/>
  <c r="P235" i="19"/>
  <c r="A237" i="23"/>
  <c r="D237" i="23" s="1"/>
  <c r="A550" i="23"/>
  <c r="K550" i="23" s="1"/>
  <c r="P548" i="19"/>
  <c r="AP548" i="19"/>
  <c r="A234" i="23"/>
  <c r="D234" i="23" s="1"/>
  <c r="AP232" i="19"/>
  <c r="P232" i="19"/>
  <c r="A240" i="23"/>
  <c r="D240" i="23" s="1"/>
  <c r="P238" i="19"/>
  <c r="AP238" i="19"/>
  <c r="A345" i="23"/>
  <c r="D345" i="23" s="1"/>
  <c r="AP343" i="19"/>
  <c r="P343" i="19"/>
  <c r="A287" i="23"/>
  <c r="D287" i="23" s="1"/>
  <c r="AP285" i="19"/>
  <c r="P285" i="19"/>
  <c r="P377" i="19"/>
  <c r="A379" i="23"/>
  <c r="D379" i="23" s="1"/>
  <c r="AP377" i="19"/>
  <c r="P266" i="19"/>
  <c r="AP266" i="19"/>
  <c r="A268" i="23"/>
  <c r="K268" i="23" s="1"/>
  <c r="AP314" i="19"/>
  <c r="A316" i="23"/>
  <c r="K316" i="23" s="1"/>
  <c r="P314" i="19"/>
  <c r="A532" i="23"/>
  <c r="K532" i="23" s="1"/>
  <c r="P530" i="19"/>
  <c r="AP530" i="19"/>
  <c r="P494" i="19"/>
  <c r="A496" i="23"/>
  <c r="D496" i="23" s="1"/>
  <c r="AP494" i="19"/>
  <c r="A300" i="23"/>
  <c r="D300" i="23" s="1"/>
  <c r="AP298" i="19"/>
  <c r="P298" i="19"/>
  <c r="AP481" i="19"/>
  <c r="A483" i="23"/>
  <c r="K483" i="23" s="1"/>
  <c r="P481" i="19"/>
  <c r="P345" i="19"/>
  <c r="A347" i="23"/>
  <c r="D347" i="23" s="1"/>
  <c r="AP345" i="19"/>
  <c r="AP350" i="19"/>
  <c r="P350" i="19"/>
  <c r="A352" i="23"/>
  <c r="K352" i="23" s="1"/>
  <c r="Z215" i="19"/>
  <c r="A418" i="23"/>
  <c r="K418" i="23" s="1"/>
  <c r="AP416" i="19"/>
  <c r="P416" i="19"/>
  <c r="A416" i="23"/>
  <c r="K416" i="23" s="1"/>
  <c r="P414" i="19"/>
  <c r="AP414" i="19"/>
  <c r="P254" i="19"/>
  <c r="A256" i="23"/>
  <c r="K256" i="23" s="1"/>
  <c r="AP254" i="19"/>
  <c r="A369" i="23"/>
  <c r="D369" i="23" s="1"/>
  <c r="P367" i="19"/>
  <c r="AP367" i="19"/>
  <c r="A211" i="23"/>
  <c r="K211" i="23" s="1"/>
  <c r="P209" i="19"/>
  <c r="AP209" i="19"/>
  <c r="A318" i="23"/>
  <c r="D318" i="23" s="1"/>
  <c r="P316" i="19"/>
  <c r="AP316" i="19"/>
  <c r="AP237" i="19"/>
  <c r="P237" i="19"/>
  <c r="A239" i="23"/>
  <c r="K239" i="23" s="1"/>
  <c r="A479" i="23"/>
  <c r="K479" i="23" s="1"/>
  <c r="P477" i="19"/>
  <c r="AP477" i="19"/>
  <c r="A471" i="23"/>
  <c r="D471" i="23" s="1"/>
  <c r="AP469" i="19"/>
  <c r="P469" i="19"/>
  <c r="A219" i="23"/>
  <c r="K219" i="23" s="1"/>
  <c r="AP217" i="19"/>
  <c r="P217" i="19"/>
  <c r="AP300" i="19"/>
  <c r="A302" i="23"/>
  <c r="K302" i="23" s="1"/>
  <c r="P300" i="19"/>
  <c r="A224" i="23"/>
  <c r="D224" i="23" s="1"/>
  <c r="P222" i="19"/>
  <c r="AP222" i="19"/>
  <c r="P525" i="19"/>
  <c r="A527" i="23"/>
  <c r="D527" i="23" s="1"/>
  <c r="AP525" i="19"/>
  <c r="P447" i="19"/>
  <c r="A449" i="23"/>
  <c r="K449" i="23" s="1"/>
  <c r="AP447" i="19"/>
  <c r="A291" i="23"/>
  <c r="K291" i="23" s="1"/>
  <c r="AP289" i="19"/>
  <c r="P289" i="19"/>
  <c r="Z298" i="19"/>
  <c r="A269" i="23"/>
  <c r="K269" i="23" s="1"/>
  <c r="AP267" i="19"/>
  <c r="P267" i="19"/>
  <c r="C197" i="23"/>
  <c r="U195" i="19"/>
  <c r="U318" i="19"/>
  <c r="C320" i="23"/>
  <c r="C296" i="23"/>
  <c r="U294" i="19"/>
  <c r="C503" i="23"/>
  <c r="U501" i="19"/>
  <c r="U423" i="19"/>
  <c r="C425" i="23"/>
  <c r="C367" i="23"/>
  <c r="U365" i="19"/>
  <c r="U287" i="19"/>
  <c r="C289" i="23"/>
  <c r="C236" i="23"/>
  <c r="U234" i="19"/>
  <c r="C372" i="23"/>
  <c r="U370" i="19"/>
  <c r="C277" i="23"/>
  <c r="U275" i="19"/>
  <c r="U338" i="19"/>
  <c r="C340" i="23"/>
  <c r="C217" i="23"/>
  <c r="U215" i="19"/>
  <c r="U521" i="19"/>
  <c r="C523" i="23"/>
  <c r="U443" i="19"/>
  <c r="C445" i="23"/>
  <c r="C387" i="23"/>
  <c r="U385" i="19"/>
  <c r="C309" i="23"/>
  <c r="U307" i="19"/>
  <c r="C456" i="23"/>
  <c r="U454" i="19"/>
  <c r="C392" i="23"/>
  <c r="U390" i="19"/>
  <c r="C418" i="23"/>
  <c r="U416" i="19"/>
  <c r="C241" i="23"/>
  <c r="U239" i="19"/>
  <c r="C355" i="23"/>
  <c r="U353" i="19"/>
  <c r="U502" i="19"/>
  <c r="C504" i="23"/>
  <c r="U444" i="19"/>
  <c r="C446" i="23"/>
  <c r="C368" i="23"/>
  <c r="U366" i="19"/>
  <c r="U288" i="19"/>
  <c r="C290" i="23"/>
  <c r="C274" i="23"/>
  <c r="U272" i="19"/>
  <c r="C253" i="23"/>
  <c r="U251" i="19"/>
  <c r="A417" i="23"/>
  <c r="D417" i="23" s="1"/>
  <c r="AP415" i="19"/>
  <c r="P415" i="19"/>
  <c r="U218" i="19"/>
  <c r="C220" i="23"/>
  <c r="C501" i="23"/>
  <c r="U499" i="19"/>
  <c r="U401" i="19"/>
  <c r="C403" i="23"/>
  <c r="U323" i="19"/>
  <c r="C325" i="23"/>
  <c r="C267" i="23"/>
  <c r="U265" i="19"/>
  <c r="U235" i="19"/>
  <c r="C237" i="23"/>
  <c r="U548" i="19"/>
  <c r="C550" i="23"/>
  <c r="C272" i="23"/>
  <c r="U270" i="19"/>
  <c r="C513" i="23"/>
  <c r="U511" i="19"/>
  <c r="U232" i="19"/>
  <c r="C234" i="23"/>
  <c r="U238" i="19"/>
  <c r="C240" i="23"/>
  <c r="U519" i="19"/>
  <c r="C521" i="23"/>
  <c r="C423" i="23"/>
  <c r="U421" i="19"/>
  <c r="U343" i="19"/>
  <c r="C345" i="23"/>
  <c r="C287" i="23"/>
  <c r="U285" i="19"/>
  <c r="C379" i="23"/>
  <c r="U377" i="19"/>
  <c r="U312" i="19"/>
  <c r="C314" i="23"/>
  <c r="U290" i="19"/>
  <c r="C292" i="23"/>
  <c r="C533" i="23"/>
  <c r="U531" i="19"/>
  <c r="A482" i="23"/>
  <c r="D482" i="23" s="1"/>
  <c r="P480" i="19"/>
  <c r="AP480" i="19"/>
  <c r="AP402" i="19"/>
  <c r="P402" i="19"/>
  <c r="A404" i="23"/>
  <c r="K404" i="23" s="1"/>
  <c r="P344" i="19"/>
  <c r="A346" i="23"/>
  <c r="K346" i="23" s="1"/>
  <c r="AP344" i="19"/>
  <c r="P495" i="19"/>
  <c r="AP495" i="19"/>
  <c r="A497" i="23"/>
  <c r="D497" i="23" s="1"/>
  <c r="AP478" i="19"/>
  <c r="P478" i="19"/>
  <c r="A480" i="23"/>
  <c r="D480" i="23" s="1"/>
  <c r="U494" i="19"/>
  <c r="C496" i="23"/>
  <c r="C300" i="23"/>
  <c r="U298" i="19"/>
  <c r="C295" i="23"/>
  <c r="U293" i="19"/>
  <c r="U481" i="19"/>
  <c r="C483" i="23"/>
  <c r="C405" i="23"/>
  <c r="U403" i="19"/>
  <c r="U345" i="19"/>
  <c r="C347" i="23"/>
  <c r="C269" i="23"/>
  <c r="U267" i="19"/>
  <c r="C475" i="23"/>
  <c r="U473" i="19"/>
  <c r="C352" i="23"/>
  <c r="U350" i="19"/>
  <c r="AP535" i="19"/>
  <c r="P535" i="19"/>
  <c r="A537" i="23"/>
  <c r="D537" i="23" s="1"/>
  <c r="A342" i="23"/>
  <c r="K342" i="23" s="1"/>
  <c r="P340" i="19"/>
  <c r="AP340" i="19"/>
  <c r="AP204" i="19"/>
  <c r="A206" i="23"/>
  <c r="K206" i="23" s="1"/>
  <c r="P204" i="19"/>
  <c r="AP212" i="19"/>
  <c r="A214" i="23"/>
  <c r="K214" i="23" s="1"/>
  <c r="P212" i="19"/>
  <c r="P292" i="19"/>
  <c r="AP292" i="19"/>
  <c r="A294" i="23"/>
  <c r="K294" i="23" s="1"/>
  <c r="A284" i="23"/>
  <c r="D284" i="23" s="1"/>
  <c r="AP282" i="19"/>
  <c r="P282" i="19"/>
  <c r="A226" i="23"/>
  <c r="K226" i="23" s="1"/>
  <c r="P224" i="19"/>
  <c r="AP224" i="19"/>
  <c r="AP452" i="19"/>
  <c r="A454" i="23"/>
  <c r="K454" i="23" s="1"/>
  <c r="P452" i="19"/>
  <c r="A207" i="23"/>
  <c r="K207" i="23" s="1"/>
  <c r="P205" i="19"/>
  <c r="AP205" i="19"/>
  <c r="AP210" i="19"/>
  <c r="P210" i="19"/>
  <c r="A212" i="23"/>
  <c r="K212" i="23" s="1"/>
  <c r="A453" i="23"/>
  <c r="D453" i="23" s="1"/>
  <c r="P451" i="19"/>
  <c r="AP451" i="19"/>
  <c r="U436" i="19"/>
  <c r="C438" i="23"/>
  <c r="C261" i="23"/>
  <c r="U259" i="19"/>
  <c r="C416" i="23"/>
  <c r="U414" i="19"/>
  <c r="C524" i="23"/>
  <c r="U522" i="19"/>
  <c r="C466" i="23"/>
  <c r="U464" i="19"/>
  <c r="C388" i="23"/>
  <c r="U386" i="19"/>
  <c r="C310" i="23"/>
  <c r="U308" i="19"/>
  <c r="C474" i="23"/>
  <c r="U472" i="19"/>
  <c r="C273" i="23"/>
  <c r="U271" i="19"/>
  <c r="P503" i="19"/>
  <c r="A505" i="23"/>
  <c r="K505" i="23" s="1"/>
  <c r="AP503" i="19"/>
  <c r="AP445" i="19"/>
  <c r="A447" i="23"/>
  <c r="K447" i="23" s="1"/>
  <c r="P445" i="19"/>
  <c r="A440" i="23"/>
  <c r="K440" i="23" s="1"/>
  <c r="P438" i="19"/>
  <c r="AP438" i="19"/>
  <c r="AP249" i="19"/>
  <c r="P249" i="19"/>
  <c r="A251" i="23"/>
  <c r="K251" i="23" s="1"/>
  <c r="Z314" i="19"/>
  <c r="Z447" i="19"/>
  <c r="P498" i="19"/>
  <c r="AP498" i="19"/>
  <c r="A500" i="23"/>
  <c r="D500" i="23" s="1"/>
  <c r="P337" i="19"/>
  <c r="A339" i="23"/>
  <c r="K339" i="23" s="1"/>
  <c r="AP337" i="19"/>
  <c r="P545" i="19"/>
  <c r="AP545" i="19"/>
  <c r="A547" i="23"/>
  <c r="K547" i="23" s="1"/>
  <c r="AP550" i="19"/>
  <c r="P550" i="19"/>
  <c r="A552" i="23"/>
  <c r="D552" i="23" s="1"/>
  <c r="A264" i="23"/>
  <c r="D264" i="23" s="1"/>
  <c r="AP262" i="19"/>
  <c r="P262" i="19"/>
  <c r="A540" i="23"/>
  <c r="D540" i="23" s="1"/>
  <c r="AP538" i="19"/>
  <c r="P538" i="19"/>
  <c r="A395" i="23"/>
  <c r="K395" i="23" s="1"/>
  <c r="AP393" i="19"/>
  <c r="P393" i="19"/>
  <c r="P507" i="19"/>
  <c r="A509" i="23"/>
  <c r="D509" i="23" s="1"/>
  <c r="AP507" i="19"/>
  <c r="AP349" i="19"/>
  <c r="A351" i="23"/>
  <c r="D351" i="23" s="1"/>
  <c r="P349" i="19"/>
  <c r="A441" i="23"/>
  <c r="K441" i="23" s="1"/>
  <c r="AP439" i="19"/>
  <c r="P439" i="19"/>
  <c r="AP263" i="19"/>
  <c r="A265" i="23"/>
  <c r="D265" i="23" s="1"/>
  <c r="P263" i="19"/>
  <c r="P488" i="19"/>
  <c r="A490" i="23"/>
  <c r="K490" i="23" s="1"/>
  <c r="AP488" i="19"/>
  <c r="AP313" i="19"/>
  <c r="P313" i="19"/>
  <c r="A315" i="23"/>
  <c r="D315" i="23" s="1"/>
  <c r="C417" i="23"/>
  <c r="U415" i="19"/>
  <c r="U398" i="19"/>
  <c r="C400" i="23"/>
  <c r="C222" i="23"/>
  <c r="U220" i="19"/>
  <c r="C256" i="23"/>
  <c r="U254" i="19"/>
  <c r="C505" i="23"/>
  <c r="U503" i="19"/>
  <c r="U445" i="19"/>
  <c r="C447" i="23"/>
  <c r="C369" i="23"/>
  <c r="U367" i="19"/>
  <c r="C211" i="23"/>
  <c r="U209" i="19"/>
  <c r="C452" i="23"/>
  <c r="U450" i="19"/>
  <c r="P435" i="19"/>
  <c r="A437" i="23"/>
  <c r="D437" i="23" s="1"/>
  <c r="AP435" i="19"/>
  <c r="P418" i="19"/>
  <c r="AP418" i="19"/>
  <c r="A420" i="23"/>
  <c r="K420" i="23" s="1"/>
  <c r="A257" i="23"/>
  <c r="K257" i="23" s="1"/>
  <c r="P255" i="19"/>
  <c r="AP255" i="19"/>
  <c r="A525" i="23"/>
  <c r="D525" i="23" s="1"/>
  <c r="AP523" i="19"/>
  <c r="P523" i="19"/>
  <c r="P470" i="19"/>
  <c r="AP470" i="19"/>
  <c r="A472" i="23"/>
  <c r="K472" i="23" s="1"/>
  <c r="AP260" i="19"/>
  <c r="P260" i="19"/>
  <c r="A262" i="23"/>
  <c r="K262" i="23" s="1"/>
  <c r="A299" i="23"/>
  <c r="D299" i="23" s="1"/>
  <c r="AP297" i="19"/>
  <c r="P297" i="19"/>
  <c r="P485" i="19"/>
  <c r="AP485" i="19"/>
  <c r="A487" i="23"/>
  <c r="K487" i="23" s="1"/>
  <c r="AP407" i="19"/>
  <c r="P407" i="19"/>
  <c r="A409" i="23"/>
  <c r="K409" i="23" s="1"/>
  <c r="C318" i="23"/>
  <c r="U316" i="19"/>
  <c r="U237" i="19"/>
  <c r="C239" i="23"/>
  <c r="C482" i="23"/>
  <c r="U480" i="19"/>
  <c r="C404" i="23"/>
  <c r="U402" i="19"/>
  <c r="C346" i="23"/>
  <c r="U344" i="19"/>
  <c r="U266" i="19"/>
  <c r="C268" i="23"/>
  <c r="C479" i="23"/>
  <c r="U477" i="19"/>
  <c r="C471" i="23"/>
  <c r="U469" i="19"/>
  <c r="U217" i="19"/>
  <c r="C219" i="23"/>
  <c r="C497" i="23"/>
  <c r="U495" i="19"/>
  <c r="U478" i="19"/>
  <c r="C480" i="23"/>
  <c r="U300" i="19"/>
  <c r="C302" i="23"/>
  <c r="C224" i="23"/>
  <c r="U222" i="19"/>
  <c r="C316" i="23"/>
  <c r="U314" i="19"/>
  <c r="C527" i="23"/>
  <c r="U525" i="19"/>
  <c r="U447" i="19"/>
  <c r="C449" i="23"/>
  <c r="C291" i="23"/>
  <c r="U289" i="19"/>
  <c r="C532" i="23"/>
  <c r="U530" i="19"/>
  <c r="AP515" i="19"/>
  <c r="P515" i="19"/>
  <c r="A517" i="23"/>
  <c r="K517" i="23" s="1"/>
  <c r="AP320" i="19"/>
  <c r="A322" i="23"/>
  <c r="K322" i="23" s="1"/>
  <c r="P320" i="19"/>
  <c r="AP467" i="19"/>
  <c r="A469" i="23"/>
  <c r="D469" i="23" s="1"/>
  <c r="P467" i="19"/>
  <c r="P518" i="19"/>
  <c r="AP518" i="19"/>
  <c r="A520" i="23"/>
  <c r="D520" i="23" s="1"/>
  <c r="A489" i="23"/>
  <c r="D489" i="23" s="1"/>
  <c r="P487" i="19"/>
  <c r="AP487" i="19"/>
  <c r="A331" i="23"/>
  <c r="D331" i="23" s="1"/>
  <c r="P329" i="19"/>
  <c r="AP329" i="19"/>
  <c r="P360" i="19"/>
  <c r="A362" i="23"/>
  <c r="D362" i="23" s="1"/>
  <c r="AP360" i="19"/>
  <c r="A199" i="23"/>
  <c r="K199" i="23" s="1"/>
  <c r="P197" i="19"/>
  <c r="AP197" i="19"/>
  <c r="A343" i="23"/>
  <c r="K343" i="23" s="1"/>
  <c r="P341" i="19"/>
  <c r="AP341" i="19"/>
  <c r="A394" i="23"/>
  <c r="D394" i="23" s="1"/>
  <c r="P392" i="19"/>
  <c r="AP392" i="19"/>
  <c r="A539" i="23"/>
  <c r="K539" i="23" s="1"/>
  <c r="AP537" i="19"/>
  <c r="P537" i="19"/>
  <c r="A461" i="23"/>
  <c r="K461" i="23" s="1"/>
  <c r="P459" i="19"/>
  <c r="AP459" i="19"/>
  <c r="AP230" i="19"/>
  <c r="A232" i="23"/>
  <c r="K232" i="23" s="1"/>
  <c r="P230" i="19"/>
  <c r="A473" i="23"/>
  <c r="D473" i="23" s="1"/>
  <c r="P471" i="19"/>
  <c r="AP471" i="19"/>
  <c r="A455" i="23"/>
  <c r="D455" i="23" s="1"/>
  <c r="AP453" i="19"/>
  <c r="P453" i="19"/>
  <c r="A422" i="23"/>
  <c r="D422" i="23" s="1"/>
  <c r="AP420" i="19"/>
  <c r="P420" i="19"/>
  <c r="AP432" i="19"/>
  <c r="A434" i="23"/>
  <c r="K434" i="23" s="1"/>
  <c r="P432" i="19"/>
  <c r="A242" i="23"/>
  <c r="D242" i="23" s="1"/>
  <c r="P240" i="19"/>
  <c r="AP240" i="19"/>
  <c r="AP455" i="19"/>
  <c r="A457" i="23"/>
  <c r="K457" i="23" s="1"/>
  <c r="P455" i="19"/>
  <c r="A545" i="23"/>
  <c r="K545" i="23" s="1"/>
  <c r="P543" i="19"/>
  <c r="AP543" i="19"/>
  <c r="P490" i="19"/>
  <c r="AP490" i="19"/>
  <c r="A492" i="23"/>
  <c r="D492" i="23" s="1"/>
  <c r="A424" i="23"/>
  <c r="K424" i="23" s="1"/>
  <c r="P422" i="19"/>
  <c r="AP422" i="19"/>
  <c r="P364" i="19"/>
  <c r="AP364" i="19"/>
  <c r="A366" i="23"/>
  <c r="D366" i="23" s="1"/>
  <c r="AP489" i="19"/>
  <c r="A491" i="23"/>
  <c r="D491" i="23" s="1"/>
  <c r="P489" i="19"/>
  <c r="A244" i="23"/>
  <c r="K244" i="23" s="1"/>
  <c r="P242" i="19"/>
  <c r="AP242" i="19"/>
  <c r="Z337" i="19"/>
  <c r="A311" i="23"/>
  <c r="D311" i="23" s="1"/>
  <c r="P309" i="19"/>
  <c r="AP309" i="19"/>
  <c r="Z262" i="19"/>
  <c r="P196" i="19"/>
  <c r="A198" i="23"/>
  <c r="K198" i="23" s="1"/>
  <c r="AP196" i="19"/>
  <c r="Z360" i="19"/>
  <c r="AP361" i="19"/>
  <c r="P361" i="19"/>
  <c r="A363" i="23"/>
  <c r="K363" i="23" s="1"/>
  <c r="AP225" i="19"/>
  <c r="P225" i="19"/>
  <c r="A227" i="23"/>
  <c r="K227" i="23" s="1"/>
  <c r="AP508" i="19"/>
  <c r="A510" i="23"/>
  <c r="K510" i="23" s="1"/>
  <c r="P508" i="19"/>
  <c r="A344" i="23"/>
  <c r="K344" i="23" s="1"/>
  <c r="P342" i="19"/>
  <c r="AP342" i="19"/>
  <c r="P284" i="19"/>
  <c r="AP284" i="19"/>
  <c r="A286" i="23"/>
  <c r="D286" i="23" s="1"/>
  <c r="AP194" i="19"/>
  <c r="P194" i="19"/>
  <c r="A196" i="23"/>
  <c r="D196" i="23" s="1"/>
  <c r="A467" i="23"/>
  <c r="D467" i="23" s="1"/>
  <c r="P465" i="19"/>
  <c r="AP465" i="19"/>
  <c r="AP387" i="19"/>
  <c r="P387" i="19"/>
  <c r="A389" i="23"/>
  <c r="K389" i="23" s="1"/>
  <c r="P229" i="19"/>
  <c r="AP229" i="19"/>
  <c r="A231" i="23"/>
  <c r="K231" i="23" s="1"/>
  <c r="Z202" i="19" l="1"/>
  <c r="Z300" i="19"/>
  <c r="Z195" i="19"/>
  <c r="AS195" i="19"/>
  <c r="Z340" i="19"/>
  <c r="Z448" i="19"/>
  <c r="AT448" i="19" s="1"/>
  <c r="AR448" i="19" s="1"/>
  <c r="Z295" i="19"/>
  <c r="AT295" i="19" s="1"/>
  <c r="AR295" i="19" s="1"/>
  <c r="Z204" i="19"/>
  <c r="G212" i="26" s="1"/>
  <c r="AS204" i="19"/>
  <c r="Z209" i="19"/>
  <c r="AT209" i="19" s="1"/>
  <c r="AR209" i="19" s="1"/>
  <c r="C217" i="26"/>
  <c r="Z265" i="19"/>
  <c r="AT265" i="19" s="1"/>
  <c r="AR265" i="19" s="1"/>
  <c r="C273" i="26"/>
  <c r="Z479" i="19"/>
  <c r="AT479" i="19" s="1"/>
  <c r="AR479" i="19" s="1"/>
  <c r="Z359" i="19"/>
  <c r="AT359" i="19" s="1"/>
  <c r="AR359" i="19" s="1"/>
  <c r="Z216" i="19"/>
  <c r="G224" i="26" s="1"/>
  <c r="Z283" i="19"/>
  <c r="G291" i="26" s="1"/>
  <c r="Z459" i="19"/>
  <c r="AT459" i="19" s="1"/>
  <c r="AR459" i="19" s="1"/>
  <c r="Z548" i="19"/>
  <c r="G556" i="26" s="1"/>
  <c r="AS548" i="19"/>
  <c r="Z259" i="19"/>
  <c r="AT259" i="19" s="1"/>
  <c r="AR259" i="19" s="1"/>
  <c r="C267" i="26"/>
  <c r="Z348" i="19"/>
  <c r="AT348" i="19" s="1"/>
  <c r="AR348" i="19" s="1"/>
  <c r="Z192" i="19"/>
  <c r="AT192" i="19" s="1"/>
  <c r="AR192" i="19" s="1"/>
  <c r="AS192" i="19"/>
  <c r="Z406" i="19"/>
  <c r="AT406" i="19" s="1"/>
  <c r="AR406" i="19" s="1"/>
  <c r="AS406" i="19"/>
  <c r="Z471" i="19"/>
  <c r="AT471" i="19" s="1"/>
  <c r="AR471" i="19" s="1"/>
  <c r="Z267" i="19"/>
  <c r="AT267" i="19" s="1"/>
  <c r="AR267" i="19" s="1"/>
  <c r="Z378" i="19"/>
  <c r="AT378" i="19" s="1"/>
  <c r="AR378" i="19" s="1"/>
  <c r="Z371" i="19"/>
  <c r="AT371" i="19" s="1"/>
  <c r="AR371" i="19" s="1"/>
  <c r="AS371" i="19"/>
  <c r="Z495" i="19"/>
  <c r="AT495" i="19" s="1"/>
  <c r="AR495" i="19" s="1"/>
  <c r="Z476" i="19"/>
  <c r="G484" i="26" s="1"/>
  <c r="Z409" i="19"/>
  <c r="AT409" i="19" s="1"/>
  <c r="AR409" i="19" s="1"/>
  <c r="AS409" i="19"/>
  <c r="Z513" i="19"/>
  <c r="AT513" i="19" s="1"/>
  <c r="AR513" i="19" s="1"/>
  <c r="AS513" i="19"/>
  <c r="Z426" i="19"/>
  <c r="AT426" i="19" s="1"/>
  <c r="AR426" i="19" s="1"/>
  <c r="C434" i="26"/>
  <c r="Z363" i="19"/>
  <c r="AT363" i="19" s="1"/>
  <c r="AR363" i="19" s="1"/>
  <c r="AS363" i="19"/>
  <c r="Z464" i="19"/>
  <c r="AT464" i="19" s="1"/>
  <c r="AR464" i="19" s="1"/>
  <c r="AS464" i="19"/>
  <c r="Z491" i="19"/>
  <c r="Z440" i="19"/>
  <c r="Z462" i="19"/>
  <c r="AT462" i="19" s="1"/>
  <c r="AR462" i="19" s="1"/>
  <c r="Z368" i="19"/>
  <c r="Z331" i="19"/>
  <c r="AT331" i="19" s="1"/>
  <c r="AR331" i="19" s="1"/>
  <c r="Z532" i="19"/>
  <c r="AT532" i="19" s="1"/>
  <c r="AR532" i="19" s="1"/>
  <c r="Z484" i="19"/>
  <c r="AT484" i="19" s="1"/>
  <c r="AR484" i="19" s="1"/>
  <c r="Z398" i="19"/>
  <c r="AT398" i="19" s="1"/>
  <c r="AR398" i="19" s="1"/>
  <c r="C406" i="26"/>
  <c r="Z338" i="19"/>
  <c r="G346" i="26" s="1"/>
  <c r="Z429" i="19"/>
  <c r="G437" i="26" s="1"/>
  <c r="Z349" i="19"/>
  <c r="AT349" i="19" s="1"/>
  <c r="AR349" i="19" s="1"/>
  <c r="Z358" i="19"/>
  <c r="AT358" i="19" s="1"/>
  <c r="AR358" i="19" s="1"/>
  <c r="Z374" i="19"/>
  <c r="AT374" i="19" s="1"/>
  <c r="AR374" i="19" s="1"/>
  <c r="AS374" i="19"/>
  <c r="Z483" i="19"/>
  <c r="AT483" i="19" s="1"/>
  <c r="AR483" i="19" s="1"/>
  <c r="C491" i="26"/>
  <c r="Z364" i="19"/>
  <c r="G372" i="26" s="1"/>
  <c r="Z475" i="19"/>
  <c r="G483" i="26" s="1"/>
  <c r="AS475" i="19"/>
  <c r="Z545" i="19"/>
  <c r="AT545" i="19" s="1"/>
  <c r="AR545" i="19" s="1"/>
  <c r="Z408" i="19"/>
  <c r="G416" i="26" s="1"/>
  <c r="C416" i="26"/>
  <c r="Z240" i="19"/>
  <c r="AT240" i="19" s="1"/>
  <c r="AR240" i="19" s="1"/>
  <c r="Z327" i="19"/>
  <c r="G335" i="26" s="1"/>
  <c r="Z455" i="19"/>
  <c r="Z268" i="19"/>
  <c r="G276" i="26" s="1"/>
  <c r="Z493" i="19"/>
  <c r="AT493" i="19" s="1"/>
  <c r="AR493" i="19" s="1"/>
  <c r="AS493" i="19"/>
  <c r="Z541" i="19"/>
  <c r="AT541" i="19" s="1"/>
  <c r="AR541" i="19" s="1"/>
  <c r="Z432" i="19"/>
  <c r="G440" i="26" s="1"/>
  <c r="Z444" i="19"/>
  <c r="AT444" i="19" s="1"/>
  <c r="AR444" i="19" s="1"/>
  <c r="AS444" i="19"/>
  <c r="Z477" i="19"/>
  <c r="AT477" i="19" s="1"/>
  <c r="AR477" i="19" s="1"/>
  <c r="AS477" i="19"/>
  <c r="Z210" i="19"/>
  <c r="AT210" i="19" s="1"/>
  <c r="AR210" i="19" s="1"/>
  <c r="Z540" i="19"/>
  <c r="AT540" i="19" s="1"/>
  <c r="AR540" i="19" s="1"/>
  <c r="Z543" i="19"/>
  <c r="AT543" i="19" s="1"/>
  <c r="AR543" i="19" s="1"/>
  <c r="Z345" i="19"/>
  <c r="AT345" i="19" s="1"/>
  <c r="AR345" i="19" s="1"/>
  <c r="Z263" i="19"/>
  <c r="Z231" i="19"/>
  <c r="Z481" i="19"/>
  <c r="G489" i="26" s="1"/>
  <c r="Z350" i="19"/>
  <c r="AT350" i="19" s="1"/>
  <c r="AR350" i="19" s="1"/>
  <c r="C358" i="26"/>
  <c r="Z309" i="19"/>
  <c r="AT309" i="19" s="1"/>
  <c r="AR309" i="19" s="1"/>
  <c r="Z233" i="19"/>
  <c r="G241" i="26" s="1"/>
  <c r="AS233" i="19"/>
  <c r="Z424" i="19"/>
  <c r="AT424" i="19" s="1"/>
  <c r="AR424" i="19" s="1"/>
  <c r="Z344" i="19"/>
  <c r="AT344" i="19" s="1"/>
  <c r="AR344" i="19" s="1"/>
  <c r="AS344" i="19"/>
  <c r="Z401" i="19"/>
  <c r="AT401" i="19" s="1"/>
  <c r="AR401" i="19" s="1"/>
  <c r="Z427" i="19"/>
  <c r="AT427" i="19" s="1"/>
  <c r="AR427" i="19" s="1"/>
  <c r="Z379" i="19"/>
  <c r="G387" i="26" s="1"/>
  <c r="Z206" i="19"/>
  <c r="G214" i="26" s="1"/>
  <c r="Z537" i="19"/>
  <c r="G545" i="26" s="1"/>
  <c r="Z362" i="19"/>
  <c r="AT362" i="19" s="1"/>
  <c r="AR362" i="19" s="1"/>
  <c r="AS362" i="19"/>
  <c r="Z316" i="19"/>
  <c r="AS316" i="19"/>
  <c r="Z460" i="19"/>
  <c r="AT460" i="19" s="1"/>
  <c r="AR460" i="19" s="1"/>
  <c r="Z332" i="19"/>
  <c r="AT332" i="19" s="1"/>
  <c r="AR332" i="19" s="1"/>
  <c r="AS332" i="19"/>
  <c r="Z275" i="19"/>
  <c r="AT275" i="19" s="1"/>
  <c r="AR275" i="19" s="1"/>
  <c r="C283" i="26"/>
  <c r="Z212" i="19"/>
  <c r="G220" i="26" s="1"/>
  <c r="AS212" i="19"/>
  <c r="Z438" i="19"/>
  <c r="AT438" i="19" s="1"/>
  <c r="AR438" i="19" s="1"/>
  <c r="Z388" i="19"/>
  <c r="AT388" i="19" s="1"/>
  <c r="AR388" i="19" s="1"/>
  <c r="Z539" i="19"/>
  <c r="AT539" i="19" s="1"/>
  <c r="AR539" i="19" s="1"/>
  <c r="Z506" i="19"/>
  <c r="AT506" i="19" s="1"/>
  <c r="AR506" i="19" s="1"/>
  <c r="Z404" i="19"/>
  <c r="AT404" i="19" s="1"/>
  <c r="AR404" i="19" s="1"/>
  <c r="Z306" i="19"/>
  <c r="G314" i="26" s="1"/>
  <c r="Z203" i="19"/>
  <c r="AT203" i="19" s="1"/>
  <c r="AR203" i="19" s="1"/>
  <c r="Z469" i="19"/>
  <c r="G477" i="26" s="1"/>
  <c r="AS469" i="19"/>
  <c r="Z198" i="19"/>
  <c r="AT198" i="19" s="1"/>
  <c r="AR198" i="19" s="1"/>
  <c r="Z288" i="19"/>
  <c r="G296" i="26" s="1"/>
  <c r="Z419" i="19"/>
  <c r="Z500" i="19"/>
  <c r="Z260" i="19"/>
  <c r="C268" i="26"/>
  <c r="Z482" i="19"/>
  <c r="AT482" i="19" s="1"/>
  <c r="AR482" i="19" s="1"/>
  <c r="Z273" i="19"/>
  <c r="AT273" i="19" s="1"/>
  <c r="AR273" i="19" s="1"/>
  <c r="Z502" i="19"/>
  <c r="AT502" i="19" s="1"/>
  <c r="AR502" i="19" s="1"/>
  <c r="Z446" i="19"/>
  <c r="AT446" i="19" s="1"/>
  <c r="AR446" i="19" s="1"/>
  <c r="Z326" i="19"/>
  <c r="AT326" i="19" s="1"/>
  <c r="AR326" i="19" s="1"/>
  <c r="Z396" i="19"/>
  <c r="G404" i="26" s="1"/>
  <c r="Z277" i="19"/>
  <c r="AT277" i="19" s="1"/>
  <c r="AR277" i="19" s="1"/>
  <c r="Z397" i="19"/>
  <c r="G405" i="26" s="1"/>
  <c r="Z544" i="19"/>
  <c r="AT544" i="19" s="1"/>
  <c r="AR544" i="19" s="1"/>
  <c r="Z445" i="19"/>
  <c r="AT445" i="19" s="1"/>
  <c r="AR445" i="19" s="1"/>
  <c r="Z279" i="19"/>
  <c r="AT279" i="19" s="1"/>
  <c r="AR279" i="19" s="1"/>
  <c r="Z384" i="19"/>
  <c r="AT384" i="19" s="1"/>
  <c r="AR384" i="19" s="1"/>
  <c r="Z325" i="19"/>
  <c r="AT325" i="19" s="1"/>
  <c r="AR325" i="19" s="1"/>
  <c r="AS325" i="19"/>
  <c r="Z284" i="19"/>
  <c r="AT284" i="19" s="1"/>
  <c r="AR284" i="19" s="1"/>
  <c r="Z219" i="19"/>
  <c r="AT219" i="19" s="1"/>
  <c r="AR219" i="19" s="1"/>
  <c r="Z385" i="19"/>
  <c r="G393" i="26" s="1"/>
  <c r="AS385" i="19"/>
  <c r="Z197" i="19"/>
  <c r="AT197" i="19" s="1"/>
  <c r="AR197" i="19" s="1"/>
  <c r="Z380" i="19"/>
  <c r="G388" i="26" s="1"/>
  <c r="Z270" i="19"/>
  <c r="Z529" i="19"/>
  <c r="Z525" i="19"/>
  <c r="AT525" i="19" s="1"/>
  <c r="AR525" i="19" s="1"/>
  <c r="AS525" i="19"/>
  <c r="Z228" i="19"/>
  <c r="AT228" i="19" s="1"/>
  <c r="AR228" i="19" s="1"/>
  <c r="Z257" i="19"/>
  <c r="AT257" i="19" s="1"/>
  <c r="AR257" i="19" s="1"/>
  <c r="Z386" i="19"/>
  <c r="AT386" i="19" s="1"/>
  <c r="AR386" i="19" s="1"/>
  <c r="Z414" i="19"/>
  <c r="AT414" i="19" s="1"/>
  <c r="AR414" i="19" s="1"/>
  <c r="Z407" i="19"/>
  <c r="AT407" i="19" s="1"/>
  <c r="AR407" i="19" s="1"/>
  <c r="Z254" i="19"/>
  <c r="AT254" i="19" s="1"/>
  <c r="AR254" i="19" s="1"/>
  <c r="C262" i="26"/>
  <c r="Z336" i="19"/>
  <c r="AT336" i="19" s="1"/>
  <c r="AR336" i="19" s="1"/>
  <c r="Z478" i="19"/>
  <c r="AT478" i="19" s="1"/>
  <c r="AR478" i="19" s="1"/>
  <c r="Z313" i="19"/>
  <c r="G321" i="26" s="1"/>
  <c r="Z522" i="19"/>
  <c r="AT522" i="19" s="1"/>
  <c r="AR522" i="19" s="1"/>
  <c r="Z472" i="19"/>
  <c r="G480" i="26" s="1"/>
  <c r="C480" i="26"/>
  <c r="Z403" i="19"/>
  <c r="G411" i="26" s="1"/>
  <c r="Z317" i="19"/>
  <c r="G325" i="26" s="1"/>
  <c r="Z294" i="19"/>
  <c r="G302" i="26" s="1"/>
  <c r="Z549" i="19"/>
  <c r="AT549" i="19" s="1"/>
  <c r="AR549" i="19" s="1"/>
  <c r="Z289" i="19"/>
  <c r="G297" i="26" s="1"/>
  <c r="Z319" i="19"/>
  <c r="G327" i="26" s="1"/>
  <c r="Z237" i="19"/>
  <c r="AT237" i="19" s="1"/>
  <c r="AR237" i="19" s="1"/>
  <c r="Z201" i="19"/>
  <c r="AT201" i="19" s="1"/>
  <c r="AR201" i="19" s="1"/>
  <c r="AS201" i="19"/>
  <c r="Z310" i="19"/>
  <c r="AT310" i="19" s="1"/>
  <c r="AR310" i="19" s="1"/>
  <c r="Z402" i="19"/>
  <c r="G410" i="26" s="1"/>
  <c r="AS402" i="19"/>
  <c r="Z347" i="19"/>
  <c r="AT347" i="19" s="1"/>
  <c r="AR347" i="19" s="1"/>
  <c r="C355" i="26"/>
  <c r="Z261" i="19"/>
  <c r="AT261" i="19" s="1"/>
  <c r="AR261" i="19" s="1"/>
  <c r="Z453" i="19"/>
  <c r="G461" i="26" s="1"/>
  <c r="Z218" i="19"/>
  <c r="G226" i="26" s="1"/>
  <c r="AS218" i="19"/>
  <c r="Z333" i="19"/>
  <c r="AT333" i="19" s="1"/>
  <c r="AR333" i="19" s="1"/>
  <c r="Z511" i="19"/>
  <c r="AT511" i="19" s="1"/>
  <c r="AR511" i="19" s="1"/>
  <c r="Z492" i="19"/>
  <c r="Z205" i="19"/>
  <c r="AS205" i="19"/>
  <c r="Z542" i="19"/>
  <c r="Z278" i="19"/>
  <c r="AT278" i="19" s="1"/>
  <c r="AR278" i="19" s="1"/>
  <c r="Z361" i="19"/>
  <c r="AT361" i="19" s="1"/>
  <c r="AR361" i="19" s="1"/>
  <c r="Z458" i="19"/>
  <c r="AT458" i="19" s="1"/>
  <c r="AR458" i="19" s="1"/>
  <c r="C466" i="26"/>
  <c r="Z421" i="19"/>
  <c r="AT421" i="19" s="1"/>
  <c r="AR421" i="19" s="1"/>
  <c r="Z382" i="19"/>
  <c r="G390" i="26" s="1"/>
  <c r="Z342" i="19"/>
  <c r="AT342" i="19" s="1"/>
  <c r="AR342" i="19" s="1"/>
  <c r="Z292" i="19"/>
  <c r="G300" i="26" s="1"/>
  <c r="Z293" i="19"/>
  <c r="AT293" i="19" s="1"/>
  <c r="AR293" i="19" s="1"/>
  <c r="Z518" i="19"/>
  <c r="G526" i="26" s="1"/>
  <c r="C526" i="26"/>
  <c r="Z256" i="19"/>
  <c r="G264" i="26" s="1"/>
  <c r="AS256" i="19"/>
  <c r="Z452" i="19"/>
  <c r="AT452" i="19" s="1"/>
  <c r="AR452" i="19" s="1"/>
  <c r="Z352" i="19"/>
  <c r="AT352" i="19" s="1"/>
  <c r="AR352" i="19" s="1"/>
  <c r="Z255" i="19"/>
  <c r="AT255" i="19" s="1"/>
  <c r="AR255" i="19" s="1"/>
  <c r="AS255" i="19"/>
  <c r="Z367" i="19"/>
  <c r="G375" i="26" s="1"/>
  <c r="C375" i="26"/>
  <c r="Z196" i="19"/>
  <c r="G204" i="26" s="1"/>
  <c r="C204" i="26"/>
  <c r="Z526" i="19"/>
  <c r="G534" i="26" s="1"/>
  <c r="Z375" i="19"/>
  <c r="G383" i="26" s="1"/>
  <c r="Z457" i="19"/>
  <c r="AT457" i="19" s="1"/>
  <c r="AR457" i="19" s="1"/>
  <c r="Z515" i="19"/>
  <c r="G523" i="26" s="1"/>
  <c r="Z242" i="19"/>
  <c r="AT242" i="19" s="1"/>
  <c r="AR242" i="19" s="1"/>
  <c r="Z439" i="19"/>
  <c r="AT439" i="19" s="1"/>
  <c r="AR439" i="19" s="1"/>
  <c r="AS439" i="19"/>
  <c r="Z389" i="19"/>
  <c r="AT389" i="19" s="1"/>
  <c r="AR389" i="19" s="1"/>
  <c r="Z249" i="19"/>
  <c r="G257" i="26" s="1"/>
  <c r="Z243" i="19"/>
  <c r="AT243" i="19" s="1"/>
  <c r="AR243" i="19" s="1"/>
  <c r="AS243" i="19"/>
  <c r="Z207" i="19"/>
  <c r="AT207" i="19" s="1"/>
  <c r="AR207" i="19" s="1"/>
  <c r="Z208" i="19"/>
  <c r="AT208" i="19" s="1"/>
  <c r="AR208" i="19" s="1"/>
  <c r="AS208" i="19"/>
  <c r="Z220" i="19"/>
  <c r="AT220" i="19" s="1"/>
  <c r="AR220" i="19" s="1"/>
  <c r="Z499" i="19"/>
  <c r="C507" i="26"/>
  <c r="Z512" i="19"/>
  <c r="Z303" i="19"/>
  <c r="AT303" i="19" s="1"/>
  <c r="AR303" i="19" s="1"/>
  <c r="AS303" i="19"/>
  <c r="Z330" i="19"/>
  <c r="AT330" i="19" s="1"/>
  <c r="AR330" i="19" s="1"/>
  <c r="Z315" i="19"/>
  <c r="AT315" i="19" s="1"/>
  <c r="AR315" i="19" s="1"/>
  <c r="Z490" i="19"/>
  <c r="AT490" i="19" s="1"/>
  <c r="AR490" i="19" s="1"/>
  <c r="Z308" i="19"/>
  <c r="AT308" i="19" s="1"/>
  <c r="AR308" i="19" s="1"/>
  <c r="C316" i="26"/>
  <c r="Z524" i="19"/>
  <c r="AT524" i="19" s="1"/>
  <c r="AR524" i="19" s="1"/>
  <c r="Z304" i="19"/>
  <c r="AT304" i="19" s="1"/>
  <c r="AR304" i="19" s="1"/>
  <c r="Z508" i="19"/>
  <c r="AT508" i="19" s="1"/>
  <c r="AR508" i="19" s="1"/>
  <c r="Z291" i="19"/>
  <c r="AT291" i="19" s="1"/>
  <c r="AR291" i="19" s="1"/>
  <c r="Z232" i="19"/>
  <c r="AT232" i="19" s="1"/>
  <c r="AR232" i="19" s="1"/>
  <c r="Z213" i="19"/>
  <c r="G221" i="26" s="1"/>
  <c r="Z422" i="19"/>
  <c r="AT422" i="19" s="1"/>
  <c r="AR422" i="19" s="1"/>
  <c r="Z299" i="19"/>
  <c r="AT299" i="19" s="1"/>
  <c r="AR299" i="19" s="1"/>
  <c r="Z266" i="19"/>
  <c r="AT266" i="19" s="1"/>
  <c r="AR266" i="19" s="1"/>
  <c r="Z324" i="19"/>
  <c r="AT324" i="19" s="1"/>
  <c r="AR324" i="19" s="1"/>
  <c r="Z353" i="19"/>
  <c r="G361" i="26" s="1"/>
  <c r="Z370" i="19"/>
  <c r="G378" i="26" s="1"/>
  <c r="C378" i="26"/>
  <c r="Z527" i="19"/>
  <c r="G535" i="26" s="1"/>
  <c r="Z435" i="19"/>
  <c r="AT435" i="19" s="1"/>
  <c r="AR435" i="19" s="1"/>
  <c r="Z222" i="19"/>
  <c r="AT222" i="19" s="1"/>
  <c r="AR222" i="19" s="1"/>
  <c r="Z229" i="19"/>
  <c r="Z282" i="19"/>
  <c r="AT282" i="19" s="1"/>
  <c r="AR282" i="19" s="1"/>
  <c r="Z415" i="19"/>
  <c r="AT415" i="19" s="1"/>
  <c r="AR415" i="19" s="1"/>
  <c r="Z224" i="19"/>
  <c r="AT224" i="19" s="1"/>
  <c r="AR224" i="19" s="1"/>
  <c r="Z454" i="19"/>
  <c r="G462" i="26" s="1"/>
  <c r="Z377" i="19"/>
  <c r="AT377" i="19" s="1"/>
  <c r="AR377" i="19" s="1"/>
  <c r="Z307" i="19"/>
  <c r="G315" i="26" s="1"/>
  <c r="Z258" i="19"/>
  <c r="G266" i="26" s="1"/>
  <c r="C228" i="26"/>
  <c r="Z285" i="19"/>
  <c r="AT285" i="19" s="1"/>
  <c r="AR285" i="19" s="1"/>
  <c r="Z343" i="19"/>
  <c r="G351" i="26" s="1"/>
  <c r="AS278" i="19"/>
  <c r="C467" i="26"/>
  <c r="C429" i="26"/>
  <c r="Z365" i="19"/>
  <c r="AT365" i="19" s="1"/>
  <c r="AR365" i="19" s="1"/>
  <c r="Z450" i="19"/>
  <c r="G458" i="26" s="1"/>
  <c r="AS292" i="19"/>
  <c r="Z530" i="19"/>
  <c r="AT530" i="19" s="1"/>
  <c r="AR530" i="19" s="1"/>
  <c r="Z423" i="19"/>
  <c r="G431" i="26" s="1"/>
  <c r="Z395" i="19"/>
  <c r="AT395" i="19" s="1"/>
  <c r="AR395" i="19" s="1"/>
  <c r="Z534" i="19"/>
  <c r="AT534" i="19" s="1"/>
  <c r="AR534" i="19" s="1"/>
  <c r="Z538" i="19"/>
  <c r="G546" i="26" s="1"/>
  <c r="Z329" i="19"/>
  <c r="G337" i="26" s="1"/>
  <c r="Z418" i="19"/>
  <c r="AT418" i="19" s="1"/>
  <c r="AR418" i="19" s="1"/>
  <c r="Z247" i="19"/>
  <c r="G255" i="26" s="1"/>
  <c r="C499" i="26"/>
  <c r="Z321" i="19"/>
  <c r="AT321" i="19" s="1"/>
  <c r="AR321" i="19" s="1"/>
  <c r="Z507" i="19"/>
  <c r="G515" i="26" s="1"/>
  <c r="AS349" i="19"/>
  <c r="Z312" i="19"/>
  <c r="AT312" i="19" s="1"/>
  <c r="AR312" i="19" s="1"/>
  <c r="Z461" i="19"/>
  <c r="AT461" i="19" s="1"/>
  <c r="AR461" i="19" s="1"/>
  <c r="Z373" i="19"/>
  <c r="G381" i="26" s="1"/>
  <c r="C245" i="26"/>
  <c r="Z253" i="19"/>
  <c r="AT253" i="19" s="1"/>
  <c r="AR253" i="19" s="1"/>
  <c r="Z193" i="19"/>
  <c r="G201" i="26" s="1"/>
  <c r="Z517" i="19"/>
  <c r="G525" i="26" s="1"/>
  <c r="Z280" i="19"/>
  <c r="AT280" i="19" s="1"/>
  <c r="AR280" i="19" s="1"/>
  <c r="Z230" i="19"/>
  <c r="G238" i="26" s="1"/>
  <c r="Z487" i="19"/>
  <c r="G495" i="26" s="1"/>
  <c r="Z286" i="19"/>
  <c r="G294" i="26" s="1"/>
  <c r="Z250" i="19"/>
  <c r="AT250" i="19" s="1"/>
  <c r="AR250" i="19" s="1"/>
  <c r="Z217" i="19"/>
  <c r="G225" i="26" s="1"/>
  <c r="C396" i="26"/>
  <c r="Z505" i="19"/>
  <c r="AT505" i="19" s="1"/>
  <c r="AR505" i="19" s="1"/>
  <c r="Z431" i="19"/>
  <c r="AT431" i="19" s="1"/>
  <c r="AR431" i="19" s="1"/>
  <c r="Z390" i="19"/>
  <c r="AT390" i="19" s="1"/>
  <c r="AR390" i="19" s="1"/>
  <c r="Z369" i="19"/>
  <c r="AT369" i="19" s="1"/>
  <c r="AR369" i="19" s="1"/>
  <c r="K496" i="23"/>
  <c r="L496" i="23" s="1"/>
  <c r="M496" i="23" s="1"/>
  <c r="K475" i="23"/>
  <c r="L475" i="23" s="1"/>
  <c r="M475" i="23" s="1"/>
  <c r="K503" i="23"/>
  <c r="L503" i="23" s="1"/>
  <c r="M503" i="23" s="1"/>
  <c r="K415" i="23"/>
  <c r="L415" i="23" s="1"/>
  <c r="M415" i="23" s="1"/>
  <c r="K246" i="23"/>
  <c r="K534" i="23"/>
  <c r="K522" i="23"/>
  <c r="K491" i="23"/>
  <c r="K525" i="23"/>
  <c r="L525" i="23" s="1"/>
  <c r="M525" i="23" s="1"/>
  <c r="K552" i="23"/>
  <c r="L552" i="23" s="1"/>
  <c r="M552" i="23" s="1"/>
  <c r="Z227" i="19"/>
  <c r="AT227" i="19" s="1"/>
  <c r="AR227" i="19" s="1"/>
  <c r="K497" i="23"/>
  <c r="K197" i="23"/>
  <c r="L197" i="23" s="1"/>
  <c r="M197" i="23" s="1"/>
  <c r="K252" i="23"/>
  <c r="L252" i="23" s="1"/>
  <c r="M252" i="23" s="1"/>
  <c r="K382" i="23"/>
  <c r="L382" i="23" s="1"/>
  <c r="M382" i="23" s="1"/>
  <c r="K238" i="23"/>
  <c r="L238" i="23" s="1"/>
  <c r="M238" i="23" s="1"/>
  <c r="K373" i="23"/>
  <c r="L373" i="23" s="1"/>
  <c r="M373" i="23" s="1"/>
  <c r="K366" i="23"/>
  <c r="L366" i="23" s="1"/>
  <c r="M366" i="23" s="1"/>
  <c r="K546" i="23"/>
  <c r="L546" i="23" s="1"/>
  <c r="M546" i="23" s="1"/>
  <c r="K311" i="23"/>
  <c r="L311" i="23" s="1"/>
  <c r="M311" i="23" s="1"/>
  <c r="Z339" i="19"/>
  <c r="G347" i="26" s="1"/>
  <c r="Z328" i="19"/>
  <c r="G336" i="26" s="1"/>
  <c r="K224" i="23"/>
  <c r="L224" i="23" s="1"/>
  <c r="M224" i="23" s="1"/>
  <c r="K300" i="23"/>
  <c r="L300" i="23" s="1"/>
  <c r="M300" i="23" s="1"/>
  <c r="K254" i="23"/>
  <c r="L254" i="23" s="1"/>
  <c r="M254" i="23" s="1"/>
  <c r="K255" i="23"/>
  <c r="K410" i="23"/>
  <c r="K374" i="23"/>
  <c r="L374" i="23" s="1"/>
  <c r="M374" i="23" s="1"/>
  <c r="K396" i="23"/>
  <c r="L396" i="23" s="1"/>
  <c r="M396" i="23" s="1"/>
  <c r="K463" i="23"/>
  <c r="L463" i="23" s="1"/>
  <c r="M463" i="23" s="1"/>
  <c r="K421" i="23"/>
  <c r="K317" i="23"/>
  <c r="L317" i="23" s="1"/>
  <c r="M317" i="23" s="1"/>
  <c r="K398" i="23"/>
  <c r="K464" i="23"/>
  <c r="K422" i="23"/>
  <c r="L422" i="23" s="1"/>
  <c r="M422" i="23" s="1"/>
  <c r="K533" i="23"/>
  <c r="L533" i="23" s="1"/>
  <c r="M533" i="23" s="1"/>
  <c r="K480" i="23"/>
  <c r="L480" i="23" s="1"/>
  <c r="M480" i="23" s="1"/>
  <c r="K379" i="23"/>
  <c r="K266" i="23"/>
  <c r="L266" i="23" s="1"/>
  <c r="M266" i="23" s="1"/>
  <c r="K413" i="23"/>
  <c r="L413" i="23" s="1"/>
  <c r="M413" i="23" s="1"/>
  <c r="K259" i="23"/>
  <c r="L259" i="23" s="1"/>
  <c r="M259" i="23" s="1"/>
  <c r="K258" i="23"/>
  <c r="L258" i="23" s="1"/>
  <c r="M258" i="23" s="1"/>
  <c r="K287" i="23"/>
  <c r="L287" i="23" s="1"/>
  <c r="M287" i="23" s="1"/>
  <c r="K482" i="23"/>
  <c r="L482" i="23" s="1"/>
  <c r="M482" i="23" s="1"/>
  <c r="K240" i="23"/>
  <c r="L240" i="23" s="1"/>
  <c r="M240" i="23" s="1"/>
  <c r="K448" i="23"/>
  <c r="L448" i="23" s="1"/>
  <c r="M448" i="23" s="1"/>
  <c r="K548" i="23"/>
  <c r="K215" i="23"/>
  <c r="K328" i="23"/>
  <c r="K390" i="23"/>
  <c r="K315" i="23"/>
  <c r="L315" i="23" s="1"/>
  <c r="M315" i="23" s="1"/>
  <c r="K467" i="23"/>
  <c r="L467" i="23" s="1"/>
  <c r="M467" i="23" s="1"/>
  <c r="K318" i="23"/>
  <c r="L318" i="23" s="1"/>
  <c r="M318" i="23" s="1"/>
  <c r="K345" i="23"/>
  <c r="K234" i="23"/>
  <c r="L234" i="23" s="1"/>
  <c r="M234" i="23" s="1"/>
  <c r="K237" i="23"/>
  <c r="K358" i="23"/>
  <c r="K285" i="23"/>
  <c r="L285" i="23" s="1"/>
  <c r="M285" i="23" s="1"/>
  <c r="K242" i="23"/>
  <c r="L242" i="23" s="1"/>
  <c r="M242" i="23" s="1"/>
  <c r="K273" i="23"/>
  <c r="L273" i="23" s="1"/>
  <c r="M273" i="23" s="1"/>
  <c r="K276" i="23"/>
  <c r="L276" i="23" s="1"/>
  <c r="M276" i="23" s="1"/>
  <c r="K401" i="23"/>
  <c r="L401" i="23" s="1"/>
  <c r="M401" i="23" s="1"/>
  <c r="K451" i="23"/>
  <c r="L451" i="23" s="1"/>
  <c r="M451" i="23" s="1"/>
  <c r="K518" i="23"/>
  <c r="L518" i="23" s="1"/>
  <c r="M518" i="23" s="1"/>
  <c r="Z318" i="19"/>
  <c r="G326" i="26" s="1"/>
  <c r="K446" i="23"/>
  <c r="K450" i="23"/>
  <c r="L450" i="23" s="1"/>
  <c r="M450" i="23" s="1"/>
  <c r="K381" i="23"/>
  <c r="L381" i="23" s="1"/>
  <c r="M381" i="23" s="1"/>
  <c r="K293" i="23"/>
  <c r="K196" i="23"/>
  <c r="L196" i="23" s="1"/>
  <c r="M196" i="23" s="1"/>
  <c r="K265" i="23"/>
  <c r="K513" i="23"/>
  <c r="K504" i="23"/>
  <c r="L504" i="23" s="1"/>
  <c r="M504" i="23" s="1"/>
  <c r="K290" i="23"/>
  <c r="K429" i="23"/>
  <c r="L429" i="23" s="1"/>
  <c r="M429" i="23" s="1"/>
  <c r="K326" i="23"/>
  <c r="K536" i="23"/>
  <c r="L536" i="23" s="1"/>
  <c r="M536" i="23" s="1"/>
  <c r="K437" i="23"/>
  <c r="L437" i="23" s="1"/>
  <c r="M437" i="23" s="1"/>
  <c r="K325" i="23"/>
  <c r="L325" i="23" s="1"/>
  <c r="M325" i="23" s="1"/>
  <c r="K355" i="23"/>
  <c r="L355" i="23" s="1"/>
  <c r="M355" i="23" s="1"/>
  <c r="K428" i="23"/>
  <c r="L428" i="23" s="1"/>
  <c r="M428" i="23" s="1"/>
  <c r="K384" i="23"/>
  <c r="L384" i="23" s="1"/>
  <c r="M384" i="23" s="1"/>
  <c r="K511" i="23"/>
  <c r="L511" i="23" s="1"/>
  <c r="M511" i="23" s="1"/>
  <c r="K351" i="23"/>
  <c r="L351" i="23" s="1"/>
  <c r="M351" i="23" s="1"/>
  <c r="K286" i="23"/>
  <c r="C435" i="26"/>
  <c r="K394" i="23"/>
  <c r="L394" i="23" s="1"/>
  <c r="M394" i="23" s="1"/>
  <c r="K403" i="23"/>
  <c r="L403" i="23" s="1"/>
  <c r="M403" i="23" s="1"/>
  <c r="K282" i="23"/>
  <c r="K301" i="23"/>
  <c r="K435" i="23"/>
  <c r="K349" i="23"/>
  <c r="K297" i="23"/>
  <c r="L297" i="23" s="1"/>
  <c r="M297" i="23" s="1"/>
  <c r="K455" i="23"/>
  <c r="K284" i="23"/>
  <c r="L284" i="23" s="1"/>
  <c r="M284" i="23" s="1"/>
  <c r="K469" i="23"/>
  <c r="K456" i="23"/>
  <c r="L456" i="23" s="1"/>
  <c r="M456" i="23" s="1"/>
  <c r="K460" i="23"/>
  <c r="L460" i="23" s="1"/>
  <c r="M460" i="23" s="1"/>
  <c r="K493" i="23"/>
  <c r="L493" i="23" s="1"/>
  <c r="M493" i="23" s="1"/>
  <c r="K283" i="23"/>
  <c r="L283" i="23" s="1"/>
  <c r="M283" i="23" s="1"/>
  <c r="K462" i="23"/>
  <c r="L462" i="23" s="1"/>
  <c r="M462" i="23" s="1"/>
  <c r="K306" i="23"/>
  <c r="L306" i="23" s="1"/>
  <c r="M306" i="23" s="1"/>
  <c r="K473" i="23"/>
  <c r="L473" i="23" s="1"/>
  <c r="M473" i="23" s="1"/>
  <c r="K331" i="23"/>
  <c r="L331" i="23" s="1"/>
  <c r="M331" i="23" s="1"/>
  <c r="K509" i="23"/>
  <c r="K222" i="23"/>
  <c r="K474" i="23"/>
  <c r="K309" i="23"/>
  <c r="L309" i="23" s="1"/>
  <c r="M309" i="23" s="1"/>
  <c r="K477" i="23"/>
  <c r="K305" i="23"/>
  <c r="K414" i="23"/>
  <c r="L414" i="23" s="1"/>
  <c r="M414" i="23" s="1"/>
  <c r="K506" i="23"/>
  <c r="K476" i="23"/>
  <c r="K453" i="23"/>
  <c r="L453" i="23" s="1"/>
  <c r="M453" i="23" s="1"/>
  <c r="K400" i="23"/>
  <c r="K369" i="23"/>
  <c r="L369" i="23" s="1"/>
  <c r="M369" i="23" s="1"/>
  <c r="K354" i="23"/>
  <c r="K499" i="23"/>
  <c r="L499" i="23" s="1"/>
  <c r="M499" i="23" s="1"/>
  <c r="K397" i="23"/>
  <c r="L397" i="23" s="1"/>
  <c r="M397" i="23" s="1"/>
  <c r="K275" i="23"/>
  <c r="K527" i="23"/>
  <c r="L527" i="23" s="1"/>
  <c r="M527" i="23" s="1"/>
  <c r="K362" i="23"/>
  <c r="L362" i="23" s="1"/>
  <c r="M362" i="23" s="1"/>
  <c r="K417" i="23"/>
  <c r="K249" i="23"/>
  <c r="L249" i="23" s="1"/>
  <c r="M249" i="23" s="1"/>
  <c r="K408" i="23"/>
  <c r="L408" i="23" s="1"/>
  <c r="M408" i="23" s="1"/>
  <c r="K329" i="23"/>
  <c r="K458" i="23"/>
  <c r="K520" i="23"/>
  <c r="L520" i="23" s="1"/>
  <c r="M520" i="23" s="1"/>
  <c r="K471" i="23"/>
  <c r="L471" i="23" s="1"/>
  <c r="M471" i="23" s="1"/>
  <c r="K540" i="23"/>
  <c r="K261" i="23"/>
  <c r="L261" i="23" s="1"/>
  <c r="M261" i="23" s="1"/>
  <c r="K327" i="23"/>
  <c r="K319" i="23"/>
  <c r="K386" i="23"/>
  <c r="L386" i="23" s="1"/>
  <c r="M386" i="23" s="1"/>
  <c r="K465" i="23"/>
  <c r="K492" i="23"/>
  <c r="L492" i="23" s="1"/>
  <c r="M492" i="23" s="1"/>
  <c r="K489" i="23"/>
  <c r="L489" i="23" s="1"/>
  <c r="M489" i="23" s="1"/>
  <c r="K512" i="23"/>
  <c r="L512" i="23" s="1"/>
  <c r="M512" i="23" s="1"/>
  <c r="K549" i="23"/>
  <c r="L549" i="23" s="1"/>
  <c r="M549" i="23" s="1"/>
  <c r="K336" i="23"/>
  <c r="L336" i="23" s="1"/>
  <c r="M336" i="23" s="1"/>
  <c r="K459" i="23"/>
  <c r="K500" i="23"/>
  <c r="L500" i="23" s="1"/>
  <c r="M500" i="23" s="1"/>
  <c r="K264" i="23"/>
  <c r="L264" i="23" s="1"/>
  <c r="M264" i="23" s="1"/>
  <c r="K347" i="23"/>
  <c r="L347" i="23" s="1"/>
  <c r="M347" i="23" s="1"/>
  <c r="K274" i="23"/>
  <c r="K367" i="23"/>
  <c r="K271" i="23"/>
  <c r="L271" i="23" s="1"/>
  <c r="M271" i="23" s="1"/>
  <c r="K195" i="23"/>
  <c r="L195" i="23" s="1"/>
  <c r="M195" i="23" s="1"/>
  <c r="K391" i="23"/>
  <c r="K263" i="23"/>
  <c r="L263" i="23" s="1"/>
  <c r="M263" i="23" s="1"/>
  <c r="K360" i="23"/>
  <c r="L360" i="23" s="1"/>
  <c r="M360" i="23" s="1"/>
  <c r="K405" i="23"/>
  <c r="L405" i="23" s="1"/>
  <c r="M405" i="23" s="1"/>
  <c r="K225" i="23"/>
  <c r="L225" i="23" s="1"/>
  <c r="M225" i="23" s="1"/>
  <c r="K324" i="23"/>
  <c r="L324" i="23" s="1"/>
  <c r="M324" i="23" s="1"/>
  <c r="K230" i="23"/>
  <c r="L230" i="23" s="1"/>
  <c r="M230" i="23" s="1"/>
  <c r="K337" i="23"/>
  <c r="L337" i="23" s="1"/>
  <c r="M337" i="23" s="1"/>
  <c r="K406" i="23"/>
  <c r="L406" i="23" s="1"/>
  <c r="M406" i="23" s="1"/>
  <c r="K537" i="23"/>
  <c r="L537" i="23" s="1"/>
  <c r="M537" i="23" s="1"/>
  <c r="K299" i="23"/>
  <c r="L299" i="23" s="1"/>
  <c r="M299" i="23" s="1"/>
  <c r="Z392" i="19"/>
  <c r="G400" i="26" s="1"/>
  <c r="Z351" i="19"/>
  <c r="AT351" i="19" s="1"/>
  <c r="AR351" i="19" s="1"/>
  <c r="AS445" i="19"/>
  <c r="Z355" i="19"/>
  <c r="AT355" i="19" s="1"/>
  <c r="AR355" i="19" s="1"/>
  <c r="Z400" i="19"/>
  <c r="AT400" i="19" s="1"/>
  <c r="AR400" i="19" s="1"/>
  <c r="L329" i="23"/>
  <c r="M329" i="23" s="1"/>
  <c r="Z428" i="19"/>
  <c r="AT428" i="19" s="1"/>
  <c r="AR428" i="19" s="1"/>
  <c r="Z356" i="19"/>
  <c r="G364" i="26" s="1"/>
  <c r="Z535" i="19"/>
  <c r="AT535" i="19" s="1"/>
  <c r="AR535" i="19" s="1"/>
  <c r="Z528" i="19"/>
  <c r="G536" i="26" s="1"/>
  <c r="L548" i="23"/>
  <c r="M548" i="23" s="1"/>
  <c r="L327" i="23"/>
  <c r="M327" i="23" s="1"/>
  <c r="Z523" i="19"/>
  <c r="AT523" i="19" s="1"/>
  <c r="AR523" i="19" s="1"/>
  <c r="Z473" i="19"/>
  <c r="AT473" i="19" s="1"/>
  <c r="AR473" i="19" s="1"/>
  <c r="Z443" i="19"/>
  <c r="AT443" i="19" s="1"/>
  <c r="AR443" i="19" s="1"/>
  <c r="Z494" i="19"/>
  <c r="G502" i="26" s="1"/>
  <c r="Z480" i="19"/>
  <c r="AT480" i="19" s="1"/>
  <c r="AR480" i="19" s="1"/>
  <c r="Z290" i="19"/>
  <c r="G298" i="26" s="1"/>
  <c r="L522" i="23"/>
  <c r="M522" i="23" s="1"/>
  <c r="L497" i="23"/>
  <c r="M497" i="23" s="1"/>
  <c r="Z239" i="19"/>
  <c r="AT239" i="19" s="1"/>
  <c r="AR239" i="19" s="1"/>
  <c r="AS202" i="19"/>
  <c r="Z417" i="19"/>
  <c r="AT417" i="19" s="1"/>
  <c r="AR417" i="19" s="1"/>
  <c r="L458" i="23"/>
  <c r="M458" i="23" s="1"/>
  <c r="Z225" i="19"/>
  <c r="AT225" i="19" s="1"/>
  <c r="AR225" i="19" s="1"/>
  <c r="Z341" i="19"/>
  <c r="AT341" i="19" s="1"/>
  <c r="AR341" i="19" s="1"/>
  <c r="Z366" i="19"/>
  <c r="G374" i="26" s="1"/>
  <c r="Z496" i="19"/>
  <c r="AT496" i="19" s="1"/>
  <c r="AR496" i="19" s="1"/>
  <c r="L349" i="23"/>
  <c r="M349" i="23" s="1"/>
  <c r="Z236" i="19"/>
  <c r="AT236" i="19" s="1"/>
  <c r="AR236" i="19" s="1"/>
  <c r="Z514" i="19"/>
  <c r="G522" i="26" s="1"/>
  <c r="C372" i="26"/>
  <c r="L293" i="23"/>
  <c r="M293" i="23" s="1"/>
  <c r="Z387" i="19"/>
  <c r="AT387" i="19" s="1"/>
  <c r="AR387" i="19" s="1"/>
  <c r="Z238" i="19"/>
  <c r="AT238" i="19" s="1"/>
  <c r="AR238" i="19" s="1"/>
  <c r="Z381" i="19"/>
  <c r="G389" i="26" s="1"/>
  <c r="L222" i="23"/>
  <c r="M222" i="23" s="1"/>
  <c r="Z425" i="19"/>
  <c r="G433" i="26" s="1"/>
  <c r="Z465" i="19"/>
  <c r="AT465" i="19" s="1"/>
  <c r="AR465" i="19" s="1"/>
  <c r="L255" i="23"/>
  <c r="M255" i="23" s="1"/>
  <c r="Z393" i="19"/>
  <c r="AT393" i="19" s="1"/>
  <c r="AR393" i="19" s="1"/>
  <c r="Z413" i="19"/>
  <c r="AT413" i="19" s="1"/>
  <c r="AR413" i="19" s="1"/>
  <c r="Z420" i="19"/>
  <c r="AT420" i="19" s="1"/>
  <c r="AR420" i="19" s="1"/>
  <c r="Z200" i="19"/>
  <c r="AT200" i="19" s="1"/>
  <c r="AR200" i="19" s="1"/>
  <c r="C552" i="26"/>
  <c r="Z442" i="19"/>
  <c r="AT442" i="19" s="1"/>
  <c r="AR442" i="19" s="1"/>
  <c r="Z547" i="19"/>
  <c r="AT547" i="19" s="1"/>
  <c r="AR547" i="19" s="1"/>
  <c r="AS512" i="19"/>
  <c r="L469" i="23"/>
  <c r="M469" i="23" s="1"/>
  <c r="AS478" i="19"/>
  <c r="Z244" i="19"/>
  <c r="G252" i="26" s="1"/>
  <c r="AS359" i="19"/>
  <c r="Z488" i="19"/>
  <c r="AT488" i="19" s="1"/>
  <c r="AR488" i="19" s="1"/>
  <c r="L328" i="23"/>
  <c r="M328" i="23" s="1"/>
  <c r="L389" i="23"/>
  <c r="M389" i="23" s="1"/>
  <c r="D389" i="23"/>
  <c r="AS489" i="19"/>
  <c r="C497" i="26"/>
  <c r="G213" i="26"/>
  <c r="AT205" i="19"/>
  <c r="AR205" i="19" s="1"/>
  <c r="AS531" i="19"/>
  <c r="C539" i="26"/>
  <c r="AS230" i="19"/>
  <c r="C238" i="26"/>
  <c r="G317" i="26"/>
  <c r="AS474" i="19"/>
  <c r="C482" i="26"/>
  <c r="AS503" i="19"/>
  <c r="C511" i="26"/>
  <c r="L388" i="23"/>
  <c r="M388" i="23" s="1"/>
  <c r="D388" i="23"/>
  <c r="L438" i="23"/>
  <c r="M438" i="23" s="1"/>
  <c r="D438" i="23"/>
  <c r="Z531" i="19"/>
  <c r="AS412" i="19"/>
  <c r="C420" i="26"/>
  <c r="L303" i="23"/>
  <c r="M303" i="23" s="1"/>
  <c r="D303" i="23"/>
  <c r="L223" i="23"/>
  <c r="M223" i="23" s="1"/>
  <c r="D223" i="23"/>
  <c r="L538" i="23"/>
  <c r="M538" i="23" s="1"/>
  <c r="D538" i="23"/>
  <c r="L399" i="23"/>
  <c r="M399" i="23" s="1"/>
  <c r="D399" i="23"/>
  <c r="AT542" i="19"/>
  <c r="AR542" i="19" s="1"/>
  <c r="G550" i="26"/>
  <c r="L531" i="23"/>
  <c r="M531" i="23" s="1"/>
  <c r="D531" i="23"/>
  <c r="L213" i="23"/>
  <c r="M213" i="23" s="1"/>
  <c r="D213" i="23"/>
  <c r="Z241" i="19"/>
  <c r="AS285" i="19"/>
  <c r="C293" i="26"/>
  <c r="L502" i="23"/>
  <c r="M502" i="23" s="1"/>
  <c r="D502" i="23"/>
  <c r="AT491" i="19"/>
  <c r="AR491" i="19" s="1"/>
  <c r="G499" i="26"/>
  <c r="L344" i="23"/>
  <c r="M344" i="23" s="1"/>
  <c r="D344" i="23"/>
  <c r="L198" i="23"/>
  <c r="M198" i="23" s="1"/>
  <c r="Q201" i="23"/>
  <c r="D198" i="23"/>
  <c r="L262" i="23"/>
  <c r="M262" i="23" s="1"/>
  <c r="D262" i="23"/>
  <c r="AT447" i="19"/>
  <c r="AR447" i="19" s="1"/>
  <c r="G455" i="26"/>
  <c r="L513" i="23"/>
  <c r="M513" i="23" s="1"/>
  <c r="G379" i="26"/>
  <c r="L501" i="23"/>
  <c r="M501" i="23" s="1"/>
  <c r="D501" i="23"/>
  <c r="AS339" i="19"/>
  <c r="C347" i="26"/>
  <c r="AS494" i="19"/>
  <c r="C502" i="26"/>
  <c r="AT492" i="19"/>
  <c r="AR492" i="19" s="1"/>
  <c r="G500" i="26"/>
  <c r="L217" i="23"/>
  <c r="M217" i="23" s="1"/>
  <c r="D217" i="23"/>
  <c r="Z274" i="19"/>
  <c r="L433" i="23"/>
  <c r="M433" i="23" s="1"/>
  <c r="D433" i="23"/>
  <c r="C270" i="26"/>
  <c r="AS262" i="19"/>
  <c r="L553" i="23"/>
  <c r="M553" i="23" s="1"/>
  <c r="D553" i="23"/>
  <c r="L357" i="23"/>
  <c r="M357" i="23" s="1"/>
  <c r="D357" i="23"/>
  <c r="L375" i="23"/>
  <c r="M375" i="23" s="1"/>
  <c r="D375" i="23"/>
  <c r="L542" i="23"/>
  <c r="M542" i="23" s="1"/>
  <c r="D542" i="23"/>
  <c r="Z489" i="19"/>
  <c r="AS269" i="19"/>
  <c r="C277" i="26"/>
  <c r="L468" i="23"/>
  <c r="M468" i="23" s="1"/>
  <c r="D468" i="23"/>
  <c r="AS546" i="19"/>
  <c r="C554" i="26"/>
  <c r="AS393" i="19"/>
  <c r="C401" i="26"/>
  <c r="L244" i="23"/>
  <c r="M244" i="23" s="1"/>
  <c r="D244" i="23"/>
  <c r="AS535" i="19"/>
  <c r="C543" i="26"/>
  <c r="Z470" i="19"/>
  <c r="G456" i="26"/>
  <c r="AS221" i="19"/>
  <c r="C229" i="26"/>
  <c r="L454" i="23"/>
  <c r="M454" i="23" s="1"/>
  <c r="D454" i="23"/>
  <c r="L214" i="23"/>
  <c r="M214" i="23" s="1"/>
  <c r="D214" i="23"/>
  <c r="L346" i="23"/>
  <c r="M346" i="23" s="1"/>
  <c r="D346" i="23"/>
  <c r="AT260" i="19"/>
  <c r="AR260" i="19" s="1"/>
  <c r="G268" i="26"/>
  <c r="AS354" i="19"/>
  <c r="C362" i="26"/>
  <c r="Z287" i="19"/>
  <c r="L483" i="23"/>
  <c r="M483" i="23" s="1"/>
  <c r="D483" i="23"/>
  <c r="AS523" i="19"/>
  <c r="C531" i="26"/>
  <c r="L379" i="23"/>
  <c r="M379" i="23" s="1"/>
  <c r="Z251" i="19"/>
  <c r="L367" i="23"/>
  <c r="M367" i="23" s="1"/>
  <c r="L295" i="23"/>
  <c r="M295" i="23" s="1"/>
  <c r="D295" i="23"/>
  <c r="AT510" i="19"/>
  <c r="AR510" i="19" s="1"/>
  <c r="G518" i="26"/>
  <c r="L334" i="23"/>
  <c r="M334" i="23" s="1"/>
  <c r="D334" i="23"/>
  <c r="AT433" i="19"/>
  <c r="AR433" i="19" s="1"/>
  <c r="G441" i="26"/>
  <c r="G533" i="26"/>
  <c r="L319" i="23"/>
  <c r="M319" i="23" s="1"/>
  <c r="AS217" i="19"/>
  <c r="C225" i="26"/>
  <c r="L534" i="23"/>
  <c r="M534" i="23" s="1"/>
  <c r="L430" i="23"/>
  <c r="M430" i="23" s="1"/>
  <c r="D430" i="23"/>
  <c r="AS449" i="19"/>
  <c r="C457" i="26"/>
  <c r="L486" i="23"/>
  <c r="M486" i="23" s="1"/>
  <c r="D486" i="23"/>
  <c r="C451" i="26"/>
  <c r="AS443" i="19"/>
  <c r="L202" i="23"/>
  <c r="M202" i="23" s="1"/>
  <c r="D202" i="23"/>
  <c r="L279" i="23"/>
  <c r="M279" i="23" s="1"/>
  <c r="D279" i="23"/>
  <c r="L341" i="23"/>
  <c r="M341" i="23" s="1"/>
  <c r="D341" i="23"/>
  <c r="AS343" i="19"/>
  <c r="C351" i="26"/>
  <c r="Z346" i="19"/>
  <c r="C258" i="26"/>
  <c r="AS250" i="19"/>
  <c r="C300" i="26"/>
  <c r="L269" i="23"/>
  <c r="M269" i="23" s="1"/>
  <c r="D269" i="23"/>
  <c r="AS271" i="19"/>
  <c r="C279" i="26"/>
  <c r="L256" i="23"/>
  <c r="M256" i="23" s="1"/>
  <c r="D256" i="23"/>
  <c r="Z503" i="19"/>
  <c r="L423" i="23"/>
  <c r="M423" i="23" s="1"/>
  <c r="D423" i="23"/>
  <c r="L310" i="23"/>
  <c r="M310" i="23" s="1"/>
  <c r="D310" i="23"/>
  <c r="AS252" i="19"/>
  <c r="C260" i="26"/>
  <c r="C294" i="26"/>
  <c r="AS286" i="19"/>
  <c r="AS251" i="19"/>
  <c r="C259" i="26"/>
  <c r="C442" i="26"/>
  <c r="AS434" i="19"/>
  <c r="Z264" i="19"/>
  <c r="C368" i="26"/>
  <c r="AS360" i="19"/>
  <c r="L506" i="23"/>
  <c r="M506" i="23" s="1"/>
  <c r="Z520" i="19"/>
  <c r="AS383" i="19"/>
  <c r="C391" i="26"/>
  <c r="Z276" i="19"/>
  <c r="Z248" i="19"/>
  <c r="L361" i="23"/>
  <c r="M361" i="23" s="1"/>
  <c r="D361" i="23"/>
  <c r="L484" i="23"/>
  <c r="M484" i="23" s="1"/>
  <c r="D484" i="23"/>
  <c r="L516" i="23"/>
  <c r="M516" i="23" s="1"/>
  <c r="D516" i="23"/>
  <c r="L343" i="23"/>
  <c r="M343" i="23" s="1"/>
  <c r="D343" i="23"/>
  <c r="G239" i="26"/>
  <c r="AT231" i="19"/>
  <c r="AR231" i="19" s="1"/>
  <c r="L441" i="23"/>
  <c r="M441" i="23" s="1"/>
  <c r="D441" i="23"/>
  <c r="AT314" i="19"/>
  <c r="AR314" i="19" s="1"/>
  <c r="G322" i="26"/>
  <c r="AS466" i="19"/>
  <c r="C474" i="26"/>
  <c r="AS399" i="19"/>
  <c r="C407" i="26"/>
  <c r="L404" i="23"/>
  <c r="M404" i="23" s="1"/>
  <c r="D404" i="23"/>
  <c r="C478" i="26"/>
  <c r="AS470" i="19"/>
  <c r="AS504" i="19"/>
  <c r="C512" i="26"/>
  <c r="L253" i="23"/>
  <c r="M253" i="23" s="1"/>
  <c r="D253" i="23"/>
  <c r="L372" i="23"/>
  <c r="M372" i="23" s="1"/>
  <c r="D372" i="23"/>
  <c r="AT269" i="19"/>
  <c r="AR269" i="19" s="1"/>
  <c r="G277" i="26"/>
  <c r="C342" i="26"/>
  <c r="AS334" i="19"/>
  <c r="AS191" i="19"/>
  <c r="C199" i="26"/>
  <c r="C515" i="26"/>
  <c r="AS507" i="19"/>
  <c r="Z536" i="19"/>
  <c r="L354" i="23"/>
  <c r="M354" i="23" s="1"/>
  <c r="AS521" i="19"/>
  <c r="C529" i="26"/>
  <c r="L543" i="23"/>
  <c r="M543" i="23" s="1"/>
  <c r="D543" i="23"/>
  <c r="L201" i="23"/>
  <c r="M201" i="23" s="1"/>
  <c r="D201" i="23"/>
  <c r="AS365" i="19"/>
  <c r="C373" i="26"/>
  <c r="Z320" i="19"/>
  <c r="L510" i="23"/>
  <c r="M510" i="23" s="1"/>
  <c r="D510" i="23"/>
  <c r="L265" i="23"/>
  <c r="M265" i="23" s="1"/>
  <c r="Z466" i="19"/>
  <c r="AS341" i="19"/>
  <c r="C349" i="26"/>
  <c r="L206" i="23"/>
  <c r="M206" i="23" s="1"/>
  <c r="D206" i="23"/>
  <c r="L474" i="23"/>
  <c r="M474" i="23" s="1"/>
  <c r="C374" i="26"/>
  <c r="AS366" i="19"/>
  <c r="L268" i="23"/>
  <c r="M268" i="23" s="1"/>
  <c r="D268" i="23"/>
  <c r="L296" i="23"/>
  <c r="M296" i="23" s="1"/>
  <c r="D296" i="23"/>
  <c r="AT270" i="19"/>
  <c r="AR270" i="19" s="1"/>
  <c r="G278" i="26"/>
  <c r="AT529" i="19"/>
  <c r="AR529" i="19" s="1"/>
  <c r="G537" i="26"/>
  <c r="L241" i="23"/>
  <c r="M241" i="23" s="1"/>
  <c r="D241" i="23"/>
  <c r="L340" i="23"/>
  <c r="M340" i="23" s="1"/>
  <c r="D340" i="23"/>
  <c r="L495" i="23"/>
  <c r="M495" i="23" s="1"/>
  <c r="D495" i="23"/>
  <c r="L200" i="23"/>
  <c r="M200" i="23" s="1"/>
  <c r="D200" i="23"/>
  <c r="Z221" i="19"/>
  <c r="AT202" i="19"/>
  <c r="AR202" i="19" s="1"/>
  <c r="G210" i="26"/>
  <c r="AT468" i="19"/>
  <c r="AR468" i="19" s="1"/>
  <c r="G476" i="26"/>
  <c r="L528" i="23"/>
  <c r="M528" i="23" s="1"/>
  <c r="D528" i="23"/>
  <c r="Z383" i="19"/>
  <c r="L498" i="23"/>
  <c r="M498" i="23" s="1"/>
  <c r="D498" i="23"/>
  <c r="L421" i="23"/>
  <c r="M421" i="23" s="1"/>
  <c r="Z354" i="19"/>
  <c r="AS280" i="19"/>
  <c r="C288" i="26"/>
  <c r="L519" i="23"/>
  <c r="M519" i="23" s="1"/>
  <c r="D519" i="23"/>
  <c r="L365" i="23"/>
  <c r="M365" i="23" s="1"/>
  <c r="D365" i="23"/>
  <c r="AS461" i="19"/>
  <c r="C469" i="26"/>
  <c r="L229" i="23"/>
  <c r="M229" i="23" s="1"/>
  <c r="D229" i="23"/>
  <c r="Z410" i="19"/>
  <c r="Z509" i="19"/>
  <c r="AT516" i="19"/>
  <c r="AR516" i="19" s="1"/>
  <c r="G524" i="26"/>
  <c r="C222" i="26"/>
  <c r="AS214" i="19"/>
  <c r="AS321" i="19"/>
  <c r="C329" i="26"/>
  <c r="Z485" i="19"/>
  <c r="AS467" i="19"/>
  <c r="C475" i="26"/>
  <c r="L472" i="23"/>
  <c r="M472" i="23" s="1"/>
  <c r="D472" i="23"/>
  <c r="C517" i="26"/>
  <c r="AS509" i="19"/>
  <c r="AS238" i="19"/>
  <c r="C246" i="26"/>
  <c r="AS416" i="19"/>
  <c r="C424" i="26"/>
  <c r="L509" i="23"/>
  <c r="M509" i="23" s="1"/>
  <c r="L302" i="23"/>
  <c r="M302" i="23" s="1"/>
  <c r="D302" i="23"/>
  <c r="Z235" i="19"/>
  <c r="L236" i="23"/>
  <c r="M236" i="23" s="1"/>
  <c r="D236" i="23"/>
  <c r="Z416" i="19"/>
  <c r="L515" i="23"/>
  <c r="M515" i="23" s="1"/>
  <c r="D515" i="23"/>
  <c r="L205" i="23"/>
  <c r="M205" i="23" s="1"/>
  <c r="D205" i="23"/>
  <c r="AS222" i="19"/>
  <c r="C230" i="26"/>
  <c r="L356" i="23"/>
  <c r="M356" i="23" s="1"/>
  <c r="D356" i="23"/>
  <c r="L203" i="23"/>
  <c r="M203" i="23" s="1"/>
  <c r="D203" i="23"/>
  <c r="Z504" i="19"/>
  <c r="L371" i="23"/>
  <c r="M371" i="23" s="1"/>
  <c r="D371" i="23"/>
  <c r="L376" i="23"/>
  <c r="M376" i="23" s="1"/>
  <c r="D376" i="23"/>
  <c r="AT551" i="19"/>
  <c r="AR551" i="19" s="1"/>
  <c r="G559" i="26"/>
  <c r="AS355" i="19"/>
  <c r="C363" i="26"/>
  <c r="L312" i="23"/>
  <c r="M312" i="23" s="1"/>
  <c r="D312" i="23"/>
  <c r="Z430" i="19"/>
  <c r="Z335" i="19"/>
  <c r="Z296" i="19"/>
  <c r="AS411" i="19"/>
  <c r="C419" i="26"/>
  <c r="AS510" i="19"/>
  <c r="C518" i="26"/>
  <c r="AS423" i="19"/>
  <c r="C431" i="26"/>
  <c r="C525" i="26"/>
  <c r="AS517" i="19"/>
  <c r="Z226" i="19"/>
  <c r="AS454" i="19"/>
  <c r="C462" i="26"/>
  <c r="L411" i="23"/>
  <c r="M411" i="23" s="1"/>
  <c r="D411" i="23"/>
  <c r="Z498" i="19"/>
  <c r="AS486" i="19"/>
  <c r="C494" i="26"/>
  <c r="AT440" i="19"/>
  <c r="AR440" i="19" s="1"/>
  <c r="G448" i="26"/>
  <c r="C496" i="26"/>
  <c r="AS488" i="19"/>
  <c r="L199" i="23"/>
  <c r="M199" i="23" s="1"/>
  <c r="D199" i="23"/>
  <c r="AS223" i="19"/>
  <c r="C231" i="26"/>
  <c r="G490" i="26"/>
  <c r="AS236" i="19"/>
  <c r="C244" i="26"/>
  <c r="AS465" i="19"/>
  <c r="C473" i="26"/>
  <c r="L418" i="23"/>
  <c r="M418" i="23" s="1"/>
  <c r="D418" i="23"/>
  <c r="AT512" i="19"/>
  <c r="AR512" i="19" s="1"/>
  <c r="G520" i="26"/>
  <c r="L274" i="23"/>
  <c r="M274" i="23" s="1"/>
  <c r="L521" i="23"/>
  <c r="M521" i="23" s="1"/>
  <c r="D521" i="23"/>
  <c r="AS387" i="19"/>
  <c r="C395" i="26"/>
  <c r="L446" i="23"/>
  <c r="M446" i="23" s="1"/>
  <c r="AS428" i="19"/>
  <c r="C436" i="26"/>
  <c r="Z245" i="19"/>
  <c r="C425" i="26"/>
  <c r="AS417" i="19"/>
  <c r="Z234" i="19"/>
  <c r="G308" i="26"/>
  <c r="AT300" i="19"/>
  <c r="AR300" i="19" s="1"/>
  <c r="AS194" i="19"/>
  <c r="C202" i="26"/>
  <c r="AT546" i="19"/>
  <c r="AR546" i="19" s="1"/>
  <c r="G554" i="26"/>
  <c r="L301" i="23"/>
  <c r="M301" i="23" s="1"/>
  <c r="L359" i="23"/>
  <c r="M359" i="23" s="1"/>
  <c r="D359" i="23"/>
  <c r="AS505" i="19"/>
  <c r="C513" i="26"/>
  <c r="Z281" i="19"/>
  <c r="Z552" i="19"/>
  <c r="L333" i="23"/>
  <c r="M333" i="23" s="1"/>
  <c r="D333" i="23"/>
  <c r="L218" i="23"/>
  <c r="M218" i="23" s="1"/>
  <c r="D218" i="23"/>
  <c r="Z223" i="19"/>
  <c r="L307" i="23"/>
  <c r="M307" i="23" s="1"/>
  <c r="D307" i="23"/>
  <c r="AS431" i="19"/>
  <c r="C439" i="26"/>
  <c r="L443" i="23"/>
  <c r="M443" i="23" s="1"/>
  <c r="D443" i="23"/>
  <c r="AS296" i="19"/>
  <c r="C304" i="26"/>
  <c r="L380" i="23"/>
  <c r="M380" i="23" s="1"/>
  <c r="D380" i="23"/>
  <c r="L431" i="23"/>
  <c r="M431" i="23" s="1"/>
  <c r="D431" i="23"/>
  <c r="L281" i="23"/>
  <c r="M281" i="23" s="1"/>
  <c r="D281" i="23"/>
  <c r="AS297" i="19"/>
  <c r="C305" i="26"/>
  <c r="L221" i="23"/>
  <c r="M221" i="23" s="1"/>
  <c r="D221" i="23"/>
  <c r="C235" i="26"/>
  <c r="AS227" i="19"/>
  <c r="AS530" i="19"/>
  <c r="C538" i="26"/>
  <c r="AT499" i="19"/>
  <c r="AR499" i="19" s="1"/>
  <c r="G507" i="26"/>
  <c r="L338" i="23"/>
  <c r="M338" i="23" s="1"/>
  <c r="D338" i="23"/>
  <c r="AS241" i="19"/>
  <c r="C249" i="26"/>
  <c r="L227" i="23"/>
  <c r="M227" i="23" s="1"/>
  <c r="D227" i="23"/>
  <c r="C308" i="26"/>
  <c r="AS300" i="19"/>
  <c r="AS451" i="19"/>
  <c r="C459" i="26"/>
  <c r="L212" i="23"/>
  <c r="M212" i="23" s="1"/>
  <c r="D212" i="23"/>
  <c r="Z501" i="19"/>
  <c r="L466" i="23"/>
  <c r="M466" i="23" s="1"/>
  <c r="D466" i="23"/>
  <c r="AS246" i="19"/>
  <c r="C254" i="26"/>
  <c r="AS235" i="19"/>
  <c r="C243" i="26"/>
  <c r="C328" i="26"/>
  <c r="AS320" i="19"/>
  <c r="AS547" i="19"/>
  <c r="C555" i="26"/>
  <c r="G470" i="26"/>
  <c r="L370" i="23"/>
  <c r="M370" i="23" s="1"/>
  <c r="D370" i="23"/>
  <c r="L402" i="23"/>
  <c r="M402" i="23" s="1"/>
  <c r="D402" i="23"/>
  <c r="C290" i="26"/>
  <c r="AS282" i="19"/>
  <c r="AS310" i="19"/>
  <c r="C318" i="26"/>
  <c r="G222" i="26"/>
  <c r="AT214" i="19"/>
  <c r="AR214" i="19" s="1"/>
  <c r="AS224" i="19"/>
  <c r="C232" i="26"/>
  <c r="L298" i="23"/>
  <c r="M298" i="23" s="1"/>
  <c r="D298" i="23"/>
  <c r="AS405" i="19"/>
  <c r="C413" i="26"/>
  <c r="AS463" i="19"/>
  <c r="C471" i="26"/>
  <c r="AS258" i="19"/>
  <c r="C266" i="26"/>
  <c r="AS376" i="19"/>
  <c r="C384" i="26"/>
  <c r="C441" i="26"/>
  <c r="AS433" i="19"/>
  <c r="AS301" i="19"/>
  <c r="C309" i="26"/>
  <c r="L226" i="23"/>
  <c r="M226" i="23" s="1"/>
  <c r="D226" i="23"/>
  <c r="AS391" i="19"/>
  <c r="C399" i="26"/>
  <c r="L320" i="23"/>
  <c r="M320" i="23" s="1"/>
  <c r="D320" i="23"/>
  <c r="AS234" i="19"/>
  <c r="C242" i="26"/>
  <c r="L392" i="23"/>
  <c r="M392" i="23" s="1"/>
  <c r="D392" i="23"/>
  <c r="AT357" i="19"/>
  <c r="AR357" i="19" s="1"/>
  <c r="G365" i="26"/>
  <c r="L419" i="23"/>
  <c r="M419" i="23" s="1"/>
  <c r="D419" i="23"/>
  <c r="AS311" i="19"/>
  <c r="C319" i="26"/>
  <c r="AS215" i="19"/>
  <c r="C223" i="26"/>
  <c r="AS357" i="19"/>
  <c r="C365" i="26"/>
  <c r="AT364" i="19"/>
  <c r="AR364" i="19" s="1"/>
  <c r="L551" i="23"/>
  <c r="M551" i="23" s="1"/>
  <c r="D551" i="23"/>
  <c r="Z449" i="19"/>
  <c r="AS328" i="19"/>
  <c r="C336" i="26"/>
  <c r="L455" i="23"/>
  <c r="M455" i="23" s="1"/>
  <c r="AS516" i="19"/>
  <c r="C524" i="26"/>
  <c r="Z297" i="19"/>
  <c r="AT419" i="19"/>
  <c r="AR419" i="19" s="1"/>
  <c r="G427" i="26"/>
  <c r="AT262" i="19"/>
  <c r="AR262" i="19" s="1"/>
  <c r="G270" i="26"/>
  <c r="AS287" i="19"/>
  <c r="C295" i="26"/>
  <c r="G348" i="26"/>
  <c r="AT340" i="19"/>
  <c r="AR340" i="19" s="1"/>
  <c r="L232" i="23"/>
  <c r="M232" i="23" s="1"/>
  <c r="D232" i="23"/>
  <c r="L547" i="23"/>
  <c r="M547" i="23" s="1"/>
  <c r="D547" i="23"/>
  <c r="L251" i="23"/>
  <c r="M251" i="23" s="1"/>
  <c r="D251" i="23"/>
  <c r="L342" i="23"/>
  <c r="M342" i="23" s="1"/>
  <c r="D342" i="23"/>
  <c r="AT298" i="19"/>
  <c r="AR298" i="19" s="1"/>
  <c r="G306" i="26"/>
  <c r="G386" i="26"/>
  <c r="L416" i="23"/>
  <c r="M416" i="23" s="1"/>
  <c r="D416" i="23"/>
  <c r="L550" i="23"/>
  <c r="M550" i="23" s="1"/>
  <c r="D550" i="23"/>
  <c r="L272" i="23"/>
  <c r="M272" i="23" s="1"/>
  <c r="D272" i="23"/>
  <c r="L289" i="23"/>
  <c r="M289" i="23" s="1"/>
  <c r="D289" i="23"/>
  <c r="AS379" i="19"/>
  <c r="C387" i="26"/>
  <c r="C505" i="26"/>
  <c r="AS497" i="19"/>
  <c r="AS527" i="19"/>
  <c r="C535" i="26"/>
  <c r="Z301" i="19"/>
  <c r="L526" i="23"/>
  <c r="M526" i="23" s="1"/>
  <c r="D526" i="23"/>
  <c r="AS274" i="19"/>
  <c r="C282" i="26"/>
  <c r="L192" i="23"/>
  <c r="M192" i="23" s="1"/>
  <c r="D192" i="23"/>
  <c r="L260" i="23"/>
  <c r="M260" i="23" s="1"/>
  <c r="D260" i="23"/>
  <c r="L544" i="23"/>
  <c r="M544" i="23" s="1"/>
  <c r="D544" i="23"/>
  <c r="L444" i="23"/>
  <c r="M444" i="23" s="1"/>
  <c r="D444" i="23"/>
  <c r="AS337" i="19"/>
  <c r="C345" i="26"/>
  <c r="AS450" i="19"/>
  <c r="C458" i="26"/>
  <c r="AS441" i="19"/>
  <c r="C449" i="26"/>
  <c r="Z405" i="19"/>
  <c r="L439" i="23"/>
  <c r="M439" i="23" s="1"/>
  <c r="D439" i="23"/>
  <c r="AS298" i="19"/>
  <c r="C306" i="26"/>
  <c r="AS435" i="19"/>
  <c r="C443" i="26"/>
  <c r="G271" i="26"/>
  <c r="AT263" i="19"/>
  <c r="AR263" i="19" s="1"/>
  <c r="C418" i="26"/>
  <c r="AS410" i="19"/>
  <c r="L322" i="23"/>
  <c r="M322" i="23" s="1"/>
  <c r="D322" i="23"/>
  <c r="AS226" i="19"/>
  <c r="C234" i="26"/>
  <c r="L400" i="23"/>
  <c r="M400" i="23" s="1"/>
  <c r="L219" i="23"/>
  <c r="M219" i="23" s="1"/>
  <c r="D219" i="23"/>
  <c r="Z436" i="19"/>
  <c r="G463" i="26"/>
  <c r="AT455" i="19"/>
  <c r="AR455" i="19" s="1"/>
  <c r="L417" i="23"/>
  <c r="M417" i="23" s="1"/>
  <c r="L425" i="23"/>
  <c r="M425" i="23" s="1"/>
  <c r="D425" i="23"/>
  <c r="L524" i="23"/>
  <c r="M524" i="23" s="1"/>
  <c r="D524" i="23"/>
  <c r="AS248" i="19"/>
  <c r="C256" i="26"/>
  <c r="Z311" i="19"/>
  <c r="AS528" i="19"/>
  <c r="C536" i="26"/>
  <c r="AS302" i="19"/>
  <c r="C310" i="26"/>
  <c r="L508" i="23"/>
  <c r="M508" i="23" s="1"/>
  <c r="D508" i="23"/>
  <c r="AS369" i="19"/>
  <c r="C377" i="26"/>
  <c r="AS372" i="19"/>
  <c r="C380" i="26"/>
  <c r="L541" i="23"/>
  <c r="M541" i="23" s="1"/>
  <c r="D541" i="23"/>
  <c r="L412" i="23"/>
  <c r="M412" i="23" s="1"/>
  <c r="D412" i="23"/>
  <c r="AS550" i="19"/>
  <c r="C558" i="26"/>
  <c r="L436" i="23"/>
  <c r="M436" i="23" s="1"/>
  <c r="D436" i="23"/>
  <c r="L228" i="23"/>
  <c r="M228" i="23" s="1"/>
  <c r="D228" i="23"/>
  <c r="L308" i="23"/>
  <c r="M308" i="23" s="1"/>
  <c r="D308" i="23"/>
  <c r="Z394" i="19"/>
  <c r="AS436" i="19"/>
  <c r="C444" i="26"/>
  <c r="L363" i="23"/>
  <c r="M363" i="23" s="1"/>
  <c r="D363" i="23"/>
  <c r="AS394" i="19"/>
  <c r="C402" i="26"/>
  <c r="L409" i="23"/>
  <c r="M409" i="23" s="1"/>
  <c r="D409" i="23"/>
  <c r="AT368" i="19"/>
  <c r="AR368" i="19" s="1"/>
  <c r="G376" i="26"/>
  <c r="AS519" i="19"/>
  <c r="C527" i="26"/>
  <c r="L345" i="23"/>
  <c r="M345" i="23" s="1"/>
  <c r="C445" i="26"/>
  <c r="AS437" i="19"/>
  <c r="L532" i="23"/>
  <c r="M532" i="23" s="1"/>
  <c r="D532" i="23"/>
  <c r="L387" i="23"/>
  <c r="M387" i="23" s="1"/>
  <c r="D387" i="23"/>
  <c r="L237" i="23"/>
  <c r="M237" i="23" s="1"/>
  <c r="AS318" i="19"/>
  <c r="C326" i="26"/>
  <c r="Z412" i="19"/>
  <c r="AS312" i="19"/>
  <c r="C320" i="26"/>
  <c r="L383" i="23"/>
  <c r="M383" i="23" s="1"/>
  <c r="D383" i="23"/>
  <c r="Z334" i="19"/>
  <c r="AS244" i="19"/>
  <c r="C252" i="26"/>
  <c r="Z399" i="19"/>
  <c r="L478" i="23"/>
  <c r="M478" i="23" s="1"/>
  <c r="D478" i="23"/>
  <c r="L494" i="23"/>
  <c r="M494" i="23" s="1"/>
  <c r="D494" i="23"/>
  <c r="L330" i="23"/>
  <c r="M330" i="23" s="1"/>
  <c r="D330" i="23"/>
  <c r="L278" i="23"/>
  <c r="M278" i="23" s="1"/>
  <c r="D278" i="23"/>
  <c r="Z463" i="19"/>
  <c r="C322" i="26"/>
  <c r="AS314" i="19"/>
  <c r="AS395" i="19"/>
  <c r="C403" i="26"/>
  <c r="G447" i="26"/>
  <c r="L434" i="23"/>
  <c r="M434" i="23" s="1"/>
  <c r="D434" i="23"/>
  <c r="L517" i="23"/>
  <c r="M517" i="23" s="1"/>
  <c r="D517" i="23"/>
  <c r="L395" i="23"/>
  <c r="M395" i="23" s="1"/>
  <c r="D395" i="23"/>
  <c r="C504" i="26"/>
  <c r="AS496" i="19"/>
  <c r="C508" i="26"/>
  <c r="AS500" i="19"/>
  <c r="Z272" i="19"/>
  <c r="Z323" i="19"/>
  <c r="AS413" i="19"/>
  <c r="C421" i="26"/>
  <c r="L282" i="23"/>
  <c r="M282" i="23" s="1"/>
  <c r="Z533" i="19"/>
  <c r="C343" i="26"/>
  <c r="AS335" i="19"/>
  <c r="AS400" i="19"/>
  <c r="C408" i="26"/>
  <c r="L280" i="23"/>
  <c r="M280" i="23" s="1"/>
  <c r="D280" i="23"/>
  <c r="L435" i="23"/>
  <c r="M435" i="23" s="1"/>
  <c r="AS514" i="19"/>
  <c r="C522" i="26"/>
  <c r="AS447" i="19"/>
  <c r="C455" i="26"/>
  <c r="AT316" i="19"/>
  <c r="AR316" i="19" s="1"/>
  <c r="G324" i="26"/>
  <c r="L514" i="23"/>
  <c r="M514" i="23" s="1"/>
  <c r="D514" i="23"/>
  <c r="AS356" i="19"/>
  <c r="C364" i="26"/>
  <c r="AS425" i="19"/>
  <c r="C433" i="26"/>
  <c r="L377" i="23"/>
  <c r="M377" i="23" s="1"/>
  <c r="D377" i="23"/>
  <c r="L364" i="23"/>
  <c r="M364" i="23" s="1"/>
  <c r="D364" i="23"/>
  <c r="Z211" i="19"/>
  <c r="L491" i="23"/>
  <c r="M491" i="23" s="1"/>
  <c r="L210" i="23"/>
  <c r="M210" i="23" s="1"/>
  <c r="D210" i="23"/>
  <c r="C233" i="26"/>
  <c r="AS225" i="19"/>
  <c r="AS536" i="19"/>
  <c r="C544" i="26"/>
  <c r="L461" i="23"/>
  <c r="M461" i="23" s="1"/>
  <c r="D461" i="23"/>
  <c r="L339" i="23"/>
  <c r="M339" i="23" s="1"/>
  <c r="D339" i="23"/>
  <c r="L447" i="23"/>
  <c r="M447" i="23" s="1"/>
  <c r="D447" i="23"/>
  <c r="L207" i="23"/>
  <c r="M207" i="23" s="1"/>
  <c r="D207" i="23"/>
  <c r="L540" i="23"/>
  <c r="M540" i="23" s="1"/>
  <c r="L352" i="23"/>
  <c r="M352" i="23" s="1"/>
  <c r="D352" i="23"/>
  <c r="AS290" i="19"/>
  <c r="C298" i="26"/>
  <c r="AS480" i="19"/>
  <c r="C488" i="26"/>
  <c r="L204" i="23"/>
  <c r="M204" i="23" s="1"/>
  <c r="D204" i="23"/>
  <c r="AT322" i="19"/>
  <c r="AR322" i="19" s="1"/>
  <c r="G330" i="26"/>
  <c r="AS534" i="19"/>
  <c r="C542" i="26"/>
  <c r="AS322" i="19"/>
  <c r="C330" i="26"/>
  <c r="L313" i="23"/>
  <c r="M313" i="23" s="1"/>
  <c r="D313" i="23"/>
  <c r="L391" i="23"/>
  <c r="M391" i="23" s="1"/>
  <c r="L470" i="23"/>
  <c r="M470" i="23" s="1"/>
  <c r="D470" i="23"/>
  <c r="Z191" i="19"/>
  <c r="AS430" i="19"/>
  <c r="C438" i="26"/>
  <c r="Z199" i="19"/>
  <c r="L326" i="23"/>
  <c r="M326" i="23" s="1"/>
  <c r="L476" i="23"/>
  <c r="M476" i="23" s="1"/>
  <c r="L427" i="23"/>
  <c r="M427" i="23" s="1"/>
  <c r="D427" i="23"/>
  <c r="L348" i="23"/>
  <c r="M348" i="23" s="1"/>
  <c r="D348" i="23"/>
  <c r="Z194" i="19"/>
  <c r="L378" i="23"/>
  <c r="M378" i="23" s="1"/>
  <c r="D378" i="23"/>
  <c r="Z550" i="19"/>
  <c r="L243" i="23"/>
  <c r="M243" i="23" s="1"/>
  <c r="D243" i="23"/>
  <c r="AS456" i="19"/>
  <c r="C464" i="26"/>
  <c r="Z451" i="19"/>
  <c r="L487" i="23"/>
  <c r="M487" i="23" s="1"/>
  <c r="D487" i="23"/>
  <c r="L257" i="23"/>
  <c r="M257" i="23" s="1"/>
  <c r="D257" i="23"/>
  <c r="Z271" i="19"/>
  <c r="L291" i="23"/>
  <c r="M291" i="23" s="1"/>
  <c r="D291" i="23"/>
  <c r="L267" i="23"/>
  <c r="M267" i="23" s="1"/>
  <c r="D267" i="23"/>
  <c r="AS415" i="19"/>
  <c r="C423" i="26"/>
  <c r="AS281" i="19"/>
  <c r="C289" i="26"/>
  <c r="L290" i="23"/>
  <c r="M290" i="23" s="1"/>
  <c r="AS323" i="19"/>
  <c r="C331" i="26"/>
  <c r="L332" i="23"/>
  <c r="M332" i="23" s="1"/>
  <c r="D332" i="23"/>
  <c r="L477" i="23"/>
  <c r="M477" i="23" s="1"/>
  <c r="AS245" i="19"/>
  <c r="C253" i="26"/>
  <c r="L529" i="23"/>
  <c r="M529" i="23" s="1"/>
  <c r="D529" i="23"/>
  <c r="L209" i="23"/>
  <c r="M209" i="23" s="1"/>
  <c r="D209" i="23"/>
  <c r="L216" i="23"/>
  <c r="M216" i="23" s="1"/>
  <c r="D216" i="23"/>
  <c r="L304" i="23"/>
  <c r="M304" i="23" s="1"/>
  <c r="D304" i="23"/>
  <c r="AT486" i="19"/>
  <c r="AR486" i="19" s="1"/>
  <c r="G494" i="26"/>
  <c r="Z305" i="19"/>
  <c r="L321" i="23"/>
  <c r="M321" i="23" s="1"/>
  <c r="D321" i="23"/>
  <c r="Z434" i="19"/>
  <c r="L215" i="23"/>
  <c r="M215" i="23" s="1"/>
  <c r="AS200" i="19"/>
  <c r="C208" i="26"/>
  <c r="L275" i="23"/>
  <c r="M275" i="23" s="1"/>
  <c r="L426" i="23"/>
  <c r="M426" i="23" s="1"/>
  <c r="D426" i="23"/>
  <c r="L233" i="23"/>
  <c r="M233" i="23" s="1"/>
  <c r="D233" i="23"/>
  <c r="L250" i="23"/>
  <c r="M250" i="23" s="1"/>
  <c r="D250" i="23"/>
  <c r="AT195" i="19"/>
  <c r="AR195" i="19" s="1"/>
  <c r="G203" i="26"/>
  <c r="C559" i="26"/>
  <c r="AS551" i="19"/>
  <c r="G368" i="26"/>
  <c r="AT360" i="19"/>
  <c r="AR360" i="19" s="1"/>
  <c r="L424" i="23"/>
  <c r="M424" i="23" s="1"/>
  <c r="D424" i="23"/>
  <c r="L545" i="23"/>
  <c r="M545" i="23" s="1"/>
  <c r="D545" i="23"/>
  <c r="AS264" i="19"/>
  <c r="C272" i="26"/>
  <c r="AS272" i="19"/>
  <c r="C280" i="26"/>
  <c r="AS239" i="19"/>
  <c r="C247" i="26"/>
  <c r="AT215" i="19"/>
  <c r="AR215" i="19" s="1"/>
  <c r="G223" i="26"/>
  <c r="L445" i="23"/>
  <c r="M445" i="23" s="1"/>
  <c r="D445" i="23"/>
  <c r="L385" i="23"/>
  <c r="M385" i="23" s="1"/>
  <c r="D385" i="23"/>
  <c r="AS199" i="19"/>
  <c r="C207" i="26"/>
  <c r="L368" i="23"/>
  <c r="M368" i="23" s="1"/>
  <c r="D368" i="23"/>
  <c r="Z391" i="19"/>
  <c r="L481" i="23"/>
  <c r="M481" i="23" s="1"/>
  <c r="D481" i="23"/>
  <c r="Z302" i="19"/>
  <c r="C428" i="26"/>
  <c r="AS420" i="19"/>
  <c r="AS487" i="19"/>
  <c r="C495" i="26"/>
  <c r="AS485" i="19"/>
  <c r="C493" i="26"/>
  <c r="L245" i="23"/>
  <c r="M245" i="23" s="1"/>
  <c r="D245" i="23"/>
  <c r="L432" i="23"/>
  <c r="M432" i="23" s="1"/>
  <c r="D432" i="23"/>
  <c r="Z372" i="19"/>
  <c r="Z376" i="19"/>
  <c r="L410" i="23"/>
  <c r="M410" i="23" s="1"/>
  <c r="L208" i="23"/>
  <c r="M208" i="23" s="1"/>
  <c r="D208" i="23"/>
  <c r="L231" i="23"/>
  <c r="M231" i="23" s="1"/>
  <c r="D231" i="23"/>
  <c r="AT500" i="19"/>
  <c r="AR500" i="19" s="1"/>
  <c r="G508" i="26"/>
  <c r="L286" i="23"/>
  <c r="M286" i="23" s="1"/>
  <c r="L539" i="23"/>
  <c r="M539" i="23" s="1"/>
  <c r="D539" i="23"/>
  <c r="L420" i="23"/>
  <c r="M420" i="23" s="1"/>
  <c r="D420" i="23"/>
  <c r="L490" i="23"/>
  <c r="M490" i="23" s="1"/>
  <c r="D490" i="23"/>
  <c r="L505" i="23"/>
  <c r="M505" i="23" s="1"/>
  <c r="D505" i="23"/>
  <c r="L294" i="23"/>
  <c r="M294" i="23" s="1"/>
  <c r="D294" i="23"/>
  <c r="L449" i="23"/>
  <c r="M449" i="23" s="1"/>
  <c r="D449" i="23"/>
  <c r="L479" i="23"/>
  <c r="M479" i="23" s="1"/>
  <c r="D479" i="23"/>
  <c r="C240" i="26"/>
  <c r="AS232" i="19"/>
  <c r="L523" i="23"/>
  <c r="M523" i="23" s="1"/>
  <c r="D523" i="23"/>
  <c r="AS346" i="19"/>
  <c r="C354" i="26"/>
  <c r="C400" i="26"/>
  <c r="AS392" i="19"/>
  <c r="L247" i="23"/>
  <c r="M247" i="23" s="1"/>
  <c r="D247" i="23"/>
  <c r="L335" i="23"/>
  <c r="M335" i="23" s="1"/>
  <c r="D335" i="23"/>
  <c r="AS381" i="19"/>
  <c r="C389" i="26"/>
  <c r="L194" i="23"/>
  <c r="M194" i="23" s="1"/>
  <c r="D194" i="23"/>
  <c r="Z441" i="19"/>
  <c r="Z497" i="19"/>
  <c r="C237" i="26"/>
  <c r="AS229" i="19"/>
  <c r="Z246" i="19"/>
  <c r="AS305" i="19"/>
  <c r="C313" i="26"/>
  <c r="L407" i="23"/>
  <c r="M407" i="23" s="1"/>
  <c r="D407" i="23"/>
  <c r="AS373" i="19"/>
  <c r="C381" i="26"/>
  <c r="AS377" i="19"/>
  <c r="C385" i="26"/>
  <c r="AS329" i="19"/>
  <c r="C337" i="26"/>
  <c r="L485" i="23"/>
  <c r="M485" i="23" s="1"/>
  <c r="D485" i="23"/>
  <c r="L442" i="23"/>
  <c r="M442" i="23" s="1"/>
  <c r="D442" i="23"/>
  <c r="AS211" i="19"/>
  <c r="C219" i="26"/>
  <c r="AT337" i="19"/>
  <c r="AR337" i="19" s="1"/>
  <c r="G345" i="26"/>
  <c r="AS501" i="19"/>
  <c r="C509" i="26"/>
  <c r="L457" i="23"/>
  <c r="M457" i="23" s="1"/>
  <c r="D457" i="23"/>
  <c r="L440" i="23"/>
  <c r="M440" i="23" s="1"/>
  <c r="D440" i="23"/>
  <c r="C481" i="26"/>
  <c r="AS473" i="19"/>
  <c r="C359" i="26"/>
  <c r="AS351" i="19"/>
  <c r="L239" i="23"/>
  <c r="M239" i="23" s="1"/>
  <c r="D239" i="23"/>
  <c r="L211" i="23"/>
  <c r="M211" i="23" s="1"/>
  <c r="D211" i="23"/>
  <c r="L316" i="23"/>
  <c r="M316" i="23" s="1"/>
  <c r="D316" i="23"/>
  <c r="Z519" i="19"/>
  <c r="L452" i="23"/>
  <c r="M452" i="23" s="1"/>
  <c r="D452" i="23"/>
  <c r="L292" i="23"/>
  <c r="M292" i="23" s="1"/>
  <c r="D292" i="23"/>
  <c r="L530" i="23"/>
  <c r="M530" i="23" s="1"/>
  <c r="D530" i="23"/>
  <c r="AS390" i="19"/>
  <c r="C398" i="26"/>
  <c r="L507" i="23"/>
  <c r="M507" i="23" s="1"/>
  <c r="D507" i="23"/>
  <c r="L350" i="23"/>
  <c r="M350" i="23" s="1"/>
  <c r="D350" i="23"/>
  <c r="L305" i="23"/>
  <c r="M305" i="23" s="1"/>
  <c r="L246" i="23"/>
  <c r="M246" i="23" s="1"/>
  <c r="Z252" i="19"/>
  <c r="AS442" i="19"/>
  <c r="C450" i="26"/>
  <c r="AS498" i="19"/>
  <c r="C506" i="26"/>
  <c r="L323" i="23"/>
  <c r="M323" i="23" s="1"/>
  <c r="D323" i="23"/>
  <c r="AS193" i="19"/>
  <c r="C201" i="26"/>
  <c r="AS247" i="19"/>
  <c r="C255" i="26"/>
  <c r="L465" i="23"/>
  <c r="M465" i="23" s="1"/>
  <c r="L193" i="23"/>
  <c r="M193" i="23" s="1"/>
  <c r="D193" i="23"/>
  <c r="L248" i="23"/>
  <c r="M248" i="23" s="1"/>
  <c r="D248" i="23"/>
  <c r="Z474" i="19"/>
  <c r="L464" i="23"/>
  <c r="M464" i="23" s="1"/>
  <c r="L358" i="23"/>
  <c r="M358" i="23" s="1"/>
  <c r="L353" i="23"/>
  <c r="M353" i="23" s="1"/>
  <c r="D353" i="23"/>
  <c r="Z467" i="19"/>
  <c r="L288" i="23"/>
  <c r="M288" i="23" s="1"/>
  <c r="D288" i="23"/>
  <c r="AT229" i="19"/>
  <c r="AR229" i="19" s="1"/>
  <c r="G237" i="26"/>
  <c r="C284" i="26"/>
  <c r="AS276" i="19"/>
  <c r="AS520" i="19"/>
  <c r="C528" i="26"/>
  <c r="L277" i="23"/>
  <c r="M277" i="23" s="1"/>
  <c r="D277" i="23"/>
  <c r="L314" i="23"/>
  <c r="M314" i="23" s="1"/>
  <c r="D314" i="23"/>
  <c r="L220" i="23"/>
  <c r="M220" i="23" s="1"/>
  <c r="D220" i="23"/>
  <c r="AT521" i="19"/>
  <c r="AR521" i="19" s="1"/>
  <c r="G529" i="26"/>
  <c r="AS533" i="19"/>
  <c r="C541" i="26"/>
  <c r="C426" i="26"/>
  <c r="AS418" i="19"/>
  <c r="L235" i="23"/>
  <c r="M235" i="23" s="1"/>
  <c r="D235" i="23"/>
  <c r="AT411" i="19"/>
  <c r="AR411" i="19" s="1"/>
  <c r="G419" i="26"/>
  <c r="AS253" i="19"/>
  <c r="C261" i="26"/>
  <c r="L393" i="23"/>
  <c r="M393" i="23" s="1"/>
  <c r="D393" i="23"/>
  <c r="L535" i="23"/>
  <c r="M535" i="23" s="1"/>
  <c r="D535" i="23"/>
  <c r="AT456" i="19"/>
  <c r="AR456" i="19" s="1"/>
  <c r="G464" i="26"/>
  <c r="AS307" i="19"/>
  <c r="C315" i="26"/>
  <c r="L459" i="23"/>
  <c r="M459" i="23" s="1"/>
  <c r="L488" i="23"/>
  <c r="M488" i="23" s="1"/>
  <c r="D488" i="23"/>
  <c r="L398" i="23"/>
  <c r="M398" i="23" s="1"/>
  <c r="L270" i="23"/>
  <c r="M270" i="23" s="1"/>
  <c r="D270" i="23"/>
  <c r="Z437" i="19"/>
  <c r="L390" i="23"/>
  <c r="M390" i="23" s="1"/>
  <c r="C546" i="26"/>
  <c r="AS538" i="19"/>
  <c r="AS468" i="19"/>
  <c r="C476" i="26"/>
  <c r="G353" i="26" l="1"/>
  <c r="AT454" i="19"/>
  <c r="AR454" i="19" s="1"/>
  <c r="AT216" i="19"/>
  <c r="AR216" i="19" s="1"/>
  <c r="G290" i="26"/>
  <c r="G245" i="26"/>
  <c r="G287" i="26"/>
  <c r="G443" i="26"/>
  <c r="AT283" i="19"/>
  <c r="AR283" i="19" s="1"/>
  <c r="AQ283" i="19" s="1"/>
  <c r="G240" i="26"/>
  <c r="AT515" i="19"/>
  <c r="AR515" i="19" s="1"/>
  <c r="G370" i="26"/>
  <c r="G465" i="26"/>
  <c r="AT518" i="19"/>
  <c r="AR518" i="19" s="1"/>
  <c r="G358" i="26"/>
  <c r="G486" i="26"/>
  <c r="G357" i="26"/>
  <c r="G299" i="26"/>
  <c r="G510" i="26"/>
  <c r="G311" i="26"/>
  <c r="G501" i="26"/>
  <c r="G275" i="26"/>
  <c r="G423" i="26"/>
  <c r="AT379" i="19"/>
  <c r="AR379" i="19" s="1"/>
  <c r="AT256" i="19"/>
  <c r="AR256" i="19" s="1"/>
  <c r="AQ256" i="19" s="1"/>
  <c r="AT213" i="19"/>
  <c r="AR213" i="19" s="1"/>
  <c r="G552" i="26"/>
  <c r="G250" i="26"/>
  <c r="G547" i="26"/>
  <c r="G211" i="26"/>
  <c r="G366" i="26"/>
  <c r="AT313" i="19"/>
  <c r="AR313" i="19" s="1"/>
  <c r="B321" i="26" s="1"/>
  <c r="G230" i="26"/>
  <c r="G367" i="26"/>
  <c r="G396" i="26"/>
  <c r="G435" i="26"/>
  <c r="G382" i="26"/>
  <c r="AT268" i="19"/>
  <c r="AR268" i="19" s="1"/>
  <c r="B276" i="26" s="1"/>
  <c r="G453" i="26"/>
  <c r="AT537" i="19"/>
  <c r="AR537" i="19" s="1"/>
  <c r="B545" i="26" s="1"/>
  <c r="G209" i="26"/>
  <c r="G301" i="26"/>
  <c r="G318" i="26"/>
  <c r="AT206" i="19"/>
  <c r="AR206" i="19" s="1"/>
  <c r="AQ206" i="19" s="1"/>
  <c r="G446" i="26"/>
  <c r="G530" i="26"/>
  <c r="AT233" i="19"/>
  <c r="AR233" i="19" s="1"/>
  <c r="C333" i="26"/>
  <c r="G263" i="26"/>
  <c r="AT249" i="19"/>
  <c r="AR249" i="19" s="1"/>
  <c r="G303" i="26"/>
  <c r="G265" i="26"/>
  <c r="G355" i="26"/>
  <c r="AT472" i="19"/>
  <c r="AR472" i="19" s="1"/>
  <c r="AQ472" i="19" s="1"/>
  <c r="G236" i="26"/>
  <c r="G406" i="26"/>
  <c r="AT548" i="19"/>
  <c r="AR548" i="19" s="1"/>
  <c r="AQ548" i="19" s="1"/>
  <c r="G514" i="26"/>
  <c r="G503" i="26"/>
  <c r="G333" i="26"/>
  <c r="G492" i="26"/>
  <c r="AT292" i="19"/>
  <c r="AR292" i="19" s="1"/>
  <c r="AQ292" i="19" s="1"/>
  <c r="AT204" i="19"/>
  <c r="AR204" i="19" s="1"/>
  <c r="B212" i="26" s="1"/>
  <c r="AT453" i="19"/>
  <c r="AR453" i="19" s="1"/>
  <c r="B461" i="26" s="1"/>
  <c r="AT475" i="19"/>
  <c r="AR475" i="19" s="1"/>
  <c r="AQ475" i="19" s="1"/>
  <c r="G452" i="26"/>
  <c r="G417" i="26"/>
  <c r="G339" i="26"/>
  <c r="G392" i="26"/>
  <c r="G332" i="26"/>
  <c r="AT218" i="19"/>
  <c r="AR218" i="19" s="1"/>
  <c r="B226" i="26" s="1"/>
  <c r="G281" i="26"/>
  <c r="G434" i="26"/>
  <c r="G491" i="26"/>
  <c r="G269" i="26"/>
  <c r="G286" i="26"/>
  <c r="G430" i="26"/>
  <c r="G274" i="26"/>
  <c r="AT432" i="19"/>
  <c r="AR432" i="19" s="1"/>
  <c r="B440" i="26" s="1"/>
  <c r="G395" i="26"/>
  <c r="AT289" i="19"/>
  <c r="AR289" i="19" s="1"/>
  <c r="AQ289" i="19" s="1"/>
  <c r="AT353" i="19"/>
  <c r="AR353" i="19" s="1"/>
  <c r="AQ353" i="19" s="1"/>
  <c r="AT476" i="19"/>
  <c r="AR476" i="19" s="1"/>
  <c r="AQ476" i="19" s="1"/>
  <c r="AT402" i="19"/>
  <c r="AR402" i="19" s="1"/>
  <c r="B410" i="26" s="1"/>
  <c r="G468" i="26"/>
  <c r="AT481" i="19"/>
  <c r="AR481" i="19" s="1"/>
  <c r="B489" i="26" s="1"/>
  <c r="G206" i="26"/>
  <c r="AT385" i="19"/>
  <c r="AR385" i="19" s="1"/>
  <c r="AQ385" i="19" s="1"/>
  <c r="G467" i="26"/>
  <c r="G292" i="26"/>
  <c r="G469" i="26"/>
  <c r="G208" i="26"/>
  <c r="G356" i="26"/>
  <c r="AT258" i="19"/>
  <c r="AR258" i="19" s="1"/>
  <c r="AQ258" i="19" s="1"/>
  <c r="G549" i="26"/>
  <c r="G218" i="26"/>
  <c r="AT290" i="19"/>
  <c r="AR290" i="19" s="1"/>
  <c r="AQ290" i="19" s="1"/>
  <c r="G454" i="26"/>
  <c r="G436" i="26"/>
  <c r="G412" i="26"/>
  <c r="G460" i="26"/>
  <c r="G200" i="26"/>
  <c r="AT514" i="19"/>
  <c r="AR514" i="19" s="1"/>
  <c r="B522" i="26" s="1"/>
  <c r="AT403" i="19"/>
  <c r="AR403" i="19" s="1"/>
  <c r="B411" i="26" s="1"/>
  <c r="AT288" i="19"/>
  <c r="AR288" i="19" s="1"/>
  <c r="AQ288" i="19" s="1"/>
  <c r="C447" i="26"/>
  <c r="F447" i="26" s="1"/>
  <c r="C483" i="26"/>
  <c r="D483" i="26" s="1"/>
  <c r="A483" i="26" s="1"/>
  <c r="C485" i="26"/>
  <c r="D485" i="26" s="1"/>
  <c r="A485" i="26" s="1"/>
  <c r="G285" i="26"/>
  <c r="AT370" i="19"/>
  <c r="AR370" i="19" s="1"/>
  <c r="B378" i="26" s="1"/>
  <c r="G371" i="26"/>
  <c r="G369" i="26"/>
  <c r="AT306" i="19"/>
  <c r="AR306" i="19" s="1"/>
  <c r="AQ306" i="19" s="1"/>
  <c r="G215" i="26"/>
  <c r="AT244" i="19"/>
  <c r="AR244" i="19" s="1"/>
  <c r="AQ244" i="19" s="1"/>
  <c r="AS408" i="19"/>
  <c r="AT196" i="19"/>
  <c r="AR196" i="19" s="1"/>
  <c r="AQ196" i="19" s="1"/>
  <c r="G532" i="26"/>
  <c r="AT527" i="19"/>
  <c r="AR527" i="19" s="1"/>
  <c r="B535" i="26" s="1"/>
  <c r="G519" i="26"/>
  <c r="G267" i="26"/>
  <c r="G409" i="26"/>
  <c r="G415" i="26"/>
  <c r="AT319" i="19"/>
  <c r="AR319" i="19" s="1"/>
  <c r="B327" i="26" s="1"/>
  <c r="G334" i="26"/>
  <c r="G307" i="26"/>
  <c r="G429" i="26"/>
  <c r="G397" i="26"/>
  <c r="AS308" i="19"/>
  <c r="AT375" i="19"/>
  <c r="AR375" i="19" s="1"/>
  <c r="B383" i="26" s="1"/>
  <c r="AS275" i="19"/>
  <c r="G338" i="26"/>
  <c r="G316" i="26"/>
  <c r="G341" i="26"/>
  <c r="G555" i="26"/>
  <c r="AT317" i="19"/>
  <c r="AR317" i="19" s="1"/>
  <c r="AQ317" i="19" s="1"/>
  <c r="G320" i="26"/>
  <c r="AT469" i="19"/>
  <c r="AR469" i="19" s="1"/>
  <c r="AQ469" i="19" s="1"/>
  <c r="G352" i="26"/>
  <c r="G521" i="26"/>
  <c r="G551" i="26"/>
  <c r="C216" i="26"/>
  <c r="F216" i="26" s="1"/>
  <c r="G414" i="26"/>
  <c r="G283" i="26"/>
  <c r="G350" i="26"/>
  <c r="AT327" i="19"/>
  <c r="AR327" i="19" s="1"/>
  <c r="AQ327" i="19" s="1"/>
  <c r="AT408" i="19"/>
  <c r="AR408" i="19" s="1"/>
  <c r="AQ408" i="19" s="1"/>
  <c r="G394" i="26"/>
  <c r="AT380" i="19"/>
  <c r="AR380" i="19" s="1"/>
  <c r="AQ380" i="19" s="1"/>
  <c r="C417" i="26"/>
  <c r="F417" i="26" s="1"/>
  <c r="G248" i="26"/>
  <c r="G360" i="26"/>
  <c r="G205" i="26"/>
  <c r="G487" i="26"/>
  <c r="G516" i="26"/>
  <c r="G485" i="26"/>
  <c r="G466" i="26"/>
  <c r="AT212" i="19"/>
  <c r="AR212" i="19" s="1"/>
  <c r="AQ212" i="19" s="1"/>
  <c r="G557" i="26"/>
  <c r="G261" i="26"/>
  <c r="G479" i="26"/>
  <c r="AT429" i="19"/>
  <c r="AR429" i="19" s="1"/>
  <c r="B437" i="26" s="1"/>
  <c r="G472" i="26"/>
  <c r="AT397" i="19"/>
  <c r="AR397" i="19" s="1"/>
  <c r="AQ397" i="19" s="1"/>
  <c r="AT294" i="19"/>
  <c r="AR294" i="19" s="1"/>
  <c r="AQ294" i="19" s="1"/>
  <c r="AT367" i="19"/>
  <c r="AR367" i="19" s="1"/>
  <c r="B375" i="26" s="1"/>
  <c r="AT526" i="19"/>
  <c r="AR526" i="19" s="1"/>
  <c r="AQ526" i="19" s="1"/>
  <c r="G262" i="26"/>
  <c r="G227" i="26"/>
  <c r="G422" i="26"/>
  <c r="AT356" i="19"/>
  <c r="AR356" i="19" s="1"/>
  <c r="AQ356" i="19" s="1"/>
  <c r="G217" i="26"/>
  <c r="G323" i="26"/>
  <c r="G540" i="26"/>
  <c r="G432" i="26"/>
  <c r="G228" i="26"/>
  <c r="AT396" i="19"/>
  <c r="AR396" i="19" s="1"/>
  <c r="AQ396" i="19" s="1"/>
  <c r="AT338" i="19"/>
  <c r="AR338" i="19" s="1"/>
  <c r="AQ338" i="19" s="1"/>
  <c r="G553" i="26"/>
  <c r="AT382" i="19"/>
  <c r="AR382" i="19" s="1"/>
  <c r="AQ382" i="19" s="1"/>
  <c r="G498" i="26"/>
  <c r="G216" i="26"/>
  <c r="G403" i="26"/>
  <c r="G340" i="26"/>
  <c r="G344" i="26"/>
  <c r="AT450" i="19"/>
  <c r="AR450" i="19" s="1"/>
  <c r="B458" i="26" s="1"/>
  <c r="G273" i="26"/>
  <c r="G251" i="26"/>
  <c r="G548" i="26"/>
  <c r="G312" i="26"/>
  <c r="AS265" i="19"/>
  <c r="C203" i="26"/>
  <c r="D203" i="26" s="1"/>
  <c r="A203" i="26" s="1"/>
  <c r="AT343" i="19"/>
  <c r="AR343" i="19" s="1"/>
  <c r="B351" i="26" s="1"/>
  <c r="AT425" i="19"/>
  <c r="AR425" i="19" s="1"/>
  <c r="AQ425" i="19" s="1"/>
  <c r="G246" i="26"/>
  <c r="C414" i="26"/>
  <c r="F414" i="26" s="1"/>
  <c r="G504" i="26"/>
  <c r="C352" i="26"/>
  <c r="D352" i="26" s="1"/>
  <c r="A352" i="26" s="1"/>
  <c r="AT329" i="19"/>
  <c r="AR329" i="19" s="1"/>
  <c r="B337" i="26" s="1"/>
  <c r="G543" i="26"/>
  <c r="AS518" i="19"/>
  <c r="G513" i="26"/>
  <c r="AT328" i="19"/>
  <c r="AR328" i="19" s="1"/>
  <c r="AQ328" i="19" s="1"/>
  <c r="AS260" i="19"/>
  <c r="G232" i="26"/>
  <c r="G538" i="26"/>
  <c r="AS364" i="19"/>
  <c r="G247" i="26"/>
  <c r="G425" i="26"/>
  <c r="G385" i="26"/>
  <c r="AT423" i="19"/>
  <c r="AR423" i="19" s="1"/>
  <c r="B431" i="26" s="1"/>
  <c r="AS220" i="19"/>
  <c r="AT381" i="19"/>
  <c r="AR381" i="19" s="1"/>
  <c r="B389" i="26" s="1"/>
  <c r="G293" i="26"/>
  <c r="G329" i="26"/>
  <c r="G428" i="26"/>
  <c r="AT307" i="19"/>
  <c r="AR307" i="19" s="1"/>
  <c r="B315" i="26" s="1"/>
  <c r="C533" i="26"/>
  <c r="D533" i="26" s="1"/>
  <c r="A533" i="26" s="1"/>
  <c r="C251" i="26"/>
  <c r="F251" i="26" s="1"/>
  <c r="C393" i="26"/>
  <c r="D393" i="26" s="1"/>
  <c r="A393" i="26" s="1"/>
  <c r="AS421" i="19"/>
  <c r="G258" i="26"/>
  <c r="C357" i="26"/>
  <c r="F357" i="26" s="1"/>
  <c r="AT392" i="19"/>
  <c r="AR392" i="19" s="1"/>
  <c r="AQ392" i="19" s="1"/>
  <c r="G288" i="26"/>
  <c r="G235" i="26"/>
  <c r="AS398" i="19"/>
  <c r="AT217" i="19"/>
  <c r="AR217" i="19" s="1"/>
  <c r="AQ217" i="19" s="1"/>
  <c r="G244" i="26"/>
  <c r="G408" i="26"/>
  <c r="G488" i="26"/>
  <c r="AT494" i="19"/>
  <c r="AR494" i="19" s="1"/>
  <c r="B502" i="26" s="1"/>
  <c r="G481" i="26"/>
  <c r="G426" i="26"/>
  <c r="C472" i="26"/>
  <c r="D472" i="26" s="1"/>
  <c r="A472" i="26" s="1"/>
  <c r="AT230" i="19"/>
  <c r="AR230" i="19" s="1"/>
  <c r="AQ230" i="19" s="1"/>
  <c r="C501" i="26"/>
  <c r="D501" i="26" s="1"/>
  <c r="A501" i="26" s="1"/>
  <c r="G373" i="26"/>
  <c r="C220" i="26"/>
  <c r="D220" i="26" s="1"/>
  <c r="A220" i="26" s="1"/>
  <c r="AS459" i="19"/>
  <c r="G363" i="26"/>
  <c r="AS499" i="19"/>
  <c r="AS347" i="19"/>
  <c r="AT507" i="19"/>
  <c r="AR507" i="19" s="1"/>
  <c r="B515" i="26" s="1"/>
  <c r="G421" i="26"/>
  <c r="G377" i="26"/>
  <c r="AS259" i="19"/>
  <c r="G401" i="26"/>
  <c r="C286" i="26"/>
  <c r="D286" i="26" s="1"/>
  <c r="A286" i="26" s="1"/>
  <c r="AS544" i="19"/>
  <c r="AS483" i="19"/>
  <c r="G450" i="26"/>
  <c r="G359" i="26"/>
  <c r="C324" i="26"/>
  <c r="F324" i="26" s="1"/>
  <c r="C367" i="26"/>
  <c r="F367" i="26" s="1"/>
  <c r="AT373" i="19"/>
  <c r="AR373" i="19" s="1"/>
  <c r="B381" i="26" s="1"/>
  <c r="AT247" i="19"/>
  <c r="AR247" i="19" s="1"/>
  <c r="B255" i="26" s="1"/>
  <c r="AT339" i="19"/>
  <c r="AR339" i="19" s="1"/>
  <c r="B347" i="26" s="1"/>
  <c r="AT487" i="19"/>
  <c r="AR487" i="19" s="1"/>
  <c r="AQ487" i="19" s="1"/>
  <c r="AS237" i="19"/>
  <c r="AT366" i="19"/>
  <c r="AR366" i="19" s="1"/>
  <c r="AQ366" i="19" s="1"/>
  <c r="AT517" i="19"/>
  <c r="AR517" i="19" s="1"/>
  <c r="AQ517" i="19" s="1"/>
  <c r="AS458" i="19"/>
  <c r="C556" i="26"/>
  <c r="D556" i="26" s="1"/>
  <c r="A556" i="26" s="1"/>
  <c r="AS491" i="19"/>
  <c r="AT538" i="19"/>
  <c r="AR538" i="19" s="1"/>
  <c r="B546" i="26" s="1"/>
  <c r="C210" i="26"/>
  <c r="D210" i="26" s="1"/>
  <c r="A210" i="26" s="1"/>
  <c r="AS196" i="19"/>
  <c r="G531" i="26"/>
  <c r="G233" i="26"/>
  <c r="AT286" i="19"/>
  <c r="AR286" i="19" s="1"/>
  <c r="B294" i="26" s="1"/>
  <c r="G439" i="26"/>
  <c r="AT528" i="19"/>
  <c r="AR528" i="19" s="1"/>
  <c r="B536" i="26" s="1"/>
  <c r="AS472" i="19"/>
  <c r="G451" i="26"/>
  <c r="AS209" i="19"/>
  <c r="AT193" i="19"/>
  <c r="AR193" i="19" s="1"/>
  <c r="B201" i="26" s="1"/>
  <c r="G496" i="26"/>
  <c r="G349" i="26"/>
  <c r="AT318" i="19"/>
  <c r="AR318" i="19" s="1"/>
  <c r="B326" i="26" s="1"/>
  <c r="G473" i="26"/>
  <c r="G542" i="26"/>
  <c r="G398" i="26"/>
  <c r="C263" i="26"/>
  <c r="F263" i="26" s="1"/>
  <c r="C520" i="26"/>
  <c r="D520" i="26" s="1"/>
  <c r="A520" i="26" s="1"/>
  <c r="C453" i="26"/>
  <c r="F453" i="26" s="1"/>
  <c r="C209" i="26"/>
  <c r="D209" i="26" s="1"/>
  <c r="A209" i="26" s="1"/>
  <c r="C241" i="26"/>
  <c r="D241" i="26" s="1"/>
  <c r="A241" i="26" s="1"/>
  <c r="C226" i="26"/>
  <c r="D226" i="26" s="1"/>
  <c r="A226" i="26" s="1"/>
  <c r="C477" i="26"/>
  <c r="F477" i="26" s="1"/>
  <c r="AS350" i="19"/>
  <c r="AS254" i="19"/>
  <c r="C371" i="26"/>
  <c r="D371" i="26" s="1"/>
  <c r="A371" i="26" s="1"/>
  <c r="C264" i="26"/>
  <c r="F264" i="26" s="1"/>
  <c r="C379" i="26"/>
  <c r="D379" i="26" s="1"/>
  <c r="A379" i="26" s="1"/>
  <c r="AS367" i="19"/>
  <c r="AS388" i="19"/>
  <c r="C212" i="26"/>
  <c r="D212" i="26" s="1"/>
  <c r="A212" i="26" s="1"/>
  <c r="C382" i="26"/>
  <c r="D382" i="26" s="1"/>
  <c r="A382" i="26" s="1"/>
  <c r="C486" i="26"/>
  <c r="D486" i="26" s="1"/>
  <c r="A486" i="26" s="1"/>
  <c r="C311" i="26"/>
  <c r="F311" i="26" s="1"/>
  <c r="C340" i="26"/>
  <c r="D340" i="26" s="1"/>
  <c r="A340" i="26" s="1"/>
  <c r="C521" i="26"/>
  <c r="F521" i="26" s="1"/>
  <c r="C213" i="26"/>
  <c r="F213" i="26" s="1"/>
  <c r="C200" i="26"/>
  <c r="F200" i="26" s="1"/>
  <c r="C452" i="26"/>
  <c r="D452" i="26" s="1"/>
  <c r="A452" i="26" s="1"/>
  <c r="C370" i="26"/>
  <c r="D370" i="26" s="1"/>
  <c r="A370" i="26" s="1"/>
  <c r="AS426" i="19"/>
  <c r="AS427" i="19"/>
  <c r="C410" i="26"/>
  <c r="D410" i="26" s="1"/>
  <c r="A410" i="26" s="1"/>
  <c r="AS370" i="19"/>
  <c r="C411" i="26"/>
  <c r="AS403" i="19"/>
  <c r="AS380" i="19"/>
  <c r="C388" i="26"/>
  <c r="B529" i="26"/>
  <c r="AQ521" i="19"/>
  <c r="F316" i="26"/>
  <c r="D316" i="26"/>
  <c r="A316" i="26" s="1"/>
  <c r="D255" i="26"/>
  <c r="A255" i="26" s="1"/>
  <c r="F255" i="26"/>
  <c r="AQ342" i="19"/>
  <c r="B350" i="26"/>
  <c r="F237" i="26"/>
  <c r="D237" i="26"/>
  <c r="A237" i="26" s="1"/>
  <c r="AT376" i="19"/>
  <c r="AR376" i="19" s="1"/>
  <c r="G384" i="26"/>
  <c r="D428" i="26"/>
  <c r="A428" i="26" s="1"/>
  <c r="F428" i="26"/>
  <c r="AQ478" i="19"/>
  <c r="B486" i="26"/>
  <c r="B494" i="26"/>
  <c r="AQ486" i="19"/>
  <c r="AS294" i="19"/>
  <c r="C302" i="26"/>
  <c r="AQ238" i="19"/>
  <c r="B246" i="26"/>
  <c r="AT199" i="19"/>
  <c r="AR199" i="19" s="1"/>
  <c r="G207" i="26"/>
  <c r="D467" i="26"/>
  <c r="A467" i="26" s="1"/>
  <c r="F467" i="26"/>
  <c r="D522" i="26"/>
  <c r="A522" i="26" s="1"/>
  <c r="F522" i="26"/>
  <c r="B363" i="26"/>
  <c r="AQ355" i="19"/>
  <c r="D320" i="26"/>
  <c r="A320" i="26" s="1"/>
  <c r="F320" i="26"/>
  <c r="D444" i="26"/>
  <c r="A444" i="26" s="1"/>
  <c r="F444" i="26"/>
  <c r="F535" i="26"/>
  <c r="D535" i="26"/>
  <c r="A535" i="26" s="1"/>
  <c r="D336" i="26"/>
  <c r="A336" i="26" s="1"/>
  <c r="F336" i="26"/>
  <c r="D242" i="26"/>
  <c r="A242" i="26" s="1"/>
  <c r="F242" i="26"/>
  <c r="AQ214" i="19"/>
  <c r="B222" i="26"/>
  <c r="D459" i="26"/>
  <c r="A459" i="26" s="1"/>
  <c r="F459" i="26"/>
  <c r="B344" i="26"/>
  <c r="AQ336" i="19"/>
  <c r="F513" i="26"/>
  <c r="D513" i="26"/>
  <c r="A513" i="26" s="1"/>
  <c r="AT498" i="19"/>
  <c r="AR498" i="19" s="1"/>
  <c r="G506" i="26"/>
  <c r="G438" i="26"/>
  <c r="AT430" i="19"/>
  <c r="AR430" i="19" s="1"/>
  <c r="AS511" i="19"/>
  <c r="C519" i="26"/>
  <c r="B524" i="26"/>
  <c r="AQ516" i="19"/>
  <c r="AQ515" i="19"/>
  <c r="B523" i="26"/>
  <c r="F199" i="26"/>
  <c r="D199" i="26"/>
  <c r="C348" i="26"/>
  <c r="AS340" i="19"/>
  <c r="D406" i="26"/>
  <c r="A406" i="26" s="1"/>
  <c r="F406" i="26"/>
  <c r="D351" i="26"/>
  <c r="A351" i="26" s="1"/>
  <c r="F351" i="26"/>
  <c r="AQ259" i="19"/>
  <c r="B267" i="26"/>
  <c r="C456" i="26"/>
  <c r="AS448" i="19"/>
  <c r="AQ492" i="19"/>
  <c r="B500" i="26"/>
  <c r="D228" i="26"/>
  <c r="A228" i="26" s="1"/>
  <c r="F228" i="26"/>
  <c r="C292" i="26"/>
  <c r="AS284" i="19"/>
  <c r="B481" i="26"/>
  <c r="AQ473" i="19"/>
  <c r="B406" i="26"/>
  <c r="AQ398" i="19"/>
  <c r="AQ456" i="19"/>
  <c r="B464" i="26"/>
  <c r="AS197" i="19"/>
  <c r="C205" i="26"/>
  <c r="AQ362" i="19"/>
  <c r="B370" i="26"/>
  <c r="AT302" i="19"/>
  <c r="AR302" i="19" s="1"/>
  <c r="G310" i="26"/>
  <c r="AQ326" i="19"/>
  <c r="B334" i="26"/>
  <c r="AQ508" i="19"/>
  <c r="B516" i="26"/>
  <c r="D266" i="26"/>
  <c r="A266" i="26" s="1"/>
  <c r="F266" i="26"/>
  <c r="AQ499" i="19"/>
  <c r="B507" i="26"/>
  <c r="AQ482" i="19"/>
  <c r="B490" i="26"/>
  <c r="D517" i="26"/>
  <c r="A517" i="26" s="1"/>
  <c r="F517" i="26"/>
  <c r="AS422" i="19"/>
  <c r="C430" i="26"/>
  <c r="C211" i="26"/>
  <c r="AS203" i="19"/>
  <c r="AQ249" i="19"/>
  <c r="B257" i="26"/>
  <c r="F478" i="26"/>
  <c r="D478" i="26"/>
  <c r="A478" i="26" s="1"/>
  <c r="G528" i="26"/>
  <c r="AT520" i="19"/>
  <c r="AR520" i="19" s="1"/>
  <c r="F260" i="26"/>
  <c r="D260" i="26"/>
  <c r="A260" i="26" s="1"/>
  <c r="AQ448" i="19"/>
  <c r="B456" i="26"/>
  <c r="AQ242" i="19"/>
  <c r="B250" i="26"/>
  <c r="B499" i="26"/>
  <c r="AQ491" i="19"/>
  <c r="AQ332" i="19"/>
  <c r="B340" i="26"/>
  <c r="AT372" i="19"/>
  <c r="AR372" i="19" s="1"/>
  <c r="G380" i="26"/>
  <c r="AS482" i="19"/>
  <c r="C490" i="26"/>
  <c r="B252" i="26"/>
  <c r="AQ299" i="19"/>
  <c r="B307" i="26"/>
  <c r="F443" i="26"/>
  <c r="D443" i="26"/>
  <c r="A443" i="26" s="1"/>
  <c r="B233" i="26"/>
  <c r="AQ225" i="19"/>
  <c r="D254" i="26"/>
  <c r="A254" i="26" s="1"/>
  <c r="F254" i="26"/>
  <c r="AQ331" i="19"/>
  <c r="B339" i="26"/>
  <c r="D262" i="26"/>
  <c r="A262" i="26" s="1"/>
  <c r="F262" i="26"/>
  <c r="G475" i="26"/>
  <c r="AT467" i="19"/>
  <c r="AR467" i="19" s="1"/>
  <c r="D201" i="26"/>
  <c r="A201" i="26" s="1"/>
  <c r="F201" i="26"/>
  <c r="F398" i="26"/>
  <c r="D398" i="26"/>
  <c r="A398" i="26" s="1"/>
  <c r="B387" i="26"/>
  <c r="AQ379" i="19"/>
  <c r="AS345" i="19"/>
  <c r="C353" i="26"/>
  <c r="AQ207" i="19"/>
  <c r="B215" i="26"/>
  <c r="AS198" i="19"/>
  <c r="C206" i="26"/>
  <c r="F438" i="26"/>
  <c r="D438" i="26"/>
  <c r="A438" i="26" s="1"/>
  <c r="AQ541" i="19"/>
  <c r="B549" i="26"/>
  <c r="AS289" i="19"/>
  <c r="C297" i="26"/>
  <c r="AS315" i="19"/>
  <c r="C323" i="26"/>
  <c r="AT412" i="19"/>
  <c r="AR412" i="19" s="1"/>
  <c r="G420" i="26"/>
  <c r="AS438" i="19"/>
  <c r="C446" i="26"/>
  <c r="D380" i="26"/>
  <c r="A380" i="26" s="1"/>
  <c r="F380" i="26"/>
  <c r="AS440" i="19"/>
  <c r="C448" i="26"/>
  <c r="D318" i="26"/>
  <c r="A318" i="26" s="1"/>
  <c r="F318" i="26"/>
  <c r="AS432" i="19"/>
  <c r="C440" i="26"/>
  <c r="AT509" i="19"/>
  <c r="AR509" i="19" s="1"/>
  <c r="G517" i="26"/>
  <c r="AQ529" i="19"/>
  <c r="B537" i="26"/>
  <c r="AQ347" i="19"/>
  <c r="B355" i="26"/>
  <c r="AS526" i="19"/>
  <c r="C534" i="26"/>
  <c r="AT287" i="19"/>
  <c r="AR287" i="19" s="1"/>
  <c r="G295" i="26"/>
  <c r="AT489" i="19"/>
  <c r="AR489" i="19" s="1"/>
  <c r="G497" i="26"/>
  <c r="B266" i="26"/>
  <c r="AQ532" i="19"/>
  <c r="B540" i="26"/>
  <c r="AQ522" i="19"/>
  <c r="B530" i="26"/>
  <c r="B483" i="26"/>
  <c r="AS537" i="19"/>
  <c r="C545" i="26"/>
  <c r="G527" i="26"/>
  <c r="AT519" i="19"/>
  <c r="AR519" i="19" s="1"/>
  <c r="AT497" i="19"/>
  <c r="AR497" i="19" s="1"/>
  <c r="G505" i="26"/>
  <c r="D400" i="26"/>
  <c r="A400" i="26" s="1"/>
  <c r="F400" i="26"/>
  <c r="AS401" i="19"/>
  <c r="C409" i="26"/>
  <c r="G279" i="26"/>
  <c r="AT271" i="19"/>
  <c r="AR271" i="19" s="1"/>
  <c r="AT550" i="19"/>
  <c r="AR550" i="19" s="1"/>
  <c r="G558" i="26"/>
  <c r="D542" i="26"/>
  <c r="A542" i="26" s="1"/>
  <c r="F542" i="26"/>
  <c r="D433" i="26"/>
  <c r="A433" i="26" s="1"/>
  <c r="F433" i="26"/>
  <c r="D326" i="26"/>
  <c r="A326" i="26" s="1"/>
  <c r="F326" i="26"/>
  <c r="D445" i="26"/>
  <c r="A445" i="26" s="1"/>
  <c r="F445" i="26"/>
  <c r="AT394" i="19"/>
  <c r="AR394" i="19" s="1"/>
  <c r="G402" i="26"/>
  <c r="AQ414" i="19"/>
  <c r="B422" i="26"/>
  <c r="D306" i="26"/>
  <c r="A306" i="26" s="1"/>
  <c r="F306" i="26"/>
  <c r="D505" i="26"/>
  <c r="A505" i="26" s="1"/>
  <c r="F505" i="26"/>
  <c r="AQ454" i="19"/>
  <c r="B462" i="26"/>
  <c r="AQ282" i="19"/>
  <c r="B290" i="26"/>
  <c r="AT449" i="19"/>
  <c r="AR449" i="19" s="1"/>
  <c r="G457" i="26"/>
  <c r="D471" i="26"/>
  <c r="A471" i="26" s="1"/>
  <c r="F471" i="26"/>
  <c r="D538" i="26"/>
  <c r="A538" i="26" s="1"/>
  <c r="F538" i="26"/>
  <c r="D304" i="26"/>
  <c r="A304" i="26" s="1"/>
  <c r="F304" i="26"/>
  <c r="D395" i="26"/>
  <c r="A395" i="26" s="1"/>
  <c r="F395" i="26"/>
  <c r="AS529" i="19"/>
  <c r="C537" i="26"/>
  <c r="F363" i="26"/>
  <c r="D363" i="26"/>
  <c r="A363" i="26" s="1"/>
  <c r="AT410" i="19"/>
  <c r="AR410" i="19" s="1"/>
  <c r="G418" i="26"/>
  <c r="AQ350" i="19"/>
  <c r="B358" i="26"/>
  <c r="AS358" i="19"/>
  <c r="C366" i="26"/>
  <c r="AQ365" i="19"/>
  <c r="B373" i="26"/>
  <c r="B239" i="26"/>
  <c r="AQ231" i="19"/>
  <c r="AQ465" i="19"/>
  <c r="B473" i="26"/>
  <c r="AQ250" i="19"/>
  <c r="B258" i="26"/>
  <c r="D362" i="26"/>
  <c r="A362" i="26" s="1"/>
  <c r="F362" i="26"/>
  <c r="D502" i="26"/>
  <c r="A502" i="26" s="1"/>
  <c r="F502" i="26"/>
  <c r="AQ387" i="19"/>
  <c r="B395" i="26"/>
  <c r="F499" i="26"/>
  <c r="D499" i="26"/>
  <c r="A499" i="26" s="1"/>
  <c r="AQ198" i="19"/>
  <c r="B206" i="26"/>
  <c r="B538" i="26"/>
  <c r="AQ530" i="19"/>
  <c r="AS306" i="19"/>
  <c r="C314" i="26"/>
  <c r="AQ401" i="19"/>
  <c r="B409" i="26"/>
  <c r="D358" i="26"/>
  <c r="A358" i="26" s="1"/>
  <c r="F358" i="26"/>
  <c r="AS304" i="19"/>
  <c r="C312" i="26"/>
  <c r="D289" i="26"/>
  <c r="A289" i="26" s="1"/>
  <c r="F289" i="26"/>
  <c r="F204" i="26"/>
  <c r="D204" i="26"/>
  <c r="A204" i="26" s="1"/>
  <c r="AT191" i="19"/>
  <c r="AR191" i="19" s="1"/>
  <c r="G199" i="26"/>
  <c r="F544" i="26"/>
  <c r="D544" i="26"/>
  <c r="A544" i="26" s="1"/>
  <c r="B543" i="26"/>
  <c r="AQ535" i="19"/>
  <c r="D491" i="26"/>
  <c r="A491" i="26" s="1"/>
  <c r="F491" i="26"/>
  <c r="D507" i="26"/>
  <c r="A507" i="26" s="1"/>
  <c r="F507" i="26"/>
  <c r="C321" i="26"/>
  <c r="AS313" i="19"/>
  <c r="F256" i="26"/>
  <c r="D256" i="26"/>
  <c r="A256" i="26" s="1"/>
  <c r="F526" i="26"/>
  <c r="D526" i="26"/>
  <c r="A526" i="26" s="1"/>
  <c r="D387" i="26"/>
  <c r="A387" i="26" s="1"/>
  <c r="F387" i="26"/>
  <c r="AS336" i="19"/>
  <c r="C344" i="26"/>
  <c r="AQ505" i="19"/>
  <c r="B513" i="26"/>
  <c r="D462" i="26"/>
  <c r="A462" i="26" s="1"/>
  <c r="F462" i="26"/>
  <c r="B352" i="26"/>
  <c r="AQ344" i="19"/>
  <c r="B428" i="26"/>
  <c r="AQ420" i="19"/>
  <c r="AT470" i="19"/>
  <c r="AR470" i="19" s="1"/>
  <c r="G478" i="26"/>
  <c r="D270" i="26"/>
  <c r="A270" i="26" s="1"/>
  <c r="F270" i="26"/>
  <c r="AS545" i="19"/>
  <c r="C553" i="26"/>
  <c r="AQ500" i="19"/>
  <c r="B508" i="26"/>
  <c r="AQ435" i="19"/>
  <c r="B443" i="26"/>
  <c r="AQ273" i="19"/>
  <c r="B281" i="26"/>
  <c r="F364" i="26"/>
  <c r="D364" i="26"/>
  <c r="A364" i="26" s="1"/>
  <c r="D408" i="26"/>
  <c r="A408" i="26" s="1"/>
  <c r="F408" i="26"/>
  <c r="AQ426" i="19"/>
  <c r="B434" i="26"/>
  <c r="AQ502" i="19"/>
  <c r="B510" i="26"/>
  <c r="D290" i="26"/>
  <c r="A290" i="26" s="1"/>
  <c r="F290" i="26"/>
  <c r="F308" i="26"/>
  <c r="D308" i="26"/>
  <c r="A308" i="26" s="1"/>
  <c r="G243" i="26"/>
  <c r="AT235" i="19"/>
  <c r="AR235" i="19" s="1"/>
  <c r="D475" i="26"/>
  <c r="A475" i="26" s="1"/>
  <c r="F475" i="26"/>
  <c r="AT383" i="19"/>
  <c r="AR383" i="19" s="1"/>
  <c r="G391" i="26"/>
  <c r="B423" i="26"/>
  <c r="AQ415" i="19"/>
  <c r="AQ277" i="19"/>
  <c r="B285" i="26"/>
  <c r="D342" i="26"/>
  <c r="A342" i="26" s="1"/>
  <c r="F342" i="26"/>
  <c r="AQ240" i="19"/>
  <c r="B248" i="26"/>
  <c r="B488" i="26"/>
  <c r="AQ480" i="19"/>
  <c r="AQ490" i="19"/>
  <c r="B498" i="26"/>
  <c r="AQ285" i="19"/>
  <c r="B293" i="26"/>
  <c r="C278" i="26"/>
  <c r="AS270" i="19"/>
  <c r="F543" i="26"/>
  <c r="D543" i="26"/>
  <c r="A543" i="26" s="1"/>
  <c r="D347" i="26"/>
  <c r="A347" i="26" s="1"/>
  <c r="F347" i="26"/>
  <c r="AS268" i="19"/>
  <c r="C276" i="26"/>
  <c r="AQ457" i="19"/>
  <c r="B465" i="26"/>
  <c r="AT531" i="19"/>
  <c r="AR531" i="19" s="1"/>
  <c r="G539" i="26"/>
  <c r="AQ255" i="19"/>
  <c r="B263" i="26"/>
  <c r="C547" i="26"/>
  <c r="AS539" i="19"/>
  <c r="AT441" i="19"/>
  <c r="AR441" i="19" s="1"/>
  <c r="G449" i="26"/>
  <c r="AQ229" i="19"/>
  <c r="B237" i="26"/>
  <c r="B435" i="26"/>
  <c r="AQ427" i="19"/>
  <c r="AQ267" i="19"/>
  <c r="B275" i="26"/>
  <c r="AQ349" i="19"/>
  <c r="B357" i="26"/>
  <c r="D208" i="26"/>
  <c r="A208" i="26" s="1"/>
  <c r="F208" i="26"/>
  <c r="AQ395" i="19"/>
  <c r="B403" i="26"/>
  <c r="D337" i="26"/>
  <c r="A337" i="26" s="1"/>
  <c r="F337" i="26"/>
  <c r="F480" i="26"/>
  <c r="D480" i="26"/>
  <c r="A480" i="26" s="1"/>
  <c r="C339" i="26"/>
  <c r="AS331" i="19"/>
  <c r="AS263" i="19"/>
  <c r="C271" i="26"/>
  <c r="AQ308" i="19"/>
  <c r="B316" i="26"/>
  <c r="F377" i="26"/>
  <c r="D377" i="26"/>
  <c r="A377" i="26" s="1"/>
  <c r="D375" i="26"/>
  <c r="A375" i="26" s="1"/>
  <c r="F375" i="26"/>
  <c r="AQ357" i="19"/>
  <c r="B365" i="26"/>
  <c r="D399" i="26"/>
  <c r="A399" i="26" s="1"/>
  <c r="F399" i="26"/>
  <c r="D235" i="26"/>
  <c r="F235" i="26"/>
  <c r="AQ461" i="19"/>
  <c r="B469" i="26"/>
  <c r="AT226" i="19"/>
  <c r="AR226" i="19" s="1"/>
  <c r="G234" i="26"/>
  <c r="B485" i="26"/>
  <c r="AQ477" i="19"/>
  <c r="C307" i="26"/>
  <c r="AS299" i="19"/>
  <c r="AS326" i="19"/>
  <c r="C334" i="26"/>
  <c r="AQ270" i="19"/>
  <c r="B278" i="26"/>
  <c r="AQ523" i="19"/>
  <c r="B531" i="26"/>
  <c r="AT320" i="19"/>
  <c r="AR320" i="19" s="1"/>
  <c r="G328" i="26"/>
  <c r="C468" i="26"/>
  <c r="AS460" i="19"/>
  <c r="F293" i="26"/>
  <c r="D293" i="26"/>
  <c r="A293" i="26" s="1"/>
  <c r="D238" i="26"/>
  <c r="A238" i="26" s="1"/>
  <c r="F238" i="26"/>
  <c r="AQ279" i="19"/>
  <c r="B287" i="26"/>
  <c r="AQ407" i="19"/>
  <c r="B415" i="26"/>
  <c r="D261" i="26"/>
  <c r="A261" i="26" s="1"/>
  <c r="F261" i="26"/>
  <c r="AQ404" i="19"/>
  <c r="B412" i="26"/>
  <c r="AQ417" i="19"/>
  <c r="B425" i="26"/>
  <c r="F283" i="26"/>
  <c r="D283" i="26"/>
  <c r="A283" i="26" s="1"/>
  <c r="AQ330" i="19"/>
  <c r="B338" i="26"/>
  <c r="D389" i="26"/>
  <c r="A389" i="26" s="1"/>
  <c r="F389" i="26"/>
  <c r="AQ443" i="19"/>
  <c r="B451" i="26"/>
  <c r="AQ361" i="19"/>
  <c r="B369" i="26"/>
  <c r="AS228" i="19"/>
  <c r="C236" i="26"/>
  <c r="AT391" i="19"/>
  <c r="AR391" i="19" s="1"/>
  <c r="G399" i="26"/>
  <c r="B368" i="26"/>
  <c r="AQ360" i="19"/>
  <c r="AQ268" i="19"/>
  <c r="AQ261" i="19"/>
  <c r="B269" i="26"/>
  <c r="AT194" i="19"/>
  <c r="AR194" i="19" s="1"/>
  <c r="G202" i="26"/>
  <c r="AQ322" i="19"/>
  <c r="B330" i="26"/>
  <c r="F233" i="26"/>
  <c r="D233" i="26"/>
  <c r="A233" i="26" s="1"/>
  <c r="AS429" i="19"/>
  <c r="C437" i="26"/>
  <c r="AT272" i="19"/>
  <c r="AR272" i="19" s="1"/>
  <c r="G280" i="26"/>
  <c r="B232" i="26"/>
  <c r="AQ224" i="19"/>
  <c r="AS446" i="19"/>
  <c r="C454" i="26"/>
  <c r="B414" i="26"/>
  <c r="AQ406" i="19"/>
  <c r="AQ378" i="19"/>
  <c r="B386" i="26"/>
  <c r="AQ213" i="19"/>
  <c r="B221" i="26"/>
  <c r="D413" i="26"/>
  <c r="A413" i="26" s="1"/>
  <c r="F413" i="26"/>
  <c r="AS375" i="19"/>
  <c r="C383" i="26"/>
  <c r="D439" i="26"/>
  <c r="A439" i="26" s="1"/>
  <c r="F439" i="26"/>
  <c r="D231" i="26"/>
  <c r="A231" i="26" s="1"/>
  <c r="F231" i="26"/>
  <c r="F230" i="26"/>
  <c r="D230" i="26"/>
  <c r="A230" i="26" s="1"/>
  <c r="AQ291" i="19"/>
  <c r="B299" i="26"/>
  <c r="AS219" i="19"/>
  <c r="C227" i="26"/>
  <c r="D529" i="26"/>
  <c r="A529" i="26" s="1"/>
  <c r="F529" i="26"/>
  <c r="F372" i="26"/>
  <c r="D372" i="26"/>
  <c r="A372" i="26" s="1"/>
  <c r="F368" i="26"/>
  <c r="D368" i="26"/>
  <c r="A368" i="26" s="1"/>
  <c r="AT503" i="19"/>
  <c r="AR503" i="19" s="1"/>
  <c r="G511" i="26"/>
  <c r="B518" i="26"/>
  <c r="AQ510" i="19"/>
  <c r="AQ260" i="19"/>
  <c r="B268" i="26"/>
  <c r="AQ447" i="19"/>
  <c r="B455" i="26"/>
  <c r="AQ540" i="19"/>
  <c r="B548" i="26"/>
  <c r="C405" i="26"/>
  <c r="AS397" i="19"/>
  <c r="AS532" i="19"/>
  <c r="C540" i="26"/>
  <c r="D385" i="26"/>
  <c r="A385" i="26" s="1"/>
  <c r="F385" i="26"/>
  <c r="AS210" i="19"/>
  <c r="C218" i="26"/>
  <c r="AS378" i="19"/>
  <c r="C386" i="26"/>
  <c r="AQ215" i="19"/>
  <c r="B223" i="26"/>
  <c r="AQ483" i="19"/>
  <c r="B491" i="26"/>
  <c r="D423" i="26"/>
  <c r="A423" i="26" s="1"/>
  <c r="F423" i="26"/>
  <c r="AS455" i="19"/>
  <c r="C463" i="26"/>
  <c r="AQ321" i="19"/>
  <c r="B329" i="26"/>
  <c r="F527" i="26"/>
  <c r="D527" i="26"/>
  <c r="A527" i="26" s="1"/>
  <c r="AQ479" i="19"/>
  <c r="B487" i="26"/>
  <c r="G413" i="26"/>
  <c r="AT405" i="19"/>
  <c r="AR405" i="19" s="1"/>
  <c r="AQ340" i="19"/>
  <c r="B348" i="26"/>
  <c r="C265" i="26"/>
  <c r="AS257" i="19"/>
  <c r="AQ546" i="19"/>
  <c r="B554" i="26"/>
  <c r="D525" i="26"/>
  <c r="A525" i="26" s="1"/>
  <c r="F525" i="26"/>
  <c r="B559" i="26"/>
  <c r="AQ551" i="19"/>
  <c r="AQ359" i="19"/>
  <c r="B367" i="26"/>
  <c r="AQ495" i="19"/>
  <c r="B503" i="26"/>
  <c r="AS506" i="19"/>
  <c r="C514" i="26"/>
  <c r="B479" i="26"/>
  <c r="AQ471" i="19"/>
  <c r="AQ208" i="19"/>
  <c r="B216" i="26"/>
  <c r="AQ325" i="19"/>
  <c r="B333" i="26"/>
  <c r="AS471" i="19"/>
  <c r="C479" i="26"/>
  <c r="AT241" i="19"/>
  <c r="AR241" i="19" s="1"/>
  <c r="G249" i="26"/>
  <c r="AS261" i="19"/>
  <c r="C269" i="26"/>
  <c r="C346" i="26"/>
  <c r="AS338" i="19"/>
  <c r="AT474" i="19"/>
  <c r="AR474" i="19" s="1"/>
  <c r="G482" i="26"/>
  <c r="D506" i="26"/>
  <c r="A506" i="26" s="1"/>
  <c r="F506" i="26"/>
  <c r="AQ459" i="19"/>
  <c r="B467" i="26"/>
  <c r="AQ400" i="19"/>
  <c r="B408" i="26"/>
  <c r="B430" i="26"/>
  <c r="AQ422" i="19"/>
  <c r="F508" i="26"/>
  <c r="D508" i="26"/>
  <c r="A508" i="26" s="1"/>
  <c r="B447" i="26"/>
  <c r="AQ439" i="19"/>
  <c r="D234" i="26"/>
  <c r="A234" i="26" s="1"/>
  <c r="F234" i="26"/>
  <c r="D449" i="26"/>
  <c r="A449" i="26" s="1"/>
  <c r="F449" i="26"/>
  <c r="AQ298" i="19"/>
  <c r="B306" i="26"/>
  <c r="AQ364" i="19"/>
  <c r="B372" i="26"/>
  <c r="AQ266" i="19"/>
  <c r="B274" i="26"/>
  <c r="C239" i="26"/>
  <c r="AS231" i="19"/>
  <c r="B217" i="26"/>
  <c r="AQ209" i="19"/>
  <c r="F202" i="26"/>
  <c r="D202" i="26"/>
  <c r="AQ512" i="19"/>
  <c r="B520" i="26"/>
  <c r="D431" i="26"/>
  <c r="A431" i="26" s="1"/>
  <c r="F431" i="26"/>
  <c r="D469" i="26"/>
  <c r="A469" i="26" s="1"/>
  <c r="F469" i="26"/>
  <c r="AQ468" i="19"/>
  <c r="B476" i="26"/>
  <c r="D245" i="26"/>
  <c r="A245" i="26" s="1"/>
  <c r="F245" i="26"/>
  <c r="AQ421" i="19"/>
  <c r="B429" i="26"/>
  <c r="AS279" i="19"/>
  <c r="C287" i="26"/>
  <c r="G272" i="26"/>
  <c r="AT264" i="19"/>
  <c r="AR264" i="19" s="1"/>
  <c r="D225" i="26"/>
  <c r="A225" i="26" s="1"/>
  <c r="F225" i="26"/>
  <c r="D401" i="26"/>
  <c r="A401" i="26" s="1"/>
  <c r="F401" i="26"/>
  <c r="C215" i="26"/>
  <c r="AS207" i="19"/>
  <c r="AS522" i="19"/>
  <c r="C530" i="26"/>
  <c r="B353" i="26"/>
  <c r="AQ345" i="19"/>
  <c r="AQ452" i="19"/>
  <c r="B460" i="26"/>
  <c r="G442" i="26"/>
  <c r="AT434" i="19"/>
  <c r="AR434" i="19" s="1"/>
  <c r="AQ254" i="19"/>
  <c r="B262" i="26"/>
  <c r="AQ228" i="19"/>
  <c r="B236" i="26"/>
  <c r="D488" i="26"/>
  <c r="A488" i="26" s="1"/>
  <c r="F488" i="26"/>
  <c r="F343" i="26"/>
  <c r="D343" i="26"/>
  <c r="A343" i="26" s="1"/>
  <c r="F429" i="26"/>
  <c r="D429" i="26"/>
  <c r="A429" i="26" s="1"/>
  <c r="F403" i="26"/>
  <c r="D403" i="26"/>
  <c r="A403" i="26" s="1"/>
  <c r="D333" i="26"/>
  <c r="A333" i="26" s="1"/>
  <c r="F333" i="26"/>
  <c r="F310" i="26"/>
  <c r="D310" i="26"/>
  <c r="A310" i="26" s="1"/>
  <c r="D282" i="26"/>
  <c r="A282" i="26" s="1"/>
  <c r="F282" i="26"/>
  <c r="D295" i="26"/>
  <c r="A295" i="26" s="1"/>
  <c r="F295" i="26"/>
  <c r="AQ496" i="19"/>
  <c r="B504" i="26"/>
  <c r="B385" i="26"/>
  <c r="AQ377" i="19"/>
  <c r="AQ418" i="19"/>
  <c r="B426" i="26"/>
  <c r="G509" i="26"/>
  <c r="AT501" i="19"/>
  <c r="AR501" i="19" s="1"/>
  <c r="C489" i="26"/>
  <c r="AS481" i="19"/>
  <c r="C221" i="26"/>
  <c r="AS213" i="19"/>
  <c r="AS382" i="19"/>
  <c r="C390" i="26"/>
  <c r="C224" i="26"/>
  <c r="AS216" i="19"/>
  <c r="B446" i="26"/>
  <c r="AQ438" i="19"/>
  <c r="B439" i="26"/>
  <c r="AQ431" i="19"/>
  <c r="F539" i="26"/>
  <c r="D539" i="26"/>
  <c r="A539" i="26" s="1"/>
  <c r="C498" i="26"/>
  <c r="AS490" i="19"/>
  <c r="AQ411" i="19"/>
  <c r="B419" i="26"/>
  <c r="F450" i="26"/>
  <c r="D450" i="26"/>
  <c r="A450" i="26" s="1"/>
  <c r="AQ341" i="19"/>
  <c r="B349" i="26"/>
  <c r="AS309" i="19"/>
  <c r="C317" i="26"/>
  <c r="D493" i="26"/>
  <c r="A493" i="26" s="1"/>
  <c r="F493" i="26"/>
  <c r="AQ295" i="19"/>
  <c r="B303" i="26"/>
  <c r="D247" i="26"/>
  <c r="A247" i="26" s="1"/>
  <c r="F247" i="26"/>
  <c r="B200" i="26"/>
  <c r="AQ192" i="19"/>
  <c r="AS419" i="19"/>
  <c r="C427" i="26"/>
  <c r="AQ316" i="19"/>
  <c r="B324" i="26"/>
  <c r="G541" i="26"/>
  <c r="AT533" i="19"/>
  <c r="AR533" i="19" s="1"/>
  <c r="AQ368" i="19"/>
  <c r="B376" i="26"/>
  <c r="B526" i="26"/>
  <c r="AQ518" i="19"/>
  <c r="F458" i="26"/>
  <c r="D458" i="26"/>
  <c r="A458" i="26" s="1"/>
  <c r="AQ304" i="19"/>
  <c r="B312" i="26"/>
  <c r="B240" i="26"/>
  <c r="AQ232" i="19"/>
  <c r="D305" i="26"/>
  <c r="A305" i="26" s="1"/>
  <c r="F305" i="26"/>
  <c r="G231" i="26"/>
  <c r="AT223" i="19"/>
  <c r="AR223" i="19" s="1"/>
  <c r="AQ300" i="19"/>
  <c r="B308" i="26"/>
  <c r="AQ424" i="19"/>
  <c r="B432" i="26"/>
  <c r="D518" i="26"/>
  <c r="A518" i="26" s="1"/>
  <c r="F518" i="26"/>
  <c r="AT485" i="19"/>
  <c r="AR485" i="19" s="1"/>
  <c r="G493" i="26"/>
  <c r="B210" i="26"/>
  <c r="AQ202" i="19"/>
  <c r="AQ315" i="19"/>
  <c r="B323" i="26"/>
  <c r="D373" i="26"/>
  <c r="A373" i="26" s="1"/>
  <c r="F373" i="26"/>
  <c r="AQ269" i="19"/>
  <c r="B277" i="26"/>
  <c r="D396" i="26"/>
  <c r="A396" i="26" s="1"/>
  <c r="F396" i="26"/>
  <c r="AT251" i="19"/>
  <c r="AR251" i="19" s="1"/>
  <c r="G259" i="26"/>
  <c r="AS524" i="19"/>
  <c r="C532" i="26"/>
  <c r="AS324" i="19"/>
  <c r="C332" i="26"/>
  <c r="D476" i="26"/>
  <c r="A476" i="26" s="1"/>
  <c r="F476" i="26"/>
  <c r="AS541" i="19"/>
  <c r="C549" i="26"/>
  <c r="D528" i="26"/>
  <c r="A528" i="26" s="1"/>
  <c r="F528" i="26"/>
  <c r="B359" i="26"/>
  <c r="AQ351" i="19"/>
  <c r="C369" i="26"/>
  <c r="AS361" i="19"/>
  <c r="D559" i="26"/>
  <c r="A559" i="26" s="1"/>
  <c r="F559" i="26"/>
  <c r="F253" i="26"/>
  <c r="D253" i="26"/>
  <c r="A253" i="26" s="1"/>
  <c r="AQ460" i="19"/>
  <c r="B468" i="26"/>
  <c r="B286" i="26"/>
  <c r="AQ278" i="19"/>
  <c r="AQ409" i="19"/>
  <c r="B417" i="26"/>
  <c r="AS495" i="19"/>
  <c r="C503" i="26"/>
  <c r="C376" i="26"/>
  <c r="AS368" i="19"/>
  <c r="D365" i="26"/>
  <c r="A365" i="26" s="1"/>
  <c r="F365" i="26"/>
  <c r="AQ462" i="19"/>
  <c r="B470" i="26"/>
  <c r="AQ390" i="19"/>
  <c r="B398" i="26"/>
  <c r="C460" i="26"/>
  <c r="AS452" i="19"/>
  <c r="D424" i="26"/>
  <c r="A424" i="26" s="1"/>
  <c r="F424" i="26"/>
  <c r="D329" i="26"/>
  <c r="A329" i="26" s="1"/>
  <c r="F329" i="26"/>
  <c r="AT221" i="19"/>
  <c r="AR221" i="19" s="1"/>
  <c r="G229" i="26"/>
  <c r="F349" i="26"/>
  <c r="D349" i="26"/>
  <c r="A349" i="26" s="1"/>
  <c r="F407" i="26"/>
  <c r="D407" i="26"/>
  <c r="A407" i="26" s="1"/>
  <c r="AQ389" i="19"/>
  <c r="B397" i="26"/>
  <c r="AQ200" i="19"/>
  <c r="B208" i="26"/>
  <c r="AS333" i="19"/>
  <c r="C341" i="26"/>
  <c r="F300" i="26"/>
  <c r="D300" i="26"/>
  <c r="B501" i="26"/>
  <c r="AQ493" i="19"/>
  <c r="C360" i="26"/>
  <c r="AS352" i="19"/>
  <c r="C257" i="26"/>
  <c r="AS249" i="19"/>
  <c r="AQ543" i="19"/>
  <c r="B551" i="26"/>
  <c r="AQ534" i="19"/>
  <c r="B542" i="26"/>
  <c r="AQ205" i="19"/>
  <c r="B213" i="26"/>
  <c r="AT252" i="19"/>
  <c r="AR252" i="19" s="1"/>
  <c r="G260" i="26"/>
  <c r="AQ444" i="19"/>
  <c r="B452" i="26"/>
  <c r="AQ233" i="19"/>
  <c r="B241" i="26"/>
  <c r="AQ337" i="19"/>
  <c r="B345" i="26"/>
  <c r="D280" i="26"/>
  <c r="A280" i="26" s="1"/>
  <c r="F280" i="26"/>
  <c r="AQ324" i="19"/>
  <c r="B332" i="26"/>
  <c r="B472" i="26"/>
  <c r="AQ464" i="19"/>
  <c r="AQ484" i="19"/>
  <c r="B492" i="26"/>
  <c r="D421" i="26"/>
  <c r="A421" i="26" s="1"/>
  <c r="F421" i="26"/>
  <c r="F322" i="26"/>
  <c r="D322" i="26"/>
  <c r="A322" i="26" s="1"/>
  <c r="AS283" i="19"/>
  <c r="C291" i="26"/>
  <c r="F345" i="26"/>
  <c r="D345" i="26"/>
  <c r="A345" i="26" s="1"/>
  <c r="AQ210" i="19"/>
  <c r="B218" i="26"/>
  <c r="B270" i="26"/>
  <c r="AQ262" i="19"/>
  <c r="AQ547" i="19"/>
  <c r="B555" i="26"/>
  <c r="AQ544" i="19"/>
  <c r="B552" i="26"/>
  <c r="D555" i="26"/>
  <c r="A555" i="26" s="1"/>
  <c r="F555" i="26"/>
  <c r="D273" i="26"/>
  <c r="A273" i="26" s="1"/>
  <c r="F273" i="26"/>
  <c r="C470" i="26"/>
  <c r="AS462" i="19"/>
  <c r="AS319" i="19"/>
  <c r="C327" i="26"/>
  <c r="D419" i="26"/>
  <c r="A419" i="26" s="1"/>
  <c r="F419" i="26"/>
  <c r="AT416" i="19"/>
  <c r="AR416" i="19" s="1"/>
  <c r="G424" i="26"/>
  <c r="AQ239" i="19"/>
  <c r="B247" i="26"/>
  <c r="D554" i="26"/>
  <c r="A554" i="26" s="1"/>
  <c r="F554" i="26"/>
  <c r="D381" i="26"/>
  <c r="A381" i="26" s="1"/>
  <c r="F381" i="26"/>
  <c r="D354" i="26"/>
  <c r="A354" i="26" s="1"/>
  <c r="F354" i="26"/>
  <c r="AS266" i="19"/>
  <c r="C274" i="26"/>
  <c r="D207" i="26"/>
  <c r="A207" i="26" s="1"/>
  <c r="F207" i="26"/>
  <c r="AQ374" i="19"/>
  <c r="B382" i="26"/>
  <c r="C356" i="26"/>
  <c r="AS348" i="19"/>
  <c r="AS384" i="19"/>
  <c r="C392" i="26"/>
  <c r="D455" i="26"/>
  <c r="A455" i="26" s="1"/>
  <c r="F455" i="26"/>
  <c r="G471" i="26"/>
  <c r="AT463" i="19"/>
  <c r="AR463" i="19" s="1"/>
  <c r="G407" i="26"/>
  <c r="AT399" i="19"/>
  <c r="AR399" i="19" s="1"/>
  <c r="D536" i="26"/>
  <c r="A536" i="26" s="1"/>
  <c r="F536" i="26"/>
  <c r="C523" i="26"/>
  <c r="AS515" i="19"/>
  <c r="AS291" i="19"/>
  <c r="C299" i="26"/>
  <c r="G242" i="26"/>
  <c r="AT234" i="19"/>
  <c r="AR234" i="19" s="1"/>
  <c r="F473" i="26"/>
  <c r="D473" i="26"/>
  <c r="A473" i="26" s="1"/>
  <c r="D496" i="26"/>
  <c r="A496" i="26" s="1"/>
  <c r="F496" i="26"/>
  <c r="AQ220" i="19"/>
  <c r="B228" i="26"/>
  <c r="F374" i="26"/>
  <c r="D374" i="26"/>
  <c r="A374" i="26" s="1"/>
  <c r="AS508" i="19"/>
  <c r="C516" i="26"/>
  <c r="B521" i="26"/>
  <c r="AQ513" i="19"/>
  <c r="D474" i="26"/>
  <c r="A474" i="26" s="1"/>
  <c r="F474" i="26"/>
  <c r="AQ293" i="19"/>
  <c r="B301" i="26"/>
  <c r="D442" i="26"/>
  <c r="A442" i="26" s="1"/>
  <c r="F442" i="26"/>
  <c r="D451" i="26"/>
  <c r="A451" i="26" s="1"/>
  <c r="F451" i="26"/>
  <c r="AQ525" i="19"/>
  <c r="B533" i="26"/>
  <c r="D531" i="26"/>
  <c r="A531" i="26" s="1"/>
  <c r="F531" i="26"/>
  <c r="F229" i="26"/>
  <c r="D229" i="26"/>
  <c r="A229" i="26" s="1"/>
  <c r="AQ458" i="19"/>
  <c r="B466" i="26"/>
  <c r="AQ371" i="19"/>
  <c r="B379" i="26"/>
  <c r="AS542" i="19"/>
  <c r="C550" i="26"/>
  <c r="F378" i="26"/>
  <c r="D378" i="26"/>
  <c r="A378" i="26" s="1"/>
  <c r="D546" i="26"/>
  <c r="A546" i="26" s="1"/>
  <c r="F546" i="26"/>
  <c r="D426" i="26"/>
  <c r="A426" i="26" s="1"/>
  <c r="F426" i="26"/>
  <c r="D284" i="26"/>
  <c r="A284" i="26" s="1"/>
  <c r="F284" i="26"/>
  <c r="AQ216" i="19"/>
  <c r="B224" i="26"/>
  <c r="D495" i="26"/>
  <c r="A495" i="26" s="1"/>
  <c r="F495" i="26"/>
  <c r="B203" i="26"/>
  <c r="AQ195" i="19"/>
  <c r="C492" i="26"/>
  <c r="AS484" i="19"/>
  <c r="AQ386" i="19"/>
  <c r="B394" i="26"/>
  <c r="B288" i="26"/>
  <c r="AQ280" i="19"/>
  <c r="AT211" i="19"/>
  <c r="AR211" i="19" s="1"/>
  <c r="G219" i="26"/>
  <c r="D504" i="26"/>
  <c r="A504" i="26" s="1"/>
  <c r="F504" i="26"/>
  <c r="D252" i="26"/>
  <c r="A252" i="26" s="1"/>
  <c r="F252" i="26"/>
  <c r="B453" i="26"/>
  <c r="AQ445" i="19"/>
  <c r="AQ455" i="19"/>
  <c r="B463" i="26"/>
  <c r="AQ413" i="19"/>
  <c r="B421" i="26"/>
  <c r="AQ419" i="19"/>
  <c r="B427" i="26"/>
  <c r="AQ348" i="19"/>
  <c r="B356" i="26"/>
  <c r="D355" i="26"/>
  <c r="A355" i="26" s="1"/>
  <c r="F355" i="26"/>
  <c r="D249" i="26"/>
  <c r="A249" i="26" s="1"/>
  <c r="F249" i="26"/>
  <c r="AT296" i="19"/>
  <c r="AR296" i="19" s="1"/>
  <c r="G304" i="26"/>
  <c r="G512" i="26"/>
  <c r="AT504" i="19"/>
  <c r="AR504" i="19" s="1"/>
  <c r="D435" i="26"/>
  <c r="A435" i="26" s="1"/>
  <c r="F435" i="26"/>
  <c r="AQ524" i="19"/>
  <c r="B532" i="26"/>
  <c r="D288" i="26"/>
  <c r="A288" i="26" s="1"/>
  <c r="F288" i="26"/>
  <c r="AQ257" i="19"/>
  <c r="B265" i="26"/>
  <c r="AT536" i="19"/>
  <c r="AR536" i="19" s="1"/>
  <c r="G544" i="26"/>
  <c r="D259" i="26"/>
  <c r="A259" i="26" s="1"/>
  <c r="F259" i="26"/>
  <c r="AS492" i="19"/>
  <c r="C500" i="26"/>
  <c r="AQ237" i="19"/>
  <c r="B245" i="26"/>
  <c r="AS457" i="19"/>
  <c r="C465" i="26"/>
  <c r="D420" i="26"/>
  <c r="A420" i="26" s="1"/>
  <c r="F420" i="26"/>
  <c r="D511" i="26"/>
  <c r="A511" i="26" s="1"/>
  <c r="F511" i="26"/>
  <c r="B360" i="26"/>
  <c r="AQ352" i="19"/>
  <c r="D315" i="26"/>
  <c r="A315" i="26" s="1"/>
  <c r="F315" i="26"/>
  <c r="D541" i="26"/>
  <c r="A541" i="26" s="1"/>
  <c r="F541" i="26"/>
  <c r="C510" i="26"/>
  <c r="AS502" i="19"/>
  <c r="AQ539" i="19"/>
  <c r="B547" i="26"/>
  <c r="C404" i="26"/>
  <c r="AS396" i="19"/>
  <c r="F219" i="26"/>
  <c r="D219" i="26"/>
  <c r="A219" i="26" s="1"/>
  <c r="AT246" i="19"/>
  <c r="AR246" i="19" s="1"/>
  <c r="G254" i="26"/>
  <c r="AQ303" i="19"/>
  <c r="B311" i="26"/>
  <c r="B553" i="26"/>
  <c r="AQ545" i="19"/>
  <c r="AQ197" i="19"/>
  <c r="B205" i="26"/>
  <c r="AS288" i="19"/>
  <c r="C296" i="26"/>
  <c r="AS267" i="19"/>
  <c r="C275" i="26"/>
  <c r="F268" i="26"/>
  <c r="D268" i="26"/>
  <c r="A268" i="26" s="1"/>
  <c r="AS277" i="19"/>
  <c r="C285" i="26"/>
  <c r="C487" i="26"/>
  <c r="AS479" i="19"/>
  <c r="D402" i="26"/>
  <c r="A402" i="26" s="1"/>
  <c r="F402" i="26"/>
  <c r="D558" i="26"/>
  <c r="A558" i="26" s="1"/>
  <c r="F558" i="26"/>
  <c r="G319" i="26"/>
  <c r="AT311" i="19"/>
  <c r="AR311" i="19" s="1"/>
  <c r="F418" i="26"/>
  <c r="D418" i="26"/>
  <c r="A418" i="26" s="1"/>
  <c r="AQ333" i="19"/>
  <c r="B341" i="26"/>
  <c r="G305" i="26"/>
  <c r="AT297" i="19"/>
  <c r="AR297" i="19" s="1"/>
  <c r="AS273" i="19"/>
  <c r="C281" i="26"/>
  <c r="D217" i="26"/>
  <c r="A217" i="26" s="1"/>
  <c r="F217" i="26"/>
  <c r="D441" i="26"/>
  <c r="A441" i="26" s="1"/>
  <c r="F441" i="26"/>
  <c r="D232" i="26"/>
  <c r="A232" i="26" s="1"/>
  <c r="F232" i="26"/>
  <c r="B377" i="26"/>
  <c r="AQ369" i="19"/>
  <c r="D425" i="26"/>
  <c r="A425" i="26" s="1"/>
  <c r="F425" i="26"/>
  <c r="D244" i="26"/>
  <c r="A244" i="26" s="1"/>
  <c r="F244" i="26"/>
  <c r="B448" i="26"/>
  <c r="AQ440" i="19"/>
  <c r="AS330" i="19"/>
  <c r="C338" i="26"/>
  <c r="F246" i="26"/>
  <c r="D246" i="26"/>
  <c r="C461" i="26"/>
  <c r="AS453" i="19"/>
  <c r="B209" i="26"/>
  <c r="AQ201" i="19"/>
  <c r="F279" i="26"/>
  <c r="D279" i="26"/>
  <c r="A279" i="26" s="1"/>
  <c r="AQ433" i="19"/>
  <c r="B441" i="26"/>
  <c r="AT274" i="19"/>
  <c r="AR274" i="19" s="1"/>
  <c r="G282" i="26"/>
  <c r="AS353" i="19"/>
  <c r="C361" i="26"/>
  <c r="D497" i="26"/>
  <c r="A497" i="26" s="1"/>
  <c r="F497" i="26"/>
  <c r="AS389" i="19"/>
  <c r="C397" i="26"/>
  <c r="F272" i="26"/>
  <c r="D272" i="26"/>
  <c r="A272" i="26" s="1"/>
  <c r="F552" i="26"/>
  <c r="D552" i="26"/>
  <c r="A552" i="26" s="1"/>
  <c r="C214" i="26"/>
  <c r="AS206" i="19"/>
  <c r="AS414" i="19"/>
  <c r="C422" i="26"/>
  <c r="B235" i="26"/>
  <c r="AQ227" i="19"/>
  <c r="AT323" i="19"/>
  <c r="AR323" i="19" s="1"/>
  <c r="G331" i="26"/>
  <c r="G342" i="26"/>
  <c r="AT334" i="19"/>
  <c r="AR334" i="19" s="1"/>
  <c r="AT436" i="19"/>
  <c r="AR436" i="19" s="1"/>
  <c r="G444" i="26"/>
  <c r="AQ263" i="19"/>
  <c r="B271" i="26"/>
  <c r="AT301" i="19"/>
  <c r="AR301" i="19" s="1"/>
  <c r="G309" i="26"/>
  <c r="F524" i="26"/>
  <c r="D524" i="26"/>
  <c r="A524" i="26" s="1"/>
  <c r="D223" i="26"/>
  <c r="A223" i="26" s="1"/>
  <c r="F223" i="26"/>
  <c r="AS327" i="19"/>
  <c r="C335" i="26"/>
  <c r="C301" i="26"/>
  <c r="AS293" i="19"/>
  <c r="AS543" i="19"/>
  <c r="C551" i="26"/>
  <c r="AS552" i="19"/>
  <c r="C560" i="26"/>
  <c r="G253" i="26"/>
  <c r="AT245" i="19"/>
  <c r="AR245" i="19" s="1"/>
  <c r="AS240" i="19"/>
  <c r="C248" i="26"/>
  <c r="AS386" i="19"/>
  <c r="C394" i="26"/>
  <c r="AT354" i="19"/>
  <c r="AR354" i="19" s="1"/>
  <c r="G362" i="26"/>
  <c r="B557" i="26"/>
  <c r="AQ549" i="19"/>
  <c r="B264" i="26"/>
  <c r="F515" i="26"/>
  <c r="D515" i="26"/>
  <c r="A515" i="26" s="1"/>
  <c r="AS407" i="19"/>
  <c r="C415" i="26"/>
  <c r="AT248" i="19"/>
  <c r="AR248" i="19" s="1"/>
  <c r="G256" i="26"/>
  <c r="F258" i="26"/>
  <c r="D258" i="26"/>
  <c r="D457" i="26"/>
  <c r="A457" i="26" s="1"/>
  <c r="F457" i="26"/>
  <c r="AQ446" i="19"/>
  <c r="B454" i="26"/>
  <c r="AQ388" i="19"/>
  <c r="B396" i="26"/>
  <c r="D277" i="26"/>
  <c r="F277" i="26"/>
  <c r="B450" i="26"/>
  <c r="AQ442" i="19"/>
  <c r="D482" i="26"/>
  <c r="A482" i="26" s="1"/>
  <c r="F482" i="26"/>
  <c r="F509" i="26"/>
  <c r="D509" i="26"/>
  <c r="A509" i="26" s="1"/>
  <c r="AQ363" i="19"/>
  <c r="B371" i="26"/>
  <c r="D313" i="26"/>
  <c r="A313" i="26" s="1"/>
  <c r="F313" i="26"/>
  <c r="F359" i="26"/>
  <c r="D359" i="26"/>
  <c r="A359" i="26" s="1"/>
  <c r="G445" i="26"/>
  <c r="AT437" i="19"/>
  <c r="AR437" i="19" s="1"/>
  <c r="D466" i="26"/>
  <c r="A466" i="26" s="1"/>
  <c r="F466" i="26"/>
  <c r="AT305" i="19"/>
  <c r="AR305" i="19" s="1"/>
  <c r="G313" i="26"/>
  <c r="D331" i="26"/>
  <c r="A331" i="26" s="1"/>
  <c r="F331" i="26"/>
  <c r="AQ219" i="19"/>
  <c r="B227" i="26"/>
  <c r="AT451" i="19"/>
  <c r="AR451" i="19" s="1"/>
  <c r="G459" i="26"/>
  <c r="AQ253" i="19"/>
  <c r="B261" i="26"/>
  <c r="D298" i="26"/>
  <c r="F298" i="26"/>
  <c r="D416" i="26"/>
  <c r="A416" i="26" s="1"/>
  <c r="F416" i="26"/>
  <c r="C548" i="26"/>
  <c r="AS540" i="19"/>
  <c r="F309" i="26"/>
  <c r="D309" i="26"/>
  <c r="A309" i="26" s="1"/>
  <c r="F328" i="26"/>
  <c r="D328" i="26"/>
  <c r="A328" i="26" s="1"/>
  <c r="C412" i="26"/>
  <c r="AS404" i="19"/>
  <c r="AT552" i="19"/>
  <c r="AR552" i="19" s="1"/>
  <c r="G560" i="26"/>
  <c r="F436" i="26"/>
  <c r="D436" i="26"/>
  <c r="A436" i="26" s="1"/>
  <c r="F494" i="26"/>
  <c r="D494" i="26"/>
  <c r="A494" i="26" s="1"/>
  <c r="AT335" i="19"/>
  <c r="AR335" i="19" s="1"/>
  <c r="G343" i="26"/>
  <c r="D222" i="26"/>
  <c r="A222" i="26" s="1"/>
  <c r="F222" i="26"/>
  <c r="AS476" i="19"/>
  <c r="C484" i="26"/>
  <c r="D512" i="26"/>
  <c r="A512" i="26" s="1"/>
  <c r="F512" i="26"/>
  <c r="AT276" i="19"/>
  <c r="AR276" i="19" s="1"/>
  <c r="G284" i="26"/>
  <c r="D294" i="26"/>
  <c r="A294" i="26" s="1"/>
  <c r="F294" i="26"/>
  <c r="C250" i="26"/>
  <c r="AS242" i="19"/>
  <c r="AQ275" i="19"/>
  <c r="B283" i="26"/>
  <c r="AQ428" i="19"/>
  <c r="B436" i="26"/>
  <c r="B496" i="26"/>
  <c r="AQ488" i="19"/>
  <c r="D481" i="26"/>
  <c r="A481" i="26" s="1"/>
  <c r="F481" i="26"/>
  <c r="AQ310" i="19"/>
  <c r="B318" i="26"/>
  <c r="D434" i="26"/>
  <c r="A434" i="26" s="1"/>
  <c r="F434" i="26"/>
  <c r="D240" i="26"/>
  <c r="A240" i="26" s="1"/>
  <c r="F240" i="26"/>
  <c r="F464" i="26"/>
  <c r="D464" i="26"/>
  <c r="A464" i="26" s="1"/>
  <c r="D330" i="26"/>
  <c r="A330" i="26" s="1"/>
  <c r="F330" i="26"/>
  <c r="B211" i="26"/>
  <c r="AQ203" i="19"/>
  <c r="B292" i="26"/>
  <c r="AQ284" i="19"/>
  <c r="C432" i="26"/>
  <c r="AS424" i="19"/>
  <c r="C325" i="26"/>
  <c r="AS317" i="19"/>
  <c r="AQ393" i="19"/>
  <c r="B401" i="26"/>
  <c r="C557" i="26"/>
  <c r="AS549" i="19"/>
  <c r="AQ358" i="19"/>
  <c r="B366" i="26"/>
  <c r="F319" i="26"/>
  <c r="D319" i="26"/>
  <c r="A319" i="26" s="1"/>
  <c r="B514" i="26"/>
  <c r="AQ506" i="19"/>
  <c r="D384" i="26"/>
  <c r="A384" i="26" s="1"/>
  <c r="F384" i="26"/>
  <c r="F243" i="26"/>
  <c r="D243" i="26"/>
  <c r="A243" i="26" s="1"/>
  <c r="AT281" i="19"/>
  <c r="AR281" i="19" s="1"/>
  <c r="G289" i="26"/>
  <c r="B320" i="26"/>
  <c r="AQ312" i="19"/>
  <c r="AS295" i="19"/>
  <c r="C303" i="26"/>
  <c r="B392" i="26"/>
  <c r="AQ384" i="19"/>
  <c r="AQ222" i="19"/>
  <c r="B230" i="26"/>
  <c r="G474" i="26"/>
  <c r="AT466" i="19"/>
  <c r="AR466" i="19" s="1"/>
  <c r="AQ265" i="19"/>
  <c r="B273" i="26"/>
  <c r="AQ314" i="19"/>
  <c r="B322" i="26"/>
  <c r="AQ243" i="19"/>
  <c r="B251" i="26"/>
  <c r="D391" i="26"/>
  <c r="A391" i="26" s="1"/>
  <c r="F391" i="26"/>
  <c r="AQ511" i="19"/>
  <c r="B519" i="26"/>
  <c r="AT346" i="19"/>
  <c r="AR346" i="19" s="1"/>
  <c r="G354" i="26"/>
  <c r="AS342" i="19"/>
  <c r="C350" i="26"/>
  <c r="F267" i="26"/>
  <c r="D267" i="26"/>
  <c r="A267" i="26" s="1"/>
  <c r="AQ542" i="19"/>
  <c r="B550" i="26"/>
  <c r="AQ236" i="19"/>
  <c r="B244" i="26"/>
  <c r="B317" i="26"/>
  <c r="AQ309" i="19"/>
  <c r="B291" i="26" l="1"/>
  <c r="AQ537" i="19"/>
  <c r="AQ403" i="19"/>
  <c r="B300" i="26"/>
  <c r="AQ313" i="19"/>
  <c r="AQ218" i="19"/>
  <c r="B214" i="26"/>
  <c r="B433" i="26"/>
  <c r="B480" i="26"/>
  <c r="AQ481" i="19"/>
  <c r="B556" i="26"/>
  <c r="D447" i="26"/>
  <c r="A447" i="26" s="1"/>
  <c r="AQ204" i="19"/>
  <c r="B298" i="26"/>
  <c r="AQ432" i="19"/>
  <c r="F483" i="26"/>
  <c r="AQ453" i="19"/>
  <c r="B484" i="26"/>
  <c r="AQ319" i="19"/>
  <c r="B364" i="26"/>
  <c r="B296" i="26"/>
  <c r="AQ402" i="19"/>
  <c r="AQ329" i="19"/>
  <c r="B393" i="26"/>
  <c r="B388" i="26"/>
  <c r="F485" i="26"/>
  <c r="AQ514" i="19"/>
  <c r="D417" i="26"/>
  <c r="A417" i="26" s="1"/>
  <c r="F203" i="26"/>
  <c r="B361" i="26"/>
  <c r="B297" i="26"/>
  <c r="AQ370" i="19"/>
  <c r="AQ375" i="19"/>
  <c r="B204" i="26"/>
  <c r="B346" i="26"/>
  <c r="B325" i="26"/>
  <c r="AQ381" i="19"/>
  <c r="AQ450" i="19"/>
  <c r="AQ429" i="19"/>
  <c r="F556" i="26"/>
  <c r="AQ343" i="19"/>
  <c r="B390" i="26"/>
  <c r="B314" i="26"/>
  <c r="B335" i="26"/>
  <c r="AQ367" i="19"/>
  <c r="B220" i="26"/>
  <c r="B405" i="26"/>
  <c r="B534" i="26"/>
  <c r="B525" i="26"/>
  <c r="B302" i="26"/>
  <c r="D216" i="26"/>
  <c r="A216" i="26" s="1"/>
  <c r="F533" i="26"/>
  <c r="F382" i="26"/>
  <c r="B477" i="26"/>
  <c r="B404" i="26"/>
  <c r="AQ527" i="19"/>
  <c r="B416" i="26"/>
  <c r="B336" i="26"/>
  <c r="D414" i="26"/>
  <c r="A414" i="26" s="1"/>
  <c r="F352" i="26"/>
  <c r="AQ307" i="19"/>
  <c r="AQ423" i="19"/>
  <c r="F220" i="26"/>
  <c r="AQ507" i="19"/>
  <c r="D251" i="26"/>
  <c r="A251" i="26" s="1"/>
  <c r="B400" i="26"/>
  <c r="D357" i="26"/>
  <c r="A357" i="26" s="1"/>
  <c r="AQ247" i="19"/>
  <c r="B225" i="26"/>
  <c r="B238" i="26"/>
  <c r="F393" i="26"/>
  <c r="AQ339" i="19"/>
  <c r="D367" i="26"/>
  <c r="A367" i="26" s="1"/>
  <c r="F379" i="26"/>
  <c r="F472" i="26"/>
  <c r="F501" i="26"/>
  <c r="D324" i="26"/>
  <c r="A324" i="26" s="1"/>
  <c r="AQ528" i="19"/>
  <c r="AQ494" i="19"/>
  <c r="B495" i="26"/>
  <c r="F371" i="26"/>
  <c r="AQ373" i="19"/>
  <c r="AQ193" i="19"/>
  <c r="B374" i="26"/>
  <c r="F286" i="26"/>
  <c r="F226" i="26"/>
  <c r="D477" i="26"/>
  <c r="A477" i="26" s="1"/>
  <c r="AQ538" i="19"/>
  <c r="AQ318" i="19"/>
  <c r="F520" i="26"/>
  <c r="F241" i="26"/>
  <c r="AQ286" i="19"/>
  <c r="F209" i="26"/>
  <c r="D453" i="26"/>
  <c r="A453" i="26" s="1"/>
  <c r="F210" i="26"/>
  <c r="D263" i="26"/>
  <c r="A263" i="26" s="1"/>
  <c r="F212" i="26"/>
  <c r="D311" i="26"/>
  <c r="A311" i="26" s="1"/>
  <c r="F486" i="26"/>
  <c r="D264" i="26"/>
  <c r="A264" i="26" s="1"/>
  <c r="D521" i="26"/>
  <c r="A521" i="26" s="1"/>
  <c r="D213" i="26"/>
  <c r="A213" i="26" s="1"/>
  <c r="F370" i="26"/>
  <c r="F340" i="26"/>
  <c r="D200" i="26"/>
  <c r="A200" i="26" s="1"/>
  <c r="F452" i="26"/>
  <c r="F410" i="26"/>
  <c r="F327" i="26"/>
  <c r="D327" i="26"/>
  <c r="A327" i="26" s="1"/>
  <c r="D540" i="26"/>
  <c r="A540" i="26" s="1"/>
  <c r="F540" i="26"/>
  <c r="D312" i="26"/>
  <c r="A312" i="26" s="1"/>
  <c r="F312" i="26"/>
  <c r="F323" i="26"/>
  <c r="D323" i="26"/>
  <c r="A323" i="26" s="1"/>
  <c r="AQ467" i="19"/>
  <c r="B475" i="26"/>
  <c r="D205" i="26"/>
  <c r="A205" i="26" s="1"/>
  <c r="F205" i="26"/>
  <c r="D510" i="26"/>
  <c r="A510" i="26" s="1"/>
  <c r="F510" i="26"/>
  <c r="AQ211" i="19"/>
  <c r="B219" i="26"/>
  <c r="D350" i="26"/>
  <c r="A350" i="26" s="1"/>
  <c r="F350" i="26"/>
  <c r="D422" i="26"/>
  <c r="A422" i="26" s="1"/>
  <c r="F422" i="26"/>
  <c r="D550" i="26"/>
  <c r="A550" i="26" s="1"/>
  <c r="F550" i="26"/>
  <c r="F557" i="26"/>
  <c r="D557" i="26"/>
  <c r="A557" i="26" s="1"/>
  <c r="B493" i="26"/>
  <c r="AQ485" i="19"/>
  <c r="B482" i="26"/>
  <c r="AQ474" i="19"/>
  <c r="B202" i="26"/>
  <c r="AQ194" i="19"/>
  <c r="AQ226" i="19"/>
  <c r="B234" i="26"/>
  <c r="B391" i="26"/>
  <c r="AQ383" i="19"/>
  <c r="B457" i="26"/>
  <c r="AQ449" i="19"/>
  <c r="B517" i="26"/>
  <c r="AQ509" i="19"/>
  <c r="B380" i="26"/>
  <c r="AQ372" i="19"/>
  <c r="F211" i="26"/>
  <c r="D211" i="26"/>
  <c r="A211" i="26" s="1"/>
  <c r="AQ376" i="19"/>
  <c r="B384" i="26"/>
  <c r="D360" i="26"/>
  <c r="A360" i="26" s="1"/>
  <c r="F360" i="26"/>
  <c r="F303" i="26"/>
  <c r="D303" i="26"/>
  <c r="A303" i="26" s="1"/>
  <c r="F516" i="26"/>
  <c r="D516" i="26"/>
  <c r="A516" i="26" s="1"/>
  <c r="D291" i="26"/>
  <c r="A291" i="26" s="1"/>
  <c r="F291" i="26"/>
  <c r="D317" i="26"/>
  <c r="A317" i="26" s="1"/>
  <c r="F317" i="26"/>
  <c r="F227" i="26"/>
  <c r="D227" i="26"/>
  <c r="A227" i="26" s="1"/>
  <c r="D297" i="26"/>
  <c r="A297" i="26" s="1"/>
  <c r="F297" i="26"/>
  <c r="D430" i="26"/>
  <c r="A430" i="26" s="1"/>
  <c r="F430" i="26"/>
  <c r="B282" i="26"/>
  <c r="AQ274" i="19"/>
  <c r="D215" i="26"/>
  <c r="A215" i="26" s="1"/>
  <c r="F215" i="26"/>
  <c r="B544" i="26"/>
  <c r="AQ536" i="19"/>
  <c r="D470" i="26"/>
  <c r="A470" i="26" s="1"/>
  <c r="F470" i="26"/>
  <c r="F460" i="26"/>
  <c r="D460" i="26"/>
  <c r="A460" i="26" s="1"/>
  <c r="B259" i="26"/>
  <c r="AQ251" i="19"/>
  <c r="D224" i="26"/>
  <c r="A224" i="26" s="1"/>
  <c r="F224" i="26"/>
  <c r="D346" i="26"/>
  <c r="A346" i="26" s="1"/>
  <c r="F346" i="26"/>
  <c r="D405" i="26"/>
  <c r="A405" i="26" s="1"/>
  <c r="F405" i="26"/>
  <c r="D278" i="26"/>
  <c r="A278" i="26" s="1"/>
  <c r="F278" i="26"/>
  <c r="D484" i="26"/>
  <c r="A484" i="26" s="1"/>
  <c r="F484" i="26"/>
  <c r="AQ311" i="19"/>
  <c r="B319" i="26"/>
  <c r="F548" i="26"/>
  <c r="D548" i="26"/>
  <c r="A548" i="26" s="1"/>
  <c r="D214" i="26"/>
  <c r="A214" i="26" s="1"/>
  <c r="F214" i="26"/>
  <c r="B445" i="26"/>
  <c r="AQ437" i="19"/>
  <c r="AQ399" i="19"/>
  <c r="B407" i="26"/>
  <c r="D341" i="26"/>
  <c r="A341" i="26" s="1"/>
  <c r="F341" i="26"/>
  <c r="F390" i="26"/>
  <c r="D390" i="26"/>
  <c r="A390" i="26" s="1"/>
  <c r="D269" i="26"/>
  <c r="A269" i="26" s="1"/>
  <c r="F269" i="26"/>
  <c r="D271" i="26"/>
  <c r="A271" i="26" s="1"/>
  <c r="F271" i="26"/>
  <c r="B243" i="26"/>
  <c r="AQ235" i="19"/>
  <c r="F537" i="26"/>
  <c r="D537" i="26"/>
  <c r="A537" i="26" s="1"/>
  <c r="D440" i="26"/>
  <c r="A440" i="26" s="1"/>
  <c r="F440" i="26"/>
  <c r="F301" i="26"/>
  <c r="D301" i="26"/>
  <c r="A301" i="26" s="1"/>
  <c r="D532" i="26"/>
  <c r="A532" i="26" s="1"/>
  <c r="F532" i="26"/>
  <c r="F325" i="26"/>
  <c r="D325" i="26"/>
  <c r="A325" i="26" s="1"/>
  <c r="AQ354" i="19"/>
  <c r="B362" i="26"/>
  <c r="AQ441" i="19"/>
  <c r="B449" i="26"/>
  <c r="D321" i="26"/>
  <c r="A321" i="26" s="1"/>
  <c r="F321" i="26"/>
  <c r="F348" i="26"/>
  <c r="D348" i="26"/>
  <c r="A348" i="26" s="1"/>
  <c r="F335" i="26"/>
  <c r="D335" i="26"/>
  <c r="A335" i="26" s="1"/>
  <c r="B354" i="26"/>
  <c r="AQ346" i="19"/>
  <c r="D492" i="26"/>
  <c r="A492" i="26" s="1"/>
  <c r="F492" i="26"/>
  <c r="D394" i="26"/>
  <c r="A394" i="26" s="1"/>
  <c r="F394" i="26"/>
  <c r="AQ463" i="19"/>
  <c r="B471" i="26"/>
  <c r="B541" i="26"/>
  <c r="AQ533" i="19"/>
  <c r="B272" i="26"/>
  <c r="AQ264" i="19"/>
  <c r="F463" i="26"/>
  <c r="D463" i="26"/>
  <c r="A463" i="26" s="1"/>
  <c r="D314" i="26"/>
  <c r="A314" i="26" s="1"/>
  <c r="F314" i="26"/>
  <c r="AQ281" i="19"/>
  <c r="B289" i="26"/>
  <c r="F432" i="26"/>
  <c r="D432" i="26"/>
  <c r="A432" i="26" s="1"/>
  <c r="AQ335" i="19"/>
  <c r="B343" i="26"/>
  <c r="AQ252" i="19"/>
  <c r="B260" i="26"/>
  <c r="F369" i="26"/>
  <c r="D369" i="26"/>
  <c r="A369" i="26" s="1"/>
  <c r="B249" i="26"/>
  <c r="AQ241" i="19"/>
  <c r="D468" i="26"/>
  <c r="A468" i="26" s="1"/>
  <c r="F468" i="26"/>
  <c r="F339" i="26"/>
  <c r="D339" i="26"/>
  <c r="A339" i="26" s="1"/>
  <c r="F547" i="26"/>
  <c r="D547" i="26"/>
  <c r="A547" i="26" s="1"/>
  <c r="AQ550" i="19"/>
  <c r="B558" i="26"/>
  <c r="AQ301" i="19"/>
  <c r="B309" i="26"/>
  <c r="D397" i="26"/>
  <c r="A397" i="26" s="1"/>
  <c r="F397" i="26"/>
  <c r="AQ434" i="19"/>
  <c r="B442" i="26"/>
  <c r="D479" i="26"/>
  <c r="A479" i="26" s="1"/>
  <c r="F479" i="26"/>
  <c r="D454" i="26"/>
  <c r="A454" i="26" s="1"/>
  <c r="F454" i="26"/>
  <c r="AQ271" i="19"/>
  <c r="B279" i="26"/>
  <c r="D206" i="26"/>
  <c r="A206" i="26" s="1"/>
  <c r="F206" i="26"/>
  <c r="AQ391" i="19"/>
  <c r="B399" i="26"/>
  <c r="AQ320" i="19"/>
  <c r="B328" i="26"/>
  <c r="D292" i="26"/>
  <c r="A292" i="26" s="1"/>
  <c r="F292" i="26"/>
  <c r="AQ199" i="19"/>
  <c r="B207" i="26"/>
  <c r="D248" i="26"/>
  <c r="A248" i="26" s="1"/>
  <c r="F248" i="26"/>
  <c r="D281" i="26"/>
  <c r="A281" i="26" s="1"/>
  <c r="F281" i="26"/>
  <c r="D285" i="26"/>
  <c r="A285" i="26" s="1"/>
  <c r="F285" i="26"/>
  <c r="F465" i="26"/>
  <c r="D465" i="26"/>
  <c r="A465" i="26" s="1"/>
  <c r="D392" i="26"/>
  <c r="A392" i="26" s="1"/>
  <c r="F392" i="26"/>
  <c r="AQ223" i="19"/>
  <c r="B231" i="26"/>
  <c r="D287" i="26"/>
  <c r="A287" i="26" s="1"/>
  <c r="F287" i="26"/>
  <c r="D236" i="26"/>
  <c r="A236" i="26" s="1"/>
  <c r="F236" i="26"/>
  <c r="D553" i="26"/>
  <c r="A553" i="26" s="1"/>
  <c r="F553" i="26"/>
  <c r="D409" i="26"/>
  <c r="A409" i="26" s="1"/>
  <c r="F409" i="26"/>
  <c r="F448" i="26"/>
  <c r="D448" i="26"/>
  <c r="A448" i="26" s="1"/>
  <c r="F487" i="26"/>
  <c r="D487" i="26"/>
  <c r="A487" i="26" s="1"/>
  <c r="D376" i="26"/>
  <c r="A376" i="26" s="1"/>
  <c r="F376" i="26"/>
  <c r="D221" i="26"/>
  <c r="A221" i="26" s="1"/>
  <c r="F221" i="26"/>
  <c r="D239" i="26"/>
  <c r="A239" i="26" s="1"/>
  <c r="F239" i="26"/>
  <c r="B539" i="26"/>
  <c r="AQ531" i="19"/>
  <c r="B497" i="26"/>
  <c r="AQ489" i="19"/>
  <c r="AQ436" i="19"/>
  <c r="B444" i="26"/>
  <c r="B253" i="26"/>
  <c r="AQ245" i="19"/>
  <c r="F338" i="26"/>
  <c r="D338" i="26"/>
  <c r="A338" i="26" s="1"/>
  <c r="AQ297" i="19"/>
  <c r="B305" i="26"/>
  <c r="AQ504" i="19"/>
  <c r="B512" i="26"/>
  <c r="AQ234" i="19"/>
  <c r="B242" i="26"/>
  <c r="D427" i="26"/>
  <c r="A427" i="26" s="1"/>
  <c r="F427" i="26"/>
  <c r="D383" i="26"/>
  <c r="A383" i="26" s="1"/>
  <c r="F383" i="26"/>
  <c r="F353" i="26"/>
  <c r="D353" i="26"/>
  <c r="A353" i="26" s="1"/>
  <c r="D302" i="26"/>
  <c r="A302" i="26" s="1"/>
  <c r="F302" i="26"/>
  <c r="F498" i="26"/>
  <c r="D498" i="26"/>
  <c r="A498" i="26" s="1"/>
  <c r="F489" i="26"/>
  <c r="D489" i="26"/>
  <c r="A489" i="26" s="1"/>
  <c r="D265" i="26"/>
  <c r="A265" i="26" s="1"/>
  <c r="F265" i="26"/>
  <c r="AQ272" i="19"/>
  <c r="B280" i="26"/>
  <c r="B402" i="26"/>
  <c r="AQ394" i="19"/>
  <c r="B295" i="26"/>
  <c r="AQ287" i="19"/>
  <c r="D461" i="26"/>
  <c r="A461" i="26" s="1"/>
  <c r="F461" i="26"/>
  <c r="D250" i="26"/>
  <c r="A250" i="26" s="1"/>
  <c r="F250" i="26"/>
  <c r="AQ552" i="19"/>
  <c r="B560" i="26"/>
  <c r="D356" i="26"/>
  <c r="A356" i="26" s="1"/>
  <c r="F356" i="26"/>
  <c r="D560" i="26"/>
  <c r="F560" i="26"/>
  <c r="B342" i="26"/>
  <c r="AQ334" i="19"/>
  <c r="D275" i="26"/>
  <c r="A275" i="26" s="1"/>
  <c r="F275" i="26"/>
  <c r="D500" i="26"/>
  <c r="A500" i="26" s="1"/>
  <c r="F500" i="26"/>
  <c r="D299" i="26"/>
  <c r="A299" i="26" s="1"/>
  <c r="F299" i="26"/>
  <c r="D503" i="26"/>
  <c r="A503" i="26" s="1"/>
  <c r="F503" i="26"/>
  <c r="D549" i="26"/>
  <c r="A549" i="26" s="1"/>
  <c r="F549" i="26"/>
  <c r="D386" i="26"/>
  <c r="A386" i="26" s="1"/>
  <c r="F386" i="26"/>
  <c r="D437" i="26"/>
  <c r="A437" i="26" s="1"/>
  <c r="F437" i="26"/>
  <c r="D334" i="26"/>
  <c r="A334" i="26" s="1"/>
  <c r="F334" i="26"/>
  <c r="F276" i="26"/>
  <c r="D276" i="26"/>
  <c r="A276" i="26" s="1"/>
  <c r="F344" i="26"/>
  <c r="D344" i="26"/>
  <c r="A344" i="26" s="1"/>
  <c r="D366" i="26"/>
  <c r="A366" i="26" s="1"/>
  <c r="F366" i="26"/>
  <c r="F534" i="26"/>
  <c r="D534" i="26"/>
  <c r="A534" i="26" s="1"/>
  <c r="AQ520" i="19"/>
  <c r="B528" i="26"/>
  <c r="F519" i="26"/>
  <c r="D519" i="26"/>
  <c r="A519" i="26" s="1"/>
  <c r="D388" i="26"/>
  <c r="A388" i="26" s="1"/>
  <c r="F388" i="26"/>
  <c r="D412" i="26"/>
  <c r="A412" i="26" s="1"/>
  <c r="F412" i="26"/>
  <c r="AQ248" i="19"/>
  <c r="B256" i="26"/>
  <c r="AQ503" i="19"/>
  <c r="B511" i="26"/>
  <c r="AQ191" i="19"/>
  <c r="B199" i="26"/>
  <c r="B505" i="26"/>
  <c r="AQ497" i="19"/>
  <c r="D404" i="26"/>
  <c r="A404" i="26" s="1"/>
  <c r="F404" i="26"/>
  <c r="B304" i="26"/>
  <c r="AQ296" i="19"/>
  <c r="AQ466" i="19"/>
  <c r="B474" i="26"/>
  <c r="D415" i="26"/>
  <c r="A415" i="26" s="1"/>
  <c r="F415" i="26"/>
  <c r="D551" i="26"/>
  <c r="A551" i="26" s="1"/>
  <c r="F551" i="26"/>
  <c r="D361" i="26"/>
  <c r="A361" i="26" s="1"/>
  <c r="F361" i="26"/>
  <c r="D296" i="26"/>
  <c r="A296" i="26" s="1"/>
  <c r="F296" i="26"/>
  <c r="F530" i="26"/>
  <c r="D530" i="26"/>
  <c r="A530" i="26" s="1"/>
  <c r="D514" i="26"/>
  <c r="A514" i="26" s="1"/>
  <c r="F514" i="26"/>
  <c r="AQ405" i="19"/>
  <c r="B413" i="26"/>
  <c r="D218" i="26"/>
  <c r="A218" i="26" s="1"/>
  <c r="F218" i="26"/>
  <c r="AQ519" i="19"/>
  <c r="B527" i="26"/>
  <c r="D446" i="26"/>
  <c r="A446" i="26" s="1"/>
  <c r="F446" i="26"/>
  <c r="AQ430" i="19"/>
  <c r="B438" i="26"/>
  <c r="AQ246" i="19"/>
  <c r="B254" i="26"/>
  <c r="AQ451" i="19"/>
  <c r="B459" i="26"/>
  <c r="D523" i="26"/>
  <c r="A523" i="26" s="1"/>
  <c r="F523" i="26"/>
  <c r="F307" i="26"/>
  <c r="D307" i="26"/>
  <c r="A307" i="26" s="1"/>
  <c r="AQ470" i="19"/>
  <c r="B478" i="26"/>
  <c r="B310" i="26"/>
  <c r="AQ302" i="19"/>
  <c r="F456" i="26"/>
  <c r="D456" i="26"/>
  <c r="A456" i="26" s="1"/>
  <c r="D411" i="26"/>
  <c r="A411" i="26" s="1"/>
  <c r="F411" i="26"/>
  <c r="AQ276" i="19"/>
  <c r="B284" i="26"/>
  <c r="AQ305" i="19"/>
  <c r="B313" i="26"/>
  <c r="AQ323" i="19"/>
  <c r="B331" i="26"/>
  <c r="B424" i="26"/>
  <c r="AQ416" i="19"/>
  <c r="D257" i="26"/>
  <c r="A257" i="26" s="1"/>
  <c r="F257" i="26"/>
  <c r="AQ221" i="19"/>
  <c r="B229" i="26"/>
  <c r="D274" i="26"/>
  <c r="A274" i="26" s="1"/>
  <c r="F274" i="26"/>
  <c r="D332" i="26"/>
  <c r="A332" i="26" s="1"/>
  <c r="F332" i="26"/>
  <c r="B509" i="26"/>
  <c r="AQ501" i="19"/>
  <c r="D545" i="26"/>
  <c r="A545" i="26" s="1"/>
  <c r="F545" i="26"/>
  <c r="F490" i="26"/>
  <c r="D490" i="26"/>
  <c r="A490" i="26" s="1"/>
  <c r="AQ410" i="19"/>
  <c r="B418" i="26"/>
  <c r="B420" i="26"/>
  <c r="AQ412" i="19"/>
  <c r="AQ498" i="19"/>
  <c r="B506" i="26"/>
  <c r="AA189" i="19" l="1"/>
  <c r="AB190" i="19" l="1"/>
  <c r="AC190" i="19" s="1"/>
  <c r="V189" i="19"/>
  <c r="J191" i="23"/>
  <c r="W189" i="19"/>
  <c r="AA41" i="19" l="1"/>
  <c r="H43" i="23"/>
  <c r="H112" i="23"/>
  <c r="H10" i="23"/>
  <c r="H86" i="23"/>
  <c r="H120" i="23"/>
  <c r="H146" i="23"/>
  <c r="H117" i="23"/>
  <c r="H164" i="23"/>
  <c r="H59" i="23"/>
  <c r="H96" i="23"/>
  <c r="H42" i="23"/>
  <c r="H41" i="23"/>
  <c r="H122" i="23"/>
  <c r="H129" i="23"/>
  <c r="H159" i="23"/>
  <c r="H121" i="23"/>
  <c r="H25" i="23"/>
  <c r="H64" i="23"/>
  <c r="H8" i="23"/>
  <c r="H152" i="23"/>
  <c r="H148" i="23"/>
  <c r="H77" i="23"/>
  <c r="H5" i="23"/>
  <c r="H145" i="23"/>
  <c r="H170" i="23"/>
  <c r="H125" i="23"/>
  <c r="H27" i="23"/>
  <c r="H69" i="23"/>
  <c r="H45" i="23"/>
  <c r="H65" i="23"/>
  <c r="H105" i="23"/>
  <c r="H55" i="23"/>
  <c r="H185" i="23"/>
  <c r="H183" i="23"/>
  <c r="H138" i="23"/>
  <c r="H31" i="23"/>
  <c r="H74" i="23"/>
  <c r="H48" i="23"/>
  <c r="H139" i="23"/>
  <c r="H90" i="23"/>
  <c r="H108" i="23"/>
  <c r="H97" i="23"/>
  <c r="H16" i="23"/>
  <c r="H38" i="23"/>
  <c r="H162" i="23"/>
  <c r="H78" i="23"/>
  <c r="H79" i="23"/>
  <c r="H28" i="23"/>
  <c r="H167" i="23"/>
  <c r="H178" i="23"/>
  <c r="H111" i="23"/>
  <c r="H33" i="23"/>
  <c r="H85" i="23"/>
  <c r="H186" i="23"/>
  <c r="H147" i="23"/>
  <c r="AA145" i="19"/>
  <c r="H84" i="23"/>
  <c r="H73" i="23"/>
  <c r="H82" i="23"/>
  <c r="H57" i="23"/>
  <c r="H141" i="23"/>
  <c r="H100" i="23"/>
  <c r="AA85" i="19"/>
  <c r="AB86" i="19" s="1"/>
  <c r="H87" i="23"/>
  <c r="H23" i="23"/>
  <c r="H171" i="23"/>
  <c r="H89" i="23"/>
  <c r="H12" i="23"/>
  <c r="H158" i="23"/>
  <c r="H88" i="23"/>
  <c r="H169" i="23"/>
  <c r="AA167" i="19"/>
  <c r="AB168" i="19" s="1"/>
  <c r="H144" i="23"/>
  <c r="H91" i="23"/>
  <c r="H70" i="23"/>
  <c r="H184" i="23"/>
  <c r="H94" i="23"/>
  <c r="H61" i="23"/>
  <c r="H133" i="23"/>
  <c r="AA70" i="19"/>
  <c r="H72" i="23"/>
  <c r="H153" i="23"/>
  <c r="H99" i="23"/>
  <c r="P189" i="19"/>
  <c r="AP189" i="19"/>
  <c r="A191" i="23"/>
  <c r="K191" i="23" s="1"/>
  <c r="H142" i="23"/>
  <c r="H51" i="23"/>
  <c r="H177" i="23"/>
  <c r="H47" i="23"/>
  <c r="H106" i="23"/>
  <c r="H157" i="23"/>
  <c r="H76" i="23"/>
  <c r="AA164" i="19"/>
  <c r="H166" i="23"/>
  <c r="H104" i="23"/>
  <c r="H155" i="23"/>
  <c r="H71" i="23"/>
  <c r="H75" i="23"/>
  <c r="H58" i="23"/>
  <c r="H6" i="23"/>
  <c r="H181" i="23"/>
  <c r="H123" i="23"/>
  <c r="H9" i="23"/>
  <c r="H109" i="23"/>
  <c r="H4" i="23"/>
  <c r="H20" i="23"/>
  <c r="H18" i="23"/>
  <c r="AA16" i="19"/>
  <c r="AB17" i="19" s="1"/>
  <c r="H135" i="23"/>
  <c r="H132" i="23"/>
  <c r="H67" i="23"/>
  <c r="H62" i="23"/>
  <c r="H136" i="23"/>
  <c r="H14" i="23"/>
  <c r="H114" i="23"/>
  <c r="H101" i="23"/>
  <c r="H35" i="23"/>
  <c r="H154" i="23"/>
  <c r="H172" i="23"/>
  <c r="AA79" i="19"/>
  <c r="AB80" i="19" s="1"/>
  <c r="H81" i="23"/>
  <c r="H151" i="23"/>
  <c r="H149" i="23"/>
  <c r="H19" i="23"/>
  <c r="H119" i="23"/>
  <c r="U189" i="19"/>
  <c r="C191" i="23"/>
  <c r="AA141" i="19"/>
  <c r="H143" i="23"/>
  <c r="H140" i="23"/>
  <c r="H7" i="23"/>
  <c r="H92" i="23"/>
  <c r="AA90" i="19"/>
  <c r="AB91" i="19" s="1"/>
  <c r="H95" i="23"/>
  <c r="H175" i="23"/>
  <c r="H160" i="23"/>
  <c r="H24" i="23"/>
  <c r="H137" i="23"/>
  <c r="AA24" i="19"/>
  <c r="H26" i="23"/>
  <c r="H37" i="23"/>
  <c r="H189" i="23"/>
  <c r="H156" i="23"/>
  <c r="H46" i="23"/>
  <c r="H103" i="23"/>
  <c r="H98" i="23"/>
  <c r="AA96" i="19"/>
  <c r="H188" i="23"/>
  <c r="H173" i="23"/>
  <c r="H29" i="23"/>
  <c r="AA148" i="19"/>
  <c r="H150" i="23"/>
  <c r="H161" i="23"/>
  <c r="H107" i="23"/>
  <c r="H63" i="23"/>
  <c r="H102" i="23"/>
  <c r="H182" i="23"/>
  <c r="H179" i="23"/>
  <c r="H15" i="23"/>
  <c r="H13" i="23"/>
  <c r="H34" i="23"/>
  <c r="H174" i="23"/>
  <c r="H118" i="23"/>
  <c r="H124" i="23"/>
  <c r="H80" i="23"/>
  <c r="AA114" i="19"/>
  <c r="H116" i="23"/>
  <c r="H11" i="23"/>
  <c r="H30" i="23"/>
  <c r="H17" i="23"/>
  <c r="H60" i="23"/>
  <c r="H39" i="23"/>
  <c r="H187" i="23"/>
  <c r="H93" i="23"/>
  <c r="AA128" i="19"/>
  <c r="H130" i="23"/>
  <c r="H128" i="23"/>
  <c r="H134" i="23"/>
  <c r="H22" i="23"/>
  <c r="H32" i="23"/>
  <c r="H21" i="23"/>
  <c r="H66" i="23"/>
  <c r="H44" i="23"/>
  <c r="H126" i="23"/>
  <c r="H40" i="23"/>
  <c r="H110" i="23"/>
  <c r="H131" i="23"/>
  <c r="H168" i="23"/>
  <c r="H50" i="23"/>
  <c r="H36" i="23"/>
  <c r="H68" i="23"/>
  <c r="H113" i="23"/>
  <c r="H49" i="23"/>
  <c r="H163" i="23"/>
  <c r="H165" i="23"/>
  <c r="H180" i="23"/>
  <c r="H56" i="23"/>
  <c r="H190" i="23"/>
  <c r="H52" i="23"/>
  <c r="H53" i="23"/>
  <c r="AA81" i="19"/>
  <c r="H83" i="23"/>
  <c r="H115" i="23"/>
  <c r="H127" i="23"/>
  <c r="H54" i="23"/>
  <c r="H176" i="23"/>
  <c r="AA47" i="19" l="1"/>
  <c r="AB48" i="19" s="1"/>
  <c r="AA32" i="19"/>
  <c r="AA135" i="19"/>
  <c r="AA99" i="19"/>
  <c r="AB100" i="19" s="1"/>
  <c r="AA82" i="19"/>
  <c r="AB83" i="19" s="1"/>
  <c r="AA31" i="19"/>
  <c r="AB32" i="19" s="1"/>
  <c r="AC32" i="19" s="1"/>
  <c r="AA144" i="19"/>
  <c r="AB145" i="19" s="1"/>
  <c r="AC145" i="19" s="1"/>
  <c r="AA110" i="19"/>
  <c r="AA88" i="19"/>
  <c r="AB89" i="19" s="1"/>
  <c r="AA51" i="19"/>
  <c r="AB52" i="19" s="1"/>
  <c r="AA134" i="19"/>
  <c r="AB135" i="19" s="1"/>
  <c r="AC135" i="19" s="1"/>
  <c r="AA49" i="19"/>
  <c r="AB50" i="19" s="1"/>
  <c r="AA97" i="19"/>
  <c r="AB98" i="19" s="1"/>
  <c r="AA43" i="19"/>
  <c r="AA5" i="19"/>
  <c r="AB6" i="19" s="1"/>
  <c r="AA153" i="19"/>
  <c r="AB154" i="19" s="1"/>
  <c r="AA34" i="19"/>
  <c r="AC34" i="19" s="1"/>
  <c r="AA57" i="19"/>
  <c r="AB58" i="19" s="1"/>
  <c r="AA53" i="19"/>
  <c r="AB54" i="19" s="1"/>
  <c r="AA75" i="19"/>
  <c r="AB76" i="19" s="1"/>
  <c r="AA137" i="19"/>
  <c r="AB138" i="19" s="1"/>
  <c r="AA170" i="19"/>
  <c r="AB171" i="19" s="1"/>
  <c r="AA133" i="19"/>
  <c r="AB134" i="19" s="1"/>
  <c r="AC134" i="19" s="1"/>
  <c r="AA86" i="19"/>
  <c r="AC86" i="19" s="1"/>
  <c r="AA168" i="19"/>
  <c r="AB169" i="19" s="1"/>
  <c r="AA13" i="19"/>
  <c r="AA33" i="19"/>
  <c r="AB34" i="19" s="1"/>
  <c r="AA179" i="19"/>
  <c r="AB180" i="19" s="1"/>
  <c r="AA89" i="19"/>
  <c r="AB90" i="19" s="1"/>
  <c r="AA87" i="19"/>
  <c r="AA136" i="19"/>
  <c r="AA92" i="19"/>
  <c r="AB93" i="19" s="1"/>
  <c r="AA45" i="19"/>
  <c r="AB46" i="19" s="1"/>
  <c r="AA52" i="19"/>
  <c r="AB53" i="19" s="1"/>
  <c r="AC53" i="19" s="1"/>
  <c r="AA23" i="19"/>
  <c r="AB24" i="19" s="1"/>
  <c r="AC24" i="19" s="1"/>
  <c r="AA111" i="19"/>
  <c r="AB112" i="19" s="1"/>
  <c r="AA159" i="19"/>
  <c r="AB160" i="19" s="1"/>
  <c r="AA61" i="19"/>
  <c r="AB62" i="19" s="1"/>
  <c r="AA38" i="19"/>
  <c r="AB39" i="19" s="1"/>
  <c r="AA147" i="19"/>
  <c r="AB148" i="19" s="1"/>
  <c r="AC148" i="19" s="1"/>
  <c r="AA152" i="19"/>
  <c r="AB153" i="19" s="1"/>
  <c r="AC153" i="19" s="1"/>
  <c r="AA169" i="19"/>
  <c r="AA109" i="19"/>
  <c r="AB110" i="19" s="1"/>
  <c r="AC110" i="19" s="1"/>
  <c r="AA26" i="19"/>
  <c r="AB27" i="19" s="1"/>
  <c r="AA7" i="19"/>
  <c r="AB8" i="19" s="1"/>
  <c r="AA58" i="19"/>
  <c r="AB59" i="19" s="1"/>
  <c r="AA106" i="19"/>
  <c r="AB107" i="19" s="1"/>
  <c r="AA67" i="19"/>
  <c r="AA62" i="19"/>
  <c r="AB63" i="19" s="1"/>
  <c r="AA162" i="19"/>
  <c r="AB163" i="19" s="1"/>
  <c r="AA177" i="19"/>
  <c r="AB178" i="19" s="1"/>
  <c r="AA172" i="19"/>
  <c r="AB173" i="19" s="1"/>
  <c r="AA15" i="19"/>
  <c r="AA112" i="19"/>
  <c r="AA4" i="19"/>
  <c r="AB5" i="19" s="1"/>
  <c r="AC5" i="19" s="1"/>
  <c r="AA156" i="19"/>
  <c r="AB157" i="19" s="1"/>
  <c r="AA98" i="19"/>
  <c r="AB99" i="19" s="1"/>
  <c r="AC99" i="19" s="1"/>
  <c r="AA184" i="19"/>
  <c r="AB185" i="19" s="1"/>
  <c r="AA103" i="19"/>
  <c r="AB104" i="19" s="1"/>
  <c r="AA182" i="19"/>
  <c r="AB183" i="19" s="1"/>
  <c r="AA158" i="19"/>
  <c r="AB159" i="19" s="1"/>
  <c r="AC159" i="19" s="1"/>
  <c r="AA107" i="19"/>
  <c r="AA71" i="19"/>
  <c r="AC71" i="19" s="1"/>
  <c r="AA36" i="19"/>
  <c r="AB37" i="19" s="1"/>
  <c r="AA25" i="19"/>
  <c r="AB26" i="19" s="1"/>
  <c r="AA146" i="19"/>
  <c r="AB147" i="19" s="1"/>
  <c r="AA127" i="19"/>
  <c r="AB128" i="19" s="1"/>
  <c r="AC128" i="19" s="1"/>
  <c r="AB82" i="19"/>
  <c r="AB25" i="19"/>
  <c r="AB33" i="19"/>
  <c r="AC33" i="19" s="1"/>
  <c r="AB149" i="19"/>
  <c r="AB97" i="19"/>
  <c r="AB71" i="19"/>
  <c r="AB35" i="19"/>
  <c r="AB136" i="19"/>
  <c r="AC136" i="19" s="1"/>
  <c r="AB111" i="19"/>
  <c r="AB146" i="19"/>
  <c r="AB142" i="19"/>
  <c r="AC90" i="19"/>
  <c r="AB88" i="19"/>
  <c r="AC88" i="19" s="1"/>
  <c r="AB137" i="19"/>
  <c r="AC137" i="19" s="1"/>
  <c r="AB115" i="19"/>
  <c r="AB165" i="19"/>
  <c r="AB170" i="19"/>
  <c r="AC26" i="19"/>
  <c r="AB42" i="19"/>
  <c r="AB16" i="19"/>
  <c r="AC16" i="19" s="1"/>
  <c r="AB113" i="19"/>
  <c r="AB129" i="19"/>
  <c r="R122" i="19"/>
  <c r="AA54" i="19"/>
  <c r="AA115" i="19"/>
  <c r="AB116" i="19" s="1"/>
  <c r="AA35" i="19"/>
  <c r="AB36" i="19" s="1"/>
  <c r="AC36" i="19" s="1"/>
  <c r="AA3" i="19"/>
  <c r="AB4" i="19" s="1"/>
  <c r="R43" i="19"/>
  <c r="R118" i="19"/>
  <c r="B151" i="19"/>
  <c r="B66" i="19"/>
  <c r="AA121" i="19"/>
  <c r="AA56" i="19"/>
  <c r="AB57" i="19" s="1"/>
  <c r="AC57" i="19" s="1"/>
  <c r="R55" i="19"/>
  <c r="R93" i="19"/>
  <c r="B172" i="19"/>
  <c r="B44" i="19"/>
  <c r="B18" i="19"/>
  <c r="R185" i="19"/>
  <c r="B139" i="19"/>
  <c r="R174" i="19"/>
  <c r="R141" i="19"/>
  <c r="B14" i="19"/>
  <c r="AA183" i="19"/>
  <c r="B105" i="19"/>
  <c r="AA104" i="19"/>
  <c r="B85" i="19"/>
  <c r="R95" i="19"/>
  <c r="R187" i="19"/>
  <c r="B17" i="19"/>
  <c r="R33" i="19"/>
  <c r="B125" i="19"/>
  <c r="R96" i="19"/>
  <c r="R154" i="19"/>
  <c r="B36" i="19"/>
  <c r="B8" i="19"/>
  <c r="AA100" i="19"/>
  <c r="B45" i="19"/>
  <c r="AA176" i="19"/>
  <c r="AB177" i="19" s="1"/>
  <c r="B50" i="19"/>
  <c r="AA178" i="19"/>
  <c r="AB179" i="19" s="1"/>
  <c r="AC179" i="19" s="1"/>
  <c r="R92" i="19"/>
  <c r="R144" i="19"/>
  <c r="B86" i="19"/>
  <c r="B73" i="19"/>
  <c r="R88" i="19"/>
  <c r="AA163" i="19"/>
  <c r="AB164" i="19" s="1"/>
  <c r="AC164" i="19" s="1"/>
  <c r="R171" i="19"/>
  <c r="B142" i="19"/>
  <c r="R61" i="19"/>
  <c r="AA165" i="19"/>
  <c r="AB166" i="19" s="1"/>
  <c r="R138" i="19"/>
  <c r="B107" i="19"/>
  <c r="AA175" i="19"/>
  <c r="AB176" i="19" s="1"/>
  <c r="R145" i="19"/>
  <c r="R49" i="19"/>
  <c r="AA131" i="19"/>
  <c r="AB132" i="19" s="1"/>
  <c r="B21" i="19"/>
  <c r="B158" i="19"/>
  <c r="AA59" i="19"/>
  <c r="R160" i="19"/>
  <c r="R74" i="19"/>
  <c r="R129" i="19"/>
  <c r="B19" i="19"/>
  <c r="AA130" i="19"/>
  <c r="AB131" i="19" s="1"/>
  <c r="AA77" i="19"/>
  <c r="AB78" i="19" s="1"/>
  <c r="B102" i="19"/>
  <c r="R102" i="19"/>
  <c r="R188" i="19"/>
  <c r="B188" i="19"/>
  <c r="X125" i="19"/>
  <c r="F127" i="23"/>
  <c r="J113" i="23"/>
  <c r="V111" i="19"/>
  <c r="Y48" i="19"/>
  <c r="G50" i="23"/>
  <c r="T42" i="19"/>
  <c r="E44" i="23"/>
  <c r="F128" i="23"/>
  <c r="X126" i="19"/>
  <c r="F93" i="23"/>
  <c r="X91" i="19"/>
  <c r="F124" i="23"/>
  <c r="X122" i="19"/>
  <c r="Y32" i="19"/>
  <c r="G34" i="23"/>
  <c r="X159" i="19"/>
  <c r="F161" i="23"/>
  <c r="J173" i="23"/>
  <c r="V171" i="19"/>
  <c r="G137" i="23"/>
  <c r="Y135" i="19"/>
  <c r="T173" i="19"/>
  <c r="E175" i="23"/>
  <c r="T5" i="19"/>
  <c r="E7" i="23"/>
  <c r="Y147" i="19"/>
  <c r="G149" i="23"/>
  <c r="J101" i="23"/>
  <c r="V99" i="19"/>
  <c r="G18" i="23"/>
  <c r="Y16" i="19"/>
  <c r="B179" i="19"/>
  <c r="R179" i="19"/>
  <c r="F155" i="23"/>
  <c r="X153" i="19"/>
  <c r="E76" i="23"/>
  <c r="T74" i="19"/>
  <c r="E142" i="23"/>
  <c r="K142" i="23" s="1"/>
  <c r="T140" i="19"/>
  <c r="T59" i="19"/>
  <c r="E61" i="23"/>
  <c r="Y167" i="19"/>
  <c r="G169" i="23"/>
  <c r="E12" i="23"/>
  <c r="T10" i="19"/>
  <c r="G82" i="23"/>
  <c r="Y80" i="19"/>
  <c r="X145" i="19"/>
  <c r="F147" i="23"/>
  <c r="V76" i="19"/>
  <c r="J78" i="23"/>
  <c r="R14" i="19"/>
  <c r="J138" i="23"/>
  <c r="V136" i="19"/>
  <c r="X53" i="19"/>
  <c r="F55" i="23"/>
  <c r="G125" i="23"/>
  <c r="Y123" i="19"/>
  <c r="G5" i="23"/>
  <c r="Y3" i="19"/>
  <c r="E152" i="23"/>
  <c r="T150" i="19"/>
  <c r="V62" i="19"/>
  <c r="J64" i="23"/>
  <c r="J159" i="23"/>
  <c r="V157" i="19"/>
  <c r="T51" i="19"/>
  <c r="E53" i="23"/>
  <c r="X54" i="19"/>
  <c r="F56" i="23"/>
  <c r="V48" i="19"/>
  <c r="J50" i="23"/>
  <c r="F110" i="23"/>
  <c r="X108" i="19"/>
  <c r="F44" i="23"/>
  <c r="X42" i="19"/>
  <c r="T30" i="19"/>
  <c r="E32" i="23"/>
  <c r="J128" i="23"/>
  <c r="V126" i="19"/>
  <c r="V58" i="19"/>
  <c r="J60" i="23"/>
  <c r="E11" i="23"/>
  <c r="T9" i="19"/>
  <c r="B177" i="19"/>
  <c r="R177" i="19"/>
  <c r="B148" i="19"/>
  <c r="R148" i="19"/>
  <c r="E103" i="23"/>
  <c r="T101" i="19"/>
  <c r="B187" i="19"/>
  <c r="F137" i="23"/>
  <c r="X135" i="19"/>
  <c r="Y173" i="19"/>
  <c r="G175" i="23"/>
  <c r="X147" i="19"/>
  <c r="F149" i="23"/>
  <c r="X170" i="19"/>
  <c r="F172" i="23"/>
  <c r="V12" i="19"/>
  <c r="J14" i="23"/>
  <c r="T65" i="19"/>
  <c r="E67" i="23"/>
  <c r="J18" i="23"/>
  <c r="V16" i="19"/>
  <c r="X107" i="19"/>
  <c r="F109" i="23"/>
  <c r="E181" i="23"/>
  <c r="T179" i="19"/>
  <c r="Y102" i="19"/>
  <c r="G104" i="23"/>
  <c r="G76" i="23"/>
  <c r="Y74" i="19"/>
  <c r="Y140" i="19"/>
  <c r="G142" i="23"/>
  <c r="Y59" i="19"/>
  <c r="G61" i="23"/>
  <c r="F70" i="23"/>
  <c r="X68" i="19"/>
  <c r="X10" i="19"/>
  <c r="F12" i="23"/>
  <c r="F73" i="23"/>
  <c r="X71" i="19"/>
  <c r="T31" i="19"/>
  <c r="E33" i="23"/>
  <c r="E167" i="23"/>
  <c r="T165" i="19"/>
  <c r="AA76" i="19"/>
  <c r="X88" i="19"/>
  <c r="F90" i="23"/>
  <c r="G152" i="23"/>
  <c r="Y150" i="19"/>
  <c r="AA157" i="19"/>
  <c r="AB158" i="19" s="1"/>
  <c r="AC158" i="19" s="1"/>
  <c r="T39" i="19"/>
  <c r="E41" i="23"/>
  <c r="T57" i="19"/>
  <c r="E59" i="23"/>
  <c r="T8" i="19"/>
  <c r="E10" i="23"/>
  <c r="V125" i="19"/>
  <c r="J127" i="23"/>
  <c r="V51" i="19"/>
  <c r="J53" i="23"/>
  <c r="T161" i="19"/>
  <c r="E163" i="23"/>
  <c r="K163" i="23" s="1"/>
  <c r="E68" i="23"/>
  <c r="T66" i="19"/>
  <c r="V108" i="19"/>
  <c r="J110" i="23"/>
  <c r="Y42" i="19"/>
  <c r="G44" i="23"/>
  <c r="X30" i="19"/>
  <c r="F32" i="23"/>
  <c r="T15" i="19"/>
  <c r="E17" i="23"/>
  <c r="Y9" i="19"/>
  <c r="G11" i="23"/>
  <c r="E63" i="23"/>
  <c r="T61" i="19"/>
  <c r="E150" i="23"/>
  <c r="T148" i="19"/>
  <c r="F188" i="23"/>
  <c r="X186" i="19"/>
  <c r="Y101" i="19"/>
  <c r="G103" i="23"/>
  <c r="J7" i="23"/>
  <c r="V5" i="19"/>
  <c r="J172" i="23"/>
  <c r="V170" i="19"/>
  <c r="R134" i="19"/>
  <c r="B134" i="19"/>
  <c r="Y65" i="19"/>
  <c r="G67" i="23"/>
  <c r="V179" i="19"/>
  <c r="J181" i="23"/>
  <c r="E75" i="23"/>
  <c r="T73" i="19"/>
  <c r="G47" i="23"/>
  <c r="Y45" i="19"/>
  <c r="F142" i="23"/>
  <c r="X140" i="19"/>
  <c r="J70" i="23"/>
  <c r="V68" i="19"/>
  <c r="Y21" i="19"/>
  <c r="G23" i="23"/>
  <c r="Y184" i="19"/>
  <c r="G186" i="23"/>
  <c r="F33" i="23"/>
  <c r="X31" i="19"/>
  <c r="Y165" i="19"/>
  <c r="G167" i="23"/>
  <c r="F16" i="23"/>
  <c r="X14" i="19"/>
  <c r="AA72" i="19"/>
  <c r="AB73" i="19" s="1"/>
  <c r="V53" i="19"/>
  <c r="J55" i="23"/>
  <c r="E45" i="23"/>
  <c r="T43" i="19"/>
  <c r="X3" i="19"/>
  <c r="F5" i="23"/>
  <c r="V150" i="19"/>
  <c r="J152" i="23"/>
  <c r="E25" i="23"/>
  <c r="T23" i="19"/>
  <c r="Y39" i="19"/>
  <c r="G41" i="23"/>
  <c r="Y57" i="19"/>
  <c r="G59" i="23"/>
  <c r="J146" i="23"/>
  <c r="V144" i="19"/>
  <c r="T174" i="19"/>
  <c r="E176" i="23"/>
  <c r="Y66" i="19"/>
  <c r="G68" i="23"/>
  <c r="V166" i="19"/>
  <c r="J168" i="23"/>
  <c r="E40" i="23"/>
  <c r="T38" i="19"/>
  <c r="T126" i="19"/>
  <c r="E128" i="23"/>
  <c r="F187" i="23"/>
  <c r="X185" i="19"/>
  <c r="J124" i="23"/>
  <c r="V122" i="19"/>
  <c r="X32" i="19"/>
  <c r="F34" i="23"/>
  <c r="E179" i="23"/>
  <c r="T177" i="19"/>
  <c r="F63" i="23"/>
  <c r="X61" i="19"/>
  <c r="Y148" i="19"/>
  <c r="G150" i="23"/>
  <c r="Y186" i="19"/>
  <c r="G188" i="23"/>
  <c r="X187" i="19"/>
  <c r="F189" i="23"/>
  <c r="V135" i="19"/>
  <c r="J137" i="23"/>
  <c r="X5" i="19"/>
  <c r="F7" i="23"/>
  <c r="J149" i="23"/>
  <c r="V147" i="19"/>
  <c r="T134" i="19"/>
  <c r="E136" i="23"/>
  <c r="J132" i="23"/>
  <c r="V130" i="19"/>
  <c r="X16" i="19"/>
  <c r="F18" i="23"/>
  <c r="F104" i="23"/>
  <c r="X102" i="19"/>
  <c r="G177" i="23"/>
  <c r="Y175" i="19"/>
  <c r="B140" i="19"/>
  <c r="R140" i="19"/>
  <c r="E72" i="23"/>
  <c r="T70" i="19"/>
  <c r="F94" i="23"/>
  <c r="X92" i="19"/>
  <c r="R167" i="19"/>
  <c r="B167" i="19"/>
  <c r="V10" i="19"/>
  <c r="J12" i="23"/>
  <c r="J141" i="23"/>
  <c r="V139" i="19"/>
  <c r="J73" i="23"/>
  <c r="V71" i="19"/>
  <c r="E186" i="23"/>
  <c r="T184" i="19"/>
  <c r="B165" i="19"/>
  <c r="R165" i="19"/>
  <c r="F78" i="23"/>
  <c r="X76" i="19"/>
  <c r="J16" i="23"/>
  <c r="V14" i="19"/>
  <c r="T88" i="19"/>
  <c r="E90" i="23"/>
  <c r="E74" i="23"/>
  <c r="T72" i="19"/>
  <c r="G183" i="23"/>
  <c r="Y181" i="19"/>
  <c r="V43" i="19"/>
  <c r="J45" i="23"/>
  <c r="J125" i="23"/>
  <c r="V123" i="19"/>
  <c r="B3" i="19"/>
  <c r="R3" i="19"/>
  <c r="J59" i="23"/>
  <c r="V57" i="19"/>
  <c r="F10" i="23"/>
  <c r="X8" i="19"/>
  <c r="Y113" i="19"/>
  <c r="G115" i="23"/>
  <c r="T54" i="19"/>
  <c r="E56" i="23"/>
  <c r="G163" i="23"/>
  <c r="Y161" i="19"/>
  <c r="T166" i="19"/>
  <c r="E168" i="23"/>
  <c r="Y38" i="19"/>
  <c r="G40" i="23"/>
  <c r="V42" i="19"/>
  <c r="J44" i="23"/>
  <c r="V30" i="19"/>
  <c r="J32" i="23"/>
  <c r="G128" i="23"/>
  <c r="Y126" i="19"/>
  <c r="E187" i="23"/>
  <c r="T185" i="19"/>
  <c r="V32" i="19"/>
  <c r="J34" i="23"/>
  <c r="G179" i="23"/>
  <c r="Y177" i="19"/>
  <c r="V61" i="19"/>
  <c r="J63" i="23"/>
  <c r="V35" i="19"/>
  <c r="J37" i="23"/>
  <c r="J175" i="23"/>
  <c r="V173" i="19"/>
  <c r="G119" i="23"/>
  <c r="Y117" i="19"/>
  <c r="E151" i="23"/>
  <c r="T149" i="19"/>
  <c r="E101" i="23"/>
  <c r="T99" i="19"/>
  <c r="F132" i="23"/>
  <c r="X130" i="19"/>
  <c r="X18" i="19"/>
  <c r="F20" i="23"/>
  <c r="V107" i="19"/>
  <c r="J109" i="23"/>
  <c r="Y179" i="19"/>
  <c r="G181" i="23"/>
  <c r="X73" i="19"/>
  <c r="F75" i="23"/>
  <c r="J157" i="23"/>
  <c r="V155" i="19"/>
  <c r="X175" i="19"/>
  <c r="F177" i="23"/>
  <c r="L191" i="23"/>
  <c r="M191" i="23" s="1"/>
  <c r="D191" i="23"/>
  <c r="F72" i="23"/>
  <c r="X70" i="19"/>
  <c r="Y92" i="19"/>
  <c r="G94" i="23"/>
  <c r="V89" i="19"/>
  <c r="J91" i="23"/>
  <c r="Y10" i="19"/>
  <c r="G12" i="23"/>
  <c r="X21" i="19"/>
  <c r="F23" i="23"/>
  <c r="T139" i="19"/>
  <c r="E141" i="23"/>
  <c r="X26" i="19"/>
  <c r="F28" i="23"/>
  <c r="Y76" i="19"/>
  <c r="G78" i="23"/>
  <c r="T14" i="19"/>
  <c r="E16" i="23"/>
  <c r="B67" i="19"/>
  <c r="R67" i="19"/>
  <c r="F125" i="23"/>
  <c r="X123" i="19"/>
  <c r="C25" i="8"/>
  <c r="E5" i="23"/>
  <c r="T3" i="19"/>
  <c r="G129" i="23"/>
  <c r="Y127" i="19"/>
  <c r="X162" i="19"/>
  <c r="F164" i="23"/>
  <c r="X144" i="19"/>
  <c r="F146" i="23"/>
  <c r="Y8" i="19"/>
  <c r="G10" i="23"/>
  <c r="Y174" i="19"/>
  <c r="G176" i="23"/>
  <c r="G56" i="23"/>
  <c r="Y54" i="19"/>
  <c r="F163" i="23"/>
  <c r="X161" i="19"/>
  <c r="G168" i="23"/>
  <c r="Y166" i="19"/>
  <c r="AA64" i="19"/>
  <c r="Y30" i="19"/>
  <c r="G32" i="23"/>
  <c r="G187" i="23"/>
  <c r="Y185" i="19"/>
  <c r="Y116" i="19"/>
  <c r="G118" i="23"/>
  <c r="T11" i="19"/>
  <c r="E13" i="23"/>
  <c r="X177" i="19"/>
  <c r="F179" i="23"/>
  <c r="G63" i="23"/>
  <c r="Y61" i="19"/>
  <c r="T186" i="19"/>
  <c r="E188" i="23"/>
  <c r="J46" i="23"/>
  <c r="V44" i="19"/>
  <c r="F37" i="23"/>
  <c r="X35" i="19"/>
  <c r="T22" i="19"/>
  <c r="E24" i="23"/>
  <c r="X173" i="19"/>
  <c r="F175" i="23"/>
  <c r="AA117" i="19"/>
  <c r="AB118" i="19" s="1"/>
  <c r="AA149" i="19"/>
  <c r="AB150" i="19" s="1"/>
  <c r="AC150" i="19" s="1"/>
  <c r="X152" i="19"/>
  <c r="F154" i="23"/>
  <c r="G101" i="23"/>
  <c r="Y99" i="19"/>
  <c r="G136" i="23"/>
  <c r="Y134" i="19"/>
  <c r="T130" i="19"/>
  <c r="E132" i="23"/>
  <c r="G9" i="23"/>
  <c r="Y7" i="19"/>
  <c r="F181" i="23"/>
  <c r="X179" i="19"/>
  <c r="G75" i="23"/>
  <c r="Y73" i="19"/>
  <c r="E104" i="23"/>
  <c r="K104" i="23" s="1"/>
  <c r="T102" i="19"/>
  <c r="T155" i="19"/>
  <c r="E157" i="23"/>
  <c r="X86" i="19"/>
  <c r="F88" i="23"/>
  <c r="J23" i="23"/>
  <c r="V21" i="19"/>
  <c r="Y139" i="19"/>
  <c r="G141" i="23"/>
  <c r="F111" i="23"/>
  <c r="X109" i="19"/>
  <c r="E28" i="23"/>
  <c r="T26" i="19"/>
  <c r="Y14" i="19"/>
  <c r="G16" i="23"/>
  <c r="G90" i="23"/>
  <c r="Y88" i="19"/>
  <c r="X72" i="19"/>
  <c r="F74" i="23"/>
  <c r="X181" i="19"/>
  <c r="F183" i="23"/>
  <c r="X103" i="19"/>
  <c r="F105" i="23"/>
  <c r="E69" i="23"/>
  <c r="T67" i="19"/>
  <c r="Y168" i="19"/>
  <c r="G170" i="23"/>
  <c r="J5" i="23"/>
  <c r="V3" i="19"/>
  <c r="F152" i="23"/>
  <c r="X150" i="19"/>
  <c r="F25" i="23"/>
  <c r="X23" i="19"/>
  <c r="J129" i="23"/>
  <c r="V127" i="19"/>
  <c r="E164" i="23"/>
  <c r="T162" i="19"/>
  <c r="X118" i="19"/>
  <c r="F120" i="23"/>
  <c r="J10" i="23"/>
  <c r="V8" i="19"/>
  <c r="AA113" i="19"/>
  <c r="AB114" i="19" s="1"/>
  <c r="AC114" i="19" s="1"/>
  <c r="J68" i="23"/>
  <c r="V66" i="19"/>
  <c r="F168" i="23"/>
  <c r="X166" i="19"/>
  <c r="F22" i="23"/>
  <c r="X20" i="19"/>
  <c r="AA126" i="19"/>
  <c r="V185" i="19"/>
  <c r="J187" i="23"/>
  <c r="V15" i="19"/>
  <c r="J17" i="23"/>
  <c r="J116" i="23"/>
  <c r="V114" i="19"/>
  <c r="X116" i="19"/>
  <c r="F118" i="23"/>
  <c r="Y11" i="19"/>
  <c r="G13" i="23"/>
  <c r="J182" i="23"/>
  <c r="V180" i="19"/>
  <c r="J150" i="23"/>
  <c r="V148" i="19"/>
  <c r="G24" i="23"/>
  <c r="Y22" i="19"/>
  <c r="T93" i="19"/>
  <c r="E95" i="23"/>
  <c r="Y5" i="19"/>
  <c r="G7" i="23"/>
  <c r="E119" i="23"/>
  <c r="T117" i="19"/>
  <c r="G151" i="23"/>
  <c r="Y149" i="19"/>
  <c r="J154" i="23"/>
  <c r="V152" i="19"/>
  <c r="G132" i="23"/>
  <c r="Y130" i="19"/>
  <c r="G20" i="23"/>
  <c r="Y18" i="19"/>
  <c r="V4" i="19"/>
  <c r="J6" i="23"/>
  <c r="V73" i="19"/>
  <c r="J75" i="23"/>
  <c r="X155" i="19"/>
  <c r="F157" i="23"/>
  <c r="V70" i="19"/>
  <c r="J72" i="23"/>
  <c r="B92" i="19"/>
  <c r="R89" i="19"/>
  <c r="B89" i="19"/>
  <c r="V86" i="19"/>
  <c r="J88" i="23"/>
  <c r="F141" i="23"/>
  <c r="X139" i="19"/>
  <c r="E73" i="23"/>
  <c r="T71" i="19"/>
  <c r="J186" i="23"/>
  <c r="V184" i="19"/>
  <c r="T160" i="19"/>
  <c r="E162" i="23"/>
  <c r="J90" i="23"/>
  <c r="V88" i="19"/>
  <c r="Y72" i="19"/>
  <c r="G74" i="23"/>
  <c r="Y103" i="19"/>
  <c r="G105" i="23"/>
  <c r="G69" i="23"/>
  <c r="Y67" i="19"/>
  <c r="AA150" i="19"/>
  <c r="AB151" i="19" s="1"/>
  <c r="Y23" i="19"/>
  <c r="G25" i="23"/>
  <c r="E42" i="23"/>
  <c r="K42" i="23" s="1"/>
  <c r="T40" i="19"/>
  <c r="G164" i="23"/>
  <c r="Y162" i="19"/>
  <c r="J112" i="23"/>
  <c r="V110" i="19"/>
  <c r="V174" i="19"/>
  <c r="J176" i="23"/>
  <c r="T113" i="19"/>
  <c r="E115" i="23"/>
  <c r="F52" i="23"/>
  <c r="X50" i="19"/>
  <c r="V178" i="19"/>
  <c r="J180" i="23"/>
  <c r="T47" i="19"/>
  <c r="E49" i="23"/>
  <c r="F68" i="23"/>
  <c r="X66" i="19"/>
  <c r="F66" i="23"/>
  <c r="X64" i="19"/>
  <c r="G130" i="23"/>
  <c r="Y128" i="19"/>
  <c r="F17" i="23"/>
  <c r="X15" i="19"/>
  <c r="F116" i="23"/>
  <c r="X114" i="19"/>
  <c r="Y180" i="19"/>
  <c r="G182" i="23"/>
  <c r="F107" i="23"/>
  <c r="X105" i="19"/>
  <c r="F150" i="23"/>
  <c r="X148" i="19"/>
  <c r="V186" i="19"/>
  <c r="J188" i="23"/>
  <c r="X44" i="19"/>
  <c r="F46" i="23"/>
  <c r="R35" i="19"/>
  <c r="B35" i="19"/>
  <c r="T138" i="19"/>
  <c r="E140" i="23"/>
  <c r="Z190" i="19"/>
  <c r="V134" i="19"/>
  <c r="J136" i="23"/>
  <c r="E20" i="23"/>
  <c r="T18" i="19"/>
  <c r="X7" i="19"/>
  <c r="F9" i="23"/>
  <c r="G157" i="23"/>
  <c r="Y155" i="19"/>
  <c r="T175" i="19"/>
  <c r="E177" i="23"/>
  <c r="Y70" i="19"/>
  <c r="G72" i="23"/>
  <c r="T92" i="19"/>
  <c r="E94" i="23"/>
  <c r="X89" i="19"/>
  <c r="F91" i="23"/>
  <c r="T86" i="19"/>
  <c r="E88" i="23"/>
  <c r="Y87" i="19"/>
  <c r="G89" i="23"/>
  <c r="E87" i="23"/>
  <c r="T85" i="19"/>
  <c r="G73" i="23"/>
  <c r="Y71" i="19"/>
  <c r="V109" i="19"/>
  <c r="J111" i="23"/>
  <c r="R26" i="19"/>
  <c r="B26" i="19"/>
  <c r="B95" i="19"/>
  <c r="Y137" i="19"/>
  <c r="G139" i="23"/>
  <c r="J74" i="23"/>
  <c r="V72" i="19"/>
  <c r="T181" i="19"/>
  <c r="E183" i="23"/>
  <c r="K183" i="23" s="1"/>
  <c r="B103" i="19"/>
  <c r="R103" i="19"/>
  <c r="AA6" i="19"/>
  <c r="V23" i="19"/>
  <c r="J25" i="23"/>
  <c r="E129" i="23"/>
  <c r="T127" i="19"/>
  <c r="E112" i="23"/>
  <c r="T110" i="19"/>
  <c r="V50" i="19"/>
  <c r="J52" i="23"/>
  <c r="X47" i="19"/>
  <c r="F49" i="23"/>
  <c r="F36" i="23"/>
  <c r="X34" i="19"/>
  <c r="AA166" i="19"/>
  <c r="X38" i="19"/>
  <c r="F40" i="23"/>
  <c r="E22" i="23"/>
  <c r="T20" i="19"/>
  <c r="G17" i="23"/>
  <c r="Y15" i="19"/>
  <c r="T114" i="19"/>
  <c r="E116" i="23"/>
  <c r="F13" i="23"/>
  <c r="X11" i="19"/>
  <c r="T105" i="19"/>
  <c r="E107" i="23"/>
  <c r="AA186" i="19"/>
  <c r="AB187" i="19" s="1"/>
  <c r="T44" i="19"/>
  <c r="E46" i="23"/>
  <c r="E37" i="23"/>
  <c r="T35" i="19"/>
  <c r="G140" i="23"/>
  <c r="Y138" i="19"/>
  <c r="F119" i="23"/>
  <c r="X117" i="19"/>
  <c r="X134" i="19"/>
  <c r="F136" i="23"/>
  <c r="T7" i="19"/>
  <c r="E9" i="23"/>
  <c r="AA69" i="19"/>
  <c r="AB70" i="19" s="1"/>
  <c r="AC70" i="19" s="1"/>
  <c r="AA155" i="19"/>
  <c r="J177" i="23"/>
  <c r="V175" i="19"/>
  <c r="V92" i="19"/>
  <c r="J94" i="23"/>
  <c r="E91" i="23"/>
  <c r="T89" i="19"/>
  <c r="G88" i="23"/>
  <c r="Y86" i="19"/>
  <c r="E89" i="23"/>
  <c r="T87" i="19"/>
  <c r="J87" i="23"/>
  <c r="V85" i="19"/>
  <c r="B55" i="19"/>
  <c r="X184" i="19"/>
  <c r="F186" i="23"/>
  <c r="T109" i="19"/>
  <c r="E111" i="23"/>
  <c r="Y26" i="19"/>
  <c r="G28" i="23"/>
  <c r="Y160" i="19"/>
  <c r="G162" i="23"/>
  <c r="F97" i="23"/>
  <c r="X95" i="19"/>
  <c r="V137" i="19"/>
  <c r="J139" i="23"/>
  <c r="J31" i="23"/>
  <c r="V29" i="19"/>
  <c r="R181" i="19"/>
  <c r="B181" i="19"/>
  <c r="E105" i="23"/>
  <c r="T103" i="19"/>
  <c r="B168" i="19"/>
  <c r="R168" i="19"/>
  <c r="E8" i="23"/>
  <c r="T6" i="19"/>
  <c r="F129" i="23"/>
  <c r="X127" i="19"/>
  <c r="F42" i="23"/>
  <c r="X40" i="19"/>
  <c r="Y118" i="19"/>
  <c r="G120" i="23"/>
  <c r="X174" i="19"/>
  <c r="F176" i="23"/>
  <c r="F115" i="23"/>
  <c r="X113" i="19"/>
  <c r="G180" i="23"/>
  <c r="Y178" i="19"/>
  <c r="G49" i="23"/>
  <c r="Y47" i="19"/>
  <c r="B34" i="19"/>
  <c r="R34" i="19"/>
  <c r="B129" i="19"/>
  <c r="V38" i="19"/>
  <c r="J40" i="23"/>
  <c r="J66" i="23"/>
  <c r="V64" i="19"/>
  <c r="J130" i="23"/>
  <c r="V128" i="19"/>
  <c r="X37" i="19"/>
  <c r="F39" i="23"/>
  <c r="Y114" i="19"/>
  <c r="G116" i="23"/>
  <c r="E182" i="23"/>
  <c r="T180" i="19"/>
  <c r="AA27" i="19"/>
  <c r="AB28" i="19" s="1"/>
  <c r="J98" i="23"/>
  <c r="V96" i="19"/>
  <c r="G46" i="23"/>
  <c r="Y44" i="19"/>
  <c r="AA22" i="19"/>
  <c r="AB23" i="19" s="1"/>
  <c r="AC23" i="19" s="1"/>
  <c r="X93" i="19"/>
  <c r="F95" i="23"/>
  <c r="J119" i="23"/>
  <c r="V117" i="19"/>
  <c r="J151" i="23"/>
  <c r="V149" i="19"/>
  <c r="R112" i="19"/>
  <c r="B112" i="19"/>
  <c r="B60" i="19"/>
  <c r="R60" i="19"/>
  <c r="R130" i="19"/>
  <c r="B130" i="19"/>
  <c r="B4" i="19"/>
  <c r="R4" i="19"/>
  <c r="J106" i="23"/>
  <c r="V104" i="19"/>
  <c r="B175" i="19"/>
  <c r="R175" i="19"/>
  <c r="G133" i="23"/>
  <c r="Y131" i="19"/>
  <c r="T182" i="19"/>
  <c r="E184" i="23"/>
  <c r="Y89" i="19"/>
  <c r="G91" i="23"/>
  <c r="R86" i="19"/>
  <c r="T55" i="19"/>
  <c r="E57" i="23"/>
  <c r="F84" i="23"/>
  <c r="X82" i="19"/>
  <c r="Y109" i="19"/>
  <c r="G111" i="23"/>
  <c r="X160" i="19"/>
  <c r="F162" i="23"/>
  <c r="J97" i="23"/>
  <c r="V95" i="19"/>
  <c r="J105" i="23"/>
  <c r="V103" i="19"/>
  <c r="F69" i="23"/>
  <c r="X67" i="19"/>
  <c r="J170" i="23"/>
  <c r="V168" i="19"/>
  <c r="X75" i="19"/>
  <c r="F77" i="23"/>
  <c r="Y6" i="19"/>
  <c r="G8" i="23"/>
  <c r="AA119" i="19"/>
  <c r="Y40" i="19"/>
  <c r="G42" i="23"/>
  <c r="B162" i="19"/>
  <c r="R162" i="19"/>
  <c r="V129" i="19"/>
  <c r="J131" i="23"/>
  <c r="E66" i="23"/>
  <c r="T64" i="19"/>
  <c r="AA20" i="19"/>
  <c r="AA37" i="19"/>
  <c r="AA28" i="19"/>
  <c r="AB29" i="19" s="1"/>
  <c r="AC29" i="19" s="1"/>
  <c r="AA78" i="19"/>
  <c r="AB79" i="19" s="1"/>
  <c r="AC79" i="19" s="1"/>
  <c r="T116" i="19"/>
  <c r="E118" i="23"/>
  <c r="K118" i="23" s="1"/>
  <c r="AA11" i="19"/>
  <c r="X180" i="19"/>
  <c r="F182" i="23"/>
  <c r="T27" i="19"/>
  <c r="E29" i="23"/>
  <c r="Y96" i="19"/>
  <c r="G98" i="23"/>
  <c r="V154" i="19"/>
  <c r="J156" i="23"/>
  <c r="Y35" i="19"/>
  <c r="G37" i="23"/>
  <c r="F24" i="23"/>
  <c r="X22" i="19"/>
  <c r="Y93" i="19"/>
  <c r="G95" i="23"/>
  <c r="F151" i="23"/>
  <c r="X149" i="19"/>
  <c r="E154" i="23"/>
  <c r="T152" i="19"/>
  <c r="T112" i="19"/>
  <c r="E114" i="23"/>
  <c r="E62" i="23"/>
  <c r="K62" i="23" s="1"/>
  <c r="T60" i="19"/>
  <c r="J20" i="23"/>
  <c r="V18" i="19"/>
  <c r="X4" i="19"/>
  <c r="F6" i="23"/>
  <c r="F71" i="23"/>
  <c r="X69" i="19"/>
  <c r="V164" i="19"/>
  <c r="J166" i="23"/>
  <c r="V49" i="19"/>
  <c r="J51" i="23"/>
  <c r="X97" i="19"/>
  <c r="F99" i="23"/>
  <c r="J133" i="23"/>
  <c r="V131" i="19"/>
  <c r="J184" i="23"/>
  <c r="V182" i="19"/>
  <c r="X87" i="19"/>
  <c r="F89" i="23"/>
  <c r="R85" i="19"/>
  <c r="F57" i="23"/>
  <c r="X55" i="19"/>
  <c r="AA83" i="19"/>
  <c r="AB84" i="19" s="1"/>
  <c r="J28" i="23"/>
  <c r="V26" i="19"/>
  <c r="J162" i="23"/>
  <c r="V160" i="19"/>
  <c r="E97" i="23"/>
  <c r="T95" i="19"/>
  <c r="T183" i="19"/>
  <c r="E185" i="23"/>
  <c r="T63" i="19"/>
  <c r="E65" i="23"/>
  <c r="V67" i="19"/>
  <c r="J69" i="23"/>
  <c r="E170" i="23"/>
  <c r="T168" i="19"/>
  <c r="E77" i="23"/>
  <c r="T75" i="19"/>
  <c r="E122" i="23"/>
  <c r="T120" i="19"/>
  <c r="J96" i="23"/>
  <c r="V94" i="19"/>
  <c r="J164" i="23"/>
  <c r="V162" i="19"/>
  <c r="E120" i="23"/>
  <c r="T118" i="19"/>
  <c r="G54" i="23"/>
  <c r="Y52" i="19"/>
  <c r="R81" i="19"/>
  <c r="B81" i="19"/>
  <c r="Y50" i="19"/>
  <c r="G52" i="23"/>
  <c r="T178" i="19"/>
  <c r="E180" i="23"/>
  <c r="G126" i="23"/>
  <c r="Y124" i="19"/>
  <c r="G66" i="23"/>
  <c r="Y64" i="19"/>
  <c r="J22" i="23"/>
  <c r="V20" i="19"/>
  <c r="R128" i="19"/>
  <c r="B128" i="19"/>
  <c r="E39" i="23"/>
  <c r="T37" i="19"/>
  <c r="J13" i="23"/>
  <c r="V11" i="19"/>
  <c r="Y27" i="19"/>
  <c r="G29" i="23"/>
  <c r="V22" i="19"/>
  <c r="J24" i="23"/>
  <c r="B138" i="19"/>
  <c r="R17" i="19"/>
  <c r="Y152" i="19"/>
  <c r="G154" i="23"/>
  <c r="F114" i="23"/>
  <c r="X112" i="19"/>
  <c r="V7" i="19"/>
  <c r="J9" i="23"/>
  <c r="T4" i="19"/>
  <c r="E6" i="23"/>
  <c r="J71" i="23"/>
  <c r="V69" i="19"/>
  <c r="Y164" i="19"/>
  <c r="G166" i="23"/>
  <c r="B104" i="19"/>
  <c r="R104" i="19"/>
  <c r="B49" i="19"/>
  <c r="E99" i="23"/>
  <c r="T97" i="19"/>
  <c r="R142" i="19"/>
  <c r="V87" i="19"/>
  <c r="J89" i="23"/>
  <c r="F87" i="23"/>
  <c r="X85" i="19"/>
  <c r="T82" i="19"/>
  <c r="E84" i="23"/>
  <c r="G85" i="23"/>
  <c r="Y83" i="19"/>
  <c r="E178" i="23"/>
  <c r="T176" i="19"/>
  <c r="T137" i="19"/>
  <c r="E139" i="23"/>
  <c r="F31" i="23"/>
  <c r="X29" i="19"/>
  <c r="G185" i="23"/>
  <c r="Y183" i="19"/>
  <c r="Y63" i="19"/>
  <c r="G65" i="23"/>
  <c r="F170" i="23"/>
  <c r="X168" i="19"/>
  <c r="V75" i="19"/>
  <c r="J77" i="23"/>
  <c r="V6" i="19"/>
  <c r="J8" i="23"/>
  <c r="J121" i="23"/>
  <c r="V119" i="19"/>
  <c r="J120" i="23"/>
  <c r="V118" i="19"/>
  <c r="F112" i="23"/>
  <c r="X110" i="19"/>
  <c r="E83" i="23"/>
  <c r="T81" i="19"/>
  <c r="X178" i="19"/>
  <c r="F180" i="23"/>
  <c r="J36" i="23"/>
  <c r="V34" i="19"/>
  <c r="T129" i="19"/>
  <c r="E131" i="23"/>
  <c r="AA124" i="19"/>
  <c r="G22" i="23"/>
  <c r="Y20" i="19"/>
  <c r="E130" i="23"/>
  <c r="K130" i="23" s="1"/>
  <c r="T128" i="19"/>
  <c r="E30" i="23"/>
  <c r="T28" i="19"/>
  <c r="G80" i="23"/>
  <c r="Y78" i="19"/>
  <c r="R13" i="19"/>
  <c r="B13" i="19"/>
  <c r="AA180" i="19"/>
  <c r="J107" i="23"/>
  <c r="V105" i="19"/>
  <c r="F98" i="23"/>
  <c r="X96" i="19"/>
  <c r="E156" i="23"/>
  <c r="T154" i="19"/>
  <c r="J95" i="23"/>
  <c r="V93" i="19"/>
  <c r="J140" i="23"/>
  <c r="V138" i="19"/>
  <c r="G19" i="23"/>
  <c r="Y17" i="19"/>
  <c r="Y112" i="19"/>
  <c r="G114" i="23"/>
  <c r="F62" i="23"/>
  <c r="X60" i="19"/>
  <c r="T133" i="19"/>
  <c r="E135" i="23"/>
  <c r="F4" i="23"/>
  <c r="X2" i="19"/>
  <c r="Y121" i="19"/>
  <c r="G123" i="23"/>
  <c r="Y4" i="19"/>
  <c r="G6" i="23"/>
  <c r="E71" i="23"/>
  <c r="T69" i="19"/>
  <c r="F106" i="23"/>
  <c r="X104" i="19"/>
  <c r="G99" i="23"/>
  <c r="Y97" i="19"/>
  <c r="F133" i="23"/>
  <c r="X131" i="19"/>
  <c r="E144" i="23"/>
  <c r="T142" i="19"/>
  <c r="V156" i="19"/>
  <c r="J158" i="23"/>
  <c r="G87" i="23"/>
  <c r="Y85" i="19"/>
  <c r="V55" i="19"/>
  <c r="J57" i="23"/>
  <c r="G84" i="23"/>
  <c r="Y82" i="19"/>
  <c r="E85" i="23"/>
  <c r="T83" i="19"/>
  <c r="X176" i="19"/>
  <c r="F178" i="23"/>
  <c r="T36" i="19"/>
  <c r="E38" i="23"/>
  <c r="Y95" i="19"/>
  <c r="G97" i="23"/>
  <c r="AA29" i="19"/>
  <c r="AB30" i="19" s="1"/>
  <c r="B183" i="19"/>
  <c r="R183" i="19"/>
  <c r="R25" i="19"/>
  <c r="B25" i="19"/>
  <c r="V143" i="19"/>
  <c r="J145" i="23"/>
  <c r="G77" i="23"/>
  <c r="Y75" i="19"/>
  <c r="F8" i="23"/>
  <c r="X6" i="19"/>
  <c r="F121" i="23"/>
  <c r="X119" i="19"/>
  <c r="F122" i="23"/>
  <c r="X120" i="19"/>
  <c r="F96" i="23"/>
  <c r="X94" i="19"/>
  <c r="V84" i="19"/>
  <c r="J86" i="23"/>
  <c r="G112" i="23"/>
  <c r="Y110" i="19"/>
  <c r="V113" i="19"/>
  <c r="J115" i="23"/>
  <c r="F54" i="23"/>
  <c r="X52" i="19"/>
  <c r="G83" i="23"/>
  <c r="Y81" i="19"/>
  <c r="V47" i="19"/>
  <c r="J49" i="23"/>
  <c r="E36" i="23"/>
  <c r="T34" i="19"/>
  <c r="J126" i="23"/>
  <c r="V124" i="19"/>
  <c r="X128" i="19"/>
  <c r="F130" i="23"/>
  <c r="Y37" i="19"/>
  <c r="G39" i="23"/>
  <c r="G30" i="23"/>
  <c r="Y28" i="19"/>
  <c r="E174" i="23"/>
  <c r="T172" i="19"/>
  <c r="T13" i="19"/>
  <c r="E15" i="23"/>
  <c r="Y105" i="19"/>
  <c r="G107" i="23"/>
  <c r="F29" i="23"/>
  <c r="X27" i="19"/>
  <c r="G156" i="23"/>
  <c r="Y154" i="19"/>
  <c r="E160" i="23"/>
  <c r="T158" i="19"/>
  <c r="J92" i="23"/>
  <c r="V90" i="19"/>
  <c r="X138" i="19"/>
  <c r="F140" i="23"/>
  <c r="T17" i="19"/>
  <c r="E19" i="23"/>
  <c r="X79" i="19"/>
  <c r="F81" i="23"/>
  <c r="F35" i="23"/>
  <c r="X33" i="19"/>
  <c r="G135" i="23"/>
  <c r="Y133" i="19"/>
  <c r="R2" i="19"/>
  <c r="B2" i="19"/>
  <c r="E123" i="23"/>
  <c r="T121" i="19"/>
  <c r="G71" i="23"/>
  <c r="Y69" i="19"/>
  <c r="E166" i="23"/>
  <c r="T164" i="19"/>
  <c r="X49" i="19"/>
  <c r="F51" i="23"/>
  <c r="V97" i="19"/>
  <c r="J99" i="23"/>
  <c r="E133" i="23"/>
  <c r="T131" i="19"/>
  <c r="V142" i="19"/>
  <c r="J144" i="23"/>
  <c r="Y156" i="19"/>
  <c r="G158" i="23"/>
  <c r="E100" i="23"/>
  <c r="T98" i="19"/>
  <c r="G57" i="23"/>
  <c r="Y55" i="19"/>
  <c r="J178" i="23"/>
  <c r="V176" i="19"/>
  <c r="E79" i="23"/>
  <c r="T77" i="19"/>
  <c r="G38" i="23"/>
  <c r="Y36" i="19"/>
  <c r="B106" i="19"/>
  <c r="R106" i="19"/>
  <c r="X137" i="19"/>
  <c r="F139" i="23"/>
  <c r="E31" i="23"/>
  <c r="T29" i="19"/>
  <c r="J185" i="23"/>
  <c r="V183" i="19"/>
  <c r="AA63" i="19"/>
  <c r="AB64" i="19" s="1"/>
  <c r="V25" i="19"/>
  <c r="J27" i="23"/>
  <c r="E145" i="23"/>
  <c r="T143" i="19"/>
  <c r="X146" i="19"/>
  <c r="F148" i="23"/>
  <c r="T119" i="19"/>
  <c r="E121" i="23"/>
  <c r="AA120" i="19"/>
  <c r="AB121" i="19" s="1"/>
  <c r="AA84" i="19"/>
  <c r="F43" i="23"/>
  <c r="X41" i="19"/>
  <c r="B52" i="19"/>
  <c r="R52" i="19"/>
  <c r="G190" i="23"/>
  <c r="Y188" i="19"/>
  <c r="E113" i="23"/>
  <c r="T111" i="19"/>
  <c r="G36" i="23"/>
  <c r="Y34" i="19"/>
  <c r="G131" i="23"/>
  <c r="Y129" i="19"/>
  <c r="R19" i="19"/>
  <c r="V132" i="19"/>
  <c r="J134" i="23"/>
  <c r="J39" i="23"/>
  <c r="V37" i="19"/>
  <c r="F30" i="23"/>
  <c r="X28" i="19"/>
  <c r="E80" i="23"/>
  <c r="T78" i="19"/>
  <c r="G174" i="23"/>
  <c r="Y172" i="19"/>
  <c r="G15" i="23"/>
  <c r="Y13" i="19"/>
  <c r="R100" i="19"/>
  <c r="B100" i="19"/>
  <c r="Y159" i="19"/>
  <c r="G161" i="23"/>
  <c r="J29" i="23"/>
  <c r="V27" i="19"/>
  <c r="F26" i="23"/>
  <c r="X24" i="19"/>
  <c r="X90" i="19"/>
  <c r="F92" i="23"/>
  <c r="F19" i="23"/>
  <c r="X17" i="19"/>
  <c r="E35" i="23"/>
  <c r="T33" i="19"/>
  <c r="J114" i="23"/>
  <c r="V112" i="19"/>
  <c r="V133" i="19"/>
  <c r="J135" i="23"/>
  <c r="T2" i="19"/>
  <c r="I24" i="8"/>
  <c r="J27" i="8" s="1"/>
  <c r="J28" i="8" s="1"/>
  <c r="J30" i="8" s="1"/>
  <c r="J31" i="8" s="1"/>
  <c r="E4" i="23"/>
  <c r="I25" i="8"/>
  <c r="Y56" i="19"/>
  <c r="G58" i="23"/>
  <c r="V153" i="19"/>
  <c r="J155" i="23"/>
  <c r="X164" i="19"/>
  <c r="F166" i="23"/>
  <c r="E106" i="23"/>
  <c r="T104" i="19"/>
  <c r="G153" i="23"/>
  <c r="Y151" i="19"/>
  <c r="R131" i="19"/>
  <c r="B131" i="19"/>
  <c r="F184" i="23"/>
  <c r="X182" i="19"/>
  <c r="V169" i="19"/>
  <c r="J171" i="23"/>
  <c r="Y98" i="19"/>
  <c r="G100" i="23"/>
  <c r="J84" i="23"/>
  <c r="V82" i="19"/>
  <c r="X83" i="19"/>
  <c r="F85" i="23"/>
  <c r="Y176" i="19"/>
  <c r="G178" i="23"/>
  <c r="G79" i="23"/>
  <c r="Y77" i="19"/>
  <c r="J48" i="23"/>
  <c r="V46" i="19"/>
  <c r="Y29" i="19"/>
  <c r="G31" i="23"/>
  <c r="F65" i="23"/>
  <c r="X63" i="19"/>
  <c r="G145" i="23"/>
  <c r="Y143" i="19"/>
  <c r="Y119" i="19"/>
  <c r="G121" i="23"/>
  <c r="J122" i="23"/>
  <c r="V120" i="19"/>
  <c r="AA94" i="19"/>
  <c r="AB95" i="19" s="1"/>
  <c r="T115" i="19"/>
  <c r="E117" i="23"/>
  <c r="T50" i="19"/>
  <c r="E52" i="23"/>
  <c r="E54" i="23"/>
  <c r="T52" i="19"/>
  <c r="E165" i="23"/>
  <c r="T163" i="19"/>
  <c r="Y111" i="19"/>
  <c r="G113" i="23"/>
  <c r="F50" i="23"/>
  <c r="X48" i="19"/>
  <c r="X129" i="19"/>
  <c r="F131" i="23"/>
  <c r="T124" i="19"/>
  <c r="E126" i="23"/>
  <c r="J21" i="23"/>
  <c r="V19" i="19"/>
  <c r="AA132" i="19"/>
  <c r="T91" i="19"/>
  <c r="E93" i="23"/>
  <c r="E60" i="23"/>
  <c r="T58" i="19"/>
  <c r="V28" i="19"/>
  <c r="J30" i="23"/>
  <c r="F80" i="23"/>
  <c r="X78" i="19"/>
  <c r="E102" i="23"/>
  <c r="T100" i="19"/>
  <c r="E98" i="23"/>
  <c r="T96" i="19"/>
  <c r="J26" i="23"/>
  <c r="V24" i="19"/>
  <c r="F143" i="23"/>
  <c r="X141" i="19"/>
  <c r="J81" i="23"/>
  <c r="V79" i="19"/>
  <c r="Y33" i="19"/>
  <c r="G35" i="23"/>
  <c r="X12" i="19"/>
  <c r="F14" i="23"/>
  <c r="G62" i="23"/>
  <c r="Y60" i="19"/>
  <c r="G4" i="23"/>
  <c r="Y2" i="19"/>
  <c r="B121" i="19"/>
  <c r="R121" i="19"/>
  <c r="Y104" i="19"/>
  <c r="G106" i="23"/>
  <c r="T49" i="19"/>
  <c r="E51" i="23"/>
  <c r="G184" i="23"/>
  <c r="Y182" i="19"/>
  <c r="X142" i="19"/>
  <c r="F144" i="23"/>
  <c r="E158" i="23"/>
  <c r="T156" i="19"/>
  <c r="Y169" i="19"/>
  <c r="G171" i="23"/>
  <c r="V83" i="19"/>
  <c r="J85" i="23"/>
  <c r="F108" i="23"/>
  <c r="X106" i="19"/>
  <c r="AA46" i="19"/>
  <c r="AB47" i="19" s="1"/>
  <c r="AC47" i="19" s="1"/>
  <c r="F185" i="23"/>
  <c r="X183" i="19"/>
  <c r="X25" i="19"/>
  <c r="F27" i="23"/>
  <c r="AA143" i="19"/>
  <c r="AB144" i="19" s="1"/>
  <c r="E148" i="23"/>
  <c r="T146" i="19"/>
  <c r="T62" i="19"/>
  <c r="E64" i="23"/>
  <c r="G159" i="23"/>
  <c r="Y157" i="19"/>
  <c r="Y120" i="19"/>
  <c r="G122" i="23"/>
  <c r="E96" i="23"/>
  <c r="T94" i="19"/>
  <c r="V115" i="19"/>
  <c r="J117" i="23"/>
  <c r="J43" i="23"/>
  <c r="V41" i="19"/>
  <c r="R178" i="19"/>
  <c r="B178" i="19"/>
  <c r="V52" i="19"/>
  <c r="J54" i="23"/>
  <c r="F83" i="23"/>
  <c r="X81" i="19"/>
  <c r="E190" i="23"/>
  <c r="T188" i="19"/>
  <c r="V163" i="19"/>
  <c r="J165" i="23"/>
  <c r="AA48" i="19"/>
  <c r="F21" i="23"/>
  <c r="X19" i="19"/>
  <c r="Y132" i="19"/>
  <c r="G134" i="23"/>
  <c r="V91" i="19"/>
  <c r="J93" i="23"/>
  <c r="G60" i="23"/>
  <c r="Y58" i="19"/>
  <c r="V78" i="19"/>
  <c r="J80" i="23"/>
  <c r="F174" i="23"/>
  <c r="X172" i="19"/>
  <c r="J102" i="23"/>
  <c r="V100" i="19"/>
  <c r="R159" i="19"/>
  <c r="B159" i="19"/>
  <c r="E173" i="23"/>
  <c r="T171" i="19"/>
  <c r="J103" i="23"/>
  <c r="V101" i="19"/>
  <c r="X154" i="19"/>
  <c r="F156" i="23"/>
  <c r="T24" i="19"/>
  <c r="E26" i="23"/>
  <c r="G160" i="23"/>
  <c r="Y158" i="19"/>
  <c r="J143" i="23"/>
  <c r="V141" i="19"/>
  <c r="J19" i="23"/>
  <c r="V17" i="19"/>
  <c r="E81" i="23"/>
  <c r="T79" i="19"/>
  <c r="E14" i="23"/>
  <c r="T12" i="19"/>
  <c r="V65" i="19"/>
  <c r="J67" i="23"/>
  <c r="F135" i="23"/>
  <c r="X133" i="19"/>
  <c r="F58" i="23"/>
  <c r="X56" i="19"/>
  <c r="E47" i="23"/>
  <c r="T45" i="19"/>
  <c r="Y49" i="19"/>
  <c r="G51" i="23"/>
  <c r="F153" i="23"/>
  <c r="X151" i="19"/>
  <c r="F61" i="23"/>
  <c r="X59" i="19"/>
  <c r="AA68" i="19"/>
  <c r="AB69" i="19" s="1"/>
  <c r="Y142" i="19"/>
  <c r="G144" i="23"/>
  <c r="X156" i="19"/>
  <c r="F158" i="23"/>
  <c r="X98" i="19"/>
  <c r="F100" i="23"/>
  <c r="E82" i="23"/>
  <c r="K82" i="23" s="1"/>
  <c r="T80" i="19"/>
  <c r="T145" i="19"/>
  <c r="E147" i="23"/>
  <c r="B176" i="19"/>
  <c r="R176" i="19"/>
  <c r="X77" i="19"/>
  <c r="F79" i="23"/>
  <c r="E108" i="23"/>
  <c r="T106" i="19"/>
  <c r="T46" i="19"/>
  <c r="E48" i="23"/>
  <c r="E138" i="23"/>
  <c r="T136" i="19"/>
  <c r="E55" i="23"/>
  <c r="K55" i="23" s="1"/>
  <c r="T53" i="19"/>
  <c r="J65" i="23"/>
  <c r="V63" i="19"/>
  <c r="E27" i="23"/>
  <c r="T25" i="19"/>
  <c r="Y146" i="19"/>
  <c r="G148" i="23"/>
  <c r="Y62" i="19"/>
  <c r="G64" i="23"/>
  <c r="F41" i="23"/>
  <c r="X39" i="19"/>
  <c r="Y94" i="19"/>
  <c r="G96" i="23"/>
  <c r="F117" i="23"/>
  <c r="X115" i="19"/>
  <c r="F86" i="23"/>
  <c r="X84" i="19"/>
  <c r="Y125" i="19"/>
  <c r="G127" i="23"/>
  <c r="V81" i="19"/>
  <c r="J83" i="23"/>
  <c r="AA188" i="19"/>
  <c r="G165" i="23"/>
  <c r="Y163" i="19"/>
  <c r="F113" i="23"/>
  <c r="X111" i="19"/>
  <c r="AA108" i="19"/>
  <c r="AB109" i="19" s="1"/>
  <c r="AC109" i="19" s="1"/>
  <c r="X124" i="19"/>
  <c r="F126" i="23"/>
  <c r="T19" i="19"/>
  <c r="E21" i="23"/>
  <c r="G93" i="23"/>
  <c r="Y91" i="19"/>
  <c r="F60" i="23"/>
  <c r="X58" i="19"/>
  <c r="F11" i="23"/>
  <c r="X9" i="19"/>
  <c r="E124" i="23"/>
  <c r="T122" i="19"/>
  <c r="V172" i="19"/>
  <c r="J174" i="23"/>
  <c r="X13" i="19"/>
  <c r="F15" i="23"/>
  <c r="X100" i="19"/>
  <c r="F102" i="23"/>
  <c r="T159" i="19"/>
  <c r="E161" i="23"/>
  <c r="G173" i="23"/>
  <c r="Y171" i="19"/>
  <c r="E189" i="23"/>
  <c r="T187" i="19"/>
  <c r="G26" i="23"/>
  <c r="Y24" i="19"/>
  <c r="V158" i="19"/>
  <c r="J160" i="23"/>
  <c r="Y141" i="19"/>
  <c r="G143" i="23"/>
  <c r="G81" i="23"/>
  <c r="Y79" i="19"/>
  <c r="X121" i="19"/>
  <c r="F123" i="23"/>
  <c r="T153" i="19"/>
  <c r="E155" i="23"/>
  <c r="F76" i="23"/>
  <c r="X74" i="19"/>
  <c r="J153" i="23"/>
  <c r="V151" i="19"/>
  <c r="B59" i="19"/>
  <c r="R59" i="19"/>
  <c r="F169" i="23"/>
  <c r="X167" i="19"/>
  <c r="T169" i="19"/>
  <c r="E171" i="23"/>
  <c r="V145" i="19"/>
  <c r="J147" i="23"/>
  <c r="J167" i="23"/>
  <c r="V165" i="19"/>
  <c r="V77" i="19"/>
  <c r="J79" i="23"/>
  <c r="J38" i="23"/>
  <c r="V36" i="19"/>
  <c r="Y106" i="19"/>
  <c r="G108" i="23"/>
  <c r="X46" i="19"/>
  <c r="F48" i="23"/>
  <c r="G55" i="23"/>
  <c r="Y53" i="19"/>
  <c r="F45" i="23"/>
  <c r="X43" i="19"/>
  <c r="Y25" i="19"/>
  <c r="G27" i="23"/>
  <c r="X157" i="19"/>
  <c r="F159" i="23"/>
  <c r="G117" i="23"/>
  <c r="Y115" i="19"/>
  <c r="E86" i="23"/>
  <c r="T84" i="19"/>
  <c r="T41" i="19"/>
  <c r="E43" i="23"/>
  <c r="E127" i="23"/>
  <c r="T125" i="19"/>
  <c r="F53" i="23"/>
  <c r="X51" i="19"/>
  <c r="F190" i="23"/>
  <c r="X188" i="19"/>
  <c r="E110" i="23"/>
  <c r="T108" i="19"/>
  <c r="G21" i="23"/>
  <c r="Y19" i="19"/>
  <c r="T132" i="19"/>
  <c r="E134" i="23"/>
  <c r="AA91" i="19"/>
  <c r="AA9" i="19"/>
  <c r="AB10" i="19" s="1"/>
  <c r="Y122" i="19"/>
  <c r="G124" i="23"/>
  <c r="V13" i="19"/>
  <c r="J15" i="23"/>
  <c r="F173" i="23"/>
  <c r="X171" i="19"/>
  <c r="AA101" i="19"/>
  <c r="AB102" i="19" s="1"/>
  <c r="Y187" i="19"/>
  <c r="G189" i="23"/>
  <c r="E137" i="23"/>
  <c r="K137" i="23" s="1"/>
  <c r="T135" i="19"/>
  <c r="X158" i="19"/>
  <c r="F160" i="23"/>
  <c r="E92" i="23"/>
  <c r="T90" i="19"/>
  <c r="T170" i="19"/>
  <c r="E172" i="23"/>
  <c r="K172" i="23" s="1"/>
  <c r="V33" i="19"/>
  <c r="J35" i="23"/>
  <c r="G14" i="23"/>
  <c r="Y12" i="19"/>
  <c r="AA65" i="19"/>
  <c r="AB66" i="19" s="1"/>
  <c r="Y107" i="19"/>
  <c r="G109" i="23"/>
  <c r="J123" i="23"/>
  <c r="V121" i="19"/>
  <c r="E58" i="23"/>
  <c r="T56" i="19"/>
  <c r="G155" i="23"/>
  <c r="Y153" i="19"/>
  <c r="X45" i="19"/>
  <c r="F47" i="23"/>
  <c r="E70" i="23"/>
  <c r="T68" i="19"/>
  <c r="J169" i="23"/>
  <c r="V167" i="19"/>
  <c r="AA10" i="19"/>
  <c r="F171" i="23"/>
  <c r="X169" i="19"/>
  <c r="R98" i="19"/>
  <c r="B98" i="19"/>
  <c r="G147" i="23"/>
  <c r="Y145" i="19"/>
  <c r="J33" i="23"/>
  <c r="V31" i="19"/>
  <c r="X36" i="19"/>
  <c r="F38" i="23"/>
  <c r="V106" i="19"/>
  <c r="J108" i="23"/>
  <c r="G138" i="23"/>
  <c r="Y136" i="19"/>
  <c r="Y43" i="19"/>
  <c r="G45" i="23"/>
  <c r="AA123" i="19"/>
  <c r="AB124" i="19" s="1"/>
  <c r="X143" i="19"/>
  <c r="F145" i="23"/>
  <c r="V146" i="19"/>
  <c r="J148" i="23"/>
  <c r="X57" i="19"/>
  <c r="F59" i="23"/>
  <c r="E146" i="23"/>
  <c r="T144" i="19"/>
  <c r="Y84" i="19"/>
  <c r="G86" i="23"/>
  <c r="Y51" i="19"/>
  <c r="G53" i="23"/>
  <c r="J56" i="23"/>
  <c r="V54" i="19"/>
  <c r="F165" i="23"/>
  <c r="X163" i="19"/>
  <c r="E50" i="23"/>
  <c r="T48" i="19"/>
  <c r="G110" i="23"/>
  <c r="Y108" i="19"/>
  <c r="AA42" i="19"/>
  <c r="AB43" i="19" s="1"/>
  <c r="AA30" i="19"/>
  <c r="F134" i="23"/>
  <c r="X132" i="19"/>
  <c r="J11" i="23"/>
  <c r="V9" i="19"/>
  <c r="E34" i="23"/>
  <c r="T32" i="19"/>
  <c r="V177" i="19"/>
  <c r="J179" i="23"/>
  <c r="Y100" i="19"/>
  <c r="G102" i="23"/>
  <c r="J161" i="23"/>
  <c r="V159" i="19"/>
  <c r="X101" i="19"/>
  <c r="F103" i="23"/>
  <c r="V187" i="19"/>
  <c r="J189" i="23"/>
  <c r="AA173" i="19"/>
  <c r="Y90" i="19"/>
  <c r="G92" i="23"/>
  <c r="T141" i="19"/>
  <c r="E143" i="23"/>
  <c r="T147" i="19"/>
  <c r="E149" i="23"/>
  <c r="G172" i="23"/>
  <c r="Y170" i="19"/>
  <c r="X99" i="19"/>
  <c r="F101" i="23"/>
  <c r="AA12" i="19"/>
  <c r="AB13" i="19" s="1"/>
  <c r="X65" i="19"/>
  <c r="F67" i="23"/>
  <c r="T16" i="19"/>
  <c r="E18" i="23"/>
  <c r="T107" i="19"/>
  <c r="E109" i="23"/>
  <c r="J58" i="23"/>
  <c r="V56" i="19"/>
  <c r="V74" i="19"/>
  <c r="J76" i="23"/>
  <c r="V45" i="19"/>
  <c r="J47" i="23"/>
  <c r="T151" i="19"/>
  <c r="E153" i="23"/>
  <c r="V59" i="19"/>
  <c r="J61" i="23"/>
  <c r="Y68" i="19"/>
  <c r="G70" i="23"/>
  <c r="E169" i="23"/>
  <c r="T167" i="19"/>
  <c r="T21" i="19"/>
  <c r="E23" i="23"/>
  <c r="V98" i="19"/>
  <c r="J100" i="23"/>
  <c r="X80" i="19"/>
  <c r="F82" i="23"/>
  <c r="G33" i="23"/>
  <c r="Y31" i="19"/>
  <c r="X165" i="19"/>
  <c r="F167" i="23"/>
  <c r="E78" i="23"/>
  <c r="T76" i="19"/>
  <c r="G48" i="23"/>
  <c r="Y46" i="19"/>
  <c r="X136" i="19"/>
  <c r="F138" i="23"/>
  <c r="T123" i="19"/>
  <c r="E125" i="23"/>
  <c r="X62" i="19"/>
  <c r="F64" i="23"/>
  <c r="T157" i="19"/>
  <c r="E159" i="23"/>
  <c r="G146" i="23"/>
  <c r="Y144" i="19"/>
  <c r="G43" i="23"/>
  <c r="Y41" i="19"/>
  <c r="W83" i="19"/>
  <c r="W162" i="19"/>
  <c r="W166" i="19"/>
  <c r="W112" i="19"/>
  <c r="W106" i="19"/>
  <c r="W84" i="19"/>
  <c r="W129" i="19"/>
  <c r="W104" i="19"/>
  <c r="W165" i="19"/>
  <c r="W23" i="19"/>
  <c r="W151" i="19"/>
  <c r="W158" i="19"/>
  <c r="W75" i="19"/>
  <c r="W42" i="19"/>
  <c r="W46" i="19"/>
  <c r="W79" i="19"/>
  <c r="W184" i="19"/>
  <c r="W30" i="19"/>
  <c r="W15" i="19"/>
  <c r="W36" i="19"/>
  <c r="W125" i="19"/>
  <c r="W49" i="19"/>
  <c r="W38" i="19"/>
  <c r="W175" i="19"/>
  <c r="W98" i="19"/>
  <c r="W25" i="19"/>
  <c r="W63" i="19"/>
  <c r="W139" i="19"/>
  <c r="W18" i="19"/>
  <c r="W92" i="19"/>
  <c r="W136" i="19"/>
  <c r="W70" i="19"/>
  <c r="W133" i="19"/>
  <c r="W88" i="19"/>
  <c r="W73" i="19"/>
  <c r="W150" i="19"/>
  <c r="W97" i="19"/>
  <c r="W178" i="19"/>
  <c r="W48" i="19"/>
  <c r="W146" i="19"/>
  <c r="W127" i="19"/>
  <c r="W17" i="19"/>
  <c r="W55" i="19"/>
  <c r="W167" i="19"/>
  <c r="W35" i="19"/>
  <c r="W123" i="19"/>
  <c r="W100" i="19"/>
  <c r="W147" i="19"/>
  <c r="W94" i="19"/>
  <c r="W57" i="19"/>
  <c r="W53" i="19"/>
  <c r="W108" i="19"/>
  <c r="W66" i="19"/>
  <c r="W148" i="19"/>
  <c r="W113" i="19"/>
  <c r="W31" i="19"/>
  <c r="W71" i="19"/>
  <c r="W74" i="19"/>
  <c r="W164" i="19"/>
  <c r="W24" i="19"/>
  <c r="W103" i="19"/>
  <c r="W6" i="19"/>
  <c r="W50" i="19"/>
  <c r="W119" i="19"/>
  <c r="W20" i="19"/>
  <c r="W11" i="19"/>
  <c r="W10" i="19"/>
  <c r="W13" i="19"/>
  <c r="W174" i="19"/>
  <c r="W5" i="19"/>
  <c r="W72" i="19"/>
  <c r="W54" i="19"/>
  <c r="W44" i="19"/>
  <c r="W134" i="19"/>
  <c r="W137" i="19"/>
  <c r="W124" i="19"/>
  <c r="W179" i="19"/>
  <c r="W27" i="19"/>
  <c r="W145" i="19"/>
  <c r="W86" i="19"/>
  <c r="W95" i="19"/>
  <c r="W76" i="19"/>
  <c r="W47" i="19"/>
  <c r="W144" i="19"/>
  <c r="W114" i="19"/>
  <c r="W87" i="19"/>
  <c r="W58" i="19"/>
  <c r="W130" i="19"/>
  <c r="W85" i="19"/>
  <c r="W101" i="19"/>
  <c r="W3" i="19"/>
  <c r="W59" i="19"/>
  <c r="W157" i="19"/>
  <c r="W109" i="19"/>
  <c r="W177" i="19"/>
  <c r="W65" i="19"/>
  <c r="W159" i="19"/>
  <c r="W22" i="19"/>
  <c r="W171" i="19"/>
  <c r="W14" i="19"/>
  <c r="W110" i="19"/>
  <c r="W99" i="19"/>
  <c r="W168" i="19"/>
  <c r="W173" i="19"/>
  <c r="W117" i="19"/>
  <c r="W163" i="19"/>
  <c r="W154" i="19"/>
  <c r="W64" i="19"/>
  <c r="W132" i="19"/>
  <c r="W149" i="19"/>
  <c r="W156" i="19"/>
  <c r="W183" i="19"/>
  <c r="W111" i="19"/>
  <c r="W155" i="19"/>
  <c r="W170" i="19"/>
  <c r="W185" i="19"/>
  <c r="W62" i="19"/>
  <c r="W16" i="19"/>
  <c r="W19" i="19"/>
  <c r="W122" i="19"/>
  <c r="W21" i="19"/>
  <c r="W160" i="19"/>
  <c r="W51" i="19"/>
  <c r="W135" i="19"/>
  <c r="W7" i="19"/>
  <c r="W12" i="19"/>
  <c r="W78" i="19"/>
  <c r="W68" i="19"/>
  <c r="W26" i="19"/>
  <c r="W138" i="19"/>
  <c r="W180" i="19"/>
  <c r="W33" i="19"/>
  <c r="W131" i="19"/>
  <c r="W153" i="19"/>
  <c r="W89" i="19"/>
  <c r="W169" i="19"/>
  <c r="W28" i="19"/>
  <c r="W81" i="19"/>
  <c r="W32" i="19"/>
  <c r="W90" i="19"/>
  <c r="W29" i="19"/>
  <c r="W126" i="19"/>
  <c r="W61" i="19"/>
  <c r="W8" i="19"/>
  <c r="W43" i="19"/>
  <c r="W82" i="19"/>
  <c r="W34" i="19"/>
  <c r="W41" i="19"/>
  <c r="W67" i="19"/>
  <c r="W107" i="19"/>
  <c r="W128" i="19"/>
  <c r="W4" i="19"/>
  <c r="W172" i="19"/>
  <c r="W9" i="19"/>
  <c r="W186" i="19"/>
  <c r="W176" i="19"/>
  <c r="W120" i="19"/>
  <c r="W77" i="19"/>
  <c r="W152" i="19"/>
  <c r="W182" i="19"/>
  <c r="W93" i="19"/>
  <c r="W143" i="19"/>
  <c r="W142" i="19"/>
  <c r="W52" i="19"/>
  <c r="W141" i="19"/>
  <c r="W37" i="19"/>
  <c r="W91" i="19"/>
  <c r="W121" i="19"/>
  <c r="W56" i="19"/>
  <c r="W96" i="19"/>
  <c r="W69" i="19"/>
  <c r="W118" i="19"/>
  <c r="W105" i="19"/>
  <c r="W115" i="19"/>
  <c r="W187" i="19"/>
  <c r="W45" i="19"/>
  <c r="AC46" i="19" l="1"/>
  <c r="AC28" i="19"/>
  <c r="AC111" i="19"/>
  <c r="AC89" i="19"/>
  <c r="AC107" i="19"/>
  <c r="AC43" i="19"/>
  <c r="AC78" i="19"/>
  <c r="AC169" i="19"/>
  <c r="AB181" i="19"/>
  <c r="AC180" i="19"/>
  <c r="AC10" i="19"/>
  <c r="AB11" i="19"/>
  <c r="AC11" i="19" s="1"/>
  <c r="AB38" i="19"/>
  <c r="AC38" i="19" s="1"/>
  <c r="AC37" i="19"/>
  <c r="AB21" i="19"/>
  <c r="AB167" i="19"/>
  <c r="AC167" i="19" s="1"/>
  <c r="AC166" i="19"/>
  <c r="AB60" i="19"/>
  <c r="AC59" i="19"/>
  <c r="AC163" i="19"/>
  <c r="AB7" i="19"/>
  <c r="AC7" i="19" s="1"/>
  <c r="AC6" i="19"/>
  <c r="AC69" i="19"/>
  <c r="AB125" i="19"/>
  <c r="AC125" i="19" s="1"/>
  <c r="AC124" i="19"/>
  <c r="AB65" i="19"/>
  <c r="AC65" i="19" s="1"/>
  <c r="AC64" i="19"/>
  <c r="AC63" i="19"/>
  <c r="AB85" i="19"/>
  <c r="AC85" i="19" s="1"/>
  <c r="AC84" i="19"/>
  <c r="AB77" i="19"/>
  <c r="AC77" i="19" s="1"/>
  <c r="AC76" i="19"/>
  <c r="AB122" i="19"/>
  <c r="AC121" i="19"/>
  <c r="AB120" i="19"/>
  <c r="AC120" i="19" s="1"/>
  <c r="AB156" i="19"/>
  <c r="AC156" i="19" s="1"/>
  <c r="AB55" i="19"/>
  <c r="AC54" i="19"/>
  <c r="AB127" i="19"/>
  <c r="AC127" i="19" s="1"/>
  <c r="AB49" i="19"/>
  <c r="AC49" i="19" s="1"/>
  <c r="AC48" i="19"/>
  <c r="AB92" i="19"/>
  <c r="AC92" i="19" s="1"/>
  <c r="AC91" i="19"/>
  <c r="AC173" i="19"/>
  <c r="AB174" i="19"/>
  <c r="AB105" i="19"/>
  <c r="AC104" i="19"/>
  <c r="AC13" i="19"/>
  <c r="AC83" i="19"/>
  <c r="AC157" i="19"/>
  <c r="AC183" i="19"/>
  <c r="AB184" i="19"/>
  <c r="AC184" i="19" s="1"/>
  <c r="AC27" i="19"/>
  <c r="AB12" i="19"/>
  <c r="AC12" i="19" s="1"/>
  <c r="AB31" i="19"/>
  <c r="AC31" i="19" s="1"/>
  <c r="AC30" i="19"/>
  <c r="AB101" i="19"/>
  <c r="AC101" i="19" s="1"/>
  <c r="AC100" i="19"/>
  <c r="AB133" i="19"/>
  <c r="AC132" i="19"/>
  <c r="AC165" i="19"/>
  <c r="B33" i="19"/>
  <c r="B163" i="19"/>
  <c r="AB108" i="19"/>
  <c r="AC108" i="19" s="1"/>
  <c r="AC147" i="19"/>
  <c r="AC168" i="19"/>
  <c r="AC58" i="19"/>
  <c r="AC52" i="19"/>
  <c r="AC149" i="19"/>
  <c r="AA154" i="19"/>
  <c r="AA151" i="19"/>
  <c r="AA122" i="19"/>
  <c r="AC113" i="19"/>
  <c r="R163" i="19"/>
  <c r="B115" i="19"/>
  <c r="R158" i="19"/>
  <c r="B144" i="19"/>
  <c r="I146" i="23" s="1"/>
  <c r="B54" i="19"/>
  <c r="B122" i="19"/>
  <c r="AB87" i="19"/>
  <c r="AC87" i="19" s="1"/>
  <c r="AA129" i="19"/>
  <c r="AB130" i="19" s="1"/>
  <c r="AA105" i="19"/>
  <c r="AB106" i="19" s="1"/>
  <c r="AC106" i="19" s="1"/>
  <c r="AA142" i="19"/>
  <c r="AB143" i="19" s="1"/>
  <c r="AC143" i="19" s="1"/>
  <c r="AC97" i="19"/>
  <c r="R54" i="19"/>
  <c r="AC62" i="19"/>
  <c r="AC112" i="19"/>
  <c r="AC146" i="19"/>
  <c r="AA66" i="19"/>
  <c r="AB67" i="19" s="1"/>
  <c r="AC67" i="19" s="1"/>
  <c r="AA21" i="19"/>
  <c r="AB22" i="19" s="1"/>
  <c r="AC22" i="19" s="1"/>
  <c r="AA118" i="19"/>
  <c r="AB119" i="19" s="1"/>
  <c r="AC119" i="19" s="1"/>
  <c r="AC133" i="19"/>
  <c r="AA44" i="19"/>
  <c r="AB45" i="19" s="1"/>
  <c r="AC45" i="19" s="1"/>
  <c r="B154" i="19"/>
  <c r="B56" i="19"/>
  <c r="B77" i="19"/>
  <c r="B93" i="19"/>
  <c r="AB68" i="19"/>
  <c r="AC68" i="19" s="1"/>
  <c r="AA73" i="19"/>
  <c r="AB74" i="19" s="1"/>
  <c r="AA171" i="19"/>
  <c r="AA125" i="19"/>
  <c r="AB126" i="19" s="1"/>
  <c r="AC126" i="19" s="1"/>
  <c r="R56" i="19"/>
  <c r="B96" i="19"/>
  <c r="R77" i="19"/>
  <c r="AC98" i="19"/>
  <c r="AC170" i="19"/>
  <c r="AC25" i="19"/>
  <c r="AA8" i="19"/>
  <c r="B160" i="19"/>
  <c r="R44" i="19"/>
  <c r="AA95" i="19"/>
  <c r="AB72" i="19"/>
  <c r="AC72" i="19" s="1"/>
  <c r="AA93" i="19"/>
  <c r="AA19" i="19"/>
  <c r="AB20" i="19" s="1"/>
  <c r="AC20" i="19" s="1"/>
  <c r="B185" i="19"/>
  <c r="B88" i="19"/>
  <c r="B43" i="19"/>
  <c r="AB14" i="19"/>
  <c r="AA74" i="19"/>
  <c r="AA185" i="19"/>
  <c r="AA174" i="19"/>
  <c r="AB175" i="19" s="1"/>
  <c r="AA55" i="19"/>
  <c r="AA160" i="19"/>
  <c r="AB161" i="19" s="1"/>
  <c r="K34" i="23"/>
  <c r="L34" i="23" s="1"/>
  <c r="M34" i="23" s="1"/>
  <c r="R115" i="19"/>
  <c r="AA17" i="19"/>
  <c r="AC42" i="19"/>
  <c r="AB44" i="19"/>
  <c r="AC44" i="19" s="1"/>
  <c r="AA187" i="19"/>
  <c r="AB188" i="19" s="1"/>
  <c r="AC35" i="19"/>
  <c r="B171" i="19"/>
  <c r="AA18" i="19"/>
  <c r="AB19" i="19" s="1"/>
  <c r="R172" i="19"/>
  <c r="AC4" i="19"/>
  <c r="AC82" i="19"/>
  <c r="AA139" i="19"/>
  <c r="AB140" i="19" s="1"/>
  <c r="AA50" i="19"/>
  <c r="AA138" i="19"/>
  <c r="B74" i="19"/>
  <c r="AC144" i="19"/>
  <c r="AC115" i="19"/>
  <c r="AA14" i="19"/>
  <c r="AB15" i="19" s="1"/>
  <c r="AC15" i="19" s="1"/>
  <c r="A35" i="23"/>
  <c r="AA2" i="19"/>
  <c r="AB189" i="19"/>
  <c r="AC189" i="19" s="1"/>
  <c r="K77" i="23"/>
  <c r="L77" i="23" s="1"/>
  <c r="M77" i="23" s="1"/>
  <c r="K92" i="23"/>
  <c r="L92" i="23" s="1"/>
  <c r="M92" i="23" s="1"/>
  <c r="K35" i="23"/>
  <c r="L35" i="23" s="1"/>
  <c r="M35" i="23" s="1"/>
  <c r="K49" i="23"/>
  <c r="L49" i="23" s="1"/>
  <c r="M49" i="23" s="1"/>
  <c r="K147" i="23"/>
  <c r="K87" i="23"/>
  <c r="K169" i="23"/>
  <c r="K154" i="23"/>
  <c r="K40" i="23"/>
  <c r="L40" i="23" s="1"/>
  <c r="M40" i="23" s="1"/>
  <c r="K53" i="23"/>
  <c r="L53" i="23" s="1"/>
  <c r="M53" i="23" s="1"/>
  <c r="K105" i="23"/>
  <c r="L105" i="23" s="1"/>
  <c r="M105" i="23" s="1"/>
  <c r="K190" i="23"/>
  <c r="K83" i="23"/>
  <c r="K112" i="23"/>
  <c r="K138" i="23"/>
  <c r="L138" i="23" s="1"/>
  <c r="M138" i="23" s="1"/>
  <c r="K116" i="23"/>
  <c r="L116" i="23" s="1"/>
  <c r="M116" i="23" s="1"/>
  <c r="K161" i="23"/>
  <c r="L161" i="23" s="1"/>
  <c r="M161" i="23" s="1"/>
  <c r="K72" i="23"/>
  <c r="L72" i="23" s="1"/>
  <c r="M72" i="23" s="1"/>
  <c r="K9" i="23"/>
  <c r="L9" i="23" s="1"/>
  <c r="M9" i="23" s="1"/>
  <c r="K81" i="23"/>
  <c r="L81" i="23" s="1"/>
  <c r="M81" i="23" s="1"/>
  <c r="K18" i="23"/>
  <c r="L18" i="23" s="1"/>
  <c r="M18" i="23" s="1"/>
  <c r="K135" i="23"/>
  <c r="L135" i="23" s="1"/>
  <c r="M135" i="23" s="1"/>
  <c r="K43" i="23"/>
  <c r="L43" i="23" s="1"/>
  <c r="M43" i="23" s="1"/>
  <c r="K59" i="23"/>
  <c r="R21" i="19"/>
  <c r="K69" i="23"/>
  <c r="K90" i="23"/>
  <c r="K41" i="23"/>
  <c r="K60" i="23"/>
  <c r="L60" i="23" s="1"/>
  <c r="M60" i="23" s="1"/>
  <c r="K164" i="23"/>
  <c r="L164" i="23" s="1"/>
  <c r="M164" i="23" s="1"/>
  <c r="K113" i="23"/>
  <c r="L113" i="23" s="1"/>
  <c r="M113" i="23" s="1"/>
  <c r="K184" i="23"/>
  <c r="K150" i="23"/>
  <c r="K143" i="23"/>
  <c r="K26" i="23"/>
  <c r="L26" i="23" s="1"/>
  <c r="M26" i="23" s="1"/>
  <c r="K100" i="23"/>
  <c r="R66" i="19"/>
  <c r="K166" i="23"/>
  <c r="L166" i="23" s="1"/>
  <c r="M166" i="23" s="1"/>
  <c r="K63" i="23"/>
  <c r="L63" i="23" s="1"/>
  <c r="M63" i="23" s="1"/>
  <c r="K98" i="23"/>
  <c r="L98" i="23" s="1"/>
  <c r="M98" i="23" s="1"/>
  <c r="R139" i="19"/>
  <c r="R151" i="19"/>
  <c r="B118" i="19"/>
  <c r="R18" i="19"/>
  <c r="B174" i="19"/>
  <c r="R125" i="19"/>
  <c r="R36" i="19"/>
  <c r="R105" i="19"/>
  <c r="L172" i="23"/>
  <c r="M172" i="23" s="1"/>
  <c r="B145" i="19"/>
  <c r="R73" i="19"/>
  <c r="R107" i="19"/>
  <c r="R50" i="19"/>
  <c r="B141" i="19"/>
  <c r="A26" i="23"/>
  <c r="R8" i="19"/>
  <c r="C105" i="7"/>
  <c r="B61" i="19"/>
  <c r="R45" i="19"/>
  <c r="D12" i="8"/>
  <c r="D114" i="7"/>
  <c r="E86" i="7"/>
  <c r="H86" i="7" s="1"/>
  <c r="A86" i="7" s="1"/>
  <c r="D21" i="7"/>
  <c r="D116" i="7"/>
  <c r="E66" i="7"/>
  <c r="H66" i="7" s="1"/>
  <c r="A66" i="7" s="1"/>
  <c r="D124" i="7"/>
  <c r="C52" i="7"/>
  <c r="D104" i="7"/>
  <c r="D22" i="7"/>
  <c r="E72" i="7"/>
  <c r="H72" i="7" s="1"/>
  <c r="A72" i="7" s="1"/>
  <c r="L147" i="23"/>
  <c r="M147" i="23" s="1"/>
  <c r="C94" i="7"/>
  <c r="C61" i="23"/>
  <c r="U59" i="19"/>
  <c r="U187" i="19"/>
  <c r="C189" i="23"/>
  <c r="B31" i="19"/>
  <c r="R31" i="19"/>
  <c r="C65" i="23"/>
  <c r="U63" i="19"/>
  <c r="C43" i="23"/>
  <c r="U41" i="19"/>
  <c r="P169" i="19"/>
  <c r="AP169" i="19"/>
  <c r="A171" i="23"/>
  <c r="D142" i="7"/>
  <c r="D51" i="7"/>
  <c r="E69" i="7"/>
  <c r="H69" i="7" s="1"/>
  <c r="A69" i="7" s="1"/>
  <c r="E95" i="7"/>
  <c r="H95" i="7" s="1"/>
  <c r="A95" i="7" s="1"/>
  <c r="D23" i="8"/>
  <c r="C135" i="7"/>
  <c r="C128" i="7"/>
  <c r="D135" i="7"/>
  <c r="C16" i="7"/>
  <c r="C32" i="7"/>
  <c r="D38" i="7"/>
  <c r="E60" i="7"/>
  <c r="H60" i="7" s="1"/>
  <c r="A60" i="7" s="1"/>
  <c r="E134" i="7"/>
  <c r="H134" i="7" s="1"/>
  <c r="A134" i="7" s="1"/>
  <c r="E70" i="7"/>
  <c r="H70" i="7" s="1"/>
  <c r="A70" i="7" s="1"/>
  <c r="E135" i="7"/>
  <c r="H135" i="7" s="1"/>
  <c r="A135" i="7" s="1"/>
  <c r="D98" i="7"/>
  <c r="C103" i="7"/>
  <c r="E30" i="7"/>
  <c r="H30" i="7" s="1"/>
  <c r="A30" i="7" s="1"/>
  <c r="D127" i="7"/>
  <c r="E119" i="7"/>
  <c r="H119" i="7" s="1"/>
  <c r="A119" i="7" s="1"/>
  <c r="C45" i="7"/>
  <c r="U113" i="19"/>
  <c r="C115" i="23"/>
  <c r="A145" i="23"/>
  <c r="K145" i="23" s="1"/>
  <c r="P143" i="19"/>
  <c r="AP143" i="19"/>
  <c r="U105" i="19"/>
  <c r="C107" i="23"/>
  <c r="A8" i="23"/>
  <c r="K8" i="23" s="1"/>
  <c r="AP6" i="19"/>
  <c r="P6" i="19"/>
  <c r="R83" i="19"/>
  <c r="B83" i="19"/>
  <c r="B133" i="19"/>
  <c r="R133" i="19"/>
  <c r="C105" i="23"/>
  <c r="U103" i="19"/>
  <c r="U137" i="19"/>
  <c r="C139" i="23"/>
  <c r="A25" i="23"/>
  <c r="K25" i="23" s="1"/>
  <c r="AP23" i="19"/>
  <c r="P23" i="19"/>
  <c r="I28" i="23"/>
  <c r="R87" i="19"/>
  <c r="B87" i="19"/>
  <c r="A75" i="23"/>
  <c r="K75" i="23" s="1"/>
  <c r="L75" i="23" s="1"/>
  <c r="M75" i="23" s="1"/>
  <c r="AP73" i="19"/>
  <c r="P73" i="19"/>
  <c r="P127" i="19"/>
  <c r="A129" i="23"/>
  <c r="AP127" i="19"/>
  <c r="C23" i="23"/>
  <c r="U21" i="19"/>
  <c r="U71" i="19"/>
  <c r="C73" i="23"/>
  <c r="C128" i="23"/>
  <c r="U126" i="19"/>
  <c r="R57" i="19"/>
  <c r="B57" i="19"/>
  <c r="A189" i="23"/>
  <c r="K189" i="23" s="1"/>
  <c r="AP187" i="19"/>
  <c r="P187" i="19"/>
  <c r="AP63" i="19"/>
  <c r="P63" i="19"/>
  <c r="A65" i="23"/>
  <c r="K65" i="23" s="1"/>
  <c r="C11" i="23"/>
  <c r="U9" i="19"/>
  <c r="R41" i="19"/>
  <c r="B41" i="19"/>
  <c r="A117" i="23"/>
  <c r="P115" i="19"/>
  <c r="AP115" i="19"/>
  <c r="B46" i="19"/>
  <c r="R46" i="19"/>
  <c r="P25" i="19"/>
  <c r="A27" i="23"/>
  <c r="AP25" i="19"/>
  <c r="P97" i="19"/>
  <c r="AP97" i="19"/>
  <c r="A99" i="23"/>
  <c r="D84" i="7"/>
  <c r="D78" i="7"/>
  <c r="E100" i="7"/>
  <c r="H100" i="7" s="1"/>
  <c r="A100" i="7" s="1"/>
  <c r="D128" i="7"/>
  <c r="D39" i="7"/>
  <c r="E110" i="7"/>
  <c r="H110" i="7" s="1"/>
  <c r="A110" i="7" s="1"/>
  <c r="D77" i="7"/>
  <c r="C112" i="7"/>
  <c r="E43" i="7"/>
  <c r="H43" i="7" s="1"/>
  <c r="A43" i="7" s="1"/>
  <c r="C46" i="7"/>
  <c r="D28" i="7"/>
  <c r="C44" i="7"/>
  <c r="C100" i="7"/>
  <c r="C104" i="7"/>
  <c r="E63" i="7"/>
  <c r="H63" i="7" s="1"/>
  <c r="A63" i="7" s="1"/>
  <c r="C118" i="7"/>
  <c r="C69" i="7"/>
  <c r="D33" i="7"/>
  <c r="D106" i="7"/>
  <c r="C57" i="7"/>
  <c r="C92" i="23"/>
  <c r="U90" i="19"/>
  <c r="P138" i="19"/>
  <c r="A140" i="23"/>
  <c r="K140" i="23" s="1"/>
  <c r="AP138" i="19"/>
  <c r="R180" i="19"/>
  <c r="B180" i="19"/>
  <c r="C36" i="23"/>
  <c r="U34" i="19"/>
  <c r="I130" i="23"/>
  <c r="B82" i="19"/>
  <c r="R82" i="19"/>
  <c r="I164" i="23"/>
  <c r="AP95" i="19"/>
  <c r="A97" i="23"/>
  <c r="P95" i="19"/>
  <c r="C40" i="23"/>
  <c r="U38" i="19"/>
  <c r="C75" i="23"/>
  <c r="U73" i="19"/>
  <c r="A68" i="23"/>
  <c r="P66" i="19"/>
  <c r="AP66" i="19"/>
  <c r="R149" i="19"/>
  <c r="B149" i="19"/>
  <c r="U61" i="19"/>
  <c r="C63" i="23"/>
  <c r="A141" i="23"/>
  <c r="K141" i="23" s="1"/>
  <c r="P139" i="19"/>
  <c r="AP139" i="19"/>
  <c r="A70" i="23"/>
  <c r="K70" i="23" s="1"/>
  <c r="L70" i="23" s="1"/>
  <c r="M70" i="23" s="1"/>
  <c r="P68" i="19"/>
  <c r="AP68" i="19"/>
  <c r="R99" i="19"/>
  <c r="B99" i="19"/>
  <c r="C53" i="23"/>
  <c r="U51" i="19"/>
  <c r="I153" i="23"/>
  <c r="A102" i="23"/>
  <c r="AP100" i="19"/>
  <c r="P100" i="19"/>
  <c r="B143" i="19"/>
  <c r="R143" i="19"/>
  <c r="C132" i="7"/>
  <c r="C108" i="23"/>
  <c r="U106" i="19"/>
  <c r="C169" i="23"/>
  <c r="U167" i="19"/>
  <c r="A67" i="23"/>
  <c r="K67" i="23" s="1"/>
  <c r="P65" i="19"/>
  <c r="AP65" i="19"/>
  <c r="A80" i="23"/>
  <c r="P78" i="19"/>
  <c r="AP78" i="19"/>
  <c r="AP46" i="19"/>
  <c r="P46" i="19"/>
  <c r="A48" i="23"/>
  <c r="K48" i="23" s="1"/>
  <c r="P176" i="19"/>
  <c r="AP176" i="19"/>
  <c r="A178" i="23"/>
  <c r="K178" i="23" s="1"/>
  <c r="D134" i="7"/>
  <c r="E73" i="7"/>
  <c r="H73" i="7" s="1"/>
  <c r="A73" i="7" s="1"/>
  <c r="D43" i="7"/>
  <c r="C60" i="7"/>
  <c r="D123" i="7"/>
  <c r="E139" i="7"/>
  <c r="H139" i="7" s="1"/>
  <c r="A139" i="7" s="1"/>
  <c r="E26" i="7"/>
  <c r="H26" i="7" s="1"/>
  <c r="A26" i="7" s="1"/>
  <c r="E31" i="7"/>
  <c r="H31" i="7" s="1"/>
  <c r="A31" i="7" s="1"/>
  <c r="E78" i="7"/>
  <c r="H78" i="7" s="1"/>
  <c r="A78" i="7" s="1"/>
  <c r="E120" i="7"/>
  <c r="H120" i="7" s="1"/>
  <c r="A120" i="7" s="1"/>
  <c r="C74" i="7"/>
  <c r="C120" i="7"/>
  <c r="C13" i="7"/>
  <c r="D64" i="7"/>
  <c r="E105" i="7"/>
  <c r="H105" i="7" s="1"/>
  <c r="A105" i="7" s="1"/>
  <c r="C110" i="7"/>
  <c r="D13" i="8"/>
  <c r="D112" i="7"/>
  <c r="E27" i="7"/>
  <c r="H27" i="7" s="1"/>
  <c r="A27" i="7" s="1"/>
  <c r="D131" i="7"/>
  <c r="D30" i="7"/>
  <c r="R47" i="19"/>
  <c r="B47" i="19"/>
  <c r="I106" i="23"/>
  <c r="C69" i="23"/>
  <c r="U67" i="19"/>
  <c r="B116" i="19"/>
  <c r="R116" i="19"/>
  <c r="P109" i="19"/>
  <c r="AP109" i="19"/>
  <c r="A111" i="23"/>
  <c r="K111" i="23" s="1"/>
  <c r="Z175" i="19"/>
  <c r="P86" i="19"/>
  <c r="A88" i="23"/>
  <c r="K88" i="23" s="1"/>
  <c r="L88" i="23" s="1"/>
  <c r="M88" i="23" s="1"/>
  <c r="AP86" i="19"/>
  <c r="B117" i="19"/>
  <c r="R117" i="19"/>
  <c r="P155" i="19"/>
  <c r="AP155" i="19"/>
  <c r="A157" i="23"/>
  <c r="L90" i="23"/>
  <c r="M90" i="23" s="1"/>
  <c r="L137" i="23"/>
  <c r="M137" i="23" s="1"/>
  <c r="C124" i="23"/>
  <c r="U122" i="19"/>
  <c r="AP144" i="19"/>
  <c r="A146" i="23"/>
  <c r="K146" i="23" s="1"/>
  <c r="P144" i="19"/>
  <c r="B76" i="19"/>
  <c r="R76" i="19"/>
  <c r="I150" i="23"/>
  <c r="AP45" i="19"/>
  <c r="P45" i="19"/>
  <c r="A47" i="23"/>
  <c r="I58" i="23"/>
  <c r="U65" i="19"/>
  <c r="C67" i="23"/>
  <c r="C165" i="23"/>
  <c r="U163" i="19"/>
  <c r="I76" i="23"/>
  <c r="B132" i="19"/>
  <c r="R132" i="19"/>
  <c r="E111" i="7"/>
  <c r="H111" i="7" s="1"/>
  <c r="A111" i="7" s="1"/>
  <c r="C54" i="7"/>
  <c r="D94" i="7"/>
  <c r="D68" i="7"/>
  <c r="C92" i="7"/>
  <c r="E37" i="7"/>
  <c r="H37" i="7" s="1"/>
  <c r="A37" i="7" s="1"/>
  <c r="E35" i="7"/>
  <c r="H35" i="7" s="1"/>
  <c r="A35" i="7" s="1"/>
  <c r="C106" i="7"/>
  <c r="D37" i="7"/>
  <c r="D90" i="7"/>
  <c r="C111" i="7"/>
  <c r="E76" i="7"/>
  <c r="H76" i="7" s="1"/>
  <c r="A76" i="7" s="1"/>
  <c r="E53" i="7"/>
  <c r="H53" i="7" s="1"/>
  <c r="A53" i="7" s="1"/>
  <c r="D82" i="7"/>
  <c r="C41" i="7"/>
  <c r="C127" i="7"/>
  <c r="C47" i="7"/>
  <c r="D60" i="7"/>
  <c r="C40" i="7"/>
  <c r="C99" i="7"/>
  <c r="D118" i="7"/>
  <c r="AP124" i="19"/>
  <c r="P124" i="19"/>
  <c r="A126" i="23"/>
  <c r="K126" i="23" s="1"/>
  <c r="P84" i="19"/>
  <c r="A86" i="23"/>
  <c r="AP84" i="19"/>
  <c r="R164" i="19"/>
  <c r="B164" i="19"/>
  <c r="P49" i="19"/>
  <c r="AP49" i="19"/>
  <c r="A51" i="23"/>
  <c r="K51" i="23" s="1"/>
  <c r="I177" i="23"/>
  <c r="U149" i="19"/>
  <c r="C151" i="23"/>
  <c r="I131" i="23"/>
  <c r="U174" i="19"/>
  <c r="C176" i="23"/>
  <c r="R5" i="19"/>
  <c r="B5" i="19"/>
  <c r="U155" i="19"/>
  <c r="C157" i="23"/>
  <c r="U42" i="19"/>
  <c r="C44" i="23"/>
  <c r="L59" i="23"/>
  <c r="M59" i="23" s="1"/>
  <c r="L55" i="23"/>
  <c r="M55" i="23" s="1"/>
  <c r="P157" i="19"/>
  <c r="AP157" i="19"/>
  <c r="A159" i="23"/>
  <c r="K159" i="23" s="1"/>
  <c r="C138" i="23"/>
  <c r="U136" i="19"/>
  <c r="D15" i="7"/>
  <c r="B39" i="19"/>
  <c r="R39" i="19"/>
  <c r="C24" i="8" s="1"/>
  <c r="B12" i="19"/>
  <c r="R12" i="19"/>
  <c r="B30" i="19"/>
  <c r="R30" i="19"/>
  <c r="AP13" i="19"/>
  <c r="A15" i="23"/>
  <c r="K15" i="23" s="1"/>
  <c r="L15" i="23" s="1"/>
  <c r="M15" i="23" s="1"/>
  <c r="P13" i="19"/>
  <c r="C171" i="23"/>
  <c r="U169" i="19"/>
  <c r="C37" i="7"/>
  <c r="C81" i="7"/>
  <c r="D23" i="7"/>
  <c r="E62" i="7"/>
  <c r="H62" i="7" s="1"/>
  <c r="A62" i="7" s="1"/>
  <c r="D126" i="7"/>
  <c r="D96" i="7"/>
  <c r="C114" i="7"/>
  <c r="E99" i="7"/>
  <c r="H99" i="7" s="1"/>
  <c r="A99" i="7" s="1"/>
  <c r="D19" i="8"/>
  <c r="C65" i="7"/>
  <c r="C102" i="7"/>
  <c r="D139" i="7"/>
  <c r="C124" i="7"/>
  <c r="E98" i="7"/>
  <c r="H98" i="7" s="1"/>
  <c r="A98" i="7" s="1"/>
  <c r="C134" i="7"/>
  <c r="E13" i="7"/>
  <c r="H13" i="7" s="1"/>
  <c r="A13" i="7" s="1"/>
  <c r="E65" i="7"/>
  <c r="H65" i="7" s="1"/>
  <c r="A65" i="7" s="1"/>
  <c r="C15" i="7"/>
  <c r="E44" i="7"/>
  <c r="H44" i="7" s="1"/>
  <c r="A44" i="7" s="1"/>
  <c r="C19" i="7"/>
  <c r="C126" i="23"/>
  <c r="U124" i="19"/>
  <c r="U143" i="19"/>
  <c r="C145" i="23"/>
  <c r="P55" i="19"/>
  <c r="A57" i="23"/>
  <c r="K57" i="23" s="1"/>
  <c r="L57" i="23" s="1"/>
  <c r="M57" i="23" s="1"/>
  <c r="AP55" i="19"/>
  <c r="U6" i="19"/>
  <c r="C8" i="23"/>
  <c r="C51" i="23"/>
  <c r="U49" i="19"/>
  <c r="R119" i="19"/>
  <c r="B119" i="19"/>
  <c r="AP104" i="19"/>
  <c r="A106" i="23"/>
  <c r="K106" i="23" s="1"/>
  <c r="L106" i="23" s="1"/>
  <c r="M106" i="23" s="1"/>
  <c r="P104" i="19"/>
  <c r="B166" i="19"/>
  <c r="R166" i="19"/>
  <c r="C25" i="23"/>
  <c r="U23" i="19"/>
  <c r="A6" i="23"/>
  <c r="K6" i="23" s="1"/>
  <c r="L6" i="23" s="1"/>
  <c r="M6" i="23" s="1"/>
  <c r="P4" i="19"/>
  <c r="AP4" i="19"/>
  <c r="C116" i="23"/>
  <c r="U114" i="19"/>
  <c r="U127" i="19"/>
  <c r="C129" i="23"/>
  <c r="U57" i="19"/>
  <c r="C59" i="23"/>
  <c r="I109" i="23"/>
  <c r="C70" i="23"/>
  <c r="U68" i="19"/>
  <c r="I47" i="23"/>
  <c r="B42" i="19"/>
  <c r="R42" i="19"/>
  <c r="P31" i="19"/>
  <c r="AP31" i="19"/>
  <c r="A33" i="23"/>
  <c r="K33" i="23" s="1"/>
  <c r="C15" i="23"/>
  <c r="U13" i="19"/>
  <c r="P36" i="19"/>
  <c r="AP36" i="19"/>
  <c r="A38" i="23"/>
  <c r="C147" i="23"/>
  <c r="U145" i="19"/>
  <c r="R68" i="19"/>
  <c r="B68" i="19"/>
  <c r="C117" i="23"/>
  <c r="U115" i="19"/>
  <c r="P83" i="19"/>
  <c r="A85" i="23"/>
  <c r="AP83" i="19"/>
  <c r="I123" i="23"/>
  <c r="C26" i="23"/>
  <c r="U24" i="19"/>
  <c r="I160" i="23"/>
  <c r="I165" i="23"/>
  <c r="U25" i="19"/>
  <c r="C27" i="23"/>
  <c r="Z177" i="19"/>
  <c r="U97" i="19"/>
  <c r="C99" i="23"/>
  <c r="D49" i="7"/>
  <c r="E121" i="7"/>
  <c r="H121" i="7" s="1"/>
  <c r="A121" i="7" s="1"/>
  <c r="D36" i="7"/>
  <c r="E20" i="7"/>
  <c r="H20" i="7" s="1"/>
  <c r="A20" i="7" s="1"/>
  <c r="D79" i="7"/>
  <c r="D57" i="7"/>
  <c r="C119" i="7"/>
  <c r="D16" i="7"/>
  <c r="E128" i="7"/>
  <c r="H128" i="7" s="1"/>
  <c r="A128" i="7" s="1"/>
  <c r="C77" i="7"/>
  <c r="C87" i="7"/>
  <c r="E22" i="7"/>
  <c r="H22" i="7" s="1"/>
  <c r="A22" i="7" s="1"/>
  <c r="C43" i="7"/>
  <c r="D12" i="7"/>
  <c r="C133" i="7"/>
  <c r="D102" i="7"/>
  <c r="D99" i="7"/>
  <c r="E141" i="7"/>
  <c r="H141" i="7" s="1"/>
  <c r="A141" i="7" s="1"/>
  <c r="D46" i="7"/>
  <c r="E138" i="7"/>
  <c r="H138" i="7" s="1"/>
  <c r="A138" i="7" s="1"/>
  <c r="E92" i="7"/>
  <c r="H92" i="7" s="1"/>
  <c r="A92" i="7" s="1"/>
  <c r="U138" i="19"/>
  <c r="C140" i="23"/>
  <c r="I174" i="23"/>
  <c r="A71" i="23"/>
  <c r="K71" i="23" s="1"/>
  <c r="P69" i="19"/>
  <c r="AP69" i="19"/>
  <c r="C97" i="23"/>
  <c r="U95" i="19"/>
  <c r="I36" i="23"/>
  <c r="B6" i="19"/>
  <c r="R6" i="19"/>
  <c r="U86" i="19"/>
  <c r="C88" i="23"/>
  <c r="P15" i="19"/>
  <c r="A17" i="23"/>
  <c r="AP15" i="19"/>
  <c r="C68" i="23"/>
  <c r="U66" i="19"/>
  <c r="B15" i="19"/>
  <c r="R15" i="19"/>
  <c r="C141" i="23"/>
  <c r="U139" i="19"/>
  <c r="C137" i="23"/>
  <c r="U135" i="19"/>
  <c r="R70" i="19"/>
  <c r="B70" i="19"/>
  <c r="AP125" i="19"/>
  <c r="P125" i="19"/>
  <c r="A127" i="23"/>
  <c r="AP12" i="19"/>
  <c r="A14" i="23"/>
  <c r="P12" i="19"/>
  <c r="U157" i="19"/>
  <c r="C159" i="23"/>
  <c r="I16" i="23"/>
  <c r="C73" i="7"/>
  <c r="U33" i="19"/>
  <c r="C35" i="23"/>
  <c r="R32" i="19"/>
  <c r="B32" i="19"/>
  <c r="P101" i="19"/>
  <c r="A103" i="23"/>
  <c r="AP101" i="19"/>
  <c r="C80" i="23"/>
  <c r="U78" i="19"/>
  <c r="U46" i="19"/>
  <c r="C48" i="23"/>
  <c r="R63" i="19"/>
  <c r="B63" i="19"/>
  <c r="U176" i="19"/>
  <c r="C178" i="23"/>
  <c r="D15" i="8"/>
  <c r="D88" i="7"/>
  <c r="E80" i="7"/>
  <c r="H80" i="7" s="1"/>
  <c r="A80" i="7" s="1"/>
  <c r="C22" i="7"/>
  <c r="D103" i="7"/>
  <c r="E61" i="7"/>
  <c r="H61" i="7" s="1"/>
  <c r="A61" i="7" s="1"/>
  <c r="L13" i="8"/>
  <c r="D19" i="7"/>
  <c r="D117" i="7"/>
  <c r="D59" i="7"/>
  <c r="E81" i="7"/>
  <c r="H81" i="7" s="1"/>
  <c r="A81" i="7" s="1"/>
  <c r="D132" i="7"/>
  <c r="E41" i="7"/>
  <c r="H41" i="7" s="1"/>
  <c r="A41" i="7" s="1"/>
  <c r="C58" i="7"/>
  <c r="D47" i="7"/>
  <c r="D97" i="7"/>
  <c r="E129" i="7"/>
  <c r="H129" i="7" s="1"/>
  <c r="A129" i="7" s="1"/>
  <c r="C38" i="7"/>
  <c r="C136" i="7"/>
  <c r="C51" i="7"/>
  <c r="C55" i="7"/>
  <c r="C57" i="23"/>
  <c r="U55" i="19"/>
  <c r="L83" i="23"/>
  <c r="M83" i="23" s="1"/>
  <c r="AP20" i="19"/>
  <c r="P20" i="19"/>
  <c r="A22" i="23"/>
  <c r="K22" i="23" s="1"/>
  <c r="C164" i="23"/>
  <c r="U162" i="19"/>
  <c r="R11" i="19"/>
  <c r="B11" i="19"/>
  <c r="I170" i="23"/>
  <c r="I95" i="23"/>
  <c r="B75" i="19"/>
  <c r="R75" i="19"/>
  <c r="U109" i="19"/>
  <c r="C111" i="23"/>
  <c r="AP186" i="19"/>
  <c r="A188" i="23"/>
  <c r="P186" i="19"/>
  <c r="C6" i="23"/>
  <c r="U4" i="19"/>
  <c r="B161" i="19"/>
  <c r="R161" i="19"/>
  <c r="P89" i="19"/>
  <c r="AP89" i="19"/>
  <c r="A91" i="23"/>
  <c r="U144" i="19"/>
  <c r="C146" i="23"/>
  <c r="C55" i="23"/>
  <c r="U53" i="19"/>
  <c r="U170" i="19"/>
  <c r="C172" i="23"/>
  <c r="C127" i="23"/>
  <c r="U125" i="19"/>
  <c r="U12" i="19"/>
  <c r="C14" i="23"/>
  <c r="I179" i="23"/>
  <c r="P9" i="19"/>
  <c r="A11" i="23"/>
  <c r="AP9" i="19"/>
  <c r="B101" i="19"/>
  <c r="R101" i="19"/>
  <c r="C47" i="23"/>
  <c r="U45" i="19"/>
  <c r="U159" i="19"/>
  <c r="C161" i="23"/>
  <c r="V2" i="19"/>
  <c r="J4" i="23"/>
  <c r="B108" i="19"/>
  <c r="R108" i="19"/>
  <c r="I35" i="23"/>
  <c r="A21" i="23"/>
  <c r="AP19" i="19"/>
  <c r="P19" i="19"/>
  <c r="I133" i="23"/>
  <c r="P37" i="19"/>
  <c r="AP37" i="19"/>
  <c r="A39" i="23"/>
  <c r="K39" i="23" s="1"/>
  <c r="C142" i="7"/>
  <c r="D110" i="7"/>
  <c r="E140" i="7"/>
  <c r="H140" i="7" s="1"/>
  <c r="A140" i="7" s="1"/>
  <c r="D21" i="8"/>
  <c r="E90" i="7"/>
  <c r="H90" i="7" s="1"/>
  <c r="A90" i="7" s="1"/>
  <c r="D75" i="7"/>
  <c r="D121" i="7"/>
  <c r="C88" i="7"/>
  <c r="C42" i="7"/>
  <c r="D89" i="7"/>
  <c r="C101" i="7"/>
  <c r="C75" i="7"/>
  <c r="D17" i="7"/>
  <c r="E15" i="7"/>
  <c r="H15" i="7" s="1"/>
  <c r="A15" i="7" s="1"/>
  <c r="C96" i="7"/>
  <c r="D13" i="7"/>
  <c r="E79" i="7"/>
  <c r="H79" i="7" s="1"/>
  <c r="A79" i="7" s="1"/>
  <c r="E126" i="7"/>
  <c r="H126" i="7" s="1"/>
  <c r="E112" i="7"/>
  <c r="H112" i="7" s="1"/>
  <c r="A112" i="7" s="1"/>
  <c r="C93" i="7"/>
  <c r="U84" i="19"/>
  <c r="C86" i="23"/>
  <c r="U20" i="19"/>
  <c r="C22" i="23"/>
  <c r="A96" i="23"/>
  <c r="K96" i="23" s="1"/>
  <c r="P94" i="19"/>
  <c r="AP94" i="19"/>
  <c r="B137" i="19"/>
  <c r="R137" i="19"/>
  <c r="A94" i="23"/>
  <c r="K94" i="23" s="1"/>
  <c r="AP92" i="19"/>
  <c r="P92" i="19"/>
  <c r="L112" i="23"/>
  <c r="M112" i="23" s="1"/>
  <c r="B113" i="19"/>
  <c r="R113" i="19"/>
  <c r="A175" i="23"/>
  <c r="K175" i="23" s="1"/>
  <c r="AP173" i="19"/>
  <c r="P173" i="19"/>
  <c r="I5" i="23"/>
  <c r="AP14" i="19"/>
  <c r="P14" i="19"/>
  <c r="A16" i="23"/>
  <c r="B72" i="19"/>
  <c r="R72" i="19"/>
  <c r="AP5" i="19"/>
  <c r="P5" i="19"/>
  <c r="A7" i="23"/>
  <c r="K7" i="23" s="1"/>
  <c r="I147" i="23"/>
  <c r="I124" i="23"/>
  <c r="P48" i="19"/>
  <c r="A50" i="23"/>
  <c r="K50" i="23" s="1"/>
  <c r="AP48" i="19"/>
  <c r="P59" i="19"/>
  <c r="AP59" i="19"/>
  <c r="A61" i="23"/>
  <c r="C115" i="7"/>
  <c r="P74" i="19"/>
  <c r="A76" i="23"/>
  <c r="AP74" i="19"/>
  <c r="AP146" i="19"/>
  <c r="P146" i="19"/>
  <c r="A148" i="23"/>
  <c r="B156" i="19"/>
  <c r="R156" i="19"/>
  <c r="AP52" i="19"/>
  <c r="A54" i="23"/>
  <c r="K54" i="23" s="1"/>
  <c r="P52" i="19"/>
  <c r="C85" i="23"/>
  <c r="U83" i="19"/>
  <c r="C21" i="23"/>
  <c r="U19" i="19"/>
  <c r="B94" i="19"/>
  <c r="R94" i="19"/>
  <c r="I98" i="23"/>
  <c r="E131" i="7"/>
  <c r="H131" i="7" s="1"/>
  <c r="A131" i="7" s="1"/>
  <c r="C80" i="7"/>
  <c r="C116" i="7"/>
  <c r="D48" i="7"/>
  <c r="C29" i="7"/>
  <c r="C91" i="7"/>
  <c r="D26" i="7"/>
  <c r="E91" i="7"/>
  <c r="H91" i="7" s="1"/>
  <c r="A91" i="7" s="1"/>
  <c r="E127" i="7"/>
  <c r="H127" i="7" s="1"/>
  <c r="A127" i="7" s="1"/>
  <c r="C131" i="7"/>
  <c r="E11" i="7"/>
  <c r="H11" i="7" s="1"/>
  <c r="A11" i="7" s="1"/>
  <c r="D125" i="7"/>
  <c r="D14" i="7"/>
  <c r="D56" i="7"/>
  <c r="C56" i="7"/>
  <c r="D61" i="7"/>
  <c r="C36" i="7"/>
  <c r="E102" i="7"/>
  <c r="H102" i="7" s="1"/>
  <c r="A102" i="7" s="1"/>
  <c r="E114" i="7"/>
  <c r="H114" i="7" s="1"/>
  <c r="A114" i="7" s="1"/>
  <c r="I185" i="23"/>
  <c r="AP93" i="19"/>
  <c r="A95" i="23"/>
  <c r="P93" i="19"/>
  <c r="AP22" i="19"/>
  <c r="P22" i="19"/>
  <c r="A24" i="23"/>
  <c r="C106" i="23"/>
  <c r="U104" i="19"/>
  <c r="C119" i="23"/>
  <c r="U117" i="19"/>
  <c r="U92" i="19"/>
  <c r="C94" i="23"/>
  <c r="I105" i="23"/>
  <c r="C188" i="23"/>
  <c r="U186" i="19"/>
  <c r="C112" i="23"/>
  <c r="U110" i="19"/>
  <c r="C90" i="23"/>
  <c r="U88" i="19"/>
  <c r="I176" i="23"/>
  <c r="P107" i="19"/>
  <c r="AP107" i="19"/>
  <c r="A109" i="23"/>
  <c r="C175" i="23"/>
  <c r="U173" i="19"/>
  <c r="U32" i="19"/>
  <c r="C34" i="23"/>
  <c r="A125" i="23"/>
  <c r="K125" i="23" s="1"/>
  <c r="P123" i="19"/>
  <c r="AP123" i="19"/>
  <c r="C16" i="23"/>
  <c r="U14" i="19"/>
  <c r="I90" i="23"/>
  <c r="AP108" i="19"/>
  <c r="P108" i="19"/>
  <c r="A110" i="23"/>
  <c r="P171" i="19"/>
  <c r="A173" i="23"/>
  <c r="AP171" i="19"/>
  <c r="R146" i="19"/>
  <c r="B146" i="19"/>
  <c r="U98" i="19"/>
  <c r="C100" i="23"/>
  <c r="C33" i="23"/>
  <c r="U31" i="19"/>
  <c r="R147" i="19"/>
  <c r="B147" i="19"/>
  <c r="R9" i="19"/>
  <c r="B9" i="19"/>
  <c r="U36" i="19"/>
  <c r="C38" i="23"/>
  <c r="D107" i="7"/>
  <c r="D41" i="7"/>
  <c r="C107" i="7"/>
  <c r="D24" i="7"/>
  <c r="E124" i="7"/>
  <c r="H124" i="7" s="1"/>
  <c r="A124" i="7" s="1"/>
  <c r="E142" i="7"/>
  <c r="H142" i="7" s="1"/>
  <c r="A142" i="7" s="1"/>
  <c r="D62" i="7"/>
  <c r="E137" i="7"/>
  <c r="H137" i="7" s="1"/>
  <c r="A137" i="7" s="1"/>
  <c r="C121" i="7"/>
  <c r="D100" i="7"/>
  <c r="C59" i="7"/>
  <c r="D120" i="7"/>
  <c r="C71" i="7"/>
  <c r="C109" i="7"/>
  <c r="C82" i="7"/>
  <c r="E88" i="7"/>
  <c r="H88" i="7" s="1"/>
  <c r="A88" i="7" s="1"/>
  <c r="C50" i="7"/>
  <c r="D31" i="7"/>
  <c r="D138" i="7"/>
  <c r="E42" i="7"/>
  <c r="H42" i="7" s="1"/>
  <c r="A42" i="7" s="1"/>
  <c r="B29" i="19"/>
  <c r="R29" i="19"/>
  <c r="AP156" i="19"/>
  <c r="P156" i="19"/>
  <c r="A158" i="23"/>
  <c r="C77" i="23"/>
  <c r="U75" i="19"/>
  <c r="U69" i="19"/>
  <c r="C71" i="23"/>
  <c r="U22" i="19"/>
  <c r="C24" i="23"/>
  <c r="U164" i="19"/>
  <c r="C166" i="23"/>
  <c r="R78" i="19"/>
  <c r="B78" i="19"/>
  <c r="B97" i="19"/>
  <c r="R97" i="19"/>
  <c r="A52" i="23"/>
  <c r="K52" i="23" s="1"/>
  <c r="P50" i="19"/>
  <c r="AP50" i="19"/>
  <c r="I94" i="23"/>
  <c r="C17" i="23"/>
  <c r="U15" i="19"/>
  <c r="B135" i="19"/>
  <c r="R135" i="19"/>
  <c r="B114" i="19"/>
  <c r="R114" i="19"/>
  <c r="AP10" i="19"/>
  <c r="A12" i="23"/>
  <c r="P10" i="19"/>
  <c r="P166" i="19"/>
  <c r="AP166" i="19"/>
  <c r="A168" i="23"/>
  <c r="K168" i="23" s="1"/>
  <c r="AP62" i="19"/>
  <c r="A64" i="23"/>
  <c r="P62" i="19"/>
  <c r="P76" i="19"/>
  <c r="A78" i="23"/>
  <c r="K78" i="23" s="1"/>
  <c r="AP76" i="19"/>
  <c r="B16" i="19"/>
  <c r="R16" i="19"/>
  <c r="R111" i="19"/>
  <c r="B111" i="19"/>
  <c r="U146" i="19"/>
  <c r="C148" i="23"/>
  <c r="R91" i="19"/>
  <c r="B91" i="19"/>
  <c r="I38" i="23"/>
  <c r="P17" i="19"/>
  <c r="AP17" i="19"/>
  <c r="A19" i="23"/>
  <c r="K19" i="23" s="1"/>
  <c r="U101" i="19"/>
  <c r="C103" i="23"/>
  <c r="P91" i="19"/>
  <c r="A93" i="23"/>
  <c r="K93" i="23" s="1"/>
  <c r="AP91" i="19"/>
  <c r="AP120" i="19"/>
  <c r="P120" i="19"/>
  <c r="A122" i="23"/>
  <c r="AP27" i="19"/>
  <c r="P27" i="19"/>
  <c r="A29" i="23"/>
  <c r="I54" i="23"/>
  <c r="P183" i="19"/>
  <c r="A185" i="23"/>
  <c r="AP183" i="19"/>
  <c r="L100" i="23"/>
  <c r="M100" i="23" s="1"/>
  <c r="D58" i="7"/>
  <c r="C62" i="7"/>
  <c r="D17" i="8"/>
  <c r="E25" i="7"/>
  <c r="H25" i="7" s="1"/>
  <c r="A25" i="7" s="1"/>
  <c r="D44" i="7"/>
  <c r="E16" i="7"/>
  <c r="H16" i="7" s="1"/>
  <c r="A16" i="7" s="1"/>
  <c r="D80" i="7"/>
  <c r="C18" i="7"/>
  <c r="C140" i="7"/>
  <c r="E23" i="7"/>
  <c r="H23" i="7" s="1"/>
  <c r="A23" i="7" s="1"/>
  <c r="D137" i="7"/>
  <c r="E136" i="7"/>
  <c r="H136" i="7" s="1"/>
  <c r="A136" i="7" s="1"/>
  <c r="E125" i="7"/>
  <c r="H125" i="7" s="1"/>
  <c r="A125" i="7" s="1"/>
  <c r="C70" i="7"/>
  <c r="E48" i="7"/>
  <c r="H48" i="7" s="1"/>
  <c r="A48" i="7" s="1"/>
  <c r="D85" i="7"/>
  <c r="E32" i="7"/>
  <c r="H32" i="7" s="1"/>
  <c r="A32" i="7" s="1"/>
  <c r="E130" i="7"/>
  <c r="H130" i="7" s="1"/>
  <c r="A130" i="7" s="1"/>
  <c r="E17" i="7"/>
  <c r="H17" i="7" s="1"/>
  <c r="A17" i="7" s="1"/>
  <c r="E115" i="7"/>
  <c r="H115" i="7" s="1"/>
  <c r="A115" i="7" s="1"/>
  <c r="C95" i="23"/>
  <c r="U93" i="19"/>
  <c r="AP87" i="19"/>
  <c r="P87" i="19"/>
  <c r="A89" i="23"/>
  <c r="K89" i="23" s="1"/>
  <c r="L184" i="23"/>
  <c r="M184" i="23" s="1"/>
  <c r="R28" i="19"/>
  <c r="B28" i="19"/>
  <c r="I6" i="23"/>
  <c r="AP134" i="19"/>
  <c r="P134" i="19"/>
  <c r="A136" i="23"/>
  <c r="C150" i="23"/>
  <c r="U148" i="19"/>
  <c r="A5" i="23"/>
  <c r="K5" i="23" s="1"/>
  <c r="AP3" i="19"/>
  <c r="P3" i="19"/>
  <c r="B64" i="19"/>
  <c r="R64" i="19"/>
  <c r="C91" i="23"/>
  <c r="U89" i="19"/>
  <c r="P35" i="19"/>
  <c r="AP35" i="19"/>
  <c r="A37" i="23"/>
  <c r="K37" i="23" s="1"/>
  <c r="U10" i="19"/>
  <c r="C12" i="23"/>
  <c r="I75" i="23"/>
  <c r="U62" i="19"/>
  <c r="C64" i="23"/>
  <c r="C78" i="23"/>
  <c r="U76" i="19"/>
  <c r="I181" i="23"/>
  <c r="A144" i="23"/>
  <c r="K144" i="23" s="1"/>
  <c r="P142" i="19"/>
  <c r="AP142" i="19"/>
  <c r="D25" i="7"/>
  <c r="L143" i="23"/>
  <c r="M143" i="23" s="1"/>
  <c r="A123" i="23"/>
  <c r="AP121" i="19"/>
  <c r="P121" i="19"/>
  <c r="A79" i="23"/>
  <c r="AP77" i="19"/>
  <c r="P77" i="19"/>
  <c r="U133" i="19"/>
  <c r="C135" i="23"/>
  <c r="C39" i="23"/>
  <c r="U37" i="19"/>
  <c r="U183" i="19"/>
  <c r="C185" i="23"/>
  <c r="B169" i="19"/>
  <c r="R169" i="19"/>
  <c r="D87" i="7"/>
  <c r="D72" i="7"/>
  <c r="E103" i="7"/>
  <c r="H103" i="7" s="1"/>
  <c r="A103" i="7" s="1"/>
  <c r="E38" i="7"/>
  <c r="H38" i="7" s="1"/>
  <c r="A38" i="7" s="1"/>
  <c r="C78" i="7"/>
  <c r="D42" i="7"/>
  <c r="C30" i="7"/>
  <c r="C28" i="7"/>
  <c r="C12" i="7"/>
  <c r="D27" i="7"/>
  <c r="D140" i="7"/>
  <c r="D18" i="7"/>
  <c r="E87" i="7"/>
  <c r="H87" i="7" s="1"/>
  <c r="A87" i="7" s="1"/>
  <c r="D65" i="7"/>
  <c r="E132" i="7"/>
  <c r="H132" i="7" s="1"/>
  <c r="A132" i="7" s="1"/>
  <c r="E133" i="7"/>
  <c r="H133" i="7" s="1"/>
  <c r="A133" i="7" s="1"/>
  <c r="L12" i="8"/>
  <c r="D16" i="8"/>
  <c r="E57" i="7"/>
  <c r="H57" i="7" s="1"/>
  <c r="A57" i="7" s="1"/>
  <c r="E83" i="7"/>
  <c r="H83" i="7" s="1"/>
  <c r="A83" i="7" s="1"/>
  <c r="C49" i="23"/>
  <c r="U47" i="19"/>
  <c r="B24" i="19"/>
  <c r="R24" i="19"/>
  <c r="C96" i="23"/>
  <c r="U94" i="19"/>
  <c r="Z160" i="19"/>
  <c r="R37" i="19"/>
  <c r="B37" i="19"/>
  <c r="AP168" i="19"/>
  <c r="A170" i="23"/>
  <c r="K170" i="23" s="1"/>
  <c r="L170" i="23" s="1"/>
  <c r="M170" i="23" s="1"/>
  <c r="P168" i="19"/>
  <c r="R22" i="19"/>
  <c r="B22" i="19"/>
  <c r="U128" i="19"/>
  <c r="C130" i="23"/>
  <c r="I52" i="23"/>
  <c r="P29" i="19"/>
  <c r="A31" i="23"/>
  <c r="AP29" i="19"/>
  <c r="R186" i="19"/>
  <c r="B186" i="19"/>
  <c r="A182" i="23"/>
  <c r="P180" i="19"/>
  <c r="AP180" i="19"/>
  <c r="AP44" i="19"/>
  <c r="A46" i="23"/>
  <c r="P44" i="19"/>
  <c r="C132" i="23"/>
  <c r="U130" i="19"/>
  <c r="U5" i="19"/>
  <c r="C7" i="23"/>
  <c r="I141" i="23"/>
  <c r="D141" i="23" s="1"/>
  <c r="U48" i="19"/>
  <c r="C50" i="23"/>
  <c r="D119" i="7"/>
  <c r="B80" i="19"/>
  <c r="R80" i="19"/>
  <c r="I61" i="23"/>
  <c r="R90" i="19"/>
  <c r="B90" i="19"/>
  <c r="P172" i="19"/>
  <c r="AP172" i="19"/>
  <c r="A174" i="23"/>
  <c r="J190" i="23"/>
  <c r="V188" i="19"/>
  <c r="C54" i="23"/>
  <c r="U52" i="19"/>
  <c r="A134" i="23"/>
  <c r="AP132" i="19"/>
  <c r="P132" i="19"/>
  <c r="D32" i="7"/>
  <c r="C72" i="7"/>
  <c r="C39" i="7"/>
  <c r="E40" i="7"/>
  <c r="H40" i="7" s="1"/>
  <c r="A40" i="7" s="1"/>
  <c r="E123" i="7"/>
  <c r="H123" i="7" s="1"/>
  <c r="A123" i="7" s="1"/>
  <c r="C130" i="7"/>
  <c r="D133" i="7"/>
  <c r="C139" i="7"/>
  <c r="E49" i="7"/>
  <c r="H49" i="7" s="1"/>
  <c r="A49" i="7" s="1"/>
  <c r="E28" i="7"/>
  <c r="H28" i="7" s="1"/>
  <c r="A28" i="7" s="1"/>
  <c r="L14" i="8"/>
  <c r="D66" i="7"/>
  <c r="D122" i="7"/>
  <c r="E68" i="7"/>
  <c r="H68" i="7" s="1"/>
  <c r="A68" i="7" s="1"/>
  <c r="D83" i="7"/>
  <c r="E55" i="7"/>
  <c r="H55" i="7" s="1"/>
  <c r="A55" i="7" s="1"/>
  <c r="C76" i="7"/>
  <c r="E50" i="7"/>
  <c r="H50" i="7" s="1"/>
  <c r="A50" i="7" s="1"/>
  <c r="D113" i="7"/>
  <c r="E97" i="7"/>
  <c r="H97" i="7" s="1"/>
  <c r="A97" i="7" s="1"/>
  <c r="C184" i="23"/>
  <c r="U182" i="19"/>
  <c r="B20" i="19"/>
  <c r="R20" i="19"/>
  <c r="I20" i="23"/>
  <c r="I57" i="23"/>
  <c r="AP72" i="19"/>
  <c r="A74" i="23"/>
  <c r="P72" i="19"/>
  <c r="AP8" i="19"/>
  <c r="P8" i="19"/>
  <c r="A10" i="23"/>
  <c r="K10" i="23" s="1"/>
  <c r="R184" i="19"/>
  <c r="B184" i="19"/>
  <c r="C109" i="23"/>
  <c r="U107" i="19"/>
  <c r="B51" i="19"/>
  <c r="R51" i="19"/>
  <c r="U123" i="19"/>
  <c r="C125" i="23"/>
  <c r="I167" i="23"/>
  <c r="C110" i="23"/>
  <c r="U108" i="19"/>
  <c r="U171" i="19"/>
  <c r="C173" i="23"/>
  <c r="U111" i="19"/>
  <c r="C113" i="23"/>
  <c r="R53" i="19"/>
  <c r="B53" i="19"/>
  <c r="U74" i="19"/>
  <c r="C76" i="23"/>
  <c r="L169" i="23"/>
  <c r="M169" i="23" s="1"/>
  <c r="AP56" i="19"/>
  <c r="P56" i="19"/>
  <c r="A58" i="23"/>
  <c r="B123" i="19"/>
  <c r="R123" i="19"/>
  <c r="P151" i="19"/>
  <c r="A153" i="23"/>
  <c r="AP151" i="19"/>
  <c r="A160" i="23"/>
  <c r="K160" i="23" s="1"/>
  <c r="AP158" i="19"/>
  <c r="P158" i="19"/>
  <c r="I161" i="23"/>
  <c r="C93" i="23"/>
  <c r="U91" i="19"/>
  <c r="C122" i="23"/>
  <c r="U120" i="19"/>
  <c r="B84" i="19"/>
  <c r="R84" i="19"/>
  <c r="D76" i="7"/>
  <c r="C17" i="7"/>
  <c r="E93" i="7"/>
  <c r="H93" i="7" s="1"/>
  <c r="A93" i="7" s="1"/>
  <c r="E56" i="7"/>
  <c r="H56" i="7" s="1"/>
  <c r="A56" i="7" s="1"/>
  <c r="D73" i="7"/>
  <c r="E94" i="7"/>
  <c r="H94" i="7" s="1"/>
  <c r="A94" i="7" s="1"/>
  <c r="D52" i="7"/>
  <c r="D105" i="7"/>
  <c r="C35" i="7"/>
  <c r="C108" i="7"/>
  <c r="D45" i="7"/>
  <c r="D70" i="7"/>
  <c r="C48" i="7"/>
  <c r="C79" i="7"/>
  <c r="E47" i="7"/>
  <c r="H47" i="7" s="1"/>
  <c r="A47" i="7" s="1"/>
  <c r="E117" i="7"/>
  <c r="H117" i="7" s="1"/>
  <c r="A117" i="7" s="1"/>
  <c r="E21" i="7"/>
  <c r="H21" i="7" s="1"/>
  <c r="A21" i="7" s="1"/>
  <c r="D129" i="7"/>
  <c r="C66" i="7"/>
  <c r="D69" i="7"/>
  <c r="U156" i="19"/>
  <c r="C158" i="23"/>
  <c r="AP118" i="19"/>
  <c r="P118" i="19"/>
  <c r="A120" i="23"/>
  <c r="I107" i="23"/>
  <c r="C170" i="23"/>
  <c r="U168" i="19"/>
  <c r="I132" i="23"/>
  <c r="AP64" i="19"/>
  <c r="P64" i="19"/>
  <c r="A66" i="23"/>
  <c r="K66" i="23" s="1"/>
  <c r="U50" i="19"/>
  <c r="C52" i="23"/>
  <c r="A180" i="23"/>
  <c r="AP178" i="19"/>
  <c r="P178" i="19"/>
  <c r="B127" i="19"/>
  <c r="R127" i="19"/>
  <c r="A187" i="23"/>
  <c r="K187" i="23" s="1"/>
  <c r="AP185" i="19"/>
  <c r="P185" i="19"/>
  <c r="U3" i="19"/>
  <c r="C5" i="23"/>
  <c r="R71" i="19"/>
  <c r="B71" i="19"/>
  <c r="I69" i="23"/>
  <c r="P43" i="19"/>
  <c r="A45" i="23"/>
  <c r="AP43" i="19"/>
  <c r="B109" i="19"/>
  <c r="R109" i="19"/>
  <c r="C168" i="23"/>
  <c r="U166" i="19"/>
  <c r="P179" i="19"/>
  <c r="A181" i="23"/>
  <c r="K181" i="23" s="1"/>
  <c r="AP179" i="19"/>
  <c r="R157" i="19"/>
  <c r="B157" i="19"/>
  <c r="I68" i="23"/>
  <c r="C179" i="23"/>
  <c r="U177" i="19"/>
  <c r="AP54" i="19"/>
  <c r="P54" i="19"/>
  <c r="A56" i="23"/>
  <c r="K56" i="23" s="1"/>
  <c r="R62" i="19"/>
  <c r="B62" i="19"/>
  <c r="C79" i="23"/>
  <c r="U77" i="19"/>
  <c r="U172" i="19"/>
  <c r="C174" i="23"/>
  <c r="I178" i="23"/>
  <c r="R153" i="19"/>
  <c r="B153" i="19"/>
  <c r="C19" i="23"/>
  <c r="U17" i="19"/>
  <c r="I180" i="23"/>
  <c r="AP28" i="19"/>
  <c r="A30" i="23"/>
  <c r="P28" i="19"/>
  <c r="A84" i="23"/>
  <c r="P82" i="19"/>
  <c r="AP82" i="19"/>
  <c r="A114" i="23"/>
  <c r="AP112" i="19"/>
  <c r="P112" i="19"/>
  <c r="U27" i="19"/>
  <c r="C29" i="23"/>
  <c r="R120" i="19"/>
  <c r="B120" i="19"/>
  <c r="C26" i="7"/>
  <c r="E46" i="7"/>
  <c r="H46" i="7" s="1"/>
  <c r="A46" i="7" s="1"/>
  <c r="C126" i="7"/>
  <c r="C64" i="7"/>
  <c r="E85" i="7"/>
  <c r="H85" i="7" s="1"/>
  <c r="A85" i="7" s="1"/>
  <c r="C61" i="7"/>
  <c r="E89" i="7"/>
  <c r="H89" i="7" s="1"/>
  <c r="A89" i="7" s="1"/>
  <c r="D81" i="7"/>
  <c r="D53" i="7"/>
  <c r="E106" i="7"/>
  <c r="H106" i="7" s="1"/>
  <c r="A106" i="7" s="1"/>
  <c r="D63" i="7"/>
  <c r="C31" i="7"/>
  <c r="C53" i="7"/>
  <c r="E19" i="7"/>
  <c r="H19" i="7" s="1"/>
  <c r="A19" i="7" s="1"/>
  <c r="C90" i="7"/>
  <c r="D29" i="7"/>
  <c r="E12" i="7"/>
  <c r="H12" i="7" s="1"/>
  <c r="A12" i="7" s="1"/>
  <c r="E116" i="7"/>
  <c r="H116" i="7" s="1"/>
  <c r="A116" i="7" s="1"/>
  <c r="E84" i="7"/>
  <c r="H84" i="7" s="1"/>
  <c r="A84" i="7" s="1"/>
  <c r="C33" i="7"/>
  <c r="C89" i="7"/>
  <c r="R124" i="19"/>
  <c r="B124" i="19"/>
  <c r="C120" i="23"/>
  <c r="U118" i="19"/>
  <c r="C89" i="23"/>
  <c r="U87" i="19"/>
  <c r="U160" i="19"/>
  <c r="C162" i="23"/>
  <c r="R7" i="19"/>
  <c r="B7" i="19"/>
  <c r="U175" i="19"/>
  <c r="C177" i="23"/>
  <c r="U134" i="19"/>
  <c r="C136" i="23"/>
  <c r="C180" i="23"/>
  <c r="U178" i="19"/>
  <c r="P184" i="19"/>
  <c r="AP184" i="19"/>
  <c r="A186" i="23"/>
  <c r="K186" i="23" s="1"/>
  <c r="U70" i="19"/>
  <c r="C72" i="23"/>
  <c r="C187" i="23"/>
  <c r="U185" i="19"/>
  <c r="C10" i="23"/>
  <c r="U8" i="19"/>
  <c r="C46" i="23"/>
  <c r="U44" i="19"/>
  <c r="U35" i="19"/>
  <c r="C37" i="23"/>
  <c r="AP147" i="19"/>
  <c r="P147" i="19"/>
  <c r="A149" i="23"/>
  <c r="K149" i="23" s="1"/>
  <c r="B23" i="19"/>
  <c r="R23" i="19"/>
  <c r="I23" i="23"/>
  <c r="A101" i="23"/>
  <c r="K101" i="23" s="1"/>
  <c r="AP99" i="19"/>
  <c r="P99" i="19"/>
  <c r="B173" i="19"/>
  <c r="R173" i="19"/>
  <c r="U121" i="19"/>
  <c r="C123" i="23"/>
  <c r="D34" i="7"/>
  <c r="D20" i="7"/>
  <c r="E14" i="7"/>
  <c r="H14" i="7" s="1"/>
  <c r="A14" i="7" s="1"/>
  <c r="E24" i="7"/>
  <c r="H24" i="7" s="1"/>
  <c r="A24" i="7" s="1"/>
  <c r="E109" i="7"/>
  <c r="H109" i="7" s="1"/>
  <c r="A109" i="7" s="1"/>
  <c r="E52" i="7"/>
  <c r="H52" i="7" s="1"/>
  <c r="A52" i="7" s="1"/>
  <c r="D136" i="7"/>
  <c r="E54" i="7"/>
  <c r="H54" i="7" s="1"/>
  <c r="A54" i="7" s="1"/>
  <c r="C97" i="7"/>
  <c r="D54" i="7"/>
  <c r="C25" i="7"/>
  <c r="C63" i="7"/>
  <c r="D115" i="7"/>
  <c r="D71" i="7"/>
  <c r="E45" i="7"/>
  <c r="H45" i="7" s="1"/>
  <c r="A45" i="7" s="1"/>
  <c r="C84" i="7"/>
  <c r="C95" i="7"/>
  <c r="C20" i="7"/>
  <c r="E82" i="7"/>
  <c r="H82" i="7" s="1"/>
  <c r="A82" i="7" s="1"/>
  <c r="D18" i="8"/>
  <c r="D93" i="7"/>
  <c r="AP119" i="19"/>
  <c r="P119" i="19"/>
  <c r="A121" i="23"/>
  <c r="I144" i="23"/>
  <c r="AP131" i="19"/>
  <c r="P131" i="19"/>
  <c r="A133" i="23"/>
  <c r="K133" i="23" s="1"/>
  <c r="P129" i="19"/>
  <c r="AP129" i="19"/>
  <c r="A131" i="23"/>
  <c r="K131" i="23" s="1"/>
  <c r="I88" i="23"/>
  <c r="C31" i="23"/>
  <c r="U29" i="19"/>
  <c r="B155" i="19"/>
  <c r="R155" i="19"/>
  <c r="C74" i="23"/>
  <c r="U72" i="19"/>
  <c r="C198" i="26"/>
  <c r="AS190" i="19"/>
  <c r="U184" i="19"/>
  <c r="C186" i="23"/>
  <c r="U152" i="19"/>
  <c r="C154" i="23"/>
  <c r="C182" i="23"/>
  <c r="U180" i="19"/>
  <c r="B126" i="19"/>
  <c r="R126" i="19"/>
  <c r="A152" i="23"/>
  <c r="K152" i="23" s="1"/>
  <c r="AP150" i="19"/>
  <c r="P150" i="19"/>
  <c r="C60" i="23"/>
  <c r="U58" i="19"/>
  <c r="AP153" i="19"/>
  <c r="A155" i="23"/>
  <c r="P153" i="19"/>
  <c r="D86" i="7"/>
  <c r="C68" i="7"/>
  <c r="C14" i="7"/>
  <c r="E118" i="7"/>
  <c r="H118" i="7" s="1"/>
  <c r="A118" i="7" s="1"/>
  <c r="AP113" i="19"/>
  <c r="P113" i="19"/>
  <c r="A115" i="23"/>
  <c r="K115" i="23" s="1"/>
  <c r="R182" i="19"/>
  <c r="B182" i="19"/>
  <c r="A107" i="23"/>
  <c r="P105" i="19"/>
  <c r="AP105" i="19"/>
  <c r="U7" i="19"/>
  <c r="C9" i="23"/>
  <c r="I83" i="23"/>
  <c r="P26" i="19"/>
  <c r="AP26" i="19"/>
  <c r="A28" i="23"/>
  <c r="K28" i="23" s="1"/>
  <c r="A20" i="23"/>
  <c r="K20" i="23" s="1"/>
  <c r="P18" i="19"/>
  <c r="AP18" i="19"/>
  <c r="C66" i="23"/>
  <c r="U64" i="19"/>
  <c r="R110" i="19"/>
  <c r="B110" i="19"/>
  <c r="B69" i="19"/>
  <c r="R69" i="19"/>
  <c r="I120" i="23"/>
  <c r="AT190" i="19"/>
  <c r="AR190" i="19" s="1"/>
  <c r="G198" i="26"/>
  <c r="B150" i="19"/>
  <c r="R150" i="19"/>
  <c r="I56" i="23"/>
  <c r="U179" i="19"/>
  <c r="C181" i="23"/>
  <c r="I189" i="23"/>
  <c r="D189" i="23" s="1"/>
  <c r="P126" i="19"/>
  <c r="A128" i="23"/>
  <c r="AP126" i="19"/>
  <c r="Z99" i="19"/>
  <c r="I190" i="23"/>
  <c r="U132" i="19"/>
  <c r="C134" i="23"/>
  <c r="C23" i="7"/>
  <c r="C58" i="23"/>
  <c r="U56" i="19"/>
  <c r="C56" i="23"/>
  <c r="U54" i="19"/>
  <c r="B10" i="19"/>
  <c r="R10" i="19"/>
  <c r="P165" i="19"/>
  <c r="AP165" i="19"/>
  <c r="A167" i="23"/>
  <c r="K167" i="23" s="1"/>
  <c r="C153" i="23"/>
  <c r="U151" i="19"/>
  <c r="U158" i="19"/>
  <c r="C160" i="23"/>
  <c r="C83" i="23"/>
  <c r="U81" i="19"/>
  <c r="U82" i="19"/>
  <c r="C84" i="23"/>
  <c r="C114" i="23"/>
  <c r="U112" i="19"/>
  <c r="I102" i="23"/>
  <c r="I21" i="23"/>
  <c r="I108" i="23"/>
  <c r="C98" i="7"/>
  <c r="E39" i="7"/>
  <c r="H39" i="7" s="1"/>
  <c r="A39" i="7" s="1"/>
  <c r="D40" i="7"/>
  <c r="E107" i="7"/>
  <c r="H107" i="7" s="1"/>
  <c r="A107" i="7" s="1"/>
  <c r="E18" i="7"/>
  <c r="H18" i="7" s="1"/>
  <c r="A18" i="7" s="1"/>
  <c r="E77" i="7"/>
  <c r="H77" i="7" s="1"/>
  <c r="A77" i="7" s="1"/>
  <c r="D14" i="8"/>
  <c r="C129" i="7"/>
  <c r="D108" i="7"/>
  <c r="E71" i="7"/>
  <c r="H71" i="7" s="1"/>
  <c r="A71" i="7" s="1"/>
  <c r="E34" i="7"/>
  <c r="H34" i="7" s="1"/>
  <c r="A34" i="7" s="1"/>
  <c r="E74" i="7"/>
  <c r="H74" i="7" s="1"/>
  <c r="A74" i="7" s="1"/>
  <c r="C123" i="7"/>
  <c r="C85" i="7"/>
  <c r="C21" i="7"/>
  <c r="E108" i="7"/>
  <c r="H108" i="7" s="1"/>
  <c r="A108" i="7" s="1"/>
  <c r="D109" i="7"/>
  <c r="D91" i="7"/>
  <c r="C138" i="7"/>
  <c r="AP11" i="19"/>
  <c r="P11" i="19"/>
  <c r="A13" i="23"/>
  <c r="C133" i="23"/>
  <c r="U131" i="19"/>
  <c r="A156" i="23"/>
  <c r="AP154" i="19"/>
  <c r="P154" i="19"/>
  <c r="I114" i="23"/>
  <c r="AP137" i="19"/>
  <c r="P137" i="19"/>
  <c r="A139" i="23"/>
  <c r="K139" i="23" s="1"/>
  <c r="L139" i="23" s="1"/>
  <c r="M139" i="23" s="1"/>
  <c r="C87" i="23"/>
  <c r="U85" i="19"/>
  <c r="B152" i="19"/>
  <c r="R152" i="19"/>
  <c r="L69" i="23"/>
  <c r="M69" i="23" s="1"/>
  <c r="P30" i="19"/>
  <c r="A32" i="23"/>
  <c r="AP30" i="19"/>
  <c r="C45" i="23"/>
  <c r="U43" i="19"/>
  <c r="C152" i="23"/>
  <c r="U150" i="19"/>
  <c r="L150" i="23"/>
  <c r="M150" i="23" s="1"/>
  <c r="I45" i="23"/>
  <c r="U99" i="19"/>
  <c r="C101" i="23"/>
  <c r="B48" i="19"/>
  <c r="R48" i="19"/>
  <c r="U79" i="19"/>
  <c r="C81" i="23"/>
  <c r="C144" i="23"/>
  <c r="U142" i="19"/>
  <c r="D11" i="7"/>
  <c r="E59" i="7"/>
  <c r="H59" i="7" s="1"/>
  <c r="A59" i="7" s="1"/>
  <c r="D101" i="7"/>
  <c r="E101" i="7"/>
  <c r="H101" i="7" s="1"/>
  <c r="A101" i="7" s="1"/>
  <c r="D111" i="7"/>
  <c r="C137" i="7"/>
  <c r="E33" i="7"/>
  <c r="H33" i="7" s="1"/>
  <c r="A33" i="7" s="1"/>
  <c r="C34" i="7"/>
  <c r="D50" i="7"/>
  <c r="D141" i="7"/>
  <c r="C27" i="7"/>
  <c r="E122" i="7"/>
  <c r="H122" i="7" s="1"/>
  <c r="A122" i="7" s="1"/>
  <c r="D35" i="7"/>
  <c r="E113" i="7"/>
  <c r="H113" i="7" s="1"/>
  <c r="A113" i="7" s="1"/>
  <c r="C125" i="7"/>
  <c r="E75" i="7"/>
  <c r="H75" i="7" s="1"/>
  <c r="A75" i="7" s="1"/>
  <c r="E51" i="7"/>
  <c r="H51" i="7" s="1"/>
  <c r="A51" i="7" s="1"/>
  <c r="E104" i="7"/>
  <c r="H104" i="7" s="1"/>
  <c r="A104" i="7" s="1"/>
  <c r="C49" i="7"/>
  <c r="E58" i="7"/>
  <c r="H58" i="7" s="1"/>
  <c r="A58" i="7" s="1"/>
  <c r="C113" i="7"/>
  <c r="B79" i="19"/>
  <c r="R79" i="19"/>
  <c r="P34" i="19"/>
  <c r="A36" i="23"/>
  <c r="K36" i="23" s="1"/>
  <c r="AP34" i="19"/>
  <c r="C13" i="23"/>
  <c r="U11" i="19"/>
  <c r="Z130" i="19"/>
  <c r="Z129" i="19"/>
  <c r="U96" i="19"/>
  <c r="C98" i="23"/>
  <c r="R38" i="19"/>
  <c r="B38" i="19"/>
  <c r="AP21" i="19"/>
  <c r="P21" i="19"/>
  <c r="A23" i="23"/>
  <c r="U30" i="19"/>
  <c r="C32" i="23"/>
  <c r="AP71" i="19"/>
  <c r="P71" i="19"/>
  <c r="A73" i="23"/>
  <c r="K73" i="23" s="1"/>
  <c r="U147" i="19"/>
  <c r="C149" i="23"/>
  <c r="A124" i="23"/>
  <c r="K124" i="23" s="1"/>
  <c r="AP122" i="19"/>
  <c r="P122" i="19"/>
  <c r="P106" i="19"/>
  <c r="A108" i="23"/>
  <c r="K108" i="23" s="1"/>
  <c r="AP106" i="19"/>
  <c r="U28" i="19"/>
  <c r="C30" i="23"/>
  <c r="B65" i="19"/>
  <c r="R65" i="19"/>
  <c r="C167" i="23"/>
  <c r="U165" i="19"/>
  <c r="U141" i="19"/>
  <c r="C143" i="23"/>
  <c r="U100" i="19"/>
  <c r="C102" i="23"/>
  <c r="AP163" i="19"/>
  <c r="P163" i="19"/>
  <c r="A165" i="23"/>
  <c r="U153" i="19"/>
  <c r="C155" i="23"/>
  <c r="C86" i="7"/>
  <c r="D92" i="7"/>
  <c r="D130" i="7"/>
  <c r="D74" i="7"/>
  <c r="E29" i="7"/>
  <c r="H29" i="7" s="1"/>
  <c r="A29" i="7" s="1"/>
  <c r="C11" i="7"/>
  <c r="D22" i="8"/>
  <c r="C24" i="7"/>
  <c r="C122" i="7"/>
  <c r="D95" i="7"/>
  <c r="C67" i="7"/>
  <c r="E67" i="7"/>
  <c r="H67" i="7" s="1"/>
  <c r="A67" i="7" s="1"/>
  <c r="C117" i="7"/>
  <c r="C141" i="7"/>
  <c r="D55" i="7"/>
  <c r="E36" i="7"/>
  <c r="H36" i="7" s="1"/>
  <c r="A36" i="7" s="1"/>
  <c r="D67" i="7"/>
  <c r="E96" i="7"/>
  <c r="H96" i="7" s="1"/>
  <c r="A96" i="7" s="1"/>
  <c r="C83" i="7"/>
  <c r="D20" i="8"/>
  <c r="E64" i="7"/>
  <c r="H64" i="7" s="1"/>
  <c r="A64" i="7" s="1"/>
  <c r="Z34" i="19"/>
  <c r="C121" i="23"/>
  <c r="U119" i="19"/>
  <c r="C28" i="23"/>
  <c r="U26" i="19"/>
  <c r="C20" i="23"/>
  <c r="U18" i="19"/>
  <c r="C156" i="23"/>
  <c r="U154" i="19"/>
  <c r="C131" i="23"/>
  <c r="U129" i="19"/>
  <c r="A151" i="23"/>
  <c r="P149" i="19"/>
  <c r="AP149" i="19"/>
  <c r="B27" i="19"/>
  <c r="R27" i="19"/>
  <c r="I97" i="23"/>
  <c r="D97" i="23" s="1"/>
  <c r="A176" i="23"/>
  <c r="K176" i="23" s="1"/>
  <c r="P174" i="19"/>
  <c r="AP174" i="19"/>
  <c r="R40" i="19"/>
  <c r="B40" i="19"/>
  <c r="R170" i="19"/>
  <c r="B170" i="19"/>
  <c r="A44" i="23"/>
  <c r="P42" i="19"/>
  <c r="AP42" i="19"/>
  <c r="I127" i="23"/>
  <c r="I136" i="23"/>
  <c r="R136" i="19"/>
  <c r="B136" i="19"/>
  <c r="U16" i="19"/>
  <c r="C18" i="23"/>
  <c r="I10" i="23"/>
  <c r="B58" i="19"/>
  <c r="R58" i="19"/>
  <c r="W2" i="19"/>
  <c r="W188" i="19"/>
  <c r="AC129" i="19" l="1"/>
  <c r="AC73" i="19"/>
  <c r="D146" i="23"/>
  <c r="AC93" i="19"/>
  <c r="AB94" i="19"/>
  <c r="AC94" i="19" s="1"/>
  <c r="AB96" i="19"/>
  <c r="AC96" i="19" s="1"/>
  <c r="AC95" i="19"/>
  <c r="B143" i="23"/>
  <c r="AB152" i="19"/>
  <c r="AC152" i="19" s="1"/>
  <c r="AC151" i="19"/>
  <c r="P24" i="19"/>
  <c r="AC8" i="19"/>
  <c r="AB9" i="19"/>
  <c r="AC9" i="19" s="1"/>
  <c r="C17" i="26" s="1"/>
  <c r="AC154" i="19"/>
  <c r="AS154" i="19" s="1"/>
  <c r="AB155" i="19"/>
  <c r="AC155" i="19" s="1"/>
  <c r="AC187" i="19"/>
  <c r="C195" i="26" s="1"/>
  <c r="D57" i="23"/>
  <c r="D35" i="23"/>
  <c r="AP33" i="19"/>
  <c r="AB139" i="19"/>
  <c r="AC139" i="19" s="1"/>
  <c r="AC138" i="19"/>
  <c r="AB56" i="19"/>
  <c r="AC56" i="19" s="1"/>
  <c r="AC55" i="19"/>
  <c r="AC21" i="19"/>
  <c r="C29" i="26" s="1"/>
  <c r="P33" i="19"/>
  <c r="B63" i="23"/>
  <c r="AB186" i="19"/>
  <c r="AC186" i="19" s="1"/>
  <c r="AS186" i="19" s="1"/>
  <c r="AC185" i="19"/>
  <c r="AC17" i="19"/>
  <c r="AS17" i="19" s="1"/>
  <c r="AB18" i="19"/>
  <c r="AC18" i="19" s="1"/>
  <c r="AP24" i="19"/>
  <c r="AC50" i="19"/>
  <c r="AS50" i="19" s="1"/>
  <c r="AB51" i="19"/>
  <c r="AC51" i="19" s="1"/>
  <c r="C59" i="26" s="1"/>
  <c r="AB75" i="19"/>
  <c r="AC75" i="19" s="1"/>
  <c r="AC74" i="19"/>
  <c r="AC14" i="19"/>
  <c r="AB123" i="19"/>
  <c r="AC123" i="19" s="1"/>
  <c r="AC122" i="19"/>
  <c r="D6" i="23"/>
  <c r="I117" i="23"/>
  <c r="AC171" i="19"/>
  <c r="AB172" i="19"/>
  <c r="AC172" i="19" s="1"/>
  <c r="AC105" i="19"/>
  <c r="C113" i="26" s="1"/>
  <c r="I162" i="23"/>
  <c r="AC142" i="19"/>
  <c r="C150" i="26" s="1"/>
  <c r="AC174" i="19"/>
  <c r="AC66" i="19"/>
  <c r="AC19" i="19"/>
  <c r="AB3" i="19"/>
  <c r="AC3" i="19" s="1"/>
  <c r="AC2" i="19"/>
  <c r="Z19" i="19"/>
  <c r="G27" i="26" s="1"/>
  <c r="Z20" i="19"/>
  <c r="AT20" i="19" s="1"/>
  <c r="AR20" i="19" s="1"/>
  <c r="Z35" i="19"/>
  <c r="Z25" i="19"/>
  <c r="AT25" i="19" s="1"/>
  <c r="AR25" i="19" s="1"/>
  <c r="Z12" i="19"/>
  <c r="Z21" i="19"/>
  <c r="AT21" i="19" s="1"/>
  <c r="AR21" i="19" s="1"/>
  <c r="Z6" i="19"/>
  <c r="AT6" i="19" s="1"/>
  <c r="AR6" i="19" s="1"/>
  <c r="Z10" i="19"/>
  <c r="G18" i="26" s="1"/>
  <c r="Z22" i="19"/>
  <c r="AT22" i="19" s="1"/>
  <c r="AR22" i="19" s="1"/>
  <c r="AS22" i="19"/>
  <c r="Z28" i="19"/>
  <c r="AT28" i="19" s="1"/>
  <c r="AR28" i="19" s="1"/>
  <c r="C36" i="26"/>
  <c r="Z4" i="19"/>
  <c r="AT4" i="19" s="1"/>
  <c r="AR4" i="19" s="1"/>
  <c r="Z16" i="19"/>
  <c r="G24" i="26" s="1"/>
  <c r="Z15" i="19"/>
  <c r="G23" i="26" s="1"/>
  <c r="Z23" i="19"/>
  <c r="G31" i="26" s="1"/>
  <c r="Z33" i="19"/>
  <c r="AT33" i="19" s="1"/>
  <c r="AR33" i="19" s="1"/>
  <c r="Z24" i="19"/>
  <c r="G32" i="26" s="1"/>
  <c r="AS24" i="19"/>
  <c r="Z13" i="19"/>
  <c r="G21" i="26" s="1"/>
  <c r="Z31" i="19"/>
  <c r="AT31" i="19" s="1"/>
  <c r="AR31" i="19" s="1"/>
  <c r="Z27" i="19"/>
  <c r="G35" i="26" s="1"/>
  <c r="Z38" i="19"/>
  <c r="Z11" i="19"/>
  <c r="C19" i="26"/>
  <c r="Z109" i="19"/>
  <c r="Z134" i="19"/>
  <c r="AT134" i="19" s="1"/>
  <c r="AR134" i="19" s="1"/>
  <c r="AS134" i="19"/>
  <c r="Z137" i="19"/>
  <c r="G145" i="26" s="1"/>
  <c r="AS137" i="19"/>
  <c r="Z170" i="19"/>
  <c r="G178" i="26" s="1"/>
  <c r="Z127" i="19"/>
  <c r="G135" i="26" s="1"/>
  <c r="Z171" i="19"/>
  <c r="AT171" i="19" s="1"/>
  <c r="AR171" i="19" s="1"/>
  <c r="AS171" i="19"/>
  <c r="Z121" i="19"/>
  <c r="AT121" i="19" s="1"/>
  <c r="AR121" i="19" s="1"/>
  <c r="C129" i="26"/>
  <c r="Z52" i="19"/>
  <c r="G60" i="26" s="1"/>
  <c r="Z92" i="19"/>
  <c r="AT92" i="19" s="1"/>
  <c r="AR92" i="19" s="1"/>
  <c r="Z53" i="19"/>
  <c r="AT53" i="19" s="1"/>
  <c r="AR53" i="19" s="1"/>
  <c r="Z69" i="19"/>
  <c r="G77" i="26" s="1"/>
  <c r="Z165" i="19"/>
  <c r="G173" i="26" s="1"/>
  <c r="C173" i="26"/>
  <c r="Z96" i="19"/>
  <c r="C104" i="26"/>
  <c r="Z88" i="19"/>
  <c r="G96" i="26" s="1"/>
  <c r="Z72" i="19"/>
  <c r="G80" i="26" s="1"/>
  <c r="C80" i="26"/>
  <c r="Z183" i="19"/>
  <c r="AT183" i="19" s="1"/>
  <c r="Z70" i="19"/>
  <c r="AT70" i="19" s="1"/>
  <c r="AR70" i="19" s="1"/>
  <c r="C78" i="26"/>
  <c r="Z158" i="19"/>
  <c r="AT158" i="19" s="1"/>
  <c r="AR158" i="19" s="1"/>
  <c r="AS158" i="19"/>
  <c r="Z114" i="19"/>
  <c r="AT114" i="19" s="1"/>
  <c r="AR114" i="19" s="1"/>
  <c r="Z71" i="19"/>
  <c r="G79" i="26" s="1"/>
  <c r="Z46" i="19"/>
  <c r="AT46" i="19" s="1"/>
  <c r="AR46" i="19" s="1"/>
  <c r="AS46" i="19"/>
  <c r="Z139" i="19"/>
  <c r="G147" i="26" s="1"/>
  <c r="AS139" i="19"/>
  <c r="Z79" i="19"/>
  <c r="AT79" i="19" s="1"/>
  <c r="AR79" i="19" s="1"/>
  <c r="Z107" i="19"/>
  <c r="AT107" i="19" s="1"/>
  <c r="AR107" i="19" s="1"/>
  <c r="AS107" i="19"/>
  <c r="Z157" i="19"/>
  <c r="G165" i="26" s="1"/>
  <c r="Z118" i="19"/>
  <c r="AT118" i="19" s="1"/>
  <c r="Z105" i="19"/>
  <c r="G113" i="26" s="1"/>
  <c r="Z47" i="19"/>
  <c r="AT47" i="19" s="1"/>
  <c r="AR47" i="19" s="1"/>
  <c r="C55" i="26"/>
  <c r="Z135" i="19"/>
  <c r="G143" i="26" s="1"/>
  <c r="Z173" i="19"/>
  <c r="G181" i="26" s="1"/>
  <c r="Z132" i="19"/>
  <c r="AT132" i="19" s="1"/>
  <c r="AR132" i="19" s="1"/>
  <c r="Z172" i="19"/>
  <c r="G180" i="26" s="1"/>
  <c r="Z58" i="19"/>
  <c r="AT58" i="19" s="1"/>
  <c r="AR58" i="19" s="1"/>
  <c r="AS58" i="19"/>
  <c r="Z94" i="19"/>
  <c r="AT94" i="19" s="1"/>
  <c r="AR94" i="19" s="1"/>
  <c r="Z76" i="19"/>
  <c r="G84" i="26" s="1"/>
  <c r="AS76" i="19"/>
  <c r="Z67" i="19"/>
  <c r="AT67" i="19" s="1"/>
  <c r="AR67" i="19" s="1"/>
  <c r="Z185" i="19"/>
  <c r="G193" i="26" s="1"/>
  <c r="Z62" i="19"/>
  <c r="G70" i="26" s="1"/>
  <c r="AS62" i="19"/>
  <c r="Z156" i="19"/>
  <c r="G164" i="26" s="1"/>
  <c r="AS156" i="19"/>
  <c r="Z122" i="19"/>
  <c r="G130" i="26" s="1"/>
  <c r="Z100" i="19"/>
  <c r="G108" i="26" s="1"/>
  <c r="Z101" i="19"/>
  <c r="AT101" i="19" s="1"/>
  <c r="AR101" i="19" s="1"/>
  <c r="Z179" i="19"/>
  <c r="AS179" i="19"/>
  <c r="Z124" i="19"/>
  <c r="G132" i="26" s="1"/>
  <c r="Z154" i="19"/>
  <c r="G162" i="26" s="1"/>
  <c r="Z163" i="19"/>
  <c r="G171" i="26" s="1"/>
  <c r="Z128" i="19"/>
  <c r="AT128" i="19" s="1"/>
  <c r="AR128" i="19" s="1"/>
  <c r="AS128" i="19"/>
  <c r="Z59" i="19"/>
  <c r="AT59" i="19" s="1"/>
  <c r="AR59" i="19" s="1"/>
  <c r="C67" i="26"/>
  <c r="Z153" i="19"/>
  <c r="AT153" i="19" s="1"/>
  <c r="AR153" i="19" s="1"/>
  <c r="Z126" i="19"/>
  <c r="AT126" i="19" s="1"/>
  <c r="AR126" i="19" s="1"/>
  <c r="Z151" i="19"/>
  <c r="AT151" i="19" s="1"/>
  <c r="AR151" i="19" s="1"/>
  <c r="Z48" i="19"/>
  <c r="AT48" i="19" s="1"/>
  <c r="AR48" i="19" s="1"/>
  <c r="AS48" i="19"/>
  <c r="Z44" i="19"/>
  <c r="G52" i="26" s="1"/>
  <c r="Z111" i="19"/>
  <c r="AT111" i="19" s="1"/>
  <c r="AR111" i="19" s="1"/>
  <c r="Z73" i="19"/>
  <c r="AT73" i="19" s="1"/>
  <c r="AR73" i="19" s="1"/>
  <c r="C81" i="26"/>
  <c r="Z164" i="19"/>
  <c r="AT164" i="19" s="1"/>
  <c r="AR164" i="19" s="1"/>
  <c r="AS164" i="19"/>
  <c r="Z180" i="19"/>
  <c r="AT180" i="19" s="1"/>
  <c r="AR180" i="19" s="1"/>
  <c r="Z115" i="19"/>
  <c r="AT115" i="19" s="1"/>
  <c r="AR115" i="19" s="1"/>
  <c r="Z55" i="19"/>
  <c r="AT55" i="19" s="1"/>
  <c r="AR55" i="19" s="1"/>
  <c r="Z178" i="19"/>
  <c r="G186" i="26" s="1"/>
  <c r="Z75" i="19"/>
  <c r="G83" i="26" s="1"/>
  <c r="Z97" i="19"/>
  <c r="G105" i="26" s="1"/>
  <c r="Z78" i="19"/>
  <c r="AT78" i="19" s="1"/>
  <c r="AR78" i="19" s="1"/>
  <c r="Z108" i="19"/>
  <c r="AT108" i="19" s="1"/>
  <c r="AR108" i="19" s="1"/>
  <c r="Z187" i="19"/>
  <c r="AT187" i="19" s="1"/>
  <c r="AR187" i="19" s="1"/>
  <c r="Z146" i="19"/>
  <c r="AT146" i="19" s="1"/>
  <c r="AR146" i="19" s="1"/>
  <c r="C154" i="26"/>
  <c r="Z112" i="19"/>
  <c r="AT112" i="19" s="1"/>
  <c r="AR112" i="19" s="1"/>
  <c r="C120" i="26"/>
  <c r="Z89" i="19"/>
  <c r="G97" i="26" s="1"/>
  <c r="AS89" i="19"/>
  <c r="Z133" i="19"/>
  <c r="AT133" i="19" s="1"/>
  <c r="AR133" i="19" s="1"/>
  <c r="Z65" i="19"/>
  <c r="AT65" i="19" s="1"/>
  <c r="AR65" i="19" s="1"/>
  <c r="Z120" i="19"/>
  <c r="G128" i="26" s="1"/>
  <c r="Z119" i="19"/>
  <c r="G127" i="26" s="1"/>
  <c r="C127" i="26"/>
  <c r="Z125" i="19"/>
  <c r="C133" i="26"/>
  <c r="Z68" i="19"/>
  <c r="AT68" i="19" s="1"/>
  <c r="AR68" i="19" s="1"/>
  <c r="Z95" i="19"/>
  <c r="AT95" i="19" s="1"/>
  <c r="AR95" i="19" s="1"/>
  <c r="Z149" i="19"/>
  <c r="AT149" i="19" s="1"/>
  <c r="AR149" i="19" s="1"/>
  <c r="Z42" i="19"/>
  <c r="AT42" i="19" s="1"/>
  <c r="AR42" i="19" s="1"/>
  <c r="Z136" i="19"/>
  <c r="AT136" i="19" s="1"/>
  <c r="AR136" i="19" s="1"/>
  <c r="AS136" i="19"/>
  <c r="Z176" i="19"/>
  <c r="AT176" i="19" s="1"/>
  <c r="Z148" i="19"/>
  <c r="AT148" i="19" s="1"/>
  <c r="AR148" i="19" s="1"/>
  <c r="Z131" i="19"/>
  <c r="G139" i="26" s="1"/>
  <c r="Z93" i="19"/>
  <c r="AT93" i="19" s="1"/>
  <c r="AR93" i="19" s="1"/>
  <c r="Z174" i="19"/>
  <c r="AT174" i="19" s="1"/>
  <c r="AR174" i="19" s="1"/>
  <c r="Z85" i="19"/>
  <c r="AT85" i="19" s="1"/>
  <c r="AR85" i="19" s="1"/>
  <c r="Z54" i="19"/>
  <c r="AT54" i="19" s="1"/>
  <c r="AR54" i="19" s="1"/>
  <c r="Z43" i="19"/>
  <c r="AT43" i="19" s="1"/>
  <c r="AR43" i="19" s="1"/>
  <c r="Z50" i="19"/>
  <c r="AT50" i="19" s="1"/>
  <c r="AR50" i="19" s="1"/>
  <c r="AS170" i="19"/>
  <c r="Z64" i="19"/>
  <c r="G72" i="26" s="1"/>
  <c r="Z56" i="19"/>
  <c r="AT56" i="19" s="1"/>
  <c r="AR56" i="19" s="1"/>
  <c r="Z84" i="19"/>
  <c r="G92" i="26" s="1"/>
  <c r="Z90" i="19"/>
  <c r="AT90" i="19" s="1"/>
  <c r="AR90" i="19" s="1"/>
  <c r="AS68" i="19"/>
  <c r="C119" i="26"/>
  <c r="Z184" i="19"/>
  <c r="G192" i="26" s="1"/>
  <c r="D10" i="23"/>
  <c r="D47" i="23"/>
  <c r="C46" i="26"/>
  <c r="I156" i="23"/>
  <c r="D156" i="23" s="1"/>
  <c r="K171" i="23"/>
  <c r="L171" i="23" s="1"/>
  <c r="M171" i="23" s="1"/>
  <c r="L149" i="23"/>
  <c r="M149" i="23" s="1"/>
  <c r="L71" i="23"/>
  <c r="M71" i="23" s="1"/>
  <c r="K91" i="23"/>
  <c r="L91" i="23" s="1"/>
  <c r="M91" i="23" s="1"/>
  <c r="K120" i="23"/>
  <c r="L120" i="23" s="1"/>
  <c r="M120" i="23" s="1"/>
  <c r="K156" i="23"/>
  <c r="L156" i="23" s="1"/>
  <c r="M156" i="23" s="1"/>
  <c r="L108" i="23"/>
  <c r="M108" i="23" s="1"/>
  <c r="L67" i="23"/>
  <c r="M67" i="23" s="1"/>
  <c r="K185" i="23"/>
  <c r="L185" i="23" s="1"/>
  <c r="M185" i="23" s="1"/>
  <c r="L94" i="23"/>
  <c r="M94" i="23" s="1"/>
  <c r="L140" i="23"/>
  <c r="M140" i="23" s="1"/>
  <c r="K45" i="23"/>
  <c r="L45" i="23" s="1"/>
  <c r="M45" i="23" s="1"/>
  <c r="Z166" i="19"/>
  <c r="AT166" i="19" s="1"/>
  <c r="AR166" i="19" s="1"/>
  <c r="K173" i="23"/>
  <c r="L173" i="23" s="1"/>
  <c r="M173" i="23" s="1"/>
  <c r="K102" i="23"/>
  <c r="L102" i="23" s="1"/>
  <c r="M102" i="23" s="1"/>
  <c r="L152" i="23"/>
  <c r="M152" i="23" s="1"/>
  <c r="L22" i="23"/>
  <c r="M22" i="23" s="1"/>
  <c r="L126" i="23"/>
  <c r="M126" i="23" s="1"/>
  <c r="L65" i="23"/>
  <c r="M65" i="23" s="1"/>
  <c r="K24" i="23"/>
  <c r="L24" i="23" s="1"/>
  <c r="M24" i="23" s="1"/>
  <c r="K12" i="23"/>
  <c r="L12" i="23" s="1"/>
  <c r="M12" i="23" s="1"/>
  <c r="K68" i="23"/>
  <c r="L68" i="23" s="1"/>
  <c r="M68" i="23" s="1"/>
  <c r="K80" i="23"/>
  <c r="L80" i="23" s="1"/>
  <c r="M80" i="23" s="1"/>
  <c r="L37" i="23"/>
  <c r="M37" i="23" s="1"/>
  <c r="K95" i="23"/>
  <c r="L95" i="23" s="1"/>
  <c r="M95" i="23" s="1"/>
  <c r="K11" i="23"/>
  <c r="L11" i="23" s="1"/>
  <c r="M11" i="23" s="1"/>
  <c r="K148" i="23"/>
  <c r="L148" i="23" s="1"/>
  <c r="M148" i="23" s="1"/>
  <c r="K14" i="23"/>
  <c r="L14" i="23" s="1"/>
  <c r="M14" i="23" s="1"/>
  <c r="L131" i="23"/>
  <c r="M131" i="23" s="1"/>
  <c r="L66" i="23"/>
  <c r="M66" i="23" s="1"/>
  <c r="L159" i="23"/>
  <c r="M159" i="23" s="1"/>
  <c r="K107" i="23"/>
  <c r="L107" i="23" s="1"/>
  <c r="M107" i="23" s="1"/>
  <c r="K151" i="23"/>
  <c r="L151" i="23" s="1"/>
  <c r="M151" i="23" s="1"/>
  <c r="K47" i="23"/>
  <c r="L47" i="23" s="1"/>
  <c r="M47" i="23" s="1"/>
  <c r="K29" i="23"/>
  <c r="L29" i="23" s="1"/>
  <c r="M29" i="23" s="1"/>
  <c r="K123" i="23"/>
  <c r="L123" i="23" s="1"/>
  <c r="M123" i="23" s="1"/>
  <c r="L115" i="23"/>
  <c r="M115" i="23" s="1"/>
  <c r="L144" i="23"/>
  <c r="M144" i="23" s="1"/>
  <c r="L8" i="23"/>
  <c r="M8" i="23" s="1"/>
  <c r="K122" i="23"/>
  <c r="L122" i="23" s="1"/>
  <c r="M122" i="23" s="1"/>
  <c r="K136" i="23"/>
  <c r="L136" i="23" s="1"/>
  <c r="M136" i="23" s="1"/>
  <c r="K13" i="23"/>
  <c r="L13" i="23" s="1"/>
  <c r="M13" i="23" s="1"/>
  <c r="K128" i="23"/>
  <c r="L128" i="23" s="1"/>
  <c r="M128" i="23" s="1"/>
  <c r="K153" i="23"/>
  <c r="L153" i="23" s="1"/>
  <c r="M153" i="23" s="1"/>
  <c r="K76" i="23"/>
  <c r="L76" i="23" s="1"/>
  <c r="M76" i="23" s="1"/>
  <c r="K44" i="23"/>
  <c r="L44" i="23" s="1"/>
  <c r="M44" i="23" s="1"/>
  <c r="K180" i="23"/>
  <c r="L180" i="23" s="1"/>
  <c r="M180" i="23" s="1"/>
  <c r="K97" i="23"/>
  <c r="L97" i="23" s="1"/>
  <c r="M97" i="23" s="1"/>
  <c r="K74" i="23"/>
  <c r="L74" i="23" s="1"/>
  <c r="M74" i="23" s="1"/>
  <c r="K32" i="23"/>
  <c r="L32" i="23" s="1"/>
  <c r="M32" i="23" s="1"/>
  <c r="L133" i="23"/>
  <c r="M133" i="23" s="1"/>
  <c r="L10" i="23"/>
  <c r="M10" i="23" s="1"/>
  <c r="L78" i="23"/>
  <c r="M78" i="23" s="1"/>
  <c r="L96" i="23"/>
  <c r="M96" i="23" s="1"/>
  <c r="L178" i="23"/>
  <c r="M178" i="23" s="1"/>
  <c r="L189" i="23"/>
  <c r="M189" i="23" s="1"/>
  <c r="K84" i="23"/>
  <c r="L84" i="23" s="1"/>
  <c r="M84" i="23" s="1"/>
  <c r="K85" i="23"/>
  <c r="L85" i="23" s="1"/>
  <c r="M85" i="23" s="1"/>
  <c r="K103" i="23"/>
  <c r="L103" i="23" s="1"/>
  <c r="M103" i="23" s="1"/>
  <c r="K127" i="23"/>
  <c r="L127" i="23" s="1"/>
  <c r="M127" i="23" s="1"/>
  <c r="K121" i="23"/>
  <c r="L121" i="23" s="1"/>
  <c r="M121" i="23" s="1"/>
  <c r="L124" i="23"/>
  <c r="M124" i="23" s="1"/>
  <c r="L89" i="23"/>
  <c r="M89" i="23" s="1"/>
  <c r="K117" i="23"/>
  <c r="L117" i="23" s="1"/>
  <c r="M117" i="23" s="1"/>
  <c r="K4" i="23"/>
  <c r="L4" i="23" s="1"/>
  <c r="M4" i="23" s="1"/>
  <c r="K99" i="23"/>
  <c r="L99" i="23" s="1"/>
  <c r="M99" i="23" s="1"/>
  <c r="K174" i="23"/>
  <c r="L174" i="23" s="1"/>
  <c r="M174" i="23" s="1"/>
  <c r="K16" i="23"/>
  <c r="L16" i="23" s="1"/>
  <c r="M16" i="23" s="1"/>
  <c r="K109" i="23"/>
  <c r="L109" i="23" s="1"/>
  <c r="M109" i="23" s="1"/>
  <c r="L187" i="23"/>
  <c r="M187" i="23" s="1"/>
  <c r="L93" i="23"/>
  <c r="M93" i="23" s="1"/>
  <c r="L125" i="23"/>
  <c r="M125" i="23" s="1"/>
  <c r="L111" i="23"/>
  <c r="M111" i="23" s="1"/>
  <c r="L141" i="23"/>
  <c r="M141" i="23" s="1"/>
  <c r="K110" i="23"/>
  <c r="L110" i="23" s="1"/>
  <c r="M110" i="23" s="1"/>
  <c r="K27" i="23"/>
  <c r="L27" i="23" s="1"/>
  <c r="M27" i="23" s="1"/>
  <c r="K79" i="23"/>
  <c r="L79" i="23" s="1"/>
  <c r="M79" i="23" s="1"/>
  <c r="L176" i="23"/>
  <c r="M176" i="23" s="1"/>
  <c r="L186" i="23"/>
  <c r="M186" i="23" s="1"/>
  <c r="L52" i="23"/>
  <c r="M52" i="23" s="1"/>
  <c r="L51" i="23"/>
  <c r="M51" i="23" s="1"/>
  <c r="L48" i="23"/>
  <c r="M48" i="23" s="1"/>
  <c r="L145" i="23"/>
  <c r="M145" i="23" s="1"/>
  <c r="K157" i="23"/>
  <c r="L157" i="23" s="1"/>
  <c r="M157" i="23" s="1"/>
  <c r="K134" i="23"/>
  <c r="L134" i="23" s="1"/>
  <c r="M134" i="23" s="1"/>
  <c r="K165" i="23"/>
  <c r="L165" i="23" s="1"/>
  <c r="M165" i="23" s="1"/>
  <c r="K31" i="23"/>
  <c r="L31" i="23" s="1"/>
  <c r="M31" i="23" s="1"/>
  <c r="L73" i="23"/>
  <c r="M73" i="23" s="1"/>
  <c r="L33" i="23"/>
  <c r="M33" i="23" s="1"/>
  <c r="K58" i="23"/>
  <c r="L58" i="23" s="1"/>
  <c r="M58" i="23" s="1"/>
  <c r="K38" i="23"/>
  <c r="L38" i="23" s="1"/>
  <c r="M38" i="23" s="1"/>
  <c r="K129" i="23"/>
  <c r="L129" i="23" s="1"/>
  <c r="M129" i="23" s="1"/>
  <c r="K21" i="23"/>
  <c r="L21" i="23" s="1"/>
  <c r="M21" i="23" s="1"/>
  <c r="L28" i="23"/>
  <c r="M28" i="23" s="1"/>
  <c r="L101" i="23"/>
  <c r="M101" i="23" s="1"/>
  <c r="L181" i="23"/>
  <c r="M181" i="23" s="1"/>
  <c r="L160" i="23"/>
  <c r="M160" i="23" s="1"/>
  <c r="L175" i="23"/>
  <c r="M175" i="23" s="1"/>
  <c r="L146" i="23"/>
  <c r="M146" i="23" s="1"/>
  <c r="K23" i="23"/>
  <c r="L23" i="23" s="1"/>
  <c r="M23" i="23" s="1"/>
  <c r="K46" i="23"/>
  <c r="L46" i="23" s="1"/>
  <c r="M46" i="23" s="1"/>
  <c r="K86" i="23"/>
  <c r="L86" i="23" s="1"/>
  <c r="M86" i="23" s="1"/>
  <c r="K158" i="23"/>
  <c r="L158" i="23" s="1"/>
  <c r="M158" i="23" s="1"/>
  <c r="K114" i="23"/>
  <c r="L114" i="23" s="1"/>
  <c r="M114" i="23" s="1"/>
  <c r="L20" i="23"/>
  <c r="M20" i="23" s="1"/>
  <c r="D144" i="23"/>
  <c r="L5" i="23"/>
  <c r="M5" i="23" s="1"/>
  <c r="L19" i="23"/>
  <c r="M19" i="23" s="1"/>
  <c r="L168" i="23"/>
  <c r="M168" i="23" s="1"/>
  <c r="L54" i="23"/>
  <c r="M54" i="23" s="1"/>
  <c r="L50" i="23"/>
  <c r="M50" i="23" s="1"/>
  <c r="L39" i="23"/>
  <c r="M39" i="23" s="1"/>
  <c r="L25" i="23"/>
  <c r="M25" i="23" s="1"/>
  <c r="K61" i="23"/>
  <c r="L61" i="23" s="1"/>
  <c r="M61" i="23" s="1"/>
  <c r="K182" i="23"/>
  <c r="L182" i="23" s="1"/>
  <c r="M182" i="23" s="1"/>
  <c r="K188" i="23"/>
  <c r="L188" i="23" s="1"/>
  <c r="M188" i="23" s="1"/>
  <c r="K64" i="23"/>
  <c r="L64" i="23" s="1"/>
  <c r="M64" i="23" s="1"/>
  <c r="K30" i="23"/>
  <c r="L30" i="23" s="1"/>
  <c r="M30" i="23" s="1"/>
  <c r="K17" i="23"/>
  <c r="L17" i="23" s="1"/>
  <c r="M17" i="23" s="1"/>
  <c r="K155" i="23"/>
  <c r="L155" i="23" s="1"/>
  <c r="M155" i="23" s="1"/>
  <c r="Z142" i="19"/>
  <c r="AT142" i="19" s="1"/>
  <c r="AR142" i="19" s="1"/>
  <c r="I79" i="23"/>
  <c r="D79" i="23" s="1"/>
  <c r="I63" i="23"/>
  <c r="D136" i="23"/>
  <c r="Z113" i="19"/>
  <c r="G121" i="26" s="1"/>
  <c r="D21" i="23"/>
  <c r="AS16" i="19"/>
  <c r="AS85" i="19"/>
  <c r="D178" i="23"/>
  <c r="Z168" i="19"/>
  <c r="AT168" i="19" s="1"/>
  <c r="AR168" i="19" s="1"/>
  <c r="D117" i="23"/>
  <c r="Z147" i="19"/>
  <c r="AT147" i="19" s="1"/>
  <c r="AR147" i="19" s="1"/>
  <c r="D114" i="23"/>
  <c r="Z150" i="19"/>
  <c r="AT150" i="19" s="1"/>
  <c r="AR150" i="19" s="1"/>
  <c r="D88" i="23"/>
  <c r="Z87" i="19"/>
  <c r="G95" i="26" s="1"/>
  <c r="D68" i="23"/>
  <c r="Z26" i="19"/>
  <c r="AT26" i="19" s="1"/>
  <c r="AR26" i="19" s="1"/>
  <c r="D127" i="23"/>
  <c r="D102" i="23"/>
  <c r="Z5" i="19"/>
  <c r="G13" i="26" s="1"/>
  <c r="D38" i="23"/>
  <c r="AS165" i="19"/>
  <c r="Z123" i="19"/>
  <c r="AT123" i="19" s="1"/>
  <c r="AR123" i="19" s="1"/>
  <c r="Z14" i="19"/>
  <c r="G22" i="26" s="1"/>
  <c r="Z7" i="19"/>
  <c r="G15" i="26" s="1"/>
  <c r="D61" i="23"/>
  <c r="D36" i="23"/>
  <c r="AS79" i="19"/>
  <c r="D94" i="23"/>
  <c r="Z110" i="19"/>
  <c r="AT110" i="19" s="1"/>
  <c r="AR110" i="19" s="1"/>
  <c r="I46" i="23"/>
  <c r="D46" i="23" s="1"/>
  <c r="Z29" i="19"/>
  <c r="AT29" i="19" s="1"/>
  <c r="AR29" i="19" s="1"/>
  <c r="Z45" i="19"/>
  <c r="G53" i="26" s="1"/>
  <c r="D56" i="23"/>
  <c r="Z37" i="19"/>
  <c r="AT37" i="19" s="1"/>
  <c r="AR37" i="19" s="1"/>
  <c r="Z98" i="19"/>
  <c r="AT98" i="19" s="1"/>
  <c r="AR98" i="19" s="1"/>
  <c r="D109" i="23"/>
  <c r="D45" i="23"/>
  <c r="D170" i="23"/>
  <c r="Z83" i="19"/>
  <c r="AT83" i="19" s="1"/>
  <c r="AR83" i="19" s="1"/>
  <c r="D52" i="23"/>
  <c r="I87" i="23"/>
  <c r="I51" i="23"/>
  <c r="D51" i="23" s="1"/>
  <c r="D76" i="23"/>
  <c r="D180" i="23"/>
  <c r="L56" i="23"/>
  <c r="M56" i="23" s="1"/>
  <c r="I27" i="23"/>
  <c r="D27" i="23" s="1"/>
  <c r="D108" i="23"/>
  <c r="D23" i="23"/>
  <c r="Z91" i="19"/>
  <c r="AT91" i="19" s="1"/>
  <c r="AR91" i="19" s="1"/>
  <c r="I19" i="23"/>
  <c r="D19" i="23" s="1"/>
  <c r="AT109" i="19"/>
  <c r="AR109" i="19" s="1"/>
  <c r="G117" i="26"/>
  <c r="AS57" i="19"/>
  <c r="C65" i="26"/>
  <c r="C121" i="26"/>
  <c r="AS113" i="19"/>
  <c r="L7" i="23"/>
  <c r="M7" i="23" s="1"/>
  <c r="AS84" i="19"/>
  <c r="C92" i="26"/>
  <c r="AS30" i="19"/>
  <c r="C38" i="26"/>
  <c r="C82" i="26"/>
  <c r="AS74" i="19"/>
  <c r="AS32" i="19"/>
  <c r="C40" i="26"/>
  <c r="AS129" i="19"/>
  <c r="C137" i="26"/>
  <c r="B57" i="23"/>
  <c r="I66" i="23"/>
  <c r="D66" i="23" s="1"/>
  <c r="AS77" i="19"/>
  <c r="C85" i="26"/>
  <c r="AP32" i="19"/>
  <c r="P32" i="19"/>
  <c r="A34" i="23"/>
  <c r="I103" i="23"/>
  <c r="D103" i="23" s="1"/>
  <c r="I134" i="23"/>
  <c r="D134" i="23" s="1"/>
  <c r="Z57" i="19"/>
  <c r="I101" i="23"/>
  <c r="D101" i="23" s="1"/>
  <c r="B19" i="23"/>
  <c r="P38" i="19"/>
  <c r="A40" i="23"/>
  <c r="AP38" i="19"/>
  <c r="B23" i="23"/>
  <c r="B180" i="23"/>
  <c r="B68" i="23"/>
  <c r="I55" i="23"/>
  <c r="AS63" i="19"/>
  <c r="C71" i="26"/>
  <c r="B35" i="23"/>
  <c r="I17" i="23"/>
  <c r="D17" i="23" s="1"/>
  <c r="D165" i="23"/>
  <c r="AS7" i="19"/>
  <c r="C15" i="26"/>
  <c r="AT96" i="19"/>
  <c r="AR96" i="19" s="1"/>
  <c r="G104" i="26"/>
  <c r="AS91" i="19"/>
  <c r="C99" i="26"/>
  <c r="B146" i="23"/>
  <c r="AS155" i="19"/>
  <c r="C163" i="26"/>
  <c r="B190" i="23"/>
  <c r="Z30" i="19"/>
  <c r="I126" i="23"/>
  <c r="D126" i="23" s="1"/>
  <c r="AS65" i="19"/>
  <c r="C73" i="26"/>
  <c r="AS45" i="19"/>
  <c r="C53" i="26"/>
  <c r="I99" i="23"/>
  <c r="D99" i="23" s="1"/>
  <c r="I31" i="23"/>
  <c r="D31" i="23" s="1"/>
  <c r="I11" i="23"/>
  <c r="D11" i="23" s="1"/>
  <c r="C98" i="26"/>
  <c r="AS90" i="19"/>
  <c r="B170" i="23"/>
  <c r="B165" i="23"/>
  <c r="B109" i="23"/>
  <c r="I168" i="23"/>
  <c r="D168" i="23" s="1"/>
  <c r="Z138" i="19"/>
  <c r="B76" i="23"/>
  <c r="I143" i="23"/>
  <c r="AS86" i="19"/>
  <c r="C94" i="26"/>
  <c r="AS99" i="19"/>
  <c r="C107" i="26"/>
  <c r="I25" i="23"/>
  <c r="D25" i="23" s="1"/>
  <c r="D20" i="23"/>
  <c r="B141" i="23"/>
  <c r="I113" i="23"/>
  <c r="D176" i="23"/>
  <c r="I110" i="23"/>
  <c r="D110" i="23" s="1"/>
  <c r="D160" i="23"/>
  <c r="C147" i="26"/>
  <c r="B150" i="23"/>
  <c r="B162" i="23"/>
  <c r="I59" i="23"/>
  <c r="I60" i="23"/>
  <c r="I50" i="23"/>
  <c r="D50" i="23" s="1"/>
  <c r="B46" i="23"/>
  <c r="B79" i="23"/>
  <c r="I155" i="23"/>
  <c r="D155" i="23" s="1"/>
  <c r="I159" i="23"/>
  <c r="D159" i="23" s="1"/>
  <c r="I86" i="23"/>
  <c r="D86" i="23" s="1"/>
  <c r="B20" i="23"/>
  <c r="I171" i="23"/>
  <c r="D171" i="23" s="1"/>
  <c r="I80" i="23"/>
  <c r="D80" i="23" s="1"/>
  <c r="B117" i="23"/>
  <c r="B176" i="23"/>
  <c r="I158" i="23"/>
  <c r="D124" i="23"/>
  <c r="I72" i="23"/>
  <c r="B160" i="23"/>
  <c r="I48" i="23"/>
  <c r="D48" i="23" s="1"/>
  <c r="I135" i="23"/>
  <c r="C79" i="26"/>
  <c r="AS71" i="19"/>
  <c r="AS104" i="19"/>
  <c r="C112" i="26"/>
  <c r="I172" i="23"/>
  <c r="AT99" i="19"/>
  <c r="AR99" i="19" s="1"/>
  <c r="G107" i="26"/>
  <c r="B88" i="23"/>
  <c r="AS29" i="19"/>
  <c r="C37" i="26"/>
  <c r="Z188" i="19"/>
  <c r="G12" i="26"/>
  <c r="I39" i="23"/>
  <c r="D39" i="23" s="1"/>
  <c r="Z74" i="19"/>
  <c r="Z36" i="19"/>
  <c r="B124" i="23"/>
  <c r="I115" i="23"/>
  <c r="D115" i="23" s="1"/>
  <c r="B179" i="23"/>
  <c r="B91" i="23"/>
  <c r="Z104" i="19"/>
  <c r="B78" i="23"/>
  <c r="I78" i="23"/>
  <c r="D78" i="23" s="1"/>
  <c r="I119" i="23"/>
  <c r="Z49" i="19"/>
  <c r="I154" i="23"/>
  <c r="Z77" i="19"/>
  <c r="C190" i="23"/>
  <c r="U188" i="19"/>
  <c r="L27" i="8"/>
  <c r="B75" i="23"/>
  <c r="Z8" i="19"/>
  <c r="B90" i="23"/>
  <c r="AS37" i="19"/>
  <c r="C45" i="26"/>
  <c r="Z2" i="19"/>
  <c r="I91" i="23"/>
  <c r="D91" i="23" s="1"/>
  <c r="Z144" i="19"/>
  <c r="I32" i="23"/>
  <c r="D32" i="23" s="1"/>
  <c r="Z143" i="19"/>
  <c r="Z66" i="19"/>
  <c r="C131" i="26"/>
  <c r="AS123" i="19"/>
  <c r="I182" i="23"/>
  <c r="D182" i="23" s="1"/>
  <c r="D75" i="23"/>
  <c r="B10" i="23"/>
  <c r="I128" i="23"/>
  <c r="D128" i="23" s="1"/>
  <c r="B178" i="23"/>
  <c r="AS169" i="19"/>
  <c r="C177" i="26"/>
  <c r="I116" i="23"/>
  <c r="G78" i="26"/>
  <c r="B147" i="23"/>
  <c r="C153" i="26"/>
  <c r="AS145" i="19"/>
  <c r="D174" i="23"/>
  <c r="D123" i="23"/>
  <c r="I44" i="23"/>
  <c r="D44" i="23" s="1"/>
  <c r="D131" i="23"/>
  <c r="AS144" i="19"/>
  <c r="C152" i="26"/>
  <c r="I89" i="23"/>
  <c r="D89" i="23" s="1"/>
  <c r="B173" i="23"/>
  <c r="D167" i="23"/>
  <c r="I152" i="23"/>
  <c r="D152" i="23" s="1"/>
  <c r="B100" i="23"/>
  <c r="AT11" i="19"/>
  <c r="AR11" i="19" s="1"/>
  <c r="G19" i="26"/>
  <c r="S2" i="19"/>
  <c r="S3" i="19" s="1"/>
  <c r="S4" i="19" s="1"/>
  <c r="S5" i="19" s="1"/>
  <c r="S6" i="19" s="1"/>
  <c r="S7" i="19" s="1"/>
  <c r="S8" i="19" s="1"/>
  <c r="S9" i="19" s="1"/>
  <c r="S10" i="19" s="1"/>
  <c r="S11" i="19" s="1"/>
  <c r="S12" i="19" s="1"/>
  <c r="S13" i="19" s="1"/>
  <c r="S14" i="19" s="1"/>
  <c r="S15" i="19" s="1"/>
  <c r="S16" i="19" s="1"/>
  <c r="S17" i="19" s="1"/>
  <c r="S18" i="19" s="1"/>
  <c r="S19" i="19" s="1"/>
  <c r="S20" i="19" s="1"/>
  <c r="S21" i="19" s="1"/>
  <c r="S22" i="19" s="1"/>
  <c r="S23" i="19" s="1"/>
  <c r="S24" i="19" s="1"/>
  <c r="S25" i="19" s="1"/>
  <c r="S26" i="19" s="1"/>
  <c r="S27" i="19" s="1"/>
  <c r="S28" i="19" s="1"/>
  <c r="S29" i="19" s="1"/>
  <c r="S30" i="19" s="1"/>
  <c r="S31" i="19" s="1"/>
  <c r="S32" i="19" s="1"/>
  <c r="S33" i="19" s="1"/>
  <c r="S34" i="19" s="1"/>
  <c r="S35" i="19" s="1"/>
  <c r="S36" i="19" s="1"/>
  <c r="S37" i="19" s="1"/>
  <c r="S38" i="19" s="1"/>
  <c r="AP2" i="19"/>
  <c r="A4" i="23"/>
  <c r="P2" i="19"/>
  <c r="AS110" i="19"/>
  <c r="C118" i="26"/>
  <c r="B156" i="23"/>
  <c r="B174" i="23"/>
  <c r="B123" i="23"/>
  <c r="AS98" i="19"/>
  <c r="C106" i="26"/>
  <c r="I14" i="23"/>
  <c r="D14" i="23" s="1"/>
  <c r="B131" i="23"/>
  <c r="I43" i="23"/>
  <c r="I33" i="23"/>
  <c r="D33" i="23" s="1"/>
  <c r="I173" i="23"/>
  <c r="D173" i="23" s="1"/>
  <c r="I40" i="23"/>
  <c r="B45" i="23"/>
  <c r="AS143" i="19"/>
  <c r="C151" i="26"/>
  <c r="B83" i="23"/>
  <c r="C160" i="26"/>
  <c r="AS152" i="19"/>
  <c r="AS82" i="19"/>
  <c r="C90" i="26"/>
  <c r="I100" i="23"/>
  <c r="I22" i="23"/>
  <c r="D22" i="23" s="1"/>
  <c r="I18" i="23"/>
  <c r="I137" i="23"/>
  <c r="C192" i="26"/>
  <c r="AS184" i="19"/>
  <c r="AS147" i="19"/>
  <c r="C155" i="26"/>
  <c r="C4" i="23"/>
  <c r="U2" i="19"/>
  <c r="Z82" i="19"/>
  <c r="C77" i="26"/>
  <c r="AS69" i="19"/>
  <c r="I145" i="23"/>
  <c r="D145" i="23" s="1"/>
  <c r="B187" i="23"/>
  <c r="Z167" i="19"/>
  <c r="B51" i="23"/>
  <c r="AS126" i="19"/>
  <c r="C134" i="26"/>
  <c r="B189" i="23"/>
  <c r="B198" i="26"/>
  <c r="AQ190" i="19"/>
  <c r="B132" i="23"/>
  <c r="Z152" i="19"/>
  <c r="C175" i="26"/>
  <c r="AS167" i="19"/>
  <c r="AT179" i="19"/>
  <c r="AR179" i="19" s="1"/>
  <c r="G187" i="26"/>
  <c r="AS83" i="19"/>
  <c r="C91" i="26"/>
  <c r="AS26" i="19"/>
  <c r="C34" i="26"/>
  <c r="I41" i="23"/>
  <c r="AA39" i="19"/>
  <c r="D106" i="23"/>
  <c r="Z106" i="19"/>
  <c r="I187" i="23"/>
  <c r="D187" i="23" s="1"/>
  <c r="AS168" i="19"/>
  <c r="C176" i="26"/>
  <c r="B108" i="23"/>
  <c r="D120" i="23"/>
  <c r="I129" i="23"/>
  <c r="D129" i="23" s="1"/>
  <c r="I125" i="23"/>
  <c r="D125" i="23" s="1"/>
  <c r="AT160" i="19"/>
  <c r="G168" i="26"/>
  <c r="D185" i="23"/>
  <c r="D16" i="23"/>
  <c r="B27" i="23"/>
  <c r="B87" i="23"/>
  <c r="B106" i="23"/>
  <c r="B37" i="23"/>
  <c r="I138" i="23"/>
  <c r="AS138" i="19"/>
  <c r="C146" i="26"/>
  <c r="I12" i="23"/>
  <c r="D12" i="23" s="1"/>
  <c r="B120" i="23"/>
  <c r="AS11" i="19"/>
  <c r="C62" i="26"/>
  <c r="AS54" i="19"/>
  <c r="I111" i="23"/>
  <c r="D111" i="23" s="1"/>
  <c r="I148" i="23"/>
  <c r="D148" i="23" s="1"/>
  <c r="B185" i="23"/>
  <c r="A126" i="7"/>
  <c r="B16" i="23"/>
  <c r="I8" i="23"/>
  <c r="D8" i="23" s="1"/>
  <c r="B177" i="23"/>
  <c r="AT175" i="19"/>
  <c r="G183" i="26"/>
  <c r="I49" i="23"/>
  <c r="AS43" i="19"/>
  <c r="C51" i="26"/>
  <c r="B164" i="23"/>
  <c r="I37" i="23"/>
  <c r="D37" i="23" s="1"/>
  <c r="B21" i="23"/>
  <c r="AT120" i="19"/>
  <c r="AR120" i="19" s="1"/>
  <c r="G20" i="26"/>
  <c r="AT12" i="19"/>
  <c r="AR12" i="19" s="1"/>
  <c r="D107" i="23"/>
  <c r="B167" i="23"/>
  <c r="A9" i="23"/>
  <c r="AP7" i="19"/>
  <c r="P7" i="19"/>
  <c r="B61" i="23"/>
  <c r="B169" i="23"/>
  <c r="AS172" i="19"/>
  <c r="C180" i="26"/>
  <c r="C167" i="26"/>
  <c r="AS159" i="19"/>
  <c r="B94" i="23"/>
  <c r="B98" i="23"/>
  <c r="I74" i="23"/>
  <c r="D74" i="23" s="1"/>
  <c r="B47" i="23"/>
  <c r="D58" i="23"/>
  <c r="D28" i="23"/>
  <c r="AS106" i="19"/>
  <c r="C114" i="26"/>
  <c r="B97" i="23"/>
  <c r="AT35" i="19"/>
  <c r="AR35" i="19" s="1"/>
  <c r="G43" i="26"/>
  <c r="AS66" i="19"/>
  <c r="C74" i="26"/>
  <c r="AS38" i="19"/>
  <c r="B114" i="23"/>
  <c r="I71" i="23"/>
  <c r="D71" i="23" s="1"/>
  <c r="P16" i="19"/>
  <c r="AP16" i="19"/>
  <c r="A18" i="23"/>
  <c r="G62" i="26"/>
  <c r="B107" i="23"/>
  <c r="I169" i="23"/>
  <c r="B105" i="23"/>
  <c r="D133" i="23"/>
  <c r="B36" i="23"/>
  <c r="I70" i="23"/>
  <c r="D70" i="23" s="1"/>
  <c r="L167" i="23"/>
  <c r="M167" i="23" s="1"/>
  <c r="B58" i="23"/>
  <c r="B15" i="23"/>
  <c r="D153" i="23"/>
  <c r="I84" i="23"/>
  <c r="D84" i="23" s="1"/>
  <c r="B28" i="23"/>
  <c r="AS34" i="19"/>
  <c r="C42" i="26"/>
  <c r="I81" i="23"/>
  <c r="B102" i="23"/>
  <c r="I112" i="23"/>
  <c r="D198" i="26"/>
  <c r="A198" i="26" s="1"/>
  <c r="F198" i="26"/>
  <c r="C16" i="26"/>
  <c r="AS8" i="19"/>
  <c r="AT87" i="19"/>
  <c r="AR87" i="19" s="1"/>
  <c r="C60" i="26"/>
  <c r="AS52" i="19"/>
  <c r="C174" i="26"/>
  <c r="AS166" i="19"/>
  <c r="I96" i="23"/>
  <c r="D96" i="23" s="1"/>
  <c r="B133" i="23"/>
  <c r="I34" i="23"/>
  <c r="Z86" i="19"/>
  <c r="Z169" i="19"/>
  <c r="I15" i="23"/>
  <c r="D15" i="23" s="1"/>
  <c r="B153" i="23"/>
  <c r="AT38" i="19"/>
  <c r="AR38" i="19" s="1"/>
  <c r="G46" i="26"/>
  <c r="B136" i="23"/>
  <c r="I29" i="23"/>
  <c r="D29" i="23" s="1"/>
  <c r="AT34" i="19"/>
  <c r="AR34" i="19" s="1"/>
  <c r="G42" i="26"/>
  <c r="I4" i="23"/>
  <c r="I175" i="23"/>
  <c r="D175" i="23" s="1"/>
  <c r="B161" i="23"/>
  <c r="H25" i="8"/>
  <c r="I77" i="23"/>
  <c r="Z32" i="19"/>
  <c r="AS87" i="19"/>
  <c r="C95" i="26"/>
  <c r="I184" i="23"/>
  <c r="B144" i="23"/>
  <c r="B69" i="23"/>
  <c r="Z17" i="19"/>
  <c r="I53" i="23"/>
  <c r="AS36" i="19"/>
  <c r="C44" i="26"/>
  <c r="B52" i="23"/>
  <c r="I26" i="23"/>
  <c r="D26" i="23" s="1"/>
  <c r="D54" i="23"/>
  <c r="C57" i="26"/>
  <c r="AS49" i="19"/>
  <c r="D95" i="23"/>
  <c r="AT177" i="19"/>
  <c r="G185" i="26"/>
  <c r="Z145" i="19"/>
  <c r="AS56" i="19"/>
  <c r="C64" i="26"/>
  <c r="C22" i="26"/>
  <c r="AS14" i="19"/>
  <c r="Z63" i="19"/>
  <c r="I67" i="23"/>
  <c r="D67" i="23" s="1"/>
  <c r="AT129" i="19"/>
  <c r="AR129" i="19" s="1"/>
  <c r="G137" i="26"/>
  <c r="AS18" i="19"/>
  <c r="C26" i="26"/>
  <c r="D181" i="23"/>
  <c r="B54" i="23"/>
  <c r="B38" i="23"/>
  <c r="D158" i="23"/>
  <c r="D5" i="23"/>
  <c r="B95" i="23"/>
  <c r="L36" i="23"/>
  <c r="M36" i="23" s="1"/>
  <c r="B140" i="23"/>
  <c r="AS64" i="19"/>
  <c r="C72" i="26"/>
  <c r="B127" i="23"/>
  <c r="AT130" i="19"/>
  <c r="G138" i="26"/>
  <c r="B56" i="23"/>
  <c r="I157" i="23"/>
  <c r="D157" i="23" s="1"/>
  <c r="I73" i="23"/>
  <c r="D73" i="23" s="1"/>
  <c r="B181" i="23"/>
  <c r="B6" i="23"/>
  <c r="I93" i="23"/>
  <c r="D93" i="23" s="1"/>
  <c r="B5" i="23"/>
  <c r="I139" i="23"/>
  <c r="D139" i="23" s="1"/>
  <c r="Z159" i="19"/>
  <c r="AS5" i="19"/>
  <c r="C13" i="26"/>
  <c r="I140" i="23"/>
  <c r="D140" i="23" s="1"/>
  <c r="AS150" i="19"/>
  <c r="C158" i="26"/>
  <c r="AT125" i="19"/>
  <c r="AR125" i="19" s="1"/>
  <c r="G133" i="26"/>
  <c r="B130" i="23"/>
  <c r="AT165" i="19" l="1"/>
  <c r="AR165" i="19" s="1"/>
  <c r="AT44" i="19"/>
  <c r="AR44" i="19" s="1"/>
  <c r="Z18" i="19"/>
  <c r="AT18" i="19" s="1"/>
  <c r="AR18" i="19" s="1"/>
  <c r="Z9" i="19"/>
  <c r="AT9" i="19" s="1"/>
  <c r="AR9" i="19" s="1"/>
  <c r="G115" i="26"/>
  <c r="AT19" i="19"/>
  <c r="AR19" i="19" s="1"/>
  <c r="G93" i="26"/>
  <c r="AS142" i="19"/>
  <c r="C194" i="26"/>
  <c r="G182" i="26"/>
  <c r="C58" i="26"/>
  <c r="F58" i="26" s="1"/>
  <c r="AS51" i="19"/>
  <c r="Z51" i="19"/>
  <c r="G59" i="26" s="1"/>
  <c r="Z186" i="19"/>
  <c r="AT186" i="19" s="1"/>
  <c r="AR186" i="19" s="1"/>
  <c r="G28" i="26"/>
  <c r="Z155" i="19"/>
  <c r="AT155" i="19" s="1"/>
  <c r="AR155" i="19" s="1"/>
  <c r="C25" i="26"/>
  <c r="F25" i="26" s="1"/>
  <c r="AT15" i="19"/>
  <c r="AR15" i="19" s="1"/>
  <c r="AQ15" i="19" s="1"/>
  <c r="AB40" i="19"/>
  <c r="AT88" i="19"/>
  <c r="AR88" i="19" s="1"/>
  <c r="G87" i="26"/>
  <c r="G41" i="26"/>
  <c r="G86" i="26"/>
  <c r="G66" i="26"/>
  <c r="G158" i="26"/>
  <c r="AT163" i="19"/>
  <c r="AR163" i="19" s="1"/>
  <c r="AQ163" i="19" s="1"/>
  <c r="G75" i="26"/>
  <c r="AT124" i="19"/>
  <c r="AR124" i="19" s="1"/>
  <c r="AQ124" i="19" s="1"/>
  <c r="G103" i="26"/>
  <c r="G157" i="26"/>
  <c r="G142" i="26"/>
  <c r="AS125" i="19"/>
  <c r="C115" i="26"/>
  <c r="F115" i="26" s="1"/>
  <c r="G119" i="26"/>
  <c r="AT137" i="19"/>
  <c r="AR137" i="19" s="1"/>
  <c r="B145" i="26" s="1"/>
  <c r="AT157" i="19"/>
  <c r="AR157" i="19" s="1"/>
  <c r="AQ157" i="19" s="1"/>
  <c r="G76" i="26"/>
  <c r="AT24" i="19"/>
  <c r="AR24" i="19" s="1"/>
  <c r="AQ24" i="19" s="1"/>
  <c r="G156" i="26"/>
  <c r="G116" i="26"/>
  <c r="G81" i="26"/>
  <c r="AT170" i="19"/>
  <c r="AR170" i="19" s="1"/>
  <c r="AQ170" i="19" s="1"/>
  <c r="G55" i="26"/>
  <c r="AS73" i="19"/>
  <c r="G179" i="26"/>
  <c r="G161" i="26"/>
  <c r="G14" i="26"/>
  <c r="AT62" i="19"/>
  <c r="AR62" i="19" s="1"/>
  <c r="B70" i="26" s="1"/>
  <c r="AT89" i="19"/>
  <c r="AR89" i="19" s="1"/>
  <c r="AQ89" i="19" s="1"/>
  <c r="AT23" i="19"/>
  <c r="AR23" i="19" s="1"/>
  <c r="AQ23" i="19" s="1"/>
  <c r="G188" i="26"/>
  <c r="AT10" i="19"/>
  <c r="AR10" i="19" s="1"/>
  <c r="AQ10" i="19" s="1"/>
  <c r="G184" i="26"/>
  <c r="G102" i="26"/>
  <c r="AT52" i="19"/>
  <c r="AR52" i="19" s="1"/>
  <c r="B60" i="26" s="1"/>
  <c r="G191" i="26"/>
  <c r="AT76" i="19"/>
  <c r="AR76" i="19" s="1"/>
  <c r="B84" i="26" s="1"/>
  <c r="AT72" i="19"/>
  <c r="AR72" i="19" s="1"/>
  <c r="AQ72" i="19" s="1"/>
  <c r="G122" i="26"/>
  <c r="C142" i="26"/>
  <c r="F142" i="26" s="1"/>
  <c r="G33" i="26"/>
  <c r="AT154" i="19"/>
  <c r="AR154" i="19" s="1"/>
  <c r="B162" i="26" s="1"/>
  <c r="G166" i="26"/>
  <c r="G58" i="26"/>
  <c r="G126" i="26"/>
  <c r="AT13" i="19"/>
  <c r="AR13" i="19" s="1"/>
  <c r="B21" i="26" s="1"/>
  <c r="G154" i="26"/>
  <c r="G29" i="26"/>
  <c r="G195" i="26"/>
  <c r="G172" i="26"/>
  <c r="G39" i="26"/>
  <c r="AT64" i="19"/>
  <c r="AR64" i="19" s="1"/>
  <c r="AQ64" i="19" s="1"/>
  <c r="G136" i="26"/>
  <c r="G98" i="26"/>
  <c r="C32" i="26"/>
  <c r="D32" i="26" s="1"/>
  <c r="A32" i="26" s="1"/>
  <c r="AS28" i="19"/>
  <c r="AS121" i="19"/>
  <c r="C145" i="26"/>
  <c r="D145" i="26" s="1"/>
  <c r="A145" i="26" s="1"/>
  <c r="G36" i="26"/>
  <c r="AS105" i="19"/>
  <c r="AS70" i="19"/>
  <c r="AT27" i="19"/>
  <c r="AR27" i="19" s="1"/>
  <c r="B35" i="26" s="1"/>
  <c r="G30" i="26"/>
  <c r="C84" i="26"/>
  <c r="D84" i="26" s="1"/>
  <c r="A84" i="26" s="1"/>
  <c r="C162" i="26"/>
  <c r="D162" i="26" s="1"/>
  <c r="A162" i="26" s="1"/>
  <c r="C172" i="26"/>
  <c r="D172" i="26" s="1"/>
  <c r="A172" i="26" s="1"/>
  <c r="C166" i="26"/>
  <c r="F166" i="26" s="1"/>
  <c r="AT16" i="19"/>
  <c r="AR16" i="19" s="1"/>
  <c r="AQ16" i="19" s="1"/>
  <c r="AS47" i="19"/>
  <c r="AT69" i="19"/>
  <c r="AR69" i="19" s="1"/>
  <c r="B77" i="26" s="1"/>
  <c r="C54" i="26"/>
  <c r="D54" i="26" s="1"/>
  <c r="G73" i="26"/>
  <c r="G159" i="26"/>
  <c r="AT156" i="19"/>
  <c r="AR156" i="19" s="1"/>
  <c r="B164" i="26" s="1"/>
  <c r="AT75" i="19"/>
  <c r="AR75" i="19" s="1"/>
  <c r="B83" i="26" s="1"/>
  <c r="G101" i="26"/>
  <c r="C164" i="26"/>
  <c r="D164" i="26" s="1"/>
  <c r="A164" i="26" s="1"/>
  <c r="AT122" i="19"/>
  <c r="AR122" i="19" s="1"/>
  <c r="AQ122" i="19" s="1"/>
  <c r="G91" i="26"/>
  <c r="G64" i="26"/>
  <c r="AT184" i="19"/>
  <c r="AR184" i="19" s="1"/>
  <c r="AQ184" i="19" s="1"/>
  <c r="G120" i="26"/>
  <c r="G61" i="26"/>
  <c r="G67" i="26"/>
  <c r="AT71" i="19"/>
  <c r="AR71" i="19" s="1"/>
  <c r="AQ71" i="19" s="1"/>
  <c r="G131" i="26"/>
  <c r="AT178" i="19"/>
  <c r="AT113" i="19"/>
  <c r="AR113" i="19" s="1"/>
  <c r="AQ113" i="19" s="1"/>
  <c r="AT173" i="19"/>
  <c r="AR173" i="19" s="1"/>
  <c r="AQ173" i="19" s="1"/>
  <c r="G129" i="26"/>
  <c r="AT127" i="19"/>
  <c r="AR127" i="19" s="1"/>
  <c r="AQ127" i="19" s="1"/>
  <c r="AT185" i="19"/>
  <c r="AR185" i="19" s="1"/>
  <c r="AQ185" i="19" s="1"/>
  <c r="AT105" i="19"/>
  <c r="AR105" i="19" s="1"/>
  <c r="B113" i="26" s="1"/>
  <c r="G144" i="26"/>
  <c r="AT139" i="19"/>
  <c r="AR139" i="19" s="1"/>
  <c r="AQ139" i="19" s="1"/>
  <c r="AT97" i="19"/>
  <c r="AR97" i="19" s="1"/>
  <c r="B105" i="26" s="1"/>
  <c r="AT135" i="19"/>
  <c r="AR135" i="19" s="1"/>
  <c r="AQ135" i="19" s="1"/>
  <c r="G109" i="26"/>
  <c r="AT100" i="19"/>
  <c r="AR100" i="19" s="1"/>
  <c r="B108" i="26" s="1"/>
  <c r="AT172" i="19"/>
  <c r="AR172" i="19" s="1"/>
  <c r="AQ172" i="19" s="1"/>
  <c r="G100" i="26"/>
  <c r="AT119" i="19"/>
  <c r="AR119" i="19" s="1"/>
  <c r="B127" i="26" s="1"/>
  <c r="G140" i="26"/>
  <c r="G99" i="26"/>
  <c r="G150" i="26"/>
  <c r="G123" i="26"/>
  <c r="AT131" i="19"/>
  <c r="AS119" i="19"/>
  <c r="AT84" i="19"/>
  <c r="AR84" i="19" s="1"/>
  <c r="AQ84" i="19" s="1"/>
  <c r="G141" i="26"/>
  <c r="G51" i="26"/>
  <c r="G134" i="26"/>
  <c r="G63" i="26"/>
  <c r="AS59" i="19"/>
  <c r="G54" i="26"/>
  <c r="G50" i="26"/>
  <c r="G56" i="26"/>
  <c r="AS96" i="19"/>
  <c r="C179" i="26"/>
  <c r="D179" i="26" s="1"/>
  <c r="A179" i="26" s="1"/>
  <c r="AT5" i="19"/>
  <c r="AR5" i="19" s="1"/>
  <c r="B13" i="26" s="1"/>
  <c r="AS21" i="19"/>
  <c r="G45" i="26"/>
  <c r="G118" i="26"/>
  <c r="AT14" i="19"/>
  <c r="AR14" i="19" s="1"/>
  <c r="AQ14" i="19" s="1"/>
  <c r="C24" i="26"/>
  <c r="D24" i="26" s="1"/>
  <c r="A24" i="26" s="1"/>
  <c r="G174" i="26"/>
  <c r="C66" i="26"/>
  <c r="F66" i="26" s="1"/>
  <c r="AS187" i="19"/>
  <c r="AS111" i="19"/>
  <c r="AS146" i="19"/>
  <c r="C178" i="26"/>
  <c r="D178" i="26" s="1"/>
  <c r="A178" i="26" s="1"/>
  <c r="C76" i="26"/>
  <c r="F76" i="26" s="1"/>
  <c r="C187" i="26"/>
  <c r="D187" i="26" s="1"/>
  <c r="C97" i="26"/>
  <c r="F97" i="26" s="1"/>
  <c r="D4" i="23"/>
  <c r="G106" i="26"/>
  <c r="L41" i="23"/>
  <c r="AT45" i="19"/>
  <c r="AR45" i="19" s="1"/>
  <c r="AQ45" i="19" s="1"/>
  <c r="G26" i="26"/>
  <c r="AS112" i="19"/>
  <c r="C56" i="26"/>
  <c r="D56" i="26" s="1"/>
  <c r="A56" i="26" s="1"/>
  <c r="C93" i="26"/>
  <c r="D93" i="26" s="1"/>
  <c r="A93" i="26" s="1"/>
  <c r="G155" i="26"/>
  <c r="AS9" i="19"/>
  <c r="G37" i="26"/>
  <c r="G176" i="26"/>
  <c r="C30" i="26"/>
  <c r="D30" i="26" s="1"/>
  <c r="A30" i="26" s="1"/>
  <c r="G34" i="26"/>
  <c r="AT7" i="19"/>
  <c r="AR7" i="19" s="1"/>
  <c r="AQ7" i="19" s="1"/>
  <c r="C87" i="26"/>
  <c r="D87" i="26" s="1"/>
  <c r="A87" i="26" s="1"/>
  <c r="C144" i="26"/>
  <c r="D144" i="26" s="1"/>
  <c r="A144" i="26" s="1"/>
  <c r="C136" i="26"/>
  <c r="F136" i="26" s="1"/>
  <c r="C70" i="26"/>
  <c r="F70" i="26" s="1"/>
  <c r="I13" i="23"/>
  <c r="D13" i="23" s="1"/>
  <c r="I121" i="23"/>
  <c r="D121" i="23" s="1"/>
  <c r="I24" i="23"/>
  <c r="D24" i="23" s="1"/>
  <c r="I122" i="23"/>
  <c r="D122" i="23" s="1"/>
  <c r="I65" i="23"/>
  <c r="D65" i="23" s="1"/>
  <c r="AS72" i="19"/>
  <c r="I42" i="23"/>
  <c r="AQ174" i="19"/>
  <c r="B182" i="26"/>
  <c r="AQ108" i="19"/>
  <c r="B116" i="26"/>
  <c r="AS101" i="19"/>
  <c r="C109" i="26"/>
  <c r="F172" i="26"/>
  <c r="B175" i="23"/>
  <c r="G177" i="26"/>
  <c r="AT169" i="19"/>
  <c r="AR169" i="19" s="1"/>
  <c r="C101" i="26"/>
  <c r="AS93" i="19"/>
  <c r="AR175" i="19"/>
  <c r="AR176" i="19" s="1"/>
  <c r="AQ179" i="19"/>
  <c r="B187" i="26"/>
  <c r="AT51" i="19"/>
  <c r="AR51" i="19" s="1"/>
  <c r="D151" i="26"/>
  <c r="A151" i="26" s="1"/>
  <c r="F151" i="26"/>
  <c r="C171" i="26"/>
  <c r="AS163" i="19"/>
  <c r="C188" i="26"/>
  <c r="AS180" i="19"/>
  <c r="D58" i="26"/>
  <c r="A58" i="26" s="1"/>
  <c r="D45" i="26"/>
  <c r="A45" i="26" s="1"/>
  <c r="F45" i="26"/>
  <c r="B119" i="23"/>
  <c r="AS135" i="19"/>
  <c r="C143" i="26"/>
  <c r="B80" i="23"/>
  <c r="AQ46" i="19"/>
  <c r="B54" i="26"/>
  <c r="D71" i="26"/>
  <c r="A71" i="26" s="1"/>
  <c r="F71" i="26"/>
  <c r="F59" i="26"/>
  <c r="D59" i="26"/>
  <c r="AQ151" i="19"/>
  <c r="B159" i="26"/>
  <c r="AT159" i="19"/>
  <c r="AR159" i="19" s="1"/>
  <c r="AR160" i="19" s="1"/>
  <c r="G167" i="26"/>
  <c r="B67" i="23"/>
  <c r="B29" i="26"/>
  <c r="AQ21" i="19"/>
  <c r="B43" i="26"/>
  <c r="AQ35" i="19"/>
  <c r="AQ55" i="19"/>
  <c r="B63" i="26"/>
  <c r="B111" i="23"/>
  <c r="B138" i="23"/>
  <c r="F176" i="26"/>
  <c r="D176" i="26"/>
  <c r="A176" i="26" s="1"/>
  <c r="F192" i="26"/>
  <c r="D192" i="26"/>
  <c r="A192" i="26" s="1"/>
  <c r="G85" i="26"/>
  <c r="AT77" i="19"/>
  <c r="AR77" i="19" s="1"/>
  <c r="AQ48" i="19"/>
  <c r="B56" i="26"/>
  <c r="F29" i="26"/>
  <c r="D29" i="26"/>
  <c r="A29" i="26" s="1"/>
  <c r="AQ59" i="19"/>
  <c r="B67" i="26"/>
  <c r="B65" i="23"/>
  <c r="B126" i="23"/>
  <c r="AS92" i="19"/>
  <c r="C100" i="26"/>
  <c r="AQ73" i="19"/>
  <c r="B81" i="26"/>
  <c r="G71" i="26"/>
  <c r="AT63" i="19"/>
  <c r="AR63" i="19" s="1"/>
  <c r="D57" i="26"/>
  <c r="A57" i="26" s="1"/>
  <c r="F57" i="26"/>
  <c r="B184" i="23"/>
  <c r="I29" i="8"/>
  <c r="E145" i="7" s="1"/>
  <c r="K25" i="8"/>
  <c r="AE540" i="28" s="1"/>
  <c r="AF540" i="28" s="1"/>
  <c r="AB543" i="28"/>
  <c r="J25" i="8"/>
  <c r="AQ128" i="19"/>
  <c r="B136" i="26"/>
  <c r="AQ12" i="19"/>
  <c r="B20" i="26"/>
  <c r="B64" i="23"/>
  <c r="B188" i="23"/>
  <c r="F175" i="26"/>
  <c r="D175" i="26"/>
  <c r="A175" i="26" s="1"/>
  <c r="B145" i="23"/>
  <c r="AQ67" i="19"/>
  <c r="B75" i="26"/>
  <c r="B118" i="26"/>
  <c r="AQ110" i="19"/>
  <c r="AQ78" i="19"/>
  <c r="B86" i="26"/>
  <c r="AT66" i="19"/>
  <c r="AR66" i="19" s="1"/>
  <c r="G74" i="26"/>
  <c r="B132" i="26"/>
  <c r="B93" i="26"/>
  <c r="AQ85" i="19"/>
  <c r="AQ123" i="19"/>
  <c r="B131" i="26"/>
  <c r="AS132" i="19"/>
  <c r="C140" i="26"/>
  <c r="C52" i="26"/>
  <c r="AS44" i="19"/>
  <c r="B30" i="23"/>
  <c r="D82" i="26"/>
  <c r="F82" i="26"/>
  <c r="B151" i="23"/>
  <c r="B4" i="23"/>
  <c r="B7" i="23"/>
  <c r="I64" i="23"/>
  <c r="D64" i="23" s="1"/>
  <c r="I188" i="23"/>
  <c r="D188" i="23" s="1"/>
  <c r="B92" i="23"/>
  <c r="B137" i="23"/>
  <c r="D152" i="26"/>
  <c r="A152" i="26" s="1"/>
  <c r="F152" i="26"/>
  <c r="D120" i="26"/>
  <c r="A120" i="26" s="1"/>
  <c r="F120" i="26"/>
  <c r="G151" i="26"/>
  <c r="AT143" i="19"/>
  <c r="AR143" i="19" s="1"/>
  <c r="B36" i="26"/>
  <c r="AQ28" i="19"/>
  <c r="C31" i="26"/>
  <c r="AS23" i="19"/>
  <c r="AQ99" i="19"/>
  <c r="B107" i="26"/>
  <c r="AS133" i="19"/>
  <c r="C141" i="26"/>
  <c r="AQ31" i="19"/>
  <c r="B39" i="26"/>
  <c r="D147" i="26"/>
  <c r="A147" i="26" s="1"/>
  <c r="F147" i="26"/>
  <c r="B25" i="23"/>
  <c r="B104" i="26"/>
  <c r="AQ96" i="19"/>
  <c r="B101" i="23"/>
  <c r="I30" i="23"/>
  <c r="D30" i="23" s="1"/>
  <c r="B51" i="26"/>
  <c r="AQ43" i="19"/>
  <c r="B103" i="26"/>
  <c r="AQ95" i="19"/>
  <c r="B139" i="23"/>
  <c r="B73" i="23"/>
  <c r="I151" i="23"/>
  <c r="D151" i="23" s="1"/>
  <c r="B102" i="26"/>
  <c r="AQ94" i="19"/>
  <c r="AQ150" i="19"/>
  <c r="B158" i="26"/>
  <c r="AQ83" i="19"/>
  <c r="B91" i="26"/>
  <c r="B70" i="23"/>
  <c r="D114" i="26"/>
  <c r="A114" i="26" s="1"/>
  <c r="F114" i="26"/>
  <c r="B128" i="26"/>
  <c r="AQ120" i="19"/>
  <c r="I7" i="23"/>
  <c r="D7" i="23" s="1"/>
  <c r="C50" i="26"/>
  <c r="AS42" i="19"/>
  <c r="G114" i="26"/>
  <c r="AT106" i="19"/>
  <c r="AR106" i="19" s="1"/>
  <c r="I92" i="23"/>
  <c r="AQ164" i="19"/>
  <c r="B172" i="26"/>
  <c r="D18" i="23"/>
  <c r="AQ149" i="19"/>
  <c r="B157" i="26"/>
  <c r="D78" i="26"/>
  <c r="A78" i="26" s="1"/>
  <c r="F78" i="26"/>
  <c r="AQ136" i="19"/>
  <c r="B144" i="26"/>
  <c r="C102" i="26"/>
  <c r="AS94" i="19"/>
  <c r="G146" i="26"/>
  <c r="AT138" i="19"/>
  <c r="AR138" i="19" s="1"/>
  <c r="AQ147" i="19"/>
  <c r="B155" i="26"/>
  <c r="AS95" i="19"/>
  <c r="C103" i="26"/>
  <c r="AQ93" i="19"/>
  <c r="B101" i="26"/>
  <c r="B26" i="23"/>
  <c r="AQ68" i="19"/>
  <c r="B76" i="26"/>
  <c r="AT86" i="19"/>
  <c r="AR86" i="19" s="1"/>
  <c r="G94" i="26"/>
  <c r="B81" i="23"/>
  <c r="F62" i="26"/>
  <c r="D62" i="26"/>
  <c r="A62" i="26" s="1"/>
  <c r="AQ153" i="19"/>
  <c r="B161" i="26"/>
  <c r="G160" i="26"/>
  <c r="AT152" i="19"/>
  <c r="AR152" i="19" s="1"/>
  <c r="B18" i="23"/>
  <c r="B40" i="23"/>
  <c r="B142" i="26"/>
  <c r="AQ134" i="19"/>
  <c r="B172" i="23"/>
  <c r="AQ133" i="19"/>
  <c r="B141" i="26"/>
  <c r="AS109" i="19"/>
  <c r="C117" i="26"/>
  <c r="AT30" i="19"/>
  <c r="AR30" i="19" s="1"/>
  <c r="G38" i="26"/>
  <c r="G65" i="26"/>
  <c r="AT57" i="19"/>
  <c r="AR57" i="19" s="1"/>
  <c r="B66" i="23"/>
  <c r="F38" i="26"/>
  <c r="D38" i="26"/>
  <c r="A38" i="26" s="1"/>
  <c r="AQ158" i="19"/>
  <c r="B166" i="26"/>
  <c r="AS157" i="19"/>
  <c r="C165" i="26"/>
  <c r="D42" i="26"/>
  <c r="A42" i="26" s="1"/>
  <c r="F42" i="26"/>
  <c r="B62" i="26"/>
  <c r="AQ54" i="19"/>
  <c r="D19" i="26"/>
  <c r="A19" i="26" s="1"/>
  <c r="F19" i="26"/>
  <c r="J41" i="23"/>
  <c r="V39" i="19"/>
  <c r="AC39" i="19"/>
  <c r="F77" i="26"/>
  <c r="D77" i="26"/>
  <c r="A77" i="26" s="1"/>
  <c r="AS97" i="19"/>
  <c r="C105" i="26"/>
  <c r="AS100" i="19"/>
  <c r="C108" i="26"/>
  <c r="AT104" i="19"/>
  <c r="AR104" i="19" s="1"/>
  <c r="G112" i="26"/>
  <c r="AT74" i="19"/>
  <c r="AR74" i="19" s="1"/>
  <c r="G82" i="26"/>
  <c r="B72" i="23"/>
  <c r="B171" i="23"/>
  <c r="AQ148" i="19"/>
  <c r="B156" i="26"/>
  <c r="D15" i="26"/>
  <c r="A15" i="26" s="1"/>
  <c r="F15" i="26"/>
  <c r="B55" i="23"/>
  <c r="D137" i="26"/>
  <c r="A137" i="26" s="1"/>
  <c r="F137" i="26"/>
  <c r="B157" i="23"/>
  <c r="D72" i="26"/>
  <c r="A72" i="26" s="1"/>
  <c r="F72" i="26"/>
  <c r="AS13" i="19"/>
  <c r="C21" i="26"/>
  <c r="B42" i="26"/>
  <c r="AQ34" i="19"/>
  <c r="D133" i="26"/>
  <c r="A133" i="26" s="1"/>
  <c r="F133" i="26"/>
  <c r="F167" i="26"/>
  <c r="D167" i="26"/>
  <c r="A167" i="26" s="1"/>
  <c r="B8" i="23"/>
  <c r="AS174" i="19"/>
  <c r="C182" i="26"/>
  <c r="B125" i="23"/>
  <c r="AQ166" i="19"/>
  <c r="B174" i="26"/>
  <c r="D118" i="26"/>
  <c r="A118" i="26" s="1"/>
  <c r="F118" i="26"/>
  <c r="AQ29" i="19"/>
  <c r="B37" i="26"/>
  <c r="B121" i="23"/>
  <c r="B122" i="23"/>
  <c r="B32" i="23"/>
  <c r="D112" i="26"/>
  <c r="F112" i="26"/>
  <c r="AS108" i="19"/>
  <c r="C116" i="26"/>
  <c r="B50" i="23"/>
  <c r="B179" i="26"/>
  <c r="AQ171" i="19"/>
  <c r="D98" i="26"/>
  <c r="A98" i="26" s="1"/>
  <c r="F98" i="26"/>
  <c r="F92" i="26"/>
  <c r="D92" i="26"/>
  <c r="A92" i="26" s="1"/>
  <c r="B120" i="26"/>
  <c r="AQ112" i="19"/>
  <c r="D22" i="26"/>
  <c r="A22" i="26" s="1"/>
  <c r="F22" i="26"/>
  <c r="D44" i="26"/>
  <c r="A44" i="26" s="1"/>
  <c r="F44" i="26"/>
  <c r="AS55" i="19"/>
  <c r="C63" i="26"/>
  <c r="AQ33" i="19"/>
  <c r="B41" i="26"/>
  <c r="AQ87" i="19"/>
  <c r="B95" i="26"/>
  <c r="D150" i="26"/>
  <c r="A150" i="26" s="1"/>
  <c r="F150" i="26"/>
  <c r="D180" i="26"/>
  <c r="A180" i="26" s="1"/>
  <c r="F180" i="26"/>
  <c r="B41" i="23"/>
  <c r="AS151" i="19"/>
  <c r="C159" i="26"/>
  <c r="B87" i="26"/>
  <c r="AQ79" i="19"/>
  <c r="B78" i="26"/>
  <c r="AQ70" i="19"/>
  <c r="AT144" i="19"/>
  <c r="AR144" i="19" s="1"/>
  <c r="G152" i="26"/>
  <c r="AQ47" i="19"/>
  <c r="B55" i="26"/>
  <c r="AQ22" i="19"/>
  <c r="B30" i="26"/>
  <c r="B39" i="23"/>
  <c r="D107" i="26"/>
  <c r="A107" i="26" s="1"/>
  <c r="F107" i="26"/>
  <c r="AS33" i="19"/>
  <c r="C41" i="26"/>
  <c r="AS12" i="19"/>
  <c r="C20" i="26"/>
  <c r="B24" i="23"/>
  <c r="AQ125" i="19"/>
  <c r="B133" i="26"/>
  <c r="D104" i="26"/>
  <c r="F104" i="26"/>
  <c r="D64" i="26"/>
  <c r="A64" i="26" s="1"/>
  <c r="F64" i="26"/>
  <c r="B29" i="23"/>
  <c r="D127" i="26"/>
  <c r="A127" i="26" s="1"/>
  <c r="F127" i="26"/>
  <c r="B129" i="23"/>
  <c r="D34" i="26"/>
  <c r="A34" i="26" s="1"/>
  <c r="F34" i="26"/>
  <c r="AS25" i="19"/>
  <c r="C33" i="26"/>
  <c r="B22" i="23"/>
  <c r="B33" i="23"/>
  <c r="C18" i="26"/>
  <c r="AS10" i="19"/>
  <c r="AS153" i="19"/>
  <c r="C161" i="26"/>
  <c r="G16" i="26"/>
  <c r="AT8" i="19"/>
  <c r="AR8" i="19" s="1"/>
  <c r="AQ98" i="19"/>
  <c r="B106" i="26"/>
  <c r="B11" i="23"/>
  <c r="AQ42" i="19"/>
  <c r="B50" i="26"/>
  <c r="B134" i="23"/>
  <c r="D121" i="26"/>
  <c r="A121" i="26" s="1"/>
  <c r="F121" i="26"/>
  <c r="D158" i="26"/>
  <c r="A158" i="26" s="1"/>
  <c r="F158" i="26"/>
  <c r="B93" i="23"/>
  <c r="C132" i="26"/>
  <c r="AS124" i="19"/>
  <c r="D119" i="26"/>
  <c r="A119" i="26" s="1"/>
  <c r="F119" i="26"/>
  <c r="B9" i="23"/>
  <c r="C96" i="26"/>
  <c r="AS88" i="19"/>
  <c r="B152" i="23"/>
  <c r="B44" i="23"/>
  <c r="B128" i="23"/>
  <c r="AS19" i="19"/>
  <c r="C27" i="26"/>
  <c r="B154" i="23"/>
  <c r="AQ4" i="19"/>
  <c r="B12" i="26"/>
  <c r="D79" i="26"/>
  <c r="A79" i="26" s="1"/>
  <c r="F79" i="26"/>
  <c r="AQ26" i="19"/>
  <c r="B34" i="26"/>
  <c r="B168" i="23"/>
  <c r="F163" i="26"/>
  <c r="D163" i="26"/>
  <c r="A163" i="26" s="1"/>
  <c r="AS6" i="19"/>
  <c r="C14" i="26"/>
  <c r="AQ101" i="19"/>
  <c r="B109" i="26"/>
  <c r="C157" i="26"/>
  <c r="AS149" i="19"/>
  <c r="C122" i="26"/>
  <c r="AS114" i="19"/>
  <c r="AS35" i="19"/>
  <c r="C43" i="26"/>
  <c r="B34" i="23"/>
  <c r="B84" i="23"/>
  <c r="AQ65" i="19"/>
  <c r="B73" i="26"/>
  <c r="I9" i="23"/>
  <c r="D9" i="23" s="1"/>
  <c r="AT82" i="19"/>
  <c r="AR82" i="19" s="1"/>
  <c r="G90" i="26"/>
  <c r="B43" i="23"/>
  <c r="D55" i="26"/>
  <c r="A55" i="26" s="1"/>
  <c r="F55" i="26"/>
  <c r="B86" i="23"/>
  <c r="B60" i="23"/>
  <c r="B110" i="23"/>
  <c r="B31" i="23"/>
  <c r="AQ107" i="19"/>
  <c r="B115" i="26"/>
  <c r="AQ114" i="19"/>
  <c r="B122" i="26"/>
  <c r="B171" i="26"/>
  <c r="B123" i="26"/>
  <c r="AQ115" i="19"/>
  <c r="AQ37" i="19"/>
  <c r="B45" i="26"/>
  <c r="AQ19" i="19"/>
  <c r="B27" i="26"/>
  <c r="D95" i="26"/>
  <c r="A95" i="26" s="1"/>
  <c r="F95" i="26"/>
  <c r="AQ132" i="19"/>
  <c r="B140" i="26"/>
  <c r="AS20" i="19"/>
  <c r="C28" i="26"/>
  <c r="Z189" i="19"/>
  <c r="B158" i="23"/>
  <c r="D65" i="26"/>
  <c r="A65" i="26" s="1"/>
  <c r="F65" i="26"/>
  <c r="AQ58" i="19"/>
  <c r="B66" i="26"/>
  <c r="B53" i="23"/>
  <c r="AQ50" i="19"/>
  <c r="B58" i="26"/>
  <c r="B46" i="26"/>
  <c r="AQ38" i="19"/>
  <c r="F173" i="26"/>
  <c r="D173" i="26"/>
  <c r="A173" i="26" s="1"/>
  <c r="B71" i="23"/>
  <c r="D91" i="26"/>
  <c r="A91" i="26" s="1"/>
  <c r="F91" i="26"/>
  <c r="D134" i="26"/>
  <c r="A134" i="26" s="1"/>
  <c r="F134" i="26"/>
  <c r="B150" i="26"/>
  <c r="AQ142" i="19"/>
  <c r="B116" i="23"/>
  <c r="AS75" i="19"/>
  <c r="C83" i="26"/>
  <c r="AT188" i="19"/>
  <c r="AR188" i="19" s="1"/>
  <c r="G196" i="26"/>
  <c r="B135" i="23"/>
  <c r="B159" i="23"/>
  <c r="B99" i="23"/>
  <c r="B17" i="23"/>
  <c r="L104" i="23"/>
  <c r="C12" i="26"/>
  <c r="AS4" i="19"/>
  <c r="F26" i="26"/>
  <c r="D26" i="26"/>
  <c r="A26" i="26" s="1"/>
  <c r="AT145" i="19"/>
  <c r="AR145" i="19" s="1"/>
  <c r="G153" i="26"/>
  <c r="D129" i="26"/>
  <c r="A129" i="26" s="1"/>
  <c r="F129" i="26"/>
  <c r="D16" i="26"/>
  <c r="A16" i="26" s="1"/>
  <c r="F16" i="26"/>
  <c r="B119" i="26"/>
  <c r="AQ111" i="19"/>
  <c r="D90" i="26"/>
  <c r="A90" i="26" s="1"/>
  <c r="F90" i="26"/>
  <c r="AS78" i="19"/>
  <c r="C86" i="26"/>
  <c r="B19" i="26"/>
  <c r="AQ11" i="19"/>
  <c r="D153" i="26"/>
  <c r="A153" i="26" s="1"/>
  <c r="F153" i="26"/>
  <c r="Z3" i="19"/>
  <c r="AS185" i="19"/>
  <c r="C193" i="26"/>
  <c r="B59" i="23"/>
  <c r="B113" i="23"/>
  <c r="F53" i="26"/>
  <c r="D53" i="26"/>
  <c r="A53" i="26" s="1"/>
  <c r="D99" i="26"/>
  <c r="A99" i="26" s="1"/>
  <c r="F99" i="26"/>
  <c r="AQ44" i="19"/>
  <c r="B52" i="26"/>
  <c r="B103" i="23"/>
  <c r="B186" i="23"/>
  <c r="L82" i="23"/>
  <c r="D13" i="26"/>
  <c r="A13" i="26" s="1"/>
  <c r="F13" i="26"/>
  <c r="AR130" i="19"/>
  <c r="AQ126" i="19"/>
  <c r="B134" i="26"/>
  <c r="B96" i="23"/>
  <c r="AQ53" i="19"/>
  <c r="B61" i="26"/>
  <c r="D51" i="26"/>
  <c r="A51" i="26" s="1"/>
  <c r="F51" i="26"/>
  <c r="B148" i="23"/>
  <c r="B12" i="23"/>
  <c r="AS31" i="19"/>
  <c r="C39" i="26"/>
  <c r="D67" i="26"/>
  <c r="A67" i="26" s="1"/>
  <c r="F67" i="26"/>
  <c r="B17" i="26"/>
  <c r="AQ9" i="19"/>
  <c r="C10" i="26"/>
  <c r="AS2" i="19"/>
  <c r="B85" i="23"/>
  <c r="B115" i="23"/>
  <c r="C35" i="26"/>
  <c r="AS27" i="19"/>
  <c r="B48" i="23"/>
  <c r="B149" i="23"/>
  <c r="B155" i="23"/>
  <c r="D94" i="26"/>
  <c r="A94" i="26" s="1"/>
  <c r="F94" i="26"/>
  <c r="D195" i="26"/>
  <c r="A195" i="26" s="1"/>
  <c r="F195" i="26"/>
  <c r="D34" i="23"/>
  <c r="I186" i="23"/>
  <c r="D186" i="23" s="1"/>
  <c r="L42" i="23"/>
  <c r="AQ109" i="19"/>
  <c r="B117" i="26"/>
  <c r="F17" i="26"/>
  <c r="D17" i="26"/>
  <c r="A17" i="26" s="1"/>
  <c r="AQ146" i="19"/>
  <c r="B154" i="26"/>
  <c r="AT17" i="19"/>
  <c r="AR17" i="19" s="1"/>
  <c r="G25" i="26"/>
  <c r="B96" i="26"/>
  <c r="AQ88" i="19"/>
  <c r="AS67" i="19"/>
  <c r="C75" i="26"/>
  <c r="AQ56" i="19"/>
  <c r="B64" i="26"/>
  <c r="D46" i="26"/>
  <c r="A46" i="26" s="1"/>
  <c r="F46" i="26"/>
  <c r="F154" i="26"/>
  <c r="D154" i="26"/>
  <c r="A154" i="26" s="1"/>
  <c r="G10" i="26"/>
  <c r="AT2" i="19"/>
  <c r="AR2" i="19" s="1"/>
  <c r="I85" i="23"/>
  <c r="D85" i="23" s="1"/>
  <c r="F37" i="26"/>
  <c r="D37" i="26"/>
  <c r="A37" i="26" s="1"/>
  <c r="L62" i="23"/>
  <c r="I149" i="23"/>
  <c r="D149" i="23" s="1"/>
  <c r="F73" i="26"/>
  <c r="D73" i="26"/>
  <c r="A73" i="26" s="1"/>
  <c r="AQ180" i="19"/>
  <c r="B188" i="26"/>
  <c r="AS173" i="19"/>
  <c r="C181" i="26"/>
  <c r="B26" i="26"/>
  <c r="AQ18" i="19"/>
  <c r="AT32" i="19"/>
  <c r="AR32" i="19" s="1"/>
  <c r="G40" i="26"/>
  <c r="D174" i="26"/>
  <c r="A174" i="26" s="1"/>
  <c r="F174" i="26"/>
  <c r="C135" i="26"/>
  <c r="AS127" i="19"/>
  <c r="D113" i="26"/>
  <c r="A113" i="26" s="1"/>
  <c r="F113" i="26"/>
  <c r="AQ121" i="19"/>
  <c r="B129" i="26"/>
  <c r="B195" i="26"/>
  <c r="AQ187" i="19"/>
  <c r="AT167" i="19"/>
  <c r="AR167" i="19" s="1"/>
  <c r="G175" i="26"/>
  <c r="D160" i="26"/>
  <c r="A160" i="26" s="1"/>
  <c r="F160" i="26"/>
  <c r="B182" i="23"/>
  <c r="AS122" i="19"/>
  <c r="C130" i="26"/>
  <c r="AS115" i="19"/>
  <c r="C123" i="26"/>
  <c r="D81" i="26"/>
  <c r="A81" i="26" s="1"/>
  <c r="F81" i="26"/>
  <c r="D80" i="26"/>
  <c r="A80" i="26" s="1"/>
  <c r="F80" i="26"/>
  <c r="F40" i="26"/>
  <c r="D40" i="26"/>
  <c r="A40" i="26" s="1"/>
  <c r="L118" i="23"/>
  <c r="C61" i="26"/>
  <c r="AS53" i="19"/>
  <c r="B112" i="23"/>
  <c r="D74" i="26"/>
  <c r="A74" i="26" s="1"/>
  <c r="F74" i="26"/>
  <c r="B74" i="23"/>
  <c r="B49" i="23"/>
  <c r="D146" i="26"/>
  <c r="A146" i="26" s="1"/>
  <c r="F146" i="26"/>
  <c r="C128" i="26"/>
  <c r="AS120" i="19"/>
  <c r="D155" i="26"/>
  <c r="A155" i="26" s="1"/>
  <c r="F155" i="26"/>
  <c r="B14" i="23"/>
  <c r="AQ20" i="19"/>
  <c r="B28" i="26"/>
  <c r="D177" i="26"/>
  <c r="A177" i="26" s="1"/>
  <c r="F177" i="26"/>
  <c r="B176" i="26"/>
  <c r="AQ168" i="19"/>
  <c r="G57" i="26"/>
  <c r="AT49" i="19"/>
  <c r="AR49" i="19" s="1"/>
  <c r="AT36" i="19"/>
  <c r="AR36" i="19" s="1"/>
  <c r="G44" i="26"/>
  <c r="B166" i="23"/>
  <c r="B98" i="26"/>
  <c r="AQ90" i="19"/>
  <c r="D40" i="23"/>
  <c r="D85" i="26"/>
  <c r="A85" i="26" s="1"/>
  <c r="F85" i="26"/>
  <c r="B137" i="26"/>
  <c r="AQ129" i="19"/>
  <c r="B173" i="26"/>
  <c r="AQ165" i="19"/>
  <c r="B77" i="23"/>
  <c r="D60" i="26"/>
  <c r="A60" i="26" s="1"/>
  <c r="F60" i="26"/>
  <c r="AQ25" i="19"/>
  <c r="B33" i="26"/>
  <c r="AQ92" i="19"/>
  <c r="B100" i="26"/>
  <c r="AQ91" i="19"/>
  <c r="B99" i="26"/>
  <c r="D106" i="26"/>
  <c r="A106" i="26" s="1"/>
  <c r="F106" i="26"/>
  <c r="AQ6" i="19"/>
  <c r="B14" i="26"/>
  <c r="B89" i="23"/>
  <c r="B13" i="23"/>
  <c r="F131" i="26"/>
  <c r="D131" i="26"/>
  <c r="A131" i="26" s="1"/>
  <c r="AS148" i="19"/>
  <c r="C156" i="26"/>
  <c r="D194" i="26"/>
  <c r="A194" i="26" s="1"/>
  <c r="F194" i="26"/>
  <c r="AS15" i="19"/>
  <c r="C23" i="26"/>
  <c r="I166" i="23"/>
  <c r="D36" i="26"/>
  <c r="A36" i="26" s="1"/>
  <c r="F36" i="26"/>
  <c r="W39" i="19"/>
  <c r="G163" i="26" l="1"/>
  <c r="D25" i="26"/>
  <c r="A25" i="26" s="1"/>
  <c r="B23" i="26"/>
  <c r="G194" i="26"/>
  <c r="G17" i="26"/>
  <c r="AA40" i="19"/>
  <c r="AB41" i="19" s="1"/>
  <c r="AC41" i="19" s="1"/>
  <c r="AQ13" i="19"/>
  <c r="B165" i="26"/>
  <c r="D115" i="26"/>
  <c r="AQ52" i="19"/>
  <c r="B97" i="26"/>
  <c r="AQ137" i="19"/>
  <c r="F164" i="26"/>
  <c r="F145" i="26"/>
  <c r="B178" i="26"/>
  <c r="B32" i="26"/>
  <c r="AQ76" i="19"/>
  <c r="D166" i="26"/>
  <c r="A166" i="26" s="1"/>
  <c r="B18" i="26"/>
  <c r="AQ62" i="19"/>
  <c r="B31" i="26"/>
  <c r="B22" i="26"/>
  <c r="B192" i="26"/>
  <c r="D142" i="26"/>
  <c r="A142" i="26" s="1"/>
  <c r="B72" i="26"/>
  <c r="AQ154" i="19"/>
  <c r="AQ5" i="19"/>
  <c r="B80" i="26"/>
  <c r="F32" i="26"/>
  <c r="B143" i="26"/>
  <c r="AQ27" i="19"/>
  <c r="AQ105" i="19"/>
  <c r="F24" i="26"/>
  <c r="F84" i="26"/>
  <c r="B121" i="26"/>
  <c r="B24" i="26"/>
  <c r="AQ119" i="19"/>
  <c r="B135" i="26"/>
  <c r="F30" i="26"/>
  <c r="B130" i="26"/>
  <c r="AQ75" i="19"/>
  <c r="F54" i="26"/>
  <c r="B193" i="26"/>
  <c r="AQ69" i="19"/>
  <c r="AQ97" i="19"/>
  <c r="F162" i="26"/>
  <c r="AQ156" i="19"/>
  <c r="B147" i="26"/>
  <c r="B181" i="26"/>
  <c r="F56" i="26"/>
  <c r="B92" i="26"/>
  <c r="B180" i="26"/>
  <c r="F93" i="26"/>
  <c r="B79" i="26"/>
  <c r="F179" i="26"/>
  <c r="AQ100" i="19"/>
  <c r="D76" i="26"/>
  <c r="A76" i="26" s="1"/>
  <c r="F187" i="26"/>
  <c r="B53" i="26"/>
  <c r="F178" i="26"/>
  <c r="D66" i="26"/>
  <c r="A66" i="26" s="1"/>
  <c r="D97" i="26"/>
  <c r="A97" i="26" s="1"/>
  <c r="A187" i="26"/>
  <c r="B15" i="26"/>
  <c r="P58" i="19"/>
  <c r="AP47" i="19"/>
  <c r="F87" i="26"/>
  <c r="D136" i="26"/>
  <c r="A136" i="26" s="1"/>
  <c r="D70" i="26"/>
  <c r="F144" i="26"/>
  <c r="D135" i="26"/>
  <c r="A135" i="26" s="1"/>
  <c r="F135" i="26"/>
  <c r="D86" i="26"/>
  <c r="A86" i="26" s="1"/>
  <c r="F86" i="26"/>
  <c r="AQ2" i="19"/>
  <c r="B10" i="26"/>
  <c r="D35" i="26"/>
  <c r="A35" i="26" s="1"/>
  <c r="F35" i="26"/>
  <c r="D61" i="26"/>
  <c r="A61" i="26" s="1"/>
  <c r="F61" i="26"/>
  <c r="D23" i="26"/>
  <c r="A23" i="26" s="1"/>
  <c r="F23" i="26"/>
  <c r="B40" i="26"/>
  <c r="AQ32" i="19"/>
  <c r="D128" i="26"/>
  <c r="A128" i="26" s="1"/>
  <c r="F128" i="26"/>
  <c r="C197" i="26"/>
  <c r="AS189" i="19"/>
  <c r="F181" i="26"/>
  <c r="D181" i="26"/>
  <c r="A181" i="26" s="1"/>
  <c r="G197" i="26"/>
  <c r="AT189" i="19"/>
  <c r="AR189" i="19" s="1"/>
  <c r="AQ186" i="19"/>
  <c r="B194" i="26"/>
  <c r="D10" i="26"/>
  <c r="A10" i="26" s="1"/>
  <c r="F10" i="26"/>
  <c r="D43" i="26"/>
  <c r="A43" i="26" s="1"/>
  <c r="F43" i="26"/>
  <c r="F156" i="26"/>
  <c r="D156" i="26"/>
  <c r="A156" i="26" s="1"/>
  <c r="I62" i="23"/>
  <c r="AA60" i="19"/>
  <c r="AC1" i="19"/>
  <c r="B138" i="26"/>
  <c r="AQ130" i="19"/>
  <c r="AR131" i="19"/>
  <c r="F193" i="26"/>
  <c r="D193" i="26"/>
  <c r="A193" i="26" s="1"/>
  <c r="AQ188" i="19"/>
  <c r="B196" i="26"/>
  <c r="I104" i="23"/>
  <c r="AA102" i="19"/>
  <c r="F122" i="26"/>
  <c r="D122" i="26"/>
  <c r="A122" i="26" s="1"/>
  <c r="B153" i="26"/>
  <c r="AQ145" i="19"/>
  <c r="F83" i="26"/>
  <c r="D83" i="26"/>
  <c r="I183" i="23"/>
  <c r="AA181" i="19"/>
  <c r="I118" i="23"/>
  <c r="AA116" i="19"/>
  <c r="I142" i="23"/>
  <c r="AA140" i="19"/>
  <c r="G11" i="26"/>
  <c r="AT3" i="19"/>
  <c r="AR3" i="19" s="1"/>
  <c r="F157" i="26"/>
  <c r="D157" i="26"/>
  <c r="A157" i="26" s="1"/>
  <c r="D27" i="26"/>
  <c r="A27" i="26" s="1"/>
  <c r="F27" i="26"/>
  <c r="D130" i="26"/>
  <c r="F130" i="26"/>
  <c r="D39" i="26"/>
  <c r="A39" i="26" s="1"/>
  <c r="F39" i="26"/>
  <c r="B184" i="26"/>
  <c r="AQ176" i="19"/>
  <c r="B57" i="26"/>
  <c r="AQ49" i="19"/>
  <c r="D123" i="26"/>
  <c r="A123" i="26" s="1"/>
  <c r="F123" i="26"/>
  <c r="AS3" i="19"/>
  <c r="C11" i="26"/>
  <c r="D12" i="26"/>
  <c r="A12" i="26" s="1"/>
  <c r="F12" i="26"/>
  <c r="B44" i="26"/>
  <c r="AQ36" i="19"/>
  <c r="AQ17" i="19"/>
  <c r="B25" i="26"/>
  <c r="F28" i="26"/>
  <c r="D28" i="26"/>
  <c r="A28" i="26" s="1"/>
  <c r="D14" i="26"/>
  <c r="A14" i="26" s="1"/>
  <c r="F14" i="26"/>
  <c r="B175" i="26"/>
  <c r="AQ167" i="19"/>
  <c r="F75" i="26"/>
  <c r="D75" i="26"/>
  <c r="A75" i="26" s="1"/>
  <c r="AR177" i="19"/>
  <c r="AQ82" i="19"/>
  <c r="B90" i="26"/>
  <c r="B16" i="26"/>
  <c r="AQ8" i="19"/>
  <c r="D132" i="26"/>
  <c r="A132" i="26" s="1"/>
  <c r="F132" i="26"/>
  <c r="AQ160" i="19"/>
  <c r="B168" i="26"/>
  <c r="U39" i="19"/>
  <c r="H24" i="8" s="1"/>
  <c r="C41" i="23"/>
  <c r="B38" i="26"/>
  <c r="AQ30" i="19"/>
  <c r="D143" i="26"/>
  <c r="A143" i="26" s="1"/>
  <c r="F143" i="26"/>
  <c r="B183" i="26"/>
  <c r="AQ175" i="19"/>
  <c r="D161" i="26"/>
  <c r="A161" i="26" s="1"/>
  <c r="F161" i="26"/>
  <c r="I163" i="23"/>
  <c r="AA161" i="19"/>
  <c r="D117" i="26"/>
  <c r="F117" i="26"/>
  <c r="AQ106" i="19"/>
  <c r="B114" i="26"/>
  <c r="D141" i="26"/>
  <c r="A141" i="26" s="1"/>
  <c r="F141" i="26"/>
  <c r="D100" i="26"/>
  <c r="A100" i="26" s="1"/>
  <c r="F100" i="26"/>
  <c r="F101" i="26"/>
  <c r="D101" i="26"/>
  <c r="A101" i="26" s="1"/>
  <c r="D21" i="26"/>
  <c r="A21" i="26" s="1"/>
  <c r="F21" i="26"/>
  <c r="AQ169" i="19"/>
  <c r="B177" i="26"/>
  <c r="D18" i="26"/>
  <c r="A18" i="26" s="1"/>
  <c r="F18" i="26"/>
  <c r="D63" i="26"/>
  <c r="A63" i="26" s="1"/>
  <c r="F63" i="26"/>
  <c r="B82" i="26"/>
  <c r="AQ74" i="19"/>
  <c r="AQ138" i="19"/>
  <c r="B146" i="26"/>
  <c r="AQ144" i="19"/>
  <c r="B152" i="26"/>
  <c r="I82" i="23"/>
  <c r="AA80" i="19"/>
  <c r="F50" i="26"/>
  <c r="D50" i="26"/>
  <c r="A50" i="26" s="1"/>
  <c r="AQ159" i="19"/>
  <c r="B167" i="26"/>
  <c r="AQ104" i="19"/>
  <c r="B112" i="26"/>
  <c r="F165" i="26"/>
  <c r="D165" i="26"/>
  <c r="A165" i="26" s="1"/>
  <c r="AQ155" i="19"/>
  <c r="B163" i="26"/>
  <c r="D96" i="26"/>
  <c r="A96" i="26" s="1"/>
  <c r="F96" i="26"/>
  <c r="D182" i="26"/>
  <c r="A182" i="26" s="1"/>
  <c r="F182" i="26"/>
  <c r="F108" i="26"/>
  <c r="D108" i="26"/>
  <c r="A108" i="26" s="1"/>
  <c r="AQ86" i="19"/>
  <c r="B94" i="26"/>
  <c r="D102" i="26"/>
  <c r="A102" i="26" s="1"/>
  <c r="F102" i="26"/>
  <c r="D31" i="26"/>
  <c r="A31" i="26" s="1"/>
  <c r="F31" i="26"/>
  <c r="AQ66" i="19"/>
  <c r="B74" i="26"/>
  <c r="D116" i="26"/>
  <c r="F116" i="26"/>
  <c r="D33" i="26"/>
  <c r="A33" i="26" s="1"/>
  <c r="F33" i="26"/>
  <c r="F105" i="26"/>
  <c r="D105" i="26"/>
  <c r="A105" i="26" s="1"/>
  <c r="D188" i="26"/>
  <c r="A188" i="26" s="1"/>
  <c r="F188" i="26"/>
  <c r="D109" i="26"/>
  <c r="A109" i="26" s="1"/>
  <c r="F109" i="26"/>
  <c r="F159" i="26"/>
  <c r="D159" i="26"/>
  <c r="A159" i="26" s="1"/>
  <c r="A53" i="23"/>
  <c r="D53" i="23" s="1"/>
  <c r="P51" i="19"/>
  <c r="AP51" i="19"/>
  <c r="B151" i="26"/>
  <c r="AQ143" i="19"/>
  <c r="D20" i="26"/>
  <c r="A20" i="26" s="1"/>
  <c r="F20" i="26"/>
  <c r="D171" i="26"/>
  <c r="A171" i="26" s="1"/>
  <c r="F171" i="26"/>
  <c r="D41" i="26"/>
  <c r="A41" i="26" s="1"/>
  <c r="F41" i="26"/>
  <c r="P53" i="19"/>
  <c r="AP53" i="19"/>
  <c r="A55" i="23"/>
  <c r="D55" i="23" s="1"/>
  <c r="S41" i="19"/>
  <c r="S42" i="19" s="1"/>
  <c r="S43" i="19" s="1"/>
  <c r="S44" i="19" s="1"/>
  <c r="S45" i="19" s="1"/>
  <c r="S46" i="19" s="1"/>
  <c r="S47" i="19" s="1"/>
  <c r="S48" i="19" s="1"/>
  <c r="S49" i="19" s="1"/>
  <c r="S50" i="19" s="1"/>
  <c r="S51" i="19" s="1"/>
  <c r="S52" i="19" s="1"/>
  <c r="S53" i="19" s="1"/>
  <c r="S54" i="19" s="1"/>
  <c r="S55" i="19" s="1"/>
  <c r="S56" i="19" s="1"/>
  <c r="S57" i="19" s="1"/>
  <c r="S58" i="19" s="1"/>
  <c r="S59" i="19" s="1"/>
  <c r="P41" i="19"/>
  <c r="A43" i="23"/>
  <c r="D43" i="23" s="1"/>
  <c r="AP41" i="19"/>
  <c r="AQ57" i="19"/>
  <c r="B65" i="26"/>
  <c r="AP57" i="19"/>
  <c r="A59" i="23"/>
  <c r="D59" i="23" s="1"/>
  <c r="P57" i="19"/>
  <c r="S39" i="19"/>
  <c r="P39" i="19"/>
  <c r="AP39" i="19"/>
  <c r="A41" i="23"/>
  <c r="M41" i="23" s="1"/>
  <c r="D52" i="26"/>
  <c r="A52" i="26" s="1"/>
  <c r="F52" i="26"/>
  <c r="AQ51" i="19"/>
  <c r="B59" i="26"/>
  <c r="D140" i="26"/>
  <c r="A140" i="26" s="1"/>
  <c r="F140" i="26"/>
  <c r="AQ77" i="19"/>
  <c r="B85" i="26"/>
  <c r="J42" i="23"/>
  <c r="V40" i="19"/>
  <c r="Z39" i="19"/>
  <c r="AQ152" i="19"/>
  <c r="B160" i="26"/>
  <c r="D103" i="26"/>
  <c r="A103" i="26" s="1"/>
  <c r="F103" i="26"/>
  <c r="AQ63" i="19"/>
  <c r="B71" i="26"/>
  <c r="B42" i="23"/>
  <c r="W40" i="19"/>
  <c r="AC40" i="19" l="1"/>
  <c r="AP58" i="19"/>
  <c r="A60" i="23"/>
  <c r="D60" i="23" s="1"/>
  <c r="P47" i="19"/>
  <c r="A49" i="23"/>
  <c r="D49" i="23" s="1"/>
  <c r="AC102" i="19"/>
  <c r="AB103" i="19"/>
  <c r="AC103" i="19" s="1"/>
  <c r="AB81" i="19"/>
  <c r="AC81" i="19" s="1"/>
  <c r="AC80" i="19"/>
  <c r="AB141" i="19"/>
  <c r="AC141" i="19" s="1"/>
  <c r="AC140" i="19"/>
  <c r="AB117" i="19"/>
  <c r="AC116" i="19"/>
  <c r="AB162" i="19"/>
  <c r="AC162" i="19" s="1"/>
  <c r="AC181" i="19"/>
  <c r="AB182" i="19"/>
  <c r="AC182" i="19" s="1"/>
  <c r="AC60" i="19"/>
  <c r="AB61" i="19"/>
  <c r="AC61" i="19" s="1"/>
  <c r="V102" i="19"/>
  <c r="J104" i="23"/>
  <c r="B82" i="23"/>
  <c r="B104" i="23"/>
  <c r="V116" i="19"/>
  <c r="J118" i="23"/>
  <c r="C47" i="26"/>
  <c r="AS39" i="19"/>
  <c r="AN39" i="19" s="1"/>
  <c r="J163" i="23"/>
  <c r="V161" i="19"/>
  <c r="AB496" i="28"/>
  <c r="R483" i="3"/>
  <c r="J24" i="8"/>
  <c r="K24" i="8"/>
  <c r="A130" i="26"/>
  <c r="B118" i="23"/>
  <c r="AQ131" i="19"/>
  <c r="B139" i="26"/>
  <c r="B163" i="23"/>
  <c r="D11" i="26"/>
  <c r="A11" i="26" s="1"/>
  <c r="F11" i="26"/>
  <c r="J183" i="23"/>
  <c r="V181" i="19"/>
  <c r="F197" i="26"/>
  <c r="D197" i="26"/>
  <c r="A197" i="26" s="1"/>
  <c r="D41" i="23"/>
  <c r="Z40" i="19"/>
  <c r="B183" i="23"/>
  <c r="G47" i="26"/>
  <c r="AT39" i="19"/>
  <c r="AR39" i="19" s="1"/>
  <c r="S40" i="19"/>
  <c r="A42" i="23"/>
  <c r="P40" i="19"/>
  <c r="AP40" i="19"/>
  <c r="AQ3" i="19"/>
  <c r="B11" i="26"/>
  <c r="V60" i="19"/>
  <c r="S60" i="19"/>
  <c r="J62" i="23"/>
  <c r="AC175" i="19"/>
  <c r="AC176" i="19" s="1"/>
  <c r="AC117" i="19"/>
  <c r="AC118" i="19" s="1"/>
  <c r="AC130" i="19"/>
  <c r="AC131" i="19" s="1"/>
  <c r="AC160" i="19"/>
  <c r="AC161" i="19" s="1"/>
  <c r="AC188" i="19"/>
  <c r="AC177" i="19"/>
  <c r="AC178" i="19" s="1"/>
  <c r="U40" i="19"/>
  <c r="C42" i="23"/>
  <c r="B185" i="26"/>
  <c r="AQ177" i="19"/>
  <c r="AR178" i="19"/>
  <c r="J142" i="23"/>
  <c r="V140" i="19"/>
  <c r="B62" i="23"/>
  <c r="S30" i="1"/>
  <c r="S30" i="30"/>
  <c r="AL2" i="19"/>
  <c r="A10" i="37"/>
  <c r="A15" i="37" s="1"/>
  <c r="X33" i="30"/>
  <c r="A10" i="39"/>
  <c r="A15" i="39" s="1"/>
  <c r="X32" i="29"/>
  <c r="AJ2" i="19"/>
  <c r="AM2" i="19"/>
  <c r="AK2" i="19"/>
  <c r="A10" i="6"/>
  <c r="A15" i="6" s="1"/>
  <c r="A10" i="38"/>
  <c r="A15" i="38" s="1"/>
  <c r="X33" i="1"/>
  <c r="S30" i="31"/>
  <c r="X33" i="31"/>
  <c r="AN2" i="19"/>
  <c r="S30" i="29"/>
  <c r="B197" i="26"/>
  <c r="AQ189" i="19"/>
  <c r="B142" i="23"/>
  <c r="V80" i="19"/>
  <c r="J82" i="23"/>
  <c r="W181" i="19"/>
  <c r="W161" i="19"/>
  <c r="W140" i="19"/>
  <c r="W80" i="19"/>
  <c r="W60" i="19"/>
  <c r="W102" i="19"/>
  <c r="W116" i="19"/>
  <c r="A181" i="19" l="1"/>
  <c r="S61" i="19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Z140" i="19"/>
  <c r="AP85" i="19"/>
  <c r="P85" i="19"/>
  <c r="A87" i="23"/>
  <c r="A105" i="23"/>
  <c r="D105" i="23" s="1"/>
  <c r="AP103" i="19"/>
  <c r="S103" i="19"/>
  <c r="S104" i="19" s="1"/>
  <c r="S105" i="19" s="1"/>
  <c r="S106" i="19" s="1"/>
  <c r="S107" i="19" s="1"/>
  <c r="S108" i="19" s="1"/>
  <c r="S109" i="19" s="1"/>
  <c r="S110" i="19" s="1"/>
  <c r="S111" i="19" s="1"/>
  <c r="S112" i="19" s="1"/>
  <c r="S113" i="19" s="1"/>
  <c r="S114" i="19" s="1"/>
  <c r="S115" i="19" s="1"/>
  <c r="P103" i="19"/>
  <c r="T56" i="31"/>
  <c r="T44" i="31"/>
  <c r="T69" i="31"/>
  <c r="T49" i="31"/>
  <c r="T47" i="31"/>
  <c r="T40" i="31"/>
  <c r="T57" i="31"/>
  <c r="T45" i="31"/>
  <c r="T35" i="31"/>
  <c r="T52" i="31"/>
  <c r="T61" i="31"/>
  <c r="T66" i="31"/>
  <c r="T58" i="31"/>
  <c r="T53" i="31"/>
  <c r="T38" i="31"/>
  <c r="T34" i="31"/>
  <c r="T54" i="31"/>
  <c r="T59" i="31"/>
  <c r="T62" i="31"/>
  <c r="T50" i="31"/>
  <c r="T60" i="31"/>
  <c r="T72" i="31"/>
  <c r="T73" i="31"/>
  <c r="T37" i="31"/>
  <c r="T46" i="31"/>
  <c r="T71" i="31"/>
  <c r="T33" i="31"/>
  <c r="T65" i="31"/>
  <c r="T36" i="31"/>
  <c r="T70" i="31"/>
  <c r="T67" i="31"/>
  <c r="T68" i="31"/>
  <c r="T48" i="31"/>
  <c r="T63" i="31"/>
  <c r="T51" i="31"/>
  <c r="T39" i="31"/>
  <c r="T64" i="31"/>
  <c r="T41" i="31"/>
  <c r="T42" i="31"/>
  <c r="T55" i="31"/>
  <c r="T43" i="31"/>
  <c r="T74" i="31"/>
  <c r="T75" i="31"/>
  <c r="T76" i="31"/>
  <c r="T77" i="31"/>
  <c r="T78" i="31"/>
  <c r="T79" i="31"/>
  <c r="T80" i="31"/>
  <c r="T81" i="31"/>
  <c r="T82" i="31"/>
  <c r="T83" i="31"/>
  <c r="T84" i="31"/>
  <c r="T85" i="31"/>
  <c r="T86" i="31"/>
  <c r="T87" i="31"/>
  <c r="T88" i="31"/>
  <c r="T89" i="31"/>
  <c r="T90" i="31"/>
  <c r="T91" i="31"/>
  <c r="T92" i="31"/>
  <c r="T93" i="31"/>
  <c r="T94" i="31"/>
  <c r="T95" i="31"/>
  <c r="T96" i="31"/>
  <c r="T97" i="31"/>
  <c r="T98" i="31"/>
  <c r="T99" i="31"/>
  <c r="T100" i="31"/>
  <c r="T101" i="31"/>
  <c r="T102" i="31"/>
  <c r="T103" i="31"/>
  <c r="T104" i="31"/>
  <c r="T105" i="31"/>
  <c r="T106" i="31"/>
  <c r="T107" i="31"/>
  <c r="T108" i="31"/>
  <c r="T109" i="31"/>
  <c r="T110" i="31"/>
  <c r="T111" i="31"/>
  <c r="T112" i="31"/>
  <c r="T113" i="31"/>
  <c r="T114" i="31"/>
  <c r="T115" i="31"/>
  <c r="T116" i="31"/>
  <c r="T117" i="31"/>
  <c r="T118" i="31"/>
  <c r="T119" i="31"/>
  <c r="T120" i="31"/>
  <c r="T121" i="31"/>
  <c r="T122" i="31"/>
  <c r="T123" i="31"/>
  <c r="T124" i="31"/>
  <c r="T125" i="31"/>
  <c r="T126" i="31"/>
  <c r="T127" i="31"/>
  <c r="T128" i="31"/>
  <c r="T129" i="31"/>
  <c r="T130" i="31"/>
  <c r="T131" i="31"/>
  <c r="T132" i="31"/>
  <c r="T133" i="31"/>
  <c r="T134" i="31"/>
  <c r="T135" i="31"/>
  <c r="T136" i="31"/>
  <c r="T137" i="31"/>
  <c r="T138" i="31"/>
  <c r="T139" i="31"/>
  <c r="T140" i="31"/>
  <c r="T141" i="31"/>
  <c r="T142" i="31"/>
  <c r="T143" i="31"/>
  <c r="T144" i="31"/>
  <c r="T145" i="31"/>
  <c r="T146" i="31"/>
  <c r="T147" i="31"/>
  <c r="T148" i="31"/>
  <c r="T149" i="31"/>
  <c r="T150" i="31"/>
  <c r="T151" i="31"/>
  <c r="T152" i="31"/>
  <c r="T153" i="31"/>
  <c r="T154" i="31"/>
  <c r="T155" i="31"/>
  <c r="T156" i="31"/>
  <c r="T157" i="31"/>
  <c r="T158" i="31"/>
  <c r="T159" i="31"/>
  <c r="T160" i="31"/>
  <c r="T161" i="31"/>
  <c r="T162" i="31"/>
  <c r="T163" i="31"/>
  <c r="T164" i="31"/>
  <c r="T165" i="31"/>
  <c r="T166" i="31"/>
  <c r="T167" i="31"/>
  <c r="T168" i="31"/>
  <c r="T169" i="31"/>
  <c r="T170" i="31"/>
  <c r="T171" i="31"/>
  <c r="T172" i="31"/>
  <c r="T173" i="31"/>
  <c r="T174" i="31"/>
  <c r="T175" i="31"/>
  <c r="T176" i="31"/>
  <c r="T177" i="31"/>
  <c r="T178" i="31"/>
  <c r="T179" i="31"/>
  <c r="T180" i="31"/>
  <c r="T181" i="31"/>
  <c r="T182" i="31"/>
  <c r="T183" i="31"/>
  <c r="T184" i="31"/>
  <c r="C142" i="23"/>
  <c r="U140" i="19"/>
  <c r="P110" i="19"/>
  <c r="A112" i="23"/>
  <c r="D112" i="23" s="1"/>
  <c r="AP110" i="19"/>
  <c r="S188" i="19"/>
  <c r="S189" i="19" s="1"/>
  <c r="S190" i="19" s="1"/>
  <c r="S191" i="19" s="1"/>
  <c r="S192" i="19" s="1"/>
  <c r="S193" i="19" s="1"/>
  <c r="S194" i="19" s="1"/>
  <c r="S195" i="19" s="1"/>
  <c r="S196" i="19" s="1"/>
  <c r="S197" i="19" s="1"/>
  <c r="S198" i="19" s="1"/>
  <c r="S199" i="19" s="1"/>
  <c r="S200" i="19" s="1"/>
  <c r="S201" i="19" s="1"/>
  <c r="S202" i="19" s="1"/>
  <c r="S203" i="19" s="1"/>
  <c r="S204" i="19" s="1"/>
  <c r="S205" i="19" s="1"/>
  <c r="S206" i="19" s="1"/>
  <c r="S207" i="19" s="1"/>
  <c r="S208" i="19" s="1"/>
  <c r="S209" i="19" s="1"/>
  <c r="S210" i="19" s="1"/>
  <c r="S211" i="19" s="1"/>
  <c r="S212" i="19" s="1"/>
  <c r="S213" i="19" s="1"/>
  <c r="S214" i="19" s="1"/>
  <c r="S215" i="19" s="1"/>
  <c r="S216" i="19" s="1"/>
  <c r="S217" i="19" s="1"/>
  <c r="S218" i="19" s="1"/>
  <c r="S219" i="19" s="1"/>
  <c r="S220" i="19" s="1"/>
  <c r="S221" i="19" s="1"/>
  <c r="S222" i="19" s="1"/>
  <c r="S223" i="19" s="1"/>
  <c r="S224" i="19" s="1"/>
  <c r="S225" i="19" s="1"/>
  <c r="S226" i="19" s="1"/>
  <c r="S227" i="19" s="1"/>
  <c r="S228" i="19" s="1"/>
  <c r="S229" i="19" s="1"/>
  <c r="S230" i="19" s="1"/>
  <c r="S231" i="19" s="1"/>
  <c r="S232" i="19" s="1"/>
  <c r="S233" i="19" s="1"/>
  <c r="S234" i="19" s="1"/>
  <c r="S235" i="19" s="1"/>
  <c r="S236" i="19" s="1"/>
  <c r="S237" i="19" s="1"/>
  <c r="S238" i="19" s="1"/>
  <c r="S239" i="19" s="1"/>
  <c r="S240" i="19" s="1"/>
  <c r="S241" i="19" s="1"/>
  <c r="S242" i="19" s="1"/>
  <c r="S243" i="19" s="1"/>
  <c r="S244" i="19" s="1"/>
  <c r="S245" i="19" s="1"/>
  <c r="S246" i="19" s="1"/>
  <c r="S247" i="19" s="1"/>
  <c r="S248" i="19" s="1"/>
  <c r="S249" i="19" s="1"/>
  <c r="S250" i="19" s="1"/>
  <c r="S251" i="19" s="1"/>
  <c r="S252" i="19" s="1"/>
  <c r="S253" i="19" s="1"/>
  <c r="S254" i="19" s="1"/>
  <c r="S255" i="19" s="1"/>
  <c r="S256" i="19" s="1"/>
  <c r="S257" i="19" s="1"/>
  <c r="S258" i="19" s="1"/>
  <c r="S259" i="19" s="1"/>
  <c r="S260" i="19" s="1"/>
  <c r="S261" i="19" s="1"/>
  <c r="S262" i="19" s="1"/>
  <c r="S263" i="19" s="1"/>
  <c r="S264" i="19" s="1"/>
  <c r="S265" i="19" s="1"/>
  <c r="S266" i="19" s="1"/>
  <c r="S267" i="19" s="1"/>
  <c r="S268" i="19" s="1"/>
  <c r="S269" i="19" s="1"/>
  <c r="S270" i="19" s="1"/>
  <c r="S271" i="19" s="1"/>
  <c r="S272" i="19" s="1"/>
  <c r="S273" i="19" s="1"/>
  <c r="S274" i="19" s="1"/>
  <c r="S275" i="19" s="1"/>
  <c r="S276" i="19" s="1"/>
  <c r="S277" i="19" s="1"/>
  <c r="S278" i="19" s="1"/>
  <c r="S279" i="19" s="1"/>
  <c r="S280" i="19" s="1"/>
  <c r="S281" i="19" s="1"/>
  <c r="S282" i="19" s="1"/>
  <c r="S283" i="19" s="1"/>
  <c r="S284" i="19" s="1"/>
  <c r="S285" i="19" s="1"/>
  <c r="S286" i="19" s="1"/>
  <c r="S287" i="19" s="1"/>
  <c r="S288" i="19" s="1"/>
  <c r="S289" i="19" s="1"/>
  <c r="S290" i="19" s="1"/>
  <c r="S291" i="19" s="1"/>
  <c r="S292" i="19" s="1"/>
  <c r="S293" i="19" s="1"/>
  <c r="S294" i="19" s="1"/>
  <c r="S295" i="19" s="1"/>
  <c r="S296" i="19" s="1"/>
  <c r="S297" i="19" s="1"/>
  <c r="S298" i="19" s="1"/>
  <c r="S299" i="19" s="1"/>
  <c r="S300" i="19" s="1"/>
  <c r="S301" i="19" s="1"/>
  <c r="S302" i="19" s="1"/>
  <c r="S303" i="19" s="1"/>
  <c r="S304" i="19" s="1"/>
  <c r="S305" i="19" s="1"/>
  <c r="S306" i="19" s="1"/>
  <c r="S307" i="19" s="1"/>
  <c r="S308" i="19" s="1"/>
  <c r="S309" i="19" s="1"/>
  <c r="S310" i="19" s="1"/>
  <c r="S311" i="19" s="1"/>
  <c r="S312" i="19" s="1"/>
  <c r="S313" i="19" s="1"/>
  <c r="S314" i="19" s="1"/>
  <c r="S315" i="19" s="1"/>
  <c r="S316" i="19" s="1"/>
  <c r="S317" i="19" s="1"/>
  <c r="S318" i="19" s="1"/>
  <c r="S319" i="19" s="1"/>
  <c r="S320" i="19" s="1"/>
  <c r="S321" i="19" s="1"/>
  <c r="S322" i="19" s="1"/>
  <c r="S323" i="19" s="1"/>
  <c r="S324" i="19" s="1"/>
  <c r="S325" i="19" s="1"/>
  <c r="S326" i="19" s="1"/>
  <c r="S327" i="19" s="1"/>
  <c r="S328" i="19" s="1"/>
  <c r="S329" i="19" s="1"/>
  <c r="S330" i="19" s="1"/>
  <c r="S331" i="19" s="1"/>
  <c r="S332" i="19" s="1"/>
  <c r="S333" i="19" s="1"/>
  <c r="S334" i="19" s="1"/>
  <c r="S335" i="19" s="1"/>
  <c r="S336" i="19" s="1"/>
  <c r="S337" i="19" s="1"/>
  <c r="S338" i="19" s="1"/>
  <c r="S339" i="19" s="1"/>
  <c r="S340" i="19" s="1"/>
  <c r="S341" i="19" s="1"/>
  <c r="S342" i="19" s="1"/>
  <c r="S343" i="19" s="1"/>
  <c r="S344" i="19" s="1"/>
  <c r="S345" i="19" s="1"/>
  <c r="S346" i="19" s="1"/>
  <c r="S347" i="19" s="1"/>
  <c r="S348" i="19" s="1"/>
  <c r="S349" i="19" s="1"/>
  <c r="S350" i="19" s="1"/>
  <c r="S351" i="19" s="1"/>
  <c r="S352" i="19" s="1"/>
  <c r="S353" i="19" s="1"/>
  <c r="S354" i="19" s="1"/>
  <c r="S355" i="19" s="1"/>
  <c r="S356" i="19" s="1"/>
  <c r="S357" i="19" s="1"/>
  <c r="S358" i="19" s="1"/>
  <c r="S359" i="19" s="1"/>
  <c r="S360" i="19" s="1"/>
  <c r="S361" i="19" s="1"/>
  <c r="S362" i="19" s="1"/>
  <c r="S363" i="19" s="1"/>
  <c r="S364" i="19" s="1"/>
  <c r="S365" i="19" s="1"/>
  <c r="S366" i="19" s="1"/>
  <c r="S367" i="19" s="1"/>
  <c r="S368" i="19" s="1"/>
  <c r="S369" i="19" s="1"/>
  <c r="S370" i="19" s="1"/>
  <c r="S371" i="19" s="1"/>
  <c r="S372" i="19" s="1"/>
  <c r="S373" i="19" s="1"/>
  <c r="S374" i="19" s="1"/>
  <c r="S375" i="19" s="1"/>
  <c r="S376" i="19" s="1"/>
  <c r="S377" i="19" s="1"/>
  <c r="S378" i="19" s="1"/>
  <c r="S379" i="19" s="1"/>
  <c r="S380" i="19" s="1"/>
  <c r="S381" i="19" s="1"/>
  <c r="S382" i="19" s="1"/>
  <c r="S383" i="19" s="1"/>
  <c r="S384" i="19" s="1"/>
  <c r="S385" i="19" s="1"/>
  <c r="S386" i="19" s="1"/>
  <c r="S387" i="19" s="1"/>
  <c r="S388" i="19" s="1"/>
  <c r="S389" i="19" s="1"/>
  <c r="S390" i="19" s="1"/>
  <c r="S391" i="19" s="1"/>
  <c r="S392" i="19" s="1"/>
  <c r="S393" i="19" s="1"/>
  <c r="S394" i="19" s="1"/>
  <c r="S395" i="19" s="1"/>
  <c r="S396" i="19" s="1"/>
  <c r="S397" i="19" s="1"/>
  <c r="S398" i="19" s="1"/>
  <c r="S399" i="19" s="1"/>
  <c r="S400" i="19" s="1"/>
  <c r="S401" i="19" s="1"/>
  <c r="S402" i="19" s="1"/>
  <c r="S403" i="19" s="1"/>
  <c r="S404" i="19" s="1"/>
  <c r="S405" i="19" s="1"/>
  <c r="S406" i="19" s="1"/>
  <c r="S407" i="19" s="1"/>
  <c r="S408" i="19" s="1"/>
  <c r="S409" i="19" s="1"/>
  <c r="S410" i="19" s="1"/>
  <c r="S411" i="19" s="1"/>
  <c r="S412" i="19" s="1"/>
  <c r="S413" i="19" s="1"/>
  <c r="S414" i="19" s="1"/>
  <c r="S415" i="19" s="1"/>
  <c r="S416" i="19" s="1"/>
  <c r="S417" i="19" s="1"/>
  <c r="S418" i="19" s="1"/>
  <c r="S419" i="19" s="1"/>
  <c r="S420" i="19" s="1"/>
  <c r="S421" i="19" s="1"/>
  <c r="S422" i="19" s="1"/>
  <c r="S423" i="19" s="1"/>
  <c r="S424" i="19" s="1"/>
  <c r="S425" i="19" s="1"/>
  <c r="S426" i="19" s="1"/>
  <c r="S427" i="19" s="1"/>
  <c r="S428" i="19" s="1"/>
  <c r="S429" i="19" s="1"/>
  <c r="S430" i="19" s="1"/>
  <c r="S431" i="19" s="1"/>
  <c r="S432" i="19" s="1"/>
  <c r="S433" i="19" s="1"/>
  <c r="S434" i="19" s="1"/>
  <c r="S435" i="19" s="1"/>
  <c r="S436" i="19" s="1"/>
  <c r="S437" i="19" s="1"/>
  <c r="S438" i="19" s="1"/>
  <c r="S439" i="19" s="1"/>
  <c r="S440" i="19" s="1"/>
  <c r="S441" i="19" s="1"/>
  <c r="S442" i="19" s="1"/>
  <c r="S443" i="19" s="1"/>
  <c r="S444" i="19" s="1"/>
  <c r="S445" i="19" s="1"/>
  <c r="S446" i="19" s="1"/>
  <c r="S447" i="19" s="1"/>
  <c r="S448" i="19" s="1"/>
  <c r="S449" i="19" s="1"/>
  <c r="S450" i="19" s="1"/>
  <c r="S451" i="19" s="1"/>
  <c r="S452" i="19" s="1"/>
  <c r="S453" i="19" s="1"/>
  <c r="S454" i="19" s="1"/>
  <c r="S455" i="19" s="1"/>
  <c r="S456" i="19" s="1"/>
  <c r="S457" i="19" s="1"/>
  <c r="S458" i="19" s="1"/>
  <c r="S459" i="19" s="1"/>
  <c r="S460" i="19" s="1"/>
  <c r="S461" i="19" s="1"/>
  <c r="S462" i="19" s="1"/>
  <c r="S463" i="19" s="1"/>
  <c r="S464" i="19" s="1"/>
  <c r="S465" i="19" s="1"/>
  <c r="S466" i="19" s="1"/>
  <c r="S467" i="19" s="1"/>
  <c r="S468" i="19" s="1"/>
  <c r="S469" i="19" s="1"/>
  <c r="S470" i="19" s="1"/>
  <c r="S471" i="19" s="1"/>
  <c r="S472" i="19" s="1"/>
  <c r="S473" i="19" s="1"/>
  <c r="S474" i="19" s="1"/>
  <c r="S475" i="19" s="1"/>
  <c r="S476" i="19" s="1"/>
  <c r="S477" i="19" s="1"/>
  <c r="S478" i="19" s="1"/>
  <c r="S479" i="19" s="1"/>
  <c r="S480" i="19" s="1"/>
  <c r="S481" i="19" s="1"/>
  <c r="S482" i="19" s="1"/>
  <c r="S483" i="19" s="1"/>
  <c r="S484" i="19" s="1"/>
  <c r="S485" i="19" s="1"/>
  <c r="S486" i="19" s="1"/>
  <c r="S487" i="19" s="1"/>
  <c r="S488" i="19" s="1"/>
  <c r="S489" i="19" s="1"/>
  <c r="S490" i="19" s="1"/>
  <c r="S491" i="19" s="1"/>
  <c r="S492" i="19" s="1"/>
  <c r="S493" i="19" s="1"/>
  <c r="S494" i="19" s="1"/>
  <c r="S495" i="19" s="1"/>
  <c r="S496" i="19" s="1"/>
  <c r="S497" i="19" s="1"/>
  <c r="S498" i="19" s="1"/>
  <c r="S499" i="19" s="1"/>
  <c r="S500" i="19" s="1"/>
  <c r="S501" i="19" s="1"/>
  <c r="S502" i="19" s="1"/>
  <c r="S503" i="19" s="1"/>
  <c r="S504" i="19" s="1"/>
  <c r="S505" i="19" s="1"/>
  <c r="S506" i="19" s="1"/>
  <c r="S507" i="19" s="1"/>
  <c r="S508" i="19" s="1"/>
  <c r="S509" i="19" s="1"/>
  <c r="S510" i="19" s="1"/>
  <c r="S511" i="19" s="1"/>
  <c r="S512" i="19" s="1"/>
  <c r="S513" i="19" s="1"/>
  <c r="S514" i="19" s="1"/>
  <c r="S515" i="19" s="1"/>
  <c r="S516" i="19" s="1"/>
  <c r="S517" i="19" s="1"/>
  <c r="S518" i="19" s="1"/>
  <c r="S519" i="19" s="1"/>
  <c r="S520" i="19" s="1"/>
  <c r="S521" i="19" s="1"/>
  <c r="S522" i="19" s="1"/>
  <c r="S523" i="19" s="1"/>
  <c r="S524" i="19" s="1"/>
  <c r="S525" i="19" s="1"/>
  <c r="S526" i="19" s="1"/>
  <c r="S527" i="19" s="1"/>
  <c r="S528" i="19" s="1"/>
  <c r="S529" i="19" s="1"/>
  <c r="S530" i="19" s="1"/>
  <c r="S531" i="19" s="1"/>
  <c r="S532" i="19" s="1"/>
  <c r="S533" i="19" s="1"/>
  <c r="S534" i="19" s="1"/>
  <c r="S535" i="19" s="1"/>
  <c r="S536" i="19" s="1"/>
  <c r="S537" i="19" s="1"/>
  <c r="S538" i="19" s="1"/>
  <c r="S539" i="19" s="1"/>
  <c r="S540" i="19" s="1"/>
  <c r="S541" i="19" s="1"/>
  <c r="S542" i="19" s="1"/>
  <c r="S543" i="19" s="1"/>
  <c r="S544" i="19" s="1"/>
  <c r="S545" i="19" s="1"/>
  <c r="S546" i="19" s="1"/>
  <c r="S547" i="19" s="1"/>
  <c r="S548" i="19" s="1"/>
  <c r="S549" i="19" s="1"/>
  <c r="S550" i="19" s="1"/>
  <c r="S551" i="19" s="1"/>
  <c r="S552" i="19" s="1"/>
  <c r="S553" i="19" s="1"/>
  <c r="S554" i="19" s="1"/>
  <c r="S555" i="19" s="1"/>
  <c r="S556" i="19" s="1"/>
  <c r="S557" i="19" s="1"/>
  <c r="S558" i="19" s="1"/>
  <c r="S559" i="19" s="1"/>
  <c r="S560" i="19" s="1"/>
  <c r="S561" i="19" s="1"/>
  <c r="S562" i="19" s="1"/>
  <c r="S563" i="19" s="1"/>
  <c r="S564" i="19" s="1"/>
  <c r="S565" i="19" s="1"/>
  <c r="S566" i="19" s="1"/>
  <c r="S567" i="19" s="1"/>
  <c r="S568" i="19" s="1"/>
  <c r="S569" i="19" s="1"/>
  <c r="S570" i="19" s="1"/>
  <c r="S571" i="19" s="1"/>
  <c r="S572" i="19" s="1"/>
  <c r="S573" i="19" s="1"/>
  <c r="S574" i="19" s="1"/>
  <c r="S575" i="19" s="1"/>
  <c r="S576" i="19" s="1"/>
  <c r="S577" i="19" s="1"/>
  <c r="S578" i="19" s="1"/>
  <c r="S579" i="19" s="1"/>
  <c r="S580" i="19" s="1"/>
  <c r="S581" i="19" s="1"/>
  <c r="S582" i="19" s="1"/>
  <c r="S583" i="19" s="1"/>
  <c r="S584" i="19" s="1"/>
  <c r="S585" i="19" s="1"/>
  <c r="S586" i="19" s="1"/>
  <c r="S587" i="19" s="1"/>
  <c r="S588" i="19" s="1"/>
  <c r="S589" i="19" s="1"/>
  <c r="S590" i="19" s="1"/>
  <c r="S591" i="19" s="1"/>
  <c r="S592" i="19" s="1"/>
  <c r="S593" i="19" s="1"/>
  <c r="S594" i="19" s="1"/>
  <c r="S595" i="19" s="1"/>
  <c r="S596" i="19" s="1"/>
  <c r="S597" i="19" s="1"/>
  <c r="S598" i="19" s="1"/>
  <c r="S599" i="19" s="1"/>
  <c r="S600" i="19" s="1"/>
  <c r="S601" i="19" s="1"/>
  <c r="S602" i="19" s="1"/>
  <c r="S603" i="19" s="1"/>
  <c r="S604" i="19" s="1"/>
  <c r="S605" i="19" s="1"/>
  <c r="S606" i="19" s="1"/>
  <c r="S607" i="19" s="1"/>
  <c r="S608" i="19" s="1"/>
  <c r="S609" i="19" s="1"/>
  <c r="S610" i="19" s="1"/>
  <c r="S611" i="19" s="1"/>
  <c r="S612" i="19" s="1"/>
  <c r="S613" i="19" s="1"/>
  <c r="S614" i="19" s="1"/>
  <c r="S615" i="19" s="1"/>
  <c r="S616" i="19" s="1"/>
  <c r="S617" i="19" s="1"/>
  <c r="S618" i="19" s="1"/>
  <c r="S619" i="19" s="1"/>
  <c r="S620" i="19" s="1"/>
  <c r="S621" i="19" s="1"/>
  <c r="S622" i="19" s="1"/>
  <c r="S623" i="19" s="1"/>
  <c r="S624" i="19" s="1"/>
  <c r="S625" i="19" s="1"/>
  <c r="S626" i="19" s="1"/>
  <c r="S627" i="19" s="1"/>
  <c r="S628" i="19" s="1"/>
  <c r="S629" i="19" s="1"/>
  <c r="S630" i="19" s="1"/>
  <c r="S631" i="19" s="1"/>
  <c r="S632" i="19" s="1"/>
  <c r="S633" i="19" s="1"/>
  <c r="S634" i="19" s="1"/>
  <c r="S635" i="19" s="1"/>
  <c r="S636" i="19" s="1"/>
  <c r="S637" i="19" s="1"/>
  <c r="S638" i="19" s="1"/>
  <c r="S639" i="19" s="1"/>
  <c r="S640" i="19" s="1"/>
  <c r="S641" i="19" s="1"/>
  <c r="S642" i="19" s="1"/>
  <c r="S643" i="19" s="1"/>
  <c r="S644" i="19" s="1"/>
  <c r="S645" i="19" s="1"/>
  <c r="S646" i="19" s="1"/>
  <c r="S647" i="19" s="1"/>
  <c r="S648" i="19" s="1"/>
  <c r="S649" i="19" s="1"/>
  <c r="S650" i="19" s="1"/>
  <c r="S651" i="19" s="1"/>
  <c r="S652" i="19" s="1"/>
  <c r="S653" i="19" s="1"/>
  <c r="S654" i="19" s="1"/>
  <c r="S655" i="19" s="1"/>
  <c r="S656" i="19" s="1"/>
  <c r="S657" i="19" s="1"/>
  <c r="S658" i="19" s="1"/>
  <c r="S659" i="19" s="1"/>
  <c r="S660" i="19" s="1"/>
  <c r="S661" i="19" s="1"/>
  <c r="S662" i="19" s="1"/>
  <c r="S663" i="19" s="1"/>
  <c r="S664" i="19" s="1"/>
  <c r="S665" i="19" s="1"/>
  <c r="S666" i="19" s="1"/>
  <c r="S667" i="19" s="1"/>
  <c r="S668" i="19" s="1"/>
  <c r="S669" i="19" s="1"/>
  <c r="S670" i="19" s="1"/>
  <c r="S671" i="19" s="1"/>
  <c r="S672" i="19" s="1"/>
  <c r="S673" i="19" s="1"/>
  <c r="S674" i="19" s="1"/>
  <c r="S675" i="19" s="1"/>
  <c r="S676" i="19" s="1"/>
  <c r="S677" i="19" s="1"/>
  <c r="S678" i="19" s="1"/>
  <c r="S679" i="19" s="1"/>
  <c r="S680" i="19" s="1"/>
  <c r="S681" i="19" s="1"/>
  <c r="S682" i="19" s="1"/>
  <c r="S683" i="19" s="1"/>
  <c r="S684" i="19" s="1"/>
  <c r="S685" i="19" s="1"/>
  <c r="S686" i="19" s="1"/>
  <c r="S687" i="19" s="1"/>
  <c r="S688" i="19" s="1"/>
  <c r="S689" i="19" s="1"/>
  <c r="S690" i="19" s="1"/>
  <c r="S691" i="19" s="1"/>
  <c r="S692" i="19" s="1"/>
  <c r="S693" i="19" s="1"/>
  <c r="S694" i="19" s="1"/>
  <c r="S695" i="19" s="1"/>
  <c r="S696" i="19" s="1"/>
  <c r="S697" i="19" s="1"/>
  <c r="S698" i="19" s="1"/>
  <c r="S699" i="19" s="1"/>
  <c r="S700" i="19" s="1"/>
  <c r="S701" i="19" s="1"/>
  <c r="S702" i="19" s="1"/>
  <c r="S703" i="19" s="1"/>
  <c r="S704" i="19" s="1"/>
  <c r="S705" i="19" s="1"/>
  <c r="S706" i="19" s="1"/>
  <c r="S707" i="19" s="1"/>
  <c r="S708" i="19" s="1"/>
  <c r="S709" i="19" s="1"/>
  <c r="S710" i="19" s="1"/>
  <c r="S711" i="19" s="1"/>
  <c r="S712" i="19" s="1"/>
  <c r="S713" i="19" s="1"/>
  <c r="S714" i="19" s="1"/>
  <c r="S715" i="19" s="1"/>
  <c r="S716" i="19" s="1"/>
  <c r="S717" i="19" s="1"/>
  <c r="S718" i="19" s="1"/>
  <c r="S719" i="19" s="1"/>
  <c r="S720" i="19" s="1"/>
  <c r="S721" i="19" s="1"/>
  <c r="S722" i="19" s="1"/>
  <c r="S723" i="19" s="1"/>
  <c r="S724" i="19" s="1"/>
  <c r="S725" i="19" s="1"/>
  <c r="S726" i="19" s="1"/>
  <c r="S727" i="19" s="1"/>
  <c r="S728" i="19" s="1"/>
  <c r="S729" i="19" s="1"/>
  <c r="S730" i="19" s="1"/>
  <c r="S731" i="19" s="1"/>
  <c r="S732" i="19" s="1"/>
  <c r="S733" i="19" s="1"/>
  <c r="S734" i="19" s="1"/>
  <c r="S735" i="19" s="1"/>
  <c r="S736" i="19" s="1"/>
  <c r="S737" i="19" s="1"/>
  <c r="S738" i="19" s="1"/>
  <c r="S739" i="19" s="1"/>
  <c r="S740" i="19" s="1"/>
  <c r="S741" i="19" s="1"/>
  <c r="S742" i="19" s="1"/>
  <c r="S743" i="19" s="1"/>
  <c r="S744" i="19" s="1"/>
  <c r="S745" i="19" s="1"/>
  <c r="S746" i="19" s="1"/>
  <c r="S747" i="19" s="1"/>
  <c r="S748" i="19" s="1"/>
  <c r="S749" i="19" s="1"/>
  <c r="S750" i="19" s="1"/>
  <c r="S751" i="19" s="1"/>
  <c r="S752" i="19" s="1"/>
  <c r="S753" i="19" s="1"/>
  <c r="S754" i="19" s="1"/>
  <c r="S755" i="19" s="1"/>
  <c r="S756" i="19" s="1"/>
  <c r="S757" i="19" s="1"/>
  <c r="S758" i="19" s="1"/>
  <c r="S759" i="19" s="1"/>
  <c r="S760" i="19" s="1"/>
  <c r="S761" i="19" s="1"/>
  <c r="S762" i="19" s="1"/>
  <c r="S763" i="19" s="1"/>
  <c r="S764" i="19" s="1"/>
  <c r="S765" i="19" s="1"/>
  <c r="S766" i="19" s="1"/>
  <c r="S767" i="19" s="1"/>
  <c r="S768" i="19" s="1"/>
  <c r="S769" i="19" s="1"/>
  <c r="S770" i="19" s="1"/>
  <c r="S771" i="19" s="1"/>
  <c r="S772" i="19" s="1"/>
  <c r="S773" i="19" s="1"/>
  <c r="S774" i="19" s="1"/>
  <c r="S775" i="19" s="1"/>
  <c r="S776" i="19" s="1"/>
  <c r="S777" i="19" s="1"/>
  <c r="S778" i="19" s="1"/>
  <c r="S779" i="19" s="1"/>
  <c r="S780" i="19" s="1"/>
  <c r="S781" i="19" s="1"/>
  <c r="S782" i="19" s="1"/>
  <c r="S783" i="19" s="1"/>
  <c r="S784" i="19" s="1"/>
  <c r="S785" i="19" s="1"/>
  <c r="S786" i="19" s="1"/>
  <c r="S787" i="19" s="1"/>
  <c r="S788" i="19" s="1"/>
  <c r="S789" i="19" s="1"/>
  <c r="S790" i="19" s="1"/>
  <c r="S791" i="19" s="1"/>
  <c r="S792" i="19" s="1"/>
  <c r="S793" i="19" s="1"/>
  <c r="S794" i="19" s="1"/>
  <c r="S795" i="19" s="1"/>
  <c r="S796" i="19" s="1"/>
  <c r="S797" i="19" s="1"/>
  <c r="S798" i="19" s="1"/>
  <c r="S799" i="19" s="1"/>
  <c r="S800" i="19" s="1"/>
  <c r="S801" i="19" s="1"/>
  <c r="S802" i="19" s="1"/>
  <c r="S803" i="19" s="1"/>
  <c r="S804" i="19" s="1"/>
  <c r="S805" i="19" s="1"/>
  <c r="S806" i="19" s="1"/>
  <c r="S807" i="19" s="1"/>
  <c r="S808" i="19" s="1"/>
  <c r="S809" i="19" s="1"/>
  <c r="S810" i="19" s="1"/>
  <c r="S811" i="19" s="1"/>
  <c r="S812" i="19" s="1"/>
  <c r="S813" i="19" s="1"/>
  <c r="S814" i="19" s="1"/>
  <c r="S815" i="19" s="1"/>
  <c r="S816" i="19" s="1"/>
  <c r="S817" i="19" s="1"/>
  <c r="S818" i="19" s="1"/>
  <c r="S819" i="19" s="1"/>
  <c r="S820" i="19" s="1"/>
  <c r="S821" i="19" s="1"/>
  <c r="S822" i="19" s="1"/>
  <c r="S823" i="19" s="1"/>
  <c r="S824" i="19" s="1"/>
  <c r="S825" i="19" s="1"/>
  <c r="S826" i="19" s="1"/>
  <c r="S827" i="19" s="1"/>
  <c r="S828" i="19" s="1"/>
  <c r="S829" i="19" s="1"/>
  <c r="S830" i="19" s="1"/>
  <c r="S831" i="19" s="1"/>
  <c r="S832" i="19" s="1"/>
  <c r="S833" i="19" s="1"/>
  <c r="S834" i="19" s="1"/>
  <c r="S835" i="19" s="1"/>
  <c r="S836" i="19" s="1"/>
  <c r="S837" i="19" s="1"/>
  <c r="S838" i="19" s="1"/>
  <c r="S839" i="19" s="1"/>
  <c r="S840" i="19" s="1"/>
  <c r="S841" i="19" s="1"/>
  <c r="S842" i="19" s="1"/>
  <c r="S843" i="19" s="1"/>
  <c r="S844" i="19" s="1"/>
  <c r="S845" i="19" s="1"/>
  <c r="S846" i="19" s="1"/>
  <c r="S847" i="19" s="1"/>
  <c r="S848" i="19" s="1"/>
  <c r="S849" i="19" s="1"/>
  <c r="S850" i="19" s="1"/>
  <c r="S851" i="19" s="1"/>
  <c r="S852" i="19" s="1"/>
  <c r="S853" i="19" s="1"/>
  <c r="S854" i="19" s="1"/>
  <c r="S855" i="19" s="1"/>
  <c r="S856" i="19" s="1"/>
  <c r="S857" i="19" s="1"/>
  <c r="S858" i="19" s="1"/>
  <c r="S859" i="19" s="1"/>
  <c r="S860" i="19" s="1"/>
  <c r="S861" i="19" s="1"/>
  <c r="S862" i="19" s="1"/>
  <c r="S863" i="19" s="1"/>
  <c r="S864" i="19" s="1"/>
  <c r="S865" i="19" s="1"/>
  <c r="S866" i="19" s="1"/>
  <c r="S867" i="19" s="1"/>
  <c r="S868" i="19" s="1"/>
  <c r="S869" i="19" s="1"/>
  <c r="S870" i="19" s="1"/>
  <c r="S871" i="19" s="1"/>
  <c r="S872" i="19" s="1"/>
  <c r="S873" i="19" s="1"/>
  <c r="S874" i="19" s="1"/>
  <c r="S875" i="19" s="1"/>
  <c r="S876" i="19" s="1"/>
  <c r="S877" i="19" s="1"/>
  <c r="S878" i="19" s="1"/>
  <c r="S879" i="19" s="1"/>
  <c r="S880" i="19" s="1"/>
  <c r="S881" i="19" s="1"/>
  <c r="S882" i="19" s="1"/>
  <c r="S883" i="19" s="1"/>
  <c r="S884" i="19" s="1"/>
  <c r="S885" i="19" s="1"/>
  <c r="S886" i="19" s="1"/>
  <c r="S887" i="19" s="1"/>
  <c r="S888" i="19" s="1"/>
  <c r="S889" i="19" s="1"/>
  <c r="S890" i="19" s="1"/>
  <c r="S891" i="19" s="1"/>
  <c r="S892" i="19" s="1"/>
  <c r="S893" i="19" s="1"/>
  <c r="S894" i="19" s="1"/>
  <c r="S895" i="19" s="1"/>
  <c r="S896" i="19" s="1"/>
  <c r="S897" i="19" s="1"/>
  <c r="S898" i="19" s="1"/>
  <c r="S899" i="19" s="1"/>
  <c r="S900" i="19" s="1"/>
  <c r="S901" i="19" s="1"/>
  <c r="S902" i="19" s="1"/>
  <c r="S903" i="19" s="1"/>
  <c r="S904" i="19" s="1"/>
  <c r="S905" i="19" s="1"/>
  <c r="S906" i="19" s="1"/>
  <c r="S907" i="19" s="1"/>
  <c r="S908" i="19" s="1"/>
  <c r="S909" i="19" s="1"/>
  <c r="S910" i="19" s="1"/>
  <c r="S911" i="19" s="1"/>
  <c r="S912" i="19" s="1"/>
  <c r="S913" i="19" s="1"/>
  <c r="S914" i="19" s="1"/>
  <c r="S915" i="19" s="1"/>
  <c r="S916" i="19" s="1"/>
  <c r="S917" i="19" s="1"/>
  <c r="S918" i="19" s="1"/>
  <c r="S919" i="19" s="1"/>
  <c r="S920" i="19" s="1"/>
  <c r="S921" i="19" s="1"/>
  <c r="S922" i="19" s="1"/>
  <c r="S923" i="19" s="1"/>
  <c r="S924" i="19" s="1"/>
  <c r="S925" i="19" s="1"/>
  <c r="S926" i="19" s="1"/>
  <c r="S927" i="19" s="1"/>
  <c r="S928" i="19" s="1"/>
  <c r="S929" i="19" s="1"/>
  <c r="S930" i="19" s="1"/>
  <c r="S931" i="19" s="1"/>
  <c r="S932" i="19" s="1"/>
  <c r="S933" i="19" s="1"/>
  <c r="S934" i="19" s="1"/>
  <c r="S935" i="19" s="1"/>
  <c r="S936" i="19" s="1"/>
  <c r="S937" i="19" s="1"/>
  <c r="S938" i="19" s="1"/>
  <c r="S939" i="19" s="1"/>
  <c r="S940" i="19" s="1"/>
  <c r="S941" i="19" s="1"/>
  <c r="S942" i="19" s="1"/>
  <c r="S943" i="19" s="1"/>
  <c r="S944" i="19" s="1"/>
  <c r="S945" i="19" s="1"/>
  <c r="S946" i="19" s="1"/>
  <c r="S947" i="19" s="1"/>
  <c r="S948" i="19" s="1"/>
  <c r="S949" i="19" s="1"/>
  <c r="S950" i="19" s="1"/>
  <c r="S951" i="19" s="1"/>
  <c r="S952" i="19" s="1"/>
  <c r="S953" i="19" s="1"/>
  <c r="S954" i="19" s="1"/>
  <c r="S955" i="19" s="1"/>
  <c r="S956" i="19" s="1"/>
  <c r="S957" i="19" s="1"/>
  <c r="S958" i="19" s="1"/>
  <c r="S959" i="19" s="1"/>
  <c r="S960" i="19" s="1"/>
  <c r="S961" i="19" s="1"/>
  <c r="S962" i="19" s="1"/>
  <c r="S963" i="19" s="1"/>
  <c r="S964" i="19" s="1"/>
  <c r="S965" i="19" s="1"/>
  <c r="S966" i="19" s="1"/>
  <c r="S967" i="19" s="1"/>
  <c r="S968" i="19" s="1"/>
  <c r="S969" i="19" s="1"/>
  <c r="S970" i="19" s="1"/>
  <c r="S971" i="19" s="1"/>
  <c r="S972" i="19" s="1"/>
  <c r="S973" i="19" s="1"/>
  <c r="S974" i="19" s="1"/>
  <c r="S975" i="19" s="1"/>
  <c r="S976" i="19" s="1"/>
  <c r="S977" i="19" s="1"/>
  <c r="S978" i="19" s="1"/>
  <c r="S979" i="19" s="1"/>
  <c r="S980" i="19" s="1"/>
  <c r="S981" i="19" s="1"/>
  <c r="S982" i="19" s="1"/>
  <c r="S983" i="19" s="1"/>
  <c r="S984" i="19" s="1"/>
  <c r="S985" i="19" s="1"/>
  <c r="S986" i="19" s="1"/>
  <c r="S987" i="19" s="1"/>
  <c r="S988" i="19" s="1"/>
  <c r="S989" i="19" s="1"/>
  <c r="S990" i="19" s="1"/>
  <c r="S991" i="19" s="1"/>
  <c r="S992" i="19" s="1"/>
  <c r="S993" i="19" s="1"/>
  <c r="S994" i="19" s="1"/>
  <c r="S995" i="19" s="1"/>
  <c r="S996" i="19" s="1"/>
  <c r="S997" i="19" s="1"/>
  <c r="S998" i="19" s="1"/>
  <c r="S999" i="19" s="1"/>
  <c r="S1000" i="19" s="1"/>
  <c r="AP188" i="19"/>
  <c r="P188" i="19"/>
  <c r="A190" i="23"/>
  <c r="D190" i="23" s="1"/>
  <c r="P177" i="19"/>
  <c r="AP177" i="19"/>
  <c r="A179" i="23"/>
  <c r="K179" i="23" s="1"/>
  <c r="P133" i="19"/>
  <c r="AP133" i="19"/>
  <c r="A135" i="23"/>
  <c r="D135" i="23" s="1"/>
  <c r="A16" i="38"/>
  <c r="E15" i="38"/>
  <c r="O15" i="38" s="1"/>
  <c r="D15" i="38"/>
  <c r="H15" i="38" s="1"/>
  <c r="F15" i="38"/>
  <c r="G15" i="38"/>
  <c r="A170" i="38"/>
  <c r="F170" i="38" s="1"/>
  <c r="B15" i="38"/>
  <c r="C15" i="38"/>
  <c r="B186" i="26"/>
  <c r="AQ178" i="19"/>
  <c r="AP61" i="19"/>
  <c r="P61" i="19"/>
  <c r="A63" i="23"/>
  <c r="D63" i="23" s="1"/>
  <c r="S182" i="19"/>
  <c r="S183" i="19" s="1"/>
  <c r="S184" i="19" s="1"/>
  <c r="S185" i="19" s="1"/>
  <c r="S186" i="19" s="1"/>
  <c r="S187" i="19" s="1"/>
  <c r="A184" i="23"/>
  <c r="D184" i="23" s="1"/>
  <c r="P182" i="19"/>
  <c r="AP182" i="19"/>
  <c r="P141" i="19"/>
  <c r="AP141" i="19"/>
  <c r="S141" i="19"/>
  <c r="S142" i="19" s="1"/>
  <c r="S143" i="19" s="1"/>
  <c r="S144" i="19" s="1"/>
  <c r="S145" i="19" s="1"/>
  <c r="S146" i="19" s="1"/>
  <c r="S147" i="19" s="1"/>
  <c r="S148" i="19" s="1"/>
  <c r="S149" i="19" s="1"/>
  <c r="S150" i="19" s="1"/>
  <c r="S151" i="19" s="1"/>
  <c r="S152" i="19" s="1"/>
  <c r="S153" i="19" s="1"/>
  <c r="S154" i="19" s="1"/>
  <c r="S155" i="19" s="1"/>
  <c r="S156" i="19" s="1"/>
  <c r="S157" i="19" s="1"/>
  <c r="S158" i="19" s="1"/>
  <c r="S159" i="19" s="1"/>
  <c r="S160" i="19" s="1"/>
  <c r="A143" i="23"/>
  <c r="D143" i="23" s="1"/>
  <c r="A140" i="19"/>
  <c r="A170" i="6"/>
  <c r="A16" i="6"/>
  <c r="A92" i="23"/>
  <c r="D92" i="23" s="1"/>
  <c r="P90" i="19"/>
  <c r="AP90" i="19"/>
  <c r="AP160" i="19"/>
  <c r="P160" i="19"/>
  <c r="A162" i="23"/>
  <c r="K162" i="23" s="1"/>
  <c r="A150" i="23"/>
  <c r="D150" i="23" s="1"/>
  <c r="AP148" i="19"/>
  <c r="P148" i="19"/>
  <c r="P130" i="19"/>
  <c r="A132" i="23"/>
  <c r="K132" i="23" s="1"/>
  <c r="AP130" i="19"/>
  <c r="Z80" i="19"/>
  <c r="P75" i="19"/>
  <c r="A77" i="23"/>
  <c r="D77" i="23" s="1"/>
  <c r="AP75" i="19"/>
  <c r="A119" i="23"/>
  <c r="K119" i="23" s="1"/>
  <c r="AP117" i="19"/>
  <c r="P117" i="19"/>
  <c r="S117" i="19"/>
  <c r="S118" i="19" s="1"/>
  <c r="S119" i="19" s="1"/>
  <c r="S120" i="19" s="1"/>
  <c r="S121" i="19" s="1"/>
  <c r="S122" i="19" s="1"/>
  <c r="S123" i="19" s="1"/>
  <c r="S124" i="19" s="1"/>
  <c r="S125" i="19" s="1"/>
  <c r="S126" i="19" s="1"/>
  <c r="S127" i="19" s="1"/>
  <c r="S128" i="19" s="1"/>
  <c r="S129" i="19" s="1"/>
  <c r="S130" i="19" s="1"/>
  <c r="S131" i="19" s="1"/>
  <c r="S132" i="19" s="1"/>
  <c r="S133" i="19" s="1"/>
  <c r="S134" i="19" s="1"/>
  <c r="S135" i="19" s="1"/>
  <c r="S136" i="19" s="1"/>
  <c r="S137" i="19" s="1"/>
  <c r="S138" i="19" s="1"/>
  <c r="S139" i="19" s="1"/>
  <c r="A76" i="19"/>
  <c r="A141" i="19"/>
  <c r="A96" i="19"/>
  <c r="A100" i="19"/>
  <c r="A142" i="19"/>
  <c r="A93" i="19"/>
  <c r="A86" i="19"/>
  <c r="A81" i="19"/>
  <c r="A185" i="19"/>
  <c r="A139" i="19"/>
  <c r="A148" i="19"/>
  <c r="A115" i="19"/>
  <c r="A165" i="19"/>
  <c r="A151" i="19"/>
  <c r="A67" i="19"/>
  <c r="A33" i="19"/>
  <c r="A77" i="19"/>
  <c r="A122" i="19"/>
  <c r="A171" i="19"/>
  <c r="A160" i="19"/>
  <c r="A129" i="19"/>
  <c r="A49" i="19"/>
  <c r="A106" i="19"/>
  <c r="A56" i="19"/>
  <c r="A179" i="19"/>
  <c r="A112" i="19"/>
  <c r="A159" i="19"/>
  <c r="A163" i="19"/>
  <c r="A174" i="19"/>
  <c r="A162" i="19"/>
  <c r="A45" i="19"/>
  <c r="A13" i="19"/>
  <c r="A4" i="19"/>
  <c r="A55" i="19"/>
  <c r="A144" i="19"/>
  <c r="A8" i="19"/>
  <c r="A25" i="19"/>
  <c r="A183" i="19"/>
  <c r="A59" i="19"/>
  <c r="A131" i="19"/>
  <c r="A138" i="19"/>
  <c r="A61" i="19"/>
  <c r="A21" i="19"/>
  <c r="A107" i="19"/>
  <c r="A187" i="19"/>
  <c r="A73" i="19"/>
  <c r="A118" i="19"/>
  <c r="A167" i="19"/>
  <c r="A103" i="19"/>
  <c r="A134" i="19"/>
  <c r="A54" i="19"/>
  <c r="A178" i="19"/>
  <c r="A177" i="19"/>
  <c r="A85" i="19"/>
  <c r="A18" i="19"/>
  <c r="A14" i="19"/>
  <c r="A19" i="19"/>
  <c r="A26" i="19"/>
  <c r="A66" i="19"/>
  <c r="A89" i="19"/>
  <c r="A188" i="19"/>
  <c r="A130" i="19"/>
  <c r="A50" i="19"/>
  <c r="A128" i="19"/>
  <c r="A176" i="19"/>
  <c r="A145" i="19"/>
  <c r="A154" i="19"/>
  <c r="A104" i="19"/>
  <c r="A34" i="19"/>
  <c r="A52" i="19"/>
  <c r="A3" i="19"/>
  <c r="A88" i="19"/>
  <c r="A92" i="19"/>
  <c r="A168" i="19"/>
  <c r="A158" i="19"/>
  <c r="A172" i="19"/>
  <c r="A36" i="19"/>
  <c r="A125" i="19"/>
  <c r="A74" i="19"/>
  <c r="A98" i="19"/>
  <c r="A43" i="19"/>
  <c r="A35" i="19"/>
  <c r="A95" i="19"/>
  <c r="A121" i="19"/>
  <c r="A175" i="19"/>
  <c r="A105" i="19"/>
  <c r="A17" i="19"/>
  <c r="A44" i="19"/>
  <c r="A78" i="19"/>
  <c r="A90" i="19"/>
  <c r="A37" i="19"/>
  <c r="A135" i="19"/>
  <c r="A23" i="19"/>
  <c r="A119" i="19"/>
  <c r="A143" i="19"/>
  <c r="A16" i="19"/>
  <c r="A182" i="19"/>
  <c r="A120" i="19"/>
  <c r="A38" i="19"/>
  <c r="A53" i="19"/>
  <c r="A127" i="19"/>
  <c r="A28" i="19"/>
  <c r="A99" i="19"/>
  <c r="A24" i="19"/>
  <c r="A64" i="19"/>
  <c r="A30" i="19"/>
  <c r="A39" i="19"/>
  <c r="A9" i="19"/>
  <c r="A68" i="19"/>
  <c r="A170" i="19"/>
  <c r="A6" i="19"/>
  <c r="A22" i="19"/>
  <c r="A149" i="19"/>
  <c r="A132" i="19"/>
  <c r="A7" i="19"/>
  <c r="A109" i="19"/>
  <c r="A155" i="19"/>
  <c r="A20" i="19"/>
  <c r="A63" i="19"/>
  <c r="A48" i="19"/>
  <c r="A173" i="19"/>
  <c r="A136" i="19"/>
  <c r="A2" i="19"/>
  <c r="B15" i="6" s="1"/>
  <c r="A123" i="19"/>
  <c r="A31" i="19"/>
  <c r="A124" i="19"/>
  <c r="A137" i="19"/>
  <c r="A79" i="19"/>
  <c r="A117" i="19"/>
  <c r="A5" i="19"/>
  <c r="A62" i="19"/>
  <c r="A71" i="19"/>
  <c r="A70" i="19"/>
  <c r="A65" i="19"/>
  <c r="A91" i="19"/>
  <c r="A186" i="19"/>
  <c r="A169" i="19"/>
  <c r="A27" i="19"/>
  <c r="A42" i="19"/>
  <c r="A101" i="19"/>
  <c r="A10" i="19"/>
  <c r="A147" i="19"/>
  <c r="A110" i="19"/>
  <c r="A11" i="19"/>
  <c r="A47" i="19"/>
  <c r="A75" i="19"/>
  <c r="A126" i="19"/>
  <c r="A51" i="19"/>
  <c r="A114" i="19"/>
  <c r="A41" i="19"/>
  <c r="A184" i="19"/>
  <c r="A153" i="19"/>
  <c r="A87" i="19"/>
  <c r="A72" i="19"/>
  <c r="A152" i="19"/>
  <c r="A84" i="19"/>
  <c r="A57" i="19"/>
  <c r="A164" i="19"/>
  <c r="A69" i="19"/>
  <c r="A133" i="19"/>
  <c r="A58" i="19"/>
  <c r="A111" i="19"/>
  <c r="A94" i="19"/>
  <c r="A32" i="19"/>
  <c r="A157" i="19"/>
  <c r="A108" i="19"/>
  <c r="A83" i="19"/>
  <c r="A82" i="19"/>
  <c r="A156" i="19"/>
  <c r="A166" i="19"/>
  <c r="A29" i="19"/>
  <c r="A113" i="19"/>
  <c r="A97" i="19"/>
  <c r="A12" i="19"/>
  <c r="A150" i="19"/>
  <c r="A15" i="19"/>
  <c r="A46" i="19"/>
  <c r="A146" i="19"/>
  <c r="A180" i="19"/>
  <c r="A40" i="19"/>
  <c r="A116" i="19"/>
  <c r="A80" i="19"/>
  <c r="A102" i="19"/>
  <c r="A161" i="19"/>
  <c r="P145" i="19"/>
  <c r="A147" i="23"/>
  <c r="D147" i="23" s="1"/>
  <c r="AP145" i="19"/>
  <c r="AP128" i="19"/>
  <c r="P128" i="19"/>
  <c r="A130" i="23"/>
  <c r="S80" i="19"/>
  <c r="P80" i="19"/>
  <c r="A82" i="23"/>
  <c r="AP80" i="19"/>
  <c r="AP170" i="19"/>
  <c r="P170" i="19"/>
  <c r="A172" i="23"/>
  <c r="D172" i="23" s="1"/>
  <c r="A116" i="23"/>
  <c r="D116" i="23" s="1"/>
  <c r="P114" i="19"/>
  <c r="AP114" i="19"/>
  <c r="A170" i="39"/>
  <c r="F170" i="39" s="1"/>
  <c r="B15" i="39"/>
  <c r="C15" i="39"/>
  <c r="D15" i="39"/>
  <c r="H15" i="39" s="1"/>
  <c r="G15" i="39"/>
  <c r="F15" i="39"/>
  <c r="E15" i="39"/>
  <c r="A16" i="39"/>
  <c r="AP159" i="19"/>
  <c r="A161" i="23"/>
  <c r="D161" i="23" s="1"/>
  <c r="P159" i="19"/>
  <c r="P175" i="19"/>
  <c r="AP175" i="19"/>
  <c r="A177" i="23"/>
  <c r="K177" i="23" s="1"/>
  <c r="S140" i="19"/>
  <c r="P140" i="19"/>
  <c r="A142" i="23"/>
  <c r="D142" i="23" s="1"/>
  <c r="AP140" i="19"/>
  <c r="U80" i="19"/>
  <c r="C82" i="23"/>
  <c r="P135" i="19"/>
  <c r="A137" i="23"/>
  <c r="D137" i="23" s="1"/>
  <c r="AP135" i="19"/>
  <c r="A16" i="37"/>
  <c r="A170" i="37"/>
  <c r="A100" i="23"/>
  <c r="D100" i="23" s="1"/>
  <c r="P98" i="19"/>
  <c r="AP98" i="19"/>
  <c r="Z60" i="19"/>
  <c r="P167" i="19"/>
  <c r="AP167" i="19"/>
  <c r="A169" i="23"/>
  <c r="D169" i="23" s="1"/>
  <c r="AP60" i="19"/>
  <c r="P60" i="19"/>
  <c r="A62" i="23"/>
  <c r="Z41" i="19"/>
  <c r="T70" i="30"/>
  <c r="T34" i="30"/>
  <c r="T39" i="30"/>
  <c r="T45" i="30"/>
  <c r="T40" i="30"/>
  <c r="T66" i="30"/>
  <c r="T64" i="30"/>
  <c r="T35" i="30"/>
  <c r="T43" i="30"/>
  <c r="T57" i="30"/>
  <c r="T52" i="30"/>
  <c r="T54" i="30"/>
  <c r="T62" i="30"/>
  <c r="T51" i="30"/>
  <c r="T58" i="30"/>
  <c r="T71" i="30"/>
  <c r="T68" i="30"/>
  <c r="T47" i="30"/>
  <c r="T69" i="30"/>
  <c r="T44" i="30"/>
  <c r="T56" i="30"/>
  <c r="T48" i="30"/>
  <c r="T38" i="30"/>
  <c r="T61" i="30"/>
  <c r="T72" i="30"/>
  <c r="T42" i="30"/>
  <c r="T60" i="30"/>
  <c r="T63" i="30"/>
  <c r="T55" i="30"/>
  <c r="T33" i="30"/>
  <c r="T65" i="30"/>
  <c r="T67" i="30"/>
  <c r="T46" i="30"/>
  <c r="T50" i="30"/>
  <c r="T49" i="30"/>
  <c r="T53" i="30"/>
  <c r="T36" i="30"/>
  <c r="T37" i="30"/>
  <c r="T59" i="30"/>
  <c r="T41" i="30"/>
  <c r="T73" i="30"/>
  <c r="T74" i="30"/>
  <c r="T75" i="30"/>
  <c r="T76" i="30"/>
  <c r="T77" i="30"/>
  <c r="T78" i="30"/>
  <c r="T79" i="30"/>
  <c r="T80" i="30"/>
  <c r="T81" i="30"/>
  <c r="T82" i="30"/>
  <c r="T83" i="30"/>
  <c r="T84" i="30"/>
  <c r="T85" i="30"/>
  <c r="T86" i="30"/>
  <c r="T87" i="30"/>
  <c r="T88" i="30"/>
  <c r="T89" i="30"/>
  <c r="T90" i="30"/>
  <c r="T91" i="30"/>
  <c r="T92" i="30"/>
  <c r="T93" i="30"/>
  <c r="T94" i="30"/>
  <c r="T95" i="30"/>
  <c r="T96" i="30"/>
  <c r="T97" i="30"/>
  <c r="T98" i="30"/>
  <c r="T99" i="30"/>
  <c r="T100" i="30"/>
  <c r="T101" i="30"/>
  <c r="T102" i="30"/>
  <c r="T103" i="30"/>
  <c r="T104" i="30"/>
  <c r="T105" i="30"/>
  <c r="T106" i="30"/>
  <c r="T107" i="30"/>
  <c r="T108" i="30"/>
  <c r="T109" i="30"/>
  <c r="T110" i="30"/>
  <c r="T111" i="30"/>
  <c r="T112" i="30"/>
  <c r="T113" i="30"/>
  <c r="T114" i="30"/>
  <c r="T115" i="30"/>
  <c r="T116" i="30"/>
  <c r="T117" i="30"/>
  <c r="T118" i="30"/>
  <c r="T119" i="30"/>
  <c r="T120" i="30"/>
  <c r="T121" i="30"/>
  <c r="T122" i="30"/>
  <c r="T123" i="30"/>
  <c r="T124" i="30"/>
  <c r="T125" i="30"/>
  <c r="T126" i="30"/>
  <c r="T127" i="30"/>
  <c r="T128" i="30"/>
  <c r="T129" i="30"/>
  <c r="T130" i="30"/>
  <c r="T131" i="30"/>
  <c r="T132" i="30"/>
  <c r="T133" i="30"/>
  <c r="T134" i="30"/>
  <c r="T135" i="30"/>
  <c r="T136" i="30"/>
  <c r="T137" i="30"/>
  <c r="T138" i="30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AP162" i="19"/>
  <c r="S162" i="19"/>
  <c r="S163" i="19" s="1"/>
  <c r="S164" i="19" s="1"/>
  <c r="S165" i="19" s="1"/>
  <c r="S166" i="19" s="1"/>
  <c r="S167" i="19" s="1"/>
  <c r="S168" i="19" s="1"/>
  <c r="S169" i="19" s="1"/>
  <c r="S170" i="19" s="1"/>
  <c r="S171" i="19" s="1"/>
  <c r="S172" i="19" s="1"/>
  <c r="S173" i="19" s="1"/>
  <c r="S174" i="19" s="1"/>
  <c r="S175" i="19" s="1"/>
  <c r="S176" i="19" s="1"/>
  <c r="S177" i="19" s="1"/>
  <c r="S178" i="19" s="1"/>
  <c r="S179" i="19" s="1"/>
  <c r="S180" i="19" s="1"/>
  <c r="P162" i="19"/>
  <c r="A164" i="23"/>
  <c r="D164" i="23" s="1"/>
  <c r="AS40" i="19"/>
  <c r="C48" i="26"/>
  <c r="T180" i="1"/>
  <c r="T76" i="1"/>
  <c r="T58" i="1"/>
  <c r="T133" i="1"/>
  <c r="T56" i="1"/>
  <c r="T46" i="1"/>
  <c r="T131" i="1"/>
  <c r="T158" i="1"/>
  <c r="T134" i="1"/>
  <c r="T125" i="1"/>
  <c r="T135" i="1"/>
  <c r="T97" i="1"/>
  <c r="T87" i="1"/>
  <c r="T101" i="1"/>
  <c r="T70" i="1"/>
  <c r="T44" i="1"/>
  <c r="T94" i="1"/>
  <c r="T111" i="1"/>
  <c r="T78" i="1"/>
  <c r="T137" i="1"/>
  <c r="T157" i="1"/>
  <c r="T99" i="1"/>
  <c r="T184" i="1"/>
  <c r="T83" i="1"/>
  <c r="T181" i="1"/>
  <c r="T53" i="1"/>
  <c r="T57" i="1"/>
  <c r="T130" i="1"/>
  <c r="T170" i="1"/>
  <c r="T105" i="1"/>
  <c r="T126" i="1"/>
  <c r="T39" i="1"/>
  <c r="T62" i="1"/>
  <c r="T179" i="1"/>
  <c r="T89" i="1"/>
  <c r="T49" i="1"/>
  <c r="T178" i="1"/>
  <c r="T69" i="1"/>
  <c r="T63" i="1"/>
  <c r="T115" i="1"/>
  <c r="T43" i="1"/>
  <c r="T139" i="1"/>
  <c r="T102" i="1"/>
  <c r="T73" i="1"/>
  <c r="T138" i="1"/>
  <c r="T38" i="1"/>
  <c r="T169" i="1"/>
  <c r="T109" i="1"/>
  <c r="T41" i="1"/>
  <c r="T147" i="1"/>
  <c r="T164" i="1"/>
  <c r="T166" i="1"/>
  <c r="T128" i="1"/>
  <c r="T50" i="1"/>
  <c r="T129" i="1"/>
  <c r="T148" i="1"/>
  <c r="T84" i="1"/>
  <c r="T75" i="1"/>
  <c r="T145" i="1"/>
  <c r="T183" i="1"/>
  <c r="T47" i="1"/>
  <c r="T98" i="1"/>
  <c r="T159" i="1"/>
  <c r="T51" i="1"/>
  <c r="T142" i="1"/>
  <c r="T59" i="1"/>
  <c r="T55" i="1"/>
  <c r="T141" i="1"/>
  <c r="T65" i="1"/>
  <c r="T155" i="1"/>
  <c r="T45" i="1"/>
  <c r="T119" i="1"/>
  <c r="T107" i="1"/>
  <c r="T176" i="1"/>
  <c r="T152" i="1"/>
  <c r="T174" i="1"/>
  <c r="T60" i="1"/>
  <c r="T71" i="1"/>
  <c r="T163" i="1"/>
  <c r="T85" i="1"/>
  <c r="T93" i="1"/>
  <c r="T52" i="1"/>
  <c r="T37" i="1"/>
  <c r="T91" i="1"/>
  <c r="T177" i="1"/>
  <c r="T121" i="1"/>
  <c r="T117" i="1"/>
  <c r="T127" i="1"/>
  <c r="T35" i="1"/>
  <c r="T90" i="1"/>
  <c r="T95" i="1"/>
  <c r="T150" i="1"/>
  <c r="T74" i="1"/>
  <c r="T104" i="1"/>
  <c r="T48" i="1"/>
  <c r="T114" i="1"/>
  <c r="T36" i="1"/>
  <c r="T110" i="1"/>
  <c r="T40" i="1"/>
  <c r="T168" i="1"/>
  <c r="T149" i="1"/>
  <c r="T161" i="1"/>
  <c r="T167" i="1"/>
  <c r="T154" i="1"/>
  <c r="T112" i="1"/>
  <c r="T153" i="1"/>
  <c r="T66" i="1"/>
  <c r="T86" i="1"/>
  <c r="T143" i="1"/>
  <c r="T100" i="1"/>
  <c r="T182" i="1"/>
  <c r="T68" i="1"/>
  <c r="T108" i="1"/>
  <c r="T123" i="1"/>
  <c r="T88" i="1"/>
  <c r="T122" i="1"/>
  <c r="T92" i="1"/>
  <c r="T116" i="1"/>
  <c r="T173" i="1"/>
  <c r="T67" i="1"/>
  <c r="T34" i="1"/>
  <c r="T124" i="1"/>
  <c r="T77" i="1"/>
  <c r="T162" i="1"/>
  <c r="T172" i="1"/>
  <c r="T79" i="1"/>
  <c r="T72" i="1"/>
  <c r="T81" i="1"/>
  <c r="T118" i="1"/>
  <c r="T175" i="1"/>
  <c r="T136" i="1"/>
  <c r="T113" i="1"/>
  <c r="T64" i="1"/>
  <c r="T146" i="1"/>
  <c r="T54" i="1"/>
  <c r="T42" i="1"/>
  <c r="T144" i="1"/>
  <c r="T151" i="1"/>
  <c r="T132" i="1"/>
  <c r="T165" i="1"/>
  <c r="T140" i="1"/>
  <c r="T160" i="1"/>
  <c r="T82" i="1"/>
  <c r="T120" i="1"/>
  <c r="T33" i="1"/>
  <c r="T103" i="1"/>
  <c r="T156" i="1"/>
  <c r="T80" i="1"/>
  <c r="T96" i="1"/>
  <c r="T61" i="1"/>
  <c r="T106" i="1"/>
  <c r="T171" i="1"/>
  <c r="AP152" i="19"/>
  <c r="P152" i="19"/>
  <c r="A154" i="23"/>
  <c r="C62" i="23"/>
  <c r="U60" i="19"/>
  <c r="AT40" i="19"/>
  <c r="AR40" i="19" s="1"/>
  <c r="G48" i="26"/>
  <c r="P88" i="19"/>
  <c r="AP88" i="19"/>
  <c r="A90" i="23"/>
  <c r="D90" i="23" s="1"/>
  <c r="A60" i="19"/>
  <c r="AP111" i="19"/>
  <c r="A113" i="23"/>
  <c r="D113" i="23" s="1"/>
  <c r="P111" i="19"/>
  <c r="A83" i="23"/>
  <c r="D83" i="23" s="1"/>
  <c r="AP81" i="19"/>
  <c r="S81" i="19"/>
  <c r="S82" i="19" s="1"/>
  <c r="S83" i="19" s="1"/>
  <c r="S84" i="19" s="1"/>
  <c r="S85" i="19" s="1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P81" i="19"/>
  <c r="D42" i="23"/>
  <c r="M42" i="23"/>
  <c r="AP136" i="19"/>
  <c r="A138" i="23"/>
  <c r="D138" i="23" s="1"/>
  <c r="P136" i="19"/>
  <c r="P96" i="19"/>
  <c r="A98" i="23"/>
  <c r="D98" i="23" s="1"/>
  <c r="AP96" i="19"/>
  <c r="AP164" i="19"/>
  <c r="P164" i="19"/>
  <c r="A166" i="23"/>
  <c r="D166" i="23" s="1"/>
  <c r="P79" i="19"/>
  <c r="A81" i="23"/>
  <c r="D81" i="23" s="1"/>
  <c r="AP79" i="19"/>
  <c r="T35" i="29"/>
  <c r="T48" i="29"/>
  <c r="T57" i="29"/>
  <c r="T38" i="29"/>
  <c r="T46" i="29"/>
  <c r="T52" i="29"/>
  <c r="T68" i="29"/>
  <c r="T42" i="29"/>
  <c r="T69" i="29"/>
  <c r="T63" i="29"/>
  <c r="T49" i="29"/>
  <c r="T33" i="29"/>
  <c r="T55" i="29"/>
  <c r="T37" i="29"/>
  <c r="T64" i="29"/>
  <c r="T39" i="29"/>
  <c r="T32" i="29"/>
  <c r="T44" i="29"/>
  <c r="T40" i="29"/>
  <c r="T66" i="29"/>
  <c r="T54" i="29"/>
  <c r="T36" i="29"/>
  <c r="T59" i="29"/>
  <c r="T47" i="29"/>
  <c r="T67" i="29"/>
  <c r="T50" i="29"/>
  <c r="T56" i="29"/>
  <c r="T51" i="29"/>
  <c r="T60" i="29"/>
  <c r="T45" i="29"/>
  <c r="T34" i="29"/>
  <c r="T53" i="29"/>
  <c r="T41" i="29"/>
  <c r="T65" i="29"/>
  <c r="T62" i="29"/>
  <c r="T43" i="29"/>
  <c r="T70" i="29"/>
  <c r="T61" i="29"/>
  <c r="T58" i="29"/>
  <c r="T71" i="29"/>
  <c r="T72" i="29"/>
  <c r="T73" i="29"/>
  <c r="T74" i="29"/>
  <c r="T75" i="29"/>
  <c r="T76" i="29"/>
  <c r="T77" i="29"/>
  <c r="T78" i="29"/>
  <c r="T79" i="29"/>
  <c r="T80" i="29"/>
  <c r="T81" i="29"/>
  <c r="T82" i="29"/>
  <c r="T83" i="29"/>
  <c r="T84" i="29"/>
  <c r="T85" i="29"/>
  <c r="T86" i="29"/>
  <c r="T87" i="29"/>
  <c r="T88" i="29"/>
  <c r="T89" i="29"/>
  <c r="T90" i="29"/>
  <c r="T91" i="29"/>
  <c r="T92" i="29"/>
  <c r="T93" i="29"/>
  <c r="T94" i="29"/>
  <c r="T95" i="29"/>
  <c r="T96" i="29"/>
  <c r="T97" i="29"/>
  <c r="T98" i="29"/>
  <c r="T99" i="29"/>
  <c r="T100" i="29"/>
  <c r="T101" i="29"/>
  <c r="T102" i="29"/>
  <c r="T103" i="29"/>
  <c r="T104" i="29"/>
  <c r="T105" i="29"/>
  <c r="T106" i="29"/>
  <c r="T107" i="29"/>
  <c r="T108" i="29"/>
  <c r="T109" i="29"/>
  <c r="T110" i="29"/>
  <c r="T111" i="29"/>
  <c r="T112" i="29"/>
  <c r="T113" i="29"/>
  <c r="T114" i="29"/>
  <c r="T115" i="29"/>
  <c r="T116" i="29"/>
  <c r="T117" i="29"/>
  <c r="T118" i="29"/>
  <c r="T119" i="29"/>
  <c r="T120" i="29"/>
  <c r="T121" i="29"/>
  <c r="T122" i="29"/>
  <c r="T123" i="29"/>
  <c r="T124" i="29"/>
  <c r="T125" i="29"/>
  <c r="T126" i="29"/>
  <c r="T127" i="29"/>
  <c r="T128" i="29"/>
  <c r="T129" i="29"/>
  <c r="T130" i="29"/>
  <c r="T131" i="29"/>
  <c r="T132" i="29"/>
  <c r="T133" i="29"/>
  <c r="T134" i="29"/>
  <c r="T135" i="29"/>
  <c r="T136" i="29"/>
  <c r="T137" i="29"/>
  <c r="T138" i="29"/>
  <c r="T139" i="29"/>
  <c r="T140" i="29"/>
  <c r="T141" i="29"/>
  <c r="T142" i="29"/>
  <c r="T143" i="29"/>
  <c r="T144" i="29"/>
  <c r="T145" i="29"/>
  <c r="T146" i="29"/>
  <c r="T147" i="29"/>
  <c r="T148" i="29"/>
  <c r="T149" i="29"/>
  <c r="T150" i="29"/>
  <c r="T151" i="29"/>
  <c r="T152" i="29"/>
  <c r="T153" i="29"/>
  <c r="T154" i="29"/>
  <c r="T155" i="29"/>
  <c r="T156" i="29"/>
  <c r="T157" i="29"/>
  <c r="T158" i="29"/>
  <c r="T159" i="29"/>
  <c r="T160" i="29"/>
  <c r="T161" i="29"/>
  <c r="T162" i="29"/>
  <c r="T163" i="29"/>
  <c r="T164" i="29"/>
  <c r="T165" i="29"/>
  <c r="T166" i="29"/>
  <c r="T167" i="29"/>
  <c r="T168" i="29"/>
  <c r="T169" i="29"/>
  <c r="T170" i="29"/>
  <c r="T171" i="29"/>
  <c r="T172" i="29"/>
  <c r="T173" i="29"/>
  <c r="T174" i="29"/>
  <c r="T175" i="29"/>
  <c r="T176" i="29"/>
  <c r="T177" i="29"/>
  <c r="T178" i="29"/>
  <c r="T179" i="29"/>
  <c r="T180" i="29"/>
  <c r="T181" i="29"/>
  <c r="T182" i="29"/>
  <c r="T183" i="29"/>
  <c r="AP67" i="19"/>
  <c r="P67" i="19"/>
  <c r="A69" i="23"/>
  <c r="A72" i="23"/>
  <c r="D72" i="23" s="1"/>
  <c r="AP70" i="19"/>
  <c r="P70" i="19"/>
  <c r="B47" i="26"/>
  <c r="AQ39" i="19"/>
  <c r="S116" i="19"/>
  <c r="AP116" i="19"/>
  <c r="A118" i="23"/>
  <c r="P116" i="19"/>
  <c r="S181" i="19"/>
  <c r="A183" i="23"/>
  <c r="D183" i="23" s="1"/>
  <c r="P181" i="19"/>
  <c r="AP181" i="19"/>
  <c r="Z116" i="19"/>
  <c r="Z117" i="19"/>
  <c r="Z181" i="19"/>
  <c r="AE493" i="28"/>
  <c r="AF493" i="28" s="1"/>
  <c r="U480" i="3"/>
  <c r="V480" i="3" s="1"/>
  <c r="U116" i="19"/>
  <c r="C118" i="23"/>
  <c r="C183" i="23"/>
  <c r="U181" i="19"/>
  <c r="S161" i="19"/>
  <c r="AP161" i="19"/>
  <c r="A163" i="23"/>
  <c r="D163" i="23" s="1"/>
  <c r="P161" i="19"/>
  <c r="S102" i="19"/>
  <c r="AP102" i="19"/>
  <c r="P102" i="19"/>
  <c r="A104" i="23"/>
  <c r="Z161" i="19"/>
  <c r="Z102" i="19"/>
  <c r="U161" i="19"/>
  <c r="C163" i="23"/>
  <c r="C104" i="23"/>
  <c r="U102" i="19"/>
  <c r="F47" i="26"/>
  <c r="D47" i="26"/>
  <c r="A47" i="26" s="1"/>
  <c r="L190" i="23" l="1"/>
  <c r="M190" i="23" s="1"/>
  <c r="I488" i="26"/>
  <c r="E488" i="26" s="1"/>
  <c r="I1792" i="26"/>
  <c r="E1792" i="26" s="1"/>
  <c r="H2208" i="26"/>
  <c r="I228" i="26"/>
  <c r="E228" i="26" s="1"/>
  <c r="I343" i="26"/>
  <c r="E343" i="26" s="1"/>
  <c r="I644" i="26"/>
  <c r="E644" i="26" s="1"/>
  <c r="H4557" i="26"/>
  <c r="H4870" i="26"/>
  <c r="I210" i="26"/>
  <c r="E210" i="26" s="1"/>
  <c r="H272" i="26"/>
  <c r="H1968" i="26"/>
  <c r="D15" i="6"/>
  <c r="H15" i="6" s="1"/>
  <c r="I15" i="38"/>
  <c r="K15" i="38" s="1"/>
  <c r="H274" i="26"/>
  <c r="H1703" i="26"/>
  <c r="H5728" i="26"/>
  <c r="H1471" i="26"/>
  <c r="H601" i="26"/>
  <c r="H2157" i="26"/>
  <c r="H3094" i="26"/>
  <c r="H3791" i="26"/>
  <c r="I1381" i="26"/>
  <c r="E1381" i="26" s="1"/>
  <c r="H710" i="26"/>
  <c r="I1582" i="26"/>
  <c r="E1582" i="26" s="1"/>
  <c r="H971" i="26"/>
  <c r="I1209" i="26"/>
  <c r="E1209" i="26" s="1"/>
  <c r="I1542" i="26"/>
  <c r="E1542" i="26" s="1"/>
  <c r="I808" i="26"/>
  <c r="E808" i="26" s="1"/>
  <c r="H4858" i="26"/>
  <c r="H6513" i="26"/>
  <c r="H6303" i="26"/>
  <c r="H3880" i="26"/>
  <c r="H5705" i="26"/>
  <c r="I753" i="26"/>
  <c r="E753" i="26" s="1"/>
  <c r="H455" i="26"/>
  <c r="H5938" i="26"/>
  <c r="I4992" i="26"/>
  <c r="E4992" i="26" s="1"/>
  <c r="I6292" i="26"/>
  <c r="E6292" i="26" s="1"/>
  <c r="H1675" i="26"/>
  <c r="I350" i="26"/>
  <c r="E350" i="26" s="1"/>
  <c r="I2068" i="26"/>
  <c r="E2068" i="26" s="1"/>
  <c r="H745" i="26"/>
  <c r="Q169" i="29"/>
  <c r="P169" i="29" s="1"/>
  <c r="R169" i="29"/>
  <c r="Q149" i="29"/>
  <c r="P149" i="29" s="1"/>
  <c r="R149" i="29"/>
  <c r="R129" i="29"/>
  <c r="Q129" i="29"/>
  <c r="P129" i="29" s="1"/>
  <c r="R109" i="29"/>
  <c r="Q109" i="29"/>
  <c r="P109" i="29" s="1"/>
  <c r="R89" i="29"/>
  <c r="Q89" i="29"/>
  <c r="P89" i="29" s="1"/>
  <c r="R61" i="29"/>
  <c r="Q61" i="29"/>
  <c r="P61" i="29" s="1"/>
  <c r="R44" i="29"/>
  <c r="Q44" i="29"/>
  <c r="P44" i="29" s="1"/>
  <c r="H4420" i="26"/>
  <c r="H1178" i="26"/>
  <c r="H309" i="26"/>
  <c r="H1161" i="26"/>
  <c r="I1461" i="26"/>
  <c r="E1461" i="26" s="1"/>
  <c r="I919" i="26"/>
  <c r="E919" i="26" s="1"/>
  <c r="I745" i="26"/>
  <c r="E745" i="26" s="1"/>
  <c r="H970" i="26"/>
  <c r="H3786" i="26"/>
  <c r="I959" i="26"/>
  <c r="E959" i="26" s="1"/>
  <c r="I1680" i="26"/>
  <c r="E1680" i="26" s="1"/>
  <c r="I349" i="26"/>
  <c r="E349" i="26" s="1"/>
  <c r="I2022" i="26"/>
  <c r="E2022" i="26" s="1"/>
  <c r="H868" i="26"/>
  <c r="H1037" i="26"/>
  <c r="I5055" i="26"/>
  <c r="E5055" i="26" s="1"/>
  <c r="I822" i="26"/>
  <c r="E822" i="26" s="1"/>
  <c r="I1911" i="26"/>
  <c r="E1911" i="26" s="1"/>
  <c r="H3884" i="26"/>
  <c r="I1548" i="26"/>
  <c r="E1548" i="26" s="1"/>
  <c r="I1547" i="26"/>
  <c r="E1547" i="26" s="1"/>
  <c r="I314" i="26"/>
  <c r="E314" i="26" s="1"/>
  <c r="H1405" i="26"/>
  <c r="I879" i="26"/>
  <c r="E879" i="26" s="1"/>
  <c r="I417" i="26"/>
  <c r="E417" i="26" s="1"/>
  <c r="H1984" i="26"/>
  <c r="I6565" i="26"/>
  <c r="E6565" i="26" s="1"/>
  <c r="H1884" i="26"/>
  <c r="H1735" i="26"/>
  <c r="I273" i="26"/>
  <c r="E273" i="26" s="1"/>
  <c r="H4709" i="26"/>
  <c r="I2203" i="26"/>
  <c r="E2203" i="26" s="1"/>
  <c r="H1269" i="26"/>
  <c r="I398" i="26"/>
  <c r="E398" i="26" s="1"/>
  <c r="H3685" i="26"/>
  <c r="H1727" i="26"/>
  <c r="H5093" i="26"/>
  <c r="I5131" i="26"/>
  <c r="E5131" i="26" s="1"/>
  <c r="I352" i="26"/>
  <c r="E352" i="26" s="1"/>
  <c r="H5080" i="26"/>
  <c r="I1656" i="26"/>
  <c r="E1656" i="26" s="1"/>
  <c r="I892" i="26"/>
  <c r="E892" i="26" s="1"/>
  <c r="I509" i="26"/>
  <c r="E509" i="26" s="1"/>
  <c r="H5005" i="26"/>
  <c r="H1554" i="26"/>
  <c r="H3831" i="26"/>
  <c r="H2682" i="26"/>
  <c r="H1038" i="26"/>
  <c r="H2935" i="26"/>
  <c r="H2029" i="26"/>
  <c r="H1475" i="26"/>
  <c r="H378" i="26"/>
  <c r="I6116" i="26"/>
  <c r="E6116" i="26" s="1"/>
  <c r="I1725" i="26"/>
  <c r="E1725" i="26" s="1"/>
  <c r="H2902" i="26"/>
  <c r="H2525" i="26"/>
  <c r="H1033" i="26"/>
  <c r="H4166" i="26"/>
  <c r="H1195" i="26"/>
  <c r="I1473" i="26"/>
  <c r="E1473" i="26" s="1"/>
  <c r="H201" i="26"/>
  <c r="H5400" i="26"/>
  <c r="I720" i="26"/>
  <c r="E720" i="26" s="1"/>
  <c r="H4027" i="26"/>
  <c r="H6672" i="26"/>
  <c r="I1808" i="26"/>
  <c r="E1808" i="26" s="1"/>
  <c r="I1925" i="26"/>
  <c r="E1925" i="26" s="1"/>
  <c r="H5293" i="26"/>
  <c r="H6588" i="26"/>
  <c r="H1328" i="26"/>
  <c r="I2504" i="26"/>
  <c r="E2504" i="26" s="1"/>
  <c r="H4451" i="26"/>
  <c r="I5084" i="26"/>
  <c r="E5084" i="26" s="1"/>
  <c r="H1166" i="26"/>
  <c r="I311" i="26"/>
  <c r="E311" i="26" s="1"/>
  <c r="I5207" i="26"/>
  <c r="E5207" i="26" s="1"/>
  <c r="I4819" i="26"/>
  <c r="E4819" i="26" s="1"/>
  <c r="H6017" i="26"/>
  <c r="H1338" i="26"/>
  <c r="H986" i="26"/>
  <c r="H2410" i="26"/>
  <c r="I1069" i="26"/>
  <c r="E1069" i="26" s="1"/>
  <c r="I606" i="26"/>
  <c r="E606" i="26" s="1"/>
  <c r="I6524" i="26"/>
  <c r="E6524" i="26" s="1"/>
  <c r="H1544" i="26"/>
  <c r="H1662" i="26"/>
  <c r="H6336" i="26"/>
  <c r="I3424" i="26"/>
  <c r="E3424" i="26" s="1"/>
  <c r="H595" i="26"/>
  <c r="H2151" i="26"/>
  <c r="I1572" i="26"/>
  <c r="E1572" i="26" s="1"/>
  <c r="I347" i="26"/>
  <c r="E347" i="26" s="1"/>
  <c r="H2384" i="26"/>
  <c r="H3943" i="26"/>
  <c r="I686" i="26"/>
  <c r="E686" i="26" s="1"/>
  <c r="I2007" i="26"/>
  <c r="E2007" i="26" s="1"/>
  <c r="I1703" i="26"/>
  <c r="E1703" i="26" s="1"/>
  <c r="H5852" i="26"/>
  <c r="H3453" i="26"/>
  <c r="I5952" i="26"/>
  <c r="E5952" i="26" s="1"/>
  <c r="I510" i="26"/>
  <c r="E510" i="26" s="1"/>
  <c r="H1654" i="26"/>
  <c r="I5858" i="26"/>
  <c r="E5858" i="26" s="1"/>
  <c r="H2996" i="26"/>
  <c r="I1458" i="26"/>
  <c r="E1458" i="26" s="1"/>
  <c r="I1401" i="26"/>
  <c r="E1401" i="26" s="1"/>
  <c r="I3325" i="26"/>
  <c r="E3325" i="26" s="1"/>
  <c r="H5853" i="26"/>
  <c r="I598" i="26"/>
  <c r="E598" i="26" s="1"/>
  <c r="I832" i="26"/>
  <c r="E832" i="26" s="1"/>
  <c r="H6331" i="26"/>
  <c r="I468" i="26"/>
  <c r="E468" i="26" s="1"/>
  <c r="H236" i="26"/>
  <c r="H6769" i="26"/>
  <c r="H2818" i="26"/>
  <c r="H4365" i="26"/>
  <c r="I6121" i="26"/>
  <c r="E6121" i="26" s="1"/>
  <c r="H3191" i="26"/>
  <c r="H6428" i="26"/>
  <c r="H3171" i="26"/>
  <c r="H6380" i="26"/>
  <c r="I5557" i="26"/>
  <c r="E5557" i="26" s="1"/>
  <c r="H2471" i="26"/>
  <c r="H6608" i="26"/>
  <c r="I3370" i="26"/>
  <c r="E3370" i="26" s="1"/>
  <c r="Q90" i="29"/>
  <c r="P90" i="29" s="1"/>
  <c r="R90" i="29"/>
  <c r="H1850" i="26"/>
  <c r="I1320" i="26"/>
  <c r="E1320" i="26" s="1"/>
  <c r="H5765" i="26"/>
  <c r="H1627" i="26"/>
  <c r="H2809" i="26"/>
  <c r="I1127" i="26"/>
  <c r="E1127" i="26" s="1"/>
  <c r="H976" i="26"/>
  <c r="I525" i="26"/>
  <c r="E525" i="26" s="1"/>
  <c r="H1751" i="26"/>
  <c r="H768" i="26"/>
  <c r="H6235" i="26"/>
  <c r="H6770" i="26"/>
  <c r="I1927" i="26"/>
  <c r="E1927" i="26" s="1"/>
  <c r="H2059" i="26"/>
  <c r="H2698" i="26"/>
  <c r="D118" i="23"/>
  <c r="M118" i="23"/>
  <c r="H627" i="26"/>
  <c r="I1156" i="26"/>
  <c r="E1156" i="26" s="1"/>
  <c r="I574" i="26"/>
  <c r="E574" i="26" s="1"/>
  <c r="H812" i="26"/>
  <c r="R168" i="29"/>
  <c r="Q168" i="29"/>
  <c r="P168" i="29" s="1"/>
  <c r="Q148" i="29"/>
  <c r="P148" i="29" s="1"/>
  <c r="R148" i="29"/>
  <c r="R128" i="29"/>
  <c r="Q128" i="29"/>
  <c r="P128" i="29" s="1"/>
  <c r="R108" i="29"/>
  <c r="Q108" i="29"/>
  <c r="P108" i="29" s="1"/>
  <c r="R88" i="29"/>
  <c r="Q88" i="29"/>
  <c r="P88" i="29" s="1"/>
  <c r="Q70" i="29"/>
  <c r="P70" i="29" s="1"/>
  <c r="R70" i="29"/>
  <c r="R32" i="29"/>
  <c r="Q32" i="29"/>
  <c r="P32" i="29" s="1"/>
  <c r="H6343" i="26"/>
  <c r="H895" i="26"/>
  <c r="I348" i="26"/>
  <c r="E348" i="26" s="1"/>
  <c r="H1198" i="26"/>
  <c r="H222" i="26"/>
  <c r="H678" i="26"/>
  <c r="I2184" i="26"/>
  <c r="E2184" i="26" s="1"/>
  <c r="H342" i="26"/>
  <c r="H552" i="26"/>
  <c r="I458" i="26"/>
  <c r="E458" i="26" s="1"/>
  <c r="I1478" i="26"/>
  <c r="E1478" i="26" s="1"/>
  <c r="I353" i="26"/>
  <c r="E353" i="26" s="1"/>
  <c r="I1352" i="26"/>
  <c r="E1352" i="26" s="1"/>
  <c r="I1427" i="26"/>
  <c r="E1427" i="26" s="1"/>
  <c r="I591" i="26"/>
  <c r="E591" i="26" s="1"/>
  <c r="I459" i="26"/>
  <c r="E459" i="26" s="1"/>
  <c r="I1990" i="26"/>
  <c r="E1990" i="26" s="1"/>
  <c r="H3111" i="26"/>
  <c r="I4511" i="26"/>
  <c r="E4511" i="26" s="1"/>
  <c r="H5754" i="26"/>
  <c r="H6050" i="26"/>
  <c r="H277" i="26"/>
  <c r="I2151" i="26"/>
  <c r="E2151" i="26" s="1"/>
  <c r="I2051" i="26"/>
  <c r="E2051" i="26" s="1"/>
  <c r="I952" i="26"/>
  <c r="E952" i="26" s="1"/>
  <c r="H1955" i="26"/>
  <c r="H3485" i="26"/>
  <c r="H4898" i="26"/>
  <c r="H4793" i="26"/>
  <c r="H602" i="26"/>
  <c r="I203" i="26"/>
  <c r="E203" i="26" s="1"/>
  <c r="H1791" i="26"/>
  <c r="I2058" i="26"/>
  <c r="E2058" i="26" s="1"/>
  <c r="H975" i="26"/>
  <c r="I1162" i="26"/>
  <c r="E1162" i="26" s="1"/>
  <c r="H3104" i="26"/>
  <c r="I5048" i="26"/>
  <c r="E5048" i="26" s="1"/>
  <c r="I5618" i="26"/>
  <c r="E5618" i="26" s="1"/>
  <c r="I944" i="26"/>
  <c r="E944" i="26" s="1"/>
  <c r="I507" i="26"/>
  <c r="E507" i="26" s="1"/>
  <c r="H1373" i="26"/>
  <c r="H1436" i="26"/>
  <c r="I971" i="26"/>
  <c r="E971" i="26" s="1"/>
  <c r="H1616" i="26"/>
  <c r="H5495" i="26"/>
  <c r="H4706" i="26"/>
  <c r="I1740" i="26"/>
  <c r="E1740" i="26" s="1"/>
  <c r="I593" i="26"/>
  <c r="E593" i="26" s="1"/>
  <c r="I445" i="26"/>
  <c r="E445" i="26" s="1"/>
  <c r="I1371" i="26"/>
  <c r="E1371" i="26" s="1"/>
  <c r="I1436" i="26"/>
  <c r="E1436" i="26" s="1"/>
  <c r="H965" i="26"/>
  <c r="H1615" i="26"/>
  <c r="H2440" i="26"/>
  <c r="H3640" i="26"/>
  <c r="I1311" i="26"/>
  <c r="E1311" i="26" s="1"/>
  <c r="I934" i="26"/>
  <c r="E934" i="26" s="1"/>
  <c r="H240" i="26"/>
  <c r="H1782" i="26"/>
  <c r="I2054" i="26"/>
  <c r="E2054" i="26" s="1"/>
  <c r="H614" i="26"/>
  <c r="I1785" i="26"/>
  <c r="E1785" i="26" s="1"/>
  <c r="H6442" i="26"/>
  <c r="H6636" i="26"/>
  <c r="H6616" i="26"/>
  <c r="I438" i="26"/>
  <c r="E438" i="26" s="1"/>
  <c r="I436" i="26"/>
  <c r="E436" i="26" s="1"/>
  <c r="H357" i="26"/>
  <c r="H680" i="26"/>
  <c r="H1299" i="26"/>
  <c r="H3870" i="26"/>
  <c r="H5518" i="26"/>
  <c r="I2096" i="26"/>
  <c r="E2096" i="26" s="1"/>
  <c r="H6241" i="26"/>
  <c r="I1022" i="26"/>
  <c r="E1022" i="26" s="1"/>
  <c r="H6348" i="26"/>
  <c r="H3859" i="26"/>
  <c r="H6168" i="26"/>
  <c r="I335" i="26"/>
  <c r="E335" i="26" s="1"/>
  <c r="H547" i="26"/>
  <c r="I1105" i="26"/>
  <c r="E1105" i="26" s="1"/>
  <c r="H6587" i="26"/>
  <c r="I1267" i="26"/>
  <c r="E1267" i="26" s="1"/>
  <c r="I1994" i="26"/>
  <c r="E1994" i="26" s="1"/>
  <c r="I5134" i="26"/>
  <c r="E5134" i="26" s="1"/>
  <c r="H1803" i="26"/>
  <c r="H1362" i="26"/>
  <c r="I1714" i="26"/>
  <c r="E1714" i="26" s="1"/>
  <c r="H1453" i="26"/>
  <c r="I1120" i="26"/>
  <c r="E1120" i="26" s="1"/>
  <c r="H6716" i="26"/>
  <c r="H399" i="26"/>
  <c r="H2824" i="26"/>
  <c r="H3777" i="26"/>
  <c r="H931" i="26"/>
  <c r="H4213" i="26"/>
  <c r="H4552" i="26"/>
  <c r="H324" i="26"/>
  <c r="H2952" i="26"/>
  <c r="I6214" i="26"/>
  <c r="E6214" i="26" s="1"/>
  <c r="H226" i="26"/>
  <c r="H1993" i="26"/>
  <c r="H6628" i="26"/>
  <c r="I5574" i="26"/>
  <c r="E5574" i="26" s="1"/>
  <c r="H365" i="26"/>
  <c r="I1138" i="26"/>
  <c r="E1138" i="26" s="1"/>
  <c r="H4163" i="26"/>
  <c r="H4882" i="26"/>
  <c r="H1699" i="26"/>
  <c r="H2189" i="26"/>
  <c r="H774" i="26"/>
  <c r="H1277" i="26"/>
  <c r="H3396" i="26"/>
  <c r="I5612" i="26"/>
  <c r="E5612" i="26" s="1"/>
  <c r="I1946" i="26"/>
  <c r="E1946" i="26" s="1"/>
  <c r="H5508" i="26"/>
  <c r="H4713" i="26"/>
  <c r="H3819" i="26"/>
  <c r="H4496" i="26"/>
  <c r="H3268" i="26"/>
  <c r="I2869" i="26"/>
  <c r="E2869" i="26" s="1"/>
  <c r="I6474" i="26"/>
  <c r="E6474" i="26" s="1"/>
  <c r="H4123" i="26"/>
  <c r="I3353" i="26"/>
  <c r="E3353" i="26" s="1"/>
  <c r="I3489" i="26"/>
  <c r="E3489" i="26" s="1"/>
  <c r="R170" i="29"/>
  <c r="Q170" i="29"/>
  <c r="P170" i="29" s="1"/>
  <c r="R110" i="29"/>
  <c r="Q110" i="29"/>
  <c r="P110" i="29" s="1"/>
  <c r="R40" i="29"/>
  <c r="Q40" i="29"/>
  <c r="P40" i="29" s="1"/>
  <c r="I1628" i="26"/>
  <c r="E1628" i="26" s="1"/>
  <c r="I1006" i="26"/>
  <c r="E1006" i="26" s="1"/>
  <c r="H3349" i="26"/>
  <c r="H423" i="26"/>
  <c r="H255" i="26"/>
  <c r="H1127" i="26"/>
  <c r="H3008" i="26"/>
  <c r="I1998" i="26"/>
  <c r="E1998" i="26" s="1"/>
  <c r="I3133" i="26"/>
  <c r="E3133" i="26" s="1"/>
  <c r="H6013" i="26"/>
  <c r="I796" i="26"/>
  <c r="E796" i="26" s="1"/>
  <c r="I5254" i="26"/>
  <c r="E5254" i="26" s="1"/>
  <c r="H3731" i="26"/>
  <c r="I1294" i="26"/>
  <c r="E1294" i="26" s="1"/>
  <c r="I908" i="26"/>
  <c r="E908" i="26" s="1"/>
  <c r="H3075" i="26"/>
  <c r="I2042" i="26"/>
  <c r="E2042" i="26" s="1"/>
  <c r="H2924" i="26"/>
  <c r="I394" i="26"/>
  <c r="E394" i="26" s="1"/>
  <c r="H820" i="26"/>
  <c r="I674" i="26"/>
  <c r="E674" i="26" s="1"/>
  <c r="I495" i="26"/>
  <c r="E495" i="26" s="1"/>
  <c r="R167" i="29"/>
  <c r="Q167" i="29"/>
  <c r="P167" i="29" s="1"/>
  <c r="Q147" i="29"/>
  <c r="P147" i="29" s="1"/>
  <c r="R147" i="29"/>
  <c r="Q127" i="29"/>
  <c r="P127" i="29" s="1"/>
  <c r="R127" i="29"/>
  <c r="R107" i="29"/>
  <c r="Q107" i="29"/>
  <c r="P107" i="29" s="1"/>
  <c r="Q87" i="29"/>
  <c r="P87" i="29" s="1"/>
  <c r="R87" i="29"/>
  <c r="Q43" i="29"/>
  <c r="P43" i="29" s="1"/>
  <c r="R43" i="29"/>
  <c r="R39" i="29"/>
  <c r="Q39" i="29"/>
  <c r="P39" i="29" s="1"/>
  <c r="I2009" i="26"/>
  <c r="E2009" i="26" s="1"/>
  <c r="I270" i="26"/>
  <c r="E270" i="26" s="1"/>
  <c r="I670" i="26"/>
  <c r="E670" i="26" s="1"/>
  <c r="I1228" i="26"/>
  <c r="E1228" i="26" s="1"/>
  <c r="H766" i="26"/>
  <c r="I419" i="26"/>
  <c r="E419" i="26" s="1"/>
  <c r="H1208" i="26"/>
  <c r="H361" i="26"/>
  <c r="I1326" i="26"/>
  <c r="E1326" i="26" s="1"/>
  <c r="H1488" i="26"/>
  <c r="I980" i="26"/>
  <c r="E980" i="26" s="1"/>
  <c r="I1607" i="26"/>
  <c r="E1607" i="26" s="1"/>
  <c r="H356" i="26"/>
  <c r="I811" i="26"/>
  <c r="E811" i="26" s="1"/>
  <c r="H1867" i="26"/>
  <c r="I1027" i="26"/>
  <c r="E1027" i="26" s="1"/>
  <c r="I1109" i="26"/>
  <c r="E1109" i="26" s="1"/>
  <c r="H5641" i="26"/>
  <c r="I1802" i="26"/>
  <c r="E1802" i="26" s="1"/>
  <c r="H4745" i="26"/>
  <c r="H4349" i="26"/>
  <c r="I1014" i="26"/>
  <c r="E1014" i="26" s="1"/>
  <c r="I487" i="26"/>
  <c r="E487" i="26" s="1"/>
  <c r="H1402" i="26"/>
  <c r="H870" i="26"/>
  <c r="I1722" i="26"/>
  <c r="E1722" i="26" s="1"/>
  <c r="H3750" i="26"/>
  <c r="I1366" i="26"/>
  <c r="E1366" i="26" s="1"/>
  <c r="H6713" i="26"/>
  <c r="H869" i="26"/>
  <c r="I692" i="26"/>
  <c r="E692" i="26" s="1"/>
  <c r="H6027" i="26"/>
  <c r="I2200" i="26"/>
  <c r="E2200" i="26" s="1"/>
  <c r="I1263" i="26"/>
  <c r="E1263" i="26" s="1"/>
  <c r="H1589" i="26"/>
  <c r="H4672" i="26"/>
  <c r="H1633" i="26"/>
  <c r="I4865" i="26"/>
  <c r="E4865" i="26" s="1"/>
  <c r="I1870" i="26"/>
  <c r="E1870" i="26" s="1"/>
  <c r="I687" i="26"/>
  <c r="E687" i="26" s="1"/>
  <c r="H2937" i="26"/>
  <c r="I1823" i="26"/>
  <c r="E1823" i="26" s="1"/>
  <c r="H1472" i="26"/>
  <c r="H755" i="26"/>
  <c r="H5430" i="26"/>
  <c r="H1802" i="26"/>
  <c r="I6261" i="26"/>
  <c r="E6261" i="26" s="1"/>
  <c r="I1697" i="26"/>
  <c r="E1697" i="26" s="1"/>
  <c r="H681" i="26"/>
  <c r="I432" i="26"/>
  <c r="E432" i="26" s="1"/>
  <c r="H2196" i="26"/>
  <c r="H1468" i="26"/>
  <c r="I1758" i="26"/>
  <c r="E1758" i="26" s="1"/>
  <c r="H4849" i="26"/>
  <c r="H2006" i="26"/>
  <c r="I4173" i="26"/>
  <c r="E4173" i="26" s="1"/>
  <c r="I1696" i="26"/>
  <c r="E1696" i="26" s="1"/>
  <c r="H676" i="26"/>
  <c r="I463" i="26"/>
  <c r="E463" i="26" s="1"/>
  <c r="H2025" i="26"/>
  <c r="H877" i="26"/>
  <c r="H2130" i="26"/>
  <c r="H2720" i="26"/>
  <c r="H2175" i="26"/>
  <c r="H4486" i="26"/>
  <c r="H284" i="26"/>
  <c r="I381" i="26"/>
  <c r="E381" i="26" s="1"/>
  <c r="I691" i="26"/>
  <c r="E691" i="26" s="1"/>
  <c r="I926" i="26"/>
  <c r="E926" i="26" s="1"/>
  <c r="H4066" i="26"/>
  <c r="H775" i="26"/>
  <c r="H3445" i="26"/>
  <c r="H2997" i="26"/>
  <c r="I262" i="26"/>
  <c r="E262" i="26" s="1"/>
  <c r="H831" i="26"/>
  <c r="H6385" i="26"/>
  <c r="H4592" i="26"/>
  <c r="H1547" i="26"/>
  <c r="H1469" i="26"/>
  <c r="I916" i="26"/>
  <c r="E916" i="26" s="1"/>
  <c r="H3107" i="26"/>
  <c r="H4021" i="26"/>
  <c r="H2056" i="26"/>
  <c r="H1760" i="26"/>
  <c r="H5820" i="26"/>
  <c r="I1919" i="26"/>
  <c r="E1919" i="26" s="1"/>
  <c r="H784" i="26"/>
  <c r="H6597" i="26"/>
  <c r="H1425" i="26"/>
  <c r="I1091" i="26"/>
  <c r="E1091" i="26" s="1"/>
  <c r="I1701" i="26"/>
  <c r="E1701" i="26" s="1"/>
  <c r="H966" i="26"/>
  <c r="I4343" i="26"/>
  <c r="E4343" i="26" s="1"/>
  <c r="H1083" i="26"/>
  <c r="H1450" i="26"/>
  <c r="H4323" i="26"/>
  <c r="I4318" i="26"/>
  <c r="E4318" i="26" s="1"/>
  <c r="I681" i="26"/>
  <c r="E681" i="26" s="1"/>
  <c r="I1386" i="26"/>
  <c r="E1386" i="26" s="1"/>
  <c r="H6563" i="26"/>
  <c r="I494" i="26"/>
  <c r="E494" i="26" s="1"/>
  <c r="H4531" i="26"/>
  <c r="H2850" i="26"/>
  <c r="H4471" i="26"/>
  <c r="H1008" i="26"/>
  <c r="H227" i="26"/>
  <c r="H5140" i="26"/>
  <c r="H6165" i="26"/>
  <c r="I264" i="26"/>
  <c r="E264" i="26" s="1"/>
  <c r="H759" i="26"/>
  <c r="I1926" i="26"/>
  <c r="E1926" i="26" s="1"/>
  <c r="I1828" i="26"/>
  <c r="E1828" i="26" s="1"/>
  <c r="H5532" i="26"/>
  <c r="H1927" i="26"/>
  <c r="H4936" i="26"/>
  <c r="H3124" i="26"/>
  <c r="H5494" i="26"/>
  <c r="H6082" i="26"/>
  <c r="H4901" i="26"/>
  <c r="H5899" i="26"/>
  <c r="H4893" i="26"/>
  <c r="I3224" i="26"/>
  <c r="E3224" i="26" s="1"/>
  <c r="H6690" i="26"/>
  <c r="I4273" i="26"/>
  <c r="E4273" i="26" s="1"/>
  <c r="R150" i="29"/>
  <c r="Q150" i="29"/>
  <c r="P150" i="29" s="1"/>
  <c r="I1198" i="26"/>
  <c r="E1198" i="26" s="1"/>
  <c r="H1852" i="26"/>
  <c r="H961" i="26"/>
  <c r="H640" i="26"/>
  <c r="H981" i="26"/>
  <c r="I281" i="26"/>
  <c r="E281" i="26" s="1"/>
  <c r="H442" i="26"/>
  <c r="I789" i="26"/>
  <c r="E789" i="26" s="1"/>
  <c r="H439" i="26"/>
  <c r="I6171" i="26"/>
  <c r="E6171" i="26" s="1"/>
  <c r="H3989" i="26"/>
  <c r="H1073" i="26"/>
  <c r="H263" i="26"/>
  <c r="H5012" i="26"/>
  <c r="I47" i="26"/>
  <c r="E47" i="26" s="1"/>
  <c r="H47" i="26"/>
  <c r="I2039" i="26"/>
  <c r="E2039" i="26" s="1"/>
  <c r="I1853" i="26"/>
  <c r="E1853" i="26" s="1"/>
  <c r="I277" i="26"/>
  <c r="E277" i="26" s="1"/>
  <c r="H53" i="26"/>
  <c r="D69" i="23"/>
  <c r="I1479" i="26"/>
  <c r="E1479" i="26" s="1"/>
  <c r="I1136" i="26"/>
  <c r="E1136" i="26" s="1"/>
  <c r="I765" i="26"/>
  <c r="E765" i="26" s="1"/>
  <c r="H5045" i="26"/>
  <c r="I3398" i="26"/>
  <c r="E3398" i="26" s="1"/>
  <c r="H1271" i="26"/>
  <c r="H1854" i="26"/>
  <c r="H291" i="26"/>
  <c r="I867" i="26"/>
  <c r="E867" i="26" s="1"/>
  <c r="H556" i="26"/>
  <c r="I475" i="26"/>
  <c r="E475" i="26" s="1"/>
  <c r="I1276" i="26"/>
  <c r="E1276" i="26" s="1"/>
  <c r="I1597" i="26"/>
  <c r="E1597" i="26" s="1"/>
  <c r="I948" i="26"/>
  <c r="E948" i="26" s="1"/>
  <c r="I930" i="26"/>
  <c r="E930" i="26" s="1"/>
  <c r="H481" i="26"/>
  <c r="I1262" i="26"/>
  <c r="E1262" i="26" s="1"/>
  <c r="H1679" i="26"/>
  <c r="I862" i="26"/>
  <c r="E862" i="26" s="1"/>
  <c r="I1400" i="26"/>
  <c r="E1400" i="26" s="1"/>
  <c r="H1846" i="26"/>
  <c r="H6075" i="26"/>
  <c r="I1437" i="26"/>
  <c r="E1437" i="26" s="1"/>
  <c r="I415" i="26"/>
  <c r="E415" i="26" s="1"/>
  <c r="I817" i="26"/>
  <c r="E817" i="26" s="1"/>
  <c r="H938" i="26"/>
  <c r="I1041" i="26"/>
  <c r="E1041" i="26" s="1"/>
  <c r="H2235" i="26"/>
  <c r="H647" i="26"/>
  <c r="I278" i="26"/>
  <c r="E278" i="26" s="1"/>
  <c r="H313" i="26"/>
  <c r="I380" i="26"/>
  <c r="E380" i="26" s="1"/>
  <c r="I578" i="26"/>
  <c r="E578" i="26" s="1"/>
  <c r="H677" i="26"/>
  <c r="I854" i="26"/>
  <c r="E854" i="26" s="1"/>
  <c r="I979" i="26"/>
  <c r="E979" i="26" s="1"/>
  <c r="I905" i="26"/>
  <c r="E905" i="26" s="1"/>
  <c r="H1274" i="26"/>
  <c r="I243" i="26"/>
  <c r="E243" i="26" s="1"/>
  <c r="I1174" i="26"/>
  <c r="E1174" i="26" s="1"/>
  <c r="H827" i="26"/>
  <c r="I1123" i="26"/>
  <c r="E1123" i="26" s="1"/>
  <c r="I1341" i="26"/>
  <c r="E1341" i="26" s="1"/>
  <c r="H582" i="26"/>
  <c r="I1481" i="26"/>
  <c r="E1481" i="26" s="1"/>
  <c r="I133" i="26"/>
  <c r="E133" i="26" s="1"/>
  <c r="I72" i="26"/>
  <c r="E72" i="26" s="1"/>
  <c r="I39" i="26"/>
  <c r="E39" i="26" s="1"/>
  <c r="I3419" i="26"/>
  <c r="E3419" i="26" s="1"/>
  <c r="I5608" i="26"/>
  <c r="E5608" i="26" s="1"/>
  <c r="I2335" i="26"/>
  <c r="E2335" i="26" s="1"/>
  <c r="I5322" i="26"/>
  <c r="E5322" i="26" s="1"/>
  <c r="I5451" i="26"/>
  <c r="E5451" i="26" s="1"/>
  <c r="I3970" i="26"/>
  <c r="E3970" i="26" s="1"/>
  <c r="I4053" i="26"/>
  <c r="E4053" i="26" s="1"/>
  <c r="H5076" i="26"/>
  <c r="I5146" i="26"/>
  <c r="E5146" i="26" s="1"/>
  <c r="I2675" i="26"/>
  <c r="E2675" i="26" s="1"/>
  <c r="I5438" i="26"/>
  <c r="E5438" i="26" s="1"/>
  <c r="I4853" i="26"/>
  <c r="E4853" i="26" s="1"/>
  <c r="I6192" i="26"/>
  <c r="E6192" i="26" s="1"/>
  <c r="I5282" i="26"/>
  <c r="E5282" i="26" s="1"/>
  <c r="I3960" i="26"/>
  <c r="E3960" i="26" s="1"/>
  <c r="H5998" i="26"/>
  <c r="I4755" i="26"/>
  <c r="E4755" i="26" s="1"/>
  <c r="I4639" i="26"/>
  <c r="E4639" i="26" s="1"/>
  <c r="I6083" i="26"/>
  <c r="E6083" i="26" s="1"/>
  <c r="I4036" i="26"/>
  <c r="E4036" i="26" s="1"/>
  <c r="I4079" i="26"/>
  <c r="E4079" i="26" s="1"/>
  <c r="I3567" i="26"/>
  <c r="E3567" i="26" s="1"/>
  <c r="I5430" i="26"/>
  <c r="E5430" i="26" s="1"/>
  <c r="H1888" i="26"/>
  <c r="I5685" i="26"/>
  <c r="E5685" i="26" s="1"/>
  <c r="I5793" i="26"/>
  <c r="E5793" i="26" s="1"/>
  <c r="I3207" i="26"/>
  <c r="E3207" i="26" s="1"/>
  <c r="I6752" i="26"/>
  <c r="E6752" i="26" s="1"/>
  <c r="I4242" i="26"/>
  <c r="E4242" i="26" s="1"/>
  <c r="I3277" i="26"/>
  <c r="E3277" i="26" s="1"/>
  <c r="I6661" i="26"/>
  <c r="E6661" i="26" s="1"/>
  <c r="I5341" i="26"/>
  <c r="E5341" i="26" s="1"/>
  <c r="I3650" i="26"/>
  <c r="E3650" i="26" s="1"/>
  <c r="I2743" i="26"/>
  <c r="E2743" i="26" s="1"/>
  <c r="I3851" i="26"/>
  <c r="E3851" i="26" s="1"/>
  <c r="I2428" i="26"/>
  <c r="E2428" i="26" s="1"/>
  <c r="I3728" i="26"/>
  <c r="E3728" i="26" s="1"/>
  <c r="I1286" i="26"/>
  <c r="E1286" i="26" s="1"/>
  <c r="I4704" i="26"/>
  <c r="E4704" i="26" s="1"/>
  <c r="I5695" i="26"/>
  <c r="E5695" i="26" s="1"/>
  <c r="I3988" i="26"/>
  <c r="E3988" i="26" s="1"/>
  <c r="I3299" i="26"/>
  <c r="E3299" i="26" s="1"/>
  <c r="I2281" i="26"/>
  <c r="E2281" i="26" s="1"/>
  <c r="I6119" i="26"/>
  <c r="E6119" i="26" s="1"/>
  <c r="I4915" i="26"/>
  <c r="E4915" i="26" s="1"/>
  <c r="H1042" i="26"/>
  <c r="I6072" i="26"/>
  <c r="E6072" i="26" s="1"/>
  <c r="I6158" i="26"/>
  <c r="E6158" i="26" s="1"/>
  <c r="I2832" i="26"/>
  <c r="E2832" i="26" s="1"/>
  <c r="I4864" i="26"/>
  <c r="E4864" i="26" s="1"/>
  <c r="I6583" i="26"/>
  <c r="E6583" i="26" s="1"/>
  <c r="I6145" i="26"/>
  <c r="E6145" i="26" s="1"/>
  <c r="I6347" i="26"/>
  <c r="E6347" i="26" s="1"/>
  <c r="I5987" i="26"/>
  <c r="E5987" i="26" s="1"/>
  <c r="I5393" i="26"/>
  <c r="E5393" i="26" s="1"/>
  <c r="I5399" i="26"/>
  <c r="E5399" i="26" s="1"/>
  <c r="I3103" i="26"/>
  <c r="E3103" i="26" s="1"/>
  <c r="I2484" i="26"/>
  <c r="E2484" i="26" s="1"/>
  <c r="I3520" i="26"/>
  <c r="E3520" i="26" s="1"/>
  <c r="I5454" i="26"/>
  <c r="E5454" i="26" s="1"/>
  <c r="H178" i="26"/>
  <c r="I4244" i="26"/>
  <c r="E4244" i="26" s="1"/>
  <c r="I6393" i="26"/>
  <c r="E6393" i="26" s="1"/>
  <c r="I6186" i="26"/>
  <c r="E6186" i="26" s="1"/>
  <c r="I2469" i="26"/>
  <c r="E2469" i="26" s="1"/>
  <c r="I6640" i="26"/>
  <c r="E6640" i="26" s="1"/>
  <c r="I2519" i="26"/>
  <c r="E2519" i="26" s="1"/>
  <c r="I25" i="26"/>
  <c r="E25" i="26" s="1"/>
  <c r="I6479" i="26"/>
  <c r="E6479" i="26" s="1"/>
  <c r="I4144" i="26"/>
  <c r="E4144" i="26" s="1"/>
  <c r="I3997" i="26"/>
  <c r="E3997" i="26" s="1"/>
  <c r="I5439" i="26"/>
  <c r="E5439" i="26" s="1"/>
  <c r="I6467" i="26"/>
  <c r="E6467" i="26" s="1"/>
  <c r="I4735" i="26"/>
  <c r="E4735" i="26" s="1"/>
  <c r="I4565" i="26"/>
  <c r="E4565" i="26" s="1"/>
  <c r="I3629" i="26"/>
  <c r="E3629" i="26" s="1"/>
  <c r="I6356" i="26"/>
  <c r="E6356" i="26" s="1"/>
  <c r="I4238" i="26"/>
  <c r="E4238" i="26" s="1"/>
  <c r="I5310" i="26"/>
  <c r="E5310" i="26" s="1"/>
  <c r="I5388" i="26"/>
  <c r="E5388" i="26" s="1"/>
  <c r="I6569" i="26"/>
  <c r="E6569" i="26" s="1"/>
  <c r="I2263" i="26"/>
  <c r="E2263" i="26" s="1"/>
  <c r="I2877" i="26"/>
  <c r="E2877" i="26" s="1"/>
  <c r="I5196" i="26"/>
  <c r="E5196" i="26" s="1"/>
  <c r="I3810" i="26"/>
  <c r="E3810" i="26" s="1"/>
  <c r="I5143" i="26"/>
  <c r="E5143" i="26" s="1"/>
  <c r="I3182" i="26"/>
  <c r="E3182" i="26" s="1"/>
  <c r="I3766" i="26"/>
  <c r="E3766" i="26" s="1"/>
  <c r="I5255" i="26"/>
  <c r="E5255" i="26" s="1"/>
  <c r="I194" i="26"/>
  <c r="E194" i="26" s="1"/>
  <c r="I3461" i="26"/>
  <c r="E3461" i="26" s="1"/>
  <c r="I6458" i="26"/>
  <c r="E6458" i="26" s="1"/>
  <c r="I3446" i="26"/>
  <c r="E3446" i="26" s="1"/>
  <c r="I5819" i="26"/>
  <c r="E5819" i="26" s="1"/>
  <c r="I5421" i="26"/>
  <c r="E5421" i="26" s="1"/>
  <c r="I3121" i="26"/>
  <c r="E3121" i="26" s="1"/>
  <c r="I5636" i="26"/>
  <c r="E5636" i="26" s="1"/>
  <c r="I2287" i="26"/>
  <c r="E2287" i="26" s="1"/>
  <c r="I3767" i="26"/>
  <c r="E3767" i="26" s="1"/>
  <c r="I3758" i="26"/>
  <c r="E3758" i="26" s="1"/>
  <c r="I5251" i="26"/>
  <c r="E5251" i="26" s="1"/>
  <c r="I3534" i="26"/>
  <c r="E3534" i="26" s="1"/>
  <c r="I3478" i="26"/>
  <c r="E3478" i="26" s="1"/>
  <c r="I2817" i="26"/>
  <c r="E2817" i="26" s="1"/>
  <c r="I6306" i="26"/>
  <c r="E6306" i="26" s="1"/>
  <c r="I4374" i="26"/>
  <c r="E4374" i="26" s="1"/>
  <c r="I3785" i="26"/>
  <c r="E3785" i="26" s="1"/>
  <c r="I5783" i="26"/>
  <c r="E5783" i="26" s="1"/>
  <c r="I5617" i="26"/>
  <c r="E5617" i="26" s="1"/>
  <c r="I6401" i="26"/>
  <c r="E6401" i="26" s="1"/>
  <c r="I3563" i="26"/>
  <c r="E3563" i="26" s="1"/>
  <c r="I3177" i="26"/>
  <c r="E3177" i="26" s="1"/>
  <c r="I5023" i="26"/>
  <c r="E5023" i="26" s="1"/>
  <c r="H4738" i="26"/>
  <c r="H12" i="26"/>
  <c r="I6602" i="26"/>
  <c r="E6602" i="26" s="1"/>
  <c r="I4134" i="26"/>
  <c r="E4134" i="26" s="1"/>
  <c r="I5285" i="26"/>
  <c r="E5285" i="26" s="1"/>
  <c r="I4668" i="26"/>
  <c r="E4668" i="26" s="1"/>
  <c r="I4314" i="26"/>
  <c r="E4314" i="26" s="1"/>
  <c r="I5761" i="26"/>
  <c r="E5761" i="26" s="1"/>
  <c r="I5872" i="26"/>
  <c r="E5872" i="26" s="1"/>
  <c r="H5914" i="26"/>
  <c r="I4270" i="26"/>
  <c r="E4270" i="26" s="1"/>
  <c r="I4418" i="26"/>
  <c r="E4418" i="26" s="1"/>
  <c r="I2355" i="26"/>
  <c r="E2355" i="26" s="1"/>
  <c r="I3349" i="26"/>
  <c r="E3349" i="26" s="1"/>
  <c r="I5708" i="26"/>
  <c r="E5708" i="26" s="1"/>
  <c r="I6647" i="26"/>
  <c r="E6647" i="26" s="1"/>
  <c r="I2411" i="26"/>
  <c r="E2411" i="26" s="1"/>
  <c r="I4213" i="26"/>
  <c r="E4213" i="26" s="1"/>
  <c r="H163" i="26"/>
  <c r="I2467" i="26"/>
  <c r="E2467" i="26" s="1"/>
  <c r="I2247" i="26"/>
  <c r="E2247" i="26" s="1"/>
  <c r="I3500" i="26"/>
  <c r="E3500" i="26" s="1"/>
  <c r="I2380" i="26"/>
  <c r="E2380" i="26" s="1"/>
  <c r="I2828" i="26"/>
  <c r="E2828" i="26" s="1"/>
  <c r="I3677" i="26"/>
  <c r="E3677" i="26" s="1"/>
  <c r="I5305" i="26"/>
  <c r="E5305" i="26" s="1"/>
  <c r="H5601" i="26"/>
  <c r="I6036" i="26"/>
  <c r="E6036" i="26" s="1"/>
  <c r="I2420" i="26"/>
  <c r="E2420" i="26" s="1"/>
  <c r="I5306" i="26"/>
  <c r="E5306" i="26" s="1"/>
  <c r="I2448" i="26"/>
  <c r="E2448" i="26" s="1"/>
  <c r="I2822" i="26"/>
  <c r="E2822" i="26" s="1"/>
  <c r="I3276" i="26"/>
  <c r="E3276" i="26" s="1"/>
  <c r="I3439" i="26"/>
  <c r="E3439" i="26" s="1"/>
  <c r="I5112" i="26"/>
  <c r="E5112" i="26" s="1"/>
  <c r="I3862" i="26"/>
  <c r="E3862" i="26" s="1"/>
  <c r="I2508" i="26"/>
  <c r="E2508" i="26" s="1"/>
  <c r="I4799" i="26"/>
  <c r="E4799" i="26" s="1"/>
  <c r="H6707" i="26"/>
  <c r="I3364" i="26"/>
  <c r="E3364" i="26" s="1"/>
  <c r="H6175" i="26"/>
  <c r="H2669" i="26"/>
  <c r="I3368" i="26"/>
  <c r="E3368" i="26" s="1"/>
  <c r="H6566" i="26"/>
  <c r="I4255" i="26"/>
  <c r="E4255" i="26" s="1"/>
  <c r="I4413" i="26"/>
  <c r="E4413" i="26" s="1"/>
  <c r="H6443" i="26"/>
  <c r="H6485" i="26"/>
  <c r="H2650" i="26"/>
  <c r="H4138" i="26"/>
  <c r="H5401" i="26"/>
  <c r="I1883" i="26"/>
  <c r="E1883" i="26" s="1"/>
  <c r="I1058" i="26"/>
  <c r="E1058" i="26" s="1"/>
  <c r="I6056" i="26"/>
  <c r="E6056" i="26" s="1"/>
  <c r="I797" i="26"/>
  <c r="E797" i="26" s="1"/>
  <c r="I478" i="26"/>
  <c r="E478" i="26" s="1"/>
  <c r="H1245" i="26"/>
  <c r="H1863" i="26"/>
  <c r="I2190" i="26"/>
  <c r="E2190" i="26" s="1"/>
  <c r="H187" i="26"/>
  <c r="I38" i="26"/>
  <c r="E38" i="26" s="1"/>
  <c r="I171" i="26"/>
  <c r="E171" i="26" s="1"/>
  <c r="I5634" i="26"/>
  <c r="E5634" i="26" s="1"/>
  <c r="I6464" i="26"/>
  <c r="E6464" i="26" s="1"/>
  <c r="I6521" i="26"/>
  <c r="E6521" i="26" s="1"/>
  <c r="I6484" i="26"/>
  <c r="E6484" i="26" s="1"/>
  <c r="I6297" i="26"/>
  <c r="E6297" i="26" s="1"/>
  <c r="I4191" i="26"/>
  <c r="E4191" i="26" s="1"/>
  <c r="I5259" i="26"/>
  <c r="E5259" i="26" s="1"/>
  <c r="I5945" i="26"/>
  <c r="E5945" i="26" s="1"/>
  <c r="I3067" i="26"/>
  <c r="E3067" i="26" s="1"/>
  <c r="I5294" i="26"/>
  <c r="E5294" i="26" s="1"/>
  <c r="I3554" i="26"/>
  <c r="E3554" i="26" s="1"/>
  <c r="I4909" i="26"/>
  <c r="E4909" i="26" s="1"/>
  <c r="I4126" i="26"/>
  <c r="E4126" i="26" s="1"/>
  <c r="I3609" i="26"/>
  <c r="E3609" i="26" s="1"/>
  <c r="I6000" i="26"/>
  <c r="E6000" i="26" s="1"/>
  <c r="H2543" i="26"/>
  <c r="H1882" i="26"/>
  <c r="I5344" i="26"/>
  <c r="E5344" i="26" s="1"/>
  <c r="I5101" i="26"/>
  <c r="E5101" i="26" s="1"/>
  <c r="I5479" i="26"/>
  <c r="E5479" i="26" s="1"/>
  <c r="I5465" i="26"/>
  <c r="E5465" i="26" s="1"/>
  <c r="I2579" i="26"/>
  <c r="E2579" i="26" s="1"/>
  <c r="I5015" i="26"/>
  <c r="E5015" i="26" s="1"/>
  <c r="I6012" i="26"/>
  <c r="E6012" i="26" s="1"/>
  <c r="I4832" i="26"/>
  <c r="E4832" i="26" s="1"/>
  <c r="I4171" i="26"/>
  <c r="E4171" i="26" s="1"/>
  <c r="I5914" i="26"/>
  <c r="E5914" i="26" s="1"/>
  <c r="I3807" i="26"/>
  <c r="E3807" i="26" s="1"/>
  <c r="I1530" i="26"/>
  <c r="E1530" i="26" s="1"/>
  <c r="I4001" i="26"/>
  <c r="E4001" i="26" s="1"/>
  <c r="I4504" i="26"/>
  <c r="E4504" i="26" s="1"/>
  <c r="I2444" i="26"/>
  <c r="E2444" i="26" s="1"/>
  <c r="H5127" i="26"/>
  <c r="I3369" i="26"/>
  <c r="E3369" i="26" s="1"/>
  <c r="I3109" i="26"/>
  <c r="E3109" i="26" s="1"/>
  <c r="I2275" i="26"/>
  <c r="E2275" i="26" s="1"/>
  <c r="I5876" i="26"/>
  <c r="E5876" i="26" s="1"/>
  <c r="I4788" i="26"/>
  <c r="E4788" i="26" s="1"/>
  <c r="I4448" i="26"/>
  <c r="E4448" i="26" s="1"/>
  <c r="I5957" i="26"/>
  <c r="E5957" i="26" s="1"/>
  <c r="I2321" i="26"/>
  <c r="E2321" i="26" s="1"/>
  <c r="I4747" i="26"/>
  <c r="E4747" i="26" s="1"/>
  <c r="I5948" i="26"/>
  <c r="E5948" i="26" s="1"/>
  <c r="I6452" i="26"/>
  <c r="E6452" i="26" s="1"/>
  <c r="I6490" i="26"/>
  <c r="E6490" i="26" s="1"/>
  <c r="I4280" i="26"/>
  <c r="E4280" i="26" s="1"/>
  <c r="I3452" i="26"/>
  <c r="E3452" i="26" s="1"/>
  <c r="I5699" i="26"/>
  <c r="E5699" i="26" s="1"/>
  <c r="I3725" i="26"/>
  <c r="E3725" i="26" s="1"/>
  <c r="I6207" i="26"/>
  <c r="E6207" i="26" s="1"/>
  <c r="I4379" i="26"/>
  <c r="E4379" i="26" s="1"/>
  <c r="I3619" i="26"/>
  <c r="E3619" i="26" s="1"/>
  <c r="I6364" i="26"/>
  <c r="E6364" i="26" s="1"/>
  <c r="I4124" i="26"/>
  <c r="E4124" i="26" s="1"/>
  <c r="I73" i="26"/>
  <c r="E73" i="26" s="1"/>
  <c r="I2901" i="26"/>
  <c r="E2901" i="26" s="1"/>
  <c r="I5534" i="26"/>
  <c r="E5534" i="26" s="1"/>
  <c r="I6643" i="26"/>
  <c r="E6643" i="26" s="1"/>
  <c r="I2596" i="26"/>
  <c r="E2596" i="26" s="1"/>
  <c r="I6211" i="26"/>
  <c r="E6211" i="26" s="1"/>
  <c r="H153" i="26"/>
  <c r="I6368" i="26"/>
  <c r="E6368" i="26" s="1"/>
  <c r="I4107" i="26"/>
  <c r="E4107" i="26" s="1"/>
  <c r="I2669" i="26"/>
  <c r="E2669" i="26" s="1"/>
  <c r="I5743" i="26"/>
  <c r="E5743" i="26" s="1"/>
  <c r="I6203" i="26"/>
  <c r="E6203" i="26" s="1"/>
  <c r="I2858" i="26"/>
  <c r="E2858" i="26" s="1"/>
  <c r="H81" i="26"/>
  <c r="I4257" i="26"/>
  <c r="E4257" i="26" s="1"/>
  <c r="I4530" i="26"/>
  <c r="E4530" i="26" s="1"/>
  <c r="I3872" i="26"/>
  <c r="E3872" i="26" s="1"/>
  <c r="I2878" i="26"/>
  <c r="E2878" i="26" s="1"/>
  <c r="I5233" i="26"/>
  <c r="E5233" i="26" s="1"/>
  <c r="I3074" i="26"/>
  <c r="E3074" i="26" s="1"/>
  <c r="I3459" i="26"/>
  <c r="E3459" i="26" s="1"/>
  <c r="I2593" i="26"/>
  <c r="E2593" i="26" s="1"/>
  <c r="I2788" i="26"/>
  <c r="E2788" i="26" s="1"/>
  <c r="I5307" i="26"/>
  <c r="E5307" i="26" s="1"/>
  <c r="I4959" i="26"/>
  <c r="E4959" i="26" s="1"/>
  <c r="I6122" i="26"/>
  <c r="E6122" i="26" s="1"/>
  <c r="I5546" i="26"/>
  <c r="E5546" i="26" s="1"/>
  <c r="I5993" i="26"/>
  <c r="E5993" i="26" s="1"/>
  <c r="I3702" i="26"/>
  <c r="E3702" i="26" s="1"/>
  <c r="I3662" i="26"/>
  <c r="E3662" i="26" s="1"/>
  <c r="I3655" i="26"/>
  <c r="E3655" i="26" s="1"/>
  <c r="I2398" i="26"/>
  <c r="E2398" i="26" s="1"/>
  <c r="I6653" i="26"/>
  <c r="E6653" i="26" s="1"/>
  <c r="I6362" i="26"/>
  <c r="E6362" i="26" s="1"/>
  <c r="I4748" i="26"/>
  <c r="E4748" i="26" s="1"/>
  <c r="I2852" i="26"/>
  <c r="E2852" i="26" s="1"/>
  <c r="I4168" i="26"/>
  <c r="E4168" i="26" s="1"/>
  <c r="I6644" i="26"/>
  <c r="E6644" i="26" s="1"/>
  <c r="I6245" i="26"/>
  <c r="E6245" i="26" s="1"/>
  <c r="I5543" i="26"/>
  <c r="E5543" i="26" s="1"/>
  <c r="I4070" i="26"/>
  <c r="E4070" i="26" s="1"/>
  <c r="I5151" i="26"/>
  <c r="E5151" i="26" s="1"/>
  <c r="I5817" i="26"/>
  <c r="E5817" i="26" s="1"/>
  <c r="I3738" i="26"/>
  <c r="E3738" i="26" s="1"/>
  <c r="I4041" i="26"/>
  <c r="E4041" i="26" s="1"/>
  <c r="I4904" i="26"/>
  <c r="E4904" i="26" s="1"/>
  <c r="I2328" i="26"/>
  <c r="E2328" i="26" s="1"/>
  <c r="I4720" i="26"/>
  <c r="E4720" i="26" s="1"/>
  <c r="I5490" i="26"/>
  <c r="E5490" i="26" s="1"/>
  <c r="I3002" i="26"/>
  <c r="E3002" i="26" s="1"/>
  <c r="I4247" i="26"/>
  <c r="E4247" i="26" s="1"/>
  <c r="I6167" i="26"/>
  <c r="E6167" i="26" s="1"/>
  <c r="I6087" i="26"/>
  <c r="E6087" i="26" s="1"/>
  <c r="I5365" i="26"/>
  <c r="E5365" i="26" s="1"/>
  <c r="I2446" i="26"/>
  <c r="E2446" i="26" s="1"/>
  <c r="I6513" i="26"/>
  <c r="E6513" i="26" s="1"/>
  <c r="I3558" i="26"/>
  <c r="E3558" i="26" s="1"/>
  <c r="I2518" i="26"/>
  <c r="E2518" i="26" s="1"/>
  <c r="I5332" i="26"/>
  <c r="E5332" i="26" s="1"/>
  <c r="I6637" i="26"/>
  <c r="E6637" i="26" s="1"/>
  <c r="H10" i="26"/>
  <c r="I6194" i="26"/>
  <c r="E6194" i="26" s="1"/>
  <c r="I5799" i="26"/>
  <c r="E5799" i="26" s="1"/>
  <c r="I3837" i="26"/>
  <c r="E3837" i="26" s="1"/>
  <c r="I6537" i="26"/>
  <c r="E6537" i="26" s="1"/>
  <c r="I3869" i="26"/>
  <c r="E3869" i="26" s="1"/>
  <c r="I2819" i="26"/>
  <c r="E2819" i="26" s="1"/>
  <c r="I5074" i="26"/>
  <c r="E5074" i="26" s="1"/>
  <c r="I4272" i="26"/>
  <c r="E4272" i="26" s="1"/>
  <c r="I3714" i="26"/>
  <c r="E3714" i="26" s="1"/>
  <c r="I6520" i="26"/>
  <c r="E6520" i="26" s="1"/>
  <c r="I2761" i="26"/>
  <c r="E2761" i="26" s="1"/>
  <c r="I3638" i="26"/>
  <c r="E3638" i="26" s="1"/>
  <c r="I4362" i="26"/>
  <c r="E4362" i="26" s="1"/>
  <c r="I6747" i="26"/>
  <c r="E6747" i="26" s="1"/>
  <c r="I5594" i="26"/>
  <c r="E5594" i="26" s="1"/>
  <c r="H5957" i="26"/>
  <c r="I162" i="26"/>
  <c r="E162" i="26" s="1"/>
  <c r="I4888" i="26"/>
  <c r="E4888" i="26" s="1"/>
  <c r="I3857" i="26"/>
  <c r="E3857" i="26" s="1"/>
  <c r="I6737" i="26"/>
  <c r="E6737" i="26" s="1"/>
  <c r="I4408" i="26"/>
  <c r="E4408" i="26" s="1"/>
  <c r="I5719" i="26"/>
  <c r="E5719" i="26" s="1"/>
  <c r="I5446" i="26"/>
  <c r="E5446" i="26" s="1"/>
  <c r="I4708" i="26"/>
  <c r="E4708" i="26" s="1"/>
  <c r="H3589" i="26"/>
  <c r="I6480" i="26"/>
  <c r="E6480" i="26" s="1"/>
  <c r="I4907" i="26"/>
  <c r="E4907" i="26" s="1"/>
  <c r="I2315" i="26"/>
  <c r="E2315" i="26" s="1"/>
  <c r="I6269" i="26"/>
  <c r="E6269" i="26" s="1"/>
  <c r="I4052" i="26"/>
  <c r="E4052" i="26" s="1"/>
  <c r="I3037" i="26"/>
  <c r="E3037" i="26" s="1"/>
  <c r="I6608" i="26"/>
  <c r="E6608" i="26" s="1"/>
  <c r="I5662" i="26"/>
  <c r="E5662" i="26" s="1"/>
  <c r="I4912" i="26"/>
  <c r="E4912" i="26" s="1"/>
  <c r="H2074" i="26"/>
  <c r="H5647" i="26"/>
  <c r="I6360" i="26"/>
  <c r="E6360" i="26" s="1"/>
  <c r="I4406" i="26"/>
  <c r="E4406" i="26" s="1"/>
  <c r="H5364" i="26"/>
  <c r="I2827" i="26"/>
  <c r="E2827" i="26" s="1"/>
  <c r="I3546" i="26"/>
  <c r="E3546" i="26" s="1"/>
  <c r="I5275" i="26"/>
  <c r="E5275" i="26" s="1"/>
  <c r="I4602" i="26"/>
  <c r="E4602" i="26" s="1"/>
  <c r="I4644" i="26"/>
  <c r="E4644" i="26" s="1"/>
  <c r="H5341" i="26"/>
  <c r="H4907" i="26"/>
  <c r="H6730" i="26"/>
  <c r="H5545" i="26"/>
  <c r="H6642" i="26"/>
  <c r="H1502" i="26"/>
  <c r="I5607" i="26"/>
  <c r="E5607" i="26" s="1"/>
  <c r="I4165" i="26"/>
  <c r="E4165" i="26" s="1"/>
  <c r="I4194" i="26"/>
  <c r="E4194" i="26" s="1"/>
  <c r="I5851" i="26"/>
  <c r="E5851" i="26" s="1"/>
  <c r="H2653" i="26"/>
  <c r="I2925" i="26"/>
  <c r="E2925" i="26" s="1"/>
  <c r="H3172" i="26"/>
  <c r="I6423" i="26"/>
  <c r="E6423" i="26" s="1"/>
  <c r="I2541" i="26"/>
  <c r="E2541" i="26" s="1"/>
  <c r="I5054" i="26"/>
  <c r="E5054" i="26" s="1"/>
  <c r="I5794" i="26"/>
  <c r="E5794" i="26" s="1"/>
  <c r="H4286" i="26"/>
  <c r="H5792" i="26"/>
  <c r="H2794" i="26"/>
  <c r="I4770" i="26"/>
  <c r="E4770" i="26" s="1"/>
  <c r="H2721" i="26"/>
  <c r="I5083" i="26"/>
  <c r="E5083" i="26" s="1"/>
  <c r="H5440" i="26"/>
  <c r="I2488" i="26"/>
  <c r="E2488" i="26" s="1"/>
  <c r="I2553" i="26"/>
  <c r="E2553" i="26" s="1"/>
  <c r="H4543" i="26"/>
  <c r="H5503" i="26"/>
  <c r="H5072" i="26"/>
  <c r="H6066" i="26"/>
  <c r="I2936" i="26"/>
  <c r="E2936" i="26" s="1"/>
  <c r="H3449" i="26"/>
  <c r="H4236" i="26"/>
  <c r="H2973" i="26"/>
  <c r="H4308" i="26"/>
  <c r="I6353" i="26"/>
  <c r="E6353" i="26" s="1"/>
  <c r="H4550" i="26"/>
  <c r="I5857" i="26"/>
  <c r="E5857" i="26" s="1"/>
  <c r="I6635" i="26"/>
  <c r="E6635" i="26" s="1"/>
  <c r="H2592" i="26"/>
  <c r="I5287" i="26"/>
  <c r="E5287" i="26" s="1"/>
  <c r="I3880" i="26"/>
  <c r="E3880" i="26" s="1"/>
  <c r="H3813" i="26"/>
  <c r="I6435" i="26"/>
  <c r="E6435" i="26" s="1"/>
  <c r="I2736" i="26"/>
  <c r="E2736" i="26" s="1"/>
  <c r="H3361" i="26"/>
  <c r="H6723" i="26"/>
  <c r="I3989" i="26"/>
  <c r="E3989" i="26" s="1"/>
  <c r="I4695" i="26"/>
  <c r="E4695" i="26" s="1"/>
  <c r="I5684" i="26"/>
  <c r="E5684" i="26" s="1"/>
  <c r="H6424" i="26"/>
  <c r="H6276" i="26"/>
  <c r="I4231" i="26"/>
  <c r="E4231" i="26" s="1"/>
  <c r="H4834" i="26"/>
  <c r="H2413" i="26"/>
  <c r="I6727" i="26"/>
  <c r="E6727" i="26" s="1"/>
  <c r="H5053" i="26"/>
  <c r="I6033" i="26"/>
  <c r="E6033" i="26" s="1"/>
  <c r="H2320" i="26"/>
  <c r="I3241" i="26"/>
  <c r="E3241" i="26" s="1"/>
  <c r="I3884" i="26"/>
  <c r="E3884" i="26" s="1"/>
  <c r="I5043" i="26"/>
  <c r="E5043" i="26" s="1"/>
  <c r="H3697" i="26"/>
  <c r="H3975" i="26"/>
  <c r="I1072" i="26"/>
  <c r="E1072" i="26" s="1"/>
  <c r="I6170" i="26"/>
  <c r="E6170" i="26" s="1"/>
  <c r="I5180" i="26"/>
  <c r="E5180" i="26" s="1"/>
  <c r="H3677" i="26"/>
  <c r="H5984" i="26"/>
  <c r="I5159" i="26"/>
  <c r="E5159" i="26" s="1"/>
  <c r="H5514" i="26"/>
  <c r="I3637" i="26"/>
  <c r="E3637" i="26" s="1"/>
  <c r="H2673" i="26"/>
  <c r="I4421" i="26"/>
  <c r="E4421" i="26" s="1"/>
  <c r="H2258" i="26"/>
  <c r="I2427" i="26"/>
  <c r="E2427" i="26" s="1"/>
  <c r="I5784" i="26"/>
  <c r="E5784" i="26" s="1"/>
  <c r="I2856" i="26"/>
  <c r="E2856" i="26" s="1"/>
  <c r="H4209" i="26"/>
  <c r="I2995" i="26"/>
  <c r="E2995" i="26" s="1"/>
  <c r="I3921" i="26"/>
  <c r="E3921" i="26" s="1"/>
  <c r="H6390" i="26"/>
  <c r="H5039" i="26"/>
  <c r="H6277" i="26"/>
  <c r="H5813" i="26"/>
  <c r="H3651" i="26"/>
  <c r="H5548" i="26"/>
  <c r="H2277" i="26"/>
  <c r="H3040" i="26"/>
  <c r="I2663" i="26"/>
  <c r="E2663" i="26" s="1"/>
  <c r="I5286" i="26"/>
  <c r="E5286" i="26" s="1"/>
  <c r="H6246" i="26"/>
  <c r="H6063" i="26"/>
  <c r="H2846" i="26"/>
  <c r="H3742" i="26"/>
  <c r="I1062" i="26"/>
  <c r="E1062" i="26" s="1"/>
  <c r="H6499" i="26"/>
  <c r="I5881" i="26"/>
  <c r="E5881" i="26" s="1"/>
  <c r="I3170" i="26"/>
  <c r="E3170" i="26" s="1"/>
  <c r="H3218" i="26"/>
  <c r="H6762" i="26"/>
  <c r="H5195" i="26"/>
  <c r="H4290" i="26"/>
  <c r="H3425" i="26"/>
  <c r="H4150" i="26"/>
  <c r="I6272" i="26"/>
  <c r="E6272" i="26" s="1"/>
  <c r="I5025" i="26"/>
  <c r="E5025" i="26" s="1"/>
  <c r="I6020" i="26"/>
  <c r="E6020" i="26" s="1"/>
  <c r="H2946" i="26"/>
  <c r="I3045" i="26"/>
  <c r="E3045" i="26" s="1"/>
  <c r="H2733" i="26"/>
  <c r="H4391" i="26"/>
  <c r="H4937" i="26"/>
  <c r="I1864" i="26"/>
  <c r="E1864" i="26" s="1"/>
  <c r="H269" i="26"/>
  <c r="H1418" i="26"/>
  <c r="H453" i="26"/>
  <c r="H82" i="26"/>
  <c r="H127" i="26"/>
  <c r="I155" i="26"/>
  <c r="E155" i="26" s="1"/>
  <c r="I4958" i="26"/>
  <c r="E4958" i="26" s="1"/>
  <c r="I3879" i="26"/>
  <c r="E3879" i="26" s="1"/>
  <c r="I6624" i="26"/>
  <c r="E6624" i="26" s="1"/>
  <c r="I3153" i="26"/>
  <c r="E3153" i="26" s="1"/>
  <c r="I3144" i="26"/>
  <c r="E3144" i="26" s="1"/>
  <c r="I6028" i="26"/>
  <c r="E6028" i="26" s="1"/>
  <c r="I5195" i="26"/>
  <c r="E5195" i="26" s="1"/>
  <c r="I5328" i="26"/>
  <c r="E5328" i="26" s="1"/>
  <c r="I3070" i="26"/>
  <c r="E3070" i="26" s="1"/>
  <c r="I5368" i="26"/>
  <c r="E5368" i="26" s="1"/>
  <c r="I4018" i="26"/>
  <c r="E4018" i="26" s="1"/>
  <c r="I2768" i="26"/>
  <c r="E2768" i="26" s="1"/>
  <c r="I6193" i="26"/>
  <c r="E6193" i="26" s="1"/>
  <c r="I5448" i="26"/>
  <c r="E5448" i="26" s="1"/>
  <c r="I5249" i="26"/>
  <c r="E5249" i="26" s="1"/>
  <c r="I2349" i="26"/>
  <c r="E2349" i="26" s="1"/>
  <c r="I117" i="26"/>
  <c r="E117" i="26" s="1"/>
  <c r="I4234" i="26"/>
  <c r="E4234" i="26" s="1"/>
  <c r="I4539" i="26"/>
  <c r="E4539" i="26" s="1"/>
  <c r="I5559" i="26"/>
  <c r="E5559" i="26" s="1"/>
  <c r="I4931" i="26"/>
  <c r="E4931" i="26" s="1"/>
  <c r="I2834" i="26"/>
  <c r="E2834" i="26" s="1"/>
  <c r="I3346" i="26"/>
  <c r="E3346" i="26" s="1"/>
  <c r="I3891" i="26"/>
  <c r="E3891" i="26" s="1"/>
  <c r="I5474" i="26"/>
  <c r="E5474" i="26" s="1"/>
  <c r="I4436" i="26"/>
  <c r="E4436" i="26" s="1"/>
  <c r="I4456" i="26"/>
  <c r="E4456" i="26" s="1"/>
  <c r="I4987" i="26"/>
  <c r="E4987" i="26" s="1"/>
  <c r="H1700" i="26"/>
  <c r="I3254" i="26"/>
  <c r="E3254" i="26" s="1"/>
  <c r="I2370" i="26"/>
  <c r="E2370" i="26" s="1"/>
  <c r="I4380" i="26"/>
  <c r="E4380" i="26" s="1"/>
  <c r="I4563" i="26"/>
  <c r="E4563" i="26" s="1"/>
  <c r="H5868" i="26"/>
  <c r="I5056" i="26"/>
  <c r="E5056" i="26" s="1"/>
  <c r="I4721" i="26"/>
  <c r="E4721" i="26" s="1"/>
  <c r="I4205" i="26"/>
  <c r="E4205" i="26" s="1"/>
  <c r="I4228" i="26"/>
  <c r="E4228" i="26" s="1"/>
  <c r="I4878" i="26"/>
  <c r="E4878" i="26" s="1"/>
  <c r="I3524" i="26"/>
  <c r="E3524" i="26" s="1"/>
  <c r="I6515" i="26"/>
  <c r="E6515" i="26" s="1"/>
  <c r="I5975" i="26"/>
  <c r="E5975" i="26" s="1"/>
  <c r="I3763" i="26"/>
  <c r="E3763" i="26" s="1"/>
  <c r="I3380" i="26"/>
  <c r="E3380" i="26" s="1"/>
  <c r="I5469" i="26"/>
  <c r="E5469" i="26" s="1"/>
  <c r="I2739" i="26"/>
  <c r="E2739" i="26" s="1"/>
  <c r="I5999" i="26"/>
  <c r="E5999" i="26" s="1"/>
  <c r="I6720" i="26"/>
  <c r="E6720" i="26" s="1"/>
  <c r="I6289" i="26"/>
  <c r="E6289" i="26" s="1"/>
  <c r="I3192" i="26"/>
  <c r="E3192" i="26" s="1"/>
  <c r="I4520" i="26"/>
  <c r="E4520" i="26" s="1"/>
  <c r="I6494" i="26"/>
  <c r="E6494" i="26" s="1"/>
  <c r="I5034" i="26"/>
  <c r="E5034" i="26" s="1"/>
  <c r="I3473" i="26"/>
  <c r="E3473" i="26" s="1"/>
  <c r="H181" i="26"/>
  <c r="I2595" i="26"/>
  <c r="E2595" i="26" s="1"/>
  <c r="I6542" i="26"/>
  <c r="E6542" i="26" s="1"/>
  <c r="I4182" i="26"/>
  <c r="E4182" i="26" s="1"/>
  <c r="I5245" i="26"/>
  <c r="E5245" i="26" s="1"/>
  <c r="I4649" i="26"/>
  <c r="E4649" i="26" s="1"/>
  <c r="I51" i="26"/>
  <c r="E51" i="26" s="1"/>
  <c r="I4160" i="26"/>
  <c r="E4160" i="26" s="1"/>
  <c r="I4445" i="26"/>
  <c r="E4445" i="26" s="1"/>
  <c r="I2534" i="26"/>
  <c r="E2534" i="26" s="1"/>
  <c r="I2327" i="26"/>
  <c r="E2327" i="26" s="1"/>
  <c r="I6674" i="26"/>
  <c r="E6674" i="26" s="1"/>
  <c r="I6615" i="26"/>
  <c r="E6615" i="26" s="1"/>
  <c r="I96" i="26"/>
  <c r="E96" i="26" s="1"/>
  <c r="I2257" i="26"/>
  <c r="E2257" i="26" s="1"/>
  <c r="I3360" i="26"/>
  <c r="E3360" i="26" s="1"/>
  <c r="I6571" i="26"/>
  <c r="E6571" i="26" s="1"/>
  <c r="I6187" i="26"/>
  <c r="E6187" i="26" s="1"/>
  <c r="I2634" i="26"/>
  <c r="E2634" i="26" s="1"/>
  <c r="I6416" i="26"/>
  <c r="E6416" i="26" s="1"/>
  <c r="I4130" i="26"/>
  <c r="E4130" i="26" s="1"/>
  <c r="I4498" i="26"/>
  <c r="E4498" i="26" s="1"/>
  <c r="I5138" i="26"/>
  <c r="E5138" i="26" s="1"/>
  <c r="I4605" i="26"/>
  <c r="E4605" i="26" s="1"/>
  <c r="I4417" i="26"/>
  <c r="E4417" i="26" s="1"/>
  <c r="I2862" i="26"/>
  <c r="E2862" i="26" s="1"/>
  <c r="I4184" i="26"/>
  <c r="E4184" i="26" s="1"/>
  <c r="I5609" i="26"/>
  <c r="E5609" i="26" s="1"/>
  <c r="I2464" i="26"/>
  <c r="E2464" i="26" s="1"/>
  <c r="I2956" i="26"/>
  <c r="E2956" i="26" s="1"/>
  <c r="I6296" i="26"/>
  <c r="E6296" i="26" s="1"/>
  <c r="I4979" i="26"/>
  <c r="E4979" i="26" s="1"/>
  <c r="I5833" i="26"/>
  <c r="E5833" i="26" s="1"/>
  <c r="I4096" i="26"/>
  <c r="E4096" i="26" s="1"/>
  <c r="I5009" i="26"/>
  <c r="E5009" i="26" s="1"/>
  <c r="I2527" i="26"/>
  <c r="E2527" i="26" s="1"/>
  <c r="I3853" i="26"/>
  <c r="E3853" i="26" s="1"/>
  <c r="I3991" i="26"/>
  <c r="E3991" i="26" s="1"/>
  <c r="I4463" i="26"/>
  <c r="E4463" i="26" s="1"/>
  <c r="I2926" i="26"/>
  <c r="E2926" i="26" s="1"/>
  <c r="I3072" i="26"/>
  <c r="E3072" i="26" s="1"/>
  <c r="I5796" i="26"/>
  <c r="E5796" i="26" s="1"/>
  <c r="H6190" i="26"/>
  <c r="I108" i="26"/>
  <c r="E108" i="26" s="1"/>
  <c r="I3057" i="26"/>
  <c r="E3057" i="26" s="1"/>
  <c r="I6594" i="26"/>
  <c r="E6594" i="26" s="1"/>
  <c r="I3531" i="26"/>
  <c r="E3531" i="26" s="1"/>
  <c r="I3674" i="26"/>
  <c r="E3674" i="26" s="1"/>
  <c r="I3508" i="26"/>
  <c r="E3508" i="26" s="1"/>
  <c r="I3165" i="26"/>
  <c r="E3165" i="26" s="1"/>
  <c r="I5260" i="26"/>
  <c r="E5260" i="26" s="1"/>
  <c r="H3822" i="26"/>
  <c r="I5316" i="26"/>
  <c r="E5316" i="26" s="1"/>
  <c r="I5869" i="26"/>
  <c r="E5869" i="26" s="1"/>
  <c r="I4093" i="26"/>
  <c r="E4093" i="26" s="1"/>
  <c r="I6046" i="26"/>
  <c r="E6046" i="26" s="1"/>
  <c r="I4728" i="26"/>
  <c r="E4728" i="26" s="1"/>
  <c r="I3415" i="26"/>
  <c r="E3415" i="26" s="1"/>
  <c r="I2246" i="26"/>
  <c r="E2246" i="26" s="1"/>
  <c r="I6592" i="26"/>
  <c r="E6592" i="26" s="1"/>
  <c r="I5502" i="26"/>
  <c r="E5502" i="26" s="1"/>
  <c r="I2954" i="26"/>
  <c r="E2954" i="26" s="1"/>
  <c r="I2350" i="26"/>
  <c r="E2350" i="26" s="1"/>
  <c r="I6229" i="26"/>
  <c r="E6229" i="26" s="1"/>
  <c r="I2356" i="26"/>
  <c r="E2356" i="26" s="1"/>
  <c r="I6588" i="26"/>
  <c r="E6588" i="26" s="1"/>
  <c r="I3183" i="26"/>
  <c r="E3183" i="26" s="1"/>
  <c r="H4266" i="26"/>
  <c r="I4106" i="26"/>
  <c r="E4106" i="26" s="1"/>
  <c r="I3924" i="26"/>
  <c r="E3924" i="26" s="1"/>
  <c r="I2598" i="26"/>
  <c r="E2598" i="26" s="1"/>
  <c r="I3575" i="26"/>
  <c r="E3575" i="26" s="1"/>
  <c r="I5204" i="26"/>
  <c r="E5204" i="26" s="1"/>
  <c r="I3301" i="26"/>
  <c r="E3301" i="26" s="1"/>
  <c r="I3433" i="26"/>
  <c r="E3433" i="26" s="1"/>
  <c r="I6403" i="26"/>
  <c r="E6403" i="26" s="1"/>
  <c r="I5169" i="26"/>
  <c r="E5169" i="26" s="1"/>
  <c r="H172" i="26"/>
  <c r="I6314" i="26"/>
  <c r="E6314" i="26" s="1"/>
  <c r="I4026" i="26"/>
  <c r="E4026" i="26" s="1"/>
  <c r="I3450" i="26"/>
  <c r="E3450" i="26" s="1"/>
  <c r="I5701" i="26"/>
  <c r="E5701" i="26" s="1"/>
  <c r="I4239" i="26"/>
  <c r="E4239" i="26" s="1"/>
  <c r="I4646" i="26"/>
  <c r="E4646" i="26" s="1"/>
  <c r="I4955" i="26"/>
  <c r="E4955" i="26" s="1"/>
  <c r="H4800" i="26"/>
  <c r="I5864" i="26"/>
  <c r="E5864" i="26" s="1"/>
  <c r="I2535" i="26"/>
  <c r="E2535" i="26" s="1"/>
  <c r="I6316" i="26"/>
  <c r="E6316" i="26" s="1"/>
  <c r="I2870" i="26"/>
  <c r="E2870" i="26" s="1"/>
  <c r="I4143" i="26"/>
  <c r="E4143" i="26" s="1"/>
  <c r="I6079" i="26"/>
  <c r="E6079" i="26" s="1"/>
  <c r="I3278" i="26"/>
  <c r="E3278" i="26" s="1"/>
  <c r="I4600" i="26"/>
  <c r="E4600" i="26" s="1"/>
  <c r="H5272" i="26"/>
  <c r="I3159" i="26"/>
  <c r="E3159" i="26" s="1"/>
  <c r="H3838" i="26"/>
  <c r="H4082" i="26"/>
  <c r="H2247" i="26"/>
  <c r="H3395" i="26"/>
  <c r="I2660" i="26"/>
  <c r="E2660" i="26" s="1"/>
  <c r="I4661" i="26"/>
  <c r="E4661" i="26" s="1"/>
  <c r="I4881" i="26"/>
  <c r="E4881" i="26" s="1"/>
  <c r="H2271" i="26"/>
  <c r="H6106" i="26"/>
  <c r="I5913" i="26"/>
  <c r="E5913" i="26" s="1"/>
  <c r="I3503" i="26"/>
  <c r="E3503" i="26" s="1"/>
  <c r="H6048" i="26"/>
  <c r="H5112" i="26"/>
  <c r="H6449" i="26"/>
  <c r="H6781" i="26"/>
  <c r="I5163" i="26"/>
  <c r="E5163" i="26" s="1"/>
  <c r="H4566" i="26"/>
  <c r="I4181" i="26"/>
  <c r="E4181" i="26" s="1"/>
  <c r="H6725" i="26"/>
  <c r="H5381" i="26"/>
  <c r="H5802" i="26"/>
  <c r="H6308" i="26"/>
  <c r="I4140" i="26"/>
  <c r="E4140" i="26" s="1"/>
  <c r="I2443" i="26"/>
  <c r="E2443" i="26" s="1"/>
  <c r="H6116" i="26"/>
  <c r="I3509" i="26"/>
  <c r="E3509" i="26" s="1"/>
  <c r="H5790" i="26"/>
  <c r="H1071" i="26"/>
  <c r="H2667" i="26"/>
  <c r="I2394" i="26"/>
  <c r="E2394" i="26" s="1"/>
  <c r="H4635" i="26"/>
  <c r="I3322" i="26"/>
  <c r="E3322" i="26" s="1"/>
  <c r="H3413" i="26"/>
  <c r="I3719" i="26"/>
  <c r="E3719" i="26" s="1"/>
  <c r="H1894" i="26"/>
  <c r="H6068" i="26"/>
  <c r="H2975" i="26"/>
  <c r="H5122" i="26"/>
  <c r="H5180" i="26"/>
  <c r="H2638" i="26"/>
  <c r="H3602" i="26"/>
  <c r="H1513" i="26"/>
  <c r="H4876" i="26"/>
  <c r="H2607" i="26"/>
  <c r="I6365" i="26"/>
  <c r="E6365" i="26" s="1"/>
  <c r="I2651" i="26"/>
  <c r="E2651" i="26" s="1"/>
  <c r="H1877" i="26"/>
  <c r="I4578" i="26"/>
  <c r="E4578" i="26" s="1"/>
  <c r="H3899" i="26"/>
  <c r="H3932" i="26"/>
  <c r="I4753" i="26"/>
  <c r="E4753" i="26" s="1"/>
  <c r="I2915" i="26"/>
  <c r="E2915" i="26" s="1"/>
  <c r="I6197" i="26"/>
  <c r="E6197" i="26" s="1"/>
  <c r="I5268" i="26"/>
  <c r="E5268" i="26" s="1"/>
  <c r="H6340" i="26"/>
  <c r="H4857" i="26"/>
  <c r="I3586" i="26"/>
  <c r="E3586" i="26" s="1"/>
  <c r="I5326" i="26"/>
  <c r="E5326" i="26" s="1"/>
  <c r="H2685" i="26"/>
  <c r="I4466" i="26"/>
  <c r="E4466" i="26" s="1"/>
  <c r="I4459" i="26"/>
  <c r="E4459" i="26" s="1"/>
  <c r="H6335" i="26"/>
  <c r="H4594" i="26"/>
  <c r="I3098" i="26"/>
  <c r="E3098" i="26" s="1"/>
  <c r="H4782" i="26"/>
  <c r="I6400" i="26"/>
  <c r="E6400" i="26" s="1"/>
  <c r="H6186" i="26"/>
  <c r="H5631" i="26"/>
  <c r="I2937" i="26"/>
  <c r="E2937" i="26" s="1"/>
  <c r="H4060" i="26"/>
  <c r="H2907" i="26"/>
  <c r="H5778" i="26"/>
  <c r="H5965" i="26"/>
  <c r="I2511" i="26"/>
  <c r="E2511" i="26" s="1"/>
  <c r="I2305" i="26"/>
  <c r="E2305" i="26" s="1"/>
  <c r="H3332" i="26"/>
  <c r="H5562" i="26"/>
  <c r="I2884" i="26"/>
  <c r="E2884" i="26" s="1"/>
  <c r="H3357" i="26"/>
  <c r="H2555" i="26"/>
  <c r="H5892" i="26"/>
  <c r="I4701" i="26"/>
  <c r="E4701" i="26" s="1"/>
  <c r="I4357" i="26"/>
  <c r="E4357" i="26" s="1"/>
  <c r="H5205" i="26"/>
  <c r="H5499" i="26"/>
  <c r="H2833" i="26"/>
  <c r="H3699" i="26"/>
  <c r="H2760" i="26"/>
  <c r="H4419" i="26"/>
  <c r="I6153" i="26"/>
  <c r="E6153" i="26" s="1"/>
  <c r="I3199" i="26"/>
  <c r="E3199" i="26" s="1"/>
  <c r="H6092" i="26"/>
  <c r="I5369" i="26"/>
  <c r="E5369" i="26" s="1"/>
  <c r="H2785" i="26"/>
  <c r="H6290" i="26"/>
  <c r="H5325" i="26"/>
  <c r="H2507" i="26"/>
  <c r="I3955" i="26"/>
  <c r="E3955" i="26" s="1"/>
  <c r="I4618" i="26"/>
  <c r="E4618" i="26" s="1"/>
  <c r="H4610" i="26"/>
  <c r="I2265" i="26"/>
  <c r="E2265" i="26" s="1"/>
  <c r="H5926" i="26"/>
  <c r="H2408" i="26"/>
  <c r="I2406" i="26"/>
  <c r="E2406" i="26" s="1"/>
  <c r="H3935" i="26"/>
  <c r="H6411" i="26"/>
  <c r="I6765" i="26"/>
  <c r="E6765" i="26" s="1"/>
  <c r="H3482" i="26"/>
  <c r="I6448" i="26"/>
  <c r="E6448" i="26" s="1"/>
  <c r="H2468" i="26"/>
  <c r="I2340" i="26"/>
  <c r="E2340" i="26" s="1"/>
  <c r="H3391" i="26"/>
  <c r="H5447" i="26"/>
  <c r="H2841" i="26"/>
  <c r="H6687" i="26"/>
  <c r="I6045" i="26"/>
  <c r="E6045" i="26" s="1"/>
  <c r="I3312" i="26"/>
  <c r="E3312" i="26" s="1"/>
  <c r="I5116" i="26"/>
  <c r="E5116" i="26" s="1"/>
  <c r="H1905" i="26"/>
  <c r="H3317" i="26"/>
  <c r="H2322" i="26"/>
  <c r="H1521" i="26"/>
  <c r="I5281" i="26"/>
  <c r="E5281" i="26" s="1"/>
  <c r="I3946" i="26"/>
  <c r="E3946" i="26" s="1"/>
  <c r="H1059" i="26"/>
  <c r="H4537" i="26"/>
  <c r="H2845" i="26"/>
  <c r="I2331" i="26"/>
  <c r="E2331" i="26" s="1"/>
  <c r="H4708" i="26"/>
  <c r="I2482" i="26"/>
  <c r="E2482" i="26" s="1"/>
  <c r="H5496" i="26"/>
  <c r="I4775" i="26"/>
  <c r="E4775" i="26" s="1"/>
  <c r="H318" i="26"/>
  <c r="I1130" i="26"/>
  <c r="E1130" i="26" s="1"/>
  <c r="I1862" i="26"/>
  <c r="E1862" i="26" s="1"/>
  <c r="I1472" i="26"/>
  <c r="E1472" i="26" s="1"/>
  <c r="I755" i="26"/>
  <c r="E755" i="26" s="1"/>
  <c r="H1571" i="26"/>
  <c r="I1331" i="26"/>
  <c r="E1331" i="26" s="1"/>
  <c r="H1789" i="26"/>
  <c r="I639" i="26"/>
  <c r="E639" i="26" s="1"/>
  <c r="I647" i="26"/>
  <c r="E647" i="26" s="1"/>
  <c r="H2183" i="26"/>
  <c r="H688" i="26"/>
  <c r="I1332" i="26"/>
  <c r="E1332" i="26" s="1"/>
  <c r="I835" i="26"/>
  <c r="E835" i="26" s="1"/>
  <c r="H740" i="26"/>
  <c r="H583" i="26"/>
  <c r="H376" i="26"/>
  <c r="I535" i="26"/>
  <c r="E535" i="26" s="1"/>
  <c r="H494" i="26"/>
  <c r="I1255" i="26"/>
  <c r="E1255" i="26" s="1"/>
  <c r="I1832" i="26"/>
  <c r="E1832" i="26" s="1"/>
  <c r="H1182" i="26"/>
  <c r="H559" i="26"/>
  <c r="I1970" i="26"/>
  <c r="E1970" i="26" s="1"/>
  <c r="H303" i="26"/>
  <c r="I5854" i="26"/>
  <c r="E5854" i="26" s="1"/>
  <c r="H265" i="26"/>
  <c r="I1426" i="26"/>
  <c r="E1426" i="26" s="1"/>
  <c r="H248" i="26"/>
  <c r="I614" i="26"/>
  <c r="E614" i="26" s="1"/>
  <c r="H1635" i="26"/>
  <c r="I464" i="26"/>
  <c r="E464" i="26" s="1"/>
  <c r="H5522" i="26"/>
  <c r="I437" i="26"/>
  <c r="E437" i="26" s="1"/>
  <c r="H1316" i="26"/>
  <c r="H1618" i="26"/>
  <c r="I1392" i="26"/>
  <c r="E1392" i="26" s="1"/>
  <c r="H1165" i="26"/>
  <c r="H223" i="26"/>
  <c r="I2155" i="26"/>
  <c r="E2155" i="26" s="1"/>
  <c r="I491" i="26"/>
  <c r="E491" i="26" s="1"/>
  <c r="H1387" i="26"/>
  <c r="H581" i="26"/>
  <c r="H133" i="26"/>
  <c r="I87" i="26"/>
  <c r="E87" i="26" s="1"/>
  <c r="I36" i="26"/>
  <c r="E36" i="26" s="1"/>
  <c r="I4951" i="26"/>
  <c r="E4951" i="26" s="1"/>
  <c r="I6097" i="26"/>
  <c r="E6097" i="26" s="1"/>
  <c r="I2403" i="26"/>
  <c r="E2403" i="26" s="1"/>
  <c r="I5537" i="26"/>
  <c r="E5537" i="26" s="1"/>
  <c r="I6184" i="26"/>
  <c r="E6184" i="26" s="1"/>
  <c r="I3386" i="26"/>
  <c r="E3386" i="26" s="1"/>
  <c r="I4932" i="26"/>
  <c r="E4932" i="26" s="1"/>
  <c r="H6122" i="26"/>
  <c r="I3801" i="26"/>
  <c r="E3801" i="26" s="1"/>
  <c r="I5289" i="26"/>
  <c r="E5289" i="26" s="1"/>
  <c r="I3394" i="26"/>
  <c r="E3394" i="26" s="1"/>
  <c r="I1063" i="26"/>
  <c r="E1063" i="26" s="1"/>
  <c r="I1044" i="26"/>
  <c r="E1044" i="26" s="1"/>
  <c r="I5990" i="26"/>
  <c r="E5990" i="26" s="1"/>
  <c r="I2538" i="26"/>
  <c r="E2538" i="26" s="1"/>
  <c r="I3034" i="26"/>
  <c r="E3034" i="26" s="1"/>
  <c r="H182" i="26"/>
  <c r="I6069" i="26"/>
  <c r="E6069" i="26" s="1"/>
  <c r="I5079" i="26"/>
  <c r="E5079" i="26" s="1"/>
  <c r="I4903" i="26"/>
  <c r="E4903" i="26" s="1"/>
  <c r="I2709" i="26"/>
  <c r="E2709" i="26" s="1"/>
  <c r="I3187" i="26"/>
  <c r="E3187" i="26" s="1"/>
  <c r="I6622" i="26"/>
  <c r="E6622" i="26" s="1"/>
  <c r="I6621" i="26"/>
  <c r="E6621" i="26" s="1"/>
  <c r="H4614" i="26"/>
  <c r="I3969" i="26"/>
  <c r="E3969" i="26" s="1"/>
  <c r="I6059" i="26"/>
  <c r="E6059" i="26" s="1"/>
  <c r="I6363" i="26"/>
  <c r="E6363" i="26" s="1"/>
  <c r="I2913" i="26"/>
  <c r="E2913" i="26" s="1"/>
  <c r="I6531" i="26"/>
  <c r="E6531" i="26" s="1"/>
  <c r="I5232" i="26"/>
  <c r="E5232" i="26" s="1"/>
  <c r="I6011" i="26"/>
  <c r="E6011" i="26" s="1"/>
  <c r="H3379" i="26"/>
  <c r="I6134" i="26"/>
  <c r="E6134" i="26" s="1"/>
  <c r="I2392" i="26"/>
  <c r="E2392" i="26" s="1"/>
  <c r="I4491" i="26"/>
  <c r="E4491" i="26" s="1"/>
  <c r="I5806" i="26"/>
  <c r="E5806" i="26" s="1"/>
  <c r="I2893" i="26"/>
  <c r="E2893" i="26" s="1"/>
  <c r="I6415" i="26"/>
  <c r="E6415" i="26" s="1"/>
  <c r="I4540" i="26"/>
  <c r="E4540" i="26" s="1"/>
  <c r="I2383" i="26"/>
  <c r="E2383" i="26" s="1"/>
  <c r="I3269" i="26"/>
  <c r="E3269" i="26" s="1"/>
  <c r="I5367" i="26"/>
  <c r="E5367" i="26" s="1"/>
  <c r="I3560" i="26"/>
  <c r="E3560" i="26" s="1"/>
  <c r="I1892" i="26"/>
  <c r="E1892" i="26" s="1"/>
  <c r="I4159" i="26"/>
  <c r="E4159" i="26" s="1"/>
  <c r="I5184" i="26"/>
  <c r="E5184" i="26" s="1"/>
  <c r="I19" i="26"/>
  <c r="E19" i="26" s="1"/>
  <c r="I2559" i="26"/>
  <c r="E2559" i="26" s="1"/>
  <c r="I6051" i="26"/>
  <c r="E6051" i="26" s="1"/>
  <c r="I4003" i="26"/>
  <c r="E4003" i="26" s="1"/>
  <c r="I3843" i="26"/>
  <c r="E3843" i="26" s="1"/>
  <c r="I4802" i="26"/>
  <c r="E4802" i="26" s="1"/>
  <c r="I4825" i="26"/>
  <c r="E4825" i="26" s="1"/>
  <c r="I32" i="26"/>
  <c r="E32" i="26" s="1"/>
  <c r="I5798" i="26"/>
  <c r="E5798" i="26" s="1"/>
  <c r="I3179" i="26"/>
  <c r="E3179" i="26" s="1"/>
  <c r="I6112" i="26"/>
  <c r="E6112" i="26" s="1"/>
  <c r="I2644" i="26"/>
  <c r="E2644" i="26" s="1"/>
  <c r="I5762" i="26"/>
  <c r="E5762" i="26" s="1"/>
  <c r="H192" i="26"/>
  <c r="I3693" i="26"/>
  <c r="E3693" i="26" s="1"/>
  <c r="I3786" i="26"/>
  <c r="E3786" i="26" s="1"/>
  <c r="I5032" i="26"/>
  <c r="E5032" i="26" s="1"/>
  <c r="I2343" i="26"/>
  <c r="E2343" i="26" s="1"/>
  <c r="I2730" i="26"/>
  <c r="E2730" i="26" s="1"/>
  <c r="I3208" i="26"/>
  <c r="E3208" i="26" s="1"/>
  <c r="H98" i="26"/>
  <c r="I3261" i="26"/>
  <c r="E3261" i="26" s="1"/>
  <c r="I4781" i="26"/>
  <c r="E4781" i="26" s="1"/>
  <c r="I3665" i="26"/>
  <c r="E3665" i="26" s="1"/>
  <c r="I2792" i="26"/>
  <c r="E2792" i="26" s="1"/>
  <c r="I5988" i="26"/>
  <c r="E5988" i="26" s="1"/>
  <c r="I1057" i="26"/>
  <c r="E1057" i="26" s="1"/>
  <c r="I3009" i="26"/>
  <c r="E3009" i="26" s="1"/>
  <c r="I6511" i="26"/>
  <c r="E6511" i="26" s="1"/>
  <c r="I4560" i="26"/>
  <c r="E4560" i="26" s="1"/>
  <c r="I5790" i="26"/>
  <c r="E5790" i="26" s="1"/>
  <c r="I3871" i="26"/>
  <c r="E3871" i="26" s="1"/>
  <c r="I5771" i="26"/>
  <c r="E5771" i="26" s="1"/>
  <c r="H603" i="26"/>
  <c r="H1159" i="26"/>
  <c r="H310" i="26"/>
  <c r="H1677" i="26"/>
  <c r="I1486" i="26"/>
  <c r="E1486" i="26" s="1"/>
  <c r="H672" i="26"/>
  <c r="H4072" i="26"/>
  <c r="H5414" i="26"/>
  <c r="I890" i="26"/>
  <c r="E890" i="26" s="1"/>
  <c r="I1852" i="26"/>
  <c r="E1852" i="26" s="1"/>
  <c r="I746" i="26"/>
  <c r="E746" i="26" s="1"/>
  <c r="I589" i="26"/>
  <c r="E589" i="26" s="1"/>
  <c r="H394" i="26"/>
  <c r="H443" i="26"/>
  <c r="H447" i="26"/>
  <c r="H1865" i="26"/>
  <c r="I1029" i="26"/>
  <c r="E1029" i="26" s="1"/>
  <c r="I1221" i="26"/>
  <c r="E1221" i="26" s="1"/>
  <c r="H1765" i="26"/>
  <c r="H2050" i="26"/>
  <c r="H2075" i="26"/>
  <c r="H1339" i="26"/>
  <c r="I1474" i="26"/>
  <c r="E1474" i="26" s="1"/>
  <c r="H836" i="26"/>
  <c r="H642" i="26"/>
  <c r="I2098" i="26"/>
  <c r="E2098" i="26" s="1"/>
  <c r="H528" i="26"/>
  <c r="H1810" i="26"/>
  <c r="H661" i="26"/>
  <c r="I1465" i="26"/>
  <c r="E1465" i="26" s="1"/>
  <c r="H1114" i="26"/>
  <c r="I876" i="26"/>
  <c r="E876" i="26" s="1"/>
  <c r="H239" i="26"/>
  <c r="I573" i="26"/>
  <c r="E573" i="26" s="1"/>
  <c r="H6029" i="26"/>
  <c r="I6163" i="26"/>
  <c r="E6163" i="26" s="1"/>
  <c r="H474" i="26"/>
  <c r="I1076" i="26"/>
  <c r="E1076" i="26" s="1"/>
  <c r="H692" i="26"/>
  <c r="H209" i="26"/>
  <c r="H638" i="26"/>
  <c r="H569" i="26"/>
  <c r="H1335" i="26"/>
  <c r="I55" i="26"/>
  <c r="E55" i="26" s="1"/>
  <c r="I142" i="26"/>
  <c r="E142" i="26" s="1"/>
  <c r="H134" i="26"/>
  <c r="I2614" i="26"/>
  <c r="E2614" i="26" s="1"/>
  <c r="I1049" i="26"/>
  <c r="E1049" i="26" s="1"/>
  <c r="I6386" i="26"/>
  <c r="E6386" i="26" s="1"/>
  <c r="I6160" i="26"/>
  <c r="E6160" i="26" s="1"/>
  <c r="I4347" i="26"/>
  <c r="E4347" i="26" s="1"/>
  <c r="I5678" i="26"/>
  <c r="E5678" i="26" s="1"/>
  <c r="I5315" i="26"/>
  <c r="E5315" i="26" s="1"/>
  <c r="I4203" i="26"/>
  <c r="E4203" i="26" s="1"/>
  <c r="I5053" i="26"/>
  <c r="E5053" i="26" s="1"/>
  <c r="I5067" i="26"/>
  <c r="E5067" i="26" s="1"/>
  <c r="I4614" i="26"/>
  <c r="E4614" i="26" s="1"/>
  <c r="I5253" i="26"/>
  <c r="E5253" i="26" s="1"/>
  <c r="I4621" i="26"/>
  <c r="E4621" i="26" s="1"/>
  <c r="I6361" i="26"/>
  <c r="E6361" i="26" s="1"/>
  <c r="I3930" i="26"/>
  <c r="E3930" i="26" s="1"/>
  <c r="I3971" i="26"/>
  <c r="E3971" i="26" s="1"/>
  <c r="I81" i="26"/>
  <c r="E81" i="26" s="1"/>
  <c r="I5027" i="26"/>
  <c r="E5027" i="26" s="1"/>
  <c r="I4683" i="26"/>
  <c r="E4683" i="26" s="1"/>
  <c r="I3535" i="26"/>
  <c r="E3535" i="26" s="1"/>
  <c r="I3867" i="26"/>
  <c r="E3867" i="26" s="1"/>
  <c r="I2672" i="26"/>
  <c r="E2672" i="26" s="1"/>
  <c r="I5262" i="26"/>
  <c r="E5262" i="26" s="1"/>
  <c r="I4111" i="26"/>
  <c r="E4111" i="26" s="1"/>
  <c r="I5298" i="26"/>
  <c r="E5298" i="26" s="1"/>
  <c r="I6767" i="26"/>
  <c r="E6767" i="26" s="1"/>
  <c r="I2908" i="26"/>
  <c r="E2908" i="26" s="1"/>
  <c r="I2441" i="26"/>
  <c r="E2441" i="26" s="1"/>
  <c r="I6734" i="26"/>
  <c r="E6734" i="26" s="1"/>
  <c r="I5824" i="26"/>
  <c r="E5824" i="26" s="1"/>
  <c r="I5078" i="26"/>
  <c r="E5078" i="26" s="1"/>
  <c r="I2702" i="26"/>
  <c r="E2702" i="26" s="1"/>
  <c r="I5188" i="26"/>
  <c r="E5188" i="26" s="1"/>
  <c r="H4131" i="26"/>
  <c r="I6359" i="26"/>
  <c r="E6359" i="26" s="1"/>
  <c r="I6024" i="26"/>
  <c r="E6024" i="26" s="1"/>
  <c r="I5989" i="26"/>
  <c r="E5989" i="26" s="1"/>
  <c r="I2434" i="26"/>
  <c r="E2434" i="26" s="1"/>
  <c r="I5745" i="26"/>
  <c r="E5745" i="26" s="1"/>
  <c r="I2656" i="26"/>
  <c r="E2656" i="26" s="1"/>
  <c r="I121" i="26"/>
  <c r="E121" i="26" s="1"/>
  <c r="I6302" i="26"/>
  <c r="E6302" i="26" s="1"/>
  <c r="I4767" i="26"/>
  <c r="E4767" i="26" s="1"/>
  <c r="I4733" i="26"/>
  <c r="E4733" i="26" s="1"/>
  <c r="I4946" i="26"/>
  <c r="E4946" i="26" s="1"/>
  <c r="I3273" i="26"/>
  <c r="E3273" i="26" s="1"/>
  <c r="I2748" i="26"/>
  <c r="E2748" i="26" s="1"/>
  <c r="I181" i="26"/>
  <c r="E181" i="26" s="1"/>
  <c r="I2802" i="26"/>
  <c r="E2802" i="26" s="1"/>
  <c r="I5581" i="26"/>
  <c r="E5581" i="26" s="1"/>
  <c r="I2258" i="26"/>
  <c r="E2258" i="26" s="1"/>
  <c r="I2332" i="26"/>
  <c r="E2332" i="26" s="1"/>
  <c r="I5627" i="26"/>
  <c r="E5627" i="26" s="1"/>
  <c r="I4961" i="26"/>
  <c r="E4961" i="26" s="1"/>
  <c r="I192" i="26"/>
  <c r="E192" i="26" s="1"/>
  <c r="I4574" i="26"/>
  <c r="E4574" i="26" s="1"/>
  <c r="I5981" i="26"/>
  <c r="E5981" i="26" s="1"/>
  <c r="I2840" i="26"/>
  <c r="E2840" i="26" s="1"/>
  <c r="I2480" i="26"/>
  <c r="E2480" i="26" s="1"/>
  <c r="I4749" i="26"/>
  <c r="E4749" i="26" s="1"/>
  <c r="H131" i="26"/>
  <c r="I4996" i="26"/>
  <c r="E4996" i="26" s="1"/>
  <c r="I3105" i="26"/>
  <c r="E3105" i="26" s="1"/>
  <c r="I2316" i="26"/>
  <c r="E2316" i="26" s="1"/>
  <c r="I4694" i="26"/>
  <c r="E4694" i="26" s="1"/>
  <c r="I6628" i="26"/>
  <c r="E6628" i="26" s="1"/>
  <c r="I2274" i="26"/>
  <c r="E2274" i="26" s="1"/>
  <c r="I113" i="26"/>
  <c r="E113" i="26" s="1"/>
  <c r="I6330" i="26"/>
  <c r="E6330" i="26" s="1"/>
  <c r="I5181" i="26"/>
  <c r="E5181" i="26" s="1"/>
  <c r="I5656" i="26"/>
  <c r="E5656" i="26" s="1"/>
  <c r="I3326" i="26"/>
  <c r="E3326" i="26" s="1"/>
  <c r="I4672" i="26"/>
  <c r="E4672" i="26" s="1"/>
  <c r="I2871" i="26"/>
  <c r="E2871" i="26" s="1"/>
  <c r="I6573" i="26"/>
  <c r="E6573" i="26" s="1"/>
  <c r="I6021" i="26"/>
  <c r="E6021" i="26" s="1"/>
  <c r="I4848" i="26"/>
  <c r="E4848" i="26" s="1"/>
  <c r="I2520" i="26"/>
  <c r="E2520" i="26" s="1"/>
  <c r="I4122" i="26"/>
  <c r="E4122" i="26" s="1"/>
  <c r="I3258" i="26"/>
  <c r="E3258" i="26" s="1"/>
  <c r="I2784" i="26"/>
  <c r="E2784" i="26" s="1"/>
  <c r="I3859" i="26"/>
  <c r="E3859" i="26" s="1"/>
  <c r="I2689" i="26"/>
  <c r="E2689" i="26" s="1"/>
  <c r="I6375" i="26"/>
  <c r="E6375" i="26" s="1"/>
  <c r="I4569" i="26"/>
  <c r="E4569" i="26" s="1"/>
  <c r="I4850" i="26"/>
  <c r="E4850" i="26" s="1"/>
  <c r="I5414" i="26"/>
  <c r="E5414" i="26" s="1"/>
  <c r="I6141" i="26"/>
  <c r="E6141" i="26" s="1"/>
  <c r="I4954" i="26"/>
  <c r="E4954" i="26" s="1"/>
  <c r="I4714" i="26"/>
  <c r="E4714" i="26" s="1"/>
  <c r="I6437" i="26"/>
  <c r="E6437" i="26" s="1"/>
  <c r="I3402" i="26"/>
  <c r="E3402" i="26" s="1"/>
  <c r="I2337" i="26"/>
  <c r="E2337" i="26" s="1"/>
  <c r="I2764" i="26"/>
  <c r="E2764" i="26" s="1"/>
  <c r="I2971" i="26"/>
  <c r="E2971" i="26" s="1"/>
  <c r="I5768" i="26"/>
  <c r="E5768" i="26" s="1"/>
  <c r="H5835" i="26"/>
  <c r="H60" i="26"/>
  <c r="I4796" i="26"/>
  <c r="E4796" i="26" s="1"/>
  <c r="I5210" i="26"/>
  <c r="E5210" i="26" s="1"/>
  <c r="I6342" i="26"/>
  <c r="E6342" i="26" s="1"/>
  <c r="I2254" i="26"/>
  <c r="E2254" i="26" s="1"/>
  <c r="I4717" i="26"/>
  <c r="E4717" i="26" s="1"/>
  <c r="I2866" i="26"/>
  <c r="E2866" i="26" s="1"/>
  <c r="I4713" i="26"/>
  <c r="E4713" i="26" s="1"/>
  <c r="H3258" i="26"/>
  <c r="I4330" i="26"/>
  <c r="E4330" i="26" s="1"/>
  <c r="I4522" i="26"/>
  <c r="E4522" i="26" s="1"/>
  <c r="I3562" i="26"/>
  <c r="E3562" i="26" s="1"/>
  <c r="I4983" i="26"/>
  <c r="E4983" i="26" s="1"/>
  <c r="I2279" i="26"/>
  <c r="E2279" i="26" s="1"/>
  <c r="I3876" i="26"/>
  <c r="E3876" i="26" s="1"/>
  <c r="I6591" i="26"/>
  <c r="E6591" i="26" s="1"/>
  <c r="H4334" i="26"/>
  <c r="I5906" i="26"/>
  <c r="E5906" i="26" s="1"/>
  <c r="I2358" i="26"/>
  <c r="E2358" i="26" s="1"/>
  <c r="I3012" i="26"/>
  <c r="E3012" i="26" s="1"/>
  <c r="I3771" i="26"/>
  <c r="E3771" i="26" s="1"/>
  <c r="I3574" i="26"/>
  <c r="E3574" i="26" s="1"/>
  <c r="I3384" i="26"/>
  <c r="E3384" i="26" s="1"/>
  <c r="I5550" i="26"/>
  <c r="E5550" i="26" s="1"/>
  <c r="H2474" i="26"/>
  <c r="I2461" i="26"/>
  <c r="E2461" i="26" s="1"/>
  <c r="I6715" i="26"/>
  <c r="E6715" i="26" s="1"/>
  <c r="I2581" i="26"/>
  <c r="E2581" i="26" s="1"/>
  <c r="I5934" i="26"/>
  <c r="E5934" i="26" s="1"/>
  <c r="I5206" i="26"/>
  <c r="E5206" i="26" s="1"/>
  <c r="I3644" i="26"/>
  <c r="E3644" i="26" s="1"/>
  <c r="I5164" i="26"/>
  <c r="E5164" i="26" s="1"/>
  <c r="I5602" i="26"/>
  <c r="E5602" i="26" s="1"/>
  <c r="I6693" i="26"/>
  <c r="E6693" i="26" s="1"/>
  <c r="I2682" i="26"/>
  <c r="E2682" i="26" s="1"/>
  <c r="I5378" i="26"/>
  <c r="E5378" i="26" s="1"/>
  <c r="I6708" i="26"/>
  <c r="E6708" i="26" s="1"/>
  <c r="I4806" i="26"/>
  <c r="E4806" i="26" s="1"/>
  <c r="I5764" i="26"/>
  <c r="E5764" i="26" s="1"/>
  <c r="I1010" i="26"/>
  <c r="E1010" i="26" s="1"/>
  <c r="H241" i="26"/>
  <c r="I1638" i="26"/>
  <c r="E1638" i="26" s="1"/>
  <c r="I1218" i="26"/>
  <c r="E1218" i="26" s="1"/>
  <c r="I255" i="26"/>
  <c r="E255" i="26" s="1"/>
  <c r="I2019" i="26"/>
  <c r="E2019" i="26" s="1"/>
  <c r="H253" i="26"/>
  <c r="I2036" i="26"/>
  <c r="E2036" i="26" s="1"/>
  <c r="H5886" i="26"/>
  <c r="H460" i="26"/>
  <c r="I568" i="26"/>
  <c r="E568" i="26" s="1"/>
  <c r="H2926" i="26"/>
  <c r="I756" i="26"/>
  <c r="E756" i="26" s="1"/>
  <c r="H933" i="26"/>
  <c r="I1271" i="26"/>
  <c r="E1271" i="26" s="1"/>
  <c r="H1481" i="26"/>
  <c r="H501" i="26"/>
  <c r="I426" i="26"/>
  <c r="E426" i="26" s="1"/>
  <c r="H74" i="26"/>
  <c r="H92" i="26"/>
  <c r="H165" i="26"/>
  <c r="I5412" i="26"/>
  <c r="E5412" i="26" s="1"/>
  <c r="I3474" i="26"/>
  <c r="E3474" i="26" s="1"/>
  <c r="I4738" i="26"/>
  <c r="E4738" i="26" s="1"/>
  <c r="I5696" i="26"/>
  <c r="E5696" i="26" s="1"/>
  <c r="I5991" i="26"/>
  <c r="E5991" i="26" s="1"/>
  <c r="I6678" i="26"/>
  <c r="E6678" i="26" s="1"/>
  <c r="I3842" i="26"/>
  <c r="E3842" i="26" s="1"/>
  <c r="H3545" i="26"/>
  <c r="I3552" i="26"/>
  <c r="E3552" i="26" s="1"/>
  <c r="I5228" i="26"/>
  <c r="E5228" i="26" s="1"/>
  <c r="I4582" i="26"/>
  <c r="E4582" i="26" s="1"/>
  <c r="I4393" i="26"/>
  <c r="E4393" i="26" s="1"/>
  <c r="I2906" i="26"/>
  <c r="E2906" i="26" s="1"/>
  <c r="I2245" i="26"/>
  <c r="E2245" i="26" s="1"/>
  <c r="I3590" i="26"/>
  <c r="E3590" i="26" s="1"/>
  <c r="I3149" i="26"/>
  <c r="E3149" i="26" s="1"/>
  <c r="I159" i="26"/>
  <c r="E159" i="26" s="1"/>
  <c r="I3145" i="26"/>
  <c r="E3145" i="26" s="1"/>
  <c r="I4620" i="26"/>
  <c r="E4620" i="26" s="1"/>
  <c r="I3163" i="26"/>
  <c r="E3163" i="26" s="1"/>
  <c r="I5018" i="26"/>
  <c r="E5018" i="26" s="1"/>
  <c r="I5157" i="26"/>
  <c r="E5157" i="26" s="1"/>
  <c r="I4784" i="26"/>
  <c r="E4784" i="26" s="1"/>
  <c r="I4675" i="26"/>
  <c r="E4675" i="26" s="1"/>
  <c r="H2278" i="26"/>
  <c r="I5950" i="26"/>
  <c r="E5950" i="26" s="1"/>
  <c r="I6770" i="26"/>
  <c r="E6770" i="26" s="1"/>
  <c r="I4358" i="26"/>
  <c r="E4358" i="26" s="1"/>
  <c r="I3486" i="26"/>
  <c r="E3486" i="26" s="1"/>
  <c r="I5660" i="26"/>
  <c r="E5660" i="26" s="1"/>
  <c r="I5068" i="26"/>
  <c r="E5068" i="26" s="1"/>
  <c r="I2563" i="26"/>
  <c r="E2563" i="26" s="1"/>
  <c r="H5953" i="26"/>
  <c r="I4104" i="26"/>
  <c r="E4104" i="26" s="1"/>
  <c r="I6707" i="26"/>
  <c r="E6707" i="26" s="1"/>
  <c r="I6574" i="26"/>
  <c r="E6574" i="26" s="1"/>
  <c r="I5178" i="26"/>
  <c r="E5178" i="26" s="1"/>
  <c r="I4887" i="26"/>
  <c r="E4887" i="26" s="1"/>
  <c r="I6008" i="26"/>
  <c r="E6008" i="26" s="1"/>
  <c r="I4367" i="26"/>
  <c r="E4367" i="26" s="1"/>
  <c r="H146" i="26"/>
  <c r="I5780" i="26"/>
  <c r="E5780" i="26" s="1"/>
  <c r="I4844" i="26"/>
  <c r="E4844" i="26" s="1"/>
  <c r="I5836" i="26"/>
  <c r="E5836" i="26" s="1"/>
  <c r="I5114" i="26"/>
  <c r="E5114" i="26" s="1"/>
  <c r="I2952" i="26"/>
  <c r="E2952" i="26" s="1"/>
  <c r="I4120" i="26"/>
  <c r="E4120" i="26" s="1"/>
  <c r="H137" i="26"/>
  <c r="I5190" i="26"/>
  <c r="E5190" i="26" s="1"/>
  <c r="I5280" i="26"/>
  <c r="E5280" i="26" s="1"/>
  <c r="I2791" i="26"/>
  <c r="E2791" i="26" s="1"/>
  <c r="I4101" i="26"/>
  <c r="E4101" i="26" s="1"/>
  <c r="I3281" i="26"/>
  <c r="E3281" i="26" s="1"/>
  <c r="I2949" i="26"/>
  <c r="E2949" i="26" s="1"/>
  <c r="I58" i="26"/>
  <c r="E58" i="26" s="1"/>
  <c r="I3381" i="26"/>
  <c r="E3381" i="26" s="1"/>
  <c r="I6620" i="26"/>
  <c r="E6620" i="26" s="1"/>
  <c r="I3001" i="26"/>
  <c r="E3001" i="26" s="1"/>
  <c r="I4158" i="26"/>
  <c r="E4158" i="26" s="1"/>
  <c r="I4050" i="26"/>
  <c r="E4050" i="26" s="1"/>
  <c r="I21" i="26"/>
  <c r="E21" i="26" s="1"/>
  <c r="I6249" i="26"/>
  <c r="E6249" i="26" s="1"/>
  <c r="I4115" i="26"/>
  <c r="E4115" i="26" s="1"/>
  <c r="I3466" i="26"/>
  <c r="E3466" i="26" s="1"/>
  <c r="I6227" i="26"/>
  <c r="E6227" i="26" s="1"/>
  <c r="I4764" i="26"/>
  <c r="E4764" i="26" s="1"/>
  <c r="I4552" i="26"/>
  <c r="E4552" i="26" s="1"/>
  <c r="H21" i="26"/>
  <c r="I4323" i="26"/>
  <c r="E4323" i="26" s="1"/>
  <c r="I3196" i="26"/>
  <c r="E3196" i="26" s="1"/>
  <c r="I5324" i="26"/>
  <c r="E5324" i="26" s="1"/>
  <c r="I5646" i="26"/>
  <c r="E5646" i="26" s="1"/>
  <c r="I5449" i="26"/>
  <c r="E5449" i="26" s="1"/>
  <c r="I5931" i="26"/>
  <c r="E5931" i="26" s="1"/>
  <c r="I2386" i="26"/>
  <c r="E2386" i="26" s="1"/>
  <c r="I6654" i="26"/>
  <c r="E6654" i="26" s="1"/>
  <c r="I5284" i="26"/>
  <c r="E5284" i="26" s="1"/>
  <c r="H1503" i="26"/>
  <c r="I1511" i="26"/>
  <c r="E1511" i="26" s="1"/>
  <c r="I1873" i="26"/>
  <c r="E1873" i="26" s="1"/>
  <c r="I5540" i="26"/>
  <c r="E5540" i="26" s="1"/>
  <c r="I2699" i="26"/>
  <c r="E2699" i="26" s="1"/>
  <c r="I6266" i="26"/>
  <c r="E6266" i="26" s="1"/>
  <c r="I2578" i="26"/>
  <c r="E2578" i="26" s="1"/>
  <c r="I4765" i="26"/>
  <c r="E4765" i="26" s="1"/>
  <c r="I3927" i="26"/>
  <c r="E3927" i="26" s="1"/>
  <c r="I4851" i="26"/>
  <c r="E4851" i="26" s="1"/>
  <c r="I2251" i="26"/>
  <c r="E2251" i="26" s="1"/>
  <c r="H4704" i="26"/>
  <c r="I3648" i="26"/>
  <c r="E3648" i="26" s="1"/>
  <c r="I5924" i="26"/>
  <c r="E5924" i="26" s="1"/>
  <c r="I4117" i="26"/>
  <c r="E4117" i="26" s="1"/>
  <c r="I4867" i="26"/>
  <c r="E4867" i="26" s="1"/>
  <c r="I5792" i="26"/>
  <c r="E5792" i="26" s="1"/>
  <c r="I5635" i="26"/>
  <c r="E5635" i="26" s="1"/>
  <c r="I2410" i="26"/>
  <c r="E2410" i="26" s="1"/>
  <c r="I5740" i="26"/>
  <c r="E5740" i="26" s="1"/>
  <c r="I60" i="26"/>
  <c r="E60" i="26" s="1"/>
  <c r="I6320" i="26"/>
  <c r="E6320" i="26" s="1"/>
  <c r="I5841" i="26"/>
  <c r="E5841" i="26" s="1"/>
  <c r="I4150" i="26"/>
  <c r="E4150" i="26" s="1"/>
  <c r="I3236" i="26"/>
  <c r="E3236" i="26" s="1"/>
  <c r="I5031" i="26"/>
  <c r="E5031" i="26" s="1"/>
  <c r="I2809" i="26"/>
  <c r="E2809" i="26" s="1"/>
  <c r="I3016" i="26"/>
  <c r="E3016" i="26" s="1"/>
  <c r="I5688" i="26"/>
  <c r="E5688" i="26" s="1"/>
  <c r="I6414" i="26"/>
  <c r="E6414" i="26" s="1"/>
  <c r="I6689" i="26"/>
  <c r="E6689" i="26" s="1"/>
  <c r="I2835" i="26"/>
  <c r="E2835" i="26" s="1"/>
  <c r="I6782" i="26"/>
  <c r="E6782" i="26" s="1"/>
  <c r="I3022" i="26"/>
  <c r="E3022" i="26" s="1"/>
  <c r="I6073" i="26"/>
  <c r="E6073" i="26" s="1"/>
  <c r="I1502" i="26"/>
  <c r="E1502" i="26" s="1"/>
  <c r="I4153" i="26"/>
  <c r="E4153" i="26" s="1"/>
  <c r="I2440" i="26"/>
  <c r="E2440" i="26" s="1"/>
  <c r="I5704" i="26"/>
  <c r="E5704" i="26" s="1"/>
  <c r="I4550" i="26"/>
  <c r="E4550" i="26" s="1"/>
  <c r="I5488" i="26"/>
  <c r="E5488" i="26" s="1"/>
  <c r="I5910" i="26"/>
  <c r="E5910" i="26" s="1"/>
  <c r="I3834" i="26"/>
  <c r="E3834" i="26" s="1"/>
  <c r="I3343" i="26"/>
  <c r="E3343" i="26" s="1"/>
  <c r="I6470" i="26"/>
  <c r="E6470" i="26" s="1"/>
  <c r="H5097" i="26"/>
  <c r="I2551" i="26"/>
  <c r="E2551" i="26" s="1"/>
  <c r="I3936" i="26"/>
  <c r="E3936" i="26" s="1"/>
  <c r="I6384" i="26"/>
  <c r="E6384" i="26" s="1"/>
  <c r="I4612" i="26"/>
  <c r="E4612" i="26" s="1"/>
  <c r="I3011" i="26"/>
  <c r="E3011" i="26" s="1"/>
  <c r="I3708" i="26"/>
  <c r="E3708" i="26" s="1"/>
  <c r="I5422" i="26"/>
  <c r="E5422" i="26" s="1"/>
  <c r="I3068" i="26"/>
  <c r="E3068" i="26" s="1"/>
  <c r="I3296" i="26"/>
  <c r="E3296" i="26" s="1"/>
  <c r="I6107" i="26"/>
  <c r="E6107" i="26" s="1"/>
  <c r="I6254" i="26"/>
  <c r="E6254" i="26" s="1"/>
  <c r="I3915" i="26"/>
  <c r="E3915" i="26" s="1"/>
  <c r="I3246" i="26"/>
  <c r="E3246" i="26" s="1"/>
  <c r="I1520" i="26"/>
  <c r="E1520" i="26" s="1"/>
  <c r="I3217" i="26"/>
  <c r="E3217" i="26" s="1"/>
  <c r="H5607" i="26"/>
  <c r="I94" i="26"/>
  <c r="E94" i="26" s="1"/>
  <c r="I4344" i="26"/>
  <c r="E4344" i="26" s="1"/>
  <c r="I3051" i="26"/>
  <c r="E3051" i="26" s="1"/>
  <c r="I2303" i="26"/>
  <c r="E2303" i="26" s="1"/>
  <c r="I6746" i="26"/>
  <c r="E6746" i="26" s="1"/>
  <c r="I6044" i="26"/>
  <c r="E6044" i="26" s="1"/>
  <c r="I3755" i="26"/>
  <c r="E3755" i="26" s="1"/>
  <c r="I5343" i="26"/>
  <c r="E5343" i="26" s="1"/>
  <c r="H1883" i="26"/>
  <c r="H5461" i="26"/>
  <c r="H5029" i="26"/>
  <c r="H6404" i="26"/>
  <c r="H5403" i="26"/>
  <c r="I2896" i="26"/>
  <c r="E2896" i="26" s="1"/>
  <c r="H5599" i="26"/>
  <c r="I5976" i="26"/>
  <c r="E5976" i="26" s="1"/>
  <c r="I2716" i="26"/>
  <c r="E2716" i="26" s="1"/>
  <c r="H2681" i="26"/>
  <c r="I3203" i="26"/>
  <c r="E3203" i="26" s="1"/>
  <c r="H3953" i="26"/>
  <c r="H3324" i="26"/>
  <c r="H2570" i="26"/>
  <c r="H5008" i="26"/>
  <c r="I3210" i="26"/>
  <c r="E3210" i="26" s="1"/>
  <c r="I6671" i="26"/>
  <c r="E6671" i="26" s="1"/>
  <c r="H5767" i="26"/>
  <c r="H4382" i="26"/>
  <c r="I5202" i="26"/>
  <c r="E5202" i="26" s="1"/>
  <c r="H2614" i="26"/>
  <c r="H3037" i="26"/>
  <c r="H2906" i="26"/>
  <c r="H5758" i="26"/>
  <c r="H3439" i="26"/>
  <c r="I2708" i="26"/>
  <c r="E2708" i="26" s="1"/>
  <c r="I5364" i="26"/>
  <c r="E5364" i="26" s="1"/>
  <c r="H2407" i="26"/>
  <c r="I5700" i="26"/>
  <c r="E5700" i="26" s="1"/>
  <c r="H3706" i="26"/>
  <c r="H5307" i="26"/>
  <c r="H2811" i="26"/>
  <c r="H4126" i="26"/>
  <c r="I5729" i="26"/>
  <c r="E5729" i="26" s="1"/>
  <c r="I4518" i="26"/>
  <c r="E4518" i="26" s="1"/>
  <c r="H3593" i="26"/>
  <c r="I3041" i="26"/>
  <c r="E3041" i="26" s="1"/>
  <c r="I4025" i="26"/>
  <c r="E4025" i="26" s="1"/>
  <c r="H4995" i="26"/>
  <c r="H4374" i="26"/>
  <c r="H4624" i="26"/>
  <c r="I6379" i="26"/>
  <c r="E6379" i="26" s="1"/>
  <c r="I6724" i="26"/>
  <c r="E6724" i="26" s="1"/>
  <c r="I3909" i="26"/>
  <c r="E3909" i="26" s="1"/>
  <c r="H6677" i="26"/>
  <c r="I5572" i="26"/>
  <c r="E5572" i="26" s="1"/>
  <c r="H3031" i="26"/>
  <c r="H1648" i="26"/>
  <c r="I1038" i="26"/>
  <c r="E1038" i="26" s="1"/>
  <c r="I328" i="26"/>
  <c r="E328" i="26" s="1"/>
  <c r="I1211" i="26"/>
  <c r="E1211" i="26" s="1"/>
  <c r="H886" i="26"/>
  <c r="I213" i="26"/>
  <c r="E213" i="26" s="1"/>
  <c r="H955" i="26"/>
  <c r="I1394" i="26"/>
  <c r="E1394" i="26" s="1"/>
  <c r="I2029" i="26"/>
  <c r="E2029" i="26" s="1"/>
  <c r="I751" i="26"/>
  <c r="E751" i="26" s="1"/>
  <c r="I2181" i="26"/>
  <c r="E2181" i="26" s="1"/>
  <c r="H1024" i="26"/>
  <c r="H1555" i="26"/>
  <c r="H2038" i="26"/>
  <c r="I819" i="26"/>
  <c r="E819" i="26" s="1"/>
  <c r="H451" i="26"/>
  <c r="H412" i="26"/>
  <c r="H1034" i="26"/>
  <c r="H2618" i="26"/>
  <c r="I910" i="26"/>
  <c r="E910" i="26" s="1"/>
  <c r="H470" i="26"/>
  <c r="H565" i="26"/>
  <c r="H1816" i="26"/>
  <c r="I433" i="26"/>
  <c r="E433" i="26" s="1"/>
  <c r="I237" i="26"/>
  <c r="E237" i="26" s="1"/>
  <c r="H1019" i="26"/>
  <c r="H5019" i="26"/>
  <c r="H306" i="26"/>
  <c r="I1202" i="26"/>
  <c r="E1202" i="26" s="1"/>
  <c r="H5194" i="26"/>
  <c r="I1476" i="26"/>
  <c r="E1476" i="26" s="1"/>
  <c r="H862" i="26"/>
  <c r="I2197" i="26"/>
  <c r="E2197" i="26" s="1"/>
  <c r="H2227" i="26"/>
  <c r="I618" i="26"/>
  <c r="E618" i="26" s="1"/>
  <c r="I1795" i="26"/>
  <c r="E1795" i="26" s="1"/>
  <c r="H22" i="26"/>
  <c r="H38" i="26"/>
  <c r="I4419" i="26"/>
  <c r="E4419" i="26" s="1"/>
  <c r="I3107" i="26"/>
  <c r="E3107" i="26" s="1"/>
  <c r="I4816" i="26"/>
  <c r="E4816" i="26" s="1"/>
  <c r="I2981" i="26"/>
  <c r="E2981" i="26" s="1"/>
  <c r="I6514" i="26"/>
  <c r="E6514" i="26" s="1"/>
  <c r="I3976" i="26"/>
  <c r="E3976" i="26" s="1"/>
  <c r="I3055" i="26"/>
  <c r="E3055" i="26" s="1"/>
  <c r="I2413" i="26"/>
  <c r="E2413" i="26" s="1"/>
  <c r="I6248" i="26"/>
  <c r="E6248" i="26" s="1"/>
  <c r="I4965" i="26"/>
  <c r="E4965" i="26" s="1"/>
  <c r="I4890" i="26"/>
  <c r="E4890" i="26" s="1"/>
  <c r="I6382" i="26"/>
  <c r="E6382" i="26" s="1"/>
  <c r="I5567" i="26"/>
  <c r="E5567" i="26" s="1"/>
  <c r="I2396" i="26"/>
  <c r="E2396" i="26" s="1"/>
  <c r="I6771" i="26"/>
  <c r="E6771" i="26" s="1"/>
  <c r="I6509" i="26"/>
  <c r="E6509" i="26" s="1"/>
  <c r="I6132" i="26"/>
  <c r="E6132" i="26" s="1"/>
  <c r="I140" i="26"/>
  <c r="E140" i="26" s="1"/>
  <c r="I3262" i="26"/>
  <c r="E3262" i="26" s="1"/>
  <c r="I3267" i="26"/>
  <c r="E3267" i="26" s="1"/>
  <c r="I3071" i="26"/>
  <c r="E3071" i="26" s="1"/>
  <c r="I3808" i="26"/>
  <c r="E3808" i="26" s="1"/>
  <c r="I6241" i="26"/>
  <c r="E6241" i="26" s="1"/>
  <c r="I2674" i="26"/>
  <c r="E2674" i="26" s="1"/>
  <c r="I5893" i="26"/>
  <c r="E5893" i="26" s="1"/>
  <c r="I6473" i="26"/>
  <c r="E6473" i="26" s="1"/>
  <c r="I6457" i="26"/>
  <c r="E6457" i="26" s="1"/>
  <c r="I2811" i="26"/>
  <c r="E2811" i="26" s="1"/>
  <c r="I5951" i="26"/>
  <c r="E5951" i="26" s="1"/>
  <c r="I6440" i="26"/>
  <c r="E6440" i="26" s="1"/>
  <c r="I5830" i="26"/>
  <c r="E5830" i="26" s="1"/>
  <c r="I3243" i="26"/>
  <c r="E3243" i="26" s="1"/>
  <c r="I3467" i="26"/>
  <c r="E3467" i="26" s="1"/>
  <c r="I4391" i="26"/>
  <c r="E4391" i="26" s="1"/>
  <c r="H150" i="26"/>
  <c r="I6652" i="26"/>
  <c r="E6652" i="26" s="1"/>
  <c r="I6312" i="26"/>
  <c r="E6312" i="26" s="1"/>
  <c r="I6054" i="26"/>
  <c r="E6054" i="26" s="1"/>
  <c r="I2982" i="26"/>
  <c r="E2982" i="26" s="1"/>
  <c r="I4633" i="26"/>
  <c r="E4633" i="26" s="1"/>
  <c r="I6732" i="26"/>
  <c r="E6732" i="26" s="1"/>
  <c r="I127" i="26"/>
  <c r="E127" i="26" s="1"/>
  <c r="I4589" i="26"/>
  <c r="E4589" i="26" s="1"/>
  <c r="I6777" i="26"/>
  <c r="E6777" i="26" s="1"/>
  <c r="I1050" i="26"/>
  <c r="E1050" i="26" s="1"/>
  <c r="I6785" i="26"/>
  <c r="E6785" i="26" s="1"/>
  <c r="I5734" i="26"/>
  <c r="E5734" i="26" s="1"/>
  <c r="I4607" i="26"/>
  <c r="E4607" i="26" s="1"/>
  <c r="I176" i="26"/>
  <c r="E176" i="26" s="1"/>
  <c r="I5928" i="26"/>
  <c r="E5928" i="26" s="1"/>
  <c r="I5391" i="26"/>
  <c r="E5391" i="26" s="1"/>
  <c r="I1060" i="26"/>
  <c r="E1060" i="26" s="1"/>
  <c r="I5875" i="26"/>
  <c r="E5875" i="26" s="1"/>
  <c r="I2485" i="26"/>
  <c r="E2485" i="26" s="1"/>
  <c r="I6534" i="26"/>
  <c r="E6534" i="26" s="1"/>
  <c r="H64" i="26"/>
  <c r="I3356" i="26"/>
  <c r="E3356" i="26" s="1"/>
  <c r="I6679" i="26"/>
  <c r="E6679" i="26" s="1"/>
  <c r="I5521" i="26"/>
  <c r="E5521" i="26" s="1"/>
  <c r="I3420" i="26"/>
  <c r="E3420" i="26" s="1"/>
  <c r="I6288" i="26"/>
  <c r="E6288" i="26" s="1"/>
  <c r="H55" i="26"/>
  <c r="I2390" i="26"/>
  <c r="E2390" i="26" s="1"/>
  <c r="I2606" i="26"/>
  <c r="E2606" i="26" s="1"/>
  <c r="I3347" i="26"/>
  <c r="E3347" i="26" s="1"/>
  <c r="I3211" i="26"/>
  <c r="E3211" i="26" s="1"/>
  <c r="I5513" i="26"/>
  <c r="E5513" i="26" s="1"/>
  <c r="I1501" i="26"/>
  <c r="E1501" i="26" s="1"/>
  <c r="H193" i="26"/>
  <c r="I5673" i="26"/>
  <c r="E5673" i="26" s="1"/>
  <c r="I1515" i="26"/>
  <c r="E1515" i="26" s="1"/>
  <c r="I4149" i="26"/>
  <c r="E4149" i="26" s="1"/>
  <c r="I3382" i="26"/>
  <c r="E3382" i="26" s="1"/>
  <c r="I5402" i="26"/>
  <c r="E5402" i="26" s="1"/>
  <c r="I3802" i="26"/>
  <c r="E3802" i="26" s="1"/>
  <c r="I5597" i="26"/>
  <c r="E5597" i="26" s="1"/>
  <c r="I4897" i="26"/>
  <c r="E4897" i="26" s="1"/>
  <c r="I6370" i="26"/>
  <c r="E6370" i="26" s="1"/>
  <c r="I4359" i="26"/>
  <c r="E4359" i="26" s="1"/>
  <c r="I4259" i="26"/>
  <c r="E4259" i="26" s="1"/>
  <c r="I4889" i="26"/>
  <c r="E4889" i="26" s="1"/>
  <c r="I4268" i="26"/>
  <c r="E4268" i="26" s="1"/>
  <c r="I5633" i="26"/>
  <c r="E5633" i="26" s="1"/>
  <c r="I6191" i="26"/>
  <c r="E6191" i="26" s="1"/>
  <c r="I5707" i="26"/>
  <c r="E5707" i="26" s="1"/>
  <c r="I4857" i="26"/>
  <c r="E4857" i="26" s="1"/>
  <c r="I5844" i="26"/>
  <c r="E5844" i="26" s="1"/>
  <c r="I4630" i="26"/>
  <c r="E4630" i="26" s="1"/>
  <c r="I2300" i="26"/>
  <c r="E2300" i="26" s="1"/>
  <c r="H3336" i="26"/>
  <c r="I4136" i="26"/>
  <c r="E4136" i="26" s="1"/>
  <c r="I3833" i="26"/>
  <c r="E3833" i="26" s="1"/>
  <c r="I3649" i="26"/>
  <c r="E3649" i="26" s="1"/>
  <c r="I1498" i="26"/>
  <c r="E1498" i="26" s="1"/>
  <c r="I3553" i="26"/>
  <c r="E3553" i="26" s="1"/>
  <c r="I4303" i="26"/>
  <c r="E4303" i="26" s="1"/>
  <c r="I3019" i="26"/>
  <c r="E3019" i="26" s="1"/>
  <c r="I3220" i="26"/>
  <c r="E3220" i="26" s="1"/>
  <c r="I43" i="26"/>
  <c r="E43" i="26" s="1"/>
  <c r="I5781" i="26"/>
  <c r="E5781" i="26" s="1"/>
  <c r="I4505" i="26"/>
  <c r="E4505" i="26" s="1"/>
  <c r="I3444" i="26"/>
  <c r="E3444" i="26" s="1"/>
  <c r="I3102" i="26"/>
  <c r="E3102" i="26" s="1"/>
  <c r="I4035" i="26"/>
  <c r="E4035" i="26" s="1"/>
  <c r="I4424" i="26"/>
  <c r="E4424" i="26" s="1"/>
  <c r="I4818" i="26"/>
  <c r="E4818" i="26" s="1"/>
  <c r="I6623" i="26"/>
  <c r="E6623" i="26" s="1"/>
  <c r="I2255" i="26"/>
  <c r="E2255" i="26" s="1"/>
  <c r="I3951" i="26"/>
  <c r="E3951" i="26" s="1"/>
  <c r="I5415" i="26"/>
  <c r="E5415" i="26" s="1"/>
  <c r="I3855" i="26"/>
  <c r="E3855" i="26" s="1"/>
  <c r="I1525" i="26"/>
  <c r="E1525" i="26" s="1"/>
  <c r="I3886" i="26"/>
  <c r="E3886" i="26" s="1"/>
  <c r="I5619" i="26"/>
  <c r="E5619" i="26" s="1"/>
  <c r="I2889" i="26"/>
  <c r="E2889" i="26" s="1"/>
  <c r="I4660" i="26"/>
  <c r="E4660" i="26" s="1"/>
  <c r="I3646" i="26"/>
  <c r="E3646" i="26" s="1"/>
  <c r="I3389" i="26"/>
  <c r="E3389" i="26" s="1"/>
  <c r="I6609" i="26"/>
  <c r="E6609" i="26" s="1"/>
  <c r="I3268" i="26"/>
  <c r="E3268" i="26" s="1"/>
  <c r="I3792" i="26"/>
  <c r="E3792" i="26" s="1"/>
  <c r="I2573" i="26"/>
  <c r="E2573" i="26" s="1"/>
  <c r="I4762" i="26"/>
  <c r="E4762" i="26" s="1"/>
  <c r="I5019" i="26"/>
  <c r="E5019" i="26" s="1"/>
  <c r="I4707" i="26"/>
  <c r="E4707" i="26" s="1"/>
  <c r="I6005" i="26"/>
  <c r="E6005" i="26" s="1"/>
  <c r="I3542" i="26"/>
  <c r="E3542" i="26" s="1"/>
  <c r="I3429" i="26"/>
  <c r="E3429" i="26" s="1"/>
  <c r="I2928" i="26"/>
  <c r="E2928" i="26" s="1"/>
  <c r="I4803" i="26"/>
  <c r="E4803" i="26" s="1"/>
  <c r="I5587" i="26"/>
  <c r="E5587" i="26" s="1"/>
  <c r="I5418" i="26"/>
  <c r="E5418" i="26" s="1"/>
  <c r="I3018" i="26"/>
  <c r="E3018" i="26" s="1"/>
  <c r="I5491" i="26"/>
  <c r="E5491" i="26" s="1"/>
  <c r="I3397" i="26"/>
  <c r="E3397" i="26" s="1"/>
  <c r="I1363" i="26"/>
  <c r="E1363" i="26" s="1"/>
  <c r="H618" i="26"/>
  <c r="I953" i="26"/>
  <c r="E953" i="26" s="1"/>
  <c r="I588" i="26"/>
  <c r="E588" i="26" s="1"/>
  <c r="I688" i="26"/>
  <c r="E688" i="26" s="1"/>
  <c r="H1231" i="26"/>
  <c r="I643" i="26"/>
  <c r="E643" i="26" s="1"/>
  <c r="I370" i="26"/>
  <c r="E370" i="26" s="1"/>
  <c r="I1141" i="26"/>
  <c r="E1141" i="26" s="1"/>
  <c r="H948" i="26"/>
  <c r="I906" i="26"/>
  <c r="E906" i="26" s="1"/>
  <c r="H572" i="26"/>
  <c r="I1019" i="26"/>
  <c r="E1019" i="26" s="1"/>
  <c r="I669" i="26"/>
  <c r="E669" i="26" s="1"/>
  <c r="H3906" i="26"/>
  <c r="I388" i="26"/>
  <c r="E388" i="26" s="1"/>
  <c r="H1664" i="26"/>
  <c r="H408" i="26"/>
  <c r="I2199" i="26"/>
  <c r="E2199" i="26" s="1"/>
  <c r="I850" i="26"/>
  <c r="E850" i="26" s="1"/>
  <c r="I852" i="26"/>
  <c r="E852" i="26" s="1"/>
  <c r="H34" i="26"/>
  <c r="I29" i="26"/>
  <c r="E29" i="26" s="1"/>
  <c r="I6147" i="26"/>
  <c r="E6147" i="26" s="1"/>
  <c r="I6705" i="26"/>
  <c r="E6705" i="26" s="1"/>
  <c r="I5766" i="26"/>
  <c r="E5766" i="26" s="1"/>
  <c r="I3887" i="26"/>
  <c r="E3887" i="26" s="1"/>
  <c r="I4233" i="26"/>
  <c r="E4233" i="26" s="1"/>
  <c r="I5912" i="26"/>
  <c r="E5912" i="26" s="1"/>
  <c r="I4157" i="26"/>
  <c r="E4157" i="26" s="1"/>
  <c r="I4653" i="26"/>
  <c r="E4653" i="26" s="1"/>
  <c r="I182" i="26"/>
  <c r="E182" i="26" s="1"/>
  <c r="I3275" i="26"/>
  <c r="E3275" i="26" s="1"/>
  <c r="I3062" i="26"/>
  <c r="E3062" i="26" s="1"/>
  <c r="I3718" i="26"/>
  <c r="E3718" i="26" s="1"/>
  <c r="I4923" i="26"/>
  <c r="E4923" i="26" s="1"/>
  <c r="I4696" i="26"/>
  <c r="E4696" i="26" s="1"/>
  <c r="I3781" i="26"/>
  <c r="E3781" i="26" s="1"/>
  <c r="I3160" i="26"/>
  <c r="E3160" i="26" s="1"/>
  <c r="I3682" i="26"/>
  <c r="E3682" i="26" s="1"/>
  <c r="H71" i="26"/>
  <c r="I4092" i="26"/>
  <c r="E4092" i="26" s="1"/>
  <c r="I6581" i="26"/>
  <c r="E6581" i="26" s="1"/>
  <c r="I3844" i="26"/>
  <c r="E3844" i="26" s="1"/>
  <c r="I6135" i="26"/>
  <c r="E6135" i="26" s="1"/>
  <c r="I5045" i="26"/>
  <c r="E5045" i="26" s="1"/>
  <c r="I3920" i="26"/>
  <c r="E3920" i="26" s="1"/>
  <c r="I3212" i="26"/>
  <c r="E3212" i="26" s="1"/>
  <c r="H5218" i="26"/>
  <c r="I3015" i="26"/>
  <c r="E3015" i="26" s="1"/>
  <c r="I5882" i="26"/>
  <c r="E5882" i="26" s="1"/>
  <c r="I5901" i="26"/>
  <c r="E5901" i="26" s="1"/>
  <c r="I2930" i="26"/>
  <c r="E2930" i="26" s="1"/>
  <c r="I3201" i="26"/>
  <c r="E3201" i="26" s="1"/>
  <c r="I6283" i="26"/>
  <c r="E6283" i="26" s="1"/>
  <c r="I2478" i="26"/>
  <c r="E2478" i="26" s="1"/>
  <c r="H3513" i="26"/>
  <c r="H116" i="26"/>
  <c r="I2505" i="26"/>
  <c r="E2505" i="26" s="1"/>
  <c r="I6222" i="26"/>
  <c r="E6222" i="26" s="1"/>
  <c r="I2629" i="26"/>
  <c r="E2629" i="26" s="1"/>
  <c r="I2529" i="26"/>
  <c r="E2529" i="26" s="1"/>
  <c r="I2271" i="26"/>
  <c r="E2271" i="26" s="1"/>
  <c r="I2697" i="26"/>
  <c r="E2697" i="26" s="1"/>
  <c r="I116" i="26"/>
  <c r="E116" i="26" s="1"/>
  <c r="I5710" i="26"/>
  <c r="E5710" i="26" s="1"/>
  <c r="I5620" i="26"/>
  <c r="E5620" i="26" s="1"/>
  <c r="I6125" i="26"/>
  <c r="E6125" i="26" s="1"/>
  <c r="I5049" i="26"/>
  <c r="E5049" i="26" s="1"/>
  <c r="I4669" i="26"/>
  <c r="E4669" i="26" s="1"/>
  <c r="I5971" i="26"/>
  <c r="E5971" i="26" s="1"/>
  <c r="H109" i="26"/>
  <c r="I2447" i="26"/>
  <c r="E2447" i="26" s="1"/>
  <c r="I3065" i="26"/>
  <c r="E3065" i="26" s="1"/>
  <c r="I6290" i="26"/>
  <c r="E6290" i="26" s="1"/>
  <c r="I4922" i="26"/>
  <c r="E4922" i="26" s="1"/>
  <c r="I3987" i="26"/>
  <c r="E3987" i="26" s="1"/>
  <c r="I6243" i="26"/>
  <c r="E6243" i="26" s="1"/>
  <c r="I3255" i="26"/>
  <c r="E3255" i="26" s="1"/>
  <c r="I6547" i="26"/>
  <c r="E6547" i="26" s="1"/>
  <c r="I3846" i="26"/>
  <c r="E3846" i="26" s="1"/>
  <c r="I4416" i="26"/>
  <c r="E4416" i="26" s="1"/>
  <c r="I6575" i="26"/>
  <c r="E6575" i="26" s="1"/>
  <c r="I2325" i="26"/>
  <c r="E2325" i="26" s="1"/>
  <c r="I27" i="26"/>
  <c r="E27" i="26" s="1"/>
  <c r="I6776" i="26"/>
  <c r="E6776" i="26" s="1"/>
  <c r="I6102" i="26"/>
  <c r="E6102" i="26" s="1"/>
  <c r="I3375" i="26"/>
  <c r="E3375" i="26" s="1"/>
  <c r="I3913" i="26"/>
  <c r="E3913" i="26" s="1"/>
  <c r="I3604" i="26"/>
  <c r="E3604" i="26" s="1"/>
  <c r="I6298" i="26"/>
  <c r="E6298" i="26" s="1"/>
  <c r="I2361" i="26"/>
  <c r="E2361" i="26" s="1"/>
  <c r="I4824" i="26"/>
  <c r="E4824" i="26" s="1"/>
  <c r="I4206" i="26"/>
  <c r="E4206" i="26" s="1"/>
  <c r="I3875" i="26"/>
  <c r="E3875" i="26" s="1"/>
  <c r="I3101" i="26"/>
  <c r="E3101" i="26" s="1"/>
  <c r="I4813" i="26"/>
  <c r="E4813" i="26" s="1"/>
  <c r="I6627" i="26"/>
  <c r="E6627" i="26" s="1"/>
  <c r="I2837" i="26"/>
  <c r="E2837" i="26" s="1"/>
  <c r="I6129" i="26"/>
  <c r="E6129" i="26" s="1"/>
  <c r="I4214" i="26"/>
  <c r="E4214" i="26" s="1"/>
  <c r="I3803" i="26"/>
  <c r="E3803" i="26" s="1"/>
  <c r="I4815" i="26"/>
  <c r="E4815" i="26" s="1"/>
  <c r="I3286" i="26"/>
  <c r="E3286" i="26" s="1"/>
  <c r="I154" i="26"/>
  <c r="E154" i="26" s="1"/>
  <c r="I6189" i="26"/>
  <c r="E6189" i="26" s="1"/>
  <c r="I6234" i="26"/>
  <c r="E6234" i="26" s="1"/>
  <c r="I5751" i="26"/>
  <c r="E5751" i="26" s="1"/>
  <c r="I3774" i="26"/>
  <c r="E3774" i="26" s="1"/>
  <c r="I3113" i="26"/>
  <c r="E3113" i="26" s="1"/>
  <c r="I5342" i="26"/>
  <c r="E5342" i="26" s="1"/>
  <c r="I4317" i="26"/>
  <c r="E4317" i="26" s="1"/>
  <c r="H2684" i="26"/>
  <c r="I3048" i="26"/>
  <c r="E3048" i="26" s="1"/>
  <c r="I5644" i="26"/>
  <c r="E5644" i="26" s="1"/>
  <c r="I6040" i="26"/>
  <c r="E6040" i="26" s="1"/>
  <c r="I5959" i="26"/>
  <c r="E5959" i="26" s="1"/>
  <c r="I5035" i="26"/>
  <c r="E5035" i="26" s="1"/>
  <c r="I2617" i="26"/>
  <c r="E2617" i="26" s="1"/>
  <c r="I6438" i="26"/>
  <c r="E6438" i="26" s="1"/>
  <c r="I3878" i="26"/>
  <c r="E3878" i="26" s="1"/>
  <c r="H14" i="26"/>
  <c r="I6417" i="26"/>
  <c r="E6417" i="26" s="1"/>
  <c r="I3863" i="26"/>
  <c r="E3863" i="26" s="1"/>
  <c r="I3167" i="26"/>
  <c r="E3167" i="26" s="1"/>
  <c r="I5605" i="26"/>
  <c r="E5605" i="26" s="1"/>
  <c r="I2707" i="26"/>
  <c r="E2707" i="26" s="1"/>
  <c r="I5359" i="26"/>
  <c r="E5359" i="26" s="1"/>
  <c r="I6412" i="26"/>
  <c r="E6412" i="26" s="1"/>
  <c r="I3089" i="26"/>
  <c r="E3089" i="26" s="1"/>
  <c r="I3966" i="26"/>
  <c r="E3966" i="26" s="1"/>
  <c r="I6199" i="26"/>
  <c r="E6199" i="26" s="1"/>
  <c r="I6546" i="26"/>
  <c r="E6546" i="26" s="1"/>
  <c r="I4874" i="26"/>
  <c r="E4874" i="26" s="1"/>
  <c r="I5731" i="26"/>
  <c r="E5731" i="26" s="1"/>
  <c r="I3885" i="26"/>
  <c r="E3885" i="26" s="1"/>
  <c r="I5614" i="26"/>
  <c r="E5614" i="26" s="1"/>
  <c r="H6732" i="26"/>
  <c r="I2570" i="26"/>
  <c r="E2570" i="26" s="1"/>
  <c r="I4655" i="26"/>
  <c r="E4655" i="26" s="1"/>
  <c r="I4820" i="26"/>
  <c r="E4820" i="26" s="1"/>
  <c r="I2512" i="26"/>
  <c r="E2512" i="26" s="1"/>
  <c r="I4573" i="26"/>
  <c r="E4573" i="26" s="1"/>
  <c r="I4204" i="26"/>
  <c r="E4204" i="26" s="1"/>
  <c r="I2401" i="26"/>
  <c r="E2401" i="26" s="1"/>
  <c r="I5330" i="26"/>
  <c r="E5330" i="26" s="1"/>
  <c r="H107" i="26"/>
  <c r="I5229" i="26"/>
  <c r="E5229" i="26" s="1"/>
  <c r="I3240" i="26"/>
  <c r="E3240" i="26" s="1"/>
  <c r="I5077" i="26"/>
  <c r="E5077" i="26" s="1"/>
  <c r="I5256" i="26"/>
  <c r="E5256" i="26" s="1"/>
  <c r="I2276" i="26"/>
  <c r="E2276" i="26" s="1"/>
  <c r="I4557" i="26"/>
  <c r="E4557" i="26" s="1"/>
  <c r="I5308" i="26"/>
  <c r="E5308" i="26" s="1"/>
  <c r="I5107" i="26"/>
  <c r="E5107" i="26" s="1"/>
  <c r="I4461" i="26"/>
  <c r="E4461" i="26" s="1"/>
  <c r="I6103" i="26"/>
  <c r="E6103" i="26" s="1"/>
  <c r="I2860" i="26"/>
  <c r="E2860" i="26" s="1"/>
  <c r="I1452" i="26"/>
  <c r="E1452" i="26" s="1"/>
  <c r="H2068" i="26"/>
  <c r="I1660" i="26"/>
  <c r="E1660" i="26" s="1"/>
  <c r="I2071" i="26"/>
  <c r="E2071" i="26" s="1"/>
  <c r="I1354" i="26"/>
  <c r="E1354" i="26" s="1"/>
  <c r="I946" i="26"/>
  <c r="E946" i="26" s="1"/>
  <c r="I1871" i="26"/>
  <c r="E1871" i="26" s="1"/>
  <c r="I2032" i="26"/>
  <c r="E2032" i="26" s="1"/>
  <c r="I1235" i="26"/>
  <c r="E1235" i="26" s="1"/>
  <c r="I1429" i="26"/>
  <c r="E1429" i="26" s="1"/>
  <c r="H913" i="26"/>
  <c r="I648" i="26"/>
  <c r="E648" i="26" s="1"/>
  <c r="H414" i="26"/>
  <c r="I2010" i="26"/>
  <c r="E2010" i="26" s="1"/>
  <c r="I587" i="26"/>
  <c r="E587" i="26" s="1"/>
  <c r="I1613" i="26"/>
  <c r="E1613" i="26" s="1"/>
  <c r="H783" i="26"/>
  <c r="I1941" i="26"/>
  <c r="E1941" i="26" s="1"/>
  <c r="I70" i="26"/>
  <c r="E70" i="26" s="1"/>
  <c r="I152" i="26"/>
  <c r="E152" i="26" s="1"/>
  <c r="I107" i="26"/>
  <c r="E107" i="26" s="1"/>
  <c r="I4179" i="26"/>
  <c r="E4179" i="26" s="1"/>
  <c r="I3587" i="26"/>
  <c r="E3587" i="26" s="1"/>
  <c r="I1528" i="26"/>
  <c r="E1528" i="26" s="1"/>
  <c r="I3657" i="26"/>
  <c r="E3657" i="26" s="1"/>
  <c r="I6488" i="26"/>
  <c r="E6488" i="26" s="1"/>
  <c r="I2658" i="26"/>
  <c r="E2658" i="26" s="1"/>
  <c r="I5125" i="26"/>
  <c r="E5125" i="26" s="1"/>
  <c r="I6281" i="26"/>
  <c r="E6281" i="26" s="1"/>
  <c r="H39" i="26"/>
  <c r="I6099" i="26"/>
  <c r="E6099" i="26" s="1"/>
  <c r="I6718" i="26"/>
  <c r="E6718" i="26" s="1"/>
  <c r="I3033" i="26"/>
  <c r="E3033" i="26" s="1"/>
  <c r="I5407" i="26"/>
  <c r="E5407" i="26" s="1"/>
  <c r="I6419" i="26"/>
  <c r="E6419" i="26" s="1"/>
  <c r="I4098" i="26"/>
  <c r="E4098" i="26" s="1"/>
  <c r="I4880" i="26"/>
  <c r="E4880" i="26" s="1"/>
  <c r="H2566" i="26"/>
  <c r="I22" i="26"/>
  <c r="E22" i="26" s="1"/>
  <c r="I6055" i="26"/>
  <c r="E6055" i="26" s="1"/>
  <c r="I5039" i="26"/>
  <c r="E5039" i="26" s="1"/>
  <c r="I2402" i="26"/>
  <c r="E2402" i="26" s="1"/>
  <c r="I5773" i="26"/>
  <c r="E5773" i="26" s="1"/>
  <c r="I2249" i="26"/>
  <c r="E2249" i="26" s="1"/>
  <c r="I6495" i="26"/>
  <c r="E6495" i="26" s="1"/>
  <c r="I4049" i="26"/>
  <c r="E4049" i="26" s="1"/>
  <c r="I4354" i="26"/>
  <c r="E4354" i="26" s="1"/>
  <c r="I4055" i="26"/>
  <c r="E4055" i="26" s="1"/>
  <c r="I5728" i="26"/>
  <c r="E5728" i="26" s="1"/>
  <c r="I4693" i="26"/>
  <c r="E4693" i="26" s="1"/>
  <c r="I5571" i="26"/>
  <c r="E5571" i="26" s="1"/>
  <c r="I4174" i="26"/>
  <c r="E4174" i="26" s="1"/>
  <c r="I5506" i="26"/>
  <c r="E5506" i="26" s="1"/>
  <c r="I3030" i="26"/>
  <c r="E3030" i="26" s="1"/>
  <c r="I3006" i="26"/>
  <c r="E3006" i="26" s="1"/>
  <c r="H20" i="26"/>
  <c r="I6549" i="26"/>
  <c r="E6549" i="26" s="1"/>
  <c r="I2989" i="26"/>
  <c r="E2989" i="26" s="1"/>
  <c r="I3744" i="26"/>
  <c r="E3744" i="26" s="1"/>
  <c r="I2705" i="26"/>
  <c r="E2705" i="26" s="1"/>
  <c r="I2318" i="26"/>
  <c r="E2318" i="26" s="1"/>
  <c r="I5863" i="26"/>
  <c r="E5863" i="26" s="1"/>
  <c r="I109" i="26"/>
  <c r="E109" i="26" s="1"/>
  <c r="I2676" i="26"/>
  <c r="E2676" i="26" s="1"/>
  <c r="I3687" i="26"/>
  <c r="E3687" i="26" s="1"/>
  <c r="I5132" i="26"/>
  <c r="E5132" i="26" s="1"/>
  <c r="I6264" i="26"/>
  <c r="E6264" i="26" s="1"/>
  <c r="I5600" i="26"/>
  <c r="E5600" i="26" s="1"/>
  <c r="I2715" i="26"/>
  <c r="E2715" i="26" s="1"/>
  <c r="H45" i="26"/>
  <c r="I4163" i="26"/>
  <c r="E4163" i="26" s="1"/>
  <c r="I2727" i="26"/>
  <c r="E2727" i="26" s="1"/>
  <c r="I4404" i="26"/>
  <c r="E4404" i="26" s="1"/>
  <c r="I6133" i="26"/>
  <c r="E6133" i="26" s="1"/>
  <c r="I6329" i="26"/>
  <c r="E6329" i="26" s="1"/>
  <c r="I6559" i="26"/>
  <c r="E6559" i="26" s="1"/>
  <c r="I3337" i="26"/>
  <c r="E3337" i="26" s="1"/>
  <c r="I4208" i="26"/>
  <c r="E4208" i="26" s="1"/>
  <c r="I3406" i="26"/>
  <c r="E3406" i="26" s="1"/>
  <c r="I3701" i="26"/>
  <c r="E3701" i="26" s="1"/>
  <c r="I3028" i="26"/>
  <c r="E3028" i="26" s="1"/>
  <c r="I5698" i="26"/>
  <c r="E5698" i="26" s="1"/>
  <c r="I3670" i="26"/>
  <c r="E3670" i="26" s="1"/>
  <c r="I4918" i="26"/>
  <c r="E4918" i="26" s="1"/>
  <c r="I5288" i="26"/>
  <c r="E5288" i="26" s="1"/>
  <c r="I4046" i="26"/>
  <c r="E4046" i="26" s="1"/>
  <c r="I3307" i="26"/>
  <c r="E3307" i="26" s="1"/>
  <c r="I4792" i="26"/>
  <c r="E4792" i="26" s="1"/>
  <c r="I5003" i="26"/>
  <c r="E5003" i="26" s="1"/>
  <c r="I6350" i="26"/>
  <c r="E6350" i="26" s="1"/>
  <c r="I6341" i="26"/>
  <c r="E6341" i="26" s="1"/>
  <c r="I5720" i="26"/>
  <c r="E5720" i="26" s="1"/>
  <c r="I1881" i="26"/>
  <c r="E1881" i="26" s="1"/>
  <c r="I2302" i="26"/>
  <c r="E2302" i="26" s="1"/>
  <c r="I5674" i="26"/>
  <c r="E5674" i="26" s="1"/>
  <c r="I5592" i="26"/>
  <c r="E5592" i="26" s="1"/>
  <c r="I5596" i="26"/>
  <c r="E5596" i="26" s="1"/>
  <c r="I2252" i="26"/>
  <c r="E2252" i="26" s="1"/>
  <c r="I4027" i="26"/>
  <c r="E4027" i="26" s="1"/>
  <c r="I4388" i="26"/>
  <c r="E4388" i="26" s="1"/>
  <c r="I3544" i="26"/>
  <c r="E3544" i="26" s="1"/>
  <c r="I2270" i="26"/>
  <c r="E2270" i="26" s="1"/>
  <c r="I61" i="26"/>
  <c r="E61" i="26" s="1"/>
  <c r="I4497" i="26"/>
  <c r="E4497" i="26" s="1"/>
  <c r="I4936" i="26"/>
  <c r="E4936" i="26" s="1"/>
  <c r="I3476" i="26"/>
  <c r="E3476" i="26" s="1"/>
  <c r="I4861" i="26"/>
  <c r="E4861" i="26" s="1"/>
  <c r="I4798" i="26"/>
  <c r="E4798" i="26" s="1"/>
  <c r="I6780" i="26"/>
  <c r="E6780" i="26" s="1"/>
  <c r="I5969" i="26"/>
  <c r="E5969" i="26" s="1"/>
  <c r="H4760" i="26"/>
  <c r="I4113" i="26"/>
  <c r="E4113" i="26" s="1"/>
  <c r="I2867" i="26"/>
  <c r="E2867" i="26" s="1"/>
  <c r="I5423" i="26"/>
  <c r="E5423" i="26" s="1"/>
  <c r="I5499" i="26"/>
  <c r="E5499" i="26" s="1"/>
  <c r="I4220" i="26"/>
  <c r="E4220" i="26" s="1"/>
  <c r="I6499" i="26"/>
  <c r="E6499" i="26" s="1"/>
  <c r="I4648" i="26"/>
  <c r="E4648" i="26" s="1"/>
  <c r="I3784" i="26"/>
  <c r="E3784" i="26" s="1"/>
  <c r="H166" i="26"/>
  <c r="I2454" i="26"/>
  <c r="E2454" i="26" s="1"/>
  <c r="I3232" i="26"/>
  <c r="E3232" i="26" s="1"/>
  <c r="I1882" i="26"/>
  <c r="E1882" i="26" s="1"/>
  <c r="I3903" i="26"/>
  <c r="E3903" i="26" s="1"/>
  <c r="I2706" i="26"/>
  <c r="E2706" i="26" s="1"/>
  <c r="I4817" i="26"/>
  <c r="E4817" i="26" s="1"/>
  <c r="I5311" i="26"/>
  <c r="E5311" i="26" s="1"/>
  <c r="I4064" i="26"/>
  <c r="E4064" i="26" s="1"/>
  <c r="I4045" i="26"/>
  <c r="E4045" i="26" s="1"/>
  <c r="I6716" i="26"/>
  <c r="E6716" i="26" s="1"/>
  <c r="I5730" i="26"/>
  <c r="E5730" i="26" s="1"/>
  <c r="I5486" i="26"/>
  <c r="E5486" i="26" s="1"/>
  <c r="I3602" i="26"/>
  <c r="E3602" i="26" s="1"/>
  <c r="I4856" i="26"/>
  <c r="E4856" i="26" s="1"/>
  <c r="I5563" i="26"/>
  <c r="E5563" i="26" s="1"/>
  <c r="I5186" i="26"/>
  <c r="E5186" i="26" s="1"/>
  <c r="I2489" i="26"/>
  <c r="E2489" i="26" s="1"/>
  <c r="I3548" i="26"/>
  <c r="E3548" i="26" s="1"/>
  <c r="I4433" i="26"/>
  <c r="E4433" i="26" s="1"/>
  <c r="I5205" i="26"/>
  <c r="E5205" i="26" s="1"/>
  <c r="I6389" i="26"/>
  <c r="E6389" i="26" s="1"/>
  <c r="I2366" i="26"/>
  <c r="E2366" i="26" s="1"/>
  <c r="I4925" i="26"/>
  <c r="E4925" i="26" s="1"/>
  <c r="I3056" i="26"/>
  <c r="E3056" i="26" s="1"/>
  <c r="H118" i="26"/>
  <c r="I3454" i="26"/>
  <c r="E3454" i="26" s="1"/>
  <c r="I3613" i="26"/>
  <c r="E3613" i="26" s="1"/>
  <c r="I6645" i="26"/>
  <c r="E6645" i="26" s="1"/>
  <c r="I5998" i="26"/>
  <c r="E5998" i="26" s="1"/>
  <c r="I2278" i="26"/>
  <c r="E2278" i="26" s="1"/>
  <c r="I2077" i="26"/>
  <c r="E2077" i="26" s="1"/>
  <c r="I3073" i="26"/>
  <c r="E3073" i="26" s="1"/>
  <c r="I1070" i="26"/>
  <c r="E1070" i="26" s="1"/>
  <c r="I2980" i="26"/>
  <c r="E2980" i="26" s="1"/>
  <c r="I5325" i="26"/>
  <c r="E5325" i="26" s="1"/>
  <c r="I6287" i="26"/>
  <c r="E6287" i="26" s="1"/>
  <c r="I2734" i="26"/>
  <c r="E2734" i="26" s="1"/>
  <c r="I3937" i="26"/>
  <c r="E3937" i="26" s="1"/>
  <c r="I2843" i="26"/>
  <c r="E2843" i="26" s="1"/>
  <c r="I3994" i="26"/>
  <c r="E3994" i="26" s="1"/>
  <c r="H3839" i="26"/>
  <c r="I163" i="26"/>
  <c r="E163" i="26" s="1"/>
  <c r="I3641" i="26"/>
  <c r="E3641" i="26" s="1"/>
  <c r="I5638" i="26"/>
  <c r="E5638" i="26" s="1"/>
  <c r="I4178" i="26"/>
  <c r="E4178" i="26" s="1"/>
  <c r="I6395" i="26"/>
  <c r="E6395" i="26" s="1"/>
  <c r="I4152" i="26"/>
  <c r="E4152" i="26" s="1"/>
  <c r="I4217" i="26"/>
  <c r="E4217" i="26" s="1"/>
  <c r="I6455" i="26"/>
  <c r="E6455" i="26" s="1"/>
  <c r="H4405" i="26"/>
  <c r="H3619" i="26"/>
  <c r="I4869" i="26"/>
  <c r="E4869" i="26" s="1"/>
  <c r="H4318" i="26"/>
  <c r="H3717" i="26"/>
  <c r="H2458" i="26"/>
  <c r="H5856" i="26"/>
  <c r="H2781" i="26"/>
  <c r="I6047" i="26"/>
  <c r="E6047" i="26" s="1"/>
  <c r="I4074" i="26"/>
  <c r="E4074" i="26" s="1"/>
  <c r="H2535" i="26"/>
  <c r="I4536" i="26"/>
  <c r="E4536" i="26" s="1"/>
  <c r="H3779" i="26"/>
  <c r="I4667" i="26"/>
  <c r="E4667" i="26" s="1"/>
  <c r="H3481" i="26"/>
  <c r="H2370" i="26"/>
  <c r="I4730" i="26"/>
  <c r="E4730" i="26" s="1"/>
  <c r="I5533" i="26"/>
  <c r="E5533" i="26" s="1"/>
  <c r="I5995" i="26"/>
  <c r="E5995" i="26" s="1"/>
  <c r="I1897" i="26"/>
  <c r="E1897" i="26" s="1"/>
  <c r="H5284" i="26"/>
  <c r="H6119" i="26"/>
  <c r="H2556" i="26"/>
  <c r="I5777" i="26"/>
  <c r="E5777" i="26" s="1"/>
  <c r="I5356" i="26"/>
  <c r="E5356" i="26" s="1"/>
  <c r="I6323" i="26"/>
  <c r="E6323" i="26" s="1"/>
  <c r="I5565" i="26"/>
  <c r="E5565" i="26" s="1"/>
  <c r="I6220" i="26"/>
  <c r="E6220" i="26" s="1"/>
  <c r="H6585" i="26"/>
  <c r="H5907" i="26"/>
  <c r="H3962" i="26"/>
  <c r="H5591" i="26"/>
  <c r="H6724" i="26"/>
  <c r="H2492" i="26"/>
  <c r="I2555" i="26"/>
  <c r="E2555" i="26" s="1"/>
  <c r="I4474" i="26"/>
  <c r="E4474" i="26" s="1"/>
  <c r="H6023" i="26"/>
  <c r="I6094" i="26"/>
  <c r="E6094" i="26" s="1"/>
  <c r="H4976" i="26"/>
  <c r="I6098" i="26"/>
  <c r="E6098" i="26" s="1"/>
  <c r="H2004" i="26"/>
  <c r="I1403" i="26"/>
  <c r="E1403" i="26" s="1"/>
  <c r="H5782" i="26"/>
  <c r="H307" i="26"/>
  <c r="H1211" i="26"/>
  <c r="H339" i="26"/>
  <c r="I1663" i="26"/>
  <c r="E1663" i="26" s="1"/>
  <c r="H1585" i="26"/>
  <c r="I1690" i="26"/>
  <c r="E1690" i="26" s="1"/>
  <c r="I1672" i="26"/>
  <c r="E1672" i="26" s="1"/>
  <c r="H643" i="26"/>
  <c r="H935" i="26"/>
  <c r="H1611" i="26"/>
  <c r="I407" i="26"/>
  <c r="E407" i="26" s="1"/>
  <c r="H232" i="26"/>
  <c r="H6146" i="26"/>
  <c r="I151" i="26"/>
  <c r="E151" i="26" s="1"/>
  <c r="H152" i="26"/>
  <c r="H87" i="26"/>
  <c r="I1886" i="26"/>
  <c r="E1886" i="26" s="1"/>
  <c r="I3174" i="26"/>
  <c r="E3174" i="26" s="1"/>
  <c r="I6402" i="26"/>
  <c r="E6402" i="26" s="1"/>
  <c r="I3983" i="26"/>
  <c r="E3983" i="26" s="1"/>
  <c r="I4019" i="26"/>
  <c r="E4019" i="26" s="1"/>
  <c r="I4325" i="26"/>
  <c r="E4325" i="26" s="1"/>
  <c r="I2859" i="26"/>
  <c r="E2859" i="26" s="1"/>
  <c r="H2405" i="26"/>
  <c r="H171" i="26"/>
  <c r="I3949" i="26"/>
  <c r="E3949" i="26" s="1"/>
  <c r="I5270" i="26"/>
  <c r="E5270" i="26" s="1"/>
  <c r="I2875" i="26"/>
  <c r="E2875" i="26" s="1"/>
  <c r="I4031" i="26"/>
  <c r="E4031" i="26" s="1"/>
  <c r="I5949" i="26"/>
  <c r="E5949" i="26" s="1"/>
  <c r="I6491" i="26"/>
  <c r="E6491" i="26" s="1"/>
  <c r="I5244" i="26"/>
  <c r="E5244" i="26" s="1"/>
  <c r="I6471" i="26"/>
  <c r="E6471" i="26" s="1"/>
  <c r="I91" i="26"/>
  <c r="E91" i="26" s="1"/>
  <c r="I2918" i="26"/>
  <c r="E2918" i="26" s="1"/>
  <c r="I3188" i="26"/>
  <c r="E3188" i="26" s="1"/>
  <c r="I2608" i="26"/>
  <c r="E2608" i="26" s="1"/>
  <c r="I3441" i="26"/>
  <c r="E3441" i="26" s="1"/>
  <c r="I6579" i="26"/>
  <c r="E6579" i="26" s="1"/>
  <c r="I6031" i="26"/>
  <c r="E6031" i="26" s="1"/>
  <c r="I5671" i="26"/>
  <c r="E5671" i="26" s="1"/>
  <c r="I5653" i="26"/>
  <c r="E5653" i="26" s="1"/>
  <c r="I4080" i="26"/>
  <c r="E4080" i="26" s="1"/>
  <c r="I3679" i="26"/>
  <c r="E3679" i="26" s="1"/>
  <c r="I6177" i="26"/>
  <c r="E6177" i="26" s="1"/>
  <c r="I3308" i="26"/>
  <c r="E3308" i="26" s="1"/>
  <c r="I4580" i="26"/>
  <c r="E4580" i="26" s="1"/>
  <c r="I3788" i="26"/>
  <c r="E3788" i="26" s="1"/>
  <c r="I2307" i="26"/>
  <c r="E2307" i="26" s="1"/>
  <c r="I4024" i="26"/>
  <c r="E4024" i="26" s="1"/>
  <c r="I188" i="26"/>
  <c r="E188" i="26" s="1"/>
  <c r="I3166" i="26"/>
  <c r="E3166" i="26" s="1"/>
  <c r="I5064" i="26"/>
  <c r="E5064" i="26" s="1"/>
  <c r="I6639" i="26"/>
  <c r="E6639" i="26" s="1"/>
  <c r="I3610" i="26"/>
  <c r="E3610" i="26" s="1"/>
  <c r="I2935" i="26"/>
  <c r="E2935" i="26" s="1"/>
  <c r="I3432" i="26"/>
  <c r="E3432" i="26" s="1"/>
  <c r="H188" i="26"/>
  <c r="I1045" i="26"/>
  <c r="E1045" i="26" s="1"/>
  <c r="I3470" i="26"/>
  <c r="E3470" i="26" s="1"/>
  <c r="I6486" i="26"/>
  <c r="E6486" i="26" s="1"/>
  <c r="I6449" i="26"/>
  <c r="E6449" i="26" s="1"/>
  <c r="I6433" i="26"/>
  <c r="E6433" i="26" s="1"/>
  <c r="I3244" i="26"/>
  <c r="E3244" i="26" s="1"/>
  <c r="I4492" i="26"/>
  <c r="E4492" i="26" s="1"/>
  <c r="I3409" i="26"/>
  <c r="E3409" i="26" s="1"/>
  <c r="I2423" i="26"/>
  <c r="E2423" i="26" s="1"/>
  <c r="I2308" i="26"/>
  <c r="E2308" i="26" s="1"/>
  <c r="I3705" i="26"/>
  <c r="E3705" i="26" s="1"/>
  <c r="I3193" i="26"/>
  <c r="E3193" i="26" s="1"/>
  <c r="I5717" i="26"/>
  <c r="E5717" i="26" s="1"/>
  <c r="I3686" i="26"/>
  <c r="E3686" i="26" s="1"/>
  <c r="I2773" i="26"/>
  <c r="E2773" i="26" s="1"/>
  <c r="I6692" i="26"/>
  <c r="E6692" i="26" s="1"/>
  <c r="I4039" i="26"/>
  <c r="E4039" i="26" s="1"/>
  <c r="I3417" i="26"/>
  <c r="E3417" i="26" s="1"/>
  <c r="I4264" i="26"/>
  <c r="E4264" i="26" s="1"/>
  <c r="I2345" i="26"/>
  <c r="E2345" i="26" s="1"/>
  <c r="I2996" i="26"/>
  <c r="E2996" i="26" s="1"/>
  <c r="I5604" i="26"/>
  <c r="E5604" i="26" s="1"/>
  <c r="I6252" i="26"/>
  <c r="E6252" i="26" s="1"/>
  <c r="I3873" i="26"/>
  <c r="E3873" i="26" s="1"/>
  <c r="I6070" i="26"/>
  <c r="E6070" i="26" s="1"/>
  <c r="I5046" i="26"/>
  <c r="E5046" i="26" s="1"/>
  <c r="I4444" i="26"/>
  <c r="E4444" i="26" s="1"/>
  <c r="I6566" i="26"/>
  <c r="E6566" i="26" s="1"/>
  <c r="I4529" i="26"/>
  <c r="E4529" i="26" s="1"/>
  <c r="I3688" i="26"/>
  <c r="E3688" i="26" s="1"/>
  <c r="I6605" i="26"/>
  <c r="E6605" i="26" s="1"/>
  <c r="I5434" i="26"/>
  <c r="E5434" i="26" s="1"/>
  <c r="I16" i="26"/>
  <c r="E16" i="26" s="1"/>
  <c r="I6095" i="26"/>
  <c r="E6095" i="26" s="1"/>
  <c r="I2610" i="26"/>
  <c r="E2610" i="26" s="1"/>
  <c r="I6745" i="26"/>
  <c r="E6745" i="26" s="1"/>
  <c r="I6392" i="26"/>
  <c r="E6392" i="26" s="1"/>
  <c r="I2285" i="26"/>
  <c r="E2285" i="26" s="1"/>
  <c r="I4328" i="26"/>
  <c r="E4328" i="26" s="1"/>
  <c r="I158" i="26"/>
  <c r="E158" i="26" s="1"/>
  <c r="I4615" i="26"/>
  <c r="E4615" i="26" s="1"/>
  <c r="I6058" i="26"/>
  <c r="E6058" i="26" s="1"/>
  <c r="I3239" i="26"/>
  <c r="E3239" i="26" s="1"/>
  <c r="I1879" i="26"/>
  <c r="E1879" i="26" s="1"/>
  <c r="I5445" i="26"/>
  <c r="E5445" i="26" s="1"/>
  <c r="I1702" i="26"/>
  <c r="E1702" i="26" s="1"/>
  <c r="I5071" i="26"/>
  <c r="E5071" i="26" s="1"/>
  <c r="H2339" i="26"/>
  <c r="I3663" i="26"/>
  <c r="E3663" i="26" s="1"/>
  <c r="I4375" i="26"/>
  <c r="E4375" i="26" s="1"/>
  <c r="I4376" i="26"/>
  <c r="E4376" i="26" s="1"/>
  <c r="I5795" i="26"/>
  <c r="E5795" i="26" s="1"/>
  <c r="I6271" i="26"/>
  <c r="E6271" i="26" s="1"/>
  <c r="I6763" i="26"/>
  <c r="E6763" i="26" s="1"/>
  <c r="I2728" i="26"/>
  <c r="E2728" i="26" s="1"/>
  <c r="I4771" i="26"/>
  <c r="E4771" i="26" s="1"/>
  <c r="I3054" i="26"/>
  <c r="E3054" i="26" s="1"/>
  <c r="I4121" i="26"/>
  <c r="E4121" i="26" s="1"/>
  <c r="I4870" i="26"/>
  <c r="E4870" i="26" s="1"/>
  <c r="I5467" i="26"/>
  <c r="E5467" i="26" s="1"/>
  <c r="I4838" i="26"/>
  <c r="E4838" i="26" s="1"/>
  <c r="I4594" i="26"/>
  <c r="E4594" i="26" s="1"/>
  <c r="I3652" i="26"/>
  <c r="E3652" i="26" s="1"/>
  <c r="H4866" i="26"/>
  <c r="H4212" i="26"/>
  <c r="I3603" i="26"/>
  <c r="E3603" i="26" s="1"/>
  <c r="I4527" i="26"/>
  <c r="E4527" i="26" s="1"/>
  <c r="I5394" i="26"/>
  <c r="E5394" i="26" s="1"/>
  <c r="I3653" i="26"/>
  <c r="E3653" i="26" s="1"/>
  <c r="I4355" i="26"/>
  <c r="E4355" i="26" s="1"/>
  <c r="I5681" i="26"/>
  <c r="E5681" i="26" s="1"/>
  <c r="I5220" i="26"/>
  <c r="E5220" i="26" s="1"/>
  <c r="H6002" i="26"/>
  <c r="I6263" i="26"/>
  <c r="E6263" i="26" s="1"/>
  <c r="I3137" i="26"/>
  <c r="E3137" i="26" s="1"/>
  <c r="I3100" i="26"/>
  <c r="E3100" i="26" s="1"/>
  <c r="I1905" i="26"/>
  <c r="E1905" i="26" s="1"/>
  <c r="I3414" i="26"/>
  <c r="E3414" i="26" s="1"/>
  <c r="I5329" i="26"/>
  <c r="E5329" i="26" s="1"/>
  <c r="I3733" i="26"/>
  <c r="E3733" i="26" s="1"/>
  <c r="H4992" i="26"/>
  <c r="H160" i="26"/>
  <c r="I4305" i="26"/>
  <c r="E4305" i="26" s="1"/>
  <c r="I2357" i="26"/>
  <c r="E2357" i="26" s="1"/>
  <c r="I3260" i="26"/>
  <c r="E3260" i="26" s="1"/>
  <c r="I6629" i="26"/>
  <c r="E6629" i="26" s="1"/>
  <c r="I4588" i="26"/>
  <c r="E4588" i="26" s="1"/>
  <c r="I4715" i="26"/>
  <c r="E4715" i="26" s="1"/>
  <c r="I3530" i="26"/>
  <c r="E3530" i="26" s="1"/>
  <c r="I3215" i="26"/>
  <c r="E3215" i="26" s="1"/>
  <c r="I3692" i="26"/>
  <c r="E3692" i="26" s="1"/>
  <c r="I5807" i="26"/>
  <c r="E5807" i="26" s="1"/>
  <c r="I5014" i="26"/>
  <c r="E5014" i="26" s="1"/>
  <c r="I2992" i="26"/>
  <c r="E2992" i="26" s="1"/>
  <c r="I2767" i="26"/>
  <c r="E2767" i="26" s="1"/>
  <c r="I1514" i="26"/>
  <c r="E1514" i="26" s="1"/>
  <c r="I6169" i="26"/>
  <c r="E6169" i="26" s="1"/>
  <c r="I2844" i="26"/>
  <c r="E2844" i="26" s="1"/>
  <c r="H36" i="26"/>
  <c r="I4634" i="26"/>
  <c r="E4634" i="26" s="1"/>
  <c r="I5051" i="26"/>
  <c r="E5051" i="26" s="1"/>
  <c r="I3139" i="26"/>
  <c r="E3139" i="26" s="1"/>
  <c r="I3569" i="26"/>
  <c r="E3569" i="26" s="1"/>
  <c r="I4810" i="26"/>
  <c r="E4810" i="26" s="1"/>
  <c r="I6429" i="26"/>
  <c r="E6429" i="26" s="1"/>
  <c r="I6032" i="26"/>
  <c r="E6032" i="26" s="1"/>
  <c r="H4626" i="26"/>
  <c r="I6411" i="26"/>
  <c r="E6411" i="26" s="1"/>
  <c r="I1876" i="26"/>
  <c r="E1876" i="26" s="1"/>
  <c r="H2725" i="26"/>
  <c r="H4186" i="26"/>
  <c r="H6518" i="26"/>
  <c r="H2940" i="26"/>
  <c r="H5904" i="26"/>
  <c r="I6101" i="26"/>
  <c r="E6101" i="26" s="1"/>
  <c r="H4154" i="26"/>
  <c r="I3117" i="26"/>
  <c r="E3117" i="26" s="1"/>
  <c r="H5763" i="26"/>
  <c r="H3577" i="26"/>
  <c r="H5277" i="26"/>
  <c r="H2528" i="26"/>
  <c r="H6052" i="26"/>
  <c r="I2873" i="26"/>
  <c r="E2873" i="26" s="1"/>
  <c r="I2803" i="26"/>
  <c r="E2803" i="26" s="1"/>
  <c r="I2905" i="26"/>
  <c r="E2905" i="26" s="1"/>
  <c r="I4871" i="26"/>
  <c r="E4871" i="26" s="1"/>
  <c r="I3962" i="26"/>
  <c r="E3962" i="26" s="1"/>
  <c r="I2437" i="26"/>
  <c r="E2437" i="26" s="1"/>
  <c r="H4362" i="26"/>
  <c r="H2361" i="26"/>
  <c r="H5245" i="26"/>
  <c r="I2998" i="26"/>
  <c r="E2998" i="26" s="1"/>
  <c r="I5493" i="26"/>
  <c r="E5493" i="26" s="1"/>
  <c r="I3279" i="26"/>
  <c r="E3279" i="26" s="1"/>
  <c r="I2933" i="26"/>
  <c r="E2933" i="26" s="1"/>
  <c r="H4359" i="26"/>
  <c r="H2524" i="26"/>
  <c r="H2395" i="26"/>
  <c r="H4008" i="26"/>
  <c r="I3956" i="26"/>
  <c r="E3956" i="26" s="1"/>
  <c r="H1524" i="26"/>
  <c r="H2077" i="26"/>
  <c r="I3850" i="26"/>
  <c r="E3850" i="26" s="1"/>
  <c r="H1901" i="26"/>
  <c r="I6430" i="26"/>
  <c r="E6430" i="26" s="1"/>
  <c r="H3301" i="26"/>
  <c r="I6528" i="26"/>
  <c r="E6528" i="26" s="1"/>
  <c r="I4973" i="26"/>
  <c r="E4973" i="26" s="1"/>
  <c r="H1897" i="26"/>
  <c r="I6713" i="26"/>
  <c r="E6713" i="26" s="1"/>
  <c r="H6230" i="26"/>
  <c r="H3170" i="26"/>
  <c r="I74" i="26"/>
  <c r="E74" i="26" s="1"/>
  <c r="I1639" i="26"/>
  <c r="E1639" i="26" s="1"/>
  <c r="I508" i="26"/>
  <c r="E508" i="26" s="1"/>
  <c r="H5468" i="26"/>
  <c r="H386" i="26"/>
  <c r="I1789" i="26"/>
  <c r="E1789" i="26" s="1"/>
  <c r="I258" i="26"/>
  <c r="E258" i="26" s="1"/>
  <c r="H2184" i="26"/>
  <c r="H636" i="26"/>
  <c r="H1176" i="26"/>
  <c r="H433" i="26"/>
  <c r="H829" i="26"/>
  <c r="I1583" i="26"/>
  <c r="E1583" i="26" s="1"/>
  <c r="I1485" i="26"/>
  <c r="E1485" i="26" s="1"/>
  <c r="I289" i="26"/>
  <c r="E289" i="26" s="1"/>
  <c r="H4149" i="26"/>
  <c r="I537" i="26"/>
  <c r="E537" i="26" s="1"/>
  <c r="I1494" i="26"/>
  <c r="E1494" i="26" s="1"/>
  <c r="I1600" i="26"/>
  <c r="E1600" i="26" s="1"/>
  <c r="I34" i="26"/>
  <c r="E34" i="26" s="1"/>
  <c r="H56" i="26"/>
  <c r="H142" i="26"/>
  <c r="I5243" i="26"/>
  <c r="E5243" i="26" s="1"/>
  <c r="I3064" i="26"/>
  <c r="E3064" i="26" s="1"/>
  <c r="I3431" i="26"/>
  <c r="E3431" i="26" s="1"/>
  <c r="I5455" i="26"/>
  <c r="E5455" i="26" s="1"/>
  <c r="I1504" i="26"/>
  <c r="E1504" i="26" s="1"/>
  <c r="I3747" i="26"/>
  <c r="E3747" i="26" s="1"/>
  <c r="I2994" i="26"/>
  <c r="E2994" i="26" s="1"/>
  <c r="H3847" i="26"/>
  <c r="I174" i="26"/>
  <c r="E174" i="26" s="1"/>
  <c r="I2710" i="26"/>
  <c r="E2710" i="26" s="1"/>
  <c r="I5470" i="26"/>
  <c r="E5470" i="26" s="1"/>
  <c r="I6444" i="26"/>
  <c r="E6444" i="26" s="1"/>
  <c r="I3640" i="26"/>
  <c r="E3640" i="26" s="1"/>
  <c r="I2415" i="26"/>
  <c r="E2415" i="26" s="1"/>
  <c r="I2650" i="26"/>
  <c r="E2650" i="26" s="1"/>
  <c r="I6710" i="26"/>
  <c r="E6710" i="26" s="1"/>
  <c r="H2605" i="26"/>
  <c r="I132" i="26"/>
  <c r="E132" i="26" s="1"/>
  <c r="I5657" i="26"/>
  <c r="E5657" i="26" s="1"/>
  <c r="I2987" i="26"/>
  <c r="E2987" i="26" s="1"/>
  <c r="I5338" i="26"/>
  <c r="E5338" i="26" s="1"/>
  <c r="I4836" i="26"/>
  <c r="E4836" i="26" s="1"/>
  <c r="I3395" i="26"/>
  <c r="E3395" i="26" s="1"/>
  <c r="I3499" i="26"/>
  <c r="E3499" i="26" s="1"/>
  <c r="I4827" i="26"/>
  <c r="E4827" i="26" s="1"/>
  <c r="I3658" i="26"/>
  <c r="E3658" i="26" s="1"/>
  <c r="I5908" i="26"/>
  <c r="E5908" i="26" s="1"/>
  <c r="I3050" i="26"/>
  <c r="E3050" i="26" s="1"/>
  <c r="I3925" i="26"/>
  <c r="E3925" i="26" s="1"/>
  <c r="I4430" i="26"/>
  <c r="E4430" i="26" s="1"/>
  <c r="I3526" i="26"/>
  <c r="E3526" i="26" s="1"/>
  <c r="I4793" i="26"/>
  <c r="E4793" i="26" s="1"/>
  <c r="I5347" i="26"/>
  <c r="E5347" i="26" s="1"/>
  <c r="H3496" i="26"/>
  <c r="I28" i="26"/>
  <c r="E28" i="26" s="1"/>
  <c r="I2845" i="26"/>
  <c r="E2845" i="26" s="1"/>
  <c r="I2801" i="26"/>
  <c r="E2801" i="26" s="1"/>
  <c r="I2668" i="26"/>
  <c r="E2668" i="26" s="1"/>
  <c r="I2900" i="26"/>
  <c r="E2900" i="26" s="1"/>
  <c r="I3794" i="26"/>
  <c r="E3794" i="26" s="1"/>
  <c r="I4252" i="26"/>
  <c r="E4252" i="26" s="1"/>
  <c r="H28" i="26"/>
  <c r="I3358" i="26"/>
  <c r="E3358" i="26" s="1"/>
  <c r="I3836" i="26"/>
  <c r="E3836" i="26" s="1"/>
  <c r="I5110" i="26"/>
  <c r="E5110" i="26" s="1"/>
  <c r="I5554" i="26"/>
  <c r="E5554" i="26" s="1"/>
  <c r="I2323" i="26"/>
  <c r="E2323" i="26" s="1"/>
  <c r="I5318" i="26"/>
  <c r="E5318" i="26" s="1"/>
  <c r="I4859" i="26"/>
  <c r="E4859" i="26" s="1"/>
  <c r="I3448" i="26"/>
  <c r="E3448" i="26" s="1"/>
  <c r="I4261" i="26"/>
  <c r="E4261" i="26" s="1"/>
  <c r="I2691" i="26"/>
  <c r="E2691" i="26" s="1"/>
  <c r="I2704" i="26"/>
  <c r="E2704" i="26" s="1"/>
  <c r="I4090" i="26"/>
  <c r="E4090" i="26" s="1"/>
  <c r="I6277" i="26"/>
  <c r="E6277" i="26" s="1"/>
  <c r="I5713" i="26"/>
  <c r="E5713" i="26" s="1"/>
  <c r="I3332" i="26"/>
  <c r="E3332" i="26" s="1"/>
  <c r="I5538" i="26"/>
  <c r="E5538" i="26" s="1"/>
  <c r="I5748" i="26"/>
  <c r="E5748" i="26" s="1"/>
  <c r="I3547" i="26"/>
  <c r="E3547" i="26" s="1"/>
  <c r="I6567" i="26"/>
  <c r="E6567" i="26" s="1"/>
  <c r="I6729" i="26"/>
  <c r="E6729" i="26" s="1"/>
  <c r="I4906" i="26"/>
  <c r="E4906" i="26" s="1"/>
  <c r="I2374" i="26"/>
  <c r="E2374" i="26" s="1"/>
  <c r="I2409" i="26"/>
  <c r="E2409" i="26" s="1"/>
  <c r="I2872" i="26"/>
  <c r="E2872" i="26" s="1"/>
  <c r="I6309" i="26"/>
  <c r="E6309" i="26" s="1"/>
  <c r="I1903" i="26"/>
  <c r="E1903" i="26" s="1"/>
  <c r="I4009" i="26"/>
  <c r="E4009" i="26" s="1"/>
  <c r="I3204" i="26"/>
  <c r="E3204" i="26" s="1"/>
  <c r="I4673" i="26"/>
  <c r="E4673" i="26" s="1"/>
  <c r="I2612" i="26"/>
  <c r="E2612" i="26" s="1"/>
  <c r="I5552" i="26"/>
  <c r="E5552" i="26" s="1"/>
  <c r="I6146" i="26"/>
  <c r="E6146" i="26" s="1"/>
  <c r="I146" i="26"/>
  <c r="E146" i="26" s="1"/>
  <c r="I6584" i="26"/>
  <c r="E6584" i="26" s="1"/>
  <c r="I3264" i="26"/>
  <c r="E3264" i="26" s="1"/>
  <c r="I6335" i="26"/>
  <c r="E6335" i="26" s="1"/>
  <c r="I2621" i="26"/>
  <c r="E2621" i="26" s="1"/>
  <c r="I6310" i="26"/>
  <c r="E6310" i="26" s="1"/>
  <c r="I3762" i="26"/>
  <c r="E3762" i="26" s="1"/>
  <c r="H75" i="26"/>
  <c r="I5468" i="26"/>
  <c r="E5468" i="26" s="1"/>
  <c r="I3314" i="26"/>
  <c r="E3314" i="26" s="1"/>
  <c r="I4967" i="26"/>
  <c r="E4967" i="26" s="1"/>
  <c r="I2793" i="26"/>
  <c r="E2793" i="26" s="1"/>
  <c r="I4567" i="26"/>
  <c r="E4567" i="26" s="1"/>
  <c r="I3213" i="26"/>
  <c r="E3213" i="26" s="1"/>
  <c r="I6240" i="26"/>
  <c r="E6240" i="26" s="1"/>
  <c r="H4035" i="26"/>
  <c r="I4512" i="26"/>
  <c r="E4512" i="26" s="1"/>
  <c r="I6233" i="26"/>
  <c r="E6233" i="26" s="1"/>
  <c r="I4643" i="26"/>
  <c r="E4643" i="26" s="1"/>
  <c r="I4219" i="26"/>
  <c r="E4219" i="26" s="1"/>
  <c r="I5682" i="26"/>
  <c r="E5682" i="26" s="1"/>
  <c r="I5458" i="26"/>
  <c r="E5458" i="26" s="1"/>
  <c r="I5808" i="26"/>
  <c r="E5808" i="26" s="1"/>
  <c r="I3266" i="26"/>
  <c r="E3266" i="26" s="1"/>
  <c r="I6164" i="26"/>
  <c r="E6164" i="26" s="1"/>
  <c r="I4338" i="26"/>
  <c r="E4338" i="26" s="1"/>
  <c r="I5494" i="26"/>
  <c r="E5494" i="26" s="1"/>
  <c r="I4435" i="26"/>
  <c r="E4435" i="26" s="1"/>
  <c r="I3800" i="26"/>
  <c r="E3800" i="26" s="1"/>
  <c r="I1888" i="26"/>
  <c r="E1888" i="26" s="1"/>
  <c r="I5658" i="26"/>
  <c r="E5658" i="26" s="1"/>
  <c r="H6328" i="26"/>
  <c r="H108" i="26"/>
  <c r="I4453" i="26"/>
  <c r="E4453" i="26" s="1"/>
  <c r="I4058" i="26"/>
  <c r="E4058" i="26" s="1"/>
  <c r="I4750" i="26"/>
  <c r="E4750" i="26" s="1"/>
  <c r="I6301" i="26"/>
  <c r="E6301" i="26" s="1"/>
  <c r="I5896" i="26"/>
  <c r="E5896" i="26" s="1"/>
  <c r="I2847" i="26"/>
  <c r="E2847" i="26" s="1"/>
  <c r="I5001" i="26"/>
  <c r="E5001" i="26" s="1"/>
  <c r="I5643" i="26"/>
  <c r="E5643" i="26" s="1"/>
  <c r="I3191" i="26"/>
  <c r="E3191" i="26" s="1"/>
  <c r="I4201" i="26"/>
  <c r="E4201" i="26" s="1"/>
  <c r="I3472" i="26"/>
  <c r="E3472" i="26" s="1"/>
  <c r="I2805" i="26"/>
  <c r="E2805" i="26" s="1"/>
  <c r="I3647" i="26"/>
  <c r="E3647" i="26" s="1"/>
  <c r="I6719" i="26"/>
  <c r="E6719" i="26" s="1"/>
  <c r="I4532" i="26"/>
  <c r="E4532" i="26" s="1"/>
  <c r="I3538" i="26"/>
  <c r="E3538" i="26" s="1"/>
  <c r="H156" i="26"/>
  <c r="I3097" i="26"/>
  <c r="E3097" i="26" s="1"/>
  <c r="I4590" i="26"/>
  <c r="E4590" i="26" s="1"/>
  <c r="I2384" i="26"/>
  <c r="E2384" i="26" s="1"/>
  <c r="I3118" i="26"/>
  <c r="E3118" i="26" s="1"/>
  <c r="I2645" i="26"/>
  <c r="E2645" i="26" s="1"/>
  <c r="I6131" i="26"/>
  <c r="E6131" i="26" s="1"/>
  <c r="I5809" i="26"/>
  <c r="E5809" i="26" s="1"/>
  <c r="H1896" i="26"/>
  <c r="I5838" i="26"/>
  <c r="E5838" i="26" s="1"/>
  <c r="I2297" i="26"/>
  <c r="E2297" i="26" s="1"/>
  <c r="I6682" i="26"/>
  <c r="E6682" i="26" s="1"/>
  <c r="I5926" i="26"/>
  <c r="E5926" i="26" s="1"/>
  <c r="I2259" i="26"/>
  <c r="E2259" i="26" s="1"/>
  <c r="I2322" i="26"/>
  <c r="E2322" i="26" s="1"/>
  <c r="I5392" i="26"/>
  <c r="E5392" i="26" s="1"/>
  <c r="H4069" i="26"/>
  <c r="I166" i="26"/>
  <c r="E166" i="26" s="1"/>
  <c r="I2770" i="26"/>
  <c r="E2770" i="26" s="1"/>
  <c r="I6450" i="26"/>
  <c r="E6450" i="26" s="1"/>
  <c r="I5363" i="26"/>
  <c r="E5363" i="26" s="1"/>
  <c r="I4556" i="26"/>
  <c r="E4556" i="26" s="1"/>
  <c r="I4596" i="26"/>
  <c r="E4596" i="26" s="1"/>
  <c r="I4246" i="26"/>
  <c r="E4246" i="26" s="1"/>
  <c r="I5929" i="26"/>
  <c r="E5929" i="26" s="1"/>
  <c r="I3365" i="26"/>
  <c r="E3365" i="26" s="1"/>
  <c r="H6371" i="26"/>
  <c r="I5775" i="26"/>
  <c r="E5775" i="26" s="1"/>
  <c r="H6354" i="26"/>
  <c r="I1042" i="26"/>
  <c r="E1042" i="26" s="1"/>
  <c r="H2799" i="26"/>
  <c r="H5101" i="26"/>
  <c r="H4967" i="26"/>
  <c r="I6526" i="26"/>
  <c r="E6526" i="26" s="1"/>
  <c r="H5201" i="26"/>
  <c r="I5570" i="26"/>
  <c r="E5570" i="26" s="1"/>
  <c r="I4011" i="26"/>
  <c r="E4011" i="26" s="1"/>
  <c r="H6461" i="26"/>
  <c r="H3770" i="26"/>
  <c r="H4231" i="26"/>
  <c r="H6128" i="26"/>
  <c r="I4484" i="26"/>
  <c r="E4484" i="26" s="1"/>
  <c r="I3947" i="26"/>
  <c r="E3947" i="26" s="1"/>
  <c r="I3790" i="26"/>
  <c r="E3790" i="26" s="1"/>
  <c r="I5168" i="26"/>
  <c r="E5168" i="26" s="1"/>
  <c r="H5701" i="26"/>
  <c r="I4248" i="26"/>
  <c r="E4248" i="26" s="1"/>
  <c r="H3265" i="26"/>
  <c r="H6741" i="26"/>
  <c r="H5454" i="26"/>
  <c r="H4570" i="26"/>
  <c r="I6475" i="26"/>
  <c r="E6475" i="26" s="1"/>
  <c r="I5209" i="26"/>
  <c r="E5209" i="26" s="1"/>
  <c r="I4666" i="26"/>
  <c r="E4666" i="26" s="1"/>
  <c r="H2726" i="26"/>
  <c r="H6736" i="26"/>
  <c r="H3612" i="26"/>
  <c r="H6611" i="26"/>
  <c r="H6138" i="26"/>
  <c r="I2363" i="26"/>
  <c r="E2363" i="26" s="1"/>
  <c r="I5825" i="26"/>
  <c r="E5825" i="26" s="1"/>
  <c r="H4679" i="26"/>
  <c r="I5396" i="26"/>
  <c r="E5396" i="26" s="1"/>
  <c r="H5464" i="26"/>
  <c r="H2847" i="26"/>
  <c r="I2695" i="26"/>
  <c r="E2695" i="26" s="1"/>
  <c r="H1580" i="26"/>
  <c r="I883" i="26"/>
  <c r="E883" i="26" s="1"/>
  <c r="I1201" i="26"/>
  <c r="E1201" i="26" s="1"/>
  <c r="I964" i="26"/>
  <c r="E964" i="26" s="1"/>
  <c r="H5049" i="26"/>
  <c r="H658" i="26"/>
  <c r="H428" i="26"/>
  <c r="I1179" i="26"/>
  <c r="E1179" i="26" s="1"/>
  <c r="H1313" i="26"/>
  <c r="H872" i="26"/>
  <c r="I1388" i="26"/>
  <c r="E1388" i="26" s="1"/>
  <c r="H316" i="26"/>
  <c r="H1853" i="26"/>
  <c r="I623" i="26"/>
  <c r="E623" i="26" s="1"/>
  <c r="H2203" i="26"/>
  <c r="I544" i="26"/>
  <c r="E544" i="26" s="1"/>
  <c r="I2202" i="26"/>
  <c r="E2202" i="26" s="1"/>
  <c r="I187" i="26"/>
  <c r="E187" i="26" s="1"/>
  <c r="H58" i="26"/>
  <c r="I5225" i="26"/>
  <c r="E5225" i="26" s="1"/>
  <c r="I4361" i="26"/>
  <c r="E4361" i="26" s="1"/>
  <c r="I4606" i="26"/>
  <c r="E4606" i="26" s="1"/>
  <c r="I6224" i="26"/>
  <c r="E6224" i="26" s="1"/>
  <c r="I3821" i="26"/>
  <c r="E3821" i="26" s="1"/>
  <c r="I3090" i="26"/>
  <c r="E3090" i="26" s="1"/>
  <c r="I6124" i="26"/>
  <c r="E6124" i="26" s="1"/>
  <c r="H3386" i="26"/>
  <c r="I115" i="26"/>
  <c r="E115" i="26" s="1"/>
  <c r="I6139" i="26"/>
  <c r="E6139" i="26" s="1"/>
  <c r="I2497" i="26"/>
  <c r="E2497" i="26" s="1"/>
  <c r="I6390" i="26"/>
  <c r="E6390" i="26" s="1"/>
  <c r="I2919" i="26"/>
  <c r="E2919" i="26" s="1"/>
  <c r="I5628" i="26"/>
  <c r="E5628" i="26" s="1"/>
  <c r="I3712" i="26"/>
  <c r="E3712" i="26" s="1"/>
  <c r="I4964" i="26"/>
  <c r="E4964" i="26" s="1"/>
  <c r="I4172" i="26"/>
  <c r="E4172" i="26" s="1"/>
  <c r="I5175" i="26"/>
  <c r="E5175" i="26" s="1"/>
  <c r="I5955" i="26"/>
  <c r="E5955" i="26" s="1"/>
  <c r="I5036" i="26"/>
  <c r="E5036" i="26" s="1"/>
  <c r="I3491" i="26"/>
  <c r="E3491" i="26" s="1"/>
  <c r="I5059" i="26"/>
  <c r="E5059" i="26" s="1"/>
  <c r="I3683" i="26"/>
  <c r="E3683" i="26" s="1"/>
  <c r="I5152" i="26"/>
  <c r="E5152" i="26" s="1"/>
  <c r="I2786" i="26"/>
  <c r="E2786" i="26" s="1"/>
  <c r="H4162" i="26"/>
  <c r="I5238" i="26"/>
  <c r="E5238" i="26" s="1"/>
  <c r="I5345" i="26"/>
  <c r="E5345" i="26" s="1"/>
  <c r="I4678" i="26"/>
  <c r="E4678" i="26" s="1"/>
  <c r="I5586" i="26"/>
  <c r="E5586" i="26" s="1"/>
  <c r="I4745" i="26"/>
  <c r="E4745" i="26" s="1"/>
  <c r="I2922" i="26"/>
  <c r="E2922" i="26" s="1"/>
  <c r="I2924" i="26"/>
  <c r="E2924" i="26" s="1"/>
  <c r="I6334" i="26"/>
  <c r="E6334" i="26" s="1"/>
  <c r="I2571" i="26"/>
  <c r="E2571" i="26" s="1"/>
  <c r="I2690" i="26"/>
  <c r="E2690" i="26" s="1"/>
  <c r="I3259" i="26"/>
  <c r="E3259" i="26" s="1"/>
  <c r="I5487" i="26"/>
  <c r="E5487" i="26" s="1"/>
  <c r="I2984" i="26"/>
  <c r="E2984" i="26" s="1"/>
  <c r="I4970" i="26"/>
  <c r="E4970" i="26" s="1"/>
  <c r="I6337" i="26"/>
  <c r="E6337" i="26" s="1"/>
  <c r="I5240" i="26"/>
  <c r="E5240" i="26" s="1"/>
  <c r="I3669" i="26"/>
  <c r="E3669" i="26" s="1"/>
  <c r="I4265" i="26"/>
  <c r="E4265" i="26" s="1"/>
  <c r="I4807" i="26"/>
  <c r="E4807" i="26" s="1"/>
  <c r="I5081" i="26"/>
  <c r="E5081" i="26" s="1"/>
  <c r="I4468" i="26"/>
  <c r="E4468" i="26" s="1"/>
  <c r="I1067" i="26"/>
  <c r="E1067" i="26" s="1"/>
  <c r="I4485" i="26"/>
  <c r="E4485" i="26" s="1"/>
  <c r="I4440" i="26"/>
  <c r="E4440" i="26" s="1"/>
  <c r="I5198" i="26"/>
  <c r="E5198" i="26" s="1"/>
  <c r="I6642" i="26"/>
  <c r="E6642" i="26" s="1"/>
  <c r="I3253" i="26"/>
  <c r="E3253" i="26" s="1"/>
  <c r="I5772" i="26"/>
  <c r="E5772" i="26" s="1"/>
  <c r="I6168" i="26"/>
  <c r="E6168" i="26" s="1"/>
  <c r="I3059" i="26"/>
  <c r="E3059" i="26" s="1"/>
  <c r="I5395" i="26"/>
  <c r="E5395" i="26" s="1"/>
  <c r="I5769" i="26"/>
  <c r="E5769" i="26" s="1"/>
  <c r="I1529" i="26"/>
  <c r="E1529" i="26" s="1"/>
  <c r="I6649" i="26"/>
  <c r="E6649" i="26" s="1"/>
  <c r="I5331" i="26"/>
  <c r="E5331" i="26" s="1"/>
  <c r="I4030" i="26"/>
  <c r="E4030" i="26" s="1"/>
  <c r="I3013" i="26"/>
  <c r="E3013" i="26" s="1"/>
  <c r="I6743" i="26"/>
  <c r="E6743" i="26" s="1"/>
  <c r="I1513" i="26"/>
  <c r="E1513" i="26" s="1"/>
  <c r="I2654" i="26"/>
  <c r="E2654" i="26" s="1"/>
  <c r="I5000" i="26"/>
  <c r="E5000" i="26" s="1"/>
  <c r="I3700" i="26"/>
  <c r="E3700" i="26" s="1"/>
  <c r="I4308" i="26"/>
  <c r="E4308" i="26" s="1"/>
  <c r="I5941" i="26"/>
  <c r="E5941" i="26" s="1"/>
  <c r="I4568" i="26"/>
  <c r="E4568" i="26" s="1"/>
  <c r="I6157" i="26"/>
  <c r="E6157" i="26" s="1"/>
  <c r="I3724" i="26"/>
  <c r="E3724" i="26" s="1"/>
  <c r="I5461" i="26"/>
  <c r="E5461" i="26" s="1"/>
  <c r="H96" i="26"/>
  <c r="I4295" i="26"/>
  <c r="E4295" i="26" s="1"/>
  <c r="I1522" i="26"/>
  <c r="E1522" i="26" s="1"/>
  <c r="I2260" i="26"/>
  <c r="E2260" i="26" s="1"/>
  <c r="I6516" i="26"/>
  <c r="E6516" i="26" s="1"/>
  <c r="I3550" i="26"/>
  <c r="E3550" i="26" s="1"/>
  <c r="I5191" i="26"/>
  <c r="E5191" i="26" s="1"/>
  <c r="I130" i="26"/>
  <c r="E130" i="26" s="1"/>
  <c r="I3209" i="26"/>
  <c r="E3209" i="26" s="1"/>
  <c r="I6258" i="26"/>
  <c r="E6258" i="26" s="1"/>
  <c r="I5735" i="26"/>
  <c r="E5735" i="26" s="1"/>
  <c r="I3793" i="26"/>
  <c r="E3793" i="26" s="1"/>
  <c r="I3313" i="26"/>
  <c r="E3313" i="26" s="1"/>
  <c r="I5599" i="26"/>
  <c r="E5599" i="26" s="1"/>
  <c r="I4919" i="26"/>
  <c r="E4919" i="26" s="1"/>
  <c r="I3200" i="26"/>
  <c r="E3200" i="26" s="1"/>
  <c r="I1878" i="26"/>
  <c r="E1878" i="26" s="1"/>
  <c r="I4546" i="26"/>
  <c r="E4546" i="26" s="1"/>
  <c r="I6063" i="26"/>
  <c r="E6063" i="26" s="1"/>
  <c r="I4021" i="26"/>
  <c r="E4021" i="26" s="1"/>
  <c r="I4652" i="26"/>
  <c r="E4652" i="26" s="1"/>
  <c r="I5398" i="26"/>
  <c r="E5398" i="26" s="1"/>
  <c r="I3944" i="26"/>
  <c r="E3944" i="26" s="1"/>
  <c r="H6749" i="26"/>
  <c r="I3964" i="26"/>
  <c r="E3964" i="26" s="1"/>
  <c r="I6468" i="26"/>
  <c r="E6468" i="26" s="1"/>
  <c r="I4829" i="26"/>
  <c r="E4829" i="26" s="1"/>
  <c r="I3046" i="26"/>
  <c r="E3046" i="26" s="1"/>
  <c r="I3423" i="26"/>
  <c r="E3423" i="26" s="1"/>
  <c r="I3961" i="26"/>
  <c r="E3961" i="26" s="1"/>
  <c r="I4176" i="26"/>
  <c r="E4176" i="26" s="1"/>
  <c r="H5827" i="26"/>
  <c r="H72" i="26"/>
  <c r="I3666" i="26"/>
  <c r="E3666" i="26" s="1"/>
  <c r="I6027" i="26"/>
  <c r="E6027" i="26" s="1"/>
  <c r="I4166" i="26"/>
  <c r="E4166" i="26" s="1"/>
  <c r="I6460" i="26"/>
  <c r="E6460" i="26" s="1"/>
  <c r="I2944" i="26"/>
  <c r="E2944" i="26" s="1"/>
  <c r="I3350" i="26"/>
  <c r="E3350" i="26" s="1"/>
  <c r="I4014" i="26"/>
  <c r="E4014" i="26" s="1"/>
  <c r="H2942" i="26"/>
  <c r="I4489" i="26"/>
  <c r="E4489" i="26" s="1"/>
  <c r="I6753" i="26"/>
  <c r="E6753" i="26" s="1"/>
  <c r="I2647" i="26"/>
  <c r="E2647" i="26" s="1"/>
  <c r="I5197" i="26"/>
  <c r="E5197" i="26" s="1"/>
  <c r="I3122" i="26"/>
  <c r="E3122" i="26" s="1"/>
  <c r="I4525" i="26"/>
  <c r="E4525" i="26" s="1"/>
  <c r="I6442" i="26"/>
  <c r="E6442" i="26" s="1"/>
  <c r="H5773" i="26"/>
  <c r="H145" i="26"/>
  <c r="I5264" i="26"/>
  <c r="E5264" i="26" s="1"/>
  <c r="I6376" i="26"/>
  <c r="E6376" i="26" s="1"/>
  <c r="I1052" i="26"/>
  <c r="E1052" i="26" s="1"/>
  <c r="I3635" i="26"/>
  <c r="E3635" i="26" s="1"/>
  <c r="I2381" i="26"/>
  <c r="E2381" i="26" s="1"/>
  <c r="I6268" i="26"/>
  <c r="E6268" i="26" s="1"/>
  <c r="I6543" i="26"/>
  <c r="E6543" i="26" s="1"/>
  <c r="H2265" i="26"/>
  <c r="I5651" i="26"/>
  <c r="E5651" i="26" s="1"/>
  <c r="I4324" i="26"/>
  <c r="E4324" i="26" s="1"/>
  <c r="I5377" i="26"/>
  <c r="E5377" i="26" s="1"/>
  <c r="I5390" i="26"/>
  <c r="E5390" i="26" s="1"/>
  <c r="I5226" i="26"/>
  <c r="E5226" i="26" s="1"/>
  <c r="I3352" i="26"/>
  <c r="E3352" i="26" s="1"/>
  <c r="I6331" i="26"/>
  <c r="E6331" i="26" s="1"/>
  <c r="I5453" i="26"/>
  <c r="E5453" i="26" s="1"/>
  <c r="I165" i="26"/>
  <c r="E165" i="26" s="1"/>
  <c r="I1500" i="26"/>
  <c r="E1500" i="26" s="1"/>
  <c r="I5983" i="26"/>
  <c r="E5983" i="26" s="1"/>
  <c r="I2430" i="26"/>
  <c r="E2430" i="26" s="1"/>
  <c r="I2373" i="26"/>
  <c r="E2373" i="26" s="1"/>
  <c r="I3659" i="26"/>
  <c r="E3659" i="26" s="1"/>
  <c r="I2283" i="26"/>
  <c r="E2283" i="26" s="1"/>
  <c r="I4047" i="26"/>
  <c r="E4047" i="26" s="1"/>
  <c r="I4712" i="26"/>
  <c r="E4712" i="26" s="1"/>
  <c r="I4429" i="26"/>
  <c r="E4429" i="26" s="1"/>
  <c r="I3732" i="26"/>
  <c r="E3732" i="26" s="1"/>
  <c r="I4744" i="26"/>
  <c r="E4744" i="26" s="1"/>
  <c r="I5921" i="26"/>
  <c r="E5921" i="26" s="1"/>
  <c r="H4371" i="26"/>
  <c r="I3035" i="26"/>
  <c r="E3035" i="26" s="1"/>
  <c r="H3077" i="26"/>
  <c r="H6123" i="26"/>
  <c r="I6518" i="26"/>
  <c r="E6518" i="26" s="1"/>
  <c r="H3949" i="26"/>
  <c r="I6570" i="26"/>
  <c r="E6570" i="26" s="1"/>
  <c r="H4681" i="26"/>
  <c r="H6709" i="26"/>
  <c r="H5928" i="26"/>
  <c r="I1285" i="26"/>
  <c r="E1285" i="26" s="1"/>
  <c r="I4584" i="26"/>
  <c r="E4584" i="26" s="1"/>
  <c r="H4503" i="26"/>
  <c r="I3302" i="26"/>
  <c r="E3302" i="26" s="1"/>
  <c r="H4734" i="26"/>
  <c r="H3599" i="26"/>
  <c r="H6715" i="26"/>
  <c r="H3787" i="26"/>
  <c r="H4080" i="26"/>
  <c r="H5822" i="26"/>
  <c r="I5416" i="26"/>
  <c r="E5416" i="26" s="1"/>
  <c r="I6535" i="26"/>
  <c r="E6535" i="26" s="1"/>
  <c r="I1893" i="26"/>
  <c r="E1893" i="26" s="1"/>
  <c r="I3355" i="26"/>
  <c r="E3355" i="26" s="1"/>
  <c r="I5088" i="26"/>
  <c r="E5088" i="26" s="1"/>
  <c r="H6488" i="26"/>
  <c r="H3235" i="26"/>
  <c r="H5555" i="26"/>
  <c r="H3785" i="26"/>
  <c r="H3609" i="26"/>
  <c r="I2683" i="26"/>
  <c r="E2683" i="26" s="1"/>
  <c r="H4935" i="26"/>
  <c r="H4029" i="26"/>
  <c r="H4532" i="26"/>
  <c r="H6756" i="26"/>
  <c r="I5782" i="26"/>
  <c r="E5782" i="26" s="1"/>
  <c r="I1457" i="26"/>
  <c r="E1457" i="26" s="1"/>
  <c r="H822" i="26"/>
  <c r="I1683" i="26"/>
  <c r="E1683" i="26" s="1"/>
  <c r="H1485" i="26"/>
  <c r="I1005" i="26"/>
  <c r="E1005" i="26" s="1"/>
  <c r="H461" i="26"/>
  <c r="I172" i="26"/>
  <c r="E172" i="26" s="1"/>
  <c r="H32" i="26"/>
  <c r="I144" i="26"/>
  <c r="E144" i="26" s="1"/>
  <c r="I2426" i="26"/>
  <c r="E2426" i="26" s="1"/>
  <c r="I3426" i="26"/>
  <c r="E3426" i="26" s="1"/>
  <c r="I1051" i="26"/>
  <c r="E1051" i="26" s="1"/>
  <c r="I4431" i="26"/>
  <c r="E4431" i="26" s="1"/>
  <c r="I3572" i="26"/>
  <c r="E3572" i="26" s="1"/>
  <c r="I4924" i="26"/>
  <c r="E4924" i="26" s="1"/>
  <c r="I2701" i="26"/>
  <c r="E2701" i="26" s="1"/>
  <c r="H5306" i="26"/>
  <c r="H194" i="26"/>
  <c r="I4329" i="26"/>
  <c r="E4329" i="26" s="1"/>
  <c r="I2881" i="26"/>
  <c r="E2881" i="26" s="1"/>
  <c r="I2775" i="26"/>
  <c r="E2775" i="26" s="1"/>
  <c r="I2696" i="26"/>
  <c r="E2696" i="26" s="1"/>
  <c r="I2457" i="26"/>
  <c r="E2457" i="26" s="1"/>
  <c r="I6703" i="26"/>
  <c r="E6703" i="26" s="1"/>
  <c r="I5441" i="26"/>
  <c r="E5441" i="26" s="1"/>
  <c r="H6268" i="26"/>
  <c r="I6756" i="26"/>
  <c r="E6756" i="26" s="1"/>
  <c r="I3237" i="26"/>
  <c r="E3237" i="26" s="1"/>
  <c r="I6472" i="26"/>
  <c r="E6472" i="26" s="1"/>
  <c r="I5834" i="26"/>
  <c r="E5834" i="26" s="1"/>
  <c r="I3881" i="26"/>
  <c r="E3881" i="26" s="1"/>
  <c r="I4523" i="26"/>
  <c r="E4523" i="26" s="1"/>
  <c r="I1896" i="26"/>
  <c r="E1896" i="26" s="1"/>
  <c r="I6183" i="26"/>
  <c r="E6183" i="26" s="1"/>
  <c r="I6556" i="26"/>
  <c r="E6556" i="26" s="1"/>
  <c r="I1518" i="26"/>
  <c r="E1518" i="26" s="1"/>
  <c r="I3570" i="26"/>
  <c r="E3570" i="26" s="1"/>
  <c r="I3981" i="26"/>
  <c r="E3981" i="26" s="1"/>
  <c r="I2582" i="26"/>
  <c r="E2582" i="26" s="1"/>
  <c r="I6405" i="26"/>
  <c r="E6405" i="26" s="1"/>
  <c r="I5291" i="26"/>
  <c r="E5291" i="26" s="1"/>
  <c r="I5495" i="26"/>
  <c r="E5495" i="26" s="1"/>
  <c r="H6081" i="26"/>
  <c r="I6725" i="26"/>
  <c r="E6725" i="26" s="1"/>
  <c r="I5208" i="26"/>
  <c r="E5208" i="26" s="1"/>
  <c r="I4279" i="26"/>
  <c r="E4279" i="26" s="1"/>
  <c r="I3796" i="26"/>
  <c r="E3796" i="26" s="1"/>
  <c r="I3745" i="26"/>
  <c r="E3745" i="26" s="1"/>
  <c r="I6684" i="26"/>
  <c r="E6684" i="26" s="1"/>
  <c r="I3082" i="26"/>
  <c r="E3082" i="26" s="1"/>
  <c r="I3120" i="26"/>
  <c r="E3120" i="26" s="1"/>
  <c r="I5888" i="26"/>
  <c r="E5888" i="26" s="1"/>
  <c r="I6348" i="26"/>
  <c r="E6348" i="26" s="1"/>
  <c r="I3839" i="26"/>
  <c r="E3839" i="26" s="1"/>
  <c r="I3835" i="26"/>
  <c r="E3835" i="26" s="1"/>
  <c r="I3664" i="26"/>
  <c r="E3664" i="26" s="1"/>
  <c r="I3218" i="26"/>
  <c r="E3218" i="26" s="1"/>
  <c r="I3250" i="26"/>
  <c r="E3250" i="26" s="1"/>
  <c r="I6580" i="26"/>
  <c r="E6580" i="26" s="1"/>
  <c r="I3770" i="26"/>
  <c r="E3770" i="26" s="1"/>
  <c r="I6003" i="26"/>
  <c r="E6003" i="26" s="1"/>
  <c r="I4778" i="26"/>
  <c r="E4778" i="26" s="1"/>
  <c r="I5749" i="26"/>
  <c r="E5749" i="26" s="1"/>
  <c r="I6285" i="26"/>
  <c r="E6285" i="26" s="1"/>
  <c r="I4849" i="26"/>
  <c r="E4849" i="26" s="1"/>
  <c r="I3578" i="26"/>
  <c r="E3578" i="26" s="1"/>
  <c r="I6374" i="26"/>
  <c r="E6374" i="26" s="1"/>
  <c r="I3764" i="26"/>
  <c r="E3764" i="26" s="1"/>
  <c r="I2494" i="26"/>
  <c r="E2494" i="26" s="1"/>
  <c r="I4069" i="26"/>
  <c r="E4069" i="26" s="1"/>
  <c r="I5801" i="26"/>
  <c r="E5801" i="26" s="1"/>
  <c r="I6533" i="26"/>
  <c r="E6533" i="26" s="1"/>
  <c r="I2970" i="26"/>
  <c r="E2970" i="26" s="1"/>
  <c r="I6489" i="26"/>
  <c r="E6489" i="26" s="1"/>
  <c r="I3123" i="26"/>
  <c r="E3123" i="26" s="1"/>
  <c r="I6695" i="26"/>
  <c r="E6695" i="26" s="1"/>
  <c r="I6685" i="26"/>
  <c r="E6685" i="26" s="1"/>
  <c r="I6750" i="26"/>
  <c r="E6750" i="26" s="1"/>
  <c r="I2620" i="26"/>
  <c r="E2620" i="26" s="1"/>
  <c r="I5213" i="26"/>
  <c r="E5213" i="26" s="1"/>
  <c r="I6080" i="26"/>
  <c r="E6080" i="26" s="1"/>
  <c r="I4493" i="26"/>
  <c r="E4493" i="26" s="1"/>
  <c r="I6493" i="26"/>
  <c r="E6493" i="26" s="1"/>
  <c r="I75" i="26"/>
  <c r="E75" i="26" s="1"/>
  <c r="I2664" i="26"/>
  <c r="E2664" i="26" s="1"/>
  <c r="I2891" i="26"/>
  <c r="E2891" i="26" s="1"/>
  <c r="I4976" i="26"/>
  <c r="E4976" i="26" s="1"/>
  <c r="I5459" i="26"/>
  <c r="E5459" i="26" s="1"/>
  <c r="I4100" i="26"/>
  <c r="E4100" i="26" s="1"/>
  <c r="I4697" i="26"/>
  <c r="E4697" i="26" s="1"/>
  <c r="H162" i="26"/>
  <c r="I2470" i="26"/>
  <c r="E2470" i="26" s="1"/>
  <c r="I1527" i="26"/>
  <c r="E1527" i="26" s="1"/>
  <c r="I5089" i="26"/>
  <c r="E5089" i="26" s="1"/>
  <c r="I6196" i="26"/>
  <c r="E6196" i="26" s="1"/>
  <c r="H1501" i="26"/>
  <c r="I3684" i="26"/>
  <c r="E3684" i="26" s="1"/>
  <c r="I4038" i="26"/>
  <c r="E4038" i="26" s="1"/>
  <c r="H3559" i="26"/>
  <c r="I6093" i="26"/>
  <c r="E6093" i="26" s="1"/>
  <c r="I1509" i="26"/>
  <c r="E1509" i="26" s="1"/>
  <c r="I4044" i="26"/>
  <c r="E4044" i="26" s="1"/>
  <c r="I6328" i="26"/>
  <c r="E6328" i="26" s="1"/>
  <c r="I2735" i="26"/>
  <c r="E2735" i="26" s="1"/>
  <c r="I4549" i="26"/>
  <c r="E4549" i="26" s="1"/>
  <c r="I5382" i="26"/>
  <c r="E5382" i="26" s="1"/>
  <c r="I4866" i="26"/>
  <c r="E4866" i="26" s="1"/>
  <c r="I5997" i="26"/>
  <c r="E5997" i="26" s="1"/>
  <c r="I3194" i="26"/>
  <c r="E3194" i="26" s="1"/>
  <c r="I4017" i="26"/>
  <c r="E4017" i="26" s="1"/>
  <c r="I4486" i="26"/>
  <c r="E4486" i="26" s="1"/>
  <c r="I5258" i="26"/>
  <c r="E5258" i="26" s="1"/>
  <c r="I2412" i="26"/>
  <c r="E2412" i="26" s="1"/>
  <c r="I1700" i="26"/>
  <c r="E1700" i="26" s="1"/>
  <c r="H5972" i="26"/>
  <c r="H173" i="26"/>
  <c r="I5350" i="26"/>
  <c r="E5350" i="26" s="1"/>
  <c r="I2419" i="26"/>
  <c r="E2419" i="26" s="1"/>
  <c r="I2531" i="26"/>
  <c r="E2531" i="26" s="1"/>
  <c r="I5687" i="26"/>
  <c r="E5687" i="26" s="1"/>
  <c r="I4895" i="26"/>
  <c r="E4895" i="26" s="1"/>
  <c r="I4481" i="26"/>
  <c r="E4481" i="26" s="1"/>
  <c r="I4517" i="26"/>
  <c r="E4517" i="26" s="1"/>
  <c r="I5805" i="26"/>
  <c r="E5805" i="26" s="1"/>
  <c r="I6410" i="26"/>
  <c r="E6410" i="26" s="1"/>
  <c r="I6404" i="26"/>
  <c r="E6404" i="26" s="1"/>
  <c r="I3823" i="26"/>
  <c r="E3823" i="26" s="1"/>
  <c r="I6587" i="26"/>
  <c r="E6587" i="26" s="1"/>
  <c r="I4423" i="26"/>
  <c r="E4423" i="26" s="1"/>
  <c r="I5004" i="26"/>
  <c r="E5004" i="26" s="1"/>
  <c r="I5279" i="26"/>
  <c r="E5279" i="26" s="1"/>
  <c r="I4990" i="26"/>
  <c r="E4990" i="26" s="1"/>
  <c r="H91" i="26"/>
  <c r="I5436" i="26"/>
  <c r="E5436" i="26" s="1"/>
  <c r="I3532" i="26"/>
  <c r="E3532" i="26" s="1"/>
  <c r="I2451" i="26"/>
  <c r="E2451" i="26" s="1"/>
  <c r="I5352" i="26"/>
  <c r="E5352" i="26" s="1"/>
  <c r="I4879" i="26"/>
  <c r="E4879" i="26" s="1"/>
  <c r="I3328" i="26"/>
  <c r="E3328" i="26" s="1"/>
  <c r="I2808" i="26"/>
  <c r="E2808" i="26" s="1"/>
  <c r="H5840" i="26"/>
  <c r="I4508" i="26"/>
  <c r="E4508" i="26" s="1"/>
  <c r="I4141" i="26"/>
  <c r="E4141" i="26" s="1"/>
  <c r="I3898" i="26"/>
  <c r="E3898" i="26" s="1"/>
  <c r="I5102" i="26"/>
  <c r="E5102" i="26" s="1"/>
  <c r="I5746" i="26"/>
  <c r="E5746" i="26" s="1"/>
  <c r="I3716" i="26"/>
  <c r="E3716" i="26" s="1"/>
  <c r="I3481" i="26"/>
  <c r="E3481" i="26" s="1"/>
  <c r="H3954" i="26"/>
  <c r="I134" i="26"/>
  <c r="E134" i="26" s="1"/>
  <c r="I5222" i="26"/>
  <c r="E5222" i="26" s="1"/>
  <c r="I5843" i="26"/>
  <c r="E5843" i="26" s="1"/>
  <c r="I3492" i="26"/>
  <c r="E3492" i="26" s="1"/>
  <c r="I5645" i="26"/>
  <c r="E5645" i="26" s="1"/>
  <c r="I3390" i="26"/>
  <c r="E3390" i="26" s="1"/>
  <c r="I6178" i="26"/>
  <c r="E6178" i="26" s="1"/>
  <c r="I6115" i="26"/>
  <c r="E6115" i="26" s="1"/>
  <c r="I4476" i="26"/>
  <c r="E4476" i="26" s="1"/>
  <c r="H1514" i="26"/>
  <c r="I5661" i="26"/>
  <c r="E5661" i="26" s="1"/>
  <c r="I4926" i="26"/>
  <c r="E4926" i="26" s="1"/>
  <c r="H5645" i="26"/>
  <c r="H3744" i="26"/>
  <c r="H3148" i="26"/>
  <c r="H3322" i="26"/>
  <c r="I3941" i="26"/>
  <c r="E3941" i="26" s="1"/>
  <c r="H5283" i="26"/>
  <c r="I3805" i="26"/>
  <c r="E3805" i="26" s="1"/>
  <c r="H2608" i="26"/>
  <c r="H5066" i="26"/>
  <c r="H5946" i="26"/>
  <c r="H3533" i="26"/>
  <c r="I6406" i="26"/>
  <c r="E6406" i="26" s="1"/>
  <c r="I2958" i="26"/>
  <c r="E2958" i="26" s="1"/>
  <c r="H1903" i="26"/>
  <c r="I5005" i="26"/>
  <c r="E5005" i="26" s="1"/>
  <c r="I5193" i="26"/>
  <c r="E5193" i="26" s="1"/>
  <c r="H5162" i="26"/>
  <c r="H5627" i="26"/>
  <c r="H3350" i="26"/>
  <c r="H5471" i="26"/>
  <c r="H3711" i="26"/>
  <c r="H5433" i="26"/>
  <c r="I6730" i="26"/>
  <c r="E6730" i="26" s="1"/>
  <c r="H4316" i="26"/>
  <c r="I2953" i="26"/>
  <c r="E2953" i="26" s="1"/>
  <c r="H6237" i="26"/>
  <c r="H5521" i="26"/>
  <c r="H5363" i="26"/>
  <c r="I5120" i="26"/>
  <c r="E5120" i="26" s="1"/>
  <c r="H3710" i="26"/>
  <c r="H4258" i="26"/>
  <c r="H5439" i="26"/>
  <c r="H4983" i="26"/>
  <c r="I3525" i="26"/>
  <c r="E3525" i="26" s="1"/>
  <c r="H2367" i="26"/>
  <c r="H4653" i="26"/>
  <c r="I6001" i="26"/>
  <c r="E6001" i="26" s="1"/>
  <c r="H4810" i="26"/>
  <c r="I4394" i="26"/>
  <c r="E4394" i="26" s="1"/>
  <c r="H4753" i="26"/>
  <c r="H6188" i="26"/>
  <c r="H5649" i="26"/>
  <c r="I4500" i="26"/>
  <c r="E4500" i="26" s="1"/>
  <c r="I3490" i="26"/>
  <c r="E3490" i="26" s="1"/>
  <c r="I3248" i="26"/>
  <c r="E3248" i="26" s="1"/>
  <c r="I6670" i="26"/>
  <c r="E6670" i="26" s="1"/>
  <c r="H5311" i="26"/>
  <c r="H3908" i="26"/>
  <c r="I2746" i="26"/>
  <c r="E2746" i="26" s="1"/>
  <c r="I5639" i="26"/>
  <c r="E5639" i="26" s="1"/>
  <c r="H4902" i="26"/>
  <c r="H6396" i="26"/>
  <c r="H3841" i="26"/>
  <c r="I6142" i="26"/>
  <c r="E6142" i="26" s="1"/>
  <c r="I6446" i="26"/>
  <c r="E6446" i="26" s="1"/>
  <c r="I5447" i="26"/>
  <c r="E5447" i="26" s="1"/>
  <c r="I3291" i="26"/>
  <c r="E3291" i="26" s="1"/>
  <c r="H6015" i="26"/>
  <c r="H5585" i="26"/>
  <c r="H2871" i="26"/>
  <c r="H4580" i="26"/>
  <c r="I5590" i="26"/>
  <c r="E5590" i="26" s="1"/>
  <c r="I5994" i="26"/>
  <c r="E5994" i="26" s="1"/>
  <c r="I4399" i="26"/>
  <c r="E4399" i="26" s="1"/>
  <c r="H4620" i="26"/>
  <c r="H4214" i="26"/>
  <c r="I4991" i="26"/>
  <c r="E4991" i="26" s="1"/>
  <c r="H2964" i="26"/>
  <c r="H3244" i="26"/>
  <c r="I3052" i="26"/>
  <c r="E3052" i="26" s="1"/>
  <c r="I5105" i="26"/>
  <c r="E5105" i="26" s="1"/>
  <c r="H6783" i="26"/>
  <c r="H4246" i="26"/>
  <c r="H3451" i="26"/>
  <c r="I3717" i="26"/>
  <c r="E3717" i="26" s="1"/>
  <c r="I4670" i="26"/>
  <c r="E4670" i="26" s="1"/>
  <c r="H4791" i="26"/>
  <c r="H5501" i="26"/>
  <c r="H5877" i="26"/>
  <c r="I6257" i="26"/>
  <c r="E6257" i="26" s="1"/>
  <c r="H2562" i="26"/>
  <c r="H5406" i="26"/>
  <c r="H3227" i="26"/>
  <c r="I6714" i="26"/>
  <c r="E6714" i="26" s="1"/>
  <c r="H3255" i="26"/>
  <c r="H2504" i="26"/>
  <c r="I6648" i="26"/>
  <c r="E6648" i="26" s="1"/>
  <c r="H4606" i="26"/>
  <c r="H2516" i="26"/>
  <c r="I6188" i="26"/>
  <c r="E6188" i="26" s="1"/>
  <c r="H5993" i="26"/>
  <c r="H3269" i="26"/>
  <c r="H4093" i="26"/>
  <c r="I4948" i="26"/>
  <c r="E4948" i="26" s="1"/>
  <c r="H3198" i="26"/>
  <c r="H6451" i="26"/>
  <c r="I4592" i="26"/>
  <c r="E4592" i="26" s="1"/>
  <c r="I3061" i="26"/>
  <c r="E3061" i="26" s="1"/>
  <c r="H5369" i="26"/>
  <c r="H6556" i="26"/>
  <c r="H2800" i="26"/>
  <c r="H5378" i="26"/>
  <c r="H6705" i="26"/>
  <c r="H5266" i="26"/>
  <c r="H2443" i="26"/>
  <c r="I4997" i="26"/>
  <c r="E4997" i="26" s="1"/>
  <c r="I5099" i="26"/>
  <c r="E5099" i="26" s="1"/>
  <c r="I1616" i="26"/>
  <c r="E1616" i="26" s="1"/>
  <c r="H1994" i="26"/>
  <c r="H1593" i="26"/>
  <c r="I561" i="26"/>
  <c r="E561" i="26" s="1"/>
  <c r="I602" i="26"/>
  <c r="E602" i="26" s="1"/>
  <c r="H175" i="26"/>
  <c r="I137" i="26"/>
  <c r="E137" i="26" s="1"/>
  <c r="I67" i="26"/>
  <c r="E67" i="26" s="1"/>
  <c r="I6200" i="26"/>
  <c r="E6200" i="26" s="1"/>
  <c r="I3743" i="26"/>
  <c r="E3743" i="26" s="1"/>
  <c r="I3917" i="26"/>
  <c r="E3917" i="26" s="1"/>
  <c r="I3557" i="26"/>
  <c r="E3557" i="26" s="1"/>
  <c r="I4625" i="26"/>
  <c r="E4625" i="26" s="1"/>
  <c r="I4060" i="26"/>
  <c r="E4060" i="26" s="1"/>
  <c r="I2785" i="26"/>
  <c r="E2785" i="26" s="1"/>
  <c r="H4300" i="26"/>
  <c r="H136" i="26"/>
  <c r="I2921" i="26"/>
  <c r="E2921" i="26" s="1"/>
  <c r="I4422" i="26"/>
  <c r="E4422" i="26" s="1"/>
  <c r="I4840" i="26"/>
  <c r="E4840" i="26" s="1"/>
  <c r="I2934" i="26"/>
  <c r="E2934" i="26" s="1"/>
  <c r="I2798" i="26"/>
  <c r="E2798" i="26" s="1"/>
  <c r="I5239" i="26"/>
  <c r="E5239" i="26" s="1"/>
  <c r="I3676" i="26"/>
  <c r="E3676" i="26" s="1"/>
  <c r="I2556" i="26"/>
  <c r="E2556" i="26" s="1"/>
  <c r="I3765" i="26"/>
  <c r="E3765" i="26" s="1"/>
  <c r="I4215" i="26"/>
  <c r="E4215" i="26" s="1"/>
  <c r="I4360" i="26"/>
  <c r="E4360" i="26" s="1"/>
  <c r="I4686" i="26"/>
  <c r="E4686" i="26" s="1"/>
  <c r="I5679" i="26"/>
  <c r="E5679" i="26" s="1"/>
  <c r="I3825" i="26"/>
  <c r="E3825" i="26" s="1"/>
  <c r="I3990" i="26"/>
  <c r="E3990" i="26" s="1"/>
  <c r="H3581" i="26"/>
  <c r="H117" i="26"/>
  <c r="I6545" i="26"/>
  <c r="E6545" i="26" s="1"/>
  <c r="I6048" i="26"/>
  <c r="E6048" i="26" s="1"/>
  <c r="I5541" i="26"/>
  <c r="E5541" i="26" s="1"/>
  <c r="I2655" i="26"/>
  <c r="E2655" i="26" s="1"/>
  <c r="I3533" i="26"/>
  <c r="E3533" i="26" s="1"/>
  <c r="I6426" i="26"/>
  <c r="E6426" i="26" s="1"/>
  <c r="I4513" i="26"/>
  <c r="E4513" i="26" s="1"/>
  <c r="I1880" i="26"/>
  <c r="E1880" i="26" s="1"/>
  <c r="I4809" i="26"/>
  <c r="E4809" i="26" s="1"/>
  <c r="I4091" i="26"/>
  <c r="E4091" i="26" s="1"/>
  <c r="I1895" i="26"/>
  <c r="E1895" i="26" s="1"/>
  <c r="I4222" i="26"/>
  <c r="E4222" i="26" s="1"/>
  <c r="I4342" i="26"/>
  <c r="E4342" i="26" s="1"/>
  <c r="I3066" i="26"/>
  <c r="E3066" i="26" s="1"/>
  <c r="I6286" i="26"/>
  <c r="E6286" i="26" s="1"/>
  <c r="I3787" i="26"/>
  <c r="E3787" i="26" s="1"/>
  <c r="I3168" i="26"/>
  <c r="E3168" i="26" s="1"/>
  <c r="I2507" i="26"/>
  <c r="E2507" i="26" s="1"/>
  <c r="I6284" i="26"/>
  <c r="E6284" i="26" s="1"/>
  <c r="I5346" i="26"/>
  <c r="E5346" i="26" s="1"/>
  <c r="I6607" i="26"/>
  <c r="E6607" i="26" s="1"/>
  <c r="I5483" i="26"/>
  <c r="E5483" i="26" s="1"/>
  <c r="I2388" i="26"/>
  <c r="E2388" i="26" s="1"/>
  <c r="I4482" i="26"/>
  <c r="E4482" i="26" s="1"/>
  <c r="I2546" i="26"/>
  <c r="E2546" i="26" s="1"/>
  <c r="I2751" i="26"/>
  <c r="E2751" i="26" s="1"/>
  <c r="I3298" i="26"/>
  <c r="E3298" i="26" s="1"/>
  <c r="I4839" i="26"/>
  <c r="E4839" i="26" s="1"/>
  <c r="I5738" i="26"/>
  <c r="E5738" i="26" s="1"/>
  <c r="I4447" i="26"/>
  <c r="E4447" i="26" s="1"/>
  <c r="I5353" i="26"/>
  <c r="E5353" i="26" s="1"/>
  <c r="I3161" i="26"/>
  <c r="E3161" i="26" s="1"/>
  <c r="H1070" i="26"/>
  <c r="I5514" i="26"/>
  <c r="E5514" i="26" s="1"/>
  <c r="I3252" i="26"/>
  <c r="E3252" i="26" s="1"/>
  <c r="I5109" i="26"/>
  <c r="E5109" i="26" s="1"/>
  <c r="I5194" i="26"/>
  <c r="E5194" i="26" s="1"/>
  <c r="I4944" i="26"/>
  <c r="E4944" i="26" s="1"/>
  <c r="I4754" i="26"/>
  <c r="E4754" i="26" s="1"/>
  <c r="I6675" i="26"/>
  <c r="E6675" i="26" s="1"/>
  <c r="I4097" i="26"/>
  <c r="E4097" i="26" s="1"/>
  <c r="I3421" i="26"/>
  <c r="E3421" i="26" s="1"/>
  <c r="I5566" i="26"/>
  <c r="E5566" i="26" s="1"/>
  <c r="I4628" i="26"/>
  <c r="E4628" i="26" s="1"/>
  <c r="I3321" i="26"/>
  <c r="E3321" i="26" s="1"/>
  <c r="I5802" i="26"/>
  <c r="E5802" i="26" s="1"/>
  <c r="I4302" i="26"/>
  <c r="E4302" i="26" s="1"/>
  <c r="I2741" i="26"/>
  <c r="E2741" i="26" s="1"/>
  <c r="I131" i="26"/>
  <c r="E131" i="26" s="1"/>
  <c r="I4407" i="26"/>
  <c r="E4407" i="26" s="1"/>
  <c r="I3523" i="26"/>
  <c r="E3523" i="26" s="1"/>
  <c r="I5497" i="26"/>
  <c r="E5497" i="26" s="1"/>
  <c r="I4966" i="26"/>
  <c r="E4966" i="26" s="1"/>
  <c r="I4353" i="26"/>
  <c r="E4353" i="26" s="1"/>
  <c r="I3916" i="26"/>
  <c r="E3916" i="26" s="1"/>
  <c r="I2738" i="26"/>
  <c r="E2738" i="26" s="1"/>
  <c r="I6527" i="26"/>
  <c r="E6527" i="26" s="1"/>
  <c r="I2857" i="26"/>
  <c r="E2857" i="26" s="1"/>
  <c r="I5482" i="26"/>
  <c r="E5482" i="26" s="1"/>
  <c r="I6691" i="26"/>
  <c r="E6691" i="26" s="1"/>
  <c r="I5923" i="26"/>
  <c r="E5923" i="26" s="1"/>
  <c r="I6772" i="26"/>
  <c r="E6772" i="26" s="1"/>
  <c r="I5722" i="26"/>
  <c r="E5722" i="26" s="1"/>
  <c r="I4084" i="26"/>
  <c r="E4084" i="26" s="1"/>
  <c r="I5503" i="26"/>
  <c r="E5503" i="26" s="1"/>
  <c r="I6728" i="26"/>
  <c r="E6728" i="26" s="1"/>
  <c r="I2678" i="26"/>
  <c r="E2678" i="26" s="1"/>
  <c r="I3146" i="26"/>
  <c r="E3146" i="26" s="1"/>
  <c r="I4442" i="26"/>
  <c r="E4442" i="26" s="1"/>
  <c r="I6372" i="26"/>
  <c r="E6372" i="26" s="1"/>
  <c r="I2414" i="26"/>
  <c r="E2414" i="26" s="1"/>
  <c r="I4368" i="26"/>
  <c r="E4368" i="26" s="1"/>
  <c r="I2601" i="26"/>
  <c r="E2601" i="26" s="1"/>
  <c r="I2389" i="26"/>
  <c r="E2389" i="26" s="1"/>
  <c r="I4679" i="26"/>
  <c r="E4679" i="26" s="1"/>
  <c r="I2890" i="26"/>
  <c r="E2890" i="26" s="1"/>
  <c r="I2268" i="26"/>
  <c r="E2268" i="26" s="1"/>
  <c r="I4837" i="26"/>
  <c r="E4837" i="26" s="1"/>
  <c r="I3310" i="26"/>
  <c r="E3310" i="26" s="1"/>
  <c r="H3810" i="26"/>
  <c r="I173" i="26"/>
  <c r="E173" i="26" s="1"/>
  <c r="I3379" i="26"/>
  <c r="E3379" i="26" s="1"/>
  <c r="I6366" i="26"/>
  <c r="E6366" i="26" s="1"/>
  <c r="I2940" i="26"/>
  <c r="E2940" i="26" s="1"/>
  <c r="I2379" i="26"/>
  <c r="E2379" i="26" s="1"/>
  <c r="I4081" i="26"/>
  <c r="E4081" i="26" s="1"/>
  <c r="I2772" i="26"/>
  <c r="E2772" i="26" s="1"/>
  <c r="I4641" i="26"/>
  <c r="E4641" i="26" s="1"/>
  <c r="H5854" i="26"/>
  <c r="I4253" i="26"/>
  <c r="E4253" i="26" s="1"/>
  <c r="I2486" i="26"/>
  <c r="E2486" i="26" s="1"/>
  <c r="I2950" i="26"/>
  <c r="E2950" i="26" s="1"/>
  <c r="H1055" i="26"/>
  <c r="I4876" i="26"/>
  <c r="E4876" i="26" s="1"/>
  <c r="I6049" i="26"/>
  <c r="E6049" i="26" s="1"/>
  <c r="I2864" i="26"/>
  <c r="E2864" i="26" s="1"/>
  <c r="H3029" i="26"/>
  <c r="H59" i="26"/>
  <c r="I3484" i="26"/>
  <c r="E3484" i="26" s="1"/>
  <c r="I5070" i="26"/>
  <c r="E5070" i="26" s="1"/>
  <c r="I4345" i="26"/>
  <c r="E4345" i="26" s="1"/>
  <c r="I2943" i="26"/>
  <c r="E2943" i="26" s="1"/>
  <c r="I1508" i="26"/>
  <c r="E1508" i="26" s="1"/>
  <c r="I6299" i="26"/>
  <c r="E6299" i="26" s="1"/>
  <c r="I6701" i="26"/>
  <c r="E6701" i="26" s="1"/>
  <c r="I4415" i="26"/>
  <c r="E4415" i="26" s="1"/>
  <c r="I6013" i="26"/>
  <c r="E6013" i="26" s="1"/>
  <c r="I5057" i="26"/>
  <c r="E5057" i="26" s="1"/>
  <c r="I5622" i="26"/>
  <c r="E5622" i="26" s="1"/>
  <c r="I2550" i="26"/>
  <c r="E2550" i="26" s="1"/>
  <c r="I6006" i="26"/>
  <c r="E6006" i="26" s="1"/>
  <c r="I6232" i="26"/>
  <c r="E6232" i="26" s="1"/>
  <c r="I2923" i="26"/>
  <c r="E2923" i="26" s="1"/>
  <c r="I5996" i="26"/>
  <c r="E5996" i="26" s="1"/>
  <c r="I4472" i="26"/>
  <c r="E4472" i="26" s="1"/>
  <c r="I3391" i="26"/>
  <c r="E3391" i="26" s="1"/>
  <c r="I4548" i="26"/>
  <c r="E4548" i="26" s="1"/>
  <c r="I2289" i="26"/>
  <c r="E2289" i="26" s="1"/>
  <c r="I4862" i="26"/>
  <c r="E4862" i="26" s="1"/>
  <c r="I3129" i="26"/>
  <c r="E3129" i="26" s="1"/>
  <c r="I2787" i="26"/>
  <c r="E2787" i="26" s="1"/>
  <c r="I4934" i="26"/>
  <c r="E4934" i="26" s="1"/>
  <c r="H4985" i="26"/>
  <c r="H3196" i="26"/>
  <c r="I2717" i="26"/>
  <c r="E2717" i="26" s="1"/>
  <c r="H2953" i="26"/>
  <c r="H2603" i="26"/>
  <c r="H2630" i="26"/>
  <c r="H5750" i="26"/>
  <c r="H4492" i="26"/>
  <c r="I4103" i="26"/>
  <c r="E4103" i="26" s="1"/>
  <c r="I3814" i="26"/>
  <c r="E3814" i="26" s="1"/>
  <c r="H5911" i="26"/>
  <c r="I5272" i="26"/>
  <c r="E5272" i="26" s="1"/>
  <c r="H3302" i="26"/>
  <c r="H6207" i="26"/>
  <c r="H6750" i="26"/>
  <c r="H4243" i="26"/>
  <c r="I3928" i="26"/>
  <c r="E3928" i="26" s="1"/>
  <c r="I5139" i="26"/>
  <c r="E5139" i="26" s="1"/>
  <c r="H6526" i="26"/>
  <c r="H3281" i="26"/>
  <c r="H4352" i="26"/>
  <c r="H5890" i="26"/>
  <c r="H3067" i="26"/>
  <c r="H4497" i="26"/>
  <c r="H6062" i="26"/>
  <c r="H5586" i="26"/>
  <c r="I2779" i="26"/>
  <c r="E2779" i="26" s="1"/>
  <c r="H4747" i="26"/>
  <c r="H4535" i="26"/>
  <c r="I5711" i="26"/>
  <c r="E5711" i="26" s="1"/>
  <c r="H4874" i="26"/>
  <c r="I6326" i="26"/>
  <c r="E6326" i="26" s="1"/>
  <c r="I2885" i="26"/>
  <c r="E2885" i="26" s="1"/>
  <c r="I5516" i="26"/>
  <c r="E5516" i="26" s="1"/>
  <c r="H1051" i="26"/>
  <c r="I5655" i="26"/>
  <c r="E5655" i="26" s="1"/>
  <c r="H3381" i="26"/>
  <c r="H4623" i="26"/>
  <c r="H4024" i="26"/>
  <c r="H3330" i="26"/>
  <c r="I3952" i="26"/>
  <c r="E3952" i="26" s="1"/>
  <c r="I4831" i="26"/>
  <c r="E4831" i="26" s="1"/>
  <c r="I4773" i="26"/>
  <c r="E4773" i="26" s="1"/>
  <c r="I4034" i="26"/>
  <c r="E4034" i="26" s="1"/>
  <c r="H6648" i="26"/>
  <c r="H2772" i="26"/>
  <c r="I3480" i="26"/>
  <c r="E3480" i="26" s="1"/>
  <c r="H5038" i="26"/>
  <c r="I5144" i="26"/>
  <c r="E5144" i="26" s="1"/>
  <c r="H2509" i="26"/>
  <c r="H3733" i="26"/>
  <c r="H5046" i="26"/>
  <c r="I6496" i="26"/>
  <c r="E6496" i="26" s="1"/>
  <c r="I5960" i="26"/>
  <c r="E5960" i="26" s="1"/>
  <c r="I3713" i="26"/>
  <c r="E3713" i="26" s="1"/>
  <c r="I4132" i="26"/>
  <c r="E4132" i="26" s="1"/>
  <c r="H2745" i="26"/>
  <c r="H6367" i="26"/>
  <c r="I1499" i="26"/>
  <c r="E1499" i="26" s="1"/>
  <c r="H3346" i="26"/>
  <c r="H2349" i="26"/>
  <c r="I3656" i="26"/>
  <c r="E3656" i="26" s="1"/>
  <c r="H4104" i="26"/>
  <c r="H4572" i="26"/>
  <c r="H6176" i="26"/>
  <c r="I2597" i="26"/>
  <c r="E2597" i="26" s="1"/>
  <c r="I5967" i="26"/>
  <c r="E5967" i="26" s="1"/>
  <c r="I1516" i="26"/>
  <c r="E1516" i="26" s="1"/>
  <c r="H1899" i="26"/>
  <c r="I2425" i="26"/>
  <c r="E2425" i="26" s="1"/>
  <c r="H5959" i="26"/>
  <c r="I4731" i="26"/>
  <c r="E4731" i="26" s="1"/>
  <c r="H5968" i="26"/>
  <c r="I2296" i="26"/>
  <c r="E2296" i="26" s="1"/>
  <c r="H6282" i="26"/>
  <c r="H6650" i="26"/>
  <c r="H6222" i="26"/>
  <c r="H6633" i="26"/>
  <c r="I4040" i="26"/>
  <c r="E4040" i="26" s="1"/>
  <c r="I3958" i="26"/>
  <c r="E3958" i="26" s="1"/>
  <c r="H2580" i="26"/>
  <c r="H3936" i="26"/>
  <c r="H3179" i="26"/>
  <c r="I2966" i="26"/>
  <c r="E2966" i="26" s="1"/>
  <c r="I3114" i="26"/>
  <c r="E3114" i="26" s="1"/>
  <c r="H5609" i="26"/>
  <c r="I2927" i="26"/>
  <c r="E2927" i="26" s="1"/>
  <c r="H2928" i="26"/>
  <c r="H6675" i="26"/>
  <c r="H5693" i="26"/>
  <c r="H2506" i="26"/>
  <c r="I5187" i="26"/>
  <c r="E5187" i="26" s="1"/>
  <c r="I3504" i="26"/>
  <c r="E3504" i="26" s="1"/>
  <c r="I5425" i="26"/>
  <c r="E5425" i="26" s="1"/>
  <c r="I5419" i="26"/>
  <c r="E5419" i="26" s="1"/>
  <c r="H3164" i="26"/>
  <c r="H5179" i="26"/>
  <c r="H4840" i="26"/>
  <c r="H3890" i="26"/>
  <c r="H6250" i="26"/>
  <c r="I3462" i="26"/>
  <c r="E3462" i="26" s="1"/>
  <c r="I5052" i="26"/>
  <c r="E5052" i="26" s="1"/>
  <c r="I6321" i="26"/>
  <c r="E6321" i="26" s="1"/>
  <c r="I2673" i="26"/>
  <c r="E2673" i="26" s="1"/>
  <c r="H4998" i="26"/>
  <c r="H2874" i="26"/>
  <c r="H5748" i="26"/>
  <c r="H5517" i="26"/>
  <c r="H3002" i="26"/>
  <c r="I5100" i="26"/>
  <c r="E5100" i="26" s="1"/>
  <c r="I2580" i="26"/>
  <c r="E2580" i="26" s="1"/>
  <c r="H525" i="26"/>
  <c r="I543" i="26"/>
  <c r="E543" i="26" s="1"/>
  <c r="H5067" i="26"/>
  <c r="H1443" i="26"/>
  <c r="I2215" i="26"/>
  <c r="E2215" i="26" s="1"/>
  <c r="I45" i="26"/>
  <c r="E45" i="26" s="1"/>
  <c r="I71" i="26"/>
  <c r="E71" i="26" s="1"/>
  <c r="I153" i="26"/>
  <c r="E153" i="26" s="1"/>
  <c r="I5972" i="26"/>
  <c r="E5972" i="26" s="1"/>
  <c r="I4310" i="26"/>
  <c r="E4310" i="26" s="1"/>
  <c r="I4349" i="26"/>
  <c r="E4349" i="26" s="1"/>
  <c r="I5578" i="26"/>
  <c r="E5578" i="26" s="1"/>
  <c r="I2473" i="26"/>
  <c r="E2473" i="26" s="1"/>
  <c r="I2815" i="26"/>
  <c r="E2815" i="26" s="1"/>
  <c r="I2282" i="26"/>
  <c r="E2282" i="26" s="1"/>
  <c r="H2832" i="26"/>
  <c r="I5215" i="26"/>
  <c r="E5215" i="26" s="1"/>
  <c r="I6291" i="26"/>
  <c r="E6291" i="26" s="1"/>
  <c r="I5092" i="26"/>
  <c r="E5092" i="26" s="1"/>
  <c r="I2560" i="26"/>
  <c r="E2560" i="26" s="1"/>
  <c r="I2712" i="26"/>
  <c r="E2712" i="26" s="1"/>
  <c r="I2076" i="26"/>
  <c r="E2076" i="26" s="1"/>
  <c r="I3620" i="26"/>
  <c r="E3620" i="26" s="1"/>
  <c r="I2460" i="26"/>
  <c r="E2460" i="26" s="1"/>
  <c r="H6164" i="26"/>
  <c r="I4455" i="26"/>
  <c r="E4455" i="26" s="1"/>
  <c r="I5954" i="26"/>
  <c r="E5954" i="26" s="1"/>
  <c r="I5224" i="26"/>
  <c r="E5224" i="26" s="1"/>
  <c r="I5942" i="26"/>
  <c r="E5942" i="26" s="1"/>
  <c r="I4854" i="26"/>
  <c r="E4854" i="26" s="1"/>
  <c r="I3148" i="26"/>
  <c r="E3148" i="26" s="1"/>
  <c r="I5087" i="26"/>
  <c r="E5087" i="26" s="1"/>
  <c r="I6332" i="26"/>
  <c r="E6332" i="26" s="1"/>
  <c r="H159" i="26"/>
  <c r="I3832" i="26"/>
  <c r="E3832" i="26" s="1"/>
  <c r="I3029" i="26"/>
  <c r="E3029" i="26" s="1"/>
  <c r="I2532" i="26"/>
  <c r="E2532" i="26" s="1"/>
  <c r="I2973" i="26"/>
  <c r="E2973" i="26" s="1"/>
  <c r="I4449" i="26"/>
  <c r="E4449" i="26" s="1"/>
  <c r="I4366" i="26"/>
  <c r="E4366" i="26" s="1"/>
  <c r="I6683" i="26"/>
  <c r="E6683" i="26" s="1"/>
  <c r="H6415" i="26"/>
  <c r="I3827" i="26"/>
  <c r="E3827" i="26" s="1"/>
  <c r="I4538" i="26"/>
  <c r="E4538" i="26" s="1"/>
  <c r="I3488" i="26"/>
  <c r="E3488" i="26" s="1"/>
  <c r="I3861" i="26"/>
  <c r="E3861" i="26" s="1"/>
  <c r="I4298" i="26"/>
  <c r="E4298" i="26" s="1"/>
  <c r="I3202" i="26"/>
  <c r="E3202" i="26" s="1"/>
  <c r="I3731" i="26"/>
  <c r="E3731" i="26" s="1"/>
  <c r="I3316" i="26"/>
  <c r="E3316" i="26" s="1"/>
  <c r="I5835" i="26"/>
  <c r="E5835" i="26" s="1"/>
  <c r="I5564" i="26"/>
  <c r="E5564" i="26" s="1"/>
  <c r="I5223" i="26"/>
  <c r="E5223" i="26" s="1"/>
  <c r="I6618" i="26"/>
  <c r="E6618" i="26" s="1"/>
  <c r="I2280" i="26"/>
  <c r="E2280" i="26" s="1"/>
  <c r="I2438" i="26"/>
  <c r="E2438" i="26" s="1"/>
  <c r="I4743" i="26"/>
  <c r="E4743" i="26" s="1"/>
  <c r="I5130" i="26"/>
  <c r="E5130" i="26" s="1"/>
  <c r="I2074" i="26"/>
  <c r="E2074" i="26" s="1"/>
  <c r="I5113" i="26"/>
  <c r="E5113" i="26" s="1"/>
  <c r="H1904" i="26"/>
  <c r="I5667" i="26"/>
  <c r="E5667" i="26" s="1"/>
  <c r="I2771" i="26"/>
  <c r="E2771" i="26" s="1"/>
  <c r="I2804" i="26"/>
  <c r="E2804" i="26" s="1"/>
  <c r="I4982" i="26"/>
  <c r="E4982" i="26" s="1"/>
  <c r="I1526" i="26"/>
  <c r="E1526" i="26" s="1"/>
  <c r="I5303" i="26"/>
  <c r="E5303" i="26" s="1"/>
  <c r="I6162" i="26"/>
  <c r="E6162" i="26" s="1"/>
  <c r="I2292" i="26"/>
  <c r="E2292" i="26" s="1"/>
  <c r="I5477" i="26"/>
  <c r="E5477" i="26" s="1"/>
  <c r="I4271" i="26"/>
  <c r="E4271" i="26" s="1"/>
  <c r="I3551" i="26"/>
  <c r="E3551" i="26" s="1"/>
  <c r="I3817" i="26"/>
  <c r="E3817" i="26" s="1"/>
  <c r="I3727" i="26"/>
  <c r="E3727" i="26" s="1"/>
  <c r="I2641" i="26"/>
  <c r="E2641" i="26" s="1"/>
  <c r="I6773" i="26"/>
  <c r="E6773" i="26" s="1"/>
  <c r="I4632" i="26"/>
  <c r="E4632" i="26" s="1"/>
  <c r="I4637" i="26"/>
  <c r="E4637" i="26" s="1"/>
  <c r="I5247" i="26"/>
  <c r="E5247" i="26" s="1"/>
  <c r="I6256" i="26"/>
  <c r="E6256" i="26" s="1"/>
  <c r="I2796" i="26"/>
  <c r="E2796" i="26" s="1"/>
  <c r="I3185" i="26"/>
  <c r="E3185" i="26" s="1"/>
  <c r="I193" i="26"/>
  <c r="E193" i="26" s="1"/>
  <c r="I4383" i="26"/>
  <c r="E4383" i="26" s="1"/>
  <c r="I2623" i="26"/>
  <c r="E2623" i="26" s="1"/>
  <c r="I4719" i="26"/>
  <c r="E4719" i="26" s="1"/>
  <c r="I6090" i="26"/>
  <c r="E6090" i="26" s="1"/>
  <c r="I3440" i="26"/>
  <c r="E3440" i="26" s="1"/>
  <c r="I5946" i="26"/>
  <c r="E5946" i="26" s="1"/>
  <c r="I5892" i="26"/>
  <c r="E5892" i="26" s="1"/>
  <c r="I5464" i="26"/>
  <c r="E5464" i="26" s="1"/>
  <c r="I4622" i="26"/>
  <c r="E4622" i="26" s="1"/>
  <c r="I4260" i="26"/>
  <c r="E4260" i="26" s="1"/>
  <c r="I6140" i="26"/>
  <c r="E6140" i="26" s="1"/>
  <c r="I3345" i="26"/>
  <c r="E3345" i="26" s="1"/>
  <c r="I3577" i="26"/>
  <c r="E3577" i="26" s="1"/>
  <c r="H2752" i="26"/>
  <c r="I90" i="26"/>
  <c r="E90" i="26" s="1"/>
  <c r="I5093" i="26"/>
  <c r="E5093" i="26" s="1"/>
  <c r="I5905" i="26"/>
  <c r="E5905" i="26" s="1"/>
  <c r="I3311" i="26"/>
  <c r="E3311" i="26" s="1"/>
  <c r="I3338" i="26"/>
  <c r="E3338" i="26" s="1"/>
  <c r="I4828" i="26"/>
  <c r="E4828" i="26" s="1"/>
  <c r="I6148" i="26"/>
  <c r="E6148" i="26" s="1"/>
  <c r="I3628" i="26"/>
  <c r="E3628" i="26" s="1"/>
  <c r="H4006" i="26"/>
  <c r="I5011" i="26"/>
  <c r="E5011" i="26" s="1"/>
  <c r="I3816" i="26"/>
  <c r="E3816" i="26" s="1"/>
  <c r="I5317" i="26"/>
  <c r="E5317" i="26" s="1"/>
  <c r="I5145" i="26"/>
  <c r="E5145" i="26" s="1"/>
  <c r="I3141" i="26"/>
  <c r="E3141" i="26" s="1"/>
  <c r="I6769" i="26"/>
  <c r="E6769" i="26" s="1"/>
  <c r="I2713" i="26"/>
  <c r="E2713" i="26" s="1"/>
  <c r="I2400" i="26"/>
  <c r="E2400" i="26" s="1"/>
  <c r="H43" i="26"/>
  <c r="I4624" i="26"/>
  <c r="E4624" i="26" s="1"/>
  <c r="I2637" i="26"/>
  <c r="E2637" i="26" s="1"/>
  <c r="I3829" i="26"/>
  <c r="E3829" i="26" s="1"/>
  <c r="I4127" i="26"/>
  <c r="E4127" i="26" s="1"/>
  <c r="I2362" i="26"/>
  <c r="E2362" i="26" s="1"/>
  <c r="I6216" i="26"/>
  <c r="E6216" i="26" s="1"/>
  <c r="I5902" i="26"/>
  <c r="E5902" i="26" s="1"/>
  <c r="I4057" i="26"/>
  <c r="E4057" i="26" s="1"/>
  <c r="I5958" i="26"/>
  <c r="E5958" i="26" s="1"/>
  <c r="I3135" i="26"/>
  <c r="E3135" i="26" s="1"/>
  <c r="I3868" i="26"/>
  <c r="E3868" i="26" s="1"/>
  <c r="I3617" i="26"/>
  <c r="E3617" i="26" s="1"/>
  <c r="I2605" i="26"/>
  <c r="E2605" i="26" s="1"/>
  <c r="I3156" i="26"/>
  <c r="E3156" i="26" s="1"/>
  <c r="I5589" i="26"/>
  <c r="E5589" i="26" s="1"/>
  <c r="I5665" i="26"/>
  <c r="E5665" i="26" s="1"/>
  <c r="I1507" i="26"/>
  <c r="E1507" i="26" s="1"/>
  <c r="I4000" i="26"/>
  <c r="E4000" i="26" s="1"/>
  <c r="I3689" i="26"/>
  <c r="E3689" i="26" s="1"/>
  <c r="I4186" i="26"/>
  <c r="E4186" i="26" s="1"/>
  <c r="I6558" i="26"/>
  <c r="E6558" i="26" s="1"/>
  <c r="I3124" i="26"/>
  <c r="E3124" i="26" s="1"/>
  <c r="I4766" i="26"/>
  <c r="E4766" i="26" s="1"/>
  <c r="H4703" i="26"/>
  <c r="I6562" i="26"/>
  <c r="E6562" i="26" s="1"/>
  <c r="I6593" i="26"/>
  <c r="E6593" i="26" s="1"/>
  <c r="I3099" i="26"/>
  <c r="E3099" i="26" s="1"/>
  <c r="I3176" i="26"/>
  <c r="E3176" i="26" s="1"/>
  <c r="I6465" i="26"/>
  <c r="E6465" i="26" s="1"/>
  <c r="I3475" i="26"/>
  <c r="E3475" i="26" s="1"/>
  <c r="I3271" i="26"/>
  <c r="E3271" i="26" s="1"/>
  <c r="I6322" i="26"/>
  <c r="E6322" i="26" s="1"/>
  <c r="I3373" i="26"/>
  <c r="E3373" i="26" s="1"/>
  <c r="I3125" i="26"/>
  <c r="E3125" i="26" s="1"/>
  <c r="I3040" i="26"/>
  <c r="E3040" i="26" s="1"/>
  <c r="I5427" i="26"/>
  <c r="E5427" i="26" s="1"/>
  <c r="I5501" i="26"/>
  <c r="E5501" i="26" s="1"/>
  <c r="I2569" i="26"/>
  <c r="E2569" i="26" s="1"/>
  <c r="I4562" i="26"/>
  <c r="E4562" i="26" s="1"/>
  <c r="I5672" i="26"/>
  <c r="E5672" i="26" s="1"/>
  <c r="I2589" i="26"/>
  <c r="E2589" i="26" s="1"/>
  <c r="I3190" i="26"/>
  <c r="E3190" i="26" s="1"/>
  <c r="I3184" i="26"/>
  <c r="E3184" i="26" s="1"/>
  <c r="H6579" i="26"/>
  <c r="H4208" i="26"/>
  <c r="H6469" i="26"/>
  <c r="H3010" i="26"/>
  <c r="H6039" i="26"/>
  <c r="H4455" i="26"/>
  <c r="I4682" i="26"/>
  <c r="E4682" i="26" s="1"/>
  <c r="H4299" i="26"/>
  <c r="I5542" i="26"/>
  <c r="E5542" i="26" s="1"/>
  <c r="H5863" i="26"/>
  <c r="H3147" i="26"/>
  <c r="H4956" i="26"/>
  <c r="H5537" i="26"/>
  <c r="H4940" i="26"/>
  <c r="I4235" i="26"/>
  <c r="E4235" i="26" s="1"/>
  <c r="I4465" i="26"/>
  <c r="E4465" i="26" s="1"/>
  <c r="I5383" i="26"/>
  <c r="E5383" i="26" s="1"/>
  <c r="H6028" i="26"/>
  <c r="H5374" i="26"/>
  <c r="H4305" i="26"/>
  <c r="H2984" i="26"/>
  <c r="H4196" i="26"/>
  <c r="H3544" i="26"/>
  <c r="H4963" i="26"/>
  <c r="I3351" i="26"/>
  <c r="E3351" i="26" s="1"/>
  <c r="H4686" i="26"/>
  <c r="H5105" i="26"/>
  <c r="H3437" i="26"/>
  <c r="H4819" i="26"/>
  <c r="H4693" i="26"/>
  <c r="H6291" i="26"/>
  <c r="I2985" i="26"/>
  <c r="E2985" i="26" s="1"/>
  <c r="I5517" i="26"/>
  <c r="E5517" i="26" s="1"/>
  <c r="I2882" i="26"/>
  <c r="E2882" i="26" s="1"/>
  <c r="I3293" i="26"/>
  <c r="E3293" i="26" s="1"/>
  <c r="H2550" i="26"/>
  <c r="I3079" i="26"/>
  <c r="E3079" i="26" s="1"/>
  <c r="H3341" i="26"/>
  <c r="I3972" i="26"/>
  <c r="E3972" i="26" s="1"/>
  <c r="I5097" i="26"/>
  <c r="E5097" i="26" s="1"/>
  <c r="H6369" i="26"/>
  <c r="H6462" i="26"/>
  <c r="I6424" i="26"/>
  <c r="E6424" i="26" s="1"/>
  <c r="H2724" i="26"/>
  <c r="I5803" i="26"/>
  <c r="E5803" i="26" s="1"/>
  <c r="I3592" i="26"/>
  <c r="E3592" i="26" s="1"/>
  <c r="H3979" i="26"/>
  <c r="I2256" i="26"/>
  <c r="E2256" i="26" s="1"/>
  <c r="H5035" i="26"/>
  <c r="H2990" i="26"/>
  <c r="I4647" i="26"/>
  <c r="E4647" i="26" s="1"/>
  <c r="H6496" i="26"/>
  <c r="I3388" i="26"/>
  <c r="E3388" i="26" s="1"/>
  <c r="I6092" i="26"/>
  <c r="E6092" i="26" s="1"/>
  <c r="I6212" i="26"/>
  <c r="E6212" i="26" s="1"/>
  <c r="H3578" i="26"/>
  <c r="H3427" i="26"/>
  <c r="I2562" i="26"/>
  <c r="E2562" i="26" s="1"/>
  <c r="H2791" i="26"/>
  <c r="I4710" i="26"/>
  <c r="E4710" i="26" s="1"/>
  <c r="I5104" i="26"/>
  <c r="E5104" i="26" s="1"/>
  <c r="H4147" i="26"/>
  <c r="H6777" i="26"/>
  <c r="I3495" i="26"/>
  <c r="E3495" i="26" s="1"/>
  <c r="I4210" i="26"/>
  <c r="E4210" i="26" s="1"/>
  <c r="I6555" i="26"/>
  <c r="E6555" i="26" s="1"/>
  <c r="I5977" i="26"/>
  <c r="E5977" i="26" s="1"/>
  <c r="H6101" i="26"/>
  <c r="H6325" i="26"/>
  <c r="H6682" i="26"/>
  <c r="H1891" i="26"/>
  <c r="I6201" i="26"/>
  <c r="E6201" i="26" s="1"/>
  <c r="I4930" i="26"/>
  <c r="E4930" i="26" s="1"/>
  <c r="H4341" i="26"/>
  <c r="I4587" i="26"/>
  <c r="E4587" i="26" s="1"/>
  <c r="H2810" i="26"/>
  <c r="H6084" i="26"/>
  <c r="H4887" i="26"/>
  <c r="H2888" i="26"/>
  <c r="H4843" i="26"/>
  <c r="I2575" i="26"/>
  <c r="E2575" i="26" s="1"/>
  <c r="I4094" i="26"/>
  <c r="E4094" i="26" s="1"/>
  <c r="I5757" i="26"/>
  <c r="E5757" i="26" s="1"/>
  <c r="H3194" i="26"/>
  <c r="H6434" i="26"/>
  <c r="H4695" i="26"/>
  <c r="H3654" i="26"/>
  <c r="H3648" i="26"/>
  <c r="I3075" i="26"/>
  <c r="E3075" i="26" s="1"/>
  <c r="I3155" i="26"/>
  <c r="E3155" i="26" s="1"/>
  <c r="H1879" i="26"/>
  <c r="I5823" i="26"/>
  <c r="E5823" i="26" s="1"/>
  <c r="H2971" i="26"/>
  <c r="H2365" i="26"/>
  <c r="H6319" i="26"/>
  <c r="H5979" i="26"/>
  <c r="H4415" i="26"/>
  <c r="H5423" i="26"/>
  <c r="I6238" i="26"/>
  <c r="E6238" i="26" s="1"/>
  <c r="H2463" i="26"/>
  <c r="H3678" i="26"/>
  <c r="I3151" i="26"/>
  <c r="E3151" i="26" s="1"/>
  <c r="H5407" i="26"/>
  <c r="I2354" i="26"/>
  <c r="E2354" i="26" s="1"/>
  <c r="H3712" i="26"/>
  <c r="H1044" i="26"/>
  <c r="H5104" i="26"/>
  <c r="H1872" i="26"/>
  <c r="H3083" i="26"/>
  <c r="I5899" i="26"/>
  <c r="E5899" i="26" s="1"/>
  <c r="H3792" i="26"/>
  <c r="H4336" i="26"/>
  <c r="H5566" i="26"/>
  <c r="H3843" i="26"/>
  <c r="H4199" i="26"/>
  <c r="I3457" i="26"/>
  <c r="E3457" i="26" s="1"/>
  <c r="I4002" i="26"/>
  <c r="E4002" i="26" s="1"/>
  <c r="I3086" i="26"/>
  <c r="E3086" i="26" s="1"/>
  <c r="I2378" i="26"/>
  <c r="E2378" i="26" s="1"/>
  <c r="H4737" i="26"/>
  <c r="H5213" i="26"/>
  <c r="H925" i="26"/>
  <c r="H1697" i="26"/>
  <c r="H1653" i="26"/>
  <c r="I759" i="26"/>
  <c r="E759" i="26" s="1"/>
  <c r="I939" i="26"/>
  <c r="E939" i="26" s="1"/>
  <c r="H1486" i="26"/>
  <c r="H392" i="26"/>
  <c r="H1497" i="26"/>
  <c r="I4241" i="26"/>
  <c r="E4241" i="26" s="1"/>
  <c r="I2205" i="26"/>
  <c r="E2205" i="26" s="1"/>
  <c r="H1951" i="26"/>
  <c r="H78" i="26"/>
  <c r="H115" i="26"/>
  <c r="I26" i="26"/>
  <c r="E26" i="26" s="1"/>
  <c r="I4128" i="26"/>
  <c r="E4128" i="26" s="1"/>
  <c r="I2962" i="26"/>
  <c r="E2962" i="26" s="1"/>
  <c r="I3498" i="26"/>
  <c r="E3498" i="26" s="1"/>
  <c r="I4609" i="26"/>
  <c r="E4609" i="26" s="1"/>
  <c r="I2450" i="26"/>
  <c r="E2450" i="26" s="1"/>
  <c r="I3511" i="26"/>
  <c r="E3511" i="26" s="1"/>
  <c r="I6016" i="26"/>
  <c r="E6016" i="26" s="1"/>
  <c r="I2842" i="26"/>
  <c r="E2842" i="26" s="1"/>
  <c r="I2993" i="26"/>
  <c r="E2993" i="26" s="1"/>
  <c r="I5263" i="26"/>
  <c r="E5263" i="26" s="1"/>
  <c r="I6658" i="26"/>
  <c r="E6658" i="26" s="1"/>
  <c r="I6127" i="26"/>
  <c r="E6127" i="26" s="1"/>
  <c r="I2745" i="26"/>
  <c r="E2745" i="26" s="1"/>
  <c r="I3228" i="26"/>
  <c r="E3228" i="26" s="1"/>
  <c r="I4985" i="26"/>
  <c r="E4985" i="26" s="1"/>
  <c r="I2851" i="26"/>
  <c r="E2851" i="26" s="1"/>
  <c r="I6246" i="26"/>
  <c r="E6246" i="26" s="1"/>
  <c r="I4833" i="26"/>
  <c r="E4833" i="26" s="1"/>
  <c r="I2309" i="26"/>
  <c r="E2309" i="26" s="1"/>
  <c r="I2397" i="26"/>
  <c r="E2397" i="26" s="1"/>
  <c r="I4254" i="26"/>
  <c r="E4254" i="26" s="1"/>
  <c r="I2810" i="26"/>
  <c r="E2810" i="26" s="1"/>
  <c r="I3998" i="26"/>
  <c r="E3998" i="26" s="1"/>
  <c r="I5142" i="26"/>
  <c r="E5142" i="26" s="1"/>
  <c r="I3285" i="26"/>
  <c r="E3285" i="26" s="1"/>
  <c r="H140" i="26"/>
  <c r="I4855" i="26"/>
  <c r="E4855" i="26" s="1"/>
  <c r="I4598" i="26"/>
  <c r="E4598" i="26" s="1"/>
  <c r="I2368" i="26"/>
  <c r="E2368" i="26" s="1"/>
  <c r="I3864" i="26"/>
  <c r="E3864" i="26" s="1"/>
  <c r="I2286" i="26"/>
  <c r="E2286" i="26" s="1"/>
  <c r="I6779" i="26"/>
  <c r="E6779" i="26" s="1"/>
  <c r="I5349" i="26"/>
  <c r="E5349" i="26" s="1"/>
  <c r="I4886" i="26"/>
  <c r="E4886" i="26" s="1"/>
  <c r="I2670" i="26"/>
  <c r="E2670" i="26" s="1"/>
  <c r="I4654" i="26"/>
  <c r="E4654" i="26" s="1"/>
  <c r="I4409" i="26"/>
  <c r="E4409" i="26" s="1"/>
  <c r="I3521" i="26"/>
  <c r="E3521" i="26" s="1"/>
  <c r="I6084" i="26"/>
  <c r="E6084" i="26" s="1"/>
  <c r="I3593" i="26"/>
  <c r="E3593" i="26" s="1"/>
  <c r="I4189" i="26"/>
  <c r="E4189" i="26" s="1"/>
  <c r="I3245" i="26"/>
  <c r="E3245" i="26" s="1"/>
  <c r="I3736" i="26"/>
  <c r="E3736" i="26" s="1"/>
  <c r="I3021" i="26"/>
  <c r="E3021" i="26" s="1"/>
  <c r="I2365" i="26"/>
  <c r="E2365" i="26" s="1"/>
  <c r="I1890" i="26"/>
  <c r="E1890" i="26" s="1"/>
  <c r="I5862" i="26"/>
  <c r="E5862" i="26" s="1"/>
  <c r="I6498" i="26"/>
  <c r="E6498" i="26" s="1"/>
  <c r="I2490" i="26"/>
  <c r="E2490" i="26" s="1"/>
  <c r="I2765" i="26"/>
  <c r="E2765" i="26" s="1"/>
  <c r="I4032" i="26"/>
  <c r="E4032" i="26" s="1"/>
  <c r="I4927" i="26"/>
  <c r="E4927" i="26" s="1"/>
  <c r="I4812" i="26"/>
  <c r="E4812" i="26" s="1"/>
  <c r="I5029" i="26"/>
  <c r="E5029" i="26" s="1"/>
  <c r="I3934" i="26"/>
  <c r="E3934" i="26" s="1"/>
  <c r="I5974" i="26"/>
  <c r="E5974" i="26" s="1"/>
  <c r="I5853" i="26"/>
  <c r="E5853" i="26" s="1"/>
  <c r="I4334" i="26"/>
  <c r="E4334" i="26" s="1"/>
  <c r="I2750" i="26"/>
  <c r="E2750" i="26" s="1"/>
  <c r="I4581" i="26"/>
  <c r="E4581" i="26" s="1"/>
  <c r="H94" i="26"/>
  <c r="I4301" i="26"/>
  <c r="E4301" i="26" s="1"/>
  <c r="I3515" i="26"/>
  <c r="E3515" i="26" s="1"/>
  <c r="I2506" i="26"/>
  <c r="E2506" i="26" s="1"/>
  <c r="I3576" i="26"/>
  <c r="E3576" i="26" s="1"/>
  <c r="I5082" i="26"/>
  <c r="E5082" i="26" s="1"/>
  <c r="I3393" i="26"/>
  <c r="E3393" i="26" s="1"/>
  <c r="I5296" i="26"/>
  <c r="E5296" i="26" s="1"/>
  <c r="I3112" i="26"/>
  <c r="E3112" i="26" s="1"/>
  <c r="I3383" i="26"/>
  <c r="E3383" i="26" s="1"/>
  <c r="I4783" i="26"/>
  <c r="E4783" i="26" s="1"/>
  <c r="I5504" i="26"/>
  <c r="E5504" i="26" s="1"/>
  <c r="I4891" i="26"/>
  <c r="E4891" i="26" s="1"/>
  <c r="I5683" i="26"/>
  <c r="E5683" i="26" s="1"/>
  <c r="I3506" i="26"/>
  <c r="E3506" i="26" s="1"/>
  <c r="I5800" i="26"/>
  <c r="E5800" i="26" s="1"/>
  <c r="I4299" i="26"/>
  <c r="E4299" i="26" s="1"/>
  <c r="I5709" i="26"/>
  <c r="E5709" i="26" s="1"/>
  <c r="I4322" i="26"/>
  <c r="E4322" i="26" s="1"/>
  <c r="I2295" i="26"/>
  <c r="E2295" i="26" s="1"/>
  <c r="I2367" i="26"/>
  <c r="E2367" i="26" s="1"/>
  <c r="I3032" i="26"/>
  <c r="E3032" i="26" s="1"/>
  <c r="I6443" i="26"/>
  <c r="E6443" i="26" s="1"/>
  <c r="I3180" i="26"/>
  <c r="E3180" i="26" s="1"/>
  <c r="I3329" i="26"/>
  <c r="E3329" i="26" s="1"/>
  <c r="I6358" i="26"/>
  <c r="E6358" i="26" s="1"/>
  <c r="I4657" i="26"/>
  <c r="E4657" i="26" s="1"/>
  <c r="I5723" i="26"/>
  <c r="E5723" i="26" s="1"/>
  <c r="I4395" i="26"/>
  <c r="E4395" i="26" s="1"/>
  <c r="H61" i="26"/>
  <c r="I2754" i="26"/>
  <c r="E2754" i="26" s="1"/>
  <c r="I3819" i="26"/>
  <c r="E3819" i="26" s="1"/>
  <c r="I6667" i="26"/>
  <c r="E6667" i="26" s="1"/>
  <c r="I3746" i="26"/>
  <c r="E3746" i="26" s="1"/>
  <c r="I5379" i="26"/>
  <c r="E5379" i="26" s="1"/>
  <c r="I4554" i="26"/>
  <c r="E4554" i="26" s="1"/>
  <c r="I6181" i="26"/>
  <c r="E6181" i="26" s="1"/>
  <c r="H5861" i="26"/>
  <c r="I4164" i="26"/>
  <c r="E4164" i="26" s="1"/>
  <c r="I5480" i="26"/>
  <c r="E5480" i="26" s="1"/>
  <c r="I6532" i="26"/>
  <c r="E6532" i="26" s="1"/>
  <c r="I3076" i="26"/>
  <c r="E3076" i="26" s="1"/>
  <c r="I4218" i="26"/>
  <c r="E4218" i="26" s="1"/>
  <c r="I4405" i="26"/>
  <c r="E4405" i="26" s="1"/>
  <c r="I5846" i="26"/>
  <c r="E5846" i="26" s="1"/>
  <c r="H2982" i="26"/>
  <c r="I12" i="26"/>
  <c r="E12" i="26" s="1"/>
  <c r="I3668" i="26"/>
  <c r="E3668" i="26" s="1"/>
  <c r="I4193" i="26"/>
  <c r="E4193" i="26" s="1"/>
  <c r="I5842" i="26"/>
  <c r="E5842" i="26" s="1"/>
  <c r="I2661" i="26"/>
  <c r="E2661" i="26" s="1"/>
  <c r="I6026" i="26"/>
  <c r="E6026" i="26" s="1"/>
  <c r="I5637" i="26"/>
  <c r="E5637" i="26" s="1"/>
  <c r="I3428" i="26"/>
  <c r="E3428" i="26" s="1"/>
  <c r="H158" i="26"/>
  <c r="I4736" i="26"/>
  <c r="E4736" i="26" s="1"/>
  <c r="I5010" i="26"/>
  <c r="E5010" i="26" s="1"/>
  <c r="I3331" i="26"/>
  <c r="E3331" i="26" s="1"/>
  <c r="I6043" i="26"/>
  <c r="E6043" i="26" s="1"/>
  <c r="I4037" i="26"/>
  <c r="E4037" i="26" s="1"/>
  <c r="I5401" i="26"/>
  <c r="E5401" i="26" s="1"/>
  <c r="I3173" i="26"/>
  <c r="E3173" i="26" s="1"/>
  <c r="I5697" i="26"/>
  <c r="E5697" i="26" s="1"/>
  <c r="I2825" i="26"/>
  <c r="E2825" i="26" s="1"/>
  <c r="I4162" i="26"/>
  <c r="E4162" i="26" s="1"/>
  <c r="I3600" i="26"/>
  <c r="E3600" i="26" s="1"/>
  <c r="I5237" i="26"/>
  <c r="E5237" i="26" s="1"/>
  <c r="I5933" i="26"/>
  <c r="E5933" i="26" s="1"/>
  <c r="I2483" i="26"/>
  <c r="E2483" i="26" s="1"/>
  <c r="I5966" i="26"/>
  <c r="E5966" i="26" s="1"/>
  <c r="I4794" i="26"/>
  <c r="E4794" i="26" s="1"/>
  <c r="H29" i="26"/>
  <c r="I4197" i="26"/>
  <c r="E4197" i="26" s="1"/>
  <c r="I6088" i="26"/>
  <c r="E6088" i="26" s="1"/>
  <c r="I4414" i="26"/>
  <c r="E4414" i="26" s="1"/>
  <c r="I4291" i="26"/>
  <c r="E4291" i="26" s="1"/>
  <c r="I4282" i="26"/>
  <c r="E4282" i="26" s="1"/>
  <c r="I3084" i="26"/>
  <c r="E3084" i="26" s="1"/>
  <c r="I4351" i="26"/>
  <c r="E4351" i="26" s="1"/>
  <c r="I6733" i="26"/>
  <c r="E6733" i="26" s="1"/>
  <c r="I4300" i="26"/>
  <c r="E4300" i="26" s="1"/>
  <c r="I2509" i="26"/>
  <c r="E2509" i="26" s="1"/>
  <c r="I5562" i="26"/>
  <c r="E5562" i="26" s="1"/>
  <c r="I2574" i="26"/>
  <c r="E2574" i="26" s="1"/>
  <c r="I6327" i="26"/>
  <c r="E6327" i="26" s="1"/>
  <c r="I4175" i="26"/>
  <c r="E4175" i="26" s="1"/>
  <c r="I3154" i="26"/>
  <c r="E3154" i="26" s="1"/>
  <c r="I3026" i="26"/>
  <c r="E3026" i="26" s="1"/>
  <c r="H4281" i="26"/>
  <c r="I4692" i="26"/>
  <c r="E4692" i="26" s="1"/>
  <c r="I6690" i="26"/>
  <c r="E6690" i="26" s="1"/>
  <c r="H4536" i="26"/>
  <c r="I4289" i="26"/>
  <c r="E4289" i="26" s="1"/>
  <c r="H5860" i="26"/>
  <c r="H3187" i="26"/>
  <c r="I3900" i="26"/>
  <c r="E3900" i="26" s="1"/>
  <c r="I5591" i="26"/>
  <c r="E5591" i="26" s="1"/>
  <c r="H2316" i="26"/>
  <c r="H3789" i="26"/>
  <c r="H5973" i="26"/>
  <c r="H4099" i="26"/>
  <c r="H1515" i="26"/>
  <c r="H4916" i="26"/>
  <c r="H4106" i="26"/>
  <c r="I6597" i="26"/>
  <c r="E6597" i="26" s="1"/>
  <c r="I3000" i="26"/>
  <c r="E3000" i="26" s="1"/>
  <c r="H2352" i="26"/>
  <c r="H4204" i="26"/>
  <c r="H2943" i="26"/>
  <c r="H3229" i="26"/>
  <c r="H6589" i="26"/>
  <c r="I3594" i="26"/>
  <c r="E3594" i="26" s="1"/>
  <c r="H4366" i="26"/>
  <c r="I4389" i="26"/>
  <c r="E4389" i="26" s="1"/>
  <c r="I6512" i="26"/>
  <c r="E6512" i="26" s="1"/>
  <c r="H5490" i="26"/>
  <c r="H3885" i="26"/>
  <c r="H6163" i="26"/>
  <c r="H6763" i="26"/>
  <c r="H5849" i="26"/>
  <c r="H3312" i="26"/>
  <c r="I3968" i="26"/>
  <c r="E3968" i="26" s="1"/>
  <c r="I4307" i="26"/>
  <c r="E4307" i="26" s="1"/>
  <c r="H6031" i="26"/>
  <c r="I3822" i="26"/>
  <c r="E3822" i="26" s="1"/>
  <c r="H3511" i="26"/>
  <c r="H5865" i="26"/>
  <c r="H2934" i="26"/>
  <c r="I5705" i="26"/>
  <c r="E5705" i="26" s="1"/>
  <c r="H4388" i="26"/>
  <c r="I6067" i="26"/>
  <c r="E6067" i="26" s="1"/>
  <c r="I3904" i="26"/>
  <c r="E3904" i="26" s="1"/>
  <c r="H6269" i="26"/>
  <c r="H5900" i="26"/>
  <c r="I6613" i="26"/>
  <c r="E6613" i="26" s="1"/>
  <c r="H6240" i="26"/>
  <c r="I6154" i="26"/>
  <c r="E6154" i="26" s="1"/>
  <c r="H2489" i="26"/>
  <c r="I2722" i="26"/>
  <c r="E2722" i="26" s="1"/>
  <c r="H3799" i="26"/>
  <c r="I3143" i="26"/>
  <c r="E3143" i="26" s="1"/>
  <c r="H3056" i="26"/>
  <c r="H2688" i="26"/>
  <c r="H3382" i="26"/>
  <c r="I3588" i="26"/>
  <c r="E3588" i="26" s="1"/>
  <c r="H4103" i="26"/>
  <c r="I1284" i="26"/>
  <c r="E1284" i="26" s="1"/>
  <c r="H5885" i="26"/>
  <c r="H3044" i="26"/>
  <c r="I4446" i="26"/>
  <c r="E4446" i="26" s="1"/>
  <c r="H2600" i="26"/>
  <c r="I3616" i="26"/>
  <c r="E3616" i="26" s="1"/>
  <c r="H3934" i="26"/>
  <c r="I5024" i="26"/>
  <c r="E5024" i="26" s="1"/>
  <c r="I3295" i="26"/>
  <c r="E3295" i="26" s="1"/>
  <c r="I5724" i="26"/>
  <c r="E5724" i="26" s="1"/>
  <c r="H6468" i="26"/>
  <c r="H4329" i="26"/>
  <c r="H3433" i="26"/>
  <c r="H4767" i="26"/>
  <c r="I4369" i="26"/>
  <c r="E4369" i="26" s="1"/>
  <c r="I4623" i="26"/>
  <c r="E4623" i="26" s="1"/>
  <c r="H6410" i="26"/>
  <c r="I6665" i="26"/>
  <c r="E6665" i="26" s="1"/>
  <c r="I3044" i="26"/>
  <c r="E3044" i="26" s="1"/>
  <c r="H6542" i="26"/>
  <c r="I5123" i="26"/>
  <c r="E5123" i="26" s="1"/>
  <c r="H3755" i="26"/>
  <c r="H3048" i="26"/>
  <c r="H2246" i="26"/>
  <c r="H6061" i="26"/>
  <c r="I4028" i="26"/>
  <c r="E4028" i="26" s="1"/>
  <c r="I5176" i="26"/>
  <c r="E5176" i="26" s="1"/>
  <c r="I6735" i="26"/>
  <c r="E6735" i="26" s="1"/>
  <c r="I6601" i="26"/>
  <c r="E6601" i="26" s="1"/>
  <c r="H4949" i="26"/>
  <c r="H4643" i="26"/>
  <c r="I3541" i="26"/>
  <c r="E3541" i="26" s="1"/>
  <c r="H5735" i="26"/>
  <c r="I6041" i="26"/>
  <c r="E6041" i="26" s="1"/>
  <c r="I3685" i="26"/>
  <c r="E3685" i="26" s="1"/>
  <c r="I3294" i="26"/>
  <c r="E3294" i="26" s="1"/>
  <c r="I5060" i="26"/>
  <c r="E5060" i="26" s="1"/>
  <c r="H4389" i="26"/>
  <c r="H3940" i="26"/>
  <c r="H2675" i="26"/>
  <c r="H4170" i="26"/>
  <c r="H2338" i="26"/>
  <c r="I5354" i="26"/>
  <c r="E5354" i="26" s="1"/>
  <c r="I2466" i="26"/>
  <c r="E2466" i="26" s="1"/>
  <c r="I5871" i="26"/>
  <c r="E5871" i="26" s="1"/>
  <c r="I6377" i="26"/>
  <c r="E6377" i="26" s="1"/>
  <c r="H2248" i="26"/>
  <c r="I4938" i="26"/>
  <c r="E4938" i="26" s="1"/>
  <c r="H2796" i="26"/>
  <c r="H6228" i="26"/>
  <c r="H3058" i="26"/>
  <c r="I5849" i="26"/>
  <c r="E5849" i="26" s="1"/>
  <c r="I3742" i="26"/>
  <c r="E3742" i="26" s="1"/>
  <c r="I2212" i="26"/>
  <c r="E2212" i="26" s="1"/>
  <c r="I1764" i="26"/>
  <c r="E1764" i="26" s="1"/>
  <c r="H4153" i="26"/>
  <c r="I405" i="26"/>
  <c r="E405" i="26" s="1"/>
  <c r="I758" i="26"/>
  <c r="E758" i="26" s="1"/>
  <c r="H390" i="26"/>
  <c r="I1667" i="26"/>
  <c r="E1667" i="26" s="1"/>
  <c r="H369" i="26"/>
  <c r="H1278" i="26"/>
  <c r="H1451" i="26"/>
  <c r="H2028" i="26"/>
  <c r="I304" i="26"/>
  <c r="E304" i="26" s="1"/>
  <c r="I1200" i="26"/>
  <c r="E1200" i="26" s="1"/>
  <c r="I4896" i="26"/>
  <c r="E4896" i="26" s="1"/>
  <c r="H939" i="26"/>
  <c r="H2170" i="26"/>
  <c r="H515" i="26"/>
  <c r="I64" i="26"/>
  <c r="E64" i="26" s="1"/>
  <c r="H164" i="26"/>
  <c r="H19" i="26"/>
  <c r="I2515" i="26"/>
  <c r="E2515" i="26" s="1"/>
  <c r="I6774" i="26"/>
  <c r="E6774" i="26" s="1"/>
  <c r="I2539" i="26"/>
  <c r="E2539" i="26" s="1"/>
  <c r="I2826" i="26"/>
  <c r="E2826" i="26" s="1"/>
  <c r="I3741" i="26"/>
  <c r="E3741" i="26" s="1"/>
  <c r="I4109" i="26"/>
  <c r="E4109" i="26" s="1"/>
  <c r="I3024" i="26"/>
  <c r="E3024" i="26" s="1"/>
  <c r="H6247" i="26"/>
  <c r="I3601" i="26"/>
  <c r="E3601" i="26" s="1"/>
  <c r="I5507" i="26"/>
  <c r="E5507" i="26" s="1"/>
  <c r="I3341" i="26"/>
  <c r="E3341" i="26" s="1"/>
  <c r="I6557" i="26"/>
  <c r="E6557" i="26" s="1"/>
  <c r="I3330" i="26"/>
  <c r="E3330" i="26" s="1"/>
  <c r="I1506" i="26"/>
  <c r="E1506" i="26" s="1"/>
  <c r="I4684" i="26"/>
  <c r="E4684" i="26" s="1"/>
  <c r="H5109" i="26"/>
  <c r="I5301" i="26"/>
  <c r="E5301" i="26" s="1"/>
  <c r="I5702" i="26"/>
  <c r="E5702" i="26" s="1"/>
  <c r="I5028" i="26"/>
  <c r="E5028" i="26" s="1"/>
  <c r="I3132" i="26"/>
  <c r="E3132" i="26" s="1"/>
  <c r="I4033" i="26"/>
  <c r="E4033" i="26" s="1"/>
  <c r="I4595" i="26"/>
  <c r="E4595" i="26" s="1"/>
  <c r="I3681" i="26"/>
  <c r="E3681" i="26" s="1"/>
  <c r="I3750" i="26"/>
  <c r="E3750" i="26" s="1"/>
  <c r="H5416" i="26"/>
  <c r="I20" i="26"/>
  <c r="E20" i="26" s="1"/>
  <c r="I3840" i="26"/>
  <c r="E3840" i="26" s="1"/>
  <c r="I2479" i="26"/>
  <c r="E2479" i="26" s="1"/>
  <c r="I5302" i="26"/>
  <c r="E5302" i="26" s="1"/>
  <c r="I3031" i="26"/>
  <c r="E3031" i="26" s="1"/>
  <c r="I5968" i="26"/>
  <c r="E5968" i="26" s="1"/>
  <c r="I3905" i="26"/>
  <c r="E3905" i="26" s="1"/>
  <c r="I4294" i="26"/>
  <c r="E4294" i="26" s="1"/>
  <c r="I4473" i="26"/>
  <c r="E4473" i="26" s="1"/>
  <c r="I4169" i="26"/>
  <c r="E4169" i="26" s="1"/>
  <c r="I6711" i="26"/>
  <c r="E6711" i="26" s="1"/>
  <c r="I3908" i="26"/>
  <c r="E3908" i="26" s="1"/>
  <c r="I3999" i="26"/>
  <c r="E3999" i="26" s="1"/>
  <c r="I5936" i="26"/>
  <c r="E5936" i="26" s="1"/>
  <c r="I4882" i="26"/>
  <c r="E4882" i="26" s="1"/>
  <c r="I4776" i="26"/>
  <c r="E4776" i="26" s="1"/>
  <c r="I5297" i="26"/>
  <c r="E5297" i="26" s="1"/>
  <c r="I4281" i="26"/>
  <c r="E4281" i="26" s="1"/>
  <c r="I6228" i="26"/>
  <c r="E6228" i="26" s="1"/>
  <c r="I3895" i="26"/>
  <c r="E3895" i="26" s="1"/>
  <c r="I5982" i="26"/>
  <c r="E5982" i="26" s="1"/>
  <c r="I4939" i="26"/>
  <c r="E4939" i="26" s="1"/>
  <c r="I6340" i="26"/>
  <c r="E6340" i="26" s="1"/>
  <c r="I6459" i="26"/>
  <c r="E6459" i="26" s="1"/>
  <c r="I3734" i="26"/>
  <c r="E3734" i="26" s="1"/>
  <c r="I5075" i="26"/>
  <c r="E5075" i="26" s="1"/>
  <c r="I5598" i="26"/>
  <c r="E5598" i="26" s="1"/>
  <c r="I2854" i="26"/>
  <c r="E2854" i="26" s="1"/>
  <c r="I5545" i="26"/>
  <c r="E5545" i="26" s="1"/>
  <c r="I6175" i="26"/>
  <c r="E6175" i="26" s="1"/>
  <c r="I5654" i="26"/>
  <c r="E5654" i="26" s="1"/>
  <c r="I4023" i="26"/>
  <c r="E4023" i="26" s="1"/>
  <c r="I5677" i="26"/>
  <c r="E5677" i="26" s="1"/>
  <c r="I6206" i="26"/>
  <c r="E6206" i="26" s="1"/>
  <c r="I5577" i="26"/>
  <c r="E5577" i="26" s="1"/>
  <c r="I160" i="26"/>
  <c r="E160" i="26" s="1"/>
  <c r="I3305" i="26"/>
  <c r="E3305" i="26" s="1"/>
  <c r="I6078" i="26"/>
  <c r="E6078" i="26" s="1"/>
  <c r="I5827" i="26"/>
  <c r="E5827" i="26" s="1"/>
  <c r="I3528" i="26"/>
  <c r="E3528" i="26" s="1"/>
  <c r="I5712" i="26"/>
  <c r="E5712" i="26" s="1"/>
  <c r="I5670" i="26"/>
  <c r="E5670" i="26" s="1"/>
  <c r="I4972" i="26"/>
  <c r="E4972" i="26" s="1"/>
  <c r="I4835" i="26"/>
  <c r="E4835" i="26" s="1"/>
  <c r="I6247" i="26"/>
  <c r="E6247" i="26" s="1"/>
  <c r="I3931" i="26"/>
  <c r="E3931" i="26" s="1"/>
  <c r="I5351" i="26"/>
  <c r="E5351" i="26" s="1"/>
  <c r="I3597" i="26"/>
  <c r="E3597" i="26" s="1"/>
  <c r="I5476" i="26"/>
  <c r="E5476" i="26" s="1"/>
  <c r="I5428" i="26"/>
  <c r="E5428" i="26" s="1"/>
  <c r="I6150" i="26"/>
  <c r="E6150" i="26" s="1"/>
  <c r="I4010" i="26"/>
  <c r="E4010" i="26" s="1"/>
  <c r="I2692" i="26"/>
  <c r="E2692" i="26" s="1"/>
  <c r="I5336" i="26"/>
  <c r="E5336" i="26" s="1"/>
  <c r="I4119" i="26"/>
  <c r="E4119" i="26" s="1"/>
  <c r="I5750" i="26"/>
  <c r="E5750" i="26" s="1"/>
  <c r="I2799" i="26"/>
  <c r="E2799" i="26" s="1"/>
  <c r="I5261" i="26"/>
  <c r="E5261" i="26" s="1"/>
  <c r="I5358" i="26"/>
  <c r="E5358" i="26" s="1"/>
  <c r="I3335" i="26"/>
  <c r="E3335" i="26" s="1"/>
  <c r="I2291" i="26"/>
  <c r="E2291" i="26" s="1"/>
  <c r="I4737" i="26"/>
  <c r="E4737" i="26" s="1"/>
  <c r="I2476" i="26"/>
  <c r="E2476" i="26" s="1"/>
  <c r="H3535" i="26"/>
  <c r="I118" i="26"/>
  <c r="E118" i="26" s="1"/>
  <c r="I6525" i="26"/>
  <c r="E6525" i="26" s="1"/>
  <c r="I5874" i="26"/>
  <c r="E5874" i="26" s="1"/>
  <c r="I3020" i="26"/>
  <c r="E3020" i="26" s="1"/>
  <c r="I4608" i="26"/>
  <c r="E4608" i="26" s="1"/>
  <c r="I6578" i="26"/>
  <c r="E6578" i="26" s="1"/>
  <c r="I2780" i="26"/>
  <c r="E2780" i="26" s="1"/>
  <c r="I6726" i="26"/>
  <c r="E6726" i="26" s="1"/>
  <c r="H4269" i="26"/>
  <c r="I3623" i="26"/>
  <c r="E3623" i="26" s="1"/>
  <c r="I4288" i="26"/>
  <c r="E4288" i="26" s="1"/>
  <c r="I3723" i="26"/>
  <c r="E3723" i="26" s="1"/>
  <c r="I3142" i="26"/>
  <c r="E3142" i="26" s="1"/>
  <c r="I6022" i="26"/>
  <c r="E6022" i="26" s="1"/>
  <c r="I5733" i="26"/>
  <c r="E5733" i="26" s="1"/>
  <c r="I6422" i="26"/>
  <c r="E6422" i="26" s="1"/>
  <c r="I2336" i="26"/>
  <c r="E2336" i="26" s="1"/>
  <c r="I65" i="26"/>
  <c r="E65" i="26" s="1"/>
  <c r="I5741" i="26"/>
  <c r="E5741" i="26" s="1"/>
  <c r="I4746" i="26"/>
  <c r="E4746" i="26" s="1"/>
  <c r="I3877" i="26"/>
  <c r="E3877" i="26" s="1"/>
  <c r="I5420" i="26"/>
  <c r="E5420" i="26" s="1"/>
  <c r="I3974" i="26"/>
  <c r="E3974" i="26" s="1"/>
  <c r="I6453" i="26"/>
  <c r="E6453" i="26" s="1"/>
  <c r="I3412" i="26"/>
  <c r="E3412" i="26" s="1"/>
  <c r="H80" i="26"/>
  <c r="I2977" i="26"/>
  <c r="E2977" i="26" s="1"/>
  <c r="I4054" i="26"/>
  <c r="E4054" i="26" s="1"/>
  <c r="I2462" i="26"/>
  <c r="E2462" i="26" s="1"/>
  <c r="I3206" i="26"/>
  <c r="E3206" i="26" s="1"/>
  <c r="I2326" i="26"/>
  <c r="E2326" i="26" s="1"/>
  <c r="I4123" i="26"/>
  <c r="E4123" i="26" s="1"/>
  <c r="I6278" i="26"/>
  <c r="E6278" i="26" s="1"/>
  <c r="I5409" i="26"/>
  <c r="E5409" i="26" s="1"/>
  <c r="I3003" i="26"/>
  <c r="E3003" i="26" s="1"/>
  <c r="I5374" i="26"/>
  <c r="E5374" i="26" s="1"/>
  <c r="I4293" i="26"/>
  <c r="E4293" i="26" s="1"/>
  <c r="I4872" i="26"/>
  <c r="E4872" i="26" s="1"/>
  <c r="I5117" i="26"/>
  <c r="E5117" i="26" s="1"/>
  <c r="I6009" i="26"/>
  <c r="E6009" i="26" s="1"/>
  <c r="I1885" i="26"/>
  <c r="E1885" i="26" s="1"/>
  <c r="H6531" i="26"/>
  <c r="H73" i="26"/>
  <c r="I6325" i="26"/>
  <c r="E6325" i="26" s="1"/>
  <c r="I4336" i="26"/>
  <c r="E4336" i="26" s="1"/>
  <c r="I3580" i="26"/>
  <c r="E3580" i="26" s="1"/>
  <c r="I2688" i="26"/>
  <c r="E2688" i="26" s="1"/>
  <c r="I5555" i="26"/>
  <c r="E5555" i="26" s="1"/>
  <c r="I5373" i="26"/>
  <c r="E5373" i="26" s="1"/>
  <c r="I3362" i="26"/>
  <c r="E3362" i="26" s="1"/>
  <c r="I6345" i="26"/>
  <c r="E6345" i="26" s="1"/>
  <c r="I3667" i="26"/>
  <c r="E3667" i="26" s="1"/>
  <c r="I4420" i="26"/>
  <c r="E4420" i="26" s="1"/>
  <c r="I5312" i="26"/>
  <c r="E5312" i="26" s="1"/>
  <c r="I4008" i="26"/>
  <c r="E4008" i="26" s="1"/>
  <c r="I5283" i="26"/>
  <c r="E5283" i="26" s="1"/>
  <c r="I5432" i="26"/>
  <c r="E5432" i="26" s="1"/>
  <c r="I5880" i="26"/>
  <c r="E5880" i="26" s="1"/>
  <c r="I2248" i="26"/>
  <c r="E2248" i="26" s="1"/>
  <c r="H2073" i="26"/>
  <c r="H5669" i="26"/>
  <c r="H3499" i="26"/>
  <c r="H6460" i="26"/>
  <c r="I2904" i="26"/>
  <c r="E2904" i="26" s="1"/>
  <c r="I3950" i="26"/>
  <c r="E3950" i="26" s="1"/>
  <c r="H5456" i="26"/>
  <c r="I4636" i="26"/>
  <c r="E4636" i="26" s="1"/>
  <c r="I2277" i="26"/>
  <c r="E2277" i="26" s="1"/>
  <c r="H4792" i="26"/>
  <c r="I5963" i="26"/>
  <c r="E5963" i="26" s="1"/>
  <c r="H6356" i="26"/>
  <c r="H6759" i="26"/>
  <c r="H2836" i="26"/>
  <c r="H5203" i="26"/>
  <c r="H2999" i="26"/>
  <c r="I4065" i="26"/>
  <c r="E4065" i="26" s="1"/>
  <c r="I2602" i="26"/>
  <c r="E2602" i="26" s="1"/>
  <c r="I3111" i="26"/>
  <c r="E3111" i="26" s="1"/>
  <c r="H3167" i="26"/>
  <c r="H2533" i="26"/>
  <c r="I4381" i="26"/>
  <c r="E4381" i="26" s="1"/>
  <c r="H3376" i="26"/>
  <c r="I6758" i="26"/>
  <c r="E6758" i="26" s="1"/>
  <c r="H2415" i="26"/>
  <c r="I5161" i="26"/>
  <c r="E5161" i="26" s="1"/>
  <c r="I3344" i="26"/>
  <c r="E3344" i="26" s="1"/>
  <c r="H5230" i="26"/>
  <c r="H3901" i="26"/>
  <c r="H4903" i="26"/>
  <c r="H2770" i="26"/>
  <c r="I2749" i="26"/>
  <c r="E2749" i="26" s="1"/>
  <c r="I2348" i="26"/>
  <c r="E2348" i="26" s="1"/>
  <c r="I6265" i="26"/>
  <c r="E6265" i="26" s="1"/>
  <c r="I3242" i="26"/>
  <c r="E3242" i="26" s="1"/>
  <c r="I3257" i="26"/>
  <c r="E3257" i="26" s="1"/>
  <c r="I6630" i="26"/>
  <c r="E6630" i="26" s="1"/>
  <c r="H2290" i="26"/>
  <c r="H1885" i="26"/>
  <c r="H5411" i="26"/>
  <c r="I2567" i="26"/>
  <c r="E2567" i="26" s="1"/>
  <c r="I3978" i="26"/>
  <c r="E3978" i="26" s="1"/>
  <c r="I6700" i="26"/>
  <c r="E6700" i="26" s="1"/>
  <c r="H4450" i="26"/>
  <c r="H4650" i="26"/>
  <c r="I2685" i="26"/>
  <c r="E2685" i="26" s="1"/>
  <c r="I1521" i="26"/>
  <c r="E1521" i="26" s="1"/>
  <c r="I5973" i="26"/>
  <c r="E5973" i="26" s="1"/>
  <c r="H3689" i="26"/>
  <c r="I6585" i="26"/>
  <c r="E6585" i="26" s="1"/>
  <c r="I5877" i="26"/>
  <c r="E5877" i="26" s="1"/>
  <c r="I5026" i="26"/>
  <c r="E5026" i="26" s="1"/>
  <c r="I3923" i="26"/>
  <c r="E3923" i="26" s="1"/>
  <c r="I6085" i="26"/>
  <c r="E6085" i="26" s="1"/>
  <c r="I3186" i="26"/>
  <c r="E3186" i="26" s="1"/>
  <c r="I5021" i="26"/>
  <c r="E5021" i="26" s="1"/>
  <c r="H2430" i="26"/>
  <c r="H5001" i="26"/>
  <c r="H6272" i="26"/>
  <c r="I2262" i="26"/>
  <c r="E2262" i="26" s="1"/>
  <c r="H6152" i="26"/>
  <c r="I4659" i="26"/>
  <c r="E4659" i="26" s="1"/>
  <c r="I6282" i="26"/>
  <c r="E6282" i="26" s="1"/>
  <c r="I4167" i="26"/>
  <c r="E4167" i="26" s="1"/>
  <c r="H5898" i="26"/>
  <c r="I3529" i="26"/>
  <c r="E3529" i="26" s="1"/>
  <c r="I4823" i="26"/>
  <c r="E4823" i="26" s="1"/>
  <c r="I4846" i="26"/>
  <c r="E4846" i="26" s="1"/>
  <c r="I3639" i="26"/>
  <c r="E3639" i="26" s="1"/>
  <c r="H3119" i="26"/>
  <c r="I4729" i="26"/>
  <c r="E4729" i="26" s="1"/>
  <c r="H4201" i="26"/>
  <c r="H6171" i="26"/>
  <c r="I5518" i="26"/>
  <c r="E5518" i="26" s="1"/>
  <c r="I5313" i="26"/>
  <c r="E5313" i="26" s="1"/>
  <c r="I2646" i="26"/>
  <c r="E2646" i="26" s="1"/>
  <c r="I3451" i="26"/>
  <c r="E3451" i="26" s="1"/>
  <c r="H3078" i="26"/>
  <c r="H3352" i="26"/>
  <c r="H5709" i="26"/>
  <c r="H3267" i="26"/>
  <c r="I5669" i="26"/>
  <c r="E5669" i="26" s="1"/>
  <c r="H3403" i="26"/>
  <c r="I4787" i="26"/>
  <c r="E4787" i="26" s="1"/>
  <c r="I5953" i="26"/>
  <c r="E5953" i="26" s="1"/>
  <c r="H5970" i="26"/>
  <c r="H3293" i="26"/>
  <c r="H3650" i="26"/>
  <c r="H5148" i="26"/>
  <c r="I3354" i="26"/>
  <c r="E3354" i="26" s="1"/>
  <c r="I6751" i="26"/>
  <c r="E6751" i="26" s="1"/>
  <c r="I3695" i="26"/>
  <c r="E3695" i="26" s="1"/>
  <c r="I4852" i="26"/>
  <c r="E4852" i="26" s="1"/>
  <c r="I5786" i="26"/>
  <c r="E5786" i="26" s="1"/>
  <c r="H4132" i="26"/>
  <c r="H5771" i="26"/>
  <c r="H6661" i="26"/>
  <c r="H3553" i="26"/>
  <c r="I3778" i="26"/>
  <c r="E3778" i="26" s="1"/>
  <c r="H5689" i="26"/>
  <c r="I6215" i="26"/>
  <c r="E6215" i="26" s="1"/>
  <c r="I6159" i="26"/>
  <c r="E6159" i="26" s="1"/>
  <c r="I6757" i="26"/>
  <c r="E6757" i="26" s="1"/>
  <c r="I3374" i="26"/>
  <c r="E3374" i="26" s="1"/>
  <c r="I4138" i="26"/>
  <c r="E4138" i="26" s="1"/>
  <c r="H2766" i="26"/>
  <c r="H3982" i="26"/>
  <c r="H5720" i="26"/>
  <c r="I6319" i="26"/>
  <c r="E6319" i="26" s="1"/>
  <c r="I2298" i="26"/>
  <c r="E2298" i="26" s="1"/>
  <c r="H5342" i="26"/>
  <c r="I6381" i="26"/>
  <c r="E6381" i="26" s="1"/>
  <c r="H425" i="26"/>
  <c r="H1807" i="26"/>
  <c r="I943" i="26"/>
  <c r="E943" i="26" s="1"/>
  <c r="H388" i="26"/>
  <c r="H2041" i="26"/>
  <c r="I356" i="26"/>
  <c r="E356" i="26" s="1"/>
  <c r="I664" i="26"/>
  <c r="E664" i="26" s="1"/>
  <c r="H430" i="26"/>
  <c r="I866" i="26"/>
  <c r="E866" i="26" s="1"/>
  <c r="H3855" i="26"/>
  <c r="I1681" i="26"/>
  <c r="E1681" i="26" s="1"/>
  <c r="H70" i="26"/>
  <c r="I179" i="26"/>
  <c r="E179" i="26" s="1"/>
  <c r="H121" i="26"/>
  <c r="I6664" i="26"/>
  <c r="E6664" i="26" s="1"/>
  <c r="I4022" i="26"/>
  <c r="E4022" i="26" s="1"/>
  <c r="I4681" i="26"/>
  <c r="E4681" i="26" s="1"/>
  <c r="I2666" i="26"/>
  <c r="E2666" i="26" s="1"/>
  <c r="I4105" i="26"/>
  <c r="E4105" i="26" s="1"/>
  <c r="I6037" i="26"/>
  <c r="E6037" i="26" s="1"/>
  <c r="I3513" i="26"/>
  <c r="E3513" i="26" s="1"/>
  <c r="I1505" i="26"/>
  <c r="E1505" i="26" s="1"/>
  <c r="I3579" i="26"/>
  <c r="E3579" i="26" s="1"/>
  <c r="I4553" i="26"/>
  <c r="E4553" i="26" s="1"/>
  <c r="I6060" i="26"/>
  <c r="E6060" i="26" s="1"/>
  <c r="I5747" i="26"/>
  <c r="E5747" i="26" s="1"/>
  <c r="I4551" i="26"/>
  <c r="E4551" i="26" s="1"/>
  <c r="I6428" i="26"/>
  <c r="E6428" i="26" s="1"/>
  <c r="I2491" i="26"/>
  <c r="E2491" i="26" s="1"/>
  <c r="I6014" i="26"/>
  <c r="E6014" i="26" s="1"/>
  <c r="H3659" i="26"/>
  <c r="I3845" i="26"/>
  <c r="E3845" i="26" s="1"/>
  <c r="I2329" i="26"/>
  <c r="E2329" i="26" s="1"/>
  <c r="I2530" i="26"/>
  <c r="E2530" i="26" s="1"/>
  <c r="I2719" i="26"/>
  <c r="E2719" i="26" s="1"/>
  <c r="I5124" i="26"/>
  <c r="E5124" i="26" s="1"/>
  <c r="I2591" i="26"/>
  <c r="E2591" i="26" s="1"/>
  <c r="I6722" i="26"/>
  <c r="E6722" i="26" s="1"/>
  <c r="I4757" i="26"/>
  <c r="E4757" i="26" s="1"/>
  <c r="I104" i="26"/>
  <c r="E104" i="26" s="1"/>
  <c r="I6614" i="26"/>
  <c r="E6614" i="26" s="1"/>
  <c r="I2640" i="26"/>
  <c r="E2640" i="26" s="1"/>
  <c r="I3645" i="26"/>
  <c r="E3645" i="26" s="1"/>
  <c r="I6633" i="26"/>
  <c r="E6633" i="26" s="1"/>
  <c r="I5020" i="26"/>
  <c r="E5020" i="26" s="1"/>
  <c r="I5815" i="26"/>
  <c r="E5815" i="26" s="1"/>
  <c r="I5917" i="26"/>
  <c r="E5917" i="26" s="1"/>
  <c r="I6304" i="26"/>
  <c r="E6304" i="26" s="1"/>
  <c r="I4993" i="26"/>
  <c r="E4993" i="26" s="1"/>
  <c r="I5361" i="26"/>
  <c r="E5361" i="26" s="1"/>
  <c r="I4690" i="26"/>
  <c r="E4690" i="26" s="1"/>
  <c r="I6110" i="26"/>
  <c r="E6110" i="26" s="1"/>
  <c r="I2306" i="26"/>
  <c r="E2306" i="26" s="1"/>
  <c r="I5460" i="26"/>
  <c r="E5460" i="26" s="1"/>
  <c r="I4977" i="26"/>
  <c r="E4977" i="26" s="1"/>
  <c r="I5135" i="26"/>
  <c r="E5135" i="26" s="1"/>
  <c r="I2498" i="26"/>
  <c r="E2498" i="26" s="1"/>
  <c r="I6742" i="26"/>
  <c r="E6742" i="26" s="1"/>
  <c r="I5386" i="26"/>
  <c r="E5386" i="26" s="1"/>
  <c r="I3093" i="26"/>
  <c r="E3093" i="26" s="1"/>
  <c r="I4180" i="26"/>
  <c r="E4180" i="26" s="1"/>
  <c r="I3172" i="26"/>
  <c r="E3172" i="26" s="1"/>
  <c r="I2916" i="26"/>
  <c r="E2916" i="26" s="1"/>
  <c r="I6173" i="26"/>
  <c r="E6173" i="26" s="1"/>
  <c r="I3087" i="26"/>
  <c r="E3087" i="26" s="1"/>
  <c r="I4515" i="26"/>
  <c r="E4515" i="26" s="1"/>
  <c r="I3340" i="26"/>
  <c r="E3340" i="26" s="1"/>
  <c r="I2311" i="26"/>
  <c r="E2311" i="26" s="1"/>
  <c r="I3053" i="26"/>
  <c r="E3053" i="26" s="1"/>
  <c r="I6307" i="26"/>
  <c r="E6307" i="26" s="1"/>
  <c r="I5337" i="26"/>
  <c r="E5337" i="26" s="1"/>
  <c r="I4723" i="26"/>
  <c r="E4723" i="26" s="1"/>
  <c r="I3772" i="26"/>
  <c r="E3772" i="26" s="1"/>
  <c r="I4029" i="26"/>
  <c r="E4029" i="26" s="1"/>
  <c r="H176" i="26"/>
  <c r="I3091" i="26"/>
  <c r="E3091" i="26" s="1"/>
  <c r="I3463" i="26"/>
  <c r="E3463" i="26" s="1"/>
  <c r="I2391" i="26"/>
  <c r="E2391" i="26" s="1"/>
  <c r="I4275" i="26"/>
  <c r="E4275" i="26" s="1"/>
  <c r="I2945" i="26"/>
  <c r="E2945" i="26" s="1"/>
  <c r="I5304" i="26"/>
  <c r="E5304" i="26" s="1"/>
  <c r="I4627" i="26"/>
  <c r="E4627" i="26" s="1"/>
  <c r="I5293" i="26"/>
  <c r="E5293" i="26" s="1"/>
  <c r="I4795" i="26"/>
  <c r="E4795" i="26" s="1"/>
  <c r="I3571" i="26"/>
  <c r="E3571" i="26" s="1"/>
  <c r="I3789" i="26"/>
  <c r="E3789" i="26" s="1"/>
  <c r="I2588" i="26"/>
  <c r="E2588" i="26" s="1"/>
  <c r="I6709" i="26"/>
  <c r="E6709" i="26" s="1"/>
  <c r="I4805" i="26"/>
  <c r="E4805" i="26" s="1"/>
  <c r="I3483" i="26"/>
  <c r="E3483" i="26" s="1"/>
  <c r="I2273" i="26"/>
  <c r="E2273" i="26" s="1"/>
  <c r="I5385" i="26"/>
  <c r="E5385" i="26" s="1"/>
  <c r="I6666" i="26"/>
  <c r="E6666" i="26" s="1"/>
  <c r="I3608" i="26"/>
  <c r="E3608" i="26" s="1"/>
  <c r="I2458" i="26"/>
  <c r="E2458" i="26" s="1"/>
  <c r="I5426" i="26"/>
  <c r="E5426" i="26" s="1"/>
  <c r="I6371" i="26"/>
  <c r="E6371" i="26" s="1"/>
  <c r="I5721" i="26"/>
  <c r="E5721" i="26" s="1"/>
  <c r="I3866" i="26"/>
  <c r="E3866" i="26" s="1"/>
  <c r="I2312" i="26"/>
  <c r="E2312" i="26" s="1"/>
  <c r="I6355" i="26"/>
  <c r="E6355" i="26" s="1"/>
  <c r="I4506" i="26"/>
  <c r="E4506" i="26" s="1"/>
  <c r="I6230" i="26"/>
  <c r="E6230" i="26" s="1"/>
  <c r="H113" i="26"/>
  <c r="I4230" i="26"/>
  <c r="E4230" i="26" s="1"/>
  <c r="I3933" i="26"/>
  <c r="E3933" i="26" s="1"/>
  <c r="I4676" i="26"/>
  <c r="E4676" i="26" s="1"/>
  <c r="I5922" i="26"/>
  <c r="E5922" i="26" s="1"/>
  <c r="I5861" i="26"/>
  <c r="E5861" i="26" s="1"/>
  <c r="I3939" i="26"/>
  <c r="E3939" i="26" s="1"/>
  <c r="I5405" i="26"/>
  <c r="E5405" i="26" s="1"/>
  <c r="I6603" i="26"/>
  <c r="E6603" i="26" s="1"/>
  <c r="I5094" i="26"/>
  <c r="E5094" i="26" s="1"/>
  <c r="I2320" i="26"/>
  <c r="E2320" i="26" s="1"/>
  <c r="I2338" i="26"/>
  <c r="E2338" i="26" s="1"/>
  <c r="I2876" i="26"/>
  <c r="E2876" i="26" s="1"/>
  <c r="I4078" i="26"/>
  <c r="E4078" i="26" s="1"/>
  <c r="I6536" i="26"/>
  <c r="E6536" i="26" s="1"/>
  <c r="I695" i="26"/>
  <c r="E695" i="26" s="1"/>
  <c r="I4971" i="26"/>
  <c r="E4971" i="26" s="1"/>
  <c r="I10" i="26"/>
  <c r="E10" i="26" s="1"/>
  <c r="I3694" i="26"/>
  <c r="E3694" i="26" s="1"/>
  <c r="I2726" i="26"/>
  <c r="E2726" i="26" s="1"/>
  <c r="I6218" i="26"/>
  <c r="E6218" i="26" s="1"/>
  <c r="I5907" i="26"/>
  <c r="E5907" i="26" s="1"/>
  <c r="I3783" i="26"/>
  <c r="E3783" i="26" s="1"/>
  <c r="I6324" i="26"/>
  <c r="E6324" i="26" s="1"/>
  <c r="I5376" i="26"/>
  <c r="E5376" i="26" s="1"/>
  <c r="I156" i="26"/>
  <c r="E156" i="26" s="1"/>
  <c r="I2714" i="26"/>
  <c r="E2714" i="26" s="1"/>
  <c r="I4269" i="26"/>
  <c r="E4269" i="26" s="1"/>
  <c r="I4860" i="26"/>
  <c r="E4860" i="26" s="1"/>
  <c r="I6409" i="26"/>
  <c r="E6409" i="26" s="1"/>
  <c r="I6308" i="26"/>
  <c r="E6308" i="26" s="1"/>
  <c r="I5492" i="26"/>
  <c r="E5492" i="26" s="1"/>
  <c r="I5246" i="26"/>
  <c r="E5246" i="26" s="1"/>
  <c r="H4630" i="26"/>
  <c r="I3654" i="26"/>
  <c r="E3654" i="26" s="1"/>
  <c r="I6274" i="26"/>
  <c r="E6274" i="26" s="1"/>
  <c r="I2375" i="26"/>
  <c r="E2375" i="26" s="1"/>
  <c r="I5860" i="26"/>
  <c r="E5860" i="26" s="1"/>
  <c r="I3996" i="26"/>
  <c r="E3996" i="26" s="1"/>
  <c r="I2763" i="26"/>
  <c r="E2763" i="26" s="1"/>
  <c r="I5641" i="26"/>
  <c r="E5641" i="26" s="1"/>
  <c r="I5147" i="26"/>
  <c r="E5147" i="26" s="1"/>
  <c r="H155" i="26"/>
  <c r="I2369" i="26"/>
  <c r="E2369" i="26" s="1"/>
  <c r="I3400" i="26"/>
  <c r="E3400" i="26" s="1"/>
  <c r="I6239" i="26"/>
  <c r="E6239" i="26" s="1"/>
  <c r="I6244" i="26"/>
  <c r="E6244" i="26" s="1"/>
  <c r="I6354" i="26"/>
  <c r="E6354" i="26" s="1"/>
  <c r="I2838" i="26"/>
  <c r="E2838" i="26" s="1"/>
  <c r="I5443" i="26"/>
  <c r="E5443" i="26" s="1"/>
  <c r="I6784" i="26"/>
  <c r="E6784" i="26" s="1"/>
  <c r="I4339" i="26"/>
  <c r="E4339" i="26" s="1"/>
  <c r="I5403" i="26"/>
  <c r="E5403" i="26" s="1"/>
  <c r="I5847" i="26"/>
  <c r="E5847" i="26" s="1"/>
  <c r="I4841" i="26"/>
  <c r="E4841" i="26" s="1"/>
  <c r="I4458" i="26"/>
  <c r="E4458" i="26" s="1"/>
  <c r="I2463" i="26"/>
  <c r="E2463" i="26" s="1"/>
  <c r="I4207" i="26"/>
  <c r="E4207" i="26" s="1"/>
  <c r="I5203" i="26"/>
  <c r="E5203" i="26" s="1"/>
  <c r="H5030" i="26"/>
  <c r="I4320" i="26"/>
  <c r="E4320" i="26" s="1"/>
  <c r="I5765" i="26"/>
  <c r="E5765" i="26" s="1"/>
  <c r="I6260" i="26"/>
  <c r="E6260" i="26" s="1"/>
  <c r="H6487" i="26"/>
  <c r="H4769" i="26"/>
  <c r="H6540" i="26"/>
  <c r="I3582" i="26"/>
  <c r="E3582" i="26" s="1"/>
  <c r="H3660" i="26"/>
  <c r="I2659" i="26"/>
  <c r="E2659" i="26" s="1"/>
  <c r="I4475" i="26"/>
  <c r="E4475" i="26" s="1"/>
  <c r="H3018" i="26"/>
  <c r="H6312" i="26"/>
  <c r="H5052" i="26"/>
  <c r="I2609" i="26"/>
  <c r="E2609" i="26" s="1"/>
  <c r="I2301" i="26"/>
  <c r="E2301" i="26" s="1"/>
  <c r="I2517" i="26"/>
  <c r="E2517" i="26" s="1"/>
  <c r="I6739" i="26"/>
  <c r="E6739" i="26" s="1"/>
  <c r="I5536" i="26"/>
  <c r="E5536" i="26" s="1"/>
  <c r="I2911" i="26"/>
  <c r="E2911" i="26" s="1"/>
  <c r="H6338" i="26"/>
  <c r="H4337" i="26"/>
  <c r="H4287" i="26"/>
  <c r="H5297" i="26"/>
  <c r="I5007" i="26"/>
  <c r="E5007" i="26" s="1"/>
  <c r="I3841" i="26"/>
  <c r="E3841" i="26" s="1"/>
  <c r="H3388" i="26"/>
  <c r="H2264" i="26"/>
  <c r="H5426" i="26"/>
  <c r="H5050" i="26"/>
  <c r="H5174" i="26"/>
  <c r="I3977" i="26"/>
  <c r="E3977" i="26" s="1"/>
  <c r="H4736" i="26"/>
  <c r="I4116" i="26"/>
  <c r="E4116" i="26" s="1"/>
  <c r="H6012" i="26"/>
  <c r="H4647" i="26"/>
  <c r="H3657" i="26"/>
  <c r="H3278" i="26"/>
  <c r="H5673" i="26"/>
  <c r="I4488" i="26"/>
  <c r="E4488" i="26" s="1"/>
  <c r="I3077" i="26"/>
  <c r="E3077" i="26" s="1"/>
  <c r="H2757" i="26"/>
  <c r="I5090" i="26"/>
  <c r="E5090" i="26" s="1"/>
  <c r="I4586" i="26"/>
  <c r="E4586" i="26" s="1"/>
  <c r="H5987" i="26"/>
  <c r="H3752" i="26"/>
  <c r="I5265" i="26"/>
  <c r="E5265" i="26" s="1"/>
  <c r="H3328" i="26"/>
  <c r="H6684" i="26"/>
  <c r="H3392" i="26"/>
  <c r="H6389" i="26"/>
  <c r="H6433" i="26"/>
  <c r="I5549" i="26"/>
  <c r="E5549" i="26" s="1"/>
  <c r="I5725" i="26"/>
  <c r="E5725" i="26" s="1"/>
  <c r="I4499" i="26"/>
  <c r="E4499" i="26" s="1"/>
  <c r="H5438" i="26"/>
  <c r="H3123" i="26"/>
  <c r="H4508" i="26"/>
  <c r="I3854" i="26"/>
  <c r="E3854" i="26" s="1"/>
  <c r="H5143" i="26"/>
  <c r="I2627" i="26"/>
  <c r="E2627" i="26" s="1"/>
  <c r="I3458" i="26"/>
  <c r="E3458" i="26" s="1"/>
  <c r="I6492" i="26"/>
  <c r="E6492" i="26" s="1"/>
  <c r="H3178" i="26"/>
  <c r="H1527" i="26"/>
  <c r="I2622" i="26"/>
  <c r="E2622" i="26" s="1"/>
  <c r="I4727" i="26"/>
  <c r="E4727" i="26" s="1"/>
  <c r="H3411" i="26"/>
  <c r="I6694" i="26"/>
  <c r="E6694" i="26" s="1"/>
  <c r="I4635" i="26"/>
  <c r="E4635" i="26" s="1"/>
  <c r="I2865" i="26"/>
  <c r="E2865" i="26" s="1"/>
  <c r="H3633" i="26"/>
  <c r="I6519" i="26"/>
  <c r="E6519" i="26" s="1"/>
  <c r="H2334" i="26"/>
  <c r="H6663" i="26"/>
  <c r="H3331" i="26"/>
  <c r="I5273" i="26"/>
  <c r="E5273" i="26" s="1"/>
  <c r="H3853" i="26"/>
  <c r="H5175" i="26"/>
  <c r="I4995" i="26"/>
  <c r="E4995" i="26" s="1"/>
  <c r="H3013" i="26"/>
  <c r="H4081" i="26"/>
  <c r="H5509" i="26"/>
  <c r="I5429" i="26"/>
  <c r="E5429" i="26" s="1"/>
  <c r="H6626" i="26"/>
  <c r="I3234" i="26"/>
  <c r="E3234" i="26" s="1"/>
  <c r="I3696" i="26"/>
  <c r="E3696" i="26" s="1"/>
  <c r="I6541" i="26"/>
  <c r="E6541" i="26" s="1"/>
  <c r="I6606" i="26"/>
  <c r="E6606" i="26" s="1"/>
  <c r="I6179" i="26"/>
  <c r="E6179" i="26" s="1"/>
  <c r="H3765" i="26"/>
  <c r="I3339" i="26"/>
  <c r="E3339" i="26" s="1"/>
  <c r="I5778" i="26"/>
  <c r="E5778" i="26" s="1"/>
  <c r="I5961" i="26"/>
  <c r="E5961" i="26" s="1"/>
  <c r="I5355" i="26"/>
  <c r="E5355" i="26" s="1"/>
  <c r="H5807" i="26"/>
  <c r="H3909" i="26"/>
  <c r="I3464" i="26"/>
  <c r="E3464" i="26" s="1"/>
  <c r="I3838" i="26"/>
  <c r="E3838" i="26" s="1"/>
  <c r="H4206" i="26"/>
  <c r="I4487" i="26"/>
  <c r="E4487" i="26" s="1"/>
  <c r="H3673" i="26"/>
  <c r="H2255" i="26"/>
  <c r="I4610" i="26"/>
  <c r="E4610" i="26" s="1"/>
  <c r="H6419" i="26"/>
  <c r="H4009" i="26"/>
  <c r="H2301" i="26"/>
  <c r="H5752" i="26"/>
  <c r="I6305" i="26"/>
  <c r="E6305" i="26" s="1"/>
  <c r="H4168" i="26"/>
  <c r="I3336" i="26"/>
  <c r="E3336" i="26" s="1"/>
  <c r="H1496" i="26"/>
  <c r="I608" i="26"/>
  <c r="E608" i="26" s="1"/>
  <c r="I1840" i="26"/>
  <c r="E1840" i="26" s="1"/>
  <c r="I522" i="26"/>
  <c r="E522" i="26" s="1"/>
  <c r="I1149" i="26"/>
  <c r="E1149" i="26" s="1"/>
  <c r="H42" i="26"/>
  <c r="H144" i="26"/>
  <c r="H93" i="26"/>
  <c r="I4076" i="26"/>
  <c r="E4076" i="26" s="1"/>
  <c r="I3494" i="26"/>
  <c r="E3494" i="26" s="1"/>
  <c r="I1510" i="26"/>
  <c r="E1510" i="26" s="1"/>
  <c r="I4020" i="26"/>
  <c r="E4020" i="26" s="1"/>
  <c r="I3449" i="26"/>
  <c r="E3449" i="26" s="1"/>
  <c r="I3671" i="26"/>
  <c r="E3671" i="26" s="1"/>
  <c r="I6236" i="26"/>
  <c r="E6236" i="26" s="1"/>
  <c r="I2783" i="26"/>
  <c r="E2783" i="26" s="1"/>
  <c r="I5640" i="26"/>
  <c r="E5640" i="26" s="1"/>
  <c r="I3698" i="26"/>
  <c r="E3698" i="26" s="1"/>
  <c r="I4118" i="26"/>
  <c r="E4118" i="26" s="1"/>
  <c r="I2422" i="26"/>
  <c r="E2422" i="26" s="1"/>
  <c r="I5473" i="26"/>
  <c r="E5473" i="26" s="1"/>
  <c r="I4088" i="26"/>
  <c r="E4088" i="26" s="1"/>
  <c r="I2284" i="26"/>
  <c r="E2284" i="26" s="1"/>
  <c r="I3760" i="26"/>
  <c r="E3760" i="26" s="1"/>
  <c r="I5927" i="26"/>
  <c r="E5927" i="26" s="1"/>
  <c r="I5840" i="26"/>
  <c r="E5840" i="26" s="1"/>
  <c r="I5551" i="26"/>
  <c r="E5551" i="26" s="1"/>
  <c r="I2587" i="26"/>
  <c r="E2587" i="26" s="1"/>
  <c r="I6015" i="26"/>
  <c r="E6015" i="26" s="1"/>
  <c r="I4502" i="26"/>
  <c r="E4502" i="26" s="1"/>
  <c r="I2910" i="26"/>
  <c r="E2910" i="26" s="1"/>
  <c r="I2679" i="26"/>
  <c r="E2679" i="26" s="1"/>
  <c r="H3463" i="26"/>
  <c r="H65" i="26"/>
  <c r="I2755" i="26"/>
  <c r="E2755" i="26" s="1"/>
  <c r="I6378" i="26"/>
  <c r="E6378" i="26" s="1"/>
  <c r="I6625" i="26"/>
  <c r="E6625" i="26" s="1"/>
  <c r="I5140" i="26"/>
  <c r="E5140" i="26" s="1"/>
  <c r="I5122" i="26"/>
  <c r="E5122" i="26" s="1"/>
  <c r="I5475" i="26"/>
  <c r="E5475" i="26" s="1"/>
  <c r="I4702" i="26"/>
  <c r="E4702" i="26" s="1"/>
  <c r="I6650" i="26"/>
  <c r="E6650" i="26" s="1"/>
  <c r="I6662" i="26"/>
  <c r="E6662" i="26" s="1"/>
  <c r="I3198" i="26"/>
  <c r="E3198" i="26" s="1"/>
  <c r="I2839" i="26"/>
  <c r="E2839" i="26" s="1"/>
  <c r="I4188" i="26"/>
  <c r="E4188" i="26" s="1"/>
  <c r="I4981" i="26"/>
  <c r="E4981" i="26" s="1"/>
  <c r="I2435" i="26"/>
  <c r="E2435" i="26" s="1"/>
  <c r="I3469" i="26"/>
  <c r="E3469" i="26" s="1"/>
  <c r="I3058" i="26"/>
  <c r="E3058" i="26" s="1"/>
  <c r="I6456" i="26"/>
  <c r="E6456" i="26" s="1"/>
  <c r="I5511" i="26"/>
  <c r="E5511" i="26" s="1"/>
  <c r="I4558" i="26"/>
  <c r="E4558" i="26" s="1"/>
  <c r="I2667" i="26"/>
  <c r="E2667" i="26" s="1"/>
  <c r="I6762" i="26"/>
  <c r="E6762" i="26" s="1"/>
  <c r="I4099" i="26"/>
  <c r="E4099" i="26" s="1"/>
  <c r="I2625" i="26"/>
  <c r="E2625" i="26" s="1"/>
  <c r="I4885" i="26"/>
  <c r="E4885" i="26" s="1"/>
  <c r="I2742" i="26"/>
  <c r="E2742" i="26" s="1"/>
  <c r="I3138" i="26"/>
  <c r="E3138" i="26" s="1"/>
  <c r="I3092" i="26"/>
  <c r="E3092" i="26" s="1"/>
  <c r="I3959" i="26"/>
  <c r="E3959" i="26" s="1"/>
  <c r="I5063" i="26"/>
  <c r="E5063" i="26" s="1"/>
  <c r="I2513" i="26"/>
  <c r="E2513" i="26" s="1"/>
  <c r="I1056" i="26"/>
  <c r="E1056" i="26" s="1"/>
  <c r="I6717" i="26"/>
  <c r="E6717" i="26" s="1"/>
  <c r="I5726" i="26"/>
  <c r="E5726" i="26" s="1"/>
  <c r="I2421" i="26"/>
  <c r="E2421" i="26" s="1"/>
  <c r="I98" i="26"/>
  <c r="E98" i="26" s="1"/>
  <c r="I6223" i="26"/>
  <c r="E6223" i="26" s="1"/>
  <c r="I6680" i="26"/>
  <c r="E6680" i="26" s="1"/>
  <c r="I5456" i="26"/>
  <c r="E5456" i="26" s="1"/>
  <c r="I5058" i="26"/>
  <c r="E5058" i="26" s="1"/>
  <c r="I5626" i="26"/>
  <c r="E5626" i="26" s="1"/>
  <c r="I4640" i="26"/>
  <c r="E4640" i="26" s="1"/>
  <c r="I6373" i="26"/>
  <c r="E6373" i="26" s="1"/>
  <c r="I6539" i="26"/>
  <c r="E6539" i="26" s="1"/>
  <c r="I3401" i="26"/>
  <c r="E3401" i="26" s="1"/>
  <c r="I5625" i="26"/>
  <c r="E5625" i="26" s="1"/>
  <c r="I6062" i="26"/>
  <c r="E6062" i="26" s="1"/>
  <c r="I4847" i="26"/>
  <c r="E4847" i="26" s="1"/>
  <c r="I4741" i="26"/>
  <c r="E4741" i="26" s="1"/>
  <c r="I4510" i="26"/>
  <c r="E4510" i="26" s="1"/>
  <c r="I5935" i="26"/>
  <c r="E5935" i="26" s="1"/>
  <c r="I5410" i="26"/>
  <c r="E5410" i="26" s="1"/>
  <c r="I4519" i="26"/>
  <c r="E4519" i="26" s="1"/>
  <c r="I3791" i="26"/>
  <c r="E3791" i="26" s="1"/>
  <c r="H2076" i="26"/>
  <c r="I5500" i="26"/>
  <c r="E5500" i="26" s="1"/>
  <c r="I2976" i="26"/>
  <c r="E2976" i="26" s="1"/>
  <c r="I4937" i="26"/>
  <c r="E4937" i="26" s="1"/>
  <c r="I3993" i="26"/>
  <c r="E3993" i="26" s="1"/>
  <c r="I6075" i="26"/>
  <c r="E6075" i="26" s="1"/>
  <c r="I3392" i="26"/>
  <c r="E3392" i="26" s="1"/>
  <c r="I3565" i="26"/>
  <c r="E3565" i="26" s="1"/>
  <c r="I5855" i="26"/>
  <c r="E5855" i="26" s="1"/>
  <c r="H6755" i="26"/>
  <c r="H130" i="26"/>
  <c r="I4572" i="26"/>
  <c r="E4572" i="26" s="1"/>
  <c r="I1066" i="26"/>
  <c r="E1066" i="26" s="1"/>
  <c r="I2718" i="26"/>
  <c r="E2718" i="26" s="1"/>
  <c r="I3455" i="26"/>
  <c r="E3455" i="26" s="1"/>
  <c r="I5040" i="26"/>
  <c r="E5040" i="26" s="1"/>
  <c r="I3536" i="26"/>
  <c r="E3536" i="26" s="1"/>
  <c r="I5292" i="26"/>
  <c r="E5292" i="26" s="1"/>
  <c r="I5887" i="26"/>
  <c r="E5887" i="26" s="1"/>
  <c r="I5753" i="26"/>
  <c r="E5753" i="26" s="1"/>
  <c r="I4884" i="26"/>
  <c r="E4884" i="26" s="1"/>
  <c r="I3126" i="26"/>
  <c r="E3126" i="26" s="1"/>
  <c r="I4377" i="26"/>
  <c r="E4377" i="26" s="1"/>
  <c r="I2947" i="26"/>
  <c r="E2947" i="26" s="1"/>
  <c r="I4277" i="26"/>
  <c r="E4277" i="26" s="1"/>
  <c r="I4577" i="26"/>
  <c r="E4577" i="26" s="1"/>
  <c r="I5300" i="26"/>
  <c r="E5300" i="26" s="1"/>
  <c r="I5648" i="26"/>
  <c r="E5648" i="26" s="1"/>
  <c r="I5693" i="26"/>
  <c r="E5693" i="26" s="1"/>
  <c r="I4183" i="26"/>
  <c r="E4183" i="26" s="1"/>
  <c r="I5103" i="26"/>
  <c r="E5103" i="26" s="1"/>
  <c r="I1512" i="26"/>
  <c r="E1512" i="26" s="1"/>
  <c r="I3860" i="26"/>
  <c r="E3860" i="26" s="1"/>
  <c r="I6109" i="26"/>
  <c r="E6109" i="26" s="1"/>
  <c r="H5372" i="26"/>
  <c r="H79" i="26"/>
  <c r="I6600" i="26"/>
  <c r="E6600" i="26" s="1"/>
  <c r="I5278" i="26"/>
  <c r="E5278" i="26" s="1"/>
  <c r="I3929" i="26"/>
  <c r="E3929" i="26" s="1"/>
  <c r="I4544" i="26"/>
  <c r="E4544" i="26" s="1"/>
  <c r="I5569" i="26"/>
  <c r="E5569" i="26" s="1"/>
  <c r="I4780" i="26"/>
  <c r="E4780" i="26" s="1"/>
  <c r="I3614" i="26"/>
  <c r="E3614" i="26" s="1"/>
  <c r="I1061" i="26"/>
  <c r="E1061" i="26" s="1"/>
  <c r="I4535" i="26"/>
  <c r="E4535" i="26" s="1"/>
  <c r="I2324" i="26"/>
  <c r="E2324" i="26" s="1"/>
  <c r="I6398" i="26"/>
  <c r="E6398" i="26" s="1"/>
  <c r="I3430" i="26"/>
  <c r="E3430" i="26" s="1"/>
  <c r="I4501" i="26"/>
  <c r="E4501" i="26" s="1"/>
  <c r="I5200" i="26"/>
  <c r="E5200" i="26" s="1"/>
  <c r="H1702" i="26"/>
  <c r="I3416" i="26"/>
  <c r="E3416" i="26" s="1"/>
  <c r="I80" i="26"/>
  <c r="E80" i="26" s="1"/>
  <c r="I5548" i="26"/>
  <c r="E5548" i="26" s="1"/>
  <c r="I2474" i="26"/>
  <c r="E2474" i="26" s="1"/>
  <c r="I5659" i="26"/>
  <c r="E5659" i="26" s="1"/>
  <c r="I5108" i="26"/>
  <c r="E5108" i="26" s="1"/>
  <c r="I4170" i="26"/>
  <c r="E4170" i="26" s="1"/>
  <c r="I5978" i="26"/>
  <c r="E5978" i="26" s="1"/>
  <c r="I2790" i="26"/>
  <c r="E2790" i="26" s="1"/>
  <c r="I1898" i="26"/>
  <c r="E1898" i="26" s="1"/>
  <c r="I5787" i="26"/>
  <c r="E5787" i="26" s="1"/>
  <c r="I4902" i="26"/>
  <c r="E4902" i="26" s="1"/>
  <c r="I4905" i="26"/>
  <c r="E4905" i="26" s="1"/>
  <c r="I3643" i="26"/>
  <c r="E3643" i="26" s="1"/>
  <c r="I4503" i="26"/>
  <c r="E4503" i="26" s="1"/>
  <c r="I6052" i="26"/>
  <c r="E6052" i="26" s="1"/>
  <c r="I3150" i="26"/>
  <c r="E3150" i="26" s="1"/>
  <c r="I2914" i="26"/>
  <c r="E2914" i="26" s="1"/>
  <c r="I3216" i="26"/>
  <c r="E3216" i="26" s="1"/>
  <c r="H6232" i="26"/>
  <c r="I4978" i="26"/>
  <c r="E4978" i="26" s="1"/>
  <c r="I5290" i="26"/>
  <c r="E5290" i="26" s="1"/>
  <c r="H5351" i="26"/>
  <c r="H2622" i="26"/>
  <c r="H6618" i="26"/>
  <c r="I4133" i="26"/>
  <c r="E4133" i="26" s="1"/>
  <c r="I2756" i="26"/>
  <c r="E2756" i="26" s="1"/>
  <c r="I6225" i="26"/>
  <c r="E6225" i="26" s="1"/>
  <c r="I4102" i="26"/>
  <c r="E4102" i="26" s="1"/>
  <c r="I5706" i="26"/>
  <c r="E5706" i="26" s="1"/>
  <c r="I3115" i="26"/>
  <c r="E3115" i="26" s="1"/>
  <c r="H4529" i="26"/>
  <c r="H3574" i="26"/>
  <c r="H5879" i="26"/>
  <c r="H5463" i="26"/>
  <c r="H4402" i="26"/>
  <c r="I5357" i="26"/>
  <c r="E5357" i="26" s="1"/>
  <c r="I4917" i="26"/>
  <c r="E4917" i="26" s="1"/>
  <c r="H3871" i="26"/>
  <c r="H4344" i="26"/>
  <c r="H4921" i="26"/>
  <c r="H4911" i="26"/>
  <c r="I6706" i="26"/>
  <c r="E6706" i="26" s="1"/>
  <c r="I4129" i="26"/>
  <c r="E4129" i="26" s="1"/>
  <c r="I3175" i="26"/>
  <c r="E3175" i="26" s="1"/>
  <c r="I5400" i="26"/>
  <c r="E5400" i="26" s="1"/>
  <c r="H5570" i="26"/>
  <c r="I3049" i="26"/>
  <c r="E3049" i="26" s="1"/>
  <c r="H4001" i="26"/>
  <c r="H3921" i="26"/>
  <c r="I6676" i="26"/>
  <c r="E6676" i="26" s="1"/>
  <c r="I4335" i="26"/>
  <c r="E4335" i="26" s="1"/>
  <c r="I4266" i="26"/>
  <c r="E4266" i="26" s="1"/>
  <c r="I3195" i="26"/>
  <c r="E3195" i="26" s="1"/>
  <c r="I3711" i="26"/>
  <c r="E3711" i="26" s="1"/>
  <c r="H3749" i="26"/>
  <c r="H4642" i="26"/>
  <c r="H4293" i="26"/>
  <c r="I5535" i="26"/>
  <c r="E5535" i="26" s="1"/>
  <c r="I6445" i="26"/>
  <c r="E6445" i="26" s="1"/>
  <c r="H3286" i="26"/>
  <c r="I6279" i="26"/>
  <c r="E6279" i="26" s="1"/>
  <c r="I5211" i="26"/>
  <c r="E5211" i="26" s="1"/>
  <c r="I4774" i="26"/>
  <c r="E4774" i="26" s="1"/>
  <c r="I5886" i="26"/>
  <c r="E5886" i="26" s="1"/>
  <c r="H1507" i="26"/>
  <c r="I4658" i="26"/>
  <c r="E4658" i="26" s="1"/>
  <c r="I5918" i="26"/>
  <c r="E5918" i="26" s="1"/>
  <c r="H3004" i="26"/>
  <c r="H3676" i="26"/>
  <c r="I5610" i="26"/>
  <c r="E5610" i="26" s="1"/>
  <c r="I4591" i="26"/>
  <c r="E4591" i="26" s="1"/>
  <c r="H3088" i="26"/>
  <c r="I6065" i="26"/>
  <c r="E6065" i="26" s="1"/>
  <c r="H4216" i="26"/>
  <c r="H4655" i="26"/>
  <c r="I3986" i="26"/>
  <c r="E3986" i="26" s="1"/>
  <c r="H3337" i="26"/>
  <c r="I2294" i="26"/>
  <c r="E2294" i="26" s="1"/>
  <c r="I5121" i="26"/>
  <c r="E5121" i="26" s="1"/>
  <c r="H3226" i="26"/>
  <c r="H6381" i="26"/>
  <c r="H2689" i="26"/>
  <c r="I4858" i="26"/>
  <c r="E4858" i="26" s="1"/>
  <c r="I2762" i="26"/>
  <c r="E2762" i="26" s="1"/>
  <c r="I3948" i="26"/>
  <c r="E3948" i="26" s="1"/>
  <c r="I4975" i="26"/>
  <c r="E4975" i="26" s="1"/>
  <c r="H3829" i="26"/>
  <c r="H1050" i="26"/>
  <c r="I5295" i="26"/>
  <c r="E5295" i="26" s="1"/>
  <c r="H5801" i="26"/>
  <c r="I2782" i="26"/>
  <c r="E2782" i="26" s="1"/>
  <c r="H2749" i="26"/>
  <c r="H3549" i="26"/>
  <c r="I6505" i="26"/>
  <c r="E6505" i="26" s="1"/>
  <c r="I6677" i="26"/>
  <c r="E6677" i="26" s="1"/>
  <c r="I2352" i="26"/>
  <c r="E2352" i="26" s="1"/>
  <c r="I6231" i="26"/>
  <c r="E6231" i="26" s="1"/>
  <c r="H2789" i="26"/>
  <c r="H5666" i="26"/>
  <c r="H2948" i="26"/>
  <c r="I2942" i="26"/>
  <c r="E2942" i="26" s="1"/>
  <c r="H6189" i="26"/>
  <c r="H2634" i="26"/>
  <c r="I2261" i="26"/>
  <c r="E2261" i="26" s="1"/>
  <c r="I6552" i="26"/>
  <c r="E6552" i="26" s="1"/>
  <c r="I4842" i="26"/>
  <c r="E4842" i="26" s="1"/>
  <c r="H6038" i="26"/>
  <c r="I4243" i="26"/>
  <c r="E4243" i="26" s="1"/>
  <c r="I4370" i="26"/>
  <c r="E4370" i="26" s="1"/>
  <c r="I2938" i="26"/>
  <c r="E2938" i="26" s="1"/>
  <c r="I4772" i="26"/>
  <c r="E4772" i="26" s="1"/>
  <c r="I3270" i="26"/>
  <c r="E3270" i="26" s="1"/>
  <c r="H3122" i="26"/>
  <c r="I2986" i="26"/>
  <c r="E2986" i="26" s="1"/>
  <c r="H6453" i="26"/>
  <c r="H2771" i="26"/>
  <c r="H3045" i="26"/>
  <c r="H5702" i="26"/>
  <c r="I6702" i="26"/>
  <c r="E6702" i="26" s="1"/>
  <c r="I4087" i="26"/>
  <c r="E4087" i="26" s="1"/>
  <c r="I3621" i="26"/>
  <c r="E3621" i="26" s="1"/>
  <c r="H3653" i="26"/>
  <c r="H1526" i="26"/>
  <c r="H4202" i="26"/>
  <c r="H4685" i="26"/>
  <c r="I4759" i="26"/>
  <c r="E4759" i="26" s="1"/>
  <c r="I3963" i="26"/>
  <c r="E3963" i="26" s="1"/>
  <c r="H2579" i="26"/>
  <c r="H634" i="26"/>
  <c r="H641" i="26"/>
  <c r="I4617" i="26"/>
  <c r="E4617" i="26" s="1"/>
  <c r="I3283" i="26"/>
  <c r="E3283" i="26" s="1"/>
  <c r="I6250" i="26"/>
  <c r="E6250" i="26" s="1"/>
  <c r="I6507" i="26"/>
  <c r="E6507" i="26" s="1"/>
  <c r="I4267" i="26"/>
  <c r="E4267" i="26" s="1"/>
  <c r="I4911" i="26"/>
  <c r="E4911" i="26" s="1"/>
  <c r="I2501" i="26"/>
  <c r="E2501" i="26" s="1"/>
  <c r="I5510" i="26"/>
  <c r="E5510" i="26" s="1"/>
  <c r="I3848" i="26"/>
  <c r="E3848" i="26" s="1"/>
  <c r="I2886" i="26"/>
  <c r="E2886" i="26" s="1"/>
  <c r="H5794" i="26"/>
  <c r="I3673" i="26"/>
  <c r="E3673" i="26" s="1"/>
  <c r="I6651" i="26"/>
  <c r="E6651" i="26" s="1"/>
  <c r="I5758" i="26"/>
  <c r="E5758" i="26" s="1"/>
  <c r="H2627" i="26"/>
  <c r="H4215" i="26"/>
  <c r="H6607" i="26"/>
  <c r="I3624" i="26"/>
  <c r="E3624" i="26" s="1"/>
  <c r="H2674" i="26"/>
  <c r="H5041" i="26"/>
  <c r="H5978" i="26"/>
  <c r="H3076" i="26"/>
  <c r="I6352" i="26"/>
  <c r="E6352" i="26" s="1"/>
  <c r="H2498" i="26"/>
  <c r="H6561" i="26"/>
  <c r="I4892" i="26"/>
  <c r="E4892" i="26" s="1"/>
  <c r="H3134" i="26"/>
  <c r="I2988" i="26"/>
  <c r="E2988" i="26" s="1"/>
  <c r="I4460" i="26"/>
  <c r="E4460" i="26" s="1"/>
  <c r="H3129" i="26"/>
  <c r="I4928" i="26"/>
  <c r="E4928" i="26" s="1"/>
  <c r="I4251" i="26"/>
  <c r="E4251" i="26" s="1"/>
  <c r="I3235" i="26"/>
  <c r="E3235" i="26" s="1"/>
  <c r="I3222" i="26"/>
  <c r="E3222" i="26" s="1"/>
  <c r="H3193" i="26"/>
  <c r="H6444" i="26"/>
  <c r="H2335" i="26"/>
  <c r="H6234" i="26"/>
  <c r="I3737" i="26"/>
  <c r="E3737" i="26" s="1"/>
  <c r="H3856" i="26"/>
  <c r="I3556" i="26"/>
  <c r="E3556" i="26" s="1"/>
  <c r="I4224" i="26"/>
  <c r="E4224" i="26" s="1"/>
  <c r="H3857" i="26"/>
  <c r="I2492" i="26"/>
  <c r="E2492" i="26" s="1"/>
  <c r="H4763" i="26"/>
  <c r="H4028" i="26"/>
  <c r="H3519" i="26"/>
  <c r="I3584" i="26"/>
  <c r="E3584" i="26" s="1"/>
  <c r="I4363" i="26"/>
  <c r="E4363" i="26" s="1"/>
  <c r="H3947" i="26"/>
  <c r="H4842" i="26"/>
  <c r="H2314" i="26"/>
  <c r="I3782" i="26"/>
  <c r="E3782" i="26" s="1"/>
  <c r="I5867" i="26"/>
  <c r="E5867" i="26" s="1"/>
  <c r="H3177" i="26"/>
  <c r="I6783" i="26"/>
  <c r="E6783" i="26" s="1"/>
  <c r="I5509" i="26"/>
  <c r="E5509" i="26" s="1"/>
  <c r="I6333" i="26"/>
  <c r="E6333" i="26" s="1"/>
  <c r="H4292" i="26"/>
  <c r="H4064" i="26"/>
  <c r="H6727" i="26"/>
  <c r="I4199" i="26"/>
  <c r="E4199" i="26" s="1"/>
  <c r="H3406" i="26"/>
  <c r="H2991" i="26"/>
  <c r="H6205" i="26"/>
  <c r="H4395" i="26"/>
  <c r="H5190" i="26"/>
  <c r="I2868" i="26"/>
  <c r="E2868" i="26" s="1"/>
  <c r="H2499" i="26"/>
  <c r="I4240" i="26"/>
  <c r="E4240" i="26" s="1"/>
  <c r="I6152" i="26"/>
  <c r="E6152" i="26" s="1"/>
  <c r="I6035" i="26"/>
  <c r="E6035" i="26" s="1"/>
  <c r="H5288" i="26"/>
  <c r="I3555" i="26"/>
  <c r="E3555" i="26" s="1"/>
  <c r="I4528" i="26"/>
  <c r="E4528" i="26" s="1"/>
  <c r="H3348" i="26"/>
  <c r="H4244" i="26"/>
  <c r="I3152" i="26"/>
  <c r="E3152" i="26" s="1"/>
  <c r="H4097" i="26"/>
  <c r="H6700" i="26"/>
  <c r="H5605" i="26"/>
  <c r="H6288" i="26"/>
  <c r="I4494" i="26"/>
  <c r="E4494" i="26" s="1"/>
  <c r="H3462" i="26"/>
  <c r="H2936" i="26"/>
  <c r="I4900" i="26"/>
  <c r="E4900" i="26" s="1"/>
  <c r="I2638" i="26"/>
  <c r="E2638" i="26" s="1"/>
  <c r="H3465" i="26"/>
  <c r="H4687" i="26"/>
  <c r="H2731" i="26"/>
  <c r="I3709" i="26"/>
  <c r="E3709" i="26" s="1"/>
  <c r="I2436" i="26"/>
  <c r="E2436" i="26" s="1"/>
  <c r="H2612" i="26"/>
  <c r="H5798" i="26"/>
  <c r="I3284" i="26"/>
  <c r="E3284" i="26" s="1"/>
  <c r="I2152" i="26"/>
  <c r="E2152" i="26" s="1"/>
  <c r="H2502" i="26"/>
  <c r="H3022" i="26"/>
  <c r="H6474" i="26"/>
  <c r="H3275" i="26"/>
  <c r="H4805" i="26"/>
  <c r="H4117" i="26"/>
  <c r="H3405" i="26"/>
  <c r="H3773" i="26"/>
  <c r="H1907" i="26"/>
  <c r="H5626" i="26"/>
  <c r="H5397" i="26"/>
  <c r="I4963" i="26"/>
  <c r="E4963" i="26" s="1"/>
  <c r="I2549" i="26"/>
  <c r="E2549" i="26" s="1"/>
  <c r="I3749" i="26"/>
  <c r="E3749" i="26" s="1"/>
  <c r="H3846" i="26"/>
  <c r="H2837" i="26"/>
  <c r="H3117" i="26"/>
  <c r="H4167" i="26"/>
  <c r="H3068" i="26"/>
  <c r="H6337" i="26"/>
  <c r="I6712" i="26"/>
  <c r="E6712" i="26" s="1"/>
  <c r="H2503" i="26"/>
  <c r="H2330" i="26"/>
  <c r="H2947" i="26"/>
  <c r="H2591" i="26"/>
  <c r="H2126" i="26"/>
  <c r="H5146" i="26"/>
  <c r="H5265" i="26"/>
  <c r="H3505" i="26"/>
  <c r="H1153" i="26"/>
  <c r="H3687" i="26"/>
  <c r="I3282" i="26"/>
  <c r="E3282" i="26" s="1"/>
  <c r="H5324" i="26"/>
  <c r="I6668" i="26"/>
  <c r="E6668" i="26" s="1"/>
  <c r="H6439" i="26"/>
  <c r="H1307" i="26"/>
  <c r="I4075" i="26"/>
  <c r="E4075" i="26" s="1"/>
  <c r="H4467" i="26"/>
  <c r="I6396" i="26"/>
  <c r="E6396" i="26" s="1"/>
  <c r="H5274" i="26"/>
  <c r="H3696" i="26"/>
  <c r="H4530" i="26"/>
  <c r="I2272" i="26"/>
  <c r="E2272" i="26" s="1"/>
  <c r="H3656" i="26"/>
  <c r="H5226" i="26"/>
  <c r="I4935" i="26"/>
  <c r="E4935" i="26" s="1"/>
  <c r="H5841" i="26"/>
  <c r="H2641" i="26"/>
  <c r="H1096" i="26"/>
  <c r="I4495" i="26"/>
  <c r="E4495" i="26" s="1"/>
  <c r="H4400" i="26"/>
  <c r="I3477" i="26"/>
  <c r="E3477" i="26" s="1"/>
  <c r="H6137" i="26"/>
  <c r="I1302" i="26"/>
  <c r="E1302" i="26" s="1"/>
  <c r="I2175" i="26"/>
  <c r="E2175" i="26" s="1"/>
  <c r="H5352" i="26"/>
  <c r="H3313" i="26"/>
  <c r="H5135" i="26"/>
  <c r="I5613" i="26"/>
  <c r="E5613" i="26" s="1"/>
  <c r="H6466" i="26"/>
  <c r="H3636" i="26"/>
  <c r="H1084" i="26"/>
  <c r="H2655" i="26"/>
  <c r="H6065" i="26"/>
  <c r="H6391" i="26"/>
  <c r="H2327" i="26"/>
  <c r="H715" i="26"/>
  <c r="H799" i="26"/>
  <c r="H3409" i="26"/>
  <c r="H5894" i="26"/>
  <c r="H5334" i="26"/>
  <c r="I5686" i="26"/>
  <c r="E5686" i="26" s="1"/>
  <c r="H4968" i="26"/>
  <c r="H2411" i="26"/>
  <c r="H1919" i="26"/>
  <c r="H6544" i="26"/>
  <c r="H5795" i="26"/>
  <c r="H5367" i="26"/>
  <c r="H4491" i="26"/>
  <c r="I1307" i="26"/>
  <c r="E1307" i="26" s="1"/>
  <c r="H1390" i="26"/>
  <c r="H4312" i="26"/>
  <c r="H4591" i="26"/>
  <c r="I2244" i="26"/>
  <c r="E2244" i="26" s="1"/>
  <c r="I2445" i="26"/>
  <c r="E2445" i="26" s="1"/>
  <c r="H4919" i="26"/>
  <c r="I2642" i="26"/>
  <c r="E2642" i="26" s="1"/>
  <c r="I731" i="26"/>
  <c r="E731" i="26" s="1"/>
  <c r="H6210" i="26"/>
  <c r="H1304" i="26"/>
  <c r="I4059" i="26"/>
  <c r="E4059" i="26" s="1"/>
  <c r="H4618" i="26"/>
  <c r="H4018" i="26"/>
  <c r="H2418" i="26"/>
  <c r="H5653" i="26"/>
  <c r="H5613" i="26"/>
  <c r="H6026" i="26"/>
  <c r="H6305" i="26"/>
  <c r="H6465" i="26"/>
  <c r="H2272" i="26"/>
  <c r="H2753" i="26"/>
  <c r="H3510" i="26"/>
  <c r="H5921" i="26"/>
  <c r="H5081" i="26"/>
  <c r="I4312" i="26"/>
  <c r="E4312" i="26" s="1"/>
  <c r="I2931" i="26"/>
  <c r="E2931" i="26" s="1"/>
  <c r="H5114" i="26"/>
  <c r="I2652" i="26"/>
  <c r="E2652" i="26" s="1"/>
  <c r="H2355" i="26"/>
  <c r="H5655" i="26"/>
  <c r="H6318" i="26"/>
  <c r="H5090" i="26"/>
  <c r="I767" i="26"/>
  <c r="E767" i="26" s="1"/>
  <c r="H4190" i="26"/>
  <c r="I5406" i="26"/>
  <c r="E5406" i="26" s="1"/>
  <c r="H4744" i="26"/>
  <c r="H4180" i="26"/>
  <c r="I6057" i="26"/>
  <c r="E6057" i="26" s="1"/>
  <c r="I4372" i="26"/>
  <c r="E4372" i="26" s="1"/>
  <c r="H5578" i="26"/>
  <c r="H4945" i="26"/>
  <c r="I1312" i="26"/>
  <c r="E1312" i="26" s="1"/>
  <c r="H5837" i="26"/>
  <c r="H6100" i="26"/>
  <c r="H6342" i="26"/>
  <c r="H3135" i="26"/>
  <c r="H2376" i="26"/>
  <c r="H4397" i="26"/>
  <c r="H3315" i="26"/>
  <c r="H5163" i="26"/>
  <c r="H1929" i="26"/>
  <c r="I3445" i="26"/>
  <c r="E3445" i="26" s="1"/>
  <c r="I4443" i="26"/>
  <c r="E4443" i="26" s="1"/>
  <c r="H5880" i="26"/>
  <c r="H5511" i="26"/>
  <c r="H6667" i="26"/>
  <c r="H4788" i="26"/>
  <c r="I2149" i="26"/>
  <c r="E2149" i="26" s="1"/>
  <c r="H2945" i="26"/>
  <c r="H3168" i="26"/>
  <c r="H5842" i="26"/>
  <c r="I5137" i="26"/>
  <c r="E5137" i="26" s="1"/>
  <c r="H4583" i="26"/>
  <c r="H1790" i="26"/>
  <c r="H4596" i="26"/>
  <c r="H1356" i="26"/>
  <c r="I449" i="26"/>
  <c r="E449" i="26" s="1"/>
  <c r="I571" i="26"/>
  <c r="E571" i="26" s="1"/>
  <c r="I834" i="26"/>
  <c r="E834" i="26" s="1"/>
  <c r="I1959" i="26"/>
  <c r="E1959" i="26" s="1"/>
  <c r="H1732" i="26"/>
  <c r="H3614" i="26"/>
  <c r="I760" i="26"/>
  <c r="E760" i="26" s="1"/>
  <c r="H6534" i="26"/>
  <c r="I534" i="26"/>
  <c r="E534" i="26" s="1"/>
  <c r="H1011" i="26"/>
  <c r="I1693" i="26"/>
  <c r="E1693" i="26" s="1"/>
  <c r="I807" i="26"/>
  <c r="E807" i="26" s="1"/>
  <c r="H296" i="26"/>
  <c r="I737" i="26"/>
  <c r="E737" i="26" s="1"/>
  <c r="H2251" i="26"/>
  <c r="H1764" i="26"/>
  <c r="H2442" i="26"/>
  <c r="I205" i="26"/>
  <c r="E205" i="26" s="1"/>
  <c r="I671" i="26"/>
  <c r="E671" i="26" s="1"/>
  <c r="H2069" i="26"/>
  <c r="H2015" i="26"/>
  <c r="I334" i="26"/>
  <c r="E334" i="26" s="1"/>
  <c r="H3955" i="26"/>
  <c r="H5091" i="26"/>
  <c r="H3736" i="26"/>
  <c r="I6213" i="26"/>
  <c r="E6213" i="26" s="1"/>
  <c r="H2174" i="26"/>
  <c r="H242" i="26"/>
  <c r="H962" i="26"/>
  <c r="H2054" i="26"/>
  <c r="I1612" i="26"/>
  <c r="E1612" i="26" s="1"/>
  <c r="H6249" i="26"/>
  <c r="H3273" i="26"/>
  <c r="H5026" i="26"/>
  <c r="H5753" i="26"/>
  <c r="I2084" i="26"/>
  <c r="E2084" i="26" s="1"/>
  <c r="I254" i="26"/>
  <c r="E254" i="26" s="1"/>
  <c r="H1256" i="26"/>
  <c r="H3781" i="26"/>
  <c r="H4276" i="26"/>
  <c r="H4448" i="26"/>
  <c r="H2445" i="26"/>
  <c r="H2010" i="26"/>
  <c r="H499" i="26"/>
  <c r="H972" i="26"/>
  <c r="H5303" i="26"/>
  <c r="H1563" i="26"/>
  <c r="H5138" i="26"/>
  <c r="I4195" i="26"/>
  <c r="E4195" i="26" s="1"/>
  <c r="H2032" i="26"/>
  <c r="H3206" i="26"/>
  <c r="I6343" i="26"/>
  <c r="E6343" i="26" s="1"/>
  <c r="H3259" i="26"/>
  <c r="I1934" i="26"/>
  <c r="E1934" i="26" s="1"/>
  <c r="H2981" i="26"/>
  <c r="I3573" i="26"/>
  <c r="E3573" i="26" s="1"/>
  <c r="H1433" i="26"/>
  <c r="H1154" i="26"/>
  <c r="I4914" i="26"/>
  <c r="E4914" i="26" s="1"/>
  <c r="H4638" i="26"/>
  <c r="H1715" i="26"/>
  <c r="H6673" i="26"/>
  <c r="I1036" i="26"/>
  <c r="E1036" i="26" s="1"/>
  <c r="I868" i="26"/>
  <c r="E868" i="26" s="1"/>
  <c r="I1817" i="26"/>
  <c r="E1817" i="26" s="1"/>
  <c r="I5248" i="26"/>
  <c r="E5248" i="26" s="1"/>
  <c r="H4971" i="26"/>
  <c r="H1603" i="26"/>
  <c r="H2511" i="26"/>
  <c r="H5210" i="26"/>
  <c r="I313" i="26"/>
  <c r="E313" i="26" s="1"/>
  <c r="H878" i="26"/>
  <c r="I2092" i="26"/>
  <c r="E2092" i="26" s="1"/>
  <c r="H5838" i="26"/>
  <c r="I1591" i="26"/>
  <c r="E1591" i="26" s="1"/>
  <c r="H2325" i="26"/>
  <c r="H2159" i="26"/>
  <c r="H311" i="26"/>
  <c r="H2001" i="26"/>
  <c r="H1041" i="26"/>
  <c r="I5829" i="26"/>
  <c r="E5829" i="26" s="1"/>
  <c r="I3870" i="26"/>
  <c r="E3870" i="26" s="1"/>
  <c r="I4645" i="26"/>
  <c r="E4645" i="26" s="1"/>
  <c r="I3460" i="26"/>
  <c r="E3460" i="26" s="1"/>
  <c r="I4249" i="26"/>
  <c r="E4249" i="26" s="1"/>
  <c r="I6655" i="26"/>
  <c r="E6655" i="26" s="1"/>
  <c r="I2776" i="26"/>
  <c r="E2776" i="26" s="1"/>
  <c r="I145" i="26"/>
  <c r="E145" i="26" s="1"/>
  <c r="I4316" i="26"/>
  <c r="E4316" i="26" s="1"/>
  <c r="I3060" i="26"/>
  <c r="E3060" i="26" s="1"/>
  <c r="I5919" i="26"/>
  <c r="E5919" i="26" s="1"/>
  <c r="I6029" i="26"/>
  <c r="E6029" i="26" s="1"/>
  <c r="I2983" i="26"/>
  <c r="E2983" i="26" s="1"/>
  <c r="H6007" i="26"/>
  <c r="H4832" i="26"/>
  <c r="H2432" i="26"/>
  <c r="I2628" i="26"/>
  <c r="E2628" i="26" s="1"/>
  <c r="H4751" i="26"/>
  <c r="H6753" i="26"/>
  <c r="I4940" i="26"/>
  <c r="E4940" i="26" s="1"/>
  <c r="H4002" i="26"/>
  <c r="H6036" i="26"/>
  <c r="H2680" i="26"/>
  <c r="H5927" i="26"/>
  <c r="H3907" i="26"/>
  <c r="H6478" i="26"/>
  <c r="H3596" i="26"/>
  <c r="H1512" i="26"/>
  <c r="I5440" i="26"/>
  <c r="E5440" i="26" s="1"/>
  <c r="H6199" i="26"/>
  <c r="H3294" i="26"/>
  <c r="H3204" i="26"/>
  <c r="I5520" i="26"/>
  <c r="E5520" i="26" s="1"/>
  <c r="I1523" i="26"/>
  <c r="E1523" i="26" s="1"/>
  <c r="I3779" i="26"/>
  <c r="E3779" i="26" s="1"/>
  <c r="H3820" i="26"/>
  <c r="I3300" i="26"/>
  <c r="E3300" i="26" s="1"/>
  <c r="I4470" i="26"/>
  <c r="E4470" i="26" s="1"/>
  <c r="I6064" i="26"/>
  <c r="E6064" i="26" s="1"/>
  <c r="H5071" i="26"/>
  <c r="H2435" i="26"/>
  <c r="H3724" i="26"/>
  <c r="H5620" i="26"/>
  <c r="H6313" i="26"/>
  <c r="H6575" i="26"/>
  <c r="H2457" i="26"/>
  <c r="H5233" i="26"/>
  <c r="I6118" i="26"/>
  <c r="E6118" i="26" s="1"/>
  <c r="H3208" i="26"/>
  <c r="I2372" i="26"/>
  <c r="E2372" i="26" s="1"/>
  <c r="I4611" i="26"/>
  <c r="E4611" i="26" s="1"/>
  <c r="I6262" i="26"/>
  <c r="E6262" i="26" s="1"/>
  <c r="I4187" i="26"/>
  <c r="E4187" i="26" s="1"/>
  <c r="I6504" i="26"/>
  <c r="E6504" i="26" s="1"/>
  <c r="I5630" i="26"/>
  <c r="E5630" i="26" s="1"/>
  <c r="H5569" i="26"/>
  <c r="H4320" i="26"/>
  <c r="I3818" i="26"/>
  <c r="E3818" i="26" s="1"/>
  <c r="I2624" i="26"/>
  <c r="E2624" i="26" s="1"/>
  <c r="H3305" i="26"/>
  <c r="H3298" i="26"/>
  <c r="I3334" i="26"/>
  <c r="E3334" i="26" s="1"/>
  <c r="I2364" i="26"/>
  <c r="E2364" i="26" s="1"/>
  <c r="H2779" i="26"/>
  <c r="I4760" i="26"/>
  <c r="E4760" i="26" s="1"/>
  <c r="H2663" i="26"/>
  <c r="H5536" i="26"/>
  <c r="I5770" i="26"/>
  <c r="E5770" i="26" s="1"/>
  <c r="I5212" i="26"/>
  <c r="E5212" i="26" s="1"/>
  <c r="I5173" i="26"/>
  <c r="E5173" i="26" s="1"/>
  <c r="H5248" i="26"/>
  <c r="H3548" i="26"/>
  <c r="I2075" i="26"/>
  <c r="E2075" i="26" s="1"/>
  <c r="H4040" i="26"/>
  <c r="I3119" i="26"/>
  <c r="E3119" i="26" s="1"/>
  <c r="H2640" i="26"/>
  <c r="H6307" i="26"/>
  <c r="H6080" i="26"/>
  <c r="H3929" i="26"/>
  <c r="H5622" i="26"/>
  <c r="H5637" i="26"/>
  <c r="I5812" i="26"/>
  <c r="E5812" i="26" s="1"/>
  <c r="I5309" i="26"/>
  <c r="E5309" i="26" s="1"/>
  <c r="H6765" i="26"/>
  <c r="I2999" i="26"/>
  <c r="E2999" i="26" s="1"/>
  <c r="H1057" i="26"/>
  <c r="I5732" i="26"/>
  <c r="E5732" i="26" s="1"/>
  <c r="H4837" i="26"/>
  <c r="H6643" i="26"/>
  <c r="H3494" i="26"/>
  <c r="I1047" i="26"/>
  <c r="E1047" i="26" s="1"/>
  <c r="H4350" i="26"/>
  <c r="H3645" i="26"/>
  <c r="H3562" i="26"/>
  <c r="H4588" i="26"/>
  <c r="I803" i="26"/>
  <c r="E803" i="26" s="1"/>
  <c r="H2469" i="26"/>
  <c r="H6310" i="26"/>
  <c r="H3674" i="26"/>
  <c r="H3469" i="26"/>
  <c r="H3840" i="26"/>
  <c r="H6689" i="26"/>
  <c r="H6118" i="26"/>
  <c r="I5466" i="26"/>
  <c r="E5466" i="26" s="1"/>
  <c r="H1938" i="26"/>
  <c r="I6522" i="26"/>
  <c r="E6522" i="26" s="1"/>
  <c r="H6632" i="26"/>
  <c r="H5075" i="26"/>
  <c r="H4416" i="26"/>
  <c r="H2666" i="26"/>
  <c r="H4071" i="26"/>
  <c r="H4517" i="26"/>
  <c r="H4928" i="26"/>
  <c r="H6376" i="26"/>
  <c r="I6761" i="26"/>
  <c r="E6761" i="26" s="1"/>
  <c r="H2668" i="26"/>
  <c r="I2452" i="26"/>
  <c r="E2452" i="26" s="1"/>
  <c r="H5848" i="26"/>
  <c r="H3342" i="26"/>
  <c r="H4223" i="26"/>
  <c r="H2751" i="26"/>
  <c r="H1365" i="26"/>
  <c r="H4495" i="26"/>
  <c r="I3660" i="26"/>
  <c r="E3660" i="26" s="1"/>
  <c r="H6150" i="26"/>
  <c r="H5882" i="26"/>
  <c r="H3280" i="26"/>
  <c r="H3270" i="26"/>
  <c r="H6151" i="26"/>
  <c r="H5262" i="26"/>
  <c r="H5389" i="26"/>
  <c r="I748" i="26"/>
  <c r="E748" i="26" s="1"/>
  <c r="H4343" i="26"/>
  <c r="H5526" i="26"/>
  <c r="H4326" i="26"/>
  <c r="H4595" i="26"/>
  <c r="H3066" i="26"/>
  <c r="H2900" i="26"/>
  <c r="H4490" i="26"/>
  <c r="H4058" i="26"/>
  <c r="H5467" i="26"/>
  <c r="I6748" i="26"/>
  <c r="E6748" i="26" s="1"/>
  <c r="H2831" i="26"/>
  <c r="H6555" i="26"/>
  <c r="H1125" i="26"/>
  <c r="I5437" i="26"/>
  <c r="E5437" i="26" s="1"/>
  <c r="H3282" i="26"/>
  <c r="I4439" i="26"/>
  <c r="E4439" i="26" s="1"/>
  <c r="H2737" i="26"/>
  <c r="I1950" i="26"/>
  <c r="E1950" i="26" s="1"/>
  <c r="H6090" i="26"/>
  <c r="H3812" i="26"/>
  <c r="H4633" i="26"/>
  <c r="H3436" i="26"/>
  <c r="H4865" i="26"/>
  <c r="H6096" i="26"/>
  <c r="H4473" i="26"/>
  <c r="H1325" i="26"/>
  <c r="H6364" i="26"/>
  <c r="H5051" i="26"/>
  <c r="H4926" i="26"/>
  <c r="I6397" i="26"/>
  <c r="E6397" i="26" s="1"/>
  <c r="H1332" i="26"/>
  <c r="H6658" i="26"/>
  <c r="H3326" i="26"/>
  <c r="I5547" i="26"/>
  <c r="E5547" i="26" s="1"/>
  <c r="I2304" i="26"/>
  <c r="E2304" i="26" s="1"/>
  <c r="H6712" i="26"/>
  <c r="H3567" i="26"/>
  <c r="H6056" i="26"/>
  <c r="I1116" i="26"/>
  <c r="E1116" i="26" s="1"/>
  <c r="H5541" i="26"/>
  <c r="H2561" i="26"/>
  <c r="H5871" i="26"/>
  <c r="H4470" i="26"/>
  <c r="H2125" i="26"/>
  <c r="H3369" i="26"/>
  <c r="I1313" i="26"/>
  <c r="E1313" i="26" s="1"/>
  <c r="H5625" i="26"/>
  <c r="H6030" i="26"/>
  <c r="H3452" i="26"/>
  <c r="H2993" i="26"/>
  <c r="H4294" i="26"/>
  <c r="I1135" i="26"/>
  <c r="E1135" i="26" s="1"/>
  <c r="I1095" i="26"/>
  <c r="E1095" i="26" s="1"/>
  <c r="I5531" i="26"/>
  <c r="E5531" i="26" s="1"/>
  <c r="H6005" i="26"/>
  <c r="H5156" i="26"/>
  <c r="H6216" i="26"/>
  <c r="H4116" i="26"/>
  <c r="H4873" i="26"/>
  <c r="H718" i="26"/>
  <c r="H6357" i="26"/>
  <c r="H2961" i="26"/>
  <c r="H4954" i="26"/>
  <c r="H4524" i="26"/>
  <c r="H3572" i="26"/>
  <c r="H3864" i="26"/>
  <c r="H5258" i="26"/>
  <c r="H5472" i="26"/>
  <c r="H3479" i="26"/>
  <c r="I4063" i="26"/>
  <c r="E4063" i="26" s="1"/>
  <c r="H5999" i="26"/>
  <c r="I6485" i="26"/>
  <c r="E6485" i="26" s="1"/>
  <c r="H5100" i="26"/>
  <c r="H4076" i="26"/>
  <c r="H6182" i="26"/>
  <c r="H4192" i="26"/>
  <c r="I795" i="26"/>
  <c r="E795" i="26" s="1"/>
  <c r="H3603" i="26"/>
  <c r="H5657" i="26"/>
  <c r="I6768" i="26"/>
  <c r="E6768" i="26" s="1"/>
  <c r="I5321" i="26"/>
  <c r="E5321" i="26" s="1"/>
  <c r="H5623" i="26"/>
  <c r="I3501" i="26"/>
  <c r="E3501" i="26" s="1"/>
  <c r="H5619" i="26"/>
  <c r="H5830" i="26"/>
  <c r="I1340" i="26"/>
  <c r="E1340" i="26" s="1"/>
  <c r="H6158" i="26"/>
  <c r="H6717" i="26"/>
  <c r="I2769" i="26"/>
  <c r="E2769" i="26" s="1"/>
  <c r="H6747" i="26"/>
  <c r="H4619" i="26"/>
  <c r="H2659" i="26"/>
  <c r="H2343" i="26"/>
  <c r="H4973" i="26"/>
  <c r="I4994" i="26"/>
  <c r="E4994" i="26" s="1"/>
  <c r="H3937" i="26"/>
  <c r="I3158" i="26"/>
  <c r="E3158" i="26" s="1"/>
  <c r="I2957" i="26"/>
  <c r="E2957" i="26" s="1"/>
  <c r="I4579" i="26"/>
  <c r="E4579" i="26" s="1"/>
  <c r="H6696" i="26"/>
  <c r="H5295" i="26"/>
  <c r="I2008" i="26"/>
  <c r="E2008" i="26" s="1"/>
  <c r="H3837" i="26"/>
  <c r="H3460" i="26"/>
  <c r="H2539" i="26"/>
  <c r="H4363" i="26"/>
  <c r="H722" i="26"/>
  <c r="H4729" i="26"/>
  <c r="H5668" i="26"/>
  <c r="I2024" i="26"/>
  <c r="E2024" i="26" s="1"/>
  <c r="H353" i="26"/>
  <c r="H671" i="26"/>
  <c r="I1450" i="26"/>
  <c r="E1450" i="26" s="1"/>
  <c r="I2186" i="26"/>
  <c r="E2186" i="26" s="1"/>
  <c r="H4554" i="26"/>
  <c r="H6203" i="26"/>
  <c r="I1621" i="26"/>
  <c r="E1621" i="26" s="1"/>
  <c r="H5189" i="26"/>
  <c r="I773" i="26"/>
  <c r="E773" i="26" s="1"/>
  <c r="H449" i="26"/>
  <c r="I922" i="26"/>
  <c r="E922" i="26" s="1"/>
  <c r="I1838" i="26"/>
  <c r="E1838" i="26" s="1"/>
  <c r="I1343" i="26"/>
  <c r="E1343" i="26" s="1"/>
  <c r="H6613" i="26"/>
  <c r="I2821" i="26"/>
  <c r="E2821" i="26" s="1"/>
  <c r="H1378" i="26"/>
  <c r="H2385" i="26"/>
  <c r="H1363" i="26"/>
  <c r="I207" i="26"/>
  <c r="E207" i="26" s="1"/>
  <c r="I927" i="26"/>
  <c r="E927" i="26" s="1"/>
  <c r="I1425" i="26"/>
  <c r="E1425" i="26" s="1"/>
  <c r="H1345" i="26"/>
  <c r="I5524" i="26"/>
  <c r="E5524" i="26" s="1"/>
  <c r="I1732" i="26"/>
  <c r="E1732" i="26" s="1"/>
  <c r="H3126" i="26"/>
  <c r="I2089" i="26"/>
  <c r="E2089" i="26" s="1"/>
  <c r="I2037" i="26"/>
  <c r="E2037" i="26" s="1"/>
  <c r="I1568" i="26"/>
  <c r="E1568" i="26" s="1"/>
  <c r="H259" i="26"/>
  <c r="I1261" i="26"/>
  <c r="E1261" i="26" s="1"/>
  <c r="I1409" i="26"/>
  <c r="E1409" i="26" s="1"/>
  <c r="H5319" i="26"/>
  <c r="H3394" i="26"/>
  <c r="H5159" i="26"/>
  <c r="H5706" i="26"/>
  <c r="I800" i="26"/>
  <c r="E800" i="26" s="1"/>
  <c r="I315" i="26"/>
  <c r="E315" i="26" s="1"/>
  <c r="I622" i="26"/>
  <c r="E622" i="26" s="1"/>
  <c r="H2860" i="26"/>
  <c r="H2114" i="26"/>
  <c r="H6109" i="26"/>
  <c r="I2091" i="26"/>
  <c r="E2091" i="26" s="1"/>
  <c r="H1206" i="26"/>
  <c r="I2125" i="26"/>
  <c r="E2125" i="26" s="1"/>
  <c r="I279" i="26"/>
  <c r="E279" i="26" s="1"/>
  <c r="H3764" i="26"/>
  <c r="I1765" i="26"/>
  <c r="E1765" i="26" s="1"/>
  <c r="H4504" i="26"/>
  <c r="I2081" i="26"/>
  <c r="E2081" i="26" s="1"/>
  <c r="I2061" i="26"/>
  <c r="E2061" i="26" s="1"/>
  <c r="H1169" i="26"/>
  <c r="H2493" i="26"/>
  <c r="H1557" i="26"/>
  <c r="H1129" i="26"/>
  <c r="H5695" i="26"/>
  <c r="H2529" i="26"/>
  <c r="I1260" i="26"/>
  <c r="E1260" i="26" s="1"/>
  <c r="I821" i="26"/>
  <c r="E821" i="26" s="1"/>
  <c r="I4082" i="26"/>
  <c r="E4082" i="26" s="1"/>
  <c r="H5487" i="26"/>
  <c r="H1744" i="26"/>
  <c r="H6320" i="26"/>
  <c r="H377" i="26"/>
  <c r="I601" i="26"/>
  <c r="E601" i="26" s="1"/>
  <c r="H841" i="26"/>
  <c r="H4179" i="26"/>
  <c r="H1293" i="26"/>
  <c r="H800" i="26"/>
  <c r="H6757" i="26"/>
  <c r="I2176" i="26"/>
  <c r="E2176" i="26" s="1"/>
  <c r="H457" i="26"/>
  <c r="I617" i="26"/>
  <c r="E617" i="26" s="1"/>
  <c r="H5712" i="26"/>
  <c r="I1534" i="26"/>
  <c r="E1534" i="26" s="1"/>
  <c r="I1376" i="26"/>
  <c r="E1376" i="26" s="1"/>
  <c r="H2374" i="26"/>
  <c r="I1825" i="26"/>
  <c r="E1825" i="26" s="1"/>
  <c r="H5791" i="26"/>
  <c r="I2536" i="26"/>
  <c r="E2536" i="26" s="1"/>
  <c r="H1319" i="26"/>
  <c r="H1347" i="26"/>
  <c r="H4034" i="26"/>
  <c r="H4200" i="26"/>
  <c r="H897" i="26"/>
  <c r="I2034" i="26"/>
  <c r="E2034" i="26" s="1"/>
  <c r="I5852" i="26"/>
  <c r="E5852" i="26" s="1"/>
  <c r="I5813" i="26"/>
  <c r="E5813" i="26" s="1"/>
  <c r="I6030" i="26"/>
  <c r="E6030" i="26" s="1"/>
  <c r="H3114" i="26"/>
  <c r="I1351" i="26"/>
  <c r="E1351" i="26" s="1"/>
  <c r="I391" i="26"/>
  <c r="E391" i="26" s="1"/>
  <c r="H907" i="26"/>
  <c r="I1419" i="26"/>
  <c r="E1419" i="26" s="1"/>
  <c r="H1746" i="26"/>
  <c r="I4390" i="26"/>
  <c r="E4390" i="26" s="1"/>
  <c r="H5715" i="26"/>
  <c r="H648" i="26"/>
  <c r="I1096" i="26"/>
  <c r="E1096" i="26" s="1"/>
  <c r="I2671" i="26"/>
  <c r="E2671" i="26" s="1"/>
  <c r="I6669" i="26"/>
  <c r="E6669" i="26" s="1"/>
  <c r="I4332" i="26"/>
  <c r="E4332" i="26" s="1"/>
  <c r="I3622" i="26"/>
  <c r="E3622" i="26" s="1"/>
  <c r="I3918" i="26"/>
  <c r="E3918" i="26" s="1"/>
  <c r="I4005" i="26"/>
  <c r="E4005" i="26" s="1"/>
  <c r="I3605" i="26"/>
  <c r="E3605" i="26" s="1"/>
  <c r="I4352" i="26"/>
  <c r="E4352" i="26" s="1"/>
  <c r="I2521" i="26"/>
  <c r="E2521" i="26" s="1"/>
  <c r="I5526" i="26"/>
  <c r="E5526" i="26" s="1"/>
  <c r="I2687" i="26"/>
  <c r="E2687" i="26" s="1"/>
  <c r="I3447" i="26"/>
  <c r="E3447" i="26" s="1"/>
  <c r="I6369" i="26"/>
  <c r="E6369" i="26" s="1"/>
  <c r="H6598" i="26"/>
  <c r="H2742" i="26"/>
  <c r="H5197" i="26"/>
  <c r="H5997" i="26"/>
  <c r="I2863" i="26"/>
  <c r="E2863" i="26" s="1"/>
  <c r="H4892" i="26"/>
  <c r="H2396" i="26"/>
  <c r="H3417" i="26"/>
  <c r="H5223" i="26"/>
  <c r="I4462" i="26"/>
  <c r="E4462" i="26" s="1"/>
  <c r="H4280" i="26"/>
  <c r="I3251" i="26"/>
  <c r="E3251" i="26" s="1"/>
  <c r="H5421" i="26"/>
  <c r="I5647" i="26"/>
  <c r="E5647" i="26" s="1"/>
  <c r="H4445" i="26"/>
  <c r="H2632" i="26"/>
  <c r="H6178" i="26"/>
  <c r="I5435" i="26"/>
  <c r="E5435" i="26" s="1"/>
  <c r="I4151" i="26"/>
  <c r="E4151" i="26" s="1"/>
  <c r="H5485" i="26"/>
  <c r="I2639" i="26"/>
  <c r="E2639" i="26" s="1"/>
  <c r="I2693" i="26"/>
  <c r="E2693" i="26" s="1"/>
  <c r="H4128" i="26"/>
  <c r="H2690" i="26"/>
  <c r="H5014" i="26"/>
  <c r="I3935" i="26"/>
  <c r="E3935" i="26" s="1"/>
  <c r="H4183" i="26"/>
  <c r="I6434" i="26"/>
  <c r="E6434" i="26" s="1"/>
  <c r="I5098" i="26"/>
  <c r="E5098" i="26" s="1"/>
  <c r="H4831" i="26"/>
  <c r="I3095" i="26"/>
  <c r="E3095" i="26" s="1"/>
  <c r="I4155" i="26"/>
  <c r="E4155" i="26" s="1"/>
  <c r="H3142" i="26"/>
  <c r="I5760" i="26"/>
  <c r="E5760" i="26" s="1"/>
  <c r="I6425" i="26"/>
  <c r="E6425" i="26" s="1"/>
  <c r="I4689" i="26"/>
  <c r="E4689" i="26" s="1"/>
  <c r="H4498" i="26"/>
  <c r="I2264" i="26"/>
  <c r="E2264" i="26" s="1"/>
  <c r="I2590" i="26"/>
  <c r="E2590" i="26" s="1"/>
  <c r="H3200" i="26"/>
  <c r="I3427" i="26"/>
  <c r="E3427" i="26" s="1"/>
  <c r="I4651" i="26"/>
  <c r="E4651" i="26" s="1"/>
  <c r="H5925" i="26"/>
  <c r="H4466" i="26"/>
  <c r="H3099" i="26"/>
  <c r="H4178" i="26"/>
  <c r="H2897" i="26"/>
  <c r="H3158" i="26"/>
  <c r="I3973" i="26"/>
  <c r="E3973" i="26" s="1"/>
  <c r="H3861" i="26"/>
  <c r="I3288" i="26"/>
  <c r="E3288" i="26" s="1"/>
  <c r="H4629" i="26"/>
  <c r="I5615" i="26"/>
  <c r="E5615" i="26" s="1"/>
  <c r="H6784" i="26"/>
  <c r="I1055" i="26"/>
  <c r="E1055" i="26" s="1"/>
  <c r="H3092" i="26"/>
  <c r="I4356" i="26"/>
  <c r="E4356" i="26" s="1"/>
  <c r="H2767" i="26"/>
  <c r="H3938" i="26"/>
  <c r="I4898" i="26"/>
  <c r="E4898" i="26" s="1"/>
  <c r="H2962" i="26"/>
  <c r="I2267" i="26"/>
  <c r="E2267" i="26" s="1"/>
  <c r="H4835" i="26"/>
  <c r="H2500" i="26"/>
  <c r="H3103" i="26"/>
  <c r="H3304" i="26"/>
  <c r="H6545" i="26"/>
  <c r="I3583" i="26"/>
  <c r="E3583" i="26" s="1"/>
  <c r="H3825" i="26"/>
  <c r="I2694" i="26"/>
  <c r="E2694" i="26" s="1"/>
  <c r="H2986" i="26"/>
  <c r="H4032" i="26"/>
  <c r="I6050" i="26"/>
  <c r="E6050" i="26" s="1"/>
  <c r="H3146" i="26"/>
  <c r="H2719" i="26"/>
  <c r="I6349" i="26"/>
  <c r="E6349" i="26" s="1"/>
  <c r="H6059" i="26"/>
  <c r="I2393" i="26"/>
  <c r="E2393" i="26" s="1"/>
  <c r="I2841" i="26"/>
  <c r="E2841" i="26" s="1"/>
  <c r="H2941" i="26"/>
  <c r="I3826" i="26"/>
  <c r="E3826" i="26" s="1"/>
  <c r="H2282" i="26"/>
  <c r="H6764" i="26"/>
  <c r="H3597" i="26"/>
  <c r="H4809" i="26"/>
  <c r="H1094" i="26"/>
  <c r="H4392" i="26"/>
  <c r="H6098" i="26"/>
  <c r="H3747" i="26"/>
  <c r="H3902" i="26"/>
  <c r="H5267" i="26"/>
  <c r="I1347" i="26"/>
  <c r="E1347" i="26" s="1"/>
  <c r="H5557" i="26"/>
  <c r="H6349" i="26"/>
  <c r="H703" i="26"/>
  <c r="H4522" i="26"/>
  <c r="H6198" i="26"/>
  <c r="H4185" i="26"/>
  <c r="H3203" i="26"/>
  <c r="H3131" i="26"/>
  <c r="H2094" i="26"/>
  <c r="H6392" i="26"/>
  <c r="H1910" i="26"/>
  <c r="I4986" i="26"/>
  <c r="E4986" i="26" s="1"/>
  <c r="H5043" i="26"/>
  <c r="H4249" i="26"/>
  <c r="I2371" i="26"/>
  <c r="E2371" i="26" s="1"/>
  <c r="H6497" i="26"/>
  <c r="H3517" i="26"/>
  <c r="H6641" i="26"/>
  <c r="H3130" i="26"/>
  <c r="H3161" i="26"/>
  <c r="H4301" i="26"/>
  <c r="I2948" i="26"/>
  <c r="E2948" i="26" s="1"/>
  <c r="H3775" i="26"/>
  <c r="H4598" i="26"/>
  <c r="H4073" i="26"/>
  <c r="H3176" i="26"/>
  <c r="I1780" i="26"/>
  <c r="E1780" i="26" s="1"/>
  <c r="I5754" i="26"/>
  <c r="E5754" i="26" s="1"/>
  <c r="I3023" i="26"/>
  <c r="E3023" i="26" s="1"/>
  <c r="H5241" i="26"/>
  <c r="H5055" i="26"/>
  <c r="H4900" i="26"/>
  <c r="H5424" i="26"/>
  <c r="I1293" i="26"/>
  <c r="E1293" i="26" s="1"/>
  <c r="H1068" i="26"/>
  <c r="H2795" i="26"/>
  <c r="H5974" i="26"/>
  <c r="H4107" i="26"/>
  <c r="H4520" i="26"/>
  <c r="I780" i="26"/>
  <c r="E780" i="26" s="1"/>
  <c r="H3186" i="26"/>
  <c r="H3492" i="26"/>
  <c r="H2857" i="26"/>
  <c r="H4263" i="26"/>
  <c r="I1774" i="26"/>
  <c r="E1774" i="26" s="1"/>
  <c r="H2761" i="26"/>
  <c r="I3615" i="26"/>
  <c r="E3615" i="26" s="1"/>
  <c r="H2979" i="26"/>
  <c r="I6311" i="26"/>
  <c r="E6311" i="26" s="1"/>
  <c r="H5451" i="26"/>
  <c r="H5572" i="26"/>
  <c r="H2297" i="26"/>
  <c r="H2665" i="26"/>
  <c r="I4004" i="26"/>
  <c r="E4004" i="26" s="1"/>
  <c r="H5531" i="26"/>
  <c r="H5804" i="26"/>
  <c r="I6626" i="26"/>
  <c r="E6626" i="26" s="1"/>
  <c r="H1361" i="26"/>
  <c r="H5829" i="26"/>
  <c r="H6108" i="26"/>
  <c r="I4537" i="26"/>
  <c r="E4537" i="26" s="1"/>
  <c r="H6395" i="26"/>
  <c r="H3983" i="26"/>
  <c r="H5359" i="26"/>
  <c r="H4957" i="26"/>
  <c r="H4260" i="26"/>
  <c r="I4910" i="26"/>
  <c r="E4910" i="26" s="1"/>
  <c r="I3436" i="26"/>
  <c r="E3436" i="26" s="1"/>
  <c r="I5370" i="26"/>
  <c r="E5370" i="26" s="1"/>
  <c r="H4551" i="26"/>
  <c r="H776" i="26"/>
  <c r="I6418" i="26"/>
  <c r="E6418" i="26" s="1"/>
  <c r="H6191" i="26"/>
  <c r="H4545" i="26"/>
  <c r="H6296" i="26"/>
  <c r="I5532" i="26"/>
  <c r="E5532" i="26" s="1"/>
  <c r="H3404" i="26"/>
  <c r="I1080" i="26"/>
  <c r="E1080" i="26" s="1"/>
  <c r="H787" i="26"/>
  <c r="I2399" i="26"/>
  <c r="E2399" i="26" s="1"/>
  <c r="H5315" i="26"/>
  <c r="H4279" i="26"/>
  <c r="H4962" i="26"/>
  <c r="H4025" i="26"/>
  <c r="H5335" i="26"/>
  <c r="H3637" i="26"/>
  <c r="H747" i="26"/>
  <c r="I3069" i="26"/>
  <c r="E3069" i="26" s="1"/>
  <c r="H2581" i="26"/>
  <c r="H5220" i="26"/>
  <c r="H3722" i="26"/>
  <c r="H3175" i="26"/>
  <c r="H2967" i="26"/>
  <c r="H4938" i="26"/>
  <c r="H5357" i="26"/>
  <c r="H1292" i="26"/>
  <c r="I5744" i="26"/>
  <c r="E5744" i="26" s="1"/>
  <c r="H4401" i="26"/>
  <c r="I3636" i="26"/>
  <c r="E3636" i="26" s="1"/>
  <c r="I3806" i="26"/>
  <c r="E3806" i="26" s="1"/>
  <c r="I2341" i="26"/>
  <c r="E2341" i="26" s="1"/>
  <c r="H2851" i="26"/>
  <c r="H6202" i="26"/>
  <c r="H3876" i="26"/>
  <c r="H3862" i="26"/>
  <c r="H5027" i="26"/>
  <c r="I1545" i="26"/>
  <c r="E1545" i="26" s="1"/>
  <c r="I4483" i="26"/>
  <c r="E4483" i="26" s="1"/>
  <c r="H3965" i="26"/>
  <c r="H2337" i="26"/>
  <c r="H4675" i="26"/>
  <c r="H6067" i="26"/>
  <c r="I1784" i="26"/>
  <c r="E1784" i="26" s="1"/>
  <c r="H2825" i="26"/>
  <c r="I1086" i="26"/>
  <c r="E1086" i="26" s="1"/>
  <c r="I3675" i="26"/>
  <c r="E3675" i="26" s="1"/>
  <c r="I3333" i="26"/>
  <c r="E3333" i="26" s="1"/>
  <c r="H2329" i="26"/>
  <c r="H2901" i="26"/>
  <c r="H4314" i="26"/>
  <c r="H6554" i="26"/>
  <c r="I3889" i="26"/>
  <c r="E3889" i="26" s="1"/>
  <c r="H4145" i="26"/>
  <c r="I4371" i="26"/>
  <c r="E4371" i="26" s="1"/>
  <c r="H3506" i="26"/>
  <c r="I4734" i="26"/>
  <c r="E4734" i="26" s="1"/>
  <c r="H5296" i="26"/>
  <c r="H6402" i="26"/>
  <c r="H4827" i="26"/>
  <c r="H6693" i="26"/>
  <c r="H6662" i="26"/>
  <c r="H1719" i="26"/>
  <c r="H1323" i="26"/>
  <c r="H1584" i="26"/>
  <c r="H6483" i="26"/>
  <c r="I4263" i="26"/>
  <c r="E4263" i="26" s="1"/>
  <c r="I845" i="26"/>
  <c r="E845" i="26" s="1"/>
  <c r="H1778" i="26"/>
  <c r="I474" i="26"/>
  <c r="E474" i="26" s="1"/>
  <c r="I928" i="26"/>
  <c r="E928" i="26" s="1"/>
  <c r="I2045" i="26"/>
  <c r="E2045" i="26" s="1"/>
  <c r="H6239" i="26"/>
  <c r="H1099" i="26"/>
  <c r="H3808" i="26"/>
  <c r="H2911" i="26"/>
  <c r="I1649" i="26"/>
  <c r="E1649" i="26" s="1"/>
  <c r="H317" i="26"/>
  <c r="H1022" i="26"/>
  <c r="H863" i="26"/>
  <c r="H1641" i="26"/>
  <c r="H2963" i="26"/>
  <c r="H1728" i="26"/>
  <c r="I3181" i="26"/>
  <c r="E3181" i="26" s="1"/>
  <c r="H3299" i="26"/>
  <c r="I1194" i="26"/>
  <c r="E1194" i="26" s="1"/>
  <c r="H360" i="26"/>
  <c r="I1028" i="26"/>
  <c r="E1028" i="26" s="1"/>
  <c r="I1868" i="26"/>
  <c r="E1868" i="26" s="1"/>
  <c r="I1399" i="26"/>
  <c r="E1399" i="26" s="1"/>
  <c r="H4571" i="26"/>
  <c r="H1775" i="26"/>
  <c r="H3771" i="26"/>
  <c r="I739" i="26"/>
  <c r="E739" i="26" s="1"/>
  <c r="H856" i="26"/>
  <c r="I1391" i="26"/>
  <c r="E1391" i="26" s="1"/>
  <c r="H315" i="26"/>
  <c r="H626" i="26"/>
  <c r="H2057" i="26"/>
  <c r="I4384" i="26"/>
  <c r="E4384" i="26" s="1"/>
  <c r="I1562" i="26"/>
  <c r="E1562" i="26" s="1"/>
  <c r="H4307" i="26"/>
  <c r="H711" i="26"/>
  <c r="I1833" i="26"/>
  <c r="E1833" i="26" s="1"/>
  <c r="I1117" i="26"/>
  <c r="E1117" i="26" s="1"/>
  <c r="I316" i="26"/>
  <c r="E316" i="26" s="1"/>
  <c r="H5977" i="26"/>
  <c r="H2153" i="26"/>
  <c r="H6160" i="26"/>
  <c r="H1949" i="26"/>
  <c r="I860" i="26"/>
  <c r="E860" i="26" s="1"/>
  <c r="H2013" i="26"/>
  <c r="I514" i="26"/>
  <c r="E514" i="26" s="1"/>
  <c r="H5797" i="26"/>
  <c r="I1624" i="26"/>
  <c r="E1624" i="26" s="1"/>
  <c r="H2481" i="26"/>
  <c r="H1734" i="26"/>
  <c r="I901" i="26"/>
  <c r="E901" i="26" s="1"/>
  <c r="I2206" i="26"/>
  <c r="E2206" i="26" s="1"/>
  <c r="H2889" i="26"/>
  <c r="I5774" i="26"/>
  <c r="E5774" i="26" s="1"/>
  <c r="H1990" i="26"/>
  <c r="H3973" i="26"/>
  <c r="H1925" i="26"/>
  <c r="I972" i="26"/>
  <c r="E972" i="26" s="1"/>
  <c r="H1680" i="26"/>
  <c r="I4613" i="26"/>
  <c r="E4613" i="26" s="1"/>
  <c r="H4807" i="26"/>
  <c r="H1773" i="26"/>
  <c r="H1284" i="26"/>
  <c r="H6617" i="26"/>
  <c r="H469" i="26"/>
  <c r="I1251" i="26"/>
  <c r="E1251" i="26" s="1"/>
  <c r="I1292" i="26"/>
  <c r="E1292" i="26" s="1"/>
  <c r="I1111" i="26"/>
  <c r="E1111" i="26" s="1"/>
  <c r="H3007" i="26"/>
  <c r="H3457" i="26"/>
  <c r="H828" i="26"/>
  <c r="H736" i="26"/>
  <c r="H5929" i="26"/>
  <c r="I2955" i="26"/>
  <c r="E2955" i="26" s="1"/>
  <c r="I2108" i="26"/>
  <c r="E2108" i="26" s="1"/>
  <c r="H6174" i="26"/>
  <c r="H6528" i="26"/>
  <c r="I1225" i="26"/>
  <c r="E1225" i="26" s="1"/>
  <c r="I1377" i="26"/>
  <c r="E1377" i="26" s="1"/>
  <c r="I4135" i="26"/>
  <c r="E4135" i="26" s="1"/>
  <c r="H3849" i="26"/>
  <c r="I1997" i="26"/>
  <c r="E1997" i="26" s="1"/>
  <c r="I3757" i="26"/>
  <c r="E3757" i="26" s="1"/>
  <c r="H1098" i="26"/>
  <c r="I992" i="26"/>
  <c r="E992" i="26" s="1"/>
  <c r="H2232" i="26"/>
  <c r="I1163" i="26"/>
  <c r="E1163" i="26" s="1"/>
  <c r="H656" i="26"/>
  <c r="I4437" i="26"/>
  <c r="E4437" i="26" s="1"/>
  <c r="I2794" i="26"/>
  <c r="E2794" i="26" s="1"/>
  <c r="I6126" i="26"/>
  <c r="E6126" i="26" s="1"/>
  <c r="I4685" i="26"/>
  <c r="E4685" i="26" s="1"/>
  <c r="I1053" i="26"/>
  <c r="E1053" i="26" s="1"/>
  <c r="I6113" i="26"/>
  <c r="E6113" i="26" s="1"/>
  <c r="H4559" i="26"/>
  <c r="I5128" i="26"/>
  <c r="E5128" i="26" s="1"/>
  <c r="I2752" i="26"/>
  <c r="E2752" i="26" s="1"/>
  <c r="I4274" i="26"/>
  <c r="E4274" i="26" s="1"/>
  <c r="I6383" i="26"/>
  <c r="E6383" i="26" s="1"/>
  <c r="I6280" i="26"/>
  <c r="E6280" i="26" s="1"/>
  <c r="I4071" i="26"/>
  <c r="E4071" i="26" s="1"/>
  <c r="H2422" i="26"/>
  <c r="H3089" i="26"/>
  <c r="H1062" i="26"/>
  <c r="H2421" i="26"/>
  <c r="I3828" i="26"/>
  <c r="E3828" i="26" s="1"/>
  <c r="H4443" i="26"/>
  <c r="H2678" i="26"/>
  <c r="H3428" i="26"/>
  <c r="H1701" i="26"/>
  <c r="I4177" i="26"/>
  <c r="E4177" i="26" s="1"/>
  <c r="H2437" i="26"/>
  <c r="I5692" i="26"/>
  <c r="E5692" i="26" s="1"/>
  <c r="H3015" i="26"/>
  <c r="H6262" i="26"/>
  <c r="H2621" i="26"/>
  <c r="I5162" i="26"/>
  <c r="E5162" i="26" s="1"/>
  <c r="H5068" i="26"/>
  <c r="H5333" i="26"/>
  <c r="H3821" i="26"/>
  <c r="H696" i="26"/>
  <c r="I2342" i="26"/>
  <c r="E2342" i="26" s="1"/>
  <c r="I4739" i="26"/>
  <c r="E4739" i="26" s="1"/>
  <c r="I4085" i="26"/>
  <c r="E4085" i="26" s="1"/>
  <c r="H4274" i="26"/>
  <c r="H3424" i="26"/>
  <c r="I5579" i="26"/>
  <c r="E5579" i="26" s="1"/>
  <c r="H6292" i="26"/>
  <c r="H1506" i="26"/>
  <c r="H5745" i="26"/>
  <c r="H4824" i="26"/>
  <c r="H4046" i="26"/>
  <c r="I5314" i="26"/>
  <c r="E5314" i="26" s="1"/>
  <c r="H3498" i="26"/>
  <c r="H2584" i="26"/>
  <c r="H5301" i="26"/>
  <c r="I4346" i="26"/>
  <c r="E4346" i="26" s="1"/>
  <c r="H4057" i="26"/>
  <c r="H6570" i="26"/>
  <c r="I5111" i="26"/>
  <c r="E5111" i="26" s="1"/>
  <c r="I4699" i="26"/>
  <c r="E4699" i="26" s="1"/>
  <c r="H2323" i="26"/>
  <c r="H4095" i="26"/>
  <c r="H5992" i="26"/>
  <c r="I6590" i="26"/>
  <c r="E6590" i="26" s="1"/>
  <c r="I3205" i="26"/>
  <c r="E3205" i="26" s="1"/>
  <c r="H2563" i="26"/>
  <c r="I4425" i="26"/>
  <c r="E4425" i="26" s="1"/>
  <c r="H5786" i="26"/>
  <c r="I5155" i="26"/>
  <c r="E5155" i="26" s="1"/>
  <c r="I3514" i="26"/>
  <c r="E3514" i="26" s="1"/>
  <c r="I3304" i="26"/>
  <c r="E3304" i="26" s="1"/>
  <c r="H4472" i="26"/>
  <c r="I2600" i="26"/>
  <c r="E2600" i="26" s="1"/>
  <c r="H3816" i="26"/>
  <c r="I2525" i="26"/>
  <c r="E2525" i="26" s="1"/>
  <c r="H4136" i="26"/>
  <c r="H3512" i="26"/>
  <c r="I6161" i="26"/>
  <c r="E6161" i="26" s="1"/>
  <c r="H4500" i="26"/>
  <c r="H3794" i="26"/>
  <c r="I6553" i="26"/>
  <c r="E6553" i="26" s="1"/>
  <c r="I6503" i="26"/>
  <c r="E6503" i="26" s="1"/>
  <c r="I5080" i="26"/>
  <c r="E5080" i="26" s="1"/>
  <c r="H5742" i="26"/>
  <c r="H5237" i="26"/>
  <c r="H6408" i="26"/>
  <c r="H4607" i="26"/>
  <c r="H1519" i="26"/>
  <c r="H5923" i="26"/>
  <c r="I3883" i="26"/>
  <c r="E3883" i="26" s="1"/>
  <c r="I6510" i="26"/>
  <c r="E6510" i="26" s="1"/>
  <c r="H2830" i="26"/>
  <c r="H4987" i="26"/>
  <c r="H4904" i="26"/>
  <c r="H3600" i="26"/>
  <c r="H3905" i="26"/>
  <c r="I2493" i="26"/>
  <c r="E2493" i="26" s="1"/>
  <c r="H5571" i="26"/>
  <c r="H6035" i="26"/>
  <c r="H4774" i="26"/>
  <c r="I4724" i="26"/>
  <c r="E4724" i="26" s="1"/>
  <c r="H4890" i="26"/>
  <c r="I4893" i="26"/>
  <c r="E4893" i="26" s="1"/>
  <c r="H3046" i="26"/>
  <c r="I2102" i="26"/>
  <c r="E2102" i="26" s="1"/>
  <c r="H3741" i="26"/>
  <c r="H4030" i="26"/>
  <c r="H6089" i="26"/>
  <c r="H5783" i="26"/>
  <c r="H2854" i="26"/>
  <c r="H1079" i="26"/>
  <c r="H1995" i="26"/>
  <c r="H2823" i="26"/>
  <c r="I718" i="26"/>
  <c r="E718" i="26" s="1"/>
  <c r="H1320" i="26"/>
  <c r="I2951" i="26"/>
  <c r="E2951" i="26" s="1"/>
  <c r="H5662" i="26"/>
  <c r="H4342" i="26"/>
  <c r="H3032" i="26"/>
  <c r="H4676" i="26"/>
  <c r="I1953" i="26"/>
  <c r="E1953" i="26" s="1"/>
  <c r="I1537" i="26"/>
  <c r="E1537" i="26" s="1"/>
  <c r="H1733" i="26"/>
  <c r="H2448" i="26"/>
  <c r="H2773" i="26"/>
  <c r="H5042" i="26"/>
  <c r="H5250" i="26"/>
  <c r="I2721" i="26"/>
  <c r="E2721" i="26" s="1"/>
  <c r="I5073" i="26"/>
  <c r="E5073" i="26" s="1"/>
  <c r="H5377" i="26"/>
  <c r="H699" i="26"/>
  <c r="I1099" i="26"/>
  <c r="E1099" i="26" s="1"/>
  <c r="H4816" i="26"/>
  <c r="I3984" i="26"/>
  <c r="E3984" i="26" s="1"/>
  <c r="H4979" i="26"/>
  <c r="I5785" i="26"/>
  <c r="E5785" i="26" s="1"/>
  <c r="H6584" i="26"/>
  <c r="H1309" i="26"/>
  <c r="H4218" i="26"/>
  <c r="I6657" i="26"/>
  <c r="E6657" i="26" s="1"/>
  <c r="I3858" i="26"/>
  <c r="E3858" i="26" s="1"/>
  <c r="H6245" i="26"/>
  <c r="H2740" i="26"/>
  <c r="I2897" i="26"/>
  <c r="E2897" i="26" s="1"/>
  <c r="H4319" i="26"/>
  <c r="H733" i="26"/>
  <c r="H3892" i="26"/>
  <c r="I5327" i="26"/>
  <c r="E5327" i="26" s="1"/>
  <c r="H3985" i="26"/>
  <c r="H4915" i="26"/>
  <c r="I1728" i="26"/>
  <c r="E1728" i="26" s="1"/>
  <c r="H2269" i="26"/>
  <c r="I1064" i="26"/>
  <c r="E1064" i="26" s="1"/>
  <c r="H5460" i="26"/>
  <c r="H2456" i="26"/>
  <c r="H3000" i="26"/>
  <c r="I1632" i="26"/>
  <c r="E1632" i="26" s="1"/>
  <c r="H6571" i="26"/>
  <c r="I6487" i="26"/>
  <c r="E6487" i="26" s="1"/>
  <c r="H3520" i="26"/>
  <c r="I5133" i="26"/>
  <c r="E5133" i="26" s="1"/>
  <c r="H1517" i="26"/>
  <c r="H6372" i="26"/>
  <c r="I1300" i="26"/>
  <c r="E1300" i="26" s="1"/>
  <c r="H6212" i="26"/>
  <c r="I696" i="26"/>
  <c r="E696" i="26" s="1"/>
  <c r="H6679" i="26"/>
  <c r="H2505" i="26"/>
  <c r="H3850" i="26"/>
  <c r="I1390" i="26"/>
  <c r="E1390" i="26" s="1"/>
  <c r="H3522" i="26"/>
  <c r="H3845" i="26"/>
  <c r="H2540" i="26"/>
  <c r="I2618" i="26"/>
  <c r="E2618" i="26" s="1"/>
  <c r="H3668" i="26"/>
  <c r="H4198" i="26"/>
  <c r="H1717" i="26"/>
  <c r="H6018" i="26"/>
  <c r="H5811" i="26"/>
  <c r="H4468" i="26"/>
  <c r="H6552" i="26"/>
  <c r="I2807" i="26"/>
  <c r="E2807" i="26" s="1"/>
  <c r="I6617" i="26"/>
  <c r="E6617" i="26" s="1"/>
  <c r="H4683" i="26"/>
  <c r="H2881" i="26"/>
  <c r="I3482" i="26"/>
  <c r="E3482" i="26" s="1"/>
  <c r="I3985" i="26"/>
  <c r="E3985" i="26" s="1"/>
  <c r="H3150" i="26"/>
  <c r="H6739" i="26"/>
  <c r="I734" i="26"/>
  <c r="E734" i="26" s="1"/>
  <c r="H6306" i="26"/>
  <c r="H3986" i="26"/>
  <c r="H2369" i="26"/>
  <c r="H6704" i="26"/>
  <c r="I2347" i="26"/>
  <c r="E2347" i="26" s="1"/>
  <c r="H3151" i="26"/>
  <c r="H5617" i="26"/>
  <c r="H2780" i="26"/>
  <c r="H1364" i="26"/>
  <c r="H5850" i="26"/>
  <c r="H1081" i="26"/>
  <c r="I722" i="26"/>
  <c r="E722" i="26" s="1"/>
  <c r="H4494" i="26"/>
  <c r="H3295" i="26"/>
  <c r="H6610" i="26"/>
  <c r="I2731" i="26"/>
  <c r="E2731" i="26" s="1"/>
  <c r="H6569" i="26"/>
  <c r="I1737" i="26"/>
  <c r="E1737" i="26" s="1"/>
  <c r="H3138" i="26"/>
  <c r="H719" i="26"/>
  <c r="H4777" i="26"/>
  <c r="I3005" i="26"/>
  <c r="E3005" i="26" s="1"/>
  <c r="H3628" i="26"/>
  <c r="H3483" i="26"/>
  <c r="I4290" i="26"/>
  <c r="E4290" i="26" s="1"/>
  <c r="H3684" i="26"/>
  <c r="H5247" i="26"/>
  <c r="H1924" i="26"/>
  <c r="H1329" i="26"/>
  <c r="H2756" i="26"/>
  <c r="H3461" i="26"/>
  <c r="H4257" i="26"/>
  <c r="H6131" i="26"/>
  <c r="I1314" i="26"/>
  <c r="E1314" i="26" s="1"/>
  <c r="H2346" i="26"/>
  <c r="I1707" i="26"/>
  <c r="E1707" i="26" s="1"/>
  <c r="I1743" i="26"/>
  <c r="E1743" i="26" s="1"/>
  <c r="H3263" i="26"/>
  <c r="I3399" i="26"/>
  <c r="E3399" i="26" s="1"/>
  <c r="H5498" i="26"/>
  <c r="H5059" i="26"/>
  <c r="H5906" i="26"/>
  <c r="H1556" i="26"/>
  <c r="H4964" i="26"/>
  <c r="H3709" i="26"/>
  <c r="H3271" i="26"/>
  <c r="H3579" i="26"/>
  <c r="H4055" i="26"/>
  <c r="H6655" i="26"/>
  <c r="H2691" i="26"/>
  <c r="H3253" i="26"/>
  <c r="H5452" i="26"/>
  <c r="H1723" i="26"/>
  <c r="H1120" i="26"/>
  <c r="H4847" i="26"/>
  <c r="H1785" i="26"/>
  <c r="H3247" i="26"/>
  <c r="I723" i="26"/>
  <c r="E723" i="26" s="1"/>
  <c r="H880" i="26"/>
  <c r="I1407" i="26"/>
  <c r="E1407" i="26" s="1"/>
  <c r="I430" i="26"/>
  <c r="E430" i="26" s="1"/>
  <c r="I683" i="26"/>
  <c r="E683" i="26" s="1"/>
  <c r="H1452" i="26"/>
  <c r="H1739" i="26"/>
  <c r="I1963" i="26"/>
  <c r="E1963" i="26" s="1"/>
  <c r="H6645" i="26"/>
  <c r="H4678" i="26"/>
  <c r="I1678" i="26"/>
  <c r="E1678" i="26" s="1"/>
  <c r="H778" i="26"/>
  <c r="H245" i="26"/>
  <c r="H932" i="26"/>
  <c r="H1212" i="26"/>
  <c r="I6481" i="26"/>
  <c r="E6481" i="26" s="1"/>
  <c r="I2134" i="26"/>
  <c r="E2134" i="26" s="1"/>
  <c r="H6521" i="26"/>
  <c r="H5129" i="26"/>
  <c r="H846" i="26"/>
  <c r="H1614" i="26"/>
  <c r="I379" i="26"/>
  <c r="E379" i="26" s="1"/>
  <c r="I938" i="26"/>
  <c r="E938" i="26" s="1"/>
  <c r="I2048" i="26"/>
  <c r="E2048" i="26" s="1"/>
  <c r="H5629" i="26"/>
  <c r="H3082" i="26"/>
  <c r="H4447" i="26"/>
  <c r="I1771" i="26"/>
  <c r="E1771" i="26" s="1"/>
  <c r="H910" i="26"/>
  <c r="I2210" i="26"/>
  <c r="E2210" i="26" s="1"/>
  <c r="I1335" i="26"/>
  <c r="E1335" i="26" s="1"/>
  <c r="H322" i="26"/>
  <c r="H892" i="26"/>
  <c r="I2103" i="26"/>
  <c r="E2103" i="26" s="1"/>
  <c r="I1150" i="26"/>
  <c r="E1150" i="26" s="1"/>
  <c r="H5604" i="26"/>
  <c r="I1949" i="26"/>
  <c r="E1949" i="26" s="1"/>
  <c r="H1446" i="26"/>
  <c r="H804" i="26"/>
  <c r="I503" i="26"/>
  <c r="E503" i="26" s="1"/>
  <c r="H6475" i="26"/>
  <c r="I4950" i="26"/>
  <c r="E4950" i="26" s="1"/>
  <c r="H3466" i="26"/>
  <c r="I1979" i="26"/>
  <c r="E1979" i="26" s="1"/>
  <c r="I575" i="26"/>
  <c r="E575" i="26" s="1"/>
  <c r="I1423" i="26"/>
  <c r="E1423" i="26" s="1"/>
  <c r="H1128" i="26"/>
  <c r="H2079" i="26"/>
  <c r="H3159" i="26"/>
  <c r="H6733" i="26"/>
  <c r="I1593" i="26"/>
  <c r="E1593" i="26" s="1"/>
  <c r="H996" i="26"/>
  <c r="I1859" i="26"/>
  <c r="E1859" i="26" s="1"/>
  <c r="H4074" i="26"/>
  <c r="H5912" i="26"/>
  <c r="H3601" i="26"/>
  <c r="H5417" i="26"/>
  <c r="I1749" i="26"/>
  <c r="E1749" i="26" s="1"/>
  <c r="H413" i="26"/>
  <c r="H1479" i="26"/>
  <c r="I5481" i="26"/>
  <c r="E5481" i="26" s="1"/>
  <c r="I705" i="26"/>
  <c r="E705" i="26" s="1"/>
  <c r="H1801" i="26"/>
  <c r="H4761" i="26"/>
  <c r="H2172" i="26"/>
  <c r="I266" i="26"/>
  <c r="E266" i="26" s="1"/>
  <c r="H611" i="26"/>
  <c r="H3368" i="26"/>
  <c r="H2143" i="26"/>
  <c r="H5346" i="26"/>
  <c r="H1295" i="26"/>
  <c r="H1688" i="26"/>
  <c r="H1177" i="26"/>
  <c r="H6125" i="26"/>
  <c r="I1318" i="26"/>
  <c r="E1318" i="26" s="1"/>
  <c r="H1761" i="26"/>
  <c r="H5497" i="26"/>
  <c r="H2597" i="26"/>
  <c r="H894" i="26"/>
  <c r="H2202" i="26"/>
  <c r="I679" i="26"/>
  <c r="E679" i="26" s="1"/>
  <c r="I4426" i="26"/>
  <c r="E4426" i="26" s="1"/>
  <c r="I5831" i="26"/>
  <c r="E5831" i="26" s="1"/>
  <c r="I5832" i="26"/>
  <c r="E5832" i="26" s="1"/>
  <c r="I3706" i="26"/>
  <c r="E3706" i="26" s="1"/>
  <c r="I5568" i="26"/>
  <c r="E5568" i="26" s="1"/>
  <c r="I2665" i="26"/>
  <c r="E2665" i="26" s="1"/>
  <c r="I6482" i="26"/>
  <c r="E6482" i="26" s="1"/>
  <c r="I6500" i="26"/>
  <c r="E6500" i="26" s="1"/>
  <c r="I2503" i="26"/>
  <c r="E2503" i="26" s="1"/>
  <c r="I6631" i="26"/>
  <c r="E6631" i="26" s="1"/>
  <c r="H5263" i="26"/>
  <c r="I5606" i="26"/>
  <c r="E5606" i="26" s="1"/>
  <c r="I2407" i="26"/>
  <c r="E2407" i="26" s="1"/>
  <c r="H6104" i="26"/>
  <c r="I5041" i="26"/>
  <c r="E5041" i="26" s="1"/>
  <c r="I3157" i="26"/>
  <c r="E3157" i="26" s="1"/>
  <c r="H4184" i="26"/>
  <c r="I4875" i="26"/>
  <c r="E4875" i="26" s="1"/>
  <c r="H4838" i="26"/>
  <c r="I5979" i="26"/>
  <c r="E5979" i="26" s="1"/>
  <c r="I4663" i="26"/>
  <c r="E4663" i="26" s="1"/>
  <c r="H6053" i="26"/>
  <c r="I2846" i="26"/>
  <c r="E2846" i="26" s="1"/>
  <c r="H5144" i="26"/>
  <c r="I6143" i="26"/>
  <c r="E6143" i="26" s="1"/>
  <c r="H3400" i="26"/>
  <c r="I4490" i="26"/>
  <c r="E4490" i="26" s="1"/>
  <c r="H1876" i="26"/>
  <c r="H6638" i="26"/>
  <c r="H6450" i="26"/>
  <c r="I6595" i="26"/>
  <c r="E6595" i="26" s="1"/>
  <c r="I2907" i="26"/>
  <c r="E2907" i="26" s="1"/>
  <c r="H5412" i="26"/>
  <c r="I4373" i="26"/>
  <c r="E4373" i="26" s="1"/>
  <c r="I5387" i="26"/>
  <c r="E5387" i="26" s="1"/>
  <c r="I4212" i="26"/>
  <c r="E4212" i="26" s="1"/>
  <c r="I5588" i="26"/>
  <c r="E5588" i="26" s="1"/>
  <c r="I3226" i="26"/>
  <c r="E3226" i="26" s="1"/>
  <c r="H6505" i="26"/>
  <c r="I2686" i="26"/>
  <c r="E2686" i="26" s="1"/>
  <c r="I3287" i="26"/>
  <c r="E3287" i="26" s="1"/>
  <c r="H2318" i="26"/>
  <c r="H5034" i="26"/>
  <c r="H3503" i="26"/>
  <c r="H4267" i="26"/>
  <c r="H6590" i="26"/>
  <c r="H6735" i="26"/>
  <c r="H5393" i="26"/>
  <c r="H1520" i="26"/>
  <c r="H4794" i="26"/>
  <c r="H3340" i="26"/>
  <c r="I1902" i="26"/>
  <c r="E1902" i="26" s="1"/>
  <c r="H4970" i="26"/>
  <c r="H2341" i="26"/>
  <c r="H2783" i="26"/>
  <c r="I5631" i="26"/>
  <c r="E5631" i="26" s="1"/>
  <c r="H4361" i="26"/>
  <c r="H6405" i="26"/>
  <c r="H5287" i="26"/>
  <c r="I4834" i="26"/>
  <c r="E4834" i="26" s="1"/>
  <c r="H6362" i="26"/>
  <c r="H6009" i="26"/>
  <c r="I2830" i="26"/>
  <c r="E2830" i="26" s="1"/>
  <c r="H5227" i="26"/>
  <c r="I5970" i="26"/>
  <c r="E5970" i="26" s="1"/>
  <c r="H3728" i="26"/>
  <c r="H3001" i="26"/>
  <c r="I5362" i="26"/>
  <c r="E5362" i="26" s="1"/>
  <c r="H1898" i="26"/>
  <c r="I3589" i="26"/>
  <c r="E3589" i="26" s="1"/>
  <c r="H6680" i="26"/>
  <c r="I3140" i="26"/>
  <c r="E3140" i="26" s="1"/>
  <c r="H3556" i="26"/>
  <c r="H5723" i="26"/>
  <c r="I4619" i="26"/>
  <c r="E4619" i="26" s="1"/>
  <c r="H5991" i="26"/>
  <c r="I2418" i="26"/>
  <c r="E2418" i="26" s="1"/>
  <c r="I2616" i="26"/>
  <c r="E2616" i="26" s="1"/>
  <c r="I5666" i="26"/>
  <c r="E5666" i="26" s="1"/>
  <c r="H2864" i="26"/>
  <c r="H3834" i="26"/>
  <c r="H4052" i="26"/>
  <c r="I5962" i="26"/>
  <c r="E5962" i="26" s="1"/>
  <c r="I2963" i="26"/>
  <c r="E2963" i="26" s="1"/>
  <c r="H6323" i="26"/>
  <c r="I3890" i="26"/>
  <c r="E3890" i="26" s="1"/>
  <c r="H4739" i="26"/>
  <c r="H2530" i="26"/>
  <c r="H3062" i="26"/>
  <c r="I2643" i="26"/>
  <c r="E2643" i="26" s="1"/>
  <c r="H2548" i="26"/>
  <c r="H4637" i="26"/>
  <c r="H2816" i="26"/>
  <c r="H2718" i="26"/>
  <c r="I3274" i="26"/>
  <c r="E3274" i="26" s="1"/>
  <c r="H3805" i="26"/>
  <c r="H1729" i="26"/>
  <c r="H4014" i="26"/>
  <c r="H5589" i="26"/>
  <c r="I5463" i="26"/>
  <c r="E5463" i="26" s="1"/>
  <c r="H3848" i="26"/>
  <c r="I4438" i="26"/>
  <c r="E4438" i="26" s="1"/>
  <c r="I5127" i="26"/>
  <c r="E5127" i="26" s="1"/>
  <c r="I2112" i="26"/>
  <c r="E2112" i="26" s="1"/>
  <c r="H3017" i="26"/>
  <c r="I1299" i="26"/>
  <c r="E1299" i="26" s="1"/>
  <c r="H1578" i="26"/>
  <c r="I762" i="26"/>
  <c r="E762" i="26" s="1"/>
  <c r="H6624" i="26"/>
  <c r="H5224" i="26"/>
  <c r="H5747" i="26"/>
  <c r="I3967" i="26"/>
  <c r="E3967" i="26" s="1"/>
  <c r="H5551" i="26"/>
  <c r="I1362" i="26"/>
  <c r="E1362" i="26" s="1"/>
  <c r="H1941" i="26"/>
  <c r="I2813" i="26"/>
  <c r="E2813" i="26" s="1"/>
  <c r="H6014" i="26"/>
  <c r="H5725" i="26"/>
  <c r="H1530" i="26"/>
  <c r="H3359" i="26"/>
  <c r="H6758" i="26"/>
  <c r="H4432" i="26"/>
  <c r="H1533" i="26"/>
  <c r="H1730" i="26"/>
  <c r="H4369" i="26"/>
  <c r="I5319" i="26"/>
  <c r="E5319" i="26" s="1"/>
  <c r="I3512" i="26"/>
  <c r="E3512" i="26" s="1"/>
  <c r="H2394" i="26"/>
  <c r="H5353" i="26"/>
  <c r="H3100" i="26"/>
  <c r="H1958" i="26"/>
  <c r="H5995" i="26"/>
  <c r="H4947" i="26"/>
  <c r="H5106" i="26"/>
  <c r="H4114" i="26"/>
  <c r="H2886" i="26"/>
  <c r="H5788" i="26"/>
  <c r="H2391" i="26"/>
  <c r="I5165" i="26"/>
  <c r="E5165" i="26" s="1"/>
  <c r="H4786" i="26"/>
  <c r="I5217" i="26"/>
  <c r="E5217" i="26" s="1"/>
  <c r="H4521" i="26"/>
  <c r="H2723" i="26"/>
  <c r="I1342" i="26"/>
  <c r="E1342" i="26" s="1"/>
  <c r="H6278" i="26"/>
  <c r="I5022" i="26"/>
  <c r="E5022" i="26" s="1"/>
  <c r="H3743" i="26"/>
  <c r="H2660" i="26"/>
  <c r="H4510" i="26"/>
  <c r="H5329" i="26"/>
  <c r="H6112" i="26"/>
  <c r="I4777" i="26"/>
  <c r="E4777" i="26" s="1"/>
  <c r="H2424" i="26"/>
  <c r="H3738" i="26"/>
  <c r="I3611" i="26"/>
  <c r="E3611" i="26" s="1"/>
  <c r="H4171" i="26"/>
  <c r="I1573" i="26"/>
  <c r="E1573" i="26" s="1"/>
  <c r="H2969" i="26"/>
  <c r="I5938" i="26"/>
  <c r="E5938" i="26" s="1"/>
  <c r="H5410" i="26"/>
  <c r="I2740" i="26"/>
  <c r="E2740" i="26" s="1"/>
  <c r="H5692" i="26"/>
  <c r="H5639" i="26"/>
  <c r="H5234" i="26"/>
  <c r="H2633" i="26"/>
  <c r="H4121" i="26"/>
  <c r="H4355" i="26"/>
  <c r="H6069" i="26"/>
  <c r="I5894" i="26"/>
  <c r="E5894" i="26" s="1"/>
  <c r="H1118" i="26"/>
  <c r="H5384" i="26"/>
  <c r="H5442" i="26"/>
  <c r="H5345" i="26"/>
  <c r="H5687" i="26"/>
  <c r="H4506" i="26"/>
  <c r="H5240" i="26"/>
  <c r="H6615" i="26"/>
  <c r="I2561" i="26"/>
  <c r="E2561" i="26" s="1"/>
  <c r="H4589" i="26"/>
  <c r="H2267" i="26"/>
  <c r="H6019" i="26"/>
  <c r="H4817" i="26"/>
  <c r="H1969" i="26"/>
  <c r="I2626" i="26"/>
  <c r="E2626" i="26" s="1"/>
  <c r="H4463" i="26"/>
  <c r="H3694" i="26"/>
  <c r="H5134" i="26"/>
  <c r="I5241" i="26"/>
  <c r="E5241" i="26" s="1"/>
  <c r="H4068" i="26"/>
  <c r="I3110" i="26"/>
  <c r="E3110" i="26" s="1"/>
  <c r="H2099" i="26"/>
  <c r="H5182" i="26"/>
  <c r="H1531" i="26"/>
  <c r="I1324" i="26"/>
  <c r="E1324" i="26" s="1"/>
  <c r="H1957" i="26"/>
  <c r="H3343" i="26"/>
  <c r="H4852" i="26"/>
  <c r="H4541" i="26"/>
  <c r="H4435" i="26"/>
  <c r="H1522" i="26"/>
  <c r="H761" i="26"/>
  <c r="H1310" i="26"/>
  <c r="H2487" i="26"/>
  <c r="I6318" i="26"/>
  <c r="E6318" i="26" s="1"/>
  <c r="H2545" i="26"/>
  <c r="H1285" i="26"/>
  <c r="H6477" i="26"/>
  <c r="H4698" i="26"/>
  <c r="I2317" i="26"/>
  <c r="E2317" i="26" s="1"/>
  <c r="I1723" i="26"/>
  <c r="E1723" i="26" s="1"/>
  <c r="H3285" i="26"/>
  <c r="H4044" i="26"/>
  <c r="H4707" i="26"/>
  <c r="H5356" i="26"/>
  <c r="H5305" i="26"/>
  <c r="H4977" i="26"/>
  <c r="H1586" i="26"/>
  <c r="H4725" i="26"/>
  <c r="I1321" i="26"/>
  <c r="E1321" i="26" s="1"/>
  <c r="I3323" i="26"/>
  <c r="E3323" i="26" s="1"/>
  <c r="H5110" i="26"/>
  <c r="I5171" i="26"/>
  <c r="E5171" i="26" s="1"/>
  <c r="H5824" i="26"/>
  <c r="H2777" i="26"/>
  <c r="H3419" i="26"/>
  <c r="I754" i="26"/>
  <c r="E754" i="26" s="1"/>
  <c r="I5115" i="26"/>
  <c r="E5115" i="26" s="1"/>
  <c r="H6708" i="26"/>
  <c r="H5922" i="26"/>
  <c r="I2895" i="26"/>
  <c r="E2895" i="26" s="1"/>
  <c r="H2915" i="26"/>
  <c r="H2801" i="26"/>
  <c r="H4730" i="26"/>
  <c r="H3233" i="26"/>
  <c r="H2101" i="26"/>
  <c r="H5408" i="26"/>
  <c r="H6437" i="26"/>
  <c r="I4067" i="26"/>
  <c r="E4067" i="26" s="1"/>
  <c r="H3956" i="26"/>
  <c r="H6226" i="26"/>
  <c r="H1583" i="26"/>
  <c r="H620" i="26"/>
  <c r="H1435" i="26"/>
  <c r="I1786" i="26"/>
  <c r="E1786" i="26" s="1"/>
  <c r="I280" i="26"/>
  <c r="E280" i="26" s="1"/>
  <c r="H592" i="26"/>
  <c r="H5642" i="26"/>
  <c r="H1787" i="26"/>
  <c r="H3051" i="26"/>
  <c r="H724" i="26"/>
  <c r="H884" i="26"/>
  <c r="H4335" i="26"/>
  <c r="I2894" i="26"/>
  <c r="E2894" i="26" s="1"/>
  <c r="I4386" i="26"/>
  <c r="E4386" i="26" s="1"/>
  <c r="I4894" i="26"/>
  <c r="E4894" i="26" s="1"/>
  <c r="I5177" i="26"/>
  <c r="E5177" i="26" s="1"/>
  <c r="I4457" i="26"/>
  <c r="E4457" i="26" s="1"/>
  <c r="I3519" i="26"/>
  <c r="E3519" i="26" s="1"/>
  <c r="I4960" i="26"/>
  <c r="E4960" i="26" s="1"/>
  <c r="I4559" i="26"/>
  <c r="E4559" i="26" s="1"/>
  <c r="I4292" i="26"/>
  <c r="E4292" i="26" s="1"/>
  <c r="I4402" i="26"/>
  <c r="E4402" i="26" s="1"/>
  <c r="I2468" i="26"/>
  <c r="E2468" i="26" s="1"/>
  <c r="I6253" i="26"/>
  <c r="E6253" i="26" s="1"/>
  <c r="I4821" i="26"/>
  <c r="E4821" i="26" s="1"/>
  <c r="H2765" i="26"/>
  <c r="I3938" i="26"/>
  <c r="E3938" i="26" s="1"/>
  <c r="H3583" i="26"/>
  <c r="H2989" i="26"/>
  <c r="H4340" i="26"/>
  <c r="H5435" i="26"/>
  <c r="H1043" i="26"/>
  <c r="H4124" i="26"/>
  <c r="H3308" i="26"/>
  <c r="I6394" i="26"/>
  <c r="E6394" i="26" s="1"/>
  <c r="H5902" i="26"/>
  <c r="I4089" i="26"/>
  <c r="E4089" i="26" s="1"/>
  <c r="H6266" i="26"/>
  <c r="I2432" i="26"/>
  <c r="E2432" i="26" s="1"/>
  <c r="I1894" i="26"/>
  <c r="E1894" i="26" s="1"/>
  <c r="H4671" i="26"/>
  <c r="H6771" i="26"/>
  <c r="H6004" i="26"/>
  <c r="H6332" i="26"/>
  <c r="H3397" i="26"/>
  <c r="I6616" i="26"/>
  <c r="E6616" i="26" s="1"/>
  <c r="I3319" i="26"/>
  <c r="E3319" i="26" s="1"/>
  <c r="I3320" i="26"/>
  <c r="E3320" i="26" s="1"/>
  <c r="H5465" i="26"/>
  <c r="I5485" i="26"/>
  <c r="E5485" i="26" s="1"/>
  <c r="H5665" i="26"/>
  <c r="I6502" i="26"/>
  <c r="E6502" i="26" s="1"/>
  <c r="I2542" i="26"/>
  <c r="E2542" i="26" s="1"/>
  <c r="I4545" i="26"/>
  <c r="E4545" i="26" s="1"/>
  <c r="I5523" i="26"/>
  <c r="E5523" i="26" s="1"/>
  <c r="H2366" i="26"/>
  <c r="I4202" i="26"/>
  <c r="E4202" i="26" s="1"/>
  <c r="H3125" i="26"/>
  <c r="H3625" i="26"/>
  <c r="I4229" i="26"/>
  <c r="E4229" i="26" s="1"/>
  <c r="I6561" i="26"/>
  <c r="E6561" i="26" s="1"/>
  <c r="H5913" i="26"/>
  <c r="H3012" i="26"/>
  <c r="I2528" i="26"/>
  <c r="E2528" i="26" s="1"/>
  <c r="H4931" i="26"/>
  <c r="I2853" i="26"/>
  <c r="E2853" i="26" s="1"/>
  <c r="H6549" i="26"/>
  <c r="H4540" i="26"/>
  <c r="I6294" i="26"/>
  <c r="E6294" i="26" s="1"/>
  <c r="I3812" i="26"/>
  <c r="E3812" i="26" s="1"/>
  <c r="H3098" i="26"/>
  <c r="H3408" i="26"/>
  <c r="H4148" i="26"/>
  <c r="I6775" i="26"/>
  <c r="E6775" i="26" s="1"/>
  <c r="I6209" i="26"/>
  <c r="E6209" i="26" s="1"/>
  <c r="H3575" i="26"/>
  <c r="H4268" i="26"/>
  <c r="H6229" i="26"/>
  <c r="H2387" i="26"/>
  <c r="I2583" i="26"/>
  <c r="E2583" i="26" s="1"/>
  <c r="I3106" i="26"/>
  <c r="E3106" i="26" s="1"/>
  <c r="I6010" i="26"/>
  <c r="E6010" i="26" s="1"/>
  <c r="H3039" i="26"/>
  <c r="H3930" i="26"/>
  <c r="H4640" i="26"/>
  <c r="H5309" i="26"/>
  <c r="I2599" i="26"/>
  <c r="E2599" i="26" s="1"/>
  <c r="H6699" i="26"/>
  <c r="I4863" i="26"/>
  <c r="E4863" i="26" s="1"/>
  <c r="I6660" i="26"/>
  <c r="E6660" i="26" s="1"/>
  <c r="I4250" i="26"/>
  <c r="E4250" i="26" s="1"/>
  <c r="H3793" i="26"/>
  <c r="H4133" i="26"/>
  <c r="H6710" i="26"/>
  <c r="I5884" i="26"/>
  <c r="E5884" i="26" s="1"/>
  <c r="H2878" i="26"/>
  <c r="H3504" i="26"/>
  <c r="H3338" i="26"/>
  <c r="I6086" i="26"/>
  <c r="E6086" i="26" s="1"/>
  <c r="H6452" i="26"/>
  <c r="I5561" i="26"/>
  <c r="E5561" i="26" s="1"/>
  <c r="I2632" i="26"/>
  <c r="E2632" i="26" s="1"/>
  <c r="I5201" i="26"/>
  <c r="E5201" i="26" s="1"/>
  <c r="H3327" i="26"/>
  <c r="I6723" i="26"/>
  <c r="E6723" i="26" s="1"/>
  <c r="H3788" i="26"/>
  <c r="H4616" i="26"/>
  <c r="H6574" i="26"/>
  <c r="H4863" i="26"/>
  <c r="H5025" i="26"/>
  <c r="H6573" i="26"/>
  <c r="H4298" i="26"/>
  <c r="H6524" i="26"/>
  <c r="H3412" i="26"/>
  <c r="H4960" i="26"/>
  <c r="I1350" i="26"/>
  <c r="E1350" i="26" s="1"/>
  <c r="H3766" i="26"/>
  <c r="H2879" i="26"/>
  <c r="H6698" i="26"/>
  <c r="H1792" i="26"/>
  <c r="H4031" i="26"/>
  <c r="H4895" i="26"/>
  <c r="H2968" i="26"/>
  <c r="I3127" i="26"/>
  <c r="E3127" i="26" s="1"/>
  <c r="I719" i="26"/>
  <c r="E719" i="26" s="1"/>
  <c r="I1806" i="26"/>
  <c r="E1806" i="26" s="1"/>
  <c r="H5130" i="26"/>
  <c r="I3911" i="26"/>
  <c r="E3911" i="26" s="1"/>
  <c r="H4759" i="26"/>
  <c r="H5538" i="26"/>
  <c r="I3804" i="26"/>
  <c r="E3804" i="26" s="1"/>
  <c r="H6398" i="26"/>
  <c r="H2281" i="26"/>
  <c r="I4156" i="26"/>
  <c r="E4156" i="26" s="1"/>
  <c r="I1734" i="26"/>
  <c r="E1734" i="26" s="1"/>
  <c r="H4088" i="26"/>
  <c r="H2461" i="26"/>
  <c r="I3798" i="26"/>
  <c r="E3798" i="26" s="1"/>
  <c r="H5832" i="26"/>
  <c r="H2388" i="26"/>
  <c r="H2433" i="26"/>
  <c r="H6576" i="26"/>
  <c r="I2158" i="26"/>
  <c r="E2158" i="26" s="1"/>
  <c r="H4096" i="26"/>
  <c r="I3545" i="26"/>
  <c r="E3545" i="26" s="1"/>
  <c r="H4622" i="26"/>
  <c r="H6298" i="26"/>
  <c r="H4555" i="26"/>
  <c r="I6766" i="26"/>
  <c r="E6766" i="26" s="1"/>
  <c r="I1296" i="26"/>
  <c r="E1296" i="26" s="1"/>
  <c r="I3292" i="26"/>
  <c r="E3292" i="26" s="1"/>
  <c r="I4382" i="26"/>
  <c r="E4382" i="26" s="1"/>
  <c r="H5775" i="26"/>
  <c r="H5831" i="26"/>
  <c r="H5141" i="26"/>
  <c r="I1158" i="26"/>
  <c r="E1158" i="26" s="1"/>
  <c r="H3375" i="26"/>
  <c r="H6467" i="26"/>
  <c r="H5260" i="26"/>
  <c r="H3844" i="26"/>
  <c r="H6490" i="26"/>
  <c r="H5916" i="26"/>
  <c r="H5547" i="26"/>
  <c r="H2987" i="26"/>
  <c r="H2949" i="26"/>
  <c r="H6010" i="26"/>
  <c r="H4013" i="26"/>
  <c r="H4514" i="26"/>
  <c r="H1601" i="26"/>
  <c r="H6599" i="26"/>
  <c r="H6397" i="26"/>
  <c r="H6417" i="26"/>
  <c r="I3980" i="26"/>
  <c r="E3980" i="26" s="1"/>
  <c r="H6115" i="26"/>
  <c r="I2939" i="26"/>
  <c r="E2939" i="26" s="1"/>
  <c r="I3568" i="26"/>
  <c r="E3568" i="26" s="1"/>
  <c r="I3598" i="26"/>
  <c r="E3598" i="26" s="1"/>
  <c r="H5764" i="26"/>
  <c r="H4493" i="26"/>
  <c r="H4373" i="26"/>
  <c r="H4256" i="26"/>
  <c r="H1360" i="26"/>
  <c r="H5441" i="26"/>
  <c r="I2073" i="26"/>
  <c r="E2073" i="26" s="1"/>
  <c r="I6190" i="26"/>
  <c r="E6190" i="26" s="1"/>
  <c r="H4090" i="26"/>
  <c r="H4449" i="26"/>
  <c r="H5033" i="26"/>
  <c r="I1907" i="26"/>
  <c r="E1907" i="26" s="1"/>
  <c r="H2439" i="26"/>
  <c r="H4851" i="26"/>
  <c r="I3901" i="26"/>
  <c r="E3901" i="26" s="1"/>
  <c r="H5573" i="26"/>
  <c r="H4306" i="26"/>
  <c r="H1998" i="26"/>
  <c r="H6355" i="26"/>
  <c r="H4854" i="26"/>
  <c r="H5540" i="26"/>
  <c r="H1049" i="26"/>
  <c r="H2299" i="26"/>
  <c r="H6718" i="26"/>
  <c r="H5449" i="26"/>
  <c r="H1582" i="26"/>
  <c r="H2898" i="26"/>
  <c r="I2106" i="26"/>
  <c r="E2106" i="26" s="1"/>
  <c r="H3182" i="26"/>
  <c r="H1986" i="26"/>
  <c r="H4109" i="26"/>
  <c r="H4781" i="26"/>
  <c r="H2812" i="26"/>
  <c r="I5050" i="26"/>
  <c r="E5050" i="26" s="1"/>
  <c r="H1710" i="26"/>
  <c r="H790" i="26"/>
  <c r="H6024" i="26"/>
  <c r="H3420" i="26"/>
  <c r="H3686" i="26"/>
  <c r="H5960" i="26"/>
  <c r="H3990" i="26"/>
  <c r="H6386" i="26"/>
  <c r="H3127" i="26"/>
  <c r="H6558" i="26"/>
  <c r="I5714" i="26"/>
  <c r="E5714" i="26" s="1"/>
  <c r="I5149" i="26"/>
  <c r="E5149" i="26" s="1"/>
  <c r="H3918" i="26"/>
  <c r="H3080" i="26"/>
  <c r="H5659" i="26"/>
  <c r="H5337" i="26"/>
  <c r="H2291" i="26"/>
  <c r="H1158" i="26"/>
  <c r="H4322" i="26"/>
  <c r="H3121" i="26"/>
  <c r="I5069" i="26"/>
  <c r="E5069" i="26" s="1"/>
  <c r="I2568" i="26"/>
  <c r="E2568" i="26" s="1"/>
  <c r="H3514" i="26"/>
  <c r="H3472" i="26"/>
  <c r="H6213" i="26"/>
  <c r="I699" i="26"/>
  <c r="E699" i="26" s="1"/>
  <c r="I783" i="26"/>
  <c r="E783" i="26" s="1"/>
  <c r="H3560" i="26"/>
  <c r="I1301" i="26"/>
  <c r="E1301" i="26" s="1"/>
  <c r="I6439" i="26"/>
  <c r="E6439" i="26" s="1"/>
  <c r="I5593" i="26"/>
  <c r="E5593" i="26" s="1"/>
  <c r="H6406" i="26"/>
  <c r="H4425" i="26"/>
  <c r="H3230" i="26"/>
  <c r="H5483" i="26"/>
  <c r="H5149" i="26"/>
  <c r="H3434" i="26"/>
  <c r="H4850" i="26"/>
  <c r="H6438" i="26"/>
  <c r="H3767" i="26"/>
  <c r="I6025" i="26"/>
  <c r="E6025" i="26" s="1"/>
  <c r="I3769" i="26"/>
  <c r="E3769" i="26" s="1"/>
  <c r="I6506" i="26"/>
  <c r="E6506" i="26" s="1"/>
  <c r="I3131" i="26"/>
  <c r="E3131" i="26" s="1"/>
  <c r="I4304" i="26"/>
  <c r="E4304" i="26" s="1"/>
  <c r="I2855" i="26"/>
  <c r="E2855" i="26" s="1"/>
  <c r="I4507" i="26"/>
  <c r="E4507" i="26" s="1"/>
  <c r="I5575" i="26"/>
  <c r="E5575" i="26" s="1"/>
  <c r="I3396" i="26"/>
  <c r="E3396" i="26" s="1"/>
  <c r="I2997" i="26"/>
  <c r="E2997" i="26" s="1"/>
  <c r="I164" i="26"/>
  <c r="E164" i="26" s="1"/>
  <c r="I6182" i="26"/>
  <c r="E6182" i="26" s="1"/>
  <c r="I2377" i="26"/>
  <c r="E2377" i="26" s="1"/>
  <c r="H3718" i="26"/>
  <c r="I6469" i="26"/>
  <c r="E6469" i="26" s="1"/>
  <c r="H4821" i="26"/>
  <c r="H3220" i="26"/>
  <c r="H2309" i="26"/>
  <c r="H6347" i="26"/>
  <c r="H4513" i="26"/>
  <c r="H3569" i="26"/>
  <c r="H3923" i="26"/>
  <c r="I4112" i="26"/>
  <c r="E4112" i="26" s="1"/>
  <c r="H2598" i="26"/>
  <c r="I6755" i="26"/>
  <c r="E6755" i="26" s="1"/>
  <c r="H4313" i="26"/>
  <c r="I3926" i="26"/>
  <c r="E3926" i="26" s="1"/>
  <c r="I6476" i="26"/>
  <c r="E6476" i="26" s="1"/>
  <c r="H4217" i="26"/>
  <c r="I3618" i="26"/>
  <c r="E3618" i="26" s="1"/>
  <c r="I4533" i="26"/>
  <c r="E4533" i="26" s="1"/>
  <c r="I6111" i="26"/>
  <c r="E6111" i="26" s="1"/>
  <c r="H5523" i="26"/>
  <c r="I6071" i="26"/>
  <c r="E6071" i="26" s="1"/>
  <c r="I4154" i="26"/>
  <c r="E4154" i="26" s="1"/>
  <c r="H5222" i="26"/>
  <c r="H1510" i="26"/>
  <c r="I3799" i="26"/>
  <c r="E3799" i="26" s="1"/>
  <c r="H3554" i="26"/>
  <c r="H5963" i="26"/>
  <c r="H1053" i="26"/>
  <c r="I3957" i="26"/>
  <c r="E3957" i="26" s="1"/>
  <c r="H6502" i="26"/>
  <c r="I2548" i="26"/>
  <c r="E2548" i="26" s="1"/>
  <c r="I2607" i="26"/>
  <c r="E2607" i="26" s="1"/>
  <c r="H6423" i="26"/>
  <c r="I6632" i="26"/>
  <c r="E6632" i="26" s="1"/>
  <c r="I3910" i="26"/>
  <c r="E3910" i="26" s="1"/>
  <c r="I2680" i="26"/>
  <c r="E2680" i="26" s="1"/>
  <c r="H3551" i="26"/>
  <c r="H6448" i="26"/>
  <c r="I4467" i="26"/>
  <c r="E4467" i="26" s="1"/>
  <c r="I6242" i="26"/>
  <c r="E6242" i="26" s="1"/>
  <c r="H6529" i="26"/>
  <c r="H5047" i="26"/>
  <c r="H6691" i="26"/>
  <c r="I2898" i="26"/>
  <c r="E2898" i="26" s="1"/>
  <c r="I2500" i="26"/>
  <c r="E2500" i="26" s="1"/>
  <c r="H5370" i="26"/>
  <c r="H3055" i="26"/>
  <c r="H4248" i="26"/>
  <c r="I2288" i="26"/>
  <c r="E2288" i="26" s="1"/>
  <c r="I3943" i="26"/>
  <c r="E3943" i="26" s="1"/>
  <c r="H6572" i="26"/>
  <c r="H1056" i="26"/>
  <c r="H4991" i="26"/>
  <c r="I5214" i="26"/>
  <c r="E5214" i="26" s="1"/>
  <c r="I5680" i="26"/>
  <c r="E5680" i="26" s="1"/>
  <c r="I4319" i="26"/>
  <c r="E4319" i="26" s="1"/>
  <c r="I2471" i="26"/>
  <c r="E2471" i="26" s="1"/>
  <c r="H6193" i="26"/>
  <c r="H2328" i="26"/>
  <c r="H2998" i="26"/>
  <c r="H6047" i="26"/>
  <c r="I4061" i="26"/>
  <c r="E4061" i="26" s="1"/>
  <c r="I6478" i="26"/>
  <c r="E6478" i="26" s="1"/>
  <c r="I4326" i="26"/>
  <c r="E4326" i="26" s="1"/>
  <c r="I4811" i="26"/>
  <c r="E4811" i="26" s="1"/>
  <c r="H6582" i="26"/>
  <c r="H4719" i="26"/>
  <c r="H4600" i="26"/>
  <c r="H2601" i="26"/>
  <c r="H2784" i="26"/>
  <c r="I4988" i="26"/>
  <c r="E4988" i="26" s="1"/>
  <c r="I5623" i="26"/>
  <c r="E5623" i="26" s="1"/>
  <c r="I5095" i="26"/>
  <c r="E5095" i="26" s="1"/>
  <c r="I2558" i="26"/>
  <c r="E2558" i="26" s="1"/>
  <c r="I1046" i="26"/>
  <c r="E1046" i="26" s="1"/>
  <c r="I2932" i="26"/>
  <c r="E2932" i="26" s="1"/>
  <c r="H3713" i="26"/>
  <c r="H4156" i="26"/>
  <c r="I3377" i="26"/>
  <c r="E3377" i="26" s="1"/>
  <c r="I5333" i="26"/>
  <c r="E5333" i="26" s="1"/>
  <c r="H5212" i="26"/>
  <c r="H2616" i="26"/>
  <c r="H1075" i="26"/>
  <c r="I2789" i="26"/>
  <c r="E2789" i="26" s="1"/>
  <c r="I5737" i="26"/>
  <c r="E5737" i="26" s="1"/>
  <c r="H2559" i="26"/>
  <c r="I4604" i="26"/>
  <c r="E4604" i="26" s="1"/>
  <c r="H4920" i="26"/>
  <c r="H3695" i="26"/>
  <c r="H3477" i="26"/>
  <c r="I1623" i="26"/>
  <c r="E1623" i="26" s="1"/>
  <c r="H4283" i="26"/>
  <c r="H2828" i="26"/>
  <c r="H1893" i="26"/>
  <c r="I4716" i="26"/>
  <c r="E4716" i="26" s="1"/>
  <c r="I4688" i="26"/>
  <c r="E4688" i="26" s="1"/>
  <c r="H4586" i="26"/>
  <c r="H3873" i="26"/>
  <c r="H6657" i="26"/>
  <c r="H1750" i="26"/>
  <c r="H2497" i="26"/>
  <c r="H6503" i="26"/>
  <c r="I4521" i="26"/>
  <c r="E4521" i="26" s="1"/>
  <c r="H4762" i="26"/>
  <c r="I5183" i="26"/>
  <c r="E5183" i="26" s="1"/>
  <c r="H4950" i="26"/>
  <c r="I3940" i="26"/>
  <c r="E3940" i="26" s="1"/>
  <c r="H5731" i="26"/>
  <c r="H3154" i="26"/>
  <c r="H3025" i="26"/>
  <c r="H5242" i="26"/>
  <c r="H5743" i="26"/>
  <c r="H4750" i="26"/>
  <c r="H4203" i="26"/>
  <c r="I5690" i="26"/>
  <c r="E5690" i="26" s="1"/>
  <c r="H6215" i="26"/>
  <c r="H4043" i="26"/>
  <c r="I2299" i="26"/>
  <c r="E2299" i="26" s="1"/>
  <c r="H4785" i="26"/>
  <c r="H3320" i="26"/>
  <c r="H2257" i="26"/>
  <c r="H3128" i="26"/>
  <c r="I2566" i="26"/>
  <c r="E2566" i="26" s="1"/>
  <c r="H4152" i="26"/>
  <c r="I1325" i="26"/>
  <c r="E1325" i="26" s="1"/>
  <c r="I4883" i="26"/>
  <c r="E4883" i="26" s="1"/>
  <c r="I3078" i="26"/>
  <c r="E3078" i="26" s="1"/>
  <c r="H5155" i="26"/>
  <c r="H4692" i="26"/>
  <c r="H5238" i="26"/>
  <c r="H2768" i="26"/>
  <c r="H3276" i="26"/>
  <c r="H5799" i="26"/>
  <c r="H5264" i="26"/>
  <c r="H3033" i="26"/>
  <c r="H2450" i="26"/>
  <c r="H2434" i="26"/>
  <c r="H1931" i="26"/>
  <c r="H1887" i="26"/>
  <c r="H2375" i="26"/>
  <c r="I5065" i="26"/>
  <c r="E5065" i="26" s="1"/>
  <c r="H3497" i="26"/>
  <c r="I1303" i="26"/>
  <c r="E1303" i="26" s="1"/>
  <c r="H1385" i="26"/>
  <c r="H4351" i="26"/>
  <c r="H2927" i="26"/>
  <c r="H3372" i="26"/>
  <c r="H6257" i="26"/>
  <c r="H5142" i="26"/>
  <c r="H4918" i="26"/>
  <c r="I1730" i="26"/>
  <c r="E1730" i="26" s="1"/>
  <c r="H5610" i="26"/>
  <c r="H3043" i="26"/>
  <c r="H3526" i="26"/>
  <c r="H4252" i="26"/>
  <c r="H1720" i="26"/>
  <c r="H1632" i="26"/>
  <c r="H5789" i="26"/>
  <c r="I4006" i="26"/>
  <c r="E4006" i="26" s="1"/>
  <c r="H2284" i="26"/>
  <c r="H5558" i="26"/>
  <c r="H5095" i="26"/>
  <c r="H3877" i="26"/>
  <c r="I1938" i="26"/>
  <c r="E1938" i="26" s="1"/>
  <c r="H4230" i="26"/>
  <c r="H5395" i="26"/>
  <c r="H5125" i="26"/>
  <c r="H2692" i="26"/>
  <c r="H6344" i="26"/>
  <c r="H5207" i="26"/>
  <c r="H2244" i="26"/>
  <c r="H3833" i="26"/>
  <c r="I1541" i="26"/>
  <c r="E1541" i="26" s="1"/>
  <c r="H5740" i="26"/>
  <c r="H3707" i="26"/>
  <c r="H1499" i="26"/>
  <c r="H2453" i="26"/>
  <c r="H1987" i="26"/>
  <c r="H2428" i="26"/>
  <c r="H4981" i="26"/>
  <c r="H3721" i="26"/>
  <c r="H2371" i="26"/>
  <c r="I5444" i="26"/>
  <c r="E5444" i="26" s="1"/>
  <c r="H6054" i="26"/>
  <c r="I2648" i="26"/>
  <c r="E2648" i="26" s="1"/>
  <c r="H4075" i="26"/>
  <c r="I2115" i="26"/>
  <c r="E2115" i="26" s="1"/>
  <c r="H6612" i="26"/>
  <c r="I5154" i="26"/>
  <c r="E5154" i="26" s="1"/>
  <c r="H4197" i="26"/>
  <c r="H3995" i="26"/>
  <c r="I4868" i="26"/>
  <c r="E4868" i="26" s="1"/>
  <c r="H3778" i="26"/>
  <c r="I5381" i="26"/>
  <c r="E5381" i="26" s="1"/>
  <c r="H5746" i="26"/>
  <c r="H6253" i="26"/>
  <c r="H3875" i="26"/>
  <c r="H4112" i="26"/>
  <c r="H3795" i="26"/>
  <c r="H5606" i="26"/>
  <c r="I6391" i="26"/>
  <c r="E6391" i="26" s="1"/>
  <c r="H5805" i="26"/>
  <c r="H6674" i="26"/>
  <c r="H4565" i="26"/>
  <c r="H6095" i="26"/>
  <c r="H5755" i="26"/>
  <c r="I6128" i="26"/>
  <c r="E6128" i="26" s="1"/>
  <c r="H4061" i="26"/>
  <c r="H6208" i="26"/>
  <c r="H5872" i="26"/>
  <c r="H3665" i="26"/>
  <c r="I1560" i="26"/>
  <c r="E1560" i="26" s="1"/>
  <c r="H3563" i="26"/>
  <c r="I1913" i="26"/>
  <c r="E1913" i="26" s="1"/>
  <c r="I1744" i="26"/>
  <c r="E1744" i="26" s="1"/>
  <c r="H3528" i="26"/>
  <c r="H3629" i="26"/>
  <c r="H4526" i="26"/>
  <c r="H4961" i="26"/>
  <c r="I2723" i="26"/>
  <c r="E2723" i="26" s="1"/>
  <c r="H5559" i="26"/>
  <c r="H5658" i="26"/>
  <c r="H5470" i="26"/>
  <c r="H5583" i="26"/>
  <c r="H3683" i="26"/>
  <c r="I2861" i="26"/>
  <c r="E2861" i="26" s="1"/>
  <c r="I891" i="26"/>
  <c r="E891" i="26" s="1"/>
  <c r="H994" i="26"/>
  <c r="I6721" i="26"/>
  <c r="E6721" i="26" s="1"/>
  <c r="I5033" i="26"/>
  <c r="E5033" i="26" s="1"/>
  <c r="I6659" i="26"/>
  <c r="E6659" i="26" s="1"/>
  <c r="I3497" i="26"/>
  <c r="E3497" i="26" s="1"/>
  <c r="I3894" i="26"/>
  <c r="E3894" i="26" s="1"/>
  <c r="I3280" i="26"/>
  <c r="E3280" i="26" s="1"/>
  <c r="I3773" i="26"/>
  <c r="E3773" i="26" s="1"/>
  <c r="I3690" i="26"/>
  <c r="E3690" i="26" s="1"/>
  <c r="I1899" i="26"/>
  <c r="E1899" i="26" s="1"/>
  <c r="I3088" i="26"/>
  <c r="E3088" i="26" s="1"/>
  <c r="H174" i="26"/>
  <c r="I4469" i="26"/>
  <c r="E4469" i="26" s="1"/>
  <c r="I2781" i="26"/>
  <c r="E2781" i="26" s="1"/>
  <c r="H4275" i="26"/>
  <c r="I3914" i="26"/>
  <c r="E3914" i="26" s="1"/>
  <c r="I6336" i="26"/>
  <c r="E6336" i="26" s="1"/>
  <c r="I4725" i="26"/>
  <c r="E4725" i="26" s="1"/>
  <c r="H3647" i="26"/>
  <c r="H2553" i="26"/>
  <c r="I2965" i="26"/>
  <c r="E2965" i="26" s="1"/>
  <c r="H6154" i="26"/>
  <c r="H3784" i="26"/>
  <c r="H5759" i="26"/>
  <c r="I6219" i="26"/>
  <c r="E6219" i="26" s="1"/>
  <c r="I3502" i="26"/>
  <c r="E3502" i="26" s="1"/>
  <c r="H5493" i="26"/>
  <c r="I6636" i="26"/>
  <c r="E6636" i="26" s="1"/>
  <c r="I5939" i="26"/>
  <c r="E5939" i="26" s="1"/>
  <c r="H5092" i="26"/>
  <c r="H6127" i="26"/>
  <c r="H4943" i="26"/>
  <c r="I1877" i="26"/>
  <c r="E1877" i="26" s="1"/>
  <c r="H5255" i="26"/>
  <c r="I3265" i="26"/>
  <c r="E3265" i="26" s="1"/>
  <c r="H5889" i="26"/>
  <c r="I5650" i="26"/>
  <c r="E5650" i="26" s="1"/>
  <c r="H5756" i="26"/>
  <c r="I2481" i="26"/>
  <c r="E2481" i="26" s="1"/>
  <c r="H3072" i="26"/>
  <c r="H5630" i="26"/>
  <c r="I3540" i="26"/>
  <c r="E3540" i="26" s="1"/>
  <c r="I2700" i="26"/>
  <c r="E2700" i="26" s="1"/>
  <c r="I5556" i="26"/>
  <c r="E5556" i="26" s="1"/>
  <c r="I5452" i="26"/>
  <c r="E5452" i="26" s="1"/>
  <c r="I6165" i="26"/>
  <c r="E6165" i="26" s="1"/>
  <c r="H2606" i="26"/>
  <c r="I5153" i="26"/>
  <c r="E5153" i="26" s="1"/>
  <c r="I4313" i="26"/>
  <c r="E4313" i="26" s="1"/>
  <c r="I2649" i="26"/>
  <c r="E2649" i="26" s="1"/>
  <c r="H5893" i="26"/>
  <c r="H5632" i="26"/>
  <c r="H2956" i="26"/>
  <c r="I2903" i="26"/>
  <c r="E2903" i="26" s="1"/>
  <c r="H3036" i="26"/>
  <c r="I2516" i="26"/>
  <c r="E2516" i="26" s="1"/>
  <c r="H2263" i="26"/>
  <c r="I3517" i="26"/>
  <c r="E3517" i="26" s="1"/>
  <c r="I4561" i="26"/>
  <c r="E4561" i="26" s="1"/>
  <c r="H5178" i="26"/>
  <c r="I5339" i="26"/>
  <c r="E5339" i="26" s="1"/>
  <c r="H4139" i="26"/>
  <c r="I5231" i="26"/>
  <c r="E5231" i="26" s="1"/>
  <c r="I3522" i="26"/>
  <c r="E3522" i="26" s="1"/>
  <c r="H4047" i="26"/>
  <c r="H4717" i="26"/>
  <c r="H3869" i="26"/>
  <c r="H3232" i="26"/>
  <c r="I3189" i="26"/>
  <c r="E3189" i="26" s="1"/>
  <c r="I4083" i="26"/>
  <c r="E4083" i="26" s="1"/>
  <c r="I5621" i="26"/>
  <c r="E5621" i="26" s="1"/>
  <c r="I4095" i="26"/>
  <c r="E4095" i="26" s="1"/>
  <c r="H6041" i="26"/>
  <c r="H5011" i="26"/>
  <c r="I5956" i="26"/>
  <c r="E5956" i="26" s="1"/>
  <c r="I6681" i="26"/>
  <c r="E6681" i="26" s="1"/>
  <c r="H3897" i="26"/>
  <c r="I2848" i="26"/>
  <c r="E2848" i="26" s="1"/>
  <c r="I3651" i="26"/>
  <c r="E3651" i="26" s="1"/>
  <c r="H4710" i="26"/>
  <c r="H5322" i="26"/>
  <c r="I5985" i="26"/>
  <c r="E5985" i="26" s="1"/>
  <c r="H5529" i="26"/>
  <c r="I3315" i="26"/>
  <c r="E3315" i="26" s="1"/>
  <c r="I4665" i="26"/>
  <c r="E4665" i="26" s="1"/>
  <c r="H4220" i="26"/>
  <c r="H2465" i="26"/>
  <c r="H4159" i="26"/>
  <c r="H5010" i="26"/>
  <c r="H6267" i="26"/>
  <c r="H4899" i="26"/>
  <c r="H2252" i="26"/>
  <c r="H4430" i="26"/>
  <c r="H4423" i="26"/>
  <c r="H2702" i="26"/>
  <c r="H5851" i="26"/>
  <c r="H1103" i="26"/>
  <c r="H6409" i="26"/>
  <c r="H2571" i="26"/>
  <c r="H3144" i="26"/>
  <c r="I2636" i="26"/>
  <c r="E2636" i="26" s="1"/>
  <c r="I3372" i="26"/>
  <c r="E3372" i="26" s="1"/>
  <c r="I2975" i="26"/>
  <c r="E2975" i="26" s="1"/>
  <c r="H2843" i="26"/>
  <c r="H3139" i="26"/>
  <c r="I2941" i="26"/>
  <c r="E2941" i="26" s="1"/>
  <c r="H3591" i="26"/>
  <c r="H4844" i="26"/>
  <c r="H5943" i="26"/>
  <c r="H5962" i="26"/>
  <c r="H4411" i="26"/>
  <c r="I3230" i="26"/>
  <c r="E3230" i="26" s="1"/>
  <c r="H3823" i="26"/>
  <c r="H1151" i="26"/>
  <c r="I3559" i="26"/>
  <c r="E3559" i="26" s="1"/>
  <c r="H5385" i="26"/>
  <c r="I6687" i="26"/>
  <c r="E6687" i="26" s="1"/>
  <c r="H5878" i="26"/>
  <c r="H4239" i="26"/>
  <c r="H3624" i="26"/>
  <c r="H3968" i="26"/>
  <c r="H3669" i="26"/>
  <c r="I2083" i="26"/>
  <c r="E2083" i="26" s="1"/>
  <c r="H5839" i="26"/>
  <c r="H2319" i="26"/>
  <c r="H6751" i="26"/>
  <c r="I4601" i="26"/>
  <c r="E4601" i="26" s="1"/>
  <c r="H3069" i="26"/>
  <c r="H6316" i="26"/>
  <c r="H3215" i="26"/>
  <c r="H3183" i="26"/>
  <c r="H2479" i="26"/>
  <c r="H5070" i="26"/>
  <c r="H2896" i="26"/>
  <c r="H5415" i="26"/>
  <c r="H4599" i="26"/>
  <c r="H6539" i="26"/>
  <c r="H6551" i="26"/>
  <c r="I1973" i="26"/>
  <c r="E1973" i="26" s="1"/>
  <c r="I1503" i="26"/>
  <c r="E1503" i="26" s="1"/>
  <c r="I3214" i="26"/>
  <c r="E3214" i="26" s="1"/>
  <c r="H5821" i="26"/>
  <c r="H2333" i="26"/>
  <c r="H4427" i="26"/>
  <c r="H2575" i="26"/>
  <c r="H2588" i="26"/>
  <c r="H3748" i="26"/>
  <c r="H5436" i="26"/>
  <c r="H5780" i="26"/>
  <c r="H5300" i="26"/>
  <c r="H3321" i="26"/>
  <c r="I1960" i="26"/>
  <c r="E1960" i="26" s="1"/>
  <c r="H5228" i="26"/>
  <c r="H4469" i="26"/>
  <c r="I5076" i="26"/>
  <c r="E5076" i="26" s="1"/>
  <c r="H5910" i="26"/>
  <c r="I1576" i="26"/>
  <c r="E1576" i="26" s="1"/>
  <c r="H4587" i="26"/>
  <c r="H720" i="26"/>
  <c r="H3303" i="26"/>
  <c r="I4680" i="26"/>
  <c r="E4680" i="26" s="1"/>
  <c r="H2859" i="26"/>
  <c r="I3376" i="26"/>
  <c r="E3376" i="26" s="1"/>
  <c r="H2793" i="26"/>
  <c r="H754" i="26"/>
  <c r="H3607" i="26"/>
  <c r="H3868" i="26"/>
  <c r="H6279" i="26"/>
  <c r="I6740" i="26"/>
  <c r="E6740" i="26" s="1"/>
  <c r="I1121" i="26"/>
  <c r="E1121" i="26" s="1"/>
  <c r="H2476" i="26"/>
  <c r="I1727" i="26"/>
  <c r="E1727" i="26" s="1"/>
  <c r="I5789" i="26"/>
  <c r="E5789" i="26" s="1"/>
  <c r="H3429" i="26"/>
  <c r="H6600" i="26"/>
  <c r="H3797" i="26"/>
  <c r="H3796" i="26"/>
  <c r="I1590" i="26"/>
  <c r="E1590" i="26" s="1"/>
  <c r="H5576" i="26"/>
  <c r="H2447" i="26"/>
  <c r="H5592" i="26"/>
  <c r="H2406" i="26"/>
  <c r="H5937" i="26"/>
  <c r="H4505" i="26"/>
  <c r="I2611" i="26"/>
  <c r="E2611" i="26" s="1"/>
  <c r="H1920" i="26"/>
  <c r="I1569" i="26"/>
  <c r="E1569" i="26" s="1"/>
  <c r="H5221" i="26"/>
  <c r="H4282" i="26"/>
  <c r="I3225" i="26"/>
  <c r="E3225" i="26" s="1"/>
  <c r="H3662" i="26"/>
  <c r="I3410" i="26"/>
  <c r="E3410" i="26" s="1"/>
  <c r="H5690" i="26"/>
  <c r="H2368" i="26"/>
  <c r="H3250" i="26"/>
  <c r="I4341" i="26"/>
  <c r="E4341" i="26" s="1"/>
  <c r="H3071" i="26"/>
  <c r="H3547" i="26"/>
  <c r="H5257" i="26"/>
  <c r="H2790" i="26"/>
  <c r="I2143" i="26"/>
  <c r="E2143" i="26" s="1"/>
  <c r="H3210" i="26"/>
  <c r="H5948" i="26"/>
  <c r="H2289" i="26"/>
  <c r="H5744" i="26"/>
  <c r="I4974" i="26"/>
  <c r="E4974" i="26" s="1"/>
  <c r="H5785" i="26"/>
  <c r="H4381" i="26"/>
  <c r="H6032" i="26"/>
  <c r="I1930" i="26"/>
  <c r="E1930" i="26" s="1"/>
  <c r="H6520" i="26"/>
  <c r="I3715" i="26"/>
  <c r="E3715" i="26" s="1"/>
  <c r="H3274" i="26"/>
  <c r="H4715" i="26"/>
  <c r="H4048" i="26"/>
  <c r="H3009" i="26"/>
  <c r="H3693" i="26"/>
  <c r="H5123" i="26"/>
  <c r="H6045" i="26"/>
  <c r="H5459" i="26"/>
  <c r="I3919" i="26"/>
  <c r="E3919" i="26" s="1"/>
  <c r="H4812" i="26"/>
  <c r="H3296" i="26"/>
  <c r="H6754" i="26"/>
  <c r="I6523" i="26"/>
  <c r="E6523" i="26" s="1"/>
  <c r="H2133" i="26"/>
  <c r="H5940" i="26"/>
  <c r="H1565" i="26"/>
  <c r="H3003" i="26"/>
  <c r="I3007" i="26"/>
  <c r="E3007" i="26" s="1"/>
  <c r="H4748" i="26"/>
  <c r="H4969" i="26"/>
  <c r="H6601" i="26"/>
  <c r="H3414" i="26"/>
  <c r="H726" i="26"/>
  <c r="H6533" i="26"/>
  <c r="H3491" i="26"/>
  <c r="H5000" i="26"/>
  <c r="I4929" i="26"/>
  <c r="E4929" i="26" s="1"/>
  <c r="H3287" i="26"/>
  <c r="H578" i="26"/>
  <c r="H2132" i="26"/>
  <c r="I956" i="26"/>
  <c r="E956" i="26" s="1"/>
  <c r="H2234" i="26"/>
  <c r="H2664" i="26"/>
  <c r="I1874" i="26"/>
  <c r="E1874" i="26" s="1"/>
  <c r="I5450" i="26"/>
  <c r="E5450" i="26" s="1"/>
  <c r="I4761" i="26"/>
  <c r="E4761" i="26" s="1"/>
  <c r="I5044" i="26"/>
  <c r="E5044" i="26" s="1"/>
  <c r="H51" i="26"/>
  <c r="I3507" i="26"/>
  <c r="E3507" i="26" s="1"/>
  <c r="I6106" i="26"/>
  <c r="E6106" i="26" s="1"/>
  <c r="I2753" i="26"/>
  <c r="E2753" i="26" s="1"/>
  <c r="I5471" i="26"/>
  <c r="E5471" i="26" s="1"/>
  <c r="H54" i="26"/>
  <c r="I5431" i="26"/>
  <c r="E5431" i="26" s="1"/>
  <c r="H6261" i="26"/>
  <c r="H6088" i="26"/>
  <c r="I3361" i="26"/>
  <c r="E3361" i="26" s="1"/>
  <c r="H4195" i="26"/>
  <c r="I6091" i="26"/>
  <c r="E6091" i="26" s="1"/>
  <c r="H3679" i="26"/>
  <c r="H5188" i="26"/>
  <c r="I5462" i="26"/>
  <c r="E5462" i="26" s="1"/>
  <c r="I5528" i="26"/>
  <c r="E5528" i="26" s="1"/>
  <c r="I3596" i="26"/>
  <c r="E3596" i="26" s="1"/>
  <c r="I5816" i="26"/>
  <c r="E5816" i="26" s="1"/>
  <c r="I4616" i="26"/>
  <c r="E4616" i="26" s="1"/>
  <c r="H5361" i="26"/>
  <c r="H5618" i="26"/>
  <c r="I2964" i="26"/>
  <c r="E2964" i="26" s="1"/>
  <c r="H6297" i="26"/>
  <c r="I5489" i="26"/>
  <c r="E5489" i="26" s="1"/>
  <c r="I4949" i="26"/>
  <c r="E4949" i="26" s="1"/>
  <c r="I4068" i="26"/>
  <c r="E4068" i="26" s="1"/>
  <c r="I3094" i="26"/>
  <c r="E3094" i="26" s="1"/>
  <c r="I4256" i="26"/>
  <c r="E4256" i="26" s="1"/>
  <c r="H5504" i="26"/>
  <c r="I4516" i="26"/>
  <c r="E4516" i="26" s="1"/>
  <c r="H3913" i="26"/>
  <c r="H6287" i="26"/>
  <c r="I4797" i="26"/>
  <c r="E4797" i="26" s="1"/>
  <c r="H5903" i="26"/>
  <c r="H4085" i="26"/>
  <c r="I5119" i="26"/>
  <c r="E5119" i="26" s="1"/>
  <c r="H4315" i="26"/>
  <c r="H3782" i="26"/>
  <c r="H3895" i="26"/>
  <c r="H3306" i="26"/>
  <c r="I2351" i="26"/>
  <c r="E2351" i="26" s="1"/>
  <c r="I3627" i="26"/>
  <c r="E3627" i="26" s="1"/>
  <c r="H4574" i="26"/>
  <c r="H3627" i="26"/>
  <c r="H6426" i="26"/>
  <c r="H5371" i="26"/>
  <c r="H3288" i="26"/>
  <c r="I5736" i="26"/>
  <c r="E5736" i="26" s="1"/>
  <c r="I4742" i="26"/>
  <c r="E4742" i="26" s="1"/>
  <c r="H5446" i="26"/>
  <c r="H5073" i="26"/>
  <c r="I3289" i="26"/>
  <c r="E3289" i="26" s="1"/>
  <c r="I5167" i="26"/>
  <c r="E5167" i="26" s="1"/>
  <c r="H4235" i="26"/>
  <c r="H2303" i="26"/>
  <c r="I1875" i="26"/>
  <c r="E1875" i="26" s="1"/>
  <c r="I6517" i="26"/>
  <c r="E6517" i="26" s="1"/>
  <c r="H5663" i="26"/>
  <c r="H4716" i="26"/>
  <c r="H3110" i="26"/>
  <c r="H3026" i="26"/>
  <c r="H4820" i="26"/>
  <c r="I3178" i="26"/>
  <c r="E3178" i="26" s="1"/>
  <c r="H2867" i="26"/>
  <c r="I6053" i="26"/>
  <c r="E6053" i="26" s="1"/>
  <c r="I5166" i="26"/>
  <c r="E5166" i="26" s="1"/>
  <c r="H3922" i="26"/>
  <c r="I5986" i="26"/>
  <c r="E5986" i="26" s="1"/>
  <c r="H5064" i="26"/>
  <c r="I5038" i="26"/>
  <c r="E5038" i="26" s="1"/>
  <c r="H5254" i="26"/>
  <c r="H2382" i="26"/>
  <c r="H5990" i="26"/>
  <c r="H2436" i="26"/>
  <c r="I2725" i="26"/>
  <c r="E2725" i="26" s="1"/>
  <c r="H3251" i="26"/>
  <c r="H5867" i="26"/>
  <c r="H1895" i="26"/>
  <c r="H3266" i="26"/>
  <c r="I4262" i="26"/>
  <c r="E4262" i="26" s="1"/>
  <c r="H5475" i="26"/>
  <c r="H5489" i="26"/>
  <c r="H5428" i="26"/>
  <c r="H4110" i="26"/>
  <c r="H6421" i="26"/>
  <c r="H5633" i="26"/>
  <c r="H2970" i="26"/>
  <c r="H4113" i="26"/>
  <c r="I5920" i="26"/>
  <c r="E5920" i="26" s="1"/>
  <c r="H1504" i="26"/>
  <c r="H757" i="26"/>
  <c r="I3612" i="26"/>
  <c r="E3612" i="26" s="1"/>
  <c r="H5952" i="26"/>
  <c r="H702" i="26"/>
  <c r="H2522" i="26"/>
  <c r="H2460" i="26"/>
  <c r="H4923" i="26"/>
  <c r="H5707" i="26"/>
  <c r="H6126" i="26"/>
  <c r="H4986" i="26"/>
  <c r="H5158" i="26"/>
  <c r="H3745" i="26"/>
  <c r="H2519" i="26"/>
  <c r="H3228" i="26"/>
  <c r="H6432" i="26"/>
  <c r="I6463" i="26"/>
  <c r="E6463" i="26" s="1"/>
  <c r="H1069" i="26"/>
  <c r="H5289" i="26"/>
  <c r="H3803" i="26"/>
  <c r="H3996" i="26"/>
  <c r="H3237" i="26"/>
  <c r="I2961" i="26"/>
  <c r="E2961" i="26" s="1"/>
  <c r="I5498" i="26"/>
  <c r="E5498" i="26" s="1"/>
  <c r="H2345" i="26"/>
  <c r="H6001" i="26"/>
  <c r="H4519" i="26"/>
  <c r="I1566" i="26"/>
  <c r="E1566" i="26" s="1"/>
  <c r="H4727" i="26"/>
  <c r="H4172" i="26"/>
  <c r="H5515" i="26"/>
  <c r="H4597" i="26"/>
  <c r="H4779" i="26"/>
  <c r="H5131" i="26"/>
  <c r="H3323" i="26"/>
  <c r="H3537" i="26"/>
  <c r="H4481" i="26"/>
  <c r="I1536" i="26"/>
  <c r="E1536" i="26" s="1"/>
  <c r="H4241" i="26"/>
  <c r="I3371" i="26"/>
  <c r="E3371" i="26" s="1"/>
  <c r="H2645" i="26"/>
  <c r="H2280" i="26"/>
  <c r="H2088" i="26"/>
  <c r="H1625" i="26"/>
  <c r="I4478" i="26"/>
  <c r="E4478" i="26" s="1"/>
  <c r="I1889" i="26"/>
  <c r="E1889" i="26" s="1"/>
  <c r="H3074" i="26"/>
  <c r="H3566" i="26"/>
  <c r="H4891" i="26"/>
  <c r="H4083" i="26"/>
  <c r="I1082" i="26"/>
  <c r="E1082" i="26" s="1"/>
  <c r="H5199" i="26"/>
  <c r="H4452" i="26"/>
  <c r="H5246" i="26"/>
  <c r="H3189" i="26"/>
  <c r="H5776" i="26"/>
  <c r="I2159" i="26"/>
  <c r="E2159" i="26" s="1"/>
  <c r="H2717" i="26"/>
  <c r="H3502" i="26"/>
  <c r="H5422" i="26"/>
  <c r="H3137" i="26"/>
  <c r="H771" i="26"/>
  <c r="H5757" i="26"/>
  <c r="H5593" i="26"/>
  <c r="H5317" i="26"/>
  <c r="I6174" i="26"/>
  <c r="E6174" i="26" s="1"/>
  <c r="H6133" i="26"/>
  <c r="H2470" i="26"/>
  <c r="H2078" i="26"/>
  <c r="I1992" i="26"/>
  <c r="E1992" i="26" s="1"/>
  <c r="H4130" i="26"/>
  <c r="H3140" i="26"/>
  <c r="H4756" i="26"/>
  <c r="I4877" i="26"/>
  <c r="E4877" i="26" s="1"/>
  <c r="I775" i="26"/>
  <c r="E775" i="26" s="1"/>
  <c r="H6085" i="26"/>
  <c r="H2695" i="26"/>
  <c r="H4089" i="26"/>
  <c r="H4823" i="26"/>
  <c r="H2802" i="26"/>
  <c r="H5624" i="26"/>
  <c r="I1079" i="26"/>
  <c r="E1079" i="26" s="1"/>
  <c r="I1375" i="26"/>
  <c r="E1375" i="26" s="1"/>
  <c r="I4015" i="26"/>
  <c r="E4015" i="26" s="1"/>
  <c r="H2321" i="26"/>
  <c r="H6604" i="26"/>
  <c r="H6368" i="26"/>
  <c r="H3948" i="26"/>
  <c r="H6480" i="26"/>
  <c r="H1302" i="26"/>
  <c r="H6057" i="26"/>
  <c r="H2882" i="26"/>
  <c r="H4579" i="26"/>
  <c r="H6721" i="26"/>
  <c r="H6550" i="26"/>
  <c r="I4139" i="26"/>
  <c r="E4139" i="26" s="1"/>
  <c r="H4978" i="26"/>
  <c r="H5256" i="26"/>
  <c r="H2512" i="26"/>
  <c r="H3054" i="26"/>
  <c r="I4209" i="26"/>
  <c r="E4209" i="26" s="1"/>
  <c r="H3222" i="26"/>
  <c r="H4564" i="26"/>
  <c r="I5866" i="26"/>
  <c r="E5866" i="26" s="1"/>
  <c r="H6314" i="26"/>
  <c r="I1626" i="26"/>
  <c r="E1626" i="26" s="1"/>
  <c r="H3422" i="26"/>
  <c r="H5950" i="26"/>
  <c r="H5779" i="26"/>
  <c r="H5320" i="26"/>
  <c r="H3468" i="26"/>
  <c r="H4232" i="26"/>
  <c r="H5739" i="26"/>
  <c r="H4894" i="26"/>
  <c r="H1753" i="26"/>
  <c r="H2547" i="26"/>
  <c r="H6236" i="26"/>
  <c r="H3141" i="26"/>
  <c r="H4439" i="26"/>
  <c r="H6073" i="26"/>
  <c r="H3199" i="26"/>
  <c r="H2741" i="26"/>
  <c r="I2472" i="26"/>
  <c r="E2472" i="26" s="1"/>
  <c r="I2086" i="26"/>
  <c r="E2086" i="26" s="1"/>
  <c r="H5550" i="26"/>
  <c r="H4453" i="26"/>
  <c r="H4953" i="26"/>
  <c r="I4564" i="26"/>
  <c r="E4564" i="26" s="1"/>
  <c r="H2573" i="26"/>
  <c r="H5466" i="26"/>
  <c r="H1372" i="26"/>
  <c r="H5533" i="26"/>
  <c r="H2798" i="26"/>
  <c r="H3181" i="26"/>
  <c r="H6383" i="26"/>
  <c r="I3408" i="26"/>
  <c r="E3408" i="26" s="1"/>
  <c r="H2389" i="26"/>
  <c r="H4728" i="26"/>
  <c r="H3260" i="26"/>
  <c r="H1962" i="26"/>
  <c r="H4285" i="26"/>
  <c r="H5640" i="26"/>
  <c r="I700" i="26"/>
  <c r="E700" i="26" s="1"/>
  <c r="I2333" i="26"/>
  <c r="E2333" i="26" s="1"/>
  <c r="H2356" i="26"/>
  <c r="H773" i="26"/>
  <c r="H4254" i="26"/>
  <c r="H1395" i="26"/>
  <c r="H540" i="26"/>
  <c r="I642" i="26"/>
  <c r="E642" i="26" s="1"/>
  <c r="H1856" i="26"/>
  <c r="H5596" i="26"/>
  <c r="H5383" i="26"/>
  <c r="I3730" i="26"/>
  <c r="E3730" i="26" s="1"/>
  <c r="H1748" i="26"/>
  <c r="H4127" i="26"/>
  <c r="I2131" i="26"/>
  <c r="E2131" i="26" s="1"/>
  <c r="H505" i="26"/>
  <c r="H888" i="26"/>
  <c r="H798" i="26"/>
  <c r="H1669" i="26"/>
  <c r="I1397" i="26"/>
  <c r="E1397" i="26" s="1"/>
  <c r="H114" i="26"/>
  <c r="I5160" i="26"/>
  <c r="E5160" i="26" s="1"/>
  <c r="I6427" i="26"/>
  <c r="E6427" i="26" s="1"/>
  <c r="I5804" i="26"/>
  <c r="E5804" i="26" s="1"/>
  <c r="I3585" i="26"/>
  <c r="E3585" i="26" s="1"/>
  <c r="I6317" i="26"/>
  <c r="E6317" i="26" s="1"/>
  <c r="I6638" i="26"/>
  <c r="E6638" i="26" s="1"/>
  <c r="I6420" i="26"/>
  <c r="E6420" i="26" s="1"/>
  <c r="I2972" i="26"/>
  <c r="E2972" i="26" s="1"/>
  <c r="I3128" i="26"/>
  <c r="E3128" i="26" s="1"/>
  <c r="I3992" i="26"/>
  <c r="E3992" i="26" s="1"/>
  <c r="I6612" i="26"/>
  <c r="E6612" i="26" s="1"/>
  <c r="I6176" i="26"/>
  <c r="E6176" i="26" s="1"/>
  <c r="H2517" i="26"/>
  <c r="H6281" i="26"/>
  <c r="I3953" i="26"/>
  <c r="E3953" i="26" s="1"/>
  <c r="I4142" i="26"/>
  <c r="E4142" i="26" s="1"/>
  <c r="I2395" i="26"/>
  <c r="E2395" i="26" s="1"/>
  <c r="I3249" i="26"/>
  <c r="E3249" i="26" s="1"/>
  <c r="I5158" i="26"/>
  <c r="E5158" i="26" s="1"/>
  <c r="I6554" i="26"/>
  <c r="E6554" i="26" s="1"/>
  <c r="H2554" i="26"/>
  <c r="I3591" i="26"/>
  <c r="E3591" i="26" s="1"/>
  <c r="H5380" i="26"/>
  <c r="I4321" i="26"/>
  <c r="E4321" i="26" s="1"/>
  <c r="I6120" i="26"/>
  <c r="E6120" i="26" s="1"/>
  <c r="H5941" i="26"/>
  <c r="I4706" i="26"/>
  <c r="E4706" i="26" s="1"/>
  <c r="I6313" i="26"/>
  <c r="E6313" i="26" s="1"/>
  <c r="I1901" i="26"/>
  <c r="E1901" i="26" s="1"/>
  <c r="I3965" i="26"/>
  <c r="E3965" i="26" s="1"/>
  <c r="I6568" i="26"/>
  <c r="E6568" i="26" s="1"/>
  <c r="I2711" i="26"/>
  <c r="E2711" i="26" s="1"/>
  <c r="H2462" i="26"/>
  <c r="I2806" i="26"/>
  <c r="E2806" i="26" s="1"/>
  <c r="H4270" i="26"/>
  <c r="H6676" i="26"/>
  <c r="I5257" i="26"/>
  <c r="E5257" i="26" s="1"/>
  <c r="I3324" i="26"/>
  <c r="E3324" i="26" s="1"/>
  <c r="I3407" i="26"/>
  <c r="E3407" i="26" s="1"/>
  <c r="I3899" i="26"/>
  <c r="E3899" i="26" s="1"/>
  <c r="I3516" i="26"/>
  <c r="E3516" i="26" s="1"/>
  <c r="I6074" i="26"/>
  <c r="E6074" i="26" s="1"/>
  <c r="I6461" i="26"/>
  <c r="E6461" i="26" s="1"/>
  <c r="I2314" i="26"/>
  <c r="E2314" i="26" s="1"/>
  <c r="I5828" i="26"/>
  <c r="E5828" i="26" s="1"/>
  <c r="I3888" i="26"/>
  <c r="E3888" i="26" s="1"/>
  <c r="I2417" i="26"/>
  <c r="E2417" i="26" s="1"/>
  <c r="I5822" i="26"/>
  <c r="E5822" i="26" s="1"/>
  <c r="H4958" i="26"/>
  <c r="H4228" i="26"/>
  <c r="H5184" i="26"/>
  <c r="H1886" i="26"/>
  <c r="I6530" i="26"/>
  <c r="E6530" i="26" s="1"/>
  <c r="H3447" i="26"/>
  <c r="H4833" i="26"/>
  <c r="H2890" i="26"/>
  <c r="H4885" i="26"/>
  <c r="I4225" i="26"/>
  <c r="E4225" i="26" s="1"/>
  <c r="H4999" i="26"/>
  <c r="H4038" i="26"/>
  <c r="I2883" i="26"/>
  <c r="E2883" i="26" s="1"/>
  <c r="I5156" i="26"/>
  <c r="E5156" i="26" s="1"/>
  <c r="H3920" i="26"/>
  <c r="H5671" i="26"/>
  <c r="H5032" i="26"/>
  <c r="I6501" i="26"/>
  <c r="E6501" i="26" s="1"/>
  <c r="H5037" i="26"/>
  <c r="H2628" i="26"/>
  <c r="I3815" i="26"/>
  <c r="E3815" i="26" s="1"/>
  <c r="I5755" i="26"/>
  <c r="E5755" i="26" s="1"/>
  <c r="I6619" i="26"/>
  <c r="E6619" i="26" s="1"/>
  <c r="H3701" i="26"/>
  <c r="I3134" i="26"/>
  <c r="E3134" i="26" s="1"/>
  <c r="H3887" i="26"/>
  <c r="I4454" i="26"/>
  <c r="E4454" i="26" s="1"/>
  <c r="H5524" i="26"/>
  <c r="H2467" i="26"/>
  <c r="I2929" i="26"/>
  <c r="E2929" i="26" s="1"/>
  <c r="I5424" i="26"/>
  <c r="E5424" i="26" s="1"/>
  <c r="H4429" i="26"/>
  <c r="H3811" i="26"/>
  <c r="H5007" i="26"/>
  <c r="I2429" i="26"/>
  <c r="E2429" i="26" s="1"/>
  <c r="I4791" i="26"/>
  <c r="E4791" i="26" s="1"/>
  <c r="H4934" i="26"/>
  <c r="H3915" i="26"/>
  <c r="H2631" i="26"/>
  <c r="H3615" i="26"/>
  <c r="H4004" i="26"/>
  <c r="H6511" i="26"/>
  <c r="H2736" i="26"/>
  <c r="H2844" i="26"/>
  <c r="H4193" i="26"/>
  <c r="H5132" i="26"/>
  <c r="H2081" i="26"/>
  <c r="I2165" i="26"/>
  <c r="E2165" i="26" s="1"/>
  <c r="H6605" i="26"/>
  <c r="I717" i="26"/>
  <c r="E717" i="26" s="1"/>
  <c r="I2110" i="26"/>
  <c r="E2110" i="26" s="1"/>
  <c r="H1045" i="26"/>
  <c r="H4345" i="26"/>
  <c r="H3156" i="26"/>
  <c r="H3470" i="26"/>
  <c r="H4250" i="26"/>
  <c r="I1923" i="26"/>
  <c r="E1923" i="26" s="1"/>
  <c r="H6760" i="26"/>
  <c r="H1289" i="26"/>
  <c r="I4073" i="26"/>
  <c r="E4073" i="26" s="1"/>
  <c r="H4909" i="26"/>
  <c r="H4255" i="26"/>
  <c r="H5271" i="26"/>
  <c r="H3667" i="26"/>
  <c r="H3809" i="26"/>
  <c r="H6074" i="26"/>
  <c r="H4502" i="26"/>
  <c r="H1930" i="26"/>
  <c r="I2836" i="26"/>
  <c r="E2836" i="26" s="1"/>
  <c r="H3005" i="26"/>
  <c r="I3632" i="26"/>
  <c r="E3632" i="26" s="1"/>
  <c r="H5420" i="26"/>
  <c r="I5129" i="26"/>
  <c r="E5129" i="26" s="1"/>
  <c r="H1136" i="26"/>
  <c r="H2324" i="26"/>
  <c r="H4234" i="26"/>
  <c r="I1915" i="26"/>
  <c r="E1915" i="26" s="1"/>
  <c r="I2465" i="26"/>
  <c r="E2465" i="26" s="1"/>
  <c r="I5814" i="26"/>
  <c r="E5814" i="26" s="1"/>
  <c r="H5520" i="26"/>
  <c r="H3558" i="26"/>
  <c r="I4808" i="26"/>
  <c r="E4808" i="26" s="1"/>
  <c r="H4627" i="26"/>
  <c r="H731" i="26"/>
  <c r="I4137" i="26"/>
  <c r="E4137" i="26" s="1"/>
  <c r="H6373" i="26"/>
  <c r="I6741" i="26"/>
  <c r="E6741" i="26" s="1"/>
  <c r="H3641" i="26"/>
  <c r="H738" i="26"/>
  <c r="H2312" i="26"/>
  <c r="H6258" i="26"/>
  <c r="H3867" i="26"/>
  <c r="H5253" i="26"/>
  <c r="H2748" i="26"/>
  <c r="H6149" i="26"/>
  <c r="H2466" i="26"/>
  <c r="I1738" i="26"/>
  <c r="E1738" i="26" s="1"/>
  <c r="I2604" i="26"/>
  <c r="E2604" i="26" s="1"/>
  <c r="H4755" i="26"/>
  <c r="H2654" i="26"/>
  <c r="H4869" i="26"/>
  <c r="H1558" i="26"/>
  <c r="H3366" i="26"/>
  <c r="H4385" i="26"/>
  <c r="H4634" i="26"/>
  <c r="H4507" i="26"/>
  <c r="H6248" i="26"/>
  <c r="I801" i="26"/>
  <c r="E801" i="26" s="1"/>
  <c r="H4410" i="26"/>
  <c r="H3708" i="26"/>
  <c r="H6623" i="26"/>
  <c r="H3143" i="26"/>
  <c r="I3227" i="26"/>
  <c r="E3227" i="26" s="1"/>
  <c r="H6703" i="26"/>
  <c r="I2107" i="26"/>
  <c r="E2107" i="26" s="1"/>
  <c r="H3977" i="26"/>
  <c r="H2250" i="26"/>
  <c r="H4378" i="26"/>
  <c r="H3827" i="26"/>
  <c r="H6204" i="26"/>
  <c r="I4769" i="26"/>
  <c r="E4769" i="26" s="1"/>
  <c r="I5042" i="26"/>
  <c r="E5042" i="26" s="1"/>
  <c r="H5200" i="26"/>
  <c r="H4523" i="26"/>
  <c r="H6091" i="26"/>
  <c r="I2439" i="26"/>
  <c r="E2439" i="26" s="1"/>
  <c r="I2416" i="26"/>
  <c r="E2416" i="26" s="1"/>
  <c r="H1106" i="26"/>
  <c r="H6195" i="26"/>
  <c r="H5814" i="26"/>
  <c r="I2554" i="26"/>
  <c r="E2554" i="26" s="1"/>
  <c r="H4670" i="26"/>
  <c r="H6596" i="26"/>
  <c r="H4811" i="26"/>
  <c r="H1065" i="26"/>
  <c r="H1575" i="26"/>
  <c r="I6114" i="26"/>
  <c r="E6114" i="26" s="1"/>
  <c r="H6401" i="26"/>
  <c r="H6614" i="26"/>
  <c r="H2245" i="26"/>
  <c r="H2613" i="26"/>
  <c r="H4511" i="26"/>
  <c r="H4674" i="26"/>
  <c r="I704" i="26"/>
  <c r="E704" i="26" s="1"/>
  <c r="H2576" i="26"/>
  <c r="H6621" i="26"/>
  <c r="I3327" i="26"/>
  <c r="E3327" i="26" s="1"/>
  <c r="H2420" i="26"/>
  <c r="I2615" i="26"/>
  <c r="E2615" i="26" s="1"/>
  <c r="H6748" i="26"/>
  <c r="H5074" i="26"/>
  <c r="H3971" i="26"/>
  <c r="H3467" i="26"/>
  <c r="H6441" i="26"/>
  <c r="I1920" i="26"/>
  <c r="E1920" i="26" s="1"/>
  <c r="H6170" i="26"/>
  <c r="H5133" i="26"/>
  <c r="I4789" i="26"/>
  <c r="E4789" i="26" s="1"/>
  <c r="H5809" i="26"/>
  <c r="H4005" i="26"/>
  <c r="I1783" i="26"/>
  <c r="E1783" i="26" s="1"/>
  <c r="H4944" i="26"/>
  <c r="I1918" i="26"/>
  <c r="E1918" i="26" s="1"/>
  <c r="I1932" i="26"/>
  <c r="E1932" i="26" s="1"/>
  <c r="H4164" i="26"/>
  <c r="H4063" i="26"/>
  <c r="H5888" i="26"/>
  <c r="H4584" i="26"/>
  <c r="H4702" i="26"/>
  <c r="H1111" i="26"/>
  <c r="H3475" i="26"/>
  <c r="H1725" i="26"/>
  <c r="H6420" i="26"/>
  <c r="H6155" i="26"/>
  <c r="H6489" i="26"/>
  <c r="H5058" i="26"/>
  <c r="H4688" i="26"/>
  <c r="H3818" i="26"/>
  <c r="H4684" i="26"/>
  <c r="H6008" i="26"/>
  <c r="H5275" i="26"/>
  <c r="H6223" i="26"/>
  <c r="H3988" i="26"/>
  <c r="H4221" i="26"/>
  <c r="I1704" i="26"/>
  <c r="E1704" i="26" s="1"/>
  <c r="H1371" i="26"/>
  <c r="H5691" i="26"/>
  <c r="I1089" i="26"/>
  <c r="E1089" i="26" s="1"/>
  <c r="I4283" i="26"/>
  <c r="E4283" i="26" s="1"/>
  <c r="H6660" i="26"/>
  <c r="H1923" i="26"/>
  <c r="H882" i="26"/>
  <c r="I1035" i="26"/>
  <c r="E1035" i="26" s="1"/>
  <c r="I4315" i="26"/>
  <c r="E4315" i="26" s="1"/>
  <c r="I4400" i="26"/>
  <c r="E4400" i="26" s="1"/>
  <c r="I6004" i="26"/>
  <c r="E6004" i="26" s="1"/>
  <c r="I6604" i="26"/>
  <c r="E6604" i="26" s="1"/>
  <c r="I2564" i="26"/>
  <c r="E2564" i="26" s="1"/>
  <c r="I5576" i="26"/>
  <c r="E5576" i="26" s="1"/>
  <c r="I4779" i="26"/>
  <c r="E4779" i="26" s="1"/>
  <c r="I5085" i="26"/>
  <c r="E5085" i="26" s="1"/>
  <c r="I6185" i="26"/>
  <c r="E6185" i="26" s="1"/>
  <c r="I4007" i="26"/>
  <c r="E4007" i="26" s="1"/>
  <c r="I4575" i="26"/>
  <c r="E4575" i="26" s="1"/>
  <c r="I6399" i="26"/>
  <c r="E6399" i="26" s="1"/>
  <c r="I2681" i="26"/>
  <c r="E2681" i="26" s="1"/>
  <c r="H6720" i="26"/>
  <c r="I6105" i="26"/>
  <c r="E6105" i="26" s="1"/>
  <c r="H6501" i="26"/>
  <c r="I3852" i="26"/>
  <c r="E3852" i="26" s="1"/>
  <c r="H5568" i="26"/>
  <c r="H2706" i="26"/>
  <c r="I6447" i="26"/>
  <c r="E6447" i="26" s="1"/>
  <c r="H2866" i="26"/>
  <c r="I4752" i="26"/>
  <c r="E4752" i="26" s="1"/>
  <c r="H5506" i="26"/>
  <c r="I4296" i="26"/>
  <c r="E4296" i="26" s="1"/>
  <c r="I5767" i="26"/>
  <c r="E5767" i="26" s="1"/>
  <c r="H5884" i="26"/>
  <c r="I6096" i="26"/>
  <c r="E6096" i="26" s="1"/>
  <c r="H5211" i="26"/>
  <c r="I2253" i="26"/>
  <c r="E2253" i="26" s="1"/>
  <c r="H3772" i="26"/>
  <c r="I3164" i="26"/>
  <c r="E3164" i="26" s="1"/>
  <c r="H4191" i="26"/>
  <c r="I3080" i="26"/>
  <c r="E3080" i="26" s="1"/>
  <c r="I6255" i="26"/>
  <c r="E6255" i="26" s="1"/>
  <c r="I4941" i="26"/>
  <c r="E4941" i="26" s="1"/>
  <c r="H4989" i="26"/>
  <c r="H4332" i="26"/>
  <c r="H4878" i="26"/>
  <c r="I2269" i="26"/>
  <c r="E2269" i="26" s="1"/>
  <c r="H3576" i="26"/>
  <c r="H1523" i="26"/>
  <c r="I4980" i="26"/>
  <c r="E4980" i="26" s="1"/>
  <c r="H6093" i="26"/>
  <c r="H5145" i="26"/>
  <c r="I2979" i="26"/>
  <c r="E2979" i="26" s="1"/>
  <c r="H4631" i="26"/>
  <c r="I3027" i="26"/>
  <c r="E3027" i="26" s="1"/>
  <c r="I3830" i="26"/>
  <c r="E3830" i="26" s="1"/>
  <c r="H5933" i="26"/>
  <c r="I3108" i="26"/>
  <c r="E3108" i="26" s="1"/>
  <c r="H3378" i="26"/>
  <c r="H5826" i="26"/>
  <c r="H2254" i="26"/>
  <c r="I5299" i="26"/>
  <c r="E5299" i="26" s="1"/>
  <c r="H6227" i="26"/>
  <c r="H2298" i="26"/>
  <c r="I4056" i="26"/>
  <c r="E4056" i="26" s="1"/>
  <c r="I6577" i="26"/>
  <c r="E6577" i="26" s="1"/>
  <c r="I3599" i="26"/>
  <c r="E3599" i="26" s="1"/>
  <c r="H4864" i="26"/>
  <c r="I2880" i="26"/>
  <c r="E2880" i="26" s="1"/>
  <c r="I4698" i="26"/>
  <c r="E4698" i="26" s="1"/>
  <c r="H3588" i="26"/>
  <c r="H3768" i="26"/>
  <c r="H5800" i="26"/>
  <c r="I6736" i="26"/>
  <c r="E6736" i="26" s="1"/>
  <c r="H3329" i="26"/>
  <c r="I5380" i="26"/>
  <c r="E5380" i="26" s="1"/>
  <c r="H2643" i="26"/>
  <c r="H2683" i="26"/>
  <c r="H3524" i="26"/>
  <c r="I2759" i="26"/>
  <c r="E2759" i="26" s="1"/>
  <c r="H3730" i="26"/>
  <c r="H6299" i="26"/>
  <c r="I3777" i="26"/>
  <c r="E3777" i="26" s="1"/>
  <c r="I3831" i="26"/>
  <c r="E3831" i="26" s="1"/>
  <c r="H6527" i="26"/>
  <c r="I4211" i="26"/>
  <c r="E4211" i="26" s="1"/>
  <c r="H3516" i="26"/>
  <c r="H4010" i="26"/>
  <c r="I5837" i="26"/>
  <c r="E5837" i="26" s="1"/>
  <c r="I5274" i="26"/>
  <c r="E5274" i="26" s="1"/>
  <c r="I4942" i="26"/>
  <c r="E4942" i="26" s="1"/>
  <c r="I6077" i="26"/>
  <c r="E6077" i="26" s="1"/>
  <c r="I5236" i="26"/>
  <c r="E5236" i="26" s="1"/>
  <c r="H3620" i="26"/>
  <c r="I6477" i="26"/>
  <c r="E6477" i="26" s="1"/>
  <c r="H2880" i="26"/>
  <c r="I2720" i="26"/>
  <c r="E2720" i="26" s="1"/>
  <c r="H2869" i="26"/>
  <c r="I3290" i="26"/>
  <c r="E3290" i="26" s="1"/>
  <c r="I5558" i="26"/>
  <c r="E5558" i="26" s="1"/>
  <c r="H2340" i="26"/>
  <c r="I4718" i="26"/>
  <c r="E4718" i="26" s="1"/>
  <c r="I732" i="26"/>
  <c r="E732" i="26" s="1"/>
  <c r="H2806" i="26"/>
  <c r="I1713" i="26"/>
  <c r="E1713" i="26" s="1"/>
  <c r="I1578" i="26"/>
  <c r="E1578" i="26" s="1"/>
  <c r="I1592" i="26"/>
  <c r="E1592" i="26" s="1"/>
  <c r="I3945" i="26"/>
  <c r="E3945" i="26" s="1"/>
  <c r="I3363" i="26"/>
  <c r="E3363" i="26" s="1"/>
  <c r="H3910" i="26"/>
  <c r="H2865" i="26"/>
  <c r="H2261" i="26"/>
  <c r="I1747" i="26"/>
  <c r="E1747" i="26" s="1"/>
  <c r="I2082" i="26"/>
  <c r="E2082" i="26" s="1"/>
  <c r="H1561" i="26"/>
  <c r="H2397" i="26"/>
  <c r="H2419" i="26"/>
  <c r="I4364" i="26"/>
  <c r="E4364" i="26" s="1"/>
  <c r="H3540" i="26"/>
  <c r="I3892" i="26"/>
  <c r="E3892" i="26" s="1"/>
  <c r="H3356" i="26"/>
  <c r="I1289" i="26"/>
  <c r="E1289" i="26" s="1"/>
  <c r="I1935" i="26"/>
  <c r="E1935" i="26" s="1"/>
  <c r="I4913" i="26"/>
  <c r="E4913" i="26" s="1"/>
  <c r="I4916" i="26"/>
  <c r="E4916" i="26" s="1"/>
  <c r="H4265" i="26"/>
  <c r="H5214" i="26"/>
  <c r="I3595" i="26"/>
  <c r="E3595" i="26" s="1"/>
  <c r="I708" i="26"/>
  <c r="E708" i="26" s="1"/>
  <c r="I1794" i="26"/>
  <c r="E1794" i="26" s="1"/>
  <c r="I6344" i="26"/>
  <c r="E6344" i="26" s="1"/>
  <c r="I1724" i="26"/>
  <c r="E1724" i="26" s="1"/>
  <c r="H1567" i="26"/>
  <c r="H4996" i="26"/>
  <c r="H5479" i="26"/>
  <c r="H5391" i="26"/>
  <c r="H6515" i="26"/>
  <c r="H5582" i="26"/>
  <c r="H2378" i="26"/>
  <c r="H5958" i="26"/>
  <c r="H5023" i="26"/>
  <c r="H2455" i="26"/>
  <c r="H4741" i="26"/>
  <c r="H5549" i="26"/>
  <c r="I1976" i="26"/>
  <c r="E1976" i="26" s="1"/>
  <c r="I2887" i="26"/>
  <c r="E2887" i="26" s="1"/>
  <c r="H5834" i="26"/>
  <c r="H4120" i="26"/>
  <c r="H2293" i="26"/>
  <c r="H5208" i="26"/>
  <c r="H5006" i="26"/>
  <c r="H5340" i="26"/>
  <c r="I6034" i="26"/>
  <c r="E6034" i="26" s="1"/>
  <c r="H4457" i="26"/>
  <c r="H4210" i="26"/>
  <c r="H3585" i="26"/>
  <c r="I5632" i="26"/>
  <c r="E5632" i="26" s="1"/>
  <c r="I2133" i="26"/>
  <c r="E2133" i="26" s="1"/>
  <c r="H2276" i="26"/>
  <c r="I5252" i="26"/>
  <c r="E5252" i="26" s="1"/>
  <c r="I6198" i="26"/>
  <c r="E6198" i="26" s="1"/>
  <c r="H2977" i="26"/>
  <c r="H4665" i="26"/>
  <c r="H5931" i="26"/>
  <c r="H6525" i="26"/>
  <c r="I4524" i="26"/>
  <c r="E4524" i="26" s="1"/>
  <c r="H4609" i="26"/>
  <c r="H5710" i="26"/>
  <c r="I6529" i="26"/>
  <c r="E6529" i="26" s="1"/>
  <c r="H3732" i="26"/>
  <c r="I1133" i="26"/>
  <c r="E1133" i="26" s="1"/>
  <c r="H4780" i="26"/>
  <c r="H3297" i="26"/>
  <c r="H4091" i="26"/>
  <c r="I3642" i="26"/>
  <c r="E3642" i="26" s="1"/>
  <c r="H6129" i="26"/>
  <c r="H4889" i="26"/>
  <c r="H2995" i="26"/>
  <c r="I2360" i="26"/>
  <c r="E2360" i="26" s="1"/>
  <c r="H3038" i="26"/>
  <c r="H2569" i="26"/>
  <c r="H3582" i="26"/>
  <c r="H2578" i="26"/>
  <c r="H2138" i="26"/>
  <c r="H5217" i="26"/>
  <c r="H6416" i="26"/>
  <c r="I3607" i="26"/>
  <c r="E3607" i="26" s="1"/>
  <c r="H6177" i="26"/>
  <c r="H4547" i="26"/>
  <c r="H2697" i="26"/>
  <c r="H4087" i="26"/>
  <c r="H6284" i="26"/>
  <c r="H3351" i="26"/>
  <c r="H2712" i="26"/>
  <c r="H3610" i="26"/>
  <c r="I6346" i="26"/>
  <c r="E6346" i="26" s="1"/>
  <c r="H2744" i="26"/>
  <c r="H3016" i="26"/>
  <c r="H3109" i="26"/>
  <c r="I1107" i="26"/>
  <c r="E1107" i="26" s="1"/>
  <c r="H3257" i="26"/>
  <c r="I1094" i="26"/>
  <c r="E1094" i="26" s="1"/>
  <c r="I4631" i="26"/>
  <c r="E4631" i="26" s="1"/>
  <c r="I3721" i="26"/>
  <c r="E3721" i="26" s="1"/>
  <c r="H5083" i="26"/>
  <c r="H3219" i="26"/>
  <c r="H2452" i="26"/>
  <c r="H2626" i="26"/>
  <c r="H4026" i="26"/>
  <c r="H1303" i="26"/>
  <c r="I2118" i="26"/>
  <c r="E2118" i="26" s="1"/>
  <c r="H5845" i="26"/>
  <c r="H4699" i="26"/>
  <c r="H1067" i="26"/>
  <c r="H3790" i="26"/>
  <c r="H2102" i="26"/>
  <c r="H3212" i="26"/>
  <c r="I1078" i="26"/>
  <c r="E1078" i="26" s="1"/>
  <c r="I738" i="26"/>
  <c r="E738" i="26" s="1"/>
  <c r="I1756" i="26"/>
  <c r="E1756" i="26" s="1"/>
  <c r="H4413" i="26"/>
  <c r="H2852" i="26"/>
  <c r="H4700" i="26"/>
  <c r="H5664" i="26"/>
  <c r="H6044" i="26"/>
  <c r="H1768" i="26"/>
  <c r="I725" i="26"/>
  <c r="E725" i="26" s="1"/>
  <c r="H6578" i="26"/>
  <c r="H5206" i="26"/>
  <c r="H6271" i="26"/>
  <c r="I4656" i="26"/>
  <c r="E4656" i="26" s="1"/>
  <c r="H3944" i="26"/>
  <c r="H6435" i="26"/>
  <c r="I6081" i="26"/>
  <c r="E6081" i="26" s="1"/>
  <c r="H4691" i="26"/>
  <c r="H6536" i="26"/>
  <c r="H3896" i="26"/>
  <c r="H4815" i="26"/>
  <c r="H3587" i="26"/>
  <c r="H2925" i="26"/>
  <c r="I1104" i="26"/>
  <c r="E1104" i="26" s="1"/>
  <c r="H4746" i="26"/>
  <c r="I1710" i="26"/>
  <c r="E1710" i="26" s="1"/>
  <c r="H1574" i="26"/>
  <c r="H4881" i="26"/>
  <c r="I2078" i="26"/>
  <c r="E2078" i="26" s="1"/>
  <c r="H1747" i="26"/>
  <c r="H6592" i="26"/>
  <c r="I5250" i="26"/>
  <c r="E5250" i="26" s="1"/>
  <c r="I1453" i="26"/>
  <c r="E1453" i="26" s="1"/>
  <c r="H1642" i="26"/>
  <c r="I516" i="26"/>
  <c r="E516" i="26" s="1"/>
  <c r="I999" i="26"/>
  <c r="E999" i="26" s="1"/>
  <c r="H6653" i="26"/>
  <c r="H3952" i="26"/>
  <c r="H1091" i="26"/>
  <c r="H3800" i="26"/>
  <c r="H6021" i="26"/>
  <c r="I1670" i="26"/>
  <c r="E1670" i="26" s="1"/>
  <c r="H2048" i="26"/>
  <c r="I429" i="26"/>
  <c r="E429" i="26" s="1"/>
  <c r="I4957" i="26"/>
  <c r="E4957" i="26" s="1"/>
  <c r="I3813" i="26"/>
  <c r="E3813" i="26" s="1"/>
  <c r="I4401" i="26"/>
  <c r="E4401" i="26" s="1"/>
  <c r="I5895" i="26"/>
  <c r="E5895" i="26" s="1"/>
  <c r="I14" i="26"/>
  <c r="E14" i="26" s="1"/>
  <c r="I6144" i="26"/>
  <c r="E6144" i="26" s="1"/>
  <c r="I2584" i="26"/>
  <c r="E2584" i="26" s="1"/>
  <c r="I2545" i="26"/>
  <c r="E2545" i="26" s="1"/>
  <c r="I5940" i="26"/>
  <c r="E5940" i="26" s="1"/>
  <c r="I2757" i="26"/>
  <c r="E2757" i="26" s="1"/>
  <c r="I4340" i="26"/>
  <c r="E4340" i="26" s="1"/>
  <c r="I4566" i="26"/>
  <c r="E4566" i="26" s="1"/>
  <c r="H5431" i="26"/>
  <c r="I3797" i="26"/>
  <c r="E3797" i="26" s="1"/>
  <c r="I5126" i="26"/>
  <c r="E5126" i="26" s="1"/>
  <c r="I2544" i="26"/>
  <c r="E2544" i="26" s="1"/>
  <c r="I4945" i="26"/>
  <c r="E4945" i="26" s="1"/>
  <c r="H2534" i="26"/>
  <c r="H2417" i="26"/>
  <c r="I3442" i="26"/>
  <c r="E3442" i="26" s="1"/>
  <c r="H4645" i="26"/>
  <c r="I3527" i="26"/>
  <c r="E3527" i="26" s="1"/>
  <c r="I2967" i="26"/>
  <c r="E2967" i="26" s="1"/>
  <c r="I4223" i="26"/>
  <c r="E4223" i="26" s="1"/>
  <c r="I4514" i="26"/>
  <c r="E4514" i="26" s="1"/>
  <c r="H6664" i="26"/>
  <c r="H4146" i="26"/>
  <c r="I4969" i="26"/>
  <c r="E4969" i="26" s="1"/>
  <c r="I4703" i="26"/>
  <c r="E4703" i="26" s="1"/>
  <c r="H2401" i="26"/>
  <c r="H5502" i="26"/>
  <c r="H5276" i="26"/>
  <c r="H3740" i="26"/>
  <c r="H2648" i="26"/>
  <c r="H6180" i="26"/>
  <c r="H5703" i="26"/>
  <c r="H4877" i="26"/>
  <c r="I3342" i="26"/>
  <c r="E3342" i="26" s="1"/>
  <c r="H2858" i="26"/>
  <c r="I6038" i="26"/>
  <c r="E6038" i="26" s="1"/>
  <c r="I4245" i="26"/>
  <c r="E4245" i="26" s="1"/>
  <c r="H4509" i="26"/>
  <c r="H3364" i="26"/>
  <c r="I2537" i="26"/>
  <c r="E2537" i="26" s="1"/>
  <c r="H2957" i="26"/>
  <c r="I6551" i="26"/>
  <c r="E6551" i="26" s="1"/>
  <c r="I4161" i="26"/>
  <c r="E4161" i="26" s="1"/>
  <c r="I3221" i="26"/>
  <c r="E3221" i="26" s="1"/>
  <c r="H2310" i="26"/>
  <c r="H5944" i="26"/>
  <c r="H3592" i="26"/>
  <c r="I3707" i="26"/>
  <c r="E3707" i="26" s="1"/>
  <c r="I4480" i="26"/>
  <c r="E4480" i="26" s="1"/>
  <c r="H6403" i="26"/>
  <c r="I6039" i="26"/>
  <c r="E6039" i="26" s="1"/>
  <c r="H2295" i="26"/>
  <c r="H6378" i="26"/>
  <c r="H6609" i="26"/>
  <c r="H5063" i="26"/>
  <c r="H6218" i="26"/>
  <c r="I3518" i="26"/>
  <c r="E3518" i="26" s="1"/>
  <c r="I4953" i="26"/>
  <c r="E4953" i="26" s="1"/>
  <c r="H1508" i="26"/>
  <c r="H2750" i="26"/>
  <c r="H6200" i="26"/>
  <c r="H5215" i="26"/>
  <c r="H3487" i="26"/>
  <c r="I3809" i="26"/>
  <c r="E3809" i="26" s="1"/>
  <c r="I1900" i="26"/>
  <c r="E1900" i="26" s="1"/>
  <c r="I6042" i="26"/>
  <c r="E6042" i="26" s="1"/>
  <c r="H1529" i="26"/>
  <c r="H4994" i="26"/>
  <c r="H5082" i="26"/>
  <c r="H3423" i="26"/>
  <c r="I3438" i="26"/>
  <c r="E3438" i="26" s="1"/>
  <c r="I6672" i="26"/>
  <c r="E6672" i="26" s="1"/>
  <c r="H6694" i="26"/>
  <c r="H3493" i="26"/>
  <c r="H5231" i="26"/>
  <c r="H3252" i="26"/>
  <c r="H6692" i="26"/>
  <c r="I4397" i="26"/>
  <c r="E4397" i="26" s="1"/>
  <c r="I6454" i="26"/>
  <c r="E6454" i="26" s="1"/>
  <c r="I6226" i="26"/>
  <c r="E6226" i="26" s="1"/>
  <c r="I5742" i="26"/>
  <c r="E5742" i="26" s="1"/>
  <c r="I5141" i="26"/>
  <c r="E5141" i="26" s="1"/>
  <c r="I3256" i="26"/>
  <c r="E3256" i="26" s="1"/>
  <c r="H5781" i="26"/>
  <c r="H3149" i="26"/>
  <c r="H2521" i="26"/>
  <c r="H2593" i="26"/>
  <c r="H4084" i="26"/>
  <c r="I5839" i="26"/>
  <c r="E5839" i="26" s="1"/>
  <c r="H3534" i="26"/>
  <c r="H1763" i="26"/>
  <c r="H3279" i="26"/>
  <c r="I5826" i="26"/>
  <c r="E5826" i="26" s="1"/>
  <c r="H3998" i="26"/>
  <c r="H1376" i="26"/>
  <c r="H3664" i="26"/>
  <c r="H3529" i="26"/>
  <c r="H4534" i="26"/>
  <c r="I2594" i="26"/>
  <c r="E2594" i="26" s="1"/>
  <c r="H6192" i="26"/>
  <c r="I1981" i="26"/>
  <c r="E1981" i="26" s="1"/>
  <c r="H732" i="26"/>
  <c r="H4022" i="26"/>
  <c r="H3806" i="26"/>
  <c r="H3443" i="26"/>
  <c r="I6431" i="26"/>
  <c r="E6431" i="26" s="1"/>
  <c r="I3625" i="26"/>
  <c r="E3625" i="26" s="1"/>
  <c r="H4338" i="26"/>
  <c r="H2687" i="26"/>
  <c r="H1937" i="26"/>
  <c r="H5546" i="26"/>
  <c r="H1060" i="26"/>
  <c r="H6366" i="26"/>
  <c r="H3826" i="26"/>
  <c r="H2637" i="26"/>
  <c r="H4677" i="26"/>
  <c r="I1944" i="26"/>
  <c r="E1944" i="26" s="1"/>
  <c r="H3248" i="26"/>
  <c r="H1921" i="26"/>
  <c r="H3073" i="26"/>
  <c r="I1768" i="26"/>
  <c r="E1768" i="26" s="1"/>
  <c r="H2778" i="26"/>
  <c r="H2615" i="26"/>
  <c r="H2983" i="26"/>
  <c r="H6697" i="26"/>
  <c r="H4245" i="26"/>
  <c r="H1294" i="26"/>
  <c r="I604" i="26"/>
  <c r="I5017" i="26"/>
  <c r="E5017" i="26" s="1"/>
  <c r="H4905" i="26"/>
  <c r="H6071" i="26"/>
  <c r="H2754" i="26"/>
  <c r="H1628" i="26"/>
  <c r="H5905" i="26"/>
  <c r="H6742" i="26"/>
  <c r="I6596" i="26"/>
  <c r="E6596" i="26" s="1"/>
  <c r="H2527" i="26"/>
  <c r="H5036" i="26"/>
  <c r="H3225" i="26"/>
  <c r="I1084" i="26"/>
  <c r="E1084" i="26" s="1"/>
  <c r="H4050" i="26"/>
  <c r="I3720" i="26"/>
  <c r="E3720" i="26" s="1"/>
  <c r="H6702" i="26"/>
  <c r="H4247" i="26"/>
  <c r="H5530" i="26"/>
  <c r="I1159" i="26"/>
  <c r="E1159" i="26" s="1"/>
  <c r="H3319" i="26"/>
  <c r="H5843" i="26"/>
  <c r="H4723" i="26"/>
  <c r="H3133" i="26"/>
  <c r="H4657" i="26"/>
  <c r="H2735" i="26"/>
  <c r="H3362" i="26"/>
  <c r="H2313" i="26"/>
  <c r="H2288" i="26"/>
  <c r="H4418" i="26"/>
  <c r="H6766" i="26"/>
  <c r="I4348" i="26"/>
  <c r="E4348" i="26" s="1"/>
  <c r="I787" i="26"/>
  <c r="E787" i="26" s="1"/>
  <c r="I5397" i="26"/>
  <c r="E5397" i="26" s="1"/>
  <c r="H3671" i="26"/>
  <c r="H6637" i="26"/>
  <c r="I2330" i="26"/>
  <c r="E2330" i="26" s="1"/>
  <c r="H5862" i="26"/>
  <c r="H4974" i="26"/>
  <c r="I1531" i="26"/>
  <c r="E1531" i="26" s="1"/>
  <c r="I3634" i="26"/>
  <c r="E3634" i="26" s="1"/>
  <c r="H3878" i="26"/>
  <c r="H4346" i="26"/>
  <c r="H3622" i="26"/>
  <c r="H6037" i="26"/>
  <c r="I790" i="26"/>
  <c r="E790" i="26" s="1"/>
  <c r="H3160" i="26"/>
  <c r="I6550" i="26"/>
  <c r="E6550" i="26" s="1"/>
  <c r="H5817" i="26"/>
  <c r="H5661" i="26"/>
  <c r="H4489" i="26"/>
  <c r="H2357" i="26"/>
  <c r="I1721" i="26"/>
  <c r="E1721" i="26" s="1"/>
  <c r="H6785" i="26"/>
  <c r="H2903" i="26"/>
  <c r="H4668" i="26"/>
  <c r="H4264" i="26"/>
  <c r="H5762" i="26"/>
  <c r="I4232" i="26"/>
  <c r="E4232" i="26" s="1"/>
  <c r="H3053" i="26"/>
  <c r="H4959" i="26"/>
  <c r="I2139" i="26"/>
  <c r="E2139" i="26" s="1"/>
  <c r="H2098" i="26"/>
  <c r="H6211" i="26"/>
  <c r="H5810" i="26"/>
  <c r="I6598" i="26"/>
  <c r="E6598" i="26" s="1"/>
  <c r="I5508" i="26"/>
  <c r="E5508" i="26" s="1"/>
  <c r="H6173" i="26"/>
  <c r="I3606" i="26"/>
  <c r="E3606" i="26" s="1"/>
  <c r="H4465" i="26"/>
  <c r="H717" i="26"/>
  <c r="H5718" i="26"/>
  <c r="I2455" i="26"/>
  <c r="E2455" i="26" s="1"/>
  <c r="H4360" i="26"/>
  <c r="H5453" i="26"/>
  <c r="H2275" i="26"/>
  <c r="H4403" i="26"/>
  <c r="I1962" i="26"/>
  <c r="E1962" i="26" s="1"/>
  <c r="H6644" i="26"/>
  <c r="I1106" i="26"/>
  <c r="E1106" i="26" s="1"/>
  <c r="H5676" i="26"/>
  <c r="I782" i="26"/>
  <c r="E782" i="26" s="1"/>
  <c r="H4735" i="26"/>
  <c r="H4868" i="26"/>
  <c r="H5243" i="26"/>
  <c r="H5815" i="26"/>
  <c r="I711" i="26"/>
  <c r="E711" i="26" s="1"/>
  <c r="I794" i="26"/>
  <c r="E794" i="26" s="1"/>
  <c r="H4141" i="26"/>
  <c r="H5323" i="26"/>
  <c r="H2992" i="26"/>
  <c r="H2599" i="26"/>
  <c r="H6341" i="26"/>
  <c r="I1887" i="26"/>
  <c r="E1887" i="26" s="1"/>
  <c r="H3474" i="26"/>
  <c r="I2088" i="26"/>
  <c r="E2088" i="26" s="1"/>
  <c r="H5696" i="26"/>
  <c r="H5600" i="26"/>
  <c r="H6360" i="26"/>
  <c r="H4051" i="26"/>
  <c r="H3874" i="26"/>
  <c r="I4432" i="26"/>
  <c r="E4432" i="26" s="1"/>
  <c r="H1965" i="26"/>
  <c r="H4758" i="26"/>
  <c r="H1942" i="26"/>
  <c r="H5942" i="26"/>
  <c r="I2902" i="26"/>
  <c r="E2902" i="26" s="1"/>
  <c r="H6701" i="26"/>
  <c r="I1776" i="26"/>
  <c r="E1776" i="26" s="1"/>
  <c r="H1528" i="26"/>
  <c r="I1711" i="26"/>
  <c r="E1711" i="26" s="1"/>
  <c r="I936" i="26"/>
  <c r="E936" i="26" s="1"/>
  <c r="I2047" i="26"/>
  <c r="E2047" i="26" s="1"/>
  <c r="I1596" i="26"/>
  <c r="E1596" i="26" s="1"/>
  <c r="H373" i="26"/>
  <c r="H5688" i="26"/>
  <c r="H1076" i="26"/>
  <c r="I2124" i="26"/>
  <c r="E2124" i="26" s="1"/>
  <c r="H5491" i="26"/>
  <c r="H5679" i="26"/>
  <c r="I409" i="26"/>
  <c r="E409" i="26" s="1"/>
  <c r="I56" i="26"/>
  <c r="E56" i="26" s="1"/>
  <c r="I6195" i="26"/>
  <c r="E6195" i="26" s="1"/>
  <c r="I5062" i="26"/>
  <c r="E5062" i="26" s="1"/>
  <c r="I4297" i="26"/>
  <c r="E4297" i="26" s="1"/>
  <c r="I2344" i="26"/>
  <c r="E2344" i="26" s="1"/>
  <c r="I2946" i="26"/>
  <c r="E2946" i="26" s="1"/>
  <c r="I2424" i="26"/>
  <c r="E2424" i="26" s="1"/>
  <c r="I5573" i="26"/>
  <c r="E5573" i="26" s="1"/>
  <c r="I2978" i="26"/>
  <c r="E2978" i="26" s="1"/>
  <c r="I4999" i="26"/>
  <c r="E4999" i="26" s="1"/>
  <c r="I3456" i="26"/>
  <c r="E3456" i="26" s="1"/>
  <c r="I3954" i="26"/>
  <c r="E3954" i="26" s="1"/>
  <c r="I3219" i="26"/>
  <c r="E3219" i="26" s="1"/>
  <c r="H1890" i="26"/>
  <c r="H5716" i="26"/>
  <c r="I2442" i="26"/>
  <c r="E2442" i="26" s="1"/>
  <c r="I3096" i="26"/>
  <c r="E3096" i="26" s="1"/>
  <c r="H4951" i="26"/>
  <c r="H6388" i="26"/>
  <c r="I5512" i="26"/>
  <c r="E5512" i="26" s="1"/>
  <c r="H6706" i="26"/>
  <c r="H3458" i="26"/>
  <c r="I5242" i="26"/>
  <c r="E5242" i="26" s="1"/>
  <c r="H2451" i="26"/>
  <c r="H4289" i="26"/>
  <c r="H6370" i="26"/>
  <c r="H3091" i="26"/>
  <c r="I3975" i="26"/>
  <c r="E3975" i="26" s="1"/>
  <c r="I3437" i="26"/>
  <c r="E3437" i="26" s="1"/>
  <c r="H6070" i="26"/>
  <c r="I4048" i="26"/>
  <c r="E4048" i="26" s="1"/>
  <c r="H4367" i="26"/>
  <c r="H2814" i="26"/>
  <c r="H5278" i="26"/>
  <c r="I3820" i="26"/>
  <c r="E3820" i="26" s="1"/>
  <c r="I2758" i="26"/>
  <c r="E2758" i="26" s="1"/>
  <c r="H2835" i="26"/>
  <c r="I2431" i="26"/>
  <c r="E2431" i="26" s="1"/>
  <c r="H6120" i="26"/>
  <c r="I5192" i="26"/>
  <c r="E5192" i="26" s="1"/>
  <c r="I2346" i="26"/>
  <c r="E2346" i="26" s="1"/>
  <c r="I4800" i="26"/>
  <c r="E4800" i="26" s="1"/>
  <c r="I4306" i="26"/>
  <c r="E4306" i="26" s="1"/>
  <c r="H4414" i="26"/>
  <c r="H5009" i="26"/>
  <c r="I6061" i="26"/>
  <c r="E6061" i="26" s="1"/>
  <c r="H2872" i="26"/>
  <c r="I6217" i="26"/>
  <c r="E6217" i="26" s="1"/>
  <c r="I5984" i="26"/>
  <c r="E5984" i="26" s="1"/>
  <c r="H4652" i="26"/>
  <c r="I5616" i="26"/>
  <c r="E5616" i="26" s="1"/>
  <c r="H3680" i="26"/>
  <c r="I2524" i="26"/>
  <c r="E2524" i="26" s="1"/>
  <c r="H6159" i="26"/>
  <c r="H2546" i="26"/>
  <c r="I2376" i="26"/>
  <c r="E2376" i="26" s="1"/>
  <c r="H27" i="26"/>
  <c r="I5348" i="26"/>
  <c r="E5348" i="26" s="1"/>
  <c r="I5433" i="26"/>
  <c r="E5433" i="26" s="1"/>
  <c r="I4392" i="26"/>
  <c r="E4392" i="26" s="1"/>
  <c r="I4412" i="26"/>
  <c r="E4412" i="26" s="1"/>
  <c r="I5519" i="26"/>
  <c r="E5519" i="26" s="1"/>
  <c r="I6634" i="26"/>
  <c r="E6634" i="26" s="1"/>
  <c r="I4337" i="26"/>
  <c r="E4337" i="26" s="1"/>
  <c r="H6431" i="26"/>
  <c r="H5697" i="26"/>
  <c r="H3021" i="26"/>
  <c r="H2932" i="26"/>
  <c r="I4786" i="26"/>
  <c r="E4786" i="26" s="1"/>
  <c r="I5335" i="26"/>
  <c r="E5335" i="26" s="1"/>
  <c r="H3311" i="26"/>
  <c r="H3231" i="26"/>
  <c r="H3691" i="26"/>
  <c r="H4115" i="26"/>
  <c r="I6076" i="26"/>
  <c r="E6076" i="26" s="1"/>
  <c r="I5478" i="26"/>
  <c r="E5478" i="26" s="1"/>
  <c r="I4496" i="26"/>
  <c r="E4496" i="26" s="1"/>
  <c r="I4327" i="26"/>
  <c r="E4327" i="26" s="1"/>
  <c r="I5810" i="26"/>
  <c r="E5810" i="26" s="1"/>
  <c r="I3272" i="26"/>
  <c r="E3272" i="26" s="1"/>
  <c r="H5473" i="26"/>
  <c r="H5611" i="26"/>
  <c r="H1066" i="26"/>
  <c r="I5417" i="26"/>
  <c r="E5417" i="26" s="1"/>
  <c r="H5648" i="26"/>
  <c r="H4434" i="26"/>
  <c r="H5708" i="26"/>
  <c r="I5185" i="26"/>
  <c r="E5185" i="26" s="1"/>
  <c r="H2404" i="26"/>
  <c r="H2336" i="26"/>
  <c r="I3849" i="26"/>
  <c r="E3849" i="26" s="1"/>
  <c r="H2514" i="26"/>
  <c r="H5379" i="26"/>
  <c r="H2899" i="26"/>
  <c r="H2260" i="26"/>
  <c r="I2168" i="26"/>
  <c r="E2168" i="26" s="1"/>
  <c r="H6530" i="26"/>
  <c r="H2326" i="26"/>
  <c r="H6473" i="26"/>
  <c r="H3402" i="26"/>
  <c r="H2776" i="26"/>
  <c r="H4303" i="26"/>
  <c r="H2494" i="26"/>
  <c r="H6629" i="26"/>
  <c r="I1550" i="26"/>
  <c r="E1550" i="26" s="1"/>
  <c r="H2178" i="26"/>
  <c r="H4478" i="26"/>
  <c r="H5444" i="26"/>
  <c r="H2464" i="26"/>
  <c r="H3571" i="26"/>
  <c r="H4917" i="26"/>
  <c r="H4375" i="26"/>
  <c r="H2454" i="26"/>
  <c r="H4663" i="26"/>
  <c r="I4131" i="26"/>
  <c r="E4131" i="26" s="1"/>
  <c r="H4560" i="26"/>
  <c r="H5935" i="26"/>
  <c r="I4804" i="26"/>
  <c r="E4804" i="26" s="1"/>
  <c r="H6274" i="26"/>
  <c r="H2307" i="26"/>
  <c r="H6166" i="26"/>
  <c r="H1139" i="26"/>
  <c r="H6197" i="26"/>
  <c r="H3832" i="26"/>
  <c r="H6666" i="26"/>
  <c r="H1624" i="26"/>
  <c r="H2775" i="26"/>
  <c r="I6082" i="26"/>
  <c r="E6082" i="26" s="1"/>
  <c r="H6083" i="26"/>
  <c r="I3411" i="26"/>
  <c r="E3411" i="26" s="1"/>
  <c r="H5818" i="26"/>
  <c r="I1110" i="26"/>
  <c r="E1110" i="26" s="1"/>
  <c r="H2402" i="26"/>
  <c r="H3318" i="26"/>
  <c r="I4043" i="26"/>
  <c r="E4043" i="26" s="1"/>
  <c r="H3173" i="26"/>
  <c r="H5560" i="26"/>
  <c r="H3380" i="26"/>
  <c r="H4368" i="26"/>
  <c r="H3927" i="26"/>
  <c r="H6270" i="26"/>
  <c r="H3102" i="26"/>
  <c r="H4237" i="26"/>
  <c r="H5672" i="26"/>
  <c r="I1570" i="26"/>
  <c r="E1570" i="26" s="1"/>
  <c r="H4803" i="26"/>
  <c r="H6351" i="26"/>
  <c r="H6384" i="26"/>
  <c r="H5628" i="26"/>
  <c r="H4020" i="26"/>
  <c r="H5225" i="26"/>
  <c r="H4271" i="26"/>
  <c r="I2991" i="26"/>
  <c r="E2991" i="26" s="1"/>
  <c r="H2918" i="26"/>
  <c r="H2955" i="26"/>
  <c r="H4189" i="26"/>
  <c r="I4441" i="26"/>
  <c r="E4441" i="26" s="1"/>
  <c r="I1933" i="26"/>
  <c r="E1933" i="26" s="1"/>
  <c r="I697" i="26"/>
  <c r="E697" i="26" s="1"/>
  <c r="I3043" i="26"/>
  <c r="E3043" i="26" s="1"/>
  <c r="I6731" i="26"/>
  <c r="E6731" i="26" s="1"/>
  <c r="H6546" i="26"/>
  <c r="I4751" i="26"/>
  <c r="E4751" i="26" s="1"/>
  <c r="H4406" i="26"/>
  <c r="H4158" i="26"/>
  <c r="I4227" i="26"/>
  <c r="E4227" i="26" s="1"/>
  <c r="H6219" i="26"/>
  <c r="H3865" i="26"/>
  <c r="H2537" i="26"/>
  <c r="H5328" i="26"/>
  <c r="H727" i="26"/>
  <c r="H3632" i="26"/>
  <c r="H2610" i="26"/>
  <c r="I5267" i="26"/>
  <c r="E5267" i="26" s="1"/>
  <c r="I5689" i="26"/>
  <c r="E5689" i="26" s="1"/>
  <c r="H2393" i="26"/>
  <c r="H2759" i="26"/>
  <c r="H3390" i="26"/>
  <c r="I5544" i="26"/>
  <c r="E5544" i="26" s="1"/>
  <c r="I4428" i="26"/>
  <c r="E4428" i="26" s="1"/>
  <c r="H4617" i="26"/>
  <c r="H4567" i="26"/>
  <c r="H6767" i="26"/>
  <c r="I1750" i="26"/>
  <c r="E1750" i="26" s="1"/>
  <c r="H3236" i="26"/>
  <c r="H3063" i="26"/>
  <c r="H4390" i="26"/>
  <c r="H3363" i="26"/>
  <c r="H6111" i="26"/>
  <c r="H5891" i="26"/>
  <c r="I1904" i="26"/>
  <c r="E1904" i="26" s="1"/>
  <c r="H1709" i="26"/>
  <c r="H1997" i="26"/>
  <c r="H6255" i="26"/>
  <c r="I5870" i="26"/>
  <c r="E5870" i="26" s="1"/>
  <c r="H5344" i="26"/>
  <c r="H6631" i="26"/>
  <c r="H2347" i="26"/>
  <c r="H6543" i="26"/>
  <c r="H6399" i="26"/>
  <c r="H5714" i="26"/>
  <c r="H746" i="26"/>
  <c r="H3580" i="26"/>
  <c r="I4196" i="26"/>
  <c r="E4196" i="26" s="1"/>
  <c r="H6076" i="26"/>
  <c r="H6359" i="26"/>
  <c r="H4295" i="26"/>
  <c r="H6685" i="26"/>
  <c r="I1614" i="26"/>
  <c r="E1614" i="26" s="1"/>
  <c r="H4433" i="26"/>
  <c r="H3723" i="26"/>
  <c r="H2727" i="26"/>
  <c r="H3898" i="26"/>
  <c r="H4251" i="26"/>
  <c r="H6517" i="26"/>
  <c r="H2473" i="26"/>
  <c r="H5469" i="26"/>
  <c r="H1570" i="26"/>
  <c r="H4664" i="26"/>
  <c r="H3616" i="26"/>
  <c r="H6304" i="26"/>
  <c r="H3426" i="26"/>
  <c r="H4284" i="26"/>
  <c r="H5270" i="26"/>
  <c r="I3902" i="26"/>
  <c r="E3902" i="26" s="1"/>
  <c r="H3115" i="26"/>
  <c r="I1741" i="26"/>
  <c r="E1741" i="26" s="1"/>
  <c r="H4825" i="26"/>
  <c r="H723" i="26"/>
  <c r="I5530" i="26"/>
  <c r="E5530" i="26" s="1"/>
  <c r="H6548" i="26"/>
  <c r="H4407" i="26"/>
  <c r="I5221" i="26"/>
  <c r="E5221" i="26" s="1"/>
  <c r="H1374" i="26"/>
  <c r="I3047" i="26"/>
  <c r="E3047" i="26" s="1"/>
  <c r="H5425" i="26"/>
  <c r="H4613" i="26"/>
  <c r="H6630" i="26"/>
  <c r="H3573" i="26"/>
  <c r="I1634" i="26"/>
  <c r="E1634" i="26" s="1"/>
  <c r="H6156" i="26"/>
  <c r="I2453" i="26"/>
  <c r="E2453" i="26" s="1"/>
  <c r="H1036" i="26"/>
  <c r="H1456" i="26"/>
  <c r="I1646" i="26"/>
  <c r="E1646" i="26" s="1"/>
  <c r="H383" i="26"/>
  <c r="H3310" i="26"/>
  <c r="H5932" i="26"/>
  <c r="H1982" i="26"/>
  <c r="H6132" i="26"/>
  <c r="H708" i="26"/>
  <c r="H940" i="26"/>
  <c r="H840" i="26"/>
  <c r="I1355" i="26"/>
  <c r="E1355" i="26" s="1"/>
  <c r="H308" i="26"/>
  <c r="H3621" i="26"/>
  <c r="H3757" i="26"/>
  <c r="H1150" i="26"/>
  <c r="H5251" i="26"/>
  <c r="H1542" i="26"/>
  <c r="I600" i="26"/>
  <c r="E600" i="26" s="1"/>
  <c r="I2050" i="26"/>
  <c r="E2050" i="26" s="1"/>
  <c r="H2147" i="26"/>
  <c r="H511" i="26"/>
  <c r="H2062" i="26"/>
  <c r="H4993" i="26"/>
  <c r="H2292" i="26"/>
  <c r="H3705" i="26"/>
  <c r="I1788" i="26"/>
  <c r="E1788" i="26" s="1"/>
  <c r="H385" i="26"/>
  <c r="I1274" i="26"/>
  <c r="E1274" i="26" s="1"/>
  <c r="H1413" i="26"/>
  <c r="H6321" i="26"/>
  <c r="I483" i="26"/>
  <c r="E483" i="26" s="1"/>
  <c r="H3398" i="26"/>
  <c r="I6237" i="26"/>
  <c r="E6237" i="26" s="1"/>
  <c r="H5152" i="26"/>
  <c r="H1132" i="26"/>
  <c r="I987" i="26"/>
  <c r="E987" i="26" s="1"/>
  <c r="I1856" i="26"/>
  <c r="E1856" i="26" s="1"/>
  <c r="I2174" i="26"/>
  <c r="E2174" i="26" s="1"/>
  <c r="H2820" i="26"/>
  <c r="H4441" i="26"/>
  <c r="H2270" i="26"/>
  <c r="H1162" i="26"/>
  <c r="H246" i="26"/>
  <c r="H1279" i="26"/>
  <c r="H4601" i="26"/>
  <c r="H5169" i="26"/>
  <c r="H4357" i="26"/>
  <c r="H2788" i="26"/>
  <c r="H1636" i="26"/>
  <c r="I454" i="26"/>
  <c r="E454" i="26" s="1"/>
  <c r="H977" i="26"/>
  <c r="H1288" i="26"/>
  <c r="I1565" i="26"/>
  <c r="E1565" i="26" s="1"/>
  <c r="H5612" i="26"/>
  <c r="H3753" i="26"/>
  <c r="H1828" i="26"/>
  <c r="H6492" i="26"/>
  <c r="H5394" i="26"/>
  <c r="H2386" i="26"/>
  <c r="H2104" i="26"/>
  <c r="H5273" i="26"/>
  <c r="H2762" i="26"/>
  <c r="I2056" i="26"/>
  <c r="E2056" i="26" s="1"/>
  <c r="H1157" i="26"/>
  <c r="H6025" i="26"/>
  <c r="H6523" i="26"/>
  <c r="I786" i="26"/>
  <c r="E786" i="26" s="1"/>
  <c r="H4856" i="26"/>
  <c r="H1552" i="26"/>
  <c r="I982" i="26"/>
  <c r="E982" i="26" s="1"/>
  <c r="I1227" i="26"/>
  <c r="E1227" i="26" s="1"/>
  <c r="I5879" i="26"/>
  <c r="E5879" i="26" s="1"/>
  <c r="I4398" i="26"/>
  <c r="E4398" i="26" s="1"/>
  <c r="I1982" i="26"/>
  <c r="E1982" i="26" s="1"/>
  <c r="H4636" i="26"/>
  <c r="H2084" i="26"/>
  <c r="H450" i="26"/>
  <c r="H1815" i="26"/>
  <c r="I599" i="26"/>
  <c r="E599" i="26" s="1"/>
  <c r="I2020" i="26"/>
  <c r="E2020" i="26" s="1"/>
  <c r="I2724" i="26"/>
  <c r="E2724" i="26" s="1"/>
  <c r="I4378" i="26"/>
  <c r="E4378" i="26" s="1"/>
  <c r="I4286" i="26"/>
  <c r="E4286" i="26" s="1"/>
  <c r="H104" i="26"/>
  <c r="I4700" i="26"/>
  <c r="E4700" i="26" s="1"/>
  <c r="I3896" i="26"/>
  <c r="E3896" i="26" s="1"/>
  <c r="I3081" i="26"/>
  <c r="E3081" i="26" s="1"/>
  <c r="I3704" i="26"/>
  <c r="E3704" i="26" s="1"/>
  <c r="I6673" i="26"/>
  <c r="E6673" i="26" s="1"/>
  <c r="H4604" i="26"/>
  <c r="I2577" i="26"/>
  <c r="E2577" i="26" s="1"/>
  <c r="I3403" i="26"/>
  <c r="E3403" i="26" s="1"/>
  <c r="I5663" i="26"/>
  <c r="E5663" i="26" s="1"/>
  <c r="I4013" i="26"/>
  <c r="E4013" i="26" s="1"/>
  <c r="H5713" i="26"/>
  <c r="H4321" i="26"/>
  <c r="H4165" i="26"/>
  <c r="H1902" i="26"/>
  <c r="H2425" i="26"/>
  <c r="H3604" i="26"/>
  <c r="I6688" i="26"/>
  <c r="E6688" i="26" s="1"/>
  <c r="H3101" i="26"/>
  <c r="H1892" i="26"/>
  <c r="H2769" i="26"/>
  <c r="I5375" i="26"/>
  <c r="E5375" i="26" s="1"/>
  <c r="I3865" i="26"/>
  <c r="E3865" i="26" s="1"/>
  <c r="H2644" i="26"/>
  <c r="H6295" i="26"/>
  <c r="H4826" i="26"/>
  <c r="I2912" i="26"/>
  <c r="E2912" i="26" s="1"/>
  <c r="I3740" i="26"/>
  <c r="E3740" i="26" s="1"/>
  <c r="H2639" i="26"/>
  <c r="H5376" i="26"/>
  <c r="H4394" i="26"/>
  <c r="I5012" i="26"/>
  <c r="E5012" i="26" s="1"/>
  <c r="I6293" i="26"/>
  <c r="E6293" i="26" s="1"/>
  <c r="H5864" i="26"/>
  <c r="I3751" i="26"/>
  <c r="E3751" i="26" s="1"/>
  <c r="I4826" i="26"/>
  <c r="E4826" i="26" s="1"/>
  <c r="H4356" i="26"/>
  <c r="I6385" i="26"/>
  <c r="E6385" i="26" s="1"/>
  <c r="H3783" i="26"/>
  <c r="H1525" i="26"/>
  <c r="H6500" i="26"/>
  <c r="H5121" i="26"/>
  <c r="H3454" i="26"/>
  <c r="H5722" i="26"/>
  <c r="H3541" i="26"/>
  <c r="I3468" i="26"/>
  <c r="E3468" i="26" s="1"/>
  <c r="H2629" i="26"/>
  <c r="H5819" i="26"/>
  <c r="H6179" i="26"/>
  <c r="I5752" i="26"/>
  <c r="E5752" i="26" s="1"/>
  <c r="I5900" i="26"/>
  <c r="E5900" i="26" s="1"/>
  <c r="H5229" i="26"/>
  <c r="H4354" i="26"/>
  <c r="I6436" i="26"/>
  <c r="E6436" i="26" s="1"/>
  <c r="I3318" i="26"/>
  <c r="E3318" i="26" s="1"/>
  <c r="H3152" i="26"/>
  <c r="H5825" i="26"/>
  <c r="I6599" i="26"/>
  <c r="E6599" i="26" s="1"/>
  <c r="I3493" i="26"/>
  <c r="E3493" i="26" s="1"/>
  <c r="H3565" i="26"/>
  <c r="H2636" i="26"/>
  <c r="H4169" i="26"/>
  <c r="H5980" i="26"/>
  <c r="H4988" i="26"/>
  <c r="H5299" i="26"/>
  <c r="H1900" i="26"/>
  <c r="I4450" i="26"/>
  <c r="E4450" i="26" s="1"/>
  <c r="H4742" i="26"/>
  <c r="H5062" i="26"/>
  <c r="H5302" i="26"/>
  <c r="H4173" i="26"/>
  <c r="H2586" i="26"/>
  <c r="H4017" i="26"/>
  <c r="I5006" i="26"/>
  <c r="E5006" i="26" s="1"/>
  <c r="I5384" i="26"/>
  <c r="E5384" i="26" s="1"/>
  <c r="I3776" i="26"/>
  <c r="E3776" i="26" s="1"/>
  <c r="I6273" i="26"/>
  <c r="E6273" i="26" s="1"/>
  <c r="H5643" i="26"/>
  <c r="I4051" i="26"/>
  <c r="E4051" i="26" s="1"/>
  <c r="I4542" i="26"/>
  <c r="E4542" i="26" s="1"/>
  <c r="I3418" i="26"/>
  <c r="E3418" i="26" s="1"/>
  <c r="I6221" i="26"/>
  <c r="E6221" i="26" s="1"/>
  <c r="H3112" i="26"/>
  <c r="H5429" i="26"/>
  <c r="H4041" i="26"/>
  <c r="I5856" i="26"/>
  <c r="E5856" i="26" s="1"/>
  <c r="H2475" i="26"/>
  <c r="I4434" i="26"/>
  <c r="E4434" i="26" s="1"/>
  <c r="H3638" i="26"/>
  <c r="I3824" i="26"/>
  <c r="E3824" i="26" s="1"/>
  <c r="I3726" i="26"/>
  <c r="E3726" i="26" s="1"/>
  <c r="H6078" i="26"/>
  <c r="H4544" i="26"/>
  <c r="H2822" i="26"/>
  <c r="H4053" i="26"/>
  <c r="I4576" i="26"/>
  <c r="E4576" i="26" s="1"/>
  <c r="I6696" i="26"/>
  <c r="E6696" i="26" s="1"/>
  <c r="I2456" i="26"/>
  <c r="E2456" i="26" s="1"/>
  <c r="H6560" i="26"/>
  <c r="H3595" i="26"/>
  <c r="H3307" i="26"/>
  <c r="I1955" i="26"/>
  <c r="E1955" i="26" s="1"/>
  <c r="H2400" i="26"/>
  <c r="H5338" i="26"/>
  <c r="H5836" i="26"/>
  <c r="H3538" i="26"/>
  <c r="H2399" i="26"/>
  <c r="H4839" i="26"/>
  <c r="I2990" i="26"/>
  <c r="E2990" i="26" s="1"/>
  <c r="H2551" i="26"/>
  <c r="I1912" i="26"/>
  <c r="E1912" i="26" s="1"/>
  <c r="H5150" i="26"/>
  <c r="H6695" i="26"/>
  <c r="H3531" i="26"/>
  <c r="H3670" i="26"/>
  <c r="H5365" i="26"/>
  <c r="I3025" i="26"/>
  <c r="E3025" i="26" s="1"/>
  <c r="H5803" i="26"/>
  <c r="I1382" i="26"/>
  <c r="E1382" i="26" s="1"/>
  <c r="H6334" i="26"/>
  <c r="H5280" i="26"/>
  <c r="H5575" i="26"/>
  <c r="H4512" i="26"/>
  <c r="H5137" i="26"/>
  <c r="H5126" i="26"/>
  <c r="H3546" i="26"/>
  <c r="H5608" i="26"/>
  <c r="I6138" i="26"/>
  <c r="E6138" i="26" s="1"/>
  <c r="H1595" i="26"/>
  <c r="H3746" i="26"/>
  <c r="I6300" i="26"/>
  <c r="E6300" i="26" s="1"/>
  <c r="H6586" i="26"/>
  <c r="H5375" i="26"/>
  <c r="I4077" i="26"/>
  <c r="E4077" i="26" s="1"/>
  <c r="H4573" i="26"/>
  <c r="I6267" i="26"/>
  <c r="E6267" i="26" s="1"/>
  <c r="H3240" i="26"/>
  <c r="I5584" i="26"/>
  <c r="E5584" i="26" s="1"/>
  <c r="H5432" i="26"/>
  <c r="H5128" i="26"/>
  <c r="H3407" i="26"/>
  <c r="H2144" i="26"/>
  <c r="I3063" i="26"/>
  <c r="E3063" i="26" s="1"/>
  <c r="H4462" i="26"/>
  <c r="H5087" i="26"/>
  <c r="I5885" i="26"/>
  <c r="E5885" i="26" s="1"/>
  <c r="H2877" i="26"/>
  <c r="H6330" i="26"/>
  <c r="H4804" i="26"/>
  <c r="H4205" i="26"/>
  <c r="H2589" i="26"/>
  <c r="H3065" i="26"/>
  <c r="H4098" i="26"/>
  <c r="H3049" i="26"/>
  <c r="H1961" i="26"/>
  <c r="I5277" i="26"/>
  <c r="E5277" i="26" s="1"/>
  <c r="H6046" i="26"/>
  <c r="I2585" i="26"/>
  <c r="E2585" i="26" s="1"/>
  <c r="H3735" i="26"/>
  <c r="I4908" i="26"/>
  <c r="E4908" i="26" s="1"/>
  <c r="H4525" i="26"/>
  <c r="H6196" i="26"/>
  <c r="I3042" i="26"/>
  <c r="E3042" i="26" s="1"/>
  <c r="I2319" i="26"/>
  <c r="E2319" i="26" s="1"/>
  <c r="H5874" i="26"/>
  <c r="I2888" i="26"/>
  <c r="E2888" i="26" s="1"/>
  <c r="H3761" i="26"/>
  <c r="H1588" i="26"/>
  <c r="I4541" i="26"/>
  <c r="E4541" i="26" s="1"/>
  <c r="H5875" i="26"/>
  <c r="H4581" i="26"/>
  <c r="H2839" i="26"/>
  <c r="H5866" i="26"/>
  <c r="H4144" i="26"/>
  <c r="H5500" i="26"/>
  <c r="H3373" i="26"/>
  <c r="H4841" i="26"/>
  <c r="H3964" i="26"/>
  <c r="I3385" i="26"/>
  <c r="E3385" i="26" s="1"/>
  <c r="H4100" i="26"/>
  <c r="H1149" i="26"/>
  <c r="H3760" i="26"/>
  <c r="H1913" i="26"/>
  <c r="I1928" i="26"/>
  <c r="E1928" i="26" s="1"/>
  <c r="I4726" i="26"/>
  <c r="E4726" i="26" s="1"/>
  <c r="H3854" i="26"/>
  <c r="H5003" i="26"/>
  <c r="H3264" i="26"/>
  <c r="I1323" i="26"/>
  <c r="E1323" i="26" s="1"/>
  <c r="H3035" i="26"/>
  <c r="H3714" i="26"/>
  <c r="H4428" i="26"/>
  <c r="H4859" i="26"/>
  <c r="I4365" i="26"/>
  <c r="E4365" i="26" s="1"/>
  <c r="H6375" i="26"/>
  <c r="H2363" i="26"/>
  <c r="H5048" i="26"/>
  <c r="I2522" i="26"/>
  <c r="E2522" i="26" s="1"/>
  <c r="H4161" i="26"/>
  <c r="H2840" i="26"/>
  <c r="I5457" i="26"/>
  <c r="E5457" i="26" s="1"/>
  <c r="H2617" i="26"/>
  <c r="H5543" i="26"/>
  <c r="H5216" i="26"/>
  <c r="H5598" i="26"/>
  <c r="H5698" i="26"/>
  <c r="H3542" i="26"/>
  <c r="H2364" i="26"/>
  <c r="H5918" i="26"/>
  <c r="H5085" i="26"/>
  <c r="H3776" i="26"/>
  <c r="H5249" i="26"/>
  <c r="H6289" i="26"/>
  <c r="H5065" i="26"/>
  <c r="I2146" i="26"/>
  <c r="E2146" i="26" s="1"/>
  <c r="H4880" i="26"/>
  <c r="H6185" i="26"/>
  <c r="H5660" i="26"/>
  <c r="H3211" i="26"/>
  <c r="I4705" i="26"/>
  <c r="E4705" i="26" s="1"/>
  <c r="H5507" i="26"/>
  <c r="H6495" i="26"/>
  <c r="H4740" i="26"/>
  <c r="H1141" i="26"/>
  <c r="I1315" i="26"/>
  <c r="E1315" i="26" s="1"/>
  <c r="H5321" i="26"/>
  <c r="H6508" i="26"/>
  <c r="H6436" i="26"/>
  <c r="H6683" i="26"/>
  <c r="H4396" i="26"/>
  <c r="H4697" i="26"/>
  <c r="H4011" i="26"/>
  <c r="H4795" i="26"/>
  <c r="H6447" i="26"/>
  <c r="I5580" i="26"/>
  <c r="E5580" i="26" s="1"/>
  <c r="I3856" i="26"/>
  <c r="E3856" i="26" s="1"/>
  <c r="H4476" i="26"/>
  <c r="H3024" i="26"/>
  <c r="I1620" i="26"/>
  <c r="E1620" i="26" s="1"/>
  <c r="I476" i="26"/>
  <c r="E476" i="26" s="1"/>
  <c r="H946" i="26"/>
  <c r="I1674" i="26"/>
  <c r="E1674" i="26" s="1"/>
  <c r="H770" i="26"/>
  <c r="H4910" i="26"/>
  <c r="H3900" i="26"/>
  <c r="H2646" i="26"/>
  <c r="H4673" i="26"/>
  <c r="H5358" i="26"/>
  <c r="I482" i="26"/>
  <c r="E482" i="26" s="1"/>
  <c r="H871" i="26"/>
  <c r="I2023" i="26"/>
  <c r="E2023" i="26" s="1"/>
  <c r="I553" i="26"/>
  <c r="E553" i="26" s="1"/>
  <c r="I4758" i="26"/>
  <c r="E4758" i="26" s="1"/>
  <c r="H4861" i="26"/>
  <c r="H5312" i="26"/>
  <c r="H2914" i="26"/>
  <c r="H4142" i="26"/>
  <c r="I403" i="26"/>
  <c r="E403" i="26" s="1"/>
  <c r="I1463" i="26"/>
  <c r="E1463" i="26" s="1"/>
  <c r="H1819" i="26"/>
  <c r="I206" i="26"/>
  <c r="E206" i="26" s="1"/>
  <c r="I907" i="26"/>
  <c r="E907" i="26" s="1"/>
  <c r="H4575" i="26"/>
  <c r="H5565" i="26"/>
  <c r="I1308" i="26"/>
  <c r="E1308" i="26" s="1"/>
  <c r="H5616" i="26"/>
  <c r="H271" i="26"/>
  <c r="H645" i="26"/>
  <c r="H1442" i="26"/>
  <c r="I1387" i="26"/>
  <c r="E1387" i="26" s="1"/>
  <c r="H436" i="26"/>
  <c r="H6233" i="26"/>
  <c r="H5117" i="26"/>
  <c r="H4975" i="26"/>
  <c r="I1790" i="26"/>
  <c r="E1790" i="26" s="1"/>
  <c r="H410" i="26"/>
  <c r="I1490" i="26"/>
  <c r="E1490" i="26" s="1"/>
  <c r="H2205" i="26"/>
  <c r="H4033" i="26"/>
  <c r="H5261" i="26"/>
  <c r="I1098" i="26"/>
  <c r="E1098" i="26" s="1"/>
  <c r="H6077" i="26"/>
  <c r="I250" i="26"/>
  <c r="E250" i="26" s="1"/>
  <c r="I1002" i="26"/>
  <c r="E1002" i="26" s="1"/>
  <c r="H2141" i="26"/>
  <c r="I1327" i="26"/>
  <c r="E1327" i="26" s="1"/>
  <c r="H6479" i="26"/>
  <c r="H1089" i="26"/>
  <c r="H1420" i="26"/>
  <c r="H1124" i="26"/>
  <c r="I559" i="26"/>
  <c r="E559" i="26" s="1"/>
  <c r="H4933" i="26"/>
  <c r="H762" i="26"/>
  <c r="H4143" i="26"/>
  <c r="H704" i="26"/>
  <c r="I2233" i="26"/>
  <c r="E2233" i="26" s="1"/>
  <c r="I2177" i="26"/>
  <c r="E2177" i="26" s="1"/>
  <c r="H6512" i="26"/>
  <c r="I2105" i="26"/>
  <c r="E2105" i="26" s="1"/>
  <c r="I1344" i="26"/>
  <c r="E1344" i="26" s="1"/>
  <c r="H3399" i="26"/>
  <c r="H3042" i="26"/>
  <c r="H1262" i="26"/>
  <c r="H821" i="26"/>
  <c r="H2362" i="26"/>
  <c r="H2583" i="26"/>
  <c r="I5484" i="26"/>
  <c r="E5484" i="26" s="1"/>
  <c r="H6011" i="26"/>
  <c r="I1585" i="26"/>
  <c r="E1585" i="26" s="1"/>
  <c r="I493" i="26"/>
  <c r="E493" i="26" s="1"/>
  <c r="H898" i="26"/>
  <c r="H5366" i="26"/>
  <c r="H1914" i="26"/>
  <c r="I1805" i="26"/>
  <c r="E1805" i="26" s="1"/>
  <c r="H4372" i="26"/>
  <c r="I1389" i="26"/>
  <c r="E1389" i="26" s="1"/>
  <c r="H234" i="26"/>
  <c r="I968" i="26"/>
  <c r="E968" i="26" s="1"/>
  <c r="H6144" i="26"/>
  <c r="H1976" i="26"/>
  <c r="H4797" i="26"/>
  <c r="H1298" i="26"/>
  <c r="I1448" i="26"/>
  <c r="E1448" i="26" s="1"/>
  <c r="H1393" i="26"/>
  <c r="I560" i="26"/>
  <c r="E560" i="26" s="1"/>
  <c r="I2213" i="26"/>
  <c r="E2213" i="26" s="1"/>
  <c r="I198" i="26"/>
  <c r="E198" i="26" s="1"/>
  <c r="I915" i="26"/>
  <c r="E915" i="26" s="1"/>
  <c r="I6007" i="26"/>
  <c r="E6007" i="26" s="1"/>
  <c r="I3680" i="26"/>
  <c r="E3680" i="26" s="1"/>
  <c r="I6540" i="26"/>
  <c r="E6540" i="26" s="1"/>
  <c r="I6421" i="26"/>
  <c r="E6421" i="26" s="1"/>
  <c r="I3443" i="26"/>
  <c r="E3443" i="26" s="1"/>
  <c r="I6235" i="26"/>
  <c r="E6235" i="26" s="1"/>
  <c r="I5992" i="26"/>
  <c r="E5992" i="26" s="1"/>
  <c r="I4471" i="26"/>
  <c r="E4471" i="26" s="1"/>
  <c r="I3626" i="26"/>
  <c r="E3626" i="26" s="1"/>
  <c r="H2930" i="26"/>
  <c r="I2959" i="26"/>
  <c r="E2959" i="26" s="1"/>
  <c r="I5030" i="26"/>
  <c r="E5030" i="26" s="1"/>
  <c r="I5016" i="26"/>
  <c r="E5016" i="26" s="1"/>
  <c r="I6576" i="26"/>
  <c r="E6576" i="26" s="1"/>
  <c r="H6326" i="26"/>
  <c r="I2603" i="26"/>
  <c r="E2603" i="26" s="1"/>
  <c r="I5850" i="26"/>
  <c r="E5850" i="26" s="1"/>
  <c r="I4226" i="26"/>
  <c r="E4226" i="26" s="1"/>
  <c r="H6103" i="26"/>
  <c r="I2795" i="26"/>
  <c r="E2795" i="26" s="1"/>
  <c r="H4538" i="26"/>
  <c r="I2487" i="26"/>
  <c r="E2487" i="26" s="1"/>
  <c r="H3916" i="26"/>
  <c r="H4561" i="26"/>
  <c r="I5266" i="26"/>
  <c r="E5266" i="26" s="1"/>
  <c r="I1065" i="26"/>
  <c r="E1065" i="26" s="1"/>
  <c r="H4796" i="26"/>
  <c r="I6738" i="26"/>
  <c r="E6738" i="26" s="1"/>
  <c r="I3231" i="26"/>
  <c r="E3231" i="26" s="1"/>
  <c r="H4848" i="26"/>
  <c r="I5932" i="26"/>
  <c r="E5932" i="26" s="1"/>
  <c r="I3753" i="26"/>
  <c r="E3753" i="26" s="1"/>
  <c r="H5947" i="26"/>
  <c r="H3966" i="26"/>
  <c r="I5868" i="26"/>
  <c r="E5868" i="26" s="1"/>
  <c r="I4285" i="26"/>
  <c r="E4285" i="26" s="1"/>
  <c r="I6149" i="26"/>
  <c r="E6149" i="26" s="1"/>
  <c r="I4732" i="26"/>
  <c r="E4732" i="26" s="1"/>
  <c r="H1058" i="26"/>
  <c r="I5821" i="26"/>
  <c r="E5821" i="26" s="1"/>
  <c r="I4016" i="26"/>
  <c r="E4016" i="26" s="1"/>
  <c r="I5820" i="26"/>
  <c r="E5820" i="26" s="1"/>
  <c r="I2729" i="26"/>
  <c r="E2729" i="26" s="1"/>
  <c r="H4225" i="26"/>
  <c r="H2306" i="26"/>
  <c r="I6759" i="26"/>
  <c r="E6759" i="26" s="1"/>
  <c r="H6565" i="26"/>
  <c r="I3422" i="26"/>
  <c r="E3422" i="26" s="1"/>
  <c r="H1063" i="26"/>
  <c r="H4417" i="26"/>
  <c r="H6745" i="26"/>
  <c r="H4259" i="26"/>
  <c r="I2250" i="26"/>
  <c r="E2250" i="26" s="1"/>
  <c r="H2286" i="26"/>
  <c r="H6559" i="26"/>
  <c r="H4711" i="26"/>
  <c r="I5496" i="26"/>
  <c r="E5496" i="26" s="1"/>
  <c r="I4597" i="26"/>
  <c r="E4597" i="26" s="1"/>
  <c r="I3359" i="26"/>
  <c r="E3359" i="26" s="1"/>
  <c r="H4646" i="26"/>
  <c r="H3246" i="26"/>
  <c r="I5013" i="26"/>
  <c r="E5013" i="26" s="1"/>
  <c r="I4756" i="26"/>
  <c r="E4756" i="26" s="1"/>
  <c r="I2495" i="26"/>
  <c r="E2495" i="26" s="1"/>
  <c r="H5202" i="26"/>
  <c r="I5964" i="26"/>
  <c r="E5964" i="26" s="1"/>
  <c r="H6294" i="26"/>
  <c r="H6445" i="26"/>
  <c r="I3038" i="26"/>
  <c r="E3038" i="26" s="1"/>
  <c r="H1500" i="26"/>
  <c r="H6671" i="26"/>
  <c r="H5018" i="26"/>
  <c r="H5492" i="26"/>
  <c r="H5967" i="26"/>
  <c r="H3550" i="26"/>
  <c r="I1517" i="26"/>
  <c r="E1517" i="26" s="1"/>
  <c r="H5387" i="26"/>
  <c r="H3393" i="26"/>
  <c r="H3261" i="26"/>
  <c r="H2774" i="26"/>
  <c r="H6659" i="26"/>
  <c r="I4543" i="26"/>
  <c r="E4543" i="26" s="1"/>
  <c r="I6270" i="26"/>
  <c r="E6270" i="26" s="1"/>
  <c r="H2709" i="26"/>
  <c r="H5901" i="26"/>
  <c r="H1505" i="26"/>
  <c r="H3957" i="26"/>
  <c r="H3486" i="26"/>
  <c r="I5865" i="26"/>
  <c r="E5865" i="26" s="1"/>
  <c r="H6564" i="26"/>
  <c r="H4484" i="26"/>
  <c r="H2444" i="26"/>
  <c r="I6108" i="26"/>
  <c r="E6108" i="26" s="1"/>
  <c r="H5677" i="26"/>
  <c r="H6329" i="26"/>
  <c r="H2916" i="26"/>
  <c r="H3525" i="26"/>
  <c r="H4135" i="26"/>
  <c r="H2713" i="26"/>
  <c r="H3879" i="26"/>
  <c r="H2485" i="26"/>
  <c r="H4333" i="26"/>
  <c r="I6068" i="26"/>
  <c r="E6068" i="26" s="1"/>
  <c r="H6506" i="26"/>
  <c r="H1606" i="26"/>
  <c r="H4718" i="26"/>
  <c r="H4261" i="26"/>
  <c r="H6142" i="26"/>
  <c r="H2700" i="26"/>
  <c r="H6000" i="26"/>
  <c r="I6180" i="26"/>
  <c r="E6180" i="26" s="1"/>
  <c r="H5171" i="26"/>
  <c r="H5310" i="26"/>
  <c r="I1940" i="26"/>
  <c r="E1940" i="26" s="1"/>
  <c r="H3917" i="26"/>
  <c r="H4077" i="26"/>
  <c r="I2662" i="26"/>
  <c r="E2662" i="26" s="1"/>
  <c r="I4585" i="26"/>
  <c r="E4585" i="26" s="1"/>
  <c r="H4446" i="26"/>
  <c r="H3532" i="26"/>
  <c r="H2300" i="26"/>
  <c r="H4784" i="26"/>
  <c r="H2694" i="26"/>
  <c r="H3284" i="26"/>
  <c r="H4518" i="26"/>
  <c r="H5331" i="26"/>
  <c r="H697" i="26"/>
  <c r="I1068" i="26"/>
  <c r="E1068" i="26" s="1"/>
  <c r="H4383" i="26"/>
  <c r="I3761" i="26"/>
  <c r="E3761" i="26" s="1"/>
  <c r="I1297" i="26"/>
  <c r="E1297" i="26" s="1"/>
  <c r="I2171" i="26"/>
  <c r="E2171" i="26" s="1"/>
  <c r="H2427" i="26"/>
  <c r="H4932" i="26"/>
  <c r="H1873" i="26"/>
  <c r="H4563" i="26"/>
  <c r="H6412" i="26"/>
  <c r="H2279" i="26"/>
  <c r="I2099" i="26"/>
  <c r="E2099" i="26" s="1"/>
  <c r="I5585" i="26"/>
  <c r="E5585" i="26" s="1"/>
  <c r="H2988" i="26"/>
  <c r="H4488" i="26"/>
  <c r="H4527" i="26"/>
  <c r="H1543" i="26"/>
  <c r="I1170" i="26"/>
  <c r="E1170" i="26" s="1"/>
  <c r="H6686" i="26"/>
  <c r="H5896" i="26"/>
  <c r="H4393" i="26"/>
  <c r="H2960" i="26"/>
  <c r="I3537" i="26"/>
  <c r="E3537" i="26" s="1"/>
  <c r="I5170" i="26"/>
  <c r="E5170" i="26" s="1"/>
  <c r="I1540" i="26"/>
  <c r="E1540" i="26" s="1"/>
  <c r="H3663" i="26"/>
  <c r="H6214" i="26"/>
  <c r="H3201" i="26"/>
  <c r="H5160" i="26"/>
  <c r="I1287" i="26"/>
  <c r="E1287" i="26" s="1"/>
  <c r="I1991" i="26"/>
  <c r="E1991" i="26" s="1"/>
  <c r="I2293" i="26"/>
  <c r="E2293" i="26" s="1"/>
  <c r="I6697" i="26"/>
  <c r="E6697" i="26" s="1"/>
  <c r="H2305" i="26"/>
  <c r="I4984" i="26"/>
  <c r="E4984" i="26" s="1"/>
  <c r="H5004" i="26"/>
  <c r="H4380" i="26"/>
  <c r="H1918" i="26"/>
  <c r="H3023" i="26"/>
  <c r="I4072" i="26"/>
  <c r="E4072" i="26" s="1"/>
  <c r="H5567" i="26"/>
  <c r="H5069" i="26"/>
  <c r="I1077" i="26"/>
  <c r="E1077" i="26" s="1"/>
  <c r="H1160" i="26"/>
  <c r="I6462" i="26"/>
  <c r="E6462" i="26" s="1"/>
  <c r="H2558" i="26"/>
  <c r="H5986" i="26"/>
  <c r="H3852" i="26"/>
  <c r="H6040" i="26"/>
  <c r="I5652" i="26"/>
  <c r="E5652" i="26" s="1"/>
  <c r="I1922" i="26"/>
  <c r="E1922" i="26" s="1"/>
  <c r="H5614" i="26"/>
  <c r="H4039" i="26"/>
  <c r="H6414" i="26"/>
  <c r="I4403" i="26"/>
  <c r="E4403" i="26" s="1"/>
  <c r="I1309" i="26"/>
  <c r="E1309" i="26" s="1"/>
  <c r="H4194" i="26"/>
  <c r="H6547" i="26"/>
  <c r="H1108" i="26"/>
  <c r="I2760" i="26"/>
  <c r="E2760" i="26" s="1"/>
  <c r="I5442" i="26"/>
  <c r="E5442" i="26" s="1"/>
  <c r="I3485" i="26"/>
  <c r="E3485" i="26" s="1"/>
  <c r="H4875" i="26"/>
  <c r="H3019" i="26"/>
  <c r="I2142" i="26"/>
  <c r="E2142" i="26" s="1"/>
  <c r="H6238" i="26"/>
  <c r="H4067" i="26"/>
  <c r="I2917" i="26"/>
  <c r="E2917" i="26" s="1"/>
  <c r="I4385" i="26"/>
  <c r="E4385" i="26" s="1"/>
  <c r="H3992" i="26"/>
  <c r="H3928" i="26"/>
  <c r="I6432" i="26"/>
  <c r="E6432" i="26" s="1"/>
  <c r="H3759" i="26"/>
  <c r="I1929" i="26"/>
  <c r="E1929" i="26" s="1"/>
  <c r="I3465" i="26"/>
  <c r="E3465" i="26" s="1"/>
  <c r="H5510" i="26"/>
  <c r="I4677" i="26"/>
  <c r="E4677" i="26" s="1"/>
  <c r="H2658" i="26"/>
  <c r="H2350" i="26"/>
  <c r="H3214" i="26"/>
  <c r="H4226" i="26"/>
  <c r="H5949" i="26"/>
  <c r="H6646" i="26"/>
  <c r="H5516" i="26"/>
  <c r="H3371" i="26"/>
  <c r="I3811" i="26"/>
  <c r="E3811" i="26" s="1"/>
  <c r="H6352" i="26"/>
  <c r="H3984" i="26"/>
  <c r="H6365" i="26"/>
  <c r="I3697" i="26"/>
  <c r="E3697" i="26" s="1"/>
  <c r="H1799" i="26"/>
  <c r="H2491" i="26"/>
  <c r="H3991" i="26"/>
  <c r="H2868" i="26"/>
  <c r="I1043" i="26"/>
  <c r="E1043" i="26" s="1"/>
  <c r="H2722" i="26"/>
  <c r="I2310" i="26"/>
  <c r="E2310" i="26" s="1"/>
  <c r="H3814" i="26"/>
  <c r="H2089" i="26"/>
  <c r="H795" i="26"/>
  <c r="H4327" i="26"/>
  <c r="I6117" i="26"/>
  <c r="E6117" i="26" s="1"/>
  <c r="H4669" i="26"/>
  <c r="H3011" i="26"/>
  <c r="I3710" i="26"/>
  <c r="E3710" i="26" s="1"/>
  <c r="H3169" i="26"/>
  <c r="H6446" i="26"/>
  <c r="H4015" i="26"/>
  <c r="I1048" i="26"/>
  <c r="E1048" i="26" s="1"/>
  <c r="H6167" i="26"/>
  <c r="H2150" i="26"/>
  <c r="H1721" i="26"/>
  <c r="H5147" i="26"/>
  <c r="H1537" i="26"/>
  <c r="H1656" i="26"/>
  <c r="I4192" i="26"/>
  <c r="E4192" i="26" s="1"/>
  <c r="I385" i="26"/>
  <c r="E385" i="26" s="1"/>
  <c r="I1464" i="26"/>
  <c r="E1464" i="26" s="1"/>
  <c r="H2194" i="26"/>
  <c r="H2938" i="26"/>
  <c r="H2755" i="26"/>
  <c r="H2792" i="26"/>
  <c r="I2433" i="26"/>
  <c r="E2433" i="26" s="1"/>
  <c r="H2168" i="26"/>
  <c r="I485" i="26"/>
  <c r="E485" i="26" s="1"/>
  <c r="H952" i="26"/>
  <c r="I2222" i="26"/>
  <c r="E2222" i="26" s="1"/>
  <c r="I1606" i="26"/>
  <c r="E1606" i="26" s="1"/>
  <c r="H3967" i="26"/>
  <c r="H5316" i="26"/>
  <c r="I2514" i="26"/>
  <c r="E2514" i="26" s="1"/>
  <c r="H5936" i="26"/>
  <c r="H1168" i="26"/>
  <c r="I457" i="26"/>
  <c r="E457" i="26" s="1"/>
  <c r="I612" i="26"/>
  <c r="E612" i="26" s="1"/>
  <c r="I1433" i="26"/>
  <c r="E1433" i="26" s="1"/>
  <c r="I777" i="26"/>
  <c r="E777" i="26" s="1"/>
  <c r="H1004" i="26"/>
  <c r="H6498" i="26"/>
  <c r="H4798" i="26"/>
  <c r="I1581" i="26"/>
  <c r="E1581" i="26" s="1"/>
  <c r="H4134" i="26"/>
  <c r="H1591" i="26"/>
  <c r="I486" i="26"/>
  <c r="E486" i="26" s="1"/>
  <c r="H905" i="26"/>
  <c r="I2208" i="26"/>
  <c r="E2208" i="26" s="1"/>
  <c r="H1224" i="26"/>
  <c r="H6374" i="26"/>
  <c r="H2730" i="26"/>
  <c r="I1554" i="26"/>
  <c r="E1554" i="26" s="1"/>
  <c r="H2412" i="26"/>
  <c r="I490" i="26"/>
  <c r="E490" i="26" s="1"/>
  <c r="I997" i="26"/>
  <c r="E997" i="26" s="1"/>
  <c r="I1688" i="26"/>
  <c r="E1688" i="26" s="1"/>
  <c r="I1539" i="26"/>
  <c r="E1539" i="26" s="1"/>
  <c r="H3358" i="26"/>
  <c r="H1959" i="26"/>
  <c r="H4408" i="26"/>
  <c r="I1769" i="26"/>
  <c r="E1769" i="26" s="1"/>
  <c r="I511" i="26"/>
  <c r="E511" i="26" s="1"/>
  <c r="H2917" i="26"/>
  <c r="H1985" i="26"/>
  <c r="H5737" i="26"/>
  <c r="I743" i="26"/>
  <c r="E743" i="26" s="1"/>
  <c r="H2239" i="26"/>
  <c r="H2185" i="26"/>
  <c r="H530" i="26"/>
  <c r="I4237" i="26"/>
  <c r="E4237" i="26" s="1"/>
  <c r="H1795" i="26"/>
  <c r="H2711" i="26"/>
  <c r="H1107" i="26"/>
  <c r="H904" i="26"/>
  <c r="I2207" i="26"/>
  <c r="E2207" i="26" s="1"/>
  <c r="H5139" i="26"/>
  <c r="H6254" i="26"/>
  <c r="I1160" i="26"/>
  <c r="E1160" i="26" s="1"/>
  <c r="H4065" i="26"/>
  <c r="H1306" i="26"/>
  <c r="I631" i="26"/>
  <c r="E631" i="26" s="1"/>
  <c r="I851" i="26"/>
  <c r="E851" i="26" s="1"/>
  <c r="H1908" i="26"/>
  <c r="H6201" i="26"/>
  <c r="H4475" i="26"/>
  <c r="H5961" i="26"/>
  <c r="H808" i="26"/>
  <c r="I227" i="26"/>
  <c r="E227" i="26" s="1"/>
  <c r="I993" i="26"/>
  <c r="E993" i="26" s="1"/>
  <c r="H1080" i="26"/>
  <c r="H1324" i="26"/>
  <c r="H2853" i="26"/>
  <c r="H3817" i="26"/>
  <c r="I830" i="26"/>
  <c r="E830" i="26" s="1"/>
  <c r="I2121" i="26"/>
  <c r="E2121" i="26" s="1"/>
  <c r="I451" i="26"/>
  <c r="E451" i="26" s="1"/>
  <c r="H2829" i="26"/>
  <c r="H2176" i="26"/>
  <c r="H5955" i="26"/>
  <c r="H1946" i="26"/>
  <c r="H920" i="26"/>
  <c r="H2042" i="26"/>
  <c r="I1757" i="26"/>
  <c r="E1757" i="26" s="1"/>
  <c r="H6493" i="26"/>
  <c r="H5646" i="26"/>
  <c r="I1708" i="26"/>
  <c r="E1708" i="26" s="1"/>
  <c r="I798" i="26"/>
  <c r="E798" i="26" s="1"/>
  <c r="I477" i="26"/>
  <c r="E477" i="26" s="1"/>
  <c r="H936" i="26"/>
  <c r="I2217" i="26"/>
  <c r="E2217" i="26" s="1"/>
  <c r="I764" i="26"/>
  <c r="E764" i="26" s="1"/>
  <c r="H504" i="26"/>
  <c r="H5895" i="26"/>
  <c r="H5269" i="26"/>
  <c r="I387" i="26"/>
  <c r="E387" i="26" s="1"/>
  <c r="H397" i="26"/>
  <c r="H903" i="26"/>
  <c r="I3434" i="26"/>
  <c r="E3434" i="26" s="1"/>
  <c r="I2909" i="26"/>
  <c r="E2909" i="26" s="1"/>
  <c r="I4396" i="26"/>
  <c r="E4396" i="26" s="1"/>
  <c r="I5980" i="26"/>
  <c r="E5980" i="26" s="1"/>
  <c r="I4185" i="26"/>
  <c r="E4185" i="26" s="1"/>
  <c r="I1524" i="26"/>
  <c r="E1524" i="26" s="1"/>
  <c r="I3036" i="26"/>
  <c r="E3036" i="26" s="1"/>
  <c r="I3752" i="26"/>
  <c r="E3752" i="26" s="1"/>
  <c r="I3893" i="26"/>
  <c r="E3893" i="26" s="1"/>
  <c r="I54" i="26"/>
  <c r="E54" i="26" s="1"/>
  <c r="I4845" i="26"/>
  <c r="E4845" i="26" s="1"/>
  <c r="I5930" i="26"/>
  <c r="E5930" i="26" s="1"/>
  <c r="I5715" i="26"/>
  <c r="E5715" i="26" s="1"/>
  <c r="H2647" i="26"/>
  <c r="H2582" i="26"/>
  <c r="I5891" i="26"/>
  <c r="E5891" i="26" s="1"/>
  <c r="H6043" i="26"/>
  <c r="I6572" i="26"/>
  <c r="E6572" i="26" s="1"/>
  <c r="H2441" i="26"/>
  <c r="I3995" i="26"/>
  <c r="E3995" i="26" s="1"/>
  <c r="I5150" i="26"/>
  <c r="E5150" i="26" s="1"/>
  <c r="H4387" i="26"/>
  <c r="H6729" i="26"/>
  <c r="H5286" i="26"/>
  <c r="I5965" i="26"/>
  <c r="E5965" i="26" s="1"/>
  <c r="I5271" i="26"/>
  <c r="E5271" i="26" s="1"/>
  <c r="H6143" i="26"/>
  <c r="H2315" i="26"/>
  <c r="H6457" i="26"/>
  <c r="H4309" i="26"/>
  <c r="I4509" i="26"/>
  <c r="E4509" i="26" s="1"/>
  <c r="H3830" i="26"/>
  <c r="H3188" i="26"/>
  <c r="H5869" i="26"/>
  <c r="H4129" i="26"/>
  <c r="I5560" i="26"/>
  <c r="E5560" i="26" s="1"/>
  <c r="H5542" i="26"/>
  <c r="I6017" i="26"/>
  <c r="E6017" i="26" s="1"/>
  <c r="H3894" i="26"/>
  <c r="I3223" i="26"/>
  <c r="E3223" i="26" s="1"/>
  <c r="I4671" i="26"/>
  <c r="E4671" i="26" s="1"/>
  <c r="I6704" i="26"/>
  <c r="E6704" i="26" s="1"/>
  <c r="H4377" i="26"/>
  <c r="H6377" i="26"/>
  <c r="I5189" i="26"/>
  <c r="E5189" i="26" s="1"/>
  <c r="H2885" i="26"/>
  <c r="H3882" i="26"/>
  <c r="H6311" i="26"/>
  <c r="I5096" i="26"/>
  <c r="E5096" i="26" s="1"/>
  <c r="I3405" i="26"/>
  <c r="E3405" i="26" s="1"/>
  <c r="H5985" i="26"/>
  <c r="H6482" i="26"/>
  <c r="I6560" i="26"/>
  <c r="E6560" i="26" s="1"/>
  <c r="I4814" i="26"/>
  <c r="E4814" i="26" s="1"/>
  <c r="H5519" i="26"/>
  <c r="H3084" i="26"/>
  <c r="I5008" i="26"/>
  <c r="E5008" i="26" s="1"/>
  <c r="I5859" i="26"/>
  <c r="E5859" i="26" s="1"/>
  <c r="H2950" i="26"/>
  <c r="H4056" i="26"/>
  <c r="H2686" i="26"/>
  <c r="I2737" i="26"/>
  <c r="E2737" i="26" s="1"/>
  <c r="H4814" i="26"/>
  <c r="I4873" i="26"/>
  <c r="E4873" i="26" s="1"/>
  <c r="H4789" i="26"/>
  <c r="H6541" i="26"/>
  <c r="H1509" i="26"/>
  <c r="H5727" i="26"/>
  <c r="I4236" i="26"/>
  <c r="E4236" i="26" s="1"/>
  <c r="H5481" i="26"/>
  <c r="H3272" i="26"/>
  <c r="H3385" i="26"/>
  <c r="H2657" i="26"/>
  <c r="H5044" i="26"/>
  <c r="H4277" i="26"/>
  <c r="I3130" i="26"/>
  <c r="E3130" i="26" s="1"/>
  <c r="I2404" i="26"/>
  <c r="E2404" i="26" s="1"/>
  <c r="I6351" i="26"/>
  <c r="E6351" i="26" s="1"/>
  <c r="I5943" i="26"/>
  <c r="E5943" i="26" s="1"/>
  <c r="I4452" i="26"/>
  <c r="E4452" i="26" s="1"/>
  <c r="I4843" i="26"/>
  <c r="E4843" i="26" s="1"/>
  <c r="H4370" i="26"/>
  <c r="I2829" i="26"/>
  <c r="E2829" i="26" s="1"/>
  <c r="H4347" i="26"/>
  <c r="H6350" i="26"/>
  <c r="I2920" i="26"/>
  <c r="E2920" i="26" s="1"/>
  <c r="H2595" i="26"/>
  <c r="H4086" i="26"/>
  <c r="H5154" i="26"/>
  <c r="H3052" i="26"/>
  <c r="I2449" i="26"/>
  <c r="E2449" i="26" s="1"/>
  <c r="I4947" i="26"/>
  <c r="E4947" i="26" s="1"/>
  <c r="H5382" i="26"/>
  <c r="I4674" i="26"/>
  <c r="E4674" i="26" s="1"/>
  <c r="H6634" i="26"/>
  <c r="I2557" i="26"/>
  <c r="E2557" i="26" s="1"/>
  <c r="I1546" i="26"/>
  <c r="E1546" i="26" s="1"/>
  <c r="H6728" i="26"/>
  <c r="H1287" i="26"/>
  <c r="I3756" i="26"/>
  <c r="E3756" i="26" s="1"/>
  <c r="H3345" i="26"/>
  <c r="H5956" i="26"/>
  <c r="H6016" i="26"/>
  <c r="I2766" i="26"/>
  <c r="E2766" i="26" s="1"/>
  <c r="H4682" i="26"/>
  <c r="I6760" i="26"/>
  <c r="E6760" i="26" s="1"/>
  <c r="H4990" i="26"/>
  <c r="H6114" i="26"/>
  <c r="I6663" i="26"/>
  <c r="E6663" i="26" s="1"/>
  <c r="H2662" i="26"/>
  <c r="H5924" i="26"/>
  <c r="H3639" i="26"/>
  <c r="H2380" i="26"/>
  <c r="I761" i="26"/>
  <c r="E761" i="26" s="1"/>
  <c r="H6251" i="26"/>
  <c r="H2921" i="26"/>
  <c r="I1709" i="26"/>
  <c r="E1709" i="26" s="1"/>
  <c r="H3389" i="26"/>
  <c r="H2813" i="26"/>
  <c r="H4829" i="26"/>
  <c r="H4680" i="26"/>
  <c r="H4982" i="26"/>
  <c r="H5602" i="26"/>
  <c r="H6217" i="26"/>
  <c r="H3377" i="26"/>
  <c r="H2661" i="26"/>
  <c r="H3221" i="26"/>
  <c r="H5654" i="26"/>
  <c r="I4062" i="26"/>
  <c r="E4062" i="26" s="1"/>
  <c r="H6744" i="26"/>
  <c r="H2115" i="26"/>
  <c r="H5285" i="26"/>
  <c r="H714" i="26"/>
  <c r="H2842" i="26"/>
  <c r="H6060" i="26"/>
  <c r="H5636" i="26"/>
  <c r="H5994" i="26"/>
  <c r="H4211" i="26"/>
  <c r="I2128" i="26"/>
  <c r="E2128" i="26" s="1"/>
  <c r="I1059" i="26"/>
  <c r="E1059" i="26" s="1"/>
  <c r="I3197" i="26"/>
  <c r="E3197" i="26" s="1"/>
  <c r="H4474" i="26"/>
  <c r="H3863" i="26"/>
  <c r="H1743" i="26"/>
  <c r="H5458" i="26"/>
  <c r="H5173" i="26"/>
  <c r="H6458" i="26"/>
  <c r="H4705" i="26"/>
  <c r="H2929" i="26"/>
  <c r="H6153" i="26"/>
  <c r="H4291" i="26"/>
  <c r="H1568" i="26"/>
  <c r="H6183" i="26"/>
  <c r="H3646" i="26"/>
  <c r="H3702" i="26"/>
  <c r="H5881" i="26"/>
  <c r="I1731" i="26"/>
  <c r="E1731" i="26" s="1"/>
  <c r="H3418" i="26"/>
  <c r="I5136" i="26"/>
  <c r="E5136" i="26" s="1"/>
  <c r="H3028" i="26"/>
  <c r="H3658" i="26"/>
  <c r="I1872" i="26"/>
  <c r="E1872" i="26" s="1"/>
  <c r="H2976" i="26"/>
  <c r="H2705" i="26"/>
  <c r="H1327" i="26"/>
  <c r="H3325" i="26"/>
  <c r="H5192" i="26"/>
  <c r="H4358" i="26"/>
  <c r="I2820" i="26"/>
  <c r="E2820" i="26" s="1"/>
  <c r="I1563" i="26"/>
  <c r="E1563" i="26" s="1"/>
  <c r="I5066" i="26"/>
  <c r="E5066" i="26" s="1"/>
  <c r="I5061" i="26"/>
  <c r="E5061" i="26" s="1"/>
  <c r="H4997" i="26"/>
  <c r="I4534" i="26"/>
  <c r="E4534" i="26" s="1"/>
  <c r="H2710" i="26"/>
  <c r="I6641" i="26"/>
  <c r="E6641" i="26" s="1"/>
  <c r="H3978" i="26"/>
  <c r="I742" i="26"/>
  <c r="E742" i="26" s="1"/>
  <c r="H4897" i="26"/>
  <c r="I2778" i="26"/>
  <c r="E2778" i="26" s="1"/>
  <c r="H3734" i="26"/>
  <c r="H5581" i="26"/>
  <c r="I1752" i="26"/>
  <c r="E1752" i="26" s="1"/>
  <c r="H6752" i="26"/>
  <c r="I1102" i="26"/>
  <c r="E1102" i="26" s="1"/>
  <c r="H4603" i="26"/>
  <c r="I3982" i="26"/>
  <c r="E3982" i="26" s="1"/>
  <c r="H6507" i="26"/>
  <c r="H2933" i="26"/>
  <c r="I6276" i="26"/>
  <c r="E6276" i="26" s="1"/>
  <c r="H5015" i="26"/>
  <c r="I1796" i="26"/>
  <c r="E1796" i="26" s="1"/>
  <c r="I6441" i="26"/>
  <c r="E6441" i="26" s="1"/>
  <c r="H2649" i="26"/>
  <c r="H2594" i="26"/>
  <c r="H2677" i="26"/>
  <c r="H2959" i="26"/>
  <c r="H6244" i="26"/>
  <c r="H3737" i="26"/>
  <c r="H4853" i="26"/>
  <c r="I749" i="26"/>
  <c r="E749" i="26" s="1"/>
  <c r="H5339" i="26"/>
  <c r="H2488" i="26"/>
  <c r="I4066" i="26"/>
  <c r="E4066" i="26" s="1"/>
  <c r="H6772" i="26"/>
  <c r="H6413" i="26"/>
  <c r="H3950" i="26"/>
  <c r="H4577" i="26"/>
  <c r="H5685" i="26"/>
  <c r="H706" i="26"/>
  <c r="H5193" i="26"/>
  <c r="H3153" i="26"/>
  <c r="I2744" i="26"/>
  <c r="E2744" i="26" s="1"/>
  <c r="H3866" i="26"/>
  <c r="H3508" i="26"/>
  <c r="H4790" i="26"/>
  <c r="I6451" i="26"/>
  <c r="E6451" i="26" s="1"/>
  <c r="H5761" i="26"/>
  <c r="H6055" i="26"/>
  <c r="H3087" i="26"/>
  <c r="H2091" i="26"/>
  <c r="H5259" i="26"/>
  <c r="H4801" i="26"/>
  <c r="I5227" i="26"/>
  <c r="E5227" i="26" s="1"/>
  <c r="H6635" i="26"/>
  <c r="H1948" i="26"/>
  <c r="H4766" i="26"/>
  <c r="H6651" i="26"/>
  <c r="H5951" i="26"/>
  <c r="H5332" i="26"/>
  <c r="H4659" i="26"/>
  <c r="I5472" i="26"/>
  <c r="E5472" i="26" s="1"/>
  <c r="H5644" i="26"/>
  <c r="H2944" i="26"/>
  <c r="H1085" i="26"/>
  <c r="H5954" i="26"/>
  <c r="H4714" i="26"/>
  <c r="H5684" i="26"/>
  <c r="I1357" i="26"/>
  <c r="E1357" i="26" s="1"/>
  <c r="H6538" i="26"/>
  <c r="H734" i="26"/>
  <c r="H1227" i="26"/>
  <c r="H794" i="26"/>
  <c r="H260" i="26"/>
  <c r="I958" i="26"/>
  <c r="E958" i="26" s="1"/>
  <c r="H1676" i="26"/>
  <c r="H1388" i="26"/>
  <c r="H1933" i="26"/>
  <c r="H6051" i="26"/>
  <c r="H1915" i="26"/>
  <c r="H2033" i="26"/>
  <c r="H3314" i="26"/>
  <c r="I208" i="26"/>
  <c r="E208" i="26" s="1"/>
  <c r="H1253" i="26"/>
  <c r="I1193" i="26"/>
  <c r="E1193" i="26" s="1"/>
  <c r="H3889" i="26"/>
  <c r="I727" i="26"/>
  <c r="E727" i="26" s="1"/>
  <c r="H4487" i="26"/>
  <c r="H1916" i="26"/>
  <c r="H1829" i="26"/>
  <c r="H1541" i="26"/>
  <c r="I455" i="26"/>
  <c r="E455" i="26" s="1"/>
  <c r="I1258" i="26"/>
  <c r="E1258" i="26" s="1"/>
  <c r="I2028" i="26"/>
  <c r="E2028" i="26" s="1"/>
  <c r="I538" i="26"/>
  <c r="E538" i="26" s="1"/>
  <c r="I4785" i="26"/>
  <c r="E4785" i="26" s="1"/>
  <c r="H5209" i="26"/>
  <c r="I1986" i="26"/>
  <c r="E1986" i="26" s="1"/>
  <c r="H3476" i="26"/>
  <c r="H811" i="26"/>
  <c r="I545" i="26"/>
  <c r="E545" i="26" s="1"/>
  <c r="I1003" i="26"/>
  <c r="E1003" i="26" s="1"/>
  <c r="I1233" i="26"/>
  <c r="E1233" i="26" s="1"/>
  <c r="H4296" i="26"/>
  <c r="H2083" i="26"/>
  <c r="H6714" i="26"/>
  <c r="I1338" i="26"/>
  <c r="E1338" i="26" s="1"/>
  <c r="H4872" i="26"/>
  <c r="I1766" i="26"/>
  <c r="E1766" i="26" s="1"/>
  <c r="I395" i="26"/>
  <c r="E395" i="26" s="1"/>
  <c r="I1496" i="26"/>
  <c r="E1496" i="26" s="1"/>
  <c r="H4871" i="26"/>
  <c r="H3162" i="26"/>
  <c r="H2158" i="26"/>
  <c r="H5667" i="26"/>
  <c r="I1647" i="26"/>
  <c r="E1647" i="26" s="1"/>
  <c r="I215" i="26"/>
  <c r="E215" i="26" s="1"/>
  <c r="I3581" i="26"/>
  <c r="E3581" i="26" s="1"/>
  <c r="H6510" i="26"/>
  <c r="H4222" i="26"/>
  <c r="I1604" i="26"/>
  <c r="E1604" i="26" s="1"/>
  <c r="H579" i="26"/>
  <c r="I2044" i="26"/>
  <c r="E2044" i="26" s="1"/>
  <c r="H2134" i="26"/>
  <c r="H2080" i="26"/>
  <c r="H4528" i="26"/>
  <c r="H2951" i="26"/>
  <c r="H2139" i="26"/>
  <c r="H655" i="26"/>
  <c r="H1689" i="26"/>
  <c r="I2635" i="26"/>
  <c r="E2635" i="26" s="1"/>
  <c r="H5675" i="26"/>
  <c r="H6020" i="26"/>
  <c r="I3366" i="26"/>
  <c r="E3366" i="26" s="1"/>
  <c r="H749" i="26"/>
  <c r="H475" i="26"/>
  <c r="I1270" i="26"/>
  <c r="E1270" i="26" s="1"/>
  <c r="I785" i="26"/>
  <c r="E785" i="26" s="1"/>
  <c r="H1745" i="26"/>
  <c r="H2827" i="26"/>
  <c r="H2096" i="26"/>
  <c r="I1669" i="26"/>
  <c r="E1669" i="26" s="1"/>
  <c r="H1967" i="26"/>
  <c r="I373" i="26"/>
  <c r="E373" i="26" s="1"/>
  <c r="H3635" i="26"/>
  <c r="H767" i="26"/>
  <c r="H4049" i="26"/>
  <c r="H1540" i="26"/>
  <c r="I2237" i="26"/>
  <c r="E2237" i="26" s="1"/>
  <c r="I1637" i="26"/>
  <c r="E1637" i="26" s="1"/>
  <c r="I995" i="26"/>
  <c r="E995" i="26" s="1"/>
  <c r="I667" i="26"/>
  <c r="E667" i="26" s="1"/>
  <c r="H231" i="26"/>
  <c r="I5848" i="26"/>
  <c r="E5848" i="26" s="1"/>
  <c r="I4822" i="26"/>
  <c r="E4822" i="26" s="1"/>
  <c r="I6483" i="26"/>
  <c r="E6483" i="26" s="1"/>
  <c r="I6172" i="26"/>
  <c r="E6172" i="26" s="1"/>
  <c r="I5106" i="26"/>
  <c r="E5106" i="26" s="1"/>
  <c r="I4956" i="26"/>
  <c r="E4956" i="26" s="1"/>
  <c r="I5947" i="26"/>
  <c r="E5947" i="26" s="1"/>
  <c r="I5649" i="26"/>
  <c r="E5649" i="26" s="1"/>
  <c r="I6408" i="26"/>
  <c r="E6408" i="26" s="1"/>
  <c r="I2657" i="26"/>
  <c r="E2657" i="26" s="1"/>
  <c r="I6367" i="26"/>
  <c r="E6367" i="26" s="1"/>
  <c r="I3722" i="26"/>
  <c r="E3722" i="26" s="1"/>
  <c r="I2477" i="26"/>
  <c r="E2477" i="26" s="1"/>
  <c r="I5889" i="26"/>
  <c r="E5889" i="26" s="1"/>
  <c r="H2923" i="26"/>
  <c r="H4412" i="26"/>
  <c r="H3030" i="26"/>
  <c r="H1875" i="26"/>
  <c r="I3297" i="26"/>
  <c r="E3297" i="26" s="1"/>
  <c r="I2496" i="26"/>
  <c r="E2496" i="26" s="1"/>
  <c r="H5577" i="26"/>
  <c r="H4177" i="26"/>
  <c r="I2824" i="26"/>
  <c r="E2824" i="26" s="1"/>
  <c r="H3939" i="26"/>
  <c r="I3263" i="26"/>
  <c r="E3263" i="26" s="1"/>
  <c r="H1061" i="26"/>
  <c r="H5398" i="26"/>
  <c r="H2379" i="26"/>
  <c r="I4603" i="26"/>
  <c r="E4603" i="26" s="1"/>
  <c r="H2920" i="26"/>
  <c r="I2543" i="26"/>
  <c r="E2543" i="26" s="1"/>
  <c r="I5629" i="26"/>
  <c r="E5629" i="26" s="1"/>
  <c r="H6317" i="26"/>
  <c r="H6141" i="26"/>
  <c r="I6089" i="26"/>
  <c r="E6089" i="26" s="1"/>
  <c r="I5676" i="26"/>
  <c r="E5676" i="26" s="1"/>
  <c r="I4555" i="26"/>
  <c r="E4555" i="26" s="1"/>
  <c r="I3487" i="26"/>
  <c r="E3487" i="26" s="1"/>
  <c r="I4086" i="26"/>
  <c r="E4086" i="26" s="1"/>
  <c r="H5088" i="26"/>
  <c r="I5727" i="26"/>
  <c r="E5727" i="26" s="1"/>
  <c r="H5115" i="26"/>
  <c r="I5360" i="26"/>
  <c r="E5360" i="26" s="1"/>
  <c r="I3496" i="26"/>
  <c r="E3496" i="26" s="1"/>
  <c r="I5890" i="26"/>
  <c r="E5890" i="26" s="1"/>
  <c r="I5086" i="26"/>
  <c r="E5086" i="26" s="1"/>
  <c r="H3539" i="26"/>
  <c r="I2339" i="26"/>
  <c r="E2339" i="26" s="1"/>
  <c r="I2613" i="26"/>
  <c r="E2613" i="26" s="1"/>
  <c r="H5857" i="26"/>
  <c r="H5981" i="26"/>
  <c r="H4830" i="26"/>
  <c r="I3479" i="26"/>
  <c r="E3479" i="26" s="1"/>
  <c r="H6639" i="26"/>
  <c r="H5670" i="26"/>
  <c r="H3521" i="26"/>
  <c r="I6699" i="26"/>
  <c r="E6699" i="26" s="1"/>
  <c r="H5738" i="26"/>
  <c r="H5204" i="26"/>
  <c r="H5186" i="26"/>
  <c r="I4287" i="26"/>
  <c r="E4287" i="26" s="1"/>
  <c r="I3471" i="26"/>
  <c r="E3471" i="26" s="1"/>
  <c r="I6611" i="26"/>
  <c r="E6611" i="26" s="1"/>
  <c r="I3303" i="26"/>
  <c r="E3303" i="26" s="1"/>
  <c r="H2893" i="26"/>
  <c r="H3430" i="26"/>
  <c r="H4845" i="26"/>
  <c r="H2565" i="26"/>
  <c r="I5925" i="26"/>
  <c r="E5925" i="26" s="1"/>
  <c r="H6353" i="26"/>
  <c r="I6100" i="26"/>
  <c r="E6100" i="26" s="1"/>
  <c r="H5281" i="26"/>
  <c r="H2268" i="26"/>
  <c r="H6086" i="26"/>
  <c r="H3441" i="26"/>
  <c r="I3768" i="26"/>
  <c r="E3768" i="26" s="1"/>
  <c r="H4479" i="26"/>
  <c r="I5320" i="26"/>
  <c r="E5320" i="26" s="1"/>
  <c r="H4602" i="26"/>
  <c r="H3374" i="26"/>
  <c r="I2552" i="26"/>
  <c r="E2552" i="26" s="1"/>
  <c r="H5651" i="26"/>
  <c r="I6136" i="26"/>
  <c r="E6136" i="26" s="1"/>
  <c r="I6497" i="26"/>
  <c r="E6497" i="26" s="1"/>
  <c r="H6678" i="26"/>
  <c r="H6532" i="26"/>
  <c r="H2797" i="26"/>
  <c r="H6315" i="26"/>
  <c r="H3292" i="26"/>
  <c r="H5348" i="26"/>
  <c r="H6161" i="26"/>
  <c r="H3347" i="26"/>
  <c r="I6466" i="26"/>
  <c r="E6466" i="26" s="1"/>
  <c r="H3999" i="26"/>
  <c r="H4721" i="26"/>
  <c r="H6285" i="26"/>
  <c r="H2119" i="26"/>
  <c r="H1290" i="26"/>
  <c r="H2106" i="26"/>
  <c r="H3527" i="26"/>
  <c r="H4660" i="26"/>
  <c r="H4515" i="26"/>
  <c r="H5732" i="26"/>
  <c r="H5056" i="26"/>
  <c r="H6481" i="26"/>
  <c r="H5434" i="26"/>
  <c r="H4654" i="26"/>
  <c r="I1097" i="26"/>
  <c r="E1097" i="26" s="1"/>
  <c r="H3642" i="26"/>
  <c r="H3980" i="26"/>
  <c r="I4190" i="26"/>
  <c r="E4190" i="26" s="1"/>
  <c r="H5988" i="26"/>
  <c r="I1081" i="26"/>
  <c r="E1081" i="26" s="1"/>
  <c r="I1378" i="26"/>
  <c r="E1378" i="26" s="1"/>
  <c r="H4102" i="26"/>
  <c r="H1722" i="26"/>
  <c r="I1322" i="26"/>
  <c r="E1322" i="26" s="1"/>
  <c r="H6740" i="26"/>
  <c r="I5703" i="26"/>
  <c r="E5703" i="26" s="1"/>
  <c r="H6162" i="26"/>
  <c r="H2358" i="26"/>
  <c r="H2732" i="26"/>
  <c r="H1092" i="26"/>
  <c r="H3335" i="26"/>
  <c r="H1291" i="26"/>
  <c r="H3438" i="26"/>
  <c r="H2572" i="26"/>
  <c r="H3911" i="26"/>
  <c r="H2884" i="26"/>
  <c r="H5336" i="26"/>
  <c r="H1769" i="26"/>
  <c r="H5327" i="26"/>
  <c r="H4666" i="26"/>
  <c r="I3735" i="26"/>
  <c r="E3735" i="26" s="1"/>
  <c r="H2652" i="26"/>
  <c r="I4952" i="26"/>
  <c r="E4952" i="26" s="1"/>
  <c r="H3440" i="26"/>
  <c r="H4278" i="26"/>
  <c r="I1610" i="26"/>
  <c r="E1610" i="26" s="1"/>
  <c r="H5846" i="26"/>
  <c r="I6210" i="26"/>
  <c r="E6210" i="26" s="1"/>
  <c r="H4955" i="26"/>
  <c r="H3096" i="26"/>
  <c r="I770" i="26"/>
  <c r="E770" i="26" s="1"/>
  <c r="I5404" i="26"/>
  <c r="E5404" i="26" s="1"/>
  <c r="I6023" i="26"/>
  <c r="E6023" i="26" s="1"/>
  <c r="H4726" i="26"/>
  <c r="I6104" i="26"/>
  <c r="E6104" i="26" s="1"/>
  <c r="H6593" i="26"/>
  <c r="H6363" i="26"/>
  <c r="H3756" i="26"/>
  <c r="I6538" i="26"/>
  <c r="E6538" i="26" s="1"/>
  <c r="H3061" i="26"/>
  <c r="H6486" i="26"/>
  <c r="H4480" i="26"/>
  <c r="I3317" i="26"/>
  <c r="E3317" i="26" s="1"/>
  <c r="I2135" i="26"/>
  <c r="E2135" i="26" s="1"/>
  <c r="I3703" i="26"/>
  <c r="E3703" i="26" s="1"/>
  <c r="H3041" i="26"/>
  <c r="H5314" i="26"/>
  <c r="H3480" i="26"/>
  <c r="I5603" i="26"/>
  <c r="E5603" i="26" s="1"/>
  <c r="H3598" i="26"/>
  <c r="H6640" i="26"/>
  <c r="I5664" i="26"/>
  <c r="E5664" i="26" s="1"/>
  <c r="H5354" i="26"/>
  <c r="H6568" i="26"/>
  <c r="I5515" i="26"/>
  <c r="E5515" i="26" s="1"/>
  <c r="H6184" i="26"/>
  <c r="I2137" i="26"/>
  <c r="E2137" i="26" s="1"/>
  <c r="H5304" i="26"/>
  <c r="H5656" i="26"/>
  <c r="H6430" i="26"/>
  <c r="H3283" i="26"/>
  <c r="H2446" i="26"/>
  <c r="H2856" i="26"/>
  <c r="H2526" i="26"/>
  <c r="H2913" i="26"/>
  <c r="H1286" i="26"/>
  <c r="H3256" i="26"/>
  <c r="I3247" i="26"/>
  <c r="E3247" i="26" s="1"/>
  <c r="H6577" i="26"/>
  <c r="I2156" i="26"/>
  <c r="E2156" i="26" s="1"/>
  <c r="H5844" i="26"/>
  <c r="H2739" i="26"/>
  <c r="H3594" i="26"/>
  <c r="I2619" i="26"/>
  <c r="E2619" i="26" s="1"/>
  <c r="H2821" i="26"/>
  <c r="H4648" i="26"/>
  <c r="H4424" i="26"/>
  <c r="H3780" i="26"/>
  <c r="H4644" i="26"/>
  <c r="H5873" i="26"/>
  <c r="H2922" i="26"/>
  <c r="H1712" i="26"/>
  <c r="H3652" i="26"/>
  <c r="H3316" i="26"/>
  <c r="H6147" i="26"/>
  <c r="H4696" i="26"/>
  <c r="H5170" i="26"/>
  <c r="I1781" i="26"/>
  <c r="E1781" i="26" s="1"/>
  <c r="H3097" i="26"/>
  <c r="H707" i="26"/>
  <c r="H2100" i="26"/>
  <c r="H2308" i="26"/>
  <c r="H4119" i="26"/>
  <c r="H4836" i="26"/>
  <c r="I2523" i="26"/>
  <c r="E2523" i="26" s="1"/>
  <c r="H4883" i="26"/>
  <c r="H1322" i="26"/>
  <c r="H3456" i="26"/>
  <c r="H1928" i="26"/>
  <c r="H3108" i="26"/>
  <c r="H2782" i="26"/>
  <c r="H6087" i="26"/>
  <c r="H2331" i="26"/>
  <c r="H5859" i="26"/>
  <c r="H4379" i="26"/>
  <c r="H4855" i="26"/>
  <c r="I1306" i="26"/>
  <c r="E1306" i="26" s="1"/>
  <c r="I5219" i="26"/>
  <c r="E5219" i="26" s="1"/>
  <c r="H4553" i="26"/>
  <c r="H2883" i="26"/>
  <c r="H6557" i="26"/>
  <c r="H3941" i="26"/>
  <c r="I1978" i="26"/>
  <c r="E1978" i="26" s="1"/>
  <c r="H4568" i="26"/>
  <c r="H4539" i="26"/>
  <c r="H4908" i="26"/>
  <c r="H2496" i="26"/>
  <c r="H4641" i="26"/>
  <c r="H2939" i="26"/>
  <c r="I3162" i="26"/>
  <c r="E3162" i="26" s="1"/>
  <c r="H3774" i="26"/>
  <c r="I1328" i="26"/>
  <c r="E1328" i="26" s="1"/>
  <c r="I1532" i="26"/>
  <c r="E1532" i="26" s="1"/>
  <c r="H1100" i="26"/>
  <c r="H3914" i="26"/>
  <c r="H6778" i="26"/>
  <c r="H5239" i="26"/>
  <c r="H1138" i="26"/>
  <c r="H900" i="26"/>
  <c r="H2035" i="26"/>
  <c r="H1545" i="26"/>
  <c r="H219" i="26"/>
  <c r="H1257" i="26"/>
  <c r="H2510" i="26"/>
  <c r="H1144" i="26"/>
  <c r="H4542" i="26"/>
  <c r="H735" i="26"/>
  <c r="I2063" i="26"/>
  <c r="E2063" i="26" s="1"/>
  <c r="I2006" i="26"/>
  <c r="E2006" i="26" s="1"/>
  <c r="H228" i="26"/>
  <c r="I963" i="26"/>
  <c r="E963" i="26" s="1"/>
  <c r="H1434" i="26"/>
  <c r="H4262" i="26"/>
  <c r="I1775" i="26"/>
  <c r="E1775" i="26" s="1"/>
  <c r="H5527" i="26"/>
  <c r="H1945" i="26"/>
  <c r="H855" i="26"/>
  <c r="H2008" i="26"/>
  <c r="I235" i="26"/>
  <c r="E235" i="26" s="1"/>
  <c r="H967" i="26"/>
  <c r="H2225" i="26"/>
  <c r="H5343" i="26"/>
  <c r="H4722" i="26"/>
  <c r="I1552" i="26"/>
  <c r="E1552" i="26" s="1"/>
  <c r="H2549" i="26"/>
  <c r="H2590" i="26"/>
  <c r="I840" i="26"/>
  <c r="E840" i="26" s="1"/>
  <c r="I1770" i="26"/>
  <c r="E1770" i="26" s="1"/>
  <c r="H391" i="26"/>
  <c r="I567" i="26"/>
  <c r="E567" i="26" s="1"/>
  <c r="I2005" i="26"/>
  <c r="E2005" i="26" s="1"/>
  <c r="H5768" i="26"/>
  <c r="H2459" i="26"/>
  <c r="I1782" i="26"/>
  <c r="E1782" i="26" s="1"/>
  <c r="H6622" i="26"/>
  <c r="I813" i="26"/>
  <c r="E813" i="26" s="1"/>
  <c r="H427" i="26"/>
  <c r="I4642" i="26"/>
  <c r="E4642" i="26" s="1"/>
  <c r="H2699" i="26"/>
  <c r="I1726" i="26"/>
  <c r="E1726" i="26" s="1"/>
  <c r="H3245" i="26"/>
  <c r="H5584" i="26"/>
  <c r="H1430" i="26"/>
  <c r="I1361" i="26"/>
  <c r="E1361" i="26" s="1"/>
  <c r="H5915" i="26"/>
  <c r="H2403" i="26"/>
  <c r="H709" i="26"/>
  <c r="H4297" i="26"/>
  <c r="I680" i="26"/>
  <c r="E680" i="26" s="1"/>
  <c r="H2072" i="26"/>
  <c r="H1398" i="26"/>
  <c r="I3631" i="26"/>
  <c r="E3631" i="26" s="1"/>
  <c r="H6345" i="26"/>
  <c r="H4952" i="26"/>
  <c r="I1999" i="26"/>
  <c r="E1999" i="26" s="1"/>
  <c r="I363" i="26"/>
  <c r="E363" i="26" s="1"/>
  <c r="I912" i="26"/>
  <c r="E912" i="26" s="1"/>
  <c r="H3661" i="26"/>
  <c r="H3798" i="26"/>
  <c r="H2390" i="26"/>
  <c r="I6019" i="26"/>
  <c r="E6019" i="26" s="1"/>
  <c r="I1182" i="26"/>
  <c r="E1182" i="26" s="1"/>
  <c r="I456" i="26"/>
  <c r="E456" i="26" s="1"/>
  <c r="I988" i="26"/>
  <c r="E988" i="26" s="1"/>
  <c r="I6380" i="26"/>
  <c r="E6380" i="26" s="1"/>
  <c r="I2164" i="26"/>
  <c r="E2164" i="26" s="1"/>
  <c r="H4946" i="26"/>
  <c r="H1579" i="26"/>
  <c r="I1698" i="26"/>
  <c r="E1698" i="26" s="1"/>
  <c r="H1186" i="26"/>
  <c r="I519" i="26"/>
  <c r="E519" i="26" s="1"/>
  <c r="H813" i="26"/>
  <c r="I685" i="26"/>
  <c r="E685" i="26" s="1"/>
  <c r="I1417" i="26"/>
  <c r="E1417" i="26" s="1"/>
  <c r="I2849" i="26"/>
  <c r="E2849" i="26" s="1"/>
  <c r="I5413" i="26"/>
  <c r="E5413" i="26" s="1"/>
  <c r="I6781" i="26"/>
  <c r="E6781" i="26" s="1"/>
  <c r="I5611" i="26"/>
  <c r="E5611" i="26" s="1"/>
  <c r="I6413" i="26"/>
  <c r="E6413" i="26" s="1"/>
  <c r="I2266" i="26"/>
  <c r="E2266" i="26" s="1"/>
  <c r="I6686" i="26"/>
  <c r="E6686" i="26" s="1"/>
  <c r="I4258" i="26"/>
  <c r="E4258" i="26" s="1"/>
  <c r="I5788" i="26"/>
  <c r="E5788" i="26" s="1"/>
  <c r="I5873" i="26"/>
  <c r="E5873" i="26" s="1"/>
  <c r="I6563" i="26"/>
  <c r="E6563" i="26" s="1"/>
  <c r="I3630" i="26"/>
  <c r="E3630" i="26" s="1"/>
  <c r="I5372" i="26"/>
  <c r="E5372" i="26" s="1"/>
  <c r="I4108" i="26"/>
  <c r="E4108" i="26" s="1"/>
  <c r="H6522" i="26"/>
  <c r="H5294" i="26"/>
  <c r="H6148" i="26"/>
  <c r="H4331" i="26"/>
  <c r="H2642" i="26"/>
  <c r="I6357" i="26"/>
  <c r="E6357" i="26" s="1"/>
  <c r="H2609" i="26"/>
  <c r="H2259" i="26"/>
  <c r="I5218" i="26"/>
  <c r="E5218" i="26" s="1"/>
  <c r="H3344" i="26"/>
  <c r="H3081" i="26"/>
  <c r="H3234" i="26"/>
  <c r="H6484" i="26"/>
  <c r="H5983" i="26"/>
  <c r="I4200" i="26"/>
  <c r="E4200" i="26" s="1"/>
  <c r="H2625" i="26"/>
  <c r="I5148" i="26"/>
  <c r="E5148" i="26" s="1"/>
  <c r="H1874" i="26"/>
  <c r="I6137" i="26"/>
  <c r="E6137" i="26" s="1"/>
  <c r="I5763" i="26"/>
  <c r="E5763" i="26" s="1"/>
  <c r="I3699" i="26"/>
  <c r="E3699" i="26" s="1"/>
  <c r="I4768" i="26"/>
  <c r="E4768" i="26" s="1"/>
  <c r="I4830" i="26"/>
  <c r="E4830" i="26" s="1"/>
  <c r="I4410" i="26"/>
  <c r="E4410" i="26" s="1"/>
  <c r="H4896" i="26"/>
  <c r="H6734" i="26"/>
  <c r="I3561" i="26"/>
  <c r="E3561" i="26" s="1"/>
  <c r="I5583" i="26"/>
  <c r="E5583" i="26" s="1"/>
  <c r="H4023" i="26"/>
  <c r="I3897" i="26"/>
  <c r="E3897" i="26" s="1"/>
  <c r="I5845" i="26"/>
  <c r="E5845" i="26" s="1"/>
  <c r="H5368" i="26"/>
  <c r="H6440" i="26"/>
  <c r="H5116" i="26"/>
  <c r="H1878" i="26"/>
  <c r="H2909" i="26"/>
  <c r="I3404" i="26"/>
  <c r="E3404" i="26" s="1"/>
  <c r="H3450" i="26"/>
  <c r="H3543" i="26"/>
  <c r="I2892" i="26"/>
  <c r="E2892" i="26" s="1"/>
  <c r="H5847" i="26"/>
  <c r="H6034" i="26"/>
  <c r="I3847" i="26"/>
  <c r="E3847" i="26" s="1"/>
  <c r="I2969" i="26"/>
  <c r="E2969" i="26" s="1"/>
  <c r="I5756" i="26"/>
  <c r="E5756" i="26" s="1"/>
  <c r="I5269" i="26"/>
  <c r="E5269" i="26" s="1"/>
  <c r="H4092" i="26"/>
  <c r="H1889" i="26"/>
  <c r="I4626" i="26"/>
  <c r="E4626" i="26" s="1"/>
  <c r="H3174" i="26"/>
  <c r="H4253" i="26"/>
  <c r="H2523" i="26"/>
  <c r="H4605" i="26"/>
  <c r="H6309" i="26"/>
  <c r="I6586" i="26"/>
  <c r="E6586" i="26" s="1"/>
  <c r="H1047" i="26"/>
  <c r="I4427" i="26"/>
  <c r="E4427" i="26" s="1"/>
  <c r="H5486" i="26"/>
  <c r="H5168" i="26"/>
  <c r="H5564" i="26"/>
  <c r="H5887" i="26"/>
  <c r="H5534" i="26"/>
  <c r="I5234" i="26"/>
  <c r="E5234" i="26" s="1"/>
  <c r="I2684" i="26"/>
  <c r="E2684" i="26" s="1"/>
  <c r="H6293" i="26"/>
  <c r="I4962" i="26"/>
  <c r="E4962" i="26" s="1"/>
  <c r="H3478" i="26"/>
  <c r="H5136" i="26"/>
  <c r="I5776" i="26"/>
  <c r="E5776" i="26" s="1"/>
  <c r="I6315" i="26"/>
  <c r="E6315" i="26" s="1"/>
  <c r="H6393" i="26"/>
  <c r="I3378" i="26"/>
  <c r="E3378" i="26" s="1"/>
  <c r="H3993" i="26"/>
  <c r="I6749" i="26"/>
  <c r="E6749" i="26" s="1"/>
  <c r="H6135" i="26"/>
  <c r="H2253" i="26"/>
  <c r="I5334" i="26"/>
  <c r="E5334" i="26" s="1"/>
  <c r="H3698" i="26"/>
  <c r="H5282" i="26"/>
  <c r="H6107" i="26"/>
  <c r="H3872" i="26"/>
  <c r="H4157" i="26"/>
  <c r="I771" i="26"/>
  <c r="E771" i="26" s="1"/>
  <c r="H1562" i="26"/>
  <c r="H3919" i="26"/>
  <c r="H4661" i="26"/>
  <c r="H4914" i="26"/>
  <c r="I5909" i="26"/>
  <c r="E5909" i="26" s="1"/>
  <c r="H3207" i="26"/>
  <c r="H4612" i="26"/>
  <c r="H4483" i="26"/>
  <c r="I1288" i="26"/>
  <c r="E1288" i="26" s="1"/>
  <c r="I2104" i="26"/>
  <c r="E2104" i="26" s="1"/>
  <c r="I4198" i="26"/>
  <c r="E4198" i="26" s="1"/>
  <c r="H2552" i="26"/>
  <c r="H3725" i="26"/>
  <c r="H4007" i="26"/>
  <c r="H5021" i="26"/>
  <c r="I2113" i="26"/>
  <c r="E2113" i="26" s="1"/>
  <c r="H6187" i="26"/>
  <c r="H1087" i="26"/>
  <c r="H1052" i="26"/>
  <c r="H1594" i="26"/>
  <c r="H6064" i="26"/>
  <c r="H2480" i="26"/>
  <c r="H2931" i="26"/>
  <c r="H3489" i="26"/>
  <c r="H5812" i="26"/>
  <c r="H1749" i="26"/>
  <c r="I1295" i="26"/>
  <c r="E1295" i="26" s="1"/>
  <c r="I2111" i="26"/>
  <c r="E2111" i="26" s="1"/>
  <c r="H5235" i="26"/>
  <c r="H5016" i="26"/>
  <c r="I5340" i="26"/>
  <c r="E5340" i="26" s="1"/>
  <c r="I5408" i="26"/>
  <c r="E5408" i="26" s="1"/>
  <c r="H4501" i="26"/>
  <c r="H1626" i="26"/>
  <c r="H6418" i="26"/>
  <c r="H6099" i="26"/>
  <c r="H5099" i="26"/>
  <c r="H5982" i="26"/>
  <c r="H6300" i="26"/>
  <c r="H4094" i="26"/>
  <c r="H1311" i="26"/>
  <c r="I2499" i="26"/>
  <c r="E2499" i="26" s="1"/>
  <c r="H1881" i="26"/>
  <c r="H5721" i="26"/>
  <c r="H6221" i="26"/>
  <c r="I4042" i="26"/>
  <c r="E4042" i="26" s="1"/>
  <c r="H1172" i="26"/>
  <c r="H6509" i="26"/>
  <c r="I3882" i="26"/>
  <c r="E3882" i="26" s="1"/>
  <c r="I6151" i="26"/>
  <c r="E6151" i="26" s="1"/>
  <c r="H3729" i="26"/>
  <c r="I4531" i="26"/>
  <c r="E4531" i="26" s="1"/>
  <c r="H4175" i="26"/>
  <c r="H1713" i="26"/>
  <c r="I2974" i="26"/>
  <c r="E2974" i="26" s="1"/>
  <c r="H5855" i="26"/>
  <c r="H3086" i="26"/>
  <c r="H5326" i="26"/>
  <c r="I5818" i="26"/>
  <c r="E5818" i="26" s="1"/>
  <c r="I1373" i="26"/>
  <c r="E1373" i="26" s="1"/>
  <c r="H2672" i="26"/>
  <c r="H5077" i="26"/>
  <c r="H2495" i="26"/>
  <c r="I6205" i="26"/>
  <c r="E6205" i="26" s="1"/>
  <c r="H4325" i="26"/>
  <c r="I6259" i="26"/>
  <c r="E6259" i="26" s="1"/>
  <c r="I714" i="26"/>
  <c r="E714" i="26" s="1"/>
  <c r="I6548" i="26"/>
  <c r="E6548" i="26" s="1"/>
  <c r="H4590" i="26"/>
  <c r="H6603" i="26"/>
  <c r="H3828" i="26"/>
  <c r="H3926" i="26"/>
  <c r="H1619" i="26"/>
  <c r="H3655" i="26"/>
  <c r="H3523" i="26"/>
  <c r="H4625" i="26"/>
  <c r="H5966" i="26"/>
  <c r="H6302" i="26"/>
  <c r="H2861" i="26"/>
  <c r="I1092" i="26"/>
  <c r="E1092" i="26" s="1"/>
  <c r="H4224" i="26"/>
  <c r="H5488" i="26"/>
  <c r="H2670" i="26"/>
  <c r="I5199" i="26"/>
  <c r="E5199" i="26" s="1"/>
  <c r="I5553" i="26"/>
  <c r="E5553" i="26" s="1"/>
  <c r="H5808" i="26"/>
  <c r="H3488" i="26"/>
  <c r="H6594" i="26"/>
  <c r="I3171" i="26"/>
  <c r="E3171" i="26" s="1"/>
  <c r="I2814" i="26"/>
  <c r="E2814" i="26" s="1"/>
  <c r="I5230" i="26"/>
  <c r="E5230" i="26" s="1"/>
  <c r="H4743" i="26"/>
  <c r="H4608" i="26"/>
  <c r="H5268" i="26"/>
  <c r="H6491" i="26"/>
  <c r="H2807" i="26"/>
  <c r="I1717" i="26"/>
  <c r="E1717" i="26" s="1"/>
  <c r="I1114" i="26"/>
  <c r="E1114" i="26" s="1"/>
  <c r="H2354" i="26"/>
  <c r="I4583" i="26"/>
  <c r="E4583" i="26" s="1"/>
  <c r="I5002" i="26"/>
  <c r="E5002" i="26" s="1"/>
  <c r="H3981" i="26"/>
  <c r="I1556" i="26"/>
  <c r="E1556" i="26" s="1"/>
  <c r="H4070" i="26"/>
  <c r="I701" i="26"/>
  <c r="E701" i="26" s="1"/>
  <c r="I1112" i="26"/>
  <c r="E1112" i="26" s="1"/>
  <c r="I1755" i="26"/>
  <c r="E1755" i="26" s="1"/>
  <c r="H4752" i="26"/>
  <c r="H5236" i="26"/>
  <c r="H6259" i="26"/>
  <c r="H2972" i="26"/>
  <c r="H2373" i="26"/>
  <c r="H1971" i="26"/>
  <c r="I724" i="26"/>
  <c r="E724" i="26" s="1"/>
  <c r="H5833" i="26"/>
  <c r="H6006" i="26"/>
  <c r="H3401" i="26"/>
  <c r="H5634" i="26"/>
  <c r="I5915" i="26"/>
  <c r="E5915" i="26" s="1"/>
  <c r="H5976" i="26"/>
  <c r="H5724" i="26"/>
  <c r="I1553" i="26"/>
  <c r="E1553" i="26" s="1"/>
  <c r="H5751" i="26"/>
  <c r="I5811" i="26"/>
  <c r="E5811" i="26" s="1"/>
  <c r="I5522" i="26"/>
  <c r="E5522" i="26" s="1"/>
  <c r="H6738" i="26"/>
  <c r="H3224" i="26"/>
  <c r="H3590" i="26"/>
  <c r="I1630" i="26"/>
  <c r="E1630" i="26" s="1"/>
  <c r="I4638" i="26"/>
  <c r="E4638" i="26" s="1"/>
  <c r="H2351" i="26"/>
  <c r="H4464" i="26"/>
  <c r="H5528" i="26"/>
  <c r="I3387" i="26"/>
  <c r="E3387" i="26" s="1"/>
  <c r="H6516" i="26"/>
  <c r="H2763" i="26"/>
  <c r="H4272" i="26"/>
  <c r="H2145" i="26"/>
  <c r="H1559" i="26"/>
  <c r="H2513" i="26"/>
  <c r="H2348" i="26"/>
  <c r="I3147" i="26"/>
  <c r="E3147" i="26" s="1"/>
  <c r="H1909" i="26"/>
  <c r="I2000" i="26"/>
  <c r="E2000" i="26" s="1"/>
  <c r="I650" i="26"/>
  <c r="E650" i="26" s="1"/>
  <c r="H1230" i="26"/>
  <c r="I2179" i="26"/>
  <c r="E2179" i="26" s="1"/>
  <c r="I421" i="26"/>
  <c r="E421" i="26" s="1"/>
  <c r="H968" i="26"/>
  <c r="I4722" i="26"/>
  <c r="E4722" i="26" s="1"/>
  <c r="H4229" i="26"/>
  <c r="H2696" i="26"/>
  <c r="H764" i="26"/>
  <c r="I1493" i="26"/>
  <c r="E1493" i="26" s="1"/>
  <c r="I829" i="26"/>
  <c r="E829" i="26" s="1"/>
  <c r="H737" i="26"/>
  <c r="H483" i="26"/>
  <c r="H885" i="26"/>
  <c r="H5399" i="26"/>
  <c r="H2426" i="26"/>
  <c r="H4499" i="26"/>
  <c r="I1142" i="26"/>
  <c r="E1142" i="26" s="1"/>
  <c r="I562" i="26"/>
  <c r="E562" i="26" s="1"/>
  <c r="H1832" i="26"/>
  <c r="I1118" i="26"/>
  <c r="E1118" i="26" s="1"/>
  <c r="I330" i="26"/>
  <c r="E330" i="26" s="1"/>
  <c r="I1265" i="26"/>
  <c r="E1265" i="26" s="1"/>
  <c r="H5151" i="26"/>
  <c r="H1911" i="26"/>
  <c r="I1957" i="26"/>
  <c r="E1957" i="26" s="1"/>
  <c r="H4330" i="26"/>
  <c r="H3536" i="26"/>
  <c r="I1460" i="26"/>
  <c r="E1460" i="26" s="1"/>
  <c r="H814" i="26"/>
  <c r="H551" i="26"/>
  <c r="H667" i="26"/>
  <c r="H5717" i="26"/>
  <c r="H3106" i="26"/>
  <c r="H1724" i="26"/>
  <c r="H5711" i="26"/>
  <c r="I5235" i="26"/>
  <c r="E5235" i="26" s="1"/>
  <c r="I1845" i="26"/>
  <c r="E1845" i="26" s="1"/>
  <c r="H1977" i="26"/>
  <c r="H2904" i="26"/>
  <c r="I707" i="26"/>
  <c r="E707" i="26" s="1"/>
  <c r="I752" i="26"/>
  <c r="E752" i="26" s="1"/>
  <c r="H3700" i="26"/>
  <c r="I6018" i="26"/>
  <c r="E6018" i="26" s="1"/>
  <c r="I878" i="26"/>
  <c r="E878" i="26" s="1"/>
  <c r="I818" i="26"/>
  <c r="E818" i="26" s="1"/>
  <c r="H3801" i="26"/>
  <c r="H2311" i="26"/>
  <c r="I1571" i="26"/>
  <c r="E1571" i="26" s="1"/>
  <c r="H2484" i="26"/>
  <c r="I441" i="26"/>
  <c r="E441" i="26" s="1"/>
  <c r="H590" i="26"/>
  <c r="I1671" i="26"/>
  <c r="E1671" i="26" s="1"/>
  <c r="H2826" i="26"/>
  <c r="H2912" i="26"/>
  <c r="I1729" i="26"/>
  <c r="E1729" i="26" s="1"/>
  <c r="H3355" i="26"/>
  <c r="H405" i="26"/>
  <c r="H665" i="26"/>
  <c r="I1760" i="26"/>
  <c r="E1760" i="26" s="1"/>
  <c r="I1330" i="26"/>
  <c r="E1330" i="26" s="1"/>
  <c r="H2438" i="26"/>
  <c r="H1549" i="26"/>
  <c r="I1839" i="26"/>
  <c r="E1839" i="26" s="1"/>
  <c r="H1964" i="26"/>
  <c r="H283" i="26"/>
  <c r="H6260" i="26"/>
  <c r="H4929" i="26"/>
  <c r="H5185" i="26"/>
  <c r="I1365" i="26"/>
  <c r="E1365" i="26" s="1"/>
  <c r="H594" i="26"/>
  <c r="I2218" i="26"/>
  <c r="E2218" i="26" s="1"/>
  <c r="H1598" i="26"/>
  <c r="I1555" i="26"/>
  <c r="E1555" i="26" s="1"/>
  <c r="I4921" i="26"/>
  <c r="E4921" i="26" s="1"/>
  <c r="H5386" i="26"/>
  <c r="I1599" i="26"/>
  <c r="E1599" i="26" s="1"/>
  <c r="H670" i="26"/>
  <c r="H1449" i="26"/>
  <c r="I505" i="26"/>
  <c r="E505" i="26" s="1"/>
  <c r="H2161" i="26"/>
  <c r="I2818" i="26"/>
  <c r="E2818" i="26" s="1"/>
  <c r="H132" i="26"/>
  <c r="I3775" i="26"/>
  <c r="E3775" i="26" s="1"/>
  <c r="I5897" i="26"/>
  <c r="E5897" i="26" s="1"/>
  <c r="I4570" i="26"/>
  <c r="E4570" i="26" s="1"/>
  <c r="I3229" i="26"/>
  <c r="E3229" i="26" s="1"/>
  <c r="I1891" i="26"/>
  <c r="E1891" i="26" s="1"/>
  <c r="I6610" i="26"/>
  <c r="E6610" i="26" s="1"/>
  <c r="H6102" i="26"/>
  <c r="I5911" i="26"/>
  <c r="E5911" i="26" s="1"/>
  <c r="I3549" i="26"/>
  <c r="E3549" i="26" s="1"/>
  <c r="I3780" i="26"/>
  <c r="E3780" i="26" s="1"/>
  <c r="I6338" i="26"/>
  <c r="E6338" i="26" s="1"/>
  <c r="H3606" i="26"/>
  <c r="H6619" i="26"/>
  <c r="I6589" i="26"/>
  <c r="E6589" i="26" s="1"/>
  <c r="H4181" i="26"/>
  <c r="H3432" i="26"/>
  <c r="H5681" i="26"/>
  <c r="I3759" i="26"/>
  <c r="E3759" i="26" s="1"/>
  <c r="H1046" i="26"/>
  <c r="I4216" i="26"/>
  <c r="E4216" i="26" s="1"/>
  <c r="I4333" i="26"/>
  <c r="E4333" i="26" s="1"/>
  <c r="H3568" i="26"/>
  <c r="H1498" i="26"/>
  <c r="I4943" i="26"/>
  <c r="E4943" i="26" s="1"/>
  <c r="H5650" i="26"/>
  <c r="I3539" i="26"/>
  <c r="E3539" i="26" s="1"/>
  <c r="H1054" i="26"/>
  <c r="H2518" i="26"/>
  <c r="H3515" i="26"/>
  <c r="I3505" i="26"/>
  <c r="E3505" i="26" s="1"/>
  <c r="H2980" i="26"/>
  <c r="I2630" i="26"/>
  <c r="E2630" i="26" s="1"/>
  <c r="I2405" i="26"/>
  <c r="E2405" i="26" s="1"/>
  <c r="H4482" i="26"/>
  <c r="H5870" i="26"/>
  <c r="H5002" i="26"/>
  <c r="I2874" i="26"/>
  <c r="E2874" i="26" s="1"/>
  <c r="H3360" i="26"/>
  <c r="I2459" i="26"/>
  <c r="E2459" i="26" s="1"/>
  <c r="I3566" i="26"/>
  <c r="E3566" i="26" s="1"/>
  <c r="H3070" i="26"/>
  <c r="I5505" i="26"/>
  <c r="E5505" i="26" s="1"/>
  <c r="H4694" i="26"/>
  <c r="I3543" i="26"/>
  <c r="E3543" i="26" s="1"/>
  <c r="I4662" i="26"/>
  <c r="E4662" i="26" s="1"/>
  <c r="I4278" i="26"/>
  <c r="E4278" i="26" s="1"/>
  <c r="I4989" i="26"/>
  <c r="E4989" i="26" s="1"/>
  <c r="H6124" i="26"/>
  <c r="H4304" i="26"/>
  <c r="H2477" i="26"/>
  <c r="I2475" i="26"/>
  <c r="E2475" i="26" s="1"/>
  <c r="I5903" i="26"/>
  <c r="E5903" i="26" s="1"/>
  <c r="H4458" i="26"/>
  <c r="H3444" i="26"/>
  <c r="I5182" i="26"/>
  <c r="E5182" i="26" s="1"/>
  <c r="I3691" i="26"/>
  <c r="E3691" i="26" s="1"/>
  <c r="H2838" i="26"/>
  <c r="H6656" i="26"/>
  <c r="I5642" i="26"/>
  <c r="E5642" i="26" s="1"/>
  <c r="I2586" i="26"/>
  <c r="E2586" i="26" s="1"/>
  <c r="H6774" i="26"/>
  <c r="I3413" i="26"/>
  <c r="E3413" i="26" s="1"/>
  <c r="H5028" i="26"/>
  <c r="H5729" i="26"/>
  <c r="H6731" i="26"/>
  <c r="I2526" i="26"/>
  <c r="E2526" i="26" s="1"/>
  <c r="I4899" i="26"/>
  <c r="E4899" i="26" s="1"/>
  <c r="I3233" i="26"/>
  <c r="E3233" i="26" s="1"/>
  <c r="H3213" i="26"/>
  <c r="H6273" i="26"/>
  <c r="H3495" i="26"/>
  <c r="H3431" i="26"/>
  <c r="I4920" i="26"/>
  <c r="E4920" i="26" s="1"/>
  <c r="I2353" i="26"/>
  <c r="E2353" i="26" s="1"/>
  <c r="I4012" i="26"/>
  <c r="E4012" i="26" s="1"/>
  <c r="H2978" i="26"/>
  <c r="H3883" i="26"/>
  <c r="H6471" i="26"/>
  <c r="H2304" i="26"/>
  <c r="I3754" i="26"/>
  <c r="E3754" i="26" s="1"/>
  <c r="I4284" i="26"/>
  <c r="E4284" i="26" s="1"/>
  <c r="I4114" i="26"/>
  <c r="E4114" i="26" s="1"/>
  <c r="I3169" i="26"/>
  <c r="E3169" i="26" s="1"/>
  <c r="H3518" i="26"/>
  <c r="H3410" i="26"/>
  <c r="I2502" i="26"/>
  <c r="E2502" i="26" s="1"/>
  <c r="I2800" i="26"/>
  <c r="E2800" i="26" s="1"/>
  <c r="H2256" i="26"/>
  <c r="H2478" i="26"/>
  <c r="H5181" i="26"/>
  <c r="I6764" i="26"/>
  <c r="E6764" i="26" s="1"/>
  <c r="H2819" i="26"/>
  <c r="H6231" i="26"/>
  <c r="I1720" i="26"/>
  <c r="E1720" i="26" s="1"/>
  <c r="H2007" i="26"/>
  <c r="H2501" i="26"/>
  <c r="H6263" i="26"/>
  <c r="H4454" i="26"/>
  <c r="H2787" i="26"/>
  <c r="H4765" i="26"/>
  <c r="I1519" i="26"/>
  <c r="E1519" i="26" s="1"/>
  <c r="H4438" i="26"/>
  <c r="H4701" i="26"/>
  <c r="I1316" i="26"/>
  <c r="E1316" i="26" s="1"/>
  <c r="H4941" i="26"/>
  <c r="I5779" i="26"/>
  <c r="E5779" i="26" s="1"/>
  <c r="I2677" i="26"/>
  <c r="E2677" i="26" s="1"/>
  <c r="H3987" i="26"/>
  <c r="H3300" i="26"/>
  <c r="H4611" i="26"/>
  <c r="I1972" i="26"/>
  <c r="E1972" i="26" s="1"/>
  <c r="H5787" i="26"/>
  <c r="H5455" i="26"/>
  <c r="H4886" i="26"/>
  <c r="I792" i="26"/>
  <c r="E792" i="26" s="1"/>
  <c r="H2560" i="26"/>
  <c r="H4376" i="26"/>
  <c r="H3500" i="26"/>
  <c r="H3903" i="26"/>
  <c r="H5635" i="26"/>
  <c r="I1364" i="26"/>
  <c r="E1364" i="26" s="1"/>
  <c r="H1737" i="26"/>
  <c r="H3649" i="26"/>
  <c r="I2100" i="26"/>
  <c r="E2100" i="26" s="1"/>
  <c r="H4188" i="26"/>
  <c r="H4576" i="26"/>
  <c r="H6283" i="26"/>
  <c r="H3034" i="26"/>
  <c r="H3945" i="26"/>
  <c r="H4240" i="26"/>
  <c r="I4526" i="26"/>
  <c r="E4526" i="26" s="1"/>
  <c r="H5823" i="26"/>
  <c r="H2994" i="26"/>
  <c r="H4288" i="26"/>
  <c r="H6519" i="26"/>
  <c r="H1126" i="26"/>
  <c r="I3748" i="26"/>
  <c r="E3748" i="26" s="1"/>
  <c r="H5796" i="26"/>
  <c r="I2653" i="26"/>
  <c r="E2653" i="26" s="1"/>
  <c r="H6327" i="26"/>
  <c r="I3906" i="26"/>
  <c r="E3906" i="26" s="1"/>
  <c r="H5443" i="26"/>
  <c r="H2834" i="26"/>
  <c r="H3132" i="26"/>
  <c r="H3613" i="26"/>
  <c r="H4799" i="26"/>
  <c r="I3116" i="26"/>
  <c r="E3116" i="26" s="1"/>
  <c r="H4548" i="26"/>
  <c r="I1947" i="26"/>
  <c r="E1947" i="26" s="1"/>
  <c r="I5118" i="26"/>
  <c r="E5118" i="26" s="1"/>
  <c r="H4984" i="26"/>
  <c r="H5157" i="26"/>
  <c r="H6209" i="26"/>
  <c r="H3291" i="26"/>
  <c r="H3165" i="26"/>
  <c r="H3942" i="26"/>
  <c r="I4593" i="26"/>
  <c r="E4593" i="26" s="1"/>
  <c r="H3886" i="26"/>
  <c r="I4145" i="26"/>
  <c r="E4145" i="26" s="1"/>
  <c r="H5876" i="26"/>
  <c r="H4773" i="26"/>
  <c r="I1574" i="26"/>
  <c r="E1574" i="26" s="1"/>
  <c r="H6301" i="26"/>
  <c r="H2808" i="26"/>
  <c r="H4460" i="26"/>
  <c r="I2823" i="26"/>
  <c r="E2823" i="26" s="1"/>
  <c r="H4948" i="26"/>
  <c r="H3354" i="26"/>
  <c r="H4813" i="26"/>
  <c r="I5323" i="26"/>
  <c r="E5323" i="26" s="1"/>
  <c r="I5883" i="26"/>
  <c r="E5883" i="26" s="1"/>
  <c r="H6583" i="26"/>
  <c r="H5590" i="26"/>
  <c r="H4912" i="26"/>
  <c r="I1748" i="26"/>
  <c r="E1748" i="26" s="1"/>
  <c r="H2693" i="26"/>
  <c r="H3608" i="26"/>
  <c r="H6647" i="26"/>
  <c r="H3758" i="26"/>
  <c r="H6264" i="26"/>
  <c r="I6744" i="26"/>
  <c r="E6744" i="26" s="1"/>
  <c r="H3611" i="26"/>
  <c r="H2803" i="26"/>
  <c r="H3762" i="26"/>
  <c r="I2576" i="26"/>
  <c r="E2576" i="26" s="1"/>
  <c r="I2290" i="26"/>
  <c r="E2290" i="26" s="1"/>
  <c r="I4687" i="26"/>
  <c r="E4687" i="26" s="1"/>
  <c r="H5244" i="26"/>
  <c r="H5897" i="26"/>
  <c r="H6779" i="26"/>
  <c r="I2095" i="26"/>
  <c r="E2095" i="26" s="1"/>
  <c r="H5437" i="26"/>
  <c r="H2728" i="26"/>
  <c r="H3507" i="26"/>
  <c r="H5020" i="26"/>
  <c r="H3690" i="26"/>
  <c r="H5964" i="26"/>
  <c r="H1754" i="26"/>
  <c r="I5411" i="26"/>
  <c r="E5411" i="26" s="1"/>
  <c r="H1317" i="26"/>
  <c r="H3059" i="26"/>
  <c r="H779" i="26"/>
  <c r="I4711" i="26"/>
  <c r="E4711" i="26" s="1"/>
  <c r="H2919" i="26"/>
  <c r="H4444" i="26"/>
  <c r="H4012" i="26"/>
  <c r="H1296" i="26"/>
  <c r="I2001" i="26"/>
  <c r="E2001" i="26" s="1"/>
  <c r="H4913" i="26"/>
  <c r="H5161" i="26"/>
  <c r="I6275" i="26"/>
  <c r="E6275" i="26" s="1"/>
  <c r="H4549" i="26"/>
  <c r="H6688" i="26"/>
  <c r="I2313" i="26"/>
  <c r="E2313" i="26" s="1"/>
  <c r="H6140" i="26"/>
  <c r="H3455" i="26"/>
  <c r="H4582" i="26"/>
  <c r="H5292" i="26"/>
  <c r="H1880" i="26"/>
  <c r="H5124" i="26"/>
  <c r="I3979" i="26"/>
  <c r="E3979" i="26" s="1"/>
  <c r="H4003" i="26"/>
  <c r="H5816" i="26"/>
  <c r="H6003" i="26"/>
  <c r="I3932" i="26"/>
  <c r="E3932" i="26" s="1"/>
  <c r="H6110" i="26"/>
  <c r="I2094" i="26"/>
  <c r="E2094" i="26" s="1"/>
  <c r="H2544" i="26"/>
  <c r="H6169" i="26"/>
  <c r="I6698" i="26"/>
  <c r="E6698" i="26" s="1"/>
  <c r="H3050" i="26"/>
  <c r="H1716" i="26"/>
  <c r="H796" i="26"/>
  <c r="H2815" i="26"/>
  <c r="H5419" i="26"/>
  <c r="H4593" i="26"/>
  <c r="H3754" i="26"/>
  <c r="I730" i="26"/>
  <c r="E730" i="26" s="1"/>
  <c r="H2910" i="26"/>
  <c r="H402" i="26"/>
  <c r="I1497" i="26"/>
  <c r="E1497" i="26" s="1"/>
  <c r="H830" i="26"/>
  <c r="H2121" i="26"/>
  <c r="H328" i="26"/>
  <c r="I3017" i="26"/>
  <c r="E3017" i="26" s="1"/>
  <c r="H4667" i="26"/>
  <c r="H1705" i="26"/>
  <c r="I1169" i="26"/>
  <c r="E1169" i="26" s="1"/>
  <c r="H1000" i="26"/>
  <c r="H1860" i="26"/>
  <c r="I804" i="26"/>
  <c r="E804" i="26" s="1"/>
  <c r="H286" i="26"/>
  <c r="H973" i="26"/>
  <c r="H2294" i="26"/>
  <c r="H2273" i="26"/>
  <c r="H2082" i="26"/>
  <c r="I2173" i="26"/>
  <c r="E2173" i="26" s="1"/>
  <c r="I660" i="26"/>
  <c r="E660" i="26" s="1"/>
  <c r="I1234" i="26"/>
  <c r="E1234" i="26" s="1"/>
  <c r="H2012" i="26"/>
  <c r="H312" i="26"/>
  <c r="I633" i="26"/>
  <c r="E633" i="26" s="1"/>
  <c r="H6139" i="26"/>
  <c r="H4770" i="26"/>
  <c r="H1152" i="26"/>
  <c r="H6654" i="26"/>
  <c r="I712" i="26"/>
  <c r="E712" i="26" s="1"/>
  <c r="H605" i="26"/>
  <c r="H842" i="26"/>
  <c r="H1980" i="26"/>
  <c r="I517" i="26"/>
  <c r="E517" i="26" s="1"/>
  <c r="H5774" i="26"/>
  <c r="H1708" i="26"/>
  <c r="I1958" i="26"/>
  <c r="E1958" i="26" s="1"/>
  <c r="H3484" i="26"/>
  <c r="I5675" i="26"/>
  <c r="E5675" i="26" s="1"/>
  <c r="H874" i="26"/>
  <c r="H1647" i="26"/>
  <c r="I5047" i="26"/>
  <c r="E5047" i="26" s="1"/>
  <c r="I5174" i="26"/>
  <c r="E5174" i="26" s="1"/>
  <c r="H780" i="26"/>
  <c r="H5427" i="26"/>
  <c r="I1090" i="26"/>
  <c r="E1090" i="26" s="1"/>
  <c r="H615" i="26"/>
  <c r="I846" i="26"/>
  <c r="E846" i="26" s="1"/>
  <c r="H2557" i="26"/>
  <c r="H2596" i="26"/>
  <c r="H1599" i="26"/>
  <c r="H4310" i="26"/>
  <c r="H3192" i="26"/>
  <c r="H690" i="26"/>
  <c r="I869" i="26"/>
  <c r="E869" i="26" s="1"/>
  <c r="I710" i="26"/>
  <c r="E710" i="26" s="1"/>
  <c r="H5350" i="26"/>
  <c r="I1587" i="26"/>
  <c r="E1587" i="26" s="1"/>
  <c r="H4712" i="26"/>
  <c r="I1605" i="26"/>
  <c r="E1605" i="26" s="1"/>
  <c r="H351" i="26"/>
  <c r="H4754" i="26"/>
  <c r="H2162" i="26"/>
  <c r="H4771" i="26"/>
  <c r="I1954" i="26"/>
  <c r="E1954" i="26" s="1"/>
  <c r="H864" i="26"/>
  <c r="H1397" i="26"/>
  <c r="H344" i="26"/>
  <c r="H6553" i="26"/>
  <c r="H6782" i="26"/>
  <c r="H1546" i="26"/>
  <c r="I6582" i="26"/>
  <c r="E6582" i="26" s="1"/>
  <c r="H694" i="26"/>
  <c r="H1459" i="26"/>
  <c r="H1189" i="26"/>
  <c r="H6145" i="26"/>
  <c r="H2704" i="26"/>
  <c r="I1290" i="26"/>
  <c r="E1290" i="26" s="1"/>
  <c r="I1627" i="26"/>
  <c r="E1627" i="26" s="1"/>
  <c r="I539" i="26"/>
  <c r="E539" i="26" s="1"/>
  <c r="I581" i="26"/>
  <c r="E581" i="26" s="1"/>
  <c r="R166" i="29"/>
  <c r="Q166" i="29"/>
  <c r="P166" i="29" s="1"/>
  <c r="Q146" i="29"/>
  <c r="P146" i="29" s="1"/>
  <c r="R146" i="29"/>
  <c r="R126" i="29"/>
  <c r="Q126" i="29"/>
  <c r="P126" i="29" s="1"/>
  <c r="Q106" i="29"/>
  <c r="P106" i="29" s="1"/>
  <c r="R106" i="29"/>
  <c r="R86" i="29"/>
  <c r="Q86" i="29"/>
  <c r="P86" i="29" s="1"/>
  <c r="Q62" i="29"/>
  <c r="P62" i="29" s="1"/>
  <c r="R62" i="29"/>
  <c r="Q64" i="29"/>
  <c r="P64" i="29" s="1"/>
  <c r="R64" i="29"/>
  <c r="I3004" i="26"/>
  <c r="E3004" i="26" s="1"/>
  <c r="H1981" i="26"/>
  <c r="H2149" i="26"/>
  <c r="H1275" i="26"/>
  <c r="H1678" i="26"/>
  <c r="H4732" i="26"/>
  <c r="I1238" i="26"/>
  <c r="E1238" i="26" s="1"/>
  <c r="H1960" i="26"/>
  <c r="I577" i="26"/>
  <c r="E577" i="26" s="1"/>
  <c r="I1165" i="26"/>
  <c r="E1165" i="26" s="1"/>
  <c r="I410" i="26"/>
  <c r="E410" i="26" s="1"/>
  <c r="H2026" i="26"/>
  <c r="I396" i="26"/>
  <c r="E396" i="26" s="1"/>
  <c r="I1589" i="26"/>
  <c r="E1589" i="26" s="1"/>
  <c r="I1668" i="26"/>
  <c r="E1668" i="26" s="1"/>
  <c r="I580" i="26"/>
  <c r="E580" i="26" s="1"/>
  <c r="H1707" i="26"/>
  <c r="H3163" i="26"/>
  <c r="I1359" i="26"/>
  <c r="E1359" i="26" s="1"/>
  <c r="H2620" i="26"/>
  <c r="I3039" i="26"/>
  <c r="E3039" i="26" s="1"/>
  <c r="I913" i="26"/>
  <c r="E913" i="26" s="1"/>
  <c r="H1974" i="26"/>
  <c r="H1671" i="26"/>
  <c r="H3958" i="26"/>
  <c r="H3367" i="26"/>
  <c r="I1122" i="26"/>
  <c r="E1122" i="26" s="1"/>
  <c r="H730" i="26"/>
  <c r="H839" i="26"/>
  <c r="H937" i="26"/>
  <c r="H497" i="26"/>
  <c r="H1784" i="26"/>
  <c r="I847" i="26"/>
  <c r="E847" i="26" s="1"/>
  <c r="H1560" i="26"/>
  <c r="H3997" i="26"/>
  <c r="I1132" i="26"/>
  <c r="E1132" i="26" s="1"/>
  <c r="H1572" i="26"/>
  <c r="I1213" i="26"/>
  <c r="E1213" i="26" s="1"/>
  <c r="H586" i="26"/>
  <c r="I268" i="26"/>
  <c r="E268" i="26" s="1"/>
  <c r="I779" i="26"/>
  <c r="E779" i="26" s="1"/>
  <c r="I1849" i="26"/>
  <c r="E1849" i="26" s="1"/>
  <c r="H1935" i="26"/>
  <c r="H5172" i="26"/>
  <c r="H1343" i="26"/>
  <c r="H1086" i="26"/>
  <c r="H2044" i="26"/>
  <c r="I582" i="26"/>
  <c r="E582" i="26" s="1"/>
  <c r="H200" i="26"/>
  <c r="I776" i="26"/>
  <c r="E776" i="26" s="1"/>
  <c r="H1847" i="26"/>
  <c r="I1558" i="26"/>
  <c r="E1558" i="26" s="1"/>
  <c r="H4651" i="26"/>
  <c r="H1341" i="26"/>
  <c r="H5330" i="26"/>
  <c r="H1422" i="26"/>
  <c r="I923" i="26"/>
  <c r="E923" i="26" s="1"/>
  <c r="H345" i="26"/>
  <c r="H1604" i="26"/>
  <c r="I843" i="26"/>
  <c r="E843" i="26" s="1"/>
  <c r="H1312" i="26"/>
  <c r="H5770" i="26"/>
  <c r="I1337" i="26"/>
  <c r="E1337" i="26" s="1"/>
  <c r="H3243" i="26"/>
  <c r="I613" i="26"/>
  <c r="E613" i="26" s="1"/>
  <c r="H947" i="26"/>
  <c r="H1696" i="26"/>
  <c r="I1865" i="26"/>
  <c r="E1865" i="26" s="1"/>
  <c r="H5930" i="26"/>
  <c r="I1751" i="26"/>
  <c r="E1751" i="26" s="1"/>
  <c r="I3922" i="26"/>
  <c r="E3922" i="26" s="1"/>
  <c r="H5734" i="26"/>
  <c r="H1031" i="26"/>
  <c r="H1805" i="26"/>
  <c r="H1610" i="26"/>
  <c r="H5621" i="26"/>
  <c r="H4884" i="26"/>
  <c r="H844" i="26"/>
  <c r="I423" i="26"/>
  <c r="E423" i="26" s="1"/>
  <c r="I2123" i="26"/>
  <c r="E2123" i="26" s="1"/>
  <c r="H6194" i="26"/>
  <c r="H2027" i="26"/>
  <c r="I1937" i="26"/>
  <c r="E1937" i="26" s="1"/>
  <c r="H2093" i="26"/>
  <c r="I839" i="26"/>
  <c r="E839" i="26" s="1"/>
  <c r="I1759" i="26"/>
  <c r="E1759" i="26" s="1"/>
  <c r="I5759" i="26"/>
  <c r="E5759" i="26" s="1"/>
  <c r="H1811" i="26"/>
  <c r="H3180" i="26"/>
  <c r="I3678" i="26"/>
  <c r="E3678" i="26" s="1"/>
  <c r="I1257" i="26"/>
  <c r="E1257" i="26" s="1"/>
  <c r="H1156" i="26"/>
  <c r="H6058" i="26"/>
  <c r="H249" i="26"/>
  <c r="H3334" i="26"/>
  <c r="H4924" i="26"/>
  <c r="H580" i="26"/>
  <c r="H2146" i="26"/>
  <c r="H3509" i="26"/>
  <c r="H596" i="26"/>
  <c r="I305" i="26"/>
  <c r="E305" i="26" s="1"/>
  <c r="H6719" i="26"/>
  <c r="H3555" i="26"/>
  <c r="H908" i="26"/>
  <c r="H424" i="26"/>
  <c r="H1786" i="26"/>
  <c r="H1617" i="26"/>
  <c r="H1003" i="26"/>
  <c r="H490" i="26"/>
  <c r="I5276" i="26"/>
  <c r="E5276" i="26" s="1"/>
  <c r="H789" i="26"/>
  <c r="I4387" i="26"/>
  <c r="E4387" i="26" s="1"/>
  <c r="H3931" i="26"/>
  <c r="I2777" i="26"/>
  <c r="E2777" i="26" s="1"/>
  <c r="H6504" i="26"/>
  <c r="I5582" i="26"/>
  <c r="E5582" i="26" s="1"/>
  <c r="H6470" i="26"/>
  <c r="H5552" i="26"/>
  <c r="H4783" i="26"/>
  <c r="H4972" i="26"/>
  <c r="I4148" i="26"/>
  <c r="E4148" i="26" s="1"/>
  <c r="I4998" i="26"/>
  <c r="E4998" i="26" s="1"/>
  <c r="I4276" i="26"/>
  <c r="E4276" i="26" s="1"/>
  <c r="I5539" i="26"/>
  <c r="E5539" i="26" s="1"/>
  <c r="H1822" i="26"/>
  <c r="I1974" i="26"/>
  <c r="E1974" i="26" s="1"/>
  <c r="H3716" i="26"/>
  <c r="I1088" i="26"/>
  <c r="E1088" i="26" s="1"/>
  <c r="I223" i="26"/>
  <c r="E223" i="26" s="1"/>
  <c r="H1917" i="26"/>
  <c r="H5806" i="26"/>
  <c r="I1280" i="26"/>
  <c r="E1280" i="26" s="1"/>
  <c r="H3630" i="26"/>
  <c r="H3490" i="26"/>
  <c r="H2707" i="26"/>
  <c r="H4862" i="26"/>
  <c r="H197" i="26"/>
  <c r="H927" i="26"/>
  <c r="I894" i="26"/>
  <c r="E894" i="26" s="1"/>
  <c r="H411" i="26"/>
  <c r="R165" i="29"/>
  <c r="Q165" i="29"/>
  <c r="P165" i="29" s="1"/>
  <c r="Q145" i="29"/>
  <c r="P145" i="29" s="1"/>
  <c r="R145" i="29"/>
  <c r="R125" i="29"/>
  <c r="Q125" i="29"/>
  <c r="P125" i="29" s="1"/>
  <c r="Q105" i="29"/>
  <c r="P105" i="29" s="1"/>
  <c r="R105" i="29"/>
  <c r="R85" i="29"/>
  <c r="Q85" i="29"/>
  <c r="P85" i="29" s="1"/>
  <c r="R65" i="29"/>
  <c r="Q65" i="29"/>
  <c r="P65" i="29" s="1"/>
  <c r="R37" i="29"/>
  <c r="Q37" i="29"/>
  <c r="P37" i="29" s="1"/>
  <c r="H2729" i="26"/>
  <c r="I2053" i="26"/>
  <c r="E2053" i="26" s="1"/>
  <c r="H1404" i="26"/>
  <c r="H995" i="26"/>
  <c r="H637" i="26"/>
  <c r="I1995" i="26"/>
  <c r="E1995" i="26" s="1"/>
  <c r="I584" i="26"/>
  <c r="E584" i="26" s="1"/>
  <c r="H1821" i="26"/>
  <c r="H459" i="26"/>
  <c r="I1662" i="26"/>
  <c r="E1662" i="26" s="1"/>
  <c r="I292" i="26"/>
  <c r="E292" i="26" s="1"/>
  <c r="H1849" i="26"/>
  <c r="I989" i="26"/>
  <c r="E989" i="26" s="1"/>
  <c r="H323" i="26"/>
  <c r="H807" i="26"/>
  <c r="I1694" i="26"/>
  <c r="E1694" i="26" s="1"/>
  <c r="H2738" i="26"/>
  <c r="H5098" i="26"/>
  <c r="I1745" i="26"/>
  <c r="E1745" i="26" s="1"/>
  <c r="H5103" i="26"/>
  <c r="H4348" i="26"/>
  <c r="H857" i="26"/>
  <c r="I657" i="26"/>
  <c r="E657" i="26" s="1"/>
  <c r="H456" i="26"/>
  <c r="I1187" i="26"/>
  <c r="E1187" i="26" s="1"/>
  <c r="H5448" i="26"/>
  <c r="H4621" i="26"/>
  <c r="H716" i="26"/>
  <c r="I4599" i="26"/>
  <c r="E4599" i="26" s="1"/>
  <c r="H1185" i="26"/>
  <c r="H2242" i="26"/>
  <c r="H1027" i="26"/>
  <c r="H500" i="26"/>
  <c r="H1406" i="26"/>
  <c r="I2079" i="26"/>
  <c r="E2079" i="26" s="1"/>
  <c r="H6743" i="26"/>
  <c r="H712" i="26"/>
  <c r="H5733" i="26"/>
  <c r="I2188" i="26"/>
  <c r="E2188" i="26" s="1"/>
  <c r="H2071" i="26"/>
  <c r="I1023" i="26"/>
  <c r="E1023" i="26" s="1"/>
  <c r="H366" i="26"/>
  <c r="I1192" i="26"/>
  <c r="E1192" i="26" s="1"/>
  <c r="H1906" i="26"/>
  <c r="H1064" i="26"/>
  <c r="I1715" i="26"/>
  <c r="E1715" i="26" s="1"/>
  <c r="H2416" i="26"/>
  <c r="H1639" i="26"/>
  <c r="I2070" i="26"/>
  <c r="E2070" i="26" s="1"/>
  <c r="I672" i="26"/>
  <c r="E672" i="26" s="1"/>
  <c r="H257" i="26"/>
  <c r="H2193" i="26"/>
  <c r="H3924" i="26"/>
  <c r="H2483" i="26"/>
  <c r="I1085" i="26"/>
  <c r="E1085" i="26" s="1"/>
  <c r="H5177" i="26"/>
  <c r="H1809" i="26"/>
  <c r="I861" i="26"/>
  <c r="E861" i="26" s="1"/>
  <c r="H1012" i="26"/>
  <c r="H285" i="26"/>
  <c r="H2192" i="26"/>
  <c r="H5191" i="26"/>
  <c r="H2966" i="26"/>
  <c r="I2087" i="26"/>
  <c r="E2087" i="26" s="1"/>
  <c r="H3675" i="26"/>
  <c r="H1250" i="26"/>
  <c r="I1244" i="26"/>
  <c r="E1244" i="26" s="1"/>
  <c r="I2214" i="26"/>
  <c r="E2214" i="26" s="1"/>
  <c r="H832" i="26"/>
  <c r="H2520" i="26"/>
  <c r="I2097" i="26"/>
  <c r="E2097" i="26" s="1"/>
  <c r="H2173" i="26"/>
  <c r="H4485" i="26"/>
  <c r="I932" i="26"/>
  <c r="E932" i="26" s="1"/>
  <c r="I735" i="26"/>
  <c r="E735" i="26" s="1"/>
  <c r="I2129" i="26"/>
  <c r="E2129" i="26" s="1"/>
  <c r="H1939" i="26"/>
  <c r="I3104" i="26"/>
  <c r="E3104" i="26" s="1"/>
  <c r="I1191" i="26"/>
  <c r="E1191" i="26" s="1"/>
  <c r="H329" i="26"/>
  <c r="I1304" i="26"/>
  <c r="E1304" i="26" s="1"/>
  <c r="H3807" i="26"/>
  <c r="I2157" i="26"/>
  <c r="E2157" i="26" s="1"/>
  <c r="I1909" i="26"/>
  <c r="E1909" i="26" s="1"/>
  <c r="H5313" i="26"/>
  <c r="I2027" i="26"/>
  <c r="E2027" i="26" s="1"/>
  <c r="I1936" i="26"/>
  <c r="E1936" i="26" s="1"/>
  <c r="H1535" i="26"/>
  <c r="I1129" i="26"/>
  <c r="E1129" i="26" s="1"/>
  <c r="I1787" i="26"/>
  <c r="E1787" i="26" s="1"/>
  <c r="H5120" i="26"/>
  <c r="H1432" i="26"/>
  <c r="I1128" i="26"/>
  <c r="E1128" i="26" s="1"/>
  <c r="H5349" i="26"/>
  <c r="I646" i="26"/>
  <c r="E646" i="26" s="1"/>
  <c r="H2619" i="26"/>
  <c r="H2359" i="26"/>
  <c r="I1237" i="26"/>
  <c r="E1237" i="26" s="1"/>
  <c r="H3249" i="26"/>
  <c r="H5505" i="26"/>
  <c r="H1869" i="26"/>
  <c r="H675" i="26"/>
  <c r="I1172" i="26"/>
  <c r="E1172" i="26" s="1"/>
  <c r="H5512" i="26"/>
  <c r="I1232" i="26"/>
  <c r="E1232" i="26" s="1"/>
  <c r="I641" i="26"/>
  <c r="E641" i="26" s="1"/>
  <c r="H1757" i="26"/>
  <c r="H2965" i="26"/>
  <c r="H1493" i="26"/>
  <c r="I283" i="26"/>
  <c r="E283" i="26" s="1"/>
  <c r="I2774" i="26"/>
  <c r="E2774" i="26" s="1"/>
  <c r="H4822" i="26"/>
  <c r="I1369" i="26"/>
  <c r="E1369" i="26" s="1"/>
  <c r="H2414" i="26"/>
  <c r="H2568" i="26"/>
  <c r="H2431" i="26"/>
  <c r="H4628" i="26"/>
  <c r="H3195" i="26"/>
  <c r="H2127" i="26"/>
  <c r="H2624" i="26"/>
  <c r="I5601" i="26"/>
  <c r="E5601" i="26" s="1"/>
  <c r="H3584" i="26"/>
  <c r="H4939" i="26"/>
  <c r="H3763" i="26"/>
  <c r="I6295" i="26"/>
  <c r="E6295" i="26" s="1"/>
  <c r="Q130" i="29"/>
  <c r="P130" i="29" s="1"/>
  <c r="R130" i="29"/>
  <c r="Q58" i="29"/>
  <c r="P58" i="29" s="1"/>
  <c r="R58" i="29"/>
  <c r="I1446" i="26"/>
  <c r="E1446" i="26" s="1"/>
  <c r="I244" i="26"/>
  <c r="E244" i="26" s="1"/>
  <c r="H2223" i="26"/>
  <c r="H2231" i="26"/>
  <c r="I1855" i="26"/>
  <c r="E1855" i="26" s="1"/>
  <c r="H850" i="26"/>
  <c r="H1788" i="26"/>
  <c r="H2009" i="26"/>
  <c r="H3421" i="26"/>
  <c r="H1861" i="26"/>
  <c r="H225" i="26"/>
  <c r="I603" i="26"/>
  <c r="E603" i="26" s="1"/>
  <c r="I5525" i="26"/>
  <c r="E5525" i="26" s="1"/>
  <c r="I197" i="26"/>
  <c r="E197" i="26" s="1"/>
  <c r="H262" i="26"/>
  <c r="I985" i="26"/>
  <c r="E985" i="26" s="1"/>
  <c r="H333" i="26"/>
  <c r="Q164" i="29"/>
  <c r="P164" i="29" s="1"/>
  <c r="R164" i="29"/>
  <c r="Q144" i="29"/>
  <c r="P144" i="29" s="1"/>
  <c r="R144" i="29"/>
  <c r="R124" i="29"/>
  <c r="Q124" i="29"/>
  <c r="P124" i="29" s="1"/>
  <c r="R104" i="29"/>
  <c r="Q104" i="29"/>
  <c r="P104" i="29" s="1"/>
  <c r="R84" i="29"/>
  <c r="Q84" i="29"/>
  <c r="P84" i="29" s="1"/>
  <c r="R41" i="29"/>
  <c r="Q41" i="29"/>
  <c r="P41" i="29" s="1"/>
  <c r="R55" i="29"/>
  <c r="Q55" i="29"/>
  <c r="P55" i="29" s="1"/>
  <c r="H685" i="26"/>
  <c r="I929" i="26"/>
  <c r="E929" i="26" s="1"/>
  <c r="H2053" i="26"/>
  <c r="H396" i="26"/>
  <c r="H1551" i="26"/>
  <c r="H1655" i="26"/>
  <c r="H683" i="26"/>
  <c r="H352" i="26"/>
  <c r="H1173" i="26"/>
  <c r="H1691" i="26"/>
  <c r="H2237" i="26"/>
  <c r="H887" i="26"/>
  <c r="I896" i="26"/>
  <c r="E896" i="26" s="1"/>
  <c r="I217" i="26"/>
  <c r="E217" i="26" s="1"/>
  <c r="I1126" i="26"/>
  <c r="E1126" i="26" s="1"/>
  <c r="I1208" i="26"/>
  <c r="E1208" i="26" s="1"/>
  <c r="I4479" i="26"/>
  <c r="E4479" i="26" s="1"/>
  <c r="H5094" i="26"/>
  <c r="H1300" i="26"/>
  <c r="H2855" i="26"/>
  <c r="I2334" i="26"/>
  <c r="E2334" i="26" s="1"/>
  <c r="H2036" i="26"/>
  <c r="H1280" i="26"/>
  <c r="I209" i="26"/>
  <c r="E209" i="26" s="1"/>
  <c r="H1762" i="26"/>
  <c r="H5096" i="26"/>
  <c r="I784" i="26"/>
  <c r="E784" i="26" s="1"/>
  <c r="H5291" i="26"/>
  <c r="I6155" i="26"/>
  <c r="E6155" i="26" s="1"/>
  <c r="H2135" i="26"/>
  <c r="H1424" i="26"/>
  <c r="H926" i="26"/>
  <c r="I240" i="26"/>
  <c r="E240" i="26" s="1"/>
  <c r="I1608" i="26"/>
  <c r="E1608" i="26" s="1"/>
  <c r="H3564" i="26"/>
  <c r="H4925" i="26"/>
  <c r="H4324" i="26"/>
  <c r="H3951" i="26"/>
  <c r="H2131" i="26"/>
  <c r="H1209" i="26"/>
  <c r="H575" i="26"/>
  <c r="I220" i="26"/>
  <c r="E220" i="26" s="1"/>
  <c r="I772" i="26"/>
  <c r="E772" i="26" s="1"/>
  <c r="I3633" i="26"/>
  <c r="E3633" i="26" s="1"/>
  <c r="H3223" i="26"/>
  <c r="H5883" i="26"/>
  <c r="H2296" i="26"/>
  <c r="H750" i="26"/>
  <c r="I1837" i="26"/>
  <c r="E1837" i="26" s="1"/>
  <c r="H570" i="26"/>
  <c r="H531" i="26"/>
  <c r="H1143" i="26"/>
  <c r="H4772" i="26"/>
  <c r="H4860" i="26"/>
  <c r="H4187" i="26"/>
  <c r="I2387" i="26"/>
  <c r="E2387" i="26" s="1"/>
  <c r="I2126" i="26"/>
  <c r="E2126" i="26" s="1"/>
  <c r="H2209" i="26"/>
  <c r="I566" i="26"/>
  <c r="E566" i="26" s="1"/>
  <c r="I216" i="26"/>
  <c r="E216" i="26" s="1"/>
  <c r="H1597" i="26"/>
  <c r="H2887" i="26"/>
  <c r="H6157" i="26"/>
  <c r="H6422" i="26"/>
  <c r="H2870" i="26"/>
  <c r="I842" i="26"/>
  <c r="E842" i="26" s="1"/>
  <c r="H810" i="26"/>
  <c r="I1640" i="26"/>
  <c r="E1640" i="26" s="1"/>
  <c r="I805" i="26"/>
  <c r="E805" i="26" s="1"/>
  <c r="H6722" i="26"/>
  <c r="H2423" i="26"/>
  <c r="H2124" i="26"/>
  <c r="H3387" i="26"/>
  <c r="H2240" i="26"/>
  <c r="H495" i="26"/>
  <c r="H1553" i="26"/>
  <c r="I1706" i="26"/>
  <c r="E1706" i="26" s="1"/>
  <c r="H1726" i="26"/>
  <c r="I1145" i="26"/>
  <c r="E1145" i="26" s="1"/>
  <c r="H599" i="26"/>
  <c r="H3959" i="26"/>
  <c r="H1539" i="26"/>
  <c r="H448" i="26"/>
  <c r="H6324" i="26"/>
  <c r="H5347" i="26"/>
  <c r="H1983" i="26"/>
  <c r="H698" i="26"/>
  <c r="H2567" i="26"/>
  <c r="H221" i="26"/>
  <c r="H2005" i="26"/>
  <c r="H5704" i="26"/>
  <c r="I1404" i="26"/>
  <c r="E1404" i="26" s="1"/>
  <c r="I1557" i="26"/>
  <c r="E1557" i="26" s="1"/>
  <c r="I2816" i="26"/>
  <c r="E2816" i="26" s="1"/>
  <c r="I898" i="26"/>
  <c r="E898" i="26" s="1"/>
  <c r="H5749" i="26"/>
  <c r="H2656" i="26"/>
  <c r="H1835" i="26"/>
  <c r="H3027" i="26"/>
  <c r="H3216" i="26"/>
  <c r="I2216" i="26"/>
  <c r="E2216" i="26" s="1"/>
  <c r="H921" i="26"/>
  <c r="H4764" i="26"/>
  <c r="I3453" i="26"/>
  <c r="E3453" i="26" s="1"/>
  <c r="H1830" i="26"/>
  <c r="H1482" i="26"/>
  <c r="I1101" i="26"/>
  <c r="E1101" i="26" s="1"/>
  <c r="I703" i="26"/>
  <c r="E703" i="26" s="1"/>
  <c r="H1857" i="26"/>
  <c r="I636" i="26"/>
  <c r="E636" i="26" s="1"/>
  <c r="I1564" i="26"/>
  <c r="E1564" i="26" s="1"/>
  <c r="I1393" i="26"/>
  <c r="E1393" i="26" s="1"/>
  <c r="H2482" i="26"/>
  <c r="H5102" i="26"/>
  <c r="H6358" i="26"/>
  <c r="H4733" i="26"/>
  <c r="H3184" i="26"/>
  <c r="H4111" i="26"/>
  <c r="H4353" i="26"/>
  <c r="H2805" i="26"/>
  <c r="I5172" i="26"/>
  <c r="E5172" i="26" s="1"/>
  <c r="H4037" i="26"/>
  <c r="I3510" i="26"/>
  <c r="E3510" i="26" s="1"/>
  <c r="H6339" i="26"/>
  <c r="I3083" i="26"/>
  <c r="E3083" i="26" s="1"/>
  <c r="I2060" i="26"/>
  <c r="E2060" i="26" s="1"/>
  <c r="H1844" i="26"/>
  <c r="H1800" i="26"/>
  <c r="I1087" i="26"/>
  <c r="E1087" i="26" s="1"/>
  <c r="H523" i="26"/>
  <c r="I526" i="26"/>
  <c r="E526" i="26" s="1"/>
  <c r="H5574" i="26"/>
  <c r="I3306" i="26"/>
  <c r="E3306" i="26" s="1"/>
  <c r="H2226" i="26"/>
  <c r="H2097" i="26"/>
  <c r="H3881" i="26"/>
  <c r="I4629" i="26"/>
  <c r="E4629" i="26" s="1"/>
  <c r="H2039" i="26"/>
  <c r="H1370" i="26"/>
  <c r="H1620" i="26"/>
  <c r="I638" i="26"/>
  <c r="E638" i="26" s="1"/>
  <c r="H3217" i="26"/>
  <c r="I693" i="26"/>
  <c r="E693" i="26" s="1"/>
  <c r="H5615" i="26"/>
  <c r="H5678" i="26"/>
  <c r="H1770" i="26"/>
  <c r="I4110" i="26"/>
  <c r="E4110" i="26" s="1"/>
  <c r="I4464" i="26"/>
  <c r="E4464" i="26" s="1"/>
  <c r="H1389" i="26"/>
  <c r="I414" i="26"/>
  <c r="E414" i="26" s="1"/>
  <c r="H1991" i="26"/>
  <c r="Q183" i="29"/>
  <c r="P183" i="29" s="1"/>
  <c r="R183" i="29"/>
  <c r="Q163" i="29"/>
  <c r="P163" i="29" s="1"/>
  <c r="R163" i="29"/>
  <c r="R143" i="29"/>
  <c r="Q143" i="29"/>
  <c r="P143" i="29" s="1"/>
  <c r="R123" i="29"/>
  <c r="Q123" i="29"/>
  <c r="P123" i="29" s="1"/>
  <c r="Q103" i="29"/>
  <c r="P103" i="29" s="1"/>
  <c r="R103" i="29"/>
  <c r="R83" i="29"/>
  <c r="Q83" i="29"/>
  <c r="P83" i="29" s="1"/>
  <c r="R53" i="29"/>
  <c r="Q53" i="29"/>
  <c r="P53" i="29" s="1"/>
  <c r="R33" i="29"/>
  <c r="Q33" i="29"/>
  <c r="P33" i="29" s="1"/>
  <c r="H1454" i="26"/>
  <c r="I481" i="26"/>
  <c r="E481" i="26" s="1"/>
  <c r="H1258" i="26"/>
  <c r="H545" i="26"/>
  <c r="H1421" i="26"/>
  <c r="H1684" i="26"/>
  <c r="H476" i="26"/>
  <c r="H35" i="26"/>
  <c r="I889" i="26"/>
  <c r="E889" i="26" s="1"/>
  <c r="I924" i="26"/>
  <c r="E924" i="26" s="1"/>
  <c r="H1123" i="26"/>
  <c r="I976" i="26"/>
  <c r="E976" i="26" s="1"/>
  <c r="H1682" i="26"/>
  <c r="I978" i="26"/>
  <c r="E978" i="26" s="1"/>
  <c r="H454" i="26"/>
  <c r="I2183" i="26"/>
  <c r="E2183" i="26" s="1"/>
  <c r="H6711" i="26"/>
  <c r="H1602" i="26"/>
  <c r="H5388" i="26"/>
  <c r="H5587" i="26"/>
  <c r="H387" i="26"/>
  <c r="H1386" i="26"/>
  <c r="I1230" i="26"/>
  <c r="E1230" i="26" s="1"/>
  <c r="H991" i="26"/>
  <c r="H332" i="26"/>
  <c r="H3974" i="26"/>
  <c r="H1342" i="26"/>
  <c r="H3239" i="26"/>
  <c r="H1301" i="26"/>
  <c r="I550" i="26"/>
  <c r="E550" i="26" s="1"/>
  <c r="I2016" i="26"/>
  <c r="E2016" i="26" s="1"/>
  <c r="H1693" i="26"/>
  <c r="I1017" i="26"/>
  <c r="E1017" i="26" s="1"/>
  <c r="H1318" i="26"/>
  <c r="H5219" i="26"/>
  <c r="I1171" i="26"/>
  <c r="E1171" i="26" s="1"/>
  <c r="H5413" i="26"/>
  <c r="I3238" i="26"/>
  <c r="E3238" i="26" s="1"/>
  <c r="I224" i="26"/>
  <c r="E224" i="26" s="1"/>
  <c r="I1810" i="26"/>
  <c r="E1810" i="26" s="1"/>
  <c r="H1692" i="26"/>
  <c r="I1012" i="26"/>
  <c r="E1012" i="26" s="1"/>
  <c r="H1936" i="26"/>
  <c r="H4442" i="26"/>
  <c r="H1382" i="26"/>
  <c r="H4421" i="26"/>
  <c r="I4650" i="26"/>
  <c r="E4650" i="26" s="1"/>
  <c r="I214" i="26"/>
  <c r="E214" i="26" s="1"/>
  <c r="I2013" i="26"/>
  <c r="E2013" i="26" s="1"/>
  <c r="H2066" i="26"/>
  <c r="H660" i="26"/>
  <c r="H1102" i="26"/>
  <c r="H4724" i="26"/>
  <c r="H1167" i="26"/>
  <c r="I6646" i="26"/>
  <c r="E6646" i="26" s="1"/>
  <c r="H4615" i="26"/>
  <c r="I361" i="26"/>
  <c r="E361" i="26" s="1"/>
  <c r="H1391" i="26"/>
  <c r="H1445" i="26"/>
  <c r="H1001" i="26"/>
  <c r="H2103" i="26"/>
  <c r="H2398" i="26"/>
  <c r="I1380" i="26"/>
  <c r="E1380" i="26" s="1"/>
  <c r="I1942" i="26"/>
  <c r="E1942" i="26" s="1"/>
  <c r="H760" i="26"/>
  <c r="I814" i="26"/>
  <c r="E814" i="26" s="1"/>
  <c r="I1965" i="26"/>
  <c r="E1965" i="26" s="1"/>
  <c r="I750" i="26"/>
  <c r="E750" i="26" s="1"/>
  <c r="I2119" i="26"/>
  <c r="E2119" i="26" s="1"/>
  <c r="H4155" i="26"/>
  <c r="H3079" i="26"/>
  <c r="I1910" i="26"/>
  <c r="E1910" i="26" s="1"/>
  <c r="I3912" i="26"/>
  <c r="E3912" i="26" s="1"/>
  <c r="H1954" i="26"/>
  <c r="H367" i="26"/>
  <c r="H4459" i="26"/>
  <c r="H3802" i="26"/>
  <c r="H1538" i="26"/>
  <c r="I530" i="26"/>
  <c r="E530" i="26" s="1"/>
  <c r="H867" i="26"/>
  <c r="H3353" i="26"/>
  <c r="H4054" i="26"/>
  <c r="H546" i="26"/>
  <c r="H2449" i="26"/>
  <c r="H5405" i="26"/>
  <c r="H275" i="26"/>
  <c r="I5527" i="26"/>
  <c r="E5527" i="26" s="1"/>
  <c r="I4125" i="26"/>
  <c r="E4125" i="26" s="1"/>
  <c r="H1820" i="26"/>
  <c r="I2147" i="26"/>
  <c r="E2147" i="26" s="1"/>
  <c r="I4311" i="26"/>
  <c r="E4311" i="26" s="1"/>
  <c r="H1357" i="26"/>
  <c r="H5060" i="26"/>
  <c r="H5290" i="26"/>
  <c r="I1684" i="26"/>
  <c r="E1684" i="26" s="1"/>
  <c r="H1797" i="26"/>
  <c r="H2472" i="26"/>
  <c r="H956" i="26"/>
  <c r="H5418" i="26"/>
  <c r="H3095" i="26"/>
  <c r="H1396" i="26"/>
  <c r="H1862" i="26"/>
  <c r="H4906" i="26"/>
  <c r="H5480" i="26"/>
  <c r="H1798" i="26"/>
  <c r="I1226" i="26"/>
  <c r="E1226" i="26" s="1"/>
  <c r="H3617" i="26"/>
  <c r="H1511" i="26"/>
  <c r="I2035" i="26"/>
  <c r="E2035" i="26" s="1"/>
  <c r="H891" i="26"/>
  <c r="H3726" i="26"/>
  <c r="H358" i="26"/>
  <c r="H5078" i="26"/>
  <c r="H3202" i="26"/>
  <c r="H6225" i="26"/>
  <c r="I1705" i="26"/>
  <c r="E1705" i="26" s="1"/>
  <c r="H1978" i="26"/>
  <c r="H2671" i="26"/>
  <c r="H4436" i="26"/>
  <c r="I6387" i="26"/>
  <c r="E6387" i="26" s="1"/>
  <c r="I5371" i="26"/>
  <c r="E5371" i="26" s="1"/>
  <c r="I6564" i="26"/>
  <c r="E6564" i="26" s="1"/>
  <c r="I3729" i="26"/>
  <c r="E3729" i="26" s="1"/>
  <c r="H5396" i="26"/>
  <c r="I6208" i="26"/>
  <c r="E6208" i="26" s="1"/>
  <c r="I4763" i="26"/>
  <c r="E4763" i="26" s="1"/>
  <c r="I880" i="26"/>
  <c r="E880" i="26" s="1"/>
  <c r="H334" i="26"/>
  <c r="I2031" i="26"/>
  <c r="E2031" i="26" s="1"/>
  <c r="R182" i="29"/>
  <c r="Q182" i="29"/>
  <c r="P182" i="29" s="1"/>
  <c r="Q162" i="29"/>
  <c r="P162" i="29" s="1"/>
  <c r="R162" i="29"/>
  <c r="R142" i="29"/>
  <c r="Q142" i="29"/>
  <c r="P142" i="29" s="1"/>
  <c r="Q122" i="29"/>
  <c r="P122" i="29" s="1"/>
  <c r="R122" i="29"/>
  <c r="Q102" i="29"/>
  <c r="P102" i="29" s="1"/>
  <c r="R102" i="29"/>
  <c r="R82" i="29"/>
  <c r="Q82" i="29"/>
  <c r="P82" i="29" s="1"/>
  <c r="R34" i="29"/>
  <c r="Q34" i="29"/>
  <c r="P34" i="29" s="1"/>
  <c r="R49" i="29"/>
  <c r="Q49" i="29"/>
  <c r="P49" i="29" s="1"/>
  <c r="H2635" i="26"/>
  <c r="H1461" i="26"/>
  <c r="H969" i="26"/>
  <c r="H1771" i="26"/>
  <c r="I592" i="26"/>
  <c r="E592" i="26" s="1"/>
  <c r="I1275" i="26"/>
  <c r="E1275" i="26" s="1"/>
  <c r="H826" i="26"/>
  <c r="I256" i="26"/>
  <c r="E256" i="26" s="1"/>
  <c r="H1029" i="26"/>
  <c r="H806" i="26"/>
  <c r="I200" i="26"/>
  <c r="E200" i="26" s="1"/>
  <c r="H1196" i="26"/>
  <c r="H1263" i="26"/>
  <c r="I219" i="26"/>
  <c r="E219" i="26" s="1"/>
  <c r="H2118" i="26"/>
  <c r="I4933" i="26"/>
  <c r="E4933" i="26" s="1"/>
  <c r="I2120" i="26"/>
  <c r="E2120" i="26" s="1"/>
  <c r="H3561" i="26"/>
  <c r="H3804" i="26"/>
  <c r="I201" i="26"/>
  <c r="E201" i="26" s="1"/>
  <c r="H3416" i="26"/>
  <c r="I1829" i="26"/>
  <c r="E1829" i="26" s="1"/>
  <c r="I1273" i="26"/>
  <c r="E1273" i="26" s="1"/>
  <c r="H506" i="26"/>
  <c r="I5878" i="26"/>
  <c r="E5878" i="26" s="1"/>
  <c r="H725" i="26"/>
  <c r="H3365" i="26"/>
  <c r="H5588" i="26"/>
  <c r="H264" i="26"/>
  <c r="H2128" i="26"/>
  <c r="I1665" i="26"/>
  <c r="E1665" i="26" s="1"/>
  <c r="H915" i="26"/>
  <c r="I1908" i="26"/>
  <c r="E1908" i="26" s="1"/>
  <c r="I2833" i="26"/>
  <c r="E2833" i="26" s="1"/>
  <c r="H1975" i="26"/>
  <c r="I1952" i="26"/>
  <c r="E1952" i="26" s="1"/>
  <c r="H6455" i="26"/>
  <c r="I202" i="26"/>
  <c r="E202" i="26" s="1"/>
  <c r="I1336" i="26"/>
  <c r="E1336" i="26" s="1"/>
  <c r="I2040" i="26"/>
  <c r="E2040" i="26" s="1"/>
  <c r="H564" i="26"/>
  <c r="H700" i="26"/>
  <c r="H6072" i="26"/>
  <c r="I2144" i="26"/>
  <c r="E2144" i="26" s="1"/>
  <c r="H742" i="26"/>
  <c r="H3586" i="26"/>
  <c r="H213" i="26"/>
  <c r="H1330" i="26"/>
  <c r="I1206" i="26"/>
  <c r="E1206" i="26" s="1"/>
  <c r="H1495" i="26"/>
  <c r="I1074" i="26"/>
  <c r="E1074" i="26" s="1"/>
  <c r="H5969" i="26"/>
  <c r="H1767" i="26"/>
  <c r="H1110" i="26"/>
  <c r="I2540" i="26"/>
  <c r="E2540" i="26" s="1"/>
  <c r="H527" i="26"/>
  <c r="H1112" i="26"/>
  <c r="H1416" i="26"/>
  <c r="H1492" i="26"/>
  <c r="H4384" i="26"/>
  <c r="H2651" i="26"/>
  <c r="I1971" i="26"/>
  <c r="E1971" i="26" s="1"/>
  <c r="H4649" i="26"/>
  <c r="H980" i="26"/>
  <c r="H276" i="26"/>
  <c r="H463" i="26"/>
  <c r="I271" i="26"/>
  <c r="E271" i="26" s="1"/>
  <c r="I408" i="26"/>
  <c r="E408" i="26" s="1"/>
  <c r="I1989" i="26"/>
  <c r="E1989" i="26" s="1"/>
  <c r="H3254" i="26"/>
  <c r="H2985" i="26"/>
  <c r="I1242" i="26"/>
  <c r="E1242" i="26" s="1"/>
  <c r="H247" i="26"/>
  <c r="I951" i="26"/>
  <c r="E951" i="26" s="1"/>
  <c r="H5594" i="26"/>
  <c r="H6265" i="26"/>
  <c r="H2876" i="26"/>
  <c r="I308" i="26"/>
  <c r="E308" i="26" s="1"/>
  <c r="H2046" i="26"/>
  <c r="H3626" i="26"/>
  <c r="H2604" i="26"/>
  <c r="I666" i="26"/>
  <c r="E666" i="26" s="1"/>
  <c r="I1575" i="26"/>
  <c r="E1575" i="26" s="1"/>
  <c r="I1884" i="26"/>
  <c r="E1884" i="26" s="1"/>
  <c r="H368" i="26"/>
  <c r="H6121" i="26"/>
  <c r="I1291" i="26"/>
  <c r="E1291" i="26" s="1"/>
  <c r="H791" i="26"/>
  <c r="H739" i="26"/>
  <c r="H3459" i="26"/>
  <c r="I383" i="26"/>
  <c r="E383" i="26" s="1"/>
  <c r="I2004" i="26"/>
  <c r="E2004" i="26" s="1"/>
  <c r="I4709" i="26"/>
  <c r="E4709" i="26" s="1"/>
  <c r="I1655" i="26"/>
  <c r="E1655" i="26" s="1"/>
  <c r="H765" i="26"/>
  <c r="I3672" i="26"/>
  <c r="E3672" i="26" s="1"/>
  <c r="I895" i="26"/>
  <c r="E895" i="26" s="1"/>
  <c r="H5784" i="26"/>
  <c r="H4122" i="26"/>
  <c r="I2132" i="26"/>
  <c r="E2132" i="26" s="1"/>
  <c r="I359" i="26"/>
  <c r="E359" i="26" s="1"/>
  <c r="H6665" i="26"/>
  <c r="H6427" i="26"/>
  <c r="H2392" i="26"/>
  <c r="H2199" i="26"/>
  <c r="H3209" i="26"/>
  <c r="H5769" i="26"/>
  <c r="H2000" i="26"/>
  <c r="I2227" i="26"/>
  <c r="E2227" i="26" s="1"/>
  <c r="H4317" i="26"/>
  <c r="H1483" i="26"/>
  <c r="H1119" i="26"/>
  <c r="H6476" i="26"/>
  <c r="H6681" i="26"/>
  <c r="H6472" i="26"/>
  <c r="H2285" i="26"/>
  <c r="H3643" i="26"/>
  <c r="H4546" i="26"/>
  <c r="H4108" i="26"/>
  <c r="I3010" i="26"/>
  <c r="E3010" i="26" s="1"/>
  <c r="I5791" i="26"/>
  <c r="E5791" i="26" s="1"/>
  <c r="H3060" i="26"/>
  <c r="I4691" i="26"/>
  <c r="E4691" i="26" s="1"/>
  <c r="I4547" i="26"/>
  <c r="E4547" i="26" s="1"/>
  <c r="Z103" i="19"/>
  <c r="I2150" i="26"/>
  <c r="E2150" i="26" s="1"/>
  <c r="I293" i="26"/>
  <c r="E293" i="26" s="1"/>
  <c r="H649" i="26"/>
  <c r="I2229" i="26"/>
  <c r="E2229" i="26" s="1"/>
  <c r="R181" i="29"/>
  <c r="Q181" i="29"/>
  <c r="P181" i="29" s="1"/>
  <c r="Q161" i="29"/>
  <c r="P161" i="29" s="1"/>
  <c r="R161" i="29"/>
  <c r="R141" i="29"/>
  <c r="Q141" i="29"/>
  <c r="P141" i="29" s="1"/>
  <c r="Q121" i="29"/>
  <c r="P121" i="29" s="1"/>
  <c r="R121" i="29"/>
  <c r="Q101" i="29"/>
  <c r="P101" i="29" s="1"/>
  <c r="R101" i="29"/>
  <c r="R81" i="29"/>
  <c r="Q81" i="29"/>
  <c r="P81" i="29" s="1"/>
  <c r="Q45" i="29"/>
  <c r="P45" i="29" s="1"/>
  <c r="R45" i="29"/>
  <c r="Q63" i="29"/>
  <c r="P63" i="29" s="1"/>
  <c r="R63" i="29"/>
  <c r="H912" i="26"/>
  <c r="I1368" i="26"/>
  <c r="E1368" i="26" s="1"/>
  <c r="H464" i="26"/>
  <c r="H2023" i="26"/>
  <c r="I340" i="26"/>
  <c r="E340" i="26" s="1"/>
  <c r="I649" i="26"/>
  <c r="E649" i="26" s="1"/>
  <c r="H3946" i="26"/>
  <c r="I2148" i="26"/>
  <c r="E2148" i="26" s="1"/>
  <c r="I452" i="26"/>
  <c r="E452" i="26" s="1"/>
  <c r="H1423" i="26"/>
  <c r="I523" i="26"/>
  <c r="E523" i="26" s="1"/>
  <c r="H2160" i="26"/>
  <c r="I1223" i="26"/>
  <c r="E1223" i="26" s="1"/>
  <c r="I967" i="26"/>
  <c r="E967" i="26" s="1"/>
  <c r="I447" i="26"/>
  <c r="E447" i="26" s="1"/>
  <c r="H3020" i="26"/>
  <c r="I1921" i="26"/>
  <c r="E1921" i="26" s="1"/>
  <c r="H5535" i="26"/>
  <c r="H5920" i="26"/>
  <c r="I954" i="26"/>
  <c r="E954" i="26" s="1"/>
  <c r="H336" i="26"/>
  <c r="H1379" i="26"/>
  <c r="H1439" i="26"/>
  <c r="I635" i="26"/>
  <c r="E635" i="26" s="1"/>
  <c r="I1791" i="26"/>
  <c r="E1791" i="26" s="1"/>
  <c r="I4411" i="26"/>
  <c r="E4411" i="26" s="1"/>
  <c r="H2360" i="26"/>
  <c r="H2587" i="26"/>
  <c r="H978" i="26"/>
  <c r="H548" i="26"/>
  <c r="I1180" i="26"/>
  <c r="E1180" i="26" s="1"/>
  <c r="H1233" i="26"/>
  <c r="H5022" i="26"/>
  <c r="H6130" i="26"/>
  <c r="I2117" i="26"/>
  <c r="E2117" i="26" s="1"/>
  <c r="H5450" i="26"/>
  <c r="I4901" i="26"/>
  <c r="E4901" i="26" s="1"/>
  <c r="I974" i="26"/>
  <c r="E974" i="26" s="1"/>
  <c r="I231" i="26"/>
  <c r="E231" i="26" s="1"/>
  <c r="I1178" i="26"/>
  <c r="E1178" i="26" s="1"/>
  <c r="I2066" i="26"/>
  <c r="E2066" i="26" s="1"/>
  <c r="H2764" i="26"/>
  <c r="H3860" i="26"/>
  <c r="H1944" i="26"/>
  <c r="H3963" i="26"/>
  <c r="H5362" i="26"/>
  <c r="I969" i="26"/>
  <c r="E969" i="26" s="1"/>
  <c r="H524" i="26"/>
  <c r="H1175" i="26"/>
  <c r="H1858" i="26"/>
  <c r="H1048" i="26"/>
  <c r="H5478" i="26"/>
  <c r="I736" i="26"/>
  <c r="E736" i="26" s="1"/>
  <c r="H3815" i="26"/>
  <c r="H4965" i="26"/>
  <c r="H963" i="26"/>
  <c r="I442" i="26"/>
  <c r="E442" i="26" s="1"/>
  <c r="H1630" i="26"/>
  <c r="H854" i="26"/>
  <c r="H4078" i="26"/>
  <c r="H3136" i="26"/>
  <c r="H1109" i="26"/>
  <c r="H4888" i="26"/>
  <c r="I376" i="26"/>
  <c r="E376" i="26" s="1"/>
  <c r="I416" i="26"/>
  <c r="E416" i="26" s="1"/>
  <c r="I521" i="26"/>
  <c r="E521" i="26" s="1"/>
  <c r="I337" i="26"/>
  <c r="E337" i="26" s="1"/>
  <c r="H298" i="26"/>
  <c r="H751" i="26"/>
  <c r="H3464" i="26"/>
  <c r="H1564" i="26"/>
  <c r="I2046" i="26"/>
  <c r="E2046" i="26" s="1"/>
  <c r="I466" i="26"/>
  <c r="E466" i="26" s="1"/>
  <c r="I1246" i="26"/>
  <c r="E1246" i="26" s="1"/>
  <c r="H6591" i="26"/>
  <c r="H5909" i="26"/>
  <c r="H6361" i="26"/>
  <c r="H651" i="26"/>
  <c r="H2187" i="26"/>
  <c r="H5477" i="26"/>
  <c r="I1939" i="26"/>
  <c r="E1939" i="26" s="1"/>
  <c r="I911" i="26"/>
  <c r="E911" i="26" s="1"/>
  <c r="H1344" i="26"/>
  <c r="H861" i="26"/>
  <c r="I1007" i="26"/>
  <c r="E1007" i="26" s="1"/>
  <c r="H3960" i="26"/>
  <c r="H3933" i="26"/>
  <c r="H3557" i="26"/>
  <c r="H1714" i="26"/>
  <c r="H3570" i="26"/>
  <c r="I261" i="26"/>
  <c r="E261" i="26" s="1"/>
  <c r="H2817" i="26"/>
  <c r="I2385" i="26"/>
  <c r="E2385" i="26" s="1"/>
  <c r="I1993" i="26"/>
  <c r="E1993" i="26" s="1"/>
  <c r="I2116" i="26"/>
  <c r="E2116" i="26" s="1"/>
  <c r="H4689" i="26"/>
  <c r="I1438" i="26"/>
  <c r="E1438" i="26" s="1"/>
  <c r="I2002" i="26"/>
  <c r="E2002" i="26" s="1"/>
  <c r="H4302" i="26"/>
  <c r="I296" i="26"/>
  <c r="E296" i="26" s="1"/>
  <c r="H635" i="26"/>
  <c r="H2715" i="26"/>
  <c r="H4656" i="26"/>
  <c r="I225" i="26"/>
  <c r="E225" i="26" s="1"/>
  <c r="H916" i="26"/>
  <c r="H5040" i="26"/>
  <c r="I5072" i="26"/>
  <c r="E5072" i="26" s="1"/>
  <c r="H4174" i="26"/>
  <c r="I1653" i="26"/>
  <c r="E1653" i="26" s="1"/>
  <c r="H4461" i="26"/>
  <c r="I2059" i="26"/>
  <c r="E2059" i="26" s="1"/>
  <c r="I1924" i="26"/>
  <c r="E1924" i="26" s="1"/>
  <c r="H6382" i="26"/>
  <c r="I5216" i="26"/>
  <c r="E5216" i="26" s="1"/>
  <c r="I2408" i="26"/>
  <c r="E2408" i="26" s="1"/>
  <c r="H5539" i="26"/>
  <c r="H4404" i="26"/>
  <c r="H1095" i="26"/>
  <c r="H6333" i="26"/>
  <c r="I6407" i="26"/>
  <c r="E6407" i="26" s="1"/>
  <c r="I2533" i="26"/>
  <c r="E2533" i="26" s="1"/>
  <c r="H6746" i="26"/>
  <c r="H5772" i="26"/>
  <c r="I6002" i="26"/>
  <c r="E6002" i="26" s="1"/>
  <c r="AS102" i="19"/>
  <c r="C110" i="26"/>
  <c r="H6459" i="26"/>
  <c r="I1146" i="26"/>
  <c r="E1146" i="26" s="1"/>
  <c r="I1601" i="26"/>
  <c r="E1601" i="26" s="1"/>
  <c r="I1272" i="26"/>
  <c r="E1272" i="26" s="1"/>
  <c r="Q180" i="29"/>
  <c r="P180" i="29" s="1"/>
  <c r="R180" i="29"/>
  <c r="Q160" i="29"/>
  <c r="P160" i="29" s="1"/>
  <c r="R160" i="29"/>
  <c r="R140" i="29"/>
  <c r="Q140" i="29"/>
  <c r="P140" i="29" s="1"/>
  <c r="Q120" i="29"/>
  <c r="P120" i="29" s="1"/>
  <c r="R120" i="29"/>
  <c r="Q100" i="29"/>
  <c r="P100" i="29" s="1"/>
  <c r="R100" i="29"/>
  <c r="Q80" i="29"/>
  <c r="P80" i="29" s="1"/>
  <c r="R80" i="29"/>
  <c r="R60" i="29"/>
  <c r="Q60" i="29"/>
  <c r="P60" i="29" s="1"/>
  <c r="R69" i="29"/>
  <c r="Q69" i="29"/>
  <c r="P69" i="29" s="1"/>
  <c r="H539" i="26"/>
  <c r="I825" i="26"/>
  <c r="E825" i="26" s="1"/>
  <c r="I489" i="26"/>
  <c r="E489" i="26" s="1"/>
  <c r="H1431" i="26"/>
  <c r="I4309" i="26"/>
  <c r="E4309" i="26" s="1"/>
  <c r="I1190" i="26"/>
  <c r="E1190" i="26" s="1"/>
  <c r="I791" i="26"/>
  <c r="E791" i="26" s="1"/>
  <c r="I1851" i="26"/>
  <c r="E1851" i="26" s="1"/>
  <c r="H4105" i="26"/>
  <c r="I2242" i="26"/>
  <c r="E2242" i="26" s="1"/>
  <c r="H1587" i="26"/>
  <c r="H302" i="26"/>
  <c r="H1193" i="26"/>
  <c r="H881" i="26"/>
  <c r="I295" i="26"/>
  <c r="E295" i="26" s="1"/>
  <c r="I1153" i="26"/>
  <c r="E1153" i="26" s="1"/>
  <c r="H2895" i="26"/>
  <c r="H2377" i="26"/>
  <c r="I1119" i="26"/>
  <c r="E1119" i="26" s="1"/>
  <c r="H1247" i="26"/>
  <c r="I496" i="26"/>
  <c r="E496" i="26" s="1"/>
  <c r="H2892" i="26"/>
  <c r="I2201" i="26"/>
  <c r="E2201" i="26" s="1"/>
  <c r="H1478" i="26"/>
  <c r="I1134" i="26"/>
  <c r="E1134" i="26" s="1"/>
  <c r="H4980" i="26"/>
  <c r="H3703" i="26"/>
  <c r="H6286" i="26"/>
  <c r="H889" i="26"/>
  <c r="I290" i="26"/>
  <c r="E290" i="26" s="1"/>
  <c r="H1117" i="26"/>
  <c r="H1204" i="26"/>
  <c r="H5680" i="26"/>
  <c r="H2003" i="26"/>
  <c r="H1297" i="26"/>
  <c r="H3851" i="26"/>
  <c r="H2148" i="26"/>
  <c r="I886" i="26"/>
  <c r="E886" i="26" s="1"/>
  <c r="H471" i="26"/>
  <c r="H1569" i="26"/>
  <c r="H1831" i="26"/>
  <c r="H4125" i="26"/>
  <c r="I2003" i="26"/>
  <c r="E2003" i="26" s="1"/>
  <c r="I709" i="26"/>
  <c r="E709" i="26" s="1"/>
  <c r="H5118" i="26"/>
  <c r="I1356" i="26"/>
  <c r="E1356" i="26" s="1"/>
  <c r="H1470" i="26"/>
  <c r="H337" i="26"/>
  <c r="H2090" i="26"/>
  <c r="I828" i="26"/>
  <c r="E828" i="26" s="1"/>
  <c r="I5624" i="26"/>
  <c r="E5624" i="26" s="1"/>
  <c r="I1797" i="26"/>
  <c r="E1797" i="26" s="1"/>
  <c r="I2085" i="26"/>
  <c r="E2085" i="26" s="1"/>
  <c r="H2734" i="26"/>
  <c r="H1352" i="26"/>
  <c r="H879" i="26"/>
  <c r="H326" i="26"/>
  <c r="H5934" i="26"/>
  <c r="I1414" i="26"/>
  <c r="E1414" i="26" s="1"/>
  <c r="H3105" i="26"/>
  <c r="I2170" i="26"/>
  <c r="E2170" i="26" s="1"/>
  <c r="I1914" i="26"/>
  <c r="E1914" i="26" s="1"/>
  <c r="H1321" i="26"/>
  <c r="H998" i="26"/>
  <c r="H988" i="26"/>
  <c r="H631" i="26"/>
  <c r="I621" i="26"/>
  <c r="E621" i="26" s="1"/>
  <c r="H609" i="26"/>
  <c r="H1097" i="26"/>
  <c r="I1379" i="26"/>
  <c r="E1379" i="26" s="1"/>
  <c r="H5945" i="26"/>
  <c r="I809" i="26"/>
  <c r="E809" i="26" s="1"/>
  <c r="I962" i="26"/>
  <c r="E962" i="26" s="1"/>
  <c r="I1843" i="26"/>
  <c r="E1843" i="26" s="1"/>
  <c r="H1996" i="26"/>
  <c r="H4808" i="26"/>
  <c r="H2905" i="26"/>
  <c r="H901" i="26"/>
  <c r="I1588" i="26"/>
  <c r="E1588" i="26" s="1"/>
  <c r="H6280" i="26"/>
  <c r="H4440" i="26"/>
  <c r="H243" i="26"/>
  <c r="H1731" i="26"/>
  <c r="I1422" i="26"/>
  <c r="E1422" i="26" s="1"/>
  <c r="H1283" i="26"/>
  <c r="I3739" i="26"/>
  <c r="E3739" i="26" s="1"/>
  <c r="I607" i="26"/>
  <c r="E607" i="26" s="1"/>
  <c r="I529" i="26"/>
  <c r="E529" i="26" s="1"/>
  <c r="H3666" i="26"/>
  <c r="I728" i="26"/>
  <c r="E728" i="26" s="1"/>
  <c r="H2166" i="26"/>
  <c r="H1989" i="26"/>
  <c r="H3185" i="26"/>
  <c r="I5179" i="26"/>
  <c r="E5179" i="26" s="1"/>
  <c r="H1711" i="26"/>
  <c r="H4227" i="26"/>
  <c r="I1410" i="26"/>
  <c r="E1410" i="26" s="1"/>
  <c r="I1353" i="26"/>
  <c r="E1353" i="26" s="1"/>
  <c r="I6156" i="26"/>
  <c r="E6156" i="26" s="1"/>
  <c r="H1649" i="26"/>
  <c r="H890" i="26"/>
  <c r="H3688" i="26"/>
  <c r="H5482" i="26"/>
  <c r="I1039" i="26"/>
  <c r="E1039" i="26" s="1"/>
  <c r="I1243" i="26"/>
  <c r="E1243" i="26" s="1"/>
  <c r="I1151" i="26"/>
  <c r="E1151" i="26" s="1"/>
  <c r="H2381" i="26"/>
  <c r="H911" i="26"/>
  <c r="I2547" i="26"/>
  <c r="E2547" i="26" s="1"/>
  <c r="I2030" i="26"/>
  <c r="E2030" i="26" s="1"/>
  <c r="H3501" i="26"/>
  <c r="H6097" i="26"/>
  <c r="H5777" i="26"/>
  <c r="H5996" i="26"/>
  <c r="I6656" i="26"/>
  <c r="E6656" i="26" s="1"/>
  <c r="H3858" i="26"/>
  <c r="I5694" i="26"/>
  <c r="E5694" i="26" s="1"/>
  <c r="I2510" i="26"/>
  <c r="E2510" i="26" s="1"/>
  <c r="H5164" i="26"/>
  <c r="H6606" i="26"/>
  <c r="I3942" i="26"/>
  <c r="E3942" i="26" s="1"/>
  <c r="I6204" i="26"/>
  <c r="E6204" i="26" s="1"/>
  <c r="I2968" i="26"/>
  <c r="E2968" i="26" s="1"/>
  <c r="AT102" i="19"/>
  <c r="AR102" i="19" s="1"/>
  <c r="G110" i="26"/>
  <c r="Z182" i="19"/>
  <c r="I706" i="26"/>
  <c r="E706" i="26" s="1"/>
  <c r="I1432" i="26"/>
  <c r="E1432" i="26" s="1"/>
  <c r="H815" i="26"/>
  <c r="H644" i="26"/>
  <c r="R179" i="29"/>
  <c r="Q179" i="29"/>
  <c r="P179" i="29" s="1"/>
  <c r="R159" i="29"/>
  <c r="Q159" i="29"/>
  <c r="P159" i="29" s="1"/>
  <c r="R139" i="29"/>
  <c r="Q139" i="29"/>
  <c r="P139" i="29" s="1"/>
  <c r="R119" i="29"/>
  <c r="Q119" i="29"/>
  <c r="P119" i="29" s="1"/>
  <c r="R99" i="29"/>
  <c r="Q99" i="29"/>
  <c r="P99" i="29" s="1"/>
  <c r="R79" i="29"/>
  <c r="Q79" i="29"/>
  <c r="P79" i="29" s="1"/>
  <c r="R51" i="29"/>
  <c r="Q51" i="29"/>
  <c r="P51" i="29" s="1"/>
  <c r="Q42" i="29"/>
  <c r="P42" i="29" s="1"/>
  <c r="R42" i="29"/>
  <c r="I1168" i="26"/>
  <c r="E1168" i="26" s="1"/>
  <c r="I857" i="26"/>
  <c r="E857" i="26" s="1"/>
  <c r="I1676" i="26"/>
  <c r="E1676" i="26" s="1"/>
  <c r="I1256" i="26"/>
  <c r="E1256" i="26" s="1"/>
  <c r="H5554" i="26"/>
  <c r="I1488" i="26"/>
  <c r="E1488" i="26" s="1"/>
  <c r="H250" i="26"/>
  <c r="I826" i="26"/>
  <c r="E826" i="26" s="1"/>
  <c r="I1024" i="26"/>
  <c r="E1024" i="26" s="1"/>
  <c r="I1622" i="26"/>
  <c r="E1622" i="26" s="1"/>
  <c r="H934" i="26"/>
  <c r="H1824" i="26"/>
  <c r="H421" i="26"/>
  <c r="I1152" i="26"/>
  <c r="E1152" i="26" s="1"/>
  <c r="H1219" i="26"/>
  <c r="H610" i="26"/>
  <c r="H1336" i="26"/>
  <c r="H2332" i="26"/>
  <c r="H5674" i="26"/>
  <c r="H1072" i="26"/>
  <c r="H1672" i="26"/>
  <c r="H942" i="26"/>
  <c r="H441" i="26"/>
  <c r="I1374" i="26"/>
  <c r="E1374" i="26" s="1"/>
  <c r="H1223" i="26"/>
  <c r="H2108" i="26"/>
  <c r="H2564" i="26"/>
  <c r="I1967" i="26"/>
  <c r="E1967" i="26" s="1"/>
  <c r="I1773" i="26"/>
  <c r="E1773" i="26" s="1"/>
  <c r="I848" i="26"/>
  <c r="E848" i="26" s="1"/>
  <c r="H621" i="26"/>
  <c r="I406" i="26"/>
  <c r="E406" i="26" s="1"/>
  <c r="I1804" i="26"/>
  <c r="E1804" i="26" s="1"/>
  <c r="H4000" i="26"/>
  <c r="I768" i="26"/>
  <c r="E768" i="26" s="1"/>
  <c r="H3290" i="26"/>
  <c r="H3370" i="26"/>
  <c r="H684" i="26"/>
  <c r="I2225" i="26"/>
  <c r="E2225" i="26" s="1"/>
  <c r="H616" i="26"/>
  <c r="H266" i="26"/>
  <c r="H797" i="26"/>
  <c r="I6130" i="26"/>
  <c r="E6130" i="26" s="1"/>
  <c r="H1353" i="26"/>
  <c r="H5971" i="26"/>
  <c r="I1945" i="26"/>
  <c r="E1945" i="26" s="1"/>
  <c r="H664" i="26"/>
  <c r="H2222" i="26"/>
  <c r="H957" i="26"/>
  <c r="H485" i="26"/>
  <c r="I1383" i="26"/>
  <c r="E1383" i="26" s="1"/>
  <c r="H5917" i="26"/>
  <c r="I1140" i="26"/>
  <c r="E1140" i="26" s="1"/>
  <c r="H5694" i="26"/>
  <c r="H1738" i="26"/>
  <c r="H990" i="26"/>
  <c r="H1218" i="26"/>
  <c r="H606" i="26"/>
  <c r="I310" i="26"/>
  <c r="E310" i="26" s="1"/>
  <c r="H2169" i="26"/>
  <c r="H5279" i="26"/>
  <c r="H763" i="26"/>
  <c r="H2262" i="26"/>
  <c r="H2383" i="26"/>
  <c r="I903" i="26"/>
  <c r="E903" i="26" s="1"/>
  <c r="H1270" i="26"/>
  <c r="I1477" i="26"/>
  <c r="E1477" i="26" s="1"/>
  <c r="I1470" i="26"/>
  <c r="E1470" i="26" s="1"/>
  <c r="I1250" i="26"/>
  <c r="E1250" i="26" s="1"/>
  <c r="I5716" i="26"/>
  <c r="E5716" i="26" s="1"/>
  <c r="I1594" i="26"/>
  <c r="E1594" i="26" s="1"/>
  <c r="H4238" i="26"/>
  <c r="H472" i="26"/>
  <c r="I1253" i="26"/>
  <c r="E1253" i="26" s="1"/>
  <c r="H2019" i="26"/>
  <c r="I2138" i="26"/>
  <c r="E2138" i="26" s="1"/>
  <c r="H1326" i="26"/>
  <c r="H4042" i="26"/>
  <c r="I1441" i="26"/>
  <c r="E1441" i="26" s="1"/>
  <c r="I1310" i="26"/>
  <c r="E1310" i="26" s="1"/>
  <c r="H2165" i="26"/>
  <c r="I4782" i="26"/>
  <c r="E4782" i="26" s="1"/>
  <c r="H5726" i="26"/>
  <c r="I1533" i="26"/>
  <c r="E1533" i="26" s="1"/>
  <c r="H1392" i="26"/>
  <c r="H1687" i="26"/>
  <c r="H2849" i="26"/>
  <c r="I872" i="26"/>
  <c r="E872" i="26" s="1"/>
  <c r="I1031" i="26"/>
  <c r="E1031" i="26" s="1"/>
  <c r="H6181" i="26"/>
  <c r="H4137" i="26"/>
  <c r="I741" i="26"/>
  <c r="E741" i="26" s="1"/>
  <c r="I1961" i="26"/>
  <c r="E1961" i="26" s="1"/>
  <c r="I942" i="26"/>
  <c r="E942" i="26" s="1"/>
  <c r="I324" i="26"/>
  <c r="E324" i="26" s="1"/>
  <c r="H5024" i="26"/>
  <c r="H529" i="26"/>
  <c r="H781" i="26"/>
  <c r="I2114" i="26"/>
  <c r="E2114" i="26" s="1"/>
  <c r="I4477" i="26"/>
  <c r="E4477" i="26" s="1"/>
  <c r="H792" i="26"/>
  <c r="I1224" i="26"/>
  <c r="E1224" i="26" s="1"/>
  <c r="H1999" i="26"/>
  <c r="H4867" i="26"/>
  <c r="I1339" i="26"/>
  <c r="E1339" i="26" s="1"/>
  <c r="I1214" i="26"/>
  <c r="E1214" i="26" s="1"/>
  <c r="I1956" i="26"/>
  <c r="E1956" i="26" s="1"/>
  <c r="H6620" i="26"/>
  <c r="H687" i="26"/>
  <c r="I1454" i="26"/>
  <c r="E1454" i="26" s="1"/>
  <c r="H3118" i="26"/>
  <c r="I1691" i="26"/>
  <c r="E1691" i="26" s="1"/>
  <c r="H1590" i="26"/>
  <c r="H1518" i="26"/>
  <c r="H1612" i="26"/>
  <c r="I6544" i="26"/>
  <c r="E6544" i="26" s="1"/>
  <c r="H4922" i="26"/>
  <c r="H5736" i="26"/>
  <c r="H6407" i="26"/>
  <c r="I2747" i="26"/>
  <c r="E2747" i="26" s="1"/>
  <c r="H4016" i="26"/>
  <c r="H5196" i="26"/>
  <c r="H5031" i="26"/>
  <c r="I4350" i="26"/>
  <c r="E4350" i="26" s="1"/>
  <c r="C169" i="26"/>
  <c r="AS161" i="19"/>
  <c r="AS181" i="19"/>
  <c r="C189" i="26"/>
  <c r="H930" i="26"/>
  <c r="H923" i="26"/>
  <c r="I1847" i="26"/>
  <c r="E1847" i="26" s="1"/>
  <c r="H480" i="26"/>
  <c r="R178" i="29"/>
  <c r="Q178" i="29"/>
  <c r="P178" i="29" s="1"/>
  <c r="R158" i="29"/>
  <c r="Q158" i="29"/>
  <c r="P158" i="29" s="1"/>
  <c r="R138" i="29"/>
  <c r="Q138" i="29"/>
  <c r="P138" i="29" s="1"/>
  <c r="Q118" i="29"/>
  <c r="P118" i="29" s="1"/>
  <c r="R118" i="29"/>
  <c r="Q98" i="29"/>
  <c r="P98" i="29" s="1"/>
  <c r="R98" i="29"/>
  <c r="R78" i="29"/>
  <c r="Q78" i="29"/>
  <c r="P78" i="29" s="1"/>
  <c r="R56" i="29"/>
  <c r="Q56" i="29"/>
  <c r="P56" i="29" s="1"/>
  <c r="Q68" i="29"/>
  <c r="P68" i="29" s="1"/>
  <c r="R68" i="29"/>
  <c r="H2065" i="26"/>
  <c r="H567" i="26"/>
  <c r="H2117" i="26"/>
  <c r="I966" i="26"/>
  <c r="E966" i="26" s="1"/>
  <c r="H3623" i="26"/>
  <c r="H384" i="26"/>
  <c r="H1040" i="26"/>
  <c r="I1686" i="26"/>
  <c r="E1686" i="26" s="1"/>
  <c r="H1741" i="26"/>
  <c r="I1658" i="26"/>
  <c r="E1658" i="26" s="1"/>
  <c r="I689" i="26"/>
  <c r="E689" i="26" s="1"/>
  <c r="H294" i="26"/>
  <c r="H1018" i="26"/>
  <c r="I323" i="26"/>
  <c r="E323" i="26" s="1"/>
  <c r="I816" i="26"/>
  <c r="E816" i="26" s="1"/>
  <c r="I875" i="26"/>
  <c r="E875" i="26" s="1"/>
  <c r="I721" i="26"/>
  <c r="E721" i="26" s="1"/>
  <c r="H4151" i="26"/>
  <c r="H1368" i="26"/>
  <c r="H3047" i="26"/>
  <c r="H1643" i="26"/>
  <c r="H1698" i="26"/>
  <c r="H1032" i="26"/>
  <c r="H6400" i="26"/>
  <c r="H1407" i="26"/>
  <c r="H1704" i="26"/>
  <c r="H6346" i="26"/>
  <c r="H713" i="26"/>
  <c r="H5392" i="26"/>
  <c r="H1651" i="26"/>
  <c r="I882" i="26"/>
  <c r="E882" i="26" s="1"/>
  <c r="I378" i="26"/>
  <c r="E378" i="26" s="1"/>
  <c r="I1917" i="26"/>
  <c r="E1917" i="26" s="1"/>
  <c r="H6243" i="26"/>
  <c r="I1742" i="26"/>
  <c r="E1742" i="26" s="1"/>
  <c r="H1516" i="26"/>
  <c r="H3644" i="26"/>
  <c r="I500" i="26"/>
  <c r="E500" i="26" s="1"/>
  <c r="I1406" i="26"/>
  <c r="E1406" i="26" s="1"/>
  <c r="I1467" i="26"/>
  <c r="E1467" i="26" s="1"/>
  <c r="I533" i="26"/>
  <c r="E533" i="26" s="1"/>
  <c r="H3473" i="26"/>
  <c r="H3835" i="26"/>
  <c r="I1113" i="26"/>
  <c r="E1113" i="26" s="1"/>
  <c r="H5474" i="26"/>
  <c r="I5668" i="26"/>
  <c r="E5668" i="26" s="1"/>
  <c r="I366" i="26"/>
  <c r="E366" i="26" s="1"/>
  <c r="I2195" i="26"/>
  <c r="E2195" i="26" s="1"/>
  <c r="H875" i="26"/>
  <c r="I506" i="26"/>
  <c r="E506" i="26" s="1"/>
  <c r="H6463" i="26"/>
  <c r="H3093" i="26"/>
  <c r="H1943" i="26"/>
  <c r="H5252" i="26"/>
  <c r="H5167" i="26"/>
  <c r="I422" i="26"/>
  <c r="E422" i="26" s="1"/>
  <c r="H1817" i="26"/>
  <c r="H1246" i="26"/>
  <c r="H381" i="26"/>
  <c r="H2490" i="26"/>
  <c r="H5373" i="26"/>
  <c r="H2112" i="26"/>
  <c r="H5563" i="26"/>
  <c r="H1314" i="26"/>
  <c r="H853" i="26"/>
  <c r="I1439" i="26"/>
  <c r="E1439" i="26" s="1"/>
  <c r="I2226" i="26"/>
  <c r="E2226" i="26" s="1"/>
  <c r="I1848" i="26"/>
  <c r="E1848" i="26" s="1"/>
  <c r="H2049" i="26"/>
  <c r="H4556" i="26"/>
  <c r="I733" i="26"/>
  <c r="E733" i="26" s="1"/>
  <c r="H1934" i="26"/>
  <c r="I627" i="26"/>
  <c r="E627" i="26" s="1"/>
  <c r="H2220" i="26"/>
  <c r="I1763" i="26"/>
  <c r="E1763" i="26" s="1"/>
  <c r="I1735" i="26"/>
  <c r="E1735" i="26" s="1"/>
  <c r="H2086" i="26"/>
  <c r="I1549" i="26"/>
  <c r="E1549" i="26" s="1"/>
  <c r="H1026" i="26"/>
  <c r="H6595" i="26"/>
  <c r="H6627" i="26"/>
  <c r="I844" i="26"/>
  <c r="E844" i="26" s="1"/>
  <c r="H6220" i="26"/>
  <c r="H2515" i="26"/>
  <c r="H2120" i="26"/>
  <c r="H1201" i="26"/>
  <c r="I1073" i="26"/>
  <c r="E1073" i="26" s="1"/>
  <c r="H2218" i="26"/>
  <c r="H584" i="26"/>
  <c r="H2372" i="26"/>
  <c r="H600" i="26"/>
  <c r="I1719" i="26"/>
  <c r="E1719" i="26" s="1"/>
  <c r="H1932" i="26"/>
  <c r="H866" i="26"/>
  <c r="I675" i="26"/>
  <c r="E675" i="26" s="1"/>
  <c r="H4585" i="26"/>
  <c r="H691" i="26"/>
  <c r="H510" i="26"/>
  <c r="H2085" i="26"/>
  <c r="H3751" i="26"/>
  <c r="H3383" i="26"/>
  <c r="I1652" i="26"/>
  <c r="E1652" i="26" s="1"/>
  <c r="H1350" i="26"/>
  <c r="H5086" i="26"/>
  <c r="H205" i="26"/>
  <c r="H1184" i="26"/>
  <c r="I1551" i="26"/>
  <c r="E1551" i="26" s="1"/>
  <c r="H5079" i="26"/>
  <c r="I1580" i="26"/>
  <c r="E1580" i="26" s="1"/>
  <c r="I2187" i="26"/>
  <c r="E2187" i="26" s="1"/>
  <c r="H6581" i="26"/>
  <c r="I1345" i="26"/>
  <c r="E1345" i="26" s="1"/>
  <c r="H2746" i="26"/>
  <c r="H3014" i="26"/>
  <c r="H4927" i="26"/>
  <c r="H3704" i="26"/>
  <c r="I6123" i="26"/>
  <c r="E6123" i="26" s="1"/>
  <c r="H4533" i="26"/>
  <c r="H2743" i="26"/>
  <c r="H4101" i="26"/>
  <c r="H3471" i="26"/>
  <c r="H6379" i="26"/>
  <c r="I5595" i="26"/>
  <c r="E5595" i="26" s="1"/>
  <c r="H4207" i="26"/>
  <c r="Z162" i="19"/>
  <c r="G189" i="26"/>
  <c r="AT181" i="19"/>
  <c r="AR181" i="19" s="1"/>
  <c r="H837" i="26"/>
  <c r="I309" i="26"/>
  <c r="E309" i="26" s="1"/>
  <c r="H1254" i="26"/>
  <c r="I461" i="26"/>
  <c r="E461" i="26" s="1"/>
  <c r="R177" i="29"/>
  <c r="Q177" i="29"/>
  <c r="P177" i="29" s="1"/>
  <c r="Q157" i="29"/>
  <c r="P157" i="29" s="1"/>
  <c r="R157" i="29"/>
  <c r="Q137" i="29"/>
  <c r="P137" i="29" s="1"/>
  <c r="R137" i="29"/>
  <c r="Q117" i="29"/>
  <c r="P117" i="29" s="1"/>
  <c r="R117" i="29"/>
  <c r="Q97" i="29"/>
  <c r="P97" i="29" s="1"/>
  <c r="R97" i="29"/>
  <c r="Q77" i="29"/>
  <c r="P77" i="29" s="1"/>
  <c r="R77" i="29"/>
  <c r="Q50" i="29"/>
  <c r="P50" i="29" s="1"/>
  <c r="R50" i="29"/>
  <c r="Q52" i="29"/>
  <c r="P52" i="29" s="1"/>
  <c r="R52" i="29"/>
  <c r="H467" i="26"/>
  <c r="I1020" i="26"/>
  <c r="E1020" i="26" s="1"/>
  <c r="H2181" i="26"/>
  <c r="H254" i="26"/>
  <c r="H5165" i="26"/>
  <c r="H2154" i="26"/>
  <c r="I1983" i="26"/>
  <c r="E1983" i="26" s="1"/>
  <c r="H1491" i="26"/>
  <c r="H1666" i="26"/>
  <c r="H1685" i="26"/>
  <c r="H445" i="26"/>
  <c r="I93" i="26"/>
  <c r="E93" i="26" s="1"/>
  <c r="I572" i="26"/>
  <c r="E572" i="26" s="1"/>
  <c r="I393" i="26"/>
  <c r="E393" i="26" s="1"/>
  <c r="H1772" i="26"/>
  <c r="H1429" i="26"/>
  <c r="H3333" i="26"/>
  <c r="H2747" i="26"/>
  <c r="I1124" i="26"/>
  <c r="E1124" i="26" s="1"/>
  <c r="I1736" i="26"/>
  <c r="E1736" i="26" s="1"/>
  <c r="H1135" i="26"/>
  <c r="H2215" i="26"/>
  <c r="I586" i="26"/>
  <c r="E586" i="26" s="1"/>
  <c r="I497" i="26"/>
  <c r="E497" i="26" s="1"/>
  <c r="I1154" i="26"/>
  <c r="E1154" i="26" s="1"/>
  <c r="H4802" i="26"/>
  <c r="H6761" i="26"/>
  <c r="I2698" i="26"/>
  <c r="E2698" i="26" s="1"/>
  <c r="H5544" i="26"/>
  <c r="H1779" i="26"/>
  <c r="I2223" i="26"/>
  <c r="E2223" i="26" s="1"/>
  <c r="I611" i="26"/>
  <c r="E611" i="26" s="1"/>
  <c r="I242" i="26"/>
  <c r="E242" i="26" s="1"/>
  <c r="I2633" i="26"/>
  <c r="E2633" i="26" s="1"/>
  <c r="H2087" i="26"/>
  <c r="H3442" i="26"/>
  <c r="H5741" i="26"/>
  <c r="I288" i="26"/>
  <c r="E288" i="26" s="1"/>
  <c r="H1776" i="26"/>
  <c r="H2051" i="26"/>
  <c r="H951" i="26"/>
  <c r="H452" i="26"/>
  <c r="I1177" i="26"/>
  <c r="E1177" i="26" s="1"/>
  <c r="I1712" i="26"/>
  <c r="E1712" i="26" s="1"/>
  <c r="H2716" i="26"/>
  <c r="I3309" i="26"/>
  <c r="E3309" i="26" s="1"/>
  <c r="I306" i="26"/>
  <c r="E306" i="26" s="1"/>
  <c r="I1358" i="26"/>
  <c r="E1358" i="26" s="1"/>
  <c r="I2220" i="26"/>
  <c r="E2220" i="26" s="1"/>
  <c r="I947" i="26"/>
  <c r="E947" i="26" s="1"/>
  <c r="H289" i="26"/>
  <c r="I1633" i="26"/>
  <c r="E1633" i="26" s="1"/>
  <c r="H1082" i="26"/>
  <c r="H6625" i="26"/>
  <c r="H6780" i="26"/>
  <c r="I528" i="26"/>
  <c r="E528" i="26" s="1"/>
  <c r="I2145" i="26"/>
  <c r="E2145" i="26" s="1"/>
  <c r="I841" i="26"/>
  <c r="E841" i="26" s="1"/>
  <c r="I596" i="26"/>
  <c r="E596" i="26" s="1"/>
  <c r="I453" i="26"/>
  <c r="E453" i="26" s="1"/>
  <c r="I799" i="26"/>
  <c r="E799" i="26" s="1"/>
  <c r="I1538" i="26"/>
  <c r="E1538" i="26" s="1"/>
  <c r="H2875" i="26"/>
  <c r="H4059" i="26"/>
  <c r="H824" i="26"/>
  <c r="I1197" i="26"/>
  <c r="E1197" i="26" s="1"/>
  <c r="I1822" i="26"/>
  <c r="E1822" i="26" s="1"/>
  <c r="I2194" i="26"/>
  <c r="E2194" i="26" s="1"/>
  <c r="I1816" i="26"/>
  <c r="E1816" i="26" s="1"/>
  <c r="H5057" i="26"/>
  <c r="H1536" i="26"/>
  <c r="H5183" i="26"/>
  <c r="H1473" i="26"/>
  <c r="H2022" i="26"/>
  <c r="H2679" i="26"/>
  <c r="H1534" i="26"/>
  <c r="I5898" i="26"/>
  <c r="E5898" i="26" s="1"/>
  <c r="H2676" i="26"/>
  <c r="I1836" i="26"/>
  <c r="E1836" i="26" s="1"/>
  <c r="H1740" i="26"/>
  <c r="I1801" i="26"/>
  <c r="E1801" i="26" s="1"/>
  <c r="H1825" i="26"/>
  <c r="H6773" i="26"/>
  <c r="H4879" i="26"/>
  <c r="H267" i="26"/>
  <c r="I590" i="26"/>
  <c r="E590" i="26" s="1"/>
  <c r="I2960" i="26"/>
  <c r="E2960" i="26" s="1"/>
  <c r="H1399" i="26"/>
  <c r="I1695" i="26"/>
  <c r="E1695" i="26" s="1"/>
  <c r="H3120" i="26"/>
  <c r="H1476" i="26"/>
  <c r="H2611" i="26"/>
  <c r="I3008" i="26"/>
  <c r="E3008" i="26" s="1"/>
  <c r="I1841" i="26"/>
  <c r="E1841" i="26" s="1"/>
  <c r="H2111" i="26"/>
  <c r="I2169" i="26"/>
  <c r="E2169" i="26" s="1"/>
  <c r="I937" i="26"/>
  <c r="E937" i="26" s="1"/>
  <c r="I245" i="26"/>
  <c r="E245" i="26" s="1"/>
  <c r="H4339" i="26"/>
  <c r="H953" i="26"/>
  <c r="H477" i="26"/>
  <c r="I1611" i="26"/>
  <c r="E1611" i="26" s="1"/>
  <c r="I1567" i="26"/>
  <c r="E1567" i="26" s="1"/>
  <c r="I3874" i="26"/>
  <c r="E3874" i="26" s="1"/>
  <c r="H251" i="26"/>
  <c r="H756" i="26"/>
  <c r="H3824" i="26"/>
  <c r="H5579" i="26"/>
  <c r="H498" i="26"/>
  <c r="H409" i="26"/>
  <c r="H5298" i="26"/>
  <c r="I222" i="26"/>
  <c r="E222" i="26" s="1"/>
  <c r="H2095" i="26"/>
  <c r="H4787" i="26"/>
  <c r="H6768" i="26"/>
  <c r="H3530" i="26"/>
  <c r="H2532" i="26"/>
  <c r="H1155" i="26"/>
  <c r="H5198" i="26"/>
  <c r="H3262" i="26"/>
  <c r="I5691" i="26"/>
  <c r="E5691" i="26" s="1"/>
  <c r="H6387" i="26"/>
  <c r="I6202" i="26"/>
  <c r="E6202" i="26" s="1"/>
  <c r="I4451" i="26"/>
  <c r="E4451" i="26" s="1"/>
  <c r="G169" i="26"/>
  <c r="AT161" i="19"/>
  <c r="AR161" i="19" s="1"/>
  <c r="C124" i="26"/>
  <c r="AS116" i="19"/>
  <c r="I302" i="26"/>
  <c r="E302" i="26" s="1"/>
  <c r="H1238" i="26"/>
  <c r="I965" i="26"/>
  <c r="E965" i="26" s="1"/>
  <c r="I766" i="26"/>
  <c r="E766" i="26" s="1"/>
  <c r="Q176" i="29"/>
  <c r="P176" i="29" s="1"/>
  <c r="R176" i="29"/>
  <c r="Q156" i="29"/>
  <c r="P156" i="29" s="1"/>
  <c r="R156" i="29"/>
  <c r="Q136" i="29"/>
  <c r="P136" i="29" s="1"/>
  <c r="R136" i="29"/>
  <c r="R116" i="29"/>
  <c r="Q116" i="29"/>
  <c r="P116" i="29" s="1"/>
  <c r="R96" i="29"/>
  <c r="Q96" i="29"/>
  <c r="P96" i="29" s="1"/>
  <c r="R76" i="29"/>
  <c r="Q76" i="29"/>
  <c r="P76" i="29" s="1"/>
  <c r="R67" i="29"/>
  <c r="Q67" i="29"/>
  <c r="P67" i="29" s="1"/>
  <c r="R46" i="29"/>
  <c r="Q46" i="29"/>
  <c r="P46" i="29" s="1"/>
  <c r="I1139" i="26"/>
  <c r="E1139" i="26" s="1"/>
  <c r="H372" i="26"/>
  <c r="I1421" i="26"/>
  <c r="E1421" i="26" s="1"/>
  <c r="H446" i="26"/>
  <c r="H1992" i="26"/>
  <c r="H2224" i="26"/>
  <c r="H2195" i="26"/>
  <c r="I655" i="26"/>
  <c r="E655" i="26" s="1"/>
  <c r="I597" i="26"/>
  <c r="E597" i="26" s="1"/>
  <c r="I1279" i="26"/>
  <c r="E1279" i="26" s="1"/>
  <c r="H2043" i="26"/>
  <c r="H2182" i="26"/>
  <c r="I859" i="26"/>
  <c r="E859" i="26" s="1"/>
  <c r="I662" i="26"/>
  <c r="E662" i="26" s="1"/>
  <c r="H214" i="26"/>
  <c r="H1644" i="26"/>
  <c r="H6117" i="26"/>
  <c r="H2848" i="26"/>
  <c r="H1093" i="26"/>
  <c r="H3634" i="26"/>
  <c r="I299" i="26"/>
  <c r="E299" i="26" s="1"/>
  <c r="H2016" i="26"/>
  <c r="I1451" i="26"/>
  <c r="E1451" i="26" s="1"/>
  <c r="H1021" i="26"/>
  <c r="H2109" i="26"/>
  <c r="H6079" i="26"/>
  <c r="H1629" i="26"/>
  <c r="H5017" i="26"/>
  <c r="I2879" i="26"/>
  <c r="E2879" i="26" s="1"/>
  <c r="H287" i="26"/>
  <c r="H1818" i="26"/>
  <c r="H1249" i="26"/>
  <c r="I249" i="26"/>
  <c r="E249" i="26" s="1"/>
  <c r="H2152" i="26"/>
  <c r="H4690" i="26"/>
  <c r="H5484" i="26"/>
  <c r="H1105" i="26"/>
  <c r="H1013" i="26"/>
  <c r="H534" i="26"/>
  <c r="H1646" i="26"/>
  <c r="I1247" i="26"/>
  <c r="E1247" i="26" s="1"/>
  <c r="I515" i="26"/>
  <c r="E515" i="26" s="1"/>
  <c r="I774" i="26"/>
  <c r="E774" i="26" s="1"/>
  <c r="H4426" i="26"/>
  <c r="H5919" i="26"/>
  <c r="I1733" i="26"/>
  <c r="E1733" i="26" s="1"/>
  <c r="I1009" i="26"/>
  <c r="E1009" i="26" s="1"/>
  <c r="H281" i="26"/>
  <c r="I1189" i="26"/>
  <c r="E1189" i="26" s="1"/>
  <c r="H1243" i="26"/>
  <c r="I1037" i="26"/>
  <c r="E1037" i="26" s="1"/>
  <c r="I1360" i="26"/>
  <c r="E1360" i="26" s="1"/>
  <c r="H2508" i="26"/>
  <c r="I5389" i="26"/>
  <c r="E5389" i="26" s="1"/>
  <c r="H2105" i="26"/>
  <c r="I1004" i="26"/>
  <c r="E1004" i="26" s="1"/>
  <c r="I218" i="26"/>
  <c r="E218" i="26" s="1"/>
  <c r="I812" i="26"/>
  <c r="E812" i="26" s="1"/>
  <c r="I1241" i="26"/>
  <c r="E1241" i="26" s="1"/>
  <c r="I1032" i="26"/>
  <c r="E1032" i="26" s="1"/>
  <c r="I1603" i="26"/>
  <c r="E1603" i="26" s="1"/>
  <c r="H3720" i="26"/>
  <c r="H3972" i="26"/>
  <c r="I6066" i="26"/>
  <c r="E6066" i="26" s="1"/>
  <c r="H1164" i="26"/>
  <c r="I2161" i="26"/>
  <c r="E2161" i="26" s="1"/>
  <c r="H1607" i="26"/>
  <c r="H769" i="26"/>
  <c r="I1100" i="26"/>
  <c r="E1100" i="26" s="1"/>
  <c r="H4846" i="26"/>
  <c r="H3384" i="26"/>
  <c r="I726" i="26"/>
  <c r="E726" i="26" s="1"/>
  <c r="H845" i="26"/>
  <c r="H1973" i="26"/>
  <c r="H3681" i="26"/>
  <c r="H6535" i="26"/>
  <c r="H4118" i="26"/>
  <c r="H2409" i="26"/>
  <c r="I957" i="26"/>
  <c r="E957" i="26" s="1"/>
  <c r="H4437" i="26"/>
  <c r="H6652" i="26"/>
  <c r="I1618" i="26"/>
  <c r="E1618" i="26" s="1"/>
  <c r="H5683" i="26"/>
  <c r="H3446" i="26"/>
  <c r="I399" i="26"/>
  <c r="E399" i="26" s="1"/>
  <c r="H2708" i="26"/>
  <c r="H4062" i="26"/>
  <c r="I1968" i="26"/>
  <c r="E1968" i="26" s="1"/>
  <c r="I1210" i="26"/>
  <c r="E1210" i="26" s="1"/>
  <c r="H3241" i="26"/>
  <c r="H847" i="26"/>
  <c r="H6242" i="26"/>
  <c r="H6464" i="26"/>
  <c r="H1640" i="26"/>
  <c r="H1133" i="26"/>
  <c r="H2137" i="26"/>
  <c r="I865" i="26"/>
  <c r="E865" i="26" s="1"/>
  <c r="I1016" i="26"/>
  <c r="E1016" i="26" s="1"/>
  <c r="I1367" i="26"/>
  <c r="E1367" i="26" s="1"/>
  <c r="H1460" i="26"/>
  <c r="H686" i="26"/>
  <c r="H206" i="26"/>
  <c r="H705" i="26"/>
  <c r="H2204" i="26"/>
  <c r="H997" i="26"/>
  <c r="I285" i="26"/>
  <c r="E285" i="26" s="1"/>
  <c r="H5682" i="26"/>
  <c r="H6567" i="26"/>
  <c r="H403" i="26"/>
  <c r="H509" i="26"/>
  <c r="H5113" i="26"/>
  <c r="I977" i="26"/>
  <c r="E977" i="26" s="1"/>
  <c r="H4818" i="26"/>
  <c r="H3682" i="26"/>
  <c r="H6537" i="26"/>
  <c r="I1777" i="26"/>
  <c r="E1777" i="26" s="1"/>
  <c r="H2873" i="26"/>
  <c r="H6042" i="26"/>
  <c r="H3912" i="26"/>
  <c r="H5858" i="26"/>
  <c r="I3661" i="26"/>
  <c r="E3661" i="26" s="1"/>
  <c r="I4968" i="26"/>
  <c r="E4968" i="26" s="1"/>
  <c r="I2592" i="26"/>
  <c r="E2592" i="26" s="1"/>
  <c r="H2283" i="26"/>
  <c r="H633" i="26"/>
  <c r="H11" i="26"/>
  <c r="AT117" i="19"/>
  <c r="G125" i="26"/>
  <c r="H1266" i="26"/>
  <c r="I1609" i="26"/>
  <c r="E1609" i="26" s="1"/>
  <c r="I355" i="26"/>
  <c r="E355" i="26" s="1"/>
  <c r="I1402" i="26"/>
  <c r="E1402" i="26" s="1"/>
  <c r="Q175" i="29"/>
  <c r="P175" i="29" s="1"/>
  <c r="R175" i="29"/>
  <c r="R155" i="29"/>
  <c r="Q155" i="29"/>
  <c r="P155" i="29" s="1"/>
  <c r="R135" i="29"/>
  <c r="Q135" i="29"/>
  <c r="P135" i="29" s="1"/>
  <c r="R115" i="29"/>
  <c r="Q115" i="29"/>
  <c r="P115" i="29" s="1"/>
  <c r="R95" i="29"/>
  <c r="Q95" i="29"/>
  <c r="P95" i="29" s="1"/>
  <c r="R75" i="29"/>
  <c r="Q75" i="29"/>
  <c r="P75" i="29" s="1"/>
  <c r="R47" i="29"/>
  <c r="Q47" i="29"/>
  <c r="P47" i="29" s="1"/>
  <c r="Q38" i="29"/>
  <c r="P38" i="29" s="1"/>
  <c r="R38" i="29"/>
  <c r="H2052" i="26"/>
  <c r="H198" i="26"/>
  <c r="I1449" i="26"/>
  <c r="E1449" i="26" s="1"/>
  <c r="I1125" i="26"/>
  <c r="E1125" i="26" s="1"/>
  <c r="H203" i="26"/>
  <c r="H587" i="26"/>
  <c r="I2055" i="26"/>
  <c r="E2055" i="26" s="1"/>
  <c r="H401" i="26"/>
  <c r="I247" i="26"/>
  <c r="E247" i="26" s="1"/>
  <c r="H999" i="26"/>
  <c r="H6737" i="26"/>
  <c r="H743" i="26"/>
  <c r="H1205" i="26"/>
  <c r="H1282" i="26"/>
  <c r="I282" i="26"/>
  <c r="E282" i="26" s="1"/>
  <c r="I1595" i="26"/>
  <c r="E1595" i="26" s="1"/>
  <c r="H6113" i="26"/>
  <c r="I1617" i="26"/>
  <c r="E1617" i="26" s="1"/>
  <c r="H5462" i="26"/>
  <c r="H5404" i="26"/>
  <c r="H521" i="26"/>
  <c r="I1586" i="26"/>
  <c r="E1586" i="26" s="1"/>
  <c r="H1837" i="26"/>
  <c r="I921" i="26"/>
  <c r="E921" i="26" s="1"/>
  <c r="H1706" i="26"/>
  <c r="H3113" i="26"/>
  <c r="I769" i="26"/>
  <c r="E769" i="26" s="1"/>
  <c r="H1334" i="26"/>
  <c r="H6429" i="26"/>
  <c r="H370" i="26"/>
  <c r="I1602" i="26"/>
  <c r="E1602" i="26" s="1"/>
  <c r="H1673" i="26"/>
  <c r="H945" i="26"/>
  <c r="H1333" i="26"/>
  <c r="H5908" i="26"/>
  <c r="I3795" i="26"/>
  <c r="E3795" i="26" s="1"/>
  <c r="H5561" i="26"/>
  <c r="I914" i="26"/>
  <c r="E914" i="26" s="1"/>
  <c r="H395" i="26"/>
  <c r="H1354" i="26"/>
  <c r="H1428" i="26"/>
  <c r="I941" i="26"/>
  <c r="E941" i="26" s="1"/>
  <c r="I1577" i="26"/>
  <c r="E1577" i="26" s="1"/>
  <c r="H3618" i="26"/>
  <c r="H6022" i="26"/>
  <c r="H2486" i="26"/>
  <c r="I909" i="26"/>
  <c r="E909" i="26" s="1"/>
  <c r="H486" i="26"/>
  <c r="H1766" i="26"/>
  <c r="I1842" i="26"/>
  <c r="E1842" i="26" s="1"/>
  <c r="H589" i="26"/>
  <c r="I1951" i="26"/>
  <c r="E1951" i="26" s="1"/>
  <c r="H2863" i="26"/>
  <c r="H3739" i="26"/>
  <c r="H2958" i="26"/>
  <c r="H1281" i="26"/>
  <c r="H429" i="26"/>
  <c r="I1348" i="26"/>
  <c r="E1348" i="26" s="1"/>
  <c r="I838" i="26"/>
  <c r="E838" i="26" s="1"/>
  <c r="I585" i="26"/>
  <c r="E585" i="26" s="1"/>
  <c r="H741" i="26"/>
  <c r="H6456" i="26"/>
  <c r="H1804" i="26"/>
  <c r="I1298" i="26"/>
  <c r="E1298" i="26" s="1"/>
  <c r="I6339" i="26"/>
  <c r="E6339" i="26" s="1"/>
  <c r="I484" i="26"/>
  <c r="E484" i="26" s="1"/>
  <c r="I265" i="26"/>
  <c r="E265" i="26" s="1"/>
  <c r="I303" i="26"/>
  <c r="E303" i="26" s="1"/>
  <c r="H5766" i="26"/>
  <c r="I1166" i="26"/>
  <c r="E1166" i="26" s="1"/>
  <c r="H5153" i="26"/>
  <c r="I4146" i="26"/>
  <c r="E4146" i="26" s="1"/>
  <c r="I2196" i="26"/>
  <c r="E2196" i="26" s="1"/>
  <c r="I338" i="26"/>
  <c r="E338" i="26" s="1"/>
  <c r="H5054" i="26"/>
  <c r="H5013" i="26"/>
  <c r="H3085" i="26"/>
  <c r="H2136" i="26"/>
  <c r="H1462" i="26"/>
  <c r="H2353" i="26"/>
  <c r="H5975" i="26"/>
  <c r="H5939" i="26"/>
  <c r="H2302" i="26"/>
  <c r="H3976" i="26"/>
  <c r="I1767" i="26"/>
  <c r="E1767" i="26" s="1"/>
  <c r="H2891" i="26"/>
  <c r="H4328" i="26"/>
  <c r="H335" i="26"/>
  <c r="H1180" i="26"/>
  <c r="I1535" i="26"/>
  <c r="E1535" i="26" s="1"/>
  <c r="I1651" i="26"/>
  <c r="E1651" i="26" s="1"/>
  <c r="H4477" i="26"/>
  <c r="H5760" i="26"/>
  <c r="H1259" i="26"/>
  <c r="I1319" i="26"/>
  <c r="E1319" i="26" s="1"/>
  <c r="H1104" i="26"/>
  <c r="I1424" i="26"/>
  <c r="E1424" i="26" s="1"/>
  <c r="I570" i="26"/>
  <c r="E570" i="26" s="1"/>
  <c r="I2167" i="26"/>
  <c r="E2167" i="26" s="1"/>
  <c r="I1216" i="26"/>
  <c r="E1216" i="26" s="1"/>
  <c r="H585" i="26"/>
  <c r="H349" i="26"/>
  <c r="H6252" i="26"/>
  <c r="I1625" i="26"/>
  <c r="E1625" i="26" s="1"/>
  <c r="H1489" i="26"/>
  <c r="H354" i="26"/>
  <c r="H6172" i="26"/>
  <c r="I1071" i="26"/>
  <c r="E1071" i="26" s="1"/>
  <c r="H646" i="26"/>
  <c r="H625" i="26"/>
  <c r="H5553" i="26"/>
  <c r="I1264" i="26"/>
  <c r="E1264" i="26" s="1"/>
  <c r="H3448" i="26"/>
  <c r="H6206" i="26"/>
  <c r="H3719" i="26"/>
  <c r="H5107" i="26"/>
  <c r="H2538" i="26"/>
  <c r="H2758" i="26"/>
  <c r="H6256" i="26"/>
  <c r="H744" i="26"/>
  <c r="I6778" i="26"/>
  <c r="E6778" i="26" s="1"/>
  <c r="I5739" i="26"/>
  <c r="E5739" i="26" s="1"/>
  <c r="I5937" i="26"/>
  <c r="E5937" i="26" s="1"/>
  <c r="I6303" i="26"/>
  <c r="E6303" i="26" s="1"/>
  <c r="I11" i="26"/>
  <c r="E11" i="26" s="1"/>
  <c r="AT116" i="19"/>
  <c r="AR116" i="19" s="1"/>
  <c r="G124" i="26"/>
  <c r="I501" i="26"/>
  <c r="E501" i="26" s="1"/>
  <c r="I1412" i="26"/>
  <c r="E1412" i="26" s="1"/>
  <c r="H432" i="26"/>
  <c r="I1675" i="26"/>
  <c r="E1675" i="26" s="1"/>
  <c r="R174" i="29"/>
  <c r="Q174" i="29"/>
  <c r="P174" i="29" s="1"/>
  <c r="Q154" i="29"/>
  <c r="P154" i="29" s="1"/>
  <c r="R154" i="29"/>
  <c r="R134" i="29"/>
  <c r="Q134" i="29"/>
  <c r="P134" i="29" s="1"/>
  <c r="R114" i="29"/>
  <c r="Q114" i="29"/>
  <c r="P114" i="29" s="1"/>
  <c r="Q94" i="29"/>
  <c r="P94" i="29" s="1"/>
  <c r="R94" i="29"/>
  <c r="Q74" i="29"/>
  <c r="P74" i="29" s="1"/>
  <c r="R74" i="29"/>
  <c r="Q59" i="29"/>
  <c r="P59" i="29" s="1"/>
  <c r="R59" i="29"/>
  <c r="R57" i="29"/>
  <c r="Q57" i="29"/>
  <c r="P57" i="29" s="1"/>
  <c r="H632" i="26"/>
  <c r="I2162" i="26"/>
  <c r="E2162" i="26" s="1"/>
  <c r="I579" i="26"/>
  <c r="E579" i="26" s="1"/>
  <c r="H1403" i="26"/>
  <c r="H941" i="26"/>
  <c r="I518" i="26"/>
  <c r="E518" i="26" s="1"/>
  <c r="I887" i="26"/>
  <c r="E887" i="26" s="1"/>
  <c r="I339" i="26"/>
  <c r="E339" i="26" s="1"/>
  <c r="I2122" i="26"/>
  <c r="E2122" i="26" s="1"/>
  <c r="I1654" i="26"/>
  <c r="E1654" i="26" s="1"/>
  <c r="I368" i="26"/>
  <c r="E368" i="26" s="1"/>
  <c r="H2171" i="26"/>
  <c r="I531" i="26"/>
  <c r="E531" i="26" s="1"/>
  <c r="I2180" i="26"/>
  <c r="E2180" i="26" s="1"/>
  <c r="I856" i="26"/>
  <c r="E856" i="26" s="1"/>
  <c r="H650" i="26"/>
  <c r="I548" i="26"/>
  <c r="E548" i="26" s="1"/>
  <c r="H4930" i="26"/>
  <c r="H1130" i="26"/>
  <c r="H6649" i="26"/>
  <c r="H1922" i="26"/>
  <c r="I984" i="26"/>
  <c r="E984" i="26" s="1"/>
  <c r="I332" i="26"/>
  <c r="E332" i="26" s="1"/>
  <c r="H1808" i="26"/>
  <c r="I1863" i="26"/>
  <c r="E1863" i="26" s="1"/>
  <c r="I5797" i="26"/>
  <c r="E5797" i="26" s="1"/>
  <c r="H4160" i="26"/>
  <c r="H1947" i="26"/>
  <c r="H4386" i="26"/>
  <c r="H4233" i="26"/>
  <c r="H662" i="26"/>
  <c r="H422" i="26"/>
  <c r="H1400" i="26"/>
  <c r="H1455" i="26"/>
  <c r="H1305" i="26"/>
  <c r="H4558" i="26"/>
  <c r="I1779" i="26"/>
  <c r="E1779" i="26" s="1"/>
  <c r="H4219" i="26"/>
  <c r="H1232" i="26"/>
  <c r="H657" i="26"/>
  <c r="H519" i="26"/>
  <c r="H1814" i="26"/>
  <c r="I1699" i="26"/>
  <c r="E1699" i="26" s="1"/>
  <c r="H1090" i="26"/>
  <c r="H3415" i="26"/>
  <c r="I2153" i="26"/>
  <c r="E2153" i="26" s="1"/>
  <c r="H2317" i="26"/>
  <c r="H1444" i="26"/>
  <c r="H652" i="26"/>
  <c r="I465" i="26"/>
  <c r="E465" i="26" s="1"/>
  <c r="H2188" i="26"/>
  <c r="H1239" i="26"/>
  <c r="I1718" i="26"/>
  <c r="E1718" i="26" s="1"/>
  <c r="H5445" i="26"/>
  <c r="H772" i="26"/>
  <c r="I3136" i="26"/>
  <c r="E3136" i="26" s="1"/>
  <c r="I1443" i="26"/>
  <c r="E1443" i="26" s="1"/>
  <c r="I994" i="26"/>
  <c r="E994" i="26" s="1"/>
  <c r="I276" i="26"/>
  <c r="E276" i="26" s="1"/>
  <c r="I1641" i="26"/>
  <c r="E1641" i="26" s="1"/>
  <c r="I1866" i="26"/>
  <c r="E1866" i="26" s="1"/>
  <c r="I713" i="26"/>
  <c r="E713" i="26" s="1"/>
  <c r="I3367" i="26"/>
  <c r="E3367" i="26" s="1"/>
  <c r="I1147" i="26"/>
  <c r="E1147" i="26" s="1"/>
  <c r="H3006" i="26"/>
  <c r="I377" i="26"/>
  <c r="E377" i="26" s="1"/>
  <c r="I372" i="26"/>
  <c r="E372" i="26" s="1"/>
  <c r="I345" i="26"/>
  <c r="E345" i="26" s="1"/>
  <c r="I651" i="26"/>
  <c r="E651" i="26" s="1"/>
  <c r="H2703" i="26"/>
  <c r="H1349" i="26"/>
  <c r="H4398" i="26"/>
  <c r="H2531" i="26"/>
  <c r="I1148" i="26"/>
  <c r="E1148" i="26" s="1"/>
  <c r="I251" i="26"/>
  <c r="E251" i="26" s="1"/>
  <c r="H4757" i="26"/>
  <c r="H5476" i="26"/>
  <c r="H2894" i="26"/>
  <c r="H4731" i="26"/>
  <c r="I1217" i="26"/>
  <c r="E1217" i="26" s="1"/>
  <c r="H1609" i="26"/>
  <c r="H2623" i="26"/>
  <c r="H400" i="26"/>
  <c r="H793" i="26"/>
  <c r="H1383" i="26"/>
  <c r="I411" i="26"/>
  <c r="E411" i="26" s="1"/>
  <c r="I2850" i="26"/>
  <c r="E2850" i="26" s="1"/>
  <c r="H2585" i="26"/>
  <c r="I513" i="26"/>
  <c r="E513" i="26" s="1"/>
  <c r="H2342" i="26"/>
  <c r="I5366" i="26"/>
  <c r="E5366" i="26" s="1"/>
  <c r="I2154" i="26"/>
  <c r="E2154" i="26" s="1"/>
  <c r="H6669" i="26"/>
  <c r="I6508" i="26"/>
  <c r="E6508" i="26" s="1"/>
  <c r="I1858" i="26"/>
  <c r="E1858" i="26" s="1"/>
  <c r="H701" i="26"/>
  <c r="I1075" i="26"/>
  <c r="E1075" i="26" s="1"/>
  <c r="I1396" i="26"/>
  <c r="E1396" i="26" s="1"/>
  <c r="H1088" i="26"/>
  <c r="H1966" i="26"/>
  <c r="I2191" i="26"/>
  <c r="E2191" i="26" s="1"/>
  <c r="I864" i="26"/>
  <c r="E864" i="26" s="1"/>
  <c r="I665" i="26"/>
  <c r="E665" i="26" s="1"/>
  <c r="H3057" i="26"/>
  <c r="H3605" i="26"/>
  <c r="I2062" i="26"/>
  <c r="E2062" i="26" s="1"/>
  <c r="H630" i="26"/>
  <c r="I1108" i="26"/>
  <c r="E1108" i="26" s="1"/>
  <c r="H4562" i="26"/>
  <c r="I899" i="26"/>
  <c r="E899" i="26" s="1"/>
  <c r="H362" i="26"/>
  <c r="H5119" i="26"/>
  <c r="H1006" i="26"/>
  <c r="H4311" i="26"/>
  <c r="H4806" i="26"/>
  <c r="H5595" i="26"/>
  <c r="I5944" i="26"/>
  <c r="E5944" i="26" s="1"/>
  <c r="I5529" i="26"/>
  <c r="E5529" i="26" s="1"/>
  <c r="I6166" i="26"/>
  <c r="E6166" i="26" s="1"/>
  <c r="I4331" i="26"/>
  <c r="E4331" i="26" s="1"/>
  <c r="I3435" i="26"/>
  <c r="E3435" i="26" s="1"/>
  <c r="H2536" i="26"/>
  <c r="H2274" i="26"/>
  <c r="H2714" i="26"/>
  <c r="H2541" i="26"/>
  <c r="D104" i="23"/>
  <c r="M104" i="23"/>
  <c r="H1377" i="26"/>
  <c r="I1442" i="26"/>
  <c r="E1442" i="26" s="1"/>
  <c r="H1426" i="26"/>
  <c r="I1466" i="26"/>
  <c r="E1466" i="26" s="1"/>
  <c r="R173" i="29"/>
  <c r="Q173" i="29"/>
  <c r="P173" i="29" s="1"/>
  <c r="R153" i="29"/>
  <c r="Q153" i="29"/>
  <c r="P153" i="29" s="1"/>
  <c r="Q133" i="29"/>
  <c r="P133" i="29" s="1"/>
  <c r="R133" i="29"/>
  <c r="Q113" i="29"/>
  <c r="P113" i="29" s="1"/>
  <c r="R113" i="29"/>
  <c r="Q93" i="29"/>
  <c r="P93" i="29" s="1"/>
  <c r="R93" i="29"/>
  <c r="R73" i="29"/>
  <c r="Q73" i="29"/>
  <c r="P73" i="29" s="1"/>
  <c r="Q36" i="29"/>
  <c r="P36" i="29" s="1"/>
  <c r="R36" i="29"/>
  <c r="R48" i="29"/>
  <c r="Q48" i="29"/>
  <c r="P48" i="29" s="1"/>
  <c r="H5719" i="26"/>
  <c r="I1411" i="26"/>
  <c r="E1411" i="26" s="1"/>
  <c r="I1025" i="26"/>
  <c r="E1025" i="26" s="1"/>
  <c r="H555" i="26"/>
  <c r="H1718" i="26"/>
  <c r="H1265" i="26"/>
  <c r="I629" i="26"/>
  <c r="E629" i="26" s="1"/>
  <c r="H1146" i="26"/>
  <c r="I1305" i="26"/>
  <c r="E1305" i="26" s="1"/>
  <c r="I1491" i="26"/>
  <c r="E1491" i="26" s="1"/>
  <c r="I390" i="26"/>
  <c r="E390" i="26" s="1"/>
  <c r="I1659" i="26"/>
  <c r="E1659" i="26" s="1"/>
  <c r="H417" i="26"/>
  <c r="H1550" i="26"/>
  <c r="H1659" i="26"/>
  <c r="I902" i="26"/>
  <c r="E902" i="26" s="1"/>
  <c r="I246" i="26"/>
  <c r="E246" i="26" s="1"/>
  <c r="H4422" i="26"/>
  <c r="I1103" i="26"/>
  <c r="E1103" i="26" s="1"/>
  <c r="H5409" i="26"/>
  <c r="H3961" i="26"/>
  <c r="I893" i="26"/>
  <c r="E893" i="26" s="1"/>
  <c r="H355" i="26"/>
  <c r="I1579" i="26"/>
  <c r="E1579" i="26" s="1"/>
  <c r="I1835" i="26"/>
  <c r="E1835" i="26" s="1"/>
  <c r="H4242" i="26"/>
  <c r="I1173" i="26"/>
  <c r="E1173" i="26" s="1"/>
  <c r="I2090" i="26"/>
  <c r="E2090" i="26" s="1"/>
  <c r="H4828" i="26"/>
  <c r="I2209" i="26"/>
  <c r="E2209" i="26" s="1"/>
  <c r="I563" i="26"/>
  <c r="E563" i="26" s="1"/>
  <c r="I384" i="26"/>
  <c r="E384" i="26" s="1"/>
  <c r="I763" i="26"/>
  <c r="E763" i="26" s="1"/>
  <c r="H1670" i="26"/>
  <c r="H4431" i="26"/>
  <c r="H5597" i="26"/>
  <c r="I1334" i="26"/>
  <c r="E1334" i="26" s="1"/>
  <c r="H2107" i="26"/>
  <c r="I1418" i="26"/>
  <c r="E1418" i="26" s="1"/>
  <c r="I1281" i="26"/>
  <c r="E1281" i="26" s="1"/>
  <c r="H270" i="26"/>
  <c r="H1134" i="26"/>
  <c r="H1668" i="26"/>
  <c r="H4045" i="26"/>
  <c r="H4273" i="26"/>
  <c r="H1952" i="26"/>
  <c r="I2101" i="26"/>
  <c r="E2101" i="26" s="1"/>
  <c r="I1831" i="26"/>
  <c r="E1831" i="26" s="1"/>
  <c r="H1490" i="26"/>
  <c r="H513" i="26"/>
  <c r="H1759" i="26"/>
  <c r="H1667" i="26"/>
  <c r="H3435" i="26"/>
  <c r="H3116" i="26"/>
  <c r="H1950" i="26"/>
  <c r="I1543" i="26"/>
  <c r="E1543" i="26" s="1"/>
  <c r="H1658" i="26"/>
  <c r="I1487" i="26"/>
  <c r="E1487" i="26" s="1"/>
  <c r="I358" i="26"/>
  <c r="E358" i="26" s="1"/>
  <c r="H753" i="26"/>
  <c r="I2043" i="26"/>
  <c r="E2043" i="26" s="1"/>
  <c r="H3064" i="26"/>
  <c r="H4720" i="26"/>
  <c r="H1573" i="26"/>
  <c r="H4768" i="26"/>
  <c r="H1028" i="26"/>
  <c r="I1018" i="26"/>
  <c r="E1018" i="26" s="1"/>
  <c r="I1008" i="26"/>
  <c r="E1008" i="26" s="1"/>
  <c r="H1276" i="26"/>
  <c r="H3904" i="26"/>
  <c r="H2110" i="26"/>
  <c r="I1176" i="26"/>
  <c r="E1176" i="26" s="1"/>
  <c r="I1083" i="26"/>
  <c r="E1083" i="26" s="1"/>
  <c r="I532" i="26"/>
  <c r="E532" i="26" s="1"/>
  <c r="H851" i="26"/>
  <c r="I1800" i="26"/>
  <c r="E1800" i="26" s="1"/>
  <c r="I1778" i="26"/>
  <c r="E1778" i="26" s="1"/>
  <c r="I1798" i="26"/>
  <c r="E1798" i="26" s="1"/>
  <c r="H3925" i="26"/>
  <c r="I1645" i="26"/>
  <c r="E1645" i="26" s="1"/>
  <c r="H748" i="26"/>
  <c r="I2166" i="26"/>
  <c r="E2166" i="26" s="1"/>
  <c r="I676" i="26"/>
  <c r="E676" i="26" s="1"/>
  <c r="H1972" i="26"/>
  <c r="H2954" i="26"/>
  <c r="I389" i="26"/>
  <c r="E389" i="26" s="1"/>
  <c r="I1167" i="26"/>
  <c r="E1167" i="26" s="1"/>
  <c r="H2002" i="26"/>
  <c r="I637" i="26"/>
  <c r="E637" i="26" s="1"/>
  <c r="I2812" i="26"/>
  <c r="E2812" i="26" s="1"/>
  <c r="H3277" i="26"/>
  <c r="H338" i="26"/>
  <c r="H4036" i="26"/>
  <c r="I2080" i="26"/>
  <c r="E2080" i="26" s="1"/>
  <c r="I2204" i="26"/>
  <c r="E2204" i="26" s="1"/>
  <c r="H2574" i="26"/>
  <c r="I2572" i="26"/>
  <c r="E2572" i="26" s="1"/>
  <c r="I1754" i="26"/>
  <c r="E1754" i="26" s="1"/>
  <c r="I1561" i="26"/>
  <c r="E1561" i="26" s="1"/>
  <c r="H728" i="26"/>
  <c r="H1348" i="26"/>
  <c r="H834" i="26"/>
  <c r="H6224" i="26"/>
  <c r="I1996" i="26"/>
  <c r="E1996" i="26" s="1"/>
  <c r="I1222" i="26"/>
  <c r="E1222" i="26" s="1"/>
  <c r="I2033" i="26"/>
  <c r="E2033" i="26" s="1"/>
  <c r="I888" i="26"/>
  <c r="E888" i="26" s="1"/>
  <c r="I747" i="26"/>
  <c r="E747" i="26" s="1"/>
  <c r="H5176" i="26"/>
  <c r="I2230" i="26"/>
  <c r="E2230" i="26" s="1"/>
  <c r="H3727" i="26"/>
  <c r="H2164" i="26"/>
  <c r="H835" i="26"/>
  <c r="H1116" i="26"/>
  <c r="H4749" i="26"/>
  <c r="H2429" i="26"/>
  <c r="H5699" i="26"/>
  <c r="H3090" i="26"/>
  <c r="H3970" i="26"/>
  <c r="I4221" i="26"/>
  <c r="E4221" i="26" s="1"/>
  <c r="H6668" i="26"/>
  <c r="I4790" i="26"/>
  <c r="E4790" i="26" s="1"/>
  <c r="I2631" i="26"/>
  <c r="E2631" i="26" s="1"/>
  <c r="I6754" i="26"/>
  <c r="E6754" i="26" s="1"/>
  <c r="I4664" i="26"/>
  <c r="E4664" i="26" s="1"/>
  <c r="I2065" i="26"/>
  <c r="E2065" i="26" s="1"/>
  <c r="H562" i="26"/>
  <c r="I1317" i="26"/>
  <c r="E1317" i="26" s="1"/>
  <c r="I961" i="26"/>
  <c r="E961" i="26" s="1"/>
  <c r="Q172" i="29"/>
  <c r="P172" i="29" s="1"/>
  <c r="R172" i="29"/>
  <c r="Q152" i="29"/>
  <c r="P152" i="29" s="1"/>
  <c r="R152" i="29"/>
  <c r="Q132" i="29"/>
  <c r="P132" i="29" s="1"/>
  <c r="R132" i="29"/>
  <c r="R112" i="29"/>
  <c r="Q112" i="29"/>
  <c r="P112" i="29" s="1"/>
  <c r="Q92" i="29"/>
  <c r="P92" i="29" s="1"/>
  <c r="R92" i="29"/>
  <c r="R72" i="29"/>
  <c r="Q72" i="29"/>
  <c r="P72" i="29" s="1"/>
  <c r="Q54" i="29"/>
  <c r="P54" i="29" s="1"/>
  <c r="R54" i="29"/>
  <c r="Q35" i="29"/>
  <c r="P35" i="29" s="1"/>
  <c r="R35" i="29"/>
  <c r="I1207" i="26"/>
  <c r="E1207" i="26" s="1"/>
  <c r="H2058" i="26"/>
  <c r="I320" i="26"/>
  <c r="E320" i="26" s="1"/>
  <c r="I35" i="26"/>
  <c r="E35" i="26" s="1"/>
  <c r="H917" i="26"/>
  <c r="I1372" i="26"/>
  <c r="E1372" i="26" s="1"/>
  <c r="I473" i="26"/>
  <c r="E473" i="26" s="1"/>
  <c r="I1820" i="26"/>
  <c r="E1820" i="26" s="1"/>
  <c r="H6670" i="26"/>
  <c r="I371" i="26"/>
  <c r="E371" i="26" s="1"/>
  <c r="H202" i="26"/>
  <c r="I2234" i="26"/>
  <c r="E2234" i="26" s="1"/>
  <c r="H958" i="26"/>
  <c r="H502" i="26"/>
  <c r="I1799" i="26"/>
  <c r="E1799" i="26" s="1"/>
  <c r="H1855" i="26"/>
  <c r="I986" i="26"/>
  <c r="E986" i="26" s="1"/>
  <c r="I1164" i="26"/>
  <c r="E1164" i="26" s="1"/>
  <c r="I698" i="26"/>
  <c r="E698" i="26" s="1"/>
  <c r="H3157" i="26"/>
  <c r="I2565" i="26"/>
  <c r="E2565" i="26" s="1"/>
  <c r="H849" i="26"/>
  <c r="I973" i="26"/>
  <c r="E973" i="26" s="1"/>
  <c r="I471" i="26"/>
  <c r="E471" i="26" s="1"/>
  <c r="I1635" i="26"/>
  <c r="E1635" i="26" s="1"/>
  <c r="H3672" i="26"/>
  <c r="I1977" i="26"/>
  <c r="E1977" i="26" s="1"/>
  <c r="H2344" i="26"/>
  <c r="H3197" i="26"/>
  <c r="I802" i="26"/>
  <c r="E802" i="26" s="1"/>
  <c r="I2235" i="26"/>
  <c r="E2235" i="26" s="1"/>
  <c r="I998" i="26"/>
  <c r="E998" i="26" s="1"/>
  <c r="H503" i="26"/>
  <c r="I1642" i="26"/>
  <c r="E1642" i="26" s="1"/>
  <c r="I3085" i="26"/>
  <c r="E3085" i="26" s="1"/>
  <c r="H3842" i="26"/>
  <c r="I716" i="26"/>
  <c r="E716" i="26" s="1"/>
  <c r="H4966" i="26"/>
  <c r="I1175" i="26"/>
  <c r="E1175" i="26" s="1"/>
  <c r="H1686" i="26"/>
  <c r="H992" i="26"/>
  <c r="I386" i="26"/>
  <c r="E386" i="26" s="1"/>
  <c r="I2017" i="26"/>
  <c r="E2017" i="26" s="1"/>
  <c r="H4364" i="26"/>
  <c r="H2804" i="26"/>
  <c r="H2092" i="26"/>
  <c r="I4740" i="26"/>
  <c r="E4740" i="26" s="1"/>
  <c r="H1170" i="26"/>
  <c r="I1229" i="26"/>
  <c r="E1229" i="26" s="1"/>
  <c r="H987" i="26"/>
  <c r="I540" i="26"/>
  <c r="E540" i="26" s="1"/>
  <c r="I2015" i="26"/>
  <c r="E2015" i="26" s="1"/>
  <c r="H3339" i="26"/>
  <c r="H5360" i="26"/>
  <c r="I1716" i="26"/>
  <c r="E1716" i="26" s="1"/>
  <c r="H3166" i="26"/>
  <c r="I793" i="26"/>
  <c r="E793" i="26" s="1"/>
  <c r="I1440" i="26"/>
  <c r="E1440" i="26" s="1"/>
  <c r="I983" i="26"/>
  <c r="E983" i="26" s="1"/>
  <c r="I321" i="26"/>
  <c r="E321" i="26" s="1"/>
  <c r="I2014" i="26"/>
  <c r="E2014" i="26" s="1"/>
  <c r="H3836" i="26"/>
  <c r="H3888" i="26"/>
  <c r="I1544" i="26"/>
  <c r="E1544" i="26" s="1"/>
  <c r="I1916" i="26"/>
  <c r="E1916" i="26" s="1"/>
  <c r="H928" i="26"/>
  <c r="I918" i="26"/>
  <c r="E918" i="26" s="1"/>
  <c r="H2233" i="26"/>
  <c r="I2231" i="26"/>
  <c r="E2231" i="26" s="1"/>
  <c r="H4775" i="26"/>
  <c r="H3891" i="26"/>
  <c r="H1358" i="26"/>
  <c r="H695" i="26"/>
  <c r="H261" i="26"/>
  <c r="H2200" i="26"/>
  <c r="H1142" i="26"/>
  <c r="H1577" i="26"/>
  <c r="H1953" i="26"/>
  <c r="I2243" i="26"/>
  <c r="E2243" i="26" s="1"/>
  <c r="H2140" i="26"/>
  <c r="H1308" i="26"/>
  <c r="H1331" i="26"/>
  <c r="I576" i="26"/>
  <c r="E576" i="26" s="1"/>
  <c r="H2113" i="26"/>
  <c r="I729" i="26"/>
  <c r="E729" i="26" s="1"/>
  <c r="H1016" i="26"/>
  <c r="H1351" i="26"/>
  <c r="H1596" i="26"/>
  <c r="I460" i="26"/>
  <c r="E460" i="26" s="1"/>
  <c r="H3205" i="26"/>
  <c r="H6134" i="26"/>
  <c r="I351" i="26"/>
  <c r="E351" i="26" s="1"/>
  <c r="H788" i="26"/>
  <c r="H4516" i="26"/>
  <c r="H1623" i="26"/>
  <c r="H5686" i="26"/>
  <c r="H3715" i="26"/>
  <c r="I1220" i="26"/>
  <c r="E1220" i="26" s="1"/>
  <c r="H1532" i="26"/>
  <c r="I1906" i="26"/>
  <c r="E1906" i="26" s="1"/>
  <c r="I369" i="26"/>
  <c r="E369" i="26" s="1"/>
  <c r="H805" i="26"/>
  <c r="I1964" i="26"/>
  <c r="E1964" i="26" s="1"/>
  <c r="H1131" i="26"/>
  <c r="I226" i="26"/>
  <c r="E226" i="26" s="1"/>
  <c r="H1163" i="26"/>
  <c r="H444" i="26"/>
  <c r="H1926" i="26"/>
  <c r="H1842" i="26"/>
  <c r="I1827" i="26"/>
  <c r="E1827" i="26" s="1"/>
  <c r="I5916" i="26"/>
  <c r="E5916" i="26" s="1"/>
  <c r="I1664" i="26"/>
  <c r="E1664" i="26" s="1"/>
  <c r="I1753" i="26"/>
  <c r="E1753" i="26" s="1"/>
  <c r="H5989" i="26"/>
  <c r="I2733" i="26"/>
  <c r="E2733" i="26" s="1"/>
  <c r="H1576" i="26"/>
  <c r="H4569" i="26"/>
  <c r="H5108" i="26"/>
  <c r="I2831" i="26"/>
  <c r="E2831" i="26" s="1"/>
  <c r="H1794" i="26"/>
  <c r="H2974" i="26"/>
  <c r="H3769" i="26"/>
  <c r="H6580" i="26"/>
  <c r="I5037" i="26"/>
  <c r="E5037" i="26" s="1"/>
  <c r="I5091" i="26"/>
  <c r="E5091" i="26" s="1"/>
  <c r="H319" i="26"/>
  <c r="I1015" i="26"/>
  <c r="E1015" i="26" s="1"/>
  <c r="I2011" i="26"/>
  <c r="E2011" i="26" s="1"/>
  <c r="H478" i="26"/>
  <c r="Q171" i="29"/>
  <c r="P171" i="29" s="1"/>
  <c r="R171" i="29"/>
  <c r="Q151" i="29"/>
  <c r="P151" i="29" s="1"/>
  <c r="R151" i="29"/>
  <c r="R131" i="29"/>
  <c r="Q131" i="29"/>
  <c r="P131" i="29" s="1"/>
  <c r="R111" i="29"/>
  <c r="Q111" i="29"/>
  <c r="P111" i="29" s="1"/>
  <c r="R91" i="29"/>
  <c r="Q91" i="29"/>
  <c r="P91" i="29" s="1"/>
  <c r="Q71" i="29"/>
  <c r="P71" i="29" s="1"/>
  <c r="R71" i="29"/>
  <c r="Q66" i="29"/>
  <c r="P66" i="29" s="1"/>
  <c r="R66" i="29"/>
  <c r="I933" i="26"/>
  <c r="E933" i="26" s="1"/>
  <c r="H1484" i="26"/>
  <c r="I788" i="26"/>
  <c r="E788" i="26" s="1"/>
  <c r="I252" i="26"/>
  <c r="E252" i="26" s="1"/>
  <c r="I1203" i="26"/>
  <c r="E1203" i="26" s="1"/>
  <c r="I325" i="26"/>
  <c r="E325" i="26" s="1"/>
  <c r="H1220" i="26"/>
  <c r="H1912" i="26"/>
  <c r="I1988" i="26"/>
  <c r="E1988" i="26" s="1"/>
  <c r="H777" i="26"/>
  <c r="I1495" i="26"/>
  <c r="E1495" i="26" s="1"/>
  <c r="H1463" i="26"/>
  <c r="I263" i="26"/>
  <c r="E263" i="26" s="1"/>
  <c r="H5793" i="26"/>
  <c r="H1412" i="26"/>
  <c r="I1483" i="26"/>
  <c r="E1483" i="26" s="1"/>
  <c r="H1592" i="26"/>
  <c r="I3357" i="26"/>
  <c r="E3357" i="26" s="1"/>
  <c r="I4147" i="26"/>
  <c r="E4147" i="26" s="1"/>
  <c r="H3994" i="26"/>
  <c r="H1823" i="26"/>
  <c r="H1260" i="26"/>
  <c r="I259" i="26"/>
  <c r="E259" i="26" s="1"/>
  <c r="I1739" i="26"/>
  <c r="E1739" i="26" s="1"/>
  <c r="H6322" i="26"/>
  <c r="I1115" i="26"/>
  <c r="E1115" i="26" s="1"/>
  <c r="H5513" i="26"/>
  <c r="H4662" i="26"/>
  <c r="I1931" i="26"/>
  <c r="E1931" i="26" s="1"/>
  <c r="I1416" i="26"/>
  <c r="E1416" i="26" s="1"/>
  <c r="I1277" i="26"/>
  <c r="E1277" i="26" s="1"/>
  <c r="H493" i="26"/>
  <c r="I1131" i="26"/>
  <c r="E1131" i="26" s="1"/>
  <c r="H4409" i="26"/>
  <c r="I1370" i="26"/>
  <c r="E1370" i="26" s="1"/>
  <c r="H4140" i="26"/>
  <c r="H4942" i="26"/>
  <c r="H3552" i="26"/>
  <c r="H2034" i="26"/>
  <c r="H1273" i="26"/>
  <c r="I424" i="26"/>
  <c r="E424" i="26" s="1"/>
  <c r="H1755" i="26"/>
  <c r="I3907" i="26"/>
  <c r="E3907" i="26" s="1"/>
  <c r="I781" i="26"/>
  <c r="E781" i="26" s="1"/>
  <c r="H2862" i="26"/>
  <c r="H5166" i="26"/>
  <c r="I3348" i="26"/>
  <c r="E3348" i="26" s="1"/>
  <c r="I1413" i="26"/>
  <c r="E1413" i="26" s="1"/>
  <c r="I1484" i="26"/>
  <c r="E1484" i="26" s="1"/>
  <c r="I364" i="26"/>
  <c r="E364" i="26" s="1"/>
  <c r="H1581" i="26"/>
  <c r="H2602" i="26"/>
  <c r="H1366" i="26"/>
  <c r="H5828" i="26"/>
  <c r="I1054" i="26"/>
  <c r="E1054" i="26" s="1"/>
  <c r="I2382" i="26"/>
  <c r="E2382" i="26" s="1"/>
  <c r="H2201" i="26"/>
  <c r="I1480" i="26"/>
  <c r="E1480" i="26" s="1"/>
  <c r="I354" i="26"/>
  <c r="E354" i="26" s="1"/>
  <c r="H2123" i="26"/>
  <c r="H5402" i="26"/>
  <c r="I778" i="26"/>
  <c r="E778" i="26" s="1"/>
  <c r="H3242" i="26"/>
  <c r="H4399" i="26"/>
  <c r="H1236" i="26"/>
  <c r="I1447" i="26"/>
  <c r="E1447" i="26" s="1"/>
  <c r="H1202" i="26"/>
  <c r="H1199" i="26"/>
  <c r="H2577" i="26"/>
  <c r="I6251" i="26"/>
  <c r="E6251" i="26" s="1"/>
  <c r="H1742" i="26"/>
  <c r="H4456" i="26"/>
  <c r="H1002" i="26"/>
  <c r="H2163" i="26"/>
  <c r="I2797" i="26"/>
  <c r="E2797" i="26" s="1"/>
  <c r="I1093" i="26"/>
  <c r="E1093" i="26" s="1"/>
  <c r="H1970" i="26"/>
  <c r="H2213" i="26"/>
  <c r="I397" i="26"/>
  <c r="E397" i="26" s="1"/>
  <c r="H4176" i="26"/>
  <c r="H5525" i="26"/>
  <c r="H860" i="26"/>
  <c r="H4658" i="26"/>
  <c r="H3631" i="26"/>
  <c r="I917" i="26"/>
  <c r="E917" i="26" s="1"/>
  <c r="H1566" i="26"/>
  <c r="I1943" i="26"/>
  <c r="E1943" i="26" s="1"/>
  <c r="I260" i="26"/>
  <c r="E260" i="26" s="1"/>
  <c r="I5718" i="26"/>
  <c r="E5718" i="26" s="1"/>
  <c r="H6775" i="26"/>
  <c r="I661" i="26"/>
  <c r="E661" i="26" s="1"/>
  <c r="H5355" i="26"/>
  <c r="H6494" i="26"/>
  <c r="H6105" i="26"/>
  <c r="H3190" i="26"/>
  <c r="H6726" i="26"/>
  <c r="H1827" i="26"/>
  <c r="H2786" i="26"/>
  <c r="H3969" i="26"/>
  <c r="H217" i="26"/>
  <c r="I1254" i="26"/>
  <c r="E1254" i="26" s="1"/>
  <c r="H1315" i="26"/>
  <c r="H1101" i="26"/>
  <c r="I541" i="26"/>
  <c r="E541" i="26" s="1"/>
  <c r="I3425" i="26"/>
  <c r="E3425" i="26" s="1"/>
  <c r="H2249" i="26"/>
  <c r="H2542" i="26"/>
  <c r="I431" i="26"/>
  <c r="E431" i="26" s="1"/>
  <c r="H785" i="26"/>
  <c r="H1613" i="26"/>
  <c r="I558" i="26"/>
  <c r="E558" i="26" s="1"/>
  <c r="H492" i="26"/>
  <c r="I2899" i="26"/>
  <c r="E2899" i="26" s="1"/>
  <c r="H6394" i="26"/>
  <c r="H5318" i="26"/>
  <c r="H5187" i="26"/>
  <c r="H5457" i="26"/>
  <c r="I3014" i="26"/>
  <c r="E3014" i="26" s="1"/>
  <c r="H2701" i="26"/>
  <c r="H2908" i="26"/>
  <c r="H4079" i="26"/>
  <c r="H6033" i="26"/>
  <c r="H4776" i="26"/>
  <c r="I4801" i="26"/>
  <c r="E4801" i="26" s="1"/>
  <c r="X37" i="16"/>
  <c r="D15" i="37"/>
  <c r="H15" i="37" s="1"/>
  <c r="F15" i="37"/>
  <c r="C15" i="37"/>
  <c r="G15" i="37"/>
  <c r="H238" i="26"/>
  <c r="Q82" i="1"/>
  <c r="P82" i="1" s="1"/>
  <c r="R82" i="1"/>
  <c r="Q77" i="1"/>
  <c r="P77" i="1" s="1"/>
  <c r="R77" i="1"/>
  <c r="R167" i="1"/>
  <c r="Q167" i="1"/>
  <c r="P167" i="1" s="1"/>
  <c r="Q37" i="1"/>
  <c r="P37" i="1" s="1"/>
  <c r="R37" i="1"/>
  <c r="R159" i="1"/>
  <c r="Q159" i="1"/>
  <c r="P159" i="1" s="1"/>
  <c r="Q102" i="1"/>
  <c r="P102" i="1" s="1"/>
  <c r="R102" i="1"/>
  <c r="Q184" i="1"/>
  <c r="P184" i="1" s="1"/>
  <c r="R184" i="1"/>
  <c r="Q58" i="1"/>
  <c r="P58" i="1" s="1"/>
  <c r="R58" i="1"/>
  <c r="Q166" i="31"/>
  <c r="P166" i="31" s="1"/>
  <c r="R166" i="31"/>
  <c r="Q146" i="31"/>
  <c r="P146" i="31" s="1"/>
  <c r="R146" i="31"/>
  <c r="R126" i="31"/>
  <c r="Q126" i="31"/>
  <c r="P126" i="31" s="1"/>
  <c r="Q106" i="31"/>
  <c r="P106" i="31" s="1"/>
  <c r="R106" i="31"/>
  <c r="R86" i="31"/>
  <c r="Q86" i="31"/>
  <c r="P86" i="31" s="1"/>
  <c r="Q63" i="31"/>
  <c r="P63" i="31" s="1"/>
  <c r="R63" i="31"/>
  <c r="R53" i="31"/>
  <c r="Q53" i="31"/>
  <c r="P53" i="31" s="1"/>
  <c r="L177" i="23"/>
  <c r="M177" i="23" s="1"/>
  <c r="D177" i="23"/>
  <c r="H2207" i="26"/>
  <c r="B15" i="37"/>
  <c r="R165" i="30"/>
  <c r="Q165" i="30"/>
  <c r="P165" i="30" s="1"/>
  <c r="Q145" i="30"/>
  <c r="P145" i="30" s="1"/>
  <c r="R145" i="30"/>
  <c r="R125" i="30"/>
  <c r="Q125" i="30"/>
  <c r="P125" i="30" s="1"/>
  <c r="R105" i="30"/>
  <c r="Q105" i="30"/>
  <c r="P105" i="30" s="1"/>
  <c r="R85" i="30"/>
  <c r="Q85" i="30"/>
  <c r="P85" i="30" s="1"/>
  <c r="R46" i="30"/>
  <c r="Q46" i="30"/>
  <c r="P46" i="30" s="1"/>
  <c r="Q62" i="30"/>
  <c r="P62" i="30" s="1"/>
  <c r="R62" i="30"/>
  <c r="Q160" i="1"/>
  <c r="P160" i="1" s="1"/>
  <c r="R160" i="1"/>
  <c r="R124" i="1"/>
  <c r="Q124" i="1"/>
  <c r="P124" i="1" s="1"/>
  <c r="Q161" i="1"/>
  <c r="P161" i="1" s="1"/>
  <c r="R161" i="1"/>
  <c r="Q52" i="1"/>
  <c r="P52" i="1" s="1"/>
  <c r="R52" i="1"/>
  <c r="Q98" i="1"/>
  <c r="P98" i="1" s="1"/>
  <c r="R98" i="1"/>
  <c r="R139" i="1"/>
  <c r="Q139" i="1"/>
  <c r="P139" i="1" s="1"/>
  <c r="R99" i="1"/>
  <c r="Q99" i="1"/>
  <c r="P99" i="1" s="1"/>
  <c r="R76" i="1"/>
  <c r="Q76" i="1"/>
  <c r="P76" i="1" s="1"/>
  <c r="R184" i="30"/>
  <c r="Q184" i="30"/>
  <c r="P184" i="30" s="1"/>
  <c r="Q164" i="30"/>
  <c r="P164" i="30" s="1"/>
  <c r="R164" i="30"/>
  <c r="R144" i="30"/>
  <c r="Q144" i="30"/>
  <c r="P144" i="30" s="1"/>
  <c r="Q124" i="30"/>
  <c r="P124" i="30" s="1"/>
  <c r="R124" i="30"/>
  <c r="Q104" i="30"/>
  <c r="P104" i="30" s="1"/>
  <c r="R104" i="30"/>
  <c r="Q84" i="30"/>
  <c r="P84" i="30" s="1"/>
  <c r="R84" i="30"/>
  <c r="Q67" i="30"/>
  <c r="P67" i="30" s="1"/>
  <c r="R67" i="30"/>
  <c r="R54" i="30"/>
  <c r="Q54" i="30"/>
  <c r="P54" i="30" s="1"/>
  <c r="H591" i="26"/>
  <c r="I2182" i="26"/>
  <c r="E2182" i="26" s="1"/>
  <c r="H256" i="26"/>
  <c r="H801" i="26"/>
  <c r="H374" i="26"/>
  <c r="I654" i="26"/>
  <c r="E654" i="26" s="1"/>
  <c r="H1548" i="26"/>
  <c r="H2037" i="26"/>
  <c r="I234" i="26"/>
  <c r="E234" i="26" s="1"/>
  <c r="H1466" i="26"/>
  <c r="I744" i="26"/>
  <c r="E744" i="26" s="1"/>
  <c r="H2198" i="26"/>
  <c r="I357" i="26"/>
  <c r="E357" i="26" s="1"/>
  <c r="H668" i="26"/>
  <c r="H1736" i="26"/>
  <c r="I2052" i="26"/>
  <c r="E2052" i="26" s="1"/>
  <c r="I418" i="26"/>
  <c r="E418" i="26" s="1"/>
  <c r="H207" i="26"/>
  <c r="I810" i="26"/>
  <c r="E810" i="26" s="1"/>
  <c r="H979" i="26"/>
  <c r="H982" i="26"/>
  <c r="H628" i="26"/>
  <c r="H1783" i="26"/>
  <c r="H1025" i="26"/>
  <c r="H404" i="26"/>
  <c r="H508" i="26"/>
  <c r="H2030" i="26"/>
  <c r="H406" i="26"/>
  <c r="I1183" i="26"/>
  <c r="E1183" i="26" s="1"/>
  <c r="H1217" i="26"/>
  <c r="H416" i="26"/>
  <c r="I2236" i="26"/>
  <c r="E2236" i="26" s="1"/>
  <c r="H2129" i="26"/>
  <c r="H244" i="26"/>
  <c r="H350" i="26"/>
  <c r="I444" i="26"/>
  <c r="E444" i="26" s="1"/>
  <c r="H1414" i="26"/>
  <c r="Q165" i="31"/>
  <c r="P165" i="31" s="1"/>
  <c r="R165" i="31"/>
  <c r="Q145" i="31"/>
  <c r="P145" i="31" s="1"/>
  <c r="R145" i="31"/>
  <c r="Q125" i="31"/>
  <c r="P125" i="31" s="1"/>
  <c r="R125" i="31"/>
  <c r="R105" i="31"/>
  <c r="Q105" i="31"/>
  <c r="P105" i="31" s="1"/>
  <c r="Q85" i="31"/>
  <c r="P85" i="31" s="1"/>
  <c r="R85" i="31"/>
  <c r="R48" i="31"/>
  <c r="Q48" i="31"/>
  <c r="P48" i="31" s="1"/>
  <c r="Q58" i="31"/>
  <c r="P58" i="31" s="1"/>
  <c r="R58" i="31"/>
  <c r="H2212" i="26"/>
  <c r="I900" i="26"/>
  <c r="E900" i="26" s="1"/>
  <c r="I1844" i="26"/>
  <c r="E1844" i="26" s="1"/>
  <c r="I469" i="26"/>
  <c r="E469" i="26" s="1"/>
  <c r="Q140" i="1"/>
  <c r="P140" i="1" s="1"/>
  <c r="R140" i="1"/>
  <c r="R34" i="1"/>
  <c r="Q34" i="1"/>
  <c r="P34" i="1" s="1"/>
  <c r="Q149" i="1"/>
  <c r="P149" i="1" s="1"/>
  <c r="R149" i="1"/>
  <c r="Q93" i="1"/>
  <c r="P93" i="1" s="1"/>
  <c r="R93" i="1"/>
  <c r="R47" i="1"/>
  <c r="Q47" i="1"/>
  <c r="P47" i="1" s="1"/>
  <c r="Q43" i="1"/>
  <c r="P43" i="1" s="1"/>
  <c r="R43" i="1"/>
  <c r="Q157" i="1"/>
  <c r="P157" i="1" s="1"/>
  <c r="R157" i="1"/>
  <c r="Q180" i="1"/>
  <c r="P180" i="1" s="1"/>
  <c r="R180" i="1"/>
  <c r="R183" i="30"/>
  <c r="Q183" i="30"/>
  <c r="P183" i="30" s="1"/>
  <c r="R163" i="30"/>
  <c r="Q163" i="30"/>
  <c r="P163" i="30" s="1"/>
  <c r="Q143" i="30"/>
  <c r="P143" i="30" s="1"/>
  <c r="R143" i="30"/>
  <c r="R123" i="30"/>
  <c r="Q123" i="30"/>
  <c r="P123" i="30" s="1"/>
  <c r="Q103" i="30"/>
  <c r="P103" i="30" s="1"/>
  <c r="R103" i="30"/>
  <c r="Q83" i="30"/>
  <c r="P83" i="30" s="1"/>
  <c r="R83" i="30"/>
  <c r="Q65" i="30"/>
  <c r="P65" i="30" s="1"/>
  <c r="R65" i="30"/>
  <c r="R52" i="30"/>
  <c r="Q52" i="30"/>
  <c r="P52" i="30" s="1"/>
  <c r="H577" i="26"/>
  <c r="H1774" i="26"/>
  <c r="I467" i="26"/>
  <c r="E467" i="26" s="1"/>
  <c r="H1637" i="26"/>
  <c r="H666" i="26"/>
  <c r="I1813" i="26"/>
  <c r="E1813" i="26" s="1"/>
  <c r="H554" i="26"/>
  <c r="I1584" i="26"/>
  <c r="E1584" i="26" s="1"/>
  <c r="H993" i="26"/>
  <c r="I1434" i="26"/>
  <c r="E1434" i="26" s="1"/>
  <c r="F15" i="6"/>
  <c r="G323" i="37"/>
  <c r="L185" i="31"/>
  <c r="F185" i="30"/>
  <c r="G185" i="1"/>
  <c r="K185" i="31"/>
  <c r="C185" i="30"/>
  <c r="L185" i="1"/>
  <c r="P341" i="31"/>
  <c r="S341" i="31" s="1"/>
  <c r="J341" i="31" s="1"/>
  <c r="L341" i="31" s="1"/>
  <c r="M184" i="29"/>
  <c r="N341" i="29"/>
  <c r="M185" i="30"/>
  <c r="N342" i="1"/>
  <c r="G185" i="30"/>
  <c r="J184" i="29"/>
  <c r="N341" i="31"/>
  <c r="M185" i="1"/>
  <c r="F185" i="31"/>
  <c r="L184" i="29"/>
  <c r="K184" i="29"/>
  <c r="J185" i="1"/>
  <c r="H185" i="1"/>
  <c r="N185" i="1" s="1"/>
  <c r="C184" i="29"/>
  <c r="G323" i="38"/>
  <c r="J185" i="30"/>
  <c r="G184" i="29"/>
  <c r="C185" i="1"/>
  <c r="N340" i="29"/>
  <c r="P341" i="1"/>
  <c r="S341" i="1" s="1"/>
  <c r="J341" i="1" s="1"/>
  <c r="L341" i="1" s="1"/>
  <c r="G323" i="6"/>
  <c r="N341" i="1"/>
  <c r="N342" i="30"/>
  <c r="N341" i="30"/>
  <c r="N342" i="31"/>
  <c r="H185" i="30"/>
  <c r="N185" i="30" s="1"/>
  <c r="L185" i="30"/>
  <c r="G323" i="39"/>
  <c r="I184" i="29"/>
  <c r="F184" i="29"/>
  <c r="G185" i="31"/>
  <c r="C185" i="31"/>
  <c r="F185" i="1"/>
  <c r="K185" i="30"/>
  <c r="H184" i="29"/>
  <c r="N184" i="29" s="1"/>
  <c r="I185" i="31"/>
  <c r="I185" i="30"/>
  <c r="M185" i="31"/>
  <c r="P340" i="29"/>
  <c r="S340" i="29" s="1"/>
  <c r="J340" i="29" s="1"/>
  <c r="L340" i="29" s="1"/>
  <c r="P341" i="30"/>
  <c r="S341" i="30" s="1"/>
  <c r="J341" i="30" s="1"/>
  <c r="L341" i="30" s="1"/>
  <c r="J185" i="31"/>
  <c r="H185" i="31"/>
  <c r="N185" i="31" s="1"/>
  <c r="I185" i="1"/>
  <c r="K185" i="1"/>
  <c r="I1807" i="26"/>
  <c r="E1807" i="26" s="1"/>
  <c r="H2045" i="26"/>
  <c r="I342" i="26"/>
  <c r="E342" i="26" s="1"/>
  <c r="I327" i="26"/>
  <c r="E327" i="26" s="1"/>
  <c r="H520" i="26"/>
  <c r="H1652" i="26"/>
  <c r="AS130" i="19"/>
  <c r="C138" i="26"/>
  <c r="H1650" i="26"/>
  <c r="H489" i="26"/>
  <c r="I1854" i="26"/>
  <c r="E1854" i="26" s="1"/>
  <c r="H3289" i="26"/>
  <c r="I870" i="26"/>
  <c r="E870" i="26" s="1"/>
  <c r="H1464" i="26"/>
  <c r="H215" i="26"/>
  <c r="H199" i="26"/>
  <c r="I1821" i="26"/>
  <c r="E1821" i="26" s="1"/>
  <c r="H522" i="26"/>
  <c r="H838" i="26"/>
  <c r="I301" i="26"/>
  <c r="E301" i="26" s="1"/>
  <c r="I2064" i="26"/>
  <c r="E2064" i="26" s="1"/>
  <c r="R184" i="31"/>
  <c r="Q184" i="31"/>
  <c r="P184" i="31" s="1"/>
  <c r="R164" i="31"/>
  <c r="Q164" i="31"/>
  <c r="P164" i="31" s="1"/>
  <c r="R144" i="31"/>
  <c r="Q144" i="31"/>
  <c r="P144" i="31" s="1"/>
  <c r="Q124" i="31"/>
  <c r="P124" i="31" s="1"/>
  <c r="R124" i="31"/>
  <c r="Q104" i="31"/>
  <c r="P104" i="31" s="1"/>
  <c r="R104" i="31"/>
  <c r="R84" i="31"/>
  <c r="Q84" i="31"/>
  <c r="P84" i="31" s="1"/>
  <c r="Q68" i="31"/>
  <c r="P68" i="31" s="1"/>
  <c r="R68" i="31"/>
  <c r="Q66" i="31"/>
  <c r="P66" i="31" s="1"/>
  <c r="R66" i="31"/>
  <c r="H1756" i="26"/>
  <c r="I365" i="26"/>
  <c r="E365" i="26" s="1"/>
  <c r="I1462" i="26"/>
  <c r="E1462" i="26" s="1"/>
  <c r="H557" i="26"/>
  <c r="Q165" i="1"/>
  <c r="P165" i="1" s="1"/>
  <c r="R165" i="1"/>
  <c r="Q67" i="1"/>
  <c r="P67" i="1" s="1"/>
  <c r="R67" i="1"/>
  <c r="R168" i="1"/>
  <c r="Q168" i="1"/>
  <c r="P168" i="1" s="1"/>
  <c r="Q85" i="1"/>
  <c r="P85" i="1" s="1"/>
  <c r="R85" i="1"/>
  <c r="Q183" i="1"/>
  <c r="P183" i="1" s="1"/>
  <c r="R183" i="1"/>
  <c r="Q115" i="1"/>
  <c r="P115" i="1" s="1"/>
  <c r="R115" i="1"/>
  <c r="R137" i="1"/>
  <c r="Q137" i="1"/>
  <c r="P137" i="1" s="1"/>
  <c r="R182" i="30"/>
  <c r="Q182" i="30"/>
  <c r="P182" i="30" s="1"/>
  <c r="R162" i="30"/>
  <c r="Q162" i="30"/>
  <c r="P162" i="30" s="1"/>
  <c r="Q142" i="30"/>
  <c r="P142" i="30" s="1"/>
  <c r="R142" i="30"/>
  <c r="Q122" i="30"/>
  <c r="P122" i="30" s="1"/>
  <c r="R122" i="30"/>
  <c r="Q102" i="30"/>
  <c r="P102" i="30" s="1"/>
  <c r="R102" i="30"/>
  <c r="Q82" i="30"/>
  <c r="P82" i="30" s="1"/>
  <c r="R82" i="30"/>
  <c r="R33" i="30"/>
  <c r="Q33" i="30"/>
  <c r="P33" i="30" s="1"/>
  <c r="R57" i="30"/>
  <c r="Q57" i="30"/>
  <c r="P57" i="30" s="1"/>
  <c r="H4182" i="26"/>
  <c r="I1428" i="26"/>
  <c r="E1428" i="26" s="1"/>
  <c r="H211" i="26"/>
  <c r="H6425" i="26"/>
  <c r="I392" i="26"/>
  <c r="E392" i="26" s="1"/>
  <c r="I1559" i="26"/>
  <c r="E1559" i="26" s="1"/>
  <c r="H1695" i="26"/>
  <c r="I1455" i="26"/>
  <c r="E1455" i="26" s="1"/>
  <c r="H321" i="26"/>
  <c r="Z81" i="19"/>
  <c r="I1650" i="26"/>
  <c r="E1650" i="26" s="1"/>
  <c r="I492" i="26"/>
  <c r="E492" i="26" s="1"/>
  <c r="I1682" i="26"/>
  <c r="E1682" i="26" s="1"/>
  <c r="H576" i="26"/>
  <c r="I1969" i="26"/>
  <c r="E1969" i="26" s="1"/>
  <c r="I897" i="26"/>
  <c r="E897" i="26" s="1"/>
  <c r="H2180" i="26"/>
  <c r="I401" i="26"/>
  <c r="E401" i="26" s="1"/>
  <c r="H959" i="26"/>
  <c r="I1001" i="26"/>
  <c r="E1001" i="26" s="1"/>
  <c r="H1608" i="26"/>
  <c r="H2055" i="26"/>
  <c r="H2197" i="26"/>
  <c r="C185" i="26"/>
  <c r="AS177" i="19"/>
  <c r="H612" i="26"/>
  <c r="H1145" i="26"/>
  <c r="I1282" i="26"/>
  <c r="E1282" i="26" s="1"/>
  <c r="Q183" i="31"/>
  <c r="P183" i="31" s="1"/>
  <c r="R183" i="31"/>
  <c r="Q163" i="31"/>
  <c r="P163" i="31" s="1"/>
  <c r="R163" i="31"/>
  <c r="Q143" i="31"/>
  <c r="P143" i="31" s="1"/>
  <c r="R143" i="31"/>
  <c r="Q123" i="31"/>
  <c r="P123" i="31" s="1"/>
  <c r="R123" i="31"/>
  <c r="Q103" i="31"/>
  <c r="P103" i="31" s="1"/>
  <c r="R103" i="31"/>
  <c r="R83" i="31"/>
  <c r="Q83" i="31"/>
  <c r="P83" i="31" s="1"/>
  <c r="R67" i="31"/>
  <c r="Q67" i="31"/>
  <c r="P67" i="31" s="1"/>
  <c r="Q61" i="31"/>
  <c r="P61" i="31" s="1"/>
  <c r="R61" i="31"/>
  <c r="I294" i="26"/>
  <c r="E294" i="26" s="1"/>
  <c r="I823" i="26"/>
  <c r="E823" i="26" s="1"/>
  <c r="H954" i="26"/>
  <c r="H1346" i="26"/>
  <c r="R132" i="1"/>
  <c r="Q132" i="1"/>
  <c r="P132" i="1" s="1"/>
  <c r="Q173" i="1"/>
  <c r="P173" i="1" s="1"/>
  <c r="R173" i="1"/>
  <c r="Q40" i="1"/>
  <c r="P40" i="1" s="1"/>
  <c r="R40" i="1"/>
  <c r="R163" i="1"/>
  <c r="Q163" i="1"/>
  <c r="P163" i="1" s="1"/>
  <c r="Q145" i="1"/>
  <c r="P145" i="1" s="1"/>
  <c r="R145" i="1"/>
  <c r="Q63" i="1"/>
  <c r="P63" i="1" s="1"/>
  <c r="R63" i="1"/>
  <c r="R78" i="1"/>
  <c r="Q78" i="1"/>
  <c r="P78" i="1" s="1"/>
  <c r="Q181" i="30"/>
  <c r="P181" i="30" s="1"/>
  <c r="R181" i="30"/>
  <c r="Q161" i="30"/>
  <c r="P161" i="30" s="1"/>
  <c r="R161" i="30"/>
  <c r="R141" i="30"/>
  <c r="Q141" i="30"/>
  <c r="P141" i="30" s="1"/>
  <c r="R121" i="30"/>
  <c r="Q121" i="30"/>
  <c r="P121" i="30" s="1"/>
  <c r="R101" i="30"/>
  <c r="Q101" i="30"/>
  <c r="P101" i="30" s="1"/>
  <c r="Q81" i="30"/>
  <c r="P81" i="30" s="1"/>
  <c r="R81" i="30"/>
  <c r="Q55" i="30"/>
  <c r="P55" i="30" s="1"/>
  <c r="R55" i="30"/>
  <c r="R43" i="30"/>
  <c r="Q43" i="30"/>
  <c r="P43" i="30" s="1"/>
  <c r="I6388" i="26"/>
  <c r="E6388" i="26" s="1"/>
  <c r="H2021" i="26"/>
  <c r="H1381" i="26"/>
  <c r="I2238" i="26"/>
  <c r="E2238" i="26" s="1"/>
  <c r="H2070" i="26"/>
  <c r="I1830" i="26"/>
  <c r="E1830" i="26" s="1"/>
  <c r="I873" i="26"/>
  <c r="E873" i="26" s="1"/>
  <c r="H659" i="26"/>
  <c r="H6049" i="26"/>
  <c r="I2026" i="26"/>
  <c r="E2026" i="26" s="1"/>
  <c r="H1634" i="26"/>
  <c r="I367" i="26"/>
  <c r="E367" i="26" s="1"/>
  <c r="H943" i="26"/>
  <c r="I931" i="26"/>
  <c r="E931" i="26" s="1"/>
  <c r="AS80" i="19"/>
  <c r="C88" i="26"/>
  <c r="H1267" i="26"/>
  <c r="I2136" i="26"/>
  <c r="E2136" i="26" s="1"/>
  <c r="H893" i="26"/>
  <c r="L132" i="23"/>
  <c r="M132" i="23" s="1"/>
  <c r="D132" i="23"/>
  <c r="I499" i="26"/>
  <c r="E499" i="26" s="1"/>
  <c r="H1187" i="26"/>
  <c r="H989" i="26"/>
  <c r="C168" i="26"/>
  <c r="AS160" i="19"/>
  <c r="I1619" i="26"/>
  <c r="E1619" i="26" s="1"/>
  <c r="H533" i="26"/>
  <c r="I1144" i="26"/>
  <c r="E1144" i="26" s="1"/>
  <c r="H1225" i="26"/>
  <c r="H1480" i="26"/>
  <c r="H2266" i="26"/>
  <c r="D179" i="23"/>
  <c r="H224" i="26"/>
  <c r="I2025" i="26"/>
  <c r="E2025" i="26" s="1"/>
  <c r="I659" i="26"/>
  <c r="E659" i="26" s="1"/>
  <c r="R182" i="31"/>
  <c r="Q182" i="31"/>
  <c r="P182" i="31" s="1"/>
  <c r="Q162" i="31"/>
  <c r="P162" i="31" s="1"/>
  <c r="R162" i="31"/>
  <c r="Q142" i="31"/>
  <c r="P142" i="31" s="1"/>
  <c r="R142" i="31"/>
  <c r="R122" i="31"/>
  <c r="Q122" i="31"/>
  <c r="P122" i="31" s="1"/>
  <c r="Q102" i="31"/>
  <c r="P102" i="31" s="1"/>
  <c r="R102" i="31"/>
  <c r="Q82" i="31"/>
  <c r="P82" i="31" s="1"/>
  <c r="R82" i="31"/>
  <c r="Q70" i="31"/>
  <c r="P70" i="31" s="1"/>
  <c r="R70" i="31"/>
  <c r="Q52" i="31"/>
  <c r="P52" i="31" s="1"/>
  <c r="R52" i="31"/>
  <c r="H1235" i="26"/>
  <c r="I1966" i="26"/>
  <c r="E1966" i="26" s="1"/>
  <c r="I536" i="26"/>
  <c r="E536" i="26" s="1"/>
  <c r="I1644" i="26"/>
  <c r="E1644" i="26" s="1"/>
  <c r="AQ40" i="19"/>
  <c r="B48" i="26"/>
  <c r="R151" i="1"/>
  <c r="Q151" i="1"/>
  <c r="P151" i="1" s="1"/>
  <c r="Q116" i="1"/>
  <c r="P116" i="1" s="1"/>
  <c r="R116" i="1"/>
  <c r="Q110" i="1"/>
  <c r="P110" i="1" s="1"/>
  <c r="R110" i="1"/>
  <c r="R71" i="1"/>
  <c r="Q71" i="1"/>
  <c r="P71" i="1" s="1"/>
  <c r="R75" i="1"/>
  <c r="Q75" i="1"/>
  <c r="P75" i="1" s="1"/>
  <c r="R69" i="1"/>
  <c r="Q69" i="1"/>
  <c r="P69" i="1" s="1"/>
  <c r="R111" i="1"/>
  <c r="Q111" i="1"/>
  <c r="P111" i="1" s="1"/>
  <c r="R180" i="30"/>
  <c r="Q180" i="30"/>
  <c r="P180" i="30" s="1"/>
  <c r="R160" i="30"/>
  <c r="Q160" i="30"/>
  <c r="P160" i="30" s="1"/>
  <c r="R140" i="30"/>
  <c r="Q140" i="30"/>
  <c r="P140" i="30" s="1"/>
  <c r="R120" i="30"/>
  <c r="Q120" i="30"/>
  <c r="P120" i="30" s="1"/>
  <c r="R100" i="30"/>
  <c r="Q100" i="30"/>
  <c r="P100" i="30" s="1"/>
  <c r="Q80" i="30"/>
  <c r="P80" i="30" s="1"/>
  <c r="R80" i="30"/>
  <c r="Q63" i="30"/>
  <c r="P63" i="30" s="1"/>
  <c r="R63" i="30"/>
  <c r="Q35" i="30"/>
  <c r="P35" i="30" s="1"/>
  <c r="R35" i="30"/>
  <c r="H282" i="26"/>
  <c r="H331" i="26"/>
  <c r="AS41" i="19"/>
  <c r="C49" i="26"/>
  <c r="I1278" i="26"/>
  <c r="E1278" i="26" s="1"/>
  <c r="H597" i="26"/>
  <c r="I1137" i="26"/>
  <c r="E1137" i="26" s="1"/>
  <c r="H348" i="26"/>
  <c r="I2069" i="26"/>
  <c r="E2069" i="26" s="1"/>
  <c r="I1415" i="26"/>
  <c r="E1415" i="26" s="1"/>
  <c r="H682" i="26"/>
  <c r="I583" i="26"/>
  <c r="E583" i="26" s="1"/>
  <c r="H566" i="26"/>
  <c r="I960" i="26"/>
  <c r="E960" i="26" s="1"/>
  <c r="H1979" i="26"/>
  <c r="H1674" i="26"/>
  <c r="I1252" i="26"/>
  <c r="E1252" i="26" s="1"/>
  <c r="I1834" i="26"/>
  <c r="E1834" i="26" s="1"/>
  <c r="H2116" i="26"/>
  <c r="H375" i="26"/>
  <c r="I1762" i="26"/>
  <c r="E1762" i="26" s="1"/>
  <c r="G88" i="26"/>
  <c r="AT80" i="19"/>
  <c r="AR80" i="19" s="1"/>
  <c r="I204" i="26"/>
  <c r="E204" i="26" s="1"/>
  <c r="H1813" i="26"/>
  <c r="H984" i="26"/>
  <c r="H1394" i="26"/>
  <c r="I2219" i="26"/>
  <c r="E2219" i="26" s="1"/>
  <c r="H491" i="26"/>
  <c r="L162" i="23"/>
  <c r="M162" i="23" s="1"/>
  <c r="D162" i="23"/>
  <c r="H5556" i="26"/>
  <c r="I1687" i="26"/>
  <c r="E1687" i="26" s="1"/>
  <c r="I439" i="26"/>
  <c r="E439" i="26" s="1"/>
  <c r="H1190" i="26"/>
  <c r="I652" i="26"/>
  <c r="E652" i="26" s="1"/>
  <c r="I990" i="26"/>
  <c r="E990" i="26" s="1"/>
  <c r="H2167" i="26"/>
  <c r="I1186" i="26"/>
  <c r="E1186" i="26" s="1"/>
  <c r="I2224" i="26"/>
  <c r="E2224" i="26" s="1"/>
  <c r="I333" i="26"/>
  <c r="E333" i="26" s="1"/>
  <c r="Q181" i="31"/>
  <c r="P181" i="31" s="1"/>
  <c r="R181" i="31"/>
  <c r="R161" i="31"/>
  <c r="Q161" i="31"/>
  <c r="P161" i="31" s="1"/>
  <c r="R141" i="31"/>
  <c r="Q141" i="31"/>
  <c r="P141" i="31" s="1"/>
  <c r="Q121" i="31"/>
  <c r="P121" i="31" s="1"/>
  <c r="R121" i="31"/>
  <c r="Q101" i="31"/>
  <c r="P101" i="31" s="1"/>
  <c r="R101" i="31"/>
  <c r="R81" i="31"/>
  <c r="Q81" i="31"/>
  <c r="P81" i="31" s="1"/>
  <c r="Q36" i="31"/>
  <c r="P36" i="31" s="1"/>
  <c r="R36" i="31"/>
  <c r="R35" i="31"/>
  <c r="Q35" i="31"/>
  <c r="P35" i="31" s="1"/>
  <c r="H363" i="26"/>
  <c r="H1408" i="26"/>
  <c r="H340" i="26"/>
  <c r="R144" i="1"/>
  <c r="Q144" i="1"/>
  <c r="P144" i="1" s="1"/>
  <c r="R92" i="1"/>
  <c r="Q92" i="1"/>
  <c r="P92" i="1" s="1"/>
  <c r="Q36" i="1"/>
  <c r="P36" i="1" s="1"/>
  <c r="R36" i="1"/>
  <c r="Q60" i="1"/>
  <c r="P60" i="1" s="1"/>
  <c r="R60" i="1"/>
  <c r="R84" i="1"/>
  <c r="Q84" i="1"/>
  <c r="P84" i="1" s="1"/>
  <c r="Q178" i="1"/>
  <c r="P178" i="1" s="1"/>
  <c r="R178" i="1"/>
  <c r="R94" i="1"/>
  <c r="Q94" i="1"/>
  <c r="P94" i="1" s="1"/>
  <c r="R179" i="30"/>
  <c r="Q179" i="30"/>
  <c r="P179" i="30" s="1"/>
  <c r="R159" i="30"/>
  <c r="Q159" i="30"/>
  <c r="P159" i="30" s="1"/>
  <c r="Q139" i="30"/>
  <c r="P139" i="30" s="1"/>
  <c r="R139" i="30"/>
  <c r="R119" i="30"/>
  <c r="Q119" i="30"/>
  <c r="P119" i="30" s="1"/>
  <c r="Q99" i="30"/>
  <c r="P99" i="30" s="1"/>
  <c r="R99" i="30"/>
  <c r="Q79" i="30"/>
  <c r="P79" i="30" s="1"/>
  <c r="R79" i="30"/>
  <c r="Q60" i="30"/>
  <c r="P60" i="30" s="1"/>
  <c r="R60" i="30"/>
  <c r="R64" i="30"/>
  <c r="Q64" i="30"/>
  <c r="P64" i="30" s="1"/>
  <c r="I1155" i="26"/>
  <c r="E1155" i="26" s="1"/>
  <c r="H343" i="26"/>
  <c r="AT41" i="19"/>
  <c r="AR41" i="19" s="1"/>
  <c r="G49" i="26"/>
  <c r="H216" i="26"/>
  <c r="I374" i="26"/>
  <c r="E374" i="26" s="1"/>
  <c r="Z61" i="19"/>
  <c r="I656" i="26"/>
  <c r="E656" i="26" s="1"/>
  <c r="H983" i="26"/>
  <c r="I1444" i="26"/>
  <c r="E1444" i="26" s="1"/>
  <c r="H4578" i="26"/>
  <c r="I1030" i="26"/>
  <c r="E1030" i="26" s="1"/>
  <c r="A17" i="39"/>
  <c r="E16" i="39"/>
  <c r="A171" i="39"/>
  <c r="F171" i="39" s="1"/>
  <c r="B16" i="39"/>
  <c r="D16" i="39"/>
  <c r="H16" i="39" s="1"/>
  <c r="C16" i="39"/>
  <c r="G16" i="39"/>
  <c r="F16" i="39"/>
  <c r="I404" i="26"/>
  <c r="E404" i="26" s="1"/>
  <c r="H279" i="26"/>
  <c r="I1405" i="26"/>
  <c r="E1405" i="26" s="1"/>
  <c r="H1147" i="26"/>
  <c r="I673" i="26"/>
  <c r="E673" i="26" s="1"/>
  <c r="H859" i="26"/>
  <c r="I2359" i="26"/>
  <c r="E2359" i="26" s="1"/>
  <c r="H1438" i="26"/>
  <c r="H558" i="26"/>
  <c r="I1814" i="26"/>
  <c r="E1814" i="26" s="1"/>
  <c r="H1179" i="26"/>
  <c r="H2217" i="26"/>
  <c r="I480" i="26"/>
  <c r="E480" i="26" s="1"/>
  <c r="H1241" i="26"/>
  <c r="I874" i="26"/>
  <c r="E874" i="26" s="1"/>
  <c r="H341" i="26"/>
  <c r="H5700" i="26"/>
  <c r="I668" i="26"/>
  <c r="E668" i="26" s="1"/>
  <c r="I884" i="26"/>
  <c r="E884" i="26" s="1"/>
  <c r="H2221" i="26"/>
  <c r="K170" i="38"/>
  <c r="L170" i="38" s="1"/>
  <c r="G170" i="38"/>
  <c r="B170" i="38"/>
  <c r="I549" i="26"/>
  <c r="E549" i="26" s="1"/>
  <c r="I362" i="26"/>
  <c r="E362" i="26" s="1"/>
  <c r="H1200" i="26"/>
  <c r="H899" i="26"/>
  <c r="H883" i="26"/>
  <c r="I257" i="26"/>
  <c r="E257" i="26" s="1"/>
  <c r="R180" i="31"/>
  <c r="Q180" i="31"/>
  <c r="P180" i="31" s="1"/>
  <c r="R160" i="31"/>
  <c r="Q160" i="31"/>
  <c r="P160" i="31" s="1"/>
  <c r="Q140" i="31"/>
  <c r="P140" i="31" s="1"/>
  <c r="R140" i="31"/>
  <c r="R120" i="31"/>
  <c r="Q120" i="31"/>
  <c r="P120" i="31" s="1"/>
  <c r="R100" i="31"/>
  <c r="Q100" i="31"/>
  <c r="P100" i="31" s="1"/>
  <c r="R80" i="31"/>
  <c r="Q80" i="31"/>
  <c r="P80" i="31" s="1"/>
  <c r="R65" i="31"/>
  <c r="Q65" i="31"/>
  <c r="P65" i="31" s="1"/>
  <c r="Q45" i="31"/>
  <c r="P45" i="31" s="1"/>
  <c r="R45" i="31"/>
  <c r="I1615" i="26"/>
  <c r="E1615" i="26" s="1"/>
  <c r="H2228" i="26"/>
  <c r="R42" i="1"/>
  <c r="Q42" i="1"/>
  <c r="P42" i="1" s="1"/>
  <c r="R122" i="1"/>
  <c r="Q122" i="1"/>
  <c r="P122" i="1" s="1"/>
  <c r="R114" i="1"/>
  <c r="Q114" i="1"/>
  <c r="P114" i="1" s="1"/>
  <c r="Q174" i="1"/>
  <c r="P174" i="1" s="1"/>
  <c r="R174" i="1"/>
  <c r="Q148" i="1"/>
  <c r="P148" i="1" s="1"/>
  <c r="R148" i="1"/>
  <c r="R49" i="1"/>
  <c r="Q49" i="1"/>
  <c r="P49" i="1" s="1"/>
  <c r="R44" i="1"/>
  <c r="Q44" i="1"/>
  <c r="P44" i="1" s="1"/>
  <c r="Q178" i="30"/>
  <c r="P178" i="30" s="1"/>
  <c r="R178" i="30"/>
  <c r="Q158" i="30"/>
  <c r="P158" i="30" s="1"/>
  <c r="R158" i="30"/>
  <c r="Q138" i="30"/>
  <c r="P138" i="30" s="1"/>
  <c r="R138" i="30"/>
  <c r="R118" i="30"/>
  <c r="Q118" i="30"/>
  <c r="P118" i="30" s="1"/>
  <c r="Q98" i="30"/>
  <c r="P98" i="30" s="1"/>
  <c r="R98" i="30"/>
  <c r="Q78" i="30"/>
  <c r="P78" i="30" s="1"/>
  <c r="R78" i="30"/>
  <c r="Q42" i="30"/>
  <c r="P42" i="30" s="1"/>
  <c r="R42" i="30"/>
  <c r="R66" i="30"/>
  <c r="Q66" i="30"/>
  <c r="P66" i="30" s="1"/>
  <c r="D62" i="23"/>
  <c r="M62" i="23"/>
  <c r="I23" i="26"/>
  <c r="E23" i="26" s="1"/>
  <c r="H15" i="26"/>
  <c r="I41" i="26"/>
  <c r="E41" i="26" s="1"/>
  <c r="I178" i="26"/>
  <c r="E178" i="26" s="1"/>
  <c r="H922" i="26"/>
  <c r="H2142" i="26"/>
  <c r="H1014" i="26"/>
  <c r="H639" i="26"/>
  <c r="I1185" i="26"/>
  <c r="E1185" i="26" s="1"/>
  <c r="H122" i="26"/>
  <c r="H23" i="26"/>
  <c r="I85" i="26"/>
  <c r="E85" i="26" s="1"/>
  <c r="H180" i="26"/>
  <c r="H41" i="26"/>
  <c r="H25" i="26"/>
  <c r="H16" i="26"/>
  <c r="I180" i="26"/>
  <c r="E180" i="26" s="1"/>
  <c r="I855" i="26"/>
  <c r="E855" i="26" s="1"/>
  <c r="I1205" i="26"/>
  <c r="E1205" i="26" s="1"/>
  <c r="H438" i="26"/>
  <c r="H83" i="26"/>
  <c r="H85" i="26"/>
  <c r="I135" i="26"/>
  <c r="E135" i="26" s="1"/>
  <c r="H119" i="26"/>
  <c r="H77" i="26"/>
  <c r="H1216" i="26"/>
  <c r="H1410" i="26"/>
  <c r="H1477" i="26"/>
  <c r="H2191" i="26"/>
  <c r="H914" i="26"/>
  <c r="H1268" i="26"/>
  <c r="I329" i="26"/>
  <c r="E329" i="26" s="1"/>
  <c r="I83" i="26"/>
  <c r="E83" i="26" s="1"/>
  <c r="I106" i="26"/>
  <c r="E106" i="26" s="1"/>
  <c r="H135" i="26"/>
  <c r="I112" i="26"/>
  <c r="E112" i="26" s="1"/>
  <c r="H57" i="26"/>
  <c r="H154" i="26"/>
  <c r="I147" i="26"/>
  <c r="E147" i="26" s="1"/>
  <c r="I33" i="26"/>
  <c r="E33" i="26" s="1"/>
  <c r="I15" i="26"/>
  <c r="E15" i="26" s="1"/>
  <c r="H33" i="26"/>
  <c r="I30" i="26"/>
  <c r="E30" i="26" s="1"/>
  <c r="I119" i="26"/>
  <c r="E119" i="26" s="1"/>
  <c r="I253" i="26"/>
  <c r="E253" i="26" s="1"/>
  <c r="I2067" i="26"/>
  <c r="E2067" i="26" s="1"/>
  <c r="I694" i="26"/>
  <c r="E694" i="26" s="1"/>
  <c r="H507" i="26"/>
  <c r="H2219" i="26"/>
  <c r="H6136" i="26"/>
  <c r="I1385" i="26"/>
  <c r="E1385" i="26" s="1"/>
  <c r="I1661" i="26"/>
  <c r="E1661" i="26" s="1"/>
  <c r="I1445" i="26"/>
  <c r="E1445" i="26" s="1"/>
  <c r="H909" i="26"/>
  <c r="H1010" i="26"/>
  <c r="H544" i="26"/>
  <c r="H484" i="26"/>
  <c r="H2156" i="26"/>
  <c r="I1408" i="26"/>
  <c r="E1408" i="26" s="1"/>
  <c r="I849" i="26"/>
  <c r="E849" i="26" s="1"/>
  <c r="I1266" i="26"/>
  <c r="E1266" i="26" s="1"/>
  <c r="I981" i="26"/>
  <c r="E981" i="26" s="1"/>
  <c r="H466" i="26"/>
  <c r="H514" i="26"/>
  <c r="H758" i="26"/>
  <c r="H2206" i="26"/>
  <c r="H549" i="26"/>
  <c r="H90" i="26"/>
  <c r="I1398" i="26"/>
  <c r="E1398" i="26" s="1"/>
  <c r="H1841" i="26"/>
  <c r="I1456" i="26"/>
  <c r="E1456" i="26" s="1"/>
  <c r="I945" i="26"/>
  <c r="E945" i="26" s="1"/>
  <c r="H220" i="26"/>
  <c r="H418" i="26"/>
  <c r="H1851" i="26"/>
  <c r="I702" i="26"/>
  <c r="E702" i="26" s="1"/>
  <c r="H1631" i="26"/>
  <c r="I2038" i="26"/>
  <c r="E2038" i="26" s="1"/>
  <c r="H858" i="26"/>
  <c r="H568" i="26"/>
  <c r="H669" i="26"/>
  <c r="H305" i="26"/>
  <c r="I236" i="26"/>
  <c r="E236" i="26" s="1"/>
  <c r="I2160" i="26"/>
  <c r="E2160" i="26" s="1"/>
  <c r="H1409" i="26"/>
  <c r="H1681" i="26"/>
  <c r="I1269" i="26"/>
  <c r="E1269" i="26" s="1"/>
  <c r="H985" i="26"/>
  <c r="I241" i="26"/>
  <c r="E241" i="26" s="1"/>
  <c r="H292" i="26"/>
  <c r="I1598" i="26"/>
  <c r="E1598" i="26" s="1"/>
  <c r="H833" i="26"/>
  <c r="H437" i="26"/>
  <c r="H46" i="26"/>
  <c r="H179" i="26"/>
  <c r="I757" i="26"/>
  <c r="E757" i="26" s="1"/>
  <c r="H619" i="26"/>
  <c r="I435" i="26"/>
  <c r="E435" i="26" s="1"/>
  <c r="I1643" i="26"/>
  <c r="E1643" i="26" s="1"/>
  <c r="H2047" i="26"/>
  <c r="I871" i="26"/>
  <c r="E871" i="26" s="1"/>
  <c r="I950" i="26"/>
  <c r="E950" i="26" s="1"/>
  <c r="I450" i="26"/>
  <c r="E450" i="26" s="1"/>
  <c r="H235" i="26"/>
  <c r="I1857" i="26"/>
  <c r="E1857" i="26" s="1"/>
  <c r="H729" i="26"/>
  <c r="H802" i="26"/>
  <c r="I831" i="26"/>
  <c r="E831" i="26" s="1"/>
  <c r="H1447" i="26"/>
  <c r="H919" i="26"/>
  <c r="H1020" i="26"/>
  <c r="H517" i="26"/>
  <c r="H1237" i="26"/>
  <c r="I2163" i="26"/>
  <c r="E2163" i="26" s="1"/>
  <c r="H1197" i="26"/>
  <c r="H2229" i="26"/>
  <c r="H1272" i="26"/>
  <c r="I645" i="26"/>
  <c r="E645" i="26" s="1"/>
  <c r="H435" i="26"/>
  <c r="H440" i="26"/>
  <c r="I1772" i="26"/>
  <c r="E1772" i="26" s="1"/>
  <c r="H1845" i="26"/>
  <c r="I297" i="26"/>
  <c r="E297" i="26" s="1"/>
  <c r="I114" i="26"/>
  <c r="E114" i="26" s="1"/>
  <c r="I40" i="26"/>
  <c r="E40" i="26" s="1"/>
  <c r="H167" i="26"/>
  <c r="H50" i="26"/>
  <c r="I1013" i="26"/>
  <c r="E1013" i="26" s="1"/>
  <c r="I479" i="26"/>
  <c r="E479" i="26" s="1"/>
  <c r="H479" i="26"/>
  <c r="H2190" i="26"/>
  <c r="H1843" i="26"/>
  <c r="H873" i="26"/>
  <c r="H608" i="26"/>
  <c r="I556" i="26"/>
  <c r="E556" i="26" s="1"/>
  <c r="H382" i="26"/>
  <c r="I2240" i="26"/>
  <c r="E2240" i="26" s="1"/>
  <c r="H1115" i="26"/>
  <c r="I2012" i="26"/>
  <c r="E2012" i="26" s="1"/>
  <c r="H2210" i="26"/>
  <c r="I1236" i="26"/>
  <c r="E1236" i="26" s="1"/>
  <c r="H924" i="26"/>
  <c r="H679" i="26"/>
  <c r="H543" i="26"/>
  <c r="H5580" i="26"/>
  <c r="H1375" i="26"/>
  <c r="H2031" i="26"/>
  <c r="H2230" i="26"/>
  <c r="I1489" i="26"/>
  <c r="E1489" i="26" s="1"/>
  <c r="I996" i="26"/>
  <c r="E996" i="26" s="1"/>
  <c r="H542" i="26"/>
  <c r="H299" i="26"/>
  <c r="I1984" i="26"/>
  <c r="E1984" i="26" s="1"/>
  <c r="I1231" i="26"/>
  <c r="E1231" i="26" s="1"/>
  <c r="H560" i="26"/>
  <c r="H100" i="26"/>
  <c r="I31" i="26"/>
  <c r="E31" i="26" s="1"/>
  <c r="I17" i="26"/>
  <c r="E17" i="26" s="1"/>
  <c r="I120" i="26"/>
  <c r="E120" i="26" s="1"/>
  <c r="I84" i="26"/>
  <c r="E84" i="26" s="1"/>
  <c r="I18" i="26"/>
  <c r="E18" i="26" s="1"/>
  <c r="H112" i="26"/>
  <c r="H304" i="26"/>
  <c r="H535" i="26"/>
  <c r="I443" i="26"/>
  <c r="E443" i="26" s="1"/>
  <c r="H1871" i="26"/>
  <c r="H2122" i="26"/>
  <c r="I1181" i="26"/>
  <c r="E1181" i="26" s="1"/>
  <c r="H1665" i="26"/>
  <c r="H1694" i="26"/>
  <c r="H929" i="26"/>
  <c r="H1030" i="26"/>
  <c r="H419" i="26"/>
  <c r="H3238" i="26"/>
  <c r="H1622" i="26"/>
  <c r="H1657" i="26"/>
  <c r="H1441" i="26"/>
  <c r="I904" i="26"/>
  <c r="E904" i="26" s="1"/>
  <c r="H654" i="26"/>
  <c r="H293" i="26"/>
  <c r="I239" i="26"/>
  <c r="E239" i="26" s="1"/>
  <c r="I1987" i="26"/>
  <c r="E1987" i="26" s="1"/>
  <c r="H1465" i="26"/>
  <c r="I440" i="26"/>
  <c r="E440" i="26" s="1"/>
  <c r="I161" i="26"/>
  <c r="E161" i="26" s="1"/>
  <c r="H31" i="26"/>
  <c r="H106" i="26"/>
  <c r="H84" i="26"/>
  <c r="H37" i="26"/>
  <c r="H18" i="26"/>
  <c r="I1161" i="26"/>
  <c r="E1161" i="26" s="1"/>
  <c r="H1074" i="26"/>
  <c r="I1819" i="26"/>
  <c r="E1819" i="26" s="1"/>
  <c r="H843" i="26"/>
  <c r="I881" i="26"/>
  <c r="E881" i="26" s="1"/>
  <c r="H964" i="26"/>
  <c r="I322" i="26"/>
  <c r="E322" i="26" s="1"/>
  <c r="H218" i="26"/>
  <c r="H1255" i="26"/>
  <c r="H1752" i="26"/>
  <c r="I2185" i="26"/>
  <c r="E2185" i="26" s="1"/>
  <c r="H1210" i="26"/>
  <c r="I1867" i="26"/>
  <c r="E1867" i="26" s="1"/>
  <c r="H588" i="26"/>
  <c r="H689" i="26"/>
  <c r="H280" i="26"/>
  <c r="H5232" i="26"/>
  <c r="H1796" i="26"/>
  <c r="I827" i="26"/>
  <c r="E827" i="26" s="1"/>
  <c r="H2063" i="26"/>
  <c r="H906" i="26"/>
  <c r="H1005" i="26"/>
  <c r="I546" i="26"/>
  <c r="E546" i="26" s="1"/>
  <c r="H553" i="26"/>
  <c r="H1369" i="26"/>
  <c r="I565" i="26"/>
  <c r="E565" i="26" s="1"/>
  <c r="I291" i="26"/>
  <c r="E291" i="26" s="1"/>
  <c r="H161" i="26"/>
  <c r="H44" i="26"/>
  <c r="I52" i="26"/>
  <c r="E52" i="26" s="1"/>
  <c r="I63" i="26"/>
  <c r="E63" i="26" s="1"/>
  <c r="I66" i="26"/>
  <c r="E66" i="26" s="1"/>
  <c r="I62" i="26"/>
  <c r="E62" i="26" s="1"/>
  <c r="H918" i="26"/>
  <c r="I136" i="26"/>
  <c r="E136" i="26" s="1"/>
  <c r="H512" i="26"/>
  <c r="I427" i="26"/>
  <c r="E427" i="26" s="1"/>
  <c r="I1482" i="26"/>
  <c r="E1482" i="26" s="1"/>
  <c r="H752" i="26"/>
  <c r="H2186" i="26"/>
  <c r="H2214" i="26"/>
  <c r="I1869" i="26"/>
  <c r="E1869" i="26" s="1"/>
  <c r="H593" i="26"/>
  <c r="I1040" i="26"/>
  <c r="E1040" i="26" s="1"/>
  <c r="I229" i="26"/>
  <c r="E229" i="26" s="1"/>
  <c r="H5061" i="26"/>
  <c r="H1384" i="26"/>
  <c r="I1204" i="26"/>
  <c r="E1204" i="26" s="1"/>
  <c r="I1689" i="26"/>
  <c r="E1689" i="26" s="1"/>
  <c r="H563" i="26"/>
  <c r="I1011" i="26"/>
  <c r="E1011" i="26" s="1"/>
  <c r="H258" i="26"/>
  <c r="I446" i="26"/>
  <c r="E446" i="26" s="1"/>
  <c r="H1793" i="26"/>
  <c r="I615" i="26"/>
  <c r="E615" i="26" s="1"/>
  <c r="H532" i="26"/>
  <c r="I123" i="26"/>
  <c r="E123" i="26" s="1"/>
  <c r="I42" i="26"/>
  <c r="E42" i="26" s="1"/>
  <c r="H52" i="26"/>
  <c r="H63" i="26"/>
  <c r="H13" i="26"/>
  <c r="I37" i="26"/>
  <c r="E37" i="26" s="1"/>
  <c r="H852" i="26"/>
  <c r="H103" i="26"/>
  <c r="I1475" i="26"/>
  <c r="E1475" i="26" s="1"/>
  <c r="I975" i="26"/>
  <c r="E975" i="26" s="1"/>
  <c r="H290" i="26"/>
  <c r="H465" i="26"/>
  <c r="I1283" i="26"/>
  <c r="E1283" i="26" s="1"/>
  <c r="H1758" i="26"/>
  <c r="H1812" i="26"/>
  <c r="H1213" i="26"/>
  <c r="H1870" i="26"/>
  <c r="H944" i="26"/>
  <c r="I326" i="26"/>
  <c r="E326" i="26" s="1"/>
  <c r="I555" i="26"/>
  <c r="E555" i="26" s="1"/>
  <c r="H1077" i="26"/>
  <c r="H2177" i="26"/>
  <c r="H1661" i="26"/>
  <c r="H1690" i="26"/>
  <c r="I569" i="26"/>
  <c r="E569" i="26" s="1"/>
  <c r="H1015" i="26"/>
  <c r="I400" i="26"/>
  <c r="E400" i="26" s="1"/>
  <c r="H537" i="26"/>
  <c r="I2172" i="26"/>
  <c r="E2172" i="26" s="1"/>
  <c r="I690" i="26"/>
  <c r="E690" i="26" s="1"/>
  <c r="I346" i="26"/>
  <c r="E346" i="26" s="1"/>
  <c r="H123" i="26"/>
  <c r="I157" i="26"/>
  <c r="E157" i="26" s="1"/>
  <c r="I143" i="26"/>
  <c r="E143" i="26" s="1"/>
  <c r="H129" i="26"/>
  <c r="H76" i="26"/>
  <c r="I1195" i="26"/>
  <c r="E1195" i="26" s="1"/>
  <c r="I1692" i="26"/>
  <c r="E1692" i="26" s="1"/>
  <c r="I920" i="26"/>
  <c r="E920" i="26" s="1"/>
  <c r="I1021" i="26"/>
  <c r="E1021" i="26" s="1"/>
  <c r="I232" i="26"/>
  <c r="E232" i="26" s="1"/>
  <c r="H5111" i="26"/>
  <c r="H1171" i="26"/>
  <c r="H518" i="26"/>
  <c r="H278" i="26"/>
  <c r="H157" i="26"/>
  <c r="I167" i="26"/>
  <c r="E167" i="26" s="1"/>
  <c r="H143" i="26"/>
  <c r="I24" i="26"/>
  <c r="E24" i="26" s="1"/>
  <c r="H62" i="26"/>
  <c r="H2287" i="26"/>
  <c r="I1631" i="26"/>
  <c r="E1631" i="26" s="1"/>
  <c r="I1143" i="26"/>
  <c r="E1143" i="26" s="1"/>
  <c r="H1605" i="26"/>
  <c r="I360" i="26"/>
  <c r="E360" i="26" s="1"/>
  <c r="H473" i="26"/>
  <c r="H208" i="26"/>
  <c r="I425" i="26"/>
  <c r="E425" i="26" s="1"/>
  <c r="H2020" i="26"/>
  <c r="H177" i="26"/>
  <c r="H458" i="26"/>
  <c r="H5308" i="26"/>
  <c r="I1803" i="26"/>
  <c r="E1803" i="26" s="1"/>
  <c r="I413" i="26"/>
  <c r="E413" i="26" s="1"/>
  <c r="I287" i="26"/>
  <c r="E287" i="26" s="1"/>
  <c r="I195" i="26"/>
  <c r="E195" i="26" s="1"/>
  <c r="H120" i="26"/>
  <c r="I1812" i="26"/>
  <c r="E1812" i="26" s="1"/>
  <c r="I1985" i="26"/>
  <c r="E1985" i="26" s="1"/>
  <c r="I2178" i="26"/>
  <c r="E2178" i="26" s="1"/>
  <c r="I2228" i="26"/>
  <c r="E2228" i="26" s="1"/>
  <c r="I1329" i="26"/>
  <c r="E1329" i="26" s="1"/>
  <c r="H30" i="26"/>
  <c r="H314" i="26"/>
  <c r="H151" i="26"/>
  <c r="H195" i="26"/>
  <c r="H40" i="26"/>
  <c r="H105" i="26"/>
  <c r="H97" i="26"/>
  <c r="H26" i="26"/>
  <c r="I1746" i="26"/>
  <c r="E1746" i="26" s="1"/>
  <c r="H902" i="26"/>
  <c r="I1846" i="26"/>
  <c r="E1846" i="26" s="1"/>
  <c r="H1988" i="26"/>
  <c r="H1248" i="26"/>
  <c r="I1239" i="26"/>
  <c r="E1239" i="26" s="1"/>
  <c r="I935" i="26"/>
  <c r="E935" i="26" s="1"/>
  <c r="H1035" i="26"/>
  <c r="H347" i="26"/>
  <c r="H5084" i="26"/>
  <c r="I1636" i="26"/>
  <c r="E1636" i="26" s="1"/>
  <c r="H268" i="26"/>
  <c r="I82" i="26"/>
  <c r="E82" i="26" s="1"/>
  <c r="I53" i="26"/>
  <c r="E53" i="26" s="1"/>
  <c r="H17" i="26"/>
  <c r="I102" i="26"/>
  <c r="E102" i="26" s="1"/>
  <c r="H99" i="26"/>
  <c r="I129" i="26"/>
  <c r="E129" i="26" s="1"/>
  <c r="I76" i="26"/>
  <c r="E76" i="26" s="1"/>
  <c r="H327" i="26"/>
  <c r="I336" i="26"/>
  <c r="E336" i="26" s="1"/>
  <c r="I610" i="26"/>
  <c r="E610" i="26" s="1"/>
  <c r="H1340" i="26"/>
  <c r="H1183" i="26"/>
  <c r="I1212" i="26"/>
  <c r="E1212" i="26" s="1"/>
  <c r="H865" i="26"/>
  <c r="I594" i="26"/>
  <c r="E594" i="26" s="1"/>
  <c r="H1039" i="26"/>
  <c r="H420" i="26"/>
  <c r="H3145" i="26"/>
  <c r="I806" i="26"/>
  <c r="E806" i="26" s="1"/>
  <c r="I640" i="26"/>
  <c r="E640" i="26" s="1"/>
  <c r="I59" i="26"/>
  <c r="E59" i="26" s="1"/>
  <c r="H102" i="26"/>
  <c r="H66" i="26"/>
  <c r="H95" i="26"/>
  <c r="I97" i="26"/>
  <c r="E97" i="26" s="1"/>
  <c r="H24" i="26"/>
  <c r="H629" i="26"/>
  <c r="I504" i="26"/>
  <c r="E504" i="26" s="1"/>
  <c r="H468" i="26"/>
  <c r="H1963" i="26"/>
  <c r="H2017" i="26"/>
  <c r="H2216" i="26"/>
  <c r="H1242" i="26"/>
  <c r="H598" i="26"/>
  <c r="I319" i="26"/>
  <c r="E319" i="26" s="1"/>
  <c r="H229" i="26"/>
  <c r="H1078" i="26"/>
  <c r="H1638" i="26"/>
  <c r="H288" i="26"/>
  <c r="I101" i="26"/>
  <c r="E101" i="26" s="1"/>
  <c r="I44" i="26"/>
  <c r="E44" i="26" s="1"/>
  <c r="I177" i="26"/>
  <c r="E177" i="26" s="1"/>
  <c r="H147" i="26"/>
  <c r="I99" i="26"/>
  <c r="E99" i="26" s="1"/>
  <c r="H67" i="26"/>
  <c r="I3564" i="26"/>
  <c r="E3564" i="26" s="1"/>
  <c r="H371" i="26"/>
  <c r="H1251" i="26"/>
  <c r="I1824" i="26"/>
  <c r="E1824" i="26" s="1"/>
  <c r="H541" i="26"/>
  <c r="H128" i="26"/>
  <c r="H1427" i="26"/>
  <c r="I1459" i="26"/>
  <c r="E1459" i="26" s="1"/>
  <c r="H950" i="26"/>
  <c r="H496" i="26"/>
  <c r="I524" i="26"/>
  <c r="E524" i="26" s="1"/>
  <c r="H1940" i="26"/>
  <c r="I1184" i="26"/>
  <c r="E1184" i="26" s="1"/>
  <c r="H488" i="26"/>
  <c r="H101" i="26"/>
  <c r="H86" i="26"/>
  <c r="H141" i="26"/>
  <c r="I128" i="26"/>
  <c r="E128" i="26" s="1"/>
  <c r="I103" i="26"/>
  <c r="E103" i="26" s="1"/>
  <c r="I95" i="26"/>
  <c r="E95" i="26" s="1"/>
  <c r="I122" i="26"/>
  <c r="E122" i="26" s="1"/>
  <c r="H1411" i="26"/>
  <c r="I2239" i="26"/>
  <c r="E2239" i="26" s="1"/>
  <c r="I2221" i="26"/>
  <c r="E2221" i="26" s="1"/>
  <c r="I1860" i="26"/>
  <c r="E1860" i="26" s="1"/>
  <c r="H663" i="26"/>
  <c r="I634" i="26"/>
  <c r="E634" i="26" s="1"/>
  <c r="H613" i="26"/>
  <c r="H301" i="26"/>
  <c r="H1137" i="26"/>
  <c r="I2141" i="26"/>
  <c r="E2141" i="26" s="1"/>
  <c r="H3309" i="26"/>
  <c r="I863" i="26"/>
  <c r="E863" i="26" s="1"/>
  <c r="I552" i="26"/>
  <c r="E552" i="26" s="1"/>
  <c r="I2072" i="26"/>
  <c r="E2072" i="26" s="1"/>
  <c r="H622" i="26"/>
  <c r="I420" i="26"/>
  <c r="E420" i="26" s="1"/>
  <c r="I542" i="26"/>
  <c r="E542" i="26" s="1"/>
  <c r="H462" i="26"/>
  <c r="H1222" i="26"/>
  <c r="I2041" i="26"/>
  <c r="E2041" i="26" s="1"/>
  <c r="I1430" i="26"/>
  <c r="E1430" i="26" s="1"/>
  <c r="H1806" i="26"/>
  <c r="H204" i="26"/>
  <c r="AS60" i="19"/>
  <c r="C68" i="26"/>
  <c r="I858" i="26"/>
  <c r="E858" i="26" s="1"/>
  <c r="I274" i="26"/>
  <c r="E274" i="26" s="1"/>
  <c r="H1494" i="26"/>
  <c r="I2732" i="26"/>
  <c r="E2732" i="26" s="1"/>
  <c r="H1833" i="26"/>
  <c r="I502" i="26"/>
  <c r="E502" i="26" s="1"/>
  <c r="I15" i="39"/>
  <c r="K15" i="39"/>
  <c r="O15" i="39"/>
  <c r="H1401" i="26"/>
  <c r="H516" i="26"/>
  <c r="H1848" i="26"/>
  <c r="I318" i="26"/>
  <c r="E318" i="26" s="1"/>
  <c r="I269" i="26"/>
  <c r="E269" i="26" s="1"/>
  <c r="H573" i="26"/>
  <c r="I1157" i="26"/>
  <c r="E1157" i="26" s="1"/>
  <c r="I653" i="26"/>
  <c r="E653" i="26" s="1"/>
  <c r="I1685" i="26"/>
  <c r="E1685" i="26" s="1"/>
  <c r="H1214" i="26"/>
  <c r="I1240" i="26"/>
  <c r="E1240" i="26" s="1"/>
  <c r="H1244" i="26"/>
  <c r="H415" i="26"/>
  <c r="I434" i="26"/>
  <c r="E434" i="26" s="1"/>
  <c r="I955" i="26"/>
  <c r="E955" i="26" s="1"/>
  <c r="I625" i="26"/>
  <c r="E625" i="26" s="1"/>
  <c r="I715" i="26"/>
  <c r="E715" i="26" s="1"/>
  <c r="I2703" i="26"/>
  <c r="E2703" i="26" s="1"/>
  <c r="I2130" i="26"/>
  <c r="E2130" i="26" s="1"/>
  <c r="I1469" i="26"/>
  <c r="E1469" i="26" s="1"/>
  <c r="H1419" i="26"/>
  <c r="I341" i="26"/>
  <c r="E341" i="26" s="1"/>
  <c r="I2232" i="26"/>
  <c r="E2232" i="26" s="1"/>
  <c r="H389" i="26"/>
  <c r="I624" i="26"/>
  <c r="E624" i="26" s="1"/>
  <c r="H398" i="26"/>
  <c r="R179" i="31"/>
  <c r="Q179" i="31"/>
  <c r="P179" i="31" s="1"/>
  <c r="R159" i="31"/>
  <c r="Q159" i="31"/>
  <c r="P159" i="31" s="1"/>
  <c r="Q139" i="31"/>
  <c r="P139" i="31" s="1"/>
  <c r="R139" i="31"/>
  <c r="Q119" i="31"/>
  <c r="P119" i="31" s="1"/>
  <c r="R119" i="31"/>
  <c r="Q99" i="31"/>
  <c r="P99" i="31" s="1"/>
  <c r="R99" i="31"/>
  <c r="Q79" i="31"/>
  <c r="P79" i="31" s="1"/>
  <c r="R79" i="31"/>
  <c r="R33" i="31"/>
  <c r="Q33" i="31"/>
  <c r="P33" i="31" s="1"/>
  <c r="R57" i="31"/>
  <c r="Q57" i="31"/>
  <c r="P57" i="31" s="1"/>
  <c r="H1228" i="26"/>
  <c r="H1487" i="26"/>
  <c r="H4019" i="26"/>
  <c r="L154" i="23"/>
  <c r="M154" i="23" s="1"/>
  <c r="D154" i="23"/>
  <c r="R54" i="1"/>
  <c r="Q54" i="1"/>
  <c r="P54" i="1" s="1"/>
  <c r="Q88" i="1"/>
  <c r="P88" i="1" s="1"/>
  <c r="R88" i="1"/>
  <c r="Q48" i="1"/>
  <c r="P48" i="1" s="1"/>
  <c r="R48" i="1"/>
  <c r="R152" i="1"/>
  <c r="Q152" i="1"/>
  <c r="P152" i="1" s="1"/>
  <c r="Q129" i="1"/>
  <c r="P129" i="1" s="1"/>
  <c r="R129" i="1"/>
  <c r="Q89" i="1"/>
  <c r="P89" i="1" s="1"/>
  <c r="R89" i="1"/>
  <c r="R70" i="1"/>
  <c r="Q70" i="1"/>
  <c r="P70" i="1" s="1"/>
  <c r="Q177" i="30"/>
  <c r="P177" i="30" s="1"/>
  <c r="R177" i="30"/>
  <c r="Q157" i="30"/>
  <c r="P157" i="30" s="1"/>
  <c r="R157" i="30"/>
  <c r="Q137" i="30"/>
  <c r="P137" i="30" s="1"/>
  <c r="R137" i="30"/>
  <c r="R117" i="30"/>
  <c r="Q117" i="30"/>
  <c r="P117" i="30" s="1"/>
  <c r="R97" i="30"/>
  <c r="Q97" i="30"/>
  <c r="P97" i="30" s="1"/>
  <c r="Q77" i="30"/>
  <c r="P77" i="30" s="1"/>
  <c r="R77" i="30"/>
  <c r="Q72" i="30"/>
  <c r="P72" i="30" s="1"/>
  <c r="R72" i="30"/>
  <c r="Q40" i="30"/>
  <c r="P40" i="30" s="1"/>
  <c r="R40" i="30"/>
  <c r="AT60" i="19"/>
  <c r="AR60" i="19" s="1"/>
  <c r="G68" i="26"/>
  <c r="I1259" i="26"/>
  <c r="E1259" i="26" s="1"/>
  <c r="H1203" i="26"/>
  <c r="H4778" i="26"/>
  <c r="H673" i="26"/>
  <c r="H5390" i="26"/>
  <c r="I448" i="26"/>
  <c r="E448" i="26" s="1"/>
  <c r="I740" i="26"/>
  <c r="E740" i="26" s="1"/>
  <c r="H1458" i="26"/>
  <c r="H482" i="26"/>
  <c r="I949" i="26"/>
  <c r="E949" i="26" s="1"/>
  <c r="I605" i="26"/>
  <c r="E605" i="26" s="1"/>
  <c r="H782" i="26"/>
  <c r="I527" i="26"/>
  <c r="E527" i="26" s="1"/>
  <c r="H1140" i="26"/>
  <c r="H4639" i="26"/>
  <c r="H823" i="26"/>
  <c r="I1811" i="26"/>
  <c r="E1811" i="26" s="1"/>
  <c r="I620" i="26"/>
  <c r="E620" i="26" s="1"/>
  <c r="H607" i="26"/>
  <c r="H1355" i="26"/>
  <c r="I1492" i="26"/>
  <c r="E1492" i="26" s="1"/>
  <c r="H1380" i="26"/>
  <c r="H330" i="26"/>
  <c r="H1777" i="26"/>
  <c r="Q178" i="31"/>
  <c r="P178" i="31" s="1"/>
  <c r="R178" i="31"/>
  <c r="Q158" i="31"/>
  <c r="P158" i="31" s="1"/>
  <c r="R158" i="31"/>
  <c r="R138" i="31"/>
  <c r="Q138" i="31"/>
  <c r="P138" i="31" s="1"/>
  <c r="R118" i="31"/>
  <c r="Q118" i="31"/>
  <c r="P118" i="31" s="1"/>
  <c r="R98" i="31"/>
  <c r="Q98" i="31"/>
  <c r="P98" i="31" s="1"/>
  <c r="Q78" i="31"/>
  <c r="P78" i="31" s="1"/>
  <c r="R78" i="31"/>
  <c r="R71" i="31"/>
  <c r="Q71" i="31"/>
  <c r="P71" i="31" s="1"/>
  <c r="Q40" i="31"/>
  <c r="P40" i="31" s="1"/>
  <c r="R40" i="31"/>
  <c r="H1007" i="26"/>
  <c r="I1000" i="26"/>
  <c r="E1000" i="26" s="1"/>
  <c r="I1629" i="26"/>
  <c r="E1629" i="26" s="1"/>
  <c r="Q146" i="1"/>
  <c r="P146" i="1" s="1"/>
  <c r="R146" i="1"/>
  <c r="Q123" i="1"/>
  <c r="P123" i="1" s="1"/>
  <c r="R123" i="1"/>
  <c r="R104" i="1"/>
  <c r="Q104" i="1"/>
  <c r="P104" i="1" s="1"/>
  <c r="Q176" i="1"/>
  <c r="P176" i="1" s="1"/>
  <c r="R176" i="1"/>
  <c r="R50" i="1"/>
  <c r="Q50" i="1"/>
  <c r="P50" i="1" s="1"/>
  <c r="Q179" i="1"/>
  <c r="P179" i="1" s="1"/>
  <c r="R179" i="1"/>
  <c r="R101" i="1"/>
  <c r="Q101" i="1"/>
  <c r="P101" i="1" s="1"/>
  <c r="Q176" i="30"/>
  <c r="P176" i="30" s="1"/>
  <c r="R176" i="30"/>
  <c r="R156" i="30"/>
  <c r="Q156" i="30"/>
  <c r="P156" i="30" s="1"/>
  <c r="Q136" i="30"/>
  <c r="P136" i="30" s="1"/>
  <c r="R136" i="30"/>
  <c r="R116" i="30"/>
  <c r="Q116" i="30"/>
  <c r="P116" i="30" s="1"/>
  <c r="R96" i="30"/>
  <c r="Q96" i="30"/>
  <c r="P96" i="30" s="1"/>
  <c r="R76" i="30"/>
  <c r="Q76" i="30"/>
  <c r="P76" i="30" s="1"/>
  <c r="Q61" i="30"/>
  <c r="P61" i="30" s="1"/>
  <c r="R61" i="30"/>
  <c r="Q45" i="30"/>
  <c r="P45" i="30" s="1"/>
  <c r="R45" i="30"/>
  <c r="I970" i="26"/>
  <c r="E970" i="26" s="1"/>
  <c r="H1017" i="26"/>
  <c r="I2189" i="26"/>
  <c r="E2189" i="26" s="1"/>
  <c r="H237" i="26"/>
  <c r="H721" i="26"/>
  <c r="H1194" i="26"/>
  <c r="H803" i="26"/>
  <c r="H949" i="26"/>
  <c r="I1975" i="26"/>
  <c r="E1975" i="26" s="1"/>
  <c r="I298" i="26"/>
  <c r="E298" i="26" s="1"/>
  <c r="I2140" i="26"/>
  <c r="E2140" i="26" s="1"/>
  <c r="H5638" i="26"/>
  <c r="H2061" i="26"/>
  <c r="I382" i="26"/>
  <c r="E382" i="26" s="1"/>
  <c r="H1645" i="26"/>
  <c r="H380" i="26"/>
  <c r="H1264" i="26"/>
  <c r="I837" i="26"/>
  <c r="E837" i="26" s="1"/>
  <c r="H295" i="26"/>
  <c r="I375" i="26"/>
  <c r="E375" i="26" s="1"/>
  <c r="I1648" i="26"/>
  <c r="E1648" i="26" s="1"/>
  <c r="H653" i="26"/>
  <c r="H3893" i="26"/>
  <c r="I1861" i="26"/>
  <c r="E1861" i="26" s="1"/>
  <c r="H325" i="26"/>
  <c r="H818" i="26"/>
  <c r="Q177" i="31"/>
  <c r="P177" i="31" s="1"/>
  <c r="R177" i="31"/>
  <c r="R157" i="31"/>
  <c r="Q157" i="31"/>
  <c r="P157" i="31" s="1"/>
  <c r="R137" i="31"/>
  <c r="Q137" i="31"/>
  <c r="P137" i="31" s="1"/>
  <c r="Q117" i="31"/>
  <c r="P117" i="31" s="1"/>
  <c r="R117" i="31"/>
  <c r="Q97" i="31"/>
  <c r="P97" i="31" s="1"/>
  <c r="R97" i="31"/>
  <c r="R77" i="31"/>
  <c r="Q77" i="31"/>
  <c r="P77" i="31" s="1"/>
  <c r="R46" i="31"/>
  <c r="Q46" i="31"/>
  <c r="P46" i="31" s="1"/>
  <c r="Q47" i="31"/>
  <c r="P47" i="31" s="1"/>
  <c r="R47" i="31"/>
  <c r="H1113" i="26"/>
  <c r="I554" i="26"/>
  <c r="E554" i="26" s="1"/>
  <c r="H1660" i="26"/>
  <c r="L87" i="23"/>
  <c r="D87" i="23"/>
  <c r="Q64" i="1"/>
  <c r="P64" i="1" s="1"/>
  <c r="R64" i="1"/>
  <c r="R108" i="1"/>
  <c r="Q108" i="1"/>
  <c r="P108" i="1" s="1"/>
  <c r="R74" i="1"/>
  <c r="Q74" i="1"/>
  <c r="P74" i="1" s="1"/>
  <c r="R107" i="1"/>
  <c r="Q107" i="1"/>
  <c r="P107" i="1" s="1"/>
  <c r="Q128" i="1"/>
  <c r="P128" i="1" s="1"/>
  <c r="R128" i="1"/>
  <c r="Q62" i="1"/>
  <c r="P62" i="1" s="1"/>
  <c r="R62" i="1"/>
  <c r="Q87" i="1"/>
  <c r="P87" i="1" s="1"/>
  <c r="R87" i="1"/>
  <c r="Q175" i="30"/>
  <c r="P175" i="30" s="1"/>
  <c r="R175" i="30"/>
  <c r="R155" i="30"/>
  <c r="Q155" i="30"/>
  <c r="P155" i="30" s="1"/>
  <c r="Q135" i="30"/>
  <c r="P135" i="30" s="1"/>
  <c r="R135" i="30"/>
  <c r="R115" i="30"/>
  <c r="Q115" i="30"/>
  <c r="P115" i="30" s="1"/>
  <c r="Q95" i="30"/>
  <c r="P95" i="30" s="1"/>
  <c r="R95" i="30"/>
  <c r="R75" i="30"/>
  <c r="Q75" i="30"/>
  <c r="P75" i="30" s="1"/>
  <c r="R38" i="30"/>
  <c r="Q38" i="30"/>
  <c r="P38" i="30" s="1"/>
  <c r="Q39" i="30"/>
  <c r="P39" i="30" s="1"/>
  <c r="R39" i="30"/>
  <c r="H786" i="26"/>
  <c r="H1838" i="26"/>
  <c r="H3692" i="26"/>
  <c r="I2049" i="26"/>
  <c r="E2049" i="26" s="1"/>
  <c r="I307" i="26"/>
  <c r="E307" i="26" s="1"/>
  <c r="H1252" i="26"/>
  <c r="I1468" i="26"/>
  <c r="E1468" i="26" s="1"/>
  <c r="H1207" i="26"/>
  <c r="I199" i="26"/>
  <c r="E199" i="26" s="1"/>
  <c r="H6602" i="26"/>
  <c r="H1683" i="26"/>
  <c r="H526" i="26"/>
  <c r="I1188" i="26"/>
  <c r="E1188" i="26" s="1"/>
  <c r="H6454" i="26"/>
  <c r="I663" i="26"/>
  <c r="E663" i="26" s="1"/>
  <c r="H1868" i="26"/>
  <c r="I1431" i="26"/>
  <c r="E1431" i="26" s="1"/>
  <c r="I626" i="26"/>
  <c r="E626" i="26" s="1"/>
  <c r="H359" i="26"/>
  <c r="H1240" i="26"/>
  <c r="H550" i="26"/>
  <c r="M15" i="38"/>
  <c r="L15" i="38"/>
  <c r="I2018" i="26"/>
  <c r="E2018" i="26" s="1"/>
  <c r="I1219" i="26"/>
  <c r="E1219" i="26" s="1"/>
  <c r="H210" i="26"/>
  <c r="H6514" i="26"/>
  <c r="H1023" i="26"/>
  <c r="H574" i="26"/>
  <c r="I1679" i="26"/>
  <c r="E1679" i="26" s="1"/>
  <c r="Q176" i="31"/>
  <c r="P176" i="31" s="1"/>
  <c r="R176" i="31"/>
  <c r="Q156" i="31"/>
  <c r="P156" i="31" s="1"/>
  <c r="R156" i="31"/>
  <c r="Q136" i="31"/>
  <c r="P136" i="31" s="1"/>
  <c r="R136" i="31"/>
  <c r="Q116" i="31"/>
  <c r="P116" i="31" s="1"/>
  <c r="R116" i="31"/>
  <c r="Q96" i="31"/>
  <c r="P96" i="31" s="1"/>
  <c r="R96" i="31"/>
  <c r="Q76" i="31"/>
  <c r="P76" i="31" s="1"/>
  <c r="R76" i="31"/>
  <c r="R37" i="31"/>
  <c r="Q37" i="31"/>
  <c r="P37" i="31" s="1"/>
  <c r="R49" i="31"/>
  <c r="Q49" i="31"/>
  <c r="P49" i="31" s="1"/>
  <c r="H1215" i="26"/>
  <c r="I317" i="26"/>
  <c r="E317" i="26" s="1"/>
  <c r="H2064" i="26"/>
  <c r="R171" i="1"/>
  <c r="Q171" i="1"/>
  <c r="P171" i="1" s="1"/>
  <c r="Q113" i="1"/>
  <c r="P113" i="1" s="1"/>
  <c r="R113" i="1"/>
  <c r="R68" i="1"/>
  <c r="Q68" i="1"/>
  <c r="P68" i="1" s="1"/>
  <c r="R150" i="1"/>
  <c r="Q150" i="1"/>
  <c r="P150" i="1" s="1"/>
  <c r="Q119" i="1"/>
  <c r="P119" i="1" s="1"/>
  <c r="R119" i="1"/>
  <c r="R166" i="1"/>
  <c r="Q166" i="1"/>
  <c r="P166" i="1" s="1"/>
  <c r="Q39" i="1"/>
  <c r="P39" i="1" s="1"/>
  <c r="R39" i="1"/>
  <c r="Q97" i="1"/>
  <c r="P97" i="1" s="1"/>
  <c r="R97" i="1"/>
  <c r="R174" i="30"/>
  <c r="Q174" i="30"/>
  <c r="P174" i="30" s="1"/>
  <c r="R154" i="30"/>
  <c r="Q154" i="30"/>
  <c r="P154" i="30" s="1"/>
  <c r="Q134" i="30"/>
  <c r="P134" i="30" s="1"/>
  <c r="R134" i="30"/>
  <c r="Q114" i="30"/>
  <c r="P114" i="30" s="1"/>
  <c r="R114" i="30"/>
  <c r="Q94" i="30"/>
  <c r="P94" i="30" s="1"/>
  <c r="R94" i="30"/>
  <c r="Q74" i="30"/>
  <c r="P74" i="30" s="1"/>
  <c r="R74" i="30"/>
  <c r="Q48" i="30"/>
  <c r="P48" i="30" s="1"/>
  <c r="R48" i="30"/>
  <c r="R34" i="30"/>
  <c r="Q34" i="30"/>
  <c r="P34" i="30" s="1"/>
  <c r="H1415" i="26"/>
  <c r="I877" i="26"/>
  <c r="E877" i="26" s="1"/>
  <c r="I1026" i="26"/>
  <c r="E1026" i="26" s="1"/>
  <c r="H817" i="26"/>
  <c r="I678" i="26"/>
  <c r="E678" i="26" s="1"/>
  <c r="H2238" i="26"/>
  <c r="I267" i="26"/>
  <c r="E267" i="26" s="1"/>
  <c r="I5904" i="26"/>
  <c r="E5904" i="26" s="1"/>
  <c r="I658" i="26"/>
  <c r="E658" i="26" s="1"/>
  <c r="H2236" i="26"/>
  <c r="I1673" i="26"/>
  <c r="E1673" i="26" s="1"/>
  <c r="H3155" i="26"/>
  <c r="I248" i="26"/>
  <c r="E248" i="26" s="1"/>
  <c r="H1956" i="26"/>
  <c r="H876" i="26"/>
  <c r="G15" i="6"/>
  <c r="H393" i="26"/>
  <c r="I551" i="26"/>
  <c r="E551" i="26" s="1"/>
  <c r="I940" i="26"/>
  <c r="E940" i="26" s="1"/>
  <c r="H1337" i="26"/>
  <c r="G16" i="38"/>
  <c r="D16" i="38"/>
  <c r="H16" i="38" s="1"/>
  <c r="A17" i="38"/>
  <c r="F16" i="38"/>
  <c r="E16" i="38"/>
  <c r="I16" i="38" s="1"/>
  <c r="A171" i="38"/>
  <c r="F171" i="38" s="1"/>
  <c r="C16" i="38"/>
  <c r="B16" i="38"/>
  <c r="I1248" i="26"/>
  <c r="E1248" i="26" s="1"/>
  <c r="H1467" i="26"/>
  <c r="I211" i="26"/>
  <c r="E211" i="26" s="1"/>
  <c r="H1359" i="26"/>
  <c r="H1122" i="26"/>
  <c r="I1761" i="26"/>
  <c r="E1761" i="26" s="1"/>
  <c r="H1261" i="26"/>
  <c r="R175" i="31"/>
  <c r="Q175" i="31"/>
  <c r="P175" i="31" s="1"/>
  <c r="Q155" i="31"/>
  <c r="P155" i="31" s="1"/>
  <c r="R155" i="31"/>
  <c r="R135" i="31"/>
  <c r="Q135" i="31"/>
  <c r="P135" i="31" s="1"/>
  <c r="R115" i="31"/>
  <c r="Q115" i="31"/>
  <c r="P115" i="31" s="1"/>
  <c r="Q95" i="31"/>
  <c r="P95" i="31" s="1"/>
  <c r="R95" i="31"/>
  <c r="R75" i="31"/>
  <c r="Q75" i="31"/>
  <c r="P75" i="31" s="1"/>
  <c r="R73" i="31"/>
  <c r="Q73" i="31"/>
  <c r="P73" i="31" s="1"/>
  <c r="Q69" i="31"/>
  <c r="P69" i="31" s="1"/>
  <c r="R69" i="31"/>
  <c r="H617" i="26"/>
  <c r="H1148" i="26"/>
  <c r="I564" i="26"/>
  <c r="E564" i="26" s="1"/>
  <c r="Q106" i="1"/>
  <c r="P106" i="1" s="1"/>
  <c r="R106" i="1"/>
  <c r="R136" i="1"/>
  <c r="Q136" i="1"/>
  <c r="P136" i="1" s="1"/>
  <c r="R182" i="1"/>
  <c r="Q182" i="1"/>
  <c r="P182" i="1" s="1"/>
  <c r="Q95" i="1"/>
  <c r="P95" i="1" s="1"/>
  <c r="R95" i="1"/>
  <c r="R45" i="1"/>
  <c r="Q45" i="1"/>
  <c r="P45" i="1" s="1"/>
  <c r="R164" i="1"/>
  <c r="Q164" i="1"/>
  <c r="P164" i="1" s="1"/>
  <c r="R126" i="1"/>
  <c r="Q126" i="1"/>
  <c r="P126" i="1" s="1"/>
  <c r="Q135" i="1"/>
  <c r="P135" i="1" s="1"/>
  <c r="R135" i="1"/>
  <c r="Q173" i="30"/>
  <c r="P173" i="30" s="1"/>
  <c r="R173" i="30"/>
  <c r="Q153" i="30"/>
  <c r="P153" i="30" s="1"/>
  <c r="R153" i="30"/>
  <c r="Q133" i="30"/>
  <c r="P133" i="30" s="1"/>
  <c r="R133" i="30"/>
  <c r="R113" i="30"/>
  <c r="Q113" i="30"/>
  <c r="P113" i="30" s="1"/>
  <c r="Q93" i="30"/>
  <c r="P93" i="30" s="1"/>
  <c r="R93" i="30"/>
  <c r="R73" i="30"/>
  <c r="Q73" i="30"/>
  <c r="P73" i="30" s="1"/>
  <c r="R56" i="30"/>
  <c r="Q56" i="30"/>
  <c r="P56" i="30" s="1"/>
  <c r="Q70" i="30"/>
  <c r="P70" i="30" s="1"/>
  <c r="R70" i="30"/>
  <c r="H233" i="26"/>
  <c r="H487" i="26"/>
  <c r="I925" i="26"/>
  <c r="E925" i="26" s="1"/>
  <c r="I2109" i="26"/>
  <c r="E2109" i="26" s="1"/>
  <c r="H6562" i="26"/>
  <c r="I547" i="26"/>
  <c r="E547" i="26" s="1"/>
  <c r="I1333" i="26"/>
  <c r="E1333" i="26" s="1"/>
  <c r="I1249" i="26"/>
  <c r="E1249" i="26" s="1"/>
  <c r="H1781" i="26"/>
  <c r="I1826" i="26"/>
  <c r="E1826" i="26" s="1"/>
  <c r="H1181" i="26"/>
  <c r="H960" i="26"/>
  <c r="E15" i="6"/>
  <c r="I15" i="6" s="1"/>
  <c r="K15" i="6" s="1"/>
  <c r="O15" i="6" s="1"/>
  <c r="H848" i="26"/>
  <c r="I2127" i="26"/>
  <c r="E2127" i="26" s="1"/>
  <c r="H693" i="26"/>
  <c r="H2014" i="26"/>
  <c r="H320" i="26"/>
  <c r="I619" i="26"/>
  <c r="E619" i="26" s="1"/>
  <c r="H674" i="26"/>
  <c r="H5652" i="26"/>
  <c r="H1836" i="26"/>
  <c r="H2018" i="26"/>
  <c r="AS188" i="19"/>
  <c r="C196" i="26"/>
  <c r="Q174" i="31"/>
  <c r="P174" i="31" s="1"/>
  <c r="R174" i="31"/>
  <c r="Q154" i="31"/>
  <c r="P154" i="31" s="1"/>
  <c r="R154" i="31"/>
  <c r="Q134" i="31"/>
  <c r="P134" i="31" s="1"/>
  <c r="R134" i="31"/>
  <c r="R114" i="31"/>
  <c r="Q114" i="31"/>
  <c r="P114" i="31" s="1"/>
  <c r="R94" i="31"/>
  <c r="Q94" i="31"/>
  <c r="P94" i="31" s="1"/>
  <c r="R74" i="31"/>
  <c r="Q74" i="31"/>
  <c r="P74" i="31" s="1"/>
  <c r="Q72" i="31"/>
  <c r="P72" i="31" s="1"/>
  <c r="R72" i="31"/>
  <c r="Q44" i="31"/>
  <c r="P44" i="31" s="1"/>
  <c r="R44" i="31"/>
  <c r="I312" i="26"/>
  <c r="E312" i="26" s="1"/>
  <c r="H1192" i="26"/>
  <c r="H1009" i="26"/>
  <c r="AS140" i="19"/>
  <c r="C148" i="26"/>
  <c r="Q61" i="1"/>
  <c r="P61" i="1" s="1"/>
  <c r="R61" i="1"/>
  <c r="R175" i="1"/>
  <c r="Q175" i="1"/>
  <c r="P175" i="1" s="1"/>
  <c r="R100" i="1"/>
  <c r="Q100" i="1"/>
  <c r="P100" i="1" s="1"/>
  <c r="Q90" i="1"/>
  <c r="P90" i="1" s="1"/>
  <c r="R90" i="1"/>
  <c r="Q155" i="1"/>
  <c r="P155" i="1" s="1"/>
  <c r="R155" i="1"/>
  <c r="R147" i="1"/>
  <c r="Q147" i="1"/>
  <c r="P147" i="1" s="1"/>
  <c r="R105" i="1"/>
  <c r="Q105" i="1"/>
  <c r="P105" i="1" s="1"/>
  <c r="R125" i="1"/>
  <c r="Q125" i="1"/>
  <c r="P125" i="1" s="1"/>
  <c r="Q172" i="30"/>
  <c r="P172" i="30" s="1"/>
  <c r="R172" i="30"/>
  <c r="Q152" i="30"/>
  <c r="P152" i="30" s="1"/>
  <c r="R152" i="30"/>
  <c r="Q132" i="30"/>
  <c r="P132" i="30" s="1"/>
  <c r="R132" i="30"/>
  <c r="Q112" i="30"/>
  <c r="P112" i="30" s="1"/>
  <c r="R112" i="30"/>
  <c r="Q92" i="30"/>
  <c r="P92" i="30" s="1"/>
  <c r="R92" i="30"/>
  <c r="Q41" i="30"/>
  <c r="P41" i="30" s="1"/>
  <c r="R41" i="30"/>
  <c r="R44" i="30"/>
  <c r="Q44" i="30"/>
  <c r="P44" i="30" s="1"/>
  <c r="G170" i="39"/>
  <c r="K170" i="39"/>
  <c r="L170" i="39" s="1"/>
  <c r="B170" i="39"/>
  <c r="H212" i="26"/>
  <c r="I836" i="26"/>
  <c r="E836" i="26" s="1"/>
  <c r="I1793" i="26"/>
  <c r="E1793" i="26" s="1"/>
  <c r="I472" i="26"/>
  <c r="E472" i="26" s="1"/>
  <c r="I1980" i="26"/>
  <c r="E1980" i="26" s="1"/>
  <c r="I1809" i="26"/>
  <c r="E1809" i="26" s="1"/>
  <c r="H896" i="26"/>
  <c r="I1215" i="26"/>
  <c r="E1215" i="26" s="1"/>
  <c r="Q173" i="31"/>
  <c r="P173" i="31" s="1"/>
  <c r="R173" i="31"/>
  <c r="R153" i="31"/>
  <c r="Q153" i="31"/>
  <c r="P153" i="31" s="1"/>
  <c r="R133" i="31"/>
  <c r="Q133" i="31"/>
  <c r="P133" i="31" s="1"/>
  <c r="R113" i="31"/>
  <c r="Q113" i="31"/>
  <c r="P113" i="31" s="1"/>
  <c r="Q93" i="31"/>
  <c r="P93" i="31" s="1"/>
  <c r="R93" i="31"/>
  <c r="Q43" i="31"/>
  <c r="P43" i="31" s="1"/>
  <c r="R43" i="31"/>
  <c r="R60" i="31"/>
  <c r="Q60" i="31"/>
  <c r="P60" i="31" s="1"/>
  <c r="Q56" i="31"/>
  <c r="P56" i="31" s="1"/>
  <c r="R56" i="31"/>
  <c r="I1815" i="26"/>
  <c r="E1815" i="26" s="1"/>
  <c r="H1221" i="26"/>
  <c r="H538" i="26"/>
  <c r="Z141" i="19"/>
  <c r="R96" i="1"/>
  <c r="Q96" i="1"/>
  <c r="P96" i="1" s="1"/>
  <c r="Q118" i="1"/>
  <c r="P118" i="1" s="1"/>
  <c r="R118" i="1"/>
  <c r="R143" i="1"/>
  <c r="Q143" i="1"/>
  <c r="P143" i="1" s="1"/>
  <c r="R35" i="1"/>
  <c r="Q35" i="1"/>
  <c r="P35" i="1" s="1"/>
  <c r="R65" i="1"/>
  <c r="Q65" i="1"/>
  <c r="P65" i="1" s="1"/>
  <c r="R41" i="1"/>
  <c r="Q41" i="1"/>
  <c r="P41" i="1" s="1"/>
  <c r="R170" i="1"/>
  <c r="Q170" i="1"/>
  <c r="P170" i="1" s="1"/>
  <c r="R134" i="1"/>
  <c r="Q134" i="1"/>
  <c r="P134" i="1" s="1"/>
  <c r="R171" i="30"/>
  <c r="Q171" i="30"/>
  <c r="P171" i="30" s="1"/>
  <c r="Q151" i="30"/>
  <c r="P151" i="30" s="1"/>
  <c r="R151" i="30"/>
  <c r="R131" i="30"/>
  <c r="Q131" i="30"/>
  <c r="P131" i="30" s="1"/>
  <c r="Q111" i="30"/>
  <c r="P111" i="30" s="1"/>
  <c r="R111" i="30"/>
  <c r="Q91" i="30"/>
  <c r="P91" i="30" s="1"/>
  <c r="R91" i="30"/>
  <c r="Q59" i="30"/>
  <c r="P59" i="30" s="1"/>
  <c r="R59" i="30"/>
  <c r="R69" i="30"/>
  <c r="Q69" i="30"/>
  <c r="P69" i="30" s="1"/>
  <c r="E15" i="37"/>
  <c r="I4571" i="26"/>
  <c r="E4571" i="26" s="1"/>
  <c r="H1663" i="26"/>
  <c r="H379" i="26"/>
  <c r="I2193" i="26"/>
  <c r="E2193" i="26" s="1"/>
  <c r="I470" i="26"/>
  <c r="E470" i="26" s="1"/>
  <c r="I1850" i="26"/>
  <c r="E1850" i="26" s="1"/>
  <c r="I677" i="26"/>
  <c r="E677" i="26" s="1"/>
  <c r="I2021" i="26"/>
  <c r="E2021" i="26" s="1"/>
  <c r="I331" i="26"/>
  <c r="E331" i="26" s="1"/>
  <c r="H1834" i="26"/>
  <c r="I616" i="26"/>
  <c r="E616" i="26" s="1"/>
  <c r="I1471" i="26"/>
  <c r="E1471" i="26" s="1"/>
  <c r="H2211" i="26"/>
  <c r="H273" i="26"/>
  <c r="I885" i="26"/>
  <c r="E885" i="26" s="1"/>
  <c r="I1034" i="26"/>
  <c r="E1034" i="26" s="1"/>
  <c r="H1866" i="26"/>
  <c r="I286" i="26"/>
  <c r="E286" i="26" s="1"/>
  <c r="C15" i="6"/>
  <c r="I1349" i="26"/>
  <c r="E1349" i="26" s="1"/>
  <c r="I1435" i="26"/>
  <c r="E1435" i="26" s="1"/>
  <c r="H816" i="26"/>
  <c r="H5603" i="26"/>
  <c r="H1859" i="26"/>
  <c r="I221" i="26"/>
  <c r="E221" i="26" s="1"/>
  <c r="H2024" i="26"/>
  <c r="I557" i="26"/>
  <c r="E557" i="26" s="1"/>
  <c r="I512" i="26"/>
  <c r="E512" i="26" s="1"/>
  <c r="H1457" i="26"/>
  <c r="Q172" i="31"/>
  <c r="P172" i="31" s="1"/>
  <c r="R172" i="31"/>
  <c r="Q152" i="31"/>
  <c r="P152" i="31" s="1"/>
  <c r="R152" i="31"/>
  <c r="Q132" i="31"/>
  <c r="P132" i="31" s="1"/>
  <c r="R132" i="31"/>
  <c r="Q112" i="31"/>
  <c r="P112" i="31" s="1"/>
  <c r="R112" i="31"/>
  <c r="R92" i="31"/>
  <c r="Q92" i="31"/>
  <c r="P92" i="31" s="1"/>
  <c r="R55" i="31"/>
  <c r="Q55" i="31"/>
  <c r="P55" i="31" s="1"/>
  <c r="R50" i="31"/>
  <c r="Q50" i="31"/>
  <c r="P50" i="31" s="1"/>
  <c r="H571" i="26"/>
  <c r="H1474" i="26"/>
  <c r="I498" i="26"/>
  <c r="E498" i="26" s="1"/>
  <c r="AT140" i="19"/>
  <c r="AR140" i="19" s="1"/>
  <c r="G148" i="26"/>
  <c r="R80" i="1"/>
  <c r="Q80" i="1"/>
  <c r="P80" i="1" s="1"/>
  <c r="R81" i="1"/>
  <c r="Q81" i="1"/>
  <c r="P81" i="1" s="1"/>
  <c r="Q86" i="1"/>
  <c r="P86" i="1" s="1"/>
  <c r="R86" i="1"/>
  <c r="R127" i="1"/>
  <c r="Q127" i="1"/>
  <c r="P127" i="1" s="1"/>
  <c r="R141" i="1"/>
  <c r="Q141" i="1"/>
  <c r="P141" i="1" s="1"/>
  <c r="Q109" i="1"/>
  <c r="P109" i="1" s="1"/>
  <c r="R109" i="1"/>
  <c r="Q130" i="1"/>
  <c r="P130" i="1" s="1"/>
  <c r="R130" i="1"/>
  <c r="R158" i="1"/>
  <c r="Q158" i="1"/>
  <c r="P158" i="1" s="1"/>
  <c r="D48" i="26"/>
  <c r="A48" i="26" s="1"/>
  <c r="F48" i="26"/>
  <c r="Q170" i="30"/>
  <c r="P170" i="30" s="1"/>
  <c r="R170" i="30"/>
  <c r="R150" i="30"/>
  <c r="Q150" i="30"/>
  <c r="P150" i="30" s="1"/>
  <c r="Q130" i="30"/>
  <c r="P130" i="30" s="1"/>
  <c r="R130" i="30"/>
  <c r="Q110" i="30"/>
  <c r="P110" i="30" s="1"/>
  <c r="R110" i="30"/>
  <c r="R90" i="30"/>
  <c r="Q90" i="30"/>
  <c r="P90" i="30" s="1"/>
  <c r="Q37" i="30"/>
  <c r="P37" i="30" s="1"/>
  <c r="R37" i="30"/>
  <c r="Q47" i="30"/>
  <c r="P47" i="30" s="1"/>
  <c r="R47" i="30"/>
  <c r="L130" i="23"/>
  <c r="M130" i="23" s="1"/>
  <c r="D130" i="23"/>
  <c r="AS117" i="19"/>
  <c r="C125" i="26"/>
  <c r="R171" i="31"/>
  <c r="Q171" i="31"/>
  <c r="P171" i="31" s="1"/>
  <c r="R151" i="31"/>
  <c r="Q151" i="31"/>
  <c r="P151" i="31" s="1"/>
  <c r="R131" i="31"/>
  <c r="Q131" i="31"/>
  <c r="P131" i="31" s="1"/>
  <c r="R111" i="31"/>
  <c r="Q111" i="31"/>
  <c r="P111" i="31" s="1"/>
  <c r="R91" i="31"/>
  <c r="Q91" i="31"/>
  <c r="P91" i="31" s="1"/>
  <c r="Q42" i="31"/>
  <c r="P42" i="31" s="1"/>
  <c r="R42" i="31"/>
  <c r="R62" i="31"/>
  <c r="Q62" i="31"/>
  <c r="P62" i="31" s="1"/>
  <c r="H974" i="26"/>
  <c r="H434" i="26"/>
  <c r="Q156" i="1"/>
  <c r="P156" i="1" s="1"/>
  <c r="R156" i="1"/>
  <c r="R72" i="1"/>
  <c r="Q72" i="1"/>
  <c r="P72" i="1" s="1"/>
  <c r="R66" i="1"/>
  <c r="Q66" i="1"/>
  <c r="P66" i="1" s="1"/>
  <c r="R117" i="1"/>
  <c r="Q117" i="1"/>
  <c r="P117" i="1" s="1"/>
  <c r="R55" i="1"/>
  <c r="Q55" i="1"/>
  <c r="P55" i="1" s="1"/>
  <c r="R169" i="1"/>
  <c r="Q169" i="1"/>
  <c r="P169" i="1" s="1"/>
  <c r="Q57" i="1"/>
  <c r="P57" i="1" s="1"/>
  <c r="R57" i="1"/>
  <c r="Q131" i="1"/>
  <c r="P131" i="1" s="1"/>
  <c r="R131" i="1"/>
  <c r="R169" i="30"/>
  <c r="Q169" i="30"/>
  <c r="P169" i="30" s="1"/>
  <c r="Q149" i="30"/>
  <c r="P149" i="30" s="1"/>
  <c r="R149" i="30"/>
  <c r="Q129" i="30"/>
  <c r="P129" i="30" s="1"/>
  <c r="R129" i="30"/>
  <c r="R109" i="30"/>
  <c r="Q109" i="30"/>
  <c r="P109" i="30" s="1"/>
  <c r="R89" i="30"/>
  <c r="Q89" i="30"/>
  <c r="P89" i="30" s="1"/>
  <c r="R36" i="30"/>
  <c r="Q36" i="30"/>
  <c r="P36" i="30" s="1"/>
  <c r="Q68" i="30"/>
  <c r="P68" i="30" s="1"/>
  <c r="R68" i="30"/>
  <c r="A171" i="6"/>
  <c r="F171" i="6" s="1"/>
  <c r="F16" i="6"/>
  <c r="G16" i="6"/>
  <c r="A17" i="6"/>
  <c r="B16" i="6"/>
  <c r="C16" i="6"/>
  <c r="D16" i="6"/>
  <c r="H16" i="6" s="1"/>
  <c r="E16" i="6"/>
  <c r="Q170" i="31"/>
  <c r="P170" i="31" s="1"/>
  <c r="R170" i="31"/>
  <c r="R150" i="31"/>
  <c r="Q150" i="31"/>
  <c r="P150" i="31" s="1"/>
  <c r="Q130" i="31"/>
  <c r="P130" i="31" s="1"/>
  <c r="R130" i="31"/>
  <c r="Q110" i="31"/>
  <c r="P110" i="31" s="1"/>
  <c r="R110" i="31"/>
  <c r="R90" i="31"/>
  <c r="Q90" i="31"/>
  <c r="P90" i="31" s="1"/>
  <c r="Q41" i="31"/>
  <c r="P41" i="31" s="1"/>
  <c r="R41" i="31"/>
  <c r="R59" i="31"/>
  <c r="Q59" i="31"/>
  <c r="P59" i="31" s="1"/>
  <c r="I1384" i="26"/>
  <c r="E1384" i="26" s="1"/>
  <c r="I520" i="26"/>
  <c r="E520" i="26" s="1"/>
  <c r="H2155" i="26"/>
  <c r="Q103" i="1"/>
  <c r="P103" i="1" s="1"/>
  <c r="R103" i="1"/>
  <c r="R79" i="1"/>
  <c r="Q79" i="1"/>
  <c r="P79" i="1" s="1"/>
  <c r="R153" i="1"/>
  <c r="Q153" i="1"/>
  <c r="P153" i="1" s="1"/>
  <c r="Q121" i="1"/>
  <c r="P121" i="1" s="1"/>
  <c r="R121" i="1"/>
  <c r="R59" i="1"/>
  <c r="Q59" i="1"/>
  <c r="P59" i="1" s="1"/>
  <c r="R38" i="1"/>
  <c r="Q38" i="1"/>
  <c r="P38" i="1" s="1"/>
  <c r="R53" i="1"/>
  <c r="Q53" i="1"/>
  <c r="P53" i="1" s="1"/>
  <c r="R46" i="1"/>
  <c r="Q46" i="1"/>
  <c r="P46" i="1" s="1"/>
  <c r="Q168" i="30"/>
  <c r="P168" i="30" s="1"/>
  <c r="R168" i="30"/>
  <c r="Q148" i="30"/>
  <c r="P148" i="30" s="1"/>
  <c r="R148" i="30"/>
  <c r="Q128" i="30"/>
  <c r="P128" i="30" s="1"/>
  <c r="R128" i="30"/>
  <c r="Q108" i="30"/>
  <c r="P108" i="30" s="1"/>
  <c r="R108" i="30"/>
  <c r="R88" i="30"/>
  <c r="Q88" i="30"/>
  <c r="P88" i="30" s="1"/>
  <c r="R53" i="30"/>
  <c r="Q53" i="30"/>
  <c r="P53" i="30" s="1"/>
  <c r="R71" i="30"/>
  <c r="Q71" i="30"/>
  <c r="P71" i="30" s="1"/>
  <c r="I991" i="26"/>
  <c r="E991" i="26" s="1"/>
  <c r="H1440" i="26"/>
  <c r="I1199" i="26"/>
  <c r="E1199" i="26" s="1"/>
  <c r="H5089" i="26"/>
  <c r="I1395" i="26"/>
  <c r="E1395" i="26" s="1"/>
  <c r="H1621" i="26"/>
  <c r="I1346" i="26"/>
  <c r="E1346" i="26" s="1"/>
  <c r="I2211" i="26"/>
  <c r="E2211" i="26" s="1"/>
  <c r="I1657" i="26"/>
  <c r="E1657" i="26" s="1"/>
  <c r="I1245" i="26"/>
  <c r="E1245" i="26" s="1"/>
  <c r="I630" i="26"/>
  <c r="E630" i="26" s="1"/>
  <c r="H6776" i="26"/>
  <c r="H1191" i="26"/>
  <c r="H1174" i="26"/>
  <c r="M82" i="23"/>
  <c r="D82" i="23"/>
  <c r="H2179" i="26"/>
  <c r="H1839" i="26"/>
  <c r="I632" i="26"/>
  <c r="E632" i="26" s="1"/>
  <c r="H623" i="26"/>
  <c r="H1780" i="26"/>
  <c r="I1420" i="26"/>
  <c r="E1420" i="26" s="1"/>
  <c r="I1948" i="26"/>
  <c r="E1948" i="26" s="1"/>
  <c r="I684" i="26"/>
  <c r="E684" i="26" s="1"/>
  <c r="H2011" i="26"/>
  <c r="I1033" i="26"/>
  <c r="E1033" i="26" s="1"/>
  <c r="I1818" i="26"/>
  <c r="E1818" i="26" s="1"/>
  <c r="H252" i="26"/>
  <c r="I1666" i="26"/>
  <c r="E1666" i="26" s="1"/>
  <c r="F170" i="6"/>
  <c r="H346" i="26"/>
  <c r="I402" i="26"/>
  <c r="E402" i="26" s="1"/>
  <c r="H1826" i="26"/>
  <c r="H4632" i="26"/>
  <c r="H2040" i="26"/>
  <c r="H809" i="26"/>
  <c r="H624" i="26"/>
  <c r="H364" i="26"/>
  <c r="I2198" i="26"/>
  <c r="E2198" i="26" s="1"/>
  <c r="H431" i="26"/>
  <c r="R169" i="31"/>
  <c r="Q169" i="31"/>
  <c r="P169" i="31" s="1"/>
  <c r="Q149" i="31"/>
  <c r="P149" i="31" s="1"/>
  <c r="R149" i="31"/>
  <c r="Q129" i="31"/>
  <c r="P129" i="31" s="1"/>
  <c r="R129" i="31"/>
  <c r="R109" i="31"/>
  <c r="Q109" i="31"/>
  <c r="P109" i="31" s="1"/>
  <c r="R89" i="31"/>
  <c r="Q89" i="31"/>
  <c r="P89" i="31" s="1"/>
  <c r="R64" i="31"/>
  <c r="Q64" i="31"/>
  <c r="P64" i="31" s="1"/>
  <c r="Q54" i="31"/>
  <c r="P54" i="31" s="1"/>
  <c r="R54" i="31"/>
  <c r="H6094" i="26"/>
  <c r="H2067" i="26"/>
  <c r="I412" i="26"/>
  <c r="E412" i="26" s="1"/>
  <c r="I820" i="26"/>
  <c r="E820" i="26" s="1"/>
  <c r="Q33" i="1"/>
  <c r="P33" i="1" s="1"/>
  <c r="R33" i="1"/>
  <c r="R172" i="1"/>
  <c r="Q172" i="1"/>
  <c r="P172" i="1" s="1"/>
  <c r="R112" i="1"/>
  <c r="Q112" i="1"/>
  <c r="P112" i="1" s="1"/>
  <c r="Q177" i="1"/>
  <c r="P177" i="1" s="1"/>
  <c r="R177" i="1"/>
  <c r="Q142" i="1"/>
  <c r="P142" i="1" s="1"/>
  <c r="R142" i="1"/>
  <c r="R138" i="1"/>
  <c r="Q138" i="1"/>
  <c r="P138" i="1" s="1"/>
  <c r="Q181" i="1"/>
  <c r="P181" i="1" s="1"/>
  <c r="R181" i="1"/>
  <c r="R56" i="1"/>
  <c r="Q56" i="1"/>
  <c r="P56" i="1" s="1"/>
  <c r="R167" i="30"/>
  <c r="Q167" i="30"/>
  <c r="P167" i="30" s="1"/>
  <c r="Q147" i="30"/>
  <c r="P147" i="30" s="1"/>
  <c r="R147" i="30"/>
  <c r="R127" i="30"/>
  <c r="Q127" i="30"/>
  <c r="P127" i="30" s="1"/>
  <c r="R107" i="30"/>
  <c r="Q107" i="30"/>
  <c r="P107" i="30" s="1"/>
  <c r="Q87" i="30"/>
  <c r="P87" i="30" s="1"/>
  <c r="R87" i="30"/>
  <c r="Q49" i="30"/>
  <c r="P49" i="30" s="1"/>
  <c r="R49" i="30"/>
  <c r="Q58" i="30"/>
  <c r="P58" i="30" s="1"/>
  <c r="R58" i="30"/>
  <c r="H1229" i="26"/>
  <c r="I628" i="26"/>
  <c r="E628" i="26" s="1"/>
  <c r="I853" i="26"/>
  <c r="E853" i="26" s="1"/>
  <c r="H407" i="26"/>
  <c r="H1234" i="26"/>
  <c r="H825" i="26"/>
  <c r="F170" i="37"/>
  <c r="H1226" i="26"/>
  <c r="H1448" i="26"/>
  <c r="H561" i="26"/>
  <c r="I609" i="26"/>
  <c r="E609" i="26" s="1"/>
  <c r="H1600" i="26"/>
  <c r="I815" i="26"/>
  <c r="E815" i="26" s="1"/>
  <c r="H2241" i="26"/>
  <c r="H1417" i="26"/>
  <c r="H1864" i="26"/>
  <c r="H2243" i="26"/>
  <c r="I344" i="26"/>
  <c r="E344" i="26" s="1"/>
  <c r="I462" i="26"/>
  <c r="E462" i="26" s="1"/>
  <c r="H819" i="26"/>
  <c r="I682" i="26"/>
  <c r="E682" i="26" s="1"/>
  <c r="I2192" i="26"/>
  <c r="E2192" i="26" s="1"/>
  <c r="H426" i="26"/>
  <c r="I833" i="26"/>
  <c r="E833" i="26" s="1"/>
  <c r="H5730" i="26"/>
  <c r="I1677" i="26"/>
  <c r="E1677" i="26" s="1"/>
  <c r="H1188" i="26"/>
  <c r="I2241" i="26"/>
  <c r="E2241" i="26" s="1"/>
  <c r="I1196" i="26"/>
  <c r="E1196" i="26" s="1"/>
  <c r="H297" i="26"/>
  <c r="H2060" i="26"/>
  <c r="H1121" i="26"/>
  <c r="I1268" i="26"/>
  <c r="E1268" i="26" s="1"/>
  <c r="H1840" i="26"/>
  <c r="I428" i="26"/>
  <c r="E428" i="26" s="1"/>
  <c r="H1367" i="26"/>
  <c r="H1437" i="26"/>
  <c r="I824" i="26"/>
  <c r="E824" i="26" s="1"/>
  <c r="Q168" i="31"/>
  <c r="P168" i="31" s="1"/>
  <c r="R168" i="31"/>
  <c r="Q148" i="31"/>
  <c r="P148" i="31" s="1"/>
  <c r="R148" i="31"/>
  <c r="R128" i="31"/>
  <c r="Q128" i="31"/>
  <c r="P128" i="31" s="1"/>
  <c r="R108" i="31"/>
  <c r="Q108" i="31"/>
  <c r="P108" i="31" s="1"/>
  <c r="R88" i="31"/>
  <c r="Q88" i="31"/>
  <c r="P88" i="31" s="1"/>
  <c r="R39" i="31"/>
  <c r="Q39" i="31"/>
  <c r="P39" i="31" s="1"/>
  <c r="R34" i="31"/>
  <c r="Q34" i="31"/>
  <c r="P34" i="31" s="1"/>
  <c r="I2093" i="26"/>
  <c r="E2093" i="26" s="1"/>
  <c r="H536" i="26"/>
  <c r="I595" i="26"/>
  <c r="E595" i="26" s="1"/>
  <c r="I2057" i="26"/>
  <c r="E2057" i="26" s="1"/>
  <c r="H6275" i="26"/>
  <c r="Q120" i="1"/>
  <c r="P120" i="1" s="1"/>
  <c r="R120" i="1"/>
  <c r="Q162" i="1"/>
  <c r="P162" i="1" s="1"/>
  <c r="R162" i="1"/>
  <c r="Q154" i="1"/>
  <c r="P154" i="1" s="1"/>
  <c r="R154" i="1"/>
  <c r="R91" i="1"/>
  <c r="Q91" i="1"/>
  <c r="P91" i="1" s="1"/>
  <c r="R51" i="1"/>
  <c r="Q51" i="1"/>
  <c r="P51" i="1" s="1"/>
  <c r="R73" i="1"/>
  <c r="Q73" i="1"/>
  <c r="P73" i="1" s="1"/>
  <c r="R83" i="1"/>
  <c r="Q83" i="1"/>
  <c r="P83" i="1" s="1"/>
  <c r="Q133" i="1"/>
  <c r="P133" i="1" s="1"/>
  <c r="R133" i="1"/>
  <c r="R166" i="30"/>
  <c r="Q166" i="30"/>
  <c r="P166" i="30" s="1"/>
  <c r="R146" i="30"/>
  <c r="Q146" i="30"/>
  <c r="P146" i="30" s="1"/>
  <c r="R126" i="30"/>
  <c r="Q126" i="30"/>
  <c r="P126" i="30" s="1"/>
  <c r="Q106" i="30"/>
  <c r="P106" i="30" s="1"/>
  <c r="R106" i="30"/>
  <c r="Q86" i="30"/>
  <c r="P86" i="30" s="1"/>
  <c r="R86" i="30"/>
  <c r="Q50" i="30"/>
  <c r="P50" i="30" s="1"/>
  <c r="R50" i="30"/>
  <c r="Q51" i="30"/>
  <c r="P51" i="30" s="1"/>
  <c r="R51" i="30"/>
  <c r="D16" i="37"/>
  <c r="H16" i="37" s="1"/>
  <c r="E16" i="37"/>
  <c r="B16" i="37"/>
  <c r="C16" i="37"/>
  <c r="A17" i="37"/>
  <c r="G16" i="37"/>
  <c r="A171" i="37"/>
  <c r="F171" i="37" s="1"/>
  <c r="F16" i="37"/>
  <c r="AS175" i="19"/>
  <c r="C183" i="26"/>
  <c r="D119" i="23"/>
  <c r="R167" i="31"/>
  <c r="Q167" i="31"/>
  <c r="P167" i="31" s="1"/>
  <c r="Q147" i="31"/>
  <c r="P147" i="31" s="1"/>
  <c r="R147" i="31"/>
  <c r="Q127" i="31"/>
  <c r="P127" i="31" s="1"/>
  <c r="R127" i="31"/>
  <c r="Q107" i="31"/>
  <c r="P107" i="31" s="1"/>
  <c r="R107" i="31"/>
  <c r="R87" i="31"/>
  <c r="Q87" i="31"/>
  <c r="P87" i="31" s="1"/>
  <c r="R51" i="31"/>
  <c r="Q51" i="31"/>
  <c r="P51" i="31" s="1"/>
  <c r="Q38" i="31"/>
  <c r="P38" i="31" s="1"/>
  <c r="R38" i="31"/>
  <c r="C191" i="26" l="1"/>
  <c r="AS183" i="19"/>
  <c r="AR117" i="19"/>
  <c r="AR118" i="19" s="1"/>
  <c r="N209" i="1"/>
  <c r="J53" i="1"/>
  <c r="F53" i="1"/>
  <c r="L53" i="1"/>
  <c r="I53" i="1"/>
  <c r="G53" i="1"/>
  <c r="M53" i="1"/>
  <c r="H53" i="1"/>
  <c r="N53" i="1" s="1"/>
  <c r="C53" i="1"/>
  <c r="K53" i="1"/>
  <c r="P209" i="1"/>
  <c r="S209" i="1" s="1"/>
  <c r="J209" i="1" s="1"/>
  <c r="L209" i="1" s="1"/>
  <c r="M150" i="30"/>
  <c r="I150" i="30"/>
  <c r="L150" i="30"/>
  <c r="F150" i="30"/>
  <c r="J150" i="30"/>
  <c r="K150" i="30"/>
  <c r="H150" i="30"/>
  <c r="N150" i="30" s="1"/>
  <c r="A306" i="30"/>
  <c r="C150" i="30"/>
  <c r="P306" i="30"/>
  <c r="S306" i="30" s="1"/>
  <c r="J306" i="30" s="1"/>
  <c r="L306" i="30" s="1"/>
  <c r="A150" i="30"/>
  <c r="G150" i="30"/>
  <c r="N306" i="30"/>
  <c r="I133" i="30"/>
  <c r="G133" i="30"/>
  <c r="F133" i="30"/>
  <c r="A289" i="30"/>
  <c r="N289" i="30"/>
  <c r="L133" i="30"/>
  <c r="K133" i="30"/>
  <c r="A133" i="30"/>
  <c r="J133" i="30"/>
  <c r="H133" i="30"/>
  <c r="N133" i="30" s="1"/>
  <c r="C133" i="30"/>
  <c r="M133" i="30"/>
  <c r="P289" i="30"/>
  <c r="S289" i="30" s="1"/>
  <c r="J289" i="30" s="1"/>
  <c r="L289" i="30" s="1"/>
  <c r="L179" i="30"/>
  <c r="I179" i="30"/>
  <c r="M179" i="30"/>
  <c r="G179" i="30"/>
  <c r="K179" i="30"/>
  <c r="A335" i="30"/>
  <c r="P335" i="30"/>
  <c r="S335" i="30" s="1"/>
  <c r="J335" i="30" s="1"/>
  <c r="L335" i="30" s="1"/>
  <c r="C179" i="30"/>
  <c r="F179" i="30"/>
  <c r="J179" i="30"/>
  <c r="H179" i="30"/>
  <c r="N179" i="30" s="1"/>
  <c r="A179" i="30"/>
  <c r="N335" i="30"/>
  <c r="G122" i="31"/>
  <c r="K122" i="31"/>
  <c r="P278" i="31"/>
  <c r="S278" i="31" s="1"/>
  <c r="J278" i="31" s="1"/>
  <c r="L278" i="31" s="1"/>
  <c r="I122" i="31"/>
  <c r="C122" i="31"/>
  <c r="M122" i="31"/>
  <c r="N278" i="31"/>
  <c r="L122" i="31"/>
  <c r="A278" i="31"/>
  <c r="A122" i="31"/>
  <c r="F122" i="31"/>
  <c r="J122" i="31"/>
  <c r="H122" i="31"/>
  <c r="N122" i="31" s="1"/>
  <c r="D168" i="26"/>
  <c r="F168" i="26"/>
  <c r="H181" i="30"/>
  <c r="N181" i="30" s="1"/>
  <c r="A337" i="30"/>
  <c r="M181" i="30"/>
  <c r="J181" i="30"/>
  <c r="I181" i="30"/>
  <c r="P337" i="30"/>
  <c r="S337" i="30" s="1"/>
  <c r="J337" i="30" s="1"/>
  <c r="L337" i="30" s="1"/>
  <c r="A181" i="30"/>
  <c r="L181" i="30"/>
  <c r="N337" i="30"/>
  <c r="K181" i="30"/>
  <c r="C181" i="30"/>
  <c r="G181" i="30"/>
  <c r="F181" i="30"/>
  <c r="F185" i="26"/>
  <c r="D185" i="26"/>
  <c r="P222" i="31"/>
  <c r="S222" i="31" s="1"/>
  <c r="J222" i="31" s="1"/>
  <c r="L222" i="31" s="1"/>
  <c r="F66" i="31"/>
  <c r="N222" i="31"/>
  <c r="A66" i="31"/>
  <c r="G66" i="31"/>
  <c r="A222" i="31"/>
  <c r="K66" i="31"/>
  <c r="M66" i="31"/>
  <c r="H66" i="31"/>
  <c r="N66" i="31" s="1"/>
  <c r="C66" i="31"/>
  <c r="J66" i="31"/>
  <c r="I66" i="31"/>
  <c r="L66" i="31"/>
  <c r="J52" i="30"/>
  <c r="H52" i="30"/>
  <c r="N52" i="30" s="1"/>
  <c r="K52" i="30"/>
  <c r="L52" i="30"/>
  <c r="P208" i="30"/>
  <c r="S208" i="30" s="1"/>
  <c r="J208" i="30" s="1"/>
  <c r="L208" i="30" s="1"/>
  <c r="N208" i="30"/>
  <c r="F52" i="30"/>
  <c r="A52" i="30"/>
  <c r="G52" i="30"/>
  <c r="I52" i="30"/>
  <c r="M52" i="30"/>
  <c r="C52" i="30"/>
  <c r="A208" i="30"/>
  <c r="F164" i="30"/>
  <c r="G164" i="30"/>
  <c r="M164" i="30"/>
  <c r="L164" i="30"/>
  <c r="H164" i="30"/>
  <c r="N164" i="30" s="1"/>
  <c r="K164" i="30"/>
  <c r="P320" i="30"/>
  <c r="S320" i="30" s="1"/>
  <c r="J320" i="30" s="1"/>
  <c r="L320" i="30" s="1"/>
  <c r="J164" i="30"/>
  <c r="I164" i="30"/>
  <c r="C164" i="30"/>
  <c r="A164" i="30"/>
  <c r="A320" i="30"/>
  <c r="N320" i="30"/>
  <c r="H62" i="30"/>
  <c r="N62" i="30" s="1"/>
  <c r="I62" i="30"/>
  <c r="P218" i="30"/>
  <c r="S218" i="30" s="1"/>
  <c r="J218" i="30" s="1"/>
  <c r="L218" i="30" s="1"/>
  <c r="M62" i="30"/>
  <c r="F62" i="30"/>
  <c r="J62" i="30"/>
  <c r="A218" i="30"/>
  <c r="A62" i="30"/>
  <c r="G62" i="30"/>
  <c r="L62" i="30"/>
  <c r="K62" i="30"/>
  <c r="N218" i="30"/>
  <c r="C62" i="30"/>
  <c r="I63" i="31"/>
  <c r="A219" i="31"/>
  <c r="M63" i="31"/>
  <c r="A63" i="31"/>
  <c r="F63" i="31"/>
  <c r="C63" i="31"/>
  <c r="J63" i="31"/>
  <c r="N219" i="31"/>
  <c r="H63" i="31"/>
  <c r="N63" i="31" s="1"/>
  <c r="G63" i="31"/>
  <c r="K63" i="31"/>
  <c r="P219" i="31"/>
  <c r="S219" i="31" s="1"/>
  <c r="J219" i="31" s="1"/>
  <c r="L219" i="31" s="1"/>
  <c r="L63" i="31"/>
  <c r="F37" i="1"/>
  <c r="I37" i="1"/>
  <c r="J37" i="1"/>
  <c r="H37" i="1"/>
  <c r="N37" i="1" s="1"/>
  <c r="N193" i="1"/>
  <c r="K37" i="1"/>
  <c r="C37" i="1"/>
  <c r="G37" i="1"/>
  <c r="P193" i="1"/>
  <c r="S193" i="1" s="1"/>
  <c r="J193" i="1" s="1"/>
  <c r="L193" i="1" s="1"/>
  <c r="M37" i="1"/>
  <c r="L37" i="1"/>
  <c r="G71" i="29"/>
  <c r="H71" i="29"/>
  <c r="N71" i="29" s="1"/>
  <c r="J71" i="29"/>
  <c r="F71" i="29"/>
  <c r="K71" i="29"/>
  <c r="I71" i="29"/>
  <c r="N227" i="29"/>
  <c r="L71" i="29"/>
  <c r="M71" i="29"/>
  <c r="P227" i="29"/>
  <c r="S227" i="29" s="1"/>
  <c r="J227" i="29" s="1"/>
  <c r="L227" i="29" s="1"/>
  <c r="C71" i="29"/>
  <c r="H133" i="29"/>
  <c r="N133" i="29" s="1"/>
  <c r="C133" i="29"/>
  <c r="P289" i="29"/>
  <c r="S289" i="29" s="1"/>
  <c r="J289" i="29" s="1"/>
  <c r="L289" i="29" s="1"/>
  <c r="K133" i="29"/>
  <c r="J133" i="29"/>
  <c r="M133" i="29"/>
  <c r="G133" i="29"/>
  <c r="N289" i="29"/>
  <c r="L133" i="29"/>
  <c r="I133" i="29"/>
  <c r="F133" i="29"/>
  <c r="P213" i="29"/>
  <c r="S213" i="29" s="1"/>
  <c r="J213" i="29" s="1"/>
  <c r="L213" i="29" s="1"/>
  <c r="H57" i="29"/>
  <c r="N57" i="29" s="1"/>
  <c r="C57" i="29"/>
  <c r="J57" i="29"/>
  <c r="G57" i="29"/>
  <c r="N213" i="29"/>
  <c r="K57" i="29"/>
  <c r="I57" i="29"/>
  <c r="M57" i="29"/>
  <c r="L57" i="29"/>
  <c r="F57" i="29"/>
  <c r="N291" i="29"/>
  <c r="K135" i="29"/>
  <c r="J135" i="29"/>
  <c r="F135" i="29"/>
  <c r="C135" i="29"/>
  <c r="I135" i="29"/>
  <c r="G135" i="29"/>
  <c r="M135" i="29"/>
  <c r="P291" i="29"/>
  <c r="S291" i="29" s="1"/>
  <c r="J291" i="29" s="1"/>
  <c r="L291" i="29" s="1"/>
  <c r="L135" i="29"/>
  <c r="H135" i="29"/>
  <c r="N135" i="29" s="1"/>
  <c r="J46" i="29"/>
  <c r="F46" i="29"/>
  <c r="P202" i="29"/>
  <c r="S202" i="29" s="1"/>
  <c r="J202" i="29" s="1"/>
  <c r="L202" i="29" s="1"/>
  <c r="M46" i="29"/>
  <c r="G46" i="29"/>
  <c r="L46" i="29"/>
  <c r="K46" i="29"/>
  <c r="N202" i="29"/>
  <c r="H46" i="29"/>
  <c r="N46" i="29" s="1"/>
  <c r="I46" i="29"/>
  <c r="C46" i="29"/>
  <c r="M161" i="29"/>
  <c r="L161" i="29"/>
  <c r="K161" i="29"/>
  <c r="H161" i="29"/>
  <c r="N161" i="29" s="1"/>
  <c r="J161" i="29"/>
  <c r="P317" i="29"/>
  <c r="S317" i="29" s="1"/>
  <c r="J317" i="29" s="1"/>
  <c r="L317" i="29" s="1"/>
  <c r="N317" i="29"/>
  <c r="C161" i="29"/>
  <c r="F161" i="29"/>
  <c r="G161" i="29"/>
  <c r="I161" i="29"/>
  <c r="L144" i="29"/>
  <c r="H144" i="29"/>
  <c r="N144" i="29" s="1"/>
  <c r="M144" i="29"/>
  <c r="K144" i="29"/>
  <c r="P300" i="29"/>
  <c r="S300" i="29" s="1"/>
  <c r="J300" i="29" s="1"/>
  <c r="L300" i="29" s="1"/>
  <c r="N300" i="29"/>
  <c r="I144" i="29"/>
  <c r="G144" i="29"/>
  <c r="J144" i="29"/>
  <c r="F144" i="29"/>
  <c r="C144" i="29"/>
  <c r="M40" i="29"/>
  <c r="G40" i="29"/>
  <c r="H40" i="29"/>
  <c r="N40" i="29" s="1"/>
  <c r="K40" i="29"/>
  <c r="N196" i="29"/>
  <c r="J40" i="29"/>
  <c r="I40" i="29"/>
  <c r="L40" i="29"/>
  <c r="F40" i="29"/>
  <c r="C40" i="29"/>
  <c r="P196" i="29"/>
  <c r="S196" i="29" s="1"/>
  <c r="J196" i="29" s="1"/>
  <c r="L196" i="29" s="1"/>
  <c r="J109" i="29"/>
  <c r="M109" i="29"/>
  <c r="L109" i="29"/>
  <c r="F109" i="29"/>
  <c r="K109" i="29"/>
  <c r="P265" i="29"/>
  <c r="S265" i="29" s="1"/>
  <c r="J265" i="29" s="1"/>
  <c r="L265" i="29" s="1"/>
  <c r="G109" i="29"/>
  <c r="N265" i="29"/>
  <c r="C109" i="29"/>
  <c r="H109" i="29"/>
  <c r="I109" i="29"/>
  <c r="J112" i="1"/>
  <c r="L112" i="1"/>
  <c r="G112" i="1"/>
  <c r="K112" i="1"/>
  <c r="N268" i="1"/>
  <c r="H112" i="1"/>
  <c r="N112" i="1" s="1"/>
  <c r="F112" i="1"/>
  <c r="P268" i="1"/>
  <c r="S268" i="1" s="1"/>
  <c r="J268" i="1" s="1"/>
  <c r="C112" i="1"/>
  <c r="M112" i="1"/>
  <c r="I112" i="1"/>
  <c r="K41" i="31"/>
  <c r="J41" i="31"/>
  <c r="H41" i="31"/>
  <c r="N41" i="31" s="1"/>
  <c r="G41" i="31"/>
  <c r="F41" i="31"/>
  <c r="A41" i="31"/>
  <c r="I41" i="31"/>
  <c r="C41" i="31"/>
  <c r="A197" i="31"/>
  <c r="M41" i="31"/>
  <c r="L41" i="31"/>
  <c r="P197" i="31"/>
  <c r="S197" i="31" s="1"/>
  <c r="J197" i="31" s="1"/>
  <c r="L197" i="31" s="1"/>
  <c r="N197" i="31"/>
  <c r="J172" i="31"/>
  <c r="A172" i="31"/>
  <c r="I172" i="31"/>
  <c r="M172" i="31"/>
  <c r="P328" i="31"/>
  <c r="S328" i="31" s="1"/>
  <c r="J328" i="31" s="1"/>
  <c r="L328" i="31" s="1"/>
  <c r="N328" i="31"/>
  <c r="C172" i="31"/>
  <c r="A328" i="31"/>
  <c r="K172" i="31"/>
  <c r="H172" i="31"/>
  <c r="N172" i="31" s="1"/>
  <c r="G172" i="31"/>
  <c r="L172" i="31"/>
  <c r="F172" i="31"/>
  <c r="I150" i="1"/>
  <c r="K150" i="1"/>
  <c r="M150" i="1"/>
  <c r="C150" i="1"/>
  <c r="H150" i="1"/>
  <c r="N150" i="1" s="1"/>
  <c r="J150" i="1"/>
  <c r="N306" i="1"/>
  <c r="P306" i="1"/>
  <c r="S306" i="1" s="1"/>
  <c r="J306" i="1" s="1"/>
  <c r="L150" i="1"/>
  <c r="F150" i="1"/>
  <c r="G150" i="1"/>
  <c r="L158" i="31"/>
  <c r="F158" i="31"/>
  <c r="N314" i="31"/>
  <c r="K158" i="31"/>
  <c r="H158" i="31"/>
  <c r="N158" i="31" s="1"/>
  <c r="C158" i="31"/>
  <c r="J158" i="31"/>
  <c r="G158" i="31"/>
  <c r="I158" i="31"/>
  <c r="P314" i="31"/>
  <c r="S314" i="31" s="1"/>
  <c r="J314" i="31" s="1"/>
  <c r="L314" i="31" s="1"/>
  <c r="M158" i="31"/>
  <c r="A314" i="31"/>
  <c r="A158" i="31"/>
  <c r="K166" i="30"/>
  <c r="M166" i="30"/>
  <c r="P322" i="30"/>
  <c r="S322" i="30" s="1"/>
  <c r="J322" i="30" s="1"/>
  <c r="L322" i="30" s="1"/>
  <c r="L166" i="30"/>
  <c r="A322" i="30"/>
  <c r="N322" i="30"/>
  <c r="H166" i="30"/>
  <c r="N166" i="30" s="1"/>
  <c r="J166" i="30"/>
  <c r="C166" i="30"/>
  <c r="I166" i="30"/>
  <c r="F166" i="30"/>
  <c r="G166" i="30"/>
  <c r="A166" i="30"/>
  <c r="I87" i="30"/>
  <c r="G87" i="30"/>
  <c r="H87" i="30"/>
  <c r="N87" i="30" s="1"/>
  <c r="A87" i="30"/>
  <c r="C87" i="30"/>
  <c r="N243" i="30"/>
  <c r="K87" i="30"/>
  <c r="A243" i="30"/>
  <c r="M87" i="30"/>
  <c r="F87" i="30"/>
  <c r="L87" i="30"/>
  <c r="P243" i="30"/>
  <c r="S243" i="30" s="1"/>
  <c r="J243" i="30" s="1"/>
  <c r="L243" i="30" s="1"/>
  <c r="J87" i="30"/>
  <c r="J149" i="31"/>
  <c r="N305" i="31"/>
  <c r="G149" i="31"/>
  <c r="C149" i="31"/>
  <c r="M149" i="31"/>
  <c r="L149" i="31"/>
  <c r="F149" i="31"/>
  <c r="H149" i="31"/>
  <c r="N149" i="31" s="1"/>
  <c r="I149" i="31"/>
  <c r="P305" i="31"/>
  <c r="S305" i="31" s="1"/>
  <c r="J305" i="31" s="1"/>
  <c r="L305" i="31" s="1"/>
  <c r="A149" i="31"/>
  <c r="A305" i="31"/>
  <c r="K149" i="31"/>
  <c r="G90" i="31"/>
  <c r="F90" i="31"/>
  <c r="C90" i="31"/>
  <c r="P246" i="31"/>
  <c r="S246" i="31" s="1"/>
  <c r="J246" i="31" s="1"/>
  <c r="L246" i="31" s="1"/>
  <c r="L90" i="31"/>
  <c r="H90" i="31"/>
  <c r="N90" i="31" s="1"/>
  <c r="A246" i="31"/>
  <c r="K90" i="31"/>
  <c r="M90" i="31"/>
  <c r="A90" i="31"/>
  <c r="J90" i="31"/>
  <c r="N246" i="31"/>
  <c r="I90" i="31"/>
  <c r="P192" i="30"/>
  <c r="S192" i="30" s="1"/>
  <c r="J192" i="30" s="1"/>
  <c r="L192" i="30" s="1"/>
  <c r="C36" i="30"/>
  <c r="J36" i="30"/>
  <c r="A36" i="30"/>
  <c r="M36" i="30"/>
  <c r="F36" i="30"/>
  <c r="H36" i="30"/>
  <c r="N36" i="30" s="1"/>
  <c r="K36" i="30"/>
  <c r="L36" i="30"/>
  <c r="A192" i="30"/>
  <c r="I36" i="30"/>
  <c r="N192" i="30"/>
  <c r="G36" i="30"/>
  <c r="F117" i="1"/>
  <c r="N273" i="1"/>
  <c r="M117" i="1"/>
  <c r="I117" i="1"/>
  <c r="G117" i="1"/>
  <c r="K117" i="1"/>
  <c r="L117" i="1"/>
  <c r="J117" i="1"/>
  <c r="C117" i="1"/>
  <c r="P273" i="1"/>
  <c r="S273" i="1" s="1"/>
  <c r="J273" i="1" s="1"/>
  <c r="L273" i="1" s="1"/>
  <c r="H117" i="1"/>
  <c r="N117" i="1" s="1"/>
  <c r="N307" i="31"/>
  <c r="P307" i="31"/>
  <c r="S307" i="31" s="1"/>
  <c r="J307" i="31" s="1"/>
  <c r="L307" i="31" s="1"/>
  <c r="C151" i="31"/>
  <c r="G151" i="31"/>
  <c r="M151" i="31"/>
  <c r="K151" i="31"/>
  <c r="J151" i="31"/>
  <c r="L151" i="31"/>
  <c r="F151" i="31"/>
  <c r="I151" i="31"/>
  <c r="A307" i="31"/>
  <c r="A151" i="31"/>
  <c r="H151" i="31"/>
  <c r="N151" i="31" s="1"/>
  <c r="AS141" i="19"/>
  <c r="C149" i="26"/>
  <c r="I173" i="31"/>
  <c r="N329" i="31"/>
  <c r="J173" i="31"/>
  <c r="M173" i="31"/>
  <c r="H173" i="31"/>
  <c r="N173" i="31" s="1"/>
  <c r="G173" i="31"/>
  <c r="K173" i="31"/>
  <c r="C173" i="31"/>
  <c r="L173" i="31"/>
  <c r="P329" i="31"/>
  <c r="S329" i="31" s="1"/>
  <c r="J329" i="31" s="1"/>
  <c r="L329" i="31" s="1"/>
  <c r="A173" i="31"/>
  <c r="A329" i="31"/>
  <c r="F173" i="31"/>
  <c r="G154" i="31"/>
  <c r="I154" i="31"/>
  <c r="P310" i="31"/>
  <c r="S310" i="31" s="1"/>
  <c r="J310" i="31" s="1"/>
  <c r="L310" i="31" s="1"/>
  <c r="H154" i="31"/>
  <c r="N154" i="31" s="1"/>
  <c r="F154" i="31"/>
  <c r="N310" i="31"/>
  <c r="L154" i="31"/>
  <c r="K154" i="31"/>
  <c r="M154" i="31"/>
  <c r="J154" i="31"/>
  <c r="A310" i="31"/>
  <c r="C154" i="31"/>
  <c r="A154" i="31"/>
  <c r="I74" i="30"/>
  <c r="A74" i="30"/>
  <c r="H74" i="30"/>
  <c r="N74" i="30" s="1"/>
  <c r="F74" i="30"/>
  <c r="A230" i="30"/>
  <c r="L74" i="30"/>
  <c r="P230" i="30"/>
  <c r="S230" i="30" s="1"/>
  <c r="J230" i="30" s="1"/>
  <c r="L230" i="30" s="1"/>
  <c r="G74" i="30"/>
  <c r="M74" i="30"/>
  <c r="N230" i="30"/>
  <c r="C74" i="30"/>
  <c r="K74" i="30"/>
  <c r="J74" i="30"/>
  <c r="A75" i="30"/>
  <c r="M75" i="30"/>
  <c r="C75" i="30"/>
  <c r="H75" i="30"/>
  <c r="N75" i="30" s="1"/>
  <c r="L75" i="30"/>
  <c r="J75" i="30"/>
  <c r="P231" i="30"/>
  <c r="S231" i="30" s="1"/>
  <c r="J231" i="30" s="1"/>
  <c r="L231" i="30" s="1"/>
  <c r="F75" i="30"/>
  <c r="A231" i="30"/>
  <c r="N231" i="30"/>
  <c r="K75" i="30"/>
  <c r="I75" i="30"/>
  <c r="G75" i="30"/>
  <c r="L74" i="1"/>
  <c r="F74" i="1"/>
  <c r="M74" i="1"/>
  <c r="J74" i="1"/>
  <c r="I74" i="1"/>
  <c r="G74" i="1"/>
  <c r="P230" i="1"/>
  <c r="S230" i="1" s="1"/>
  <c r="J230" i="1" s="1"/>
  <c r="L230" i="1" s="1"/>
  <c r="K74" i="1"/>
  <c r="H74" i="1"/>
  <c r="N74" i="1" s="1"/>
  <c r="C74" i="1"/>
  <c r="N230" i="1"/>
  <c r="M117" i="31"/>
  <c r="J117" i="31"/>
  <c r="L117" i="31"/>
  <c r="N273" i="31"/>
  <c r="I117" i="31"/>
  <c r="C117" i="31"/>
  <c r="G117" i="31"/>
  <c r="F117" i="31"/>
  <c r="H117" i="31"/>
  <c r="N117" i="31" s="1"/>
  <c r="A117" i="31"/>
  <c r="P273" i="31"/>
  <c r="S273" i="31" s="1"/>
  <c r="J273" i="31" s="1"/>
  <c r="L273" i="31" s="1"/>
  <c r="A273" i="31"/>
  <c r="K117" i="31"/>
  <c r="I123" i="1"/>
  <c r="K123" i="1"/>
  <c r="P279" i="1"/>
  <c r="S279" i="1" s="1"/>
  <c r="J279" i="1" s="1"/>
  <c r="L279" i="1" s="1"/>
  <c r="L123" i="1"/>
  <c r="F123" i="1"/>
  <c r="G123" i="1"/>
  <c r="N279" i="1"/>
  <c r="M123" i="1"/>
  <c r="C123" i="1"/>
  <c r="H123" i="1"/>
  <c r="N123" i="1" s="1"/>
  <c r="J123" i="1"/>
  <c r="N314" i="30"/>
  <c r="C158" i="30"/>
  <c r="G158" i="30"/>
  <c r="M158" i="30"/>
  <c r="K158" i="30"/>
  <c r="P314" i="30"/>
  <c r="S314" i="30" s="1"/>
  <c r="J314" i="30" s="1"/>
  <c r="L314" i="30" s="1"/>
  <c r="J158" i="30"/>
  <c r="I158" i="30"/>
  <c r="F158" i="30"/>
  <c r="A158" i="30"/>
  <c r="A314" i="30"/>
  <c r="H158" i="30"/>
  <c r="N158" i="30" s="1"/>
  <c r="L158" i="30"/>
  <c r="A45" i="31"/>
  <c r="N201" i="31"/>
  <c r="H45" i="31"/>
  <c r="N45" i="31" s="1"/>
  <c r="F45" i="31"/>
  <c r="K45" i="31"/>
  <c r="J45" i="31"/>
  <c r="I45" i="31"/>
  <c r="C45" i="31"/>
  <c r="P201" i="31"/>
  <c r="S201" i="31" s="1"/>
  <c r="J201" i="31" s="1"/>
  <c r="L201" i="31" s="1"/>
  <c r="L45" i="31"/>
  <c r="M45" i="31"/>
  <c r="G45" i="31"/>
  <c r="A201" i="31"/>
  <c r="A236" i="30"/>
  <c r="A80" i="30"/>
  <c r="J80" i="30"/>
  <c r="K80" i="30"/>
  <c r="L80" i="30"/>
  <c r="F80" i="30"/>
  <c r="C80" i="30"/>
  <c r="H80" i="30"/>
  <c r="N80" i="30" s="1"/>
  <c r="I80" i="30"/>
  <c r="P236" i="30"/>
  <c r="S236" i="30" s="1"/>
  <c r="J236" i="30" s="1"/>
  <c r="L236" i="30" s="1"/>
  <c r="M80" i="30"/>
  <c r="G80" i="30"/>
  <c r="N236" i="30"/>
  <c r="C110" i="1"/>
  <c r="M110" i="1"/>
  <c r="L110" i="1"/>
  <c r="P266" i="1"/>
  <c r="S266" i="1" s="1"/>
  <c r="J266" i="1" s="1"/>
  <c r="L266" i="1" s="1"/>
  <c r="F110" i="1"/>
  <c r="G110" i="1"/>
  <c r="H110" i="1"/>
  <c r="N110" i="1" s="1"/>
  <c r="I110" i="1"/>
  <c r="N266" i="1"/>
  <c r="J110" i="1"/>
  <c r="K110" i="1"/>
  <c r="K78" i="1"/>
  <c r="F78" i="1"/>
  <c r="C78" i="1"/>
  <c r="P234" i="1"/>
  <c r="S234" i="1" s="1"/>
  <c r="J234" i="1" s="1"/>
  <c r="H78" i="1"/>
  <c r="N78" i="1" s="1"/>
  <c r="I78" i="1"/>
  <c r="N234" i="1"/>
  <c r="G78" i="1"/>
  <c r="L78" i="1"/>
  <c r="M78" i="1"/>
  <c r="J78" i="1"/>
  <c r="F67" i="31"/>
  <c r="A67" i="31"/>
  <c r="C67" i="31"/>
  <c r="M67" i="31"/>
  <c r="K67" i="31"/>
  <c r="G67" i="31"/>
  <c r="J67" i="31"/>
  <c r="H67" i="31"/>
  <c r="N67" i="31" s="1"/>
  <c r="A223" i="31"/>
  <c r="N223" i="31"/>
  <c r="L67" i="31"/>
  <c r="I67" i="31"/>
  <c r="P223" i="31"/>
  <c r="S223" i="31" s="1"/>
  <c r="J223" i="31" s="1"/>
  <c r="L223" i="31" s="1"/>
  <c r="P293" i="1"/>
  <c r="S293" i="1" s="1"/>
  <c r="J293" i="1" s="1"/>
  <c r="L293" i="1" s="1"/>
  <c r="N293" i="1"/>
  <c r="H137" i="1"/>
  <c r="N137" i="1" s="1"/>
  <c r="I137" i="1"/>
  <c r="F137" i="1"/>
  <c r="C137" i="1"/>
  <c r="G137" i="1"/>
  <c r="L137" i="1"/>
  <c r="J137" i="1"/>
  <c r="A115" i="26" s="1"/>
  <c r="K137" i="1"/>
  <c r="M137" i="1"/>
  <c r="M43" i="1"/>
  <c r="H43" i="1"/>
  <c r="N43" i="1" s="1"/>
  <c r="F43" i="1"/>
  <c r="K43" i="1"/>
  <c r="J43" i="1"/>
  <c r="P199" i="1"/>
  <c r="S199" i="1" s="1"/>
  <c r="J199" i="1" s="1"/>
  <c r="L199" i="1" s="1"/>
  <c r="N199" i="1"/>
  <c r="L43" i="1"/>
  <c r="I43" i="1"/>
  <c r="G43" i="1"/>
  <c r="C43" i="1"/>
  <c r="M85" i="31"/>
  <c r="H85" i="31"/>
  <c r="N85" i="31" s="1"/>
  <c r="G85" i="31"/>
  <c r="A241" i="31"/>
  <c r="L85" i="31"/>
  <c r="K85" i="31"/>
  <c r="A85" i="31"/>
  <c r="P241" i="31"/>
  <c r="S241" i="31" s="1"/>
  <c r="J241" i="31" s="1"/>
  <c r="L241" i="31" s="1"/>
  <c r="F85" i="31"/>
  <c r="I85" i="31"/>
  <c r="N241" i="31"/>
  <c r="C85" i="31"/>
  <c r="J85" i="31"/>
  <c r="K184" i="30"/>
  <c r="L184" i="30"/>
  <c r="I184" i="30"/>
  <c r="J184" i="30"/>
  <c r="P340" i="30"/>
  <c r="S340" i="30" s="1"/>
  <c r="J340" i="30" s="1"/>
  <c r="L340" i="30" s="1"/>
  <c r="M184" i="30"/>
  <c r="H184" i="30"/>
  <c r="N184" i="30" s="1"/>
  <c r="C184" i="30"/>
  <c r="F184" i="30"/>
  <c r="G184" i="30"/>
  <c r="A340" i="30"/>
  <c r="A184" i="30"/>
  <c r="N340" i="30"/>
  <c r="P202" i="30"/>
  <c r="S202" i="30" s="1"/>
  <c r="J202" i="30" s="1"/>
  <c r="L202" i="30" s="1"/>
  <c r="F46" i="30"/>
  <c r="J46" i="30"/>
  <c r="G46" i="30"/>
  <c r="N202" i="30"/>
  <c r="I46" i="30"/>
  <c r="C46" i="30"/>
  <c r="H46" i="30"/>
  <c r="N46" i="30" s="1"/>
  <c r="K46" i="30"/>
  <c r="L46" i="30"/>
  <c r="A46" i="30"/>
  <c r="M46" i="30"/>
  <c r="A202" i="30"/>
  <c r="H86" i="31"/>
  <c r="N86" i="31" s="1"/>
  <c r="G86" i="31"/>
  <c r="K86" i="31"/>
  <c r="J86" i="31"/>
  <c r="I86" i="31"/>
  <c r="L86" i="31"/>
  <c r="F86" i="31"/>
  <c r="P242" i="31"/>
  <c r="S242" i="31" s="1"/>
  <c r="J242" i="31" s="1"/>
  <c r="L242" i="31" s="1"/>
  <c r="A242" i="31"/>
  <c r="A86" i="31"/>
  <c r="M86" i="31"/>
  <c r="C86" i="31"/>
  <c r="N242" i="31"/>
  <c r="J167" i="1"/>
  <c r="K167" i="1"/>
  <c r="P323" i="1"/>
  <c r="S323" i="1" s="1"/>
  <c r="J323" i="1" s="1"/>
  <c r="L323" i="1" s="1"/>
  <c r="C167" i="1"/>
  <c r="H167" i="1"/>
  <c r="N167" i="1" s="1"/>
  <c r="L167" i="1"/>
  <c r="F167" i="1"/>
  <c r="I167" i="1"/>
  <c r="M167" i="1"/>
  <c r="N323" i="1"/>
  <c r="G167" i="1"/>
  <c r="J91" i="29"/>
  <c r="L91" i="29"/>
  <c r="P247" i="29"/>
  <c r="S247" i="29" s="1"/>
  <c r="J247" i="29" s="1"/>
  <c r="L247" i="29" s="1"/>
  <c r="F91" i="29"/>
  <c r="H91" i="29"/>
  <c r="N91" i="29" s="1"/>
  <c r="G91" i="29"/>
  <c r="N247" i="29"/>
  <c r="I91" i="29"/>
  <c r="C91" i="29"/>
  <c r="K91" i="29"/>
  <c r="M91" i="29"/>
  <c r="K153" i="29"/>
  <c r="J153" i="29"/>
  <c r="L153" i="29"/>
  <c r="H153" i="29"/>
  <c r="N153" i="29" s="1"/>
  <c r="F153" i="29"/>
  <c r="C153" i="29"/>
  <c r="I153" i="29"/>
  <c r="M153" i="29"/>
  <c r="G153" i="29"/>
  <c r="P309" i="29"/>
  <c r="S309" i="29" s="1"/>
  <c r="J309" i="29" s="1"/>
  <c r="L309" i="29" s="1"/>
  <c r="N309" i="29"/>
  <c r="G137" i="29"/>
  <c r="L137" i="29"/>
  <c r="C137" i="29"/>
  <c r="M137" i="29"/>
  <c r="I137" i="29"/>
  <c r="F137" i="29"/>
  <c r="H137" i="29"/>
  <c r="N137" i="29" s="1"/>
  <c r="K137" i="29"/>
  <c r="P293" i="29"/>
  <c r="S293" i="29" s="1"/>
  <c r="J293" i="29" s="1"/>
  <c r="L293" i="29" s="1"/>
  <c r="J137" i="29"/>
  <c r="N293" i="29"/>
  <c r="J68" i="29"/>
  <c r="C68" i="29"/>
  <c r="H68" i="29"/>
  <c r="N68" i="29" s="1"/>
  <c r="P224" i="29"/>
  <c r="S224" i="29" s="1"/>
  <c r="J224" i="29" s="1"/>
  <c r="L224" i="29" s="1"/>
  <c r="F68" i="29"/>
  <c r="K68" i="29"/>
  <c r="N224" i="29"/>
  <c r="G68" i="29"/>
  <c r="L68" i="29"/>
  <c r="M68" i="29"/>
  <c r="I68" i="29"/>
  <c r="M139" i="29"/>
  <c r="P295" i="29"/>
  <c r="S295" i="29" s="1"/>
  <c r="J295" i="29" s="1"/>
  <c r="L295" i="29" s="1"/>
  <c r="C139" i="29"/>
  <c r="K139" i="29"/>
  <c r="L139" i="29"/>
  <c r="J139" i="29"/>
  <c r="N295" i="29"/>
  <c r="I139" i="29"/>
  <c r="G139" i="29"/>
  <c r="F139" i="29"/>
  <c r="H139" i="29"/>
  <c r="N139" i="29" s="1"/>
  <c r="I69" i="29"/>
  <c r="G69" i="29"/>
  <c r="C69" i="29"/>
  <c r="L69" i="29"/>
  <c r="J69" i="29"/>
  <c r="N225" i="29"/>
  <c r="H69" i="29"/>
  <c r="N69" i="29" s="1"/>
  <c r="K69" i="29"/>
  <c r="M69" i="29"/>
  <c r="F69" i="29"/>
  <c r="P225" i="29"/>
  <c r="S225" i="29" s="1"/>
  <c r="J225" i="29" s="1"/>
  <c r="L225" i="29" s="1"/>
  <c r="F110" i="26"/>
  <c r="D110" i="26"/>
  <c r="I181" i="29"/>
  <c r="C181" i="29"/>
  <c r="L181" i="29"/>
  <c r="K181" i="29"/>
  <c r="M181" i="29"/>
  <c r="N337" i="29"/>
  <c r="H181" i="29"/>
  <c r="N181" i="29" s="1"/>
  <c r="P337" i="29"/>
  <c r="S337" i="29" s="1"/>
  <c r="J337" i="29" s="1"/>
  <c r="L337" i="29" s="1"/>
  <c r="F181" i="29"/>
  <c r="G181" i="29"/>
  <c r="J181" i="29"/>
  <c r="N258" i="29"/>
  <c r="P258" i="29"/>
  <c r="S258" i="29" s="1"/>
  <c r="J258" i="29" s="1"/>
  <c r="L258" i="29" s="1"/>
  <c r="K102" i="29"/>
  <c r="H102" i="29"/>
  <c r="G102" i="29"/>
  <c r="I102" i="29"/>
  <c r="M102" i="29"/>
  <c r="F102" i="29"/>
  <c r="J102" i="29"/>
  <c r="L102" i="29"/>
  <c r="C102" i="29"/>
  <c r="L33" i="29"/>
  <c r="N189" i="29"/>
  <c r="K33" i="29"/>
  <c r="J33" i="29"/>
  <c r="I33" i="29"/>
  <c r="C33" i="29"/>
  <c r="P189" i="29"/>
  <c r="S189" i="29" s="1"/>
  <c r="J189" i="29" s="1"/>
  <c r="L189" i="29" s="1"/>
  <c r="M33" i="29"/>
  <c r="F33" i="29"/>
  <c r="H33" i="29"/>
  <c r="N33" i="29" s="1"/>
  <c r="G33" i="29"/>
  <c r="N252" i="30"/>
  <c r="K96" i="30"/>
  <c r="M96" i="30"/>
  <c r="H96" i="30"/>
  <c r="N96" i="30" s="1"/>
  <c r="L96" i="30"/>
  <c r="J96" i="30"/>
  <c r="I96" i="30"/>
  <c r="F96" i="30"/>
  <c r="G96" i="30"/>
  <c r="A252" i="30"/>
  <c r="A96" i="30"/>
  <c r="C96" i="30"/>
  <c r="P252" i="30"/>
  <c r="S252" i="30" s="1"/>
  <c r="J252" i="30" s="1"/>
  <c r="L252" i="30" s="1"/>
  <c r="J137" i="30"/>
  <c r="I137" i="30"/>
  <c r="P293" i="30"/>
  <c r="S293" i="30" s="1"/>
  <c r="J293" i="30" s="1"/>
  <c r="L293" i="30" s="1"/>
  <c r="G137" i="30"/>
  <c r="H137" i="30"/>
  <c r="N137" i="30" s="1"/>
  <c r="F137" i="30"/>
  <c r="A137" i="30"/>
  <c r="N293" i="30"/>
  <c r="C137" i="30"/>
  <c r="K137" i="30"/>
  <c r="A293" i="30"/>
  <c r="M137" i="30"/>
  <c r="L137" i="30"/>
  <c r="F61" i="31"/>
  <c r="G61" i="31"/>
  <c r="N217" i="31"/>
  <c r="K61" i="31"/>
  <c r="M61" i="31"/>
  <c r="L61" i="31"/>
  <c r="J61" i="31"/>
  <c r="H61" i="31"/>
  <c r="N61" i="31" s="1"/>
  <c r="I61" i="31"/>
  <c r="A217" i="31"/>
  <c r="A61" i="31"/>
  <c r="C61" i="31"/>
  <c r="P217" i="31"/>
  <c r="S217" i="31" s="1"/>
  <c r="J217" i="31" s="1"/>
  <c r="L217" i="31" s="1"/>
  <c r="K171" i="37"/>
  <c r="B171" i="37"/>
  <c r="G171" i="37"/>
  <c r="P263" i="30"/>
  <c r="S263" i="30" s="1"/>
  <c r="J263" i="30" s="1"/>
  <c r="L263" i="30" s="1"/>
  <c r="G107" i="30"/>
  <c r="N263" i="30"/>
  <c r="A107" i="30"/>
  <c r="K107" i="30"/>
  <c r="M107" i="30"/>
  <c r="A263" i="30"/>
  <c r="J107" i="30"/>
  <c r="H107" i="30"/>
  <c r="N107" i="30" s="1"/>
  <c r="I107" i="30"/>
  <c r="C107" i="30"/>
  <c r="F107" i="30"/>
  <c r="L107" i="30"/>
  <c r="I172" i="1"/>
  <c r="C172" i="1"/>
  <c r="K172" i="1"/>
  <c r="M172" i="1"/>
  <c r="N328" i="1"/>
  <c r="J172" i="1"/>
  <c r="I150" i="26" s="1"/>
  <c r="E150" i="26" s="1"/>
  <c r="P328" i="1"/>
  <c r="S328" i="1" s="1"/>
  <c r="J328" i="1" s="1"/>
  <c r="L328" i="1" s="1"/>
  <c r="F172" i="1"/>
  <c r="H172" i="1"/>
  <c r="N172" i="1" s="1"/>
  <c r="G172" i="1"/>
  <c r="L172" i="1"/>
  <c r="G169" i="31"/>
  <c r="A169" i="31"/>
  <c r="F169" i="31"/>
  <c r="P325" i="31"/>
  <c r="S325" i="31" s="1"/>
  <c r="J325" i="31" s="1"/>
  <c r="L325" i="31" s="1"/>
  <c r="C169" i="31"/>
  <c r="N325" i="31"/>
  <c r="I169" i="31"/>
  <c r="J169" i="31"/>
  <c r="K169" i="31"/>
  <c r="H169" i="31"/>
  <c r="N169" i="31" s="1"/>
  <c r="A325" i="31"/>
  <c r="L169" i="31"/>
  <c r="M169" i="31"/>
  <c r="N194" i="1"/>
  <c r="C38" i="1"/>
  <c r="M38" i="1"/>
  <c r="K38" i="1"/>
  <c r="P194" i="1"/>
  <c r="S194" i="1" s="1"/>
  <c r="J194" i="1" s="1"/>
  <c r="L194" i="1" s="1"/>
  <c r="F38" i="1"/>
  <c r="L38" i="1"/>
  <c r="J38" i="1"/>
  <c r="I38" i="1"/>
  <c r="G38" i="1"/>
  <c r="H38" i="1"/>
  <c r="N38" i="1" s="1"/>
  <c r="I151" i="30"/>
  <c r="G151" i="30"/>
  <c r="L151" i="30"/>
  <c r="H151" i="30"/>
  <c r="N151" i="30" s="1"/>
  <c r="P307" i="30"/>
  <c r="S307" i="30" s="1"/>
  <c r="J307" i="30" s="1"/>
  <c r="L307" i="30" s="1"/>
  <c r="A151" i="30"/>
  <c r="F151" i="30"/>
  <c r="C151" i="30"/>
  <c r="M151" i="30"/>
  <c r="A307" i="30"/>
  <c r="N307" i="30"/>
  <c r="J151" i="30"/>
  <c r="K151" i="30"/>
  <c r="AT141" i="19"/>
  <c r="AR141" i="19" s="1"/>
  <c r="G149" i="26"/>
  <c r="G132" i="30"/>
  <c r="P288" i="30"/>
  <c r="S288" i="30" s="1"/>
  <c r="J288" i="30" s="1"/>
  <c r="L288" i="30" s="1"/>
  <c r="F132" i="30"/>
  <c r="K132" i="30"/>
  <c r="A132" i="30"/>
  <c r="M132" i="30"/>
  <c r="J132" i="30"/>
  <c r="A288" i="30"/>
  <c r="L132" i="30"/>
  <c r="C132" i="30"/>
  <c r="H132" i="30"/>
  <c r="N132" i="30" s="1"/>
  <c r="N288" i="30"/>
  <c r="I132" i="30"/>
  <c r="C61" i="1"/>
  <c r="G61" i="1"/>
  <c r="K61" i="1"/>
  <c r="L61" i="1"/>
  <c r="H61" i="1"/>
  <c r="N61" i="1" s="1"/>
  <c r="J61" i="1"/>
  <c r="N217" i="1"/>
  <c r="P217" i="1"/>
  <c r="S217" i="1" s="1"/>
  <c r="J217" i="1" s="1"/>
  <c r="L217" i="1" s="1"/>
  <c r="I61" i="1"/>
  <c r="F61" i="1"/>
  <c r="M61" i="1"/>
  <c r="H153" i="30"/>
  <c r="N153" i="30" s="1"/>
  <c r="C153" i="30"/>
  <c r="P309" i="30"/>
  <c r="S309" i="30" s="1"/>
  <c r="J309" i="30" s="1"/>
  <c r="L309" i="30" s="1"/>
  <c r="G153" i="30"/>
  <c r="F153" i="30"/>
  <c r="M153" i="30"/>
  <c r="L153" i="30"/>
  <c r="A153" i="30"/>
  <c r="K153" i="30"/>
  <c r="I153" i="30"/>
  <c r="A309" i="30"/>
  <c r="J153" i="30"/>
  <c r="N309" i="30"/>
  <c r="I68" i="1"/>
  <c r="M68" i="1"/>
  <c r="K68" i="1"/>
  <c r="H68" i="1"/>
  <c r="N68" i="1" s="1"/>
  <c r="G68" i="1"/>
  <c r="P224" i="1"/>
  <c r="S224" i="1" s="1"/>
  <c r="J224" i="1" s="1"/>
  <c r="J68" i="1"/>
  <c r="I46" i="26" s="1"/>
  <c r="E46" i="26" s="1"/>
  <c r="F68" i="1"/>
  <c r="L68" i="1"/>
  <c r="C68" i="1"/>
  <c r="N224" i="1"/>
  <c r="N292" i="31"/>
  <c r="C136" i="31"/>
  <c r="P292" i="31"/>
  <c r="S292" i="31" s="1"/>
  <c r="J292" i="31" s="1"/>
  <c r="L292" i="31" s="1"/>
  <c r="A136" i="31"/>
  <c r="I136" i="31"/>
  <c r="H136" i="31"/>
  <c r="N136" i="31" s="1"/>
  <c r="K136" i="31"/>
  <c r="L136" i="31"/>
  <c r="M136" i="31"/>
  <c r="G136" i="31"/>
  <c r="F136" i="31"/>
  <c r="A292" i="31"/>
  <c r="J136" i="31"/>
  <c r="K137" i="31"/>
  <c r="G137" i="31"/>
  <c r="J137" i="31"/>
  <c r="F137" i="31"/>
  <c r="I137" i="31"/>
  <c r="P293" i="31"/>
  <c r="S293" i="31" s="1"/>
  <c r="J293" i="31" s="1"/>
  <c r="L293" i="31" s="1"/>
  <c r="C137" i="31"/>
  <c r="M137" i="31"/>
  <c r="N293" i="31"/>
  <c r="H137" i="31"/>
  <c r="N137" i="31" s="1"/>
  <c r="A293" i="31"/>
  <c r="A137" i="31"/>
  <c r="L137" i="31"/>
  <c r="K116" i="30"/>
  <c r="J116" i="30"/>
  <c r="F116" i="30"/>
  <c r="I116" i="30"/>
  <c r="C116" i="30"/>
  <c r="A116" i="30"/>
  <c r="H116" i="30"/>
  <c r="N116" i="30" s="1"/>
  <c r="N272" i="30"/>
  <c r="P272" i="30"/>
  <c r="S272" i="30" s="1"/>
  <c r="J272" i="30" s="1"/>
  <c r="L272" i="30" s="1"/>
  <c r="G116" i="30"/>
  <c r="A272" i="30"/>
  <c r="M116" i="30"/>
  <c r="L116" i="30"/>
  <c r="L178" i="31"/>
  <c r="H178" i="31"/>
  <c r="N178" i="31" s="1"/>
  <c r="P334" i="31"/>
  <c r="S334" i="31" s="1"/>
  <c r="J334" i="31" s="1"/>
  <c r="L334" i="31" s="1"/>
  <c r="G178" i="31"/>
  <c r="A178" i="31"/>
  <c r="F178" i="31"/>
  <c r="A334" i="31"/>
  <c r="M178" i="31"/>
  <c r="N334" i="31"/>
  <c r="I178" i="31"/>
  <c r="J178" i="31"/>
  <c r="C178" i="31"/>
  <c r="K178" i="31"/>
  <c r="J157" i="30"/>
  <c r="A157" i="30"/>
  <c r="I157" i="30"/>
  <c r="G157" i="30"/>
  <c r="F157" i="30"/>
  <c r="L157" i="30"/>
  <c r="N313" i="30"/>
  <c r="K157" i="30"/>
  <c r="M157" i="30"/>
  <c r="P313" i="30"/>
  <c r="S313" i="30" s="1"/>
  <c r="J313" i="30" s="1"/>
  <c r="L313" i="30" s="1"/>
  <c r="A313" i="30"/>
  <c r="C157" i="30"/>
  <c r="H157" i="30"/>
  <c r="N157" i="30" s="1"/>
  <c r="F65" i="31"/>
  <c r="J65" i="31"/>
  <c r="A65" i="31"/>
  <c r="N221" i="31"/>
  <c r="A221" i="31"/>
  <c r="L65" i="31"/>
  <c r="G65" i="31"/>
  <c r="M65" i="31"/>
  <c r="C65" i="31"/>
  <c r="P221" i="31"/>
  <c r="S221" i="31" s="1"/>
  <c r="J221" i="31" s="1"/>
  <c r="L221" i="31" s="1"/>
  <c r="I65" i="31"/>
  <c r="K65" i="31"/>
  <c r="H65" i="31"/>
  <c r="N65" i="31" s="1"/>
  <c r="G94" i="1"/>
  <c r="C94" i="1"/>
  <c r="N250" i="1"/>
  <c r="K94" i="1"/>
  <c r="L94" i="1"/>
  <c r="P250" i="1"/>
  <c r="S250" i="1" s="1"/>
  <c r="J250" i="1" s="1"/>
  <c r="L250" i="1" s="1"/>
  <c r="F94" i="1"/>
  <c r="M94" i="1"/>
  <c r="H94" i="1"/>
  <c r="N94" i="1" s="1"/>
  <c r="J94" i="1"/>
  <c r="I94" i="1"/>
  <c r="P192" i="31"/>
  <c r="S192" i="31" s="1"/>
  <c r="J192" i="31" s="1"/>
  <c r="L192" i="31" s="1"/>
  <c r="A36" i="31"/>
  <c r="H36" i="31"/>
  <c r="N36" i="31" s="1"/>
  <c r="I36" i="31"/>
  <c r="M36" i="31"/>
  <c r="K36" i="31"/>
  <c r="G36" i="31"/>
  <c r="J36" i="31"/>
  <c r="C36" i="31"/>
  <c r="N192" i="31"/>
  <c r="A192" i="31"/>
  <c r="F36" i="31"/>
  <c r="L36" i="31"/>
  <c r="L100" i="30"/>
  <c r="K100" i="30"/>
  <c r="N256" i="30"/>
  <c r="M100" i="30"/>
  <c r="H100" i="30"/>
  <c r="N100" i="30" s="1"/>
  <c r="C100" i="30"/>
  <c r="I100" i="30"/>
  <c r="A100" i="30"/>
  <c r="J100" i="30"/>
  <c r="F100" i="30"/>
  <c r="P256" i="30"/>
  <c r="S256" i="30" s="1"/>
  <c r="J256" i="30" s="1"/>
  <c r="L256" i="30" s="1"/>
  <c r="G100" i="30"/>
  <c r="A256" i="30"/>
  <c r="M68" i="31"/>
  <c r="N224" i="31"/>
  <c r="F68" i="31"/>
  <c r="H68" i="31"/>
  <c r="N68" i="31" s="1"/>
  <c r="C68" i="31"/>
  <c r="K68" i="31"/>
  <c r="L68" i="31"/>
  <c r="P224" i="31"/>
  <c r="S224" i="31" s="1"/>
  <c r="J224" i="31" s="1"/>
  <c r="L224" i="31" s="1"/>
  <c r="A224" i="31"/>
  <c r="A68" i="31"/>
  <c r="I68" i="31"/>
  <c r="J68" i="31"/>
  <c r="G68" i="31"/>
  <c r="M47" i="1"/>
  <c r="K47" i="1"/>
  <c r="F47" i="1"/>
  <c r="I47" i="1"/>
  <c r="G47" i="1"/>
  <c r="H47" i="1"/>
  <c r="N47" i="1" s="1"/>
  <c r="L47" i="1"/>
  <c r="P203" i="1"/>
  <c r="S203" i="1" s="1"/>
  <c r="J203" i="1" s="1"/>
  <c r="L203" i="1" s="1"/>
  <c r="C47" i="1"/>
  <c r="J47" i="1"/>
  <c r="N203" i="1"/>
  <c r="N261" i="31"/>
  <c r="I105" i="31"/>
  <c r="L105" i="31"/>
  <c r="G105" i="31"/>
  <c r="C105" i="31"/>
  <c r="J105" i="31"/>
  <c r="H105" i="31"/>
  <c r="N105" i="31" s="1"/>
  <c r="M105" i="31"/>
  <c r="A105" i="31"/>
  <c r="K105" i="31"/>
  <c r="A261" i="31"/>
  <c r="F105" i="31"/>
  <c r="P261" i="31"/>
  <c r="S261" i="31" s="1"/>
  <c r="J261" i="31" s="1"/>
  <c r="L261" i="31" s="1"/>
  <c r="J35" i="29"/>
  <c r="F35" i="29"/>
  <c r="I35" i="29"/>
  <c r="N191" i="29"/>
  <c r="P191" i="29"/>
  <c r="S191" i="29" s="1"/>
  <c r="J191" i="29" s="1"/>
  <c r="L191" i="29" s="1"/>
  <c r="M35" i="29"/>
  <c r="H35" i="29"/>
  <c r="N35" i="29" s="1"/>
  <c r="G35" i="29"/>
  <c r="C35" i="29"/>
  <c r="L35" i="29"/>
  <c r="K35" i="29"/>
  <c r="N311" i="29"/>
  <c r="J155" i="29"/>
  <c r="I155" i="29"/>
  <c r="K155" i="29"/>
  <c r="M155" i="29"/>
  <c r="L155" i="29"/>
  <c r="P311" i="29"/>
  <c r="S311" i="29" s="1"/>
  <c r="J311" i="29" s="1"/>
  <c r="L311" i="29" s="1"/>
  <c r="H155" i="29"/>
  <c r="N155" i="29" s="1"/>
  <c r="C155" i="29"/>
  <c r="G155" i="29"/>
  <c r="F155" i="29"/>
  <c r="N223" i="29"/>
  <c r="C67" i="29"/>
  <c r="L67" i="29"/>
  <c r="K67" i="29"/>
  <c r="I67" i="29"/>
  <c r="G67" i="29"/>
  <c r="M67" i="29"/>
  <c r="F67" i="29"/>
  <c r="P223" i="29"/>
  <c r="S223" i="29" s="1"/>
  <c r="J223" i="29" s="1"/>
  <c r="L223" i="29" s="1"/>
  <c r="H67" i="29"/>
  <c r="N67" i="29" s="1"/>
  <c r="J67" i="29"/>
  <c r="K56" i="29"/>
  <c r="G56" i="29"/>
  <c r="P212" i="29"/>
  <c r="S212" i="29" s="1"/>
  <c r="J212" i="29" s="1"/>
  <c r="L212" i="29" s="1"/>
  <c r="L56" i="29"/>
  <c r="H56" i="29"/>
  <c r="N56" i="29" s="1"/>
  <c r="J56" i="29"/>
  <c r="C56" i="29"/>
  <c r="N212" i="29"/>
  <c r="F56" i="29"/>
  <c r="I56" i="29"/>
  <c r="M56" i="29"/>
  <c r="D189" i="26"/>
  <c r="F189" i="26"/>
  <c r="H164" i="29"/>
  <c r="N164" i="29" s="1"/>
  <c r="J164" i="29"/>
  <c r="G164" i="29"/>
  <c r="N320" i="29"/>
  <c r="F164" i="29"/>
  <c r="M164" i="29"/>
  <c r="I164" i="29"/>
  <c r="L164" i="29"/>
  <c r="C164" i="29"/>
  <c r="K164" i="29"/>
  <c r="P320" i="29"/>
  <c r="S320" i="29" s="1"/>
  <c r="J320" i="29" s="1"/>
  <c r="L320" i="29" s="1"/>
  <c r="N301" i="29"/>
  <c r="F145" i="29"/>
  <c r="L145" i="29"/>
  <c r="H145" i="29"/>
  <c r="N145" i="29" s="1"/>
  <c r="C145" i="29"/>
  <c r="G145" i="29"/>
  <c r="K145" i="29"/>
  <c r="I145" i="29"/>
  <c r="M145" i="29"/>
  <c r="J145" i="29"/>
  <c r="P301" i="29"/>
  <c r="S301" i="29" s="1"/>
  <c r="J301" i="29" s="1"/>
  <c r="L301" i="29" s="1"/>
  <c r="I110" i="29"/>
  <c r="H110" i="29"/>
  <c r="N110" i="29" s="1"/>
  <c r="F110" i="29"/>
  <c r="G110" i="29"/>
  <c r="M110" i="29"/>
  <c r="C110" i="29"/>
  <c r="P266" i="29"/>
  <c r="S266" i="29" s="1"/>
  <c r="J266" i="29" s="1"/>
  <c r="L266" i="29" s="1"/>
  <c r="L110" i="29"/>
  <c r="K110" i="29"/>
  <c r="N266" i="29"/>
  <c r="J110" i="29"/>
  <c r="C148" i="29"/>
  <c r="P304" i="29"/>
  <c r="S304" i="29" s="1"/>
  <c r="J304" i="29" s="1"/>
  <c r="L304" i="29" s="1"/>
  <c r="H148" i="29"/>
  <c r="N148" i="29" s="1"/>
  <c r="N304" i="29"/>
  <c r="K148" i="29"/>
  <c r="J148" i="29"/>
  <c r="I148" i="29"/>
  <c r="L148" i="29"/>
  <c r="G148" i="29"/>
  <c r="M148" i="29"/>
  <c r="F148" i="29"/>
  <c r="L129" i="29"/>
  <c r="K129" i="29"/>
  <c r="J129" i="29"/>
  <c r="C129" i="29"/>
  <c r="N285" i="29"/>
  <c r="F129" i="29"/>
  <c r="I129" i="29"/>
  <c r="H129" i="29"/>
  <c r="N129" i="29" s="1"/>
  <c r="G129" i="29"/>
  <c r="M129" i="29"/>
  <c r="P285" i="29"/>
  <c r="S285" i="29" s="1"/>
  <c r="J285" i="29" s="1"/>
  <c r="L285" i="29" s="1"/>
  <c r="H68" i="30"/>
  <c r="N68" i="30" s="1"/>
  <c r="L68" i="30"/>
  <c r="P224" i="30"/>
  <c r="S224" i="30" s="1"/>
  <c r="J224" i="30" s="1"/>
  <c r="L224" i="30" s="1"/>
  <c r="M68" i="30"/>
  <c r="I68" i="30"/>
  <c r="C68" i="30"/>
  <c r="J68" i="30"/>
  <c r="F68" i="30"/>
  <c r="N224" i="30"/>
  <c r="G68" i="30"/>
  <c r="K68" i="30"/>
  <c r="A68" i="30"/>
  <c r="A224" i="30"/>
  <c r="F80" i="1"/>
  <c r="I80" i="1"/>
  <c r="L80" i="1"/>
  <c r="K80" i="1"/>
  <c r="N236" i="1"/>
  <c r="H80" i="1"/>
  <c r="N80" i="1" s="1"/>
  <c r="J80" i="1"/>
  <c r="P236" i="1"/>
  <c r="S236" i="1" s="1"/>
  <c r="J236" i="1" s="1"/>
  <c r="L236" i="1" s="1"/>
  <c r="C80" i="1"/>
  <c r="G80" i="1"/>
  <c r="M80" i="1"/>
  <c r="G112" i="30"/>
  <c r="K112" i="30"/>
  <c r="I112" i="30"/>
  <c r="M112" i="30"/>
  <c r="L112" i="30"/>
  <c r="P268" i="30"/>
  <c r="S268" i="30" s="1"/>
  <c r="J268" i="30" s="1"/>
  <c r="L268" i="30" s="1"/>
  <c r="F112" i="30"/>
  <c r="H112" i="30"/>
  <c r="N112" i="30" s="1"/>
  <c r="J112" i="30"/>
  <c r="N268" i="30"/>
  <c r="C112" i="30"/>
  <c r="A112" i="30"/>
  <c r="A268" i="30"/>
  <c r="L106" i="1"/>
  <c r="N262" i="1"/>
  <c r="I106" i="1"/>
  <c r="K106" i="1"/>
  <c r="F106" i="1"/>
  <c r="C106" i="1"/>
  <c r="G106" i="1"/>
  <c r="P262" i="1"/>
  <c r="S262" i="1" s="1"/>
  <c r="J262" i="1" s="1"/>
  <c r="L262" i="1" s="1"/>
  <c r="M106" i="1"/>
  <c r="J106" i="1"/>
  <c r="H106" i="1"/>
  <c r="N106" i="1" s="1"/>
  <c r="L116" i="31"/>
  <c r="I116" i="31"/>
  <c r="K116" i="31"/>
  <c r="J116" i="31"/>
  <c r="G116" i="31"/>
  <c r="F116" i="31"/>
  <c r="P272" i="31"/>
  <c r="S272" i="31" s="1"/>
  <c r="J272" i="31" s="1"/>
  <c r="L272" i="31" s="1"/>
  <c r="N272" i="31"/>
  <c r="A116" i="31"/>
  <c r="M116" i="31"/>
  <c r="A272" i="31"/>
  <c r="H116" i="31"/>
  <c r="N116" i="31" s="1"/>
  <c r="C116" i="31"/>
  <c r="A194" i="31"/>
  <c r="J38" i="31"/>
  <c r="F38" i="31"/>
  <c r="H38" i="31"/>
  <c r="N38" i="31" s="1"/>
  <c r="P194" i="31"/>
  <c r="S194" i="31" s="1"/>
  <c r="J194" i="31" s="1"/>
  <c r="L194" i="31" s="1"/>
  <c r="N194" i="31"/>
  <c r="M38" i="31"/>
  <c r="I38" i="31"/>
  <c r="G38" i="31"/>
  <c r="A38" i="31"/>
  <c r="L38" i="31"/>
  <c r="C38" i="31"/>
  <c r="K38" i="31"/>
  <c r="N245" i="30"/>
  <c r="L89" i="30"/>
  <c r="J89" i="30"/>
  <c r="K89" i="30"/>
  <c r="A245" i="30"/>
  <c r="H89" i="30"/>
  <c r="N89" i="30" s="1"/>
  <c r="C89" i="30"/>
  <c r="I89" i="30"/>
  <c r="A89" i="30"/>
  <c r="G89" i="30"/>
  <c r="F89" i="30"/>
  <c r="P245" i="30"/>
  <c r="S245" i="30" s="1"/>
  <c r="J245" i="30" s="1"/>
  <c r="L245" i="30" s="1"/>
  <c r="M89" i="30"/>
  <c r="F66" i="1"/>
  <c r="K66" i="1"/>
  <c r="I66" i="1"/>
  <c r="L66" i="1"/>
  <c r="N222" i="1"/>
  <c r="H66" i="1"/>
  <c r="N66" i="1" s="1"/>
  <c r="C66" i="1"/>
  <c r="J66" i="1"/>
  <c r="M66" i="1"/>
  <c r="G66" i="1"/>
  <c r="P222" i="1"/>
  <c r="S222" i="1" s="1"/>
  <c r="J222" i="1" s="1"/>
  <c r="L222" i="1" s="1"/>
  <c r="C171" i="31"/>
  <c r="J171" i="31"/>
  <c r="N327" i="31"/>
  <c r="P327" i="31"/>
  <c r="S327" i="31" s="1"/>
  <c r="J327" i="31" s="1"/>
  <c r="L327" i="31" s="1"/>
  <c r="I171" i="31"/>
  <c r="K171" i="31"/>
  <c r="M171" i="31"/>
  <c r="H171" i="31"/>
  <c r="N171" i="31" s="1"/>
  <c r="G171" i="31"/>
  <c r="A327" i="31"/>
  <c r="L171" i="31"/>
  <c r="A171" i="31"/>
  <c r="F171" i="31"/>
  <c r="G170" i="30"/>
  <c r="J170" i="30"/>
  <c r="C170" i="30"/>
  <c r="L170" i="30"/>
  <c r="P326" i="30"/>
  <c r="S326" i="30" s="1"/>
  <c r="J326" i="30" s="1"/>
  <c r="L326" i="30" s="1"/>
  <c r="M170" i="30"/>
  <c r="I170" i="30"/>
  <c r="F170" i="30"/>
  <c r="N326" i="30"/>
  <c r="A170" i="30"/>
  <c r="K170" i="30"/>
  <c r="H170" i="30"/>
  <c r="N170" i="30" s="1"/>
  <c r="A326" i="30"/>
  <c r="AQ140" i="19"/>
  <c r="B148" i="26"/>
  <c r="L171" i="30"/>
  <c r="P327" i="30"/>
  <c r="S327" i="30" s="1"/>
  <c r="J327" i="30" s="1"/>
  <c r="L327" i="30" s="1"/>
  <c r="G171" i="30"/>
  <c r="I171" i="30"/>
  <c r="C171" i="30"/>
  <c r="F171" i="30"/>
  <c r="A327" i="30"/>
  <c r="A171" i="30"/>
  <c r="N327" i="30"/>
  <c r="J171" i="30"/>
  <c r="H171" i="30"/>
  <c r="N171" i="30" s="1"/>
  <c r="K171" i="30"/>
  <c r="M171" i="30"/>
  <c r="D148" i="26"/>
  <c r="F148" i="26"/>
  <c r="L174" i="31"/>
  <c r="G174" i="31"/>
  <c r="K174" i="31"/>
  <c r="H174" i="31"/>
  <c r="N174" i="31" s="1"/>
  <c r="P330" i="31"/>
  <c r="S330" i="31" s="1"/>
  <c r="J330" i="31" s="1"/>
  <c r="L330" i="31" s="1"/>
  <c r="N330" i="31"/>
  <c r="C174" i="31"/>
  <c r="J174" i="31"/>
  <c r="I174" i="31"/>
  <c r="F174" i="31"/>
  <c r="A174" i="31"/>
  <c r="A330" i="31"/>
  <c r="M174" i="31"/>
  <c r="M94" i="30"/>
  <c r="I94" i="30"/>
  <c r="P250" i="30"/>
  <c r="S250" i="30" s="1"/>
  <c r="J250" i="30" s="1"/>
  <c r="L250" i="30" s="1"/>
  <c r="K94" i="30"/>
  <c r="C94" i="30"/>
  <c r="F94" i="30"/>
  <c r="A250" i="30"/>
  <c r="L94" i="30"/>
  <c r="A94" i="30"/>
  <c r="N250" i="30"/>
  <c r="G94" i="30"/>
  <c r="J94" i="30"/>
  <c r="H94" i="30"/>
  <c r="N94" i="30" s="1"/>
  <c r="H108" i="1"/>
  <c r="N108" i="1" s="1"/>
  <c r="C108" i="1"/>
  <c r="I108" i="1"/>
  <c r="P264" i="1"/>
  <c r="S264" i="1" s="1"/>
  <c r="J264" i="1" s="1"/>
  <c r="L264" i="1" s="1"/>
  <c r="J108" i="1"/>
  <c r="I86" i="26" s="1"/>
  <c r="E86" i="26" s="1"/>
  <c r="N264" i="1"/>
  <c r="K108" i="1"/>
  <c r="M108" i="1"/>
  <c r="L108" i="1"/>
  <c r="G108" i="1"/>
  <c r="F108" i="1"/>
  <c r="C146" i="1"/>
  <c r="J146" i="1"/>
  <c r="P302" i="1"/>
  <c r="S302" i="1" s="1"/>
  <c r="J302" i="1" s="1"/>
  <c r="L302" i="1" s="1"/>
  <c r="M146" i="1"/>
  <c r="F146" i="1"/>
  <c r="N302" i="1"/>
  <c r="K146" i="1"/>
  <c r="G146" i="1"/>
  <c r="H146" i="1"/>
  <c r="N146" i="1" s="1"/>
  <c r="I146" i="1"/>
  <c r="L146" i="1"/>
  <c r="N334" i="30"/>
  <c r="A334" i="30"/>
  <c r="K178" i="30"/>
  <c r="M178" i="30"/>
  <c r="H178" i="30"/>
  <c r="N178" i="30" s="1"/>
  <c r="F178" i="30"/>
  <c r="C178" i="30"/>
  <c r="A178" i="30"/>
  <c r="I178" i="30"/>
  <c r="G178" i="30"/>
  <c r="J178" i="30"/>
  <c r="L178" i="30"/>
  <c r="P334" i="30"/>
  <c r="S334" i="30" s="1"/>
  <c r="J334" i="30" s="1"/>
  <c r="L334" i="30" s="1"/>
  <c r="B49" i="26"/>
  <c r="AQ41" i="19"/>
  <c r="L81" i="31"/>
  <c r="F81" i="31"/>
  <c r="I81" i="31"/>
  <c r="A237" i="31"/>
  <c r="G81" i="31"/>
  <c r="P237" i="31"/>
  <c r="S237" i="31" s="1"/>
  <c r="J237" i="31" s="1"/>
  <c r="L237" i="31" s="1"/>
  <c r="K81" i="31"/>
  <c r="A81" i="31"/>
  <c r="M81" i="31"/>
  <c r="J81" i="31"/>
  <c r="H81" i="31"/>
  <c r="N81" i="31" s="1"/>
  <c r="C81" i="31"/>
  <c r="N237" i="31"/>
  <c r="G116" i="1"/>
  <c r="N272" i="1"/>
  <c r="F116" i="1"/>
  <c r="K116" i="1"/>
  <c r="H116" i="1"/>
  <c r="N116" i="1" s="1"/>
  <c r="C116" i="1"/>
  <c r="L116" i="1"/>
  <c r="J116" i="1"/>
  <c r="P272" i="1"/>
  <c r="S272" i="1" s="1"/>
  <c r="J272" i="1" s="1"/>
  <c r="L272" i="1" s="1"/>
  <c r="M116" i="1"/>
  <c r="I116" i="1"/>
  <c r="I142" i="31"/>
  <c r="C142" i="31"/>
  <c r="M142" i="31"/>
  <c r="J142" i="31"/>
  <c r="A298" i="31"/>
  <c r="F142" i="31"/>
  <c r="L142" i="31"/>
  <c r="P298" i="31"/>
  <c r="S298" i="31" s="1"/>
  <c r="J298" i="31" s="1"/>
  <c r="L298" i="31" s="1"/>
  <c r="H142" i="31"/>
  <c r="N142" i="31" s="1"/>
  <c r="A142" i="31"/>
  <c r="G142" i="31"/>
  <c r="K142" i="31"/>
  <c r="N298" i="31"/>
  <c r="I83" i="31"/>
  <c r="N239" i="31"/>
  <c r="L83" i="31"/>
  <c r="G83" i="31"/>
  <c r="M83" i="31"/>
  <c r="H83" i="31"/>
  <c r="N83" i="31" s="1"/>
  <c r="F83" i="31"/>
  <c r="C83" i="31"/>
  <c r="K83" i="31"/>
  <c r="A239" i="31"/>
  <c r="J83" i="31"/>
  <c r="A83" i="31"/>
  <c r="P239" i="31"/>
  <c r="S239" i="31" s="1"/>
  <c r="J239" i="31" s="1"/>
  <c r="L239" i="31" s="1"/>
  <c r="J84" i="31"/>
  <c r="H84" i="31"/>
  <c r="N84" i="31" s="1"/>
  <c r="I84" i="31"/>
  <c r="F84" i="31"/>
  <c r="P240" i="31"/>
  <c r="S240" i="31" s="1"/>
  <c r="J240" i="31" s="1"/>
  <c r="L240" i="31" s="1"/>
  <c r="K84" i="31"/>
  <c r="G84" i="31"/>
  <c r="A240" i="31"/>
  <c r="A84" i="31"/>
  <c r="N240" i="31"/>
  <c r="L84" i="31"/>
  <c r="C84" i="31"/>
  <c r="M84" i="31"/>
  <c r="B185" i="1"/>
  <c r="U185" i="1"/>
  <c r="U185" i="30"/>
  <c r="B185" i="30"/>
  <c r="K65" i="30"/>
  <c r="C65" i="30"/>
  <c r="P221" i="30"/>
  <c r="S221" i="30" s="1"/>
  <c r="J221" i="30" s="1"/>
  <c r="L221" i="30" s="1"/>
  <c r="G65" i="30"/>
  <c r="A221" i="30"/>
  <c r="L65" i="30"/>
  <c r="A65" i="30"/>
  <c r="J65" i="30"/>
  <c r="I65" i="30"/>
  <c r="M65" i="30"/>
  <c r="N221" i="30"/>
  <c r="H65" i="30"/>
  <c r="N65" i="30" s="1"/>
  <c r="F65" i="30"/>
  <c r="C76" i="1"/>
  <c r="I76" i="1"/>
  <c r="K76" i="1"/>
  <c r="P232" i="1"/>
  <c r="S232" i="1" s="1"/>
  <c r="J232" i="1" s="1"/>
  <c r="L232" i="1" s="1"/>
  <c r="N232" i="1"/>
  <c r="H76" i="1"/>
  <c r="N76" i="1" s="1"/>
  <c r="G76" i="1"/>
  <c r="F76" i="1"/>
  <c r="M76" i="1"/>
  <c r="J76" i="1"/>
  <c r="A54" i="26" s="1"/>
  <c r="L76" i="1"/>
  <c r="K85" i="30"/>
  <c r="I85" i="30"/>
  <c r="A85" i="30"/>
  <c r="H85" i="30"/>
  <c r="N85" i="30" s="1"/>
  <c r="M85" i="30"/>
  <c r="L85" i="30"/>
  <c r="A241" i="30"/>
  <c r="C85" i="30"/>
  <c r="G85" i="30"/>
  <c r="J85" i="30"/>
  <c r="N241" i="30"/>
  <c r="P241" i="30"/>
  <c r="S241" i="30" s="1"/>
  <c r="J241" i="30" s="1"/>
  <c r="L241" i="30" s="1"/>
  <c r="F85" i="30"/>
  <c r="L111" i="29"/>
  <c r="N267" i="29"/>
  <c r="M111" i="29"/>
  <c r="K111" i="29"/>
  <c r="P267" i="29"/>
  <c r="S267" i="29" s="1"/>
  <c r="J267" i="29" s="1"/>
  <c r="L267" i="29" s="1"/>
  <c r="G111" i="29"/>
  <c r="J111" i="29"/>
  <c r="C111" i="29"/>
  <c r="I111" i="29"/>
  <c r="H111" i="29"/>
  <c r="N111" i="29" s="1"/>
  <c r="F111" i="29"/>
  <c r="M173" i="29"/>
  <c r="K173" i="29"/>
  <c r="I173" i="29"/>
  <c r="H173" i="29"/>
  <c r="N173" i="29" s="1"/>
  <c r="N329" i="29"/>
  <c r="C173" i="29"/>
  <c r="J173" i="29"/>
  <c r="P329" i="29"/>
  <c r="S329" i="29" s="1"/>
  <c r="J329" i="29" s="1"/>
  <c r="L329" i="29" s="1"/>
  <c r="L173" i="29"/>
  <c r="G173" i="29"/>
  <c r="F173" i="29"/>
  <c r="N215" i="29"/>
  <c r="J59" i="29"/>
  <c r="F59" i="29"/>
  <c r="P215" i="29"/>
  <c r="S215" i="29" s="1"/>
  <c r="J215" i="29" s="1"/>
  <c r="L215" i="29" s="1"/>
  <c r="C59" i="29"/>
  <c r="H59" i="29"/>
  <c r="N59" i="29" s="1"/>
  <c r="K59" i="29"/>
  <c r="L59" i="29"/>
  <c r="M59" i="29"/>
  <c r="I59" i="29"/>
  <c r="G59" i="29"/>
  <c r="AQ116" i="19"/>
  <c r="B124" i="26"/>
  <c r="D124" i="26"/>
  <c r="F124" i="26"/>
  <c r="K157" i="29"/>
  <c r="I157" i="29"/>
  <c r="F157" i="29"/>
  <c r="H157" i="29"/>
  <c r="N157" i="29" s="1"/>
  <c r="G157" i="29"/>
  <c r="P313" i="29"/>
  <c r="S313" i="29" s="1"/>
  <c r="J313" i="29" s="1"/>
  <c r="L313" i="29" s="1"/>
  <c r="N313" i="29"/>
  <c r="C157" i="29"/>
  <c r="M157" i="29"/>
  <c r="J157" i="29"/>
  <c r="L157" i="29"/>
  <c r="M159" i="29"/>
  <c r="P315" i="29"/>
  <c r="S315" i="29" s="1"/>
  <c r="J315" i="29" s="1"/>
  <c r="L315" i="29" s="1"/>
  <c r="L159" i="29"/>
  <c r="G159" i="29"/>
  <c r="C159" i="29"/>
  <c r="K159" i="29"/>
  <c r="I159" i="29"/>
  <c r="F159" i="29"/>
  <c r="J159" i="29"/>
  <c r="H159" i="29"/>
  <c r="N159" i="29" s="1"/>
  <c r="N315" i="29"/>
  <c r="F60" i="29"/>
  <c r="H60" i="29"/>
  <c r="N60" i="29" s="1"/>
  <c r="L60" i="29"/>
  <c r="K60" i="29"/>
  <c r="I60" i="29"/>
  <c r="G60" i="29"/>
  <c r="J60" i="29"/>
  <c r="N216" i="29"/>
  <c r="M60" i="29"/>
  <c r="C60" i="29"/>
  <c r="P216" i="29"/>
  <c r="S216" i="29" s="1"/>
  <c r="J216" i="29" s="1"/>
  <c r="L216" i="29" s="1"/>
  <c r="J122" i="29"/>
  <c r="N278" i="29"/>
  <c r="H122" i="29"/>
  <c r="N122" i="29" s="1"/>
  <c r="C122" i="29"/>
  <c r="P278" i="29"/>
  <c r="S278" i="29" s="1"/>
  <c r="J278" i="29" s="1"/>
  <c r="L278" i="29" s="1"/>
  <c r="K122" i="29"/>
  <c r="G122" i="29"/>
  <c r="L122" i="29"/>
  <c r="M122" i="29"/>
  <c r="F122" i="29"/>
  <c r="I122" i="29"/>
  <c r="L53" i="29"/>
  <c r="M53" i="29"/>
  <c r="H53" i="29"/>
  <c r="N53" i="29" s="1"/>
  <c r="J53" i="29"/>
  <c r="K53" i="29"/>
  <c r="C53" i="29"/>
  <c r="I53" i="29"/>
  <c r="P209" i="29"/>
  <c r="S209" i="29" s="1"/>
  <c r="J209" i="29" s="1"/>
  <c r="L209" i="29" s="1"/>
  <c r="G53" i="29"/>
  <c r="F53" i="29"/>
  <c r="N209" i="29"/>
  <c r="M58" i="29"/>
  <c r="C58" i="29"/>
  <c r="L58" i="29"/>
  <c r="P214" i="29"/>
  <c r="S214" i="29" s="1"/>
  <c r="J214" i="29" s="1"/>
  <c r="L214" i="29" s="1"/>
  <c r="I58" i="29"/>
  <c r="K58" i="29"/>
  <c r="G58" i="29"/>
  <c r="N214" i="29"/>
  <c r="H58" i="29"/>
  <c r="N58" i="29" s="1"/>
  <c r="J58" i="29"/>
  <c r="F58" i="29"/>
  <c r="F165" i="29"/>
  <c r="N321" i="29"/>
  <c r="K165" i="29"/>
  <c r="P321" i="29"/>
  <c r="S321" i="29" s="1"/>
  <c r="J321" i="29" s="1"/>
  <c r="L321" i="29" s="1"/>
  <c r="J165" i="29"/>
  <c r="I165" i="29"/>
  <c r="C165" i="29"/>
  <c r="M165" i="29"/>
  <c r="L165" i="29"/>
  <c r="H165" i="29"/>
  <c r="N165" i="29" s="1"/>
  <c r="G165" i="29"/>
  <c r="G39" i="29"/>
  <c r="K39" i="29"/>
  <c r="N195" i="29"/>
  <c r="H39" i="29"/>
  <c r="N39" i="29" s="1"/>
  <c r="I39" i="29"/>
  <c r="M39" i="29"/>
  <c r="C39" i="29"/>
  <c r="L39" i="29"/>
  <c r="F39" i="29"/>
  <c r="P195" i="29"/>
  <c r="S195" i="29" s="1"/>
  <c r="J195" i="29" s="1"/>
  <c r="L195" i="29" s="1"/>
  <c r="J39" i="29"/>
  <c r="L168" i="29"/>
  <c r="K168" i="29"/>
  <c r="H168" i="29"/>
  <c r="N168" i="29" s="1"/>
  <c r="M168" i="29"/>
  <c r="F168" i="29"/>
  <c r="J168" i="29"/>
  <c r="G168" i="29"/>
  <c r="N324" i="29"/>
  <c r="I168" i="29"/>
  <c r="P324" i="29"/>
  <c r="S324" i="29" s="1"/>
  <c r="J324" i="29" s="1"/>
  <c r="L324" i="29" s="1"/>
  <c r="C168" i="29"/>
  <c r="I106" i="31"/>
  <c r="H106" i="31"/>
  <c r="N106" i="31" s="1"/>
  <c r="G106" i="31"/>
  <c r="P262" i="31"/>
  <c r="S262" i="31" s="1"/>
  <c r="J262" i="31" s="1"/>
  <c r="L262" i="31" s="1"/>
  <c r="F106" i="31"/>
  <c r="C106" i="31"/>
  <c r="M106" i="31"/>
  <c r="A106" i="31"/>
  <c r="A262" i="31"/>
  <c r="N262" i="31"/>
  <c r="J106" i="31"/>
  <c r="K106" i="31"/>
  <c r="L106" i="31"/>
  <c r="H77" i="1"/>
  <c r="N77" i="1" s="1"/>
  <c r="L77" i="1"/>
  <c r="J77" i="1"/>
  <c r="M77" i="1"/>
  <c r="K77" i="1"/>
  <c r="N233" i="1"/>
  <c r="I77" i="1"/>
  <c r="P233" i="1"/>
  <c r="S233" i="1" s="1"/>
  <c r="J233" i="1" s="1"/>
  <c r="L233" i="1" s="1"/>
  <c r="G77" i="1"/>
  <c r="F77" i="1"/>
  <c r="C77" i="1"/>
  <c r="I54" i="29"/>
  <c r="M54" i="29"/>
  <c r="J54" i="29"/>
  <c r="G54" i="29"/>
  <c r="K54" i="29"/>
  <c r="F54" i="29"/>
  <c r="P210" i="29"/>
  <c r="S210" i="29" s="1"/>
  <c r="J210" i="29" s="1"/>
  <c r="L210" i="29" s="1"/>
  <c r="L54" i="29"/>
  <c r="C54" i="29"/>
  <c r="N210" i="29"/>
  <c r="H54" i="29"/>
  <c r="N54" i="29" s="1"/>
  <c r="H76" i="29"/>
  <c r="N76" i="29" s="1"/>
  <c r="G76" i="29"/>
  <c r="N232" i="29"/>
  <c r="I76" i="29"/>
  <c r="F76" i="29"/>
  <c r="P232" i="29"/>
  <c r="S232" i="29" s="1"/>
  <c r="J232" i="29" s="1"/>
  <c r="L232" i="29" s="1"/>
  <c r="L76" i="29"/>
  <c r="M76" i="29"/>
  <c r="K76" i="29"/>
  <c r="C76" i="29"/>
  <c r="J76" i="29"/>
  <c r="AQ161" i="19"/>
  <c r="B169" i="26"/>
  <c r="N333" i="29"/>
  <c r="L177" i="29"/>
  <c r="K177" i="29"/>
  <c r="G177" i="29"/>
  <c r="P333" i="29"/>
  <c r="S333" i="29" s="1"/>
  <c r="J333" i="29" s="1"/>
  <c r="L333" i="29" s="1"/>
  <c r="J177" i="29"/>
  <c r="F177" i="29"/>
  <c r="C177" i="29"/>
  <c r="I177" i="29"/>
  <c r="H177" i="29"/>
  <c r="N177" i="29" s="1"/>
  <c r="M177" i="29"/>
  <c r="L78" i="29"/>
  <c r="F78" i="29"/>
  <c r="P234" i="29"/>
  <c r="S234" i="29" s="1"/>
  <c r="J234" i="29" s="1"/>
  <c r="L234" i="29" s="1"/>
  <c r="K78" i="29"/>
  <c r="C78" i="29"/>
  <c r="N234" i="29"/>
  <c r="G78" i="29"/>
  <c r="M78" i="29"/>
  <c r="J78" i="29"/>
  <c r="I78" i="29"/>
  <c r="H78" i="29"/>
  <c r="N78" i="29" s="1"/>
  <c r="P298" i="29"/>
  <c r="S298" i="29" s="1"/>
  <c r="J298" i="29" s="1"/>
  <c r="L298" i="29" s="1"/>
  <c r="M142" i="29"/>
  <c r="J142" i="29"/>
  <c r="H142" i="29"/>
  <c r="N142" i="29" s="1"/>
  <c r="N298" i="29"/>
  <c r="L142" i="29"/>
  <c r="K142" i="29"/>
  <c r="I142" i="29"/>
  <c r="G142" i="29"/>
  <c r="F142" i="29"/>
  <c r="C142" i="29"/>
  <c r="F170" i="29"/>
  <c r="K170" i="29"/>
  <c r="C170" i="29"/>
  <c r="P326" i="29"/>
  <c r="S326" i="29" s="1"/>
  <c r="J326" i="29" s="1"/>
  <c r="L326" i="29" s="1"/>
  <c r="H170" i="29"/>
  <c r="N170" i="29" s="1"/>
  <c r="N326" i="29"/>
  <c r="J170" i="29"/>
  <c r="G170" i="29"/>
  <c r="L170" i="29"/>
  <c r="M170" i="29"/>
  <c r="I170" i="29"/>
  <c r="F133" i="1"/>
  <c r="H133" i="1"/>
  <c r="P289" i="1"/>
  <c r="S289" i="1" s="1"/>
  <c r="J289" i="1" s="1"/>
  <c r="L289" i="1" s="1"/>
  <c r="K133" i="1"/>
  <c r="G133" i="1"/>
  <c r="L133" i="1"/>
  <c r="J133" i="1"/>
  <c r="M133" i="1"/>
  <c r="N289" i="1"/>
  <c r="C133" i="1"/>
  <c r="I133" i="1"/>
  <c r="P283" i="30"/>
  <c r="S283" i="30" s="1"/>
  <c r="J283" i="30" s="1"/>
  <c r="L283" i="30" s="1"/>
  <c r="F127" i="30"/>
  <c r="C127" i="30"/>
  <c r="M127" i="30"/>
  <c r="I127" i="30"/>
  <c r="L127" i="30"/>
  <c r="K127" i="30"/>
  <c r="H127" i="30"/>
  <c r="N127" i="30" s="1"/>
  <c r="G127" i="30"/>
  <c r="N283" i="30"/>
  <c r="A283" i="30"/>
  <c r="A127" i="30"/>
  <c r="J127" i="30"/>
  <c r="A227" i="30"/>
  <c r="I71" i="30"/>
  <c r="L71" i="30"/>
  <c r="C71" i="30"/>
  <c r="K71" i="30"/>
  <c r="N227" i="30"/>
  <c r="H71" i="30"/>
  <c r="N71" i="30" s="1"/>
  <c r="M71" i="30"/>
  <c r="P227" i="30"/>
  <c r="S227" i="30" s="1"/>
  <c r="J227" i="30" s="1"/>
  <c r="L227" i="30" s="1"/>
  <c r="G71" i="30"/>
  <c r="J71" i="30"/>
  <c r="F71" i="30"/>
  <c r="A71" i="30"/>
  <c r="D196" i="26"/>
  <c r="F196" i="26"/>
  <c r="H95" i="30"/>
  <c r="N95" i="30" s="1"/>
  <c r="G95" i="30"/>
  <c r="P251" i="30"/>
  <c r="S251" i="30" s="1"/>
  <c r="J251" i="30" s="1"/>
  <c r="L251" i="30" s="1"/>
  <c r="I95" i="30"/>
  <c r="A95" i="30"/>
  <c r="F95" i="30"/>
  <c r="C95" i="30"/>
  <c r="M95" i="30"/>
  <c r="J95" i="30"/>
  <c r="A251" i="30"/>
  <c r="N251" i="30"/>
  <c r="L95" i="30"/>
  <c r="K95" i="30"/>
  <c r="H157" i="31"/>
  <c r="N157" i="31" s="1"/>
  <c r="L157" i="31"/>
  <c r="K157" i="31"/>
  <c r="M157" i="31"/>
  <c r="P313" i="31"/>
  <c r="S313" i="31" s="1"/>
  <c r="J313" i="31" s="1"/>
  <c r="L313" i="31" s="1"/>
  <c r="N313" i="31"/>
  <c r="G157" i="31"/>
  <c r="F157" i="31"/>
  <c r="C157" i="31"/>
  <c r="I157" i="31"/>
  <c r="A157" i="31"/>
  <c r="J157" i="31"/>
  <c r="A313" i="31"/>
  <c r="K44" i="1"/>
  <c r="G44" i="1"/>
  <c r="I44" i="1"/>
  <c r="C44" i="1"/>
  <c r="J44" i="1"/>
  <c r="P200" i="1"/>
  <c r="S200" i="1" s="1"/>
  <c r="J200" i="1" s="1"/>
  <c r="L200" i="1" s="1"/>
  <c r="H44" i="1"/>
  <c r="N44" i="1" s="1"/>
  <c r="F44" i="1"/>
  <c r="M44" i="1"/>
  <c r="N200" i="1"/>
  <c r="L44" i="1"/>
  <c r="K120" i="30"/>
  <c r="I120" i="30"/>
  <c r="F120" i="30"/>
  <c r="H120" i="30"/>
  <c r="N120" i="30" s="1"/>
  <c r="P276" i="30"/>
  <c r="S276" i="30" s="1"/>
  <c r="J276" i="30" s="1"/>
  <c r="L276" i="30" s="1"/>
  <c r="A120" i="30"/>
  <c r="A276" i="30"/>
  <c r="L120" i="30"/>
  <c r="M120" i="30"/>
  <c r="N276" i="30"/>
  <c r="J120" i="30"/>
  <c r="C120" i="30"/>
  <c r="G120" i="30"/>
  <c r="L63" i="1"/>
  <c r="P219" i="1"/>
  <c r="S219" i="1" s="1"/>
  <c r="J219" i="1" s="1"/>
  <c r="L219" i="1" s="1"/>
  <c r="I63" i="1"/>
  <c r="K63" i="1"/>
  <c r="J63" i="1"/>
  <c r="H63" i="1"/>
  <c r="N63" i="1" s="1"/>
  <c r="M63" i="1"/>
  <c r="C63" i="1"/>
  <c r="G63" i="1"/>
  <c r="N219" i="1"/>
  <c r="F63" i="1"/>
  <c r="I115" i="1"/>
  <c r="F115" i="1"/>
  <c r="G115" i="1"/>
  <c r="C115" i="1"/>
  <c r="P271" i="1"/>
  <c r="S271" i="1" s="1"/>
  <c r="J271" i="1" s="1"/>
  <c r="L271" i="1" s="1"/>
  <c r="H115" i="1"/>
  <c r="N115" i="1" s="1"/>
  <c r="L115" i="1"/>
  <c r="K115" i="1"/>
  <c r="J115" i="1"/>
  <c r="N271" i="1"/>
  <c r="M115" i="1"/>
  <c r="J83" i="1"/>
  <c r="I83" i="1"/>
  <c r="N239" i="1"/>
  <c r="P239" i="1"/>
  <c r="S239" i="1" s="1"/>
  <c r="J239" i="1" s="1"/>
  <c r="L239" i="1" s="1"/>
  <c r="L83" i="1"/>
  <c r="G83" i="1"/>
  <c r="C83" i="1"/>
  <c r="H83" i="1"/>
  <c r="N83" i="1" s="1"/>
  <c r="M83" i="1"/>
  <c r="F83" i="1"/>
  <c r="K83" i="1"/>
  <c r="G33" i="1"/>
  <c r="L33" i="1"/>
  <c r="N189" i="1"/>
  <c r="M33" i="1"/>
  <c r="O33" i="1" s="1"/>
  <c r="C33" i="1"/>
  <c r="H33" i="1"/>
  <c r="N33" i="1" s="1"/>
  <c r="P189" i="1"/>
  <c r="S189" i="1" s="1"/>
  <c r="J189" i="1" s="1"/>
  <c r="L189" i="1" s="1"/>
  <c r="J33" i="1"/>
  <c r="K33" i="1"/>
  <c r="F33" i="1"/>
  <c r="I33" i="1"/>
  <c r="C109" i="30"/>
  <c r="J109" i="30"/>
  <c r="M109" i="30"/>
  <c r="N265" i="30"/>
  <c r="P265" i="30"/>
  <c r="S265" i="30" s="1"/>
  <c r="J265" i="30" s="1"/>
  <c r="L265" i="30" s="1"/>
  <c r="H109" i="30"/>
  <c r="N109" i="30" s="1"/>
  <c r="I109" i="30"/>
  <c r="K109" i="30"/>
  <c r="A109" i="30"/>
  <c r="A265" i="30"/>
  <c r="G109" i="30"/>
  <c r="L109" i="30"/>
  <c r="F109" i="30"/>
  <c r="G72" i="1"/>
  <c r="K72" i="1"/>
  <c r="F72" i="1"/>
  <c r="M72" i="1"/>
  <c r="J72" i="1"/>
  <c r="I50" i="26" s="1"/>
  <c r="E50" i="26" s="1"/>
  <c r="P228" i="1"/>
  <c r="S228" i="1" s="1"/>
  <c r="J228" i="1" s="1"/>
  <c r="L228" i="1" s="1"/>
  <c r="H72" i="1"/>
  <c r="N72" i="1" s="1"/>
  <c r="I72" i="1"/>
  <c r="C72" i="1"/>
  <c r="N228" i="1"/>
  <c r="L72" i="1"/>
  <c r="C126" i="26"/>
  <c r="AS118" i="19"/>
  <c r="G134" i="1"/>
  <c r="J134" i="1"/>
  <c r="A112" i="26" s="1"/>
  <c r="C134" i="1"/>
  <c r="H134" i="1"/>
  <c r="N134" i="1" s="1"/>
  <c r="F134" i="1"/>
  <c r="P290" i="1"/>
  <c r="S290" i="1" s="1"/>
  <c r="J290" i="1" s="1"/>
  <c r="L290" i="1" s="1"/>
  <c r="L134" i="1"/>
  <c r="I134" i="1"/>
  <c r="K134" i="1"/>
  <c r="N290" i="1"/>
  <c r="M134" i="1"/>
  <c r="L69" i="31"/>
  <c r="K69" i="31"/>
  <c r="A69" i="31"/>
  <c r="F69" i="31"/>
  <c r="N225" i="31"/>
  <c r="A225" i="31"/>
  <c r="C69" i="31"/>
  <c r="M69" i="31"/>
  <c r="I69" i="31"/>
  <c r="G69" i="31"/>
  <c r="P225" i="31"/>
  <c r="S225" i="31" s="1"/>
  <c r="J225" i="31" s="1"/>
  <c r="L225" i="31" s="1"/>
  <c r="H69" i="31"/>
  <c r="N69" i="31" s="1"/>
  <c r="J69" i="31"/>
  <c r="C114" i="30"/>
  <c r="P270" i="30"/>
  <c r="S270" i="30" s="1"/>
  <c r="J270" i="30" s="1"/>
  <c r="L270" i="30" s="1"/>
  <c r="N270" i="30"/>
  <c r="H114" i="30"/>
  <c r="N114" i="30" s="1"/>
  <c r="J114" i="30"/>
  <c r="K114" i="30"/>
  <c r="A114" i="30"/>
  <c r="A270" i="30"/>
  <c r="L114" i="30"/>
  <c r="M114" i="30"/>
  <c r="I114" i="30"/>
  <c r="F114" i="30"/>
  <c r="G114" i="30"/>
  <c r="I113" i="1"/>
  <c r="H113" i="1"/>
  <c r="N113" i="1" s="1"/>
  <c r="K113" i="1"/>
  <c r="G113" i="1"/>
  <c r="L113" i="1"/>
  <c r="P269" i="1"/>
  <c r="S269" i="1" s="1"/>
  <c r="J269" i="1" s="1"/>
  <c r="L269" i="1" s="1"/>
  <c r="J113" i="1"/>
  <c r="F113" i="1"/>
  <c r="C113" i="1"/>
  <c r="N269" i="1"/>
  <c r="M113" i="1"/>
  <c r="K115" i="30"/>
  <c r="M115" i="30"/>
  <c r="H115" i="30"/>
  <c r="N115" i="30" s="1"/>
  <c r="N271" i="30"/>
  <c r="A115" i="30"/>
  <c r="F115" i="30"/>
  <c r="G115" i="30"/>
  <c r="A271" i="30"/>
  <c r="C115" i="30"/>
  <c r="L115" i="30"/>
  <c r="J115" i="30"/>
  <c r="P271" i="30"/>
  <c r="S271" i="30" s="1"/>
  <c r="J271" i="30" s="1"/>
  <c r="L271" i="30" s="1"/>
  <c r="I115" i="30"/>
  <c r="I136" i="30"/>
  <c r="G136" i="30"/>
  <c r="L136" i="30"/>
  <c r="A136" i="30"/>
  <c r="F136" i="30"/>
  <c r="A292" i="30"/>
  <c r="C136" i="30"/>
  <c r="H136" i="30"/>
  <c r="N136" i="30" s="1"/>
  <c r="N292" i="30"/>
  <c r="P292" i="30"/>
  <c r="S292" i="30" s="1"/>
  <c r="J292" i="30" s="1"/>
  <c r="L292" i="30" s="1"/>
  <c r="K136" i="30"/>
  <c r="M136" i="30"/>
  <c r="J136" i="30"/>
  <c r="G70" i="1"/>
  <c r="K70" i="1"/>
  <c r="H70" i="1"/>
  <c r="C70" i="1"/>
  <c r="M70" i="1"/>
  <c r="P226" i="1"/>
  <c r="S226" i="1" s="1"/>
  <c r="J226" i="1" s="1"/>
  <c r="L226" i="1" s="1"/>
  <c r="I70" i="1"/>
  <c r="L70" i="1"/>
  <c r="F70" i="1"/>
  <c r="N226" i="1"/>
  <c r="J70" i="1"/>
  <c r="C178" i="1"/>
  <c r="K178" i="1"/>
  <c r="J178" i="1"/>
  <c r="M178" i="1"/>
  <c r="G178" i="1"/>
  <c r="F178" i="1"/>
  <c r="N334" i="1"/>
  <c r="P334" i="1"/>
  <c r="S334" i="1" s="1"/>
  <c r="J334" i="1" s="1"/>
  <c r="L334" i="1" s="1"/>
  <c r="H178" i="1"/>
  <c r="N178" i="1" s="1"/>
  <c r="L178" i="1"/>
  <c r="I178" i="1"/>
  <c r="P318" i="31"/>
  <c r="S318" i="31" s="1"/>
  <c r="J318" i="31" s="1"/>
  <c r="L318" i="31" s="1"/>
  <c r="F162" i="31"/>
  <c r="M162" i="31"/>
  <c r="N318" i="31"/>
  <c r="H162" i="31"/>
  <c r="N162" i="31" s="1"/>
  <c r="C162" i="31"/>
  <c r="I162" i="31"/>
  <c r="G162" i="31"/>
  <c r="K162" i="31"/>
  <c r="J162" i="31"/>
  <c r="L162" i="31"/>
  <c r="A162" i="31"/>
  <c r="A318" i="31"/>
  <c r="M43" i="30"/>
  <c r="G43" i="30"/>
  <c r="A199" i="30"/>
  <c r="F43" i="30"/>
  <c r="I43" i="30"/>
  <c r="L43" i="30"/>
  <c r="C43" i="30"/>
  <c r="P199" i="30"/>
  <c r="S199" i="30" s="1"/>
  <c r="J199" i="30" s="1"/>
  <c r="L199" i="30" s="1"/>
  <c r="H43" i="30"/>
  <c r="N43" i="30" s="1"/>
  <c r="N199" i="30"/>
  <c r="A43" i="30"/>
  <c r="J43" i="30"/>
  <c r="K43" i="30"/>
  <c r="I57" i="30"/>
  <c r="A213" i="30"/>
  <c r="A57" i="30"/>
  <c r="P213" i="30"/>
  <c r="S213" i="30" s="1"/>
  <c r="J213" i="30" s="1"/>
  <c r="L213" i="30" s="1"/>
  <c r="N213" i="30"/>
  <c r="F57" i="30"/>
  <c r="J57" i="30"/>
  <c r="H57" i="30"/>
  <c r="N57" i="30" s="1"/>
  <c r="K57" i="30"/>
  <c r="M57" i="30"/>
  <c r="G57" i="30"/>
  <c r="L57" i="30"/>
  <c r="C57" i="30"/>
  <c r="G83" i="30"/>
  <c r="M83" i="30"/>
  <c r="A83" i="30"/>
  <c r="C83" i="30"/>
  <c r="J83" i="30"/>
  <c r="I83" i="30"/>
  <c r="K83" i="30"/>
  <c r="L83" i="30"/>
  <c r="N239" i="30"/>
  <c r="A239" i="30"/>
  <c r="F83" i="30"/>
  <c r="P239" i="30"/>
  <c r="S239" i="30" s="1"/>
  <c r="J239" i="30" s="1"/>
  <c r="L239" i="30" s="1"/>
  <c r="H83" i="30"/>
  <c r="N83" i="30" s="1"/>
  <c r="I93" i="1"/>
  <c r="C93" i="1"/>
  <c r="N249" i="1"/>
  <c r="G93" i="1"/>
  <c r="M93" i="1"/>
  <c r="J93" i="1"/>
  <c r="P249" i="1"/>
  <c r="S249" i="1" s="1"/>
  <c r="J249" i="1" s="1"/>
  <c r="L249" i="1" s="1"/>
  <c r="H93" i="1"/>
  <c r="N93" i="1" s="1"/>
  <c r="K93" i="1"/>
  <c r="L93" i="1"/>
  <c r="F93" i="1"/>
  <c r="C125" i="31"/>
  <c r="M125" i="31"/>
  <c r="J125" i="31"/>
  <c r="L125" i="31"/>
  <c r="N281" i="31"/>
  <c r="G125" i="31"/>
  <c r="K125" i="31"/>
  <c r="A125" i="31"/>
  <c r="I125" i="31"/>
  <c r="P281" i="31"/>
  <c r="S281" i="31" s="1"/>
  <c r="J281" i="31" s="1"/>
  <c r="L281" i="31" s="1"/>
  <c r="H125" i="31"/>
  <c r="N125" i="31" s="1"/>
  <c r="A281" i="31"/>
  <c r="F125" i="31"/>
  <c r="G99" i="1"/>
  <c r="J99" i="1"/>
  <c r="I77" i="26" s="1"/>
  <c r="E77" i="26" s="1"/>
  <c r="P255" i="1"/>
  <c r="S255" i="1" s="1"/>
  <c r="J255" i="1" s="1"/>
  <c r="I99" i="1"/>
  <c r="N255" i="1"/>
  <c r="F99" i="1"/>
  <c r="K99" i="1"/>
  <c r="M99" i="1"/>
  <c r="L99" i="1"/>
  <c r="C99" i="1"/>
  <c r="H99" i="1"/>
  <c r="N99" i="1" s="1"/>
  <c r="M105" i="30"/>
  <c r="I105" i="30"/>
  <c r="J105" i="30"/>
  <c r="P261" i="30"/>
  <c r="S261" i="30" s="1"/>
  <c r="J261" i="30" s="1"/>
  <c r="L261" i="30" s="1"/>
  <c r="L105" i="30"/>
  <c r="A105" i="30"/>
  <c r="G105" i="30"/>
  <c r="N261" i="30"/>
  <c r="H105" i="30"/>
  <c r="N105" i="30" s="1"/>
  <c r="K105" i="30"/>
  <c r="F105" i="30"/>
  <c r="C105" i="30"/>
  <c r="A261" i="30"/>
  <c r="F126" i="31"/>
  <c r="C126" i="31"/>
  <c r="I126" i="31"/>
  <c r="A126" i="31"/>
  <c r="P282" i="31"/>
  <c r="S282" i="31" s="1"/>
  <c r="J282" i="31" s="1"/>
  <c r="L282" i="31" s="1"/>
  <c r="J126" i="31"/>
  <c r="M126" i="31"/>
  <c r="A282" i="31"/>
  <c r="N282" i="31"/>
  <c r="K126" i="31"/>
  <c r="G126" i="31"/>
  <c r="H126" i="31"/>
  <c r="N126" i="31" s="1"/>
  <c r="L126" i="31"/>
  <c r="C131" i="29"/>
  <c r="H131" i="29"/>
  <c r="N131" i="29" s="1"/>
  <c r="J131" i="29"/>
  <c r="P287" i="29"/>
  <c r="S287" i="29" s="1"/>
  <c r="J287" i="29" s="1"/>
  <c r="L287" i="29" s="1"/>
  <c r="L131" i="29"/>
  <c r="G131" i="29"/>
  <c r="I131" i="29"/>
  <c r="K131" i="29"/>
  <c r="N287" i="29"/>
  <c r="F131" i="29"/>
  <c r="M131" i="29"/>
  <c r="K72" i="29"/>
  <c r="P228" i="29"/>
  <c r="S228" i="29" s="1"/>
  <c r="J228" i="29" s="1"/>
  <c r="L228" i="29" s="1"/>
  <c r="I72" i="29"/>
  <c r="L72" i="29"/>
  <c r="G72" i="29"/>
  <c r="H72" i="29"/>
  <c r="N72" i="29" s="1"/>
  <c r="J72" i="29"/>
  <c r="C72" i="29"/>
  <c r="F72" i="29"/>
  <c r="M72" i="29"/>
  <c r="N228" i="29"/>
  <c r="N230" i="29"/>
  <c r="L74" i="29"/>
  <c r="J74" i="29"/>
  <c r="C74" i="29"/>
  <c r="M74" i="29"/>
  <c r="F74" i="29"/>
  <c r="H74" i="29"/>
  <c r="N74" i="29" s="1"/>
  <c r="K74" i="29"/>
  <c r="G74" i="29"/>
  <c r="I74" i="29"/>
  <c r="P230" i="29"/>
  <c r="S230" i="29" s="1"/>
  <c r="J230" i="29" s="1"/>
  <c r="L230" i="29" s="1"/>
  <c r="F175" i="29"/>
  <c r="P331" i="29"/>
  <c r="S331" i="29" s="1"/>
  <c r="J331" i="29" s="1"/>
  <c r="L331" i="29" s="1"/>
  <c r="G175" i="29"/>
  <c r="C175" i="29"/>
  <c r="M175" i="29"/>
  <c r="N331" i="29"/>
  <c r="H175" i="29"/>
  <c r="N175" i="29" s="1"/>
  <c r="I175" i="29"/>
  <c r="J175" i="29"/>
  <c r="L175" i="29"/>
  <c r="K175" i="29"/>
  <c r="D169" i="26"/>
  <c r="F169" i="26"/>
  <c r="K179" i="29"/>
  <c r="P335" i="29"/>
  <c r="S335" i="29" s="1"/>
  <c r="J335" i="29" s="1"/>
  <c r="L335" i="29" s="1"/>
  <c r="M179" i="29"/>
  <c r="J179" i="29"/>
  <c r="I179" i="29"/>
  <c r="F179" i="29"/>
  <c r="H179" i="29"/>
  <c r="N179" i="29" s="1"/>
  <c r="C179" i="29"/>
  <c r="N335" i="29"/>
  <c r="G179" i="29"/>
  <c r="L179" i="29"/>
  <c r="J83" i="29"/>
  <c r="H83" i="29"/>
  <c r="N83" i="29" s="1"/>
  <c r="N239" i="29"/>
  <c r="K83" i="29"/>
  <c r="P239" i="29"/>
  <c r="S239" i="29" s="1"/>
  <c r="J239" i="29" s="1"/>
  <c r="L239" i="29" s="1"/>
  <c r="M83" i="29"/>
  <c r="I83" i="29"/>
  <c r="G83" i="29"/>
  <c r="F83" i="29"/>
  <c r="C83" i="29"/>
  <c r="L83" i="29"/>
  <c r="P286" i="29"/>
  <c r="S286" i="29" s="1"/>
  <c r="J286" i="29" s="1"/>
  <c r="L286" i="29" s="1"/>
  <c r="G130" i="29"/>
  <c r="N286" i="29"/>
  <c r="C130" i="29"/>
  <c r="I130" i="29"/>
  <c r="M130" i="29"/>
  <c r="J130" i="29"/>
  <c r="H130" i="29"/>
  <c r="N130" i="29" s="1"/>
  <c r="L130" i="29"/>
  <c r="F130" i="29"/>
  <c r="K130" i="29"/>
  <c r="N305" i="29"/>
  <c r="M149" i="29"/>
  <c r="J149" i="29"/>
  <c r="I149" i="29"/>
  <c r="P305" i="29"/>
  <c r="S305" i="29" s="1"/>
  <c r="J305" i="29" s="1"/>
  <c r="L305" i="29" s="1"/>
  <c r="F149" i="29"/>
  <c r="G149" i="29"/>
  <c r="K149" i="29"/>
  <c r="L149" i="29"/>
  <c r="H149" i="29"/>
  <c r="N149" i="29" s="1"/>
  <c r="C149" i="29"/>
  <c r="I51" i="31"/>
  <c r="N207" i="31"/>
  <c r="K51" i="31"/>
  <c r="F51" i="31"/>
  <c r="J51" i="31"/>
  <c r="M51" i="31"/>
  <c r="A207" i="31"/>
  <c r="P207" i="31"/>
  <c r="S207" i="31" s="1"/>
  <c r="J207" i="31" s="1"/>
  <c r="L207" i="31" s="1"/>
  <c r="H51" i="31"/>
  <c r="N51" i="31" s="1"/>
  <c r="L51" i="31"/>
  <c r="G51" i="31"/>
  <c r="A51" i="31"/>
  <c r="C51" i="31"/>
  <c r="K34" i="31"/>
  <c r="H34" i="31"/>
  <c r="N34" i="31" s="1"/>
  <c r="P190" i="31"/>
  <c r="S190" i="31" s="1"/>
  <c r="J190" i="31" s="1"/>
  <c r="L190" i="31" s="1"/>
  <c r="J34" i="31"/>
  <c r="C34" i="31"/>
  <c r="N190" i="31"/>
  <c r="I34" i="31"/>
  <c r="G34" i="31"/>
  <c r="M34" i="31"/>
  <c r="A34" i="31"/>
  <c r="L34" i="31"/>
  <c r="F34" i="31"/>
  <c r="A190" i="31"/>
  <c r="N266" i="31"/>
  <c r="I110" i="31"/>
  <c r="L110" i="31"/>
  <c r="M110" i="31"/>
  <c r="G110" i="31"/>
  <c r="F110" i="31"/>
  <c r="H110" i="31"/>
  <c r="N110" i="31" s="1"/>
  <c r="A266" i="31"/>
  <c r="K110" i="31"/>
  <c r="A110" i="31"/>
  <c r="J110" i="31"/>
  <c r="C110" i="31"/>
  <c r="P266" i="31"/>
  <c r="S266" i="31" s="1"/>
  <c r="J266" i="31" s="1"/>
  <c r="L266" i="31" s="1"/>
  <c r="I48" i="26"/>
  <c r="E48" i="26" s="1"/>
  <c r="H48" i="26"/>
  <c r="H173" i="30"/>
  <c r="N173" i="30" s="1"/>
  <c r="L173" i="30"/>
  <c r="K173" i="30"/>
  <c r="I173" i="30"/>
  <c r="J173" i="30"/>
  <c r="P329" i="30"/>
  <c r="S329" i="30" s="1"/>
  <c r="J329" i="30" s="1"/>
  <c r="L329" i="30" s="1"/>
  <c r="G173" i="30"/>
  <c r="A329" i="30"/>
  <c r="M173" i="30"/>
  <c r="F173" i="30"/>
  <c r="C173" i="30"/>
  <c r="A173" i="30"/>
  <c r="N329" i="30"/>
  <c r="G156" i="31"/>
  <c r="N312" i="31"/>
  <c r="C156" i="31"/>
  <c r="A156" i="31"/>
  <c r="A312" i="31"/>
  <c r="M156" i="31"/>
  <c r="P312" i="31"/>
  <c r="S312" i="31" s="1"/>
  <c r="J312" i="31" s="1"/>
  <c r="L312" i="31" s="1"/>
  <c r="L156" i="31"/>
  <c r="K156" i="31"/>
  <c r="J156" i="31"/>
  <c r="F156" i="31"/>
  <c r="I156" i="31"/>
  <c r="H156" i="31"/>
  <c r="N156" i="31" s="1"/>
  <c r="P333" i="30"/>
  <c r="S333" i="30" s="1"/>
  <c r="J333" i="30" s="1"/>
  <c r="L333" i="30" s="1"/>
  <c r="H177" i="30"/>
  <c r="N177" i="30" s="1"/>
  <c r="M177" i="30"/>
  <c r="I177" i="30"/>
  <c r="N333" i="30"/>
  <c r="L177" i="30"/>
  <c r="J177" i="30"/>
  <c r="G177" i="30"/>
  <c r="C177" i="30"/>
  <c r="K177" i="30"/>
  <c r="F177" i="30"/>
  <c r="A177" i="30"/>
  <c r="A333" i="30"/>
  <c r="J87" i="31"/>
  <c r="C87" i="31"/>
  <c r="M87" i="31"/>
  <c r="F87" i="31"/>
  <c r="N243" i="31"/>
  <c r="L87" i="31"/>
  <c r="I87" i="31"/>
  <c r="H87" i="31"/>
  <c r="N87" i="31" s="1"/>
  <c r="G87" i="31"/>
  <c r="A243" i="31"/>
  <c r="A87" i="31"/>
  <c r="P243" i="31"/>
  <c r="S243" i="31" s="1"/>
  <c r="J243" i="31" s="1"/>
  <c r="L243" i="31" s="1"/>
  <c r="K87" i="31"/>
  <c r="P195" i="31"/>
  <c r="S195" i="31" s="1"/>
  <c r="J195" i="31" s="1"/>
  <c r="L195" i="31" s="1"/>
  <c r="A195" i="31"/>
  <c r="J39" i="31"/>
  <c r="K39" i="31"/>
  <c r="H39" i="31"/>
  <c r="N39" i="31" s="1"/>
  <c r="G39" i="31"/>
  <c r="L39" i="31"/>
  <c r="C39" i="31"/>
  <c r="I39" i="31"/>
  <c r="M39" i="31"/>
  <c r="F39" i="31"/>
  <c r="A39" i="31"/>
  <c r="N195" i="31"/>
  <c r="C53" i="30"/>
  <c r="M53" i="30"/>
  <c r="F53" i="30"/>
  <c r="A53" i="30"/>
  <c r="J53" i="30"/>
  <c r="I53" i="30"/>
  <c r="P209" i="30"/>
  <c r="S209" i="30" s="1"/>
  <c r="J209" i="30" s="1"/>
  <c r="L209" i="30" s="1"/>
  <c r="N209" i="30"/>
  <c r="K53" i="30"/>
  <c r="G53" i="30"/>
  <c r="H53" i="30"/>
  <c r="N53" i="30" s="1"/>
  <c r="L53" i="30"/>
  <c r="A209" i="30"/>
  <c r="I130" i="31"/>
  <c r="H130" i="31"/>
  <c r="N130" i="31" s="1"/>
  <c r="C130" i="31"/>
  <c r="F130" i="31"/>
  <c r="G130" i="31"/>
  <c r="A130" i="31"/>
  <c r="P286" i="31"/>
  <c r="S286" i="31" s="1"/>
  <c r="J286" i="31" s="1"/>
  <c r="L286" i="31" s="1"/>
  <c r="L130" i="31"/>
  <c r="N286" i="31"/>
  <c r="K130" i="31"/>
  <c r="M130" i="31"/>
  <c r="A286" i="31"/>
  <c r="J130" i="31"/>
  <c r="D125" i="26"/>
  <c r="F125" i="26"/>
  <c r="I158" i="1"/>
  <c r="M158" i="1"/>
  <c r="K158" i="1"/>
  <c r="L158" i="1"/>
  <c r="P314" i="1"/>
  <c r="S314" i="1" s="1"/>
  <c r="J314" i="1" s="1"/>
  <c r="L314" i="1" s="1"/>
  <c r="H158" i="1"/>
  <c r="N158" i="1" s="1"/>
  <c r="C158" i="1"/>
  <c r="F158" i="1"/>
  <c r="N314" i="1"/>
  <c r="J158" i="1"/>
  <c r="G158" i="1"/>
  <c r="G172" i="30"/>
  <c r="N328" i="30"/>
  <c r="P328" i="30"/>
  <c r="S328" i="30" s="1"/>
  <c r="J328" i="30" s="1"/>
  <c r="L328" i="30" s="1"/>
  <c r="J172" i="30"/>
  <c r="A172" i="30"/>
  <c r="L172" i="30"/>
  <c r="K172" i="30"/>
  <c r="I172" i="30"/>
  <c r="M172" i="30"/>
  <c r="C172" i="30"/>
  <c r="A328" i="30"/>
  <c r="F172" i="30"/>
  <c r="H172" i="30"/>
  <c r="N172" i="30" s="1"/>
  <c r="C135" i="1"/>
  <c r="P291" i="1"/>
  <c r="S291" i="1" s="1"/>
  <c r="J291" i="1" s="1"/>
  <c r="L291" i="1" s="1"/>
  <c r="H135" i="1"/>
  <c r="N135" i="1" s="1"/>
  <c r="N291" i="1"/>
  <c r="J135" i="1"/>
  <c r="I135" i="1"/>
  <c r="F135" i="1"/>
  <c r="M135" i="1"/>
  <c r="K135" i="1"/>
  <c r="G135" i="1"/>
  <c r="L135" i="1"/>
  <c r="C73" i="31"/>
  <c r="G73" i="31"/>
  <c r="A229" i="31"/>
  <c r="L73" i="31"/>
  <c r="N229" i="31"/>
  <c r="M73" i="31"/>
  <c r="F73" i="31"/>
  <c r="A73" i="31"/>
  <c r="J73" i="31"/>
  <c r="I73" i="31"/>
  <c r="K73" i="31"/>
  <c r="H73" i="31"/>
  <c r="N73" i="31" s="1"/>
  <c r="P229" i="31"/>
  <c r="S229" i="31" s="1"/>
  <c r="J229" i="31" s="1"/>
  <c r="L229" i="31" s="1"/>
  <c r="F171" i="1"/>
  <c r="M171" i="1"/>
  <c r="J171" i="1"/>
  <c r="I171" i="1"/>
  <c r="G171" i="1"/>
  <c r="N327" i="1"/>
  <c r="H171" i="1"/>
  <c r="N171" i="1" s="1"/>
  <c r="K171" i="1"/>
  <c r="C171" i="1"/>
  <c r="P327" i="1"/>
  <c r="S327" i="1" s="1"/>
  <c r="J327" i="1" s="1"/>
  <c r="L327" i="1" s="1"/>
  <c r="L171" i="1"/>
  <c r="I176" i="31"/>
  <c r="M176" i="31"/>
  <c r="H176" i="31"/>
  <c r="N176" i="31" s="1"/>
  <c r="A332" i="31"/>
  <c r="C176" i="31"/>
  <c r="N332" i="31"/>
  <c r="G176" i="31"/>
  <c r="P332" i="31"/>
  <c r="S332" i="31" s="1"/>
  <c r="J332" i="31" s="1"/>
  <c r="L332" i="31" s="1"/>
  <c r="F176" i="31"/>
  <c r="L176" i="31"/>
  <c r="K176" i="31"/>
  <c r="A176" i="31"/>
  <c r="J176" i="31"/>
  <c r="L64" i="1"/>
  <c r="H64" i="1"/>
  <c r="N64" i="1" s="1"/>
  <c r="K64" i="1"/>
  <c r="N220" i="1"/>
  <c r="J64" i="1"/>
  <c r="I64" i="1"/>
  <c r="F64" i="1"/>
  <c r="P220" i="1"/>
  <c r="S220" i="1" s="1"/>
  <c r="J220" i="1" s="1"/>
  <c r="L220" i="1" s="1"/>
  <c r="G64" i="1"/>
  <c r="C64" i="1"/>
  <c r="M64" i="1"/>
  <c r="F156" i="30"/>
  <c r="G156" i="30"/>
  <c r="L156" i="30"/>
  <c r="J156" i="30"/>
  <c r="I156" i="30"/>
  <c r="H156" i="30"/>
  <c r="N156" i="30" s="1"/>
  <c r="A312" i="30"/>
  <c r="K156" i="30"/>
  <c r="N312" i="30"/>
  <c r="A156" i="30"/>
  <c r="M156" i="30"/>
  <c r="C156" i="30"/>
  <c r="P312" i="30"/>
  <c r="S312" i="30" s="1"/>
  <c r="J312" i="30" s="1"/>
  <c r="L312" i="30" s="1"/>
  <c r="I33" i="31"/>
  <c r="A33" i="31"/>
  <c r="H33" i="31"/>
  <c r="N33" i="31" s="1"/>
  <c r="K33" i="31"/>
  <c r="F33" i="31"/>
  <c r="C33" i="31"/>
  <c r="P189" i="31"/>
  <c r="S189" i="31" s="1"/>
  <c r="J189" i="31" s="1"/>
  <c r="L189" i="31" s="1"/>
  <c r="A189" i="31"/>
  <c r="J33" i="31"/>
  <c r="L33" i="31"/>
  <c r="M33" i="31"/>
  <c r="O33" i="31" s="1"/>
  <c r="N189" i="31"/>
  <c r="G33" i="31"/>
  <c r="L15" i="39"/>
  <c r="O16" i="39" s="1"/>
  <c r="M16" i="39" s="1"/>
  <c r="M15" i="39"/>
  <c r="L49" i="1"/>
  <c r="F49" i="1"/>
  <c r="H49" i="1"/>
  <c r="N49" i="1" s="1"/>
  <c r="J49" i="1"/>
  <c r="I49" i="1"/>
  <c r="K49" i="1"/>
  <c r="G49" i="1"/>
  <c r="C49" i="1"/>
  <c r="P205" i="1"/>
  <c r="S205" i="1" s="1"/>
  <c r="J205" i="1" s="1"/>
  <c r="L205" i="1" s="1"/>
  <c r="M49" i="1"/>
  <c r="N205" i="1"/>
  <c r="K100" i="31"/>
  <c r="H100" i="31"/>
  <c r="N100" i="31" s="1"/>
  <c r="C100" i="31"/>
  <c r="M100" i="31"/>
  <c r="J100" i="31"/>
  <c r="I100" i="31"/>
  <c r="F100" i="31"/>
  <c r="N256" i="31"/>
  <c r="A256" i="31"/>
  <c r="G100" i="31"/>
  <c r="A100" i="31"/>
  <c r="L100" i="31"/>
  <c r="P256" i="31"/>
  <c r="S256" i="31" s="1"/>
  <c r="J256" i="31" s="1"/>
  <c r="L256" i="31" s="1"/>
  <c r="A64" i="30"/>
  <c r="M64" i="30"/>
  <c r="F64" i="30"/>
  <c r="N220" i="30"/>
  <c r="J64" i="30"/>
  <c r="G64" i="30"/>
  <c r="K64" i="30"/>
  <c r="H64" i="30"/>
  <c r="N64" i="30" s="1"/>
  <c r="P220" i="30"/>
  <c r="S220" i="30" s="1"/>
  <c r="J220" i="30" s="1"/>
  <c r="L220" i="30" s="1"/>
  <c r="I64" i="30"/>
  <c r="L64" i="30"/>
  <c r="A220" i="30"/>
  <c r="C64" i="30"/>
  <c r="L84" i="1"/>
  <c r="K84" i="1"/>
  <c r="G84" i="1"/>
  <c r="C84" i="1"/>
  <c r="P240" i="1"/>
  <c r="S240" i="1" s="1"/>
  <c r="J240" i="1" s="1"/>
  <c r="L240" i="1" s="1"/>
  <c r="H84" i="1"/>
  <c r="N84" i="1" s="1"/>
  <c r="F84" i="1"/>
  <c r="I84" i="1"/>
  <c r="N240" i="1"/>
  <c r="J84" i="1"/>
  <c r="M84" i="1"/>
  <c r="C101" i="31"/>
  <c r="I101" i="31"/>
  <c r="J101" i="31"/>
  <c r="P257" i="31"/>
  <c r="S257" i="31" s="1"/>
  <c r="J257" i="31" s="1"/>
  <c r="L257" i="31" s="1"/>
  <c r="N257" i="31"/>
  <c r="A257" i="31"/>
  <c r="M101" i="31"/>
  <c r="A101" i="31"/>
  <c r="H101" i="31"/>
  <c r="N101" i="31" s="1"/>
  <c r="G101" i="31"/>
  <c r="K101" i="31"/>
  <c r="L101" i="31"/>
  <c r="F101" i="31"/>
  <c r="J140" i="30"/>
  <c r="I140" i="30"/>
  <c r="F140" i="30"/>
  <c r="N296" i="30"/>
  <c r="H140" i="30"/>
  <c r="N140" i="30" s="1"/>
  <c r="G140" i="30"/>
  <c r="L140" i="30"/>
  <c r="A140" i="30"/>
  <c r="K140" i="30"/>
  <c r="P296" i="30"/>
  <c r="S296" i="30" s="1"/>
  <c r="J296" i="30" s="1"/>
  <c r="L296" i="30" s="1"/>
  <c r="M140" i="30"/>
  <c r="A296" i="30"/>
  <c r="C140" i="30"/>
  <c r="A338" i="31"/>
  <c r="I182" i="31"/>
  <c r="L182" i="31"/>
  <c r="H182" i="31"/>
  <c r="N182" i="31" s="1"/>
  <c r="P338" i="31"/>
  <c r="S338" i="31" s="1"/>
  <c r="J338" i="31" s="1"/>
  <c r="L338" i="31" s="1"/>
  <c r="K182" i="31"/>
  <c r="G182" i="31"/>
  <c r="N338" i="31"/>
  <c r="M182" i="31"/>
  <c r="C182" i="31"/>
  <c r="J182" i="31"/>
  <c r="A182" i="31"/>
  <c r="F182" i="31"/>
  <c r="I145" i="1"/>
  <c r="C145" i="1"/>
  <c r="G145" i="1"/>
  <c r="P301" i="1"/>
  <c r="S301" i="1" s="1"/>
  <c r="J301" i="1" s="1"/>
  <c r="L301" i="1" s="1"/>
  <c r="L145" i="1"/>
  <c r="F145" i="1"/>
  <c r="H145" i="1"/>
  <c r="N145" i="1" s="1"/>
  <c r="N301" i="1"/>
  <c r="J145" i="1"/>
  <c r="M145" i="1"/>
  <c r="K145" i="1"/>
  <c r="L103" i="31"/>
  <c r="H103" i="31"/>
  <c r="N103" i="31" s="1"/>
  <c r="G103" i="31"/>
  <c r="K103" i="31"/>
  <c r="J103" i="31"/>
  <c r="N259" i="31"/>
  <c r="F103" i="31"/>
  <c r="A259" i="31"/>
  <c r="C103" i="31"/>
  <c r="P259" i="31"/>
  <c r="S259" i="31" s="1"/>
  <c r="J259" i="31" s="1"/>
  <c r="L259" i="31" s="1"/>
  <c r="A103" i="31"/>
  <c r="M103" i="31"/>
  <c r="I103" i="31"/>
  <c r="J183" i="1"/>
  <c r="M183" i="1"/>
  <c r="H183" i="1"/>
  <c r="N183" i="1" s="1"/>
  <c r="G183" i="1"/>
  <c r="F183" i="1"/>
  <c r="I183" i="1"/>
  <c r="C183" i="1"/>
  <c r="N339" i="1"/>
  <c r="P339" i="1"/>
  <c r="S339" i="1" s="1"/>
  <c r="J339" i="1" s="1"/>
  <c r="L339" i="1" s="1"/>
  <c r="L183" i="1"/>
  <c r="K183" i="1"/>
  <c r="G104" i="31"/>
  <c r="M104" i="31"/>
  <c r="L104" i="31"/>
  <c r="K104" i="31"/>
  <c r="F104" i="31"/>
  <c r="C104" i="31"/>
  <c r="N260" i="31"/>
  <c r="I104" i="31"/>
  <c r="J104" i="31"/>
  <c r="A260" i="31"/>
  <c r="A104" i="31"/>
  <c r="P260" i="31"/>
  <c r="S260" i="31" s="1"/>
  <c r="J260" i="31" s="1"/>
  <c r="L260" i="31" s="1"/>
  <c r="H104" i="31"/>
  <c r="N104" i="31" s="1"/>
  <c r="M82" i="1"/>
  <c r="P238" i="1"/>
  <c r="S238" i="1" s="1"/>
  <c r="J238" i="1" s="1"/>
  <c r="L238" i="1" s="1"/>
  <c r="J82" i="1"/>
  <c r="G82" i="1"/>
  <c r="K82" i="1"/>
  <c r="L82" i="1"/>
  <c r="N238" i="1"/>
  <c r="I82" i="1"/>
  <c r="H82" i="1"/>
  <c r="N82" i="1" s="1"/>
  <c r="F82" i="1"/>
  <c r="C82" i="1"/>
  <c r="L96" i="29"/>
  <c r="F96" i="29"/>
  <c r="H96" i="29"/>
  <c r="N96" i="29" s="1"/>
  <c r="J96" i="29"/>
  <c r="G96" i="29"/>
  <c r="P252" i="29"/>
  <c r="S252" i="29" s="1"/>
  <c r="J252" i="29" s="1"/>
  <c r="L252" i="29" s="1"/>
  <c r="I96" i="29"/>
  <c r="K96" i="29"/>
  <c r="C96" i="29"/>
  <c r="N252" i="29"/>
  <c r="M96" i="29"/>
  <c r="F80" i="29"/>
  <c r="P236" i="29"/>
  <c r="S236" i="29" s="1"/>
  <c r="J236" i="29" s="1"/>
  <c r="L236" i="29" s="1"/>
  <c r="G80" i="29"/>
  <c r="K80" i="29"/>
  <c r="L80" i="29"/>
  <c r="C80" i="29"/>
  <c r="I80" i="29"/>
  <c r="H80" i="29"/>
  <c r="N80" i="29" s="1"/>
  <c r="N236" i="29"/>
  <c r="M80" i="29"/>
  <c r="J80" i="29"/>
  <c r="G43" i="29"/>
  <c r="K43" i="29"/>
  <c r="N199" i="29"/>
  <c r="J43" i="29"/>
  <c r="I43" i="29"/>
  <c r="H43" i="29"/>
  <c r="N43" i="29" s="1"/>
  <c r="M43" i="29"/>
  <c r="L43" i="29"/>
  <c r="F43" i="29"/>
  <c r="C43" i="29"/>
  <c r="P199" i="29"/>
  <c r="S199" i="29" s="1"/>
  <c r="J199" i="29" s="1"/>
  <c r="L199" i="29" s="1"/>
  <c r="D17" i="37"/>
  <c r="H17" i="37" s="1"/>
  <c r="G17" i="37"/>
  <c r="F17" i="37"/>
  <c r="C17" i="37"/>
  <c r="A18" i="37"/>
  <c r="E17" i="37"/>
  <c r="A172" i="37"/>
  <c r="F172" i="37" s="1"/>
  <c r="B17" i="37"/>
  <c r="K59" i="1"/>
  <c r="I59" i="1"/>
  <c r="C59" i="1"/>
  <c r="P215" i="1"/>
  <c r="S215" i="1" s="1"/>
  <c r="J215" i="1" s="1"/>
  <c r="L215" i="1" s="1"/>
  <c r="G59" i="1"/>
  <c r="F59" i="1"/>
  <c r="N215" i="1"/>
  <c r="L59" i="1"/>
  <c r="J59" i="1"/>
  <c r="H59" i="1"/>
  <c r="N59" i="1" s="1"/>
  <c r="M59" i="1"/>
  <c r="M152" i="30"/>
  <c r="N308" i="30"/>
  <c r="K152" i="30"/>
  <c r="C152" i="30"/>
  <c r="I152" i="30"/>
  <c r="G152" i="30"/>
  <c r="P308" i="30"/>
  <c r="S308" i="30" s="1"/>
  <c r="J308" i="30" s="1"/>
  <c r="L308" i="30" s="1"/>
  <c r="L152" i="30"/>
  <c r="J152" i="30"/>
  <c r="A152" i="30"/>
  <c r="H152" i="30"/>
  <c r="N152" i="30" s="1"/>
  <c r="F152" i="30"/>
  <c r="A308" i="30"/>
  <c r="H57" i="31"/>
  <c r="N57" i="31" s="1"/>
  <c r="F57" i="31"/>
  <c r="M57" i="31"/>
  <c r="P213" i="31"/>
  <c r="S213" i="31" s="1"/>
  <c r="J213" i="31" s="1"/>
  <c r="L213" i="31" s="1"/>
  <c r="N213" i="31"/>
  <c r="L57" i="31"/>
  <c r="C57" i="31"/>
  <c r="I57" i="31"/>
  <c r="G57" i="31"/>
  <c r="A57" i="31"/>
  <c r="J57" i="31"/>
  <c r="A213" i="31"/>
  <c r="K57" i="31"/>
  <c r="L80" i="31"/>
  <c r="A80" i="31"/>
  <c r="C80" i="31"/>
  <c r="J80" i="31"/>
  <c r="H80" i="31"/>
  <c r="N80" i="31" s="1"/>
  <c r="M80" i="31"/>
  <c r="A236" i="31"/>
  <c r="I80" i="31"/>
  <c r="F80" i="31"/>
  <c r="P236" i="31"/>
  <c r="S236" i="31" s="1"/>
  <c r="J236" i="31" s="1"/>
  <c r="L236" i="31" s="1"/>
  <c r="K80" i="31"/>
  <c r="N236" i="31"/>
  <c r="G80" i="31"/>
  <c r="G151" i="1"/>
  <c r="F151" i="1"/>
  <c r="I151" i="1"/>
  <c r="P307" i="1"/>
  <c r="S307" i="1" s="1"/>
  <c r="J307" i="1" s="1"/>
  <c r="L307" i="1" s="1"/>
  <c r="L151" i="1"/>
  <c r="C151" i="1"/>
  <c r="K151" i="1"/>
  <c r="N307" i="1"/>
  <c r="H151" i="1"/>
  <c r="N151" i="1" s="1"/>
  <c r="M151" i="1"/>
  <c r="J151" i="1"/>
  <c r="I16" i="37"/>
  <c r="K16" i="37" s="1"/>
  <c r="H73" i="1"/>
  <c r="N73" i="1" s="1"/>
  <c r="J73" i="1"/>
  <c r="G73" i="1"/>
  <c r="L73" i="1"/>
  <c r="M73" i="1"/>
  <c r="C73" i="1"/>
  <c r="I73" i="1"/>
  <c r="N229" i="1"/>
  <c r="F73" i="1"/>
  <c r="K73" i="1"/>
  <c r="P229" i="1"/>
  <c r="S229" i="1" s="1"/>
  <c r="J229" i="1" s="1"/>
  <c r="L229" i="1" s="1"/>
  <c r="G147" i="30"/>
  <c r="P303" i="30"/>
  <c r="S303" i="30" s="1"/>
  <c r="J303" i="30" s="1"/>
  <c r="L303" i="30" s="1"/>
  <c r="A303" i="30"/>
  <c r="C147" i="30"/>
  <c r="A147" i="30"/>
  <c r="M147" i="30"/>
  <c r="F147" i="30"/>
  <c r="J147" i="30"/>
  <c r="N303" i="30"/>
  <c r="K147" i="30"/>
  <c r="I147" i="30"/>
  <c r="L147" i="30"/>
  <c r="H147" i="30"/>
  <c r="N147" i="30" s="1"/>
  <c r="P277" i="1"/>
  <c r="S277" i="1" s="1"/>
  <c r="J277" i="1" s="1"/>
  <c r="L277" i="1" s="1"/>
  <c r="L121" i="1"/>
  <c r="C121" i="1"/>
  <c r="N277" i="1"/>
  <c r="G121" i="1"/>
  <c r="H121" i="1"/>
  <c r="N121" i="1" s="1"/>
  <c r="M121" i="1"/>
  <c r="K121" i="1"/>
  <c r="J121" i="1"/>
  <c r="F121" i="1"/>
  <c r="I121" i="1"/>
  <c r="P306" i="31"/>
  <c r="S306" i="31" s="1"/>
  <c r="J306" i="31" s="1"/>
  <c r="L306" i="31" s="1"/>
  <c r="A150" i="31"/>
  <c r="J150" i="31"/>
  <c r="N306" i="31"/>
  <c r="F150" i="31"/>
  <c r="K150" i="31"/>
  <c r="I150" i="31"/>
  <c r="G150" i="31"/>
  <c r="H150" i="31"/>
  <c r="N150" i="31" s="1"/>
  <c r="C150" i="31"/>
  <c r="A306" i="31"/>
  <c r="M150" i="31"/>
  <c r="L150" i="31"/>
  <c r="A206" i="31"/>
  <c r="K50" i="31"/>
  <c r="H50" i="31"/>
  <c r="N50" i="31" s="1"/>
  <c r="N206" i="31"/>
  <c r="G50" i="31"/>
  <c r="P206" i="31"/>
  <c r="S206" i="31" s="1"/>
  <c r="J206" i="31" s="1"/>
  <c r="L206" i="31" s="1"/>
  <c r="J50" i="31"/>
  <c r="C50" i="31"/>
  <c r="M50" i="31"/>
  <c r="A50" i="31"/>
  <c r="F50" i="31"/>
  <c r="I50" i="31"/>
  <c r="L50" i="31"/>
  <c r="K170" i="1"/>
  <c r="G170" i="1"/>
  <c r="F170" i="1"/>
  <c r="L170" i="1"/>
  <c r="M170" i="1"/>
  <c r="H170" i="1"/>
  <c r="N170" i="1" s="1"/>
  <c r="I170" i="1"/>
  <c r="N326" i="1"/>
  <c r="P326" i="1"/>
  <c r="S326" i="1" s="1"/>
  <c r="J326" i="1" s="1"/>
  <c r="L326" i="1" s="1"/>
  <c r="C170" i="1"/>
  <c r="J170" i="1"/>
  <c r="C56" i="31"/>
  <c r="N212" i="31"/>
  <c r="P212" i="31"/>
  <c r="S212" i="31" s="1"/>
  <c r="J212" i="31" s="1"/>
  <c r="L212" i="31" s="1"/>
  <c r="L56" i="31"/>
  <c r="J56" i="31"/>
  <c r="H56" i="31"/>
  <c r="N56" i="31" s="1"/>
  <c r="G56" i="31"/>
  <c r="K56" i="31"/>
  <c r="M56" i="31"/>
  <c r="I56" i="31"/>
  <c r="F56" i="31"/>
  <c r="A56" i="31"/>
  <c r="A212" i="31"/>
  <c r="L125" i="1"/>
  <c r="P281" i="1"/>
  <c r="S281" i="1" s="1"/>
  <c r="J281" i="1" s="1"/>
  <c r="L281" i="1" s="1"/>
  <c r="N281" i="1"/>
  <c r="C125" i="1"/>
  <c r="I125" i="1"/>
  <c r="F125" i="1"/>
  <c r="H125" i="1"/>
  <c r="N125" i="1" s="1"/>
  <c r="G125" i="1"/>
  <c r="M125" i="1"/>
  <c r="K125" i="1"/>
  <c r="J125" i="1"/>
  <c r="L126" i="1"/>
  <c r="F126" i="1"/>
  <c r="H126" i="1"/>
  <c r="N126" i="1" s="1"/>
  <c r="M126" i="1"/>
  <c r="J126" i="1"/>
  <c r="A104" i="26" s="1"/>
  <c r="C126" i="1"/>
  <c r="K126" i="1"/>
  <c r="P282" i="1"/>
  <c r="S282" i="1" s="1"/>
  <c r="J282" i="1" s="1"/>
  <c r="L282" i="1" s="1"/>
  <c r="N282" i="1"/>
  <c r="G126" i="1"/>
  <c r="I126" i="1"/>
  <c r="M134" i="30"/>
  <c r="L134" i="30"/>
  <c r="A134" i="30"/>
  <c r="P290" i="30"/>
  <c r="S290" i="30" s="1"/>
  <c r="J290" i="30" s="1"/>
  <c r="L290" i="30" s="1"/>
  <c r="H134" i="30"/>
  <c r="N134" i="30" s="1"/>
  <c r="J134" i="30"/>
  <c r="F134" i="30"/>
  <c r="A290" i="30"/>
  <c r="N290" i="30"/>
  <c r="G134" i="30"/>
  <c r="I134" i="30"/>
  <c r="C134" i="30"/>
  <c r="K134" i="30"/>
  <c r="J177" i="31"/>
  <c r="M177" i="31"/>
  <c r="N333" i="31"/>
  <c r="P333" i="31"/>
  <c r="S333" i="31" s="1"/>
  <c r="J333" i="31" s="1"/>
  <c r="L333" i="31" s="1"/>
  <c r="A333" i="31"/>
  <c r="G177" i="31"/>
  <c r="L177" i="31"/>
  <c r="F177" i="31"/>
  <c r="H177" i="31"/>
  <c r="N177" i="31" s="1"/>
  <c r="C177" i="31"/>
  <c r="I177" i="31"/>
  <c r="A177" i="31"/>
  <c r="K177" i="31"/>
  <c r="G163" i="1"/>
  <c r="N319" i="1"/>
  <c r="H163" i="1"/>
  <c r="N163" i="1" s="1"/>
  <c r="M163" i="1"/>
  <c r="C163" i="1"/>
  <c r="J163" i="1"/>
  <c r="I141" i="26" s="1"/>
  <c r="E141" i="26" s="1"/>
  <c r="F163" i="1"/>
  <c r="P319" i="1"/>
  <c r="S319" i="1" s="1"/>
  <c r="J319" i="1" s="1"/>
  <c r="L319" i="1" s="1"/>
  <c r="L163" i="1"/>
  <c r="I163" i="1"/>
  <c r="K163" i="1"/>
  <c r="M33" i="30"/>
  <c r="O33" i="30" s="1"/>
  <c r="N189" i="30"/>
  <c r="P189" i="30"/>
  <c r="S189" i="30" s="1"/>
  <c r="J189" i="30" s="1"/>
  <c r="L189" i="30" s="1"/>
  <c r="J33" i="30"/>
  <c r="A33" i="30"/>
  <c r="H33" i="30"/>
  <c r="N33" i="30" s="1"/>
  <c r="C33" i="30"/>
  <c r="A189" i="30"/>
  <c r="F33" i="30"/>
  <c r="G33" i="30"/>
  <c r="K33" i="30"/>
  <c r="I33" i="30"/>
  <c r="L33" i="30"/>
  <c r="U184" i="29"/>
  <c r="B184" i="29"/>
  <c r="F103" i="30"/>
  <c r="L103" i="30"/>
  <c r="K103" i="30"/>
  <c r="J103" i="30"/>
  <c r="M103" i="30"/>
  <c r="C103" i="30"/>
  <c r="N259" i="30"/>
  <c r="A103" i="30"/>
  <c r="I103" i="30"/>
  <c r="H103" i="30"/>
  <c r="N103" i="30" s="1"/>
  <c r="P259" i="30"/>
  <c r="S259" i="30" s="1"/>
  <c r="J259" i="30" s="1"/>
  <c r="L259" i="30" s="1"/>
  <c r="A259" i="30"/>
  <c r="G103" i="30"/>
  <c r="H149" i="1"/>
  <c r="N149" i="1" s="1"/>
  <c r="L149" i="1"/>
  <c r="C149" i="1"/>
  <c r="I149" i="1"/>
  <c r="K149" i="1"/>
  <c r="F149" i="1"/>
  <c r="M149" i="1"/>
  <c r="N305" i="1"/>
  <c r="P305" i="1"/>
  <c r="S305" i="1" s="1"/>
  <c r="J305" i="1" s="1"/>
  <c r="L305" i="1" s="1"/>
  <c r="G149" i="1"/>
  <c r="J149" i="1"/>
  <c r="J145" i="31"/>
  <c r="A145" i="31"/>
  <c r="P301" i="31"/>
  <c r="S301" i="31" s="1"/>
  <c r="J301" i="31" s="1"/>
  <c r="L301" i="31" s="1"/>
  <c r="A301" i="31"/>
  <c r="F145" i="31"/>
  <c r="C145" i="31"/>
  <c r="G145" i="31"/>
  <c r="N301" i="31"/>
  <c r="M145" i="31"/>
  <c r="I145" i="31"/>
  <c r="H145" i="31"/>
  <c r="N145" i="31" s="1"/>
  <c r="L145" i="31"/>
  <c r="K145" i="31"/>
  <c r="J54" i="30"/>
  <c r="A210" i="30"/>
  <c r="C54" i="30"/>
  <c r="I54" i="30"/>
  <c r="M54" i="30"/>
  <c r="P210" i="30"/>
  <c r="S210" i="30" s="1"/>
  <c r="J210" i="30" s="1"/>
  <c r="L210" i="30" s="1"/>
  <c r="F54" i="30"/>
  <c r="H54" i="30"/>
  <c r="N54" i="30" s="1"/>
  <c r="L54" i="30"/>
  <c r="G54" i="30"/>
  <c r="A54" i="30"/>
  <c r="N210" i="30"/>
  <c r="K54" i="30"/>
  <c r="P295" i="1"/>
  <c r="S295" i="1" s="1"/>
  <c r="J295" i="1" s="1"/>
  <c r="L295" i="1" s="1"/>
  <c r="N295" i="1"/>
  <c r="F139" i="1"/>
  <c r="C139" i="1"/>
  <c r="G139" i="1"/>
  <c r="H139" i="1"/>
  <c r="N139" i="1" s="1"/>
  <c r="J139" i="1"/>
  <c r="A117" i="26" s="1"/>
  <c r="I139" i="1"/>
  <c r="L139" i="1"/>
  <c r="K139" i="1"/>
  <c r="M139" i="1"/>
  <c r="F125" i="30"/>
  <c r="L125" i="30"/>
  <c r="I125" i="30"/>
  <c r="H125" i="30"/>
  <c r="N125" i="30" s="1"/>
  <c r="J125" i="30"/>
  <c r="A281" i="30"/>
  <c r="A125" i="30"/>
  <c r="C125" i="30"/>
  <c r="P281" i="30"/>
  <c r="S281" i="30" s="1"/>
  <c r="J281" i="30" s="1"/>
  <c r="L281" i="30" s="1"/>
  <c r="M125" i="30"/>
  <c r="N281" i="30"/>
  <c r="K125" i="30"/>
  <c r="G125" i="30"/>
  <c r="G94" i="29"/>
  <c r="F94" i="29"/>
  <c r="C94" i="29"/>
  <c r="K94" i="29"/>
  <c r="L94" i="29"/>
  <c r="J94" i="29"/>
  <c r="P250" i="29"/>
  <c r="S250" i="29" s="1"/>
  <c r="J250" i="29" s="1"/>
  <c r="L250" i="29" s="1"/>
  <c r="I94" i="29"/>
  <c r="M94" i="29"/>
  <c r="N250" i="29"/>
  <c r="H94" i="29"/>
  <c r="N94" i="29" s="1"/>
  <c r="N254" i="29"/>
  <c r="H98" i="29"/>
  <c r="N98" i="29" s="1"/>
  <c r="P254" i="29"/>
  <c r="S254" i="29" s="1"/>
  <c r="J254" i="29" s="1"/>
  <c r="L254" i="29" s="1"/>
  <c r="K98" i="29"/>
  <c r="C98" i="29"/>
  <c r="M98" i="29"/>
  <c r="I98" i="29"/>
  <c r="G98" i="29"/>
  <c r="F98" i="29"/>
  <c r="J98" i="29"/>
  <c r="L98" i="29"/>
  <c r="P318" i="29"/>
  <c r="S318" i="29" s="1"/>
  <c r="J318" i="29" s="1"/>
  <c r="L318" i="29" s="1"/>
  <c r="K162" i="29"/>
  <c r="G162" i="29"/>
  <c r="N318" i="29"/>
  <c r="H162" i="29"/>
  <c r="N162" i="29" s="1"/>
  <c r="F162" i="29"/>
  <c r="C162" i="29"/>
  <c r="I162" i="29"/>
  <c r="J162" i="29"/>
  <c r="M162" i="29"/>
  <c r="L162" i="29"/>
  <c r="C64" i="29"/>
  <c r="I64" i="29"/>
  <c r="G64" i="29"/>
  <c r="M64" i="29"/>
  <c r="P220" i="29"/>
  <c r="S220" i="29" s="1"/>
  <c r="J220" i="29" s="1"/>
  <c r="L220" i="29" s="1"/>
  <c r="H64" i="29"/>
  <c r="N64" i="29" s="1"/>
  <c r="F64" i="29"/>
  <c r="K64" i="29"/>
  <c r="L64" i="29"/>
  <c r="J64" i="29"/>
  <c r="N220" i="29"/>
  <c r="I169" i="29"/>
  <c r="F169" i="29"/>
  <c r="L169" i="29"/>
  <c r="M169" i="29"/>
  <c r="G169" i="29"/>
  <c r="C169" i="29"/>
  <c r="P325" i="29"/>
  <c r="S325" i="29" s="1"/>
  <c r="J325" i="29" s="1"/>
  <c r="L325" i="29" s="1"/>
  <c r="K169" i="29"/>
  <c r="H169" i="29"/>
  <c r="N169" i="29" s="1"/>
  <c r="J169" i="29"/>
  <c r="N325" i="29"/>
  <c r="C88" i="31"/>
  <c r="I88" i="31"/>
  <c r="K88" i="31"/>
  <c r="F88" i="31"/>
  <c r="M88" i="31"/>
  <c r="P244" i="31"/>
  <c r="S244" i="31" s="1"/>
  <c r="J244" i="31" s="1"/>
  <c r="L244" i="31" s="1"/>
  <c r="J88" i="31"/>
  <c r="G88" i="31"/>
  <c r="N244" i="31"/>
  <c r="A244" i="31"/>
  <c r="A88" i="31"/>
  <c r="L88" i="31"/>
  <c r="H88" i="31"/>
  <c r="N88" i="31" s="1"/>
  <c r="I167" i="30"/>
  <c r="L167" i="30"/>
  <c r="H167" i="30"/>
  <c r="N167" i="30" s="1"/>
  <c r="P323" i="30"/>
  <c r="S323" i="30" s="1"/>
  <c r="J323" i="30" s="1"/>
  <c r="L323" i="30" s="1"/>
  <c r="A167" i="30"/>
  <c r="C167" i="30"/>
  <c r="M167" i="30"/>
  <c r="J167" i="30"/>
  <c r="K167" i="30"/>
  <c r="F167" i="30"/>
  <c r="G167" i="30"/>
  <c r="A323" i="30"/>
  <c r="N323" i="30"/>
  <c r="G88" i="30"/>
  <c r="C88" i="30"/>
  <c r="J88" i="30"/>
  <c r="F88" i="30"/>
  <c r="I88" i="30"/>
  <c r="N244" i="30"/>
  <c r="A244" i="30"/>
  <c r="H88" i="30"/>
  <c r="N88" i="30" s="1"/>
  <c r="A88" i="30"/>
  <c r="P244" i="30"/>
  <c r="S244" i="30" s="1"/>
  <c r="J244" i="30" s="1"/>
  <c r="L244" i="30" s="1"/>
  <c r="K88" i="30"/>
  <c r="M88" i="30"/>
  <c r="L88" i="30"/>
  <c r="H153" i="1"/>
  <c r="N153" i="1" s="1"/>
  <c r="J153" i="1"/>
  <c r="N309" i="1"/>
  <c r="I153" i="1"/>
  <c r="G153" i="1"/>
  <c r="C153" i="1"/>
  <c r="L153" i="1"/>
  <c r="M153" i="1"/>
  <c r="P309" i="1"/>
  <c r="S309" i="1" s="1"/>
  <c r="J309" i="1" s="1"/>
  <c r="L309" i="1" s="1"/>
  <c r="K153" i="1"/>
  <c r="F153" i="1"/>
  <c r="G129" i="30"/>
  <c r="I129" i="30"/>
  <c r="K129" i="30"/>
  <c r="C129" i="30"/>
  <c r="M129" i="30"/>
  <c r="N285" i="30"/>
  <c r="L129" i="30"/>
  <c r="A129" i="30"/>
  <c r="A285" i="30"/>
  <c r="P285" i="30"/>
  <c r="S285" i="30" s="1"/>
  <c r="J285" i="30" s="1"/>
  <c r="L285" i="30" s="1"/>
  <c r="F129" i="30"/>
  <c r="H129" i="30"/>
  <c r="N129" i="30" s="1"/>
  <c r="J129" i="30"/>
  <c r="P312" i="1"/>
  <c r="S312" i="1" s="1"/>
  <c r="J312" i="1" s="1"/>
  <c r="L312" i="1" s="1"/>
  <c r="J156" i="1"/>
  <c r="M156" i="1"/>
  <c r="H156" i="1"/>
  <c r="N156" i="1" s="1"/>
  <c r="L156" i="1"/>
  <c r="C156" i="1"/>
  <c r="F156" i="1"/>
  <c r="G156" i="1"/>
  <c r="I156" i="1"/>
  <c r="K156" i="1"/>
  <c r="N312" i="1"/>
  <c r="A216" i="31"/>
  <c r="L60" i="31"/>
  <c r="I60" i="31"/>
  <c r="H60" i="31"/>
  <c r="N60" i="31" s="1"/>
  <c r="C60" i="31"/>
  <c r="P216" i="31"/>
  <c r="S216" i="31" s="1"/>
  <c r="J216" i="31" s="1"/>
  <c r="L216" i="31" s="1"/>
  <c r="N216" i="31"/>
  <c r="M60" i="31"/>
  <c r="F60" i="31"/>
  <c r="K60" i="31"/>
  <c r="G60" i="31"/>
  <c r="J60" i="31"/>
  <c r="A60" i="31"/>
  <c r="H75" i="31"/>
  <c r="N75" i="31" s="1"/>
  <c r="A231" i="31"/>
  <c r="L75" i="31"/>
  <c r="F75" i="31"/>
  <c r="C75" i="31"/>
  <c r="K75" i="31"/>
  <c r="N231" i="31"/>
  <c r="J75" i="31"/>
  <c r="M75" i="31"/>
  <c r="A75" i="31"/>
  <c r="G75" i="31"/>
  <c r="P231" i="31"/>
  <c r="S231" i="31" s="1"/>
  <c r="J231" i="31" s="1"/>
  <c r="L231" i="31" s="1"/>
  <c r="I75" i="31"/>
  <c r="I154" i="30"/>
  <c r="C154" i="30"/>
  <c r="H154" i="30"/>
  <c r="N154" i="30" s="1"/>
  <c r="N310" i="30"/>
  <c r="M154" i="30"/>
  <c r="K154" i="30"/>
  <c r="A154" i="30"/>
  <c r="A310" i="30"/>
  <c r="J154" i="30"/>
  <c r="G154" i="30"/>
  <c r="P310" i="30"/>
  <c r="S310" i="30" s="1"/>
  <c r="J310" i="30" s="1"/>
  <c r="L310" i="30" s="1"/>
  <c r="L154" i="30"/>
  <c r="F154" i="30"/>
  <c r="K135" i="30"/>
  <c r="H135" i="30"/>
  <c r="N135" i="30" s="1"/>
  <c r="G135" i="30"/>
  <c r="A291" i="30"/>
  <c r="F135" i="30"/>
  <c r="J135" i="30"/>
  <c r="N291" i="30"/>
  <c r="A135" i="30"/>
  <c r="M135" i="30"/>
  <c r="C135" i="30"/>
  <c r="L135" i="30"/>
  <c r="I135" i="30"/>
  <c r="P291" i="30"/>
  <c r="S291" i="30" s="1"/>
  <c r="J291" i="30" s="1"/>
  <c r="L291" i="30" s="1"/>
  <c r="M87" i="23"/>
  <c r="A196" i="31"/>
  <c r="L40" i="31"/>
  <c r="K40" i="31"/>
  <c r="M40" i="31"/>
  <c r="H40" i="31"/>
  <c r="N40" i="31" s="1"/>
  <c r="A40" i="31"/>
  <c r="N196" i="31"/>
  <c r="G40" i="31"/>
  <c r="I40" i="31"/>
  <c r="J40" i="31"/>
  <c r="P196" i="31"/>
  <c r="S196" i="31" s="1"/>
  <c r="J196" i="31" s="1"/>
  <c r="L196" i="31" s="1"/>
  <c r="F40" i="31"/>
  <c r="C40" i="31"/>
  <c r="AQ60" i="19"/>
  <c r="B68" i="26"/>
  <c r="J89" i="1"/>
  <c r="I89" i="1"/>
  <c r="C89" i="1"/>
  <c r="L89" i="1"/>
  <c r="H89" i="1"/>
  <c r="N89" i="1" s="1"/>
  <c r="G89" i="1"/>
  <c r="N245" i="1"/>
  <c r="K89" i="1"/>
  <c r="F89" i="1"/>
  <c r="M89" i="1"/>
  <c r="P245" i="1"/>
  <c r="S245" i="1" s="1"/>
  <c r="J245" i="1" s="1"/>
  <c r="L245" i="1" s="1"/>
  <c r="A66" i="30"/>
  <c r="F66" i="30"/>
  <c r="P222" i="30"/>
  <c r="S222" i="30" s="1"/>
  <c r="J222" i="30" s="1"/>
  <c r="L222" i="30" s="1"/>
  <c r="M66" i="30"/>
  <c r="A222" i="30"/>
  <c r="H66" i="30"/>
  <c r="N66" i="30" s="1"/>
  <c r="L66" i="30"/>
  <c r="J66" i="30"/>
  <c r="K66" i="30"/>
  <c r="G66" i="30"/>
  <c r="C66" i="30"/>
  <c r="I66" i="30"/>
  <c r="N222" i="30"/>
  <c r="M120" i="31"/>
  <c r="L120" i="31"/>
  <c r="H120" i="31"/>
  <c r="N120" i="31" s="1"/>
  <c r="G120" i="31"/>
  <c r="F120" i="31"/>
  <c r="J120" i="31"/>
  <c r="A276" i="31"/>
  <c r="A120" i="31"/>
  <c r="C120" i="31"/>
  <c r="P276" i="31"/>
  <c r="S276" i="31" s="1"/>
  <c r="J276" i="31" s="1"/>
  <c r="L276" i="31" s="1"/>
  <c r="K120" i="31"/>
  <c r="N276" i="31"/>
  <c r="I120" i="31"/>
  <c r="N277" i="31"/>
  <c r="H121" i="31"/>
  <c r="N121" i="31" s="1"/>
  <c r="I121" i="31"/>
  <c r="J121" i="31"/>
  <c r="C121" i="31"/>
  <c r="L121" i="31"/>
  <c r="M121" i="31"/>
  <c r="K121" i="31"/>
  <c r="G121" i="31"/>
  <c r="P277" i="31"/>
  <c r="S277" i="31" s="1"/>
  <c r="J277" i="31" s="1"/>
  <c r="L277" i="31" s="1"/>
  <c r="F121" i="31"/>
  <c r="A277" i="31"/>
  <c r="A121" i="31"/>
  <c r="F160" i="30"/>
  <c r="J160" i="30"/>
  <c r="I160" i="30"/>
  <c r="P316" i="30"/>
  <c r="S316" i="30" s="1"/>
  <c r="J316" i="30" s="1"/>
  <c r="L316" i="30" s="1"/>
  <c r="H160" i="30"/>
  <c r="N160" i="30" s="1"/>
  <c r="G160" i="30"/>
  <c r="K160" i="30"/>
  <c r="C160" i="30"/>
  <c r="N316" i="30"/>
  <c r="L160" i="30"/>
  <c r="M160" i="30"/>
  <c r="A316" i="30"/>
  <c r="A160" i="30"/>
  <c r="P211" i="30"/>
  <c r="S211" i="30" s="1"/>
  <c r="J211" i="30" s="1"/>
  <c r="L211" i="30" s="1"/>
  <c r="C55" i="30"/>
  <c r="H55" i="30"/>
  <c r="N55" i="30" s="1"/>
  <c r="K55" i="30"/>
  <c r="N211" i="30"/>
  <c r="J55" i="30"/>
  <c r="I55" i="30"/>
  <c r="G55" i="30"/>
  <c r="M55" i="30"/>
  <c r="A55" i="30"/>
  <c r="F55" i="30"/>
  <c r="L55" i="30"/>
  <c r="A211" i="30"/>
  <c r="N279" i="31"/>
  <c r="G123" i="31"/>
  <c r="A123" i="31"/>
  <c r="A279" i="31"/>
  <c r="I123" i="31"/>
  <c r="L123" i="31"/>
  <c r="J123" i="31"/>
  <c r="H123" i="31"/>
  <c r="N123" i="31" s="1"/>
  <c r="M123" i="31"/>
  <c r="K123" i="31"/>
  <c r="F123" i="31"/>
  <c r="C123" i="31"/>
  <c r="P279" i="31"/>
  <c r="S279" i="31" s="1"/>
  <c r="J279" i="31" s="1"/>
  <c r="L279" i="31" s="1"/>
  <c r="H85" i="1"/>
  <c r="N85" i="1" s="1"/>
  <c r="N241" i="1"/>
  <c r="K85" i="1"/>
  <c r="L85" i="1"/>
  <c r="G85" i="1"/>
  <c r="P241" i="1"/>
  <c r="S241" i="1" s="1"/>
  <c r="J241" i="1" s="1"/>
  <c r="L241" i="1" s="1"/>
  <c r="I85" i="1"/>
  <c r="C85" i="1"/>
  <c r="F85" i="1"/>
  <c r="J85" i="1"/>
  <c r="M85" i="1"/>
  <c r="I124" i="31"/>
  <c r="F124" i="31"/>
  <c r="K124" i="31"/>
  <c r="C124" i="31"/>
  <c r="L124" i="31"/>
  <c r="G124" i="31"/>
  <c r="A124" i="31"/>
  <c r="A280" i="31"/>
  <c r="N280" i="31"/>
  <c r="P280" i="31"/>
  <c r="S280" i="31" s="1"/>
  <c r="J280" i="31" s="1"/>
  <c r="L280" i="31" s="1"/>
  <c r="M124" i="31"/>
  <c r="H124" i="31"/>
  <c r="N124" i="31" s="1"/>
  <c r="J124" i="31"/>
  <c r="AS131" i="19"/>
  <c r="C139" i="26"/>
  <c r="H123" i="30"/>
  <c r="N123" i="30" s="1"/>
  <c r="C123" i="30"/>
  <c r="G123" i="30"/>
  <c r="P279" i="30"/>
  <c r="S279" i="30" s="1"/>
  <c r="J279" i="30" s="1"/>
  <c r="L279" i="30" s="1"/>
  <c r="L123" i="30"/>
  <c r="K123" i="30"/>
  <c r="J123" i="30"/>
  <c r="A123" i="30"/>
  <c r="A279" i="30"/>
  <c r="N279" i="30"/>
  <c r="F123" i="30"/>
  <c r="M123" i="30"/>
  <c r="I123" i="30"/>
  <c r="M34" i="1"/>
  <c r="C34" i="1"/>
  <c r="F34" i="1"/>
  <c r="K34" i="1"/>
  <c r="G34" i="1"/>
  <c r="I34" i="1"/>
  <c r="H34" i="1"/>
  <c r="N34" i="1" s="1"/>
  <c r="N190" i="1"/>
  <c r="P190" i="1"/>
  <c r="S190" i="1" s="1"/>
  <c r="J190" i="1" s="1"/>
  <c r="L190" i="1" s="1"/>
  <c r="L34" i="1"/>
  <c r="J34" i="1"/>
  <c r="I146" i="31"/>
  <c r="N302" i="31"/>
  <c r="G146" i="31"/>
  <c r="C146" i="31"/>
  <c r="K146" i="31"/>
  <c r="M146" i="31"/>
  <c r="L146" i="31"/>
  <c r="H146" i="31"/>
  <c r="N146" i="31" s="1"/>
  <c r="P302" i="31"/>
  <c r="S302" i="31" s="1"/>
  <c r="J302" i="31" s="1"/>
  <c r="L302" i="31" s="1"/>
  <c r="F146" i="31"/>
  <c r="J146" i="31"/>
  <c r="A146" i="31"/>
  <c r="A302" i="31"/>
  <c r="F151" i="29"/>
  <c r="N307" i="29"/>
  <c r="C151" i="29"/>
  <c r="G151" i="29"/>
  <c r="M151" i="29"/>
  <c r="K151" i="29"/>
  <c r="H151" i="29"/>
  <c r="N151" i="29" s="1"/>
  <c r="J151" i="29"/>
  <c r="L151" i="29"/>
  <c r="I151" i="29"/>
  <c r="P307" i="29"/>
  <c r="S307" i="29" s="1"/>
  <c r="J307" i="29" s="1"/>
  <c r="L307" i="29" s="1"/>
  <c r="F92" i="29"/>
  <c r="P248" i="29"/>
  <c r="S248" i="29" s="1"/>
  <c r="J248" i="29" s="1"/>
  <c r="L248" i="29" s="1"/>
  <c r="N248" i="29"/>
  <c r="J92" i="29"/>
  <c r="L92" i="29"/>
  <c r="H92" i="29"/>
  <c r="N92" i="29" s="1"/>
  <c r="C92" i="29"/>
  <c r="K92" i="29"/>
  <c r="M92" i="29"/>
  <c r="I92" i="29"/>
  <c r="G92" i="29"/>
  <c r="H114" i="29"/>
  <c r="N114" i="29" s="1"/>
  <c r="F114" i="29"/>
  <c r="N270" i="29"/>
  <c r="C114" i="29"/>
  <c r="G114" i="29"/>
  <c r="K114" i="29"/>
  <c r="L114" i="29"/>
  <c r="M114" i="29"/>
  <c r="J114" i="29"/>
  <c r="I114" i="29"/>
  <c r="P270" i="29"/>
  <c r="S270" i="29" s="1"/>
  <c r="J270" i="29" s="1"/>
  <c r="L270" i="29" s="1"/>
  <c r="M116" i="29"/>
  <c r="L116" i="29"/>
  <c r="H116" i="29"/>
  <c r="N116" i="29" s="1"/>
  <c r="P272" i="29"/>
  <c r="S272" i="29" s="1"/>
  <c r="J272" i="29" s="1"/>
  <c r="L272" i="29" s="1"/>
  <c r="I116" i="29"/>
  <c r="C116" i="29"/>
  <c r="G116" i="29"/>
  <c r="J116" i="29"/>
  <c r="K116" i="29"/>
  <c r="N272" i="29"/>
  <c r="F116" i="29"/>
  <c r="N256" i="29"/>
  <c r="M100" i="29"/>
  <c r="F100" i="29"/>
  <c r="C100" i="29"/>
  <c r="H100" i="29"/>
  <c r="N100" i="29" s="1"/>
  <c r="G100" i="29"/>
  <c r="I100" i="29"/>
  <c r="L100" i="29"/>
  <c r="J100" i="29"/>
  <c r="K100" i="29"/>
  <c r="P256" i="29"/>
  <c r="S256" i="29" s="1"/>
  <c r="J256" i="29" s="1"/>
  <c r="L256" i="29" s="1"/>
  <c r="N219" i="29"/>
  <c r="F63" i="29"/>
  <c r="H63" i="29"/>
  <c r="N63" i="29" s="1"/>
  <c r="P219" i="29"/>
  <c r="S219" i="29" s="1"/>
  <c r="J219" i="29" s="1"/>
  <c r="L219" i="29" s="1"/>
  <c r="I63" i="29"/>
  <c r="G63" i="29"/>
  <c r="J63" i="29"/>
  <c r="M63" i="29"/>
  <c r="K63" i="29"/>
  <c r="C63" i="29"/>
  <c r="L63" i="29"/>
  <c r="AS103" i="19"/>
  <c r="C111" i="26"/>
  <c r="K182" i="29"/>
  <c r="C182" i="29"/>
  <c r="I182" i="29"/>
  <c r="P338" i="29"/>
  <c r="S338" i="29" s="1"/>
  <c r="J338" i="29" s="1"/>
  <c r="L338" i="29" s="1"/>
  <c r="H182" i="29"/>
  <c r="N182" i="29" s="1"/>
  <c r="F182" i="29"/>
  <c r="G182" i="29"/>
  <c r="J182" i="29"/>
  <c r="M182" i="29"/>
  <c r="N338" i="29"/>
  <c r="L182" i="29"/>
  <c r="P259" i="29"/>
  <c r="S259" i="29" s="1"/>
  <c r="J259" i="29" s="1"/>
  <c r="L259" i="29" s="1"/>
  <c r="G103" i="29"/>
  <c r="M103" i="29"/>
  <c r="N259" i="29"/>
  <c r="J103" i="29"/>
  <c r="K103" i="29"/>
  <c r="F103" i="29"/>
  <c r="C103" i="29"/>
  <c r="H103" i="29"/>
  <c r="N103" i="29" s="1"/>
  <c r="I103" i="29"/>
  <c r="L103" i="29"/>
  <c r="H87" i="29"/>
  <c r="N87" i="29" s="1"/>
  <c r="F87" i="29"/>
  <c r="J87" i="29"/>
  <c r="N243" i="29"/>
  <c r="G87" i="29"/>
  <c r="K87" i="29"/>
  <c r="P243" i="29"/>
  <c r="S243" i="29" s="1"/>
  <c r="J243" i="29" s="1"/>
  <c r="L243" i="29" s="1"/>
  <c r="L87" i="29"/>
  <c r="C87" i="29"/>
  <c r="I87" i="29"/>
  <c r="M87" i="29"/>
  <c r="F90" i="29"/>
  <c r="C90" i="29"/>
  <c r="G90" i="29"/>
  <c r="K90" i="29"/>
  <c r="N246" i="29"/>
  <c r="J90" i="29"/>
  <c r="I90" i="29"/>
  <c r="P246" i="29"/>
  <c r="S246" i="29" s="1"/>
  <c r="J246" i="29" s="1"/>
  <c r="L246" i="29" s="1"/>
  <c r="H90" i="29"/>
  <c r="N90" i="29" s="1"/>
  <c r="M90" i="29"/>
  <c r="L90" i="29"/>
  <c r="H107" i="31"/>
  <c r="N107" i="31" s="1"/>
  <c r="P263" i="31"/>
  <c r="S263" i="31" s="1"/>
  <c r="J263" i="31" s="1"/>
  <c r="L263" i="31" s="1"/>
  <c r="G107" i="31"/>
  <c r="F107" i="31"/>
  <c r="K107" i="31"/>
  <c r="L107" i="31"/>
  <c r="M107" i="31"/>
  <c r="J107" i="31"/>
  <c r="C107" i="31"/>
  <c r="I107" i="31"/>
  <c r="N263" i="31"/>
  <c r="A107" i="31"/>
  <c r="A263" i="31"/>
  <c r="C51" i="1"/>
  <c r="I51" i="1"/>
  <c r="L51" i="1"/>
  <c r="H51" i="1"/>
  <c r="N51" i="1" s="1"/>
  <c r="K51" i="1"/>
  <c r="F51" i="1"/>
  <c r="P207" i="1"/>
  <c r="S207" i="1" s="1"/>
  <c r="J207" i="1" s="1"/>
  <c r="L207" i="1" s="1"/>
  <c r="M51" i="1"/>
  <c r="G51" i="1"/>
  <c r="N207" i="1"/>
  <c r="J51" i="1"/>
  <c r="B170" i="37"/>
  <c r="G170" i="37"/>
  <c r="K170" i="37"/>
  <c r="L170" i="37" s="1"/>
  <c r="I130" i="1"/>
  <c r="P286" i="1"/>
  <c r="S286" i="1" s="1"/>
  <c r="J286" i="1" s="1"/>
  <c r="L286" i="1" s="1"/>
  <c r="H130" i="1"/>
  <c r="N130" i="1" s="1"/>
  <c r="J130" i="1"/>
  <c r="L130" i="1"/>
  <c r="C130" i="1"/>
  <c r="G130" i="1"/>
  <c r="N286" i="1"/>
  <c r="M130" i="1"/>
  <c r="F130" i="1"/>
  <c r="K130" i="1"/>
  <c r="M55" i="31"/>
  <c r="C55" i="31"/>
  <c r="L55" i="31"/>
  <c r="H55" i="31"/>
  <c r="N55" i="31" s="1"/>
  <c r="F55" i="31"/>
  <c r="P211" i="31"/>
  <c r="S211" i="31" s="1"/>
  <c r="J211" i="31" s="1"/>
  <c r="L211" i="31" s="1"/>
  <c r="J55" i="31"/>
  <c r="N211" i="31"/>
  <c r="K55" i="31"/>
  <c r="A55" i="31"/>
  <c r="A211" i="31"/>
  <c r="G55" i="31"/>
  <c r="I55" i="31"/>
  <c r="L41" i="1"/>
  <c r="C41" i="1"/>
  <c r="H41" i="1"/>
  <c r="N41" i="1" s="1"/>
  <c r="K41" i="1"/>
  <c r="N197" i="1"/>
  <c r="P197" i="1"/>
  <c r="S197" i="1" s="1"/>
  <c r="J197" i="1" s="1"/>
  <c r="M41" i="1"/>
  <c r="G41" i="1"/>
  <c r="J41" i="1"/>
  <c r="I41" i="1"/>
  <c r="F41" i="1"/>
  <c r="L105" i="1"/>
  <c r="F105" i="1"/>
  <c r="G105" i="1"/>
  <c r="M105" i="1"/>
  <c r="K105" i="1"/>
  <c r="I105" i="1"/>
  <c r="N261" i="1"/>
  <c r="J105" i="1"/>
  <c r="A83" i="26" s="1"/>
  <c r="C105" i="1"/>
  <c r="P261" i="1"/>
  <c r="S261" i="1" s="1"/>
  <c r="J261" i="1" s="1"/>
  <c r="L261" i="1" s="1"/>
  <c r="H105" i="1"/>
  <c r="N105" i="1" s="1"/>
  <c r="C44" i="31"/>
  <c r="P200" i="31"/>
  <c r="S200" i="31" s="1"/>
  <c r="J200" i="31" s="1"/>
  <c r="L200" i="31" s="1"/>
  <c r="M44" i="31"/>
  <c r="J44" i="31"/>
  <c r="L44" i="31"/>
  <c r="F44" i="31"/>
  <c r="A200" i="31"/>
  <c r="A44" i="31"/>
  <c r="G44" i="31"/>
  <c r="H44" i="31"/>
  <c r="N44" i="31" s="1"/>
  <c r="N200" i="31"/>
  <c r="I44" i="31"/>
  <c r="K44" i="31"/>
  <c r="J164" i="1"/>
  <c r="P320" i="1"/>
  <c r="S320" i="1" s="1"/>
  <c r="J320" i="1" s="1"/>
  <c r="L164" i="1"/>
  <c r="M164" i="1"/>
  <c r="H164" i="1"/>
  <c r="N164" i="1" s="1"/>
  <c r="I164" i="1"/>
  <c r="K164" i="1"/>
  <c r="C164" i="1"/>
  <c r="F164" i="1"/>
  <c r="N320" i="1"/>
  <c r="G164" i="1"/>
  <c r="N311" i="30"/>
  <c r="F155" i="30"/>
  <c r="M155" i="30"/>
  <c r="G155" i="30"/>
  <c r="K155" i="30"/>
  <c r="L155" i="30"/>
  <c r="A311" i="30"/>
  <c r="H155" i="30"/>
  <c r="N155" i="30" s="1"/>
  <c r="I155" i="30"/>
  <c r="P311" i="30"/>
  <c r="S311" i="30" s="1"/>
  <c r="J311" i="30" s="1"/>
  <c r="L311" i="30" s="1"/>
  <c r="C155" i="30"/>
  <c r="A155" i="30"/>
  <c r="J155" i="30"/>
  <c r="I176" i="30"/>
  <c r="M176" i="30"/>
  <c r="N332" i="30"/>
  <c r="L176" i="30"/>
  <c r="H176" i="30"/>
  <c r="N176" i="30" s="1"/>
  <c r="P332" i="30"/>
  <c r="S332" i="30" s="1"/>
  <c r="J332" i="30" s="1"/>
  <c r="L332" i="30" s="1"/>
  <c r="J176" i="30"/>
  <c r="K176" i="30"/>
  <c r="A332" i="30"/>
  <c r="C176" i="30"/>
  <c r="G176" i="30"/>
  <c r="F176" i="30"/>
  <c r="A176" i="30"/>
  <c r="P227" i="31"/>
  <c r="S227" i="31" s="1"/>
  <c r="J227" i="31" s="1"/>
  <c r="L227" i="31" s="1"/>
  <c r="G71" i="31"/>
  <c r="K71" i="31"/>
  <c r="J71" i="31"/>
  <c r="H71" i="31"/>
  <c r="N71" i="31" s="1"/>
  <c r="C71" i="31"/>
  <c r="N227" i="31"/>
  <c r="L71" i="31"/>
  <c r="I71" i="31"/>
  <c r="A71" i="31"/>
  <c r="A227" i="31"/>
  <c r="F71" i="31"/>
  <c r="M71" i="31"/>
  <c r="N235" i="31"/>
  <c r="A79" i="31"/>
  <c r="K79" i="31"/>
  <c r="F79" i="31"/>
  <c r="I79" i="31"/>
  <c r="M79" i="31"/>
  <c r="J79" i="31"/>
  <c r="P235" i="31"/>
  <c r="S235" i="31" s="1"/>
  <c r="J235" i="31" s="1"/>
  <c r="L235" i="31" s="1"/>
  <c r="H79" i="31"/>
  <c r="N79" i="31" s="1"/>
  <c r="A235" i="31"/>
  <c r="G79" i="31"/>
  <c r="C79" i="31"/>
  <c r="L79" i="31"/>
  <c r="K148" i="1"/>
  <c r="C148" i="1"/>
  <c r="H148" i="1"/>
  <c r="N148" i="1" s="1"/>
  <c r="M148" i="1"/>
  <c r="F148" i="1"/>
  <c r="P304" i="1"/>
  <c r="S304" i="1" s="1"/>
  <c r="J304" i="1" s="1"/>
  <c r="L304" i="1" s="1"/>
  <c r="G148" i="1"/>
  <c r="L148" i="1"/>
  <c r="I148" i="1"/>
  <c r="J148" i="1"/>
  <c r="N304" i="1"/>
  <c r="H60" i="30"/>
  <c r="N60" i="30" s="1"/>
  <c r="F60" i="30"/>
  <c r="C60" i="30"/>
  <c r="L60" i="30"/>
  <c r="G60" i="30"/>
  <c r="K60" i="30"/>
  <c r="J60" i="30"/>
  <c r="P216" i="30"/>
  <c r="S216" i="30" s="1"/>
  <c r="J216" i="30" s="1"/>
  <c r="L216" i="30" s="1"/>
  <c r="A60" i="30"/>
  <c r="N216" i="30"/>
  <c r="A216" i="30"/>
  <c r="M60" i="30"/>
  <c r="I60" i="30"/>
  <c r="N216" i="1"/>
  <c r="H60" i="1"/>
  <c r="N60" i="1" s="1"/>
  <c r="K60" i="1"/>
  <c r="C60" i="1"/>
  <c r="L60" i="1"/>
  <c r="G60" i="1"/>
  <c r="M60" i="1"/>
  <c r="I60" i="1"/>
  <c r="J60" i="1"/>
  <c r="F60" i="1"/>
  <c r="P216" i="1"/>
  <c r="S216" i="1" s="1"/>
  <c r="J216" i="1" s="1"/>
  <c r="L216" i="1" s="1"/>
  <c r="P297" i="31"/>
  <c r="S297" i="31" s="1"/>
  <c r="J297" i="31" s="1"/>
  <c r="L297" i="31" s="1"/>
  <c r="N297" i="31"/>
  <c r="G141" i="31"/>
  <c r="I141" i="31"/>
  <c r="L141" i="31"/>
  <c r="F141" i="31"/>
  <c r="M141" i="31"/>
  <c r="C141" i="31"/>
  <c r="H141" i="31"/>
  <c r="N141" i="31" s="1"/>
  <c r="K141" i="31"/>
  <c r="J141" i="31"/>
  <c r="A297" i="31"/>
  <c r="A141" i="31"/>
  <c r="D88" i="26"/>
  <c r="F88" i="26"/>
  <c r="C168" i="1"/>
  <c r="K168" i="1"/>
  <c r="F168" i="1"/>
  <c r="P324" i="1"/>
  <c r="S324" i="1" s="1"/>
  <c r="J324" i="1" s="1"/>
  <c r="L324" i="1" s="1"/>
  <c r="G168" i="1"/>
  <c r="I168" i="1"/>
  <c r="M168" i="1"/>
  <c r="L168" i="1"/>
  <c r="H168" i="1"/>
  <c r="N168" i="1" s="1"/>
  <c r="N324" i="1"/>
  <c r="J168" i="1"/>
  <c r="P300" i="31"/>
  <c r="S300" i="31" s="1"/>
  <c r="J300" i="31" s="1"/>
  <c r="L300" i="31" s="1"/>
  <c r="L144" i="31"/>
  <c r="N300" i="31"/>
  <c r="K144" i="31"/>
  <c r="M144" i="31"/>
  <c r="I144" i="31"/>
  <c r="A300" i="31"/>
  <c r="F144" i="31"/>
  <c r="J144" i="31"/>
  <c r="A144" i="31"/>
  <c r="G144" i="31"/>
  <c r="H144" i="31"/>
  <c r="N144" i="31" s="1"/>
  <c r="C144" i="31"/>
  <c r="D138" i="26"/>
  <c r="F138" i="26"/>
  <c r="B185" i="31"/>
  <c r="U185" i="31"/>
  <c r="I165" i="31"/>
  <c r="F165" i="31"/>
  <c r="A165" i="31"/>
  <c r="H165" i="31"/>
  <c r="N165" i="31" s="1"/>
  <c r="M165" i="31"/>
  <c r="G165" i="31"/>
  <c r="P321" i="31"/>
  <c r="S321" i="31" s="1"/>
  <c r="J321" i="31" s="1"/>
  <c r="L321" i="31" s="1"/>
  <c r="L165" i="31"/>
  <c r="K165" i="31"/>
  <c r="C165" i="31"/>
  <c r="A321" i="31"/>
  <c r="N321" i="31"/>
  <c r="J165" i="31"/>
  <c r="C112" i="29"/>
  <c r="M112" i="29"/>
  <c r="I112" i="29"/>
  <c r="J112" i="29"/>
  <c r="G112" i="29"/>
  <c r="N268" i="29"/>
  <c r="K112" i="29"/>
  <c r="L112" i="29"/>
  <c r="F112" i="29"/>
  <c r="P268" i="29"/>
  <c r="S268" i="29" s="1"/>
  <c r="J268" i="29" s="1"/>
  <c r="L268" i="29" s="1"/>
  <c r="H112" i="29"/>
  <c r="N112" i="29" s="1"/>
  <c r="P204" i="29"/>
  <c r="S204" i="29" s="1"/>
  <c r="J204" i="29" s="1"/>
  <c r="L204" i="29" s="1"/>
  <c r="K48" i="29"/>
  <c r="C48" i="29"/>
  <c r="H48" i="29"/>
  <c r="N48" i="29" s="1"/>
  <c r="G48" i="29"/>
  <c r="F48" i="29"/>
  <c r="L48" i="29"/>
  <c r="I48" i="29"/>
  <c r="N204" i="29"/>
  <c r="J48" i="29"/>
  <c r="M48" i="29"/>
  <c r="K118" i="29"/>
  <c r="H118" i="29"/>
  <c r="N118" i="29" s="1"/>
  <c r="G118" i="29"/>
  <c r="M118" i="29"/>
  <c r="N274" i="29"/>
  <c r="F118" i="29"/>
  <c r="J118" i="29"/>
  <c r="P274" i="29"/>
  <c r="S274" i="29" s="1"/>
  <c r="J274" i="29" s="1"/>
  <c r="L274" i="29" s="1"/>
  <c r="L118" i="29"/>
  <c r="I118" i="29"/>
  <c r="C118" i="29"/>
  <c r="AT103" i="19"/>
  <c r="AR103" i="19" s="1"/>
  <c r="G111" i="26"/>
  <c r="G123" i="29"/>
  <c r="M123" i="29"/>
  <c r="F123" i="29"/>
  <c r="P279" i="29"/>
  <c r="S279" i="29" s="1"/>
  <c r="J279" i="29" s="1"/>
  <c r="L279" i="29" s="1"/>
  <c r="J123" i="29"/>
  <c r="H123" i="29"/>
  <c r="N123" i="29" s="1"/>
  <c r="K123" i="29"/>
  <c r="I123" i="29"/>
  <c r="L123" i="29"/>
  <c r="C123" i="29"/>
  <c r="N279" i="29"/>
  <c r="L55" i="29"/>
  <c r="C55" i="29"/>
  <c r="P211" i="29"/>
  <c r="S211" i="29" s="1"/>
  <c r="J211" i="29" s="1"/>
  <c r="L211" i="29" s="1"/>
  <c r="N211" i="29"/>
  <c r="F55" i="29"/>
  <c r="H55" i="29"/>
  <c r="N55" i="29" s="1"/>
  <c r="J55" i="29"/>
  <c r="I55" i="29"/>
  <c r="M55" i="29"/>
  <c r="G55" i="29"/>
  <c r="K55" i="29"/>
  <c r="J62" i="29"/>
  <c r="L62" i="29"/>
  <c r="N218" i="29"/>
  <c r="H62" i="29"/>
  <c r="N62" i="29" s="1"/>
  <c r="G62" i="29"/>
  <c r="I62" i="29"/>
  <c r="P218" i="29"/>
  <c r="S218" i="29" s="1"/>
  <c r="J218" i="29" s="1"/>
  <c r="L218" i="29" s="1"/>
  <c r="C62" i="29"/>
  <c r="F62" i="29"/>
  <c r="K62" i="29"/>
  <c r="M62" i="29"/>
  <c r="H107" i="29"/>
  <c r="N107" i="29" s="1"/>
  <c r="J107" i="29"/>
  <c r="P263" i="29"/>
  <c r="S263" i="29" s="1"/>
  <c r="J263" i="29" s="1"/>
  <c r="L263" i="29" s="1"/>
  <c r="F107" i="29"/>
  <c r="C107" i="29"/>
  <c r="K107" i="29"/>
  <c r="I107" i="29"/>
  <c r="G107" i="29"/>
  <c r="L107" i="29"/>
  <c r="N263" i="29"/>
  <c r="M107" i="29"/>
  <c r="M51" i="30"/>
  <c r="N207" i="30"/>
  <c r="L51" i="30"/>
  <c r="A207" i="30"/>
  <c r="P207" i="30"/>
  <c r="S207" i="30" s="1"/>
  <c r="J207" i="30" s="1"/>
  <c r="L207" i="30" s="1"/>
  <c r="C51" i="30"/>
  <c r="I51" i="30"/>
  <c r="A51" i="30"/>
  <c r="F51" i="30"/>
  <c r="J51" i="30"/>
  <c r="K51" i="30"/>
  <c r="H51" i="30"/>
  <c r="N51" i="30" s="1"/>
  <c r="G51" i="30"/>
  <c r="L108" i="31"/>
  <c r="K108" i="31"/>
  <c r="P264" i="31"/>
  <c r="S264" i="31" s="1"/>
  <c r="J264" i="31" s="1"/>
  <c r="L264" i="31" s="1"/>
  <c r="J108" i="31"/>
  <c r="A264" i="31"/>
  <c r="A108" i="31"/>
  <c r="C108" i="31"/>
  <c r="G108" i="31"/>
  <c r="I108" i="31"/>
  <c r="N264" i="31"/>
  <c r="H108" i="31"/>
  <c r="N108" i="31" s="1"/>
  <c r="F108" i="31"/>
  <c r="M108" i="31"/>
  <c r="I56" i="1"/>
  <c r="P212" i="1"/>
  <c r="S212" i="1" s="1"/>
  <c r="J212" i="1" s="1"/>
  <c r="L212" i="1" s="1"/>
  <c r="H56" i="1"/>
  <c r="N56" i="1" s="1"/>
  <c r="M56" i="1"/>
  <c r="K56" i="1"/>
  <c r="N212" i="1"/>
  <c r="F56" i="1"/>
  <c r="L56" i="1"/>
  <c r="C56" i="1"/>
  <c r="J56" i="1"/>
  <c r="G56" i="1"/>
  <c r="K79" i="1"/>
  <c r="G79" i="1"/>
  <c r="F79" i="1"/>
  <c r="J79" i="1"/>
  <c r="I57" i="26" s="1"/>
  <c r="E57" i="26" s="1"/>
  <c r="M79" i="1"/>
  <c r="C79" i="1"/>
  <c r="I79" i="1"/>
  <c r="L79" i="1"/>
  <c r="H79" i="1"/>
  <c r="N79" i="1" s="1"/>
  <c r="N235" i="1"/>
  <c r="P235" i="1"/>
  <c r="S235" i="1" s="1"/>
  <c r="J235" i="1" s="1"/>
  <c r="L235" i="1" s="1"/>
  <c r="H170" i="31"/>
  <c r="N170" i="31" s="1"/>
  <c r="G170" i="31"/>
  <c r="I170" i="31"/>
  <c r="F170" i="31"/>
  <c r="C170" i="31"/>
  <c r="K170" i="31"/>
  <c r="N326" i="31"/>
  <c r="J170" i="31"/>
  <c r="P326" i="31"/>
  <c r="S326" i="31" s="1"/>
  <c r="J326" i="31" s="1"/>
  <c r="L326" i="31" s="1"/>
  <c r="M170" i="31"/>
  <c r="A326" i="31"/>
  <c r="A170" i="31"/>
  <c r="L170" i="31"/>
  <c r="H149" i="30"/>
  <c r="N149" i="30" s="1"/>
  <c r="G149" i="30"/>
  <c r="I149" i="30"/>
  <c r="C149" i="30"/>
  <c r="P305" i="30"/>
  <c r="S305" i="30" s="1"/>
  <c r="J305" i="30" s="1"/>
  <c r="L305" i="30" s="1"/>
  <c r="N305" i="30"/>
  <c r="F149" i="30"/>
  <c r="M149" i="30"/>
  <c r="A305" i="30"/>
  <c r="J149" i="30"/>
  <c r="A149" i="30"/>
  <c r="L149" i="30"/>
  <c r="K149" i="30"/>
  <c r="I15" i="37"/>
  <c r="K15" i="37" s="1"/>
  <c r="A70" i="30"/>
  <c r="A226" i="30"/>
  <c r="J70" i="30"/>
  <c r="F70" i="30"/>
  <c r="H70" i="30"/>
  <c r="N70" i="30" s="1"/>
  <c r="K70" i="30"/>
  <c r="N226" i="30"/>
  <c r="I70" i="30"/>
  <c r="G70" i="30"/>
  <c r="P226" i="30"/>
  <c r="S226" i="30" s="1"/>
  <c r="J226" i="30" s="1"/>
  <c r="L226" i="30" s="1"/>
  <c r="M70" i="30"/>
  <c r="L70" i="30"/>
  <c r="C70" i="30"/>
  <c r="K171" i="38"/>
  <c r="G171" i="38"/>
  <c r="B171" i="38"/>
  <c r="P330" i="30"/>
  <c r="S330" i="30" s="1"/>
  <c r="J330" i="30" s="1"/>
  <c r="L330" i="30" s="1"/>
  <c r="A330" i="30"/>
  <c r="F174" i="30"/>
  <c r="C174" i="30"/>
  <c r="N330" i="30"/>
  <c r="H174" i="30"/>
  <c r="N174" i="30" s="1"/>
  <c r="M174" i="30"/>
  <c r="L174" i="30"/>
  <c r="I174" i="30"/>
  <c r="K174" i="30"/>
  <c r="A174" i="30"/>
  <c r="G174" i="30"/>
  <c r="J174" i="30"/>
  <c r="K101" i="1"/>
  <c r="P257" i="1"/>
  <c r="S257" i="1" s="1"/>
  <c r="J257" i="1" s="1"/>
  <c r="F101" i="1"/>
  <c r="L101" i="1"/>
  <c r="H101" i="1"/>
  <c r="N101" i="1" s="1"/>
  <c r="C101" i="1"/>
  <c r="J101" i="1"/>
  <c r="I79" i="26" s="1"/>
  <c r="E79" i="26" s="1"/>
  <c r="N257" i="1"/>
  <c r="I101" i="1"/>
  <c r="M101" i="1"/>
  <c r="G101" i="1"/>
  <c r="F40" i="30"/>
  <c r="C40" i="30"/>
  <c r="N196" i="30"/>
  <c r="A196" i="30"/>
  <c r="P196" i="30"/>
  <c r="S196" i="30" s="1"/>
  <c r="J196" i="30" s="1"/>
  <c r="L196" i="30" s="1"/>
  <c r="M40" i="30"/>
  <c r="A40" i="30"/>
  <c r="J40" i="30"/>
  <c r="L40" i="30"/>
  <c r="K40" i="30"/>
  <c r="I40" i="30"/>
  <c r="H40" i="30"/>
  <c r="N40" i="30" s="1"/>
  <c r="G40" i="30"/>
  <c r="M129" i="1"/>
  <c r="L129" i="1"/>
  <c r="J129" i="1"/>
  <c r="K129" i="1"/>
  <c r="I129" i="1"/>
  <c r="H129" i="1"/>
  <c r="N129" i="1" s="1"/>
  <c r="P285" i="1"/>
  <c r="S285" i="1" s="1"/>
  <c r="J285" i="1" s="1"/>
  <c r="L285" i="1" s="1"/>
  <c r="F129" i="1"/>
  <c r="N285" i="1"/>
  <c r="G129" i="1"/>
  <c r="C129" i="1"/>
  <c r="B171" i="39"/>
  <c r="K171" i="39"/>
  <c r="G171" i="39"/>
  <c r="I180" i="30"/>
  <c r="H180" i="30"/>
  <c r="N180" i="30" s="1"/>
  <c r="M180" i="30"/>
  <c r="J180" i="30"/>
  <c r="C180" i="30"/>
  <c r="N336" i="30"/>
  <c r="L180" i="30"/>
  <c r="G180" i="30"/>
  <c r="P336" i="30"/>
  <c r="S336" i="30" s="1"/>
  <c r="J336" i="30" s="1"/>
  <c r="L336" i="30" s="1"/>
  <c r="K180" i="30"/>
  <c r="F180" i="30"/>
  <c r="A336" i="30"/>
  <c r="A180" i="30"/>
  <c r="N237" i="30"/>
  <c r="K81" i="30"/>
  <c r="H81" i="30"/>
  <c r="N81" i="30" s="1"/>
  <c r="I81" i="30"/>
  <c r="M81" i="30"/>
  <c r="F81" i="30"/>
  <c r="C81" i="30"/>
  <c r="G81" i="30"/>
  <c r="J81" i="30"/>
  <c r="L81" i="30"/>
  <c r="A81" i="30"/>
  <c r="A237" i="30"/>
  <c r="P237" i="30"/>
  <c r="S237" i="30" s="1"/>
  <c r="J237" i="30" s="1"/>
  <c r="L237" i="30" s="1"/>
  <c r="I40" i="1"/>
  <c r="G40" i="1"/>
  <c r="C40" i="1"/>
  <c r="F40" i="1"/>
  <c r="K40" i="1"/>
  <c r="P196" i="1"/>
  <c r="S196" i="1" s="1"/>
  <c r="J196" i="1" s="1"/>
  <c r="L196" i="1" s="1"/>
  <c r="H40" i="1"/>
  <c r="N40" i="1" s="1"/>
  <c r="J40" i="1"/>
  <c r="L40" i="1"/>
  <c r="N196" i="1"/>
  <c r="M40" i="1"/>
  <c r="I143" i="31"/>
  <c r="F143" i="31"/>
  <c r="G143" i="31"/>
  <c r="P299" i="31"/>
  <c r="S299" i="31" s="1"/>
  <c r="J299" i="31" s="1"/>
  <c r="L299" i="31" s="1"/>
  <c r="C143" i="31"/>
  <c r="N299" i="31"/>
  <c r="A299" i="31"/>
  <c r="H143" i="31"/>
  <c r="N143" i="31" s="1"/>
  <c r="J143" i="31"/>
  <c r="K143" i="31"/>
  <c r="A143" i="31"/>
  <c r="M143" i="31"/>
  <c r="L143" i="31"/>
  <c r="K82" i="30"/>
  <c r="J82" i="30"/>
  <c r="I82" i="30"/>
  <c r="N238" i="30"/>
  <c r="G82" i="30"/>
  <c r="C82" i="30"/>
  <c r="F82" i="30"/>
  <c r="P238" i="30"/>
  <c r="S238" i="30" s="1"/>
  <c r="J238" i="30" s="1"/>
  <c r="L238" i="30" s="1"/>
  <c r="A238" i="30"/>
  <c r="A82" i="30"/>
  <c r="M82" i="30"/>
  <c r="L82" i="30"/>
  <c r="H82" i="30"/>
  <c r="N82" i="30" s="1"/>
  <c r="K67" i="30"/>
  <c r="A67" i="30"/>
  <c r="H67" i="30"/>
  <c r="N67" i="30" s="1"/>
  <c r="A223" i="30"/>
  <c r="C67" i="30"/>
  <c r="P223" i="30"/>
  <c r="S223" i="30" s="1"/>
  <c r="J223" i="30" s="1"/>
  <c r="L223" i="30" s="1"/>
  <c r="I67" i="30"/>
  <c r="F67" i="30"/>
  <c r="J67" i="30"/>
  <c r="M67" i="30"/>
  <c r="L67" i="30"/>
  <c r="G67" i="30"/>
  <c r="N223" i="30"/>
  <c r="K98" i="1"/>
  <c r="L98" i="1"/>
  <c r="M98" i="1"/>
  <c r="C98" i="1"/>
  <c r="H98" i="1"/>
  <c r="N98" i="1" s="1"/>
  <c r="G98" i="1"/>
  <c r="N254" i="1"/>
  <c r="I98" i="1"/>
  <c r="F98" i="1"/>
  <c r="P254" i="1"/>
  <c r="S254" i="1" s="1"/>
  <c r="J254" i="1" s="1"/>
  <c r="L254" i="1" s="1"/>
  <c r="J98" i="1"/>
  <c r="G145" i="30"/>
  <c r="J145" i="30"/>
  <c r="F145" i="30"/>
  <c r="I145" i="30"/>
  <c r="N301" i="30"/>
  <c r="M145" i="30"/>
  <c r="A301" i="30"/>
  <c r="H145" i="30"/>
  <c r="N145" i="30" s="1"/>
  <c r="A145" i="30"/>
  <c r="P301" i="30"/>
  <c r="S301" i="30" s="1"/>
  <c r="J301" i="30" s="1"/>
  <c r="L301" i="30" s="1"/>
  <c r="L145" i="30"/>
  <c r="K145" i="30"/>
  <c r="C145" i="30"/>
  <c r="M166" i="31"/>
  <c r="K166" i="31"/>
  <c r="L166" i="31"/>
  <c r="J166" i="31"/>
  <c r="A322" i="31"/>
  <c r="N322" i="31"/>
  <c r="I166" i="31"/>
  <c r="P322" i="31"/>
  <c r="S322" i="31" s="1"/>
  <c r="J322" i="31" s="1"/>
  <c r="L322" i="31" s="1"/>
  <c r="H166" i="31"/>
  <c r="N166" i="31" s="1"/>
  <c r="G166" i="31"/>
  <c r="C166" i="31"/>
  <c r="A166" i="31"/>
  <c r="F166" i="31"/>
  <c r="C171" i="29"/>
  <c r="J171" i="29"/>
  <c r="I171" i="29"/>
  <c r="K171" i="29"/>
  <c r="M171" i="29"/>
  <c r="P327" i="29"/>
  <c r="S327" i="29" s="1"/>
  <c r="J327" i="29" s="1"/>
  <c r="L327" i="29" s="1"/>
  <c r="H171" i="29"/>
  <c r="N171" i="29" s="1"/>
  <c r="N327" i="29"/>
  <c r="F171" i="29"/>
  <c r="L171" i="29"/>
  <c r="G171" i="29"/>
  <c r="L134" i="29"/>
  <c r="P290" i="29"/>
  <c r="S290" i="29" s="1"/>
  <c r="J290" i="29" s="1"/>
  <c r="L290" i="29" s="1"/>
  <c r="C134" i="29"/>
  <c r="G134" i="29"/>
  <c r="M134" i="29"/>
  <c r="F134" i="29"/>
  <c r="N290" i="29"/>
  <c r="K134" i="29"/>
  <c r="J134" i="29"/>
  <c r="I134" i="29"/>
  <c r="H134" i="29"/>
  <c r="N134" i="29" s="1"/>
  <c r="K138" i="29"/>
  <c r="L138" i="29"/>
  <c r="P294" i="29"/>
  <c r="S294" i="29" s="1"/>
  <c r="J294" i="29" s="1"/>
  <c r="L294" i="29" s="1"/>
  <c r="I138" i="29"/>
  <c r="C138" i="29"/>
  <c r="F138" i="29"/>
  <c r="H138" i="29"/>
  <c r="N138" i="29" s="1"/>
  <c r="M138" i="29"/>
  <c r="N294" i="29"/>
  <c r="G138" i="29"/>
  <c r="J138" i="29"/>
  <c r="I120" i="29"/>
  <c r="C120" i="29"/>
  <c r="J120" i="29"/>
  <c r="K120" i="29"/>
  <c r="H120" i="29"/>
  <c r="N120" i="29" s="1"/>
  <c r="L120" i="29"/>
  <c r="N276" i="29"/>
  <c r="M120" i="29"/>
  <c r="G120" i="29"/>
  <c r="P276" i="29"/>
  <c r="S276" i="29" s="1"/>
  <c r="J276" i="29" s="1"/>
  <c r="L276" i="29" s="1"/>
  <c r="F120" i="29"/>
  <c r="L45" i="29"/>
  <c r="M45" i="29"/>
  <c r="P201" i="29"/>
  <c r="S201" i="29" s="1"/>
  <c r="J201" i="29" s="1"/>
  <c r="L201" i="29" s="1"/>
  <c r="N201" i="29"/>
  <c r="J45" i="29"/>
  <c r="G45" i="29"/>
  <c r="F45" i="29"/>
  <c r="I45" i="29"/>
  <c r="K45" i="29"/>
  <c r="H45" i="29"/>
  <c r="N45" i="29" s="1"/>
  <c r="C45" i="29"/>
  <c r="N242" i="29"/>
  <c r="F86" i="29"/>
  <c r="M86" i="29"/>
  <c r="C86" i="29"/>
  <c r="L86" i="29"/>
  <c r="I86" i="29"/>
  <c r="P242" i="29"/>
  <c r="S242" i="29" s="1"/>
  <c r="J242" i="29" s="1"/>
  <c r="L242" i="29" s="1"/>
  <c r="G86" i="29"/>
  <c r="J86" i="29"/>
  <c r="K86" i="29"/>
  <c r="H86" i="29"/>
  <c r="N86" i="29" s="1"/>
  <c r="I127" i="31"/>
  <c r="M127" i="31"/>
  <c r="G127" i="31"/>
  <c r="F127" i="31"/>
  <c r="C127" i="31"/>
  <c r="A283" i="31"/>
  <c r="P283" i="31"/>
  <c r="S283" i="31" s="1"/>
  <c r="J283" i="31" s="1"/>
  <c r="L283" i="31" s="1"/>
  <c r="H127" i="31"/>
  <c r="N127" i="31" s="1"/>
  <c r="A127" i="31"/>
  <c r="K127" i="31"/>
  <c r="L127" i="31"/>
  <c r="N283" i="31"/>
  <c r="J127" i="31"/>
  <c r="L91" i="1"/>
  <c r="J91" i="1"/>
  <c r="G91" i="1"/>
  <c r="H91" i="1"/>
  <c r="N247" i="1"/>
  <c r="M91" i="1"/>
  <c r="K91" i="1"/>
  <c r="C91" i="1"/>
  <c r="F91" i="1"/>
  <c r="P247" i="1"/>
  <c r="S247" i="1" s="1"/>
  <c r="J247" i="1" s="1"/>
  <c r="L247" i="1" s="1"/>
  <c r="I91" i="1"/>
  <c r="A210" i="31"/>
  <c r="G54" i="31"/>
  <c r="F54" i="31"/>
  <c r="M54" i="31"/>
  <c r="H54" i="31"/>
  <c r="N54" i="31" s="1"/>
  <c r="J54" i="31"/>
  <c r="A54" i="31"/>
  <c r="I54" i="31"/>
  <c r="L54" i="31"/>
  <c r="P210" i="31"/>
  <c r="S210" i="31" s="1"/>
  <c r="J210" i="31" s="1"/>
  <c r="L210" i="31" s="1"/>
  <c r="N210" i="31"/>
  <c r="K54" i="31"/>
  <c r="C54" i="31"/>
  <c r="G108" i="30"/>
  <c r="A264" i="30"/>
  <c r="F108" i="30"/>
  <c r="C108" i="30"/>
  <c r="A108" i="30"/>
  <c r="M108" i="30"/>
  <c r="H108" i="30"/>
  <c r="N108" i="30" s="1"/>
  <c r="L108" i="30"/>
  <c r="J108" i="30"/>
  <c r="P264" i="30"/>
  <c r="S264" i="30" s="1"/>
  <c r="J264" i="30" s="1"/>
  <c r="L264" i="30" s="1"/>
  <c r="N264" i="30"/>
  <c r="K108" i="30"/>
  <c r="I108" i="30"/>
  <c r="I16" i="6"/>
  <c r="K16" i="6" s="1"/>
  <c r="H169" i="30"/>
  <c r="N169" i="30" s="1"/>
  <c r="G169" i="30"/>
  <c r="F169" i="30"/>
  <c r="P325" i="30"/>
  <c r="S325" i="30" s="1"/>
  <c r="J325" i="30" s="1"/>
  <c r="L325" i="30" s="1"/>
  <c r="M169" i="30"/>
  <c r="A169" i="30"/>
  <c r="K169" i="30"/>
  <c r="N325" i="30"/>
  <c r="J169" i="30"/>
  <c r="L169" i="30"/>
  <c r="A325" i="30"/>
  <c r="I169" i="30"/>
  <c r="C169" i="30"/>
  <c r="P218" i="31"/>
  <c r="S218" i="31" s="1"/>
  <c r="J218" i="31" s="1"/>
  <c r="L218" i="31" s="1"/>
  <c r="K62" i="31"/>
  <c r="N218" i="31"/>
  <c r="G62" i="31"/>
  <c r="A218" i="31"/>
  <c r="H62" i="31"/>
  <c r="N62" i="31" s="1"/>
  <c r="A62" i="31"/>
  <c r="L62" i="31"/>
  <c r="F62" i="31"/>
  <c r="I62" i="31"/>
  <c r="C62" i="31"/>
  <c r="J62" i="31"/>
  <c r="M62" i="31"/>
  <c r="N203" i="30"/>
  <c r="M47" i="30"/>
  <c r="A47" i="30"/>
  <c r="G47" i="30"/>
  <c r="J47" i="30"/>
  <c r="K47" i="30"/>
  <c r="C47" i="30"/>
  <c r="A203" i="30"/>
  <c r="H47" i="30"/>
  <c r="N47" i="30" s="1"/>
  <c r="P203" i="30"/>
  <c r="S203" i="30" s="1"/>
  <c r="J203" i="30" s="1"/>
  <c r="L203" i="30" s="1"/>
  <c r="I47" i="30"/>
  <c r="L47" i="30"/>
  <c r="F47" i="30"/>
  <c r="M109" i="1"/>
  <c r="H109" i="1"/>
  <c r="N109" i="1" s="1"/>
  <c r="J109" i="1"/>
  <c r="K109" i="1"/>
  <c r="L109" i="1"/>
  <c r="G109" i="1"/>
  <c r="P265" i="1"/>
  <c r="S265" i="1" s="1"/>
  <c r="J265" i="1" s="1"/>
  <c r="L265" i="1" s="1"/>
  <c r="F109" i="1"/>
  <c r="I109" i="1"/>
  <c r="C109" i="1"/>
  <c r="N265" i="1"/>
  <c r="M92" i="31"/>
  <c r="H92" i="31"/>
  <c r="N92" i="31" s="1"/>
  <c r="L92" i="31"/>
  <c r="J92" i="31"/>
  <c r="N248" i="31"/>
  <c r="F92" i="31"/>
  <c r="I92" i="31"/>
  <c r="G92" i="31"/>
  <c r="K92" i="31"/>
  <c r="C92" i="31"/>
  <c r="A92" i="31"/>
  <c r="P248" i="31"/>
  <c r="S248" i="31" s="1"/>
  <c r="J248" i="31" s="1"/>
  <c r="L248" i="31" s="1"/>
  <c r="A248" i="31"/>
  <c r="G69" i="30"/>
  <c r="M69" i="30"/>
  <c r="A69" i="30"/>
  <c r="F69" i="30"/>
  <c r="N225" i="30"/>
  <c r="A225" i="30"/>
  <c r="I69" i="30"/>
  <c r="L69" i="30"/>
  <c r="P225" i="30"/>
  <c r="S225" i="30" s="1"/>
  <c r="J225" i="30" s="1"/>
  <c r="L225" i="30" s="1"/>
  <c r="H69" i="30"/>
  <c r="N69" i="30" s="1"/>
  <c r="K69" i="30"/>
  <c r="J69" i="30"/>
  <c r="C69" i="30"/>
  <c r="J65" i="1"/>
  <c r="I65" i="1"/>
  <c r="F65" i="1"/>
  <c r="P221" i="1"/>
  <c r="S221" i="1" s="1"/>
  <c r="J221" i="1" s="1"/>
  <c r="H65" i="1"/>
  <c r="N65" i="1" s="1"/>
  <c r="M65" i="1"/>
  <c r="N221" i="1"/>
  <c r="K65" i="1"/>
  <c r="C65" i="1"/>
  <c r="G65" i="1"/>
  <c r="L65" i="1"/>
  <c r="P199" i="31"/>
  <c r="S199" i="31" s="1"/>
  <c r="J199" i="31" s="1"/>
  <c r="L199" i="31" s="1"/>
  <c r="I43" i="31"/>
  <c r="A43" i="31"/>
  <c r="K43" i="31"/>
  <c r="G43" i="31"/>
  <c r="C43" i="31"/>
  <c r="M43" i="31"/>
  <c r="N199" i="31"/>
  <c r="L43" i="31"/>
  <c r="A199" i="31"/>
  <c r="H43" i="31"/>
  <c r="N43" i="31" s="1"/>
  <c r="J43" i="31"/>
  <c r="F43" i="31"/>
  <c r="P303" i="1"/>
  <c r="S303" i="1" s="1"/>
  <c r="J303" i="1" s="1"/>
  <c r="L303" i="1" s="1"/>
  <c r="G147" i="1"/>
  <c r="N303" i="1"/>
  <c r="H147" i="1"/>
  <c r="N147" i="1" s="1"/>
  <c r="J147" i="1"/>
  <c r="I147" i="1"/>
  <c r="M147" i="1"/>
  <c r="L147" i="1"/>
  <c r="F147" i="1"/>
  <c r="C147" i="1"/>
  <c r="K147" i="1"/>
  <c r="M72" i="31"/>
  <c r="H72" i="31"/>
  <c r="N72" i="31" s="1"/>
  <c r="K72" i="31"/>
  <c r="N228" i="31"/>
  <c r="C72" i="31"/>
  <c r="I72" i="31"/>
  <c r="G72" i="31"/>
  <c r="J72" i="31"/>
  <c r="A228" i="31"/>
  <c r="P228" i="31"/>
  <c r="S228" i="31" s="1"/>
  <c r="J228" i="31" s="1"/>
  <c r="L228" i="31" s="1"/>
  <c r="L72" i="31"/>
  <c r="A72" i="31"/>
  <c r="F72" i="31"/>
  <c r="C56" i="30"/>
  <c r="H56" i="30"/>
  <c r="N56" i="30" s="1"/>
  <c r="A56" i="30"/>
  <c r="J56" i="30"/>
  <c r="F56" i="30"/>
  <c r="G56" i="30"/>
  <c r="K56" i="30"/>
  <c r="A212" i="30"/>
  <c r="N212" i="30"/>
  <c r="P212" i="30"/>
  <c r="S212" i="30" s="1"/>
  <c r="J212" i="30" s="1"/>
  <c r="L212" i="30" s="1"/>
  <c r="L56" i="30"/>
  <c r="I56" i="30"/>
  <c r="M56" i="30"/>
  <c r="L45" i="1"/>
  <c r="P201" i="1"/>
  <c r="S201" i="1" s="1"/>
  <c r="J201" i="1" s="1"/>
  <c r="L201" i="1" s="1"/>
  <c r="C45" i="1"/>
  <c r="M45" i="1"/>
  <c r="G45" i="1"/>
  <c r="N201" i="1"/>
  <c r="F45" i="1"/>
  <c r="J45" i="1"/>
  <c r="I45" i="1"/>
  <c r="H45" i="1"/>
  <c r="N45" i="1" s="1"/>
  <c r="K45" i="1"/>
  <c r="J95" i="31"/>
  <c r="F95" i="31"/>
  <c r="H95" i="31"/>
  <c r="N95" i="31" s="1"/>
  <c r="P251" i="31"/>
  <c r="S251" i="31" s="1"/>
  <c r="J251" i="31" s="1"/>
  <c r="L251" i="31" s="1"/>
  <c r="K95" i="31"/>
  <c r="A95" i="31"/>
  <c r="A251" i="31"/>
  <c r="C95" i="31"/>
  <c r="I95" i="31"/>
  <c r="G95" i="31"/>
  <c r="M95" i="31"/>
  <c r="L95" i="31"/>
  <c r="N251" i="31"/>
  <c r="K16" i="38"/>
  <c r="L16" i="38"/>
  <c r="I49" i="31"/>
  <c r="C49" i="31"/>
  <c r="A205" i="31"/>
  <c r="L49" i="31"/>
  <c r="G49" i="31"/>
  <c r="P205" i="31"/>
  <c r="S205" i="31" s="1"/>
  <c r="J205" i="31" s="1"/>
  <c r="L205" i="31" s="1"/>
  <c r="A49" i="31"/>
  <c r="N205" i="31"/>
  <c r="J49" i="31"/>
  <c r="M49" i="31"/>
  <c r="F49" i="31"/>
  <c r="H49" i="31"/>
  <c r="N49" i="31" s="1"/>
  <c r="K49" i="31"/>
  <c r="P308" i="1"/>
  <c r="S308" i="1" s="1"/>
  <c r="J308" i="1" s="1"/>
  <c r="L308" i="1" s="1"/>
  <c r="M152" i="1"/>
  <c r="C152" i="1"/>
  <c r="F152" i="1"/>
  <c r="L152" i="1"/>
  <c r="K152" i="1"/>
  <c r="H152" i="1"/>
  <c r="N152" i="1" s="1"/>
  <c r="N308" i="1"/>
  <c r="I152" i="1"/>
  <c r="G152" i="1"/>
  <c r="J152" i="1"/>
  <c r="F99" i="31"/>
  <c r="J99" i="31"/>
  <c r="I99" i="31"/>
  <c r="K99" i="31"/>
  <c r="H99" i="31"/>
  <c r="N99" i="31" s="1"/>
  <c r="M99" i="31"/>
  <c r="L99" i="31"/>
  <c r="C99" i="31"/>
  <c r="N255" i="31"/>
  <c r="A99" i="31"/>
  <c r="A255" i="31"/>
  <c r="P255" i="31"/>
  <c r="S255" i="31" s="1"/>
  <c r="J255" i="31" s="1"/>
  <c r="L255" i="31" s="1"/>
  <c r="G99" i="31"/>
  <c r="J42" i="30"/>
  <c r="A198" i="30"/>
  <c r="H42" i="30"/>
  <c r="N42" i="30" s="1"/>
  <c r="A42" i="30"/>
  <c r="F42" i="30"/>
  <c r="K42" i="30"/>
  <c r="C42" i="30"/>
  <c r="G42" i="30"/>
  <c r="P198" i="30"/>
  <c r="S198" i="30" s="1"/>
  <c r="J198" i="30" s="1"/>
  <c r="L198" i="30" s="1"/>
  <c r="I42" i="30"/>
  <c r="L42" i="30"/>
  <c r="N198" i="30"/>
  <c r="M42" i="30"/>
  <c r="P330" i="1"/>
  <c r="S330" i="1" s="1"/>
  <c r="J330" i="1" s="1"/>
  <c r="L330" i="1" s="1"/>
  <c r="F174" i="1"/>
  <c r="J174" i="1"/>
  <c r="I174" i="1"/>
  <c r="G174" i="1"/>
  <c r="C174" i="1"/>
  <c r="K174" i="1"/>
  <c r="L174" i="1"/>
  <c r="M174" i="1"/>
  <c r="H174" i="1"/>
  <c r="N174" i="1" s="1"/>
  <c r="N330" i="1"/>
  <c r="G140" i="31"/>
  <c r="H140" i="31"/>
  <c r="N140" i="31" s="1"/>
  <c r="F140" i="31"/>
  <c r="J140" i="31"/>
  <c r="I140" i="31"/>
  <c r="K140" i="31"/>
  <c r="N296" i="31"/>
  <c r="M140" i="31"/>
  <c r="P296" i="31"/>
  <c r="S296" i="31" s="1"/>
  <c r="J296" i="31" s="1"/>
  <c r="L296" i="31" s="1"/>
  <c r="L140" i="31"/>
  <c r="A140" i="31"/>
  <c r="A296" i="31"/>
  <c r="C140" i="31"/>
  <c r="I16" i="39"/>
  <c r="K16" i="39" s="1"/>
  <c r="L16" i="39"/>
  <c r="A79" i="30"/>
  <c r="N235" i="30"/>
  <c r="P235" i="30"/>
  <c r="S235" i="30" s="1"/>
  <c r="J235" i="30" s="1"/>
  <c r="L235" i="30" s="1"/>
  <c r="K79" i="30"/>
  <c r="A235" i="30"/>
  <c r="L79" i="30"/>
  <c r="G79" i="30"/>
  <c r="F79" i="30"/>
  <c r="M79" i="30"/>
  <c r="J79" i="30"/>
  <c r="H79" i="30"/>
  <c r="N79" i="30" s="1"/>
  <c r="C79" i="30"/>
  <c r="I79" i="30"/>
  <c r="L36" i="1"/>
  <c r="N192" i="1"/>
  <c r="M36" i="1"/>
  <c r="K36" i="1"/>
  <c r="I36" i="1"/>
  <c r="H36" i="1"/>
  <c r="N36" i="1" s="1"/>
  <c r="F36" i="1"/>
  <c r="J36" i="1"/>
  <c r="G36" i="1"/>
  <c r="C36" i="1"/>
  <c r="P192" i="1"/>
  <c r="S192" i="1" s="1"/>
  <c r="J192" i="1" s="1"/>
  <c r="L192" i="1" s="1"/>
  <c r="G161" i="31"/>
  <c r="F161" i="31"/>
  <c r="C161" i="31"/>
  <c r="M161" i="31"/>
  <c r="I161" i="31"/>
  <c r="P317" i="31"/>
  <c r="S317" i="31" s="1"/>
  <c r="J317" i="31" s="1"/>
  <c r="L317" i="31" s="1"/>
  <c r="L161" i="31"/>
  <c r="A161" i="31"/>
  <c r="N317" i="31"/>
  <c r="J161" i="31"/>
  <c r="K161" i="31"/>
  <c r="A317" i="31"/>
  <c r="H161" i="31"/>
  <c r="N161" i="31" s="1"/>
  <c r="K101" i="30"/>
  <c r="J101" i="30"/>
  <c r="G101" i="30"/>
  <c r="L101" i="30"/>
  <c r="N257" i="30"/>
  <c r="F101" i="30"/>
  <c r="P257" i="30"/>
  <c r="S257" i="30" s="1"/>
  <c r="J257" i="30" s="1"/>
  <c r="L257" i="30" s="1"/>
  <c r="A257" i="30"/>
  <c r="C101" i="30"/>
  <c r="H101" i="30"/>
  <c r="N101" i="30" s="1"/>
  <c r="A101" i="30"/>
  <c r="M101" i="30"/>
  <c r="I101" i="30"/>
  <c r="N320" i="31"/>
  <c r="C164" i="31"/>
  <c r="J164" i="31"/>
  <c r="H164" i="31"/>
  <c r="N164" i="31" s="1"/>
  <c r="G164" i="31"/>
  <c r="F164" i="31"/>
  <c r="I164" i="31"/>
  <c r="P320" i="31"/>
  <c r="S320" i="31" s="1"/>
  <c r="J320" i="31" s="1"/>
  <c r="L320" i="31" s="1"/>
  <c r="M164" i="31"/>
  <c r="K164" i="31"/>
  <c r="L164" i="31"/>
  <c r="A320" i="31"/>
  <c r="A164" i="31"/>
  <c r="C143" i="30"/>
  <c r="L143" i="30"/>
  <c r="M143" i="30"/>
  <c r="K143" i="30"/>
  <c r="F143" i="30"/>
  <c r="A143" i="30"/>
  <c r="J143" i="30"/>
  <c r="I143" i="30"/>
  <c r="P299" i="30"/>
  <c r="S299" i="30" s="1"/>
  <c r="J299" i="30" s="1"/>
  <c r="L299" i="30" s="1"/>
  <c r="A299" i="30"/>
  <c r="N299" i="30"/>
  <c r="H143" i="30"/>
  <c r="N143" i="30" s="1"/>
  <c r="G143" i="30"/>
  <c r="M140" i="1"/>
  <c r="P296" i="1"/>
  <c r="S296" i="1" s="1"/>
  <c r="J296" i="1" s="1"/>
  <c r="L296" i="1" s="1"/>
  <c r="H140" i="1"/>
  <c r="N140" i="1" s="1"/>
  <c r="C140" i="1"/>
  <c r="L140" i="1"/>
  <c r="I140" i="1"/>
  <c r="G140" i="1"/>
  <c r="K140" i="1"/>
  <c r="F140" i="1"/>
  <c r="N296" i="1"/>
  <c r="J140" i="1"/>
  <c r="P321" i="30"/>
  <c r="S321" i="30" s="1"/>
  <c r="J321" i="30" s="1"/>
  <c r="L321" i="30" s="1"/>
  <c r="M165" i="30"/>
  <c r="K165" i="30"/>
  <c r="J165" i="30"/>
  <c r="I165" i="30"/>
  <c r="F165" i="30"/>
  <c r="A321" i="30"/>
  <c r="N321" i="30"/>
  <c r="G165" i="30"/>
  <c r="L165" i="30"/>
  <c r="A165" i="30"/>
  <c r="C165" i="30"/>
  <c r="H165" i="30"/>
  <c r="N165" i="30" s="1"/>
  <c r="L38" i="29"/>
  <c r="N194" i="29"/>
  <c r="K38" i="29"/>
  <c r="H38" i="29"/>
  <c r="N38" i="29" s="1"/>
  <c r="P194" i="29"/>
  <c r="S194" i="29" s="1"/>
  <c r="J194" i="29" s="1"/>
  <c r="L194" i="29" s="1"/>
  <c r="G38" i="29"/>
  <c r="I38" i="29"/>
  <c r="C38" i="29"/>
  <c r="M38" i="29"/>
  <c r="F38" i="29"/>
  <c r="J38" i="29"/>
  <c r="C136" i="29"/>
  <c r="I136" i="29"/>
  <c r="F136" i="29"/>
  <c r="L136" i="29"/>
  <c r="P292" i="29"/>
  <c r="S292" i="29" s="1"/>
  <c r="J292" i="29" s="1"/>
  <c r="L292" i="29" s="1"/>
  <c r="K136" i="29"/>
  <c r="J136" i="29"/>
  <c r="H136" i="29"/>
  <c r="N136" i="29" s="1"/>
  <c r="G136" i="29"/>
  <c r="N292" i="29"/>
  <c r="M136" i="29"/>
  <c r="G52" i="29"/>
  <c r="L52" i="29"/>
  <c r="I52" i="29"/>
  <c r="J52" i="29"/>
  <c r="K52" i="29"/>
  <c r="M52" i="29"/>
  <c r="H52" i="29"/>
  <c r="N52" i="29" s="1"/>
  <c r="N208" i="29"/>
  <c r="P208" i="29"/>
  <c r="S208" i="29" s="1"/>
  <c r="J208" i="29" s="1"/>
  <c r="L208" i="29" s="1"/>
  <c r="C52" i="29"/>
  <c r="F52" i="29"/>
  <c r="L140" i="29"/>
  <c r="K140" i="29"/>
  <c r="I140" i="29"/>
  <c r="M140" i="29"/>
  <c r="F140" i="29"/>
  <c r="N296" i="29"/>
  <c r="H140" i="29"/>
  <c r="N140" i="29" s="1"/>
  <c r="C140" i="29"/>
  <c r="P296" i="29"/>
  <c r="S296" i="29" s="1"/>
  <c r="J296" i="29" s="1"/>
  <c r="L296" i="29" s="1"/>
  <c r="J140" i="29"/>
  <c r="G140" i="29"/>
  <c r="M81" i="29"/>
  <c r="K81" i="29"/>
  <c r="I81" i="29"/>
  <c r="N237" i="29"/>
  <c r="L81" i="29"/>
  <c r="P237" i="29"/>
  <c r="S237" i="29" s="1"/>
  <c r="J237" i="29" s="1"/>
  <c r="L237" i="29" s="1"/>
  <c r="G81" i="29"/>
  <c r="C81" i="29"/>
  <c r="F81" i="29"/>
  <c r="H81" i="29"/>
  <c r="N81" i="29" s="1"/>
  <c r="J81" i="29"/>
  <c r="C143" i="29"/>
  <c r="P299" i="29"/>
  <c r="S299" i="29" s="1"/>
  <c r="J299" i="29" s="1"/>
  <c r="L299" i="29" s="1"/>
  <c r="L143" i="29"/>
  <c r="F143" i="29"/>
  <c r="K143" i="29"/>
  <c r="M143" i="29"/>
  <c r="I143" i="29"/>
  <c r="N299" i="29"/>
  <c r="H143" i="29"/>
  <c r="N143" i="29" s="1"/>
  <c r="G143" i="29"/>
  <c r="J143" i="29"/>
  <c r="M41" i="29"/>
  <c r="H41" i="29"/>
  <c r="N41" i="29" s="1"/>
  <c r="G41" i="29"/>
  <c r="N197" i="29"/>
  <c r="L41" i="29"/>
  <c r="K41" i="29"/>
  <c r="J41" i="29"/>
  <c r="I41" i="29"/>
  <c r="C41" i="29"/>
  <c r="F41" i="29"/>
  <c r="P197" i="29"/>
  <c r="S197" i="29" s="1"/>
  <c r="J197" i="29" s="1"/>
  <c r="L197" i="29" s="1"/>
  <c r="F37" i="29"/>
  <c r="P193" i="29"/>
  <c r="S193" i="29" s="1"/>
  <c r="J193" i="29" s="1"/>
  <c r="L193" i="29" s="1"/>
  <c r="I37" i="29"/>
  <c r="C37" i="29"/>
  <c r="H37" i="29"/>
  <c r="J37" i="29"/>
  <c r="G37" i="29"/>
  <c r="N193" i="29"/>
  <c r="M37" i="29"/>
  <c r="L37" i="29"/>
  <c r="K37" i="29"/>
  <c r="P188" i="29"/>
  <c r="S188" i="29" s="1"/>
  <c r="J188" i="29" s="1"/>
  <c r="L188" i="29" s="1"/>
  <c r="L32" i="29"/>
  <c r="M32" i="29"/>
  <c r="O32" i="29" s="1"/>
  <c r="F32" i="29"/>
  <c r="N188" i="29"/>
  <c r="C32" i="29"/>
  <c r="H32" i="29"/>
  <c r="N32" i="29" s="1"/>
  <c r="K32" i="29"/>
  <c r="I32" i="29"/>
  <c r="J32" i="29"/>
  <c r="G32" i="29"/>
  <c r="G50" i="30"/>
  <c r="I50" i="30"/>
  <c r="C50" i="30"/>
  <c r="L50" i="30"/>
  <c r="A50" i="30"/>
  <c r="M50" i="30"/>
  <c r="A206" i="30"/>
  <c r="H50" i="30"/>
  <c r="N50" i="30" s="1"/>
  <c r="K50" i="30"/>
  <c r="P206" i="30"/>
  <c r="S206" i="30" s="1"/>
  <c r="J206" i="30" s="1"/>
  <c r="L206" i="30" s="1"/>
  <c r="N206" i="30"/>
  <c r="J50" i="30"/>
  <c r="F50" i="30"/>
  <c r="F128" i="31"/>
  <c r="P284" i="31"/>
  <c r="S284" i="31" s="1"/>
  <c r="J284" i="31" s="1"/>
  <c r="L284" i="31" s="1"/>
  <c r="K128" i="31"/>
  <c r="C128" i="31"/>
  <c r="M128" i="31"/>
  <c r="N284" i="31"/>
  <c r="I128" i="31"/>
  <c r="L128" i="31"/>
  <c r="A128" i="31"/>
  <c r="J128" i="31"/>
  <c r="A284" i="31"/>
  <c r="G128" i="31"/>
  <c r="H128" i="31"/>
  <c r="N128" i="31" s="1"/>
  <c r="A64" i="31"/>
  <c r="N220" i="31"/>
  <c r="L64" i="31"/>
  <c r="C64" i="31"/>
  <c r="G64" i="31"/>
  <c r="I64" i="31"/>
  <c r="H64" i="31"/>
  <c r="N64" i="31" s="1"/>
  <c r="K64" i="31"/>
  <c r="F64" i="31"/>
  <c r="P220" i="31"/>
  <c r="S220" i="31" s="1"/>
  <c r="J220" i="31" s="1"/>
  <c r="L220" i="31" s="1"/>
  <c r="J64" i="31"/>
  <c r="M64" i="31"/>
  <c r="A220" i="31"/>
  <c r="G141" i="1"/>
  <c r="F141" i="1"/>
  <c r="L141" i="1"/>
  <c r="N297" i="1"/>
  <c r="K141" i="1"/>
  <c r="J141" i="1"/>
  <c r="H141" i="1"/>
  <c r="N141" i="1" s="1"/>
  <c r="I141" i="1"/>
  <c r="M141" i="1"/>
  <c r="C141" i="1"/>
  <c r="P297" i="1"/>
  <c r="S297" i="1" s="1"/>
  <c r="J297" i="1" s="1"/>
  <c r="G74" i="31"/>
  <c r="K74" i="31"/>
  <c r="H74" i="31"/>
  <c r="N74" i="31" s="1"/>
  <c r="J74" i="31"/>
  <c r="M74" i="31"/>
  <c r="L74" i="31"/>
  <c r="I74" i="31"/>
  <c r="C74" i="31"/>
  <c r="P230" i="31"/>
  <c r="S230" i="31" s="1"/>
  <c r="J230" i="31" s="1"/>
  <c r="L230" i="31" s="1"/>
  <c r="N230" i="31"/>
  <c r="A74" i="31"/>
  <c r="F74" i="31"/>
  <c r="A230" i="31"/>
  <c r="H115" i="31"/>
  <c r="N115" i="31" s="1"/>
  <c r="F115" i="31"/>
  <c r="G115" i="31"/>
  <c r="M115" i="31"/>
  <c r="J115" i="31"/>
  <c r="P271" i="31"/>
  <c r="S271" i="31" s="1"/>
  <c r="J271" i="31" s="1"/>
  <c r="L271" i="31" s="1"/>
  <c r="I115" i="31"/>
  <c r="L115" i="31"/>
  <c r="K115" i="31"/>
  <c r="A115" i="31"/>
  <c r="A271" i="31"/>
  <c r="C115" i="31"/>
  <c r="N271" i="31"/>
  <c r="J175" i="30"/>
  <c r="H175" i="30"/>
  <c r="N175" i="30" s="1"/>
  <c r="K175" i="30"/>
  <c r="N331" i="30"/>
  <c r="L175" i="30"/>
  <c r="I175" i="30"/>
  <c r="P331" i="30"/>
  <c r="S331" i="30" s="1"/>
  <c r="J331" i="30" s="1"/>
  <c r="L331" i="30" s="1"/>
  <c r="F175" i="30"/>
  <c r="G175" i="30"/>
  <c r="C175" i="30"/>
  <c r="M175" i="30"/>
  <c r="A175" i="30"/>
  <c r="A331" i="30"/>
  <c r="N234" i="31"/>
  <c r="G78" i="31"/>
  <c r="A78" i="31"/>
  <c r="H78" i="31"/>
  <c r="N78" i="31" s="1"/>
  <c r="K78" i="31"/>
  <c r="M78" i="31"/>
  <c r="A234" i="31"/>
  <c r="I78" i="31"/>
  <c r="P234" i="31"/>
  <c r="S234" i="31" s="1"/>
  <c r="J234" i="31" s="1"/>
  <c r="L234" i="31" s="1"/>
  <c r="J78" i="31"/>
  <c r="F78" i="31"/>
  <c r="L78" i="31"/>
  <c r="C78" i="31"/>
  <c r="N228" i="30"/>
  <c r="L72" i="30"/>
  <c r="K72" i="30"/>
  <c r="P228" i="30"/>
  <c r="S228" i="30" s="1"/>
  <c r="J228" i="30" s="1"/>
  <c r="L228" i="30" s="1"/>
  <c r="F72" i="30"/>
  <c r="H72" i="30"/>
  <c r="N72" i="30" s="1"/>
  <c r="A228" i="30"/>
  <c r="J72" i="30"/>
  <c r="A72" i="30"/>
  <c r="I72" i="30"/>
  <c r="M72" i="30"/>
  <c r="C72" i="30"/>
  <c r="G72" i="30"/>
  <c r="P270" i="1"/>
  <c r="S270" i="1" s="1"/>
  <c r="J270" i="1" s="1"/>
  <c r="L270" i="1" s="1"/>
  <c r="L114" i="1"/>
  <c r="M114" i="1"/>
  <c r="N270" i="1"/>
  <c r="F114" i="1"/>
  <c r="C114" i="1"/>
  <c r="G114" i="1"/>
  <c r="K114" i="1"/>
  <c r="I114" i="1"/>
  <c r="H114" i="1"/>
  <c r="N114" i="1" s="1"/>
  <c r="J114" i="1"/>
  <c r="I92" i="26" s="1"/>
  <c r="E92" i="26" s="1"/>
  <c r="I160" i="31"/>
  <c r="J160" i="31"/>
  <c r="N316" i="31"/>
  <c r="C160" i="31"/>
  <c r="M160" i="31"/>
  <c r="L160" i="31"/>
  <c r="K160" i="31"/>
  <c r="H160" i="31"/>
  <c r="N160" i="31" s="1"/>
  <c r="A160" i="31"/>
  <c r="G160" i="31"/>
  <c r="F160" i="31"/>
  <c r="A316" i="31"/>
  <c r="P316" i="31"/>
  <c r="S316" i="31" s="1"/>
  <c r="J316" i="31" s="1"/>
  <c r="L316" i="31" s="1"/>
  <c r="C17" i="39"/>
  <c r="A18" i="39"/>
  <c r="F17" i="39"/>
  <c r="D17" i="39"/>
  <c r="H17" i="39" s="1"/>
  <c r="A172" i="39"/>
  <c r="F172" i="39" s="1"/>
  <c r="B17" i="39"/>
  <c r="E17" i="39"/>
  <c r="I17" i="39" s="1"/>
  <c r="G17" i="39"/>
  <c r="L92" i="1"/>
  <c r="G92" i="1"/>
  <c r="M92" i="1"/>
  <c r="I92" i="1"/>
  <c r="N248" i="1"/>
  <c r="J92" i="1"/>
  <c r="A70" i="26" s="1"/>
  <c r="K92" i="1"/>
  <c r="F92" i="1"/>
  <c r="H92" i="1"/>
  <c r="N92" i="1" s="1"/>
  <c r="C92" i="1"/>
  <c r="P248" i="1"/>
  <c r="S248" i="1" s="1"/>
  <c r="J248" i="1" s="1"/>
  <c r="L248" i="1" s="1"/>
  <c r="D49" i="26"/>
  <c r="F49" i="26"/>
  <c r="N267" i="1"/>
  <c r="M111" i="1"/>
  <c r="G111" i="1"/>
  <c r="L111" i="1"/>
  <c r="P267" i="1"/>
  <c r="S267" i="1" s="1"/>
  <c r="J267" i="1" s="1"/>
  <c r="L267" i="1" s="1"/>
  <c r="J111" i="1"/>
  <c r="H111" i="1"/>
  <c r="F111" i="1"/>
  <c r="I111" i="1"/>
  <c r="C111" i="1"/>
  <c r="K111" i="1"/>
  <c r="L179" i="23"/>
  <c r="M179" i="23" s="1"/>
  <c r="H230" i="26"/>
  <c r="L173" i="1"/>
  <c r="M173" i="1"/>
  <c r="K173" i="1"/>
  <c r="H173" i="1"/>
  <c r="N173" i="1" s="1"/>
  <c r="C173" i="1"/>
  <c r="N329" i="1"/>
  <c r="P329" i="1"/>
  <c r="S329" i="1" s="1"/>
  <c r="J329" i="1" s="1"/>
  <c r="L329" i="1" s="1"/>
  <c r="I173" i="1"/>
  <c r="J173" i="1"/>
  <c r="F173" i="1"/>
  <c r="G173" i="1"/>
  <c r="G163" i="31"/>
  <c r="L163" i="31"/>
  <c r="I163" i="31"/>
  <c r="P319" i="31"/>
  <c r="S319" i="31" s="1"/>
  <c r="J319" i="31" s="1"/>
  <c r="L319" i="31" s="1"/>
  <c r="F163" i="31"/>
  <c r="H163" i="31"/>
  <c r="N163" i="31" s="1"/>
  <c r="K163" i="31"/>
  <c r="J163" i="31"/>
  <c r="A163" i="31"/>
  <c r="N319" i="31"/>
  <c r="A319" i="31"/>
  <c r="M163" i="31"/>
  <c r="C163" i="31"/>
  <c r="G102" i="30"/>
  <c r="A258" i="30"/>
  <c r="F102" i="30"/>
  <c r="K102" i="30"/>
  <c r="J102" i="30"/>
  <c r="A102" i="30"/>
  <c r="N258" i="30"/>
  <c r="M102" i="30"/>
  <c r="L102" i="30"/>
  <c r="H102" i="30"/>
  <c r="N102" i="30" s="1"/>
  <c r="C102" i="30"/>
  <c r="P258" i="30"/>
  <c r="S258" i="30" s="1"/>
  <c r="J258" i="30" s="1"/>
  <c r="L258" i="30" s="1"/>
  <c r="I102" i="30"/>
  <c r="N223" i="1"/>
  <c r="K67" i="1"/>
  <c r="M67" i="1"/>
  <c r="J67" i="1"/>
  <c r="H67" i="1"/>
  <c r="N67" i="1" s="1"/>
  <c r="F67" i="1"/>
  <c r="C67" i="1"/>
  <c r="G67" i="1"/>
  <c r="L67" i="1"/>
  <c r="I67" i="1"/>
  <c r="P223" i="1"/>
  <c r="S223" i="1" s="1"/>
  <c r="J223" i="1" s="1"/>
  <c r="L223" i="1" s="1"/>
  <c r="M163" i="30"/>
  <c r="L163" i="30"/>
  <c r="I163" i="30"/>
  <c r="P319" i="30"/>
  <c r="S319" i="30" s="1"/>
  <c r="J319" i="30" s="1"/>
  <c r="L319" i="30" s="1"/>
  <c r="H163" i="30"/>
  <c r="N163" i="30" s="1"/>
  <c r="G163" i="30"/>
  <c r="C163" i="30"/>
  <c r="J163" i="30"/>
  <c r="K163" i="30"/>
  <c r="A319" i="30"/>
  <c r="A163" i="30"/>
  <c r="N319" i="30"/>
  <c r="F163" i="30"/>
  <c r="P240" i="30"/>
  <c r="S240" i="30" s="1"/>
  <c r="J240" i="30" s="1"/>
  <c r="L240" i="30" s="1"/>
  <c r="I84" i="30"/>
  <c r="A240" i="30"/>
  <c r="N240" i="30"/>
  <c r="H84" i="30"/>
  <c r="N84" i="30" s="1"/>
  <c r="J84" i="30"/>
  <c r="L84" i="30"/>
  <c r="C84" i="30"/>
  <c r="G84" i="30"/>
  <c r="F84" i="30"/>
  <c r="A84" i="30"/>
  <c r="K84" i="30"/>
  <c r="M84" i="30"/>
  <c r="M52" i="1"/>
  <c r="K52" i="1"/>
  <c r="F52" i="1"/>
  <c r="P208" i="1"/>
  <c r="S208" i="1" s="1"/>
  <c r="J208" i="1" s="1"/>
  <c r="L208" i="1" s="1"/>
  <c r="I52" i="1"/>
  <c r="H52" i="1"/>
  <c r="N52" i="1" s="1"/>
  <c r="G52" i="1"/>
  <c r="J52" i="1"/>
  <c r="N208" i="1"/>
  <c r="C52" i="1"/>
  <c r="L52" i="1"/>
  <c r="F58" i="1"/>
  <c r="P214" i="1"/>
  <c r="S214" i="1" s="1"/>
  <c r="J214" i="1" s="1"/>
  <c r="L214" i="1" s="1"/>
  <c r="K58" i="1"/>
  <c r="L58" i="1"/>
  <c r="I58" i="1"/>
  <c r="C58" i="1"/>
  <c r="G58" i="1"/>
  <c r="J58" i="1"/>
  <c r="M58" i="1"/>
  <c r="H58" i="1"/>
  <c r="N58" i="1" s="1"/>
  <c r="N214" i="1"/>
  <c r="Y285" i="16"/>
  <c r="W285" i="16" s="1"/>
  <c r="A248" i="20" s="1"/>
  <c r="Y83" i="16"/>
  <c r="W83" i="16" s="1"/>
  <c r="A46" i="20" s="1"/>
  <c r="Y268" i="16"/>
  <c r="W268" i="16" s="1"/>
  <c r="A231" i="20" s="1"/>
  <c r="Y137" i="16"/>
  <c r="W137" i="16" s="1"/>
  <c r="A100" i="20" s="1"/>
  <c r="Y238" i="16"/>
  <c r="W238" i="16" s="1"/>
  <c r="A201" i="20" s="1"/>
  <c r="Y213" i="16"/>
  <c r="W213" i="16" s="1"/>
  <c r="A176" i="20" s="1"/>
  <c r="Y168" i="16"/>
  <c r="W168" i="16" s="1"/>
  <c r="A131" i="20" s="1"/>
  <c r="Y49" i="16"/>
  <c r="W49" i="16" s="1"/>
  <c r="A12" i="20" s="1"/>
  <c r="Y98" i="16"/>
  <c r="W98" i="16" s="1"/>
  <c r="A61" i="20" s="1"/>
  <c r="Y163" i="16"/>
  <c r="W163" i="16" s="1"/>
  <c r="A126" i="20" s="1"/>
  <c r="Y44" i="16"/>
  <c r="W44" i="16" s="1"/>
  <c r="A7" i="20" s="1"/>
  <c r="Y67" i="16"/>
  <c r="W67" i="16" s="1"/>
  <c r="A30" i="20" s="1"/>
  <c r="Y220" i="16"/>
  <c r="W220" i="16" s="1"/>
  <c r="A183" i="20" s="1"/>
  <c r="Y95" i="16"/>
  <c r="W95" i="16" s="1"/>
  <c r="A58" i="20" s="1"/>
  <c r="Y75" i="16"/>
  <c r="W75" i="16" s="1"/>
  <c r="A38" i="20" s="1"/>
  <c r="Y88" i="16"/>
  <c r="W88" i="16" s="1"/>
  <c r="A51" i="20" s="1"/>
  <c r="Y253" i="16"/>
  <c r="W253" i="16" s="1"/>
  <c r="A216" i="20" s="1"/>
  <c r="Y246" i="16"/>
  <c r="W246" i="16" s="1"/>
  <c r="A209" i="20" s="1"/>
  <c r="Y109" i="16"/>
  <c r="W109" i="16" s="1"/>
  <c r="A72" i="20" s="1"/>
  <c r="Y128" i="16"/>
  <c r="W128" i="16" s="1"/>
  <c r="A91" i="20" s="1"/>
  <c r="Y118" i="16"/>
  <c r="W118" i="16" s="1"/>
  <c r="A81" i="20" s="1"/>
  <c r="Y114" i="16"/>
  <c r="W114" i="16" s="1"/>
  <c r="A77" i="20" s="1"/>
  <c r="Y111" i="16"/>
  <c r="W111" i="16" s="1"/>
  <c r="A74" i="20" s="1"/>
  <c r="Y224" i="16"/>
  <c r="W224" i="16" s="1"/>
  <c r="A187" i="20" s="1"/>
  <c r="Y112" i="16"/>
  <c r="W112" i="16" s="1"/>
  <c r="A75" i="20" s="1"/>
  <c r="Y223" i="16"/>
  <c r="W223" i="16" s="1"/>
  <c r="A186" i="20" s="1"/>
  <c r="Y207" i="16"/>
  <c r="W207" i="16" s="1"/>
  <c r="A170" i="20" s="1"/>
  <c r="Y257" i="16"/>
  <c r="W257" i="16" s="1"/>
  <c r="A220" i="20" s="1"/>
  <c r="Y241" i="16"/>
  <c r="W241" i="16" s="1"/>
  <c r="A204" i="20" s="1"/>
  <c r="Y90" i="16"/>
  <c r="W90" i="16" s="1"/>
  <c r="A53" i="20" s="1"/>
  <c r="Y72" i="16"/>
  <c r="W72" i="16" s="1"/>
  <c r="A35" i="20" s="1"/>
  <c r="Y115" i="16"/>
  <c r="W115" i="16" s="1"/>
  <c r="A78" i="20" s="1"/>
  <c r="Y258" i="16"/>
  <c r="W258" i="16" s="1"/>
  <c r="A221" i="20" s="1"/>
  <c r="Y133" i="16"/>
  <c r="W133" i="16" s="1"/>
  <c r="A96" i="20" s="1"/>
  <c r="Y179" i="16"/>
  <c r="W179" i="16" s="1"/>
  <c r="A142" i="20" s="1"/>
  <c r="Y134" i="16"/>
  <c r="W134" i="16" s="1"/>
  <c r="A97" i="20" s="1"/>
  <c r="Y43" i="16"/>
  <c r="W43" i="16" s="1"/>
  <c r="A6" i="20" s="1"/>
  <c r="Y184" i="16"/>
  <c r="W184" i="16" s="1"/>
  <c r="A147" i="20" s="1"/>
  <c r="Y276" i="16"/>
  <c r="W276" i="16" s="1"/>
  <c r="A239" i="20" s="1"/>
  <c r="Y104" i="16"/>
  <c r="W104" i="16" s="1"/>
  <c r="A67" i="20" s="1"/>
  <c r="Y122" i="16"/>
  <c r="W122" i="16" s="1"/>
  <c r="A85" i="20" s="1"/>
  <c r="Y199" i="16"/>
  <c r="W199" i="16" s="1"/>
  <c r="A162" i="20" s="1"/>
  <c r="Y68" i="16"/>
  <c r="W68" i="16" s="1"/>
  <c r="A31" i="20" s="1"/>
  <c r="Y71" i="16"/>
  <c r="W71" i="16" s="1"/>
  <c r="A34" i="20" s="1"/>
  <c r="Y138" i="16"/>
  <c r="W138" i="16" s="1"/>
  <c r="A101" i="20" s="1"/>
  <c r="Y131" i="16"/>
  <c r="W131" i="16" s="1"/>
  <c r="A94" i="20" s="1"/>
  <c r="Y106" i="16"/>
  <c r="W106" i="16" s="1"/>
  <c r="A69" i="20" s="1"/>
  <c r="Y45" i="16"/>
  <c r="W45" i="16" s="1"/>
  <c r="A8" i="20" s="1"/>
  <c r="Y116" i="16"/>
  <c r="W116" i="16" s="1"/>
  <c r="A79" i="20" s="1"/>
  <c r="Y175" i="16"/>
  <c r="W175" i="16" s="1"/>
  <c r="A138" i="20" s="1"/>
  <c r="Y103" i="16"/>
  <c r="W103" i="16" s="1"/>
  <c r="A66" i="20" s="1"/>
  <c r="Y79" i="16"/>
  <c r="W79" i="16" s="1"/>
  <c r="A42" i="20" s="1"/>
  <c r="Y157" i="16"/>
  <c r="W157" i="16" s="1"/>
  <c r="A120" i="20" s="1"/>
  <c r="Y242" i="16"/>
  <c r="W242" i="16" s="1"/>
  <c r="A205" i="20" s="1"/>
  <c r="Y73" i="16"/>
  <c r="W73" i="16" s="1"/>
  <c r="A36" i="20" s="1"/>
  <c r="Y222" i="16"/>
  <c r="W222" i="16" s="1"/>
  <c r="A185" i="20" s="1"/>
  <c r="Y113" i="16"/>
  <c r="W113" i="16" s="1"/>
  <c r="A76" i="20" s="1"/>
  <c r="Y92" i="16"/>
  <c r="W92" i="16" s="1"/>
  <c r="A55" i="20" s="1"/>
  <c r="Y201" i="16"/>
  <c r="W201" i="16" s="1"/>
  <c r="A164" i="20" s="1"/>
  <c r="Y283" i="16"/>
  <c r="W283" i="16" s="1"/>
  <c r="A246" i="20" s="1"/>
  <c r="Y271" i="16"/>
  <c r="W271" i="16" s="1"/>
  <c r="A234" i="20" s="1"/>
  <c r="Y186" i="16"/>
  <c r="W186" i="16" s="1"/>
  <c r="A149" i="20" s="1"/>
  <c r="Y91" i="16"/>
  <c r="W91" i="16" s="1"/>
  <c r="A54" i="20" s="1"/>
  <c r="Y59" i="16"/>
  <c r="W59" i="16" s="1"/>
  <c r="A22" i="20" s="1"/>
  <c r="Y159" i="16"/>
  <c r="W159" i="16" s="1"/>
  <c r="A122" i="20" s="1"/>
  <c r="Y174" i="16"/>
  <c r="W174" i="16" s="1"/>
  <c r="A137" i="20" s="1"/>
  <c r="Y171" i="16"/>
  <c r="W171" i="16" s="1"/>
  <c r="A134" i="20" s="1"/>
  <c r="Y239" i="16"/>
  <c r="W239" i="16" s="1"/>
  <c r="A202" i="20" s="1"/>
  <c r="Y260" i="16"/>
  <c r="W260" i="16" s="1"/>
  <c r="A223" i="20" s="1"/>
  <c r="Y55" i="16"/>
  <c r="W55" i="16" s="1"/>
  <c r="A18" i="20" s="1"/>
  <c r="Y180" i="16"/>
  <c r="W180" i="16" s="1"/>
  <c r="A143" i="20" s="1"/>
  <c r="Y182" i="16"/>
  <c r="W182" i="16" s="1"/>
  <c r="A145" i="20" s="1"/>
  <c r="Y204" i="16"/>
  <c r="W204" i="16" s="1"/>
  <c r="A167" i="20" s="1"/>
  <c r="Y62" i="16"/>
  <c r="W62" i="16" s="1"/>
  <c r="A25" i="20" s="1"/>
  <c r="Y279" i="16"/>
  <c r="W279" i="16" s="1"/>
  <c r="A242" i="20" s="1"/>
  <c r="Y227" i="16"/>
  <c r="W227" i="16" s="1"/>
  <c r="A190" i="20" s="1"/>
  <c r="Y263" i="16"/>
  <c r="W263" i="16" s="1"/>
  <c r="A226" i="20" s="1"/>
  <c r="Y286" i="16"/>
  <c r="W286" i="16" s="1"/>
  <c r="A249" i="20" s="1"/>
  <c r="Y85" i="16"/>
  <c r="W85" i="16" s="1"/>
  <c r="A48" i="20" s="1"/>
  <c r="Y181" i="16"/>
  <c r="W181" i="16" s="1"/>
  <c r="A144" i="20" s="1"/>
  <c r="Y254" i="16"/>
  <c r="W254" i="16" s="1"/>
  <c r="A217" i="20" s="1"/>
  <c r="Y177" i="16"/>
  <c r="W177" i="16" s="1"/>
  <c r="A140" i="20" s="1"/>
  <c r="Y74" i="16"/>
  <c r="W74" i="16" s="1"/>
  <c r="A37" i="20" s="1"/>
  <c r="Y178" i="16"/>
  <c r="W178" i="16" s="1"/>
  <c r="A141" i="20" s="1"/>
  <c r="Y126" i="16"/>
  <c r="W126" i="16" s="1"/>
  <c r="A89" i="20" s="1"/>
  <c r="Y221" i="16"/>
  <c r="W221" i="16" s="1"/>
  <c r="A184" i="20" s="1"/>
  <c r="Y235" i="16"/>
  <c r="W235" i="16" s="1"/>
  <c r="A198" i="20" s="1"/>
  <c r="Y272" i="16"/>
  <c r="W272" i="16" s="1"/>
  <c r="A235" i="20" s="1"/>
  <c r="Y141" i="16"/>
  <c r="W141" i="16" s="1"/>
  <c r="A104" i="20" s="1"/>
  <c r="Y130" i="16"/>
  <c r="W130" i="16" s="1"/>
  <c r="A93" i="20" s="1"/>
  <c r="Y102" i="16"/>
  <c r="W102" i="16" s="1"/>
  <c r="A65" i="20" s="1"/>
  <c r="Y89" i="16"/>
  <c r="W89" i="16" s="1"/>
  <c r="A52" i="20" s="1"/>
  <c r="Y267" i="16"/>
  <c r="W267" i="16" s="1"/>
  <c r="A230" i="20" s="1"/>
  <c r="Y183" i="16"/>
  <c r="W183" i="16" s="1"/>
  <c r="A146" i="20" s="1"/>
  <c r="Y42" i="16"/>
  <c r="W42" i="16" s="1"/>
  <c r="A5" i="20" s="1"/>
  <c r="Y144" i="16"/>
  <c r="W144" i="16" s="1"/>
  <c r="A107" i="20" s="1"/>
  <c r="Y127" i="16"/>
  <c r="W127" i="16" s="1"/>
  <c r="A90" i="20" s="1"/>
  <c r="Y64" i="16"/>
  <c r="W64" i="16" s="1"/>
  <c r="A27" i="20" s="1"/>
  <c r="Y56" i="16"/>
  <c r="W56" i="16" s="1"/>
  <c r="A19" i="20" s="1"/>
  <c r="Y139" i="16"/>
  <c r="W139" i="16" s="1"/>
  <c r="A102" i="20" s="1"/>
  <c r="Y280" i="16"/>
  <c r="W280" i="16" s="1"/>
  <c r="A243" i="20" s="1"/>
  <c r="Y190" i="16"/>
  <c r="W190" i="16" s="1"/>
  <c r="A153" i="20" s="1"/>
  <c r="Y275" i="16"/>
  <c r="W275" i="16" s="1"/>
  <c r="A238" i="20" s="1"/>
  <c r="Y105" i="16"/>
  <c r="W105" i="16" s="1"/>
  <c r="A68" i="20" s="1"/>
  <c r="Y117" i="16"/>
  <c r="W117" i="16" s="1"/>
  <c r="A80" i="20" s="1"/>
  <c r="Y82" i="16"/>
  <c r="W82" i="16" s="1"/>
  <c r="A45" i="20" s="1"/>
  <c r="Y81" i="16"/>
  <c r="W81" i="16" s="1"/>
  <c r="A44" i="20" s="1"/>
  <c r="Y86" i="16"/>
  <c r="W86" i="16" s="1"/>
  <c r="A49" i="20" s="1"/>
  <c r="Y58" i="16"/>
  <c r="W58" i="16" s="1"/>
  <c r="A21" i="20" s="1"/>
  <c r="Y40" i="16"/>
  <c r="W40" i="16" s="1"/>
  <c r="A3" i="20" s="1"/>
  <c r="Y234" i="16"/>
  <c r="W234" i="16" s="1"/>
  <c r="A197" i="20" s="1"/>
  <c r="Y54" i="16"/>
  <c r="W54" i="16" s="1"/>
  <c r="A17" i="20" s="1"/>
  <c r="Y78" i="16"/>
  <c r="W78" i="16" s="1"/>
  <c r="A41" i="20" s="1"/>
  <c r="Y66" i="16"/>
  <c r="W66" i="16" s="1"/>
  <c r="A29" i="20" s="1"/>
  <c r="Y47" i="16"/>
  <c r="W47" i="16" s="1"/>
  <c r="A10" i="20" s="1"/>
  <c r="Y132" i="16"/>
  <c r="W132" i="16" s="1"/>
  <c r="A95" i="20" s="1"/>
  <c r="Y164" i="16"/>
  <c r="W164" i="16" s="1"/>
  <c r="A127" i="20" s="1"/>
  <c r="Y97" i="16"/>
  <c r="W97" i="16" s="1"/>
  <c r="A60" i="20" s="1"/>
  <c r="Y162" i="16"/>
  <c r="W162" i="16" s="1"/>
  <c r="A125" i="20" s="1"/>
  <c r="Y261" i="16"/>
  <c r="W261" i="16" s="1"/>
  <c r="A224" i="20" s="1"/>
  <c r="Y226" i="16"/>
  <c r="W226" i="16" s="1"/>
  <c r="A189" i="20" s="1"/>
  <c r="Y153" i="16"/>
  <c r="W153" i="16" s="1"/>
  <c r="A116" i="20" s="1"/>
  <c r="Y245" i="16"/>
  <c r="W245" i="16" s="1"/>
  <c r="A208" i="20" s="1"/>
  <c r="Y166" i="16"/>
  <c r="W166" i="16" s="1"/>
  <c r="A129" i="20" s="1"/>
  <c r="Y156" i="16"/>
  <c r="W156" i="16" s="1"/>
  <c r="A119" i="20" s="1"/>
  <c r="Y170" i="16"/>
  <c r="W170" i="16" s="1"/>
  <c r="A133" i="20" s="1"/>
  <c r="Y120" i="16"/>
  <c r="W120" i="16" s="1"/>
  <c r="A83" i="20" s="1"/>
  <c r="Y161" i="16"/>
  <c r="W161" i="16" s="1"/>
  <c r="A124" i="20" s="1"/>
  <c r="Y172" i="16"/>
  <c r="W172" i="16" s="1"/>
  <c r="A135" i="20" s="1"/>
  <c r="Y63" i="16"/>
  <c r="W63" i="16" s="1"/>
  <c r="A26" i="20" s="1"/>
  <c r="Y278" i="16"/>
  <c r="W278" i="16" s="1"/>
  <c r="A241" i="20" s="1"/>
  <c r="Y99" i="16"/>
  <c r="W99" i="16" s="1"/>
  <c r="A62" i="20" s="1"/>
  <c r="Y192" i="16"/>
  <c r="W192" i="16" s="1"/>
  <c r="A155" i="20" s="1"/>
  <c r="Y100" i="16"/>
  <c r="W100" i="16" s="1"/>
  <c r="A63" i="20" s="1"/>
  <c r="Y259" i="16"/>
  <c r="W259" i="16" s="1"/>
  <c r="A222" i="20" s="1"/>
  <c r="Y189" i="16"/>
  <c r="W189" i="16" s="1"/>
  <c r="A152" i="20" s="1"/>
  <c r="Y57" i="16"/>
  <c r="W57" i="16" s="1"/>
  <c r="A20" i="20" s="1"/>
  <c r="Y60" i="16"/>
  <c r="W60" i="16" s="1"/>
  <c r="A23" i="20" s="1"/>
  <c r="Y237" i="16"/>
  <c r="W237" i="16" s="1"/>
  <c r="A200" i="20" s="1"/>
  <c r="Y65" i="16"/>
  <c r="W65" i="16" s="1"/>
  <c r="A28" i="20" s="1"/>
  <c r="Y148" i="16"/>
  <c r="W148" i="16" s="1"/>
  <c r="A111" i="20" s="1"/>
  <c r="Y249" i="16"/>
  <c r="W249" i="16" s="1"/>
  <c r="A212" i="20" s="1"/>
  <c r="Y233" i="16"/>
  <c r="W233" i="16" s="1"/>
  <c r="A196" i="20" s="1"/>
  <c r="Y197" i="16"/>
  <c r="W197" i="16" s="1"/>
  <c r="A160" i="20" s="1"/>
  <c r="Y48" i="16"/>
  <c r="W48" i="16" s="1"/>
  <c r="A11" i="20" s="1"/>
  <c r="Y165" i="16"/>
  <c r="W165" i="16" s="1"/>
  <c r="A128" i="20" s="1"/>
  <c r="Y217" i="16"/>
  <c r="W217" i="16" s="1"/>
  <c r="A180" i="20" s="1"/>
  <c r="Y108" i="16"/>
  <c r="W108" i="16" s="1"/>
  <c r="A71" i="20" s="1"/>
  <c r="Y265" i="16"/>
  <c r="W265" i="16" s="1"/>
  <c r="A228" i="20" s="1"/>
  <c r="Y206" i="16"/>
  <c r="W206" i="16" s="1"/>
  <c r="A169" i="20" s="1"/>
  <c r="Y203" i="16"/>
  <c r="W203" i="16" s="1"/>
  <c r="A166" i="20" s="1"/>
  <c r="Y61" i="16"/>
  <c r="W61" i="16" s="1"/>
  <c r="A24" i="20" s="1"/>
  <c r="Y215" i="16"/>
  <c r="W215" i="16" s="1"/>
  <c r="A178" i="20" s="1"/>
  <c r="Y152" i="16"/>
  <c r="W152" i="16" s="1"/>
  <c r="A115" i="20" s="1"/>
  <c r="Y247" i="16"/>
  <c r="W247" i="16" s="1"/>
  <c r="A210" i="20" s="1"/>
  <c r="Y202" i="16"/>
  <c r="W202" i="16" s="1"/>
  <c r="A165" i="20" s="1"/>
  <c r="Y136" i="16"/>
  <c r="W136" i="16" s="1"/>
  <c r="A99" i="20" s="1"/>
  <c r="Y248" i="16"/>
  <c r="W248" i="16" s="1"/>
  <c r="A211" i="20" s="1"/>
  <c r="Y216" i="16"/>
  <c r="W216" i="16" s="1"/>
  <c r="A179" i="20" s="1"/>
  <c r="Y101" i="16"/>
  <c r="W101" i="16" s="1"/>
  <c r="A64" i="20" s="1"/>
  <c r="Y147" i="16"/>
  <c r="W147" i="16" s="1"/>
  <c r="A110" i="20" s="1"/>
  <c r="Y167" i="16"/>
  <c r="W167" i="16" s="1"/>
  <c r="A130" i="20" s="1"/>
  <c r="Y262" i="16"/>
  <c r="W262" i="16" s="1"/>
  <c r="A225" i="20" s="1"/>
  <c r="Y205" i="16"/>
  <c r="W205" i="16" s="1"/>
  <c r="A168" i="20" s="1"/>
  <c r="Y39" i="16"/>
  <c r="W39" i="16" s="1"/>
  <c r="A2" i="20" s="1"/>
  <c r="Y229" i="16"/>
  <c r="W229" i="16" s="1"/>
  <c r="A192" i="20" s="1"/>
  <c r="Y282" i="16"/>
  <c r="W282" i="16" s="1"/>
  <c r="A245" i="20" s="1"/>
  <c r="Y69" i="16"/>
  <c r="W69" i="16" s="1"/>
  <c r="A32" i="20" s="1"/>
  <c r="Y149" i="16"/>
  <c r="W149" i="16" s="1"/>
  <c r="A112" i="20" s="1"/>
  <c r="Y96" i="16"/>
  <c r="W96" i="16" s="1"/>
  <c r="A59" i="20" s="1"/>
  <c r="Y287" i="16"/>
  <c r="W287" i="16" s="1"/>
  <c r="A250" i="20" s="1"/>
  <c r="Y135" i="16"/>
  <c r="W135" i="16" s="1"/>
  <c r="A98" i="20" s="1"/>
  <c r="Y210" i="16"/>
  <c r="W210" i="16" s="1"/>
  <c r="A173" i="20" s="1"/>
  <c r="Y251" i="16"/>
  <c r="W251" i="16" s="1"/>
  <c r="A214" i="20" s="1"/>
  <c r="Y252" i="16"/>
  <c r="W252" i="16" s="1"/>
  <c r="A215" i="20" s="1"/>
  <c r="Y264" i="16"/>
  <c r="W264" i="16" s="1"/>
  <c r="A227" i="20" s="1"/>
  <c r="Y194" i="16"/>
  <c r="W194" i="16" s="1"/>
  <c r="A157" i="20" s="1"/>
  <c r="Y158" i="16"/>
  <c r="W158" i="16" s="1"/>
  <c r="A121" i="20" s="1"/>
  <c r="Y150" i="16"/>
  <c r="W150" i="16" s="1"/>
  <c r="A113" i="20" s="1"/>
  <c r="Y46" i="16"/>
  <c r="W46" i="16" s="1"/>
  <c r="A9" i="20" s="1"/>
  <c r="Y124" i="16"/>
  <c r="W124" i="16" s="1"/>
  <c r="A87" i="20" s="1"/>
  <c r="Y123" i="16"/>
  <c r="W123" i="16" s="1"/>
  <c r="A86" i="20" s="1"/>
  <c r="Y76" i="16"/>
  <c r="W76" i="16" s="1"/>
  <c r="A39" i="20" s="1"/>
  <c r="Y230" i="16"/>
  <c r="W230" i="16" s="1"/>
  <c r="A193" i="20" s="1"/>
  <c r="Y154" i="16"/>
  <c r="W154" i="16" s="1"/>
  <c r="A117" i="20" s="1"/>
  <c r="Y53" i="16"/>
  <c r="W53" i="16" s="1"/>
  <c r="A16" i="20" s="1"/>
  <c r="Y284" i="16"/>
  <c r="W284" i="16" s="1"/>
  <c r="A247" i="20" s="1"/>
  <c r="Y269" i="16"/>
  <c r="W269" i="16" s="1"/>
  <c r="A232" i="20" s="1"/>
  <c r="Y119" i="16"/>
  <c r="W119" i="16" s="1"/>
  <c r="A82" i="20" s="1"/>
  <c r="Y84" i="16"/>
  <c r="W84" i="16" s="1"/>
  <c r="A47" i="20" s="1"/>
  <c r="Y155" i="16"/>
  <c r="W155" i="16" s="1"/>
  <c r="A118" i="20" s="1"/>
  <c r="Y121" i="16"/>
  <c r="W121" i="16" s="1"/>
  <c r="A84" i="20" s="1"/>
  <c r="Y110" i="16"/>
  <c r="W110" i="16" s="1"/>
  <c r="A73" i="20" s="1"/>
  <c r="Y160" i="16"/>
  <c r="W160" i="16" s="1"/>
  <c r="A123" i="20" s="1"/>
  <c r="Y188" i="16"/>
  <c r="W188" i="16" s="1"/>
  <c r="A151" i="20" s="1"/>
  <c r="Y151" i="16"/>
  <c r="W151" i="16" s="1"/>
  <c r="A114" i="20" s="1"/>
  <c r="Y173" i="16"/>
  <c r="W173" i="16" s="1"/>
  <c r="A136" i="20" s="1"/>
  <c r="Y70" i="16"/>
  <c r="W70" i="16" s="1"/>
  <c r="A33" i="20" s="1"/>
  <c r="Y185" i="16"/>
  <c r="W185" i="16" s="1"/>
  <c r="A148" i="20" s="1"/>
  <c r="Y212" i="16"/>
  <c r="W212" i="16" s="1"/>
  <c r="A175" i="20" s="1"/>
  <c r="Y288" i="16"/>
  <c r="W288" i="16" s="1"/>
  <c r="A251" i="20" s="1"/>
  <c r="Y94" i="16"/>
  <c r="W94" i="16" s="1"/>
  <c r="A57" i="20" s="1"/>
  <c r="Y143" i="16"/>
  <c r="W143" i="16" s="1"/>
  <c r="A106" i="20" s="1"/>
  <c r="Y191" i="16"/>
  <c r="W191" i="16" s="1"/>
  <c r="A154" i="20" s="1"/>
  <c r="Y209" i="16"/>
  <c r="W209" i="16" s="1"/>
  <c r="A172" i="20" s="1"/>
  <c r="Y142" i="16"/>
  <c r="W142" i="16" s="1"/>
  <c r="A105" i="20" s="1"/>
  <c r="Y270" i="16"/>
  <c r="W270" i="16" s="1"/>
  <c r="A233" i="20" s="1"/>
  <c r="Y200" i="16"/>
  <c r="W200" i="16" s="1"/>
  <c r="A163" i="20" s="1"/>
  <c r="Y169" i="16"/>
  <c r="W169" i="16" s="1"/>
  <c r="A132" i="20" s="1"/>
  <c r="Y77" i="16"/>
  <c r="W77" i="16" s="1"/>
  <c r="A40" i="20" s="1"/>
  <c r="Y196" i="16"/>
  <c r="W196" i="16" s="1"/>
  <c r="A159" i="20" s="1"/>
  <c r="Y225" i="16"/>
  <c r="W225" i="16" s="1"/>
  <c r="A188" i="20" s="1"/>
  <c r="Y218" i="16"/>
  <c r="W218" i="16" s="1"/>
  <c r="A181" i="20" s="1"/>
  <c r="Y193" i="16"/>
  <c r="W193" i="16" s="1"/>
  <c r="A156" i="20" s="1"/>
  <c r="Y214" i="16"/>
  <c r="W214" i="16" s="1"/>
  <c r="A177" i="20" s="1"/>
  <c r="Y50" i="16"/>
  <c r="W50" i="16" s="1"/>
  <c r="A13" i="20" s="1"/>
  <c r="Y52" i="16"/>
  <c r="W52" i="16" s="1"/>
  <c r="A15" i="20" s="1"/>
  <c r="Y232" i="16"/>
  <c r="W232" i="16" s="1"/>
  <c r="A195" i="20" s="1"/>
  <c r="Y87" i="16"/>
  <c r="W87" i="16" s="1"/>
  <c r="A50" i="20" s="1"/>
  <c r="Y41" i="16"/>
  <c r="W41" i="16" s="1"/>
  <c r="A4" i="20" s="1"/>
  <c r="Y273" i="16"/>
  <c r="W273" i="16" s="1"/>
  <c r="A236" i="20" s="1"/>
  <c r="Y146" i="16"/>
  <c r="W146" i="16" s="1"/>
  <c r="A109" i="20" s="1"/>
  <c r="Y244" i="16"/>
  <c r="W244" i="16" s="1"/>
  <c r="A207" i="20" s="1"/>
  <c r="Y80" i="16"/>
  <c r="W80" i="16" s="1"/>
  <c r="A43" i="20" s="1"/>
  <c r="Y266" i="16"/>
  <c r="W266" i="16" s="1"/>
  <c r="A229" i="20" s="1"/>
  <c r="Y250" i="16"/>
  <c r="W250" i="16" s="1"/>
  <c r="A213" i="20" s="1"/>
  <c r="Y231" i="16"/>
  <c r="W231" i="16" s="1"/>
  <c r="A194" i="20" s="1"/>
  <c r="Y129" i="16"/>
  <c r="W129" i="16" s="1"/>
  <c r="A92" i="20" s="1"/>
  <c r="Y240" i="16"/>
  <c r="W240" i="16" s="1"/>
  <c r="A203" i="20" s="1"/>
  <c r="Y256" i="16"/>
  <c r="W256" i="16" s="1"/>
  <c r="A219" i="20" s="1"/>
  <c r="Y51" i="16"/>
  <c r="W51" i="16" s="1"/>
  <c r="A14" i="20" s="1"/>
  <c r="Y243" i="16"/>
  <c r="W243" i="16" s="1"/>
  <c r="A206" i="20" s="1"/>
  <c r="Y145" i="16"/>
  <c r="W145" i="16" s="1"/>
  <c r="A108" i="20" s="1"/>
  <c r="Y107" i="16"/>
  <c r="W107" i="16" s="1"/>
  <c r="A70" i="20" s="1"/>
  <c r="Y219" i="16"/>
  <c r="W219" i="16" s="1"/>
  <c r="A182" i="20" s="1"/>
  <c r="Y255" i="16"/>
  <c r="W255" i="16" s="1"/>
  <c r="A218" i="20" s="1"/>
  <c r="Y277" i="16"/>
  <c r="W277" i="16" s="1"/>
  <c r="A240" i="20" s="1"/>
  <c r="Y187" i="16"/>
  <c r="W187" i="16" s="1"/>
  <c r="A150" i="20" s="1"/>
  <c r="Y208" i="16"/>
  <c r="W208" i="16" s="1"/>
  <c r="A171" i="20" s="1"/>
  <c r="Y140" i="16"/>
  <c r="W140" i="16" s="1"/>
  <c r="A103" i="20" s="1"/>
  <c r="Y125" i="16"/>
  <c r="W125" i="16" s="1"/>
  <c r="A88" i="20" s="1"/>
  <c r="Y281" i="16"/>
  <c r="W281" i="16" s="1"/>
  <c r="A244" i="20" s="1"/>
  <c r="Y195" i="16"/>
  <c r="W195" i="16" s="1"/>
  <c r="A158" i="20" s="1"/>
  <c r="Y228" i="16"/>
  <c r="W228" i="16" s="1"/>
  <c r="A191" i="20" s="1"/>
  <c r="Y211" i="16"/>
  <c r="W211" i="16" s="1"/>
  <c r="A174" i="20" s="1"/>
  <c r="Y236" i="16"/>
  <c r="W236" i="16" s="1"/>
  <c r="A199" i="20" s="1"/>
  <c r="Y274" i="16"/>
  <c r="W274" i="16" s="1"/>
  <c r="A237" i="20" s="1"/>
  <c r="Y176" i="16"/>
  <c r="W176" i="16" s="1"/>
  <c r="A139" i="20" s="1"/>
  <c r="Y198" i="16"/>
  <c r="W198" i="16" s="1"/>
  <c r="A161" i="20" s="1"/>
  <c r="Y93" i="16"/>
  <c r="W93" i="16" s="1"/>
  <c r="A56" i="20" s="1"/>
  <c r="M132" i="29"/>
  <c r="L132" i="29"/>
  <c r="K132" i="29"/>
  <c r="G132" i="29"/>
  <c r="F132" i="29"/>
  <c r="H132" i="29"/>
  <c r="N132" i="29" s="1"/>
  <c r="C132" i="29"/>
  <c r="P288" i="29"/>
  <c r="S288" i="29" s="1"/>
  <c r="J288" i="29" s="1"/>
  <c r="L288" i="29" s="1"/>
  <c r="N288" i="29"/>
  <c r="I132" i="29"/>
  <c r="J132" i="29"/>
  <c r="G36" i="29"/>
  <c r="P192" i="29"/>
  <c r="S192" i="29" s="1"/>
  <c r="J192" i="29" s="1"/>
  <c r="L192" i="29" s="1"/>
  <c r="H36" i="29"/>
  <c r="N36" i="29" s="1"/>
  <c r="C36" i="29"/>
  <c r="L36" i="29"/>
  <c r="I36" i="29"/>
  <c r="M36" i="29"/>
  <c r="K36" i="29"/>
  <c r="F36" i="29"/>
  <c r="N192" i="29"/>
  <c r="J36" i="29"/>
  <c r="F47" i="29"/>
  <c r="C47" i="29"/>
  <c r="J47" i="29"/>
  <c r="G47" i="29"/>
  <c r="P203" i="29"/>
  <c r="S203" i="29" s="1"/>
  <c r="J203" i="29" s="1"/>
  <c r="L203" i="29" s="1"/>
  <c r="N203" i="29"/>
  <c r="H47" i="29"/>
  <c r="N47" i="29" s="1"/>
  <c r="M47" i="29"/>
  <c r="I47" i="29"/>
  <c r="L47" i="29"/>
  <c r="K47" i="29"/>
  <c r="AQ181" i="19"/>
  <c r="B189" i="26"/>
  <c r="P314" i="29"/>
  <c r="S314" i="29" s="1"/>
  <c r="J314" i="29" s="1"/>
  <c r="L314" i="29" s="1"/>
  <c r="N314" i="29"/>
  <c r="M158" i="29"/>
  <c r="K158" i="29"/>
  <c r="L158" i="29"/>
  <c r="H158" i="29"/>
  <c r="N158" i="29" s="1"/>
  <c r="C158" i="29"/>
  <c r="F158" i="29"/>
  <c r="J158" i="29"/>
  <c r="G158" i="29"/>
  <c r="I158" i="29"/>
  <c r="N198" i="29"/>
  <c r="I42" i="29"/>
  <c r="M42" i="29"/>
  <c r="K42" i="29"/>
  <c r="G42" i="29"/>
  <c r="L42" i="29"/>
  <c r="H42" i="29"/>
  <c r="N42" i="29" s="1"/>
  <c r="J42" i="29"/>
  <c r="P198" i="29"/>
  <c r="S198" i="29" s="1"/>
  <c r="J198" i="29" s="1"/>
  <c r="L198" i="29" s="1"/>
  <c r="F42" i="29"/>
  <c r="C42" i="29"/>
  <c r="K127" i="29"/>
  <c r="I127" i="29"/>
  <c r="N283" i="29"/>
  <c r="J127" i="29"/>
  <c r="H127" i="29"/>
  <c r="N127" i="29" s="1"/>
  <c r="F127" i="29"/>
  <c r="P283" i="29"/>
  <c r="S283" i="29" s="1"/>
  <c r="J283" i="29" s="1"/>
  <c r="L283" i="29" s="1"/>
  <c r="G127" i="29"/>
  <c r="C127" i="29"/>
  <c r="L127" i="29"/>
  <c r="M127" i="29"/>
  <c r="P303" i="31"/>
  <c r="S303" i="31" s="1"/>
  <c r="J303" i="31" s="1"/>
  <c r="L303" i="31" s="1"/>
  <c r="F147" i="31"/>
  <c r="I147" i="31"/>
  <c r="L147" i="31"/>
  <c r="M147" i="31"/>
  <c r="K147" i="31"/>
  <c r="G147" i="31"/>
  <c r="A147" i="31"/>
  <c r="A303" i="31"/>
  <c r="H147" i="31"/>
  <c r="N147" i="31" s="1"/>
  <c r="N303" i="31"/>
  <c r="J147" i="31"/>
  <c r="C147" i="31"/>
  <c r="I181" i="1"/>
  <c r="M181" i="1"/>
  <c r="N337" i="1"/>
  <c r="C181" i="1"/>
  <c r="H181" i="1"/>
  <c r="N181" i="1" s="1"/>
  <c r="L181" i="1"/>
  <c r="J181" i="1"/>
  <c r="K181" i="1"/>
  <c r="P337" i="1"/>
  <c r="S337" i="1" s="1"/>
  <c r="J337" i="1" s="1"/>
  <c r="L337" i="1" s="1"/>
  <c r="F181" i="1"/>
  <c r="G181" i="1"/>
  <c r="K128" i="30"/>
  <c r="I128" i="30"/>
  <c r="H128" i="30"/>
  <c r="N128" i="30" s="1"/>
  <c r="M128" i="30"/>
  <c r="L128" i="30"/>
  <c r="P284" i="30"/>
  <c r="S284" i="30" s="1"/>
  <c r="J284" i="30" s="1"/>
  <c r="L284" i="30" s="1"/>
  <c r="G128" i="30"/>
  <c r="A128" i="30"/>
  <c r="N284" i="30"/>
  <c r="A284" i="30"/>
  <c r="J128" i="30"/>
  <c r="C128" i="30"/>
  <c r="F128" i="30"/>
  <c r="H103" i="1"/>
  <c r="N103" i="1" s="1"/>
  <c r="J103" i="1"/>
  <c r="K103" i="1"/>
  <c r="N259" i="1"/>
  <c r="C103" i="1"/>
  <c r="I103" i="1"/>
  <c r="P259" i="1"/>
  <c r="S259" i="1" s="1"/>
  <c r="J259" i="1" s="1"/>
  <c r="L259" i="1" s="1"/>
  <c r="F103" i="1"/>
  <c r="M103" i="1"/>
  <c r="L103" i="1"/>
  <c r="G103" i="1"/>
  <c r="H37" i="30"/>
  <c r="N37" i="30" s="1"/>
  <c r="G37" i="30"/>
  <c r="C37" i="30"/>
  <c r="A193" i="30"/>
  <c r="I37" i="30"/>
  <c r="F37" i="30"/>
  <c r="M37" i="30"/>
  <c r="N193" i="30"/>
  <c r="L37" i="30"/>
  <c r="A37" i="30"/>
  <c r="J37" i="30"/>
  <c r="P193" i="30"/>
  <c r="S193" i="30" s="1"/>
  <c r="J193" i="30" s="1"/>
  <c r="L193" i="30" s="1"/>
  <c r="K37" i="30"/>
  <c r="M35" i="1"/>
  <c r="N191" i="1"/>
  <c r="J35" i="1"/>
  <c r="I13" i="26" s="1"/>
  <c r="E13" i="26" s="1"/>
  <c r="K35" i="1"/>
  <c r="C35" i="1"/>
  <c r="L35" i="1"/>
  <c r="P191" i="1"/>
  <c r="S191" i="1" s="1"/>
  <c r="J191" i="1" s="1"/>
  <c r="L191" i="1" s="1"/>
  <c r="F35" i="1"/>
  <c r="G35" i="1"/>
  <c r="H35" i="1"/>
  <c r="N35" i="1" s="1"/>
  <c r="I35" i="1"/>
  <c r="M93" i="31"/>
  <c r="J93" i="31"/>
  <c r="G93" i="31"/>
  <c r="L93" i="31"/>
  <c r="N249" i="31"/>
  <c r="A249" i="31"/>
  <c r="P249" i="31"/>
  <c r="S249" i="31" s="1"/>
  <c r="J249" i="31" s="1"/>
  <c r="L249" i="31" s="1"/>
  <c r="A93" i="31"/>
  <c r="H93" i="31"/>
  <c r="N93" i="31" s="1"/>
  <c r="K93" i="31"/>
  <c r="I93" i="31"/>
  <c r="F93" i="31"/>
  <c r="C93" i="31"/>
  <c r="C44" i="30"/>
  <c r="I44" i="30"/>
  <c r="A200" i="30"/>
  <c r="J44" i="30"/>
  <c r="F44" i="30"/>
  <c r="L44" i="30"/>
  <c r="G44" i="30"/>
  <c r="M44" i="30"/>
  <c r="H44" i="30"/>
  <c r="N44" i="30" s="1"/>
  <c r="A44" i="30"/>
  <c r="K44" i="30"/>
  <c r="P200" i="30"/>
  <c r="S200" i="30" s="1"/>
  <c r="J200" i="30" s="1"/>
  <c r="L200" i="30" s="1"/>
  <c r="N200" i="30"/>
  <c r="C73" i="30"/>
  <c r="L73" i="30"/>
  <c r="K73" i="30"/>
  <c r="P229" i="30"/>
  <c r="S229" i="30" s="1"/>
  <c r="J229" i="30" s="1"/>
  <c r="L229" i="30" s="1"/>
  <c r="J73" i="30"/>
  <c r="M73" i="30"/>
  <c r="H73" i="30"/>
  <c r="N73" i="30" s="1"/>
  <c r="A229" i="30"/>
  <c r="A73" i="30"/>
  <c r="F73" i="30"/>
  <c r="N229" i="30"/>
  <c r="I73" i="30"/>
  <c r="G73" i="30"/>
  <c r="G17" i="38"/>
  <c r="C17" i="38"/>
  <c r="F17" i="38"/>
  <c r="A172" i="38"/>
  <c r="F172" i="38" s="1"/>
  <c r="E17" i="38"/>
  <c r="B17" i="38"/>
  <c r="D17" i="38"/>
  <c r="H17" i="38" s="1"/>
  <c r="A18" i="38"/>
  <c r="J97" i="1"/>
  <c r="L97" i="1"/>
  <c r="M97" i="1"/>
  <c r="N253" i="1"/>
  <c r="I97" i="1"/>
  <c r="G97" i="1"/>
  <c r="P253" i="1"/>
  <c r="S253" i="1" s="1"/>
  <c r="J253" i="1" s="1"/>
  <c r="L253" i="1" s="1"/>
  <c r="H97" i="1"/>
  <c r="N97" i="1" s="1"/>
  <c r="F97" i="1"/>
  <c r="K97" i="1"/>
  <c r="C97" i="1"/>
  <c r="N193" i="31"/>
  <c r="F37" i="31"/>
  <c r="P193" i="31"/>
  <c r="S193" i="31" s="1"/>
  <c r="J193" i="31" s="1"/>
  <c r="L193" i="31" s="1"/>
  <c r="C37" i="31"/>
  <c r="I37" i="31"/>
  <c r="A37" i="31"/>
  <c r="H37" i="31"/>
  <c r="N37" i="31" s="1"/>
  <c r="L37" i="31"/>
  <c r="K37" i="31"/>
  <c r="M37" i="31"/>
  <c r="A193" i="31"/>
  <c r="G37" i="31"/>
  <c r="J37" i="31"/>
  <c r="C47" i="31"/>
  <c r="L47" i="31"/>
  <c r="H47" i="31"/>
  <c r="N47" i="31" s="1"/>
  <c r="I47" i="31"/>
  <c r="M47" i="31"/>
  <c r="A203" i="31"/>
  <c r="P203" i="31"/>
  <c r="S203" i="31" s="1"/>
  <c r="J203" i="31" s="1"/>
  <c r="L203" i="31" s="1"/>
  <c r="G47" i="31"/>
  <c r="F47" i="31"/>
  <c r="A47" i="31"/>
  <c r="K47" i="31"/>
  <c r="J47" i="31"/>
  <c r="N203" i="31"/>
  <c r="N335" i="1"/>
  <c r="C179" i="1"/>
  <c r="L179" i="1"/>
  <c r="K179" i="1"/>
  <c r="P335" i="1"/>
  <c r="S335" i="1" s="1"/>
  <c r="J335" i="1" s="1"/>
  <c r="L335" i="1" s="1"/>
  <c r="G179" i="1"/>
  <c r="M179" i="1"/>
  <c r="H179" i="1"/>
  <c r="N179" i="1" s="1"/>
  <c r="I179" i="1"/>
  <c r="J179" i="1"/>
  <c r="F179" i="1"/>
  <c r="C98" i="31"/>
  <c r="M98" i="31"/>
  <c r="I98" i="31"/>
  <c r="P254" i="31"/>
  <c r="S254" i="31" s="1"/>
  <c r="J254" i="31" s="1"/>
  <c r="L254" i="31" s="1"/>
  <c r="J98" i="31"/>
  <c r="A254" i="31"/>
  <c r="F98" i="31"/>
  <c r="A98" i="31"/>
  <c r="H98" i="31"/>
  <c r="N98" i="31" s="1"/>
  <c r="L98" i="31"/>
  <c r="K98" i="31"/>
  <c r="N254" i="31"/>
  <c r="G98" i="31"/>
  <c r="F119" i="31"/>
  <c r="H119" i="31"/>
  <c r="N119" i="31" s="1"/>
  <c r="C119" i="31"/>
  <c r="J119" i="31"/>
  <c r="I119" i="31"/>
  <c r="A119" i="31"/>
  <c r="A275" i="31"/>
  <c r="N275" i="31"/>
  <c r="M119" i="31"/>
  <c r="P275" i="31"/>
  <c r="S275" i="31" s="1"/>
  <c r="J275" i="31" s="1"/>
  <c r="L275" i="31" s="1"/>
  <c r="L119" i="31"/>
  <c r="K119" i="31"/>
  <c r="G119" i="31"/>
  <c r="N234" i="30"/>
  <c r="C78" i="30"/>
  <c r="K78" i="30"/>
  <c r="M78" i="30"/>
  <c r="J78" i="30"/>
  <c r="P234" i="30"/>
  <c r="S234" i="30" s="1"/>
  <c r="J234" i="30" s="1"/>
  <c r="L234" i="30" s="1"/>
  <c r="L78" i="30"/>
  <c r="G78" i="30"/>
  <c r="H78" i="30"/>
  <c r="N78" i="30" s="1"/>
  <c r="F78" i="30"/>
  <c r="A234" i="30"/>
  <c r="I78" i="30"/>
  <c r="A78" i="30"/>
  <c r="H99" i="30"/>
  <c r="N99" i="30" s="1"/>
  <c r="P255" i="30"/>
  <c r="S255" i="30" s="1"/>
  <c r="J255" i="30" s="1"/>
  <c r="L255" i="30" s="1"/>
  <c r="J99" i="30"/>
  <c r="F99" i="30"/>
  <c r="K99" i="30"/>
  <c r="A255" i="30"/>
  <c r="A99" i="30"/>
  <c r="N255" i="30"/>
  <c r="G99" i="30"/>
  <c r="M99" i="30"/>
  <c r="L99" i="30"/>
  <c r="C99" i="30"/>
  <c r="I99" i="30"/>
  <c r="AQ80" i="19"/>
  <c r="B88" i="26"/>
  <c r="G52" i="31"/>
  <c r="A208" i="31"/>
  <c r="H52" i="31"/>
  <c r="N52" i="31" s="1"/>
  <c r="P208" i="31"/>
  <c r="S208" i="31" s="1"/>
  <c r="J208" i="31" s="1"/>
  <c r="L208" i="31" s="1"/>
  <c r="F52" i="31"/>
  <c r="C52" i="31"/>
  <c r="M52" i="31"/>
  <c r="N208" i="31"/>
  <c r="J52" i="31"/>
  <c r="K52" i="31"/>
  <c r="L52" i="31"/>
  <c r="A52" i="31"/>
  <c r="I52" i="31"/>
  <c r="G121" i="30"/>
  <c r="L121" i="30"/>
  <c r="J121" i="30"/>
  <c r="A121" i="30"/>
  <c r="N277" i="30"/>
  <c r="K121" i="30"/>
  <c r="M121" i="30"/>
  <c r="A277" i="30"/>
  <c r="I121" i="30"/>
  <c r="H121" i="30"/>
  <c r="N121" i="30" s="1"/>
  <c r="C121" i="30"/>
  <c r="F121" i="30"/>
  <c r="P277" i="30"/>
  <c r="S277" i="30" s="1"/>
  <c r="J277" i="30" s="1"/>
  <c r="L277" i="30" s="1"/>
  <c r="J132" i="1"/>
  <c r="K132" i="1"/>
  <c r="C132" i="1"/>
  <c r="P288" i="1"/>
  <c r="S288" i="1" s="1"/>
  <c r="J288" i="1" s="1"/>
  <c r="L288" i="1" s="1"/>
  <c r="M132" i="1"/>
  <c r="H132" i="1"/>
  <c r="N132" i="1" s="1"/>
  <c r="N288" i="1"/>
  <c r="L132" i="1"/>
  <c r="G132" i="1"/>
  <c r="I132" i="1"/>
  <c r="F132" i="1"/>
  <c r="I184" i="31"/>
  <c r="H184" i="31"/>
  <c r="N184" i="31" s="1"/>
  <c r="F184" i="31"/>
  <c r="C184" i="31"/>
  <c r="G184" i="31"/>
  <c r="L184" i="31"/>
  <c r="P340" i="31"/>
  <c r="S340" i="31" s="1"/>
  <c r="J340" i="31" s="1"/>
  <c r="L340" i="31" s="1"/>
  <c r="N340" i="31"/>
  <c r="A184" i="31"/>
  <c r="A340" i="31"/>
  <c r="J184" i="31"/>
  <c r="M184" i="31"/>
  <c r="K184" i="31"/>
  <c r="J73" i="29"/>
  <c r="F73" i="29"/>
  <c r="K73" i="29"/>
  <c r="N229" i="29"/>
  <c r="C73" i="29"/>
  <c r="P229" i="29"/>
  <c r="S229" i="29" s="1"/>
  <c r="J229" i="29" s="1"/>
  <c r="L229" i="29" s="1"/>
  <c r="L73" i="29"/>
  <c r="I73" i="29"/>
  <c r="G73" i="29"/>
  <c r="M73" i="29"/>
  <c r="H73" i="29"/>
  <c r="N73" i="29" s="1"/>
  <c r="P310" i="29"/>
  <c r="S310" i="29" s="1"/>
  <c r="J310" i="29" s="1"/>
  <c r="L310" i="29" s="1"/>
  <c r="F154" i="29"/>
  <c r="M154" i="29"/>
  <c r="L154" i="29"/>
  <c r="G154" i="29"/>
  <c r="J154" i="29"/>
  <c r="K154" i="29"/>
  <c r="H154" i="29"/>
  <c r="N154" i="29" s="1"/>
  <c r="C154" i="29"/>
  <c r="N310" i="29"/>
  <c r="I154" i="29"/>
  <c r="J156" i="29"/>
  <c r="M156" i="29"/>
  <c r="N312" i="29"/>
  <c r="H156" i="29"/>
  <c r="N156" i="29" s="1"/>
  <c r="G156" i="29"/>
  <c r="F156" i="29"/>
  <c r="I156" i="29"/>
  <c r="C156" i="29"/>
  <c r="P312" i="29"/>
  <c r="S312" i="29" s="1"/>
  <c r="J312" i="29" s="1"/>
  <c r="L312" i="29" s="1"/>
  <c r="L156" i="29"/>
  <c r="K156" i="29"/>
  <c r="H50" i="29"/>
  <c r="N50" i="29" s="1"/>
  <c r="F50" i="29"/>
  <c r="M50" i="29"/>
  <c r="K50" i="29"/>
  <c r="L50" i="29"/>
  <c r="P206" i="29"/>
  <c r="S206" i="29" s="1"/>
  <c r="J206" i="29" s="1"/>
  <c r="L206" i="29" s="1"/>
  <c r="C50" i="29"/>
  <c r="G50" i="29"/>
  <c r="J50" i="29"/>
  <c r="I50" i="29"/>
  <c r="N206" i="29"/>
  <c r="I51" i="29"/>
  <c r="N207" i="29"/>
  <c r="J51" i="29"/>
  <c r="C51" i="29"/>
  <c r="G51" i="29"/>
  <c r="L51" i="29"/>
  <c r="K51" i="29"/>
  <c r="M51" i="29"/>
  <c r="H51" i="29"/>
  <c r="N51" i="29" s="1"/>
  <c r="P207" i="29"/>
  <c r="S207" i="29" s="1"/>
  <c r="J207" i="29" s="1"/>
  <c r="L207" i="29" s="1"/>
  <c r="F51" i="29"/>
  <c r="AS182" i="19"/>
  <c r="C190" i="26"/>
  <c r="L84" i="29"/>
  <c r="K84" i="29"/>
  <c r="I84" i="29"/>
  <c r="G84" i="29"/>
  <c r="F84" i="29"/>
  <c r="P240" i="29"/>
  <c r="S240" i="29" s="1"/>
  <c r="J240" i="29" s="1"/>
  <c r="L240" i="29" s="1"/>
  <c r="J84" i="29"/>
  <c r="C84" i="29"/>
  <c r="M84" i="29"/>
  <c r="H84" i="29"/>
  <c r="N84" i="29" s="1"/>
  <c r="N240" i="29"/>
  <c r="K65" i="29"/>
  <c r="C65" i="29"/>
  <c r="M65" i="29"/>
  <c r="P221" i="29"/>
  <c r="S221" i="29" s="1"/>
  <c r="J221" i="29" s="1"/>
  <c r="L221" i="29" s="1"/>
  <c r="I65" i="29"/>
  <c r="L65" i="29"/>
  <c r="G65" i="29"/>
  <c r="J65" i="29"/>
  <c r="F65" i="29"/>
  <c r="H65" i="29"/>
  <c r="N65" i="29" s="1"/>
  <c r="N221" i="29"/>
  <c r="H106" i="29"/>
  <c r="N106" i="29" s="1"/>
  <c r="C106" i="29"/>
  <c r="M106" i="29"/>
  <c r="G106" i="29"/>
  <c r="P262" i="29"/>
  <c r="S262" i="29" s="1"/>
  <c r="J262" i="29" s="1"/>
  <c r="L262" i="29" s="1"/>
  <c r="K106" i="29"/>
  <c r="J106" i="29"/>
  <c r="F106" i="29"/>
  <c r="L106" i="29"/>
  <c r="I106" i="29"/>
  <c r="N262" i="29"/>
  <c r="F167" i="31"/>
  <c r="J167" i="31"/>
  <c r="K167" i="31"/>
  <c r="P323" i="31"/>
  <c r="S323" i="31" s="1"/>
  <c r="J323" i="31" s="1"/>
  <c r="L323" i="31" s="1"/>
  <c r="C167" i="31"/>
  <c r="A323" i="31"/>
  <c r="N323" i="31"/>
  <c r="M167" i="31"/>
  <c r="L167" i="31"/>
  <c r="G167" i="31"/>
  <c r="A167" i="31"/>
  <c r="I167" i="31"/>
  <c r="H167" i="31"/>
  <c r="N167" i="31" s="1"/>
  <c r="L86" i="30"/>
  <c r="K86" i="30"/>
  <c r="H86" i="30"/>
  <c r="N86" i="30" s="1"/>
  <c r="I86" i="30"/>
  <c r="A86" i="30"/>
  <c r="J86" i="30"/>
  <c r="P242" i="30"/>
  <c r="S242" i="30" s="1"/>
  <c r="J242" i="30" s="1"/>
  <c r="L242" i="30" s="1"/>
  <c r="C86" i="30"/>
  <c r="N242" i="30"/>
  <c r="M86" i="30"/>
  <c r="A242" i="30"/>
  <c r="F86" i="30"/>
  <c r="G86" i="30"/>
  <c r="C154" i="1"/>
  <c r="K154" i="1"/>
  <c r="L154" i="1"/>
  <c r="M154" i="1"/>
  <c r="P310" i="1"/>
  <c r="S310" i="1" s="1"/>
  <c r="J310" i="1" s="1"/>
  <c r="L310" i="1" s="1"/>
  <c r="F154" i="1"/>
  <c r="N310" i="1"/>
  <c r="I154" i="1"/>
  <c r="H154" i="1"/>
  <c r="N154" i="1" s="1"/>
  <c r="J154" i="1"/>
  <c r="G154" i="1"/>
  <c r="N294" i="1"/>
  <c r="M138" i="1"/>
  <c r="C138" i="1"/>
  <c r="J138" i="1"/>
  <c r="A116" i="26" s="1"/>
  <c r="H138" i="1"/>
  <c r="N138" i="1" s="1"/>
  <c r="L138" i="1"/>
  <c r="P294" i="1"/>
  <c r="S294" i="1" s="1"/>
  <c r="J294" i="1" s="1"/>
  <c r="I138" i="1"/>
  <c r="F138" i="1"/>
  <c r="G138" i="1"/>
  <c r="K138" i="1"/>
  <c r="K89" i="31"/>
  <c r="J89" i="31"/>
  <c r="M89" i="31"/>
  <c r="L89" i="31"/>
  <c r="H89" i="31"/>
  <c r="N89" i="31" s="1"/>
  <c r="A89" i="31"/>
  <c r="G89" i="31"/>
  <c r="F89" i="31"/>
  <c r="A245" i="31"/>
  <c r="I89" i="31"/>
  <c r="C89" i="31"/>
  <c r="P245" i="31"/>
  <c r="S245" i="31" s="1"/>
  <c r="J245" i="31" s="1"/>
  <c r="L245" i="31" s="1"/>
  <c r="N245" i="31"/>
  <c r="K170" i="6"/>
  <c r="L170" i="6" s="1"/>
  <c r="B170" i="6"/>
  <c r="G170" i="6"/>
  <c r="H131" i="1"/>
  <c r="N131" i="1" s="1"/>
  <c r="J131" i="1"/>
  <c r="F131" i="1"/>
  <c r="L131" i="1"/>
  <c r="K131" i="1"/>
  <c r="M131" i="1"/>
  <c r="P287" i="1"/>
  <c r="S287" i="1" s="1"/>
  <c r="J287" i="1" s="1"/>
  <c r="L287" i="1" s="1"/>
  <c r="G131" i="1"/>
  <c r="I131" i="1"/>
  <c r="N287" i="1"/>
  <c r="C131" i="1"/>
  <c r="P198" i="31"/>
  <c r="S198" i="31" s="1"/>
  <c r="J198" i="31" s="1"/>
  <c r="L198" i="31" s="1"/>
  <c r="I42" i="31"/>
  <c r="F42" i="31"/>
  <c r="L42" i="31"/>
  <c r="M42" i="31"/>
  <c r="G42" i="31"/>
  <c r="A198" i="31"/>
  <c r="A42" i="31"/>
  <c r="N198" i="31"/>
  <c r="H42" i="31"/>
  <c r="N42" i="31" s="1"/>
  <c r="J42" i="31"/>
  <c r="K42" i="31"/>
  <c r="C42" i="31"/>
  <c r="I90" i="30"/>
  <c r="N246" i="30"/>
  <c r="G90" i="30"/>
  <c r="F90" i="30"/>
  <c r="A90" i="30"/>
  <c r="A246" i="30"/>
  <c r="L90" i="30"/>
  <c r="K90" i="30"/>
  <c r="H90" i="30"/>
  <c r="N90" i="30" s="1"/>
  <c r="C90" i="30"/>
  <c r="J90" i="30"/>
  <c r="P246" i="30"/>
  <c r="S246" i="30" s="1"/>
  <c r="J246" i="30" s="1"/>
  <c r="L246" i="30" s="1"/>
  <c r="M90" i="30"/>
  <c r="M127" i="1"/>
  <c r="F127" i="1"/>
  <c r="I127" i="1"/>
  <c r="G127" i="1"/>
  <c r="N283" i="1"/>
  <c r="J127" i="1"/>
  <c r="I105" i="26" s="1"/>
  <c r="E105" i="26" s="1"/>
  <c r="K127" i="1"/>
  <c r="P283" i="1"/>
  <c r="S283" i="1" s="1"/>
  <c r="J283" i="1" s="1"/>
  <c r="L283" i="1" s="1"/>
  <c r="H127" i="1"/>
  <c r="N127" i="1" s="1"/>
  <c r="L127" i="1"/>
  <c r="C127" i="1"/>
  <c r="P268" i="31"/>
  <c r="S268" i="31" s="1"/>
  <c r="J268" i="31" s="1"/>
  <c r="L268" i="31" s="1"/>
  <c r="N268" i="31"/>
  <c r="L112" i="31"/>
  <c r="F112" i="31"/>
  <c r="J112" i="31"/>
  <c r="G112" i="31"/>
  <c r="I112" i="31"/>
  <c r="H112" i="31"/>
  <c r="N112" i="31" s="1"/>
  <c r="A268" i="31"/>
  <c r="A112" i="31"/>
  <c r="M112" i="31"/>
  <c r="C112" i="31"/>
  <c r="K112" i="31"/>
  <c r="P215" i="30"/>
  <c r="S215" i="30" s="1"/>
  <c r="J215" i="30" s="1"/>
  <c r="L215" i="30" s="1"/>
  <c r="A59" i="30"/>
  <c r="A215" i="30"/>
  <c r="N215" i="30"/>
  <c r="G59" i="30"/>
  <c r="K59" i="30"/>
  <c r="J59" i="30"/>
  <c r="I59" i="30"/>
  <c r="H59" i="30"/>
  <c r="N59" i="30" s="1"/>
  <c r="L59" i="30"/>
  <c r="F59" i="30"/>
  <c r="M59" i="30"/>
  <c r="C59" i="30"/>
  <c r="I113" i="31"/>
  <c r="L113" i="31"/>
  <c r="K113" i="31"/>
  <c r="H113" i="31"/>
  <c r="N113" i="31" s="1"/>
  <c r="G113" i="31"/>
  <c r="C113" i="31"/>
  <c r="F113" i="31"/>
  <c r="A269" i="31"/>
  <c r="M113" i="31"/>
  <c r="A113" i="31"/>
  <c r="J113" i="31"/>
  <c r="P269" i="31"/>
  <c r="S269" i="31" s="1"/>
  <c r="J269" i="31" s="1"/>
  <c r="L269" i="31" s="1"/>
  <c r="N269" i="31"/>
  <c r="H155" i="1"/>
  <c r="N155" i="1" s="1"/>
  <c r="L155" i="1"/>
  <c r="P311" i="1"/>
  <c r="S311" i="1" s="1"/>
  <c r="J311" i="1" s="1"/>
  <c r="L311" i="1" s="1"/>
  <c r="N311" i="1"/>
  <c r="G155" i="1"/>
  <c r="J155" i="1"/>
  <c r="M155" i="1"/>
  <c r="C155" i="1"/>
  <c r="F155" i="1"/>
  <c r="K155" i="1"/>
  <c r="I155" i="1"/>
  <c r="C94" i="31"/>
  <c r="J94" i="31"/>
  <c r="H94" i="31"/>
  <c r="N94" i="31" s="1"/>
  <c r="K94" i="31"/>
  <c r="P250" i="31"/>
  <c r="S250" i="31" s="1"/>
  <c r="J250" i="31" s="1"/>
  <c r="L250" i="31" s="1"/>
  <c r="N250" i="31"/>
  <c r="I94" i="31"/>
  <c r="G94" i="31"/>
  <c r="L94" i="31"/>
  <c r="F94" i="31"/>
  <c r="A94" i="31"/>
  <c r="A250" i="31"/>
  <c r="M94" i="31"/>
  <c r="F95" i="1"/>
  <c r="C95" i="1"/>
  <c r="I95" i="1"/>
  <c r="K95" i="1"/>
  <c r="N251" i="1"/>
  <c r="H95" i="1"/>
  <c r="N95" i="1" s="1"/>
  <c r="L95" i="1"/>
  <c r="M95" i="1"/>
  <c r="P251" i="1"/>
  <c r="S251" i="1" s="1"/>
  <c r="J251" i="1" s="1"/>
  <c r="L251" i="1" s="1"/>
  <c r="G95" i="1"/>
  <c r="J95" i="1"/>
  <c r="H135" i="31"/>
  <c r="N135" i="31" s="1"/>
  <c r="L135" i="31"/>
  <c r="P291" i="31"/>
  <c r="S291" i="31" s="1"/>
  <c r="J291" i="31" s="1"/>
  <c r="L291" i="31" s="1"/>
  <c r="K135" i="31"/>
  <c r="I135" i="31"/>
  <c r="F135" i="31"/>
  <c r="G135" i="31"/>
  <c r="A291" i="31"/>
  <c r="A135" i="31"/>
  <c r="C135" i="31"/>
  <c r="N291" i="31"/>
  <c r="J135" i="31"/>
  <c r="M135" i="31"/>
  <c r="O16" i="38"/>
  <c r="M16" i="38" s="1"/>
  <c r="I87" i="1"/>
  <c r="N243" i="1"/>
  <c r="M87" i="1"/>
  <c r="L87" i="1"/>
  <c r="P243" i="1"/>
  <c r="S243" i="1" s="1"/>
  <c r="J243" i="1" s="1"/>
  <c r="L243" i="1" s="1"/>
  <c r="H87" i="1"/>
  <c r="N87" i="1" s="1"/>
  <c r="J87" i="1"/>
  <c r="F87" i="1"/>
  <c r="C87" i="1"/>
  <c r="K87" i="1"/>
  <c r="G87" i="1"/>
  <c r="N202" i="31"/>
  <c r="H46" i="31"/>
  <c r="N46" i="31" s="1"/>
  <c r="I46" i="31"/>
  <c r="L46" i="31"/>
  <c r="K46" i="31"/>
  <c r="G46" i="31"/>
  <c r="C46" i="31"/>
  <c r="A202" i="31"/>
  <c r="J46" i="31"/>
  <c r="P202" i="31"/>
  <c r="S202" i="31" s="1"/>
  <c r="J202" i="31" s="1"/>
  <c r="L202" i="31" s="1"/>
  <c r="A46" i="31"/>
  <c r="F46" i="31"/>
  <c r="M46" i="31"/>
  <c r="I50" i="1"/>
  <c r="K50" i="1"/>
  <c r="N206" i="1"/>
  <c r="F50" i="1"/>
  <c r="G50" i="1"/>
  <c r="M50" i="1"/>
  <c r="H50" i="1"/>
  <c r="N50" i="1" s="1"/>
  <c r="J50" i="1"/>
  <c r="L50" i="1"/>
  <c r="C50" i="1"/>
  <c r="P206" i="1"/>
  <c r="S206" i="1" s="1"/>
  <c r="J206" i="1" s="1"/>
  <c r="L206" i="1" s="1"/>
  <c r="I77" i="30"/>
  <c r="P233" i="30"/>
  <c r="S233" i="30" s="1"/>
  <c r="J233" i="30" s="1"/>
  <c r="L233" i="30" s="1"/>
  <c r="F77" i="30"/>
  <c r="J77" i="30"/>
  <c r="A233" i="30"/>
  <c r="M77" i="30"/>
  <c r="N233" i="30"/>
  <c r="L77" i="30"/>
  <c r="H77" i="30"/>
  <c r="N77" i="30" s="1"/>
  <c r="G77" i="30"/>
  <c r="A77" i="30"/>
  <c r="C77" i="30"/>
  <c r="K77" i="30"/>
  <c r="L48" i="1"/>
  <c r="J48" i="1"/>
  <c r="M48" i="1"/>
  <c r="K48" i="1"/>
  <c r="G48" i="1"/>
  <c r="F48" i="1"/>
  <c r="N204" i="1"/>
  <c r="C48" i="1"/>
  <c r="H48" i="1"/>
  <c r="N48" i="1" s="1"/>
  <c r="P204" i="1"/>
  <c r="S204" i="1" s="1"/>
  <c r="J204" i="1" s="1"/>
  <c r="L204" i="1" s="1"/>
  <c r="I48" i="1"/>
  <c r="F122" i="1"/>
  <c r="M122" i="1"/>
  <c r="I122" i="1"/>
  <c r="G122" i="1"/>
  <c r="J122" i="1"/>
  <c r="I100" i="26" s="1"/>
  <c r="E100" i="26" s="1"/>
  <c r="P278" i="1"/>
  <c r="S278" i="1" s="1"/>
  <c r="J278" i="1" s="1"/>
  <c r="L278" i="1" s="1"/>
  <c r="L122" i="1"/>
  <c r="C122" i="1"/>
  <c r="K122" i="1"/>
  <c r="N278" i="1"/>
  <c r="H122" i="1"/>
  <c r="N122" i="1" s="1"/>
  <c r="C180" i="31"/>
  <c r="N336" i="31"/>
  <c r="M180" i="31"/>
  <c r="G180" i="31"/>
  <c r="P336" i="31"/>
  <c r="S336" i="31" s="1"/>
  <c r="J336" i="31" s="1"/>
  <c r="L336" i="31" s="1"/>
  <c r="F180" i="31"/>
  <c r="J180" i="31"/>
  <c r="I180" i="31"/>
  <c r="H180" i="31"/>
  <c r="N180" i="31" s="1"/>
  <c r="K180" i="31"/>
  <c r="L180" i="31"/>
  <c r="A336" i="31"/>
  <c r="A180" i="31"/>
  <c r="F119" i="30"/>
  <c r="M119" i="30"/>
  <c r="H119" i="30"/>
  <c r="N119" i="30" s="1"/>
  <c r="L119" i="30"/>
  <c r="A275" i="30"/>
  <c r="A119" i="30"/>
  <c r="N275" i="30"/>
  <c r="G119" i="30"/>
  <c r="K119" i="30"/>
  <c r="C119" i="30"/>
  <c r="P275" i="30"/>
  <c r="S275" i="30" s="1"/>
  <c r="J275" i="30" s="1"/>
  <c r="L275" i="30" s="1"/>
  <c r="J119" i="30"/>
  <c r="I119" i="30"/>
  <c r="G144" i="1"/>
  <c r="L144" i="1"/>
  <c r="F144" i="1"/>
  <c r="M144" i="1"/>
  <c r="J144" i="1"/>
  <c r="H144" i="1"/>
  <c r="N144" i="1" s="1"/>
  <c r="I144" i="1"/>
  <c r="C144" i="1"/>
  <c r="K144" i="1"/>
  <c r="P300" i="1"/>
  <c r="S300" i="1" s="1"/>
  <c r="J300" i="1" s="1"/>
  <c r="L300" i="1" s="1"/>
  <c r="N300" i="1"/>
  <c r="A181" i="31"/>
  <c r="A337" i="31"/>
  <c r="I181" i="31"/>
  <c r="J181" i="31"/>
  <c r="L181" i="31"/>
  <c r="G181" i="31"/>
  <c r="H181" i="31"/>
  <c r="N181" i="31" s="1"/>
  <c r="F181" i="31"/>
  <c r="N337" i="31"/>
  <c r="C181" i="31"/>
  <c r="M181" i="31"/>
  <c r="P337" i="31"/>
  <c r="S337" i="31" s="1"/>
  <c r="J337" i="31" s="1"/>
  <c r="L337" i="31" s="1"/>
  <c r="K181" i="31"/>
  <c r="J69" i="1"/>
  <c r="H69" i="1"/>
  <c r="N69" i="1" s="1"/>
  <c r="C69" i="1"/>
  <c r="K69" i="1"/>
  <c r="I69" i="1"/>
  <c r="G69" i="1"/>
  <c r="P225" i="1"/>
  <c r="S225" i="1" s="1"/>
  <c r="J225" i="1" s="1"/>
  <c r="L225" i="1" s="1"/>
  <c r="L69" i="1"/>
  <c r="N225" i="1"/>
  <c r="F69" i="1"/>
  <c r="M69" i="1"/>
  <c r="L183" i="31"/>
  <c r="K183" i="31"/>
  <c r="P339" i="31"/>
  <c r="S339" i="31" s="1"/>
  <c r="J339" i="31" s="1"/>
  <c r="L339" i="31" s="1"/>
  <c r="M183" i="31"/>
  <c r="H183" i="31"/>
  <c r="N183" i="31" s="1"/>
  <c r="A183" i="31"/>
  <c r="C183" i="31"/>
  <c r="I183" i="31"/>
  <c r="G183" i="31"/>
  <c r="A339" i="31"/>
  <c r="F183" i="31"/>
  <c r="J183" i="31"/>
  <c r="N339" i="31"/>
  <c r="AS81" i="19"/>
  <c r="C89" i="26"/>
  <c r="L122" i="30"/>
  <c r="N278" i="30"/>
  <c r="H122" i="30"/>
  <c r="N122" i="30" s="1"/>
  <c r="A122" i="30"/>
  <c r="K122" i="30"/>
  <c r="J122" i="30"/>
  <c r="G122" i="30"/>
  <c r="I122" i="30"/>
  <c r="F122" i="30"/>
  <c r="C122" i="30"/>
  <c r="P278" i="30"/>
  <c r="S278" i="30" s="1"/>
  <c r="J278" i="30" s="1"/>
  <c r="L278" i="30" s="1"/>
  <c r="M122" i="30"/>
  <c r="A278" i="30"/>
  <c r="M165" i="1"/>
  <c r="G165" i="1"/>
  <c r="N321" i="1"/>
  <c r="J165" i="1"/>
  <c r="K165" i="1"/>
  <c r="C165" i="1"/>
  <c r="F165" i="1"/>
  <c r="I165" i="1"/>
  <c r="P321" i="1"/>
  <c r="S321" i="1" s="1"/>
  <c r="J321" i="1" s="1"/>
  <c r="L321" i="1" s="1"/>
  <c r="H165" i="1"/>
  <c r="N165" i="1" s="1"/>
  <c r="L165" i="1"/>
  <c r="L183" i="30"/>
  <c r="J183" i="30"/>
  <c r="G183" i="30"/>
  <c r="F183" i="30"/>
  <c r="N339" i="30"/>
  <c r="K183" i="30"/>
  <c r="P339" i="30"/>
  <c r="S339" i="30" s="1"/>
  <c r="J339" i="30" s="1"/>
  <c r="L339" i="30" s="1"/>
  <c r="M183" i="30"/>
  <c r="I183" i="30"/>
  <c r="H183" i="30"/>
  <c r="N183" i="30" s="1"/>
  <c r="A339" i="30"/>
  <c r="C183" i="30"/>
  <c r="A183" i="30"/>
  <c r="L104" i="30"/>
  <c r="H104" i="30"/>
  <c r="N104" i="30" s="1"/>
  <c r="C104" i="30"/>
  <c r="P260" i="30"/>
  <c r="S260" i="30" s="1"/>
  <c r="J260" i="30" s="1"/>
  <c r="L260" i="30" s="1"/>
  <c r="A260" i="30"/>
  <c r="K104" i="30"/>
  <c r="A104" i="30"/>
  <c r="N260" i="30"/>
  <c r="M104" i="30"/>
  <c r="J104" i="30"/>
  <c r="I104" i="30"/>
  <c r="G104" i="30"/>
  <c r="F104" i="30"/>
  <c r="J161" i="1"/>
  <c r="I161" i="1"/>
  <c r="K161" i="1"/>
  <c r="G161" i="1"/>
  <c r="F161" i="1"/>
  <c r="P317" i="1"/>
  <c r="S317" i="1" s="1"/>
  <c r="J317" i="1" s="1"/>
  <c r="L317" i="1" s="1"/>
  <c r="H161" i="1"/>
  <c r="N161" i="1" s="1"/>
  <c r="C161" i="1"/>
  <c r="M161" i="1"/>
  <c r="N317" i="1"/>
  <c r="L161" i="1"/>
  <c r="N340" i="1"/>
  <c r="H184" i="1"/>
  <c r="N184" i="1" s="1"/>
  <c r="C184" i="1"/>
  <c r="M184" i="1"/>
  <c r="I184" i="1"/>
  <c r="G184" i="1"/>
  <c r="P340" i="1"/>
  <c r="S340" i="1" s="1"/>
  <c r="J340" i="1" s="1"/>
  <c r="L340" i="1" s="1"/>
  <c r="J184" i="1"/>
  <c r="L184" i="1"/>
  <c r="K184" i="1"/>
  <c r="F184" i="1"/>
  <c r="P308" i="29"/>
  <c r="S308" i="29" s="1"/>
  <c r="J308" i="29" s="1"/>
  <c r="L308" i="29" s="1"/>
  <c r="F152" i="29"/>
  <c r="M152" i="29"/>
  <c r="J152" i="29"/>
  <c r="G152" i="29"/>
  <c r="L152" i="29"/>
  <c r="I152" i="29"/>
  <c r="H152" i="29"/>
  <c r="N152" i="29" s="1"/>
  <c r="K152" i="29"/>
  <c r="N308" i="29"/>
  <c r="C152" i="29"/>
  <c r="J174" i="29"/>
  <c r="L174" i="29"/>
  <c r="I174" i="29"/>
  <c r="M174" i="29"/>
  <c r="P330" i="29"/>
  <c r="S330" i="29" s="1"/>
  <c r="J330" i="29" s="1"/>
  <c r="L330" i="29" s="1"/>
  <c r="G174" i="29"/>
  <c r="F174" i="29"/>
  <c r="C174" i="29"/>
  <c r="K174" i="29"/>
  <c r="H174" i="29"/>
  <c r="N174" i="29" s="1"/>
  <c r="N330" i="29"/>
  <c r="K75" i="29"/>
  <c r="I75" i="29"/>
  <c r="P231" i="29"/>
  <c r="S231" i="29" s="1"/>
  <c r="J231" i="29" s="1"/>
  <c r="L231" i="29" s="1"/>
  <c r="H75" i="29"/>
  <c r="N75" i="29" s="1"/>
  <c r="N231" i="29"/>
  <c r="C75" i="29"/>
  <c r="M75" i="29"/>
  <c r="G75" i="29"/>
  <c r="J75" i="29"/>
  <c r="L75" i="29"/>
  <c r="F75" i="29"/>
  <c r="AS162" i="19"/>
  <c r="C170" i="26"/>
  <c r="K178" i="29"/>
  <c r="M178" i="29"/>
  <c r="C178" i="29"/>
  <c r="G178" i="29"/>
  <c r="L178" i="29"/>
  <c r="I178" i="29"/>
  <c r="J178" i="29"/>
  <c r="N334" i="29"/>
  <c r="F178" i="29"/>
  <c r="H178" i="29"/>
  <c r="N178" i="29" s="1"/>
  <c r="P334" i="29"/>
  <c r="S334" i="29" s="1"/>
  <c r="J334" i="29" s="1"/>
  <c r="L334" i="29" s="1"/>
  <c r="AT182" i="19"/>
  <c r="AR182" i="19" s="1"/>
  <c r="AR183" i="19" s="1"/>
  <c r="G190" i="26"/>
  <c r="J160" i="29"/>
  <c r="K160" i="29"/>
  <c r="P316" i="29"/>
  <c r="S316" i="29" s="1"/>
  <c r="J316" i="29" s="1"/>
  <c r="L316" i="29" s="1"/>
  <c r="I160" i="29"/>
  <c r="M160" i="29"/>
  <c r="L160" i="29"/>
  <c r="F160" i="29"/>
  <c r="C160" i="29"/>
  <c r="G160" i="29"/>
  <c r="H160" i="29"/>
  <c r="N160" i="29" s="1"/>
  <c r="N316" i="29"/>
  <c r="N257" i="29"/>
  <c r="J101" i="29"/>
  <c r="K101" i="29"/>
  <c r="F101" i="29"/>
  <c r="H101" i="29"/>
  <c r="N101" i="29" s="1"/>
  <c r="L101" i="29"/>
  <c r="M101" i="29"/>
  <c r="P257" i="29"/>
  <c r="S257" i="29" s="1"/>
  <c r="J257" i="29" s="1"/>
  <c r="L257" i="29" s="1"/>
  <c r="G101" i="29"/>
  <c r="I101" i="29"/>
  <c r="C101" i="29"/>
  <c r="L49" i="29"/>
  <c r="M49" i="29"/>
  <c r="J49" i="29"/>
  <c r="H49" i="29"/>
  <c r="N49" i="29" s="1"/>
  <c r="G49" i="29"/>
  <c r="C49" i="29"/>
  <c r="I49" i="29"/>
  <c r="P205" i="29"/>
  <c r="S205" i="29" s="1"/>
  <c r="J205" i="29" s="1"/>
  <c r="L205" i="29" s="1"/>
  <c r="F49" i="29"/>
  <c r="K49" i="29"/>
  <c r="N205" i="29"/>
  <c r="I163" i="29"/>
  <c r="K163" i="29"/>
  <c r="P319" i="29"/>
  <c r="S319" i="29" s="1"/>
  <c r="J319" i="29" s="1"/>
  <c r="L319" i="29" s="1"/>
  <c r="F163" i="29"/>
  <c r="L163" i="29"/>
  <c r="N319" i="29"/>
  <c r="C163" i="29"/>
  <c r="G163" i="29"/>
  <c r="J163" i="29"/>
  <c r="M163" i="29"/>
  <c r="H163" i="29"/>
  <c r="N163" i="29" s="1"/>
  <c r="G126" i="29"/>
  <c r="F126" i="29"/>
  <c r="N282" i="29"/>
  <c r="C126" i="29"/>
  <c r="I126" i="29"/>
  <c r="L126" i="29"/>
  <c r="M126" i="29"/>
  <c r="J126" i="29"/>
  <c r="K126" i="29"/>
  <c r="P282" i="29"/>
  <c r="S282" i="29" s="1"/>
  <c r="J282" i="29" s="1"/>
  <c r="L282" i="29" s="1"/>
  <c r="H126" i="29"/>
  <c r="N126" i="29" s="1"/>
  <c r="H147" i="29"/>
  <c r="N147" i="29" s="1"/>
  <c r="F147" i="29"/>
  <c r="G147" i="29"/>
  <c r="P303" i="29"/>
  <c r="S303" i="29" s="1"/>
  <c r="J303" i="29" s="1"/>
  <c r="L303" i="29" s="1"/>
  <c r="K147" i="29"/>
  <c r="L147" i="29"/>
  <c r="M147" i="29"/>
  <c r="N303" i="29"/>
  <c r="J147" i="29"/>
  <c r="C147" i="29"/>
  <c r="I147" i="29"/>
  <c r="J70" i="29"/>
  <c r="C70" i="29"/>
  <c r="M70" i="29"/>
  <c r="P226" i="29"/>
  <c r="S226" i="29" s="1"/>
  <c r="J226" i="29" s="1"/>
  <c r="L226" i="29" s="1"/>
  <c r="K70" i="29"/>
  <c r="N226" i="29"/>
  <c r="G70" i="29"/>
  <c r="I70" i="29"/>
  <c r="H70" i="29"/>
  <c r="N70" i="29" s="1"/>
  <c r="L70" i="29"/>
  <c r="F70" i="29"/>
  <c r="P200" i="29"/>
  <c r="S200" i="29" s="1"/>
  <c r="J200" i="29" s="1"/>
  <c r="L200" i="29" s="1"/>
  <c r="K44" i="29"/>
  <c r="I44" i="29"/>
  <c r="L44" i="29"/>
  <c r="G44" i="29"/>
  <c r="H44" i="29"/>
  <c r="N44" i="29" s="1"/>
  <c r="F44" i="29"/>
  <c r="M44" i="29"/>
  <c r="C44" i="29"/>
  <c r="J44" i="29"/>
  <c r="N200" i="29"/>
  <c r="P304" i="31"/>
  <c r="S304" i="31" s="1"/>
  <c r="J304" i="31" s="1"/>
  <c r="L304" i="31" s="1"/>
  <c r="N304" i="31"/>
  <c r="G148" i="31"/>
  <c r="F148" i="31"/>
  <c r="A148" i="31"/>
  <c r="L148" i="31"/>
  <c r="H148" i="31"/>
  <c r="N148" i="31" s="1"/>
  <c r="J148" i="31"/>
  <c r="M148" i="31"/>
  <c r="C148" i="31"/>
  <c r="A304" i="31"/>
  <c r="I148" i="31"/>
  <c r="K148" i="31"/>
  <c r="H148" i="30"/>
  <c r="N148" i="30" s="1"/>
  <c r="P304" i="30"/>
  <c r="S304" i="30" s="1"/>
  <c r="J304" i="30" s="1"/>
  <c r="L304" i="30" s="1"/>
  <c r="K148" i="30"/>
  <c r="M148" i="30"/>
  <c r="F148" i="30"/>
  <c r="C148" i="30"/>
  <c r="N304" i="30"/>
  <c r="I148" i="30"/>
  <c r="A304" i="30"/>
  <c r="G148" i="30"/>
  <c r="L148" i="30"/>
  <c r="A148" i="30"/>
  <c r="J148" i="30"/>
  <c r="A172" i="6"/>
  <c r="F172" i="6" s="1"/>
  <c r="D17" i="6"/>
  <c r="H17" i="6" s="1"/>
  <c r="G17" i="6"/>
  <c r="B17" i="6"/>
  <c r="A18" i="6"/>
  <c r="F17" i="6"/>
  <c r="C17" i="6"/>
  <c r="E17" i="6"/>
  <c r="J91" i="31"/>
  <c r="K91" i="31"/>
  <c r="C91" i="31"/>
  <c r="G91" i="31"/>
  <c r="F91" i="31"/>
  <c r="A91" i="31"/>
  <c r="A247" i="31"/>
  <c r="H91" i="31"/>
  <c r="N91" i="31" s="1"/>
  <c r="I91" i="31"/>
  <c r="M91" i="31"/>
  <c r="P247" i="31"/>
  <c r="S247" i="31" s="1"/>
  <c r="J247" i="31" s="1"/>
  <c r="L247" i="31" s="1"/>
  <c r="L91" i="31"/>
  <c r="N247" i="31"/>
  <c r="N299" i="1"/>
  <c r="L143" i="1"/>
  <c r="J143" i="1"/>
  <c r="K143" i="1"/>
  <c r="G143" i="1"/>
  <c r="I143" i="1"/>
  <c r="F143" i="1"/>
  <c r="M143" i="1"/>
  <c r="C143" i="1"/>
  <c r="P299" i="1"/>
  <c r="S299" i="1" s="1"/>
  <c r="J299" i="1" s="1"/>
  <c r="H143" i="1"/>
  <c r="N143" i="1" s="1"/>
  <c r="H182" i="1"/>
  <c r="N182" i="1" s="1"/>
  <c r="L182" i="1"/>
  <c r="J182" i="1"/>
  <c r="P338" i="1"/>
  <c r="S338" i="1" s="1"/>
  <c r="J338" i="1" s="1"/>
  <c r="L338" i="1" s="1"/>
  <c r="N338" i="1"/>
  <c r="K182" i="1"/>
  <c r="I182" i="1"/>
  <c r="C182" i="1"/>
  <c r="G182" i="1"/>
  <c r="F182" i="1"/>
  <c r="M182" i="1"/>
  <c r="H39" i="1"/>
  <c r="N39" i="1" s="1"/>
  <c r="G39" i="1"/>
  <c r="K39" i="1"/>
  <c r="N195" i="1"/>
  <c r="L39" i="1"/>
  <c r="P195" i="1"/>
  <c r="S195" i="1" s="1"/>
  <c r="J195" i="1" s="1"/>
  <c r="L195" i="1" s="1"/>
  <c r="I39" i="1"/>
  <c r="M39" i="1"/>
  <c r="C39" i="1"/>
  <c r="J39" i="1"/>
  <c r="F39" i="1"/>
  <c r="F45" i="30"/>
  <c r="J45" i="30"/>
  <c r="N201" i="30"/>
  <c r="G45" i="30"/>
  <c r="L45" i="30"/>
  <c r="P201" i="30"/>
  <c r="S201" i="30" s="1"/>
  <c r="J201" i="30" s="1"/>
  <c r="L201" i="30" s="1"/>
  <c r="A201" i="30"/>
  <c r="H45" i="30"/>
  <c r="N45" i="30" s="1"/>
  <c r="C45" i="30"/>
  <c r="A45" i="30"/>
  <c r="I45" i="30"/>
  <c r="K45" i="30"/>
  <c r="M45" i="30"/>
  <c r="H118" i="31"/>
  <c r="N118" i="31" s="1"/>
  <c r="A118" i="31"/>
  <c r="N274" i="31"/>
  <c r="C118" i="31"/>
  <c r="M118" i="31"/>
  <c r="K118" i="31"/>
  <c r="I118" i="31"/>
  <c r="G118" i="31"/>
  <c r="F118" i="31"/>
  <c r="J118" i="31"/>
  <c r="A274" i="31"/>
  <c r="P274" i="31"/>
  <c r="S274" i="31" s="1"/>
  <c r="J274" i="31" s="1"/>
  <c r="L274" i="31" s="1"/>
  <c r="L118" i="31"/>
  <c r="K97" i="30"/>
  <c r="P253" i="30"/>
  <c r="S253" i="30" s="1"/>
  <c r="J253" i="30" s="1"/>
  <c r="L253" i="30" s="1"/>
  <c r="N253" i="30"/>
  <c r="A253" i="30"/>
  <c r="A97" i="30"/>
  <c r="F97" i="30"/>
  <c r="C97" i="30"/>
  <c r="L97" i="30"/>
  <c r="H97" i="30"/>
  <c r="N97" i="30" s="1"/>
  <c r="J97" i="30"/>
  <c r="G97" i="30"/>
  <c r="I97" i="30"/>
  <c r="M97" i="30"/>
  <c r="C139" i="31"/>
  <c r="M139" i="31"/>
  <c r="I139" i="31"/>
  <c r="L139" i="31"/>
  <c r="K139" i="31"/>
  <c r="A295" i="31"/>
  <c r="A139" i="31"/>
  <c r="H139" i="31"/>
  <c r="N139" i="31" s="1"/>
  <c r="G139" i="31"/>
  <c r="P295" i="31"/>
  <c r="S295" i="31" s="1"/>
  <c r="J295" i="31" s="1"/>
  <c r="L295" i="31" s="1"/>
  <c r="J139" i="31"/>
  <c r="N295" i="31"/>
  <c r="F139" i="31"/>
  <c r="F68" i="26"/>
  <c r="D68" i="26"/>
  <c r="A68" i="26" s="1"/>
  <c r="L98" i="30"/>
  <c r="C98" i="30"/>
  <c r="I98" i="30"/>
  <c r="H98" i="30"/>
  <c r="N98" i="30" s="1"/>
  <c r="N254" i="30"/>
  <c r="F98" i="30"/>
  <c r="A254" i="30"/>
  <c r="P254" i="30"/>
  <c r="S254" i="30" s="1"/>
  <c r="J254" i="30" s="1"/>
  <c r="L254" i="30" s="1"/>
  <c r="K98" i="30"/>
  <c r="A98" i="30"/>
  <c r="J98" i="30"/>
  <c r="G98" i="30"/>
  <c r="M98" i="30"/>
  <c r="K70" i="31"/>
  <c r="H70" i="31"/>
  <c r="N70" i="31" s="1"/>
  <c r="J70" i="31"/>
  <c r="G70" i="31"/>
  <c r="C70" i="31"/>
  <c r="A70" i="31"/>
  <c r="A226" i="31"/>
  <c r="L70" i="31"/>
  <c r="N226" i="31"/>
  <c r="I70" i="31"/>
  <c r="M70" i="31"/>
  <c r="P226" i="31"/>
  <c r="S226" i="31" s="1"/>
  <c r="J226" i="31" s="1"/>
  <c r="L226" i="31" s="1"/>
  <c r="F70" i="31"/>
  <c r="A141" i="30"/>
  <c r="H141" i="30"/>
  <c r="N141" i="30" s="1"/>
  <c r="L141" i="30"/>
  <c r="J141" i="30"/>
  <c r="A297" i="30"/>
  <c r="F141" i="30"/>
  <c r="K141" i="30"/>
  <c r="C141" i="30"/>
  <c r="M141" i="30"/>
  <c r="P297" i="30"/>
  <c r="S297" i="30" s="1"/>
  <c r="J297" i="30" s="1"/>
  <c r="L297" i="30" s="1"/>
  <c r="N297" i="30"/>
  <c r="G141" i="30"/>
  <c r="I141" i="30"/>
  <c r="AT81" i="19"/>
  <c r="AR81" i="19" s="1"/>
  <c r="G89" i="26"/>
  <c r="N280" i="1"/>
  <c r="H124" i="1"/>
  <c r="N124" i="1" s="1"/>
  <c r="G124" i="1"/>
  <c r="C124" i="1"/>
  <c r="F124" i="1"/>
  <c r="J124" i="1"/>
  <c r="K124" i="1"/>
  <c r="P280" i="1"/>
  <c r="S280" i="1" s="1"/>
  <c r="J280" i="1" s="1"/>
  <c r="M124" i="1"/>
  <c r="L124" i="1"/>
  <c r="I124" i="1"/>
  <c r="C176" i="29"/>
  <c r="K176" i="29"/>
  <c r="J176" i="29"/>
  <c r="N332" i="29"/>
  <c r="I176" i="29"/>
  <c r="M176" i="29"/>
  <c r="F176" i="29"/>
  <c r="P332" i="29"/>
  <c r="S332" i="29" s="1"/>
  <c r="J332" i="29" s="1"/>
  <c r="L332" i="29" s="1"/>
  <c r="H176" i="29"/>
  <c r="N176" i="29" s="1"/>
  <c r="L176" i="29"/>
  <c r="G176" i="29"/>
  <c r="K77" i="29"/>
  <c r="P233" i="29"/>
  <c r="S233" i="29" s="1"/>
  <c r="J233" i="29" s="1"/>
  <c r="L233" i="29" s="1"/>
  <c r="I77" i="29"/>
  <c r="G77" i="29"/>
  <c r="N233" i="29"/>
  <c r="L77" i="29"/>
  <c r="J77" i="29"/>
  <c r="F77" i="29"/>
  <c r="C77" i="29"/>
  <c r="H77" i="29"/>
  <c r="N77" i="29" s="1"/>
  <c r="M77" i="29"/>
  <c r="G170" i="26"/>
  <c r="AT162" i="19"/>
  <c r="AR162" i="19" s="1"/>
  <c r="M79" i="29"/>
  <c r="C79" i="29"/>
  <c r="H79" i="29"/>
  <c r="N79" i="29" s="1"/>
  <c r="G79" i="29"/>
  <c r="L79" i="29"/>
  <c r="N235" i="29"/>
  <c r="I79" i="29"/>
  <c r="F79" i="29"/>
  <c r="P235" i="29"/>
  <c r="S235" i="29" s="1"/>
  <c r="J235" i="29" s="1"/>
  <c r="L235" i="29" s="1"/>
  <c r="K79" i="29"/>
  <c r="J79" i="29"/>
  <c r="J104" i="29"/>
  <c r="N260" i="29"/>
  <c r="F104" i="29"/>
  <c r="L104" i="29"/>
  <c r="C104" i="29"/>
  <c r="K104" i="29"/>
  <c r="H104" i="29"/>
  <c r="N104" i="29" s="1"/>
  <c r="M104" i="29"/>
  <c r="G104" i="29"/>
  <c r="P260" i="29"/>
  <c r="S260" i="29" s="1"/>
  <c r="J260" i="29" s="1"/>
  <c r="L260" i="29" s="1"/>
  <c r="I104" i="29"/>
  <c r="F85" i="29"/>
  <c r="I85" i="29"/>
  <c r="M85" i="29"/>
  <c r="P241" i="29"/>
  <c r="S241" i="29" s="1"/>
  <c r="J241" i="29" s="1"/>
  <c r="L241" i="29" s="1"/>
  <c r="N241" i="29"/>
  <c r="J85" i="29"/>
  <c r="G85" i="29"/>
  <c r="H85" i="29"/>
  <c r="N85" i="29" s="1"/>
  <c r="L85" i="29"/>
  <c r="K85" i="29"/>
  <c r="C85" i="29"/>
  <c r="N323" i="29"/>
  <c r="F167" i="29"/>
  <c r="G167" i="29"/>
  <c r="C167" i="29"/>
  <c r="K167" i="29"/>
  <c r="I167" i="29"/>
  <c r="H167" i="29"/>
  <c r="N167" i="29" s="1"/>
  <c r="J167" i="29"/>
  <c r="M167" i="29"/>
  <c r="P323" i="29"/>
  <c r="S323" i="29" s="1"/>
  <c r="J323" i="29" s="1"/>
  <c r="L323" i="29" s="1"/>
  <c r="L167" i="29"/>
  <c r="P244" i="29"/>
  <c r="S244" i="29" s="1"/>
  <c r="J244" i="29" s="1"/>
  <c r="L244" i="29" s="1"/>
  <c r="H88" i="29"/>
  <c r="N88" i="29" s="1"/>
  <c r="N244" i="29"/>
  <c r="K88" i="29"/>
  <c r="G88" i="29"/>
  <c r="C88" i="29"/>
  <c r="F88" i="29"/>
  <c r="L88" i="29"/>
  <c r="M88" i="29"/>
  <c r="J88" i="29"/>
  <c r="I88" i="29"/>
  <c r="A262" i="30"/>
  <c r="G106" i="30"/>
  <c r="L106" i="30"/>
  <c r="K106" i="30"/>
  <c r="H106" i="30"/>
  <c r="N106" i="30" s="1"/>
  <c r="M106" i="30"/>
  <c r="N262" i="30"/>
  <c r="I106" i="30"/>
  <c r="A106" i="30"/>
  <c r="C106" i="30"/>
  <c r="P262" i="30"/>
  <c r="S262" i="30" s="1"/>
  <c r="J262" i="30" s="1"/>
  <c r="L262" i="30" s="1"/>
  <c r="F106" i="30"/>
  <c r="J106" i="30"/>
  <c r="H162" i="1"/>
  <c r="N162" i="1" s="1"/>
  <c r="K162" i="1"/>
  <c r="G162" i="1"/>
  <c r="F162" i="1"/>
  <c r="M162" i="1"/>
  <c r="J162" i="1"/>
  <c r="C162" i="1"/>
  <c r="N318" i="1"/>
  <c r="I162" i="1"/>
  <c r="L162" i="1"/>
  <c r="P318" i="1"/>
  <c r="S318" i="1" s="1"/>
  <c r="J318" i="1" s="1"/>
  <c r="L318" i="1" s="1"/>
  <c r="P265" i="31"/>
  <c r="S265" i="31" s="1"/>
  <c r="J265" i="31" s="1"/>
  <c r="L265" i="31" s="1"/>
  <c r="L109" i="31"/>
  <c r="K109" i="31"/>
  <c r="J109" i="31"/>
  <c r="I109" i="31"/>
  <c r="C109" i="31"/>
  <c r="H109" i="31"/>
  <c r="N109" i="31" s="1"/>
  <c r="F109" i="31"/>
  <c r="G109" i="31"/>
  <c r="A265" i="31"/>
  <c r="A109" i="31"/>
  <c r="N265" i="31"/>
  <c r="M109" i="31"/>
  <c r="K57" i="1"/>
  <c r="J57" i="1"/>
  <c r="P213" i="1"/>
  <c r="S213" i="1" s="1"/>
  <c r="J213" i="1" s="1"/>
  <c r="L213" i="1" s="1"/>
  <c r="N213" i="1"/>
  <c r="M57" i="1"/>
  <c r="G57" i="1"/>
  <c r="I57" i="1"/>
  <c r="C57" i="1"/>
  <c r="F57" i="1"/>
  <c r="H57" i="1"/>
  <c r="N57" i="1" s="1"/>
  <c r="L57" i="1"/>
  <c r="K132" i="31"/>
  <c r="H132" i="31"/>
  <c r="N132" i="31" s="1"/>
  <c r="J132" i="31"/>
  <c r="C132" i="31"/>
  <c r="L132" i="31"/>
  <c r="I132" i="31"/>
  <c r="G132" i="31"/>
  <c r="A288" i="31"/>
  <c r="F132" i="31"/>
  <c r="A132" i="31"/>
  <c r="M132" i="31"/>
  <c r="N288" i="31"/>
  <c r="P288" i="31"/>
  <c r="S288" i="31" s="1"/>
  <c r="J288" i="31" s="1"/>
  <c r="L288" i="31" s="1"/>
  <c r="P247" i="30"/>
  <c r="S247" i="30" s="1"/>
  <c r="J247" i="30" s="1"/>
  <c r="L247" i="30" s="1"/>
  <c r="G91" i="30"/>
  <c r="I91" i="30"/>
  <c r="N247" i="30"/>
  <c r="M91" i="30"/>
  <c r="L91" i="30"/>
  <c r="H91" i="30"/>
  <c r="N91" i="30" s="1"/>
  <c r="K91" i="30"/>
  <c r="J91" i="30"/>
  <c r="F91" i="30"/>
  <c r="A91" i="30"/>
  <c r="A247" i="30"/>
  <c r="C91" i="30"/>
  <c r="N289" i="31"/>
  <c r="I133" i="31"/>
  <c r="F133" i="31"/>
  <c r="C133" i="31"/>
  <c r="M133" i="31"/>
  <c r="J133" i="31"/>
  <c r="G133" i="31"/>
  <c r="A133" i="31"/>
  <c r="A289" i="31"/>
  <c r="H133" i="31"/>
  <c r="N133" i="31" s="1"/>
  <c r="P289" i="31"/>
  <c r="S289" i="31" s="1"/>
  <c r="J289" i="31" s="1"/>
  <c r="L289" i="31" s="1"/>
  <c r="L133" i="31"/>
  <c r="K133" i="31"/>
  <c r="N197" i="30"/>
  <c r="H41" i="30"/>
  <c r="N41" i="30" s="1"/>
  <c r="G41" i="30"/>
  <c r="K41" i="30"/>
  <c r="P197" i="30"/>
  <c r="S197" i="30" s="1"/>
  <c r="J197" i="30" s="1"/>
  <c r="L197" i="30" s="1"/>
  <c r="I41" i="30"/>
  <c r="F41" i="30"/>
  <c r="M41" i="30"/>
  <c r="J41" i="30"/>
  <c r="C41" i="30"/>
  <c r="L41" i="30"/>
  <c r="A197" i="30"/>
  <c r="A41" i="30"/>
  <c r="I90" i="1"/>
  <c r="P246" i="1"/>
  <c r="S246" i="1" s="1"/>
  <c r="J246" i="1" s="1"/>
  <c r="L246" i="1" s="1"/>
  <c r="M90" i="1"/>
  <c r="L90" i="1"/>
  <c r="G90" i="1"/>
  <c r="N246" i="1"/>
  <c r="K90" i="1"/>
  <c r="F90" i="1"/>
  <c r="C90" i="1"/>
  <c r="H90" i="1"/>
  <c r="N90" i="1" s="1"/>
  <c r="J90" i="1"/>
  <c r="C114" i="31"/>
  <c r="K114" i="31"/>
  <c r="H114" i="31"/>
  <c r="N114" i="31" s="1"/>
  <c r="G114" i="31"/>
  <c r="J114" i="31"/>
  <c r="P270" i="31"/>
  <c r="S270" i="31" s="1"/>
  <c r="J270" i="31" s="1"/>
  <c r="L270" i="31" s="1"/>
  <c r="N270" i="31"/>
  <c r="F114" i="31"/>
  <c r="I114" i="31"/>
  <c r="M114" i="31"/>
  <c r="L114" i="31"/>
  <c r="A270" i="31"/>
  <c r="A114" i="31"/>
  <c r="M15" i="6"/>
  <c r="L15" i="6"/>
  <c r="O16" i="6" s="1"/>
  <c r="M16" i="6" s="1"/>
  <c r="F93" i="30"/>
  <c r="H93" i="30"/>
  <c r="N93" i="30" s="1"/>
  <c r="C93" i="30"/>
  <c r="L93" i="30"/>
  <c r="J93" i="30"/>
  <c r="G93" i="30"/>
  <c r="A249" i="30"/>
  <c r="N249" i="30"/>
  <c r="A93" i="30"/>
  <c r="I93" i="30"/>
  <c r="K93" i="30"/>
  <c r="P249" i="30"/>
  <c r="S249" i="30" s="1"/>
  <c r="J249" i="30" s="1"/>
  <c r="L249" i="30" s="1"/>
  <c r="M93" i="30"/>
  <c r="G34" i="30"/>
  <c r="J34" i="30"/>
  <c r="C34" i="30"/>
  <c r="A190" i="30"/>
  <c r="K34" i="30"/>
  <c r="I34" i="30"/>
  <c r="H34" i="30"/>
  <c r="N34" i="30" s="1"/>
  <c r="M34" i="30"/>
  <c r="A34" i="30"/>
  <c r="N190" i="30"/>
  <c r="L34" i="30"/>
  <c r="P190" i="30"/>
  <c r="S190" i="30" s="1"/>
  <c r="J190" i="30" s="1"/>
  <c r="L190" i="30" s="1"/>
  <c r="F34" i="30"/>
  <c r="C166" i="1"/>
  <c r="P322" i="1"/>
  <c r="S322" i="1" s="1"/>
  <c r="J322" i="1" s="1"/>
  <c r="L322" i="1" s="1"/>
  <c r="F166" i="1"/>
  <c r="N322" i="1"/>
  <c r="J166" i="1"/>
  <c r="I166" i="1"/>
  <c r="L166" i="1"/>
  <c r="M166" i="1"/>
  <c r="G166" i="1"/>
  <c r="K166" i="1"/>
  <c r="H166" i="1"/>
  <c r="N166" i="1" s="1"/>
  <c r="I76" i="31"/>
  <c r="A76" i="31"/>
  <c r="F76" i="31"/>
  <c r="A232" i="31"/>
  <c r="L76" i="31"/>
  <c r="K76" i="31"/>
  <c r="J76" i="31"/>
  <c r="G76" i="31"/>
  <c r="H76" i="31"/>
  <c r="N76" i="31" s="1"/>
  <c r="N232" i="31"/>
  <c r="P232" i="31"/>
  <c r="S232" i="31" s="1"/>
  <c r="J232" i="31" s="1"/>
  <c r="L232" i="31" s="1"/>
  <c r="C76" i="31"/>
  <c r="M76" i="31"/>
  <c r="K62" i="1"/>
  <c r="G62" i="1"/>
  <c r="J62" i="1"/>
  <c r="M62" i="1"/>
  <c r="L62" i="1"/>
  <c r="C62" i="1"/>
  <c r="F62" i="1"/>
  <c r="P218" i="1"/>
  <c r="S218" i="1" s="1"/>
  <c r="J218" i="1" s="1"/>
  <c r="L218" i="1" s="1"/>
  <c r="H62" i="1"/>
  <c r="N62" i="1" s="1"/>
  <c r="I62" i="1"/>
  <c r="N218" i="1"/>
  <c r="K77" i="31"/>
  <c r="J77" i="31"/>
  <c r="G77" i="31"/>
  <c r="M77" i="31"/>
  <c r="L77" i="31"/>
  <c r="F77" i="31"/>
  <c r="C77" i="31"/>
  <c r="I77" i="31"/>
  <c r="H77" i="31"/>
  <c r="N77" i="31" s="1"/>
  <c r="P233" i="31"/>
  <c r="S233" i="31" s="1"/>
  <c r="J233" i="31" s="1"/>
  <c r="L233" i="31" s="1"/>
  <c r="N233" i="31"/>
  <c r="A233" i="31"/>
  <c r="A77" i="31"/>
  <c r="L88" i="1"/>
  <c r="C88" i="1"/>
  <c r="K88" i="1"/>
  <c r="P244" i="1"/>
  <c r="S244" i="1" s="1"/>
  <c r="J244" i="1" s="1"/>
  <c r="L244" i="1" s="1"/>
  <c r="I88" i="1"/>
  <c r="J88" i="1"/>
  <c r="M88" i="1"/>
  <c r="N244" i="1"/>
  <c r="F88" i="1"/>
  <c r="H88" i="1"/>
  <c r="N88" i="1" s="1"/>
  <c r="G88" i="1"/>
  <c r="C159" i="31"/>
  <c r="J159" i="31"/>
  <c r="P315" i="31"/>
  <c r="S315" i="31" s="1"/>
  <c r="J315" i="31" s="1"/>
  <c r="L315" i="31" s="1"/>
  <c r="H159" i="31"/>
  <c r="N159" i="31" s="1"/>
  <c r="G159" i="31"/>
  <c r="I159" i="31"/>
  <c r="M159" i="31"/>
  <c r="L159" i="31"/>
  <c r="F159" i="31"/>
  <c r="A315" i="31"/>
  <c r="N315" i="31"/>
  <c r="A159" i="31"/>
  <c r="K159" i="31"/>
  <c r="K118" i="30"/>
  <c r="M118" i="30"/>
  <c r="J118" i="30"/>
  <c r="I118" i="30"/>
  <c r="P274" i="30"/>
  <c r="S274" i="30" s="1"/>
  <c r="J274" i="30" s="1"/>
  <c r="L274" i="30" s="1"/>
  <c r="A118" i="30"/>
  <c r="C118" i="30"/>
  <c r="N274" i="30"/>
  <c r="A274" i="30"/>
  <c r="H118" i="30"/>
  <c r="N118" i="30" s="1"/>
  <c r="L118" i="30"/>
  <c r="G118" i="30"/>
  <c r="F118" i="30"/>
  <c r="F42" i="1"/>
  <c r="N198" i="1"/>
  <c r="G42" i="1"/>
  <c r="M42" i="1"/>
  <c r="P198" i="1"/>
  <c r="S198" i="1" s="1"/>
  <c r="J198" i="1" s="1"/>
  <c r="L198" i="1" s="1"/>
  <c r="I42" i="1"/>
  <c r="L42" i="1"/>
  <c r="K42" i="1"/>
  <c r="C42" i="1"/>
  <c r="H42" i="1"/>
  <c r="N42" i="1" s="1"/>
  <c r="J42" i="1"/>
  <c r="L75" i="1"/>
  <c r="C75" i="1"/>
  <c r="I75" i="1"/>
  <c r="G75" i="1"/>
  <c r="K75" i="1"/>
  <c r="J75" i="1"/>
  <c r="F75" i="1"/>
  <c r="M75" i="1"/>
  <c r="P231" i="1"/>
  <c r="S231" i="1" s="1"/>
  <c r="J231" i="1" s="1"/>
  <c r="L231" i="1" s="1"/>
  <c r="N231" i="1"/>
  <c r="H75" i="1"/>
  <c r="N75" i="1" s="1"/>
  <c r="H142" i="30"/>
  <c r="N142" i="30" s="1"/>
  <c r="I142" i="30"/>
  <c r="C142" i="30"/>
  <c r="P298" i="30"/>
  <c r="S298" i="30" s="1"/>
  <c r="J298" i="30" s="1"/>
  <c r="L298" i="30" s="1"/>
  <c r="G142" i="30"/>
  <c r="J142" i="30"/>
  <c r="N298" i="30"/>
  <c r="M142" i="30"/>
  <c r="A142" i="30"/>
  <c r="A298" i="30"/>
  <c r="L142" i="30"/>
  <c r="K142" i="30"/>
  <c r="F142" i="30"/>
  <c r="L124" i="30"/>
  <c r="P280" i="30"/>
  <c r="S280" i="30" s="1"/>
  <c r="J280" i="30" s="1"/>
  <c r="L280" i="30" s="1"/>
  <c r="N280" i="30"/>
  <c r="H124" i="30"/>
  <c r="N124" i="30" s="1"/>
  <c r="C124" i="30"/>
  <c r="M124" i="30"/>
  <c r="A280" i="30"/>
  <c r="A124" i="30"/>
  <c r="G124" i="30"/>
  <c r="K124" i="30"/>
  <c r="J124" i="30"/>
  <c r="I124" i="30"/>
  <c r="F124" i="30"/>
  <c r="F102" i="1"/>
  <c r="C102" i="1"/>
  <c r="L102" i="1"/>
  <c r="N258" i="1"/>
  <c r="P258" i="1"/>
  <c r="S258" i="1" s="1"/>
  <c r="J258" i="1" s="1"/>
  <c r="L258" i="1" s="1"/>
  <c r="J102" i="1"/>
  <c r="K102" i="1"/>
  <c r="M102" i="1"/>
  <c r="I102" i="1"/>
  <c r="G102" i="1"/>
  <c r="H102" i="1"/>
  <c r="N102" i="1" s="1"/>
  <c r="G172" i="29"/>
  <c r="F172" i="29"/>
  <c r="P328" i="29"/>
  <c r="S328" i="29" s="1"/>
  <c r="J328" i="29" s="1"/>
  <c r="L328" i="29" s="1"/>
  <c r="K172" i="29"/>
  <c r="L172" i="29"/>
  <c r="J172" i="29"/>
  <c r="M172" i="29"/>
  <c r="N328" i="29"/>
  <c r="H172" i="29"/>
  <c r="N172" i="29" s="1"/>
  <c r="C172" i="29"/>
  <c r="I172" i="29"/>
  <c r="P249" i="29"/>
  <c r="S249" i="29" s="1"/>
  <c r="J249" i="29" s="1"/>
  <c r="L249" i="29" s="1"/>
  <c r="I93" i="29"/>
  <c r="H93" i="29"/>
  <c r="N93" i="29" s="1"/>
  <c r="M93" i="29"/>
  <c r="N249" i="29"/>
  <c r="G93" i="29"/>
  <c r="L93" i="29"/>
  <c r="F93" i="29"/>
  <c r="J93" i="29"/>
  <c r="C93" i="29"/>
  <c r="K93" i="29"/>
  <c r="L95" i="29"/>
  <c r="F95" i="29"/>
  <c r="I95" i="29"/>
  <c r="N251" i="29"/>
  <c r="P251" i="29"/>
  <c r="S251" i="29" s="1"/>
  <c r="J251" i="29" s="1"/>
  <c r="L251" i="29" s="1"/>
  <c r="H95" i="29"/>
  <c r="N95" i="29" s="1"/>
  <c r="G95" i="29"/>
  <c r="C95" i="29"/>
  <c r="J95" i="29"/>
  <c r="K95" i="29"/>
  <c r="M95" i="29"/>
  <c r="B110" i="26"/>
  <c r="AQ102" i="19"/>
  <c r="K180" i="29"/>
  <c r="J180" i="29"/>
  <c r="I180" i="29"/>
  <c r="P336" i="29"/>
  <c r="S336" i="29" s="1"/>
  <c r="J336" i="29" s="1"/>
  <c r="L336" i="29" s="1"/>
  <c r="M180" i="29"/>
  <c r="H180" i="29"/>
  <c r="N180" i="29" s="1"/>
  <c r="N336" i="29"/>
  <c r="G180" i="29"/>
  <c r="F180" i="29"/>
  <c r="C180" i="29"/>
  <c r="L180" i="29"/>
  <c r="M121" i="29"/>
  <c r="P277" i="29"/>
  <c r="S277" i="29" s="1"/>
  <c r="J277" i="29" s="1"/>
  <c r="L277" i="29" s="1"/>
  <c r="N277" i="29"/>
  <c r="H121" i="29"/>
  <c r="N121" i="29" s="1"/>
  <c r="L121" i="29"/>
  <c r="I121" i="29"/>
  <c r="G121" i="29"/>
  <c r="J121" i="29"/>
  <c r="F121" i="29"/>
  <c r="K121" i="29"/>
  <c r="C121" i="29"/>
  <c r="L34" i="29"/>
  <c r="C34" i="29"/>
  <c r="I34" i="29"/>
  <c r="G34" i="29"/>
  <c r="F34" i="29"/>
  <c r="K34" i="29"/>
  <c r="H34" i="29"/>
  <c r="N34" i="29" s="1"/>
  <c r="N190" i="29"/>
  <c r="J34" i="29"/>
  <c r="M34" i="29"/>
  <c r="P190" i="29"/>
  <c r="S190" i="29" s="1"/>
  <c r="J190" i="29" s="1"/>
  <c r="L190" i="29" s="1"/>
  <c r="J183" i="29"/>
  <c r="C183" i="29"/>
  <c r="M183" i="29"/>
  <c r="L183" i="29"/>
  <c r="K183" i="29"/>
  <c r="F183" i="29"/>
  <c r="P339" i="29"/>
  <c r="S339" i="29" s="1"/>
  <c r="J339" i="29" s="1"/>
  <c r="L339" i="29" s="1"/>
  <c r="N339" i="29"/>
  <c r="I183" i="29"/>
  <c r="H183" i="29"/>
  <c r="N183" i="29" s="1"/>
  <c r="G183" i="29"/>
  <c r="C61" i="29"/>
  <c r="G61" i="29"/>
  <c r="K61" i="29"/>
  <c r="M61" i="29"/>
  <c r="P217" i="29"/>
  <c r="S217" i="29" s="1"/>
  <c r="J217" i="29" s="1"/>
  <c r="L217" i="29" s="1"/>
  <c r="N217" i="29"/>
  <c r="I61" i="29"/>
  <c r="J61" i="29"/>
  <c r="F61" i="29"/>
  <c r="H61" i="29"/>
  <c r="L61" i="29"/>
  <c r="L119" i="23"/>
  <c r="M119" i="23" s="1"/>
  <c r="L142" i="23"/>
  <c r="M142" i="23" s="1"/>
  <c r="L163" i="23"/>
  <c r="M163" i="23" s="1"/>
  <c r="L183" i="23"/>
  <c r="M183" i="23" s="1"/>
  <c r="I300" i="26" s="1"/>
  <c r="N282" i="30"/>
  <c r="L126" i="30"/>
  <c r="M126" i="30"/>
  <c r="P282" i="30"/>
  <c r="S282" i="30" s="1"/>
  <c r="J282" i="30" s="1"/>
  <c r="L282" i="30" s="1"/>
  <c r="K126" i="30"/>
  <c r="J126" i="30"/>
  <c r="A282" i="30"/>
  <c r="H126" i="30"/>
  <c r="N126" i="30" s="1"/>
  <c r="G126" i="30"/>
  <c r="F126" i="30"/>
  <c r="A126" i="30"/>
  <c r="I126" i="30"/>
  <c r="C126" i="30"/>
  <c r="G168" i="31"/>
  <c r="F168" i="31"/>
  <c r="C168" i="31"/>
  <c r="P324" i="31"/>
  <c r="S324" i="31" s="1"/>
  <c r="J324" i="31" s="1"/>
  <c r="L324" i="31" s="1"/>
  <c r="K168" i="31"/>
  <c r="J168" i="31"/>
  <c r="A324" i="31"/>
  <c r="I168" i="31"/>
  <c r="A168" i="31"/>
  <c r="H168" i="31"/>
  <c r="N168" i="31" s="1"/>
  <c r="M168" i="31"/>
  <c r="N324" i="31"/>
  <c r="L168" i="31"/>
  <c r="M58" i="30"/>
  <c r="G58" i="30"/>
  <c r="I58" i="30"/>
  <c r="P214" i="30"/>
  <c r="S214" i="30" s="1"/>
  <c r="J214" i="30" s="1"/>
  <c r="L214" i="30" s="1"/>
  <c r="H58" i="30"/>
  <c r="N58" i="30" s="1"/>
  <c r="N214" i="30"/>
  <c r="F58" i="30"/>
  <c r="C58" i="30"/>
  <c r="K58" i="30"/>
  <c r="J58" i="30"/>
  <c r="L58" i="30"/>
  <c r="A58" i="30"/>
  <c r="A214" i="30"/>
  <c r="N298" i="1"/>
  <c r="C142" i="1"/>
  <c r="H142" i="1"/>
  <c r="N142" i="1" s="1"/>
  <c r="J142" i="1"/>
  <c r="L142" i="1"/>
  <c r="G142" i="1"/>
  <c r="I142" i="1"/>
  <c r="P298" i="1"/>
  <c r="S298" i="1" s="1"/>
  <c r="J298" i="1" s="1"/>
  <c r="L298" i="1" s="1"/>
  <c r="F142" i="1"/>
  <c r="K142" i="1"/>
  <c r="M142" i="1"/>
  <c r="M168" i="30"/>
  <c r="F168" i="30"/>
  <c r="I168" i="30"/>
  <c r="J168" i="30"/>
  <c r="G168" i="30"/>
  <c r="C168" i="30"/>
  <c r="A168" i="30"/>
  <c r="H168" i="30"/>
  <c r="N168" i="30" s="1"/>
  <c r="L168" i="30"/>
  <c r="K168" i="30"/>
  <c r="A324" i="30"/>
  <c r="P324" i="30"/>
  <c r="S324" i="30" s="1"/>
  <c r="J324" i="30" s="1"/>
  <c r="L324" i="30" s="1"/>
  <c r="N324" i="30"/>
  <c r="L59" i="31"/>
  <c r="I59" i="31"/>
  <c r="P215" i="31"/>
  <c r="S215" i="31" s="1"/>
  <c r="J215" i="31" s="1"/>
  <c r="L215" i="31" s="1"/>
  <c r="H59" i="31"/>
  <c r="N59" i="31" s="1"/>
  <c r="G59" i="31"/>
  <c r="F59" i="31"/>
  <c r="M59" i="31"/>
  <c r="C59" i="31"/>
  <c r="N215" i="31"/>
  <c r="K59" i="31"/>
  <c r="A59" i="31"/>
  <c r="A215" i="31"/>
  <c r="J59" i="31"/>
  <c r="J169" i="1"/>
  <c r="H169" i="1"/>
  <c r="N169" i="1" s="1"/>
  <c r="N325" i="1"/>
  <c r="F169" i="1"/>
  <c r="K169" i="1"/>
  <c r="C169" i="1"/>
  <c r="P325" i="1"/>
  <c r="S325" i="1" s="1"/>
  <c r="J325" i="1" s="1"/>
  <c r="L325" i="1" s="1"/>
  <c r="G169" i="1"/>
  <c r="M169" i="1"/>
  <c r="I169" i="1"/>
  <c r="L169" i="1"/>
  <c r="C111" i="31"/>
  <c r="K111" i="31"/>
  <c r="H111" i="31"/>
  <c r="N111" i="31" s="1"/>
  <c r="L111" i="31"/>
  <c r="F111" i="31"/>
  <c r="A111" i="31"/>
  <c r="I111" i="31"/>
  <c r="J111" i="31"/>
  <c r="G111" i="31"/>
  <c r="M111" i="31"/>
  <c r="N267" i="31"/>
  <c r="P267" i="31"/>
  <c r="S267" i="31" s="1"/>
  <c r="J267" i="31" s="1"/>
  <c r="L267" i="31" s="1"/>
  <c r="A267" i="31"/>
  <c r="G110" i="30"/>
  <c r="P266" i="30"/>
  <c r="S266" i="30" s="1"/>
  <c r="J266" i="30" s="1"/>
  <c r="L266" i="30" s="1"/>
  <c r="F110" i="30"/>
  <c r="C110" i="30"/>
  <c r="I110" i="30"/>
  <c r="J110" i="30"/>
  <c r="M110" i="30"/>
  <c r="A266" i="30"/>
  <c r="A110" i="30"/>
  <c r="L110" i="30"/>
  <c r="H110" i="30"/>
  <c r="N110" i="30" s="1"/>
  <c r="K110" i="30"/>
  <c r="N266" i="30"/>
  <c r="G86" i="1"/>
  <c r="K86" i="1"/>
  <c r="I86" i="1"/>
  <c r="M86" i="1"/>
  <c r="P242" i="1"/>
  <c r="S242" i="1" s="1"/>
  <c r="J242" i="1" s="1"/>
  <c r="L242" i="1" s="1"/>
  <c r="C86" i="1"/>
  <c r="F86" i="1"/>
  <c r="H86" i="1"/>
  <c r="N86" i="1" s="1"/>
  <c r="L86" i="1"/>
  <c r="N242" i="1"/>
  <c r="J86" i="1"/>
  <c r="H100" i="1"/>
  <c r="N100" i="1" s="1"/>
  <c r="J100" i="1"/>
  <c r="I78" i="26" s="1"/>
  <c r="E78" i="26" s="1"/>
  <c r="K100" i="1"/>
  <c r="G100" i="1"/>
  <c r="P256" i="1"/>
  <c r="S256" i="1" s="1"/>
  <c r="J256" i="1" s="1"/>
  <c r="L256" i="1" s="1"/>
  <c r="F100" i="1"/>
  <c r="N256" i="1"/>
  <c r="I100" i="1"/>
  <c r="L100" i="1"/>
  <c r="C100" i="1"/>
  <c r="M100" i="1"/>
  <c r="L113" i="30"/>
  <c r="M113" i="30"/>
  <c r="H113" i="30"/>
  <c r="N113" i="30" s="1"/>
  <c r="F113" i="30"/>
  <c r="C113" i="30"/>
  <c r="K113" i="30"/>
  <c r="P269" i="30"/>
  <c r="S269" i="30" s="1"/>
  <c r="J269" i="30" s="1"/>
  <c r="L269" i="30" s="1"/>
  <c r="I113" i="30"/>
  <c r="J113" i="30"/>
  <c r="N269" i="30"/>
  <c r="A269" i="30"/>
  <c r="A113" i="30"/>
  <c r="G113" i="30"/>
  <c r="F136" i="1"/>
  <c r="K136" i="1"/>
  <c r="J136" i="1"/>
  <c r="I136" i="1"/>
  <c r="C136" i="1"/>
  <c r="N292" i="1"/>
  <c r="L136" i="1"/>
  <c r="H136" i="1"/>
  <c r="N136" i="1" s="1"/>
  <c r="P292" i="1"/>
  <c r="S292" i="1" s="1"/>
  <c r="J292" i="1" s="1"/>
  <c r="L292" i="1" s="1"/>
  <c r="M136" i="1"/>
  <c r="G136" i="1"/>
  <c r="K155" i="31"/>
  <c r="J155" i="31"/>
  <c r="M155" i="31"/>
  <c r="P311" i="31"/>
  <c r="S311" i="31" s="1"/>
  <c r="J311" i="31" s="1"/>
  <c r="L311" i="31" s="1"/>
  <c r="H155" i="31"/>
  <c r="N155" i="31" s="1"/>
  <c r="F155" i="31"/>
  <c r="G155" i="31"/>
  <c r="A311" i="31"/>
  <c r="L155" i="31"/>
  <c r="I155" i="31"/>
  <c r="N311" i="31"/>
  <c r="A155" i="31"/>
  <c r="C155" i="31"/>
  <c r="F61" i="30"/>
  <c r="K61" i="30"/>
  <c r="G61" i="30"/>
  <c r="M61" i="30"/>
  <c r="I61" i="30"/>
  <c r="N217" i="30"/>
  <c r="P217" i="30"/>
  <c r="S217" i="30" s="1"/>
  <c r="J217" i="30" s="1"/>
  <c r="L217" i="30" s="1"/>
  <c r="J61" i="30"/>
  <c r="H61" i="30"/>
  <c r="N61" i="30" s="1"/>
  <c r="L61" i="30"/>
  <c r="C61" i="30"/>
  <c r="A61" i="30"/>
  <c r="A217" i="30"/>
  <c r="L176" i="1"/>
  <c r="C176" i="1"/>
  <c r="M176" i="1"/>
  <c r="G176" i="1"/>
  <c r="I176" i="1"/>
  <c r="H176" i="1"/>
  <c r="N176" i="1" s="1"/>
  <c r="N332" i="1"/>
  <c r="J176" i="1"/>
  <c r="F176" i="1"/>
  <c r="K176" i="1"/>
  <c r="P332" i="1"/>
  <c r="S332" i="1" s="1"/>
  <c r="J332" i="1" s="1"/>
  <c r="L332" i="1" s="1"/>
  <c r="L138" i="31"/>
  <c r="I138" i="31"/>
  <c r="C138" i="31"/>
  <c r="K138" i="31"/>
  <c r="J138" i="31"/>
  <c r="A294" i="31"/>
  <c r="G138" i="31"/>
  <c r="A138" i="31"/>
  <c r="N294" i="31"/>
  <c r="H138" i="31"/>
  <c r="N138" i="31" s="1"/>
  <c r="P294" i="31"/>
  <c r="S294" i="31" s="1"/>
  <c r="J294" i="31" s="1"/>
  <c r="L294" i="31" s="1"/>
  <c r="F138" i="31"/>
  <c r="M138" i="31"/>
  <c r="K117" i="30"/>
  <c r="M117" i="30"/>
  <c r="G117" i="30"/>
  <c r="F117" i="30"/>
  <c r="J117" i="30"/>
  <c r="C117" i="30"/>
  <c r="L117" i="30"/>
  <c r="A117" i="30"/>
  <c r="P273" i="30"/>
  <c r="S273" i="30" s="1"/>
  <c r="J273" i="30" s="1"/>
  <c r="L273" i="30" s="1"/>
  <c r="A273" i="30"/>
  <c r="N273" i="30"/>
  <c r="I117" i="30"/>
  <c r="H117" i="30"/>
  <c r="N117" i="30" s="1"/>
  <c r="C54" i="1"/>
  <c r="L54" i="1"/>
  <c r="F54" i="1"/>
  <c r="H54" i="1"/>
  <c r="N54" i="1" s="1"/>
  <c r="P210" i="1"/>
  <c r="S210" i="1" s="1"/>
  <c r="J210" i="1" s="1"/>
  <c r="L210" i="1" s="1"/>
  <c r="N210" i="1"/>
  <c r="G54" i="1"/>
  <c r="K54" i="1"/>
  <c r="J54" i="1"/>
  <c r="I54" i="1"/>
  <c r="M54" i="1"/>
  <c r="K139" i="30"/>
  <c r="C139" i="30"/>
  <c r="A139" i="30"/>
  <c r="F139" i="30"/>
  <c r="A295" i="30"/>
  <c r="H139" i="30"/>
  <c r="N139" i="30" s="1"/>
  <c r="I139" i="30"/>
  <c r="G139" i="30"/>
  <c r="N295" i="30"/>
  <c r="L139" i="30"/>
  <c r="J139" i="30"/>
  <c r="M139" i="30"/>
  <c r="P295" i="30"/>
  <c r="S295" i="30" s="1"/>
  <c r="J295" i="30" s="1"/>
  <c r="L295" i="30" s="1"/>
  <c r="A191" i="30"/>
  <c r="M35" i="30"/>
  <c r="K35" i="30"/>
  <c r="N191" i="30"/>
  <c r="L35" i="30"/>
  <c r="J35" i="30"/>
  <c r="G35" i="30"/>
  <c r="A35" i="30"/>
  <c r="F35" i="30"/>
  <c r="I35" i="30"/>
  <c r="P191" i="30"/>
  <c r="S191" i="30" s="1"/>
  <c r="J191" i="30" s="1"/>
  <c r="L191" i="30" s="1"/>
  <c r="H35" i="30"/>
  <c r="N35" i="30" s="1"/>
  <c r="C35" i="30"/>
  <c r="H82" i="31"/>
  <c r="N82" i="31" s="1"/>
  <c r="G82" i="31"/>
  <c r="K82" i="31"/>
  <c r="M82" i="31"/>
  <c r="A82" i="31"/>
  <c r="F82" i="31"/>
  <c r="J82" i="31"/>
  <c r="I82" i="31"/>
  <c r="P238" i="31"/>
  <c r="S238" i="31" s="1"/>
  <c r="J238" i="31" s="1"/>
  <c r="L238" i="31" s="1"/>
  <c r="L82" i="31"/>
  <c r="N238" i="31"/>
  <c r="C82" i="31"/>
  <c r="A238" i="31"/>
  <c r="I162" i="30"/>
  <c r="A318" i="30"/>
  <c r="C162" i="30"/>
  <c r="F162" i="30"/>
  <c r="H162" i="30"/>
  <c r="N162" i="30" s="1"/>
  <c r="P318" i="30"/>
  <c r="S318" i="30" s="1"/>
  <c r="J318" i="30" s="1"/>
  <c r="L318" i="30" s="1"/>
  <c r="N318" i="30"/>
  <c r="L162" i="30"/>
  <c r="A162" i="30"/>
  <c r="G162" i="30"/>
  <c r="M162" i="30"/>
  <c r="K162" i="30"/>
  <c r="J162" i="30"/>
  <c r="H180" i="1"/>
  <c r="N180" i="1" s="1"/>
  <c r="I180" i="1"/>
  <c r="N336" i="1"/>
  <c r="P336" i="1"/>
  <c r="S336" i="1" s="1"/>
  <c r="J336" i="1" s="1"/>
  <c r="L336" i="1" s="1"/>
  <c r="L180" i="1"/>
  <c r="M180" i="1"/>
  <c r="J180" i="1"/>
  <c r="F180" i="1"/>
  <c r="C180" i="1"/>
  <c r="K180" i="1"/>
  <c r="G180" i="1"/>
  <c r="G58" i="31"/>
  <c r="I58" i="31"/>
  <c r="L58" i="31"/>
  <c r="J58" i="31"/>
  <c r="A214" i="31"/>
  <c r="H58" i="31"/>
  <c r="N58" i="31" s="1"/>
  <c r="K58" i="31"/>
  <c r="M58" i="31"/>
  <c r="A58" i="31"/>
  <c r="C58" i="31"/>
  <c r="N214" i="31"/>
  <c r="F58" i="31"/>
  <c r="P214" i="31"/>
  <c r="S214" i="31" s="1"/>
  <c r="J214" i="31" s="1"/>
  <c r="L214" i="31" s="1"/>
  <c r="J144" i="30"/>
  <c r="G144" i="30"/>
  <c r="I144" i="30"/>
  <c r="F144" i="30"/>
  <c r="A300" i="30"/>
  <c r="A144" i="30"/>
  <c r="L144" i="30"/>
  <c r="P300" i="30"/>
  <c r="S300" i="30" s="1"/>
  <c r="J300" i="30" s="1"/>
  <c r="L300" i="30" s="1"/>
  <c r="C144" i="30"/>
  <c r="H144" i="30"/>
  <c r="N144" i="30" s="1"/>
  <c r="M144" i="30"/>
  <c r="K144" i="30"/>
  <c r="N300" i="30"/>
  <c r="C53" i="31"/>
  <c r="H53" i="31"/>
  <c r="N53" i="31" s="1"/>
  <c r="I53" i="31"/>
  <c r="J53" i="31"/>
  <c r="G53" i="31"/>
  <c r="N209" i="31"/>
  <c r="F53" i="31"/>
  <c r="A53" i="31"/>
  <c r="P209" i="31"/>
  <c r="S209" i="31" s="1"/>
  <c r="J209" i="31" s="1"/>
  <c r="L209" i="31" s="1"/>
  <c r="A209" i="31"/>
  <c r="L53" i="31"/>
  <c r="M53" i="31"/>
  <c r="K53" i="31"/>
  <c r="J159" i="1"/>
  <c r="G159" i="1"/>
  <c r="H159" i="1"/>
  <c r="N159" i="1" s="1"/>
  <c r="L159" i="1"/>
  <c r="I159" i="1"/>
  <c r="M159" i="1"/>
  <c r="F159" i="1"/>
  <c r="K159" i="1"/>
  <c r="P315" i="1"/>
  <c r="S315" i="1" s="1"/>
  <c r="J315" i="1" s="1"/>
  <c r="L315" i="1" s="1"/>
  <c r="C159" i="1"/>
  <c r="N315" i="1"/>
  <c r="G97" i="29"/>
  <c r="I97" i="29"/>
  <c r="N253" i="29"/>
  <c r="C97" i="29"/>
  <c r="P253" i="29"/>
  <c r="S253" i="29" s="1"/>
  <c r="J253" i="29" s="1"/>
  <c r="L253" i="29" s="1"/>
  <c r="F97" i="29"/>
  <c r="M97" i="29"/>
  <c r="K97" i="29"/>
  <c r="J97" i="29"/>
  <c r="L97" i="29"/>
  <c r="H97" i="29"/>
  <c r="N97" i="29" s="1"/>
  <c r="P255" i="29"/>
  <c r="S255" i="29" s="1"/>
  <c r="J255" i="29" s="1"/>
  <c r="L255" i="29" s="1"/>
  <c r="L99" i="29"/>
  <c r="N255" i="29"/>
  <c r="F99" i="29"/>
  <c r="G99" i="29"/>
  <c r="M99" i="29"/>
  <c r="H99" i="29"/>
  <c r="N99" i="29" s="1"/>
  <c r="J99" i="29"/>
  <c r="I99" i="29"/>
  <c r="K99" i="29"/>
  <c r="C99" i="29"/>
  <c r="N297" i="29"/>
  <c r="M141" i="29"/>
  <c r="K141" i="29"/>
  <c r="I141" i="29"/>
  <c r="C141" i="29"/>
  <c r="J141" i="29"/>
  <c r="L141" i="29"/>
  <c r="G141" i="29"/>
  <c r="F141" i="29"/>
  <c r="H141" i="29"/>
  <c r="N141" i="29" s="1"/>
  <c r="P297" i="29"/>
  <c r="S297" i="29" s="1"/>
  <c r="J297" i="29" s="1"/>
  <c r="L297" i="29" s="1"/>
  <c r="K124" i="29"/>
  <c r="J124" i="29"/>
  <c r="L124" i="29"/>
  <c r="G124" i="29"/>
  <c r="P280" i="29"/>
  <c r="S280" i="29" s="1"/>
  <c r="J280" i="29" s="1"/>
  <c r="L280" i="29" s="1"/>
  <c r="N280" i="29"/>
  <c r="H124" i="29"/>
  <c r="N124" i="29" s="1"/>
  <c r="M124" i="29"/>
  <c r="I124" i="29"/>
  <c r="F124" i="29"/>
  <c r="C124" i="29"/>
  <c r="C146" i="29"/>
  <c r="J146" i="29"/>
  <c r="F146" i="29"/>
  <c r="K146" i="29"/>
  <c r="G146" i="29"/>
  <c r="L146" i="29"/>
  <c r="I146" i="29"/>
  <c r="H146" i="29"/>
  <c r="N146" i="29" s="1"/>
  <c r="N302" i="29"/>
  <c r="P302" i="29"/>
  <c r="S302" i="29" s="1"/>
  <c r="J302" i="29" s="1"/>
  <c r="L302" i="29" s="1"/>
  <c r="M146" i="29"/>
  <c r="M150" i="29"/>
  <c r="J150" i="29"/>
  <c r="H150" i="29"/>
  <c r="N150" i="29" s="1"/>
  <c r="G150" i="29"/>
  <c r="I150" i="29"/>
  <c r="N306" i="29"/>
  <c r="K150" i="29"/>
  <c r="C150" i="29"/>
  <c r="L150" i="29"/>
  <c r="P306" i="29"/>
  <c r="S306" i="29" s="1"/>
  <c r="J306" i="29" s="1"/>
  <c r="L306" i="29" s="1"/>
  <c r="F150" i="29"/>
  <c r="H108" i="29"/>
  <c r="N108" i="29" s="1"/>
  <c r="K108" i="29"/>
  <c r="N264" i="29"/>
  <c r="M108" i="29"/>
  <c r="P264" i="29"/>
  <c r="S264" i="29" s="1"/>
  <c r="J264" i="29" s="1"/>
  <c r="L264" i="29" s="1"/>
  <c r="I108" i="29"/>
  <c r="G108" i="29"/>
  <c r="L108" i="29"/>
  <c r="C108" i="29"/>
  <c r="F108" i="29"/>
  <c r="J108" i="29"/>
  <c r="AS176" i="19"/>
  <c r="C184" i="26"/>
  <c r="M120" i="1"/>
  <c r="F120" i="1"/>
  <c r="K120" i="1"/>
  <c r="P276" i="1"/>
  <c r="S276" i="1" s="1"/>
  <c r="J276" i="1" s="1"/>
  <c r="L276" i="1" s="1"/>
  <c r="N276" i="1"/>
  <c r="J120" i="1"/>
  <c r="C120" i="1"/>
  <c r="L120" i="1"/>
  <c r="H120" i="1"/>
  <c r="N120" i="1" s="1"/>
  <c r="I120" i="1"/>
  <c r="G120" i="1"/>
  <c r="K46" i="1"/>
  <c r="M46" i="1"/>
  <c r="J46" i="1"/>
  <c r="I46" i="1"/>
  <c r="G46" i="1"/>
  <c r="L46" i="1"/>
  <c r="H46" i="1"/>
  <c r="N46" i="1" s="1"/>
  <c r="C46" i="1"/>
  <c r="P202" i="1"/>
  <c r="S202" i="1" s="1"/>
  <c r="J202" i="1" s="1"/>
  <c r="L202" i="1" s="1"/>
  <c r="F46" i="1"/>
  <c r="N202" i="1"/>
  <c r="B171" i="6"/>
  <c r="G171" i="6"/>
  <c r="K171" i="6"/>
  <c r="L171" i="6" s="1"/>
  <c r="G81" i="1"/>
  <c r="H81" i="1"/>
  <c r="N81" i="1" s="1"/>
  <c r="K81" i="1"/>
  <c r="F81" i="1"/>
  <c r="M81" i="1"/>
  <c r="L81" i="1"/>
  <c r="N237" i="1"/>
  <c r="J81" i="1"/>
  <c r="A59" i="26" s="1"/>
  <c r="P237" i="1"/>
  <c r="S237" i="1" s="1"/>
  <c r="J237" i="1" s="1"/>
  <c r="L237" i="1" s="1"/>
  <c r="I81" i="1"/>
  <c r="C81" i="1"/>
  <c r="M152" i="31"/>
  <c r="L152" i="31"/>
  <c r="H152" i="31"/>
  <c r="N152" i="31" s="1"/>
  <c r="N308" i="31"/>
  <c r="P308" i="31"/>
  <c r="S308" i="31" s="1"/>
  <c r="J308" i="31" s="1"/>
  <c r="L308" i="31" s="1"/>
  <c r="I152" i="31"/>
  <c r="G152" i="31"/>
  <c r="J152" i="31"/>
  <c r="F152" i="31"/>
  <c r="C152" i="31"/>
  <c r="K152" i="31"/>
  <c r="A152" i="31"/>
  <c r="A308" i="31"/>
  <c r="C111" i="30"/>
  <c r="M111" i="30"/>
  <c r="A111" i="30"/>
  <c r="L111" i="30"/>
  <c r="K111" i="30"/>
  <c r="A267" i="30"/>
  <c r="H111" i="30"/>
  <c r="N111" i="30" s="1"/>
  <c r="J111" i="30"/>
  <c r="N267" i="30"/>
  <c r="P267" i="30"/>
  <c r="S267" i="30" s="1"/>
  <c r="J267" i="30" s="1"/>
  <c r="L267" i="30" s="1"/>
  <c r="I111" i="30"/>
  <c r="G111" i="30"/>
  <c r="F111" i="30"/>
  <c r="G118" i="1"/>
  <c r="M118" i="1"/>
  <c r="K118" i="1"/>
  <c r="C118" i="1"/>
  <c r="L118" i="1"/>
  <c r="P274" i="1"/>
  <c r="S274" i="1" s="1"/>
  <c r="J274" i="1" s="1"/>
  <c r="L274" i="1" s="1"/>
  <c r="I118" i="1"/>
  <c r="H118" i="1"/>
  <c r="N118" i="1" s="1"/>
  <c r="N274" i="1"/>
  <c r="J118" i="1"/>
  <c r="F118" i="1"/>
  <c r="K153" i="31"/>
  <c r="J153" i="31"/>
  <c r="L153" i="31"/>
  <c r="I153" i="31"/>
  <c r="M153" i="31"/>
  <c r="H153" i="31"/>
  <c r="N153" i="31" s="1"/>
  <c r="F153" i="31"/>
  <c r="C153" i="31"/>
  <c r="G153" i="31"/>
  <c r="A309" i="31"/>
  <c r="P309" i="31"/>
  <c r="S309" i="31" s="1"/>
  <c r="J309" i="31" s="1"/>
  <c r="L309" i="31" s="1"/>
  <c r="N309" i="31"/>
  <c r="A153" i="31"/>
  <c r="I92" i="30"/>
  <c r="A92" i="30"/>
  <c r="G92" i="30"/>
  <c r="A248" i="30"/>
  <c r="P248" i="30"/>
  <c r="S248" i="30" s="1"/>
  <c r="J248" i="30" s="1"/>
  <c r="L248" i="30" s="1"/>
  <c r="J92" i="30"/>
  <c r="F92" i="30"/>
  <c r="M92" i="30"/>
  <c r="L92" i="30"/>
  <c r="H92" i="30"/>
  <c r="N92" i="30" s="1"/>
  <c r="N248" i="30"/>
  <c r="K92" i="30"/>
  <c r="C92" i="30"/>
  <c r="J175" i="31"/>
  <c r="G175" i="31"/>
  <c r="K175" i="31"/>
  <c r="H175" i="31"/>
  <c r="N175" i="31" s="1"/>
  <c r="M175" i="31"/>
  <c r="L175" i="31"/>
  <c r="I175" i="31"/>
  <c r="P331" i="31"/>
  <c r="S331" i="31" s="1"/>
  <c r="J331" i="31" s="1"/>
  <c r="L331" i="31" s="1"/>
  <c r="N331" i="31"/>
  <c r="C175" i="31"/>
  <c r="A331" i="31"/>
  <c r="F175" i="31"/>
  <c r="A175" i="31"/>
  <c r="F96" i="31"/>
  <c r="C96" i="31"/>
  <c r="J96" i="31"/>
  <c r="L96" i="31"/>
  <c r="M96" i="31"/>
  <c r="P252" i="31"/>
  <c r="S252" i="31" s="1"/>
  <c r="J252" i="31" s="1"/>
  <c r="L252" i="31" s="1"/>
  <c r="N252" i="31"/>
  <c r="H96" i="31"/>
  <c r="N96" i="31" s="1"/>
  <c r="K96" i="31"/>
  <c r="A96" i="31"/>
  <c r="I96" i="31"/>
  <c r="A252" i="31"/>
  <c r="G96" i="31"/>
  <c r="J39" i="30"/>
  <c r="A39" i="30"/>
  <c r="A195" i="30"/>
  <c r="N195" i="30"/>
  <c r="I39" i="30"/>
  <c r="K39" i="30"/>
  <c r="G39" i="30"/>
  <c r="H39" i="30"/>
  <c r="N39" i="30" s="1"/>
  <c r="L39" i="30"/>
  <c r="M39" i="30"/>
  <c r="C39" i="30"/>
  <c r="F39" i="30"/>
  <c r="P195" i="30"/>
  <c r="S195" i="30" s="1"/>
  <c r="J195" i="30" s="1"/>
  <c r="L195" i="30" s="1"/>
  <c r="M128" i="1"/>
  <c r="N284" i="1"/>
  <c r="P284" i="1"/>
  <c r="S284" i="1" s="1"/>
  <c r="J284" i="1" s="1"/>
  <c r="L284" i="1" s="1"/>
  <c r="F128" i="1"/>
  <c r="H128" i="1"/>
  <c r="N128" i="1" s="1"/>
  <c r="C128" i="1"/>
  <c r="L128" i="1"/>
  <c r="K128" i="1"/>
  <c r="G128" i="1"/>
  <c r="I128" i="1"/>
  <c r="J128" i="1"/>
  <c r="N232" i="30"/>
  <c r="P232" i="30"/>
  <c r="S232" i="30" s="1"/>
  <c r="J232" i="30" s="1"/>
  <c r="L232" i="30" s="1"/>
  <c r="F76" i="30"/>
  <c r="M76" i="30"/>
  <c r="K76" i="30"/>
  <c r="L76" i="30"/>
  <c r="H76" i="30"/>
  <c r="N76" i="30" s="1"/>
  <c r="A232" i="30"/>
  <c r="G76" i="30"/>
  <c r="J76" i="30"/>
  <c r="I76" i="30"/>
  <c r="A76" i="30"/>
  <c r="C76" i="30"/>
  <c r="H104" i="1"/>
  <c r="N104" i="1" s="1"/>
  <c r="I104" i="1"/>
  <c r="K104" i="1"/>
  <c r="P260" i="1"/>
  <c r="S260" i="1" s="1"/>
  <c r="J260" i="1" s="1"/>
  <c r="C104" i="1"/>
  <c r="M104" i="1"/>
  <c r="G104" i="1"/>
  <c r="L104" i="1"/>
  <c r="J104" i="1"/>
  <c r="A82" i="26" s="1"/>
  <c r="F104" i="1"/>
  <c r="N260" i="1"/>
  <c r="A179" i="31"/>
  <c r="I179" i="31"/>
  <c r="A335" i="31"/>
  <c r="J179" i="31"/>
  <c r="G179" i="31"/>
  <c r="F179" i="31"/>
  <c r="M179" i="31"/>
  <c r="N335" i="31"/>
  <c r="L179" i="31"/>
  <c r="H179" i="31"/>
  <c r="N179" i="31" s="1"/>
  <c r="C179" i="31"/>
  <c r="K179" i="31"/>
  <c r="P335" i="31"/>
  <c r="S335" i="31" s="1"/>
  <c r="J335" i="31" s="1"/>
  <c r="L335" i="31" s="1"/>
  <c r="AS61" i="19"/>
  <c r="C69" i="26"/>
  <c r="N315" i="30"/>
  <c r="A159" i="30"/>
  <c r="J159" i="30"/>
  <c r="M159" i="30"/>
  <c r="K159" i="30"/>
  <c r="C159" i="30"/>
  <c r="F159" i="30"/>
  <c r="I159" i="30"/>
  <c r="P315" i="30"/>
  <c r="S315" i="30" s="1"/>
  <c r="J315" i="30" s="1"/>
  <c r="L315" i="30" s="1"/>
  <c r="L159" i="30"/>
  <c r="H159" i="30"/>
  <c r="N159" i="30" s="1"/>
  <c r="G159" i="30"/>
  <c r="A315" i="30"/>
  <c r="K71" i="1"/>
  <c r="M71" i="1"/>
  <c r="G71" i="1"/>
  <c r="J71" i="1"/>
  <c r="P227" i="1"/>
  <c r="S227" i="1" s="1"/>
  <c r="J227" i="1" s="1"/>
  <c r="L227" i="1" s="1"/>
  <c r="L71" i="1"/>
  <c r="I71" i="1"/>
  <c r="N227" i="1"/>
  <c r="F71" i="1"/>
  <c r="C71" i="1"/>
  <c r="H71" i="1"/>
  <c r="H161" i="30"/>
  <c r="N161" i="30" s="1"/>
  <c r="G161" i="30"/>
  <c r="N317" i="30"/>
  <c r="M161" i="30"/>
  <c r="I161" i="30"/>
  <c r="J161" i="30"/>
  <c r="L161" i="30"/>
  <c r="P317" i="30"/>
  <c r="S317" i="30" s="1"/>
  <c r="J317" i="30" s="1"/>
  <c r="L317" i="30" s="1"/>
  <c r="F161" i="30"/>
  <c r="C161" i="30"/>
  <c r="K161" i="30"/>
  <c r="A161" i="30"/>
  <c r="A317" i="30"/>
  <c r="AS178" i="19"/>
  <c r="C186" i="26"/>
  <c r="L48" i="31"/>
  <c r="H48" i="31"/>
  <c r="N48" i="31" s="1"/>
  <c r="G48" i="31"/>
  <c r="F48" i="31"/>
  <c r="M48" i="31"/>
  <c r="A48" i="31"/>
  <c r="N204" i="31"/>
  <c r="I48" i="31"/>
  <c r="P204" i="31"/>
  <c r="S204" i="31" s="1"/>
  <c r="J204" i="31" s="1"/>
  <c r="L204" i="31" s="1"/>
  <c r="J48" i="31"/>
  <c r="A204" i="31"/>
  <c r="K48" i="31"/>
  <c r="C48" i="31"/>
  <c r="K160" i="1"/>
  <c r="J160" i="1"/>
  <c r="P316" i="1"/>
  <c r="S316" i="1" s="1"/>
  <c r="J316" i="1" s="1"/>
  <c r="L316" i="1" s="1"/>
  <c r="M160" i="1"/>
  <c r="N316" i="1"/>
  <c r="I160" i="1"/>
  <c r="L160" i="1"/>
  <c r="C160" i="1"/>
  <c r="G160" i="1"/>
  <c r="H160" i="1"/>
  <c r="N160" i="1" s="1"/>
  <c r="F160" i="1"/>
  <c r="M66" i="29"/>
  <c r="I66" i="29"/>
  <c r="P222" i="29"/>
  <c r="S222" i="29" s="1"/>
  <c r="J222" i="29" s="1"/>
  <c r="L222" i="29" s="1"/>
  <c r="K66" i="29"/>
  <c r="J66" i="29"/>
  <c r="G66" i="29"/>
  <c r="H66" i="29"/>
  <c r="N66" i="29" s="1"/>
  <c r="F66" i="29"/>
  <c r="C66" i="29"/>
  <c r="N222" i="29"/>
  <c r="L66" i="29"/>
  <c r="C113" i="29"/>
  <c r="I113" i="29"/>
  <c r="P269" i="29"/>
  <c r="S269" i="29" s="1"/>
  <c r="J269" i="29" s="1"/>
  <c r="L269" i="29" s="1"/>
  <c r="G113" i="29"/>
  <c r="H113" i="29"/>
  <c r="N113" i="29" s="1"/>
  <c r="J113" i="29"/>
  <c r="N269" i="29"/>
  <c r="K113" i="29"/>
  <c r="L113" i="29"/>
  <c r="F113" i="29"/>
  <c r="M113" i="29"/>
  <c r="J115" i="29"/>
  <c r="K115" i="29"/>
  <c r="G115" i="29"/>
  <c r="C115" i="29"/>
  <c r="F115" i="29"/>
  <c r="N271" i="29"/>
  <c r="L115" i="29"/>
  <c r="I115" i="29"/>
  <c r="H115" i="29"/>
  <c r="N115" i="29" s="1"/>
  <c r="P271" i="29"/>
  <c r="S271" i="29" s="1"/>
  <c r="J271" i="29" s="1"/>
  <c r="L271" i="29" s="1"/>
  <c r="M115" i="29"/>
  <c r="H82" i="29"/>
  <c r="L82" i="29"/>
  <c r="I82" i="29"/>
  <c r="P238" i="29"/>
  <c r="S238" i="29" s="1"/>
  <c r="J238" i="29" s="1"/>
  <c r="L238" i="29" s="1"/>
  <c r="G82" i="29"/>
  <c r="F82" i="29"/>
  <c r="M82" i="29"/>
  <c r="J82" i="29"/>
  <c r="N238" i="29"/>
  <c r="K82" i="29"/>
  <c r="C82" i="29"/>
  <c r="P261" i="29"/>
  <c r="S261" i="29" s="1"/>
  <c r="J261" i="29" s="1"/>
  <c r="L261" i="29" s="1"/>
  <c r="F105" i="29"/>
  <c r="M105" i="29"/>
  <c r="C105" i="29"/>
  <c r="L105" i="29"/>
  <c r="K105" i="29"/>
  <c r="G105" i="29"/>
  <c r="I105" i="29"/>
  <c r="J105" i="29"/>
  <c r="H105" i="29"/>
  <c r="N105" i="29" s="1"/>
  <c r="N261" i="29"/>
  <c r="H166" i="29"/>
  <c r="N166" i="29" s="1"/>
  <c r="N322" i="29"/>
  <c r="K166" i="29"/>
  <c r="M166" i="29"/>
  <c r="L166" i="29"/>
  <c r="I166" i="29"/>
  <c r="G166" i="29"/>
  <c r="C166" i="29"/>
  <c r="J166" i="29"/>
  <c r="P322" i="29"/>
  <c r="S322" i="29" s="1"/>
  <c r="J322" i="29" s="1"/>
  <c r="L322" i="29" s="1"/>
  <c r="F166" i="29"/>
  <c r="I89" i="29"/>
  <c r="L89" i="29"/>
  <c r="P245" i="29"/>
  <c r="S245" i="29" s="1"/>
  <c r="J245" i="29" s="1"/>
  <c r="L245" i="29" s="1"/>
  <c r="F89" i="29"/>
  <c r="C89" i="29"/>
  <c r="M89" i="29"/>
  <c r="H89" i="29"/>
  <c r="N89" i="29" s="1"/>
  <c r="G89" i="29"/>
  <c r="N245" i="29"/>
  <c r="K89" i="29"/>
  <c r="J89" i="29"/>
  <c r="D183" i="26"/>
  <c r="F183" i="26"/>
  <c r="L146" i="30"/>
  <c r="P302" i="30"/>
  <c r="S302" i="30" s="1"/>
  <c r="J302" i="30" s="1"/>
  <c r="L302" i="30" s="1"/>
  <c r="K146" i="30"/>
  <c r="M146" i="30"/>
  <c r="J146" i="30"/>
  <c r="A302" i="30"/>
  <c r="F146" i="30"/>
  <c r="N302" i="30"/>
  <c r="A146" i="30"/>
  <c r="H146" i="30"/>
  <c r="N146" i="30" s="1"/>
  <c r="C146" i="30"/>
  <c r="I146" i="30"/>
  <c r="G146" i="30"/>
  <c r="F49" i="30"/>
  <c r="G49" i="30"/>
  <c r="N205" i="30"/>
  <c r="A205" i="30"/>
  <c r="A49" i="30"/>
  <c r="M49" i="30"/>
  <c r="K49" i="30"/>
  <c r="P205" i="30"/>
  <c r="S205" i="30" s="1"/>
  <c r="J205" i="30" s="1"/>
  <c r="L205" i="30" s="1"/>
  <c r="J49" i="30"/>
  <c r="C49" i="30"/>
  <c r="H49" i="30"/>
  <c r="N49" i="30" s="1"/>
  <c r="L49" i="30"/>
  <c r="I49" i="30"/>
  <c r="I177" i="1"/>
  <c r="N333" i="1"/>
  <c r="M177" i="1"/>
  <c r="L177" i="1"/>
  <c r="P333" i="1"/>
  <c r="S333" i="1" s="1"/>
  <c r="J333" i="1" s="1"/>
  <c r="L333" i="1" s="1"/>
  <c r="F177" i="1"/>
  <c r="H177" i="1"/>
  <c r="N177" i="1" s="1"/>
  <c r="C177" i="1"/>
  <c r="J177" i="1"/>
  <c r="G177" i="1"/>
  <c r="K177" i="1"/>
  <c r="F129" i="31"/>
  <c r="K129" i="31"/>
  <c r="J129" i="31"/>
  <c r="I129" i="31"/>
  <c r="A129" i="31"/>
  <c r="M129" i="31"/>
  <c r="L129" i="31"/>
  <c r="P285" i="31"/>
  <c r="S285" i="31" s="1"/>
  <c r="J285" i="31" s="1"/>
  <c r="L285" i="31" s="1"/>
  <c r="N285" i="31"/>
  <c r="A285" i="31"/>
  <c r="H129" i="31"/>
  <c r="N129" i="31" s="1"/>
  <c r="C129" i="31"/>
  <c r="G129" i="31"/>
  <c r="N211" i="1"/>
  <c r="H55" i="1"/>
  <c r="N55" i="1" s="1"/>
  <c r="I55" i="1"/>
  <c r="G55" i="1"/>
  <c r="J55" i="1"/>
  <c r="P211" i="1"/>
  <c r="S211" i="1" s="1"/>
  <c r="J211" i="1" s="1"/>
  <c r="L211" i="1" s="1"/>
  <c r="M55" i="1"/>
  <c r="F55" i="1"/>
  <c r="K55" i="1"/>
  <c r="C55" i="1"/>
  <c r="L55" i="1"/>
  <c r="K131" i="31"/>
  <c r="A131" i="31"/>
  <c r="P287" i="31"/>
  <c r="S287" i="31" s="1"/>
  <c r="J287" i="31" s="1"/>
  <c r="L287" i="31" s="1"/>
  <c r="J131" i="31"/>
  <c r="H131" i="31"/>
  <c r="N131" i="31" s="1"/>
  <c r="A287" i="31"/>
  <c r="I131" i="31"/>
  <c r="F131" i="31"/>
  <c r="M131" i="31"/>
  <c r="L131" i="31"/>
  <c r="N287" i="31"/>
  <c r="G131" i="31"/>
  <c r="C131" i="31"/>
  <c r="J130" i="30"/>
  <c r="G130" i="30"/>
  <c r="A130" i="30"/>
  <c r="A286" i="30"/>
  <c r="L130" i="30"/>
  <c r="I130" i="30"/>
  <c r="F130" i="30"/>
  <c r="C130" i="30"/>
  <c r="M130" i="30"/>
  <c r="H130" i="30"/>
  <c r="N130" i="30" s="1"/>
  <c r="P286" i="30"/>
  <c r="S286" i="30" s="1"/>
  <c r="J286" i="30" s="1"/>
  <c r="L286" i="30" s="1"/>
  <c r="N286" i="30"/>
  <c r="K130" i="30"/>
  <c r="H131" i="30"/>
  <c r="N131" i="30" s="1"/>
  <c r="I131" i="30"/>
  <c r="K131" i="30"/>
  <c r="G131" i="30"/>
  <c r="M131" i="30"/>
  <c r="J131" i="30"/>
  <c r="A131" i="30"/>
  <c r="A287" i="30"/>
  <c r="N287" i="30"/>
  <c r="C131" i="30"/>
  <c r="P287" i="30"/>
  <c r="S287" i="30" s="1"/>
  <c r="J287" i="30" s="1"/>
  <c r="L287" i="30" s="1"/>
  <c r="F131" i="30"/>
  <c r="L131" i="30"/>
  <c r="C96" i="1"/>
  <c r="H96" i="1"/>
  <c r="N96" i="1" s="1"/>
  <c r="J96" i="1"/>
  <c r="G96" i="1"/>
  <c r="F96" i="1"/>
  <c r="P252" i="1"/>
  <c r="S252" i="1" s="1"/>
  <c r="J252" i="1" s="1"/>
  <c r="N252" i="1"/>
  <c r="I96" i="1"/>
  <c r="K96" i="1"/>
  <c r="L96" i="1"/>
  <c r="M96" i="1"/>
  <c r="K175" i="1"/>
  <c r="C175" i="1"/>
  <c r="N331" i="1"/>
  <c r="M175" i="1"/>
  <c r="J175" i="1"/>
  <c r="F175" i="1"/>
  <c r="H175" i="1"/>
  <c r="N175" i="1" s="1"/>
  <c r="G175" i="1"/>
  <c r="P331" i="1"/>
  <c r="S331" i="1" s="1"/>
  <c r="J331" i="1" s="1"/>
  <c r="L331" i="1" s="1"/>
  <c r="L175" i="1"/>
  <c r="I175" i="1"/>
  <c r="H134" i="31"/>
  <c r="N134" i="31" s="1"/>
  <c r="F134" i="31"/>
  <c r="P290" i="31"/>
  <c r="S290" i="31" s="1"/>
  <c r="J290" i="31" s="1"/>
  <c r="L290" i="31" s="1"/>
  <c r="I134" i="31"/>
  <c r="G134" i="31"/>
  <c r="M134" i="31"/>
  <c r="J134" i="31"/>
  <c r="A134" i="31"/>
  <c r="L134" i="31"/>
  <c r="C134" i="31"/>
  <c r="N290" i="31"/>
  <c r="K134" i="31"/>
  <c r="A290" i="31"/>
  <c r="F48" i="30"/>
  <c r="H48" i="30"/>
  <c r="N48" i="30" s="1"/>
  <c r="A204" i="30"/>
  <c r="K48" i="30"/>
  <c r="N204" i="30"/>
  <c r="M48" i="30"/>
  <c r="L48" i="30"/>
  <c r="I48" i="30"/>
  <c r="P204" i="30"/>
  <c r="S204" i="30" s="1"/>
  <c r="J204" i="30" s="1"/>
  <c r="L204" i="30" s="1"/>
  <c r="G48" i="30"/>
  <c r="J48" i="30"/>
  <c r="C48" i="30"/>
  <c r="A48" i="30"/>
  <c r="N275" i="1"/>
  <c r="G119" i="1"/>
  <c r="K119" i="1"/>
  <c r="L119" i="1"/>
  <c r="C119" i="1"/>
  <c r="I119" i="1"/>
  <c r="F119" i="1"/>
  <c r="P275" i="1"/>
  <c r="S275" i="1" s="1"/>
  <c r="J275" i="1" s="1"/>
  <c r="L275" i="1" s="1"/>
  <c r="M119" i="1"/>
  <c r="H119" i="1"/>
  <c r="N119" i="1" s="1"/>
  <c r="J119" i="1"/>
  <c r="A38" i="30"/>
  <c r="C38" i="30"/>
  <c r="J38" i="30"/>
  <c r="F38" i="30"/>
  <c r="L38" i="30"/>
  <c r="A194" i="30"/>
  <c r="G38" i="30"/>
  <c r="K38" i="30"/>
  <c r="I38" i="30"/>
  <c r="H38" i="30"/>
  <c r="N38" i="30" s="1"/>
  <c r="P194" i="30"/>
  <c r="S194" i="30" s="1"/>
  <c r="J194" i="30" s="1"/>
  <c r="L194" i="30" s="1"/>
  <c r="M38" i="30"/>
  <c r="N194" i="30"/>
  <c r="H107" i="1"/>
  <c r="N107" i="1" s="1"/>
  <c r="J107" i="1"/>
  <c r="N263" i="1"/>
  <c r="L107" i="1"/>
  <c r="F107" i="1"/>
  <c r="K107" i="1"/>
  <c r="I107" i="1"/>
  <c r="G107" i="1"/>
  <c r="P263" i="1"/>
  <c r="S263" i="1" s="1"/>
  <c r="J263" i="1" s="1"/>
  <c r="L263" i="1" s="1"/>
  <c r="C107" i="1"/>
  <c r="M107" i="1"/>
  <c r="N253" i="31"/>
  <c r="G97" i="31"/>
  <c r="M97" i="31"/>
  <c r="A97" i="31"/>
  <c r="L97" i="31"/>
  <c r="J97" i="31"/>
  <c r="I97" i="31"/>
  <c r="C97" i="31"/>
  <c r="A253" i="31"/>
  <c r="K97" i="31"/>
  <c r="H97" i="31"/>
  <c r="N97" i="31" s="1"/>
  <c r="F97" i="31"/>
  <c r="P253" i="31"/>
  <c r="S253" i="31" s="1"/>
  <c r="J253" i="31" s="1"/>
  <c r="L253" i="31" s="1"/>
  <c r="C138" i="30"/>
  <c r="M138" i="30"/>
  <c r="F138" i="30"/>
  <c r="L138" i="30"/>
  <c r="K138" i="30"/>
  <c r="A294" i="30"/>
  <c r="N294" i="30"/>
  <c r="A138" i="30"/>
  <c r="P294" i="30"/>
  <c r="S294" i="30" s="1"/>
  <c r="J294" i="30" s="1"/>
  <c r="L294" i="30" s="1"/>
  <c r="I138" i="30"/>
  <c r="H138" i="30"/>
  <c r="N138" i="30" s="1"/>
  <c r="G138" i="30"/>
  <c r="J138" i="30"/>
  <c r="AT61" i="19"/>
  <c r="AR61" i="19" s="1"/>
  <c r="G69" i="26"/>
  <c r="C35" i="31"/>
  <c r="F35" i="31"/>
  <c r="L35" i="31"/>
  <c r="H35" i="31"/>
  <c r="N35" i="31" s="1"/>
  <c r="P191" i="31"/>
  <c r="S191" i="31" s="1"/>
  <c r="J191" i="31" s="1"/>
  <c r="L191" i="31" s="1"/>
  <c r="G35" i="31"/>
  <c r="I35" i="31"/>
  <c r="N191" i="31"/>
  <c r="K35" i="31"/>
  <c r="J35" i="31"/>
  <c r="A35" i="31"/>
  <c r="M35" i="31"/>
  <c r="A191" i="31"/>
  <c r="G63" i="30"/>
  <c r="F63" i="30"/>
  <c r="P219" i="30"/>
  <c r="S219" i="30" s="1"/>
  <c r="J219" i="30" s="1"/>
  <c r="L219" i="30" s="1"/>
  <c r="M63" i="30"/>
  <c r="N219" i="30"/>
  <c r="L63" i="30"/>
  <c r="C63" i="30"/>
  <c r="I63" i="30"/>
  <c r="A63" i="30"/>
  <c r="A219" i="30"/>
  <c r="H63" i="30"/>
  <c r="N63" i="30" s="1"/>
  <c r="K63" i="30"/>
  <c r="J63" i="30"/>
  <c r="L102" i="31"/>
  <c r="K102" i="31"/>
  <c r="F102" i="31"/>
  <c r="J102" i="31"/>
  <c r="M102" i="31"/>
  <c r="G102" i="31"/>
  <c r="P258" i="31"/>
  <c r="S258" i="31" s="1"/>
  <c r="J258" i="31" s="1"/>
  <c r="L258" i="31" s="1"/>
  <c r="I102" i="31"/>
  <c r="H102" i="31"/>
  <c r="N102" i="31" s="1"/>
  <c r="A102" i="31"/>
  <c r="A258" i="31"/>
  <c r="N258" i="31"/>
  <c r="C102" i="31"/>
  <c r="G182" i="30"/>
  <c r="A338" i="30"/>
  <c r="P338" i="30"/>
  <c r="S338" i="30" s="1"/>
  <c r="J338" i="30" s="1"/>
  <c r="L338" i="30" s="1"/>
  <c r="M182" i="30"/>
  <c r="A182" i="30"/>
  <c r="L182" i="30"/>
  <c r="K182" i="30"/>
  <c r="H182" i="30"/>
  <c r="N182" i="30" s="1"/>
  <c r="F182" i="30"/>
  <c r="C182" i="30"/>
  <c r="J182" i="30"/>
  <c r="N338" i="30"/>
  <c r="I182" i="30"/>
  <c r="G157" i="1"/>
  <c r="C157" i="1"/>
  <c r="K157" i="1"/>
  <c r="P313" i="1"/>
  <c r="S313" i="1" s="1"/>
  <c r="J313" i="1" s="1"/>
  <c r="L313" i="1" s="1"/>
  <c r="N313" i="1"/>
  <c r="J157" i="1"/>
  <c r="F157" i="1"/>
  <c r="H157" i="1"/>
  <c r="N157" i="1" s="1"/>
  <c r="I157" i="1"/>
  <c r="L157" i="1"/>
  <c r="M157" i="1"/>
  <c r="G117" i="29"/>
  <c r="P273" i="29"/>
  <c r="S273" i="29" s="1"/>
  <c r="J273" i="29" s="1"/>
  <c r="L273" i="29" s="1"/>
  <c r="I117" i="29"/>
  <c r="L117" i="29"/>
  <c r="N273" i="29"/>
  <c r="C117" i="29"/>
  <c r="J117" i="29"/>
  <c r="H117" i="29"/>
  <c r="N117" i="29" s="1"/>
  <c r="K117" i="29"/>
  <c r="F117" i="29"/>
  <c r="M117" i="29"/>
  <c r="C119" i="29"/>
  <c r="L119" i="29"/>
  <c r="M119" i="29"/>
  <c r="J119" i="29"/>
  <c r="K119" i="29"/>
  <c r="H119" i="29"/>
  <c r="N119" i="29" s="1"/>
  <c r="I119" i="29"/>
  <c r="N275" i="29"/>
  <c r="F119" i="29"/>
  <c r="G119" i="29"/>
  <c r="P275" i="29"/>
  <c r="S275" i="29" s="1"/>
  <c r="J275" i="29" s="1"/>
  <c r="L275" i="29" s="1"/>
  <c r="N281" i="29"/>
  <c r="H125" i="29"/>
  <c r="N125" i="29" s="1"/>
  <c r="G125" i="29"/>
  <c r="P281" i="29"/>
  <c r="S281" i="29" s="1"/>
  <c r="J281" i="29" s="1"/>
  <c r="L281" i="29" s="1"/>
  <c r="L125" i="29"/>
  <c r="J125" i="29"/>
  <c r="K125" i="29"/>
  <c r="I125" i="29"/>
  <c r="M125" i="29"/>
  <c r="F125" i="29"/>
  <c r="C125" i="29"/>
  <c r="I128" i="29"/>
  <c r="M128" i="29"/>
  <c r="L128" i="29"/>
  <c r="H128" i="29"/>
  <c r="N128" i="29" s="1"/>
  <c r="K128" i="29"/>
  <c r="C128" i="29"/>
  <c r="P284" i="29"/>
  <c r="S284" i="29" s="1"/>
  <c r="J284" i="29" s="1"/>
  <c r="L284" i="29" s="1"/>
  <c r="G128" i="29"/>
  <c r="F128" i="29"/>
  <c r="N284" i="29"/>
  <c r="J128" i="29"/>
  <c r="AQ117" i="19" l="1"/>
  <c r="B125" i="26"/>
  <c r="A788" i="26"/>
  <c r="A632" i="26"/>
  <c r="A849" i="26"/>
  <c r="A602" i="26"/>
  <c r="A640" i="26"/>
  <c r="A885" i="26"/>
  <c r="A775" i="26"/>
  <c r="A826" i="26"/>
  <c r="A613" i="26"/>
  <c r="A831" i="26"/>
  <c r="A999" i="26"/>
  <c r="A792" i="26"/>
  <c r="A807" i="26"/>
  <c r="A641" i="26"/>
  <c r="A888" i="26"/>
  <c r="A612" i="26"/>
  <c r="A742" i="26"/>
  <c r="A614" i="26"/>
  <c r="A677" i="26"/>
  <c r="A805" i="26"/>
  <c r="A869" i="26"/>
  <c r="A958" i="26"/>
  <c r="A830" i="26"/>
  <c r="A653" i="26"/>
  <c r="A770" i="26"/>
  <c r="A786" i="26"/>
  <c r="A906" i="26"/>
  <c r="A710" i="26"/>
  <c r="A601" i="26"/>
  <c r="A680" i="26"/>
  <c r="A767" i="26"/>
  <c r="A832" i="26"/>
  <c r="A1000" i="26"/>
  <c r="A910" i="26"/>
  <c r="A980" i="26"/>
  <c r="A772" i="26"/>
  <c r="A708" i="26"/>
  <c r="A946" i="26"/>
  <c r="A678" i="26"/>
  <c r="A713" i="26"/>
  <c r="A870" i="26"/>
  <c r="A683" i="26"/>
  <c r="A929" i="26"/>
  <c r="A643" i="26"/>
  <c r="A576" i="26"/>
  <c r="A754" i="26"/>
  <c r="A881" i="26"/>
  <c r="A943" i="26"/>
  <c r="A794" i="26"/>
  <c r="A657" i="26"/>
  <c r="A864" i="26"/>
  <c r="A733" i="26"/>
  <c r="A874" i="26"/>
  <c r="A730" i="26"/>
  <c r="A705" i="26"/>
  <c r="A696" i="26"/>
  <c r="A797" i="26"/>
  <c r="A609" i="26"/>
  <c r="A585" i="26"/>
  <c r="A822" i="26"/>
  <c r="A617" i="26"/>
  <c r="A748" i="26"/>
  <c r="A776" i="26"/>
  <c r="A645" i="26"/>
  <c r="A801" i="26"/>
  <c r="A823" i="26"/>
  <c r="A921" i="26"/>
  <c r="A706" i="26"/>
  <c r="A639" i="26"/>
  <c r="A973" i="26"/>
  <c r="A981" i="26"/>
  <c r="A782" i="26"/>
  <c r="A720" i="26"/>
  <c r="A629" i="26"/>
  <c r="A942" i="26"/>
  <c r="A902" i="26"/>
  <c r="A935" i="26"/>
  <c r="A838" i="26"/>
  <c r="A844" i="26"/>
  <c r="A971" i="26"/>
  <c r="A619" i="26"/>
  <c r="A778" i="26"/>
  <c r="A901" i="26"/>
  <c r="A915" i="26"/>
  <c r="A932" i="26"/>
  <c r="A843" i="26"/>
  <c r="A933" i="26"/>
  <c r="A703" i="26"/>
  <c r="A577" i="26"/>
  <c r="A984" i="26"/>
  <c r="A821" i="26"/>
  <c r="A817" i="26"/>
  <c r="A961" i="26"/>
  <c r="A750" i="26"/>
  <c r="A727" i="26"/>
  <c r="A992" i="26"/>
  <c r="A574" i="26"/>
  <c r="B191" i="26"/>
  <c r="AQ183" i="19"/>
  <c r="D191" i="26"/>
  <c r="A627" i="26" s="1"/>
  <c r="F191" i="26"/>
  <c r="N61" i="29"/>
  <c r="N70" i="1"/>
  <c r="N82" i="29"/>
  <c r="A49" i="26"/>
  <c r="N37" i="29"/>
  <c r="N91" i="1"/>
  <c r="U153" i="31"/>
  <c r="B153" i="31"/>
  <c r="B99" i="29"/>
  <c r="U99" i="29"/>
  <c r="B155" i="31"/>
  <c r="U155" i="31"/>
  <c r="U159" i="31"/>
  <c r="B159" i="31"/>
  <c r="U114" i="31"/>
  <c r="B114" i="31"/>
  <c r="U132" i="31"/>
  <c r="B132" i="31"/>
  <c r="B155" i="1"/>
  <c r="U155" i="1"/>
  <c r="B89" i="31"/>
  <c r="U89" i="31"/>
  <c r="B65" i="29"/>
  <c r="U65" i="29"/>
  <c r="B156" i="29"/>
  <c r="U156" i="29"/>
  <c r="B47" i="31"/>
  <c r="U47" i="31"/>
  <c r="AA158" i="20"/>
  <c r="J158" i="20"/>
  <c r="AH158" i="20"/>
  <c r="U158" i="20"/>
  <c r="AE158" i="20"/>
  <c r="P158" i="20"/>
  <c r="Z158" i="20"/>
  <c r="O158" i="20"/>
  <c r="AT158" i="20"/>
  <c r="AD158" i="20"/>
  <c r="V158" i="20"/>
  <c r="AG158" i="20"/>
  <c r="AI158" i="20"/>
  <c r="R158" i="20"/>
  <c r="AN158" i="20"/>
  <c r="AJ158" i="20"/>
  <c r="B158" i="20"/>
  <c r="AO158" i="20"/>
  <c r="AV158" i="20"/>
  <c r="AL158" i="20"/>
  <c r="AM158" i="20"/>
  <c r="AQ158" i="20"/>
  <c r="AF158" i="20"/>
  <c r="W158" i="20"/>
  <c r="X158" i="20"/>
  <c r="S158" i="20"/>
  <c r="AS158" i="20"/>
  <c r="Q158" i="20"/>
  <c r="K158" i="20"/>
  <c r="AC158" i="20"/>
  <c r="G158" i="20"/>
  <c r="N158" i="20"/>
  <c r="AU158" i="20"/>
  <c r="T158" i="20"/>
  <c r="AP158" i="20"/>
  <c r="AB158" i="20"/>
  <c r="AR158" i="20"/>
  <c r="P207" i="20"/>
  <c r="AL207" i="20"/>
  <c r="AC207" i="20"/>
  <c r="AS207" i="20"/>
  <c r="AG207" i="20"/>
  <c r="K207" i="20"/>
  <c r="O207" i="20"/>
  <c r="B207" i="20"/>
  <c r="Q207" i="20"/>
  <c r="AH207" i="20"/>
  <c r="AR207" i="20"/>
  <c r="R207" i="20"/>
  <c r="N207" i="20"/>
  <c r="AI207" i="20"/>
  <c r="AN207" i="20"/>
  <c r="AB207" i="20"/>
  <c r="AP207" i="20"/>
  <c r="AJ207" i="20"/>
  <c r="AF207" i="20"/>
  <c r="AV207" i="20"/>
  <c r="J207" i="20"/>
  <c r="T207" i="20"/>
  <c r="X207" i="20"/>
  <c r="W207" i="20"/>
  <c r="Z207" i="20"/>
  <c r="V207" i="20"/>
  <c r="AO207" i="20"/>
  <c r="AA207" i="20"/>
  <c r="U207" i="20"/>
  <c r="AT207" i="20"/>
  <c r="AM207" i="20"/>
  <c r="AU207" i="20"/>
  <c r="S207" i="20"/>
  <c r="AE207" i="20"/>
  <c r="AQ207" i="20"/>
  <c r="AD207" i="20"/>
  <c r="AM106" i="20"/>
  <c r="B106" i="20"/>
  <c r="AB106" i="20"/>
  <c r="AV106" i="20"/>
  <c r="T106" i="20"/>
  <c r="U106" i="20"/>
  <c r="N106" i="20"/>
  <c r="AS106" i="20"/>
  <c r="AD106" i="20"/>
  <c r="W106" i="20"/>
  <c r="AQ106" i="20"/>
  <c r="AF106" i="20"/>
  <c r="O106" i="20"/>
  <c r="V106" i="20"/>
  <c r="Z106" i="20"/>
  <c r="AN106" i="20"/>
  <c r="AP106" i="20"/>
  <c r="AC106" i="20"/>
  <c r="AT106" i="20"/>
  <c r="Q106" i="20"/>
  <c r="K106" i="20"/>
  <c r="AA106" i="20"/>
  <c r="J106" i="20"/>
  <c r="AO106" i="20"/>
  <c r="S106" i="20"/>
  <c r="AI106" i="20"/>
  <c r="AU106" i="20"/>
  <c r="AJ106" i="20"/>
  <c r="G106" i="20"/>
  <c r="AH106" i="20"/>
  <c r="X106" i="20"/>
  <c r="AL106" i="20"/>
  <c r="AG106" i="20"/>
  <c r="AE106" i="20"/>
  <c r="P106" i="20"/>
  <c r="R106" i="20"/>
  <c r="AR106" i="20"/>
  <c r="AI39" i="20"/>
  <c r="G39" i="20"/>
  <c r="U39" i="20"/>
  <c r="AV39" i="20"/>
  <c r="AE39" i="20"/>
  <c r="AB39" i="20"/>
  <c r="V39" i="20"/>
  <c r="AA39" i="20"/>
  <c r="AD39" i="20"/>
  <c r="AH39" i="20"/>
  <c r="AN39" i="20"/>
  <c r="S39" i="20"/>
  <c r="AP39" i="20"/>
  <c r="Q39" i="20"/>
  <c r="K39" i="20"/>
  <c r="R39" i="20"/>
  <c r="AQ39" i="20"/>
  <c r="W39" i="20"/>
  <c r="AG39" i="20"/>
  <c r="N39" i="20"/>
  <c r="J39" i="20"/>
  <c r="AJ39" i="20"/>
  <c r="Z39" i="20"/>
  <c r="AL39" i="20"/>
  <c r="AU39" i="20"/>
  <c r="P39" i="20"/>
  <c r="AC39" i="20"/>
  <c r="B39" i="20"/>
  <c r="X39" i="20"/>
  <c r="AS39" i="20"/>
  <c r="AF39" i="20"/>
  <c r="T39" i="20"/>
  <c r="AO39" i="20"/>
  <c r="AT39" i="20"/>
  <c r="AR39" i="20"/>
  <c r="O39" i="20"/>
  <c r="AM39" i="20"/>
  <c r="AU225" i="20"/>
  <c r="AI225" i="20"/>
  <c r="AS225" i="20"/>
  <c r="R225" i="20"/>
  <c r="AD225" i="20"/>
  <c r="Z225" i="20"/>
  <c r="AB225" i="20"/>
  <c r="N225" i="20"/>
  <c r="T225" i="20"/>
  <c r="AJ225" i="20"/>
  <c r="AO225" i="20"/>
  <c r="AR225" i="20"/>
  <c r="AC225" i="20"/>
  <c r="AM225" i="20"/>
  <c r="AV225" i="20"/>
  <c r="AL225" i="20"/>
  <c r="Q225" i="20"/>
  <c r="W225" i="20"/>
  <c r="AA225" i="20"/>
  <c r="K225" i="20"/>
  <c r="AN225" i="20"/>
  <c r="J225" i="20"/>
  <c r="AF225" i="20"/>
  <c r="AQ225" i="20"/>
  <c r="U225" i="20"/>
  <c r="B225" i="20"/>
  <c r="AT225" i="20"/>
  <c r="O225" i="20"/>
  <c r="AE225" i="20"/>
  <c r="P225" i="20"/>
  <c r="S225" i="20"/>
  <c r="AH225" i="20"/>
  <c r="AP225" i="20"/>
  <c r="X225" i="20"/>
  <c r="V225" i="20"/>
  <c r="AG225" i="20"/>
  <c r="N196" i="20"/>
  <c r="AT196" i="20"/>
  <c r="K196" i="20"/>
  <c r="X196" i="20"/>
  <c r="AR196" i="20"/>
  <c r="AE196" i="20"/>
  <c r="AM196" i="20"/>
  <c r="AU196" i="20"/>
  <c r="AV196" i="20"/>
  <c r="Z196" i="20"/>
  <c r="B196" i="20"/>
  <c r="V196" i="20"/>
  <c r="S196" i="20"/>
  <c r="AI196" i="20"/>
  <c r="J196" i="20"/>
  <c r="U196" i="20"/>
  <c r="O196" i="20"/>
  <c r="AD196" i="20"/>
  <c r="AP196" i="20"/>
  <c r="Q196" i="20"/>
  <c r="P196" i="20"/>
  <c r="AH196" i="20"/>
  <c r="AS196" i="20"/>
  <c r="W196" i="20"/>
  <c r="AB196" i="20"/>
  <c r="R196" i="20"/>
  <c r="AJ196" i="20"/>
  <c r="T196" i="20"/>
  <c r="AN196" i="20"/>
  <c r="G196" i="20"/>
  <c r="AL196" i="20"/>
  <c r="AO196" i="20"/>
  <c r="AC196" i="20"/>
  <c r="AQ196" i="20"/>
  <c r="AG196" i="20"/>
  <c r="AA196" i="20"/>
  <c r="AF196" i="20"/>
  <c r="AS208" i="20"/>
  <c r="AF208" i="20"/>
  <c r="AT208" i="20"/>
  <c r="AV208" i="20"/>
  <c r="AD208" i="20"/>
  <c r="AL208" i="20"/>
  <c r="AG208" i="20"/>
  <c r="O208" i="20"/>
  <c r="AI208" i="20"/>
  <c r="N208" i="20"/>
  <c r="AQ208" i="20"/>
  <c r="J208" i="20"/>
  <c r="W208" i="20"/>
  <c r="AU208" i="20"/>
  <c r="AH208" i="20"/>
  <c r="Z208" i="20"/>
  <c r="Q208" i="20"/>
  <c r="AC208" i="20"/>
  <c r="B208" i="20"/>
  <c r="K208" i="20"/>
  <c r="AN208" i="20"/>
  <c r="AA208" i="20"/>
  <c r="V208" i="20"/>
  <c r="T208" i="20"/>
  <c r="U208" i="20"/>
  <c r="AP208" i="20"/>
  <c r="AM208" i="20"/>
  <c r="R208" i="20"/>
  <c r="AB208" i="20"/>
  <c r="AJ208" i="20"/>
  <c r="S208" i="20"/>
  <c r="AO208" i="20"/>
  <c r="AR208" i="20"/>
  <c r="AE208" i="20"/>
  <c r="P208" i="20"/>
  <c r="X208" i="20"/>
  <c r="X238" i="20"/>
  <c r="AI238" i="20"/>
  <c r="AP238" i="20"/>
  <c r="AV238" i="20"/>
  <c r="P238" i="20"/>
  <c r="AA238" i="20"/>
  <c r="AJ238" i="20"/>
  <c r="Q238" i="20"/>
  <c r="O238" i="20"/>
  <c r="AM238" i="20"/>
  <c r="S238" i="20"/>
  <c r="AQ238" i="20"/>
  <c r="AE238" i="20"/>
  <c r="B238" i="20"/>
  <c r="AN238" i="20"/>
  <c r="AL238" i="20"/>
  <c r="AU238" i="20"/>
  <c r="T238" i="20"/>
  <c r="J238" i="20"/>
  <c r="AH238" i="20"/>
  <c r="Z238" i="20"/>
  <c r="R238" i="20"/>
  <c r="AS238" i="20"/>
  <c r="AD238" i="20"/>
  <c r="AF238" i="20"/>
  <c r="AT238" i="20"/>
  <c r="N238" i="20"/>
  <c r="AO238" i="20"/>
  <c r="AB238" i="20"/>
  <c r="AR238" i="20"/>
  <c r="W238" i="20"/>
  <c r="K238" i="20"/>
  <c r="AC238" i="20"/>
  <c r="AG238" i="20"/>
  <c r="U238" i="20"/>
  <c r="V238" i="20"/>
  <c r="B37" i="20"/>
  <c r="AI37" i="20"/>
  <c r="Z37" i="20"/>
  <c r="AE37" i="20"/>
  <c r="J37" i="20"/>
  <c r="N37" i="20"/>
  <c r="AS37" i="20"/>
  <c r="AN37" i="20"/>
  <c r="AT37" i="20"/>
  <c r="V37" i="20"/>
  <c r="AV37" i="20"/>
  <c r="K37" i="20"/>
  <c r="X37" i="20"/>
  <c r="AO37" i="20"/>
  <c r="AU37" i="20"/>
  <c r="O37" i="20"/>
  <c r="AB37" i="20"/>
  <c r="AM37" i="20"/>
  <c r="AC37" i="20"/>
  <c r="G37" i="20"/>
  <c r="S37" i="20"/>
  <c r="AQ37" i="20"/>
  <c r="W37" i="20"/>
  <c r="Q37" i="20"/>
  <c r="T37" i="20"/>
  <c r="AR37" i="20"/>
  <c r="AF37" i="20"/>
  <c r="AA37" i="20"/>
  <c r="AD37" i="20"/>
  <c r="AJ37" i="20"/>
  <c r="P37" i="20"/>
  <c r="AH37" i="20"/>
  <c r="R37" i="20"/>
  <c r="U37" i="20"/>
  <c r="AG37" i="20"/>
  <c r="AP37" i="20"/>
  <c r="AL37" i="20"/>
  <c r="AR54" i="20"/>
  <c r="AB54" i="20"/>
  <c r="AC54" i="20"/>
  <c r="AA54" i="20"/>
  <c r="AD54" i="20"/>
  <c r="U54" i="20"/>
  <c r="AP54" i="20"/>
  <c r="AE54" i="20"/>
  <c r="AH54" i="20"/>
  <c r="AM54" i="20"/>
  <c r="AN54" i="20"/>
  <c r="T54" i="20"/>
  <c r="G54" i="20"/>
  <c r="J54" i="20"/>
  <c r="V54" i="20"/>
  <c r="P54" i="20"/>
  <c r="AQ54" i="20"/>
  <c r="AU54" i="20"/>
  <c r="AT54" i="20"/>
  <c r="Q54" i="20"/>
  <c r="AI54" i="20"/>
  <c r="Z54" i="20"/>
  <c r="R54" i="20"/>
  <c r="AF54" i="20"/>
  <c r="W54" i="20"/>
  <c r="N54" i="20"/>
  <c r="K54" i="20"/>
  <c r="AS54" i="20"/>
  <c r="AG54" i="20"/>
  <c r="AO54" i="20"/>
  <c r="X54" i="20"/>
  <c r="AL54" i="20"/>
  <c r="AJ54" i="20"/>
  <c r="O54" i="20"/>
  <c r="B54" i="20"/>
  <c r="S54" i="20"/>
  <c r="AV54" i="20"/>
  <c r="R31" i="20"/>
  <c r="V31" i="20"/>
  <c r="AJ31" i="20"/>
  <c r="AB31" i="20"/>
  <c r="T31" i="20"/>
  <c r="AD31" i="20"/>
  <c r="O31" i="20"/>
  <c r="Q31" i="20"/>
  <c r="AR31" i="20"/>
  <c r="AS31" i="20"/>
  <c r="J31" i="20"/>
  <c r="X31" i="20"/>
  <c r="AA31" i="20"/>
  <c r="B31" i="20"/>
  <c r="AE31" i="20"/>
  <c r="W31" i="20"/>
  <c r="AH31" i="20"/>
  <c r="AM31" i="20"/>
  <c r="N31" i="20"/>
  <c r="U31" i="20"/>
  <c r="AI31" i="20"/>
  <c r="K31" i="20"/>
  <c r="AN31" i="20"/>
  <c r="AL31" i="20"/>
  <c r="AG31" i="20"/>
  <c r="AP31" i="20"/>
  <c r="AQ31" i="20"/>
  <c r="AT31" i="20"/>
  <c r="AF31" i="20"/>
  <c r="AU31" i="20"/>
  <c r="Z31" i="20"/>
  <c r="AO31" i="20"/>
  <c r="AV31" i="20"/>
  <c r="G31" i="20"/>
  <c r="P31" i="20"/>
  <c r="AC31" i="20"/>
  <c r="S31" i="20"/>
  <c r="AH74" i="20"/>
  <c r="AT74" i="20"/>
  <c r="AG74" i="20"/>
  <c r="AO74" i="20"/>
  <c r="AD74" i="20"/>
  <c r="R74" i="20"/>
  <c r="AV74" i="20"/>
  <c r="AM74" i="20"/>
  <c r="AJ74" i="20"/>
  <c r="AQ74" i="20"/>
  <c r="J74" i="20"/>
  <c r="AI74" i="20"/>
  <c r="AC74" i="20"/>
  <c r="AP74" i="20"/>
  <c r="P74" i="20"/>
  <c r="AR74" i="20"/>
  <c r="AE74" i="20"/>
  <c r="AF74" i="20"/>
  <c r="O74" i="20"/>
  <c r="AA74" i="20"/>
  <c r="Z74" i="20"/>
  <c r="N74" i="20"/>
  <c r="AU74" i="20"/>
  <c r="AL74" i="20"/>
  <c r="AB74" i="20"/>
  <c r="K74" i="20"/>
  <c r="Q74" i="20"/>
  <c r="B74" i="20"/>
  <c r="S74" i="20"/>
  <c r="T74" i="20"/>
  <c r="V74" i="20"/>
  <c r="AN74" i="20"/>
  <c r="AS74" i="20"/>
  <c r="U74" i="20"/>
  <c r="X74" i="20"/>
  <c r="G74" i="20"/>
  <c r="W74" i="20"/>
  <c r="AG231" i="20"/>
  <c r="O231" i="20"/>
  <c r="U231" i="20"/>
  <c r="P231" i="20"/>
  <c r="AJ231" i="20"/>
  <c r="AQ231" i="20"/>
  <c r="AA231" i="20"/>
  <c r="W231" i="20"/>
  <c r="AL231" i="20"/>
  <c r="AH231" i="20"/>
  <c r="S231" i="20"/>
  <c r="AN231" i="20"/>
  <c r="X231" i="20"/>
  <c r="AT231" i="20"/>
  <c r="T231" i="20"/>
  <c r="AF231" i="20"/>
  <c r="AR231" i="20"/>
  <c r="AI231" i="20"/>
  <c r="AS231" i="20"/>
  <c r="K231" i="20"/>
  <c r="Z231" i="20"/>
  <c r="R231" i="20"/>
  <c r="AC231" i="20"/>
  <c r="AO231" i="20"/>
  <c r="N231" i="20"/>
  <c r="AE231" i="20"/>
  <c r="AD231" i="20"/>
  <c r="AP231" i="20"/>
  <c r="Q231" i="20"/>
  <c r="B231" i="20"/>
  <c r="AB231" i="20"/>
  <c r="V231" i="20"/>
  <c r="AU231" i="20"/>
  <c r="AV231" i="20"/>
  <c r="AM231" i="20"/>
  <c r="J231" i="20"/>
  <c r="U51" i="30"/>
  <c r="B51" i="30"/>
  <c r="U120" i="31"/>
  <c r="B120" i="31"/>
  <c r="U56" i="31"/>
  <c r="B56" i="31"/>
  <c r="U172" i="30"/>
  <c r="B172" i="30"/>
  <c r="B134" i="1"/>
  <c r="U134" i="1"/>
  <c r="U120" i="30"/>
  <c r="B120" i="30"/>
  <c r="B71" i="30"/>
  <c r="U71" i="30"/>
  <c r="U168" i="29"/>
  <c r="B168" i="29"/>
  <c r="U84" i="31"/>
  <c r="B84" i="31"/>
  <c r="B137" i="1"/>
  <c r="U137" i="1"/>
  <c r="B110" i="1"/>
  <c r="U110" i="1"/>
  <c r="U87" i="30"/>
  <c r="B87" i="30"/>
  <c r="U161" i="29"/>
  <c r="B161" i="29"/>
  <c r="I185" i="26"/>
  <c r="E185" i="26" s="1"/>
  <c r="H185" i="26"/>
  <c r="B125" i="29"/>
  <c r="U125" i="29"/>
  <c r="B48" i="30"/>
  <c r="U48" i="30"/>
  <c r="U66" i="29"/>
  <c r="B66" i="29"/>
  <c r="B48" i="31"/>
  <c r="U48" i="31"/>
  <c r="D184" i="26"/>
  <c r="F184" i="26"/>
  <c r="U82" i="31"/>
  <c r="B82" i="31"/>
  <c r="U59" i="31"/>
  <c r="B59" i="31"/>
  <c r="B118" i="30"/>
  <c r="U118" i="30"/>
  <c r="U85" i="29"/>
  <c r="B85" i="29"/>
  <c r="A258" i="26"/>
  <c r="L280" i="1"/>
  <c r="B183" i="31"/>
  <c r="U183" i="31"/>
  <c r="U46" i="31"/>
  <c r="B46" i="31"/>
  <c r="B59" i="30"/>
  <c r="U59" i="30"/>
  <c r="U90" i="30"/>
  <c r="B90" i="30"/>
  <c r="U119" i="31"/>
  <c r="B119" i="31"/>
  <c r="AI244" i="20"/>
  <c r="Q244" i="20"/>
  <c r="AB244" i="20"/>
  <c r="S244" i="20"/>
  <c r="AU244" i="20"/>
  <c r="AS244" i="20"/>
  <c r="X244" i="20"/>
  <c r="T244" i="20"/>
  <c r="AC244" i="20"/>
  <c r="AE244" i="20"/>
  <c r="AT244" i="20"/>
  <c r="K244" i="20"/>
  <c r="AN244" i="20"/>
  <c r="AH244" i="20"/>
  <c r="AV244" i="20"/>
  <c r="AD244" i="20"/>
  <c r="AA244" i="20"/>
  <c r="AO244" i="20"/>
  <c r="AM244" i="20"/>
  <c r="W244" i="20"/>
  <c r="R244" i="20"/>
  <c r="J244" i="20"/>
  <c r="AR244" i="20"/>
  <c r="O244" i="20"/>
  <c r="N244" i="20"/>
  <c r="V244" i="20"/>
  <c r="B244" i="20"/>
  <c r="P244" i="20"/>
  <c r="AG244" i="20"/>
  <c r="AQ244" i="20"/>
  <c r="U244" i="20"/>
  <c r="AJ244" i="20"/>
  <c r="AF244" i="20"/>
  <c r="AP244" i="20"/>
  <c r="Z244" i="20"/>
  <c r="AL244" i="20"/>
  <c r="V109" i="20"/>
  <c r="AG109" i="20"/>
  <c r="AD109" i="20"/>
  <c r="W109" i="20"/>
  <c r="AO109" i="20"/>
  <c r="AL109" i="20"/>
  <c r="AE109" i="20"/>
  <c r="AV109" i="20"/>
  <c r="G109" i="20"/>
  <c r="Q109" i="20"/>
  <c r="Z109" i="20"/>
  <c r="AB109" i="20"/>
  <c r="AQ109" i="20"/>
  <c r="AU109" i="20"/>
  <c r="AR109" i="20"/>
  <c r="P109" i="20"/>
  <c r="AC109" i="20"/>
  <c r="AM109" i="20"/>
  <c r="AT109" i="20"/>
  <c r="AF109" i="20"/>
  <c r="X109" i="20"/>
  <c r="B109" i="20"/>
  <c r="S109" i="20"/>
  <c r="U109" i="20"/>
  <c r="AN109" i="20"/>
  <c r="AH109" i="20"/>
  <c r="AI109" i="20"/>
  <c r="T109" i="20"/>
  <c r="AS109" i="20"/>
  <c r="K109" i="20"/>
  <c r="J109" i="20"/>
  <c r="AP109" i="20"/>
  <c r="AJ109" i="20"/>
  <c r="O109" i="20"/>
  <c r="AA109" i="20"/>
  <c r="R109" i="20"/>
  <c r="N109" i="20"/>
  <c r="N57" i="20"/>
  <c r="AT57" i="20"/>
  <c r="T57" i="20"/>
  <c r="U57" i="20"/>
  <c r="AM57" i="20"/>
  <c r="AG57" i="20"/>
  <c r="B57" i="20"/>
  <c r="W57" i="20"/>
  <c r="AC57" i="20"/>
  <c r="X57" i="20"/>
  <c r="AR57" i="20"/>
  <c r="AL57" i="20"/>
  <c r="Z57" i="20"/>
  <c r="R57" i="20"/>
  <c r="AP57" i="20"/>
  <c r="P57" i="20"/>
  <c r="AV57" i="20"/>
  <c r="AH57" i="20"/>
  <c r="Q57" i="20"/>
  <c r="AJ57" i="20"/>
  <c r="AI57" i="20"/>
  <c r="AA57" i="20"/>
  <c r="AU57" i="20"/>
  <c r="V57" i="20"/>
  <c r="AB57" i="20"/>
  <c r="AS57" i="20"/>
  <c r="S57" i="20"/>
  <c r="AE57" i="20"/>
  <c r="AF57" i="20"/>
  <c r="AN57" i="20"/>
  <c r="K57" i="20"/>
  <c r="AO57" i="20"/>
  <c r="AD57" i="20"/>
  <c r="AQ57" i="20"/>
  <c r="J57" i="20"/>
  <c r="G57" i="20"/>
  <c r="O57" i="20"/>
  <c r="AE86" i="20"/>
  <c r="AA86" i="20"/>
  <c r="AO86" i="20"/>
  <c r="AJ86" i="20"/>
  <c r="G86" i="20"/>
  <c r="P86" i="20"/>
  <c r="AU86" i="20"/>
  <c r="O86" i="20"/>
  <c r="AB86" i="20"/>
  <c r="AD86" i="20"/>
  <c r="AI86" i="20"/>
  <c r="Q86" i="20"/>
  <c r="AC86" i="20"/>
  <c r="AV86" i="20"/>
  <c r="N86" i="20"/>
  <c r="R86" i="20"/>
  <c r="AR86" i="20"/>
  <c r="V86" i="20"/>
  <c r="AG86" i="20"/>
  <c r="AM86" i="20"/>
  <c r="U86" i="20"/>
  <c r="S86" i="20"/>
  <c r="W86" i="20"/>
  <c r="AQ86" i="20"/>
  <c r="B86" i="20"/>
  <c r="AN86" i="20"/>
  <c r="J86" i="20"/>
  <c r="AS86" i="20"/>
  <c r="AP86" i="20"/>
  <c r="K86" i="20"/>
  <c r="AL86" i="20"/>
  <c r="AF86" i="20"/>
  <c r="X86" i="20"/>
  <c r="T86" i="20"/>
  <c r="Z86" i="20"/>
  <c r="AH86" i="20"/>
  <c r="AT86" i="20"/>
  <c r="AJ130" i="20"/>
  <c r="AN130" i="20"/>
  <c r="AP130" i="20"/>
  <c r="AD130" i="20"/>
  <c r="T130" i="20"/>
  <c r="S130" i="20"/>
  <c r="R130" i="20"/>
  <c r="AH130" i="20"/>
  <c r="AC130" i="20"/>
  <c r="AS130" i="20"/>
  <c r="U130" i="20"/>
  <c r="V130" i="20"/>
  <c r="AL130" i="20"/>
  <c r="X130" i="20"/>
  <c r="AG130" i="20"/>
  <c r="J130" i="20"/>
  <c r="AQ130" i="20"/>
  <c r="P130" i="20"/>
  <c r="AF130" i="20"/>
  <c r="K130" i="20"/>
  <c r="Z130" i="20"/>
  <c r="Q130" i="20"/>
  <c r="G130" i="20"/>
  <c r="AT130" i="20"/>
  <c r="AR130" i="20"/>
  <c r="AM130" i="20"/>
  <c r="AE130" i="20"/>
  <c r="AO130" i="20"/>
  <c r="B130" i="20"/>
  <c r="N130" i="20"/>
  <c r="AV130" i="20"/>
  <c r="W130" i="20"/>
  <c r="AI130" i="20"/>
  <c r="AA130" i="20"/>
  <c r="AB130" i="20"/>
  <c r="O130" i="20"/>
  <c r="AU130" i="20"/>
  <c r="AB212" i="20"/>
  <c r="AS212" i="20"/>
  <c r="AM212" i="20"/>
  <c r="AQ212" i="20"/>
  <c r="AL212" i="20"/>
  <c r="AC212" i="20"/>
  <c r="AT212" i="20"/>
  <c r="B212" i="20"/>
  <c r="AN212" i="20"/>
  <c r="O212" i="20"/>
  <c r="U212" i="20"/>
  <c r="AR212" i="20"/>
  <c r="AP212" i="20"/>
  <c r="AF212" i="20"/>
  <c r="X212" i="20"/>
  <c r="AH212" i="20"/>
  <c r="S212" i="20"/>
  <c r="J212" i="20"/>
  <c r="K212" i="20"/>
  <c r="N212" i="20"/>
  <c r="AU212" i="20"/>
  <c r="Q212" i="20"/>
  <c r="AG212" i="20"/>
  <c r="AI212" i="20"/>
  <c r="AE212" i="20"/>
  <c r="W212" i="20"/>
  <c r="AO212" i="20"/>
  <c r="R212" i="20"/>
  <c r="P212" i="20"/>
  <c r="AJ212" i="20"/>
  <c r="T212" i="20"/>
  <c r="Z212" i="20"/>
  <c r="AV212" i="20"/>
  <c r="V212" i="20"/>
  <c r="AA212" i="20"/>
  <c r="AD212" i="20"/>
  <c r="AV116" i="20"/>
  <c r="AG116" i="20"/>
  <c r="W116" i="20"/>
  <c r="S116" i="20"/>
  <c r="Z116" i="20"/>
  <c r="V116" i="20"/>
  <c r="AN116" i="20"/>
  <c r="AS116" i="20"/>
  <c r="O116" i="20"/>
  <c r="AJ116" i="20"/>
  <c r="AP116" i="20"/>
  <c r="AR116" i="20"/>
  <c r="Q116" i="20"/>
  <c r="AL116" i="20"/>
  <c r="T116" i="20"/>
  <c r="P116" i="20"/>
  <c r="U116" i="20"/>
  <c r="X116" i="20"/>
  <c r="G116" i="20"/>
  <c r="AT116" i="20"/>
  <c r="B116" i="20"/>
  <c r="J116" i="20"/>
  <c r="R116" i="20"/>
  <c r="AH116" i="20"/>
  <c r="AQ116" i="20"/>
  <c r="AI116" i="20"/>
  <c r="AM116" i="20"/>
  <c r="K116" i="20"/>
  <c r="AU116" i="20"/>
  <c r="AB116" i="20"/>
  <c r="AO116" i="20"/>
  <c r="N116" i="20"/>
  <c r="AA116" i="20"/>
  <c r="AF116" i="20"/>
  <c r="AE116" i="20"/>
  <c r="AC116" i="20"/>
  <c r="AD116" i="20"/>
  <c r="AS153" i="20"/>
  <c r="R153" i="20"/>
  <c r="AN153" i="20"/>
  <c r="J153" i="20"/>
  <c r="AT153" i="20"/>
  <c r="AG153" i="20"/>
  <c r="AB153" i="20"/>
  <c r="Z153" i="20"/>
  <c r="T153" i="20"/>
  <c r="S153" i="20"/>
  <c r="U153" i="20"/>
  <c r="AJ153" i="20"/>
  <c r="P153" i="20"/>
  <c r="AV153" i="20"/>
  <c r="AM153" i="20"/>
  <c r="AH153" i="20"/>
  <c r="Q153" i="20"/>
  <c r="V153" i="20"/>
  <c r="AL153" i="20"/>
  <c r="N153" i="20"/>
  <c r="AA153" i="20"/>
  <c r="O153" i="20"/>
  <c r="AI153" i="20"/>
  <c r="G153" i="20"/>
  <c r="W153" i="20"/>
  <c r="AU153" i="20"/>
  <c r="B153" i="20"/>
  <c r="AR153" i="20"/>
  <c r="X153" i="20"/>
  <c r="AE153" i="20"/>
  <c r="AD153" i="20"/>
  <c r="AF153" i="20"/>
  <c r="AO153" i="20"/>
  <c r="AP153" i="20"/>
  <c r="AC153" i="20"/>
  <c r="AQ153" i="20"/>
  <c r="K153" i="20"/>
  <c r="B140" i="20"/>
  <c r="AT140" i="20"/>
  <c r="V140" i="20"/>
  <c r="AO140" i="20"/>
  <c r="AH140" i="20"/>
  <c r="AR140" i="20"/>
  <c r="AD140" i="20"/>
  <c r="AN140" i="20"/>
  <c r="AV140" i="20"/>
  <c r="AS140" i="20"/>
  <c r="K140" i="20"/>
  <c r="G140" i="20"/>
  <c r="R140" i="20"/>
  <c r="T140" i="20"/>
  <c r="S140" i="20"/>
  <c r="X140" i="20"/>
  <c r="AU140" i="20"/>
  <c r="Q140" i="20"/>
  <c r="AQ140" i="20"/>
  <c r="J140" i="20"/>
  <c r="U140" i="20"/>
  <c r="AF140" i="20"/>
  <c r="AJ140" i="20"/>
  <c r="AP140" i="20"/>
  <c r="AI140" i="20"/>
  <c r="AB140" i="20"/>
  <c r="AG140" i="20"/>
  <c r="Z140" i="20"/>
  <c r="N140" i="20"/>
  <c r="W140" i="20"/>
  <c r="P140" i="20"/>
  <c r="AM140" i="20"/>
  <c r="AA140" i="20"/>
  <c r="AE140" i="20"/>
  <c r="O140" i="20"/>
  <c r="AC140" i="20"/>
  <c r="AL140" i="20"/>
  <c r="AD149" i="20"/>
  <c r="X149" i="20"/>
  <c r="S149" i="20"/>
  <c r="Z149" i="20"/>
  <c r="R149" i="20"/>
  <c r="J149" i="20"/>
  <c r="U149" i="20"/>
  <c r="AV149" i="20"/>
  <c r="AB149" i="20"/>
  <c r="N149" i="20"/>
  <c r="AJ149" i="20"/>
  <c r="AA149" i="20"/>
  <c r="AT149" i="20"/>
  <c r="T149" i="20"/>
  <c r="AU149" i="20"/>
  <c r="AG149" i="20"/>
  <c r="B149" i="20"/>
  <c r="V149" i="20"/>
  <c r="AL149" i="20"/>
  <c r="AH149" i="20"/>
  <c r="AF149" i="20"/>
  <c r="AP149" i="20"/>
  <c r="AN149" i="20"/>
  <c r="AM149" i="20"/>
  <c r="AQ149" i="20"/>
  <c r="AC149" i="20"/>
  <c r="AR149" i="20"/>
  <c r="K149" i="20"/>
  <c r="W149" i="20"/>
  <c r="G149" i="20"/>
  <c r="Q149" i="20"/>
  <c r="AI149" i="20"/>
  <c r="P149" i="20"/>
  <c r="AO149" i="20"/>
  <c r="AS149" i="20"/>
  <c r="AE149" i="20"/>
  <c r="O149" i="20"/>
  <c r="G162" i="20"/>
  <c r="AU162" i="20"/>
  <c r="AA162" i="20"/>
  <c r="X162" i="20"/>
  <c r="AJ162" i="20"/>
  <c r="AS162" i="20"/>
  <c r="AB162" i="20"/>
  <c r="AM162" i="20"/>
  <c r="AF162" i="20"/>
  <c r="AC162" i="20"/>
  <c r="AP162" i="20"/>
  <c r="V162" i="20"/>
  <c r="AR162" i="20"/>
  <c r="AN162" i="20"/>
  <c r="AO162" i="20"/>
  <c r="P162" i="20"/>
  <c r="AH162" i="20"/>
  <c r="N162" i="20"/>
  <c r="O162" i="20"/>
  <c r="AL162" i="20"/>
  <c r="W162" i="20"/>
  <c r="T162" i="20"/>
  <c r="R162" i="20"/>
  <c r="Z162" i="20"/>
  <c r="AE162" i="20"/>
  <c r="K162" i="20"/>
  <c r="S162" i="20"/>
  <c r="AI162" i="20"/>
  <c r="AV162" i="20"/>
  <c r="U162" i="20"/>
  <c r="AQ162" i="20"/>
  <c r="AD162" i="20"/>
  <c r="J162" i="20"/>
  <c r="B162" i="20"/>
  <c r="AT162" i="20"/>
  <c r="AG162" i="20"/>
  <c r="Q162" i="20"/>
  <c r="AC77" i="20"/>
  <c r="AP77" i="20"/>
  <c r="AB77" i="20"/>
  <c r="AM77" i="20"/>
  <c r="N77" i="20"/>
  <c r="AH77" i="20"/>
  <c r="Q77" i="20"/>
  <c r="S77" i="20"/>
  <c r="X77" i="20"/>
  <c r="J77" i="20"/>
  <c r="AJ77" i="20"/>
  <c r="AL77" i="20"/>
  <c r="K77" i="20"/>
  <c r="AG77" i="20"/>
  <c r="AE77" i="20"/>
  <c r="T77" i="20"/>
  <c r="AO77" i="20"/>
  <c r="AI77" i="20"/>
  <c r="AS77" i="20"/>
  <c r="G77" i="20"/>
  <c r="AQ77" i="20"/>
  <c r="Z77" i="20"/>
  <c r="AU77" i="20"/>
  <c r="AV77" i="20"/>
  <c r="W77" i="20"/>
  <c r="AT77" i="20"/>
  <c r="AF77" i="20"/>
  <c r="B77" i="20"/>
  <c r="R77" i="20"/>
  <c r="AN77" i="20"/>
  <c r="P77" i="20"/>
  <c r="AD77" i="20"/>
  <c r="O77" i="20"/>
  <c r="V77" i="20"/>
  <c r="AR77" i="20"/>
  <c r="U77" i="20"/>
  <c r="AA77" i="20"/>
  <c r="B46" i="20"/>
  <c r="AT46" i="20"/>
  <c r="AQ46" i="20"/>
  <c r="AP46" i="20"/>
  <c r="W46" i="20"/>
  <c r="X46" i="20"/>
  <c r="AO46" i="20"/>
  <c r="V46" i="20"/>
  <c r="J46" i="20"/>
  <c r="AL46" i="20"/>
  <c r="AH46" i="20"/>
  <c r="K46" i="20"/>
  <c r="P46" i="20"/>
  <c r="AC46" i="20"/>
  <c r="AE46" i="20"/>
  <c r="T46" i="20"/>
  <c r="Z46" i="20"/>
  <c r="U46" i="20"/>
  <c r="AS46" i="20"/>
  <c r="AU46" i="20"/>
  <c r="AV46" i="20"/>
  <c r="AF46" i="20"/>
  <c r="N46" i="20"/>
  <c r="AR46" i="20"/>
  <c r="O46" i="20"/>
  <c r="G46" i="20"/>
  <c r="AD46" i="20"/>
  <c r="AA46" i="20"/>
  <c r="AM46" i="20"/>
  <c r="AJ46" i="20"/>
  <c r="R46" i="20"/>
  <c r="AI46" i="20"/>
  <c r="AB46" i="20"/>
  <c r="S46" i="20"/>
  <c r="Q46" i="20"/>
  <c r="AG46" i="20"/>
  <c r="AN46" i="20"/>
  <c r="B81" i="29"/>
  <c r="U81" i="29"/>
  <c r="U52" i="29"/>
  <c r="B52" i="29"/>
  <c r="B136" i="29"/>
  <c r="U136" i="29"/>
  <c r="U164" i="31"/>
  <c r="B164" i="31"/>
  <c r="B79" i="30"/>
  <c r="U79" i="30"/>
  <c r="B143" i="31"/>
  <c r="U143" i="31"/>
  <c r="B149" i="30"/>
  <c r="U149" i="30"/>
  <c r="U62" i="29"/>
  <c r="B62" i="29"/>
  <c r="B123" i="29"/>
  <c r="U123" i="29"/>
  <c r="I138" i="26"/>
  <c r="E138" i="26" s="1"/>
  <c r="H138" i="26"/>
  <c r="U87" i="29"/>
  <c r="B87" i="29"/>
  <c r="U169" i="29"/>
  <c r="B169" i="29"/>
  <c r="B80" i="31"/>
  <c r="U80" i="31"/>
  <c r="B145" i="1"/>
  <c r="U145" i="1"/>
  <c r="B101" i="31"/>
  <c r="U101" i="31"/>
  <c r="H125" i="26"/>
  <c r="I125" i="26"/>
  <c r="E125" i="26" s="1"/>
  <c r="B149" i="29"/>
  <c r="U149" i="29"/>
  <c r="U130" i="29"/>
  <c r="B130" i="29"/>
  <c r="B99" i="1"/>
  <c r="U99" i="1"/>
  <c r="U162" i="31"/>
  <c r="B162" i="31"/>
  <c r="I124" i="26"/>
  <c r="E124" i="26" s="1"/>
  <c r="H124" i="26"/>
  <c r="B173" i="29"/>
  <c r="U173" i="29"/>
  <c r="B76" i="1"/>
  <c r="U76" i="1"/>
  <c r="B136" i="31"/>
  <c r="U136" i="31"/>
  <c r="B132" i="30"/>
  <c r="U132" i="30"/>
  <c r="U63" i="31"/>
  <c r="B63" i="31"/>
  <c r="B119" i="29"/>
  <c r="U119" i="29"/>
  <c r="I230" i="26"/>
  <c r="E230" i="26" s="1"/>
  <c r="L252" i="1"/>
  <c r="B105" i="29"/>
  <c r="U105" i="29"/>
  <c r="U92" i="30"/>
  <c r="B92" i="30"/>
  <c r="B46" i="1"/>
  <c r="U46" i="1"/>
  <c r="B75" i="1"/>
  <c r="U75" i="1"/>
  <c r="B109" i="31"/>
  <c r="U109" i="31"/>
  <c r="U106" i="30"/>
  <c r="B106" i="30"/>
  <c r="B174" i="29"/>
  <c r="U174" i="29"/>
  <c r="B181" i="31"/>
  <c r="U181" i="31"/>
  <c r="B95" i="1"/>
  <c r="U95" i="1"/>
  <c r="U51" i="29"/>
  <c r="B51" i="29"/>
  <c r="U184" i="31"/>
  <c r="B184" i="31"/>
  <c r="B103" i="1"/>
  <c r="U103" i="1"/>
  <c r="AV88" i="20"/>
  <c r="U88" i="20"/>
  <c r="AJ88" i="20"/>
  <c r="AA88" i="20"/>
  <c r="AR88" i="20"/>
  <c r="X88" i="20"/>
  <c r="B88" i="20"/>
  <c r="AD88" i="20"/>
  <c r="S88" i="20"/>
  <c r="AH88" i="20"/>
  <c r="G88" i="20"/>
  <c r="AT88" i="20"/>
  <c r="V88" i="20"/>
  <c r="K88" i="20"/>
  <c r="W88" i="20"/>
  <c r="AQ88" i="20"/>
  <c r="AM88" i="20"/>
  <c r="AN88" i="20"/>
  <c r="AP88" i="20"/>
  <c r="P88" i="20"/>
  <c r="AS88" i="20"/>
  <c r="AF88" i="20"/>
  <c r="O88" i="20"/>
  <c r="AB88" i="20"/>
  <c r="AI88" i="20"/>
  <c r="T88" i="20"/>
  <c r="R88" i="20"/>
  <c r="Z88" i="20"/>
  <c r="AL88" i="20"/>
  <c r="J88" i="20"/>
  <c r="AU88" i="20"/>
  <c r="AC88" i="20"/>
  <c r="AG88" i="20"/>
  <c r="Q88" i="20"/>
  <c r="AE88" i="20"/>
  <c r="N88" i="20"/>
  <c r="AO88" i="20"/>
  <c r="W236" i="20"/>
  <c r="P236" i="20"/>
  <c r="B236" i="20"/>
  <c r="O236" i="20"/>
  <c r="AM236" i="20"/>
  <c r="AP236" i="20"/>
  <c r="AA236" i="20"/>
  <c r="AL236" i="20"/>
  <c r="AB236" i="20"/>
  <c r="AS236" i="20"/>
  <c r="AO236" i="20"/>
  <c r="V236" i="20"/>
  <c r="AE236" i="20"/>
  <c r="N236" i="20"/>
  <c r="Q236" i="20"/>
  <c r="AT236" i="20"/>
  <c r="AQ236" i="20"/>
  <c r="AJ236" i="20"/>
  <c r="AF236" i="20"/>
  <c r="T236" i="20"/>
  <c r="AI236" i="20"/>
  <c r="AD236" i="20"/>
  <c r="R236" i="20"/>
  <c r="J236" i="20"/>
  <c r="K236" i="20"/>
  <c r="AC236" i="20"/>
  <c r="Z236" i="20"/>
  <c r="AG236" i="20"/>
  <c r="S236" i="20"/>
  <c r="U236" i="20"/>
  <c r="X236" i="20"/>
  <c r="AR236" i="20"/>
  <c r="AN236" i="20"/>
  <c r="AH236" i="20"/>
  <c r="AU236" i="20"/>
  <c r="AV236" i="20"/>
  <c r="S251" i="20"/>
  <c r="AN251" i="20"/>
  <c r="V251" i="20"/>
  <c r="U251" i="20"/>
  <c r="AR251" i="20"/>
  <c r="N251" i="20"/>
  <c r="P251" i="20"/>
  <c r="AB251" i="20"/>
  <c r="AS251" i="20"/>
  <c r="AO251" i="20"/>
  <c r="AP251" i="20"/>
  <c r="R251" i="20"/>
  <c r="X251" i="20"/>
  <c r="AV251" i="20"/>
  <c r="AF251" i="20"/>
  <c r="W251" i="20"/>
  <c r="T251" i="20"/>
  <c r="AE251" i="20"/>
  <c r="Z251" i="20"/>
  <c r="AQ251" i="20"/>
  <c r="AC251" i="20"/>
  <c r="AG251" i="20"/>
  <c r="Q251" i="20"/>
  <c r="AD251" i="20"/>
  <c r="AH251" i="20"/>
  <c r="AU251" i="20"/>
  <c r="AA251" i="20"/>
  <c r="O251" i="20"/>
  <c r="K251" i="20"/>
  <c r="AM251" i="20"/>
  <c r="AL251" i="20"/>
  <c r="B251" i="20"/>
  <c r="AT251" i="20"/>
  <c r="J251" i="20"/>
  <c r="AI251" i="20"/>
  <c r="AJ251" i="20"/>
  <c r="AB87" i="20"/>
  <c r="AE87" i="20"/>
  <c r="AU87" i="20"/>
  <c r="AJ87" i="20"/>
  <c r="AP87" i="20"/>
  <c r="R87" i="20"/>
  <c r="AL87" i="20"/>
  <c r="T87" i="20"/>
  <c r="J87" i="20"/>
  <c r="W87" i="20"/>
  <c r="AT87" i="20"/>
  <c r="AH87" i="20"/>
  <c r="G87" i="20"/>
  <c r="AQ87" i="20"/>
  <c r="AV87" i="20"/>
  <c r="X87" i="20"/>
  <c r="AC87" i="20"/>
  <c r="AN87" i="20"/>
  <c r="AR87" i="20"/>
  <c r="N87" i="20"/>
  <c r="AS87" i="20"/>
  <c r="AM87" i="20"/>
  <c r="V87" i="20"/>
  <c r="K87" i="20"/>
  <c r="AI87" i="20"/>
  <c r="O87" i="20"/>
  <c r="AA87" i="20"/>
  <c r="S87" i="20"/>
  <c r="B87" i="20"/>
  <c r="AG87" i="20"/>
  <c r="AD87" i="20"/>
  <c r="Q87" i="20"/>
  <c r="Z87" i="20"/>
  <c r="P87" i="20"/>
  <c r="AF87" i="20"/>
  <c r="U87" i="20"/>
  <c r="AO87" i="20"/>
  <c r="AV110" i="20"/>
  <c r="B110" i="20"/>
  <c r="G110" i="20"/>
  <c r="Q110" i="20"/>
  <c r="U110" i="20"/>
  <c r="AF110" i="20"/>
  <c r="K110" i="20"/>
  <c r="AA110" i="20"/>
  <c r="W110" i="20"/>
  <c r="V110" i="20"/>
  <c r="AQ110" i="20"/>
  <c r="AO110" i="20"/>
  <c r="N110" i="20"/>
  <c r="AC110" i="20"/>
  <c r="AB110" i="20"/>
  <c r="P110" i="20"/>
  <c r="AE110" i="20"/>
  <c r="S110" i="20"/>
  <c r="AG110" i="20"/>
  <c r="AH110" i="20"/>
  <c r="O110" i="20"/>
  <c r="AR110" i="20"/>
  <c r="X110" i="20"/>
  <c r="AJ110" i="20"/>
  <c r="AD110" i="20"/>
  <c r="R110" i="20"/>
  <c r="AT110" i="20"/>
  <c r="AM110" i="20"/>
  <c r="J110" i="20"/>
  <c r="Z110" i="20"/>
  <c r="AI110" i="20"/>
  <c r="T110" i="20"/>
  <c r="AS110" i="20"/>
  <c r="AL110" i="20"/>
  <c r="AU110" i="20"/>
  <c r="AN110" i="20"/>
  <c r="AP110" i="20"/>
  <c r="J111" i="20"/>
  <c r="AP111" i="20"/>
  <c r="Q111" i="20"/>
  <c r="W111" i="20"/>
  <c r="B111" i="20"/>
  <c r="AM111" i="20"/>
  <c r="AJ111" i="20"/>
  <c r="AI111" i="20"/>
  <c r="AU111" i="20"/>
  <c r="O111" i="20"/>
  <c r="AA111" i="20"/>
  <c r="AT111" i="20"/>
  <c r="S111" i="20"/>
  <c r="AN111" i="20"/>
  <c r="K111" i="20"/>
  <c r="R111" i="20"/>
  <c r="AG111" i="20"/>
  <c r="AH111" i="20"/>
  <c r="P111" i="20"/>
  <c r="N111" i="20"/>
  <c r="X111" i="20"/>
  <c r="AL111" i="20"/>
  <c r="AV111" i="20"/>
  <c r="AC111" i="20"/>
  <c r="AB111" i="20"/>
  <c r="T111" i="20"/>
  <c r="AO111" i="20"/>
  <c r="AS111" i="20"/>
  <c r="AE111" i="20"/>
  <c r="AF111" i="20"/>
  <c r="AQ111" i="20"/>
  <c r="AD111" i="20"/>
  <c r="V111" i="20"/>
  <c r="G111" i="20"/>
  <c r="U111" i="20"/>
  <c r="AR111" i="20"/>
  <c r="Z111" i="20"/>
  <c r="AE189" i="20"/>
  <c r="S189" i="20"/>
  <c r="AF189" i="20"/>
  <c r="AU189" i="20"/>
  <c r="W189" i="20"/>
  <c r="O189" i="20"/>
  <c r="AV189" i="20"/>
  <c r="AQ189" i="20"/>
  <c r="AB189" i="20"/>
  <c r="X189" i="20"/>
  <c r="AN189" i="20"/>
  <c r="AI189" i="20"/>
  <c r="AL189" i="20"/>
  <c r="T189" i="20"/>
  <c r="G189" i="20"/>
  <c r="J189" i="20"/>
  <c r="AJ189" i="20"/>
  <c r="AC189" i="20"/>
  <c r="Q189" i="20"/>
  <c r="B189" i="20"/>
  <c r="AS189" i="20"/>
  <c r="AT189" i="20"/>
  <c r="U189" i="20"/>
  <c r="Z189" i="20"/>
  <c r="AM189" i="20"/>
  <c r="AP189" i="20"/>
  <c r="AA189" i="20"/>
  <c r="AR189" i="20"/>
  <c r="N189" i="20"/>
  <c r="R189" i="20"/>
  <c r="K189" i="20"/>
  <c r="AG189" i="20"/>
  <c r="V189" i="20"/>
  <c r="AO189" i="20"/>
  <c r="AH189" i="20"/>
  <c r="P189" i="20"/>
  <c r="AD189" i="20"/>
  <c r="AP243" i="20"/>
  <c r="AI243" i="20"/>
  <c r="AN243" i="20"/>
  <c r="AR243" i="20"/>
  <c r="S243" i="20"/>
  <c r="AM243" i="20"/>
  <c r="AC243" i="20"/>
  <c r="AU243" i="20"/>
  <c r="V243" i="20"/>
  <c r="AF243" i="20"/>
  <c r="Q243" i="20"/>
  <c r="N243" i="20"/>
  <c r="B243" i="20"/>
  <c r="O243" i="20"/>
  <c r="AH243" i="20"/>
  <c r="AE243" i="20"/>
  <c r="AB243" i="20"/>
  <c r="X243" i="20"/>
  <c r="W243" i="20"/>
  <c r="AO243" i="20"/>
  <c r="AV243" i="20"/>
  <c r="T243" i="20"/>
  <c r="R243" i="20"/>
  <c r="AT243" i="20"/>
  <c r="AG243" i="20"/>
  <c r="P243" i="20"/>
  <c r="Z243" i="20"/>
  <c r="AJ243" i="20"/>
  <c r="AS243" i="20"/>
  <c r="AA243" i="20"/>
  <c r="K243" i="20"/>
  <c r="J243" i="20"/>
  <c r="AL243" i="20"/>
  <c r="AQ243" i="20"/>
  <c r="AD243" i="20"/>
  <c r="U243" i="20"/>
  <c r="B217" i="20"/>
  <c r="J217" i="20"/>
  <c r="AH217" i="20"/>
  <c r="S217" i="20"/>
  <c r="AR217" i="20"/>
  <c r="U217" i="20"/>
  <c r="AU217" i="20"/>
  <c r="AJ217" i="20"/>
  <c r="AE217" i="20"/>
  <c r="AM217" i="20"/>
  <c r="AB217" i="20"/>
  <c r="AS217" i="20"/>
  <c r="N217" i="20"/>
  <c r="AP217" i="20"/>
  <c r="AL217" i="20"/>
  <c r="X217" i="20"/>
  <c r="AO217" i="20"/>
  <c r="V217" i="20"/>
  <c r="AV217" i="20"/>
  <c r="AA217" i="20"/>
  <c r="AI217" i="20"/>
  <c r="T217" i="20"/>
  <c r="AG217" i="20"/>
  <c r="O217" i="20"/>
  <c r="AC217" i="20"/>
  <c r="Q217" i="20"/>
  <c r="Z217" i="20"/>
  <c r="AQ217" i="20"/>
  <c r="W217" i="20"/>
  <c r="P217" i="20"/>
  <c r="AN217" i="20"/>
  <c r="AF217" i="20"/>
  <c r="R217" i="20"/>
  <c r="AT217" i="20"/>
  <c r="K217" i="20"/>
  <c r="AD217" i="20"/>
  <c r="S234" i="20"/>
  <c r="B234" i="20"/>
  <c r="AV234" i="20"/>
  <c r="Z234" i="20"/>
  <c r="W234" i="20"/>
  <c r="AA234" i="20"/>
  <c r="AF234" i="20"/>
  <c r="AT234" i="20"/>
  <c r="N234" i="20"/>
  <c r="Q234" i="20"/>
  <c r="V234" i="20"/>
  <c r="AU234" i="20"/>
  <c r="AI234" i="20"/>
  <c r="U234" i="20"/>
  <c r="AL234" i="20"/>
  <c r="AM234" i="20"/>
  <c r="AB234" i="20"/>
  <c r="AH234" i="20"/>
  <c r="T234" i="20"/>
  <c r="J234" i="20"/>
  <c r="AJ234" i="20"/>
  <c r="X234" i="20"/>
  <c r="AC234" i="20"/>
  <c r="P234" i="20"/>
  <c r="R234" i="20"/>
  <c r="AN234" i="20"/>
  <c r="AE234" i="20"/>
  <c r="AG234" i="20"/>
  <c r="AQ234" i="20"/>
  <c r="AO234" i="20"/>
  <c r="AR234" i="20"/>
  <c r="O234" i="20"/>
  <c r="K234" i="20"/>
  <c r="AS234" i="20"/>
  <c r="AP234" i="20"/>
  <c r="AD234" i="20"/>
  <c r="AO85" i="20"/>
  <c r="AU85" i="20"/>
  <c r="X85" i="20"/>
  <c r="AQ85" i="20"/>
  <c r="B85" i="20"/>
  <c r="Q85" i="20"/>
  <c r="AG85" i="20"/>
  <c r="AB85" i="20"/>
  <c r="K85" i="20"/>
  <c r="AJ85" i="20"/>
  <c r="AH85" i="20"/>
  <c r="AP85" i="20"/>
  <c r="V85" i="20"/>
  <c r="AF85" i="20"/>
  <c r="N85" i="20"/>
  <c r="AL85" i="20"/>
  <c r="AC85" i="20"/>
  <c r="AM85" i="20"/>
  <c r="R85" i="20"/>
  <c r="Z85" i="20"/>
  <c r="U85" i="20"/>
  <c r="O85" i="20"/>
  <c r="G85" i="20"/>
  <c r="W85" i="20"/>
  <c r="AS85" i="20"/>
  <c r="AR85" i="20"/>
  <c r="S85" i="20"/>
  <c r="AN85" i="20"/>
  <c r="AA85" i="20"/>
  <c r="AT85" i="20"/>
  <c r="AV85" i="20"/>
  <c r="P85" i="20"/>
  <c r="AI85" i="20"/>
  <c r="AE85" i="20"/>
  <c r="T85" i="20"/>
  <c r="AD85" i="20"/>
  <c r="J85" i="20"/>
  <c r="R81" i="20"/>
  <c r="AH81" i="20"/>
  <c r="X81" i="20"/>
  <c r="AG81" i="20"/>
  <c r="K81" i="20"/>
  <c r="AC81" i="20"/>
  <c r="P81" i="20"/>
  <c r="AL81" i="20"/>
  <c r="U81" i="20"/>
  <c r="AV81" i="20"/>
  <c r="V81" i="20"/>
  <c r="T81" i="20"/>
  <c r="Z81" i="20"/>
  <c r="AJ81" i="20"/>
  <c r="N81" i="20"/>
  <c r="AQ81" i="20"/>
  <c r="AS81" i="20"/>
  <c r="B81" i="20"/>
  <c r="AP81" i="20"/>
  <c r="AE81" i="20"/>
  <c r="Q81" i="20"/>
  <c r="G81" i="20"/>
  <c r="AR81" i="20"/>
  <c r="AN81" i="20"/>
  <c r="AT81" i="20"/>
  <c r="S81" i="20"/>
  <c r="O81" i="20"/>
  <c r="J81" i="20"/>
  <c r="AF81" i="20"/>
  <c r="AU81" i="20"/>
  <c r="AB81" i="20"/>
  <c r="AD81" i="20"/>
  <c r="AA81" i="20"/>
  <c r="W81" i="20"/>
  <c r="AI81" i="20"/>
  <c r="AO81" i="20"/>
  <c r="AM81" i="20"/>
  <c r="B248" i="20"/>
  <c r="AR248" i="20"/>
  <c r="AQ248" i="20"/>
  <c r="AC248" i="20"/>
  <c r="AT248" i="20"/>
  <c r="AE248" i="20"/>
  <c r="AI248" i="20"/>
  <c r="W248" i="20"/>
  <c r="R248" i="20"/>
  <c r="K248" i="20"/>
  <c r="U248" i="20"/>
  <c r="AA248" i="20"/>
  <c r="J248" i="20"/>
  <c r="AO248" i="20"/>
  <c r="V248" i="20"/>
  <c r="AB248" i="20"/>
  <c r="AS248" i="20"/>
  <c r="O248" i="20"/>
  <c r="AM248" i="20"/>
  <c r="S248" i="20"/>
  <c r="Q248" i="20"/>
  <c r="AG248" i="20"/>
  <c r="P248" i="20"/>
  <c r="T248" i="20"/>
  <c r="N248" i="20"/>
  <c r="AL248" i="20"/>
  <c r="AP248" i="20"/>
  <c r="AF248" i="20"/>
  <c r="AN248" i="20"/>
  <c r="AD248" i="20"/>
  <c r="AV248" i="20"/>
  <c r="AJ248" i="20"/>
  <c r="X248" i="20"/>
  <c r="AU248" i="20"/>
  <c r="Z248" i="20"/>
  <c r="AH248" i="20"/>
  <c r="B111" i="1"/>
  <c r="U111" i="1"/>
  <c r="U147" i="1"/>
  <c r="B147" i="1"/>
  <c r="B116" i="29"/>
  <c r="U116" i="29"/>
  <c r="B129" i="30"/>
  <c r="U129" i="30"/>
  <c r="B162" i="29"/>
  <c r="U162" i="29"/>
  <c r="U103" i="30"/>
  <c r="B103" i="30"/>
  <c r="U170" i="1"/>
  <c r="B170" i="1"/>
  <c r="G172" i="37"/>
  <c r="B172" i="37"/>
  <c r="K172" i="37"/>
  <c r="U104" i="31"/>
  <c r="B104" i="31"/>
  <c r="B49" i="1"/>
  <c r="U49" i="1"/>
  <c r="N343" i="31"/>
  <c r="B95" i="30"/>
  <c r="U95" i="30"/>
  <c r="U58" i="29"/>
  <c r="B58" i="29"/>
  <c r="U35" i="29"/>
  <c r="B35" i="29"/>
  <c r="U61" i="31"/>
  <c r="B61" i="31"/>
  <c r="B123" i="1"/>
  <c r="U123" i="1"/>
  <c r="U154" i="31"/>
  <c r="B154" i="31"/>
  <c r="U157" i="1"/>
  <c r="B157" i="1"/>
  <c r="B183" i="29"/>
  <c r="U183" i="29"/>
  <c r="B93" i="30"/>
  <c r="U93" i="30"/>
  <c r="B90" i="1"/>
  <c r="U90" i="1"/>
  <c r="B178" i="29"/>
  <c r="U178" i="29"/>
  <c r="B122" i="30"/>
  <c r="U122" i="30"/>
  <c r="U48" i="1"/>
  <c r="B48" i="1"/>
  <c r="B135" i="31"/>
  <c r="U135" i="31"/>
  <c r="T103" i="20"/>
  <c r="K103" i="20"/>
  <c r="AN103" i="20"/>
  <c r="AQ103" i="20"/>
  <c r="AD103" i="20"/>
  <c r="J103" i="20"/>
  <c r="AE103" i="20"/>
  <c r="AO103" i="20"/>
  <c r="S103" i="20"/>
  <c r="V103" i="20"/>
  <c r="W103" i="20"/>
  <c r="AM103" i="20"/>
  <c r="U103" i="20"/>
  <c r="AG103" i="20"/>
  <c r="AB103" i="20"/>
  <c r="AP103" i="20"/>
  <c r="X103" i="20"/>
  <c r="AH103" i="20"/>
  <c r="N103" i="20"/>
  <c r="B103" i="20"/>
  <c r="AF103" i="20"/>
  <c r="AT103" i="20"/>
  <c r="AV103" i="20"/>
  <c r="AU103" i="20"/>
  <c r="Q103" i="20"/>
  <c r="O103" i="20"/>
  <c r="AS103" i="20"/>
  <c r="P103" i="20"/>
  <c r="AA103" i="20"/>
  <c r="AL103" i="20"/>
  <c r="AC103" i="20"/>
  <c r="G103" i="20"/>
  <c r="R103" i="20"/>
  <c r="AI103" i="20"/>
  <c r="AR103" i="20"/>
  <c r="AJ103" i="20"/>
  <c r="Z103" i="20"/>
  <c r="J4" i="20"/>
  <c r="AC4" i="20"/>
  <c r="K4" i="20"/>
  <c r="AE4" i="20"/>
  <c r="AO4" i="20"/>
  <c r="AF4" i="20"/>
  <c r="AJ4" i="20"/>
  <c r="AV4" i="20"/>
  <c r="AQ4" i="20"/>
  <c r="S4" i="20"/>
  <c r="AN4" i="20"/>
  <c r="AP4" i="20"/>
  <c r="AB4" i="20"/>
  <c r="P4" i="20"/>
  <c r="R4" i="20"/>
  <c r="O4" i="20"/>
  <c r="AI4" i="20"/>
  <c r="AL4" i="20"/>
  <c r="B4" i="20"/>
  <c r="AS4" i="20"/>
  <c r="AR4" i="20"/>
  <c r="W4" i="20"/>
  <c r="AD4" i="20"/>
  <c r="X4" i="20"/>
  <c r="AT4" i="20"/>
  <c r="AU4" i="20"/>
  <c r="N4" i="20"/>
  <c r="AM4" i="20"/>
  <c r="Z4" i="20"/>
  <c r="AH4" i="20"/>
  <c r="U4" i="20"/>
  <c r="AA4" i="20"/>
  <c r="AG4" i="20"/>
  <c r="G4" i="20"/>
  <c r="V4" i="20"/>
  <c r="Q4" i="20"/>
  <c r="T4" i="20"/>
  <c r="Z175" i="20"/>
  <c r="AO175" i="20"/>
  <c r="S175" i="20"/>
  <c r="AG175" i="20"/>
  <c r="O175" i="20"/>
  <c r="AD175" i="20"/>
  <c r="AJ175" i="20"/>
  <c r="AF175" i="20"/>
  <c r="Q175" i="20"/>
  <c r="AT175" i="20"/>
  <c r="T175" i="20"/>
  <c r="J175" i="20"/>
  <c r="K175" i="20"/>
  <c r="AS175" i="20"/>
  <c r="P175" i="20"/>
  <c r="AU175" i="20"/>
  <c r="AN175" i="20"/>
  <c r="G175" i="20"/>
  <c r="R175" i="20"/>
  <c r="AV175" i="20"/>
  <c r="AM175" i="20"/>
  <c r="X175" i="20"/>
  <c r="AI175" i="20"/>
  <c r="N175" i="20"/>
  <c r="AP175" i="20"/>
  <c r="AB175" i="20"/>
  <c r="AR175" i="20"/>
  <c r="AE175" i="20"/>
  <c r="AA175" i="20"/>
  <c r="AC175" i="20"/>
  <c r="U175" i="20"/>
  <c r="AH175" i="20"/>
  <c r="B175" i="20"/>
  <c r="AQ175" i="20"/>
  <c r="AL175" i="20"/>
  <c r="V175" i="20"/>
  <c r="W175" i="20"/>
  <c r="AC9" i="20"/>
  <c r="AQ9" i="20"/>
  <c r="W9" i="20"/>
  <c r="V9" i="20"/>
  <c r="B9" i="20"/>
  <c r="AJ9" i="20"/>
  <c r="J9" i="20"/>
  <c r="AF9" i="20"/>
  <c r="R9" i="20"/>
  <c r="AR9" i="20"/>
  <c r="AB9" i="20"/>
  <c r="N9" i="20"/>
  <c r="Z9" i="20"/>
  <c r="Q9" i="20"/>
  <c r="AG9" i="20"/>
  <c r="S9" i="20"/>
  <c r="T9" i="20"/>
  <c r="AP9" i="20"/>
  <c r="AV9" i="20"/>
  <c r="AS9" i="20"/>
  <c r="P9" i="20"/>
  <c r="AH9" i="20"/>
  <c r="AU9" i="20"/>
  <c r="AM9" i="20"/>
  <c r="G9" i="20"/>
  <c r="AI9" i="20"/>
  <c r="AA9" i="20"/>
  <c r="O9" i="20"/>
  <c r="X9" i="20"/>
  <c r="K9" i="20"/>
  <c r="AN9" i="20"/>
  <c r="U9" i="20"/>
  <c r="AT9" i="20"/>
  <c r="AO9" i="20"/>
  <c r="AD9" i="20"/>
  <c r="AE9" i="20"/>
  <c r="AL9" i="20"/>
  <c r="AP64" i="20"/>
  <c r="AA64" i="20"/>
  <c r="AN64" i="20"/>
  <c r="X64" i="20"/>
  <c r="O64" i="20"/>
  <c r="U64" i="20"/>
  <c r="AM64" i="20"/>
  <c r="Z64" i="20"/>
  <c r="B64" i="20"/>
  <c r="K64" i="20"/>
  <c r="N64" i="20"/>
  <c r="J64" i="20"/>
  <c r="AD64" i="20"/>
  <c r="AR64" i="20"/>
  <c r="AT64" i="20"/>
  <c r="AE64" i="20"/>
  <c r="AV64" i="20"/>
  <c r="AH64" i="20"/>
  <c r="AJ64" i="20"/>
  <c r="AU64" i="20"/>
  <c r="AO64" i="20"/>
  <c r="AI64" i="20"/>
  <c r="AC64" i="20"/>
  <c r="S64" i="20"/>
  <c r="P64" i="20"/>
  <c r="R64" i="20"/>
  <c r="Q64" i="20"/>
  <c r="W64" i="20"/>
  <c r="AF64" i="20"/>
  <c r="G64" i="20"/>
  <c r="AB64" i="20"/>
  <c r="AS64" i="20"/>
  <c r="T64" i="20"/>
  <c r="V64" i="20"/>
  <c r="AQ64" i="20"/>
  <c r="AG64" i="20"/>
  <c r="AL64" i="20"/>
  <c r="AV28" i="20"/>
  <c r="AT28" i="20"/>
  <c r="AB28" i="20"/>
  <c r="AP28" i="20"/>
  <c r="P28" i="20"/>
  <c r="B28" i="20"/>
  <c r="V28" i="20"/>
  <c r="AN28" i="20"/>
  <c r="AG28" i="20"/>
  <c r="Q28" i="20"/>
  <c r="AS28" i="20"/>
  <c r="J28" i="20"/>
  <c r="AI28" i="20"/>
  <c r="AF28" i="20"/>
  <c r="AE28" i="20"/>
  <c r="Z28" i="20"/>
  <c r="AM28" i="20"/>
  <c r="AD28" i="20"/>
  <c r="K28" i="20"/>
  <c r="W28" i="20"/>
  <c r="G28" i="20"/>
  <c r="AL28" i="20"/>
  <c r="R28" i="20"/>
  <c r="T28" i="20"/>
  <c r="S28" i="20"/>
  <c r="AA28" i="20"/>
  <c r="AJ28" i="20"/>
  <c r="AH28" i="20"/>
  <c r="AQ28" i="20"/>
  <c r="AR28" i="20"/>
  <c r="AC28" i="20"/>
  <c r="X28" i="20"/>
  <c r="AO28" i="20"/>
  <c r="O28" i="20"/>
  <c r="U28" i="20"/>
  <c r="N28" i="20"/>
  <c r="AU28" i="20"/>
  <c r="AF224" i="20"/>
  <c r="AG224" i="20"/>
  <c r="Z224" i="20"/>
  <c r="AA224" i="20"/>
  <c r="AD224" i="20"/>
  <c r="W224" i="20"/>
  <c r="AC224" i="20"/>
  <c r="AH224" i="20"/>
  <c r="AI224" i="20"/>
  <c r="AQ224" i="20"/>
  <c r="AN224" i="20"/>
  <c r="AB224" i="20"/>
  <c r="X224" i="20"/>
  <c r="AO224" i="20"/>
  <c r="J224" i="20"/>
  <c r="AE224" i="20"/>
  <c r="P224" i="20"/>
  <c r="AU224" i="20"/>
  <c r="AJ224" i="20"/>
  <c r="U224" i="20"/>
  <c r="S224" i="20"/>
  <c r="AM224" i="20"/>
  <c r="T224" i="20"/>
  <c r="AL224" i="20"/>
  <c r="R224" i="20"/>
  <c r="AV224" i="20"/>
  <c r="K224" i="20"/>
  <c r="N224" i="20"/>
  <c r="AR224" i="20"/>
  <c r="AT224" i="20"/>
  <c r="AP224" i="20"/>
  <c r="B224" i="20"/>
  <c r="O224" i="20"/>
  <c r="AS224" i="20"/>
  <c r="V224" i="20"/>
  <c r="Q224" i="20"/>
  <c r="AQ102" i="20"/>
  <c r="AJ102" i="20"/>
  <c r="U102" i="20"/>
  <c r="P102" i="20"/>
  <c r="AR102" i="20"/>
  <c r="AC102" i="20"/>
  <c r="AN102" i="20"/>
  <c r="AI102" i="20"/>
  <c r="V102" i="20"/>
  <c r="AB102" i="20"/>
  <c r="S102" i="20"/>
  <c r="AH102" i="20"/>
  <c r="N102" i="20"/>
  <c r="AT102" i="20"/>
  <c r="AF102" i="20"/>
  <c r="AS102" i="20"/>
  <c r="AV102" i="20"/>
  <c r="AP102" i="20"/>
  <c r="Z102" i="20"/>
  <c r="O102" i="20"/>
  <c r="X102" i="20"/>
  <c r="AU102" i="20"/>
  <c r="AO102" i="20"/>
  <c r="AD102" i="20"/>
  <c r="T102" i="20"/>
  <c r="AM102" i="20"/>
  <c r="R102" i="20"/>
  <c r="W102" i="20"/>
  <c r="B102" i="20"/>
  <c r="K102" i="20"/>
  <c r="AG102" i="20"/>
  <c r="AE102" i="20"/>
  <c r="AA102" i="20"/>
  <c r="G102" i="20"/>
  <c r="J102" i="20"/>
  <c r="Q102" i="20"/>
  <c r="AL102" i="20"/>
  <c r="AR144" i="20"/>
  <c r="Q144" i="20"/>
  <c r="J144" i="20"/>
  <c r="AM144" i="20"/>
  <c r="AT144" i="20"/>
  <c r="G144" i="20"/>
  <c r="X144" i="20"/>
  <c r="AN144" i="20"/>
  <c r="AO144" i="20"/>
  <c r="AD144" i="20"/>
  <c r="B144" i="20"/>
  <c r="AH144" i="20"/>
  <c r="AV144" i="20"/>
  <c r="AB144" i="20"/>
  <c r="AA144" i="20"/>
  <c r="AC144" i="20"/>
  <c r="AL144" i="20"/>
  <c r="AG144" i="20"/>
  <c r="T144" i="20"/>
  <c r="AE144" i="20"/>
  <c r="AU144" i="20"/>
  <c r="N144" i="20"/>
  <c r="S144" i="20"/>
  <c r="W144" i="20"/>
  <c r="U144" i="20"/>
  <c r="R144" i="20"/>
  <c r="AF144" i="20"/>
  <c r="AI144" i="20"/>
  <c r="AJ144" i="20"/>
  <c r="Z144" i="20"/>
  <c r="AP144" i="20"/>
  <c r="V144" i="20"/>
  <c r="O144" i="20"/>
  <c r="P144" i="20"/>
  <c r="AQ144" i="20"/>
  <c r="AS144" i="20"/>
  <c r="K144" i="20"/>
  <c r="AG246" i="20"/>
  <c r="AU246" i="20"/>
  <c r="Q246" i="20"/>
  <c r="W246" i="20"/>
  <c r="AR246" i="20"/>
  <c r="AS246" i="20"/>
  <c r="AV246" i="20"/>
  <c r="N246" i="20"/>
  <c r="O246" i="20"/>
  <c r="AJ246" i="20"/>
  <c r="AA246" i="20"/>
  <c r="AC246" i="20"/>
  <c r="AH246" i="20"/>
  <c r="T246" i="20"/>
  <c r="P246" i="20"/>
  <c r="K246" i="20"/>
  <c r="AM246" i="20"/>
  <c r="AI246" i="20"/>
  <c r="U246" i="20"/>
  <c r="V246" i="20"/>
  <c r="AF246" i="20"/>
  <c r="R246" i="20"/>
  <c r="AN246" i="20"/>
  <c r="X246" i="20"/>
  <c r="AQ246" i="20"/>
  <c r="AL246" i="20"/>
  <c r="J246" i="20"/>
  <c r="AT246" i="20"/>
  <c r="AO246" i="20"/>
  <c r="AD246" i="20"/>
  <c r="AB246" i="20"/>
  <c r="Z246" i="20"/>
  <c r="AE246" i="20"/>
  <c r="S246" i="20"/>
  <c r="B246" i="20"/>
  <c r="AP246" i="20"/>
  <c r="O67" i="20"/>
  <c r="S67" i="20"/>
  <c r="P67" i="20"/>
  <c r="J67" i="20"/>
  <c r="AI67" i="20"/>
  <c r="AP67" i="20"/>
  <c r="G67" i="20"/>
  <c r="T67" i="20"/>
  <c r="AV67" i="20"/>
  <c r="U67" i="20"/>
  <c r="N67" i="20"/>
  <c r="AF67" i="20"/>
  <c r="AE67" i="20"/>
  <c r="AM67" i="20"/>
  <c r="R67" i="20"/>
  <c r="AC67" i="20"/>
  <c r="W67" i="20"/>
  <c r="AR67" i="20"/>
  <c r="AL67" i="20"/>
  <c r="AG67" i="20"/>
  <c r="Q67" i="20"/>
  <c r="AO67" i="20"/>
  <c r="AJ67" i="20"/>
  <c r="AQ67" i="20"/>
  <c r="AB67" i="20"/>
  <c r="Z67" i="20"/>
  <c r="AD67" i="20"/>
  <c r="V67" i="20"/>
  <c r="AS67" i="20"/>
  <c r="K67" i="20"/>
  <c r="AA67" i="20"/>
  <c r="AN67" i="20"/>
  <c r="B67" i="20"/>
  <c r="AT67" i="20"/>
  <c r="AU67" i="20"/>
  <c r="X67" i="20"/>
  <c r="AH67" i="20"/>
  <c r="U91" i="20"/>
  <c r="Z91" i="20"/>
  <c r="AO91" i="20"/>
  <c r="AI91" i="20"/>
  <c r="AV91" i="20"/>
  <c r="N91" i="20"/>
  <c r="AG91" i="20"/>
  <c r="P91" i="20"/>
  <c r="Q91" i="20"/>
  <c r="J91" i="20"/>
  <c r="AJ91" i="20"/>
  <c r="AE91" i="20"/>
  <c r="AU91" i="20"/>
  <c r="AA91" i="20"/>
  <c r="G91" i="20"/>
  <c r="AT91" i="20"/>
  <c r="AQ91" i="20"/>
  <c r="AR91" i="20"/>
  <c r="AB91" i="20"/>
  <c r="AH91" i="20"/>
  <c r="AS91" i="20"/>
  <c r="T91" i="20"/>
  <c r="AP91" i="20"/>
  <c r="AD91" i="20"/>
  <c r="V91" i="20"/>
  <c r="K91" i="20"/>
  <c r="AC91" i="20"/>
  <c r="W91" i="20"/>
  <c r="AF91" i="20"/>
  <c r="X91" i="20"/>
  <c r="AL91" i="20"/>
  <c r="R91" i="20"/>
  <c r="B91" i="20"/>
  <c r="S91" i="20"/>
  <c r="AN91" i="20"/>
  <c r="AM91" i="20"/>
  <c r="O91" i="20"/>
  <c r="U160" i="31"/>
  <c r="B160" i="31"/>
  <c r="I275" i="26"/>
  <c r="E275" i="26" s="1"/>
  <c r="L297" i="1"/>
  <c r="U64" i="31"/>
  <c r="B64" i="31"/>
  <c r="U109" i="1"/>
  <c r="B109" i="1"/>
  <c r="U108" i="30"/>
  <c r="B108" i="30"/>
  <c r="U91" i="1"/>
  <c r="B91" i="1"/>
  <c r="B138" i="29"/>
  <c r="U138" i="29"/>
  <c r="B145" i="30"/>
  <c r="U145" i="30"/>
  <c r="U98" i="1"/>
  <c r="B98" i="1"/>
  <c r="U81" i="30"/>
  <c r="B81" i="30"/>
  <c r="B79" i="1"/>
  <c r="U79" i="1"/>
  <c r="U144" i="31"/>
  <c r="B144" i="31"/>
  <c r="U60" i="30"/>
  <c r="B60" i="30"/>
  <c r="U92" i="29"/>
  <c r="B92" i="29"/>
  <c r="U34" i="1"/>
  <c r="B34" i="1"/>
  <c r="U177" i="31"/>
  <c r="B177" i="31"/>
  <c r="I17" i="37"/>
  <c r="K17" i="37" s="1"/>
  <c r="B103" i="31"/>
  <c r="U103" i="31"/>
  <c r="B110" i="31"/>
  <c r="U110" i="31"/>
  <c r="B34" i="31"/>
  <c r="U34" i="31"/>
  <c r="U125" i="31"/>
  <c r="B125" i="31"/>
  <c r="U122" i="29"/>
  <c r="B122" i="29"/>
  <c r="U85" i="30"/>
  <c r="B85" i="30"/>
  <c r="B116" i="1"/>
  <c r="U116" i="1"/>
  <c r="B68" i="31"/>
  <c r="U68" i="31"/>
  <c r="B94" i="1"/>
  <c r="U94" i="1"/>
  <c r="U137" i="31"/>
  <c r="B137" i="31"/>
  <c r="U107" i="30"/>
  <c r="B107" i="30"/>
  <c r="U69" i="29"/>
  <c r="B69" i="29"/>
  <c r="B184" i="30"/>
  <c r="U184" i="30"/>
  <c r="B150" i="1"/>
  <c r="U150" i="1"/>
  <c r="B164" i="30"/>
  <c r="U164" i="30"/>
  <c r="B181" i="30"/>
  <c r="U181" i="30"/>
  <c r="U115" i="29"/>
  <c r="B115" i="29"/>
  <c r="B111" i="31"/>
  <c r="U111" i="31"/>
  <c r="U88" i="29"/>
  <c r="B88" i="29"/>
  <c r="U139" i="31"/>
  <c r="B139" i="31"/>
  <c r="U131" i="1"/>
  <c r="B131" i="1"/>
  <c r="U171" i="20"/>
  <c r="AC171" i="20"/>
  <c r="AU171" i="20"/>
  <c r="V171" i="20"/>
  <c r="Z171" i="20"/>
  <c r="AN171" i="20"/>
  <c r="AQ171" i="20"/>
  <c r="O171" i="20"/>
  <c r="K171" i="20"/>
  <c r="AR171" i="20"/>
  <c r="AI171" i="20"/>
  <c r="P171" i="20"/>
  <c r="G171" i="20"/>
  <c r="N171" i="20"/>
  <c r="AV171" i="20"/>
  <c r="S171" i="20"/>
  <c r="AJ171" i="20"/>
  <c r="AO171" i="20"/>
  <c r="AP171" i="20"/>
  <c r="B171" i="20"/>
  <c r="AG171" i="20"/>
  <c r="AD171" i="20"/>
  <c r="AL171" i="20"/>
  <c r="J171" i="20"/>
  <c r="W171" i="20"/>
  <c r="Q171" i="20"/>
  <c r="X171" i="20"/>
  <c r="T171" i="20"/>
  <c r="AS171" i="20"/>
  <c r="AE171" i="20"/>
  <c r="AF171" i="20"/>
  <c r="AB171" i="20"/>
  <c r="AH171" i="20"/>
  <c r="AT171" i="20"/>
  <c r="AM171" i="20"/>
  <c r="R171" i="20"/>
  <c r="AA171" i="20"/>
  <c r="AH50" i="20"/>
  <c r="AT50" i="20"/>
  <c r="Q50" i="20"/>
  <c r="Z50" i="20"/>
  <c r="K50" i="20"/>
  <c r="V50" i="20"/>
  <c r="N50" i="20"/>
  <c r="J50" i="20"/>
  <c r="AE50" i="20"/>
  <c r="AM50" i="20"/>
  <c r="P50" i="20"/>
  <c r="G50" i="20"/>
  <c r="B50" i="20"/>
  <c r="AN50" i="20"/>
  <c r="S50" i="20"/>
  <c r="AI50" i="20"/>
  <c r="AP50" i="20"/>
  <c r="X50" i="20"/>
  <c r="AD50" i="20"/>
  <c r="AJ50" i="20"/>
  <c r="AG50" i="20"/>
  <c r="AL50" i="20"/>
  <c r="W50" i="20"/>
  <c r="AO50" i="20"/>
  <c r="AU50" i="20"/>
  <c r="AF50" i="20"/>
  <c r="AS50" i="20"/>
  <c r="U50" i="20"/>
  <c r="AQ50" i="20"/>
  <c r="AC50" i="20"/>
  <c r="T50" i="20"/>
  <c r="AV50" i="20"/>
  <c r="O50" i="20"/>
  <c r="AB50" i="20"/>
  <c r="R50" i="20"/>
  <c r="AA50" i="20"/>
  <c r="AR50" i="20"/>
  <c r="B148" i="20"/>
  <c r="V148" i="20"/>
  <c r="AV148" i="20"/>
  <c r="R148" i="20"/>
  <c r="AA148" i="20"/>
  <c r="AR148" i="20"/>
  <c r="AU148" i="20"/>
  <c r="T148" i="20"/>
  <c r="AN148" i="20"/>
  <c r="G148" i="20"/>
  <c r="AP148" i="20"/>
  <c r="AJ148" i="20"/>
  <c r="AM148" i="20"/>
  <c r="K148" i="20"/>
  <c r="AC148" i="20"/>
  <c r="P148" i="20"/>
  <c r="AB148" i="20"/>
  <c r="AI148" i="20"/>
  <c r="J148" i="20"/>
  <c r="Q148" i="20"/>
  <c r="AG148" i="20"/>
  <c r="O148" i="20"/>
  <c r="AL148" i="20"/>
  <c r="AQ148" i="20"/>
  <c r="U148" i="20"/>
  <c r="N148" i="20"/>
  <c r="W148" i="20"/>
  <c r="AH148" i="20"/>
  <c r="Z148" i="20"/>
  <c r="S148" i="20"/>
  <c r="AT148" i="20"/>
  <c r="AO148" i="20"/>
  <c r="AD148" i="20"/>
  <c r="AE148" i="20"/>
  <c r="AF148" i="20"/>
  <c r="X148" i="20"/>
  <c r="AS148" i="20"/>
  <c r="B113" i="20"/>
  <c r="AJ113" i="20"/>
  <c r="AA113" i="20"/>
  <c r="AG113" i="20"/>
  <c r="W113" i="20"/>
  <c r="O113" i="20"/>
  <c r="G113" i="20"/>
  <c r="AO113" i="20"/>
  <c r="AC113" i="20"/>
  <c r="AE113" i="20"/>
  <c r="T113" i="20"/>
  <c r="P113" i="20"/>
  <c r="N113" i="20"/>
  <c r="AQ113" i="20"/>
  <c r="AR113" i="20"/>
  <c r="AM113" i="20"/>
  <c r="AP113" i="20"/>
  <c r="AI113" i="20"/>
  <c r="AN113" i="20"/>
  <c r="AB113" i="20"/>
  <c r="AD113" i="20"/>
  <c r="AL113" i="20"/>
  <c r="AH113" i="20"/>
  <c r="J113" i="20"/>
  <c r="AT113" i="20"/>
  <c r="S113" i="20"/>
  <c r="AS113" i="20"/>
  <c r="Q113" i="20"/>
  <c r="R113" i="20"/>
  <c r="AV113" i="20"/>
  <c r="AF113" i="20"/>
  <c r="X113" i="20"/>
  <c r="U113" i="20"/>
  <c r="K113" i="20"/>
  <c r="AU113" i="20"/>
  <c r="V113" i="20"/>
  <c r="Z113" i="20"/>
  <c r="AI179" i="20"/>
  <c r="AA179" i="20"/>
  <c r="AN179" i="20"/>
  <c r="AQ179" i="20"/>
  <c r="AT179" i="20"/>
  <c r="AO179" i="20"/>
  <c r="AB179" i="20"/>
  <c r="AR179" i="20"/>
  <c r="N179" i="20"/>
  <c r="O179" i="20"/>
  <c r="J179" i="20"/>
  <c r="Z179" i="20"/>
  <c r="K179" i="20"/>
  <c r="AU179" i="20"/>
  <c r="AP179" i="20"/>
  <c r="B179" i="20"/>
  <c r="AG179" i="20"/>
  <c r="AF179" i="20"/>
  <c r="AC179" i="20"/>
  <c r="AE179" i="20"/>
  <c r="AS179" i="20"/>
  <c r="U179" i="20"/>
  <c r="R179" i="20"/>
  <c r="AJ179" i="20"/>
  <c r="X179" i="20"/>
  <c r="V179" i="20"/>
  <c r="AH179" i="20"/>
  <c r="T179" i="20"/>
  <c r="Q179" i="20"/>
  <c r="P179" i="20"/>
  <c r="AV179" i="20"/>
  <c r="S179" i="20"/>
  <c r="AM179" i="20"/>
  <c r="AL179" i="20"/>
  <c r="G179" i="20"/>
  <c r="AD179" i="20"/>
  <c r="W179" i="20"/>
  <c r="AF200" i="20"/>
  <c r="O200" i="20"/>
  <c r="AG200" i="20"/>
  <c r="AJ200" i="20"/>
  <c r="AV200" i="20"/>
  <c r="AP200" i="20"/>
  <c r="V200" i="20"/>
  <c r="AD200" i="20"/>
  <c r="X200" i="20"/>
  <c r="AM200" i="20"/>
  <c r="AE200" i="20"/>
  <c r="AQ200" i="20"/>
  <c r="AL200" i="20"/>
  <c r="T200" i="20"/>
  <c r="R200" i="20"/>
  <c r="B200" i="20"/>
  <c r="AB200" i="20"/>
  <c r="P200" i="20"/>
  <c r="S200" i="20"/>
  <c r="AC200" i="20"/>
  <c r="N200" i="20"/>
  <c r="AO200" i="20"/>
  <c r="W200" i="20"/>
  <c r="U200" i="20"/>
  <c r="AR200" i="20"/>
  <c r="AT200" i="20"/>
  <c r="Z200" i="20"/>
  <c r="AA200" i="20"/>
  <c r="G200" i="20"/>
  <c r="AU200" i="20"/>
  <c r="AH200" i="20"/>
  <c r="K200" i="20"/>
  <c r="AI200" i="20"/>
  <c r="AN200" i="20"/>
  <c r="AS200" i="20"/>
  <c r="J200" i="20"/>
  <c r="Q200" i="20"/>
  <c r="J125" i="20"/>
  <c r="AM125" i="20"/>
  <c r="S125" i="20"/>
  <c r="AH125" i="20"/>
  <c r="V125" i="20"/>
  <c r="G125" i="20"/>
  <c r="T125" i="20"/>
  <c r="AO125" i="20"/>
  <c r="AA125" i="20"/>
  <c r="K125" i="20"/>
  <c r="AJ125" i="20"/>
  <c r="W125" i="20"/>
  <c r="AL125" i="20"/>
  <c r="Z125" i="20"/>
  <c r="N125" i="20"/>
  <c r="O125" i="20"/>
  <c r="P125" i="20"/>
  <c r="AP125" i="20"/>
  <c r="AS125" i="20"/>
  <c r="AQ125" i="20"/>
  <c r="AR125" i="20"/>
  <c r="R125" i="20"/>
  <c r="AC125" i="20"/>
  <c r="AB125" i="20"/>
  <c r="AN125" i="20"/>
  <c r="AV125" i="20"/>
  <c r="AI125" i="20"/>
  <c r="B125" i="20"/>
  <c r="AG125" i="20"/>
  <c r="AE125" i="20"/>
  <c r="Q125" i="20"/>
  <c r="AT125" i="20"/>
  <c r="AU125" i="20"/>
  <c r="U125" i="20"/>
  <c r="X125" i="20"/>
  <c r="AF125" i="20"/>
  <c r="AD125" i="20"/>
  <c r="W19" i="20"/>
  <c r="AS19" i="20"/>
  <c r="N19" i="20"/>
  <c r="AH19" i="20"/>
  <c r="AN19" i="20"/>
  <c r="AL19" i="20"/>
  <c r="AP19" i="20"/>
  <c r="AE19" i="20"/>
  <c r="K19" i="20"/>
  <c r="B19" i="20"/>
  <c r="U19" i="20"/>
  <c r="P19" i="20"/>
  <c r="X19" i="20"/>
  <c r="AA19" i="20"/>
  <c r="AU19" i="20"/>
  <c r="AQ19" i="20"/>
  <c r="AC19" i="20"/>
  <c r="AV19" i="20"/>
  <c r="O19" i="20"/>
  <c r="S19" i="20"/>
  <c r="V19" i="20"/>
  <c r="Z19" i="20"/>
  <c r="AB19" i="20"/>
  <c r="T19" i="20"/>
  <c r="AT19" i="20"/>
  <c r="AM19" i="20"/>
  <c r="AI19" i="20"/>
  <c r="AR19" i="20"/>
  <c r="AJ19" i="20"/>
  <c r="AD19" i="20"/>
  <c r="AG19" i="20"/>
  <c r="G19" i="20"/>
  <c r="R19" i="20"/>
  <c r="AF19" i="20"/>
  <c r="J19" i="20"/>
  <c r="Q19" i="20"/>
  <c r="AO19" i="20"/>
  <c r="B48" i="20"/>
  <c r="AM48" i="20"/>
  <c r="V48" i="20"/>
  <c r="R48" i="20"/>
  <c r="O48" i="20"/>
  <c r="AV48" i="20"/>
  <c r="K48" i="20"/>
  <c r="AB48" i="20"/>
  <c r="AC48" i="20"/>
  <c r="J48" i="20"/>
  <c r="W48" i="20"/>
  <c r="AI48" i="20"/>
  <c r="S48" i="20"/>
  <c r="AL48" i="20"/>
  <c r="AF48" i="20"/>
  <c r="AH48" i="20"/>
  <c r="AS48" i="20"/>
  <c r="AN48" i="20"/>
  <c r="AE48" i="20"/>
  <c r="U48" i="20"/>
  <c r="AP48" i="20"/>
  <c r="N48" i="20"/>
  <c r="AD48" i="20"/>
  <c r="AJ48" i="20"/>
  <c r="P48" i="20"/>
  <c r="X48" i="20"/>
  <c r="Z48" i="20"/>
  <c r="T48" i="20"/>
  <c r="AT48" i="20"/>
  <c r="G48" i="20"/>
  <c r="Q48" i="20"/>
  <c r="AA48" i="20"/>
  <c r="AO48" i="20"/>
  <c r="AR48" i="20"/>
  <c r="AU48" i="20"/>
  <c r="AG48" i="20"/>
  <c r="AQ48" i="20"/>
  <c r="S164" i="20"/>
  <c r="AM164" i="20"/>
  <c r="AI164" i="20"/>
  <c r="AS164" i="20"/>
  <c r="AF164" i="20"/>
  <c r="AN164" i="20"/>
  <c r="AB164" i="20"/>
  <c r="Q164" i="20"/>
  <c r="O164" i="20"/>
  <c r="AO164" i="20"/>
  <c r="X164" i="20"/>
  <c r="AH164" i="20"/>
  <c r="Z164" i="20"/>
  <c r="J164" i="20"/>
  <c r="W164" i="20"/>
  <c r="AL164" i="20"/>
  <c r="AG164" i="20"/>
  <c r="V164" i="20"/>
  <c r="U164" i="20"/>
  <c r="P164" i="20"/>
  <c r="R164" i="20"/>
  <c r="AA164" i="20"/>
  <c r="T164" i="20"/>
  <c r="AJ164" i="20"/>
  <c r="G164" i="20"/>
  <c r="AD164" i="20"/>
  <c r="AR164" i="20"/>
  <c r="AQ164" i="20"/>
  <c r="AE164" i="20"/>
  <c r="AP164" i="20"/>
  <c r="AU164" i="20"/>
  <c r="K164" i="20"/>
  <c r="AC164" i="20"/>
  <c r="N164" i="20"/>
  <c r="AT164" i="20"/>
  <c r="B164" i="20"/>
  <c r="AV164" i="20"/>
  <c r="Q239" i="20"/>
  <c r="T239" i="20"/>
  <c r="U239" i="20"/>
  <c r="AM239" i="20"/>
  <c r="AP239" i="20"/>
  <c r="AI239" i="20"/>
  <c r="AR239" i="20"/>
  <c r="R239" i="20"/>
  <c r="AT239" i="20"/>
  <c r="O239" i="20"/>
  <c r="AL239" i="20"/>
  <c r="V239" i="20"/>
  <c r="AG239" i="20"/>
  <c r="J239" i="20"/>
  <c r="AQ239" i="20"/>
  <c r="P239" i="20"/>
  <c r="AU239" i="20"/>
  <c r="Z239" i="20"/>
  <c r="AH239" i="20"/>
  <c r="AV239" i="20"/>
  <c r="AA239" i="20"/>
  <c r="AB239" i="20"/>
  <c r="AD239" i="20"/>
  <c r="K239" i="20"/>
  <c r="AE239" i="20"/>
  <c r="S239" i="20"/>
  <c r="AO239" i="20"/>
  <c r="B239" i="20"/>
  <c r="W239" i="20"/>
  <c r="AC239" i="20"/>
  <c r="AN239" i="20"/>
  <c r="X239" i="20"/>
  <c r="AJ239" i="20"/>
  <c r="AS239" i="20"/>
  <c r="AF239" i="20"/>
  <c r="N239" i="20"/>
  <c r="S72" i="20"/>
  <c r="P72" i="20"/>
  <c r="T72" i="20"/>
  <c r="AQ72" i="20"/>
  <c r="AP72" i="20"/>
  <c r="AD72" i="20"/>
  <c r="Z72" i="20"/>
  <c r="Q72" i="20"/>
  <c r="AR72" i="20"/>
  <c r="AH72" i="20"/>
  <c r="AJ72" i="20"/>
  <c r="G72" i="20"/>
  <c r="R72" i="20"/>
  <c r="AU72" i="20"/>
  <c r="X72" i="20"/>
  <c r="AM72" i="20"/>
  <c r="AF72" i="20"/>
  <c r="AS72" i="20"/>
  <c r="J72" i="20"/>
  <c r="AN72" i="20"/>
  <c r="AV72" i="20"/>
  <c r="AE72" i="20"/>
  <c r="AC72" i="20"/>
  <c r="AT72" i="20"/>
  <c r="AL72" i="20"/>
  <c r="V72" i="20"/>
  <c r="AG72" i="20"/>
  <c r="AB72" i="20"/>
  <c r="K72" i="20"/>
  <c r="B72" i="20"/>
  <c r="N72" i="20"/>
  <c r="AO72" i="20"/>
  <c r="AI72" i="20"/>
  <c r="AA72" i="20"/>
  <c r="W72" i="20"/>
  <c r="O72" i="20"/>
  <c r="U72" i="20"/>
  <c r="U163" i="30"/>
  <c r="B163" i="30"/>
  <c r="B102" i="30"/>
  <c r="U102" i="30"/>
  <c r="U141" i="1"/>
  <c r="B141" i="1"/>
  <c r="L171" i="39"/>
  <c r="B75" i="31"/>
  <c r="U75" i="31"/>
  <c r="U125" i="1"/>
  <c r="B125" i="1"/>
  <c r="F18" i="37"/>
  <c r="D18" i="37"/>
  <c r="H18" i="37" s="1"/>
  <c r="B18" i="37"/>
  <c r="A173" i="37"/>
  <c r="F173" i="37" s="1"/>
  <c r="A19" i="37"/>
  <c r="C18" i="37"/>
  <c r="E18" i="37"/>
  <c r="G18" i="37"/>
  <c r="B82" i="1"/>
  <c r="U82" i="1"/>
  <c r="U171" i="1"/>
  <c r="B171" i="1"/>
  <c r="U156" i="31"/>
  <c r="B156" i="31"/>
  <c r="B83" i="30"/>
  <c r="U83" i="30"/>
  <c r="D126" i="26"/>
  <c r="F126" i="26"/>
  <c r="U83" i="1"/>
  <c r="B83" i="1"/>
  <c r="B115" i="1"/>
  <c r="U115" i="1"/>
  <c r="U177" i="29"/>
  <c r="B177" i="29"/>
  <c r="U68" i="30"/>
  <c r="B68" i="30"/>
  <c r="B68" i="1"/>
  <c r="U68" i="1"/>
  <c r="U153" i="29"/>
  <c r="B153" i="29"/>
  <c r="U43" i="1"/>
  <c r="B43" i="1"/>
  <c r="B117" i="1"/>
  <c r="U117" i="1"/>
  <c r="B36" i="30"/>
  <c r="U36" i="30"/>
  <c r="U122" i="31"/>
  <c r="B122" i="31"/>
  <c r="B133" i="30"/>
  <c r="U133" i="30"/>
  <c r="B49" i="30"/>
  <c r="U49" i="30"/>
  <c r="B39" i="30"/>
  <c r="U39" i="30"/>
  <c r="B81" i="1"/>
  <c r="U81" i="1"/>
  <c r="B108" i="29"/>
  <c r="U108" i="29"/>
  <c r="U176" i="1"/>
  <c r="B176" i="1"/>
  <c r="U95" i="29"/>
  <c r="B95" i="29"/>
  <c r="B102" i="1"/>
  <c r="U102" i="1"/>
  <c r="B124" i="1"/>
  <c r="U124" i="1"/>
  <c r="B148" i="30"/>
  <c r="U148" i="30"/>
  <c r="U70" i="29"/>
  <c r="B70" i="29"/>
  <c r="U126" i="29"/>
  <c r="B126" i="29"/>
  <c r="B49" i="29"/>
  <c r="U49" i="29"/>
  <c r="B160" i="29"/>
  <c r="U160" i="29"/>
  <c r="U50" i="1"/>
  <c r="B50" i="1"/>
  <c r="B84" i="29"/>
  <c r="U84" i="29"/>
  <c r="D18" i="38"/>
  <c r="H18" i="38" s="1"/>
  <c r="B18" i="38"/>
  <c r="A173" i="38"/>
  <c r="F173" i="38" s="1"/>
  <c r="F18" i="38"/>
  <c r="G18" i="38"/>
  <c r="A19" i="38"/>
  <c r="E18" i="38"/>
  <c r="C18" i="38"/>
  <c r="U73" i="30"/>
  <c r="B73" i="30"/>
  <c r="G150" i="20"/>
  <c r="AM150" i="20"/>
  <c r="AF150" i="20"/>
  <c r="W150" i="20"/>
  <c r="AH150" i="20"/>
  <c r="X150" i="20"/>
  <c r="J150" i="20"/>
  <c r="V150" i="20"/>
  <c r="AD150" i="20"/>
  <c r="AL150" i="20"/>
  <c r="AS150" i="20"/>
  <c r="AO150" i="20"/>
  <c r="AG150" i="20"/>
  <c r="AJ150" i="20"/>
  <c r="Z150" i="20"/>
  <c r="AN150" i="20"/>
  <c r="AI150" i="20"/>
  <c r="T150" i="20"/>
  <c r="N150" i="20"/>
  <c r="B150" i="20"/>
  <c r="R150" i="20"/>
  <c r="Q150" i="20"/>
  <c r="AQ150" i="20"/>
  <c r="AA150" i="20"/>
  <c r="AP150" i="20"/>
  <c r="AR150" i="20"/>
  <c r="AV150" i="20"/>
  <c r="K150" i="20"/>
  <c r="AT150" i="20"/>
  <c r="S150" i="20"/>
  <c r="AU150" i="20"/>
  <c r="AB150" i="20"/>
  <c r="U150" i="20"/>
  <c r="P150" i="20"/>
  <c r="AC150" i="20"/>
  <c r="O150" i="20"/>
  <c r="AE150" i="20"/>
  <c r="AF195" i="20"/>
  <c r="AV195" i="20"/>
  <c r="AN195" i="20"/>
  <c r="AC195" i="20"/>
  <c r="AG195" i="20"/>
  <c r="G195" i="20"/>
  <c r="AH195" i="20"/>
  <c r="AL195" i="20"/>
  <c r="S195" i="20"/>
  <c r="AR195" i="20"/>
  <c r="AS195" i="20"/>
  <c r="P195" i="20"/>
  <c r="AT195" i="20"/>
  <c r="AM195" i="20"/>
  <c r="AJ195" i="20"/>
  <c r="B195" i="20"/>
  <c r="Z195" i="20"/>
  <c r="T195" i="20"/>
  <c r="AD195" i="20"/>
  <c r="R195" i="20"/>
  <c r="AQ195" i="20"/>
  <c r="J195" i="20"/>
  <c r="V195" i="20"/>
  <c r="AB195" i="20"/>
  <c r="AP195" i="20"/>
  <c r="K195" i="20"/>
  <c r="Q195" i="20"/>
  <c r="X195" i="20"/>
  <c r="AE195" i="20"/>
  <c r="AA195" i="20"/>
  <c r="AO195" i="20"/>
  <c r="AU195" i="20"/>
  <c r="O195" i="20"/>
  <c r="AI195" i="20"/>
  <c r="W195" i="20"/>
  <c r="N195" i="20"/>
  <c r="U195" i="20"/>
  <c r="AO33" i="20"/>
  <c r="X33" i="20"/>
  <c r="AL33" i="20"/>
  <c r="G33" i="20"/>
  <c r="R33" i="20"/>
  <c r="B33" i="20"/>
  <c r="S33" i="20"/>
  <c r="AB33" i="20"/>
  <c r="K33" i="20"/>
  <c r="O33" i="20"/>
  <c r="AV33" i="20"/>
  <c r="W33" i="20"/>
  <c r="AE33" i="20"/>
  <c r="N33" i="20"/>
  <c r="AC33" i="20"/>
  <c r="AH33" i="20"/>
  <c r="P33" i="20"/>
  <c r="AJ33" i="20"/>
  <c r="AT33" i="20"/>
  <c r="U33" i="20"/>
  <c r="AR33" i="20"/>
  <c r="AG33" i="20"/>
  <c r="V33" i="20"/>
  <c r="AQ33" i="20"/>
  <c r="AD33" i="20"/>
  <c r="AA33" i="20"/>
  <c r="AN33" i="20"/>
  <c r="AS33" i="20"/>
  <c r="AP33" i="20"/>
  <c r="AM33" i="20"/>
  <c r="AF33" i="20"/>
  <c r="Q33" i="20"/>
  <c r="AI33" i="20"/>
  <c r="T33" i="20"/>
  <c r="AU33" i="20"/>
  <c r="Z33" i="20"/>
  <c r="J33" i="20"/>
  <c r="J121" i="20"/>
  <c r="V121" i="20"/>
  <c r="AO121" i="20"/>
  <c r="Q121" i="20"/>
  <c r="AA121" i="20"/>
  <c r="S121" i="20"/>
  <c r="AM121" i="20"/>
  <c r="AU121" i="20"/>
  <c r="N121" i="20"/>
  <c r="O121" i="20"/>
  <c r="AG121" i="20"/>
  <c r="X121" i="20"/>
  <c r="AT121" i="20"/>
  <c r="AL121" i="20"/>
  <c r="G121" i="20"/>
  <c r="AI121" i="20"/>
  <c r="AS121" i="20"/>
  <c r="AP121" i="20"/>
  <c r="P121" i="20"/>
  <c r="AB121" i="20"/>
  <c r="AQ121" i="20"/>
  <c r="AJ121" i="20"/>
  <c r="U121" i="20"/>
  <c r="K121" i="20"/>
  <c r="R121" i="20"/>
  <c r="W121" i="20"/>
  <c r="AR121" i="20"/>
  <c r="AF121" i="20"/>
  <c r="AV121" i="20"/>
  <c r="AC121" i="20"/>
  <c r="AH121" i="20"/>
  <c r="AD121" i="20"/>
  <c r="T121" i="20"/>
  <c r="B121" i="20"/>
  <c r="AE121" i="20"/>
  <c r="AN121" i="20"/>
  <c r="Z121" i="20"/>
  <c r="R211" i="20"/>
  <c r="X211" i="20"/>
  <c r="W211" i="20"/>
  <c r="AG211" i="20"/>
  <c r="AO211" i="20"/>
  <c r="AL211" i="20"/>
  <c r="AD211" i="20"/>
  <c r="AV211" i="20"/>
  <c r="O211" i="20"/>
  <c r="V211" i="20"/>
  <c r="AS211" i="20"/>
  <c r="K211" i="20"/>
  <c r="AU211" i="20"/>
  <c r="AJ211" i="20"/>
  <c r="S211" i="20"/>
  <c r="N211" i="20"/>
  <c r="AN211" i="20"/>
  <c r="AQ211" i="20"/>
  <c r="AR211" i="20"/>
  <c r="T211" i="20"/>
  <c r="J211" i="20"/>
  <c r="AP211" i="20"/>
  <c r="Q211" i="20"/>
  <c r="AH211" i="20"/>
  <c r="B211" i="20"/>
  <c r="AB211" i="20"/>
  <c r="AA211" i="20"/>
  <c r="AI211" i="20"/>
  <c r="AM211" i="20"/>
  <c r="U211" i="20"/>
  <c r="AC211" i="20"/>
  <c r="AF211" i="20"/>
  <c r="AE211" i="20"/>
  <c r="P211" i="20"/>
  <c r="Z211" i="20"/>
  <c r="AT211" i="20"/>
  <c r="T23" i="20"/>
  <c r="S23" i="20"/>
  <c r="K23" i="20"/>
  <c r="AT23" i="20"/>
  <c r="AL23" i="20"/>
  <c r="Q23" i="20"/>
  <c r="AV23" i="20"/>
  <c r="AN23" i="20"/>
  <c r="AF23" i="20"/>
  <c r="J23" i="20"/>
  <c r="G23" i="20"/>
  <c r="X23" i="20"/>
  <c r="R23" i="20"/>
  <c r="Z23" i="20"/>
  <c r="O23" i="20"/>
  <c r="W23" i="20"/>
  <c r="AM23" i="20"/>
  <c r="V23" i="20"/>
  <c r="AC23" i="20"/>
  <c r="AH23" i="20"/>
  <c r="AJ23" i="20"/>
  <c r="AD23" i="20"/>
  <c r="AR23" i="20"/>
  <c r="AS23" i="20"/>
  <c r="AU23" i="20"/>
  <c r="B23" i="20"/>
  <c r="AB23" i="20"/>
  <c r="AO23" i="20"/>
  <c r="AE23" i="20"/>
  <c r="P23" i="20"/>
  <c r="AQ23" i="20"/>
  <c r="N23" i="20"/>
  <c r="AA23" i="20"/>
  <c r="AG23" i="20"/>
  <c r="AI23" i="20"/>
  <c r="U23" i="20"/>
  <c r="AP23" i="20"/>
  <c r="AS60" i="20"/>
  <c r="X60" i="20"/>
  <c r="AH60" i="20"/>
  <c r="K60" i="20"/>
  <c r="AQ60" i="20"/>
  <c r="U60" i="20"/>
  <c r="AC60" i="20"/>
  <c r="AI60" i="20"/>
  <c r="T60" i="20"/>
  <c r="S60" i="20"/>
  <c r="AL60" i="20"/>
  <c r="Q60" i="20"/>
  <c r="AF60" i="20"/>
  <c r="AB60" i="20"/>
  <c r="AJ60" i="20"/>
  <c r="AA60" i="20"/>
  <c r="AN60" i="20"/>
  <c r="B60" i="20"/>
  <c r="V60" i="20"/>
  <c r="W60" i="20"/>
  <c r="AR60" i="20"/>
  <c r="G60" i="20"/>
  <c r="AO60" i="20"/>
  <c r="N60" i="20"/>
  <c r="Z60" i="20"/>
  <c r="R60" i="20"/>
  <c r="AG60" i="20"/>
  <c r="AM60" i="20"/>
  <c r="AU60" i="20"/>
  <c r="AV60" i="20"/>
  <c r="J60" i="20"/>
  <c r="O60" i="20"/>
  <c r="P60" i="20"/>
  <c r="AD60" i="20"/>
  <c r="AP60" i="20"/>
  <c r="AT60" i="20"/>
  <c r="AE60" i="20"/>
  <c r="AA27" i="20"/>
  <c r="Q27" i="20"/>
  <c r="AT27" i="20"/>
  <c r="AJ27" i="20"/>
  <c r="O27" i="20"/>
  <c r="G27" i="20"/>
  <c r="AU27" i="20"/>
  <c r="AQ27" i="20"/>
  <c r="AC27" i="20"/>
  <c r="V27" i="20"/>
  <c r="AG27" i="20"/>
  <c r="AH27" i="20"/>
  <c r="U27" i="20"/>
  <c r="AR27" i="20"/>
  <c r="P27" i="20"/>
  <c r="W27" i="20"/>
  <c r="AS27" i="20"/>
  <c r="AM27" i="20"/>
  <c r="S27" i="20"/>
  <c r="AD27" i="20"/>
  <c r="R27" i="20"/>
  <c r="B27" i="20"/>
  <c r="AL27" i="20"/>
  <c r="T27" i="20"/>
  <c r="AI27" i="20"/>
  <c r="X27" i="20"/>
  <c r="AF27" i="20"/>
  <c r="AE27" i="20"/>
  <c r="Z27" i="20"/>
  <c r="J27" i="20"/>
  <c r="AP27" i="20"/>
  <c r="AN27" i="20"/>
  <c r="K27" i="20"/>
  <c r="AB27" i="20"/>
  <c r="N27" i="20"/>
  <c r="AV27" i="20"/>
  <c r="AO27" i="20"/>
  <c r="N249" i="20"/>
  <c r="AM249" i="20"/>
  <c r="AC249" i="20"/>
  <c r="AP249" i="20"/>
  <c r="AI249" i="20"/>
  <c r="AJ249" i="20"/>
  <c r="X249" i="20"/>
  <c r="AG249" i="20"/>
  <c r="AR249" i="20"/>
  <c r="Z249" i="20"/>
  <c r="AB249" i="20"/>
  <c r="K249" i="20"/>
  <c r="AD249" i="20"/>
  <c r="AS249" i="20"/>
  <c r="W249" i="20"/>
  <c r="AT249" i="20"/>
  <c r="AL249" i="20"/>
  <c r="AH249" i="20"/>
  <c r="R249" i="20"/>
  <c r="V249" i="20"/>
  <c r="AA249" i="20"/>
  <c r="AU249" i="20"/>
  <c r="AO249" i="20"/>
  <c r="AV249" i="20"/>
  <c r="J249" i="20"/>
  <c r="O249" i="20"/>
  <c r="AE249" i="20"/>
  <c r="AF249" i="20"/>
  <c r="AN249" i="20"/>
  <c r="B249" i="20"/>
  <c r="T249" i="20"/>
  <c r="AQ249" i="20"/>
  <c r="S249" i="20"/>
  <c r="P249" i="20"/>
  <c r="Q249" i="20"/>
  <c r="U249" i="20"/>
  <c r="AQ55" i="20"/>
  <c r="B55" i="20"/>
  <c r="N55" i="20"/>
  <c r="AE55" i="20"/>
  <c r="AB55" i="20"/>
  <c r="V55" i="20"/>
  <c r="AV55" i="20"/>
  <c r="Z55" i="20"/>
  <c r="AR55" i="20"/>
  <c r="AS55" i="20"/>
  <c r="AA55" i="20"/>
  <c r="AH55" i="20"/>
  <c r="O55" i="20"/>
  <c r="AN55" i="20"/>
  <c r="AP55" i="20"/>
  <c r="AI55" i="20"/>
  <c r="AJ55" i="20"/>
  <c r="R55" i="20"/>
  <c r="AL55" i="20"/>
  <c r="T55" i="20"/>
  <c r="AT55" i="20"/>
  <c r="X55" i="20"/>
  <c r="AO55" i="20"/>
  <c r="K55" i="20"/>
  <c r="AD55" i="20"/>
  <c r="W55" i="20"/>
  <c r="J55" i="20"/>
  <c r="S55" i="20"/>
  <c r="AM55" i="20"/>
  <c r="AG55" i="20"/>
  <c r="P55" i="20"/>
  <c r="AC55" i="20"/>
  <c r="U55" i="20"/>
  <c r="AU55" i="20"/>
  <c r="Q55" i="20"/>
  <c r="AF55" i="20"/>
  <c r="G55" i="20"/>
  <c r="U147" i="20"/>
  <c r="AF147" i="20"/>
  <c r="AG147" i="20"/>
  <c r="X147" i="20"/>
  <c r="K147" i="20"/>
  <c r="N147" i="20"/>
  <c r="AQ147" i="20"/>
  <c r="AR147" i="20"/>
  <c r="AV147" i="20"/>
  <c r="O147" i="20"/>
  <c r="AL147" i="20"/>
  <c r="W147" i="20"/>
  <c r="AO147" i="20"/>
  <c r="AJ147" i="20"/>
  <c r="Z147" i="20"/>
  <c r="G147" i="20"/>
  <c r="AB147" i="20"/>
  <c r="Q147" i="20"/>
  <c r="AE147" i="20"/>
  <c r="AH147" i="20"/>
  <c r="AP147" i="20"/>
  <c r="P147" i="20"/>
  <c r="AU147" i="20"/>
  <c r="AI147" i="20"/>
  <c r="J147" i="20"/>
  <c r="T147" i="20"/>
  <c r="AC147" i="20"/>
  <c r="B147" i="20"/>
  <c r="AA147" i="20"/>
  <c r="AT147" i="20"/>
  <c r="S147" i="20"/>
  <c r="AS147" i="20"/>
  <c r="AN147" i="20"/>
  <c r="V147" i="20"/>
  <c r="R147" i="20"/>
  <c r="AD147" i="20"/>
  <c r="AM147" i="20"/>
  <c r="U209" i="20"/>
  <c r="AB209" i="20"/>
  <c r="AJ209" i="20"/>
  <c r="N209" i="20"/>
  <c r="R209" i="20"/>
  <c r="AU209" i="20"/>
  <c r="AM209" i="20"/>
  <c r="AG209" i="20"/>
  <c r="W209" i="20"/>
  <c r="AA209" i="20"/>
  <c r="AT209" i="20"/>
  <c r="AR209" i="20"/>
  <c r="X209" i="20"/>
  <c r="AH209" i="20"/>
  <c r="Q209" i="20"/>
  <c r="O209" i="20"/>
  <c r="P209" i="20"/>
  <c r="AC209" i="20"/>
  <c r="J209" i="20"/>
  <c r="AS209" i="20"/>
  <c r="V209" i="20"/>
  <c r="S209" i="20"/>
  <c r="AD209" i="20"/>
  <c r="Z209" i="20"/>
  <c r="AE209" i="20"/>
  <c r="T209" i="20"/>
  <c r="B209" i="20"/>
  <c r="AL209" i="20"/>
  <c r="AN209" i="20"/>
  <c r="K209" i="20"/>
  <c r="AQ209" i="20"/>
  <c r="AO209" i="20"/>
  <c r="AV209" i="20"/>
  <c r="AI209" i="20"/>
  <c r="AP209" i="20"/>
  <c r="AF209" i="20"/>
  <c r="N111" i="1"/>
  <c r="B38" i="29"/>
  <c r="U38" i="29"/>
  <c r="U42" i="30"/>
  <c r="B42" i="30"/>
  <c r="B112" i="29"/>
  <c r="U112" i="29"/>
  <c r="U123" i="31"/>
  <c r="B123" i="31"/>
  <c r="B151" i="1"/>
  <c r="U151" i="1"/>
  <c r="B80" i="29"/>
  <c r="U80" i="29"/>
  <c r="B73" i="31"/>
  <c r="U73" i="31"/>
  <c r="U177" i="30"/>
  <c r="B177" i="30"/>
  <c r="U126" i="31"/>
  <c r="B126" i="31"/>
  <c r="B70" i="1"/>
  <c r="U70" i="1"/>
  <c r="U69" i="31"/>
  <c r="B69" i="31"/>
  <c r="U159" i="29"/>
  <c r="B159" i="29"/>
  <c r="I148" i="26"/>
  <c r="E148" i="26" s="1"/>
  <c r="H148" i="26"/>
  <c r="U89" i="30"/>
  <c r="B89" i="30"/>
  <c r="I189" i="26"/>
  <c r="E189" i="26" s="1"/>
  <c r="H189" i="26"/>
  <c r="U36" i="31"/>
  <c r="B36" i="31"/>
  <c r="B153" i="30"/>
  <c r="U153" i="30"/>
  <c r="U169" i="31"/>
  <c r="B169" i="31"/>
  <c r="B33" i="29"/>
  <c r="U33" i="29"/>
  <c r="U74" i="1"/>
  <c r="B74" i="1"/>
  <c r="U75" i="30"/>
  <c r="B75" i="30"/>
  <c r="B41" i="31"/>
  <c r="U41" i="31"/>
  <c r="N109" i="29"/>
  <c r="B135" i="29"/>
  <c r="U135" i="29"/>
  <c r="B107" i="1"/>
  <c r="U107" i="1"/>
  <c r="U130" i="30"/>
  <c r="B130" i="30"/>
  <c r="U82" i="29"/>
  <c r="B82" i="29"/>
  <c r="B58" i="31"/>
  <c r="U58" i="31"/>
  <c r="U172" i="29"/>
  <c r="B172" i="29"/>
  <c r="U42" i="1"/>
  <c r="B42" i="1"/>
  <c r="U39" i="1"/>
  <c r="B39" i="1"/>
  <c r="D170" i="26"/>
  <c r="F170" i="26"/>
  <c r="B119" i="30"/>
  <c r="U119" i="30"/>
  <c r="U99" i="30"/>
  <c r="B99" i="30"/>
  <c r="U179" i="1"/>
  <c r="B179" i="1"/>
  <c r="U132" i="29"/>
  <c r="B132" i="29"/>
  <c r="AF240" i="20"/>
  <c r="Q240" i="20"/>
  <c r="AR240" i="20"/>
  <c r="V240" i="20"/>
  <c r="R240" i="20"/>
  <c r="AT240" i="20"/>
  <c r="AL240" i="20"/>
  <c r="AU240" i="20"/>
  <c r="AM240" i="20"/>
  <c r="B240" i="20"/>
  <c r="AP240" i="20"/>
  <c r="AG240" i="20"/>
  <c r="AQ240" i="20"/>
  <c r="AA240" i="20"/>
  <c r="AC240" i="20"/>
  <c r="AH240" i="20"/>
  <c r="X240" i="20"/>
  <c r="P240" i="20"/>
  <c r="AD240" i="20"/>
  <c r="AB240" i="20"/>
  <c r="T240" i="20"/>
  <c r="N240" i="20"/>
  <c r="J240" i="20"/>
  <c r="S240" i="20"/>
  <c r="AE240" i="20"/>
  <c r="K240" i="20"/>
  <c r="AI240" i="20"/>
  <c r="U240" i="20"/>
  <c r="AS240" i="20"/>
  <c r="W240" i="20"/>
  <c r="AN240" i="20"/>
  <c r="AV240" i="20"/>
  <c r="AJ240" i="20"/>
  <c r="AO240" i="20"/>
  <c r="Z240" i="20"/>
  <c r="O240" i="20"/>
  <c r="J15" i="20"/>
  <c r="AO15" i="20"/>
  <c r="X15" i="20"/>
  <c r="AH15" i="20"/>
  <c r="AG15" i="20"/>
  <c r="AT15" i="20"/>
  <c r="AR15" i="20"/>
  <c r="AB15" i="20"/>
  <c r="S15" i="20"/>
  <c r="AQ15" i="20"/>
  <c r="AU15" i="20"/>
  <c r="Q15" i="20"/>
  <c r="K15" i="20"/>
  <c r="AD15" i="20"/>
  <c r="AI15" i="20"/>
  <c r="B15" i="20"/>
  <c r="T15" i="20"/>
  <c r="O15" i="20"/>
  <c r="AV15" i="20"/>
  <c r="P15" i="20"/>
  <c r="AJ15" i="20"/>
  <c r="V15" i="20"/>
  <c r="U15" i="20"/>
  <c r="AC15" i="20"/>
  <c r="W15" i="20"/>
  <c r="AF15" i="20"/>
  <c r="G15" i="20"/>
  <c r="AN15" i="20"/>
  <c r="AS15" i="20"/>
  <c r="AM15" i="20"/>
  <c r="Z15" i="20"/>
  <c r="AL15" i="20"/>
  <c r="R15" i="20"/>
  <c r="AP15" i="20"/>
  <c r="AE15" i="20"/>
  <c r="N15" i="20"/>
  <c r="AA15" i="20"/>
  <c r="AC136" i="20"/>
  <c r="AU136" i="20"/>
  <c r="AR136" i="20"/>
  <c r="R136" i="20"/>
  <c r="AP136" i="20"/>
  <c r="AH136" i="20"/>
  <c r="AD136" i="20"/>
  <c r="Z136" i="20"/>
  <c r="P136" i="20"/>
  <c r="AG136" i="20"/>
  <c r="Q136" i="20"/>
  <c r="AA136" i="20"/>
  <c r="AL136" i="20"/>
  <c r="U136" i="20"/>
  <c r="AB136" i="20"/>
  <c r="AM136" i="20"/>
  <c r="AQ136" i="20"/>
  <c r="T136" i="20"/>
  <c r="X136" i="20"/>
  <c r="AI136" i="20"/>
  <c r="O136" i="20"/>
  <c r="AN136" i="20"/>
  <c r="K136" i="20"/>
  <c r="V136" i="20"/>
  <c r="AJ136" i="20"/>
  <c r="W136" i="20"/>
  <c r="AE136" i="20"/>
  <c r="B136" i="20"/>
  <c r="S136" i="20"/>
  <c r="AT136" i="20"/>
  <c r="N136" i="20"/>
  <c r="G136" i="20"/>
  <c r="AV136" i="20"/>
  <c r="AS136" i="20"/>
  <c r="J136" i="20"/>
  <c r="AO136" i="20"/>
  <c r="AF136" i="20"/>
  <c r="AH157" i="20"/>
  <c r="N157" i="20"/>
  <c r="K157" i="20"/>
  <c r="AM157" i="20"/>
  <c r="AT157" i="20"/>
  <c r="AA157" i="20"/>
  <c r="AG157" i="20"/>
  <c r="AQ157" i="20"/>
  <c r="Q157" i="20"/>
  <c r="AJ157" i="20"/>
  <c r="T157" i="20"/>
  <c r="S157" i="20"/>
  <c r="AF157" i="20"/>
  <c r="AC157" i="20"/>
  <c r="AI157" i="20"/>
  <c r="U157" i="20"/>
  <c r="AN157" i="20"/>
  <c r="AU157" i="20"/>
  <c r="AR157" i="20"/>
  <c r="AD157" i="20"/>
  <c r="W157" i="20"/>
  <c r="Z157" i="20"/>
  <c r="AV157" i="20"/>
  <c r="V157" i="20"/>
  <c r="O157" i="20"/>
  <c r="AB157" i="20"/>
  <c r="AS157" i="20"/>
  <c r="R157" i="20"/>
  <c r="AL157" i="20"/>
  <c r="AP157" i="20"/>
  <c r="G157" i="20"/>
  <c r="P157" i="20"/>
  <c r="B157" i="20"/>
  <c r="AO157" i="20"/>
  <c r="J157" i="20"/>
  <c r="AE157" i="20"/>
  <c r="X157" i="20"/>
  <c r="AI99" i="20"/>
  <c r="P99" i="20"/>
  <c r="K99" i="20"/>
  <c r="AV99" i="20"/>
  <c r="B99" i="20"/>
  <c r="N99" i="20"/>
  <c r="AH99" i="20"/>
  <c r="AA99" i="20"/>
  <c r="V99" i="20"/>
  <c r="AB99" i="20"/>
  <c r="AR99" i="20"/>
  <c r="R99" i="20"/>
  <c r="AD99" i="20"/>
  <c r="X99" i="20"/>
  <c r="G99" i="20"/>
  <c r="AO99" i="20"/>
  <c r="O99" i="20"/>
  <c r="AN99" i="20"/>
  <c r="J99" i="20"/>
  <c r="AT99" i="20"/>
  <c r="Z99" i="20"/>
  <c r="AQ99" i="20"/>
  <c r="AL99" i="20"/>
  <c r="AP99" i="20"/>
  <c r="AF99" i="20"/>
  <c r="AG99" i="20"/>
  <c r="U99" i="20"/>
  <c r="AU99" i="20"/>
  <c r="S99" i="20"/>
  <c r="AJ99" i="20"/>
  <c r="AC99" i="20"/>
  <c r="W99" i="20"/>
  <c r="T99" i="20"/>
  <c r="Q99" i="20"/>
  <c r="AS99" i="20"/>
  <c r="AE99" i="20"/>
  <c r="AM99" i="20"/>
  <c r="AS20" i="20"/>
  <c r="AI20" i="20"/>
  <c r="AE20" i="20"/>
  <c r="AP20" i="20"/>
  <c r="B20" i="20"/>
  <c r="AT20" i="20"/>
  <c r="U20" i="20"/>
  <c r="AD20" i="20"/>
  <c r="AB20" i="20"/>
  <c r="AQ20" i="20"/>
  <c r="O20" i="20"/>
  <c r="Z20" i="20"/>
  <c r="N20" i="20"/>
  <c r="K20" i="20"/>
  <c r="AV20" i="20"/>
  <c r="R20" i="20"/>
  <c r="AF20" i="20"/>
  <c r="AR20" i="20"/>
  <c r="X20" i="20"/>
  <c r="W20" i="20"/>
  <c r="G20" i="20"/>
  <c r="AH20" i="20"/>
  <c r="AU20" i="20"/>
  <c r="Q20" i="20"/>
  <c r="AC20" i="20"/>
  <c r="P20" i="20"/>
  <c r="AO20" i="20"/>
  <c r="AN20" i="20"/>
  <c r="AA20" i="20"/>
  <c r="AL20" i="20"/>
  <c r="S20" i="20"/>
  <c r="J20" i="20"/>
  <c r="AM20" i="20"/>
  <c r="AG20" i="20"/>
  <c r="AJ20" i="20"/>
  <c r="V20" i="20"/>
  <c r="T20" i="20"/>
  <c r="O127" i="20"/>
  <c r="AE127" i="20"/>
  <c r="K127" i="20"/>
  <c r="AV127" i="20"/>
  <c r="AJ127" i="20"/>
  <c r="AH127" i="20"/>
  <c r="AR127" i="20"/>
  <c r="R127" i="20"/>
  <c r="AC127" i="20"/>
  <c r="AS127" i="20"/>
  <c r="AM127" i="20"/>
  <c r="W127" i="20"/>
  <c r="X127" i="20"/>
  <c r="AG127" i="20"/>
  <c r="Z127" i="20"/>
  <c r="AI127" i="20"/>
  <c r="N127" i="20"/>
  <c r="S127" i="20"/>
  <c r="U127" i="20"/>
  <c r="AP127" i="20"/>
  <c r="AQ127" i="20"/>
  <c r="AU127" i="20"/>
  <c r="AF127" i="20"/>
  <c r="V127" i="20"/>
  <c r="AO127" i="20"/>
  <c r="AB127" i="20"/>
  <c r="P127" i="20"/>
  <c r="T127" i="20"/>
  <c r="J127" i="20"/>
  <c r="AA127" i="20"/>
  <c r="Q127" i="20"/>
  <c r="AT127" i="20"/>
  <c r="G127" i="20"/>
  <c r="B127" i="20"/>
  <c r="AN127" i="20"/>
  <c r="AD127" i="20"/>
  <c r="AL127" i="20"/>
  <c r="AD90" i="20"/>
  <c r="AB90" i="20"/>
  <c r="K90" i="20"/>
  <c r="AC90" i="20"/>
  <c r="B90" i="20"/>
  <c r="AA90" i="20"/>
  <c r="AN90" i="20"/>
  <c r="U90" i="20"/>
  <c r="AI90" i="20"/>
  <c r="AU90" i="20"/>
  <c r="AJ90" i="20"/>
  <c r="AV90" i="20"/>
  <c r="AP90" i="20"/>
  <c r="J90" i="20"/>
  <c r="W90" i="20"/>
  <c r="G90" i="20"/>
  <c r="S90" i="20"/>
  <c r="N90" i="20"/>
  <c r="O90" i="20"/>
  <c r="AR90" i="20"/>
  <c r="AQ90" i="20"/>
  <c r="AF90" i="20"/>
  <c r="AO90" i="20"/>
  <c r="AE90" i="20"/>
  <c r="R90" i="20"/>
  <c r="AS90" i="20"/>
  <c r="V90" i="20"/>
  <c r="Q90" i="20"/>
  <c r="T90" i="20"/>
  <c r="Z90" i="20"/>
  <c r="AM90" i="20"/>
  <c r="X90" i="20"/>
  <c r="AH90" i="20"/>
  <c r="P90" i="20"/>
  <c r="AL90" i="20"/>
  <c r="AT90" i="20"/>
  <c r="AG90" i="20"/>
  <c r="W226" i="20"/>
  <c r="AO226" i="20"/>
  <c r="V226" i="20"/>
  <c r="AF226" i="20"/>
  <c r="B226" i="20"/>
  <c r="AL226" i="20"/>
  <c r="AM226" i="20"/>
  <c r="AC226" i="20"/>
  <c r="Z226" i="20"/>
  <c r="AI226" i="20"/>
  <c r="U226" i="20"/>
  <c r="AT226" i="20"/>
  <c r="O226" i="20"/>
  <c r="AP226" i="20"/>
  <c r="AV226" i="20"/>
  <c r="AQ226" i="20"/>
  <c r="J226" i="20"/>
  <c r="AA226" i="20"/>
  <c r="AH226" i="20"/>
  <c r="AJ226" i="20"/>
  <c r="AD226" i="20"/>
  <c r="AR226" i="20"/>
  <c r="AE226" i="20"/>
  <c r="AB226" i="20"/>
  <c r="S226" i="20"/>
  <c r="AS226" i="20"/>
  <c r="R226" i="20"/>
  <c r="AG226" i="20"/>
  <c r="P226" i="20"/>
  <c r="K226" i="20"/>
  <c r="AU226" i="20"/>
  <c r="X226" i="20"/>
  <c r="AN226" i="20"/>
  <c r="T226" i="20"/>
  <c r="Q226" i="20"/>
  <c r="N226" i="20"/>
  <c r="AU76" i="20"/>
  <c r="AD76" i="20"/>
  <c r="AV76" i="20"/>
  <c r="X76" i="20"/>
  <c r="G76" i="20"/>
  <c r="V76" i="20"/>
  <c r="O76" i="20"/>
  <c r="AA76" i="20"/>
  <c r="K76" i="20"/>
  <c r="AF76" i="20"/>
  <c r="AP76" i="20"/>
  <c r="AC76" i="20"/>
  <c r="AR76" i="20"/>
  <c r="AH76" i="20"/>
  <c r="AJ76" i="20"/>
  <c r="T76" i="20"/>
  <c r="Q76" i="20"/>
  <c r="P76" i="20"/>
  <c r="R76" i="20"/>
  <c r="W76" i="20"/>
  <c r="U76" i="20"/>
  <c r="AM76" i="20"/>
  <c r="AQ76" i="20"/>
  <c r="B76" i="20"/>
  <c r="AT76" i="20"/>
  <c r="N76" i="20"/>
  <c r="AO76" i="20"/>
  <c r="AI76" i="20"/>
  <c r="Z76" i="20"/>
  <c r="AN76" i="20"/>
  <c r="AB76" i="20"/>
  <c r="S76" i="20"/>
  <c r="AG76" i="20"/>
  <c r="AS76" i="20"/>
  <c r="J76" i="20"/>
  <c r="AE76" i="20"/>
  <c r="AL76" i="20"/>
  <c r="B6" i="20"/>
  <c r="AU6" i="20"/>
  <c r="P6" i="20"/>
  <c r="AC6" i="20"/>
  <c r="AT6" i="20"/>
  <c r="N6" i="20"/>
  <c r="J6" i="20"/>
  <c r="AG6" i="20"/>
  <c r="AF6" i="20"/>
  <c r="O6" i="20"/>
  <c r="R6" i="20"/>
  <c r="S6" i="20"/>
  <c r="AV6" i="20"/>
  <c r="U6" i="20"/>
  <c r="AI6" i="20"/>
  <c r="T6" i="20"/>
  <c r="Q6" i="20"/>
  <c r="AP6" i="20"/>
  <c r="AD6" i="20"/>
  <c r="Z6" i="20"/>
  <c r="W6" i="20"/>
  <c r="AL6" i="20"/>
  <c r="K6" i="20"/>
  <c r="AH6" i="20"/>
  <c r="AA6" i="20"/>
  <c r="AR6" i="20"/>
  <c r="X6" i="20"/>
  <c r="AB6" i="20"/>
  <c r="V6" i="20"/>
  <c r="AO6" i="20"/>
  <c r="AN6" i="20"/>
  <c r="AE6" i="20"/>
  <c r="AM6" i="20"/>
  <c r="G6" i="20"/>
  <c r="AQ6" i="20"/>
  <c r="AS6" i="20"/>
  <c r="AJ6" i="20"/>
  <c r="Q216" i="20"/>
  <c r="AI216" i="20"/>
  <c r="AH216" i="20"/>
  <c r="AR216" i="20"/>
  <c r="AU216" i="20"/>
  <c r="R216" i="20"/>
  <c r="AN216" i="20"/>
  <c r="AE216" i="20"/>
  <c r="O216" i="20"/>
  <c r="AA216" i="20"/>
  <c r="V216" i="20"/>
  <c r="AT216" i="20"/>
  <c r="S216" i="20"/>
  <c r="B216" i="20"/>
  <c r="AG216" i="20"/>
  <c r="AQ216" i="20"/>
  <c r="AD216" i="20"/>
  <c r="J216" i="20"/>
  <c r="AP216" i="20"/>
  <c r="AO216" i="20"/>
  <c r="X216" i="20"/>
  <c r="AF216" i="20"/>
  <c r="AB216" i="20"/>
  <c r="AS216" i="20"/>
  <c r="N216" i="20"/>
  <c r="W216" i="20"/>
  <c r="AC216" i="20"/>
  <c r="K216" i="20"/>
  <c r="AM216" i="20"/>
  <c r="AL216" i="20"/>
  <c r="AV216" i="20"/>
  <c r="U216" i="20"/>
  <c r="T216" i="20"/>
  <c r="Z216" i="20"/>
  <c r="P216" i="20"/>
  <c r="AJ216" i="20"/>
  <c r="U161" i="31"/>
  <c r="B161" i="31"/>
  <c r="B129" i="1"/>
  <c r="U129" i="1"/>
  <c r="B108" i="31"/>
  <c r="U108" i="31"/>
  <c r="U168" i="1"/>
  <c r="B168" i="1"/>
  <c r="B176" i="30"/>
  <c r="U176" i="30"/>
  <c r="B55" i="31"/>
  <c r="U55" i="31"/>
  <c r="B121" i="1"/>
  <c r="U121" i="1"/>
  <c r="B152" i="30"/>
  <c r="U152" i="30"/>
  <c r="U182" i="31"/>
  <c r="B182" i="31"/>
  <c r="U156" i="30"/>
  <c r="B156" i="30"/>
  <c r="B83" i="29"/>
  <c r="U83" i="29"/>
  <c r="U115" i="30"/>
  <c r="B115" i="30"/>
  <c r="N133" i="1"/>
  <c r="U165" i="29"/>
  <c r="B165" i="29"/>
  <c r="U47" i="1"/>
  <c r="B47" i="1"/>
  <c r="B68" i="29"/>
  <c r="U68" i="29"/>
  <c r="I212" i="26"/>
  <c r="E212" i="26" s="1"/>
  <c r="L234" i="1"/>
  <c r="U109" i="29"/>
  <c r="B109" i="29"/>
  <c r="B144" i="29"/>
  <c r="U144" i="29"/>
  <c r="U38" i="30"/>
  <c r="B38" i="30"/>
  <c r="B96" i="1"/>
  <c r="U96" i="1"/>
  <c r="U166" i="29"/>
  <c r="B166" i="29"/>
  <c r="B159" i="30"/>
  <c r="U159" i="30"/>
  <c r="B96" i="31"/>
  <c r="U96" i="31"/>
  <c r="U159" i="1"/>
  <c r="B159" i="1"/>
  <c r="U57" i="1"/>
  <c r="B57" i="1"/>
  <c r="U118" i="31"/>
  <c r="B118" i="31"/>
  <c r="A277" i="26"/>
  <c r="L299" i="1"/>
  <c r="U91" i="31"/>
  <c r="B91" i="31"/>
  <c r="U44" i="29"/>
  <c r="B44" i="29"/>
  <c r="B127" i="1"/>
  <c r="U127" i="1"/>
  <c r="B181" i="1"/>
  <c r="U181" i="1"/>
  <c r="U127" i="29"/>
  <c r="B127" i="29"/>
  <c r="W218" i="20"/>
  <c r="S218" i="20"/>
  <c r="J218" i="20"/>
  <c r="Z218" i="20"/>
  <c r="AC218" i="20"/>
  <c r="AA218" i="20"/>
  <c r="B218" i="20"/>
  <c r="AG218" i="20"/>
  <c r="AS218" i="20"/>
  <c r="AV218" i="20"/>
  <c r="V218" i="20"/>
  <c r="N218" i="20"/>
  <c r="AJ218" i="20"/>
  <c r="AI218" i="20"/>
  <c r="AR218" i="20"/>
  <c r="AE218" i="20"/>
  <c r="AT218" i="20"/>
  <c r="AO218" i="20"/>
  <c r="AP218" i="20"/>
  <c r="Q218" i="20"/>
  <c r="AB218" i="20"/>
  <c r="AH218" i="20"/>
  <c r="O218" i="20"/>
  <c r="AU218" i="20"/>
  <c r="P218" i="20"/>
  <c r="AQ218" i="20"/>
  <c r="AD218" i="20"/>
  <c r="AF218" i="20"/>
  <c r="U218" i="20"/>
  <c r="AL218" i="20"/>
  <c r="X218" i="20"/>
  <c r="T218" i="20"/>
  <c r="AM218" i="20"/>
  <c r="K218" i="20"/>
  <c r="AN218" i="20"/>
  <c r="R218" i="20"/>
  <c r="K13" i="20"/>
  <c r="B13" i="20"/>
  <c r="T13" i="20"/>
  <c r="AG13" i="20"/>
  <c r="AT13" i="20"/>
  <c r="J13" i="20"/>
  <c r="AN13" i="20"/>
  <c r="AM13" i="20"/>
  <c r="U13" i="20"/>
  <c r="AB13" i="20"/>
  <c r="R13" i="20"/>
  <c r="P13" i="20"/>
  <c r="AD13" i="20"/>
  <c r="AJ13" i="20"/>
  <c r="W13" i="20"/>
  <c r="AP13" i="20"/>
  <c r="AA13" i="20"/>
  <c r="AO13" i="20"/>
  <c r="AC13" i="20"/>
  <c r="AS13" i="20"/>
  <c r="AQ13" i="20"/>
  <c r="X13" i="20"/>
  <c r="Q13" i="20"/>
  <c r="AL13" i="20"/>
  <c r="V13" i="20"/>
  <c r="AH13" i="20"/>
  <c r="AE13" i="20"/>
  <c r="AF13" i="20"/>
  <c r="Z13" i="20"/>
  <c r="AU13" i="20"/>
  <c r="G13" i="20"/>
  <c r="O13" i="20"/>
  <c r="N13" i="20"/>
  <c r="AI13" i="20"/>
  <c r="AV13" i="20"/>
  <c r="S13" i="20"/>
  <c r="AR13" i="20"/>
  <c r="AC114" i="20"/>
  <c r="AE114" i="20"/>
  <c r="V114" i="20"/>
  <c r="W114" i="20"/>
  <c r="R114" i="20"/>
  <c r="AB114" i="20"/>
  <c r="AH114" i="20"/>
  <c r="AS114" i="20"/>
  <c r="AO114" i="20"/>
  <c r="B114" i="20"/>
  <c r="G114" i="20"/>
  <c r="AF114" i="20"/>
  <c r="AI114" i="20"/>
  <c r="X114" i="20"/>
  <c r="S114" i="20"/>
  <c r="J114" i="20"/>
  <c r="AQ114" i="20"/>
  <c r="AA114" i="20"/>
  <c r="Z114" i="20"/>
  <c r="U114" i="20"/>
  <c r="AV114" i="20"/>
  <c r="Q114" i="20"/>
  <c r="AD114" i="20"/>
  <c r="AJ114" i="20"/>
  <c r="AU114" i="20"/>
  <c r="O114" i="20"/>
  <c r="AG114" i="20"/>
  <c r="AP114" i="20"/>
  <c r="T114" i="20"/>
  <c r="AL114" i="20"/>
  <c r="AT114" i="20"/>
  <c r="AN114" i="20"/>
  <c r="P114" i="20"/>
  <c r="N114" i="20"/>
  <c r="K114" i="20"/>
  <c r="AR114" i="20"/>
  <c r="AM114" i="20"/>
  <c r="N227" i="20"/>
  <c r="Q227" i="20"/>
  <c r="AP227" i="20"/>
  <c r="AN227" i="20"/>
  <c r="AC227" i="20"/>
  <c r="X227" i="20"/>
  <c r="AU227" i="20"/>
  <c r="W227" i="20"/>
  <c r="Z227" i="20"/>
  <c r="U227" i="20"/>
  <c r="AO227" i="20"/>
  <c r="AB227" i="20"/>
  <c r="AT227" i="20"/>
  <c r="AJ227" i="20"/>
  <c r="AR227" i="20"/>
  <c r="AF227" i="20"/>
  <c r="O227" i="20"/>
  <c r="AH227" i="20"/>
  <c r="R227" i="20"/>
  <c r="AA227" i="20"/>
  <c r="AE227" i="20"/>
  <c r="J227" i="20"/>
  <c r="V227" i="20"/>
  <c r="P227" i="20"/>
  <c r="AD227" i="20"/>
  <c r="AV227" i="20"/>
  <c r="S227" i="20"/>
  <c r="B227" i="20"/>
  <c r="AL227" i="20"/>
  <c r="K227" i="20"/>
  <c r="AQ227" i="20"/>
  <c r="AI227" i="20"/>
  <c r="AG227" i="20"/>
  <c r="AS227" i="20"/>
  <c r="T227" i="20"/>
  <c r="AM227" i="20"/>
  <c r="S165" i="20"/>
  <c r="AQ165" i="20"/>
  <c r="AH165" i="20"/>
  <c r="AF165" i="20"/>
  <c r="P165" i="20"/>
  <c r="V165" i="20"/>
  <c r="R165" i="20"/>
  <c r="AJ165" i="20"/>
  <c r="X165" i="20"/>
  <c r="AD165" i="20"/>
  <c r="AC165" i="20"/>
  <c r="AE165" i="20"/>
  <c r="AG165" i="20"/>
  <c r="AU165" i="20"/>
  <c r="AA165" i="20"/>
  <c r="W165" i="20"/>
  <c r="AM165" i="20"/>
  <c r="AB165" i="20"/>
  <c r="AO165" i="20"/>
  <c r="G165" i="20"/>
  <c r="T165" i="20"/>
  <c r="O165" i="20"/>
  <c r="AT165" i="20"/>
  <c r="AI165" i="20"/>
  <c r="AR165" i="20"/>
  <c r="Z165" i="20"/>
  <c r="U165" i="20"/>
  <c r="AP165" i="20"/>
  <c r="AN165" i="20"/>
  <c r="N165" i="20"/>
  <c r="AV165" i="20"/>
  <c r="J165" i="20"/>
  <c r="B165" i="20"/>
  <c r="K165" i="20"/>
  <c r="Q165" i="20"/>
  <c r="AL165" i="20"/>
  <c r="AS165" i="20"/>
  <c r="B152" i="20"/>
  <c r="AT152" i="20"/>
  <c r="J152" i="20"/>
  <c r="G152" i="20"/>
  <c r="AR152" i="20"/>
  <c r="S152" i="20"/>
  <c r="AG152" i="20"/>
  <c r="AL152" i="20"/>
  <c r="AH152" i="20"/>
  <c r="AF152" i="20"/>
  <c r="AA152" i="20"/>
  <c r="N152" i="20"/>
  <c r="AI152" i="20"/>
  <c r="K152" i="20"/>
  <c r="O152" i="20"/>
  <c r="P152" i="20"/>
  <c r="AP152" i="20"/>
  <c r="Z152" i="20"/>
  <c r="AU152" i="20"/>
  <c r="AE152" i="20"/>
  <c r="AC152" i="20"/>
  <c r="Q152" i="20"/>
  <c r="AB152" i="20"/>
  <c r="AN152" i="20"/>
  <c r="T152" i="20"/>
  <c r="U152" i="20"/>
  <c r="AS152" i="20"/>
  <c r="AM152" i="20"/>
  <c r="AV152" i="20"/>
  <c r="AO152" i="20"/>
  <c r="R152" i="20"/>
  <c r="W152" i="20"/>
  <c r="V152" i="20"/>
  <c r="AQ152" i="20"/>
  <c r="AJ152" i="20"/>
  <c r="AD152" i="20"/>
  <c r="X152" i="20"/>
  <c r="S95" i="20"/>
  <c r="AG95" i="20"/>
  <c r="W95" i="20"/>
  <c r="AL95" i="20"/>
  <c r="U95" i="20"/>
  <c r="AM95" i="20"/>
  <c r="AN95" i="20"/>
  <c r="B95" i="20"/>
  <c r="AQ95" i="20"/>
  <c r="AV95" i="20"/>
  <c r="P95" i="20"/>
  <c r="K95" i="20"/>
  <c r="Q95" i="20"/>
  <c r="AF95" i="20"/>
  <c r="AD95" i="20"/>
  <c r="AR95" i="20"/>
  <c r="AU95" i="20"/>
  <c r="AA95" i="20"/>
  <c r="Z95" i="20"/>
  <c r="AT95" i="20"/>
  <c r="AB95" i="20"/>
  <c r="O95" i="20"/>
  <c r="J95" i="20"/>
  <c r="R95" i="20"/>
  <c r="N95" i="20"/>
  <c r="G95" i="20"/>
  <c r="T95" i="20"/>
  <c r="AI95" i="20"/>
  <c r="X95" i="20"/>
  <c r="AO95" i="20"/>
  <c r="AH95" i="20"/>
  <c r="AE95" i="20"/>
  <c r="AJ95" i="20"/>
  <c r="AC95" i="20"/>
  <c r="AP95" i="20"/>
  <c r="V95" i="20"/>
  <c r="AS95" i="20"/>
  <c r="AC107" i="20"/>
  <c r="AB107" i="20"/>
  <c r="AG107" i="20"/>
  <c r="AL107" i="20"/>
  <c r="X107" i="20"/>
  <c r="AA107" i="20"/>
  <c r="R107" i="20"/>
  <c r="J107" i="20"/>
  <c r="K107" i="20"/>
  <c r="AD107" i="20"/>
  <c r="G107" i="20"/>
  <c r="AR107" i="20"/>
  <c r="AF107" i="20"/>
  <c r="AN107" i="20"/>
  <c r="AI107" i="20"/>
  <c r="S107" i="20"/>
  <c r="T107" i="20"/>
  <c r="P107" i="20"/>
  <c r="AM107" i="20"/>
  <c r="N107" i="20"/>
  <c r="AU107" i="20"/>
  <c r="AH107" i="20"/>
  <c r="AS107" i="20"/>
  <c r="AP107" i="20"/>
  <c r="AT107" i="20"/>
  <c r="Z107" i="20"/>
  <c r="B107" i="20"/>
  <c r="W107" i="20"/>
  <c r="AO107" i="20"/>
  <c r="Q107" i="20"/>
  <c r="O107" i="20"/>
  <c r="U107" i="20"/>
  <c r="AJ107" i="20"/>
  <c r="AV107" i="20"/>
  <c r="AE107" i="20"/>
  <c r="V107" i="20"/>
  <c r="AQ107" i="20"/>
  <c r="AD190" i="20"/>
  <c r="R190" i="20"/>
  <c r="AA190" i="20"/>
  <c r="AI190" i="20"/>
  <c r="B190" i="20"/>
  <c r="AS190" i="20"/>
  <c r="J190" i="20"/>
  <c r="AF190" i="20"/>
  <c r="Q190" i="20"/>
  <c r="N190" i="20"/>
  <c r="V190" i="20"/>
  <c r="K190" i="20"/>
  <c r="AE190" i="20"/>
  <c r="AH190" i="20"/>
  <c r="X190" i="20"/>
  <c r="T190" i="20"/>
  <c r="AU190" i="20"/>
  <c r="AR190" i="20"/>
  <c r="AJ190" i="20"/>
  <c r="AT190" i="20"/>
  <c r="Z190" i="20"/>
  <c r="AC190" i="20"/>
  <c r="AL190" i="20"/>
  <c r="AG190" i="20"/>
  <c r="AP190" i="20"/>
  <c r="P190" i="20"/>
  <c r="W190" i="20"/>
  <c r="AO190" i="20"/>
  <c r="AN190" i="20"/>
  <c r="AV190" i="20"/>
  <c r="AQ190" i="20"/>
  <c r="U190" i="20"/>
  <c r="AM190" i="20"/>
  <c r="AB190" i="20"/>
  <c r="S190" i="20"/>
  <c r="O190" i="20"/>
  <c r="G190" i="20"/>
  <c r="AD185" i="20"/>
  <c r="T185" i="20"/>
  <c r="X185" i="20"/>
  <c r="AE185" i="20"/>
  <c r="V185" i="20"/>
  <c r="U185" i="20"/>
  <c r="AN185" i="20"/>
  <c r="AJ185" i="20"/>
  <c r="K185" i="20"/>
  <c r="AT185" i="20"/>
  <c r="AR185" i="20"/>
  <c r="AP185" i="20"/>
  <c r="O185" i="20"/>
  <c r="B185" i="20"/>
  <c r="AS185" i="20"/>
  <c r="G185" i="20"/>
  <c r="J185" i="20"/>
  <c r="AG185" i="20"/>
  <c r="AQ185" i="20"/>
  <c r="W185" i="20"/>
  <c r="AI185" i="20"/>
  <c r="AV185" i="20"/>
  <c r="AA185" i="20"/>
  <c r="AU185" i="20"/>
  <c r="Q185" i="20"/>
  <c r="AF185" i="20"/>
  <c r="AH185" i="20"/>
  <c r="S185" i="20"/>
  <c r="Z185" i="20"/>
  <c r="AL185" i="20"/>
  <c r="AB185" i="20"/>
  <c r="AC185" i="20"/>
  <c r="N185" i="20"/>
  <c r="AM185" i="20"/>
  <c r="P185" i="20"/>
  <c r="AO185" i="20"/>
  <c r="R185" i="20"/>
  <c r="X97" i="20"/>
  <c r="AR97" i="20"/>
  <c r="AG97" i="20"/>
  <c r="P97" i="20"/>
  <c r="AV97" i="20"/>
  <c r="B97" i="20"/>
  <c r="Q97" i="20"/>
  <c r="K97" i="20"/>
  <c r="AD97" i="20"/>
  <c r="AT97" i="20"/>
  <c r="AJ97" i="20"/>
  <c r="AL97" i="20"/>
  <c r="J97" i="20"/>
  <c r="AB97" i="20"/>
  <c r="S97" i="20"/>
  <c r="N97" i="20"/>
  <c r="AC97" i="20"/>
  <c r="AP97" i="20"/>
  <c r="G97" i="20"/>
  <c r="V97" i="20"/>
  <c r="AE97" i="20"/>
  <c r="O97" i="20"/>
  <c r="AO97" i="20"/>
  <c r="U97" i="20"/>
  <c r="AH97" i="20"/>
  <c r="AM97" i="20"/>
  <c r="Z97" i="20"/>
  <c r="AF97" i="20"/>
  <c r="AU97" i="20"/>
  <c r="AN97" i="20"/>
  <c r="AQ97" i="20"/>
  <c r="AS97" i="20"/>
  <c r="AA97" i="20"/>
  <c r="T97" i="20"/>
  <c r="R97" i="20"/>
  <c r="W97" i="20"/>
  <c r="AI97" i="20"/>
  <c r="B51" i="20"/>
  <c r="AR51" i="20"/>
  <c r="Z51" i="20"/>
  <c r="AN51" i="20"/>
  <c r="AL51" i="20"/>
  <c r="AB51" i="20"/>
  <c r="V51" i="20"/>
  <c r="U51" i="20"/>
  <c r="X51" i="20"/>
  <c r="AU51" i="20"/>
  <c r="J51" i="20"/>
  <c r="T51" i="20"/>
  <c r="AO51" i="20"/>
  <c r="AD51" i="20"/>
  <c r="AS51" i="20"/>
  <c r="P51" i="20"/>
  <c r="G51" i="20"/>
  <c r="W51" i="20"/>
  <c r="Q51" i="20"/>
  <c r="K51" i="20"/>
  <c r="AF51" i="20"/>
  <c r="S51" i="20"/>
  <c r="AT51" i="20"/>
  <c r="AV51" i="20"/>
  <c r="AM51" i="20"/>
  <c r="AH51" i="20"/>
  <c r="AP51" i="20"/>
  <c r="AI51" i="20"/>
  <c r="O51" i="20"/>
  <c r="AE51" i="20"/>
  <c r="AJ51" i="20"/>
  <c r="AC51" i="20"/>
  <c r="AA51" i="20"/>
  <c r="R51" i="20"/>
  <c r="AQ51" i="20"/>
  <c r="N51" i="20"/>
  <c r="AG51" i="20"/>
  <c r="K17" i="39"/>
  <c r="L17" i="39"/>
  <c r="U175" i="30"/>
  <c r="B175" i="30"/>
  <c r="U101" i="30"/>
  <c r="B101" i="30"/>
  <c r="B49" i="31"/>
  <c r="U49" i="31"/>
  <c r="B56" i="30"/>
  <c r="U56" i="30"/>
  <c r="U65" i="1"/>
  <c r="B65" i="1"/>
  <c r="B54" i="31"/>
  <c r="U54" i="31"/>
  <c r="U82" i="30"/>
  <c r="B82" i="30"/>
  <c r="I88" i="26"/>
  <c r="E88" i="26" s="1"/>
  <c r="H88" i="26"/>
  <c r="B156" i="1"/>
  <c r="U156" i="1"/>
  <c r="B73" i="1"/>
  <c r="U73" i="1"/>
  <c r="H169" i="26"/>
  <c r="I169" i="26"/>
  <c r="E169" i="26" s="1"/>
  <c r="U74" i="29"/>
  <c r="B74" i="29"/>
  <c r="U43" i="30"/>
  <c r="B43" i="30"/>
  <c r="B72" i="1"/>
  <c r="U72" i="1"/>
  <c r="B157" i="31"/>
  <c r="U157" i="31"/>
  <c r="U54" i="29"/>
  <c r="B54" i="29"/>
  <c r="B146" i="1"/>
  <c r="U146" i="1"/>
  <c r="B94" i="30"/>
  <c r="U94" i="30"/>
  <c r="B171" i="31"/>
  <c r="U171" i="31"/>
  <c r="B106" i="1"/>
  <c r="U106" i="1"/>
  <c r="B67" i="29"/>
  <c r="U67" i="29"/>
  <c r="U78" i="1"/>
  <c r="B78" i="1"/>
  <c r="B80" i="30"/>
  <c r="U80" i="30"/>
  <c r="D149" i="26"/>
  <c r="F149" i="26"/>
  <c r="B37" i="1"/>
  <c r="U37" i="1"/>
  <c r="U62" i="30"/>
  <c r="B62" i="30"/>
  <c r="U117" i="29"/>
  <c r="B117" i="29"/>
  <c r="U182" i="30"/>
  <c r="B182" i="30"/>
  <c r="U55" i="1"/>
  <c r="B55" i="1"/>
  <c r="I183" i="26"/>
  <c r="E183" i="26" s="1"/>
  <c r="H183" i="26"/>
  <c r="U110" i="30"/>
  <c r="B110" i="30"/>
  <c r="U180" i="29"/>
  <c r="B180" i="29"/>
  <c r="B98" i="30"/>
  <c r="U98" i="30"/>
  <c r="B143" i="1"/>
  <c r="U143" i="1"/>
  <c r="B147" i="29"/>
  <c r="U147" i="29"/>
  <c r="U180" i="31"/>
  <c r="B180" i="31"/>
  <c r="AQ118" i="19"/>
  <c r="B126" i="26"/>
  <c r="B73" i="29"/>
  <c r="U73" i="29"/>
  <c r="I17" i="38"/>
  <c r="K17" i="38"/>
  <c r="L17" i="38"/>
  <c r="B128" i="30"/>
  <c r="U128" i="30"/>
  <c r="V182" i="20"/>
  <c r="AP182" i="20"/>
  <c r="S182" i="20"/>
  <c r="K182" i="20"/>
  <c r="J182" i="20"/>
  <c r="AR182" i="20"/>
  <c r="G182" i="20"/>
  <c r="P182" i="20"/>
  <c r="X182" i="20"/>
  <c r="AJ182" i="20"/>
  <c r="T182" i="20"/>
  <c r="AV182" i="20"/>
  <c r="AS182" i="20"/>
  <c r="AF182" i="20"/>
  <c r="R182" i="20"/>
  <c r="U182" i="20"/>
  <c r="AG182" i="20"/>
  <c r="AI182" i="20"/>
  <c r="O182" i="20"/>
  <c r="AE182" i="20"/>
  <c r="AM182" i="20"/>
  <c r="AL182" i="20"/>
  <c r="AU182" i="20"/>
  <c r="Q182" i="20"/>
  <c r="AH182" i="20"/>
  <c r="N182" i="20"/>
  <c r="Z182" i="20"/>
  <c r="AQ182" i="20"/>
  <c r="AA182" i="20"/>
  <c r="AN182" i="20"/>
  <c r="AC182" i="20"/>
  <c r="B182" i="20"/>
  <c r="W182" i="20"/>
  <c r="AB182" i="20"/>
  <c r="AT182" i="20"/>
  <c r="AO182" i="20"/>
  <c r="AD182" i="20"/>
  <c r="R177" i="20"/>
  <c r="AP177" i="20"/>
  <c r="AA177" i="20"/>
  <c r="AN177" i="20"/>
  <c r="J177" i="20"/>
  <c r="X177" i="20"/>
  <c r="T177" i="20"/>
  <c r="AC177" i="20"/>
  <c r="B177" i="20"/>
  <c r="K177" i="20"/>
  <c r="AG177" i="20"/>
  <c r="Z177" i="20"/>
  <c r="AU177" i="20"/>
  <c r="AT177" i="20"/>
  <c r="Q177" i="20"/>
  <c r="O177" i="20"/>
  <c r="AQ177" i="20"/>
  <c r="AV177" i="20"/>
  <c r="W177" i="20"/>
  <c r="AH177" i="20"/>
  <c r="AJ177" i="20"/>
  <c r="V177" i="20"/>
  <c r="U177" i="20"/>
  <c r="AD177" i="20"/>
  <c r="N177" i="20"/>
  <c r="AM177" i="20"/>
  <c r="AB177" i="20"/>
  <c r="AL177" i="20"/>
  <c r="AF177" i="20"/>
  <c r="P177" i="20"/>
  <c r="AO177" i="20"/>
  <c r="G177" i="20"/>
  <c r="AE177" i="20"/>
  <c r="S177" i="20"/>
  <c r="AS177" i="20"/>
  <c r="AR177" i="20"/>
  <c r="AI177" i="20"/>
  <c r="AB151" i="20"/>
  <c r="X151" i="20"/>
  <c r="AM151" i="20"/>
  <c r="Z151" i="20"/>
  <c r="Q151" i="20"/>
  <c r="AJ151" i="20"/>
  <c r="AL151" i="20"/>
  <c r="AP151" i="20"/>
  <c r="AG151" i="20"/>
  <c r="G151" i="20"/>
  <c r="V151" i="20"/>
  <c r="O151" i="20"/>
  <c r="B151" i="20"/>
  <c r="AN151" i="20"/>
  <c r="AO151" i="20"/>
  <c r="K151" i="20"/>
  <c r="AI151" i="20"/>
  <c r="AR151" i="20"/>
  <c r="AE151" i="20"/>
  <c r="AH151" i="20"/>
  <c r="J151" i="20"/>
  <c r="AQ151" i="20"/>
  <c r="AD151" i="20"/>
  <c r="U151" i="20"/>
  <c r="P151" i="20"/>
  <c r="N151" i="20"/>
  <c r="T151" i="20"/>
  <c r="AT151" i="20"/>
  <c r="AC151" i="20"/>
  <c r="S151" i="20"/>
  <c r="AU151" i="20"/>
  <c r="W151" i="20"/>
  <c r="R151" i="20"/>
  <c r="AF151" i="20"/>
  <c r="AA151" i="20"/>
  <c r="AS151" i="20"/>
  <c r="AV151" i="20"/>
  <c r="Q215" i="20"/>
  <c r="AA215" i="20"/>
  <c r="W215" i="20"/>
  <c r="AP215" i="20"/>
  <c r="T215" i="20"/>
  <c r="B215" i="20"/>
  <c r="AF215" i="20"/>
  <c r="AH215" i="20"/>
  <c r="K215" i="20"/>
  <c r="U215" i="20"/>
  <c r="AB215" i="20"/>
  <c r="O215" i="20"/>
  <c r="AU215" i="20"/>
  <c r="AN215" i="20"/>
  <c r="AQ215" i="20"/>
  <c r="AI215" i="20"/>
  <c r="AR215" i="20"/>
  <c r="V215" i="20"/>
  <c r="AO215" i="20"/>
  <c r="AM215" i="20"/>
  <c r="AJ215" i="20"/>
  <c r="AG215" i="20"/>
  <c r="AS215" i="20"/>
  <c r="AT215" i="20"/>
  <c r="R215" i="20"/>
  <c r="AE215" i="20"/>
  <c r="Z215" i="20"/>
  <c r="S215" i="20"/>
  <c r="P215" i="20"/>
  <c r="J215" i="20"/>
  <c r="X215" i="20"/>
  <c r="AC215" i="20"/>
  <c r="N215" i="20"/>
  <c r="AD215" i="20"/>
  <c r="AV215" i="20"/>
  <c r="AL215" i="20"/>
  <c r="W210" i="20"/>
  <c r="B210" i="20"/>
  <c r="AR210" i="20"/>
  <c r="AT210" i="20"/>
  <c r="AC210" i="20"/>
  <c r="S210" i="20"/>
  <c r="AQ210" i="20"/>
  <c r="AI210" i="20"/>
  <c r="J210" i="20"/>
  <c r="T210" i="20"/>
  <c r="O210" i="20"/>
  <c r="X210" i="20"/>
  <c r="R210" i="20"/>
  <c r="AB210" i="20"/>
  <c r="AN210" i="20"/>
  <c r="AE210" i="20"/>
  <c r="AA210" i="20"/>
  <c r="AP210" i="20"/>
  <c r="AU210" i="20"/>
  <c r="AJ210" i="20"/>
  <c r="AO210" i="20"/>
  <c r="AL210" i="20"/>
  <c r="K210" i="20"/>
  <c r="AH210" i="20"/>
  <c r="AF210" i="20"/>
  <c r="N210" i="20"/>
  <c r="AM210" i="20"/>
  <c r="U210" i="20"/>
  <c r="Z210" i="20"/>
  <c r="AD210" i="20"/>
  <c r="Q210" i="20"/>
  <c r="V210" i="20"/>
  <c r="AV210" i="20"/>
  <c r="AG210" i="20"/>
  <c r="AS210" i="20"/>
  <c r="P210" i="20"/>
  <c r="B222" i="20"/>
  <c r="AG222" i="20"/>
  <c r="AC222" i="20"/>
  <c r="S222" i="20"/>
  <c r="N222" i="20"/>
  <c r="T222" i="20"/>
  <c r="AT222" i="20"/>
  <c r="Z222" i="20"/>
  <c r="AR222" i="20"/>
  <c r="R222" i="20"/>
  <c r="AB222" i="20"/>
  <c r="AP222" i="20"/>
  <c r="Q222" i="20"/>
  <c r="K222" i="20"/>
  <c r="W222" i="20"/>
  <c r="AD222" i="20"/>
  <c r="AV222" i="20"/>
  <c r="P222" i="20"/>
  <c r="AI222" i="20"/>
  <c r="O222" i="20"/>
  <c r="X222" i="20"/>
  <c r="AA222" i="20"/>
  <c r="V222" i="20"/>
  <c r="AJ222" i="20"/>
  <c r="AL222" i="20"/>
  <c r="AU222" i="20"/>
  <c r="J222" i="20"/>
  <c r="AF222" i="20"/>
  <c r="AN222" i="20"/>
  <c r="AQ222" i="20"/>
  <c r="AE222" i="20"/>
  <c r="AO222" i="20"/>
  <c r="U222" i="20"/>
  <c r="AH222" i="20"/>
  <c r="AS222" i="20"/>
  <c r="AM222" i="20"/>
  <c r="AQ10" i="20"/>
  <c r="AG10" i="20"/>
  <c r="Z10" i="20"/>
  <c r="AP10" i="20"/>
  <c r="AO10" i="20"/>
  <c r="AA10" i="20"/>
  <c r="AH10" i="20"/>
  <c r="AC10" i="20"/>
  <c r="X10" i="20"/>
  <c r="G10" i="20"/>
  <c r="AI10" i="20"/>
  <c r="AF10" i="20"/>
  <c r="AJ10" i="20"/>
  <c r="U10" i="20"/>
  <c r="AR10" i="20"/>
  <c r="O10" i="20"/>
  <c r="AS10" i="20"/>
  <c r="AL10" i="20"/>
  <c r="AD10" i="20"/>
  <c r="AB10" i="20"/>
  <c r="B10" i="20"/>
  <c r="W10" i="20"/>
  <c r="AT10" i="20"/>
  <c r="AM10" i="20"/>
  <c r="AN10" i="20"/>
  <c r="S10" i="20"/>
  <c r="J10" i="20"/>
  <c r="Q10" i="20"/>
  <c r="V10" i="20"/>
  <c r="T10" i="20"/>
  <c r="AV10" i="20"/>
  <c r="R10" i="20"/>
  <c r="P10" i="20"/>
  <c r="K10" i="20"/>
  <c r="AE10" i="20"/>
  <c r="N10" i="20"/>
  <c r="AU10" i="20"/>
  <c r="G5" i="20"/>
  <c r="AJ5" i="20"/>
  <c r="J5" i="20"/>
  <c r="AE5" i="20"/>
  <c r="AA5" i="20"/>
  <c r="AG5" i="20"/>
  <c r="AI5" i="20"/>
  <c r="U5" i="20"/>
  <c r="Q5" i="20"/>
  <c r="N5" i="20"/>
  <c r="AN5" i="20"/>
  <c r="K5" i="20"/>
  <c r="AR5" i="20"/>
  <c r="T5" i="20"/>
  <c r="AO5" i="20"/>
  <c r="AV5" i="20"/>
  <c r="AF5" i="20"/>
  <c r="AH5" i="20"/>
  <c r="R5" i="20"/>
  <c r="V5" i="20"/>
  <c r="P5" i="20"/>
  <c r="AS5" i="20"/>
  <c r="B5" i="20"/>
  <c r="AQ5" i="20"/>
  <c r="AL5" i="20"/>
  <c r="AP5" i="20"/>
  <c r="W5" i="20"/>
  <c r="AT5" i="20"/>
  <c r="AC5" i="20"/>
  <c r="AD5" i="20"/>
  <c r="AU5" i="20"/>
  <c r="X5" i="20"/>
  <c r="Z5" i="20"/>
  <c r="O5" i="20"/>
  <c r="AB5" i="20"/>
  <c r="S5" i="20"/>
  <c r="AM5" i="20"/>
  <c r="O242" i="20"/>
  <c r="T242" i="20"/>
  <c r="AM242" i="20"/>
  <c r="P242" i="20"/>
  <c r="AB242" i="20"/>
  <c r="AL242" i="20"/>
  <c r="AI242" i="20"/>
  <c r="U242" i="20"/>
  <c r="K242" i="20"/>
  <c r="X242" i="20"/>
  <c r="N242" i="20"/>
  <c r="AF242" i="20"/>
  <c r="AH242" i="20"/>
  <c r="AJ242" i="20"/>
  <c r="AE242" i="20"/>
  <c r="AQ242" i="20"/>
  <c r="AT242" i="20"/>
  <c r="AP242" i="20"/>
  <c r="W242" i="20"/>
  <c r="AC242" i="20"/>
  <c r="AV242" i="20"/>
  <c r="J242" i="20"/>
  <c r="S242" i="20"/>
  <c r="R242" i="20"/>
  <c r="Z242" i="20"/>
  <c r="AO242" i="20"/>
  <c r="V242" i="20"/>
  <c r="B242" i="20"/>
  <c r="AA242" i="20"/>
  <c r="AD242" i="20"/>
  <c r="AN242" i="20"/>
  <c r="AR242" i="20"/>
  <c r="Q242" i="20"/>
  <c r="AS242" i="20"/>
  <c r="AU242" i="20"/>
  <c r="AG242" i="20"/>
  <c r="AF36" i="20"/>
  <c r="K36" i="20"/>
  <c r="V36" i="20"/>
  <c r="AH36" i="20"/>
  <c r="AS36" i="20"/>
  <c r="S36" i="20"/>
  <c r="O36" i="20"/>
  <c r="AL36" i="20"/>
  <c r="AC36" i="20"/>
  <c r="T36" i="20"/>
  <c r="AR36" i="20"/>
  <c r="Z36" i="20"/>
  <c r="AI36" i="20"/>
  <c r="AM36" i="20"/>
  <c r="X36" i="20"/>
  <c r="AJ36" i="20"/>
  <c r="W36" i="20"/>
  <c r="Q36" i="20"/>
  <c r="AD36" i="20"/>
  <c r="B36" i="20"/>
  <c r="AU36" i="20"/>
  <c r="AV36" i="20"/>
  <c r="AN36" i="20"/>
  <c r="AP36" i="20"/>
  <c r="N36" i="20"/>
  <c r="AG36" i="20"/>
  <c r="P36" i="20"/>
  <c r="AO36" i="20"/>
  <c r="AA36" i="20"/>
  <c r="R36" i="20"/>
  <c r="AQ36" i="20"/>
  <c r="AE36" i="20"/>
  <c r="U36" i="20"/>
  <c r="AB36" i="20"/>
  <c r="G36" i="20"/>
  <c r="AT36" i="20"/>
  <c r="J36" i="20"/>
  <c r="AO142" i="20"/>
  <c r="AG142" i="20"/>
  <c r="G142" i="20"/>
  <c r="AJ142" i="20"/>
  <c r="R142" i="20"/>
  <c r="X142" i="20"/>
  <c r="Q142" i="20"/>
  <c r="AP142" i="20"/>
  <c r="V142" i="20"/>
  <c r="AS142" i="20"/>
  <c r="AV142" i="20"/>
  <c r="AH142" i="20"/>
  <c r="B142" i="20"/>
  <c r="U142" i="20"/>
  <c r="N142" i="20"/>
  <c r="AQ142" i="20"/>
  <c r="AE142" i="20"/>
  <c r="S142" i="20"/>
  <c r="AR142" i="20"/>
  <c r="K142" i="20"/>
  <c r="J142" i="20"/>
  <c r="AF142" i="20"/>
  <c r="AA142" i="20"/>
  <c r="AC142" i="20"/>
  <c r="AL142" i="20"/>
  <c r="AI142" i="20"/>
  <c r="O142" i="20"/>
  <c r="AU142" i="20"/>
  <c r="P142" i="20"/>
  <c r="W142" i="20"/>
  <c r="AN142" i="20"/>
  <c r="AD142" i="20"/>
  <c r="AB142" i="20"/>
  <c r="Z142" i="20"/>
  <c r="T142" i="20"/>
  <c r="AT142" i="20"/>
  <c r="AM142" i="20"/>
  <c r="AB38" i="20"/>
  <c r="AO38" i="20"/>
  <c r="N38" i="20"/>
  <c r="AP38" i="20"/>
  <c r="O38" i="20"/>
  <c r="R38" i="20"/>
  <c r="AG38" i="20"/>
  <c r="AJ38" i="20"/>
  <c r="X38" i="20"/>
  <c r="G38" i="20"/>
  <c r="AT38" i="20"/>
  <c r="AI38" i="20"/>
  <c r="AF38" i="20"/>
  <c r="S38" i="20"/>
  <c r="T38" i="20"/>
  <c r="AR38" i="20"/>
  <c r="U38" i="20"/>
  <c r="J38" i="20"/>
  <c r="AN38" i="20"/>
  <c r="AQ38" i="20"/>
  <c r="AA38" i="20"/>
  <c r="K38" i="20"/>
  <c r="V38" i="20"/>
  <c r="AH38" i="20"/>
  <c r="Z38" i="20"/>
  <c r="Q38" i="20"/>
  <c r="AC38" i="20"/>
  <c r="AV38" i="20"/>
  <c r="AL38" i="20"/>
  <c r="AE38" i="20"/>
  <c r="W38" i="20"/>
  <c r="AD38" i="20"/>
  <c r="AM38" i="20"/>
  <c r="AU38" i="20"/>
  <c r="B38" i="20"/>
  <c r="AS38" i="20"/>
  <c r="P38" i="20"/>
  <c r="U58" i="1"/>
  <c r="B58" i="1"/>
  <c r="U62" i="31"/>
  <c r="B62" i="31"/>
  <c r="U40" i="30"/>
  <c r="B40" i="30"/>
  <c r="B55" i="30"/>
  <c r="U55" i="30"/>
  <c r="O4" i="23"/>
  <c r="U88" i="30"/>
  <c r="B88" i="30"/>
  <c r="U54" i="30"/>
  <c r="B54" i="30"/>
  <c r="B150" i="31"/>
  <c r="U150" i="31"/>
  <c r="U53" i="30"/>
  <c r="B53" i="30"/>
  <c r="U51" i="31"/>
  <c r="B51" i="31"/>
  <c r="U105" i="30"/>
  <c r="B105" i="30"/>
  <c r="I233" i="26"/>
  <c r="E233" i="26" s="1"/>
  <c r="L255" i="1"/>
  <c r="U57" i="30"/>
  <c r="B57" i="30"/>
  <c r="B109" i="30"/>
  <c r="U109" i="30"/>
  <c r="B80" i="1"/>
  <c r="U80" i="1"/>
  <c r="A202" i="26"/>
  <c r="L224" i="1"/>
  <c r="U96" i="30"/>
  <c r="B96" i="30"/>
  <c r="B167" i="1"/>
  <c r="U167" i="1"/>
  <c r="B149" i="31"/>
  <c r="U149" i="31"/>
  <c r="B46" i="29"/>
  <c r="U46" i="29"/>
  <c r="N71" i="1"/>
  <c r="B53" i="31"/>
  <c r="U53" i="31"/>
  <c r="B54" i="1"/>
  <c r="U54" i="1"/>
  <c r="B61" i="30"/>
  <c r="U61" i="30"/>
  <c r="B184" i="1"/>
  <c r="U184" i="1"/>
  <c r="U106" i="29"/>
  <c r="B106" i="29"/>
  <c r="B78" i="30"/>
  <c r="U78" i="30"/>
  <c r="G172" i="38"/>
  <c r="B172" i="38"/>
  <c r="K172" i="38"/>
  <c r="U47" i="29"/>
  <c r="B47" i="29"/>
  <c r="B70" i="20"/>
  <c r="AA70" i="20"/>
  <c r="AR70" i="20"/>
  <c r="X70" i="20"/>
  <c r="AU70" i="20"/>
  <c r="AN70" i="20"/>
  <c r="AJ70" i="20"/>
  <c r="AH70" i="20"/>
  <c r="AB70" i="20"/>
  <c r="AF70" i="20"/>
  <c r="K70" i="20"/>
  <c r="AT70" i="20"/>
  <c r="AC70" i="20"/>
  <c r="P70" i="20"/>
  <c r="W70" i="20"/>
  <c r="R70" i="20"/>
  <c r="N70" i="20"/>
  <c r="AM70" i="20"/>
  <c r="G70" i="20"/>
  <c r="V70" i="20"/>
  <c r="AV70" i="20"/>
  <c r="AP70" i="20"/>
  <c r="Q70" i="20"/>
  <c r="AD70" i="20"/>
  <c r="AS70" i="20"/>
  <c r="AE70" i="20"/>
  <c r="T70" i="20"/>
  <c r="S70" i="20"/>
  <c r="AG70" i="20"/>
  <c r="Z70" i="20"/>
  <c r="AL70" i="20"/>
  <c r="AO70" i="20"/>
  <c r="O70" i="20"/>
  <c r="AQ70" i="20"/>
  <c r="AI70" i="20"/>
  <c r="U70" i="20"/>
  <c r="J70" i="20"/>
  <c r="O156" i="20"/>
  <c r="K156" i="20"/>
  <c r="R156" i="20"/>
  <c r="AS156" i="20"/>
  <c r="B156" i="20"/>
  <c r="G156" i="20"/>
  <c r="AL156" i="20"/>
  <c r="AQ156" i="20"/>
  <c r="AT156" i="20"/>
  <c r="AF156" i="20"/>
  <c r="S156" i="20"/>
  <c r="AU156" i="20"/>
  <c r="AV156" i="20"/>
  <c r="AE156" i="20"/>
  <c r="AR156" i="20"/>
  <c r="J156" i="20"/>
  <c r="AB156" i="20"/>
  <c r="AN156" i="20"/>
  <c r="Q156" i="20"/>
  <c r="Z156" i="20"/>
  <c r="AC156" i="20"/>
  <c r="T156" i="20"/>
  <c r="W156" i="20"/>
  <c r="AG156" i="20"/>
  <c r="AO156" i="20"/>
  <c r="U156" i="20"/>
  <c r="X156" i="20"/>
  <c r="AH156" i="20"/>
  <c r="AA156" i="20"/>
  <c r="AJ156" i="20"/>
  <c r="AM156" i="20"/>
  <c r="AP156" i="20"/>
  <c r="P156" i="20"/>
  <c r="N156" i="20"/>
  <c r="V156" i="20"/>
  <c r="AI156" i="20"/>
  <c r="AD156" i="20"/>
  <c r="T123" i="20"/>
  <c r="AC123" i="20"/>
  <c r="AM123" i="20"/>
  <c r="AT123" i="20"/>
  <c r="W123" i="20"/>
  <c r="U123" i="20"/>
  <c r="AV123" i="20"/>
  <c r="AN123" i="20"/>
  <c r="R123" i="20"/>
  <c r="K123" i="20"/>
  <c r="S123" i="20"/>
  <c r="AL123" i="20"/>
  <c r="Z123" i="20"/>
  <c r="P123" i="20"/>
  <c r="O123" i="20"/>
  <c r="AQ123" i="20"/>
  <c r="AA123" i="20"/>
  <c r="V123" i="20"/>
  <c r="AR123" i="20"/>
  <c r="AU123" i="20"/>
  <c r="AO123" i="20"/>
  <c r="AP123" i="20"/>
  <c r="B123" i="20"/>
  <c r="N123" i="20"/>
  <c r="G123" i="20"/>
  <c r="AH123" i="20"/>
  <c r="AS123" i="20"/>
  <c r="X123" i="20"/>
  <c r="AF123" i="20"/>
  <c r="AE123" i="20"/>
  <c r="AG123" i="20"/>
  <c r="AD123" i="20"/>
  <c r="Q123" i="20"/>
  <c r="AI123" i="20"/>
  <c r="J123" i="20"/>
  <c r="AJ123" i="20"/>
  <c r="AB123" i="20"/>
  <c r="V214" i="20"/>
  <c r="AC214" i="20"/>
  <c r="R214" i="20"/>
  <c r="AL214" i="20"/>
  <c r="AV214" i="20"/>
  <c r="AN214" i="20"/>
  <c r="U214" i="20"/>
  <c r="X214" i="20"/>
  <c r="P214" i="20"/>
  <c r="AF214" i="20"/>
  <c r="Q214" i="20"/>
  <c r="S214" i="20"/>
  <c r="AR214" i="20"/>
  <c r="O214" i="20"/>
  <c r="AT214" i="20"/>
  <c r="T214" i="20"/>
  <c r="AS214" i="20"/>
  <c r="AI214" i="20"/>
  <c r="J214" i="20"/>
  <c r="AH214" i="20"/>
  <c r="AM214" i="20"/>
  <c r="AG214" i="20"/>
  <c r="AQ214" i="20"/>
  <c r="AD214" i="20"/>
  <c r="AB214" i="20"/>
  <c r="AE214" i="20"/>
  <c r="Z214" i="20"/>
  <c r="AP214" i="20"/>
  <c r="AA214" i="20"/>
  <c r="K214" i="20"/>
  <c r="N214" i="20"/>
  <c r="AJ214" i="20"/>
  <c r="AO214" i="20"/>
  <c r="W214" i="20"/>
  <c r="AU214" i="20"/>
  <c r="B214" i="20"/>
  <c r="AO115" i="20"/>
  <c r="AG115" i="20"/>
  <c r="AN115" i="20"/>
  <c r="O115" i="20"/>
  <c r="Z115" i="20"/>
  <c r="W115" i="20"/>
  <c r="AE115" i="20"/>
  <c r="AB115" i="20"/>
  <c r="AU115" i="20"/>
  <c r="P115" i="20"/>
  <c r="AV115" i="20"/>
  <c r="S115" i="20"/>
  <c r="T115" i="20"/>
  <c r="N115" i="20"/>
  <c r="B115" i="20"/>
  <c r="Q115" i="20"/>
  <c r="AR115" i="20"/>
  <c r="AP115" i="20"/>
  <c r="AA115" i="20"/>
  <c r="AD115" i="20"/>
  <c r="AI115" i="20"/>
  <c r="AF115" i="20"/>
  <c r="G115" i="20"/>
  <c r="R115" i="20"/>
  <c r="U115" i="20"/>
  <c r="AM115" i="20"/>
  <c r="K115" i="20"/>
  <c r="AQ115" i="20"/>
  <c r="J115" i="20"/>
  <c r="V115" i="20"/>
  <c r="AC115" i="20"/>
  <c r="X115" i="20"/>
  <c r="AJ115" i="20"/>
  <c r="AT115" i="20"/>
  <c r="AH115" i="20"/>
  <c r="AL115" i="20"/>
  <c r="AS115" i="20"/>
  <c r="B63" i="20"/>
  <c r="K63" i="20"/>
  <c r="AI63" i="20"/>
  <c r="AO63" i="20"/>
  <c r="Q63" i="20"/>
  <c r="AH63" i="20"/>
  <c r="AF63" i="20"/>
  <c r="O63" i="20"/>
  <c r="P63" i="20"/>
  <c r="AA63" i="20"/>
  <c r="AR63" i="20"/>
  <c r="G63" i="20"/>
  <c r="T63" i="20"/>
  <c r="Z63" i="20"/>
  <c r="AB63" i="20"/>
  <c r="AS63" i="20"/>
  <c r="AD63" i="20"/>
  <c r="AQ63" i="20"/>
  <c r="N63" i="20"/>
  <c r="AC63" i="20"/>
  <c r="AE63" i="20"/>
  <c r="AJ63" i="20"/>
  <c r="R63" i="20"/>
  <c r="AL63" i="20"/>
  <c r="AT63" i="20"/>
  <c r="AM63" i="20"/>
  <c r="J63" i="20"/>
  <c r="U63" i="20"/>
  <c r="W63" i="20"/>
  <c r="AU63" i="20"/>
  <c r="AP63" i="20"/>
  <c r="AV63" i="20"/>
  <c r="AG63" i="20"/>
  <c r="AN63" i="20"/>
  <c r="V63" i="20"/>
  <c r="X63" i="20"/>
  <c r="S63" i="20"/>
  <c r="AM29" i="20"/>
  <c r="AU29" i="20"/>
  <c r="X29" i="20"/>
  <c r="AS29" i="20"/>
  <c r="K29" i="20"/>
  <c r="U29" i="20"/>
  <c r="AE29" i="20"/>
  <c r="AP29" i="20"/>
  <c r="N29" i="20"/>
  <c r="S29" i="20"/>
  <c r="W29" i="20"/>
  <c r="AR29" i="20"/>
  <c r="AN29" i="20"/>
  <c r="AC29" i="20"/>
  <c r="R29" i="20"/>
  <c r="Q29" i="20"/>
  <c r="AQ29" i="20"/>
  <c r="Z29" i="20"/>
  <c r="AJ29" i="20"/>
  <c r="AF29" i="20"/>
  <c r="T29" i="20"/>
  <c r="AH29" i="20"/>
  <c r="J29" i="20"/>
  <c r="AT29" i="20"/>
  <c r="B29" i="20"/>
  <c r="V29" i="20"/>
  <c r="AL29" i="20"/>
  <c r="G29" i="20"/>
  <c r="P29" i="20"/>
  <c r="AB29" i="20"/>
  <c r="AV29" i="20"/>
  <c r="O29" i="20"/>
  <c r="AO29" i="20"/>
  <c r="AI29" i="20"/>
  <c r="AA29" i="20"/>
  <c r="AG29" i="20"/>
  <c r="AD29" i="20"/>
  <c r="AB146" i="20"/>
  <c r="U146" i="20"/>
  <c r="J146" i="20"/>
  <c r="Q146" i="20"/>
  <c r="K146" i="20"/>
  <c r="P146" i="20"/>
  <c r="R146" i="20"/>
  <c r="AL146" i="20"/>
  <c r="N146" i="20"/>
  <c r="T146" i="20"/>
  <c r="X146" i="20"/>
  <c r="Z146" i="20"/>
  <c r="AE146" i="20"/>
  <c r="AQ146" i="20"/>
  <c r="AR146" i="20"/>
  <c r="AD146" i="20"/>
  <c r="S146" i="20"/>
  <c r="B146" i="20"/>
  <c r="AO146" i="20"/>
  <c r="AF146" i="20"/>
  <c r="AG146" i="20"/>
  <c r="AP146" i="20"/>
  <c r="W146" i="20"/>
  <c r="AU146" i="20"/>
  <c r="G146" i="20"/>
  <c r="AN146" i="20"/>
  <c r="AA146" i="20"/>
  <c r="AT146" i="20"/>
  <c r="AM146" i="20"/>
  <c r="AC146" i="20"/>
  <c r="AH146" i="20"/>
  <c r="V146" i="20"/>
  <c r="AS146" i="20"/>
  <c r="AI146" i="20"/>
  <c r="AJ146" i="20"/>
  <c r="O146" i="20"/>
  <c r="AV146" i="20"/>
  <c r="U25" i="20"/>
  <c r="Z25" i="20"/>
  <c r="P25" i="20"/>
  <c r="B25" i="20"/>
  <c r="O25" i="20"/>
  <c r="AB25" i="20"/>
  <c r="AI25" i="20"/>
  <c r="K25" i="20"/>
  <c r="AE25" i="20"/>
  <c r="G25" i="20"/>
  <c r="AQ25" i="20"/>
  <c r="AO25" i="20"/>
  <c r="T25" i="20"/>
  <c r="AN25" i="20"/>
  <c r="AP25" i="20"/>
  <c r="Q25" i="20"/>
  <c r="AV25" i="20"/>
  <c r="AJ25" i="20"/>
  <c r="AU25" i="20"/>
  <c r="J25" i="20"/>
  <c r="S25" i="20"/>
  <c r="AF25" i="20"/>
  <c r="AM25" i="20"/>
  <c r="V25" i="20"/>
  <c r="AL25" i="20"/>
  <c r="W25" i="20"/>
  <c r="AC25" i="20"/>
  <c r="R25" i="20"/>
  <c r="N25" i="20"/>
  <c r="AR25" i="20"/>
  <c r="AT25" i="20"/>
  <c r="AD25" i="20"/>
  <c r="AA25" i="20"/>
  <c r="X25" i="20"/>
  <c r="AG25" i="20"/>
  <c r="AH25" i="20"/>
  <c r="AS25" i="20"/>
  <c r="AL205" i="20"/>
  <c r="T205" i="20"/>
  <c r="AG205" i="20"/>
  <c r="AR205" i="20"/>
  <c r="AT205" i="20"/>
  <c r="AM205" i="20"/>
  <c r="AI205" i="20"/>
  <c r="AU205" i="20"/>
  <c r="Z205" i="20"/>
  <c r="AV205" i="20"/>
  <c r="AE205" i="20"/>
  <c r="AJ205" i="20"/>
  <c r="AH205" i="20"/>
  <c r="AC205" i="20"/>
  <c r="K205" i="20"/>
  <c r="J205" i="20"/>
  <c r="P205" i="20"/>
  <c r="R205" i="20"/>
  <c r="B205" i="20"/>
  <c r="AS205" i="20"/>
  <c r="Q205" i="20"/>
  <c r="O205" i="20"/>
  <c r="AO205" i="20"/>
  <c r="X205" i="20"/>
  <c r="AP205" i="20"/>
  <c r="V205" i="20"/>
  <c r="AN205" i="20"/>
  <c r="N205" i="20"/>
  <c r="W205" i="20"/>
  <c r="S205" i="20"/>
  <c r="U205" i="20"/>
  <c r="AB205" i="20"/>
  <c r="AF205" i="20"/>
  <c r="AA205" i="20"/>
  <c r="AD205" i="20"/>
  <c r="AQ205" i="20"/>
  <c r="J96" i="20"/>
  <c r="AB96" i="20"/>
  <c r="O96" i="20"/>
  <c r="K96" i="20"/>
  <c r="S96" i="20"/>
  <c r="G96" i="20"/>
  <c r="Z96" i="20"/>
  <c r="AI96" i="20"/>
  <c r="U96" i="20"/>
  <c r="AP96" i="20"/>
  <c r="AT96" i="20"/>
  <c r="Q96" i="20"/>
  <c r="B96" i="20"/>
  <c r="V96" i="20"/>
  <c r="AF96" i="20"/>
  <c r="AJ96" i="20"/>
  <c r="AD96" i="20"/>
  <c r="X96" i="20"/>
  <c r="AO96" i="20"/>
  <c r="AL96" i="20"/>
  <c r="AN96" i="20"/>
  <c r="AU96" i="20"/>
  <c r="AR96" i="20"/>
  <c r="R96" i="20"/>
  <c r="AH96" i="20"/>
  <c r="AE96" i="20"/>
  <c r="AC96" i="20"/>
  <c r="T96" i="20"/>
  <c r="AA96" i="20"/>
  <c r="P96" i="20"/>
  <c r="AV96" i="20"/>
  <c r="AG96" i="20"/>
  <c r="N96" i="20"/>
  <c r="W96" i="20"/>
  <c r="AS96" i="20"/>
  <c r="AM96" i="20"/>
  <c r="AQ96" i="20"/>
  <c r="AT58" i="20"/>
  <c r="AV58" i="20"/>
  <c r="AR58" i="20"/>
  <c r="AN58" i="20"/>
  <c r="AS58" i="20"/>
  <c r="AB58" i="20"/>
  <c r="AP58" i="20"/>
  <c r="AO58" i="20"/>
  <c r="AF58" i="20"/>
  <c r="J58" i="20"/>
  <c r="W58" i="20"/>
  <c r="AH58" i="20"/>
  <c r="AG58" i="20"/>
  <c r="R58" i="20"/>
  <c r="N58" i="20"/>
  <c r="V58" i="20"/>
  <c r="S58" i="20"/>
  <c r="T58" i="20"/>
  <c r="AE58" i="20"/>
  <c r="O58" i="20"/>
  <c r="P58" i="20"/>
  <c r="G58" i="20"/>
  <c r="AA58" i="20"/>
  <c r="Q58" i="20"/>
  <c r="AD58" i="20"/>
  <c r="AU58" i="20"/>
  <c r="Z58" i="20"/>
  <c r="AM58" i="20"/>
  <c r="AI58" i="20"/>
  <c r="B58" i="20"/>
  <c r="AL58" i="20"/>
  <c r="AJ58" i="20"/>
  <c r="K58" i="20"/>
  <c r="AC58" i="20"/>
  <c r="AQ58" i="20"/>
  <c r="U58" i="20"/>
  <c r="X58" i="20"/>
  <c r="K172" i="39"/>
  <c r="B172" i="39"/>
  <c r="G172" i="39"/>
  <c r="U143" i="30"/>
  <c r="B143" i="30"/>
  <c r="O17" i="38"/>
  <c r="M17" i="38" s="1"/>
  <c r="U171" i="29"/>
  <c r="B171" i="29"/>
  <c r="B165" i="31"/>
  <c r="U165" i="31"/>
  <c r="B60" i="1"/>
  <c r="U60" i="1"/>
  <c r="I175" i="26"/>
  <c r="E175" i="26" s="1"/>
  <c r="L197" i="1"/>
  <c r="U124" i="31"/>
  <c r="B124" i="31"/>
  <c r="B163" i="1"/>
  <c r="U163" i="1"/>
  <c r="U84" i="1"/>
  <c r="B84" i="1"/>
  <c r="U173" i="30"/>
  <c r="B173" i="30"/>
  <c r="I196" i="26"/>
  <c r="E196" i="26" s="1"/>
  <c r="H196" i="26"/>
  <c r="U60" i="29"/>
  <c r="B60" i="29"/>
  <c r="B116" i="31"/>
  <c r="U116" i="31"/>
  <c r="B145" i="29"/>
  <c r="U145" i="29"/>
  <c r="U65" i="31"/>
  <c r="B65" i="31"/>
  <c r="B166" i="30"/>
  <c r="U166" i="30"/>
  <c r="U66" i="31"/>
  <c r="B66" i="31"/>
  <c r="U71" i="1"/>
  <c r="B71" i="1"/>
  <c r="B169" i="1"/>
  <c r="U169" i="1"/>
  <c r="U142" i="30"/>
  <c r="B142" i="30"/>
  <c r="U88" i="1"/>
  <c r="B88" i="1"/>
  <c r="U62" i="1"/>
  <c r="B62" i="1"/>
  <c r="U34" i="30"/>
  <c r="B34" i="30"/>
  <c r="AQ81" i="19"/>
  <c r="B89" i="26"/>
  <c r="I17" i="6"/>
  <c r="K17" i="6" s="1"/>
  <c r="B152" i="29"/>
  <c r="U152" i="29"/>
  <c r="U87" i="1"/>
  <c r="B87" i="1"/>
  <c r="B50" i="29"/>
  <c r="U50" i="29"/>
  <c r="B37" i="31"/>
  <c r="U37" i="31"/>
  <c r="AR108" i="20"/>
  <c r="R108" i="20"/>
  <c r="U108" i="20"/>
  <c r="AP108" i="20"/>
  <c r="AM108" i="20"/>
  <c r="S108" i="20"/>
  <c r="T108" i="20"/>
  <c r="K108" i="20"/>
  <c r="AD108" i="20"/>
  <c r="AN108" i="20"/>
  <c r="AH108" i="20"/>
  <c r="AL108" i="20"/>
  <c r="AB108" i="20"/>
  <c r="W108" i="20"/>
  <c r="P108" i="20"/>
  <c r="O108" i="20"/>
  <c r="N108" i="20"/>
  <c r="AO108" i="20"/>
  <c r="AE108" i="20"/>
  <c r="AS108" i="20"/>
  <c r="Q108" i="20"/>
  <c r="X108" i="20"/>
  <c r="AU108" i="20"/>
  <c r="AG108" i="20"/>
  <c r="G108" i="20"/>
  <c r="AJ108" i="20"/>
  <c r="J108" i="20"/>
  <c r="AC108" i="20"/>
  <c r="AF108" i="20"/>
  <c r="Z108" i="20"/>
  <c r="AA108" i="20"/>
  <c r="AT108" i="20"/>
  <c r="B108" i="20"/>
  <c r="AV108" i="20"/>
  <c r="V108" i="20"/>
  <c r="AI108" i="20"/>
  <c r="AQ108" i="20"/>
  <c r="AP181" i="20"/>
  <c r="AA181" i="20"/>
  <c r="AQ181" i="20"/>
  <c r="AL181" i="20"/>
  <c r="AB181" i="20"/>
  <c r="V181" i="20"/>
  <c r="AV181" i="20"/>
  <c r="AM181" i="20"/>
  <c r="J181" i="20"/>
  <c r="AI181" i="20"/>
  <c r="Q181" i="20"/>
  <c r="R181" i="20"/>
  <c r="AH181" i="20"/>
  <c r="N181" i="20"/>
  <c r="Z181" i="20"/>
  <c r="AN181" i="20"/>
  <c r="K181" i="20"/>
  <c r="AF181" i="20"/>
  <c r="W181" i="20"/>
  <c r="O181" i="20"/>
  <c r="AS181" i="20"/>
  <c r="AG181" i="20"/>
  <c r="AT181" i="20"/>
  <c r="AU181" i="20"/>
  <c r="AO181" i="20"/>
  <c r="S181" i="20"/>
  <c r="G181" i="20"/>
  <c r="AE181" i="20"/>
  <c r="X181" i="20"/>
  <c r="U181" i="20"/>
  <c r="AD181" i="20"/>
  <c r="T181" i="20"/>
  <c r="P181" i="20"/>
  <c r="AC181" i="20"/>
  <c r="B181" i="20"/>
  <c r="AJ181" i="20"/>
  <c r="AR181" i="20"/>
  <c r="W73" i="20"/>
  <c r="AG73" i="20"/>
  <c r="T73" i="20"/>
  <c r="B73" i="20"/>
  <c r="AF73" i="20"/>
  <c r="AD73" i="20"/>
  <c r="Q73" i="20"/>
  <c r="K73" i="20"/>
  <c r="P73" i="20"/>
  <c r="N73" i="20"/>
  <c r="AO73" i="20"/>
  <c r="AU73" i="20"/>
  <c r="V73" i="20"/>
  <c r="AI73" i="20"/>
  <c r="R73" i="20"/>
  <c r="AM73" i="20"/>
  <c r="Z73" i="20"/>
  <c r="AN73" i="20"/>
  <c r="S73" i="20"/>
  <c r="AC73" i="20"/>
  <c r="O73" i="20"/>
  <c r="AS73" i="20"/>
  <c r="AA73" i="20"/>
  <c r="AJ73" i="20"/>
  <c r="G73" i="20"/>
  <c r="J73" i="20"/>
  <c r="AP73" i="20"/>
  <c r="AT73" i="20"/>
  <c r="U73" i="20"/>
  <c r="AE73" i="20"/>
  <c r="AV73" i="20"/>
  <c r="X73" i="20"/>
  <c r="AH73" i="20"/>
  <c r="AB73" i="20"/>
  <c r="AQ73" i="20"/>
  <c r="AL73" i="20"/>
  <c r="AR73" i="20"/>
  <c r="AG173" i="20"/>
  <c r="N173" i="20"/>
  <c r="AP173" i="20"/>
  <c r="Z173" i="20"/>
  <c r="W173" i="20"/>
  <c r="Q173" i="20"/>
  <c r="AD173" i="20"/>
  <c r="G173" i="20"/>
  <c r="AH173" i="20"/>
  <c r="AO173" i="20"/>
  <c r="R173" i="20"/>
  <c r="U173" i="20"/>
  <c r="X173" i="20"/>
  <c r="AI173" i="20"/>
  <c r="AN173" i="20"/>
  <c r="O173" i="20"/>
  <c r="AS173" i="20"/>
  <c r="AR173" i="20"/>
  <c r="K173" i="20"/>
  <c r="T173" i="20"/>
  <c r="AE173" i="20"/>
  <c r="B173" i="20"/>
  <c r="AQ173" i="20"/>
  <c r="AM173" i="20"/>
  <c r="AV173" i="20"/>
  <c r="AT173" i="20"/>
  <c r="J173" i="20"/>
  <c r="AU173" i="20"/>
  <c r="V173" i="20"/>
  <c r="AC173" i="20"/>
  <c r="AJ173" i="20"/>
  <c r="AL173" i="20"/>
  <c r="S173" i="20"/>
  <c r="AB173" i="20"/>
  <c r="AA173" i="20"/>
  <c r="AF173" i="20"/>
  <c r="P173" i="20"/>
  <c r="B178" i="20"/>
  <c r="Q178" i="20"/>
  <c r="AG178" i="20"/>
  <c r="N178" i="20"/>
  <c r="U178" i="20"/>
  <c r="AE178" i="20"/>
  <c r="AV178" i="20"/>
  <c r="AA178" i="20"/>
  <c r="J178" i="20"/>
  <c r="AO178" i="20"/>
  <c r="Z178" i="20"/>
  <c r="AB178" i="20"/>
  <c r="X178" i="20"/>
  <c r="AQ178" i="20"/>
  <c r="AR178" i="20"/>
  <c r="K178" i="20"/>
  <c r="AF178" i="20"/>
  <c r="AJ178" i="20"/>
  <c r="AH178" i="20"/>
  <c r="AL178" i="20"/>
  <c r="AN178" i="20"/>
  <c r="T178" i="20"/>
  <c r="AM178" i="20"/>
  <c r="AC178" i="20"/>
  <c r="P178" i="20"/>
  <c r="AU178" i="20"/>
  <c r="AI178" i="20"/>
  <c r="O178" i="20"/>
  <c r="W178" i="20"/>
  <c r="AS178" i="20"/>
  <c r="S178" i="20"/>
  <c r="V178" i="20"/>
  <c r="AT178" i="20"/>
  <c r="AD178" i="20"/>
  <c r="G178" i="20"/>
  <c r="AP178" i="20"/>
  <c r="R178" i="20"/>
  <c r="K155" i="20"/>
  <c r="B155" i="20"/>
  <c r="AL155" i="20"/>
  <c r="V155" i="20"/>
  <c r="AT155" i="20"/>
  <c r="AR155" i="20"/>
  <c r="P155" i="20"/>
  <c r="S155" i="20"/>
  <c r="AP155" i="20"/>
  <c r="N155" i="20"/>
  <c r="AM155" i="20"/>
  <c r="AS155" i="20"/>
  <c r="AH155" i="20"/>
  <c r="R155" i="20"/>
  <c r="AV155" i="20"/>
  <c r="W155" i="20"/>
  <c r="J155" i="20"/>
  <c r="AE155" i="20"/>
  <c r="G155" i="20"/>
  <c r="AA155" i="20"/>
  <c r="T155" i="20"/>
  <c r="AB155" i="20"/>
  <c r="AU155" i="20"/>
  <c r="X155" i="20"/>
  <c r="AC155" i="20"/>
  <c r="O155" i="20"/>
  <c r="AD155" i="20"/>
  <c r="Q155" i="20"/>
  <c r="AO155" i="20"/>
  <c r="Z155" i="20"/>
  <c r="AI155" i="20"/>
  <c r="AN155" i="20"/>
  <c r="AF155" i="20"/>
  <c r="U155" i="20"/>
  <c r="AJ155" i="20"/>
  <c r="AG155" i="20"/>
  <c r="AQ155" i="20"/>
  <c r="AM41" i="20"/>
  <c r="T41" i="20"/>
  <c r="AD41" i="20"/>
  <c r="AE41" i="20"/>
  <c r="AL41" i="20"/>
  <c r="AS41" i="20"/>
  <c r="X41" i="20"/>
  <c r="AO41" i="20"/>
  <c r="AQ41" i="20"/>
  <c r="Q41" i="20"/>
  <c r="P41" i="20"/>
  <c r="K41" i="20"/>
  <c r="AV41" i="20"/>
  <c r="J41" i="20"/>
  <c r="AU41" i="20"/>
  <c r="R41" i="20"/>
  <c r="U41" i="20"/>
  <c r="AB41" i="20"/>
  <c r="AH41" i="20"/>
  <c r="V41" i="20"/>
  <c r="AC41" i="20"/>
  <c r="O41" i="20"/>
  <c r="AR41" i="20"/>
  <c r="Z41" i="20"/>
  <c r="AT41" i="20"/>
  <c r="B41" i="20"/>
  <c r="G41" i="20"/>
  <c r="AI41" i="20"/>
  <c r="AJ41" i="20"/>
  <c r="AF41" i="20"/>
  <c r="AN41" i="20"/>
  <c r="N41" i="20"/>
  <c r="AP41" i="20"/>
  <c r="AA41" i="20"/>
  <c r="S41" i="20"/>
  <c r="AG41" i="20"/>
  <c r="W41" i="20"/>
  <c r="V230" i="20"/>
  <c r="AC230" i="20"/>
  <c r="S230" i="20"/>
  <c r="AR230" i="20"/>
  <c r="J230" i="20"/>
  <c r="X230" i="20"/>
  <c r="AO230" i="20"/>
  <c r="AN230" i="20"/>
  <c r="R230" i="20"/>
  <c r="AJ230" i="20"/>
  <c r="AU230" i="20"/>
  <c r="AM230" i="20"/>
  <c r="K230" i="20"/>
  <c r="U230" i="20"/>
  <c r="AV230" i="20"/>
  <c r="AQ230" i="20"/>
  <c r="AF230" i="20"/>
  <c r="AB230" i="20"/>
  <c r="AA230" i="20"/>
  <c r="AS230" i="20"/>
  <c r="AD230" i="20"/>
  <c r="AH230" i="20"/>
  <c r="AP230" i="20"/>
  <c r="N230" i="20"/>
  <c r="W230" i="20"/>
  <c r="AL230" i="20"/>
  <c r="AG230" i="20"/>
  <c r="B230" i="20"/>
  <c r="Z230" i="20"/>
  <c r="O230" i="20"/>
  <c r="AT230" i="20"/>
  <c r="Q230" i="20"/>
  <c r="AE230" i="20"/>
  <c r="AI230" i="20"/>
  <c r="T230" i="20"/>
  <c r="P230" i="20"/>
  <c r="AB167" i="20"/>
  <c r="P167" i="20"/>
  <c r="B167" i="20"/>
  <c r="AJ167" i="20"/>
  <c r="Z167" i="20"/>
  <c r="V167" i="20"/>
  <c r="AO167" i="20"/>
  <c r="AI167" i="20"/>
  <c r="X167" i="20"/>
  <c r="AH167" i="20"/>
  <c r="AP167" i="20"/>
  <c r="AM167" i="20"/>
  <c r="AF167" i="20"/>
  <c r="N167" i="20"/>
  <c r="AG167" i="20"/>
  <c r="AQ167" i="20"/>
  <c r="W167" i="20"/>
  <c r="U167" i="20"/>
  <c r="K167" i="20"/>
  <c r="T167" i="20"/>
  <c r="AV167" i="20"/>
  <c r="AL167" i="20"/>
  <c r="AC167" i="20"/>
  <c r="AE167" i="20"/>
  <c r="J167" i="20"/>
  <c r="AT167" i="20"/>
  <c r="S167" i="20"/>
  <c r="AN167" i="20"/>
  <c r="AD167" i="20"/>
  <c r="G167" i="20"/>
  <c r="O167" i="20"/>
  <c r="AR167" i="20"/>
  <c r="Q167" i="20"/>
  <c r="AS167" i="20"/>
  <c r="AA167" i="20"/>
  <c r="AU167" i="20"/>
  <c r="R167" i="20"/>
  <c r="AN120" i="20"/>
  <c r="B120" i="20"/>
  <c r="V120" i="20"/>
  <c r="AT120" i="20"/>
  <c r="AL120" i="20"/>
  <c r="AV120" i="20"/>
  <c r="R120" i="20"/>
  <c r="AM120" i="20"/>
  <c r="AG120" i="20"/>
  <c r="T120" i="20"/>
  <c r="AP120" i="20"/>
  <c r="AR120" i="20"/>
  <c r="AA120" i="20"/>
  <c r="AF120" i="20"/>
  <c r="AJ120" i="20"/>
  <c r="AQ120" i="20"/>
  <c r="AI120" i="20"/>
  <c r="U120" i="20"/>
  <c r="Q120" i="20"/>
  <c r="N120" i="20"/>
  <c r="AC120" i="20"/>
  <c r="Z120" i="20"/>
  <c r="P120" i="20"/>
  <c r="AH120" i="20"/>
  <c r="AB120" i="20"/>
  <c r="K120" i="20"/>
  <c r="AD120" i="20"/>
  <c r="AO120" i="20"/>
  <c r="AE120" i="20"/>
  <c r="W120" i="20"/>
  <c r="AU120" i="20"/>
  <c r="J120" i="20"/>
  <c r="X120" i="20"/>
  <c r="AS120" i="20"/>
  <c r="G120" i="20"/>
  <c r="S120" i="20"/>
  <c r="O120" i="20"/>
  <c r="AO221" i="20"/>
  <c r="AQ221" i="20"/>
  <c r="AT221" i="20"/>
  <c r="B221" i="20"/>
  <c r="AH221" i="20"/>
  <c r="W221" i="20"/>
  <c r="AF221" i="20"/>
  <c r="AG221" i="20"/>
  <c r="AU221" i="20"/>
  <c r="AB221" i="20"/>
  <c r="O221" i="20"/>
  <c r="P221" i="20"/>
  <c r="V221" i="20"/>
  <c r="N221" i="20"/>
  <c r="AM221" i="20"/>
  <c r="AR221" i="20"/>
  <c r="X221" i="20"/>
  <c r="Q221" i="20"/>
  <c r="AA221" i="20"/>
  <c r="S221" i="20"/>
  <c r="AN221" i="20"/>
  <c r="K221" i="20"/>
  <c r="R221" i="20"/>
  <c r="AL221" i="20"/>
  <c r="AS221" i="20"/>
  <c r="AI221" i="20"/>
  <c r="AE221" i="20"/>
  <c r="J221" i="20"/>
  <c r="U221" i="20"/>
  <c r="T221" i="20"/>
  <c r="AV221" i="20"/>
  <c r="AJ221" i="20"/>
  <c r="Z221" i="20"/>
  <c r="AC221" i="20"/>
  <c r="AP221" i="20"/>
  <c r="AD221" i="20"/>
  <c r="V183" i="20"/>
  <c r="Q183" i="20"/>
  <c r="B183" i="20"/>
  <c r="W183" i="20"/>
  <c r="O183" i="20"/>
  <c r="AE183" i="20"/>
  <c r="G183" i="20"/>
  <c r="AP183" i="20"/>
  <c r="AH183" i="20"/>
  <c r="AB183" i="20"/>
  <c r="AJ183" i="20"/>
  <c r="AT183" i="20"/>
  <c r="N183" i="20"/>
  <c r="S183" i="20"/>
  <c r="AN183" i="20"/>
  <c r="AI183" i="20"/>
  <c r="R183" i="20"/>
  <c r="X183" i="20"/>
  <c r="Z183" i="20"/>
  <c r="AL183" i="20"/>
  <c r="AO183" i="20"/>
  <c r="AV183" i="20"/>
  <c r="AA183" i="20"/>
  <c r="AF183" i="20"/>
  <c r="J183" i="20"/>
  <c r="AD183" i="20"/>
  <c r="T183" i="20"/>
  <c r="AR183" i="20"/>
  <c r="AG183" i="20"/>
  <c r="K183" i="20"/>
  <c r="AU183" i="20"/>
  <c r="AC183" i="20"/>
  <c r="AS183" i="20"/>
  <c r="P183" i="20"/>
  <c r="U183" i="20"/>
  <c r="AM183" i="20"/>
  <c r="AQ183" i="20"/>
  <c r="U84" i="30"/>
  <c r="B84" i="30"/>
  <c r="U50" i="30"/>
  <c r="B50" i="30"/>
  <c r="B36" i="1"/>
  <c r="U36" i="1"/>
  <c r="U174" i="30"/>
  <c r="B174" i="30"/>
  <c r="U146" i="31"/>
  <c r="B146" i="31"/>
  <c r="U89" i="1"/>
  <c r="B89" i="1"/>
  <c r="U57" i="31"/>
  <c r="B57" i="31"/>
  <c r="B43" i="29"/>
  <c r="U43" i="29"/>
  <c r="F343" i="1"/>
  <c r="U53" i="29"/>
  <c r="B53" i="29"/>
  <c r="B111" i="29"/>
  <c r="U111" i="29"/>
  <c r="B81" i="31"/>
  <c r="U81" i="31"/>
  <c r="U178" i="30"/>
  <c r="B178" i="30"/>
  <c r="B74" i="30"/>
  <c r="U74" i="30"/>
  <c r="U158" i="31"/>
  <c r="B158" i="31"/>
  <c r="B133" i="29"/>
  <c r="U133" i="29"/>
  <c r="U53" i="1"/>
  <c r="B53" i="1"/>
  <c r="B138" i="30"/>
  <c r="U138" i="30"/>
  <c r="B131" i="30"/>
  <c r="U131" i="30"/>
  <c r="B111" i="30"/>
  <c r="U111" i="30"/>
  <c r="U142" i="1"/>
  <c r="B142" i="1"/>
  <c r="I68" i="26"/>
  <c r="E68" i="26" s="1"/>
  <c r="H68" i="26"/>
  <c r="B97" i="30"/>
  <c r="U97" i="30"/>
  <c r="U101" i="29"/>
  <c r="B101" i="29"/>
  <c r="B42" i="31"/>
  <c r="U42" i="31"/>
  <c r="B147" i="31"/>
  <c r="U147" i="31"/>
  <c r="B158" i="29"/>
  <c r="U158" i="29"/>
  <c r="B206" i="20"/>
  <c r="AC206" i="20"/>
  <c r="AJ206" i="20"/>
  <c r="J206" i="20"/>
  <c r="AQ206" i="20"/>
  <c r="AN206" i="20"/>
  <c r="AM206" i="20"/>
  <c r="AV206" i="20"/>
  <c r="W206" i="20"/>
  <c r="P206" i="20"/>
  <c r="U206" i="20"/>
  <c r="AG206" i="20"/>
  <c r="AD206" i="20"/>
  <c r="Z206" i="20"/>
  <c r="R206" i="20"/>
  <c r="AU206" i="20"/>
  <c r="AS206" i="20"/>
  <c r="AB206" i="20"/>
  <c r="AO206" i="20"/>
  <c r="X206" i="20"/>
  <c r="AL206" i="20"/>
  <c r="V206" i="20"/>
  <c r="T206" i="20"/>
  <c r="O206" i="20"/>
  <c r="S206" i="20"/>
  <c r="AT206" i="20"/>
  <c r="AH206" i="20"/>
  <c r="AR206" i="20"/>
  <c r="AP206" i="20"/>
  <c r="Q206" i="20"/>
  <c r="AA206" i="20"/>
  <c r="N206" i="20"/>
  <c r="AI206" i="20"/>
  <c r="K206" i="20"/>
  <c r="AE206" i="20"/>
  <c r="AF206" i="20"/>
  <c r="B188" i="20"/>
  <c r="S188" i="20"/>
  <c r="AU188" i="20"/>
  <c r="AO188" i="20"/>
  <c r="AR188" i="20"/>
  <c r="O188" i="20"/>
  <c r="AQ188" i="20"/>
  <c r="AN188" i="20"/>
  <c r="G188" i="20"/>
  <c r="T188" i="20"/>
  <c r="AE188" i="20"/>
  <c r="Q188" i="20"/>
  <c r="AF188" i="20"/>
  <c r="AD188" i="20"/>
  <c r="AJ188" i="20"/>
  <c r="AG188" i="20"/>
  <c r="AV188" i="20"/>
  <c r="AC188" i="20"/>
  <c r="X188" i="20"/>
  <c r="V188" i="20"/>
  <c r="N188" i="20"/>
  <c r="Z188" i="20"/>
  <c r="K188" i="20"/>
  <c r="AB188" i="20"/>
  <c r="AM188" i="20"/>
  <c r="W188" i="20"/>
  <c r="P188" i="20"/>
  <c r="J188" i="20"/>
  <c r="U188" i="20"/>
  <c r="AL188" i="20"/>
  <c r="AA188" i="20"/>
  <c r="AI188" i="20"/>
  <c r="R188" i="20"/>
  <c r="AP188" i="20"/>
  <c r="AH188" i="20"/>
  <c r="AS188" i="20"/>
  <c r="AT188" i="20"/>
  <c r="Q84" i="20"/>
  <c r="G84" i="20"/>
  <c r="AD84" i="20"/>
  <c r="J84" i="20"/>
  <c r="AU84" i="20"/>
  <c r="AG84" i="20"/>
  <c r="AE84" i="20"/>
  <c r="AN84" i="20"/>
  <c r="AV84" i="20"/>
  <c r="W84" i="20"/>
  <c r="AH84" i="20"/>
  <c r="T84" i="20"/>
  <c r="AA84" i="20"/>
  <c r="AI84" i="20"/>
  <c r="Z84" i="20"/>
  <c r="N84" i="20"/>
  <c r="AM84" i="20"/>
  <c r="V84" i="20"/>
  <c r="R84" i="20"/>
  <c r="AP84" i="20"/>
  <c r="U84" i="20"/>
  <c r="AT84" i="20"/>
  <c r="S84" i="20"/>
  <c r="O84" i="20"/>
  <c r="AJ84" i="20"/>
  <c r="AC84" i="20"/>
  <c r="X84" i="20"/>
  <c r="P84" i="20"/>
  <c r="AR84" i="20"/>
  <c r="AL84" i="20"/>
  <c r="AS84" i="20"/>
  <c r="B84" i="20"/>
  <c r="AF84" i="20"/>
  <c r="AQ84" i="20"/>
  <c r="AO84" i="20"/>
  <c r="AB84" i="20"/>
  <c r="K84" i="20"/>
  <c r="B98" i="20"/>
  <c r="G98" i="20"/>
  <c r="R98" i="20"/>
  <c r="AE98" i="20"/>
  <c r="N98" i="20"/>
  <c r="AQ98" i="20"/>
  <c r="AL98" i="20"/>
  <c r="AR98" i="20"/>
  <c r="AO98" i="20"/>
  <c r="Q98" i="20"/>
  <c r="AN98" i="20"/>
  <c r="AF98" i="20"/>
  <c r="AA98" i="20"/>
  <c r="AP98" i="20"/>
  <c r="AJ98" i="20"/>
  <c r="V98" i="20"/>
  <c r="AS98" i="20"/>
  <c r="O98" i="20"/>
  <c r="AI98" i="20"/>
  <c r="T98" i="20"/>
  <c r="AC98" i="20"/>
  <c r="Z98" i="20"/>
  <c r="AU98" i="20"/>
  <c r="W98" i="20"/>
  <c r="AM98" i="20"/>
  <c r="P98" i="20"/>
  <c r="J98" i="20"/>
  <c r="AT98" i="20"/>
  <c r="AG98" i="20"/>
  <c r="AH98" i="20"/>
  <c r="AV98" i="20"/>
  <c r="X98" i="20"/>
  <c r="AB98" i="20"/>
  <c r="U98" i="20"/>
  <c r="AD98" i="20"/>
  <c r="K98" i="20"/>
  <c r="S98" i="20"/>
  <c r="AF24" i="20"/>
  <c r="P24" i="20"/>
  <c r="AO24" i="20"/>
  <c r="AV24" i="20"/>
  <c r="Q24" i="20"/>
  <c r="AI24" i="20"/>
  <c r="T24" i="20"/>
  <c r="K24" i="20"/>
  <c r="AS24" i="20"/>
  <c r="AJ24" i="20"/>
  <c r="U24" i="20"/>
  <c r="AD24" i="20"/>
  <c r="AA24" i="20"/>
  <c r="AE24" i="20"/>
  <c r="AL24" i="20"/>
  <c r="B24" i="20"/>
  <c r="AM24" i="20"/>
  <c r="O24" i="20"/>
  <c r="W24" i="20"/>
  <c r="J24" i="20"/>
  <c r="R24" i="20"/>
  <c r="V24" i="20"/>
  <c r="G24" i="20"/>
  <c r="AN24" i="20"/>
  <c r="X24" i="20"/>
  <c r="AH24" i="20"/>
  <c r="Z24" i="20"/>
  <c r="AG24" i="20"/>
  <c r="AQ24" i="20"/>
  <c r="AT24" i="20"/>
  <c r="S24" i="20"/>
  <c r="AR24" i="20"/>
  <c r="N24" i="20"/>
  <c r="AP24" i="20"/>
  <c r="AU24" i="20"/>
  <c r="AC24" i="20"/>
  <c r="AB24" i="20"/>
  <c r="T62" i="20"/>
  <c r="AN62" i="20"/>
  <c r="AE62" i="20"/>
  <c r="J62" i="20"/>
  <c r="AU62" i="20"/>
  <c r="AQ62" i="20"/>
  <c r="AL62" i="20"/>
  <c r="AP62" i="20"/>
  <c r="AG62" i="20"/>
  <c r="S62" i="20"/>
  <c r="AB62" i="20"/>
  <c r="G62" i="20"/>
  <c r="AR62" i="20"/>
  <c r="Q62" i="20"/>
  <c r="AJ62" i="20"/>
  <c r="B62" i="20"/>
  <c r="AC62" i="20"/>
  <c r="AH62" i="20"/>
  <c r="AT62" i="20"/>
  <c r="K62" i="20"/>
  <c r="AD62" i="20"/>
  <c r="AS62" i="20"/>
  <c r="U62" i="20"/>
  <c r="O62" i="20"/>
  <c r="N62" i="20"/>
  <c r="P62" i="20"/>
  <c r="AV62" i="20"/>
  <c r="AF62" i="20"/>
  <c r="R62" i="20"/>
  <c r="X62" i="20"/>
  <c r="V62" i="20"/>
  <c r="Z62" i="20"/>
  <c r="AA62" i="20"/>
  <c r="AO62" i="20"/>
  <c r="W62" i="20"/>
  <c r="AM62" i="20"/>
  <c r="AI62" i="20"/>
  <c r="N17" i="20"/>
  <c r="AF17" i="20"/>
  <c r="S17" i="20"/>
  <c r="B17" i="20"/>
  <c r="AG17" i="20"/>
  <c r="U17" i="20"/>
  <c r="Z17" i="20"/>
  <c r="J17" i="20"/>
  <c r="AH17" i="20"/>
  <c r="AB17" i="20"/>
  <c r="AP17" i="20"/>
  <c r="AQ17" i="20"/>
  <c r="O17" i="20"/>
  <c r="V17" i="20"/>
  <c r="W17" i="20"/>
  <c r="T17" i="20"/>
  <c r="X17" i="20"/>
  <c r="AR17" i="20"/>
  <c r="AA17" i="20"/>
  <c r="AT17" i="20"/>
  <c r="AM17" i="20"/>
  <c r="K17" i="20"/>
  <c r="AS17" i="20"/>
  <c r="AD17" i="20"/>
  <c r="AL17" i="20"/>
  <c r="R17" i="20"/>
  <c r="G17" i="20"/>
  <c r="AV17" i="20"/>
  <c r="AU17" i="20"/>
  <c r="AO17" i="20"/>
  <c r="AC17" i="20"/>
  <c r="P17" i="20"/>
  <c r="AN17" i="20"/>
  <c r="AJ17" i="20"/>
  <c r="AE17" i="20"/>
  <c r="Q17" i="20"/>
  <c r="AI17" i="20"/>
  <c r="W52" i="20"/>
  <c r="AB52" i="20"/>
  <c r="AH52" i="20"/>
  <c r="J52" i="20"/>
  <c r="K52" i="20"/>
  <c r="B52" i="20"/>
  <c r="AV52" i="20"/>
  <c r="O52" i="20"/>
  <c r="P52" i="20"/>
  <c r="AO52" i="20"/>
  <c r="AT52" i="20"/>
  <c r="AE52" i="20"/>
  <c r="G52" i="20"/>
  <c r="AP52" i="20"/>
  <c r="AS52" i="20"/>
  <c r="AR52" i="20"/>
  <c r="AL52" i="20"/>
  <c r="AG52" i="20"/>
  <c r="N52" i="20"/>
  <c r="AQ52" i="20"/>
  <c r="Q52" i="20"/>
  <c r="S52" i="20"/>
  <c r="AD52" i="20"/>
  <c r="AU52" i="20"/>
  <c r="AM52" i="20"/>
  <c r="R52" i="20"/>
  <c r="V52" i="20"/>
  <c r="AA52" i="20"/>
  <c r="AN52" i="20"/>
  <c r="AC52" i="20"/>
  <c r="X52" i="20"/>
  <c r="U52" i="20"/>
  <c r="AI52" i="20"/>
  <c r="Z52" i="20"/>
  <c r="AJ52" i="20"/>
  <c r="AF52" i="20"/>
  <c r="T52" i="20"/>
  <c r="P145" i="20"/>
  <c r="J145" i="20"/>
  <c r="AT145" i="20"/>
  <c r="AB145" i="20"/>
  <c r="AP145" i="20"/>
  <c r="AE145" i="20"/>
  <c r="R145" i="20"/>
  <c r="S145" i="20"/>
  <c r="W145" i="20"/>
  <c r="G145" i="20"/>
  <c r="B145" i="20"/>
  <c r="AR145" i="20"/>
  <c r="AV145" i="20"/>
  <c r="AN145" i="20"/>
  <c r="AG145" i="20"/>
  <c r="AJ145" i="20"/>
  <c r="AS145" i="20"/>
  <c r="X145" i="20"/>
  <c r="T145" i="20"/>
  <c r="AD145" i="20"/>
  <c r="K145" i="20"/>
  <c r="O145" i="20"/>
  <c r="AM145" i="20"/>
  <c r="AA145" i="20"/>
  <c r="AQ145" i="20"/>
  <c r="V145" i="20"/>
  <c r="AF145" i="20"/>
  <c r="AH145" i="20"/>
  <c r="AC145" i="20"/>
  <c r="AU145" i="20"/>
  <c r="Z145" i="20"/>
  <c r="U145" i="20"/>
  <c r="AL145" i="20"/>
  <c r="AI145" i="20"/>
  <c r="N145" i="20"/>
  <c r="AO145" i="20"/>
  <c r="Q145" i="20"/>
  <c r="AG42" i="20"/>
  <c r="AR42" i="20"/>
  <c r="AD42" i="20"/>
  <c r="AJ42" i="20"/>
  <c r="AN42" i="20"/>
  <c r="U42" i="20"/>
  <c r="T42" i="20"/>
  <c r="Z42" i="20"/>
  <c r="K42" i="20"/>
  <c r="AV42" i="20"/>
  <c r="P42" i="20"/>
  <c r="AP42" i="20"/>
  <c r="AS42" i="20"/>
  <c r="Q42" i="20"/>
  <c r="B42" i="20"/>
  <c r="J42" i="20"/>
  <c r="AU42" i="20"/>
  <c r="AC42" i="20"/>
  <c r="AE42" i="20"/>
  <c r="O42" i="20"/>
  <c r="R42" i="20"/>
  <c r="AQ42" i="20"/>
  <c r="V42" i="20"/>
  <c r="G42" i="20"/>
  <c r="AO42" i="20"/>
  <c r="AB42" i="20"/>
  <c r="X42" i="20"/>
  <c r="AH42" i="20"/>
  <c r="AM42" i="20"/>
  <c r="W42" i="20"/>
  <c r="S42" i="20"/>
  <c r="AF42" i="20"/>
  <c r="AI42" i="20"/>
  <c r="AL42" i="20"/>
  <c r="N42" i="20"/>
  <c r="AA42" i="20"/>
  <c r="AT42" i="20"/>
  <c r="AR78" i="20"/>
  <c r="Q78" i="20"/>
  <c r="N78" i="20"/>
  <c r="AP78" i="20"/>
  <c r="AI78" i="20"/>
  <c r="O78" i="20"/>
  <c r="AB78" i="20"/>
  <c r="AT78" i="20"/>
  <c r="U78" i="20"/>
  <c r="B78" i="20"/>
  <c r="T78" i="20"/>
  <c r="W78" i="20"/>
  <c r="P78" i="20"/>
  <c r="AN78" i="20"/>
  <c r="AV78" i="20"/>
  <c r="J78" i="20"/>
  <c r="AH78" i="20"/>
  <c r="AC78" i="20"/>
  <c r="AO78" i="20"/>
  <c r="AS78" i="20"/>
  <c r="S78" i="20"/>
  <c r="AA78" i="20"/>
  <c r="X78" i="20"/>
  <c r="AJ78" i="20"/>
  <c r="AL78" i="20"/>
  <c r="AD78" i="20"/>
  <c r="R78" i="20"/>
  <c r="G78" i="20"/>
  <c r="K78" i="20"/>
  <c r="AE78" i="20"/>
  <c r="AG78" i="20"/>
  <c r="V78" i="20"/>
  <c r="AU78" i="20"/>
  <c r="AQ78" i="20"/>
  <c r="AF78" i="20"/>
  <c r="Z78" i="20"/>
  <c r="AM78" i="20"/>
  <c r="AG30" i="20"/>
  <c r="AB30" i="20"/>
  <c r="AV30" i="20"/>
  <c r="AF30" i="20"/>
  <c r="AA30" i="20"/>
  <c r="AP30" i="20"/>
  <c r="R30" i="20"/>
  <c r="AO30" i="20"/>
  <c r="AJ30" i="20"/>
  <c r="AT30" i="20"/>
  <c r="K30" i="20"/>
  <c r="AH30" i="20"/>
  <c r="X30" i="20"/>
  <c r="AU30" i="20"/>
  <c r="AR30" i="20"/>
  <c r="Z30" i="20"/>
  <c r="V30" i="20"/>
  <c r="AE30" i="20"/>
  <c r="AI30" i="20"/>
  <c r="J30" i="20"/>
  <c r="AC30" i="20"/>
  <c r="AS30" i="20"/>
  <c r="O30" i="20"/>
  <c r="AL30" i="20"/>
  <c r="T30" i="20"/>
  <c r="B30" i="20"/>
  <c r="G30" i="20"/>
  <c r="U30" i="20"/>
  <c r="AQ30" i="20"/>
  <c r="AD30" i="20"/>
  <c r="N30" i="20"/>
  <c r="W30" i="20"/>
  <c r="AM30" i="20"/>
  <c r="Q30" i="20"/>
  <c r="S30" i="20"/>
  <c r="P30" i="20"/>
  <c r="AN30" i="20"/>
  <c r="B78" i="31"/>
  <c r="U78" i="31"/>
  <c r="U86" i="29"/>
  <c r="B86" i="29"/>
  <c r="B56" i="1"/>
  <c r="U56" i="1"/>
  <c r="U182" i="29"/>
  <c r="B182" i="29"/>
  <c r="U121" i="31"/>
  <c r="B121" i="31"/>
  <c r="U66" i="30"/>
  <c r="B66" i="30"/>
  <c r="B153" i="1"/>
  <c r="U153" i="1"/>
  <c r="B94" i="29"/>
  <c r="U94" i="29"/>
  <c r="U126" i="1"/>
  <c r="B126" i="1"/>
  <c r="B63" i="1"/>
  <c r="U63" i="1"/>
  <c r="U59" i="29"/>
  <c r="B59" i="29"/>
  <c r="U148" i="29"/>
  <c r="B148" i="29"/>
  <c r="U56" i="29"/>
  <c r="B56" i="29"/>
  <c r="B155" i="29"/>
  <c r="U155" i="29"/>
  <c r="U102" i="29"/>
  <c r="B102" i="29"/>
  <c r="U181" i="29"/>
  <c r="B181" i="29"/>
  <c r="U46" i="30"/>
  <c r="B46" i="30"/>
  <c r="U175" i="31"/>
  <c r="B175" i="31"/>
  <c r="B113" i="30"/>
  <c r="U113" i="30"/>
  <c r="B61" i="29"/>
  <c r="U61" i="29"/>
  <c r="B162" i="1"/>
  <c r="U162" i="1"/>
  <c r="B79" i="29"/>
  <c r="U79" i="29"/>
  <c r="B70" i="31"/>
  <c r="U70" i="31"/>
  <c r="U122" i="1"/>
  <c r="B122" i="1"/>
  <c r="U77" i="30"/>
  <c r="B77" i="30"/>
  <c r="B154" i="1"/>
  <c r="U154" i="1"/>
  <c r="B14" i="20"/>
  <c r="AP14" i="20"/>
  <c r="V14" i="20"/>
  <c r="U14" i="20"/>
  <c r="AN14" i="20"/>
  <c r="AR14" i="20"/>
  <c r="AV14" i="20"/>
  <c r="AG14" i="20"/>
  <c r="AE14" i="20"/>
  <c r="AF14" i="20"/>
  <c r="AM14" i="20"/>
  <c r="AH14" i="20"/>
  <c r="AO14" i="20"/>
  <c r="P14" i="20"/>
  <c r="J14" i="20"/>
  <c r="R14" i="20"/>
  <c r="X14" i="20"/>
  <c r="AL14" i="20"/>
  <c r="AB14" i="20"/>
  <c r="T14" i="20"/>
  <c r="AC14" i="20"/>
  <c r="AQ14" i="20"/>
  <c r="O14" i="20"/>
  <c r="S14" i="20"/>
  <c r="AS14" i="20"/>
  <c r="W14" i="20"/>
  <c r="AJ14" i="20"/>
  <c r="AI14" i="20"/>
  <c r="K14" i="20"/>
  <c r="Z14" i="20"/>
  <c r="Q14" i="20"/>
  <c r="AD14" i="20"/>
  <c r="AU14" i="20"/>
  <c r="G14" i="20"/>
  <c r="AT14" i="20"/>
  <c r="AA14" i="20"/>
  <c r="N14" i="20"/>
  <c r="T159" i="20"/>
  <c r="AF159" i="20"/>
  <c r="X159" i="20"/>
  <c r="AJ159" i="20"/>
  <c r="O159" i="20"/>
  <c r="AV159" i="20"/>
  <c r="AA159" i="20"/>
  <c r="J159" i="20"/>
  <c r="AG159" i="20"/>
  <c r="W159" i="20"/>
  <c r="G159" i="20"/>
  <c r="P159" i="20"/>
  <c r="Q159" i="20"/>
  <c r="B159" i="20"/>
  <c r="AP159" i="20"/>
  <c r="AD159" i="20"/>
  <c r="R159" i="20"/>
  <c r="U159" i="20"/>
  <c r="AM159" i="20"/>
  <c r="AO159" i="20"/>
  <c r="AR159" i="20"/>
  <c r="AS159" i="20"/>
  <c r="S159" i="20"/>
  <c r="AN159" i="20"/>
  <c r="N159" i="20"/>
  <c r="AL159" i="20"/>
  <c r="V159" i="20"/>
  <c r="AC159" i="20"/>
  <c r="AI159" i="20"/>
  <c r="Z159" i="20"/>
  <c r="AT159" i="20"/>
  <c r="AB159" i="20"/>
  <c r="AH159" i="20"/>
  <c r="AE159" i="20"/>
  <c r="AQ159" i="20"/>
  <c r="AU159" i="20"/>
  <c r="K159" i="20"/>
  <c r="AB118" i="20"/>
  <c r="N118" i="20"/>
  <c r="AT118" i="20"/>
  <c r="R118" i="20"/>
  <c r="AH118" i="20"/>
  <c r="P118" i="20"/>
  <c r="AF118" i="20"/>
  <c r="S118" i="20"/>
  <c r="G118" i="20"/>
  <c r="AM118" i="20"/>
  <c r="J118" i="20"/>
  <c r="T118" i="20"/>
  <c r="U118" i="20"/>
  <c r="AN118" i="20"/>
  <c r="X118" i="20"/>
  <c r="AI118" i="20"/>
  <c r="W118" i="20"/>
  <c r="AL118" i="20"/>
  <c r="Q118" i="20"/>
  <c r="AG118" i="20"/>
  <c r="O118" i="20"/>
  <c r="AQ118" i="20"/>
  <c r="AU118" i="20"/>
  <c r="AE118" i="20"/>
  <c r="AV118" i="20"/>
  <c r="V118" i="20"/>
  <c r="AO118" i="20"/>
  <c r="AP118" i="20"/>
  <c r="AC118" i="20"/>
  <c r="AA118" i="20"/>
  <c r="Z118" i="20"/>
  <c r="B118" i="20"/>
  <c r="AJ118" i="20"/>
  <c r="AR118" i="20"/>
  <c r="AS118" i="20"/>
  <c r="AD118" i="20"/>
  <c r="K118" i="20"/>
  <c r="AN250" i="20"/>
  <c r="AS250" i="20"/>
  <c r="AG250" i="20"/>
  <c r="AI250" i="20"/>
  <c r="U250" i="20"/>
  <c r="K250" i="20"/>
  <c r="AD250" i="20"/>
  <c r="AR250" i="20"/>
  <c r="AC250" i="20"/>
  <c r="AV250" i="20"/>
  <c r="X250" i="20"/>
  <c r="AA250" i="20"/>
  <c r="P250" i="20"/>
  <c r="AL250" i="20"/>
  <c r="R250" i="20"/>
  <c r="S250" i="20"/>
  <c r="W250" i="20"/>
  <c r="AH250" i="20"/>
  <c r="AQ250" i="20"/>
  <c r="AT250" i="20"/>
  <c r="V250" i="20"/>
  <c r="AJ250" i="20"/>
  <c r="AM250" i="20"/>
  <c r="AU250" i="20"/>
  <c r="J250" i="20"/>
  <c r="T250" i="20"/>
  <c r="AO250" i="20"/>
  <c r="AB250" i="20"/>
  <c r="Z250" i="20"/>
  <c r="B250" i="20"/>
  <c r="Q250" i="20"/>
  <c r="O250" i="20"/>
  <c r="AF250" i="20"/>
  <c r="N250" i="20"/>
  <c r="AE250" i="20"/>
  <c r="AP250" i="20"/>
  <c r="AU166" i="20"/>
  <c r="AO166" i="20"/>
  <c r="AM166" i="20"/>
  <c r="AQ166" i="20"/>
  <c r="AD166" i="20"/>
  <c r="V166" i="20"/>
  <c r="AL166" i="20"/>
  <c r="J166" i="20"/>
  <c r="N166" i="20"/>
  <c r="U166" i="20"/>
  <c r="AB166" i="20"/>
  <c r="G166" i="20"/>
  <c r="AV166" i="20"/>
  <c r="O166" i="20"/>
  <c r="Q166" i="20"/>
  <c r="AR166" i="20"/>
  <c r="AN166" i="20"/>
  <c r="S166" i="20"/>
  <c r="K166" i="20"/>
  <c r="AI166" i="20"/>
  <c r="P166" i="20"/>
  <c r="AA166" i="20"/>
  <c r="T166" i="20"/>
  <c r="AJ166" i="20"/>
  <c r="AH166" i="20"/>
  <c r="AS166" i="20"/>
  <c r="Z166" i="20"/>
  <c r="W166" i="20"/>
  <c r="R166" i="20"/>
  <c r="X166" i="20"/>
  <c r="AF166" i="20"/>
  <c r="AG166" i="20"/>
  <c r="AP166" i="20"/>
  <c r="AC166" i="20"/>
  <c r="B166" i="20"/>
  <c r="AE166" i="20"/>
  <c r="AT166" i="20"/>
  <c r="V241" i="20"/>
  <c r="N241" i="20"/>
  <c r="AB241" i="20"/>
  <c r="O241" i="20"/>
  <c r="J241" i="20"/>
  <c r="Q241" i="20"/>
  <c r="AO241" i="20"/>
  <c r="R241" i="20"/>
  <c r="AD241" i="20"/>
  <c r="AU241" i="20"/>
  <c r="AT241" i="20"/>
  <c r="U241" i="20"/>
  <c r="Z241" i="20"/>
  <c r="AG241" i="20"/>
  <c r="AF241" i="20"/>
  <c r="B241" i="20"/>
  <c r="AA241" i="20"/>
  <c r="W241" i="20"/>
  <c r="AM241" i="20"/>
  <c r="AE241" i="20"/>
  <c r="AS241" i="20"/>
  <c r="AQ241" i="20"/>
  <c r="X241" i="20"/>
  <c r="AL241" i="20"/>
  <c r="AP241" i="20"/>
  <c r="AN241" i="20"/>
  <c r="AJ241" i="20"/>
  <c r="AH241" i="20"/>
  <c r="P241" i="20"/>
  <c r="T241" i="20"/>
  <c r="AR241" i="20"/>
  <c r="AV241" i="20"/>
  <c r="K241" i="20"/>
  <c r="AC241" i="20"/>
  <c r="S241" i="20"/>
  <c r="AI241" i="20"/>
  <c r="AU197" i="20"/>
  <c r="AS197" i="20"/>
  <c r="AF197" i="20"/>
  <c r="AP197" i="20"/>
  <c r="AN197" i="20"/>
  <c r="P197" i="20"/>
  <c r="U197" i="20"/>
  <c r="S197" i="20"/>
  <c r="J197" i="20"/>
  <c r="T197" i="20"/>
  <c r="AI197" i="20"/>
  <c r="R197" i="20"/>
  <c r="AQ197" i="20"/>
  <c r="AO197" i="20"/>
  <c r="AV197" i="20"/>
  <c r="K197" i="20"/>
  <c r="B197" i="20"/>
  <c r="X197" i="20"/>
  <c r="AA197" i="20"/>
  <c r="AC197" i="20"/>
  <c r="O197" i="20"/>
  <c r="AG197" i="20"/>
  <c r="AB197" i="20"/>
  <c r="AR197" i="20"/>
  <c r="AD197" i="20"/>
  <c r="Z197" i="20"/>
  <c r="AL197" i="20"/>
  <c r="G197" i="20"/>
  <c r="N197" i="20"/>
  <c r="AT197" i="20"/>
  <c r="AH197" i="20"/>
  <c r="Q197" i="20"/>
  <c r="AM197" i="20"/>
  <c r="AJ197" i="20"/>
  <c r="V197" i="20"/>
  <c r="AE197" i="20"/>
  <c r="W197" i="20"/>
  <c r="AV65" i="20"/>
  <c r="B65" i="20"/>
  <c r="AU65" i="20"/>
  <c r="AQ65" i="20"/>
  <c r="R65" i="20"/>
  <c r="AJ65" i="20"/>
  <c r="J65" i="20"/>
  <c r="AC65" i="20"/>
  <c r="G65" i="20"/>
  <c r="AO65" i="20"/>
  <c r="V65" i="20"/>
  <c r="T65" i="20"/>
  <c r="AM65" i="20"/>
  <c r="AL65" i="20"/>
  <c r="P65" i="20"/>
  <c r="X65" i="20"/>
  <c r="AN65" i="20"/>
  <c r="AD65" i="20"/>
  <c r="AR65" i="20"/>
  <c r="AS65" i="20"/>
  <c r="U65" i="20"/>
  <c r="AB65" i="20"/>
  <c r="AT65" i="20"/>
  <c r="AG65" i="20"/>
  <c r="N65" i="20"/>
  <c r="Q65" i="20"/>
  <c r="W65" i="20"/>
  <c r="O65" i="20"/>
  <c r="AH65" i="20"/>
  <c r="Z65" i="20"/>
  <c r="AA65" i="20"/>
  <c r="AP65" i="20"/>
  <c r="AI65" i="20"/>
  <c r="AF65" i="20"/>
  <c r="S65" i="20"/>
  <c r="K65" i="20"/>
  <c r="AE65" i="20"/>
  <c r="R143" i="20"/>
  <c r="AV143" i="20"/>
  <c r="AC143" i="20"/>
  <c r="AD143" i="20"/>
  <c r="AQ143" i="20"/>
  <c r="AI143" i="20"/>
  <c r="AB143" i="20"/>
  <c r="T143" i="20"/>
  <c r="AF143" i="20"/>
  <c r="AT143" i="20"/>
  <c r="Z143" i="20"/>
  <c r="S143" i="20"/>
  <c r="AJ143" i="20"/>
  <c r="AM143" i="20"/>
  <c r="V143" i="20"/>
  <c r="B143" i="20"/>
  <c r="AH143" i="20"/>
  <c r="AL143" i="20"/>
  <c r="AR143" i="20"/>
  <c r="W143" i="20"/>
  <c r="AN143" i="20"/>
  <c r="K143" i="20"/>
  <c r="Q143" i="20"/>
  <c r="AS143" i="20"/>
  <c r="AG143" i="20"/>
  <c r="AO143" i="20"/>
  <c r="O143" i="20"/>
  <c r="U143" i="20"/>
  <c r="AE143" i="20"/>
  <c r="P143" i="20"/>
  <c r="AP143" i="20"/>
  <c r="N143" i="20"/>
  <c r="G143" i="20"/>
  <c r="AU143" i="20"/>
  <c r="J143" i="20"/>
  <c r="AA143" i="20"/>
  <c r="X143" i="20"/>
  <c r="AU66" i="20"/>
  <c r="P66" i="20"/>
  <c r="AH66" i="20"/>
  <c r="G66" i="20"/>
  <c r="W66" i="20"/>
  <c r="AB66" i="20"/>
  <c r="Z66" i="20"/>
  <c r="AD66" i="20"/>
  <c r="AC66" i="20"/>
  <c r="AJ66" i="20"/>
  <c r="AG66" i="20"/>
  <c r="K66" i="20"/>
  <c r="U66" i="20"/>
  <c r="AI66" i="20"/>
  <c r="X66" i="20"/>
  <c r="S66" i="20"/>
  <c r="AV66" i="20"/>
  <c r="AE66" i="20"/>
  <c r="Q66" i="20"/>
  <c r="AL66" i="20"/>
  <c r="B66" i="20"/>
  <c r="AF66" i="20"/>
  <c r="T66" i="20"/>
  <c r="AR66" i="20"/>
  <c r="AT66" i="20"/>
  <c r="R66" i="20"/>
  <c r="AS66" i="20"/>
  <c r="AQ66" i="20"/>
  <c r="V66" i="20"/>
  <c r="AP66" i="20"/>
  <c r="O66" i="20"/>
  <c r="N66" i="20"/>
  <c r="AM66" i="20"/>
  <c r="AA66" i="20"/>
  <c r="AO66" i="20"/>
  <c r="J66" i="20"/>
  <c r="AN66" i="20"/>
  <c r="AO35" i="20"/>
  <c r="AG35" i="20"/>
  <c r="AT35" i="20"/>
  <c r="X35" i="20"/>
  <c r="AC35" i="20"/>
  <c r="S35" i="20"/>
  <c r="AJ35" i="20"/>
  <c r="W35" i="20"/>
  <c r="G35" i="20"/>
  <c r="AS35" i="20"/>
  <c r="R35" i="20"/>
  <c r="P35" i="20"/>
  <c r="V35" i="20"/>
  <c r="AR35" i="20"/>
  <c r="Z35" i="20"/>
  <c r="J35" i="20"/>
  <c r="AN35" i="20"/>
  <c r="AI35" i="20"/>
  <c r="AL35" i="20"/>
  <c r="AQ35" i="20"/>
  <c r="AU35" i="20"/>
  <c r="AV35" i="20"/>
  <c r="AE35" i="20"/>
  <c r="AA35" i="20"/>
  <c r="N35" i="20"/>
  <c r="T35" i="20"/>
  <c r="U35" i="20"/>
  <c r="AD35" i="20"/>
  <c r="AH35" i="20"/>
  <c r="AM35" i="20"/>
  <c r="AF35" i="20"/>
  <c r="AP35" i="20"/>
  <c r="B35" i="20"/>
  <c r="Q35" i="20"/>
  <c r="O35" i="20"/>
  <c r="AB35" i="20"/>
  <c r="K35" i="20"/>
  <c r="P7" i="20"/>
  <c r="W7" i="20"/>
  <c r="AC7" i="20"/>
  <c r="AU7" i="20"/>
  <c r="AV7" i="20"/>
  <c r="N7" i="20"/>
  <c r="AR7" i="20"/>
  <c r="AT7" i="20"/>
  <c r="AQ7" i="20"/>
  <c r="O7" i="20"/>
  <c r="Z7" i="20"/>
  <c r="U7" i="20"/>
  <c r="B7" i="20"/>
  <c r="AS7" i="20"/>
  <c r="AA7" i="20"/>
  <c r="AE7" i="20"/>
  <c r="AO7" i="20"/>
  <c r="AG7" i="20"/>
  <c r="AD7" i="20"/>
  <c r="K7" i="20"/>
  <c r="AF7" i="20"/>
  <c r="AL7" i="20"/>
  <c r="S7" i="20"/>
  <c r="J7" i="20"/>
  <c r="AN7" i="20"/>
  <c r="AM7" i="20"/>
  <c r="X7" i="20"/>
  <c r="T7" i="20"/>
  <c r="AH7" i="20"/>
  <c r="G7" i="20"/>
  <c r="AJ7" i="20"/>
  <c r="R7" i="20"/>
  <c r="V7" i="20"/>
  <c r="AB7" i="20"/>
  <c r="AP7" i="20"/>
  <c r="Q7" i="20"/>
  <c r="AI7" i="20"/>
  <c r="H49" i="26"/>
  <c r="I49" i="26"/>
  <c r="E49" i="26" s="1"/>
  <c r="A173" i="39"/>
  <c r="F173" i="39" s="1"/>
  <c r="G18" i="39"/>
  <c r="E18" i="39"/>
  <c r="D18" i="39"/>
  <c r="H18" i="39" s="1"/>
  <c r="C18" i="39"/>
  <c r="A19" i="39"/>
  <c r="B18" i="39"/>
  <c r="F18" i="39"/>
  <c r="B114" i="1"/>
  <c r="U114" i="1"/>
  <c r="U37" i="29"/>
  <c r="B37" i="29"/>
  <c r="U140" i="29"/>
  <c r="B140" i="29"/>
  <c r="U45" i="1"/>
  <c r="B45" i="1"/>
  <c r="A199" i="26"/>
  <c r="L221" i="1"/>
  <c r="B92" i="31"/>
  <c r="U92" i="31"/>
  <c r="L16" i="6"/>
  <c r="U166" i="31"/>
  <c r="B166" i="31"/>
  <c r="AQ103" i="19"/>
  <c r="B111" i="26"/>
  <c r="B48" i="29"/>
  <c r="U48" i="29"/>
  <c r="B164" i="1"/>
  <c r="U164" i="1"/>
  <c r="B44" i="31"/>
  <c r="U44" i="31"/>
  <c r="B51" i="1"/>
  <c r="U51" i="1"/>
  <c r="U149" i="1"/>
  <c r="B149" i="1"/>
  <c r="U183" i="1"/>
  <c r="B183" i="1"/>
  <c r="U170" i="30"/>
  <c r="B170" i="30"/>
  <c r="B66" i="1"/>
  <c r="U66" i="1"/>
  <c r="U178" i="31"/>
  <c r="B178" i="31"/>
  <c r="B116" i="30"/>
  <c r="U116" i="30"/>
  <c r="AQ141" i="19"/>
  <c r="B149" i="26"/>
  <c r="U91" i="29"/>
  <c r="B91" i="29"/>
  <c r="U85" i="31"/>
  <c r="B85" i="31"/>
  <c r="U71" i="29"/>
  <c r="B71" i="29"/>
  <c r="U160" i="1"/>
  <c r="B160" i="1"/>
  <c r="F69" i="26"/>
  <c r="D69" i="26"/>
  <c r="A69" i="26" s="1"/>
  <c r="U35" i="30"/>
  <c r="B35" i="30"/>
  <c r="B138" i="31"/>
  <c r="U138" i="31"/>
  <c r="B86" i="1"/>
  <c r="U86" i="1"/>
  <c r="C18" i="6"/>
  <c r="A173" i="6"/>
  <c r="F173" i="6" s="1"/>
  <c r="G18" i="6"/>
  <c r="F18" i="6"/>
  <c r="A19" i="6"/>
  <c r="D18" i="6"/>
  <c r="H18" i="6" s="1"/>
  <c r="B18" i="6"/>
  <c r="E18" i="6"/>
  <c r="U163" i="29"/>
  <c r="B163" i="29"/>
  <c r="U75" i="29"/>
  <c r="B75" i="29"/>
  <c r="B104" i="30"/>
  <c r="U104" i="30"/>
  <c r="D89" i="26"/>
  <c r="A89" i="26" s="1"/>
  <c r="F89" i="26"/>
  <c r="D190" i="26"/>
  <c r="F190" i="26"/>
  <c r="B154" i="29"/>
  <c r="U154" i="29"/>
  <c r="U37" i="30"/>
  <c r="B37" i="30"/>
  <c r="AG56" i="20"/>
  <c r="T56" i="20"/>
  <c r="AU56" i="20"/>
  <c r="U56" i="20"/>
  <c r="AT56" i="20"/>
  <c r="AL56" i="20"/>
  <c r="AC56" i="20"/>
  <c r="AA56" i="20"/>
  <c r="AH56" i="20"/>
  <c r="AB56" i="20"/>
  <c r="X56" i="20"/>
  <c r="N56" i="20"/>
  <c r="J56" i="20"/>
  <c r="AD56" i="20"/>
  <c r="V56" i="20"/>
  <c r="Q56" i="20"/>
  <c r="AS56" i="20"/>
  <c r="AE56" i="20"/>
  <c r="AR56" i="20"/>
  <c r="B56" i="20"/>
  <c r="K56" i="20"/>
  <c r="AJ56" i="20"/>
  <c r="S56" i="20"/>
  <c r="AN56" i="20"/>
  <c r="G56" i="20"/>
  <c r="W56" i="20"/>
  <c r="R56" i="20"/>
  <c r="P56" i="20"/>
  <c r="AP56" i="20"/>
  <c r="AQ56" i="20"/>
  <c r="AF56" i="20"/>
  <c r="AM56" i="20"/>
  <c r="AO56" i="20"/>
  <c r="AI56" i="20"/>
  <c r="AV56" i="20"/>
  <c r="O56" i="20"/>
  <c r="Z56" i="20"/>
  <c r="AU219" i="20"/>
  <c r="K219" i="20"/>
  <c r="AM219" i="20"/>
  <c r="AB219" i="20"/>
  <c r="AF219" i="20"/>
  <c r="AE219" i="20"/>
  <c r="B219" i="20"/>
  <c r="AC219" i="20"/>
  <c r="J219" i="20"/>
  <c r="U219" i="20"/>
  <c r="Z219" i="20"/>
  <c r="AJ219" i="20"/>
  <c r="AL219" i="20"/>
  <c r="W219" i="20"/>
  <c r="AV219" i="20"/>
  <c r="AT219" i="20"/>
  <c r="Q219" i="20"/>
  <c r="AO219" i="20"/>
  <c r="AH219" i="20"/>
  <c r="AD219" i="20"/>
  <c r="AG219" i="20"/>
  <c r="AQ219" i="20"/>
  <c r="V219" i="20"/>
  <c r="S219" i="20"/>
  <c r="AR219" i="20"/>
  <c r="AN219" i="20"/>
  <c r="X219" i="20"/>
  <c r="P219" i="20"/>
  <c r="O219" i="20"/>
  <c r="T219" i="20"/>
  <c r="N219" i="20"/>
  <c r="AP219" i="20"/>
  <c r="R219" i="20"/>
  <c r="AS219" i="20"/>
  <c r="AI219" i="20"/>
  <c r="AA219" i="20"/>
  <c r="X40" i="20"/>
  <c r="AO40" i="20"/>
  <c r="AN40" i="20"/>
  <c r="Q40" i="20"/>
  <c r="B40" i="20"/>
  <c r="V40" i="20"/>
  <c r="U40" i="20"/>
  <c r="AT40" i="20"/>
  <c r="AD40" i="20"/>
  <c r="R40" i="20"/>
  <c r="AS40" i="20"/>
  <c r="T40" i="20"/>
  <c r="W40" i="20"/>
  <c r="AL40" i="20"/>
  <c r="AH40" i="20"/>
  <c r="AE40" i="20"/>
  <c r="AR40" i="20"/>
  <c r="AV40" i="20"/>
  <c r="AF40" i="20"/>
  <c r="AB40" i="20"/>
  <c r="AM40" i="20"/>
  <c r="AI40" i="20"/>
  <c r="AJ40" i="20"/>
  <c r="K40" i="20"/>
  <c r="Z40" i="20"/>
  <c r="P40" i="20"/>
  <c r="AA40" i="20"/>
  <c r="J40" i="20"/>
  <c r="AP40" i="20"/>
  <c r="AC40" i="20"/>
  <c r="N40" i="20"/>
  <c r="G40" i="20"/>
  <c r="AU40" i="20"/>
  <c r="O40" i="20"/>
  <c r="AG40" i="20"/>
  <c r="S40" i="20"/>
  <c r="AQ40" i="20"/>
  <c r="AA47" i="20"/>
  <c r="AN47" i="20"/>
  <c r="AO47" i="20"/>
  <c r="Q47" i="20"/>
  <c r="X47" i="20"/>
  <c r="S47" i="20"/>
  <c r="R47" i="20"/>
  <c r="W47" i="20"/>
  <c r="AD47" i="20"/>
  <c r="AF47" i="20"/>
  <c r="AB47" i="20"/>
  <c r="Z47" i="20"/>
  <c r="AC47" i="20"/>
  <c r="T47" i="20"/>
  <c r="AL47" i="20"/>
  <c r="AS47" i="20"/>
  <c r="P47" i="20"/>
  <c r="G47" i="20"/>
  <c r="AR47" i="20"/>
  <c r="AG47" i="20"/>
  <c r="V47" i="20"/>
  <c r="AQ47" i="20"/>
  <c r="AH47" i="20"/>
  <c r="U47" i="20"/>
  <c r="AI47" i="20"/>
  <c r="AJ47" i="20"/>
  <c r="N47" i="20"/>
  <c r="B47" i="20"/>
  <c r="AU47" i="20"/>
  <c r="K47" i="20"/>
  <c r="AE47" i="20"/>
  <c r="AV47" i="20"/>
  <c r="J47" i="20"/>
  <c r="O47" i="20"/>
  <c r="AP47" i="20"/>
  <c r="AT47" i="20"/>
  <c r="AM47" i="20"/>
  <c r="AJ59" i="20"/>
  <c r="AN59" i="20"/>
  <c r="AF59" i="20"/>
  <c r="AC59" i="20"/>
  <c r="AG59" i="20"/>
  <c r="S59" i="20"/>
  <c r="AH59" i="20"/>
  <c r="U59" i="20"/>
  <c r="Q59" i="20"/>
  <c r="R59" i="20"/>
  <c r="AQ59" i="20"/>
  <c r="AP59" i="20"/>
  <c r="AA59" i="20"/>
  <c r="G59" i="20"/>
  <c r="Z59" i="20"/>
  <c r="AT59" i="20"/>
  <c r="N59" i="20"/>
  <c r="AV59" i="20"/>
  <c r="AR59" i="20"/>
  <c r="T59" i="20"/>
  <c r="AO59" i="20"/>
  <c r="K59" i="20"/>
  <c r="AD59" i="20"/>
  <c r="J59" i="20"/>
  <c r="AI59" i="20"/>
  <c r="AB59" i="20"/>
  <c r="AL59" i="20"/>
  <c r="P59" i="20"/>
  <c r="B59" i="20"/>
  <c r="AE59" i="20"/>
  <c r="X59" i="20"/>
  <c r="AU59" i="20"/>
  <c r="V59" i="20"/>
  <c r="W59" i="20"/>
  <c r="AS59" i="20"/>
  <c r="O59" i="20"/>
  <c r="AM59" i="20"/>
  <c r="AF169" i="20"/>
  <c r="AH169" i="20"/>
  <c r="K169" i="20"/>
  <c r="Q169" i="20"/>
  <c r="AI169" i="20"/>
  <c r="AN169" i="20"/>
  <c r="AJ169" i="20"/>
  <c r="R169" i="20"/>
  <c r="AV169" i="20"/>
  <c r="G169" i="20"/>
  <c r="AP169" i="20"/>
  <c r="AC169" i="20"/>
  <c r="AM169" i="20"/>
  <c r="T169" i="20"/>
  <c r="X169" i="20"/>
  <c r="W169" i="20"/>
  <c r="AO169" i="20"/>
  <c r="Z169" i="20"/>
  <c r="AD169" i="20"/>
  <c r="AR169" i="20"/>
  <c r="P169" i="20"/>
  <c r="AS169" i="20"/>
  <c r="J169" i="20"/>
  <c r="AB169" i="20"/>
  <c r="AG169" i="20"/>
  <c r="B169" i="20"/>
  <c r="AU169" i="20"/>
  <c r="AE169" i="20"/>
  <c r="AA169" i="20"/>
  <c r="AQ169" i="20"/>
  <c r="O169" i="20"/>
  <c r="U169" i="20"/>
  <c r="S169" i="20"/>
  <c r="AL169" i="20"/>
  <c r="AT169" i="20"/>
  <c r="V169" i="20"/>
  <c r="N169" i="20"/>
  <c r="AI26" i="20"/>
  <c r="AJ26" i="20"/>
  <c r="AU26" i="20"/>
  <c r="G26" i="20"/>
  <c r="X26" i="20"/>
  <c r="AT26" i="20"/>
  <c r="V26" i="20"/>
  <c r="R26" i="20"/>
  <c r="P26" i="20"/>
  <c r="Z26" i="20"/>
  <c r="AQ26" i="20"/>
  <c r="AD26" i="20"/>
  <c r="AM26" i="20"/>
  <c r="AN26" i="20"/>
  <c r="O26" i="20"/>
  <c r="AO26" i="20"/>
  <c r="AB26" i="20"/>
  <c r="AP26" i="20"/>
  <c r="N26" i="20"/>
  <c r="AL26" i="20"/>
  <c r="AG26" i="20"/>
  <c r="Q26" i="20"/>
  <c r="AS26" i="20"/>
  <c r="AA26" i="20"/>
  <c r="AC26" i="20"/>
  <c r="AH26" i="20"/>
  <c r="S26" i="20"/>
  <c r="AF26" i="20"/>
  <c r="B26" i="20"/>
  <c r="AV26" i="20"/>
  <c r="T26" i="20"/>
  <c r="W26" i="20"/>
  <c r="J26" i="20"/>
  <c r="AE26" i="20"/>
  <c r="U26" i="20"/>
  <c r="AR26" i="20"/>
  <c r="K26" i="20"/>
  <c r="AU3" i="20"/>
  <c r="Z3" i="20"/>
  <c r="Q3" i="20"/>
  <c r="G3" i="20"/>
  <c r="K3" i="20"/>
  <c r="AP3" i="20"/>
  <c r="O3" i="20"/>
  <c r="AF3" i="20"/>
  <c r="S3" i="20"/>
  <c r="P3" i="20"/>
  <c r="V3" i="20"/>
  <c r="AQ3" i="20"/>
  <c r="AN3" i="20"/>
  <c r="AD3" i="20"/>
  <c r="AS3" i="20"/>
  <c r="W3" i="20"/>
  <c r="J3" i="20"/>
  <c r="R3" i="20"/>
  <c r="AT3" i="20"/>
  <c r="B3" i="20"/>
  <c r="AB3" i="20"/>
  <c r="AV3" i="20"/>
  <c r="N3" i="20"/>
  <c r="AM3" i="20"/>
  <c r="AO3" i="20"/>
  <c r="T3" i="20"/>
  <c r="AA3" i="20"/>
  <c r="AG3" i="20"/>
  <c r="AJ3" i="20"/>
  <c r="U3" i="20"/>
  <c r="AL3" i="20"/>
  <c r="AH3" i="20"/>
  <c r="AE3" i="20"/>
  <c r="AI3" i="20"/>
  <c r="AR3" i="20"/>
  <c r="AC3" i="20"/>
  <c r="X3" i="20"/>
  <c r="AN93" i="20"/>
  <c r="AR93" i="20"/>
  <c r="X93" i="20"/>
  <c r="Q93" i="20"/>
  <c r="AD93" i="20"/>
  <c r="J93" i="20"/>
  <c r="AO93" i="20"/>
  <c r="AU93" i="20"/>
  <c r="K93" i="20"/>
  <c r="AI93" i="20"/>
  <c r="AB93" i="20"/>
  <c r="V93" i="20"/>
  <c r="AG93" i="20"/>
  <c r="S93" i="20"/>
  <c r="T93" i="20"/>
  <c r="N93" i="20"/>
  <c r="AS93" i="20"/>
  <c r="AF93" i="20"/>
  <c r="AT93" i="20"/>
  <c r="U93" i="20"/>
  <c r="W93" i="20"/>
  <c r="AL93" i="20"/>
  <c r="G93" i="20"/>
  <c r="AH93" i="20"/>
  <c r="AM93" i="20"/>
  <c r="AA93" i="20"/>
  <c r="AV93" i="20"/>
  <c r="AP93" i="20"/>
  <c r="O93" i="20"/>
  <c r="B93" i="20"/>
  <c r="Z93" i="20"/>
  <c r="AC93" i="20"/>
  <c r="R93" i="20"/>
  <c r="P93" i="20"/>
  <c r="AE93" i="20"/>
  <c r="AQ93" i="20"/>
  <c r="AJ93" i="20"/>
  <c r="AA18" i="20"/>
  <c r="B18" i="20"/>
  <c r="AC18" i="20"/>
  <c r="U18" i="20"/>
  <c r="T18" i="20"/>
  <c r="AD18" i="20"/>
  <c r="Q18" i="20"/>
  <c r="AJ18" i="20"/>
  <c r="S18" i="20"/>
  <c r="J18" i="20"/>
  <c r="K18" i="20"/>
  <c r="AF18" i="20"/>
  <c r="Z18" i="20"/>
  <c r="AP18" i="20"/>
  <c r="W18" i="20"/>
  <c r="AQ18" i="20"/>
  <c r="AN18" i="20"/>
  <c r="AS18" i="20"/>
  <c r="AT18" i="20"/>
  <c r="AB18" i="20"/>
  <c r="AL18" i="20"/>
  <c r="AG18" i="20"/>
  <c r="V18" i="20"/>
  <c r="AH18" i="20"/>
  <c r="AM18" i="20"/>
  <c r="G18" i="20"/>
  <c r="AU18" i="20"/>
  <c r="AE18" i="20"/>
  <c r="AI18" i="20"/>
  <c r="R18" i="20"/>
  <c r="N18" i="20"/>
  <c r="P18" i="20"/>
  <c r="X18" i="20"/>
  <c r="AV18" i="20"/>
  <c r="AO18" i="20"/>
  <c r="AR18" i="20"/>
  <c r="O18" i="20"/>
  <c r="R138" i="20"/>
  <c r="J138" i="20"/>
  <c r="AM138" i="20"/>
  <c r="AU138" i="20"/>
  <c r="S138" i="20"/>
  <c r="X138" i="20"/>
  <c r="Q138" i="20"/>
  <c r="AR138" i="20"/>
  <c r="AP138" i="20"/>
  <c r="AT138" i="20"/>
  <c r="AQ138" i="20"/>
  <c r="T138" i="20"/>
  <c r="AI138" i="20"/>
  <c r="AH138" i="20"/>
  <c r="AF138" i="20"/>
  <c r="AV138" i="20"/>
  <c r="V138" i="20"/>
  <c r="AN138" i="20"/>
  <c r="AC138" i="20"/>
  <c r="P138" i="20"/>
  <c r="AS138" i="20"/>
  <c r="AJ138" i="20"/>
  <c r="O138" i="20"/>
  <c r="K138" i="20"/>
  <c r="B138" i="20"/>
  <c r="AD138" i="20"/>
  <c r="AB138" i="20"/>
  <c r="AO138" i="20"/>
  <c r="AL138" i="20"/>
  <c r="G138" i="20"/>
  <c r="W138" i="20"/>
  <c r="AA138" i="20"/>
  <c r="Z138" i="20"/>
  <c r="N138" i="20"/>
  <c r="U138" i="20"/>
  <c r="AE138" i="20"/>
  <c r="AG138" i="20"/>
  <c r="AI53" i="20"/>
  <c r="AF53" i="20"/>
  <c r="AS53" i="20"/>
  <c r="W53" i="20"/>
  <c r="J53" i="20"/>
  <c r="AU53" i="20"/>
  <c r="K53" i="20"/>
  <c r="AH53" i="20"/>
  <c r="AA53" i="20"/>
  <c r="AO53" i="20"/>
  <c r="O53" i="20"/>
  <c r="AL53" i="20"/>
  <c r="R53" i="20"/>
  <c r="N53" i="20"/>
  <c r="AC53" i="20"/>
  <c r="V53" i="20"/>
  <c r="Q53" i="20"/>
  <c r="T53" i="20"/>
  <c r="S53" i="20"/>
  <c r="G53" i="20"/>
  <c r="AV53" i="20"/>
  <c r="AP53" i="20"/>
  <c r="Z53" i="20"/>
  <c r="AE53" i="20"/>
  <c r="AN53" i="20"/>
  <c r="AT53" i="20"/>
  <c r="AB53" i="20"/>
  <c r="AJ53" i="20"/>
  <c r="AD53" i="20"/>
  <c r="AG53" i="20"/>
  <c r="AM53" i="20"/>
  <c r="B53" i="20"/>
  <c r="X53" i="20"/>
  <c r="AR53" i="20"/>
  <c r="U53" i="20"/>
  <c r="AQ53" i="20"/>
  <c r="P53" i="20"/>
  <c r="AN126" i="20"/>
  <c r="W126" i="20"/>
  <c r="U126" i="20"/>
  <c r="AI126" i="20"/>
  <c r="AQ126" i="20"/>
  <c r="R126" i="20"/>
  <c r="AU126" i="20"/>
  <c r="T126" i="20"/>
  <c r="O126" i="20"/>
  <c r="X126" i="20"/>
  <c r="AF126" i="20"/>
  <c r="AL126" i="20"/>
  <c r="AA126" i="20"/>
  <c r="N126" i="20"/>
  <c r="AV126" i="20"/>
  <c r="AP126" i="20"/>
  <c r="AS126" i="20"/>
  <c r="S126" i="20"/>
  <c r="Z126" i="20"/>
  <c r="AC126" i="20"/>
  <c r="K126" i="20"/>
  <c r="V126" i="20"/>
  <c r="G126" i="20"/>
  <c r="Q126" i="20"/>
  <c r="AE126" i="20"/>
  <c r="AJ126" i="20"/>
  <c r="AR126" i="20"/>
  <c r="J126" i="20"/>
  <c r="AO126" i="20"/>
  <c r="AB126" i="20"/>
  <c r="AM126" i="20"/>
  <c r="B126" i="20"/>
  <c r="AT126" i="20"/>
  <c r="AD126" i="20"/>
  <c r="AG126" i="20"/>
  <c r="AH126" i="20"/>
  <c r="P126" i="20"/>
  <c r="U140" i="1"/>
  <c r="B140" i="1"/>
  <c r="O17" i="39"/>
  <c r="M17" i="39" s="1"/>
  <c r="B174" i="1"/>
  <c r="U174" i="1"/>
  <c r="U152" i="1"/>
  <c r="B152" i="1"/>
  <c r="U170" i="31"/>
  <c r="B170" i="31"/>
  <c r="U107" i="29"/>
  <c r="B107" i="29"/>
  <c r="B118" i="29"/>
  <c r="U118" i="29"/>
  <c r="B41" i="1"/>
  <c r="U41" i="1"/>
  <c r="U130" i="1"/>
  <c r="B130" i="1"/>
  <c r="D111" i="26"/>
  <c r="F111" i="26"/>
  <c r="U100" i="29"/>
  <c r="B100" i="29"/>
  <c r="U135" i="30"/>
  <c r="B135" i="30"/>
  <c r="B96" i="29"/>
  <c r="U96" i="29"/>
  <c r="U64" i="30"/>
  <c r="B64" i="30"/>
  <c r="B130" i="31"/>
  <c r="U130" i="31"/>
  <c r="B87" i="31"/>
  <c r="U87" i="31"/>
  <c r="U131" i="29"/>
  <c r="B131" i="29"/>
  <c r="U93" i="1"/>
  <c r="B93" i="1"/>
  <c r="B157" i="29"/>
  <c r="U157" i="29"/>
  <c r="B65" i="30"/>
  <c r="U65" i="30"/>
  <c r="U38" i="31"/>
  <c r="B38" i="31"/>
  <c r="U86" i="31"/>
  <c r="B86" i="31"/>
  <c r="B172" i="31"/>
  <c r="U172" i="31"/>
  <c r="B131" i="31"/>
  <c r="U131" i="31"/>
  <c r="B177" i="1"/>
  <c r="U177" i="1"/>
  <c r="D186" i="26"/>
  <c r="F186" i="26"/>
  <c r="B104" i="1"/>
  <c r="U104" i="1"/>
  <c r="U120" i="1"/>
  <c r="B120" i="1"/>
  <c r="U144" i="30"/>
  <c r="B144" i="30"/>
  <c r="B34" i="29"/>
  <c r="U34" i="29"/>
  <c r="B133" i="31"/>
  <c r="U133" i="31"/>
  <c r="AQ162" i="19"/>
  <c r="B170" i="26"/>
  <c r="B148" i="31"/>
  <c r="U148" i="31"/>
  <c r="B190" i="26"/>
  <c r="AQ182" i="19"/>
  <c r="B165" i="1"/>
  <c r="U165" i="1"/>
  <c r="B167" i="31"/>
  <c r="U167" i="31"/>
  <c r="B132" i="1"/>
  <c r="U132" i="1"/>
  <c r="U97" i="1"/>
  <c r="B97" i="1"/>
  <c r="AO161" i="20"/>
  <c r="R161" i="20"/>
  <c r="V161" i="20"/>
  <c r="AR161" i="20"/>
  <c r="AM161" i="20"/>
  <c r="G161" i="20"/>
  <c r="AJ161" i="20"/>
  <c r="AP161" i="20"/>
  <c r="X161" i="20"/>
  <c r="O161" i="20"/>
  <c r="S161" i="20"/>
  <c r="W161" i="20"/>
  <c r="AD161" i="20"/>
  <c r="AV161" i="20"/>
  <c r="AT161" i="20"/>
  <c r="AS161" i="20"/>
  <c r="AL161" i="20"/>
  <c r="Z161" i="20"/>
  <c r="AG161" i="20"/>
  <c r="B161" i="20"/>
  <c r="AQ161" i="20"/>
  <c r="AC161" i="20"/>
  <c r="AU161" i="20"/>
  <c r="U161" i="20"/>
  <c r="J161" i="20"/>
  <c r="P161" i="20"/>
  <c r="AI161" i="20"/>
  <c r="Q161" i="20"/>
  <c r="AA161" i="20"/>
  <c r="T161" i="20"/>
  <c r="N161" i="20"/>
  <c r="K161" i="20"/>
  <c r="AF161" i="20"/>
  <c r="AH161" i="20"/>
  <c r="AE161" i="20"/>
  <c r="AB161" i="20"/>
  <c r="AN161" i="20"/>
  <c r="P203" i="20"/>
  <c r="U203" i="20"/>
  <c r="AJ203" i="20"/>
  <c r="AV203" i="20"/>
  <c r="AN203" i="20"/>
  <c r="AR203" i="20"/>
  <c r="V203" i="20"/>
  <c r="Q203" i="20"/>
  <c r="AC203" i="20"/>
  <c r="AP203" i="20"/>
  <c r="T203" i="20"/>
  <c r="AQ203" i="20"/>
  <c r="AE203" i="20"/>
  <c r="AU203" i="20"/>
  <c r="AI203" i="20"/>
  <c r="AG203" i="20"/>
  <c r="AT203" i="20"/>
  <c r="AO203" i="20"/>
  <c r="S203" i="20"/>
  <c r="K203" i="20"/>
  <c r="W203" i="20"/>
  <c r="AL203" i="20"/>
  <c r="N203" i="20"/>
  <c r="AM203" i="20"/>
  <c r="Z203" i="20"/>
  <c r="AB203" i="20"/>
  <c r="AS203" i="20"/>
  <c r="B203" i="20"/>
  <c r="R203" i="20"/>
  <c r="O203" i="20"/>
  <c r="X203" i="20"/>
  <c r="AA203" i="20"/>
  <c r="AH203" i="20"/>
  <c r="AF203" i="20"/>
  <c r="J203" i="20"/>
  <c r="AD203" i="20"/>
  <c r="B132" i="20"/>
  <c r="AO132" i="20"/>
  <c r="N132" i="20"/>
  <c r="Z132" i="20"/>
  <c r="V132" i="20"/>
  <c r="AS132" i="20"/>
  <c r="T132" i="20"/>
  <c r="S132" i="20"/>
  <c r="AF132" i="20"/>
  <c r="AP132" i="20"/>
  <c r="AR132" i="20"/>
  <c r="AU132" i="20"/>
  <c r="AI132" i="20"/>
  <c r="AH132" i="20"/>
  <c r="AJ132" i="20"/>
  <c r="Q132" i="20"/>
  <c r="U132" i="20"/>
  <c r="AE132" i="20"/>
  <c r="AQ132" i="20"/>
  <c r="AC132" i="20"/>
  <c r="P132" i="20"/>
  <c r="AM132" i="20"/>
  <c r="AD132" i="20"/>
  <c r="R132" i="20"/>
  <c r="AA132" i="20"/>
  <c r="AL132" i="20"/>
  <c r="K132" i="20"/>
  <c r="W132" i="20"/>
  <c r="O132" i="20"/>
  <c r="AN132" i="20"/>
  <c r="AT132" i="20"/>
  <c r="AV132" i="20"/>
  <c r="AG132" i="20"/>
  <c r="J132" i="20"/>
  <c r="AB132" i="20"/>
  <c r="G132" i="20"/>
  <c r="X132" i="20"/>
  <c r="AB82" i="20"/>
  <c r="W82" i="20"/>
  <c r="V82" i="20"/>
  <c r="AD82" i="20"/>
  <c r="AV82" i="20"/>
  <c r="AM82" i="20"/>
  <c r="AO82" i="20"/>
  <c r="P82" i="20"/>
  <c r="J82" i="20"/>
  <c r="AP82" i="20"/>
  <c r="G82" i="20"/>
  <c r="Q82" i="20"/>
  <c r="AQ82" i="20"/>
  <c r="AI82" i="20"/>
  <c r="AS82" i="20"/>
  <c r="AJ82" i="20"/>
  <c r="AG82" i="20"/>
  <c r="N82" i="20"/>
  <c r="AA82" i="20"/>
  <c r="X82" i="20"/>
  <c r="K82" i="20"/>
  <c r="AR82" i="20"/>
  <c r="AU82" i="20"/>
  <c r="Z82" i="20"/>
  <c r="T82" i="20"/>
  <c r="AL82" i="20"/>
  <c r="B82" i="20"/>
  <c r="AN82" i="20"/>
  <c r="AF82" i="20"/>
  <c r="AT82" i="20"/>
  <c r="U82" i="20"/>
  <c r="R82" i="20"/>
  <c r="AE82" i="20"/>
  <c r="AH82" i="20"/>
  <c r="O82" i="20"/>
  <c r="AC82" i="20"/>
  <c r="S82" i="20"/>
  <c r="O112" i="20"/>
  <c r="AR112" i="20"/>
  <c r="AM112" i="20"/>
  <c r="AS112" i="20"/>
  <c r="AD112" i="20"/>
  <c r="AG112" i="20"/>
  <c r="AP112" i="20"/>
  <c r="S112" i="20"/>
  <c r="AA112" i="20"/>
  <c r="J112" i="20"/>
  <c r="Z112" i="20"/>
  <c r="Q112" i="20"/>
  <c r="N112" i="20"/>
  <c r="AC112" i="20"/>
  <c r="AL112" i="20"/>
  <c r="X112" i="20"/>
  <c r="AB112" i="20"/>
  <c r="AH112" i="20"/>
  <c r="AU112" i="20"/>
  <c r="P112" i="20"/>
  <c r="AF112" i="20"/>
  <c r="AT112" i="20"/>
  <c r="U112" i="20"/>
  <c r="AI112" i="20"/>
  <c r="AJ112" i="20"/>
  <c r="AV112" i="20"/>
  <c r="K112" i="20"/>
  <c r="W112" i="20"/>
  <c r="T112" i="20"/>
  <c r="AQ112" i="20"/>
  <c r="AO112" i="20"/>
  <c r="AE112" i="20"/>
  <c r="V112" i="20"/>
  <c r="G112" i="20"/>
  <c r="B112" i="20"/>
  <c r="R112" i="20"/>
  <c r="AN112" i="20"/>
  <c r="B228" i="20"/>
  <c r="AQ228" i="20"/>
  <c r="P228" i="20"/>
  <c r="U228" i="20"/>
  <c r="V228" i="20"/>
  <c r="R228" i="20"/>
  <c r="AL228" i="20"/>
  <c r="N228" i="20"/>
  <c r="Z228" i="20"/>
  <c r="J228" i="20"/>
  <c r="AF228" i="20"/>
  <c r="AE228" i="20"/>
  <c r="AA228" i="20"/>
  <c r="AD228" i="20"/>
  <c r="AT228" i="20"/>
  <c r="W228" i="20"/>
  <c r="K228" i="20"/>
  <c r="T228" i="20"/>
  <c r="AR228" i="20"/>
  <c r="X228" i="20"/>
  <c r="AN228" i="20"/>
  <c r="AH228" i="20"/>
  <c r="Q228" i="20"/>
  <c r="O228" i="20"/>
  <c r="AV228" i="20"/>
  <c r="AM228" i="20"/>
  <c r="AC228" i="20"/>
  <c r="AJ228" i="20"/>
  <c r="AB228" i="20"/>
  <c r="AO228" i="20"/>
  <c r="S228" i="20"/>
  <c r="AS228" i="20"/>
  <c r="AG228" i="20"/>
  <c r="AU228" i="20"/>
  <c r="AP228" i="20"/>
  <c r="AI228" i="20"/>
  <c r="AD135" i="20"/>
  <c r="G135" i="20"/>
  <c r="AG135" i="20"/>
  <c r="AR135" i="20"/>
  <c r="K135" i="20"/>
  <c r="N135" i="20"/>
  <c r="AO135" i="20"/>
  <c r="R135" i="20"/>
  <c r="AI135" i="20"/>
  <c r="T135" i="20"/>
  <c r="V135" i="20"/>
  <c r="O135" i="20"/>
  <c r="AS135" i="20"/>
  <c r="Q135" i="20"/>
  <c r="AN135" i="20"/>
  <c r="AE135" i="20"/>
  <c r="AB135" i="20"/>
  <c r="Z135" i="20"/>
  <c r="AA135" i="20"/>
  <c r="AC135" i="20"/>
  <c r="AH135" i="20"/>
  <c r="AT135" i="20"/>
  <c r="AU135" i="20"/>
  <c r="AF135" i="20"/>
  <c r="AV135" i="20"/>
  <c r="P135" i="20"/>
  <c r="S135" i="20"/>
  <c r="J135" i="20"/>
  <c r="AL135" i="20"/>
  <c r="AQ135" i="20"/>
  <c r="AM135" i="20"/>
  <c r="B135" i="20"/>
  <c r="W135" i="20"/>
  <c r="AP135" i="20"/>
  <c r="U135" i="20"/>
  <c r="X135" i="20"/>
  <c r="AJ135" i="20"/>
  <c r="Q21" i="20"/>
  <c r="J21" i="20"/>
  <c r="G21" i="20"/>
  <c r="K21" i="20"/>
  <c r="AR21" i="20"/>
  <c r="AD21" i="20"/>
  <c r="V21" i="20"/>
  <c r="R21" i="20"/>
  <c r="N21" i="20"/>
  <c r="AO21" i="20"/>
  <c r="AE21" i="20"/>
  <c r="S21" i="20"/>
  <c r="AL21" i="20"/>
  <c r="X21" i="20"/>
  <c r="Z21" i="20"/>
  <c r="AA21" i="20"/>
  <c r="AP21" i="20"/>
  <c r="AG21" i="20"/>
  <c r="AF21" i="20"/>
  <c r="AM21" i="20"/>
  <c r="AN21" i="20"/>
  <c r="AV21" i="20"/>
  <c r="T21" i="20"/>
  <c r="B21" i="20"/>
  <c r="W21" i="20"/>
  <c r="P21" i="20"/>
  <c r="U21" i="20"/>
  <c r="AJ21" i="20"/>
  <c r="AB21" i="20"/>
  <c r="O21" i="20"/>
  <c r="AH21" i="20"/>
  <c r="AC21" i="20"/>
  <c r="AQ21" i="20"/>
  <c r="AT21" i="20"/>
  <c r="AS21" i="20"/>
  <c r="AU21" i="20"/>
  <c r="AI21" i="20"/>
  <c r="AG104" i="20"/>
  <c r="AU104" i="20"/>
  <c r="AT104" i="20"/>
  <c r="R104" i="20"/>
  <c r="O104" i="20"/>
  <c r="N104" i="20"/>
  <c r="X104" i="20"/>
  <c r="AE104" i="20"/>
  <c r="K104" i="20"/>
  <c r="B104" i="20"/>
  <c r="AL104" i="20"/>
  <c r="AS104" i="20"/>
  <c r="AB104" i="20"/>
  <c r="T104" i="20"/>
  <c r="AC104" i="20"/>
  <c r="P104" i="20"/>
  <c r="AP104" i="20"/>
  <c r="AM104" i="20"/>
  <c r="Z104" i="20"/>
  <c r="Q104" i="20"/>
  <c r="AO104" i="20"/>
  <c r="AA104" i="20"/>
  <c r="AN104" i="20"/>
  <c r="G104" i="20"/>
  <c r="S104" i="20"/>
  <c r="AR104" i="20"/>
  <c r="J104" i="20"/>
  <c r="AI104" i="20"/>
  <c r="AD104" i="20"/>
  <c r="AF104" i="20"/>
  <c r="AH104" i="20"/>
  <c r="V104" i="20"/>
  <c r="AJ104" i="20"/>
  <c r="AV104" i="20"/>
  <c r="AQ104" i="20"/>
  <c r="W104" i="20"/>
  <c r="U104" i="20"/>
  <c r="AD223" i="20"/>
  <c r="AA223" i="20"/>
  <c r="P223" i="20"/>
  <c r="S223" i="20"/>
  <c r="AC223" i="20"/>
  <c r="AO223" i="20"/>
  <c r="X223" i="20"/>
  <c r="O223" i="20"/>
  <c r="AN223" i="20"/>
  <c r="V223" i="20"/>
  <c r="AB223" i="20"/>
  <c r="AE223" i="20"/>
  <c r="AS223" i="20"/>
  <c r="R223" i="20"/>
  <c r="AJ223" i="20"/>
  <c r="K223" i="20"/>
  <c r="U223" i="20"/>
  <c r="B223" i="20"/>
  <c r="AG223" i="20"/>
  <c r="AQ223" i="20"/>
  <c r="AP223" i="20"/>
  <c r="Z223" i="20"/>
  <c r="Q223" i="20"/>
  <c r="AH223" i="20"/>
  <c r="N223" i="20"/>
  <c r="W223" i="20"/>
  <c r="AI223" i="20"/>
  <c r="AV223" i="20"/>
  <c r="J223" i="20"/>
  <c r="T223" i="20"/>
  <c r="AL223" i="20"/>
  <c r="AM223" i="20"/>
  <c r="AF223" i="20"/>
  <c r="AT223" i="20"/>
  <c r="AR223" i="20"/>
  <c r="AU223" i="20"/>
  <c r="B79" i="20"/>
  <c r="AG79" i="20"/>
  <c r="AA79" i="20"/>
  <c r="AN79" i="20"/>
  <c r="R79" i="20"/>
  <c r="T79" i="20"/>
  <c r="AI79" i="20"/>
  <c r="AE79" i="20"/>
  <c r="AM79" i="20"/>
  <c r="X79" i="20"/>
  <c r="Q79" i="20"/>
  <c r="S79" i="20"/>
  <c r="N79" i="20"/>
  <c r="AH79" i="20"/>
  <c r="AS79" i="20"/>
  <c r="AT79" i="20"/>
  <c r="AU79" i="20"/>
  <c r="AV79" i="20"/>
  <c r="U79" i="20"/>
  <c r="P79" i="20"/>
  <c r="AJ79" i="20"/>
  <c r="AQ79" i="20"/>
  <c r="G79" i="20"/>
  <c r="AD79" i="20"/>
  <c r="AR79" i="20"/>
  <c r="AC79" i="20"/>
  <c r="K79" i="20"/>
  <c r="AP79" i="20"/>
  <c r="O79" i="20"/>
  <c r="AB79" i="20"/>
  <c r="W79" i="20"/>
  <c r="Z79" i="20"/>
  <c r="AO79" i="20"/>
  <c r="AL79" i="20"/>
  <c r="V79" i="20"/>
  <c r="AF79" i="20"/>
  <c r="J79" i="20"/>
  <c r="Q204" i="20"/>
  <c r="AS204" i="20"/>
  <c r="T204" i="20"/>
  <c r="Z204" i="20"/>
  <c r="AH204" i="20"/>
  <c r="X204" i="20"/>
  <c r="B204" i="20"/>
  <c r="AE204" i="20"/>
  <c r="N204" i="20"/>
  <c r="P204" i="20"/>
  <c r="AT204" i="20"/>
  <c r="AJ204" i="20"/>
  <c r="AO204" i="20"/>
  <c r="AA204" i="20"/>
  <c r="AD204" i="20"/>
  <c r="AG204" i="20"/>
  <c r="K204" i="20"/>
  <c r="AM204" i="20"/>
  <c r="AU204" i="20"/>
  <c r="V204" i="20"/>
  <c r="O204" i="20"/>
  <c r="AC204" i="20"/>
  <c r="S204" i="20"/>
  <c r="U204" i="20"/>
  <c r="AN204" i="20"/>
  <c r="AL204" i="20"/>
  <c r="AB204" i="20"/>
  <c r="AR204" i="20"/>
  <c r="AQ204" i="20"/>
  <c r="AV204" i="20"/>
  <c r="AP204" i="20"/>
  <c r="W204" i="20"/>
  <c r="AI204" i="20"/>
  <c r="J204" i="20"/>
  <c r="R204" i="20"/>
  <c r="AF204" i="20"/>
  <c r="AU61" i="20"/>
  <c r="AF61" i="20"/>
  <c r="AH61" i="20"/>
  <c r="AE61" i="20"/>
  <c r="AP61" i="20"/>
  <c r="S61" i="20"/>
  <c r="J61" i="20"/>
  <c r="AA61" i="20"/>
  <c r="AO61" i="20"/>
  <c r="G61" i="20"/>
  <c r="AI61" i="20"/>
  <c r="O61" i="20"/>
  <c r="Z61" i="20"/>
  <c r="AT61" i="20"/>
  <c r="AL61" i="20"/>
  <c r="AG61" i="20"/>
  <c r="B61" i="20"/>
  <c r="P61" i="20"/>
  <c r="K61" i="20"/>
  <c r="N61" i="20"/>
  <c r="AB61" i="20"/>
  <c r="X61" i="20"/>
  <c r="AQ61" i="20"/>
  <c r="R61" i="20"/>
  <c r="T61" i="20"/>
  <c r="W61" i="20"/>
  <c r="Q61" i="20"/>
  <c r="AR61" i="20"/>
  <c r="AS61" i="20"/>
  <c r="AM61" i="20"/>
  <c r="AV61" i="20"/>
  <c r="V61" i="20"/>
  <c r="U61" i="20"/>
  <c r="AC61" i="20"/>
  <c r="AJ61" i="20"/>
  <c r="AN61" i="20"/>
  <c r="AD61" i="20"/>
  <c r="B173" i="1"/>
  <c r="U173" i="1"/>
  <c r="B165" i="30"/>
  <c r="U165" i="30"/>
  <c r="U40" i="1"/>
  <c r="B40" i="1"/>
  <c r="B141" i="31"/>
  <c r="U141" i="31"/>
  <c r="B103" i="29"/>
  <c r="U103" i="29"/>
  <c r="U154" i="30"/>
  <c r="B154" i="30"/>
  <c r="B139" i="1"/>
  <c r="U139" i="1"/>
  <c r="U134" i="30"/>
  <c r="B134" i="30"/>
  <c r="B158" i="1"/>
  <c r="U158" i="1"/>
  <c r="B39" i="31"/>
  <c r="U39" i="31"/>
  <c r="B127" i="30"/>
  <c r="U127" i="30"/>
  <c r="B106" i="31"/>
  <c r="U106" i="31"/>
  <c r="I110" i="26"/>
  <c r="E110" i="26" s="1"/>
  <c r="H110" i="26"/>
  <c r="B139" i="29"/>
  <c r="U139" i="29"/>
  <c r="B52" i="30"/>
  <c r="U52" i="30"/>
  <c r="I168" i="26"/>
  <c r="E168" i="26" s="1"/>
  <c r="H168" i="26"/>
  <c r="U179" i="30"/>
  <c r="B179" i="30"/>
  <c r="U128" i="29"/>
  <c r="B128" i="29"/>
  <c r="B119" i="1"/>
  <c r="U119" i="1"/>
  <c r="B175" i="1"/>
  <c r="U175" i="1"/>
  <c r="I238" i="26"/>
  <c r="E238" i="26" s="1"/>
  <c r="L260" i="1"/>
  <c r="B118" i="1"/>
  <c r="U118" i="1"/>
  <c r="B152" i="31"/>
  <c r="U152" i="31"/>
  <c r="U141" i="29"/>
  <c r="B141" i="29"/>
  <c r="U93" i="29"/>
  <c r="B93" i="29"/>
  <c r="B124" i="30"/>
  <c r="U124" i="30"/>
  <c r="B41" i="30"/>
  <c r="U41" i="30"/>
  <c r="B45" i="30"/>
  <c r="U45" i="30"/>
  <c r="B161" i="1"/>
  <c r="U161" i="1"/>
  <c r="B144" i="1"/>
  <c r="U144" i="1"/>
  <c r="U113" i="31"/>
  <c r="B113" i="31"/>
  <c r="B112" i="31"/>
  <c r="U112" i="31"/>
  <c r="I272" i="26"/>
  <c r="E272" i="26" s="1"/>
  <c r="L294" i="1"/>
  <c r="Q139" i="20"/>
  <c r="B139" i="20"/>
  <c r="W139" i="20"/>
  <c r="AI139" i="20"/>
  <c r="R139" i="20"/>
  <c r="J139" i="20"/>
  <c r="AH139" i="20"/>
  <c r="V139" i="20"/>
  <c r="T139" i="20"/>
  <c r="AS139" i="20"/>
  <c r="AL139" i="20"/>
  <c r="AU139" i="20"/>
  <c r="U139" i="20"/>
  <c r="AM139" i="20"/>
  <c r="X139" i="20"/>
  <c r="AG139" i="20"/>
  <c r="S139" i="20"/>
  <c r="G139" i="20"/>
  <c r="AC139" i="20"/>
  <c r="AQ139" i="20"/>
  <c r="AF139" i="20"/>
  <c r="AE139" i="20"/>
  <c r="AR139" i="20"/>
  <c r="AB139" i="20"/>
  <c r="AO139" i="20"/>
  <c r="P139" i="20"/>
  <c r="AN139" i="20"/>
  <c r="O139" i="20"/>
  <c r="AJ139" i="20"/>
  <c r="Z139" i="20"/>
  <c r="AD139" i="20"/>
  <c r="AT139" i="20"/>
  <c r="AV139" i="20"/>
  <c r="AA139" i="20"/>
  <c r="K139" i="20"/>
  <c r="AP139" i="20"/>
  <c r="N139" i="20"/>
  <c r="N92" i="20"/>
  <c r="AF92" i="20"/>
  <c r="B92" i="20"/>
  <c r="AJ92" i="20"/>
  <c r="AQ92" i="20"/>
  <c r="AU92" i="20"/>
  <c r="AM92" i="20"/>
  <c r="T92" i="20"/>
  <c r="V92" i="20"/>
  <c r="AN92" i="20"/>
  <c r="K92" i="20"/>
  <c r="Q92" i="20"/>
  <c r="AH92" i="20"/>
  <c r="AC92" i="20"/>
  <c r="S92" i="20"/>
  <c r="U92" i="20"/>
  <c r="W92" i="20"/>
  <c r="AB92" i="20"/>
  <c r="AS92" i="20"/>
  <c r="AV92" i="20"/>
  <c r="X92" i="20"/>
  <c r="AR92" i="20"/>
  <c r="AE92" i="20"/>
  <c r="AO92" i="20"/>
  <c r="AA92" i="20"/>
  <c r="AI92" i="20"/>
  <c r="AL92" i="20"/>
  <c r="O92" i="20"/>
  <c r="G92" i="20"/>
  <c r="AD92" i="20"/>
  <c r="J92" i="20"/>
  <c r="R92" i="20"/>
  <c r="AP92" i="20"/>
  <c r="P92" i="20"/>
  <c r="Z92" i="20"/>
  <c r="AG92" i="20"/>
  <c r="AT92" i="20"/>
  <c r="AJ163" i="20"/>
  <c r="AV163" i="20"/>
  <c r="N163" i="20"/>
  <c r="AC163" i="20"/>
  <c r="Z163" i="20"/>
  <c r="AA163" i="20"/>
  <c r="U163" i="20"/>
  <c r="AG163" i="20"/>
  <c r="AN163" i="20"/>
  <c r="AU163" i="20"/>
  <c r="AB163" i="20"/>
  <c r="AM163" i="20"/>
  <c r="AI163" i="20"/>
  <c r="AL163" i="20"/>
  <c r="B163" i="20"/>
  <c r="O163" i="20"/>
  <c r="W163" i="20"/>
  <c r="AH163" i="20"/>
  <c r="AO163" i="20"/>
  <c r="T163" i="20"/>
  <c r="AP163" i="20"/>
  <c r="AQ163" i="20"/>
  <c r="AE163" i="20"/>
  <c r="J163" i="20"/>
  <c r="Q163" i="20"/>
  <c r="V163" i="20"/>
  <c r="S163" i="20"/>
  <c r="AF163" i="20"/>
  <c r="X163" i="20"/>
  <c r="AR163" i="20"/>
  <c r="AT163" i="20"/>
  <c r="R163" i="20"/>
  <c r="AD163" i="20"/>
  <c r="P163" i="20"/>
  <c r="K163" i="20"/>
  <c r="AS163" i="20"/>
  <c r="G163" i="20"/>
  <c r="AQ232" i="20"/>
  <c r="O232" i="20"/>
  <c r="AB232" i="20"/>
  <c r="K232" i="20"/>
  <c r="AH232" i="20"/>
  <c r="AF232" i="20"/>
  <c r="AG232" i="20"/>
  <c r="AD232" i="20"/>
  <c r="U232" i="20"/>
  <c r="AC232" i="20"/>
  <c r="AR232" i="20"/>
  <c r="B232" i="20"/>
  <c r="AT232" i="20"/>
  <c r="AI232" i="20"/>
  <c r="W232" i="20"/>
  <c r="X232" i="20"/>
  <c r="T232" i="20"/>
  <c r="N232" i="20"/>
  <c r="AE232" i="20"/>
  <c r="AS232" i="20"/>
  <c r="P232" i="20"/>
  <c r="AM232" i="20"/>
  <c r="AO232" i="20"/>
  <c r="Q232" i="20"/>
  <c r="R232" i="20"/>
  <c r="AL232" i="20"/>
  <c r="AP232" i="20"/>
  <c r="J232" i="20"/>
  <c r="AV232" i="20"/>
  <c r="S232" i="20"/>
  <c r="AN232" i="20"/>
  <c r="Z232" i="20"/>
  <c r="AJ232" i="20"/>
  <c r="AU232" i="20"/>
  <c r="AA232" i="20"/>
  <c r="V232" i="20"/>
  <c r="S32" i="20"/>
  <c r="K32" i="20"/>
  <c r="AL32" i="20"/>
  <c r="N32" i="20"/>
  <c r="AR32" i="20"/>
  <c r="AC32" i="20"/>
  <c r="AU32" i="20"/>
  <c r="AI32" i="20"/>
  <c r="AO32" i="20"/>
  <c r="AA32" i="20"/>
  <c r="AT32" i="20"/>
  <c r="AM32" i="20"/>
  <c r="AE32" i="20"/>
  <c r="AP32" i="20"/>
  <c r="AN32" i="20"/>
  <c r="AG32" i="20"/>
  <c r="AF32" i="20"/>
  <c r="AV32" i="20"/>
  <c r="P32" i="20"/>
  <c r="B32" i="20"/>
  <c r="O32" i="20"/>
  <c r="AQ32" i="20"/>
  <c r="X32" i="20"/>
  <c r="J32" i="20"/>
  <c r="V32" i="20"/>
  <c r="U32" i="20"/>
  <c r="T32" i="20"/>
  <c r="G32" i="20"/>
  <c r="AD32" i="20"/>
  <c r="Q32" i="20"/>
  <c r="W32" i="20"/>
  <c r="AH32" i="20"/>
  <c r="Z32" i="20"/>
  <c r="AS32" i="20"/>
  <c r="R32" i="20"/>
  <c r="AB32" i="20"/>
  <c r="AJ32" i="20"/>
  <c r="T71" i="20"/>
  <c r="AO71" i="20"/>
  <c r="AL71" i="20"/>
  <c r="AJ71" i="20"/>
  <c r="AR71" i="20"/>
  <c r="AB71" i="20"/>
  <c r="AA71" i="20"/>
  <c r="J71" i="20"/>
  <c r="G71" i="20"/>
  <c r="AG71" i="20"/>
  <c r="AI71" i="20"/>
  <c r="AV71" i="20"/>
  <c r="AD71" i="20"/>
  <c r="AE71" i="20"/>
  <c r="AC71" i="20"/>
  <c r="X71" i="20"/>
  <c r="AN71" i="20"/>
  <c r="AM71" i="20"/>
  <c r="AH71" i="20"/>
  <c r="R71" i="20"/>
  <c r="N71" i="20"/>
  <c r="O71" i="20"/>
  <c r="AU71" i="20"/>
  <c r="U71" i="20"/>
  <c r="AQ71" i="20"/>
  <c r="K71" i="20"/>
  <c r="AP71" i="20"/>
  <c r="B71" i="20"/>
  <c r="W71" i="20"/>
  <c r="AT71" i="20"/>
  <c r="S71" i="20"/>
  <c r="AF71" i="20"/>
  <c r="Z71" i="20"/>
  <c r="V71" i="20"/>
  <c r="P71" i="20"/>
  <c r="Q71" i="20"/>
  <c r="AS71" i="20"/>
  <c r="AE124" i="20"/>
  <c r="AT124" i="20"/>
  <c r="AO124" i="20"/>
  <c r="AC124" i="20"/>
  <c r="V124" i="20"/>
  <c r="AU124" i="20"/>
  <c r="AR124" i="20"/>
  <c r="W124" i="20"/>
  <c r="G124" i="20"/>
  <c r="AG124" i="20"/>
  <c r="AQ124" i="20"/>
  <c r="U124" i="20"/>
  <c r="N124" i="20"/>
  <c r="AI124" i="20"/>
  <c r="AJ124" i="20"/>
  <c r="K124" i="20"/>
  <c r="B124" i="20"/>
  <c r="AA124" i="20"/>
  <c r="AD124" i="20"/>
  <c r="AF124" i="20"/>
  <c r="O124" i="20"/>
  <c r="T124" i="20"/>
  <c r="R124" i="20"/>
  <c r="AN124" i="20"/>
  <c r="AL124" i="20"/>
  <c r="Q124" i="20"/>
  <c r="AH124" i="20"/>
  <c r="AS124" i="20"/>
  <c r="AV124" i="20"/>
  <c r="S124" i="20"/>
  <c r="AM124" i="20"/>
  <c r="P124" i="20"/>
  <c r="AB124" i="20"/>
  <c r="J124" i="20"/>
  <c r="AP124" i="20"/>
  <c r="X124" i="20"/>
  <c r="Z124" i="20"/>
  <c r="AH49" i="20"/>
  <c r="AS49" i="20"/>
  <c r="AR49" i="20"/>
  <c r="R49" i="20"/>
  <c r="B49" i="20"/>
  <c r="G49" i="20"/>
  <c r="V49" i="20"/>
  <c r="AF49" i="20"/>
  <c r="AQ49" i="20"/>
  <c r="U49" i="20"/>
  <c r="AV49" i="20"/>
  <c r="W49" i="20"/>
  <c r="T49" i="20"/>
  <c r="O49" i="20"/>
  <c r="AO49" i="20"/>
  <c r="AN49" i="20"/>
  <c r="AU49" i="20"/>
  <c r="AM49" i="20"/>
  <c r="AP49" i="20"/>
  <c r="K49" i="20"/>
  <c r="AA49" i="20"/>
  <c r="AC49" i="20"/>
  <c r="P49" i="20"/>
  <c r="AT49" i="20"/>
  <c r="Z49" i="20"/>
  <c r="S49" i="20"/>
  <c r="AD49" i="20"/>
  <c r="AJ49" i="20"/>
  <c r="AI49" i="20"/>
  <c r="N49" i="20"/>
  <c r="AL49" i="20"/>
  <c r="J49" i="20"/>
  <c r="AB49" i="20"/>
  <c r="Q49" i="20"/>
  <c r="X49" i="20"/>
  <c r="AE49" i="20"/>
  <c r="AG49" i="20"/>
  <c r="AR235" i="20"/>
  <c r="AT235" i="20"/>
  <c r="J235" i="20"/>
  <c r="AM235" i="20"/>
  <c r="X235" i="20"/>
  <c r="R235" i="20"/>
  <c r="T235" i="20"/>
  <c r="Z235" i="20"/>
  <c r="AF235" i="20"/>
  <c r="AN235" i="20"/>
  <c r="AD235" i="20"/>
  <c r="P235" i="20"/>
  <c r="AL235" i="20"/>
  <c r="O235" i="20"/>
  <c r="AJ235" i="20"/>
  <c r="AO235" i="20"/>
  <c r="AU235" i="20"/>
  <c r="AE235" i="20"/>
  <c r="AH235" i="20"/>
  <c r="V235" i="20"/>
  <c r="U235" i="20"/>
  <c r="W235" i="20"/>
  <c r="AP235" i="20"/>
  <c r="B235" i="20"/>
  <c r="AC235" i="20"/>
  <c r="Q235" i="20"/>
  <c r="AV235" i="20"/>
  <c r="S235" i="20"/>
  <c r="AQ235" i="20"/>
  <c r="AA235" i="20"/>
  <c r="AI235" i="20"/>
  <c r="N235" i="20"/>
  <c r="AG235" i="20"/>
  <c r="AS235" i="20"/>
  <c r="AB235" i="20"/>
  <c r="K235" i="20"/>
  <c r="V202" i="20"/>
  <c r="AD202" i="20"/>
  <c r="X202" i="20"/>
  <c r="AI202" i="20"/>
  <c r="AP202" i="20"/>
  <c r="R202" i="20"/>
  <c r="AS202" i="20"/>
  <c r="AT202" i="20"/>
  <c r="T202" i="20"/>
  <c r="S202" i="20"/>
  <c r="AF202" i="20"/>
  <c r="J202" i="20"/>
  <c r="AA202" i="20"/>
  <c r="P202" i="20"/>
  <c r="AQ202" i="20"/>
  <c r="AV202" i="20"/>
  <c r="AJ202" i="20"/>
  <c r="AB202" i="20"/>
  <c r="AL202" i="20"/>
  <c r="AU202" i="20"/>
  <c r="AR202" i="20"/>
  <c r="AM202" i="20"/>
  <c r="AC202" i="20"/>
  <c r="K202" i="20"/>
  <c r="AN202" i="20"/>
  <c r="U202" i="20"/>
  <c r="N202" i="20"/>
  <c r="AO202" i="20"/>
  <c r="B202" i="20"/>
  <c r="W202" i="20"/>
  <c r="O202" i="20"/>
  <c r="AG202" i="20"/>
  <c r="AE202" i="20"/>
  <c r="Z202" i="20"/>
  <c r="Q202" i="20"/>
  <c r="AH202" i="20"/>
  <c r="P8" i="20"/>
  <c r="AU8" i="20"/>
  <c r="U8" i="20"/>
  <c r="X8" i="20"/>
  <c r="AO8" i="20"/>
  <c r="AB8" i="20"/>
  <c r="N8" i="20"/>
  <c r="AI8" i="20"/>
  <c r="B8" i="20"/>
  <c r="G8" i="20"/>
  <c r="J8" i="20"/>
  <c r="R8" i="20"/>
  <c r="AC8" i="20"/>
  <c r="S8" i="20"/>
  <c r="AA8" i="20"/>
  <c r="AJ8" i="20"/>
  <c r="AG8" i="20"/>
  <c r="AR8" i="20"/>
  <c r="AL8" i="20"/>
  <c r="AF8" i="20"/>
  <c r="AV8" i="20"/>
  <c r="AS8" i="20"/>
  <c r="V8" i="20"/>
  <c r="Z8" i="20"/>
  <c r="AH8" i="20"/>
  <c r="AP8" i="20"/>
  <c r="AQ8" i="20"/>
  <c r="K8" i="20"/>
  <c r="W8" i="20"/>
  <c r="T8" i="20"/>
  <c r="Q8" i="20"/>
  <c r="AD8" i="20"/>
  <c r="AT8" i="20"/>
  <c r="AE8" i="20"/>
  <c r="AN8" i="20"/>
  <c r="O8" i="20"/>
  <c r="AM8" i="20"/>
  <c r="AP220" i="20"/>
  <c r="AS220" i="20"/>
  <c r="AG220" i="20"/>
  <c r="S220" i="20"/>
  <c r="T220" i="20"/>
  <c r="AB220" i="20"/>
  <c r="R220" i="20"/>
  <c r="U220" i="20"/>
  <c r="AM220" i="20"/>
  <c r="N220" i="20"/>
  <c r="Q220" i="20"/>
  <c r="AH220" i="20"/>
  <c r="AT220" i="20"/>
  <c r="AI220" i="20"/>
  <c r="AV220" i="20"/>
  <c r="AN220" i="20"/>
  <c r="AF220" i="20"/>
  <c r="AJ220" i="20"/>
  <c r="AQ220" i="20"/>
  <c r="AE220" i="20"/>
  <c r="K220" i="20"/>
  <c r="V220" i="20"/>
  <c r="AR220" i="20"/>
  <c r="AC220" i="20"/>
  <c r="W220" i="20"/>
  <c r="AL220" i="20"/>
  <c r="O220" i="20"/>
  <c r="Z220" i="20"/>
  <c r="AA220" i="20"/>
  <c r="AD220" i="20"/>
  <c r="B220" i="20"/>
  <c r="P220" i="20"/>
  <c r="J220" i="20"/>
  <c r="AU220" i="20"/>
  <c r="X220" i="20"/>
  <c r="AO220" i="20"/>
  <c r="G12" i="20"/>
  <c r="P12" i="20"/>
  <c r="AF12" i="20"/>
  <c r="AI12" i="20"/>
  <c r="AO12" i="20"/>
  <c r="B12" i="20"/>
  <c r="O12" i="20"/>
  <c r="Z12" i="20"/>
  <c r="AA12" i="20"/>
  <c r="S12" i="20"/>
  <c r="V12" i="20"/>
  <c r="AC12" i="20"/>
  <c r="AR12" i="20"/>
  <c r="X12" i="20"/>
  <c r="N12" i="20"/>
  <c r="AQ12" i="20"/>
  <c r="AV12" i="20"/>
  <c r="AS12" i="20"/>
  <c r="U12" i="20"/>
  <c r="AU12" i="20"/>
  <c r="AL12" i="20"/>
  <c r="AP12" i="20"/>
  <c r="AN12" i="20"/>
  <c r="AT12" i="20"/>
  <c r="T12" i="20"/>
  <c r="AM12" i="20"/>
  <c r="AE12" i="20"/>
  <c r="W12" i="20"/>
  <c r="AB12" i="20"/>
  <c r="AH12" i="20"/>
  <c r="AG12" i="20"/>
  <c r="AD12" i="20"/>
  <c r="AJ12" i="20"/>
  <c r="R12" i="20"/>
  <c r="J12" i="20"/>
  <c r="K12" i="20"/>
  <c r="Q12" i="20"/>
  <c r="U52" i="1"/>
  <c r="B52" i="1"/>
  <c r="B67" i="1"/>
  <c r="U67" i="1"/>
  <c r="U163" i="31"/>
  <c r="B163" i="31"/>
  <c r="U92" i="1"/>
  <c r="B92" i="1"/>
  <c r="B74" i="31"/>
  <c r="U74" i="31"/>
  <c r="B140" i="31"/>
  <c r="U140" i="31"/>
  <c r="B45" i="29"/>
  <c r="U45" i="29"/>
  <c r="U120" i="29"/>
  <c r="B120" i="29"/>
  <c r="U67" i="30"/>
  <c r="B67" i="30"/>
  <c r="U101" i="1"/>
  <c r="B101" i="1"/>
  <c r="B148" i="1"/>
  <c r="U148" i="1"/>
  <c r="B105" i="1"/>
  <c r="U105" i="1"/>
  <c r="U114" i="29"/>
  <c r="B114" i="29"/>
  <c r="U160" i="30"/>
  <c r="B160" i="30"/>
  <c r="U40" i="31"/>
  <c r="B40" i="31"/>
  <c r="B88" i="31"/>
  <c r="U88" i="31"/>
  <c r="U72" i="29"/>
  <c r="B72" i="29"/>
  <c r="U136" i="30"/>
  <c r="B136" i="30"/>
  <c r="B33" i="1"/>
  <c r="U33" i="1"/>
  <c r="U76" i="29"/>
  <c r="B76" i="29"/>
  <c r="B39" i="29"/>
  <c r="U39" i="29"/>
  <c r="B171" i="30"/>
  <c r="U171" i="30"/>
  <c r="B112" i="30"/>
  <c r="U112" i="30"/>
  <c r="U100" i="30"/>
  <c r="B100" i="30"/>
  <c r="U38" i="1"/>
  <c r="B38" i="1"/>
  <c r="B112" i="1"/>
  <c r="U112" i="1"/>
  <c r="B35" i="31"/>
  <c r="U35" i="31"/>
  <c r="B134" i="31"/>
  <c r="U134" i="31"/>
  <c r="U146" i="29"/>
  <c r="B146" i="29"/>
  <c r="U168" i="30"/>
  <c r="B168" i="30"/>
  <c r="U168" i="31"/>
  <c r="B168" i="31"/>
  <c r="B121" i="29"/>
  <c r="U121" i="29"/>
  <c r="U141" i="30"/>
  <c r="B141" i="30"/>
  <c r="B69" i="1"/>
  <c r="U69" i="1"/>
  <c r="B94" i="31"/>
  <c r="U94" i="31"/>
  <c r="B98" i="31"/>
  <c r="U98" i="31"/>
  <c r="U42" i="29"/>
  <c r="B42" i="29"/>
  <c r="O237" i="20"/>
  <c r="AQ237" i="20"/>
  <c r="AT237" i="20"/>
  <c r="W237" i="20"/>
  <c r="R237" i="20"/>
  <c r="AH237" i="20"/>
  <c r="P237" i="20"/>
  <c r="AL237" i="20"/>
  <c r="B237" i="20"/>
  <c r="AV237" i="20"/>
  <c r="AA237" i="20"/>
  <c r="AI237" i="20"/>
  <c r="S237" i="20"/>
  <c r="AF237" i="20"/>
  <c r="X237" i="20"/>
  <c r="AR237" i="20"/>
  <c r="AB237" i="20"/>
  <c r="AU237" i="20"/>
  <c r="Z237" i="20"/>
  <c r="AE237" i="20"/>
  <c r="AO237" i="20"/>
  <c r="AJ237" i="20"/>
  <c r="AM237" i="20"/>
  <c r="U237" i="20"/>
  <c r="AC237" i="20"/>
  <c r="V237" i="20"/>
  <c r="N237" i="20"/>
  <c r="K237" i="20"/>
  <c r="AP237" i="20"/>
  <c r="AS237" i="20"/>
  <c r="T237" i="20"/>
  <c r="J237" i="20"/>
  <c r="Q237" i="20"/>
  <c r="AN237" i="20"/>
  <c r="AD237" i="20"/>
  <c r="AG237" i="20"/>
  <c r="AJ194" i="20"/>
  <c r="AN194" i="20"/>
  <c r="AS194" i="20"/>
  <c r="AB194" i="20"/>
  <c r="T194" i="20"/>
  <c r="B194" i="20"/>
  <c r="AD194" i="20"/>
  <c r="J194" i="20"/>
  <c r="AV194" i="20"/>
  <c r="S194" i="20"/>
  <c r="AF194" i="20"/>
  <c r="AH194" i="20"/>
  <c r="AE194" i="20"/>
  <c r="X194" i="20"/>
  <c r="N194" i="20"/>
  <c r="AO194" i="20"/>
  <c r="Z194" i="20"/>
  <c r="AP194" i="20"/>
  <c r="V194" i="20"/>
  <c r="AL194" i="20"/>
  <c r="U194" i="20"/>
  <c r="AT194" i="20"/>
  <c r="AR194" i="20"/>
  <c r="AQ194" i="20"/>
  <c r="AU194" i="20"/>
  <c r="AI194" i="20"/>
  <c r="AG194" i="20"/>
  <c r="Q194" i="20"/>
  <c r="R194" i="20"/>
  <c r="AC194" i="20"/>
  <c r="P194" i="20"/>
  <c r="K194" i="20"/>
  <c r="W194" i="20"/>
  <c r="O194" i="20"/>
  <c r="AA194" i="20"/>
  <c r="AM194" i="20"/>
  <c r="G194" i="20"/>
  <c r="N233" i="20"/>
  <c r="J233" i="20"/>
  <c r="AO233" i="20"/>
  <c r="P233" i="20"/>
  <c r="AF233" i="20"/>
  <c r="U233" i="20"/>
  <c r="AP233" i="20"/>
  <c r="Q233" i="20"/>
  <c r="T233" i="20"/>
  <c r="B233" i="20"/>
  <c r="S233" i="20"/>
  <c r="R233" i="20"/>
  <c r="AA233" i="20"/>
  <c r="AG233" i="20"/>
  <c r="AT233" i="20"/>
  <c r="AI233" i="20"/>
  <c r="AD233" i="20"/>
  <c r="AQ233" i="20"/>
  <c r="AV233" i="20"/>
  <c r="K233" i="20"/>
  <c r="Z233" i="20"/>
  <c r="AR233" i="20"/>
  <c r="AL233" i="20"/>
  <c r="AM233" i="20"/>
  <c r="X233" i="20"/>
  <c r="AH233" i="20"/>
  <c r="AS233" i="20"/>
  <c r="AB233" i="20"/>
  <c r="AJ233" i="20"/>
  <c r="O233" i="20"/>
  <c r="AU233" i="20"/>
  <c r="V233" i="20"/>
  <c r="AE233" i="20"/>
  <c r="W233" i="20"/>
  <c r="AC233" i="20"/>
  <c r="AN233" i="20"/>
  <c r="S247" i="20"/>
  <c r="AC247" i="20"/>
  <c r="T247" i="20"/>
  <c r="AQ247" i="20"/>
  <c r="W247" i="20"/>
  <c r="P247" i="20"/>
  <c r="AV247" i="20"/>
  <c r="AG247" i="20"/>
  <c r="O247" i="20"/>
  <c r="AN247" i="20"/>
  <c r="N247" i="20"/>
  <c r="AH247" i="20"/>
  <c r="Q247" i="20"/>
  <c r="V247" i="20"/>
  <c r="U247" i="20"/>
  <c r="AL247" i="20"/>
  <c r="Z247" i="20"/>
  <c r="R247" i="20"/>
  <c r="AD247" i="20"/>
  <c r="AR247" i="20"/>
  <c r="AI247" i="20"/>
  <c r="X247" i="20"/>
  <c r="AM247" i="20"/>
  <c r="AP247" i="20"/>
  <c r="AJ247" i="20"/>
  <c r="B247" i="20"/>
  <c r="AU247" i="20"/>
  <c r="AS247" i="20"/>
  <c r="AT247" i="20"/>
  <c r="AE247" i="20"/>
  <c r="AO247" i="20"/>
  <c r="AF247" i="20"/>
  <c r="AA247" i="20"/>
  <c r="AB247" i="20"/>
  <c r="J247" i="20"/>
  <c r="K247" i="20"/>
  <c r="AV245" i="20"/>
  <c r="AF245" i="20"/>
  <c r="AB245" i="20"/>
  <c r="B245" i="20"/>
  <c r="AE245" i="20"/>
  <c r="AA245" i="20"/>
  <c r="AT245" i="20"/>
  <c r="V245" i="20"/>
  <c r="AL245" i="20"/>
  <c r="AG245" i="20"/>
  <c r="Q245" i="20"/>
  <c r="T245" i="20"/>
  <c r="AC245" i="20"/>
  <c r="AD245" i="20"/>
  <c r="AH245" i="20"/>
  <c r="AI245" i="20"/>
  <c r="AR245" i="20"/>
  <c r="R245" i="20"/>
  <c r="X245" i="20"/>
  <c r="U245" i="20"/>
  <c r="S245" i="20"/>
  <c r="AN245" i="20"/>
  <c r="AJ245" i="20"/>
  <c r="N245" i="20"/>
  <c r="K245" i="20"/>
  <c r="AP245" i="20"/>
  <c r="O245" i="20"/>
  <c r="J245" i="20"/>
  <c r="Z245" i="20"/>
  <c r="W245" i="20"/>
  <c r="AO245" i="20"/>
  <c r="AS245" i="20"/>
  <c r="AM245" i="20"/>
  <c r="AQ245" i="20"/>
  <c r="AU245" i="20"/>
  <c r="P245" i="20"/>
  <c r="AA180" i="20"/>
  <c r="V180" i="20"/>
  <c r="B180" i="20"/>
  <c r="AC180" i="20"/>
  <c r="AL180" i="20"/>
  <c r="X180" i="20"/>
  <c r="AS180" i="20"/>
  <c r="AG180" i="20"/>
  <c r="AU180" i="20"/>
  <c r="AI180" i="20"/>
  <c r="U180" i="20"/>
  <c r="AD180" i="20"/>
  <c r="P180" i="20"/>
  <c r="R180" i="20"/>
  <c r="J180" i="20"/>
  <c r="AE180" i="20"/>
  <c r="AR180" i="20"/>
  <c r="AH180" i="20"/>
  <c r="S180" i="20"/>
  <c r="W180" i="20"/>
  <c r="O180" i="20"/>
  <c r="AT180" i="20"/>
  <c r="N180" i="20"/>
  <c r="AB180" i="20"/>
  <c r="AN180" i="20"/>
  <c r="AP180" i="20"/>
  <c r="Z180" i="20"/>
  <c r="AO180" i="20"/>
  <c r="Q180" i="20"/>
  <c r="AF180" i="20"/>
  <c r="T180" i="20"/>
  <c r="G180" i="20"/>
  <c r="AQ180" i="20"/>
  <c r="AV180" i="20"/>
  <c r="AJ180" i="20"/>
  <c r="K180" i="20"/>
  <c r="AM180" i="20"/>
  <c r="O83" i="20"/>
  <c r="G83" i="20"/>
  <c r="P83" i="20"/>
  <c r="V83" i="20"/>
  <c r="AR83" i="20"/>
  <c r="AL83" i="20"/>
  <c r="X83" i="20"/>
  <c r="AD83" i="20"/>
  <c r="J83" i="20"/>
  <c r="AQ83" i="20"/>
  <c r="AH83" i="20"/>
  <c r="Z83" i="20"/>
  <c r="AJ83" i="20"/>
  <c r="AM83" i="20"/>
  <c r="AF83" i="20"/>
  <c r="AP83" i="20"/>
  <c r="AV83" i="20"/>
  <c r="AI83" i="20"/>
  <c r="W83" i="20"/>
  <c r="AO83" i="20"/>
  <c r="AA83" i="20"/>
  <c r="AN83" i="20"/>
  <c r="AS83" i="20"/>
  <c r="AU83" i="20"/>
  <c r="AT83" i="20"/>
  <c r="S83" i="20"/>
  <c r="AE83" i="20"/>
  <c r="B83" i="20"/>
  <c r="AG83" i="20"/>
  <c r="AB83" i="20"/>
  <c r="N83" i="20"/>
  <c r="AC83" i="20"/>
  <c r="T83" i="20"/>
  <c r="U83" i="20"/>
  <c r="Q83" i="20"/>
  <c r="R83" i="20"/>
  <c r="K83" i="20"/>
  <c r="AD44" i="20"/>
  <c r="AG44" i="20"/>
  <c r="U44" i="20"/>
  <c r="AQ44" i="20"/>
  <c r="AM44" i="20"/>
  <c r="S44" i="20"/>
  <c r="AS44" i="20"/>
  <c r="AF44" i="20"/>
  <c r="N44" i="20"/>
  <c r="AN44" i="20"/>
  <c r="AT44" i="20"/>
  <c r="W44" i="20"/>
  <c r="V44" i="20"/>
  <c r="AA44" i="20"/>
  <c r="Z44" i="20"/>
  <c r="AV44" i="20"/>
  <c r="AP44" i="20"/>
  <c r="R44" i="20"/>
  <c r="AU44" i="20"/>
  <c r="K44" i="20"/>
  <c r="AH44" i="20"/>
  <c r="J44" i="20"/>
  <c r="AB44" i="20"/>
  <c r="AL44" i="20"/>
  <c r="AR44" i="20"/>
  <c r="Q44" i="20"/>
  <c r="AI44" i="20"/>
  <c r="G44" i="20"/>
  <c r="T44" i="20"/>
  <c r="B44" i="20"/>
  <c r="X44" i="20"/>
  <c r="P44" i="20"/>
  <c r="AJ44" i="20"/>
  <c r="O44" i="20"/>
  <c r="AC44" i="20"/>
  <c r="AE44" i="20"/>
  <c r="AO44" i="20"/>
  <c r="U198" i="20"/>
  <c r="AU198" i="20"/>
  <c r="AE198" i="20"/>
  <c r="AA198" i="20"/>
  <c r="AC198" i="20"/>
  <c r="K198" i="20"/>
  <c r="AO198" i="20"/>
  <c r="AF198" i="20"/>
  <c r="W198" i="20"/>
  <c r="AD198" i="20"/>
  <c r="AJ198" i="20"/>
  <c r="AM198" i="20"/>
  <c r="V198" i="20"/>
  <c r="X198" i="20"/>
  <c r="T198" i="20"/>
  <c r="J198" i="20"/>
  <c r="AI198" i="20"/>
  <c r="O198" i="20"/>
  <c r="AS198" i="20"/>
  <c r="AT198" i="20"/>
  <c r="R198" i="20"/>
  <c r="P198" i="20"/>
  <c r="AV198" i="20"/>
  <c r="S198" i="20"/>
  <c r="AR198" i="20"/>
  <c r="AL198" i="20"/>
  <c r="Z198" i="20"/>
  <c r="Q198" i="20"/>
  <c r="AH198" i="20"/>
  <c r="AB198" i="20"/>
  <c r="B198" i="20"/>
  <c r="N198" i="20"/>
  <c r="AG198" i="20"/>
  <c r="G198" i="20"/>
  <c r="AP198" i="20"/>
  <c r="AQ198" i="20"/>
  <c r="AN198" i="20"/>
  <c r="AP134" i="20"/>
  <c r="W134" i="20"/>
  <c r="AD134" i="20"/>
  <c r="AB134" i="20"/>
  <c r="O134" i="20"/>
  <c r="T134" i="20"/>
  <c r="X134" i="20"/>
  <c r="AQ134" i="20"/>
  <c r="G134" i="20"/>
  <c r="AO134" i="20"/>
  <c r="AU134" i="20"/>
  <c r="AM134" i="20"/>
  <c r="N134" i="20"/>
  <c r="AS134" i="20"/>
  <c r="AC134" i="20"/>
  <c r="B134" i="20"/>
  <c r="P134" i="20"/>
  <c r="AV134" i="20"/>
  <c r="AI134" i="20"/>
  <c r="AF134" i="20"/>
  <c r="U134" i="20"/>
  <c r="AT134" i="20"/>
  <c r="R134" i="20"/>
  <c r="AE134" i="20"/>
  <c r="AH134" i="20"/>
  <c r="S134" i="20"/>
  <c r="Q134" i="20"/>
  <c r="AG134" i="20"/>
  <c r="K134" i="20"/>
  <c r="AR134" i="20"/>
  <c r="AN134" i="20"/>
  <c r="Z134" i="20"/>
  <c r="J134" i="20"/>
  <c r="AL134" i="20"/>
  <c r="AA134" i="20"/>
  <c r="V134" i="20"/>
  <c r="AJ134" i="20"/>
  <c r="X69" i="20"/>
  <c r="AI69" i="20"/>
  <c r="AD69" i="20"/>
  <c r="P69" i="20"/>
  <c r="AN69" i="20"/>
  <c r="Z69" i="20"/>
  <c r="AL69" i="20"/>
  <c r="AE69" i="20"/>
  <c r="V69" i="20"/>
  <c r="AB69" i="20"/>
  <c r="S69" i="20"/>
  <c r="K69" i="20"/>
  <c r="N69" i="20"/>
  <c r="U69" i="20"/>
  <c r="B69" i="20"/>
  <c r="Q69" i="20"/>
  <c r="AO69" i="20"/>
  <c r="AF69" i="20"/>
  <c r="G69" i="20"/>
  <c r="J69" i="20"/>
  <c r="R69" i="20"/>
  <c r="AG69" i="20"/>
  <c r="AJ69" i="20"/>
  <c r="AA69" i="20"/>
  <c r="AU69" i="20"/>
  <c r="AV69" i="20"/>
  <c r="AR69" i="20"/>
  <c r="AT69" i="20"/>
  <c r="AC69" i="20"/>
  <c r="AS69" i="20"/>
  <c r="W69" i="20"/>
  <c r="AH69" i="20"/>
  <c r="AP69" i="20"/>
  <c r="T69" i="20"/>
  <c r="O69" i="20"/>
  <c r="AM69" i="20"/>
  <c r="AQ69" i="20"/>
  <c r="AI170" i="20"/>
  <c r="N170" i="20"/>
  <c r="AM170" i="20"/>
  <c r="G170" i="20"/>
  <c r="R170" i="20"/>
  <c r="P170" i="20"/>
  <c r="Z170" i="20"/>
  <c r="U170" i="20"/>
  <c r="X170" i="20"/>
  <c r="AJ170" i="20"/>
  <c r="AC170" i="20"/>
  <c r="AS170" i="20"/>
  <c r="AA170" i="20"/>
  <c r="AD170" i="20"/>
  <c r="W170" i="20"/>
  <c r="AP170" i="20"/>
  <c r="J170" i="20"/>
  <c r="S170" i="20"/>
  <c r="AR170" i="20"/>
  <c r="AT170" i="20"/>
  <c r="AL170" i="20"/>
  <c r="AO170" i="20"/>
  <c r="AH170" i="20"/>
  <c r="V170" i="20"/>
  <c r="AU170" i="20"/>
  <c r="AQ170" i="20"/>
  <c r="AV170" i="20"/>
  <c r="B170" i="20"/>
  <c r="O170" i="20"/>
  <c r="AG170" i="20"/>
  <c r="T170" i="20"/>
  <c r="AF170" i="20"/>
  <c r="AB170" i="20"/>
  <c r="AN170" i="20"/>
  <c r="Q170" i="20"/>
  <c r="K170" i="20"/>
  <c r="AE170" i="20"/>
  <c r="AE131" i="20"/>
  <c r="AI131" i="20"/>
  <c r="Q131" i="20"/>
  <c r="AG131" i="20"/>
  <c r="AM131" i="20"/>
  <c r="W131" i="20"/>
  <c r="B131" i="20"/>
  <c r="N131" i="20"/>
  <c r="AN131" i="20"/>
  <c r="G131" i="20"/>
  <c r="AC131" i="20"/>
  <c r="P131" i="20"/>
  <c r="O131" i="20"/>
  <c r="S131" i="20"/>
  <c r="AU131" i="20"/>
  <c r="J131" i="20"/>
  <c r="U131" i="20"/>
  <c r="AS131" i="20"/>
  <c r="AJ131" i="20"/>
  <c r="AA131" i="20"/>
  <c r="T131" i="20"/>
  <c r="AP131" i="20"/>
  <c r="K131" i="20"/>
  <c r="AQ131" i="20"/>
  <c r="V131" i="20"/>
  <c r="AO131" i="20"/>
  <c r="Z131" i="20"/>
  <c r="R131" i="20"/>
  <c r="X131" i="20"/>
  <c r="AV131" i="20"/>
  <c r="AD131" i="20"/>
  <c r="AR131" i="20"/>
  <c r="AH131" i="20"/>
  <c r="AB131" i="20"/>
  <c r="AL131" i="20"/>
  <c r="AT131" i="20"/>
  <c r="AF131" i="20"/>
  <c r="U128" i="31"/>
  <c r="B128" i="31"/>
  <c r="U95" i="31"/>
  <c r="B95" i="31"/>
  <c r="B72" i="31"/>
  <c r="U72" i="31"/>
  <c r="B69" i="30"/>
  <c r="U69" i="30"/>
  <c r="U134" i="29"/>
  <c r="B134" i="29"/>
  <c r="L171" i="38"/>
  <c r="B63" i="29"/>
  <c r="U63" i="29"/>
  <c r="B123" i="30"/>
  <c r="U123" i="30"/>
  <c r="U85" i="1"/>
  <c r="B85" i="1"/>
  <c r="U98" i="29"/>
  <c r="B98" i="29"/>
  <c r="B33" i="30"/>
  <c r="U33" i="30"/>
  <c r="B140" i="30"/>
  <c r="U140" i="30"/>
  <c r="B100" i="31"/>
  <c r="U100" i="31"/>
  <c r="B135" i="1"/>
  <c r="U135" i="1"/>
  <c r="B175" i="29"/>
  <c r="U175" i="29"/>
  <c r="U170" i="29"/>
  <c r="B170" i="29"/>
  <c r="U78" i="29"/>
  <c r="B78" i="29"/>
  <c r="U77" i="1"/>
  <c r="B77" i="1"/>
  <c r="B142" i="31"/>
  <c r="U142" i="31"/>
  <c r="U164" i="29"/>
  <c r="B164" i="29"/>
  <c r="L171" i="37"/>
  <c r="U137" i="29"/>
  <c r="B137" i="29"/>
  <c r="U67" i="31"/>
  <c r="B67" i="31"/>
  <c r="U90" i="31"/>
  <c r="B90" i="31"/>
  <c r="A246" i="26"/>
  <c r="L268" i="1"/>
  <c r="U40" i="29"/>
  <c r="B40" i="29"/>
  <c r="U63" i="30"/>
  <c r="B63" i="30"/>
  <c r="U97" i="31"/>
  <c r="B97" i="31"/>
  <c r="U146" i="30"/>
  <c r="B146" i="30"/>
  <c r="B179" i="31"/>
  <c r="U179" i="31"/>
  <c r="B128" i="1"/>
  <c r="U128" i="1"/>
  <c r="U124" i="29"/>
  <c r="B124" i="29"/>
  <c r="U162" i="30"/>
  <c r="B162" i="30"/>
  <c r="U139" i="30"/>
  <c r="B139" i="30"/>
  <c r="B117" i="30"/>
  <c r="U117" i="30"/>
  <c r="U76" i="31"/>
  <c r="B76" i="31"/>
  <c r="B167" i="29"/>
  <c r="U167" i="29"/>
  <c r="B176" i="29"/>
  <c r="U176" i="29"/>
  <c r="B172" i="6"/>
  <c r="K172" i="6"/>
  <c r="G172" i="6"/>
  <c r="U183" i="30"/>
  <c r="B183" i="30"/>
  <c r="B52" i="31"/>
  <c r="U52" i="31"/>
  <c r="AN199" i="20"/>
  <c r="AU199" i="20"/>
  <c r="P199" i="20"/>
  <c r="T199" i="20"/>
  <c r="AJ199" i="20"/>
  <c r="N199" i="20"/>
  <c r="AS199" i="20"/>
  <c r="AV199" i="20"/>
  <c r="AR199" i="20"/>
  <c r="AF199" i="20"/>
  <c r="B199" i="20"/>
  <c r="AI199" i="20"/>
  <c r="V199" i="20"/>
  <c r="R199" i="20"/>
  <c r="Q199" i="20"/>
  <c r="AB199" i="20"/>
  <c r="G199" i="20"/>
  <c r="AP199" i="20"/>
  <c r="W199" i="20"/>
  <c r="AG199" i="20"/>
  <c r="AM199" i="20"/>
  <c r="U199" i="20"/>
  <c r="O199" i="20"/>
  <c r="AL199" i="20"/>
  <c r="AO199" i="20"/>
  <c r="AE199" i="20"/>
  <c r="AA199" i="20"/>
  <c r="AD199" i="20"/>
  <c r="X199" i="20"/>
  <c r="J199" i="20"/>
  <c r="AC199" i="20"/>
  <c r="AH199" i="20"/>
  <c r="AT199" i="20"/>
  <c r="K199" i="20"/>
  <c r="Z199" i="20"/>
  <c r="S199" i="20"/>
  <c r="AQ199" i="20"/>
  <c r="AQ213" i="20"/>
  <c r="AA213" i="20"/>
  <c r="R213" i="20"/>
  <c r="AG213" i="20"/>
  <c r="P213" i="20"/>
  <c r="W213" i="20"/>
  <c r="AT213" i="20"/>
  <c r="B213" i="20"/>
  <c r="AP213" i="20"/>
  <c r="T213" i="20"/>
  <c r="Z213" i="20"/>
  <c r="S213" i="20"/>
  <c r="J213" i="20"/>
  <c r="AF213" i="20"/>
  <c r="AI213" i="20"/>
  <c r="AJ213" i="20"/>
  <c r="AM213" i="20"/>
  <c r="AN213" i="20"/>
  <c r="X213" i="20"/>
  <c r="AU213" i="20"/>
  <c r="AD213" i="20"/>
  <c r="N213" i="20"/>
  <c r="AR213" i="20"/>
  <c r="V213" i="20"/>
  <c r="AB213" i="20"/>
  <c r="Q213" i="20"/>
  <c r="K213" i="20"/>
  <c r="AH213" i="20"/>
  <c r="AC213" i="20"/>
  <c r="O213" i="20"/>
  <c r="AE213" i="20"/>
  <c r="AS213" i="20"/>
  <c r="U213" i="20"/>
  <c r="AV213" i="20"/>
  <c r="AO213" i="20"/>
  <c r="AL213" i="20"/>
  <c r="AA105" i="20"/>
  <c r="J105" i="20"/>
  <c r="W105" i="20"/>
  <c r="Z105" i="20"/>
  <c r="T105" i="20"/>
  <c r="AT105" i="20"/>
  <c r="AQ105" i="20"/>
  <c r="AJ105" i="20"/>
  <c r="AE105" i="20"/>
  <c r="AV105" i="20"/>
  <c r="S105" i="20"/>
  <c r="N105" i="20"/>
  <c r="AP105" i="20"/>
  <c r="G105" i="20"/>
  <c r="AB105" i="20"/>
  <c r="AH105" i="20"/>
  <c r="AR105" i="20"/>
  <c r="AF105" i="20"/>
  <c r="V105" i="20"/>
  <c r="Q105" i="20"/>
  <c r="AI105" i="20"/>
  <c r="U105" i="20"/>
  <c r="AM105" i="20"/>
  <c r="AO105" i="20"/>
  <c r="O105" i="20"/>
  <c r="AD105" i="20"/>
  <c r="R105" i="20"/>
  <c r="AC105" i="20"/>
  <c r="B105" i="20"/>
  <c r="K105" i="20"/>
  <c r="AU105" i="20"/>
  <c r="AG105" i="20"/>
  <c r="AS105" i="20"/>
  <c r="X105" i="20"/>
  <c r="AL105" i="20"/>
  <c r="AN105" i="20"/>
  <c r="P105" i="20"/>
  <c r="AD16" i="20"/>
  <c r="AO16" i="20"/>
  <c r="P16" i="20"/>
  <c r="X16" i="20"/>
  <c r="O16" i="20"/>
  <c r="Q16" i="20"/>
  <c r="AA16" i="20"/>
  <c r="AF16" i="20"/>
  <c r="AJ16" i="20"/>
  <c r="AC16" i="20"/>
  <c r="AM16" i="20"/>
  <c r="AP16" i="20"/>
  <c r="N16" i="20"/>
  <c r="AB16" i="20"/>
  <c r="AG16" i="20"/>
  <c r="B16" i="20"/>
  <c r="AI16" i="20"/>
  <c r="AE16" i="20"/>
  <c r="AT16" i="20"/>
  <c r="AN16" i="20"/>
  <c r="W16" i="20"/>
  <c r="Z16" i="20"/>
  <c r="T16" i="20"/>
  <c r="AQ16" i="20"/>
  <c r="S16" i="20"/>
  <c r="AS16" i="20"/>
  <c r="R16" i="20"/>
  <c r="AV16" i="20"/>
  <c r="K16" i="20"/>
  <c r="U16" i="20"/>
  <c r="V16" i="20"/>
  <c r="G16" i="20"/>
  <c r="J16" i="20"/>
  <c r="AR16" i="20"/>
  <c r="AH16" i="20"/>
  <c r="AL16" i="20"/>
  <c r="AU16" i="20"/>
  <c r="V192" i="20"/>
  <c r="O192" i="20"/>
  <c r="Q192" i="20"/>
  <c r="AU192" i="20"/>
  <c r="G192" i="20"/>
  <c r="B192" i="20"/>
  <c r="AP192" i="20"/>
  <c r="AB192" i="20"/>
  <c r="AE192" i="20"/>
  <c r="R192" i="20"/>
  <c r="AJ192" i="20"/>
  <c r="U192" i="20"/>
  <c r="K192" i="20"/>
  <c r="P192" i="20"/>
  <c r="W192" i="20"/>
  <c r="AL192" i="20"/>
  <c r="AH192" i="20"/>
  <c r="AR192" i="20"/>
  <c r="AN192" i="20"/>
  <c r="T192" i="20"/>
  <c r="AS192" i="20"/>
  <c r="J192" i="20"/>
  <c r="AD192" i="20"/>
  <c r="AA192" i="20"/>
  <c r="AM192" i="20"/>
  <c r="N192" i="20"/>
  <c r="AO192" i="20"/>
  <c r="X192" i="20"/>
  <c r="Z192" i="20"/>
  <c r="AV192" i="20"/>
  <c r="AQ192" i="20"/>
  <c r="AT192" i="20"/>
  <c r="AI192" i="20"/>
  <c r="AF192" i="20"/>
  <c r="AG192" i="20"/>
  <c r="S192" i="20"/>
  <c r="AC192" i="20"/>
  <c r="J128" i="20"/>
  <c r="AE128" i="20"/>
  <c r="B128" i="20"/>
  <c r="AC128" i="20"/>
  <c r="AH128" i="20"/>
  <c r="AA128" i="20"/>
  <c r="Z128" i="20"/>
  <c r="AL128" i="20"/>
  <c r="AD128" i="20"/>
  <c r="P128" i="20"/>
  <c r="AF128" i="20"/>
  <c r="AS128" i="20"/>
  <c r="AV128" i="20"/>
  <c r="AI128" i="20"/>
  <c r="V128" i="20"/>
  <c r="X128" i="20"/>
  <c r="AM128" i="20"/>
  <c r="AT128" i="20"/>
  <c r="AN128" i="20"/>
  <c r="T128" i="20"/>
  <c r="AO128" i="20"/>
  <c r="K128" i="20"/>
  <c r="W128" i="20"/>
  <c r="AU128" i="20"/>
  <c r="AJ128" i="20"/>
  <c r="G128" i="20"/>
  <c r="AB128" i="20"/>
  <c r="AG128" i="20"/>
  <c r="N128" i="20"/>
  <c r="Q128" i="20"/>
  <c r="AQ128" i="20"/>
  <c r="S128" i="20"/>
  <c r="O128" i="20"/>
  <c r="AP128" i="20"/>
  <c r="U128" i="20"/>
  <c r="R128" i="20"/>
  <c r="AR128" i="20"/>
  <c r="S133" i="20"/>
  <c r="G133" i="20"/>
  <c r="AA133" i="20"/>
  <c r="AL133" i="20"/>
  <c r="U133" i="20"/>
  <c r="AJ133" i="20"/>
  <c r="AV133" i="20"/>
  <c r="AC133" i="20"/>
  <c r="X133" i="20"/>
  <c r="AU133" i="20"/>
  <c r="Q133" i="20"/>
  <c r="P133" i="20"/>
  <c r="AN133" i="20"/>
  <c r="AH133" i="20"/>
  <c r="N133" i="20"/>
  <c r="AO133" i="20"/>
  <c r="AR133" i="20"/>
  <c r="AS133" i="20"/>
  <c r="AF133" i="20"/>
  <c r="K133" i="20"/>
  <c r="B133" i="20"/>
  <c r="AD133" i="20"/>
  <c r="AP133" i="20"/>
  <c r="J133" i="20"/>
  <c r="AE133" i="20"/>
  <c r="R133" i="20"/>
  <c r="Z133" i="20"/>
  <c r="O133" i="20"/>
  <c r="AB133" i="20"/>
  <c r="T133" i="20"/>
  <c r="W133" i="20"/>
  <c r="V133" i="20"/>
  <c r="AI133" i="20"/>
  <c r="AQ133" i="20"/>
  <c r="AG133" i="20"/>
  <c r="AT133" i="20"/>
  <c r="AM133" i="20"/>
  <c r="R45" i="20"/>
  <c r="AM45" i="20"/>
  <c r="AH45" i="20"/>
  <c r="AR45" i="20"/>
  <c r="AV45" i="20"/>
  <c r="U45" i="20"/>
  <c r="V45" i="20"/>
  <c r="N45" i="20"/>
  <c r="AP45" i="20"/>
  <c r="Z45" i="20"/>
  <c r="W45" i="20"/>
  <c r="AB45" i="20"/>
  <c r="X45" i="20"/>
  <c r="Q45" i="20"/>
  <c r="AU45" i="20"/>
  <c r="K45" i="20"/>
  <c r="AN45" i="20"/>
  <c r="S45" i="20"/>
  <c r="AG45" i="20"/>
  <c r="AL45" i="20"/>
  <c r="G45" i="20"/>
  <c r="O45" i="20"/>
  <c r="AC45" i="20"/>
  <c r="AJ45" i="20"/>
  <c r="AF45" i="20"/>
  <c r="J45" i="20"/>
  <c r="AS45" i="20"/>
  <c r="AA45" i="20"/>
  <c r="AD45" i="20"/>
  <c r="AE45" i="20"/>
  <c r="AT45" i="20"/>
  <c r="AO45" i="20"/>
  <c r="AQ45" i="20"/>
  <c r="T45" i="20"/>
  <c r="B45" i="20"/>
  <c r="AI45" i="20"/>
  <c r="P45" i="20"/>
  <c r="S184" i="20"/>
  <c r="O184" i="20"/>
  <c r="AS184" i="20"/>
  <c r="G184" i="20"/>
  <c r="J184" i="20"/>
  <c r="W184" i="20"/>
  <c r="AR184" i="20"/>
  <c r="AN184" i="20"/>
  <c r="AE184" i="20"/>
  <c r="V184" i="20"/>
  <c r="B184" i="20"/>
  <c r="T184" i="20"/>
  <c r="AF184" i="20"/>
  <c r="AI184" i="20"/>
  <c r="AG184" i="20"/>
  <c r="AV184" i="20"/>
  <c r="AM184" i="20"/>
  <c r="AT184" i="20"/>
  <c r="Z184" i="20"/>
  <c r="Q184" i="20"/>
  <c r="AQ184" i="20"/>
  <c r="K184" i="20"/>
  <c r="AD184" i="20"/>
  <c r="AP184" i="20"/>
  <c r="U184" i="20"/>
  <c r="N184" i="20"/>
  <c r="AU184" i="20"/>
  <c r="AH184" i="20"/>
  <c r="AL184" i="20"/>
  <c r="AC184" i="20"/>
  <c r="AJ184" i="20"/>
  <c r="AA184" i="20"/>
  <c r="R184" i="20"/>
  <c r="AB184" i="20"/>
  <c r="X184" i="20"/>
  <c r="P184" i="20"/>
  <c r="AO184" i="20"/>
  <c r="K137" i="20"/>
  <c r="N137" i="20"/>
  <c r="AS137" i="20"/>
  <c r="AD137" i="20"/>
  <c r="AU137" i="20"/>
  <c r="AP137" i="20"/>
  <c r="AM137" i="20"/>
  <c r="AJ137" i="20"/>
  <c r="V137" i="20"/>
  <c r="X137" i="20"/>
  <c r="AA137" i="20"/>
  <c r="G137" i="20"/>
  <c r="AL137" i="20"/>
  <c r="AT137" i="20"/>
  <c r="B137" i="20"/>
  <c r="O137" i="20"/>
  <c r="AH137" i="20"/>
  <c r="AO137" i="20"/>
  <c r="AG137" i="20"/>
  <c r="AF137" i="20"/>
  <c r="W137" i="20"/>
  <c r="AC137" i="20"/>
  <c r="AE137" i="20"/>
  <c r="AB137" i="20"/>
  <c r="AI137" i="20"/>
  <c r="T137" i="20"/>
  <c r="AV137" i="20"/>
  <c r="S137" i="20"/>
  <c r="AQ137" i="20"/>
  <c r="AN137" i="20"/>
  <c r="AR137" i="20"/>
  <c r="U137" i="20"/>
  <c r="Z137" i="20"/>
  <c r="P137" i="20"/>
  <c r="R137" i="20"/>
  <c r="J137" i="20"/>
  <c r="Q137" i="20"/>
  <c r="AJ94" i="20"/>
  <c r="R94" i="20"/>
  <c r="Q94" i="20"/>
  <c r="J94" i="20"/>
  <c r="AO94" i="20"/>
  <c r="AL94" i="20"/>
  <c r="W94" i="20"/>
  <c r="U94" i="20"/>
  <c r="AC94" i="20"/>
  <c r="AE94" i="20"/>
  <c r="AU94" i="20"/>
  <c r="V94" i="20"/>
  <c r="AP94" i="20"/>
  <c r="AI94" i="20"/>
  <c r="O94" i="20"/>
  <c r="S94" i="20"/>
  <c r="AA94" i="20"/>
  <c r="AB94" i="20"/>
  <c r="T94" i="20"/>
  <c r="AH94" i="20"/>
  <c r="K94" i="20"/>
  <c r="P94" i="20"/>
  <c r="N94" i="20"/>
  <c r="AR94" i="20"/>
  <c r="G94" i="20"/>
  <c r="Z94" i="20"/>
  <c r="X94" i="20"/>
  <c r="AT94" i="20"/>
  <c r="B94" i="20"/>
  <c r="AN94" i="20"/>
  <c r="AF94" i="20"/>
  <c r="AS94" i="20"/>
  <c r="AG94" i="20"/>
  <c r="AQ94" i="20"/>
  <c r="AM94" i="20"/>
  <c r="AV94" i="20"/>
  <c r="AD94" i="20"/>
  <c r="B186" i="20"/>
  <c r="W186" i="20"/>
  <c r="AU186" i="20"/>
  <c r="T186" i="20"/>
  <c r="AN186" i="20"/>
  <c r="AD186" i="20"/>
  <c r="AI186" i="20"/>
  <c r="AV186" i="20"/>
  <c r="AP186" i="20"/>
  <c r="K186" i="20"/>
  <c r="P186" i="20"/>
  <c r="G186" i="20"/>
  <c r="AS186" i="20"/>
  <c r="AM186" i="20"/>
  <c r="AQ186" i="20"/>
  <c r="AF186" i="20"/>
  <c r="AO186" i="20"/>
  <c r="AB186" i="20"/>
  <c r="S186" i="20"/>
  <c r="N186" i="20"/>
  <c r="AH186" i="20"/>
  <c r="AR186" i="20"/>
  <c r="AG186" i="20"/>
  <c r="R186" i="20"/>
  <c r="O186" i="20"/>
  <c r="V186" i="20"/>
  <c r="AL186" i="20"/>
  <c r="X186" i="20"/>
  <c r="AT186" i="20"/>
  <c r="AJ186" i="20"/>
  <c r="U186" i="20"/>
  <c r="AA186" i="20"/>
  <c r="Q186" i="20"/>
  <c r="AC186" i="20"/>
  <c r="AE186" i="20"/>
  <c r="J186" i="20"/>
  <c r="Z186" i="20"/>
  <c r="S176" i="20"/>
  <c r="N176" i="20"/>
  <c r="O176" i="20"/>
  <c r="AA176" i="20"/>
  <c r="AU176" i="20"/>
  <c r="Z176" i="20"/>
  <c r="AR176" i="20"/>
  <c r="AO176" i="20"/>
  <c r="AG176" i="20"/>
  <c r="AS176" i="20"/>
  <c r="AD176" i="20"/>
  <c r="J176" i="20"/>
  <c r="Q176" i="20"/>
  <c r="AJ176" i="20"/>
  <c r="AI176" i="20"/>
  <c r="B176" i="20"/>
  <c r="AE176" i="20"/>
  <c r="R176" i="20"/>
  <c r="AC176" i="20"/>
  <c r="X176" i="20"/>
  <c r="AN176" i="20"/>
  <c r="AP176" i="20"/>
  <c r="T176" i="20"/>
  <c r="AM176" i="20"/>
  <c r="W176" i="20"/>
  <c r="G176" i="20"/>
  <c r="AB176" i="20"/>
  <c r="V176" i="20"/>
  <c r="P176" i="20"/>
  <c r="U176" i="20"/>
  <c r="AV176" i="20"/>
  <c r="AF176" i="20"/>
  <c r="K176" i="20"/>
  <c r="AH176" i="20"/>
  <c r="AQ176" i="20"/>
  <c r="AL176" i="20"/>
  <c r="AT176" i="20"/>
  <c r="U143" i="29"/>
  <c r="B143" i="29"/>
  <c r="B99" i="31"/>
  <c r="U99" i="31"/>
  <c r="U70" i="30"/>
  <c r="B70" i="30"/>
  <c r="U71" i="31"/>
  <c r="B71" i="31"/>
  <c r="U107" i="31"/>
  <c r="B107" i="31"/>
  <c r="U90" i="29"/>
  <c r="B90" i="29"/>
  <c r="U60" i="31"/>
  <c r="B60" i="31"/>
  <c r="B167" i="30"/>
  <c r="U167" i="30"/>
  <c r="B64" i="29"/>
  <c r="U64" i="29"/>
  <c r="N343" i="30"/>
  <c r="U50" i="31"/>
  <c r="B50" i="31"/>
  <c r="B176" i="31"/>
  <c r="U176" i="31"/>
  <c r="B178" i="1"/>
  <c r="U178" i="1"/>
  <c r="B113" i="1"/>
  <c r="U113" i="1"/>
  <c r="B83" i="31"/>
  <c r="U83" i="31"/>
  <c r="B108" i="1"/>
  <c r="U108" i="1"/>
  <c r="B129" i="29"/>
  <c r="U129" i="29"/>
  <c r="U110" i="29"/>
  <c r="B110" i="29"/>
  <c r="B61" i="1"/>
  <c r="U61" i="1"/>
  <c r="U102" i="31"/>
  <c r="B102" i="31"/>
  <c r="B69" i="26"/>
  <c r="AQ61" i="19"/>
  <c r="U113" i="29"/>
  <c r="B113" i="29"/>
  <c r="U150" i="29"/>
  <c r="B150" i="29"/>
  <c r="B180" i="1"/>
  <c r="U180" i="1"/>
  <c r="B100" i="1"/>
  <c r="U100" i="1"/>
  <c r="B58" i="30"/>
  <c r="U58" i="30"/>
  <c r="B77" i="31"/>
  <c r="U77" i="31"/>
  <c r="B91" i="30"/>
  <c r="U91" i="30"/>
  <c r="B104" i="29"/>
  <c r="U104" i="29"/>
  <c r="U77" i="29"/>
  <c r="B77" i="29"/>
  <c r="B182" i="1"/>
  <c r="U182" i="1"/>
  <c r="B86" i="30"/>
  <c r="U86" i="30"/>
  <c r="B44" i="30"/>
  <c r="U44" i="30"/>
  <c r="U35" i="1"/>
  <c r="B35" i="1"/>
  <c r="U36" i="29"/>
  <c r="B36" i="29"/>
  <c r="U174" i="20"/>
  <c r="G174" i="20"/>
  <c r="AP174" i="20"/>
  <c r="AB174" i="20"/>
  <c r="AR174" i="20"/>
  <c r="Z174" i="20"/>
  <c r="AS174" i="20"/>
  <c r="S174" i="20"/>
  <c r="AM174" i="20"/>
  <c r="AH174" i="20"/>
  <c r="T174" i="20"/>
  <c r="AL174" i="20"/>
  <c r="AE174" i="20"/>
  <c r="X174" i="20"/>
  <c r="AQ174" i="20"/>
  <c r="Q174" i="20"/>
  <c r="K174" i="20"/>
  <c r="O174" i="20"/>
  <c r="V174" i="20"/>
  <c r="AA174" i="20"/>
  <c r="AO174" i="20"/>
  <c r="J174" i="20"/>
  <c r="W174" i="20"/>
  <c r="AN174" i="20"/>
  <c r="P174" i="20"/>
  <c r="R174" i="20"/>
  <c r="AD174" i="20"/>
  <c r="AU174" i="20"/>
  <c r="AJ174" i="20"/>
  <c r="N174" i="20"/>
  <c r="B174" i="20"/>
  <c r="AI174" i="20"/>
  <c r="AG174" i="20"/>
  <c r="AF174" i="20"/>
  <c r="AV174" i="20"/>
  <c r="AC174" i="20"/>
  <c r="AT174" i="20"/>
  <c r="AJ229" i="20"/>
  <c r="AU229" i="20"/>
  <c r="U229" i="20"/>
  <c r="AV229" i="20"/>
  <c r="AI229" i="20"/>
  <c r="AG229" i="20"/>
  <c r="J229" i="20"/>
  <c r="AT229" i="20"/>
  <c r="AP229" i="20"/>
  <c r="AR229" i="20"/>
  <c r="AC229" i="20"/>
  <c r="AO229" i="20"/>
  <c r="T229" i="20"/>
  <c r="O229" i="20"/>
  <c r="B229" i="20"/>
  <c r="K229" i="20"/>
  <c r="V229" i="20"/>
  <c r="N229" i="20"/>
  <c r="X229" i="20"/>
  <c r="W229" i="20"/>
  <c r="AD229" i="20"/>
  <c r="AB229" i="20"/>
  <c r="AF229" i="20"/>
  <c r="R229" i="20"/>
  <c r="P229" i="20"/>
  <c r="Q229" i="20"/>
  <c r="AN229" i="20"/>
  <c r="Z229" i="20"/>
  <c r="AL229" i="20"/>
  <c r="AE229" i="20"/>
  <c r="AM229" i="20"/>
  <c r="AA229" i="20"/>
  <c r="AS229" i="20"/>
  <c r="S229" i="20"/>
  <c r="AQ229" i="20"/>
  <c r="AH229" i="20"/>
  <c r="U172" i="20"/>
  <c r="T172" i="20"/>
  <c r="S172" i="20"/>
  <c r="R172" i="20"/>
  <c r="AP172" i="20"/>
  <c r="AH172" i="20"/>
  <c r="AD172" i="20"/>
  <c r="AQ172" i="20"/>
  <c r="X172" i="20"/>
  <c r="AT172" i="20"/>
  <c r="AB172" i="20"/>
  <c r="Q172" i="20"/>
  <c r="Z172" i="20"/>
  <c r="W172" i="20"/>
  <c r="K172" i="20"/>
  <c r="B172" i="20"/>
  <c r="AU172" i="20"/>
  <c r="N172" i="20"/>
  <c r="AC172" i="20"/>
  <c r="AV172" i="20"/>
  <c r="AN172" i="20"/>
  <c r="O172" i="20"/>
  <c r="J172" i="20"/>
  <c r="AS172" i="20"/>
  <c r="AM172" i="20"/>
  <c r="AA172" i="20"/>
  <c r="AG172" i="20"/>
  <c r="AR172" i="20"/>
  <c r="AF172" i="20"/>
  <c r="AI172" i="20"/>
  <c r="AL172" i="20"/>
  <c r="G172" i="20"/>
  <c r="V172" i="20"/>
  <c r="AE172" i="20"/>
  <c r="AJ172" i="20"/>
  <c r="P172" i="20"/>
  <c r="AO172" i="20"/>
  <c r="AJ117" i="20"/>
  <c r="AO117" i="20"/>
  <c r="K117" i="20"/>
  <c r="AP117" i="20"/>
  <c r="AB117" i="20"/>
  <c r="W117" i="20"/>
  <c r="AT117" i="20"/>
  <c r="P117" i="20"/>
  <c r="AU117" i="20"/>
  <c r="J117" i="20"/>
  <c r="AM117" i="20"/>
  <c r="G117" i="20"/>
  <c r="AF117" i="20"/>
  <c r="Q117" i="20"/>
  <c r="O117" i="20"/>
  <c r="R117" i="20"/>
  <c r="V117" i="20"/>
  <c r="N117" i="20"/>
  <c r="AC117" i="20"/>
  <c r="AL117" i="20"/>
  <c r="AE117" i="20"/>
  <c r="Z117" i="20"/>
  <c r="AS117" i="20"/>
  <c r="AV117" i="20"/>
  <c r="AH117" i="20"/>
  <c r="B117" i="20"/>
  <c r="AN117" i="20"/>
  <c r="AR117" i="20"/>
  <c r="X117" i="20"/>
  <c r="AG117" i="20"/>
  <c r="S117" i="20"/>
  <c r="T117" i="20"/>
  <c r="AA117" i="20"/>
  <c r="AD117" i="20"/>
  <c r="U117" i="20"/>
  <c r="AQ117" i="20"/>
  <c r="AI117" i="20"/>
  <c r="Z2" i="20"/>
  <c r="AH2" i="20"/>
  <c r="S2" i="20"/>
  <c r="AE2" i="20"/>
  <c r="AU2" i="20"/>
  <c r="AL2" i="20"/>
  <c r="AT2" i="20"/>
  <c r="O2" i="20"/>
  <c r="AQ2" i="20"/>
  <c r="U2" i="20"/>
  <c r="AP2" i="20"/>
  <c r="AG2" i="20"/>
  <c r="J2" i="20"/>
  <c r="V2" i="20"/>
  <c r="AM2" i="20"/>
  <c r="AO2" i="20"/>
  <c r="B2" i="20"/>
  <c r="AS2" i="20"/>
  <c r="AN2" i="20"/>
  <c r="K2" i="20"/>
  <c r="R2" i="20"/>
  <c r="N2" i="20"/>
  <c r="G2" i="20"/>
  <c r="AC2" i="20"/>
  <c r="AV2" i="20"/>
  <c r="W2" i="20"/>
  <c r="AJ2" i="20"/>
  <c r="P2" i="20"/>
  <c r="Q2" i="20"/>
  <c r="AI2" i="20"/>
  <c r="T2" i="20"/>
  <c r="AR2" i="20"/>
  <c r="AF2" i="20"/>
  <c r="AB2" i="20"/>
  <c r="X2" i="20"/>
  <c r="AA2" i="20"/>
  <c r="AD2" i="20"/>
  <c r="Z11" i="20"/>
  <c r="AF11" i="20"/>
  <c r="T11" i="20"/>
  <c r="AG11" i="20"/>
  <c r="N11" i="20"/>
  <c r="O11" i="20"/>
  <c r="AJ11" i="20"/>
  <c r="U11" i="20"/>
  <c r="AD11" i="20"/>
  <c r="K11" i="20"/>
  <c r="AR11" i="20"/>
  <c r="S11" i="20"/>
  <c r="P11" i="20"/>
  <c r="R11" i="20"/>
  <c r="AB11" i="20"/>
  <c r="AT11" i="20"/>
  <c r="AH11" i="20"/>
  <c r="AA11" i="20"/>
  <c r="V11" i="20"/>
  <c r="G11" i="20"/>
  <c r="AI11" i="20"/>
  <c r="AE11" i="20"/>
  <c r="AS11" i="20"/>
  <c r="Q11" i="20"/>
  <c r="AO11" i="20"/>
  <c r="AC11" i="20"/>
  <c r="AN11" i="20"/>
  <c r="AV11" i="20"/>
  <c r="AQ11" i="20"/>
  <c r="B11" i="20"/>
  <c r="J11" i="20"/>
  <c r="AM11" i="20"/>
  <c r="X11" i="20"/>
  <c r="AU11" i="20"/>
  <c r="AL11" i="20"/>
  <c r="AP11" i="20"/>
  <c r="W11" i="20"/>
  <c r="AG119" i="20"/>
  <c r="AI119" i="20"/>
  <c r="S119" i="20"/>
  <c r="Z119" i="20"/>
  <c r="AM119" i="20"/>
  <c r="AV119" i="20"/>
  <c r="AC119" i="20"/>
  <c r="AH119" i="20"/>
  <c r="W119" i="20"/>
  <c r="G119" i="20"/>
  <c r="AS119" i="20"/>
  <c r="K119" i="20"/>
  <c r="AN119" i="20"/>
  <c r="N119" i="20"/>
  <c r="AT119" i="20"/>
  <c r="J119" i="20"/>
  <c r="AJ119" i="20"/>
  <c r="AD119" i="20"/>
  <c r="AL119" i="20"/>
  <c r="X119" i="20"/>
  <c r="R119" i="20"/>
  <c r="B119" i="20"/>
  <c r="U119" i="20"/>
  <c r="AF119" i="20"/>
  <c r="AO119" i="20"/>
  <c r="T119" i="20"/>
  <c r="AB119" i="20"/>
  <c r="V119" i="20"/>
  <c r="P119" i="20"/>
  <c r="Q119" i="20"/>
  <c r="AR119" i="20"/>
  <c r="AQ119" i="20"/>
  <c r="AU119" i="20"/>
  <c r="O119" i="20"/>
  <c r="AE119" i="20"/>
  <c r="AP119" i="20"/>
  <c r="AA119" i="20"/>
  <c r="X80" i="20"/>
  <c r="AH80" i="20"/>
  <c r="Z80" i="20"/>
  <c r="AI80" i="20"/>
  <c r="AP80" i="20"/>
  <c r="AN80" i="20"/>
  <c r="G80" i="20"/>
  <c r="AS80" i="20"/>
  <c r="AD80" i="20"/>
  <c r="Q80" i="20"/>
  <c r="AF80" i="20"/>
  <c r="AR80" i="20"/>
  <c r="AV80" i="20"/>
  <c r="AC80" i="20"/>
  <c r="AJ80" i="20"/>
  <c r="S80" i="20"/>
  <c r="W80" i="20"/>
  <c r="T80" i="20"/>
  <c r="AA80" i="20"/>
  <c r="AU80" i="20"/>
  <c r="J80" i="20"/>
  <c r="AE80" i="20"/>
  <c r="R80" i="20"/>
  <c r="V80" i="20"/>
  <c r="AG80" i="20"/>
  <c r="O80" i="20"/>
  <c r="U80" i="20"/>
  <c r="AO80" i="20"/>
  <c r="B80" i="20"/>
  <c r="AL80" i="20"/>
  <c r="AB80" i="20"/>
  <c r="P80" i="20"/>
  <c r="N80" i="20"/>
  <c r="K80" i="20"/>
  <c r="AQ80" i="20"/>
  <c r="AM80" i="20"/>
  <c r="AT80" i="20"/>
  <c r="U89" i="20"/>
  <c r="AM89" i="20"/>
  <c r="AI89" i="20"/>
  <c r="AN89" i="20"/>
  <c r="G89" i="20"/>
  <c r="Z89" i="20"/>
  <c r="T89" i="20"/>
  <c r="P89" i="20"/>
  <c r="AA89" i="20"/>
  <c r="AP89" i="20"/>
  <c r="X89" i="20"/>
  <c r="AL89" i="20"/>
  <c r="AB89" i="20"/>
  <c r="AR89" i="20"/>
  <c r="Q89" i="20"/>
  <c r="AT89" i="20"/>
  <c r="AO89" i="20"/>
  <c r="AH89" i="20"/>
  <c r="AV89" i="20"/>
  <c r="V89" i="20"/>
  <c r="AD89" i="20"/>
  <c r="AU89" i="20"/>
  <c r="B89" i="20"/>
  <c r="AE89" i="20"/>
  <c r="N89" i="20"/>
  <c r="O89" i="20"/>
  <c r="K89" i="20"/>
  <c r="AJ89" i="20"/>
  <c r="AF89" i="20"/>
  <c r="R89" i="20"/>
  <c r="AG89" i="20"/>
  <c r="W89" i="20"/>
  <c r="J89" i="20"/>
  <c r="S89" i="20"/>
  <c r="AC89" i="20"/>
  <c r="AQ89" i="20"/>
  <c r="AS89" i="20"/>
  <c r="V122" i="20"/>
  <c r="AG122" i="20"/>
  <c r="S122" i="20"/>
  <c r="O122" i="20"/>
  <c r="J122" i="20"/>
  <c r="AC122" i="20"/>
  <c r="R122" i="20"/>
  <c r="AB122" i="20"/>
  <c r="AV122" i="20"/>
  <c r="G122" i="20"/>
  <c r="AJ122" i="20"/>
  <c r="AF122" i="20"/>
  <c r="B122" i="20"/>
  <c r="AP122" i="20"/>
  <c r="AT122" i="20"/>
  <c r="Q122" i="20"/>
  <c r="Z122" i="20"/>
  <c r="AA122" i="20"/>
  <c r="K122" i="20"/>
  <c r="X122" i="20"/>
  <c r="AE122" i="20"/>
  <c r="AL122" i="20"/>
  <c r="T122" i="20"/>
  <c r="W122" i="20"/>
  <c r="AH122" i="20"/>
  <c r="AQ122" i="20"/>
  <c r="AR122" i="20"/>
  <c r="AU122" i="20"/>
  <c r="AN122" i="20"/>
  <c r="U122" i="20"/>
  <c r="AS122" i="20"/>
  <c r="AI122" i="20"/>
  <c r="P122" i="20"/>
  <c r="N122" i="20"/>
  <c r="AD122" i="20"/>
  <c r="AO122" i="20"/>
  <c r="AM122" i="20"/>
  <c r="S101" i="20"/>
  <c r="AF101" i="20"/>
  <c r="N101" i="20"/>
  <c r="AB101" i="20"/>
  <c r="AV101" i="20"/>
  <c r="AA101" i="20"/>
  <c r="Z101" i="20"/>
  <c r="J101" i="20"/>
  <c r="AE101" i="20"/>
  <c r="Q101" i="20"/>
  <c r="AC101" i="20"/>
  <c r="B101" i="20"/>
  <c r="AI101" i="20"/>
  <c r="T101" i="20"/>
  <c r="R101" i="20"/>
  <c r="AH101" i="20"/>
  <c r="AU101" i="20"/>
  <c r="AS101" i="20"/>
  <c r="V101" i="20"/>
  <c r="AD101" i="20"/>
  <c r="AP101" i="20"/>
  <c r="AR101" i="20"/>
  <c r="U101" i="20"/>
  <c r="AJ101" i="20"/>
  <c r="AQ101" i="20"/>
  <c r="AN101" i="20"/>
  <c r="X101" i="20"/>
  <c r="AO101" i="20"/>
  <c r="AT101" i="20"/>
  <c r="AG101" i="20"/>
  <c r="AL101" i="20"/>
  <c r="AM101" i="20"/>
  <c r="O101" i="20"/>
  <c r="K101" i="20"/>
  <c r="P101" i="20"/>
  <c r="G101" i="20"/>
  <c r="W101" i="20"/>
  <c r="N75" i="20"/>
  <c r="AF75" i="20"/>
  <c r="AN75" i="20"/>
  <c r="J75" i="20"/>
  <c r="G75" i="20"/>
  <c r="AD75" i="20"/>
  <c r="AP75" i="20"/>
  <c r="AI75" i="20"/>
  <c r="AG75" i="20"/>
  <c r="AC75" i="20"/>
  <c r="AB75" i="20"/>
  <c r="W75" i="20"/>
  <c r="S75" i="20"/>
  <c r="O75" i="20"/>
  <c r="AH75" i="20"/>
  <c r="AJ75" i="20"/>
  <c r="B75" i="20"/>
  <c r="X75" i="20"/>
  <c r="R75" i="20"/>
  <c r="AL75" i="20"/>
  <c r="AO75" i="20"/>
  <c r="Z75" i="20"/>
  <c r="U75" i="20"/>
  <c r="AV75" i="20"/>
  <c r="AM75" i="20"/>
  <c r="AQ75" i="20"/>
  <c r="V75" i="20"/>
  <c r="AE75" i="20"/>
  <c r="AU75" i="20"/>
  <c r="AR75" i="20"/>
  <c r="K75" i="20"/>
  <c r="P75" i="20"/>
  <c r="AA75" i="20"/>
  <c r="AT75" i="20"/>
  <c r="Q75" i="20"/>
  <c r="AS75" i="20"/>
  <c r="T75" i="20"/>
  <c r="AS201" i="20"/>
  <c r="K201" i="20"/>
  <c r="AN201" i="20"/>
  <c r="O201" i="20"/>
  <c r="AB201" i="20"/>
  <c r="AU201" i="20"/>
  <c r="AV201" i="20"/>
  <c r="AA201" i="20"/>
  <c r="B201" i="20"/>
  <c r="AR201" i="20"/>
  <c r="AL201" i="20"/>
  <c r="R201" i="20"/>
  <c r="AO201" i="20"/>
  <c r="AP201" i="20"/>
  <c r="Z201" i="20"/>
  <c r="AM201" i="20"/>
  <c r="AE201" i="20"/>
  <c r="N201" i="20"/>
  <c r="P201" i="20"/>
  <c r="AG201" i="20"/>
  <c r="AT201" i="20"/>
  <c r="S201" i="20"/>
  <c r="AI201" i="20"/>
  <c r="U201" i="20"/>
  <c r="AQ201" i="20"/>
  <c r="W201" i="20"/>
  <c r="AD201" i="20"/>
  <c r="AC201" i="20"/>
  <c r="V201" i="20"/>
  <c r="T201" i="20"/>
  <c r="J201" i="20"/>
  <c r="AF201" i="20"/>
  <c r="AH201" i="20"/>
  <c r="Q201" i="20"/>
  <c r="X201" i="20"/>
  <c r="G201" i="20"/>
  <c r="AJ201" i="20"/>
  <c r="B115" i="31"/>
  <c r="U115" i="31"/>
  <c r="B41" i="29"/>
  <c r="U41" i="29"/>
  <c r="U180" i="30"/>
  <c r="B180" i="30"/>
  <c r="B55" i="29"/>
  <c r="U55" i="29"/>
  <c r="B79" i="31"/>
  <c r="U79" i="31"/>
  <c r="B155" i="30"/>
  <c r="U155" i="30"/>
  <c r="A298" i="26"/>
  <c r="L320" i="1"/>
  <c r="U151" i="29"/>
  <c r="B151" i="29"/>
  <c r="D139" i="26"/>
  <c r="F139" i="26"/>
  <c r="U145" i="31"/>
  <c r="B145" i="31"/>
  <c r="U147" i="30"/>
  <c r="B147" i="30"/>
  <c r="U59" i="1"/>
  <c r="B59" i="1"/>
  <c r="B114" i="30"/>
  <c r="U114" i="30"/>
  <c r="B133" i="1"/>
  <c r="U133" i="1"/>
  <c r="B174" i="31"/>
  <c r="U174" i="31"/>
  <c r="B151" i="30"/>
  <c r="U151" i="30"/>
  <c r="U137" i="30"/>
  <c r="B137" i="30"/>
  <c r="N102" i="29"/>
  <c r="U158" i="30"/>
  <c r="B158" i="30"/>
  <c r="B117" i="31"/>
  <c r="U117" i="31"/>
  <c r="U57" i="29"/>
  <c r="B57" i="29"/>
  <c r="U129" i="31"/>
  <c r="B129" i="31"/>
  <c r="U89" i="29"/>
  <c r="B89" i="29"/>
  <c r="B161" i="30"/>
  <c r="U161" i="30"/>
  <c r="U76" i="30"/>
  <c r="B76" i="30"/>
  <c r="U97" i="29"/>
  <c r="B97" i="29"/>
  <c r="B136" i="1"/>
  <c r="U136" i="1"/>
  <c r="B126" i="30"/>
  <c r="U126" i="30"/>
  <c r="B166" i="1"/>
  <c r="U166" i="1"/>
  <c r="U138" i="1"/>
  <c r="B138" i="1"/>
  <c r="U121" i="30"/>
  <c r="B121" i="30"/>
  <c r="U93" i="31"/>
  <c r="B93" i="31"/>
  <c r="N191" i="20"/>
  <c r="Q191" i="20"/>
  <c r="AS191" i="20"/>
  <c r="AB191" i="20"/>
  <c r="AF191" i="20"/>
  <c r="K191" i="20"/>
  <c r="AQ191" i="20"/>
  <c r="J191" i="20"/>
  <c r="AL191" i="20"/>
  <c r="AJ191" i="20"/>
  <c r="AD191" i="20"/>
  <c r="AM191" i="20"/>
  <c r="AO191" i="20"/>
  <c r="T191" i="20"/>
  <c r="S191" i="20"/>
  <c r="AR191" i="20"/>
  <c r="AT191" i="20"/>
  <c r="U191" i="20"/>
  <c r="X191" i="20"/>
  <c r="P191" i="20"/>
  <c r="AC191" i="20"/>
  <c r="AU191" i="20"/>
  <c r="Z191" i="20"/>
  <c r="AA191" i="20"/>
  <c r="AH191" i="20"/>
  <c r="V191" i="20"/>
  <c r="R191" i="20"/>
  <c r="AG191" i="20"/>
  <c r="O191" i="20"/>
  <c r="W191" i="20"/>
  <c r="AI191" i="20"/>
  <c r="B191" i="20"/>
  <c r="AP191" i="20"/>
  <c r="AE191" i="20"/>
  <c r="G191" i="20"/>
  <c r="AN191" i="20"/>
  <c r="AV191" i="20"/>
  <c r="AC43" i="20"/>
  <c r="AQ43" i="20"/>
  <c r="AR43" i="20"/>
  <c r="AS43" i="20"/>
  <c r="W43" i="20"/>
  <c r="AE43" i="20"/>
  <c r="S43" i="20"/>
  <c r="AH43" i="20"/>
  <c r="AB43" i="20"/>
  <c r="Z43" i="20"/>
  <c r="AN43" i="20"/>
  <c r="K43" i="20"/>
  <c r="AU43" i="20"/>
  <c r="G43" i="20"/>
  <c r="AP43" i="20"/>
  <c r="AL43" i="20"/>
  <c r="P43" i="20"/>
  <c r="AG43" i="20"/>
  <c r="AO43" i="20"/>
  <c r="J43" i="20"/>
  <c r="AI43" i="20"/>
  <c r="T43" i="20"/>
  <c r="B43" i="20"/>
  <c r="AD43" i="20"/>
  <c r="AF43" i="20"/>
  <c r="N43" i="20"/>
  <c r="U43" i="20"/>
  <c r="AV43" i="20"/>
  <c r="AJ43" i="20"/>
  <c r="AA43" i="20"/>
  <c r="Q43" i="20"/>
  <c r="AT43" i="20"/>
  <c r="X43" i="20"/>
  <c r="O43" i="20"/>
  <c r="AM43" i="20"/>
  <c r="V43" i="20"/>
  <c r="R43" i="20"/>
  <c r="AP154" i="20"/>
  <c r="AV154" i="20"/>
  <c r="Z154" i="20"/>
  <c r="AR154" i="20"/>
  <c r="AJ154" i="20"/>
  <c r="O154" i="20"/>
  <c r="AU154" i="20"/>
  <c r="AL154" i="20"/>
  <c r="AA154" i="20"/>
  <c r="AO154" i="20"/>
  <c r="AC154" i="20"/>
  <c r="G154" i="20"/>
  <c r="T154" i="20"/>
  <c r="AH154" i="20"/>
  <c r="B154" i="20"/>
  <c r="S154" i="20"/>
  <c r="W154" i="20"/>
  <c r="K154" i="20"/>
  <c r="AE154" i="20"/>
  <c r="N154" i="20"/>
  <c r="V154" i="20"/>
  <c r="R154" i="20"/>
  <c r="U154" i="20"/>
  <c r="AI154" i="20"/>
  <c r="AD154" i="20"/>
  <c r="Q154" i="20"/>
  <c r="AM154" i="20"/>
  <c r="AF154" i="20"/>
  <c r="AN154" i="20"/>
  <c r="AS154" i="20"/>
  <c r="AT154" i="20"/>
  <c r="AG154" i="20"/>
  <c r="J154" i="20"/>
  <c r="AB154" i="20"/>
  <c r="AQ154" i="20"/>
  <c r="P154" i="20"/>
  <c r="X154" i="20"/>
  <c r="AE193" i="20"/>
  <c r="B193" i="20"/>
  <c r="AV193" i="20"/>
  <c r="S193" i="20"/>
  <c r="AP193" i="20"/>
  <c r="AD193" i="20"/>
  <c r="AC193" i="20"/>
  <c r="X193" i="20"/>
  <c r="T193" i="20"/>
  <c r="P193" i="20"/>
  <c r="R193" i="20"/>
  <c r="AN193" i="20"/>
  <c r="J193" i="20"/>
  <c r="AI193" i="20"/>
  <c r="AS193" i="20"/>
  <c r="G193" i="20"/>
  <c r="N193" i="20"/>
  <c r="U193" i="20"/>
  <c r="Z193" i="20"/>
  <c r="AG193" i="20"/>
  <c r="AU193" i="20"/>
  <c r="AJ193" i="20"/>
  <c r="AB193" i="20"/>
  <c r="O193" i="20"/>
  <c r="AT193" i="20"/>
  <c r="AA193" i="20"/>
  <c r="AL193" i="20"/>
  <c r="AM193" i="20"/>
  <c r="AF193" i="20"/>
  <c r="V193" i="20"/>
  <c r="AR193" i="20"/>
  <c r="AQ193" i="20"/>
  <c r="AH193" i="20"/>
  <c r="W193" i="20"/>
  <c r="Q193" i="20"/>
  <c r="K193" i="20"/>
  <c r="AO193" i="20"/>
  <c r="AC168" i="20"/>
  <c r="AV168" i="20"/>
  <c r="AA168" i="20"/>
  <c r="AO168" i="20"/>
  <c r="B168" i="20"/>
  <c r="X168" i="20"/>
  <c r="AT168" i="20"/>
  <c r="U168" i="20"/>
  <c r="R168" i="20"/>
  <c r="AJ168" i="20"/>
  <c r="AE168" i="20"/>
  <c r="AH168" i="20"/>
  <c r="P168" i="20"/>
  <c r="W168" i="20"/>
  <c r="AG168" i="20"/>
  <c r="AS168" i="20"/>
  <c r="AI168" i="20"/>
  <c r="AQ168" i="20"/>
  <c r="T168" i="20"/>
  <c r="AP168" i="20"/>
  <c r="N168" i="20"/>
  <c r="AD168" i="20"/>
  <c r="AU168" i="20"/>
  <c r="AF168" i="20"/>
  <c r="J168" i="20"/>
  <c r="AR168" i="20"/>
  <c r="AM168" i="20"/>
  <c r="AB168" i="20"/>
  <c r="O168" i="20"/>
  <c r="Z168" i="20"/>
  <c r="K168" i="20"/>
  <c r="S168" i="20"/>
  <c r="AN168" i="20"/>
  <c r="AL168" i="20"/>
  <c r="Q168" i="20"/>
  <c r="G168" i="20"/>
  <c r="V168" i="20"/>
  <c r="AJ160" i="20"/>
  <c r="T160" i="20"/>
  <c r="AR160" i="20"/>
  <c r="AG160" i="20"/>
  <c r="AH160" i="20"/>
  <c r="N160" i="20"/>
  <c r="AU160" i="20"/>
  <c r="AB160" i="20"/>
  <c r="G160" i="20"/>
  <c r="AD160" i="20"/>
  <c r="AF160" i="20"/>
  <c r="AV160" i="20"/>
  <c r="AI160" i="20"/>
  <c r="AA160" i="20"/>
  <c r="AO160" i="20"/>
  <c r="B160" i="20"/>
  <c r="Q160" i="20"/>
  <c r="AM160" i="20"/>
  <c r="AS160" i="20"/>
  <c r="AL160" i="20"/>
  <c r="AQ160" i="20"/>
  <c r="S160" i="20"/>
  <c r="K160" i="20"/>
  <c r="AN160" i="20"/>
  <c r="X160" i="20"/>
  <c r="Z160" i="20"/>
  <c r="V160" i="20"/>
  <c r="U160" i="20"/>
  <c r="J160" i="20"/>
  <c r="AP160" i="20"/>
  <c r="O160" i="20"/>
  <c r="AC160" i="20"/>
  <c r="R160" i="20"/>
  <c r="AT160" i="20"/>
  <c r="W160" i="20"/>
  <c r="AE160" i="20"/>
  <c r="P160" i="20"/>
  <c r="AC129" i="20"/>
  <c r="AV129" i="20"/>
  <c r="O129" i="20"/>
  <c r="V129" i="20"/>
  <c r="AT129" i="20"/>
  <c r="AB129" i="20"/>
  <c r="W129" i="20"/>
  <c r="AS129" i="20"/>
  <c r="AM129" i="20"/>
  <c r="G129" i="20"/>
  <c r="N129" i="20"/>
  <c r="Q129" i="20"/>
  <c r="AR129" i="20"/>
  <c r="K129" i="20"/>
  <c r="AN129" i="20"/>
  <c r="AH129" i="20"/>
  <c r="AQ129" i="20"/>
  <c r="B129" i="20"/>
  <c r="AA129" i="20"/>
  <c r="AG129" i="20"/>
  <c r="S129" i="20"/>
  <c r="AD129" i="20"/>
  <c r="AI129" i="20"/>
  <c r="AO129" i="20"/>
  <c r="AJ129" i="20"/>
  <c r="AE129" i="20"/>
  <c r="T129" i="20"/>
  <c r="AU129" i="20"/>
  <c r="AP129" i="20"/>
  <c r="AF129" i="20"/>
  <c r="R129" i="20"/>
  <c r="X129" i="20"/>
  <c r="P129" i="20"/>
  <c r="U129" i="20"/>
  <c r="J129" i="20"/>
  <c r="Z129" i="20"/>
  <c r="AL129" i="20"/>
  <c r="AE68" i="20"/>
  <c r="G68" i="20"/>
  <c r="AQ68" i="20"/>
  <c r="AN68" i="20"/>
  <c r="U68" i="20"/>
  <c r="J68" i="20"/>
  <c r="AC68" i="20"/>
  <c r="B68" i="20"/>
  <c r="Z68" i="20"/>
  <c r="O68" i="20"/>
  <c r="AJ68" i="20"/>
  <c r="S68" i="20"/>
  <c r="P68" i="20"/>
  <c r="X68" i="20"/>
  <c r="AF68" i="20"/>
  <c r="AM68" i="20"/>
  <c r="AU68" i="20"/>
  <c r="T68" i="20"/>
  <c r="R68" i="20"/>
  <c r="V68" i="20"/>
  <c r="AP68" i="20"/>
  <c r="K68" i="20"/>
  <c r="AL68" i="20"/>
  <c r="AG68" i="20"/>
  <c r="N68" i="20"/>
  <c r="AH68" i="20"/>
  <c r="AA68" i="20"/>
  <c r="AS68" i="20"/>
  <c r="AV68" i="20"/>
  <c r="AD68" i="20"/>
  <c r="AO68" i="20"/>
  <c r="AT68" i="20"/>
  <c r="AI68" i="20"/>
  <c r="Q68" i="20"/>
  <c r="AR68" i="20"/>
  <c r="AB68" i="20"/>
  <c r="W68" i="20"/>
  <c r="AB141" i="20"/>
  <c r="W141" i="20"/>
  <c r="Q141" i="20"/>
  <c r="AT141" i="20"/>
  <c r="N141" i="20"/>
  <c r="O141" i="20"/>
  <c r="AI141" i="20"/>
  <c r="J141" i="20"/>
  <c r="B141" i="20"/>
  <c r="AJ141" i="20"/>
  <c r="AM141" i="20"/>
  <c r="AC141" i="20"/>
  <c r="AO141" i="20"/>
  <c r="S141" i="20"/>
  <c r="AG141" i="20"/>
  <c r="AH141" i="20"/>
  <c r="AR141" i="20"/>
  <c r="K141" i="20"/>
  <c r="AP141" i="20"/>
  <c r="G141" i="20"/>
  <c r="AF141" i="20"/>
  <c r="R141" i="20"/>
  <c r="AQ141" i="20"/>
  <c r="AL141" i="20"/>
  <c r="Z141" i="20"/>
  <c r="AS141" i="20"/>
  <c r="AU141" i="20"/>
  <c r="T141" i="20"/>
  <c r="AE141" i="20"/>
  <c r="AV141" i="20"/>
  <c r="AA141" i="20"/>
  <c r="V141" i="20"/>
  <c r="P141" i="20"/>
  <c r="U141" i="20"/>
  <c r="AD141" i="20"/>
  <c r="AN141" i="20"/>
  <c r="X141" i="20"/>
  <c r="AT22" i="20"/>
  <c r="K22" i="20"/>
  <c r="AS22" i="20"/>
  <c r="AH22" i="20"/>
  <c r="G22" i="20"/>
  <c r="AE22" i="20"/>
  <c r="B22" i="20"/>
  <c r="AU22" i="20"/>
  <c r="AG22" i="20"/>
  <c r="AN22" i="20"/>
  <c r="U22" i="20"/>
  <c r="O22" i="20"/>
  <c r="AB22" i="20"/>
  <c r="Z22" i="20"/>
  <c r="AD22" i="20"/>
  <c r="T22" i="20"/>
  <c r="AF22" i="20"/>
  <c r="Q22" i="20"/>
  <c r="AJ22" i="20"/>
  <c r="V22" i="20"/>
  <c r="P22" i="20"/>
  <c r="S22" i="20"/>
  <c r="J22" i="20"/>
  <c r="AO22" i="20"/>
  <c r="AM22" i="20"/>
  <c r="AV22" i="20"/>
  <c r="AR22" i="20"/>
  <c r="AP22" i="20"/>
  <c r="N22" i="20"/>
  <c r="X22" i="20"/>
  <c r="AQ22" i="20"/>
  <c r="R22" i="20"/>
  <c r="AC22" i="20"/>
  <c r="AI22" i="20"/>
  <c r="AA22" i="20"/>
  <c r="W22" i="20"/>
  <c r="AL22" i="20"/>
  <c r="AR34" i="20"/>
  <c r="AI34" i="20"/>
  <c r="AH34" i="20"/>
  <c r="AE34" i="20"/>
  <c r="AJ34" i="20"/>
  <c r="N34" i="20"/>
  <c r="AS34" i="20"/>
  <c r="AM34" i="20"/>
  <c r="R34" i="20"/>
  <c r="T34" i="20"/>
  <c r="X34" i="20"/>
  <c r="AF34" i="20"/>
  <c r="AD34" i="20"/>
  <c r="AA34" i="20"/>
  <c r="AO34" i="20"/>
  <c r="AL34" i="20"/>
  <c r="O34" i="20"/>
  <c r="J34" i="20"/>
  <c r="AN34" i="20"/>
  <c r="S34" i="20"/>
  <c r="W34" i="20"/>
  <c r="AG34" i="20"/>
  <c r="AQ34" i="20"/>
  <c r="U34" i="20"/>
  <c r="AC34" i="20"/>
  <c r="AB34" i="20"/>
  <c r="AV34" i="20"/>
  <c r="Z34" i="20"/>
  <c r="AT34" i="20"/>
  <c r="AU34" i="20"/>
  <c r="K34" i="20"/>
  <c r="P34" i="20"/>
  <c r="AP34" i="20"/>
  <c r="B34" i="20"/>
  <c r="V34" i="20"/>
  <c r="G34" i="20"/>
  <c r="Q34" i="20"/>
  <c r="AH187" i="20"/>
  <c r="T187" i="20"/>
  <c r="U187" i="20"/>
  <c r="AC187" i="20"/>
  <c r="AF187" i="20"/>
  <c r="AV187" i="20"/>
  <c r="J187" i="20"/>
  <c r="AD187" i="20"/>
  <c r="R187" i="20"/>
  <c r="AL187" i="20"/>
  <c r="AA187" i="20"/>
  <c r="AU187" i="20"/>
  <c r="G187" i="20"/>
  <c r="N187" i="20"/>
  <c r="AQ187" i="20"/>
  <c r="S187" i="20"/>
  <c r="B187" i="20"/>
  <c r="Q187" i="20"/>
  <c r="P187" i="20"/>
  <c r="W187" i="20"/>
  <c r="AE187" i="20"/>
  <c r="AS187" i="20"/>
  <c r="X187" i="20"/>
  <c r="AG187" i="20"/>
  <c r="Z187" i="20"/>
  <c r="AP187" i="20"/>
  <c r="AT187" i="20"/>
  <c r="V187" i="20"/>
  <c r="O187" i="20"/>
  <c r="AM187" i="20"/>
  <c r="AB187" i="20"/>
  <c r="K187" i="20"/>
  <c r="AN187" i="20"/>
  <c r="AO187" i="20"/>
  <c r="AR187" i="20"/>
  <c r="AJ187" i="20"/>
  <c r="AI187" i="20"/>
  <c r="AC100" i="20"/>
  <c r="AF100" i="20"/>
  <c r="AI100" i="20"/>
  <c r="AV100" i="20"/>
  <c r="N100" i="20"/>
  <c r="AH100" i="20"/>
  <c r="T100" i="20"/>
  <c r="G100" i="20"/>
  <c r="AJ100" i="20"/>
  <c r="S100" i="20"/>
  <c r="AA100" i="20"/>
  <c r="AR100" i="20"/>
  <c r="W100" i="20"/>
  <c r="AB100" i="20"/>
  <c r="AG100" i="20"/>
  <c r="AT100" i="20"/>
  <c r="AP100" i="20"/>
  <c r="O100" i="20"/>
  <c r="AU100" i="20"/>
  <c r="Q100" i="20"/>
  <c r="K100" i="20"/>
  <c r="P100" i="20"/>
  <c r="AO100" i="20"/>
  <c r="U100" i="20"/>
  <c r="X100" i="20"/>
  <c r="AL100" i="20"/>
  <c r="AE100" i="20"/>
  <c r="B100" i="20"/>
  <c r="V100" i="20"/>
  <c r="J100" i="20"/>
  <c r="AN100" i="20"/>
  <c r="AQ100" i="20"/>
  <c r="AM100" i="20"/>
  <c r="AD100" i="20"/>
  <c r="R100" i="20"/>
  <c r="AS100" i="20"/>
  <c r="Z100" i="20"/>
  <c r="U72" i="30"/>
  <c r="B72" i="30"/>
  <c r="U32" i="29"/>
  <c r="B32" i="29"/>
  <c r="B43" i="31"/>
  <c r="U43" i="31"/>
  <c r="U47" i="30"/>
  <c r="B47" i="30"/>
  <c r="B169" i="30"/>
  <c r="U169" i="30"/>
  <c r="U127" i="31"/>
  <c r="B127" i="31"/>
  <c r="A235" i="26"/>
  <c r="L257" i="1"/>
  <c r="B125" i="30"/>
  <c r="U125" i="30"/>
  <c r="U33" i="31"/>
  <c r="B33" i="31"/>
  <c r="B64" i="1"/>
  <c r="U64" i="1"/>
  <c r="U179" i="29"/>
  <c r="B179" i="29"/>
  <c r="B44" i="1"/>
  <c r="U44" i="1"/>
  <c r="U142" i="29"/>
  <c r="B142" i="29"/>
  <c r="B105" i="31"/>
  <c r="U105" i="31"/>
  <c r="B157" i="30"/>
  <c r="U157" i="30"/>
  <c r="B172" i="1"/>
  <c r="U172" i="1"/>
  <c r="U45" i="31"/>
  <c r="B45" i="31"/>
  <c r="U173" i="31"/>
  <c r="B173" i="31"/>
  <c r="U151" i="31"/>
  <c r="B151" i="31"/>
  <c r="I284" i="26"/>
  <c r="E284" i="26" s="1"/>
  <c r="L306" i="1"/>
  <c r="U150" i="30"/>
  <c r="B150" i="30"/>
  <c r="N342" i="29" l="1"/>
  <c r="A190" i="26"/>
  <c r="A170" i="26"/>
  <c r="A189" i="26"/>
  <c r="A148" i="26"/>
  <c r="A149" i="26"/>
  <c r="A88" i="26"/>
  <c r="A111" i="26"/>
  <c r="A110" i="26"/>
  <c r="A124" i="26"/>
  <c r="A564" i="26"/>
  <c r="A745" i="26"/>
  <c r="A702" i="26"/>
  <c r="A670" i="26"/>
  <c r="A923" i="26"/>
  <c r="A690" i="26"/>
  <c r="A649" i="26"/>
  <c r="A746" i="26"/>
  <c r="A607" i="26"/>
  <c r="A669" i="26"/>
  <c r="A658" i="26"/>
  <c r="A879" i="26"/>
  <c r="A892" i="26"/>
  <c r="A580" i="26"/>
  <c r="A845" i="26"/>
  <c r="A581" i="26"/>
  <c r="A633" i="26"/>
  <c r="A986" i="26"/>
  <c r="A829" i="26"/>
  <c r="A634" i="26"/>
  <c r="A651" i="26"/>
  <c r="A810" i="26"/>
  <c r="A676" i="26"/>
  <c r="A694" i="26"/>
  <c r="A913" i="26"/>
  <c r="A903" i="26"/>
  <c r="A597" i="26"/>
  <c r="A615" i="26"/>
  <c r="A835" i="26"/>
  <c r="A635" i="26"/>
  <c r="A855" i="26"/>
  <c r="A914" i="26"/>
  <c r="A606" i="26"/>
  <c r="A837" i="26"/>
  <c r="A771" i="26"/>
  <c r="A806" i="26"/>
  <c r="A610" i="26"/>
  <c r="A808" i="26"/>
  <c r="A891" i="26"/>
  <c r="A926" i="26"/>
  <c r="A766" i="26"/>
  <c r="A909" i="26"/>
  <c r="A590" i="26"/>
  <c r="A662" i="26"/>
  <c r="A930" i="26"/>
  <c r="A858" i="26"/>
  <c r="A814" i="26"/>
  <c r="A1003" i="26"/>
  <c r="A834" i="26"/>
  <c r="A777" i="26"/>
  <c r="A756" i="26"/>
  <c r="A568" i="26"/>
  <c r="A884" i="26"/>
  <c r="A773" i="26"/>
  <c r="A763" i="26"/>
  <c r="A815" i="26"/>
  <c r="A811" i="26"/>
  <c r="A865" i="26"/>
  <c r="A793" i="26"/>
  <c r="A867" i="26"/>
  <c r="A582" i="26"/>
  <c r="A762" i="26"/>
  <c r="A737" i="26"/>
  <c r="A593" i="26"/>
  <c r="A956" i="26"/>
  <c r="A712" i="26"/>
  <c r="A755" i="26"/>
  <c r="A899" i="26"/>
  <c r="A781" i="26"/>
  <c r="A818" i="26"/>
  <c r="A854" i="26"/>
  <c r="A692" i="26"/>
  <c r="A700" i="26"/>
  <c r="A743" i="26"/>
  <c r="A693" i="26"/>
  <c r="A795" i="26"/>
  <c r="A575" i="26"/>
  <c r="A876" i="26"/>
  <c r="A948" i="26"/>
  <c r="A970" i="26"/>
  <c r="A939" i="26"/>
  <c r="A977" i="26"/>
  <c r="A682" i="26"/>
  <c r="A893" i="26"/>
  <c r="A917" i="26"/>
  <c r="A719" i="26"/>
  <c r="A734" i="26"/>
  <c r="A571" i="26"/>
  <c r="A919" i="26"/>
  <c r="A637" i="26"/>
  <c r="A687" i="26"/>
  <c r="A595" i="26"/>
  <c r="A983" i="26"/>
  <c r="A945" i="26"/>
  <c r="A1004" i="26"/>
  <c r="A751" i="26"/>
  <c r="A768" i="26"/>
  <c r="A978" i="26"/>
  <c r="A664" i="26"/>
  <c r="A969" i="26"/>
  <c r="A996" i="26"/>
  <c r="A761" i="26"/>
  <c r="A583" i="26"/>
  <c r="A600" i="26"/>
  <c r="A739" i="26"/>
  <c r="A584" i="26"/>
  <c r="A927" i="26"/>
  <c r="A569" i="26"/>
  <c r="A875" i="26"/>
  <c r="A895" i="26"/>
  <c r="A578" i="26"/>
  <c r="A565" i="26"/>
  <c r="A744" i="26"/>
  <c r="A714" i="26"/>
  <c r="A836" i="26"/>
  <c r="A931" i="26"/>
  <c r="A912" i="26"/>
  <c r="A599" i="26"/>
  <c r="A596" i="26"/>
  <c r="A908" i="26"/>
  <c r="A851" i="26"/>
  <c r="A573" i="26"/>
  <c r="A936" i="26"/>
  <c r="A622" i="26"/>
  <c r="A812" i="26"/>
  <c r="A846" i="26"/>
  <c r="A642" i="26"/>
  <c r="A833" i="26"/>
  <c r="A827" i="26"/>
  <c r="A618" i="26"/>
  <c r="A839" i="26"/>
  <c r="A924" i="26"/>
  <c r="A620" i="26"/>
  <c r="A667" i="26"/>
  <c r="A993" i="26"/>
  <c r="A587" i="26"/>
  <c r="A636" i="26"/>
  <c r="A934" i="26"/>
  <c r="A671" i="26"/>
  <c r="A955" i="26"/>
  <c r="A820" i="26"/>
  <c r="A925" i="26"/>
  <c r="A789" i="26"/>
  <c r="A979" i="26"/>
  <c r="A791" i="26"/>
  <c r="A825" i="26"/>
  <c r="A561" i="26"/>
  <c r="A684" i="26"/>
  <c r="A709" i="26"/>
  <c r="A918" i="26"/>
  <c r="A685" i="26"/>
  <c r="A679" i="26"/>
  <c r="A724" i="26"/>
  <c r="A941" i="26"/>
  <c r="A982" i="26"/>
  <c r="A985" i="26"/>
  <c r="A749" i="26"/>
  <c r="A760" i="26"/>
  <c r="A603" i="26"/>
  <c r="A966" i="26"/>
  <c r="A809" i="26"/>
  <c r="A960" i="26"/>
  <c r="A611" i="26"/>
  <c r="A774" i="26"/>
  <c r="A890" i="26"/>
  <c r="A998" i="26"/>
  <c r="A911" i="26"/>
  <c r="A900" i="26"/>
  <c r="A701" i="26"/>
  <c r="A699" i="26"/>
  <c r="A688" i="26"/>
  <c r="A728" i="26"/>
  <c r="A841" i="26"/>
  <c r="A698" i="26"/>
  <c r="A882" i="26"/>
  <c r="A779" i="26"/>
  <c r="A803" i="26"/>
  <c r="A840" i="26"/>
  <c r="A638" i="26"/>
  <c r="A591" i="26"/>
  <c r="A928" i="26"/>
  <c r="A592" i="26"/>
  <c r="A644" i="26"/>
  <c r="A997" i="26"/>
  <c r="A871" i="26"/>
  <c r="A905" i="26"/>
  <c r="A1008" i="26"/>
  <c r="A852" i="26"/>
  <c r="A866" i="26"/>
  <c r="A723" i="26"/>
  <c r="A883" i="26"/>
  <c r="A661" i="26"/>
  <c r="A668" i="26"/>
  <c r="A863" i="26"/>
  <c r="A752" i="26"/>
  <c r="A732" i="26"/>
  <c r="A588" i="26"/>
  <c r="A790" i="26"/>
  <c r="A747" i="26"/>
  <c r="A689" i="26"/>
  <c r="A1002" i="26"/>
  <c r="A952" i="26"/>
  <c r="A796" i="26"/>
  <c r="A616" i="26"/>
  <c r="A877" i="26"/>
  <c r="A659" i="26"/>
  <c r="A922" i="26"/>
  <c r="A1005" i="26"/>
  <c r="A802" i="26"/>
  <c r="A726" i="26"/>
  <c r="A976" i="26"/>
  <c r="A828" i="26"/>
  <c r="A681" i="26"/>
  <c r="A850" i="26"/>
  <c r="A920" i="26"/>
  <c r="A937" i="26"/>
  <c r="A716" i="26"/>
  <c r="A757" i="26"/>
  <c r="A947" i="26"/>
  <c r="A741" i="26"/>
  <c r="A735" i="26"/>
  <c r="A729" i="26"/>
  <c r="A856" i="26"/>
  <c r="A654" i="26"/>
  <c r="A783" i="26"/>
  <c r="A697" i="26"/>
  <c r="A995" i="26"/>
  <c r="A816" i="26"/>
  <c r="A897" i="26"/>
  <c r="A586" i="26"/>
  <c r="A663" i="26"/>
  <c r="A560" i="26"/>
  <c r="A567" i="26"/>
  <c r="A608" i="26"/>
  <c r="A780" i="26"/>
  <c r="A718" i="26"/>
  <c r="A800" i="26"/>
  <c r="A731" i="26"/>
  <c r="A691" i="26"/>
  <c r="A675" i="26"/>
  <c r="A799" i="26"/>
  <c r="A974" i="26"/>
  <c r="A674" i="26"/>
  <c r="A666" i="26"/>
  <c r="A764" i="26"/>
  <c r="A848" i="26"/>
  <c r="A765" i="26"/>
  <c r="A813" i="26"/>
  <c r="A847" i="26"/>
  <c r="A623" i="26"/>
  <c r="A650" i="26"/>
  <c r="A868" i="26"/>
  <c r="A959" i="26"/>
  <c r="A630" i="26"/>
  <c r="A673" i="26"/>
  <c r="A975" i="26"/>
  <c r="A625" i="26"/>
  <c r="A824" i="26"/>
  <c r="A857" i="26"/>
  <c r="A972" i="26"/>
  <c r="A566" i="26"/>
  <c r="A605" i="26"/>
  <c r="A944" i="26"/>
  <c r="A646" i="26"/>
  <c r="A904" i="26"/>
  <c r="A798" i="26"/>
  <c r="A940" i="26"/>
  <c r="A957" i="26"/>
  <c r="A621" i="26"/>
  <c r="A968" i="26"/>
  <c r="A665" i="26"/>
  <c r="A715" i="26"/>
  <c r="A562" i="26"/>
  <c r="A686" i="26"/>
  <c r="A711" i="26"/>
  <c r="A563" i="26"/>
  <c r="A916" i="26"/>
  <c r="A990" i="26"/>
  <c r="A953" i="26"/>
  <c r="A962" i="26"/>
  <c r="A991" i="26"/>
  <c r="A963" i="26"/>
  <c r="A753" i="26"/>
  <c r="A648" i="26"/>
  <c r="A861" i="26"/>
  <c r="A598" i="26"/>
  <c r="A717" i="26"/>
  <c r="A964" i="26"/>
  <c r="A819" i="26"/>
  <c r="A896" i="26"/>
  <c r="A707" i="26"/>
  <c r="A853" i="26"/>
  <c r="A887" i="26"/>
  <c r="A759" i="26"/>
  <c r="A889" i="26"/>
  <c r="A949" i="26"/>
  <c r="A967" i="26"/>
  <c r="A769" i="26"/>
  <c r="A950" i="26"/>
  <c r="A631" i="26"/>
  <c r="A740" i="26"/>
  <c r="A785" i="26"/>
  <c r="A628" i="26"/>
  <c r="A842" i="26"/>
  <c r="A1007" i="26"/>
  <c r="A894" i="26"/>
  <c r="A589" i="26"/>
  <c r="A655" i="26"/>
  <c r="A579" i="26"/>
  <c r="A898" i="26"/>
  <c r="A695" i="26"/>
  <c r="A672" i="26"/>
  <c r="A804" i="26"/>
  <c r="A784" i="26"/>
  <c r="A656" i="26"/>
  <c r="A994" i="26"/>
  <c r="A859" i="26"/>
  <c r="A704" i="26"/>
  <c r="A736" i="26"/>
  <c r="A570" i="26"/>
  <c r="A738" i="26"/>
  <c r="A872" i="26"/>
  <c r="A886" i="26"/>
  <c r="A652" i="26"/>
  <c r="A873" i="26"/>
  <c r="A907" i="26"/>
  <c r="A989" i="26"/>
  <c r="A1006" i="26"/>
  <c r="A626" i="26"/>
  <c r="A1001" i="26"/>
  <c r="A878" i="26"/>
  <c r="A594" i="26"/>
  <c r="A862" i="26"/>
  <c r="A951" i="26"/>
  <c r="A954" i="26"/>
  <c r="A860" i="26"/>
  <c r="A647" i="26"/>
  <c r="A880" i="26"/>
  <c r="A965" i="26"/>
  <c r="A725" i="26"/>
  <c r="A624" i="26"/>
  <c r="A987" i="26"/>
  <c r="A660" i="26"/>
  <c r="A988" i="26"/>
  <c r="A721" i="26"/>
  <c r="A758" i="26"/>
  <c r="A938" i="26"/>
  <c r="A722" i="26"/>
  <c r="A787" i="26"/>
  <c r="A572" i="26"/>
  <c r="I191" i="26"/>
  <c r="E191" i="26" s="1"/>
  <c r="H191" i="26"/>
  <c r="A191" i="26"/>
  <c r="N343" i="1"/>
  <c r="F348" i="1" s="1"/>
  <c r="R18" i="16"/>
  <c r="F18" i="16" s="1"/>
  <c r="O17" i="6"/>
  <c r="M17" i="6" s="1"/>
  <c r="Q19" i="16"/>
  <c r="I19" i="16" s="1"/>
  <c r="Q22" i="16"/>
  <c r="I22" i="16" s="1"/>
  <c r="R19" i="16"/>
  <c r="F19" i="16" s="1"/>
  <c r="Q12" i="16"/>
  <c r="J12" i="16" s="1"/>
  <c r="S15" i="16"/>
  <c r="H15" i="16" s="1"/>
  <c r="R17" i="16"/>
  <c r="F17" i="16" s="1"/>
  <c r="S12" i="16"/>
  <c r="H12" i="16" s="1"/>
  <c r="S20" i="16"/>
  <c r="H20" i="16" s="1"/>
  <c r="A125" i="26"/>
  <c r="S16" i="16"/>
  <c r="H16" i="16" s="1"/>
  <c r="Q14" i="16"/>
  <c r="J14" i="16" s="1"/>
  <c r="R23" i="16"/>
  <c r="F23" i="16" s="1"/>
  <c r="R20" i="16"/>
  <c r="F20" i="16" s="1"/>
  <c r="A139" i="26"/>
  <c r="S22" i="16"/>
  <c r="H22" i="16" s="1"/>
  <c r="Q18" i="16"/>
  <c r="I18" i="16" s="1"/>
  <c r="S18" i="16"/>
  <c r="H18" i="16" s="1"/>
  <c r="Q20" i="16"/>
  <c r="I20" i="16" s="1"/>
  <c r="R13" i="16"/>
  <c r="F13" i="16" s="1"/>
  <c r="Q13" i="16"/>
  <c r="Q15" i="16"/>
  <c r="Q16" i="16"/>
  <c r="J16" i="16" s="1"/>
  <c r="Q21" i="16"/>
  <c r="I21" i="16" s="1"/>
  <c r="AK89" i="20"/>
  <c r="M89" i="20"/>
  <c r="L89" i="20"/>
  <c r="Y89" i="20"/>
  <c r="AK199" i="20"/>
  <c r="M199" i="20"/>
  <c r="L199" i="20"/>
  <c r="Y199" i="20"/>
  <c r="AK32" i="20"/>
  <c r="M32" i="20"/>
  <c r="Y32" i="20"/>
  <c r="L32" i="20"/>
  <c r="AK17" i="20"/>
  <c r="L17" i="20"/>
  <c r="Y17" i="20"/>
  <c r="M17" i="20"/>
  <c r="AK84" i="20"/>
  <c r="Y84" i="20"/>
  <c r="M84" i="20"/>
  <c r="L84" i="20"/>
  <c r="L214" i="20"/>
  <c r="Y214" i="20"/>
  <c r="M214" i="20"/>
  <c r="AK214" i="20"/>
  <c r="AK218" i="20"/>
  <c r="Y218" i="20"/>
  <c r="M218" i="20"/>
  <c r="L218" i="20"/>
  <c r="AK76" i="20"/>
  <c r="M76" i="20"/>
  <c r="L76" i="20"/>
  <c r="Y76" i="20"/>
  <c r="AK127" i="20"/>
  <c r="L127" i="20"/>
  <c r="M127" i="20"/>
  <c r="Y127" i="20"/>
  <c r="L23" i="20"/>
  <c r="M23" i="20"/>
  <c r="Y23" i="20"/>
  <c r="AK23" i="20"/>
  <c r="AK144" i="20"/>
  <c r="Y144" i="20"/>
  <c r="L144" i="20"/>
  <c r="M144" i="20"/>
  <c r="AK109" i="20"/>
  <c r="Y109" i="20"/>
  <c r="L109" i="20"/>
  <c r="M109" i="20"/>
  <c r="AK196" i="20"/>
  <c r="L196" i="20"/>
  <c r="M196" i="20"/>
  <c r="Y196" i="20"/>
  <c r="AK135" i="20"/>
  <c r="M135" i="20"/>
  <c r="L135" i="20"/>
  <c r="Y135" i="20"/>
  <c r="AK166" i="20"/>
  <c r="Y166" i="20"/>
  <c r="L166" i="20"/>
  <c r="M166" i="20"/>
  <c r="AK52" i="20"/>
  <c r="L52" i="20"/>
  <c r="M52" i="20"/>
  <c r="Y52" i="20"/>
  <c r="AK29" i="20"/>
  <c r="M29" i="20"/>
  <c r="Y29" i="20"/>
  <c r="L29" i="20"/>
  <c r="AK151" i="20"/>
  <c r="Y151" i="20"/>
  <c r="M151" i="20"/>
  <c r="L151" i="20"/>
  <c r="M51" i="20"/>
  <c r="Y51" i="20"/>
  <c r="L51" i="20"/>
  <c r="AK51" i="20"/>
  <c r="L37" i="20"/>
  <c r="M37" i="20"/>
  <c r="AK37" i="20"/>
  <c r="Y37" i="20"/>
  <c r="AK225" i="20"/>
  <c r="M225" i="20"/>
  <c r="L225" i="20"/>
  <c r="Y225" i="20"/>
  <c r="AK100" i="20"/>
  <c r="M100" i="20"/>
  <c r="Y100" i="20"/>
  <c r="L100" i="20"/>
  <c r="AK12" i="20"/>
  <c r="M12" i="20"/>
  <c r="Y12" i="20"/>
  <c r="L12" i="20"/>
  <c r="AK117" i="20"/>
  <c r="L117" i="20"/>
  <c r="M117" i="20"/>
  <c r="Y117" i="20"/>
  <c r="AK204" i="20"/>
  <c r="Y204" i="20"/>
  <c r="M204" i="20"/>
  <c r="L204" i="20"/>
  <c r="Y35" i="20"/>
  <c r="L35" i="20"/>
  <c r="M35" i="20"/>
  <c r="AK35" i="20"/>
  <c r="AK250" i="20"/>
  <c r="Y250" i="20"/>
  <c r="L250" i="20"/>
  <c r="M250" i="20"/>
  <c r="Y14" i="20"/>
  <c r="L14" i="20"/>
  <c r="M14" i="20"/>
  <c r="AK14" i="20"/>
  <c r="AK24" i="20"/>
  <c r="Y24" i="20"/>
  <c r="M24" i="20"/>
  <c r="L24" i="20"/>
  <c r="M63" i="20"/>
  <c r="Y63" i="20"/>
  <c r="L63" i="20"/>
  <c r="AK63" i="20"/>
  <c r="Y177" i="20"/>
  <c r="AK177" i="20"/>
  <c r="M177" i="20"/>
  <c r="L177" i="20"/>
  <c r="AK185" i="20"/>
  <c r="L185" i="20"/>
  <c r="M185" i="20"/>
  <c r="Y185" i="20"/>
  <c r="A138" i="26"/>
  <c r="M248" i="20"/>
  <c r="L248" i="20"/>
  <c r="Y248" i="20"/>
  <c r="AK248" i="20"/>
  <c r="AK81" i="20"/>
  <c r="Y81" i="20"/>
  <c r="L81" i="20"/>
  <c r="M81" i="20"/>
  <c r="L189" i="20"/>
  <c r="Y189" i="20"/>
  <c r="AK189" i="20"/>
  <c r="M189" i="20"/>
  <c r="AK236" i="20"/>
  <c r="Y236" i="20"/>
  <c r="L236" i="20"/>
  <c r="M236" i="20"/>
  <c r="L130" i="20"/>
  <c r="M130" i="20"/>
  <c r="AK130" i="20"/>
  <c r="Y130" i="20"/>
  <c r="AK170" i="20"/>
  <c r="Y170" i="20"/>
  <c r="L170" i="20"/>
  <c r="M170" i="20"/>
  <c r="I18" i="6"/>
  <c r="K18" i="6" s="1"/>
  <c r="L241" i="20"/>
  <c r="Y241" i="20"/>
  <c r="M241" i="20"/>
  <c r="AK241" i="20"/>
  <c r="A196" i="26"/>
  <c r="O18" i="39"/>
  <c r="M18" i="39" s="1"/>
  <c r="AK107" i="20"/>
  <c r="M107" i="20"/>
  <c r="Y107" i="20"/>
  <c r="L107" i="20"/>
  <c r="L152" i="20"/>
  <c r="M152" i="20"/>
  <c r="Y152" i="20"/>
  <c r="AK152" i="20"/>
  <c r="AK99" i="20"/>
  <c r="Y99" i="20"/>
  <c r="M99" i="20"/>
  <c r="L99" i="20"/>
  <c r="L15" i="20"/>
  <c r="AK15" i="20"/>
  <c r="Y15" i="20"/>
  <c r="M15" i="20"/>
  <c r="H170" i="26"/>
  <c r="I170" i="26"/>
  <c r="E170" i="26" s="1"/>
  <c r="AK179" i="20"/>
  <c r="M179" i="20"/>
  <c r="L179" i="20"/>
  <c r="Y179" i="20"/>
  <c r="L140" i="20"/>
  <c r="Y140" i="20"/>
  <c r="M140" i="20"/>
  <c r="AK140" i="20"/>
  <c r="AK86" i="20"/>
  <c r="M86" i="20"/>
  <c r="Y86" i="20"/>
  <c r="L86" i="20"/>
  <c r="AK74" i="20"/>
  <c r="Y74" i="20"/>
  <c r="M74" i="20"/>
  <c r="L74" i="20"/>
  <c r="AK154" i="20"/>
  <c r="L154" i="20"/>
  <c r="Y154" i="20"/>
  <c r="M154" i="20"/>
  <c r="AK11" i="20"/>
  <c r="Y11" i="20"/>
  <c r="M11" i="20"/>
  <c r="L11" i="20"/>
  <c r="M186" i="20"/>
  <c r="Y186" i="20"/>
  <c r="AK186" i="20"/>
  <c r="L186" i="20"/>
  <c r="M137" i="20"/>
  <c r="Y137" i="20"/>
  <c r="L137" i="20"/>
  <c r="AK137" i="20"/>
  <c r="AK128" i="20"/>
  <c r="L128" i="20"/>
  <c r="Y128" i="20"/>
  <c r="M128" i="20"/>
  <c r="AK49" i="20"/>
  <c r="Y49" i="20"/>
  <c r="M49" i="20"/>
  <c r="L49" i="20"/>
  <c r="AK232" i="20"/>
  <c r="M232" i="20"/>
  <c r="L232" i="20"/>
  <c r="Y232" i="20"/>
  <c r="AK223" i="20"/>
  <c r="M223" i="20"/>
  <c r="L223" i="20"/>
  <c r="Y223" i="20"/>
  <c r="L93" i="20"/>
  <c r="M93" i="20"/>
  <c r="Y93" i="20"/>
  <c r="AK93" i="20"/>
  <c r="Y65" i="20"/>
  <c r="M65" i="20"/>
  <c r="L65" i="20"/>
  <c r="AK65" i="20"/>
  <c r="M206" i="20"/>
  <c r="L206" i="20"/>
  <c r="Y206" i="20"/>
  <c r="AK206" i="20"/>
  <c r="L172" i="39"/>
  <c r="Y222" i="20"/>
  <c r="L222" i="20"/>
  <c r="M222" i="20"/>
  <c r="AK222" i="20"/>
  <c r="AK114" i="20"/>
  <c r="L114" i="20"/>
  <c r="M114" i="20"/>
  <c r="Y114" i="20"/>
  <c r="AK87" i="20"/>
  <c r="Y87" i="20"/>
  <c r="L87" i="20"/>
  <c r="M87" i="20"/>
  <c r="M231" i="20"/>
  <c r="AK231" i="20"/>
  <c r="L231" i="20"/>
  <c r="Y231" i="20"/>
  <c r="Y238" i="20"/>
  <c r="L238" i="20"/>
  <c r="M238" i="20"/>
  <c r="AK238" i="20"/>
  <c r="M184" i="20"/>
  <c r="Y184" i="20"/>
  <c r="L184" i="20"/>
  <c r="AK184" i="20"/>
  <c r="M16" i="20"/>
  <c r="Y16" i="20"/>
  <c r="L16" i="20"/>
  <c r="AK16" i="20"/>
  <c r="M245" i="20"/>
  <c r="Y245" i="20"/>
  <c r="L245" i="20"/>
  <c r="AK245" i="20"/>
  <c r="AK237" i="20"/>
  <c r="L237" i="20"/>
  <c r="M237" i="20"/>
  <c r="Y237" i="20"/>
  <c r="AK139" i="20"/>
  <c r="M139" i="20"/>
  <c r="L139" i="20"/>
  <c r="Y139" i="20"/>
  <c r="M79" i="20"/>
  <c r="Y79" i="20"/>
  <c r="L79" i="20"/>
  <c r="AK79" i="20"/>
  <c r="AK219" i="20"/>
  <c r="Y219" i="20"/>
  <c r="M219" i="20"/>
  <c r="L219" i="20"/>
  <c r="AK7" i="20"/>
  <c r="M7" i="20"/>
  <c r="Y7" i="20"/>
  <c r="L7" i="20"/>
  <c r="AK62" i="20"/>
  <c r="L62" i="20"/>
  <c r="Y62" i="20"/>
  <c r="M62" i="20"/>
  <c r="AK167" i="20"/>
  <c r="Y167" i="20"/>
  <c r="L167" i="20"/>
  <c r="M167" i="20"/>
  <c r="AK73" i="20"/>
  <c r="Y73" i="20"/>
  <c r="L73" i="20"/>
  <c r="M73" i="20"/>
  <c r="AK115" i="20"/>
  <c r="M115" i="20"/>
  <c r="L115" i="20"/>
  <c r="Y115" i="20"/>
  <c r="AK156" i="20"/>
  <c r="L156" i="20"/>
  <c r="M156" i="20"/>
  <c r="Y156" i="20"/>
  <c r="A183" i="26"/>
  <c r="AK240" i="20"/>
  <c r="Y240" i="20"/>
  <c r="L240" i="20"/>
  <c r="M240" i="20"/>
  <c r="L249" i="20"/>
  <c r="Y249" i="20"/>
  <c r="M249" i="20"/>
  <c r="AK249" i="20"/>
  <c r="AK121" i="20"/>
  <c r="L121" i="20"/>
  <c r="Y121" i="20"/>
  <c r="M121" i="20"/>
  <c r="I18" i="37"/>
  <c r="K18" i="37" s="1"/>
  <c r="AK67" i="20"/>
  <c r="M67" i="20"/>
  <c r="L67" i="20"/>
  <c r="Y67" i="20"/>
  <c r="AK77" i="20"/>
  <c r="Y77" i="20"/>
  <c r="M77" i="20"/>
  <c r="L77" i="20"/>
  <c r="AK68" i="20"/>
  <c r="L68" i="20"/>
  <c r="Y68" i="20"/>
  <c r="M68" i="20"/>
  <c r="AK201" i="20"/>
  <c r="Y201" i="20"/>
  <c r="L201" i="20"/>
  <c r="M201" i="20"/>
  <c r="AK229" i="20"/>
  <c r="Y229" i="20"/>
  <c r="M229" i="20"/>
  <c r="L229" i="20"/>
  <c r="R12" i="16"/>
  <c r="F12" i="16" s="1"/>
  <c r="R16" i="16"/>
  <c r="F16" i="16" s="1"/>
  <c r="S13" i="16"/>
  <c r="H13" i="16" s="1"/>
  <c r="Q23" i="16"/>
  <c r="S14" i="16"/>
  <c r="H14" i="16" s="1"/>
  <c r="Q17" i="16"/>
  <c r="R21" i="16"/>
  <c r="F21" i="16" s="1"/>
  <c r="R22" i="16"/>
  <c r="F22" i="16" s="1"/>
  <c r="R15" i="16"/>
  <c r="F15" i="16" s="1"/>
  <c r="AK213" i="20"/>
  <c r="L213" i="20"/>
  <c r="M213" i="20"/>
  <c r="Y213" i="20"/>
  <c r="A174" i="6"/>
  <c r="F174" i="6" s="1"/>
  <c r="C19" i="6"/>
  <c r="G19" i="6"/>
  <c r="D19" i="6"/>
  <c r="H19" i="6" s="1"/>
  <c r="A20" i="6"/>
  <c r="B19" i="6"/>
  <c r="E19" i="6"/>
  <c r="F19" i="6"/>
  <c r="AK197" i="20"/>
  <c r="Y197" i="20"/>
  <c r="L197" i="20"/>
  <c r="M197" i="20"/>
  <c r="AK78" i="20"/>
  <c r="M78" i="20"/>
  <c r="L78" i="20"/>
  <c r="Y78" i="20"/>
  <c r="AK96" i="20"/>
  <c r="L96" i="20"/>
  <c r="Y96" i="20"/>
  <c r="M96" i="20"/>
  <c r="M70" i="20"/>
  <c r="Y70" i="20"/>
  <c r="L70" i="20"/>
  <c r="AK70" i="20"/>
  <c r="Y6" i="20"/>
  <c r="L6" i="20"/>
  <c r="AK6" i="20"/>
  <c r="M6" i="20"/>
  <c r="M20" i="20"/>
  <c r="Y20" i="20"/>
  <c r="L20" i="20"/>
  <c r="AK20" i="20"/>
  <c r="AK200" i="20"/>
  <c r="L200" i="20"/>
  <c r="M200" i="20"/>
  <c r="Y200" i="20"/>
  <c r="AK103" i="20"/>
  <c r="M103" i="20"/>
  <c r="L103" i="20"/>
  <c r="Y103" i="20"/>
  <c r="AK212" i="20"/>
  <c r="M212" i="20"/>
  <c r="Y212" i="20"/>
  <c r="L212" i="20"/>
  <c r="AK174" i="20"/>
  <c r="Y174" i="20"/>
  <c r="M174" i="20"/>
  <c r="L174" i="20"/>
  <c r="AK131" i="20"/>
  <c r="L131" i="20"/>
  <c r="Y131" i="20"/>
  <c r="M131" i="20"/>
  <c r="L202" i="20"/>
  <c r="M202" i="20"/>
  <c r="Y202" i="20"/>
  <c r="AK202" i="20"/>
  <c r="L92" i="20"/>
  <c r="Y92" i="20"/>
  <c r="AK92" i="20"/>
  <c r="M92" i="20"/>
  <c r="AK242" i="20"/>
  <c r="M242" i="20"/>
  <c r="L242" i="20"/>
  <c r="Y242" i="20"/>
  <c r="D19" i="37"/>
  <c r="H19" i="37" s="1"/>
  <c r="A20" i="37"/>
  <c r="C19" i="37"/>
  <c r="F19" i="37"/>
  <c r="A174" i="37"/>
  <c r="F174" i="37" s="1"/>
  <c r="E19" i="37"/>
  <c r="I19" i="37" s="1"/>
  <c r="K19" i="37" s="1"/>
  <c r="G19" i="37"/>
  <c r="B19" i="37"/>
  <c r="AK171" i="20"/>
  <c r="M171" i="20"/>
  <c r="Y171" i="20"/>
  <c r="L171" i="20"/>
  <c r="AK168" i="20"/>
  <c r="L168" i="20"/>
  <c r="M168" i="20"/>
  <c r="Y168" i="20"/>
  <c r="AK193" i="20"/>
  <c r="L193" i="20"/>
  <c r="Y193" i="20"/>
  <c r="M193" i="20"/>
  <c r="AK141" i="20"/>
  <c r="Y141" i="20"/>
  <c r="M141" i="20"/>
  <c r="L141" i="20"/>
  <c r="AK83" i="20"/>
  <c r="L83" i="20"/>
  <c r="Y83" i="20"/>
  <c r="M83" i="20"/>
  <c r="AK235" i="20"/>
  <c r="L235" i="20"/>
  <c r="M235" i="20"/>
  <c r="Y235" i="20"/>
  <c r="Y228" i="20"/>
  <c r="L228" i="20"/>
  <c r="M228" i="20"/>
  <c r="AK228" i="20"/>
  <c r="AK203" i="20"/>
  <c r="Y203" i="20"/>
  <c r="L203" i="20"/>
  <c r="M203" i="20"/>
  <c r="Y188" i="20"/>
  <c r="M188" i="20"/>
  <c r="AK188" i="20"/>
  <c r="L188" i="20"/>
  <c r="AK25" i="20"/>
  <c r="M25" i="20"/>
  <c r="L25" i="20"/>
  <c r="Y25" i="20"/>
  <c r="A169" i="26"/>
  <c r="AK10" i="20"/>
  <c r="L10" i="20"/>
  <c r="Y10" i="20"/>
  <c r="M10" i="20"/>
  <c r="AK190" i="20"/>
  <c r="L190" i="20"/>
  <c r="M190" i="20"/>
  <c r="Y190" i="20"/>
  <c r="AK165" i="20"/>
  <c r="L165" i="20"/>
  <c r="M165" i="20"/>
  <c r="Y165" i="20"/>
  <c r="G173" i="37"/>
  <c r="B173" i="37"/>
  <c r="K173" i="37"/>
  <c r="AK91" i="20"/>
  <c r="Y91" i="20"/>
  <c r="M91" i="20"/>
  <c r="L91" i="20"/>
  <c r="L172" i="37"/>
  <c r="L217" i="20"/>
  <c r="Y217" i="20"/>
  <c r="M217" i="20"/>
  <c r="AK217" i="20"/>
  <c r="L187" i="20"/>
  <c r="Y187" i="20"/>
  <c r="AK187" i="20"/>
  <c r="M187" i="20"/>
  <c r="AK172" i="20"/>
  <c r="L172" i="20"/>
  <c r="Y172" i="20"/>
  <c r="M172" i="20"/>
  <c r="AK133" i="20"/>
  <c r="L133" i="20"/>
  <c r="Y133" i="20"/>
  <c r="M133" i="20"/>
  <c r="AK105" i="20"/>
  <c r="L105" i="20"/>
  <c r="Y105" i="20"/>
  <c r="M105" i="20"/>
  <c r="AK134" i="20"/>
  <c r="Y134" i="20"/>
  <c r="M134" i="20"/>
  <c r="L134" i="20"/>
  <c r="AK44" i="20"/>
  <c r="M44" i="20"/>
  <c r="L44" i="20"/>
  <c r="Y44" i="20"/>
  <c r="L124" i="20"/>
  <c r="AK124" i="20"/>
  <c r="Y124" i="20"/>
  <c r="M124" i="20"/>
  <c r="Y104" i="20"/>
  <c r="L104" i="20"/>
  <c r="AK104" i="20"/>
  <c r="M104" i="20"/>
  <c r="AK56" i="20"/>
  <c r="L56" i="20"/>
  <c r="Y56" i="20"/>
  <c r="M56" i="20"/>
  <c r="B173" i="6"/>
  <c r="G173" i="6"/>
  <c r="K173" i="6"/>
  <c r="AK120" i="20"/>
  <c r="L120" i="20"/>
  <c r="Y120" i="20"/>
  <c r="M120" i="20"/>
  <c r="L172" i="38"/>
  <c r="AK142" i="20"/>
  <c r="Y142" i="20"/>
  <c r="L142" i="20"/>
  <c r="M142" i="20"/>
  <c r="AK5" i="20"/>
  <c r="M5" i="20"/>
  <c r="L5" i="20"/>
  <c r="Y5" i="20"/>
  <c r="AK227" i="20"/>
  <c r="Y227" i="20"/>
  <c r="M227" i="20"/>
  <c r="L227" i="20"/>
  <c r="AK13" i="20"/>
  <c r="L13" i="20"/>
  <c r="Y13" i="20"/>
  <c r="M13" i="20"/>
  <c r="AK239" i="20"/>
  <c r="L239" i="20"/>
  <c r="Y239" i="20"/>
  <c r="M239" i="20"/>
  <c r="S17" i="16"/>
  <c r="H17" i="16" s="1"/>
  <c r="AK64" i="20"/>
  <c r="Y64" i="20"/>
  <c r="L64" i="20"/>
  <c r="M64" i="20"/>
  <c r="AK207" i="20"/>
  <c r="Y207" i="20"/>
  <c r="M207" i="20"/>
  <c r="L207" i="20"/>
  <c r="AK180" i="20"/>
  <c r="L180" i="20"/>
  <c r="Y180" i="20"/>
  <c r="M180" i="20"/>
  <c r="I111" i="26"/>
  <c r="E111" i="26" s="1"/>
  <c r="H111" i="26"/>
  <c r="AK221" i="20"/>
  <c r="L221" i="20"/>
  <c r="M221" i="20"/>
  <c r="Y221" i="20"/>
  <c r="AK173" i="20"/>
  <c r="L173" i="20"/>
  <c r="Y173" i="20"/>
  <c r="M173" i="20"/>
  <c r="Y108" i="20"/>
  <c r="M108" i="20"/>
  <c r="L108" i="20"/>
  <c r="AK108" i="20"/>
  <c r="M123" i="20"/>
  <c r="L123" i="20"/>
  <c r="Y123" i="20"/>
  <c r="AK123" i="20"/>
  <c r="L38" i="20"/>
  <c r="M38" i="20"/>
  <c r="AK38" i="20"/>
  <c r="Y38" i="20"/>
  <c r="O18" i="38"/>
  <c r="M18" i="38" s="1"/>
  <c r="M27" i="20"/>
  <c r="Y27" i="20"/>
  <c r="AK27" i="20"/>
  <c r="L27" i="20"/>
  <c r="AK33" i="20"/>
  <c r="M33" i="20"/>
  <c r="L33" i="20"/>
  <c r="Y33" i="20"/>
  <c r="AK150" i="20"/>
  <c r="Y150" i="20"/>
  <c r="L150" i="20"/>
  <c r="M150" i="20"/>
  <c r="Y48" i="20"/>
  <c r="L48" i="20"/>
  <c r="M48" i="20"/>
  <c r="AK48" i="20"/>
  <c r="AK9" i="20"/>
  <c r="L9" i="20"/>
  <c r="M9" i="20"/>
  <c r="Y9" i="20"/>
  <c r="AK4" i="20"/>
  <c r="M4" i="20"/>
  <c r="L4" i="20"/>
  <c r="Y4" i="20"/>
  <c r="AK149" i="20"/>
  <c r="M149" i="20"/>
  <c r="L149" i="20"/>
  <c r="Y149" i="20"/>
  <c r="M54" i="20"/>
  <c r="L54" i="20"/>
  <c r="AK54" i="20"/>
  <c r="Y54" i="20"/>
  <c r="AK34" i="20"/>
  <c r="Y34" i="20"/>
  <c r="M34" i="20"/>
  <c r="L34" i="20"/>
  <c r="A185" i="26"/>
  <c r="AK80" i="20"/>
  <c r="L80" i="20"/>
  <c r="Y80" i="20"/>
  <c r="M80" i="20"/>
  <c r="AK198" i="20"/>
  <c r="L198" i="20"/>
  <c r="Y198" i="20"/>
  <c r="M198" i="20"/>
  <c r="AK233" i="20"/>
  <c r="M233" i="20"/>
  <c r="Y233" i="20"/>
  <c r="L233" i="20"/>
  <c r="M8" i="20"/>
  <c r="AK8" i="20"/>
  <c r="L8" i="20"/>
  <c r="Y8" i="20"/>
  <c r="AK112" i="20"/>
  <c r="M112" i="20"/>
  <c r="L112" i="20"/>
  <c r="Y112" i="20"/>
  <c r="Y53" i="20"/>
  <c r="M53" i="20"/>
  <c r="L53" i="20"/>
  <c r="AK53" i="20"/>
  <c r="I3" i="20"/>
  <c r="I4" i="20" s="1"/>
  <c r="I5" i="20" s="1"/>
  <c r="I6" i="20" s="1"/>
  <c r="I7" i="20" s="1"/>
  <c r="I8" i="20" s="1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I19" i="20" s="1"/>
  <c r="I20" i="20" s="1"/>
  <c r="I21" i="20" s="1"/>
  <c r="I22" i="20" s="1"/>
  <c r="I23" i="20" s="1"/>
  <c r="I24" i="20" s="1"/>
  <c r="I25" i="20" s="1"/>
  <c r="I26" i="20" s="1"/>
  <c r="I27" i="20" s="1"/>
  <c r="I28" i="20" s="1"/>
  <c r="I29" i="20" s="1"/>
  <c r="I30" i="20" s="1"/>
  <c r="I31" i="20" s="1"/>
  <c r="I32" i="20" s="1"/>
  <c r="I33" i="20" s="1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47" i="20" s="1"/>
  <c r="I48" i="20" s="1"/>
  <c r="I49" i="20" s="1"/>
  <c r="I50" i="20" s="1"/>
  <c r="I51" i="20" s="1"/>
  <c r="I52" i="20" s="1"/>
  <c r="I53" i="20" s="1"/>
  <c r="I54" i="20" s="1"/>
  <c r="I55" i="20" s="1"/>
  <c r="I56" i="20" s="1"/>
  <c r="I57" i="20" s="1"/>
  <c r="I58" i="20" s="1"/>
  <c r="I59" i="20" s="1"/>
  <c r="I60" i="20" s="1"/>
  <c r="I61" i="20" s="1"/>
  <c r="I62" i="20" s="1"/>
  <c r="I63" i="20" s="1"/>
  <c r="I64" i="20" s="1"/>
  <c r="I65" i="20" s="1"/>
  <c r="I66" i="20" s="1"/>
  <c r="I67" i="20" s="1"/>
  <c r="I68" i="20" s="1"/>
  <c r="I69" i="20" s="1"/>
  <c r="I70" i="20" s="1"/>
  <c r="I71" i="20" s="1"/>
  <c r="I72" i="20" s="1"/>
  <c r="I73" i="20" s="1"/>
  <c r="I74" i="20" s="1"/>
  <c r="I75" i="20" s="1"/>
  <c r="I76" i="20" s="1"/>
  <c r="I77" i="20" s="1"/>
  <c r="I78" i="20" s="1"/>
  <c r="I79" i="20" s="1"/>
  <c r="I80" i="20" s="1"/>
  <c r="I81" i="20" s="1"/>
  <c r="I82" i="20" s="1"/>
  <c r="I83" i="20" s="1"/>
  <c r="I84" i="20" s="1"/>
  <c r="I85" i="20" s="1"/>
  <c r="I86" i="20" s="1"/>
  <c r="I87" i="20" s="1"/>
  <c r="I88" i="20" s="1"/>
  <c r="I89" i="20" s="1"/>
  <c r="I90" i="20" s="1"/>
  <c r="I91" i="20" s="1"/>
  <c r="I92" i="20" s="1"/>
  <c r="I93" i="20" s="1"/>
  <c r="I94" i="20" s="1"/>
  <c r="I95" i="20" s="1"/>
  <c r="I96" i="20" s="1"/>
  <c r="I97" i="20" s="1"/>
  <c r="I98" i="20" s="1"/>
  <c r="I99" i="20" s="1"/>
  <c r="I100" i="20" s="1"/>
  <c r="I101" i="20" s="1"/>
  <c r="I102" i="20" s="1"/>
  <c r="I103" i="20" s="1"/>
  <c r="I104" i="20" s="1"/>
  <c r="I105" i="20" s="1"/>
  <c r="I106" i="20" s="1"/>
  <c r="I107" i="20" s="1"/>
  <c r="I108" i="20" s="1"/>
  <c r="I109" i="20" s="1"/>
  <c r="I110" i="20" s="1"/>
  <c r="I111" i="20" s="1"/>
  <c r="I112" i="20" s="1"/>
  <c r="I113" i="20" s="1"/>
  <c r="I114" i="20" s="1"/>
  <c r="I115" i="20" s="1"/>
  <c r="I116" i="20" s="1"/>
  <c r="I117" i="20" s="1"/>
  <c r="I118" i="20" s="1"/>
  <c r="I119" i="20" s="1"/>
  <c r="I120" i="20" s="1"/>
  <c r="I121" i="20" s="1"/>
  <c r="I122" i="20" s="1"/>
  <c r="I123" i="20" s="1"/>
  <c r="I124" i="20" s="1"/>
  <c r="I125" i="20" s="1"/>
  <c r="I126" i="20" s="1"/>
  <c r="I127" i="20" s="1"/>
  <c r="I128" i="20" s="1"/>
  <c r="I129" i="20" s="1"/>
  <c r="I130" i="20" s="1"/>
  <c r="I131" i="20" s="1"/>
  <c r="I132" i="20" s="1"/>
  <c r="I133" i="20" s="1"/>
  <c r="I134" i="20" s="1"/>
  <c r="I135" i="20" s="1"/>
  <c r="I136" i="20" s="1"/>
  <c r="I137" i="20" s="1"/>
  <c r="I138" i="20" s="1"/>
  <c r="I139" i="20" s="1"/>
  <c r="I140" i="20" s="1"/>
  <c r="I141" i="20" s="1"/>
  <c r="I142" i="20" s="1"/>
  <c r="I143" i="20" s="1"/>
  <c r="I144" i="20" s="1"/>
  <c r="I145" i="20" s="1"/>
  <c r="I146" i="20" s="1"/>
  <c r="I147" i="20" s="1"/>
  <c r="I148" i="20" s="1"/>
  <c r="I149" i="20" s="1"/>
  <c r="I150" i="20" s="1"/>
  <c r="I151" i="20" s="1"/>
  <c r="I152" i="20" s="1"/>
  <c r="I153" i="20" s="1"/>
  <c r="I154" i="20" s="1"/>
  <c r="I155" i="20" s="1"/>
  <c r="I156" i="20" s="1"/>
  <c r="I157" i="20" s="1"/>
  <c r="I158" i="20" s="1"/>
  <c r="I159" i="20" s="1"/>
  <c r="I160" i="20" s="1"/>
  <c r="I161" i="20" s="1"/>
  <c r="I162" i="20" s="1"/>
  <c r="I163" i="20" s="1"/>
  <c r="I164" i="20" s="1"/>
  <c r="I165" i="20" s="1"/>
  <c r="I166" i="20" s="1"/>
  <c r="I167" i="20" s="1"/>
  <c r="I168" i="20" s="1"/>
  <c r="I169" i="20" s="1"/>
  <c r="I170" i="20" s="1"/>
  <c r="I171" i="20" s="1"/>
  <c r="I172" i="20" s="1"/>
  <c r="I173" i="20" s="1"/>
  <c r="I174" i="20" s="1"/>
  <c r="I175" i="20" s="1"/>
  <c r="I176" i="20" s="1"/>
  <c r="I177" i="20" s="1"/>
  <c r="I178" i="20" s="1"/>
  <c r="I179" i="20" s="1"/>
  <c r="I180" i="20" s="1"/>
  <c r="I181" i="20" s="1"/>
  <c r="I182" i="20" s="1"/>
  <c r="I183" i="20" s="1"/>
  <c r="I184" i="20" s="1"/>
  <c r="I185" i="20" s="1"/>
  <c r="I186" i="20" s="1"/>
  <c r="I187" i="20" s="1"/>
  <c r="I188" i="20" s="1"/>
  <c r="I189" i="20" s="1"/>
  <c r="I190" i="20" s="1"/>
  <c r="I191" i="20" s="1"/>
  <c r="I192" i="20" s="1"/>
  <c r="I193" i="20" s="1"/>
  <c r="I194" i="20" s="1"/>
  <c r="I195" i="20" s="1"/>
  <c r="I196" i="20" s="1"/>
  <c r="I197" i="20" s="1"/>
  <c r="I198" i="20" s="1"/>
  <c r="I199" i="20" s="1"/>
  <c r="I200" i="20" s="1"/>
  <c r="I201" i="20" s="1"/>
  <c r="I202" i="20" s="1"/>
  <c r="I203" i="20" s="1"/>
  <c r="I204" i="20" s="1"/>
  <c r="I205" i="20" s="1"/>
  <c r="I206" i="20" s="1"/>
  <c r="I207" i="20" s="1"/>
  <c r="I208" i="20" s="1"/>
  <c r="I209" i="20" s="1"/>
  <c r="I210" i="20" s="1"/>
  <c r="I211" i="20" s="1"/>
  <c r="I212" i="20" s="1"/>
  <c r="I213" i="20" s="1"/>
  <c r="I214" i="20" s="1"/>
  <c r="I215" i="20" s="1"/>
  <c r="I216" i="20" s="1"/>
  <c r="I217" i="20" s="1"/>
  <c r="I218" i="20" s="1"/>
  <c r="I219" i="20" s="1"/>
  <c r="I220" i="20" s="1"/>
  <c r="I221" i="20" s="1"/>
  <c r="I222" i="20" s="1"/>
  <c r="I223" i="20" s="1"/>
  <c r="I224" i="20" s="1"/>
  <c r="I225" i="20" s="1"/>
  <c r="I226" i="20" s="1"/>
  <c r="I227" i="20" s="1"/>
  <c r="I228" i="20" s="1"/>
  <c r="I229" i="20" s="1"/>
  <c r="I230" i="20" s="1"/>
  <c r="I231" i="20" s="1"/>
  <c r="I232" i="20" s="1"/>
  <c r="I233" i="20" s="1"/>
  <c r="I234" i="20" s="1"/>
  <c r="I235" i="20" s="1"/>
  <c r="I236" i="20" s="1"/>
  <c r="I237" i="20" s="1"/>
  <c r="I238" i="20" s="1"/>
  <c r="I239" i="20" s="1"/>
  <c r="I240" i="20" s="1"/>
  <c r="I241" i="20" s="1"/>
  <c r="I242" i="20" s="1"/>
  <c r="I243" i="20" s="1"/>
  <c r="I244" i="20" s="1"/>
  <c r="I245" i="20" s="1"/>
  <c r="I246" i="20" s="1"/>
  <c r="I247" i="20" s="1"/>
  <c r="I248" i="20" s="1"/>
  <c r="I249" i="20" s="1"/>
  <c r="I250" i="20" s="1"/>
  <c r="I251" i="20" s="1"/>
  <c r="AK3" i="20"/>
  <c r="D3" i="20"/>
  <c r="D4" i="20" s="1"/>
  <c r="D5" i="20" s="1"/>
  <c r="D6" i="20" s="1"/>
  <c r="D7" i="20" s="1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D148" i="20" s="1"/>
  <c r="D149" i="20" s="1"/>
  <c r="D150" i="20" s="1"/>
  <c r="D151" i="20" s="1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241" i="20" s="1"/>
  <c r="D242" i="20" s="1"/>
  <c r="D243" i="20" s="1"/>
  <c r="D244" i="20" s="1"/>
  <c r="D245" i="20" s="1"/>
  <c r="D246" i="20" s="1"/>
  <c r="D247" i="20" s="1"/>
  <c r="D248" i="20" s="1"/>
  <c r="D249" i="20" s="1"/>
  <c r="D250" i="20" s="1"/>
  <c r="D251" i="20" s="1"/>
  <c r="F3" i="20"/>
  <c r="F4" i="20" s="1"/>
  <c r="F5" i="20" s="1"/>
  <c r="F6" i="20" s="1"/>
  <c r="F7" i="20" s="1"/>
  <c r="F8" i="20" s="1"/>
  <c r="F9" i="20" s="1"/>
  <c r="F10" i="20" s="1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F47" i="20" s="1"/>
  <c r="F48" i="20" s="1"/>
  <c r="F49" i="20" s="1"/>
  <c r="F50" i="20" s="1"/>
  <c r="F51" i="20" s="1"/>
  <c r="F52" i="20" s="1"/>
  <c r="F53" i="20" s="1"/>
  <c r="F54" i="20" s="1"/>
  <c r="F55" i="20" s="1"/>
  <c r="F56" i="20" s="1"/>
  <c r="F57" i="20" s="1"/>
  <c r="F58" i="20" s="1"/>
  <c r="F59" i="20" s="1"/>
  <c r="F60" i="20" s="1"/>
  <c r="F61" i="20" s="1"/>
  <c r="F62" i="20" s="1"/>
  <c r="F63" i="20" s="1"/>
  <c r="F64" i="20" s="1"/>
  <c r="F65" i="20" s="1"/>
  <c r="F66" i="20" s="1"/>
  <c r="F67" i="20" s="1"/>
  <c r="F68" i="20" s="1"/>
  <c r="F69" i="20" s="1"/>
  <c r="F70" i="20" s="1"/>
  <c r="F71" i="20" s="1"/>
  <c r="F72" i="20" s="1"/>
  <c r="F73" i="20" s="1"/>
  <c r="F74" i="20" s="1"/>
  <c r="F75" i="20" s="1"/>
  <c r="F76" i="20" s="1"/>
  <c r="F77" i="20" s="1"/>
  <c r="F78" i="20" s="1"/>
  <c r="F79" i="20" s="1"/>
  <c r="F80" i="20" s="1"/>
  <c r="F81" i="20" s="1"/>
  <c r="F82" i="20" s="1"/>
  <c r="F83" i="20" s="1"/>
  <c r="F84" i="20" s="1"/>
  <c r="F85" i="20" s="1"/>
  <c r="F86" i="20" s="1"/>
  <c r="F87" i="20" s="1"/>
  <c r="F88" i="20" s="1"/>
  <c r="F89" i="20" s="1"/>
  <c r="F90" i="20" s="1"/>
  <c r="F91" i="20" s="1"/>
  <c r="F92" i="20" s="1"/>
  <c r="F93" i="20" s="1"/>
  <c r="F94" i="20" s="1"/>
  <c r="F95" i="20" s="1"/>
  <c r="F96" i="20" s="1"/>
  <c r="F97" i="20" s="1"/>
  <c r="F98" i="20" s="1"/>
  <c r="F99" i="20" s="1"/>
  <c r="F100" i="20" s="1"/>
  <c r="F101" i="20" s="1"/>
  <c r="F102" i="20" s="1"/>
  <c r="F103" i="20" s="1"/>
  <c r="F104" i="20" s="1"/>
  <c r="F105" i="20" s="1"/>
  <c r="F106" i="20" s="1"/>
  <c r="F107" i="20" s="1"/>
  <c r="F108" i="20" s="1"/>
  <c r="F109" i="20" s="1"/>
  <c r="F110" i="20" s="1"/>
  <c r="F111" i="20" s="1"/>
  <c r="F112" i="20" s="1"/>
  <c r="F113" i="20" s="1"/>
  <c r="F114" i="20" s="1"/>
  <c r="F115" i="20" s="1"/>
  <c r="F116" i="20" s="1"/>
  <c r="F117" i="20" s="1"/>
  <c r="F118" i="20" s="1"/>
  <c r="F119" i="20" s="1"/>
  <c r="F120" i="20" s="1"/>
  <c r="F121" i="20" s="1"/>
  <c r="F122" i="20" s="1"/>
  <c r="F123" i="20" s="1"/>
  <c r="F124" i="20" s="1"/>
  <c r="F125" i="20" s="1"/>
  <c r="F126" i="20" s="1"/>
  <c r="F127" i="20" s="1"/>
  <c r="F128" i="20" s="1"/>
  <c r="F129" i="20" s="1"/>
  <c r="F130" i="20" s="1"/>
  <c r="F131" i="20" s="1"/>
  <c r="F132" i="20" s="1"/>
  <c r="F133" i="20" s="1"/>
  <c r="F134" i="20" s="1"/>
  <c r="F135" i="20" s="1"/>
  <c r="F136" i="20" s="1"/>
  <c r="F137" i="20" s="1"/>
  <c r="F138" i="20" s="1"/>
  <c r="F139" i="20" s="1"/>
  <c r="F140" i="20" s="1"/>
  <c r="F141" i="20" s="1"/>
  <c r="F142" i="20" s="1"/>
  <c r="F143" i="20" s="1"/>
  <c r="F144" i="20" s="1"/>
  <c r="F145" i="20" s="1"/>
  <c r="F146" i="20" s="1"/>
  <c r="F147" i="20" s="1"/>
  <c r="F148" i="20" s="1"/>
  <c r="F149" i="20" s="1"/>
  <c r="F150" i="20" s="1"/>
  <c r="F151" i="20" s="1"/>
  <c r="F152" i="20" s="1"/>
  <c r="F153" i="20" s="1"/>
  <c r="F154" i="20" s="1"/>
  <c r="F155" i="20" s="1"/>
  <c r="F156" i="20" s="1"/>
  <c r="F157" i="20" s="1"/>
  <c r="F158" i="20" s="1"/>
  <c r="F159" i="20" s="1"/>
  <c r="F160" i="20" s="1"/>
  <c r="F161" i="20" s="1"/>
  <c r="F162" i="20" s="1"/>
  <c r="F163" i="20" s="1"/>
  <c r="F164" i="20" s="1"/>
  <c r="F165" i="20" s="1"/>
  <c r="F166" i="20" s="1"/>
  <c r="F167" i="20" s="1"/>
  <c r="F168" i="20" s="1"/>
  <c r="F169" i="20" s="1"/>
  <c r="F170" i="20" s="1"/>
  <c r="F171" i="20" s="1"/>
  <c r="F172" i="20" s="1"/>
  <c r="F173" i="20" s="1"/>
  <c r="F174" i="20" s="1"/>
  <c r="F175" i="20" s="1"/>
  <c r="F176" i="20" s="1"/>
  <c r="F177" i="20" s="1"/>
  <c r="F178" i="20" s="1"/>
  <c r="F179" i="20" s="1"/>
  <c r="F180" i="20" s="1"/>
  <c r="F181" i="20" s="1"/>
  <c r="F182" i="20" s="1"/>
  <c r="F183" i="20" s="1"/>
  <c r="F184" i="20" s="1"/>
  <c r="F185" i="20" s="1"/>
  <c r="F186" i="20" s="1"/>
  <c r="F187" i="20" s="1"/>
  <c r="F188" i="20" s="1"/>
  <c r="F189" i="20" s="1"/>
  <c r="F190" i="20" s="1"/>
  <c r="F191" i="20" s="1"/>
  <c r="F192" i="20" s="1"/>
  <c r="F193" i="20" s="1"/>
  <c r="F194" i="20" s="1"/>
  <c r="F195" i="20" s="1"/>
  <c r="F196" i="20" s="1"/>
  <c r="F197" i="20" s="1"/>
  <c r="F198" i="20" s="1"/>
  <c r="F199" i="20" s="1"/>
  <c r="F200" i="20" s="1"/>
  <c r="F201" i="20" s="1"/>
  <c r="F202" i="20" s="1"/>
  <c r="F203" i="20" s="1"/>
  <c r="F204" i="20" s="1"/>
  <c r="F205" i="20" s="1"/>
  <c r="F206" i="20" s="1"/>
  <c r="F207" i="20" s="1"/>
  <c r="F208" i="20" s="1"/>
  <c r="F209" i="20" s="1"/>
  <c r="F210" i="20" s="1"/>
  <c r="F211" i="20" s="1"/>
  <c r="F212" i="20" s="1"/>
  <c r="F213" i="20" s="1"/>
  <c r="F214" i="20" s="1"/>
  <c r="F215" i="20" s="1"/>
  <c r="F216" i="20" s="1"/>
  <c r="F217" i="20" s="1"/>
  <c r="F218" i="20" s="1"/>
  <c r="F219" i="20" s="1"/>
  <c r="F220" i="20" s="1"/>
  <c r="F221" i="20" s="1"/>
  <c r="F222" i="20" s="1"/>
  <c r="F223" i="20" s="1"/>
  <c r="F224" i="20" s="1"/>
  <c r="F225" i="20" s="1"/>
  <c r="F226" i="20" s="1"/>
  <c r="F227" i="20" s="1"/>
  <c r="F228" i="20" s="1"/>
  <c r="F229" i="20" s="1"/>
  <c r="F230" i="20" s="1"/>
  <c r="F231" i="20" s="1"/>
  <c r="F232" i="20" s="1"/>
  <c r="F233" i="20" s="1"/>
  <c r="F234" i="20" s="1"/>
  <c r="F235" i="20" s="1"/>
  <c r="F236" i="20" s="1"/>
  <c r="F237" i="20" s="1"/>
  <c r="F238" i="20" s="1"/>
  <c r="F239" i="20" s="1"/>
  <c r="F240" i="20" s="1"/>
  <c r="F241" i="20" s="1"/>
  <c r="F242" i="20" s="1"/>
  <c r="F243" i="20" s="1"/>
  <c r="F244" i="20" s="1"/>
  <c r="F245" i="20" s="1"/>
  <c r="F246" i="20" s="1"/>
  <c r="F247" i="20" s="1"/>
  <c r="F248" i="20" s="1"/>
  <c r="F249" i="20" s="1"/>
  <c r="F250" i="20" s="1"/>
  <c r="F251" i="20" s="1"/>
  <c r="H3" i="20"/>
  <c r="H4" i="20" s="1"/>
  <c r="H5" i="20" s="1"/>
  <c r="H6" i="20" s="1"/>
  <c r="H7" i="20" s="1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23" i="20" s="1"/>
  <c r="H24" i="20" s="1"/>
  <c r="H25" i="20" s="1"/>
  <c r="H26" i="20" s="1"/>
  <c r="H27" i="20" s="1"/>
  <c r="H28" i="20" s="1"/>
  <c r="H29" i="20" s="1"/>
  <c r="H30" i="20" s="1"/>
  <c r="H31" i="20" s="1"/>
  <c r="H32" i="20" s="1"/>
  <c r="H33" i="20" s="1"/>
  <c r="H34" i="20" s="1"/>
  <c r="H35" i="20" s="1"/>
  <c r="H36" i="20" s="1"/>
  <c r="H37" i="20" s="1"/>
  <c r="H38" i="20" s="1"/>
  <c r="H39" i="20" s="1"/>
  <c r="H40" i="20" s="1"/>
  <c r="H41" i="20" s="1"/>
  <c r="H42" i="20" s="1"/>
  <c r="H43" i="20" s="1"/>
  <c r="H44" i="20" s="1"/>
  <c r="H45" i="20" s="1"/>
  <c r="H46" i="20" s="1"/>
  <c r="H47" i="20" s="1"/>
  <c r="H48" i="20" s="1"/>
  <c r="H49" i="20" s="1"/>
  <c r="H50" i="20" s="1"/>
  <c r="H51" i="20" s="1"/>
  <c r="H52" i="20" s="1"/>
  <c r="H53" i="20" s="1"/>
  <c r="H54" i="20" s="1"/>
  <c r="H55" i="20" s="1"/>
  <c r="H56" i="20" s="1"/>
  <c r="H57" i="20" s="1"/>
  <c r="H58" i="20" s="1"/>
  <c r="H59" i="20" s="1"/>
  <c r="H60" i="20" s="1"/>
  <c r="H61" i="20" s="1"/>
  <c r="H62" i="20" s="1"/>
  <c r="H63" i="20" s="1"/>
  <c r="H64" i="20" s="1"/>
  <c r="H65" i="20" s="1"/>
  <c r="H66" i="20" s="1"/>
  <c r="H67" i="20" s="1"/>
  <c r="H68" i="20" s="1"/>
  <c r="H69" i="20" s="1"/>
  <c r="H70" i="20" s="1"/>
  <c r="H71" i="20" s="1"/>
  <c r="H72" i="20" s="1"/>
  <c r="H73" i="20" s="1"/>
  <c r="H74" i="20" s="1"/>
  <c r="H75" i="20" s="1"/>
  <c r="H76" i="20" s="1"/>
  <c r="H77" i="20" s="1"/>
  <c r="H78" i="20" s="1"/>
  <c r="H79" i="20" s="1"/>
  <c r="H80" i="20" s="1"/>
  <c r="H81" i="20" s="1"/>
  <c r="H82" i="20" s="1"/>
  <c r="H83" i="20" s="1"/>
  <c r="H84" i="20" s="1"/>
  <c r="H85" i="20" s="1"/>
  <c r="H86" i="20" s="1"/>
  <c r="H87" i="20" s="1"/>
  <c r="H88" i="20" s="1"/>
  <c r="H89" i="20" s="1"/>
  <c r="H90" i="20" s="1"/>
  <c r="H91" i="20" s="1"/>
  <c r="H92" i="20" s="1"/>
  <c r="H93" i="20" s="1"/>
  <c r="H94" i="20" s="1"/>
  <c r="H95" i="20" s="1"/>
  <c r="H96" i="20" s="1"/>
  <c r="H97" i="20" s="1"/>
  <c r="H98" i="20" s="1"/>
  <c r="H99" i="20" s="1"/>
  <c r="H100" i="20" s="1"/>
  <c r="H101" i="20" s="1"/>
  <c r="H102" i="20" s="1"/>
  <c r="H103" i="20" s="1"/>
  <c r="H104" i="20" s="1"/>
  <c r="H105" i="20" s="1"/>
  <c r="H106" i="20" s="1"/>
  <c r="H107" i="20" s="1"/>
  <c r="H108" i="20" s="1"/>
  <c r="H109" i="20" s="1"/>
  <c r="H110" i="20" s="1"/>
  <c r="H111" i="20" s="1"/>
  <c r="H112" i="20" s="1"/>
  <c r="H113" i="20" s="1"/>
  <c r="H114" i="20" s="1"/>
  <c r="H115" i="20" s="1"/>
  <c r="H116" i="20" s="1"/>
  <c r="H117" i="20" s="1"/>
  <c r="H118" i="20" s="1"/>
  <c r="H119" i="20" s="1"/>
  <c r="H120" i="20" s="1"/>
  <c r="H121" i="20" s="1"/>
  <c r="H122" i="20" s="1"/>
  <c r="H123" i="20" s="1"/>
  <c r="H124" i="20" s="1"/>
  <c r="H125" i="20" s="1"/>
  <c r="H126" i="20" s="1"/>
  <c r="H127" i="20" s="1"/>
  <c r="H128" i="20" s="1"/>
  <c r="H129" i="20" s="1"/>
  <c r="H130" i="20" s="1"/>
  <c r="H131" i="20" s="1"/>
  <c r="H132" i="20" s="1"/>
  <c r="H133" i="20" s="1"/>
  <c r="H134" i="20" s="1"/>
  <c r="H135" i="20" s="1"/>
  <c r="H136" i="20" s="1"/>
  <c r="H137" i="20" s="1"/>
  <c r="H138" i="20" s="1"/>
  <c r="H139" i="20" s="1"/>
  <c r="H140" i="20" s="1"/>
  <c r="H141" i="20" s="1"/>
  <c r="H142" i="20" s="1"/>
  <c r="H143" i="20" s="1"/>
  <c r="H144" i="20" s="1"/>
  <c r="H145" i="20" s="1"/>
  <c r="H146" i="20" s="1"/>
  <c r="H147" i="20" s="1"/>
  <c r="H148" i="20" s="1"/>
  <c r="H149" i="20" s="1"/>
  <c r="H150" i="20" s="1"/>
  <c r="H151" i="20" s="1"/>
  <c r="H152" i="20" s="1"/>
  <c r="H153" i="20" s="1"/>
  <c r="H154" i="20" s="1"/>
  <c r="H155" i="20" s="1"/>
  <c r="H156" i="20" s="1"/>
  <c r="H157" i="20" s="1"/>
  <c r="H158" i="20" s="1"/>
  <c r="H159" i="20" s="1"/>
  <c r="H160" i="20" s="1"/>
  <c r="H161" i="20" s="1"/>
  <c r="H162" i="20" s="1"/>
  <c r="H163" i="20" s="1"/>
  <c r="H164" i="20" s="1"/>
  <c r="H165" i="20" s="1"/>
  <c r="H166" i="20" s="1"/>
  <c r="H167" i="20" s="1"/>
  <c r="H168" i="20" s="1"/>
  <c r="H169" i="20" s="1"/>
  <c r="H170" i="20" s="1"/>
  <c r="H171" i="20" s="1"/>
  <c r="H172" i="20" s="1"/>
  <c r="H173" i="20" s="1"/>
  <c r="H174" i="20" s="1"/>
  <c r="H175" i="20" s="1"/>
  <c r="H176" i="20" s="1"/>
  <c r="H177" i="20" s="1"/>
  <c r="H178" i="20" s="1"/>
  <c r="H179" i="20" s="1"/>
  <c r="H180" i="20" s="1"/>
  <c r="H181" i="20" s="1"/>
  <c r="H182" i="20" s="1"/>
  <c r="H183" i="20" s="1"/>
  <c r="H184" i="20" s="1"/>
  <c r="H185" i="20" s="1"/>
  <c r="H186" i="20" s="1"/>
  <c r="H187" i="20" s="1"/>
  <c r="H188" i="20" s="1"/>
  <c r="H189" i="20" s="1"/>
  <c r="H190" i="20" s="1"/>
  <c r="H191" i="20" s="1"/>
  <c r="H192" i="20" s="1"/>
  <c r="H193" i="20" s="1"/>
  <c r="H194" i="20" s="1"/>
  <c r="H195" i="20" s="1"/>
  <c r="H196" i="20" s="1"/>
  <c r="H197" i="20" s="1"/>
  <c r="H198" i="20" s="1"/>
  <c r="H199" i="20" s="1"/>
  <c r="H200" i="20" s="1"/>
  <c r="H201" i="20" s="1"/>
  <c r="H202" i="20" s="1"/>
  <c r="H203" i="20" s="1"/>
  <c r="H204" i="20" s="1"/>
  <c r="H205" i="20" s="1"/>
  <c r="H206" i="20" s="1"/>
  <c r="H207" i="20" s="1"/>
  <c r="H208" i="20" s="1"/>
  <c r="H209" i="20" s="1"/>
  <c r="H210" i="20" s="1"/>
  <c r="H211" i="20" s="1"/>
  <c r="H212" i="20" s="1"/>
  <c r="H213" i="20" s="1"/>
  <c r="H214" i="20" s="1"/>
  <c r="H215" i="20" s="1"/>
  <c r="H216" i="20" s="1"/>
  <c r="H217" i="20" s="1"/>
  <c r="H218" i="20" s="1"/>
  <c r="H219" i="20" s="1"/>
  <c r="H220" i="20" s="1"/>
  <c r="H221" i="20" s="1"/>
  <c r="H222" i="20" s="1"/>
  <c r="H223" i="20" s="1"/>
  <c r="H224" i="20" s="1"/>
  <c r="H225" i="20" s="1"/>
  <c r="H226" i="20" s="1"/>
  <c r="H227" i="20" s="1"/>
  <c r="H228" i="20" s="1"/>
  <c r="H229" i="20" s="1"/>
  <c r="H230" i="20" s="1"/>
  <c r="H231" i="20" s="1"/>
  <c r="H232" i="20" s="1"/>
  <c r="H233" i="20" s="1"/>
  <c r="H234" i="20" s="1"/>
  <c r="H235" i="20" s="1"/>
  <c r="H236" i="20" s="1"/>
  <c r="H237" i="20" s="1"/>
  <c r="H238" i="20" s="1"/>
  <c r="H239" i="20" s="1"/>
  <c r="H240" i="20" s="1"/>
  <c r="H241" i="20" s="1"/>
  <c r="H242" i="20" s="1"/>
  <c r="H243" i="20" s="1"/>
  <c r="H244" i="20" s="1"/>
  <c r="H245" i="20" s="1"/>
  <c r="H246" i="20" s="1"/>
  <c r="H247" i="20" s="1"/>
  <c r="H248" i="20" s="1"/>
  <c r="H249" i="20" s="1"/>
  <c r="H250" i="20" s="1"/>
  <c r="H251" i="20" s="1"/>
  <c r="C3" i="20"/>
  <c r="C4" i="20" s="1"/>
  <c r="C5" i="20" s="1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99" i="20" s="1"/>
  <c r="C100" i="20" s="1"/>
  <c r="C101" i="20" s="1"/>
  <c r="C102" i="20" s="1"/>
  <c r="C103" i="20" s="1"/>
  <c r="C104" i="20" s="1"/>
  <c r="C105" i="20" s="1"/>
  <c r="C106" i="20" s="1"/>
  <c r="C107" i="20" s="1"/>
  <c r="C108" i="20" s="1"/>
  <c r="C109" i="20" s="1"/>
  <c r="C110" i="20" s="1"/>
  <c r="C111" i="20" s="1"/>
  <c r="C112" i="20" s="1"/>
  <c r="C113" i="20" s="1"/>
  <c r="C114" i="20" s="1"/>
  <c r="C115" i="20" s="1"/>
  <c r="C116" i="20" s="1"/>
  <c r="C117" i="20" s="1"/>
  <c r="C118" i="20" s="1"/>
  <c r="C119" i="20" s="1"/>
  <c r="C120" i="20" s="1"/>
  <c r="C121" i="20" s="1"/>
  <c r="C122" i="20" s="1"/>
  <c r="C123" i="20" s="1"/>
  <c r="C124" i="20" s="1"/>
  <c r="C125" i="20" s="1"/>
  <c r="C126" i="20" s="1"/>
  <c r="C127" i="20" s="1"/>
  <c r="C128" i="20" s="1"/>
  <c r="C129" i="20" s="1"/>
  <c r="C130" i="20" s="1"/>
  <c r="C131" i="20" s="1"/>
  <c r="C132" i="20" s="1"/>
  <c r="C133" i="20" s="1"/>
  <c r="C134" i="20" s="1"/>
  <c r="C135" i="20" s="1"/>
  <c r="C136" i="20" s="1"/>
  <c r="C137" i="20" s="1"/>
  <c r="C138" i="20" s="1"/>
  <c r="C139" i="20" s="1"/>
  <c r="C140" i="20" s="1"/>
  <c r="C141" i="20" s="1"/>
  <c r="C142" i="20" s="1"/>
  <c r="C143" i="20" s="1"/>
  <c r="C144" i="20" s="1"/>
  <c r="C145" i="20" s="1"/>
  <c r="C146" i="20" s="1"/>
  <c r="C147" i="20" s="1"/>
  <c r="C148" i="20" s="1"/>
  <c r="C149" i="20" s="1"/>
  <c r="C150" i="20" s="1"/>
  <c r="C151" i="20" s="1"/>
  <c r="C152" i="20" s="1"/>
  <c r="C153" i="20" s="1"/>
  <c r="C154" i="20" s="1"/>
  <c r="C155" i="20" s="1"/>
  <c r="C156" i="20" s="1"/>
  <c r="C157" i="20" s="1"/>
  <c r="C158" i="20" s="1"/>
  <c r="C159" i="20" s="1"/>
  <c r="C160" i="20" s="1"/>
  <c r="C161" i="20" s="1"/>
  <c r="C162" i="20" s="1"/>
  <c r="C163" i="20" s="1"/>
  <c r="C164" i="20" s="1"/>
  <c r="C165" i="20" s="1"/>
  <c r="C166" i="20" s="1"/>
  <c r="C167" i="20" s="1"/>
  <c r="C168" i="20" s="1"/>
  <c r="C169" i="20" s="1"/>
  <c r="C170" i="20" s="1"/>
  <c r="C171" i="20" s="1"/>
  <c r="C172" i="20" s="1"/>
  <c r="C173" i="20" s="1"/>
  <c r="C174" i="20" s="1"/>
  <c r="C175" i="20" s="1"/>
  <c r="C176" i="20" s="1"/>
  <c r="C177" i="20" s="1"/>
  <c r="C178" i="20" s="1"/>
  <c r="C179" i="20" s="1"/>
  <c r="C180" i="20" s="1"/>
  <c r="C181" i="20" s="1"/>
  <c r="C182" i="20" s="1"/>
  <c r="C183" i="20" s="1"/>
  <c r="C184" i="20" s="1"/>
  <c r="C185" i="20" s="1"/>
  <c r="C186" i="20" s="1"/>
  <c r="C187" i="20" s="1"/>
  <c r="C188" i="20" s="1"/>
  <c r="C189" i="20" s="1"/>
  <c r="C190" i="20" s="1"/>
  <c r="C191" i="20" s="1"/>
  <c r="C192" i="20" s="1"/>
  <c r="C193" i="20" s="1"/>
  <c r="C194" i="20" s="1"/>
  <c r="C195" i="20" s="1"/>
  <c r="C196" i="20" s="1"/>
  <c r="C197" i="20" s="1"/>
  <c r="C198" i="20" s="1"/>
  <c r="C199" i="20" s="1"/>
  <c r="C200" i="20" s="1"/>
  <c r="C201" i="20" s="1"/>
  <c r="C202" i="20" s="1"/>
  <c r="C203" i="20" s="1"/>
  <c r="C204" i="20" s="1"/>
  <c r="C205" i="20" s="1"/>
  <c r="C206" i="20" s="1"/>
  <c r="C207" i="20" s="1"/>
  <c r="C208" i="20" s="1"/>
  <c r="C209" i="20" s="1"/>
  <c r="C210" i="20" s="1"/>
  <c r="C211" i="20" s="1"/>
  <c r="C212" i="20" s="1"/>
  <c r="C213" i="20" s="1"/>
  <c r="C214" i="20" s="1"/>
  <c r="C215" i="20" s="1"/>
  <c r="C216" i="20" s="1"/>
  <c r="C217" i="20" s="1"/>
  <c r="C218" i="20" s="1"/>
  <c r="C219" i="20" s="1"/>
  <c r="C220" i="20" s="1"/>
  <c r="C221" i="20" s="1"/>
  <c r="C222" i="20" s="1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Y3" i="20"/>
  <c r="E3" i="20"/>
  <c r="E4" i="20" s="1"/>
  <c r="E5" i="20" s="1"/>
  <c r="E6" i="20" s="1"/>
  <c r="E7" i="20" s="1"/>
  <c r="E8" i="20" s="1"/>
  <c r="E9" i="20" s="1"/>
  <c r="E10" i="20" s="1"/>
  <c r="E11" i="20" s="1"/>
  <c r="E12" i="20" s="1"/>
  <c r="E13" i="20" s="1"/>
  <c r="E14" i="20" s="1"/>
  <c r="E15" i="20" s="1"/>
  <c r="E16" i="20" s="1"/>
  <c r="E17" i="20" s="1"/>
  <c r="E18" i="20" s="1"/>
  <c r="E19" i="20" s="1"/>
  <c r="E20" i="20" s="1"/>
  <c r="E21" i="20" s="1"/>
  <c r="E22" i="20" s="1"/>
  <c r="E23" i="20" s="1"/>
  <c r="E24" i="20" s="1"/>
  <c r="E25" i="20" s="1"/>
  <c r="E26" i="20" s="1"/>
  <c r="E27" i="20" s="1"/>
  <c r="E28" i="20" s="1"/>
  <c r="E29" i="20" s="1"/>
  <c r="E30" i="20" s="1"/>
  <c r="E31" i="20" s="1"/>
  <c r="E32" i="20" s="1"/>
  <c r="E33" i="20" s="1"/>
  <c r="E34" i="20" s="1"/>
  <c r="E35" i="20" s="1"/>
  <c r="E36" i="20" s="1"/>
  <c r="E37" i="20" s="1"/>
  <c r="E38" i="20" s="1"/>
  <c r="E39" i="20" s="1"/>
  <c r="E40" i="20" s="1"/>
  <c r="E41" i="20" s="1"/>
  <c r="E42" i="20" s="1"/>
  <c r="E43" i="20" s="1"/>
  <c r="E44" i="20" s="1"/>
  <c r="E45" i="20" s="1"/>
  <c r="E46" i="20" s="1"/>
  <c r="E47" i="20" s="1"/>
  <c r="E48" i="20" s="1"/>
  <c r="E49" i="20" s="1"/>
  <c r="E50" i="20" s="1"/>
  <c r="E51" i="20" s="1"/>
  <c r="E52" i="20" s="1"/>
  <c r="E53" i="20" s="1"/>
  <c r="E54" i="20" s="1"/>
  <c r="E55" i="20" s="1"/>
  <c r="E56" i="20" s="1"/>
  <c r="E57" i="20" s="1"/>
  <c r="E58" i="20" s="1"/>
  <c r="E59" i="20" s="1"/>
  <c r="E60" i="20" s="1"/>
  <c r="E61" i="20" s="1"/>
  <c r="E62" i="20" s="1"/>
  <c r="E63" i="20" s="1"/>
  <c r="E64" i="20" s="1"/>
  <c r="E65" i="20" s="1"/>
  <c r="E66" i="20" s="1"/>
  <c r="E67" i="20" s="1"/>
  <c r="E68" i="20" s="1"/>
  <c r="E69" i="20" s="1"/>
  <c r="E70" i="20" s="1"/>
  <c r="E71" i="20" s="1"/>
  <c r="E72" i="20" s="1"/>
  <c r="E73" i="20" s="1"/>
  <c r="E74" i="20" s="1"/>
  <c r="E75" i="20" s="1"/>
  <c r="E76" i="20" s="1"/>
  <c r="E77" i="20" s="1"/>
  <c r="E78" i="20" s="1"/>
  <c r="E79" i="20" s="1"/>
  <c r="E80" i="20" s="1"/>
  <c r="E81" i="20" s="1"/>
  <c r="E82" i="20" s="1"/>
  <c r="E83" i="20" s="1"/>
  <c r="E84" i="20" s="1"/>
  <c r="E85" i="20" s="1"/>
  <c r="E86" i="20" s="1"/>
  <c r="E87" i="20" s="1"/>
  <c r="E88" i="20" s="1"/>
  <c r="E89" i="20" s="1"/>
  <c r="E90" i="20" s="1"/>
  <c r="E91" i="20" s="1"/>
  <c r="E92" i="20" s="1"/>
  <c r="E93" i="20" s="1"/>
  <c r="E94" i="20" s="1"/>
  <c r="E95" i="20" s="1"/>
  <c r="E96" i="20" s="1"/>
  <c r="E97" i="20" s="1"/>
  <c r="E98" i="20" s="1"/>
  <c r="E99" i="20" s="1"/>
  <c r="E100" i="20" s="1"/>
  <c r="E101" i="20" s="1"/>
  <c r="E102" i="20" s="1"/>
  <c r="E103" i="20" s="1"/>
  <c r="E104" i="20" s="1"/>
  <c r="E105" i="20" s="1"/>
  <c r="E106" i="20" s="1"/>
  <c r="E107" i="20" s="1"/>
  <c r="E108" i="20" s="1"/>
  <c r="E109" i="20" s="1"/>
  <c r="E110" i="20" s="1"/>
  <c r="E111" i="20" s="1"/>
  <c r="E112" i="20" s="1"/>
  <c r="E113" i="20" s="1"/>
  <c r="E114" i="20" s="1"/>
  <c r="E115" i="20" s="1"/>
  <c r="E116" i="20" s="1"/>
  <c r="E117" i="20" s="1"/>
  <c r="E118" i="20" s="1"/>
  <c r="E119" i="20" s="1"/>
  <c r="E120" i="20" s="1"/>
  <c r="E121" i="20" s="1"/>
  <c r="E122" i="20" s="1"/>
  <c r="E123" i="20" s="1"/>
  <c r="E124" i="20" s="1"/>
  <c r="E125" i="20" s="1"/>
  <c r="E126" i="20" s="1"/>
  <c r="E127" i="20" s="1"/>
  <c r="E128" i="20" s="1"/>
  <c r="E129" i="20" s="1"/>
  <c r="E130" i="20" s="1"/>
  <c r="E131" i="20" s="1"/>
  <c r="E132" i="20" s="1"/>
  <c r="E133" i="20" s="1"/>
  <c r="E134" i="20" s="1"/>
  <c r="E135" i="20" s="1"/>
  <c r="E136" i="20" s="1"/>
  <c r="E137" i="20" s="1"/>
  <c r="E138" i="20" s="1"/>
  <c r="E139" i="20" s="1"/>
  <c r="E140" i="20" s="1"/>
  <c r="E141" i="20" s="1"/>
  <c r="E142" i="20" s="1"/>
  <c r="E143" i="20" s="1"/>
  <c r="E144" i="20" s="1"/>
  <c r="E145" i="20" s="1"/>
  <c r="E146" i="20" s="1"/>
  <c r="E147" i="20" s="1"/>
  <c r="E148" i="20" s="1"/>
  <c r="E149" i="20" s="1"/>
  <c r="E150" i="20" s="1"/>
  <c r="E151" i="20" s="1"/>
  <c r="E152" i="20" s="1"/>
  <c r="E153" i="20" s="1"/>
  <c r="E154" i="20" s="1"/>
  <c r="E155" i="20" s="1"/>
  <c r="E156" i="20" s="1"/>
  <c r="E157" i="20" s="1"/>
  <c r="E158" i="20" s="1"/>
  <c r="E159" i="20" s="1"/>
  <c r="E160" i="20" s="1"/>
  <c r="E161" i="20" s="1"/>
  <c r="E162" i="20" s="1"/>
  <c r="E163" i="20" s="1"/>
  <c r="E164" i="20" s="1"/>
  <c r="E165" i="20" s="1"/>
  <c r="E166" i="20" s="1"/>
  <c r="E167" i="20" s="1"/>
  <c r="E168" i="20" s="1"/>
  <c r="E169" i="20" s="1"/>
  <c r="E170" i="20" s="1"/>
  <c r="E171" i="20" s="1"/>
  <c r="E172" i="20" s="1"/>
  <c r="E173" i="20" s="1"/>
  <c r="E174" i="20" s="1"/>
  <c r="E175" i="20" s="1"/>
  <c r="E176" i="20" s="1"/>
  <c r="E177" i="20" s="1"/>
  <c r="E178" i="20" s="1"/>
  <c r="E179" i="20" s="1"/>
  <c r="E180" i="20" s="1"/>
  <c r="E181" i="20" s="1"/>
  <c r="E182" i="20" s="1"/>
  <c r="E183" i="20" s="1"/>
  <c r="E184" i="20" s="1"/>
  <c r="E185" i="20" s="1"/>
  <c r="E186" i="20" s="1"/>
  <c r="E187" i="20" s="1"/>
  <c r="E188" i="20" s="1"/>
  <c r="E189" i="20" s="1"/>
  <c r="E190" i="20" s="1"/>
  <c r="E191" i="20" s="1"/>
  <c r="E192" i="20" s="1"/>
  <c r="E193" i="20" s="1"/>
  <c r="E194" i="20" s="1"/>
  <c r="E195" i="20" s="1"/>
  <c r="E196" i="20" s="1"/>
  <c r="E197" i="20" s="1"/>
  <c r="E198" i="20" s="1"/>
  <c r="E199" i="20" s="1"/>
  <c r="E200" i="20" s="1"/>
  <c r="E201" i="20" s="1"/>
  <c r="E202" i="20" s="1"/>
  <c r="E203" i="20" s="1"/>
  <c r="E204" i="20" s="1"/>
  <c r="E205" i="20" s="1"/>
  <c r="E206" i="20" s="1"/>
  <c r="E207" i="20" s="1"/>
  <c r="E208" i="20" s="1"/>
  <c r="E209" i="20" s="1"/>
  <c r="E210" i="20" s="1"/>
  <c r="E211" i="20" s="1"/>
  <c r="E212" i="20" s="1"/>
  <c r="E213" i="20" s="1"/>
  <c r="E214" i="20" s="1"/>
  <c r="E215" i="20" s="1"/>
  <c r="E216" i="20" s="1"/>
  <c r="E217" i="20" s="1"/>
  <c r="E218" i="20" s="1"/>
  <c r="E219" i="20" s="1"/>
  <c r="E220" i="20" s="1"/>
  <c r="E221" i="20" s="1"/>
  <c r="E222" i="20" s="1"/>
  <c r="E223" i="20" s="1"/>
  <c r="E224" i="20" s="1"/>
  <c r="E225" i="20" s="1"/>
  <c r="E226" i="20" s="1"/>
  <c r="E227" i="20" s="1"/>
  <c r="E228" i="20" s="1"/>
  <c r="E229" i="20" s="1"/>
  <c r="E230" i="20" s="1"/>
  <c r="E231" i="20" s="1"/>
  <c r="E232" i="20" s="1"/>
  <c r="E233" i="20" s="1"/>
  <c r="E234" i="20" s="1"/>
  <c r="E235" i="20" s="1"/>
  <c r="E236" i="20" s="1"/>
  <c r="E237" i="20" s="1"/>
  <c r="E238" i="20" s="1"/>
  <c r="E239" i="20" s="1"/>
  <c r="E240" i="20" s="1"/>
  <c r="E241" i="20" s="1"/>
  <c r="E242" i="20" s="1"/>
  <c r="E243" i="20" s="1"/>
  <c r="E244" i="20" s="1"/>
  <c r="E245" i="20" s="1"/>
  <c r="E246" i="20" s="1"/>
  <c r="E247" i="20" s="1"/>
  <c r="E248" i="20" s="1"/>
  <c r="E249" i="20" s="1"/>
  <c r="E250" i="20" s="1"/>
  <c r="E251" i="20" s="1"/>
  <c r="L3" i="20"/>
  <c r="M3" i="20"/>
  <c r="AK47" i="20"/>
  <c r="L47" i="20"/>
  <c r="Y47" i="20"/>
  <c r="M47" i="20"/>
  <c r="AK40" i="20"/>
  <c r="M40" i="20"/>
  <c r="Y40" i="20"/>
  <c r="L40" i="20"/>
  <c r="AK66" i="20"/>
  <c r="Y66" i="20"/>
  <c r="M66" i="20"/>
  <c r="L66" i="20"/>
  <c r="AK181" i="20"/>
  <c r="Y181" i="20"/>
  <c r="L181" i="20"/>
  <c r="M181" i="20"/>
  <c r="L17" i="6"/>
  <c r="AK146" i="20"/>
  <c r="M146" i="20"/>
  <c r="L146" i="20"/>
  <c r="Y146" i="20"/>
  <c r="AK215" i="20"/>
  <c r="M215" i="20"/>
  <c r="L215" i="20"/>
  <c r="Y215" i="20"/>
  <c r="AK60" i="20"/>
  <c r="L60" i="20"/>
  <c r="Y60" i="20"/>
  <c r="M60" i="20"/>
  <c r="AK72" i="20"/>
  <c r="Y72" i="20"/>
  <c r="L72" i="20"/>
  <c r="M72" i="20"/>
  <c r="M234" i="20"/>
  <c r="L234" i="20"/>
  <c r="AK234" i="20"/>
  <c r="Y234" i="20"/>
  <c r="AK244" i="20"/>
  <c r="L244" i="20"/>
  <c r="Y244" i="20"/>
  <c r="M244" i="20"/>
  <c r="AK160" i="20"/>
  <c r="L160" i="20"/>
  <c r="M160" i="20"/>
  <c r="Y160" i="20"/>
  <c r="AK176" i="20"/>
  <c r="L176" i="20"/>
  <c r="Y176" i="20"/>
  <c r="M176" i="20"/>
  <c r="AK194" i="20"/>
  <c r="L194" i="20"/>
  <c r="Y194" i="20"/>
  <c r="M194" i="20"/>
  <c r="AK220" i="20"/>
  <c r="L220" i="20"/>
  <c r="Y220" i="20"/>
  <c r="M220" i="20"/>
  <c r="M21" i="20"/>
  <c r="AK21" i="20"/>
  <c r="Y21" i="20"/>
  <c r="L21" i="20"/>
  <c r="AK159" i="20"/>
  <c r="Y159" i="20"/>
  <c r="M159" i="20"/>
  <c r="L159" i="20"/>
  <c r="L58" i="20"/>
  <c r="M58" i="20"/>
  <c r="Y58" i="20"/>
  <c r="AK58" i="20"/>
  <c r="AK90" i="20"/>
  <c r="L90" i="20"/>
  <c r="M90" i="20"/>
  <c r="Y90" i="20"/>
  <c r="M157" i="20"/>
  <c r="L157" i="20"/>
  <c r="Y157" i="20"/>
  <c r="AK157" i="20"/>
  <c r="M148" i="20"/>
  <c r="Y148" i="20"/>
  <c r="L148" i="20"/>
  <c r="AK148" i="20"/>
  <c r="AK224" i="20"/>
  <c r="L224" i="20"/>
  <c r="M224" i="20"/>
  <c r="Y224" i="20"/>
  <c r="M85" i="20"/>
  <c r="L85" i="20"/>
  <c r="AK85" i="20"/>
  <c r="Y85" i="20"/>
  <c r="Y243" i="20"/>
  <c r="M243" i="20"/>
  <c r="L243" i="20"/>
  <c r="AK243" i="20"/>
  <c r="AK22" i="20"/>
  <c r="L22" i="20"/>
  <c r="Y22" i="20"/>
  <c r="M22" i="20"/>
  <c r="AK129" i="20"/>
  <c r="L129" i="20"/>
  <c r="M129" i="20"/>
  <c r="Y129" i="20"/>
  <c r="AK43" i="20"/>
  <c r="M43" i="20"/>
  <c r="L43" i="20"/>
  <c r="Y43" i="20"/>
  <c r="AK122" i="20"/>
  <c r="L122" i="20"/>
  <c r="Y122" i="20"/>
  <c r="M122" i="20"/>
  <c r="AK94" i="20"/>
  <c r="L94" i="20"/>
  <c r="M94" i="20"/>
  <c r="Y94" i="20"/>
  <c r="AK69" i="20"/>
  <c r="M69" i="20"/>
  <c r="L69" i="20"/>
  <c r="Y69" i="20"/>
  <c r="Y161" i="20"/>
  <c r="L161" i="20"/>
  <c r="AK161" i="20"/>
  <c r="M161" i="20"/>
  <c r="AK59" i="20"/>
  <c r="M59" i="20"/>
  <c r="Y59" i="20"/>
  <c r="L59" i="20"/>
  <c r="I190" i="26"/>
  <c r="E190" i="26" s="1"/>
  <c r="H190" i="26"/>
  <c r="F19" i="39"/>
  <c r="E19" i="39"/>
  <c r="A174" i="39"/>
  <c r="F174" i="39" s="1"/>
  <c r="G19" i="39"/>
  <c r="A20" i="39"/>
  <c r="B19" i="39"/>
  <c r="C19" i="39"/>
  <c r="D19" i="39"/>
  <c r="H19" i="39" s="1"/>
  <c r="AK143" i="20"/>
  <c r="Y143" i="20"/>
  <c r="M143" i="20"/>
  <c r="L143" i="20"/>
  <c r="Y30" i="20"/>
  <c r="AK30" i="20"/>
  <c r="L30" i="20"/>
  <c r="M30" i="20"/>
  <c r="I149" i="26"/>
  <c r="E149" i="26" s="1"/>
  <c r="H149" i="26"/>
  <c r="AK97" i="20"/>
  <c r="Y97" i="20"/>
  <c r="M97" i="20"/>
  <c r="L97" i="20"/>
  <c r="I18" i="38"/>
  <c r="K18" i="38" s="1"/>
  <c r="L18" i="38"/>
  <c r="Y2" i="20"/>
  <c r="L2" i="20"/>
  <c r="M2" i="20"/>
  <c r="AK2" i="20"/>
  <c r="Y126" i="20"/>
  <c r="L126" i="20"/>
  <c r="AK126" i="20"/>
  <c r="M126" i="20"/>
  <c r="L98" i="20"/>
  <c r="Y98" i="20"/>
  <c r="M98" i="20"/>
  <c r="AK98" i="20"/>
  <c r="Y178" i="20"/>
  <c r="M178" i="20"/>
  <c r="L178" i="20"/>
  <c r="AK178" i="20"/>
  <c r="AK136" i="20"/>
  <c r="Y136" i="20"/>
  <c r="L136" i="20"/>
  <c r="M136" i="20"/>
  <c r="AK147" i="20"/>
  <c r="L147" i="20"/>
  <c r="Y147" i="20"/>
  <c r="M147" i="20"/>
  <c r="A174" i="38"/>
  <c r="F174" i="38" s="1"/>
  <c r="E19" i="38"/>
  <c r="A20" i="38"/>
  <c r="B19" i="38"/>
  <c r="G19" i="38"/>
  <c r="D19" i="38"/>
  <c r="H19" i="38" s="1"/>
  <c r="F19" i="38"/>
  <c r="C19" i="38"/>
  <c r="I126" i="26"/>
  <c r="E126" i="26" s="1"/>
  <c r="H126" i="26"/>
  <c r="M111" i="20"/>
  <c r="Y111" i="20"/>
  <c r="L111" i="20"/>
  <c r="AK111" i="20"/>
  <c r="AK110" i="20"/>
  <c r="L110" i="20"/>
  <c r="Y110" i="20"/>
  <c r="M110" i="20"/>
  <c r="AK153" i="20"/>
  <c r="Y153" i="20"/>
  <c r="L153" i="20"/>
  <c r="M153" i="20"/>
  <c r="AK31" i="20"/>
  <c r="M31" i="20"/>
  <c r="L31" i="20"/>
  <c r="Y31" i="20"/>
  <c r="Y75" i="20"/>
  <c r="AK75" i="20"/>
  <c r="L75" i="20"/>
  <c r="M75" i="20"/>
  <c r="AK119" i="20"/>
  <c r="M119" i="20"/>
  <c r="Y119" i="20"/>
  <c r="L119" i="20"/>
  <c r="AK71" i="20"/>
  <c r="L71" i="20"/>
  <c r="M71" i="20"/>
  <c r="Y71" i="20"/>
  <c r="AK138" i="20"/>
  <c r="L138" i="20"/>
  <c r="M138" i="20"/>
  <c r="Y138" i="20"/>
  <c r="AK18" i="20"/>
  <c r="Y18" i="20"/>
  <c r="M18" i="20"/>
  <c r="L18" i="20"/>
  <c r="I89" i="26"/>
  <c r="E89" i="26" s="1"/>
  <c r="H89" i="26"/>
  <c r="AK183" i="20"/>
  <c r="Y183" i="20"/>
  <c r="L183" i="20"/>
  <c r="M183" i="20"/>
  <c r="AK41" i="20"/>
  <c r="M41" i="20"/>
  <c r="Y41" i="20"/>
  <c r="L41" i="20"/>
  <c r="AK226" i="20"/>
  <c r="Y226" i="20"/>
  <c r="L226" i="20"/>
  <c r="M226" i="20"/>
  <c r="A126" i="26"/>
  <c r="M113" i="20"/>
  <c r="Y113" i="20"/>
  <c r="AK113" i="20"/>
  <c r="L113" i="20"/>
  <c r="AK28" i="20"/>
  <c r="L28" i="20"/>
  <c r="Y28" i="20"/>
  <c r="M28" i="20"/>
  <c r="S19" i="16"/>
  <c r="H19" i="16" s="1"/>
  <c r="AK88" i="20"/>
  <c r="M88" i="20"/>
  <c r="L88" i="20"/>
  <c r="Y88" i="20"/>
  <c r="Y46" i="20"/>
  <c r="M46" i="20"/>
  <c r="L46" i="20"/>
  <c r="AK46" i="20"/>
  <c r="Y208" i="20"/>
  <c r="M208" i="20"/>
  <c r="L208" i="20"/>
  <c r="AK208" i="20"/>
  <c r="L172" i="6"/>
  <c r="A168" i="26"/>
  <c r="AK61" i="20"/>
  <c r="Y61" i="20"/>
  <c r="M61" i="20"/>
  <c r="L61" i="20"/>
  <c r="AK82" i="20"/>
  <c r="L82" i="20"/>
  <c r="Y82" i="20"/>
  <c r="M82" i="20"/>
  <c r="I18" i="39"/>
  <c r="K18" i="39"/>
  <c r="L18" i="39"/>
  <c r="AK230" i="20"/>
  <c r="M230" i="20"/>
  <c r="Y230" i="20"/>
  <c r="L230" i="20"/>
  <c r="AK155" i="20"/>
  <c r="L155" i="20"/>
  <c r="Y155" i="20"/>
  <c r="M155" i="20"/>
  <c r="AK205" i="20"/>
  <c r="M205" i="20"/>
  <c r="Y205" i="20"/>
  <c r="L205" i="20"/>
  <c r="AK182" i="20"/>
  <c r="Y182" i="20"/>
  <c r="L182" i="20"/>
  <c r="M182" i="20"/>
  <c r="R14" i="16"/>
  <c r="F14" i="16" s="1"/>
  <c r="S21" i="16"/>
  <c r="H21" i="16" s="1"/>
  <c r="AK216" i="20"/>
  <c r="Y216" i="20"/>
  <c r="L216" i="20"/>
  <c r="M216" i="20"/>
  <c r="AK162" i="20"/>
  <c r="M162" i="20"/>
  <c r="L162" i="20"/>
  <c r="Y162" i="20"/>
  <c r="AK39" i="20"/>
  <c r="L39" i="20"/>
  <c r="M39" i="20"/>
  <c r="Y39" i="20"/>
  <c r="AK101" i="20"/>
  <c r="Y101" i="20"/>
  <c r="M101" i="20"/>
  <c r="L101" i="20"/>
  <c r="I186" i="26"/>
  <c r="E186" i="26" s="1"/>
  <c r="H186" i="26"/>
  <c r="Y118" i="20"/>
  <c r="L118" i="20"/>
  <c r="AK118" i="20"/>
  <c r="M118" i="20"/>
  <c r="M55" i="20"/>
  <c r="Y55" i="20"/>
  <c r="AK55" i="20"/>
  <c r="L55" i="20"/>
  <c r="AK211" i="20"/>
  <c r="L211" i="20"/>
  <c r="M211" i="20"/>
  <c r="Y211" i="20"/>
  <c r="L195" i="20"/>
  <c r="Y195" i="20"/>
  <c r="AK195" i="20"/>
  <c r="M195" i="20"/>
  <c r="G173" i="38"/>
  <c r="B173" i="38"/>
  <c r="K173" i="38"/>
  <c r="M125" i="20"/>
  <c r="L125" i="20"/>
  <c r="AK125" i="20"/>
  <c r="Y125" i="20"/>
  <c r="AK50" i="20"/>
  <c r="L50" i="20"/>
  <c r="Y50" i="20"/>
  <c r="M50" i="20"/>
  <c r="AK251" i="20"/>
  <c r="Y251" i="20"/>
  <c r="L251" i="20"/>
  <c r="M251" i="20"/>
  <c r="AK116" i="20"/>
  <c r="M116" i="20"/>
  <c r="Y116" i="20"/>
  <c r="L116" i="20"/>
  <c r="AK158" i="20"/>
  <c r="Y158" i="20"/>
  <c r="M158" i="20"/>
  <c r="L158" i="20"/>
  <c r="AK191" i="20"/>
  <c r="L191" i="20"/>
  <c r="Y191" i="20"/>
  <c r="M191" i="20"/>
  <c r="AK45" i="20"/>
  <c r="Y45" i="20"/>
  <c r="M45" i="20"/>
  <c r="L45" i="20"/>
  <c r="M192" i="20"/>
  <c r="L192" i="20"/>
  <c r="Y192" i="20"/>
  <c r="AK192" i="20"/>
  <c r="AK163" i="20"/>
  <c r="L163" i="20"/>
  <c r="M163" i="20"/>
  <c r="Y163" i="20"/>
  <c r="A186" i="26"/>
  <c r="H69" i="26"/>
  <c r="I69" i="26"/>
  <c r="E69" i="26" s="1"/>
  <c r="K173" i="39"/>
  <c r="B173" i="39"/>
  <c r="G173" i="39"/>
  <c r="M42" i="20"/>
  <c r="L42" i="20"/>
  <c r="AK42" i="20"/>
  <c r="Y42" i="20"/>
  <c r="AK209" i="20"/>
  <c r="L209" i="20"/>
  <c r="M209" i="20"/>
  <c r="Y209" i="20"/>
  <c r="Y164" i="20"/>
  <c r="L164" i="20"/>
  <c r="M164" i="20"/>
  <c r="AK164" i="20"/>
  <c r="M19" i="20"/>
  <c r="L19" i="20"/>
  <c r="Y19" i="20"/>
  <c r="AK19" i="20"/>
  <c r="AK57" i="20"/>
  <c r="M57" i="20"/>
  <c r="L57" i="20"/>
  <c r="Y57" i="20"/>
  <c r="I184" i="26"/>
  <c r="E184" i="26" s="1"/>
  <c r="H184" i="26"/>
  <c r="S23" i="16"/>
  <c r="H23" i="16" s="1"/>
  <c r="I139" i="26"/>
  <c r="E139" i="26" s="1"/>
  <c r="H139" i="26"/>
  <c r="AK247" i="20"/>
  <c r="L247" i="20"/>
  <c r="Y247" i="20"/>
  <c r="M247" i="20"/>
  <c r="Y132" i="20"/>
  <c r="AK132" i="20"/>
  <c r="M132" i="20"/>
  <c r="L132" i="20"/>
  <c r="AK26" i="20"/>
  <c r="Y26" i="20"/>
  <c r="L26" i="20"/>
  <c r="M26" i="20"/>
  <c r="AK169" i="20"/>
  <c r="Y169" i="20"/>
  <c r="L169" i="20"/>
  <c r="M169" i="20"/>
  <c r="L145" i="20"/>
  <c r="AK145" i="20"/>
  <c r="Y145" i="20"/>
  <c r="M145" i="20"/>
  <c r="P885" i="23"/>
  <c r="P705" i="23"/>
  <c r="P190" i="23"/>
  <c r="P658" i="23"/>
  <c r="P779" i="23"/>
  <c r="P281" i="23"/>
  <c r="P733" i="23"/>
  <c r="P363" i="23"/>
  <c r="P59" i="23"/>
  <c r="P456" i="23"/>
  <c r="P627" i="23"/>
  <c r="P451" i="23"/>
  <c r="P725" i="23"/>
  <c r="P711" i="23"/>
  <c r="P521" i="23"/>
  <c r="P817" i="23"/>
  <c r="P346" i="23"/>
  <c r="P17" i="23"/>
  <c r="A18" i="25" s="1"/>
  <c r="P332" i="23"/>
  <c r="P241" i="23"/>
  <c r="P647" i="23"/>
  <c r="P961" i="23"/>
  <c r="P590" i="23"/>
  <c r="P130" i="23"/>
  <c r="P700" i="23"/>
  <c r="P46" i="23"/>
  <c r="P256" i="23"/>
  <c r="P304" i="23"/>
  <c r="P606" i="23"/>
  <c r="P446" i="23"/>
  <c r="P359" i="23"/>
  <c r="P743" i="23"/>
  <c r="P902" i="23"/>
  <c r="P171" i="23"/>
  <c r="P63" i="23"/>
  <c r="P217" i="23"/>
  <c r="P867" i="23"/>
  <c r="P155" i="23"/>
  <c r="P211" i="23"/>
  <c r="P424" i="23"/>
  <c r="P233" i="23"/>
  <c r="P296" i="23"/>
  <c r="P489" i="23"/>
  <c r="P854" i="23"/>
  <c r="P565" i="23"/>
  <c r="P274" i="23"/>
  <c r="P32" i="23"/>
  <c r="P58" i="23"/>
  <c r="P612" i="23"/>
  <c r="P57" i="23"/>
  <c r="P933" i="23"/>
  <c r="P781" i="23"/>
  <c r="P9" i="23"/>
  <c r="A10" i="25" s="1"/>
  <c r="P673" i="23"/>
  <c r="P755" i="23"/>
  <c r="P680" i="23"/>
  <c r="P169" i="23"/>
  <c r="P993" i="23"/>
  <c r="P971" i="23"/>
  <c r="P458" i="23"/>
  <c r="P483" i="23"/>
  <c r="P383" i="23"/>
  <c r="P508" i="23"/>
  <c r="P651" i="23"/>
  <c r="P154" i="23"/>
  <c r="P914" i="23"/>
  <c r="P258" i="23"/>
  <c r="P105" i="23"/>
  <c r="P307" i="23"/>
  <c r="P433" i="23"/>
  <c r="P184" i="23"/>
  <c r="P56" i="23"/>
  <c r="P173" i="23"/>
  <c r="P124" i="23"/>
  <c r="P648" i="23"/>
  <c r="P109" i="23"/>
  <c r="P84" i="23"/>
  <c r="P79" i="23"/>
  <c r="P844" i="23"/>
  <c r="P563" i="23"/>
  <c r="P121" i="23"/>
  <c r="P533" i="23"/>
  <c r="P527" i="23"/>
  <c r="P148" i="23"/>
  <c r="P400" i="23"/>
  <c r="P216" i="23"/>
  <c r="P603" i="23"/>
  <c r="P235" i="23"/>
  <c r="P944" i="23"/>
  <c r="P934" i="23"/>
  <c r="P839" i="23"/>
  <c r="P36" i="23"/>
  <c r="P50" i="23"/>
  <c r="P586" i="23"/>
  <c r="P122" i="23"/>
  <c r="P370" i="23"/>
  <c r="P231" i="23"/>
  <c r="P660" i="23"/>
  <c r="P457" i="23"/>
  <c r="P47" i="23"/>
  <c r="P81" i="23"/>
  <c r="P973" i="23"/>
  <c r="P746" i="23"/>
  <c r="P922" i="23"/>
  <c r="P53" i="23"/>
  <c r="P282" i="23"/>
  <c r="P410" i="23"/>
  <c r="P428" i="23"/>
  <c r="P126" i="23"/>
  <c r="P277" i="23"/>
  <c r="P561" i="23"/>
  <c r="P6" i="23"/>
  <c r="A7" i="25" s="1"/>
  <c r="P507" i="23"/>
  <c r="P637" i="23"/>
  <c r="P697" i="23"/>
  <c r="P874" i="23"/>
  <c r="P829" i="23"/>
  <c r="P659" i="23"/>
  <c r="P1" i="23"/>
  <c r="A2" i="25" s="1"/>
  <c r="P178" i="23"/>
  <c r="P728" i="23"/>
  <c r="P788" i="23"/>
  <c r="P655" i="23"/>
  <c r="P285" i="23"/>
  <c r="P859" i="23"/>
  <c r="P812" i="23"/>
  <c r="P804" i="23"/>
  <c r="P247" i="23"/>
  <c r="P881" i="23"/>
  <c r="P283" i="23"/>
  <c r="P519" i="23"/>
  <c r="P225" i="23"/>
  <c r="P260" i="23"/>
  <c r="P815" i="23"/>
  <c r="P215" i="23"/>
  <c r="P251" i="23"/>
  <c r="P525" i="23"/>
  <c r="P800" i="23"/>
  <c r="P316" i="23"/>
  <c r="P430" i="23"/>
  <c r="P166" i="23"/>
  <c r="P37" i="23"/>
  <c r="P895" i="23"/>
  <c r="P232" i="23"/>
  <c r="P957" i="23"/>
  <c r="P73" i="23"/>
  <c r="P454" i="23"/>
  <c r="P406" i="23"/>
  <c r="P31" i="23"/>
  <c r="P613" i="23"/>
  <c r="P426" i="23"/>
  <c r="P437" i="23"/>
  <c r="P143" i="23"/>
  <c r="P600" i="23"/>
  <c r="P916" i="23"/>
  <c r="P732" i="23"/>
  <c r="P656" i="23"/>
  <c r="P736" i="23"/>
  <c r="P438" i="23"/>
  <c r="P300" i="23"/>
  <c r="P200" i="23"/>
  <c r="P745" i="23"/>
  <c r="P690" i="23"/>
  <c r="P858" i="23"/>
  <c r="P719" i="23"/>
  <c r="P64" i="23"/>
  <c r="P623" i="23"/>
  <c r="P471" i="23"/>
  <c r="P888" i="23"/>
  <c r="P734" i="23"/>
  <c r="P828" i="23"/>
  <c r="P574" i="23"/>
  <c r="P301" i="23"/>
  <c r="P806" i="23"/>
  <c r="P290" i="23"/>
  <c r="P395" i="23"/>
  <c r="P577" i="23"/>
  <c r="P748" i="23"/>
  <c r="P196" i="23"/>
  <c r="P906" i="23"/>
  <c r="P442" i="23"/>
  <c r="P855" i="23"/>
  <c r="P92" i="23"/>
  <c r="P388" i="23"/>
  <c r="P498" i="23"/>
  <c r="P674" i="23"/>
  <c r="P55" i="23"/>
  <c r="P663" i="23"/>
  <c r="P242" i="23"/>
  <c r="P188" i="23"/>
  <c r="P86" i="23"/>
  <c r="P684" i="23"/>
  <c r="P464" i="23"/>
  <c r="P336" i="23"/>
  <c r="P545" i="23"/>
  <c r="P769" i="23"/>
  <c r="P182" i="23"/>
  <c r="P389" i="23"/>
  <c r="P965" i="23"/>
  <c r="P306" i="23"/>
  <c r="P785" i="23"/>
  <c r="P940" i="23"/>
  <c r="P845" i="23"/>
  <c r="P322" i="23"/>
  <c r="P468" i="23"/>
  <c r="P802" i="23"/>
  <c r="P223" i="23"/>
  <c r="P89" i="23"/>
  <c r="P538" i="23"/>
  <c r="P892" i="23"/>
  <c r="P751" i="23"/>
  <c r="P357" i="23"/>
  <c r="P891" i="23"/>
  <c r="P770" i="23"/>
  <c r="P436" i="23"/>
  <c r="P683" i="23"/>
  <c r="P462" i="23"/>
  <c r="P310" i="23"/>
  <c r="P814" i="23"/>
  <c r="P480" i="23"/>
  <c r="P411" i="23"/>
  <c r="P868" i="23"/>
  <c r="P504" i="23"/>
  <c r="P139" i="23"/>
  <c r="P305" i="23"/>
  <c r="P761" i="23"/>
  <c r="P40" i="23"/>
  <c r="P706" i="23"/>
  <c r="P809" i="23"/>
  <c r="P135" i="23"/>
  <c r="P117" i="23"/>
  <c r="P85" i="23"/>
  <c r="P554" i="23"/>
  <c r="P641" i="23"/>
  <c r="P203" i="23"/>
  <c r="P286" i="23"/>
  <c r="P830" i="23"/>
  <c r="P80" i="23"/>
  <c r="P481" i="23"/>
  <c r="P348" i="23"/>
  <c r="P377" i="23"/>
  <c r="P333" i="23"/>
  <c r="P140" i="23"/>
  <c r="P947" i="23"/>
  <c r="P805" i="23"/>
  <c r="P592" i="23"/>
  <c r="P317" i="23"/>
  <c r="P87" i="23"/>
  <c r="P999" i="23"/>
  <c r="P640" i="23"/>
  <c r="P562" i="23"/>
  <c r="P275" i="23"/>
  <c r="P495" i="23"/>
  <c r="P724" i="23"/>
  <c r="P111" i="23"/>
  <c r="P417" i="23"/>
  <c r="P71" i="23"/>
  <c r="P146" i="23"/>
  <c r="P593" i="23"/>
  <c r="P331" i="23"/>
  <c r="P214" i="23"/>
  <c r="P615" i="23"/>
  <c r="P557" i="23"/>
  <c r="P570" i="23"/>
  <c r="P102" i="23"/>
  <c r="P977" i="23"/>
  <c r="P93" i="23"/>
  <c r="P466" i="23"/>
  <c r="P549" i="23"/>
  <c r="P994" i="23"/>
  <c r="P39" i="23"/>
  <c r="P368" i="23"/>
  <c r="P873" i="23"/>
  <c r="P74" i="23"/>
  <c r="P409" i="23"/>
  <c r="P42" i="23"/>
  <c r="P118" i="23"/>
  <c r="P308" i="23"/>
  <c r="P893" i="23"/>
  <c r="P553" i="23"/>
  <c r="P860" i="23"/>
  <c r="P537" i="23"/>
  <c r="P175" i="23"/>
  <c r="P319" i="23"/>
  <c r="P384" i="23"/>
  <c r="P273" i="23"/>
  <c r="P77" i="23"/>
  <c r="P847" i="23"/>
  <c r="P69" i="23"/>
  <c r="P929" i="23"/>
  <c r="P114" i="23"/>
  <c r="P671" i="23"/>
  <c r="P750" i="23"/>
  <c r="P990" i="23"/>
  <c r="P325" i="23"/>
  <c r="P208" i="23"/>
  <c r="P738" i="23"/>
  <c r="P176" i="23"/>
  <c r="P371" i="23"/>
  <c r="P767" i="23"/>
  <c r="P928" i="23"/>
  <c r="P447" i="23"/>
  <c r="P608" i="23"/>
  <c r="P889" i="23"/>
  <c r="P710" i="23"/>
  <c r="P865" i="23"/>
  <c r="P920" i="23"/>
  <c r="P741" i="23"/>
  <c r="P450" i="23"/>
  <c r="P962" i="23"/>
  <c r="P918" i="23"/>
  <c r="P386" i="23"/>
  <c r="P219" i="23"/>
  <c r="P198" i="23"/>
  <c r="P595" i="23"/>
  <c r="P556" i="23"/>
  <c r="P162" i="23"/>
  <c r="P227" i="23"/>
  <c r="P744" i="23"/>
  <c r="P548" i="23"/>
  <c r="P631" i="23"/>
  <c r="P749" i="23"/>
  <c r="P921" i="23"/>
  <c r="P475" i="23"/>
  <c r="P963" i="23"/>
  <c r="P604" i="23"/>
  <c r="P255" i="23"/>
  <c r="P784" i="23"/>
  <c r="P113" i="23"/>
  <c r="P239" i="23"/>
  <c r="P791" i="23"/>
  <c r="P318" i="23"/>
  <c r="P715" i="23"/>
  <c r="P292" i="23"/>
  <c r="P778" i="23"/>
  <c r="P698" i="23"/>
  <c r="P236" i="23"/>
  <c r="P484" i="23"/>
  <c r="P226" i="23"/>
  <c r="P195" i="23"/>
  <c r="P168" i="23"/>
  <c r="P657" i="23"/>
  <c r="P678" i="23"/>
  <c r="P639" i="23"/>
  <c r="P937" i="23"/>
  <c r="P153" i="23"/>
  <c r="P552" i="23"/>
  <c r="P823" i="23"/>
  <c r="P8" i="23"/>
  <c r="A9" i="25" s="1"/>
  <c r="P106" i="23"/>
  <c r="P398" i="23"/>
  <c r="P419" i="23"/>
  <c r="P872" i="23"/>
  <c r="P686" i="23"/>
  <c r="P956" i="23"/>
  <c r="P702" i="23"/>
  <c r="P403" i="23"/>
  <c r="P526" i="23"/>
  <c r="P413" i="23"/>
  <c r="P297" i="23"/>
  <c r="P841" i="23"/>
  <c r="P941" i="23"/>
  <c r="P312" i="23"/>
  <c r="P551" i="23"/>
  <c r="P26" i="23"/>
  <c r="A27" i="25" s="1"/>
  <c r="P938" i="23"/>
  <c r="P624" i="23"/>
  <c r="P796" i="23"/>
  <c r="P618" i="23"/>
  <c r="P313" i="23"/>
  <c r="P48" i="23"/>
  <c r="P764" i="23"/>
  <c r="P125" i="23"/>
  <c r="P14" i="23"/>
  <c r="A15" i="25" s="1"/>
  <c r="P70" i="23"/>
  <c r="P100" i="23"/>
  <c r="P687" i="23"/>
  <c r="P197" i="23"/>
  <c r="P189" i="23"/>
  <c r="P996" i="23"/>
  <c r="P440" i="23"/>
  <c r="P760" i="23"/>
  <c r="P13" i="23"/>
  <c r="A14" i="25" s="1"/>
  <c r="P717" i="23"/>
  <c r="P571" i="23"/>
  <c r="P339" i="23"/>
  <c r="P44" i="23"/>
  <c r="P210" i="23"/>
  <c r="P939" i="23"/>
  <c r="P966" i="23"/>
  <c r="P972" i="23"/>
  <c r="P362" i="23"/>
  <c r="P1001" i="23"/>
  <c r="P245" i="23"/>
  <c r="P61" i="23"/>
  <c r="P793" i="23"/>
  <c r="P567" i="23"/>
  <c r="P821" i="23"/>
  <c r="P18" i="23"/>
  <c r="A19" i="25" s="1"/>
  <c r="P826" i="23"/>
  <c r="P452" i="23"/>
  <c r="P560" i="23"/>
  <c r="P672" i="23"/>
  <c r="P474" i="23"/>
  <c r="P271" i="23"/>
  <c r="P653" i="23"/>
  <c r="P614" i="23"/>
  <c r="P703" i="23"/>
  <c r="P361" i="23"/>
  <c r="P946" i="23"/>
  <c r="P352" i="23"/>
  <c r="P174" i="23"/>
  <c r="P493" i="23"/>
  <c r="P811" i="23"/>
  <c r="P913" i="23"/>
  <c r="P777" i="23"/>
  <c r="P810" i="23"/>
  <c r="P360" i="23"/>
  <c r="P803" i="23"/>
  <c r="P754" i="23"/>
  <c r="P206" i="23"/>
  <c r="P107" i="23"/>
  <c r="P739" i="23"/>
  <c r="P799" i="23"/>
  <c r="P180" i="23"/>
  <c r="P952" i="23"/>
  <c r="P908" i="23"/>
  <c r="P221" i="23"/>
  <c r="P397" i="23"/>
  <c r="P987" i="23"/>
  <c r="P445" i="23"/>
  <c r="P887" i="23"/>
  <c r="P694" i="23"/>
  <c r="P353" i="23"/>
  <c r="P502" i="23"/>
  <c r="P41" i="23"/>
  <c r="P927" i="23"/>
  <c r="P954" i="23"/>
  <c r="P5" i="23"/>
  <c r="A6" i="25" s="1"/>
  <c r="P253" i="23"/>
  <c r="P373" i="23"/>
  <c r="P205" i="23"/>
  <c r="P145" i="23"/>
  <c r="P278" i="23"/>
  <c r="P151" i="23"/>
  <c r="P193" i="23"/>
  <c r="P818" i="23"/>
  <c r="P472" i="23"/>
  <c r="P449" i="23"/>
  <c r="P323" i="23"/>
  <c r="P497" i="23"/>
  <c r="P147" i="23"/>
  <c r="P289" i="23"/>
  <c r="P268" i="23"/>
  <c r="P149" i="23"/>
  <c r="P137" i="23"/>
  <c r="P622" i="23"/>
  <c r="P266" i="23"/>
  <c r="P833" i="23"/>
  <c r="P863" i="23"/>
  <c r="P679" i="23"/>
  <c r="P237" i="23"/>
  <c r="P467" i="23"/>
  <c r="P96" i="23"/>
  <c r="P141" i="23"/>
  <c r="P280" i="23"/>
  <c r="P707" i="23"/>
  <c r="P295" i="23"/>
  <c r="P886" i="23"/>
  <c r="P33" i="23"/>
  <c r="P581" i="23"/>
  <c r="P131" i="23"/>
  <c r="P555" i="23"/>
  <c r="P926" i="23"/>
  <c r="P51" i="23"/>
  <c r="P202" i="23"/>
  <c r="P240" i="23"/>
  <c r="P1000" i="23"/>
  <c r="P101" i="23"/>
  <c r="P997" i="23"/>
  <c r="P907" i="23"/>
  <c r="P924" i="23"/>
  <c r="P338" i="23"/>
  <c r="P177" i="23"/>
  <c r="P932" i="23"/>
  <c r="P625" i="23"/>
  <c r="P569" i="23"/>
  <c r="P819" i="23"/>
  <c r="P534" i="23"/>
  <c r="P431" i="23"/>
  <c r="P469" i="23"/>
  <c r="P919" i="23"/>
  <c r="P992" i="23"/>
  <c r="P696" i="23"/>
  <c r="P374" i="23"/>
  <c r="P714" i="23"/>
  <c r="P29" i="23"/>
  <c r="A30" i="25" s="1"/>
  <c r="P682" i="23"/>
  <c r="P737" i="23"/>
  <c r="P644" i="23"/>
  <c r="P381" i="23"/>
  <c r="P670" i="23"/>
  <c r="P576" i="23"/>
  <c r="P7" i="23"/>
  <c r="A8" i="25" s="1"/>
  <c r="P834" i="23"/>
  <c r="P878" i="23"/>
  <c r="P853" i="23"/>
  <c r="P116" i="23"/>
  <c r="P272" i="23"/>
  <c r="P163" i="23"/>
  <c r="P187" i="23"/>
  <c r="P981" i="23"/>
  <c r="P127" i="23"/>
  <c r="P964" i="23"/>
  <c r="P369" i="23"/>
  <c r="P261" i="23"/>
  <c r="P185" i="23"/>
  <c r="P856" i="23"/>
  <c r="P723" i="23"/>
  <c r="P414" i="23"/>
  <c r="P136" i="23"/>
  <c r="P773" i="23"/>
  <c r="P159" i="23"/>
  <c r="P129" i="23"/>
  <c r="P752" i="23"/>
  <c r="P387" i="23"/>
  <c r="P45" i="23"/>
  <c r="P224" i="23"/>
  <c r="P780" i="23"/>
  <c r="P68" i="23"/>
  <c r="P836" i="23"/>
  <c r="P532" i="23"/>
  <c r="P652" i="23"/>
  <c r="P866" i="23"/>
  <c r="P611" i="23"/>
  <c r="P591" i="23"/>
  <c r="P441" i="23"/>
  <c r="P230" i="23"/>
  <c r="P597" i="23"/>
  <c r="P875" i="23"/>
  <c r="P423" i="23"/>
  <c r="P461" i="23"/>
  <c r="P422" i="23"/>
  <c r="P515" i="23"/>
  <c r="P376" i="23"/>
  <c r="P789" i="23"/>
  <c r="P492" i="23"/>
  <c r="P731" i="23"/>
  <c r="P27" i="23"/>
  <c r="A28" i="25" s="1"/>
  <c r="P276" i="23"/>
  <c r="P883" i="23"/>
  <c r="P257" i="23"/>
  <c r="P390" i="23"/>
  <c r="P742" i="23"/>
  <c r="P757" i="23"/>
  <c r="P476" i="23"/>
  <c r="P416" i="23"/>
  <c r="P691" i="23"/>
  <c r="P503" i="23"/>
  <c r="P66" i="23"/>
  <c r="P943" i="23"/>
  <c r="P984" i="23"/>
  <c r="P539" i="23"/>
  <c r="P588" i="23"/>
  <c r="P3" i="23"/>
  <c r="A4" i="25" s="1"/>
  <c r="P351" i="23"/>
  <c r="P34" i="23"/>
  <c r="P602" i="23"/>
  <c r="P320" i="23"/>
  <c r="P620" i="23"/>
  <c r="P49" i="23"/>
  <c r="P792" i="23"/>
  <c r="P813" i="23"/>
  <c r="P1004" i="23"/>
  <c r="P740" i="23"/>
  <c r="P982" i="23"/>
  <c r="P786" i="23"/>
  <c r="P726" i="23"/>
  <c r="P541" i="23"/>
  <c r="P852" i="23"/>
  <c r="P524" i="23"/>
  <c r="P986" i="23"/>
  <c r="P249" i="23"/>
  <c r="P516" i="23"/>
  <c r="P326" i="23"/>
  <c r="P511" i="23"/>
  <c r="P496" i="23"/>
  <c r="P408" i="23"/>
  <c r="P667" i="23"/>
  <c r="P150" i="23"/>
  <c r="P365" i="23"/>
  <c r="P402" i="23"/>
  <c r="P969" i="23"/>
  <c r="P172" i="23"/>
  <c r="P970" i="23"/>
  <c r="P499" i="23"/>
  <c r="P75" i="23"/>
  <c r="P959" i="23"/>
  <c r="P20" i="23"/>
  <c r="A21" i="25" s="1"/>
  <c r="P661" i="23"/>
  <c r="P501" i="23"/>
  <c r="P955" i="23"/>
  <c r="P108" i="23"/>
  <c r="P654" i="23"/>
  <c r="P935" i="23"/>
  <c r="P544" i="23"/>
  <c r="P404" i="23"/>
  <c r="P104" i="23"/>
  <c r="P204" i="23"/>
  <c r="P35" i="23"/>
  <c r="P342" i="23"/>
  <c r="P181" i="23"/>
  <c r="P267" i="23"/>
  <c r="P632" i="23"/>
  <c r="P980" i="23"/>
  <c r="P228" i="23"/>
  <c r="P347" i="23"/>
  <c r="P72" i="23"/>
  <c r="P758" i="23"/>
  <c r="P220" i="23"/>
  <c r="P942" i="23"/>
  <c r="P995" i="23"/>
  <c r="P425" i="23"/>
  <c r="P415" i="23"/>
  <c r="P158" i="23"/>
  <c r="P840" i="23"/>
  <c r="P78" i="23"/>
  <c r="P664" i="23"/>
  <c r="P97" i="23"/>
  <c r="P729" i="23"/>
  <c r="P585" i="23"/>
  <c r="P487" i="23"/>
  <c r="P405" i="23"/>
  <c r="P90" i="23"/>
  <c r="P259" i="23"/>
  <c r="P720" i="23"/>
  <c r="P701" i="23"/>
  <c r="P12" i="23"/>
  <c r="A13" i="25" s="1"/>
  <c r="P444" i="23"/>
  <c r="P19" i="23"/>
  <c r="A20" i="25" s="1"/>
  <c r="P358" i="23"/>
  <c r="P43" i="23"/>
  <c r="P209" i="23"/>
  <c r="P252" i="23"/>
  <c r="P704" i="23"/>
  <c r="P199" i="23"/>
  <c r="P936" i="23"/>
  <c r="P566" i="23"/>
  <c r="P465" i="23"/>
  <c r="P693" i="23"/>
  <c r="P62" i="23"/>
  <c r="P904" i="23"/>
  <c r="P838" i="23"/>
  <c r="P535" i="23"/>
  <c r="P518" i="23"/>
  <c r="P543" i="23"/>
  <c r="P164" i="23"/>
  <c r="P559" i="23"/>
  <c r="P861" i="23"/>
  <c r="P583" i="23"/>
  <c r="P596" i="23"/>
  <c r="P4" i="23"/>
  <c r="A5" i="25" s="1"/>
  <c r="P24" i="23"/>
  <c r="A25" i="25" s="1"/>
  <c r="P536" i="23"/>
  <c r="P901" i="23"/>
  <c r="P399" i="23"/>
  <c r="P309" i="23"/>
  <c r="P248" i="23"/>
  <c r="P529" i="23"/>
  <c r="P52" i="23"/>
  <c r="P418" i="23"/>
  <c r="P677" i="23"/>
  <c r="P491" i="23"/>
  <c r="P621" i="23"/>
  <c r="P455" i="23"/>
  <c r="P91" i="23"/>
  <c r="P816" i="23"/>
  <c r="P355" i="23"/>
  <c r="P643" i="23"/>
  <c r="P500" i="23"/>
  <c r="P636" i="23"/>
  <c r="P412" i="23"/>
  <c r="P850" i="23"/>
  <c r="P842" i="23"/>
  <c r="P152" i="23"/>
  <c r="P460" i="23"/>
  <c r="P88" i="23"/>
  <c r="P265" i="23"/>
  <c r="P65" i="23"/>
  <c r="P324" i="23"/>
  <c r="P28" i="23"/>
  <c r="A29" i="25" s="1"/>
  <c r="P510" i="23"/>
  <c r="P607" i="23"/>
  <c r="P112" i="23"/>
  <c r="P542" i="23"/>
  <c r="P884" i="23"/>
  <c r="P160" i="23"/>
  <c r="P94" i="23"/>
  <c r="P626" i="23"/>
  <c r="P903" i="23"/>
  <c r="P547" i="23"/>
  <c r="P649" i="23"/>
  <c r="P222" i="23"/>
  <c r="P722" i="23"/>
  <c r="P67" i="23"/>
  <c r="P712" i="23"/>
  <c r="P931" i="23"/>
  <c r="P427" i="23"/>
  <c r="P60" i="23"/>
  <c r="P263" i="23"/>
  <c r="P699" i="23"/>
  <c r="P790" i="23"/>
  <c r="P212" i="23"/>
  <c r="P11" i="23"/>
  <c r="A12" i="25" s="1"/>
  <c r="P234" i="23"/>
  <c r="P681" i="23"/>
  <c r="P391" i="23"/>
  <c r="P238" i="23"/>
  <c r="P506" i="23"/>
  <c r="P721" i="23"/>
  <c r="P354" i="23"/>
  <c r="P22" i="23"/>
  <c r="A23" i="25" s="1"/>
  <c r="P776" i="23"/>
  <c r="P138" i="23"/>
  <c r="P270" i="23"/>
  <c r="P298" i="23"/>
  <c r="P617" i="23"/>
  <c r="P546" i="23"/>
  <c r="P531" i="23"/>
  <c r="P119" i="23"/>
  <c r="P635" i="23"/>
  <c r="P429" i="23"/>
  <c r="P488" i="23"/>
  <c r="P580" i="23"/>
  <c r="P494" i="23"/>
  <c r="P730" i="23"/>
  <c r="P708" i="23"/>
  <c r="P337" i="23"/>
  <c r="P827" i="23"/>
  <c r="P689" i="23"/>
  <c r="P334" i="23"/>
  <c r="P695" i="23"/>
  <c r="P401" i="23"/>
  <c r="P291" i="23"/>
  <c r="P123" i="23"/>
  <c r="P835" i="23"/>
  <c r="P284" i="23"/>
  <c r="P851" i="23"/>
  <c r="P490" i="23"/>
  <c r="P330" i="23"/>
  <c r="P269" i="23"/>
  <c r="P642" i="23"/>
  <c r="P950" i="23"/>
  <c r="P727" i="23"/>
  <c r="P879" i="23"/>
  <c r="P599" i="23"/>
  <c r="P530" i="23"/>
  <c r="P82" i="23"/>
  <c r="P434" i="23"/>
  <c r="P1003" i="23"/>
  <c r="P382" i="23"/>
  <c r="P192" i="23"/>
  <c r="P650" i="23"/>
  <c r="P21" i="23"/>
  <c r="A22" i="25" s="1"/>
  <c r="P967" i="23"/>
  <c r="P880" i="23"/>
  <c r="P25" i="23"/>
  <c r="A26" i="25" s="1"/>
  <c r="P897" i="23"/>
  <c r="P628" i="23"/>
  <c r="P575" i="23"/>
  <c r="P341" i="23"/>
  <c r="P948" i="23"/>
  <c r="P646" i="23"/>
  <c r="P385" i="23"/>
  <c r="P579" i="23"/>
  <c r="P345" i="23"/>
  <c r="P167" i="23"/>
  <c r="P825" i="23"/>
  <c r="P890" i="23"/>
  <c r="P766" i="23"/>
  <c r="P179" i="23"/>
  <c r="P1002" i="23"/>
  <c r="P262" i="23"/>
  <c r="P344" i="23"/>
  <c r="P443" i="23"/>
  <c r="P229" i="23"/>
  <c r="P420" i="23"/>
  <c r="P584" i="23"/>
  <c r="P513" i="23"/>
  <c r="P876" i="23"/>
  <c r="P953" i="23"/>
  <c r="P364" i="23"/>
  <c r="P393" i="23"/>
  <c r="P132" i="23"/>
  <c r="P479" i="23"/>
  <c r="P610" i="23"/>
  <c r="P356" i="23"/>
  <c r="P849" i="23"/>
  <c r="P293" i="23"/>
  <c r="P463" i="23"/>
  <c r="P609" i="23"/>
  <c r="P630" i="23"/>
  <c r="P328" i="23"/>
  <c r="P478" i="23"/>
  <c r="P911" i="23"/>
  <c r="P2" i="23"/>
  <c r="A3" i="25" s="1"/>
  <c r="P587" i="23"/>
  <c r="P134" i="23"/>
  <c r="P846" i="23"/>
  <c r="P910" i="23"/>
  <c r="P218" i="23"/>
  <c r="P925" i="23"/>
  <c r="P930" i="23"/>
  <c r="P768" i="23"/>
  <c r="P998" i="23"/>
  <c r="P435" i="23"/>
  <c r="P975" i="23"/>
  <c r="P302" i="23"/>
  <c r="P392" i="23"/>
  <c r="P254" i="23"/>
  <c r="P896" i="23"/>
  <c r="P915" i="23"/>
  <c r="P871" i="23"/>
  <c r="P988" i="23"/>
  <c r="P156" i="23"/>
  <c r="P448" i="23"/>
  <c r="P170" i="23"/>
  <c r="P343" i="23"/>
  <c r="P439" i="23"/>
  <c r="P668" i="23"/>
  <c r="P15" i="23"/>
  <c r="A16" i="25" s="1"/>
  <c r="P522" i="23"/>
  <c r="P598" i="23"/>
  <c r="P564" i="23"/>
  <c r="P477" i="23"/>
  <c r="P832" i="23"/>
  <c r="P161" i="23"/>
  <c r="P864" i="23"/>
  <c r="P692" i="23"/>
  <c r="P991" i="23"/>
  <c r="P303" i="23"/>
  <c r="P194" i="23"/>
  <c r="P95" i="23"/>
  <c r="P958" i="23"/>
  <c r="P968" i="23"/>
  <c r="P578" i="23"/>
  <c r="P264" i="23"/>
  <c r="P735" i="23"/>
  <c r="P870" i="23"/>
  <c r="P186" i="23"/>
  <c r="P520" i="23"/>
  <c r="P573" i="23"/>
  <c r="P634" i="23"/>
  <c r="P753" i="23"/>
  <c r="P718" i="23"/>
  <c r="P550" i="23"/>
  <c r="P514" i="23"/>
  <c r="P38" i="23"/>
  <c r="P191" i="23"/>
  <c r="P378" i="23"/>
  <c r="P287" i="23"/>
  <c r="P110" i="23"/>
  <c r="P782" i="23"/>
  <c r="P616" i="23"/>
  <c r="P380" i="23"/>
  <c r="P115" i="23"/>
  <c r="P30" i="23"/>
  <c r="P831" i="23"/>
  <c r="P288" i="23"/>
  <c r="P335" i="23"/>
  <c r="P848" i="23"/>
  <c r="P843" i="23"/>
  <c r="P905" i="23"/>
  <c r="P76" i="23"/>
  <c r="P837" i="23"/>
  <c r="P762" i="23"/>
  <c r="P98" i="23"/>
  <c r="P486" i="23"/>
  <c r="P133" i="23"/>
  <c r="P747" i="23"/>
  <c r="P877" i="23"/>
  <c r="P279" i="23"/>
  <c r="P99" i="23"/>
  <c r="P505" i="23"/>
  <c r="P572" i="23"/>
  <c r="P912" i="23"/>
  <c r="P685" i="23"/>
  <c r="P759" i="23"/>
  <c r="P638" i="23"/>
  <c r="P83" i="23"/>
  <c r="P294" i="23"/>
  <c r="P945" i="23"/>
  <c r="P470" i="23"/>
  <c r="P669" i="23"/>
  <c r="P756" i="23"/>
  <c r="P807" i="23"/>
  <c r="P765" i="23"/>
  <c r="P974" i="23"/>
  <c r="P213" i="23"/>
  <c r="P201" i="23"/>
  <c r="P144" i="23"/>
  <c r="P960" i="23"/>
  <c r="P523" i="23"/>
  <c r="P798" i="23"/>
  <c r="P629" i="23"/>
  <c r="P794" i="23"/>
  <c r="P808" i="23"/>
  <c r="P54" i="23"/>
  <c r="P10" i="23"/>
  <c r="A11" i="25" s="1"/>
  <c r="P485" i="23"/>
  <c r="P783" i="23"/>
  <c r="P869" i="23"/>
  <c r="P589" i="23"/>
  <c r="P157" i="23"/>
  <c r="P899" i="23"/>
  <c r="P894" i="23"/>
  <c r="P340" i="23"/>
  <c r="P923" i="23"/>
  <c r="P482" i="23"/>
  <c r="P662" i="23"/>
  <c r="P459" i="23"/>
  <c r="P665" i="23"/>
  <c r="P909" i="23"/>
  <c r="P774" i="23"/>
  <c r="P509" i="23"/>
  <c r="P985" i="23"/>
  <c r="P299" i="23"/>
  <c r="P473" i="23"/>
  <c r="P372" i="23"/>
  <c r="P329" i="23"/>
  <c r="P314" i="23"/>
  <c r="P633" i="23"/>
  <c r="P989" i="23"/>
  <c r="P367" i="23"/>
  <c r="P379" i="23"/>
  <c r="P582" i="23"/>
  <c r="P321" i="23"/>
  <c r="P540" i="23"/>
  <c r="P512" i="23"/>
  <c r="P795" i="23"/>
  <c r="P763" i="23"/>
  <c r="P246" i="23"/>
  <c r="P375" i="23"/>
  <c r="P676" i="23"/>
  <c r="P142" i="23"/>
  <c r="P396" i="23"/>
  <c r="P315" i="23"/>
  <c r="P250" i="23"/>
  <c r="P128" i="23"/>
  <c r="P822" i="23"/>
  <c r="P594" i="23"/>
  <c r="P688" i="23"/>
  <c r="P207" i="23"/>
  <c r="P120" i="23"/>
  <c r="P979" i="23"/>
  <c r="P394" i="23"/>
  <c r="P407" i="23"/>
  <c r="P787" i="23"/>
  <c r="P716" i="23"/>
  <c r="P898" i="23"/>
  <c r="P882" i="23"/>
  <c r="P983" i="23"/>
  <c r="P645" i="23"/>
  <c r="P568" i="23"/>
  <c r="P23" i="23"/>
  <c r="A24" i="25" s="1"/>
  <c r="P709" i="23"/>
  <c r="P775" i="23"/>
  <c r="P421" i="23"/>
  <c r="P862" i="23"/>
  <c r="P453" i="23"/>
  <c r="P771" i="23"/>
  <c r="P311" i="23"/>
  <c r="P801" i="23"/>
  <c r="P528" i="23"/>
  <c r="P601" i="23"/>
  <c r="P900" i="23"/>
  <c r="P820" i="23"/>
  <c r="P103" i="23"/>
  <c r="P857" i="23"/>
  <c r="P432" i="23"/>
  <c r="P165" i="23"/>
  <c r="P244" i="23"/>
  <c r="P978" i="23"/>
  <c r="P949" i="23"/>
  <c r="P517" i="23"/>
  <c r="P917" i="23"/>
  <c r="P797" i="23"/>
  <c r="P666" i="23"/>
  <c r="P772" i="23"/>
  <c r="P349" i="23"/>
  <c r="P327" i="23"/>
  <c r="P366" i="23"/>
  <c r="P976" i="23"/>
  <c r="P675" i="23"/>
  <c r="P619" i="23"/>
  <c r="P951" i="23"/>
  <c r="P824" i="23"/>
  <c r="P713" i="23"/>
  <c r="P243" i="23"/>
  <c r="P558" i="23"/>
  <c r="P183" i="23"/>
  <c r="P350" i="23"/>
  <c r="P16" i="23"/>
  <c r="A17" i="25" s="1"/>
  <c r="P605" i="23"/>
  <c r="AK36" i="20"/>
  <c r="M36" i="20"/>
  <c r="Y36" i="20"/>
  <c r="L36" i="20"/>
  <c r="AK210" i="20"/>
  <c r="M210" i="20"/>
  <c r="L210" i="20"/>
  <c r="Y210" i="20"/>
  <c r="AK95" i="20"/>
  <c r="Y95" i="20"/>
  <c r="M95" i="20"/>
  <c r="L95" i="20"/>
  <c r="AK246" i="20"/>
  <c r="M246" i="20"/>
  <c r="L246" i="20"/>
  <c r="Y246" i="20"/>
  <c r="AK102" i="20"/>
  <c r="Y102" i="20"/>
  <c r="L102" i="20"/>
  <c r="M102" i="20"/>
  <c r="AK175" i="20"/>
  <c r="M175" i="20"/>
  <c r="L175" i="20"/>
  <c r="Y175" i="20"/>
  <c r="A184" i="26"/>
  <c r="AK106" i="20"/>
  <c r="Y106" i="20"/>
  <c r="L106" i="20"/>
  <c r="M106" i="20"/>
  <c r="O18" i="6" l="1"/>
  <c r="M18" i="6" s="1"/>
  <c r="J21" i="16"/>
  <c r="I12" i="16"/>
  <c r="I16" i="16"/>
  <c r="J19" i="16"/>
  <c r="I14" i="16"/>
  <c r="J20" i="16"/>
  <c r="F349" i="1"/>
  <c r="F31" i="29"/>
  <c r="O19" i="38"/>
  <c r="M19" i="38" s="1"/>
  <c r="J18" i="16"/>
  <c r="F24" i="16"/>
  <c r="E25" i="16" s="1"/>
  <c r="J22" i="16"/>
  <c r="J15" i="16"/>
  <c r="I15" i="16"/>
  <c r="I13" i="16"/>
  <c r="J13" i="16"/>
  <c r="O19" i="39"/>
  <c r="M19" i="39" s="1"/>
  <c r="E6788" i="26"/>
  <c r="F6797" i="26" s="1"/>
  <c r="G6797" i="26" s="1"/>
  <c r="A10" i="27" s="1"/>
  <c r="G174" i="39"/>
  <c r="K174" i="39"/>
  <c r="B174" i="39"/>
  <c r="N11" i="25"/>
  <c r="V11" i="25"/>
  <c r="T11" i="25"/>
  <c r="F11" i="25" s="1"/>
  <c r="Y11" i="25"/>
  <c r="G11" i="25" s="1"/>
  <c r="S11" i="25"/>
  <c r="I11" i="25"/>
  <c r="L11" i="25"/>
  <c r="J11" i="25"/>
  <c r="K11" i="25"/>
  <c r="D11" i="25" s="1"/>
  <c r="W11" i="25"/>
  <c r="M11" i="25"/>
  <c r="R11" i="25"/>
  <c r="Q11" i="25"/>
  <c r="B11" i="25"/>
  <c r="X11" i="25"/>
  <c r="X28" i="25"/>
  <c r="I28" i="25"/>
  <c r="T28" i="25"/>
  <c r="F28" i="25" s="1"/>
  <c r="N28" i="25"/>
  <c r="J28" i="25"/>
  <c r="R28" i="25"/>
  <c r="V28" i="25"/>
  <c r="S28" i="25"/>
  <c r="K28" i="25"/>
  <c r="D28" i="25" s="1"/>
  <c r="L28" i="25"/>
  <c r="Y28" i="25"/>
  <c r="G28" i="25" s="1"/>
  <c r="M28" i="25"/>
  <c r="W28" i="25"/>
  <c r="Q28" i="25"/>
  <c r="B28" i="25"/>
  <c r="K9" i="25"/>
  <c r="D9" i="25" s="1"/>
  <c r="X9" i="25"/>
  <c r="Q9" i="25"/>
  <c r="T9" i="25"/>
  <c r="F9" i="25" s="1"/>
  <c r="R9" i="25"/>
  <c r="S9" i="25"/>
  <c r="L9" i="25"/>
  <c r="M9" i="25"/>
  <c r="Y9" i="25"/>
  <c r="G9" i="25" s="1"/>
  <c r="V9" i="25"/>
  <c r="J9" i="25"/>
  <c r="I9" i="25"/>
  <c r="B9" i="25"/>
  <c r="N9" i="25"/>
  <c r="W9" i="25"/>
  <c r="I19" i="39"/>
  <c r="K19" i="39" s="1"/>
  <c r="L19" i="39"/>
  <c r="L173" i="37"/>
  <c r="I17" i="16"/>
  <c r="J17" i="16"/>
  <c r="L18" i="6"/>
  <c r="H24" i="16"/>
  <c r="G25" i="16" s="1"/>
  <c r="J26" i="25"/>
  <c r="V26" i="25"/>
  <c r="N26" i="25"/>
  <c r="S26" i="25"/>
  <c r="M26" i="25"/>
  <c r="K26" i="25"/>
  <c r="D26" i="25" s="1"/>
  <c r="Y26" i="25"/>
  <c r="G26" i="25" s="1"/>
  <c r="W26" i="25"/>
  <c r="R26" i="25"/>
  <c r="Q26" i="25"/>
  <c r="T26" i="25"/>
  <c r="F26" i="25" s="1"/>
  <c r="I26" i="25"/>
  <c r="L26" i="25"/>
  <c r="X26" i="25"/>
  <c r="B26" i="25"/>
  <c r="K174" i="37"/>
  <c r="G174" i="37"/>
  <c r="B174" i="37"/>
  <c r="I23" i="16"/>
  <c r="I24" i="16" s="1"/>
  <c r="J23" i="16"/>
  <c r="J3" i="25"/>
  <c r="S3" i="25"/>
  <c r="K3" i="25"/>
  <c r="D3" i="25" s="1"/>
  <c r="B3" i="25"/>
  <c r="I3" i="25"/>
  <c r="Q3" i="25"/>
  <c r="M3" i="25"/>
  <c r="R3" i="25"/>
  <c r="Y3" i="25"/>
  <c r="G3" i="25" s="1"/>
  <c r="L3" i="25"/>
  <c r="V3" i="25"/>
  <c r="N3" i="25"/>
  <c r="T3" i="25"/>
  <c r="F3" i="25" s="1"/>
  <c r="X3" i="25"/>
  <c r="W3" i="25"/>
  <c r="K24" i="25"/>
  <c r="D24" i="25" s="1"/>
  <c r="V24" i="25"/>
  <c r="N24" i="25"/>
  <c r="B24" i="25"/>
  <c r="M24" i="25"/>
  <c r="Y24" i="25"/>
  <c r="G24" i="25" s="1"/>
  <c r="L24" i="25"/>
  <c r="W24" i="25"/>
  <c r="R24" i="25"/>
  <c r="X24" i="25"/>
  <c r="I24" i="25"/>
  <c r="T24" i="25"/>
  <c r="F24" i="25" s="1"/>
  <c r="Q24" i="25"/>
  <c r="S24" i="25"/>
  <c r="J24" i="25"/>
  <c r="Y4" i="25"/>
  <c r="G4" i="25" s="1"/>
  <c r="N4" i="25"/>
  <c r="T4" i="25"/>
  <c r="F4" i="25" s="1"/>
  <c r="M4" i="25"/>
  <c r="V4" i="25"/>
  <c r="J4" i="25"/>
  <c r="X4" i="25"/>
  <c r="L4" i="25"/>
  <c r="K4" i="25"/>
  <c r="D4" i="25" s="1"/>
  <c r="S4" i="25"/>
  <c r="I4" i="25"/>
  <c r="B4" i="25"/>
  <c r="W4" i="25"/>
  <c r="R4" i="25"/>
  <c r="Q4" i="25"/>
  <c r="X27" i="25"/>
  <c r="I27" i="25"/>
  <c r="Q27" i="25"/>
  <c r="W27" i="25"/>
  <c r="V27" i="25"/>
  <c r="T27" i="25"/>
  <c r="F27" i="25" s="1"/>
  <c r="B27" i="25"/>
  <c r="N27" i="25"/>
  <c r="Y27" i="25"/>
  <c r="G27" i="25" s="1"/>
  <c r="R27" i="25"/>
  <c r="L27" i="25"/>
  <c r="M27" i="25"/>
  <c r="K27" i="25"/>
  <c r="D27" i="25" s="1"/>
  <c r="J27" i="25"/>
  <c r="S27" i="25"/>
  <c r="B22" i="25"/>
  <c r="Y22" i="25"/>
  <c r="G22" i="25" s="1"/>
  <c r="J22" i="25"/>
  <c r="L22" i="25"/>
  <c r="W22" i="25"/>
  <c r="X22" i="25"/>
  <c r="V22" i="25"/>
  <c r="M22" i="25"/>
  <c r="K22" i="25"/>
  <c r="D22" i="25" s="1"/>
  <c r="S22" i="25"/>
  <c r="T22" i="25"/>
  <c r="F22" i="25" s="1"/>
  <c r="R22" i="25"/>
  <c r="Q22" i="25"/>
  <c r="I22" i="25"/>
  <c r="N22" i="25"/>
  <c r="W8" i="25"/>
  <c r="N8" i="25"/>
  <c r="Q8" i="25"/>
  <c r="X8" i="25"/>
  <c r="K8" i="25"/>
  <c r="D8" i="25" s="1"/>
  <c r="M8" i="25"/>
  <c r="S8" i="25"/>
  <c r="L8" i="25"/>
  <c r="B8" i="25"/>
  <c r="Y8" i="25"/>
  <c r="G8" i="25" s="1"/>
  <c r="I8" i="25"/>
  <c r="V8" i="25"/>
  <c r="J8" i="25"/>
  <c r="R8" i="25"/>
  <c r="T8" i="25"/>
  <c r="F8" i="25" s="1"/>
  <c r="A175" i="37"/>
  <c r="F175" i="37" s="1"/>
  <c r="D20" i="37"/>
  <c r="H20" i="37" s="1"/>
  <c r="E20" i="37"/>
  <c r="C20" i="37"/>
  <c r="B20" i="37"/>
  <c r="G20" i="37"/>
  <c r="F20" i="37"/>
  <c r="A21" i="37"/>
  <c r="X17" i="25"/>
  <c r="Y17" i="25"/>
  <c r="G17" i="25" s="1"/>
  <c r="S17" i="25"/>
  <c r="B17" i="25"/>
  <c r="V17" i="25"/>
  <c r="J17" i="25"/>
  <c r="Q17" i="25"/>
  <c r="R17" i="25"/>
  <c r="I17" i="25"/>
  <c r="L17" i="25"/>
  <c r="T17" i="25"/>
  <c r="F17" i="25" s="1"/>
  <c r="K17" i="25"/>
  <c r="D17" i="25" s="1"/>
  <c r="M17" i="25"/>
  <c r="N17" i="25"/>
  <c r="W17" i="25"/>
  <c r="Y25" i="25"/>
  <c r="G25" i="25" s="1"/>
  <c r="B25" i="25"/>
  <c r="J25" i="25"/>
  <c r="I25" i="25"/>
  <c r="T25" i="25"/>
  <c r="F25" i="25" s="1"/>
  <c r="W25" i="25"/>
  <c r="R25" i="25"/>
  <c r="K25" i="25"/>
  <c r="D25" i="25" s="1"/>
  <c r="N25" i="25"/>
  <c r="S25" i="25"/>
  <c r="M25" i="25"/>
  <c r="L25" i="25"/>
  <c r="X25" i="25"/>
  <c r="Q25" i="25"/>
  <c r="V25" i="25"/>
  <c r="Q14" i="25"/>
  <c r="R14" i="25"/>
  <c r="N14" i="25"/>
  <c r="M14" i="25"/>
  <c r="W14" i="25"/>
  <c r="B14" i="25"/>
  <c r="I14" i="25"/>
  <c r="Y14" i="25"/>
  <c r="G14" i="25" s="1"/>
  <c r="T14" i="25"/>
  <c r="F14" i="25" s="1"/>
  <c r="K14" i="25"/>
  <c r="D14" i="25" s="1"/>
  <c r="J14" i="25"/>
  <c r="L14" i="25"/>
  <c r="V14" i="25"/>
  <c r="S14" i="25"/>
  <c r="X14" i="25"/>
  <c r="I19" i="6"/>
  <c r="K19" i="6" s="1"/>
  <c r="L23" i="25"/>
  <c r="Q23" i="25"/>
  <c r="N23" i="25"/>
  <c r="W23" i="25"/>
  <c r="X23" i="25"/>
  <c r="K23" i="25"/>
  <c r="D23" i="25" s="1"/>
  <c r="I23" i="25"/>
  <c r="B23" i="25"/>
  <c r="J23" i="25"/>
  <c r="V23" i="25"/>
  <c r="M23" i="25"/>
  <c r="S23" i="25"/>
  <c r="Y23" i="25"/>
  <c r="G23" i="25" s="1"/>
  <c r="T23" i="25"/>
  <c r="F23" i="25" s="1"/>
  <c r="R23" i="25"/>
  <c r="W5" i="25"/>
  <c r="K5" i="25"/>
  <c r="D5" i="25" s="1"/>
  <c r="N5" i="25"/>
  <c r="S5" i="25"/>
  <c r="X5" i="25"/>
  <c r="T5" i="25"/>
  <c r="F5" i="25" s="1"/>
  <c r="I5" i="25"/>
  <c r="L5" i="25"/>
  <c r="M5" i="25"/>
  <c r="Y5" i="25"/>
  <c r="G5" i="25" s="1"/>
  <c r="V5" i="25"/>
  <c r="R5" i="25"/>
  <c r="J5" i="25"/>
  <c r="Q5" i="25"/>
  <c r="B5" i="25"/>
  <c r="F20" i="38"/>
  <c r="E20" i="38"/>
  <c r="G20" i="38"/>
  <c r="D20" i="38"/>
  <c r="H20" i="38" s="1"/>
  <c r="B20" i="38"/>
  <c r="C20" i="38"/>
  <c r="A21" i="38"/>
  <c r="A175" i="38"/>
  <c r="F175" i="38" s="1"/>
  <c r="A175" i="6"/>
  <c r="F175" i="6" s="1"/>
  <c r="D20" i="6"/>
  <c r="H20" i="6" s="1"/>
  <c r="B20" i="6"/>
  <c r="E20" i="6"/>
  <c r="G20" i="6"/>
  <c r="A21" i="6"/>
  <c r="C20" i="6"/>
  <c r="F20" i="6"/>
  <c r="N20" i="25"/>
  <c r="K20" i="25"/>
  <c r="D20" i="25" s="1"/>
  <c r="M20" i="25"/>
  <c r="W20" i="25"/>
  <c r="S20" i="25"/>
  <c r="V20" i="25"/>
  <c r="Y20" i="25"/>
  <c r="G20" i="25" s="1"/>
  <c r="R20" i="25"/>
  <c r="Q20" i="25"/>
  <c r="J20" i="25"/>
  <c r="L20" i="25"/>
  <c r="T20" i="25"/>
  <c r="F20" i="25" s="1"/>
  <c r="X20" i="25"/>
  <c r="I20" i="25"/>
  <c r="B20" i="25"/>
  <c r="I19" i="38"/>
  <c r="K19" i="38" s="1"/>
  <c r="L19" i="38"/>
  <c r="S21" i="25"/>
  <c r="V21" i="25"/>
  <c r="L21" i="25"/>
  <c r="R21" i="25"/>
  <c r="Q21" i="25"/>
  <c r="K21" i="25"/>
  <c r="D21" i="25" s="1"/>
  <c r="I21" i="25"/>
  <c r="M21" i="25"/>
  <c r="B21" i="25"/>
  <c r="W21" i="25"/>
  <c r="X21" i="25"/>
  <c r="Y21" i="25"/>
  <c r="G21" i="25" s="1"/>
  <c r="N21" i="25"/>
  <c r="T21" i="25"/>
  <c r="F21" i="25" s="1"/>
  <c r="J21" i="25"/>
  <c r="M6" i="25"/>
  <c r="K6" i="25"/>
  <c r="D6" i="25" s="1"/>
  <c r="B6" i="25"/>
  <c r="Y6" i="25"/>
  <c r="G6" i="25" s="1"/>
  <c r="J6" i="25"/>
  <c r="N6" i="25"/>
  <c r="W6" i="25"/>
  <c r="T6" i="25"/>
  <c r="F6" i="25" s="1"/>
  <c r="I6" i="25"/>
  <c r="L6" i="25"/>
  <c r="X6" i="25"/>
  <c r="S6" i="25"/>
  <c r="Q6" i="25"/>
  <c r="R6" i="25"/>
  <c r="V6" i="25"/>
  <c r="Y19" i="25"/>
  <c r="G19" i="25" s="1"/>
  <c r="M19" i="25"/>
  <c r="T19" i="25"/>
  <c r="F19" i="25" s="1"/>
  <c r="J19" i="25"/>
  <c r="L19" i="25"/>
  <c r="V19" i="25"/>
  <c r="I19" i="25"/>
  <c r="S19" i="25"/>
  <c r="Q19" i="25"/>
  <c r="K19" i="25"/>
  <c r="D19" i="25" s="1"/>
  <c r="R19" i="25"/>
  <c r="W19" i="25"/>
  <c r="X19" i="25"/>
  <c r="N19" i="25"/>
  <c r="B19" i="25"/>
  <c r="L2" i="25"/>
  <c r="W2" i="25"/>
  <c r="Y2" i="25"/>
  <c r="G2" i="25" s="1"/>
  <c r="Q2" i="25"/>
  <c r="T2" i="25"/>
  <c r="F2" i="25" s="1"/>
  <c r="R2" i="25"/>
  <c r="K2" i="25"/>
  <c r="D2" i="25" s="1"/>
  <c r="J2" i="25"/>
  <c r="B2" i="25"/>
  <c r="S2" i="25"/>
  <c r="M2" i="25"/>
  <c r="V2" i="25"/>
  <c r="I2" i="25"/>
  <c r="N2" i="25"/>
  <c r="X2" i="25"/>
  <c r="K174" i="38"/>
  <c r="B174" i="38"/>
  <c r="G174" i="38"/>
  <c r="S13" i="25"/>
  <c r="B13" i="25"/>
  <c r="X13" i="25"/>
  <c r="K13" i="25"/>
  <c r="D13" i="25" s="1"/>
  <c r="V13" i="25"/>
  <c r="M13" i="25"/>
  <c r="I13" i="25"/>
  <c r="J13" i="25"/>
  <c r="R13" i="25"/>
  <c r="L13" i="25"/>
  <c r="Q13" i="25"/>
  <c r="W13" i="25"/>
  <c r="T13" i="25"/>
  <c r="F13" i="25" s="1"/>
  <c r="N13" i="25"/>
  <c r="Y13" i="25"/>
  <c r="G13" i="25" s="1"/>
  <c r="L18" i="25"/>
  <c r="S18" i="25"/>
  <c r="R18" i="25"/>
  <c r="N18" i="25"/>
  <c r="V18" i="25"/>
  <c r="K18" i="25"/>
  <c r="D18" i="25" s="1"/>
  <c r="X18" i="25"/>
  <c r="B18" i="25"/>
  <c r="M18" i="25"/>
  <c r="J18" i="25"/>
  <c r="Y18" i="25"/>
  <c r="G18" i="25" s="1"/>
  <c r="Q18" i="25"/>
  <c r="W18" i="25"/>
  <c r="I18" i="25"/>
  <c r="T18" i="25"/>
  <c r="F18" i="25" s="1"/>
  <c r="L173" i="6"/>
  <c r="I30" i="25"/>
  <c r="B30" i="25"/>
  <c r="V30" i="25"/>
  <c r="L30" i="25"/>
  <c r="W30" i="25"/>
  <c r="S30" i="25"/>
  <c r="J30" i="25"/>
  <c r="N30" i="25"/>
  <c r="T30" i="25"/>
  <c r="F30" i="25" s="1"/>
  <c r="Q30" i="25"/>
  <c r="X30" i="25"/>
  <c r="Y30" i="25"/>
  <c r="G30" i="25" s="1"/>
  <c r="K30" i="25"/>
  <c r="D30" i="25" s="1"/>
  <c r="M30" i="25"/>
  <c r="R30" i="25"/>
  <c r="K174" i="6"/>
  <c r="G174" i="6"/>
  <c r="B174" i="6"/>
  <c r="K12" i="25"/>
  <c r="D12" i="25" s="1"/>
  <c r="Q12" i="25"/>
  <c r="B12" i="25"/>
  <c r="J12" i="25"/>
  <c r="X12" i="25"/>
  <c r="R12" i="25"/>
  <c r="V12" i="25"/>
  <c r="N12" i="25"/>
  <c r="I12" i="25"/>
  <c r="M12" i="25"/>
  <c r="L12" i="25"/>
  <c r="W12" i="25"/>
  <c r="T12" i="25"/>
  <c r="F12" i="25" s="1"/>
  <c r="Y12" i="25"/>
  <c r="G12" i="25" s="1"/>
  <c r="S12" i="25"/>
  <c r="Q15" i="25"/>
  <c r="L15" i="25"/>
  <c r="M15" i="25"/>
  <c r="K15" i="25"/>
  <c r="D15" i="25" s="1"/>
  <c r="N15" i="25"/>
  <c r="R15" i="25"/>
  <c r="J15" i="25"/>
  <c r="T15" i="25"/>
  <c r="F15" i="25" s="1"/>
  <c r="Y15" i="25"/>
  <c r="G15" i="25" s="1"/>
  <c r="W15" i="25"/>
  <c r="I15" i="25"/>
  <c r="X15" i="25"/>
  <c r="V15" i="25"/>
  <c r="S15" i="25"/>
  <c r="B15" i="25"/>
  <c r="X10" i="25"/>
  <c r="N10" i="25"/>
  <c r="V10" i="25"/>
  <c r="Y10" i="25"/>
  <c r="G10" i="25" s="1"/>
  <c r="W10" i="25"/>
  <c r="T10" i="25"/>
  <c r="F10" i="25" s="1"/>
  <c r="J10" i="25"/>
  <c r="M10" i="25"/>
  <c r="R10" i="25"/>
  <c r="K10" i="25"/>
  <c r="D10" i="25" s="1"/>
  <c r="S10" i="25"/>
  <c r="L10" i="25"/>
  <c r="Q10" i="25"/>
  <c r="B10" i="25"/>
  <c r="I10" i="25"/>
  <c r="L173" i="39"/>
  <c r="L173" i="38"/>
  <c r="T7" i="25"/>
  <c r="F7" i="25" s="1"/>
  <c r="K7" i="25"/>
  <c r="D7" i="25" s="1"/>
  <c r="M7" i="25"/>
  <c r="Q7" i="25"/>
  <c r="X7" i="25"/>
  <c r="R7" i="25"/>
  <c r="V7" i="25"/>
  <c r="S7" i="25"/>
  <c r="Y7" i="25"/>
  <c r="G7" i="25" s="1"/>
  <c r="B7" i="25"/>
  <c r="L7" i="25"/>
  <c r="W7" i="25"/>
  <c r="N7" i="25"/>
  <c r="J7" i="25"/>
  <c r="I7" i="25"/>
  <c r="C20" i="39"/>
  <c r="E20" i="39"/>
  <c r="A21" i="39"/>
  <c r="F20" i="39"/>
  <c r="G20" i="39"/>
  <c r="D20" i="39"/>
  <c r="H20" i="39" s="1"/>
  <c r="B20" i="39"/>
  <c r="A175" i="39"/>
  <c r="F175" i="39" s="1"/>
  <c r="Q16" i="25"/>
  <c r="J16" i="25"/>
  <c r="X16" i="25"/>
  <c r="B16" i="25"/>
  <c r="N16" i="25"/>
  <c r="Y16" i="25"/>
  <c r="G16" i="25" s="1"/>
  <c r="K16" i="25"/>
  <c r="D16" i="25" s="1"/>
  <c r="L16" i="25"/>
  <c r="M16" i="25"/>
  <c r="V16" i="25"/>
  <c r="W16" i="25"/>
  <c r="S16" i="25"/>
  <c r="R16" i="25"/>
  <c r="T16" i="25"/>
  <c r="F16" i="25" s="1"/>
  <c r="I16" i="25"/>
  <c r="N29" i="25"/>
  <c r="Q29" i="25"/>
  <c r="W29" i="25"/>
  <c r="L29" i="25"/>
  <c r="S29" i="25"/>
  <c r="I29" i="25"/>
  <c r="K29" i="25"/>
  <c r="D29" i="25" s="1"/>
  <c r="J29" i="25"/>
  <c r="V29" i="25"/>
  <c r="B29" i="25"/>
  <c r="M29" i="25"/>
  <c r="R29" i="25"/>
  <c r="T29" i="25"/>
  <c r="F29" i="25" s="1"/>
  <c r="X29" i="25"/>
  <c r="Y29" i="25"/>
  <c r="G29" i="25" s="1"/>
  <c r="C9" i="25" a="1"/>
  <c r="C24" i="25" a="1"/>
  <c r="C21" i="25" a="1"/>
  <c r="C2" i="25" a="1"/>
  <c r="C20" i="25" a="1"/>
  <c r="C14" i="25" a="1"/>
  <c r="C29" i="25" a="1"/>
  <c r="C18" i="25" a="1"/>
  <c r="C27" i="25" a="1"/>
  <c r="C10" i="25" a="1"/>
  <c r="C7" i="25" a="1"/>
  <c r="C22" i="25" a="1"/>
  <c r="C6" i="25" a="1"/>
  <c r="C30" i="25" a="1"/>
  <c r="C23" i="25" a="1"/>
  <c r="C28" i="25" a="1"/>
  <c r="C5" i="25" a="1"/>
  <c r="C12" i="25" a="1"/>
  <c r="C16" i="25" a="1"/>
  <c r="C26" i="25" a="1"/>
  <c r="C17" i="25" a="1"/>
  <c r="C13" i="25" a="1"/>
  <c r="C19" i="25" a="1"/>
  <c r="C3" i="25" a="1"/>
  <c r="C8" i="25" a="1"/>
  <c r="C11" i="25" a="1"/>
  <c r="C15" i="25" a="1"/>
  <c r="C25" i="25" a="1"/>
  <c r="C4" i="25" a="1"/>
  <c r="J24" i="16" l="1"/>
  <c r="F342" i="29"/>
  <c r="F347" i="29" s="1"/>
  <c r="F6802" i="26"/>
  <c r="G6802" i="26" s="1"/>
  <c r="A15" i="27" s="1"/>
  <c r="G15" i="27" s="1"/>
  <c r="F6800" i="26"/>
  <c r="G6800" i="26" s="1"/>
  <c r="A13" i="27" s="1"/>
  <c r="AJ13" i="27" s="1"/>
  <c r="F6819" i="26"/>
  <c r="G6819" i="26" s="1"/>
  <c r="A32" i="27" s="1"/>
  <c r="BR32" i="27" s="1"/>
  <c r="F6814" i="26"/>
  <c r="G6814" i="26" s="1"/>
  <c r="A27" i="27" s="1"/>
  <c r="BB27" i="27" s="1"/>
  <c r="F6812" i="26"/>
  <c r="G6812" i="26" s="1"/>
  <c r="A25" i="27" s="1"/>
  <c r="T25" i="27" s="1"/>
  <c r="F6793" i="26"/>
  <c r="G6793" i="26" s="1"/>
  <c r="A6" i="27" s="1"/>
  <c r="Q6" i="27" s="1"/>
  <c r="F6809" i="26"/>
  <c r="G6809" i="26" s="1"/>
  <c r="A22" i="27" s="1"/>
  <c r="Y22" i="27" s="1"/>
  <c r="F6825" i="26"/>
  <c r="G6825" i="26" s="1"/>
  <c r="A38" i="27" s="1"/>
  <c r="O38" i="27" s="1"/>
  <c r="F6823" i="26"/>
  <c r="G6823" i="26" s="1"/>
  <c r="A36" i="27" s="1"/>
  <c r="AL36" i="27" s="1"/>
  <c r="F6799" i="26"/>
  <c r="G6799" i="26" s="1"/>
  <c r="A12" i="27" s="1"/>
  <c r="AH12" i="27" s="1"/>
  <c r="F6789" i="26"/>
  <c r="G6789" i="26" s="1"/>
  <c r="A2" i="27" s="1"/>
  <c r="AW2" i="27" s="1"/>
  <c r="F6822" i="26"/>
  <c r="G6822" i="26" s="1"/>
  <c r="A35" i="27" s="1"/>
  <c r="AK35" i="27" s="1"/>
  <c r="F6829" i="26"/>
  <c r="G6829" i="26" s="1"/>
  <c r="A42" i="27" s="1"/>
  <c r="AA42" i="27" s="1"/>
  <c r="F6838" i="26"/>
  <c r="G6838" i="26" s="1"/>
  <c r="F6831" i="26"/>
  <c r="G6831" i="26" s="1"/>
  <c r="A44" i="27" s="1"/>
  <c r="V44" i="27" s="1"/>
  <c r="F6805" i="26"/>
  <c r="G6805" i="26" s="1"/>
  <c r="A18" i="27" s="1"/>
  <c r="AJ18" i="27" s="1"/>
  <c r="F6830" i="26"/>
  <c r="G6830" i="26" s="1"/>
  <c r="A43" i="27" s="1"/>
  <c r="I43" i="27" s="1"/>
  <c r="F6834" i="26"/>
  <c r="G6834" i="26" s="1"/>
  <c r="A47" i="27" s="1"/>
  <c r="P47" i="27" s="1"/>
  <c r="F6813" i="26"/>
  <c r="G6813" i="26" s="1"/>
  <c r="A26" i="27" s="1"/>
  <c r="BC26" i="27" s="1"/>
  <c r="F6810" i="26"/>
  <c r="G6810" i="26" s="1"/>
  <c r="A23" i="27" s="1"/>
  <c r="BV23" i="27" s="1"/>
  <c r="F6820" i="26"/>
  <c r="G6820" i="26" s="1"/>
  <c r="A33" i="27" s="1"/>
  <c r="X33" i="27" s="1"/>
  <c r="F6807" i="26"/>
  <c r="G6807" i="26" s="1"/>
  <c r="A20" i="27" s="1"/>
  <c r="V20" i="27" s="1"/>
  <c r="F6824" i="26"/>
  <c r="G6824" i="26" s="1"/>
  <c r="A37" i="27" s="1"/>
  <c r="BB37" i="27" s="1"/>
  <c r="F6798" i="26"/>
  <c r="G6798" i="26" s="1"/>
  <c r="A11" i="27" s="1"/>
  <c r="AR11" i="27" s="1"/>
  <c r="F6796" i="26"/>
  <c r="G6796" i="26" s="1"/>
  <c r="A9" i="27" s="1"/>
  <c r="W9" i="27" s="1"/>
  <c r="F6835" i="26"/>
  <c r="G6835" i="26" s="1"/>
  <c r="A48" i="27" s="1"/>
  <c r="BD48" i="27" s="1"/>
  <c r="F6818" i="26"/>
  <c r="G6818" i="26" s="1"/>
  <c r="A31" i="27" s="1"/>
  <c r="BV31" i="27" s="1"/>
  <c r="F6821" i="26"/>
  <c r="G6821" i="26" s="1"/>
  <c r="A34" i="27" s="1"/>
  <c r="V34" i="27" s="1"/>
  <c r="F6833" i="26"/>
  <c r="G6833" i="26" s="1"/>
  <c r="A46" i="27" s="1"/>
  <c r="Q46" i="27" s="1"/>
  <c r="F6837" i="26"/>
  <c r="G6837" i="26" s="1"/>
  <c r="A50" i="27" s="1"/>
  <c r="D50" i="27" s="1"/>
  <c r="F6795" i="26"/>
  <c r="G6795" i="26" s="1"/>
  <c r="A8" i="27" s="1"/>
  <c r="AW8" i="27" s="1"/>
  <c r="F6827" i="26"/>
  <c r="G6827" i="26" s="1"/>
  <c r="A40" i="27" s="1"/>
  <c r="V40" i="27" s="1"/>
  <c r="F6804" i="26"/>
  <c r="G6804" i="26" s="1"/>
  <c r="A17" i="27" s="1"/>
  <c r="B17" i="27" s="1"/>
  <c r="F6817" i="26"/>
  <c r="G6817" i="26" s="1"/>
  <c r="A30" i="27" s="1"/>
  <c r="AP30" i="27" s="1"/>
  <c r="F6808" i="26"/>
  <c r="G6808" i="26" s="1"/>
  <c r="A21" i="27" s="1"/>
  <c r="BD21" i="27" s="1"/>
  <c r="F6828" i="26"/>
  <c r="G6828" i="26" s="1"/>
  <c r="A41" i="27" s="1"/>
  <c r="I41" i="27" s="1"/>
  <c r="F6790" i="26"/>
  <c r="G6790" i="26" s="1"/>
  <c r="A3" i="27" s="1"/>
  <c r="BC3" i="27" s="1"/>
  <c r="F6836" i="26"/>
  <c r="G6836" i="26" s="1"/>
  <c r="A49" i="27" s="1"/>
  <c r="L49" i="27" s="1"/>
  <c r="F6826" i="26"/>
  <c r="G6826" i="26" s="1"/>
  <c r="A39" i="27" s="1"/>
  <c r="BY39" i="27" s="1"/>
  <c r="F6806" i="26"/>
  <c r="G6806" i="26" s="1"/>
  <c r="A19" i="27" s="1"/>
  <c r="BS19" i="27" s="1"/>
  <c r="F6803" i="26"/>
  <c r="G6803" i="26" s="1"/>
  <c r="A16" i="27" s="1"/>
  <c r="D16" i="27" s="1"/>
  <c r="F6792" i="26"/>
  <c r="G6792" i="26" s="1"/>
  <c r="A5" i="27" s="1"/>
  <c r="J5" i="27" s="1"/>
  <c r="F6794" i="26"/>
  <c r="G6794" i="26" s="1"/>
  <c r="A7" i="27" s="1"/>
  <c r="AL7" i="27" s="1"/>
  <c r="F6832" i="26"/>
  <c r="G6832" i="26" s="1"/>
  <c r="A45" i="27" s="1"/>
  <c r="BB45" i="27" s="1"/>
  <c r="F6811" i="26"/>
  <c r="G6811" i="26" s="1"/>
  <c r="A24" i="27" s="1"/>
  <c r="AS24" i="27" s="1"/>
  <c r="F6816" i="26"/>
  <c r="G6816" i="26" s="1"/>
  <c r="A29" i="27" s="1"/>
  <c r="B29" i="27" s="1"/>
  <c r="F6791" i="26"/>
  <c r="G6791" i="26" s="1"/>
  <c r="A4" i="27" s="1"/>
  <c r="N4" i="27" s="1"/>
  <c r="F6815" i="26"/>
  <c r="G6815" i="26" s="1"/>
  <c r="A28" i="27" s="1"/>
  <c r="AD28" i="27" s="1"/>
  <c r="F6801" i="26"/>
  <c r="G6801" i="26" s="1"/>
  <c r="A14" i="27" s="1"/>
  <c r="C15" i="25"/>
  <c r="C27" i="25"/>
  <c r="C9" i="25"/>
  <c r="C6" i="25"/>
  <c r="C20" i="25"/>
  <c r="C10" i="25"/>
  <c r="C30" i="25"/>
  <c r="C12" i="25"/>
  <c r="C8" i="25"/>
  <c r="C3" i="25"/>
  <c r="C2" i="25"/>
  <c r="C17" i="25"/>
  <c r="C7" i="25"/>
  <c r="C22" i="25"/>
  <c r="C29" i="25"/>
  <c r="C24" i="25"/>
  <c r="C21" i="25"/>
  <c r="C4" i="25"/>
  <c r="C5" i="25"/>
  <c r="C25" i="25"/>
  <c r="C18" i="25"/>
  <c r="C14" i="25"/>
  <c r="C26" i="25"/>
  <c r="C28" i="25"/>
  <c r="C11" i="25"/>
  <c r="C13" i="25"/>
  <c r="C19" i="25"/>
  <c r="C23" i="25"/>
  <c r="C16" i="25"/>
  <c r="H23" i="25"/>
  <c r="Z23" i="25"/>
  <c r="E23" i="25"/>
  <c r="O23" i="25"/>
  <c r="U23" i="25"/>
  <c r="P23" i="25"/>
  <c r="G175" i="37"/>
  <c r="K175" i="37"/>
  <c r="B175" i="37"/>
  <c r="O20" i="39"/>
  <c r="M20" i="39" s="1"/>
  <c r="BA15" i="27"/>
  <c r="AE15" i="27"/>
  <c r="V15" i="27"/>
  <c r="AL15" i="27"/>
  <c r="AZ15" i="27"/>
  <c r="Q15" i="27"/>
  <c r="AT15" i="27"/>
  <c r="AS15" i="27"/>
  <c r="K15" i="27"/>
  <c r="BY15" i="27"/>
  <c r="M15" i="27"/>
  <c r="P15" i="27"/>
  <c r="AX15" i="27"/>
  <c r="I15" i="27"/>
  <c r="AO15" i="27"/>
  <c r="T15" i="27"/>
  <c r="AD15" i="27"/>
  <c r="AC15" i="27"/>
  <c r="AH15" i="27"/>
  <c r="BW15" i="27"/>
  <c r="AG15" i="27"/>
  <c r="AM15" i="27"/>
  <c r="AJ15" i="27"/>
  <c r="AU15" i="27"/>
  <c r="K13" i="27"/>
  <c r="AK13" i="27"/>
  <c r="M13" i="27"/>
  <c r="S13" i="27"/>
  <c r="P13" i="27"/>
  <c r="U13" i="27"/>
  <c r="AS13" i="27"/>
  <c r="AA13" i="27"/>
  <c r="J13" i="27"/>
  <c r="BX13" i="27"/>
  <c r="AM13" i="27"/>
  <c r="AU13" i="27"/>
  <c r="H17" i="25"/>
  <c r="E17" i="25"/>
  <c r="O17" i="25"/>
  <c r="P17" i="25"/>
  <c r="Z17" i="25"/>
  <c r="U17" i="25"/>
  <c r="AV16" i="27"/>
  <c r="F21" i="39"/>
  <c r="B21" i="39"/>
  <c r="D21" i="39"/>
  <c r="H21" i="39" s="1"/>
  <c r="E21" i="39"/>
  <c r="A176" i="39"/>
  <c r="F176" i="39" s="1"/>
  <c r="G21" i="39"/>
  <c r="C21" i="39"/>
  <c r="A22" i="39"/>
  <c r="L174" i="38"/>
  <c r="A176" i="6"/>
  <c r="F176" i="6" s="1"/>
  <c r="F21" i="6"/>
  <c r="B21" i="6"/>
  <c r="G21" i="6"/>
  <c r="A22" i="6"/>
  <c r="C21" i="6"/>
  <c r="D21" i="6"/>
  <c r="H21" i="6" s="1"/>
  <c r="E21" i="6"/>
  <c r="H22" i="25"/>
  <c r="P22" i="25"/>
  <c r="O22" i="25"/>
  <c r="Z22" i="25"/>
  <c r="U22" i="25"/>
  <c r="E22" i="25"/>
  <c r="R7" i="27"/>
  <c r="AS7" i="27"/>
  <c r="BT7" i="27"/>
  <c r="I20" i="39"/>
  <c r="K20" i="39"/>
  <c r="L20" i="39"/>
  <c r="H19" i="25"/>
  <c r="U19" i="25"/>
  <c r="Z19" i="25"/>
  <c r="O19" i="25"/>
  <c r="E19" i="25"/>
  <c r="P19" i="25"/>
  <c r="O20" i="38"/>
  <c r="M20" i="38" s="1"/>
  <c r="H28" i="25"/>
  <c r="O28" i="25"/>
  <c r="P28" i="25"/>
  <c r="U28" i="25"/>
  <c r="E28" i="25"/>
  <c r="Z28" i="25"/>
  <c r="I20" i="6"/>
  <c r="K20" i="6" s="1"/>
  <c r="X10" i="27"/>
  <c r="B10" i="27"/>
  <c r="BW10" i="27"/>
  <c r="AF10" i="27"/>
  <c r="AJ10" i="27"/>
  <c r="AS10" i="27"/>
  <c r="O10" i="27"/>
  <c r="AM10" i="27"/>
  <c r="BR10" i="27"/>
  <c r="BV10" i="27"/>
  <c r="AR10" i="27"/>
  <c r="H10" i="27"/>
  <c r="R10" i="27"/>
  <c r="T10" i="27"/>
  <c r="AK10" i="27"/>
  <c r="AW10" i="27"/>
  <c r="BS10" i="27"/>
  <c r="K10" i="27"/>
  <c r="V10" i="27"/>
  <c r="AB10" i="27"/>
  <c r="AX10" i="27"/>
  <c r="AP10" i="27"/>
  <c r="W10" i="27"/>
  <c r="C10" i="27"/>
  <c r="AD10" i="27"/>
  <c r="Q10" i="27"/>
  <c r="L10" i="27"/>
  <c r="U10" i="27"/>
  <c r="N10" i="27"/>
  <c r="AY10" i="27"/>
  <c r="AH10" i="27"/>
  <c r="M10" i="27"/>
  <c r="AU10" i="27"/>
  <c r="AE10" i="27"/>
  <c r="AZ10" i="27"/>
  <c r="J10" i="27"/>
  <c r="AC10" i="27"/>
  <c r="G10" i="27"/>
  <c r="BC10" i="27"/>
  <c r="AG10" i="27"/>
  <c r="BT10" i="27"/>
  <c r="AO10" i="27"/>
  <c r="E10" i="27"/>
  <c r="BX10" i="27"/>
  <c r="D10" i="27"/>
  <c r="AN10" i="27"/>
  <c r="BB10" i="27"/>
  <c r="BY10" i="27"/>
  <c r="S10" i="27"/>
  <c r="BD10" i="27"/>
  <c r="AI10" i="27"/>
  <c r="AT10" i="27"/>
  <c r="Z10" i="27"/>
  <c r="P10" i="27"/>
  <c r="AL10" i="27"/>
  <c r="AA10" i="27"/>
  <c r="I10" i="27"/>
  <c r="F10" i="27"/>
  <c r="BA10" i="27"/>
  <c r="AV10" i="27"/>
  <c r="Y10" i="27"/>
  <c r="AQ10" i="27"/>
  <c r="H6" i="25"/>
  <c r="O6" i="25"/>
  <c r="Z6" i="25"/>
  <c r="U6" i="25"/>
  <c r="P6" i="25"/>
  <c r="H26" i="25"/>
  <c r="Z26" i="25"/>
  <c r="E26" i="25"/>
  <c r="U26" i="25"/>
  <c r="P26" i="25"/>
  <c r="O26" i="25"/>
  <c r="B175" i="6"/>
  <c r="K175" i="6"/>
  <c r="G175" i="6"/>
  <c r="AM25" i="27"/>
  <c r="G175" i="38"/>
  <c r="K175" i="38"/>
  <c r="B175" i="38"/>
  <c r="L174" i="39"/>
  <c r="H12" i="25"/>
  <c r="E12" i="25"/>
  <c r="Z12" i="25"/>
  <c r="P12" i="25"/>
  <c r="U12" i="25"/>
  <c r="O12" i="25"/>
  <c r="A22" i="38"/>
  <c r="G21" i="38"/>
  <c r="F21" i="38"/>
  <c r="C21" i="38"/>
  <c r="A176" i="38"/>
  <c r="F176" i="38" s="1"/>
  <c r="E21" i="38"/>
  <c r="L21" i="38" s="1"/>
  <c r="B21" i="38"/>
  <c r="D21" i="38"/>
  <c r="H21" i="38" s="1"/>
  <c r="H5" i="25"/>
  <c r="P5" i="25"/>
  <c r="U5" i="25"/>
  <c r="O5" i="25"/>
  <c r="Z5" i="25"/>
  <c r="H3" i="25"/>
  <c r="O3" i="25"/>
  <c r="U3" i="25"/>
  <c r="Z3" i="25"/>
  <c r="P3" i="25"/>
  <c r="H15" i="25"/>
  <c r="U15" i="25"/>
  <c r="Z15" i="25"/>
  <c r="E15" i="25"/>
  <c r="P15" i="25"/>
  <c r="O15" i="25"/>
  <c r="H2" i="25"/>
  <c r="Z2" i="25"/>
  <c r="P2" i="25"/>
  <c r="O2" i="25"/>
  <c r="U2" i="25"/>
  <c r="H8" i="25"/>
  <c r="Z8" i="25"/>
  <c r="U8" i="25"/>
  <c r="O8" i="25"/>
  <c r="P8" i="25"/>
  <c r="I25" i="16"/>
  <c r="K25" i="16" s="1"/>
  <c r="H10" i="25"/>
  <c r="P10" i="25"/>
  <c r="O10" i="25"/>
  <c r="Z10" i="25"/>
  <c r="U10" i="25"/>
  <c r="L174" i="6"/>
  <c r="AV20" i="27"/>
  <c r="BC20" i="27"/>
  <c r="BV20" i="27"/>
  <c r="E20" i="27"/>
  <c r="AE20" i="27"/>
  <c r="AA20" i="27"/>
  <c r="AO20" i="27"/>
  <c r="AN20" i="27"/>
  <c r="AW20" i="27"/>
  <c r="AJ20" i="27"/>
  <c r="BB20" i="27"/>
  <c r="BR20" i="27"/>
  <c r="I20" i="27"/>
  <c r="W20" i="27"/>
  <c r="AU20" i="27"/>
  <c r="F20" i="27"/>
  <c r="J20" i="27"/>
  <c r="AK20" i="27"/>
  <c r="G20" i="27"/>
  <c r="Y20" i="27"/>
  <c r="AY20" i="27"/>
  <c r="AB20" i="27"/>
  <c r="BA20" i="27"/>
  <c r="AI20" i="27"/>
  <c r="AP20" i="27"/>
  <c r="BT20" i="27"/>
  <c r="C20" i="27"/>
  <c r="AG20" i="27"/>
  <c r="O20" i="27"/>
  <c r="H25" i="25"/>
  <c r="E25" i="25"/>
  <c r="O25" i="25"/>
  <c r="U25" i="25"/>
  <c r="Z25" i="25"/>
  <c r="P25" i="25"/>
  <c r="I20" i="38"/>
  <c r="K20" i="38" s="1"/>
  <c r="L20" i="38"/>
  <c r="H27" i="25"/>
  <c r="E27" i="25"/>
  <c r="Z27" i="25"/>
  <c r="U27" i="25"/>
  <c r="P27" i="25"/>
  <c r="O27" i="25"/>
  <c r="AT37" i="27"/>
  <c r="D37" i="27"/>
  <c r="V37" i="27"/>
  <c r="BV37" i="27"/>
  <c r="AS37" i="27"/>
  <c r="R37" i="27"/>
  <c r="AN37" i="27"/>
  <c r="AV37" i="27"/>
  <c r="BD37" i="27"/>
  <c r="AW23" i="27"/>
  <c r="R23" i="27"/>
  <c r="AL23" i="27"/>
  <c r="C23" i="27"/>
  <c r="AO23" i="27"/>
  <c r="BS23" i="27"/>
  <c r="AS23" i="27"/>
  <c r="BB23" i="27"/>
  <c r="AY23" i="27"/>
  <c r="AU23" i="27"/>
  <c r="AJ23" i="27"/>
  <c r="Q23" i="27"/>
  <c r="V23" i="27"/>
  <c r="O23" i="27"/>
  <c r="U23" i="27"/>
  <c r="N23" i="27"/>
  <c r="AI23" i="27"/>
  <c r="AE23" i="27"/>
  <c r="AB23" i="27"/>
  <c r="BT23" i="27"/>
  <c r="H29" i="25"/>
  <c r="E29" i="25"/>
  <c r="Z29" i="25"/>
  <c r="O29" i="25"/>
  <c r="U29" i="25"/>
  <c r="P29" i="25"/>
  <c r="H30" i="25"/>
  <c r="Z30" i="25"/>
  <c r="P30" i="25"/>
  <c r="U30" i="25"/>
  <c r="E30" i="25"/>
  <c r="O30" i="25"/>
  <c r="O19" i="6"/>
  <c r="H14" i="25"/>
  <c r="O14" i="25"/>
  <c r="Z14" i="25"/>
  <c r="P14" i="25"/>
  <c r="E14" i="25"/>
  <c r="U14" i="25"/>
  <c r="BA33" i="27"/>
  <c r="AW33" i="27"/>
  <c r="W33" i="27"/>
  <c r="R33" i="27"/>
  <c r="I33" i="27"/>
  <c r="F33" i="27"/>
  <c r="J33" i="27"/>
  <c r="AK33" i="27"/>
  <c r="AL33" i="27"/>
  <c r="BX33" i="27"/>
  <c r="U33" i="27"/>
  <c r="H13" i="25"/>
  <c r="O13" i="25"/>
  <c r="P13" i="25"/>
  <c r="Z13" i="25"/>
  <c r="U13" i="25"/>
  <c r="E13" i="25"/>
  <c r="H24" i="25"/>
  <c r="O24" i="25"/>
  <c r="Z24" i="25"/>
  <c r="E24" i="25"/>
  <c r="U24" i="25"/>
  <c r="P24" i="25"/>
  <c r="L174" i="37"/>
  <c r="H9" i="25"/>
  <c r="U9" i="25"/>
  <c r="O9" i="25"/>
  <c r="P9" i="25"/>
  <c r="Z9" i="25"/>
  <c r="H16" i="25"/>
  <c r="O16" i="25"/>
  <c r="P16" i="25"/>
  <c r="E16" i="25"/>
  <c r="Z16" i="25"/>
  <c r="U16" i="25"/>
  <c r="K175" i="39"/>
  <c r="G175" i="39"/>
  <c r="B175" i="39"/>
  <c r="H21" i="25"/>
  <c r="P21" i="25"/>
  <c r="U21" i="25"/>
  <c r="Z21" i="25"/>
  <c r="O21" i="25"/>
  <c r="E21" i="25"/>
  <c r="G21" i="37"/>
  <c r="C21" i="37"/>
  <c r="E21" i="37"/>
  <c r="A176" i="37"/>
  <c r="F176" i="37" s="1"/>
  <c r="F21" i="37"/>
  <c r="D21" i="37"/>
  <c r="H21" i="37" s="1"/>
  <c r="B21" i="37"/>
  <c r="A22" i="37"/>
  <c r="H4" i="25"/>
  <c r="O4" i="25"/>
  <c r="Z4" i="25"/>
  <c r="P4" i="25"/>
  <c r="U4" i="25"/>
  <c r="H20" i="25"/>
  <c r="E20" i="25"/>
  <c r="Z20" i="25"/>
  <c r="O20" i="25"/>
  <c r="U20" i="25"/>
  <c r="P20" i="25"/>
  <c r="I20" i="37"/>
  <c r="K20" i="37" s="1"/>
  <c r="H11" i="25"/>
  <c r="P11" i="25"/>
  <c r="U11" i="25"/>
  <c r="E11" i="25"/>
  <c r="Z11" i="25"/>
  <c r="O11" i="25"/>
  <c r="H7" i="25"/>
  <c r="Z7" i="25"/>
  <c r="P7" i="25"/>
  <c r="U7" i="25"/>
  <c r="O7" i="25"/>
  <c r="H18" i="25"/>
  <c r="E18" i="25"/>
  <c r="P18" i="25"/>
  <c r="O18" i="25"/>
  <c r="U18" i="25"/>
  <c r="Z18" i="25"/>
  <c r="V19" i="27"/>
  <c r="AW19" i="27"/>
  <c r="T19" i="27"/>
  <c r="BC19" i="27"/>
  <c r="J19" i="27"/>
  <c r="BY19" i="27"/>
  <c r="I19" i="27"/>
  <c r="L19" i="27"/>
  <c r="N19" i="27"/>
  <c r="AG19" i="27"/>
  <c r="AA19" i="27"/>
  <c r="BV19" i="27"/>
  <c r="U19" i="27"/>
  <c r="AC19" i="27"/>
  <c r="AE19" i="27"/>
  <c r="AM19" i="27"/>
  <c r="BB19" i="27"/>
  <c r="AS19" i="27"/>
  <c r="T37" i="27" l="1"/>
  <c r="E37" i="27"/>
  <c r="AF37" i="27"/>
  <c r="AE37" i="27"/>
  <c r="AD37" i="27"/>
  <c r="Y37" i="27"/>
  <c r="BR37" i="27"/>
  <c r="BC37" i="27"/>
  <c r="AB13" i="27"/>
  <c r="E7" i="25"/>
  <c r="F15" i="27"/>
  <c r="S15" i="27"/>
  <c r="J15" i="27"/>
  <c r="BV15" i="27"/>
  <c r="AB24" i="27"/>
  <c r="N15" i="27"/>
  <c r="L24" i="27"/>
  <c r="AN15" i="27"/>
  <c r="BX16" i="27"/>
  <c r="AC13" i="27"/>
  <c r="H13" i="27"/>
  <c r="BD20" i="27"/>
  <c r="AR20" i="27"/>
  <c r="I13" i="27"/>
  <c r="S20" i="27"/>
  <c r="N20" i="27"/>
  <c r="AO13" i="27"/>
  <c r="AQ20" i="27"/>
  <c r="AS20" i="27"/>
  <c r="BR13" i="27"/>
  <c r="X20" i="27"/>
  <c r="AD20" i="27"/>
  <c r="E13" i="27"/>
  <c r="AT20" i="27"/>
  <c r="T20" i="27"/>
  <c r="BG20" i="27" s="1"/>
  <c r="Y13" i="27"/>
  <c r="AQ13" i="27"/>
  <c r="AH20" i="27"/>
  <c r="AF20" i="27"/>
  <c r="C13" i="27"/>
  <c r="AI13" i="27"/>
  <c r="D45" i="27"/>
  <c r="BC13" i="27"/>
  <c r="BP13" i="27" s="1"/>
  <c r="AD13" i="27"/>
  <c r="C9" i="27"/>
  <c r="K20" i="27"/>
  <c r="M20" i="27"/>
  <c r="AX13" i="27"/>
  <c r="AR13" i="27"/>
  <c r="AT25" i="27"/>
  <c r="BG25" i="27" s="1"/>
  <c r="AQ25" i="27"/>
  <c r="AP25" i="27"/>
  <c r="BB25" i="27"/>
  <c r="BS24" i="27"/>
  <c r="O25" i="27"/>
  <c r="R24" i="27"/>
  <c r="L15" i="27"/>
  <c r="Y15" i="27"/>
  <c r="Z9" i="27"/>
  <c r="AX16" i="27"/>
  <c r="O15" i="27"/>
  <c r="AK15" i="27"/>
  <c r="AB9" i="27"/>
  <c r="Y16" i="27"/>
  <c r="E15" i="27"/>
  <c r="AB15" i="27"/>
  <c r="L9" i="27"/>
  <c r="AY15" i="27"/>
  <c r="U15" i="27"/>
  <c r="BH15" i="27" s="1"/>
  <c r="AE9" i="27"/>
  <c r="AG48" i="27"/>
  <c r="R15" i="27"/>
  <c r="B15" i="27"/>
  <c r="T9" i="27"/>
  <c r="AH48" i="27"/>
  <c r="AZ9" i="27"/>
  <c r="AR48" i="27"/>
  <c r="BV9" i="27"/>
  <c r="Q9" i="27"/>
  <c r="W48" i="27"/>
  <c r="AZ20" i="27"/>
  <c r="P20" i="27"/>
  <c r="AV13" i="27"/>
  <c r="BX20" i="27"/>
  <c r="H20" i="27"/>
  <c r="G13" i="27"/>
  <c r="Z20" i="27"/>
  <c r="AL20" i="27"/>
  <c r="BW20" i="27"/>
  <c r="O13" i="27"/>
  <c r="F13" i="27"/>
  <c r="L13" i="27"/>
  <c r="D13" i="27"/>
  <c r="AI16" i="27"/>
  <c r="S16" i="27"/>
  <c r="AI24" i="27"/>
  <c r="AP24" i="27"/>
  <c r="AK16" i="27"/>
  <c r="Z16" i="27"/>
  <c r="AB33" i="27"/>
  <c r="BS33" i="27"/>
  <c r="AF33" i="27"/>
  <c r="K33" i="27"/>
  <c r="W24" i="27"/>
  <c r="AH13" i="27"/>
  <c r="AG13" i="27"/>
  <c r="AW15" i="27"/>
  <c r="AR15" i="27"/>
  <c r="D15" i="27"/>
  <c r="L20" i="27"/>
  <c r="BS20" i="27"/>
  <c r="AX20" i="27"/>
  <c r="BD13" i="27"/>
  <c r="AN13" i="27"/>
  <c r="BS13" i="27"/>
  <c r="AQ15" i="27"/>
  <c r="AV15" i="27"/>
  <c r="BI15" i="27" s="1"/>
  <c r="AS33" i="27"/>
  <c r="Q20" i="27"/>
  <c r="D20" i="27"/>
  <c r="U20" i="27"/>
  <c r="F16" i="27"/>
  <c r="T13" i="27"/>
  <c r="BY13" i="27"/>
  <c r="AP13" i="27"/>
  <c r="BD15" i="27"/>
  <c r="BQ15" i="27" s="1"/>
  <c r="BX15" i="27"/>
  <c r="AY16" i="27"/>
  <c r="BD33" i="27"/>
  <c r="R20" i="27"/>
  <c r="BY20" i="27"/>
  <c r="B20" i="27"/>
  <c r="AH16" i="27"/>
  <c r="BA13" i="27"/>
  <c r="BN13" i="27" s="1"/>
  <c r="BB13" i="27"/>
  <c r="BO13" i="27" s="1"/>
  <c r="AE13" i="27"/>
  <c r="C15" i="27"/>
  <c r="BR15" i="27"/>
  <c r="R16" i="27"/>
  <c r="Y33" i="27"/>
  <c r="AC20" i="27"/>
  <c r="BP20" i="27" s="1"/>
  <c r="AM20" i="27"/>
  <c r="AG16" i="27"/>
  <c r="AZ13" i="27"/>
  <c r="V13" i="27"/>
  <c r="Z15" i="27"/>
  <c r="BM15" i="27" s="1"/>
  <c r="X15" i="27"/>
  <c r="BK15" i="27" s="1"/>
  <c r="AF15" i="27"/>
  <c r="BK10" i="27"/>
  <c r="B6" i="27"/>
  <c r="BD25" i="27"/>
  <c r="BR25" i="27"/>
  <c r="B25" i="27"/>
  <c r="BW16" i="27"/>
  <c r="AP15" i="27"/>
  <c r="N6" i="27"/>
  <c r="AQ6" i="27"/>
  <c r="D6" i="27"/>
  <c r="BW37" i="27"/>
  <c r="AZ37" i="27"/>
  <c r="AP37" i="27"/>
  <c r="BX32" i="27"/>
  <c r="AY32" i="27"/>
  <c r="AG37" i="27"/>
  <c r="X37" i="27"/>
  <c r="AB32" i="27"/>
  <c r="AW32" i="27"/>
  <c r="AI37" i="27"/>
  <c r="N37" i="27"/>
  <c r="M32" i="27"/>
  <c r="V32" i="27"/>
  <c r="AM32" i="27"/>
  <c r="AZ32" i="27"/>
  <c r="AF32" i="27"/>
  <c r="J32" i="27"/>
  <c r="P32" i="27"/>
  <c r="BA37" i="27"/>
  <c r="Z37" i="27"/>
  <c r="BA32" i="27"/>
  <c r="H32" i="27"/>
  <c r="BB32" i="27"/>
  <c r="L32" i="27"/>
  <c r="I32" i="27"/>
  <c r="AC32" i="27"/>
  <c r="Q37" i="27"/>
  <c r="H37" i="27"/>
  <c r="R32" i="27"/>
  <c r="BT32" i="27"/>
  <c r="AJ37" i="27"/>
  <c r="B37" i="27"/>
  <c r="AO32" i="27"/>
  <c r="X32" i="27"/>
  <c r="G37" i="27"/>
  <c r="BT37" i="27"/>
  <c r="N32" i="27"/>
  <c r="AG32" i="27"/>
  <c r="F37" i="27"/>
  <c r="I37" i="27"/>
  <c r="AV32" i="27"/>
  <c r="BV32" i="27"/>
  <c r="AI32" i="27"/>
  <c r="AU32" i="27"/>
  <c r="D32" i="27"/>
  <c r="AE32" i="27"/>
  <c r="AS32" i="27"/>
  <c r="K37" i="27"/>
  <c r="AU37" i="27"/>
  <c r="K32" i="27"/>
  <c r="S32" i="27"/>
  <c r="AW37" i="27"/>
  <c r="P37" i="27"/>
  <c r="Z32" i="27"/>
  <c r="AD32" i="27"/>
  <c r="G32" i="27"/>
  <c r="C37" i="27"/>
  <c r="O37" i="27"/>
  <c r="F32" i="27"/>
  <c r="U32" i="27"/>
  <c r="BW32" i="27"/>
  <c r="AA32" i="27"/>
  <c r="AL32" i="27"/>
  <c r="BY37" i="27"/>
  <c r="AA37" i="27"/>
  <c r="AR32" i="27"/>
  <c r="AJ32" i="27"/>
  <c r="AZ16" i="27"/>
  <c r="Q25" i="27"/>
  <c r="AS38" i="27"/>
  <c r="V25" i="27"/>
  <c r="AG25" i="27"/>
  <c r="AV25" i="27"/>
  <c r="BR24" i="27"/>
  <c r="V24" i="27"/>
  <c r="AI31" i="27"/>
  <c r="D9" i="27"/>
  <c r="AK24" i="27"/>
  <c r="R9" i="27"/>
  <c r="BR31" i="27"/>
  <c r="BB9" i="27"/>
  <c r="AU6" i="27"/>
  <c r="K24" i="27"/>
  <c r="BY33" i="27"/>
  <c r="Z33" i="27"/>
  <c r="AC33" i="27"/>
  <c r="I16" i="27"/>
  <c r="U16" i="27"/>
  <c r="AP33" i="27"/>
  <c r="AU33" i="27"/>
  <c r="BH33" i="27" s="1"/>
  <c r="S33" i="27"/>
  <c r="N33" i="27"/>
  <c r="E16" i="27"/>
  <c r="BD16" i="27"/>
  <c r="AN33" i="27"/>
  <c r="H33" i="27"/>
  <c r="AP16" i="27"/>
  <c r="W16" i="27"/>
  <c r="T16" i="27"/>
  <c r="P16" i="27"/>
  <c r="AD33" i="27"/>
  <c r="O16" i="27"/>
  <c r="K16" i="27"/>
  <c r="AS16" i="27"/>
  <c r="M16" i="27"/>
  <c r="AU16" i="27"/>
  <c r="BA16" i="27"/>
  <c r="AW16" i="27"/>
  <c r="C33" i="27"/>
  <c r="BB33" i="27"/>
  <c r="AQ33" i="27"/>
  <c r="O33" i="27"/>
  <c r="H16" i="27"/>
  <c r="AH33" i="27"/>
  <c r="AD16" i="27"/>
  <c r="J16" i="27"/>
  <c r="M33" i="27"/>
  <c r="AX33" i="27"/>
  <c r="BK33" i="27" s="1"/>
  <c r="AE33" i="27"/>
  <c r="T33" i="27"/>
  <c r="E33" i="27"/>
  <c r="BV33" i="27"/>
  <c r="G33" i="27"/>
  <c r="Q33" i="27"/>
  <c r="BB16" i="27"/>
  <c r="AQ16" i="27"/>
  <c r="BS16" i="27"/>
  <c r="D33" i="27"/>
  <c r="AM33" i="27"/>
  <c r="AE16" i="27"/>
  <c r="AB16" i="27"/>
  <c r="AF16" i="27"/>
  <c r="BC33" i="27"/>
  <c r="AT33" i="27"/>
  <c r="B33" i="27"/>
  <c r="BW33" i="27"/>
  <c r="AV33" i="27"/>
  <c r="B16" i="27"/>
  <c r="AO33" i="27"/>
  <c r="P33" i="27"/>
  <c r="AJ33" i="27"/>
  <c r="AI33" i="27"/>
  <c r="L33" i="27"/>
  <c r="BR33" i="27"/>
  <c r="AG33" i="27"/>
  <c r="AY33" i="27"/>
  <c r="C16" i="27"/>
  <c r="AR16" i="27"/>
  <c r="AL16" i="27"/>
  <c r="AB38" i="27"/>
  <c r="AN16" i="27"/>
  <c r="L16" i="27"/>
  <c r="BR16" i="27"/>
  <c r="AA33" i="27"/>
  <c r="BN33" i="27" s="1"/>
  <c r="V33" i="27"/>
  <c r="BT33" i="27"/>
  <c r="AO16" i="27"/>
  <c r="G16" i="27"/>
  <c r="AM16" i="27"/>
  <c r="AR33" i="27"/>
  <c r="BE33" i="27" s="1"/>
  <c r="AZ33" i="27"/>
  <c r="BT16" i="27"/>
  <c r="AJ16" i="27"/>
  <c r="BC16" i="27"/>
  <c r="AS9" i="27"/>
  <c r="AB37" i="27"/>
  <c r="BO37" i="27" s="1"/>
  <c r="AC37" i="27"/>
  <c r="BP37" i="27" s="1"/>
  <c r="AQ37" i="27"/>
  <c r="F25" i="27"/>
  <c r="AX32" i="27"/>
  <c r="BC32" i="27"/>
  <c r="Q32" i="27"/>
  <c r="BC9" i="27"/>
  <c r="M37" i="27"/>
  <c r="AK37" i="27"/>
  <c r="AH37" i="27"/>
  <c r="C25" i="27"/>
  <c r="AH32" i="27"/>
  <c r="E32" i="27"/>
  <c r="O32" i="27"/>
  <c r="AU24" i="27"/>
  <c r="AM9" i="27"/>
  <c r="AT9" i="27"/>
  <c r="AO37" i="27"/>
  <c r="AX37" i="27"/>
  <c r="AL37" i="27"/>
  <c r="R25" i="27"/>
  <c r="AT32" i="27"/>
  <c r="AN32" i="27"/>
  <c r="AQ32" i="27"/>
  <c r="AR24" i="27"/>
  <c r="Z25" i="27"/>
  <c r="X24" i="27"/>
  <c r="S37" i="27"/>
  <c r="BF37" i="27" s="1"/>
  <c r="AR37" i="27"/>
  <c r="BE37" i="27" s="1"/>
  <c r="J37" i="27"/>
  <c r="BX37" i="27"/>
  <c r="BA25" i="27"/>
  <c r="AP32" i="27"/>
  <c r="BS32" i="27"/>
  <c r="T32" i="27"/>
  <c r="AK32" i="27"/>
  <c r="AG24" i="27"/>
  <c r="AF25" i="27"/>
  <c r="L37" i="27"/>
  <c r="AM37" i="27"/>
  <c r="U37" i="27"/>
  <c r="BS37" i="27"/>
  <c r="D25" i="27"/>
  <c r="C32" i="27"/>
  <c r="B32" i="27"/>
  <c r="W32" i="27"/>
  <c r="Y32" i="27"/>
  <c r="AC24" i="27"/>
  <c r="AI9" i="27"/>
  <c r="X9" i="27"/>
  <c r="AY37" i="27"/>
  <c r="BL37" i="27" s="1"/>
  <c r="W37" i="27"/>
  <c r="AK25" i="27"/>
  <c r="BD32" i="27"/>
  <c r="BY32" i="27"/>
  <c r="AN24" i="27"/>
  <c r="AL6" i="27"/>
  <c r="AX24" i="27"/>
  <c r="G28" i="27"/>
  <c r="AI28" i="27"/>
  <c r="BW48" i="27"/>
  <c r="BA9" i="27"/>
  <c r="AB25" i="27"/>
  <c r="AZ29" i="27"/>
  <c r="F24" i="27"/>
  <c r="Y25" i="27"/>
  <c r="AT29" i="27"/>
  <c r="BC24" i="27"/>
  <c r="E38" i="27"/>
  <c r="BT48" i="27"/>
  <c r="BD9" i="27"/>
  <c r="AU25" i="27"/>
  <c r="AV24" i="27"/>
  <c r="AT24" i="27"/>
  <c r="R48" i="27"/>
  <c r="N9" i="27"/>
  <c r="AH9" i="27"/>
  <c r="K6" i="27"/>
  <c r="AA25" i="27"/>
  <c r="P24" i="27"/>
  <c r="AM24" i="27"/>
  <c r="I48" i="27"/>
  <c r="BR9" i="27"/>
  <c r="V9" i="27"/>
  <c r="BY48" i="27"/>
  <c r="AP9" i="27"/>
  <c r="AC9" i="27"/>
  <c r="AG6" i="27"/>
  <c r="AO25" i="27"/>
  <c r="AO24" i="27"/>
  <c r="AJ24" i="27"/>
  <c r="BV16" i="27"/>
  <c r="N16" i="27"/>
  <c r="Q16" i="27"/>
  <c r="BB15" i="27"/>
  <c r="AI15" i="27"/>
  <c r="BC15" i="27"/>
  <c r="BP15" i="27" s="1"/>
  <c r="BB22" i="27"/>
  <c r="AD48" i="27"/>
  <c r="BQ48" i="27" s="1"/>
  <c r="BX48" i="27"/>
  <c r="K9" i="27"/>
  <c r="AK9" i="27"/>
  <c r="F6" i="27"/>
  <c r="K25" i="27"/>
  <c r="Y24" i="27"/>
  <c r="BY24" i="27"/>
  <c r="B13" i="27"/>
  <c r="AT13" i="27"/>
  <c r="AL13" i="27"/>
  <c r="AW13" i="27"/>
  <c r="W13" i="27"/>
  <c r="AW38" i="27"/>
  <c r="AR38" i="27"/>
  <c r="X13" i="27"/>
  <c r="Q13" i="27"/>
  <c r="AJ38" i="27"/>
  <c r="AT38" i="27"/>
  <c r="AO38" i="27"/>
  <c r="N13" i="27"/>
  <c r="BV13" i="27"/>
  <c r="Z13" i="27"/>
  <c r="BM13" i="27" s="1"/>
  <c r="K38" i="27"/>
  <c r="J38" i="27"/>
  <c r="C6" i="27"/>
  <c r="AJ28" i="27"/>
  <c r="P9" i="27"/>
  <c r="AN9" i="27"/>
  <c r="AD38" i="27"/>
  <c r="BX25" i="27"/>
  <c r="AR25" i="27"/>
  <c r="AN28" i="27"/>
  <c r="BD24" i="27"/>
  <c r="BB24" i="27"/>
  <c r="BO24" i="27" s="1"/>
  <c r="X31" i="27"/>
  <c r="AR31" i="27"/>
  <c r="U31" i="27"/>
  <c r="AQ9" i="27"/>
  <c r="S9" i="27"/>
  <c r="AA38" i="27"/>
  <c r="J25" i="27"/>
  <c r="I25" i="27"/>
  <c r="BA28" i="27"/>
  <c r="G24" i="27"/>
  <c r="X16" i="27"/>
  <c r="AC16" i="27"/>
  <c r="AA16" i="27"/>
  <c r="BW13" i="27"/>
  <c r="AF13" i="27"/>
  <c r="BT13" i="27"/>
  <c r="H15" i="27"/>
  <c r="AA15" i="27"/>
  <c r="BN15" i="27" s="1"/>
  <c r="BT15" i="27"/>
  <c r="G38" i="27"/>
  <c r="AG22" i="27"/>
  <c r="W25" i="27"/>
  <c r="AW25" i="27"/>
  <c r="BV24" i="27"/>
  <c r="BS28" i="27"/>
  <c r="AB28" i="27"/>
  <c r="M48" i="27"/>
  <c r="AG9" i="27"/>
  <c r="AU9" i="27"/>
  <c r="AU22" i="27"/>
  <c r="AS25" i="27"/>
  <c r="AC25" i="27"/>
  <c r="AI29" i="27"/>
  <c r="AZ24" i="27"/>
  <c r="AM31" i="27"/>
  <c r="H31" i="27"/>
  <c r="AB48" i="27"/>
  <c r="AC22" i="27"/>
  <c r="BC25" i="27"/>
  <c r="AY25" i="27"/>
  <c r="BW29" i="27"/>
  <c r="D24" i="27"/>
  <c r="BY16" i="27"/>
  <c r="V16" i="27"/>
  <c r="BI16" i="27" s="1"/>
  <c r="AT16" i="27"/>
  <c r="AY13" i="27"/>
  <c r="R13" i="27"/>
  <c r="W15" i="27"/>
  <c r="BS15" i="27"/>
  <c r="H48" i="27"/>
  <c r="M6" i="27"/>
  <c r="BX29" i="27"/>
  <c r="BV29" i="27"/>
  <c r="AZ48" i="27"/>
  <c r="AK6" i="27"/>
  <c r="AX29" i="27"/>
  <c r="AH31" i="27"/>
  <c r="X48" i="27"/>
  <c r="E22" i="27"/>
  <c r="BY6" i="27"/>
  <c r="AQ29" i="27"/>
  <c r="BC29" i="27"/>
  <c r="N22" i="27"/>
  <c r="AJ6" i="27"/>
  <c r="Z29" i="27"/>
  <c r="Z22" i="27"/>
  <c r="AE6" i="27"/>
  <c r="AC31" i="27"/>
  <c r="P48" i="27"/>
  <c r="BW22" i="27"/>
  <c r="AA6" i="27"/>
  <c r="AW29" i="27"/>
  <c r="V31" i="27"/>
  <c r="AC48" i="27"/>
  <c r="AD22" i="27"/>
  <c r="BT6" i="27"/>
  <c r="AD29" i="27"/>
  <c r="BB31" i="27"/>
  <c r="E48" i="27"/>
  <c r="AG31" i="27"/>
  <c r="AE48" i="27"/>
  <c r="AQ31" i="27"/>
  <c r="N48" i="27"/>
  <c r="AB22" i="27"/>
  <c r="AP6" i="27"/>
  <c r="AY29" i="27"/>
  <c r="AX28" i="27"/>
  <c r="BC28" i="27"/>
  <c r="AM45" i="27"/>
  <c r="F27" i="27"/>
  <c r="BX22" i="27"/>
  <c r="AF27" i="27"/>
  <c r="AV27" i="27"/>
  <c r="W27" i="27"/>
  <c r="Q31" i="27"/>
  <c r="C22" i="27"/>
  <c r="AQ27" i="27"/>
  <c r="J27" i="27"/>
  <c r="T27" i="27"/>
  <c r="BC45" i="27"/>
  <c r="AA27" i="27"/>
  <c r="D27" i="27"/>
  <c r="E27" i="27"/>
  <c r="AN27" i="27"/>
  <c r="L27" i="27"/>
  <c r="G27" i="27"/>
  <c r="AY31" i="27"/>
  <c r="O22" i="27"/>
  <c r="AC27" i="27"/>
  <c r="AX27" i="27"/>
  <c r="P27" i="27"/>
  <c r="Y27" i="27"/>
  <c r="O27" i="27"/>
  <c r="BA27" i="27"/>
  <c r="BV27" i="27"/>
  <c r="AG8" i="27"/>
  <c r="V27" i="27"/>
  <c r="J22" i="27"/>
  <c r="X22" i="27"/>
  <c r="AJ27" i="27"/>
  <c r="AM27" i="27"/>
  <c r="AP27" i="27"/>
  <c r="AK27" i="27"/>
  <c r="AE27" i="27"/>
  <c r="AL27" i="27"/>
  <c r="Q27" i="27"/>
  <c r="AB27" i="27"/>
  <c r="BO27" i="27" s="1"/>
  <c r="I27" i="27"/>
  <c r="BD27" i="27"/>
  <c r="AT22" i="27"/>
  <c r="AI27" i="27"/>
  <c r="AY27" i="27"/>
  <c r="AS27" i="27"/>
  <c r="BX27" i="27"/>
  <c r="AO27" i="27"/>
  <c r="H27" i="27"/>
  <c r="BS27" i="27"/>
  <c r="BW27" i="27"/>
  <c r="S27" i="27"/>
  <c r="BY27" i="27"/>
  <c r="N27" i="27"/>
  <c r="AZ27" i="27"/>
  <c r="M27" i="27"/>
  <c r="BC27" i="27"/>
  <c r="AD27" i="27"/>
  <c r="R27" i="27"/>
  <c r="K27" i="27"/>
  <c r="AH27" i="27"/>
  <c r="X27" i="27"/>
  <c r="AU27" i="27"/>
  <c r="BT27" i="27"/>
  <c r="BR27" i="27"/>
  <c r="AT27" i="27"/>
  <c r="B27" i="27"/>
  <c r="AR27" i="27"/>
  <c r="AW27" i="27"/>
  <c r="C27" i="27"/>
  <c r="U27" i="27"/>
  <c r="AT31" i="27"/>
  <c r="Z27" i="27"/>
  <c r="AG27" i="27"/>
  <c r="X30" i="27"/>
  <c r="AX40" i="27"/>
  <c r="BT46" i="27"/>
  <c r="C38" i="27"/>
  <c r="P28" i="27"/>
  <c r="M28" i="27"/>
  <c r="V28" i="27"/>
  <c r="BW30" i="27"/>
  <c r="S8" i="27"/>
  <c r="AE35" i="27"/>
  <c r="X38" i="27"/>
  <c r="AW28" i="27"/>
  <c r="G46" i="27"/>
  <c r="AC46" i="27"/>
  <c r="AK46" i="27"/>
  <c r="AK38" i="27"/>
  <c r="AH28" i="27"/>
  <c r="AN30" i="27"/>
  <c r="D8" i="27"/>
  <c r="S46" i="27"/>
  <c r="D28" i="27"/>
  <c r="BD35" i="27"/>
  <c r="Y38" i="27"/>
  <c r="BW38" i="27"/>
  <c r="AE28" i="27"/>
  <c r="BS40" i="27"/>
  <c r="S40" i="27"/>
  <c r="O8" i="27"/>
  <c r="AU28" i="27"/>
  <c r="AX35" i="27"/>
  <c r="AQ35" i="27"/>
  <c r="AN44" i="27"/>
  <c r="BB40" i="27"/>
  <c r="Q35" i="27"/>
  <c r="AO29" i="27"/>
  <c r="T46" i="27"/>
  <c r="AA48" i="27"/>
  <c r="AQ22" i="27"/>
  <c r="AI22" i="27"/>
  <c r="O6" i="27"/>
  <c r="N29" i="27"/>
  <c r="X46" i="27"/>
  <c r="W22" i="27"/>
  <c r="AQ46" i="27"/>
  <c r="T31" i="27"/>
  <c r="V48" i="27"/>
  <c r="F22" i="27"/>
  <c r="Z6" i="27"/>
  <c r="AU29" i="27"/>
  <c r="AW31" i="27"/>
  <c r="AY48" i="27"/>
  <c r="BD22" i="27"/>
  <c r="AF6" i="27"/>
  <c r="AC29" i="27"/>
  <c r="AA46" i="27"/>
  <c r="S31" i="27"/>
  <c r="S48" i="27"/>
  <c r="V22" i="27"/>
  <c r="BA6" i="27"/>
  <c r="Y29" i="27"/>
  <c r="BY22" i="27"/>
  <c r="AL46" i="27"/>
  <c r="J31" i="27"/>
  <c r="G48" i="27"/>
  <c r="AE22" i="27"/>
  <c r="AC6" i="27"/>
  <c r="AA29" i="27"/>
  <c r="N31" i="27"/>
  <c r="O31" i="27"/>
  <c r="Y31" i="27"/>
  <c r="BA48" i="27"/>
  <c r="AM22" i="27"/>
  <c r="AX6" i="27"/>
  <c r="AZ6" i="27"/>
  <c r="AH29" i="27"/>
  <c r="AW5" i="27"/>
  <c r="C5" i="27"/>
  <c r="AJ5" i="27"/>
  <c r="BB36" i="27"/>
  <c r="AD5" i="27"/>
  <c r="I36" i="27"/>
  <c r="T5" i="27"/>
  <c r="L8" i="27"/>
  <c r="F5" i="27"/>
  <c r="V5" i="27"/>
  <c r="B5" i="27"/>
  <c r="U36" i="27"/>
  <c r="AK36" i="27"/>
  <c r="BV36" i="27"/>
  <c r="BD8" i="27"/>
  <c r="BC5" i="27"/>
  <c r="BY5" i="27"/>
  <c r="AE5" i="27"/>
  <c r="AN36" i="27"/>
  <c r="AR5" i="27"/>
  <c r="Z36" i="27"/>
  <c r="AK5" i="27"/>
  <c r="BB5" i="27"/>
  <c r="N5" i="27"/>
  <c r="AQ5" i="27"/>
  <c r="BS36" i="27"/>
  <c r="T8" i="27"/>
  <c r="AO5" i="27"/>
  <c r="AH5" i="27"/>
  <c r="S5" i="27"/>
  <c r="D5" i="27"/>
  <c r="AN5" i="27"/>
  <c r="AT5" i="27"/>
  <c r="BX5" i="27"/>
  <c r="BS5" i="27"/>
  <c r="X5" i="27"/>
  <c r="E5" i="27"/>
  <c r="J8" i="27"/>
  <c r="W5" i="27"/>
  <c r="AG5" i="27"/>
  <c r="Z5" i="27"/>
  <c r="V36" i="27"/>
  <c r="H5" i="27"/>
  <c r="Q5" i="27"/>
  <c r="P5" i="27"/>
  <c r="L5" i="27"/>
  <c r="AI5" i="27"/>
  <c r="AX5" i="27"/>
  <c r="AY8" i="27"/>
  <c r="BW5" i="27"/>
  <c r="BT5" i="27"/>
  <c r="AY5" i="27"/>
  <c r="AT36" i="27"/>
  <c r="AV5" i="27"/>
  <c r="U5" i="27"/>
  <c r="BX36" i="27"/>
  <c r="K46" i="27"/>
  <c r="AS5" i="27"/>
  <c r="BV5" i="27"/>
  <c r="G5" i="27"/>
  <c r="R5" i="27"/>
  <c r="AC5" i="27"/>
  <c r="BA5" i="27"/>
  <c r="M5" i="27"/>
  <c r="AM5" i="27"/>
  <c r="AF5" i="27"/>
  <c r="AA5" i="27"/>
  <c r="AL5" i="27"/>
  <c r="AU5" i="27"/>
  <c r="K5" i="27"/>
  <c r="AZ5" i="27"/>
  <c r="BR5" i="27"/>
  <c r="Y5" i="27"/>
  <c r="AB5" i="27"/>
  <c r="I5" i="27"/>
  <c r="BD5" i="27"/>
  <c r="AP5" i="27"/>
  <c r="O5" i="27"/>
  <c r="W45" i="27"/>
  <c r="P19" i="27"/>
  <c r="W23" i="27"/>
  <c r="BJ23" i="27" s="1"/>
  <c r="AZ45" i="27"/>
  <c r="AI45" i="27"/>
  <c r="AQ45" i="27"/>
  <c r="T23" i="27"/>
  <c r="O19" i="27"/>
  <c r="AM23" i="27"/>
  <c r="AH45" i="27"/>
  <c r="BY45" i="27"/>
  <c r="BR19" i="27"/>
  <c r="AT45" i="27"/>
  <c r="L45" i="27"/>
  <c r="O45" i="27"/>
  <c r="N45" i="27"/>
  <c r="AD23" i="27"/>
  <c r="AK19" i="27"/>
  <c r="C19" i="27"/>
  <c r="AF19" i="27"/>
  <c r="AP23" i="27"/>
  <c r="Y23" i="27"/>
  <c r="BL23" i="27" s="1"/>
  <c r="AQ23" i="27"/>
  <c r="AO19" i="27"/>
  <c r="H23" i="27"/>
  <c r="BX23" i="27"/>
  <c r="AV23" i="27"/>
  <c r="BI23" i="27" s="1"/>
  <c r="P45" i="27"/>
  <c r="AL45" i="27"/>
  <c r="AU45" i="27"/>
  <c r="AV45" i="27"/>
  <c r="AS45" i="27"/>
  <c r="AJ45" i="27"/>
  <c r="AT19" i="27"/>
  <c r="BG19" i="27" s="1"/>
  <c r="U45" i="27"/>
  <c r="AY19" i="27"/>
  <c r="AD19" i="27"/>
  <c r="AX19" i="27"/>
  <c r="BR45" i="27"/>
  <c r="BV45" i="27"/>
  <c r="AE45" i="27"/>
  <c r="AI19" i="27"/>
  <c r="AD45" i="27"/>
  <c r="AQ19" i="27"/>
  <c r="F19" i="27"/>
  <c r="Q19" i="27"/>
  <c r="M23" i="27"/>
  <c r="S23" i="27"/>
  <c r="BF23" i="27" s="1"/>
  <c r="AN23" i="27"/>
  <c r="BX19" i="27"/>
  <c r="W19" i="27"/>
  <c r="BJ19" i="27" s="1"/>
  <c r="BT19" i="27"/>
  <c r="Z23" i="27"/>
  <c r="AF23" i="27"/>
  <c r="AC23" i="27"/>
  <c r="I45" i="27"/>
  <c r="AR45" i="27"/>
  <c r="BX45" i="27"/>
  <c r="AB19" i="27"/>
  <c r="BO19" i="27" s="1"/>
  <c r="AN19" i="27"/>
  <c r="D19" i="27"/>
  <c r="BW23" i="27"/>
  <c r="AU19" i="27"/>
  <c r="BH19" i="27" s="1"/>
  <c r="D23" i="27"/>
  <c r="K45" i="27"/>
  <c r="AL19" i="27"/>
  <c r="K23" i="27"/>
  <c r="AG23" i="27"/>
  <c r="AO45" i="27"/>
  <c r="BA45" i="27"/>
  <c r="AV19" i="27"/>
  <c r="BI19" i="27" s="1"/>
  <c r="AX23" i="27"/>
  <c r="P23" i="27"/>
  <c r="AJ19" i="27"/>
  <c r="E19" i="27"/>
  <c r="H19" i="27"/>
  <c r="G23" i="27"/>
  <c r="AT23" i="27"/>
  <c r="J23" i="27"/>
  <c r="AN45" i="27"/>
  <c r="AP45" i="27"/>
  <c r="G45" i="27"/>
  <c r="AK45" i="27"/>
  <c r="T45" i="27"/>
  <c r="E23" i="27"/>
  <c r="AH23" i="27"/>
  <c r="BC23" i="27"/>
  <c r="BW45" i="27"/>
  <c r="AP19" i="27"/>
  <c r="X19" i="27"/>
  <c r="G19" i="27"/>
  <c r="X23" i="27"/>
  <c r="L23" i="27"/>
  <c r="V45" i="27"/>
  <c r="BA19" i="27"/>
  <c r="BN19" i="27" s="1"/>
  <c r="K19" i="27"/>
  <c r="BS45" i="27"/>
  <c r="BT45" i="27"/>
  <c r="BR23" i="27"/>
  <c r="AZ23" i="27"/>
  <c r="S19" i="27"/>
  <c r="BF19" i="27" s="1"/>
  <c r="Z19" i="27"/>
  <c r="AZ19" i="27"/>
  <c r="BY23" i="27"/>
  <c r="BA23" i="27"/>
  <c r="AR23" i="27"/>
  <c r="BE23" i="27" s="1"/>
  <c r="M45" i="27"/>
  <c r="AW45" i="27"/>
  <c r="AC45" i="27"/>
  <c r="Q45" i="27"/>
  <c r="AK23" i="27"/>
  <c r="B23" i="27"/>
  <c r="B19" i="27"/>
  <c r="S45" i="27"/>
  <c r="BW19" i="27"/>
  <c r="AR19" i="27"/>
  <c r="AH19" i="27"/>
  <c r="Y19" i="27"/>
  <c r="R19" i="27"/>
  <c r="BD23" i="27"/>
  <c r="F23" i="27"/>
  <c r="M19" i="27"/>
  <c r="BD19" i="27"/>
  <c r="I23" i="27"/>
  <c r="AA23" i="27"/>
  <c r="H45" i="27"/>
  <c r="B45" i="27"/>
  <c r="X45" i="27"/>
  <c r="F45" i="27"/>
  <c r="E45" i="27"/>
  <c r="AF45" i="27"/>
  <c r="AB45" i="27"/>
  <c r="BO45" i="27" s="1"/>
  <c r="AA45" i="27"/>
  <c r="R45" i="27"/>
  <c r="Z45" i="27"/>
  <c r="AY45" i="27"/>
  <c r="Y45" i="27"/>
  <c r="AX45" i="27"/>
  <c r="J45" i="27"/>
  <c r="AG45" i="27"/>
  <c r="AK47" i="27"/>
  <c r="W30" i="27"/>
  <c r="BY2" i="27"/>
  <c r="T3" i="27"/>
  <c r="AZ17" i="27"/>
  <c r="R2" i="27"/>
  <c r="N8" i="27"/>
  <c r="Y3" i="27"/>
  <c r="Y8" i="27"/>
  <c r="V41" i="27"/>
  <c r="BT41" i="27"/>
  <c r="T17" i="27"/>
  <c r="AX8" i="27"/>
  <c r="I46" i="27"/>
  <c r="L31" i="27"/>
  <c r="D18" i="27"/>
  <c r="AL42" i="27"/>
  <c r="AC36" i="27"/>
  <c r="U22" i="27"/>
  <c r="R22" i="27"/>
  <c r="AK30" i="27"/>
  <c r="AU17" i="27"/>
  <c r="AH41" i="27"/>
  <c r="BA17" i="27"/>
  <c r="AM36" i="27"/>
  <c r="F40" i="27"/>
  <c r="BD46" i="27"/>
  <c r="M18" i="27"/>
  <c r="BD49" i="27"/>
  <c r="BB21" i="27"/>
  <c r="O40" i="27"/>
  <c r="Z50" i="27"/>
  <c r="F31" i="27"/>
  <c r="I44" i="27"/>
  <c r="BD42" i="27"/>
  <c r="G36" i="27"/>
  <c r="AJ22" i="27"/>
  <c r="BT28" i="27"/>
  <c r="AJ3" i="27"/>
  <c r="AB2" i="27"/>
  <c r="AO17" i="27"/>
  <c r="AQ36" i="27"/>
  <c r="B42" i="27"/>
  <c r="B18" i="27"/>
  <c r="N36" i="27"/>
  <c r="U50" i="27"/>
  <c r="BB42" i="27"/>
  <c r="AF40" i="27"/>
  <c r="AX50" i="27"/>
  <c r="B31" i="27"/>
  <c r="AS44" i="27"/>
  <c r="L42" i="27"/>
  <c r="AW36" i="27"/>
  <c r="K22" i="27"/>
  <c r="BB28" i="27"/>
  <c r="BS47" i="27"/>
  <c r="B2" i="27"/>
  <c r="AD8" i="27"/>
  <c r="L46" i="27"/>
  <c r="BA42" i="27"/>
  <c r="BN42" i="27" s="1"/>
  <c r="D41" i="27"/>
  <c r="L39" i="27"/>
  <c r="AB36" i="27"/>
  <c r="AO22" i="27"/>
  <c r="BR40" i="27"/>
  <c r="AT46" i="27"/>
  <c r="AN31" i="27"/>
  <c r="C44" i="27"/>
  <c r="Y35" i="27"/>
  <c r="Q12" i="27"/>
  <c r="X36" i="27"/>
  <c r="H22" i="27"/>
  <c r="AZ2" i="27"/>
  <c r="BT2" i="27"/>
  <c r="N17" i="27"/>
  <c r="C8" i="27"/>
  <c r="AR46" i="27"/>
  <c r="AR39" i="27"/>
  <c r="B40" i="27"/>
  <c r="E46" i="27"/>
  <c r="BT42" i="27"/>
  <c r="N41" i="27"/>
  <c r="E40" i="27"/>
  <c r="D46" i="27"/>
  <c r="BB44" i="27"/>
  <c r="BB35" i="27"/>
  <c r="AD36" i="27"/>
  <c r="E21" i="27"/>
  <c r="AX21" i="27"/>
  <c r="AZ21" i="27"/>
  <c r="BV42" i="27"/>
  <c r="C47" i="27"/>
  <c r="BB43" i="27"/>
  <c r="H44" i="27"/>
  <c r="Q30" i="27"/>
  <c r="AS42" i="27"/>
  <c r="BR42" i="27"/>
  <c r="AF21" i="27"/>
  <c r="S30" i="27"/>
  <c r="AQ40" i="27"/>
  <c r="AZ35" i="27"/>
  <c r="AN42" i="27"/>
  <c r="M43" i="27"/>
  <c r="I30" i="27"/>
  <c r="AL35" i="27"/>
  <c r="AW3" i="27"/>
  <c r="O21" i="27"/>
  <c r="U17" i="27"/>
  <c r="AS40" i="27"/>
  <c r="AR35" i="27"/>
  <c r="G42" i="27"/>
  <c r="BF10" i="27"/>
  <c r="BD41" i="27"/>
  <c r="BD44" i="27"/>
  <c r="E30" i="27"/>
  <c r="Y44" i="27"/>
  <c r="H40" i="27"/>
  <c r="AY40" i="27"/>
  <c r="N35" i="27"/>
  <c r="BX3" i="27"/>
  <c r="B21" i="27"/>
  <c r="BB17" i="27"/>
  <c r="G40" i="27"/>
  <c r="AA18" i="27"/>
  <c r="I35" i="27"/>
  <c r="AH42" i="27"/>
  <c r="AG21" i="27"/>
  <c r="AE21" i="27"/>
  <c r="AQ30" i="27"/>
  <c r="S39" i="27"/>
  <c r="BB3" i="27"/>
  <c r="H21" i="27"/>
  <c r="BY17" i="27"/>
  <c r="AA40" i="27"/>
  <c r="O18" i="27"/>
  <c r="P42" i="27"/>
  <c r="F49" i="27"/>
  <c r="AR18" i="27"/>
  <c r="AU49" i="27"/>
  <c r="AP41" i="27"/>
  <c r="F26" i="27"/>
  <c r="G44" i="27"/>
  <c r="AC17" i="27"/>
  <c r="BD47" i="27"/>
  <c r="BV44" i="27"/>
  <c r="BX49" i="27"/>
  <c r="N49" i="27"/>
  <c r="Z49" i="27"/>
  <c r="B49" i="27"/>
  <c r="Q49" i="27"/>
  <c r="AC49" i="27"/>
  <c r="AZ49" i="27"/>
  <c r="P49" i="27"/>
  <c r="AW49" i="27"/>
  <c r="AX49" i="27"/>
  <c r="X49" i="27"/>
  <c r="AH49" i="27"/>
  <c r="AY49" i="27"/>
  <c r="BW49" i="27"/>
  <c r="AB49" i="27"/>
  <c r="V49" i="27"/>
  <c r="AG49" i="27"/>
  <c r="BY49" i="27"/>
  <c r="AC39" i="27"/>
  <c r="AJ49" i="27"/>
  <c r="N43" i="27"/>
  <c r="BX43" i="27"/>
  <c r="AF43" i="27"/>
  <c r="AV43" i="27"/>
  <c r="AU43" i="27"/>
  <c r="C43" i="27"/>
  <c r="O43" i="27"/>
  <c r="AC43" i="27"/>
  <c r="AM43" i="27"/>
  <c r="B43" i="27"/>
  <c r="X43" i="27"/>
  <c r="AT43" i="27"/>
  <c r="D43" i="27"/>
  <c r="AP43" i="27"/>
  <c r="U43" i="27"/>
  <c r="AL43" i="27"/>
  <c r="Y43" i="27"/>
  <c r="AB43" i="27"/>
  <c r="BT43" i="27"/>
  <c r="AZ43" i="27"/>
  <c r="Q43" i="27"/>
  <c r="K43" i="27"/>
  <c r="F43" i="27"/>
  <c r="AE43" i="27"/>
  <c r="AX43" i="27"/>
  <c r="S43" i="27"/>
  <c r="AA43" i="27"/>
  <c r="BA43" i="27"/>
  <c r="BS43" i="27"/>
  <c r="G43" i="27"/>
  <c r="E43" i="27"/>
  <c r="AJ43" i="27"/>
  <c r="AY43" i="27"/>
  <c r="AA39" i="27"/>
  <c r="U49" i="27"/>
  <c r="BT3" i="27"/>
  <c r="BV3" i="27"/>
  <c r="F47" i="27"/>
  <c r="M26" i="27"/>
  <c r="AF18" i="27"/>
  <c r="AT49" i="27"/>
  <c r="Z26" i="27"/>
  <c r="AE47" i="27"/>
  <c r="W43" i="27"/>
  <c r="BT18" i="27"/>
  <c r="BX18" i="27"/>
  <c r="AI44" i="27"/>
  <c r="BT44" i="27"/>
  <c r="AX47" i="27"/>
  <c r="L12" i="40"/>
  <c r="P1" i="19"/>
  <c r="R1" i="19" s="1"/>
  <c r="S47" i="27"/>
  <c r="J43" i="27"/>
  <c r="AU18" i="27"/>
  <c r="BB18" i="27"/>
  <c r="G35" i="27"/>
  <c r="W35" i="27"/>
  <c r="AO35" i="27"/>
  <c r="D35" i="27"/>
  <c r="BY35" i="27"/>
  <c r="H35" i="27"/>
  <c r="F35" i="27"/>
  <c r="AT35" i="27"/>
  <c r="O35" i="27"/>
  <c r="K35" i="27"/>
  <c r="BV35" i="27"/>
  <c r="C35" i="27"/>
  <c r="BS35" i="27"/>
  <c r="AW35" i="27"/>
  <c r="V35" i="27"/>
  <c r="L35" i="27"/>
  <c r="Z35" i="27"/>
  <c r="AH35" i="27"/>
  <c r="R35" i="27"/>
  <c r="AM35" i="27"/>
  <c r="J35" i="27"/>
  <c r="X35" i="27"/>
  <c r="BR35" i="27"/>
  <c r="AS35" i="27"/>
  <c r="AJ35" i="27"/>
  <c r="AP35" i="27"/>
  <c r="B35" i="27"/>
  <c r="AC35" i="27"/>
  <c r="BC35" i="27"/>
  <c r="AV35" i="27"/>
  <c r="AD49" i="27"/>
  <c r="AG43" i="27"/>
  <c r="R4" i="27"/>
  <c r="AG4" i="27"/>
  <c r="AI4" i="27"/>
  <c r="AA31" i="27"/>
  <c r="AZ31" i="27"/>
  <c r="AD31" i="27"/>
  <c r="AK31" i="27"/>
  <c r="D31" i="27"/>
  <c r="AX31" i="27"/>
  <c r="BX31" i="27"/>
  <c r="C31" i="27"/>
  <c r="M31" i="27"/>
  <c r="BT31" i="27"/>
  <c r="P31" i="27"/>
  <c r="AS31" i="27"/>
  <c r="AL31" i="27"/>
  <c r="AO31" i="27"/>
  <c r="E31" i="27"/>
  <c r="BA31" i="27"/>
  <c r="G31" i="27"/>
  <c r="AU31" i="27"/>
  <c r="BS31" i="27"/>
  <c r="AP31" i="27"/>
  <c r="W31" i="27"/>
  <c r="Z31" i="27"/>
  <c r="AB31" i="27"/>
  <c r="I31" i="27"/>
  <c r="BD31" i="27"/>
  <c r="K31" i="27"/>
  <c r="BC31" i="27"/>
  <c r="AV31" i="27"/>
  <c r="AF31" i="27"/>
  <c r="R31" i="27"/>
  <c r="AE31" i="27"/>
  <c r="BY31" i="27"/>
  <c r="BW31" i="27"/>
  <c r="AJ31" i="27"/>
  <c r="BR22" i="27"/>
  <c r="BT22" i="27"/>
  <c r="AR22" i="27"/>
  <c r="AS22" i="27"/>
  <c r="AA22" i="27"/>
  <c r="L22" i="27"/>
  <c r="AH22" i="27"/>
  <c r="AP22" i="27"/>
  <c r="BS22" i="27"/>
  <c r="S22" i="27"/>
  <c r="AF22" i="27"/>
  <c r="AL22" i="27"/>
  <c r="M22" i="27"/>
  <c r="Q22" i="27"/>
  <c r="AZ22" i="27"/>
  <c r="AX22" i="27"/>
  <c r="BK22" i="27" s="1"/>
  <c r="AK22" i="27"/>
  <c r="I22" i="27"/>
  <c r="BV22" i="27"/>
  <c r="AV22" i="27"/>
  <c r="AN22" i="27"/>
  <c r="BA22" i="27"/>
  <c r="B22" i="27"/>
  <c r="D22" i="27"/>
  <c r="P22" i="27"/>
  <c r="AY22" i="27"/>
  <c r="BL22" i="27" s="1"/>
  <c r="AW22" i="27"/>
  <c r="BC22" i="27"/>
  <c r="G22" i="27"/>
  <c r="T22" i="27"/>
  <c r="L26" i="27"/>
  <c r="X26" i="27"/>
  <c r="AH26" i="27"/>
  <c r="AC26" i="27"/>
  <c r="BP26" i="27" s="1"/>
  <c r="AI26" i="27"/>
  <c r="T26" i="27"/>
  <c r="AO26" i="27"/>
  <c r="J26" i="27"/>
  <c r="BW26" i="27"/>
  <c r="E26" i="27"/>
  <c r="P26" i="27"/>
  <c r="G26" i="27"/>
  <c r="K26" i="27"/>
  <c r="AA26" i="27"/>
  <c r="R26" i="27"/>
  <c r="BV26" i="27"/>
  <c r="AR26" i="27"/>
  <c r="AF26" i="27"/>
  <c r="I26" i="27"/>
  <c r="BT26" i="27"/>
  <c r="B26" i="27"/>
  <c r="BD26" i="27"/>
  <c r="V26" i="27"/>
  <c r="AD26" i="27"/>
  <c r="AK26" i="27"/>
  <c r="AJ26" i="27"/>
  <c r="AV26" i="27"/>
  <c r="N26" i="27"/>
  <c r="S26" i="27"/>
  <c r="C39" i="27"/>
  <c r="AB39" i="27"/>
  <c r="AV39" i="27"/>
  <c r="AU26" i="27"/>
  <c r="D47" i="27"/>
  <c r="AD47" i="27"/>
  <c r="BV49" i="27"/>
  <c r="AP26" i="27"/>
  <c r="AS43" i="27"/>
  <c r="X41" i="27"/>
  <c r="E41" i="27"/>
  <c r="U41" i="27"/>
  <c r="BV41" i="27"/>
  <c r="AS41" i="27"/>
  <c r="B41" i="27"/>
  <c r="AR41" i="27"/>
  <c r="O41" i="27"/>
  <c r="S41" i="27"/>
  <c r="AF41" i="27"/>
  <c r="AG41" i="27"/>
  <c r="W41" i="27"/>
  <c r="AA41" i="27"/>
  <c r="T41" i="27"/>
  <c r="BR41" i="27"/>
  <c r="AN41" i="27"/>
  <c r="AQ41" i="27"/>
  <c r="BX41" i="27"/>
  <c r="BS41" i="27"/>
  <c r="Z41" i="27"/>
  <c r="AJ41" i="27"/>
  <c r="AM41" i="27"/>
  <c r="AC41" i="27"/>
  <c r="H41" i="27"/>
  <c r="AT41" i="27"/>
  <c r="F41" i="27"/>
  <c r="AE41" i="27"/>
  <c r="BA41" i="27"/>
  <c r="AO41" i="27"/>
  <c r="K39" i="27"/>
  <c r="H39" i="27"/>
  <c r="J49" i="27"/>
  <c r="AU3" i="27"/>
  <c r="Q41" i="27"/>
  <c r="AR21" i="27"/>
  <c r="Q26" i="27"/>
  <c r="AB47" i="27"/>
  <c r="AQ43" i="27"/>
  <c r="BD18" i="27"/>
  <c r="BY18" i="27"/>
  <c r="AO44" i="27"/>
  <c r="K49" i="27"/>
  <c r="BS21" i="27"/>
  <c r="C26" i="27"/>
  <c r="J42" i="27"/>
  <c r="P39" i="27"/>
  <c r="R21" i="27"/>
  <c r="BX26" i="27"/>
  <c r="AI8" i="27"/>
  <c r="AV8" i="27"/>
  <c r="AM8" i="27"/>
  <c r="AL8" i="27"/>
  <c r="BT8" i="27"/>
  <c r="I8" i="27"/>
  <c r="F8" i="27"/>
  <c r="AN8" i="27"/>
  <c r="E8" i="27"/>
  <c r="AZ8" i="27"/>
  <c r="AC8" i="27"/>
  <c r="AR8" i="27"/>
  <c r="BV8" i="27"/>
  <c r="R8" i="27"/>
  <c r="AJ8" i="27"/>
  <c r="BB8" i="27"/>
  <c r="AU8" i="27"/>
  <c r="M8" i="27"/>
  <c r="AK8" i="27"/>
  <c r="Z8" i="27"/>
  <c r="BS8" i="27"/>
  <c r="Q8" i="27"/>
  <c r="V8" i="27"/>
  <c r="U8" i="27"/>
  <c r="AA8" i="27"/>
  <c r="AF8" i="27"/>
  <c r="R39" i="27"/>
  <c r="AM21" i="27"/>
  <c r="F17" i="27"/>
  <c r="AR43" i="27"/>
  <c r="AI35" i="27"/>
  <c r="AN21" i="27"/>
  <c r="AX26" i="27"/>
  <c r="W26" i="27"/>
  <c r="BD43" i="27"/>
  <c r="AZ18" i="27"/>
  <c r="F44" i="27"/>
  <c r="BX35" i="27"/>
  <c r="AC42" i="27"/>
  <c r="AY21" i="27"/>
  <c r="BC47" i="27"/>
  <c r="AW43" i="27"/>
  <c r="W18" i="27"/>
  <c r="BA35" i="27"/>
  <c r="BS42" i="27"/>
  <c r="W36" i="27"/>
  <c r="BD38" i="27"/>
  <c r="I38" i="27"/>
  <c r="BV38" i="27"/>
  <c r="U38" i="27"/>
  <c r="S38" i="27"/>
  <c r="BY38" i="27"/>
  <c r="BA38" i="27"/>
  <c r="H38" i="27"/>
  <c r="AC38" i="27"/>
  <c r="BX38" i="27"/>
  <c r="R38" i="27"/>
  <c r="AI38" i="27"/>
  <c r="Q38" i="27"/>
  <c r="N38" i="27"/>
  <c r="BB38" i="27"/>
  <c r="L38" i="27"/>
  <c r="AZ38" i="27"/>
  <c r="Z38" i="27"/>
  <c r="AU38" i="27"/>
  <c r="BT38" i="27"/>
  <c r="AM38" i="27"/>
  <c r="AX38" i="27"/>
  <c r="F38" i="27"/>
  <c r="V38" i="27"/>
  <c r="AV38" i="27"/>
  <c r="AG38" i="27"/>
  <c r="BR38" i="27"/>
  <c r="AQ38" i="27"/>
  <c r="B38" i="27"/>
  <c r="BR39" i="27"/>
  <c r="D3" i="27"/>
  <c r="AG30" i="27"/>
  <c r="K8" i="27"/>
  <c r="AE26" i="27"/>
  <c r="AQ47" i="27"/>
  <c r="H43" i="27"/>
  <c r="R18" i="27"/>
  <c r="S35" i="27"/>
  <c r="BS2" i="27"/>
  <c r="AM42" i="27"/>
  <c r="Q36" i="27"/>
  <c r="AE38" i="27"/>
  <c r="BS49" i="27"/>
  <c r="AC21" i="27"/>
  <c r="M30" i="27"/>
  <c r="BC8" i="27"/>
  <c r="AM26" i="27"/>
  <c r="BA29" i="27"/>
  <c r="AN29" i="27"/>
  <c r="K29" i="27"/>
  <c r="Q29" i="27"/>
  <c r="BY29" i="27"/>
  <c r="H29" i="27"/>
  <c r="BR29" i="27"/>
  <c r="X29" i="27"/>
  <c r="R29" i="27"/>
  <c r="U29" i="27"/>
  <c r="W29" i="27"/>
  <c r="V29" i="27"/>
  <c r="J29" i="27"/>
  <c r="BT29" i="27"/>
  <c r="C29" i="27"/>
  <c r="AB29" i="27"/>
  <c r="AJ29" i="27"/>
  <c r="E29" i="27"/>
  <c r="G29" i="27"/>
  <c r="BD29" i="27"/>
  <c r="T29" i="27"/>
  <c r="AL29" i="27"/>
  <c r="L29" i="27"/>
  <c r="AF29" i="27"/>
  <c r="AP29" i="27"/>
  <c r="AE29" i="27"/>
  <c r="AK29" i="27"/>
  <c r="BT49" i="27"/>
  <c r="AP49" i="27"/>
  <c r="R3" i="27"/>
  <c r="AP21" i="27"/>
  <c r="AA21" i="27"/>
  <c r="AZ30" i="27"/>
  <c r="AN17" i="27"/>
  <c r="AC40" i="27"/>
  <c r="BW8" i="27"/>
  <c r="B8" i="27"/>
  <c r="AO46" i="27"/>
  <c r="C46" i="27"/>
  <c r="BR26" i="27"/>
  <c r="AE18" i="27"/>
  <c r="AF35" i="27"/>
  <c r="Q42" i="27"/>
  <c r="D38" i="27"/>
  <c r="AF28" i="27"/>
  <c r="M29" i="27"/>
  <c r="AR29" i="27"/>
  <c r="I39" i="27"/>
  <c r="AC3" i="27"/>
  <c r="BP3" i="27" s="1"/>
  <c r="AV30" i="27"/>
  <c r="BX8" i="27"/>
  <c r="D26" i="27"/>
  <c r="J47" i="27"/>
  <c r="BY43" i="27"/>
  <c r="AD43" i="27"/>
  <c r="AP18" i="27"/>
  <c r="AW18" i="27"/>
  <c r="AX44" i="27"/>
  <c r="AA35" i="27"/>
  <c r="D2" i="27"/>
  <c r="AI2" i="27"/>
  <c r="AG42" i="27"/>
  <c r="AQ12" i="27"/>
  <c r="H36" i="27"/>
  <c r="AV6" i="27"/>
  <c r="AZ28" i="27"/>
  <c r="BX28" i="27"/>
  <c r="O29" i="27"/>
  <c r="D29" i="27"/>
  <c r="W39" i="27"/>
  <c r="AZ39" i="27"/>
  <c r="AI49" i="27"/>
  <c r="I49" i="27"/>
  <c r="AM3" i="27"/>
  <c r="R41" i="27"/>
  <c r="AX41" i="27"/>
  <c r="I21" i="27"/>
  <c r="BR21" i="27"/>
  <c r="AD30" i="27"/>
  <c r="AF30" i="27"/>
  <c r="Y17" i="27"/>
  <c r="BV40" i="27"/>
  <c r="AQ8" i="27"/>
  <c r="AO8" i="27"/>
  <c r="BX46" i="27"/>
  <c r="F48" i="27"/>
  <c r="AQ26" i="27"/>
  <c r="BX47" i="27"/>
  <c r="K47" i="27"/>
  <c r="AH43" i="27"/>
  <c r="Y18" i="27"/>
  <c r="BA18" i="27"/>
  <c r="AB35" i="27"/>
  <c r="E2" i="27"/>
  <c r="AS2" i="27"/>
  <c r="BY42" i="27"/>
  <c r="AL12" i="27"/>
  <c r="AI36" i="27"/>
  <c r="AY38" i="27"/>
  <c r="T38" i="27"/>
  <c r="J6" i="27"/>
  <c r="BV6" i="27"/>
  <c r="AA28" i="27"/>
  <c r="AP28" i="27"/>
  <c r="AM29" i="27"/>
  <c r="S29" i="27"/>
  <c r="AG39" i="27"/>
  <c r="AT39" i="27"/>
  <c r="AI39" i="27"/>
  <c r="V39" i="27"/>
  <c r="AD39" i="27"/>
  <c r="AS39" i="27"/>
  <c r="AQ39" i="27"/>
  <c r="BV39" i="27"/>
  <c r="G39" i="27"/>
  <c r="AN39" i="27"/>
  <c r="AX39" i="27"/>
  <c r="AP39" i="27"/>
  <c r="AJ39" i="27"/>
  <c r="BX39" i="27"/>
  <c r="Y39" i="27"/>
  <c r="E39" i="27"/>
  <c r="U26" i="27"/>
  <c r="AA49" i="27"/>
  <c r="BS26" i="27"/>
  <c r="R49" i="27"/>
  <c r="AX3" i="27"/>
  <c r="X44" i="27"/>
  <c r="AQ44" i="27"/>
  <c r="T44" i="27"/>
  <c r="AJ44" i="27"/>
  <c r="Q44" i="27"/>
  <c r="AC44" i="27"/>
  <c r="AF44" i="27"/>
  <c r="O44" i="27"/>
  <c r="AR44" i="27"/>
  <c r="AY44" i="27"/>
  <c r="U44" i="27"/>
  <c r="B44" i="27"/>
  <c r="AU44" i="27"/>
  <c r="P44" i="27"/>
  <c r="L44" i="27"/>
  <c r="AP44" i="27"/>
  <c r="E44" i="27"/>
  <c r="M44" i="27"/>
  <c r="AD44" i="27"/>
  <c r="AA44" i="27"/>
  <c r="R44" i="27"/>
  <c r="BC44" i="27"/>
  <c r="AV44" i="27"/>
  <c r="BI44" i="27" s="1"/>
  <c r="D44" i="27"/>
  <c r="BA44" i="27"/>
  <c r="BY44" i="27"/>
  <c r="BX44" i="27"/>
  <c r="AH44" i="27"/>
  <c r="AM44" i="27"/>
  <c r="AK44" i="27"/>
  <c r="BW44" i="27"/>
  <c r="AZ44" i="27"/>
  <c r="K44" i="27"/>
  <c r="J39" i="27"/>
  <c r="D39" i="27"/>
  <c r="P3" i="27"/>
  <c r="AT26" i="27"/>
  <c r="V2" i="27"/>
  <c r="H17" i="27"/>
  <c r="AX17" i="27"/>
  <c r="AP17" i="27"/>
  <c r="AQ17" i="27"/>
  <c r="AW17" i="27"/>
  <c r="AE17" i="27"/>
  <c r="AH17" i="27"/>
  <c r="G17" i="27"/>
  <c r="M17" i="27"/>
  <c r="BR17" i="27"/>
  <c r="AS17" i="27"/>
  <c r="AI17" i="27"/>
  <c r="P17" i="27"/>
  <c r="AR17" i="27"/>
  <c r="BV17" i="27"/>
  <c r="J17" i="27"/>
  <c r="AV17" i="27"/>
  <c r="X17" i="27"/>
  <c r="AD17" i="27"/>
  <c r="S17" i="27"/>
  <c r="C17" i="27"/>
  <c r="V17" i="27"/>
  <c r="Z17" i="27"/>
  <c r="E17" i="27"/>
  <c r="AL17" i="27"/>
  <c r="K17" i="27"/>
  <c r="AM39" i="27"/>
  <c r="C49" i="27"/>
  <c r="BY3" i="27"/>
  <c r="J3" i="27"/>
  <c r="BW41" i="27"/>
  <c r="AD41" i="27"/>
  <c r="Z30" i="27"/>
  <c r="L17" i="27"/>
  <c r="BS17" i="27"/>
  <c r="F2" i="27"/>
  <c r="W42" i="27"/>
  <c r="K40" i="27"/>
  <c r="Q40" i="27"/>
  <c r="C40" i="27"/>
  <c r="AK40" i="27"/>
  <c r="AO40" i="27"/>
  <c r="I40" i="27"/>
  <c r="J40" i="27"/>
  <c r="BC40" i="27"/>
  <c r="AI40" i="27"/>
  <c r="N40" i="27"/>
  <c r="AW40" i="27"/>
  <c r="AD40" i="27"/>
  <c r="AJ40" i="27"/>
  <c r="M40" i="27"/>
  <c r="AM40" i="27"/>
  <c r="W40" i="27"/>
  <c r="BY40" i="27"/>
  <c r="AT40" i="27"/>
  <c r="AE40" i="27"/>
  <c r="BX40" i="27"/>
  <c r="AG40" i="27"/>
  <c r="AL40" i="27"/>
  <c r="D40" i="27"/>
  <c r="AU40" i="27"/>
  <c r="Y40" i="27"/>
  <c r="BW39" i="27"/>
  <c r="AF49" i="27"/>
  <c r="BR3" i="27"/>
  <c r="C41" i="27"/>
  <c r="AZ41" i="27"/>
  <c r="AK17" i="27"/>
  <c r="AT17" i="27"/>
  <c r="AZ40" i="27"/>
  <c r="AB40" i="27"/>
  <c r="I18" i="27"/>
  <c r="BS39" i="27"/>
  <c r="AQ49" i="27"/>
  <c r="V3" i="27"/>
  <c r="BX17" i="27"/>
  <c r="BW40" i="27"/>
  <c r="AH8" i="27"/>
  <c r="BA26" i="27"/>
  <c r="BW43" i="27"/>
  <c r="AE44" i="27"/>
  <c r="T35" i="27"/>
  <c r="S42" i="27"/>
  <c r="AG50" i="27"/>
  <c r="AN50" i="27"/>
  <c r="AR50" i="27"/>
  <c r="B50" i="27"/>
  <c r="AC50" i="27"/>
  <c r="AO50" i="27"/>
  <c r="O39" i="27"/>
  <c r="S49" i="27"/>
  <c r="AO3" i="27"/>
  <c r="BV21" i="27"/>
  <c r="BV30" i="27"/>
  <c r="P40" i="27"/>
  <c r="AV40" i="27"/>
  <c r="BI40" i="27" s="1"/>
  <c r="G8" i="27"/>
  <c r="L18" i="27"/>
  <c r="O2" i="27"/>
  <c r="Y46" i="27"/>
  <c r="AH46" i="27"/>
  <c r="Z46" i="27"/>
  <c r="V46" i="27"/>
  <c r="AJ46" i="27"/>
  <c r="H46" i="27"/>
  <c r="F46" i="27"/>
  <c r="AP46" i="27"/>
  <c r="AX46" i="27"/>
  <c r="AM46" i="27"/>
  <c r="AE46" i="27"/>
  <c r="AD46" i="27"/>
  <c r="U46" i="27"/>
  <c r="BC46" i="27"/>
  <c r="BB46" i="27"/>
  <c r="O46" i="27"/>
  <c r="AZ46" i="27"/>
  <c r="N46" i="27"/>
  <c r="AV46" i="27"/>
  <c r="BV46" i="27"/>
  <c r="AU46" i="27"/>
  <c r="AF46" i="27"/>
  <c r="AY46" i="27"/>
  <c r="J46" i="27"/>
  <c r="AS46" i="27"/>
  <c r="BY46" i="27"/>
  <c r="AL39" i="27"/>
  <c r="AK49" i="27"/>
  <c r="B3" i="27"/>
  <c r="M21" i="27"/>
  <c r="R17" i="27"/>
  <c r="AB17" i="27"/>
  <c r="BT40" i="27"/>
  <c r="AS8" i="27"/>
  <c r="BF8" i="27" s="1"/>
  <c r="AG46" i="27"/>
  <c r="AB26" i="27"/>
  <c r="AG44" i="27"/>
  <c r="BD39" i="27"/>
  <c r="BR49" i="27"/>
  <c r="L41" i="27"/>
  <c r="J21" i="27"/>
  <c r="B30" i="27"/>
  <c r="AY17" i="27"/>
  <c r="Z40" i="27"/>
  <c r="BR8" i="27"/>
  <c r="M46" i="27"/>
  <c r="H18" i="27"/>
  <c r="AW39" i="27"/>
  <c r="G49" i="27"/>
  <c r="AP3" i="27"/>
  <c r="P41" i="27"/>
  <c r="AS21" i="27"/>
  <c r="K30" i="27"/>
  <c r="AG17" i="27"/>
  <c r="X40" i="27"/>
  <c r="AT8" i="27"/>
  <c r="AI46" i="27"/>
  <c r="AN46" i="27"/>
  <c r="O26" i="27"/>
  <c r="AK43" i="27"/>
  <c r="BC18" i="27"/>
  <c r="AW44" i="27"/>
  <c r="AG35" i="27"/>
  <c r="AC2" i="27"/>
  <c r="AQ42" i="27"/>
  <c r="BY36" i="27"/>
  <c r="BS38" i="27"/>
  <c r="E3" i="27"/>
  <c r="L40" i="27"/>
  <c r="AS47" i="27"/>
  <c r="T6" i="27"/>
  <c r="C48" i="27"/>
  <c r="AU47" i="27"/>
  <c r="I6" i="27"/>
  <c r="BT39" i="27"/>
  <c r="BA39" i="27"/>
  <c r="AK39" i="27"/>
  <c r="Y49" i="27"/>
  <c r="BC49" i="27"/>
  <c r="F3" i="27"/>
  <c r="Z3" i="27"/>
  <c r="K41" i="27"/>
  <c r="AU41" i="27"/>
  <c r="T21" i="27"/>
  <c r="L30" i="27"/>
  <c r="BT17" i="27"/>
  <c r="I17" i="27"/>
  <c r="BD40" i="27"/>
  <c r="AP8" i="27"/>
  <c r="W8" i="27"/>
  <c r="BJ8" i="27" s="1"/>
  <c r="BA46" i="27"/>
  <c r="BS46" i="27"/>
  <c r="AN48" i="27"/>
  <c r="AL26" i="27"/>
  <c r="Q47" i="27"/>
  <c r="BR43" i="27"/>
  <c r="BR18" i="27"/>
  <c r="S44" i="27"/>
  <c r="J44" i="27"/>
  <c r="BW35" i="27"/>
  <c r="AL2" i="27"/>
  <c r="M2" i="27"/>
  <c r="AC12" i="27"/>
  <c r="P38" i="27"/>
  <c r="AH38" i="27"/>
  <c r="P6" i="27"/>
  <c r="R28" i="27"/>
  <c r="AS29" i="27"/>
  <c r="BS29" i="27"/>
  <c r="Y26" i="27"/>
  <c r="AM47" i="27"/>
  <c r="BR47" i="27"/>
  <c r="AC47" i="27"/>
  <c r="BW47" i="27"/>
  <c r="AY47" i="27"/>
  <c r="AJ47" i="27"/>
  <c r="N47" i="27"/>
  <c r="AN47" i="27"/>
  <c r="W47" i="27"/>
  <c r="H47" i="27"/>
  <c r="L47" i="27"/>
  <c r="U47" i="27"/>
  <c r="AZ47" i="27"/>
  <c r="E47" i="27"/>
  <c r="T47" i="27"/>
  <c r="Z47" i="27"/>
  <c r="AL47" i="27"/>
  <c r="AA47" i="27"/>
  <c r="BY47" i="27"/>
  <c r="M47" i="27"/>
  <c r="Y47" i="27"/>
  <c r="AO47" i="27"/>
  <c r="O47" i="27"/>
  <c r="B47" i="27"/>
  <c r="AR47" i="27"/>
  <c r="X47" i="27"/>
  <c r="BA47" i="27"/>
  <c r="AF47" i="27"/>
  <c r="AI47" i="27"/>
  <c r="AO49" i="27"/>
  <c r="E49" i="27"/>
  <c r="AY26" i="27"/>
  <c r="Z39" i="27"/>
  <c r="H49" i="27"/>
  <c r="H3" i="27"/>
  <c r="BC41" i="27"/>
  <c r="Y41" i="27"/>
  <c r="AW26" i="27"/>
  <c r="AG47" i="27"/>
  <c r="R43" i="27"/>
  <c r="AK18" i="27"/>
  <c r="AL21" i="27"/>
  <c r="AO21" i="27"/>
  <c r="G21" i="27"/>
  <c r="AJ21" i="27"/>
  <c r="L21" i="27"/>
  <c r="AK21" i="27"/>
  <c r="BW21" i="27"/>
  <c r="Z21" i="27"/>
  <c r="F21" i="27"/>
  <c r="X21" i="27"/>
  <c r="AU21" i="27"/>
  <c r="BC21" i="27"/>
  <c r="S21" i="27"/>
  <c r="BA21" i="27"/>
  <c r="K21" i="27"/>
  <c r="AH21" i="27"/>
  <c r="D21" i="27"/>
  <c r="P21" i="27"/>
  <c r="U21" i="27"/>
  <c r="BT21" i="27"/>
  <c r="AW21" i="27"/>
  <c r="BY21" i="27"/>
  <c r="AI21" i="27"/>
  <c r="AB21" i="27"/>
  <c r="W21" i="27"/>
  <c r="C21" i="27"/>
  <c r="AF39" i="27"/>
  <c r="AN49" i="27"/>
  <c r="BA49" i="27"/>
  <c r="AD3" i="27"/>
  <c r="BY41" i="27"/>
  <c r="AL41" i="27"/>
  <c r="Q21" i="27"/>
  <c r="BT47" i="27"/>
  <c r="AU30" i="27"/>
  <c r="C30" i="27"/>
  <c r="BR30" i="27"/>
  <c r="Y30" i="27"/>
  <c r="H30" i="27"/>
  <c r="AB30" i="27"/>
  <c r="AT30" i="27"/>
  <c r="R30" i="27"/>
  <c r="AR30" i="27"/>
  <c r="BA30" i="27"/>
  <c r="AX30" i="27"/>
  <c r="G30" i="27"/>
  <c r="BD30" i="27"/>
  <c r="AY30" i="27"/>
  <c r="AC30" i="27"/>
  <c r="BX30" i="27"/>
  <c r="AM30" i="27"/>
  <c r="O30" i="27"/>
  <c r="F30" i="27"/>
  <c r="BS30" i="27"/>
  <c r="BB30" i="27"/>
  <c r="AJ30" i="27"/>
  <c r="P30" i="27"/>
  <c r="N30" i="27"/>
  <c r="BC30" i="27"/>
  <c r="BT30" i="27"/>
  <c r="AO30" i="27"/>
  <c r="BY30" i="27"/>
  <c r="AS30" i="27"/>
  <c r="M49" i="27"/>
  <c r="AY41" i="27"/>
  <c r="AL30" i="27"/>
  <c r="AJ42" i="27"/>
  <c r="M42" i="27"/>
  <c r="D42" i="27"/>
  <c r="AI42" i="27"/>
  <c r="Z42" i="27"/>
  <c r="BW42" i="27"/>
  <c r="X42" i="27"/>
  <c r="AU42" i="27"/>
  <c r="AO42" i="27"/>
  <c r="AT42" i="27"/>
  <c r="V42" i="27"/>
  <c r="R42" i="27"/>
  <c r="AK42" i="27"/>
  <c r="AB42" i="27"/>
  <c r="AZ42" i="27"/>
  <c r="AE42" i="27"/>
  <c r="C42" i="27"/>
  <c r="AW42" i="27"/>
  <c r="AP42" i="27"/>
  <c r="AD42" i="27"/>
  <c r="AY42" i="27"/>
  <c r="N42" i="27"/>
  <c r="AX42" i="27"/>
  <c r="I42" i="27"/>
  <c r="T42" i="27"/>
  <c r="Y42" i="27"/>
  <c r="H42" i="27"/>
  <c r="F42" i="27"/>
  <c r="U42" i="27"/>
  <c r="X39" i="27"/>
  <c r="BY26" i="27"/>
  <c r="BV43" i="27"/>
  <c r="AT44" i="27"/>
  <c r="AT3" i="27"/>
  <c r="T30" i="27"/>
  <c r="AN26" i="27"/>
  <c r="BB47" i="27"/>
  <c r="T43" i="27"/>
  <c r="C18" i="27"/>
  <c r="AL44" i="27"/>
  <c r="E35" i="27"/>
  <c r="AU35" i="27"/>
  <c r="I2" i="27"/>
  <c r="AF42" i="27"/>
  <c r="E42" i="27"/>
  <c r="AK41" i="27"/>
  <c r="Q18" i="27"/>
  <c r="AU39" i="27"/>
  <c r="AI3" i="27"/>
  <c r="AM17" i="27"/>
  <c r="BC43" i="27"/>
  <c r="AD35" i="27"/>
  <c r="O42" i="27"/>
  <c r="AV36" i="27"/>
  <c r="Y36" i="27"/>
  <c r="AA36" i="27"/>
  <c r="J36" i="27"/>
  <c r="AX36" i="27"/>
  <c r="AS36" i="27"/>
  <c r="F36" i="27"/>
  <c r="BD36" i="27"/>
  <c r="K36" i="27"/>
  <c r="B36" i="27"/>
  <c r="P36" i="27"/>
  <c r="BC36" i="27"/>
  <c r="BA36" i="27"/>
  <c r="L36" i="27"/>
  <c r="AF36" i="27"/>
  <c r="E36" i="27"/>
  <c r="AH36" i="27"/>
  <c r="M36" i="27"/>
  <c r="AR36" i="27"/>
  <c r="S36" i="27"/>
  <c r="AY36" i="27"/>
  <c r="AJ36" i="27"/>
  <c r="AZ36" i="27"/>
  <c r="O36" i="27"/>
  <c r="BR36" i="27"/>
  <c r="C36" i="27"/>
  <c r="BT36" i="27"/>
  <c r="AU36" i="27"/>
  <c r="AG36" i="27"/>
  <c r="AP36" i="27"/>
  <c r="BW36" i="27"/>
  <c r="AE36" i="27"/>
  <c r="AO36" i="27"/>
  <c r="AH39" i="27"/>
  <c r="AA30" i="27"/>
  <c r="BB26" i="27"/>
  <c r="AV18" i="27"/>
  <c r="AT2" i="27"/>
  <c r="BR28" i="27"/>
  <c r="H28" i="27"/>
  <c r="X28" i="27"/>
  <c r="W28" i="27"/>
  <c r="AC28" i="27"/>
  <c r="O28" i="27"/>
  <c r="S28" i="27"/>
  <c r="AL28" i="27"/>
  <c r="I28" i="27"/>
  <c r="N28" i="27"/>
  <c r="AO28" i="27"/>
  <c r="AK28" i="27"/>
  <c r="AG28" i="27"/>
  <c r="J28" i="27"/>
  <c r="T28" i="27"/>
  <c r="AY28" i="27"/>
  <c r="BV28" i="27"/>
  <c r="AT28" i="27"/>
  <c r="Y28" i="27"/>
  <c r="AR28" i="27"/>
  <c r="AV28" i="27"/>
  <c r="BW28" i="27"/>
  <c r="B28" i="27"/>
  <c r="Q28" i="27"/>
  <c r="L28" i="27"/>
  <c r="AS28" i="27"/>
  <c r="AM28" i="27"/>
  <c r="E28" i="27"/>
  <c r="AV49" i="27"/>
  <c r="N21" i="27"/>
  <c r="AF17" i="27"/>
  <c r="P46" i="27"/>
  <c r="AZ26" i="27"/>
  <c r="P43" i="27"/>
  <c r="AY35" i="27"/>
  <c r="AZ12" i="27"/>
  <c r="BC39" i="27"/>
  <c r="S3" i="27"/>
  <c r="R40" i="27"/>
  <c r="I47" i="27"/>
  <c r="BW18" i="27"/>
  <c r="AN35" i="27"/>
  <c r="AN12" i="27"/>
  <c r="BY28" i="27"/>
  <c r="BC6" i="27"/>
  <c r="BX6" i="27"/>
  <c r="X6" i="27"/>
  <c r="BS6" i="27"/>
  <c r="AY6" i="27"/>
  <c r="G6" i="27"/>
  <c r="AH6" i="27"/>
  <c r="AS6" i="27"/>
  <c r="S6" i="27"/>
  <c r="BR6" i="27"/>
  <c r="AW6" i="27"/>
  <c r="R6" i="27"/>
  <c r="AM6" i="27"/>
  <c r="AT6" i="27"/>
  <c r="U6" i="27"/>
  <c r="BH6" i="27" s="1"/>
  <c r="AB6" i="27"/>
  <c r="AO6" i="27"/>
  <c r="BW6" i="27"/>
  <c r="AD6" i="27"/>
  <c r="Y6" i="27"/>
  <c r="AR6" i="27"/>
  <c r="BD6" i="27"/>
  <c r="E6" i="27"/>
  <c r="V6" i="27"/>
  <c r="L6" i="27"/>
  <c r="H6" i="27"/>
  <c r="AI6" i="27"/>
  <c r="F39" i="27"/>
  <c r="G41" i="27"/>
  <c r="W17" i="27"/>
  <c r="G47" i="27"/>
  <c r="AI43" i="27"/>
  <c r="BV18" i="27"/>
  <c r="Z44" i="27"/>
  <c r="U35" i="27"/>
  <c r="G2" i="27"/>
  <c r="H12" i="27"/>
  <c r="D36" i="27"/>
  <c r="AP38" i="27"/>
  <c r="BB6" i="27"/>
  <c r="AL49" i="27"/>
  <c r="BX21" i="27"/>
  <c r="D17" i="27"/>
  <c r="B46" i="27"/>
  <c r="M38" i="27"/>
  <c r="D49" i="27"/>
  <c r="AI41" i="27"/>
  <c r="AQ21" i="27"/>
  <c r="AD21" i="27"/>
  <c r="BQ21" i="27" s="1"/>
  <c r="AE30" i="27"/>
  <c r="V30" i="27"/>
  <c r="Q17" i="27"/>
  <c r="BW17" i="27"/>
  <c r="AN40" i="27"/>
  <c r="X8" i="27"/>
  <c r="H8" i="27"/>
  <c r="AB46" i="27"/>
  <c r="AW46" i="27"/>
  <c r="AG26" i="27"/>
  <c r="AW47" i="27"/>
  <c r="AH47" i="27"/>
  <c r="AN43" i="27"/>
  <c r="W44" i="27"/>
  <c r="BR44" i="27"/>
  <c r="BT35" i="27"/>
  <c r="BW2" i="27"/>
  <c r="BC42" i="27"/>
  <c r="B12" i="27"/>
  <c r="T36" i="27"/>
  <c r="AF38" i="27"/>
  <c r="AL38" i="27"/>
  <c r="W6" i="27"/>
  <c r="F28" i="27"/>
  <c r="Z28" i="27"/>
  <c r="P29" i="27"/>
  <c r="AV29" i="27"/>
  <c r="AY3" i="27"/>
  <c r="Q3" i="27"/>
  <c r="AE3" i="27"/>
  <c r="AZ3" i="27"/>
  <c r="AL3" i="27"/>
  <c r="C3" i="27"/>
  <c r="AV3" i="27"/>
  <c r="AR3" i="27"/>
  <c r="BS3" i="27"/>
  <c r="O3" i="27"/>
  <c r="AH3" i="27"/>
  <c r="BA3" i="27"/>
  <c r="AN3" i="27"/>
  <c r="G3" i="27"/>
  <c r="AQ3" i="27"/>
  <c r="M3" i="27"/>
  <c r="AK3" i="27"/>
  <c r="AA3" i="27"/>
  <c r="N3" i="27"/>
  <c r="W3" i="27"/>
  <c r="AB3" i="27"/>
  <c r="L3" i="27"/>
  <c r="I3" i="27"/>
  <c r="AO39" i="27"/>
  <c r="R47" i="27"/>
  <c r="V18" i="27"/>
  <c r="AM18" i="27"/>
  <c r="AL18" i="27"/>
  <c r="AX18" i="27"/>
  <c r="AO18" i="27"/>
  <c r="AD18" i="27"/>
  <c r="Z18" i="27"/>
  <c r="AN18" i="27"/>
  <c r="T18" i="27"/>
  <c r="AY18" i="27"/>
  <c r="E18" i="27"/>
  <c r="AG18" i="27"/>
  <c r="G18" i="27"/>
  <c r="AI18" i="27"/>
  <c r="AQ18" i="27"/>
  <c r="BS18" i="27"/>
  <c r="AT18" i="27"/>
  <c r="AB18" i="27"/>
  <c r="J18" i="27"/>
  <c r="AS18" i="27"/>
  <c r="N18" i="27"/>
  <c r="F18" i="27"/>
  <c r="P18" i="27"/>
  <c r="AH18" i="27"/>
  <c r="U18" i="27"/>
  <c r="K18" i="27"/>
  <c r="X18" i="27"/>
  <c r="BB49" i="27"/>
  <c r="AT47" i="27"/>
  <c r="BW3" i="27"/>
  <c r="AD2" i="27"/>
  <c r="U2" i="27"/>
  <c r="AN2" i="27"/>
  <c r="AU2" i="27"/>
  <c r="W2" i="27"/>
  <c r="BJ2" i="27" s="1"/>
  <c r="Q2" i="27"/>
  <c r="Z2" i="27"/>
  <c r="S2" i="27"/>
  <c r="C2" i="27"/>
  <c r="AQ2" i="27"/>
  <c r="L2" i="27"/>
  <c r="Y2" i="27"/>
  <c r="BR2" i="27"/>
  <c r="AA2" i="27"/>
  <c r="BB2" i="27"/>
  <c r="AM2" i="27"/>
  <c r="AP2" i="27"/>
  <c r="T2" i="27"/>
  <c r="AX2" i="27"/>
  <c r="J2" i="27"/>
  <c r="BA2" i="27"/>
  <c r="AF2" i="27"/>
  <c r="BV2" i="27"/>
  <c r="BC2" i="27"/>
  <c r="K2" i="27"/>
  <c r="AR2" i="27"/>
  <c r="W49" i="27"/>
  <c r="K3" i="27"/>
  <c r="AT21" i="27"/>
  <c r="D30" i="27"/>
  <c r="T40" i="27"/>
  <c r="AS26" i="27"/>
  <c r="V47" i="27"/>
  <c r="AC18" i="27"/>
  <c r="P2" i="27"/>
  <c r="AR42" i="27"/>
  <c r="T49" i="27"/>
  <c r="J41" i="27"/>
  <c r="AA17" i="27"/>
  <c r="BN17" i="27" s="1"/>
  <c r="AV47" i="27"/>
  <c r="BS14" i="27"/>
  <c r="AC14" i="27"/>
  <c r="W14" i="27"/>
  <c r="BC14" i="27"/>
  <c r="BD14" i="27"/>
  <c r="BV14" i="27"/>
  <c r="BT14" i="27"/>
  <c r="AM49" i="27"/>
  <c r="U3" i="27"/>
  <c r="M41" i="27"/>
  <c r="J30" i="27"/>
  <c r="U40" i="27"/>
  <c r="BW46" i="27"/>
  <c r="L43" i="27"/>
  <c r="P35" i="27"/>
  <c r="K42" i="27"/>
  <c r="AS3" i="27"/>
  <c r="AR40" i="27"/>
  <c r="AB44" i="27"/>
  <c r="AQ28" i="27"/>
  <c r="O17" i="27"/>
  <c r="AO43" i="27"/>
  <c r="L48" i="27"/>
  <c r="AM48" i="27"/>
  <c r="AT48" i="27"/>
  <c r="AQ48" i="27"/>
  <c r="AS48" i="27"/>
  <c r="Z48" i="27"/>
  <c r="AX48" i="27"/>
  <c r="U48" i="27"/>
  <c r="D48" i="27"/>
  <c r="AK48" i="27"/>
  <c r="T48" i="27"/>
  <c r="J48" i="27"/>
  <c r="AW48" i="27"/>
  <c r="Q48" i="27"/>
  <c r="AV48" i="27"/>
  <c r="BR48" i="27"/>
  <c r="AO48" i="27"/>
  <c r="AP48" i="27"/>
  <c r="B48" i="27"/>
  <c r="Y48" i="27"/>
  <c r="BB48" i="27"/>
  <c r="O48" i="27"/>
  <c r="BS48" i="27"/>
  <c r="BV48" i="27"/>
  <c r="AJ48" i="27"/>
  <c r="AL48" i="27"/>
  <c r="AI48" i="27"/>
  <c r="K48" i="27"/>
  <c r="AF48" i="27"/>
  <c r="N39" i="27"/>
  <c r="AI30" i="27"/>
  <c r="BC48" i="27"/>
  <c r="Z43" i="27"/>
  <c r="M39" i="27"/>
  <c r="B39" i="27"/>
  <c r="AS49" i="27"/>
  <c r="AF3" i="27"/>
  <c r="AW41" i="27"/>
  <c r="AV21" i="27"/>
  <c r="U30" i="27"/>
  <c r="AJ17" i="27"/>
  <c r="AH40" i="27"/>
  <c r="BA40" i="27"/>
  <c r="AE8" i="27"/>
  <c r="BR46" i="27"/>
  <c r="AN38" i="27"/>
  <c r="AE39" i="27"/>
  <c r="BB39" i="27"/>
  <c r="Q39" i="27"/>
  <c r="O49" i="27"/>
  <c r="AG3" i="27"/>
  <c r="AV41" i="27"/>
  <c r="T39" i="27"/>
  <c r="AY39" i="27"/>
  <c r="U39" i="27"/>
  <c r="AR49" i="27"/>
  <c r="AE49" i="27"/>
  <c r="X3" i="27"/>
  <c r="BD3" i="27"/>
  <c r="AB41" i="27"/>
  <c r="BB41" i="27"/>
  <c r="Y21" i="27"/>
  <c r="V21" i="27"/>
  <c r="AH30" i="27"/>
  <c r="AW30" i="27"/>
  <c r="BD17" i="27"/>
  <c r="BC17" i="27"/>
  <c r="AP40" i="27"/>
  <c r="BA8" i="27"/>
  <c r="BY8" i="27"/>
  <c r="W46" i="27"/>
  <c r="R46" i="27"/>
  <c r="AU48" i="27"/>
  <c r="H26" i="27"/>
  <c r="AP47" i="27"/>
  <c r="BV47" i="27"/>
  <c r="V43" i="27"/>
  <c r="S18" i="27"/>
  <c r="N44" i="27"/>
  <c r="BS44" i="27"/>
  <c r="M35" i="27"/>
  <c r="X2" i="27"/>
  <c r="AV42" i="27"/>
  <c r="BX42" i="27"/>
  <c r="G12" i="27"/>
  <c r="R36" i="27"/>
  <c r="W38" i="27"/>
  <c r="BC38" i="27"/>
  <c r="AN6" i="27"/>
  <c r="K28" i="27"/>
  <c r="U28" i="27"/>
  <c r="F29" i="27"/>
  <c r="I29" i="27"/>
  <c r="BO10" i="27"/>
  <c r="B9" i="27"/>
  <c r="AX9" i="27"/>
  <c r="BK9" i="27" s="1"/>
  <c r="M9" i="27"/>
  <c r="J9" i="27"/>
  <c r="AY9" i="27"/>
  <c r="BT9" i="27"/>
  <c r="AF9" i="27"/>
  <c r="H9" i="27"/>
  <c r="BS9" i="27"/>
  <c r="E9" i="27"/>
  <c r="Y9" i="27"/>
  <c r="BY9" i="27"/>
  <c r="AJ9" i="27"/>
  <c r="BW9" i="27"/>
  <c r="AR9" i="27"/>
  <c r="AD9" i="27"/>
  <c r="G9" i="27"/>
  <c r="AN25" i="27"/>
  <c r="P25" i="27"/>
  <c r="N24" i="27"/>
  <c r="I24" i="27"/>
  <c r="AQ24" i="27"/>
  <c r="AL9" i="27"/>
  <c r="AO9" i="27"/>
  <c r="AV9" i="27"/>
  <c r="BV25" i="27"/>
  <c r="G25" i="27"/>
  <c r="AA24" i="27"/>
  <c r="AL24" i="27"/>
  <c r="BW24" i="27"/>
  <c r="AY24" i="27"/>
  <c r="H24" i="27"/>
  <c r="BA24" i="27"/>
  <c r="E24" i="27"/>
  <c r="T24" i="27"/>
  <c r="Z24" i="27"/>
  <c r="M24" i="27"/>
  <c r="AW24" i="27"/>
  <c r="S24" i="27"/>
  <c r="BF24" i="27" s="1"/>
  <c r="BX24" i="27"/>
  <c r="AF24" i="27"/>
  <c r="Q24" i="27"/>
  <c r="U24" i="27"/>
  <c r="I9" i="27"/>
  <c r="F9" i="27"/>
  <c r="BT25" i="27"/>
  <c r="BT24" i="27"/>
  <c r="C24" i="27"/>
  <c r="AH25" i="27"/>
  <c r="E25" i="27"/>
  <c r="AL25" i="27"/>
  <c r="AJ25" i="27"/>
  <c r="AE25" i="27"/>
  <c r="BS25" i="27"/>
  <c r="L25" i="27"/>
  <c r="BY25" i="27"/>
  <c r="M25" i="27"/>
  <c r="AI25" i="27"/>
  <c r="AZ25" i="27"/>
  <c r="BM25" i="27" s="1"/>
  <c r="BW25" i="27"/>
  <c r="H25" i="27"/>
  <c r="U25" i="27"/>
  <c r="N25" i="27"/>
  <c r="O9" i="27"/>
  <c r="U9" i="27"/>
  <c r="BX9" i="27"/>
  <c r="S25" i="27"/>
  <c r="AX25" i="27"/>
  <c r="O24" i="27"/>
  <c r="J24" i="27"/>
  <c r="AW9" i="27"/>
  <c r="BJ9" i="27" s="1"/>
  <c r="AA9" i="27"/>
  <c r="X25" i="27"/>
  <c r="AD25" i="27"/>
  <c r="B24" i="27"/>
  <c r="AE24" i="27"/>
  <c r="F348" i="29"/>
  <c r="F31" i="30"/>
  <c r="BR11" i="27"/>
  <c r="AF11" i="27"/>
  <c r="BY11" i="27"/>
  <c r="BV7" i="27"/>
  <c r="BS7" i="27"/>
  <c r="AV7" i="27"/>
  <c r="AI11" i="27"/>
  <c r="I11" i="27"/>
  <c r="AX11" i="27"/>
  <c r="AT11" i="27"/>
  <c r="X7" i="27"/>
  <c r="E7" i="27"/>
  <c r="U7" i="27"/>
  <c r="X11" i="27"/>
  <c r="AO11" i="27"/>
  <c r="AM11" i="27"/>
  <c r="G11" i="27"/>
  <c r="AY7" i="27"/>
  <c r="N7" i="27"/>
  <c r="D7" i="27"/>
  <c r="AY11" i="27"/>
  <c r="AC11" i="27"/>
  <c r="AU11" i="27"/>
  <c r="BD2" i="27"/>
  <c r="AK2" i="27"/>
  <c r="Y7" i="27"/>
  <c r="O7" i="27"/>
  <c r="BA7" i="27"/>
  <c r="W11" i="27"/>
  <c r="V11" i="27"/>
  <c r="BC11" i="27"/>
  <c r="Q11" i="27"/>
  <c r="AF7" i="27"/>
  <c r="AH7" i="27"/>
  <c r="AX7" i="27"/>
  <c r="T11" i="27"/>
  <c r="J11" i="27"/>
  <c r="D11" i="27"/>
  <c r="BX7" i="27"/>
  <c r="B7" i="27"/>
  <c r="AD7" i="27"/>
  <c r="BD11" i="27"/>
  <c r="L11" i="27"/>
  <c r="AL11" i="27"/>
  <c r="AE7" i="27"/>
  <c r="C7" i="27"/>
  <c r="H7" i="27"/>
  <c r="BX11" i="27"/>
  <c r="E11" i="27"/>
  <c r="H11" i="27"/>
  <c r="S7" i="27"/>
  <c r="BF7" i="27" s="1"/>
  <c r="T7" i="27"/>
  <c r="BB7" i="27"/>
  <c r="BV11" i="27"/>
  <c r="BW11" i="27"/>
  <c r="AB11" i="27"/>
  <c r="K7" i="27"/>
  <c r="AJ7" i="27"/>
  <c r="BD7" i="27"/>
  <c r="Q7" i="27"/>
  <c r="AP7" i="27"/>
  <c r="BY7" i="27"/>
  <c r="O11" i="27"/>
  <c r="AA11" i="27"/>
  <c r="AP11" i="27"/>
  <c r="U11" i="27"/>
  <c r="F7" i="27"/>
  <c r="AZ7" i="27"/>
  <c r="P7" i="27"/>
  <c r="AQ11" i="27"/>
  <c r="BT11" i="27"/>
  <c r="AD11" i="27"/>
  <c r="L7" i="27"/>
  <c r="BC7" i="27"/>
  <c r="AA7" i="27"/>
  <c r="BG15" i="27"/>
  <c r="BA11" i="27"/>
  <c r="N11" i="27"/>
  <c r="BS11" i="27"/>
  <c r="M7" i="27"/>
  <c r="BR7" i="27"/>
  <c r="J7" i="27"/>
  <c r="AU7" i="27"/>
  <c r="Z11" i="27"/>
  <c r="P11" i="27"/>
  <c r="AK11" i="27"/>
  <c r="AO7" i="27"/>
  <c r="V7" i="27"/>
  <c r="AN7" i="27"/>
  <c r="AG7" i="27"/>
  <c r="AE11" i="27"/>
  <c r="F11" i="27"/>
  <c r="AN11" i="27"/>
  <c r="AJ11" i="27"/>
  <c r="AI7" i="27"/>
  <c r="I7" i="27"/>
  <c r="AT7" i="27"/>
  <c r="S11" i="27"/>
  <c r="AW11" i="27"/>
  <c r="C11" i="27"/>
  <c r="R11" i="27"/>
  <c r="BE11" i="27" s="1"/>
  <c r="BB11" i="27"/>
  <c r="AH11" i="27"/>
  <c r="AR7" i="27"/>
  <c r="BE7" i="27" s="1"/>
  <c r="Z7" i="27"/>
  <c r="AB7" i="27"/>
  <c r="M11" i="27"/>
  <c r="B11" i="27"/>
  <c r="AG11" i="27"/>
  <c r="W7" i="27"/>
  <c r="BW7" i="27"/>
  <c r="AM7" i="27"/>
  <c r="Y11" i="27"/>
  <c r="AS11" i="27"/>
  <c r="G7" i="27"/>
  <c r="AC7" i="27"/>
  <c r="AW7" i="27"/>
  <c r="AV11" i="27"/>
  <c r="K11" i="27"/>
  <c r="AZ11" i="27"/>
  <c r="AQ7" i="27"/>
  <c r="AK7" i="27"/>
  <c r="E10" i="25"/>
  <c r="E8" i="25"/>
  <c r="BG10" i="27"/>
  <c r="E4" i="25"/>
  <c r="AH2" i="27"/>
  <c r="BX2" i="27"/>
  <c r="AF12" i="27"/>
  <c r="AK12" i="27"/>
  <c r="AY12" i="27"/>
  <c r="AA12" i="27"/>
  <c r="F12" i="27"/>
  <c r="BA14" i="27"/>
  <c r="AL14" i="27"/>
  <c r="AY14" i="27"/>
  <c r="AI50" i="27"/>
  <c r="AV50" i="27"/>
  <c r="M12" i="27"/>
  <c r="AI12" i="27"/>
  <c r="Z12" i="27"/>
  <c r="L12" i="27"/>
  <c r="F14" i="27"/>
  <c r="Y14" i="27"/>
  <c r="AD14" i="27"/>
  <c r="P50" i="27"/>
  <c r="G50" i="27"/>
  <c r="N50" i="27"/>
  <c r="Y50" i="27"/>
  <c r="AB12" i="27"/>
  <c r="AO12" i="27"/>
  <c r="V12" i="27"/>
  <c r="AH14" i="27"/>
  <c r="BB14" i="27"/>
  <c r="AJ14" i="27"/>
  <c r="AB14" i="27"/>
  <c r="C50" i="27"/>
  <c r="K50" i="27"/>
  <c r="T50" i="27"/>
  <c r="S12" i="27"/>
  <c r="K12" i="27"/>
  <c r="P12" i="27"/>
  <c r="AF14" i="27"/>
  <c r="C14" i="27"/>
  <c r="BY14" i="27"/>
  <c r="AA14" i="27"/>
  <c r="V50" i="27"/>
  <c r="C12" i="27"/>
  <c r="AP50" i="27"/>
  <c r="J50" i="27"/>
  <c r="BW50" i="27"/>
  <c r="AD50" i="27"/>
  <c r="AV2" i="27"/>
  <c r="AG2" i="27"/>
  <c r="AO2" i="27"/>
  <c r="AJ12" i="27"/>
  <c r="AT12" i="27"/>
  <c r="T12" i="27"/>
  <c r="L14" i="27"/>
  <c r="AM14" i="27"/>
  <c r="AE14" i="27"/>
  <c r="AE50" i="27"/>
  <c r="Q50" i="27"/>
  <c r="W50" i="27"/>
  <c r="AJ50" i="27"/>
  <c r="AW50" i="27"/>
  <c r="W12" i="27"/>
  <c r="BX12" i="27"/>
  <c r="I12" i="27"/>
  <c r="BP10" i="27"/>
  <c r="AI14" i="27"/>
  <c r="AT14" i="27"/>
  <c r="AN14" i="27"/>
  <c r="BD50" i="27"/>
  <c r="AS50" i="27"/>
  <c r="BS50" i="27"/>
  <c r="AD12" i="27"/>
  <c r="O12" i="27"/>
  <c r="U12" i="27"/>
  <c r="J14" i="27"/>
  <c r="V14" i="27"/>
  <c r="AW14" i="27"/>
  <c r="L50" i="27"/>
  <c r="AU50" i="27"/>
  <c r="BY50" i="27"/>
  <c r="O50" i="27"/>
  <c r="AV12" i="27"/>
  <c r="AU12" i="27"/>
  <c r="AP12" i="27"/>
  <c r="Z14" i="27"/>
  <c r="BR14" i="27"/>
  <c r="O14" i="27"/>
  <c r="AO14" i="27"/>
  <c r="AQ14" i="27"/>
  <c r="M14" i="27"/>
  <c r="X12" i="27"/>
  <c r="AE12" i="27"/>
  <c r="AS12" i="27"/>
  <c r="D14" i="27"/>
  <c r="P14" i="27"/>
  <c r="R14" i="27"/>
  <c r="BR50" i="27"/>
  <c r="BD12" i="27"/>
  <c r="BW12" i="27"/>
  <c r="AW12" i="27"/>
  <c r="S14" i="27"/>
  <c r="Q14" i="27"/>
  <c r="N14" i="27"/>
  <c r="AT50" i="27"/>
  <c r="AQ50" i="27"/>
  <c r="AY50" i="27"/>
  <c r="BB12" i="27"/>
  <c r="AR12" i="27"/>
  <c r="AU14" i="27"/>
  <c r="U14" i="27"/>
  <c r="AX14" i="27"/>
  <c r="BY12" i="27"/>
  <c r="AL50" i="27"/>
  <c r="S50" i="27"/>
  <c r="O21" i="38"/>
  <c r="M21" i="38" s="1"/>
  <c r="H50" i="27"/>
  <c r="BC50" i="27"/>
  <c r="X50" i="27"/>
  <c r="BV12" i="27"/>
  <c r="BV50" i="27"/>
  <c r="F50" i="27"/>
  <c r="AZ50" i="27"/>
  <c r="AK50" i="27"/>
  <c r="BA50" i="27"/>
  <c r="BI20" i="27"/>
  <c r="AM12" i="27"/>
  <c r="BS12" i="27"/>
  <c r="I21" i="38"/>
  <c r="K21" i="38" s="1"/>
  <c r="BW14" i="27"/>
  <c r="AK14" i="27"/>
  <c r="AZ14" i="27"/>
  <c r="BB50" i="27"/>
  <c r="AM50" i="27"/>
  <c r="I50" i="27"/>
  <c r="BT12" i="27"/>
  <c r="BC12" i="27"/>
  <c r="R12" i="27"/>
  <c r="BX14" i="27"/>
  <c r="E14" i="27"/>
  <c r="K14" i="27"/>
  <c r="P8" i="27"/>
  <c r="AB8" i="27"/>
  <c r="BT50" i="27"/>
  <c r="BX50" i="27"/>
  <c r="E50" i="27"/>
  <c r="E9" i="25"/>
  <c r="AY2" i="27"/>
  <c r="N2" i="27"/>
  <c r="AE2" i="27"/>
  <c r="Y12" i="27"/>
  <c r="AG12" i="27"/>
  <c r="AX12" i="27"/>
  <c r="AP14" i="27"/>
  <c r="AG14" i="27"/>
  <c r="AR14" i="27"/>
  <c r="C28" i="27"/>
  <c r="BD28" i="27"/>
  <c r="BQ28" i="27" s="1"/>
  <c r="BB29" i="27"/>
  <c r="AG29" i="27"/>
  <c r="AH24" i="27"/>
  <c r="AD24" i="27"/>
  <c r="C45" i="27"/>
  <c r="BD45" i="27"/>
  <c r="J12" i="27"/>
  <c r="R50" i="27"/>
  <c r="AH50" i="27"/>
  <c r="AA50" i="27"/>
  <c r="BR12" i="27"/>
  <c r="D12" i="27"/>
  <c r="E12" i="27"/>
  <c r="T14" i="27"/>
  <c r="AV14" i="27"/>
  <c r="I14" i="27"/>
  <c r="AB50" i="27"/>
  <c r="H14" i="27"/>
  <c r="AS14" i="27"/>
  <c r="G14" i="27"/>
  <c r="AF50" i="27"/>
  <c r="M50" i="27"/>
  <c r="N12" i="27"/>
  <c r="BA12" i="27"/>
  <c r="X14" i="27"/>
  <c r="B14" i="27"/>
  <c r="E5" i="25"/>
  <c r="BO20" i="27"/>
  <c r="E6" i="25"/>
  <c r="AV34" i="27"/>
  <c r="BI34" i="27" s="1"/>
  <c r="AD34" i="27"/>
  <c r="BT34" i="27"/>
  <c r="BX34" i="27"/>
  <c r="AL4" i="27"/>
  <c r="AT4" i="27"/>
  <c r="G4" i="27"/>
  <c r="P34" i="27"/>
  <c r="AN4" i="27"/>
  <c r="AY4" i="27"/>
  <c r="AM4" i="27"/>
  <c r="AX34" i="27"/>
  <c r="AL34" i="27"/>
  <c r="E34" i="27"/>
  <c r="BB34" i="27"/>
  <c r="BJ10" i="27"/>
  <c r="BX4" i="27"/>
  <c r="E4" i="27"/>
  <c r="B4" i="27"/>
  <c r="AN34" i="27"/>
  <c r="AQ34" i="27"/>
  <c r="AR34" i="27"/>
  <c r="AD4" i="27"/>
  <c r="Y4" i="27"/>
  <c r="D4" i="27"/>
  <c r="AK34" i="27"/>
  <c r="X34" i="27"/>
  <c r="U34" i="27"/>
  <c r="B34" i="27"/>
  <c r="K4" i="27"/>
  <c r="L4" i="27"/>
  <c r="O4" i="27"/>
  <c r="AF34" i="27"/>
  <c r="BA34" i="27"/>
  <c r="AY34" i="27"/>
  <c r="AB4" i="27"/>
  <c r="BW4" i="27"/>
  <c r="BR4" i="27"/>
  <c r="BY34" i="27"/>
  <c r="BS34" i="27"/>
  <c r="AW34" i="27"/>
  <c r="T34" i="27"/>
  <c r="E3" i="25"/>
  <c r="AR4" i="27"/>
  <c r="AE4" i="27"/>
  <c r="W4" i="27"/>
  <c r="Z34" i="27"/>
  <c r="AG34" i="27"/>
  <c r="N34" i="27"/>
  <c r="S34" i="27"/>
  <c r="E2" i="25"/>
  <c r="AQ4" i="27"/>
  <c r="AP4" i="27"/>
  <c r="Z4" i="27"/>
  <c r="AC34" i="27"/>
  <c r="H34" i="27"/>
  <c r="AB34" i="27"/>
  <c r="AH4" i="27"/>
  <c r="BV4" i="27"/>
  <c r="S4" i="27"/>
  <c r="BD34" i="27"/>
  <c r="AS34" i="27"/>
  <c r="AZ34" i="27"/>
  <c r="BT4" i="27"/>
  <c r="BC4" i="27"/>
  <c r="AV4" i="27"/>
  <c r="H4" i="27"/>
  <c r="W34" i="27"/>
  <c r="BC34" i="27"/>
  <c r="AM34" i="27"/>
  <c r="P4" i="27"/>
  <c r="C4" i="27"/>
  <c r="AS4" i="27"/>
  <c r="AC4" i="27"/>
  <c r="AX4" i="27"/>
  <c r="BY4" i="27"/>
  <c r="T4" i="27"/>
  <c r="K34" i="27"/>
  <c r="O34" i="27"/>
  <c r="F34" i="27"/>
  <c r="L34" i="27"/>
  <c r="U4" i="27"/>
  <c r="AZ4" i="27"/>
  <c r="AJ4" i="27"/>
  <c r="M34" i="27"/>
  <c r="AO34" i="27"/>
  <c r="AP34" i="27"/>
  <c r="BA4" i="27"/>
  <c r="AK4" i="27"/>
  <c r="BS4" i="27"/>
  <c r="BH13" i="27"/>
  <c r="V4" i="27"/>
  <c r="AF4" i="27"/>
  <c r="X4" i="27"/>
  <c r="AU34" i="27"/>
  <c r="BV34" i="27"/>
  <c r="BD4" i="27"/>
  <c r="AU4" i="27"/>
  <c r="I4" i="27"/>
  <c r="BF13" i="27"/>
  <c r="AI34" i="27"/>
  <c r="AA34" i="27"/>
  <c r="Q34" i="27"/>
  <c r="BQ37" i="27"/>
  <c r="C34" i="27"/>
  <c r="D34" i="27"/>
  <c r="AE34" i="27"/>
  <c r="BW34" i="27"/>
  <c r="BR34" i="27"/>
  <c r="Y34" i="27"/>
  <c r="H2" i="27"/>
  <c r="AJ2" i="27"/>
  <c r="BH10" i="27"/>
  <c r="M4" i="27"/>
  <c r="AW4" i="27"/>
  <c r="J4" i="27"/>
  <c r="I34" i="27"/>
  <c r="G34" i="27"/>
  <c r="AH34" i="27"/>
  <c r="J34" i="27"/>
  <c r="BL20" i="27"/>
  <c r="AO4" i="27"/>
  <c r="Q4" i="27"/>
  <c r="AA4" i="27"/>
  <c r="R34" i="27"/>
  <c r="AJ34" i="27"/>
  <c r="AT34" i="27"/>
  <c r="BB4" i="27"/>
  <c r="F4" i="27"/>
  <c r="BJ33" i="27"/>
  <c r="BH23" i="27"/>
  <c r="L175" i="38"/>
  <c r="I21" i="39"/>
  <c r="K21" i="39"/>
  <c r="L21" i="39"/>
  <c r="BP19" i="27"/>
  <c r="M19" i="6"/>
  <c r="L19" i="6"/>
  <c r="O20" i="6" s="1"/>
  <c r="B176" i="38"/>
  <c r="K176" i="38"/>
  <c r="G176" i="38"/>
  <c r="BQ10" i="27"/>
  <c r="BH20" i="27"/>
  <c r="BI37" i="27"/>
  <c r="G176" i="39"/>
  <c r="K176" i="39"/>
  <c r="B176" i="39"/>
  <c r="BN20" i="27"/>
  <c r="F22" i="38"/>
  <c r="C22" i="38"/>
  <c r="B22" i="38"/>
  <c r="A177" i="38"/>
  <c r="F177" i="38" s="1"/>
  <c r="A23" i="38"/>
  <c r="G22" i="38"/>
  <c r="E22" i="38"/>
  <c r="D22" i="38"/>
  <c r="H22" i="38" s="1"/>
  <c r="I21" i="6"/>
  <c r="K21" i="6" s="1"/>
  <c r="L175" i="6"/>
  <c r="BL10" i="27"/>
  <c r="BI10" i="27"/>
  <c r="A177" i="6"/>
  <c r="F177" i="6" s="1"/>
  <c r="G22" i="6"/>
  <c r="D22" i="6"/>
  <c r="H22" i="6" s="1"/>
  <c r="E22" i="6"/>
  <c r="A23" i="6"/>
  <c r="F22" i="6"/>
  <c r="B22" i="6"/>
  <c r="C22" i="6"/>
  <c r="B176" i="37"/>
  <c r="G176" i="37"/>
  <c r="K176" i="37"/>
  <c r="BG37" i="27"/>
  <c r="BJ20" i="27"/>
  <c r="BN10" i="27"/>
  <c r="O21" i="39"/>
  <c r="M21" i="39" s="1"/>
  <c r="K176" i="6"/>
  <c r="G176" i="6"/>
  <c r="B176" i="6"/>
  <c r="L175" i="39"/>
  <c r="BM10" i="27"/>
  <c r="BE10" i="27"/>
  <c r="BF15" i="27"/>
  <c r="I21" i="37"/>
  <c r="K21" i="37" s="1"/>
  <c r="G22" i="37"/>
  <c r="A177" i="37"/>
  <c r="F177" i="37" s="1"/>
  <c r="D22" i="37"/>
  <c r="H22" i="37" s="1"/>
  <c r="E22" i="37"/>
  <c r="C22" i="37"/>
  <c r="F22" i="37"/>
  <c r="A23" i="37"/>
  <c r="B22" i="37"/>
  <c r="BO23" i="27"/>
  <c r="C22" i="39"/>
  <c r="D22" i="39"/>
  <c r="H22" i="39" s="1"/>
  <c r="A23" i="39"/>
  <c r="B22" i="39"/>
  <c r="A177" i="39"/>
  <c r="F177" i="39" s="1"/>
  <c r="G22" i="39"/>
  <c r="E22" i="39"/>
  <c r="F22" i="39"/>
  <c r="BM20" i="27" l="1"/>
  <c r="BI13" i="27"/>
  <c r="BF20" i="27"/>
  <c r="BQ20" i="27"/>
  <c r="BE20" i="27"/>
  <c r="BE48" i="27"/>
  <c r="BK20" i="27"/>
  <c r="BL13" i="27"/>
  <c r="BE24" i="27"/>
  <c r="BQ13" i="27"/>
  <c r="BK16" i="27"/>
  <c r="BL16" i="27"/>
  <c r="BK13" i="27"/>
  <c r="BL15" i="27"/>
  <c r="BO25" i="27"/>
  <c r="BE13" i="27"/>
  <c r="BM9" i="27"/>
  <c r="BK23" i="27"/>
  <c r="BJ48" i="27"/>
  <c r="BJ24" i="27"/>
  <c r="BE15" i="27"/>
  <c r="BG9" i="27"/>
  <c r="BN32" i="27"/>
  <c r="BO15" i="27"/>
  <c r="BO9" i="27"/>
  <c r="BO33" i="27"/>
  <c r="BM16" i="27"/>
  <c r="BF16" i="27"/>
  <c r="BJ15" i="27"/>
  <c r="BM32" i="27"/>
  <c r="BE32" i="27"/>
  <c r="BQ25" i="27"/>
  <c r="BO32" i="27"/>
  <c r="BQ33" i="27"/>
  <c r="BG13" i="27"/>
  <c r="BF33" i="27"/>
  <c r="BE16" i="27"/>
  <c r="BL33" i="27"/>
  <c r="BK32" i="27"/>
  <c r="BL32" i="27"/>
  <c r="BI32" i="27"/>
  <c r="BJ32" i="27"/>
  <c r="BG22" i="27"/>
  <c r="BP32" i="27"/>
  <c r="BF32" i="27"/>
  <c r="BJ27" i="27"/>
  <c r="BQ16" i="27"/>
  <c r="BH37" i="27"/>
  <c r="BJ13" i="27"/>
  <c r="BI33" i="27"/>
  <c r="BK37" i="27"/>
  <c r="BH32" i="27"/>
  <c r="BM37" i="27"/>
  <c r="BI9" i="27"/>
  <c r="BO38" i="27"/>
  <c r="BG46" i="27"/>
  <c r="BI24" i="27"/>
  <c r="BN37" i="27"/>
  <c r="BJ37" i="27"/>
  <c r="BF38" i="27"/>
  <c r="BI25" i="27"/>
  <c r="BP9" i="27"/>
  <c r="BI7" i="27"/>
  <c r="BN27" i="27"/>
  <c r="BQ32" i="27"/>
  <c r="BG33" i="27"/>
  <c r="BP33" i="27"/>
  <c r="BO16" i="27"/>
  <c r="BO48" i="27"/>
  <c r="BG28" i="27"/>
  <c r="BM47" i="27"/>
  <c r="BH16" i="27"/>
  <c r="BM33" i="27"/>
  <c r="BN25" i="27"/>
  <c r="BP24" i="27"/>
  <c r="BF9" i="27"/>
  <c r="BJ16" i="27"/>
  <c r="BK24" i="27"/>
  <c r="BE25" i="27"/>
  <c r="BN16" i="27"/>
  <c r="BJ49" i="27"/>
  <c r="BP16" i="27"/>
  <c r="BN9" i="27"/>
  <c r="BG32" i="27"/>
  <c r="BE9" i="27"/>
  <c r="BM38" i="27"/>
  <c r="BP45" i="27"/>
  <c r="BJ25" i="27"/>
  <c r="BN23" i="27"/>
  <c r="BM2" i="27"/>
  <c r="BG16" i="27"/>
  <c r="BO22" i="27"/>
  <c r="BH24" i="27"/>
  <c r="BP48" i="27"/>
  <c r="BH25" i="27"/>
  <c r="BG29" i="27"/>
  <c r="BL44" i="27"/>
  <c r="BO44" i="27"/>
  <c r="BL25" i="27"/>
  <c r="BQ9" i="27"/>
  <c r="BG38" i="27"/>
  <c r="BJ38" i="27"/>
  <c r="BH27" i="27"/>
  <c r="BH31" i="27"/>
  <c r="BG24" i="27"/>
  <c r="BL27" i="27"/>
  <c r="BL24" i="27"/>
  <c r="BK46" i="27"/>
  <c r="BP44" i="27"/>
  <c r="BQ38" i="27"/>
  <c r="BM49" i="27"/>
  <c r="BG31" i="27"/>
  <c r="BE27" i="27"/>
  <c r="BE38" i="27"/>
  <c r="BM29" i="27"/>
  <c r="BF39" i="27"/>
  <c r="BQ49" i="27"/>
  <c r="BL35" i="27"/>
  <c r="BH9" i="27"/>
  <c r="BH17" i="27"/>
  <c r="BM27" i="27"/>
  <c r="BF25" i="27"/>
  <c r="BN6" i="27"/>
  <c r="BF27" i="27"/>
  <c r="BG27" i="27"/>
  <c r="BP25" i="27"/>
  <c r="BJ29" i="27"/>
  <c r="BK29" i="27"/>
  <c r="BI31" i="27"/>
  <c r="BE5" i="27"/>
  <c r="BI27" i="27"/>
  <c r="BN28" i="27"/>
  <c r="BK35" i="27"/>
  <c r="BH28" i="27"/>
  <c r="BM24" i="27"/>
  <c r="BK6" i="27"/>
  <c r="BH22" i="27"/>
  <c r="BQ22" i="27"/>
  <c r="BE31" i="27"/>
  <c r="BN38" i="27"/>
  <c r="BQ8" i="27"/>
  <c r="BQ24" i="27"/>
  <c r="BP22" i="27"/>
  <c r="BK31" i="27"/>
  <c r="BM48" i="27"/>
  <c r="BK28" i="27"/>
  <c r="BO28" i="27"/>
  <c r="BK27" i="27"/>
  <c r="BE43" i="27"/>
  <c r="BM22" i="27"/>
  <c r="BP29" i="27"/>
  <c r="BP27" i="27"/>
  <c r="BP35" i="27"/>
  <c r="BP31" i="27"/>
  <c r="BL29" i="27"/>
  <c r="BQ29" i="27"/>
  <c r="BO31" i="27"/>
  <c r="BP28" i="27"/>
  <c r="BQ27" i="27"/>
  <c r="BK48" i="27"/>
  <c r="BI30" i="27"/>
  <c r="BK49" i="27"/>
  <c r="BO7" i="27"/>
  <c r="BL9" i="27"/>
  <c r="BG44" i="27"/>
  <c r="BN22" i="27"/>
  <c r="BF45" i="27"/>
  <c r="BI45" i="27"/>
  <c r="BF40" i="27"/>
  <c r="BO3" i="27"/>
  <c r="BL3" i="27"/>
  <c r="BQ35" i="27"/>
  <c r="BI22" i="27"/>
  <c r="BK30" i="27"/>
  <c r="BI28" i="27"/>
  <c r="BL8" i="27"/>
  <c r="BK50" i="27"/>
  <c r="BF31" i="27"/>
  <c r="BM19" i="27"/>
  <c r="BP12" i="27"/>
  <c r="BF30" i="27"/>
  <c r="BK40" i="27"/>
  <c r="BL38" i="27"/>
  <c r="BK45" i="27"/>
  <c r="BO36" i="27"/>
  <c r="BF18" i="27"/>
  <c r="BL31" i="27"/>
  <c r="BN7" i="27"/>
  <c r="BG21" i="27"/>
  <c r="BQ41" i="27"/>
  <c r="BJ18" i="27"/>
  <c r="BP21" i="27"/>
  <c r="BJ22" i="27"/>
  <c r="BN31" i="27"/>
  <c r="BK43" i="27"/>
  <c r="BH29" i="27"/>
  <c r="BF46" i="27"/>
  <c r="BE36" i="27"/>
  <c r="BF2" i="27"/>
  <c r="BO30" i="27"/>
  <c r="BH38" i="27"/>
  <c r="BH45" i="27"/>
  <c r="BL5" i="27"/>
  <c r="BG5" i="27"/>
  <c r="BJ5" i="27"/>
  <c r="BL26" i="27"/>
  <c r="BQ46" i="27"/>
  <c r="BE44" i="27"/>
  <c r="BM45" i="27"/>
  <c r="BP23" i="27"/>
  <c r="BP47" i="27"/>
  <c r="BG23" i="27"/>
  <c r="BN48" i="27"/>
  <c r="BJ28" i="27"/>
  <c r="BP46" i="27"/>
  <c r="BG3" i="27"/>
  <c r="BG18" i="27"/>
  <c r="BH21" i="27"/>
  <c r="BO40" i="27"/>
  <c r="BE2" i="27"/>
  <c r="BN40" i="27"/>
  <c r="BQ5" i="27"/>
  <c r="BK38" i="27"/>
  <c r="BG45" i="27"/>
  <c r="BM5" i="27"/>
  <c r="BI12" i="27"/>
  <c r="BP5" i="27"/>
  <c r="BJ30" i="27"/>
  <c r="BK2" i="27"/>
  <c r="BP14" i="27"/>
  <c r="BP2" i="27"/>
  <c r="BH2" i="27"/>
  <c r="BE40" i="27"/>
  <c r="BL28" i="27"/>
  <c r="BG42" i="27"/>
  <c r="BO35" i="27"/>
  <c r="BG49" i="27"/>
  <c r="BG30" i="27"/>
  <c r="BO42" i="27"/>
  <c r="BF42" i="27"/>
  <c r="BG2" i="27"/>
  <c r="BH42" i="27"/>
  <c r="BQ19" i="27"/>
  <c r="BH50" i="27"/>
  <c r="BM36" i="27"/>
  <c r="BM42" i="27"/>
  <c r="BM31" i="27"/>
  <c r="BI36" i="27"/>
  <c r="BN46" i="27"/>
  <c r="BJ43" i="27"/>
  <c r="BI43" i="27"/>
  <c r="BN5" i="27"/>
  <c r="BO5" i="27"/>
  <c r="BQ45" i="27"/>
  <c r="BF48" i="27"/>
  <c r="BI8" i="27"/>
  <c r="BI5" i="27"/>
  <c r="BQ36" i="27"/>
  <c r="BJ45" i="27"/>
  <c r="BM6" i="27"/>
  <c r="BF26" i="27"/>
  <c r="BN29" i="27"/>
  <c r="BM23" i="27"/>
  <c r="BF5" i="27"/>
  <c r="BE28" i="27"/>
  <c r="BE50" i="27"/>
  <c r="BQ6" i="27"/>
  <c r="BO47" i="27"/>
  <c r="BE30" i="27"/>
  <c r="BG8" i="27"/>
  <c r="BO26" i="27"/>
  <c r="BH44" i="27"/>
  <c r="BJ26" i="27"/>
  <c r="BE8" i="27"/>
  <c r="BF22" i="27"/>
  <c r="BE35" i="27"/>
  <c r="BE19" i="27"/>
  <c r="BG11" i="27"/>
  <c r="BO39" i="27"/>
  <c r="BE6" i="27"/>
  <c r="BP6" i="27"/>
  <c r="BN36" i="27"/>
  <c r="BH47" i="27"/>
  <c r="BM44" i="27"/>
  <c r="BN35" i="27"/>
  <c r="BK41" i="27"/>
  <c r="BE18" i="27"/>
  <c r="BE39" i="27"/>
  <c r="BP36" i="27"/>
  <c r="BL19" i="27"/>
  <c r="BK19" i="27"/>
  <c r="BK5" i="27"/>
  <c r="BK25" i="27"/>
  <c r="BH3" i="27"/>
  <c r="BL36" i="27"/>
  <c r="BJ40" i="27"/>
  <c r="BM30" i="27"/>
  <c r="BK44" i="27"/>
  <c r="BM41" i="27"/>
  <c r="BL45" i="27"/>
  <c r="BH5" i="27"/>
  <c r="BL48" i="27"/>
  <c r="BJ36" i="27"/>
  <c r="BI48" i="27"/>
  <c r="BG26" i="27"/>
  <c r="BJ31" i="27"/>
  <c r="BG35" i="27"/>
  <c r="BH36" i="27"/>
  <c r="BE45" i="27"/>
  <c r="BG50" i="27"/>
  <c r="BI21" i="27"/>
  <c r="BN45" i="27"/>
  <c r="BQ31" i="27"/>
  <c r="BN21" i="27"/>
  <c r="BJ41" i="27"/>
  <c r="BQ23" i="27"/>
  <c r="BO17" i="27"/>
  <c r="BG47" i="27"/>
  <c r="BM17" i="27"/>
  <c r="BG36" i="27"/>
  <c r="BK21" i="27"/>
  <c r="BH49" i="27"/>
  <c r="BN39" i="27"/>
  <c r="BE22" i="27"/>
  <c r="BE26" i="27"/>
  <c r="BL41" i="27"/>
  <c r="BI39" i="27"/>
  <c r="BI29" i="27"/>
  <c r="BJ50" i="27"/>
  <c r="BH30" i="27"/>
  <c r="BF21" i="27"/>
  <c r="BM7" i="27"/>
  <c r="BM40" i="27"/>
  <c r="BG17" i="27"/>
  <c r="BQ43" i="27"/>
  <c r="BF43" i="27"/>
  <c r="BM50" i="27"/>
  <c r="BK7" i="27"/>
  <c r="BQ7" i="27"/>
  <c r="BI38" i="27"/>
  <c r="BO46" i="27"/>
  <c r="BE17" i="27"/>
  <c r="BG48" i="27"/>
  <c r="BK8" i="27"/>
  <c r="BK12" i="27"/>
  <c r="BO8" i="27"/>
  <c r="BE34" i="27"/>
  <c r="BF50" i="27"/>
  <c r="BK39" i="27"/>
  <c r="BN43" i="27"/>
  <c r="BE4" i="27"/>
  <c r="BJ17" i="27"/>
  <c r="BN34" i="27"/>
  <c r="BO29" i="27"/>
  <c r="BO14" i="27"/>
  <c r="BH7" i="27"/>
  <c r="BH11" i="27"/>
  <c r="BH39" i="27"/>
  <c r="BN3" i="27"/>
  <c r="BM26" i="27"/>
  <c r="BM3" i="27"/>
  <c r="BL40" i="27"/>
  <c r="BN44" i="27"/>
  <c r="BK3" i="27"/>
  <c r="BE29" i="27"/>
  <c r="BK42" i="27"/>
  <c r="BQ44" i="27"/>
  <c r="BE49" i="27"/>
  <c r="BF29" i="27"/>
  <c r="BM28" i="27"/>
  <c r="BL21" i="27"/>
  <c r="BM8" i="27"/>
  <c r="BN41" i="27"/>
  <c r="BJ3" i="27"/>
  <c r="BQ18" i="27"/>
  <c r="BH46" i="27"/>
  <c r="BE21" i="27"/>
  <c r="BE41" i="27"/>
  <c r="BF35" i="27"/>
  <c r="BP39" i="27"/>
  <c r="BQ47" i="27"/>
  <c r="BN18" i="27"/>
  <c r="BP11" i="27"/>
  <c r="BL30" i="27"/>
  <c r="BJ47" i="27"/>
  <c r="BE46" i="27"/>
  <c r="BI41" i="27"/>
  <c r="BN2" i="27"/>
  <c r="BL42" i="27"/>
  <c r="BQ30" i="27"/>
  <c r="BF44" i="27"/>
  <c r="BL49" i="27"/>
  <c r="BQ17" i="27"/>
  <c r="BQ26" i="27"/>
  <c r="BO43" i="27"/>
  <c r="BI42" i="27"/>
  <c r="BE42" i="27"/>
  <c r="BH48" i="27"/>
  <c r="BM21" i="27"/>
  <c r="BP49" i="27"/>
  <c r="BI11" i="27"/>
  <c r="BF11" i="27"/>
  <c r="BJ46" i="27"/>
  <c r="BI47" i="27"/>
  <c r="BE3" i="27"/>
  <c r="BQ42" i="27"/>
  <c r="BI46" i="27"/>
  <c r="BK17" i="27"/>
  <c r="BH26" i="27"/>
  <c r="BH8" i="27"/>
  <c r="BG41" i="27"/>
  <c r="BJ35" i="27"/>
  <c r="BQ14" i="27"/>
  <c r="BO6" i="27"/>
  <c r="BP30" i="27"/>
  <c r="BG39" i="27"/>
  <c r="BO2" i="27"/>
  <c r="BF17" i="27"/>
  <c r="BJ7" i="27"/>
  <c r="BG7" i="27"/>
  <c r="BL7" i="27"/>
  <c r="BF36" i="27"/>
  <c r="BJ21" i="27"/>
  <c r="BK47" i="27"/>
  <c r="BQ39" i="27"/>
  <c r="BJ42" i="27"/>
  <c r="BK26" i="27"/>
  <c r="BN24" i="27"/>
  <c r="BH18" i="27"/>
  <c r="BP7" i="27"/>
  <c r="BN11" i="27"/>
  <c r="BN8" i="27"/>
  <c r="BG40" i="27"/>
  <c r="BI18" i="27"/>
  <c r="BF28" i="27"/>
  <c r="BK36" i="27"/>
  <c r="BG43" i="27"/>
  <c r="BN30" i="27"/>
  <c r="BO21" i="27"/>
  <c r="BL17" i="27"/>
  <c r="BP38" i="27"/>
  <c r="BP41" i="27"/>
  <c r="BH41" i="27"/>
  <c r="BH43" i="27"/>
  <c r="BO49" i="27"/>
  <c r="BM35" i="27"/>
  <c r="BF41" i="27"/>
  <c r="BI26" i="27"/>
  <c r="BL43" i="27"/>
  <c r="BF47" i="27"/>
  <c r="BN49" i="27"/>
  <c r="BJ44" i="27"/>
  <c r="BM46" i="27"/>
  <c r="BO11" i="27"/>
  <c r="BE47" i="27"/>
  <c r="BP17" i="27"/>
  <c r="BL11" i="27"/>
  <c r="BL6" i="27"/>
  <c r="BQ4" i="27"/>
  <c r="BF12" i="27"/>
  <c r="BL47" i="27"/>
  <c r="BG6" i="27"/>
  <c r="BP8" i="27"/>
  <c r="BM43" i="27"/>
  <c r="BL46" i="27"/>
  <c r="BK18" i="27"/>
  <c r="BH40" i="27"/>
  <c r="BI6" i="27"/>
  <c r="BI49" i="27"/>
  <c r="BL39" i="27"/>
  <c r="BI3" i="27"/>
  <c r="BK11" i="27"/>
  <c r="BQ50" i="27"/>
  <c r="BG12" i="27"/>
  <c r="BM12" i="27"/>
  <c r="BQ11" i="27"/>
  <c r="BF49" i="27"/>
  <c r="BL4" i="27"/>
  <c r="BO18" i="27"/>
  <c r="BL12" i="27"/>
  <c r="BP40" i="27"/>
  <c r="BN47" i="27"/>
  <c r="BQ40" i="27"/>
  <c r="BN26" i="27"/>
  <c r="BP43" i="27"/>
  <c r="BN50" i="27"/>
  <c r="BH35" i="27"/>
  <c r="BI17" i="27"/>
  <c r="BM18" i="27"/>
  <c r="BK14" i="27"/>
  <c r="BO41" i="27"/>
  <c r="BF3" i="27"/>
  <c r="BN12" i="27"/>
  <c r="BQ2" i="27"/>
  <c r="BJ6" i="27"/>
  <c r="BL18" i="27"/>
  <c r="BM39" i="27"/>
  <c r="BI35" i="27"/>
  <c r="BJ39" i="27"/>
  <c r="BP42" i="27"/>
  <c r="BJ11" i="27"/>
  <c r="BL2" i="27"/>
  <c r="BN14" i="27"/>
  <c r="BJ12" i="27"/>
  <c r="BL34" i="27"/>
  <c r="BH14" i="27"/>
  <c r="BI2" i="27"/>
  <c r="F343" i="30"/>
  <c r="F348" i="30" s="1"/>
  <c r="BJ14" i="27"/>
  <c r="BH4" i="27"/>
  <c r="BO34" i="27"/>
  <c r="BP18" i="27"/>
  <c r="BL50" i="27"/>
  <c r="BM11" i="27"/>
  <c r="BE12" i="27"/>
  <c r="BG14" i="27"/>
  <c r="BM34" i="27"/>
  <c r="BP50" i="27"/>
  <c r="BF6" i="27"/>
  <c r="BQ3" i="27"/>
  <c r="O22" i="38"/>
  <c r="M22" i="38" s="1"/>
  <c r="BH12" i="27"/>
  <c r="BK34" i="27"/>
  <c r="BP34" i="27"/>
  <c r="BI4" i="27"/>
  <c r="BI14" i="27"/>
  <c r="BO4" i="27"/>
  <c r="BK4" i="27"/>
  <c r="BQ12" i="27"/>
  <c r="BF14" i="27"/>
  <c r="BG34" i="27"/>
  <c r="BF4" i="27"/>
  <c r="BF34" i="27"/>
  <c r="BO50" i="27"/>
  <c r="BL14" i="27"/>
  <c r="BO12" i="27"/>
  <c r="BP4" i="27"/>
  <c r="BM14" i="27"/>
  <c r="BJ34" i="27"/>
  <c r="BE14" i="27"/>
  <c r="BG4" i="27"/>
  <c r="BI50" i="27"/>
  <c r="BJ4" i="27"/>
  <c r="BN4" i="27"/>
  <c r="BH34" i="27"/>
  <c r="BM4" i="27"/>
  <c r="O22" i="39"/>
  <c r="M22" i="39" s="1"/>
  <c r="BQ34" i="27"/>
  <c r="G177" i="39"/>
  <c r="K177" i="39"/>
  <c r="B177" i="39"/>
  <c r="C23" i="38"/>
  <c r="E23" i="38"/>
  <c r="L23" i="38" s="1"/>
  <c r="D23" i="38"/>
  <c r="H23" i="38" s="1"/>
  <c r="A24" i="38"/>
  <c r="A178" i="38"/>
  <c r="F178" i="38" s="1"/>
  <c r="F23" i="38"/>
  <c r="B23" i="38"/>
  <c r="G23" i="38"/>
  <c r="L176" i="39"/>
  <c r="B177" i="38"/>
  <c r="K177" i="38"/>
  <c r="G177" i="38"/>
  <c r="A24" i="39"/>
  <c r="F23" i="39"/>
  <c r="G23" i="39"/>
  <c r="D23" i="39"/>
  <c r="H23" i="39" s="1"/>
  <c r="C23" i="39"/>
  <c r="A178" i="39"/>
  <c r="F178" i="39" s="1"/>
  <c r="B23" i="39"/>
  <c r="E23" i="39"/>
  <c r="L176" i="6"/>
  <c r="M20" i="6"/>
  <c r="L20" i="6"/>
  <c r="O21" i="6" s="1"/>
  <c r="L176" i="38"/>
  <c r="K177" i="6"/>
  <c r="B177" i="6"/>
  <c r="G177" i="6"/>
  <c r="I22" i="37"/>
  <c r="K22" i="37" s="1"/>
  <c r="I22" i="39"/>
  <c r="K22" i="39" s="1"/>
  <c r="L22" i="39"/>
  <c r="A178" i="6"/>
  <c r="F178" i="6" s="1"/>
  <c r="E23" i="6"/>
  <c r="D23" i="6"/>
  <c r="H23" i="6" s="1"/>
  <c r="G23" i="6"/>
  <c r="A24" i="6"/>
  <c r="F23" i="6"/>
  <c r="C23" i="6"/>
  <c r="B23" i="6"/>
  <c r="B177" i="37"/>
  <c r="K177" i="37"/>
  <c r="G177" i="37"/>
  <c r="E23" i="37"/>
  <c r="A24" i="37"/>
  <c r="F23" i="37"/>
  <c r="G23" i="37"/>
  <c r="D23" i="37"/>
  <c r="H23" i="37" s="1"/>
  <c r="A178" i="37"/>
  <c r="F178" i="37" s="1"/>
  <c r="C23" i="37"/>
  <c r="B23" i="37"/>
  <c r="I22" i="6"/>
  <c r="K22" i="6" s="1"/>
  <c r="I22" i="38"/>
  <c r="K22" i="38" s="1"/>
  <c r="L22" i="38"/>
  <c r="F349" i="30" l="1"/>
  <c r="F31" i="31"/>
  <c r="I23" i="38"/>
  <c r="K23" i="38" s="1"/>
  <c r="O23" i="39"/>
  <c r="M23" i="39" s="1"/>
  <c r="O23" i="38"/>
  <c r="M23" i="38" s="1"/>
  <c r="B178" i="37"/>
  <c r="K178" i="37"/>
  <c r="G178" i="37"/>
  <c r="A25" i="39"/>
  <c r="C24" i="39"/>
  <c r="G24" i="39"/>
  <c r="E24" i="39"/>
  <c r="B24" i="39"/>
  <c r="F24" i="39"/>
  <c r="A179" i="39"/>
  <c r="F179" i="39" s="1"/>
  <c r="D24" i="39"/>
  <c r="H24" i="39" s="1"/>
  <c r="L177" i="38"/>
  <c r="L177" i="6"/>
  <c r="G24" i="37"/>
  <c r="C24" i="37"/>
  <c r="E24" i="37"/>
  <c r="F24" i="37"/>
  <c r="A179" i="37"/>
  <c r="F179" i="37" s="1"/>
  <c r="A25" i="37"/>
  <c r="B24" i="37"/>
  <c r="D24" i="37"/>
  <c r="H24" i="37" s="1"/>
  <c r="I23" i="37"/>
  <c r="K23" i="37" s="1"/>
  <c r="M21" i="6"/>
  <c r="L21" i="6"/>
  <c r="O22" i="6" s="1"/>
  <c r="B178" i="38"/>
  <c r="G178" i="38"/>
  <c r="K178" i="38"/>
  <c r="C24" i="38"/>
  <c r="E24" i="38"/>
  <c r="O24" i="38" s="1"/>
  <c r="M24" i="38" s="1"/>
  <c r="D24" i="38"/>
  <c r="H24" i="38" s="1"/>
  <c r="A179" i="38"/>
  <c r="F179" i="38" s="1"/>
  <c r="G24" i="38"/>
  <c r="F24" i="38"/>
  <c r="B24" i="38"/>
  <c r="A25" i="38"/>
  <c r="A179" i="6"/>
  <c r="F179" i="6" s="1"/>
  <c r="F24" i="6"/>
  <c r="G24" i="6"/>
  <c r="E24" i="6"/>
  <c r="C24" i="6"/>
  <c r="A25" i="6"/>
  <c r="B24" i="6"/>
  <c r="D24" i="6"/>
  <c r="H24" i="6" s="1"/>
  <c r="I23" i="39"/>
  <c r="K23" i="39"/>
  <c r="L23" i="39"/>
  <c r="B178" i="39"/>
  <c r="G178" i="39"/>
  <c r="K178" i="39"/>
  <c r="I23" i="6"/>
  <c r="K23" i="6" s="1"/>
  <c r="L177" i="39"/>
  <c r="K178" i="6"/>
  <c r="L178" i="6" s="1"/>
  <c r="G178" i="6"/>
  <c r="B178" i="6"/>
  <c r="F343" i="31" l="1"/>
  <c r="F348" i="31" s="1"/>
  <c r="F349" i="31" s="1"/>
  <c r="O24" i="39"/>
  <c r="M24" i="39" s="1"/>
  <c r="G25" i="38"/>
  <c r="A26" i="38"/>
  <c r="A180" i="38"/>
  <c r="F180" i="38" s="1"/>
  <c r="E25" i="38"/>
  <c r="C25" i="38"/>
  <c r="D25" i="38"/>
  <c r="H25" i="38" s="1"/>
  <c r="F25" i="38"/>
  <c r="B25" i="38"/>
  <c r="K179" i="37"/>
  <c r="B179" i="37"/>
  <c r="G179" i="37"/>
  <c r="I24" i="37"/>
  <c r="K24" i="37" s="1"/>
  <c r="G179" i="38"/>
  <c r="B179" i="38"/>
  <c r="K179" i="38"/>
  <c r="L178" i="39"/>
  <c r="I24" i="38"/>
  <c r="K24" i="38" s="1"/>
  <c r="L24" i="38"/>
  <c r="O25" i="38" s="1"/>
  <c r="M25" i="38" s="1"/>
  <c r="L178" i="38"/>
  <c r="K179" i="39"/>
  <c r="B179" i="39"/>
  <c r="G179" i="39"/>
  <c r="M22" i="6"/>
  <c r="L22" i="6"/>
  <c r="O23" i="6" s="1"/>
  <c r="I24" i="39"/>
  <c r="K24" i="39" s="1"/>
  <c r="L24" i="39"/>
  <c r="A180" i="6"/>
  <c r="F180" i="6" s="1"/>
  <c r="B25" i="6"/>
  <c r="C25" i="6"/>
  <c r="D25" i="6"/>
  <c r="H25" i="6" s="1"/>
  <c r="G25" i="6"/>
  <c r="E25" i="6"/>
  <c r="A26" i="6"/>
  <c r="F25" i="6"/>
  <c r="I24" i="6"/>
  <c r="K24" i="6" s="1"/>
  <c r="C25" i="39"/>
  <c r="E25" i="39"/>
  <c r="B25" i="39"/>
  <c r="A180" i="39"/>
  <c r="F180" i="39" s="1"/>
  <c r="D25" i="39"/>
  <c r="H25" i="39" s="1"/>
  <c r="F25" i="39"/>
  <c r="A26" i="39"/>
  <c r="G25" i="39"/>
  <c r="L178" i="37"/>
  <c r="K179" i="6"/>
  <c r="L179" i="6" s="1"/>
  <c r="B179" i="6"/>
  <c r="G179" i="6"/>
  <c r="E25" i="37"/>
  <c r="C25" i="37"/>
  <c r="A180" i="37"/>
  <c r="F180" i="37" s="1"/>
  <c r="D25" i="37"/>
  <c r="H25" i="37" s="1"/>
  <c r="B25" i="37"/>
  <c r="A26" i="37"/>
  <c r="F25" i="37"/>
  <c r="G25" i="37"/>
  <c r="O25" i="39" l="1"/>
  <c r="M25" i="39" s="1"/>
  <c r="D26" i="37"/>
  <c r="H26" i="37" s="1"/>
  <c r="C26" i="37"/>
  <c r="A181" i="37"/>
  <c r="F181" i="37" s="1"/>
  <c r="F26" i="37"/>
  <c r="E26" i="37"/>
  <c r="G26" i="37"/>
  <c r="A27" i="37"/>
  <c r="B26" i="37"/>
  <c r="A181" i="6"/>
  <c r="F181" i="6" s="1"/>
  <c r="A27" i="6"/>
  <c r="B26" i="6"/>
  <c r="C26" i="6"/>
  <c r="D26" i="6"/>
  <c r="H26" i="6" s="1"/>
  <c r="E26" i="6"/>
  <c r="F26" i="6"/>
  <c r="G26" i="6"/>
  <c r="L179" i="38"/>
  <c r="G180" i="37"/>
  <c r="K180" i="37"/>
  <c r="B180" i="37"/>
  <c r="I25" i="6"/>
  <c r="K25" i="6" s="1"/>
  <c r="I25" i="37"/>
  <c r="K25" i="37" s="1"/>
  <c r="K180" i="6"/>
  <c r="G180" i="6"/>
  <c r="B180" i="6"/>
  <c r="L179" i="37"/>
  <c r="L23" i="6"/>
  <c r="O24" i="6" s="1"/>
  <c r="M23" i="6"/>
  <c r="I25" i="38"/>
  <c r="K25" i="38" s="1"/>
  <c r="L25" i="38"/>
  <c r="G26" i="39"/>
  <c r="E26" i="39"/>
  <c r="L26" i="39" s="1"/>
  <c r="A181" i="39"/>
  <c r="F181" i="39" s="1"/>
  <c r="A27" i="39"/>
  <c r="D26" i="39"/>
  <c r="H26" i="39" s="1"/>
  <c r="C26" i="39"/>
  <c r="B26" i="39"/>
  <c r="F26" i="39"/>
  <c r="G180" i="39"/>
  <c r="K180" i="39"/>
  <c r="B180" i="39"/>
  <c r="L179" i="39"/>
  <c r="K180" i="38"/>
  <c r="G180" i="38"/>
  <c r="B180" i="38"/>
  <c r="G26" i="38"/>
  <c r="C26" i="38"/>
  <c r="D26" i="38"/>
  <c r="H26" i="38" s="1"/>
  <c r="A27" i="38"/>
  <c r="A181" i="38"/>
  <c r="F181" i="38" s="1"/>
  <c r="F26" i="38"/>
  <c r="E26" i="38"/>
  <c r="B26" i="38"/>
  <c r="I25" i="39"/>
  <c r="K25" i="39" s="1"/>
  <c r="L25" i="39"/>
  <c r="I26" i="39" l="1"/>
  <c r="K26" i="39" s="1"/>
  <c r="O26" i="38"/>
  <c r="M26" i="38" s="1"/>
  <c r="L180" i="37"/>
  <c r="I26" i="38"/>
  <c r="K26" i="38"/>
  <c r="L26" i="38"/>
  <c r="A28" i="39"/>
  <c r="A182" i="39"/>
  <c r="F182" i="39" s="1"/>
  <c r="E27" i="39"/>
  <c r="C27" i="39"/>
  <c r="B27" i="39"/>
  <c r="F27" i="39"/>
  <c r="G27" i="39"/>
  <c r="D27" i="39"/>
  <c r="H27" i="39" s="1"/>
  <c r="K181" i="39"/>
  <c r="G181" i="39"/>
  <c r="B181" i="39"/>
  <c r="B181" i="38"/>
  <c r="G181" i="38"/>
  <c r="K181" i="38"/>
  <c r="G27" i="38"/>
  <c r="A28" i="38"/>
  <c r="E27" i="38"/>
  <c r="L27" i="38" s="1"/>
  <c r="F27" i="38"/>
  <c r="D27" i="38"/>
  <c r="H27" i="38" s="1"/>
  <c r="A182" i="38"/>
  <c r="F182" i="38" s="1"/>
  <c r="B27" i="38"/>
  <c r="C27" i="38"/>
  <c r="I26" i="6"/>
  <c r="K26" i="6" s="1"/>
  <c r="M24" i="6"/>
  <c r="L24" i="6"/>
  <c r="O25" i="6" s="1"/>
  <c r="A182" i="6"/>
  <c r="F182" i="6" s="1"/>
  <c r="G27" i="6"/>
  <c r="B27" i="6"/>
  <c r="D27" i="6"/>
  <c r="H27" i="6" s="1"/>
  <c r="C27" i="6"/>
  <c r="F27" i="6"/>
  <c r="E27" i="6"/>
  <c r="A28" i="6"/>
  <c r="L180" i="38"/>
  <c r="K181" i="6"/>
  <c r="B181" i="6"/>
  <c r="G181" i="6"/>
  <c r="A182" i="37"/>
  <c r="F182" i="37" s="1"/>
  <c r="E27" i="37"/>
  <c r="I27" i="37" s="1"/>
  <c r="K27" i="37" s="1"/>
  <c r="D27" i="37"/>
  <c r="H27" i="37" s="1"/>
  <c r="A28" i="37"/>
  <c r="F27" i="37"/>
  <c r="C27" i="37"/>
  <c r="B27" i="37"/>
  <c r="G27" i="37"/>
  <c r="L180" i="6"/>
  <c r="L180" i="39"/>
  <c r="I26" i="37"/>
  <c r="K26" i="37" s="1"/>
  <c r="B181" i="37"/>
  <c r="G181" i="37"/>
  <c r="K181" i="37"/>
  <c r="O26" i="39"/>
  <c r="M26" i="39" s="1"/>
  <c r="O27" i="38" l="1"/>
  <c r="M27" i="38" s="1"/>
  <c r="I27" i="38"/>
  <c r="K27" i="38" s="1"/>
  <c r="O27" i="39"/>
  <c r="M27" i="39" s="1"/>
  <c r="L181" i="38"/>
  <c r="K182" i="6"/>
  <c r="G182" i="6"/>
  <c r="B182" i="6"/>
  <c r="L181" i="39"/>
  <c r="M25" i="6"/>
  <c r="L25" i="6"/>
  <c r="O26" i="6" s="1"/>
  <c r="D28" i="37"/>
  <c r="H28" i="37" s="1"/>
  <c r="C28" i="37"/>
  <c r="E28" i="37"/>
  <c r="A183" i="37"/>
  <c r="F183" i="37" s="1"/>
  <c r="A29" i="37"/>
  <c r="G28" i="37"/>
  <c r="B28" i="37"/>
  <c r="F28" i="37"/>
  <c r="G182" i="37"/>
  <c r="B182" i="37"/>
  <c r="K182" i="37"/>
  <c r="I27" i="39"/>
  <c r="K27" i="39" s="1"/>
  <c r="L27" i="39"/>
  <c r="B182" i="39"/>
  <c r="G182" i="39"/>
  <c r="K182" i="39"/>
  <c r="B182" i="38"/>
  <c r="K182" i="38"/>
  <c r="G182" i="38"/>
  <c r="E28" i="39"/>
  <c r="B28" i="39"/>
  <c r="D28" i="39"/>
  <c r="H28" i="39" s="1"/>
  <c r="A29" i="39"/>
  <c r="C28" i="39"/>
  <c r="G28" i="39"/>
  <c r="F28" i="39"/>
  <c r="A183" i="39"/>
  <c r="F183" i="39" s="1"/>
  <c r="L181" i="6"/>
  <c r="L181" i="37"/>
  <c r="I27" i="6"/>
  <c r="K27" i="6" s="1"/>
  <c r="G28" i="38"/>
  <c r="D28" i="38"/>
  <c r="H28" i="38" s="1"/>
  <c r="E28" i="38"/>
  <c r="A29" i="38"/>
  <c r="F28" i="38"/>
  <c r="C28" i="38"/>
  <c r="B28" i="38"/>
  <c r="A183" i="38"/>
  <c r="F183" i="38" s="1"/>
  <c r="A183" i="6"/>
  <c r="F183" i="6" s="1"/>
  <c r="F28" i="6"/>
  <c r="G28" i="6"/>
  <c r="B28" i="6"/>
  <c r="E28" i="6"/>
  <c r="D28" i="6"/>
  <c r="H28" i="6" s="1"/>
  <c r="C28" i="6"/>
  <c r="A29" i="6"/>
  <c r="A184" i="6" l="1"/>
  <c r="F184" i="6" s="1"/>
  <c r="F29" i="6"/>
  <c r="C29" i="6"/>
  <c r="D29" i="6"/>
  <c r="H29" i="6" s="1"/>
  <c r="A30" i="6"/>
  <c r="G29" i="6"/>
  <c r="E29" i="6"/>
  <c r="I29" i="6" s="1"/>
  <c r="K29" i="6" s="1"/>
  <c r="B29" i="6"/>
  <c r="B183" i="39"/>
  <c r="G183" i="39"/>
  <c r="K183" i="39"/>
  <c r="A30" i="39"/>
  <c r="B29" i="39"/>
  <c r="A184" i="39"/>
  <c r="F184" i="39" s="1"/>
  <c r="G29" i="39"/>
  <c r="C29" i="39"/>
  <c r="D29" i="39"/>
  <c r="H29" i="39" s="1"/>
  <c r="F29" i="39"/>
  <c r="E29" i="39"/>
  <c r="I29" i="39" s="1"/>
  <c r="F29" i="37"/>
  <c r="B29" i="37"/>
  <c r="A184" i="37"/>
  <c r="F184" i="37" s="1"/>
  <c r="D29" i="37"/>
  <c r="H29" i="37" s="1"/>
  <c r="C29" i="37"/>
  <c r="E29" i="37"/>
  <c r="A30" i="37"/>
  <c r="G29" i="37"/>
  <c r="B183" i="6"/>
  <c r="G183" i="6"/>
  <c r="K183" i="6"/>
  <c r="K183" i="37"/>
  <c r="B183" i="37"/>
  <c r="G183" i="37"/>
  <c r="K183" i="38"/>
  <c r="G183" i="38"/>
  <c r="B183" i="38"/>
  <c r="I28" i="37"/>
  <c r="K28" i="37" s="1"/>
  <c r="I28" i="39"/>
  <c r="K28" i="39" s="1"/>
  <c r="L28" i="39"/>
  <c r="L182" i="38"/>
  <c r="M26" i="6"/>
  <c r="L26" i="6"/>
  <c r="O27" i="6" s="1"/>
  <c r="A184" i="38"/>
  <c r="F184" i="38" s="1"/>
  <c r="F29" i="38"/>
  <c r="D29" i="38"/>
  <c r="H29" i="38" s="1"/>
  <c r="A30" i="38"/>
  <c r="B29" i="38"/>
  <c r="E29" i="38"/>
  <c r="L29" i="38" s="1"/>
  <c r="C29" i="38"/>
  <c r="G29" i="38"/>
  <c r="L182" i="39"/>
  <c r="I28" i="38"/>
  <c r="K28" i="38" s="1"/>
  <c r="L28" i="38"/>
  <c r="O28" i="38"/>
  <c r="M28" i="38" s="1"/>
  <c r="O28" i="39"/>
  <c r="M28" i="39" s="1"/>
  <c r="L182" i="6"/>
  <c r="I28" i="6"/>
  <c r="K28" i="6" s="1"/>
  <c r="L182" i="37"/>
  <c r="O29" i="38" l="1"/>
  <c r="M29" i="38" s="1"/>
  <c r="L183" i="38"/>
  <c r="I29" i="38"/>
  <c r="K29" i="38" s="1"/>
  <c r="B184" i="39"/>
  <c r="K184" i="39"/>
  <c r="G184" i="39"/>
  <c r="L183" i="37"/>
  <c r="D30" i="39"/>
  <c r="H30" i="39" s="1"/>
  <c r="F30" i="39"/>
  <c r="G30" i="39"/>
  <c r="B30" i="39"/>
  <c r="C30" i="39"/>
  <c r="A185" i="39"/>
  <c r="F185" i="39" s="1"/>
  <c r="E30" i="39"/>
  <c r="A31" i="39"/>
  <c r="L183" i="6"/>
  <c r="L183" i="39"/>
  <c r="C30" i="38"/>
  <c r="F30" i="38"/>
  <c r="B30" i="38"/>
  <c r="D30" i="38"/>
  <c r="H30" i="38" s="1"/>
  <c r="G30" i="38"/>
  <c r="E30" i="38"/>
  <c r="A185" i="38"/>
  <c r="F185" i="38" s="1"/>
  <c r="A31" i="38"/>
  <c r="B30" i="37"/>
  <c r="F30" i="37"/>
  <c r="D30" i="37"/>
  <c r="H30" i="37" s="1"/>
  <c r="E30" i="37"/>
  <c r="A31" i="37"/>
  <c r="C30" i="37"/>
  <c r="A185" i="37"/>
  <c r="F185" i="37" s="1"/>
  <c r="G30" i="37"/>
  <c r="G184" i="38"/>
  <c r="K184" i="38"/>
  <c r="B184" i="38"/>
  <c r="I29" i="37"/>
  <c r="K29" i="37" s="1"/>
  <c r="M27" i="6"/>
  <c r="L27" i="6"/>
  <c r="O28" i="6" s="1"/>
  <c r="K184" i="37"/>
  <c r="G184" i="37"/>
  <c r="B184" i="37"/>
  <c r="A185" i="6"/>
  <c r="F185" i="6" s="1"/>
  <c r="F30" i="6"/>
  <c r="D30" i="6"/>
  <c r="H30" i="6" s="1"/>
  <c r="C30" i="6"/>
  <c r="E30" i="6"/>
  <c r="I30" i="6" s="1"/>
  <c r="K30" i="6" s="1"/>
  <c r="G30" i="6"/>
  <c r="A31" i="6"/>
  <c r="B30" i="6"/>
  <c r="O29" i="39"/>
  <c r="M29" i="39" s="1"/>
  <c r="K29" i="39"/>
  <c r="L29" i="39"/>
  <c r="K184" i="6"/>
  <c r="B184" i="6"/>
  <c r="G184" i="6"/>
  <c r="O30" i="38" l="1"/>
  <c r="M30" i="38" s="1"/>
  <c r="O30" i="39"/>
  <c r="M30" i="39" s="1"/>
  <c r="L184" i="38"/>
  <c r="B185" i="37"/>
  <c r="K185" i="37"/>
  <c r="G185" i="37"/>
  <c r="E31" i="39"/>
  <c r="D31" i="39"/>
  <c r="H31" i="39" s="1"/>
  <c r="A32" i="39"/>
  <c r="G31" i="39"/>
  <c r="B31" i="39"/>
  <c r="A186" i="39"/>
  <c r="F186" i="39" s="1"/>
  <c r="F31" i="39"/>
  <c r="C31" i="39"/>
  <c r="A186" i="6"/>
  <c r="F186" i="6" s="1"/>
  <c r="G31" i="6"/>
  <c r="F31" i="6"/>
  <c r="D31" i="6"/>
  <c r="H31" i="6" s="1"/>
  <c r="B31" i="6"/>
  <c r="C31" i="6"/>
  <c r="A32" i="6"/>
  <c r="E31" i="6"/>
  <c r="I31" i="6" s="1"/>
  <c r="K31" i="6" s="1"/>
  <c r="I30" i="39"/>
  <c r="K30" i="39"/>
  <c r="L30" i="39"/>
  <c r="F31" i="37"/>
  <c r="C31" i="37"/>
  <c r="G31" i="37"/>
  <c r="D31" i="37"/>
  <c r="H31" i="37" s="1"/>
  <c r="E31" i="37"/>
  <c r="A186" i="37"/>
  <c r="F186" i="37" s="1"/>
  <c r="A32" i="37"/>
  <c r="B31" i="37"/>
  <c r="G185" i="39"/>
  <c r="B185" i="39"/>
  <c r="K185" i="39"/>
  <c r="I30" i="37"/>
  <c r="K30" i="37" s="1"/>
  <c r="K185" i="6"/>
  <c r="B185" i="6"/>
  <c r="G185" i="6"/>
  <c r="G31" i="38"/>
  <c r="A32" i="38"/>
  <c r="E31" i="38"/>
  <c r="L31" i="38" s="1"/>
  <c r="D31" i="38"/>
  <c r="H31" i="38" s="1"/>
  <c r="C31" i="38"/>
  <c r="A186" i="38"/>
  <c r="F186" i="38" s="1"/>
  <c r="B31" i="38"/>
  <c r="F31" i="38"/>
  <c r="B185" i="38"/>
  <c r="K185" i="38"/>
  <c r="G185" i="38"/>
  <c r="I30" i="38"/>
  <c r="K30" i="38" s="1"/>
  <c r="L30" i="38"/>
  <c r="L184" i="39"/>
  <c r="M28" i="6"/>
  <c r="L28" i="6"/>
  <c r="O29" i="6" s="1"/>
  <c r="L184" i="37"/>
  <c r="L184" i="6"/>
  <c r="O31" i="38" l="1"/>
  <c r="M31" i="38" s="1"/>
  <c r="O31" i="39"/>
  <c r="M31" i="39" s="1"/>
  <c r="L185" i="39"/>
  <c r="G186" i="6"/>
  <c r="K186" i="6"/>
  <c r="B186" i="6"/>
  <c r="L185" i="38"/>
  <c r="D32" i="37"/>
  <c r="H32" i="37" s="1"/>
  <c r="B32" i="37"/>
  <c r="A33" i="37"/>
  <c r="F32" i="37"/>
  <c r="C32" i="37"/>
  <c r="E32" i="37"/>
  <c r="A187" i="37"/>
  <c r="F187" i="37" s="1"/>
  <c r="G32" i="37"/>
  <c r="I31" i="38"/>
  <c r="K31" i="38" s="1"/>
  <c r="B186" i="37"/>
  <c r="G186" i="37"/>
  <c r="K186" i="37"/>
  <c r="K186" i="39"/>
  <c r="G186" i="39"/>
  <c r="B186" i="39"/>
  <c r="I31" i="37"/>
  <c r="K31" i="37" s="1"/>
  <c r="G186" i="38"/>
  <c r="B186" i="38"/>
  <c r="K186" i="38"/>
  <c r="C32" i="39"/>
  <c r="F32" i="39"/>
  <c r="E32" i="39"/>
  <c r="L32" i="39" s="1"/>
  <c r="A187" i="39"/>
  <c r="F187" i="39" s="1"/>
  <c r="A33" i="39"/>
  <c r="G32" i="39"/>
  <c r="D32" i="39"/>
  <c r="H32" i="39" s="1"/>
  <c r="B32" i="39"/>
  <c r="I31" i="39"/>
  <c r="K31" i="39" s="1"/>
  <c r="L31" i="39"/>
  <c r="C32" i="38"/>
  <c r="G32" i="38"/>
  <c r="E32" i="38"/>
  <c r="A187" i="38"/>
  <c r="F187" i="38" s="1"/>
  <c r="A33" i="38"/>
  <c r="F32" i="38"/>
  <c r="D32" i="38"/>
  <c r="H32" i="38" s="1"/>
  <c r="B32" i="38"/>
  <c r="L185" i="37"/>
  <c r="M29" i="6"/>
  <c r="L29" i="6"/>
  <c r="O30" i="6" s="1"/>
  <c r="L185" i="6"/>
  <c r="A187" i="6"/>
  <c r="F187" i="6" s="1"/>
  <c r="G32" i="6"/>
  <c r="D32" i="6"/>
  <c r="H32" i="6" s="1"/>
  <c r="F32" i="6"/>
  <c r="B32" i="6"/>
  <c r="C32" i="6"/>
  <c r="E32" i="6"/>
  <c r="I32" i="6" s="1"/>
  <c r="K32" i="6" s="1"/>
  <c r="A33" i="6"/>
  <c r="O32" i="38" l="1"/>
  <c r="M32" i="38" s="1"/>
  <c r="O32" i="39"/>
  <c r="M32" i="39" s="1"/>
  <c r="I32" i="39"/>
  <c r="K32" i="39" s="1"/>
  <c r="L186" i="39"/>
  <c r="L186" i="37"/>
  <c r="B187" i="6"/>
  <c r="K187" i="6"/>
  <c r="G187" i="6"/>
  <c r="M30" i="6"/>
  <c r="L30" i="6"/>
  <c r="O31" i="6" s="1"/>
  <c r="B187" i="37"/>
  <c r="K187" i="37"/>
  <c r="G187" i="37"/>
  <c r="I32" i="37"/>
  <c r="K32" i="37" s="1"/>
  <c r="C33" i="39"/>
  <c r="A188" i="39"/>
  <c r="F188" i="39" s="1"/>
  <c r="B33" i="39"/>
  <c r="D33" i="39"/>
  <c r="H33" i="39" s="1"/>
  <c r="A34" i="39"/>
  <c r="G33" i="39"/>
  <c r="E33" i="39"/>
  <c r="F33" i="39"/>
  <c r="K187" i="39"/>
  <c r="G187" i="39"/>
  <c r="B187" i="39"/>
  <c r="F33" i="37"/>
  <c r="B33" i="37"/>
  <c r="G33" i="37"/>
  <c r="D33" i="37"/>
  <c r="H33" i="37" s="1"/>
  <c r="A188" i="37"/>
  <c r="F188" i="37" s="1"/>
  <c r="A34" i="37"/>
  <c r="E33" i="37"/>
  <c r="C33" i="37"/>
  <c r="L186" i="38"/>
  <c r="A188" i="6"/>
  <c r="F188" i="6" s="1"/>
  <c r="E33" i="6"/>
  <c r="B33" i="6"/>
  <c r="F33" i="6"/>
  <c r="D33" i="6"/>
  <c r="H33" i="6" s="1"/>
  <c r="C33" i="6"/>
  <c r="A34" i="6"/>
  <c r="G33" i="6"/>
  <c r="L186" i="6"/>
  <c r="E33" i="38"/>
  <c r="D33" i="38"/>
  <c r="H33" i="38" s="1"/>
  <c r="G33" i="38"/>
  <c r="C33" i="38"/>
  <c r="B33" i="38"/>
  <c r="F33" i="38"/>
  <c r="A34" i="38"/>
  <c r="A188" i="38"/>
  <c r="F188" i="38" s="1"/>
  <c r="G187" i="38"/>
  <c r="B187" i="38"/>
  <c r="K187" i="38"/>
  <c r="I32" i="38"/>
  <c r="K32" i="38" s="1"/>
  <c r="L32" i="38"/>
  <c r="O33" i="39" l="1"/>
  <c r="M33" i="39" s="1"/>
  <c r="L187" i="38"/>
  <c r="D34" i="39"/>
  <c r="H34" i="39" s="1"/>
  <c r="F34" i="39"/>
  <c r="B34" i="39"/>
  <c r="E34" i="39"/>
  <c r="C34" i="39"/>
  <c r="A189" i="39"/>
  <c r="F189" i="39" s="1"/>
  <c r="G34" i="39"/>
  <c r="A35" i="39"/>
  <c r="I34" i="39"/>
  <c r="G188" i="6"/>
  <c r="B188" i="6"/>
  <c r="K188" i="6"/>
  <c r="K188" i="38"/>
  <c r="G188" i="38"/>
  <c r="B188" i="38"/>
  <c r="G188" i="39"/>
  <c r="K188" i="39"/>
  <c r="B188" i="39"/>
  <c r="A35" i="38"/>
  <c r="E34" i="38"/>
  <c r="L34" i="38" s="1"/>
  <c r="D34" i="38"/>
  <c r="H34" i="38" s="1"/>
  <c r="A189" i="38"/>
  <c r="F189" i="38" s="1"/>
  <c r="G34" i="38"/>
  <c r="B34" i="38"/>
  <c r="F34" i="38"/>
  <c r="C34" i="38"/>
  <c r="I33" i="37"/>
  <c r="K33" i="37" s="1"/>
  <c r="B34" i="37"/>
  <c r="A189" i="37"/>
  <c r="F189" i="37" s="1"/>
  <c r="D34" i="37"/>
  <c r="H34" i="37" s="1"/>
  <c r="F34" i="37"/>
  <c r="E34" i="37"/>
  <c r="C34" i="37"/>
  <c r="G34" i="37"/>
  <c r="A35" i="37"/>
  <c r="K188" i="37"/>
  <c r="G188" i="37"/>
  <c r="B188" i="37"/>
  <c r="L187" i="37"/>
  <c r="I33" i="38"/>
  <c r="K33" i="38"/>
  <c r="L33" i="38"/>
  <c r="M31" i="6"/>
  <c r="L31" i="6"/>
  <c r="O32" i="6" s="1"/>
  <c r="L187" i="6"/>
  <c r="I33" i="6"/>
  <c r="K33" i="6" s="1"/>
  <c r="A189" i="6"/>
  <c r="F189" i="6" s="1"/>
  <c r="G34" i="6"/>
  <c r="B34" i="6"/>
  <c r="E34" i="6"/>
  <c r="F34" i="6"/>
  <c r="A35" i="6"/>
  <c r="D34" i="6"/>
  <c r="H34" i="6" s="1"/>
  <c r="C34" i="6"/>
  <c r="L187" i="39"/>
  <c r="O33" i="38"/>
  <c r="M33" i="38" s="1"/>
  <c r="I33" i="39"/>
  <c r="K33" i="39" s="1"/>
  <c r="L33" i="39"/>
  <c r="I34" i="38" l="1"/>
  <c r="K34" i="38" s="1"/>
  <c r="O34" i="39"/>
  <c r="M34" i="39" s="1"/>
  <c r="O34" i="38"/>
  <c r="M34" i="38" s="1"/>
  <c r="E35" i="37"/>
  <c r="F35" i="37"/>
  <c r="D35" i="37"/>
  <c r="H35" i="37" s="1"/>
  <c r="B35" i="37"/>
  <c r="A36" i="37"/>
  <c r="C35" i="37"/>
  <c r="A190" i="37"/>
  <c r="F190" i="37" s="1"/>
  <c r="G35" i="37"/>
  <c r="L188" i="39"/>
  <c r="A190" i="6"/>
  <c r="F190" i="6" s="1"/>
  <c r="F35" i="6"/>
  <c r="B35" i="6"/>
  <c r="E35" i="6"/>
  <c r="I35" i="6" s="1"/>
  <c r="K35" i="6" s="1"/>
  <c r="C35" i="6"/>
  <c r="D35" i="6"/>
  <c r="H35" i="6" s="1"/>
  <c r="G35" i="6"/>
  <c r="A36" i="6"/>
  <c r="I34" i="37"/>
  <c r="K34" i="37" s="1"/>
  <c r="L188" i="38"/>
  <c r="L188" i="6"/>
  <c r="K189" i="6"/>
  <c r="G189" i="6"/>
  <c r="B189" i="6"/>
  <c r="B189" i="37"/>
  <c r="G189" i="37"/>
  <c r="K189" i="37"/>
  <c r="M32" i="6"/>
  <c r="L32" i="6"/>
  <c r="O33" i="6" s="1"/>
  <c r="G35" i="39"/>
  <c r="A36" i="39"/>
  <c r="A190" i="39"/>
  <c r="F190" i="39" s="1"/>
  <c r="D35" i="39"/>
  <c r="H35" i="39" s="1"/>
  <c r="C35" i="39"/>
  <c r="E35" i="39"/>
  <c r="L35" i="39" s="1"/>
  <c r="F35" i="39"/>
  <c r="B35" i="39"/>
  <c r="B189" i="39"/>
  <c r="G189" i="39"/>
  <c r="K189" i="39"/>
  <c r="K34" i="39"/>
  <c r="L34" i="39"/>
  <c r="K189" i="38"/>
  <c r="B189" i="38"/>
  <c r="G189" i="38"/>
  <c r="I34" i="6"/>
  <c r="K34" i="6" s="1"/>
  <c r="F35" i="38"/>
  <c r="D35" i="38"/>
  <c r="H35" i="38" s="1"/>
  <c r="C35" i="38"/>
  <c r="A36" i="38"/>
  <c r="G35" i="38"/>
  <c r="E35" i="38"/>
  <c r="L35" i="38" s="1"/>
  <c r="A190" i="38"/>
  <c r="F190" i="38" s="1"/>
  <c r="B35" i="38"/>
  <c r="L188" i="37"/>
  <c r="K190" i="38" l="1"/>
  <c r="B190" i="38"/>
  <c r="G190" i="38"/>
  <c r="A191" i="6"/>
  <c r="F191" i="6" s="1"/>
  <c r="E36" i="6"/>
  <c r="B36" i="6"/>
  <c r="D36" i="6"/>
  <c r="H36" i="6" s="1"/>
  <c r="C36" i="6"/>
  <c r="G36" i="6"/>
  <c r="F36" i="6"/>
  <c r="A37" i="6"/>
  <c r="F36" i="38"/>
  <c r="G36" i="38"/>
  <c r="A191" i="38"/>
  <c r="F191" i="38" s="1"/>
  <c r="E36" i="38"/>
  <c r="A37" i="38"/>
  <c r="D36" i="38"/>
  <c r="H36" i="38" s="1"/>
  <c r="B36" i="38"/>
  <c r="C36" i="38"/>
  <c r="B190" i="39"/>
  <c r="K190" i="39"/>
  <c r="G190" i="39"/>
  <c r="B36" i="39"/>
  <c r="G36" i="39"/>
  <c r="A37" i="39"/>
  <c r="E36" i="39"/>
  <c r="L36" i="39" s="1"/>
  <c r="A191" i="39"/>
  <c r="F191" i="39" s="1"/>
  <c r="D36" i="39"/>
  <c r="H36" i="39" s="1"/>
  <c r="C36" i="39"/>
  <c r="F36" i="39"/>
  <c r="M33" i="6"/>
  <c r="L33" i="6"/>
  <c r="O34" i="6" s="1"/>
  <c r="O35" i="38"/>
  <c r="M35" i="38" s="1"/>
  <c r="K190" i="6"/>
  <c r="B190" i="6"/>
  <c r="G190" i="6"/>
  <c r="L189" i="38"/>
  <c r="O35" i="39"/>
  <c r="M35" i="39" s="1"/>
  <c r="L189" i="6"/>
  <c r="G190" i="37"/>
  <c r="K190" i="37"/>
  <c r="B190" i="37"/>
  <c r="L189" i="39"/>
  <c r="C36" i="37"/>
  <c r="A37" i="37"/>
  <c r="A191" i="37"/>
  <c r="F191" i="37" s="1"/>
  <c r="E36" i="37"/>
  <c r="F36" i="37"/>
  <c r="B36" i="37"/>
  <c r="G36" i="37"/>
  <c r="D36" i="37"/>
  <c r="H36" i="37" s="1"/>
  <c r="I35" i="39"/>
  <c r="K35" i="39" s="1"/>
  <c r="I35" i="38"/>
  <c r="K35" i="38" s="1"/>
  <c r="I35" i="37"/>
  <c r="K35" i="37" s="1"/>
  <c r="G37" i="38" l="1"/>
  <c r="A192" i="38"/>
  <c r="F192" i="38" s="1"/>
  <c r="F37" i="38"/>
  <c r="A38" i="38"/>
  <c r="B37" i="38"/>
  <c r="E37" i="38"/>
  <c r="L37" i="38" s="1"/>
  <c r="D37" i="38"/>
  <c r="H37" i="38" s="1"/>
  <c r="C37" i="38"/>
  <c r="I37" i="38"/>
  <c r="K37" i="38" s="1"/>
  <c r="I36" i="37"/>
  <c r="K36" i="37" s="1"/>
  <c r="K36" i="38"/>
  <c r="L36" i="38"/>
  <c r="K191" i="37"/>
  <c r="G191" i="37"/>
  <c r="B191" i="37"/>
  <c r="M34" i="6"/>
  <c r="L34" i="6"/>
  <c r="O35" i="6" s="1"/>
  <c r="K191" i="38"/>
  <c r="G191" i="38"/>
  <c r="B191" i="38"/>
  <c r="C37" i="37"/>
  <c r="A192" i="37"/>
  <c r="F192" i="37" s="1"/>
  <c r="B37" i="37"/>
  <c r="D37" i="37"/>
  <c r="H37" i="37" s="1"/>
  <c r="F37" i="37"/>
  <c r="A38" i="37"/>
  <c r="E37" i="37"/>
  <c r="I37" i="37" s="1"/>
  <c r="K37" i="37" s="1"/>
  <c r="G37" i="37"/>
  <c r="I36" i="39"/>
  <c r="K36" i="39" s="1"/>
  <c r="A192" i="6"/>
  <c r="F192" i="6" s="1"/>
  <c r="F37" i="6"/>
  <c r="C37" i="6"/>
  <c r="G37" i="6"/>
  <c r="E37" i="6"/>
  <c r="I37" i="6" s="1"/>
  <c r="K37" i="6" s="1"/>
  <c r="D37" i="6"/>
  <c r="H37" i="6" s="1"/>
  <c r="B37" i="6"/>
  <c r="A38" i="6"/>
  <c r="G191" i="39"/>
  <c r="K191" i="39"/>
  <c r="B191" i="39"/>
  <c r="F37" i="39"/>
  <c r="B37" i="39"/>
  <c r="A38" i="39"/>
  <c r="D37" i="39"/>
  <c r="H37" i="39" s="1"/>
  <c r="A192" i="39"/>
  <c r="F192" i="39" s="1"/>
  <c r="E37" i="39"/>
  <c r="I37" i="39" s="1"/>
  <c r="C37" i="39"/>
  <c r="G37" i="39"/>
  <c r="I36" i="6"/>
  <c r="K36" i="6" s="1"/>
  <c r="G191" i="6"/>
  <c r="B191" i="6"/>
  <c r="K191" i="6"/>
  <c r="L190" i="39"/>
  <c r="O36" i="38"/>
  <c r="M36" i="38" s="1"/>
  <c r="O36" i="39"/>
  <c r="M36" i="39" s="1"/>
  <c r="I36" i="38"/>
  <c r="L190" i="6"/>
  <c r="L190" i="38"/>
  <c r="L191" i="6" l="1"/>
  <c r="A193" i="6"/>
  <c r="F193" i="6" s="1"/>
  <c r="B38" i="6"/>
  <c r="D38" i="6"/>
  <c r="H38" i="6" s="1"/>
  <c r="C38" i="6"/>
  <c r="F38" i="6"/>
  <c r="G38" i="6"/>
  <c r="E38" i="6"/>
  <c r="I38" i="6" s="1"/>
  <c r="K38" i="6" s="1"/>
  <c r="A39" i="6"/>
  <c r="L191" i="38"/>
  <c r="M35" i="6"/>
  <c r="L35" i="6"/>
  <c r="O36" i="6" s="1"/>
  <c r="L191" i="37"/>
  <c r="O37" i="38"/>
  <c r="M37" i="38" s="1"/>
  <c r="K192" i="6"/>
  <c r="G192" i="6"/>
  <c r="B192" i="6"/>
  <c r="K37" i="39"/>
  <c r="L37" i="39"/>
  <c r="B192" i="39"/>
  <c r="G192" i="39"/>
  <c r="K192" i="39"/>
  <c r="B38" i="39"/>
  <c r="G38" i="39"/>
  <c r="E38" i="39"/>
  <c r="F38" i="39"/>
  <c r="D38" i="39"/>
  <c r="H38" i="39" s="1"/>
  <c r="A39" i="39"/>
  <c r="C38" i="39"/>
  <c r="A193" i="39"/>
  <c r="F193" i="39" s="1"/>
  <c r="B38" i="37"/>
  <c r="A39" i="37"/>
  <c r="E38" i="37"/>
  <c r="F38" i="37"/>
  <c r="G38" i="37"/>
  <c r="C38" i="37"/>
  <c r="A193" i="37"/>
  <c r="F193" i="37" s="1"/>
  <c r="D38" i="37"/>
  <c r="H38" i="37" s="1"/>
  <c r="O37" i="39"/>
  <c r="M37" i="39" s="1"/>
  <c r="A193" i="38"/>
  <c r="F193" i="38" s="1"/>
  <c r="B38" i="38"/>
  <c r="A39" i="38"/>
  <c r="F38" i="38"/>
  <c r="E38" i="38"/>
  <c r="L38" i="38" s="1"/>
  <c r="D38" i="38"/>
  <c r="H38" i="38" s="1"/>
  <c r="G38" i="38"/>
  <c r="C38" i="38"/>
  <c r="B192" i="37"/>
  <c r="K192" i="37"/>
  <c r="G192" i="37"/>
  <c r="L191" i="39"/>
  <c r="B192" i="38"/>
  <c r="K192" i="38"/>
  <c r="G192" i="38"/>
  <c r="I38" i="38" l="1"/>
  <c r="K38" i="38" s="1"/>
  <c r="L192" i="6"/>
  <c r="I38" i="37"/>
  <c r="K38" i="37" s="1"/>
  <c r="B39" i="37"/>
  <c r="E39" i="37"/>
  <c r="A194" i="37"/>
  <c r="F194" i="37" s="1"/>
  <c r="G39" i="37"/>
  <c r="A40" i="37"/>
  <c r="C39" i="37"/>
  <c r="F39" i="37"/>
  <c r="D39" i="37"/>
  <c r="H39" i="37" s="1"/>
  <c r="I39" i="37"/>
  <c r="K39" i="37" s="1"/>
  <c r="L192" i="37"/>
  <c r="K193" i="39"/>
  <c r="B193" i="39"/>
  <c r="G193" i="39"/>
  <c r="M36" i="6"/>
  <c r="L36" i="6"/>
  <c r="O37" i="6" s="1"/>
  <c r="F39" i="39"/>
  <c r="A194" i="39"/>
  <c r="F194" i="39" s="1"/>
  <c r="E39" i="39"/>
  <c r="G39" i="39"/>
  <c r="A40" i="39"/>
  <c r="B39" i="39"/>
  <c r="D39" i="39"/>
  <c r="H39" i="39" s="1"/>
  <c r="C39" i="39"/>
  <c r="I38" i="39"/>
  <c r="K38" i="39" s="1"/>
  <c r="L38" i="39"/>
  <c r="A194" i="6"/>
  <c r="F194" i="6" s="1"/>
  <c r="F39" i="6"/>
  <c r="G39" i="6"/>
  <c r="C39" i="6"/>
  <c r="E39" i="6"/>
  <c r="I39" i="6" s="1"/>
  <c r="K39" i="6" s="1"/>
  <c r="D39" i="6"/>
  <c r="H39" i="6" s="1"/>
  <c r="B39" i="6"/>
  <c r="A40" i="6"/>
  <c r="B39" i="38"/>
  <c r="A194" i="38"/>
  <c r="F194" i="38" s="1"/>
  <c r="A40" i="38"/>
  <c r="G39" i="38"/>
  <c r="F39" i="38"/>
  <c r="C39" i="38"/>
  <c r="D39" i="38"/>
  <c r="H39" i="38" s="1"/>
  <c r="E39" i="38"/>
  <c r="K193" i="38"/>
  <c r="B193" i="38"/>
  <c r="G193" i="38"/>
  <c r="L192" i="39"/>
  <c r="O38" i="38"/>
  <c r="M38" i="38" s="1"/>
  <c r="O38" i="39"/>
  <c r="M38" i="39" s="1"/>
  <c r="K193" i="37"/>
  <c r="G193" i="37"/>
  <c r="B193" i="37"/>
  <c r="B193" i="6"/>
  <c r="G193" i="6"/>
  <c r="K193" i="6"/>
  <c r="L192" i="38"/>
  <c r="O39" i="38" l="1"/>
  <c r="M39" i="38" s="1"/>
  <c r="M37" i="6"/>
  <c r="L37" i="6"/>
  <c r="O38" i="6" s="1"/>
  <c r="A195" i="6"/>
  <c r="F195" i="6" s="1"/>
  <c r="D40" i="6"/>
  <c r="H40" i="6" s="1"/>
  <c r="G40" i="6"/>
  <c r="A41" i="6"/>
  <c r="C40" i="6"/>
  <c r="F40" i="6"/>
  <c r="B40" i="6"/>
  <c r="E40" i="6"/>
  <c r="L193" i="37"/>
  <c r="L193" i="39"/>
  <c r="K194" i="6"/>
  <c r="G194" i="6"/>
  <c r="B194" i="6"/>
  <c r="O39" i="39"/>
  <c r="M39" i="39" s="1"/>
  <c r="L193" i="38"/>
  <c r="B40" i="37"/>
  <c r="G40" i="37"/>
  <c r="E40" i="37"/>
  <c r="D40" i="37"/>
  <c r="H40" i="37" s="1"/>
  <c r="F40" i="37"/>
  <c r="A41" i="37"/>
  <c r="A195" i="37"/>
  <c r="F195" i="37" s="1"/>
  <c r="C40" i="37"/>
  <c r="I39" i="38"/>
  <c r="K39" i="38" s="1"/>
  <c r="L39" i="38"/>
  <c r="K194" i="37"/>
  <c r="G194" i="37"/>
  <c r="B194" i="37"/>
  <c r="C40" i="39"/>
  <c r="B40" i="39"/>
  <c r="A41" i="39"/>
  <c r="E40" i="39"/>
  <c r="G40" i="39"/>
  <c r="D40" i="39"/>
  <c r="H40" i="39" s="1"/>
  <c r="A195" i="39"/>
  <c r="F195" i="39" s="1"/>
  <c r="F40" i="39"/>
  <c r="E40" i="38"/>
  <c r="F40" i="38"/>
  <c r="A195" i="38"/>
  <c r="F195" i="38" s="1"/>
  <c r="B40" i="38"/>
  <c r="D40" i="38"/>
  <c r="H40" i="38" s="1"/>
  <c r="A41" i="38"/>
  <c r="C40" i="38"/>
  <c r="G40" i="38"/>
  <c r="I39" i="39"/>
  <c r="K39" i="39" s="1"/>
  <c r="L39" i="39"/>
  <c r="L193" i="6"/>
  <c r="K194" i="38"/>
  <c r="G194" i="38"/>
  <c r="B194" i="38"/>
  <c r="B194" i="39"/>
  <c r="K194" i="39"/>
  <c r="G194" i="39"/>
  <c r="O40" i="39" l="1"/>
  <c r="M40" i="39" s="1"/>
  <c r="O40" i="38"/>
  <c r="M40" i="38" s="1"/>
  <c r="L194" i="39"/>
  <c r="I40" i="39"/>
  <c r="K40" i="39"/>
  <c r="L40" i="39"/>
  <c r="A196" i="39"/>
  <c r="F196" i="39" s="1"/>
  <c r="C41" i="39"/>
  <c r="E41" i="39"/>
  <c r="A42" i="39"/>
  <c r="D41" i="39"/>
  <c r="H41" i="39" s="1"/>
  <c r="B41" i="39"/>
  <c r="F41" i="39"/>
  <c r="G41" i="39"/>
  <c r="L194" i="6"/>
  <c r="L194" i="38"/>
  <c r="L194" i="37"/>
  <c r="I40" i="6"/>
  <c r="K40" i="6" s="1"/>
  <c r="A42" i="38"/>
  <c r="D41" i="38"/>
  <c r="H41" i="38" s="1"/>
  <c r="G41" i="38"/>
  <c r="E41" i="38"/>
  <c r="A196" i="38"/>
  <c r="F196" i="38" s="1"/>
  <c r="C41" i="38"/>
  <c r="F41" i="38"/>
  <c r="B41" i="38"/>
  <c r="G195" i="37"/>
  <c r="K195" i="37"/>
  <c r="B195" i="37"/>
  <c r="E41" i="37"/>
  <c r="F41" i="37"/>
  <c r="A196" i="37"/>
  <c r="F196" i="37" s="1"/>
  <c r="C41" i="37"/>
  <c r="D41" i="37"/>
  <c r="H41" i="37" s="1"/>
  <c r="B41" i="37"/>
  <c r="G41" i="37"/>
  <c r="A42" i="37"/>
  <c r="A196" i="6"/>
  <c r="F196" i="6" s="1"/>
  <c r="E41" i="6"/>
  <c r="G41" i="6"/>
  <c r="D41" i="6"/>
  <c r="H41" i="6" s="1"/>
  <c r="F41" i="6"/>
  <c r="B41" i="6"/>
  <c r="A42" i="6"/>
  <c r="C41" i="6"/>
  <c r="I40" i="38"/>
  <c r="K40" i="38"/>
  <c r="L40" i="38"/>
  <c r="O41" i="38" s="1"/>
  <c r="M41" i="38" s="1"/>
  <c r="I40" i="37"/>
  <c r="K40" i="37" s="1"/>
  <c r="K195" i="6"/>
  <c r="G195" i="6"/>
  <c r="B195" i="6"/>
  <c r="B195" i="39"/>
  <c r="G195" i="39"/>
  <c r="K195" i="39"/>
  <c r="M38" i="6"/>
  <c r="L38" i="6"/>
  <c r="O39" i="6" s="1"/>
  <c r="B195" i="38"/>
  <c r="K195" i="38"/>
  <c r="G195" i="38"/>
  <c r="L195" i="39" l="1"/>
  <c r="B196" i="37"/>
  <c r="G196" i="37"/>
  <c r="K196" i="37"/>
  <c r="I41" i="37"/>
  <c r="K41" i="37" s="1"/>
  <c r="L195" i="37"/>
  <c r="B42" i="39"/>
  <c r="F42" i="39"/>
  <c r="C42" i="39"/>
  <c r="A197" i="39"/>
  <c r="F197" i="39" s="1"/>
  <c r="D42" i="39"/>
  <c r="H42" i="39" s="1"/>
  <c r="A43" i="39"/>
  <c r="E42" i="39"/>
  <c r="G42" i="39"/>
  <c r="L195" i="6"/>
  <c r="A197" i="6"/>
  <c r="F197" i="6" s="1"/>
  <c r="F42" i="6"/>
  <c r="G42" i="6"/>
  <c r="E42" i="6"/>
  <c r="D42" i="6"/>
  <c r="H42" i="6" s="1"/>
  <c r="B42" i="6"/>
  <c r="C42" i="6"/>
  <c r="A43" i="6"/>
  <c r="I41" i="39"/>
  <c r="K41" i="39"/>
  <c r="L41" i="39"/>
  <c r="K196" i="38"/>
  <c r="B196" i="38"/>
  <c r="G196" i="38"/>
  <c r="I41" i="38"/>
  <c r="K41" i="38"/>
  <c r="L41" i="38"/>
  <c r="K196" i="39"/>
  <c r="B196" i="39"/>
  <c r="G196" i="39"/>
  <c r="O41" i="39"/>
  <c r="M41" i="39" s="1"/>
  <c r="L195" i="38"/>
  <c r="I41" i="6"/>
  <c r="K41" i="6" s="1"/>
  <c r="G42" i="38"/>
  <c r="A197" i="38"/>
  <c r="F197" i="38" s="1"/>
  <c r="F42" i="38"/>
  <c r="E42" i="38"/>
  <c r="C42" i="38"/>
  <c r="B42" i="38"/>
  <c r="A43" i="38"/>
  <c r="D42" i="38"/>
  <c r="H42" i="38" s="1"/>
  <c r="M39" i="6"/>
  <c r="L39" i="6"/>
  <c r="O40" i="6" s="1"/>
  <c r="K196" i="6"/>
  <c r="B196" i="6"/>
  <c r="G196" i="6"/>
  <c r="D42" i="37"/>
  <c r="H42" i="37" s="1"/>
  <c r="B42" i="37"/>
  <c r="A197" i="37"/>
  <c r="F197" i="37" s="1"/>
  <c r="F42" i="37"/>
  <c r="A43" i="37"/>
  <c r="C42" i="37"/>
  <c r="G42" i="37"/>
  <c r="E42" i="37"/>
  <c r="I42" i="37" s="1"/>
  <c r="K42" i="37" s="1"/>
  <c r="B197" i="6" l="1"/>
  <c r="K197" i="6"/>
  <c r="G197" i="6"/>
  <c r="L196" i="39"/>
  <c r="L196" i="6"/>
  <c r="O42" i="38"/>
  <c r="M42" i="38" s="1"/>
  <c r="I42" i="39"/>
  <c r="K42" i="39"/>
  <c r="L42" i="39"/>
  <c r="M40" i="6"/>
  <c r="L40" i="6"/>
  <c r="O41" i="6" s="1"/>
  <c r="A198" i="39"/>
  <c r="F198" i="39" s="1"/>
  <c r="F43" i="39"/>
  <c r="G43" i="39"/>
  <c r="D43" i="39"/>
  <c r="H43" i="39" s="1"/>
  <c r="A44" i="39"/>
  <c r="C43" i="39"/>
  <c r="E43" i="39"/>
  <c r="B43" i="39"/>
  <c r="K197" i="39"/>
  <c r="G197" i="39"/>
  <c r="B197" i="39"/>
  <c r="C43" i="38"/>
  <c r="D43" i="38"/>
  <c r="H43" i="38" s="1"/>
  <c r="B43" i="38"/>
  <c r="G43" i="38"/>
  <c r="F43" i="38"/>
  <c r="E43" i="38"/>
  <c r="A198" i="38"/>
  <c r="F198" i="38" s="1"/>
  <c r="A44" i="38"/>
  <c r="L196" i="38"/>
  <c r="O42" i="39"/>
  <c r="M42" i="39" s="1"/>
  <c r="I42" i="38"/>
  <c r="K42" i="38" s="1"/>
  <c r="L42" i="38"/>
  <c r="B197" i="38"/>
  <c r="G197" i="38"/>
  <c r="K197" i="38"/>
  <c r="A198" i="6"/>
  <c r="F198" i="6" s="1"/>
  <c r="C43" i="6"/>
  <c r="D43" i="6"/>
  <c r="H43" i="6" s="1"/>
  <c r="G43" i="6"/>
  <c r="B43" i="6"/>
  <c r="A44" i="6"/>
  <c r="E43" i="6"/>
  <c r="F43" i="6"/>
  <c r="L196" i="37"/>
  <c r="C43" i="37"/>
  <c r="E43" i="37"/>
  <c r="I43" i="37" s="1"/>
  <c r="K43" i="37" s="1"/>
  <c r="B43" i="37"/>
  <c r="D43" i="37"/>
  <c r="H43" i="37" s="1"/>
  <c r="F43" i="37"/>
  <c r="A44" i="37"/>
  <c r="G43" i="37"/>
  <c r="A198" i="37"/>
  <c r="F198" i="37" s="1"/>
  <c r="I42" i="6"/>
  <c r="K42" i="6" s="1"/>
  <c r="B197" i="37"/>
  <c r="K197" i="37"/>
  <c r="G197" i="37"/>
  <c r="O43" i="38" l="1"/>
  <c r="M43" i="38" s="1"/>
  <c r="L197" i="38"/>
  <c r="I43" i="39"/>
  <c r="K43" i="39" s="1"/>
  <c r="L43" i="39"/>
  <c r="G198" i="37"/>
  <c r="K198" i="37"/>
  <c r="B198" i="37"/>
  <c r="C44" i="39"/>
  <c r="F44" i="39"/>
  <c r="E44" i="39"/>
  <c r="L44" i="39" s="1"/>
  <c r="A45" i="39"/>
  <c r="G44" i="39"/>
  <c r="D44" i="39"/>
  <c r="H44" i="39" s="1"/>
  <c r="A199" i="39"/>
  <c r="F199" i="39" s="1"/>
  <c r="B44" i="39"/>
  <c r="D44" i="37"/>
  <c r="H44" i="37" s="1"/>
  <c r="G44" i="37"/>
  <c r="A199" i="37"/>
  <c r="F199" i="37" s="1"/>
  <c r="B44" i="37"/>
  <c r="C44" i="37"/>
  <c r="E44" i="37"/>
  <c r="F44" i="37"/>
  <c r="A45" i="37"/>
  <c r="K198" i="39"/>
  <c r="G198" i="39"/>
  <c r="B198" i="39"/>
  <c r="M41" i="6"/>
  <c r="L41" i="6"/>
  <c r="O42" i="6" s="1"/>
  <c r="C44" i="38"/>
  <c r="B44" i="38"/>
  <c r="E44" i="38"/>
  <c r="A199" i="38"/>
  <c r="F199" i="38" s="1"/>
  <c r="D44" i="38"/>
  <c r="H44" i="38" s="1"/>
  <c r="A45" i="38"/>
  <c r="G44" i="38"/>
  <c r="F44" i="38"/>
  <c r="K198" i="38"/>
  <c r="G198" i="38"/>
  <c r="B198" i="38"/>
  <c r="O43" i="39"/>
  <c r="M43" i="39" s="1"/>
  <c r="I43" i="38"/>
  <c r="K43" i="38" s="1"/>
  <c r="L43" i="38"/>
  <c r="I43" i="6"/>
  <c r="K43" i="6" s="1"/>
  <c r="A199" i="6"/>
  <c r="F199" i="6" s="1"/>
  <c r="G44" i="6"/>
  <c r="F44" i="6"/>
  <c r="E44" i="6"/>
  <c r="I44" i="6" s="1"/>
  <c r="K44" i="6" s="1"/>
  <c r="D44" i="6"/>
  <c r="H44" i="6" s="1"/>
  <c r="C44" i="6"/>
  <c r="B44" i="6"/>
  <c r="A45" i="6"/>
  <c r="L197" i="37"/>
  <c r="L197" i="39"/>
  <c r="L197" i="6"/>
  <c r="B198" i="6"/>
  <c r="G198" i="6"/>
  <c r="K198" i="6"/>
  <c r="I44" i="39" l="1"/>
  <c r="K44" i="39" s="1"/>
  <c r="L198" i="38"/>
  <c r="G199" i="37"/>
  <c r="K199" i="37"/>
  <c r="B199" i="37"/>
  <c r="E45" i="38"/>
  <c r="A200" i="38"/>
  <c r="F200" i="38" s="1"/>
  <c r="F45" i="38"/>
  <c r="B45" i="38"/>
  <c r="G45" i="38"/>
  <c r="A46" i="38"/>
  <c r="C45" i="38"/>
  <c r="D45" i="38"/>
  <c r="H45" i="38" s="1"/>
  <c r="A200" i="6"/>
  <c r="F200" i="6" s="1"/>
  <c r="B45" i="6"/>
  <c r="D45" i="6"/>
  <c r="H45" i="6" s="1"/>
  <c r="C45" i="6"/>
  <c r="F45" i="6"/>
  <c r="G45" i="6"/>
  <c r="E45" i="6"/>
  <c r="A46" i="6"/>
  <c r="K199" i="38"/>
  <c r="B199" i="38"/>
  <c r="G199" i="38"/>
  <c r="G199" i="39"/>
  <c r="B199" i="39"/>
  <c r="K199" i="39"/>
  <c r="I44" i="38"/>
  <c r="K44" i="38" s="1"/>
  <c r="L44" i="38"/>
  <c r="G45" i="39"/>
  <c r="E45" i="39"/>
  <c r="L45" i="39" s="1"/>
  <c r="A200" i="39"/>
  <c r="F200" i="39" s="1"/>
  <c r="C45" i="39"/>
  <c r="A46" i="39"/>
  <c r="B45" i="39"/>
  <c r="F45" i="39"/>
  <c r="D45" i="39"/>
  <c r="H45" i="39" s="1"/>
  <c r="M42" i="6"/>
  <c r="L42" i="6"/>
  <c r="O43" i="6" s="1"/>
  <c r="B199" i="6"/>
  <c r="K199" i="6"/>
  <c r="G199" i="6"/>
  <c r="L198" i="37"/>
  <c r="L198" i="6"/>
  <c r="L198" i="39"/>
  <c r="O44" i="38"/>
  <c r="M44" i="38" s="1"/>
  <c r="D45" i="37"/>
  <c r="H45" i="37" s="1"/>
  <c r="E45" i="37"/>
  <c r="B45" i="37"/>
  <c r="C45" i="37"/>
  <c r="F45" i="37"/>
  <c r="A200" i="37"/>
  <c r="F200" i="37" s="1"/>
  <c r="A46" i="37"/>
  <c r="G45" i="37"/>
  <c r="O44" i="39"/>
  <c r="M44" i="39" s="1"/>
  <c r="I44" i="37"/>
  <c r="K44" i="37" s="1"/>
  <c r="A201" i="37" l="1"/>
  <c r="F201" i="37" s="1"/>
  <c r="C46" i="37"/>
  <c r="D46" i="37"/>
  <c r="H46" i="37" s="1"/>
  <c r="F46" i="37"/>
  <c r="G46" i="37"/>
  <c r="E46" i="37"/>
  <c r="I46" i="37" s="1"/>
  <c r="K46" i="37" s="1"/>
  <c r="B46" i="37"/>
  <c r="A47" i="37"/>
  <c r="I45" i="39"/>
  <c r="K45" i="39" s="1"/>
  <c r="B200" i="37"/>
  <c r="K200" i="37"/>
  <c r="G200" i="37"/>
  <c r="F46" i="39"/>
  <c r="C46" i="39"/>
  <c r="B46" i="39"/>
  <c r="E46" i="39"/>
  <c r="A201" i="39"/>
  <c r="F201" i="39" s="1"/>
  <c r="G46" i="39"/>
  <c r="D46" i="39"/>
  <c r="H46" i="39" s="1"/>
  <c r="A47" i="39"/>
  <c r="I45" i="37"/>
  <c r="K45" i="37" s="1"/>
  <c r="G200" i="39"/>
  <c r="K200" i="39"/>
  <c r="B200" i="39"/>
  <c r="B200" i="6"/>
  <c r="K200" i="6"/>
  <c r="G200" i="6"/>
  <c r="E46" i="38"/>
  <c r="A201" i="38"/>
  <c r="F201" i="38" s="1"/>
  <c r="D46" i="38"/>
  <c r="H46" i="38" s="1"/>
  <c r="C46" i="38"/>
  <c r="G46" i="38"/>
  <c r="B46" i="38"/>
  <c r="F46" i="38"/>
  <c r="A47" i="38"/>
  <c r="O45" i="38"/>
  <c r="M45" i="38" s="1"/>
  <c r="L199" i="39"/>
  <c r="B200" i="38"/>
  <c r="K200" i="38"/>
  <c r="G200" i="38"/>
  <c r="I45" i="38"/>
  <c r="K45" i="38" s="1"/>
  <c r="L45" i="38"/>
  <c r="L199" i="6"/>
  <c r="O45" i="39"/>
  <c r="M45" i="39" s="1"/>
  <c r="L199" i="38"/>
  <c r="M43" i="6"/>
  <c r="L43" i="6"/>
  <c r="O44" i="6" s="1"/>
  <c r="I45" i="6"/>
  <c r="K45" i="6" s="1"/>
  <c r="A201" i="6"/>
  <c r="F201" i="6" s="1"/>
  <c r="G46" i="6"/>
  <c r="B46" i="6"/>
  <c r="D46" i="6"/>
  <c r="H46" i="6" s="1"/>
  <c r="C46" i="6"/>
  <c r="F46" i="6"/>
  <c r="A47" i="6"/>
  <c r="E46" i="6"/>
  <c r="I46" i="6" s="1"/>
  <c r="K46" i="6" s="1"/>
  <c r="A48" i="38" l="1"/>
  <c r="C47" i="38"/>
  <c r="G47" i="38"/>
  <c r="F47" i="38"/>
  <c r="B47" i="38"/>
  <c r="E47" i="38"/>
  <c r="L47" i="38" s="1"/>
  <c r="D47" i="38"/>
  <c r="H47" i="38" s="1"/>
  <c r="A202" i="38"/>
  <c r="F202" i="38" s="1"/>
  <c r="I47" i="38"/>
  <c r="K47" i="38" s="1"/>
  <c r="G201" i="39"/>
  <c r="K201" i="39"/>
  <c r="B201" i="39"/>
  <c r="B201" i="6"/>
  <c r="K201" i="6"/>
  <c r="G201" i="6"/>
  <c r="I46" i="39"/>
  <c r="K46" i="39" s="1"/>
  <c r="L46" i="39"/>
  <c r="M44" i="6"/>
  <c r="L44" i="6"/>
  <c r="O45" i="6" s="1"/>
  <c r="K201" i="38"/>
  <c r="G201" i="38"/>
  <c r="B201" i="38"/>
  <c r="O46" i="39"/>
  <c r="M46" i="39" s="1"/>
  <c r="L200" i="6"/>
  <c r="G47" i="37"/>
  <c r="A48" i="37"/>
  <c r="C47" i="37"/>
  <c r="B47" i="37"/>
  <c r="E47" i="37"/>
  <c r="I47" i="37" s="1"/>
  <c r="K47" i="37" s="1"/>
  <c r="D47" i="37"/>
  <c r="H47" i="37" s="1"/>
  <c r="A202" i="37"/>
  <c r="F202" i="37" s="1"/>
  <c r="F47" i="37"/>
  <c r="O46" i="38"/>
  <c r="M46" i="38" s="1"/>
  <c r="L200" i="39"/>
  <c r="I46" i="38"/>
  <c r="K46" i="38"/>
  <c r="L46" i="38"/>
  <c r="A202" i="6"/>
  <c r="F202" i="6" s="1"/>
  <c r="B47" i="6"/>
  <c r="F47" i="6"/>
  <c r="G47" i="6"/>
  <c r="E47" i="6"/>
  <c r="D47" i="6"/>
  <c r="H47" i="6" s="1"/>
  <c r="C47" i="6"/>
  <c r="A48" i="6"/>
  <c r="L200" i="38"/>
  <c r="F47" i="39"/>
  <c r="C47" i="39"/>
  <c r="D47" i="39"/>
  <c r="H47" i="39" s="1"/>
  <c r="E47" i="39"/>
  <c r="A48" i="39"/>
  <c r="A202" i="39"/>
  <c r="F202" i="39" s="1"/>
  <c r="B47" i="39"/>
  <c r="G47" i="39"/>
  <c r="G201" i="37"/>
  <c r="K201" i="37"/>
  <c r="B201" i="37"/>
  <c r="B202" i="39" l="1"/>
  <c r="G202" i="39"/>
  <c r="K202" i="39"/>
  <c r="L201" i="38"/>
  <c r="G48" i="39"/>
  <c r="C48" i="39"/>
  <c r="A203" i="39"/>
  <c r="F203" i="39" s="1"/>
  <c r="D48" i="39"/>
  <c r="H48" i="39" s="1"/>
  <c r="F48" i="39"/>
  <c r="A49" i="39"/>
  <c r="E48" i="39"/>
  <c r="L48" i="39" s="1"/>
  <c r="B48" i="39"/>
  <c r="M45" i="6"/>
  <c r="L45" i="6"/>
  <c r="O46" i="6" s="1"/>
  <c r="I47" i="39"/>
  <c r="K47" i="39" s="1"/>
  <c r="L47" i="39"/>
  <c r="O47" i="39"/>
  <c r="M47" i="39" s="1"/>
  <c r="B202" i="37"/>
  <c r="K202" i="37"/>
  <c r="G202" i="37"/>
  <c r="L201" i="6"/>
  <c r="A203" i="6"/>
  <c r="F203" i="6" s="1"/>
  <c r="G48" i="6"/>
  <c r="E48" i="6"/>
  <c r="I48" i="6" s="1"/>
  <c r="K48" i="6" s="1"/>
  <c r="D48" i="6"/>
  <c r="H48" i="6" s="1"/>
  <c r="F48" i="6"/>
  <c r="B48" i="6"/>
  <c r="C48" i="6"/>
  <c r="A49" i="6"/>
  <c r="L201" i="39"/>
  <c r="I47" i="6"/>
  <c r="K47" i="6" s="1"/>
  <c r="A49" i="37"/>
  <c r="C48" i="37"/>
  <c r="E48" i="37"/>
  <c r="F48" i="37"/>
  <c r="D48" i="37"/>
  <c r="H48" i="37" s="1"/>
  <c r="B48" i="37"/>
  <c r="A203" i="37"/>
  <c r="F203" i="37" s="1"/>
  <c r="G48" i="37"/>
  <c r="B202" i="38"/>
  <c r="K202" i="38"/>
  <c r="G202" i="38"/>
  <c r="K202" i="6"/>
  <c r="B202" i="6"/>
  <c r="G202" i="6"/>
  <c r="L201" i="37"/>
  <c r="O47" i="38"/>
  <c r="M47" i="38" s="1"/>
  <c r="D48" i="38"/>
  <c r="H48" i="38" s="1"/>
  <c r="E48" i="38"/>
  <c r="L48" i="38" s="1"/>
  <c r="G48" i="38"/>
  <c r="C48" i="38"/>
  <c r="B48" i="38"/>
  <c r="A49" i="38"/>
  <c r="A203" i="38"/>
  <c r="F203" i="38" s="1"/>
  <c r="F48" i="38"/>
  <c r="I48" i="38" l="1"/>
  <c r="K48" i="38" s="1"/>
  <c r="O48" i="38"/>
  <c r="M48" i="38" s="1"/>
  <c r="O48" i="39"/>
  <c r="M48" i="39" s="1"/>
  <c r="M46" i="6"/>
  <c r="L46" i="6"/>
  <c r="O47" i="6" s="1"/>
  <c r="I48" i="39"/>
  <c r="K48" i="39" s="1"/>
  <c r="L202" i="6"/>
  <c r="A204" i="6"/>
  <c r="F204" i="6" s="1"/>
  <c r="C49" i="6"/>
  <c r="B49" i="6"/>
  <c r="D49" i="6"/>
  <c r="H49" i="6" s="1"/>
  <c r="G49" i="6"/>
  <c r="E49" i="6"/>
  <c r="I49" i="6" s="1"/>
  <c r="K49" i="6" s="1"/>
  <c r="F49" i="6"/>
  <c r="A50" i="6"/>
  <c r="D49" i="39"/>
  <c r="H49" i="39" s="1"/>
  <c r="G49" i="39"/>
  <c r="A204" i="39"/>
  <c r="F204" i="39" s="1"/>
  <c r="C49" i="39"/>
  <c r="F49" i="39"/>
  <c r="B49" i="39"/>
  <c r="A50" i="39"/>
  <c r="E49" i="39"/>
  <c r="I49" i="39" s="1"/>
  <c r="L202" i="38"/>
  <c r="G203" i="39"/>
  <c r="K203" i="39"/>
  <c r="B203" i="39"/>
  <c r="K203" i="37"/>
  <c r="G203" i="37"/>
  <c r="B203" i="37"/>
  <c r="B203" i="6"/>
  <c r="G203" i="6"/>
  <c r="K203" i="6"/>
  <c r="K203" i="38"/>
  <c r="G203" i="38"/>
  <c r="B203" i="38"/>
  <c r="G49" i="38"/>
  <c r="D49" i="38"/>
  <c r="H49" i="38" s="1"/>
  <c r="F49" i="38"/>
  <c r="C49" i="38"/>
  <c r="B49" i="38"/>
  <c r="E49" i="38"/>
  <c r="L49" i="38" s="1"/>
  <c r="A204" i="38"/>
  <c r="F204" i="38" s="1"/>
  <c r="A50" i="38"/>
  <c r="I49" i="38"/>
  <c r="K49" i="38" s="1"/>
  <c r="I48" i="37"/>
  <c r="K48" i="37" s="1"/>
  <c r="L202" i="39"/>
  <c r="L202" i="37"/>
  <c r="A204" i="37"/>
  <c r="F204" i="37" s="1"/>
  <c r="C49" i="37"/>
  <c r="G49" i="37"/>
  <c r="F49" i="37"/>
  <c r="E49" i="37"/>
  <c r="D49" i="37"/>
  <c r="H49" i="37" s="1"/>
  <c r="A50" i="37"/>
  <c r="B49" i="37"/>
  <c r="O49" i="39" l="1"/>
  <c r="M49" i="39" s="1"/>
  <c r="K204" i="39"/>
  <c r="G204" i="39"/>
  <c r="B204" i="39"/>
  <c r="L203" i="38"/>
  <c r="L203" i="6"/>
  <c r="B204" i="37"/>
  <c r="K204" i="37"/>
  <c r="G204" i="37"/>
  <c r="A205" i="6"/>
  <c r="F205" i="6" s="1"/>
  <c r="F50" i="6"/>
  <c r="G50" i="6"/>
  <c r="E50" i="6"/>
  <c r="D50" i="6"/>
  <c r="H50" i="6" s="1"/>
  <c r="B50" i="6"/>
  <c r="C50" i="6"/>
  <c r="A51" i="6"/>
  <c r="L203" i="37"/>
  <c r="L203" i="39"/>
  <c r="A51" i="38"/>
  <c r="B50" i="38"/>
  <c r="C50" i="38"/>
  <c r="F50" i="38"/>
  <c r="A205" i="38"/>
  <c r="F205" i="38" s="1"/>
  <c r="G50" i="38"/>
  <c r="D50" i="38"/>
  <c r="H50" i="38" s="1"/>
  <c r="E50" i="38"/>
  <c r="K204" i="6"/>
  <c r="B204" i="6"/>
  <c r="G204" i="6"/>
  <c r="K49" i="39"/>
  <c r="L49" i="39"/>
  <c r="A205" i="39"/>
  <c r="F205" i="39" s="1"/>
  <c r="C50" i="39"/>
  <c r="D50" i="39"/>
  <c r="H50" i="39" s="1"/>
  <c r="B50" i="39"/>
  <c r="F50" i="39"/>
  <c r="G50" i="39"/>
  <c r="E50" i="39"/>
  <c r="A51" i="39"/>
  <c r="M47" i="6"/>
  <c r="L47" i="6"/>
  <c r="O48" i="6" s="1"/>
  <c r="K204" i="38"/>
  <c r="G204" i="38"/>
  <c r="B204" i="38"/>
  <c r="C50" i="37"/>
  <c r="B50" i="37"/>
  <c r="A51" i="37"/>
  <c r="G50" i="37"/>
  <c r="E50" i="37"/>
  <c r="A205" i="37"/>
  <c r="F205" i="37" s="1"/>
  <c r="F50" i="37"/>
  <c r="D50" i="37"/>
  <c r="H50" i="37" s="1"/>
  <c r="I49" i="37"/>
  <c r="K49" i="37" s="1"/>
  <c r="O49" i="38"/>
  <c r="M49" i="38" s="1"/>
  <c r="O50" i="39" l="1"/>
  <c r="M50" i="39" s="1"/>
  <c r="O50" i="38"/>
  <c r="M50" i="38" s="1"/>
  <c r="B205" i="39"/>
  <c r="G205" i="39"/>
  <c r="K205" i="39"/>
  <c r="A206" i="6"/>
  <c r="F206" i="6" s="1"/>
  <c r="F51" i="6"/>
  <c r="D51" i="6"/>
  <c r="H51" i="6" s="1"/>
  <c r="B51" i="6"/>
  <c r="C51" i="6"/>
  <c r="G51" i="6"/>
  <c r="A52" i="6"/>
  <c r="E51" i="6"/>
  <c r="K205" i="37"/>
  <c r="B205" i="37"/>
  <c r="G205" i="37"/>
  <c r="I50" i="37"/>
  <c r="K50" i="37" s="1"/>
  <c r="G51" i="37"/>
  <c r="C51" i="37"/>
  <c r="A52" i="37"/>
  <c r="E51" i="37"/>
  <c r="F51" i="37"/>
  <c r="B51" i="37"/>
  <c r="A206" i="37"/>
  <c r="F206" i="37" s="1"/>
  <c r="D51" i="37"/>
  <c r="H51" i="37" s="1"/>
  <c r="I50" i="6"/>
  <c r="K50" i="6" s="1"/>
  <c r="L204" i="6"/>
  <c r="I50" i="38"/>
  <c r="K50" i="38" s="1"/>
  <c r="L50" i="38"/>
  <c r="B205" i="6"/>
  <c r="G205" i="6"/>
  <c r="K205" i="6"/>
  <c r="L204" i="37"/>
  <c r="L204" i="38"/>
  <c r="K205" i="38"/>
  <c r="B205" i="38"/>
  <c r="G205" i="38"/>
  <c r="M48" i="6"/>
  <c r="L48" i="6"/>
  <c r="O49" i="6" s="1"/>
  <c r="C51" i="39"/>
  <c r="A206" i="39"/>
  <c r="F206" i="39" s="1"/>
  <c r="E51" i="39"/>
  <c r="D51" i="39"/>
  <c r="H51" i="39" s="1"/>
  <c r="B51" i="39"/>
  <c r="F51" i="39"/>
  <c r="G51" i="39"/>
  <c r="A52" i="39"/>
  <c r="I50" i="39"/>
  <c r="K50" i="39"/>
  <c r="L50" i="39"/>
  <c r="G51" i="38"/>
  <c r="B51" i="38"/>
  <c r="E51" i="38"/>
  <c r="A206" i="38"/>
  <c r="F206" i="38" s="1"/>
  <c r="C51" i="38"/>
  <c r="D51" i="38"/>
  <c r="H51" i="38" s="1"/>
  <c r="F51" i="38"/>
  <c r="A52" i="38"/>
  <c r="L204" i="39"/>
  <c r="O51" i="39" l="1"/>
  <c r="M51" i="39" s="1"/>
  <c r="I51" i="37"/>
  <c r="K51" i="37" s="1"/>
  <c r="L205" i="38"/>
  <c r="A207" i="37"/>
  <c r="F207" i="37" s="1"/>
  <c r="C52" i="37"/>
  <c r="D52" i="37"/>
  <c r="H52" i="37" s="1"/>
  <c r="A53" i="37"/>
  <c r="B52" i="37"/>
  <c r="F52" i="37"/>
  <c r="G52" i="37"/>
  <c r="E52" i="37"/>
  <c r="K206" i="38"/>
  <c r="G206" i="38"/>
  <c r="B206" i="38"/>
  <c r="I51" i="38"/>
  <c r="K51" i="38" s="1"/>
  <c r="L51" i="38"/>
  <c r="L205" i="6"/>
  <c r="L205" i="37"/>
  <c r="A207" i="39"/>
  <c r="F207" i="39" s="1"/>
  <c r="A53" i="39"/>
  <c r="E52" i="39"/>
  <c r="B52" i="39"/>
  <c r="D52" i="39"/>
  <c r="H52" i="39" s="1"/>
  <c r="F52" i="39"/>
  <c r="C52" i="39"/>
  <c r="G52" i="39"/>
  <c r="O51" i="38"/>
  <c r="M51" i="38" s="1"/>
  <c r="I51" i="6"/>
  <c r="K51" i="6" s="1"/>
  <c r="A207" i="6"/>
  <c r="F207" i="6" s="1"/>
  <c r="B52" i="6"/>
  <c r="G52" i="6"/>
  <c r="F52" i="6"/>
  <c r="E52" i="6"/>
  <c r="C52" i="6"/>
  <c r="D52" i="6"/>
  <c r="H52" i="6" s="1"/>
  <c r="A53" i="6"/>
  <c r="I51" i="39"/>
  <c r="K51" i="39" s="1"/>
  <c r="L51" i="39"/>
  <c r="G206" i="39"/>
  <c r="K206" i="39"/>
  <c r="B206" i="39"/>
  <c r="B206" i="6"/>
  <c r="G206" i="6"/>
  <c r="K206" i="6"/>
  <c r="M49" i="6"/>
  <c r="L49" i="6"/>
  <c r="O50" i="6" s="1"/>
  <c r="G206" i="37"/>
  <c r="B206" i="37"/>
  <c r="K206" i="37"/>
  <c r="L205" i="39"/>
  <c r="E52" i="38"/>
  <c r="C52" i="38"/>
  <c r="B52" i="38"/>
  <c r="D52" i="38"/>
  <c r="H52" i="38" s="1"/>
  <c r="A207" i="38"/>
  <c r="F207" i="38" s="1"/>
  <c r="G52" i="38"/>
  <c r="A53" i="38"/>
  <c r="F52" i="38"/>
  <c r="O52" i="39" l="1"/>
  <c r="M52" i="39" s="1"/>
  <c r="I52" i="38"/>
  <c r="K52" i="38" s="1"/>
  <c r="L52" i="38"/>
  <c r="O52" i="38"/>
  <c r="M52" i="38" s="1"/>
  <c r="L206" i="37"/>
  <c r="G207" i="6"/>
  <c r="B207" i="6"/>
  <c r="K207" i="6"/>
  <c r="L206" i="38"/>
  <c r="M50" i="6"/>
  <c r="L50" i="6"/>
  <c r="O51" i="6" s="1"/>
  <c r="I52" i="37"/>
  <c r="K52" i="37" s="1"/>
  <c r="L206" i="6"/>
  <c r="B53" i="37"/>
  <c r="A208" i="37"/>
  <c r="F208" i="37" s="1"/>
  <c r="G53" i="37"/>
  <c r="A54" i="37"/>
  <c r="F53" i="37"/>
  <c r="E53" i="37"/>
  <c r="D53" i="37"/>
  <c r="H53" i="37" s="1"/>
  <c r="C53" i="37"/>
  <c r="L206" i="39"/>
  <c r="G207" i="37"/>
  <c r="B207" i="37"/>
  <c r="K207" i="37"/>
  <c r="D53" i="38"/>
  <c r="H53" i="38" s="1"/>
  <c r="A208" i="38"/>
  <c r="F208" i="38" s="1"/>
  <c r="B53" i="38"/>
  <c r="A54" i="38"/>
  <c r="F53" i="38"/>
  <c r="C53" i="38"/>
  <c r="E53" i="38"/>
  <c r="G53" i="38"/>
  <c r="I52" i="39"/>
  <c r="K52" i="39"/>
  <c r="L52" i="39"/>
  <c r="F53" i="39"/>
  <c r="A54" i="39"/>
  <c r="D53" i="39"/>
  <c r="H53" i="39" s="1"/>
  <c r="E53" i="39"/>
  <c r="C53" i="39"/>
  <c r="A208" i="39"/>
  <c r="F208" i="39" s="1"/>
  <c r="G53" i="39"/>
  <c r="B53" i="39"/>
  <c r="B207" i="38"/>
  <c r="K207" i="38"/>
  <c r="G207" i="38"/>
  <c r="I52" i="6"/>
  <c r="K52" i="6" s="1"/>
  <c r="K207" i="39"/>
  <c r="G207" i="39"/>
  <c r="B207" i="39"/>
  <c r="A208" i="6"/>
  <c r="F208" i="6" s="1"/>
  <c r="C53" i="6"/>
  <c r="G53" i="6"/>
  <c r="B53" i="6"/>
  <c r="E53" i="6"/>
  <c r="I53" i="6" s="1"/>
  <c r="K53" i="6" s="1"/>
  <c r="A54" i="6"/>
  <c r="D53" i="6"/>
  <c r="H53" i="6" s="1"/>
  <c r="F53" i="6"/>
  <c r="B208" i="37" l="1"/>
  <c r="K208" i="37"/>
  <c r="G208" i="37"/>
  <c r="B208" i="6"/>
  <c r="G208" i="6"/>
  <c r="K208" i="6"/>
  <c r="I53" i="38"/>
  <c r="K53" i="38" s="1"/>
  <c r="L53" i="38"/>
  <c r="L207" i="39"/>
  <c r="C54" i="38"/>
  <c r="A55" i="38"/>
  <c r="E54" i="38"/>
  <c r="D54" i="38"/>
  <c r="H54" i="38" s="1"/>
  <c r="B54" i="38"/>
  <c r="A209" i="38"/>
  <c r="F209" i="38" s="1"/>
  <c r="F54" i="38"/>
  <c r="G54" i="38"/>
  <c r="M51" i="6"/>
  <c r="L51" i="6"/>
  <c r="O52" i="6" s="1"/>
  <c r="G208" i="38"/>
  <c r="K208" i="38"/>
  <c r="B208" i="38"/>
  <c r="L207" i="38"/>
  <c r="L207" i="37"/>
  <c r="L207" i="6"/>
  <c r="B208" i="39"/>
  <c r="G208" i="39"/>
  <c r="K208" i="39"/>
  <c r="I53" i="39"/>
  <c r="K53" i="39" s="1"/>
  <c r="L53" i="39"/>
  <c r="B54" i="39"/>
  <c r="F54" i="39"/>
  <c r="D54" i="39"/>
  <c r="H54" i="39" s="1"/>
  <c r="E54" i="39"/>
  <c r="L54" i="39" s="1"/>
  <c r="A209" i="39"/>
  <c r="F209" i="39" s="1"/>
  <c r="A55" i="39"/>
  <c r="C54" i="39"/>
  <c r="G54" i="39"/>
  <c r="I53" i="37"/>
  <c r="K53" i="37" s="1"/>
  <c r="A209" i="6"/>
  <c r="F209" i="6" s="1"/>
  <c r="G54" i="6"/>
  <c r="E54" i="6"/>
  <c r="F54" i="6"/>
  <c r="D54" i="6"/>
  <c r="H54" i="6" s="1"/>
  <c r="B54" i="6"/>
  <c r="C54" i="6"/>
  <c r="A55" i="6"/>
  <c r="I54" i="6"/>
  <c r="K54" i="6" s="1"/>
  <c r="O53" i="38"/>
  <c r="M53" i="38" s="1"/>
  <c r="O53" i="39"/>
  <c r="M53" i="39" s="1"/>
  <c r="A55" i="37"/>
  <c r="D54" i="37"/>
  <c r="H54" i="37" s="1"/>
  <c r="E54" i="37"/>
  <c r="I54" i="37" s="1"/>
  <c r="K54" i="37" s="1"/>
  <c r="C54" i="37"/>
  <c r="G54" i="37"/>
  <c r="B54" i="37"/>
  <c r="F54" i="37"/>
  <c r="A209" i="37"/>
  <c r="F209" i="37" s="1"/>
  <c r="A210" i="39" l="1"/>
  <c r="F210" i="39" s="1"/>
  <c r="A56" i="39"/>
  <c r="F55" i="39"/>
  <c r="B55" i="39"/>
  <c r="C55" i="39"/>
  <c r="E55" i="39"/>
  <c r="D55" i="39"/>
  <c r="H55" i="39" s="1"/>
  <c r="G55" i="39"/>
  <c r="I55" i="39"/>
  <c r="M52" i="6"/>
  <c r="L52" i="6"/>
  <c r="O53" i="6" s="1"/>
  <c r="B209" i="39"/>
  <c r="K209" i="39"/>
  <c r="G209" i="39"/>
  <c r="A210" i="6"/>
  <c r="F210" i="6" s="1"/>
  <c r="A56" i="6"/>
  <c r="D55" i="6"/>
  <c r="H55" i="6" s="1"/>
  <c r="B55" i="6"/>
  <c r="E55" i="6"/>
  <c r="C55" i="6"/>
  <c r="G55" i="6"/>
  <c r="F55" i="6"/>
  <c r="A56" i="37"/>
  <c r="A210" i="37"/>
  <c r="F210" i="37" s="1"/>
  <c r="E55" i="37"/>
  <c r="D55" i="37"/>
  <c r="H55" i="37" s="1"/>
  <c r="C55" i="37"/>
  <c r="G55" i="37"/>
  <c r="B55" i="37"/>
  <c r="F55" i="37"/>
  <c r="K209" i="38"/>
  <c r="B209" i="38"/>
  <c r="G209" i="38"/>
  <c r="O54" i="39"/>
  <c r="M54" i="39" s="1"/>
  <c r="I54" i="38"/>
  <c r="K54" i="38"/>
  <c r="L54" i="38"/>
  <c r="L208" i="39"/>
  <c r="E55" i="38"/>
  <c r="L55" i="38" s="1"/>
  <c r="F55" i="38"/>
  <c r="C55" i="38"/>
  <c r="D55" i="38"/>
  <c r="H55" i="38" s="1"/>
  <c r="A56" i="38"/>
  <c r="A210" i="38"/>
  <c r="F210" i="38" s="1"/>
  <c r="G55" i="38"/>
  <c r="B55" i="38"/>
  <c r="O54" i="38"/>
  <c r="M54" i="38" s="1"/>
  <c r="B209" i="6"/>
  <c r="G209" i="6"/>
  <c r="K209" i="6"/>
  <c r="B209" i="37"/>
  <c r="G209" i="37"/>
  <c r="K209" i="37"/>
  <c r="I54" i="39"/>
  <c r="K54" i="39" s="1"/>
  <c r="L208" i="38"/>
  <c r="L208" i="37"/>
  <c r="I55" i="38" l="1"/>
  <c r="K55" i="38" s="1"/>
  <c r="O55" i="39"/>
  <c r="M55" i="39" s="1"/>
  <c r="A211" i="6"/>
  <c r="F211" i="6" s="1"/>
  <c r="E56" i="6"/>
  <c r="D56" i="6"/>
  <c r="H56" i="6" s="1"/>
  <c r="G56" i="6"/>
  <c r="F56" i="6"/>
  <c r="C56" i="6"/>
  <c r="B56" i="6"/>
  <c r="A57" i="6"/>
  <c r="I56" i="6"/>
  <c r="K56" i="6" s="1"/>
  <c r="G210" i="6"/>
  <c r="B210" i="6"/>
  <c r="K210" i="6"/>
  <c r="L209" i="38"/>
  <c r="L209" i="39"/>
  <c r="M53" i="6"/>
  <c r="L53" i="6"/>
  <c r="O54" i="6" s="1"/>
  <c r="B210" i="38"/>
  <c r="K210" i="38"/>
  <c r="G210" i="38"/>
  <c r="A211" i="38"/>
  <c r="F211" i="38" s="1"/>
  <c r="D56" i="38"/>
  <c r="H56" i="38" s="1"/>
  <c r="C56" i="38"/>
  <c r="A57" i="38"/>
  <c r="G56" i="38"/>
  <c r="B56" i="38"/>
  <c r="F56" i="38"/>
  <c r="E56" i="38"/>
  <c r="I55" i="37"/>
  <c r="K55" i="37" s="1"/>
  <c r="K55" i="39"/>
  <c r="L55" i="39"/>
  <c r="G210" i="37"/>
  <c r="B210" i="37"/>
  <c r="K210" i="37"/>
  <c r="F56" i="37"/>
  <c r="B56" i="37"/>
  <c r="G56" i="37"/>
  <c r="A211" i="37"/>
  <c r="F211" i="37" s="1"/>
  <c r="A57" i="37"/>
  <c r="E56" i="37"/>
  <c r="D56" i="37"/>
  <c r="H56" i="37" s="1"/>
  <c r="C56" i="37"/>
  <c r="I56" i="37"/>
  <c r="K56" i="37" s="1"/>
  <c r="I55" i="6"/>
  <c r="K55" i="6" s="1"/>
  <c r="E56" i="39"/>
  <c r="F56" i="39"/>
  <c r="B56" i="39"/>
  <c r="D56" i="39"/>
  <c r="H56" i="39" s="1"/>
  <c r="G56" i="39"/>
  <c r="A211" i="39"/>
  <c r="F211" i="39" s="1"/>
  <c r="C56" i="39"/>
  <c r="A57" i="39"/>
  <c r="L209" i="37"/>
  <c r="K210" i="39"/>
  <c r="B210" i="39"/>
  <c r="G210" i="39"/>
  <c r="O55" i="38"/>
  <c r="M55" i="38" s="1"/>
  <c r="L210" i="37" l="1"/>
  <c r="G57" i="39"/>
  <c r="D57" i="39"/>
  <c r="H57" i="39" s="1"/>
  <c r="F57" i="39"/>
  <c r="A212" i="39"/>
  <c r="F212" i="39" s="1"/>
  <c r="A58" i="39"/>
  <c r="E57" i="39"/>
  <c r="L57" i="39" s="1"/>
  <c r="B57" i="39"/>
  <c r="C57" i="39"/>
  <c r="K211" i="39"/>
  <c r="B211" i="39"/>
  <c r="G211" i="39"/>
  <c r="O56" i="39"/>
  <c r="M56" i="39" s="1"/>
  <c r="L210" i="6"/>
  <c r="I56" i="38"/>
  <c r="K56" i="38" s="1"/>
  <c r="L56" i="38"/>
  <c r="I56" i="39"/>
  <c r="K56" i="39" s="1"/>
  <c r="L56" i="39"/>
  <c r="A212" i="6"/>
  <c r="F212" i="6" s="1"/>
  <c r="F57" i="6"/>
  <c r="B57" i="6"/>
  <c r="E57" i="6"/>
  <c r="I57" i="6" s="1"/>
  <c r="K57" i="6" s="1"/>
  <c r="C57" i="6"/>
  <c r="G57" i="6"/>
  <c r="D57" i="6"/>
  <c r="H57" i="6" s="1"/>
  <c r="A58" i="6"/>
  <c r="O56" i="38"/>
  <c r="M56" i="38" s="1"/>
  <c r="A212" i="38"/>
  <c r="F212" i="38" s="1"/>
  <c r="E57" i="38"/>
  <c r="L57" i="38" s="1"/>
  <c r="D57" i="38"/>
  <c r="H57" i="38" s="1"/>
  <c r="A58" i="38"/>
  <c r="B57" i="38"/>
  <c r="C57" i="38"/>
  <c r="G57" i="38"/>
  <c r="F57" i="38"/>
  <c r="G211" i="38"/>
  <c r="B211" i="38"/>
  <c r="K211" i="38"/>
  <c r="E57" i="37"/>
  <c r="D57" i="37"/>
  <c r="H57" i="37" s="1"/>
  <c r="A212" i="37"/>
  <c r="F212" i="37" s="1"/>
  <c r="G57" i="37"/>
  <c r="F57" i="37"/>
  <c r="A58" i="37"/>
  <c r="C57" i="37"/>
  <c r="B57" i="37"/>
  <c r="B211" i="6"/>
  <c r="K211" i="6"/>
  <c r="G211" i="6"/>
  <c r="K211" i="37"/>
  <c r="G211" i="37"/>
  <c r="B211" i="37"/>
  <c r="L210" i="38"/>
  <c r="L210" i="39"/>
  <c r="M54" i="6"/>
  <c r="L54" i="6"/>
  <c r="O55" i="6" s="1"/>
  <c r="I57" i="39" l="1"/>
  <c r="K57" i="39" s="1"/>
  <c r="I57" i="38"/>
  <c r="K57" i="38" s="1"/>
  <c r="O57" i="38"/>
  <c r="M57" i="38" s="1"/>
  <c r="L211" i="37"/>
  <c r="L211" i="6"/>
  <c r="A213" i="38"/>
  <c r="F213" i="38" s="1"/>
  <c r="A59" i="38"/>
  <c r="D58" i="38"/>
  <c r="H58" i="38" s="1"/>
  <c r="F58" i="38"/>
  <c r="B58" i="38"/>
  <c r="C58" i="38"/>
  <c r="G58" i="38"/>
  <c r="E58" i="38"/>
  <c r="L58" i="38" s="1"/>
  <c r="G212" i="38"/>
  <c r="B212" i="38"/>
  <c r="K212" i="38"/>
  <c r="L211" i="39"/>
  <c r="F58" i="37"/>
  <c r="A59" i="37"/>
  <c r="D58" i="37"/>
  <c r="H58" i="37" s="1"/>
  <c r="G58" i="37"/>
  <c r="B58" i="37"/>
  <c r="C58" i="37"/>
  <c r="E58" i="37"/>
  <c r="A213" i="37"/>
  <c r="F213" i="37" s="1"/>
  <c r="A213" i="6"/>
  <c r="F213" i="6" s="1"/>
  <c r="C58" i="6"/>
  <c r="B58" i="6"/>
  <c r="A59" i="6"/>
  <c r="G58" i="6"/>
  <c r="D58" i="6"/>
  <c r="H58" i="6" s="1"/>
  <c r="F58" i="6"/>
  <c r="E58" i="6"/>
  <c r="I58" i="6" s="1"/>
  <c r="K58" i="6" s="1"/>
  <c r="K212" i="37"/>
  <c r="G212" i="37"/>
  <c r="B212" i="37"/>
  <c r="E58" i="39"/>
  <c r="F58" i="39"/>
  <c r="C58" i="39"/>
  <c r="B58" i="39"/>
  <c r="A59" i="39"/>
  <c r="A213" i="39"/>
  <c r="F213" i="39" s="1"/>
  <c r="G58" i="39"/>
  <c r="D58" i="39"/>
  <c r="H58" i="39" s="1"/>
  <c r="I57" i="37"/>
  <c r="K57" i="37" s="1"/>
  <c r="K212" i="39"/>
  <c r="B212" i="39"/>
  <c r="G212" i="39"/>
  <c r="M55" i="6"/>
  <c r="L55" i="6"/>
  <c r="O56" i="6" s="1"/>
  <c r="L211" i="38"/>
  <c r="B212" i="6"/>
  <c r="K212" i="6"/>
  <c r="G212" i="6"/>
  <c r="O57" i="39"/>
  <c r="M57" i="39" s="1"/>
  <c r="L212" i="37" l="1"/>
  <c r="L212" i="38"/>
  <c r="O58" i="38"/>
  <c r="M58" i="38" s="1"/>
  <c r="I58" i="38"/>
  <c r="K58" i="38" s="1"/>
  <c r="L212" i="39"/>
  <c r="A214" i="6"/>
  <c r="F214" i="6" s="1"/>
  <c r="G59" i="6"/>
  <c r="B59" i="6"/>
  <c r="C59" i="6"/>
  <c r="A60" i="6"/>
  <c r="F59" i="6"/>
  <c r="E59" i="6"/>
  <c r="I59" i="6" s="1"/>
  <c r="K59" i="6" s="1"/>
  <c r="D59" i="6"/>
  <c r="H59" i="6" s="1"/>
  <c r="G213" i="6"/>
  <c r="B213" i="6"/>
  <c r="K213" i="6"/>
  <c r="B213" i="37"/>
  <c r="K213" i="37"/>
  <c r="G213" i="37"/>
  <c r="G213" i="39"/>
  <c r="K213" i="39"/>
  <c r="B213" i="39"/>
  <c r="I58" i="37"/>
  <c r="K58" i="37" s="1"/>
  <c r="G59" i="38"/>
  <c r="B59" i="38"/>
  <c r="F59" i="38"/>
  <c r="E59" i="38"/>
  <c r="A60" i="38"/>
  <c r="A214" i="38"/>
  <c r="F214" i="38" s="1"/>
  <c r="D59" i="38"/>
  <c r="H59" i="38" s="1"/>
  <c r="C59" i="38"/>
  <c r="G59" i="39"/>
  <c r="A214" i="39"/>
  <c r="F214" i="39" s="1"/>
  <c r="F59" i="39"/>
  <c r="B59" i="39"/>
  <c r="E59" i="39"/>
  <c r="I59" i="39" s="1"/>
  <c r="D59" i="39"/>
  <c r="H59" i="39" s="1"/>
  <c r="A60" i="39"/>
  <c r="C59" i="39"/>
  <c r="B213" i="38"/>
  <c r="G213" i="38"/>
  <c r="K213" i="38"/>
  <c r="I58" i="39"/>
  <c r="K58" i="39"/>
  <c r="L58" i="39"/>
  <c r="G59" i="37"/>
  <c r="B59" i="37"/>
  <c r="E59" i="37"/>
  <c r="F59" i="37"/>
  <c r="D59" i="37"/>
  <c r="H59" i="37" s="1"/>
  <c r="A60" i="37"/>
  <c r="A214" i="37"/>
  <c r="F214" i="37" s="1"/>
  <c r="C59" i="37"/>
  <c r="M56" i="6"/>
  <c r="L56" i="6"/>
  <c r="O57" i="6" s="1"/>
  <c r="L212" i="6"/>
  <c r="O58" i="39"/>
  <c r="M58" i="39" s="1"/>
  <c r="O59" i="39" l="1"/>
  <c r="M59" i="39" s="1"/>
  <c r="G214" i="37"/>
  <c r="B214" i="37"/>
  <c r="K214" i="37"/>
  <c r="B214" i="39"/>
  <c r="K214" i="39"/>
  <c r="G214" i="39"/>
  <c r="A61" i="37"/>
  <c r="E60" i="37"/>
  <c r="B60" i="37"/>
  <c r="A215" i="37"/>
  <c r="F215" i="37" s="1"/>
  <c r="G60" i="37"/>
  <c r="C60" i="37"/>
  <c r="F60" i="37"/>
  <c r="D60" i="37"/>
  <c r="H60" i="37" s="1"/>
  <c r="I59" i="37"/>
  <c r="K59" i="37" s="1"/>
  <c r="G214" i="38"/>
  <c r="K214" i="38"/>
  <c r="B214" i="38"/>
  <c r="E60" i="38"/>
  <c r="L60" i="38" s="1"/>
  <c r="D60" i="38"/>
  <c r="H60" i="38" s="1"/>
  <c r="C60" i="38"/>
  <c r="G60" i="38"/>
  <c r="F60" i="38"/>
  <c r="A61" i="38"/>
  <c r="B60" i="38"/>
  <c r="A215" i="38"/>
  <c r="F215" i="38" s="1"/>
  <c r="A215" i="6"/>
  <c r="F215" i="6" s="1"/>
  <c r="G60" i="6"/>
  <c r="E60" i="6"/>
  <c r="D60" i="6"/>
  <c r="H60" i="6" s="1"/>
  <c r="A61" i="6"/>
  <c r="C60" i="6"/>
  <c r="B60" i="6"/>
  <c r="F60" i="6"/>
  <c r="I59" i="38"/>
  <c r="K59" i="38" s="1"/>
  <c r="L59" i="38"/>
  <c r="K214" i="6"/>
  <c r="G214" i="6"/>
  <c r="B214" i="6"/>
  <c r="L213" i="38"/>
  <c r="O59" i="38"/>
  <c r="M59" i="38" s="1"/>
  <c r="L213" i="39"/>
  <c r="D60" i="39"/>
  <c r="H60" i="39" s="1"/>
  <c r="A215" i="39"/>
  <c r="F215" i="39" s="1"/>
  <c r="B60" i="39"/>
  <c r="A61" i="39"/>
  <c r="C60" i="39"/>
  <c r="E60" i="39"/>
  <c r="F60" i="39"/>
  <c r="G60" i="39"/>
  <c r="L213" i="37"/>
  <c r="M57" i="6"/>
  <c r="L57" i="6"/>
  <c r="O58" i="6" s="1"/>
  <c r="K59" i="39"/>
  <c r="L59" i="39"/>
  <c r="L213" i="6"/>
  <c r="I60" i="38" l="1"/>
  <c r="K60" i="38" s="1"/>
  <c r="O60" i="38"/>
  <c r="M60" i="38" s="1"/>
  <c r="L214" i="6"/>
  <c r="M58" i="6"/>
  <c r="L58" i="6"/>
  <c r="O59" i="6" s="1"/>
  <c r="L214" i="38"/>
  <c r="A216" i="6"/>
  <c r="F216" i="6" s="1"/>
  <c r="E61" i="6"/>
  <c r="C61" i="6"/>
  <c r="B61" i="6"/>
  <c r="F61" i="6"/>
  <c r="D61" i="6"/>
  <c r="H61" i="6" s="1"/>
  <c r="G61" i="6"/>
  <c r="A62" i="6"/>
  <c r="I60" i="39"/>
  <c r="K60" i="39"/>
  <c r="L60" i="39"/>
  <c r="I60" i="6"/>
  <c r="K60" i="6" s="1"/>
  <c r="E61" i="39"/>
  <c r="G61" i="39"/>
  <c r="D61" i="39"/>
  <c r="H61" i="39" s="1"/>
  <c r="B61" i="39"/>
  <c r="C61" i="39"/>
  <c r="F61" i="39"/>
  <c r="A216" i="39"/>
  <c r="F216" i="39" s="1"/>
  <c r="A62" i="39"/>
  <c r="K215" i="37"/>
  <c r="B215" i="37"/>
  <c r="G215" i="37"/>
  <c r="B215" i="39"/>
  <c r="K215" i="39"/>
  <c r="G215" i="39"/>
  <c r="B215" i="38"/>
  <c r="G215" i="38"/>
  <c r="K215" i="38"/>
  <c r="I60" i="37"/>
  <c r="K60" i="37" s="1"/>
  <c r="E61" i="37"/>
  <c r="D61" i="37"/>
  <c r="H61" i="37" s="1"/>
  <c r="G61" i="37"/>
  <c r="A62" i="37"/>
  <c r="F61" i="37"/>
  <c r="C61" i="37"/>
  <c r="B61" i="37"/>
  <c r="A216" i="37"/>
  <c r="F216" i="37" s="1"/>
  <c r="G61" i="38"/>
  <c r="E61" i="38"/>
  <c r="L61" i="38" s="1"/>
  <c r="D61" i="38"/>
  <c r="H61" i="38" s="1"/>
  <c r="B61" i="38"/>
  <c r="A62" i="38"/>
  <c r="F61" i="38"/>
  <c r="C61" i="38"/>
  <c r="A216" i="38"/>
  <c r="F216" i="38" s="1"/>
  <c r="L214" i="39"/>
  <c r="L214" i="37"/>
  <c r="G215" i="6"/>
  <c r="K215" i="6"/>
  <c r="B215" i="6"/>
  <c r="O60" i="39"/>
  <c r="M60" i="39" s="1"/>
  <c r="O61" i="39" l="1"/>
  <c r="M61" i="39" s="1"/>
  <c r="I61" i="37"/>
  <c r="K61" i="37" s="1"/>
  <c r="L215" i="38"/>
  <c r="I61" i="38"/>
  <c r="K61" i="38" s="1"/>
  <c r="G216" i="38"/>
  <c r="B216" i="38"/>
  <c r="K216" i="38"/>
  <c r="A217" i="6"/>
  <c r="F217" i="6" s="1"/>
  <c r="G62" i="6"/>
  <c r="E62" i="6"/>
  <c r="I62" i="6" s="1"/>
  <c r="K62" i="6" s="1"/>
  <c r="F62" i="6"/>
  <c r="B62" i="6"/>
  <c r="D62" i="6"/>
  <c r="H62" i="6" s="1"/>
  <c r="C62" i="6"/>
  <c r="A63" i="6"/>
  <c r="L215" i="39"/>
  <c r="B62" i="38"/>
  <c r="A63" i="38"/>
  <c r="E62" i="38"/>
  <c r="L62" i="38" s="1"/>
  <c r="A217" i="38"/>
  <c r="F217" i="38" s="1"/>
  <c r="C62" i="38"/>
  <c r="D62" i="38"/>
  <c r="H62" i="38" s="1"/>
  <c r="G62" i="38"/>
  <c r="F62" i="38"/>
  <c r="L215" i="37"/>
  <c r="C62" i="39"/>
  <c r="F62" i="39"/>
  <c r="E62" i="39"/>
  <c r="D62" i="39"/>
  <c r="H62" i="39" s="1"/>
  <c r="A63" i="39"/>
  <c r="A217" i="39"/>
  <c r="F217" i="39" s="1"/>
  <c r="B62" i="39"/>
  <c r="G62" i="39"/>
  <c r="I61" i="6"/>
  <c r="K61" i="6" s="1"/>
  <c r="B216" i="37"/>
  <c r="K216" i="37"/>
  <c r="G216" i="37"/>
  <c r="K216" i="39"/>
  <c r="G216" i="39"/>
  <c r="B216" i="39"/>
  <c r="G216" i="6"/>
  <c r="B216" i="6"/>
  <c r="K216" i="6"/>
  <c r="O61" i="38"/>
  <c r="M61" i="38" s="1"/>
  <c r="M59" i="6"/>
  <c r="L59" i="6"/>
  <c r="O60" i="6" s="1"/>
  <c r="A217" i="37"/>
  <c r="F217" i="37" s="1"/>
  <c r="D62" i="37"/>
  <c r="H62" i="37" s="1"/>
  <c r="B62" i="37"/>
  <c r="C62" i="37"/>
  <c r="G62" i="37"/>
  <c r="A63" i="37"/>
  <c r="F62" i="37"/>
  <c r="E62" i="37"/>
  <c r="I62" i="37" s="1"/>
  <c r="K62" i="37" s="1"/>
  <c r="L215" i="6"/>
  <c r="I61" i="39"/>
  <c r="K61" i="39"/>
  <c r="L61" i="39"/>
  <c r="I62" i="38" l="1"/>
  <c r="K62" i="38" s="1"/>
  <c r="A64" i="37"/>
  <c r="F63" i="37"/>
  <c r="C63" i="37"/>
  <c r="G63" i="37"/>
  <c r="A218" i="37"/>
  <c r="F218" i="37" s="1"/>
  <c r="D63" i="37"/>
  <c r="H63" i="37" s="1"/>
  <c r="E63" i="37"/>
  <c r="B63" i="37"/>
  <c r="B217" i="39"/>
  <c r="K217" i="39"/>
  <c r="G217" i="39"/>
  <c r="A64" i="39"/>
  <c r="G63" i="39"/>
  <c r="A218" i="39"/>
  <c r="F218" i="39" s="1"/>
  <c r="F63" i="39"/>
  <c r="E63" i="39"/>
  <c r="I63" i="39" s="1"/>
  <c r="B63" i="39"/>
  <c r="D63" i="39"/>
  <c r="H63" i="39" s="1"/>
  <c r="C63" i="39"/>
  <c r="A218" i="6"/>
  <c r="F218" i="6" s="1"/>
  <c r="G63" i="6"/>
  <c r="F63" i="6"/>
  <c r="D63" i="6"/>
  <c r="H63" i="6" s="1"/>
  <c r="E63" i="6"/>
  <c r="C63" i="6"/>
  <c r="B63" i="6"/>
  <c r="A64" i="6"/>
  <c r="K217" i="37"/>
  <c r="G217" i="37"/>
  <c r="B217" i="37"/>
  <c r="M60" i="6"/>
  <c r="L60" i="6"/>
  <c r="O61" i="6" s="1"/>
  <c r="I62" i="39"/>
  <c r="K62" i="39"/>
  <c r="L62" i="39"/>
  <c r="L216" i="6"/>
  <c r="O62" i="38"/>
  <c r="M62" i="38" s="1"/>
  <c r="G217" i="6"/>
  <c r="B217" i="6"/>
  <c r="K217" i="6"/>
  <c r="O62" i="39"/>
  <c r="M62" i="39" s="1"/>
  <c r="L216" i="38"/>
  <c r="L216" i="39"/>
  <c r="L216" i="37"/>
  <c r="K217" i="38"/>
  <c r="G217" i="38"/>
  <c r="B217" i="38"/>
  <c r="A64" i="38"/>
  <c r="B63" i="38"/>
  <c r="E63" i="38"/>
  <c r="A218" i="38"/>
  <c r="F218" i="38" s="1"/>
  <c r="D63" i="38"/>
  <c r="H63" i="38" s="1"/>
  <c r="C63" i="38"/>
  <c r="F63" i="38"/>
  <c r="G63" i="38"/>
  <c r="O63" i="39" l="1"/>
  <c r="M63" i="39" s="1"/>
  <c r="B218" i="38"/>
  <c r="G218" i="38"/>
  <c r="K218" i="38"/>
  <c r="I63" i="38"/>
  <c r="K63" i="38" s="1"/>
  <c r="L63" i="38"/>
  <c r="B64" i="38"/>
  <c r="A65" i="38"/>
  <c r="E64" i="38"/>
  <c r="C64" i="38"/>
  <c r="F64" i="38"/>
  <c r="D64" i="38"/>
  <c r="H64" i="38" s="1"/>
  <c r="G64" i="38"/>
  <c r="A219" i="38"/>
  <c r="F219" i="38" s="1"/>
  <c r="K63" i="39"/>
  <c r="L63" i="39"/>
  <c r="O63" i="38"/>
  <c r="M63" i="38" s="1"/>
  <c r="B218" i="39"/>
  <c r="G218" i="39"/>
  <c r="K218" i="39"/>
  <c r="M61" i="6"/>
  <c r="L61" i="6"/>
  <c r="O62" i="6" s="1"/>
  <c r="D64" i="39"/>
  <c r="H64" i="39" s="1"/>
  <c r="B64" i="39"/>
  <c r="C64" i="39"/>
  <c r="A65" i="39"/>
  <c r="F64" i="39"/>
  <c r="E64" i="39"/>
  <c r="A219" i="39"/>
  <c r="F219" i="39" s="1"/>
  <c r="G64" i="39"/>
  <c r="L217" i="39"/>
  <c r="L217" i="37"/>
  <c r="A219" i="6"/>
  <c r="F219" i="6" s="1"/>
  <c r="F64" i="6"/>
  <c r="E64" i="6"/>
  <c r="D64" i="6"/>
  <c r="H64" i="6" s="1"/>
  <c r="G64" i="6"/>
  <c r="B64" i="6"/>
  <c r="C64" i="6"/>
  <c r="A65" i="6"/>
  <c r="I63" i="37"/>
  <c r="K63" i="37" s="1"/>
  <c r="I63" i="6"/>
  <c r="K63" i="6" s="1"/>
  <c r="K218" i="37"/>
  <c r="B218" i="37"/>
  <c r="G218" i="37"/>
  <c r="L217" i="38"/>
  <c r="L217" i="6"/>
  <c r="B218" i="6"/>
  <c r="K218" i="6"/>
  <c r="G218" i="6"/>
  <c r="C64" i="37"/>
  <c r="B64" i="37"/>
  <c r="G64" i="37"/>
  <c r="D64" i="37"/>
  <c r="H64" i="37" s="1"/>
  <c r="F64" i="37"/>
  <c r="A65" i="37"/>
  <c r="A219" i="37"/>
  <c r="F219" i="37" s="1"/>
  <c r="E64" i="37"/>
  <c r="I64" i="37" s="1"/>
  <c r="K64" i="37" s="1"/>
  <c r="O64" i="39" l="1"/>
  <c r="M64" i="39" s="1"/>
  <c r="L218" i="39"/>
  <c r="L218" i="6"/>
  <c r="G219" i="6"/>
  <c r="K219" i="6"/>
  <c r="B219" i="6"/>
  <c r="G219" i="38"/>
  <c r="K219" i="38"/>
  <c r="B219" i="38"/>
  <c r="L218" i="37"/>
  <c r="G219" i="39"/>
  <c r="B219" i="39"/>
  <c r="K219" i="39"/>
  <c r="I64" i="38"/>
  <c r="K64" i="38"/>
  <c r="L64" i="38"/>
  <c r="I64" i="39"/>
  <c r="K64" i="39" s="1"/>
  <c r="L64" i="39"/>
  <c r="F65" i="38"/>
  <c r="G65" i="38"/>
  <c r="A66" i="38"/>
  <c r="D65" i="38"/>
  <c r="H65" i="38" s="1"/>
  <c r="E65" i="38"/>
  <c r="B65" i="38"/>
  <c r="A220" i="38"/>
  <c r="F220" i="38" s="1"/>
  <c r="C65" i="38"/>
  <c r="A220" i="39"/>
  <c r="F220" i="39" s="1"/>
  <c r="F65" i="39"/>
  <c r="A66" i="39"/>
  <c r="C65" i="39"/>
  <c r="B65" i="39"/>
  <c r="G65" i="39"/>
  <c r="E65" i="39"/>
  <c r="D65" i="39"/>
  <c r="H65" i="39" s="1"/>
  <c r="O64" i="38"/>
  <c r="M64" i="38" s="1"/>
  <c r="K219" i="37"/>
  <c r="B219" i="37"/>
  <c r="G219" i="37"/>
  <c r="E65" i="37"/>
  <c r="B65" i="37"/>
  <c r="A66" i="37"/>
  <c r="G65" i="37"/>
  <c r="F65" i="37"/>
  <c r="A220" i="37"/>
  <c r="F220" i="37" s="1"/>
  <c r="D65" i="37"/>
  <c r="H65" i="37" s="1"/>
  <c r="C65" i="37"/>
  <c r="L218" i="38"/>
  <c r="I64" i="6"/>
  <c r="K64" i="6" s="1"/>
  <c r="A220" i="6"/>
  <c r="F220" i="6" s="1"/>
  <c r="C65" i="6"/>
  <c r="B65" i="6"/>
  <c r="D65" i="6"/>
  <c r="H65" i="6" s="1"/>
  <c r="E65" i="6"/>
  <c r="G65" i="6"/>
  <c r="F65" i="6"/>
  <c r="A66" i="6"/>
  <c r="M62" i="6"/>
  <c r="L62" i="6"/>
  <c r="O63" i="6" s="1"/>
  <c r="O65" i="38" l="1"/>
  <c r="M65" i="38" s="1"/>
  <c r="I65" i="39"/>
  <c r="K65" i="39"/>
  <c r="L65" i="39"/>
  <c r="L219" i="39"/>
  <c r="K220" i="6"/>
  <c r="B220" i="6"/>
  <c r="G220" i="6"/>
  <c r="B66" i="39"/>
  <c r="C66" i="39"/>
  <c r="A221" i="39"/>
  <c r="F221" i="39" s="1"/>
  <c r="F66" i="39"/>
  <c r="D66" i="39"/>
  <c r="H66" i="39" s="1"/>
  <c r="A67" i="39"/>
  <c r="G66" i="39"/>
  <c r="E66" i="39"/>
  <c r="L66" i="39" s="1"/>
  <c r="G220" i="39"/>
  <c r="B220" i="39"/>
  <c r="K220" i="39"/>
  <c r="L219" i="38"/>
  <c r="G220" i="37"/>
  <c r="B220" i="37"/>
  <c r="K220" i="37"/>
  <c r="K220" i="38"/>
  <c r="G220" i="38"/>
  <c r="B220" i="38"/>
  <c r="L219" i="6"/>
  <c r="I65" i="38"/>
  <c r="K65" i="38"/>
  <c r="L65" i="38"/>
  <c r="D66" i="37"/>
  <c r="H66" i="37" s="1"/>
  <c r="F66" i="37"/>
  <c r="B66" i="37"/>
  <c r="C66" i="37"/>
  <c r="E66" i="37"/>
  <c r="A67" i="37"/>
  <c r="G66" i="37"/>
  <c r="A221" i="37"/>
  <c r="F221" i="37" s="1"/>
  <c r="M63" i="6"/>
  <c r="L63" i="6"/>
  <c r="O64" i="6" s="1"/>
  <c r="D66" i="38"/>
  <c r="H66" i="38" s="1"/>
  <c r="B66" i="38"/>
  <c r="F66" i="38"/>
  <c r="A221" i="38"/>
  <c r="F221" i="38" s="1"/>
  <c r="E66" i="38"/>
  <c r="C66" i="38"/>
  <c r="G66" i="38"/>
  <c r="A67" i="38"/>
  <c r="I65" i="37"/>
  <c r="K65" i="37" s="1"/>
  <c r="I65" i="6"/>
  <c r="K65" i="6" s="1"/>
  <c r="A221" i="6"/>
  <c r="F221" i="6" s="1"/>
  <c r="E66" i="6"/>
  <c r="C66" i="6"/>
  <c r="B66" i="6"/>
  <c r="F66" i="6"/>
  <c r="D66" i="6"/>
  <c r="H66" i="6" s="1"/>
  <c r="G66" i="6"/>
  <c r="A67" i="6"/>
  <c r="O65" i="39"/>
  <c r="M65" i="39" s="1"/>
  <c r="I66" i="6" l="1"/>
  <c r="K66" i="6" s="1"/>
  <c r="K221" i="6"/>
  <c r="G221" i="6"/>
  <c r="B221" i="6"/>
  <c r="E67" i="39"/>
  <c r="B67" i="39"/>
  <c r="C67" i="39"/>
  <c r="F67" i="39"/>
  <c r="D67" i="39"/>
  <c r="H67" i="39" s="1"/>
  <c r="A68" i="39"/>
  <c r="A222" i="39"/>
  <c r="F222" i="39" s="1"/>
  <c r="G67" i="39"/>
  <c r="O66" i="38"/>
  <c r="M66" i="38" s="1"/>
  <c r="E67" i="38"/>
  <c r="G67" i="38"/>
  <c r="F67" i="38"/>
  <c r="D67" i="38"/>
  <c r="H67" i="38" s="1"/>
  <c r="C67" i="38"/>
  <c r="B67" i="38"/>
  <c r="A68" i="38"/>
  <c r="A222" i="38"/>
  <c r="F222" i="38" s="1"/>
  <c r="K221" i="39"/>
  <c r="G221" i="39"/>
  <c r="B221" i="39"/>
  <c r="I66" i="38"/>
  <c r="K66" i="38"/>
  <c r="L66" i="38"/>
  <c r="K221" i="38"/>
  <c r="G221" i="38"/>
  <c r="B221" i="38"/>
  <c r="L220" i="38"/>
  <c r="L220" i="6"/>
  <c r="M64" i="6"/>
  <c r="L64" i="6"/>
  <c r="O65" i="6" s="1"/>
  <c r="O66" i="39"/>
  <c r="M66" i="39" s="1"/>
  <c r="A222" i="6"/>
  <c r="F222" i="6" s="1"/>
  <c r="D67" i="6"/>
  <c r="H67" i="6" s="1"/>
  <c r="C67" i="6"/>
  <c r="G67" i="6"/>
  <c r="A68" i="6"/>
  <c r="F67" i="6"/>
  <c r="B67" i="6"/>
  <c r="E67" i="6"/>
  <c r="B221" i="37"/>
  <c r="K221" i="37"/>
  <c r="G221" i="37"/>
  <c r="L220" i="39"/>
  <c r="D67" i="37"/>
  <c r="H67" i="37" s="1"/>
  <c r="B67" i="37"/>
  <c r="A222" i="37"/>
  <c r="F222" i="37" s="1"/>
  <c r="C67" i="37"/>
  <c r="G67" i="37"/>
  <c r="A68" i="37"/>
  <c r="E67" i="37"/>
  <c r="F67" i="37"/>
  <c r="I66" i="37"/>
  <c r="K66" i="37" s="1"/>
  <c r="I66" i="39"/>
  <c r="K66" i="39" s="1"/>
  <c r="K222" i="37" l="1"/>
  <c r="G222" i="37"/>
  <c r="B222" i="37"/>
  <c r="I67" i="38"/>
  <c r="K67" i="38" s="1"/>
  <c r="L67" i="38"/>
  <c r="G222" i="39"/>
  <c r="B222" i="39"/>
  <c r="K222" i="39"/>
  <c r="D68" i="39"/>
  <c r="H68" i="39" s="1"/>
  <c r="C68" i="39"/>
  <c r="A223" i="39"/>
  <c r="F223" i="39" s="1"/>
  <c r="E68" i="39"/>
  <c r="A69" i="39"/>
  <c r="B68" i="39"/>
  <c r="G68" i="39"/>
  <c r="F68" i="39"/>
  <c r="L221" i="38"/>
  <c r="I67" i="6"/>
  <c r="K67" i="6" s="1"/>
  <c r="O67" i="38"/>
  <c r="M67" i="38" s="1"/>
  <c r="I67" i="39"/>
  <c r="K67" i="39" s="1"/>
  <c r="L67" i="39"/>
  <c r="A223" i="6"/>
  <c r="F223" i="6" s="1"/>
  <c r="F68" i="6"/>
  <c r="D68" i="6"/>
  <c r="H68" i="6" s="1"/>
  <c r="C68" i="6"/>
  <c r="B68" i="6"/>
  <c r="A69" i="6"/>
  <c r="G68" i="6"/>
  <c r="E68" i="6"/>
  <c r="L221" i="39"/>
  <c r="L221" i="6"/>
  <c r="G222" i="38"/>
  <c r="B222" i="38"/>
  <c r="K222" i="38"/>
  <c r="O67" i="39"/>
  <c r="M67" i="39" s="1"/>
  <c r="G222" i="6"/>
  <c r="B222" i="6"/>
  <c r="K222" i="6"/>
  <c r="A223" i="38"/>
  <c r="F223" i="38" s="1"/>
  <c r="A69" i="38"/>
  <c r="D68" i="38"/>
  <c r="H68" i="38" s="1"/>
  <c r="C68" i="38"/>
  <c r="G68" i="38"/>
  <c r="F68" i="38"/>
  <c r="E68" i="38"/>
  <c r="B68" i="38"/>
  <c r="I67" i="37"/>
  <c r="K67" i="37" s="1"/>
  <c r="C68" i="37"/>
  <c r="A69" i="37"/>
  <c r="F68" i="37"/>
  <c r="D68" i="37"/>
  <c r="H68" i="37" s="1"/>
  <c r="G68" i="37"/>
  <c r="E68" i="37"/>
  <c r="B68" i="37"/>
  <c r="A223" i="37"/>
  <c r="F223" i="37" s="1"/>
  <c r="M65" i="6"/>
  <c r="L65" i="6"/>
  <c r="O66" i="6" s="1"/>
  <c r="B69" i="37" l="1"/>
  <c r="G69" i="37"/>
  <c r="F69" i="37"/>
  <c r="A70" i="37"/>
  <c r="A224" i="37"/>
  <c r="F224" i="37" s="1"/>
  <c r="D69" i="37"/>
  <c r="H69" i="37" s="1"/>
  <c r="C69" i="37"/>
  <c r="E69" i="37"/>
  <c r="I68" i="6"/>
  <c r="K68" i="6" s="1"/>
  <c r="F69" i="39"/>
  <c r="B69" i="39"/>
  <c r="A224" i="39"/>
  <c r="F224" i="39" s="1"/>
  <c r="C69" i="39"/>
  <c r="A70" i="39"/>
  <c r="E69" i="39"/>
  <c r="L69" i="39" s="1"/>
  <c r="G69" i="39"/>
  <c r="D69" i="39"/>
  <c r="H69" i="39" s="1"/>
  <c r="I68" i="38"/>
  <c r="K68" i="38" s="1"/>
  <c r="L68" i="38"/>
  <c r="A224" i="6"/>
  <c r="F224" i="6" s="1"/>
  <c r="F69" i="6"/>
  <c r="E69" i="6"/>
  <c r="I69" i="6" s="1"/>
  <c r="K69" i="6" s="1"/>
  <c r="B69" i="6"/>
  <c r="D69" i="6"/>
  <c r="H69" i="6" s="1"/>
  <c r="C69" i="6"/>
  <c r="A70" i="6"/>
  <c r="G69" i="6"/>
  <c r="I68" i="39"/>
  <c r="K68" i="39" s="1"/>
  <c r="L68" i="39"/>
  <c r="K223" i="39"/>
  <c r="G223" i="39"/>
  <c r="B223" i="39"/>
  <c r="L222" i="39"/>
  <c r="G69" i="38"/>
  <c r="F69" i="38"/>
  <c r="D69" i="38"/>
  <c r="H69" i="38" s="1"/>
  <c r="E69" i="38"/>
  <c r="A224" i="38"/>
  <c r="F224" i="38" s="1"/>
  <c r="B69" i="38"/>
  <c r="C69" i="38"/>
  <c r="A70" i="38"/>
  <c r="K223" i="6"/>
  <c r="B223" i="6"/>
  <c r="G223" i="6"/>
  <c r="G223" i="38"/>
  <c r="B223" i="38"/>
  <c r="K223" i="38"/>
  <c r="O68" i="39"/>
  <c r="M68" i="39" s="1"/>
  <c r="M66" i="6"/>
  <c r="L66" i="6"/>
  <c r="O67" i="6" s="1"/>
  <c r="L222" i="6"/>
  <c r="O68" i="38"/>
  <c r="M68" i="38" s="1"/>
  <c r="G223" i="37"/>
  <c r="B223" i="37"/>
  <c r="K223" i="37"/>
  <c r="I68" i="37"/>
  <c r="K68" i="37" s="1"/>
  <c r="L222" i="38"/>
  <c r="L222" i="37"/>
  <c r="I69" i="39" l="1"/>
  <c r="K69" i="39" s="1"/>
  <c r="E70" i="39"/>
  <c r="D70" i="39"/>
  <c r="H70" i="39" s="1"/>
  <c r="B70" i="39"/>
  <c r="C70" i="39"/>
  <c r="A71" i="39"/>
  <c r="G70" i="39"/>
  <c r="A225" i="39"/>
  <c r="F225" i="39" s="1"/>
  <c r="F70" i="39"/>
  <c r="M67" i="6"/>
  <c r="L67" i="6"/>
  <c r="O68" i="6" s="1"/>
  <c r="L223" i="39"/>
  <c r="B224" i="39"/>
  <c r="K224" i="39"/>
  <c r="G224" i="39"/>
  <c r="O69" i="39"/>
  <c r="M69" i="39" s="1"/>
  <c r="L223" i="38"/>
  <c r="A225" i="6"/>
  <c r="F225" i="6" s="1"/>
  <c r="E70" i="6"/>
  <c r="I70" i="6" s="1"/>
  <c r="K70" i="6" s="1"/>
  <c r="G70" i="6"/>
  <c r="C70" i="6"/>
  <c r="B70" i="6"/>
  <c r="A71" i="6"/>
  <c r="F70" i="6"/>
  <c r="D70" i="6"/>
  <c r="H70" i="6" s="1"/>
  <c r="I69" i="37"/>
  <c r="K69" i="37" s="1"/>
  <c r="L223" i="6"/>
  <c r="E70" i="38"/>
  <c r="F70" i="38"/>
  <c r="A71" i="38"/>
  <c r="D70" i="38"/>
  <c r="H70" i="38" s="1"/>
  <c r="A225" i="38"/>
  <c r="F225" i="38" s="1"/>
  <c r="G70" i="38"/>
  <c r="C70" i="38"/>
  <c r="B70" i="38"/>
  <c r="B224" i="37"/>
  <c r="G224" i="37"/>
  <c r="K224" i="37"/>
  <c r="A225" i="37"/>
  <c r="F225" i="37" s="1"/>
  <c r="G70" i="37"/>
  <c r="D70" i="37"/>
  <c r="H70" i="37" s="1"/>
  <c r="E70" i="37"/>
  <c r="A71" i="37"/>
  <c r="F70" i="37"/>
  <c r="C70" i="37"/>
  <c r="B70" i="37"/>
  <c r="B224" i="38"/>
  <c r="G224" i="38"/>
  <c r="K224" i="38"/>
  <c r="K224" i="6"/>
  <c r="B224" i="6"/>
  <c r="G224" i="6"/>
  <c r="I69" i="38"/>
  <c r="K69" i="38" s="1"/>
  <c r="L69" i="38"/>
  <c r="O69" i="38"/>
  <c r="M69" i="38" s="1"/>
  <c r="L223" i="37"/>
  <c r="G225" i="38" l="1"/>
  <c r="K225" i="38"/>
  <c r="B225" i="38"/>
  <c r="L224" i="6"/>
  <c r="L224" i="38"/>
  <c r="A72" i="38"/>
  <c r="B71" i="38"/>
  <c r="F71" i="38"/>
  <c r="E71" i="38"/>
  <c r="D71" i="38"/>
  <c r="H71" i="38" s="1"/>
  <c r="C71" i="38"/>
  <c r="A226" i="38"/>
  <c r="F226" i="38" s="1"/>
  <c r="G71" i="38"/>
  <c r="L224" i="39"/>
  <c r="I70" i="38"/>
  <c r="K70" i="38" s="1"/>
  <c r="L70" i="38"/>
  <c r="M68" i="6"/>
  <c r="L68" i="6"/>
  <c r="O69" i="6" s="1"/>
  <c r="I70" i="37"/>
  <c r="K70" i="37" s="1"/>
  <c r="G225" i="39"/>
  <c r="B225" i="39"/>
  <c r="K225" i="39"/>
  <c r="G225" i="37"/>
  <c r="B225" i="37"/>
  <c r="K225" i="37"/>
  <c r="A226" i="6"/>
  <c r="F226" i="6" s="1"/>
  <c r="E71" i="6"/>
  <c r="C71" i="6"/>
  <c r="G71" i="6"/>
  <c r="F71" i="6"/>
  <c r="D71" i="6"/>
  <c r="H71" i="6" s="1"/>
  <c r="B71" i="6"/>
  <c r="A72" i="6"/>
  <c r="C71" i="39"/>
  <c r="G71" i="39"/>
  <c r="B71" i="39"/>
  <c r="A226" i="39"/>
  <c r="F226" i="39" s="1"/>
  <c r="F71" i="39"/>
  <c r="D71" i="39"/>
  <c r="H71" i="39" s="1"/>
  <c r="A72" i="39"/>
  <c r="E71" i="39"/>
  <c r="L71" i="39" s="1"/>
  <c r="L224" i="37"/>
  <c r="I70" i="39"/>
  <c r="K70" i="39" s="1"/>
  <c r="L70" i="39"/>
  <c r="D71" i="37"/>
  <c r="H71" i="37" s="1"/>
  <c r="B71" i="37"/>
  <c r="F71" i="37"/>
  <c r="A72" i="37"/>
  <c r="E71" i="37"/>
  <c r="G71" i="37"/>
  <c r="A226" i="37"/>
  <c r="F226" i="37" s="1"/>
  <c r="C71" i="37"/>
  <c r="O70" i="38"/>
  <c r="M70" i="38" s="1"/>
  <c r="K225" i="6"/>
  <c r="G225" i="6"/>
  <c r="B225" i="6"/>
  <c r="O70" i="39"/>
  <c r="M70" i="39" s="1"/>
  <c r="I71" i="39" l="1"/>
  <c r="K71" i="39" s="1"/>
  <c r="O71" i="39"/>
  <c r="M71" i="39" s="1"/>
  <c r="O71" i="38"/>
  <c r="M71" i="38" s="1"/>
  <c r="B226" i="37"/>
  <c r="K226" i="37"/>
  <c r="G226" i="37"/>
  <c r="A227" i="6"/>
  <c r="F227" i="6" s="1"/>
  <c r="E72" i="6"/>
  <c r="C72" i="6"/>
  <c r="F72" i="6"/>
  <c r="D72" i="6"/>
  <c r="H72" i="6" s="1"/>
  <c r="G72" i="6"/>
  <c r="B72" i="6"/>
  <c r="A73" i="6"/>
  <c r="B72" i="37"/>
  <c r="A73" i="37"/>
  <c r="C72" i="37"/>
  <c r="A227" i="37"/>
  <c r="F227" i="37" s="1"/>
  <c r="G72" i="37"/>
  <c r="E72" i="37"/>
  <c r="F72" i="37"/>
  <c r="D72" i="37"/>
  <c r="H72" i="37" s="1"/>
  <c r="I71" i="37"/>
  <c r="K71" i="37" s="1"/>
  <c r="K226" i="38"/>
  <c r="G226" i="38"/>
  <c r="B226" i="38"/>
  <c r="I71" i="6"/>
  <c r="K71" i="6" s="1"/>
  <c r="I71" i="38"/>
  <c r="K71" i="38"/>
  <c r="L71" i="38"/>
  <c r="G226" i="6"/>
  <c r="B226" i="6"/>
  <c r="K226" i="6"/>
  <c r="L225" i="37"/>
  <c r="F72" i="38"/>
  <c r="A227" i="38"/>
  <c r="F227" i="38" s="1"/>
  <c r="E72" i="38"/>
  <c r="D72" i="38"/>
  <c r="H72" i="38" s="1"/>
  <c r="C72" i="38"/>
  <c r="G72" i="38"/>
  <c r="A73" i="38"/>
  <c r="B72" i="38"/>
  <c r="L225" i="39"/>
  <c r="B72" i="39"/>
  <c r="A73" i="39"/>
  <c r="E72" i="39"/>
  <c r="L72" i="39" s="1"/>
  <c r="F72" i="39"/>
  <c r="A227" i="39"/>
  <c r="F227" i="39" s="1"/>
  <c r="D72" i="39"/>
  <c r="H72" i="39" s="1"/>
  <c r="G72" i="39"/>
  <c r="C72" i="39"/>
  <c r="L225" i="38"/>
  <c r="L225" i="6"/>
  <c r="K226" i="39"/>
  <c r="G226" i="39"/>
  <c r="B226" i="39"/>
  <c r="M69" i="6"/>
  <c r="L69" i="6"/>
  <c r="O70" i="6" s="1"/>
  <c r="K72" i="38" l="1"/>
  <c r="L72" i="38"/>
  <c r="G227" i="38"/>
  <c r="B227" i="38"/>
  <c r="K227" i="38"/>
  <c r="I72" i="39"/>
  <c r="K72" i="39" s="1"/>
  <c r="K227" i="37"/>
  <c r="G227" i="37"/>
  <c r="B227" i="37"/>
  <c r="L226" i="6"/>
  <c r="G227" i="39"/>
  <c r="K227" i="39"/>
  <c r="B227" i="39"/>
  <c r="D73" i="37"/>
  <c r="H73" i="37" s="1"/>
  <c r="C73" i="37"/>
  <c r="A74" i="37"/>
  <c r="A228" i="37"/>
  <c r="F228" i="37" s="1"/>
  <c r="G73" i="37"/>
  <c r="B73" i="37"/>
  <c r="F73" i="37"/>
  <c r="E73" i="37"/>
  <c r="O72" i="38"/>
  <c r="M72" i="38" s="1"/>
  <c r="A228" i="6"/>
  <c r="F228" i="6" s="1"/>
  <c r="F73" i="6"/>
  <c r="A74" i="6"/>
  <c r="D73" i="6"/>
  <c r="H73" i="6" s="1"/>
  <c r="C73" i="6"/>
  <c r="G73" i="6"/>
  <c r="E73" i="6"/>
  <c r="I73" i="6" s="1"/>
  <c r="K73" i="6" s="1"/>
  <c r="B73" i="6"/>
  <c r="C73" i="39"/>
  <c r="F73" i="39"/>
  <c r="G73" i="39"/>
  <c r="D73" i="39"/>
  <c r="H73" i="39" s="1"/>
  <c r="E73" i="39"/>
  <c r="A228" i="39"/>
  <c r="F228" i="39" s="1"/>
  <c r="A74" i="39"/>
  <c r="B73" i="39"/>
  <c r="O72" i="39"/>
  <c r="M72" i="39" s="1"/>
  <c r="M70" i="6"/>
  <c r="L70" i="6"/>
  <c r="O71" i="6" s="1"/>
  <c r="I72" i="38"/>
  <c r="I72" i="6"/>
  <c r="K72" i="6" s="1"/>
  <c r="G227" i="6"/>
  <c r="K227" i="6"/>
  <c r="B227" i="6"/>
  <c r="A228" i="38"/>
  <c r="F228" i="38" s="1"/>
  <c r="B73" i="38"/>
  <c r="C73" i="38"/>
  <c r="G73" i="38"/>
  <c r="E73" i="38"/>
  <c r="A74" i="38"/>
  <c r="D73" i="38"/>
  <c r="H73" i="38" s="1"/>
  <c r="F73" i="38"/>
  <c r="L226" i="38"/>
  <c r="L226" i="39"/>
  <c r="L226" i="37"/>
  <c r="I72" i="37"/>
  <c r="K72" i="37" s="1"/>
  <c r="G228" i="39" l="1"/>
  <c r="K228" i="39"/>
  <c r="B228" i="39"/>
  <c r="F74" i="38"/>
  <c r="G74" i="38"/>
  <c r="A229" i="38"/>
  <c r="F229" i="38" s="1"/>
  <c r="A75" i="38"/>
  <c r="B74" i="38"/>
  <c r="D74" i="38"/>
  <c r="H74" i="38" s="1"/>
  <c r="E74" i="38"/>
  <c r="L74" i="38" s="1"/>
  <c r="C74" i="38"/>
  <c r="K73" i="39"/>
  <c r="L73" i="39"/>
  <c r="K228" i="37"/>
  <c r="B228" i="37"/>
  <c r="G228" i="37"/>
  <c r="K73" i="38"/>
  <c r="L73" i="38"/>
  <c r="C74" i="37"/>
  <c r="B74" i="37"/>
  <c r="A229" i="37"/>
  <c r="F229" i="37" s="1"/>
  <c r="A75" i="37"/>
  <c r="G74" i="37"/>
  <c r="F74" i="37"/>
  <c r="D74" i="37"/>
  <c r="H74" i="37" s="1"/>
  <c r="E74" i="37"/>
  <c r="K228" i="38"/>
  <c r="G228" i="38"/>
  <c r="B228" i="38"/>
  <c r="L227" i="39"/>
  <c r="L227" i="6"/>
  <c r="A229" i="6"/>
  <c r="F229" i="6" s="1"/>
  <c r="D74" i="6"/>
  <c r="H74" i="6" s="1"/>
  <c r="B74" i="6"/>
  <c r="G74" i="6"/>
  <c r="C74" i="6"/>
  <c r="E74" i="6"/>
  <c r="I74" i="6" s="1"/>
  <c r="K74" i="6" s="1"/>
  <c r="F74" i="6"/>
  <c r="A75" i="6"/>
  <c r="L227" i="37"/>
  <c r="M71" i="6"/>
  <c r="L71" i="6"/>
  <c r="O72" i="6" s="1"/>
  <c r="B228" i="6"/>
  <c r="K228" i="6"/>
  <c r="G228" i="6"/>
  <c r="L227" i="38"/>
  <c r="O73" i="39"/>
  <c r="M73" i="39" s="1"/>
  <c r="I73" i="39"/>
  <c r="I73" i="37"/>
  <c r="K73" i="37" s="1"/>
  <c r="I73" i="38"/>
  <c r="O73" i="38"/>
  <c r="M73" i="38" s="1"/>
  <c r="E74" i="39"/>
  <c r="B74" i="39"/>
  <c r="D74" i="39"/>
  <c r="H74" i="39" s="1"/>
  <c r="F74" i="39"/>
  <c r="A75" i="39"/>
  <c r="C74" i="39"/>
  <c r="G74" i="39"/>
  <c r="A229" i="39"/>
  <c r="F229" i="39" s="1"/>
  <c r="I74" i="39" l="1"/>
  <c r="K74" i="39" s="1"/>
  <c r="L74" i="39"/>
  <c r="O74" i="38"/>
  <c r="M74" i="38" s="1"/>
  <c r="K229" i="6"/>
  <c r="G229" i="6"/>
  <c r="B229" i="6"/>
  <c r="L228" i="37"/>
  <c r="O74" i="39"/>
  <c r="M74" i="39" s="1"/>
  <c r="I74" i="38"/>
  <c r="K74" i="38" s="1"/>
  <c r="M72" i="6"/>
  <c r="L72" i="6"/>
  <c r="O73" i="6" s="1"/>
  <c r="L228" i="38"/>
  <c r="G229" i="39"/>
  <c r="K229" i="39"/>
  <c r="B229" i="39"/>
  <c r="I74" i="37"/>
  <c r="K74" i="37" s="1"/>
  <c r="C75" i="38"/>
  <c r="A76" i="38"/>
  <c r="A230" i="38"/>
  <c r="F230" i="38" s="1"/>
  <c r="F75" i="38"/>
  <c r="B75" i="38"/>
  <c r="E75" i="38"/>
  <c r="D75" i="38"/>
  <c r="H75" i="38" s="1"/>
  <c r="G75" i="38"/>
  <c r="B229" i="38"/>
  <c r="K229" i="38"/>
  <c r="G229" i="38"/>
  <c r="E75" i="39"/>
  <c r="D75" i="39"/>
  <c r="H75" i="39" s="1"/>
  <c r="G75" i="39"/>
  <c r="B75" i="39"/>
  <c r="A76" i="39"/>
  <c r="A230" i="39"/>
  <c r="F230" i="39" s="1"/>
  <c r="C75" i="39"/>
  <c r="F75" i="39"/>
  <c r="A230" i="6"/>
  <c r="F230" i="6" s="1"/>
  <c r="D75" i="6"/>
  <c r="H75" i="6" s="1"/>
  <c r="C75" i="6"/>
  <c r="B75" i="6"/>
  <c r="E75" i="6"/>
  <c r="I75" i="6" s="1"/>
  <c r="K75" i="6" s="1"/>
  <c r="G75" i="6"/>
  <c r="F75" i="6"/>
  <c r="A76" i="6"/>
  <c r="A230" i="37"/>
  <c r="F230" i="37" s="1"/>
  <c r="E75" i="37"/>
  <c r="B75" i="37"/>
  <c r="D75" i="37"/>
  <c r="H75" i="37" s="1"/>
  <c r="C75" i="37"/>
  <c r="F75" i="37"/>
  <c r="A76" i="37"/>
  <c r="G75" i="37"/>
  <c r="K229" i="37"/>
  <c r="B229" i="37"/>
  <c r="G229" i="37"/>
  <c r="L228" i="39"/>
  <c r="O75" i="38" l="1"/>
  <c r="M75" i="38" s="1"/>
  <c r="L229" i="37"/>
  <c r="G230" i="39"/>
  <c r="K230" i="39"/>
  <c r="B230" i="39"/>
  <c r="L229" i="39"/>
  <c r="A231" i="37"/>
  <c r="F231" i="37" s="1"/>
  <c r="E76" i="37"/>
  <c r="C76" i="37"/>
  <c r="F76" i="37"/>
  <c r="D76" i="37"/>
  <c r="H76" i="37" s="1"/>
  <c r="A77" i="37"/>
  <c r="G76" i="37"/>
  <c r="B76" i="37"/>
  <c r="A231" i="39"/>
  <c r="F231" i="39" s="1"/>
  <c r="B76" i="39"/>
  <c r="E76" i="39"/>
  <c r="L76" i="39" s="1"/>
  <c r="D76" i="39"/>
  <c r="H76" i="39" s="1"/>
  <c r="G76" i="39"/>
  <c r="A77" i="39"/>
  <c r="C76" i="39"/>
  <c r="F76" i="39"/>
  <c r="M73" i="6"/>
  <c r="L73" i="6"/>
  <c r="O74" i="6" s="1"/>
  <c r="K75" i="39"/>
  <c r="L75" i="39"/>
  <c r="I75" i="37"/>
  <c r="K75" i="37" s="1"/>
  <c r="G230" i="37"/>
  <c r="K230" i="37"/>
  <c r="B230" i="37"/>
  <c r="L229" i="38"/>
  <c r="A231" i="6"/>
  <c r="F231" i="6" s="1"/>
  <c r="C76" i="6"/>
  <c r="B76" i="6"/>
  <c r="G76" i="6"/>
  <c r="D76" i="6"/>
  <c r="H76" i="6" s="1"/>
  <c r="F76" i="6"/>
  <c r="A77" i="6"/>
  <c r="E76" i="6"/>
  <c r="I76" i="6"/>
  <c r="K76" i="6" s="1"/>
  <c r="I75" i="38"/>
  <c r="K75" i="38" s="1"/>
  <c r="L75" i="38"/>
  <c r="G230" i="38"/>
  <c r="K230" i="38"/>
  <c r="B230" i="38"/>
  <c r="E76" i="38"/>
  <c r="G76" i="38"/>
  <c r="F76" i="38"/>
  <c r="B76" i="38"/>
  <c r="A77" i="38"/>
  <c r="D76" i="38"/>
  <c r="H76" i="38" s="1"/>
  <c r="C76" i="38"/>
  <c r="A231" i="38"/>
  <c r="F231" i="38" s="1"/>
  <c r="G230" i="6"/>
  <c r="B230" i="6"/>
  <c r="K230" i="6"/>
  <c r="I75" i="39"/>
  <c r="O75" i="39"/>
  <c r="M75" i="39" s="1"/>
  <c r="O76" i="38" l="1"/>
  <c r="M76" i="38" s="1"/>
  <c r="K231" i="38"/>
  <c r="G231" i="38"/>
  <c r="B231" i="38"/>
  <c r="K231" i="6"/>
  <c r="G231" i="6"/>
  <c r="B231" i="6"/>
  <c r="G231" i="39"/>
  <c r="B231" i="39"/>
  <c r="K231" i="39"/>
  <c r="G77" i="38"/>
  <c r="A78" i="38"/>
  <c r="D77" i="38"/>
  <c r="H77" i="38" s="1"/>
  <c r="A232" i="38"/>
  <c r="F232" i="38" s="1"/>
  <c r="E77" i="38"/>
  <c r="L77" i="38" s="1"/>
  <c r="C77" i="38"/>
  <c r="B77" i="38"/>
  <c r="F77" i="38"/>
  <c r="C77" i="37"/>
  <c r="E77" i="37"/>
  <c r="B77" i="37"/>
  <c r="A232" i="37"/>
  <c r="F232" i="37" s="1"/>
  <c r="A78" i="37"/>
  <c r="G77" i="37"/>
  <c r="D77" i="37"/>
  <c r="H77" i="37" s="1"/>
  <c r="F77" i="37"/>
  <c r="L230" i="37"/>
  <c r="I76" i="38"/>
  <c r="K76" i="38" s="1"/>
  <c r="L76" i="38"/>
  <c r="L230" i="38"/>
  <c r="I76" i="37"/>
  <c r="K76" i="37" s="1"/>
  <c r="O76" i="39"/>
  <c r="M76" i="39" s="1"/>
  <c r="G231" i="37"/>
  <c r="K231" i="37"/>
  <c r="B231" i="37"/>
  <c r="M74" i="6"/>
  <c r="L74" i="6"/>
  <c r="O75" i="6" s="1"/>
  <c r="I76" i="39"/>
  <c r="K76" i="39" s="1"/>
  <c r="L230" i="39"/>
  <c r="L230" i="6"/>
  <c r="A232" i="6"/>
  <c r="F232" i="6" s="1"/>
  <c r="G77" i="6"/>
  <c r="F77" i="6"/>
  <c r="A78" i="6"/>
  <c r="E77" i="6"/>
  <c r="I77" i="6" s="1"/>
  <c r="K77" i="6" s="1"/>
  <c r="D77" i="6"/>
  <c r="H77" i="6" s="1"/>
  <c r="C77" i="6"/>
  <c r="B77" i="6"/>
  <c r="C77" i="39"/>
  <c r="B77" i="39"/>
  <c r="A232" i="39"/>
  <c r="F232" i="39" s="1"/>
  <c r="D77" i="39"/>
  <c r="H77" i="39" s="1"/>
  <c r="A78" i="39"/>
  <c r="G77" i="39"/>
  <c r="F77" i="39"/>
  <c r="E77" i="39"/>
  <c r="I77" i="38" l="1"/>
  <c r="K77" i="38" s="1"/>
  <c r="O77" i="38"/>
  <c r="M77" i="38" s="1"/>
  <c r="K232" i="39"/>
  <c r="G232" i="39"/>
  <c r="B232" i="39"/>
  <c r="L231" i="37"/>
  <c r="G232" i="38"/>
  <c r="B232" i="38"/>
  <c r="K232" i="38"/>
  <c r="D78" i="38"/>
  <c r="H78" i="38" s="1"/>
  <c r="A233" i="38"/>
  <c r="F233" i="38" s="1"/>
  <c r="B78" i="38"/>
  <c r="C78" i="38"/>
  <c r="A79" i="38"/>
  <c r="F78" i="38"/>
  <c r="G78" i="38"/>
  <c r="E78" i="38"/>
  <c r="L78" i="38" s="1"/>
  <c r="A233" i="6"/>
  <c r="F233" i="6" s="1"/>
  <c r="F78" i="6"/>
  <c r="C78" i="6"/>
  <c r="A79" i="6"/>
  <c r="B78" i="6"/>
  <c r="D78" i="6"/>
  <c r="H78" i="6" s="1"/>
  <c r="E78" i="6"/>
  <c r="I78" i="6" s="1"/>
  <c r="K78" i="6" s="1"/>
  <c r="G78" i="6"/>
  <c r="L231" i="39"/>
  <c r="K232" i="6"/>
  <c r="B232" i="6"/>
  <c r="G232" i="6"/>
  <c r="L231" i="6"/>
  <c r="I77" i="39"/>
  <c r="K77" i="39" s="1"/>
  <c r="L77" i="39"/>
  <c r="G78" i="37"/>
  <c r="D78" i="37"/>
  <c r="H78" i="37" s="1"/>
  <c r="F78" i="37"/>
  <c r="A233" i="37"/>
  <c r="F233" i="37" s="1"/>
  <c r="E78" i="37"/>
  <c r="C78" i="37"/>
  <c r="B78" i="37"/>
  <c r="A79" i="37"/>
  <c r="O77" i="39"/>
  <c r="M77" i="39" s="1"/>
  <c r="G232" i="37"/>
  <c r="K232" i="37"/>
  <c r="B232" i="37"/>
  <c r="A233" i="39"/>
  <c r="F233" i="39" s="1"/>
  <c r="D78" i="39"/>
  <c r="H78" i="39" s="1"/>
  <c r="A79" i="39"/>
  <c r="E78" i="39"/>
  <c r="C78" i="39"/>
  <c r="F78" i="39"/>
  <c r="G78" i="39"/>
  <c r="B78" i="39"/>
  <c r="M75" i="6"/>
  <c r="L75" i="6"/>
  <c r="O76" i="6" s="1"/>
  <c r="I77" i="37"/>
  <c r="K77" i="37" s="1"/>
  <c r="L231" i="38"/>
  <c r="I78" i="38" l="1"/>
  <c r="K78" i="38" s="1"/>
  <c r="K233" i="6"/>
  <c r="B233" i="6"/>
  <c r="G233" i="6"/>
  <c r="M76" i="6"/>
  <c r="L76" i="6"/>
  <c r="O77" i="6" s="1"/>
  <c r="O78" i="39"/>
  <c r="M78" i="39" s="1"/>
  <c r="F79" i="38"/>
  <c r="E79" i="38"/>
  <c r="L79" i="38" s="1"/>
  <c r="A234" i="38"/>
  <c r="F234" i="38" s="1"/>
  <c r="A80" i="38"/>
  <c r="D79" i="38"/>
  <c r="H79" i="38" s="1"/>
  <c r="C79" i="38"/>
  <c r="B79" i="38"/>
  <c r="G79" i="38"/>
  <c r="I78" i="39"/>
  <c r="K78" i="39" s="1"/>
  <c r="L78" i="39"/>
  <c r="F79" i="39"/>
  <c r="C79" i="39"/>
  <c r="A234" i="39"/>
  <c r="F234" i="39" s="1"/>
  <c r="D79" i="39"/>
  <c r="H79" i="39" s="1"/>
  <c r="B79" i="39"/>
  <c r="A80" i="39"/>
  <c r="G79" i="39"/>
  <c r="E79" i="39"/>
  <c r="G233" i="38"/>
  <c r="B233" i="38"/>
  <c r="K233" i="38"/>
  <c r="L232" i="6"/>
  <c r="B233" i="39"/>
  <c r="G233" i="39"/>
  <c r="K233" i="39"/>
  <c r="L232" i="38"/>
  <c r="L232" i="37"/>
  <c r="O78" i="38"/>
  <c r="M78" i="38" s="1"/>
  <c r="G79" i="37"/>
  <c r="A234" i="37"/>
  <c r="F234" i="37" s="1"/>
  <c r="C79" i="37"/>
  <c r="E79" i="37"/>
  <c r="F79" i="37"/>
  <c r="D79" i="37"/>
  <c r="H79" i="37" s="1"/>
  <c r="B79" i="37"/>
  <c r="A80" i="37"/>
  <c r="A234" i="6"/>
  <c r="F234" i="6" s="1"/>
  <c r="G79" i="6"/>
  <c r="F79" i="6"/>
  <c r="E79" i="6"/>
  <c r="I79" i="6" s="1"/>
  <c r="K79" i="6" s="1"/>
  <c r="D79" i="6"/>
  <c r="H79" i="6" s="1"/>
  <c r="C79" i="6"/>
  <c r="B79" i="6"/>
  <c r="A80" i="6"/>
  <c r="I78" i="37"/>
  <c r="K78" i="37" s="1"/>
  <c r="K233" i="37"/>
  <c r="G233" i="37"/>
  <c r="B233" i="37"/>
  <c r="L232" i="39"/>
  <c r="I79" i="38" l="1"/>
  <c r="K79" i="38" s="1"/>
  <c r="L233" i="37"/>
  <c r="O79" i="39"/>
  <c r="M79" i="39" s="1"/>
  <c r="A235" i="6"/>
  <c r="F235" i="6" s="1"/>
  <c r="D80" i="6"/>
  <c r="H80" i="6" s="1"/>
  <c r="F80" i="6"/>
  <c r="C80" i="6"/>
  <c r="B80" i="6"/>
  <c r="G80" i="6"/>
  <c r="E80" i="6"/>
  <c r="I80" i="6" s="1"/>
  <c r="K80" i="6" s="1"/>
  <c r="A81" i="6"/>
  <c r="L233" i="39"/>
  <c r="D80" i="38"/>
  <c r="H80" i="38" s="1"/>
  <c r="A81" i="38"/>
  <c r="B80" i="38"/>
  <c r="G80" i="38"/>
  <c r="F80" i="38"/>
  <c r="E80" i="38"/>
  <c r="A235" i="38"/>
  <c r="F235" i="38" s="1"/>
  <c r="C80" i="38"/>
  <c r="K234" i="38"/>
  <c r="B234" i="38"/>
  <c r="G234" i="38"/>
  <c r="K234" i="6"/>
  <c r="G234" i="6"/>
  <c r="B234" i="6"/>
  <c r="L233" i="38"/>
  <c r="A81" i="37"/>
  <c r="G80" i="37"/>
  <c r="B80" i="37"/>
  <c r="D80" i="37"/>
  <c r="H80" i="37" s="1"/>
  <c r="E80" i="37"/>
  <c r="C80" i="37"/>
  <c r="F80" i="37"/>
  <c r="A235" i="37"/>
  <c r="F235" i="37" s="1"/>
  <c r="I79" i="39"/>
  <c r="K79" i="39" s="1"/>
  <c r="L79" i="39"/>
  <c r="O79" i="38"/>
  <c r="M79" i="38" s="1"/>
  <c r="M77" i="6"/>
  <c r="L77" i="6"/>
  <c r="O78" i="6" s="1"/>
  <c r="I79" i="37"/>
  <c r="K79" i="37" s="1"/>
  <c r="F80" i="39"/>
  <c r="A235" i="39"/>
  <c r="F235" i="39" s="1"/>
  <c r="G80" i="39"/>
  <c r="D80" i="39"/>
  <c r="H80" i="39" s="1"/>
  <c r="A81" i="39"/>
  <c r="E80" i="39"/>
  <c r="L80" i="39" s="1"/>
  <c r="C80" i="39"/>
  <c r="B80" i="39"/>
  <c r="K234" i="37"/>
  <c r="G234" i="37"/>
  <c r="B234" i="37"/>
  <c r="B234" i="39"/>
  <c r="K234" i="39"/>
  <c r="G234" i="39"/>
  <c r="L233" i="6"/>
  <c r="O80" i="38" l="1"/>
  <c r="M80" i="38" s="1"/>
  <c r="I80" i="39"/>
  <c r="K80" i="39" s="1"/>
  <c r="K235" i="37"/>
  <c r="B235" i="37"/>
  <c r="G235" i="37"/>
  <c r="I80" i="37"/>
  <c r="K80" i="37" s="1"/>
  <c r="A82" i="38"/>
  <c r="G81" i="38"/>
  <c r="F81" i="38"/>
  <c r="D81" i="38"/>
  <c r="H81" i="38" s="1"/>
  <c r="E81" i="38"/>
  <c r="L81" i="38" s="1"/>
  <c r="B81" i="38"/>
  <c r="C81" i="38"/>
  <c r="A236" i="38"/>
  <c r="F236" i="38" s="1"/>
  <c r="C81" i="37"/>
  <c r="A82" i="37"/>
  <c r="B81" i="37"/>
  <c r="A236" i="37"/>
  <c r="F236" i="37" s="1"/>
  <c r="G81" i="37"/>
  <c r="F81" i="37"/>
  <c r="D81" i="37"/>
  <c r="H81" i="37" s="1"/>
  <c r="E81" i="37"/>
  <c r="I81" i="37" s="1"/>
  <c r="K81" i="37" s="1"/>
  <c r="E81" i="39"/>
  <c r="L81" i="39" s="1"/>
  <c r="C81" i="39"/>
  <c r="D81" i="39"/>
  <c r="H81" i="39" s="1"/>
  <c r="A82" i="39"/>
  <c r="B81" i="39"/>
  <c r="A236" i="39"/>
  <c r="F236" i="39" s="1"/>
  <c r="G81" i="39"/>
  <c r="F81" i="39"/>
  <c r="A236" i="6"/>
  <c r="F236" i="6" s="1"/>
  <c r="B81" i="6"/>
  <c r="G81" i="6"/>
  <c r="F81" i="6"/>
  <c r="D81" i="6"/>
  <c r="H81" i="6" s="1"/>
  <c r="C81" i="6"/>
  <c r="A82" i="6"/>
  <c r="E81" i="6"/>
  <c r="I81" i="6" s="1"/>
  <c r="K81" i="6" s="1"/>
  <c r="K235" i="39"/>
  <c r="G235" i="39"/>
  <c r="B235" i="39"/>
  <c r="L234" i="6"/>
  <c r="M78" i="6"/>
  <c r="L78" i="6"/>
  <c r="O79" i="6" s="1"/>
  <c r="L234" i="38"/>
  <c r="B235" i="6"/>
  <c r="G235" i="6"/>
  <c r="K235" i="6"/>
  <c r="O80" i="39"/>
  <c r="M80" i="39" s="1"/>
  <c r="K235" i="38"/>
  <c r="G235" i="38"/>
  <c r="B235" i="38"/>
  <c r="L234" i="39"/>
  <c r="I80" i="38"/>
  <c r="K80" i="38" s="1"/>
  <c r="L80" i="38"/>
  <c r="I81" i="39" l="1"/>
  <c r="K81" i="39" s="1"/>
  <c r="O81" i="38"/>
  <c r="M81" i="38" s="1"/>
  <c r="I81" i="38"/>
  <c r="K81" i="38" s="1"/>
  <c r="L235" i="38"/>
  <c r="G82" i="37"/>
  <c r="E82" i="37"/>
  <c r="I82" i="37" s="1"/>
  <c r="K82" i="37" s="1"/>
  <c r="A237" i="37"/>
  <c r="F237" i="37" s="1"/>
  <c r="C82" i="37"/>
  <c r="D82" i="37"/>
  <c r="H82" i="37" s="1"/>
  <c r="B82" i="37"/>
  <c r="A83" i="37"/>
  <c r="F82" i="37"/>
  <c r="L235" i="6"/>
  <c r="O81" i="39"/>
  <c r="M81" i="39" s="1"/>
  <c r="K236" i="6"/>
  <c r="B236" i="6"/>
  <c r="G236" i="6"/>
  <c r="B236" i="38"/>
  <c r="G236" i="38"/>
  <c r="K236" i="38"/>
  <c r="M79" i="6"/>
  <c r="L79" i="6"/>
  <c r="O80" i="6" s="1"/>
  <c r="B236" i="39"/>
  <c r="K236" i="39"/>
  <c r="G236" i="39"/>
  <c r="D82" i="39"/>
  <c r="H82" i="39" s="1"/>
  <c r="C82" i="39"/>
  <c r="E82" i="39"/>
  <c r="L82" i="39" s="1"/>
  <c r="B82" i="39"/>
  <c r="F82" i="39"/>
  <c r="A83" i="39"/>
  <c r="A237" i="39"/>
  <c r="F237" i="39" s="1"/>
  <c r="G82" i="39"/>
  <c r="F82" i="38"/>
  <c r="C82" i="38"/>
  <c r="A83" i="38"/>
  <c r="G82" i="38"/>
  <c r="E82" i="38"/>
  <c r="D82" i="38"/>
  <c r="H82" i="38" s="1"/>
  <c r="A237" i="38"/>
  <c r="F237" i="38" s="1"/>
  <c r="B82" i="38"/>
  <c r="L235" i="39"/>
  <c r="A237" i="6"/>
  <c r="F237" i="6" s="1"/>
  <c r="E82" i="6"/>
  <c r="D82" i="6"/>
  <c r="H82" i="6" s="1"/>
  <c r="C82" i="6"/>
  <c r="G82" i="6"/>
  <c r="A83" i="6"/>
  <c r="B82" i="6"/>
  <c r="F82" i="6"/>
  <c r="G236" i="37"/>
  <c r="B236" i="37"/>
  <c r="K236" i="37"/>
  <c r="I82" i="39" l="1"/>
  <c r="K82" i="39" s="1"/>
  <c r="I82" i="38"/>
  <c r="K82" i="38" s="1"/>
  <c r="L82" i="38"/>
  <c r="L236" i="38"/>
  <c r="C83" i="38"/>
  <c r="E83" i="38"/>
  <c r="A238" i="38"/>
  <c r="F238" i="38" s="1"/>
  <c r="A84" i="38"/>
  <c r="G83" i="38"/>
  <c r="F83" i="38"/>
  <c r="D83" i="38"/>
  <c r="H83" i="38" s="1"/>
  <c r="B83" i="38"/>
  <c r="L236" i="6"/>
  <c r="A238" i="6"/>
  <c r="F238" i="6" s="1"/>
  <c r="E83" i="6"/>
  <c r="D83" i="6"/>
  <c r="H83" i="6" s="1"/>
  <c r="C83" i="6"/>
  <c r="G83" i="6"/>
  <c r="F83" i="6"/>
  <c r="B83" i="6"/>
  <c r="A84" i="6"/>
  <c r="G237" i="39"/>
  <c r="K237" i="39"/>
  <c r="B237" i="39"/>
  <c r="D83" i="39"/>
  <c r="H83" i="39" s="1"/>
  <c r="A84" i="39"/>
  <c r="A238" i="39"/>
  <c r="F238" i="39" s="1"/>
  <c r="F83" i="39"/>
  <c r="B83" i="39"/>
  <c r="C83" i="39"/>
  <c r="E83" i="39"/>
  <c r="L83" i="39" s="1"/>
  <c r="G83" i="39"/>
  <c r="I82" i="6"/>
  <c r="K82" i="6" s="1"/>
  <c r="K237" i="6"/>
  <c r="B237" i="6"/>
  <c r="G237" i="6"/>
  <c r="E83" i="37"/>
  <c r="A238" i="37"/>
  <c r="F238" i="37" s="1"/>
  <c r="G83" i="37"/>
  <c r="C83" i="37"/>
  <c r="D83" i="37"/>
  <c r="H83" i="37" s="1"/>
  <c r="F83" i="37"/>
  <c r="B83" i="37"/>
  <c r="A84" i="37"/>
  <c r="O82" i="38"/>
  <c r="M82" i="38" s="1"/>
  <c r="K237" i="37"/>
  <c r="B237" i="37"/>
  <c r="G237" i="37"/>
  <c r="O82" i="39"/>
  <c r="M82" i="39" s="1"/>
  <c r="L236" i="39"/>
  <c r="B237" i="38"/>
  <c r="G237" i="38"/>
  <c r="K237" i="38"/>
  <c r="M80" i="6"/>
  <c r="L80" i="6"/>
  <c r="O81" i="6" s="1"/>
  <c r="I83" i="39" l="1"/>
  <c r="K83" i="39" s="1"/>
  <c r="B238" i="6"/>
  <c r="K238" i="6"/>
  <c r="G238" i="6"/>
  <c r="G84" i="37"/>
  <c r="F84" i="37"/>
  <c r="B84" i="37"/>
  <c r="D84" i="37"/>
  <c r="H84" i="37" s="1"/>
  <c r="E84" i="37"/>
  <c r="A239" i="37"/>
  <c r="F239" i="37" s="1"/>
  <c r="C84" i="37"/>
  <c r="A85" i="37"/>
  <c r="B238" i="39"/>
  <c r="K238" i="39"/>
  <c r="G238" i="39"/>
  <c r="D84" i="39"/>
  <c r="H84" i="39" s="1"/>
  <c r="B84" i="39"/>
  <c r="A239" i="39"/>
  <c r="F239" i="39" s="1"/>
  <c r="G84" i="39"/>
  <c r="F84" i="39"/>
  <c r="C84" i="39"/>
  <c r="E84" i="39"/>
  <c r="L84" i="39" s="1"/>
  <c r="A85" i="39"/>
  <c r="I84" i="39"/>
  <c r="K84" i="39" s="1"/>
  <c r="A85" i="38"/>
  <c r="A239" i="38"/>
  <c r="F239" i="38" s="1"/>
  <c r="G84" i="38"/>
  <c r="E84" i="38"/>
  <c r="F84" i="38"/>
  <c r="D84" i="38"/>
  <c r="H84" i="38" s="1"/>
  <c r="C84" i="38"/>
  <c r="B84" i="38"/>
  <c r="K238" i="38"/>
  <c r="B238" i="38"/>
  <c r="G238" i="38"/>
  <c r="I83" i="38"/>
  <c r="K83" i="38" s="1"/>
  <c r="L83" i="38"/>
  <c r="L237" i="39"/>
  <c r="B238" i="37"/>
  <c r="G238" i="37"/>
  <c r="K238" i="37"/>
  <c r="M81" i="6"/>
  <c r="L81" i="6"/>
  <c r="O82" i="6" s="1"/>
  <c r="I83" i="37"/>
  <c r="K83" i="37" s="1"/>
  <c r="I83" i="6"/>
  <c r="K83" i="6" s="1"/>
  <c r="O83" i="39"/>
  <c r="M83" i="39" s="1"/>
  <c r="A239" i="6"/>
  <c r="F239" i="6" s="1"/>
  <c r="B84" i="6"/>
  <c r="D84" i="6"/>
  <c r="H84" i="6" s="1"/>
  <c r="C84" i="6"/>
  <c r="A85" i="6"/>
  <c r="G84" i="6"/>
  <c r="F84" i="6"/>
  <c r="E84" i="6"/>
  <c r="L237" i="38"/>
  <c r="O83" i="38"/>
  <c r="M83" i="38" s="1"/>
  <c r="L237" i="6"/>
  <c r="L238" i="39" l="1"/>
  <c r="A240" i="6"/>
  <c r="F240" i="6" s="1"/>
  <c r="F85" i="6"/>
  <c r="G85" i="6"/>
  <c r="E85" i="6"/>
  <c r="D85" i="6"/>
  <c r="H85" i="6" s="1"/>
  <c r="C85" i="6"/>
  <c r="B85" i="6"/>
  <c r="A86" i="6"/>
  <c r="I85" i="6"/>
  <c r="K85" i="6" s="1"/>
  <c r="L238" i="38"/>
  <c r="B85" i="37"/>
  <c r="E85" i="37"/>
  <c r="C85" i="37"/>
  <c r="A240" i="37"/>
  <c r="F240" i="37" s="1"/>
  <c r="D85" i="37"/>
  <c r="H85" i="37" s="1"/>
  <c r="G85" i="37"/>
  <c r="F85" i="37"/>
  <c r="A86" i="37"/>
  <c r="B239" i="37"/>
  <c r="K239" i="37"/>
  <c r="G239" i="37"/>
  <c r="K239" i="6"/>
  <c r="B239" i="6"/>
  <c r="G239" i="6"/>
  <c r="I84" i="37"/>
  <c r="K84" i="37" s="1"/>
  <c r="I84" i="38"/>
  <c r="K84" i="38"/>
  <c r="L84" i="38"/>
  <c r="B239" i="38"/>
  <c r="K239" i="38"/>
  <c r="G239" i="38"/>
  <c r="G85" i="38"/>
  <c r="E85" i="38"/>
  <c r="C85" i="38"/>
  <c r="F85" i="38"/>
  <c r="A240" i="38"/>
  <c r="F240" i="38" s="1"/>
  <c r="B85" i="38"/>
  <c r="D85" i="38"/>
  <c r="H85" i="38" s="1"/>
  <c r="A86" i="38"/>
  <c r="M82" i="6"/>
  <c r="L82" i="6"/>
  <c r="O83" i="6" s="1"/>
  <c r="G85" i="39"/>
  <c r="E85" i="39"/>
  <c r="I85" i="39" s="1"/>
  <c r="A86" i="39"/>
  <c r="C85" i="39"/>
  <c r="F85" i="39"/>
  <c r="D85" i="39"/>
  <c r="H85" i="39" s="1"/>
  <c r="B85" i="39"/>
  <c r="A240" i="39"/>
  <c r="F240" i="39" s="1"/>
  <c r="L238" i="37"/>
  <c r="O84" i="39"/>
  <c r="M84" i="39" s="1"/>
  <c r="L238" i="6"/>
  <c r="K239" i="39"/>
  <c r="B239" i="39"/>
  <c r="G239" i="39"/>
  <c r="I84" i="6"/>
  <c r="K84" i="6" s="1"/>
  <c r="O84" i="38"/>
  <c r="M84" i="38" s="1"/>
  <c r="O85" i="39" l="1"/>
  <c r="M85" i="39" s="1"/>
  <c r="I85" i="38"/>
  <c r="K85" i="38" s="1"/>
  <c r="L85" i="38"/>
  <c r="K240" i="37"/>
  <c r="B240" i="37"/>
  <c r="G240" i="37"/>
  <c r="I85" i="37"/>
  <c r="K85" i="37" s="1"/>
  <c r="L239" i="38"/>
  <c r="G240" i="39"/>
  <c r="B240" i="39"/>
  <c r="K240" i="39"/>
  <c r="O85" i="38"/>
  <c r="M85" i="38" s="1"/>
  <c r="A241" i="6"/>
  <c r="F241" i="6" s="1"/>
  <c r="C86" i="6"/>
  <c r="F86" i="6"/>
  <c r="B86" i="6"/>
  <c r="G86" i="6"/>
  <c r="D86" i="6"/>
  <c r="H86" i="6" s="1"/>
  <c r="A87" i="6"/>
  <c r="E86" i="6"/>
  <c r="G86" i="39"/>
  <c r="C86" i="39"/>
  <c r="D86" i="39"/>
  <c r="H86" i="39" s="1"/>
  <c r="B86" i="39"/>
  <c r="A87" i="39"/>
  <c r="A241" i="39"/>
  <c r="F241" i="39" s="1"/>
  <c r="E86" i="39"/>
  <c r="F86" i="39"/>
  <c r="K85" i="39"/>
  <c r="L85" i="39"/>
  <c r="M83" i="6"/>
  <c r="L83" i="6"/>
  <c r="O84" i="6" s="1"/>
  <c r="L239" i="6"/>
  <c r="F86" i="38"/>
  <c r="E86" i="38"/>
  <c r="A241" i="38"/>
  <c r="F241" i="38" s="1"/>
  <c r="D86" i="38"/>
  <c r="H86" i="38" s="1"/>
  <c r="G86" i="38"/>
  <c r="A87" i="38"/>
  <c r="B86" i="38"/>
  <c r="C86" i="38"/>
  <c r="L239" i="37"/>
  <c r="B240" i="6"/>
  <c r="G240" i="6"/>
  <c r="K240" i="6"/>
  <c r="L239" i="39"/>
  <c r="C86" i="37"/>
  <c r="G86" i="37"/>
  <c r="F86" i="37"/>
  <c r="D86" i="37"/>
  <c r="H86" i="37" s="1"/>
  <c r="E86" i="37"/>
  <c r="A87" i="37"/>
  <c r="B86" i="37"/>
  <c r="A241" i="37"/>
  <c r="F241" i="37" s="1"/>
  <c r="G240" i="38"/>
  <c r="B240" i="38"/>
  <c r="K240" i="38"/>
  <c r="O86" i="39" l="1"/>
  <c r="M86" i="39" s="1"/>
  <c r="B241" i="37"/>
  <c r="K241" i="37"/>
  <c r="G241" i="37"/>
  <c r="G241" i="38"/>
  <c r="B241" i="38"/>
  <c r="K241" i="38"/>
  <c r="I86" i="38"/>
  <c r="K86" i="38" s="1"/>
  <c r="L86" i="38"/>
  <c r="A242" i="37"/>
  <c r="F242" i="37" s="1"/>
  <c r="D87" i="37"/>
  <c r="H87" i="37" s="1"/>
  <c r="F87" i="37"/>
  <c r="G87" i="37"/>
  <c r="C87" i="37"/>
  <c r="E87" i="37"/>
  <c r="A88" i="37"/>
  <c r="B87" i="37"/>
  <c r="I86" i="37"/>
  <c r="K86" i="37" s="1"/>
  <c r="M84" i="6"/>
  <c r="L84" i="6"/>
  <c r="O85" i="6" s="1"/>
  <c r="B241" i="6"/>
  <c r="K241" i="6"/>
  <c r="G241" i="6"/>
  <c r="L240" i="39"/>
  <c r="L240" i="6"/>
  <c r="I86" i="39"/>
  <c r="K86" i="39"/>
  <c r="L86" i="39"/>
  <c r="K241" i="39"/>
  <c r="B241" i="39"/>
  <c r="G241" i="39"/>
  <c r="F87" i="39"/>
  <c r="C87" i="39"/>
  <c r="B87" i="39"/>
  <c r="D87" i="39"/>
  <c r="H87" i="39" s="1"/>
  <c r="G87" i="39"/>
  <c r="A88" i="39"/>
  <c r="E87" i="39"/>
  <c r="L87" i="39" s="1"/>
  <c r="A242" i="39"/>
  <c r="F242" i="39" s="1"/>
  <c r="L240" i="38"/>
  <c r="F87" i="38"/>
  <c r="C87" i="38"/>
  <c r="A242" i="38"/>
  <c r="F242" i="38" s="1"/>
  <c r="D87" i="38"/>
  <c r="H87" i="38" s="1"/>
  <c r="E87" i="38"/>
  <c r="L87" i="38" s="1"/>
  <c r="B87" i="38"/>
  <c r="A88" i="38"/>
  <c r="G87" i="38"/>
  <c r="O86" i="38"/>
  <c r="M86" i="38" s="1"/>
  <c r="I86" i="6"/>
  <c r="K86" i="6" s="1"/>
  <c r="A242" i="6"/>
  <c r="F242" i="6" s="1"/>
  <c r="C87" i="6"/>
  <c r="G87" i="6"/>
  <c r="F87" i="6"/>
  <c r="E87" i="6"/>
  <c r="I87" i="6" s="1"/>
  <c r="K87" i="6" s="1"/>
  <c r="A88" i="6"/>
  <c r="B87" i="6"/>
  <c r="D87" i="6"/>
  <c r="H87" i="6" s="1"/>
  <c r="K242" i="6" l="1"/>
  <c r="B242" i="6"/>
  <c r="G242" i="6"/>
  <c r="M85" i="6"/>
  <c r="L85" i="6"/>
  <c r="O86" i="6" s="1"/>
  <c r="A89" i="39"/>
  <c r="C88" i="39"/>
  <c r="G88" i="39"/>
  <c r="F88" i="39"/>
  <c r="B88" i="39"/>
  <c r="E88" i="39"/>
  <c r="L88" i="39" s="1"/>
  <c r="A243" i="39"/>
  <c r="F243" i="39" s="1"/>
  <c r="D88" i="39"/>
  <c r="H88" i="39" s="1"/>
  <c r="I87" i="38"/>
  <c r="K87" i="38" s="1"/>
  <c r="C88" i="37"/>
  <c r="A89" i="37"/>
  <c r="E88" i="37"/>
  <c r="D88" i="37"/>
  <c r="H88" i="37" s="1"/>
  <c r="B88" i="37"/>
  <c r="F88" i="37"/>
  <c r="A243" i="37"/>
  <c r="F243" i="37" s="1"/>
  <c r="G88" i="37"/>
  <c r="I87" i="37"/>
  <c r="K87" i="37" s="1"/>
  <c r="E88" i="38"/>
  <c r="D88" i="38"/>
  <c r="H88" i="38" s="1"/>
  <c r="B88" i="38"/>
  <c r="C88" i="38"/>
  <c r="G88" i="38"/>
  <c r="A243" i="38"/>
  <c r="F243" i="38" s="1"/>
  <c r="F88" i="38"/>
  <c r="A89" i="38"/>
  <c r="L241" i="39"/>
  <c r="O87" i="39"/>
  <c r="M87" i="39" s="1"/>
  <c r="K242" i="38"/>
  <c r="G242" i="38"/>
  <c r="B242" i="38"/>
  <c r="B242" i="37"/>
  <c r="G242" i="37"/>
  <c r="K242" i="37"/>
  <c r="O87" i="38"/>
  <c r="M87" i="38" s="1"/>
  <c r="L241" i="38"/>
  <c r="A243" i="6"/>
  <c r="F243" i="6" s="1"/>
  <c r="C88" i="6"/>
  <c r="E88" i="6"/>
  <c r="I88" i="6" s="1"/>
  <c r="K88" i="6" s="1"/>
  <c r="B88" i="6"/>
  <c r="G88" i="6"/>
  <c r="F88" i="6"/>
  <c r="D88" i="6"/>
  <c r="H88" i="6" s="1"/>
  <c r="A89" i="6"/>
  <c r="I87" i="39"/>
  <c r="K87" i="39" s="1"/>
  <c r="L241" i="6"/>
  <c r="G242" i="39"/>
  <c r="K242" i="39"/>
  <c r="B242" i="39"/>
  <c r="O88" i="38" l="1"/>
  <c r="M88" i="38" s="1"/>
  <c r="I88" i="39"/>
  <c r="K88" i="39" s="1"/>
  <c r="L242" i="38"/>
  <c r="I88" i="37"/>
  <c r="K88" i="37" s="1"/>
  <c r="E89" i="37"/>
  <c r="B89" i="37"/>
  <c r="D89" i="37"/>
  <c r="H89" i="37" s="1"/>
  <c r="F89" i="37"/>
  <c r="C89" i="37"/>
  <c r="A90" i="37"/>
  <c r="A244" i="37"/>
  <c r="F244" i="37" s="1"/>
  <c r="G89" i="37"/>
  <c r="A244" i="6"/>
  <c r="F244" i="6" s="1"/>
  <c r="B89" i="6"/>
  <c r="F89" i="6"/>
  <c r="E89" i="6"/>
  <c r="G89" i="6"/>
  <c r="A90" i="6"/>
  <c r="D89" i="6"/>
  <c r="H89" i="6" s="1"/>
  <c r="C89" i="6"/>
  <c r="D89" i="38"/>
  <c r="H89" i="38" s="1"/>
  <c r="C89" i="38"/>
  <c r="A90" i="38"/>
  <c r="B89" i="38"/>
  <c r="A244" i="38"/>
  <c r="F244" i="38" s="1"/>
  <c r="E89" i="38"/>
  <c r="F89" i="38"/>
  <c r="G89" i="38"/>
  <c r="K243" i="39"/>
  <c r="G243" i="39"/>
  <c r="B243" i="39"/>
  <c r="B243" i="38"/>
  <c r="K243" i="38"/>
  <c r="G243" i="38"/>
  <c r="G243" i="6"/>
  <c r="K243" i="6"/>
  <c r="B243" i="6"/>
  <c r="I88" i="38"/>
  <c r="K88" i="38" s="1"/>
  <c r="L88" i="38"/>
  <c r="A90" i="39"/>
  <c r="B89" i="39"/>
  <c r="A244" i="39"/>
  <c r="F244" i="39" s="1"/>
  <c r="F89" i="39"/>
  <c r="G89" i="39"/>
  <c r="E89" i="39"/>
  <c r="D89" i="39"/>
  <c r="H89" i="39" s="1"/>
  <c r="C89" i="39"/>
  <c r="M86" i="6"/>
  <c r="L86" i="6"/>
  <c r="O87" i="6" s="1"/>
  <c r="L242" i="39"/>
  <c r="K243" i="37"/>
  <c r="G243" i="37"/>
  <c r="B243" i="37"/>
  <c r="O88" i="39"/>
  <c r="M88" i="39" s="1"/>
  <c r="L242" i="6"/>
  <c r="O89" i="39" l="1"/>
  <c r="M89" i="39" s="1"/>
  <c r="L243" i="6"/>
  <c r="A245" i="6"/>
  <c r="F245" i="6" s="1"/>
  <c r="D90" i="6"/>
  <c r="H90" i="6" s="1"/>
  <c r="C90" i="6"/>
  <c r="F90" i="6"/>
  <c r="G90" i="6"/>
  <c r="B90" i="6"/>
  <c r="A91" i="6"/>
  <c r="E90" i="6"/>
  <c r="I90" i="6" s="1"/>
  <c r="K90" i="6" s="1"/>
  <c r="L243" i="37"/>
  <c r="L243" i="38"/>
  <c r="B244" i="6"/>
  <c r="K244" i="6"/>
  <c r="G244" i="6"/>
  <c r="M87" i="6"/>
  <c r="L87" i="6"/>
  <c r="O88" i="6" s="1"/>
  <c r="L243" i="39"/>
  <c r="G244" i="37"/>
  <c r="K244" i="37"/>
  <c r="B244" i="37"/>
  <c r="B90" i="37"/>
  <c r="G90" i="37"/>
  <c r="F90" i="37"/>
  <c r="A91" i="37"/>
  <c r="D90" i="37"/>
  <c r="H90" i="37" s="1"/>
  <c r="E90" i="37"/>
  <c r="C90" i="37"/>
  <c r="A245" i="37"/>
  <c r="F245" i="37" s="1"/>
  <c r="I89" i="39"/>
  <c r="K89" i="39" s="1"/>
  <c r="L89" i="39"/>
  <c r="I89" i="38"/>
  <c r="K89" i="38" s="1"/>
  <c r="L89" i="38"/>
  <c r="K244" i="38"/>
  <c r="B244" i="38"/>
  <c r="G244" i="38"/>
  <c r="K244" i="39"/>
  <c r="B244" i="39"/>
  <c r="G244" i="39"/>
  <c r="G90" i="38"/>
  <c r="A91" i="38"/>
  <c r="E90" i="38"/>
  <c r="B90" i="38"/>
  <c r="D90" i="38"/>
  <c r="H90" i="38" s="1"/>
  <c r="C90" i="38"/>
  <c r="F90" i="38"/>
  <c r="A245" i="38"/>
  <c r="F245" i="38" s="1"/>
  <c r="I89" i="37"/>
  <c r="K89" i="37" s="1"/>
  <c r="A245" i="39"/>
  <c r="F245" i="39" s="1"/>
  <c r="C90" i="39"/>
  <c r="F90" i="39"/>
  <c r="A91" i="39"/>
  <c r="B90" i="39"/>
  <c r="D90" i="39"/>
  <c r="H90" i="39" s="1"/>
  <c r="G90" i="39"/>
  <c r="E90" i="39"/>
  <c r="O89" i="38"/>
  <c r="M89" i="38" s="1"/>
  <c r="I89" i="6"/>
  <c r="K89" i="6" s="1"/>
  <c r="O90" i="38" l="1"/>
  <c r="M90" i="38" s="1"/>
  <c r="O90" i="39"/>
  <c r="M90" i="39" s="1"/>
  <c r="L244" i="38"/>
  <c r="G91" i="39"/>
  <c r="C91" i="39"/>
  <c r="A92" i="39"/>
  <c r="A246" i="39"/>
  <c r="F246" i="39" s="1"/>
  <c r="F91" i="39"/>
  <c r="B91" i="39"/>
  <c r="E91" i="39"/>
  <c r="D91" i="39"/>
  <c r="H91" i="39" s="1"/>
  <c r="L244" i="6"/>
  <c r="G245" i="39"/>
  <c r="K245" i="39"/>
  <c r="B245" i="39"/>
  <c r="G245" i="37"/>
  <c r="B245" i="37"/>
  <c r="K245" i="37"/>
  <c r="K245" i="38"/>
  <c r="B245" i="38"/>
  <c r="G245" i="38"/>
  <c r="I90" i="37"/>
  <c r="K90" i="37" s="1"/>
  <c r="C91" i="37"/>
  <c r="A246" i="37"/>
  <c r="F246" i="37" s="1"/>
  <c r="G91" i="37"/>
  <c r="F91" i="37"/>
  <c r="D91" i="37"/>
  <c r="H91" i="37" s="1"/>
  <c r="A92" i="37"/>
  <c r="E91" i="37"/>
  <c r="B91" i="37"/>
  <c r="A246" i="6"/>
  <c r="F246" i="6" s="1"/>
  <c r="E91" i="6"/>
  <c r="A92" i="6"/>
  <c r="G91" i="6"/>
  <c r="D91" i="6"/>
  <c r="H91" i="6" s="1"/>
  <c r="F91" i="6"/>
  <c r="C91" i="6"/>
  <c r="B91" i="6"/>
  <c r="I90" i="38"/>
  <c r="K90" i="38"/>
  <c r="L90" i="38"/>
  <c r="G91" i="38"/>
  <c r="C91" i="38"/>
  <c r="A92" i="38"/>
  <c r="B91" i="38"/>
  <c r="F91" i="38"/>
  <c r="A246" i="38"/>
  <c r="F246" i="38" s="1"/>
  <c r="E91" i="38"/>
  <c r="D91" i="38"/>
  <c r="H91" i="38" s="1"/>
  <c r="L244" i="37"/>
  <c r="K245" i="6"/>
  <c r="B245" i="6"/>
  <c r="G245" i="6"/>
  <c r="I90" i="39"/>
  <c r="K90" i="39" s="1"/>
  <c r="L90" i="39"/>
  <c r="L244" i="39"/>
  <c r="M88" i="6"/>
  <c r="L88" i="6"/>
  <c r="O89" i="6" s="1"/>
  <c r="O91" i="39" l="1"/>
  <c r="M91" i="39" s="1"/>
  <c r="L245" i="38"/>
  <c r="L245" i="37"/>
  <c r="L245" i="6"/>
  <c r="A247" i="6"/>
  <c r="F247" i="6" s="1"/>
  <c r="F92" i="6"/>
  <c r="D92" i="6"/>
  <c r="H92" i="6" s="1"/>
  <c r="E92" i="6"/>
  <c r="I92" i="6" s="1"/>
  <c r="K92" i="6" s="1"/>
  <c r="C92" i="6"/>
  <c r="B92" i="6"/>
  <c r="A93" i="6"/>
  <c r="G92" i="6"/>
  <c r="L245" i="39"/>
  <c r="G246" i="6"/>
  <c r="B246" i="6"/>
  <c r="K246" i="6"/>
  <c r="I91" i="38"/>
  <c r="K91" i="38" s="1"/>
  <c r="L91" i="38"/>
  <c r="B246" i="38"/>
  <c r="G246" i="38"/>
  <c r="K246" i="38"/>
  <c r="I91" i="37"/>
  <c r="K91" i="37" s="1"/>
  <c r="C92" i="37"/>
  <c r="G92" i="37"/>
  <c r="B92" i="37"/>
  <c r="A93" i="37"/>
  <c r="A247" i="37"/>
  <c r="F247" i="37" s="1"/>
  <c r="F92" i="37"/>
  <c r="E92" i="37"/>
  <c r="I92" i="37" s="1"/>
  <c r="K92" i="37" s="1"/>
  <c r="D92" i="37"/>
  <c r="H92" i="37" s="1"/>
  <c r="I91" i="39"/>
  <c r="K91" i="39"/>
  <c r="L91" i="39"/>
  <c r="D92" i="38"/>
  <c r="H92" i="38" s="1"/>
  <c r="B92" i="38"/>
  <c r="A93" i="38"/>
  <c r="G92" i="38"/>
  <c r="C92" i="38"/>
  <c r="F92" i="38"/>
  <c r="E92" i="38"/>
  <c r="A247" i="38"/>
  <c r="F247" i="38" s="1"/>
  <c r="B246" i="39"/>
  <c r="K246" i="39"/>
  <c r="G246" i="39"/>
  <c r="G246" i="37"/>
  <c r="K246" i="37"/>
  <c r="B246" i="37"/>
  <c r="D92" i="39"/>
  <c r="H92" i="39" s="1"/>
  <c r="A93" i="39"/>
  <c r="B92" i="39"/>
  <c r="F92" i="39"/>
  <c r="E92" i="39"/>
  <c r="A247" i="39"/>
  <c r="F247" i="39" s="1"/>
  <c r="G92" i="39"/>
  <c r="C92" i="39"/>
  <c r="O91" i="38"/>
  <c r="M91" i="38" s="1"/>
  <c r="M89" i="6"/>
  <c r="L89" i="6"/>
  <c r="O90" i="6" s="1"/>
  <c r="I91" i="6"/>
  <c r="K91" i="6" s="1"/>
  <c r="B247" i="39" l="1"/>
  <c r="K247" i="39"/>
  <c r="G247" i="39"/>
  <c r="O92" i="39"/>
  <c r="M92" i="39" s="1"/>
  <c r="I92" i="39"/>
  <c r="K92" i="39" s="1"/>
  <c r="L92" i="39"/>
  <c r="F93" i="39"/>
  <c r="E93" i="39"/>
  <c r="I93" i="39" s="1"/>
  <c r="B93" i="39"/>
  <c r="D93" i="39"/>
  <c r="H93" i="39" s="1"/>
  <c r="A94" i="39"/>
  <c r="A248" i="39"/>
  <c r="F248" i="39" s="1"/>
  <c r="C93" i="39"/>
  <c r="G93" i="39"/>
  <c r="L246" i="37"/>
  <c r="G247" i="37"/>
  <c r="B247" i="37"/>
  <c r="K247" i="37"/>
  <c r="A248" i="6"/>
  <c r="F248" i="6" s="1"/>
  <c r="C93" i="6"/>
  <c r="B93" i="6"/>
  <c r="E93" i="6"/>
  <c r="I93" i="6" s="1"/>
  <c r="K93" i="6" s="1"/>
  <c r="F93" i="6"/>
  <c r="D93" i="6"/>
  <c r="H93" i="6" s="1"/>
  <c r="G93" i="6"/>
  <c r="A94" i="6"/>
  <c r="D93" i="37"/>
  <c r="H93" i="37" s="1"/>
  <c r="G93" i="37"/>
  <c r="B93" i="37"/>
  <c r="C93" i="37"/>
  <c r="F93" i="37"/>
  <c r="A94" i="37"/>
  <c r="E93" i="37"/>
  <c r="I93" i="37" s="1"/>
  <c r="A248" i="37"/>
  <c r="F248" i="37" s="1"/>
  <c r="L246" i="39"/>
  <c r="G247" i="38"/>
  <c r="K247" i="38"/>
  <c r="B247" i="38"/>
  <c r="K247" i="6"/>
  <c r="G247" i="6"/>
  <c r="B247" i="6"/>
  <c r="I92" i="38"/>
  <c r="K92" i="38" s="1"/>
  <c r="L92" i="38"/>
  <c r="L246" i="38"/>
  <c r="M90" i="6"/>
  <c r="L90" i="6"/>
  <c r="O91" i="6" s="1"/>
  <c r="A248" i="38"/>
  <c r="F248" i="38" s="1"/>
  <c r="G93" i="38"/>
  <c r="C93" i="38"/>
  <c r="D93" i="38"/>
  <c r="H93" i="38" s="1"/>
  <c r="B93" i="38"/>
  <c r="E93" i="38"/>
  <c r="A94" i="38"/>
  <c r="F93" i="38"/>
  <c r="O92" i="38"/>
  <c r="M92" i="38" s="1"/>
  <c r="L246" i="6"/>
  <c r="K93" i="38" l="1"/>
  <c r="L93" i="38"/>
  <c r="O93" i="38"/>
  <c r="M93" i="38" s="1"/>
  <c r="B248" i="37"/>
  <c r="K248" i="37"/>
  <c r="G248" i="37"/>
  <c r="K93" i="37"/>
  <c r="L93" i="37"/>
  <c r="A95" i="37"/>
  <c r="C94" i="37"/>
  <c r="A249" i="37"/>
  <c r="F249" i="37" s="1"/>
  <c r="B94" i="37"/>
  <c r="F94" i="37"/>
  <c r="E94" i="37"/>
  <c r="D94" i="37"/>
  <c r="H94" i="37" s="1"/>
  <c r="G94" i="37"/>
  <c r="B248" i="38"/>
  <c r="G248" i="38"/>
  <c r="K248" i="38"/>
  <c r="M91" i="6"/>
  <c r="L91" i="6"/>
  <c r="O92" i="6" s="1"/>
  <c r="K248" i="39"/>
  <c r="G248" i="39"/>
  <c r="B248" i="39"/>
  <c r="D94" i="39"/>
  <c r="H94" i="39" s="1"/>
  <c r="A95" i="39"/>
  <c r="E94" i="39"/>
  <c r="I94" i="39" s="1"/>
  <c r="C94" i="39"/>
  <c r="F94" i="39"/>
  <c r="B94" i="39"/>
  <c r="A249" i="39"/>
  <c r="F249" i="39" s="1"/>
  <c r="G94" i="39"/>
  <c r="A249" i="6"/>
  <c r="F249" i="6" s="1"/>
  <c r="C94" i="6"/>
  <c r="F94" i="6"/>
  <c r="A95" i="6"/>
  <c r="D94" i="6"/>
  <c r="H94" i="6" s="1"/>
  <c r="G94" i="6"/>
  <c r="E94" i="6"/>
  <c r="B94" i="6"/>
  <c r="L93" i="39"/>
  <c r="K93" i="39"/>
  <c r="O93" i="39"/>
  <c r="M93" i="39" s="1"/>
  <c r="L247" i="38"/>
  <c r="L247" i="6"/>
  <c r="I93" i="38"/>
  <c r="K248" i="6"/>
  <c r="G248" i="6"/>
  <c r="B248" i="6"/>
  <c r="L247" i="39"/>
  <c r="A95" i="38"/>
  <c r="D94" i="38"/>
  <c r="H94" i="38" s="1"/>
  <c r="C94" i="38"/>
  <c r="G94" i="38"/>
  <c r="A249" i="38"/>
  <c r="F249" i="38" s="1"/>
  <c r="E94" i="38"/>
  <c r="B94" i="38"/>
  <c r="F94" i="38"/>
  <c r="L247" i="37"/>
  <c r="L248" i="38" l="1"/>
  <c r="D95" i="38"/>
  <c r="H95" i="38" s="1"/>
  <c r="E95" i="38"/>
  <c r="A250" i="38"/>
  <c r="F250" i="38" s="1"/>
  <c r="A96" i="38"/>
  <c r="B95" i="38"/>
  <c r="G95" i="38"/>
  <c r="C95" i="38"/>
  <c r="F95" i="38"/>
  <c r="I95" i="38"/>
  <c r="A250" i="6"/>
  <c r="F250" i="6" s="1"/>
  <c r="E95" i="6"/>
  <c r="B95" i="6"/>
  <c r="F95" i="6"/>
  <c r="G95" i="6"/>
  <c r="D95" i="6"/>
  <c r="H95" i="6" s="1"/>
  <c r="C95" i="6"/>
  <c r="A96" i="6"/>
  <c r="K249" i="6"/>
  <c r="B249" i="6"/>
  <c r="G249" i="6"/>
  <c r="I94" i="37"/>
  <c r="K94" i="37" s="1"/>
  <c r="L94" i="37"/>
  <c r="K249" i="39"/>
  <c r="B249" i="39"/>
  <c r="G249" i="39"/>
  <c r="G249" i="37"/>
  <c r="K249" i="37"/>
  <c r="B249" i="37"/>
  <c r="C95" i="37"/>
  <c r="B95" i="37"/>
  <c r="A250" i="37"/>
  <c r="F250" i="37" s="1"/>
  <c r="G95" i="37"/>
  <c r="E95" i="37"/>
  <c r="D95" i="37"/>
  <c r="H95" i="37" s="1"/>
  <c r="A96" i="37"/>
  <c r="F95" i="37"/>
  <c r="L94" i="39"/>
  <c r="K94" i="39"/>
  <c r="O94" i="39"/>
  <c r="M94" i="39" s="1"/>
  <c r="A96" i="39"/>
  <c r="A250" i="39"/>
  <c r="F250" i="39" s="1"/>
  <c r="G95" i="39"/>
  <c r="F95" i="39"/>
  <c r="B95" i="39"/>
  <c r="D95" i="39"/>
  <c r="H95" i="39" s="1"/>
  <c r="C95" i="39"/>
  <c r="E95" i="39"/>
  <c r="L248" i="37"/>
  <c r="I94" i="38"/>
  <c r="L94" i="38"/>
  <c r="K94" i="38"/>
  <c r="O94" i="38"/>
  <c r="M94" i="38" s="1"/>
  <c r="I94" i="6"/>
  <c r="K94" i="6" s="1"/>
  <c r="L248" i="39"/>
  <c r="B249" i="38"/>
  <c r="G249" i="38"/>
  <c r="K249" i="38"/>
  <c r="M92" i="6"/>
  <c r="L92" i="6"/>
  <c r="O93" i="6" s="1"/>
  <c r="I95" i="37" l="1"/>
  <c r="K95" i="37" s="1"/>
  <c r="L95" i="37"/>
  <c r="A251" i="6"/>
  <c r="F251" i="6" s="1"/>
  <c r="E96" i="6"/>
  <c r="D96" i="6"/>
  <c r="H96" i="6" s="1"/>
  <c r="F96" i="6"/>
  <c r="C96" i="6"/>
  <c r="B96" i="6"/>
  <c r="G96" i="6"/>
  <c r="A97" i="6"/>
  <c r="I96" i="6"/>
  <c r="K96" i="6" s="1"/>
  <c r="G250" i="37"/>
  <c r="B250" i="37"/>
  <c r="K250" i="37"/>
  <c r="I95" i="39"/>
  <c r="L95" i="39"/>
  <c r="K95" i="39"/>
  <c r="O95" i="39"/>
  <c r="M95" i="39" s="1"/>
  <c r="L249" i="37"/>
  <c r="B250" i="6"/>
  <c r="G250" i="6"/>
  <c r="K250" i="6"/>
  <c r="L249" i="39"/>
  <c r="M93" i="6"/>
  <c r="L93" i="6"/>
  <c r="O94" i="6" s="1"/>
  <c r="B250" i="39"/>
  <c r="K250" i="39"/>
  <c r="G250" i="39"/>
  <c r="E96" i="39"/>
  <c r="A251" i="39"/>
  <c r="F251" i="39" s="1"/>
  <c r="G96" i="39"/>
  <c r="F96" i="39"/>
  <c r="D96" i="39"/>
  <c r="H96" i="39" s="1"/>
  <c r="A97" i="39"/>
  <c r="C96" i="39"/>
  <c r="B96" i="39"/>
  <c r="C96" i="38"/>
  <c r="E96" i="38"/>
  <c r="D96" i="38"/>
  <c r="H96" i="38" s="1"/>
  <c r="B96" i="38"/>
  <c r="A97" i="38"/>
  <c r="F96" i="38"/>
  <c r="G96" i="38"/>
  <c r="A251" i="38"/>
  <c r="F251" i="38" s="1"/>
  <c r="L249" i="38"/>
  <c r="G250" i="38"/>
  <c r="B250" i="38"/>
  <c r="K250" i="38"/>
  <c r="K95" i="38"/>
  <c r="L95" i="38"/>
  <c r="O95" i="38"/>
  <c r="M95" i="38" s="1"/>
  <c r="A97" i="37"/>
  <c r="B96" i="37"/>
  <c r="A251" i="37"/>
  <c r="F251" i="37" s="1"/>
  <c r="F96" i="37"/>
  <c r="E96" i="37"/>
  <c r="I96" i="37" s="1"/>
  <c r="C96" i="37"/>
  <c r="D96" i="37"/>
  <c r="H96" i="37" s="1"/>
  <c r="G96" i="37"/>
  <c r="I95" i="6"/>
  <c r="K95" i="6" s="1"/>
  <c r="K251" i="37" l="1"/>
  <c r="G251" i="37"/>
  <c r="B251" i="37"/>
  <c r="C97" i="39"/>
  <c r="G97" i="39"/>
  <c r="D97" i="39"/>
  <c r="H97" i="39" s="1"/>
  <c r="A252" i="39"/>
  <c r="F252" i="39" s="1"/>
  <c r="A98" i="39"/>
  <c r="B97" i="39"/>
  <c r="F97" i="39"/>
  <c r="E97" i="39"/>
  <c r="I97" i="39" s="1"/>
  <c r="A98" i="37"/>
  <c r="F97" i="37"/>
  <c r="A252" i="37"/>
  <c r="F252" i="37" s="1"/>
  <c r="G97" i="37"/>
  <c r="D97" i="37"/>
  <c r="H97" i="37" s="1"/>
  <c r="B97" i="37"/>
  <c r="E97" i="37"/>
  <c r="C97" i="37"/>
  <c r="L250" i="37"/>
  <c r="B251" i="39"/>
  <c r="G251" i="39"/>
  <c r="K251" i="39"/>
  <c r="L250" i="38"/>
  <c r="I96" i="39"/>
  <c r="L96" i="39"/>
  <c r="K96" i="39"/>
  <c r="O96" i="39"/>
  <c r="M96" i="39" s="1"/>
  <c r="L250" i="39"/>
  <c r="A252" i="6"/>
  <c r="F252" i="6" s="1"/>
  <c r="G97" i="6"/>
  <c r="B97" i="6"/>
  <c r="E97" i="6"/>
  <c r="F97" i="6"/>
  <c r="D97" i="6"/>
  <c r="H97" i="6" s="1"/>
  <c r="C97" i="6"/>
  <c r="A98" i="6"/>
  <c r="M94" i="6"/>
  <c r="L94" i="6"/>
  <c r="O95" i="6" s="1"/>
  <c r="K251" i="38"/>
  <c r="B251" i="38"/>
  <c r="G251" i="38"/>
  <c r="G97" i="38"/>
  <c r="B97" i="38"/>
  <c r="E97" i="38"/>
  <c r="A98" i="38"/>
  <c r="D97" i="38"/>
  <c r="H97" i="38" s="1"/>
  <c r="F97" i="38"/>
  <c r="A252" i="38"/>
  <c r="F252" i="38" s="1"/>
  <c r="C97" i="38"/>
  <c r="L250" i="6"/>
  <c r="B251" i="6"/>
  <c r="G251" i="6"/>
  <c r="K251" i="6"/>
  <c r="I96" i="38"/>
  <c r="K96" i="38"/>
  <c r="L96" i="38"/>
  <c r="O96" i="38"/>
  <c r="M96" i="38" s="1"/>
  <c r="K96" i="37"/>
  <c r="L96" i="37"/>
  <c r="I97" i="37" l="1"/>
  <c r="K97" i="37" s="1"/>
  <c r="L97" i="37"/>
  <c r="K252" i="37"/>
  <c r="G252" i="37"/>
  <c r="B252" i="37"/>
  <c r="B252" i="38"/>
  <c r="G252" i="38"/>
  <c r="K252" i="38"/>
  <c r="B252" i="6"/>
  <c r="G252" i="6"/>
  <c r="K252" i="6"/>
  <c r="F98" i="37"/>
  <c r="E98" i="37"/>
  <c r="A253" i="37"/>
  <c r="F253" i="37" s="1"/>
  <c r="D98" i="37"/>
  <c r="H98" i="37" s="1"/>
  <c r="G98" i="37"/>
  <c r="B98" i="37"/>
  <c r="C98" i="37"/>
  <c r="A99" i="37"/>
  <c r="A253" i="38"/>
  <c r="F253" i="38" s="1"/>
  <c r="B98" i="38"/>
  <c r="D98" i="38"/>
  <c r="H98" i="38" s="1"/>
  <c r="C98" i="38"/>
  <c r="G98" i="38"/>
  <c r="F98" i="38"/>
  <c r="A99" i="38"/>
  <c r="E98" i="38"/>
  <c r="K97" i="39"/>
  <c r="L97" i="39"/>
  <c r="O97" i="39"/>
  <c r="M97" i="39" s="1"/>
  <c r="I97" i="38"/>
  <c r="K97" i="38"/>
  <c r="L97" i="38"/>
  <c r="O97" i="38"/>
  <c r="M97" i="38" s="1"/>
  <c r="F98" i="39"/>
  <c r="C98" i="39"/>
  <c r="E98" i="39"/>
  <c r="A99" i="39"/>
  <c r="D98" i="39"/>
  <c r="H98" i="39" s="1"/>
  <c r="G98" i="39"/>
  <c r="B98" i="39"/>
  <c r="A253" i="39"/>
  <c r="F253" i="39" s="1"/>
  <c r="B252" i="39"/>
  <c r="K252" i="39"/>
  <c r="G252" i="39"/>
  <c r="L251" i="38"/>
  <c r="L251" i="39"/>
  <c r="M95" i="6"/>
  <c r="L95" i="6"/>
  <c r="O96" i="6" s="1"/>
  <c r="I97" i="6"/>
  <c r="K97" i="6" s="1"/>
  <c r="L251" i="6"/>
  <c r="A253" i="6"/>
  <c r="F253" i="6" s="1"/>
  <c r="F98" i="6"/>
  <c r="G98" i="6"/>
  <c r="E98" i="6"/>
  <c r="D98" i="6"/>
  <c r="H98" i="6" s="1"/>
  <c r="C98" i="6"/>
  <c r="B98" i="6"/>
  <c r="A99" i="6"/>
  <c r="L251" i="37"/>
  <c r="I98" i="6" l="1"/>
  <c r="K98" i="6" s="1"/>
  <c r="B99" i="39"/>
  <c r="A100" i="39"/>
  <c r="G99" i="39"/>
  <c r="A254" i="39"/>
  <c r="F254" i="39" s="1"/>
  <c r="E99" i="39"/>
  <c r="F99" i="39"/>
  <c r="D99" i="39"/>
  <c r="H99" i="39" s="1"/>
  <c r="C99" i="39"/>
  <c r="I98" i="39"/>
  <c r="K98" i="39"/>
  <c r="L98" i="39"/>
  <c r="O98" i="39"/>
  <c r="M98" i="39" s="1"/>
  <c r="K253" i="6"/>
  <c r="B253" i="6"/>
  <c r="G253" i="6"/>
  <c r="B253" i="37"/>
  <c r="K253" i="37"/>
  <c r="G253" i="37"/>
  <c r="I98" i="37"/>
  <c r="K98" i="37" s="1"/>
  <c r="L98" i="37"/>
  <c r="M96" i="6"/>
  <c r="L96" i="6"/>
  <c r="O97" i="6" s="1"/>
  <c r="L252" i="6"/>
  <c r="L252" i="38"/>
  <c r="I98" i="38"/>
  <c r="L98" i="38"/>
  <c r="K98" i="38"/>
  <c r="O98" i="38"/>
  <c r="M98" i="38" s="1"/>
  <c r="C99" i="38"/>
  <c r="B99" i="38"/>
  <c r="A254" i="38"/>
  <c r="F254" i="38" s="1"/>
  <c r="D99" i="38"/>
  <c r="H99" i="38" s="1"/>
  <c r="G99" i="38"/>
  <c r="A100" i="38"/>
  <c r="F99" i="38"/>
  <c r="E99" i="38"/>
  <c r="I99" i="38" s="1"/>
  <c r="L252" i="39"/>
  <c r="L252" i="37"/>
  <c r="A254" i="6"/>
  <c r="F254" i="6" s="1"/>
  <c r="A100" i="6"/>
  <c r="F99" i="6"/>
  <c r="G99" i="6"/>
  <c r="D99" i="6"/>
  <c r="H99" i="6" s="1"/>
  <c r="E99" i="6"/>
  <c r="I99" i="6" s="1"/>
  <c r="K99" i="6" s="1"/>
  <c r="C99" i="6"/>
  <c r="B99" i="6"/>
  <c r="G253" i="39"/>
  <c r="B253" i="39"/>
  <c r="K253" i="39"/>
  <c r="K253" i="38"/>
  <c r="G253" i="38"/>
  <c r="B253" i="38"/>
  <c r="G99" i="37"/>
  <c r="C99" i="37"/>
  <c r="A254" i="37"/>
  <c r="F254" i="37" s="1"/>
  <c r="A100" i="37"/>
  <c r="D99" i="37"/>
  <c r="H99" i="37" s="1"/>
  <c r="E99" i="37"/>
  <c r="I99" i="37" s="1"/>
  <c r="F99" i="37"/>
  <c r="B99" i="37"/>
  <c r="L253" i="38" l="1"/>
  <c r="B100" i="38"/>
  <c r="A101" i="38"/>
  <c r="C100" i="38"/>
  <c r="G100" i="38"/>
  <c r="F100" i="38"/>
  <c r="D100" i="38"/>
  <c r="H100" i="38" s="1"/>
  <c r="A255" i="38"/>
  <c r="F255" i="38" s="1"/>
  <c r="E100" i="38"/>
  <c r="L253" i="37"/>
  <c r="L253" i="39"/>
  <c r="B254" i="38"/>
  <c r="K254" i="38"/>
  <c r="G254" i="38"/>
  <c r="L253" i="6"/>
  <c r="A255" i="6"/>
  <c r="F255" i="6" s="1"/>
  <c r="B100" i="6"/>
  <c r="D100" i="6"/>
  <c r="H100" i="6" s="1"/>
  <c r="F100" i="6"/>
  <c r="C100" i="6"/>
  <c r="G100" i="6"/>
  <c r="E100" i="6"/>
  <c r="I100" i="6" s="1"/>
  <c r="K100" i="6" s="1"/>
  <c r="A101" i="6"/>
  <c r="K99" i="37"/>
  <c r="L99" i="37"/>
  <c r="G254" i="6"/>
  <c r="K254" i="6"/>
  <c r="B254" i="6"/>
  <c r="I99" i="39"/>
  <c r="L99" i="39"/>
  <c r="K99" i="39"/>
  <c r="O99" i="39"/>
  <c r="M99" i="39" s="1"/>
  <c r="B254" i="39"/>
  <c r="K254" i="39"/>
  <c r="G254" i="39"/>
  <c r="M97" i="6"/>
  <c r="L97" i="6"/>
  <c r="O98" i="6" s="1"/>
  <c r="K254" i="37"/>
  <c r="B254" i="37"/>
  <c r="G254" i="37"/>
  <c r="E100" i="39"/>
  <c r="D100" i="39"/>
  <c r="H100" i="39" s="1"/>
  <c r="B100" i="39"/>
  <c r="A255" i="39"/>
  <c r="F255" i="39" s="1"/>
  <c r="A101" i="39"/>
  <c r="F100" i="39"/>
  <c r="C100" i="39"/>
  <c r="G100" i="39"/>
  <c r="A255" i="37"/>
  <c r="F255" i="37" s="1"/>
  <c r="F100" i="37"/>
  <c r="D100" i="37"/>
  <c r="H100" i="37" s="1"/>
  <c r="C100" i="37"/>
  <c r="E100" i="37"/>
  <c r="G100" i="37"/>
  <c r="B100" i="37"/>
  <c r="A101" i="37"/>
  <c r="L99" i="38"/>
  <c r="K99" i="38"/>
  <c r="O99" i="38"/>
  <c r="M99" i="38" s="1"/>
  <c r="I100" i="37" l="1"/>
  <c r="K100" i="37" s="1"/>
  <c r="L100" i="37"/>
  <c r="K255" i="37"/>
  <c r="B255" i="37"/>
  <c r="G255" i="37"/>
  <c r="L254" i="38"/>
  <c r="L254" i="6"/>
  <c r="G101" i="39"/>
  <c r="B101" i="39"/>
  <c r="D101" i="39"/>
  <c r="H101" i="39" s="1"/>
  <c r="E101" i="39"/>
  <c r="I101" i="39" s="1"/>
  <c r="F101" i="39"/>
  <c r="C101" i="39"/>
  <c r="A102" i="39"/>
  <c r="A256" i="39"/>
  <c r="F256" i="39" s="1"/>
  <c r="K255" i="39"/>
  <c r="B255" i="39"/>
  <c r="G255" i="39"/>
  <c r="I100" i="38"/>
  <c r="L100" i="38"/>
  <c r="K100" i="38"/>
  <c r="O100" i="38"/>
  <c r="M100" i="38" s="1"/>
  <c r="K255" i="38"/>
  <c r="B255" i="38"/>
  <c r="G255" i="38"/>
  <c r="I100" i="39"/>
  <c r="L100" i="39"/>
  <c r="K100" i="39"/>
  <c r="O100" i="39"/>
  <c r="M100" i="39" s="1"/>
  <c r="A256" i="6"/>
  <c r="F256" i="6" s="1"/>
  <c r="G101" i="6"/>
  <c r="E101" i="6"/>
  <c r="B101" i="6"/>
  <c r="D101" i="6"/>
  <c r="H101" i="6" s="1"/>
  <c r="C101" i="6"/>
  <c r="F101" i="6"/>
  <c r="A102" i="6"/>
  <c r="L254" i="37"/>
  <c r="M98" i="6"/>
  <c r="L98" i="6"/>
  <c r="O99" i="6" s="1"/>
  <c r="B101" i="38"/>
  <c r="D101" i="38"/>
  <c r="H101" i="38" s="1"/>
  <c r="E101" i="38"/>
  <c r="I101" i="38" s="1"/>
  <c r="A102" i="38"/>
  <c r="C101" i="38"/>
  <c r="G101" i="38"/>
  <c r="F101" i="38"/>
  <c r="A256" i="38"/>
  <c r="F256" i="38" s="1"/>
  <c r="C101" i="37"/>
  <c r="E101" i="37"/>
  <c r="D101" i="37"/>
  <c r="H101" i="37" s="1"/>
  <c r="B101" i="37"/>
  <c r="F101" i="37"/>
  <c r="A256" i="37"/>
  <c r="F256" i="37" s="1"/>
  <c r="G101" i="37"/>
  <c r="A102" i="37"/>
  <c r="L254" i="39"/>
  <c r="B255" i="6"/>
  <c r="G255" i="6"/>
  <c r="K255" i="6"/>
  <c r="L255" i="39" l="1"/>
  <c r="G256" i="39"/>
  <c r="K256" i="39"/>
  <c r="B256" i="39"/>
  <c r="I101" i="37"/>
  <c r="K101" i="37" s="1"/>
  <c r="L101" i="37"/>
  <c r="E102" i="39"/>
  <c r="A257" i="39"/>
  <c r="F257" i="39" s="1"/>
  <c r="D102" i="39"/>
  <c r="H102" i="39" s="1"/>
  <c r="F102" i="39"/>
  <c r="B102" i="39"/>
  <c r="G102" i="39"/>
  <c r="A103" i="39"/>
  <c r="C102" i="39"/>
  <c r="I101" i="6"/>
  <c r="K101" i="6" s="1"/>
  <c r="B256" i="38"/>
  <c r="G256" i="38"/>
  <c r="K256" i="38"/>
  <c r="K256" i="6"/>
  <c r="B256" i="6"/>
  <c r="G256" i="6"/>
  <c r="L101" i="39"/>
  <c r="K101" i="39"/>
  <c r="O101" i="39"/>
  <c r="M101" i="39" s="1"/>
  <c r="F102" i="38"/>
  <c r="E102" i="38"/>
  <c r="A257" i="38"/>
  <c r="F257" i="38" s="1"/>
  <c r="A103" i="38"/>
  <c r="G102" i="38"/>
  <c r="D102" i="38"/>
  <c r="H102" i="38" s="1"/>
  <c r="C102" i="38"/>
  <c r="B102" i="38"/>
  <c r="L101" i="38"/>
  <c r="K101" i="38"/>
  <c r="O101" i="38"/>
  <c r="M101" i="38" s="1"/>
  <c r="L255" i="6"/>
  <c r="L255" i="38"/>
  <c r="M99" i="6"/>
  <c r="L99" i="6"/>
  <c r="O100" i="6" s="1"/>
  <c r="L255" i="37"/>
  <c r="E102" i="37"/>
  <c r="F102" i="37"/>
  <c r="B102" i="37"/>
  <c r="C102" i="37"/>
  <c r="A257" i="37"/>
  <c r="F257" i="37" s="1"/>
  <c r="A103" i="37"/>
  <c r="G102" i="37"/>
  <c r="D102" i="37"/>
  <c r="H102" i="37" s="1"/>
  <c r="B256" i="37"/>
  <c r="K256" i="37"/>
  <c r="G256" i="37"/>
  <c r="A257" i="6"/>
  <c r="F257" i="6" s="1"/>
  <c r="G102" i="6"/>
  <c r="F102" i="6"/>
  <c r="E102" i="6"/>
  <c r="I102" i="6" s="1"/>
  <c r="K102" i="6" s="1"/>
  <c r="D102" i="6"/>
  <c r="H102" i="6" s="1"/>
  <c r="C102" i="6"/>
  <c r="B102" i="6"/>
  <c r="A103" i="6"/>
  <c r="B257" i="6" l="1"/>
  <c r="G257" i="6"/>
  <c r="K257" i="6"/>
  <c r="L256" i="37"/>
  <c r="A104" i="39"/>
  <c r="A258" i="39"/>
  <c r="F258" i="39" s="1"/>
  <c r="D103" i="39"/>
  <c r="H103" i="39" s="1"/>
  <c r="B103" i="39"/>
  <c r="F103" i="39"/>
  <c r="E103" i="39"/>
  <c r="C103" i="39"/>
  <c r="G103" i="39"/>
  <c r="F103" i="37"/>
  <c r="E103" i="37"/>
  <c r="A258" i="37"/>
  <c r="F258" i="37" s="1"/>
  <c r="D103" i="37"/>
  <c r="H103" i="37" s="1"/>
  <c r="A104" i="37"/>
  <c r="B103" i="37"/>
  <c r="C103" i="37"/>
  <c r="G103" i="37"/>
  <c r="C103" i="38"/>
  <c r="A258" i="38"/>
  <c r="F258" i="38" s="1"/>
  <c r="A104" i="38"/>
  <c r="F103" i="38"/>
  <c r="G103" i="38"/>
  <c r="D103" i="38"/>
  <c r="H103" i="38" s="1"/>
  <c r="E103" i="38"/>
  <c r="B103" i="38"/>
  <c r="K257" i="38"/>
  <c r="G257" i="38"/>
  <c r="B257" i="38"/>
  <c r="G257" i="39"/>
  <c r="B257" i="39"/>
  <c r="K257" i="39"/>
  <c r="I102" i="39"/>
  <c r="L102" i="39"/>
  <c r="K102" i="39"/>
  <c r="O102" i="39"/>
  <c r="M102" i="39" s="1"/>
  <c r="I102" i="37"/>
  <c r="K102" i="37" s="1"/>
  <c r="L102" i="37"/>
  <c r="A258" i="6"/>
  <c r="F258" i="6" s="1"/>
  <c r="E103" i="6"/>
  <c r="I103" i="6" s="1"/>
  <c r="K103" i="6" s="1"/>
  <c r="B103" i="6"/>
  <c r="F103" i="6"/>
  <c r="A104" i="6"/>
  <c r="G103" i="6"/>
  <c r="D103" i="6"/>
  <c r="H103" i="6" s="1"/>
  <c r="C103" i="6"/>
  <c r="M100" i="6"/>
  <c r="L100" i="6"/>
  <c r="O101" i="6" s="1"/>
  <c r="L256" i="39"/>
  <c r="B257" i="37"/>
  <c r="G257" i="37"/>
  <c r="K257" i="37"/>
  <c r="L256" i="6"/>
  <c r="L256" i="38"/>
  <c r="I102" i="38"/>
  <c r="L102" i="38"/>
  <c r="K102" i="38"/>
  <c r="O102" i="38"/>
  <c r="M102" i="38" s="1"/>
  <c r="L257" i="37" l="1"/>
  <c r="B104" i="37"/>
  <c r="C104" i="37"/>
  <c r="D104" i="37"/>
  <c r="H104" i="37" s="1"/>
  <c r="A259" i="37"/>
  <c r="F259" i="37" s="1"/>
  <c r="F104" i="37"/>
  <c r="A105" i="37"/>
  <c r="G104" i="37"/>
  <c r="E104" i="37"/>
  <c r="I104" i="37" s="1"/>
  <c r="L257" i="39"/>
  <c r="B258" i="37"/>
  <c r="K258" i="37"/>
  <c r="G258" i="37"/>
  <c r="K103" i="37"/>
  <c r="L103" i="37"/>
  <c r="M101" i="6"/>
  <c r="L101" i="6"/>
  <c r="O102" i="6" s="1"/>
  <c r="L257" i="38"/>
  <c r="I103" i="39"/>
  <c r="K103" i="39"/>
  <c r="L103" i="39"/>
  <c r="O103" i="39"/>
  <c r="M103" i="39" s="1"/>
  <c r="I103" i="38"/>
  <c r="K103" i="38"/>
  <c r="L103" i="38"/>
  <c r="O103" i="38"/>
  <c r="M103" i="38" s="1"/>
  <c r="A259" i="6"/>
  <c r="F259" i="6" s="1"/>
  <c r="D104" i="6"/>
  <c r="H104" i="6" s="1"/>
  <c r="B104" i="6"/>
  <c r="F104" i="6"/>
  <c r="E104" i="6"/>
  <c r="I104" i="6" s="1"/>
  <c r="K104" i="6" s="1"/>
  <c r="C104" i="6"/>
  <c r="G104" i="6"/>
  <c r="A105" i="6"/>
  <c r="G258" i="39"/>
  <c r="B258" i="39"/>
  <c r="K258" i="39"/>
  <c r="F104" i="39"/>
  <c r="E104" i="39"/>
  <c r="I104" i="39" s="1"/>
  <c r="A259" i="39"/>
  <c r="F259" i="39" s="1"/>
  <c r="C104" i="39"/>
  <c r="A105" i="39"/>
  <c r="D104" i="39"/>
  <c r="H104" i="39" s="1"/>
  <c r="B104" i="39"/>
  <c r="G104" i="39"/>
  <c r="F104" i="38"/>
  <c r="A259" i="38"/>
  <c r="F259" i="38" s="1"/>
  <c r="D104" i="38"/>
  <c r="H104" i="38" s="1"/>
  <c r="B104" i="38"/>
  <c r="G104" i="38"/>
  <c r="A105" i="38"/>
  <c r="E104" i="38"/>
  <c r="C104" i="38"/>
  <c r="G258" i="6"/>
  <c r="K258" i="6"/>
  <c r="B258" i="6"/>
  <c r="B258" i="38"/>
  <c r="K258" i="38"/>
  <c r="G258" i="38"/>
  <c r="L257" i="6"/>
  <c r="I103" i="37"/>
  <c r="K104" i="38" l="1"/>
  <c r="L104" i="38"/>
  <c r="O104" i="38"/>
  <c r="M104" i="38" s="1"/>
  <c r="G105" i="38"/>
  <c r="C105" i="38"/>
  <c r="E105" i="38"/>
  <c r="A260" i="38"/>
  <c r="F260" i="38" s="1"/>
  <c r="F105" i="38"/>
  <c r="D105" i="38"/>
  <c r="H105" i="38" s="1"/>
  <c r="B105" i="38"/>
  <c r="A106" i="38"/>
  <c r="A260" i="6"/>
  <c r="F260" i="6" s="1"/>
  <c r="C105" i="6"/>
  <c r="A106" i="6"/>
  <c r="G105" i="6"/>
  <c r="E105" i="6"/>
  <c r="F105" i="6"/>
  <c r="D105" i="6"/>
  <c r="H105" i="6" s="1"/>
  <c r="B105" i="6"/>
  <c r="G259" i="38"/>
  <c r="B259" i="38"/>
  <c r="K259" i="38"/>
  <c r="L258" i="37"/>
  <c r="B259" i="6"/>
  <c r="G259" i="6"/>
  <c r="K259" i="6"/>
  <c r="K104" i="37"/>
  <c r="L104" i="37"/>
  <c r="A260" i="39"/>
  <c r="F260" i="39" s="1"/>
  <c r="G105" i="39"/>
  <c r="B105" i="39"/>
  <c r="F105" i="39"/>
  <c r="C105" i="39"/>
  <c r="D105" i="39"/>
  <c r="H105" i="39" s="1"/>
  <c r="E105" i="39"/>
  <c r="A106" i="39"/>
  <c r="E105" i="37"/>
  <c r="C105" i="37"/>
  <c r="D105" i="37"/>
  <c r="H105" i="37" s="1"/>
  <c r="B105" i="37"/>
  <c r="A106" i="37"/>
  <c r="G105" i="37"/>
  <c r="A260" i="37"/>
  <c r="F260" i="37" s="1"/>
  <c r="F105" i="37"/>
  <c r="L258" i="38"/>
  <c r="K259" i="39"/>
  <c r="B259" i="39"/>
  <c r="G259" i="39"/>
  <c r="B259" i="37"/>
  <c r="G259" i="37"/>
  <c r="K259" i="37"/>
  <c r="K104" i="39"/>
  <c r="L104" i="39"/>
  <c r="O104" i="39"/>
  <c r="M104" i="39" s="1"/>
  <c r="L258" i="6"/>
  <c r="L258" i="39"/>
  <c r="I104" i="38"/>
  <c r="M102" i="6"/>
  <c r="L102" i="6"/>
  <c r="O103" i="6" s="1"/>
  <c r="K105" i="37" l="1"/>
  <c r="L105" i="37"/>
  <c r="B106" i="39"/>
  <c r="F106" i="39"/>
  <c r="D106" i="39"/>
  <c r="H106" i="39" s="1"/>
  <c r="A261" i="39"/>
  <c r="F261" i="39" s="1"/>
  <c r="C106" i="39"/>
  <c r="G106" i="39"/>
  <c r="E106" i="39"/>
  <c r="A107" i="39"/>
  <c r="I105" i="39"/>
  <c r="L105" i="39"/>
  <c r="K105" i="39"/>
  <c r="O105" i="39"/>
  <c r="M105" i="39" s="1"/>
  <c r="L259" i="37"/>
  <c r="I105" i="6"/>
  <c r="K105" i="6" s="1"/>
  <c r="A261" i="6"/>
  <c r="F261" i="6" s="1"/>
  <c r="E106" i="6"/>
  <c r="G106" i="6"/>
  <c r="D106" i="6"/>
  <c r="H106" i="6" s="1"/>
  <c r="F106" i="6"/>
  <c r="C106" i="6"/>
  <c r="B106" i="6"/>
  <c r="A107" i="6"/>
  <c r="B260" i="39"/>
  <c r="K260" i="39"/>
  <c r="G260" i="39"/>
  <c r="K260" i="6"/>
  <c r="B260" i="6"/>
  <c r="G260" i="6"/>
  <c r="L259" i="39"/>
  <c r="F106" i="38"/>
  <c r="B106" i="38"/>
  <c r="E106" i="38"/>
  <c r="D106" i="38"/>
  <c r="H106" i="38" s="1"/>
  <c r="A107" i="38"/>
  <c r="A261" i="38"/>
  <c r="F261" i="38" s="1"/>
  <c r="G106" i="38"/>
  <c r="C106" i="38"/>
  <c r="I105" i="37"/>
  <c r="L259" i="6"/>
  <c r="G260" i="38"/>
  <c r="B260" i="38"/>
  <c r="K260" i="38"/>
  <c r="M103" i="6"/>
  <c r="L103" i="6"/>
  <c r="O104" i="6" s="1"/>
  <c r="B260" i="37"/>
  <c r="G260" i="37"/>
  <c r="K260" i="37"/>
  <c r="I105" i="38"/>
  <c r="K105" i="38"/>
  <c r="L105" i="38"/>
  <c r="O105" i="38"/>
  <c r="M105" i="38" s="1"/>
  <c r="F106" i="37"/>
  <c r="A107" i="37"/>
  <c r="G106" i="37"/>
  <c r="A261" i="37"/>
  <c r="F261" i="37" s="1"/>
  <c r="E106" i="37"/>
  <c r="C106" i="37"/>
  <c r="B106" i="37"/>
  <c r="D106" i="37"/>
  <c r="H106" i="37" s="1"/>
  <c r="L259" i="38"/>
  <c r="I106" i="38" l="1"/>
  <c r="K106" i="38"/>
  <c r="L106" i="38"/>
  <c r="O106" i="38"/>
  <c r="M106" i="38" s="1"/>
  <c r="L260" i="37"/>
  <c r="L260" i="6"/>
  <c r="M104" i="6"/>
  <c r="L104" i="6"/>
  <c r="O105" i="6" s="1"/>
  <c r="G107" i="39"/>
  <c r="B107" i="39"/>
  <c r="A262" i="39"/>
  <c r="F262" i="39" s="1"/>
  <c r="F107" i="39"/>
  <c r="C107" i="39"/>
  <c r="E107" i="39"/>
  <c r="A108" i="39"/>
  <c r="D107" i="39"/>
  <c r="H107" i="39" s="1"/>
  <c r="L260" i="38"/>
  <c r="L260" i="39"/>
  <c r="I106" i="39"/>
  <c r="K106" i="39"/>
  <c r="L106" i="39"/>
  <c r="O106" i="39"/>
  <c r="M106" i="39" s="1"/>
  <c r="A262" i="6"/>
  <c r="F262" i="6" s="1"/>
  <c r="D107" i="6"/>
  <c r="H107" i="6" s="1"/>
  <c r="F107" i="6"/>
  <c r="B107" i="6"/>
  <c r="E107" i="6"/>
  <c r="G107" i="6"/>
  <c r="C107" i="6"/>
  <c r="A108" i="6"/>
  <c r="B261" i="39"/>
  <c r="K261" i="39"/>
  <c r="G261" i="39"/>
  <c r="I106" i="37"/>
  <c r="K106" i="37" s="1"/>
  <c r="L106" i="37"/>
  <c r="B261" i="37"/>
  <c r="K261" i="37"/>
  <c r="G261" i="37"/>
  <c r="B261" i="38"/>
  <c r="G261" i="38"/>
  <c r="K261" i="38"/>
  <c r="I106" i="6"/>
  <c r="K106" i="6"/>
  <c r="A262" i="37"/>
  <c r="F262" i="37" s="1"/>
  <c r="A108" i="37"/>
  <c r="B107" i="37"/>
  <c r="D107" i="37"/>
  <c r="H107" i="37" s="1"/>
  <c r="C107" i="37"/>
  <c r="G107" i="37"/>
  <c r="F107" i="37"/>
  <c r="E107" i="37"/>
  <c r="G107" i="38"/>
  <c r="A262" i="38"/>
  <c r="F262" i="38" s="1"/>
  <c r="C107" i="38"/>
  <c r="A108" i="38"/>
  <c r="F107" i="38"/>
  <c r="D107" i="38"/>
  <c r="H107" i="38" s="1"/>
  <c r="B107" i="38"/>
  <c r="E107" i="38"/>
  <c r="K261" i="6"/>
  <c r="B261" i="6"/>
  <c r="G261" i="6"/>
  <c r="B262" i="38" l="1"/>
  <c r="G262" i="38"/>
  <c r="K262" i="38"/>
  <c r="I107" i="37"/>
  <c r="K107" i="37" s="1"/>
  <c r="L107" i="37"/>
  <c r="A109" i="39"/>
  <c r="D108" i="39"/>
  <c r="H108" i="39" s="1"/>
  <c r="B108" i="39"/>
  <c r="A263" i="39"/>
  <c r="F263" i="39" s="1"/>
  <c r="C108" i="39"/>
  <c r="E108" i="39"/>
  <c r="I108" i="39" s="1"/>
  <c r="F108" i="39"/>
  <c r="G108" i="39"/>
  <c r="L261" i="39"/>
  <c r="I107" i="39"/>
  <c r="L107" i="39"/>
  <c r="K107" i="39"/>
  <c r="O107" i="39"/>
  <c r="M107" i="39" s="1"/>
  <c r="B262" i="39"/>
  <c r="G262" i="39"/>
  <c r="K262" i="39"/>
  <c r="G108" i="37"/>
  <c r="A263" i="37"/>
  <c r="F263" i="37" s="1"/>
  <c r="B108" i="37"/>
  <c r="A109" i="37"/>
  <c r="F108" i="37"/>
  <c r="E108" i="37"/>
  <c r="I108" i="37" s="1"/>
  <c r="D108" i="37"/>
  <c r="H108" i="37" s="1"/>
  <c r="C108" i="37"/>
  <c r="I107" i="6"/>
  <c r="K107" i="6" s="1"/>
  <c r="B262" i="37"/>
  <c r="K262" i="37"/>
  <c r="G262" i="37"/>
  <c r="M105" i="6"/>
  <c r="L105" i="6"/>
  <c r="O106" i="6" s="1"/>
  <c r="K262" i="6"/>
  <c r="B262" i="6"/>
  <c r="G262" i="6"/>
  <c r="L261" i="6"/>
  <c r="L261" i="38"/>
  <c r="I107" i="38"/>
  <c r="L107" i="38"/>
  <c r="K107" i="38"/>
  <c r="O107" i="38"/>
  <c r="M107" i="38" s="1"/>
  <c r="A263" i="6"/>
  <c r="F263" i="6" s="1"/>
  <c r="E108" i="6"/>
  <c r="G108" i="6"/>
  <c r="D108" i="6"/>
  <c r="H108" i="6" s="1"/>
  <c r="C108" i="6"/>
  <c r="B108" i="6"/>
  <c r="F108" i="6"/>
  <c r="A109" i="6"/>
  <c r="L261" i="37"/>
  <c r="A109" i="38"/>
  <c r="G108" i="38"/>
  <c r="F108" i="38"/>
  <c r="C108" i="38"/>
  <c r="B108" i="38"/>
  <c r="A263" i="38"/>
  <c r="F263" i="38" s="1"/>
  <c r="D108" i="38"/>
  <c r="H108" i="38" s="1"/>
  <c r="E108" i="38"/>
  <c r="I108" i="38" s="1"/>
  <c r="K263" i="38" l="1"/>
  <c r="G263" i="38"/>
  <c r="B263" i="38"/>
  <c r="A264" i="6"/>
  <c r="F264" i="6" s="1"/>
  <c r="A110" i="6"/>
  <c r="E109" i="6"/>
  <c r="C109" i="6"/>
  <c r="D109" i="6"/>
  <c r="H109" i="6" s="1"/>
  <c r="F109" i="6"/>
  <c r="B109" i="6"/>
  <c r="G109" i="6"/>
  <c r="I109" i="6"/>
  <c r="K109" i="6" s="1"/>
  <c r="L262" i="37"/>
  <c r="I108" i="6"/>
  <c r="K108" i="6" s="1"/>
  <c r="B263" i="6"/>
  <c r="G263" i="6"/>
  <c r="K263" i="6"/>
  <c r="L108" i="39"/>
  <c r="K108" i="39"/>
  <c r="O108" i="39"/>
  <c r="M108" i="39" s="1"/>
  <c r="L108" i="38"/>
  <c r="K108" i="38"/>
  <c r="O108" i="38"/>
  <c r="M108" i="38" s="1"/>
  <c r="K108" i="37"/>
  <c r="L108" i="37"/>
  <c r="B263" i="39"/>
  <c r="G263" i="39"/>
  <c r="K263" i="39"/>
  <c r="A110" i="37"/>
  <c r="G109" i="37"/>
  <c r="F109" i="37"/>
  <c r="E109" i="37"/>
  <c r="D109" i="37"/>
  <c r="H109" i="37" s="1"/>
  <c r="C109" i="37"/>
  <c r="B109" i="37"/>
  <c r="A264" i="37"/>
  <c r="F264" i="37" s="1"/>
  <c r="B109" i="39"/>
  <c r="A264" i="39"/>
  <c r="F264" i="39" s="1"/>
  <c r="G109" i="39"/>
  <c r="C109" i="39"/>
  <c r="D109" i="39"/>
  <c r="H109" i="39" s="1"/>
  <c r="E109" i="39"/>
  <c r="I109" i="39" s="1"/>
  <c r="F109" i="39"/>
  <c r="A110" i="39"/>
  <c r="B263" i="37"/>
  <c r="K263" i="37"/>
  <c r="G263" i="37"/>
  <c r="L262" i="39"/>
  <c r="G109" i="38"/>
  <c r="A264" i="38"/>
  <c r="F264" i="38" s="1"/>
  <c r="B109" i="38"/>
  <c r="F109" i="38"/>
  <c r="C109" i="38"/>
  <c r="A110" i="38"/>
  <c r="E109" i="38"/>
  <c r="D109" i="38"/>
  <c r="H109" i="38" s="1"/>
  <c r="L262" i="38"/>
  <c r="L262" i="6"/>
  <c r="M106" i="6"/>
  <c r="L106" i="6"/>
  <c r="O107" i="6" s="1"/>
  <c r="L263" i="6" l="1"/>
  <c r="K264" i="37"/>
  <c r="B264" i="37"/>
  <c r="G264" i="37"/>
  <c r="K264" i="38"/>
  <c r="G264" i="38"/>
  <c r="B264" i="38"/>
  <c r="K109" i="37"/>
  <c r="L109" i="37"/>
  <c r="D110" i="37"/>
  <c r="H110" i="37" s="1"/>
  <c r="A265" i="37"/>
  <c r="F265" i="37" s="1"/>
  <c r="G110" i="37"/>
  <c r="F110" i="37"/>
  <c r="B110" i="37"/>
  <c r="E110" i="37"/>
  <c r="I110" i="37" s="1"/>
  <c r="A111" i="37"/>
  <c r="C110" i="37"/>
  <c r="L263" i="39"/>
  <c r="M107" i="6"/>
  <c r="L107" i="6"/>
  <c r="O108" i="6" s="1"/>
  <c r="E110" i="39"/>
  <c r="I110" i="39" s="1"/>
  <c r="G110" i="39"/>
  <c r="D110" i="39"/>
  <c r="H110" i="39" s="1"/>
  <c r="A111" i="39"/>
  <c r="F110" i="39"/>
  <c r="C110" i="39"/>
  <c r="B110" i="39"/>
  <c r="A265" i="39"/>
  <c r="F265" i="39" s="1"/>
  <c r="K109" i="39"/>
  <c r="L109" i="39"/>
  <c r="O109" i="39"/>
  <c r="M109" i="39" s="1"/>
  <c r="L263" i="37"/>
  <c r="A265" i="6"/>
  <c r="F265" i="6" s="1"/>
  <c r="B110" i="6"/>
  <c r="E110" i="6"/>
  <c r="I110" i="6" s="1"/>
  <c r="K110" i="6" s="1"/>
  <c r="F110" i="6"/>
  <c r="D110" i="6"/>
  <c r="H110" i="6" s="1"/>
  <c r="C110" i="6"/>
  <c r="G110" i="6"/>
  <c r="A111" i="6"/>
  <c r="K264" i="6"/>
  <c r="B264" i="6"/>
  <c r="G264" i="6"/>
  <c r="K264" i="39"/>
  <c r="G264" i="39"/>
  <c r="B264" i="39"/>
  <c r="I109" i="38"/>
  <c r="K109" i="38"/>
  <c r="L109" i="38"/>
  <c r="O109" i="38"/>
  <c r="M109" i="38" s="1"/>
  <c r="C110" i="38"/>
  <c r="A265" i="38"/>
  <c r="F265" i="38" s="1"/>
  <c r="D110" i="38"/>
  <c r="H110" i="38" s="1"/>
  <c r="G110" i="38"/>
  <c r="E110" i="38"/>
  <c r="F110" i="38"/>
  <c r="A111" i="38"/>
  <c r="B110" i="38"/>
  <c r="I109" i="37"/>
  <c r="L263" i="38"/>
  <c r="K265" i="38" l="1"/>
  <c r="B265" i="38"/>
  <c r="G265" i="38"/>
  <c r="K265" i="6"/>
  <c r="B265" i="6"/>
  <c r="G265" i="6"/>
  <c r="F111" i="37"/>
  <c r="D111" i="37"/>
  <c r="H111" i="37" s="1"/>
  <c r="E111" i="37"/>
  <c r="A112" i="37"/>
  <c r="G111" i="37"/>
  <c r="C111" i="37"/>
  <c r="A266" i="37"/>
  <c r="F266" i="37" s="1"/>
  <c r="B111" i="37"/>
  <c r="K110" i="37"/>
  <c r="L110" i="37"/>
  <c r="K265" i="37"/>
  <c r="B265" i="37"/>
  <c r="G265" i="37"/>
  <c r="L264" i="39"/>
  <c r="K265" i="39"/>
  <c r="B265" i="39"/>
  <c r="G265" i="39"/>
  <c r="L264" i="6"/>
  <c r="A266" i="39"/>
  <c r="F266" i="39" s="1"/>
  <c r="F111" i="39"/>
  <c r="B111" i="39"/>
  <c r="A112" i="39"/>
  <c r="G111" i="39"/>
  <c r="E111" i="39"/>
  <c r="D111" i="39"/>
  <c r="H111" i="39" s="1"/>
  <c r="C111" i="39"/>
  <c r="L264" i="38"/>
  <c r="K110" i="39"/>
  <c r="L110" i="39"/>
  <c r="O110" i="39"/>
  <c r="M110" i="39" s="1"/>
  <c r="M108" i="6"/>
  <c r="L108" i="6"/>
  <c r="O109" i="6" s="1"/>
  <c r="A266" i="6"/>
  <c r="F266" i="6" s="1"/>
  <c r="B111" i="6"/>
  <c r="F111" i="6"/>
  <c r="E111" i="6"/>
  <c r="D111" i="6"/>
  <c r="H111" i="6" s="1"/>
  <c r="C111" i="6"/>
  <c r="A112" i="6"/>
  <c r="G111" i="6"/>
  <c r="I110" i="38"/>
  <c r="L110" i="38"/>
  <c r="K110" i="38"/>
  <c r="O110" i="38"/>
  <c r="M110" i="38" s="1"/>
  <c r="L264" i="37"/>
  <c r="G111" i="38"/>
  <c r="E111" i="38"/>
  <c r="A266" i="38"/>
  <c r="F266" i="38" s="1"/>
  <c r="C111" i="38"/>
  <c r="D111" i="38"/>
  <c r="H111" i="38" s="1"/>
  <c r="A112" i="38"/>
  <c r="B111" i="38"/>
  <c r="F111" i="38"/>
  <c r="K266" i="38" l="1"/>
  <c r="G266" i="38"/>
  <c r="B266" i="38"/>
  <c r="L111" i="38"/>
  <c r="K111" i="38"/>
  <c r="O111" i="38"/>
  <c r="M111" i="38" s="1"/>
  <c r="L265" i="37"/>
  <c r="I111" i="39"/>
  <c r="L111" i="39"/>
  <c r="K111" i="39"/>
  <c r="O111" i="39"/>
  <c r="M111" i="39" s="1"/>
  <c r="K266" i="37"/>
  <c r="G266" i="37"/>
  <c r="B266" i="37"/>
  <c r="B112" i="39"/>
  <c r="A267" i="39"/>
  <c r="F267" i="39" s="1"/>
  <c r="A113" i="39"/>
  <c r="F112" i="39"/>
  <c r="C112" i="39"/>
  <c r="E112" i="39"/>
  <c r="D112" i="39"/>
  <c r="H112" i="39" s="1"/>
  <c r="G112" i="39"/>
  <c r="C112" i="37"/>
  <c r="G112" i="37"/>
  <c r="F112" i="37"/>
  <c r="E112" i="37"/>
  <c r="A113" i="37"/>
  <c r="B112" i="37"/>
  <c r="A267" i="37"/>
  <c r="F267" i="37" s="1"/>
  <c r="D112" i="37"/>
  <c r="H112" i="37" s="1"/>
  <c r="A267" i="6"/>
  <c r="F267" i="6" s="1"/>
  <c r="B112" i="6"/>
  <c r="G112" i="6"/>
  <c r="C112" i="6"/>
  <c r="D112" i="6"/>
  <c r="H112" i="6" s="1"/>
  <c r="F112" i="6"/>
  <c r="E112" i="6"/>
  <c r="I112" i="6" s="1"/>
  <c r="K112" i="6" s="1"/>
  <c r="A113" i="6"/>
  <c r="I111" i="37"/>
  <c r="K111" i="37" s="1"/>
  <c r="L111" i="37"/>
  <c r="B266" i="39"/>
  <c r="G266" i="39"/>
  <c r="K266" i="39"/>
  <c r="I111" i="38"/>
  <c r="I111" i="6"/>
  <c r="K111" i="6" s="1"/>
  <c r="L265" i="6"/>
  <c r="E112" i="38"/>
  <c r="A267" i="38"/>
  <c r="F267" i="38" s="1"/>
  <c r="F112" i="38"/>
  <c r="G112" i="38"/>
  <c r="D112" i="38"/>
  <c r="H112" i="38" s="1"/>
  <c r="A113" i="38"/>
  <c r="B112" i="38"/>
  <c r="C112" i="38"/>
  <c r="K266" i="6"/>
  <c r="B266" i="6"/>
  <c r="G266" i="6"/>
  <c r="L265" i="39"/>
  <c r="M109" i="6"/>
  <c r="L109" i="6"/>
  <c r="O110" i="6" s="1"/>
  <c r="L265" i="38"/>
  <c r="A268" i="6" l="1"/>
  <c r="F268" i="6" s="1"/>
  <c r="F113" i="6"/>
  <c r="D113" i="6"/>
  <c r="H113" i="6" s="1"/>
  <c r="E113" i="6"/>
  <c r="G113" i="6"/>
  <c r="C113" i="6"/>
  <c r="B113" i="6"/>
  <c r="A114" i="6"/>
  <c r="I113" i="6"/>
  <c r="K113" i="6" s="1"/>
  <c r="G113" i="38"/>
  <c r="C113" i="38"/>
  <c r="A114" i="38"/>
  <c r="F113" i="38"/>
  <c r="A268" i="38"/>
  <c r="F268" i="38" s="1"/>
  <c r="D113" i="38"/>
  <c r="H113" i="38" s="1"/>
  <c r="B113" i="38"/>
  <c r="E113" i="38"/>
  <c r="A114" i="39"/>
  <c r="F113" i="39"/>
  <c r="B113" i="39"/>
  <c r="E113" i="39"/>
  <c r="C113" i="39"/>
  <c r="D113" i="39"/>
  <c r="H113" i="39" s="1"/>
  <c r="A268" i="39"/>
  <c r="F268" i="39" s="1"/>
  <c r="G113" i="39"/>
  <c r="K267" i="39"/>
  <c r="G267" i="39"/>
  <c r="B267" i="39"/>
  <c r="B267" i="38"/>
  <c r="K267" i="38"/>
  <c r="G267" i="38"/>
  <c r="K112" i="38"/>
  <c r="L112" i="38"/>
  <c r="O112" i="38"/>
  <c r="M112" i="38" s="1"/>
  <c r="L266" i="37"/>
  <c r="K267" i="6"/>
  <c r="B267" i="6"/>
  <c r="G267" i="6"/>
  <c r="K267" i="37"/>
  <c r="B267" i="37"/>
  <c r="G267" i="37"/>
  <c r="M110" i="6"/>
  <c r="L110" i="6"/>
  <c r="O111" i="6" s="1"/>
  <c r="A268" i="37"/>
  <c r="F268" i="37" s="1"/>
  <c r="C113" i="37"/>
  <c r="B113" i="37"/>
  <c r="G113" i="37"/>
  <c r="A114" i="37"/>
  <c r="E113" i="37"/>
  <c r="D113" i="37"/>
  <c r="H113" i="37" s="1"/>
  <c r="F113" i="37"/>
  <c r="I112" i="37"/>
  <c r="K112" i="37" s="1"/>
  <c r="L112" i="37"/>
  <c r="L266" i="39"/>
  <c r="L266" i="6"/>
  <c r="I112" i="38"/>
  <c r="I112" i="39"/>
  <c r="L112" i="39"/>
  <c r="K112" i="39"/>
  <c r="O112" i="39"/>
  <c r="M112" i="39" s="1"/>
  <c r="L266" i="38"/>
  <c r="F114" i="39" l="1"/>
  <c r="C114" i="39"/>
  <c r="A269" i="39"/>
  <c r="F269" i="39" s="1"/>
  <c r="E114" i="39"/>
  <c r="D114" i="39"/>
  <c r="H114" i="39" s="1"/>
  <c r="G114" i="39"/>
  <c r="A115" i="39"/>
  <c r="B114" i="39"/>
  <c r="I114" i="39"/>
  <c r="L267" i="6"/>
  <c r="I113" i="38"/>
  <c r="K113" i="38"/>
  <c r="L113" i="38"/>
  <c r="O113" i="38"/>
  <c r="M113" i="38" s="1"/>
  <c r="B268" i="38"/>
  <c r="K268" i="38"/>
  <c r="G268" i="38"/>
  <c r="A269" i="38"/>
  <c r="F269" i="38" s="1"/>
  <c r="D114" i="38"/>
  <c r="H114" i="38" s="1"/>
  <c r="E114" i="38"/>
  <c r="I114" i="38" s="1"/>
  <c r="C114" i="38"/>
  <c r="F114" i="38"/>
  <c r="G114" i="38"/>
  <c r="A115" i="38"/>
  <c r="B114" i="38"/>
  <c r="I113" i="37"/>
  <c r="K113" i="37" s="1"/>
  <c r="L113" i="37"/>
  <c r="L267" i="38"/>
  <c r="A115" i="37"/>
  <c r="B114" i="37"/>
  <c r="C114" i="37"/>
  <c r="F114" i="37"/>
  <c r="D114" i="37"/>
  <c r="H114" i="37" s="1"/>
  <c r="E114" i="37"/>
  <c r="G114" i="37"/>
  <c r="A269" i="37"/>
  <c r="F269" i="37" s="1"/>
  <c r="A269" i="6"/>
  <c r="F269" i="6" s="1"/>
  <c r="E114" i="6"/>
  <c r="I114" i="6" s="1"/>
  <c r="K114" i="6" s="1"/>
  <c r="G114" i="6"/>
  <c r="F114" i="6"/>
  <c r="D114" i="6"/>
  <c r="H114" i="6" s="1"/>
  <c r="C114" i="6"/>
  <c r="B114" i="6"/>
  <c r="A115" i="6"/>
  <c r="L267" i="39"/>
  <c r="B268" i="37"/>
  <c r="G268" i="37"/>
  <c r="K268" i="37"/>
  <c r="M111" i="6"/>
  <c r="L111" i="6"/>
  <c r="O112" i="6" s="1"/>
  <c r="G268" i="39"/>
  <c r="K268" i="39"/>
  <c r="B268" i="39"/>
  <c r="I113" i="39"/>
  <c r="K113" i="39"/>
  <c r="L113" i="39"/>
  <c r="O113" i="39"/>
  <c r="M113" i="39" s="1"/>
  <c r="L267" i="37"/>
  <c r="B268" i="6"/>
  <c r="G268" i="6"/>
  <c r="K268" i="6"/>
  <c r="G269" i="37" l="1"/>
  <c r="K269" i="37"/>
  <c r="B269" i="37"/>
  <c r="G269" i="38"/>
  <c r="B269" i="38"/>
  <c r="K269" i="38"/>
  <c r="L268" i="39"/>
  <c r="I114" i="37"/>
  <c r="K114" i="37" s="1"/>
  <c r="L114" i="37"/>
  <c r="L268" i="38"/>
  <c r="M112" i="6"/>
  <c r="L112" i="6"/>
  <c r="O113" i="6" s="1"/>
  <c r="L268" i="37"/>
  <c r="A116" i="37"/>
  <c r="G115" i="37"/>
  <c r="F115" i="37"/>
  <c r="D115" i="37"/>
  <c r="H115" i="37" s="1"/>
  <c r="A270" i="37"/>
  <c r="F270" i="37" s="1"/>
  <c r="E115" i="37"/>
  <c r="I115" i="37" s="1"/>
  <c r="C115" i="37"/>
  <c r="B115" i="37"/>
  <c r="L268" i="6"/>
  <c r="A270" i="6"/>
  <c r="F270" i="6" s="1"/>
  <c r="E115" i="6"/>
  <c r="D115" i="6"/>
  <c r="H115" i="6" s="1"/>
  <c r="C115" i="6"/>
  <c r="B115" i="6"/>
  <c r="G115" i="6"/>
  <c r="F115" i="6"/>
  <c r="A116" i="6"/>
  <c r="B115" i="39"/>
  <c r="C115" i="39"/>
  <c r="D115" i="39"/>
  <c r="H115" i="39" s="1"/>
  <c r="E115" i="39"/>
  <c r="G115" i="39"/>
  <c r="A116" i="39"/>
  <c r="F115" i="39"/>
  <c r="A270" i="39"/>
  <c r="F270" i="39" s="1"/>
  <c r="B115" i="38"/>
  <c r="G115" i="38"/>
  <c r="D115" i="38"/>
  <c r="H115" i="38" s="1"/>
  <c r="C115" i="38"/>
  <c r="E115" i="38"/>
  <c r="A116" i="38"/>
  <c r="A270" i="38"/>
  <c r="F270" i="38" s="1"/>
  <c r="F115" i="38"/>
  <c r="I115" i="38"/>
  <c r="K114" i="39"/>
  <c r="L114" i="39"/>
  <c r="O114" i="39"/>
  <c r="M114" i="39" s="1"/>
  <c r="K269" i="39"/>
  <c r="B269" i="39"/>
  <c r="G269" i="39"/>
  <c r="B269" i="6"/>
  <c r="G269" i="6"/>
  <c r="K269" i="6"/>
  <c r="K114" i="38"/>
  <c r="L114" i="38"/>
  <c r="O114" i="38"/>
  <c r="M114" i="38" s="1"/>
  <c r="I115" i="39" l="1"/>
  <c r="L115" i="39"/>
  <c r="K115" i="39"/>
  <c r="O115" i="39"/>
  <c r="M115" i="39" s="1"/>
  <c r="G116" i="37"/>
  <c r="B116" i="37"/>
  <c r="E116" i="37"/>
  <c r="I116" i="37" s="1"/>
  <c r="C116" i="37"/>
  <c r="F116" i="37"/>
  <c r="A117" i="37"/>
  <c r="A271" i="37"/>
  <c r="F271" i="37" s="1"/>
  <c r="D116" i="37"/>
  <c r="H116" i="37" s="1"/>
  <c r="L269" i="39"/>
  <c r="A271" i="6"/>
  <c r="F271" i="6" s="1"/>
  <c r="E116" i="6"/>
  <c r="C116" i="6"/>
  <c r="F116" i="6"/>
  <c r="G116" i="6"/>
  <c r="D116" i="6"/>
  <c r="H116" i="6" s="1"/>
  <c r="B116" i="6"/>
  <c r="A117" i="6"/>
  <c r="M113" i="6"/>
  <c r="L113" i="6"/>
  <c r="O114" i="6" s="1"/>
  <c r="K270" i="38"/>
  <c r="G270" i="38"/>
  <c r="B270" i="38"/>
  <c r="C116" i="38"/>
  <c r="F116" i="38"/>
  <c r="E116" i="38"/>
  <c r="A117" i="38"/>
  <c r="G116" i="38"/>
  <c r="A271" i="38"/>
  <c r="F271" i="38" s="1"/>
  <c r="B116" i="38"/>
  <c r="D116" i="38"/>
  <c r="H116" i="38" s="1"/>
  <c r="I115" i="6"/>
  <c r="K115" i="6" s="1"/>
  <c r="K115" i="38"/>
  <c r="L115" i="38"/>
  <c r="O115" i="38"/>
  <c r="M115" i="38" s="1"/>
  <c r="B270" i="6"/>
  <c r="G270" i="6"/>
  <c r="K270" i="6"/>
  <c r="L269" i="38"/>
  <c r="B270" i="39"/>
  <c r="K270" i="39"/>
  <c r="G270" i="39"/>
  <c r="L269" i="6"/>
  <c r="K115" i="37"/>
  <c r="L115" i="37"/>
  <c r="G116" i="39"/>
  <c r="A271" i="39"/>
  <c r="F271" i="39" s="1"/>
  <c r="C116" i="39"/>
  <c r="B116" i="39"/>
  <c r="D116" i="39"/>
  <c r="H116" i="39" s="1"/>
  <c r="E116" i="39"/>
  <c r="I116" i="39" s="1"/>
  <c r="A117" i="39"/>
  <c r="F116" i="39"/>
  <c r="B270" i="37"/>
  <c r="G270" i="37"/>
  <c r="K270" i="37"/>
  <c r="L269" i="37"/>
  <c r="G271" i="39" l="1"/>
  <c r="K271" i="39"/>
  <c r="B271" i="39"/>
  <c r="K271" i="6"/>
  <c r="B271" i="6"/>
  <c r="G271" i="6"/>
  <c r="G271" i="38"/>
  <c r="B271" i="38"/>
  <c r="K271" i="38"/>
  <c r="G117" i="38"/>
  <c r="A118" i="38"/>
  <c r="C117" i="38"/>
  <c r="B117" i="38"/>
  <c r="F117" i="38"/>
  <c r="A272" i="38"/>
  <c r="F272" i="38" s="1"/>
  <c r="E117" i="38"/>
  <c r="D117" i="38"/>
  <c r="H117" i="38" s="1"/>
  <c r="K271" i="37"/>
  <c r="G271" i="37"/>
  <c r="B271" i="37"/>
  <c r="C117" i="37"/>
  <c r="E117" i="37"/>
  <c r="D117" i="37"/>
  <c r="H117" i="37" s="1"/>
  <c r="B117" i="37"/>
  <c r="A118" i="37"/>
  <c r="A272" i="37"/>
  <c r="F272" i="37" s="1"/>
  <c r="G117" i="37"/>
  <c r="F117" i="37"/>
  <c r="I116" i="38"/>
  <c r="L116" i="38"/>
  <c r="K116" i="38"/>
  <c r="O116" i="38"/>
  <c r="M116" i="38" s="1"/>
  <c r="L270" i="37"/>
  <c r="L270" i="38"/>
  <c r="K116" i="37"/>
  <c r="L116" i="37"/>
  <c r="M114" i="6"/>
  <c r="L114" i="6"/>
  <c r="O115" i="6" s="1"/>
  <c r="L270" i="39"/>
  <c r="I116" i="6"/>
  <c r="K116" i="6" s="1"/>
  <c r="E117" i="39"/>
  <c r="F117" i="39"/>
  <c r="C117" i="39"/>
  <c r="A272" i="39"/>
  <c r="F272" i="39" s="1"/>
  <c r="A118" i="39"/>
  <c r="D117" i="39"/>
  <c r="H117" i="39" s="1"/>
  <c r="B117" i="39"/>
  <c r="G117" i="39"/>
  <c r="A272" i="6"/>
  <c r="F272" i="6" s="1"/>
  <c r="D117" i="6"/>
  <c r="H117" i="6" s="1"/>
  <c r="A118" i="6"/>
  <c r="B117" i="6"/>
  <c r="C117" i="6"/>
  <c r="E117" i="6"/>
  <c r="I117" i="6" s="1"/>
  <c r="K117" i="6" s="1"/>
  <c r="F117" i="6"/>
  <c r="G117" i="6"/>
  <c r="K116" i="39"/>
  <c r="L116" i="39"/>
  <c r="O116" i="39"/>
  <c r="M116" i="39" s="1"/>
  <c r="L271" i="37" l="1"/>
  <c r="A273" i="6"/>
  <c r="F273" i="6" s="1"/>
  <c r="G118" i="6"/>
  <c r="D118" i="6"/>
  <c r="H118" i="6" s="1"/>
  <c r="E118" i="6"/>
  <c r="B118" i="6"/>
  <c r="A119" i="6"/>
  <c r="C118" i="6"/>
  <c r="F118" i="6"/>
  <c r="I117" i="38"/>
  <c r="K117" i="38"/>
  <c r="L117" i="38"/>
  <c r="O117" i="38"/>
  <c r="M117" i="38" s="1"/>
  <c r="K272" i="6"/>
  <c r="B272" i="6"/>
  <c r="G272" i="6"/>
  <c r="K272" i="38"/>
  <c r="B272" i="38"/>
  <c r="G272" i="38"/>
  <c r="G118" i="39"/>
  <c r="B118" i="39"/>
  <c r="A119" i="39"/>
  <c r="F118" i="39"/>
  <c r="E118" i="39"/>
  <c r="C118" i="39"/>
  <c r="A273" i="39"/>
  <c r="F273" i="39" s="1"/>
  <c r="D118" i="39"/>
  <c r="H118" i="39" s="1"/>
  <c r="B118" i="38"/>
  <c r="A273" i="38"/>
  <c r="F273" i="38" s="1"/>
  <c r="C118" i="38"/>
  <c r="E118" i="38"/>
  <c r="F118" i="38"/>
  <c r="D118" i="38"/>
  <c r="H118" i="38" s="1"/>
  <c r="G118" i="38"/>
  <c r="A119" i="38"/>
  <c r="G272" i="39"/>
  <c r="B272" i="39"/>
  <c r="K272" i="39"/>
  <c r="L271" i="38"/>
  <c r="I117" i="39"/>
  <c r="L117" i="39"/>
  <c r="K117" i="39"/>
  <c r="O117" i="39"/>
  <c r="M117" i="39" s="1"/>
  <c r="B272" i="37"/>
  <c r="G272" i="37"/>
  <c r="K272" i="37"/>
  <c r="A119" i="37"/>
  <c r="E118" i="37"/>
  <c r="B118" i="37"/>
  <c r="G118" i="37"/>
  <c r="C118" i="37"/>
  <c r="A273" i="37"/>
  <c r="F273" i="37" s="1"/>
  <c r="D118" i="37"/>
  <c r="H118" i="37" s="1"/>
  <c r="F118" i="37"/>
  <c r="M115" i="6"/>
  <c r="L115" i="6"/>
  <c r="O116" i="6" s="1"/>
  <c r="I117" i="37"/>
  <c r="K117" i="37" s="1"/>
  <c r="L117" i="37"/>
  <c r="L271" i="39"/>
  <c r="M116" i="6" l="1"/>
  <c r="L116" i="6"/>
  <c r="O117" i="6" s="1"/>
  <c r="L272" i="39"/>
  <c r="L272" i="38"/>
  <c r="F119" i="38"/>
  <c r="A274" i="38"/>
  <c r="F274" i="38" s="1"/>
  <c r="E119" i="38"/>
  <c r="C119" i="38"/>
  <c r="D119" i="38"/>
  <c r="H119" i="38" s="1"/>
  <c r="B119" i="38"/>
  <c r="A120" i="38"/>
  <c r="G119" i="38"/>
  <c r="L272" i="6"/>
  <c r="K273" i="37"/>
  <c r="G273" i="37"/>
  <c r="B273" i="37"/>
  <c r="I118" i="37"/>
  <c r="K118" i="37" s="1"/>
  <c r="L118" i="37"/>
  <c r="K273" i="38"/>
  <c r="B273" i="38"/>
  <c r="G273" i="38"/>
  <c r="E119" i="37"/>
  <c r="I119" i="37" s="1"/>
  <c r="D119" i="37"/>
  <c r="H119" i="37" s="1"/>
  <c r="G119" i="37"/>
  <c r="F119" i="37"/>
  <c r="B119" i="37"/>
  <c r="C119" i="37"/>
  <c r="A120" i="37"/>
  <c r="A274" i="37"/>
  <c r="F274" i="37" s="1"/>
  <c r="L272" i="37"/>
  <c r="A274" i="6"/>
  <c r="F274" i="6" s="1"/>
  <c r="B119" i="6"/>
  <c r="D119" i="6"/>
  <c r="H119" i="6" s="1"/>
  <c r="G119" i="6"/>
  <c r="C119" i="6"/>
  <c r="A120" i="6"/>
  <c r="F119" i="6"/>
  <c r="E119" i="6"/>
  <c r="I119" i="6" s="1"/>
  <c r="K119" i="6" s="1"/>
  <c r="K273" i="39"/>
  <c r="B273" i="39"/>
  <c r="G273" i="39"/>
  <c r="I118" i="38"/>
  <c r="L118" i="38"/>
  <c r="K118" i="38"/>
  <c r="O118" i="38"/>
  <c r="M118" i="38" s="1"/>
  <c r="I118" i="6"/>
  <c r="K118" i="6" s="1"/>
  <c r="I118" i="39"/>
  <c r="K118" i="39"/>
  <c r="L118" i="39"/>
  <c r="O118" i="39"/>
  <c r="M118" i="39" s="1"/>
  <c r="G119" i="39"/>
  <c r="E119" i="39"/>
  <c r="D119" i="39"/>
  <c r="H119" i="39" s="1"/>
  <c r="B119" i="39"/>
  <c r="F119" i="39"/>
  <c r="C119" i="39"/>
  <c r="A120" i="39"/>
  <c r="A274" i="39"/>
  <c r="F274" i="39" s="1"/>
  <c r="K273" i="6"/>
  <c r="B273" i="6"/>
  <c r="G273" i="6"/>
  <c r="G274" i="6" l="1"/>
  <c r="K274" i="6"/>
  <c r="B274" i="6"/>
  <c r="L273" i="37"/>
  <c r="K274" i="37"/>
  <c r="G274" i="37"/>
  <c r="B274" i="37"/>
  <c r="A121" i="38"/>
  <c r="A275" i="38"/>
  <c r="F275" i="38" s="1"/>
  <c r="D120" i="38"/>
  <c r="H120" i="38" s="1"/>
  <c r="E120" i="38"/>
  <c r="I120" i="38" s="1"/>
  <c r="C120" i="38"/>
  <c r="B120" i="38"/>
  <c r="F120" i="38"/>
  <c r="G120" i="38"/>
  <c r="B120" i="37"/>
  <c r="A275" i="37"/>
  <c r="F275" i="37" s="1"/>
  <c r="A121" i="37"/>
  <c r="D120" i="37"/>
  <c r="H120" i="37" s="1"/>
  <c r="F120" i="37"/>
  <c r="E120" i="37"/>
  <c r="G120" i="37"/>
  <c r="C120" i="37"/>
  <c r="I119" i="38"/>
  <c r="K119" i="38"/>
  <c r="L119" i="38"/>
  <c r="O119" i="38"/>
  <c r="M119" i="38" s="1"/>
  <c r="L273" i="6"/>
  <c r="B274" i="38"/>
  <c r="K274" i="38"/>
  <c r="G274" i="38"/>
  <c r="G274" i="39"/>
  <c r="B274" i="39"/>
  <c r="K274" i="39"/>
  <c r="F120" i="39"/>
  <c r="E120" i="39"/>
  <c r="G120" i="39"/>
  <c r="A121" i="39"/>
  <c r="B120" i="39"/>
  <c r="C120" i="39"/>
  <c r="D120" i="39"/>
  <c r="H120" i="39" s="1"/>
  <c r="A275" i="39"/>
  <c r="F275" i="39" s="1"/>
  <c r="L273" i="39"/>
  <c r="K119" i="37"/>
  <c r="L119" i="37"/>
  <c r="L273" i="38"/>
  <c r="A275" i="6"/>
  <c r="F275" i="6" s="1"/>
  <c r="G120" i="6"/>
  <c r="B120" i="6"/>
  <c r="C120" i="6"/>
  <c r="E120" i="6"/>
  <c r="F120" i="6"/>
  <c r="D120" i="6"/>
  <c r="H120" i="6" s="1"/>
  <c r="A121" i="6"/>
  <c r="M117" i="6"/>
  <c r="L117" i="6"/>
  <c r="O118" i="6" s="1"/>
  <c r="I119" i="39"/>
  <c r="K119" i="39"/>
  <c r="L119" i="39"/>
  <c r="O119" i="39"/>
  <c r="M119" i="39" s="1"/>
  <c r="E121" i="37" l="1"/>
  <c r="D121" i="37"/>
  <c r="H121" i="37" s="1"/>
  <c r="C121" i="37"/>
  <c r="G121" i="37"/>
  <c r="F121" i="37"/>
  <c r="B121" i="37"/>
  <c r="A122" i="37"/>
  <c r="A276" i="37"/>
  <c r="F276" i="37" s="1"/>
  <c r="I121" i="37"/>
  <c r="K120" i="39"/>
  <c r="L120" i="39"/>
  <c r="O120" i="39"/>
  <c r="M120" i="39" s="1"/>
  <c r="G275" i="37"/>
  <c r="B275" i="37"/>
  <c r="K275" i="37"/>
  <c r="L274" i="39"/>
  <c r="B275" i="6"/>
  <c r="G275" i="6"/>
  <c r="K275" i="6"/>
  <c r="L274" i="38"/>
  <c r="L120" i="38"/>
  <c r="K120" i="38"/>
  <c r="O120" i="38"/>
  <c r="M120" i="38" s="1"/>
  <c r="K275" i="38"/>
  <c r="G275" i="38"/>
  <c r="B275" i="38"/>
  <c r="A276" i="38"/>
  <c r="F276" i="38" s="1"/>
  <c r="C121" i="38"/>
  <c r="A122" i="38"/>
  <c r="D121" i="38"/>
  <c r="H121" i="38" s="1"/>
  <c r="B121" i="38"/>
  <c r="G121" i="38"/>
  <c r="F121" i="38"/>
  <c r="E121" i="38"/>
  <c r="I120" i="39"/>
  <c r="L274" i="37"/>
  <c r="M118" i="6"/>
  <c r="L118" i="6"/>
  <c r="O119" i="6" s="1"/>
  <c r="K275" i="39"/>
  <c r="B275" i="39"/>
  <c r="G275" i="39"/>
  <c r="I120" i="6"/>
  <c r="K120" i="6" s="1"/>
  <c r="I120" i="37"/>
  <c r="K120" i="37" s="1"/>
  <c r="L120" i="37"/>
  <c r="A276" i="6"/>
  <c r="F276" i="6" s="1"/>
  <c r="B121" i="6"/>
  <c r="F121" i="6"/>
  <c r="E121" i="6"/>
  <c r="I121" i="6" s="1"/>
  <c r="K121" i="6" s="1"/>
  <c r="D121" i="6"/>
  <c r="H121" i="6" s="1"/>
  <c r="C121" i="6"/>
  <c r="G121" i="6"/>
  <c r="A122" i="6"/>
  <c r="L274" i="6"/>
  <c r="G121" i="39"/>
  <c r="C121" i="39"/>
  <c r="E121" i="39"/>
  <c r="I121" i="39" s="1"/>
  <c r="F121" i="39"/>
  <c r="A276" i="39"/>
  <c r="F276" i="39" s="1"/>
  <c r="D121" i="39"/>
  <c r="H121" i="39" s="1"/>
  <c r="A122" i="39"/>
  <c r="B121" i="39"/>
  <c r="A277" i="6" l="1"/>
  <c r="F277" i="6" s="1"/>
  <c r="F122" i="6"/>
  <c r="E122" i="6"/>
  <c r="C122" i="6"/>
  <c r="A123" i="6"/>
  <c r="D122" i="6"/>
  <c r="H122" i="6" s="1"/>
  <c r="B122" i="6"/>
  <c r="G122" i="6"/>
  <c r="I121" i="38"/>
  <c r="L121" i="38"/>
  <c r="K121" i="38"/>
  <c r="O121" i="38"/>
  <c r="M121" i="38" s="1"/>
  <c r="L275" i="37"/>
  <c r="A277" i="38"/>
  <c r="F277" i="38" s="1"/>
  <c r="F122" i="38"/>
  <c r="A123" i="38"/>
  <c r="E122" i="38"/>
  <c r="D122" i="38"/>
  <c r="H122" i="38" s="1"/>
  <c r="B122" i="38"/>
  <c r="C122" i="38"/>
  <c r="G122" i="38"/>
  <c r="K276" i="6"/>
  <c r="B276" i="6"/>
  <c r="G276" i="6"/>
  <c r="K276" i="38"/>
  <c r="G276" i="38"/>
  <c r="B276" i="38"/>
  <c r="K276" i="37"/>
  <c r="G276" i="37"/>
  <c r="B276" i="37"/>
  <c r="B122" i="39"/>
  <c r="F122" i="39"/>
  <c r="E122" i="39"/>
  <c r="D122" i="39"/>
  <c r="H122" i="39" s="1"/>
  <c r="C122" i="39"/>
  <c r="G122" i="39"/>
  <c r="A277" i="39"/>
  <c r="F277" i="39" s="1"/>
  <c r="A123" i="39"/>
  <c r="L275" i="38"/>
  <c r="G122" i="37"/>
  <c r="B122" i="37"/>
  <c r="C122" i="37"/>
  <c r="A277" i="37"/>
  <c r="F277" i="37" s="1"/>
  <c r="F122" i="37"/>
  <c r="E122" i="37"/>
  <c r="I122" i="37" s="1"/>
  <c r="A123" i="37"/>
  <c r="D122" i="37"/>
  <c r="H122" i="37" s="1"/>
  <c r="B276" i="39"/>
  <c r="G276" i="39"/>
  <c r="K276" i="39"/>
  <c r="K121" i="39"/>
  <c r="L121" i="39"/>
  <c r="O121" i="39"/>
  <c r="M121" i="39" s="1"/>
  <c r="L275" i="39"/>
  <c r="M119" i="6"/>
  <c r="L119" i="6"/>
  <c r="O120" i="6" s="1"/>
  <c r="L275" i="6"/>
  <c r="K121" i="37"/>
  <c r="L121" i="37"/>
  <c r="B277" i="39" l="1"/>
  <c r="G277" i="39"/>
  <c r="K277" i="39"/>
  <c r="L122" i="38"/>
  <c r="K122" i="38"/>
  <c r="O122" i="38"/>
  <c r="M122" i="38" s="1"/>
  <c r="F123" i="38"/>
  <c r="D123" i="38"/>
  <c r="H123" i="38" s="1"/>
  <c r="G123" i="38"/>
  <c r="C123" i="38"/>
  <c r="B123" i="38"/>
  <c r="A124" i="38"/>
  <c r="A278" i="38"/>
  <c r="F278" i="38" s="1"/>
  <c r="E123" i="38"/>
  <c r="I122" i="39"/>
  <c r="L122" i="39"/>
  <c r="K122" i="39"/>
  <c r="O122" i="39"/>
  <c r="M122" i="39" s="1"/>
  <c r="B277" i="38"/>
  <c r="G277" i="38"/>
  <c r="K277" i="38"/>
  <c r="L276" i="39"/>
  <c r="L276" i="37"/>
  <c r="C123" i="37"/>
  <c r="G123" i="37"/>
  <c r="A278" i="37"/>
  <c r="F278" i="37" s="1"/>
  <c r="E123" i="37"/>
  <c r="I123" i="37" s="1"/>
  <c r="F123" i="37"/>
  <c r="D123" i="37"/>
  <c r="H123" i="37" s="1"/>
  <c r="A124" i="37"/>
  <c r="B123" i="37"/>
  <c r="K122" i="37"/>
  <c r="L122" i="37"/>
  <c r="L276" i="38"/>
  <c r="G277" i="37"/>
  <c r="B277" i="37"/>
  <c r="K277" i="37"/>
  <c r="L276" i="6"/>
  <c r="A278" i="6"/>
  <c r="F278" i="6" s="1"/>
  <c r="B123" i="6"/>
  <c r="G123" i="6"/>
  <c r="D123" i="6"/>
  <c r="H123" i="6" s="1"/>
  <c r="E123" i="6"/>
  <c r="I123" i="6" s="1"/>
  <c r="K123" i="6" s="1"/>
  <c r="F123" i="6"/>
  <c r="C123" i="6"/>
  <c r="A124" i="6"/>
  <c r="I122" i="38"/>
  <c r="I122" i="6"/>
  <c r="K122" i="6" s="1"/>
  <c r="M120" i="6"/>
  <c r="L120" i="6"/>
  <c r="O121" i="6" s="1"/>
  <c r="C123" i="39"/>
  <c r="E123" i="39"/>
  <c r="D123" i="39"/>
  <c r="H123" i="39" s="1"/>
  <c r="B123" i="39"/>
  <c r="A124" i="39"/>
  <c r="F123" i="39"/>
  <c r="A278" i="39"/>
  <c r="F278" i="39" s="1"/>
  <c r="G123" i="39"/>
  <c r="G277" i="6"/>
  <c r="K277" i="6"/>
  <c r="B277" i="6"/>
  <c r="M121" i="6" l="1"/>
  <c r="L121" i="6"/>
  <c r="O122" i="6" s="1"/>
  <c r="I123" i="38"/>
  <c r="L123" i="38"/>
  <c r="K123" i="38"/>
  <c r="O123" i="38"/>
  <c r="M123" i="38" s="1"/>
  <c r="B278" i="38"/>
  <c r="K278" i="38"/>
  <c r="G278" i="38"/>
  <c r="A279" i="6"/>
  <c r="F279" i="6" s="1"/>
  <c r="D124" i="6"/>
  <c r="H124" i="6" s="1"/>
  <c r="A125" i="6"/>
  <c r="E124" i="6"/>
  <c r="I124" i="6" s="1"/>
  <c r="B124" i="6"/>
  <c r="G124" i="6"/>
  <c r="F124" i="6"/>
  <c r="C124" i="6"/>
  <c r="F124" i="37"/>
  <c r="C124" i="37"/>
  <c r="B124" i="37"/>
  <c r="A279" i="37"/>
  <c r="F279" i="37" s="1"/>
  <c r="A125" i="37"/>
  <c r="G124" i="37"/>
  <c r="E124" i="37"/>
  <c r="I124" i="37" s="1"/>
  <c r="D124" i="37"/>
  <c r="H124" i="37" s="1"/>
  <c r="G124" i="38"/>
  <c r="B124" i="38"/>
  <c r="E124" i="38"/>
  <c r="D124" i="38"/>
  <c r="H124" i="38" s="1"/>
  <c r="C124" i="38"/>
  <c r="F124" i="38"/>
  <c r="A125" i="38"/>
  <c r="A279" i="38"/>
  <c r="F279" i="38" s="1"/>
  <c r="L277" i="6"/>
  <c r="K123" i="37"/>
  <c r="L123" i="37"/>
  <c r="B278" i="37"/>
  <c r="G278" i="37"/>
  <c r="K278" i="37"/>
  <c r="G278" i="39"/>
  <c r="K278" i="39"/>
  <c r="B278" i="39"/>
  <c r="G278" i="6"/>
  <c r="K278" i="6"/>
  <c r="B278" i="6"/>
  <c r="E124" i="39"/>
  <c r="I124" i="39" s="1"/>
  <c r="D124" i="39"/>
  <c r="H124" i="39" s="1"/>
  <c r="B124" i="39"/>
  <c r="G124" i="39"/>
  <c r="A125" i="39"/>
  <c r="F124" i="39"/>
  <c r="A279" i="39"/>
  <c r="F279" i="39" s="1"/>
  <c r="C124" i="39"/>
  <c r="L277" i="39"/>
  <c r="L277" i="37"/>
  <c r="I123" i="39"/>
  <c r="K123" i="39"/>
  <c r="L123" i="39"/>
  <c r="O123" i="39"/>
  <c r="M123" i="39" s="1"/>
  <c r="L277" i="38"/>
  <c r="B279" i="39" l="1"/>
  <c r="K279" i="39"/>
  <c r="G279" i="39"/>
  <c r="F125" i="39"/>
  <c r="B125" i="39"/>
  <c r="E125" i="39"/>
  <c r="D125" i="39"/>
  <c r="H125" i="39" s="1"/>
  <c r="A280" i="39"/>
  <c r="F280" i="39" s="1"/>
  <c r="G125" i="39"/>
  <c r="C125" i="39"/>
  <c r="A126" i="39"/>
  <c r="I125" i="39"/>
  <c r="B279" i="38"/>
  <c r="K279" i="38"/>
  <c r="G279" i="38"/>
  <c r="D125" i="38"/>
  <c r="H125" i="38" s="1"/>
  <c r="A126" i="38"/>
  <c r="G125" i="38"/>
  <c r="E125" i="38"/>
  <c r="F125" i="38"/>
  <c r="B125" i="38"/>
  <c r="A280" i="38"/>
  <c r="F280" i="38" s="1"/>
  <c r="C125" i="38"/>
  <c r="L124" i="6"/>
  <c r="K124" i="6"/>
  <c r="A280" i="6"/>
  <c r="F280" i="6" s="1"/>
  <c r="C125" i="6"/>
  <c r="A126" i="6"/>
  <c r="G125" i="6"/>
  <c r="F125" i="6"/>
  <c r="E125" i="6"/>
  <c r="D125" i="6"/>
  <c r="H125" i="6" s="1"/>
  <c r="B125" i="6"/>
  <c r="K124" i="39"/>
  <c r="L124" i="39"/>
  <c r="O124" i="39"/>
  <c r="M124" i="39" s="1"/>
  <c r="I124" i="38"/>
  <c r="K124" i="38"/>
  <c r="L124" i="38"/>
  <c r="O124" i="38"/>
  <c r="M124" i="38" s="1"/>
  <c r="G279" i="6"/>
  <c r="K279" i="6"/>
  <c r="B279" i="6"/>
  <c r="L278" i="6"/>
  <c r="L278" i="38"/>
  <c r="L278" i="39"/>
  <c r="L124" i="37"/>
  <c r="K124" i="37"/>
  <c r="L278" i="37"/>
  <c r="B125" i="37"/>
  <c r="A280" i="37"/>
  <c r="F280" i="37" s="1"/>
  <c r="G125" i="37"/>
  <c r="F125" i="37"/>
  <c r="D125" i="37"/>
  <c r="H125" i="37" s="1"/>
  <c r="E125" i="37"/>
  <c r="I125" i="37" s="1"/>
  <c r="C125" i="37"/>
  <c r="A126" i="37"/>
  <c r="B279" i="37"/>
  <c r="K279" i="37"/>
  <c r="G279" i="37"/>
  <c r="M122" i="6"/>
  <c r="L122" i="6"/>
  <c r="O123" i="6" s="1"/>
  <c r="K125" i="38" l="1"/>
  <c r="L125" i="38"/>
  <c r="O125" i="38"/>
  <c r="M125" i="38" s="1"/>
  <c r="K280" i="37"/>
  <c r="G280" i="37"/>
  <c r="B280" i="37"/>
  <c r="A127" i="38"/>
  <c r="C126" i="38"/>
  <c r="E126" i="38"/>
  <c r="I126" i="38" s="1"/>
  <c r="D126" i="38"/>
  <c r="H126" i="38" s="1"/>
  <c r="G126" i="38"/>
  <c r="F126" i="38"/>
  <c r="A281" i="38"/>
  <c r="F281" i="38" s="1"/>
  <c r="B126" i="38"/>
  <c r="L279" i="38"/>
  <c r="F126" i="39"/>
  <c r="E126" i="39"/>
  <c r="I126" i="39" s="1"/>
  <c r="D126" i="39"/>
  <c r="H126" i="39" s="1"/>
  <c r="A127" i="39"/>
  <c r="C126" i="39"/>
  <c r="B126" i="39"/>
  <c r="A281" i="39"/>
  <c r="F281" i="39" s="1"/>
  <c r="G126" i="39"/>
  <c r="M123" i="6"/>
  <c r="L123" i="6"/>
  <c r="A281" i="6"/>
  <c r="F281" i="6" s="1"/>
  <c r="F126" i="6"/>
  <c r="B126" i="6"/>
  <c r="E126" i="6"/>
  <c r="I126" i="6" s="1"/>
  <c r="C126" i="6"/>
  <c r="A127" i="6"/>
  <c r="G126" i="6"/>
  <c r="D126" i="6"/>
  <c r="H126" i="6" s="1"/>
  <c r="I125" i="6"/>
  <c r="K125" i="6"/>
  <c r="L125" i="6"/>
  <c r="K280" i="6"/>
  <c r="B280" i="6"/>
  <c r="G280" i="6"/>
  <c r="K280" i="39"/>
  <c r="B280" i="39"/>
  <c r="G280" i="39"/>
  <c r="L279" i="37"/>
  <c r="O124" i="6"/>
  <c r="L125" i="39"/>
  <c r="K125" i="39"/>
  <c r="O125" i="39"/>
  <c r="M125" i="39" s="1"/>
  <c r="A127" i="37"/>
  <c r="F126" i="37"/>
  <c r="D126" i="37"/>
  <c r="H126" i="37" s="1"/>
  <c r="E126" i="37"/>
  <c r="I126" i="37" s="1"/>
  <c r="G126" i="37"/>
  <c r="C126" i="37"/>
  <c r="B126" i="37"/>
  <c r="A281" i="37"/>
  <c r="F281" i="37" s="1"/>
  <c r="L279" i="6"/>
  <c r="I125" i="38"/>
  <c r="L125" i="37"/>
  <c r="K125" i="37"/>
  <c r="B280" i="38"/>
  <c r="G280" i="38"/>
  <c r="K280" i="38"/>
  <c r="L279" i="39"/>
  <c r="K126" i="39" l="1"/>
  <c r="L126" i="39"/>
  <c r="O126" i="39"/>
  <c r="M126" i="39" s="1"/>
  <c r="L126" i="37"/>
  <c r="K126" i="37"/>
  <c r="A282" i="6"/>
  <c r="F282" i="6" s="1"/>
  <c r="C127" i="6"/>
  <c r="E127" i="6"/>
  <c r="I127" i="6" s="1"/>
  <c r="D127" i="6"/>
  <c r="H127" i="6" s="1"/>
  <c r="G127" i="6"/>
  <c r="B127" i="6"/>
  <c r="F127" i="6"/>
  <c r="A128" i="6"/>
  <c r="F127" i="37"/>
  <c r="A128" i="37"/>
  <c r="D127" i="37"/>
  <c r="H127" i="37" s="1"/>
  <c r="G127" i="37"/>
  <c r="C127" i="37"/>
  <c r="E127" i="37"/>
  <c r="I127" i="37" s="1"/>
  <c r="A282" i="37"/>
  <c r="F282" i="37" s="1"/>
  <c r="B127" i="37"/>
  <c r="B281" i="38"/>
  <c r="G281" i="38"/>
  <c r="K281" i="38"/>
  <c r="L126" i="6"/>
  <c r="K126" i="6"/>
  <c r="L280" i="38"/>
  <c r="O125" i="6"/>
  <c r="M125" i="6" s="1"/>
  <c r="M124" i="6"/>
  <c r="G281" i="6"/>
  <c r="K281" i="6"/>
  <c r="B281" i="6"/>
  <c r="L126" i="38"/>
  <c r="K126" i="38"/>
  <c r="O126" i="38"/>
  <c r="M126" i="38" s="1"/>
  <c r="C127" i="38"/>
  <c r="D127" i="38"/>
  <c r="H127" i="38" s="1"/>
  <c r="B127" i="38"/>
  <c r="G127" i="38"/>
  <c r="A128" i="38"/>
  <c r="F127" i="38"/>
  <c r="E127" i="38"/>
  <c r="A282" i="38"/>
  <c r="F282" i="38" s="1"/>
  <c r="L280" i="39"/>
  <c r="K281" i="39"/>
  <c r="B281" i="39"/>
  <c r="G281" i="39"/>
  <c r="L280" i="37"/>
  <c r="B281" i="37"/>
  <c r="K281" i="37"/>
  <c r="G281" i="37"/>
  <c r="L280" i="6"/>
  <c r="D127" i="39"/>
  <c r="H127" i="39" s="1"/>
  <c r="A128" i="39"/>
  <c r="B127" i="39"/>
  <c r="E127" i="39"/>
  <c r="I127" i="39" s="1"/>
  <c r="F127" i="39"/>
  <c r="C127" i="39"/>
  <c r="G127" i="39"/>
  <c r="A282" i="39"/>
  <c r="F282" i="39" s="1"/>
  <c r="O126" i="6" l="1"/>
  <c r="M126" i="6" s="1"/>
  <c r="L281" i="37"/>
  <c r="G128" i="37"/>
  <c r="A283" i="37"/>
  <c r="F283" i="37" s="1"/>
  <c r="B128" i="37"/>
  <c r="A129" i="37"/>
  <c r="D128" i="37"/>
  <c r="H128" i="37" s="1"/>
  <c r="C128" i="37"/>
  <c r="E128" i="37"/>
  <c r="I128" i="37" s="1"/>
  <c r="F128" i="37"/>
  <c r="L281" i="6"/>
  <c r="A283" i="6"/>
  <c r="F283" i="6" s="1"/>
  <c r="E128" i="6"/>
  <c r="A129" i="6"/>
  <c r="D128" i="6"/>
  <c r="H128" i="6" s="1"/>
  <c r="C128" i="6"/>
  <c r="B128" i="6"/>
  <c r="F128" i="6"/>
  <c r="G128" i="6"/>
  <c r="L281" i="39"/>
  <c r="L127" i="6"/>
  <c r="O127" i="6"/>
  <c r="M127" i="6" s="1"/>
  <c r="K127" i="6"/>
  <c r="K282" i="39"/>
  <c r="B282" i="39"/>
  <c r="G282" i="39"/>
  <c r="B282" i="38"/>
  <c r="G282" i="38"/>
  <c r="K282" i="38"/>
  <c r="I127" i="38"/>
  <c r="L127" i="38"/>
  <c r="K127" i="38"/>
  <c r="O127" i="38"/>
  <c r="M127" i="38" s="1"/>
  <c r="L281" i="38"/>
  <c r="K282" i="6"/>
  <c r="B282" i="6"/>
  <c r="G282" i="6"/>
  <c r="G128" i="38"/>
  <c r="B128" i="38"/>
  <c r="F128" i="38"/>
  <c r="D128" i="38"/>
  <c r="H128" i="38" s="1"/>
  <c r="E128" i="38"/>
  <c r="A129" i="38"/>
  <c r="C128" i="38"/>
  <c r="A283" i="38"/>
  <c r="F283" i="38" s="1"/>
  <c r="L127" i="39"/>
  <c r="K127" i="39"/>
  <c r="O127" i="39"/>
  <c r="M127" i="39" s="1"/>
  <c r="E128" i="39"/>
  <c r="F128" i="39"/>
  <c r="C128" i="39"/>
  <c r="G128" i="39"/>
  <c r="A129" i="39"/>
  <c r="B128" i="39"/>
  <c r="A283" i="39"/>
  <c r="F283" i="39" s="1"/>
  <c r="D128" i="39"/>
  <c r="H128" i="39" s="1"/>
  <c r="K282" i="37"/>
  <c r="G282" i="37"/>
  <c r="B282" i="37"/>
  <c r="K127" i="37"/>
  <c r="L127" i="37"/>
  <c r="K283" i="39" l="1"/>
  <c r="B283" i="39"/>
  <c r="G283" i="39"/>
  <c r="L282" i="6"/>
  <c r="F129" i="39"/>
  <c r="D129" i="39"/>
  <c r="H129" i="39" s="1"/>
  <c r="E129" i="39"/>
  <c r="I129" i="39" s="1"/>
  <c r="A130" i="39"/>
  <c r="C129" i="39"/>
  <c r="G129" i="39"/>
  <c r="A284" i="39"/>
  <c r="F284" i="39" s="1"/>
  <c r="B129" i="39"/>
  <c r="A284" i="6"/>
  <c r="F284" i="6" s="1"/>
  <c r="G129" i="6"/>
  <c r="E129" i="6"/>
  <c r="D129" i="6"/>
  <c r="H129" i="6" s="1"/>
  <c r="F129" i="6"/>
  <c r="C129" i="6"/>
  <c r="B129" i="6"/>
  <c r="A130" i="6"/>
  <c r="L128" i="6"/>
  <c r="O128" i="6"/>
  <c r="M128" i="6" s="1"/>
  <c r="K128" i="6"/>
  <c r="I128" i="39"/>
  <c r="K128" i="39"/>
  <c r="L128" i="39"/>
  <c r="O128" i="39"/>
  <c r="M128" i="39" s="1"/>
  <c r="K283" i="6"/>
  <c r="B283" i="6"/>
  <c r="G283" i="6"/>
  <c r="L282" i="38"/>
  <c r="G283" i="38"/>
  <c r="K283" i="38"/>
  <c r="B283" i="38"/>
  <c r="L128" i="37"/>
  <c r="K128" i="37"/>
  <c r="C129" i="38"/>
  <c r="D129" i="38"/>
  <c r="H129" i="38" s="1"/>
  <c r="E129" i="38"/>
  <c r="G129" i="38"/>
  <c r="F129" i="38"/>
  <c r="B129" i="38"/>
  <c r="A284" i="38"/>
  <c r="F284" i="38" s="1"/>
  <c r="A130" i="38"/>
  <c r="L282" i="39"/>
  <c r="I128" i="38"/>
  <c r="L128" i="38"/>
  <c r="K128" i="38"/>
  <c r="O128" i="38"/>
  <c r="M128" i="38" s="1"/>
  <c r="E129" i="37"/>
  <c r="A130" i="37"/>
  <c r="A284" i="37"/>
  <c r="F284" i="37" s="1"/>
  <c r="F129" i="37"/>
  <c r="D129" i="37"/>
  <c r="H129" i="37" s="1"/>
  <c r="C129" i="37"/>
  <c r="G129" i="37"/>
  <c r="B129" i="37"/>
  <c r="G283" i="37"/>
  <c r="K283" i="37"/>
  <c r="B283" i="37"/>
  <c r="L282" i="37"/>
  <c r="I128" i="6"/>
  <c r="B284" i="37" l="1"/>
  <c r="K284" i="37"/>
  <c r="G284" i="37"/>
  <c r="A285" i="37"/>
  <c r="F285" i="37" s="1"/>
  <c r="D130" i="37"/>
  <c r="H130" i="37" s="1"/>
  <c r="A131" i="37"/>
  <c r="C130" i="37"/>
  <c r="E130" i="37"/>
  <c r="I130" i="37" s="1"/>
  <c r="F130" i="37"/>
  <c r="B130" i="37"/>
  <c r="G130" i="37"/>
  <c r="L283" i="38"/>
  <c r="L129" i="6"/>
  <c r="O129" i="6"/>
  <c r="M129" i="6" s="1"/>
  <c r="K129" i="6"/>
  <c r="K129" i="37"/>
  <c r="L129" i="37"/>
  <c r="B284" i="6"/>
  <c r="K284" i="6"/>
  <c r="G284" i="6"/>
  <c r="K284" i="39"/>
  <c r="G284" i="39"/>
  <c r="B284" i="39"/>
  <c r="L283" i="6"/>
  <c r="A285" i="38"/>
  <c r="F285" i="38" s="1"/>
  <c r="G130" i="38"/>
  <c r="F130" i="38"/>
  <c r="C130" i="38"/>
  <c r="B130" i="38"/>
  <c r="A131" i="38"/>
  <c r="E130" i="38"/>
  <c r="I130" i="38" s="1"/>
  <c r="D130" i="38"/>
  <c r="H130" i="38" s="1"/>
  <c r="G130" i="39"/>
  <c r="A285" i="39"/>
  <c r="F285" i="39" s="1"/>
  <c r="F130" i="39"/>
  <c r="E130" i="39"/>
  <c r="I130" i="39" s="1"/>
  <c r="D130" i="39"/>
  <c r="H130" i="39" s="1"/>
  <c r="A131" i="39"/>
  <c r="C130" i="39"/>
  <c r="B130" i="39"/>
  <c r="B284" i="38"/>
  <c r="G284" i="38"/>
  <c r="K284" i="38"/>
  <c r="K129" i="39"/>
  <c r="L129" i="39"/>
  <c r="O129" i="39"/>
  <c r="M129" i="39" s="1"/>
  <c r="L283" i="37"/>
  <c r="I129" i="37"/>
  <c r="I129" i="38"/>
  <c r="L129" i="38"/>
  <c r="K129" i="38"/>
  <c r="O129" i="38"/>
  <c r="M129" i="38" s="1"/>
  <c r="I129" i="6"/>
  <c r="A285" i="6"/>
  <c r="F285" i="6" s="1"/>
  <c r="C130" i="6"/>
  <c r="G130" i="6"/>
  <c r="D130" i="6"/>
  <c r="H130" i="6" s="1"/>
  <c r="B130" i="6"/>
  <c r="F130" i="6"/>
  <c r="E130" i="6"/>
  <c r="I130" i="6" s="1"/>
  <c r="A131" i="6"/>
  <c r="L283" i="39"/>
  <c r="G285" i="39" l="1"/>
  <c r="K285" i="39"/>
  <c r="B285" i="39"/>
  <c r="L130" i="38"/>
  <c r="K130" i="38"/>
  <c r="O130" i="38"/>
  <c r="M130" i="38" s="1"/>
  <c r="D131" i="38"/>
  <c r="H131" i="38" s="1"/>
  <c r="C131" i="38"/>
  <c r="F131" i="38"/>
  <c r="A286" i="38"/>
  <c r="F286" i="38" s="1"/>
  <c r="A132" i="38"/>
  <c r="B131" i="38"/>
  <c r="E131" i="38"/>
  <c r="G131" i="38"/>
  <c r="L284" i="38"/>
  <c r="K285" i="38"/>
  <c r="B285" i="38"/>
  <c r="G285" i="38"/>
  <c r="A286" i="6"/>
  <c r="F286" i="6" s="1"/>
  <c r="D131" i="6"/>
  <c r="H131" i="6" s="1"/>
  <c r="E131" i="6"/>
  <c r="B131" i="6"/>
  <c r="F131" i="6"/>
  <c r="G131" i="6"/>
  <c r="C131" i="6"/>
  <c r="A132" i="6"/>
  <c r="L130" i="37"/>
  <c r="K130" i="37"/>
  <c r="O130" i="6"/>
  <c r="M130" i="6" s="1"/>
  <c r="L130" i="6"/>
  <c r="K130" i="6"/>
  <c r="A132" i="37"/>
  <c r="E131" i="37"/>
  <c r="G131" i="37"/>
  <c r="C131" i="37"/>
  <c r="B131" i="37"/>
  <c r="F131" i="37"/>
  <c r="D131" i="37"/>
  <c r="H131" i="37" s="1"/>
  <c r="A286" i="37"/>
  <c r="F286" i="37" s="1"/>
  <c r="L284" i="39"/>
  <c r="K285" i="37"/>
  <c r="G285" i="37"/>
  <c r="B285" i="37"/>
  <c r="A132" i="39"/>
  <c r="E131" i="39"/>
  <c r="I131" i="39" s="1"/>
  <c r="C131" i="39"/>
  <c r="F131" i="39"/>
  <c r="D131" i="39"/>
  <c r="H131" i="39" s="1"/>
  <c r="B131" i="39"/>
  <c r="A286" i="39"/>
  <c r="F286" i="39" s="1"/>
  <c r="G131" i="39"/>
  <c r="L284" i="6"/>
  <c r="L284" i="37"/>
  <c r="K285" i="6"/>
  <c r="G285" i="6"/>
  <c r="B285" i="6"/>
  <c r="L130" i="39"/>
  <c r="K130" i="39"/>
  <c r="O130" i="39"/>
  <c r="M130" i="39" s="1"/>
  <c r="G286" i="6" l="1"/>
  <c r="K286" i="6"/>
  <c r="B286" i="6"/>
  <c r="L285" i="38"/>
  <c r="K131" i="37"/>
  <c r="L131" i="37"/>
  <c r="B286" i="39"/>
  <c r="G286" i="39"/>
  <c r="K286" i="39"/>
  <c r="C132" i="37"/>
  <c r="D132" i="37"/>
  <c r="H132" i="37" s="1"/>
  <c r="E132" i="37"/>
  <c r="I132" i="37" s="1"/>
  <c r="F132" i="37"/>
  <c r="G132" i="37"/>
  <c r="B132" i="37"/>
  <c r="A287" i="37"/>
  <c r="F287" i="37" s="1"/>
  <c r="A133" i="37"/>
  <c r="I131" i="38"/>
  <c r="L131" i="38"/>
  <c r="K131" i="38"/>
  <c r="O131" i="38"/>
  <c r="M131" i="38" s="1"/>
  <c r="B132" i="38"/>
  <c r="A133" i="38"/>
  <c r="G132" i="38"/>
  <c r="E132" i="38"/>
  <c r="C132" i="38"/>
  <c r="A287" i="38"/>
  <c r="F287" i="38" s="1"/>
  <c r="F132" i="38"/>
  <c r="D132" i="38"/>
  <c r="H132" i="38" s="1"/>
  <c r="K286" i="38"/>
  <c r="G286" i="38"/>
  <c r="B286" i="38"/>
  <c r="K131" i="39"/>
  <c r="L131" i="39"/>
  <c r="O131" i="39"/>
  <c r="M131" i="39" s="1"/>
  <c r="A287" i="39"/>
  <c r="F287" i="39" s="1"/>
  <c r="B132" i="39"/>
  <c r="D132" i="39"/>
  <c r="H132" i="39" s="1"/>
  <c r="E132" i="39"/>
  <c r="G132" i="39"/>
  <c r="F132" i="39"/>
  <c r="C132" i="39"/>
  <c r="A133" i="39"/>
  <c r="A287" i="6"/>
  <c r="F287" i="6" s="1"/>
  <c r="F132" i="6"/>
  <c r="A133" i="6"/>
  <c r="D132" i="6"/>
  <c r="H132" i="6" s="1"/>
  <c r="G132" i="6"/>
  <c r="E132" i="6"/>
  <c r="I132" i="6" s="1"/>
  <c r="B132" i="6"/>
  <c r="C132" i="6"/>
  <c r="L285" i="37"/>
  <c r="I131" i="37"/>
  <c r="I131" i="6"/>
  <c r="O131" i="6"/>
  <c r="M131" i="6" s="1"/>
  <c r="K131" i="6"/>
  <c r="L131" i="6"/>
  <c r="L285" i="39"/>
  <c r="L285" i="6"/>
  <c r="B286" i="37"/>
  <c r="K286" i="37"/>
  <c r="G286" i="37"/>
  <c r="B287" i="39" l="1"/>
  <c r="G287" i="39"/>
  <c r="K287" i="39"/>
  <c r="A288" i="37"/>
  <c r="F288" i="37" s="1"/>
  <c r="E133" i="37"/>
  <c r="C133" i="37"/>
  <c r="D133" i="37"/>
  <c r="H133" i="37" s="1"/>
  <c r="F133" i="37"/>
  <c r="A134" i="37"/>
  <c r="G133" i="37"/>
  <c r="B133" i="37"/>
  <c r="I133" i="37"/>
  <c r="G287" i="37"/>
  <c r="K287" i="37"/>
  <c r="B287" i="37"/>
  <c r="L132" i="37"/>
  <c r="K132" i="37"/>
  <c r="L286" i="38"/>
  <c r="O132" i="6"/>
  <c r="M132" i="6" s="1"/>
  <c r="L132" i="6"/>
  <c r="K132" i="6"/>
  <c r="L286" i="39"/>
  <c r="B287" i="38"/>
  <c r="G287" i="38"/>
  <c r="K287" i="38"/>
  <c r="A288" i="6"/>
  <c r="F288" i="6" s="1"/>
  <c r="C133" i="6"/>
  <c r="E133" i="6"/>
  <c r="I133" i="6" s="1"/>
  <c r="G133" i="6"/>
  <c r="B133" i="6"/>
  <c r="F133" i="6"/>
  <c r="D133" i="6"/>
  <c r="H133" i="6" s="1"/>
  <c r="A134" i="6"/>
  <c r="L286" i="37"/>
  <c r="I132" i="38"/>
  <c r="L132" i="38"/>
  <c r="K132" i="38"/>
  <c r="O132" i="38"/>
  <c r="M132" i="38" s="1"/>
  <c r="K287" i="6"/>
  <c r="B287" i="6"/>
  <c r="G287" i="6"/>
  <c r="G133" i="39"/>
  <c r="D133" i="39"/>
  <c r="H133" i="39" s="1"/>
  <c r="A288" i="39"/>
  <c r="F288" i="39" s="1"/>
  <c r="A134" i="39"/>
  <c r="E133" i="39"/>
  <c r="C133" i="39"/>
  <c r="B133" i="39"/>
  <c r="F133" i="39"/>
  <c r="D133" i="38"/>
  <c r="H133" i="38" s="1"/>
  <c r="A288" i="38"/>
  <c r="F288" i="38" s="1"/>
  <c r="E133" i="38"/>
  <c r="A134" i="38"/>
  <c r="F133" i="38"/>
  <c r="B133" i="38"/>
  <c r="C133" i="38"/>
  <c r="G133" i="38"/>
  <c r="I132" i="39"/>
  <c r="L132" i="39"/>
  <c r="K132" i="39"/>
  <c r="O132" i="39"/>
  <c r="M132" i="39" s="1"/>
  <c r="L286" i="6"/>
  <c r="D134" i="38" l="1"/>
  <c r="H134" i="38" s="1"/>
  <c r="G134" i="38"/>
  <c r="E134" i="38"/>
  <c r="B134" i="38"/>
  <c r="A135" i="38"/>
  <c r="A289" i="38"/>
  <c r="F289" i="38" s="1"/>
  <c r="F134" i="38"/>
  <c r="C134" i="38"/>
  <c r="I134" i="38"/>
  <c r="I133" i="38"/>
  <c r="K133" i="38"/>
  <c r="L133" i="38"/>
  <c r="O133" i="38"/>
  <c r="M133" i="38" s="1"/>
  <c r="K288" i="38"/>
  <c r="G288" i="38"/>
  <c r="B288" i="38"/>
  <c r="A289" i="6"/>
  <c r="F289" i="6" s="1"/>
  <c r="C134" i="6"/>
  <c r="B134" i="6"/>
  <c r="E134" i="6"/>
  <c r="D134" i="6"/>
  <c r="H134" i="6" s="1"/>
  <c r="A135" i="6"/>
  <c r="G134" i="6"/>
  <c r="F134" i="6"/>
  <c r="L287" i="37"/>
  <c r="I133" i="39"/>
  <c r="K133" i="39"/>
  <c r="L133" i="39"/>
  <c r="O133" i="39"/>
  <c r="M133" i="39" s="1"/>
  <c r="L133" i="6"/>
  <c r="K133" i="6"/>
  <c r="O133" i="6"/>
  <c r="M133" i="6" s="1"/>
  <c r="D134" i="39"/>
  <c r="H134" i="39" s="1"/>
  <c r="A289" i="39"/>
  <c r="F289" i="39" s="1"/>
  <c r="E134" i="39"/>
  <c r="F134" i="39"/>
  <c r="A135" i="39"/>
  <c r="G134" i="39"/>
  <c r="B134" i="39"/>
  <c r="C134" i="39"/>
  <c r="B288" i="39"/>
  <c r="K288" i="39"/>
  <c r="G288" i="39"/>
  <c r="K288" i="6"/>
  <c r="B288" i="6"/>
  <c r="G288" i="6"/>
  <c r="B134" i="37"/>
  <c r="F134" i="37"/>
  <c r="G134" i="37"/>
  <c r="A135" i="37"/>
  <c r="D134" i="37"/>
  <c r="H134" i="37" s="1"/>
  <c r="A289" i="37"/>
  <c r="F289" i="37" s="1"/>
  <c r="E134" i="37"/>
  <c r="I134" i="37" s="1"/>
  <c r="C134" i="37"/>
  <c r="L287" i="38"/>
  <c r="K133" i="37"/>
  <c r="L133" i="37"/>
  <c r="L287" i="6"/>
  <c r="K288" i="37"/>
  <c r="B288" i="37"/>
  <c r="G288" i="37"/>
  <c r="L287" i="39"/>
  <c r="L134" i="6" l="1"/>
  <c r="O134" i="6"/>
  <c r="M134" i="6" s="1"/>
  <c r="K134" i="6"/>
  <c r="D135" i="39"/>
  <c r="H135" i="39" s="1"/>
  <c r="B135" i="39"/>
  <c r="C135" i="39"/>
  <c r="E135" i="39"/>
  <c r="I135" i="39" s="1"/>
  <c r="A290" i="39"/>
  <c r="F290" i="39" s="1"/>
  <c r="A136" i="39"/>
  <c r="G135" i="39"/>
  <c r="F135" i="39"/>
  <c r="L134" i="39"/>
  <c r="K134" i="39"/>
  <c r="O134" i="39"/>
  <c r="M134" i="39" s="1"/>
  <c r="K289" i="6"/>
  <c r="B289" i="6"/>
  <c r="G289" i="6"/>
  <c r="K134" i="37"/>
  <c r="L134" i="37"/>
  <c r="K289" i="39"/>
  <c r="G289" i="39"/>
  <c r="B289" i="39"/>
  <c r="K289" i="37"/>
  <c r="B289" i="37"/>
  <c r="G289" i="37"/>
  <c r="L288" i="38"/>
  <c r="G135" i="37"/>
  <c r="E135" i="37"/>
  <c r="I135" i="37" s="1"/>
  <c r="F135" i="37"/>
  <c r="A136" i="37"/>
  <c r="D135" i="37"/>
  <c r="H135" i="37" s="1"/>
  <c r="A290" i="37"/>
  <c r="F290" i="37" s="1"/>
  <c r="C135" i="37"/>
  <c r="B135" i="37"/>
  <c r="L288" i="6"/>
  <c r="L288" i="37"/>
  <c r="K289" i="38"/>
  <c r="G289" i="38"/>
  <c r="B289" i="38"/>
  <c r="L288" i="39"/>
  <c r="I134" i="6"/>
  <c r="A290" i="38"/>
  <c r="F290" i="38" s="1"/>
  <c r="B135" i="38"/>
  <c r="F135" i="38"/>
  <c r="A136" i="38"/>
  <c r="G135" i="38"/>
  <c r="D135" i="38"/>
  <c r="H135" i="38" s="1"/>
  <c r="C135" i="38"/>
  <c r="E135" i="38"/>
  <c r="I134" i="39"/>
  <c r="L134" i="38"/>
  <c r="K134" i="38"/>
  <c r="O134" i="38"/>
  <c r="M134" i="38" s="1"/>
  <c r="A290" i="6"/>
  <c r="F290" i="6" s="1"/>
  <c r="F135" i="6"/>
  <c r="B135" i="6"/>
  <c r="G135" i="6"/>
  <c r="C135" i="6"/>
  <c r="E135" i="6"/>
  <c r="I135" i="6" s="1"/>
  <c r="D135" i="6"/>
  <c r="H135" i="6" s="1"/>
  <c r="A136" i="6"/>
  <c r="I135" i="38" l="1"/>
  <c r="K135" i="38"/>
  <c r="L135" i="38"/>
  <c r="O135" i="38"/>
  <c r="M135" i="38" s="1"/>
  <c r="L289" i="6"/>
  <c r="K290" i="37"/>
  <c r="B290" i="37"/>
  <c r="G290" i="37"/>
  <c r="B136" i="37"/>
  <c r="A137" i="37"/>
  <c r="F136" i="37"/>
  <c r="D136" i="37"/>
  <c r="H136" i="37" s="1"/>
  <c r="E136" i="37"/>
  <c r="I136" i="37" s="1"/>
  <c r="G136" i="37"/>
  <c r="A291" i="37"/>
  <c r="F291" i="37" s="1"/>
  <c r="C136" i="37"/>
  <c r="A137" i="38"/>
  <c r="A291" i="38"/>
  <c r="F291" i="38" s="1"/>
  <c r="D136" i="38"/>
  <c r="H136" i="38" s="1"/>
  <c r="E136" i="38"/>
  <c r="C136" i="38"/>
  <c r="B136" i="38"/>
  <c r="G136" i="38"/>
  <c r="F136" i="38"/>
  <c r="K135" i="37"/>
  <c r="L135" i="37"/>
  <c r="G290" i="38"/>
  <c r="B290" i="38"/>
  <c r="K290" i="38"/>
  <c r="A291" i="39"/>
  <c r="F291" i="39" s="1"/>
  <c r="F136" i="39"/>
  <c r="E136" i="39"/>
  <c r="D136" i="39"/>
  <c r="H136" i="39" s="1"/>
  <c r="A137" i="39"/>
  <c r="B136" i="39"/>
  <c r="G136" i="39"/>
  <c r="C136" i="39"/>
  <c r="A291" i="6"/>
  <c r="F291" i="6" s="1"/>
  <c r="E136" i="6"/>
  <c r="D136" i="6"/>
  <c r="H136" i="6" s="1"/>
  <c r="F136" i="6"/>
  <c r="B136" i="6"/>
  <c r="G136" i="6"/>
  <c r="C136" i="6"/>
  <c r="A137" i="6"/>
  <c r="G290" i="39"/>
  <c r="K290" i="39"/>
  <c r="B290" i="39"/>
  <c r="L135" i="39"/>
  <c r="K135" i="39"/>
  <c r="O135" i="39"/>
  <c r="M135" i="39" s="1"/>
  <c r="L135" i="6"/>
  <c r="O135" i="6"/>
  <c r="M135" i="6" s="1"/>
  <c r="K135" i="6"/>
  <c r="L289" i="37"/>
  <c r="L289" i="38"/>
  <c r="L289" i="39"/>
  <c r="K290" i="6"/>
  <c r="B290" i="6"/>
  <c r="G290" i="6"/>
  <c r="K291" i="38" l="1"/>
  <c r="B291" i="38"/>
  <c r="G291" i="38"/>
  <c r="A138" i="38"/>
  <c r="A292" i="38"/>
  <c r="F292" i="38" s="1"/>
  <c r="D137" i="38"/>
  <c r="H137" i="38" s="1"/>
  <c r="B137" i="38"/>
  <c r="C137" i="38"/>
  <c r="G137" i="38"/>
  <c r="F137" i="38"/>
  <c r="E137" i="38"/>
  <c r="I137" i="38" s="1"/>
  <c r="G137" i="39"/>
  <c r="F137" i="39"/>
  <c r="A292" i="39"/>
  <c r="F292" i="39" s="1"/>
  <c r="A138" i="39"/>
  <c r="D137" i="39"/>
  <c r="H137" i="39" s="1"/>
  <c r="C137" i="39"/>
  <c r="B137" i="39"/>
  <c r="E137" i="39"/>
  <c r="G291" i="37"/>
  <c r="B291" i="37"/>
  <c r="K291" i="37"/>
  <c r="I136" i="39"/>
  <c r="L136" i="39"/>
  <c r="K136" i="39"/>
  <c r="O136" i="39"/>
  <c r="M136" i="39" s="1"/>
  <c r="L136" i="37"/>
  <c r="K136" i="37"/>
  <c r="B291" i="39"/>
  <c r="G291" i="39"/>
  <c r="K291" i="39"/>
  <c r="L290" i="38"/>
  <c r="B137" i="37"/>
  <c r="F137" i="37"/>
  <c r="G137" i="37"/>
  <c r="A292" i="37"/>
  <c r="F292" i="37" s="1"/>
  <c r="A138" i="37"/>
  <c r="C137" i="37"/>
  <c r="E137" i="37"/>
  <c r="I137" i="37" s="1"/>
  <c r="D137" i="37"/>
  <c r="H137" i="37" s="1"/>
  <c r="L290" i="39"/>
  <c r="A292" i="6"/>
  <c r="F292" i="6" s="1"/>
  <c r="C137" i="6"/>
  <c r="B137" i="6"/>
  <c r="F137" i="6"/>
  <c r="E137" i="6"/>
  <c r="G137" i="6"/>
  <c r="D137" i="6"/>
  <c r="H137" i="6" s="1"/>
  <c r="A138" i="6"/>
  <c r="L290" i="37"/>
  <c r="L290" i="6"/>
  <c r="I136" i="6"/>
  <c r="L136" i="6"/>
  <c r="O136" i="6"/>
  <c r="M136" i="6" s="1"/>
  <c r="K136" i="6"/>
  <c r="I136" i="38"/>
  <c r="L136" i="38"/>
  <c r="K136" i="38"/>
  <c r="O136" i="38"/>
  <c r="M136" i="38" s="1"/>
  <c r="K291" i="6"/>
  <c r="B291" i="6"/>
  <c r="G291" i="6"/>
  <c r="F138" i="37" l="1"/>
  <c r="D138" i="37"/>
  <c r="H138" i="37" s="1"/>
  <c r="B138" i="37"/>
  <c r="G138" i="37"/>
  <c r="E138" i="37"/>
  <c r="A293" i="37"/>
  <c r="F293" i="37" s="1"/>
  <c r="C138" i="37"/>
  <c r="A139" i="37"/>
  <c r="I138" i="37"/>
  <c r="I137" i="39"/>
  <c r="L137" i="39"/>
  <c r="K137" i="39"/>
  <c r="O137" i="39"/>
  <c r="M137" i="39" s="1"/>
  <c r="G292" i="37"/>
  <c r="K292" i="37"/>
  <c r="B292" i="37"/>
  <c r="D138" i="39"/>
  <c r="H138" i="39" s="1"/>
  <c r="F138" i="39"/>
  <c r="A293" i="39"/>
  <c r="F293" i="39" s="1"/>
  <c r="E138" i="39"/>
  <c r="C138" i="39"/>
  <c r="B138" i="39"/>
  <c r="G138" i="39"/>
  <c r="A139" i="39"/>
  <c r="B292" i="39"/>
  <c r="G292" i="39"/>
  <c r="K292" i="39"/>
  <c r="A293" i="6"/>
  <c r="F293" i="6" s="1"/>
  <c r="C138" i="6"/>
  <c r="G138" i="6"/>
  <c r="F138" i="6"/>
  <c r="B138" i="6"/>
  <c r="E138" i="6"/>
  <c r="I138" i="6" s="1"/>
  <c r="A139" i="6"/>
  <c r="D138" i="6"/>
  <c r="H138" i="6" s="1"/>
  <c r="L291" i="39"/>
  <c r="I137" i="6"/>
  <c r="O137" i="6"/>
  <c r="M137" i="6" s="1"/>
  <c r="L137" i="6"/>
  <c r="K137" i="6"/>
  <c r="L137" i="38"/>
  <c r="K137" i="38"/>
  <c r="O137" i="38"/>
  <c r="M137" i="38" s="1"/>
  <c r="L291" i="6"/>
  <c r="K292" i="6"/>
  <c r="B292" i="6"/>
  <c r="G292" i="6"/>
  <c r="B292" i="38"/>
  <c r="K292" i="38"/>
  <c r="G292" i="38"/>
  <c r="G138" i="38"/>
  <c r="D138" i="38"/>
  <c r="H138" i="38" s="1"/>
  <c r="A293" i="38"/>
  <c r="F293" i="38" s="1"/>
  <c r="F138" i="38"/>
  <c r="A139" i="38"/>
  <c r="C138" i="38"/>
  <c r="B138" i="38"/>
  <c r="E138" i="38"/>
  <c r="L291" i="37"/>
  <c r="L137" i="37"/>
  <c r="K137" i="37"/>
  <c r="L291" i="38"/>
  <c r="I138" i="39" l="1"/>
  <c r="L138" i="39"/>
  <c r="K138" i="39"/>
  <c r="O138" i="39"/>
  <c r="M138" i="39" s="1"/>
  <c r="K293" i="39"/>
  <c r="B293" i="39"/>
  <c r="G293" i="39"/>
  <c r="A140" i="38"/>
  <c r="C139" i="38"/>
  <c r="A294" i="38"/>
  <c r="F294" i="38" s="1"/>
  <c r="B139" i="38"/>
  <c r="F139" i="38"/>
  <c r="E139" i="38"/>
  <c r="D139" i="38"/>
  <c r="H139" i="38" s="1"/>
  <c r="G139" i="38"/>
  <c r="K293" i="38"/>
  <c r="G293" i="38"/>
  <c r="B293" i="38"/>
  <c r="L292" i="37"/>
  <c r="A294" i="6"/>
  <c r="F294" i="6" s="1"/>
  <c r="C139" i="6"/>
  <c r="G139" i="6"/>
  <c r="F139" i="6"/>
  <c r="E139" i="6"/>
  <c r="I139" i="6" s="1"/>
  <c r="D139" i="6"/>
  <c r="H139" i="6" s="1"/>
  <c r="B139" i="6"/>
  <c r="A140" i="6"/>
  <c r="O138" i="6"/>
  <c r="M138" i="6" s="1"/>
  <c r="L138" i="6"/>
  <c r="K138" i="6"/>
  <c r="L292" i="38"/>
  <c r="L292" i="6"/>
  <c r="K293" i="6"/>
  <c r="B293" i="6"/>
  <c r="G293" i="6"/>
  <c r="F139" i="37"/>
  <c r="A140" i="37"/>
  <c r="G139" i="37"/>
  <c r="D139" i="37"/>
  <c r="H139" i="37" s="1"/>
  <c r="A294" i="37"/>
  <c r="F294" i="37" s="1"/>
  <c r="E139" i="37"/>
  <c r="C139" i="37"/>
  <c r="B139" i="37"/>
  <c r="I139" i="37"/>
  <c r="L292" i="39"/>
  <c r="G293" i="37"/>
  <c r="K293" i="37"/>
  <c r="B293" i="37"/>
  <c r="L138" i="37"/>
  <c r="K138" i="37"/>
  <c r="A140" i="39"/>
  <c r="C139" i="39"/>
  <c r="G139" i="39"/>
  <c r="D139" i="39"/>
  <c r="H139" i="39" s="1"/>
  <c r="B139" i="39"/>
  <c r="A294" i="39"/>
  <c r="F294" i="39" s="1"/>
  <c r="F139" i="39"/>
  <c r="E139" i="39"/>
  <c r="I138" i="38"/>
  <c r="L138" i="38"/>
  <c r="K138" i="38"/>
  <c r="O138" i="38"/>
  <c r="M138" i="38" s="1"/>
  <c r="D140" i="39" l="1"/>
  <c r="H140" i="39" s="1"/>
  <c r="A295" i="39"/>
  <c r="F295" i="39" s="1"/>
  <c r="B140" i="39"/>
  <c r="C140" i="39"/>
  <c r="E140" i="39"/>
  <c r="A141" i="39"/>
  <c r="G140" i="39"/>
  <c r="F140" i="39"/>
  <c r="L293" i="6"/>
  <c r="L293" i="38"/>
  <c r="I139" i="38"/>
  <c r="K139" i="38"/>
  <c r="L139" i="38"/>
  <c r="O139" i="38"/>
  <c r="M139" i="38" s="1"/>
  <c r="L293" i="37"/>
  <c r="B294" i="38"/>
  <c r="G294" i="38"/>
  <c r="K294" i="38"/>
  <c r="A295" i="6"/>
  <c r="F295" i="6" s="1"/>
  <c r="F140" i="6"/>
  <c r="A141" i="6"/>
  <c r="G140" i="6"/>
  <c r="E140" i="6"/>
  <c r="D140" i="6"/>
  <c r="H140" i="6" s="1"/>
  <c r="C140" i="6"/>
  <c r="B140" i="6"/>
  <c r="A295" i="38"/>
  <c r="F295" i="38" s="1"/>
  <c r="G140" i="38"/>
  <c r="F140" i="38"/>
  <c r="D140" i="38"/>
  <c r="H140" i="38" s="1"/>
  <c r="C140" i="38"/>
  <c r="E140" i="38"/>
  <c r="B140" i="38"/>
  <c r="A141" i="38"/>
  <c r="L139" i="37"/>
  <c r="K139" i="37"/>
  <c r="K139" i="6"/>
  <c r="L139" i="6"/>
  <c r="O139" i="6"/>
  <c r="M139" i="6" s="1"/>
  <c r="L293" i="39"/>
  <c r="I139" i="39"/>
  <c r="K139" i="39"/>
  <c r="L139" i="39"/>
  <c r="O139" i="39"/>
  <c r="M139" i="39" s="1"/>
  <c r="K294" i="37"/>
  <c r="B294" i="37"/>
  <c r="G294" i="37"/>
  <c r="B294" i="39"/>
  <c r="K294" i="39"/>
  <c r="G294" i="39"/>
  <c r="D140" i="37"/>
  <c r="H140" i="37" s="1"/>
  <c r="A141" i="37"/>
  <c r="B140" i="37"/>
  <c r="F140" i="37"/>
  <c r="C140" i="37"/>
  <c r="A295" i="37"/>
  <c r="F295" i="37" s="1"/>
  <c r="G140" i="37"/>
  <c r="E140" i="37"/>
  <c r="I140" i="37" s="1"/>
  <c r="K294" i="6"/>
  <c r="B294" i="6"/>
  <c r="G294" i="6"/>
  <c r="G141" i="37" l="1"/>
  <c r="A142" i="37"/>
  <c r="B141" i="37"/>
  <c r="C141" i="37"/>
  <c r="F141" i="37"/>
  <c r="A296" i="37"/>
  <c r="F296" i="37" s="1"/>
  <c r="D141" i="37"/>
  <c r="H141" i="37" s="1"/>
  <c r="E141" i="37"/>
  <c r="I141" i="37" s="1"/>
  <c r="C141" i="38"/>
  <c r="F141" i="38"/>
  <c r="G141" i="38"/>
  <c r="A296" i="38"/>
  <c r="F296" i="38" s="1"/>
  <c r="E141" i="38"/>
  <c r="A142" i="38"/>
  <c r="B141" i="38"/>
  <c r="D141" i="38"/>
  <c r="H141" i="38" s="1"/>
  <c r="I140" i="38"/>
  <c r="L140" i="38"/>
  <c r="K140" i="38"/>
  <c r="O140" i="38"/>
  <c r="M140" i="38" s="1"/>
  <c r="L294" i="39"/>
  <c r="L294" i="37"/>
  <c r="G295" i="38"/>
  <c r="B295" i="38"/>
  <c r="K295" i="38"/>
  <c r="I140" i="6"/>
  <c r="L140" i="6"/>
  <c r="O140" i="6"/>
  <c r="M140" i="6" s="1"/>
  <c r="K140" i="6"/>
  <c r="G141" i="39"/>
  <c r="F141" i="39"/>
  <c r="E141" i="39"/>
  <c r="A296" i="39"/>
  <c r="F296" i="39" s="1"/>
  <c r="D141" i="39"/>
  <c r="H141" i="39" s="1"/>
  <c r="B141" i="39"/>
  <c r="A142" i="39"/>
  <c r="C141" i="39"/>
  <c r="L294" i="6"/>
  <c r="I140" i="39"/>
  <c r="L140" i="39"/>
  <c r="K140" i="39"/>
  <c r="O140" i="39"/>
  <c r="M140" i="39" s="1"/>
  <c r="A296" i="6"/>
  <c r="F296" i="6" s="1"/>
  <c r="F141" i="6"/>
  <c r="C141" i="6"/>
  <c r="E141" i="6"/>
  <c r="D141" i="6"/>
  <c r="H141" i="6" s="1"/>
  <c r="A142" i="6"/>
  <c r="B141" i="6"/>
  <c r="G141" i="6"/>
  <c r="L140" i="37"/>
  <c r="K140" i="37"/>
  <c r="K295" i="6"/>
  <c r="B295" i="6"/>
  <c r="G295" i="6"/>
  <c r="B295" i="39"/>
  <c r="K295" i="39"/>
  <c r="G295" i="39"/>
  <c r="G295" i="37"/>
  <c r="B295" i="37"/>
  <c r="K295" i="37"/>
  <c r="L294" i="38"/>
  <c r="E142" i="39" l="1"/>
  <c r="G142" i="39"/>
  <c r="D142" i="39"/>
  <c r="H142" i="39" s="1"/>
  <c r="B142" i="39"/>
  <c r="A297" i="39"/>
  <c r="F297" i="39" s="1"/>
  <c r="C142" i="39"/>
  <c r="A143" i="39"/>
  <c r="F142" i="39"/>
  <c r="I142" i="39"/>
  <c r="L295" i="6"/>
  <c r="B296" i="39"/>
  <c r="K296" i="39"/>
  <c r="G296" i="39"/>
  <c r="I141" i="39"/>
  <c r="K141" i="39"/>
  <c r="L141" i="39"/>
  <c r="O141" i="39"/>
  <c r="M141" i="39" s="1"/>
  <c r="D142" i="38"/>
  <c r="H142" i="38" s="1"/>
  <c r="E142" i="38"/>
  <c r="C142" i="38"/>
  <c r="A143" i="38"/>
  <c r="A297" i="38"/>
  <c r="F297" i="38" s="1"/>
  <c r="B142" i="38"/>
  <c r="G142" i="38"/>
  <c r="F142" i="38"/>
  <c r="I141" i="38"/>
  <c r="K141" i="38"/>
  <c r="L141" i="38"/>
  <c r="O141" i="38"/>
  <c r="M141" i="38" s="1"/>
  <c r="K296" i="38"/>
  <c r="G296" i="38"/>
  <c r="B296" i="38"/>
  <c r="A297" i="6"/>
  <c r="F297" i="6" s="1"/>
  <c r="G142" i="6"/>
  <c r="C142" i="6"/>
  <c r="D142" i="6"/>
  <c r="H142" i="6" s="1"/>
  <c r="E142" i="6"/>
  <c r="A143" i="6"/>
  <c r="F142" i="6"/>
  <c r="B142" i="6"/>
  <c r="I141" i="6"/>
  <c r="O141" i="6"/>
  <c r="M141" i="6" s="1"/>
  <c r="L141" i="6"/>
  <c r="K141" i="6"/>
  <c r="L295" i="38"/>
  <c r="K141" i="37"/>
  <c r="L141" i="37"/>
  <c r="K296" i="6"/>
  <c r="B296" i="6"/>
  <c r="G296" i="6"/>
  <c r="L295" i="37"/>
  <c r="G296" i="37"/>
  <c r="K296" i="37"/>
  <c r="B296" i="37"/>
  <c r="L295" i="39"/>
  <c r="B142" i="37"/>
  <c r="E142" i="37"/>
  <c r="I142" i="37" s="1"/>
  <c r="C142" i="37"/>
  <c r="A297" i="37"/>
  <c r="F297" i="37" s="1"/>
  <c r="F142" i="37"/>
  <c r="D142" i="37"/>
  <c r="H142" i="37" s="1"/>
  <c r="G142" i="37"/>
  <c r="A143" i="37"/>
  <c r="A298" i="6" l="1"/>
  <c r="F298" i="6" s="1"/>
  <c r="F143" i="6"/>
  <c r="E143" i="6"/>
  <c r="G143" i="6"/>
  <c r="B143" i="6"/>
  <c r="D143" i="6"/>
  <c r="H143" i="6" s="1"/>
  <c r="C143" i="6"/>
  <c r="A144" i="6"/>
  <c r="L142" i="38"/>
  <c r="K142" i="38"/>
  <c r="O142" i="38"/>
  <c r="M142" i="38" s="1"/>
  <c r="I142" i="6"/>
  <c r="O142" i="6"/>
  <c r="M142" i="6" s="1"/>
  <c r="K142" i="6"/>
  <c r="L142" i="6"/>
  <c r="L296" i="37"/>
  <c r="K297" i="6"/>
  <c r="B297" i="6"/>
  <c r="G297" i="6"/>
  <c r="L296" i="39"/>
  <c r="L296" i="6"/>
  <c r="L296" i="38"/>
  <c r="C143" i="37"/>
  <c r="A298" i="37"/>
  <c r="F298" i="37" s="1"/>
  <c r="D143" i="37"/>
  <c r="H143" i="37" s="1"/>
  <c r="G143" i="37"/>
  <c r="E143" i="37"/>
  <c r="B143" i="37"/>
  <c r="F143" i="37"/>
  <c r="A144" i="37"/>
  <c r="I143" i="37"/>
  <c r="I142" i="38"/>
  <c r="A298" i="39"/>
  <c r="F298" i="39" s="1"/>
  <c r="B143" i="39"/>
  <c r="E143" i="39"/>
  <c r="F143" i="39"/>
  <c r="A144" i="39"/>
  <c r="D143" i="39"/>
  <c r="H143" i="39" s="1"/>
  <c r="G143" i="39"/>
  <c r="C143" i="39"/>
  <c r="B297" i="37"/>
  <c r="K297" i="37"/>
  <c r="G297" i="37"/>
  <c r="G297" i="39"/>
  <c r="B297" i="39"/>
  <c r="K297" i="39"/>
  <c r="L142" i="37"/>
  <c r="K142" i="37"/>
  <c r="K297" i="38"/>
  <c r="B297" i="38"/>
  <c r="G297" i="38"/>
  <c r="A298" i="38"/>
  <c r="F298" i="38" s="1"/>
  <c r="E143" i="38"/>
  <c r="F143" i="38"/>
  <c r="D143" i="38"/>
  <c r="H143" i="38" s="1"/>
  <c r="G143" i="38"/>
  <c r="A144" i="38"/>
  <c r="B143" i="38"/>
  <c r="C143" i="38"/>
  <c r="K142" i="39"/>
  <c r="L142" i="39"/>
  <c r="O142" i="39"/>
  <c r="M142" i="39" s="1"/>
  <c r="I143" i="39" l="1"/>
  <c r="L143" i="39"/>
  <c r="K143" i="39"/>
  <c r="O143" i="39"/>
  <c r="M143" i="39" s="1"/>
  <c r="I143" i="38"/>
  <c r="L143" i="38"/>
  <c r="K143" i="38"/>
  <c r="O143" i="38"/>
  <c r="M143" i="38" s="1"/>
  <c r="L297" i="6"/>
  <c r="G298" i="38"/>
  <c r="K298" i="38"/>
  <c r="B298" i="38"/>
  <c r="B298" i="39"/>
  <c r="G298" i="39"/>
  <c r="K298" i="39"/>
  <c r="L297" i="38"/>
  <c r="A299" i="37"/>
  <c r="F299" i="37" s="1"/>
  <c r="G144" i="37"/>
  <c r="C144" i="37"/>
  <c r="F144" i="37"/>
  <c r="A145" i="37"/>
  <c r="D144" i="37"/>
  <c r="H144" i="37" s="1"/>
  <c r="E144" i="37"/>
  <c r="I144" i="37" s="1"/>
  <c r="B144" i="37"/>
  <c r="K143" i="37"/>
  <c r="L143" i="37"/>
  <c r="L297" i="39"/>
  <c r="G298" i="37"/>
  <c r="K298" i="37"/>
  <c r="B298" i="37"/>
  <c r="A299" i="6"/>
  <c r="F299" i="6" s="1"/>
  <c r="A145" i="6"/>
  <c r="F144" i="6"/>
  <c r="D144" i="6"/>
  <c r="H144" i="6" s="1"/>
  <c r="E144" i="6"/>
  <c r="B144" i="6"/>
  <c r="C144" i="6"/>
  <c r="G144" i="6"/>
  <c r="L297" i="37"/>
  <c r="I143" i="6"/>
  <c r="O143" i="6"/>
  <c r="M143" i="6" s="1"/>
  <c r="K143" i="6"/>
  <c r="L143" i="6"/>
  <c r="A145" i="38"/>
  <c r="E144" i="38"/>
  <c r="I144" i="38" s="1"/>
  <c r="B144" i="38"/>
  <c r="D144" i="38"/>
  <c r="H144" i="38" s="1"/>
  <c r="A299" i="38"/>
  <c r="F299" i="38" s="1"/>
  <c r="G144" i="38"/>
  <c r="C144" i="38"/>
  <c r="F144" i="38"/>
  <c r="A299" i="39"/>
  <c r="F299" i="39" s="1"/>
  <c r="A145" i="39"/>
  <c r="F144" i="39"/>
  <c r="C144" i="39"/>
  <c r="G144" i="39"/>
  <c r="B144" i="39"/>
  <c r="E144" i="39"/>
  <c r="D144" i="39"/>
  <c r="H144" i="39" s="1"/>
  <c r="K298" i="6"/>
  <c r="B298" i="6"/>
  <c r="G298" i="6"/>
  <c r="B299" i="39" l="1"/>
  <c r="K299" i="39"/>
  <c r="G299" i="39"/>
  <c r="L144" i="6"/>
  <c r="O144" i="6"/>
  <c r="M144" i="6" s="1"/>
  <c r="K144" i="6"/>
  <c r="B299" i="37"/>
  <c r="G299" i="37"/>
  <c r="K299" i="37"/>
  <c r="A300" i="6"/>
  <c r="F300" i="6" s="1"/>
  <c r="C145" i="6"/>
  <c r="D145" i="6"/>
  <c r="H145" i="6" s="1"/>
  <c r="A146" i="6"/>
  <c r="F145" i="6"/>
  <c r="B145" i="6"/>
  <c r="G145" i="6"/>
  <c r="E145" i="6"/>
  <c r="I145" i="6" s="1"/>
  <c r="L298" i="39"/>
  <c r="K299" i="38"/>
  <c r="G299" i="38"/>
  <c r="B299" i="38"/>
  <c r="L298" i="37"/>
  <c r="K144" i="38"/>
  <c r="L144" i="38"/>
  <c r="O144" i="38"/>
  <c r="M144" i="38" s="1"/>
  <c r="L298" i="38"/>
  <c r="G145" i="38"/>
  <c r="A146" i="38"/>
  <c r="B145" i="38"/>
  <c r="E145" i="38"/>
  <c r="I145" i="38" s="1"/>
  <c r="C145" i="38"/>
  <c r="F145" i="38"/>
  <c r="D145" i="38"/>
  <c r="H145" i="38" s="1"/>
  <c r="A300" i="38"/>
  <c r="F300" i="38" s="1"/>
  <c r="L298" i="6"/>
  <c r="I144" i="39"/>
  <c r="L144" i="39"/>
  <c r="K144" i="39"/>
  <c r="O144" i="39"/>
  <c r="M144" i="39" s="1"/>
  <c r="K144" i="37"/>
  <c r="L144" i="37"/>
  <c r="I144" i="6"/>
  <c r="E145" i="37"/>
  <c r="I145" i="37" s="1"/>
  <c r="F145" i="37"/>
  <c r="D145" i="37"/>
  <c r="H145" i="37" s="1"/>
  <c r="A300" i="37"/>
  <c r="F300" i="37" s="1"/>
  <c r="B145" i="37"/>
  <c r="A146" i="37"/>
  <c r="C145" i="37"/>
  <c r="G145" i="37"/>
  <c r="K299" i="6"/>
  <c r="B299" i="6"/>
  <c r="G299" i="6"/>
  <c r="C145" i="39"/>
  <c r="B145" i="39"/>
  <c r="E145" i="39"/>
  <c r="I145" i="39" s="1"/>
  <c r="A146" i="39"/>
  <c r="D145" i="39"/>
  <c r="H145" i="39" s="1"/>
  <c r="G145" i="39"/>
  <c r="A300" i="39"/>
  <c r="F300" i="39" s="1"/>
  <c r="F145" i="39"/>
  <c r="L299" i="6" l="1"/>
  <c r="K300" i="38"/>
  <c r="B300" i="38"/>
  <c r="G300" i="38"/>
  <c r="L145" i="6"/>
  <c r="K145" i="6"/>
  <c r="O145" i="6"/>
  <c r="M145" i="6" s="1"/>
  <c r="F146" i="37"/>
  <c r="B146" i="37"/>
  <c r="C146" i="37"/>
  <c r="E146" i="37"/>
  <c r="I146" i="37" s="1"/>
  <c r="G146" i="37"/>
  <c r="A147" i="37"/>
  <c r="A301" i="37"/>
  <c r="F301" i="37" s="1"/>
  <c r="D146" i="37"/>
  <c r="H146" i="37" s="1"/>
  <c r="K145" i="38"/>
  <c r="L145" i="38"/>
  <c r="O145" i="38"/>
  <c r="M145" i="38" s="1"/>
  <c r="A301" i="6"/>
  <c r="F301" i="6" s="1"/>
  <c r="F146" i="6"/>
  <c r="G146" i="6"/>
  <c r="A147" i="6"/>
  <c r="E146" i="6"/>
  <c r="C146" i="6"/>
  <c r="B146" i="6"/>
  <c r="D146" i="6"/>
  <c r="H146" i="6" s="1"/>
  <c r="G146" i="38"/>
  <c r="B146" i="38"/>
  <c r="F146" i="38"/>
  <c r="E146" i="38"/>
  <c r="A147" i="38"/>
  <c r="D146" i="38"/>
  <c r="H146" i="38" s="1"/>
  <c r="C146" i="38"/>
  <c r="A301" i="38"/>
  <c r="F301" i="38" s="1"/>
  <c r="L145" i="37"/>
  <c r="K145" i="37"/>
  <c r="K300" i="6"/>
  <c r="G300" i="6"/>
  <c r="B300" i="6"/>
  <c r="L299" i="37"/>
  <c r="B300" i="37"/>
  <c r="G300" i="37"/>
  <c r="K300" i="37"/>
  <c r="G300" i="39"/>
  <c r="K300" i="39"/>
  <c r="B300" i="39"/>
  <c r="A301" i="39"/>
  <c r="F301" i="39" s="1"/>
  <c r="B146" i="39"/>
  <c r="F146" i="39"/>
  <c r="A147" i="39"/>
  <c r="G146" i="39"/>
  <c r="E146" i="39"/>
  <c r="C146" i="39"/>
  <c r="D146" i="39"/>
  <c r="H146" i="39" s="1"/>
  <c r="L145" i="39"/>
  <c r="K145" i="39"/>
  <c r="O145" i="39"/>
  <c r="M145" i="39" s="1"/>
  <c r="L299" i="39"/>
  <c r="L299" i="38"/>
  <c r="L300" i="6" l="1"/>
  <c r="I146" i="39"/>
  <c r="L146" i="39"/>
  <c r="K146" i="39"/>
  <c r="O146" i="39"/>
  <c r="M146" i="39" s="1"/>
  <c r="G301" i="38"/>
  <c r="K301" i="38"/>
  <c r="B301" i="38"/>
  <c r="B301" i="37"/>
  <c r="K301" i="37"/>
  <c r="G301" i="37"/>
  <c r="E147" i="39"/>
  <c r="A148" i="39"/>
  <c r="G147" i="39"/>
  <c r="C147" i="39"/>
  <c r="A302" i="39"/>
  <c r="F302" i="39" s="1"/>
  <c r="B147" i="39"/>
  <c r="F147" i="39"/>
  <c r="D147" i="39"/>
  <c r="H147" i="39" s="1"/>
  <c r="B147" i="37"/>
  <c r="F147" i="37"/>
  <c r="D147" i="37"/>
  <c r="H147" i="37" s="1"/>
  <c r="A302" i="37"/>
  <c r="F302" i="37" s="1"/>
  <c r="C147" i="37"/>
  <c r="E147" i="37"/>
  <c r="G147" i="37"/>
  <c r="A148" i="37"/>
  <c r="I147" i="37"/>
  <c r="E147" i="38"/>
  <c r="I147" i="38" s="1"/>
  <c r="A302" i="38"/>
  <c r="F302" i="38" s="1"/>
  <c r="B147" i="38"/>
  <c r="D147" i="38"/>
  <c r="H147" i="38" s="1"/>
  <c r="G147" i="38"/>
  <c r="A148" i="38"/>
  <c r="F147" i="38"/>
  <c r="C147" i="38"/>
  <c r="I146" i="38"/>
  <c r="K146" i="38"/>
  <c r="L146" i="38"/>
  <c r="O146" i="38"/>
  <c r="M146" i="38" s="1"/>
  <c r="L146" i="37"/>
  <c r="K146" i="37"/>
  <c r="K301" i="39"/>
  <c r="G301" i="39"/>
  <c r="B301" i="39"/>
  <c r="L300" i="39"/>
  <c r="L300" i="37"/>
  <c r="I146" i="6"/>
  <c r="L146" i="6"/>
  <c r="O146" i="6"/>
  <c r="M146" i="6" s="1"/>
  <c r="K146" i="6"/>
  <c r="A302" i="6"/>
  <c r="F302" i="6" s="1"/>
  <c r="G147" i="6"/>
  <c r="D147" i="6"/>
  <c r="H147" i="6" s="1"/>
  <c r="F147" i="6"/>
  <c r="B147" i="6"/>
  <c r="E147" i="6"/>
  <c r="I147" i="6" s="1"/>
  <c r="C147" i="6"/>
  <c r="A148" i="6"/>
  <c r="L300" i="38"/>
  <c r="K301" i="6"/>
  <c r="B301" i="6"/>
  <c r="G301" i="6"/>
  <c r="K302" i="6" l="1"/>
  <c r="B302" i="6"/>
  <c r="G302" i="6"/>
  <c r="G302" i="39"/>
  <c r="B302" i="39"/>
  <c r="K302" i="39"/>
  <c r="C148" i="38"/>
  <c r="F148" i="38"/>
  <c r="D148" i="38"/>
  <c r="H148" i="38" s="1"/>
  <c r="B148" i="38"/>
  <c r="G148" i="38"/>
  <c r="E148" i="38"/>
  <c r="A149" i="38"/>
  <c r="A303" i="38"/>
  <c r="F303" i="38" s="1"/>
  <c r="B148" i="39"/>
  <c r="C148" i="39"/>
  <c r="F148" i="39"/>
  <c r="E148" i="39"/>
  <c r="G148" i="39"/>
  <c r="A149" i="39"/>
  <c r="D148" i="39"/>
  <c r="H148" i="39" s="1"/>
  <c r="A303" i="39"/>
  <c r="F303" i="39" s="1"/>
  <c r="I147" i="39"/>
  <c r="L147" i="39"/>
  <c r="K147" i="39"/>
  <c r="O147" i="39"/>
  <c r="M147" i="39" s="1"/>
  <c r="B302" i="38"/>
  <c r="G302" i="38"/>
  <c r="K302" i="38"/>
  <c r="L301" i="37"/>
  <c r="L147" i="38"/>
  <c r="K147" i="38"/>
  <c r="O147" i="38"/>
  <c r="M147" i="38" s="1"/>
  <c r="L301" i="6"/>
  <c r="G148" i="37"/>
  <c r="F148" i="37"/>
  <c r="B148" i="37"/>
  <c r="A149" i="37"/>
  <c r="A303" i="37"/>
  <c r="F303" i="37" s="1"/>
  <c r="E148" i="37"/>
  <c r="I148" i="37" s="1"/>
  <c r="D148" i="37"/>
  <c r="H148" i="37" s="1"/>
  <c r="C148" i="37"/>
  <c r="L301" i="38"/>
  <c r="L301" i="39"/>
  <c r="L147" i="37"/>
  <c r="K147" i="37"/>
  <c r="A303" i="6"/>
  <c r="F303" i="6" s="1"/>
  <c r="E148" i="6"/>
  <c r="C148" i="6"/>
  <c r="B148" i="6"/>
  <c r="D148" i="6"/>
  <c r="H148" i="6" s="1"/>
  <c r="F148" i="6"/>
  <c r="A149" i="6"/>
  <c r="G148" i="6"/>
  <c r="G302" i="37"/>
  <c r="K302" i="37"/>
  <c r="B302" i="37"/>
  <c r="K147" i="6"/>
  <c r="O147" i="6"/>
  <c r="M147" i="6" s="1"/>
  <c r="L147" i="6"/>
  <c r="A304" i="6" l="1"/>
  <c r="F304" i="6" s="1"/>
  <c r="D149" i="6"/>
  <c r="H149" i="6" s="1"/>
  <c r="C149" i="6"/>
  <c r="G149" i="6"/>
  <c r="A150" i="6"/>
  <c r="B149" i="6"/>
  <c r="E149" i="6"/>
  <c r="I149" i="6" s="1"/>
  <c r="F149" i="6"/>
  <c r="E149" i="39"/>
  <c r="A150" i="39"/>
  <c r="B149" i="39"/>
  <c r="D149" i="39"/>
  <c r="H149" i="39" s="1"/>
  <c r="G149" i="39"/>
  <c r="A304" i="39"/>
  <c r="F304" i="39" s="1"/>
  <c r="F149" i="39"/>
  <c r="C149" i="39"/>
  <c r="I149" i="39"/>
  <c r="K148" i="39"/>
  <c r="L148" i="39"/>
  <c r="O148" i="39"/>
  <c r="M148" i="39" s="1"/>
  <c r="L148" i="6"/>
  <c r="O148" i="6"/>
  <c r="M148" i="6" s="1"/>
  <c r="K148" i="6"/>
  <c r="K303" i="6"/>
  <c r="B303" i="6"/>
  <c r="G303" i="6"/>
  <c r="K303" i="38"/>
  <c r="G303" i="38"/>
  <c r="B303" i="38"/>
  <c r="B149" i="38"/>
  <c r="A150" i="38"/>
  <c r="C149" i="38"/>
  <c r="F149" i="38"/>
  <c r="E149" i="38"/>
  <c r="I149" i="38" s="1"/>
  <c r="A304" i="38"/>
  <c r="F304" i="38" s="1"/>
  <c r="G149" i="38"/>
  <c r="D149" i="38"/>
  <c r="H149" i="38" s="1"/>
  <c r="I148" i="38"/>
  <c r="K148" i="38"/>
  <c r="L148" i="38"/>
  <c r="O148" i="38"/>
  <c r="M148" i="38" s="1"/>
  <c r="L302" i="38"/>
  <c r="L302" i="39"/>
  <c r="L302" i="37"/>
  <c r="K148" i="37"/>
  <c r="L148" i="37"/>
  <c r="I148" i="39"/>
  <c r="I148" i="6"/>
  <c r="B303" i="37"/>
  <c r="G303" i="37"/>
  <c r="K303" i="37"/>
  <c r="K303" i="39"/>
  <c r="G303" i="39"/>
  <c r="B303" i="39"/>
  <c r="F149" i="37"/>
  <c r="C149" i="37"/>
  <c r="G149" i="37"/>
  <c r="B149" i="37"/>
  <c r="E149" i="37"/>
  <c r="I149" i="37" s="1"/>
  <c r="D149" i="37"/>
  <c r="H149" i="37" s="1"/>
  <c r="A150" i="37"/>
  <c r="A304" i="37"/>
  <c r="F304" i="37" s="1"/>
  <c r="L302" i="6"/>
  <c r="L303" i="39" l="1"/>
  <c r="L303" i="37"/>
  <c r="B304" i="38"/>
  <c r="K304" i="38"/>
  <c r="G304" i="38"/>
  <c r="K149" i="38"/>
  <c r="L149" i="38"/>
  <c r="O149" i="38"/>
  <c r="M149" i="38" s="1"/>
  <c r="K304" i="39"/>
  <c r="G304" i="39"/>
  <c r="B304" i="39"/>
  <c r="G150" i="38"/>
  <c r="A151" i="38"/>
  <c r="A305" i="38"/>
  <c r="F305" i="38" s="1"/>
  <c r="F150" i="38"/>
  <c r="C150" i="38"/>
  <c r="E150" i="38"/>
  <c r="D150" i="38"/>
  <c r="H150" i="38" s="1"/>
  <c r="B150" i="38"/>
  <c r="D150" i="39"/>
  <c r="H150" i="39" s="1"/>
  <c r="C150" i="39"/>
  <c r="A305" i="39"/>
  <c r="F305" i="39" s="1"/>
  <c r="A151" i="39"/>
  <c r="B150" i="39"/>
  <c r="G150" i="39"/>
  <c r="E150" i="39"/>
  <c r="F150" i="39"/>
  <c r="L149" i="39"/>
  <c r="K149" i="39"/>
  <c r="O149" i="39"/>
  <c r="M149" i="39" s="1"/>
  <c r="B304" i="37"/>
  <c r="G304" i="37"/>
  <c r="K304" i="37"/>
  <c r="L303" i="38"/>
  <c r="F150" i="37"/>
  <c r="E150" i="37"/>
  <c r="C150" i="37"/>
  <c r="B150" i="37"/>
  <c r="D150" i="37"/>
  <c r="H150" i="37" s="1"/>
  <c r="A151" i="37"/>
  <c r="A305" i="37"/>
  <c r="F305" i="37" s="1"/>
  <c r="G150" i="37"/>
  <c r="K149" i="6"/>
  <c r="L149" i="6"/>
  <c r="O149" i="6"/>
  <c r="M149" i="6" s="1"/>
  <c r="K149" i="37"/>
  <c r="L149" i="37"/>
  <c r="L303" i="6"/>
  <c r="A305" i="6"/>
  <c r="F305" i="6" s="1"/>
  <c r="F150" i="6"/>
  <c r="A151" i="6"/>
  <c r="E150" i="6"/>
  <c r="C150" i="6"/>
  <c r="B150" i="6"/>
  <c r="D150" i="6"/>
  <c r="H150" i="6" s="1"/>
  <c r="G150" i="6"/>
  <c r="K304" i="6"/>
  <c r="B304" i="6"/>
  <c r="G304" i="6"/>
  <c r="L150" i="37" l="1"/>
  <c r="K150" i="37"/>
  <c r="I150" i="38"/>
  <c r="L150" i="38"/>
  <c r="K150" i="38"/>
  <c r="O150" i="38"/>
  <c r="M150" i="38" s="1"/>
  <c r="I150" i="6"/>
  <c r="O150" i="6"/>
  <c r="M150" i="6" s="1"/>
  <c r="L150" i="6"/>
  <c r="K150" i="6"/>
  <c r="A306" i="6"/>
  <c r="F306" i="6" s="1"/>
  <c r="E151" i="6"/>
  <c r="B151" i="6"/>
  <c r="G151" i="6"/>
  <c r="D151" i="6"/>
  <c r="H151" i="6" s="1"/>
  <c r="F151" i="6"/>
  <c r="C151" i="6"/>
  <c r="A152" i="6"/>
  <c r="B305" i="38"/>
  <c r="K305" i="38"/>
  <c r="G305" i="38"/>
  <c r="K305" i="6"/>
  <c r="B305" i="6"/>
  <c r="G305" i="6"/>
  <c r="L304" i="37"/>
  <c r="G151" i="38"/>
  <c r="B151" i="38"/>
  <c r="D151" i="38"/>
  <c r="H151" i="38" s="1"/>
  <c r="A306" i="38"/>
  <c r="F306" i="38" s="1"/>
  <c r="E151" i="38"/>
  <c r="I151" i="38" s="1"/>
  <c r="C151" i="38"/>
  <c r="A152" i="38"/>
  <c r="F151" i="38"/>
  <c r="L304" i="39"/>
  <c r="I150" i="39"/>
  <c r="L150" i="39"/>
  <c r="K150" i="39"/>
  <c r="O150" i="39"/>
  <c r="M150" i="39" s="1"/>
  <c r="I150" i="37"/>
  <c r="L304" i="38"/>
  <c r="B151" i="39"/>
  <c r="E151" i="39"/>
  <c r="D151" i="39"/>
  <c r="H151" i="39" s="1"/>
  <c r="F151" i="39"/>
  <c r="G151" i="39"/>
  <c r="A152" i="39"/>
  <c r="A306" i="39"/>
  <c r="F306" i="39" s="1"/>
  <c r="C151" i="39"/>
  <c r="K305" i="37"/>
  <c r="B305" i="37"/>
  <c r="G305" i="37"/>
  <c r="K305" i="39"/>
  <c r="G305" i="39"/>
  <c r="B305" i="39"/>
  <c r="L304" i="6"/>
  <c r="A152" i="37"/>
  <c r="D151" i="37"/>
  <c r="H151" i="37" s="1"/>
  <c r="G151" i="37"/>
  <c r="E151" i="37"/>
  <c r="I151" i="37" s="1"/>
  <c r="B151" i="37"/>
  <c r="F151" i="37"/>
  <c r="C151" i="37"/>
  <c r="A306" i="37"/>
  <c r="F306" i="37" s="1"/>
  <c r="A307" i="6" l="1"/>
  <c r="F307" i="6" s="1"/>
  <c r="A153" i="6"/>
  <c r="C152" i="6"/>
  <c r="B152" i="6"/>
  <c r="G152" i="6"/>
  <c r="E152" i="6"/>
  <c r="D152" i="6"/>
  <c r="H152" i="6" s="1"/>
  <c r="F152" i="6"/>
  <c r="L305" i="39"/>
  <c r="L305" i="37"/>
  <c r="D152" i="38"/>
  <c r="H152" i="38" s="1"/>
  <c r="B152" i="38"/>
  <c r="A153" i="38"/>
  <c r="C152" i="38"/>
  <c r="F152" i="38"/>
  <c r="G152" i="38"/>
  <c r="E152" i="38"/>
  <c r="A307" i="38"/>
  <c r="F307" i="38" s="1"/>
  <c r="I151" i="6"/>
  <c r="O151" i="6"/>
  <c r="M151" i="6" s="1"/>
  <c r="K151" i="6"/>
  <c r="L151" i="6"/>
  <c r="B306" i="39"/>
  <c r="K306" i="39"/>
  <c r="G306" i="39"/>
  <c r="L151" i="38"/>
  <c r="K151" i="38"/>
  <c r="O151" i="38"/>
  <c r="M151" i="38" s="1"/>
  <c r="K306" i="6"/>
  <c r="B306" i="6"/>
  <c r="G306" i="6"/>
  <c r="G306" i="38"/>
  <c r="B306" i="38"/>
  <c r="K306" i="38"/>
  <c r="G152" i="39"/>
  <c r="A153" i="39"/>
  <c r="C152" i="39"/>
  <c r="D152" i="39"/>
  <c r="H152" i="39" s="1"/>
  <c r="A307" i="39"/>
  <c r="F307" i="39" s="1"/>
  <c r="F152" i="39"/>
  <c r="E152" i="39"/>
  <c r="B152" i="39"/>
  <c r="G306" i="37"/>
  <c r="B306" i="37"/>
  <c r="K306" i="37"/>
  <c r="I151" i="39"/>
  <c r="K151" i="39"/>
  <c r="L151" i="39"/>
  <c r="O151" i="39"/>
  <c r="M151" i="39" s="1"/>
  <c r="L305" i="6"/>
  <c r="B152" i="37"/>
  <c r="D152" i="37"/>
  <c r="H152" i="37" s="1"/>
  <c r="E152" i="37"/>
  <c r="F152" i="37"/>
  <c r="A307" i="37"/>
  <c r="F307" i="37" s="1"/>
  <c r="G152" i="37"/>
  <c r="A153" i="37"/>
  <c r="C152" i="37"/>
  <c r="L151" i="37"/>
  <c r="K151" i="37"/>
  <c r="L305" i="38"/>
  <c r="B307" i="38" l="1"/>
  <c r="K307" i="38"/>
  <c r="G307" i="38"/>
  <c r="G307" i="37"/>
  <c r="K307" i="37"/>
  <c r="B307" i="37"/>
  <c r="A308" i="39"/>
  <c r="F308" i="39" s="1"/>
  <c r="A154" i="39"/>
  <c r="E153" i="39"/>
  <c r="I153" i="39" s="1"/>
  <c r="G153" i="39"/>
  <c r="C153" i="39"/>
  <c r="D153" i="39"/>
  <c r="H153" i="39" s="1"/>
  <c r="F153" i="39"/>
  <c r="B153" i="39"/>
  <c r="L152" i="38"/>
  <c r="K152" i="38"/>
  <c r="O152" i="38"/>
  <c r="M152" i="38" s="1"/>
  <c r="K152" i="37"/>
  <c r="L152" i="37"/>
  <c r="L306" i="38"/>
  <c r="C153" i="38"/>
  <c r="F153" i="38"/>
  <c r="A308" i="38"/>
  <c r="F308" i="38" s="1"/>
  <c r="A154" i="38"/>
  <c r="B153" i="38"/>
  <c r="D153" i="38"/>
  <c r="H153" i="38" s="1"/>
  <c r="E153" i="38"/>
  <c r="G153" i="38"/>
  <c r="L306" i="6"/>
  <c r="L306" i="37"/>
  <c r="L306" i="39"/>
  <c r="I152" i="6"/>
  <c r="K152" i="6"/>
  <c r="L152" i="6"/>
  <c r="O152" i="6"/>
  <c r="M152" i="6" s="1"/>
  <c r="I152" i="39"/>
  <c r="K152" i="39"/>
  <c r="L152" i="39"/>
  <c r="O152" i="39"/>
  <c r="M152" i="39" s="1"/>
  <c r="I152" i="37"/>
  <c r="B307" i="39"/>
  <c r="K307" i="39"/>
  <c r="G307" i="39"/>
  <c r="A308" i="6"/>
  <c r="F308" i="6" s="1"/>
  <c r="F153" i="6"/>
  <c r="C153" i="6"/>
  <c r="A154" i="6"/>
  <c r="B153" i="6"/>
  <c r="E153" i="6"/>
  <c r="I153" i="6" s="1"/>
  <c r="G153" i="6"/>
  <c r="D153" i="6"/>
  <c r="H153" i="6" s="1"/>
  <c r="C153" i="37"/>
  <c r="A308" i="37"/>
  <c r="F308" i="37" s="1"/>
  <c r="D153" i="37"/>
  <c r="H153" i="37" s="1"/>
  <c r="B153" i="37"/>
  <c r="E153" i="37"/>
  <c r="I153" i="37" s="1"/>
  <c r="F153" i="37"/>
  <c r="G153" i="37"/>
  <c r="A154" i="37"/>
  <c r="I152" i="38"/>
  <c r="K307" i="6"/>
  <c r="B307" i="6"/>
  <c r="G307" i="6"/>
  <c r="L153" i="6" l="1"/>
  <c r="O153" i="6"/>
  <c r="M153" i="6" s="1"/>
  <c r="K153" i="6"/>
  <c r="A309" i="6"/>
  <c r="F309" i="6" s="1"/>
  <c r="D154" i="6"/>
  <c r="H154" i="6" s="1"/>
  <c r="G154" i="6"/>
  <c r="E154" i="6"/>
  <c r="I154" i="6" s="1"/>
  <c r="C154" i="6"/>
  <c r="A155" i="6"/>
  <c r="B154" i="6"/>
  <c r="F154" i="6"/>
  <c r="G308" i="6"/>
  <c r="K308" i="6"/>
  <c r="B308" i="6"/>
  <c r="I153" i="38"/>
  <c r="K153" i="38"/>
  <c r="L153" i="38"/>
  <c r="O153" i="38"/>
  <c r="M153" i="38" s="1"/>
  <c r="L307" i="6"/>
  <c r="K153" i="39"/>
  <c r="L153" i="39"/>
  <c r="O153" i="39"/>
  <c r="M153" i="39" s="1"/>
  <c r="L307" i="39"/>
  <c r="G154" i="39"/>
  <c r="F154" i="39"/>
  <c r="D154" i="39"/>
  <c r="H154" i="39" s="1"/>
  <c r="B154" i="39"/>
  <c r="A309" i="39"/>
  <c r="F309" i="39" s="1"/>
  <c r="A155" i="39"/>
  <c r="C154" i="39"/>
  <c r="E154" i="39"/>
  <c r="C154" i="38"/>
  <c r="G154" i="38"/>
  <c r="B154" i="38"/>
  <c r="A309" i="38"/>
  <c r="F309" i="38" s="1"/>
  <c r="D154" i="38"/>
  <c r="H154" i="38" s="1"/>
  <c r="F154" i="38"/>
  <c r="A155" i="38"/>
  <c r="E154" i="38"/>
  <c r="I154" i="38" s="1"/>
  <c r="K308" i="39"/>
  <c r="B308" i="39"/>
  <c r="G308" i="39"/>
  <c r="K308" i="38"/>
  <c r="G308" i="38"/>
  <c r="B308" i="38"/>
  <c r="L307" i="37"/>
  <c r="L153" i="37"/>
  <c r="K153" i="37"/>
  <c r="C154" i="37"/>
  <c r="A155" i="37"/>
  <c r="A309" i="37"/>
  <c r="F309" i="37" s="1"/>
  <c r="E154" i="37"/>
  <c r="G154" i="37"/>
  <c r="F154" i="37"/>
  <c r="D154" i="37"/>
  <c r="H154" i="37" s="1"/>
  <c r="B154" i="37"/>
  <c r="L307" i="38"/>
  <c r="G308" i="37"/>
  <c r="K308" i="37"/>
  <c r="B308" i="37"/>
  <c r="L154" i="37" l="1"/>
  <c r="K154" i="37"/>
  <c r="G309" i="38"/>
  <c r="B309" i="38"/>
  <c r="K309" i="38"/>
  <c r="K309" i="37"/>
  <c r="G309" i="37"/>
  <c r="B309" i="37"/>
  <c r="A310" i="37"/>
  <c r="F310" i="37" s="1"/>
  <c r="E155" i="37"/>
  <c r="I155" i="37" s="1"/>
  <c r="D155" i="37"/>
  <c r="H155" i="37" s="1"/>
  <c r="G155" i="37"/>
  <c r="A156" i="37"/>
  <c r="B155" i="37"/>
  <c r="F155" i="37"/>
  <c r="C155" i="37"/>
  <c r="I154" i="39"/>
  <c r="K154" i="39"/>
  <c r="L154" i="39"/>
  <c r="O154" i="39"/>
  <c r="M154" i="39" s="1"/>
  <c r="L308" i="6"/>
  <c r="B155" i="39"/>
  <c r="C155" i="39"/>
  <c r="G155" i="39"/>
  <c r="D155" i="39"/>
  <c r="H155" i="39" s="1"/>
  <c r="A310" i="39"/>
  <c r="F310" i="39" s="1"/>
  <c r="A156" i="39"/>
  <c r="F155" i="39"/>
  <c r="E155" i="39"/>
  <c r="I155" i="39" s="1"/>
  <c r="B309" i="39"/>
  <c r="G309" i="39"/>
  <c r="K309" i="39"/>
  <c r="A310" i="6"/>
  <c r="F310" i="6" s="1"/>
  <c r="C155" i="6"/>
  <c r="E155" i="6"/>
  <c r="G155" i="6"/>
  <c r="F155" i="6"/>
  <c r="A156" i="6"/>
  <c r="D155" i="6"/>
  <c r="H155" i="6" s="1"/>
  <c r="B155" i="6"/>
  <c r="L308" i="37"/>
  <c r="L308" i="38"/>
  <c r="O154" i="6"/>
  <c r="M154" i="6" s="1"/>
  <c r="L154" i="6"/>
  <c r="K154" i="6"/>
  <c r="L308" i="39"/>
  <c r="K309" i="6"/>
  <c r="B309" i="6"/>
  <c r="G309" i="6"/>
  <c r="L154" i="38"/>
  <c r="K154" i="38"/>
  <c r="O154" i="38"/>
  <c r="M154" i="38" s="1"/>
  <c r="I154" i="37"/>
  <c r="G155" i="38"/>
  <c r="E155" i="38"/>
  <c r="A156" i="38"/>
  <c r="F155" i="38"/>
  <c r="A310" i="38"/>
  <c r="F310" i="38" s="1"/>
  <c r="C155" i="38"/>
  <c r="D155" i="38"/>
  <c r="H155" i="38" s="1"/>
  <c r="B155" i="38"/>
  <c r="L155" i="6" l="1"/>
  <c r="O155" i="6"/>
  <c r="M155" i="6" s="1"/>
  <c r="K155" i="6"/>
  <c r="G310" i="6"/>
  <c r="K310" i="6"/>
  <c r="B310" i="6"/>
  <c r="L309" i="39"/>
  <c r="L309" i="6"/>
  <c r="A311" i="37"/>
  <c r="F311" i="37" s="1"/>
  <c r="C156" i="37"/>
  <c r="G156" i="37"/>
  <c r="F156" i="37"/>
  <c r="D156" i="37"/>
  <c r="H156" i="37" s="1"/>
  <c r="E156" i="37"/>
  <c r="I156" i="37" s="1"/>
  <c r="A157" i="37"/>
  <c r="B156" i="37"/>
  <c r="L155" i="39"/>
  <c r="K155" i="39"/>
  <c r="O155" i="39"/>
  <c r="M155" i="39" s="1"/>
  <c r="L155" i="37"/>
  <c r="K155" i="37"/>
  <c r="B156" i="39"/>
  <c r="A157" i="39"/>
  <c r="F156" i="39"/>
  <c r="C156" i="39"/>
  <c r="D156" i="39"/>
  <c r="H156" i="39" s="1"/>
  <c r="G156" i="39"/>
  <c r="A311" i="39"/>
  <c r="F311" i="39" s="1"/>
  <c r="E156" i="39"/>
  <c r="K310" i="37"/>
  <c r="G310" i="37"/>
  <c r="B310" i="37"/>
  <c r="G310" i="39"/>
  <c r="K310" i="39"/>
  <c r="B310" i="39"/>
  <c r="L309" i="37"/>
  <c r="L309" i="38"/>
  <c r="I155" i="6"/>
  <c r="D156" i="38"/>
  <c r="H156" i="38" s="1"/>
  <c r="B156" i="38"/>
  <c r="A157" i="38"/>
  <c r="A311" i="38"/>
  <c r="F311" i="38" s="1"/>
  <c r="E156" i="38"/>
  <c r="F156" i="38"/>
  <c r="G156" i="38"/>
  <c r="C156" i="38"/>
  <c r="G310" i="38"/>
  <c r="B310" i="38"/>
  <c r="K310" i="38"/>
  <c r="I155" i="38"/>
  <c r="K155" i="38"/>
  <c r="L155" i="38"/>
  <c r="O155" i="38"/>
  <c r="M155" i="38" s="1"/>
  <c r="A311" i="6"/>
  <c r="F311" i="6" s="1"/>
  <c r="C156" i="6"/>
  <c r="B156" i="6"/>
  <c r="G156" i="6"/>
  <c r="E156" i="6"/>
  <c r="F156" i="6"/>
  <c r="D156" i="6"/>
  <c r="H156" i="6" s="1"/>
  <c r="A157" i="6"/>
  <c r="B311" i="6" l="1"/>
  <c r="G311" i="6"/>
  <c r="K311" i="6"/>
  <c r="L310" i="39"/>
  <c r="D157" i="37"/>
  <c r="H157" i="37" s="1"/>
  <c r="C157" i="37"/>
  <c r="B157" i="37"/>
  <c r="F157" i="37"/>
  <c r="A312" i="37"/>
  <c r="F312" i="37" s="1"/>
  <c r="G157" i="37"/>
  <c r="E157" i="37"/>
  <c r="I157" i="37" s="1"/>
  <c r="A158" i="37"/>
  <c r="K156" i="37"/>
  <c r="L156" i="37"/>
  <c r="L310" i="38"/>
  <c r="I156" i="39"/>
  <c r="K156" i="39"/>
  <c r="L156" i="39"/>
  <c r="O156" i="39"/>
  <c r="M156" i="39" s="1"/>
  <c r="L310" i="37"/>
  <c r="G311" i="39"/>
  <c r="B311" i="39"/>
  <c r="K311" i="39"/>
  <c r="B311" i="37"/>
  <c r="G311" i="37"/>
  <c r="K311" i="37"/>
  <c r="I156" i="38"/>
  <c r="L156" i="38"/>
  <c r="K156" i="38"/>
  <c r="O156" i="38"/>
  <c r="M156" i="38" s="1"/>
  <c r="K311" i="38"/>
  <c r="G311" i="38"/>
  <c r="B311" i="38"/>
  <c r="A312" i="6"/>
  <c r="F312" i="6" s="1"/>
  <c r="G157" i="6"/>
  <c r="C157" i="6"/>
  <c r="B157" i="6"/>
  <c r="A158" i="6"/>
  <c r="F157" i="6"/>
  <c r="E157" i="6"/>
  <c r="D157" i="6"/>
  <c r="H157" i="6" s="1"/>
  <c r="B157" i="38"/>
  <c r="A312" i="38"/>
  <c r="F312" i="38" s="1"/>
  <c r="G157" i="38"/>
  <c r="F157" i="38"/>
  <c r="A158" i="38"/>
  <c r="D157" i="38"/>
  <c r="H157" i="38" s="1"/>
  <c r="C157" i="38"/>
  <c r="E157" i="38"/>
  <c r="B157" i="39"/>
  <c r="C157" i="39"/>
  <c r="F157" i="39"/>
  <c r="A312" i="39"/>
  <c r="F312" i="39" s="1"/>
  <c r="G157" i="39"/>
  <c r="D157" i="39"/>
  <c r="H157" i="39" s="1"/>
  <c r="E157" i="39"/>
  <c r="A158" i="39"/>
  <c r="L310" i="6"/>
  <c r="I156" i="6"/>
  <c r="L156" i="6"/>
  <c r="O156" i="6"/>
  <c r="M156" i="6" s="1"/>
  <c r="K156" i="6"/>
  <c r="G312" i="6" l="1"/>
  <c r="K312" i="6"/>
  <c r="B312" i="6"/>
  <c r="K312" i="39"/>
  <c r="G312" i="39"/>
  <c r="B312" i="39"/>
  <c r="L311" i="38"/>
  <c r="I157" i="38"/>
  <c r="L157" i="38"/>
  <c r="K157" i="38"/>
  <c r="O157" i="38"/>
  <c r="M157" i="38" s="1"/>
  <c r="B158" i="37"/>
  <c r="E158" i="37"/>
  <c r="A159" i="37"/>
  <c r="G158" i="37"/>
  <c r="A313" i="37"/>
  <c r="F313" i="37" s="1"/>
  <c r="D158" i="37"/>
  <c r="H158" i="37" s="1"/>
  <c r="F158" i="37"/>
  <c r="C158" i="37"/>
  <c r="L157" i="37"/>
  <c r="K157" i="37"/>
  <c r="A313" i="38"/>
  <c r="F313" i="38" s="1"/>
  <c r="E158" i="38"/>
  <c r="D158" i="38"/>
  <c r="H158" i="38" s="1"/>
  <c r="C158" i="38"/>
  <c r="F158" i="38"/>
  <c r="B158" i="38"/>
  <c r="G158" i="38"/>
  <c r="A159" i="38"/>
  <c r="L311" i="37"/>
  <c r="G312" i="37"/>
  <c r="K312" i="37"/>
  <c r="B312" i="37"/>
  <c r="K312" i="38"/>
  <c r="B312" i="38"/>
  <c r="G312" i="38"/>
  <c r="L311" i="39"/>
  <c r="I157" i="6"/>
  <c r="L157" i="6"/>
  <c r="O157" i="6"/>
  <c r="M157" i="6" s="1"/>
  <c r="K157" i="6"/>
  <c r="A313" i="6"/>
  <c r="F313" i="6" s="1"/>
  <c r="F158" i="6"/>
  <c r="B158" i="6"/>
  <c r="C158" i="6"/>
  <c r="E158" i="6"/>
  <c r="G158" i="6"/>
  <c r="A159" i="6"/>
  <c r="D158" i="6"/>
  <c r="H158" i="6" s="1"/>
  <c r="L311" i="6"/>
  <c r="A159" i="39"/>
  <c r="F158" i="39"/>
  <c r="C158" i="39"/>
  <c r="D158" i="39"/>
  <c r="H158" i="39" s="1"/>
  <c r="B158" i="39"/>
  <c r="G158" i="39"/>
  <c r="E158" i="39"/>
  <c r="A313" i="39"/>
  <c r="F313" i="39" s="1"/>
  <c r="I157" i="39"/>
  <c r="K157" i="39"/>
  <c r="L157" i="39"/>
  <c r="O157" i="39"/>
  <c r="M157" i="39" s="1"/>
  <c r="L312" i="38" l="1"/>
  <c r="F159" i="39"/>
  <c r="C159" i="39"/>
  <c r="E159" i="39"/>
  <c r="B159" i="39"/>
  <c r="G159" i="39"/>
  <c r="A160" i="39"/>
  <c r="D159" i="39"/>
  <c r="H159" i="39" s="1"/>
  <c r="A314" i="39"/>
  <c r="F314" i="39" s="1"/>
  <c r="I159" i="39"/>
  <c r="B313" i="37"/>
  <c r="K313" i="37"/>
  <c r="G313" i="37"/>
  <c r="L312" i="37"/>
  <c r="A160" i="37"/>
  <c r="D159" i="37"/>
  <c r="H159" i="37" s="1"/>
  <c r="G159" i="37"/>
  <c r="E159" i="37"/>
  <c r="F159" i="37"/>
  <c r="C159" i="37"/>
  <c r="B159" i="37"/>
  <c r="A314" i="37"/>
  <c r="F314" i="37" s="1"/>
  <c r="L158" i="37"/>
  <c r="K158" i="37"/>
  <c r="A314" i="6"/>
  <c r="F314" i="6" s="1"/>
  <c r="C159" i="6"/>
  <c r="F159" i="6"/>
  <c r="B159" i="6"/>
  <c r="D159" i="6"/>
  <c r="H159" i="6" s="1"/>
  <c r="G159" i="6"/>
  <c r="E159" i="6"/>
  <c r="I159" i="6" s="1"/>
  <c r="A160" i="6"/>
  <c r="B159" i="38"/>
  <c r="G159" i="38"/>
  <c r="D159" i="38"/>
  <c r="H159" i="38" s="1"/>
  <c r="E159" i="38"/>
  <c r="A160" i="38"/>
  <c r="F159" i="38"/>
  <c r="C159" i="38"/>
  <c r="A314" i="38"/>
  <c r="F314" i="38" s="1"/>
  <c r="I158" i="6"/>
  <c r="K158" i="6"/>
  <c r="L158" i="6"/>
  <c r="O158" i="6"/>
  <c r="M158" i="6" s="1"/>
  <c r="B313" i="6"/>
  <c r="G313" i="6"/>
  <c r="K313" i="6"/>
  <c r="I158" i="38"/>
  <c r="K158" i="38"/>
  <c r="L158" i="38"/>
  <c r="O158" i="38"/>
  <c r="M158" i="38" s="1"/>
  <c r="K313" i="38"/>
  <c r="B313" i="38"/>
  <c r="G313" i="38"/>
  <c r="G313" i="39"/>
  <c r="B313" i="39"/>
  <c r="K313" i="39"/>
  <c r="L312" i="39"/>
  <c r="I158" i="39"/>
  <c r="K158" i="39"/>
  <c r="L158" i="39"/>
  <c r="O158" i="39"/>
  <c r="M158" i="39" s="1"/>
  <c r="L312" i="6"/>
  <c r="I158" i="37"/>
  <c r="K159" i="37" l="1"/>
  <c r="L159" i="37"/>
  <c r="L313" i="38"/>
  <c r="A315" i="37"/>
  <c r="F315" i="37" s="1"/>
  <c r="G160" i="37"/>
  <c r="B160" i="37"/>
  <c r="A161" i="37"/>
  <c r="C160" i="37"/>
  <c r="E160" i="37"/>
  <c r="I160" i="37" s="1"/>
  <c r="F160" i="37"/>
  <c r="D160" i="37"/>
  <c r="H160" i="37" s="1"/>
  <c r="A315" i="6"/>
  <c r="F315" i="6" s="1"/>
  <c r="B160" i="6"/>
  <c r="F160" i="6"/>
  <c r="A161" i="6"/>
  <c r="G160" i="6"/>
  <c r="D160" i="6"/>
  <c r="H160" i="6" s="1"/>
  <c r="C160" i="6"/>
  <c r="E160" i="6"/>
  <c r="O159" i="6"/>
  <c r="M159" i="6" s="1"/>
  <c r="L159" i="6"/>
  <c r="K159" i="6"/>
  <c r="L313" i="37"/>
  <c r="L313" i="6"/>
  <c r="B314" i="39"/>
  <c r="G314" i="39"/>
  <c r="K314" i="39"/>
  <c r="G314" i="6"/>
  <c r="K314" i="6"/>
  <c r="B314" i="6"/>
  <c r="G160" i="39"/>
  <c r="B160" i="39"/>
  <c r="A315" i="39"/>
  <c r="F315" i="39" s="1"/>
  <c r="C160" i="39"/>
  <c r="E160" i="39"/>
  <c r="D160" i="39"/>
  <c r="H160" i="39" s="1"/>
  <c r="A161" i="39"/>
  <c r="F160" i="39"/>
  <c r="K314" i="38"/>
  <c r="B314" i="38"/>
  <c r="G314" i="38"/>
  <c r="I159" i="37"/>
  <c r="K159" i="39"/>
  <c r="L159" i="39"/>
  <c r="O159" i="39"/>
  <c r="M159" i="39" s="1"/>
  <c r="K314" i="37"/>
  <c r="G314" i="37"/>
  <c r="B314" i="37"/>
  <c r="L313" i="39"/>
  <c r="G160" i="38"/>
  <c r="F160" i="38"/>
  <c r="C160" i="38"/>
  <c r="E160" i="38"/>
  <c r="A315" i="38"/>
  <c r="F315" i="38" s="1"/>
  <c r="A161" i="38"/>
  <c r="D160" i="38"/>
  <c r="H160" i="38" s="1"/>
  <c r="B160" i="38"/>
  <c r="I159" i="38"/>
  <c r="L159" i="38"/>
  <c r="K159" i="38"/>
  <c r="O159" i="38"/>
  <c r="M159" i="38" s="1"/>
  <c r="I160" i="39" l="1"/>
  <c r="K160" i="39"/>
  <c r="L160" i="39"/>
  <c r="O160" i="39"/>
  <c r="M160" i="39" s="1"/>
  <c r="L160" i="38"/>
  <c r="K160" i="38"/>
  <c r="O160" i="38"/>
  <c r="M160" i="38" s="1"/>
  <c r="G315" i="39"/>
  <c r="B315" i="39"/>
  <c r="K315" i="39"/>
  <c r="A316" i="6"/>
  <c r="F316" i="6" s="1"/>
  <c r="E161" i="6"/>
  <c r="F161" i="6"/>
  <c r="A162" i="6"/>
  <c r="D161" i="6"/>
  <c r="H161" i="6" s="1"/>
  <c r="B161" i="6"/>
  <c r="G161" i="6"/>
  <c r="C161" i="6"/>
  <c r="G315" i="38"/>
  <c r="B315" i="38"/>
  <c r="K315" i="38"/>
  <c r="K315" i="6"/>
  <c r="B315" i="6"/>
  <c r="G315" i="6"/>
  <c r="L314" i="6"/>
  <c r="L314" i="39"/>
  <c r="L314" i="37"/>
  <c r="L160" i="37"/>
  <c r="K160" i="37"/>
  <c r="A316" i="37"/>
  <c r="F316" i="37" s="1"/>
  <c r="C161" i="37"/>
  <c r="A162" i="37"/>
  <c r="E161" i="37"/>
  <c r="D161" i="37"/>
  <c r="H161" i="37" s="1"/>
  <c r="F161" i="37"/>
  <c r="B161" i="37"/>
  <c r="G161" i="37"/>
  <c r="K315" i="37"/>
  <c r="B315" i="37"/>
  <c r="G315" i="37"/>
  <c r="I160" i="38"/>
  <c r="L314" i="38"/>
  <c r="F161" i="39"/>
  <c r="G161" i="39"/>
  <c r="A316" i="39"/>
  <c r="F316" i="39" s="1"/>
  <c r="C161" i="39"/>
  <c r="E161" i="39"/>
  <c r="B161" i="39"/>
  <c r="D161" i="39"/>
  <c r="H161" i="39" s="1"/>
  <c r="A162" i="39"/>
  <c r="I160" i="6"/>
  <c r="O160" i="6"/>
  <c r="M160" i="6" s="1"/>
  <c r="L160" i="6"/>
  <c r="K160" i="6"/>
  <c r="B161" i="38"/>
  <c r="E161" i="38"/>
  <c r="A316" i="38"/>
  <c r="F316" i="38" s="1"/>
  <c r="F161" i="38"/>
  <c r="D161" i="38"/>
  <c r="H161" i="38" s="1"/>
  <c r="G161" i="38"/>
  <c r="C161" i="38"/>
  <c r="A162" i="38"/>
  <c r="L161" i="37" l="1"/>
  <c r="K161" i="37"/>
  <c r="D162" i="39"/>
  <c r="H162" i="39" s="1"/>
  <c r="F162" i="39"/>
  <c r="A163" i="39"/>
  <c r="G162" i="39"/>
  <c r="C162" i="39"/>
  <c r="E162" i="39"/>
  <c r="B162" i="39"/>
  <c r="A317" i="39"/>
  <c r="F317" i="39" s="1"/>
  <c r="E162" i="37"/>
  <c r="I162" i="37" s="1"/>
  <c r="D162" i="37"/>
  <c r="H162" i="37" s="1"/>
  <c r="G162" i="37"/>
  <c r="B162" i="37"/>
  <c r="A163" i="37"/>
  <c r="A317" i="37"/>
  <c r="F317" i="37" s="1"/>
  <c r="F162" i="37"/>
  <c r="C162" i="37"/>
  <c r="K316" i="37"/>
  <c r="G316" i="37"/>
  <c r="B316" i="37"/>
  <c r="A317" i="6"/>
  <c r="F317" i="6" s="1"/>
  <c r="C162" i="6"/>
  <c r="G162" i="6"/>
  <c r="F162" i="6"/>
  <c r="D162" i="6"/>
  <c r="H162" i="6" s="1"/>
  <c r="E162" i="6"/>
  <c r="I162" i="6" s="1"/>
  <c r="B162" i="6"/>
  <c r="A163" i="6"/>
  <c r="I161" i="39"/>
  <c r="K161" i="39"/>
  <c r="L161" i="39"/>
  <c r="O161" i="39"/>
  <c r="M161" i="39" s="1"/>
  <c r="I161" i="6"/>
  <c r="O161" i="6"/>
  <c r="M161" i="6" s="1"/>
  <c r="L161" i="6"/>
  <c r="K161" i="6"/>
  <c r="B316" i="39"/>
  <c r="G316" i="39"/>
  <c r="K316" i="39"/>
  <c r="K316" i="6"/>
  <c r="B316" i="6"/>
  <c r="G316" i="6"/>
  <c r="L315" i="39"/>
  <c r="E162" i="38"/>
  <c r="I162" i="38" s="1"/>
  <c r="A317" i="38"/>
  <c r="F317" i="38" s="1"/>
  <c r="D162" i="38"/>
  <c r="H162" i="38" s="1"/>
  <c r="B162" i="38"/>
  <c r="C162" i="38"/>
  <c r="G162" i="38"/>
  <c r="A163" i="38"/>
  <c r="F162" i="38"/>
  <c r="K316" i="38"/>
  <c r="G316" i="38"/>
  <c r="B316" i="38"/>
  <c r="L315" i="37"/>
  <c r="I161" i="38"/>
  <c r="K161" i="38"/>
  <c r="L161" i="38"/>
  <c r="O161" i="38"/>
  <c r="M161" i="38" s="1"/>
  <c r="I161" i="37"/>
  <c r="L315" i="6"/>
  <c r="L315" i="38"/>
  <c r="L316" i="38" l="1"/>
  <c r="G317" i="37"/>
  <c r="K317" i="37"/>
  <c r="B317" i="37"/>
  <c r="A318" i="37"/>
  <c r="F318" i="37" s="1"/>
  <c r="F163" i="37"/>
  <c r="A164" i="37"/>
  <c r="E163" i="37"/>
  <c r="I163" i="37" s="1"/>
  <c r="C163" i="37"/>
  <c r="B163" i="37"/>
  <c r="G163" i="37"/>
  <c r="D163" i="37"/>
  <c r="H163" i="37" s="1"/>
  <c r="E163" i="38"/>
  <c r="A164" i="38"/>
  <c r="C163" i="38"/>
  <c r="G163" i="38"/>
  <c r="B163" i="38"/>
  <c r="F163" i="38"/>
  <c r="D163" i="38"/>
  <c r="H163" i="38" s="1"/>
  <c r="A318" i="38"/>
  <c r="F318" i="38" s="1"/>
  <c r="K162" i="37"/>
  <c r="L162" i="37"/>
  <c r="A318" i="6"/>
  <c r="F318" i="6" s="1"/>
  <c r="F163" i="6"/>
  <c r="B163" i="6"/>
  <c r="A164" i="6"/>
  <c r="E163" i="6"/>
  <c r="I163" i="6" s="1"/>
  <c r="G163" i="6"/>
  <c r="C163" i="6"/>
  <c r="D163" i="6"/>
  <c r="H163" i="6" s="1"/>
  <c r="K317" i="39"/>
  <c r="G317" i="39"/>
  <c r="B317" i="39"/>
  <c r="K162" i="38"/>
  <c r="L162" i="38"/>
  <c r="O162" i="38"/>
  <c r="M162" i="38" s="1"/>
  <c r="L162" i="6"/>
  <c r="O162" i="6"/>
  <c r="M162" i="6" s="1"/>
  <c r="K162" i="6"/>
  <c r="I162" i="39"/>
  <c r="L162" i="39"/>
  <c r="K162" i="39"/>
  <c r="O162" i="39"/>
  <c r="M162" i="39" s="1"/>
  <c r="G317" i="38"/>
  <c r="B317" i="38"/>
  <c r="K317" i="38"/>
  <c r="F163" i="39"/>
  <c r="D163" i="39"/>
  <c r="H163" i="39" s="1"/>
  <c r="C163" i="39"/>
  <c r="A164" i="39"/>
  <c r="E163" i="39"/>
  <c r="B163" i="39"/>
  <c r="A318" i="39"/>
  <c r="F318" i="39" s="1"/>
  <c r="G163" i="39"/>
  <c r="L316" i="6"/>
  <c r="K317" i="6"/>
  <c r="B317" i="6"/>
  <c r="G317" i="6"/>
  <c r="L316" i="39"/>
  <c r="L316" i="37"/>
  <c r="B318" i="39" l="1"/>
  <c r="K318" i="39"/>
  <c r="G318" i="39"/>
  <c r="G164" i="38"/>
  <c r="A165" i="38"/>
  <c r="D164" i="38"/>
  <c r="H164" i="38" s="1"/>
  <c r="A319" i="38"/>
  <c r="F319" i="38" s="1"/>
  <c r="C164" i="38"/>
  <c r="F164" i="38"/>
  <c r="E164" i="38"/>
  <c r="B164" i="38"/>
  <c r="I163" i="39"/>
  <c r="K163" i="39"/>
  <c r="L163" i="39"/>
  <c r="O163" i="39"/>
  <c r="M163" i="39" s="1"/>
  <c r="L317" i="39"/>
  <c r="I163" i="38"/>
  <c r="K163" i="38"/>
  <c r="L163" i="38"/>
  <c r="O163" i="38"/>
  <c r="M163" i="38" s="1"/>
  <c r="A165" i="39"/>
  <c r="B164" i="39"/>
  <c r="A319" i="39"/>
  <c r="F319" i="39" s="1"/>
  <c r="F164" i="39"/>
  <c r="G164" i="39"/>
  <c r="C164" i="39"/>
  <c r="E164" i="39"/>
  <c r="D164" i="39"/>
  <c r="H164" i="39" s="1"/>
  <c r="I164" i="39"/>
  <c r="A319" i="6"/>
  <c r="F319" i="6" s="1"/>
  <c r="F164" i="6"/>
  <c r="E164" i="6"/>
  <c r="I164" i="6" s="1"/>
  <c r="C164" i="6"/>
  <c r="G164" i="6"/>
  <c r="D164" i="6"/>
  <c r="H164" i="6" s="1"/>
  <c r="B164" i="6"/>
  <c r="A165" i="6"/>
  <c r="K163" i="37"/>
  <c r="L163" i="37"/>
  <c r="A319" i="37"/>
  <c r="F319" i="37" s="1"/>
  <c r="F164" i="37"/>
  <c r="B164" i="37"/>
  <c r="E164" i="37"/>
  <c r="G164" i="37"/>
  <c r="D164" i="37"/>
  <c r="H164" i="37" s="1"/>
  <c r="A165" i="37"/>
  <c r="C164" i="37"/>
  <c r="I164" i="37"/>
  <c r="K318" i="6"/>
  <c r="B318" i="6"/>
  <c r="G318" i="6"/>
  <c r="K318" i="37"/>
  <c r="B318" i="37"/>
  <c r="G318" i="37"/>
  <c r="L317" i="38"/>
  <c r="L317" i="37"/>
  <c r="O163" i="6"/>
  <c r="M163" i="6" s="1"/>
  <c r="K163" i="6"/>
  <c r="L163" i="6"/>
  <c r="G318" i="38"/>
  <c r="B318" i="38"/>
  <c r="K318" i="38"/>
  <c r="L317" i="6"/>
  <c r="A320" i="6" l="1"/>
  <c r="F320" i="6" s="1"/>
  <c r="G165" i="6"/>
  <c r="C165" i="6"/>
  <c r="B165" i="6"/>
  <c r="D165" i="6"/>
  <c r="H165" i="6" s="1"/>
  <c r="A166" i="6"/>
  <c r="E165" i="6"/>
  <c r="I165" i="6" s="1"/>
  <c r="F165" i="6"/>
  <c r="L318" i="37"/>
  <c r="L164" i="6"/>
  <c r="O164" i="6"/>
  <c r="M164" i="6" s="1"/>
  <c r="K164" i="6"/>
  <c r="L318" i="6"/>
  <c r="B319" i="6"/>
  <c r="K319" i="6"/>
  <c r="G319" i="6"/>
  <c r="I164" i="38"/>
  <c r="L164" i="38"/>
  <c r="K164" i="38"/>
  <c r="O164" i="38"/>
  <c r="M164" i="38" s="1"/>
  <c r="A320" i="37"/>
  <c r="F320" i="37" s="1"/>
  <c r="B165" i="37"/>
  <c r="A166" i="37"/>
  <c r="F165" i="37"/>
  <c r="C165" i="37"/>
  <c r="G165" i="37"/>
  <c r="E165" i="37"/>
  <c r="I165" i="37" s="1"/>
  <c r="D165" i="37"/>
  <c r="H165" i="37" s="1"/>
  <c r="L164" i="39"/>
  <c r="K164" i="39"/>
  <c r="O164" i="39"/>
  <c r="M164" i="39" s="1"/>
  <c r="L318" i="38"/>
  <c r="G319" i="38"/>
  <c r="B319" i="38"/>
  <c r="K319" i="38"/>
  <c r="K164" i="37"/>
  <c r="L164" i="37"/>
  <c r="B165" i="38"/>
  <c r="F165" i="38"/>
  <c r="G165" i="38"/>
  <c r="C165" i="38"/>
  <c r="E165" i="38"/>
  <c r="A166" i="38"/>
  <c r="A320" i="38"/>
  <c r="F320" i="38" s="1"/>
  <c r="D165" i="38"/>
  <c r="H165" i="38" s="1"/>
  <c r="I165" i="38"/>
  <c r="B319" i="39"/>
  <c r="K319" i="39"/>
  <c r="G319" i="39"/>
  <c r="B319" i="37"/>
  <c r="K319" i="37"/>
  <c r="G319" i="37"/>
  <c r="B165" i="39"/>
  <c r="C165" i="39"/>
  <c r="D165" i="39"/>
  <c r="H165" i="39" s="1"/>
  <c r="A166" i="39"/>
  <c r="E165" i="39"/>
  <c r="G165" i="39"/>
  <c r="A320" i="39"/>
  <c r="F320" i="39" s="1"/>
  <c r="F165" i="39"/>
  <c r="L318" i="39"/>
  <c r="L319" i="38" l="1"/>
  <c r="L319" i="6"/>
  <c r="L319" i="37"/>
  <c r="L319" i="39"/>
  <c r="G320" i="38"/>
  <c r="B320" i="38"/>
  <c r="K320" i="38"/>
  <c r="K165" i="37"/>
  <c r="L165" i="37"/>
  <c r="B166" i="38"/>
  <c r="C166" i="38"/>
  <c r="A167" i="38"/>
  <c r="A321" i="38"/>
  <c r="F321" i="38" s="1"/>
  <c r="F166" i="38"/>
  <c r="E166" i="38"/>
  <c r="D166" i="38"/>
  <c r="H166" i="38" s="1"/>
  <c r="G166" i="38"/>
  <c r="K165" i="38"/>
  <c r="L165" i="38"/>
  <c r="O165" i="38"/>
  <c r="M165" i="38" s="1"/>
  <c r="O165" i="6"/>
  <c r="M165" i="6" s="1"/>
  <c r="L165" i="6"/>
  <c r="K165" i="6"/>
  <c r="B166" i="37"/>
  <c r="D166" i="37"/>
  <c r="H166" i="37" s="1"/>
  <c r="G166" i="37"/>
  <c r="C166" i="37"/>
  <c r="A321" i="37"/>
  <c r="F321" i="37" s="1"/>
  <c r="E166" i="37"/>
  <c r="F166" i="37"/>
  <c r="A167" i="37"/>
  <c r="I166" i="37"/>
  <c r="A321" i="6"/>
  <c r="F321" i="6" s="1"/>
  <c r="E166" i="6"/>
  <c r="C166" i="6"/>
  <c r="D166" i="6"/>
  <c r="H166" i="6" s="1"/>
  <c r="F166" i="6"/>
  <c r="G166" i="6"/>
  <c r="B166" i="6"/>
  <c r="A167" i="6"/>
  <c r="K320" i="39"/>
  <c r="B320" i="39"/>
  <c r="G320" i="39"/>
  <c r="G320" i="37"/>
  <c r="K320" i="37"/>
  <c r="B320" i="37"/>
  <c r="I165" i="39"/>
  <c r="L165" i="39"/>
  <c r="K165" i="39"/>
  <c r="O165" i="39"/>
  <c r="M165" i="39" s="1"/>
  <c r="F166" i="39"/>
  <c r="D166" i="39"/>
  <c r="H166" i="39" s="1"/>
  <c r="B166" i="39"/>
  <c r="A167" i="39"/>
  <c r="C166" i="39"/>
  <c r="E166" i="39"/>
  <c r="G166" i="39"/>
  <c r="A321" i="39"/>
  <c r="F321" i="39" s="1"/>
  <c r="K320" i="6"/>
  <c r="G320" i="6"/>
  <c r="B320" i="6"/>
  <c r="C167" i="39" l="1"/>
  <c r="D167" i="39"/>
  <c r="H167" i="39" s="1"/>
  <c r="A322" i="39"/>
  <c r="F322" i="39" s="1"/>
  <c r="G167" i="39"/>
  <c r="A168" i="39"/>
  <c r="A169" i="39" s="1"/>
  <c r="F167" i="39"/>
  <c r="B167" i="39"/>
  <c r="E167" i="39"/>
  <c r="I166" i="38"/>
  <c r="L166" i="38"/>
  <c r="K166" i="38"/>
  <c r="O166" i="38"/>
  <c r="M166" i="38" s="1"/>
  <c r="K166" i="6"/>
  <c r="L166" i="6"/>
  <c r="O166" i="6"/>
  <c r="M166" i="6" s="1"/>
  <c r="K321" i="6"/>
  <c r="B321" i="6"/>
  <c r="G321" i="6"/>
  <c r="G321" i="38"/>
  <c r="K321" i="38"/>
  <c r="B321" i="38"/>
  <c r="D167" i="38"/>
  <c r="H167" i="38" s="1"/>
  <c r="E167" i="38"/>
  <c r="B167" i="38"/>
  <c r="C167" i="38"/>
  <c r="G167" i="38"/>
  <c r="F167" i="38"/>
  <c r="A168" i="38"/>
  <c r="A169" i="38" s="1"/>
  <c r="A322" i="38"/>
  <c r="F322" i="38" s="1"/>
  <c r="A322" i="37"/>
  <c r="F322" i="37" s="1"/>
  <c r="E167" i="37"/>
  <c r="I167" i="37" s="1"/>
  <c r="G167" i="37"/>
  <c r="A168" i="37"/>
  <c r="A169" i="37" s="1"/>
  <c r="B167" i="37"/>
  <c r="F167" i="37"/>
  <c r="C167" i="37"/>
  <c r="D167" i="37"/>
  <c r="H167" i="37" s="1"/>
  <c r="L166" i="37"/>
  <c r="K166" i="37"/>
  <c r="K321" i="37"/>
  <c r="B321" i="37"/>
  <c r="G321" i="37"/>
  <c r="L320" i="37"/>
  <c r="L320" i="38"/>
  <c r="L320" i="39"/>
  <c r="I166" i="6"/>
  <c r="L320" i="6"/>
  <c r="A322" i="6"/>
  <c r="F322" i="6" s="1"/>
  <c r="E167" i="6"/>
  <c r="B167" i="6"/>
  <c r="D167" i="6"/>
  <c r="H167" i="6" s="1"/>
  <c r="A168" i="6"/>
  <c r="A169" i="6" s="1"/>
  <c r="C167" i="6"/>
  <c r="F167" i="6"/>
  <c r="G167" i="6"/>
  <c r="B321" i="39"/>
  <c r="K321" i="39"/>
  <c r="G321" i="39"/>
  <c r="I166" i="39"/>
  <c r="L166" i="39"/>
  <c r="K166" i="39"/>
  <c r="O166" i="39"/>
  <c r="M166" i="39" s="1"/>
  <c r="L321" i="38" l="1"/>
  <c r="L321" i="6"/>
  <c r="L167" i="6"/>
  <c r="K167" i="6"/>
  <c r="O167" i="6"/>
  <c r="K322" i="6"/>
  <c r="G322" i="6"/>
  <c r="B322" i="6"/>
  <c r="L167" i="37"/>
  <c r="K167" i="37"/>
  <c r="G322" i="37"/>
  <c r="B322" i="37"/>
  <c r="K322" i="37"/>
  <c r="B322" i="38"/>
  <c r="G322" i="38"/>
  <c r="K322" i="38"/>
  <c r="I167" i="39"/>
  <c r="L167" i="39"/>
  <c r="K167" i="39"/>
  <c r="O167" i="39"/>
  <c r="L321" i="39"/>
  <c r="I167" i="38"/>
  <c r="K167" i="38"/>
  <c r="L167" i="38"/>
  <c r="O167" i="38"/>
  <c r="B322" i="39"/>
  <c r="K322" i="39"/>
  <c r="G322" i="39"/>
  <c r="I167" i="6"/>
  <c r="L321" i="37"/>
  <c r="L322" i="38" l="1"/>
  <c r="L322" i="37"/>
  <c r="L322" i="39"/>
  <c r="M167" i="38"/>
  <c r="O168" i="38"/>
  <c r="O169" i="38" s="1"/>
  <c r="O170" i="38" s="1"/>
  <c r="L322" i="6"/>
  <c r="O168" i="6"/>
  <c r="O169" i="6" s="1"/>
  <c r="O170" i="6" s="1"/>
  <c r="M167" i="6"/>
  <c r="K324" i="6"/>
  <c r="M167" i="39"/>
  <c r="O168" i="39"/>
  <c r="O169" i="39" s="1"/>
  <c r="O170" i="39" s="1"/>
  <c r="M170" i="39" l="1"/>
  <c r="O171" i="39"/>
  <c r="L324" i="6"/>
  <c r="J13" i="37" s="1"/>
  <c r="M324" i="6"/>
  <c r="K13" i="37" s="1"/>
  <c r="O171" i="6"/>
  <c r="M170" i="6"/>
  <c r="M170" i="38"/>
  <c r="O171" i="38"/>
  <c r="M171" i="38" l="1"/>
  <c r="O172" i="38"/>
  <c r="M171" i="6"/>
  <c r="O172" i="6"/>
  <c r="K324" i="37"/>
  <c r="M13" i="37"/>
  <c r="L13" i="37"/>
  <c r="J324" i="37"/>
  <c r="M171" i="39"/>
  <c r="O172" i="39"/>
  <c r="O324" i="37" l="1"/>
  <c r="M172" i="39"/>
  <c r="O173" i="39"/>
  <c r="O13" i="37"/>
  <c r="O15" i="37"/>
  <c r="M324" i="37"/>
  <c r="K13" i="38" s="1"/>
  <c r="L324" i="37"/>
  <c r="J13" i="38" s="1"/>
  <c r="M172" i="6"/>
  <c r="O173" i="6"/>
  <c r="M172" i="38"/>
  <c r="O173" i="38"/>
  <c r="M173" i="38" l="1"/>
  <c r="O174" i="38"/>
  <c r="M173" i="6"/>
  <c r="O174" i="6"/>
  <c r="L13" i="38"/>
  <c r="J324" i="38"/>
  <c r="M13" i="38"/>
  <c r="K324" i="38"/>
  <c r="M15" i="37"/>
  <c r="L15" i="37"/>
  <c r="O16" i="37" s="1"/>
  <c r="M173" i="39"/>
  <c r="O174" i="39"/>
  <c r="M174" i="39" l="1"/>
  <c r="O175" i="39"/>
  <c r="M16" i="37"/>
  <c r="L16" i="37"/>
  <c r="O17" i="37" s="1"/>
  <c r="M324" i="38"/>
  <c r="K13" i="39" s="1"/>
  <c r="R324" i="38"/>
  <c r="L324" i="38"/>
  <c r="J13" i="39" s="1"/>
  <c r="P328" i="38"/>
  <c r="O324" i="38"/>
  <c r="O328" i="38"/>
  <c r="O13" i="38"/>
  <c r="M174" i="6"/>
  <c r="O175" i="6"/>
  <c r="M174" i="38"/>
  <c r="O175" i="38"/>
  <c r="M175" i="38" l="1"/>
  <c r="O176" i="38"/>
  <c r="M175" i="6"/>
  <c r="O176" i="6"/>
  <c r="Q328" i="38"/>
  <c r="J324" i="39"/>
  <c r="L13" i="39"/>
  <c r="M13" i="39"/>
  <c r="L14" i="39" s="1"/>
  <c r="K324" i="39"/>
  <c r="M17" i="37"/>
  <c r="L17" i="37"/>
  <c r="O18" i="37" s="1"/>
  <c r="M175" i="39"/>
  <c r="O176" i="39"/>
  <c r="L324" i="39" l="1"/>
  <c r="M176" i="39"/>
  <c r="O177" i="39"/>
  <c r="M18" i="37"/>
  <c r="L18" i="37"/>
  <c r="O19" i="37" s="1"/>
  <c r="O13" i="39"/>
  <c r="M176" i="6"/>
  <c r="O177" i="6"/>
  <c r="M176" i="38"/>
  <c r="O177" i="38"/>
  <c r="Q331" i="39" a="1"/>
  <c r="Q331" i="39" l="1"/>
  <c r="Q333" i="39"/>
  <c r="M177" i="38"/>
  <c r="O178" i="38"/>
  <c r="O178" i="6"/>
  <c r="M177" i="6"/>
  <c r="M19" i="37"/>
  <c r="L19" i="37"/>
  <c r="O20" i="37" s="1"/>
  <c r="M177" i="39"/>
  <c r="O178" i="39"/>
  <c r="R333" i="39" a="1"/>
  <c r="R333" i="39" l="1"/>
  <c r="M178" i="39"/>
  <c r="O179" i="39"/>
  <c r="M20" i="37"/>
  <c r="L20" i="37"/>
  <c r="O21" i="37" s="1"/>
  <c r="O179" i="6"/>
  <c r="M178" i="6"/>
  <c r="M178" i="38"/>
  <c r="O179" i="38"/>
  <c r="M179" i="38" l="1"/>
  <c r="O180" i="38"/>
  <c r="M179" i="6"/>
  <c r="O180" i="6"/>
  <c r="M21" i="37"/>
  <c r="L21" i="37"/>
  <c r="O22" i="37" s="1"/>
  <c r="M179" i="39"/>
  <c r="O180" i="39"/>
  <c r="M180" i="39" l="1"/>
  <c r="O181" i="39"/>
  <c r="M22" i="37"/>
  <c r="L22" i="37"/>
  <c r="O23" i="37" s="1"/>
  <c r="M180" i="6"/>
  <c r="O181" i="6"/>
  <c r="M180" i="38"/>
  <c r="O181" i="38"/>
  <c r="M181" i="38" l="1"/>
  <c r="O182" i="38"/>
  <c r="M181" i="6"/>
  <c r="O182" i="6"/>
  <c r="M23" i="37"/>
  <c r="L23" i="37"/>
  <c r="O24" i="37" s="1"/>
  <c r="M181" i="39"/>
  <c r="O182" i="39"/>
  <c r="M182" i="39" l="1"/>
  <c r="O183" i="39"/>
  <c r="M24" i="37"/>
  <c r="L24" i="37"/>
  <c r="O25" i="37" s="1"/>
  <c r="M182" i="6"/>
  <c r="O183" i="6"/>
  <c r="M182" i="38"/>
  <c r="O183" i="38"/>
  <c r="M183" i="38" l="1"/>
  <c r="O184" i="38"/>
  <c r="M183" i="6"/>
  <c r="O184" i="6"/>
  <c r="M25" i="37"/>
  <c r="L25" i="37"/>
  <c r="O26" i="37" s="1"/>
  <c r="M183" i="39"/>
  <c r="O184" i="39"/>
  <c r="M184" i="39" l="1"/>
  <c r="O185" i="39"/>
  <c r="M26" i="37"/>
  <c r="L26" i="37"/>
  <c r="O27" i="37" s="1"/>
  <c r="M184" i="6"/>
  <c r="O185" i="6"/>
  <c r="M184" i="38"/>
  <c r="O185" i="38"/>
  <c r="M185" i="38" l="1"/>
  <c r="O186" i="38"/>
  <c r="M185" i="6"/>
  <c r="O186" i="6"/>
  <c r="M27" i="37"/>
  <c r="L27" i="37"/>
  <c r="O28" i="37" s="1"/>
  <c r="M185" i="39"/>
  <c r="O186" i="39"/>
  <c r="M186" i="39" l="1"/>
  <c r="O187" i="39"/>
  <c r="M28" i="37"/>
  <c r="L28" i="37"/>
  <c r="O29" i="37" s="1"/>
  <c r="M186" i="6"/>
  <c r="O187" i="6"/>
  <c r="M186" i="38"/>
  <c r="O187" i="38"/>
  <c r="M187" i="38" l="1"/>
  <c r="O188" i="38"/>
  <c r="M187" i="6"/>
  <c r="O188" i="6"/>
  <c r="M29" i="37"/>
  <c r="L29" i="37"/>
  <c r="O30" i="37" s="1"/>
  <c r="M187" i="39"/>
  <c r="O188" i="39"/>
  <c r="M188" i="39" l="1"/>
  <c r="O189" i="39"/>
  <c r="M30" i="37"/>
  <c r="L30" i="37"/>
  <c r="O31" i="37" s="1"/>
  <c r="M188" i="6"/>
  <c r="O189" i="6"/>
  <c r="M188" i="38"/>
  <c r="O189" i="38"/>
  <c r="M189" i="38" l="1"/>
  <c r="O190" i="38"/>
  <c r="M189" i="6"/>
  <c r="O190" i="6"/>
  <c r="M31" i="37"/>
  <c r="L31" i="37"/>
  <c r="O32" i="37" s="1"/>
  <c r="M189" i="39"/>
  <c r="O190" i="39"/>
  <c r="M190" i="39" l="1"/>
  <c r="O191" i="39"/>
  <c r="M32" i="37"/>
  <c r="L32" i="37"/>
  <c r="O33" i="37" s="1"/>
  <c r="M190" i="6"/>
  <c r="O191" i="6"/>
  <c r="M190" i="38"/>
  <c r="O191" i="38"/>
  <c r="M33" i="37" l="1"/>
  <c r="L33" i="37"/>
  <c r="O34" i="37" s="1"/>
  <c r="M191" i="39"/>
  <c r="O192" i="39"/>
  <c r="M191" i="38"/>
  <c r="O192" i="38"/>
  <c r="M191" i="6"/>
  <c r="O192" i="6"/>
  <c r="M192" i="6" l="1"/>
  <c r="O193" i="6"/>
  <c r="M192" i="38"/>
  <c r="O193" i="38"/>
  <c r="M192" i="39"/>
  <c r="O193" i="39"/>
  <c r="M34" i="37"/>
  <c r="L34" i="37"/>
  <c r="O35" i="37" s="1"/>
  <c r="M193" i="39" l="1"/>
  <c r="O194" i="39"/>
  <c r="M193" i="38"/>
  <c r="O194" i="38"/>
  <c r="M193" i="6"/>
  <c r="O194" i="6"/>
  <c r="M35" i="37"/>
  <c r="L35" i="37"/>
  <c r="O36" i="37" s="1"/>
  <c r="M36" i="37" l="1"/>
  <c r="L36" i="37"/>
  <c r="O37" i="37" s="1"/>
  <c r="M194" i="6"/>
  <c r="O195" i="6"/>
  <c r="M194" i="38"/>
  <c r="O195" i="38"/>
  <c r="M194" i="39"/>
  <c r="O195" i="39"/>
  <c r="M195" i="6" l="1"/>
  <c r="O196" i="6"/>
  <c r="M37" i="37"/>
  <c r="L37" i="37"/>
  <c r="O38" i="37" s="1"/>
  <c r="M195" i="39"/>
  <c r="O196" i="39"/>
  <c r="M195" i="38"/>
  <c r="O196" i="38"/>
  <c r="M38" i="37" l="1"/>
  <c r="L38" i="37"/>
  <c r="O39" i="37" s="1"/>
  <c r="M196" i="39"/>
  <c r="O197" i="39"/>
  <c r="M196" i="6"/>
  <c r="O197" i="6"/>
  <c r="M196" i="38"/>
  <c r="O197" i="38"/>
  <c r="M197" i="6" l="1"/>
  <c r="O198" i="6"/>
  <c r="M197" i="39"/>
  <c r="O198" i="39"/>
  <c r="M39" i="37"/>
  <c r="L39" i="37"/>
  <c r="O40" i="37" s="1"/>
  <c r="M197" i="38"/>
  <c r="O198" i="38"/>
  <c r="M198" i="39" l="1"/>
  <c r="O199" i="39"/>
  <c r="M198" i="38"/>
  <c r="O199" i="38"/>
  <c r="M198" i="6"/>
  <c r="O199" i="6"/>
  <c r="M40" i="37"/>
  <c r="L40" i="37"/>
  <c r="O41" i="37" s="1"/>
  <c r="M199" i="38" l="1"/>
  <c r="O200" i="38"/>
  <c r="M41" i="37"/>
  <c r="L41" i="37"/>
  <c r="O42" i="37" s="1"/>
  <c r="M199" i="6"/>
  <c r="O200" i="6"/>
  <c r="M199" i="39"/>
  <c r="O200" i="39"/>
  <c r="M200" i="6" l="1"/>
  <c r="O201" i="6"/>
  <c r="M42" i="37"/>
  <c r="L42" i="37"/>
  <c r="O43" i="37" s="1"/>
  <c r="M200" i="38"/>
  <c r="O201" i="38"/>
  <c r="M200" i="39"/>
  <c r="O201" i="39"/>
  <c r="M201" i="39" l="1"/>
  <c r="O202" i="39"/>
  <c r="M201" i="38"/>
  <c r="O202" i="38"/>
  <c r="M43" i="37"/>
  <c r="L43" i="37"/>
  <c r="O44" i="37" s="1"/>
  <c r="M201" i="6"/>
  <c r="O202" i="6"/>
  <c r="M44" i="37" l="1"/>
  <c r="L44" i="37"/>
  <c r="O45" i="37" s="1"/>
  <c r="M202" i="38"/>
  <c r="O203" i="38"/>
  <c r="M202" i="39"/>
  <c r="O203" i="39"/>
  <c r="M202" i="6"/>
  <c r="O203" i="6"/>
  <c r="M203" i="6" l="1"/>
  <c r="O204" i="6"/>
  <c r="M203" i="39"/>
  <c r="O204" i="39"/>
  <c r="M203" i="38"/>
  <c r="O204" i="38"/>
  <c r="M45" i="37"/>
  <c r="L45" i="37"/>
  <c r="O46" i="37" l="1"/>
  <c r="M204" i="38"/>
  <c r="O205" i="38"/>
  <c r="M46" i="37"/>
  <c r="L46" i="37"/>
  <c r="M204" i="39"/>
  <c r="O205" i="39"/>
  <c r="M204" i="6"/>
  <c r="O205" i="6"/>
  <c r="O47" i="37" l="1"/>
  <c r="M47" i="37" s="1"/>
  <c r="M205" i="6"/>
  <c r="O206" i="6"/>
  <c r="M205" i="38"/>
  <c r="O206" i="38"/>
  <c r="M205" i="39"/>
  <c r="O206" i="39"/>
  <c r="L47" i="37" l="1"/>
  <c r="O48" i="37"/>
  <c r="M206" i="39"/>
  <c r="O207" i="39"/>
  <c r="M206" i="6"/>
  <c r="O207" i="6"/>
  <c r="M48" i="37"/>
  <c r="L48" i="37"/>
  <c r="M206" i="38"/>
  <c r="O207" i="38"/>
  <c r="O49" i="37" l="1"/>
  <c r="M207" i="38"/>
  <c r="O208" i="38"/>
  <c r="M207" i="6"/>
  <c r="O208" i="6"/>
  <c r="L208" i="6" s="1"/>
  <c r="M49" i="37"/>
  <c r="L49" i="37"/>
  <c r="M207" i="39"/>
  <c r="O208" i="39"/>
  <c r="O50" i="37" l="1"/>
  <c r="M50" i="37" s="1"/>
  <c r="M208" i="39"/>
  <c r="O209" i="39"/>
  <c r="M208" i="6"/>
  <c r="O209" i="6"/>
  <c r="L209" i="6" s="1"/>
  <c r="M208" i="38"/>
  <c r="O209" i="38"/>
  <c r="L50" i="37" l="1"/>
  <c r="O51" i="37"/>
  <c r="M51" i="37" s="1"/>
  <c r="M209" i="6"/>
  <c r="O210" i="6"/>
  <c r="M209" i="39"/>
  <c r="O210" i="39"/>
  <c r="M209" i="38"/>
  <c r="O210" i="38"/>
  <c r="L51" i="37" l="1"/>
  <c r="O52" i="37"/>
  <c r="M52" i="37" s="1"/>
  <c r="M210" i="6"/>
  <c r="O211" i="6"/>
  <c r="M210" i="39"/>
  <c r="O211" i="39"/>
  <c r="M210" i="38"/>
  <c r="O211" i="38"/>
  <c r="L52" i="37" l="1"/>
  <c r="O53" i="37"/>
  <c r="M211" i="38"/>
  <c r="O212" i="38"/>
  <c r="M211" i="39"/>
  <c r="O212" i="39"/>
  <c r="M53" i="37"/>
  <c r="L53" i="37"/>
  <c r="M211" i="6"/>
  <c r="O212" i="6"/>
  <c r="O54" i="37" l="1"/>
  <c r="M212" i="39"/>
  <c r="O213" i="39"/>
  <c r="M54" i="37"/>
  <c r="L54" i="37"/>
  <c r="M212" i="38"/>
  <c r="O213" i="38"/>
  <c r="M212" i="6"/>
  <c r="O213" i="6"/>
  <c r="O55" i="37" l="1"/>
  <c r="M213" i="38"/>
  <c r="O214" i="38"/>
  <c r="M213" i="6"/>
  <c r="O214" i="6"/>
  <c r="M55" i="37"/>
  <c r="L55" i="37"/>
  <c r="M213" i="39"/>
  <c r="O214" i="39"/>
  <c r="O56" i="37" l="1"/>
  <c r="M56" i="37" s="1"/>
  <c r="L56" i="37"/>
  <c r="M214" i="6"/>
  <c r="O215" i="6"/>
  <c r="M214" i="39"/>
  <c r="O215" i="39"/>
  <c r="M214" i="38"/>
  <c r="O215" i="38"/>
  <c r="O57" i="37" l="1"/>
  <c r="M57" i="37" s="1"/>
  <c r="M215" i="6"/>
  <c r="O216" i="6"/>
  <c r="M215" i="38"/>
  <c r="O216" i="38"/>
  <c r="M215" i="39"/>
  <c r="O216" i="39"/>
  <c r="L57" i="37" l="1"/>
  <c r="O58" i="37"/>
  <c r="M216" i="38"/>
  <c r="O217" i="38"/>
  <c r="M216" i="39"/>
  <c r="O217" i="39"/>
  <c r="M58" i="37"/>
  <c r="L58" i="37"/>
  <c r="M216" i="6"/>
  <c r="O217" i="6"/>
  <c r="O59" i="37" l="1"/>
  <c r="M217" i="6"/>
  <c r="O218" i="6"/>
  <c r="M217" i="39"/>
  <c r="O218" i="39"/>
  <c r="M217" i="38"/>
  <c r="O218" i="38"/>
  <c r="M59" i="37"/>
  <c r="L59" i="37"/>
  <c r="O60" i="37" l="1"/>
  <c r="M218" i="39"/>
  <c r="O219" i="39"/>
  <c r="M218" i="38"/>
  <c r="O219" i="38"/>
  <c r="M218" i="6"/>
  <c r="O219" i="6"/>
  <c r="M60" i="37"/>
  <c r="L60" i="37"/>
  <c r="O61" i="37" l="1"/>
  <c r="M219" i="38"/>
  <c r="O220" i="38"/>
  <c r="M61" i="37"/>
  <c r="L61" i="37"/>
  <c r="M219" i="39"/>
  <c r="O220" i="39"/>
  <c r="M219" i="6"/>
  <c r="O220" i="6"/>
  <c r="O62" i="37" l="1"/>
  <c r="M220" i="39"/>
  <c r="O221" i="39"/>
  <c r="M62" i="37"/>
  <c r="L62" i="37"/>
  <c r="M220" i="6"/>
  <c r="O221" i="6"/>
  <c r="M220" i="38"/>
  <c r="O221" i="38"/>
  <c r="O63" i="37" l="1"/>
  <c r="M221" i="6"/>
  <c r="O222" i="6"/>
  <c r="M63" i="37"/>
  <c r="L63" i="37"/>
  <c r="M221" i="38"/>
  <c r="O222" i="38"/>
  <c r="M221" i="39"/>
  <c r="O222" i="39"/>
  <c r="O64" i="37" l="1"/>
  <c r="L64" i="37" s="1"/>
  <c r="M222" i="39"/>
  <c r="O223" i="39"/>
  <c r="M222" i="38"/>
  <c r="O223" i="38"/>
  <c r="M222" i="6"/>
  <c r="O223" i="6"/>
  <c r="M64" i="37" l="1"/>
  <c r="O65" i="37"/>
  <c r="M223" i="38"/>
  <c r="O224" i="38"/>
  <c r="M65" i="37"/>
  <c r="L65" i="37"/>
  <c r="M223" i="6"/>
  <c r="O224" i="6"/>
  <c r="M223" i="39"/>
  <c r="O224" i="39"/>
  <c r="O66" i="37" l="1"/>
  <c r="M66" i="37" s="1"/>
  <c r="M224" i="39"/>
  <c r="O225" i="39"/>
  <c r="M224" i="6"/>
  <c r="O225" i="6"/>
  <c r="M224" i="38"/>
  <c r="O225" i="38"/>
  <c r="L66" i="37" l="1"/>
  <c r="O67" i="37"/>
  <c r="M225" i="38"/>
  <c r="O226" i="38"/>
  <c r="M225" i="39"/>
  <c r="O226" i="39"/>
  <c r="M225" i="6"/>
  <c r="O226" i="6"/>
  <c r="M67" i="37"/>
  <c r="L67" i="37"/>
  <c r="O68" i="37" l="1"/>
  <c r="M68" i="37" s="1"/>
  <c r="M226" i="6"/>
  <c r="O227" i="6"/>
  <c r="M226" i="39"/>
  <c r="O227" i="39"/>
  <c r="M226" i="38"/>
  <c r="O227" i="38"/>
  <c r="L68" i="37" l="1"/>
  <c r="O69" i="37"/>
  <c r="M227" i="39"/>
  <c r="O228" i="39"/>
  <c r="M227" i="6"/>
  <c r="O228" i="6"/>
  <c r="L228" i="6" s="1"/>
  <c r="M227" i="38"/>
  <c r="O228" i="38"/>
  <c r="M69" i="37"/>
  <c r="L69" i="37"/>
  <c r="O70" i="37" l="1"/>
  <c r="M228" i="6"/>
  <c r="O229" i="6"/>
  <c r="L229" i="6" s="1"/>
  <c r="M228" i="38"/>
  <c r="O229" i="38"/>
  <c r="M228" i="39"/>
  <c r="O229" i="39"/>
  <c r="M70" i="37"/>
  <c r="L70" i="37"/>
  <c r="O71" i="37" l="1"/>
  <c r="M229" i="39"/>
  <c r="O230" i="39"/>
  <c r="M71" i="37"/>
  <c r="L71" i="37"/>
  <c r="M229" i="38"/>
  <c r="O230" i="38"/>
  <c r="M229" i="6"/>
  <c r="O230" i="6"/>
  <c r="O72" i="37" l="1"/>
  <c r="M230" i="38"/>
  <c r="O231" i="38"/>
  <c r="M72" i="37"/>
  <c r="L72" i="37"/>
  <c r="M230" i="6"/>
  <c r="O231" i="6"/>
  <c r="M230" i="39"/>
  <c r="O231" i="39"/>
  <c r="O73" i="37" l="1"/>
  <c r="M73" i="37"/>
  <c r="L73" i="37"/>
  <c r="M231" i="39"/>
  <c r="O232" i="39"/>
  <c r="M231" i="6"/>
  <c r="O232" i="6"/>
  <c r="M231" i="38"/>
  <c r="O232" i="38"/>
  <c r="O74" i="37" l="1"/>
  <c r="M232" i="38"/>
  <c r="O233" i="38"/>
  <c r="M232" i="39"/>
  <c r="O233" i="39"/>
  <c r="M232" i="6"/>
  <c r="O233" i="6"/>
  <c r="M74" i="37"/>
  <c r="L74" i="37"/>
  <c r="O75" i="37" l="1"/>
  <c r="M233" i="39"/>
  <c r="O234" i="39"/>
  <c r="M233" i="6"/>
  <c r="O234" i="6"/>
  <c r="M75" i="37"/>
  <c r="L75" i="37"/>
  <c r="M233" i="38"/>
  <c r="O234" i="38"/>
  <c r="O76" i="37" l="1"/>
  <c r="M234" i="6"/>
  <c r="O235" i="6"/>
  <c r="M234" i="38"/>
  <c r="O235" i="38"/>
  <c r="M76" i="37"/>
  <c r="L76" i="37"/>
  <c r="M234" i="39"/>
  <c r="O235" i="39"/>
  <c r="O77" i="37" l="1"/>
  <c r="M235" i="39"/>
  <c r="O236" i="39"/>
  <c r="M235" i="38"/>
  <c r="O236" i="38"/>
  <c r="M77" i="37"/>
  <c r="L77" i="37"/>
  <c r="M235" i="6"/>
  <c r="O236" i="6"/>
  <c r="O78" i="37" l="1"/>
  <c r="M78" i="37" s="1"/>
  <c r="M236" i="38"/>
  <c r="O237" i="38"/>
  <c r="L78" i="37"/>
  <c r="M236" i="6"/>
  <c r="O237" i="6"/>
  <c r="M236" i="39"/>
  <c r="O237" i="39"/>
  <c r="O79" i="37" l="1"/>
  <c r="M79" i="37"/>
  <c r="L79" i="37"/>
  <c r="M237" i="6"/>
  <c r="O238" i="6"/>
  <c r="M237" i="39"/>
  <c r="O238" i="39"/>
  <c r="M237" i="38"/>
  <c r="O238" i="38"/>
  <c r="O80" i="37" l="1"/>
  <c r="M238" i="6"/>
  <c r="O239" i="6"/>
  <c r="M238" i="38"/>
  <c r="O239" i="38"/>
  <c r="M80" i="37"/>
  <c r="L80" i="37"/>
  <c r="M238" i="39"/>
  <c r="O239" i="39"/>
  <c r="O81" i="37" l="1"/>
  <c r="M239" i="39"/>
  <c r="O240" i="39"/>
  <c r="M81" i="37"/>
  <c r="L81" i="37"/>
  <c r="M239" i="38"/>
  <c r="O240" i="38"/>
  <c r="M239" i="6"/>
  <c r="O240" i="6"/>
  <c r="O82" i="37" l="1"/>
  <c r="M82" i="37"/>
  <c r="L82" i="37"/>
  <c r="M240" i="6"/>
  <c r="O241" i="6"/>
  <c r="M240" i="39"/>
  <c r="O241" i="39"/>
  <c r="M240" i="38"/>
  <c r="O241" i="38"/>
  <c r="O83" i="37" l="1"/>
  <c r="M241" i="6"/>
  <c r="O242" i="6"/>
  <c r="M241" i="38"/>
  <c r="O242" i="38"/>
  <c r="M83" i="37"/>
  <c r="L83" i="37"/>
  <c r="M241" i="39"/>
  <c r="O242" i="39"/>
  <c r="O84" i="37" l="1"/>
  <c r="M242" i="39"/>
  <c r="O243" i="39"/>
  <c r="M242" i="38"/>
  <c r="O243" i="38"/>
  <c r="M242" i="6"/>
  <c r="O243" i="6"/>
  <c r="M84" i="37"/>
  <c r="L84" i="37"/>
  <c r="O85" i="37" l="1"/>
  <c r="M243" i="6"/>
  <c r="O244" i="6"/>
  <c r="M243" i="38"/>
  <c r="O244" i="38"/>
  <c r="M243" i="39"/>
  <c r="O244" i="39"/>
  <c r="M85" i="37"/>
  <c r="L85" i="37"/>
  <c r="O86" i="37" l="1"/>
  <c r="M86" i="37" s="1"/>
  <c r="M244" i="38"/>
  <c r="O245" i="38"/>
  <c r="M244" i="6"/>
  <c r="O245" i="6"/>
  <c r="M244" i="39"/>
  <c r="O245" i="39"/>
  <c r="L86" i="37" l="1"/>
  <c r="O87" i="37"/>
  <c r="M245" i="38"/>
  <c r="O246" i="38"/>
  <c r="M245" i="39"/>
  <c r="O246" i="39"/>
  <c r="M87" i="37"/>
  <c r="L87" i="37"/>
  <c r="M245" i="6"/>
  <c r="O246" i="6"/>
  <c r="O88" i="37" l="1"/>
  <c r="M88" i="37" s="1"/>
  <c r="L88" i="37"/>
  <c r="M246" i="39"/>
  <c r="O247" i="39"/>
  <c r="M246" i="6"/>
  <c r="O247" i="6"/>
  <c r="M246" i="38"/>
  <c r="O247" i="38"/>
  <c r="O89" i="37" l="1"/>
  <c r="M247" i="39"/>
  <c r="O248" i="39"/>
  <c r="M247" i="38"/>
  <c r="O248" i="38"/>
  <c r="M247" i="6"/>
  <c r="O248" i="6"/>
  <c r="L248" i="6" s="1"/>
  <c r="M89" i="37"/>
  <c r="L89" i="37"/>
  <c r="O90" i="37" l="1"/>
  <c r="M90" i="37"/>
  <c r="L90" i="37"/>
  <c r="M248" i="38"/>
  <c r="O249" i="38"/>
  <c r="M248" i="39"/>
  <c r="O249" i="39"/>
  <c r="M248" i="6"/>
  <c r="O249" i="6"/>
  <c r="L249" i="6" s="1"/>
  <c r="O91" i="37" l="1"/>
  <c r="M249" i="38"/>
  <c r="O250" i="38"/>
  <c r="M249" i="6"/>
  <c r="O250" i="6"/>
  <c r="M249" i="39"/>
  <c r="O250" i="39"/>
  <c r="M91" i="37"/>
  <c r="L91" i="37"/>
  <c r="O92" i="37" l="1"/>
  <c r="M92" i="37" s="1"/>
  <c r="L92" i="37"/>
  <c r="O93" i="37" s="1"/>
  <c r="M250" i="6"/>
  <c r="O251" i="6"/>
  <c r="M250" i="39"/>
  <c r="O251" i="39"/>
  <c r="M250" i="38"/>
  <c r="O251" i="38"/>
  <c r="M251" i="6" l="1"/>
  <c r="O252" i="6"/>
  <c r="M251" i="38"/>
  <c r="O252" i="38"/>
  <c r="M251" i="39"/>
  <c r="O252" i="39"/>
  <c r="M93" i="37"/>
  <c r="O94" i="37"/>
  <c r="M94" i="37" l="1"/>
  <c r="O95" i="37"/>
  <c r="M252" i="38"/>
  <c r="O253" i="38"/>
  <c r="M252" i="39"/>
  <c r="O253" i="39"/>
  <c r="M252" i="6"/>
  <c r="O253" i="6"/>
  <c r="M253" i="38" l="1"/>
  <c r="O254" i="38"/>
  <c r="M253" i="6"/>
  <c r="O254" i="6"/>
  <c r="M95" i="37"/>
  <c r="O96" i="37"/>
  <c r="M253" i="39"/>
  <c r="O254" i="39"/>
  <c r="M254" i="6" l="1"/>
  <c r="O255" i="6"/>
  <c r="M96" i="37"/>
  <c r="O97" i="37"/>
  <c r="M254" i="39"/>
  <c r="O255" i="39"/>
  <c r="M254" i="38"/>
  <c r="O255" i="38"/>
  <c r="M255" i="39" l="1"/>
  <c r="O256" i="39"/>
  <c r="M97" i="37"/>
  <c r="O98" i="37"/>
  <c r="M255" i="6"/>
  <c r="O256" i="6"/>
  <c r="M255" i="38"/>
  <c r="O256" i="38"/>
  <c r="M98" i="37" l="1"/>
  <c r="O99" i="37"/>
  <c r="M256" i="38"/>
  <c r="O257" i="38"/>
  <c r="M256" i="6"/>
  <c r="O257" i="6"/>
  <c r="M256" i="39"/>
  <c r="O257" i="39"/>
  <c r="M257" i="38" l="1"/>
  <c r="O258" i="38"/>
  <c r="M257" i="39"/>
  <c r="O258" i="39"/>
  <c r="M257" i="6"/>
  <c r="O258" i="6"/>
  <c r="M99" i="37"/>
  <c r="O100" i="37"/>
  <c r="M100" i="37" l="1"/>
  <c r="O101" i="37"/>
  <c r="M258" i="6"/>
  <c r="O259" i="6"/>
  <c r="M258" i="39"/>
  <c r="O259" i="39"/>
  <c r="M258" i="38"/>
  <c r="O259" i="38"/>
  <c r="M259" i="6" l="1"/>
  <c r="O260" i="6"/>
  <c r="M101" i="37"/>
  <c r="O102" i="37"/>
  <c r="M259" i="38"/>
  <c r="O260" i="38"/>
  <c r="M259" i="39"/>
  <c r="O260" i="39"/>
  <c r="M102" i="37" l="1"/>
  <c r="O103" i="37"/>
  <c r="M260" i="38"/>
  <c r="O261" i="38"/>
  <c r="M260" i="6"/>
  <c r="O261" i="6"/>
  <c r="M260" i="39"/>
  <c r="O261" i="39"/>
  <c r="M261" i="38" l="1"/>
  <c r="O262" i="38"/>
  <c r="M261" i="39"/>
  <c r="O262" i="39"/>
  <c r="M103" i="37"/>
  <c r="O104" i="37"/>
  <c r="M261" i="6"/>
  <c r="O262" i="6"/>
  <c r="M104" i="37" l="1"/>
  <c r="O105" i="37"/>
  <c r="M262" i="39"/>
  <c r="O263" i="39"/>
  <c r="M262" i="6"/>
  <c r="O263" i="6"/>
  <c r="M262" i="38"/>
  <c r="O263" i="38"/>
  <c r="M263" i="39" l="1"/>
  <c r="O264" i="39"/>
  <c r="M263" i="6"/>
  <c r="O264" i="6"/>
  <c r="M105" i="37"/>
  <c r="O106" i="37"/>
  <c r="M263" i="38"/>
  <c r="O264" i="38"/>
  <c r="M264" i="6" l="1"/>
  <c r="O265" i="6"/>
  <c r="M264" i="38"/>
  <c r="O265" i="38"/>
  <c r="M106" i="37"/>
  <c r="O107" i="37"/>
  <c r="M264" i="39"/>
  <c r="O265" i="39"/>
  <c r="M265" i="38" l="1"/>
  <c r="O266" i="38"/>
  <c r="M265" i="39"/>
  <c r="O266" i="39"/>
  <c r="M265" i="6"/>
  <c r="O266" i="6"/>
  <c r="M107" i="37"/>
  <c r="O108" i="37"/>
  <c r="M266" i="6" l="1"/>
  <c r="O267" i="6"/>
  <c r="M266" i="39"/>
  <c r="O267" i="39"/>
  <c r="M266" i="38"/>
  <c r="O267" i="38"/>
  <c r="M108" i="37"/>
  <c r="O109" i="37"/>
  <c r="M267" i="39" l="1"/>
  <c r="O268" i="39"/>
  <c r="M267" i="38"/>
  <c r="O268" i="38"/>
  <c r="M109" i="37"/>
  <c r="O110" i="37"/>
  <c r="M267" i="6"/>
  <c r="O268" i="6"/>
  <c r="M268" i="38" l="1"/>
  <c r="O269" i="38"/>
  <c r="M268" i="6"/>
  <c r="O269" i="6"/>
  <c r="M268" i="39"/>
  <c r="O269" i="39"/>
  <c r="M110" i="37"/>
  <c r="O111" i="37"/>
  <c r="M111" i="37" l="1"/>
  <c r="O112" i="37"/>
  <c r="M269" i="39"/>
  <c r="O270" i="39"/>
  <c r="M269" i="6"/>
  <c r="O270" i="6"/>
  <c r="L270" i="6" s="1"/>
  <c r="M269" i="38"/>
  <c r="O270" i="38"/>
  <c r="M270" i="38" l="1"/>
  <c r="O271" i="38"/>
  <c r="M270" i="39"/>
  <c r="O271" i="39"/>
  <c r="M270" i="6"/>
  <c r="O271" i="6"/>
  <c r="L271" i="6" s="1"/>
  <c r="M112" i="37"/>
  <c r="O113" i="37"/>
  <c r="M271" i="39" l="1"/>
  <c r="O272" i="39"/>
  <c r="M113" i="37"/>
  <c r="O114" i="37"/>
  <c r="M271" i="6"/>
  <c r="O272" i="6"/>
  <c r="M271" i="38"/>
  <c r="O272" i="38"/>
  <c r="M114" i="37" l="1"/>
  <c r="O115" i="37"/>
  <c r="M272" i="6"/>
  <c r="O273" i="6"/>
  <c r="M272" i="39"/>
  <c r="O273" i="39"/>
  <c r="M272" i="38"/>
  <c r="O273" i="38"/>
  <c r="M273" i="38" l="1"/>
  <c r="O274" i="38"/>
  <c r="M273" i="6"/>
  <c r="O274" i="6"/>
  <c r="M273" i="39"/>
  <c r="O274" i="39"/>
  <c r="M115" i="37"/>
  <c r="O116" i="37"/>
  <c r="M274" i="6" l="1"/>
  <c r="O275" i="6"/>
  <c r="M116" i="37"/>
  <c r="O117" i="37"/>
  <c r="M274" i="38"/>
  <c r="O275" i="38"/>
  <c r="M274" i="39"/>
  <c r="O275" i="39"/>
  <c r="M117" i="37" l="1"/>
  <c r="O118" i="37"/>
  <c r="M275" i="38"/>
  <c r="O276" i="38"/>
  <c r="M275" i="39"/>
  <c r="O276" i="39"/>
  <c r="M275" i="6"/>
  <c r="O276" i="6"/>
  <c r="M276" i="38" l="1"/>
  <c r="O277" i="38"/>
  <c r="M276" i="39"/>
  <c r="O277" i="39"/>
  <c r="M276" i="6"/>
  <c r="O277" i="6"/>
  <c r="M118" i="37"/>
  <c r="O119" i="37"/>
  <c r="M277" i="6" l="1"/>
  <c r="O278" i="6"/>
  <c r="M277" i="39"/>
  <c r="O278" i="39"/>
  <c r="M119" i="37"/>
  <c r="O120" i="37"/>
  <c r="M277" i="38"/>
  <c r="O278" i="38"/>
  <c r="M278" i="38" l="1"/>
  <c r="O279" i="38"/>
  <c r="M278" i="39"/>
  <c r="O279" i="39"/>
  <c r="M278" i="6"/>
  <c r="O279" i="6"/>
  <c r="M120" i="37"/>
  <c r="O121" i="37"/>
  <c r="M121" i="37" l="1"/>
  <c r="O122" i="37"/>
  <c r="M279" i="39"/>
  <c r="O280" i="39"/>
  <c r="M279" i="6"/>
  <c r="O280" i="6"/>
  <c r="M279" i="38"/>
  <c r="O280" i="38"/>
  <c r="M280" i="39" l="1"/>
  <c r="O281" i="39"/>
  <c r="M122" i="37"/>
  <c r="O123" i="37"/>
  <c r="M280" i="38"/>
  <c r="O281" i="38"/>
  <c r="M280" i="6"/>
  <c r="O281" i="6"/>
  <c r="M123" i="37" l="1"/>
  <c r="O124" i="37"/>
  <c r="M281" i="38"/>
  <c r="O282" i="38"/>
  <c r="M281" i="39"/>
  <c r="O282" i="39"/>
  <c r="M281" i="6"/>
  <c r="O282" i="6"/>
  <c r="M282" i="38" l="1"/>
  <c r="O283" i="38"/>
  <c r="M282" i="6"/>
  <c r="O283" i="6"/>
  <c r="M124" i="37"/>
  <c r="O125" i="37"/>
  <c r="M282" i="39"/>
  <c r="O283" i="39"/>
  <c r="M283" i="39" l="1"/>
  <c r="O284" i="39"/>
  <c r="M283" i="6"/>
  <c r="O284" i="6"/>
  <c r="M125" i="37"/>
  <c r="O126" i="37"/>
  <c r="M283" i="38"/>
  <c r="O284" i="38"/>
  <c r="M284" i="38" l="1"/>
  <c r="O285" i="38"/>
  <c r="M126" i="37"/>
  <c r="O127" i="37"/>
  <c r="M284" i="6"/>
  <c r="O285" i="6"/>
  <c r="M284" i="39"/>
  <c r="O285" i="39"/>
  <c r="M127" i="37" l="1"/>
  <c r="O128" i="37"/>
  <c r="M285" i="6"/>
  <c r="O286" i="6"/>
  <c r="M285" i="38"/>
  <c r="O286" i="38"/>
  <c r="M285" i="39"/>
  <c r="O286" i="39"/>
  <c r="M286" i="6" l="1"/>
  <c r="O287" i="6"/>
  <c r="M286" i="39"/>
  <c r="O287" i="39"/>
  <c r="M128" i="37"/>
  <c r="O129" i="37"/>
  <c r="M286" i="38"/>
  <c r="O287" i="38"/>
  <c r="M287" i="38" l="1"/>
  <c r="O288" i="38"/>
  <c r="M287" i="39"/>
  <c r="O288" i="39"/>
  <c r="M129" i="37"/>
  <c r="O130" i="37"/>
  <c r="M287" i="6"/>
  <c r="O288" i="6"/>
  <c r="M288" i="39" l="1"/>
  <c r="O289" i="39"/>
  <c r="M288" i="6"/>
  <c r="O289" i="6"/>
  <c r="M130" i="37"/>
  <c r="O131" i="37"/>
  <c r="M288" i="38"/>
  <c r="O289" i="38"/>
  <c r="M289" i="6" l="1"/>
  <c r="O290" i="6"/>
  <c r="M131" i="37"/>
  <c r="O132" i="37"/>
  <c r="M289" i="39"/>
  <c r="O290" i="39"/>
  <c r="M289" i="38"/>
  <c r="O290" i="38"/>
  <c r="M290" i="39" l="1"/>
  <c r="O291" i="39"/>
  <c r="M132" i="37"/>
  <c r="O133" i="37"/>
  <c r="M290" i="6"/>
  <c r="O291" i="6"/>
  <c r="M290" i="38"/>
  <c r="O291" i="38"/>
  <c r="M291" i="38" l="1"/>
  <c r="O292" i="38"/>
  <c r="M133" i="37"/>
  <c r="O134" i="37"/>
  <c r="M291" i="39"/>
  <c r="O292" i="39"/>
  <c r="M291" i="6"/>
  <c r="O292" i="6"/>
  <c r="M292" i="6" l="1"/>
  <c r="O293" i="6"/>
  <c r="M292" i="39"/>
  <c r="O293" i="39"/>
  <c r="M134" i="37"/>
  <c r="O135" i="37"/>
  <c r="M292" i="38"/>
  <c r="O293" i="38"/>
  <c r="M293" i="39" l="1"/>
  <c r="O294" i="39"/>
  <c r="M293" i="6"/>
  <c r="O294" i="6"/>
  <c r="M293" i="38"/>
  <c r="O294" i="38"/>
  <c r="M135" i="37"/>
  <c r="O136" i="37"/>
  <c r="M294" i="6" l="1"/>
  <c r="O295" i="6"/>
  <c r="M294" i="39"/>
  <c r="O295" i="39"/>
  <c r="M136" i="37"/>
  <c r="O137" i="37"/>
  <c r="M294" i="38"/>
  <c r="O295" i="38"/>
  <c r="M137" i="37" l="1"/>
  <c r="O138" i="37"/>
  <c r="M295" i="39"/>
  <c r="O296" i="39"/>
  <c r="M295" i="38"/>
  <c r="O296" i="38"/>
  <c r="M295" i="6"/>
  <c r="O296" i="6"/>
  <c r="M296" i="39" l="1"/>
  <c r="O297" i="39"/>
  <c r="M296" i="6"/>
  <c r="O297" i="6"/>
  <c r="M296" i="38"/>
  <c r="O297" i="38"/>
  <c r="M138" i="37"/>
  <c r="O139" i="37"/>
  <c r="M297" i="6" l="1"/>
  <c r="O298" i="6"/>
  <c r="M297" i="38"/>
  <c r="O298" i="38"/>
  <c r="M139" i="37"/>
  <c r="O140" i="37"/>
  <c r="M297" i="39"/>
  <c r="O298" i="39"/>
  <c r="M298" i="39" l="1"/>
  <c r="O299" i="39"/>
  <c r="M298" i="38"/>
  <c r="O299" i="38"/>
  <c r="M140" i="37"/>
  <c r="O141" i="37"/>
  <c r="M298" i="6"/>
  <c r="O299" i="6"/>
  <c r="M299" i="39" l="1"/>
  <c r="O300" i="39"/>
  <c r="M299" i="6"/>
  <c r="O300" i="6"/>
  <c r="M141" i="37"/>
  <c r="O142" i="37"/>
  <c r="M299" i="38"/>
  <c r="O300" i="38"/>
  <c r="M300" i="38" l="1"/>
  <c r="O301" i="38"/>
  <c r="M300" i="6"/>
  <c r="O301" i="6"/>
  <c r="M142" i="37"/>
  <c r="O143" i="37"/>
  <c r="M300" i="39"/>
  <c r="O301" i="39"/>
  <c r="M301" i="6" l="1"/>
  <c r="O302" i="6"/>
  <c r="M143" i="37"/>
  <c r="O144" i="37"/>
  <c r="M301" i="38"/>
  <c r="O302" i="38"/>
  <c r="M301" i="39"/>
  <c r="O302" i="39"/>
  <c r="M302" i="39" l="1"/>
  <c r="O303" i="39"/>
  <c r="M144" i="37"/>
  <c r="O145" i="37"/>
  <c r="M302" i="38"/>
  <c r="O303" i="38"/>
  <c r="M302" i="6"/>
  <c r="O303" i="6"/>
  <c r="M145" i="37" l="1"/>
  <c r="O146" i="37"/>
  <c r="M303" i="38"/>
  <c r="O304" i="38"/>
  <c r="M303" i="39"/>
  <c r="O304" i="39"/>
  <c r="M303" i="6"/>
  <c r="O304" i="6"/>
  <c r="M304" i="38" l="1"/>
  <c r="O305" i="38"/>
  <c r="M304" i="39"/>
  <c r="O305" i="39"/>
  <c r="M146" i="37"/>
  <c r="O147" i="37"/>
  <c r="M304" i="6"/>
  <c r="O305" i="6"/>
  <c r="M305" i="39" l="1"/>
  <c r="O306" i="39"/>
  <c r="M305" i="6"/>
  <c r="O306" i="6"/>
  <c r="M305" i="38"/>
  <c r="O306" i="38"/>
  <c r="M147" i="37"/>
  <c r="O148" i="37"/>
  <c r="M306" i="6" l="1"/>
  <c r="O307" i="6"/>
  <c r="M306" i="39"/>
  <c r="O307" i="39"/>
  <c r="M148" i="37"/>
  <c r="O149" i="37"/>
  <c r="M306" i="38"/>
  <c r="O307" i="38"/>
  <c r="M307" i="39" l="1"/>
  <c r="O308" i="39"/>
  <c r="M307" i="38"/>
  <c r="O308" i="38"/>
  <c r="M307" i="6"/>
  <c r="O308" i="6"/>
  <c r="M149" i="37"/>
  <c r="O150" i="37"/>
  <c r="M308" i="6" l="1"/>
  <c r="O309" i="6"/>
  <c r="M150" i="37"/>
  <c r="O151" i="37"/>
  <c r="M308" i="38"/>
  <c r="O309" i="38"/>
  <c r="M308" i="39"/>
  <c r="O309" i="39"/>
  <c r="M151" i="37" l="1"/>
  <c r="O152" i="37"/>
  <c r="M309" i="38"/>
  <c r="O310" i="38"/>
  <c r="M309" i="6"/>
  <c r="O310" i="6"/>
  <c r="M309" i="39"/>
  <c r="O310" i="39"/>
  <c r="M310" i="38" l="1"/>
  <c r="O311" i="38"/>
  <c r="M310" i="6"/>
  <c r="O311" i="6"/>
  <c r="M152" i="37"/>
  <c r="O153" i="37"/>
  <c r="M310" i="39"/>
  <c r="O311" i="39"/>
  <c r="M311" i="6" l="1"/>
  <c r="O312" i="6"/>
  <c r="M153" i="37"/>
  <c r="O154" i="37"/>
  <c r="M311" i="39"/>
  <c r="O312" i="39"/>
  <c r="M311" i="38"/>
  <c r="O312" i="38"/>
  <c r="M312" i="39" l="1"/>
  <c r="O313" i="39"/>
  <c r="M312" i="38"/>
  <c r="O313" i="38"/>
  <c r="M154" i="37"/>
  <c r="O155" i="37"/>
  <c r="M312" i="6"/>
  <c r="O313" i="6"/>
  <c r="M313" i="6" l="1"/>
  <c r="O314" i="6"/>
  <c r="M313" i="38"/>
  <c r="O314" i="38"/>
  <c r="M313" i="39"/>
  <c r="O314" i="39"/>
  <c r="M155" i="37"/>
  <c r="O156" i="37"/>
  <c r="M156" i="37" l="1"/>
  <c r="O157" i="37"/>
  <c r="M314" i="38"/>
  <c r="O315" i="38"/>
  <c r="M314" i="39"/>
  <c r="O315" i="39"/>
  <c r="M314" i="6"/>
  <c r="O315" i="6"/>
  <c r="M315" i="38" l="1"/>
  <c r="O316" i="38"/>
  <c r="M315" i="6"/>
  <c r="O316" i="6"/>
  <c r="M315" i="39"/>
  <c r="O316" i="39"/>
  <c r="M157" i="37"/>
  <c r="O158" i="37"/>
  <c r="M316" i="6" l="1"/>
  <c r="O317" i="6"/>
  <c r="M158" i="37"/>
  <c r="O159" i="37"/>
  <c r="M316" i="38"/>
  <c r="O317" i="38"/>
  <c r="M316" i="39"/>
  <c r="O317" i="39"/>
  <c r="M159" i="37" l="1"/>
  <c r="O160" i="37"/>
  <c r="M317" i="38"/>
  <c r="O318" i="38"/>
  <c r="M317" i="39"/>
  <c r="O318" i="39"/>
  <c r="M317" i="6"/>
  <c r="O318" i="6"/>
  <c r="M318" i="39" l="1"/>
  <c r="O319" i="39"/>
  <c r="M318" i="6"/>
  <c r="O319" i="6"/>
  <c r="M318" i="38"/>
  <c r="O319" i="38"/>
  <c r="M160" i="37"/>
  <c r="O161" i="37"/>
  <c r="M161" i="37" l="1"/>
  <c r="O162" i="37"/>
  <c r="M319" i="6"/>
  <c r="O320" i="6"/>
  <c r="M319" i="38"/>
  <c r="O320" i="38"/>
  <c r="M319" i="39"/>
  <c r="O320" i="39"/>
  <c r="M320" i="6" l="1"/>
  <c r="O321" i="6"/>
  <c r="M320" i="39"/>
  <c r="O321" i="39"/>
  <c r="M162" i="37"/>
  <c r="O163" i="37"/>
  <c r="M320" i="38"/>
  <c r="O321" i="38"/>
  <c r="M321" i="39" l="1"/>
  <c r="O322" i="39"/>
  <c r="M322" i="39" s="1"/>
  <c r="M163" i="37"/>
  <c r="O164" i="37"/>
  <c r="M321" i="38"/>
  <c r="O322" i="38"/>
  <c r="M322" i="38" s="1"/>
  <c r="M321" i="6"/>
  <c r="O322" i="6"/>
  <c r="M322" i="6" s="1"/>
  <c r="M164" i="37" l="1"/>
  <c r="O165" i="37"/>
  <c r="M165" i="37" l="1"/>
  <c r="O166" i="37"/>
  <c r="M166" i="37" l="1"/>
  <c r="O167" i="37"/>
  <c r="M167" i="37" l="1"/>
  <c r="O168" i="37"/>
  <c r="O169" i="37" s="1"/>
  <c r="O170" i="37" s="1"/>
  <c r="M170" i="37" l="1"/>
  <c r="O171" i="37"/>
  <c r="M171" i="37" l="1"/>
  <c r="O172" i="37"/>
  <c r="M172" i="37" l="1"/>
  <c r="O173" i="37"/>
  <c r="M173" i="37" l="1"/>
  <c r="O174" i="37"/>
  <c r="M174" i="37" l="1"/>
  <c r="O175" i="37"/>
  <c r="L175" i="37" s="1"/>
  <c r="M175" i="37" l="1"/>
  <c r="O176" i="37"/>
  <c r="M176" i="37" l="1"/>
  <c r="L176" i="37"/>
  <c r="O177" i="37"/>
  <c r="M177" i="37" l="1"/>
  <c r="L177" i="37"/>
  <c r="O178" i="37"/>
  <c r="M178" i="37" l="1"/>
  <c r="O179" i="37"/>
  <c r="M179" i="37" l="1"/>
  <c r="O180" i="37"/>
  <c r="M180" i="37" l="1"/>
  <c r="O181" i="37"/>
  <c r="M181" i="37" l="1"/>
  <c r="O182" i="37"/>
  <c r="M182" i="37" l="1"/>
  <c r="O183" i="37"/>
  <c r="M183" i="37" l="1"/>
  <c r="O184" i="37"/>
  <c r="M184" i="37" l="1"/>
  <c r="O185" i="37"/>
  <c r="M185" i="37" l="1"/>
  <c r="O186" i="37"/>
  <c r="M186" i="37" l="1"/>
  <c r="O187" i="37"/>
  <c r="M187" i="37" l="1"/>
  <c r="O188" i="37"/>
  <c r="M188" i="37" l="1"/>
  <c r="O189" i="37"/>
  <c r="M189" i="37" l="1"/>
  <c r="L189" i="37"/>
  <c r="O190" i="37"/>
  <c r="M190" i="37" l="1"/>
  <c r="L190" i="37"/>
  <c r="O191" i="37"/>
  <c r="M191" i="37" l="1"/>
  <c r="O192" i="37"/>
  <c r="M192" i="37" l="1"/>
  <c r="O193" i="37"/>
  <c r="M193" i="37" l="1"/>
  <c r="O194" i="37"/>
  <c r="M194" i="37" l="1"/>
  <c r="O195" i="37"/>
  <c r="M195" i="37" l="1"/>
  <c r="O196" i="37"/>
  <c r="M196" i="37" l="1"/>
  <c r="O197" i="37"/>
  <c r="M197" i="37" l="1"/>
  <c r="O198" i="37"/>
  <c r="M198" i="37" l="1"/>
  <c r="O199" i="37"/>
  <c r="L199" i="37" s="1"/>
  <c r="M199" i="37" l="1"/>
  <c r="O200" i="37"/>
  <c r="L200" i="37" s="1"/>
  <c r="M200" i="37" l="1"/>
  <c r="O201" i="37"/>
  <c r="M201" i="37" l="1"/>
  <c r="O202" i="37"/>
  <c r="M202" i="37" l="1"/>
  <c r="O203" i="37"/>
  <c r="M203" i="37" l="1"/>
  <c r="O204" i="37"/>
  <c r="M204" i="37" l="1"/>
  <c r="O205" i="37"/>
  <c r="M205" i="37" l="1"/>
  <c r="O206" i="37"/>
  <c r="M206" i="37" l="1"/>
  <c r="O207" i="37"/>
  <c r="M207" i="37" l="1"/>
  <c r="O208" i="37"/>
  <c r="M208" i="37" l="1"/>
  <c r="O209" i="37"/>
  <c r="M209" i="37" l="1"/>
  <c r="O210" i="37"/>
  <c r="M210" i="37" l="1"/>
  <c r="O211" i="37"/>
  <c r="M211" i="37" l="1"/>
  <c r="O212" i="37"/>
  <c r="M212" i="37" l="1"/>
  <c r="O213" i="37"/>
  <c r="M213" i="37" l="1"/>
  <c r="O214" i="37"/>
  <c r="M214" i="37" l="1"/>
  <c r="O215" i="37"/>
  <c r="M215" i="37" l="1"/>
  <c r="O216" i="37"/>
  <c r="M216" i="37" l="1"/>
  <c r="O217" i="37"/>
  <c r="M217" i="37" l="1"/>
  <c r="O218" i="37"/>
  <c r="M218" i="37" l="1"/>
  <c r="O219" i="37"/>
  <c r="M219" i="37" l="1"/>
  <c r="L219" i="37"/>
  <c r="O220" i="37"/>
  <c r="M220" i="37" l="1"/>
  <c r="L220" i="37"/>
  <c r="O221" i="37"/>
  <c r="L221" i="37" s="1"/>
  <c r="M221" i="37" l="1"/>
  <c r="O222" i="37"/>
  <c r="M222" i="37" l="1"/>
  <c r="O223" i="37"/>
  <c r="M223" i="37" l="1"/>
  <c r="O224" i="37"/>
  <c r="M224" i="37" l="1"/>
  <c r="O225" i="37"/>
  <c r="M225" i="37" l="1"/>
  <c r="O226" i="37"/>
  <c r="M226" i="37" l="1"/>
  <c r="O227" i="37"/>
  <c r="M227" i="37" l="1"/>
  <c r="O228" i="37"/>
  <c r="M228" i="37" l="1"/>
  <c r="O229" i="37"/>
  <c r="M229" i="37" l="1"/>
  <c r="O230" i="37"/>
  <c r="M230" i="37" l="1"/>
  <c r="O231" i="37"/>
  <c r="M231" i="37" l="1"/>
  <c r="O232" i="37"/>
  <c r="M232" i="37" l="1"/>
  <c r="O233" i="37"/>
  <c r="M233" i="37" l="1"/>
  <c r="O234" i="37"/>
  <c r="M234" i="37" l="1"/>
  <c r="L234" i="37"/>
  <c r="O235" i="37"/>
  <c r="M235" i="37" l="1"/>
  <c r="L235" i="37"/>
  <c r="O236" i="37"/>
  <c r="M236" i="37" l="1"/>
  <c r="L236" i="37"/>
  <c r="O237" i="37"/>
  <c r="M237" i="37" l="1"/>
  <c r="L237" i="37"/>
  <c r="O238" i="37"/>
  <c r="M238" i="37" l="1"/>
  <c r="O239" i="37"/>
  <c r="M239" i="37" l="1"/>
  <c r="O240" i="37"/>
  <c r="L240" i="37" s="1"/>
  <c r="M240" i="37" l="1"/>
  <c r="O241" i="37"/>
  <c r="L241" i="37" s="1"/>
  <c r="M241" i="37" l="1"/>
  <c r="O242" i="37"/>
  <c r="L242" i="37" s="1"/>
  <c r="M242" i="37" l="1"/>
  <c r="O243" i="37"/>
  <c r="M243" i="37" l="1"/>
  <c r="O244" i="37"/>
  <c r="M244" i="37" l="1"/>
  <c r="O245" i="37"/>
  <c r="M245" i="37" l="1"/>
  <c r="O246" i="37"/>
  <c r="M246" i="37" l="1"/>
  <c r="O247" i="37"/>
  <c r="M247" i="37" l="1"/>
  <c r="O248" i="37"/>
  <c r="M248" i="37" l="1"/>
  <c r="O249" i="37"/>
  <c r="M249" i="37" l="1"/>
  <c r="O250" i="37"/>
  <c r="M250" i="37" l="1"/>
  <c r="O251" i="37"/>
  <c r="M251" i="37" l="1"/>
  <c r="O252" i="37"/>
  <c r="M252" i="37" l="1"/>
  <c r="O253" i="37"/>
  <c r="M253" i="37" l="1"/>
  <c r="O254" i="37"/>
  <c r="M254" i="37" l="1"/>
  <c r="O255" i="37"/>
  <c r="M255" i="37" l="1"/>
  <c r="O256" i="37"/>
  <c r="M256" i="37" l="1"/>
  <c r="O257" i="37"/>
  <c r="M257" i="37" l="1"/>
  <c r="O258" i="37"/>
  <c r="M258" i="37" l="1"/>
  <c r="O259" i="37"/>
  <c r="M259" i="37" l="1"/>
  <c r="O260" i="37"/>
  <c r="M260" i="37" l="1"/>
  <c r="O261" i="37"/>
  <c r="M261" i="37" l="1"/>
  <c r="O262" i="37"/>
  <c r="M262" i="37" l="1"/>
  <c r="O263" i="37"/>
  <c r="M263" i="37" l="1"/>
  <c r="O264" i="37"/>
  <c r="M264" i="37" l="1"/>
  <c r="O265" i="37"/>
  <c r="M265" i="37" l="1"/>
  <c r="O266" i="37"/>
  <c r="M266" i="37" l="1"/>
  <c r="O267" i="37"/>
  <c r="M267" i="37" l="1"/>
  <c r="O268" i="37"/>
  <c r="M268" i="37" l="1"/>
  <c r="O269" i="37"/>
  <c r="M269" i="37" l="1"/>
  <c r="O270" i="37"/>
  <c r="M270" i="37" l="1"/>
  <c r="O271" i="37"/>
  <c r="M271" i="37" l="1"/>
  <c r="O272" i="37"/>
  <c r="M272" i="37" l="1"/>
  <c r="O273" i="37"/>
  <c r="M273" i="37" l="1"/>
  <c r="O274" i="37"/>
  <c r="M274" i="37" l="1"/>
  <c r="O275" i="37"/>
  <c r="M275" i="37" l="1"/>
  <c r="O276" i="37"/>
  <c r="M276" i="37" l="1"/>
  <c r="O277" i="37"/>
  <c r="M277" i="37" l="1"/>
  <c r="O278" i="37"/>
  <c r="M278" i="37" l="1"/>
  <c r="O279" i="37"/>
  <c r="M279" i="37" l="1"/>
  <c r="O280" i="37"/>
  <c r="M280" i="37" l="1"/>
  <c r="O281" i="37"/>
  <c r="M281" i="37" l="1"/>
  <c r="O282" i="37"/>
  <c r="M282" i="37" l="1"/>
  <c r="O283" i="37"/>
  <c r="M283" i="37" l="1"/>
  <c r="O284" i="37"/>
  <c r="M284" i="37" l="1"/>
  <c r="O285" i="37"/>
  <c r="M285" i="37" l="1"/>
  <c r="O286" i="37"/>
  <c r="M286" i="37" l="1"/>
  <c r="O287" i="37"/>
  <c r="M287" i="37" l="1"/>
  <c r="O288" i="37"/>
  <c r="M288" i="37" l="1"/>
  <c r="O289" i="37"/>
  <c r="M289" i="37" l="1"/>
  <c r="O290" i="37"/>
  <c r="M290" i="37" l="1"/>
  <c r="O291" i="37"/>
  <c r="M291" i="37" l="1"/>
  <c r="O292" i="37"/>
  <c r="M292" i="37" l="1"/>
  <c r="O293" i="37"/>
  <c r="M293" i="37" l="1"/>
  <c r="O294" i="37"/>
  <c r="M294" i="37" l="1"/>
  <c r="O295" i="37"/>
  <c r="M295" i="37" l="1"/>
  <c r="O296" i="37"/>
  <c r="M296" i="37" l="1"/>
  <c r="O297" i="37"/>
  <c r="M297" i="37" l="1"/>
  <c r="O298" i="37"/>
  <c r="M298" i="37" l="1"/>
  <c r="O299" i="37"/>
  <c r="M299" i="37" l="1"/>
  <c r="O300" i="37"/>
  <c r="M300" i="37" l="1"/>
  <c r="O301" i="37"/>
  <c r="M301" i="37" l="1"/>
  <c r="O302" i="37"/>
  <c r="M302" i="37" l="1"/>
  <c r="O303" i="37"/>
  <c r="M303" i="37" l="1"/>
  <c r="O304" i="37"/>
  <c r="M304" i="37" l="1"/>
  <c r="O305" i="37"/>
  <c r="M305" i="37" l="1"/>
  <c r="O306" i="37"/>
  <c r="M306" i="37" l="1"/>
  <c r="O307" i="37"/>
  <c r="M307" i="37" l="1"/>
  <c r="O308" i="37"/>
  <c r="M308" i="37" l="1"/>
  <c r="O309" i="37"/>
  <c r="M309" i="37" l="1"/>
  <c r="O310" i="37"/>
  <c r="M310" i="37" l="1"/>
  <c r="O311" i="37"/>
  <c r="M311" i="37" l="1"/>
  <c r="O312" i="37"/>
  <c r="M312" i="37" l="1"/>
  <c r="O313" i="37"/>
  <c r="M313" i="37" l="1"/>
  <c r="O314" i="37"/>
  <c r="M314" i="37" l="1"/>
  <c r="O315" i="37"/>
  <c r="M315" i="37" l="1"/>
  <c r="O316" i="37"/>
  <c r="M316" i="37" l="1"/>
  <c r="O317" i="37"/>
  <c r="M317" i="37" l="1"/>
  <c r="O318" i="37"/>
  <c r="M318" i="37" l="1"/>
  <c r="O319" i="37"/>
  <c r="M319" i="37" l="1"/>
  <c r="O320" i="37"/>
  <c r="M320" i="37" l="1"/>
  <c r="O321" i="37"/>
  <c r="M321" i="37" l="1"/>
  <c r="O322" i="37"/>
  <c r="M322" i="3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<sst xmlns="http://schemas.openxmlformats.org/spreadsheetml/2006/main" count="12206" uniqueCount="866">
  <si>
    <t>Tanggal</t>
  </si>
  <si>
    <t>Uraian</t>
  </si>
  <si>
    <t>Jumlah</t>
  </si>
  <si>
    <t>No. Bukti</t>
  </si>
  <si>
    <t>Jenis Biaya</t>
  </si>
  <si>
    <t>Jumlah (Rp.)</t>
  </si>
  <si>
    <t>DAFTAR HADIR PEKERJA DAN UPAH MINGGUAN</t>
  </si>
  <si>
    <t>Nama Sekolah</t>
  </si>
  <si>
    <t>KETERANGAN</t>
  </si>
  <si>
    <t>Lokasi</t>
  </si>
  <si>
    <t>HOK Gol. A</t>
  </si>
  <si>
    <t>: Kepala Tukang</t>
  </si>
  <si>
    <t>Minggu ke</t>
  </si>
  <si>
    <t>HOK Gol. B</t>
  </si>
  <si>
    <t>: Tukang</t>
  </si>
  <si>
    <t>HOK Gol. C</t>
  </si>
  <si>
    <t>: Kuli / Helper</t>
  </si>
  <si>
    <t>No</t>
  </si>
  <si>
    <t>Nama Pekerja</t>
  </si>
  <si>
    <t>Gol.</t>
  </si>
  <si>
    <t>Absen Harian</t>
  </si>
  <si>
    <t>Upah</t>
  </si>
  <si>
    <t>Jumlah Upah</t>
  </si>
  <si>
    <t>Tanda Tangan</t>
  </si>
  <si>
    <t>Pekerja</t>
  </si>
  <si>
    <t>M</t>
  </si>
  <si>
    <t>S</t>
  </si>
  <si>
    <t>R</t>
  </si>
  <si>
    <t>K</t>
  </si>
  <si>
    <t>J</t>
  </si>
  <si>
    <t>Hari</t>
  </si>
  <si>
    <t>Kerja</t>
  </si>
  <si>
    <t>(A/B/C)</t>
  </si>
  <si>
    <t>( Rp )</t>
  </si>
  <si>
    <t>(Rp)</t>
  </si>
  <si>
    <t>A</t>
  </si>
  <si>
    <t>X</t>
  </si>
  <si>
    <t>V</t>
  </si>
  <si>
    <t>B</t>
  </si>
  <si>
    <t>C</t>
  </si>
  <si>
    <t>JUMLAH</t>
  </si>
  <si>
    <t>*)</t>
  </si>
  <si>
    <t>Jam kerja Harian : Mulai Jam 08.00 - 16.00 ( 7 jam ) / istirahat jam 12.00 - 13.00</t>
  </si>
  <si>
    <t>Mengetahui,</t>
  </si>
  <si>
    <t>Menyetujui,</t>
  </si>
  <si>
    <t>Ketua Tim Pelaksana</t>
  </si>
  <si>
    <t>Jumlah penerimaan bulan ini</t>
  </si>
  <si>
    <t>Jumlah pengeluaran bulan ini</t>
  </si>
  <si>
    <t>Saldo Buku Kas Umum</t>
  </si>
  <si>
    <t>:</t>
  </si>
  <si>
    <t>Catatan :</t>
  </si>
  <si>
    <t>Terdiri dari</t>
  </si>
  <si>
    <t>- Saldo Bank</t>
  </si>
  <si>
    <t>Pengisian pada kolom "Jenis Biaya" di isi :</t>
  </si>
  <si>
    <t>- Saldo Kas Tunai</t>
  </si>
  <si>
    <t>: A</t>
  </si>
  <si>
    <t>: B</t>
  </si>
  <si>
    <t>: C</t>
  </si>
  <si>
    <t>: D</t>
  </si>
  <si>
    <t>BUKU KAS UMUM</t>
  </si>
  <si>
    <t>Bulan ke</t>
  </si>
  <si>
    <t>Sekolah</t>
  </si>
  <si>
    <t>Alamat</t>
  </si>
  <si>
    <t>Kecamatan</t>
  </si>
  <si>
    <t>Penerimaan</t>
  </si>
  <si>
    <t>Pengeluaran</t>
  </si>
  <si>
    <t>Kabupaten</t>
  </si>
  <si>
    <t>Propinsi</t>
  </si>
  <si>
    <t>MALANG</t>
  </si>
  <si>
    <t>JAWA TIMUR</t>
  </si>
  <si>
    <t>Saldo</t>
  </si>
  <si>
    <t>Uraian Pembelian Alata dan Bahan</t>
  </si>
  <si>
    <t>Satuan</t>
  </si>
  <si>
    <t>REKAPITULASI PEMBELIAN ALAT DAN BAHAN</t>
  </si>
  <si>
    <t>REKAPITULASI PEMBAYARAN PEKERJA</t>
  </si>
  <si>
    <t>PPN</t>
  </si>
  <si>
    <t>s/d</t>
  </si>
  <si>
    <t>TOTAL</t>
  </si>
  <si>
    <t>PPH PASAL 22</t>
  </si>
  <si>
    <t>BULAN</t>
  </si>
  <si>
    <t>NPWP</t>
  </si>
  <si>
    <t>REKAPITULASI PEMBAYARAN PAJAK</t>
  </si>
  <si>
    <t>BUKU KAS TUNAI</t>
  </si>
  <si>
    <t>Nama Lembaga</t>
  </si>
  <si>
    <t>Lokal</t>
  </si>
  <si>
    <t>Pekerjaan</t>
  </si>
  <si>
    <t>Nama Ks</t>
  </si>
  <si>
    <t>Nip</t>
  </si>
  <si>
    <t>Ketua tim</t>
  </si>
  <si>
    <t>Bndahara</t>
  </si>
  <si>
    <t>Konsultan</t>
  </si>
  <si>
    <t>Awal Rab</t>
  </si>
  <si>
    <t>Awal Progres</t>
  </si>
  <si>
    <t>Awal Pembukuan</t>
  </si>
  <si>
    <t>Akhir Pembukuan</t>
  </si>
  <si>
    <t>Minggu Ke</t>
  </si>
  <si>
    <t>Harga</t>
  </si>
  <si>
    <t>Qty</t>
  </si>
  <si>
    <t>Code</t>
  </si>
  <si>
    <t>Code Uraian</t>
  </si>
  <si>
    <t>Uraian Pembayaran Pekerja</t>
  </si>
  <si>
    <t>Mulai</t>
  </si>
  <si>
    <t>Akhir</t>
  </si>
  <si>
    <t>( Satu )</t>
  </si>
  <si>
    <t>( Dua )</t>
  </si>
  <si>
    <t>( Tiga )</t>
  </si>
  <si>
    <t>M001</t>
  </si>
  <si>
    <t>M002</t>
  </si>
  <si>
    <t>M004</t>
  </si>
  <si>
    <t>M006</t>
  </si>
  <si>
    <t>M012</t>
  </si>
  <si>
    <t>M013</t>
  </si>
  <si>
    <t>M014</t>
  </si>
  <si>
    <t>M019</t>
  </si>
  <si>
    <t>M022</t>
  </si>
  <si>
    <t>M037</t>
  </si>
  <si>
    <t>M039</t>
  </si>
  <si>
    <t>M061</t>
  </si>
  <si>
    <t>M062</t>
  </si>
  <si>
    <t>M064</t>
  </si>
  <si>
    <t>M080</t>
  </si>
  <si>
    <t>M083</t>
  </si>
  <si>
    <t>M084</t>
  </si>
  <si>
    <t>M085</t>
  </si>
  <si>
    <t>M089</t>
  </si>
  <si>
    <t>M112</t>
  </si>
  <si>
    <t>M112a</t>
  </si>
  <si>
    <t>M112b</t>
  </si>
  <si>
    <t>M112c</t>
  </si>
  <si>
    <t>M112d</t>
  </si>
  <si>
    <t>M112e</t>
  </si>
  <si>
    <t>M116</t>
  </si>
  <si>
    <t>M126</t>
  </si>
  <si>
    <t>M128</t>
  </si>
  <si>
    <t>M135</t>
  </si>
  <si>
    <t>M140</t>
  </si>
  <si>
    <t>M141</t>
  </si>
  <si>
    <t>M145</t>
  </si>
  <si>
    <t>M146</t>
  </si>
  <si>
    <t>M148.b</t>
  </si>
  <si>
    <t>M148.c</t>
  </si>
  <si>
    <t>M148.d</t>
  </si>
  <si>
    <t>M148.g</t>
  </si>
  <si>
    <t>M153</t>
  </si>
  <si>
    <t>M159</t>
  </si>
  <si>
    <t>M160</t>
  </si>
  <si>
    <t>M213</t>
  </si>
  <si>
    <t>M215</t>
  </si>
  <si>
    <t>M217</t>
  </si>
  <si>
    <t>M219</t>
  </si>
  <si>
    <t>M230</t>
  </si>
  <si>
    <t>M235</t>
  </si>
  <si>
    <t>M249</t>
  </si>
  <si>
    <t>M251</t>
  </si>
  <si>
    <t>M257</t>
  </si>
  <si>
    <t>M258</t>
  </si>
  <si>
    <t>M259</t>
  </si>
  <si>
    <t>M260</t>
  </si>
  <si>
    <t>M262</t>
  </si>
  <si>
    <t>M263</t>
  </si>
  <si>
    <t>M265</t>
  </si>
  <si>
    <t>M271</t>
  </si>
  <si>
    <t>M319</t>
  </si>
  <si>
    <t>M320</t>
  </si>
  <si>
    <t>M323</t>
  </si>
  <si>
    <t>M327</t>
  </si>
  <si>
    <t>M328</t>
  </si>
  <si>
    <t>M332</t>
  </si>
  <si>
    <t>M334</t>
  </si>
  <si>
    <t>M335</t>
  </si>
  <si>
    <t>M350</t>
  </si>
  <si>
    <t>M351</t>
  </si>
  <si>
    <t>M402</t>
  </si>
  <si>
    <t>M403</t>
  </si>
  <si>
    <t>M409</t>
  </si>
  <si>
    <t>M411</t>
  </si>
  <si>
    <t>M412</t>
  </si>
  <si>
    <t>M414</t>
  </si>
  <si>
    <t>M415</t>
  </si>
  <si>
    <t>M417</t>
  </si>
  <si>
    <t>M421</t>
  </si>
  <si>
    <t>M422</t>
  </si>
  <si>
    <t>M437</t>
  </si>
  <si>
    <t>M438</t>
  </si>
  <si>
    <t>M439</t>
  </si>
  <si>
    <t>M440</t>
  </si>
  <si>
    <t>M440.a</t>
  </si>
  <si>
    <t>M441</t>
  </si>
  <si>
    <t>M442</t>
  </si>
  <si>
    <t>M443</t>
  </si>
  <si>
    <t>M444</t>
  </si>
  <si>
    <t>M445</t>
  </si>
  <si>
    <t>M447</t>
  </si>
  <si>
    <t>M450</t>
  </si>
  <si>
    <t>M457</t>
  </si>
  <si>
    <t>M466</t>
  </si>
  <si>
    <t>M473</t>
  </si>
  <si>
    <t>M474</t>
  </si>
  <si>
    <t>M481</t>
  </si>
  <si>
    <t>M486</t>
  </si>
  <si>
    <t>M490</t>
  </si>
  <si>
    <t>M491</t>
  </si>
  <si>
    <t>M492</t>
  </si>
  <si>
    <t>M493</t>
  </si>
  <si>
    <t>M494</t>
  </si>
  <si>
    <t>M495</t>
  </si>
  <si>
    <t>M496</t>
  </si>
  <si>
    <t>M497</t>
  </si>
  <si>
    <t>M498</t>
  </si>
  <si>
    <t>M499</t>
  </si>
  <si>
    <t>M500</t>
  </si>
  <si>
    <t>M501</t>
  </si>
  <si>
    <t>M380</t>
  </si>
  <si>
    <t>M401</t>
  </si>
  <si>
    <t>M420</t>
  </si>
  <si>
    <t>Dibuat Oleh ;</t>
  </si>
  <si>
    <t>Bendahara Pembangunan</t>
  </si>
  <si>
    <t>Pemasukan</t>
  </si>
  <si>
    <t>Bln</t>
  </si>
  <si>
    <t>Bulan 1</t>
  </si>
  <si>
    <t>Bulan 2</t>
  </si>
  <si>
    <t>Bulan 3</t>
  </si>
  <si>
    <t>Bulan 4</t>
  </si>
  <si>
    <t>Bulan 5</t>
  </si>
  <si>
    <t>row</t>
  </si>
  <si>
    <t>no</t>
  </si>
  <si>
    <t>com</t>
  </si>
  <si>
    <t>Pencairan Tahap 1 (Satu)</t>
  </si>
  <si>
    <t>TH 1</t>
  </si>
  <si>
    <t>TH 2</t>
  </si>
  <si>
    <t>TH 3</t>
  </si>
  <si>
    <t>TH 4</t>
  </si>
  <si>
    <t>Pembayarab menurut analisa</t>
  </si>
  <si>
    <t>Mgg1</t>
  </si>
  <si>
    <t>Mgg2</t>
  </si>
  <si>
    <t>Mgg3</t>
  </si>
  <si>
    <t>Mgg4</t>
  </si>
  <si>
    <t>Mgg5</t>
  </si>
  <si>
    <t>Mgg6</t>
  </si>
  <si>
    <t>Mgg7</t>
  </si>
  <si>
    <t>Mgg8</t>
  </si>
  <si>
    <t>Mgg9</t>
  </si>
  <si>
    <t>Mgg10</t>
  </si>
  <si>
    <t>Mgg11</t>
  </si>
  <si>
    <t>Mgg12</t>
  </si>
  <si>
    <t>Mgg13</t>
  </si>
  <si>
    <t>Mgg14</t>
  </si>
  <si>
    <t>Mgg15</t>
  </si>
  <si>
    <t>Mgg16</t>
  </si>
  <si>
    <t>Mgg17</t>
  </si>
  <si>
    <t>Mgg18</t>
  </si>
  <si>
    <t>Mgg19</t>
  </si>
  <si>
    <t>Sisa Dana Bulan Lalu</t>
  </si>
  <si>
    <t>Status</t>
  </si>
  <si>
    <t>Sat</t>
  </si>
  <si>
    <t>Keterangan</t>
  </si>
  <si>
    <t>Harga Satuan</t>
  </si>
  <si>
    <t>Jenis Transaksi</t>
  </si>
  <si>
    <t>Debet</t>
  </si>
  <si>
    <t>Kredit</t>
  </si>
  <si>
    <t>BKK.</t>
  </si>
  <si>
    <t>UR</t>
  </si>
  <si>
    <t>mat 1</t>
  </si>
  <si>
    <t>mat 2</t>
  </si>
  <si>
    <t>mat 3</t>
  </si>
  <si>
    <t>mat 4</t>
  </si>
  <si>
    <t>mat 5</t>
  </si>
  <si>
    <t>mat 6</t>
  </si>
  <si>
    <t>mat 7</t>
  </si>
  <si>
    <t>mat 8</t>
  </si>
  <si>
    <t>mat 9</t>
  </si>
  <si>
    <t>mat 10</t>
  </si>
  <si>
    <t>mat 11</t>
  </si>
  <si>
    <t>mat 12</t>
  </si>
  <si>
    <t>qty 1</t>
  </si>
  <si>
    <t>qty 2</t>
  </si>
  <si>
    <t>qty 3</t>
  </si>
  <si>
    <t>qty 4</t>
  </si>
  <si>
    <t>qty 5</t>
  </si>
  <si>
    <t>qty 6</t>
  </si>
  <si>
    <t>qty 7</t>
  </si>
  <si>
    <t>qty 8</t>
  </si>
  <si>
    <t>qty 9</t>
  </si>
  <si>
    <t>qty 10</t>
  </si>
  <si>
    <t>qty 11</t>
  </si>
  <si>
    <t>qty 12</t>
  </si>
  <si>
    <t>ks</t>
  </si>
  <si>
    <t>nip</t>
  </si>
  <si>
    <t>ben</t>
  </si>
  <si>
    <t>nip2</t>
  </si>
  <si>
    <t>tgl</t>
  </si>
  <si>
    <t>nama sd</t>
  </si>
  <si>
    <t>kec</t>
  </si>
  <si>
    <t>jumlah mat</t>
  </si>
  <si>
    <t>terbilang</t>
  </si>
  <si>
    <t>Jenis</t>
  </si>
  <si>
    <t>Tgl</t>
  </si>
  <si>
    <t>Sat1</t>
  </si>
  <si>
    <t>Sat2</t>
  </si>
  <si>
    <t>Sat3</t>
  </si>
  <si>
    <t>Sat4</t>
  </si>
  <si>
    <t>Sat5</t>
  </si>
  <si>
    <t>Sat6</t>
  </si>
  <si>
    <t>Sat7</t>
  </si>
  <si>
    <t>Sat8</t>
  </si>
  <si>
    <t>Sat9</t>
  </si>
  <si>
    <t>Sat10</t>
  </si>
  <si>
    <t>Sat11</t>
  </si>
  <si>
    <t>Sat12</t>
  </si>
  <si>
    <t>mgg</t>
  </si>
  <si>
    <t>-</t>
  </si>
  <si>
    <t>Lawan Transaksi</t>
  </si>
  <si>
    <t>Nomor</t>
  </si>
  <si>
    <t>Bukti</t>
  </si>
  <si>
    <t>REKAPITULASI PELAPORAN DAN PEMBAYARAN PAJAK</t>
  </si>
  <si>
    <t>M.183</t>
  </si>
  <si>
    <t>M.284</t>
  </si>
  <si>
    <t>M.085</t>
  </si>
  <si>
    <t>M.086</t>
  </si>
  <si>
    <t>M.087</t>
  </si>
  <si>
    <t>M.188</t>
  </si>
  <si>
    <t>M.189</t>
  </si>
  <si>
    <t>M.090</t>
  </si>
  <si>
    <t>M.191</t>
  </si>
  <si>
    <t>M.192</t>
  </si>
  <si>
    <t>M.293</t>
  </si>
  <si>
    <t>M.194</t>
  </si>
  <si>
    <t>M.295</t>
  </si>
  <si>
    <t>M.196</t>
  </si>
  <si>
    <t>M.297</t>
  </si>
  <si>
    <t>M.098</t>
  </si>
  <si>
    <t>M.099</t>
  </si>
  <si>
    <t>M.100</t>
  </si>
  <si>
    <t>M.403</t>
  </si>
  <si>
    <t>M.438</t>
  </si>
  <si>
    <t>CODE</t>
  </si>
  <si>
    <t>URAIAN</t>
  </si>
  <si>
    <t>QTY</t>
  </si>
  <si>
    <t>HARGA SAT</t>
  </si>
  <si>
    <t>SATUAN</t>
  </si>
  <si>
    <t>Column1</t>
  </si>
  <si>
    <t>Column2</t>
  </si>
  <si>
    <t>GRC Woodplank Polos (20 x 400) cm x 8 mm</t>
  </si>
  <si>
    <t>Gypsum Board  ( 120 x 240 x 9 ) mm</t>
  </si>
  <si>
    <t>Hollow 4/4 Zincromate</t>
  </si>
  <si>
    <t>Hollow 2/4 Zincromate</t>
  </si>
  <si>
    <t>NAMA SEKOLAH</t>
  </si>
  <si>
    <t>ALAMAT</t>
  </si>
  <si>
    <t>KECAMATAN</t>
  </si>
  <si>
    <t>BKK</t>
  </si>
  <si>
    <t>Uraian a</t>
  </si>
  <si>
    <t>Uraian aa</t>
  </si>
  <si>
    <t>Uraian aaa</t>
  </si>
  <si>
    <t>Uraian aaaaa</t>
  </si>
  <si>
    <t>Uraian aaaa</t>
  </si>
  <si>
    <t>Uraian aaaaaa</t>
  </si>
  <si>
    <t>Qty2</t>
  </si>
  <si>
    <t>St</t>
  </si>
  <si>
    <t>Hrg St</t>
  </si>
  <si>
    <t>Qty3</t>
  </si>
  <si>
    <t>Qty4</t>
  </si>
  <si>
    <t>Qty5</t>
  </si>
  <si>
    <t>Qty6</t>
  </si>
  <si>
    <t>Qty7</t>
  </si>
  <si>
    <t>St2</t>
  </si>
  <si>
    <t>St3</t>
  </si>
  <si>
    <t>St4</t>
  </si>
  <si>
    <t>St5</t>
  </si>
  <si>
    <t>St6</t>
  </si>
  <si>
    <t>St7</t>
  </si>
  <si>
    <t>Hrg St2</t>
  </si>
  <si>
    <t>Hrg St3</t>
  </si>
  <si>
    <t>Hrg St4</t>
  </si>
  <si>
    <t>Hrg St5</t>
  </si>
  <si>
    <t>Hrg St6</t>
  </si>
  <si>
    <t>Hrg St7</t>
  </si>
  <si>
    <t>Jml</t>
  </si>
  <si>
    <t>Jml2</t>
  </si>
  <si>
    <t>Jml3</t>
  </si>
  <si>
    <t>Jml4</t>
  </si>
  <si>
    <t>Jml5</t>
  </si>
  <si>
    <t>Jml6</t>
  </si>
  <si>
    <t>Jml7</t>
  </si>
  <si>
    <t>Total</t>
  </si>
  <si>
    <t>S TOTAL</t>
  </si>
  <si>
    <t>Terbilang</t>
  </si>
  <si>
    <t>No Nota</t>
  </si>
  <si>
    <t>Tanggal Kirim</t>
  </si>
  <si>
    <t>Tagihan</t>
  </si>
  <si>
    <t>npwp</t>
  </si>
  <si>
    <t>Sejumlah</t>
  </si>
  <si>
    <t>Untuk</t>
  </si>
  <si>
    <t>Ml s/d</t>
  </si>
  <si>
    <t>tanggl trm</t>
  </si>
  <si>
    <t>Bkk</t>
  </si>
  <si>
    <t>Terima dr</t>
  </si>
  <si>
    <t>TANGGAL</t>
  </si>
  <si>
    <t>Bayar Dana Perencanaan DAK 2019</t>
  </si>
  <si>
    <t>Penerima</t>
  </si>
  <si>
    <t>Pajak Dari</t>
  </si>
  <si>
    <t>Uraian aaaaaaa</t>
  </si>
  <si>
    <t>Uraian aaaaaaaa</t>
  </si>
  <si>
    <t>Uraian aaaaaaaaa</t>
  </si>
  <si>
    <t>Uraian aaaaaaaaaa</t>
  </si>
  <si>
    <t>Uraian aaaaaaaaaaa</t>
  </si>
  <si>
    <t>Uraian aaaaaaaaaaaa</t>
  </si>
  <si>
    <t>Qty8</t>
  </si>
  <si>
    <t>Qty9</t>
  </si>
  <si>
    <t>Qty10</t>
  </si>
  <si>
    <t>Qty11</t>
  </si>
  <si>
    <t>Qty12</t>
  </si>
  <si>
    <t>Qty13</t>
  </si>
  <si>
    <t>St8</t>
  </si>
  <si>
    <t>St9</t>
  </si>
  <si>
    <t>St10</t>
  </si>
  <si>
    <t>St11</t>
  </si>
  <si>
    <t>St12</t>
  </si>
  <si>
    <t>St13</t>
  </si>
  <si>
    <t>Hrg St8</t>
  </si>
  <si>
    <t>Hrg St9</t>
  </si>
  <si>
    <t>Hrg St10</t>
  </si>
  <si>
    <t>Hrg St11</t>
  </si>
  <si>
    <t>Hrg St12</t>
  </si>
  <si>
    <t>Hrg St13</t>
  </si>
  <si>
    <t>Jml8</t>
  </si>
  <si>
    <t>Jml9</t>
  </si>
  <si>
    <t>Jml10</t>
  </si>
  <si>
    <t>Jml11</t>
  </si>
  <si>
    <t>Jml12</t>
  </si>
  <si>
    <t>Jml13</t>
  </si>
  <si>
    <t>Pencairan Tahap 2 (Dua)</t>
  </si>
  <si>
    <t>maa2</t>
  </si>
  <si>
    <t>Dana Perencanaan</t>
  </si>
  <si>
    <t>Dana Pengawasan</t>
  </si>
  <si>
    <t xml:space="preserve">  </t>
  </si>
  <si>
    <t>M1</t>
  </si>
  <si>
    <t>M2</t>
  </si>
  <si>
    <t>M3</t>
  </si>
  <si>
    <t>Column3</t>
  </si>
  <si>
    <t>Column4</t>
  </si>
  <si>
    <t>Column32</t>
  </si>
  <si>
    <t>Column33</t>
  </si>
  <si>
    <t>Column34</t>
  </si>
  <si>
    <t>Column35</t>
  </si>
  <si>
    <t>Column42</t>
  </si>
  <si>
    <t>Column43</t>
  </si>
  <si>
    <t>Column44</t>
  </si>
  <si>
    <t>Column45</t>
  </si>
  <si>
    <t>Column5</t>
  </si>
  <si>
    <t>Column52</t>
  </si>
  <si>
    <t>Column53</t>
  </si>
  <si>
    <t>Column54</t>
  </si>
  <si>
    <t>Column55</t>
  </si>
  <si>
    <t>Column6</t>
  </si>
  <si>
    <t xml:space="preserve"> </t>
  </si>
  <si>
    <t>Kerja / hari</t>
  </si>
  <si>
    <t>PPN 11%</t>
  </si>
  <si>
    <t>Pajak Masukan</t>
  </si>
  <si>
    <t>Pajak Pengeluaran</t>
  </si>
  <si>
    <t>PAJAK TERTANGGUNG</t>
  </si>
  <si>
    <t>Terima Pajak PPN (11%) BKK.64</t>
  </si>
  <si>
    <t>Terima Dana Tahab 1</t>
  </si>
  <si>
    <t>Terima Dana Tahab 2</t>
  </si>
  <si>
    <t>Terima Dana Tahab 3</t>
  </si>
  <si>
    <t>MAT</t>
  </si>
  <si>
    <t>CV AGUNG KARYA</t>
  </si>
  <si>
    <t>Dynabol dia 12 x 120 mm</t>
  </si>
  <si>
    <t>KHUSNUL</t>
  </si>
  <si>
    <t>PRIYO</t>
  </si>
  <si>
    <t>NANANG</t>
  </si>
  <si>
    <t>KOIREN</t>
  </si>
  <si>
    <t>JUNED</t>
  </si>
  <si>
    <t>LASITO</t>
  </si>
  <si>
    <t>BONANG</t>
  </si>
  <si>
    <t>LEMBUR</t>
  </si>
  <si>
    <t>lembur</t>
  </si>
  <si>
    <t>/ Jam</t>
  </si>
  <si>
    <t>Kerja Lembur / jam</t>
  </si>
  <si>
    <t>/jam</t>
  </si>
  <si>
    <t>kerja</t>
  </si>
  <si>
    <t>Selisih Pembayaran menurut Absen (2)si</t>
  </si>
  <si>
    <t>Bayar Dana Perencanaan</t>
  </si>
  <si>
    <t>Jasa</t>
  </si>
  <si>
    <t>Bayar Dana Pengawasan</t>
  </si>
  <si>
    <t>PEMBANGUNAN RUANG LABORARTORIUM BESERTA PERABOTNYA</t>
  </si>
  <si>
    <t>PEMBANGUNAN RUANG UKS BESERTA PERABOTNYA</t>
  </si>
  <si>
    <t>PEMBANGUNAN RUANG PERPUSTAKAAN BESERTA PERABOTNYA</t>
  </si>
  <si>
    <t>PEMBANGUNAN RUANG GURU BESERTA PERABOTNYA</t>
  </si>
  <si>
    <t>PEMBANGUNAN TOILET/JAMBAN BESERTA SANITASINYA</t>
  </si>
  <si>
    <t>Reng R 33-0.45</t>
  </si>
  <si>
    <t>Galvalum truss C-80-75</t>
  </si>
  <si>
    <t>mgg20</t>
  </si>
  <si>
    <t>LASMARI</t>
  </si>
  <si>
    <t>SUMARTO</t>
  </si>
  <si>
    <t>BUSANI</t>
  </si>
  <si>
    <t>TONI</t>
  </si>
  <si>
    <t>SAKIM</t>
  </si>
  <si>
    <t>TOHIR</t>
  </si>
  <si>
    <t>ROJALI</t>
  </si>
  <si>
    <t>Gaj1</t>
  </si>
  <si>
    <t>Gaj2</t>
  </si>
  <si>
    <t>Gaj3</t>
  </si>
  <si>
    <t>Gaj4</t>
  </si>
  <si>
    <t>Gaj5</t>
  </si>
  <si>
    <t>Gaj6</t>
  </si>
  <si>
    <t>Gaj7</t>
  </si>
  <si>
    <t>Gaj8</t>
  </si>
  <si>
    <t>Gaj9</t>
  </si>
  <si>
    <t>Gaj10</t>
  </si>
  <si>
    <t>Gaj11</t>
  </si>
  <si>
    <t>Gaj12</t>
  </si>
  <si>
    <t>BKK.1</t>
  </si>
  <si>
    <r>
      <t>- Kelompok</t>
    </r>
    <r>
      <rPr>
        <b/>
        <sz val="12"/>
        <rFont val="Cambria"/>
        <family val="1"/>
        <scheme val="major"/>
      </rPr>
      <t xml:space="preserve"> "Upah"</t>
    </r>
  </si>
  <si>
    <r>
      <t>- Kelompok</t>
    </r>
    <r>
      <rPr>
        <b/>
        <sz val="12"/>
        <rFont val="Cambria"/>
        <family val="1"/>
        <scheme val="major"/>
      </rPr>
      <t xml:space="preserve"> "Bahan/Material"</t>
    </r>
  </si>
  <si>
    <r>
      <t>- Kelompok</t>
    </r>
    <r>
      <rPr>
        <b/>
        <sz val="12"/>
        <rFont val="Cambria"/>
        <family val="1"/>
        <scheme val="major"/>
      </rPr>
      <t xml:space="preserve"> "Alat"</t>
    </r>
  </si>
  <si>
    <r>
      <t>- Kelompok</t>
    </r>
    <r>
      <rPr>
        <b/>
        <sz val="12"/>
        <rFont val="Cambria"/>
        <family val="1"/>
        <scheme val="major"/>
      </rPr>
      <t xml:space="preserve"> "Biaya Operasional/Admin"</t>
    </r>
  </si>
  <si>
    <t>No.
Bukti</t>
  </si>
  <si>
    <t>PEMBANGUNAN TOILET BESERTA SANITASINYA</t>
  </si>
  <si>
    <t>NGANTANG</t>
  </si>
  <si>
    <t>Jl. Kawi No.36 Rt. 1 Rw. 1 Dusun Sekar, Rt / Rw : 1 / 1, Dusun : Sekar, Kelurahan : Sidodadi</t>
  </si>
  <si>
    <t>SDN 1 SIDODADI</t>
  </si>
  <si>
    <t>MELIA FITRIANI, S.Pd.SD</t>
  </si>
  <si>
    <t>NIP. 19850619 200904 2 000</t>
  </si>
  <si>
    <t>HARTATIK</t>
  </si>
  <si>
    <t>ARIF NUR UDIN, S.Pd.SD</t>
  </si>
  <si>
    <t>NIP. 19840719 200903 1 002</t>
  </si>
  <si>
    <t>NUR ROHMAN, ST.</t>
  </si>
  <si>
    <t>MUSYYAYIN, ST.</t>
  </si>
  <si>
    <t>Bayar Pajak PPH</t>
  </si>
  <si>
    <t>Bayar Pajak PPN</t>
  </si>
  <si>
    <t>KUSMAN H</t>
  </si>
  <si>
    <t>Pengambilan Dana Tahab 1</t>
  </si>
  <si>
    <t>BUKU BANK</t>
  </si>
  <si>
    <t>Kab/Kota</t>
  </si>
  <si>
    <t>Kota Malang</t>
  </si>
  <si>
    <t>Desa</t>
  </si>
  <si>
    <t>Provinsi</t>
  </si>
  <si>
    <t>Jawa Timur</t>
  </si>
  <si>
    <t>No.</t>
  </si>
  <si>
    <t>Debet / Penerimaan (Rp.)</t>
  </si>
  <si>
    <t>Kredit / Pengeluaran (Rp.)</t>
  </si>
  <si>
    <t>Saldo (Rp.)</t>
  </si>
  <si>
    <t>13/08/2025</t>
  </si>
  <si>
    <t>Uang Masuk Bank Mandiri</t>
  </si>
  <si>
    <t>01</t>
  </si>
  <si>
    <t>Pengambilan Ke- 1</t>
  </si>
  <si>
    <t>Mengetahui :</t>
  </si>
  <si>
    <t>Kepala Sekolah</t>
  </si>
  <si>
    <t>Ketua P2SP</t>
  </si>
  <si>
    <t>Bendahara P2SP</t>
  </si>
  <si>
    <t>Sisa Saldo Bulan Kemarin</t>
  </si>
  <si>
    <t>03</t>
  </si>
  <si>
    <t xml:space="preserve">                                                                                                                                </t>
  </si>
  <si>
    <t>PPH PASAL 4 ayat 2</t>
  </si>
  <si>
    <t>Terima PPh Pasa</t>
  </si>
  <si>
    <t>Pencairan Tahab 2</t>
  </si>
  <si>
    <t>Pengambilan Ke 2</t>
  </si>
  <si>
    <t>Pengambilan Ke2</t>
  </si>
  <si>
    <t>Men1</t>
  </si>
  <si>
    <t>Men.1</t>
  </si>
  <si>
    <t>Banner Untuk Rapat</t>
  </si>
  <si>
    <t>m</t>
  </si>
  <si>
    <t>D</t>
  </si>
  <si>
    <t/>
  </si>
  <si>
    <t>Men.2</t>
  </si>
  <si>
    <t>Cetak A3 HVS 70 Grm</t>
  </si>
  <si>
    <t>Lbr</t>
  </si>
  <si>
    <t>Men.3</t>
  </si>
  <si>
    <t>Cetak Gambar A3 Ap 120 Grm</t>
  </si>
  <si>
    <t>Men.4</t>
  </si>
  <si>
    <t>Kosumsi Rapat Awal Pekerjaan</t>
  </si>
  <si>
    <t>Bks</t>
  </si>
  <si>
    <t>Men.23</t>
  </si>
  <si>
    <t>Biaya Perjalanan Rapat Ke dinas Pendidikan</t>
  </si>
  <si>
    <t>Ls</t>
  </si>
  <si>
    <t>M.8</t>
  </si>
  <si>
    <t>Gancu   Doran</t>
  </si>
  <si>
    <t>Pcs</t>
  </si>
  <si>
    <t>BKK.2</t>
  </si>
  <si>
    <t>M.9</t>
  </si>
  <si>
    <t>Garuk Besar</t>
  </si>
  <si>
    <t>M.26</t>
  </si>
  <si>
    <t>Meteran Biasa 7.5 M</t>
  </si>
  <si>
    <t>M.43</t>
  </si>
  <si>
    <t>Skrop Pasir Full Besi Crocodile</t>
  </si>
  <si>
    <t>M.70</t>
  </si>
  <si>
    <t>Benang Tampar Kuning</t>
  </si>
  <si>
    <t>M.80</t>
  </si>
  <si>
    <t>Paku 1 1/2</t>
  </si>
  <si>
    <t>kg</t>
  </si>
  <si>
    <t>M.81</t>
  </si>
  <si>
    <t>Paku 2</t>
  </si>
  <si>
    <t>M.101</t>
  </si>
  <si>
    <t>Kayu Usuk 4 X 6 - 4M</t>
  </si>
  <si>
    <t>pak</t>
  </si>
  <si>
    <t>M.103</t>
  </si>
  <si>
    <t>Kayu Usuk 4X6 Kembang Super</t>
  </si>
  <si>
    <t>Men.10</t>
  </si>
  <si>
    <t>Kertas Sidu A4 70 grm</t>
  </si>
  <si>
    <t>Rim</t>
  </si>
  <si>
    <t>BKK.3</t>
  </si>
  <si>
    <t>Men.11</t>
  </si>
  <si>
    <t>Kertas Sidu F4 70 grm</t>
  </si>
  <si>
    <t>Men.12</t>
  </si>
  <si>
    <t>Tinta Printer</t>
  </si>
  <si>
    <t>Men.13</t>
  </si>
  <si>
    <t>Isolasi Bening</t>
  </si>
  <si>
    <t>Men.14</t>
  </si>
  <si>
    <t>Lakban Tanggung</t>
  </si>
  <si>
    <t>Men.15</t>
  </si>
  <si>
    <t>Tinta stempel</t>
  </si>
  <si>
    <t>Men.16</t>
  </si>
  <si>
    <t>Double tipe</t>
  </si>
  <si>
    <t>Men.17</t>
  </si>
  <si>
    <t>Spidol Besar</t>
  </si>
  <si>
    <t>M.17</t>
  </si>
  <si>
    <t>Linggis Ulir 19</t>
  </si>
  <si>
    <t>BKK.4</t>
  </si>
  <si>
    <t>M.30</t>
  </si>
  <si>
    <t>Pleser 6-8</t>
  </si>
  <si>
    <t>M.31</t>
  </si>
  <si>
    <t>Pleser 8-10</t>
  </si>
  <si>
    <t>M.66</t>
  </si>
  <si>
    <t>Kaleng Adiva</t>
  </si>
  <si>
    <t>M.76</t>
  </si>
  <si>
    <t>Terpal A5 6X8</t>
  </si>
  <si>
    <t>M.104</t>
  </si>
  <si>
    <t>Kayu Usuk 3 X 5</t>
  </si>
  <si>
    <t>Ljr</t>
  </si>
  <si>
    <t>M.106</t>
  </si>
  <si>
    <t>Papan Sengon</t>
  </si>
  <si>
    <t>M.118</t>
  </si>
  <si>
    <t>Pasir Biasa L300</t>
  </si>
  <si>
    <t>Pik Up</t>
  </si>
  <si>
    <t>Men.22</t>
  </si>
  <si>
    <t>Pembuatan Papan Pengumuman</t>
  </si>
  <si>
    <t>BKK.5</t>
  </si>
  <si>
    <t>M.113</t>
  </si>
  <si>
    <t>Usuk Super 3 M</t>
  </si>
  <si>
    <t>BKK.6</t>
  </si>
  <si>
    <t>M.114</t>
  </si>
  <si>
    <t>Pasir Cor L300</t>
  </si>
  <si>
    <t>M.121</t>
  </si>
  <si>
    <t>Koral L300</t>
  </si>
  <si>
    <t>M.129</t>
  </si>
  <si>
    <t>Wd Potong Bosch</t>
  </si>
  <si>
    <t>M.137</t>
  </si>
  <si>
    <t>Semen Gresik 40Kg</t>
  </si>
  <si>
    <t>Sak</t>
  </si>
  <si>
    <t>M.136</t>
  </si>
  <si>
    <t>Semen 3 Roda</t>
  </si>
  <si>
    <t>BKK.7</t>
  </si>
  <si>
    <t>Maa1</t>
  </si>
  <si>
    <t>BKK.8</t>
  </si>
  <si>
    <t>Pembayaran Pekerja Minggu Ke 1</t>
  </si>
  <si>
    <t>BKK.9</t>
  </si>
  <si>
    <t>BKK.10</t>
  </si>
  <si>
    <t>M.77</t>
  </si>
  <si>
    <t>Bambu</t>
  </si>
  <si>
    <t>BKK.11</t>
  </si>
  <si>
    <t>M.130</t>
  </si>
  <si>
    <t>Bendrat Spq</t>
  </si>
  <si>
    <t>M.133</t>
  </si>
  <si>
    <t>Besi 8.0 Sni</t>
  </si>
  <si>
    <t>M.134</t>
  </si>
  <si>
    <t>Besi Sni 10.0</t>
  </si>
  <si>
    <t>BKK.12</t>
  </si>
  <si>
    <t>BKK.13</t>
  </si>
  <si>
    <t>M.132</t>
  </si>
  <si>
    <t>Besi 6.0 Sni</t>
  </si>
  <si>
    <t>Men2</t>
  </si>
  <si>
    <t>Men.5</t>
  </si>
  <si>
    <t>Kosumsi Rapat Dengan Komite</t>
  </si>
  <si>
    <t>BKK.14</t>
  </si>
  <si>
    <t>BKK.15</t>
  </si>
  <si>
    <t>Pembayaran Pekerja Minggu Ke 2</t>
  </si>
  <si>
    <t>BKK.16</t>
  </si>
  <si>
    <t>BKK.17</t>
  </si>
  <si>
    <t>M.96</t>
  </si>
  <si>
    <t>Kayu 3 X 5</t>
  </si>
  <si>
    <t>BKK.18</t>
  </si>
  <si>
    <t>M.241</t>
  </si>
  <si>
    <t>Pipa Pvc Rucika D 3"</t>
  </si>
  <si>
    <t>BKK.19</t>
  </si>
  <si>
    <t>M.239</t>
  </si>
  <si>
    <t>Pipa Pvc Rucika D 2 1/2"</t>
  </si>
  <si>
    <t>BKK.20</t>
  </si>
  <si>
    <t>M.242</t>
  </si>
  <si>
    <t>Pipa Pvc Rucika D 4"</t>
  </si>
  <si>
    <t>BKK.21</t>
  </si>
  <si>
    <t>Pembayaran Pekerja Minggu Ke 3</t>
  </si>
  <si>
    <t>BKK.22</t>
  </si>
  <si>
    <t>M.107</t>
  </si>
  <si>
    <t>Triplek 9Mm</t>
  </si>
  <si>
    <t>BKK.23</t>
  </si>
  <si>
    <t>M.124</t>
  </si>
  <si>
    <t>Bata Merah Super</t>
  </si>
  <si>
    <t>Bji</t>
  </si>
  <si>
    <t>BKK.24</t>
  </si>
  <si>
    <t>M.125</t>
  </si>
  <si>
    <t>Bata Ringan Vocon 10 Cm</t>
  </si>
  <si>
    <t>m3</t>
  </si>
  <si>
    <t>M.126</t>
  </si>
  <si>
    <t>Drymix Perekat Bata Ringan</t>
  </si>
  <si>
    <t>BKK.25</t>
  </si>
  <si>
    <t>BKK.26</t>
  </si>
  <si>
    <t>BKK.27</t>
  </si>
  <si>
    <t>BKK.28</t>
  </si>
  <si>
    <t>Pembayaran Pekerja Minggu Ke 4</t>
  </si>
  <si>
    <t>BKK.29</t>
  </si>
  <si>
    <t>M.211</t>
  </si>
  <si>
    <t>Lem Ruglue 400 Gr</t>
  </si>
  <si>
    <t>BKK.30</t>
  </si>
  <si>
    <t>M.218</t>
  </si>
  <si>
    <t>Tba Onda</t>
  </si>
  <si>
    <t>M.235</t>
  </si>
  <si>
    <t>Tee Drat Dalam Kuningan 3/4" Rck</t>
  </si>
  <si>
    <t>M.236</t>
  </si>
  <si>
    <t>Pipa Maspion Abu Aw 3/4"</t>
  </si>
  <si>
    <t>M.247</t>
  </si>
  <si>
    <t>Socket Aw 3/4 Rck</t>
  </si>
  <si>
    <t>M.253</t>
  </si>
  <si>
    <t>Knee Aw 3" Rck</t>
  </si>
  <si>
    <t>M.280</t>
  </si>
  <si>
    <t>Babon list</t>
  </si>
  <si>
    <t>Men5</t>
  </si>
  <si>
    <t>Men.6</t>
  </si>
  <si>
    <t>Kosumsi Rapat Peninjauan 50%</t>
  </si>
  <si>
    <t>BKK.31</t>
  </si>
  <si>
    <t>BKK.32</t>
  </si>
  <si>
    <t>BKK.33</t>
  </si>
  <si>
    <t>Pembayaran Pekerja Minggu Ke 5</t>
  </si>
  <si>
    <t>BKK.34</t>
  </si>
  <si>
    <t>BKK.35</t>
  </si>
  <si>
    <t>M.344</t>
  </si>
  <si>
    <t>Lampu Philips Led Bulb 8W</t>
  </si>
  <si>
    <t>M.349</t>
  </si>
  <si>
    <t>Broco Saklar Seri Ib 6622U</t>
  </si>
  <si>
    <t>M.355</t>
  </si>
  <si>
    <t>Fitting Plafon Kotak New Broco 1210</t>
  </si>
  <si>
    <t>M.363</t>
  </si>
  <si>
    <t>Pipa Listrik Nisso</t>
  </si>
  <si>
    <t>M.364</t>
  </si>
  <si>
    <t>Supreme 2 X 0.75 Nymhy</t>
  </si>
  <si>
    <t>M.367</t>
  </si>
  <si>
    <t>Spiral Listrik</t>
  </si>
  <si>
    <t>M.386</t>
  </si>
  <si>
    <t>Isolasi Kabel National</t>
  </si>
  <si>
    <t>M.400</t>
  </si>
  <si>
    <t>Kabel Nyy 2 X 1.5</t>
  </si>
  <si>
    <t>Roll</t>
  </si>
  <si>
    <t>M.404</t>
  </si>
  <si>
    <t>Kabel Tis Besar</t>
  </si>
  <si>
    <t>M.173</t>
  </si>
  <si>
    <t>Keramik 25X25 Everst Platinum</t>
  </si>
  <si>
    <t>Dus</t>
  </si>
  <si>
    <t>BKK.36</t>
  </si>
  <si>
    <t>M.185</t>
  </si>
  <si>
    <t>Keramik Dinding 25 X 40 Novana Perla</t>
  </si>
  <si>
    <t>BKK.37</t>
  </si>
  <si>
    <t>BKK.38</t>
  </si>
  <si>
    <t>Men6</t>
  </si>
  <si>
    <t>Men.7</t>
  </si>
  <si>
    <t>Kosumsi Rapat Peninjauan 75%</t>
  </si>
  <si>
    <t>BKK.39</t>
  </si>
  <si>
    <t>BKK.40</t>
  </si>
  <si>
    <t>M.200</t>
  </si>
  <si>
    <t>Avour Lantai PVC</t>
  </si>
  <si>
    <t>Pembayaran Pekerja Minggu Ke 6</t>
  </si>
  <si>
    <t>BKK.41</t>
  </si>
  <si>
    <t>BKK.42</t>
  </si>
  <si>
    <t>Keramik Kia 30X30</t>
  </si>
  <si>
    <t>BKK.43</t>
  </si>
  <si>
    <t>M.138</t>
  </si>
  <si>
    <t>Kalsium Omya No. 6</t>
  </si>
  <si>
    <t>sak</t>
  </si>
  <si>
    <t>M.139</t>
  </si>
  <si>
    <t>Lem Rajawali Putih</t>
  </si>
  <si>
    <t>M.78</t>
  </si>
  <si>
    <t>Kain Lap</t>
  </si>
  <si>
    <t>BKK.44</t>
  </si>
  <si>
    <t>M.79</t>
  </si>
  <si>
    <t>Hcl</t>
  </si>
  <si>
    <t>ltr</t>
  </si>
  <si>
    <t>M.309</t>
  </si>
  <si>
    <t>Paragon Putih Eml 20Kg</t>
  </si>
  <si>
    <t>Pail</t>
  </si>
  <si>
    <t>M.324</t>
  </si>
  <si>
    <t>Cat No Drop Hijau</t>
  </si>
  <si>
    <t>BKK.45</t>
  </si>
  <si>
    <t>M.291</t>
  </si>
  <si>
    <t>Kuas Nippon 5"</t>
  </si>
  <si>
    <t>M.292</t>
  </si>
  <si>
    <t>Kuas Nippon 6"</t>
  </si>
  <si>
    <t>M.298</t>
  </si>
  <si>
    <t>Amplas No 100</t>
  </si>
  <si>
    <t>M.300</t>
  </si>
  <si>
    <t>Amplas No 240</t>
  </si>
  <si>
    <t>M.313</t>
  </si>
  <si>
    <t>Serabut No Drop</t>
  </si>
  <si>
    <t>Pak</t>
  </si>
  <si>
    <t>M.319</t>
  </si>
  <si>
    <t>Cat Catylac Int Lime 45120</t>
  </si>
  <si>
    <t>Gln</t>
  </si>
  <si>
    <t>BKK.46</t>
  </si>
  <si>
    <t>M.277</t>
  </si>
  <si>
    <t>Closet Duduk Komplit Volk</t>
  </si>
  <si>
    <t>Unit</t>
  </si>
  <si>
    <t>BKK.47</t>
  </si>
  <si>
    <t>Pembayaran Pekerja Minggu Ke 7</t>
  </si>
  <si>
    <t>BKK.48</t>
  </si>
  <si>
    <t>M.439</t>
  </si>
  <si>
    <t>Tiang Engsel Pintu Lipat 8cm Alumunium</t>
  </si>
  <si>
    <t>BKK.49</t>
  </si>
  <si>
    <t>M.444</t>
  </si>
  <si>
    <t>Alumunium Profil C 3"</t>
  </si>
  <si>
    <t>M.433</t>
  </si>
  <si>
    <t>Stang Silent Plat</t>
  </si>
  <si>
    <t>BKK.50</t>
  </si>
  <si>
    <t>M.437</t>
  </si>
  <si>
    <t>Spigot Indal</t>
  </si>
  <si>
    <t>BKK.51</t>
  </si>
  <si>
    <t>M.445</t>
  </si>
  <si>
    <t>ACP motif</t>
  </si>
  <si>
    <t>M.446</t>
  </si>
  <si>
    <t>Hollow Kadalan</t>
  </si>
  <si>
    <t>BKK.52</t>
  </si>
  <si>
    <t>M.422</t>
  </si>
  <si>
    <t>Handle Kotak Natural</t>
  </si>
  <si>
    <t>Set</t>
  </si>
  <si>
    <t>M.428</t>
  </si>
  <si>
    <t>Engsel Tebal  4"</t>
  </si>
  <si>
    <t>M.431</t>
  </si>
  <si>
    <t>Fisher S10</t>
  </si>
  <si>
    <t>M.450</t>
  </si>
  <si>
    <t>Silen Clear Netral</t>
  </si>
  <si>
    <t>M.276</t>
  </si>
  <si>
    <t>Urinoir Komplit Volk</t>
  </si>
  <si>
    <t>BKK.53</t>
  </si>
  <si>
    <t>M.278</t>
  </si>
  <si>
    <t>Tandon Air Penyu 320L Biru</t>
  </si>
  <si>
    <t>M.201</t>
  </si>
  <si>
    <t>Kran Alinco 1/2" Kuningan</t>
  </si>
  <si>
    <t>BKK.54</t>
  </si>
  <si>
    <t>M.217</t>
  </si>
  <si>
    <t>Tba Imokito 12Mm X 10Mm</t>
  </si>
  <si>
    <t>M.273</t>
  </si>
  <si>
    <t>Kloset Ivory Emerald</t>
  </si>
  <si>
    <t>M.275</t>
  </si>
  <si>
    <t>Wastafel Komplit Volk</t>
  </si>
  <si>
    <t>Pembayaran Pekerja Minggu Ke 8</t>
  </si>
  <si>
    <t>BKK.55</t>
  </si>
  <si>
    <t>Men9</t>
  </si>
  <si>
    <t>Men.8</t>
  </si>
  <si>
    <t>Kosumsi Rapat Peninjauan 100%</t>
  </si>
  <si>
    <t>BKK.56</t>
  </si>
  <si>
    <t>Men.19</t>
  </si>
  <si>
    <t>Materai 10000</t>
  </si>
  <si>
    <t>Men.20</t>
  </si>
  <si>
    <t>Foto Copy</t>
  </si>
  <si>
    <t>Buku</t>
  </si>
  <si>
    <t>Men.24</t>
  </si>
  <si>
    <t>Biaya Perjalanan Lain</t>
  </si>
  <si>
    <t>Maa9</t>
  </si>
  <si>
    <t>Maa2</t>
  </si>
  <si>
    <t>BKK.57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</si>
</sst>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2" formatCode="_-&quot;Rp&quot;* #,##0_-;\-&quot;Rp&quot;* #,##0_-;_-&quot;Rp&quot;* &quot;-&quot;_-;_-@_-"/>
    <numFmt numFmtId="44" formatCode="_-&quot;Rp&quot;* #,##0.00_-;\-&quot;Rp&quot;* #,##0.00_-;_-&quot;Rp&quot;* &quot;-&quot;??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&quot;Rp&quot;* #,##0_);_(&quot;Rp&quot;* \(#,##0\);_(&quot;Rp&quot;* &quot;-&quot;_);_(@_)"/>
    <numFmt numFmtId="167" formatCode="_(&quot;Rp&quot;* #,##0.00_);_(&quot;Rp&quot;* \(#,##0.00\);_(&quot;Rp&quot;* &quot;-&quot;??_);_(@_)"/>
    <numFmt numFmtId="168" formatCode="_(* #,##0_);_(* \(#,##0\);_(* &quot;-&quot;??_);_(@_)"/>
    <numFmt numFmtId="169" formatCode="[$-409]d\-mmm\-yy;@"/>
    <numFmt numFmtId="170" formatCode="_(&quot;Rp&quot;* #,##0_);_(&quot;Rp&quot;* \(#,##0\);_(&quot;Rp&quot;* &quot;-&quot;??_);_(@_)"/>
    <numFmt numFmtId="171" formatCode="_(* #,##0.00_);_(* \(#,##0.00\);_(* &quot;-&quot;_);_(@_)"/>
    <numFmt numFmtId="172" formatCode="_(* #,##0.000_);_(* \(#,##0.000\);_(* &quot;-&quot;_);_(@_)"/>
    <numFmt numFmtId="173" formatCode="_(* #,##0_);_(* \(#,##0\);_(* \-_);_(@_)"/>
    <numFmt numFmtId="174" formatCode="_(* #,##0.00_);_(* \(#,##0.00\);_(* \-??_);_(@_)"/>
    <numFmt numFmtId="175" formatCode="[$-421]dd\ mmmm\ yyyy;@"/>
    <numFmt numFmtId="176" formatCode="_([$Rp-421]* #,##0.00_);_([$Rp-421]* \(#,##0.00\);_([$Rp-421]* &quot;-&quot;??_);_(@_)"/>
    <numFmt numFmtId="177" formatCode="_(* #,##0.0_);_(* \(#,##0.0\);_(* &quot;-&quot;??_);_(@_)"/>
    <numFmt numFmtId="178" formatCode="_-[$Rp-421]* #,##0_-;\-[$Rp-421]* #,##0_-;_-[$Rp-421]* &quot;-&quot;_-;_-@_-"/>
    <numFmt numFmtId="179" formatCode="_(&quot;Rp&quot;* #,##0_);_(&quot;Rp&quot;* \(#,##0\);_(* &quot;-&quot;??_);_(@_)"/>
    <numFmt numFmtId="180" formatCode="_(&quot;Rp&quot;* #,##0_);_(&quot;Rp&quot;* \(#,##0\);_(* &quot; &quot;??_);_(@_)"/>
    <numFmt numFmtId="181" formatCode="_(* #,##0_);_(* \(#,##0\);_(* &quot;&quot;_);_(@_)"/>
    <numFmt numFmtId="182" formatCode="_(&quot;Rp&quot;* #,##0_);_(&quot;Rp&quot;* \(#,##0\);_(* &quot;&quot;??_);_(@_)"/>
    <numFmt numFmtId="183" formatCode="&quot;0&quot;\ #"/>
    <numFmt numFmtId="184" formatCode="_-&quot;Rp&quot;* #,##0_-;\-&quot;Rp&quot;* #,##0_-;_-&quot;Rp&quot;* &quot;-&quot;??_-;_-@_-"/>
    <numFmt numFmtId="185" formatCode="_(* #,##0.0_);_(* \(#,##0.0\);_(* &quot;-&quot;_);_(@_)"/>
    <numFmt numFmtId="186" formatCode="_(* #,##0.0_);_(* \(#,##0.0\);_(* &quot;&quot;_);_(@_)"/>
    <numFmt numFmtId="187" formatCode="[$-421]dd\ mmm\ yy;@"/>
    <numFmt numFmtId="188" formatCode="[$-F800]dddd\,\ mmmm\ dd\,\ yyyy"/>
    <numFmt numFmtId="189" formatCode="_-[$Rp-421]* #,##0.00_-;\-[$Rp-421]* #,##0.00_-;_-[$Rp-421]* &quot;-&quot;??_-;_-@_-"/>
    <numFmt numFmtId="190" formatCode="0.0"/>
    <numFmt numFmtId="191" formatCode="@\ * \:"/>
    <numFmt numFmtId="192" formatCode="_(&quot;Rp&quot;* #,##0.00_);_(&quot;Rp&quot;* \(#,##0.00\);_(&quot;Rp&quot;* &quot;-&quot;_);_(@_)"/>
    <numFmt numFmtId="193" formatCode="_(&quot;Rp&quot;* #,##0.00_);_(&quot;Rp&quot;* \(#,##0.00\);_(* &quot; &quot;??_);_(@_)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9"/>
      <color theme="1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u/>
      <sz val="11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u/>
      <sz val="9"/>
      <color theme="1"/>
      <name val="Cambria"/>
      <family val="1"/>
      <scheme val="major"/>
    </font>
    <font>
      <sz val="11"/>
      <color theme="1"/>
      <name val="Calibri"/>
      <family val="2"/>
      <charset val="1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name val="Times New Roman"/>
      <family val="1"/>
    </font>
    <font>
      <sz val="11"/>
      <name val="Times New Roman"/>
      <family val="1"/>
    </font>
    <font>
      <sz val="10"/>
      <color theme="1"/>
      <name val="Times New Roman"/>
      <family val="1"/>
    </font>
    <font>
      <sz val="10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indexed="8"/>
      <name val="Times New Roman"/>
      <family val="1"/>
    </font>
    <font>
      <sz val="12"/>
      <name val="Times New Roman"/>
      <family val="1"/>
    </font>
    <font>
      <sz val="11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  <font>
      <sz val="8"/>
      <color rgb="FFFF0000"/>
      <name val="Cambria"/>
      <family val="1"/>
      <scheme val="major"/>
    </font>
    <font>
      <sz val="8"/>
      <color theme="1"/>
      <name val="Cambria"/>
      <family val="1"/>
      <scheme val="major"/>
    </font>
    <font>
      <sz val="10"/>
      <color theme="1"/>
      <name val="Cambria"/>
      <family val="1"/>
      <scheme val="major"/>
    </font>
    <font>
      <sz val="10"/>
      <color theme="0"/>
      <name val="Cambria"/>
      <family val="1"/>
      <scheme val="major"/>
    </font>
    <font>
      <b/>
      <u/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sz val="10"/>
      <color rgb="FFFF0000"/>
      <name val="Cambria"/>
      <family val="1"/>
      <scheme val="major"/>
    </font>
    <font>
      <b/>
      <u/>
      <sz val="10"/>
      <color theme="1"/>
      <name val="Cambria"/>
      <family val="1"/>
      <scheme val="major"/>
    </font>
    <font>
      <b/>
      <sz val="9"/>
      <color rgb="FFFF0000"/>
      <name val="Cambria"/>
      <family val="1"/>
      <scheme val="major"/>
    </font>
    <font>
      <sz val="9"/>
      <color rgb="FFFF0000"/>
      <name val="Cambria"/>
      <family val="1"/>
      <scheme val="major"/>
    </font>
    <font>
      <b/>
      <sz val="16"/>
      <color theme="0"/>
      <name val="Cambria"/>
      <family val="1"/>
      <scheme val="major"/>
    </font>
    <font>
      <b/>
      <sz val="16"/>
      <color indexed="8"/>
      <name val="Cambria"/>
      <family val="1"/>
      <scheme val="major"/>
    </font>
    <font>
      <sz val="10"/>
      <color indexed="8"/>
      <name val="Cambria"/>
      <family val="1"/>
      <scheme val="major"/>
    </font>
    <font>
      <sz val="11"/>
      <color indexed="8"/>
      <name val="Cambria"/>
      <family val="1"/>
      <scheme val="major"/>
    </font>
    <font>
      <sz val="11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sz val="10"/>
      <color theme="0"/>
      <name val="Cambria"/>
      <family val="1"/>
      <scheme val="major"/>
    </font>
    <font>
      <b/>
      <u/>
      <sz val="10"/>
      <name val="Cambria"/>
      <family val="1"/>
      <scheme val="major"/>
    </font>
    <font>
      <b/>
      <sz val="11"/>
      <name val="Cambria"/>
      <family val="1"/>
      <scheme val="major"/>
    </font>
    <font>
      <sz val="12"/>
      <name val="Cambria"/>
      <family val="1"/>
      <scheme val="major"/>
    </font>
    <font>
      <b/>
      <u/>
      <sz val="11"/>
      <name val="Cambria"/>
      <family val="1"/>
      <scheme val="major"/>
    </font>
    <font>
      <sz val="9"/>
      <name val="Cambria"/>
      <family val="1"/>
      <scheme val="major"/>
    </font>
    <font>
      <sz val="9"/>
      <color theme="0"/>
      <name val="Cambria"/>
      <family val="1"/>
      <scheme val="major"/>
    </font>
    <font>
      <b/>
      <sz val="15"/>
      <color theme="1"/>
      <name val="Cambria"/>
      <family val="1"/>
      <scheme val="major"/>
    </font>
    <font>
      <b/>
      <sz val="16"/>
      <color rgb="FFFF0000"/>
      <name val="Cambria"/>
      <family val="1"/>
      <scheme val="major"/>
    </font>
    <font>
      <b/>
      <sz val="11"/>
      <color theme="0"/>
      <name val="Cambria"/>
      <family val="1"/>
      <scheme val="major"/>
    </font>
    <font>
      <b/>
      <sz val="8"/>
      <name val="Cambria"/>
      <family val="1"/>
      <scheme val="major"/>
    </font>
    <font>
      <b/>
      <u val="singleAccounting"/>
      <sz val="9"/>
      <color theme="1"/>
      <name val="Cambria"/>
      <family val="1"/>
      <scheme val="major"/>
    </font>
    <font>
      <b/>
      <sz val="12"/>
      <name val="Cambria"/>
      <family val="1"/>
      <scheme val="major"/>
    </font>
    <font>
      <sz val="12"/>
      <color rgb="FFFF0000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u/>
      <sz val="12"/>
      <name val="Cambria"/>
      <family val="1"/>
      <scheme val="major"/>
    </font>
    <font>
      <i/>
      <sz val="12"/>
      <name val="Cambria"/>
      <family val="1"/>
      <scheme val="major"/>
    </font>
    <font>
      <sz val="12"/>
      <color theme="0"/>
      <name val="Cambria"/>
      <family val="1"/>
      <scheme val="major"/>
    </font>
    <font>
      <u/>
      <sz val="12"/>
      <name val="Cambria"/>
      <family val="1"/>
      <scheme val="major"/>
    </font>
    <font>
      <b/>
      <u val="singleAccounting"/>
      <sz val="12"/>
      <name val="Cambria"/>
      <family val="1"/>
      <scheme val="major"/>
    </font>
    <font>
      <sz val="16"/>
      <name val="Cambria"/>
      <family val="1"/>
      <scheme val="major"/>
    </font>
    <font>
      <b/>
      <u/>
      <sz val="16"/>
      <name val="Cambria"/>
      <family val="1"/>
      <scheme val="major"/>
    </font>
    <font>
      <sz val="16"/>
      <color rgb="FFFF0000"/>
      <name val="Cambria"/>
      <family val="1"/>
      <scheme val="major"/>
    </font>
    <font>
      <sz val="14"/>
      <name val="Cambria"/>
      <family val="1"/>
      <scheme val="major"/>
    </font>
    <font>
      <b/>
      <sz val="14"/>
      <name val="Cambria"/>
      <family val="1"/>
      <scheme val="major"/>
    </font>
    <font>
      <sz val="14"/>
      <color rgb="FFFF0000"/>
      <name val="Cambria"/>
      <family val="1"/>
      <scheme val="major"/>
    </font>
    <font>
      <b/>
      <u/>
      <sz val="14"/>
      <name val="Arial Narrow"/>
      <family val="2"/>
    </font>
    <font>
      <sz val="11"/>
      <color theme="1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b/>
      <sz val="11"/>
      <color theme="1"/>
      <name val="Arial Narrow"/>
      <family val="2"/>
    </font>
    <font>
      <sz val="11"/>
      <color theme="0"/>
      <name val="Arial Narrow"/>
      <family val="2"/>
    </font>
    <font>
      <b/>
      <u/>
      <sz val="11"/>
      <name val="Arial Narrow"/>
      <family val="2"/>
    </font>
    <font>
      <b/>
      <sz val="11"/>
      <color theme="0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 diagonalDown="1">
      <left/>
      <right style="thin">
        <color indexed="64"/>
      </right>
      <top style="thin">
        <color indexed="64"/>
      </top>
      <bottom/>
      <diagonal style="medium">
        <color indexed="64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 diagonalDown="1">
      <left/>
      <right/>
      <top style="thin">
        <color indexed="64"/>
      </top>
      <bottom/>
      <diagonal style="medium">
        <color indexed="64"/>
      </diagonal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0">
    <xf numFmtId="0" fontId="0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0" borderId="0"/>
    <xf numFmtId="164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172" fontId="11" fillId="0" borderId="0" applyFill="0" applyBorder="0" applyAlignment="0" applyProtection="0"/>
    <xf numFmtId="173" fontId="11" fillId="0" borderId="0" applyFill="0" applyBorder="0" applyAlignment="0" applyProtection="0"/>
    <xf numFmtId="164" fontId="10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0" fillId="0" borderId="0" applyFont="0" applyFill="0" applyBorder="0" applyAlignment="0" applyProtection="0"/>
    <xf numFmtId="174" fontId="11" fillId="0" borderId="0" applyFill="0" applyBorder="0" applyAlignment="0" applyProtection="0"/>
    <xf numFmtId="0" fontId="11" fillId="0" borderId="0"/>
    <xf numFmtId="0" fontId="10" fillId="0" borderId="0"/>
    <xf numFmtId="0" fontId="11" fillId="0" borderId="0"/>
    <xf numFmtId="0" fontId="10" fillId="0" borderId="0"/>
    <xf numFmtId="9" fontId="11" fillId="0" borderId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80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165" fontId="3" fillId="0" borderId="0" xfId="1" applyFont="1" applyAlignment="1">
      <alignment horizontal="center"/>
    </xf>
    <xf numFmtId="171" fontId="3" fillId="0" borderId="0" xfId="2" applyNumberFormat="1" applyFont="1" applyAlignment="1"/>
    <xf numFmtId="1" fontId="3" fillId="0" borderId="0" xfId="0" applyNumberFormat="1" applyFont="1"/>
    <xf numFmtId="0" fontId="3" fillId="0" borderId="0" xfId="0" applyFont="1" applyAlignment="1">
      <alignment vertical="center"/>
    </xf>
    <xf numFmtId="175" fontId="3" fillId="0" borderId="0" xfId="2" applyNumberFormat="1" applyFont="1" applyAlignment="1">
      <alignment horizontal="left"/>
    </xf>
    <xf numFmtId="165" fontId="0" fillId="0" borderId="0" xfId="0" applyNumberFormat="1"/>
    <xf numFmtId="165" fontId="3" fillId="0" borderId="0" xfId="1" applyFont="1" applyAlignment="1">
      <alignment horizontal="right"/>
    </xf>
    <xf numFmtId="165" fontId="3" fillId="0" borderId="0" xfId="1" applyFont="1" applyAlignment="1">
      <alignment horizontal="left"/>
    </xf>
    <xf numFmtId="165" fontId="4" fillId="0" borderId="0" xfId="1" applyFont="1" applyAlignment="1">
      <alignment horizontal="left"/>
    </xf>
    <xf numFmtId="1" fontId="3" fillId="0" borderId="0" xfId="0" applyNumberFormat="1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3" fillId="0" borderId="86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/>
    </xf>
    <xf numFmtId="165" fontId="3" fillId="0" borderId="27" xfId="1" applyFont="1" applyFill="1" applyBorder="1"/>
    <xf numFmtId="165" fontId="3" fillId="0" borderId="26" xfId="1" applyFont="1" applyFill="1" applyBorder="1" applyAlignment="1">
      <alignment horizontal="center"/>
    </xf>
    <xf numFmtId="171" fontId="3" fillId="0" borderId="28" xfId="2" applyNumberFormat="1" applyFont="1" applyFill="1" applyBorder="1"/>
    <xf numFmtId="1" fontId="3" fillId="0" borderId="88" xfId="0" applyNumberFormat="1" applyFont="1" applyBorder="1" applyAlignment="1">
      <alignment horizontal="center"/>
    </xf>
    <xf numFmtId="165" fontId="3" fillId="0" borderId="90" xfId="1" applyFont="1" applyBorder="1"/>
    <xf numFmtId="165" fontId="3" fillId="0" borderId="91" xfId="1" applyFont="1" applyBorder="1" applyAlignment="1">
      <alignment horizontal="center"/>
    </xf>
    <xf numFmtId="171" fontId="3" fillId="0" borderId="92" xfId="2" applyNumberFormat="1" applyFont="1" applyBorder="1"/>
    <xf numFmtId="165" fontId="0" fillId="0" borderId="0" xfId="1" applyFont="1"/>
    <xf numFmtId="1" fontId="3" fillId="0" borderId="0" xfId="0" applyNumberFormat="1" applyFont="1" applyAlignment="1">
      <alignment horizontal="center"/>
    </xf>
    <xf numFmtId="1" fontId="3" fillId="0" borderId="87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/>
    </xf>
    <xf numFmtId="1" fontId="3" fillId="0" borderId="71" xfId="0" applyNumberFormat="1" applyFont="1" applyBorder="1" applyAlignment="1">
      <alignment horizontal="center"/>
    </xf>
    <xf numFmtId="1" fontId="3" fillId="0" borderId="104" xfId="0" applyNumberFormat="1" applyFont="1" applyBorder="1" applyAlignment="1">
      <alignment horizontal="center"/>
    </xf>
    <xf numFmtId="1" fontId="3" fillId="0" borderId="89" xfId="0" applyNumberFormat="1" applyFont="1" applyBorder="1" applyAlignment="1">
      <alignment horizontal="center"/>
    </xf>
    <xf numFmtId="2" fontId="0" fillId="0" borderId="0" xfId="0" applyNumberFormat="1"/>
    <xf numFmtId="49" fontId="0" fillId="0" borderId="0" xfId="0" applyNumberFormat="1"/>
    <xf numFmtId="2" fontId="0" fillId="0" borderId="0" xfId="1" applyNumberFormat="1" applyFont="1"/>
    <xf numFmtId="0" fontId="4" fillId="7" borderId="0" xfId="0" applyFont="1" applyFill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7" fillId="7" borderId="61" xfId="0" applyFont="1" applyFill="1" applyBorder="1" applyAlignment="1">
      <alignment horizontal="center" vertical="center"/>
    </xf>
    <xf numFmtId="171" fontId="7" fillId="7" borderId="3" xfId="2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76" fontId="18" fillId="0" borderId="7" xfId="0" applyNumberFormat="1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5" fontId="17" fillId="0" borderId="0" xfId="1" applyFont="1" applyFill="1" applyAlignment="1">
      <alignment vertical="center"/>
    </xf>
    <xf numFmtId="0" fontId="17" fillId="0" borderId="82" xfId="0" applyFont="1" applyBorder="1" applyAlignment="1">
      <alignment horizontal="center" vertical="center"/>
    </xf>
    <xf numFmtId="0" fontId="17" fillId="0" borderId="74" xfId="0" applyFont="1" applyBorder="1" applyAlignment="1">
      <alignment horizontal="left" vertical="center"/>
    </xf>
    <xf numFmtId="0" fontId="17" fillId="0" borderId="75" xfId="0" applyFont="1" applyBorder="1" applyAlignment="1">
      <alignment horizontal="left" vertical="center"/>
    </xf>
    <xf numFmtId="0" fontId="17" fillId="0" borderId="75" xfId="0" applyFont="1" applyBorder="1" applyAlignment="1">
      <alignment horizontal="center" vertical="center"/>
    </xf>
    <xf numFmtId="0" fontId="17" fillId="0" borderId="83" xfId="2" applyNumberFormat="1" applyFont="1" applyFill="1" applyBorder="1" applyAlignment="1">
      <alignment horizontal="center"/>
    </xf>
    <xf numFmtId="0" fontId="17" fillId="0" borderId="83" xfId="0" quotePrefix="1" applyFont="1" applyBorder="1" applyAlignment="1">
      <alignment horizontal="center" vertical="center"/>
    </xf>
    <xf numFmtId="0" fontId="17" fillId="0" borderId="83" xfId="0" applyFont="1" applyBorder="1" applyAlignment="1">
      <alignment horizontal="center" vertical="center"/>
    </xf>
    <xf numFmtId="166" fontId="17" fillId="0" borderId="83" xfId="0" applyNumberFormat="1" applyFont="1" applyBorder="1" applyAlignment="1">
      <alignment horizontal="center" vertical="center"/>
    </xf>
    <xf numFmtId="0" fontId="15" fillId="0" borderId="83" xfId="2" applyNumberFormat="1" applyFont="1" applyFill="1" applyBorder="1" applyAlignment="1">
      <alignment horizontal="center" vertical="center"/>
    </xf>
    <xf numFmtId="0" fontId="15" fillId="0" borderId="74" xfId="2" applyNumberFormat="1" applyFont="1" applyFill="1" applyBorder="1" applyAlignment="1">
      <alignment horizontal="center" vertical="center"/>
    </xf>
    <xf numFmtId="166" fontId="17" fillId="0" borderId="75" xfId="0" applyNumberFormat="1" applyFont="1" applyBorder="1" applyAlignment="1">
      <alignment horizontal="right" vertical="center"/>
    </xf>
    <xf numFmtId="166" fontId="17" fillId="0" borderId="74" xfId="0" applyNumberFormat="1" applyFont="1" applyBorder="1" applyAlignment="1">
      <alignment vertical="center"/>
    </xf>
    <xf numFmtId="0" fontId="17" fillId="0" borderId="75" xfId="0" applyFont="1" applyBorder="1" applyAlignment="1">
      <alignment horizontal="right" vertical="center"/>
    </xf>
    <xf numFmtId="0" fontId="17" fillId="0" borderId="83" xfId="0" applyFont="1" applyBorder="1" applyAlignment="1">
      <alignment horizontal="left" vertical="center"/>
    </xf>
    <xf numFmtId="0" fontId="17" fillId="0" borderId="85" xfId="0" applyFont="1" applyBorder="1" applyAlignment="1">
      <alignment horizontal="left" vertical="center"/>
    </xf>
    <xf numFmtId="0" fontId="18" fillId="0" borderId="30" xfId="0" applyFont="1" applyBorder="1" applyAlignment="1">
      <alignment horizontal="center" vertical="center"/>
    </xf>
    <xf numFmtId="0" fontId="18" fillId="0" borderId="31" xfId="0" applyFont="1" applyBorder="1" applyAlignment="1">
      <alignment vertical="center"/>
    </xf>
    <xf numFmtId="0" fontId="18" fillId="0" borderId="81" xfId="0" applyFont="1" applyBorder="1" applyAlignment="1">
      <alignment vertical="center"/>
    </xf>
    <xf numFmtId="165" fontId="17" fillId="0" borderId="0" xfId="1" applyFont="1" applyAlignment="1">
      <alignment vertical="center"/>
    </xf>
    <xf numFmtId="40" fontId="17" fillId="0" borderId="0" xfId="1" applyNumberFormat="1" applyFont="1" applyAlignment="1">
      <alignment vertical="center"/>
    </xf>
    <xf numFmtId="0" fontId="17" fillId="0" borderId="0" xfId="0" applyFont="1" applyAlignment="1">
      <alignment horizontal="left" vertical="center"/>
    </xf>
    <xf numFmtId="175" fontId="19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21" fillId="0" borderId="0" xfId="0" applyFont="1"/>
    <xf numFmtId="166" fontId="21" fillId="0" borderId="0" xfId="0" applyNumberFormat="1" applyFont="1"/>
    <xf numFmtId="171" fontId="21" fillId="0" borderId="0" xfId="2" applyNumberFormat="1" applyFont="1" applyAlignment="1">
      <alignment horizontal="center"/>
    </xf>
    <xf numFmtId="164" fontId="21" fillId="0" borderId="0" xfId="2" applyFont="1"/>
    <xf numFmtId="0" fontId="22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/>
    <xf numFmtId="187" fontId="24" fillId="0" borderId="0" xfId="0" applyNumberFormat="1" applyFont="1"/>
    <xf numFmtId="187" fontId="22" fillId="0" borderId="0" xfId="0" applyNumberFormat="1" applyFont="1" applyAlignment="1">
      <alignment horizontal="center" vertical="center"/>
    </xf>
    <xf numFmtId="171" fontId="24" fillId="0" borderId="0" xfId="2" applyNumberFormat="1" applyFont="1"/>
    <xf numFmtId="42" fontId="24" fillId="0" borderId="0" xfId="0" applyNumberFormat="1" applyFont="1"/>
    <xf numFmtId="186" fontId="24" fillId="0" borderId="0" xfId="0" applyNumberFormat="1" applyFont="1"/>
    <xf numFmtId="185" fontId="24" fillId="0" borderId="0" xfId="2" applyNumberFormat="1" applyFont="1"/>
    <xf numFmtId="171" fontId="24" fillId="0" borderId="0" xfId="0" applyNumberFormat="1" applyFont="1"/>
    <xf numFmtId="0" fontId="5" fillId="0" borderId="0" xfId="0" applyFont="1" applyAlignment="1">
      <alignment horizontal="center"/>
    </xf>
    <xf numFmtId="165" fontId="21" fillId="0" borderId="0" xfId="1" applyFont="1"/>
    <xf numFmtId="1" fontId="21" fillId="0" borderId="0" xfId="0" applyNumberFormat="1" applyFont="1"/>
    <xf numFmtId="0" fontId="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5" fillId="0" borderId="0" xfId="0" applyFont="1"/>
    <xf numFmtId="182" fontId="25" fillId="0" borderId="0" xfId="0" applyNumberFormat="1" applyFont="1"/>
    <xf numFmtId="18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/>
    </xf>
    <xf numFmtId="49" fontId="25" fillId="0" borderId="0" xfId="0" applyNumberFormat="1" applyFont="1"/>
    <xf numFmtId="0" fontId="7" fillId="0" borderId="48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2" fontId="25" fillId="0" borderId="0" xfId="0" applyNumberFormat="1" applyFont="1"/>
    <xf numFmtId="182" fontId="7" fillId="0" borderId="38" xfId="0" applyNumberFormat="1" applyFont="1" applyBorder="1" applyAlignment="1">
      <alignment horizontal="center"/>
    </xf>
    <xf numFmtId="182" fontId="7" fillId="0" borderId="69" xfId="0" applyNumberFormat="1" applyFont="1" applyBorder="1" applyAlignment="1">
      <alignment horizontal="center"/>
    </xf>
    <xf numFmtId="180" fontId="7" fillId="0" borderId="69" xfId="0" applyNumberFormat="1" applyFont="1" applyBorder="1" applyAlignment="1">
      <alignment horizontal="center"/>
    </xf>
    <xf numFmtId="0" fontId="25" fillId="0" borderId="48" xfId="0" applyFont="1" applyBorder="1" applyAlignment="1">
      <alignment horizontal="center"/>
    </xf>
    <xf numFmtId="175" fontId="25" fillId="0" borderId="38" xfId="0" applyNumberFormat="1" applyFont="1" applyBorder="1"/>
    <xf numFmtId="0" fontId="25" fillId="0" borderId="38" xfId="0" applyFont="1" applyBorder="1"/>
    <xf numFmtId="0" fontId="25" fillId="0" borderId="48" xfId="0" applyFont="1" applyBorder="1"/>
    <xf numFmtId="2" fontId="25" fillId="0" borderId="48" xfId="0" applyNumberFormat="1" applyFont="1" applyBorder="1"/>
    <xf numFmtId="182" fontId="25" fillId="0" borderId="38" xfId="0" applyNumberFormat="1" applyFont="1" applyBorder="1"/>
    <xf numFmtId="182" fontId="25" fillId="0" borderId="69" xfId="0" applyNumberFormat="1" applyFont="1" applyBorder="1"/>
    <xf numFmtId="180" fontId="25" fillId="0" borderId="69" xfId="0" applyNumberFormat="1" applyFont="1" applyBorder="1"/>
    <xf numFmtId="2" fontId="25" fillId="0" borderId="38" xfId="0" applyNumberFormat="1" applyFont="1" applyBorder="1"/>
    <xf numFmtId="0" fontId="25" fillId="0" borderId="47" xfId="0" applyFont="1" applyBorder="1" applyAlignment="1">
      <alignment horizontal="center"/>
    </xf>
    <xf numFmtId="175" fontId="25" fillId="0" borderId="12" xfId="0" applyNumberFormat="1" applyFont="1" applyBorder="1"/>
    <xf numFmtId="0" fontId="25" fillId="0" borderId="12" xfId="0" applyFont="1" applyBorder="1"/>
    <xf numFmtId="2" fontId="25" fillId="0" borderId="12" xfId="0" applyNumberFormat="1" applyFont="1" applyBorder="1"/>
    <xf numFmtId="182" fontId="25" fillId="0" borderId="12" xfId="0" applyNumberFormat="1" applyFont="1" applyBorder="1"/>
    <xf numFmtId="182" fontId="25" fillId="0" borderId="57" xfId="0" applyNumberFormat="1" applyFont="1" applyBorder="1"/>
    <xf numFmtId="0" fontId="21" fillId="0" borderId="47" xfId="0" applyFont="1" applyBorder="1" applyAlignment="1">
      <alignment horizontal="center"/>
    </xf>
    <xf numFmtId="2" fontId="21" fillId="0" borderId="12" xfId="0" applyNumberFormat="1" applyFont="1" applyBorder="1"/>
    <xf numFmtId="180" fontId="25" fillId="0" borderId="57" xfId="0" applyNumberFormat="1" applyFont="1" applyBorder="1"/>
    <xf numFmtId="180" fontId="25" fillId="0" borderId="69" xfId="0" applyNumberFormat="1" applyFont="1" applyBorder="1" applyAlignment="1">
      <alignment horizontal="center"/>
    </xf>
    <xf numFmtId="182" fontId="25" fillId="0" borderId="38" xfId="1" applyNumberFormat="1" applyFont="1" applyBorder="1"/>
    <xf numFmtId="182" fontId="25" fillId="0" borderId="69" xfId="1" applyNumberFormat="1" applyFont="1" applyBorder="1"/>
    <xf numFmtId="180" fontId="25" fillId="0" borderId="57" xfId="0" applyNumberFormat="1" applyFont="1" applyBorder="1" applyAlignment="1">
      <alignment horizontal="center"/>
    </xf>
    <xf numFmtId="182" fontId="26" fillId="0" borderId="0" xfId="0" applyNumberFormat="1" applyFont="1"/>
    <xf numFmtId="2" fontId="26" fillId="0" borderId="0" xfId="0" applyNumberFormat="1" applyFont="1"/>
    <xf numFmtId="0" fontId="26" fillId="0" borderId="0" xfId="0" applyFont="1"/>
    <xf numFmtId="168" fontId="26" fillId="0" borderId="0" xfId="1" applyNumberFormat="1" applyFont="1"/>
    <xf numFmtId="169" fontId="6" fillId="0" borderId="0" xfId="0" applyNumberFormat="1" applyFont="1" applyAlignment="1">
      <alignment vertical="center"/>
    </xf>
    <xf numFmtId="169" fontId="5" fillId="0" borderId="0" xfId="0" applyNumberFormat="1" applyFont="1" applyAlignment="1">
      <alignment vertical="center"/>
    </xf>
    <xf numFmtId="1" fontId="5" fillId="0" borderId="0" xfId="0" applyNumberFormat="1" applyFont="1" applyAlignment="1">
      <alignment vertical="center"/>
    </xf>
    <xf numFmtId="0" fontId="22" fillId="8" borderId="16" xfId="0" applyFont="1" applyFill="1" applyBorder="1" applyAlignment="1">
      <alignment horizontal="center" vertical="center"/>
    </xf>
    <xf numFmtId="169" fontId="3" fillId="0" borderId="0" xfId="0" applyNumberFormat="1" applyFont="1"/>
    <xf numFmtId="165" fontId="3" fillId="0" borderId="0" xfId="1" applyFont="1"/>
    <xf numFmtId="49" fontId="3" fillId="0" borderId="0" xfId="0" applyNumberFormat="1" applyFont="1"/>
    <xf numFmtId="0" fontId="5" fillId="0" borderId="0" xfId="0" applyFont="1" applyAlignment="1">
      <alignment horizontal="center" vertical="center"/>
    </xf>
    <xf numFmtId="0" fontId="25" fillId="0" borderId="66" xfId="0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54" xfId="0" applyFont="1" applyBorder="1" applyAlignment="1">
      <alignment horizontal="center" vertical="center"/>
    </xf>
    <xf numFmtId="182" fontId="29" fillId="0" borderId="38" xfId="0" applyNumberFormat="1" applyFont="1" applyBorder="1" applyAlignment="1">
      <alignment vertical="center"/>
    </xf>
    <xf numFmtId="0" fontId="29" fillId="0" borderId="5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189" fontId="25" fillId="0" borderId="0" xfId="0" applyNumberFormat="1" applyFont="1"/>
    <xf numFmtId="0" fontId="32" fillId="0" borderId="0" xfId="0" applyFont="1" applyAlignment="1">
      <alignment horizontal="left"/>
    </xf>
    <xf numFmtId="164" fontId="32" fillId="0" borderId="0" xfId="0" applyNumberFormat="1" applyFont="1"/>
    <xf numFmtId="0" fontId="32" fillId="0" borderId="0" xfId="0" applyFont="1"/>
    <xf numFmtId="164" fontId="25" fillId="0" borderId="0" xfId="0" applyNumberFormat="1" applyFont="1"/>
    <xf numFmtId="0" fontId="3" fillId="0" borderId="0" xfId="0" applyFont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5" xfId="0" applyFont="1" applyFill="1" applyBorder="1" applyAlignment="1">
      <alignment horizontal="center" vertical="center"/>
    </xf>
    <xf numFmtId="0" fontId="30" fillId="8" borderId="13" xfId="0" applyFont="1" applyFill="1" applyBorder="1" applyAlignment="1">
      <alignment horizontal="center" vertical="center"/>
    </xf>
    <xf numFmtId="0" fontId="30" fillId="8" borderId="11" xfId="0" applyFont="1" applyFill="1" applyBorder="1" applyAlignment="1">
      <alignment horizontal="center" vertical="center"/>
    </xf>
    <xf numFmtId="0" fontId="30" fillId="8" borderId="17" xfId="0" applyFont="1" applyFill="1" applyBorder="1" applyAlignment="1">
      <alignment horizontal="center" vertical="center"/>
    </xf>
    <xf numFmtId="0" fontId="30" fillId="8" borderId="16" xfId="0" applyFont="1" applyFill="1" applyBorder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1" fontId="3" fillId="0" borderId="66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vertical="center"/>
    </xf>
    <xf numFmtId="169" fontId="3" fillId="0" borderId="43" xfId="0" applyNumberFormat="1" applyFont="1" applyBorder="1" applyAlignment="1">
      <alignment horizontal="left" vertical="center"/>
    </xf>
    <xf numFmtId="169" fontId="3" fillId="0" borderId="60" xfId="0" applyNumberFormat="1" applyFont="1" applyBorder="1" applyAlignment="1">
      <alignment horizontal="left" vertical="center"/>
    </xf>
    <xf numFmtId="169" fontId="3" fillId="0" borderId="42" xfId="1" applyNumberFormat="1" applyFont="1" applyFill="1" applyBorder="1" applyAlignment="1">
      <alignment horizontal="center" vertical="center"/>
    </xf>
    <xf numFmtId="42" fontId="3" fillId="0" borderId="63" xfId="2" applyNumberFormat="1" applyFont="1" applyBorder="1" applyAlignment="1">
      <alignment horizontal="right" vertical="center"/>
    </xf>
    <xf numFmtId="165" fontId="34" fillId="4" borderId="0" xfId="1" applyFont="1" applyFill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1" fontId="3" fillId="0" borderId="54" xfId="0" applyNumberFormat="1" applyFont="1" applyBorder="1" applyAlignment="1">
      <alignment horizontal="center" vertical="center"/>
    </xf>
    <xf numFmtId="1" fontId="3" fillId="0" borderId="69" xfId="0" applyNumberFormat="1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169" fontId="3" fillId="0" borderId="35" xfId="0" applyNumberFormat="1" applyFont="1" applyBorder="1" applyAlignment="1">
      <alignment horizontal="left" vertical="center"/>
    </xf>
    <xf numFmtId="169" fontId="3" fillId="0" borderId="48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2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vertical="center"/>
    </xf>
    <xf numFmtId="165" fontId="36" fillId="0" borderId="0" xfId="1" applyFont="1" applyAlignment="1">
      <alignment vertical="center"/>
    </xf>
    <xf numFmtId="0" fontId="2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right"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/>
    </xf>
    <xf numFmtId="165" fontId="37" fillId="0" borderId="0" xfId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9" fillId="0" borderId="0" xfId="0" applyFont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165" fontId="40" fillId="0" borderId="0" xfId="1" applyFont="1" applyAlignment="1">
      <alignment vertical="center"/>
    </xf>
    <xf numFmtId="0" fontId="26" fillId="8" borderId="0" xfId="0" applyFont="1" applyFill="1" applyAlignment="1">
      <alignment horizontal="center" vertical="center"/>
    </xf>
    <xf numFmtId="0" fontId="29" fillId="8" borderId="0" xfId="0" applyFont="1" applyFill="1" applyAlignment="1">
      <alignment vertical="center"/>
    </xf>
    <xf numFmtId="165" fontId="29" fillId="8" borderId="0" xfId="1" applyFont="1" applyFill="1" applyAlignment="1">
      <alignment vertical="center"/>
    </xf>
    <xf numFmtId="0" fontId="29" fillId="0" borderId="19" xfId="0" applyFont="1" applyBorder="1" applyAlignment="1">
      <alignment horizontal="center" vertical="center"/>
    </xf>
    <xf numFmtId="49" fontId="29" fillId="0" borderId="71" xfId="0" applyNumberFormat="1" applyFont="1" applyBorder="1" applyAlignment="1">
      <alignment horizontal="left" vertical="center"/>
    </xf>
    <xf numFmtId="49" fontId="29" fillId="0" borderId="21" xfId="0" applyNumberFormat="1" applyFont="1" applyBorder="1" applyAlignment="1">
      <alignment horizontal="left" vertical="center"/>
    </xf>
    <xf numFmtId="0" fontId="29" fillId="0" borderId="21" xfId="0" quotePrefix="1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1" fontId="29" fillId="0" borderId="22" xfId="2" applyNumberFormat="1" applyFont="1" applyFill="1" applyBorder="1" applyAlignment="1">
      <alignment horizontal="center" vertical="center"/>
    </xf>
    <xf numFmtId="1" fontId="29" fillId="0" borderId="73" xfId="2" applyNumberFormat="1" applyFont="1" applyFill="1" applyBorder="1" applyAlignment="1">
      <alignment horizontal="center" vertical="center"/>
    </xf>
    <xf numFmtId="3" fontId="29" fillId="0" borderId="21" xfId="0" applyNumberFormat="1" applyFont="1" applyBorder="1" applyAlignment="1">
      <alignment horizontal="right" vertical="center"/>
    </xf>
    <xf numFmtId="0" fontId="29" fillId="0" borderId="22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165" fontId="29" fillId="0" borderId="0" xfId="1" applyFont="1" applyFill="1" applyAlignment="1">
      <alignment vertical="center"/>
    </xf>
    <xf numFmtId="0" fontId="29" fillId="0" borderId="25" xfId="0" applyFont="1" applyBorder="1" applyAlignment="1">
      <alignment horizontal="center" vertical="center"/>
    </xf>
    <xf numFmtId="49" fontId="29" fillId="0" borderId="20" xfId="0" applyNumberFormat="1" applyFont="1" applyBorder="1" applyAlignment="1">
      <alignment horizontal="left" vertical="center"/>
    </xf>
    <xf numFmtId="0" fontId="29" fillId="0" borderId="20" xfId="0" applyFont="1" applyBorder="1" applyAlignment="1">
      <alignment horizontal="center" vertical="center"/>
    </xf>
    <xf numFmtId="49" fontId="29" fillId="0" borderId="26" xfId="0" quotePrefix="1" applyNumberFormat="1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1" fontId="29" fillId="0" borderId="71" xfId="2" applyNumberFormat="1" applyFont="1" applyFill="1" applyBorder="1" applyAlignment="1">
      <alignment horizontal="center" vertical="center"/>
    </xf>
    <xf numFmtId="3" fontId="29" fillId="0" borderId="20" xfId="0" applyNumberFormat="1" applyFont="1" applyBorder="1" applyAlignment="1">
      <alignment horizontal="right" vertical="center"/>
    </xf>
    <xf numFmtId="3" fontId="29" fillId="0" borderId="20" xfId="2" applyNumberFormat="1" applyFont="1" applyFill="1" applyBorder="1" applyAlignment="1">
      <alignment horizontal="right" vertical="center"/>
    </xf>
    <xf numFmtId="0" fontId="29" fillId="0" borderId="29" xfId="2" applyNumberFormat="1" applyFont="1" applyFill="1" applyBorder="1" applyAlignment="1">
      <alignment horizontal="left" vertical="center"/>
    </xf>
    <xf numFmtId="0" fontId="29" fillId="0" borderId="28" xfId="0" applyFont="1" applyBorder="1" applyAlignment="1">
      <alignment horizontal="left" vertical="center"/>
    </xf>
    <xf numFmtId="0" fontId="29" fillId="0" borderId="26" xfId="0" applyFont="1" applyBorder="1" applyAlignment="1">
      <alignment horizontal="left" vertical="center"/>
    </xf>
    <xf numFmtId="1" fontId="29" fillId="0" borderId="28" xfId="2" applyNumberFormat="1" applyFont="1" applyFill="1" applyBorder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165" fontId="29" fillId="0" borderId="0" xfId="1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left" vertical="center"/>
    </xf>
    <xf numFmtId="164" fontId="42" fillId="0" borderId="0" xfId="0" applyNumberFormat="1" applyFont="1" applyAlignment="1">
      <alignment vertical="center"/>
    </xf>
    <xf numFmtId="0" fontId="30" fillId="0" borderId="0" xfId="0" applyFont="1" applyAlignment="1">
      <alignment horizontal="left" vertical="center"/>
    </xf>
    <xf numFmtId="165" fontId="30" fillId="0" borderId="0" xfId="1" applyFont="1" applyAlignment="1">
      <alignment vertical="center"/>
    </xf>
    <xf numFmtId="164" fontId="29" fillId="0" borderId="0" xfId="0" applyNumberFormat="1" applyFont="1" applyAlignment="1">
      <alignment vertical="center"/>
    </xf>
    <xf numFmtId="0" fontId="29" fillId="0" borderId="82" xfId="0" applyFont="1" applyBorder="1" applyAlignment="1">
      <alignment horizontal="center" vertical="center"/>
    </xf>
    <xf numFmtId="0" fontId="29" fillId="0" borderId="74" xfId="0" applyFont="1" applyBorder="1" applyAlignment="1">
      <alignment horizontal="left" vertical="center"/>
    </xf>
    <xf numFmtId="0" fontId="29" fillId="0" borderId="75" xfId="0" applyFont="1" applyBorder="1" applyAlignment="1">
      <alignment horizontal="left" vertical="center"/>
    </xf>
    <xf numFmtId="0" fontId="29" fillId="0" borderId="75" xfId="0" applyFont="1" applyBorder="1" applyAlignment="1">
      <alignment horizontal="center" vertical="center"/>
    </xf>
    <xf numFmtId="0" fontId="29" fillId="0" borderId="83" xfId="2" applyNumberFormat="1" applyFont="1" applyFill="1" applyBorder="1" applyAlignment="1">
      <alignment horizontal="center"/>
    </xf>
    <xf numFmtId="0" fontId="29" fillId="0" borderId="83" xfId="0" quotePrefix="1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166" fontId="29" fillId="0" borderId="83" xfId="0" applyNumberFormat="1" applyFont="1" applyBorder="1" applyAlignment="1">
      <alignment horizontal="center" vertical="center"/>
    </xf>
    <xf numFmtId="0" fontId="25" fillId="0" borderId="83" xfId="2" applyNumberFormat="1" applyFont="1" applyFill="1" applyBorder="1" applyAlignment="1">
      <alignment horizontal="center" vertical="center"/>
    </xf>
    <xf numFmtId="0" fontId="25" fillId="0" borderId="74" xfId="2" applyNumberFormat="1" applyFont="1" applyFill="1" applyBorder="1" applyAlignment="1">
      <alignment horizontal="center" vertical="center"/>
    </xf>
    <xf numFmtId="166" fontId="29" fillId="0" borderId="75" xfId="0" applyNumberFormat="1" applyFont="1" applyBorder="1" applyAlignment="1">
      <alignment horizontal="right" vertical="center"/>
    </xf>
    <xf numFmtId="166" fontId="29" fillId="0" borderId="74" xfId="0" applyNumberFormat="1" applyFont="1" applyBorder="1" applyAlignment="1">
      <alignment vertical="center"/>
    </xf>
    <xf numFmtId="0" fontId="29" fillId="0" borderId="75" xfId="0" applyFont="1" applyBorder="1" applyAlignment="1">
      <alignment horizontal="right" vertical="center"/>
    </xf>
    <xf numFmtId="0" fontId="29" fillId="0" borderId="83" xfId="0" applyFont="1" applyBorder="1" applyAlignment="1">
      <alignment horizontal="left" vertical="center"/>
    </xf>
    <xf numFmtId="0" fontId="29" fillId="0" borderId="85" xfId="0" applyFont="1" applyBorder="1" applyAlignment="1">
      <alignment horizontal="left" vertical="center"/>
    </xf>
    <xf numFmtId="0" fontId="30" fillId="0" borderId="30" xfId="0" applyFont="1" applyBorder="1" applyAlignment="1">
      <alignment horizontal="center" vertical="center"/>
    </xf>
    <xf numFmtId="0" fontId="30" fillId="0" borderId="31" xfId="0" applyFont="1" applyBorder="1" applyAlignment="1">
      <alignment vertical="center"/>
    </xf>
    <xf numFmtId="0" fontId="30" fillId="0" borderId="81" xfId="0" applyFont="1" applyBorder="1" applyAlignment="1">
      <alignment vertical="center"/>
    </xf>
    <xf numFmtId="40" fontId="29" fillId="0" borderId="0" xfId="1" applyNumberFormat="1" applyFont="1" applyAlignment="1">
      <alignment vertical="center"/>
    </xf>
    <xf numFmtId="175" fontId="37" fillId="0" borderId="0" xfId="0" applyNumberFormat="1" applyFont="1" applyAlignment="1">
      <alignment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right" vertical="center"/>
    </xf>
    <xf numFmtId="2" fontId="29" fillId="0" borderId="74" xfId="0" applyNumberFormat="1" applyFont="1" applyBorder="1" applyAlignment="1">
      <alignment horizontal="left" vertical="center"/>
    </xf>
    <xf numFmtId="166" fontId="29" fillId="0" borderId="84" xfId="0" applyNumberFormat="1" applyFont="1" applyBorder="1" applyAlignment="1">
      <alignment vertical="center"/>
    </xf>
    <xf numFmtId="0" fontId="25" fillId="0" borderId="84" xfId="2" applyNumberFormat="1" applyFont="1" applyFill="1" applyBorder="1" applyAlignment="1">
      <alignment horizontal="center" vertical="center"/>
    </xf>
    <xf numFmtId="49" fontId="29" fillId="0" borderId="0" xfId="1" applyNumberFormat="1" applyFont="1" applyFill="1" applyAlignment="1">
      <alignment vertical="center"/>
    </xf>
    <xf numFmtId="2" fontId="29" fillId="0" borderId="23" xfId="1" applyNumberFormat="1" applyFont="1" applyFill="1" applyBorder="1" applyAlignment="1">
      <alignment vertical="center"/>
    </xf>
    <xf numFmtId="2" fontId="29" fillId="0" borderId="23" xfId="1" applyNumberFormat="1" applyFont="1" applyFill="1" applyBorder="1" applyAlignment="1">
      <alignment horizontal="center" vertical="center"/>
    </xf>
    <xf numFmtId="3" fontId="29" fillId="0" borderId="23" xfId="1" applyNumberFormat="1" applyFont="1" applyFill="1" applyBorder="1" applyAlignment="1">
      <alignment vertical="center"/>
    </xf>
    <xf numFmtId="2" fontId="29" fillId="0" borderId="27" xfId="1" applyNumberFormat="1" applyFont="1" applyFill="1" applyBorder="1" applyAlignment="1">
      <alignment vertical="center"/>
    </xf>
    <xf numFmtId="2" fontId="29" fillId="0" borderId="27" xfId="1" applyNumberFormat="1" applyFont="1" applyFill="1" applyBorder="1" applyAlignment="1">
      <alignment horizontal="center" vertical="center"/>
    </xf>
    <xf numFmtId="3" fontId="29" fillId="0" borderId="27" xfId="1" applyNumberFormat="1" applyFont="1" applyFill="1" applyBorder="1" applyAlignment="1">
      <alignment vertical="center"/>
    </xf>
    <xf numFmtId="0" fontId="30" fillId="2" borderId="6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30" fillId="2" borderId="11" xfId="0" applyFont="1" applyFill="1" applyBorder="1" applyAlignment="1">
      <alignment horizontal="center" vertical="center"/>
    </xf>
    <xf numFmtId="0" fontId="30" fillId="2" borderId="17" xfId="0" applyFont="1" applyFill="1" applyBorder="1" applyAlignment="1">
      <alignment horizontal="center" vertical="center"/>
    </xf>
    <xf numFmtId="0" fontId="30" fillId="2" borderId="16" xfId="0" applyFont="1" applyFill="1" applyBorder="1" applyAlignment="1">
      <alignment horizontal="center" vertical="center"/>
    </xf>
    <xf numFmtId="1" fontId="29" fillId="0" borderId="23" xfId="2" applyNumberFormat="1" applyFont="1" applyFill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166" fontId="29" fillId="0" borderId="26" xfId="2" applyNumberFormat="1" applyFont="1" applyFill="1" applyBorder="1" applyAlignment="1">
      <alignment horizontal="center" vertical="center"/>
    </xf>
    <xf numFmtId="169" fontId="45" fillId="0" borderId="0" xfId="0" applyNumberFormat="1" applyFont="1" applyAlignment="1">
      <alignment vertical="center"/>
    </xf>
    <xf numFmtId="169" fontId="45" fillId="0" borderId="0" xfId="0" applyNumberFormat="1" applyFont="1" applyAlignment="1">
      <alignment horizontal="center" vertical="center"/>
    </xf>
    <xf numFmtId="180" fontId="46" fillId="0" borderId="0" xfId="0" applyNumberFormat="1" applyFont="1"/>
    <xf numFmtId="0" fontId="46" fillId="0" borderId="0" xfId="0" applyFont="1"/>
    <xf numFmtId="44" fontId="46" fillId="0" borderId="0" xfId="0" applyNumberFormat="1" applyFont="1"/>
    <xf numFmtId="175" fontId="46" fillId="0" borderId="0" xfId="0" applyNumberFormat="1" applyFont="1"/>
    <xf numFmtId="169" fontId="46" fillId="0" borderId="0" xfId="0" applyNumberFormat="1" applyFont="1" applyAlignment="1">
      <alignment horizontal="center"/>
    </xf>
    <xf numFmtId="165" fontId="46" fillId="0" borderId="0" xfId="1" applyFont="1"/>
    <xf numFmtId="42" fontId="46" fillId="0" borderId="0" xfId="0" applyNumberFormat="1" applyFont="1"/>
    <xf numFmtId="42" fontId="46" fillId="0" borderId="0" xfId="2" applyNumberFormat="1" applyFont="1"/>
    <xf numFmtId="42" fontId="46" fillId="0" borderId="0" xfId="1" applyNumberFormat="1" applyFont="1"/>
    <xf numFmtId="180" fontId="46" fillId="0" borderId="0" xfId="1" applyNumberFormat="1" applyFont="1"/>
    <xf numFmtId="0" fontId="46" fillId="0" borderId="0" xfId="0" applyFont="1" applyAlignment="1">
      <alignment horizontal="center"/>
    </xf>
    <xf numFmtId="42" fontId="45" fillId="0" borderId="0" xfId="0" applyNumberFormat="1" applyFont="1" applyAlignment="1">
      <alignment vertical="center"/>
    </xf>
    <xf numFmtId="42" fontId="45" fillId="0" borderId="0" xfId="2" applyNumberFormat="1" applyFont="1" applyBorder="1" applyAlignment="1">
      <alignment vertical="center"/>
    </xf>
    <xf numFmtId="180" fontId="45" fillId="0" borderId="0" xfId="0" applyNumberFormat="1" applyFont="1" applyAlignment="1">
      <alignment vertical="center"/>
    </xf>
    <xf numFmtId="1" fontId="5" fillId="0" borderId="100" xfId="1" applyNumberFormat="1" applyFont="1" applyFill="1" applyBorder="1" applyAlignment="1">
      <alignment horizontal="center"/>
    </xf>
    <xf numFmtId="175" fontId="5" fillId="0" borderId="23" xfId="0" applyNumberFormat="1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164" fontId="5" fillId="0" borderId="23" xfId="2" applyFont="1" applyBorder="1" applyAlignment="1">
      <alignment horizontal="center"/>
    </xf>
    <xf numFmtId="171" fontId="5" fillId="0" borderId="23" xfId="2" applyNumberFormat="1" applyFont="1" applyBorder="1" applyAlignment="1">
      <alignment horizontal="center"/>
    </xf>
    <xf numFmtId="164" fontId="5" fillId="0" borderId="23" xfId="2" applyFont="1" applyFill="1" applyBorder="1" applyAlignment="1">
      <alignment horizontal="center"/>
    </xf>
    <xf numFmtId="164" fontId="43" fillId="0" borderId="23" xfId="2" applyFont="1" applyBorder="1" applyAlignment="1">
      <alignment horizontal="center"/>
    </xf>
    <xf numFmtId="0" fontId="5" fillId="0" borderId="101" xfId="0" applyFont="1" applyBorder="1" applyAlignment="1">
      <alignment horizontal="center"/>
    </xf>
    <xf numFmtId="44" fontId="48" fillId="0" borderId="0" xfId="0" applyNumberFormat="1" applyFont="1" applyAlignment="1">
      <alignment horizontal="center"/>
    </xf>
    <xf numFmtId="2" fontId="49" fillId="5" borderId="0" xfId="0" applyNumberFormat="1" applyFont="1" applyFill="1" applyAlignment="1">
      <alignment horizontal="center"/>
    </xf>
    <xf numFmtId="44" fontId="5" fillId="0" borderId="0" xfId="0" applyNumberFormat="1" applyFont="1" applyAlignment="1">
      <alignment horizontal="center"/>
    </xf>
    <xf numFmtId="165" fontId="5" fillId="0" borderId="0" xfId="1" applyFont="1" applyAlignment="1">
      <alignment horizontal="center"/>
    </xf>
    <xf numFmtId="181" fontId="50" fillId="6" borderId="105" xfId="1" applyNumberFormat="1" applyFont="1" applyFill="1" applyBorder="1" applyAlignment="1">
      <alignment horizontal="center"/>
    </xf>
    <xf numFmtId="181" fontId="21" fillId="0" borderId="0" xfId="0" applyNumberFormat="1" applyFont="1"/>
    <xf numFmtId="181" fontId="5" fillId="0" borderId="0" xfId="1" applyNumberFormat="1" applyFont="1" applyAlignment="1">
      <alignment horizontal="center"/>
    </xf>
    <xf numFmtId="168" fontId="21" fillId="0" borderId="0" xfId="0" applyNumberFormat="1" applyFont="1"/>
    <xf numFmtId="168" fontId="21" fillId="0" borderId="102" xfId="1" applyNumberFormat="1" applyFont="1" applyFill="1" applyBorder="1" applyAlignment="1">
      <alignment horizontal="center" vertical="center"/>
    </xf>
    <xf numFmtId="175" fontId="21" fillId="0" borderId="27" xfId="1" applyNumberFormat="1" applyFont="1" applyBorder="1" applyAlignment="1">
      <alignment horizontal="center" vertical="center"/>
    </xf>
    <xf numFmtId="171" fontId="21" fillId="0" borderId="27" xfId="2" applyNumberFormat="1" applyFont="1" applyBorder="1" applyAlignment="1">
      <alignment horizontal="center"/>
    </xf>
    <xf numFmtId="171" fontId="21" fillId="0" borderId="27" xfId="2" applyNumberFormat="1" applyFont="1" applyBorder="1" applyAlignment="1">
      <alignment horizontal="left"/>
    </xf>
    <xf numFmtId="171" fontId="21" fillId="0" borderId="27" xfId="2" applyNumberFormat="1" applyFont="1" applyFill="1" applyBorder="1"/>
    <xf numFmtId="164" fontId="39" fillId="0" borderId="27" xfId="2" applyFont="1" applyBorder="1"/>
    <xf numFmtId="183" fontId="21" fillId="0" borderId="103" xfId="0" applyNumberFormat="1" applyFont="1" applyBorder="1"/>
    <xf numFmtId="175" fontId="21" fillId="0" borderId="0" xfId="0" applyNumberFormat="1" applyFont="1"/>
    <xf numFmtId="165" fontId="21" fillId="0" borderId="0" xfId="0" applyNumberFormat="1" applyFont="1"/>
    <xf numFmtId="9" fontId="21" fillId="0" borderId="0" xfId="3" applyFont="1"/>
    <xf numFmtId="0" fontId="21" fillId="0" borderId="97" xfId="0" applyFont="1" applyBorder="1"/>
    <xf numFmtId="188" fontId="21" fillId="0" borderId="7" xfId="0" applyNumberFormat="1" applyFont="1" applyBorder="1"/>
    <xf numFmtId="188" fontId="21" fillId="0" borderId="9" xfId="0" applyNumberFormat="1" applyFont="1" applyBorder="1"/>
    <xf numFmtId="0" fontId="21" fillId="0" borderId="95" xfId="0" applyFont="1" applyBorder="1"/>
    <xf numFmtId="188" fontId="21" fillId="0" borderId="0" xfId="0" applyNumberFormat="1" applyFont="1"/>
    <xf numFmtId="188" fontId="21" fillId="0" borderId="14" xfId="0" applyNumberFormat="1" applyFont="1" applyBorder="1"/>
    <xf numFmtId="0" fontId="21" fillId="0" borderId="99" xfId="0" applyFont="1" applyBorder="1"/>
    <xf numFmtId="188" fontId="21" fillId="0" borderId="68" xfId="0" applyNumberFormat="1" applyFont="1" applyBorder="1"/>
    <xf numFmtId="188" fontId="21" fillId="0" borderId="18" xfId="0" applyNumberFormat="1" applyFont="1" applyBorder="1"/>
    <xf numFmtId="2" fontId="49" fillId="0" borderId="0" xfId="0" applyNumberFormat="1" applyFont="1" applyAlignment="1">
      <alignment horizontal="center"/>
    </xf>
    <xf numFmtId="165" fontId="21" fillId="0" borderId="0" xfId="1" applyFont="1" applyFill="1"/>
    <xf numFmtId="168" fontId="21" fillId="4" borderId="0" xfId="0" applyNumberFormat="1" applyFont="1" applyFill="1"/>
    <xf numFmtId="1" fontId="21" fillId="0" borderId="0" xfId="1" applyNumberFormat="1" applyFont="1" applyFill="1"/>
    <xf numFmtId="1" fontId="21" fillId="0" borderId="0" xfId="1" applyNumberFormat="1" applyFont="1"/>
    <xf numFmtId="0" fontId="21" fillId="0" borderId="0" xfId="0" applyFont="1" applyAlignment="1">
      <alignment horizontal="center"/>
    </xf>
    <xf numFmtId="164" fontId="21" fillId="0" borderId="0" xfId="2" applyFont="1" applyAlignment="1">
      <alignment horizontal="center"/>
    </xf>
    <xf numFmtId="171" fontId="21" fillId="0" borderId="0" xfId="2" applyNumberFormat="1" applyFont="1"/>
    <xf numFmtId="164" fontId="21" fillId="0" borderId="0" xfId="2" applyFont="1" applyFill="1"/>
    <xf numFmtId="164" fontId="39" fillId="0" borderId="0" xfId="2" applyFont="1"/>
    <xf numFmtId="0" fontId="30" fillId="2" borderId="7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175" fontId="37" fillId="0" borderId="0" xfId="0" applyNumberFormat="1" applyFont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30" fillId="7" borderId="6" xfId="0" applyFont="1" applyFill="1" applyBorder="1" applyAlignment="1">
      <alignment horizontal="center" vertical="center"/>
    </xf>
    <xf numFmtId="0" fontId="30" fillId="7" borderId="5" xfId="0" applyFont="1" applyFill="1" applyBorder="1" applyAlignment="1">
      <alignment horizontal="center" vertical="center"/>
    </xf>
    <xf numFmtId="0" fontId="29" fillId="7" borderId="0" xfId="0" applyFont="1" applyFill="1" applyAlignment="1">
      <alignment vertical="center"/>
    </xf>
    <xf numFmtId="165" fontId="29" fillId="7" borderId="0" xfId="1" applyFont="1" applyFill="1" applyAlignment="1">
      <alignment vertical="center"/>
    </xf>
    <xf numFmtId="0" fontId="30" fillId="7" borderId="13" xfId="0" applyFont="1" applyFill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51" fillId="7" borderId="12" xfId="0" applyFont="1" applyFill="1" applyBorder="1" applyAlignment="1">
      <alignment horizontal="center" vertical="center" wrapText="1"/>
    </xf>
    <xf numFmtId="0" fontId="30" fillId="7" borderId="17" xfId="0" applyFont="1" applyFill="1" applyBorder="1" applyAlignment="1">
      <alignment horizontal="center" vertical="center"/>
    </xf>
    <xf numFmtId="0" fontId="30" fillId="7" borderId="16" xfId="0" applyFont="1" applyFill="1" applyBorder="1" applyAlignment="1">
      <alignment horizontal="center" vertical="center"/>
    </xf>
    <xf numFmtId="0" fontId="51" fillId="7" borderId="16" xfId="0" applyFont="1" applyFill="1" applyBorder="1" applyAlignment="1">
      <alignment horizontal="center" vertical="center"/>
    </xf>
    <xf numFmtId="1" fontId="25" fillId="0" borderId="26" xfId="2" applyNumberFormat="1" applyFont="1" applyBorder="1" applyAlignment="1">
      <alignment horizontal="center" vertical="center"/>
    </xf>
    <xf numFmtId="190" fontId="25" fillId="0" borderId="26" xfId="0" applyNumberFormat="1" applyFont="1" applyBorder="1" applyAlignment="1">
      <alignment horizontal="center" vertical="center"/>
    </xf>
    <xf numFmtId="166" fontId="29" fillId="0" borderId="84" xfId="0" applyNumberFormat="1" applyFont="1" applyBorder="1" applyAlignment="1">
      <alignment horizontal="center" vertical="center"/>
    </xf>
    <xf numFmtId="49" fontId="29" fillId="0" borderId="108" xfId="0" quotePrefix="1" applyNumberFormat="1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49" fontId="29" fillId="0" borderId="27" xfId="0" quotePrefix="1" applyNumberFormat="1" applyFont="1" applyBorder="1" applyAlignment="1">
      <alignment horizontal="center" vertical="center"/>
    </xf>
    <xf numFmtId="0" fontId="29" fillId="0" borderId="26" xfId="2" applyNumberFormat="1" applyFont="1" applyFill="1" applyBorder="1" applyAlignment="1">
      <alignment horizontal="center"/>
    </xf>
    <xf numFmtId="0" fontId="29" fillId="0" borderId="26" xfId="0" quotePrefix="1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166" fontId="29" fillId="0" borderId="26" xfId="0" applyNumberFormat="1" applyFont="1" applyBorder="1" applyAlignment="1">
      <alignment horizontal="center" vertical="center"/>
    </xf>
    <xf numFmtId="166" fontId="29" fillId="0" borderId="27" xfId="0" applyNumberFormat="1" applyFont="1" applyBorder="1" applyAlignment="1">
      <alignment horizontal="center" vertical="center"/>
    </xf>
    <xf numFmtId="49" fontId="29" fillId="0" borderId="109" xfId="0" quotePrefix="1" applyNumberFormat="1" applyFont="1" applyBorder="1" applyAlignment="1">
      <alignment horizontal="center" vertical="center"/>
    </xf>
    <xf numFmtId="166" fontId="29" fillId="0" borderId="108" xfId="2" applyNumberFormat="1" applyFont="1" applyFill="1" applyBorder="1" applyAlignment="1">
      <alignment horizontal="center" vertical="center"/>
    </xf>
    <xf numFmtId="43" fontId="21" fillId="0" borderId="0" xfId="0" applyNumberFormat="1" applyFont="1"/>
    <xf numFmtId="164" fontId="21" fillId="0" borderId="0" xfId="0" applyNumberFormat="1" applyFont="1"/>
    <xf numFmtId="181" fontId="39" fillId="4" borderId="105" xfId="0" applyNumberFormat="1" applyFont="1" applyFill="1" applyBorder="1"/>
    <xf numFmtId="181" fontId="39" fillId="4" borderId="0" xfId="0" applyNumberFormat="1" applyFont="1" applyFill="1"/>
    <xf numFmtId="42" fontId="23" fillId="0" borderId="0" xfId="0" applyNumberFormat="1" applyFont="1"/>
    <xf numFmtId="0" fontId="25" fillId="0" borderId="55" xfId="0" applyFont="1" applyBorder="1" applyAlignment="1">
      <alignment horizontal="center" vertical="center"/>
    </xf>
    <xf numFmtId="0" fontId="30" fillId="0" borderId="0" xfId="0" applyFont="1"/>
    <xf numFmtId="176" fontId="30" fillId="0" borderId="0" xfId="0" applyNumberFormat="1" applyFont="1"/>
    <xf numFmtId="10" fontId="7" fillId="0" borderId="0" xfId="3" applyNumberFormat="1" applyFont="1"/>
    <xf numFmtId="0" fontId="7" fillId="0" borderId="0" xfId="0" applyFont="1"/>
    <xf numFmtId="176" fontId="30" fillId="0" borderId="7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top" wrapText="1"/>
    </xf>
    <xf numFmtId="1" fontId="3" fillId="0" borderId="67" xfId="0" applyNumberFormat="1" applyFont="1" applyBorder="1"/>
    <xf numFmtId="1" fontId="3" fillId="0" borderId="70" xfId="0" applyNumberFormat="1" applyFont="1" applyBorder="1"/>
    <xf numFmtId="0" fontId="3" fillId="0" borderId="44" xfId="0" applyFont="1" applyBorder="1"/>
    <xf numFmtId="0" fontId="3" fillId="0" borderId="45" xfId="0" applyFont="1" applyBorder="1"/>
    <xf numFmtId="169" fontId="3" fillId="0" borderId="41" xfId="1" applyNumberFormat="1" applyFont="1" applyBorder="1" applyAlignment="1">
      <alignment horizontal="center"/>
    </xf>
    <xf numFmtId="171" fontId="3" fillId="0" borderId="65" xfId="2" applyNumberFormat="1" applyFont="1" applyBorder="1" applyAlignment="1"/>
    <xf numFmtId="42" fontId="3" fillId="0" borderId="0" xfId="0" applyNumberFormat="1" applyFont="1"/>
    <xf numFmtId="165" fontId="3" fillId="0" borderId="0" xfId="3" applyNumberFormat="1" applyFont="1" applyAlignment="1">
      <alignment horizontal="center" vertical="center"/>
    </xf>
    <xf numFmtId="165" fontId="3" fillId="0" borderId="0" xfId="0" applyNumberFormat="1" applyFont="1"/>
    <xf numFmtId="164" fontId="3" fillId="0" borderId="0" xfId="0" applyNumberFormat="1" applyFont="1" applyAlignment="1">
      <alignment horizontal="center" vertical="center"/>
    </xf>
    <xf numFmtId="164" fontId="3" fillId="0" borderId="0" xfId="2" applyFont="1" applyAlignment="1">
      <alignment horizontal="center" vertical="center"/>
    </xf>
    <xf numFmtId="165" fontId="52" fillId="0" borderId="0" xfId="1" applyFont="1" applyAlignment="1">
      <alignment horizontal="left"/>
    </xf>
    <xf numFmtId="164" fontId="49" fillId="5" borderId="0" xfId="2" applyFont="1" applyFill="1" applyAlignment="1">
      <alignment horizontal="center"/>
    </xf>
    <xf numFmtId="0" fontId="44" fillId="0" borderId="0" xfId="0" applyFont="1"/>
    <xf numFmtId="169" fontId="44" fillId="0" borderId="0" xfId="0" applyNumberFormat="1" applyFont="1"/>
    <xf numFmtId="0" fontId="44" fillId="0" borderId="0" xfId="0" applyFont="1" applyAlignment="1">
      <alignment horizontal="center"/>
    </xf>
    <xf numFmtId="176" fontId="53" fillId="0" borderId="7" xfId="0" applyNumberFormat="1" applyFont="1" applyBorder="1" applyAlignment="1">
      <alignment horizontal="center" vertical="center"/>
    </xf>
    <xf numFmtId="165" fontId="44" fillId="0" borderId="0" xfId="1" applyFont="1"/>
    <xf numFmtId="0" fontId="55" fillId="8" borderId="16" xfId="0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center"/>
    </xf>
    <xf numFmtId="169" fontId="53" fillId="0" borderId="0" xfId="0" applyNumberFormat="1" applyFont="1" applyAlignment="1">
      <alignment vertical="center"/>
    </xf>
    <xf numFmtId="0" fontId="44" fillId="7" borderId="0" xfId="0" applyFont="1" applyFill="1" applyAlignment="1">
      <alignment horizontal="center" vertical="center"/>
    </xf>
    <xf numFmtId="169" fontId="44" fillId="3" borderId="1" xfId="0" applyNumberFormat="1" applyFont="1" applyFill="1" applyBorder="1" applyAlignment="1">
      <alignment horizontal="center" vertical="center"/>
    </xf>
    <xf numFmtId="168" fontId="44" fillId="3" borderId="2" xfId="1" applyNumberFormat="1" applyFont="1" applyFill="1" applyBorder="1" applyAlignment="1">
      <alignment horizontal="center" vertical="center"/>
    </xf>
    <xf numFmtId="169" fontId="44" fillId="3" borderId="2" xfId="0" applyNumberFormat="1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168" fontId="44" fillId="3" borderId="110" xfId="1" applyNumberFormat="1" applyFont="1" applyFill="1" applyBorder="1" applyAlignment="1">
      <alignment horizontal="center" vertical="center"/>
    </xf>
    <xf numFmtId="0" fontId="54" fillId="7" borderId="58" xfId="0" applyFont="1" applyFill="1" applyBorder="1" applyAlignment="1">
      <alignment horizontal="center" vertical="center"/>
    </xf>
    <xf numFmtId="0" fontId="44" fillId="7" borderId="58" xfId="0" applyFont="1" applyFill="1" applyBorder="1" applyAlignment="1">
      <alignment horizontal="center" vertical="center"/>
    </xf>
    <xf numFmtId="169" fontId="44" fillId="0" borderId="53" xfId="0" applyNumberFormat="1" applyFont="1" applyBorder="1" applyAlignment="1">
      <alignment horizontal="center" vertical="center"/>
    </xf>
    <xf numFmtId="0" fontId="44" fillId="0" borderId="34" xfId="0" applyFont="1" applyBorder="1" applyAlignment="1">
      <alignment horizontal="left" vertical="center"/>
    </xf>
    <xf numFmtId="0" fontId="44" fillId="0" borderId="34" xfId="0" applyFont="1" applyBorder="1" applyAlignment="1">
      <alignment horizontal="center" vertical="center"/>
    </xf>
    <xf numFmtId="184" fontId="44" fillId="0" borderId="37" xfId="1" applyNumberFormat="1" applyFont="1" applyFill="1" applyBorder="1" applyAlignment="1">
      <alignment horizontal="center" vertical="center"/>
    </xf>
    <xf numFmtId="169" fontId="44" fillId="0" borderId="37" xfId="0" applyNumberFormat="1" applyFont="1" applyBorder="1" applyAlignment="1">
      <alignment horizontal="center" vertical="center"/>
    </xf>
    <xf numFmtId="0" fontId="44" fillId="0" borderId="107" xfId="0" applyFont="1" applyBorder="1" applyAlignment="1">
      <alignment horizontal="center" vertical="center"/>
    </xf>
    <xf numFmtId="0" fontId="44" fillId="0" borderId="37" xfId="0" applyFont="1" applyBorder="1" applyAlignment="1">
      <alignment horizontal="center" vertical="center" wrapText="1"/>
    </xf>
    <xf numFmtId="178" fontId="44" fillId="0" borderId="111" xfId="1" applyNumberFormat="1" applyFont="1" applyFill="1" applyBorder="1" applyAlignment="1">
      <alignment horizontal="center" vertical="center"/>
    </xf>
    <xf numFmtId="169" fontId="44" fillId="0" borderId="66" xfId="0" applyNumberFormat="1" applyFont="1" applyBorder="1" applyAlignment="1">
      <alignment horizontal="center" vertical="center"/>
    </xf>
    <xf numFmtId="0" fontId="44" fillId="0" borderId="43" xfId="0" applyFont="1" applyBorder="1" applyAlignment="1">
      <alignment horizontal="left" vertical="center"/>
    </xf>
    <xf numFmtId="0" fontId="44" fillId="0" borderId="43" xfId="0" applyFont="1" applyBorder="1" applyAlignment="1">
      <alignment horizontal="center" vertical="center"/>
    </xf>
    <xf numFmtId="184" fontId="44" fillId="0" borderId="42" xfId="1" applyNumberFormat="1" applyFont="1" applyFill="1" applyBorder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0" fontId="44" fillId="0" borderId="42" xfId="0" applyFont="1" applyBorder="1" applyAlignment="1">
      <alignment horizontal="center" vertical="center" wrapText="1"/>
    </xf>
    <xf numFmtId="178" fontId="44" fillId="0" borderId="35" xfId="1" applyNumberFormat="1" applyFont="1" applyFill="1" applyBorder="1" applyAlignment="1">
      <alignment horizontal="center" vertical="center"/>
    </xf>
    <xf numFmtId="14" fontId="44" fillId="0" borderId="0" xfId="2" applyNumberFormat="1" applyFont="1" applyAlignment="1">
      <alignment vertical="center"/>
    </xf>
    <xf numFmtId="167" fontId="44" fillId="0" borderId="0" xfId="0" applyNumberFormat="1" applyFont="1" applyAlignment="1">
      <alignment vertical="center"/>
    </xf>
    <xf numFmtId="0" fontId="44" fillId="0" borderId="57" xfId="0" applyFont="1" applyBorder="1" applyAlignment="1">
      <alignment vertical="center"/>
    </xf>
    <xf numFmtId="0" fontId="44" fillId="0" borderId="39" xfId="0" applyFont="1" applyBorder="1" applyAlignment="1">
      <alignment vertical="center"/>
    </xf>
    <xf numFmtId="164" fontId="44" fillId="0" borderId="39" xfId="2" applyFont="1" applyBorder="1" applyAlignment="1">
      <alignment vertical="center"/>
    </xf>
    <xf numFmtId="0" fontId="44" fillId="0" borderId="0" xfId="0" quotePrefix="1" applyFont="1" applyAlignment="1">
      <alignment vertical="center"/>
    </xf>
    <xf numFmtId="170" fontId="44" fillId="0" borderId="0" xfId="0" applyNumberFormat="1" applyFont="1" applyAlignment="1">
      <alignment vertical="center"/>
    </xf>
    <xf numFmtId="0" fontId="44" fillId="0" borderId="13" xfId="0" applyFont="1" applyBorder="1" applyAlignment="1">
      <alignment vertical="center"/>
    </xf>
    <xf numFmtId="164" fontId="44" fillId="0" borderId="0" xfId="2" applyFont="1" applyBorder="1" applyAlignment="1">
      <alignment vertical="center"/>
    </xf>
    <xf numFmtId="170" fontId="44" fillId="0" borderId="43" xfId="0" applyNumberFormat="1" applyFont="1" applyBorder="1" applyAlignment="1">
      <alignment vertical="center"/>
    </xf>
    <xf numFmtId="0" fontId="44" fillId="0" borderId="13" xfId="0" quotePrefix="1" applyFont="1" applyBorder="1" applyAlignment="1">
      <alignment vertical="center"/>
    </xf>
    <xf numFmtId="0" fontId="53" fillId="0" borderId="0" xfId="2" applyNumberFormat="1" applyFont="1" applyBorder="1" applyAlignment="1">
      <alignment vertical="center"/>
    </xf>
    <xf numFmtId="0" fontId="53" fillId="0" borderId="58" xfId="2" applyNumberFormat="1" applyFont="1" applyBorder="1" applyAlignment="1">
      <alignment horizontal="center" vertical="center"/>
    </xf>
    <xf numFmtId="0" fontId="53" fillId="0" borderId="0" xfId="0" applyFont="1" applyAlignment="1">
      <alignment vertical="center"/>
    </xf>
    <xf numFmtId="170" fontId="5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53" fillId="0" borderId="58" xfId="0" applyFont="1" applyBorder="1" applyAlignment="1">
      <alignment horizontal="center" vertical="center"/>
    </xf>
    <xf numFmtId="164" fontId="44" fillId="0" borderId="0" xfId="2" applyFont="1" applyAlignment="1">
      <alignment vertical="center"/>
    </xf>
    <xf numFmtId="0" fontId="44" fillId="0" borderId="59" xfId="0" quotePrefix="1" applyFont="1" applyBorder="1" applyAlignment="1">
      <alignment vertical="center"/>
    </xf>
    <xf numFmtId="0" fontId="53" fillId="0" borderId="43" xfId="0" applyFont="1" applyBorder="1" applyAlignment="1">
      <alignment vertical="center"/>
    </xf>
    <xf numFmtId="0" fontId="53" fillId="0" borderId="6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164" fontId="60" fillId="0" borderId="0" xfId="2" applyFont="1" applyAlignment="1">
      <alignment vertical="center"/>
    </xf>
    <xf numFmtId="169" fontId="44" fillId="0" borderId="0" xfId="0" applyNumberFormat="1" applyFont="1" applyAlignment="1">
      <alignment vertical="center"/>
    </xf>
    <xf numFmtId="168" fontId="44" fillId="0" borderId="0" xfId="1" applyNumberFormat="1" applyFont="1" applyAlignment="1">
      <alignment vertical="center"/>
    </xf>
    <xf numFmtId="0" fontId="54" fillId="0" borderId="58" xfId="0" applyFont="1" applyBorder="1" applyAlignment="1">
      <alignment vertical="center"/>
    </xf>
    <xf numFmtId="0" fontId="44" fillId="0" borderId="58" xfId="0" applyFont="1" applyBorder="1" applyAlignment="1">
      <alignment vertical="center"/>
    </xf>
    <xf numFmtId="165" fontId="44" fillId="0" borderId="0" xfId="1" applyFont="1" applyBorder="1" applyAlignment="1">
      <alignment vertical="center"/>
    </xf>
    <xf numFmtId="165" fontId="44" fillId="0" borderId="0" xfId="1" applyFont="1" applyAlignment="1">
      <alignment vertical="center"/>
    </xf>
    <xf numFmtId="165" fontId="44" fillId="0" borderId="58" xfId="1" applyFont="1" applyBorder="1" applyAlignment="1">
      <alignment vertical="center"/>
    </xf>
    <xf numFmtId="15" fontId="44" fillId="0" borderId="0" xfId="0" applyNumberFormat="1" applyFont="1" applyAlignment="1">
      <alignment vertical="center"/>
    </xf>
    <xf numFmtId="9" fontId="44" fillId="0" borderId="0" xfId="3" applyFont="1" applyAlignment="1">
      <alignment vertical="center"/>
    </xf>
    <xf numFmtId="169" fontId="57" fillId="0" borderId="0" xfId="0" applyNumberFormat="1" applyFont="1" applyAlignment="1">
      <alignment vertical="center"/>
    </xf>
    <xf numFmtId="169" fontId="44" fillId="0" borderId="54" xfId="0" applyNumberFormat="1" applyFont="1" applyBorder="1" applyAlignment="1">
      <alignment vertical="center"/>
    </xf>
    <xf numFmtId="0" fontId="44" fillId="0" borderId="35" xfId="0" applyFont="1" applyBorder="1" applyAlignment="1">
      <alignment vertical="center"/>
    </xf>
    <xf numFmtId="182" fontId="44" fillId="0" borderId="38" xfId="1" applyNumberFormat="1" applyFont="1" applyFill="1" applyBorder="1" applyAlignment="1">
      <alignment vertical="center"/>
    </xf>
    <xf numFmtId="169" fontId="44" fillId="0" borderId="38" xfId="0" applyNumberFormat="1" applyFont="1" applyBorder="1" applyAlignment="1">
      <alignment vertical="center"/>
    </xf>
    <xf numFmtId="2" fontId="44" fillId="0" borderId="35" xfId="1" applyNumberFormat="1" applyFont="1" applyBorder="1" applyAlignment="1">
      <alignment vertical="center"/>
    </xf>
    <xf numFmtId="2" fontId="44" fillId="0" borderId="35" xfId="1" applyNumberFormat="1" applyFont="1" applyBorder="1" applyAlignment="1">
      <alignment horizontal="center" vertical="center"/>
    </xf>
    <xf numFmtId="2" fontId="44" fillId="0" borderId="35" xfId="1" applyNumberFormat="1" applyFont="1" applyBorder="1" applyAlignment="1">
      <alignment horizontal="left" vertical="center"/>
    </xf>
    <xf numFmtId="2" fontId="44" fillId="0" borderId="38" xfId="1" applyNumberFormat="1" applyFont="1" applyBorder="1" applyAlignment="1">
      <alignment horizontal="center" vertical="center"/>
    </xf>
    <xf numFmtId="184" fontId="44" fillId="0" borderId="36" xfId="1" applyNumberFormat="1" applyFont="1" applyBorder="1" applyAlignment="1">
      <alignment horizontal="center" vertical="center"/>
    </xf>
    <xf numFmtId="0" fontId="58" fillId="0" borderId="35" xfId="0" applyFont="1" applyBorder="1" applyAlignment="1">
      <alignment vertical="center"/>
    </xf>
    <xf numFmtId="168" fontId="54" fillId="0" borderId="58" xfId="0" applyNumberFormat="1" applyFont="1" applyBorder="1" applyAlignment="1">
      <alignment vertical="center"/>
    </xf>
    <xf numFmtId="0" fontId="44" fillId="0" borderId="35" xfId="0" applyFont="1" applyBorder="1" applyAlignment="1">
      <alignment horizontal="center" vertical="center"/>
    </xf>
    <xf numFmtId="0" fontId="44" fillId="0" borderId="38" xfId="0" applyFont="1" applyBorder="1" applyAlignment="1">
      <alignment horizontal="center" vertical="center"/>
    </xf>
    <xf numFmtId="184" fontId="44" fillId="0" borderId="36" xfId="1" applyNumberFormat="1" applyFont="1" applyFill="1" applyBorder="1" applyAlignment="1">
      <alignment vertical="center"/>
    </xf>
    <xf numFmtId="168" fontId="44" fillId="0" borderId="0" xfId="0" applyNumberFormat="1" applyFont="1" applyAlignment="1">
      <alignment vertical="center"/>
    </xf>
    <xf numFmtId="184" fontId="44" fillId="0" borderId="48" xfId="1" applyNumberFormat="1" applyFont="1" applyFill="1" applyBorder="1" applyAlignment="1">
      <alignment vertical="center"/>
    </xf>
    <xf numFmtId="0" fontId="44" fillId="0" borderId="48" xfId="0" applyFont="1" applyBorder="1" applyAlignment="1">
      <alignment vertical="center"/>
    </xf>
    <xf numFmtId="168" fontId="44" fillId="0" borderId="38" xfId="1" applyNumberFormat="1" applyFont="1" applyBorder="1" applyAlignment="1">
      <alignment vertical="center"/>
    </xf>
    <xf numFmtId="169" fontId="44" fillId="0" borderId="41" xfId="0" applyNumberFormat="1" applyFont="1" applyBorder="1" applyAlignment="1">
      <alignment vertical="center"/>
    </xf>
    <xf numFmtId="0" fontId="44" fillId="0" borderId="44" xfId="0" applyFont="1" applyBorder="1" applyAlignment="1">
      <alignment vertical="center"/>
    </xf>
    <xf numFmtId="0" fontId="44" fillId="0" borderId="45" xfId="0" applyFont="1" applyBorder="1" applyAlignment="1">
      <alignment vertical="center"/>
    </xf>
    <xf numFmtId="182" fontId="44" fillId="0" borderId="36" xfId="1" applyNumberFormat="1" applyFont="1" applyBorder="1" applyAlignment="1">
      <alignment vertical="center"/>
    </xf>
    <xf numFmtId="169" fontId="44" fillId="0" borderId="97" xfId="0" applyNumberFormat="1" applyFont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98" xfId="0" applyFont="1" applyBorder="1" applyAlignment="1">
      <alignment vertical="center"/>
    </xf>
    <xf numFmtId="168" fontId="44" fillId="0" borderId="17" xfId="1" applyNumberFormat="1" applyFont="1" applyBorder="1" applyAlignment="1">
      <alignment vertical="center"/>
    </xf>
    <xf numFmtId="0" fontId="44" fillId="0" borderId="41" xfId="0" applyFont="1" applyBorder="1" applyAlignment="1">
      <alignment horizontal="center" vertical="center"/>
    </xf>
    <xf numFmtId="182" fontId="44" fillId="0" borderId="46" xfId="1" applyNumberFormat="1" applyFont="1" applyBorder="1" applyAlignment="1">
      <alignment vertical="center"/>
    </xf>
    <xf numFmtId="169" fontId="44" fillId="0" borderId="95" xfId="0" applyNumberFormat="1" applyFont="1" applyBorder="1" applyAlignment="1">
      <alignment vertical="center"/>
    </xf>
    <xf numFmtId="168" fontId="44" fillId="0" borderId="39" xfId="1" applyNumberFormat="1" applyFont="1" applyBorder="1" applyAlignment="1">
      <alignment vertical="center"/>
    </xf>
    <xf numFmtId="182" fontId="44" fillId="0" borderId="112" xfId="1" applyNumberFormat="1" applyFont="1" applyBorder="1" applyAlignment="1">
      <alignment horizontal="right" vertical="center"/>
    </xf>
    <xf numFmtId="169" fontId="44" fillId="0" borderId="13" xfId="0" applyNumberFormat="1" applyFont="1" applyBorder="1" applyAlignment="1">
      <alignment vertical="center"/>
    </xf>
    <xf numFmtId="168" fontId="44" fillId="0" borderId="0" xfId="1" applyNumberFormat="1" applyFont="1" applyBorder="1" applyAlignment="1">
      <alignment vertical="center"/>
    </xf>
    <xf numFmtId="0" fontId="44" fillId="0" borderId="39" xfId="0" applyFont="1" applyBorder="1" applyAlignment="1">
      <alignment horizontal="center" vertical="center"/>
    </xf>
    <xf numFmtId="168" fontId="44" fillId="0" borderId="113" xfId="1" applyNumberFormat="1" applyFont="1" applyBorder="1" applyAlignment="1">
      <alignment horizontal="right" vertical="center"/>
    </xf>
    <xf numFmtId="0" fontId="44" fillId="0" borderId="49" xfId="0" applyFont="1" applyBorder="1" applyAlignment="1">
      <alignment vertical="center"/>
    </xf>
    <xf numFmtId="0" fontId="53" fillId="0" borderId="50" xfId="0" applyFont="1" applyBorder="1" applyAlignment="1">
      <alignment vertical="center"/>
    </xf>
    <xf numFmtId="0" fontId="44" fillId="0" borderId="50" xfId="0" applyFont="1" applyBorder="1" applyAlignment="1">
      <alignment vertical="center"/>
    </xf>
    <xf numFmtId="168" fontId="53" fillId="0" borderId="51" xfId="1" applyNumberFormat="1" applyFont="1" applyBorder="1" applyAlignment="1">
      <alignment vertical="center"/>
    </xf>
    <xf numFmtId="169" fontId="44" fillId="0" borderId="50" xfId="0" applyNumberFormat="1" applyFont="1" applyBorder="1" applyAlignment="1">
      <alignment vertical="center"/>
    </xf>
    <xf numFmtId="0" fontId="44" fillId="0" borderId="50" xfId="0" applyFont="1" applyBorder="1" applyAlignment="1">
      <alignment horizontal="center" vertical="center"/>
    </xf>
    <xf numFmtId="182" fontId="44" fillId="0" borderId="106" xfId="0" applyNumberFormat="1" applyFont="1" applyBorder="1" applyAlignment="1">
      <alignment vertical="center"/>
    </xf>
    <xf numFmtId="0" fontId="44" fillId="0" borderId="47" xfId="0" applyFont="1" applyBorder="1" applyAlignment="1">
      <alignment vertical="center"/>
    </xf>
    <xf numFmtId="177" fontId="44" fillId="0" borderId="0" xfId="1" applyNumberFormat="1" applyFont="1" applyAlignment="1">
      <alignment horizontal="left" vertical="center"/>
    </xf>
    <xf numFmtId="0" fontId="44" fillId="0" borderId="44" xfId="0" applyFont="1" applyBorder="1" applyAlignment="1">
      <alignment horizontal="center" vertical="center"/>
    </xf>
    <xf numFmtId="0" fontId="44" fillId="0" borderId="115" xfId="0" applyFont="1" applyBorder="1" applyAlignment="1">
      <alignment horizontal="center" vertical="center"/>
    </xf>
    <xf numFmtId="0" fontId="58" fillId="0" borderId="35" xfId="0" applyFont="1" applyBorder="1" applyAlignment="1">
      <alignment horizontal="center" vertical="center"/>
    </xf>
    <xf numFmtId="0" fontId="54" fillId="0" borderId="39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44" fillId="0" borderId="97" xfId="0" applyFont="1" applyBorder="1" applyAlignment="1">
      <alignment horizontal="center" vertical="center"/>
    </xf>
    <xf numFmtId="0" fontId="44" fillId="0" borderId="114" xfId="0" applyFont="1" applyBorder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177" fontId="44" fillId="0" borderId="0" xfId="1" applyNumberFormat="1" applyFont="1" applyAlignment="1">
      <alignment horizontal="center" vertical="center"/>
    </xf>
    <xf numFmtId="2" fontId="44" fillId="0" borderId="35" xfId="1" applyNumberFormat="1" applyFont="1" applyFill="1" applyBorder="1" applyAlignment="1">
      <alignment horizontal="center" vertical="center"/>
    </xf>
    <xf numFmtId="177" fontId="44" fillId="0" borderId="44" xfId="1" applyNumberFormat="1" applyFont="1" applyBorder="1" applyAlignment="1">
      <alignment horizontal="center" vertical="center"/>
    </xf>
    <xf numFmtId="177" fontId="44" fillId="0" borderId="0" xfId="1" applyNumberFormat="1" applyFont="1" applyBorder="1" applyAlignment="1">
      <alignment horizontal="center" vertical="center"/>
    </xf>
    <xf numFmtId="177" fontId="44" fillId="0" borderId="14" xfId="1" applyNumberFormat="1" applyFont="1" applyBorder="1" applyAlignment="1">
      <alignment horizontal="center" vertical="center"/>
    </xf>
    <xf numFmtId="177" fontId="53" fillId="0" borderId="50" xfId="1" applyNumberFormat="1" applyFont="1" applyBorder="1" applyAlignment="1">
      <alignment horizontal="center" vertical="center"/>
    </xf>
    <xf numFmtId="0" fontId="44" fillId="0" borderId="96" xfId="0" applyFont="1" applyBorder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61" fillId="0" borderId="0" xfId="0" applyFont="1" applyAlignment="1">
      <alignment vertical="center"/>
    </xf>
    <xf numFmtId="169" fontId="62" fillId="0" borderId="0" xfId="0" applyNumberFormat="1" applyFont="1" applyAlignment="1">
      <alignment vertical="center"/>
    </xf>
    <xf numFmtId="169" fontId="62" fillId="0" borderId="0" xfId="0" applyNumberFormat="1" applyFont="1" applyAlignment="1">
      <alignment horizontal="center" vertical="center"/>
    </xf>
    <xf numFmtId="0" fontId="63" fillId="0" borderId="58" xfId="0" applyFont="1" applyBorder="1" applyAlignment="1">
      <alignment vertical="center"/>
    </xf>
    <xf numFmtId="0" fontId="61" fillId="0" borderId="58" xfId="0" applyFont="1" applyBorder="1" applyAlignment="1">
      <alignment vertical="center"/>
    </xf>
    <xf numFmtId="0" fontId="64" fillId="0" borderId="0" xfId="0" applyFont="1" applyAlignment="1">
      <alignment vertical="center"/>
    </xf>
    <xf numFmtId="169" fontId="65" fillId="0" borderId="0" xfId="0" applyNumberFormat="1" applyFont="1" applyAlignment="1">
      <alignment vertical="center"/>
    </xf>
    <xf numFmtId="169" fontId="65" fillId="0" borderId="0" xfId="0" applyNumberFormat="1" applyFont="1" applyAlignment="1">
      <alignment horizontal="center" vertical="center"/>
    </xf>
    <xf numFmtId="0" fontId="66" fillId="0" borderId="58" xfId="0" applyFont="1" applyBorder="1" applyAlignment="1">
      <alignment vertical="center"/>
    </xf>
    <xf numFmtId="0" fontId="64" fillId="0" borderId="58" xfId="0" applyFont="1" applyBorder="1" applyAlignment="1">
      <alignment vertical="center"/>
    </xf>
    <xf numFmtId="14" fontId="21" fillId="0" borderId="0" xfId="0" applyNumberFormat="1" applyFont="1"/>
    <xf numFmtId="0" fontId="44" fillId="0" borderId="93" xfId="0" applyFont="1" applyBorder="1" applyAlignment="1">
      <alignment horizontal="center" vertical="center"/>
    </xf>
    <xf numFmtId="0" fontId="44" fillId="0" borderId="5" xfId="0" applyFont="1" applyBorder="1" applyAlignment="1">
      <alignment horizontal="left" vertical="center"/>
    </xf>
    <xf numFmtId="0" fontId="44" fillId="0" borderId="93" xfId="0" applyFont="1" applyBorder="1" applyAlignment="1">
      <alignment vertical="center"/>
    </xf>
    <xf numFmtId="0" fontId="44" fillId="0" borderId="40" xfId="0" applyFont="1" applyBorder="1" applyAlignment="1">
      <alignment horizontal="left" vertical="center"/>
    </xf>
    <xf numFmtId="0" fontId="44" fillId="0" borderId="78" xfId="0" applyFont="1" applyBorder="1" applyAlignment="1">
      <alignment horizontal="center" vertical="center"/>
    </xf>
    <xf numFmtId="179" fontId="44" fillId="0" borderId="79" xfId="0" applyNumberFormat="1" applyFont="1" applyBorder="1" applyAlignment="1">
      <alignment horizontal="center" vertical="center"/>
    </xf>
    <xf numFmtId="179" fontId="44" fillId="0" borderId="93" xfId="2" applyNumberFormat="1" applyFont="1" applyFill="1" applyBorder="1" applyAlignment="1">
      <alignment horizontal="center" vertical="center"/>
    </xf>
    <xf numFmtId="179" fontId="44" fillId="0" borderId="93" xfId="1" applyNumberFormat="1" applyFont="1" applyFill="1" applyBorder="1" applyAlignment="1">
      <alignment horizontal="center" vertical="center"/>
    </xf>
    <xf numFmtId="180" fontId="44" fillId="0" borderId="93" xfId="1" applyNumberFormat="1" applyFont="1" applyFill="1" applyBorder="1" applyAlignment="1">
      <alignment horizontal="center" vertical="center"/>
    </xf>
    <xf numFmtId="180" fontId="44" fillId="0" borderId="94" xfId="0" applyNumberFormat="1" applyFont="1" applyBorder="1" applyAlignment="1">
      <alignment horizontal="center" vertical="center"/>
    </xf>
    <xf numFmtId="42" fontId="44" fillId="0" borderId="0" xfId="0" applyNumberFormat="1" applyFont="1" applyAlignment="1">
      <alignment vertical="center"/>
    </xf>
    <xf numFmtId="44" fontId="44" fillId="0" borderId="43" xfId="0" applyNumberFormat="1" applyFont="1" applyBorder="1" applyAlignment="1">
      <alignment horizontal="center" vertical="center"/>
    </xf>
    <xf numFmtId="175" fontId="44" fillId="0" borderId="43" xfId="0" applyNumberFormat="1" applyFont="1" applyBorder="1" applyAlignment="1">
      <alignment horizontal="center" vertical="center"/>
    </xf>
    <xf numFmtId="175" fontId="44" fillId="0" borderId="54" xfId="0" applyNumberFormat="1" applyFont="1" applyBorder="1" applyAlignment="1">
      <alignment horizontal="center" vertical="center"/>
    </xf>
    <xf numFmtId="165" fontId="44" fillId="0" borderId="38" xfId="1" applyFont="1" applyBorder="1" applyAlignment="1">
      <alignment vertical="center"/>
    </xf>
    <xf numFmtId="165" fontId="44" fillId="0" borderId="35" xfId="1" applyFont="1" applyBorder="1" applyAlignment="1">
      <alignment vertical="center"/>
    </xf>
    <xf numFmtId="0" fontId="44" fillId="0" borderId="69" xfId="0" applyFont="1" applyBorder="1" applyAlignment="1">
      <alignment vertical="center"/>
    </xf>
    <xf numFmtId="179" fontId="44" fillId="0" borderId="48" xfId="0" applyNumberFormat="1" applyFont="1" applyBorder="1" applyAlignment="1">
      <alignment vertical="center"/>
    </xf>
    <xf numFmtId="179" fontId="44" fillId="0" borderId="38" xfId="2" applyNumberFormat="1" applyFont="1" applyBorder="1" applyAlignment="1">
      <alignment vertical="center"/>
    </xf>
    <xf numFmtId="179" fontId="44" fillId="0" borderId="38" xfId="1" applyNumberFormat="1" applyFont="1" applyBorder="1" applyAlignment="1">
      <alignment vertical="center"/>
    </xf>
    <xf numFmtId="180" fontId="44" fillId="0" borderId="38" xfId="1" applyNumberFormat="1" applyFont="1" applyBorder="1" applyAlignment="1">
      <alignment vertical="center"/>
    </xf>
    <xf numFmtId="180" fontId="44" fillId="0" borderId="64" xfId="0" applyNumberFormat="1" applyFont="1" applyBorder="1" applyAlignment="1">
      <alignment vertical="center"/>
    </xf>
    <xf numFmtId="44" fontId="44" fillId="0" borderId="0" xfId="0" applyNumberFormat="1" applyFont="1" applyAlignment="1">
      <alignment vertical="center"/>
    </xf>
    <xf numFmtId="175" fontId="44" fillId="0" borderId="0" xfId="0" applyNumberFormat="1" applyFont="1" applyAlignment="1">
      <alignment vertical="center"/>
    </xf>
    <xf numFmtId="175" fontId="44" fillId="0" borderId="55" xfId="0" applyNumberFormat="1" applyFont="1" applyBorder="1" applyAlignment="1">
      <alignment horizontal="center" vertical="center"/>
    </xf>
    <xf numFmtId="165" fontId="44" fillId="0" borderId="12" xfId="1" applyFont="1" applyBorder="1" applyAlignment="1">
      <alignment vertical="center"/>
    </xf>
    <xf numFmtId="165" fontId="44" fillId="0" borderId="57" xfId="1" applyFont="1" applyBorder="1" applyAlignment="1">
      <alignment vertical="center"/>
    </xf>
    <xf numFmtId="179" fontId="44" fillId="0" borderId="12" xfId="2" applyNumberFormat="1" applyFont="1" applyBorder="1" applyAlignment="1">
      <alignment vertical="center"/>
    </xf>
    <xf numFmtId="179" fontId="44" fillId="0" borderId="12" xfId="1" applyNumberFormat="1" applyFont="1" applyBorder="1" applyAlignment="1">
      <alignment vertical="center"/>
    </xf>
    <xf numFmtId="165" fontId="58" fillId="0" borderId="57" xfId="1" applyFont="1" applyBorder="1" applyAlignment="1">
      <alignment vertical="center"/>
    </xf>
    <xf numFmtId="0" fontId="44" fillId="0" borderId="39" xfId="1" applyNumberFormat="1" applyFont="1" applyFill="1" applyBorder="1" applyAlignment="1">
      <alignment vertical="center"/>
    </xf>
    <xf numFmtId="179" fontId="44" fillId="0" borderId="47" xfId="0" applyNumberFormat="1" applyFont="1" applyBorder="1" applyAlignment="1">
      <alignment vertical="center"/>
    </xf>
    <xf numFmtId="175" fontId="44" fillId="0" borderId="67" xfId="0" applyNumberFormat="1" applyFont="1" applyBorder="1" applyAlignment="1">
      <alignment horizontal="center" vertical="center"/>
    </xf>
    <xf numFmtId="165" fontId="44" fillId="0" borderId="41" xfId="1" applyFont="1" applyBorder="1" applyAlignment="1">
      <alignment vertical="center"/>
    </xf>
    <xf numFmtId="0" fontId="44" fillId="0" borderId="70" xfId="0" applyFont="1" applyBorder="1" applyAlignment="1">
      <alignment vertical="center"/>
    </xf>
    <xf numFmtId="42" fontId="44" fillId="0" borderId="45" xfId="0" applyNumberFormat="1" applyFont="1" applyBorder="1" applyAlignment="1">
      <alignment vertical="center"/>
    </xf>
    <xf numFmtId="42" fontId="44" fillId="0" borderId="41" xfId="2" applyNumberFormat="1" applyFont="1" applyBorder="1" applyAlignment="1">
      <alignment vertical="center"/>
    </xf>
    <xf numFmtId="42" fontId="44" fillId="0" borderId="41" xfId="1" applyNumberFormat="1" applyFont="1" applyBorder="1" applyAlignment="1">
      <alignment vertical="center"/>
    </xf>
    <xf numFmtId="180" fontId="44" fillId="0" borderId="41" xfId="1" applyNumberFormat="1" applyFont="1" applyBorder="1" applyAlignment="1">
      <alignment vertical="center"/>
    </xf>
    <xf numFmtId="180" fontId="44" fillId="0" borderId="65" xfId="0" applyNumberFormat="1" applyFont="1" applyBorder="1" applyAlignment="1">
      <alignment vertical="center"/>
    </xf>
    <xf numFmtId="169" fontId="53" fillId="0" borderId="76" xfId="0" applyNumberFormat="1" applyFont="1" applyBorder="1" applyAlignment="1">
      <alignment horizontal="center" vertical="center"/>
    </xf>
    <xf numFmtId="42" fontId="53" fillId="0" borderId="51" xfId="2" applyNumberFormat="1" applyFont="1" applyBorder="1" applyAlignment="1">
      <alignment vertical="center"/>
    </xf>
    <xf numFmtId="42" fontId="53" fillId="0" borderId="51" xfId="1" applyNumberFormat="1" applyFont="1" applyBorder="1" applyAlignment="1">
      <alignment vertical="center"/>
    </xf>
    <xf numFmtId="180" fontId="53" fillId="0" borderId="51" xfId="1" applyNumberFormat="1" applyFont="1" applyBorder="1" applyAlignment="1">
      <alignment vertical="center"/>
    </xf>
    <xf numFmtId="42" fontId="53" fillId="0" borderId="52" xfId="0" applyNumberFormat="1" applyFont="1" applyBorder="1" applyAlignment="1">
      <alignment vertical="center"/>
    </xf>
    <xf numFmtId="42" fontId="53" fillId="0" borderId="0" xfId="0" applyNumberFormat="1" applyFont="1" applyAlignment="1">
      <alignment vertical="center"/>
    </xf>
    <xf numFmtId="44" fontId="53" fillId="0" borderId="0" xfId="0" applyNumberFormat="1" applyFont="1" applyAlignment="1">
      <alignment vertical="center"/>
    </xf>
    <xf numFmtId="175" fontId="53" fillId="0" borderId="0" xfId="0" applyNumberFormat="1" applyFont="1" applyAlignment="1">
      <alignment vertical="center"/>
    </xf>
    <xf numFmtId="169" fontId="44" fillId="0" borderId="0" xfId="0" applyNumberFormat="1" applyFont="1" applyAlignment="1">
      <alignment horizontal="center" vertical="center"/>
    </xf>
    <xf numFmtId="42" fontId="44" fillId="0" borderId="0" xfId="2" applyNumberFormat="1" applyFont="1" applyBorder="1" applyAlignment="1">
      <alignment vertical="center"/>
    </xf>
    <xf numFmtId="42" fontId="44" fillId="0" borderId="0" xfId="1" applyNumberFormat="1" applyFont="1" applyBorder="1" applyAlignment="1">
      <alignment vertical="center"/>
    </xf>
    <xf numFmtId="180" fontId="44" fillId="0" borderId="0" xfId="1" applyNumberFormat="1" applyFont="1" applyBorder="1" applyAlignment="1">
      <alignment vertical="center"/>
    </xf>
    <xf numFmtId="180" fontId="44" fillId="0" borderId="0" xfId="0" applyNumberFormat="1" applyFont="1" applyAlignment="1">
      <alignment vertical="center"/>
    </xf>
    <xf numFmtId="164" fontId="44" fillId="0" borderId="0" xfId="2" applyFont="1" applyBorder="1" applyAlignment="1">
      <alignment horizontal="left" vertical="center"/>
    </xf>
    <xf numFmtId="164" fontId="53" fillId="0" borderId="0" xfId="2" applyFont="1" applyBorder="1" applyAlignment="1">
      <alignment horizontal="left" vertical="center"/>
    </xf>
    <xf numFmtId="15" fontId="44" fillId="0" borderId="56" xfId="0" applyNumberFormat="1" applyFont="1" applyBorder="1" applyAlignment="1">
      <alignment horizontal="center" vertical="center"/>
    </xf>
    <xf numFmtId="15" fontId="44" fillId="0" borderId="54" xfId="0" applyNumberFormat="1" applyFont="1" applyBorder="1" applyAlignment="1">
      <alignment horizontal="center" vertical="center"/>
    </xf>
    <xf numFmtId="165" fontId="44" fillId="0" borderId="38" xfId="1" applyFont="1" applyBorder="1" applyAlignment="1">
      <alignment horizontal="center" vertical="center"/>
    </xf>
    <xf numFmtId="165" fontId="44" fillId="0" borderId="12" xfId="1" applyFont="1" applyBorder="1" applyAlignment="1">
      <alignment horizontal="center" vertical="center"/>
    </xf>
    <xf numFmtId="165" fontId="44" fillId="0" borderId="41" xfId="1" applyFont="1" applyBorder="1" applyAlignment="1">
      <alignment horizontal="center" vertical="center"/>
    </xf>
    <xf numFmtId="180" fontId="44" fillId="0" borderId="0" xfId="0" applyNumberFormat="1" applyFont="1"/>
    <xf numFmtId="44" fontId="44" fillId="0" borderId="0" xfId="0" applyNumberFormat="1" applyFont="1"/>
    <xf numFmtId="175" fontId="44" fillId="0" borderId="0" xfId="0" applyNumberFormat="1" applyFont="1"/>
    <xf numFmtId="169" fontId="44" fillId="0" borderId="0" xfId="0" applyNumberFormat="1" applyFont="1" applyAlignment="1">
      <alignment horizontal="center"/>
    </xf>
    <xf numFmtId="42" fontId="44" fillId="0" borderId="0" xfId="0" applyNumberFormat="1" applyFont="1"/>
    <xf numFmtId="42" fontId="44" fillId="0" borderId="0" xfId="2" applyNumberFormat="1" applyFont="1"/>
    <xf numFmtId="42" fontId="44" fillId="0" borderId="0" xfId="1" applyNumberFormat="1" applyFont="1"/>
    <xf numFmtId="180" fontId="44" fillId="0" borderId="0" xfId="1" applyNumberFormat="1" applyFont="1"/>
    <xf numFmtId="169" fontId="44" fillId="0" borderId="0" xfId="0" applyNumberFormat="1" applyFont="1" applyAlignment="1">
      <alignment horizontal="left"/>
    </xf>
    <xf numFmtId="168" fontId="44" fillId="0" borderId="0" xfId="1" applyNumberFormat="1" applyFont="1" applyAlignment="1"/>
    <xf numFmtId="44" fontId="44" fillId="7" borderId="0" xfId="0" applyNumberFormat="1" applyFont="1" applyFill="1" applyAlignment="1">
      <alignment horizontal="center" vertical="center"/>
    </xf>
    <xf numFmtId="175" fontId="44" fillId="7" borderId="0" xfId="0" applyNumberFormat="1" applyFont="1" applyFill="1" applyAlignment="1">
      <alignment horizontal="center" vertical="center"/>
    </xf>
    <xf numFmtId="0" fontId="44" fillId="3" borderId="41" xfId="0" applyFont="1" applyFill="1" applyBorder="1" applyAlignment="1">
      <alignment horizontal="center" vertical="center"/>
    </xf>
    <xf numFmtId="0" fontId="44" fillId="3" borderId="68" xfId="0" applyFont="1" applyFill="1" applyBorder="1" applyAlignment="1">
      <alignment horizontal="center" vertical="center"/>
    </xf>
    <xf numFmtId="42" fontId="44" fillId="3" borderId="41" xfId="2" applyNumberFormat="1" applyFont="1" applyFill="1" applyBorder="1" applyAlignment="1">
      <alignment horizontal="center" vertical="center"/>
    </xf>
    <xf numFmtId="42" fontId="44" fillId="3" borderId="41" xfId="1" applyNumberFormat="1" applyFont="1" applyFill="1" applyBorder="1" applyAlignment="1">
      <alignment horizontal="center" vertical="center"/>
    </xf>
    <xf numFmtId="180" fontId="44" fillId="3" borderId="41" xfId="1" applyNumberFormat="1" applyFont="1" applyFill="1" applyBorder="1" applyAlignment="1">
      <alignment horizontal="center" vertical="center"/>
    </xf>
    <xf numFmtId="180" fontId="44" fillId="3" borderId="65" xfId="0" applyNumberFormat="1" applyFont="1" applyFill="1" applyBorder="1" applyAlignment="1">
      <alignment horizontal="center" vertical="center"/>
    </xf>
    <xf numFmtId="168" fontId="44" fillId="0" borderId="93" xfId="1" applyNumberFormat="1" applyFont="1" applyBorder="1" applyAlignment="1">
      <alignment horizontal="center" vertical="center"/>
    </xf>
    <xf numFmtId="168" fontId="44" fillId="0" borderId="38" xfId="1" applyNumberFormat="1" applyFont="1" applyBorder="1" applyAlignment="1">
      <alignment horizontal="center" vertical="center"/>
    </xf>
    <xf numFmtId="182" fontId="44" fillId="0" borderId="38" xfId="2" applyNumberFormat="1" applyFont="1" applyBorder="1" applyAlignment="1">
      <alignment vertical="center"/>
    </xf>
    <xf numFmtId="15" fontId="44" fillId="0" borderId="55" xfId="0" applyNumberFormat="1" applyFont="1" applyBorder="1" applyAlignment="1">
      <alignment horizontal="center" vertical="center"/>
    </xf>
    <xf numFmtId="164" fontId="44" fillId="0" borderId="0" xfId="2" applyFont="1" applyBorder="1" applyAlignment="1">
      <alignment horizontal="center" vertical="center"/>
    </xf>
    <xf numFmtId="164" fontId="53" fillId="0" borderId="0" xfId="2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14" fontId="29" fillId="0" borderId="0" xfId="0" applyNumberFormat="1" applyFont="1" applyAlignment="1">
      <alignment vertical="center"/>
    </xf>
    <xf numFmtId="14" fontId="5" fillId="0" borderId="0" xfId="0" applyNumberFormat="1" applyFont="1" applyAlignment="1">
      <alignment horizontal="center"/>
    </xf>
    <xf numFmtId="165" fontId="25" fillId="0" borderId="0" xfId="1" applyFont="1" applyAlignment="1">
      <alignment vertical="center"/>
    </xf>
    <xf numFmtId="182" fontId="7" fillId="0" borderId="11" xfId="0" applyNumberFormat="1" applyFont="1" applyBorder="1" applyAlignment="1">
      <alignment vertical="center"/>
    </xf>
    <xf numFmtId="182" fontId="29" fillId="0" borderId="11" xfId="0" applyNumberFormat="1" applyFont="1" applyBorder="1" applyAlignment="1">
      <alignment vertical="center"/>
    </xf>
    <xf numFmtId="182" fontId="7" fillId="0" borderId="38" xfId="0" applyNumberFormat="1" applyFont="1" applyBorder="1" applyAlignment="1">
      <alignment vertical="center"/>
    </xf>
    <xf numFmtId="182" fontId="30" fillId="0" borderId="38" xfId="0" applyNumberFormat="1" applyFont="1" applyBorder="1" applyAlignment="1">
      <alignment vertical="center"/>
    </xf>
    <xf numFmtId="182" fontId="25" fillId="0" borderId="38" xfId="0" applyNumberFormat="1" applyFont="1" applyBorder="1" applyAlignment="1">
      <alignment vertical="center"/>
    </xf>
    <xf numFmtId="182" fontId="7" fillId="0" borderId="12" xfId="0" applyNumberFormat="1" applyFont="1" applyBorder="1" applyAlignment="1">
      <alignment vertical="center"/>
    </xf>
    <xf numFmtId="182" fontId="7" fillId="0" borderId="51" xfId="0" applyNumberFormat="1" applyFont="1" applyBorder="1" applyAlignment="1">
      <alignment horizontal="center" vertical="center"/>
    </xf>
    <xf numFmtId="182" fontId="30" fillId="0" borderId="51" xfId="0" applyNumberFormat="1" applyFont="1" applyBorder="1" applyAlignment="1">
      <alignment horizontal="center" vertical="center"/>
    </xf>
    <xf numFmtId="1" fontId="47" fillId="0" borderId="69" xfId="0" applyNumberFormat="1" applyFont="1" applyBorder="1" applyAlignment="1">
      <alignment vertical="center"/>
    </xf>
    <xf numFmtId="0" fontId="68" fillId="0" borderId="0" xfId="18" applyFont="1"/>
    <xf numFmtId="0" fontId="69" fillId="0" borderId="0" xfId="18" applyFont="1" applyAlignment="1">
      <alignment horizontal="center"/>
    </xf>
    <xf numFmtId="0" fontId="70" fillId="0" borderId="0" xfId="18" applyFont="1"/>
    <xf numFmtId="191" fontId="69" fillId="0" borderId="0" xfId="18" applyNumberFormat="1" applyFont="1" applyAlignment="1">
      <alignment horizontal="left"/>
    </xf>
    <xf numFmtId="0" fontId="71" fillId="0" borderId="0" xfId="18" applyFont="1"/>
    <xf numFmtId="0" fontId="69" fillId="0" borderId="0" xfId="18" applyFont="1"/>
    <xf numFmtId="191" fontId="69" fillId="0" borderId="0" xfId="18" applyNumberFormat="1" applyFont="1"/>
    <xf numFmtId="0" fontId="70" fillId="0" borderId="0" xfId="18" applyFont="1" applyAlignment="1">
      <alignment horizontal="center"/>
    </xf>
    <xf numFmtId="164" fontId="68" fillId="0" borderId="0" xfId="19" applyFont="1"/>
    <xf numFmtId="0" fontId="69" fillId="0" borderId="56" xfId="18" applyFont="1" applyBorder="1" applyAlignment="1">
      <alignment horizontal="center" vertical="center"/>
    </xf>
    <xf numFmtId="0" fontId="69" fillId="0" borderId="93" xfId="18" applyFont="1" applyBorder="1" applyAlignment="1">
      <alignment horizontal="center" vertical="center"/>
    </xf>
    <xf numFmtId="0" fontId="69" fillId="0" borderId="93" xfId="18" applyFont="1" applyBorder="1" applyAlignment="1">
      <alignment horizontal="center" vertical="center" wrapText="1"/>
    </xf>
    <xf numFmtId="0" fontId="69" fillId="0" borderId="94" xfId="18" applyFont="1" applyBorder="1" applyAlignment="1">
      <alignment horizontal="center" vertical="center" wrapText="1"/>
    </xf>
    <xf numFmtId="9" fontId="68" fillId="0" borderId="0" xfId="18" applyNumberFormat="1" applyFont="1"/>
    <xf numFmtId="164" fontId="68" fillId="0" borderId="0" xfId="18" applyNumberFormat="1" applyFont="1"/>
    <xf numFmtId="0" fontId="70" fillId="0" borderId="116" xfId="18" applyFont="1" applyBorder="1" applyAlignment="1">
      <alignment horizontal="center"/>
    </xf>
    <xf numFmtId="0" fontId="70" fillId="0" borderId="108" xfId="18" applyFont="1" applyBorder="1" applyAlignment="1">
      <alignment horizontal="center"/>
    </xf>
    <xf numFmtId="0" fontId="70" fillId="0" borderId="108" xfId="18" applyFont="1" applyBorder="1"/>
    <xf numFmtId="0" fontId="70" fillId="0" borderId="117" xfId="18" applyFont="1" applyBorder="1"/>
    <xf numFmtId="0" fontId="70" fillId="0" borderId="25" xfId="18" applyFont="1" applyBorder="1" applyAlignment="1">
      <alignment horizontal="center"/>
    </xf>
    <xf numFmtId="14" fontId="70" fillId="0" borderId="26" xfId="18" applyNumberFormat="1" applyFont="1" applyBorder="1" applyAlignment="1">
      <alignment horizontal="center"/>
    </xf>
    <xf numFmtId="0" fontId="70" fillId="0" borderId="26" xfId="18" applyFont="1" applyBorder="1"/>
    <xf numFmtId="0" fontId="70" fillId="0" borderId="26" xfId="18" quotePrefix="1" applyFont="1" applyBorder="1" applyAlignment="1">
      <alignment horizontal="center" vertical="center"/>
    </xf>
    <xf numFmtId="192" fontId="70" fillId="0" borderId="26" xfId="18" applyNumberFormat="1" applyFont="1" applyBorder="1"/>
    <xf numFmtId="192" fontId="70" fillId="0" borderId="28" xfId="18" applyNumberFormat="1" applyFont="1" applyBorder="1"/>
    <xf numFmtId="0" fontId="70" fillId="0" borderId="26" xfId="18" applyFont="1" applyBorder="1" applyAlignment="1">
      <alignment horizontal="center" vertical="center"/>
    </xf>
    <xf numFmtId="192" fontId="68" fillId="0" borderId="0" xfId="18" applyNumberFormat="1" applyFont="1"/>
    <xf numFmtId="0" fontId="70" fillId="0" borderId="118" xfId="18" applyFont="1" applyBorder="1" applyAlignment="1">
      <alignment horizontal="center"/>
    </xf>
    <xf numFmtId="14" fontId="70" fillId="0" borderId="29" xfId="18" applyNumberFormat="1" applyFont="1" applyBorder="1" applyAlignment="1">
      <alignment horizontal="center"/>
    </xf>
    <xf numFmtId="0" fontId="70" fillId="0" borderId="29" xfId="18" applyFont="1" applyBorder="1"/>
    <xf numFmtId="0" fontId="70" fillId="0" borderId="29" xfId="18" applyFont="1" applyBorder="1" applyAlignment="1">
      <alignment horizontal="center" vertical="center"/>
    </xf>
    <xf numFmtId="192" fontId="70" fillId="0" borderId="29" xfId="18" applyNumberFormat="1" applyFont="1" applyBorder="1"/>
    <xf numFmtId="167" fontId="70" fillId="0" borderId="119" xfId="18" applyNumberFormat="1" applyFont="1" applyBorder="1"/>
    <xf numFmtId="0" fontId="70" fillId="0" borderId="76" xfId="18" applyFont="1" applyBorder="1"/>
    <xf numFmtId="0" fontId="69" fillId="0" borderId="121" xfId="18" applyFont="1" applyBorder="1" applyAlignment="1">
      <alignment horizontal="center"/>
    </xf>
    <xf numFmtId="192" fontId="69" fillId="0" borderId="51" xfId="18" applyNumberFormat="1" applyFont="1" applyBorder="1"/>
    <xf numFmtId="167" fontId="69" fillId="0" borderId="52" xfId="18" applyNumberFormat="1" applyFont="1" applyBorder="1"/>
    <xf numFmtId="0" fontId="72" fillId="0" borderId="0" xfId="18" applyFont="1"/>
    <xf numFmtId="0" fontId="72" fillId="0" borderId="0" xfId="18" applyFont="1" applyAlignment="1">
      <alignment horizontal="center"/>
    </xf>
    <xf numFmtId="0" fontId="73" fillId="0" borderId="0" xfId="18" applyFont="1" applyAlignment="1">
      <alignment horizontal="center"/>
    </xf>
    <xf numFmtId="0" fontId="74" fillId="0" borderId="0" xfId="18" applyFont="1"/>
    <xf numFmtId="193" fontId="70" fillId="0" borderId="28" xfId="18" applyNumberFormat="1" applyFont="1" applyBorder="1"/>
    <xf numFmtId="0" fontId="68" fillId="0" borderId="0" xfId="18" applyFont="1" applyAlignment="1">
      <alignment horizontal="center"/>
    </xf>
    <xf numFmtId="44" fontId="68" fillId="0" borderId="0" xfId="18" applyNumberFormat="1" applyFont="1"/>
    <xf numFmtId="165" fontId="68" fillId="0" borderId="0" xfId="1" applyFont="1"/>
    <xf numFmtId="2" fontId="44" fillId="0" borderId="0" xfId="0" applyNumberFormat="1" applyFont="1" applyAlignment="1">
      <alignment vertical="center"/>
    </xf>
    <xf numFmtId="0" fontId="22" fillId="0" borderId="0" xfId="0" applyFont="1" applyAlignment="1">
      <alignment horizontal="center" vertical="center"/>
    </xf>
    <xf numFmtId="0" fontId="69" fillId="0" borderId="0" xfId="18" applyFont="1" applyAlignment="1">
      <alignment horizontal="center"/>
    </xf>
    <xf numFmtId="0" fontId="73" fillId="0" borderId="0" xfId="18" applyFont="1" applyAlignment="1">
      <alignment horizontal="center"/>
    </xf>
    <xf numFmtId="0" fontId="72" fillId="0" borderId="0" xfId="18" applyFont="1" applyAlignment="1">
      <alignment horizontal="center"/>
    </xf>
    <xf numFmtId="0" fontId="67" fillId="0" borderId="0" xfId="18" applyFont="1" applyAlignment="1">
      <alignment horizontal="center" vertical="center"/>
    </xf>
    <xf numFmtId="0" fontId="69" fillId="0" borderId="0" xfId="18" applyFont="1" applyAlignment="1">
      <alignment horizontal="left" vertical="top" wrapText="1"/>
    </xf>
    <xf numFmtId="0" fontId="69" fillId="0" borderId="120" xfId="18" applyFont="1" applyBorder="1" applyAlignment="1">
      <alignment horizontal="center"/>
    </xf>
    <xf numFmtId="0" fontId="69" fillId="0" borderId="121" xfId="18" applyFont="1" applyBorder="1" applyAlignment="1">
      <alignment horizontal="center"/>
    </xf>
    <xf numFmtId="171" fontId="55" fillId="8" borderId="77" xfId="2" applyNumberFormat="1" applyFont="1" applyFill="1" applyBorder="1" applyAlignment="1">
      <alignment horizontal="center" vertical="center"/>
    </xf>
    <xf numFmtId="171" fontId="55" fillId="8" borderId="80" xfId="2" applyNumberFormat="1" applyFont="1" applyFill="1" applyBorder="1" applyAlignment="1">
      <alignment horizontal="center" vertical="center"/>
    </xf>
    <xf numFmtId="0" fontId="55" fillId="8" borderId="16" xfId="0" applyFont="1" applyFill="1" applyBorder="1" applyAlignment="1">
      <alignment horizontal="center" vertical="center"/>
    </xf>
    <xf numFmtId="0" fontId="55" fillId="8" borderId="78" xfId="0" applyFont="1" applyFill="1" applyBorder="1" applyAlignment="1">
      <alignment horizontal="center" vertical="center"/>
    </xf>
    <xf numFmtId="0" fontId="55" fillId="8" borderId="40" xfId="0" applyFont="1" applyFill="1" applyBorder="1" applyAlignment="1">
      <alignment horizontal="center" vertical="center"/>
    </xf>
    <xf numFmtId="0" fontId="55" fillId="8" borderId="79" xfId="0" applyFont="1" applyFill="1" applyBorder="1" applyAlignment="1">
      <alignment horizontal="center" vertical="center"/>
    </xf>
    <xf numFmtId="0" fontId="55" fillId="8" borderId="5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75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right" vertical="center"/>
    </xf>
    <xf numFmtId="175" fontId="44" fillId="0" borderId="0" xfId="1" applyNumberFormat="1" applyFont="1" applyAlignment="1">
      <alignment horizontal="left" vertical="center"/>
    </xf>
    <xf numFmtId="1" fontId="55" fillId="8" borderId="4" xfId="0" applyNumberFormat="1" applyFont="1" applyFill="1" applyBorder="1" applyAlignment="1">
      <alignment horizontal="center" vertical="center"/>
    </xf>
    <xf numFmtId="1" fontId="55" fillId="8" borderId="15" xfId="0" applyNumberFormat="1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/>
    </xf>
    <xf numFmtId="169" fontId="62" fillId="0" borderId="0" xfId="0" applyNumberFormat="1" applyFont="1" applyAlignment="1">
      <alignment horizontal="center" vertical="center"/>
    </xf>
    <xf numFmtId="169" fontId="65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left" vertical="top" wrapText="1"/>
    </xf>
    <xf numFmtId="169" fontId="44" fillId="3" borderId="56" xfId="0" applyNumberFormat="1" applyFont="1" applyFill="1" applyBorder="1" applyAlignment="1">
      <alignment horizontal="center" vertical="center"/>
    </xf>
    <xf numFmtId="169" fontId="44" fillId="3" borderId="67" xfId="0" applyNumberFormat="1" applyFont="1" applyFill="1" applyBorder="1" applyAlignment="1">
      <alignment horizontal="center" vertical="center"/>
    </xf>
    <xf numFmtId="0" fontId="44" fillId="3" borderId="41" xfId="0" applyFont="1" applyFill="1" applyBorder="1" applyAlignment="1">
      <alignment horizontal="center" vertical="center"/>
    </xf>
    <xf numFmtId="42" fontId="44" fillId="3" borderId="93" xfId="2" applyNumberFormat="1" applyFont="1" applyFill="1" applyBorder="1" applyAlignment="1">
      <alignment horizontal="center" vertical="center"/>
    </xf>
    <xf numFmtId="0" fontId="44" fillId="3" borderId="93" xfId="0" applyFont="1" applyFill="1" applyBorder="1" applyAlignment="1">
      <alignment horizontal="center" vertical="center"/>
    </xf>
    <xf numFmtId="0" fontId="53" fillId="0" borderId="51" xfId="0" applyFont="1" applyBorder="1" applyAlignment="1">
      <alignment horizontal="center" vertical="center"/>
    </xf>
    <xf numFmtId="0" fontId="53" fillId="0" borderId="16" xfId="0" applyFont="1" applyBorder="1" applyAlignment="1">
      <alignment horizontal="center" vertical="center"/>
    </xf>
    <xf numFmtId="0" fontId="44" fillId="3" borderId="93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75" fontId="44" fillId="0" borderId="0" xfId="0" applyNumberFormat="1" applyFont="1" applyAlignment="1">
      <alignment horizontal="left" vertical="center"/>
    </xf>
    <xf numFmtId="180" fontId="44" fillId="3" borderId="93" xfId="1" applyNumberFormat="1" applyFont="1" applyFill="1" applyBorder="1" applyAlignment="1">
      <alignment horizontal="center" vertical="center"/>
    </xf>
    <xf numFmtId="180" fontId="44" fillId="3" borderId="94" xfId="1" applyNumberFormat="1" applyFont="1" applyFill="1" applyBorder="1" applyAlignment="1">
      <alignment horizontal="center" vertical="center"/>
    </xf>
    <xf numFmtId="1" fontId="7" fillId="8" borderId="95" xfId="0" applyNumberFormat="1" applyFont="1" applyFill="1" applyBorder="1" applyAlignment="1">
      <alignment horizontal="center" vertical="center"/>
    </xf>
    <xf numFmtId="166" fontId="43" fillId="0" borderId="32" xfId="0" applyNumberFormat="1" applyFont="1" applyBorder="1" applyAlignment="1">
      <alignment horizontal="center" vertical="center"/>
    </xf>
    <xf numFmtId="166" fontId="43" fillId="0" borderId="31" xfId="0" applyNumberFormat="1" applyFont="1" applyBorder="1" applyAlignment="1">
      <alignment horizontal="center" vertical="center"/>
    </xf>
    <xf numFmtId="166" fontId="43" fillId="0" borderId="33" xfId="0" applyNumberFormat="1" applyFont="1" applyBorder="1" applyAlignment="1">
      <alignment horizontal="center" vertical="center"/>
    </xf>
    <xf numFmtId="175" fontId="37" fillId="0" borderId="0" xfId="0" applyNumberFormat="1" applyFont="1" applyAlignment="1">
      <alignment horizontal="left" vertical="center"/>
    </xf>
    <xf numFmtId="0" fontId="30" fillId="7" borderId="78" xfId="0" applyFont="1" applyFill="1" applyBorder="1" applyAlignment="1">
      <alignment horizontal="center" vertical="center"/>
    </xf>
    <xf numFmtId="0" fontId="30" fillId="7" borderId="40" xfId="0" applyFont="1" applyFill="1" applyBorder="1" applyAlignment="1">
      <alignment horizontal="center" vertical="center"/>
    </xf>
    <xf numFmtId="0" fontId="30" fillId="7" borderId="79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30" fillId="2" borderId="14" xfId="0" applyFont="1" applyFill="1" applyBorder="1" applyAlignment="1">
      <alignment horizontal="center" vertical="center"/>
    </xf>
    <xf numFmtId="0" fontId="30" fillId="2" borderId="17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30" fillId="2" borderId="16" xfId="0" applyFont="1" applyFill="1" applyBorder="1" applyAlignment="1">
      <alignment horizontal="center" vertical="center"/>
    </xf>
    <xf numFmtId="0" fontId="30" fillId="2" borderId="58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175" fontId="37" fillId="0" borderId="0" xfId="0" applyNumberFormat="1" applyFont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72" xfId="0" applyFont="1" applyFill="1" applyBorder="1" applyAlignment="1">
      <alignment horizontal="center" vertical="center"/>
    </xf>
    <xf numFmtId="0" fontId="30" fillId="2" borderId="7" xfId="0" applyFont="1" applyFill="1" applyBorder="1" applyAlignment="1">
      <alignment horizontal="center" vertical="center"/>
    </xf>
    <xf numFmtId="0" fontId="30" fillId="7" borderId="6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7" borderId="13" xfId="0" applyFont="1" applyFill="1" applyBorder="1" applyAlignment="1">
      <alignment horizontal="center" vertical="center"/>
    </xf>
    <xf numFmtId="0" fontId="30" fillId="7" borderId="14" xfId="0" applyFont="1" applyFill="1" applyBorder="1" applyAlignment="1">
      <alignment horizontal="center" vertical="center"/>
    </xf>
    <xf numFmtId="0" fontId="30" fillId="7" borderId="17" xfId="0" applyFont="1" applyFill="1" applyBorder="1" applyAlignment="1">
      <alignment horizontal="center" vertical="center"/>
    </xf>
    <xf numFmtId="0" fontId="30" fillId="7" borderId="18" xfId="0" applyFont="1" applyFill="1" applyBorder="1" applyAlignment="1">
      <alignment horizontal="center" vertical="center"/>
    </xf>
    <xf numFmtId="0" fontId="30" fillId="7" borderId="12" xfId="0" applyFont="1" applyFill="1" applyBorder="1" applyAlignment="1">
      <alignment horizontal="center" vertical="center"/>
    </xf>
    <xf numFmtId="0" fontId="30" fillId="7" borderId="16" xfId="0" applyFont="1" applyFill="1" applyBorder="1" applyAlignment="1">
      <alignment horizontal="center" vertical="center"/>
    </xf>
    <xf numFmtId="0" fontId="30" fillId="7" borderId="58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  <xf numFmtId="0" fontId="30" fillId="7" borderId="15" xfId="0" applyFont="1" applyFill="1" applyBorder="1" applyAlignment="1">
      <alignment horizontal="center" vertical="center"/>
    </xf>
    <xf numFmtId="0" fontId="30" fillId="7" borderId="8" xfId="0" applyFont="1" applyFill="1" applyBorder="1" applyAlignment="1">
      <alignment horizontal="center" vertical="center"/>
    </xf>
    <xf numFmtId="0" fontId="30" fillId="7" borderId="72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9" xfId="0" applyFont="1" applyFill="1" applyBorder="1" applyAlignment="1">
      <alignment horizontal="center" vertical="center"/>
    </xf>
    <xf numFmtId="0" fontId="30" fillId="8" borderId="13" xfId="0" applyFont="1" applyFill="1" applyBorder="1" applyAlignment="1">
      <alignment horizontal="center" vertical="center"/>
    </xf>
    <xf numFmtId="0" fontId="30" fillId="8" borderId="14" xfId="0" applyFont="1" applyFill="1" applyBorder="1" applyAlignment="1">
      <alignment horizontal="center" vertical="center"/>
    </xf>
    <xf numFmtId="0" fontId="30" fillId="8" borderId="17" xfId="0" applyFont="1" applyFill="1" applyBorder="1" applyAlignment="1">
      <alignment horizontal="center" vertical="center"/>
    </xf>
    <xf numFmtId="0" fontId="30" fillId="8" borderId="18" xfId="0" applyFont="1" applyFill="1" applyBorder="1" applyAlignment="1">
      <alignment horizontal="center" vertical="center"/>
    </xf>
    <xf numFmtId="0" fontId="30" fillId="8" borderId="4" xfId="0" applyFont="1" applyFill="1" applyBorder="1" applyAlignment="1">
      <alignment horizontal="center" vertical="center"/>
    </xf>
    <xf numFmtId="0" fontId="30" fillId="8" borderId="10" xfId="0" applyFont="1" applyFill="1" applyBorder="1" applyAlignment="1">
      <alignment horizontal="center" vertical="center"/>
    </xf>
    <xf numFmtId="0" fontId="30" fillId="8" borderId="15" xfId="0" applyFont="1" applyFill="1" applyBorder="1" applyAlignment="1">
      <alignment horizontal="center" vertical="center"/>
    </xf>
    <xf numFmtId="0" fontId="30" fillId="8" borderId="8" xfId="0" applyFont="1" applyFill="1" applyBorder="1" applyAlignment="1">
      <alignment horizontal="center" vertical="center"/>
    </xf>
    <xf numFmtId="0" fontId="30" fillId="8" borderId="58" xfId="0" applyFont="1" applyFill="1" applyBorder="1" applyAlignment="1">
      <alignment horizontal="center" vertical="center"/>
    </xf>
    <xf numFmtId="0" fontId="30" fillId="8" borderId="72" xfId="0" applyFont="1" applyFill="1" applyBorder="1" applyAlignment="1">
      <alignment horizontal="center" vertical="center"/>
    </xf>
    <xf numFmtId="0" fontId="30" fillId="8" borderId="12" xfId="0" applyFont="1" applyFill="1" applyBorder="1" applyAlignment="1">
      <alignment horizontal="center" vertical="center"/>
    </xf>
    <xf numFmtId="0" fontId="30" fillId="8" borderId="16" xfId="0" applyFont="1" applyFill="1" applyBorder="1" applyAlignment="1">
      <alignment horizontal="center" vertical="center"/>
    </xf>
    <xf numFmtId="0" fontId="30" fillId="8" borderId="78" xfId="0" applyFont="1" applyFill="1" applyBorder="1" applyAlignment="1">
      <alignment horizontal="center" vertical="center"/>
    </xf>
    <xf numFmtId="0" fontId="30" fillId="8" borderId="40" xfId="0" applyFont="1" applyFill="1" applyBorder="1" applyAlignment="1">
      <alignment horizontal="center" vertical="center"/>
    </xf>
    <xf numFmtId="175" fontId="19" fillId="0" borderId="0" xfId="0" applyNumberFormat="1" applyFont="1" applyAlignment="1">
      <alignment horizontal="left" vertical="center"/>
    </xf>
    <xf numFmtId="166" fontId="13" fillId="0" borderId="32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3" xfId="0" applyNumberFormat="1" applyFont="1" applyBorder="1" applyAlignment="1">
      <alignment horizontal="center" vertical="center"/>
    </xf>
    <xf numFmtId="169" fontId="27" fillId="0" borderId="0" xfId="0" applyNumberFormat="1" applyFont="1" applyAlignment="1">
      <alignment horizontal="center" vertical="center"/>
    </xf>
    <xf numFmtId="169" fontId="28" fillId="0" borderId="0" xfId="0" applyNumberFormat="1" applyFont="1" applyAlignment="1">
      <alignment horizontal="center" vertical="center"/>
    </xf>
    <xf numFmtId="165" fontId="3" fillId="0" borderId="0" xfId="1" applyFont="1" applyAlignment="1">
      <alignment horizontal="right"/>
    </xf>
    <xf numFmtId="0" fontId="7" fillId="8" borderId="78" xfId="0" applyFont="1" applyFill="1" applyBorder="1" applyAlignment="1">
      <alignment horizontal="center" vertical="center"/>
    </xf>
    <xf numFmtId="0" fontId="7" fillId="8" borderId="40" xfId="0" applyFont="1" applyFill="1" applyBorder="1" applyAlignment="1">
      <alignment horizontal="center" vertical="center"/>
    </xf>
    <xf numFmtId="0" fontId="7" fillId="8" borderId="79" xfId="0" applyFont="1" applyFill="1" applyBorder="1" applyAlignment="1">
      <alignment horizontal="center" vertical="center"/>
    </xf>
    <xf numFmtId="0" fontId="22" fillId="8" borderId="16" xfId="0" applyFont="1" applyFill="1" applyBorder="1" applyAlignment="1">
      <alignment horizontal="center" vertical="center"/>
    </xf>
    <xf numFmtId="171" fontId="7" fillId="8" borderId="77" xfId="2" applyNumberFormat="1" applyFont="1" applyFill="1" applyBorder="1" applyAlignment="1">
      <alignment horizontal="center" vertical="center"/>
    </xf>
    <xf numFmtId="171" fontId="7" fillId="8" borderId="80" xfId="2" applyNumberFormat="1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" fontId="7" fillId="8" borderId="4" xfId="0" applyNumberFormat="1" applyFont="1" applyFill="1" applyBorder="1" applyAlignment="1">
      <alignment horizontal="center" vertical="center"/>
    </xf>
    <xf numFmtId="1" fontId="7" fillId="8" borderId="15" xfId="0" applyNumberFormat="1" applyFont="1" applyFill="1" applyBorder="1" applyAlignment="1">
      <alignment horizontal="center" vertical="center"/>
    </xf>
    <xf numFmtId="0" fontId="7" fillId="7" borderId="61" xfId="0" applyFont="1" applyFill="1" applyBorder="1" applyAlignment="1">
      <alignment horizontal="center" vertical="center"/>
    </xf>
    <xf numFmtId="0" fontId="7" fillId="7" borderId="62" xfId="0" applyFont="1" applyFill="1" applyBorder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25" fillId="0" borderId="0" xfId="0" applyFont="1" applyAlignment="1">
      <alignment horizontal="left" vertical="top" wrapText="1"/>
    </xf>
    <xf numFmtId="0" fontId="7" fillId="0" borderId="76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182" fontId="30" fillId="0" borderId="51" xfId="0" applyNumberFormat="1" applyFont="1" applyBorder="1" applyAlignment="1">
      <alignment horizontal="center" vertical="center"/>
    </xf>
    <xf numFmtId="182" fontId="7" fillId="0" borderId="51" xfId="0" applyNumberFormat="1" applyFont="1" applyBorder="1" applyAlignment="1">
      <alignment horizontal="center" vertical="center"/>
    </xf>
    <xf numFmtId="182" fontId="30" fillId="0" borderId="52" xfId="0" applyNumberFormat="1" applyFont="1" applyBorder="1" applyAlignment="1">
      <alignment horizontal="center" vertical="center"/>
    </xf>
    <xf numFmtId="0" fontId="7" fillId="0" borderId="42" xfId="0" applyFont="1" applyBorder="1" applyAlignment="1">
      <alignment vertical="center"/>
    </xf>
    <xf numFmtId="182" fontId="29" fillId="0" borderId="38" xfId="0" applyNumberFormat="1" applyFont="1" applyBorder="1" applyAlignment="1">
      <alignment vertical="center"/>
    </xf>
    <xf numFmtId="182" fontId="29" fillId="0" borderId="12" xfId="0" applyNumberFormat="1" applyFont="1" applyBorder="1" applyAlignment="1">
      <alignment horizontal="center" vertical="center"/>
    </xf>
    <xf numFmtId="182" fontId="29" fillId="0" borderId="11" xfId="0" applyNumberFormat="1" applyFont="1" applyBorder="1" applyAlignment="1">
      <alignment vertical="center"/>
    </xf>
    <xf numFmtId="0" fontId="5" fillId="0" borderId="38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5" fillId="0" borderId="0" xfId="0" applyFont="1" applyAlignment="1">
      <alignment horizontal="center"/>
    </xf>
  </cellXfs>
  <cellStyles count="20">
    <cellStyle name="Comma" xfId="1" builtinId="3"/>
    <cellStyle name="Comma [0]" xfId="2" builtinId="6"/>
    <cellStyle name="Comma [0] 2" xfId="6" xr:uid="{00000000-0005-0000-0000-000002000000}"/>
    <cellStyle name="Comma [0] 2 2" xfId="19" xr:uid="{55D2CE01-FAE4-4085-B02D-D9E200FF28F0}"/>
    <cellStyle name="Comma [0] 2 3" xfId="7" xr:uid="{00000000-0005-0000-0000-000003000000}"/>
    <cellStyle name="Comma [0] 3" xfId="8" xr:uid="{00000000-0005-0000-0000-000004000000}"/>
    <cellStyle name="Comma [0] 4" xfId="9" xr:uid="{00000000-0005-0000-0000-000005000000}"/>
    <cellStyle name="Comma [0] 5" xfId="5" xr:uid="{00000000-0005-0000-0000-000006000000}"/>
    <cellStyle name="Comma 2" xfId="10" xr:uid="{00000000-0005-0000-0000-000007000000}"/>
    <cellStyle name="Comma 2 2" xfId="11" xr:uid="{00000000-0005-0000-0000-000008000000}"/>
    <cellStyle name="Comma 3" xfId="12" xr:uid="{00000000-0005-0000-0000-000009000000}"/>
    <cellStyle name="Normal" xfId="0" builtinId="0"/>
    <cellStyle name="Normal 10" xfId="13" xr:uid="{00000000-0005-0000-0000-00000B000000}"/>
    <cellStyle name="Normal 2" xfId="14" xr:uid="{00000000-0005-0000-0000-00000C000000}"/>
    <cellStyle name="Normal 2 2" xfId="15" xr:uid="{00000000-0005-0000-0000-00000D000000}"/>
    <cellStyle name="Normal 2 3" xfId="18" xr:uid="{BE1CB2BC-950F-497A-8BFD-25C2419BC4AC}"/>
    <cellStyle name="Normal 3" xfId="4" xr:uid="{00000000-0005-0000-0000-00000E000000}"/>
    <cellStyle name="Normal 4" xfId="16" xr:uid="{00000000-0005-0000-0000-00000F000000}"/>
    <cellStyle name="Percent" xfId="3" builtinId="5"/>
    <cellStyle name="Percent 2" xfId="17" xr:uid="{00000000-0005-0000-0000-000011000000}"/>
  </cellStyles>
  <dxfs count="425"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  <numFmt numFmtId="166" formatCode="_(&quot;Rp&quot;* #,##0_);_(&quot;Rp&quot;* \(#,##0\);_(&quot;Rp&quot;* &quot;-&quot;_);_(@_)"/>
    </dxf>
    <dxf>
      <font>
        <strike val="0"/>
        <outline val="0"/>
        <shadow val="0"/>
        <vertAlign val="baseline"/>
        <name val="Cambria"/>
        <family val="1"/>
        <scheme val="major"/>
      </font>
      <numFmt numFmtId="0" formatCode="General"/>
    </dxf>
    <dxf>
      <font>
        <strike val="0"/>
        <outline val="0"/>
        <shadow val="0"/>
        <vertAlign val="baseline"/>
        <name val="Cambria"/>
        <family val="1"/>
        <scheme val="major"/>
      </font>
    </dxf>
    <dxf>
      <font>
        <strike val="0"/>
        <outline val="0"/>
        <shadow val="0"/>
        <vertAlign val="baseline"/>
        <name val="Cambria"/>
        <family val="1"/>
        <scheme val="maj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180" formatCode="_(&quot;Rp&quot;* #,##0_);_(&quot;Rp&quot;* \(#,##0\);_(* &quot; 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182" formatCode="_(&quot;Rp&quot;* #,##0_);_(&quot;Rp&quot;* \(#,##0\);_(* &quot;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182" formatCode="_(&quot;Rp&quot;* #,##0_);_(&quot;Rp&quot;* \(#,##0\);_(* &quot;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175" formatCode="[$-421]dd\ mmmm\ 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major"/>
      </font>
    </dxf>
    <dxf>
      <font>
        <strike val="0"/>
        <outline val="0"/>
        <shadow val="0"/>
        <u val="none"/>
        <vertAlign val="baseline"/>
        <sz val="10"/>
        <name val="Cambria"/>
        <family val="1"/>
        <scheme val="maj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color rgb="FF9C0006"/>
      </font>
    </dxf>
    <dxf>
      <font>
        <color rgb="FFC00000"/>
      </font>
    </dxf>
    <dxf>
      <font>
        <b val="0"/>
        <i val="0"/>
      </font>
    </dxf>
    <dxf>
      <font>
        <strike val="0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0" formatCode="General"/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4" formatCode="_-&quot;Rp&quot;* #,##0_-;\-&quot;Rp&quot;* #,##0_-;_-&quot;Rp&quot;* &quot;-&quot;??_-;_-@_-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84" formatCode="_-&quot;Rp&quot;* #,##0_-;\-&quot;Rp&quot;* #,##0_-;_-&quot;Rp&quot;* &quot;-&quot;??_-;_-@_-"/>
      <fill>
        <patternFill patternType="none">
          <fgColor rgb="FF000000"/>
          <bgColor rgb="FFFFFFFF"/>
        </patternFill>
      </fill>
      <alignment vertical="center" textRotation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68" formatCode="_(* #,##0_);_(* \(#,##0\);_(* &quot;-&quot;??_);_(@_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Cambria"/>
        <family val="1"/>
        <scheme val="major"/>
      </font>
      <alignment vertical="center" textRotation="0" indent="0" justifyLastLine="0" shrinkToFit="0" readingOrder="0"/>
    </dxf>
    <dxf>
      <border>
        <top style="medium">
          <color rgb="FF000000"/>
        </top>
      </border>
    </dxf>
    <dxf>
      <font>
        <strike val="0"/>
        <outline val="0"/>
        <shadow val="0"/>
        <vertAlign val="baseline"/>
        <sz val="12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horizontal="righ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0" formatCode="General"/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4" formatCode="_-&quot;Rp&quot;* #,##0_-;\-&quot;Rp&quot;* #,##0_-;_-&quot;Rp&quot;* &quot;-&quot;??_-;_-@_-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84" formatCode="_-&quot;Rp&quot;* #,##0_-;\-&quot;Rp&quot;* #,##0_-;_-&quot;Rp&quot;* &quot;-&quot;??_-;_-@_-"/>
      <fill>
        <patternFill patternType="none">
          <fgColor rgb="FF000000"/>
          <bgColor rgb="FFFFFFFF"/>
        </patternFill>
      </fill>
      <alignment vertical="center" textRotation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68" formatCode="_(* #,##0_);_(* \(#,##0\);_(* &quot;-&quot;??_);_(@_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Cambria"/>
        <family val="1"/>
        <scheme val="major"/>
      </font>
      <alignment vertical="center" textRotation="0" indent="0" justifyLastLine="0" shrinkToFit="0" readingOrder="0"/>
    </dxf>
    <dxf>
      <border>
        <top style="medium">
          <color rgb="FF000000"/>
        </top>
      </border>
    </dxf>
    <dxf>
      <font>
        <strike val="0"/>
        <outline val="0"/>
        <shadow val="0"/>
        <vertAlign val="baseline"/>
        <sz val="12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horizontal="righ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0" formatCode="General"/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alignment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4" formatCode="_-&quot;Rp&quot;* #,##0_-;\-&quot;Rp&quot;* #,##0_-;_-&quot;Rp&quot;* &quot;-&quot;??_-;_-@_-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84" formatCode="_-&quot;Rp&quot;* #,##0_-;\-&quot;Rp&quot;* #,##0_-;_-&quot;Rp&quot;* &quot;-&quot;??_-;_-@_-"/>
      <fill>
        <patternFill patternType="none">
          <fgColor rgb="FF000000"/>
          <bgColor rgb="FFFFFFFF"/>
        </patternFill>
      </fill>
      <alignment vertical="center" textRotation="0" indent="0" justifyLastLine="0" shrinkToFit="0" readingOrder="0"/>
    </dxf>
    <dxf>
      <border outline="0">
        <bottom style="double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68" formatCode="_(* #,##0_);_(* \(#,##0\);_(* &quot;-&quot;??_);_(@_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Cambria"/>
        <family val="1"/>
        <scheme val="major"/>
      </font>
      <alignment vertical="center" textRotation="0" indent="0" justifyLastLine="0" shrinkToFit="0" readingOrder="0"/>
    </dxf>
    <dxf>
      <border>
        <top style="medium">
          <color rgb="FF000000"/>
        </top>
      </border>
    </dxf>
    <dxf>
      <font>
        <strike val="0"/>
        <outline val="0"/>
        <shadow val="0"/>
        <vertAlign val="baseline"/>
        <sz val="12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 outline="0">
        <left style="thin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none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horizontal="righ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0" formatCode="General"/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alignment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78" formatCode="_-[$Rp-421]* #,##0_-;\-[$Rp-421]* #,##0_-;_-[$Rp-421]* &quot;-&quot;_-;_-@_-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4" formatCode="_-&quot;Rp&quot;* #,##0_-;\-&quot;Rp&quot;* #,##0_-;_-&quot;Rp&quot;* &quot;-&quot;??_-;_-@_-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68" formatCode="_(* #,##0_);_(* \(#,##0\);_(* &quot;-&quot;??_);_(@_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Cambria"/>
        <family val="1"/>
        <scheme val="major"/>
      </font>
      <alignment vertical="center" textRotation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vertAlign val="baseline"/>
        <sz val="12"/>
        <name val="Cambria"/>
        <family val="1"/>
        <scheme val="major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94" formatCode="_(&quot;Rp&quot;* #.##0_);_(&quot;Rp&quot;* \(#.##0\);_(* &quot;&quot;??_);_(@_)"/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mbria"/>
        <family val="1"/>
        <scheme val="major"/>
      </font>
      <numFmt numFmtId="182" formatCode="_(&quot;Rp&quot;* #,##0_);_(&quot;Rp&quot;* \(#,##0\);_(* &quot;&quot;??_);_(@_)"/>
      <alignment horizontal="righ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2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ont>
        <strike val="0"/>
        <outline val="0"/>
        <shadow val="0"/>
        <vertAlign val="baseline"/>
        <name val="Cambria"/>
        <family val="1"/>
        <scheme val="major"/>
      </font>
      <numFmt numFmtId="168" formatCode="_(* #,##0_);_(* \(#,##0\);_(* &quot;-&quot;??_);_(@_)"/>
    </dxf>
    <dxf>
      <font>
        <strike val="0"/>
        <outline val="0"/>
        <shadow val="0"/>
        <vertAlign val="baseline"/>
        <name val="Cambria"/>
        <family val="1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Cambria"/>
        <family val="1"/>
        <scheme val="major"/>
      </font>
      <numFmt numFmtId="168" formatCode="_(* #,##0_);_(* \(#,##0\);_(* &quot;-&quot;??_);_(@_)"/>
    </dxf>
    <dxf>
      <font>
        <strike val="0"/>
        <outline val="0"/>
        <shadow val="0"/>
        <vertAlign val="baseline"/>
        <name val="Cambria"/>
        <family val="1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maj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186" formatCode="_(* #,##0.0_);_(* \(#,##0.0\);_(* &quot;&quot;_);_(@_)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32" formatCode="_-&quot;Rp&quot;* #,##0_-;\-&quot;Rp&quot;* #,##0_-;_-&quot;Rp&quot;* &quot;-&quot;_-;_-@_-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171" formatCode="_(* #,##0.00_);_(* \(#,##0.00\);_(* &quot;-&quot;_);_(@_)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187" formatCode="[$-421]dd\ mmm\ yy;@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</dxf>
    <dxf>
      <font>
        <strike val="0"/>
        <outline val="0"/>
        <shadow val="0"/>
        <u val="none"/>
        <vertAlign val="baseline"/>
        <sz val="8"/>
        <name val="Cambria"/>
        <family val="1"/>
        <scheme val="major"/>
      </font>
    </dxf>
    <dxf>
      <font>
        <b/>
        <strike val="0"/>
        <outline val="0"/>
        <shadow val="0"/>
        <u val="none"/>
        <vertAlign val="baseline"/>
        <sz val="8"/>
        <color theme="1"/>
        <name val="Cambria"/>
        <family val="1"/>
        <scheme val="major"/>
      </font>
      <alignment horizontal="center" vertical="center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0000000}" name="Table20" displayName="Table20" ref="S1:S1000" totalsRowShown="0" headerRowDxfId="406" dataDxfId="405">
  <autoFilter ref="S1:S1000" xr:uid="{00000000-0009-0000-0100-000014000000}"/>
  <tableColumns count="1">
    <tableColumn id="1" xr3:uid="{00000000-0010-0000-0000-000001000000}" name="BKK.1" dataDxfId="404">
      <calculatedColumnFormula>IF(O2="",S1&amp;"a",IF(O2&gt;0,O2,0))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1000000}" name="Table22" displayName="Table22" ref="Z1:Z1000" totalsRowShown="0" headerRowDxfId="403" dataDxfId="402">
  <autoFilter ref="Z1:Z1000" xr:uid="{00000000-0009-0000-0100-000016000000}"/>
  <tableColumns count="1">
    <tableColumn id="1" xr3:uid="{00000000-0010-0000-0100-000001000000}" name="Column1" dataDxfId="401">
      <calculatedColumnFormula>IF(LEN(AA2)&gt;1,AA2,IF(AA2=0,AB2,0))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le1" displayName="Table1" ref="N188:N343" totalsRowCount="1" headerRowDxfId="393" dataDxfId="391" totalsRowDxfId="389" headerRowBorderDxfId="392" tableBorderDxfId="390" totalsRowBorderDxfId="388">
  <autoFilter ref="N188:N342" xr:uid="{00000000-0009-0000-0100-000001000000}">
    <filterColumn colId="0">
      <customFilters>
        <customFilter operator="notEqual" val=" "/>
      </customFilters>
    </filterColumn>
  </autoFilter>
  <tableColumns count="1">
    <tableColumn id="1" xr3:uid="{00000000-0010-0000-0600-000001000000}" name="-" totalsRowFunction="custom" dataDxfId="387" totalsRowDxfId="386">
      <calculatedColumnFormula>IFERROR(VLOOKUP(P33,COPY!$A$1:$AC$1000,26,FALSE),0)</calculatedColumnFormula>
      <totalsRowFormula>SUM(N33:N342)</totalsRow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e2" displayName="Table2" ref="N30:N185" totalsRowShown="0" headerRowDxfId="385" dataDxfId="383" headerRowBorderDxfId="384" tableBorderDxfId="382">
  <autoFilter ref="N30:N185" xr:uid="{00000000-0009-0000-0100-000002000000}">
    <filterColumn colId="0">
      <filters blank="1">
        <filter val="Rp1.050.000"/>
        <filter val="Rp1.095.000"/>
        <filter val="Rp1.120.000"/>
        <filter val="Rp1.200.000"/>
        <filter val="Rp1.241.000"/>
        <filter val="Rp1.680.000"/>
        <filter val="Rp1.740.000"/>
        <filter val="Rp100.000"/>
        <filter val="Rp104.000"/>
        <filter val="Rp110.000"/>
        <filter val="Rp14.000"/>
        <filter val="Rp15.000"/>
        <filter val="Rp158.000"/>
        <filter val="Rp16.000"/>
        <filter val="Rp2.761.410"/>
        <filter val="Rp20.000"/>
        <filter val="Rp200.000"/>
        <filter val="Rp21.000"/>
        <filter val="Rp230.000"/>
        <filter val="Rp232.000"/>
        <filter val="Rp25.000"/>
        <filter val="Rp272.000"/>
        <filter val="Rp275.000"/>
        <filter val="Rp28.000"/>
        <filter val="Rp280.000"/>
        <filter val="Rp290.000"/>
        <filter val="Rp300.000"/>
        <filter val="Rp312.000"/>
        <filter val="Rp32.000"/>
        <filter val="Rp335.000"/>
        <filter val="Rp336.000"/>
        <filter val="Rp345.000"/>
        <filter val="Rp348.000"/>
        <filter val="Rp350.000"/>
        <filter val="Rp36.000"/>
        <filter val="Rp360.000"/>
        <filter val="Rp364.000"/>
        <filter val="Rp390.000"/>
        <filter val="Rp40.000"/>
        <filter val="Rp400.000"/>
        <filter val="Rp416.000"/>
        <filter val="Rp420.000"/>
        <filter val="Rp438.000"/>
        <filter val="Rp450.000"/>
        <filter val="Rp460.000"/>
        <filter val="Rp5.000"/>
        <filter val="Rp5.110.000"/>
        <filter val="Rp5.350.000"/>
        <filter val="Rp5.580.000"/>
        <filter val="Rp50.000"/>
        <filter val="Rp500.000"/>
        <filter val="Rp55.000"/>
        <filter val="Rp550.000"/>
        <filter val="Rp558.000"/>
        <filter val="Rp560.000"/>
        <filter val="Rp575.000"/>
        <filter val="Rp58.000"/>
        <filter val="Rp6.035.000"/>
        <filter val="Rp60.000"/>
        <filter val="Rp600.000"/>
        <filter val="Rp644.000"/>
        <filter val="Rp670.000"/>
        <filter val="Rp690.000"/>
        <filter val="Rp730.000"/>
        <filter val="Rp780.000"/>
        <filter val="Rp8.000"/>
        <filter val="Rp80.000"/>
        <filter val="Rp810.000"/>
        <filter val="Rp88.000"/>
        <filter val="Rp91.000"/>
        <filter val="Rp920.000"/>
      </filters>
    </filterColumn>
  </autoFilter>
  <tableColumns count="1">
    <tableColumn id="1" xr3:uid="{00000000-0010-0000-0900-000001000000}" name="Jumlah (Rp.)" dataDxfId="381">
      <calculatedColumnFormula>IF(H31="Konsultan",#REF!,(IF(H31="Beli",VLOOKUP(P31,COPY!$A$1:$L$1000,11,FALSE),IF(H31="Bayar Ongkos",VLOOKUP(K31,'Rekap Gaji'!$D$12:$I$24,6,FALSE),0))))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7" displayName="Table7" ref="G11:G168" totalsRowShown="0" headerRowDxfId="373" dataDxfId="371" headerRowBorderDxfId="372" tableBorderDxfId="370">
  <autoFilter ref="G11:G168" xr:uid="{00000000-0009-0000-0100-000007000000}">
    <filterColumn colId="0">
      <customFilters>
        <customFilter operator="notEqual" val=" "/>
      </customFilters>
    </filterColumn>
  </autoFilter>
  <tableColumns count="1">
    <tableColumn id="1" xr3:uid="{00000000-0010-0000-0C00-000001000000}" name="Keterangan" dataDxfId="369">
      <calculatedColumnFormula>'BKU 1'!K29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2000000}" name="Table30" displayName="Table30" ref="G169:G323" totalsRowShown="0" headerRowDxfId="368" dataDxfId="367" tableBorderDxfId="366">
  <autoFilter ref="G169:G323" xr:uid="{00000000-0009-0000-0100-00001E000000}">
    <filterColumn colId="0">
      <customFilters>
        <customFilter operator="notEqual" val=" "/>
      </customFilters>
    </filterColumn>
  </autoFilter>
  <tableColumns count="1">
    <tableColumn id="1" xr3:uid="{00000000-0010-0000-1200-000001000000}" name="-" dataDxfId="365">
      <calculatedColumnFormula>_xlfn.IFNA(IF(TEXT(F170,0)="Terima","",VLOOKUP(A170,COPY!$A$2:$AC$1000,29,FALSE)),"")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117EA2-1509-410C-A6BE-B24BF4380E52}" name="Table128" displayName="Table128" ref="N187:N342" totalsRowCount="1" headerRowDxfId="357" dataDxfId="355" totalsRowDxfId="353" headerRowBorderDxfId="356" tableBorderDxfId="354" totalsRowBorderDxfId="352">
  <autoFilter ref="N187:N341" xr:uid="{00000000-0009-0000-0100-000001000000}">
    <filterColumn colId="0">
      <filters>
        <filter val="Rp227.700"/>
        <filter val="Rp242.000"/>
        <filter val="Rp245.850"/>
        <filter val="Rp292.930"/>
        <filter val="Rp303.600"/>
        <filter val="Rp31.050"/>
        <filter val="Rp33.000"/>
        <filter val="Rp33.525"/>
        <filter val="Rp374.509"/>
        <filter val="Rp39.945"/>
        <filter val="Rp41.400"/>
      </filters>
    </filterColumn>
  </autoFilter>
  <tableColumns count="1">
    <tableColumn id="1" xr3:uid="{C5BDF668-1396-499A-8124-0D12091577E7}" name="-" totalsRowFunction="custom" dataDxfId="351" totalsRowDxfId="350">
      <calculatedColumnFormula>IFERROR(VLOOKUP(P32,COPY!$A$1:$AC$1000,26,FALSE),0)</calculatedColumnFormula>
      <totalsRowFormula>SUM(N32:N341)</totalsRow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16B497B-ADFC-45AC-8209-A86CF7EAEDD8}" name="Table233" displayName="Table233" ref="N30:N184" totalsRowShown="0" headerRowDxfId="349" dataDxfId="347" headerRowBorderDxfId="348" tableBorderDxfId="346">
  <autoFilter ref="N30:N184" xr:uid="{00000000-0009-0000-0100-000002000000}">
    <filterColumn colId="0">
      <filters blank="1">
        <filter val="Rp1.000.000"/>
        <filter val="Rp1.005.000"/>
        <filter val="Rp1.050.000"/>
        <filter val="Rp1.125.000"/>
        <filter val="Rp1.300.000"/>
        <filter val="Rp1.500.000"/>
        <filter val="Rp1.875.000"/>
        <filter val="Rp100.000"/>
        <filter val="Rp11.000"/>
        <filter val="Rp116.000"/>
        <filter val="Rp120.000"/>
        <filter val="Rp140.000"/>
        <filter val="Rp152.000"/>
        <filter val="Rp17.000"/>
        <filter val="Rp2.200.000"/>
        <filter val="Rp20.000"/>
        <filter val="Rp230.000"/>
        <filter val="Rp270.000"/>
        <filter val="Rp280.000"/>
        <filter val="Rp290.000"/>
        <filter val="Rp3.404.630"/>
        <filter val="Rp30.000"/>
        <filter val="Rp300.000"/>
        <filter val="Rp335.000"/>
        <filter val="Rp336.000"/>
        <filter val="Rp350.000"/>
        <filter val="Rp360.000"/>
        <filter val="Rp4.505.000"/>
        <filter val="Rp40.000"/>
        <filter val="Rp400.000"/>
        <filter val="Rp405.000"/>
        <filter val="Rp420.000"/>
        <filter val="Rp450.000"/>
        <filter val="Rp460.000"/>
        <filter val="Rp48.000"/>
        <filter val="Rp5.110.000"/>
        <filter val="Rp5.225.000"/>
        <filter val="Rp5.350.000"/>
        <filter val="Rp500.000"/>
        <filter val="Rp520.000"/>
        <filter val="Rp550.000"/>
        <filter val="Rp555.000"/>
        <filter val="Rp56.000"/>
        <filter val="Rp565.000"/>
        <filter val="Rp570.000"/>
        <filter val="Rp670.000"/>
        <filter val="Rp750.000"/>
        <filter val="Rp780.000"/>
        <filter val="Rp80.000"/>
        <filter val="Rp800.000"/>
        <filter val="Rp88.000"/>
        <filter val="Rp92.000"/>
        <filter val="Rp960.000"/>
        <filter val="Rp975.000"/>
      </filters>
    </filterColumn>
  </autoFilter>
  <tableColumns count="1">
    <tableColumn id="1" xr3:uid="{4B19D95B-F524-4B62-A094-EDD0E4B027A9}" name="Jumlah (Rp.)" dataDxfId="345">
      <calculatedColumnFormula>IF(H31="Jasa",VLOOKUP('BKU 2'!K31,'Rekap Gaji'!$D$12:$I$26,6,FALSE),(IF(H31="Beli",VLOOKUP(P31,COPY!$A$1:$L$1000,11,FALSE),IF(H31="Bayar Ongkos",VLOOKUP(K31,'Rekap Gaji'!$D$12:$I$26,6,FALSE),0))))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C540D5F-8E22-413D-BD5F-C9B21BA34FD3}" name="Table780" displayName="Table780" ref="G11:G168" totalsRowShown="0" headerRowDxfId="337" dataDxfId="335" headerRowBorderDxfId="336" tableBorderDxfId="334">
  <autoFilter ref="G11:G168" xr:uid="{00000000-0009-0000-0100-000007000000}">
    <filterColumn colId="0">
      <filters>
        <filter val="ACP motif"/>
        <filter val="Alumunium Profil C 3&quot;"/>
        <filter val="Amplas No 100"/>
        <filter val="Amplas No 240"/>
        <filter val="Avour Lantai PVC"/>
        <filter val="Bata Merah Super"/>
        <filter val="Bayar Dana Pengawasan"/>
        <filter val="Biaya Perjalanan Lain"/>
        <filter val="Broco Saklar Seri Ib 6622U"/>
        <filter val="Cat Catylac Int Lime 45120"/>
        <filter val="Cat No Drop Hijau"/>
        <filter val="Closet Duduk Komplit Volk"/>
        <filter val="Engsel Tebal  4&quot;"/>
        <filter val="Fisher S10"/>
        <filter val="Fitting Plafon Kotak New Broco 1210"/>
        <filter val="Foto Copy"/>
        <filter val="Handle Kotak Natural"/>
        <filter val="Hcl"/>
        <filter val="Hollow Kadalan"/>
        <filter val="Isolasi Kabel National"/>
        <filter val="Kabel Nyy 2 X 1.5"/>
        <filter val="Kabel Tis Besar"/>
        <filter val="Kain Lap"/>
        <filter val="Kalsium Omya No. 6"/>
        <filter val="Keramik 25X25 Everst Platinum"/>
        <filter val="Keramik Dinding 25 X 40 Novana Perla"/>
        <filter val="Keramik Kia 30X30"/>
        <filter val="Kertas Sidu A4 70 grm"/>
        <filter val="Kloset Ivory Emerald"/>
        <filter val="Koral L300"/>
        <filter val="Kosumsi Rapat Peninjauan 100%"/>
        <filter val="Kosumsi Rapat Peninjauan 75%"/>
        <filter val="Kran Alinco 1/2&quot; Kuningan"/>
        <filter val="Kuas Nippon 5&quot;"/>
        <filter val="Kuas Nippon 6&quot;"/>
        <filter val="Lampu Philips Led Bulb 8W"/>
        <filter val="Lem Rajawali Putih"/>
        <filter val="Materai 10000"/>
        <filter val="Paragon Putih Eml 20Kg"/>
        <filter val="Pasir Biasa L300"/>
        <filter val="Pasir Cor L300"/>
        <filter val="Pembayaran Pekerja Minggu Ke 5"/>
        <filter val="Pembayaran Pekerja Minggu Ke 6"/>
        <filter val="Pembayaran Pekerja Minggu Ke 7"/>
        <filter val="Pembayaran Pekerja Minggu Ke 8"/>
        <filter val="Pipa Listrik Nisso"/>
        <filter val="Semen 3 Roda"/>
        <filter val="Semen Gresik 40Kg"/>
        <filter val="Serabut No Drop"/>
        <filter val="Silen Clear Netral"/>
        <filter val="Sisa Dana Bulan Lalu"/>
        <filter val="Spigot Indal"/>
        <filter val="Spiral Listrik"/>
        <filter val="Stang Silent Plat"/>
        <filter val="Supreme 2 X 0.75 Nymhy"/>
        <filter val="Tandon Air Penyu 320L Biru"/>
        <filter val="Tba Imokito 12Mm X 10Mm"/>
        <filter val="Tiang Engsel Pintu Lipat 8cm Alumunium"/>
        <filter val="Tinta Printer"/>
        <filter val="Urinoir Komplit Volk"/>
        <filter val="Wastafel Komplit Volk"/>
      </filters>
    </filterColumn>
  </autoFilter>
  <tableColumns count="1">
    <tableColumn id="1" xr3:uid="{AD4C3F19-FEFD-4E54-9AA7-A122FFECBC0D}" name="Keterangan" dataDxfId="333">
      <calculatedColumnFormula>'BKU 1'!K29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1497E934-501B-4D3A-9E4B-E467A35EF96A}" name="Table3086" displayName="Table3086" ref="G169:G323" totalsRowShown="0" headerRowDxfId="332" dataDxfId="331" tableBorderDxfId="330">
  <autoFilter ref="G169:G323" xr:uid="{00000000-0009-0000-0100-00001E000000}">
    <filterColumn colId="0">
      <customFilters>
        <customFilter operator="notEqual" val=" "/>
      </customFilters>
    </filterColumn>
  </autoFilter>
  <tableColumns count="1">
    <tableColumn id="1" xr3:uid="{2B969B77-2C17-4B7D-A62B-96E70C7F03AA}" name="-" dataDxfId="329">
      <calculatedColumnFormula>_xlfn.IFNA(IF(TEXT(F170,0)="Terima","",VLOOKUP(A170,COPY!$A$2:$AC$1000,29,FALSE)),"")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9650CDF-4E42-4381-A454-8B1ACC97AA10}" name="Table12836" displayName="Table12836" ref="N188:N343" totalsRowCount="1" headerRowDxfId="321" dataDxfId="319" totalsRowDxfId="317" headerRowBorderDxfId="320" tableBorderDxfId="318" totalsRowBorderDxfId="316">
  <autoFilter ref="N188:N342" xr:uid="{00000000-0009-0000-0100-000001000000}">
    <filterColumn colId="0">
      <customFilters>
        <customFilter operator="notEqual" val=" "/>
      </customFilters>
    </filterColumn>
  </autoFilter>
  <tableColumns count="1">
    <tableColumn id="1" xr3:uid="{C6D5AA50-54D9-485F-BB18-D19A9F0AFEF2}" name="-" totalsRowFunction="custom" dataDxfId="315" totalsRowDxfId="314">
      <calculatedColumnFormula>IFERROR(VLOOKUP(P33,COPY!$A$1:$AC$1000,26,FALSE),0)</calculatedColumnFormula>
      <totalsRowFormula>SUM(N33:N342)</totalsRow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1EAB6D4-9333-4232-90D9-CC1465154570}" name="Table23337" displayName="Table23337" ref="N30:N185" totalsRowShown="0" headerRowDxfId="313" dataDxfId="311" headerRowBorderDxfId="312" tableBorderDxfId="310">
  <autoFilter ref="N30:N185" xr:uid="{00000000-0009-0000-0100-000002000000}">
    <filterColumn colId="0">
      <filters blank="1"/>
    </filterColumn>
  </autoFilter>
  <tableColumns count="1">
    <tableColumn id="1" xr3:uid="{03896F27-3F78-4AA6-AF00-829CF0E8DD2C}" name="Jumlah (Rp.)" dataDxfId="309">
      <calculatedColumnFormula>IF(H31="Jasa",VLOOKUP('BKU 3'!K31,'Rekap Gaji'!$D$12:$I$26,6,FALSE),(IF(H31="Beli",VLOOKUP(P31,COPY!$A$1:$L$1000,11,FALSE),IF(H31="Bayar Ongkos",VLOOKUP(K31,'Rekap Gaji'!$D$12:$I$26,6,FALSE),0))))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A95A3F6-FD02-4E88-B540-5E20DF068D7F}" name="Table78088" displayName="Table78088" ref="G11:G168" totalsRowShown="0" headerRowDxfId="301" dataDxfId="299" headerRowBorderDxfId="300" tableBorderDxfId="298">
  <autoFilter ref="G11:G168" xr:uid="{00000000-0009-0000-0100-000007000000}">
    <filterColumn colId="0">
      <filters>
        <filter val="Sisa Dana Bulan Lalu"/>
      </filters>
    </filterColumn>
  </autoFilter>
  <tableColumns count="1">
    <tableColumn id="1" xr3:uid="{5797E686-2F2B-4D2C-9012-66DC02D1B13A}" name="Keterangan" dataDxfId="297">
      <calculatedColumnFormula>'BKU 1'!K29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1F3F5F24-270D-4DCE-831A-0EE602EB2BCF}" name="Table308689" displayName="Table308689" ref="G169:G323" totalsRowShown="0" headerRowDxfId="296" dataDxfId="295" tableBorderDxfId="294">
  <autoFilter ref="G169:G323" xr:uid="{00000000-0009-0000-0100-00001E000000}">
    <filterColumn colId="0">
      <customFilters>
        <customFilter operator="notEqual" val=" "/>
      </customFilters>
    </filterColumn>
  </autoFilter>
  <tableColumns count="1">
    <tableColumn id="1" xr3:uid="{EE9A5D57-B14B-439E-AC9B-032BF4A60D68}" name="-" dataDxfId="293">
      <calculatedColumnFormula>_xlfn.IFNA(IF(TEXT(F170,0)="Terima","",VLOOKUP(A170,COPY!$A$2:$AC$1000,29,FALSE)),"")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A253955-5D3F-4883-827D-B5681C76B4CB}" name="Table1283638" displayName="Table1283638" ref="N188:N343" totalsRowCount="1" headerRowDxfId="285" dataDxfId="283" totalsRowDxfId="281" headerRowBorderDxfId="284" tableBorderDxfId="282" totalsRowBorderDxfId="280">
  <autoFilter ref="N188:N342" xr:uid="{00000000-0009-0000-0100-000001000000}">
    <filterColumn colId="0">
      <customFilters>
        <customFilter operator="notEqual" val=" "/>
      </customFilters>
    </filterColumn>
  </autoFilter>
  <tableColumns count="1">
    <tableColumn id="1" xr3:uid="{A5CDC2D6-4863-438C-A71B-D1DA2A075954}" name="-" totalsRowFunction="custom" dataDxfId="279" totalsRowDxfId="278">
      <calculatedColumnFormula>IFERROR(VLOOKUP(P33,COPY!$A$1:$AC$1000,26,FALSE),0)</calculatedColumnFormula>
      <totalsRowFormula>SUM(N33:N342)</totalsRow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5B3968C-3F69-4555-B55C-458B7FDF4188}" name="Table2333739" displayName="Table2333739" ref="N30:N185" totalsRowShown="0" headerRowDxfId="277" dataDxfId="275" headerRowBorderDxfId="276" tableBorderDxfId="274">
  <autoFilter ref="N30:N185" xr:uid="{00000000-0009-0000-0100-000002000000}">
    <filterColumn colId="0">
      <filters blank="1"/>
    </filterColumn>
  </autoFilter>
  <tableColumns count="1">
    <tableColumn id="1" xr3:uid="{C742699B-8B67-47E0-BA9D-79B11BCB191A}" name="Jumlah (Rp.)" dataDxfId="273">
      <calculatedColumnFormula>IF(H31="Jasa",VLOOKUP('BKU 4'!K31,'Rekap Gaji'!$D$12:$I$26,6,FALSE),(IF(H31="Beli",VLOOKUP(P31,COPY!$A$1:$L$1000,11,FALSE),IF(H31="Bayar Ongkos",VLOOKUP(K31,'Rekap Gaji'!$D$12:$I$26,6,FALSE),0))))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C0202B7F-FBE2-4887-B499-DACAB4AB9D31}" name="Table7808890" displayName="Table7808890" ref="G11:G168" totalsRowShown="0" headerRowDxfId="265" dataDxfId="263" headerRowBorderDxfId="264" tableBorderDxfId="262">
  <autoFilter ref="G11:G168" xr:uid="{00000000-0009-0000-0100-000007000000}">
    <filterColumn colId="0">
      <customFilters>
        <customFilter operator="notEqual" val=" "/>
      </customFilters>
    </filterColumn>
  </autoFilter>
  <tableColumns count="1">
    <tableColumn id="1" xr3:uid="{4695EBB5-FBAC-4533-8809-852726EE990C}" name="Keterangan" dataDxfId="261">
      <calculatedColumnFormula>'BKU 1'!K29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4AB1C835-D4D6-4F6C-BE41-C4EF3AF3C07E}" name="Table30868991" displayName="Table30868991" ref="G169:G323" totalsRowShown="0" headerRowDxfId="260" dataDxfId="259" tableBorderDxfId="258">
  <autoFilter ref="G169:G323" xr:uid="{00000000-0009-0000-0100-00001E000000}">
    <filterColumn colId="0">
      <customFilters>
        <customFilter operator="notEqual" val=" "/>
      </customFilters>
    </filterColumn>
  </autoFilter>
  <tableColumns count="1">
    <tableColumn id="1" xr3:uid="{3DE466D2-40F6-4A51-A64D-BEA96FE462ED}" name="-" dataDxfId="257">
      <calculatedColumnFormula>_xlfn.IFNA(IF(TEXT(F170,0)="Terima","",VLOOKUP(A170,COPY!$A$2:$AC$1000,29,FALSE)),"")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e1722" displayName="Table1722" ref="A9:I6785" totalsRowShown="0" headerRowDxfId="117" dataDxfId="116" tableBorderDxfId="115">
  <autoFilter ref="A9:I6785" xr:uid="{00000000-0009-0000-0100-000015000000}">
    <filterColumn colId="2">
      <customFilters>
        <customFilter operator="notEqual" val=" "/>
      </customFilters>
    </filterColumn>
  </autoFilter>
  <tableColumns count="9">
    <tableColumn id="1" xr3:uid="{00000000-0010-0000-1400-000001000000}" name="Nomor" dataDxfId="114">
      <calculatedColumnFormula>IF(D10=1,COUNTIF($D$10:D10,1)," ")</calculatedColumnFormula>
    </tableColumn>
    <tableColumn id="2" xr3:uid="{00000000-0010-0000-1400-000002000000}" name="Tanggal" dataDxfId="113">
      <calculatedColumnFormula>COPY!AR2</calculatedColumnFormula>
    </tableColumn>
    <tableColumn id="3" xr3:uid="{00000000-0010-0000-1400-000003000000}" name="Uraian" dataDxfId="112">
      <calculatedColumnFormula>COPY!AC2</calculatedColumnFormula>
    </tableColumn>
    <tableColumn id="4" xr3:uid="{00000000-0010-0000-1400-000004000000}" name="Column1" dataDxfId="111">
      <calculatedColumnFormula>IF(LEN(Table1722[[#This Row],[Uraian]])&gt;2,1," ")</calculatedColumnFormula>
    </tableColumn>
    <tableColumn id="8" xr3:uid="{00000000-0010-0000-1400-000008000000}" name="Column2" dataDxfId="110">
      <calculatedColumnFormula>IF(Table1722[[#This Row],[Lawan Transaksi]]="CV AGUNG KARYA",COUNTIF($I$10:I10,"CV AGUNG KARYA")," ")</calculatedColumnFormula>
    </tableColumn>
    <tableColumn id="5" xr3:uid="{00000000-0010-0000-1400-000005000000}" name="Bukti" dataDxfId="109">
      <calculatedColumnFormula>IF(LEN(Table1722[[#This Row],[Uraian]])&gt;2,TRIM(RIGHT(SUBSTITUTE(TRIM(C10)," ",REPT(" ",255)),255))," ")</calculatedColumnFormula>
    </tableColumn>
    <tableColumn id="6" xr3:uid="{00000000-0010-0000-1400-000006000000}" name="Jumlah" dataDxfId="108">
      <calculatedColumnFormula>COPY!Z2</calculatedColumnFormula>
    </tableColumn>
    <tableColumn id="9" xr3:uid="{00000000-0010-0000-1400-000009000000}" name="Pajak Dari" dataDxfId="107">
      <calculatedColumnFormula>IFERROR(VLOOKUP(Table1722[[#This Row],[Bukti]],'Un nOTA'!$A$4:$K$5003,10,FALSE),"")</calculatedColumnFormula>
    </tableColumn>
    <tableColumn id="7" xr3:uid="{00000000-0010-0000-1400-000007000000}" name="Lawan Transaksi" dataDxfId="106">
      <calculatedColumnFormula>IFERROR(VLOOKUP(Table1722[[#This Row],[Bukti]],Table13[#Data],11,FALSE),"")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Table1824" displayName="Table1824" ref="A1:BY50" totalsRowShown="0" headerRowDxfId="105">
  <autoFilter ref="A1:BY50" xr:uid="{00000000-0009-0000-0100-000017000000}">
    <filterColumn colId="0">
      <customFilters>
        <customFilter operator="notEqual" val=" "/>
      </customFilters>
    </filterColumn>
  </autoFilter>
  <tableColumns count="77">
    <tableColumn id="1" xr3:uid="{00000000-0010-0000-1500-000001000000}" name="BKK" dataDxfId="104">
      <calculatedColumnFormula>IFERROR((IF('Laporan ppn'!G6789&gt;0,VLOOKUP('Laporan ppn'!G6789,'Laporan ppn'!$E$10:$F$6785,2,FALSE),"")),"")</calculatedColumnFormula>
    </tableColumn>
    <tableColumn id="2" xr3:uid="{00000000-0010-0000-1500-000002000000}" name="NAMA SEKOLAH" dataDxfId="103">
      <calculatedColumnFormula>IF(Table1824[[#This Row],[BKK]]=" "," ",'BKU 1'!$D$25)</calculatedColumnFormula>
    </tableColumn>
    <tableColumn id="3" xr3:uid="{00000000-0010-0000-1500-000003000000}" name="ALAMAT" dataDxfId="102">
      <calculatedColumnFormula>IF(Table1824[[#This Row],[BKK]]=" "," ",'BKU 1'!$D$26)</calculatedColumnFormula>
    </tableColumn>
    <tableColumn id="4" xr3:uid="{00000000-0010-0000-1500-000004000000}" name="KECAMATAN" dataDxfId="101">
      <calculatedColumnFormula>IF(Table1824[[#This Row],[BKK]]=" "," ",'BKU 1'!$I$25)</calculatedColumnFormula>
    </tableColumn>
    <tableColumn id="31" xr3:uid="{00000000-0010-0000-1500-00001F000000}" name="Uraian" dataDxfId="100">
      <calculatedColumnFormula>IFERROR(VLOOKUP(Table1824[[#This Row],[BKK]],'Un nOTA'!$D$4:$J$1004,2,FALSE),"")</calculatedColumnFormula>
    </tableColumn>
    <tableColumn id="5" xr3:uid="{00000000-0010-0000-1500-000005000000}" name="Uraian a" dataDxfId="99">
      <calculatedColumnFormula>IFERROR(VLOOKUP(Table1824[[#This Row],[BKK]]&amp;TRIM(RIGHT(SUBSTITUTE(TRIM(Table1824[[#Headers],[Uraian a]])," ",REPT(" ",255)),255)),'Un nOTA'!$D$4:$J$1004,2,FALSE),"")</calculatedColumnFormula>
    </tableColumn>
    <tableColumn id="6" xr3:uid="{00000000-0010-0000-1500-000006000000}" name="Uraian aa" dataDxfId="98">
      <calculatedColumnFormula>IFERROR(VLOOKUP(Table1824[[#This Row],[BKK]]&amp;TRIM(RIGHT(SUBSTITUTE(TRIM(Table1824[[#Headers],[Uraian aa]])," ",REPT(" ",255)),255)),'Un nOTA'!$D$4:$J$1004,2,FALSE),"")</calculatedColumnFormula>
    </tableColumn>
    <tableColumn id="9" xr3:uid="{00000000-0010-0000-1500-000009000000}" name="Uraian aaa" dataDxfId="97">
      <calculatedColumnFormula>IFERROR(VLOOKUP(Table1824[[#This Row],[BKK]]&amp;TRIM(RIGHT(SUBSTITUTE(TRIM(Table1824[[#Headers],[Uraian aaa]])," ",REPT(" ",255)),255)),'Un nOTA'!$D$4:$J$1004,2,FALSE),"")</calculatedColumnFormula>
    </tableColumn>
    <tableColumn id="10" xr3:uid="{00000000-0010-0000-1500-00000A000000}" name="Uraian aaaa" dataDxfId="96">
      <calculatedColumnFormula>IFERROR(VLOOKUP(Table1824[[#This Row],[BKK]]&amp;TRIM(RIGHT(SUBSTITUTE(TRIM(Table1824[[#Headers],[Uraian aaaa]])," ",REPT(" ",255)),255)),'Un nOTA'!$D$4:$J$1004,2,FALSE),"")</calculatedColumnFormula>
    </tableColumn>
    <tableColumn id="11" xr3:uid="{00000000-0010-0000-1500-00000B000000}" name="Uraian aaaaa" dataDxfId="95">
      <calculatedColumnFormula>IFERROR(VLOOKUP(Table1824[[#This Row],[BKK]]&amp;TRIM(RIGHT(SUBSTITUTE(TRIM(Table1824[[#Headers],[Uraian aaaaa]])," ",REPT(" ",255)),255)),'Un nOTA'!$D$4:$J$1004,2,FALSE),"")</calculatedColumnFormula>
    </tableColumn>
    <tableColumn id="12" xr3:uid="{00000000-0010-0000-1500-00000C000000}" name="Uraian aaaaaa" dataDxfId="94">
      <calculatedColumnFormula>IFERROR(VLOOKUP(Table1824[[#This Row],[BKK]]&amp;TRIM(RIGHT(SUBSTITUTE(TRIM(Table1824[[#Headers],[Uraian aaaaaa]])," ",REPT(" ",255)),255)),'Un nOTA'!$D$4:$J$1004,2,FALSE),"")</calculatedColumnFormula>
    </tableColumn>
    <tableColumn id="7" xr3:uid="{00000000-0010-0000-1500-000007000000}" name="Uraian aaaaaaa" dataDxfId="93">
      <calculatedColumnFormula>IFERROR(VLOOKUP(Table1824[[#This Row],[BKK]]&amp;TRIM(RIGHT(SUBSTITUTE(TRIM(Table1824[[#Headers],[Uraian aaaaaaa]])," ",REPT(" ",255)),255)),'Un nOTA'!$D$4:$J$1004,2,FALSE),"")</calculatedColumnFormula>
    </tableColumn>
    <tableColumn id="8" xr3:uid="{00000000-0010-0000-1500-000008000000}" name="Uraian aaaaaaaa" dataDxfId="92">
      <calculatedColumnFormula>IFERROR(VLOOKUP(Table1824[[#This Row],[BKK]]&amp;TRIM(RIGHT(SUBSTITUTE(TRIM(Table1824[[#Headers],[Uraian aaaaaaaa]])," ",REPT(" ",255)),255)),'Un nOTA'!$D$4:$J$1004,2,FALSE),"")</calculatedColumnFormula>
    </tableColumn>
    <tableColumn id="13" xr3:uid="{00000000-0010-0000-1500-00000D000000}" name="Uraian aaaaaaaaa" dataDxfId="91">
      <calculatedColumnFormula>IFERROR(VLOOKUP(Table1824[[#This Row],[BKK]]&amp;TRIM(RIGHT(SUBSTITUTE(TRIM(Table1824[[#Headers],[Uraian aaaaaaaaa]])," ",REPT(" ",255)),255)),'Un nOTA'!$D$4:$J$1004,2,FALSE),"")</calculatedColumnFormula>
    </tableColumn>
    <tableColumn id="29" xr3:uid="{00000000-0010-0000-1500-00001D000000}" name="Uraian aaaaaaaaaa" dataDxfId="90">
      <calculatedColumnFormula>IFERROR(VLOOKUP(Table1824[[#This Row],[BKK]]&amp;TRIM(RIGHT(SUBSTITUTE(TRIM(Table1824[[#Headers],[Uraian aaaaaaaaaa]])," ",REPT(" ",255)),255)),'Un nOTA'!$D$4:$J$1004,2,FALSE),"")</calculatedColumnFormula>
    </tableColumn>
    <tableColumn id="30" xr3:uid="{00000000-0010-0000-1500-00001E000000}" name="Uraian aaaaaaaaaaa" dataDxfId="89">
      <calculatedColumnFormula>IFERROR(VLOOKUP(Table1824[[#This Row],[BKK]]&amp;TRIM(RIGHT(SUBSTITUTE(TRIM(Table1824[[#Headers],[Uraian aaaaaaaaaaa]])," ",REPT(" ",255)),255)),'Un nOTA'!$D$4:$J$1004,2,FALSE),"")</calculatedColumnFormula>
    </tableColumn>
    <tableColumn id="52" xr3:uid="{00000000-0010-0000-1500-000034000000}" name="Uraian aaaaaaaaaaaa" dataDxfId="88">
      <calculatedColumnFormula>IFERROR(VLOOKUP(Table1824[[#This Row],[BKK]]&amp;TRIM(RIGHT(SUBSTITUTE(TRIM(Table1824[[#Headers],[Uraian aaaaaaaaaaaa]])," ",REPT(" ",255)),255)),'Un nOTA'!$D$4:$J$1004,2,FALSE),"")</calculatedColumnFormula>
    </tableColumn>
    <tableColumn id="14" xr3:uid="{00000000-0010-0000-1500-00000E000000}" name="Qty" dataDxfId="87">
      <calculatedColumnFormula>IFERROR(VLOOKUP(Table1824[[#This Row],[BKK]],'Un nOTA'!$D$4:$J$1004,3,FALSE),"")</calculatedColumnFormula>
    </tableColumn>
    <tableColumn id="15" xr3:uid="{00000000-0010-0000-1500-00000F000000}" name="Qty2" dataDxfId="86">
      <calculatedColumnFormula>IFERROR(VLOOKUP(Table1824[[#This Row],[BKK]]&amp;TRIM(RIGHT(SUBSTITUTE(TRIM(Table1824[[#Headers],[Uraian a]])," ",REPT(" ",255)),255)),'Un nOTA'!$D$4:$J$1004,3,FALSE),"")</calculatedColumnFormula>
    </tableColumn>
    <tableColumn id="16" xr3:uid="{00000000-0010-0000-1500-000010000000}" name="Qty3" dataDxfId="85">
      <calculatedColumnFormula>IFERROR(VLOOKUP(Table1824[[#This Row],[BKK]]&amp;TRIM(RIGHT(SUBSTITUTE(TRIM(Table1824[[#Headers],[Uraian aa]])," ",REPT(" ",255)),255)),'Un nOTA'!$D$4:$J$1004,3,FALSE),"")</calculatedColumnFormula>
    </tableColumn>
    <tableColumn id="17" xr3:uid="{00000000-0010-0000-1500-000011000000}" name="Qty4" dataDxfId="84">
      <calculatedColumnFormula>IFERROR(VLOOKUP(Table1824[[#This Row],[BKK]]&amp;TRIM(RIGHT(SUBSTITUTE(TRIM(Table1824[[#Headers],[Uraian aaa]])," ",REPT(" ",255)),255)),'Un nOTA'!$D$4:$J$1004,3,FALSE),"")</calculatedColumnFormula>
    </tableColumn>
    <tableColumn id="18" xr3:uid="{00000000-0010-0000-1500-000012000000}" name="Qty5" dataDxfId="83">
      <calculatedColumnFormula>IFERROR(VLOOKUP(Table1824[[#This Row],[BKK]]&amp;TRIM(RIGHT(SUBSTITUTE(TRIM(Table1824[[#Headers],[Uraian aaaa]])," ",REPT(" ",255)),255)),'Un nOTA'!$D$4:$J$1004,3,FALSE),"")</calculatedColumnFormula>
    </tableColumn>
    <tableColumn id="19" xr3:uid="{00000000-0010-0000-1500-000013000000}" name="Qty6" dataDxfId="82">
      <calculatedColumnFormula>IFERROR(VLOOKUP(Table1824[[#This Row],[BKK]]&amp;TRIM(RIGHT(SUBSTITUTE(TRIM(Table1824[[#Headers],[Uraian aaaaa]])," ",REPT(" ",255)),255)),'Un nOTA'!$D$4:$J$1004,3,FALSE),"")</calculatedColumnFormula>
    </tableColumn>
    <tableColumn id="20" xr3:uid="{00000000-0010-0000-1500-000014000000}" name="Qty7" dataDxfId="81">
      <calculatedColumnFormula>IFERROR(VLOOKUP(Table1824[[#This Row],[BKK]]&amp;TRIM(RIGHT(SUBSTITUTE(TRIM(Table1824[[#Headers],[Uraian aaaaaa]])," ",REPT(" ",255)),255)),'Un nOTA'!$D$4:$J$1004,3,FALSE),"")</calculatedColumnFormula>
    </tableColumn>
    <tableColumn id="53" xr3:uid="{00000000-0010-0000-1500-000035000000}" name="Qty8" dataDxfId="80">
      <calculatedColumnFormula>IFERROR(VLOOKUP(Table1824[[#This Row],[BKK]]&amp;TRIM(RIGHT(SUBSTITUTE(TRIM(Table1824[[#Headers],[Uraian aaaaaaa]])," ",REPT(" ",255)),255)),'Un nOTA'!$D$4:$J$1004,3,FALSE),"")</calculatedColumnFormula>
    </tableColumn>
    <tableColumn id="54" xr3:uid="{00000000-0010-0000-1500-000036000000}" name="Qty9" dataDxfId="79">
      <calculatedColumnFormula>IFERROR(VLOOKUP(Table1824[[#This Row],[BKK]]&amp;TRIM(RIGHT(SUBSTITUTE(TRIM(Table1824[[#Headers],[Uraian aaaaaaaa]])," ",REPT(" ",255)),255)),'Un nOTA'!$D$4:$J$1004,3,FALSE),"")</calculatedColumnFormula>
    </tableColumn>
    <tableColumn id="56" xr3:uid="{00000000-0010-0000-1500-000038000000}" name="Qty10" dataDxfId="78">
      <calculatedColumnFormula>IFERROR(VLOOKUP(Table1824[[#This Row],[BKK]]&amp;TRIM(RIGHT(SUBSTITUTE(TRIM(Table1824[[#Headers],[Uraian aaaaaaaaa]])," ",REPT(" ",255)),255)),'Un nOTA'!$D$4:$J$1004,3,FALSE),"")</calculatedColumnFormula>
    </tableColumn>
    <tableColumn id="57" xr3:uid="{00000000-0010-0000-1500-000039000000}" name="Qty11" dataDxfId="77">
      <calculatedColumnFormula>IFERROR(VLOOKUP(Table1824[[#This Row],[BKK]]&amp;TRIM(RIGHT(SUBSTITUTE(TRIM(Table1824[[#Headers],[Uraian aaaaaaaaaa]])," ",REPT(" ",255)),255)),'Un nOTA'!$D$4:$J$1004,3,FALSE),"")</calculatedColumnFormula>
    </tableColumn>
    <tableColumn id="58" xr3:uid="{00000000-0010-0000-1500-00003A000000}" name="Qty12" dataDxfId="76">
      <calculatedColumnFormula>IFERROR(VLOOKUP(Table1824[[#This Row],[BKK]]&amp;TRIM(RIGHT(SUBSTITUTE(TRIM(Table1824[[#Headers],[Uraian aaaaaaaaaaa]])," ",REPT(" ",255)),255)),'Un nOTA'!$D$4:$J$1004,3,FALSE),"")</calculatedColumnFormula>
    </tableColumn>
    <tableColumn id="59" xr3:uid="{00000000-0010-0000-1500-00003B000000}" name="Qty13" dataDxfId="75">
      <calculatedColumnFormula>IFERROR(VLOOKUP(Table1824[[#This Row],[BKK]]&amp;TRIM(RIGHT(SUBSTITUTE(TRIM(Table1824[[#Headers],[Uraian aaaaaaaaaaaa]])," ",REPT(" ",255)),255)),'Un nOTA'!$D$4:$J$1004,3,FALSE),"")</calculatedColumnFormula>
    </tableColumn>
    <tableColumn id="21" xr3:uid="{00000000-0010-0000-1500-000015000000}" name="St" dataDxfId="74">
      <calculatedColumnFormula>IFERROR(VLOOKUP(Table1824[[#This Row],[BKK]],'Un nOTA'!$D$4:$J$1004,4,FALSE),"")</calculatedColumnFormula>
    </tableColumn>
    <tableColumn id="22" xr3:uid="{00000000-0010-0000-1500-000016000000}" name="St2" dataDxfId="73">
      <calculatedColumnFormula>IFERROR(VLOOKUP(Table1824[[#This Row],[BKK]]&amp;TRIM(RIGHT(SUBSTITUTE(TRIM(Table1824[[#Headers],[Uraian a]])," ",REPT(" ",255)),255)),'Un nOTA'!$D$4:$J$1004,4,FALSE),"")</calculatedColumnFormula>
    </tableColumn>
    <tableColumn id="23" xr3:uid="{00000000-0010-0000-1500-000017000000}" name="St3" dataDxfId="72">
      <calculatedColumnFormula>IFERROR(VLOOKUP(Table1824[[#This Row],[BKK]]&amp;TRIM(RIGHT(SUBSTITUTE(TRIM(Table1824[[#Headers],[Uraian aa]])," ",REPT(" ",255)),255)),'Un nOTA'!$D$4:$J$1004,4,FALSE),"")</calculatedColumnFormula>
    </tableColumn>
    <tableColumn id="24" xr3:uid="{00000000-0010-0000-1500-000018000000}" name="St4" dataDxfId="71">
      <calculatedColumnFormula>IFERROR(VLOOKUP(Table1824[[#This Row],[BKK]]&amp;TRIM(RIGHT(SUBSTITUTE(TRIM(Table1824[[#Headers],[Uraian aaa]])," ",REPT(" ",255)),255)),'Un nOTA'!$D$4:$J$1004,4,FALSE),"")</calculatedColumnFormula>
    </tableColumn>
    <tableColumn id="25" xr3:uid="{00000000-0010-0000-1500-000019000000}" name="St5" dataDxfId="70">
      <calculatedColumnFormula>IFERROR(VLOOKUP(Table1824[[#This Row],[BKK]]&amp;TRIM(RIGHT(SUBSTITUTE(TRIM(Table1824[[#Headers],[Uraian aaaa]])," ",REPT(" ",255)),255)),'Un nOTA'!$D$4:$J$1004,4,FALSE),"")</calculatedColumnFormula>
    </tableColumn>
    <tableColumn id="26" xr3:uid="{00000000-0010-0000-1500-00001A000000}" name="St6" dataDxfId="69">
      <calculatedColumnFormula>IFERROR(VLOOKUP(Table1824[[#This Row],[BKK]]&amp;TRIM(RIGHT(SUBSTITUTE(TRIM(Table1824[[#Headers],[Uraian aaaaa]])," ",REPT(" ",255)),255)),'Un nOTA'!$D$4:$J$1004,4,FALSE),"")</calculatedColumnFormula>
    </tableColumn>
    <tableColumn id="27" xr3:uid="{00000000-0010-0000-1500-00001B000000}" name="St7" dataDxfId="68">
      <calculatedColumnFormula>IFERROR(VLOOKUP(Table1824[[#This Row],[BKK]]&amp;TRIM(RIGHT(SUBSTITUTE(TRIM(Table1824[[#Headers],[Uraian aaaaaa]])," ",REPT(" ",255)),255)),'Un nOTA'!$D$4:$J$1004,4,FALSE),"")</calculatedColumnFormula>
    </tableColumn>
    <tableColumn id="60" xr3:uid="{00000000-0010-0000-1500-00003C000000}" name="St8" dataDxfId="67">
      <calculatedColumnFormula>IFERROR(VLOOKUP(Table1824[[#This Row],[BKK]]&amp;TRIM(RIGHT(SUBSTITUTE(TRIM(Table1824[[#Headers],[Uraian aaaaaaa]])," ",REPT(" ",255)),255)),'Un nOTA'!$D$4:$J$1004,4,FALSE),"")</calculatedColumnFormula>
    </tableColumn>
    <tableColumn id="61" xr3:uid="{00000000-0010-0000-1500-00003D000000}" name="St9" dataDxfId="66">
      <calculatedColumnFormula>IFERROR(VLOOKUP(Table1824[[#This Row],[BKK]]&amp;TRIM(RIGHT(SUBSTITUTE(TRIM(Table1824[[#Headers],[Uraian aaaaaaaa]])," ",REPT(" ",255)),255)),'Un nOTA'!$D$4:$J$1004,4,FALSE),"")</calculatedColumnFormula>
    </tableColumn>
    <tableColumn id="62" xr3:uid="{00000000-0010-0000-1500-00003E000000}" name="St10" dataDxfId="65">
      <calculatedColumnFormula>IFERROR(VLOOKUP(Table1824[[#This Row],[BKK]]&amp;TRIM(RIGHT(SUBSTITUTE(TRIM(Table1824[[#Headers],[Uraian aaaaaaaaa]])," ",REPT(" ",255)),255)),'Un nOTA'!$D$4:$J$1004,4,FALSE),"")</calculatedColumnFormula>
    </tableColumn>
    <tableColumn id="63" xr3:uid="{00000000-0010-0000-1500-00003F000000}" name="St11" dataDxfId="64">
      <calculatedColumnFormula>IFERROR(VLOOKUP(Table1824[[#This Row],[BKK]]&amp;TRIM(RIGHT(SUBSTITUTE(TRIM(Table1824[[#Headers],[Uraian aaaaaaaaaa]])," ",REPT(" ",255)),255)),'Un nOTA'!$D$4:$J$1004,4,FALSE),"")</calculatedColumnFormula>
    </tableColumn>
    <tableColumn id="64" xr3:uid="{00000000-0010-0000-1500-000040000000}" name="St12" dataDxfId="63">
      <calculatedColumnFormula>IFERROR(VLOOKUP(Table1824[[#This Row],[BKK]]&amp;TRIM(RIGHT(SUBSTITUTE(TRIM(Table1824[[#Headers],[Uraian aaaaaaaaaaa]])," ",REPT(" ",255)),255)),'Un nOTA'!$D$4:$J$1004,4,FALSE),"")</calculatedColumnFormula>
    </tableColumn>
    <tableColumn id="65" xr3:uid="{00000000-0010-0000-1500-000041000000}" name="St13" dataDxfId="62">
      <calculatedColumnFormula>IFERROR(VLOOKUP(Table1824[[#This Row],[BKK]]&amp;TRIM(RIGHT(SUBSTITUTE(TRIM(Table1824[[#Headers],[Uraian aaaaaaaaaaaa]])," ",REPT(" ",255)),255)),'Un nOTA'!$D$4:$J$1004,4,FALSE),"")</calculatedColumnFormula>
    </tableColumn>
    <tableColumn id="28" xr3:uid="{00000000-0010-0000-1500-00001C000000}" name="Hrg St" dataDxfId="61">
      <calculatedColumnFormula>IFERROR((IFERROR(VLOOKUP(Table1824[[#This Row],[BKK]],'Un nOTA'!$D$4:$J$1004,5,FALSE),""))*(10/11),"")</calculatedColumnFormula>
    </tableColumn>
    <tableColumn id="32" xr3:uid="{00000000-0010-0000-1500-000020000000}" name="Hrg St2" dataDxfId="60">
      <calculatedColumnFormula>IFERROR((IFERROR(VLOOKUP(Table1824[[#This Row],[BKK]]&amp;TRIM(RIGHT(SUBSTITUTE(TRIM(Table1824[[#Headers],[Uraian a]])," ",REPT(" ",255)),255)),'Un nOTA'!$D$4:$J$1004,5,FALSE),"")*(10/11)),"")</calculatedColumnFormula>
    </tableColumn>
    <tableColumn id="33" xr3:uid="{00000000-0010-0000-1500-000021000000}" name="Hrg St3" dataDxfId="59">
      <calculatedColumnFormula>IFERROR((IFERROR(VLOOKUP(Table1824[[#This Row],[BKK]]&amp;TRIM(RIGHT(SUBSTITUTE(TRIM(Table1824[[#Headers],[Uraian aa]])," ",REPT(" ",255)),255)),'Un nOTA'!$D$4:$J$1004,5,FALSE),"")*(10/11)),"")</calculatedColumnFormula>
    </tableColumn>
    <tableColumn id="34" xr3:uid="{00000000-0010-0000-1500-000022000000}" name="Hrg St4" dataDxfId="58">
      <calculatedColumnFormula>IFERROR((IFERROR(VLOOKUP(Table1824[[#This Row],[BKK]]&amp;TRIM(RIGHT(SUBSTITUTE(TRIM(Table1824[[#Headers],[Uraian aaa]])," ",REPT(" ",255)),255)),'Un nOTA'!$D$4:$J$1004,5,FALSE),"")*(10/11)),"")</calculatedColumnFormula>
    </tableColumn>
    <tableColumn id="35" xr3:uid="{00000000-0010-0000-1500-000023000000}" name="Hrg St5" dataDxfId="57">
      <calculatedColumnFormula>IFERROR((IFERROR(VLOOKUP(Table1824[[#This Row],[BKK]]&amp;TRIM(RIGHT(SUBSTITUTE(TRIM(Table1824[[#Headers],[Uraian aaaa]])," ",REPT(" ",255)),255)),'Un nOTA'!$D$4:$J$1004,5,FALSE),"")*(10/11)),"")</calculatedColumnFormula>
    </tableColumn>
    <tableColumn id="36" xr3:uid="{00000000-0010-0000-1500-000024000000}" name="Hrg St6" dataDxfId="56">
      <calculatedColumnFormula>IFERROR((IFERROR(VLOOKUP(Table1824[[#This Row],[BKK]]&amp;TRIM(RIGHT(SUBSTITUTE(TRIM(Table1824[[#Headers],[Uraian aaaaa]])," ",REPT(" ",255)),255)),'Un nOTA'!$D$4:$J$1004,5,FALSE),"")*(10/11)),"")</calculatedColumnFormula>
    </tableColumn>
    <tableColumn id="37" xr3:uid="{00000000-0010-0000-1500-000025000000}" name="Hrg St7" dataDxfId="55">
      <calculatedColumnFormula>IFERROR((IFERROR(VLOOKUP(Table1824[[#This Row],[BKK]]&amp;TRIM(RIGHT(SUBSTITUTE(TRIM(Table1824[[#Headers],[Uraian aaaaaa]])," ",REPT(" ",255)),255)),'Un nOTA'!$D$4:$J$1004,5,FALSE),"")*(10/11)),"")</calculatedColumnFormula>
    </tableColumn>
    <tableColumn id="66" xr3:uid="{00000000-0010-0000-1500-000042000000}" name="Hrg St8" dataDxfId="54">
      <calculatedColumnFormula>IFERROR((IFERROR(VLOOKUP(Table1824[[#This Row],[BKK]]&amp;TRIM(RIGHT(SUBSTITUTE(TRIM(Table1824[[#Headers],[Uraian aaaaaaa]])," ",REPT(" ",255)),255)),'Un nOTA'!$D$4:$J$1004,5,FALSE),"")*(10/11)),"")</calculatedColumnFormula>
    </tableColumn>
    <tableColumn id="67" xr3:uid="{00000000-0010-0000-1500-000043000000}" name="Hrg St9" dataDxfId="53">
      <calculatedColumnFormula>IFERROR((IFERROR(VLOOKUP(Table1824[[#This Row],[BKK]]&amp;TRIM(RIGHT(SUBSTITUTE(TRIM(Table1824[[#Headers],[Uraian aaaaaaaa]])," ",REPT(" ",255)),255)),'Un nOTA'!$D$4:$J$1004,5,FALSE),"")*(10/11)),"")</calculatedColumnFormula>
    </tableColumn>
    <tableColumn id="68" xr3:uid="{00000000-0010-0000-1500-000044000000}" name="Hrg St10" dataDxfId="52">
      <calculatedColumnFormula>IFERROR((IFERROR(VLOOKUP(Table1824[[#This Row],[BKK]]&amp;TRIM(RIGHT(SUBSTITUTE(TRIM(Table1824[[#Headers],[Uraian aaaaaaaaa]])," ",REPT(" ",255)),255)),'Un nOTA'!$D$4:$J$1004,5,FALSE),"")*(10/11)),"")</calculatedColumnFormula>
    </tableColumn>
    <tableColumn id="69" xr3:uid="{00000000-0010-0000-1500-000045000000}" name="Hrg St11" dataDxfId="51">
      <calculatedColumnFormula>IFERROR((IFERROR(VLOOKUP(Table1824[[#This Row],[BKK]]&amp;TRIM(RIGHT(SUBSTITUTE(TRIM(Table1824[[#Headers],[Uraian aaaaaaaaaa]])," ",REPT(" ",255)),255)),'Un nOTA'!$D$4:$J$1004,5,FALSE),"")*(10/11)),"")</calculatedColumnFormula>
    </tableColumn>
    <tableColumn id="70" xr3:uid="{00000000-0010-0000-1500-000046000000}" name="Hrg St12" dataDxfId="50">
      <calculatedColumnFormula>IFERROR((IFERROR(VLOOKUP(Table1824[[#This Row],[BKK]]&amp;TRIM(RIGHT(SUBSTITUTE(TRIM(Table1824[[#Headers],[Uraian aaaaaaaaaaa]])," ",REPT(" ",255)),255)),'Un nOTA'!$D$4:$J$1004,5,FALSE),"")*(10/11)),"")</calculatedColumnFormula>
    </tableColumn>
    <tableColumn id="71" xr3:uid="{00000000-0010-0000-1500-000047000000}" name="Hrg St13" dataDxfId="49">
      <calculatedColumnFormula>IFERROR((IFERROR(VLOOKUP(Table1824[[#This Row],[BKK]]&amp;TRIM(RIGHT(SUBSTITUTE(TRIM(Table1824[[#Headers],[Uraian aaaaaaaaaaaa]])," ",REPT(" ",255)),255)),'Un nOTA'!$D$4:$J$1004,5,FALSE),"")*(10/11)),"")</calculatedColumnFormula>
    </tableColumn>
    <tableColumn id="38" xr3:uid="{00000000-0010-0000-1500-000026000000}" name="Jml" dataDxfId="48">
      <calculatedColumnFormula>IFERROR(ROUNDUP((Table1824[[#This Row],[Qty]]*Table1824[[#This Row],[Hrg St]]),0),"")</calculatedColumnFormula>
    </tableColumn>
    <tableColumn id="39" xr3:uid="{00000000-0010-0000-1500-000027000000}" name="Jml2" dataDxfId="47">
      <calculatedColumnFormula>IFERROR(ROUNDUP((Table1824[[#This Row],[Qty2]]*Table1824[[#This Row],[Hrg St2]]),0),"")</calculatedColumnFormula>
    </tableColumn>
    <tableColumn id="40" xr3:uid="{00000000-0010-0000-1500-000028000000}" name="Jml3" dataDxfId="46">
      <calculatedColumnFormula>IFERROR(ROUNDUP((Table1824[[#This Row],[Qty3]]*Table1824[[#This Row],[Hrg St3]]),0),"")</calculatedColumnFormula>
    </tableColumn>
    <tableColumn id="41" xr3:uid="{00000000-0010-0000-1500-000029000000}" name="Jml4" dataDxfId="45">
      <calculatedColumnFormula>IFERROR(ROUNDUP((Table1824[[#This Row],[Qty4]]*Table1824[[#This Row],[Hrg St4]]),0),"")</calculatedColumnFormula>
    </tableColumn>
    <tableColumn id="42" xr3:uid="{00000000-0010-0000-1500-00002A000000}" name="Jml5" dataDxfId="44">
      <calculatedColumnFormula>IFERROR(ROUNDUP((Table1824[[#This Row],[Qty5]]*Table1824[[#This Row],[Hrg St5]]),0),"")</calculatedColumnFormula>
    </tableColumn>
    <tableColumn id="43" xr3:uid="{00000000-0010-0000-1500-00002B000000}" name="Jml6" dataDxfId="43">
      <calculatedColumnFormula>IFERROR(ROUNDUP((Table1824[[#This Row],[Qty6]]*Table1824[[#This Row],[Hrg St6]]),0),"")</calculatedColumnFormula>
    </tableColumn>
    <tableColumn id="44" xr3:uid="{00000000-0010-0000-1500-00002C000000}" name="Jml7" dataDxfId="42">
      <calculatedColumnFormula>IFERROR(ROUNDUP((Table1824[[#This Row],[Qty7]]*Table1824[[#This Row],[Hrg St7]]),0),"")</calculatedColumnFormula>
    </tableColumn>
    <tableColumn id="72" xr3:uid="{00000000-0010-0000-1500-000048000000}" name="Jml8" dataDxfId="41">
      <calculatedColumnFormula>IFERROR(ROUNDUP((Table1824[[#This Row],[Qty8]]*Table1824[[#This Row],[Hrg St8]]),0),"")</calculatedColumnFormula>
    </tableColumn>
    <tableColumn id="73" xr3:uid="{00000000-0010-0000-1500-000049000000}" name="Jml9" dataDxfId="40">
      <calculatedColumnFormula>IFERROR(ROUNDUP((Table1824[[#This Row],[Qty9]]*Table1824[[#This Row],[Hrg St9]]),0),"")</calculatedColumnFormula>
    </tableColumn>
    <tableColumn id="74" xr3:uid="{00000000-0010-0000-1500-00004A000000}" name="Jml10" dataDxfId="39">
      <calculatedColumnFormula>IFERROR(ROUNDUP((Table1824[[#This Row],[Qty10]]*Table1824[[#This Row],[Hrg St10]]),0),"")</calculatedColumnFormula>
    </tableColumn>
    <tableColumn id="75" xr3:uid="{00000000-0010-0000-1500-00004B000000}" name="Jml11" dataDxfId="38">
      <calculatedColumnFormula>IFERROR(ROUNDUP((Table1824[[#This Row],[Qty11]]*Table1824[[#This Row],[Hrg St11]]),0),"")</calculatedColumnFormula>
    </tableColumn>
    <tableColumn id="76" xr3:uid="{00000000-0010-0000-1500-00004C000000}" name="Jml12" dataDxfId="37">
      <calculatedColumnFormula>IFERROR(ROUNDUP((Table1824[[#This Row],[Qty12]]*Table1824[[#This Row],[Hrg St12]]),0),"")</calculatedColumnFormula>
    </tableColumn>
    <tableColumn id="77" xr3:uid="{00000000-0010-0000-1500-00004D000000}" name="Jml13" dataDxfId="36">
      <calculatedColumnFormula>IFERROR(ROUNDUP((Table1824[[#This Row],[Qty13]]*Table1824[[#This Row],[Hrg St13]]),0),"")</calculatedColumnFormula>
    </tableColumn>
    <tableColumn id="45" xr3:uid="{00000000-0010-0000-1500-00002D000000}" name="Total" dataDxfId="35">
      <calculatedColumnFormula>IF(Table1824[[#This Row],[BKK]]&gt;" ",IFERROR(ROUNDUP((SUM(Table1824[[#This Row],[Jml]:[Jml13]])),0)," ")," ")</calculatedColumnFormula>
    </tableColumn>
    <tableColumn id="46" xr3:uid="{00000000-0010-0000-1500-00002E000000}" name="PPN" dataDxfId="34">
      <calculatedColumnFormula>IF(Table1824[[#This Row],[BKK]]&gt;" ",ROUND((Table1824[[#This Row],[Total]]*0.1),0)," ")</calculatedColumnFormula>
    </tableColumn>
    <tableColumn id="47" xr3:uid="{00000000-0010-0000-1500-00002F000000}" name="S TOTAL" dataDxfId="33">
      <calculatedColumnFormula>IF(Table1824[[#This Row],[BKK]]&gt;" ",(Table1824[[#This Row],[Total]]+Table1824[[#This Row],[PPN]])," ")</calculatedColumnFormula>
    </tableColumn>
    <tableColumn id="48" xr3:uid="{00000000-0010-0000-1500-000030000000}" name="Terbilang" dataDxfId="32"/>
    <tableColumn id="49" xr3:uid="{00000000-0010-0000-1500-000031000000}" name="No Nota" dataDxfId="31">
      <calculatedColumnFormula>IF(Table1824[[#This Row],[BKK]]&gt;" ",("INV/AK-MLG/2019/"&amp;'BKU 1'!$E$1&amp;"/"&amp;Table1824[[#This Row],[BKK]]&amp;"/"&amp;'BKU 1'!$E$1&amp;ROW())," ")</calculatedColumnFormula>
    </tableColumn>
    <tableColumn id="50" xr3:uid="{00000000-0010-0000-1500-000032000000}" name="Tanggal Kirim" dataDxfId="30">
      <calculatedColumnFormula>IF(Table1824[[#This Row],[BKK]]&gt;" ",(TEXT(VLOOKUP(Table1824[[#This Row],[BKK]],COPY!$O$2:$U$1000,7,FALSE),"dd mmmm yyyy"))," ")</calculatedColumnFormula>
    </tableColumn>
    <tableColumn id="51" xr3:uid="{00000000-0010-0000-1500-000033000000}" name="Tagihan" dataDxfId="29">
      <calculatedColumnFormula>IF(Table1824[[#This Row],[BKK]]&gt;" ",(TEXT((Table1824[[#This Row],[Tanggal Kirim]]+30),"dd mmmm yyyy"))," ")</calculatedColumnFormula>
    </tableColumn>
    <tableColumn id="55" xr3:uid="{00000000-0010-0000-1500-000037000000}" name="npwp" dataDxfId="28">
      <calculatedColumnFormula>IF(Table1824[[#This Row],[BKK]]&gt;" ",'BKU 1'!$E$17," 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6000000}" name="Table13" displayName="Table13" ref="A3:N1003" totalsRowShown="0" headerRowDxfId="423" dataDxfId="422">
  <autoFilter ref="A3:N1003" xr:uid="{00000000-0009-0000-0100-00000D000000}">
    <filterColumn colId="1">
      <filters>
        <filter val="1"/>
        <filter val="2"/>
      </filters>
    </filterColumn>
  </autoFilter>
  <tableColumns count="14">
    <tableColumn id="1" xr3:uid="{00000000-0010-0000-1600-000001000000}" name="CODE" dataDxfId="421">
      <calculatedColumnFormula>COPY!O2</calculatedColumnFormula>
    </tableColumn>
    <tableColumn id="8" xr3:uid="{00000000-0010-0000-1600-000008000000}" name="BULAN" dataDxfId="420">
      <calculatedColumnFormula>COPY!C2</calculatedColumnFormula>
    </tableColumn>
    <tableColumn id="11" xr3:uid="{00000000-0010-0000-1600-00000B000000}" name="TANGGAL" dataDxfId="419">
      <calculatedColumnFormula>COPY!D2</calculatedColumnFormula>
    </tableColumn>
    <tableColumn id="10" xr3:uid="{00000000-0010-0000-1600-00000A000000}" name="Column1" dataDxfId="418">
      <calculatedColumnFormula>IF(Table13[[#This Row],[JUMLAH]]&gt;1,(IF(Table13[[#This Row],[CODE]]=" ",D3&amp;"a",IF(Table13[[#This Row],[CODE]]&gt;0,Table13[[#This Row],[CODE]],0))),"")</calculatedColumnFormula>
    </tableColumn>
    <tableColumn id="2" xr3:uid="{00000000-0010-0000-1600-000002000000}" name="URAIAN" dataDxfId="417">
      <calculatedColumnFormula>IF(COPY!G2&gt;0,COPY!G2,"")</calculatedColumnFormula>
    </tableColumn>
    <tableColumn id="3" xr3:uid="{00000000-0010-0000-1600-000003000000}" name="QTY" dataDxfId="416">
      <calculatedColumnFormula>IF(COPY!J2&gt;0,COPY!J2,"")</calculatedColumnFormula>
    </tableColumn>
    <tableColumn id="4" xr3:uid="{00000000-0010-0000-1600-000004000000}" name="SATUAN" dataDxfId="415">
      <calculatedColumnFormula>IF(COPY!H2&gt;0,COPY!H2,"")</calculatedColumnFormula>
    </tableColumn>
    <tableColumn id="5" xr3:uid="{00000000-0010-0000-1600-000005000000}" name="HARGA SAT" dataDxfId="414">
      <calculatedColumnFormula>IF(COPY!I2&gt;0,COPY!I2,"")</calculatedColumnFormula>
    </tableColumn>
    <tableColumn id="6" xr3:uid="{00000000-0010-0000-1600-000006000000}" name="JUMLAH" dataDxfId="413">
      <calculatedColumnFormula>IF(COPY!M2&gt;0,COPY!M2,"")</calculatedColumnFormula>
    </tableColumn>
    <tableColumn id="7" xr3:uid="{00000000-0010-0000-1600-000007000000}" name="TOTAL" dataDxfId="412">
      <calculatedColumnFormula>IF(COPY!N2&gt;0,COPY!N2,"")</calculatedColumnFormula>
    </tableColumn>
    <tableColumn id="9" xr3:uid="{00000000-0010-0000-1600-000009000000}" name="Column2" dataDxfId="411">
      <calculatedColumnFormula>IF(N4=0,(IF(LEFT(Table13[[#This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Row],[URAIAN]],$U$194:$V$210,2,FALSE),""),""),0))))),N4)</calculatedColumnFormula>
    </tableColumn>
    <tableColumn id="12" xr3:uid="{00000000-0010-0000-1600-00000C000000}" name="Column3" dataDxfId="410">
      <calculatedColumnFormula>IF(Table13[[#This Row],[Column2]]="KWITANSI",COUNTIF($K$4:K4,"KWITANSI")," ")</calculatedColumnFormula>
    </tableColumn>
    <tableColumn id="13" xr3:uid="{00000000-0010-0000-1600-00000D000000}" name="Column4" dataDxfId="409">
      <calculatedColumnFormula>IF(Table13[[#This Row],[Column3]]=" "," ",Table13[[#This Row],[CODE]])</calculatedColumnFormula>
    </tableColumn>
    <tableColumn id="14" xr3:uid="{7DC913D5-ABAF-4B9B-B1A5-23CE98374682}" name="Column5" dataDxfId="408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7000000}" name="Table19" displayName="Table19" ref="A1:Z30" totalsRowShown="0" headerRowDxfId="27" dataDxfId="26">
  <autoFilter ref="A1:Z30" xr:uid="{00000000-0009-0000-0100-000013000000}">
    <filterColumn colId="0">
      <customFilters>
        <customFilter operator="notEqual" val=" "/>
      </customFilters>
    </filterColumn>
  </autoFilter>
  <tableColumns count="26">
    <tableColumn id="1" xr3:uid="{00000000-0010-0000-1700-000001000000}" name="Bkk" dataDxfId="25">
      <calculatedColumnFormula>IFERROR((IF('Un nOTA'!P1&gt;0,VLOOKUP('Un nOTA'!P1,'Un nOTA'!$L$4:$M$1003,2,FALSE),"")),"")</calculatedColumnFormula>
    </tableColumn>
    <tableColumn id="2" xr3:uid="{00000000-0010-0000-1700-000002000000}" name="Sejumlah" dataDxfId="24">
      <calculatedColumnFormula>IFERROR(VLOOKUP(Table19[[#This Row],[Bkk]],Table13[],10,FALSE)," ")</calculatedColumnFormula>
    </tableColumn>
    <tableColumn id="3" xr3:uid="{00000000-0010-0000-1700-000003000000}" name="Terbilang" dataDxfId="23">
      <calculatedColumnFormula array="1">IFERROR(PROPER(Terbilang1(Table19[[#This Row],[Sejumlah]])&amp;" RUPIAH")," ")</calculatedColumnFormula>
    </tableColumn>
    <tableColumn id="4" xr3:uid="{00000000-0010-0000-1700-000004000000}" name="Untuk" dataDxfId="22">
      <calculatedColumnFormula>IF(LEFT(Table19[[#This Row],[Column3]],5)="Pemba",Table19[[#This Row],[Column3]],IF(LEFT(Table19[[#This Row],[Column3]],5)="Bayar",Table19[[#This Row],[Column3]],IF(Table19[[#This Row],[Column3]]="","","Pembelian Material Alam")))</calculatedColumnFormula>
    </tableColumn>
    <tableColumn id="5" xr3:uid="{00000000-0010-0000-1700-000005000000}" name="Ml s/d" dataDxfId="21">
      <calculatedColumnFormula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calculatedColumnFormula>
    </tableColumn>
    <tableColumn id="9" xr3:uid="{00000000-0010-0000-1700-000009000000}" name="Column1" dataDxfId="20">
      <calculatedColumnFormula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calculatedColumnFormula>
    </tableColumn>
    <tableColumn id="11" xr3:uid="{00000000-0010-0000-1700-00000B000000}" name="Column2" dataDxfId="19">
      <calculatedColumnFormula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calculatedColumnFormula>
    </tableColumn>
    <tableColumn id="8" xr3:uid="{00000000-0010-0000-1700-000008000000}" name="Penerima" dataDxfId="18">
      <calculatedColumnFormula>IF(LEFT(D2,5)="Bayar",VLOOKUP(D2,'BKU 1'!$B$15:$E$16,4,FALSE),IF(LEFT(Table19[[#This Row],[Untuk]],10)="Pembayaran",'Absen (2)'!$C$12,""))</calculatedColumnFormula>
    </tableColumn>
    <tableColumn id="6" xr3:uid="{00000000-0010-0000-1700-000006000000}" name="tanggl trm" dataDxfId="17">
      <calculatedColumnFormula>IF(LEFT(Table19[[#This Row],[Bkk]],3)="BKK",'BKU 1'!$I$25&amp;", "&amp;IFERROR(TEXT(VLOOKUP(Table19[[#This Row],[Bkk]],Table13[],3,FALSE),"dd mmmm yyyy")," ")," ")</calculatedColumnFormula>
    </tableColumn>
    <tableColumn id="7" xr3:uid="{00000000-0010-0000-1700-000007000000}" name="Terima dr" dataDxfId="16">
      <calculatedColumnFormula>IF(LEFT(Table19[[#This Row],[Bkk]],3)="BKK",'BKU 1'!$D$25&amp;". KECAMATAN - "&amp;'BKU 1'!$I$25,"")</calculatedColumnFormula>
    </tableColumn>
    <tableColumn id="10" xr3:uid="{00000000-0010-0000-1700-00000A000000}" name="Column3" dataDxfId="15">
      <calculatedColumnFormula>IF(Table19[[#This Row],[Bkk]]="","",VLOOKUP(Table19[[#This Row],[Bkk]],Table13[],5,FALSE))</calculatedColumnFormula>
    </tableColumn>
    <tableColumn id="12" xr3:uid="{00000000-0010-0000-1700-00000C000000}" name="Column32" dataDxfId="14">
      <calculatedColumnFormula>IF(Table19[[#This Row],[Bkk]]="","",TEXT(VLOOKUP(Table19[[#This Row],[Bkk]],Table13[],6,FALSE)," #.##0,00 "))</calculatedColumnFormula>
    </tableColumn>
    <tableColumn id="13" xr3:uid="{00000000-0010-0000-1700-00000D000000}" name="Column33" dataDxfId="13">
      <calculatedColumnFormula>IF(Table19[[#This Row],[Bkk]]="","",VLOOKUP(Table19[[#This Row],[Bkk]],Table13[],7,FALSE))</calculatedColumnFormula>
    </tableColumn>
    <tableColumn id="14" xr3:uid="{00000000-0010-0000-1700-00000E000000}" name="Column34" dataDxfId="12">
      <calculatedColumnFormula>IF(Table19[[#This Row],[Bkk]]="","",TEXT(VLOOKUP(Table19[[#This Row],[Bkk]],Table13[],9,FALSE)," #.## "))</calculatedColumnFormula>
    </tableColumn>
    <tableColumn id="15" xr3:uid="{00000000-0010-0000-1700-00000F000000}" name="Column35" dataDxfId="11">
      <calculatedColumnFormula>IF(LEFT(Table19[[#This Row],[Untuk]],5)="Pembe",TEXT(VLOOKUP(Table19[[#This Row],[Bkk]],Table13[],9,FALSE)," #.## ")," ")</calculatedColumnFormula>
    </tableColumn>
    <tableColumn id="16" xr3:uid="{00000000-0010-0000-1700-000010000000}" name="Column4" dataDxfId="10">
      <calculatedColumnFormula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calculatedColumnFormula>
    </tableColumn>
    <tableColumn id="17" xr3:uid="{00000000-0010-0000-1700-000011000000}" name="Column42" dataDxfId="9">
      <calculatedColumnFormula>IFERROR(TEXT(VLOOKUP(Table19[[#This Row],[Bkk]]&amp;TRIM(RIGHT(SUBSTITUTE(TRIM(Table1824[[#Headers],[Uraian a]])," ",REPT(" ",255)),255)),'Un nOTA'!$D$4:$J$1004,3,FALSE)," #.##0,00 ")," ")</calculatedColumnFormula>
    </tableColumn>
    <tableColumn id="18" xr3:uid="{00000000-0010-0000-1700-000012000000}" name="Column43" dataDxfId="8">
      <calculatedColumnFormula>IFERROR(VLOOKUP(Table19[[#This Row],[Bkk]]&amp;TRIM(RIGHT(SUBSTITUTE(TRIM(Table1824[[#Headers],[Uraian a]])," ",REPT(" ",255)),255)),'Un nOTA'!$D$4:$J$1004,4,FALSE)," ")</calculatedColumnFormula>
    </tableColumn>
    <tableColumn id="19" xr3:uid="{00000000-0010-0000-1700-000013000000}" name="Column44" dataDxfId="7">
      <calculatedColumnFormula>IFERROR(TEXT(VLOOKUP(Table19[[#This Row],[Bkk]]&amp;TRIM(RIGHT(SUBSTITUTE(TRIM(Table1824[[#Headers],[Uraian a]])," ",REPT(" ",255)),255)),'Un nOTA'!$D$4:$J$1004,5,FALSE)," #.## ")," ")</calculatedColumnFormula>
    </tableColumn>
    <tableColumn id="20" xr3:uid="{00000000-0010-0000-1700-000014000000}" name="Column45" dataDxfId="6">
      <calculatedColumnFormula>IFERROR(TEXT(VLOOKUP(Table19[[#This Row],[Bkk]]&amp;TRIM(RIGHT(SUBSTITUTE(TRIM(Table1824[[#Headers],[Uraian a]])," ",REPT(" ",255)),255)),'Un nOTA'!$D$4:$J$1004,6,FALSE)," #.## ")," ")</calculatedColumnFormula>
    </tableColumn>
    <tableColumn id="21" xr3:uid="{00000000-0010-0000-1700-000015000000}" name="Column5" dataDxfId="5">
      <calculatedColumnFormula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calculatedColumnFormula>
    </tableColumn>
    <tableColumn id="22" xr3:uid="{00000000-0010-0000-1700-000016000000}" name="Column52" dataDxfId="4">
      <calculatedColumnFormula>IFERROR(TEXT(VLOOKUP(Table19[[#This Row],[Bkk]]&amp;TRIM(RIGHT(SUBSTITUTE(TRIM(Table1824[[#Headers],[Uraian aa]])," ",REPT(" ",255)),255)),'Un nOTA'!$D$4:$J$1004,3,FALSE)," #.##0,00 ")," ")</calculatedColumnFormula>
    </tableColumn>
    <tableColumn id="23" xr3:uid="{00000000-0010-0000-1700-000017000000}" name="Column53" dataDxfId="3">
      <calculatedColumnFormula>IFERROR(VLOOKUP(Table19[[#This Row],[Bkk]]&amp;TRIM(RIGHT(SUBSTITUTE(TRIM(Table1824[[#Headers],[Uraian aa]])," ",REPT(" ",255)),255)),'Un nOTA'!$D$4:$J$1004,4,FALSE)," ")</calculatedColumnFormula>
    </tableColumn>
    <tableColumn id="24" xr3:uid="{00000000-0010-0000-1700-000018000000}" name="Column54" dataDxfId="2">
      <calculatedColumnFormula>IFERROR(TEXT(VLOOKUP(Table19[[#This Row],[Bkk]]&amp;TRIM(RIGHT(SUBSTITUTE(TRIM(Table1824[[#Headers],[Uraian aa]])," ",REPT(" ",255)),255)),'Un nOTA'!$D$4:$J$1004,5,FALSE)," #.## ")," ")</calculatedColumnFormula>
    </tableColumn>
    <tableColumn id="25" xr3:uid="{00000000-0010-0000-1700-000019000000}" name="Column55" dataDxfId="1">
      <calculatedColumnFormula>IFERROR(TEXT(VLOOKUP(Table19[[#This Row],[Bkk]]&amp;TRIM(RIGHT(SUBSTITUTE(TRIM(Table1824[[#Headers],[Uraian aa]])," ",REPT(" ",255)),255)),'Un nOTA'!$D$4:$J$1004,6,FALSE)," #.## ")," ")</calculatedColumnFormula>
    </tableColumn>
    <tableColumn id="26" xr3:uid="{00000000-0010-0000-1700-00001A000000}" name="Column6" dataDxfId="0">
      <calculatedColumnFormula>IF(LEFT(Table19[[#This Row],[Untuk]],5)="Pemba",VLOOKUP(Table19[[#This Row],[Untuk]],'Rekap Gaji'!$D$12:$L$25,8,FALSE),"")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0000"/>
    <pageSetUpPr fitToPage="1"/>
  </sheetPr>
  <dimension ref="A1:AW1000"/>
  <sheetViews>
    <sheetView view="pageBreakPreview" zoomScale="55" zoomScaleNormal="70" zoomScaleSheetLayoutView="55" workbookViewId="0">
      <pane xSplit="15" ySplit="1" topLeftCell="P118" activePane="bottomRight" state="frozen"/>
      <selection activeCell="E39" sqref="A1:XFD1048576"/>
      <selection pane="topRight" activeCell="E39" sqref="A1:XFD1048576"/>
      <selection pane="bottomLeft" activeCell="E39" sqref="A1:XFD1048576"/>
      <selection pane="bottomRight" activeCell="P130" sqref="P130"/>
    </sheetView>
  </sheetViews>
  <sheetFormatPr defaultColWidth="9.140625" defaultRowHeight="20.25" x14ac:dyDescent="0.3"/>
  <cols>
    <col min="1" max="1" width="9.140625" style="75" customWidth="1"/>
    <col min="2" max="2" width="14.42578125" style="75" customWidth="1"/>
    <col min="3" max="3" width="10.42578125" style="330" bestFit="1" customWidth="1"/>
    <col min="4" max="4" width="21.28515625" style="331" customWidth="1"/>
    <col min="5" max="6" width="12.7109375" style="332" customWidth="1"/>
    <col min="7" max="7" width="39.85546875" style="75" customWidth="1"/>
    <col min="8" max="8" width="9.85546875" style="333" customWidth="1"/>
    <col min="9" max="9" width="18.5703125" style="78" customWidth="1"/>
    <col min="10" max="10" width="13.28515625" style="334" customWidth="1"/>
    <col min="11" max="11" width="17" style="335" customWidth="1"/>
    <col min="12" max="12" width="9.140625" style="332" customWidth="1"/>
    <col min="13" max="13" width="15.42578125" style="332" bestFit="1" customWidth="1"/>
    <col min="14" max="14" width="15.28515625" style="336" customWidth="1"/>
    <col min="15" max="15" width="15.28515625" style="75" customWidth="1"/>
    <col min="16" max="16" width="31.7109375" style="75" customWidth="1"/>
    <col min="17" max="17" width="27.5703125" style="301" customWidth="1"/>
    <col min="18" max="18" width="18.5703125" style="75" bestFit="1" customWidth="1"/>
    <col min="19" max="19" width="24.28515625" style="75" customWidth="1"/>
    <col min="20" max="20" width="31.85546875" style="75" customWidth="1"/>
    <col min="21" max="21" width="18.42578125" style="75" customWidth="1"/>
    <col min="22" max="22" width="15.28515625" style="75" customWidth="1"/>
    <col min="23" max="23" width="8.42578125" style="75" customWidth="1"/>
    <col min="24" max="24" width="14.140625" style="90" customWidth="1"/>
    <col min="25" max="26" width="14.140625" style="75" customWidth="1"/>
    <col min="27" max="27" width="19.28515625" style="305" customWidth="1"/>
    <col min="28" max="28" width="15.28515625" style="305" customWidth="1"/>
    <col min="29" max="29" width="30" style="305" bestFit="1" customWidth="1"/>
    <col min="30" max="30" width="15.42578125" style="75" bestFit="1" customWidth="1"/>
    <col min="31" max="31" width="17.140625" style="75" customWidth="1"/>
    <col min="32" max="32" width="27.28515625" style="75" bestFit="1" customWidth="1"/>
    <col min="33" max="33" width="25.28515625" style="75" bestFit="1" customWidth="1"/>
    <col min="34" max="34" width="17.140625" style="75" customWidth="1"/>
    <col min="35" max="35" width="9.140625" style="75"/>
    <col min="36" max="36" width="25.42578125" style="75" bestFit="1" customWidth="1"/>
    <col min="37" max="37" width="13.28515625" style="75" bestFit="1" customWidth="1"/>
    <col min="38" max="39" width="13.140625" style="75" bestFit="1" customWidth="1"/>
    <col min="40" max="40" width="44.5703125" style="75" customWidth="1"/>
    <col min="41" max="41" width="9.140625" style="75"/>
    <col min="42" max="42" width="9.28515625" style="75" bestFit="1" customWidth="1"/>
    <col min="43" max="43" width="9.28515625" style="75" customWidth="1"/>
    <col min="44" max="44" width="19.28515625" style="75" bestFit="1" customWidth="1"/>
    <col min="45" max="45" width="32.85546875" style="75" bestFit="1" customWidth="1"/>
    <col min="46" max="46" width="20.5703125" style="75" customWidth="1"/>
    <col min="47" max="47" width="9.140625" style="75"/>
    <col min="48" max="48" width="13.140625" style="527" bestFit="1" customWidth="1"/>
    <col min="49" max="16384" width="9.140625" style="75"/>
  </cols>
  <sheetData>
    <row r="1" spans="1:49" s="89" customFormat="1" ht="21" customHeight="1" x14ac:dyDescent="0.3">
      <c r="C1" s="292" t="s">
        <v>218</v>
      </c>
      <c r="D1" s="293" t="s">
        <v>0</v>
      </c>
      <c r="E1" s="294" t="s">
        <v>95</v>
      </c>
      <c r="F1" s="294" t="s">
        <v>99</v>
      </c>
      <c r="G1" s="294" t="s">
        <v>1</v>
      </c>
      <c r="H1" s="295" t="s">
        <v>72</v>
      </c>
      <c r="I1" s="295" t="s">
        <v>96</v>
      </c>
      <c r="J1" s="296" t="s">
        <v>97</v>
      </c>
      <c r="K1" s="297" t="s">
        <v>2</v>
      </c>
      <c r="L1" s="294" t="s">
        <v>98</v>
      </c>
      <c r="M1" s="294" t="s">
        <v>2</v>
      </c>
      <c r="N1" s="298">
        <v>119413040</v>
      </c>
      <c r="O1" s="299" t="s">
        <v>260</v>
      </c>
      <c r="P1" s="300">
        <f>N1+'REKAP PAJAK'!K25</f>
        <v>120904040</v>
      </c>
      <c r="Q1" s="390">
        <v>121069530</v>
      </c>
      <c r="R1" s="302">
        <f>Q1-P1</f>
        <v>165490</v>
      </c>
      <c r="S1" s="303" t="s">
        <v>511</v>
      </c>
      <c r="T1" s="303" t="s">
        <v>261</v>
      </c>
      <c r="U1" s="303" t="s">
        <v>296</v>
      </c>
      <c r="V1" s="303"/>
      <c r="W1" s="303"/>
      <c r="X1" s="303"/>
      <c r="Y1" s="303"/>
      <c r="Z1" s="303" t="s">
        <v>340</v>
      </c>
      <c r="AA1" s="304"/>
      <c r="AB1" s="305"/>
      <c r="AC1" s="306">
        <f>SUM(M2:M4000)</f>
        <v>119413040</v>
      </c>
      <c r="AD1" s="303" t="e">
        <f>'BKU 1'!#REF!</f>
        <v>#REF!</v>
      </c>
      <c r="AE1" s="89" t="s">
        <v>228</v>
      </c>
      <c r="AF1" s="89" t="s">
        <v>229</v>
      </c>
      <c r="AG1" s="89" t="s">
        <v>230</v>
      </c>
      <c r="AH1" s="89" t="s">
        <v>231</v>
      </c>
      <c r="AJ1" s="89" t="s">
        <v>219</v>
      </c>
      <c r="AK1" s="89" t="s">
        <v>220</v>
      </c>
      <c r="AL1" s="89" t="s">
        <v>221</v>
      </c>
      <c r="AM1" s="89" t="s">
        <v>222</v>
      </c>
      <c r="AN1" s="89" t="s">
        <v>223</v>
      </c>
      <c r="AP1" s="89">
        <f t="shared" ref="AP1:AP64" si="0">IF(LEFT(O1,3)="BKK",1,"")</f>
        <v>1</v>
      </c>
      <c r="AV1" s="614"/>
    </row>
    <row r="2" spans="1:49" x14ac:dyDescent="0.3">
      <c r="A2" s="307" t="str">
        <f t="shared" ref="A2:A65" si="1">IF(C2=1,C2&amp;"."&amp;MOD(ROW()-1,$AJ$2+1),IF(C2=2,C2&amp;"."&amp;MOD(ROW()-($AJ$2+1),$AK$2+1),IF(C2=3,C2&amp;"."&amp;MOD(ROW()-($AJ$2+$AK$2+1),$AL$2+1),IF(C2=4,C2&amp;"."&amp;MOD(ROW()-($AJ$2+$AK$2+$AL$2+1),$AM$2+1),IF(C2=5,C2&amp;"."&amp;MOD(ROW()-($AJ$2+$AK$2+$AL$2+$AM$2+1),$AN$2+1),0)))))</f>
        <v>1.1</v>
      </c>
      <c r="B2" s="307" t="str">
        <f t="shared" ref="B2:B35" si="2">IF(LEFT(F2,2)="MA","Jasa",IF(LEFT(F2,1)="G","Bayar Ongkos",IF(LEFT(F2,1)="M","Beli",0)))</f>
        <v>Beli</v>
      </c>
      <c r="C2" s="308">
        <v>1</v>
      </c>
      <c r="D2" s="309">
        <v>45901</v>
      </c>
      <c r="E2" s="310" t="s">
        <v>558</v>
      </c>
      <c r="F2" s="310" t="s">
        <v>559</v>
      </c>
      <c r="G2" s="311" t="s">
        <v>560</v>
      </c>
      <c r="H2" s="310" t="s">
        <v>561</v>
      </c>
      <c r="I2" s="310">
        <v>17000</v>
      </c>
      <c r="J2" s="310">
        <v>16</v>
      </c>
      <c r="K2" s="312">
        <v>272000</v>
      </c>
      <c r="L2" s="310" t="s">
        <v>562</v>
      </c>
      <c r="M2" s="310">
        <v>272000</v>
      </c>
      <c r="N2" s="313">
        <v>1067000</v>
      </c>
      <c r="O2" s="314" t="s">
        <v>511</v>
      </c>
      <c r="P2" s="307" t="str">
        <f t="shared" ref="P2:P65" si="3">IF(LEFT(O2,1)="B",R2,0)</f>
        <v>Men1</v>
      </c>
      <c r="R2" s="91" t="str">
        <f t="shared" ref="R2:R35" si="4">IF(LEFT(F2,2)="ma",F2,IF(LEFT(F2,1)="m",E2,IF(LEFT(F2,1)="b",E2,IF(LEFT(F2,1)="G",F2,""))))</f>
        <v>Men1</v>
      </c>
      <c r="S2" s="307" t="str">
        <f t="shared" ref="S2:S65" si="5">IF(O2="",S1&amp;"a",IF(O2&gt;0,O2,0))</f>
        <v>BKK.1</v>
      </c>
      <c r="T2" s="307" t="str">
        <f t="shared" ref="T2:T65" si="6">IF(G2=0,"",G2)</f>
        <v>Banner Untuk Rapat</v>
      </c>
      <c r="U2" s="315">
        <f>D2</f>
        <v>45901</v>
      </c>
      <c r="V2" s="307">
        <f>IF(N2&gt;0,N2,0)</f>
        <v>1067000</v>
      </c>
      <c r="W2" s="307" t="str">
        <f>IFERROR(IF(V2&gt;0,PROPER(Terbilang1(V2)&amp;" Rupiah"),0),"")</f>
        <v>Satu Juta Enam Puluh Tujuh Ribu Rupiah</v>
      </c>
      <c r="X2" s="90">
        <f t="shared" ref="X2:X33" si="7">J2</f>
        <v>16</v>
      </c>
      <c r="Y2" s="307" t="str">
        <f t="shared" ref="Y2:Y33" si="8">H2</f>
        <v>m</v>
      </c>
      <c r="Z2" s="307">
        <f t="shared" ref="Z2:Z65" si="9">IF(LEN(AA2)&gt;1,AA2,IF(AA2=0,AB2,0))</f>
        <v>0</v>
      </c>
      <c r="AA2" s="366">
        <f t="shared" ref="AA2:AA65" si="10">IFERROR(IF(AND(N2&gt;1,LEFT(G2,5)="Bayar"),N2*3.5%,IF(N2&gt;2000000,N2*(IF(OR(LEFT(F2,3)="MoP",LEFT(F2,3)="GaJ"),0,11%)),0)),0)</f>
        <v>0</v>
      </c>
      <c r="AB2" s="367">
        <f t="shared" ref="AB2" si="11">IF(LEN(AA1)&gt;1,IF(LEFT(G1,5)="Bayar",0,IF(LEFT(G1,6)="PEMASA",(N1*100/111*1.5%),N1*0.015)),0)</f>
        <v>0</v>
      </c>
      <c r="AC2" s="305">
        <f t="shared" ref="AC2" si="12">IF(LEN(AA2)&gt;1,IF(LEFT(G2,6)="PEMASA","Terima Pajak PPN (11 %) "&amp;O2,IF(LEFT(G2,5)="Bayar","Terima PPh Pasal 4 ayat 2 (3,5 %) "&amp;O2,"Bayar Pajak PPN (11 %) "&amp;O2)),IF(AB2&gt;0,IF(LEFT(AC1,6)="Terima","Terima Pajak PPH (1,5%) "&amp;O1,"Bayar Pajak PPH (1,5 %) "&amp;O1),0))</f>
        <v>0</v>
      </c>
      <c r="AE2" s="316" t="e">
        <f>$AD$1*AE4</f>
        <v>#REF!</v>
      </c>
      <c r="AF2" s="316" t="e">
        <f>$AD$1*AF4</f>
        <v>#REF!</v>
      </c>
      <c r="AG2" s="316" t="e">
        <f>AD1-(AE2+AF2)</f>
        <v>#REF!</v>
      </c>
      <c r="AH2" s="316" t="e">
        <f>$AD$1*AH4</f>
        <v>#REF!</v>
      </c>
      <c r="AJ2" s="75">
        <f>COUNTIF(C:C,1)</f>
        <v>109</v>
      </c>
      <c r="AK2" s="75">
        <f>COUNTIF(C:C,2)</f>
        <v>78</v>
      </c>
      <c r="AL2" s="75">
        <f>COUNTIF(C:C,3)</f>
        <v>0</v>
      </c>
      <c r="AM2" s="75">
        <f>COUNTIF(C:C,4)</f>
        <v>0</v>
      </c>
      <c r="AN2" s="75">
        <f>COUNTIF(C:C,5)</f>
        <v>0</v>
      </c>
      <c r="AP2" s="89">
        <f t="shared" si="0"/>
        <v>1</v>
      </c>
      <c r="AQ2" s="89" t="str">
        <f t="shared" ref="AQ2:AQ38" si="13">TEXT(AR2,"MM")</f>
        <v/>
      </c>
      <c r="AR2" s="315" t="str">
        <f t="shared" ref="AR2:AR65" si="14">IF(VALUE(AT2)&gt;1,IF(LEN(AR1)&gt;1,AR1,D2),"")</f>
        <v/>
      </c>
      <c r="AS2" s="305" t="str">
        <f t="shared" ref="AS2:AS65" si="15">IF(AC2="","",LEFT(AC2,15))</f>
        <v>0</v>
      </c>
      <c r="AT2" s="307">
        <f>Table22[[#This Row],[Column1]]</f>
        <v>0</v>
      </c>
      <c r="AW2" s="75" t="str" cm="1">
        <f t="array" ref="AW2">IFERROR(_xlfn.FILTERXML("&lt;a&gt;&lt;b&gt;"&amp;SUBSTITUTE(_xlfn.TEXTJOIN(",",1,AU2:AU1000),",","&lt;/b&gt;&lt;b&gt;")&amp;"&lt;/b&gt;&lt;/a&gt;","//b"),"")</f>
        <v/>
      </c>
    </row>
    <row r="3" spans="1:49" x14ac:dyDescent="0.3">
      <c r="A3" s="307" t="str">
        <f t="shared" si="1"/>
        <v>1.2</v>
      </c>
      <c r="B3" s="307" t="str">
        <f t="shared" si="2"/>
        <v>Beli</v>
      </c>
      <c r="C3" s="308">
        <v>1</v>
      </c>
      <c r="D3" s="309" t="s">
        <v>563</v>
      </c>
      <c r="E3" s="310" t="s">
        <v>558</v>
      </c>
      <c r="F3" s="310" t="s">
        <v>564</v>
      </c>
      <c r="G3" s="311" t="s">
        <v>565</v>
      </c>
      <c r="H3" s="310" t="s">
        <v>566</v>
      </c>
      <c r="I3" s="310">
        <v>3500</v>
      </c>
      <c r="J3" s="310">
        <v>26</v>
      </c>
      <c r="K3" s="312">
        <v>91000</v>
      </c>
      <c r="L3" s="310" t="s">
        <v>562</v>
      </c>
      <c r="M3" s="310">
        <v>91000</v>
      </c>
      <c r="N3" s="313" t="s">
        <v>563</v>
      </c>
      <c r="O3" s="314" t="s">
        <v>563</v>
      </c>
      <c r="P3" s="307">
        <f t="shared" si="3"/>
        <v>0</v>
      </c>
      <c r="R3" s="91" t="str">
        <f t="shared" si="4"/>
        <v>Men1</v>
      </c>
      <c r="S3" s="307" t="str">
        <f t="shared" si="5"/>
        <v>BKK.1a</v>
      </c>
      <c r="T3" s="307" t="str">
        <f t="shared" si="6"/>
        <v>Cetak A3 HVS 70 Grm</v>
      </c>
      <c r="U3" s="315" t="str">
        <f>D3</f>
        <v/>
      </c>
      <c r="V3" s="307" t="str">
        <f t="shared" ref="V3:V34" si="16">N3</f>
        <v/>
      </c>
      <c r="W3" s="307" t="str">
        <f>IFERROR(IF(V3&gt;0,PROPER(Terbilang1(V3)&amp;" Rupiah"),0),"")</f>
        <v/>
      </c>
      <c r="X3" s="90">
        <f t="shared" si="7"/>
        <v>26</v>
      </c>
      <c r="Y3" s="307" t="str">
        <f t="shared" si="8"/>
        <v>Lbr</v>
      </c>
      <c r="Z3" s="307">
        <f t="shared" si="9"/>
        <v>0</v>
      </c>
      <c r="AA3" s="366">
        <f t="shared" si="10"/>
        <v>0</v>
      </c>
      <c r="AB3" s="367">
        <f t="shared" ref="AB3:AB66" si="17">IF(LEN(AA2)&gt;1,IF(LEFT(G2,5)="Bayar",0,IF(LEFT(G2,6)="PEMASA",(N2*100/111*1.5%),N2*0.015)),0)</f>
        <v>0</v>
      </c>
      <c r="AC3" s="305">
        <f t="shared" ref="AC3:AC66" si="18">IF(LEN(AA3)&gt;1,IF(LEFT(G3,6)="PEMASA","Terima Pajak PPN (11 %) "&amp;O3,IF(LEFT(G3,5)="Bayar","Terima PPh Pasal 4 ayat 2 (3,5 %) "&amp;O3,"Bayar Pajak PPN (11 %) "&amp;O3)),IF(AB3&gt;0,IF(LEFT(AC2,6)="Terima","Terima Pajak PPH (1,5%) "&amp;O2,"Bayar Pajak PPH (1,5 %) "&amp;O2),0))</f>
        <v>0</v>
      </c>
      <c r="AE3" s="315">
        <v>44468</v>
      </c>
      <c r="AF3" s="315">
        <v>44524</v>
      </c>
      <c r="AG3" s="315"/>
      <c r="AH3" s="315"/>
      <c r="AJ3" s="75">
        <v>1</v>
      </c>
      <c r="AK3" s="75">
        <v>2</v>
      </c>
      <c r="AL3" s="75">
        <v>3</v>
      </c>
      <c r="AM3" s="75">
        <v>4</v>
      </c>
      <c r="AN3" s="75">
        <v>5</v>
      </c>
      <c r="AP3" s="89" t="str">
        <f t="shared" si="0"/>
        <v/>
      </c>
      <c r="AQ3" s="89" t="str">
        <f t="shared" si="13"/>
        <v/>
      </c>
      <c r="AR3" s="315" t="str">
        <f t="shared" si="14"/>
        <v/>
      </c>
      <c r="AS3" s="305" t="str">
        <f t="shared" si="15"/>
        <v>0</v>
      </c>
      <c r="AT3" s="307">
        <f>Table22[[#This Row],[Column1]]</f>
        <v>0</v>
      </c>
    </row>
    <row r="4" spans="1:49" x14ac:dyDescent="0.3">
      <c r="A4" s="307" t="str">
        <f t="shared" si="1"/>
        <v>1.3</v>
      </c>
      <c r="B4" s="307" t="str">
        <f t="shared" si="2"/>
        <v>Beli</v>
      </c>
      <c r="C4" s="308">
        <v>1</v>
      </c>
      <c r="D4" s="309" t="s">
        <v>563</v>
      </c>
      <c r="E4" s="310" t="s">
        <v>558</v>
      </c>
      <c r="F4" s="310" t="s">
        <v>567</v>
      </c>
      <c r="G4" s="311" t="s">
        <v>568</v>
      </c>
      <c r="H4" s="310" t="s">
        <v>566</v>
      </c>
      <c r="I4" s="310">
        <v>4000</v>
      </c>
      <c r="J4" s="310">
        <v>26</v>
      </c>
      <c r="K4" s="312">
        <v>104000</v>
      </c>
      <c r="L4" s="310" t="s">
        <v>562</v>
      </c>
      <c r="M4" s="310">
        <v>104000</v>
      </c>
      <c r="N4" s="313" t="s">
        <v>563</v>
      </c>
      <c r="O4" s="314" t="s">
        <v>563</v>
      </c>
      <c r="P4" s="307">
        <f t="shared" si="3"/>
        <v>0</v>
      </c>
      <c r="R4" s="91" t="str">
        <f t="shared" si="4"/>
        <v>Men1</v>
      </c>
      <c r="S4" s="307" t="str">
        <f t="shared" si="5"/>
        <v>BKK.1aa</v>
      </c>
      <c r="T4" s="307" t="str">
        <f t="shared" si="6"/>
        <v>Cetak Gambar A3 Ap 120 Grm</v>
      </c>
      <c r="U4" s="315" t="str">
        <f t="shared" ref="U4:U65" si="19">D4</f>
        <v/>
      </c>
      <c r="V4" s="307" t="str">
        <f t="shared" si="16"/>
        <v/>
      </c>
      <c r="W4" s="307" t="str">
        <f>IFERROR(IF(V4&gt;0,PROPER(Terbilang1(V4)&amp;" Rupiah"),0),"")</f>
        <v/>
      </c>
      <c r="X4" s="90">
        <f t="shared" si="7"/>
        <v>26</v>
      </c>
      <c r="Y4" s="307" t="str">
        <f t="shared" si="8"/>
        <v>Lbr</v>
      </c>
      <c r="Z4" s="307">
        <f t="shared" si="9"/>
        <v>0</v>
      </c>
      <c r="AA4" s="366">
        <f t="shared" si="10"/>
        <v>0</v>
      </c>
      <c r="AB4" s="367">
        <f t="shared" si="17"/>
        <v>0</v>
      </c>
      <c r="AC4" s="305">
        <f t="shared" si="18"/>
        <v>0</v>
      </c>
      <c r="AE4" s="317">
        <v>0.5</v>
      </c>
      <c r="AF4" s="317">
        <v>0.5</v>
      </c>
      <c r="AG4" s="317">
        <v>0</v>
      </c>
      <c r="AH4" s="317"/>
      <c r="AJ4" s="527">
        <f>AF7</f>
        <v>45901</v>
      </c>
      <c r="AK4" s="527">
        <f>EOMONTH(AJ4,0)+1</f>
        <v>45931</v>
      </c>
      <c r="AL4" s="527">
        <f t="shared" ref="AL4:AN4" si="20">EOMONTH(AK4,0)+1</f>
        <v>45962</v>
      </c>
      <c r="AM4" s="527">
        <f t="shared" si="20"/>
        <v>45992</v>
      </c>
      <c r="AN4" s="527">
        <f t="shared" si="20"/>
        <v>46023</v>
      </c>
      <c r="AP4" s="89" t="str">
        <f t="shared" si="0"/>
        <v/>
      </c>
      <c r="AQ4" s="89" t="str">
        <f t="shared" si="13"/>
        <v/>
      </c>
      <c r="AR4" s="315" t="str">
        <f t="shared" si="14"/>
        <v/>
      </c>
      <c r="AS4" s="305" t="str">
        <f t="shared" si="15"/>
        <v>0</v>
      </c>
      <c r="AT4" s="307">
        <f>Table22[[#This Row],[Column1]]</f>
        <v>0</v>
      </c>
    </row>
    <row r="5" spans="1:49" x14ac:dyDescent="0.3">
      <c r="A5" s="307" t="str">
        <f t="shared" si="1"/>
        <v>1.4</v>
      </c>
      <c r="B5" s="307" t="str">
        <f t="shared" si="2"/>
        <v>Beli</v>
      </c>
      <c r="C5" s="308">
        <v>1</v>
      </c>
      <c r="D5" s="309" t="s">
        <v>563</v>
      </c>
      <c r="E5" s="310" t="s">
        <v>558</v>
      </c>
      <c r="F5" s="310" t="s">
        <v>569</v>
      </c>
      <c r="G5" s="311" t="s">
        <v>570</v>
      </c>
      <c r="H5" s="310" t="s">
        <v>571</v>
      </c>
      <c r="I5" s="310">
        <v>30000</v>
      </c>
      <c r="J5" s="310">
        <v>10</v>
      </c>
      <c r="K5" s="312">
        <v>300000</v>
      </c>
      <c r="L5" s="310" t="s">
        <v>562</v>
      </c>
      <c r="M5" s="310">
        <v>300000</v>
      </c>
      <c r="N5" s="313" t="s">
        <v>563</v>
      </c>
      <c r="O5" s="314" t="s">
        <v>563</v>
      </c>
      <c r="P5" s="307">
        <f t="shared" si="3"/>
        <v>0</v>
      </c>
      <c r="R5" s="91" t="str">
        <f t="shared" si="4"/>
        <v>Men1</v>
      </c>
      <c r="S5" s="307" t="str">
        <f t="shared" si="5"/>
        <v>BKK.1aaa</v>
      </c>
      <c r="T5" s="307" t="str">
        <f t="shared" si="6"/>
        <v>Kosumsi Rapat Awal Pekerjaan</v>
      </c>
      <c r="U5" s="315" t="str">
        <f t="shared" si="19"/>
        <v/>
      </c>
      <c r="V5" s="307" t="str">
        <f t="shared" si="16"/>
        <v/>
      </c>
      <c r="W5" s="307" t="str">
        <f>IFERROR(IF(V5&gt;0,PROPER(Terbilang1(V5)&amp;" Rupiah"),0),"")</f>
        <v/>
      </c>
      <c r="X5" s="90">
        <f t="shared" si="7"/>
        <v>10</v>
      </c>
      <c r="Y5" s="307" t="str">
        <f t="shared" si="8"/>
        <v>Bks</v>
      </c>
      <c r="Z5" s="307">
        <f t="shared" si="9"/>
        <v>0</v>
      </c>
      <c r="AA5" s="366">
        <f t="shared" si="10"/>
        <v>0</v>
      </c>
      <c r="AB5" s="367">
        <f t="shared" si="17"/>
        <v>0</v>
      </c>
      <c r="AC5" s="305">
        <f t="shared" si="18"/>
        <v>0</v>
      </c>
      <c r="AD5" s="365"/>
      <c r="AP5" s="89" t="str">
        <f t="shared" si="0"/>
        <v/>
      </c>
      <c r="AQ5" s="89" t="str">
        <f t="shared" si="13"/>
        <v/>
      </c>
      <c r="AR5" s="315" t="str">
        <f t="shared" si="14"/>
        <v/>
      </c>
      <c r="AS5" s="305" t="str">
        <f t="shared" si="15"/>
        <v>0</v>
      </c>
      <c r="AT5" s="307">
        <f>Table22[[#This Row],[Column1]]</f>
        <v>0</v>
      </c>
    </row>
    <row r="6" spans="1:49" ht="21" thickBot="1" x14ac:dyDescent="0.35">
      <c r="A6" s="307" t="str">
        <f t="shared" si="1"/>
        <v>1.5</v>
      </c>
      <c r="B6" s="307" t="str">
        <f t="shared" si="2"/>
        <v>Beli</v>
      </c>
      <c r="C6" s="308">
        <v>1</v>
      </c>
      <c r="D6" s="309" t="s">
        <v>563</v>
      </c>
      <c r="E6" s="310" t="s">
        <v>558</v>
      </c>
      <c r="F6" s="310" t="s">
        <v>572</v>
      </c>
      <c r="G6" s="311" t="s">
        <v>573</v>
      </c>
      <c r="H6" s="310" t="s">
        <v>574</v>
      </c>
      <c r="I6" s="310">
        <v>300000</v>
      </c>
      <c r="J6" s="310">
        <v>1</v>
      </c>
      <c r="K6" s="312">
        <v>300000</v>
      </c>
      <c r="L6" s="310" t="s">
        <v>562</v>
      </c>
      <c r="M6" s="310">
        <v>300000</v>
      </c>
      <c r="N6" s="313" t="s">
        <v>563</v>
      </c>
      <c r="O6" s="314" t="s">
        <v>563</v>
      </c>
      <c r="P6" s="307">
        <f t="shared" si="3"/>
        <v>0</v>
      </c>
      <c r="R6" s="91" t="str">
        <f t="shared" si="4"/>
        <v>Men1</v>
      </c>
      <c r="S6" s="307" t="str">
        <f t="shared" si="5"/>
        <v>BKK.1aaaa</v>
      </c>
      <c r="T6" s="307" t="str">
        <f t="shared" si="6"/>
        <v>Biaya Perjalanan Rapat Ke dinas Pendidikan</v>
      </c>
      <c r="U6" s="315" t="str">
        <f t="shared" si="19"/>
        <v/>
      </c>
      <c r="V6" s="307" t="str">
        <f t="shared" si="16"/>
        <v/>
      </c>
      <c r="W6" s="307" t="str">
        <f>IFERROR(IF(V6&gt;0,PROPER(Terbilang1(V6)&amp;" Rupiah"),0),"")</f>
        <v/>
      </c>
      <c r="X6" s="90">
        <f t="shared" si="7"/>
        <v>1</v>
      </c>
      <c r="Y6" s="307" t="str">
        <f t="shared" si="8"/>
        <v>Ls</v>
      </c>
      <c r="Z6" s="307">
        <f t="shared" si="9"/>
        <v>0</v>
      </c>
      <c r="AA6" s="366">
        <f t="shared" si="10"/>
        <v>0</v>
      </c>
      <c r="AB6" s="367">
        <f t="shared" si="17"/>
        <v>0</v>
      </c>
      <c r="AC6" s="305">
        <f t="shared" si="18"/>
        <v>0</v>
      </c>
      <c r="AF6" s="75" t="s">
        <v>434</v>
      </c>
      <c r="AG6" s="75" t="s">
        <v>102</v>
      </c>
      <c r="AP6" s="89" t="str">
        <f t="shared" si="0"/>
        <v/>
      </c>
      <c r="AQ6" s="89" t="str">
        <f t="shared" si="13"/>
        <v/>
      </c>
      <c r="AR6" s="315" t="str">
        <f t="shared" si="14"/>
        <v/>
      </c>
      <c r="AS6" s="305" t="str">
        <f t="shared" si="15"/>
        <v>0</v>
      </c>
      <c r="AT6" s="307">
        <f>Table22[[#This Row],[Column1]]</f>
        <v>0</v>
      </c>
    </row>
    <row r="7" spans="1:49" x14ac:dyDescent="0.3">
      <c r="A7" s="307" t="str">
        <f t="shared" si="1"/>
        <v>1.6</v>
      </c>
      <c r="B7" s="307" t="str">
        <f t="shared" si="2"/>
        <v>Beli</v>
      </c>
      <c r="C7" s="308">
        <v>1</v>
      </c>
      <c r="D7" s="309">
        <v>45902</v>
      </c>
      <c r="E7" s="310" t="s">
        <v>233</v>
      </c>
      <c r="F7" s="310" t="s">
        <v>575</v>
      </c>
      <c r="G7" s="311" t="s">
        <v>576</v>
      </c>
      <c r="H7" s="310" t="s">
        <v>577</v>
      </c>
      <c r="I7" s="310">
        <v>230000</v>
      </c>
      <c r="J7" s="310">
        <v>2</v>
      </c>
      <c r="K7" s="312">
        <v>460000</v>
      </c>
      <c r="L7" s="310" t="s">
        <v>39</v>
      </c>
      <c r="M7" s="310">
        <v>460000</v>
      </c>
      <c r="N7" s="313">
        <v>1686000</v>
      </c>
      <c r="O7" s="314" t="s">
        <v>578</v>
      </c>
      <c r="P7" s="307" t="str">
        <f t="shared" si="3"/>
        <v>Mgg1</v>
      </c>
      <c r="R7" s="91" t="str">
        <f t="shared" si="4"/>
        <v>Mgg1</v>
      </c>
      <c r="S7" s="307" t="str">
        <f t="shared" si="5"/>
        <v>BKK.2</v>
      </c>
      <c r="T7" s="307" t="str">
        <f t="shared" si="6"/>
        <v>Gancu   Doran</v>
      </c>
      <c r="U7" s="315">
        <f t="shared" si="19"/>
        <v>45902</v>
      </c>
      <c r="V7" s="307">
        <f t="shared" si="16"/>
        <v>1686000</v>
      </c>
      <c r="W7" s="307" t="str">
        <f>IFERROR(IF(V7&gt;0,PROPER(Terbilang1(V7)&amp;" Rupiah"),0),"")</f>
        <v>Satu Juta Enam Ratus Delapan Puluh Enam Ribu Rupiah</v>
      </c>
      <c r="X7" s="90">
        <f t="shared" si="7"/>
        <v>2</v>
      </c>
      <c r="Y7" s="307" t="str">
        <f t="shared" si="8"/>
        <v>Pcs</v>
      </c>
      <c r="Z7" s="307">
        <f t="shared" si="9"/>
        <v>0</v>
      </c>
      <c r="AA7" s="366">
        <f t="shared" si="10"/>
        <v>0</v>
      </c>
      <c r="AB7" s="367">
        <f t="shared" si="17"/>
        <v>0</v>
      </c>
      <c r="AC7" s="305">
        <f t="shared" si="18"/>
        <v>0</v>
      </c>
      <c r="AE7" s="318" t="s">
        <v>233</v>
      </c>
      <c r="AF7" s="319">
        <v>45901</v>
      </c>
      <c r="AG7" s="320">
        <f>AF7+7-WEEKDAY(AF7)</f>
        <v>45906</v>
      </c>
      <c r="AH7" s="75" t="str">
        <f>TEXT(AF7,"MM")</f>
        <v>09</v>
      </c>
      <c r="AP7" s="89">
        <f t="shared" si="0"/>
        <v>1</v>
      </c>
      <c r="AQ7" s="89" t="str">
        <f t="shared" si="13"/>
        <v/>
      </c>
      <c r="AR7" s="315" t="str">
        <f t="shared" si="14"/>
        <v/>
      </c>
      <c r="AS7" s="305" t="str">
        <f t="shared" si="15"/>
        <v>0</v>
      </c>
      <c r="AT7" s="307">
        <f>Table22[[#This Row],[Column1]]</f>
        <v>0</v>
      </c>
    </row>
    <row r="8" spans="1:49" x14ac:dyDescent="0.3">
      <c r="A8" s="307" t="str">
        <f t="shared" si="1"/>
        <v>1.7</v>
      </c>
      <c r="B8" s="307" t="str">
        <f t="shared" si="2"/>
        <v>Beli</v>
      </c>
      <c r="C8" s="308">
        <v>1</v>
      </c>
      <c r="D8" s="309" t="s">
        <v>563</v>
      </c>
      <c r="E8" s="310" t="s">
        <v>233</v>
      </c>
      <c r="F8" s="310" t="s">
        <v>579</v>
      </c>
      <c r="G8" s="311" t="s">
        <v>580</v>
      </c>
      <c r="H8" s="310" t="s">
        <v>577</v>
      </c>
      <c r="I8" s="310">
        <v>25000</v>
      </c>
      <c r="J8" s="310">
        <v>1</v>
      </c>
      <c r="K8" s="312">
        <v>25000</v>
      </c>
      <c r="L8" s="310" t="s">
        <v>39</v>
      </c>
      <c r="M8" s="310">
        <v>25000</v>
      </c>
      <c r="N8" s="313" t="s">
        <v>563</v>
      </c>
      <c r="O8" s="314" t="s">
        <v>563</v>
      </c>
      <c r="P8" s="307">
        <f t="shared" si="3"/>
        <v>0</v>
      </c>
      <c r="R8" s="91" t="str">
        <f t="shared" si="4"/>
        <v>Mgg1</v>
      </c>
      <c r="S8" s="307" t="str">
        <f t="shared" si="5"/>
        <v>BKK.2a</v>
      </c>
      <c r="T8" s="307" t="str">
        <f t="shared" si="6"/>
        <v>Garuk Besar</v>
      </c>
      <c r="U8" s="315" t="str">
        <f t="shared" si="19"/>
        <v/>
      </c>
      <c r="V8" s="307" t="str">
        <f t="shared" si="16"/>
        <v/>
      </c>
      <c r="W8" s="307" t="str">
        <f>IFERROR(IF(V8&gt;0,PROPER(Terbilang1(V8)&amp;" Rupiah"),0),"")</f>
        <v/>
      </c>
      <c r="X8" s="90">
        <f t="shared" si="7"/>
        <v>1</v>
      </c>
      <c r="Y8" s="307" t="str">
        <f t="shared" si="8"/>
        <v>Pcs</v>
      </c>
      <c r="Z8" s="307">
        <f t="shared" si="9"/>
        <v>0</v>
      </c>
      <c r="AA8" s="366">
        <f t="shared" si="10"/>
        <v>0</v>
      </c>
      <c r="AB8" s="367">
        <f t="shared" si="17"/>
        <v>0</v>
      </c>
      <c r="AC8" s="305">
        <f t="shared" si="18"/>
        <v>0</v>
      </c>
      <c r="AE8" s="321" t="s">
        <v>234</v>
      </c>
      <c r="AF8" s="322">
        <f>AG7+1</f>
        <v>45907</v>
      </c>
      <c r="AG8" s="323">
        <f t="shared" ref="AG8:AG25" si="21">AF8+7-WEEKDAY(AF8)</f>
        <v>45913</v>
      </c>
      <c r="AP8" s="89" t="str">
        <f t="shared" si="0"/>
        <v/>
      </c>
      <c r="AQ8" s="89" t="str">
        <f t="shared" si="13"/>
        <v/>
      </c>
      <c r="AR8" s="315" t="str">
        <f t="shared" si="14"/>
        <v/>
      </c>
      <c r="AS8" s="305" t="str">
        <f t="shared" si="15"/>
        <v>0</v>
      </c>
      <c r="AT8" s="307">
        <f>Table22[[#This Row],[Column1]]</f>
        <v>0</v>
      </c>
    </row>
    <row r="9" spans="1:49" x14ac:dyDescent="0.3">
      <c r="A9" s="307" t="str">
        <f t="shared" si="1"/>
        <v>1.8</v>
      </c>
      <c r="B9" s="307" t="str">
        <f t="shared" si="2"/>
        <v>Beli</v>
      </c>
      <c r="C9" s="308">
        <v>1</v>
      </c>
      <c r="D9" s="309" t="s">
        <v>563</v>
      </c>
      <c r="E9" s="310" t="s">
        <v>233</v>
      </c>
      <c r="F9" s="310" t="s">
        <v>581</v>
      </c>
      <c r="G9" s="311" t="s">
        <v>582</v>
      </c>
      <c r="H9" s="310" t="s">
        <v>577</v>
      </c>
      <c r="I9" s="310">
        <v>20000</v>
      </c>
      <c r="J9" s="310">
        <v>1</v>
      </c>
      <c r="K9" s="312">
        <v>20000</v>
      </c>
      <c r="L9" s="310" t="s">
        <v>39</v>
      </c>
      <c r="M9" s="310">
        <v>20000</v>
      </c>
      <c r="N9" s="313" t="s">
        <v>563</v>
      </c>
      <c r="O9" s="314" t="s">
        <v>563</v>
      </c>
      <c r="P9" s="307">
        <f t="shared" si="3"/>
        <v>0</v>
      </c>
      <c r="R9" s="91" t="str">
        <f t="shared" si="4"/>
        <v>Mgg1</v>
      </c>
      <c r="S9" s="307" t="str">
        <f t="shared" si="5"/>
        <v>BKK.2aa</v>
      </c>
      <c r="T9" s="307" t="str">
        <f t="shared" si="6"/>
        <v>Meteran Biasa 7.5 M</v>
      </c>
      <c r="U9" s="315" t="str">
        <f t="shared" si="19"/>
        <v/>
      </c>
      <c r="V9" s="307" t="str">
        <f t="shared" si="16"/>
        <v/>
      </c>
      <c r="W9" s="307" t="str">
        <f>IFERROR(IF(V9&gt;0,PROPER(Terbilang1(V9)&amp;" Rupiah"),0),"")</f>
        <v/>
      </c>
      <c r="X9" s="90">
        <f>J9</f>
        <v>1</v>
      </c>
      <c r="Y9" s="307" t="str">
        <f t="shared" si="8"/>
        <v>Pcs</v>
      </c>
      <c r="Z9" s="307">
        <f t="shared" si="9"/>
        <v>0</v>
      </c>
      <c r="AA9" s="366">
        <f t="shared" si="10"/>
        <v>0</v>
      </c>
      <c r="AB9" s="367">
        <f t="shared" si="17"/>
        <v>0</v>
      </c>
      <c r="AC9" s="305">
        <f t="shared" si="18"/>
        <v>0</v>
      </c>
      <c r="AE9" s="321" t="s">
        <v>235</v>
      </c>
      <c r="AF9" s="322">
        <f t="shared" ref="AF9:AF25" si="22">AG8+1</f>
        <v>45914</v>
      </c>
      <c r="AG9" s="323">
        <f t="shared" si="21"/>
        <v>45920</v>
      </c>
      <c r="AP9" s="89" t="str">
        <f t="shared" si="0"/>
        <v/>
      </c>
      <c r="AQ9" s="89" t="str">
        <f t="shared" si="13"/>
        <v/>
      </c>
      <c r="AR9" s="315" t="str">
        <f t="shared" si="14"/>
        <v/>
      </c>
      <c r="AS9" s="305" t="str">
        <f t="shared" si="15"/>
        <v>0</v>
      </c>
      <c r="AT9" s="307">
        <f>Table22[[#This Row],[Column1]]</f>
        <v>0</v>
      </c>
    </row>
    <row r="10" spans="1:49" x14ac:dyDescent="0.3">
      <c r="A10" s="307" t="str">
        <f t="shared" si="1"/>
        <v>1.9</v>
      </c>
      <c r="B10" s="307" t="str">
        <f t="shared" si="2"/>
        <v>Beli</v>
      </c>
      <c r="C10" s="308">
        <v>1</v>
      </c>
      <c r="D10" s="309" t="s">
        <v>563</v>
      </c>
      <c r="E10" s="310" t="s">
        <v>233</v>
      </c>
      <c r="F10" s="310" t="s">
        <v>583</v>
      </c>
      <c r="G10" s="311" t="s">
        <v>584</v>
      </c>
      <c r="H10" s="310" t="s">
        <v>577</v>
      </c>
      <c r="I10" s="310">
        <v>55000</v>
      </c>
      <c r="J10" s="310">
        <v>2</v>
      </c>
      <c r="K10" s="312">
        <v>110000</v>
      </c>
      <c r="L10" s="310" t="s">
        <v>39</v>
      </c>
      <c r="M10" s="310">
        <v>110000</v>
      </c>
      <c r="N10" s="313" t="s">
        <v>563</v>
      </c>
      <c r="O10" s="314" t="s">
        <v>563</v>
      </c>
      <c r="P10" s="307">
        <f t="shared" si="3"/>
        <v>0</v>
      </c>
      <c r="R10" s="91" t="str">
        <f t="shared" si="4"/>
        <v>Mgg1</v>
      </c>
      <c r="S10" s="307" t="str">
        <f t="shared" si="5"/>
        <v>BKK.2aaa</v>
      </c>
      <c r="T10" s="307" t="str">
        <f t="shared" si="6"/>
        <v>Skrop Pasir Full Besi Crocodile</v>
      </c>
      <c r="U10" s="315" t="str">
        <f t="shared" si="19"/>
        <v/>
      </c>
      <c r="V10" s="307" t="str">
        <f t="shared" si="16"/>
        <v/>
      </c>
      <c r="W10" s="307" t="str">
        <f>IFERROR(IF(V10&gt;0,PROPER(Terbilang1(V10)&amp;" Rupiah"),0),"")</f>
        <v/>
      </c>
      <c r="X10" s="90">
        <f t="shared" si="7"/>
        <v>2</v>
      </c>
      <c r="Y10" s="307" t="str">
        <f t="shared" si="8"/>
        <v>Pcs</v>
      </c>
      <c r="Z10" s="307">
        <f t="shared" si="9"/>
        <v>0</v>
      </c>
      <c r="AA10" s="366">
        <f t="shared" si="10"/>
        <v>0</v>
      </c>
      <c r="AB10" s="367">
        <f t="shared" si="17"/>
        <v>0</v>
      </c>
      <c r="AC10" s="305">
        <f t="shared" si="18"/>
        <v>0</v>
      </c>
      <c r="AE10" s="321" t="s">
        <v>236</v>
      </c>
      <c r="AF10" s="322">
        <f t="shared" si="22"/>
        <v>45921</v>
      </c>
      <c r="AG10" s="323">
        <f t="shared" si="21"/>
        <v>45927</v>
      </c>
      <c r="AP10" s="89" t="str">
        <f t="shared" si="0"/>
        <v/>
      </c>
      <c r="AQ10" s="89" t="str">
        <f t="shared" si="13"/>
        <v/>
      </c>
      <c r="AR10" s="315" t="str">
        <f t="shared" si="14"/>
        <v/>
      </c>
      <c r="AS10" s="305" t="str">
        <f t="shared" si="15"/>
        <v>0</v>
      </c>
      <c r="AT10" s="307">
        <f>Table22[[#This Row],[Column1]]</f>
        <v>0</v>
      </c>
    </row>
    <row r="11" spans="1:49" ht="21" thickBot="1" x14ac:dyDescent="0.35">
      <c r="A11" s="307" t="str">
        <f t="shared" si="1"/>
        <v>1.10</v>
      </c>
      <c r="B11" s="307" t="str">
        <f t="shared" si="2"/>
        <v>Beli</v>
      </c>
      <c r="C11" s="308">
        <v>1</v>
      </c>
      <c r="D11" s="309" t="s">
        <v>563</v>
      </c>
      <c r="E11" s="310" t="s">
        <v>233</v>
      </c>
      <c r="F11" s="310" t="s">
        <v>585</v>
      </c>
      <c r="G11" s="311" t="s">
        <v>586</v>
      </c>
      <c r="H11" s="310" t="s">
        <v>577</v>
      </c>
      <c r="I11" s="310">
        <v>5000</v>
      </c>
      <c r="J11" s="310">
        <v>3</v>
      </c>
      <c r="K11" s="312">
        <v>15000</v>
      </c>
      <c r="L11" s="310" t="s">
        <v>38</v>
      </c>
      <c r="M11" s="310">
        <v>15000</v>
      </c>
      <c r="N11" s="313" t="s">
        <v>563</v>
      </c>
      <c r="O11" s="314" t="s">
        <v>563</v>
      </c>
      <c r="P11" s="307">
        <f t="shared" si="3"/>
        <v>0</v>
      </c>
      <c r="R11" s="91" t="str">
        <f t="shared" si="4"/>
        <v>Mgg1</v>
      </c>
      <c r="S11" s="307" t="str">
        <f t="shared" si="5"/>
        <v>BKK.2aaaa</v>
      </c>
      <c r="T11" s="307" t="str">
        <f t="shared" si="6"/>
        <v>Benang Tampar Kuning</v>
      </c>
      <c r="U11" s="315" t="str">
        <f t="shared" si="19"/>
        <v/>
      </c>
      <c r="V11" s="307" t="str">
        <f t="shared" si="16"/>
        <v/>
      </c>
      <c r="W11" s="307" t="str">
        <f>IFERROR(IF(V11&gt;0,PROPER(Terbilang1(V11)&amp;" Rupiah"),0),"")</f>
        <v/>
      </c>
      <c r="X11" s="90">
        <f t="shared" si="7"/>
        <v>3</v>
      </c>
      <c r="Y11" s="307" t="str">
        <f t="shared" si="8"/>
        <v>Pcs</v>
      </c>
      <c r="Z11" s="307">
        <f t="shared" si="9"/>
        <v>0</v>
      </c>
      <c r="AA11" s="366">
        <f t="shared" si="10"/>
        <v>0</v>
      </c>
      <c r="AB11" s="367">
        <f t="shared" si="17"/>
        <v>0</v>
      </c>
      <c r="AC11" s="305">
        <f t="shared" si="18"/>
        <v>0</v>
      </c>
      <c r="AE11" s="324" t="s">
        <v>237</v>
      </c>
      <c r="AF11" s="325">
        <f t="shared" si="22"/>
        <v>45928</v>
      </c>
      <c r="AG11" s="326">
        <f t="shared" si="21"/>
        <v>45934</v>
      </c>
      <c r="AP11" s="89" t="str">
        <f t="shared" si="0"/>
        <v/>
      </c>
      <c r="AQ11" s="89" t="str">
        <f t="shared" si="13"/>
        <v/>
      </c>
      <c r="AR11" s="315" t="str">
        <f t="shared" si="14"/>
        <v/>
      </c>
      <c r="AS11" s="305" t="str">
        <f t="shared" si="15"/>
        <v>0</v>
      </c>
      <c r="AT11" s="307">
        <f>Table22[[#This Row],[Column1]]</f>
        <v>0</v>
      </c>
    </row>
    <row r="12" spans="1:49" x14ac:dyDescent="0.3">
      <c r="A12" s="307" t="str">
        <f t="shared" si="1"/>
        <v>1.11</v>
      </c>
      <c r="B12" s="307" t="str">
        <f t="shared" si="2"/>
        <v>Beli</v>
      </c>
      <c r="C12" s="308">
        <v>1</v>
      </c>
      <c r="D12" s="309" t="s">
        <v>563</v>
      </c>
      <c r="E12" s="310" t="s">
        <v>233</v>
      </c>
      <c r="F12" s="310" t="s">
        <v>587</v>
      </c>
      <c r="G12" s="311" t="s">
        <v>588</v>
      </c>
      <c r="H12" s="310" t="s">
        <v>589</v>
      </c>
      <c r="I12" s="310">
        <v>20000</v>
      </c>
      <c r="J12" s="310">
        <v>1</v>
      </c>
      <c r="K12" s="312">
        <v>20000</v>
      </c>
      <c r="L12" s="310" t="s">
        <v>38</v>
      </c>
      <c r="M12" s="310">
        <v>20000</v>
      </c>
      <c r="N12" s="313" t="s">
        <v>563</v>
      </c>
      <c r="O12" s="314" t="s">
        <v>563</v>
      </c>
      <c r="P12" s="307">
        <f t="shared" si="3"/>
        <v>0</v>
      </c>
      <c r="R12" s="91" t="str">
        <f t="shared" si="4"/>
        <v>Mgg1</v>
      </c>
      <c r="S12" s="307" t="str">
        <f t="shared" si="5"/>
        <v>BKK.2aaaaa</v>
      </c>
      <c r="T12" s="307" t="str">
        <f t="shared" si="6"/>
        <v>Paku 1 1/2</v>
      </c>
      <c r="U12" s="315" t="str">
        <f t="shared" si="19"/>
        <v/>
      </c>
      <c r="V12" s="307" t="str">
        <f t="shared" si="16"/>
        <v/>
      </c>
      <c r="W12" s="307" t="str">
        <f>IFERROR(IF(V12&gt;0,PROPER(Terbilang1(V12)&amp;" Rupiah"),0),"")</f>
        <v/>
      </c>
      <c r="X12" s="90">
        <f t="shared" si="7"/>
        <v>1</v>
      </c>
      <c r="Y12" s="307" t="str">
        <f t="shared" si="8"/>
        <v>kg</v>
      </c>
      <c r="Z12" s="307">
        <f t="shared" si="9"/>
        <v>0</v>
      </c>
      <c r="AA12" s="366">
        <f t="shared" si="10"/>
        <v>0</v>
      </c>
      <c r="AB12" s="367">
        <f t="shared" si="17"/>
        <v>0</v>
      </c>
      <c r="AC12" s="305">
        <f t="shared" si="18"/>
        <v>0</v>
      </c>
      <c r="AE12" s="321" t="s">
        <v>238</v>
      </c>
      <c r="AF12" s="322">
        <f t="shared" si="22"/>
        <v>45935</v>
      </c>
      <c r="AG12" s="323">
        <f t="shared" si="21"/>
        <v>45941</v>
      </c>
      <c r="AP12" s="89" t="str">
        <f t="shared" si="0"/>
        <v/>
      </c>
      <c r="AQ12" s="89" t="str">
        <f t="shared" si="13"/>
        <v/>
      </c>
      <c r="AR12" s="315" t="str">
        <f t="shared" si="14"/>
        <v/>
      </c>
      <c r="AS12" s="305" t="str">
        <f t="shared" si="15"/>
        <v>0</v>
      </c>
      <c r="AT12" s="307">
        <f>Table22[[#This Row],[Column1]]</f>
        <v>0</v>
      </c>
    </row>
    <row r="13" spans="1:49" x14ac:dyDescent="0.3">
      <c r="A13" s="307" t="str">
        <f t="shared" si="1"/>
        <v>1.12</v>
      </c>
      <c r="B13" s="307" t="str">
        <f t="shared" si="2"/>
        <v>Beli</v>
      </c>
      <c r="C13" s="308">
        <v>1</v>
      </c>
      <c r="D13" s="309" t="s">
        <v>563</v>
      </c>
      <c r="E13" s="310" t="s">
        <v>233</v>
      </c>
      <c r="F13" s="310" t="s">
        <v>590</v>
      </c>
      <c r="G13" s="311" t="s">
        <v>591</v>
      </c>
      <c r="H13" s="310" t="s">
        <v>589</v>
      </c>
      <c r="I13" s="310">
        <v>18000</v>
      </c>
      <c r="J13" s="310">
        <v>2</v>
      </c>
      <c r="K13" s="312">
        <v>36000</v>
      </c>
      <c r="L13" s="310" t="s">
        <v>38</v>
      </c>
      <c r="M13" s="310">
        <v>36000</v>
      </c>
      <c r="N13" s="313" t="s">
        <v>563</v>
      </c>
      <c r="O13" s="314" t="s">
        <v>563</v>
      </c>
      <c r="P13" s="307">
        <f t="shared" si="3"/>
        <v>0</v>
      </c>
      <c r="R13" s="91" t="str">
        <f t="shared" si="4"/>
        <v>Mgg1</v>
      </c>
      <c r="S13" s="307" t="str">
        <f t="shared" si="5"/>
        <v>BKK.2aaaaaa</v>
      </c>
      <c r="T13" s="307" t="str">
        <f t="shared" si="6"/>
        <v>Paku 2</v>
      </c>
      <c r="U13" s="315" t="str">
        <f t="shared" si="19"/>
        <v/>
      </c>
      <c r="V13" s="307" t="str">
        <f t="shared" si="16"/>
        <v/>
      </c>
      <c r="W13" s="307" t="str">
        <f>IFERROR(IF(V13&gt;0,PROPER(Terbilang1(V13)&amp;" Rupiah"),0),"")</f>
        <v/>
      </c>
      <c r="X13" s="90">
        <f t="shared" si="7"/>
        <v>2</v>
      </c>
      <c r="Y13" s="307" t="str">
        <f t="shared" si="8"/>
        <v>kg</v>
      </c>
      <c r="Z13" s="307">
        <f t="shared" si="9"/>
        <v>0</v>
      </c>
      <c r="AA13" s="366">
        <f t="shared" si="10"/>
        <v>0</v>
      </c>
      <c r="AB13" s="367">
        <f t="shared" si="17"/>
        <v>0</v>
      </c>
      <c r="AC13" s="305">
        <f t="shared" si="18"/>
        <v>0</v>
      </c>
      <c r="AE13" s="321" t="s">
        <v>239</v>
      </c>
      <c r="AF13" s="322">
        <f t="shared" si="22"/>
        <v>45942</v>
      </c>
      <c r="AG13" s="323">
        <f t="shared" si="21"/>
        <v>45948</v>
      </c>
      <c r="AP13" s="89" t="str">
        <f t="shared" si="0"/>
        <v/>
      </c>
      <c r="AQ13" s="89" t="str">
        <f t="shared" si="13"/>
        <v/>
      </c>
      <c r="AR13" s="315" t="str">
        <f t="shared" si="14"/>
        <v/>
      </c>
      <c r="AS13" s="305" t="str">
        <f t="shared" si="15"/>
        <v>0</v>
      </c>
      <c r="AT13" s="307">
        <f>Table22[[#This Row],[Column1]]</f>
        <v>0</v>
      </c>
    </row>
    <row r="14" spans="1:49" ht="21" thickBot="1" x14ac:dyDescent="0.35">
      <c r="A14" s="307" t="str">
        <f t="shared" si="1"/>
        <v>1.13</v>
      </c>
      <c r="B14" s="307" t="str">
        <f t="shared" si="2"/>
        <v>Beli</v>
      </c>
      <c r="C14" s="308">
        <v>1</v>
      </c>
      <c r="D14" s="309" t="s">
        <v>563</v>
      </c>
      <c r="E14" s="310" t="s">
        <v>233</v>
      </c>
      <c r="F14" s="310" t="s">
        <v>592</v>
      </c>
      <c r="G14" s="311" t="s">
        <v>593</v>
      </c>
      <c r="H14" s="310" t="s">
        <v>594</v>
      </c>
      <c r="I14" s="310">
        <v>200000</v>
      </c>
      <c r="J14" s="310">
        <v>2</v>
      </c>
      <c r="K14" s="312">
        <v>400000</v>
      </c>
      <c r="L14" s="310" t="s">
        <v>38</v>
      </c>
      <c r="M14" s="310">
        <v>400000</v>
      </c>
      <c r="N14" s="313" t="s">
        <v>563</v>
      </c>
      <c r="O14" s="314" t="s">
        <v>563</v>
      </c>
      <c r="P14" s="307">
        <f t="shared" si="3"/>
        <v>0</v>
      </c>
      <c r="R14" s="91" t="str">
        <f t="shared" si="4"/>
        <v>Mgg1</v>
      </c>
      <c r="S14" s="307" t="str">
        <f t="shared" si="5"/>
        <v>BKK.2aaaaaaa</v>
      </c>
      <c r="T14" s="307" t="str">
        <f t="shared" si="6"/>
        <v>Kayu Usuk 4 X 6 - 4M</v>
      </c>
      <c r="U14" s="315" t="str">
        <f t="shared" si="19"/>
        <v/>
      </c>
      <c r="V14" s="307" t="str">
        <f t="shared" si="16"/>
        <v/>
      </c>
      <c r="W14" s="307" t="str">
        <f>IFERROR(IF(V14&gt;0,PROPER(Terbilang1(V14)&amp;" Rupiah"),0),"")</f>
        <v/>
      </c>
      <c r="X14" s="90">
        <f t="shared" si="7"/>
        <v>2</v>
      </c>
      <c r="Y14" s="307" t="str">
        <f t="shared" si="8"/>
        <v>pak</v>
      </c>
      <c r="Z14" s="307">
        <f t="shared" si="9"/>
        <v>0</v>
      </c>
      <c r="AA14" s="366">
        <f t="shared" si="10"/>
        <v>0</v>
      </c>
      <c r="AB14" s="367">
        <f t="shared" si="17"/>
        <v>0</v>
      </c>
      <c r="AC14" s="305">
        <f t="shared" si="18"/>
        <v>0</v>
      </c>
      <c r="AE14" s="324" t="s">
        <v>240</v>
      </c>
      <c r="AF14" s="325">
        <f t="shared" si="22"/>
        <v>45949</v>
      </c>
      <c r="AG14" s="326">
        <f>AF14+6</f>
        <v>45955</v>
      </c>
      <c r="AP14" s="89" t="str">
        <f t="shared" si="0"/>
        <v/>
      </c>
      <c r="AQ14" s="89" t="str">
        <f t="shared" si="13"/>
        <v/>
      </c>
      <c r="AR14" s="315" t="str">
        <f t="shared" si="14"/>
        <v/>
      </c>
      <c r="AS14" s="305" t="str">
        <f t="shared" si="15"/>
        <v>0</v>
      </c>
      <c r="AT14" s="307">
        <f>Table22[[#This Row],[Column1]]</f>
        <v>0</v>
      </c>
    </row>
    <row r="15" spans="1:49" x14ac:dyDescent="0.3">
      <c r="A15" s="307" t="str">
        <f t="shared" si="1"/>
        <v>1.14</v>
      </c>
      <c r="B15" s="307" t="str">
        <f t="shared" si="2"/>
        <v>Beli</v>
      </c>
      <c r="C15" s="308">
        <v>1</v>
      </c>
      <c r="D15" s="309" t="s">
        <v>563</v>
      </c>
      <c r="E15" s="310" t="s">
        <v>233</v>
      </c>
      <c r="F15" s="310" t="s">
        <v>595</v>
      </c>
      <c r="G15" s="311" t="s">
        <v>596</v>
      </c>
      <c r="H15" s="310" t="s">
        <v>594</v>
      </c>
      <c r="I15" s="310">
        <v>300000</v>
      </c>
      <c r="J15" s="310">
        <v>2</v>
      </c>
      <c r="K15" s="312">
        <v>600000</v>
      </c>
      <c r="L15" s="310" t="s">
        <v>38</v>
      </c>
      <c r="M15" s="310">
        <v>600000</v>
      </c>
      <c r="N15" s="313" t="s">
        <v>563</v>
      </c>
      <c r="O15" s="314" t="s">
        <v>563</v>
      </c>
      <c r="P15" s="307">
        <f t="shared" si="3"/>
        <v>0</v>
      </c>
      <c r="R15" s="91" t="str">
        <f t="shared" si="4"/>
        <v>Mgg1</v>
      </c>
      <c r="S15" s="307" t="str">
        <f t="shared" si="5"/>
        <v>BKK.2aaaaaaaa</v>
      </c>
      <c r="T15" s="307" t="str">
        <f t="shared" si="6"/>
        <v>Kayu Usuk 4X6 Kembang Super</v>
      </c>
      <c r="U15" s="315" t="str">
        <f t="shared" si="19"/>
        <v/>
      </c>
      <c r="V15" s="307" t="str">
        <f t="shared" si="16"/>
        <v/>
      </c>
      <c r="W15" s="307" t="str">
        <f>IFERROR(IF(V15&gt;0,PROPER(Terbilang1(V15)&amp;" Rupiah"),0),"")</f>
        <v/>
      </c>
      <c r="X15" s="90">
        <f t="shared" si="7"/>
        <v>2</v>
      </c>
      <c r="Y15" s="307" t="str">
        <f t="shared" si="8"/>
        <v>pak</v>
      </c>
      <c r="Z15" s="307">
        <f t="shared" si="9"/>
        <v>0</v>
      </c>
      <c r="AA15" s="366">
        <f t="shared" si="10"/>
        <v>0</v>
      </c>
      <c r="AB15" s="367">
        <f t="shared" si="17"/>
        <v>0</v>
      </c>
      <c r="AC15" s="305">
        <f t="shared" si="18"/>
        <v>0</v>
      </c>
      <c r="AE15" s="318" t="s">
        <v>241</v>
      </c>
      <c r="AF15" s="319">
        <f t="shared" si="22"/>
        <v>45956</v>
      </c>
      <c r="AG15" s="320">
        <f t="shared" si="21"/>
        <v>45962</v>
      </c>
      <c r="AP15" s="89" t="str">
        <f t="shared" si="0"/>
        <v/>
      </c>
      <c r="AQ15" s="89" t="str">
        <f t="shared" si="13"/>
        <v/>
      </c>
      <c r="AR15" s="315" t="str">
        <f t="shared" si="14"/>
        <v/>
      </c>
      <c r="AS15" s="305" t="str">
        <f t="shared" si="15"/>
        <v>0</v>
      </c>
      <c r="AT15" s="307">
        <f>Table22[[#This Row],[Column1]]</f>
        <v>0</v>
      </c>
    </row>
    <row r="16" spans="1:49" x14ac:dyDescent="0.3">
      <c r="A16" s="307" t="str">
        <f t="shared" si="1"/>
        <v>1.15</v>
      </c>
      <c r="B16" s="307" t="str">
        <f t="shared" si="2"/>
        <v>Beli</v>
      </c>
      <c r="C16" s="308">
        <v>1</v>
      </c>
      <c r="D16" s="309">
        <v>45902</v>
      </c>
      <c r="E16" s="310" t="s">
        <v>558</v>
      </c>
      <c r="F16" s="310" t="s">
        <v>597</v>
      </c>
      <c r="G16" s="311" t="s">
        <v>598</v>
      </c>
      <c r="H16" s="310" t="s">
        <v>599</v>
      </c>
      <c r="I16" s="310">
        <v>50000</v>
      </c>
      <c r="J16" s="310">
        <v>1</v>
      </c>
      <c r="K16" s="312">
        <v>50000</v>
      </c>
      <c r="L16" s="310" t="s">
        <v>562</v>
      </c>
      <c r="M16" s="310">
        <v>50000</v>
      </c>
      <c r="N16" s="313">
        <v>401000</v>
      </c>
      <c r="O16" s="314" t="s">
        <v>600</v>
      </c>
      <c r="P16" s="307" t="str">
        <f t="shared" si="3"/>
        <v>Men1</v>
      </c>
      <c r="R16" s="91" t="str">
        <f t="shared" si="4"/>
        <v>Men1</v>
      </c>
      <c r="S16" s="307" t="str">
        <f t="shared" si="5"/>
        <v>BKK.3</v>
      </c>
      <c r="T16" s="307" t="str">
        <f t="shared" si="6"/>
        <v>Kertas Sidu A4 70 grm</v>
      </c>
      <c r="U16" s="315">
        <f t="shared" si="19"/>
        <v>45902</v>
      </c>
      <c r="V16" s="307">
        <f t="shared" si="16"/>
        <v>401000</v>
      </c>
      <c r="W16" s="307" t="str">
        <f>IFERROR(IF(V16&gt;0,PROPER(Terbilang1(V16)&amp;" Rupiah"),0),"")</f>
        <v>Empat Ratus Satu Ribu Rupiah</v>
      </c>
      <c r="X16" s="90">
        <f t="shared" si="7"/>
        <v>1</v>
      </c>
      <c r="Y16" s="307" t="str">
        <f t="shared" si="8"/>
        <v>Rim</v>
      </c>
      <c r="Z16" s="307">
        <f t="shared" si="9"/>
        <v>0</v>
      </c>
      <c r="AA16" s="366">
        <f t="shared" si="10"/>
        <v>0</v>
      </c>
      <c r="AB16" s="367">
        <f t="shared" si="17"/>
        <v>0</v>
      </c>
      <c r="AC16" s="305">
        <f t="shared" si="18"/>
        <v>0</v>
      </c>
      <c r="AE16" s="321" t="s">
        <v>242</v>
      </c>
      <c r="AF16" s="322">
        <f t="shared" si="22"/>
        <v>45963</v>
      </c>
      <c r="AG16" s="323">
        <f t="shared" si="21"/>
        <v>45969</v>
      </c>
      <c r="AP16" s="89">
        <f t="shared" si="0"/>
        <v>1</v>
      </c>
      <c r="AQ16" s="89" t="str">
        <f t="shared" si="13"/>
        <v/>
      </c>
      <c r="AR16" s="315" t="str">
        <f t="shared" si="14"/>
        <v/>
      </c>
      <c r="AS16" s="305" t="str">
        <f t="shared" si="15"/>
        <v>0</v>
      </c>
      <c r="AT16" s="307">
        <f>Table22[[#This Row],[Column1]]</f>
        <v>0</v>
      </c>
    </row>
    <row r="17" spans="1:46" x14ac:dyDescent="0.3">
      <c r="A17" s="307" t="str">
        <f t="shared" si="1"/>
        <v>1.16</v>
      </c>
      <c r="B17" s="307" t="str">
        <f t="shared" si="2"/>
        <v>Beli</v>
      </c>
      <c r="C17" s="308">
        <v>1</v>
      </c>
      <c r="D17" s="309" t="s">
        <v>563</v>
      </c>
      <c r="E17" s="310" t="s">
        <v>558</v>
      </c>
      <c r="F17" s="310" t="s">
        <v>601</v>
      </c>
      <c r="G17" s="311" t="s">
        <v>602</v>
      </c>
      <c r="H17" s="310" t="s">
        <v>599</v>
      </c>
      <c r="I17" s="310">
        <v>58000</v>
      </c>
      <c r="J17" s="310">
        <v>1</v>
      </c>
      <c r="K17" s="312">
        <v>58000</v>
      </c>
      <c r="L17" s="310" t="s">
        <v>562</v>
      </c>
      <c r="M17" s="310">
        <v>58000</v>
      </c>
      <c r="N17" s="313" t="s">
        <v>563</v>
      </c>
      <c r="O17" s="314" t="s">
        <v>563</v>
      </c>
      <c r="P17" s="307">
        <f t="shared" si="3"/>
        <v>0</v>
      </c>
      <c r="R17" s="91" t="str">
        <f t="shared" si="4"/>
        <v>Men1</v>
      </c>
      <c r="S17" s="307" t="str">
        <f t="shared" si="5"/>
        <v>BKK.3a</v>
      </c>
      <c r="T17" s="307" t="str">
        <f t="shared" si="6"/>
        <v>Kertas Sidu F4 70 grm</v>
      </c>
      <c r="U17" s="315" t="str">
        <f t="shared" si="19"/>
        <v/>
      </c>
      <c r="V17" s="307" t="str">
        <f t="shared" si="16"/>
        <v/>
      </c>
      <c r="W17" s="307" t="str">
        <f>IFERROR(IF(V17&gt;0,PROPER(Terbilang1(V17)&amp;" Rupiah"),0),"")</f>
        <v/>
      </c>
      <c r="X17" s="90">
        <f t="shared" si="7"/>
        <v>1</v>
      </c>
      <c r="Y17" s="307" t="str">
        <f t="shared" si="8"/>
        <v>Rim</v>
      </c>
      <c r="Z17" s="307">
        <f t="shared" si="9"/>
        <v>0</v>
      </c>
      <c r="AA17" s="366">
        <f t="shared" si="10"/>
        <v>0</v>
      </c>
      <c r="AB17" s="367">
        <f t="shared" si="17"/>
        <v>0</v>
      </c>
      <c r="AC17" s="305">
        <f t="shared" si="18"/>
        <v>0</v>
      </c>
      <c r="AE17" s="321" t="s">
        <v>243</v>
      </c>
      <c r="AF17" s="322">
        <f t="shared" si="22"/>
        <v>45970</v>
      </c>
      <c r="AG17" s="323">
        <f t="shared" si="21"/>
        <v>45976</v>
      </c>
      <c r="AP17" s="89" t="str">
        <f t="shared" si="0"/>
        <v/>
      </c>
      <c r="AQ17" s="89" t="str">
        <f t="shared" si="13"/>
        <v/>
      </c>
      <c r="AR17" s="315" t="str">
        <f t="shared" si="14"/>
        <v/>
      </c>
      <c r="AS17" s="305" t="str">
        <f t="shared" si="15"/>
        <v>0</v>
      </c>
      <c r="AT17" s="307">
        <f>Table22[[#This Row],[Column1]]</f>
        <v>0</v>
      </c>
    </row>
    <row r="18" spans="1:46" x14ac:dyDescent="0.3">
      <c r="A18" s="307" t="str">
        <f t="shared" si="1"/>
        <v>1.17</v>
      </c>
      <c r="B18" s="307" t="str">
        <f t="shared" si="2"/>
        <v>Beli</v>
      </c>
      <c r="C18" s="308">
        <v>1</v>
      </c>
      <c r="D18" s="309" t="s">
        <v>563</v>
      </c>
      <c r="E18" s="310" t="s">
        <v>558</v>
      </c>
      <c r="F18" s="310" t="s">
        <v>603</v>
      </c>
      <c r="G18" s="311" t="s">
        <v>604</v>
      </c>
      <c r="H18" s="310" t="s">
        <v>577</v>
      </c>
      <c r="I18" s="310">
        <v>100000</v>
      </c>
      <c r="J18" s="310">
        <v>2</v>
      </c>
      <c r="K18" s="312">
        <v>200000</v>
      </c>
      <c r="L18" s="310" t="s">
        <v>562</v>
      </c>
      <c r="M18" s="310">
        <v>200000</v>
      </c>
      <c r="N18" s="313" t="s">
        <v>563</v>
      </c>
      <c r="O18" s="314" t="s">
        <v>563</v>
      </c>
      <c r="P18" s="307">
        <f t="shared" si="3"/>
        <v>0</v>
      </c>
      <c r="R18" s="91" t="str">
        <f t="shared" si="4"/>
        <v>Men1</v>
      </c>
      <c r="S18" s="307" t="str">
        <f t="shared" si="5"/>
        <v>BKK.3aa</v>
      </c>
      <c r="T18" s="307" t="str">
        <f t="shared" si="6"/>
        <v>Tinta Printer</v>
      </c>
      <c r="U18" s="315" t="str">
        <f t="shared" si="19"/>
        <v/>
      </c>
      <c r="V18" s="307" t="str">
        <f t="shared" si="16"/>
        <v/>
      </c>
      <c r="W18" s="307" t="str">
        <f>IFERROR(IF(V18&gt;0,PROPER(Terbilang1(V18)&amp;" Rupiah"),0),"")</f>
        <v/>
      </c>
      <c r="X18" s="90">
        <f t="shared" si="7"/>
        <v>2</v>
      </c>
      <c r="Y18" s="307" t="str">
        <f t="shared" si="8"/>
        <v>Pcs</v>
      </c>
      <c r="Z18" s="307">
        <f t="shared" si="9"/>
        <v>0</v>
      </c>
      <c r="AA18" s="366">
        <f t="shared" si="10"/>
        <v>0</v>
      </c>
      <c r="AB18" s="367">
        <f t="shared" si="17"/>
        <v>0</v>
      </c>
      <c r="AC18" s="305">
        <f t="shared" si="18"/>
        <v>0</v>
      </c>
      <c r="AE18" s="321" t="s">
        <v>244</v>
      </c>
      <c r="AF18" s="322">
        <f t="shared" si="22"/>
        <v>45977</v>
      </c>
      <c r="AG18" s="323">
        <f t="shared" si="21"/>
        <v>45983</v>
      </c>
      <c r="AP18" s="89" t="str">
        <f t="shared" si="0"/>
        <v/>
      </c>
      <c r="AQ18" s="89" t="str">
        <f t="shared" si="13"/>
        <v/>
      </c>
      <c r="AR18" s="315" t="str">
        <f t="shared" si="14"/>
        <v/>
      </c>
      <c r="AS18" s="305" t="str">
        <f t="shared" si="15"/>
        <v>0</v>
      </c>
      <c r="AT18" s="307">
        <f>Table22[[#This Row],[Column1]]</f>
        <v>0</v>
      </c>
    </row>
    <row r="19" spans="1:46" ht="21" thickBot="1" x14ac:dyDescent="0.35">
      <c r="A19" s="307" t="str">
        <f t="shared" si="1"/>
        <v>1.18</v>
      </c>
      <c r="B19" s="307" t="str">
        <f t="shared" si="2"/>
        <v>Beli</v>
      </c>
      <c r="C19" s="308">
        <v>1</v>
      </c>
      <c r="D19" s="309" t="s">
        <v>563</v>
      </c>
      <c r="E19" s="310" t="s">
        <v>558</v>
      </c>
      <c r="F19" s="310" t="s">
        <v>605</v>
      </c>
      <c r="G19" s="311" t="s">
        <v>606</v>
      </c>
      <c r="H19" s="310" t="s">
        <v>577</v>
      </c>
      <c r="I19" s="310">
        <v>8000</v>
      </c>
      <c r="J19" s="310">
        <v>2</v>
      </c>
      <c r="K19" s="312">
        <v>16000</v>
      </c>
      <c r="L19" s="310" t="s">
        <v>562</v>
      </c>
      <c r="M19" s="310">
        <v>16000</v>
      </c>
      <c r="N19" s="313" t="s">
        <v>563</v>
      </c>
      <c r="O19" s="314" t="s">
        <v>563</v>
      </c>
      <c r="P19" s="307">
        <f t="shared" si="3"/>
        <v>0</v>
      </c>
      <c r="R19" s="91" t="str">
        <f t="shared" si="4"/>
        <v>Men1</v>
      </c>
      <c r="S19" s="307" t="str">
        <f t="shared" si="5"/>
        <v>BKK.3aaa</v>
      </c>
      <c r="T19" s="307" t="str">
        <f t="shared" si="6"/>
        <v>Isolasi Bening</v>
      </c>
      <c r="U19" s="315" t="str">
        <f t="shared" si="19"/>
        <v/>
      </c>
      <c r="V19" s="307" t="str">
        <f t="shared" si="16"/>
        <v/>
      </c>
      <c r="W19" s="307" t="str">
        <f>IFERROR(IF(V19&gt;0,PROPER(Terbilang1(V19)&amp;" Rupiah"),0),"")</f>
        <v/>
      </c>
      <c r="X19" s="90">
        <f t="shared" si="7"/>
        <v>2</v>
      </c>
      <c r="Y19" s="307" t="str">
        <f t="shared" si="8"/>
        <v>Pcs</v>
      </c>
      <c r="Z19" s="307">
        <f t="shared" si="9"/>
        <v>0</v>
      </c>
      <c r="AA19" s="366">
        <f t="shared" si="10"/>
        <v>0</v>
      </c>
      <c r="AB19" s="367">
        <f t="shared" si="17"/>
        <v>0</v>
      </c>
      <c r="AC19" s="305">
        <f t="shared" si="18"/>
        <v>0</v>
      </c>
      <c r="AE19" s="324" t="s">
        <v>245</v>
      </c>
      <c r="AF19" s="325">
        <f t="shared" si="22"/>
        <v>45984</v>
      </c>
      <c r="AG19" s="326">
        <f t="shared" si="21"/>
        <v>45990</v>
      </c>
      <c r="AP19" s="89" t="str">
        <f t="shared" si="0"/>
        <v/>
      </c>
      <c r="AQ19" s="89" t="str">
        <f t="shared" si="13"/>
        <v/>
      </c>
      <c r="AR19" s="315" t="str">
        <f t="shared" si="14"/>
        <v/>
      </c>
      <c r="AS19" s="305" t="str">
        <f t="shared" si="15"/>
        <v>0</v>
      </c>
      <c r="AT19" s="307">
        <f>Table22[[#This Row],[Column1]]</f>
        <v>0</v>
      </c>
    </row>
    <row r="20" spans="1:46" x14ac:dyDescent="0.3">
      <c r="A20" s="307" t="str">
        <f t="shared" si="1"/>
        <v>1.19</v>
      </c>
      <c r="B20" s="307" t="str">
        <f t="shared" si="2"/>
        <v>Beli</v>
      </c>
      <c r="C20" s="308">
        <v>1</v>
      </c>
      <c r="D20" s="309" t="s">
        <v>563</v>
      </c>
      <c r="E20" s="310" t="s">
        <v>558</v>
      </c>
      <c r="F20" s="310" t="s">
        <v>607</v>
      </c>
      <c r="G20" s="311" t="s">
        <v>608</v>
      </c>
      <c r="H20" s="310" t="s">
        <v>577</v>
      </c>
      <c r="I20" s="310">
        <v>14000</v>
      </c>
      <c r="J20" s="310">
        <v>2</v>
      </c>
      <c r="K20" s="312">
        <v>28000</v>
      </c>
      <c r="L20" s="310" t="s">
        <v>562</v>
      </c>
      <c r="M20" s="310">
        <v>28000</v>
      </c>
      <c r="N20" s="313" t="s">
        <v>563</v>
      </c>
      <c r="O20" s="314" t="s">
        <v>563</v>
      </c>
      <c r="P20" s="307">
        <f t="shared" si="3"/>
        <v>0</v>
      </c>
      <c r="R20" s="91" t="str">
        <f t="shared" si="4"/>
        <v>Men1</v>
      </c>
      <c r="S20" s="307" t="str">
        <f t="shared" si="5"/>
        <v>BKK.3aaaa</v>
      </c>
      <c r="T20" s="307" t="str">
        <f t="shared" si="6"/>
        <v>Lakban Tanggung</v>
      </c>
      <c r="U20" s="315" t="str">
        <f t="shared" si="19"/>
        <v/>
      </c>
      <c r="V20" s="307" t="str">
        <f t="shared" si="16"/>
        <v/>
      </c>
      <c r="W20" s="307" t="str">
        <f>IFERROR(IF(V20&gt;0,PROPER(Terbilang1(V20)&amp;" Rupiah"),0),"")</f>
        <v/>
      </c>
      <c r="X20" s="90">
        <f t="shared" si="7"/>
        <v>2</v>
      </c>
      <c r="Y20" s="307" t="str">
        <f t="shared" si="8"/>
        <v>Pcs</v>
      </c>
      <c r="Z20" s="307">
        <f t="shared" si="9"/>
        <v>0</v>
      </c>
      <c r="AA20" s="366">
        <f t="shared" si="10"/>
        <v>0</v>
      </c>
      <c r="AB20" s="367">
        <f t="shared" si="17"/>
        <v>0</v>
      </c>
      <c r="AC20" s="305">
        <f t="shared" si="18"/>
        <v>0</v>
      </c>
      <c r="AE20" s="75" t="s">
        <v>246</v>
      </c>
      <c r="AF20" s="322">
        <f t="shared" si="22"/>
        <v>45991</v>
      </c>
      <c r="AG20" s="322">
        <f t="shared" si="21"/>
        <v>45997</v>
      </c>
      <c r="AP20" s="89" t="str">
        <f t="shared" si="0"/>
        <v/>
      </c>
      <c r="AQ20" s="89" t="str">
        <f t="shared" si="13"/>
        <v/>
      </c>
      <c r="AR20" s="315" t="str">
        <f t="shared" si="14"/>
        <v/>
      </c>
      <c r="AS20" s="305" t="str">
        <f t="shared" si="15"/>
        <v>0</v>
      </c>
      <c r="AT20" s="307">
        <f>Table22[[#This Row],[Column1]]</f>
        <v>0</v>
      </c>
    </row>
    <row r="21" spans="1:46" x14ac:dyDescent="0.3">
      <c r="A21" s="307" t="str">
        <f t="shared" si="1"/>
        <v>1.20</v>
      </c>
      <c r="B21" s="307" t="str">
        <f t="shared" si="2"/>
        <v>Beli</v>
      </c>
      <c r="C21" s="308">
        <v>1</v>
      </c>
      <c r="D21" s="309" t="s">
        <v>563</v>
      </c>
      <c r="E21" s="310" t="s">
        <v>558</v>
      </c>
      <c r="F21" s="310" t="s">
        <v>609</v>
      </c>
      <c r="G21" s="311" t="s">
        <v>610</v>
      </c>
      <c r="H21" s="310" t="s">
        <v>577</v>
      </c>
      <c r="I21" s="310">
        <v>18000</v>
      </c>
      <c r="J21" s="310">
        <v>2</v>
      </c>
      <c r="K21" s="312">
        <v>36000</v>
      </c>
      <c r="L21" s="310" t="s">
        <v>562</v>
      </c>
      <c r="M21" s="310">
        <v>36000</v>
      </c>
      <c r="N21" s="313" t="s">
        <v>563</v>
      </c>
      <c r="O21" s="314" t="s">
        <v>563</v>
      </c>
      <c r="P21" s="307">
        <f t="shared" si="3"/>
        <v>0</v>
      </c>
      <c r="R21" s="91" t="str">
        <f t="shared" si="4"/>
        <v>Men1</v>
      </c>
      <c r="S21" s="307" t="str">
        <f t="shared" si="5"/>
        <v>BKK.3aaaaa</v>
      </c>
      <c r="T21" s="307" t="str">
        <f t="shared" si="6"/>
        <v>Tinta stempel</v>
      </c>
      <c r="U21" s="315" t="str">
        <f t="shared" si="19"/>
        <v/>
      </c>
      <c r="V21" s="307" t="str">
        <f t="shared" si="16"/>
        <v/>
      </c>
      <c r="W21" s="307" t="str">
        <f>IFERROR(IF(V21&gt;0,PROPER(Terbilang1(V21)&amp;" Rupiah"),0),"")</f>
        <v/>
      </c>
      <c r="X21" s="90">
        <f t="shared" si="7"/>
        <v>2</v>
      </c>
      <c r="Y21" s="307" t="str">
        <f t="shared" si="8"/>
        <v>Pcs</v>
      </c>
      <c r="Z21" s="307">
        <f t="shared" si="9"/>
        <v>0</v>
      </c>
      <c r="AA21" s="366">
        <f t="shared" si="10"/>
        <v>0</v>
      </c>
      <c r="AB21" s="367">
        <f t="shared" si="17"/>
        <v>0</v>
      </c>
      <c r="AC21" s="305">
        <f t="shared" si="18"/>
        <v>0</v>
      </c>
      <c r="AE21" s="75" t="s">
        <v>247</v>
      </c>
      <c r="AF21" s="322">
        <f t="shared" si="22"/>
        <v>45998</v>
      </c>
      <c r="AG21" s="322">
        <f t="shared" si="21"/>
        <v>46004</v>
      </c>
      <c r="AP21" s="89" t="str">
        <f t="shared" si="0"/>
        <v/>
      </c>
      <c r="AQ21" s="89" t="str">
        <f t="shared" si="13"/>
        <v/>
      </c>
      <c r="AR21" s="315" t="str">
        <f t="shared" si="14"/>
        <v/>
      </c>
      <c r="AS21" s="305" t="str">
        <f t="shared" si="15"/>
        <v>0</v>
      </c>
      <c r="AT21" s="307">
        <f>Table22[[#This Row],[Column1]]</f>
        <v>0</v>
      </c>
    </row>
    <row r="22" spans="1:46" x14ac:dyDescent="0.3">
      <c r="A22" s="307" t="str">
        <f t="shared" si="1"/>
        <v>1.21</v>
      </c>
      <c r="B22" s="307" t="str">
        <f t="shared" si="2"/>
        <v>Beli</v>
      </c>
      <c r="C22" s="308">
        <v>1</v>
      </c>
      <c r="D22" s="309" t="s">
        <v>563</v>
      </c>
      <c r="E22" s="310" t="s">
        <v>558</v>
      </c>
      <c r="F22" s="310" t="s">
        <v>611</v>
      </c>
      <c r="G22" s="311" t="s">
        <v>612</v>
      </c>
      <c r="H22" s="310" t="s">
        <v>577</v>
      </c>
      <c r="I22" s="310">
        <v>4000</v>
      </c>
      <c r="J22" s="310">
        <v>2</v>
      </c>
      <c r="K22" s="312">
        <v>8000</v>
      </c>
      <c r="L22" s="310" t="s">
        <v>562</v>
      </c>
      <c r="M22" s="310">
        <v>8000</v>
      </c>
      <c r="N22" s="313" t="s">
        <v>563</v>
      </c>
      <c r="O22" s="314" t="s">
        <v>563</v>
      </c>
      <c r="P22" s="307">
        <f t="shared" si="3"/>
        <v>0</v>
      </c>
      <c r="R22" s="91" t="str">
        <f t="shared" si="4"/>
        <v>Men1</v>
      </c>
      <c r="S22" s="307" t="str">
        <f t="shared" si="5"/>
        <v>BKK.3aaaaaa</v>
      </c>
      <c r="T22" s="307" t="str">
        <f t="shared" si="6"/>
        <v>Double tipe</v>
      </c>
      <c r="U22" s="315" t="str">
        <f t="shared" si="19"/>
        <v/>
      </c>
      <c r="V22" s="307" t="str">
        <f t="shared" si="16"/>
        <v/>
      </c>
      <c r="W22" s="307" t="str">
        <f>IFERROR(IF(V22&gt;0,PROPER(Terbilang1(V22)&amp;" Rupiah"),0),"")</f>
        <v/>
      </c>
      <c r="X22" s="90">
        <f t="shared" si="7"/>
        <v>2</v>
      </c>
      <c r="Y22" s="307" t="str">
        <f t="shared" si="8"/>
        <v>Pcs</v>
      </c>
      <c r="Z22" s="307">
        <f t="shared" si="9"/>
        <v>0</v>
      </c>
      <c r="AA22" s="366">
        <f t="shared" si="10"/>
        <v>0</v>
      </c>
      <c r="AB22" s="367">
        <f t="shared" si="17"/>
        <v>0</v>
      </c>
      <c r="AC22" s="305">
        <f t="shared" si="18"/>
        <v>0</v>
      </c>
      <c r="AE22" s="75" t="s">
        <v>248</v>
      </c>
      <c r="AF22" s="322">
        <f t="shared" si="22"/>
        <v>46005</v>
      </c>
      <c r="AG22" s="322">
        <f t="shared" si="21"/>
        <v>46011</v>
      </c>
      <c r="AP22" s="89" t="str">
        <f t="shared" si="0"/>
        <v/>
      </c>
      <c r="AQ22" s="89" t="str">
        <f t="shared" si="13"/>
        <v/>
      </c>
      <c r="AR22" s="315" t="str">
        <f t="shared" si="14"/>
        <v/>
      </c>
      <c r="AS22" s="305" t="str">
        <f t="shared" si="15"/>
        <v>0</v>
      </c>
      <c r="AT22" s="307">
        <f>Table22[[#This Row],[Column1]]</f>
        <v>0</v>
      </c>
    </row>
    <row r="23" spans="1:46" x14ac:dyDescent="0.3">
      <c r="A23" s="307" t="str">
        <f t="shared" si="1"/>
        <v>1.22</v>
      </c>
      <c r="B23" s="307" t="str">
        <f t="shared" si="2"/>
        <v>Beli</v>
      </c>
      <c r="C23" s="308">
        <v>1</v>
      </c>
      <c r="D23" s="309" t="s">
        <v>563</v>
      </c>
      <c r="E23" s="310" t="s">
        <v>558</v>
      </c>
      <c r="F23" s="310" t="s">
        <v>613</v>
      </c>
      <c r="G23" s="311" t="s">
        <v>614</v>
      </c>
      <c r="H23" s="310" t="s">
        <v>577</v>
      </c>
      <c r="I23" s="310">
        <v>5000</v>
      </c>
      <c r="J23" s="310">
        <v>1</v>
      </c>
      <c r="K23" s="312">
        <v>5000</v>
      </c>
      <c r="L23" s="310" t="s">
        <v>562</v>
      </c>
      <c r="M23" s="310">
        <v>5000</v>
      </c>
      <c r="N23" s="313" t="s">
        <v>563</v>
      </c>
      <c r="O23" s="314" t="s">
        <v>563</v>
      </c>
      <c r="P23" s="307">
        <f t="shared" si="3"/>
        <v>0</v>
      </c>
      <c r="R23" s="91" t="str">
        <f t="shared" si="4"/>
        <v>Men1</v>
      </c>
      <c r="S23" s="307" t="str">
        <f t="shared" si="5"/>
        <v>BKK.3aaaaaaa</v>
      </c>
      <c r="T23" s="307" t="str">
        <f t="shared" si="6"/>
        <v>Spidol Besar</v>
      </c>
      <c r="U23" s="315" t="str">
        <f t="shared" si="19"/>
        <v/>
      </c>
      <c r="V23" s="307" t="str">
        <f t="shared" si="16"/>
        <v/>
      </c>
      <c r="W23" s="307" t="str">
        <f>IFERROR(IF(V23&gt;0,PROPER(Terbilang1(V23)&amp;" Rupiah"),0),"")</f>
        <v/>
      </c>
      <c r="X23" s="90">
        <f t="shared" si="7"/>
        <v>1</v>
      </c>
      <c r="Y23" s="307" t="str">
        <f t="shared" si="8"/>
        <v>Pcs</v>
      </c>
      <c r="Z23" s="307">
        <f t="shared" si="9"/>
        <v>0</v>
      </c>
      <c r="AA23" s="366">
        <f t="shared" si="10"/>
        <v>0</v>
      </c>
      <c r="AB23" s="367">
        <f t="shared" si="17"/>
        <v>0</v>
      </c>
      <c r="AC23" s="305">
        <f t="shared" si="18"/>
        <v>0</v>
      </c>
      <c r="AE23" s="75" t="s">
        <v>249</v>
      </c>
      <c r="AF23" s="322">
        <f t="shared" si="22"/>
        <v>46012</v>
      </c>
      <c r="AG23" s="322">
        <f t="shared" si="21"/>
        <v>46018</v>
      </c>
      <c r="AP23" s="89" t="str">
        <f t="shared" si="0"/>
        <v/>
      </c>
      <c r="AQ23" s="89" t="str">
        <f t="shared" si="13"/>
        <v/>
      </c>
      <c r="AR23" s="315" t="str">
        <f t="shared" si="14"/>
        <v/>
      </c>
      <c r="AS23" s="305" t="str">
        <f t="shared" si="15"/>
        <v>0</v>
      </c>
      <c r="AT23" s="307">
        <f>Table22[[#This Row],[Column1]]</f>
        <v>0</v>
      </c>
    </row>
    <row r="24" spans="1:46" x14ac:dyDescent="0.3">
      <c r="A24" s="307" t="str">
        <f t="shared" si="1"/>
        <v>1.23</v>
      </c>
      <c r="B24" s="307" t="str">
        <f t="shared" si="2"/>
        <v>Beli</v>
      </c>
      <c r="C24" s="308">
        <v>1</v>
      </c>
      <c r="D24" s="309">
        <v>45903</v>
      </c>
      <c r="E24" s="310" t="s">
        <v>233</v>
      </c>
      <c r="F24" s="310" t="s">
        <v>615</v>
      </c>
      <c r="G24" s="311" t="s">
        <v>616</v>
      </c>
      <c r="H24" s="310" t="s">
        <v>577</v>
      </c>
      <c r="I24" s="310">
        <v>40000</v>
      </c>
      <c r="J24" s="310">
        <v>1</v>
      </c>
      <c r="K24" s="312">
        <v>40000</v>
      </c>
      <c r="L24" s="310" t="s">
        <v>39</v>
      </c>
      <c r="M24" s="310">
        <v>40000</v>
      </c>
      <c r="N24" s="313">
        <v>1307000</v>
      </c>
      <c r="O24" s="314" t="s">
        <v>617</v>
      </c>
      <c r="P24" s="307" t="str">
        <f t="shared" si="3"/>
        <v>Mgg1</v>
      </c>
      <c r="R24" s="91" t="str">
        <f t="shared" si="4"/>
        <v>Mgg1</v>
      </c>
      <c r="S24" s="307" t="str">
        <f t="shared" si="5"/>
        <v>BKK.4</v>
      </c>
      <c r="T24" s="307" t="str">
        <f t="shared" si="6"/>
        <v>Linggis Ulir 19</v>
      </c>
      <c r="U24" s="315">
        <f t="shared" si="19"/>
        <v>45903</v>
      </c>
      <c r="V24" s="307">
        <f t="shared" si="16"/>
        <v>1307000</v>
      </c>
      <c r="W24" s="307" t="str">
        <f>IFERROR(IF(V24&gt;0,PROPER(Terbilang1(V24)&amp;" Rupiah"),0),"")</f>
        <v>Satu Juta Tiga Ratus Tujuh Ribu Rupiah</v>
      </c>
      <c r="X24" s="90">
        <f t="shared" si="7"/>
        <v>1</v>
      </c>
      <c r="Y24" s="307" t="str">
        <f t="shared" si="8"/>
        <v>Pcs</v>
      </c>
      <c r="Z24" s="307">
        <f t="shared" si="9"/>
        <v>0</v>
      </c>
      <c r="AA24" s="366">
        <f t="shared" si="10"/>
        <v>0</v>
      </c>
      <c r="AB24" s="367">
        <f t="shared" si="17"/>
        <v>0</v>
      </c>
      <c r="AC24" s="305">
        <f t="shared" si="18"/>
        <v>0</v>
      </c>
      <c r="AE24" s="75" t="s">
        <v>250</v>
      </c>
      <c r="AF24" s="322">
        <f t="shared" si="22"/>
        <v>46019</v>
      </c>
      <c r="AG24" s="322">
        <f t="shared" si="21"/>
        <v>46025</v>
      </c>
      <c r="AP24" s="89">
        <f t="shared" si="0"/>
        <v>1</v>
      </c>
      <c r="AQ24" s="89" t="str">
        <f t="shared" si="13"/>
        <v/>
      </c>
      <c r="AR24" s="315" t="str">
        <f t="shared" si="14"/>
        <v/>
      </c>
      <c r="AS24" s="305" t="str">
        <f t="shared" si="15"/>
        <v>0</v>
      </c>
      <c r="AT24" s="307">
        <f>Table22[[#This Row],[Column1]]</f>
        <v>0</v>
      </c>
    </row>
    <row r="25" spans="1:46" x14ac:dyDescent="0.3">
      <c r="A25" s="307" t="str">
        <f t="shared" si="1"/>
        <v>1.24</v>
      </c>
      <c r="B25" s="307" t="str">
        <f t="shared" si="2"/>
        <v>Beli</v>
      </c>
      <c r="C25" s="308">
        <v>1</v>
      </c>
      <c r="D25" s="309" t="s">
        <v>563</v>
      </c>
      <c r="E25" s="310" t="s">
        <v>233</v>
      </c>
      <c r="F25" s="310" t="s">
        <v>618</v>
      </c>
      <c r="G25" s="311" t="s">
        <v>619</v>
      </c>
      <c r="H25" s="310" t="s">
        <v>577</v>
      </c>
      <c r="I25" s="310">
        <v>20000</v>
      </c>
      <c r="J25" s="310">
        <v>1</v>
      </c>
      <c r="K25" s="312">
        <v>20000</v>
      </c>
      <c r="L25" s="310" t="s">
        <v>39</v>
      </c>
      <c r="M25" s="310">
        <v>20000</v>
      </c>
      <c r="N25" s="313" t="s">
        <v>563</v>
      </c>
      <c r="O25" s="314" t="s">
        <v>563</v>
      </c>
      <c r="P25" s="307">
        <f t="shared" si="3"/>
        <v>0</v>
      </c>
      <c r="R25" s="91" t="str">
        <f t="shared" si="4"/>
        <v>Mgg1</v>
      </c>
      <c r="S25" s="307" t="str">
        <f t="shared" si="5"/>
        <v>BKK.4a</v>
      </c>
      <c r="T25" s="307" t="str">
        <f t="shared" si="6"/>
        <v>Pleser 6-8</v>
      </c>
      <c r="U25" s="315" t="str">
        <f t="shared" si="19"/>
        <v/>
      </c>
      <c r="V25" s="307" t="str">
        <f t="shared" si="16"/>
        <v/>
      </c>
      <c r="W25" s="307" t="str">
        <f>IFERROR(IF(V25&gt;0,PROPER(Terbilang1(V25)&amp;" Rupiah"),0),"")</f>
        <v/>
      </c>
      <c r="X25" s="90">
        <f t="shared" si="7"/>
        <v>1</v>
      </c>
      <c r="Y25" s="307" t="str">
        <f t="shared" si="8"/>
        <v>Pcs</v>
      </c>
      <c r="Z25" s="307">
        <f t="shared" si="9"/>
        <v>0</v>
      </c>
      <c r="AA25" s="366">
        <f t="shared" si="10"/>
        <v>0</v>
      </c>
      <c r="AB25" s="367">
        <f t="shared" si="17"/>
        <v>0</v>
      </c>
      <c r="AC25" s="305">
        <f t="shared" si="18"/>
        <v>0</v>
      </c>
      <c r="AE25" s="75" t="s">
        <v>251</v>
      </c>
      <c r="AF25" s="322">
        <f t="shared" si="22"/>
        <v>46026</v>
      </c>
      <c r="AG25" s="322">
        <f t="shared" si="21"/>
        <v>46032</v>
      </c>
      <c r="AP25" s="89" t="str">
        <f t="shared" si="0"/>
        <v/>
      </c>
      <c r="AQ25" s="89" t="str">
        <f t="shared" si="13"/>
        <v/>
      </c>
      <c r="AR25" s="315" t="str">
        <f t="shared" si="14"/>
        <v/>
      </c>
      <c r="AS25" s="305" t="str">
        <f t="shared" si="15"/>
        <v>0</v>
      </c>
      <c r="AT25" s="307">
        <f>Table22[[#This Row],[Column1]]</f>
        <v>0</v>
      </c>
    </row>
    <row r="26" spans="1:46" x14ac:dyDescent="0.3">
      <c r="A26" s="307" t="str">
        <f t="shared" si="1"/>
        <v>1.25</v>
      </c>
      <c r="B26" s="307" t="str">
        <f t="shared" si="2"/>
        <v>Beli</v>
      </c>
      <c r="C26" s="308">
        <v>1</v>
      </c>
      <c r="D26" s="309" t="s">
        <v>563</v>
      </c>
      <c r="E26" s="310" t="s">
        <v>233</v>
      </c>
      <c r="F26" s="310" t="s">
        <v>620</v>
      </c>
      <c r="G26" s="311" t="s">
        <v>621</v>
      </c>
      <c r="H26" s="310" t="s">
        <v>577</v>
      </c>
      <c r="I26" s="310">
        <v>21000</v>
      </c>
      <c r="J26" s="310">
        <v>1</v>
      </c>
      <c r="K26" s="312">
        <v>21000</v>
      </c>
      <c r="L26" s="310" t="s">
        <v>39</v>
      </c>
      <c r="M26" s="310">
        <v>21000</v>
      </c>
      <c r="N26" s="313" t="s">
        <v>563</v>
      </c>
      <c r="O26" s="314" t="s">
        <v>563</v>
      </c>
      <c r="P26" s="307">
        <f t="shared" si="3"/>
        <v>0</v>
      </c>
      <c r="R26" s="91" t="str">
        <f t="shared" si="4"/>
        <v>Mgg1</v>
      </c>
      <c r="S26" s="307" t="str">
        <f t="shared" si="5"/>
        <v>BKK.4aa</v>
      </c>
      <c r="T26" s="307" t="str">
        <f t="shared" si="6"/>
        <v>Pleser 8-10</v>
      </c>
      <c r="U26" s="315" t="str">
        <f t="shared" si="19"/>
        <v/>
      </c>
      <c r="V26" s="307" t="str">
        <f t="shared" si="16"/>
        <v/>
      </c>
      <c r="W26" s="307" t="str">
        <f>IFERROR(IF(V26&gt;0,PROPER(Terbilang1(V26)&amp;" Rupiah"),0),"")</f>
        <v/>
      </c>
      <c r="X26" s="90">
        <f t="shared" si="7"/>
        <v>1</v>
      </c>
      <c r="Y26" s="307" t="str">
        <f t="shared" si="8"/>
        <v>Pcs</v>
      </c>
      <c r="Z26" s="307">
        <f t="shared" si="9"/>
        <v>0</v>
      </c>
      <c r="AA26" s="366">
        <f t="shared" si="10"/>
        <v>0</v>
      </c>
      <c r="AB26" s="367">
        <f t="shared" si="17"/>
        <v>0</v>
      </c>
      <c r="AC26" s="305">
        <f t="shared" si="18"/>
        <v>0</v>
      </c>
      <c r="AE26" s="75" t="s">
        <v>431</v>
      </c>
      <c r="AF26" s="322">
        <f>AG8</f>
        <v>45913</v>
      </c>
      <c r="AG26" s="322">
        <f>AG8</f>
        <v>45913</v>
      </c>
      <c r="AP26" s="89" t="str">
        <f t="shared" si="0"/>
        <v/>
      </c>
      <c r="AQ26" s="89" t="str">
        <f t="shared" si="13"/>
        <v/>
      </c>
      <c r="AR26" s="315" t="str">
        <f t="shared" si="14"/>
        <v/>
      </c>
      <c r="AS26" s="305" t="str">
        <f t="shared" si="15"/>
        <v>0</v>
      </c>
      <c r="AT26" s="307">
        <f>Table22[[#This Row],[Column1]]</f>
        <v>0</v>
      </c>
    </row>
    <row r="27" spans="1:46" x14ac:dyDescent="0.3">
      <c r="A27" s="307" t="str">
        <f t="shared" si="1"/>
        <v>1.26</v>
      </c>
      <c r="B27" s="307" t="str">
        <f t="shared" si="2"/>
        <v>Beli</v>
      </c>
      <c r="C27" s="308">
        <v>1</v>
      </c>
      <c r="D27" s="309" t="s">
        <v>563</v>
      </c>
      <c r="E27" s="310" t="s">
        <v>233</v>
      </c>
      <c r="F27" s="310" t="s">
        <v>622</v>
      </c>
      <c r="G27" s="311" t="s">
        <v>623</v>
      </c>
      <c r="H27" s="310" t="s">
        <v>577</v>
      </c>
      <c r="I27" s="310">
        <v>10000</v>
      </c>
      <c r="J27" s="310">
        <v>6</v>
      </c>
      <c r="K27" s="312">
        <v>60000</v>
      </c>
      <c r="L27" s="310" t="s">
        <v>39</v>
      </c>
      <c r="M27" s="310">
        <v>60000</v>
      </c>
      <c r="N27" s="313" t="s">
        <v>563</v>
      </c>
      <c r="O27" s="314" t="s">
        <v>563</v>
      </c>
      <c r="P27" s="307">
        <f t="shared" si="3"/>
        <v>0</v>
      </c>
      <c r="R27" s="91" t="str">
        <f t="shared" si="4"/>
        <v>Mgg1</v>
      </c>
      <c r="S27" s="307" t="str">
        <f t="shared" si="5"/>
        <v>BKK.4aaa</v>
      </c>
      <c r="T27" s="307" t="str">
        <f t="shared" si="6"/>
        <v>Kaleng Adiva</v>
      </c>
      <c r="U27" s="315" t="str">
        <f t="shared" si="19"/>
        <v/>
      </c>
      <c r="V27" s="307" t="str">
        <f t="shared" si="16"/>
        <v/>
      </c>
      <c r="W27" s="307" t="str">
        <f>IFERROR(IF(V27&gt;0,PROPER(Terbilang1(V27)&amp;" Rupiah"),0),"")</f>
        <v/>
      </c>
      <c r="X27" s="90">
        <f t="shared" si="7"/>
        <v>6</v>
      </c>
      <c r="Y27" s="307" t="str">
        <f t="shared" si="8"/>
        <v>Pcs</v>
      </c>
      <c r="Z27" s="307">
        <f t="shared" si="9"/>
        <v>0</v>
      </c>
      <c r="AA27" s="366">
        <f t="shared" si="10"/>
        <v>0</v>
      </c>
      <c r="AB27" s="367">
        <f t="shared" si="17"/>
        <v>0</v>
      </c>
      <c r="AC27" s="305">
        <f t="shared" si="18"/>
        <v>0</v>
      </c>
      <c r="AE27" s="75" t="s">
        <v>491</v>
      </c>
      <c r="AF27" s="322">
        <f>+AG25</f>
        <v>46032</v>
      </c>
      <c r="AG27" s="322">
        <f>AF27+6</f>
        <v>46038</v>
      </c>
      <c r="AP27" s="89" t="str">
        <f t="shared" si="0"/>
        <v/>
      </c>
      <c r="AQ27" s="89" t="str">
        <f t="shared" si="13"/>
        <v/>
      </c>
      <c r="AR27" s="315" t="str">
        <f t="shared" si="14"/>
        <v/>
      </c>
      <c r="AS27" s="305" t="str">
        <f t="shared" si="15"/>
        <v>0</v>
      </c>
      <c r="AT27" s="307">
        <f>Table22[[#This Row],[Column1]]</f>
        <v>0</v>
      </c>
    </row>
    <row r="28" spans="1:46" x14ac:dyDescent="0.3">
      <c r="A28" s="307" t="str">
        <f t="shared" si="1"/>
        <v>1.27</v>
      </c>
      <c r="B28" s="307" t="str">
        <f t="shared" si="2"/>
        <v>Beli</v>
      </c>
      <c r="C28" s="308">
        <v>1</v>
      </c>
      <c r="D28" s="309" t="s">
        <v>563</v>
      </c>
      <c r="E28" s="310" t="s">
        <v>233</v>
      </c>
      <c r="F28" s="310" t="s">
        <v>624</v>
      </c>
      <c r="G28" s="311" t="s">
        <v>625</v>
      </c>
      <c r="H28" s="310" t="s">
        <v>577</v>
      </c>
      <c r="I28" s="310">
        <v>336000</v>
      </c>
      <c r="J28" s="310">
        <v>1</v>
      </c>
      <c r="K28" s="312">
        <v>336000</v>
      </c>
      <c r="L28" s="310" t="s">
        <v>38</v>
      </c>
      <c r="M28" s="310">
        <v>336000</v>
      </c>
      <c r="N28" s="313" t="s">
        <v>563</v>
      </c>
      <c r="O28" s="314" t="s">
        <v>563</v>
      </c>
      <c r="P28" s="307">
        <f t="shared" si="3"/>
        <v>0</v>
      </c>
      <c r="R28" s="91" t="str">
        <f t="shared" si="4"/>
        <v>Mgg1</v>
      </c>
      <c r="S28" s="307" t="str">
        <f t="shared" si="5"/>
        <v>BKK.4aaaa</v>
      </c>
      <c r="T28" s="307" t="str">
        <f t="shared" si="6"/>
        <v>Terpal A5 6X8</v>
      </c>
      <c r="U28" s="315" t="str">
        <f t="shared" si="19"/>
        <v/>
      </c>
      <c r="V28" s="307" t="str">
        <f t="shared" si="16"/>
        <v/>
      </c>
      <c r="W28" s="307" t="str">
        <f>IFERROR(IF(V28&gt;0,PROPER(Terbilang1(V28)&amp;" Rupiah"),0),"")</f>
        <v/>
      </c>
      <c r="X28" s="90">
        <f t="shared" si="7"/>
        <v>1</v>
      </c>
      <c r="Y28" s="307" t="str">
        <f t="shared" si="8"/>
        <v>Pcs</v>
      </c>
      <c r="Z28" s="307">
        <f t="shared" si="9"/>
        <v>0</v>
      </c>
      <c r="AA28" s="366">
        <f t="shared" si="10"/>
        <v>0</v>
      </c>
      <c r="AB28" s="367">
        <f t="shared" si="17"/>
        <v>0</v>
      </c>
      <c r="AC28" s="305">
        <f t="shared" si="18"/>
        <v>0</v>
      </c>
      <c r="AE28" s="75">
        <f>COUNT(AE7:AE27,AE7:AE27)</f>
        <v>0</v>
      </c>
      <c r="AF28" s="315"/>
      <c r="AG28" s="315"/>
      <c r="AP28" s="89" t="str">
        <f t="shared" si="0"/>
        <v/>
      </c>
      <c r="AQ28" s="89" t="str">
        <f t="shared" si="13"/>
        <v/>
      </c>
      <c r="AR28" s="315" t="str">
        <f t="shared" si="14"/>
        <v/>
      </c>
      <c r="AS28" s="305" t="str">
        <f t="shared" si="15"/>
        <v>0</v>
      </c>
      <c r="AT28" s="307">
        <f>Table22[[#This Row],[Column1]]</f>
        <v>0</v>
      </c>
    </row>
    <row r="29" spans="1:46" x14ac:dyDescent="0.3">
      <c r="A29" s="307" t="str">
        <f t="shared" si="1"/>
        <v>1.28</v>
      </c>
      <c r="B29" s="307" t="str">
        <f t="shared" si="2"/>
        <v>Beli</v>
      </c>
      <c r="C29" s="308">
        <v>1</v>
      </c>
      <c r="D29" s="309" t="s">
        <v>563</v>
      </c>
      <c r="E29" s="310" t="s">
        <v>233</v>
      </c>
      <c r="F29" s="310" t="s">
        <v>626</v>
      </c>
      <c r="G29" s="311" t="s">
        <v>627</v>
      </c>
      <c r="H29" s="310" t="s">
        <v>628</v>
      </c>
      <c r="I29" s="310">
        <v>20000</v>
      </c>
      <c r="J29" s="310">
        <v>5</v>
      </c>
      <c r="K29" s="312">
        <v>100000</v>
      </c>
      <c r="L29" s="310" t="s">
        <v>38</v>
      </c>
      <c r="M29" s="310">
        <v>100000</v>
      </c>
      <c r="N29" s="313" t="s">
        <v>563</v>
      </c>
      <c r="O29" s="314" t="s">
        <v>563</v>
      </c>
      <c r="P29" s="307">
        <f t="shared" si="3"/>
        <v>0</v>
      </c>
      <c r="R29" s="91" t="str">
        <f t="shared" si="4"/>
        <v>Mgg1</v>
      </c>
      <c r="S29" s="307" t="str">
        <f t="shared" si="5"/>
        <v>BKK.4aaaaa</v>
      </c>
      <c r="T29" s="307" t="str">
        <f t="shared" si="6"/>
        <v>Kayu Usuk 3 X 5</v>
      </c>
      <c r="U29" s="315" t="str">
        <f t="shared" si="19"/>
        <v/>
      </c>
      <c r="V29" s="307" t="str">
        <f t="shared" si="16"/>
        <v/>
      </c>
      <c r="W29" s="307" t="str">
        <f>IFERROR(IF(V29&gt;0,PROPER(Terbilang1(V29)&amp;" Rupiah"),0),"")</f>
        <v/>
      </c>
      <c r="X29" s="90">
        <f t="shared" si="7"/>
        <v>5</v>
      </c>
      <c r="Y29" s="307" t="str">
        <f t="shared" si="8"/>
        <v>Ljr</v>
      </c>
      <c r="Z29" s="307">
        <f t="shared" si="9"/>
        <v>0</v>
      </c>
      <c r="AA29" s="366">
        <f t="shared" si="10"/>
        <v>0</v>
      </c>
      <c r="AB29" s="367">
        <f t="shared" si="17"/>
        <v>0</v>
      </c>
      <c r="AC29" s="305">
        <f t="shared" si="18"/>
        <v>0</v>
      </c>
      <c r="AF29" s="315"/>
      <c r="AG29" s="315"/>
      <c r="AP29" s="89" t="str">
        <f t="shared" si="0"/>
        <v/>
      </c>
      <c r="AQ29" s="89" t="str">
        <f t="shared" si="13"/>
        <v/>
      </c>
      <c r="AR29" s="315" t="str">
        <f t="shared" si="14"/>
        <v/>
      </c>
      <c r="AS29" s="305" t="str">
        <f t="shared" si="15"/>
        <v>0</v>
      </c>
      <c r="AT29" s="307">
        <f>Table22[[#This Row],[Column1]]</f>
        <v>0</v>
      </c>
    </row>
    <row r="30" spans="1:46" x14ac:dyDescent="0.3">
      <c r="A30" s="307" t="str">
        <f t="shared" si="1"/>
        <v>1.29</v>
      </c>
      <c r="B30" s="307" t="str">
        <f t="shared" si="2"/>
        <v>Beli</v>
      </c>
      <c r="C30" s="308">
        <v>1</v>
      </c>
      <c r="D30" s="309" t="s">
        <v>563</v>
      </c>
      <c r="E30" s="310" t="s">
        <v>233</v>
      </c>
      <c r="F30" s="310" t="s">
        <v>629</v>
      </c>
      <c r="G30" s="311" t="s">
        <v>630</v>
      </c>
      <c r="H30" s="310" t="s">
        <v>628</v>
      </c>
      <c r="I30" s="310">
        <v>25000</v>
      </c>
      <c r="J30" s="310">
        <v>20</v>
      </c>
      <c r="K30" s="312">
        <v>500000</v>
      </c>
      <c r="L30" s="310" t="s">
        <v>38</v>
      </c>
      <c r="M30" s="310">
        <v>500000</v>
      </c>
      <c r="N30" s="313" t="s">
        <v>563</v>
      </c>
      <c r="O30" s="314" t="s">
        <v>563</v>
      </c>
      <c r="P30" s="307">
        <f t="shared" si="3"/>
        <v>0</v>
      </c>
      <c r="R30" s="91" t="str">
        <f t="shared" si="4"/>
        <v>Mgg1</v>
      </c>
      <c r="S30" s="307" t="str">
        <f t="shared" si="5"/>
        <v>BKK.4aaaaaa</v>
      </c>
      <c r="T30" s="307" t="str">
        <f t="shared" si="6"/>
        <v>Papan Sengon</v>
      </c>
      <c r="U30" s="315" t="str">
        <f t="shared" si="19"/>
        <v/>
      </c>
      <c r="V30" s="307" t="str">
        <f t="shared" si="16"/>
        <v/>
      </c>
      <c r="W30" s="307" t="str">
        <f>IFERROR(IF(V30&gt;0,PROPER(Terbilang1(V30)&amp;" Rupiah"),0),"")</f>
        <v/>
      </c>
      <c r="X30" s="90">
        <f t="shared" si="7"/>
        <v>20</v>
      </c>
      <c r="Y30" s="307" t="str">
        <f t="shared" si="8"/>
        <v>Ljr</v>
      </c>
      <c r="Z30" s="307">
        <f t="shared" si="9"/>
        <v>0</v>
      </c>
      <c r="AA30" s="366">
        <f t="shared" si="10"/>
        <v>0</v>
      </c>
      <c r="AB30" s="367">
        <f t="shared" si="17"/>
        <v>0</v>
      </c>
      <c r="AC30" s="305">
        <f t="shared" si="18"/>
        <v>0</v>
      </c>
      <c r="AF30" s="315"/>
      <c r="AG30" s="315"/>
      <c r="AP30" s="89" t="str">
        <f t="shared" si="0"/>
        <v/>
      </c>
      <c r="AQ30" s="89" t="str">
        <f t="shared" si="13"/>
        <v/>
      </c>
      <c r="AR30" s="315" t="str">
        <f t="shared" si="14"/>
        <v/>
      </c>
      <c r="AS30" s="305" t="str">
        <f t="shared" si="15"/>
        <v>0</v>
      </c>
      <c r="AT30" s="307">
        <f>Table22[[#This Row],[Column1]]</f>
        <v>0</v>
      </c>
    </row>
    <row r="31" spans="1:46" x14ac:dyDescent="0.3">
      <c r="A31" s="307" t="str">
        <f t="shared" si="1"/>
        <v>1.30</v>
      </c>
      <c r="B31" s="307" t="str">
        <f t="shared" si="2"/>
        <v>Beli</v>
      </c>
      <c r="C31" s="308">
        <v>1</v>
      </c>
      <c r="D31" s="309" t="s">
        <v>563</v>
      </c>
      <c r="E31" s="310" t="s">
        <v>233</v>
      </c>
      <c r="F31" s="310" t="s">
        <v>631</v>
      </c>
      <c r="G31" s="311" t="s">
        <v>632</v>
      </c>
      <c r="H31" s="310" t="s">
        <v>633</v>
      </c>
      <c r="I31" s="310">
        <v>230000</v>
      </c>
      <c r="J31" s="310">
        <v>1</v>
      </c>
      <c r="K31" s="312">
        <v>230000</v>
      </c>
      <c r="L31" s="310" t="s">
        <v>38</v>
      </c>
      <c r="M31" s="310">
        <v>230000</v>
      </c>
      <c r="N31" s="313" t="s">
        <v>563</v>
      </c>
      <c r="O31" s="314" t="s">
        <v>563</v>
      </c>
      <c r="P31" s="307">
        <f t="shared" si="3"/>
        <v>0</v>
      </c>
      <c r="R31" s="91" t="str">
        <f t="shared" si="4"/>
        <v>Mgg1</v>
      </c>
      <c r="S31" s="307" t="str">
        <f t="shared" si="5"/>
        <v>BKK.4aaaaaaa</v>
      </c>
      <c r="T31" s="307" t="str">
        <f t="shared" si="6"/>
        <v>Pasir Biasa L300</v>
      </c>
      <c r="U31" s="315" t="str">
        <f t="shared" si="19"/>
        <v/>
      </c>
      <c r="V31" s="307" t="str">
        <f t="shared" si="16"/>
        <v/>
      </c>
      <c r="W31" s="307" t="str">
        <f>IFERROR(IF(V31&gt;0,PROPER(Terbilang1(V31)&amp;" Rupiah"),0),"")</f>
        <v/>
      </c>
      <c r="X31" s="90">
        <f t="shared" si="7"/>
        <v>1</v>
      </c>
      <c r="Y31" s="307" t="str">
        <f t="shared" si="8"/>
        <v>Pik Up</v>
      </c>
      <c r="Z31" s="307">
        <f t="shared" si="9"/>
        <v>0</v>
      </c>
      <c r="AA31" s="366">
        <f t="shared" si="10"/>
        <v>0</v>
      </c>
      <c r="AB31" s="367">
        <f t="shared" si="17"/>
        <v>0</v>
      </c>
      <c r="AC31" s="305">
        <f t="shared" si="18"/>
        <v>0</v>
      </c>
      <c r="AP31" s="89" t="str">
        <f t="shared" si="0"/>
        <v/>
      </c>
      <c r="AQ31" s="89" t="str">
        <f t="shared" si="13"/>
        <v/>
      </c>
      <c r="AR31" s="315" t="str">
        <f t="shared" si="14"/>
        <v/>
      </c>
      <c r="AS31" s="305" t="str">
        <f t="shared" si="15"/>
        <v>0</v>
      </c>
      <c r="AT31" s="307">
        <f>Table22[[#This Row],[Column1]]</f>
        <v>0</v>
      </c>
    </row>
    <row r="32" spans="1:46" x14ac:dyDescent="0.3">
      <c r="A32" s="307" t="str">
        <f t="shared" si="1"/>
        <v>1.31</v>
      </c>
      <c r="B32" s="307" t="str">
        <f t="shared" si="2"/>
        <v>Beli</v>
      </c>
      <c r="C32" s="308">
        <v>1</v>
      </c>
      <c r="D32" s="309">
        <v>45903</v>
      </c>
      <c r="E32" s="310" t="s">
        <v>558</v>
      </c>
      <c r="F32" s="310" t="s">
        <v>634</v>
      </c>
      <c r="G32" s="311" t="s">
        <v>635</v>
      </c>
      <c r="H32" s="310" t="s">
        <v>574</v>
      </c>
      <c r="I32" s="310">
        <v>300000</v>
      </c>
      <c r="J32" s="310">
        <v>1</v>
      </c>
      <c r="K32" s="312">
        <v>300000</v>
      </c>
      <c r="L32" s="310" t="s">
        <v>562</v>
      </c>
      <c r="M32" s="310">
        <v>300000</v>
      </c>
      <c r="N32" s="313">
        <v>300000</v>
      </c>
      <c r="O32" s="314" t="s">
        <v>636</v>
      </c>
      <c r="P32" s="307" t="str">
        <f t="shared" si="3"/>
        <v>Men1</v>
      </c>
      <c r="R32" s="91" t="str">
        <f t="shared" si="4"/>
        <v>Men1</v>
      </c>
      <c r="S32" s="307" t="str">
        <f t="shared" si="5"/>
        <v>BKK.5</v>
      </c>
      <c r="T32" s="307" t="str">
        <f t="shared" si="6"/>
        <v>Pembuatan Papan Pengumuman</v>
      </c>
      <c r="U32" s="315">
        <f t="shared" si="19"/>
        <v>45903</v>
      </c>
      <c r="V32" s="307">
        <f t="shared" si="16"/>
        <v>300000</v>
      </c>
      <c r="W32" s="307" t="str">
        <f>IFERROR(IF(V32&gt;0,PROPER(Terbilang1(V32)&amp;" Rupiah"),0),"")</f>
        <v>Tiga Ratus Ribu Rupiah</v>
      </c>
      <c r="X32" s="90">
        <f t="shared" si="7"/>
        <v>1</v>
      </c>
      <c r="Y32" s="307" t="str">
        <f t="shared" si="8"/>
        <v>Ls</v>
      </c>
      <c r="Z32" s="307">
        <f t="shared" si="9"/>
        <v>0</v>
      </c>
      <c r="AA32" s="366">
        <f t="shared" si="10"/>
        <v>0</v>
      </c>
      <c r="AB32" s="367">
        <f t="shared" si="17"/>
        <v>0</v>
      </c>
      <c r="AC32" s="305">
        <f t="shared" si="18"/>
        <v>0</v>
      </c>
      <c r="AP32" s="89">
        <f t="shared" si="0"/>
        <v>1</v>
      </c>
      <c r="AQ32" s="89" t="str">
        <f t="shared" si="13"/>
        <v/>
      </c>
      <c r="AR32" s="315" t="str">
        <f t="shared" si="14"/>
        <v/>
      </c>
      <c r="AS32" s="305" t="str">
        <f t="shared" si="15"/>
        <v>0</v>
      </c>
      <c r="AT32" s="307">
        <f>Table22[[#This Row],[Column1]]</f>
        <v>0</v>
      </c>
    </row>
    <row r="33" spans="1:46" x14ac:dyDescent="0.3">
      <c r="A33" s="307" t="str">
        <f t="shared" si="1"/>
        <v>1.32</v>
      </c>
      <c r="B33" s="307" t="str">
        <f t="shared" si="2"/>
        <v>Beli</v>
      </c>
      <c r="C33" s="308">
        <v>1</v>
      </c>
      <c r="D33" s="309">
        <v>45904</v>
      </c>
      <c r="E33" s="310" t="s">
        <v>233</v>
      </c>
      <c r="F33" s="310" t="s">
        <v>637</v>
      </c>
      <c r="G33" s="311" t="s">
        <v>638</v>
      </c>
      <c r="H33" s="310" t="s">
        <v>628</v>
      </c>
      <c r="I33" s="310">
        <v>35000</v>
      </c>
      <c r="J33" s="310">
        <v>10</v>
      </c>
      <c r="K33" s="312">
        <v>350000</v>
      </c>
      <c r="L33" s="310" t="s">
        <v>38</v>
      </c>
      <c r="M33" s="310">
        <v>350000</v>
      </c>
      <c r="N33" s="313">
        <v>1281000</v>
      </c>
      <c r="O33" s="314" t="s">
        <v>639</v>
      </c>
      <c r="P33" s="307" t="str">
        <f t="shared" si="3"/>
        <v>Mgg1</v>
      </c>
      <c r="R33" s="91" t="str">
        <f t="shared" si="4"/>
        <v>Mgg1</v>
      </c>
      <c r="S33" s="307" t="str">
        <f t="shared" si="5"/>
        <v>BKK.6</v>
      </c>
      <c r="T33" s="307" t="str">
        <f t="shared" si="6"/>
        <v>Usuk Super 3 M</v>
      </c>
      <c r="U33" s="315">
        <f t="shared" si="19"/>
        <v>45904</v>
      </c>
      <c r="V33" s="307">
        <f t="shared" si="16"/>
        <v>1281000</v>
      </c>
      <c r="W33" s="307" t="str">
        <f>IFERROR(IF(V33&gt;0,PROPER(Terbilang1(V33)&amp;" Rupiah"),0),"")</f>
        <v>Satu Juta Dua Ratus Delapan Puluh Satu Ribu Rupiah</v>
      </c>
      <c r="X33" s="90">
        <f t="shared" si="7"/>
        <v>10</v>
      </c>
      <c r="Y33" s="307" t="str">
        <f t="shared" si="8"/>
        <v>Ljr</v>
      </c>
      <c r="Z33" s="307">
        <f t="shared" si="9"/>
        <v>0</v>
      </c>
      <c r="AA33" s="366">
        <f t="shared" si="10"/>
        <v>0</v>
      </c>
      <c r="AB33" s="367">
        <f t="shared" si="17"/>
        <v>0</v>
      </c>
      <c r="AC33" s="305">
        <f t="shared" si="18"/>
        <v>0</v>
      </c>
      <c r="AP33" s="89">
        <f t="shared" si="0"/>
        <v>1</v>
      </c>
      <c r="AQ33" s="89" t="str">
        <f t="shared" si="13"/>
        <v/>
      </c>
      <c r="AR33" s="315" t="str">
        <f t="shared" si="14"/>
        <v/>
      </c>
      <c r="AS33" s="305" t="str">
        <f t="shared" si="15"/>
        <v>0</v>
      </c>
      <c r="AT33" s="307">
        <f>Table22[[#This Row],[Column1]]</f>
        <v>0</v>
      </c>
    </row>
    <row r="34" spans="1:46" x14ac:dyDescent="0.3">
      <c r="A34" s="307" t="str">
        <f t="shared" si="1"/>
        <v>1.33</v>
      </c>
      <c r="B34" s="307" t="str">
        <f t="shared" si="2"/>
        <v>Beli</v>
      </c>
      <c r="C34" s="308">
        <v>1</v>
      </c>
      <c r="D34" s="309" t="s">
        <v>563</v>
      </c>
      <c r="E34" s="310" t="s">
        <v>233</v>
      </c>
      <c r="F34" s="310" t="s">
        <v>640</v>
      </c>
      <c r="G34" s="311" t="s">
        <v>641</v>
      </c>
      <c r="H34" s="310" t="s">
        <v>633</v>
      </c>
      <c r="I34" s="310">
        <v>335000</v>
      </c>
      <c r="J34" s="310">
        <v>1</v>
      </c>
      <c r="K34" s="312">
        <v>335000</v>
      </c>
      <c r="L34" s="310" t="s">
        <v>38</v>
      </c>
      <c r="M34" s="310">
        <v>335000</v>
      </c>
      <c r="N34" s="313" t="s">
        <v>563</v>
      </c>
      <c r="O34" s="314" t="s">
        <v>563</v>
      </c>
      <c r="P34" s="307">
        <f t="shared" si="3"/>
        <v>0</v>
      </c>
      <c r="R34" s="91" t="str">
        <f t="shared" si="4"/>
        <v>Mgg1</v>
      </c>
      <c r="S34" s="307" t="str">
        <f t="shared" si="5"/>
        <v>BKK.6a</v>
      </c>
      <c r="T34" s="307" t="str">
        <f t="shared" si="6"/>
        <v>Pasir Cor L300</v>
      </c>
      <c r="U34" s="315" t="str">
        <f t="shared" si="19"/>
        <v/>
      </c>
      <c r="V34" s="307" t="str">
        <f t="shared" si="16"/>
        <v/>
      </c>
      <c r="W34" s="307" t="str">
        <f>IFERROR(IF(V34&gt;0,PROPER(Terbilang1(V34)&amp;" Rupiah"),0),"")</f>
        <v/>
      </c>
      <c r="X34" s="90">
        <f t="shared" ref="X34:X66" si="23">J34</f>
        <v>1</v>
      </c>
      <c r="Y34" s="307" t="str">
        <f t="shared" ref="Y34:Y66" si="24">H34</f>
        <v>Pik Up</v>
      </c>
      <c r="Z34" s="307">
        <f t="shared" si="9"/>
        <v>0</v>
      </c>
      <c r="AA34" s="366">
        <f t="shared" si="10"/>
        <v>0</v>
      </c>
      <c r="AB34" s="367">
        <f t="shared" si="17"/>
        <v>0</v>
      </c>
      <c r="AC34" s="305">
        <f t="shared" si="18"/>
        <v>0</v>
      </c>
      <c r="AP34" s="89" t="str">
        <f t="shared" si="0"/>
        <v/>
      </c>
      <c r="AQ34" s="89" t="str">
        <f t="shared" si="13"/>
        <v/>
      </c>
      <c r="AR34" s="315" t="str">
        <f t="shared" si="14"/>
        <v/>
      </c>
      <c r="AS34" s="305" t="str">
        <f t="shared" si="15"/>
        <v>0</v>
      </c>
      <c r="AT34" s="307">
        <f>Table22[[#This Row],[Column1]]</f>
        <v>0</v>
      </c>
    </row>
    <row r="35" spans="1:46" x14ac:dyDescent="0.3">
      <c r="A35" s="307" t="str">
        <f t="shared" si="1"/>
        <v>1.34</v>
      </c>
      <c r="B35" s="307" t="str">
        <f t="shared" si="2"/>
        <v>Beli</v>
      </c>
      <c r="C35" s="308">
        <v>1</v>
      </c>
      <c r="D35" s="309" t="s">
        <v>563</v>
      </c>
      <c r="E35" s="310" t="s">
        <v>233</v>
      </c>
      <c r="F35" s="310" t="s">
        <v>642</v>
      </c>
      <c r="G35" s="311" t="s">
        <v>643</v>
      </c>
      <c r="H35" s="310" t="s">
        <v>633</v>
      </c>
      <c r="I35" s="310">
        <v>350000</v>
      </c>
      <c r="J35" s="310">
        <v>1</v>
      </c>
      <c r="K35" s="312">
        <v>350000</v>
      </c>
      <c r="L35" s="310" t="s">
        <v>38</v>
      </c>
      <c r="M35" s="310">
        <v>350000</v>
      </c>
      <c r="N35" s="313" t="s">
        <v>563</v>
      </c>
      <c r="O35" s="314" t="s">
        <v>563</v>
      </c>
      <c r="P35" s="307">
        <f t="shared" si="3"/>
        <v>0</v>
      </c>
      <c r="R35" s="91" t="str">
        <f t="shared" si="4"/>
        <v>Mgg1</v>
      </c>
      <c r="S35" s="307" t="str">
        <f t="shared" si="5"/>
        <v>BKK.6aa</v>
      </c>
      <c r="T35" s="307" t="str">
        <f t="shared" si="6"/>
        <v>Koral L300</v>
      </c>
      <c r="U35" s="315" t="str">
        <f t="shared" si="19"/>
        <v/>
      </c>
      <c r="V35" s="307" t="str">
        <f t="shared" ref="V35:V66" si="25">N35</f>
        <v/>
      </c>
      <c r="W35" s="307" t="str">
        <f>IFERROR(IF(V35&gt;0,PROPER(Terbilang1(V35)&amp;" Rupiah"),0),"")</f>
        <v/>
      </c>
      <c r="X35" s="90">
        <f t="shared" si="23"/>
        <v>1</v>
      </c>
      <c r="Y35" s="307" t="str">
        <f t="shared" si="24"/>
        <v>Pik Up</v>
      </c>
      <c r="Z35" s="307">
        <f t="shared" si="9"/>
        <v>0</v>
      </c>
      <c r="AA35" s="366">
        <f t="shared" si="10"/>
        <v>0</v>
      </c>
      <c r="AB35" s="367">
        <f t="shared" si="17"/>
        <v>0</v>
      </c>
      <c r="AC35" s="305">
        <f t="shared" si="18"/>
        <v>0</v>
      </c>
      <c r="AP35" s="89" t="str">
        <f t="shared" si="0"/>
        <v/>
      </c>
      <c r="AQ35" s="89" t="str">
        <f t="shared" si="13"/>
        <v/>
      </c>
      <c r="AR35" s="315" t="str">
        <f t="shared" si="14"/>
        <v/>
      </c>
      <c r="AS35" s="305" t="str">
        <f t="shared" si="15"/>
        <v>0</v>
      </c>
      <c r="AT35" s="307">
        <f>Table22[[#This Row],[Column1]]</f>
        <v>0</v>
      </c>
    </row>
    <row r="36" spans="1:46" x14ac:dyDescent="0.3">
      <c r="A36" s="307" t="str">
        <f t="shared" si="1"/>
        <v>1.35</v>
      </c>
      <c r="B36" s="307" t="str">
        <f>IF(LEFT(F36,2)="MA","Jasa",IF(LEFT(F36,1)="G","Bayar Ongkos",IF(LEFT(F36,1)="M","Beli",0)))</f>
        <v>Beli</v>
      </c>
      <c r="C36" s="308">
        <v>1</v>
      </c>
      <c r="D36" s="309" t="s">
        <v>563</v>
      </c>
      <c r="E36" s="310" t="s">
        <v>233</v>
      </c>
      <c r="F36" s="310" t="s">
        <v>644</v>
      </c>
      <c r="G36" s="311" t="s">
        <v>645</v>
      </c>
      <c r="H36" s="310" t="s">
        <v>577</v>
      </c>
      <c r="I36" s="310">
        <v>3500</v>
      </c>
      <c r="J36" s="310">
        <v>4</v>
      </c>
      <c r="K36" s="312">
        <v>14000</v>
      </c>
      <c r="L36" s="310" t="s">
        <v>38</v>
      </c>
      <c r="M36" s="310">
        <v>14000</v>
      </c>
      <c r="N36" s="313" t="s">
        <v>563</v>
      </c>
      <c r="O36" s="314" t="s">
        <v>563</v>
      </c>
      <c r="P36" s="307">
        <f t="shared" si="3"/>
        <v>0</v>
      </c>
      <c r="R36" s="91" t="str">
        <f>IF(LEFT(F36,2)="ma",F36,IF(LEFT(F36,1)="m",E36,IF(LEFT(F36,1)="b",E36,IF(LEFT(F36,1)="G",F36,""))))</f>
        <v>Mgg1</v>
      </c>
      <c r="S36" s="307" t="str">
        <f t="shared" si="5"/>
        <v>BKK.6aaa</v>
      </c>
      <c r="T36" s="307" t="str">
        <f t="shared" si="6"/>
        <v>Wd Potong Bosch</v>
      </c>
      <c r="U36" s="315" t="str">
        <f t="shared" si="19"/>
        <v/>
      </c>
      <c r="V36" s="307" t="str">
        <f t="shared" si="25"/>
        <v/>
      </c>
      <c r="W36" s="307" t="str">
        <f>IFERROR(IF(V36&gt;0,PROPER(Terbilang1(V36)&amp;" Rupiah"),0),"")</f>
        <v/>
      </c>
      <c r="X36" s="90">
        <f t="shared" si="23"/>
        <v>4</v>
      </c>
      <c r="Y36" s="307" t="str">
        <f t="shared" si="24"/>
        <v>Pcs</v>
      </c>
      <c r="Z36" s="307">
        <f t="shared" si="9"/>
        <v>0</v>
      </c>
      <c r="AA36" s="366">
        <f t="shared" si="10"/>
        <v>0</v>
      </c>
      <c r="AB36" s="367">
        <f t="shared" si="17"/>
        <v>0</v>
      </c>
      <c r="AC36" s="305">
        <f t="shared" si="18"/>
        <v>0</v>
      </c>
      <c r="AP36" s="89" t="str">
        <f t="shared" si="0"/>
        <v/>
      </c>
      <c r="AQ36" s="89" t="str">
        <f t="shared" si="13"/>
        <v/>
      </c>
      <c r="AR36" s="315" t="str">
        <f t="shared" si="14"/>
        <v/>
      </c>
      <c r="AS36" s="305" t="str">
        <f t="shared" si="15"/>
        <v>0</v>
      </c>
      <c r="AT36" s="307">
        <f>Table22[[#This Row],[Column1]]</f>
        <v>0</v>
      </c>
    </row>
    <row r="37" spans="1:46" x14ac:dyDescent="0.3">
      <c r="A37" s="307" t="str">
        <f t="shared" si="1"/>
        <v>1.36</v>
      </c>
      <c r="B37" s="307" t="str">
        <f t="shared" ref="B37:B100" si="26">IF(LEFT(F37,2)="MA","Jasa",IF(LEFT(F37,1)="G","Bayar Ongkos",IF(LEFT(F37,1)="M","Beli",0)))</f>
        <v>Beli</v>
      </c>
      <c r="C37" s="308">
        <v>1</v>
      </c>
      <c r="D37" s="309" t="s">
        <v>563</v>
      </c>
      <c r="E37" s="310" t="s">
        <v>233</v>
      </c>
      <c r="F37" s="310" t="s">
        <v>646</v>
      </c>
      <c r="G37" s="311" t="s">
        <v>647</v>
      </c>
      <c r="H37" s="310" t="s">
        <v>648</v>
      </c>
      <c r="I37" s="310">
        <v>58000</v>
      </c>
      <c r="J37" s="310">
        <v>4</v>
      </c>
      <c r="K37" s="312">
        <v>232000</v>
      </c>
      <c r="L37" s="310" t="s">
        <v>38</v>
      </c>
      <c r="M37" s="310">
        <v>232000</v>
      </c>
      <c r="N37" s="313" t="s">
        <v>563</v>
      </c>
      <c r="O37" s="314" t="s">
        <v>563</v>
      </c>
      <c r="P37" s="307">
        <f t="shared" si="3"/>
        <v>0</v>
      </c>
      <c r="R37" s="91" t="str">
        <f t="shared" ref="R37:R100" si="27">IF(LEFT(F37,2)="ma",F37,IF(LEFT(F37,1)="m",E37,IF(LEFT(F37,1)="b",E37,IF(LEFT(F37,1)="G",F37,""))))</f>
        <v>Mgg1</v>
      </c>
      <c r="S37" s="307" t="str">
        <f t="shared" si="5"/>
        <v>BKK.6aaaa</v>
      </c>
      <c r="T37" s="307" t="str">
        <f t="shared" si="6"/>
        <v>Semen Gresik 40Kg</v>
      </c>
      <c r="U37" s="315" t="str">
        <f t="shared" si="19"/>
        <v/>
      </c>
      <c r="V37" s="307" t="str">
        <f t="shared" si="25"/>
        <v/>
      </c>
      <c r="W37" s="307" t="str">
        <f>IFERROR(IF(V37&gt;0,PROPER(Terbilang1(V37)&amp;" Rupiah"),0),"")</f>
        <v/>
      </c>
      <c r="X37" s="90">
        <f t="shared" si="23"/>
        <v>4</v>
      </c>
      <c r="Y37" s="307" t="str">
        <f t="shared" si="24"/>
        <v>Sak</v>
      </c>
      <c r="Z37" s="307">
        <f t="shared" si="9"/>
        <v>0</v>
      </c>
      <c r="AA37" s="366">
        <f t="shared" si="10"/>
        <v>0</v>
      </c>
      <c r="AB37" s="367">
        <f t="shared" si="17"/>
        <v>0</v>
      </c>
      <c r="AC37" s="305">
        <f t="shared" si="18"/>
        <v>0</v>
      </c>
      <c r="AP37" s="89" t="str">
        <f t="shared" si="0"/>
        <v/>
      </c>
      <c r="AQ37" s="89" t="str">
        <f t="shared" si="13"/>
        <v/>
      </c>
      <c r="AR37" s="315" t="str">
        <f t="shared" si="14"/>
        <v/>
      </c>
      <c r="AS37" s="305" t="str">
        <f t="shared" si="15"/>
        <v>0</v>
      </c>
      <c r="AT37" s="307">
        <f>Table22[[#This Row],[Column1]]</f>
        <v>0</v>
      </c>
    </row>
    <row r="38" spans="1:46" x14ac:dyDescent="0.3">
      <c r="A38" s="307" t="str">
        <f t="shared" si="1"/>
        <v>1.37</v>
      </c>
      <c r="B38" s="307" t="str">
        <f t="shared" si="26"/>
        <v>Beli</v>
      </c>
      <c r="C38" s="308">
        <v>1</v>
      </c>
      <c r="D38" s="309">
        <v>45905</v>
      </c>
      <c r="E38" s="310" t="s">
        <v>233</v>
      </c>
      <c r="F38" s="310" t="s">
        <v>649</v>
      </c>
      <c r="G38" s="311" t="s">
        <v>650</v>
      </c>
      <c r="H38" s="310" t="s">
        <v>648</v>
      </c>
      <c r="I38" s="310">
        <v>52000</v>
      </c>
      <c r="J38" s="310">
        <v>15</v>
      </c>
      <c r="K38" s="312">
        <v>780000</v>
      </c>
      <c r="L38" s="310" t="s">
        <v>38</v>
      </c>
      <c r="M38" s="310">
        <v>780000</v>
      </c>
      <c r="N38" s="313">
        <v>780000</v>
      </c>
      <c r="O38" s="314" t="s">
        <v>651</v>
      </c>
      <c r="P38" s="307" t="str">
        <f t="shared" si="3"/>
        <v>Mgg1</v>
      </c>
      <c r="R38" s="91" t="str">
        <f t="shared" si="27"/>
        <v>Mgg1</v>
      </c>
      <c r="S38" s="307" t="str">
        <f t="shared" si="5"/>
        <v>BKK.7</v>
      </c>
      <c r="T38" s="307" t="str">
        <f t="shared" si="6"/>
        <v>Semen 3 Roda</v>
      </c>
      <c r="U38" s="315">
        <f t="shared" si="19"/>
        <v>45905</v>
      </c>
      <c r="V38" s="307">
        <f t="shared" si="25"/>
        <v>780000</v>
      </c>
      <c r="W38" s="307" t="str">
        <f>IFERROR(IF(V38&gt;0,PROPER(Terbilang1(V38)&amp;" Rupiah"),0),"")</f>
        <v>Tujuh Ratus Delapan Puluh Ribu Rupiah</v>
      </c>
      <c r="X38" s="90">
        <f t="shared" si="23"/>
        <v>15</v>
      </c>
      <c r="Y38" s="307" t="str">
        <f t="shared" si="24"/>
        <v>Sak</v>
      </c>
      <c r="Z38" s="307">
        <f t="shared" si="9"/>
        <v>0</v>
      </c>
      <c r="AA38" s="366">
        <f t="shared" si="10"/>
        <v>0</v>
      </c>
      <c r="AB38" s="367">
        <f t="shared" si="17"/>
        <v>0</v>
      </c>
      <c r="AC38" s="305">
        <f t="shared" si="18"/>
        <v>0</v>
      </c>
      <c r="AP38" s="89">
        <f t="shared" si="0"/>
        <v>1</v>
      </c>
      <c r="AQ38" s="89" t="str">
        <f t="shared" si="13"/>
        <v/>
      </c>
      <c r="AR38" s="315" t="str">
        <f t="shared" si="14"/>
        <v/>
      </c>
      <c r="AS38" s="305" t="str">
        <f t="shared" si="15"/>
        <v>0</v>
      </c>
      <c r="AT38" s="307">
        <f>Table22[[#This Row],[Column1]]</f>
        <v>0</v>
      </c>
    </row>
    <row r="39" spans="1:46" x14ac:dyDescent="0.3">
      <c r="A39" s="307" t="str">
        <f t="shared" si="1"/>
        <v>1.38</v>
      </c>
      <c r="B39" s="307" t="str">
        <f t="shared" si="26"/>
        <v>Jasa</v>
      </c>
      <c r="C39" s="308">
        <v>1</v>
      </c>
      <c r="D39" s="309">
        <v>45905</v>
      </c>
      <c r="E39" s="310" t="s">
        <v>652</v>
      </c>
      <c r="F39" s="310" t="s">
        <v>652</v>
      </c>
      <c r="G39" s="311" t="s">
        <v>481</v>
      </c>
      <c r="H39" s="310">
        <v>0</v>
      </c>
      <c r="I39" s="310">
        <v>2761410</v>
      </c>
      <c r="J39" s="310">
        <v>1</v>
      </c>
      <c r="K39" s="312">
        <v>2761410</v>
      </c>
      <c r="L39" s="310" t="s">
        <v>35</v>
      </c>
      <c r="M39" s="310">
        <v>2761410</v>
      </c>
      <c r="N39" s="313">
        <v>2761410</v>
      </c>
      <c r="O39" s="314" t="s">
        <v>653</v>
      </c>
      <c r="P39" s="307" t="str">
        <f t="shared" si="3"/>
        <v>Maa1</v>
      </c>
      <c r="R39" s="91" t="str">
        <f t="shared" si="27"/>
        <v>Maa1</v>
      </c>
      <c r="S39" s="307" t="str">
        <f t="shared" si="5"/>
        <v>BKK.8</v>
      </c>
      <c r="T39" s="307" t="str">
        <f t="shared" si="6"/>
        <v>Bayar Dana Perencanaan</v>
      </c>
      <c r="U39" s="315">
        <f t="shared" si="19"/>
        <v>45905</v>
      </c>
      <c r="V39" s="307">
        <f t="shared" si="25"/>
        <v>2761410</v>
      </c>
      <c r="W39" s="307" t="str">
        <f>IFERROR(IF(V39&gt;0,PROPER(Terbilang1(V39)&amp;" Rupiah"),0),"")</f>
        <v>Dua Juta Tujuh Ratus Enam Puluh Satu Ribu Empat Ratus Sepuluh Rupiah</v>
      </c>
      <c r="X39" s="90">
        <f t="shared" si="23"/>
        <v>1</v>
      </c>
      <c r="Y39" s="307">
        <f t="shared" si="24"/>
        <v>0</v>
      </c>
      <c r="Z39" s="307">
        <f t="shared" si="9"/>
        <v>96649.35</v>
      </c>
      <c r="AA39" s="366">
        <f t="shared" si="10"/>
        <v>96649.35</v>
      </c>
      <c r="AB39" s="367">
        <f t="shared" si="17"/>
        <v>0</v>
      </c>
      <c r="AC39" s="305" t="str">
        <f t="shared" si="18"/>
        <v>Terima PPh Pasal 4 ayat 2 (3,5 %) BKK.8</v>
      </c>
      <c r="AN39" s="75" t="str">
        <f>LEFT(AS39,16)</f>
        <v>Terima PPh Pasa</v>
      </c>
      <c r="AP39" s="89">
        <f t="shared" si="0"/>
        <v>1</v>
      </c>
      <c r="AQ39" s="89" t="str">
        <f>TEXT(AR39,"MM")</f>
        <v>09</v>
      </c>
      <c r="AR39" s="315">
        <f t="shared" si="14"/>
        <v>45905</v>
      </c>
      <c r="AS39" s="305" t="str">
        <f t="shared" si="15"/>
        <v>Terima PPh Pasa</v>
      </c>
      <c r="AT39" s="307">
        <f>Table22[[#This Row],[Column1]]</f>
        <v>96649.35</v>
      </c>
    </row>
    <row r="40" spans="1:46" x14ac:dyDescent="0.3">
      <c r="A40" s="307" t="str">
        <f t="shared" si="1"/>
        <v>1.39</v>
      </c>
      <c r="B40" s="307" t="str">
        <f t="shared" si="26"/>
        <v>Bayar Ongkos</v>
      </c>
      <c r="C40" s="308">
        <v>1</v>
      </c>
      <c r="D40" s="309">
        <v>45906</v>
      </c>
      <c r="E40" s="310" t="s">
        <v>499</v>
      </c>
      <c r="F40" s="310" t="s">
        <v>499</v>
      </c>
      <c r="G40" s="311" t="s">
        <v>654</v>
      </c>
      <c r="H40" s="310">
        <v>0</v>
      </c>
      <c r="I40" s="310">
        <v>1</v>
      </c>
      <c r="J40" s="310">
        <v>1</v>
      </c>
      <c r="K40" s="312">
        <v>1</v>
      </c>
      <c r="L40" s="310" t="s">
        <v>35</v>
      </c>
      <c r="M40" s="310">
        <v>5110000</v>
      </c>
      <c r="N40" s="313">
        <v>5110000</v>
      </c>
      <c r="O40" s="314" t="s">
        <v>655</v>
      </c>
      <c r="P40" s="307" t="str">
        <f t="shared" si="3"/>
        <v>Gaj1</v>
      </c>
      <c r="R40" s="91" t="str">
        <f t="shared" si="27"/>
        <v>Gaj1</v>
      </c>
      <c r="S40" s="307" t="str">
        <f t="shared" si="5"/>
        <v>BKK.9</v>
      </c>
      <c r="T40" s="307" t="str">
        <f t="shared" si="6"/>
        <v>Pembayaran Pekerja Minggu Ke 1</v>
      </c>
      <c r="U40" s="315">
        <f t="shared" si="19"/>
        <v>45906</v>
      </c>
      <c r="V40" s="307">
        <f t="shared" si="25"/>
        <v>5110000</v>
      </c>
      <c r="W40" s="307" t="str">
        <f>IFERROR(IF(V40&gt;0,PROPER(Terbilang1(V40)&amp;" Rupiah"),0),"")</f>
        <v>Lima Juta Seratus Sepuluh Ribu Rupiah</v>
      </c>
      <c r="X40" s="90">
        <f t="shared" si="23"/>
        <v>1</v>
      </c>
      <c r="Y40" s="307">
        <f t="shared" si="24"/>
        <v>0</v>
      </c>
      <c r="Z40" s="307">
        <f t="shared" si="9"/>
        <v>0</v>
      </c>
      <c r="AA40" s="366">
        <f t="shared" si="10"/>
        <v>0</v>
      </c>
      <c r="AB40" s="367">
        <f t="shared" si="17"/>
        <v>0</v>
      </c>
      <c r="AC40" s="305">
        <f t="shared" si="18"/>
        <v>0</v>
      </c>
      <c r="AP40" s="89">
        <f t="shared" si="0"/>
        <v>1</v>
      </c>
      <c r="AQ40" s="89" t="str">
        <f t="shared" ref="AQ40:AQ103" si="28">TEXT(AR40,"MM")</f>
        <v/>
      </c>
      <c r="AR40" s="315" t="str">
        <f t="shared" si="14"/>
        <v/>
      </c>
      <c r="AS40" s="305" t="str">
        <f t="shared" si="15"/>
        <v>0</v>
      </c>
      <c r="AT40" s="307">
        <f>Table22[[#This Row],[Column1]]</f>
        <v>0</v>
      </c>
    </row>
    <row r="41" spans="1:46" x14ac:dyDescent="0.3">
      <c r="A41" s="307" t="str">
        <f t="shared" si="1"/>
        <v>1.40</v>
      </c>
      <c r="B41" s="307" t="str">
        <f t="shared" si="26"/>
        <v>Beli</v>
      </c>
      <c r="C41" s="308">
        <v>1</v>
      </c>
      <c r="D41" s="309">
        <v>45908</v>
      </c>
      <c r="E41" s="310" t="s">
        <v>234</v>
      </c>
      <c r="F41" s="310" t="s">
        <v>579</v>
      </c>
      <c r="G41" s="311" t="s">
        <v>580</v>
      </c>
      <c r="H41" s="310" t="s">
        <v>577</v>
      </c>
      <c r="I41" s="310">
        <v>25000</v>
      </c>
      <c r="J41" s="310">
        <v>2</v>
      </c>
      <c r="K41" s="312">
        <v>50000</v>
      </c>
      <c r="L41" s="310" t="s">
        <v>39</v>
      </c>
      <c r="M41" s="310">
        <v>50000</v>
      </c>
      <c r="N41" s="313">
        <v>1284000</v>
      </c>
      <c r="O41" s="314" t="s">
        <v>656</v>
      </c>
      <c r="P41" s="307" t="str">
        <f t="shared" si="3"/>
        <v>Mgg2</v>
      </c>
      <c r="R41" s="91" t="str">
        <f t="shared" si="27"/>
        <v>Mgg2</v>
      </c>
      <c r="S41" s="307" t="str">
        <f t="shared" si="5"/>
        <v>BKK.10</v>
      </c>
      <c r="T41" s="307" t="str">
        <f t="shared" si="6"/>
        <v>Garuk Besar</v>
      </c>
      <c r="U41" s="315">
        <f t="shared" si="19"/>
        <v>45908</v>
      </c>
      <c r="V41" s="307">
        <f t="shared" si="25"/>
        <v>1284000</v>
      </c>
      <c r="W41" s="307" t="str">
        <f>IFERROR(IF(V41&gt;0,PROPER(Terbilang1(V41)&amp;" Rupiah"),0),"")</f>
        <v>Satu Juta Dua Ratus Delapan Puluh Empat Ribu Rupiah</v>
      </c>
      <c r="X41" s="90">
        <f t="shared" si="23"/>
        <v>2</v>
      </c>
      <c r="Y41" s="307" t="str">
        <f t="shared" si="24"/>
        <v>Pcs</v>
      </c>
      <c r="Z41" s="307">
        <f t="shared" si="9"/>
        <v>0</v>
      </c>
      <c r="AA41" s="366">
        <f t="shared" si="10"/>
        <v>0</v>
      </c>
      <c r="AB41" s="367">
        <f t="shared" si="17"/>
        <v>0</v>
      </c>
      <c r="AC41" s="305">
        <f t="shared" si="18"/>
        <v>0</v>
      </c>
      <c r="AP41" s="89">
        <f t="shared" si="0"/>
        <v>1</v>
      </c>
      <c r="AQ41" s="89" t="str">
        <f t="shared" si="28"/>
        <v/>
      </c>
      <c r="AR41" s="315" t="str">
        <f t="shared" si="14"/>
        <v/>
      </c>
      <c r="AS41" s="305" t="str">
        <f t="shared" si="15"/>
        <v>0</v>
      </c>
      <c r="AT41" s="307">
        <f>Table22[[#This Row],[Column1]]</f>
        <v>0</v>
      </c>
    </row>
    <row r="42" spans="1:46" x14ac:dyDescent="0.3">
      <c r="A42" s="307" t="str">
        <f t="shared" si="1"/>
        <v>1.41</v>
      </c>
      <c r="B42" s="307" t="str">
        <f t="shared" si="26"/>
        <v>Beli</v>
      </c>
      <c r="C42" s="308">
        <v>1</v>
      </c>
      <c r="D42" s="309" t="s">
        <v>563</v>
      </c>
      <c r="E42" s="310" t="s">
        <v>234</v>
      </c>
      <c r="F42" s="310" t="s">
        <v>622</v>
      </c>
      <c r="G42" s="311" t="s">
        <v>623</v>
      </c>
      <c r="H42" s="310" t="s">
        <v>577</v>
      </c>
      <c r="I42" s="310">
        <v>10000</v>
      </c>
      <c r="J42" s="310">
        <v>6</v>
      </c>
      <c r="K42" s="312">
        <v>60000</v>
      </c>
      <c r="L42" s="310" t="s">
        <v>39</v>
      </c>
      <c r="M42" s="310">
        <v>60000</v>
      </c>
      <c r="N42" s="313" t="s">
        <v>563</v>
      </c>
      <c r="O42" s="314" t="s">
        <v>563</v>
      </c>
      <c r="P42" s="307">
        <f t="shared" si="3"/>
        <v>0</v>
      </c>
      <c r="R42" s="91" t="str">
        <f t="shared" si="27"/>
        <v>Mgg2</v>
      </c>
      <c r="S42" s="307" t="str">
        <f t="shared" si="5"/>
        <v>BKK.10a</v>
      </c>
      <c r="T42" s="307" t="str">
        <f t="shared" si="6"/>
        <v>Kaleng Adiva</v>
      </c>
      <c r="U42" s="315" t="str">
        <f t="shared" si="19"/>
        <v/>
      </c>
      <c r="V42" s="307" t="str">
        <f t="shared" si="25"/>
        <v/>
      </c>
      <c r="W42" s="307" t="str">
        <f>IFERROR(IF(V42&gt;0,PROPER(Terbilang1(V42)&amp;" Rupiah"),0),"")</f>
        <v/>
      </c>
      <c r="X42" s="90">
        <f t="shared" si="23"/>
        <v>6</v>
      </c>
      <c r="Y42" s="307" t="str">
        <f t="shared" si="24"/>
        <v>Pcs</v>
      </c>
      <c r="Z42" s="307">
        <f t="shared" si="9"/>
        <v>0</v>
      </c>
      <c r="AA42" s="366">
        <f t="shared" si="10"/>
        <v>0</v>
      </c>
      <c r="AB42" s="367">
        <f t="shared" si="17"/>
        <v>0</v>
      </c>
      <c r="AC42" s="305">
        <f t="shared" si="18"/>
        <v>0</v>
      </c>
      <c r="AP42" s="89" t="str">
        <f t="shared" si="0"/>
        <v/>
      </c>
      <c r="AQ42" s="89" t="str">
        <f t="shared" si="28"/>
        <v/>
      </c>
      <c r="AR42" s="315" t="str">
        <f t="shared" si="14"/>
        <v/>
      </c>
      <c r="AS42" s="305" t="str">
        <f t="shared" si="15"/>
        <v>0</v>
      </c>
      <c r="AT42" s="307">
        <f>Table22[[#This Row],[Column1]]</f>
        <v>0</v>
      </c>
    </row>
    <row r="43" spans="1:46" x14ac:dyDescent="0.3">
      <c r="A43" s="307" t="str">
        <f t="shared" si="1"/>
        <v>1.42</v>
      </c>
      <c r="B43" s="307" t="str">
        <f t="shared" si="26"/>
        <v>Beli</v>
      </c>
      <c r="C43" s="308">
        <v>1</v>
      </c>
      <c r="D43" s="309" t="s">
        <v>563</v>
      </c>
      <c r="E43" s="310" t="s">
        <v>234</v>
      </c>
      <c r="F43" s="310" t="s">
        <v>657</v>
      </c>
      <c r="G43" s="311" t="s">
        <v>658</v>
      </c>
      <c r="H43" s="310" t="s">
        <v>628</v>
      </c>
      <c r="I43" s="310">
        <v>25000</v>
      </c>
      <c r="J43" s="310">
        <v>20</v>
      </c>
      <c r="K43" s="312">
        <v>500000</v>
      </c>
      <c r="L43" s="310" t="s">
        <v>38</v>
      </c>
      <c r="M43" s="310">
        <v>500000</v>
      </c>
      <c r="N43" s="313" t="s">
        <v>563</v>
      </c>
      <c r="O43" s="314" t="s">
        <v>563</v>
      </c>
      <c r="P43" s="307">
        <f t="shared" si="3"/>
        <v>0</v>
      </c>
      <c r="R43" s="91" t="str">
        <f t="shared" si="27"/>
        <v>Mgg2</v>
      </c>
      <c r="S43" s="307" t="str">
        <f t="shared" si="5"/>
        <v>BKK.10aa</v>
      </c>
      <c r="T43" s="307" t="str">
        <f t="shared" si="6"/>
        <v>Bambu</v>
      </c>
      <c r="U43" s="315" t="str">
        <f t="shared" si="19"/>
        <v/>
      </c>
      <c r="V43" s="307" t="str">
        <f t="shared" si="25"/>
        <v/>
      </c>
      <c r="W43" s="307" t="str">
        <f>IFERROR(IF(V43&gt;0,PROPER(Terbilang1(V43)&amp;" Rupiah"),0),"")</f>
        <v/>
      </c>
      <c r="X43" s="90">
        <f t="shared" si="23"/>
        <v>20</v>
      </c>
      <c r="Y43" s="307" t="str">
        <f t="shared" si="24"/>
        <v>Ljr</v>
      </c>
      <c r="Z43" s="307">
        <f t="shared" si="9"/>
        <v>0</v>
      </c>
      <c r="AA43" s="366">
        <f t="shared" si="10"/>
        <v>0</v>
      </c>
      <c r="AB43" s="367">
        <f t="shared" si="17"/>
        <v>0</v>
      </c>
      <c r="AC43" s="305">
        <f t="shared" si="18"/>
        <v>0</v>
      </c>
      <c r="AP43" s="89" t="str">
        <f t="shared" si="0"/>
        <v/>
      </c>
      <c r="AQ43" s="89" t="str">
        <f t="shared" si="28"/>
        <v/>
      </c>
      <c r="AR43" s="315" t="str">
        <f t="shared" si="14"/>
        <v/>
      </c>
      <c r="AS43" s="305" t="str">
        <f t="shared" si="15"/>
        <v>0</v>
      </c>
      <c r="AT43" s="307">
        <f>Table22[[#This Row],[Column1]]</f>
        <v>0</v>
      </c>
    </row>
    <row r="44" spans="1:46" x14ac:dyDescent="0.3">
      <c r="A44" s="307" t="str">
        <f t="shared" si="1"/>
        <v>1.43</v>
      </c>
      <c r="B44" s="307" t="str">
        <f t="shared" si="26"/>
        <v>Beli</v>
      </c>
      <c r="C44" s="308">
        <v>1</v>
      </c>
      <c r="D44" s="309" t="s">
        <v>563</v>
      </c>
      <c r="E44" s="310" t="s">
        <v>234</v>
      </c>
      <c r="F44" s="310" t="s">
        <v>587</v>
      </c>
      <c r="G44" s="311" t="s">
        <v>588</v>
      </c>
      <c r="H44" s="310" t="s">
        <v>589</v>
      </c>
      <c r="I44" s="310">
        <v>20000</v>
      </c>
      <c r="J44" s="310">
        <v>4</v>
      </c>
      <c r="K44" s="312">
        <v>80000</v>
      </c>
      <c r="L44" s="310" t="s">
        <v>38</v>
      </c>
      <c r="M44" s="310">
        <v>80000</v>
      </c>
      <c r="N44" s="313" t="s">
        <v>563</v>
      </c>
      <c r="O44" s="314" t="s">
        <v>563</v>
      </c>
      <c r="P44" s="307">
        <f t="shared" si="3"/>
        <v>0</v>
      </c>
      <c r="R44" s="91" t="str">
        <f t="shared" si="27"/>
        <v>Mgg2</v>
      </c>
      <c r="S44" s="307" t="str">
        <f t="shared" si="5"/>
        <v>BKK.10aaa</v>
      </c>
      <c r="T44" s="307" t="str">
        <f t="shared" si="6"/>
        <v>Paku 1 1/2</v>
      </c>
      <c r="U44" s="315" t="str">
        <f t="shared" si="19"/>
        <v/>
      </c>
      <c r="V44" s="307" t="str">
        <f t="shared" si="25"/>
        <v/>
      </c>
      <c r="W44" s="307" t="str">
        <f>IFERROR(IF(V44&gt;0,PROPER(Terbilang1(V44)&amp;" Rupiah"),0),"")</f>
        <v/>
      </c>
      <c r="X44" s="90">
        <f t="shared" si="23"/>
        <v>4</v>
      </c>
      <c r="Y44" s="307" t="str">
        <f t="shared" si="24"/>
        <v>kg</v>
      </c>
      <c r="Z44" s="307">
        <f t="shared" si="9"/>
        <v>0</v>
      </c>
      <c r="AA44" s="366">
        <f t="shared" si="10"/>
        <v>0</v>
      </c>
      <c r="AB44" s="367">
        <f t="shared" si="17"/>
        <v>0</v>
      </c>
      <c r="AC44" s="305">
        <f t="shared" si="18"/>
        <v>0</v>
      </c>
      <c r="AP44" s="89" t="str">
        <f t="shared" si="0"/>
        <v/>
      </c>
      <c r="AQ44" s="89" t="str">
        <f t="shared" si="28"/>
        <v/>
      </c>
      <c r="AR44" s="315" t="str">
        <f t="shared" si="14"/>
        <v/>
      </c>
      <c r="AS44" s="305" t="str">
        <f t="shared" si="15"/>
        <v>0</v>
      </c>
      <c r="AT44" s="307">
        <f>Table22[[#This Row],[Column1]]</f>
        <v>0</v>
      </c>
    </row>
    <row r="45" spans="1:46" x14ac:dyDescent="0.3">
      <c r="A45" s="307" t="str">
        <f t="shared" si="1"/>
        <v>1.44</v>
      </c>
      <c r="B45" s="307" t="str">
        <f t="shared" si="26"/>
        <v>Beli</v>
      </c>
      <c r="C45" s="308">
        <v>1</v>
      </c>
      <c r="D45" s="309" t="s">
        <v>563</v>
      </c>
      <c r="E45" s="310" t="s">
        <v>234</v>
      </c>
      <c r="F45" s="310" t="s">
        <v>631</v>
      </c>
      <c r="G45" s="311" t="s">
        <v>632</v>
      </c>
      <c r="H45" s="310" t="s">
        <v>633</v>
      </c>
      <c r="I45" s="310">
        <v>230000</v>
      </c>
      <c r="J45" s="310">
        <v>1</v>
      </c>
      <c r="K45" s="312">
        <v>230000</v>
      </c>
      <c r="L45" s="310" t="s">
        <v>38</v>
      </c>
      <c r="M45" s="310">
        <v>230000</v>
      </c>
      <c r="N45" s="313" t="s">
        <v>563</v>
      </c>
      <c r="O45" s="314" t="s">
        <v>563</v>
      </c>
      <c r="P45" s="307">
        <f t="shared" si="3"/>
        <v>0</v>
      </c>
      <c r="R45" s="91" t="str">
        <f t="shared" si="27"/>
        <v>Mgg2</v>
      </c>
      <c r="S45" s="307" t="str">
        <f t="shared" si="5"/>
        <v>BKK.10aaaa</v>
      </c>
      <c r="T45" s="307" t="str">
        <f t="shared" si="6"/>
        <v>Pasir Biasa L300</v>
      </c>
      <c r="U45" s="315" t="str">
        <f t="shared" si="19"/>
        <v/>
      </c>
      <c r="V45" s="307" t="str">
        <f t="shared" si="25"/>
        <v/>
      </c>
      <c r="W45" s="307" t="str">
        <f>IFERROR(IF(V45&gt;0,PROPER(Terbilang1(V45)&amp;" Rupiah"),0),"")</f>
        <v/>
      </c>
      <c r="X45" s="90">
        <f t="shared" si="23"/>
        <v>1</v>
      </c>
      <c r="Y45" s="307" t="str">
        <f t="shared" si="24"/>
        <v>Pik Up</v>
      </c>
      <c r="Z45" s="307">
        <f t="shared" si="9"/>
        <v>0</v>
      </c>
      <c r="AA45" s="366">
        <f t="shared" si="10"/>
        <v>0</v>
      </c>
      <c r="AB45" s="367">
        <f t="shared" si="17"/>
        <v>0</v>
      </c>
      <c r="AC45" s="305">
        <f t="shared" si="18"/>
        <v>0</v>
      </c>
      <c r="AP45" s="89" t="str">
        <f t="shared" si="0"/>
        <v/>
      </c>
      <c r="AQ45" s="89" t="str">
        <f t="shared" si="28"/>
        <v/>
      </c>
      <c r="AR45" s="315" t="str">
        <f t="shared" si="14"/>
        <v/>
      </c>
      <c r="AS45" s="305" t="str">
        <f t="shared" si="15"/>
        <v>0</v>
      </c>
      <c r="AT45" s="307">
        <f>Table22[[#This Row],[Column1]]</f>
        <v>0</v>
      </c>
    </row>
    <row r="46" spans="1:46" x14ac:dyDescent="0.3">
      <c r="A46" s="307" t="str">
        <f t="shared" si="1"/>
        <v>1.45</v>
      </c>
      <c r="B46" s="307" t="str">
        <f t="shared" si="26"/>
        <v>Beli</v>
      </c>
      <c r="C46" s="308">
        <v>1</v>
      </c>
      <c r="D46" s="309" t="s">
        <v>563</v>
      </c>
      <c r="E46" s="310" t="s">
        <v>234</v>
      </c>
      <c r="F46" s="310" t="s">
        <v>649</v>
      </c>
      <c r="G46" s="311" t="s">
        <v>650</v>
      </c>
      <c r="H46" s="310" t="s">
        <v>648</v>
      </c>
      <c r="I46" s="310">
        <v>52000</v>
      </c>
      <c r="J46" s="310">
        <v>7</v>
      </c>
      <c r="K46" s="312">
        <v>364000</v>
      </c>
      <c r="L46" s="310" t="s">
        <v>38</v>
      </c>
      <c r="M46" s="310">
        <v>364000</v>
      </c>
      <c r="N46" s="313" t="s">
        <v>563</v>
      </c>
      <c r="O46" s="314" t="s">
        <v>563</v>
      </c>
      <c r="P46" s="307">
        <f t="shared" si="3"/>
        <v>0</v>
      </c>
      <c r="R46" s="91" t="str">
        <f t="shared" si="27"/>
        <v>Mgg2</v>
      </c>
      <c r="S46" s="307" t="str">
        <f t="shared" si="5"/>
        <v>BKK.10aaaaa</v>
      </c>
      <c r="T46" s="307" t="str">
        <f t="shared" si="6"/>
        <v>Semen 3 Roda</v>
      </c>
      <c r="U46" s="315" t="str">
        <f t="shared" si="19"/>
        <v/>
      </c>
      <c r="V46" s="307" t="str">
        <f t="shared" si="25"/>
        <v/>
      </c>
      <c r="W46" s="307" t="str">
        <f>IFERROR(IF(V46&gt;0,PROPER(Terbilang1(V46)&amp;" Rupiah"),0),"")</f>
        <v/>
      </c>
      <c r="X46" s="90">
        <f t="shared" si="23"/>
        <v>7</v>
      </c>
      <c r="Y46" s="307" t="str">
        <f t="shared" si="24"/>
        <v>Sak</v>
      </c>
      <c r="Z46" s="307">
        <f t="shared" si="9"/>
        <v>0</v>
      </c>
      <c r="AA46" s="366">
        <f t="shared" si="10"/>
        <v>0</v>
      </c>
      <c r="AB46" s="367">
        <f t="shared" si="17"/>
        <v>0</v>
      </c>
      <c r="AC46" s="305">
        <f t="shared" si="18"/>
        <v>0</v>
      </c>
      <c r="AP46" s="89" t="str">
        <f t="shared" si="0"/>
        <v/>
      </c>
      <c r="AQ46" s="89" t="str">
        <f t="shared" si="28"/>
        <v/>
      </c>
      <c r="AR46" s="315" t="str">
        <f t="shared" si="14"/>
        <v/>
      </c>
      <c r="AS46" s="305" t="str">
        <f t="shared" si="15"/>
        <v>0</v>
      </c>
      <c r="AT46" s="307">
        <f>Table22[[#This Row],[Column1]]</f>
        <v>0</v>
      </c>
    </row>
    <row r="47" spans="1:46" x14ac:dyDescent="0.3">
      <c r="A47" s="307" t="str">
        <f t="shared" si="1"/>
        <v>1.46</v>
      </c>
      <c r="B47" s="307" t="str">
        <f t="shared" si="26"/>
        <v>Beli</v>
      </c>
      <c r="C47" s="308">
        <v>1</v>
      </c>
      <c r="D47" s="309">
        <v>45909</v>
      </c>
      <c r="E47" s="310" t="s">
        <v>234</v>
      </c>
      <c r="F47" s="310" t="s">
        <v>642</v>
      </c>
      <c r="G47" s="311" t="s">
        <v>643</v>
      </c>
      <c r="H47" s="310" t="s">
        <v>633</v>
      </c>
      <c r="I47" s="310">
        <v>350000</v>
      </c>
      <c r="J47" s="310">
        <v>1</v>
      </c>
      <c r="K47" s="312">
        <v>350000</v>
      </c>
      <c r="L47" s="310" t="s">
        <v>38</v>
      </c>
      <c r="M47" s="310">
        <v>350000</v>
      </c>
      <c r="N47" s="313">
        <v>1818000</v>
      </c>
      <c r="O47" s="314" t="s">
        <v>659</v>
      </c>
      <c r="P47" s="307" t="str">
        <f t="shared" si="3"/>
        <v>Mgg2</v>
      </c>
      <c r="R47" s="91" t="str">
        <f t="shared" si="27"/>
        <v>Mgg2</v>
      </c>
      <c r="S47" s="307" t="str">
        <f t="shared" si="5"/>
        <v>BKK.11</v>
      </c>
      <c r="T47" s="307" t="str">
        <f t="shared" si="6"/>
        <v>Koral L300</v>
      </c>
      <c r="U47" s="315">
        <f t="shared" si="19"/>
        <v>45909</v>
      </c>
      <c r="V47" s="307">
        <f t="shared" si="25"/>
        <v>1818000</v>
      </c>
      <c r="W47" s="307" t="str">
        <f>IFERROR(IF(V47&gt;0,PROPER(Terbilang1(V47)&amp;" Rupiah"),0),"")</f>
        <v>Satu Juta Delapan Ratus Delapan Belas Ribu Rupiah</v>
      </c>
      <c r="X47" s="90">
        <f t="shared" si="23"/>
        <v>1</v>
      </c>
      <c r="Y47" s="307" t="str">
        <f t="shared" si="24"/>
        <v>Pik Up</v>
      </c>
      <c r="Z47" s="307">
        <f t="shared" si="9"/>
        <v>0</v>
      </c>
      <c r="AA47" s="366">
        <f t="shared" si="10"/>
        <v>0</v>
      </c>
      <c r="AB47" s="367">
        <f t="shared" si="17"/>
        <v>0</v>
      </c>
      <c r="AC47" s="305">
        <f t="shared" si="18"/>
        <v>0</v>
      </c>
      <c r="AP47" s="89">
        <f t="shared" si="0"/>
        <v>1</v>
      </c>
      <c r="AQ47" s="89" t="str">
        <f t="shared" si="28"/>
        <v/>
      </c>
      <c r="AR47" s="315" t="str">
        <f t="shared" si="14"/>
        <v/>
      </c>
      <c r="AS47" s="305" t="str">
        <f t="shared" si="15"/>
        <v>0</v>
      </c>
      <c r="AT47" s="307">
        <f>Table22[[#This Row],[Column1]]</f>
        <v>0</v>
      </c>
    </row>
    <row r="48" spans="1:46" x14ac:dyDescent="0.3">
      <c r="A48" s="307" t="str">
        <f t="shared" si="1"/>
        <v>1.47</v>
      </c>
      <c r="B48" s="307" t="str">
        <f t="shared" si="26"/>
        <v>Beli</v>
      </c>
      <c r="C48" s="308">
        <v>1</v>
      </c>
      <c r="D48" s="309" t="s">
        <v>563</v>
      </c>
      <c r="E48" s="310" t="s">
        <v>234</v>
      </c>
      <c r="F48" s="310" t="s">
        <v>660</v>
      </c>
      <c r="G48" s="311" t="s">
        <v>661</v>
      </c>
      <c r="H48" s="310" t="s">
        <v>589</v>
      </c>
      <c r="I48" s="310">
        <v>22000</v>
      </c>
      <c r="J48" s="310">
        <v>5</v>
      </c>
      <c r="K48" s="312">
        <v>110000</v>
      </c>
      <c r="L48" s="310" t="s">
        <v>38</v>
      </c>
      <c r="M48" s="310">
        <v>110000</v>
      </c>
      <c r="N48" s="313" t="s">
        <v>563</v>
      </c>
      <c r="O48" s="314" t="s">
        <v>563</v>
      </c>
      <c r="P48" s="307">
        <f t="shared" si="3"/>
        <v>0</v>
      </c>
      <c r="R48" s="91" t="str">
        <f t="shared" si="27"/>
        <v>Mgg2</v>
      </c>
      <c r="S48" s="307" t="str">
        <f t="shared" si="5"/>
        <v>BKK.11a</v>
      </c>
      <c r="T48" s="307" t="str">
        <f t="shared" si="6"/>
        <v>Bendrat Spq</v>
      </c>
      <c r="U48" s="315" t="str">
        <f t="shared" si="19"/>
        <v/>
      </c>
      <c r="V48" s="307" t="str">
        <f t="shared" si="25"/>
        <v/>
      </c>
      <c r="W48" s="307" t="str">
        <f>IFERROR(IF(V48&gt;0,PROPER(Terbilang1(V48)&amp;" Rupiah"),0),"")</f>
        <v/>
      </c>
      <c r="X48" s="90">
        <f t="shared" si="23"/>
        <v>5</v>
      </c>
      <c r="Y48" s="307" t="str">
        <f t="shared" si="24"/>
        <v>kg</v>
      </c>
      <c r="Z48" s="307">
        <f t="shared" si="9"/>
        <v>0</v>
      </c>
      <c r="AA48" s="366">
        <f t="shared" si="10"/>
        <v>0</v>
      </c>
      <c r="AB48" s="367">
        <f t="shared" si="17"/>
        <v>0</v>
      </c>
      <c r="AC48" s="305">
        <f t="shared" si="18"/>
        <v>0</v>
      </c>
      <c r="AP48" s="89" t="str">
        <f t="shared" si="0"/>
        <v/>
      </c>
      <c r="AQ48" s="89" t="str">
        <f t="shared" si="28"/>
        <v/>
      </c>
      <c r="AR48" s="315" t="str">
        <f t="shared" si="14"/>
        <v/>
      </c>
      <c r="AS48" s="305" t="str">
        <f t="shared" si="15"/>
        <v>0</v>
      </c>
      <c r="AT48" s="307">
        <f>Table22[[#This Row],[Column1]]</f>
        <v>0</v>
      </c>
    </row>
    <row r="49" spans="1:46" x14ac:dyDescent="0.3">
      <c r="A49" s="307" t="str">
        <f t="shared" si="1"/>
        <v>1.48</v>
      </c>
      <c r="B49" s="307" t="str">
        <f t="shared" si="26"/>
        <v>Beli</v>
      </c>
      <c r="C49" s="308">
        <v>1</v>
      </c>
      <c r="D49" s="309" t="s">
        <v>563</v>
      </c>
      <c r="E49" s="310" t="s">
        <v>234</v>
      </c>
      <c r="F49" s="310" t="s">
        <v>662</v>
      </c>
      <c r="G49" s="311" t="s">
        <v>663</v>
      </c>
      <c r="H49" s="310" t="s">
        <v>628</v>
      </c>
      <c r="I49" s="310">
        <v>46000</v>
      </c>
      <c r="J49" s="310">
        <v>20</v>
      </c>
      <c r="K49" s="312">
        <v>920000</v>
      </c>
      <c r="L49" s="310" t="s">
        <v>38</v>
      </c>
      <c r="M49" s="310">
        <v>920000</v>
      </c>
      <c r="N49" s="313" t="s">
        <v>563</v>
      </c>
      <c r="O49" s="314" t="s">
        <v>563</v>
      </c>
      <c r="P49" s="307">
        <f t="shared" si="3"/>
        <v>0</v>
      </c>
      <c r="R49" s="91" t="str">
        <f t="shared" si="27"/>
        <v>Mgg2</v>
      </c>
      <c r="S49" s="307" t="str">
        <f t="shared" si="5"/>
        <v>BKK.11aa</v>
      </c>
      <c r="T49" s="307" t="str">
        <f t="shared" si="6"/>
        <v>Besi 8.0 Sni</v>
      </c>
      <c r="U49" s="315" t="str">
        <f t="shared" si="19"/>
        <v/>
      </c>
      <c r="V49" s="307" t="str">
        <f t="shared" si="25"/>
        <v/>
      </c>
      <c r="W49" s="307" t="str">
        <f>IFERROR(IF(V49&gt;0,PROPER(Terbilang1(V49)&amp;" Rupiah"),0),"")</f>
        <v/>
      </c>
      <c r="X49" s="90">
        <f t="shared" si="23"/>
        <v>20</v>
      </c>
      <c r="Y49" s="307" t="str">
        <f t="shared" si="24"/>
        <v>Ljr</v>
      </c>
      <c r="Z49" s="307">
        <f t="shared" si="9"/>
        <v>0</v>
      </c>
      <c r="AA49" s="366">
        <f t="shared" si="10"/>
        <v>0</v>
      </c>
      <c r="AB49" s="367">
        <f t="shared" si="17"/>
        <v>0</v>
      </c>
      <c r="AC49" s="305">
        <f t="shared" si="18"/>
        <v>0</v>
      </c>
      <c r="AP49" s="89" t="str">
        <f t="shared" si="0"/>
        <v/>
      </c>
      <c r="AQ49" s="89" t="str">
        <f t="shared" si="28"/>
        <v/>
      </c>
      <c r="AR49" s="315" t="str">
        <f t="shared" si="14"/>
        <v/>
      </c>
      <c r="AS49" s="305" t="str">
        <f t="shared" si="15"/>
        <v>0</v>
      </c>
      <c r="AT49" s="307">
        <f>Table22[[#This Row],[Column1]]</f>
        <v>0</v>
      </c>
    </row>
    <row r="50" spans="1:46" x14ac:dyDescent="0.3">
      <c r="A50" s="307" t="str">
        <f t="shared" si="1"/>
        <v>1.49</v>
      </c>
      <c r="B50" s="307" t="str">
        <f t="shared" si="26"/>
        <v>Beli</v>
      </c>
      <c r="C50" s="308">
        <v>1</v>
      </c>
      <c r="D50" s="309" t="s">
        <v>563</v>
      </c>
      <c r="E50" s="310" t="s">
        <v>234</v>
      </c>
      <c r="F50" s="310" t="s">
        <v>664</v>
      </c>
      <c r="G50" s="311" t="s">
        <v>665</v>
      </c>
      <c r="H50" s="310" t="s">
        <v>628</v>
      </c>
      <c r="I50" s="310">
        <v>73000</v>
      </c>
      <c r="J50" s="310">
        <v>6</v>
      </c>
      <c r="K50" s="312">
        <v>438000</v>
      </c>
      <c r="L50" s="310" t="s">
        <v>38</v>
      </c>
      <c r="M50" s="310">
        <v>438000</v>
      </c>
      <c r="N50" s="313" t="s">
        <v>563</v>
      </c>
      <c r="O50" s="314" t="s">
        <v>563</v>
      </c>
      <c r="P50" s="307">
        <f t="shared" si="3"/>
        <v>0</v>
      </c>
      <c r="R50" s="91" t="str">
        <f t="shared" si="27"/>
        <v>Mgg2</v>
      </c>
      <c r="S50" s="307" t="str">
        <f t="shared" si="5"/>
        <v>BKK.11aaa</v>
      </c>
      <c r="T50" s="307" t="str">
        <f t="shared" si="6"/>
        <v>Besi Sni 10.0</v>
      </c>
      <c r="U50" s="315" t="str">
        <f t="shared" si="19"/>
        <v/>
      </c>
      <c r="V50" s="307" t="str">
        <f t="shared" si="25"/>
        <v/>
      </c>
      <c r="W50" s="307" t="str">
        <f>IFERROR(IF(V50&gt;0,PROPER(Terbilang1(V50)&amp;" Rupiah"),0),"")</f>
        <v/>
      </c>
      <c r="X50" s="90">
        <f t="shared" si="23"/>
        <v>6</v>
      </c>
      <c r="Y50" s="307" t="str">
        <f t="shared" si="24"/>
        <v>Ljr</v>
      </c>
      <c r="Z50" s="307">
        <f t="shared" si="9"/>
        <v>0</v>
      </c>
      <c r="AA50" s="366">
        <f t="shared" si="10"/>
        <v>0</v>
      </c>
      <c r="AB50" s="367">
        <f t="shared" si="17"/>
        <v>0</v>
      </c>
      <c r="AC50" s="305">
        <f t="shared" si="18"/>
        <v>0</v>
      </c>
      <c r="AP50" s="89" t="str">
        <f t="shared" si="0"/>
        <v/>
      </c>
      <c r="AQ50" s="89" t="str">
        <f t="shared" si="28"/>
        <v/>
      </c>
      <c r="AR50" s="315" t="str">
        <f t="shared" si="14"/>
        <v/>
      </c>
      <c r="AS50" s="305" t="str">
        <f t="shared" si="15"/>
        <v>0</v>
      </c>
      <c r="AT50" s="307">
        <f>Table22[[#This Row],[Column1]]</f>
        <v>0</v>
      </c>
    </row>
    <row r="51" spans="1:46" x14ac:dyDescent="0.3">
      <c r="A51" s="307" t="str">
        <f t="shared" si="1"/>
        <v>1.50</v>
      </c>
      <c r="B51" s="307" t="str">
        <f t="shared" si="26"/>
        <v>Beli</v>
      </c>
      <c r="C51" s="308">
        <v>1</v>
      </c>
      <c r="D51" s="309">
        <v>45910</v>
      </c>
      <c r="E51" s="310" t="s">
        <v>234</v>
      </c>
      <c r="F51" s="310" t="s">
        <v>664</v>
      </c>
      <c r="G51" s="311" t="s">
        <v>665</v>
      </c>
      <c r="H51" s="310" t="s">
        <v>628</v>
      </c>
      <c r="I51" s="310">
        <v>73000</v>
      </c>
      <c r="J51" s="310">
        <v>10</v>
      </c>
      <c r="K51" s="312">
        <v>730000</v>
      </c>
      <c r="L51" s="310" t="s">
        <v>38</v>
      </c>
      <c r="M51" s="310">
        <v>730000</v>
      </c>
      <c r="N51" s="313">
        <v>1510000</v>
      </c>
      <c r="O51" s="314" t="s">
        <v>666</v>
      </c>
      <c r="P51" s="307" t="str">
        <f t="shared" si="3"/>
        <v>Mgg2</v>
      </c>
      <c r="R51" s="91" t="str">
        <f t="shared" si="27"/>
        <v>Mgg2</v>
      </c>
      <c r="S51" s="307" t="str">
        <f t="shared" si="5"/>
        <v>BKK.12</v>
      </c>
      <c r="T51" s="307" t="str">
        <f t="shared" si="6"/>
        <v>Besi Sni 10.0</v>
      </c>
      <c r="U51" s="315">
        <f t="shared" si="19"/>
        <v>45910</v>
      </c>
      <c r="V51" s="307">
        <f t="shared" si="25"/>
        <v>1510000</v>
      </c>
      <c r="W51" s="307" t="str">
        <f>IFERROR(IF(V51&gt;0,PROPER(Terbilang1(V51)&amp;" Rupiah"),0),"")</f>
        <v>Satu Juta Lima Ratus Sepuluh Ribu Rupiah</v>
      </c>
      <c r="X51" s="90">
        <f t="shared" si="23"/>
        <v>10</v>
      </c>
      <c r="Y51" s="307" t="str">
        <f t="shared" si="24"/>
        <v>Ljr</v>
      </c>
      <c r="Z51" s="307">
        <f t="shared" si="9"/>
        <v>0</v>
      </c>
      <c r="AA51" s="366">
        <f t="shared" si="10"/>
        <v>0</v>
      </c>
      <c r="AB51" s="367">
        <f t="shared" si="17"/>
        <v>0</v>
      </c>
      <c r="AC51" s="305">
        <f t="shared" si="18"/>
        <v>0</v>
      </c>
      <c r="AP51" s="89">
        <f t="shared" si="0"/>
        <v>1</v>
      </c>
      <c r="AQ51" s="89" t="str">
        <f t="shared" si="28"/>
        <v/>
      </c>
      <c r="AR51" s="315" t="str">
        <f t="shared" si="14"/>
        <v/>
      </c>
      <c r="AS51" s="305" t="str">
        <f t="shared" si="15"/>
        <v>0</v>
      </c>
      <c r="AT51" s="307">
        <f>Table22[[#This Row],[Column1]]</f>
        <v>0</v>
      </c>
    </row>
    <row r="52" spans="1:46" x14ac:dyDescent="0.3">
      <c r="A52" s="307" t="str">
        <f t="shared" si="1"/>
        <v>1.51</v>
      </c>
      <c r="B52" s="307" t="str">
        <f t="shared" si="26"/>
        <v>Beli</v>
      </c>
      <c r="C52" s="308">
        <v>1</v>
      </c>
      <c r="D52" s="309" t="s">
        <v>563</v>
      </c>
      <c r="E52" s="310" t="s">
        <v>234</v>
      </c>
      <c r="F52" s="310" t="s">
        <v>649</v>
      </c>
      <c r="G52" s="311" t="s">
        <v>650</v>
      </c>
      <c r="H52" s="310" t="s">
        <v>648</v>
      </c>
      <c r="I52" s="310">
        <v>52000</v>
      </c>
      <c r="J52" s="310">
        <v>15</v>
      </c>
      <c r="K52" s="312">
        <v>780000</v>
      </c>
      <c r="L52" s="310" t="s">
        <v>38</v>
      </c>
      <c r="M52" s="310">
        <v>780000</v>
      </c>
      <c r="N52" s="313" t="s">
        <v>563</v>
      </c>
      <c r="O52" s="314" t="s">
        <v>563</v>
      </c>
      <c r="P52" s="307">
        <f t="shared" si="3"/>
        <v>0</v>
      </c>
      <c r="R52" s="91" t="str">
        <f t="shared" si="27"/>
        <v>Mgg2</v>
      </c>
      <c r="S52" s="307" t="str">
        <f t="shared" si="5"/>
        <v>BKK.12a</v>
      </c>
      <c r="T52" s="307" t="str">
        <f t="shared" si="6"/>
        <v>Semen 3 Roda</v>
      </c>
      <c r="U52" s="315" t="str">
        <f t="shared" si="19"/>
        <v/>
      </c>
      <c r="V52" s="307" t="str">
        <f t="shared" si="25"/>
        <v/>
      </c>
      <c r="W52" s="307" t="str">
        <f>IFERROR(IF(V52&gt;0,PROPER(Terbilang1(V52)&amp;" Rupiah"),0),"")</f>
        <v/>
      </c>
      <c r="X52" s="90">
        <f t="shared" si="23"/>
        <v>15</v>
      </c>
      <c r="Y52" s="307" t="str">
        <f t="shared" si="24"/>
        <v>Sak</v>
      </c>
      <c r="Z52" s="307">
        <f t="shared" si="9"/>
        <v>0</v>
      </c>
      <c r="AA52" s="366">
        <f t="shared" si="10"/>
        <v>0</v>
      </c>
      <c r="AB52" s="367">
        <f t="shared" si="17"/>
        <v>0</v>
      </c>
      <c r="AC52" s="305">
        <f t="shared" si="18"/>
        <v>0</v>
      </c>
      <c r="AP52" s="89" t="str">
        <f t="shared" si="0"/>
        <v/>
      </c>
      <c r="AQ52" s="89" t="str">
        <f t="shared" si="28"/>
        <v/>
      </c>
      <c r="AR52" s="315" t="str">
        <f t="shared" si="14"/>
        <v/>
      </c>
      <c r="AS52" s="305" t="str">
        <f t="shared" si="15"/>
        <v>0</v>
      </c>
      <c r="AT52" s="307">
        <f>Table22[[#This Row],[Column1]]</f>
        <v>0</v>
      </c>
    </row>
    <row r="53" spans="1:46" x14ac:dyDescent="0.3">
      <c r="A53" s="307" t="str">
        <f t="shared" si="1"/>
        <v>1.52</v>
      </c>
      <c r="B53" s="307" t="str">
        <f t="shared" si="26"/>
        <v>Beli</v>
      </c>
      <c r="C53" s="308">
        <v>1</v>
      </c>
      <c r="D53" s="309">
        <v>45911</v>
      </c>
      <c r="E53" s="310" t="s">
        <v>234</v>
      </c>
      <c r="F53" s="310" t="s">
        <v>642</v>
      </c>
      <c r="G53" s="311" t="s">
        <v>643</v>
      </c>
      <c r="H53" s="310" t="s">
        <v>633</v>
      </c>
      <c r="I53" s="310">
        <v>350000</v>
      </c>
      <c r="J53" s="310">
        <v>1</v>
      </c>
      <c r="K53" s="312">
        <v>350000</v>
      </c>
      <c r="L53" s="310" t="s">
        <v>38</v>
      </c>
      <c r="M53" s="310">
        <v>350000</v>
      </c>
      <c r="N53" s="313">
        <v>1940000</v>
      </c>
      <c r="O53" s="314" t="s">
        <v>667</v>
      </c>
      <c r="P53" s="307" t="str">
        <f t="shared" si="3"/>
        <v>Mgg2</v>
      </c>
      <c r="R53" s="91" t="str">
        <f t="shared" si="27"/>
        <v>Mgg2</v>
      </c>
      <c r="S53" s="307" t="str">
        <f t="shared" si="5"/>
        <v>BKK.13</v>
      </c>
      <c r="T53" s="307" t="str">
        <f t="shared" si="6"/>
        <v>Koral L300</v>
      </c>
      <c r="U53" s="315">
        <f t="shared" si="19"/>
        <v>45911</v>
      </c>
      <c r="V53" s="307">
        <f t="shared" si="25"/>
        <v>1940000</v>
      </c>
      <c r="W53" s="307" t="str">
        <f>IFERROR(IF(V53&gt;0,PROPER(Terbilang1(V53)&amp;" Rupiah"),0),"")</f>
        <v>Satu Juta Sembilan Ratus Empat Puluh Ribu Rupiah</v>
      </c>
      <c r="X53" s="90">
        <f t="shared" si="23"/>
        <v>1</v>
      </c>
      <c r="Y53" s="307" t="str">
        <f t="shared" si="24"/>
        <v>Pik Up</v>
      </c>
      <c r="Z53" s="307">
        <f t="shared" si="9"/>
        <v>0</v>
      </c>
      <c r="AA53" s="366">
        <f t="shared" si="10"/>
        <v>0</v>
      </c>
      <c r="AB53" s="367">
        <f t="shared" si="17"/>
        <v>0</v>
      </c>
      <c r="AC53" s="305">
        <f t="shared" si="18"/>
        <v>0</v>
      </c>
      <c r="AP53" s="89">
        <f t="shared" si="0"/>
        <v>1</v>
      </c>
      <c r="AQ53" s="89" t="str">
        <f t="shared" si="28"/>
        <v/>
      </c>
      <c r="AR53" s="315" t="str">
        <f t="shared" si="14"/>
        <v/>
      </c>
      <c r="AS53" s="305" t="str">
        <f t="shared" si="15"/>
        <v>0</v>
      </c>
      <c r="AT53" s="307">
        <f>Table22[[#This Row],[Column1]]</f>
        <v>0</v>
      </c>
    </row>
    <row r="54" spans="1:46" x14ac:dyDescent="0.3">
      <c r="A54" s="307" t="str">
        <f t="shared" si="1"/>
        <v>1.53</v>
      </c>
      <c r="B54" s="307" t="str">
        <f t="shared" si="26"/>
        <v>Beli</v>
      </c>
      <c r="C54" s="308">
        <v>1</v>
      </c>
      <c r="D54" s="309" t="s">
        <v>563</v>
      </c>
      <c r="E54" s="310" t="s">
        <v>234</v>
      </c>
      <c r="F54" s="310" t="s">
        <v>660</v>
      </c>
      <c r="G54" s="311" t="s">
        <v>661</v>
      </c>
      <c r="H54" s="310" t="s">
        <v>589</v>
      </c>
      <c r="I54" s="310">
        <v>22000</v>
      </c>
      <c r="J54" s="310">
        <v>5</v>
      </c>
      <c r="K54" s="312">
        <v>110000</v>
      </c>
      <c r="L54" s="310" t="s">
        <v>38</v>
      </c>
      <c r="M54" s="310">
        <v>110000</v>
      </c>
      <c r="N54" s="313" t="s">
        <v>563</v>
      </c>
      <c r="O54" s="314" t="s">
        <v>563</v>
      </c>
      <c r="P54" s="307">
        <f t="shared" si="3"/>
        <v>0</v>
      </c>
      <c r="R54" s="91" t="str">
        <f t="shared" si="27"/>
        <v>Mgg2</v>
      </c>
      <c r="S54" s="307" t="str">
        <f t="shared" si="5"/>
        <v>BKK.13a</v>
      </c>
      <c r="T54" s="307" t="str">
        <f t="shared" si="6"/>
        <v>Bendrat Spq</v>
      </c>
      <c r="U54" s="315" t="str">
        <f t="shared" si="19"/>
        <v/>
      </c>
      <c r="V54" s="307" t="str">
        <f t="shared" si="25"/>
        <v/>
      </c>
      <c r="W54" s="307" t="str">
        <f>IFERROR(IF(V54&gt;0,PROPER(Terbilang1(V54)&amp;" Rupiah"),0),"")</f>
        <v/>
      </c>
      <c r="X54" s="90">
        <f t="shared" si="23"/>
        <v>5</v>
      </c>
      <c r="Y54" s="307" t="str">
        <f t="shared" si="24"/>
        <v>kg</v>
      </c>
      <c r="Z54" s="307">
        <f t="shared" si="9"/>
        <v>0</v>
      </c>
      <c r="AA54" s="366">
        <f t="shared" si="10"/>
        <v>0</v>
      </c>
      <c r="AB54" s="367">
        <f t="shared" si="17"/>
        <v>0</v>
      </c>
      <c r="AC54" s="305">
        <f t="shared" si="18"/>
        <v>0</v>
      </c>
      <c r="AP54" s="89" t="str">
        <f t="shared" si="0"/>
        <v/>
      </c>
      <c r="AQ54" s="89" t="str">
        <f t="shared" si="28"/>
        <v/>
      </c>
      <c r="AR54" s="315" t="str">
        <f t="shared" si="14"/>
        <v/>
      </c>
      <c r="AS54" s="305" t="str">
        <f t="shared" si="15"/>
        <v>0</v>
      </c>
      <c r="AT54" s="307">
        <f>Table22[[#This Row],[Column1]]</f>
        <v>0</v>
      </c>
    </row>
    <row r="55" spans="1:46" x14ac:dyDescent="0.3">
      <c r="A55" s="307" t="str">
        <f t="shared" si="1"/>
        <v>1.54</v>
      </c>
      <c r="B55" s="307" t="str">
        <f t="shared" si="26"/>
        <v>Beli</v>
      </c>
      <c r="C55" s="308">
        <v>1</v>
      </c>
      <c r="D55" s="309" t="s">
        <v>563</v>
      </c>
      <c r="E55" s="310" t="s">
        <v>234</v>
      </c>
      <c r="F55" s="310" t="s">
        <v>668</v>
      </c>
      <c r="G55" s="311" t="s">
        <v>669</v>
      </c>
      <c r="H55" s="310" t="s">
        <v>628</v>
      </c>
      <c r="I55" s="310">
        <v>28000</v>
      </c>
      <c r="J55" s="310">
        <v>20</v>
      </c>
      <c r="K55" s="312">
        <v>560000</v>
      </c>
      <c r="L55" s="310" t="s">
        <v>38</v>
      </c>
      <c r="M55" s="310">
        <v>560000</v>
      </c>
      <c r="N55" s="313" t="s">
        <v>563</v>
      </c>
      <c r="O55" s="314" t="s">
        <v>563</v>
      </c>
      <c r="P55" s="307">
        <f t="shared" si="3"/>
        <v>0</v>
      </c>
      <c r="R55" s="91" t="str">
        <f t="shared" si="27"/>
        <v>Mgg2</v>
      </c>
      <c r="S55" s="307" t="str">
        <f t="shared" si="5"/>
        <v>BKK.13aa</v>
      </c>
      <c r="T55" s="307" t="str">
        <f t="shared" si="6"/>
        <v>Besi 6.0 Sni</v>
      </c>
      <c r="U55" s="315" t="str">
        <f t="shared" si="19"/>
        <v/>
      </c>
      <c r="V55" s="307" t="str">
        <f t="shared" si="25"/>
        <v/>
      </c>
      <c r="W55" s="307" t="str">
        <f>IFERROR(IF(V55&gt;0,PROPER(Terbilang1(V55)&amp;" Rupiah"),0),"")</f>
        <v/>
      </c>
      <c r="X55" s="90">
        <f t="shared" si="23"/>
        <v>20</v>
      </c>
      <c r="Y55" s="307" t="str">
        <f t="shared" si="24"/>
        <v>Ljr</v>
      </c>
      <c r="Z55" s="307">
        <f t="shared" si="9"/>
        <v>0</v>
      </c>
      <c r="AA55" s="366">
        <f t="shared" si="10"/>
        <v>0</v>
      </c>
      <c r="AB55" s="367">
        <f t="shared" si="17"/>
        <v>0</v>
      </c>
      <c r="AC55" s="305">
        <f t="shared" si="18"/>
        <v>0</v>
      </c>
      <c r="AP55" s="89" t="str">
        <f t="shared" si="0"/>
        <v/>
      </c>
      <c r="AQ55" s="89" t="str">
        <f t="shared" si="28"/>
        <v/>
      </c>
      <c r="AR55" s="315" t="str">
        <f t="shared" si="14"/>
        <v/>
      </c>
      <c r="AS55" s="305" t="str">
        <f t="shared" si="15"/>
        <v>0</v>
      </c>
      <c r="AT55" s="307">
        <f>Table22[[#This Row],[Column1]]</f>
        <v>0</v>
      </c>
    </row>
    <row r="56" spans="1:46" x14ac:dyDescent="0.3">
      <c r="A56" s="307" t="str">
        <f t="shared" si="1"/>
        <v>1.55</v>
      </c>
      <c r="B56" s="307" t="str">
        <f t="shared" si="26"/>
        <v>Beli</v>
      </c>
      <c r="C56" s="308">
        <v>1</v>
      </c>
      <c r="D56" s="309" t="s">
        <v>563</v>
      </c>
      <c r="E56" s="310" t="s">
        <v>234</v>
      </c>
      <c r="F56" s="310" t="s">
        <v>662</v>
      </c>
      <c r="G56" s="311" t="s">
        <v>663</v>
      </c>
      <c r="H56" s="310" t="s">
        <v>628</v>
      </c>
      <c r="I56" s="310">
        <v>46000</v>
      </c>
      <c r="J56" s="310">
        <v>20</v>
      </c>
      <c r="K56" s="312">
        <v>920000</v>
      </c>
      <c r="L56" s="310" t="s">
        <v>38</v>
      </c>
      <c r="M56" s="310">
        <v>920000</v>
      </c>
      <c r="N56" s="313" t="s">
        <v>563</v>
      </c>
      <c r="O56" s="314" t="s">
        <v>563</v>
      </c>
      <c r="P56" s="307">
        <f t="shared" si="3"/>
        <v>0</v>
      </c>
      <c r="R56" s="91" t="str">
        <f t="shared" si="27"/>
        <v>Mgg2</v>
      </c>
      <c r="S56" s="307" t="str">
        <f t="shared" si="5"/>
        <v>BKK.13aaa</v>
      </c>
      <c r="T56" s="307" t="str">
        <f t="shared" si="6"/>
        <v>Besi 8.0 Sni</v>
      </c>
      <c r="U56" s="315" t="str">
        <f t="shared" si="19"/>
        <v/>
      </c>
      <c r="V56" s="307" t="str">
        <f t="shared" si="25"/>
        <v/>
      </c>
      <c r="W56" s="307" t="str">
        <f>IFERROR(IF(V56&gt;0,PROPER(Terbilang1(V56)&amp;" Rupiah"),0),"")</f>
        <v/>
      </c>
      <c r="X56" s="90">
        <f t="shared" si="23"/>
        <v>20</v>
      </c>
      <c r="Y56" s="307" t="str">
        <f t="shared" si="24"/>
        <v>Ljr</v>
      </c>
      <c r="Z56" s="307">
        <f t="shared" si="9"/>
        <v>0</v>
      </c>
      <c r="AA56" s="366">
        <f t="shared" si="10"/>
        <v>0</v>
      </c>
      <c r="AB56" s="367">
        <f t="shared" si="17"/>
        <v>0</v>
      </c>
      <c r="AC56" s="305">
        <f t="shared" si="18"/>
        <v>0</v>
      </c>
      <c r="AP56" s="89" t="str">
        <f t="shared" si="0"/>
        <v/>
      </c>
      <c r="AQ56" s="89" t="str">
        <f t="shared" si="28"/>
        <v/>
      </c>
      <c r="AR56" s="315" t="str">
        <f t="shared" si="14"/>
        <v/>
      </c>
      <c r="AS56" s="305" t="str">
        <f t="shared" si="15"/>
        <v>0</v>
      </c>
      <c r="AT56" s="307">
        <f>Table22[[#This Row],[Column1]]</f>
        <v>0</v>
      </c>
    </row>
    <row r="57" spans="1:46" x14ac:dyDescent="0.3">
      <c r="A57" s="307" t="str">
        <f t="shared" si="1"/>
        <v>1.56</v>
      </c>
      <c r="B57" s="307" t="str">
        <f t="shared" si="26"/>
        <v>Beli</v>
      </c>
      <c r="C57" s="308">
        <v>1</v>
      </c>
      <c r="D57" s="309">
        <v>45912</v>
      </c>
      <c r="E57" s="310" t="s">
        <v>670</v>
      </c>
      <c r="F57" s="310" t="s">
        <v>671</v>
      </c>
      <c r="G57" s="311" t="s">
        <v>672</v>
      </c>
      <c r="H57" s="310" t="s">
        <v>571</v>
      </c>
      <c r="I57" s="310">
        <v>30000</v>
      </c>
      <c r="J57" s="310">
        <v>14</v>
      </c>
      <c r="K57" s="312">
        <v>420000</v>
      </c>
      <c r="L57" s="310" t="s">
        <v>562</v>
      </c>
      <c r="M57" s="310">
        <v>420000</v>
      </c>
      <c r="N57" s="313">
        <v>420000</v>
      </c>
      <c r="O57" s="314" t="s">
        <v>673</v>
      </c>
      <c r="P57" s="307" t="str">
        <f t="shared" si="3"/>
        <v>Men2</v>
      </c>
      <c r="R57" s="91" t="str">
        <f t="shared" si="27"/>
        <v>Men2</v>
      </c>
      <c r="S57" s="307" t="str">
        <f t="shared" si="5"/>
        <v>BKK.14</v>
      </c>
      <c r="T57" s="307" t="str">
        <f t="shared" si="6"/>
        <v>Kosumsi Rapat Dengan Komite</v>
      </c>
      <c r="U57" s="315">
        <f t="shared" si="19"/>
        <v>45912</v>
      </c>
      <c r="V57" s="307">
        <f t="shared" si="25"/>
        <v>420000</v>
      </c>
      <c r="W57" s="307" t="str">
        <f>IFERROR(IF(V57&gt;0,PROPER(Terbilang1(V57)&amp;" Rupiah"),0),"")</f>
        <v>Empat Ratus Dua Puluh Ribu Rupiah</v>
      </c>
      <c r="X57" s="90">
        <f t="shared" si="23"/>
        <v>14</v>
      </c>
      <c r="Y57" s="307" t="str">
        <f t="shared" si="24"/>
        <v>Bks</v>
      </c>
      <c r="Z57" s="307">
        <f t="shared" si="9"/>
        <v>0</v>
      </c>
      <c r="AA57" s="366">
        <f t="shared" si="10"/>
        <v>0</v>
      </c>
      <c r="AB57" s="367">
        <f t="shared" si="17"/>
        <v>0</v>
      </c>
      <c r="AC57" s="305">
        <f t="shared" si="18"/>
        <v>0</v>
      </c>
      <c r="AP57" s="89">
        <f t="shared" si="0"/>
        <v>1</v>
      </c>
      <c r="AQ57" s="89" t="str">
        <f t="shared" si="28"/>
        <v/>
      </c>
      <c r="AR57" s="315" t="str">
        <f t="shared" si="14"/>
        <v/>
      </c>
      <c r="AS57" s="305" t="str">
        <f t="shared" si="15"/>
        <v>0</v>
      </c>
      <c r="AT57" s="307">
        <f>Table22[[#This Row],[Column1]]</f>
        <v>0</v>
      </c>
    </row>
    <row r="58" spans="1:46" x14ac:dyDescent="0.3">
      <c r="A58" s="307" t="str">
        <f t="shared" si="1"/>
        <v>1.57</v>
      </c>
      <c r="B58" s="307" t="str">
        <f t="shared" si="26"/>
        <v>Beli</v>
      </c>
      <c r="C58" s="308">
        <v>1</v>
      </c>
      <c r="D58" s="309">
        <v>45913</v>
      </c>
      <c r="E58" s="310" t="s">
        <v>234</v>
      </c>
      <c r="F58" s="310" t="s">
        <v>662</v>
      </c>
      <c r="G58" s="311" t="s">
        <v>663</v>
      </c>
      <c r="H58" s="310" t="s">
        <v>628</v>
      </c>
      <c r="I58" s="310">
        <v>46000</v>
      </c>
      <c r="J58" s="310">
        <v>15</v>
      </c>
      <c r="K58" s="312">
        <v>690000</v>
      </c>
      <c r="L58" s="310" t="s">
        <v>38</v>
      </c>
      <c r="M58" s="310">
        <v>690000</v>
      </c>
      <c r="N58" s="313">
        <v>1931000</v>
      </c>
      <c r="O58" s="314" t="s">
        <v>674</v>
      </c>
      <c r="P58" s="307" t="str">
        <f t="shared" si="3"/>
        <v>Mgg2</v>
      </c>
      <c r="R58" s="91" t="str">
        <f t="shared" si="27"/>
        <v>Mgg2</v>
      </c>
      <c r="S58" s="307" t="str">
        <f t="shared" si="5"/>
        <v>BKK.15</v>
      </c>
      <c r="T58" s="307" t="str">
        <f t="shared" si="6"/>
        <v>Besi 8.0 Sni</v>
      </c>
      <c r="U58" s="315">
        <f t="shared" si="19"/>
        <v>45913</v>
      </c>
      <c r="V58" s="307">
        <f t="shared" si="25"/>
        <v>1931000</v>
      </c>
      <c r="W58" s="307" t="str">
        <f>IFERROR(IF(V58&gt;0,PROPER(Terbilang1(V58)&amp;" Rupiah"),0),"")</f>
        <v>Satu Juta Sembilan Ratus Tiga Puluh Satu Ribu Rupiah</v>
      </c>
      <c r="X58" s="90">
        <f t="shared" si="23"/>
        <v>15</v>
      </c>
      <c r="Y58" s="307" t="str">
        <f t="shared" si="24"/>
        <v>Ljr</v>
      </c>
      <c r="Z58" s="307">
        <f t="shared" si="9"/>
        <v>0</v>
      </c>
      <c r="AA58" s="366">
        <f t="shared" si="10"/>
        <v>0</v>
      </c>
      <c r="AB58" s="367">
        <f t="shared" si="17"/>
        <v>0</v>
      </c>
      <c r="AC58" s="305">
        <f t="shared" si="18"/>
        <v>0</v>
      </c>
      <c r="AP58" s="89">
        <f t="shared" si="0"/>
        <v>1</v>
      </c>
      <c r="AQ58" s="89" t="str">
        <f t="shared" si="28"/>
        <v/>
      </c>
      <c r="AR58" s="315" t="str">
        <f t="shared" si="14"/>
        <v/>
      </c>
      <c r="AS58" s="305" t="str">
        <f t="shared" si="15"/>
        <v>0</v>
      </c>
      <c r="AT58" s="307">
        <f>Table22[[#This Row],[Column1]]</f>
        <v>0</v>
      </c>
    </row>
    <row r="59" spans="1:46" x14ac:dyDescent="0.3">
      <c r="A59" s="307" t="str">
        <f t="shared" si="1"/>
        <v>1.58</v>
      </c>
      <c r="B59" s="307" t="str">
        <f t="shared" si="26"/>
        <v>Beli</v>
      </c>
      <c r="C59" s="308">
        <v>1</v>
      </c>
      <c r="D59" s="309" t="s">
        <v>563</v>
      </c>
      <c r="E59" s="310" t="s">
        <v>234</v>
      </c>
      <c r="F59" s="310" t="s">
        <v>664</v>
      </c>
      <c r="G59" s="311" t="s">
        <v>665</v>
      </c>
      <c r="H59" s="310" t="s">
        <v>628</v>
      </c>
      <c r="I59" s="310">
        <v>73000</v>
      </c>
      <c r="J59" s="310">
        <v>17</v>
      </c>
      <c r="K59" s="312">
        <v>1241000</v>
      </c>
      <c r="L59" s="310" t="s">
        <v>38</v>
      </c>
      <c r="M59" s="310">
        <v>1241000</v>
      </c>
      <c r="N59" s="313" t="s">
        <v>563</v>
      </c>
      <c r="O59" s="314" t="s">
        <v>563</v>
      </c>
      <c r="P59" s="307">
        <f t="shared" si="3"/>
        <v>0</v>
      </c>
      <c r="R59" s="91" t="str">
        <f t="shared" si="27"/>
        <v>Mgg2</v>
      </c>
      <c r="S59" s="307" t="str">
        <f t="shared" si="5"/>
        <v>BKK.15a</v>
      </c>
      <c r="T59" s="307" t="str">
        <f t="shared" si="6"/>
        <v>Besi Sni 10.0</v>
      </c>
      <c r="U59" s="315" t="str">
        <f t="shared" si="19"/>
        <v/>
      </c>
      <c r="V59" s="307" t="str">
        <f t="shared" si="25"/>
        <v/>
      </c>
      <c r="W59" s="307" t="str">
        <f>IFERROR(IF(V59&gt;0,PROPER(Terbilang1(V59)&amp;" Rupiah"),0),"")</f>
        <v/>
      </c>
      <c r="X59" s="90">
        <f t="shared" si="23"/>
        <v>17</v>
      </c>
      <c r="Y59" s="307" t="str">
        <f t="shared" si="24"/>
        <v>Ljr</v>
      </c>
      <c r="Z59" s="307">
        <f t="shared" si="9"/>
        <v>0</v>
      </c>
      <c r="AA59" s="366">
        <f t="shared" si="10"/>
        <v>0</v>
      </c>
      <c r="AB59" s="367">
        <f t="shared" si="17"/>
        <v>0</v>
      </c>
      <c r="AC59" s="305">
        <f t="shared" si="18"/>
        <v>0</v>
      </c>
      <c r="AP59" s="89" t="str">
        <f t="shared" si="0"/>
        <v/>
      </c>
      <c r="AQ59" s="89" t="str">
        <f t="shared" si="28"/>
        <v/>
      </c>
      <c r="AR59" s="315" t="str">
        <f t="shared" si="14"/>
        <v/>
      </c>
      <c r="AS59" s="305" t="str">
        <f t="shared" si="15"/>
        <v>0</v>
      </c>
      <c r="AT59" s="307">
        <f>Table22[[#This Row],[Column1]]</f>
        <v>0</v>
      </c>
    </row>
    <row r="60" spans="1:46" x14ac:dyDescent="0.3">
      <c r="A60" s="307" t="str">
        <f t="shared" si="1"/>
        <v>1.59</v>
      </c>
      <c r="B60" s="307" t="str">
        <f t="shared" si="26"/>
        <v>Bayar Ongkos</v>
      </c>
      <c r="C60" s="308">
        <v>1</v>
      </c>
      <c r="D60" s="309">
        <v>45913</v>
      </c>
      <c r="E60" s="310" t="s">
        <v>500</v>
      </c>
      <c r="F60" s="310" t="s">
        <v>500</v>
      </c>
      <c r="G60" s="311" t="s">
        <v>675</v>
      </c>
      <c r="H60" s="310">
        <v>0</v>
      </c>
      <c r="I60" s="310">
        <v>1</v>
      </c>
      <c r="J60" s="310">
        <v>1</v>
      </c>
      <c r="K60" s="312">
        <v>1</v>
      </c>
      <c r="L60" s="310" t="s">
        <v>35</v>
      </c>
      <c r="M60" s="310">
        <v>5350000</v>
      </c>
      <c r="N60" s="313">
        <v>5350000</v>
      </c>
      <c r="O60" s="314" t="s">
        <v>676</v>
      </c>
      <c r="P60" s="307" t="str">
        <f t="shared" si="3"/>
        <v>Gaj2</v>
      </c>
      <c r="R60" s="91" t="str">
        <f t="shared" si="27"/>
        <v>Gaj2</v>
      </c>
      <c r="S60" s="307" t="str">
        <f t="shared" si="5"/>
        <v>BKK.16</v>
      </c>
      <c r="T60" s="307" t="str">
        <f t="shared" si="6"/>
        <v>Pembayaran Pekerja Minggu Ke 2</v>
      </c>
      <c r="U60" s="315">
        <f t="shared" si="19"/>
        <v>45913</v>
      </c>
      <c r="V60" s="307">
        <f t="shared" si="25"/>
        <v>5350000</v>
      </c>
      <c r="W60" s="307" t="str">
        <f>IFERROR(IF(V60&gt;0,PROPER(Terbilang1(V60)&amp;" Rupiah"),0),"")</f>
        <v>Lima Juta Tiga Ratus Lima Puluh Ribu Rupiah</v>
      </c>
      <c r="X60" s="90">
        <f t="shared" si="23"/>
        <v>1</v>
      </c>
      <c r="Y60" s="307">
        <f t="shared" si="24"/>
        <v>0</v>
      </c>
      <c r="Z60" s="307">
        <f t="shared" si="9"/>
        <v>0</v>
      </c>
      <c r="AA60" s="366">
        <f t="shared" si="10"/>
        <v>0</v>
      </c>
      <c r="AB60" s="367">
        <f t="shared" si="17"/>
        <v>0</v>
      </c>
      <c r="AC60" s="305">
        <f t="shared" si="18"/>
        <v>0</v>
      </c>
      <c r="AP60" s="89">
        <f t="shared" si="0"/>
        <v>1</v>
      </c>
      <c r="AQ60" s="89" t="str">
        <f t="shared" si="28"/>
        <v/>
      </c>
      <c r="AR60" s="315" t="str">
        <f t="shared" si="14"/>
        <v/>
      </c>
      <c r="AS60" s="305" t="str">
        <f t="shared" si="15"/>
        <v>0</v>
      </c>
      <c r="AT60" s="307">
        <f>Table22[[#This Row],[Column1]]</f>
        <v>0</v>
      </c>
    </row>
    <row r="61" spans="1:46" x14ac:dyDescent="0.3">
      <c r="A61" s="307" t="str">
        <f t="shared" si="1"/>
        <v>1.60</v>
      </c>
      <c r="B61" s="307" t="str">
        <f t="shared" si="26"/>
        <v>Beli</v>
      </c>
      <c r="C61" s="308">
        <v>1</v>
      </c>
      <c r="D61" s="309">
        <v>45916</v>
      </c>
      <c r="E61" s="310" t="s">
        <v>235</v>
      </c>
      <c r="F61" s="310" t="s">
        <v>587</v>
      </c>
      <c r="G61" s="311" t="s">
        <v>588</v>
      </c>
      <c r="H61" s="310" t="s">
        <v>589</v>
      </c>
      <c r="I61" s="310">
        <v>20000</v>
      </c>
      <c r="J61" s="310">
        <v>2</v>
      </c>
      <c r="K61" s="312">
        <v>40000</v>
      </c>
      <c r="L61" s="310" t="s">
        <v>38</v>
      </c>
      <c r="M61" s="310">
        <v>40000</v>
      </c>
      <c r="N61" s="313">
        <v>1919000</v>
      </c>
      <c r="O61" s="314" t="s">
        <v>677</v>
      </c>
      <c r="P61" s="307" t="str">
        <f t="shared" si="3"/>
        <v>Mgg3</v>
      </c>
      <c r="R61" s="91" t="str">
        <f t="shared" si="27"/>
        <v>Mgg3</v>
      </c>
      <c r="S61" s="307" t="str">
        <f t="shared" si="5"/>
        <v>BKK.17</v>
      </c>
      <c r="T61" s="307" t="str">
        <f t="shared" si="6"/>
        <v>Paku 1 1/2</v>
      </c>
      <c r="U61" s="315">
        <f t="shared" si="19"/>
        <v>45916</v>
      </c>
      <c r="V61" s="307">
        <f t="shared" si="25"/>
        <v>1919000</v>
      </c>
      <c r="W61" s="307" t="str">
        <f>IFERROR(IF(V61&gt;0,PROPER(Terbilang1(V61)&amp;" Rupiah"),0),"")</f>
        <v>Satu Juta Sembilan Ratus Sembilan Belas Ribu Rupiah</v>
      </c>
      <c r="X61" s="90">
        <f t="shared" si="23"/>
        <v>2</v>
      </c>
      <c r="Y61" s="307" t="str">
        <f t="shared" si="24"/>
        <v>kg</v>
      </c>
      <c r="Z61" s="307">
        <f t="shared" si="9"/>
        <v>0</v>
      </c>
      <c r="AA61" s="366">
        <f t="shared" si="10"/>
        <v>0</v>
      </c>
      <c r="AB61" s="367">
        <f t="shared" si="17"/>
        <v>0</v>
      </c>
      <c r="AC61" s="305">
        <f t="shared" si="18"/>
        <v>0</v>
      </c>
      <c r="AP61" s="89">
        <f t="shared" si="0"/>
        <v>1</v>
      </c>
      <c r="AQ61" s="89" t="str">
        <f t="shared" si="28"/>
        <v/>
      </c>
      <c r="AR61" s="315" t="str">
        <f t="shared" si="14"/>
        <v/>
      </c>
      <c r="AS61" s="305" t="str">
        <f t="shared" si="15"/>
        <v>0</v>
      </c>
      <c r="AT61" s="307">
        <f>Table22[[#This Row],[Column1]]</f>
        <v>0</v>
      </c>
    </row>
    <row r="62" spans="1:46" x14ac:dyDescent="0.3">
      <c r="A62" s="307" t="str">
        <f t="shared" si="1"/>
        <v>1.61</v>
      </c>
      <c r="B62" s="307" t="str">
        <f t="shared" si="26"/>
        <v>Beli</v>
      </c>
      <c r="C62" s="308">
        <v>1</v>
      </c>
      <c r="D62" s="309" t="s">
        <v>563</v>
      </c>
      <c r="E62" s="310" t="s">
        <v>235</v>
      </c>
      <c r="F62" s="310" t="s">
        <v>590</v>
      </c>
      <c r="G62" s="311" t="s">
        <v>591</v>
      </c>
      <c r="H62" s="310" t="s">
        <v>589</v>
      </c>
      <c r="I62" s="310">
        <v>18000</v>
      </c>
      <c r="J62" s="310">
        <v>2</v>
      </c>
      <c r="K62" s="312">
        <v>36000</v>
      </c>
      <c r="L62" s="310" t="s">
        <v>38</v>
      </c>
      <c r="M62" s="310">
        <v>36000</v>
      </c>
      <c r="N62" s="313" t="s">
        <v>563</v>
      </c>
      <c r="O62" s="314" t="s">
        <v>563</v>
      </c>
      <c r="P62" s="307">
        <f t="shared" si="3"/>
        <v>0</v>
      </c>
      <c r="R62" s="91" t="str">
        <f t="shared" si="27"/>
        <v>Mgg3</v>
      </c>
      <c r="S62" s="307" t="str">
        <f t="shared" si="5"/>
        <v>BKK.17a</v>
      </c>
      <c r="T62" s="307" t="str">
        <f t="shared" si="6"/>
        <v>Paku 2</v>
      </c>
      <c r="U62" s="315" t="str">
        <f t="shared" si="19"/>
        <v/>
      </c>
      <c r="V62" s="307" t="str">
        <f t="shared" si="25"/>
        <v/>
      </c>
      <c r="W62" s="307" t="str">
        <f>IFERROR(IF(V62&gt;0,PROPER(Terbilang1(V62)&amp;" Rupiah"),0),"")</f>
        <v/>
      </c>
      <c r="X62" s="90">
        <f t="shared" si="23"/>
        <v>2</v>
      </c>
      <c r="Y62" s="307" t="str">
        <f t="shared" si="24"/>
        <v>kg</v>
      </c>
      <c r="Z62" s="307">
        <f t="shared" si="9"/>
        <v>0</v>
      </c>
      <c r="AA62" s="366">
        <f t="shared" si="10"/>
        <v>0</v>
      </c>
      <c r="AB62" s="367">
        <f t="shared" si="17"/>
        <v>0</v>
      </c>
      <c r="AC62" s="305">
        <f t="shared" si="18"/>
        <v>0</v>
      </c>
      <c r="AP62" s="89" t="str">
        <f t="shared" si="0"/>
        <v/>
      </c>
      <c r="AQ62" s="89" t="str">
        <f t="shared" si="28"/>
        <v/>
      </c>
      <c r="AR62" s="315" t="str">
        <f t="shared" si="14"/>
        <v/>
      </c>
      <c r="AS62" s="305" t="str">
        <f t="shared" si="15"/>
        <v>0</v>
      </c>
      <c r="AT62" s="307">
        <f>Table22[[#This Row],[Column1]]</f>
        <v>0</v>
      </c>
    </row>
    <row r="63" spans="1:46" x14ac:dyDescent="0.3">
      <c r="A63" s="307" t="str">
        <f t="shared" si="1"/>
        <v>1.62</v>
      </c>
      <c r="B63" s="307" t="str">
        <f t="shared" si="26"/>
        <v>Beli</v>
      </c>
      <c r="C63" s="308">
        <v>1</v>
      </c>
      <c r="D63" s="309" t="s">
        <v>563</v>
      </c>
      <c r="E63" s="310" t="s">
        <v>235</v>
      </c>
      <c r="F63" s="310" t="s">
        <v>678</v>
      </c>
      <c r="G63" s="311" t="s">
        <v>679</v>
      </c>
      <c r="H63" s="310" t="s">
        <v>628</v>
      </c>
      <c r="I63" s="310">
        <v>135000</v>
      </c>
      <c r="J63" s="310">
        <v>6</v>
      </c>
      <c r="K63" s="312">
        <v>810000</v>
      </c>
      <c r="L63" s="310" t="s">
        <v>38</v>
      </c>
      <c r="M63" s="310">
        <v>810000</v>
      </c>
      <c r="N63" s="313" t="s">
        <v>563</v>
      </c>
      <c r="O63" s="314" t="s">
        <v>563</v>
      </c>
      <c r="P63" s="307">
        <f t="shared" si="3"/>
        <v>0</v>
      </c>
      <c r="R63" s="91" t="str">
        <f t="shared" si="27"/>
        <v>Mgg3</v>
      </c>
      <c r="S63" s="307" t="str">
        <f t="shared" si="5"/>
        <v>BKK.17aa</v>
      </c>
      <c r="T63" s="307" t="str">
        <f t="shared" si="6"/>
        <v>Kayu 3 X 5</v>
      </c>
      <c r="U63" s="315" t="str">
        <f t="shared" si="19"/>
        <v/>
      </c>
      <c r="V63" s="307" t="str">
        <f t="shared" si="25"/>
        <v/>
      </c>
      <c r="W63" s="307" t="str">
        <f>IFERROR(IF(V63&gt;0,PROPER(Terbilang1(V63)&amp;" Rupiah"),0),"")</f>
        <v/>
      </c>
      <c r="X63" s="90">
        <f t="shared" si="23"/>
        <v>6</v>
      </c>
      <c r="Y63" s="307" t="str">
        <f t="shared" si="24"/>
        <v>Ljr</v>
      </c>
      <c r="Z63" s="307">
        <f t="shared" si="9"/>
        <v>0</v>
      </c>
      <c r="AA63" s="366">
        <f t="shared" si="10"/>
        <v>0</v>
      </c>
      <c r="AB63" s="367">
        <f t="shared" si="17"/>
        <v>0</v>
      </c>
      <c r="AC63" s="305">
        <f t="shared" si="18"/>
        <v>0</v>
      </c>
      <c r="AP63" s="89" t="str">
        <f t="shared" si="0"/>
        <v/>
      </c>
      <c r="AQ63" s="89" t="str">
        <f t="shared" si="28"/>
        <v/>
      </c>
      <c r="AR63" s="315" t="str">
        <f t="shared" si="14"/>
        <v/>
      </c>
      <c r="AS63" s="305" t="str">
        <f t="shared" si="15"/>
        <v>0</v>
      </c>
      <c r="AT63" s="307">
        <f>Table22[[#This Row],[Column1]]</f>
        <v>0</v>
      </c>
    </row>
    <row r="64" spans="1:46" x14ac:dyDescent="0.3">
      <c r="A64" s="307" t="str">
        <f t="shared" si="1"/>
        <v>1.63</v>
      </c>
      <c r="B64" s="307" t="str">
        <f t="shared" si="26"/>
        <v>Beli</v>
      </c>
      <c r="C64" s="308">
        <v>1</v>
      </c>
      <c r="D64" s="309" t="s">
        <v>563</v>
      </c>
      <c r="E64" s="310" t="s">
        <v>235</v>
      </c>
      <c r="F64" s="310" t="s">
        <v>640</v>
      </c>
      <c r="G64" s="311" t="s">
        <v>641</v>
      </c>
      <c r="H64" s="310" t="s">
        <v>633</v>
      </c>
      <c r="I64" s="310">
        <v>335000</v>
      </c>
      <c r="J64" s="310">
        <v>1</v>
      </c>
      <c r="K64" s="312">
        <v>335000</v>
      </c>
      <c r="L64" s="310" t="s">
        <v>38</v>
      </c>
      <c r="M64" s="310">
        <v>335000</v>
      </c>
      <c r="N64" s="313" t="s">
        <v>563</v>
      </c>
      <c r="O64" s="314" t="s">
        <v>563</v>
      </c>
      <c r="P64" s="307">
        <f t="shared" si="3"/>
        <v>0</v>
      </c>
      <c r="R64" s="91" t="str">
        <f t="shared" si="27"/>
        <v>Mgg3</v>
      </c>
      <c r="S64" s="307" t="str">
        <f t="shared" si="5"/>
        <v>BKK.17aaa</v>
      </c>
      <c r="T64" s="307" t="str">
        <f t="shared" si="6"/>
        <v>Pasir Cor L300</v>
      </c>
      <c r="U64" s="315" t="str">
        <f t="shared" si="19"/>
        <v/>
      </c>
      <c r="V64" s="307" t="str">
        <f t="shared" si="25"/>
        <v/>
      </c>
      <c r="W64" s="307" t="str">
        <f>IFERROR(IF(V64&gt;0,PROPER(Terbilang1(V64)&amp;" Rupiah"),0),"")</f>
        <v/>
      </c>
      <c r="X64" s="90">
        <f t="shared" si="23"/>
        <v>1</v>
      </c>
      <c r="Y64" s="307" t="str">
        <f t="shared" si="24"/>
        <v>Pik Up</v>
      </c>
      <c r="Z64" s="307">
        <f t="shared" si="9"/>
        <v>0</v>
      </c>
      <c r="AA64" s="366">
        <f t="shared" si="10"/>
        <v>0</v>
      </c>
      <c r="AB64" s="367">
        <f t="shared" si="17"/>
        <v>0</v>
      </c>
      <c r="AC64" s="305">
        <f t="shared" si="18"/>
        <v>0</v>
      </c>
      <c r="AP64" s="89" t="str">
        <f t="shared" si="0"/>
        <v/>
      </c>
      <c r="AQ64" s="89" t="str">
        <f t="shared" si="28"/>
        <v/>
      </c>
      <c r="AR64" s="315" t="str">
        <f t="shared" si="14"/>
        <v/>
      </c>
      <c r="AS64" s="305" t="str">
        <f t="shared" si="15"/>
        <v>0</v>
      </c>
      <c r="AT64" s="307">
        <f>Table22[[#This Row],[Column1]]</f>
        <v>0</v>
      </c>
    </row>
    <row r="65" spans="1:46" x14ac:dyDescent="0.3">
      <c r="A65" s="307" t="str">
        <f t="shared" si="1"/>
        <v>1.64</v>
      </c>
      <c r="B65" s="307" t="str">
        <f t="shared" si="26"/>
        <v>Beli</v>
      </c>
      <c r="C65" s="308">
        <v>1</v>
      </c>
      <c r="D65" s="309" t="s">
        <v>563</v>
      </c>
      <c r="E65" s="310" t="s">
        <v>235</v>
      </c>
      <c r="F65" s="310" t="s">
        <v>642</v>
      </c>
      <c r="G65" s="311" t="s">
        <v>643</v>
      </c>
      <c r="H65" s="310" t="s">
        <v>633</v>
      </c>
      <c r="I65" s="310">
        <v>350000</v>
      </c>
      <c r="J65" s="310">
        <v>1</v>
      </c>
      <c r="K65" s="312">
        <v>350000</v>
      </c>
      <c r="L65" s="310" t="s">
        <v>38</v>
      </c>
      <c r="M65" s="310">
        <v>350000</v>
      </c>
      <c r="N65" s="313" t="s">
        <v>563</v>
      </c>
      <c r="O65" s="314" t="s">
        <v>563</v>
      </c>
      <c r="P65" s="307">
        <f t="shared" si="3"/>
        <v>0</v>
      </c>
      <c r="R65" s="91" t="str">
        <f t="shared" si="27"/>
        <v>Mgg3</v>
      </c>
      <c r="S65" s="307" t="str">
        <f t="shared" si="5"/>
        <v>BKK.17aaaa</v>
      </c>
      <c r="T65" s="307" t="str">
        <f t="shared" si="6"/>
        <v>Koral L300</v>
      </c>
      <c r="U65" s="315" t="str">
        <f t="shared" si="19"/>
        <v/>
      </c>
      <c r="V65" s="307" t="str">
        <f t="shared" si="25"/>
        <v/>
      </c>
      <c r="W65" s="307" t="str">
        <f>IFERROR(IF(V65&gt;0,PROPER(Terbilang1(V65)&amp;" Rupiah"),0),"")</f>
        <v/>
      </c>
      <c r="X65" s="90">
        <f t="shared" si="23"/>
        <v>1</v>
      </c>
      <c r="Y65" s="307" t="str">
        <f t="shared" si="24"/>
        <v>Pik Up</v>
      </c>
      <c r="Z65" s="307">
        <f t="shared" si="9"/>
        <v>0</v>
      </c>
      <c r="AA65" s="366">
        <f t="shared" si="10"/>
        <v>0</v>
      </c>
      <c r="AB65" s="367">
        <f t="shared" si="17"/>
        <v>0</v>
      </c>
      <c r="AC65" s="305">
        <f t="shared" si="18"/>
        <v>0</v>
      </c>
      <c r="AP65" s="89" t="str">
        <f t="shared" ref="AP65:AP128" si="29">IF(LEFT(O65,3)="BKK",1,"")</f>
        <v/>
      </c>
      <c r="AQ65" s="89" t="str">
        <f t="shared" si="28"/>
        <v/>
      </c>
      <c r="AR65" s="315" t="str">
        <f t="shared" si="14"/>
        <v/>
      </c>
      <c r="AS65" s="305" t="str">
        <f t="shared" si="15"/>
        <v>0</v>
      </c>
      <c r="AT65" s="307">
        <f>Table22[[#This Row],[Column1]]</f>
        <v>0</v>
      </c>
    </row>
    <row r="66" spans="1:46" x14ac:dyDescent="0.3">
      <c r="A66" s="307" t="str">
        <f t="shared" ref="A66:A129" si="30">IF(C66=1,C66&amp;"."&amp;MOD(ROW()-1,$AJ$2+1),IF(C66=2,C66&amp;"."&amp;MOD(ROW()-($AJ$2+1),$AK$2+1),IF(C66=3,C66&amp;"."&amp;MOD(ROW()-($AJ$2+$AK$2+1),$AL$2+1),IF(C66=4,C66&amp;"."&amp;MOD(ROW()-($AJ$2+$AK$2+$AL$2+1),$AM$2+1),IF(C66=5,C66&amp;"."&amp;MOD(ROW()-($AJ$2+$AK$2+$AL$2+$AM$2+1),$AN$2+1),0)))))</f>
        <v>1.65</v>
      </c>
      <c r="B66" s="307" t="str">
        <f t="shared" si="26"/>
        <v>Beli</v>
      </c>
      <c r="C66" s="308">
        <v>1</v>
      </c>
      <c r="D66" s="309" t="s">
        <v>563</v>
      </c>
      <c r="E66" s="310" t="s">
        <v>235</v>
      </c>
      <c r="F66" s="310" t="s">
        <v>646</v>
      </c>
      <c r="G66" s="311" t="s">
        <v>647</v>
      </c>
      <c r="H66" s="310" t="s">
        <v>648</v>
      </c>
      <c r="I66" s="310">
        <v>58000</v>
      </c>
      <c r="J66" s="310">
        <v>6</v>
      </c>
      <c r="K66" s="312">
        <v>348000</v>
      </c>
      <c r="L66" s="310" t="s">
        <v>38</v>
      </c>
      <c r="M66" s="310">
        <v>348000</v>
      </c>
      <c r="N66" s="313" t="s">
        <v>563</v>
      </c>
      <c r="O66" s="314" t="s">
        <v>563</v>
      </c>
      <c r="P66" s="307">
        <f t="shared" ref="P66:P129" si="31">IF(LEFT(O66,1)="B",R66,0)</f>
        <v>0</v>
      </c>
      <c r="R66" s="91" t="str">
        <f t="shared" si="27"/>
        <v>Mgg3</v>
      </c>
      <c r="S66" s="307" t="str">
        <f t="shared" ref="S66:S129" si="32">IF(O66="",S65&amp;"a",IF(O66&gt;0,O66,0))</f>
        <v>BKK.17aaaaa</v>
      </c>
      <c r="T66" s="307" t="str">
        <f t="shared" ref="T66:T129" si="33">IF(G66=0,"",G66)</f>
        <v>Semen Gresik 40Kg</v>
      </c>
      <c r="U66" s="315" t="str">
        <f t="shared" ref="U66:U129" si="34">D66</f>
        <v/>
      </c>
      <c r="V66" s="307" t="str">
        <f t="shared" si="25"/>
        <v/>
      </c>
      <c r="W66" s="307" t="str">
        <f>IFERROR(IF(V66&gt;0,PROPER(Terbilang1(V66)&amp;" Rupiah"),0),"")</f>
        <v/>
      </c>
      <c r="X66" s="90">
        <f t="shared" si="23"/>
        <v>6</v>
      </c>
      <c r="Y66" s="307" t="str">
        <f t="shared" si="24"/>
        <v>Sak</v>
      </c>
      <c r="Z66" s="307">
        <f t="shared" ref="Z66:Z129" si="35">IF(LEN(AA66)&gt;1,AA66,IF(AA66=0,AB66,0))</f>
        <v>0</v>
      </c>
      <c r="AA66" s="366">
        <f t="shared" ref="AA66:AA129" si="36">IFERROR(IF(AND(N66&gt;1,LEFT(G66,5)="Bayar"),N66*3.5%,IF(N66&gt;2000000,N66*(IF(OR(LEFT(F66,3)="MoP",LEFT(F66,3)="GaJ"),0,11%)),0)),0)</f>
        <v>0</v>
      </c>
      <c r="AB66" s="367">
        <f t="shared" si="17"/>
        <v>0</v>
      </c>
      <c r="AC66" s="305">
        <f t="shared" si="18"/>
        <v>0</v>
      </c>
      <c r="AP66" s="89" t="str">
        <f t="shared" si="29"/>
        <v/>
      </c>
      <c r="AQ66" s="89" t="str">
        <f t="shared" si="28"/>
        <v/>
      </c>
      <c r="AR66" s="315" t="str">
        <f t="shared" ref="AR66:AR129" si="37">IF(VALUE(AT66)&gt;1,IF(LEN(AR65)&gt;1,AR65,D66),"")</f>
        <v/>
      </c>
      <c r="AS66" s="305" t="str">
        <f t="shared" ref="AS66:AS129" si="38">IF(AC66="","",LEFT(AC66,15))</f>
        <v>0</v>
      </c>
      <c r="AT66" s="307">
        <f>Table22[[#This Row],[Column1]]</f>
        <v>0</v>
      </c>
    </row>
    <row r="67" spans="1:46" x14ac:dyDescent="0.3">
      <c r="A67" s="307" t="str">
        <f t="shared" si="30"/>
        <v>1.66</v>
      </c>
      <c r="B67" s="307" t="str">
        <f t="shared" si="26"/>
        <v>Beli</v>
      </c>
      <c r="C67" s="308">
        <v>1</v>
      </c>
      <c r="D67" s="309">
        <v>45917</v>
      </c>
      <c r="E67" s="310" t="s">
        <v>235</v>
      </c>
      <c r="F67" s="310" t="s">
        <v>664</v>
      </c>
      <c r="G67" s="311" t="s">
        <v>665</v>
      </c>
      <c r="H67" s="310" t="s">
        <v>628</v>
      </c>
      <c r="I67" s="310">
        <v>73000</v>
      </c>
      <c r="J67" s="310">
        <v>15</v>
      </c>
      <c r="K67" s="312">
        <v>1095000</v>
      </c>
      <c r="L67" s="310" t="s">
        <v>38</v>
      </c>
      <c r="M67" s="310">
        <v>1095000</v>
      </c>
      <c r="N67" s="313">
        <v>1902000</v>
      </c>
      <c r="O67" s="314" t="s">
        <v>680</v>
      </c>
      <c r="P67" s="307" t="str">
        <f t="shared" si="31"/>
        <v>Mgg3</v>
      </c>
      <c r="R67" s="91" t="str">
        <f t="shared" si="27"/>
        <v>Mgg3</v>
      </c>
      <c r="S67" s="307" t="str">
        <f t="shared" si="32"/>
        <v>BKK.18</v>
      </c>
      <c r="T67" s="307" t="str">
        <f t="shared" si="33"/>
        <v>Besi Sni 10.0</v>
      </c>
      <c r="U67" s="315">
        <f t="shared" si="34"/>
        <v>45917</v>
      </c>
      <c r="V67" s="307">
        <f t="shared" ref="V67:V130" si="39">N67</f>
        <v>1902000</v>
      </c>
      <c r="W67" s="307" t="str">
        <f>IFERROR(IF(V67&gt;0,PROPER(Terbilang1(V67)&amp;" Rupiah"),0),"")</f>
        <v>Satu Juta Sembilan Ratus Dua Ribu Rupiah</v>
      </c>
      <c r="X67" s="90">
        <f t="shared" ref="X67:X130" si="40">J67</f>
        <v>15</v>
      </c>
      <c r="Y67" s="307" t="str">
        <f t="shared" ref="Y67:Y130" si="41">H67</f>
        <v>Ljr</v>
      </c>
      <c r="Z67" s="307">
        <f t="shared" si="35"/>
        <v>0</v>
      </c>
      <c r="AA67" s="366">
        <f t="shared" si="36"/>
        <v>0</v>
      </c>
      <c r="AB67" s="367">
        <f t="shared" ref="AB67:AB130" si="42">IF(LEN(AA66)&gt;1,IF(LEFT(G66,5)="Bayar",0,IF(LEFT(G66,6)="PEMASA",(N66*100/111*1.5%),N66*0.015)),0)</f>
        <v>0</v>
      </c>
      <c r="AC67" s="305">
        <f t="shared" ref="AC67:AC130" si="43">IF(LEN(AA67)&gt;1,IF(LEFT(G67,6)="PEMASA","Terima Pajak PPN (11 %) "&amp;O67,IF(LEFT(G67,5)="Bayar","Terima PPh Pasal 4 ayat 2 (3,5 %) "&amp;O67,"Bayar Pajak PPN (11 %) "&amp;O67)),IF(AB67&gt;0,IF(LEFT(AC66,6)="Terima","Terima Pajak PPH (1,5%) "&amp;O66,"Bayar Pajak PPH (1,5 %) "&amp;O66),0))</f>
        <v>0</v>
      </c>
      <c r="AP67" s="89">
        <f t="shared" si="29"/>
        <v>1</v>
      </c>
      <c r="AQ67" s="89" t="str">
        <f t="shared" si="28"/>
        <v/>
      </c>
      <c r="AR67" s="315" t="str">
        <f t="shared" si="37"/>
        <v/>
      </c>
      <c r="AS67" s="305" t="str">
        <f t="shared" si="38"/>
        <v>0</v>
      </c>
      <c r="AT67" s="307">
        <f>Table22[[#This Row],[Column1]]</f>
        <v>0</v>
      </c>
    </row>
    <row r="68" spans="1:46" x14ac:dyDescent="0.3">
      <c r="A68" s="307" t="str">
        <f t="shared" si="30"/>
        <v>1.67</v>
      </c>
      <c r="B68" s="307" t="str">
        <f t="shared" si="26"/>
        <v>Beli</v>
      </c>
      <c r="C68" s="308">
        <v>1</v>
      </c>
      <c r="D68" s="309" t="s">
        <v>563</v>
      </c>
      <c r="E68" s="310" t="s">
        <v>235</v>
      </c>
      <c r="F68" s="310" t="s">
        <v>646</v>
      </c>
      <c r="G68" s="311" t="s">
        <v>647</v>
      </c>
      <c r="H68" s="310" t="s">
        <v>648</v>
      </c>
      <c r="I68" s="310">
        <v>58000</v>
      </c>
      <c r="J68" s="310">
        <v>4</v>
      </c>
      <c r="K68" s="312">
        <v>232000</v>
      </c>
      <c r="L68" s="310" t="s">
        <v>38</v>
      </c>
      <c r="M68" s="310">
        <v>232000</v>
      </c>
      <c r="N68" s="313" t="s">
        <v>563</v>
      </c>
      <c r="O68" s="314" t="s">
        <v>563</v>
      </c>
      <c r="P68" s="307">
        <f t="shared" si="31"/>
        <v>0</v>
      </c>
      <c r="R68" s="91" t="str">
        <f t="shared" si="27"/>
        <v>Mgg3</v>
      </c>
      <c r="S68" s="307" t="str">
        <f t="shared" si="32"/>
        <v>BKK.18a</v>
      </c>
      <c r="T68" s="307" t="str">
        <f t="shared" si="33"/>
        <v>Semen Gresik 40Kg</v>
      </c>
      <c r="U68" s="315" t="str">
        <f t="shared" si="34"/>
        <v/>
      </c>
      <c r="V68" s="307" t="str">
        <f t="shared" si="39"/>
        <v/>
      </c>
      <c r="W68" s="307" t="str">
        <f>IFERROR(IF(V68&gt;0,PROPER(Terbilang1(V68)&amp;" Rupiah"),0),"")</f>
        <v/>
      </c>
      <c r="X68" s="90">
        <f t="shared" si="40"/>
        <v>4</v>
      </c>
      <c r="Y68" s="307" t="str">
        <f t="shared" si="41"/>
        <v>Sak</v>
      </c>
      <c r="Z68" s="307">
        <f t="shared" si="35"/>
        <v>0</v>
      </c>
      <c r="AA68" s="366">
        <f t="shared" si="36"/>
        <v>0</v>
      </c>
      <c r="AB68" s="367">
        <f t="shared" si="42"/>
        <v>0</v>
      </c>
      <c r="AC68" s="305">
        <f t="shared" si="43"/>
        <v>0</v>
      </c>
      <c r="AP68" s="89" t="str">
        <f t="shared" si="29"/>
        <v/>
      </c>
      <c r="AQ68" s="89" t="str">
        <f t="shared" si="28"/>
        <v/>
      </c>
      <c r="AR68" s="315" t="str">
        <f t="shared" si="37"/>
        <v/>
      </c>
      <c r="AS68" s="305" t="str">
        <f t="shared" si="38"/>
        <v>0</v>
      </c>
      <c r="AT68" s="307">
        <f>Table22[[#This Row],[Column1]]</f>
        <v>0</v>
      </c>
    </row>
    <row r="69" spans="1:46" x14ac:dyDescent="0.3">
      <c r="A69" s="307" t="str">
        <f t="shared" si="30"/>
        <v>1.68</v>
      </c>
      <c r="B69" s="307" t="str">
        <f t="shared" si="26"/>
        <v>Beli</v>
      </c>
      <c r="C69" s="308">
        <v>1</v>
      </c>
      <c r="D69" s="309" t="s">
        <v>563</v>
      </c>
      <c r="E69" s="310" t="s">
        <v>235</v>
      </c>
      <c r="F69" s="310" t="s">
        <v>681</v>
      </c>
      <c r="G69" s="311" t="s">
        <v>682</v>
      </c>
      <c r="H69" s="310" t="s">
        <v>628</v>
      </c>
      <c r="I69" s="310">
        <v>115000</v>
      </c>
      <c r="J69" s="310">
        <v>5</v>
      </c>
      <c r="K69" s="312">
        <v>575000</v>
      </c>
      <c r="L69" s="310" t="s">
        <v>38</v>
      </c>
      <c r="M69" s="310">
        <v>575000</v>
      </c>
      <c r="N69" s="313" t="s">
        <v>563</v>
      </c>
      <c r="O69" s="314" t="s">
        <v>563</v>
      </c>
      <c r="P69" s="307">
        <f t="shared" si="31"/>
        <v>0</v>
      </c>
      <c r="R69" s="91" t="str">
        <f t="shared" si="27"/>
        <v>Mgg3</v>
      </c>
      <c r="S69" s="307" t="str">
        <f t="shared" si="32"/>
        <v>BKK.18aa</v>
      </c>
      <c r="T69" s="307" t="str">
        <f t="shared" si="33"/>
        <v>Pipa Pvc Rucika D 3"</v>
      </c>
      <c r="U69" s="315" t="str">
        <f t="shared" si="34"/>
        <v/>
      </c>
      <c r="V69" s="307" t="str">
        <f t="shared" si="39"/>
        <v/>
      </c>
      <c r="W69" s="307" t="str">
        <f>IFERROR(IF(V69&gt;0,PROPER(Terbilang1(V69)&amp;" Rupiah"),0),"")</f>
        <v/>
      </c>
      <c r="X69" s="90">
        <f t="shared" si="40"/>
        <v>5</v>
      </c>
      <c r="Y69" s="307" t="str">
        <f t="shared" si="41"/>
        <v>Ljr</v>
      </c>
      <c r="Z69" s="307">
        <f t="shared" si="35"/>
        <v>0</v>
      </c>
      <c r="AA69" s="366">
        <f t="shared" si="36"/>
        <v>0</v>
      </c>
      <c r="AB69" s="367">
        <f t="shared" si="42"/>
        <v>0</v>
      </c>
      <c r="AC69" s="305">
        <f t="shared" si="43"/>
        <v>0</v>
      </c>
      <c r="AP69" s="89" t="str">
        <f t="shared" si="29"/>
        <v/>
      </c>
      <c r="AQ69" s="89" t="str">
        <f t="shared" si="28"/>
        <v/>
      </c>
      <c r="AR69" s="315" t="str">
        <f t="shared" si="37"/>
        <v/>
      </c>
      <c r="AS69" s="305" t="str">
        <f t="shared" si="38"/>
        <v>0</v>
      </c>
      <c r="AT69" s="307">
        <f>Table22[[#This Row],[Column1]]</f>
        <v>0</v>
      </c>
    </row>
    <row r="70" spans="1:46" x14ac:dyDescent="0.3">
      <c r="A70" s="307" t="str">
        <f t="shared" si="30"/>
        <v>1.69</v>
      </c>
      <c r="B70" s="307" t="str">
        <f t="shared" si="26"/>
        <v>Beli</v>
      </c>
      <c r="C70" s="308">
        <v>1</v>
      </c>
      <c r="D70" s="309">
        <v>45918</v>
      </c>
      <c r="E70" s="310" t="s">
        <v>235</v>
      </c>
      <c r="F70" s="310" t="s">
        <v>660</v>
      </c>
      <c r="G70" s="311" t="s">
        <v>661</v>
      </c>
      <c r="H70" s="310" t="s">
        <v>589</v>
      </c>
      <c r="I70" s="310">
        <v>22000</v>
      </c>
      <c r="J70" s="310">
        <v>4</v>
      </c>
      <c r="K70" s="312">
        <v>88000</v>
      </c>
      <c r="L70" s="310" t="s">
        <v>38</v>
      </c>
      <c r="M70" s="310">
        <v>88000</v>
      </c>
      <c r="N70" s="313">
        <v>1563000</v>
      </c>
      <c r="O70" s="314" t="s">
        <v>683</v>
      </c>
      <c r="P70" s="307" t="str">
        <f t="shared" si="31"/>
        <v>Mgg3</v>
      </c>
      <c r="R70" s="91" t="str">
        <f t="shared" si="27"/>
        <v>Mgg3</v>
      </c>
      <c r="S70" s="307" t="str">
        <f t="shared" si="32"/>
        <v>BKK.19</v>
      </c>
      <c r="T70" s="307" t="str">
        <f t="shared" si="33"/>
        <v>Bendrat Spq</v>
      </c>
      <c r="U70" s="315">
        <f t="shared" si="34"/>
        <v>45918</v>
      </c>
      <c r="V70" s="307">
        <f>N70</f>
        <v>1563000</v>
      </c>
      <c r="W70" s="307" t="str">
        <f>IFERROR(IF(V70&gt;0,PROPER(Terbilang1(V70)&amp;" Rupiah"),0),"")</f>
        <v>Satu Juta Lima Ratus Enam Puluh Tiga Ribu Rupiah</v>
      </c>
      <c r="X70" s="90">
        <f t="shared" si="40"/>
        <v>4</v>
      </c>
      <c r="Y70" s="307" t="str">
        <f t="shared" si="41"/>
        <v>kg</v>
      </c>
      <c r="Z70" s="307">
        <f t="shared" si="35"/>
        <v>0</v>
      </c>
      <c r="AA70" s="366">
        <f t="shared" si="36"/>
        <v>0</v>
      </c>
      <c r="AB70" s="367">
        <f t="shared" si="42"/>
        <v>0</v>
      </c>
      <c r="AC70" s="305">
        <f t="shared" si="43"/>
        <v>0</v>
      </c>
      <c r="AP70" s="89">
        <f t="shared" si="29"/>
        <v>1</v>
      </c>
      <c r="AQ70" s="89" t="str">
        <f t="shared" si="28"/>
        <v/>
      </c>
      <c r="AR70" s="315" t="str">
        <f t="shared" si="37"/>
        <v/>
      </c>
      <c r="AS70" s="305" t="str">
        <f t="shared" si="38"/>
        <v>0</v>
      </c>
      <c r="AT70" s="307">
        <f>Table22[[#This Row],[Column1]]</f>
        <v>0</v>
      </c>
    </row>
    <row r="71" spans="1:46" x14ac:dyDescent="0.3">
      <c r="A71" s="307" t="str">
        <f t="shared" si="30"/>
        <v>1.70</v>
      </c>
      <c r="B71" s="307" t="str">
        <f t="shared" si="26"/>
        <v>Beli</v>
      </c>
      <c r="C71" s="308">
        <v>1</v>
      </c>
      <c r="D71" s="309" t="s">
        <v>563</v>
      </c>
      <c r="E71" s="310" t="s">
        <v>235</v>
      </c>
      <c r="F71" s="310" t="s">
        <v>668</v>
      </c>
      <c r="G71" s="311" t="s">
        <v>669</v>
      </c>
      <c r="H71" s="310" t="s">
        <v>628</v>
      </c>
      <c r="I71" s="310">
        <v>28000</v>
      </c>
      <c r="J71" s="310">
        <v>10</v>
      </c>
      <c r="K71" s="312">
        <v>280000</v>
      </c>
      <c r="L71" s="310" t="s">
        <v>38</v>
      </c>
      <c r="M71" s="310">
        <v>280000</v>
      </c>
      <c r="N71" s="313" t="s">
        <v>563</v>
      </c>
      <c r="O71" s="314" t="s">
        <v>563</v>
      </c>
      <c r="P71" s="307">
        <f t="shared" si="31"/>
        <v>0</v>
      </c>
      <c r="R71" s="91" t="str">
        <f t="shared" si="27"/>
        <v>Mgg3</v>
      </c>
      <c r="S71" s="307" t="str">
        <f t="shared" si="32"/>
        <v>BKK.19a</v>
      </c>
      <c r="T71" s="307" t="str">
        <f t="shared" si="33"/>
        <v>Besi 6.0 Sni</v>
      </c>
      <c r="U71" s="315" t="str">
        <f t="shared" si="34"/>
        <v/>
      </c>
      <c r="V71" s="307" t="str">
        <f t="shared" si="39"/>
        <v/>
      </c>
      <c r="W71" s="307" t="str">
        <f>IFERROR(IF(V71&gt;0,PROPER(Terbilang1(V71)&amp;" Rupiah"),0),"")</f>
        <v/>
      </c>
      <c r="X71" s="90">
        <f t="shared" si="40"/>
        <v>10</v>
      </c>
      <c r="Y71" s="307" t="str">
        <f t="shared" si="41"/>
        <v>Ljr</v>
      </c>
      <c r="Z71" s="307">
        <f t="shared" si="35"/>
        <v>0</v>
      </c>
      <c r="AA71" s="366">
        <f t="shared" si="36"/>
        <v>0</v>
      </c>
      <c r="AB71" s="367">
        <f t="shared" si="42"/>
        <v>0</v>
      </c>
      <c r="AC71" s="305">
        <f t="shared" si="43"/>
        <v>0</v>
      </c>
      <c r="AP71" s="89" t="str">
        <f t="shared" si="29"/>
        <v/>
      </c>
      <c r="AQ71" s="89" t="str">
        <f t="shared" si="28"/>
        <v/>
      </c>
      <c r="AR71" s="315" t="str">
        <f t="shared" si="37"/>
        <v/>
      </c>
      <c r="AS71" s="305" t="str">
        <f t="shared" si="38"/>
        <v>0</v>
      </c>
      <c r="AT71" s="307">
        <f>Table22[[#This Row],[Column1]]</f>
        <v>0</v>
      </c>
    </row>
    <row r="72" spans="1:46" x14ac:dyDescent="0.3">
      <c r="A72" s="307" t="str">
        <f t="shared" si="30"/>
        <v>1.71</v>
      </c>
      <c r="B72" s="307" t="str">
        <f t="shared" si="26"/>
        <v>Beli</v>
      </c>
      <c r="C72" s="308">
        <v>1</v>
      </c>
      <c r="D72" s="309" t="s">
        <v>563</v>
      </c>
      <c r="E72" s="310" t="s">
        <v>235</v>
      </c>
      <c r="F72" s="310" t="s">
        <v>662</v>
      </c>
      <c r="G72" s="311" t="s">
        <v>663</v>
      </c>
      <c r="H72" s="310" t="s">
        <v>628</v>
      </c>
      <c r="I72" s="310">
        <v>46000</v>
      </c>
      <c r="J72" s="310">
        <v>5</v>
      </c>
      <c r="K72" s="312">
        <v>230000</v>
      </c>
      <c r="L72" s="310" t="s">
        <v>38</v>
      </c>
      <c r="M72" s="310">
        <v>230000</v>
      </c>
      <c r="N72" s="313" t="s">
        <v>563</v>
      </c>
      <c r="O72" s="314" t="s">
        <v>563</v>
      </c>
      <c r="P72" s="307">
        <f t="shared" si="31"/>
        <v>0</v>
      </c>
      <c r="R72" s="91" t="str">
        <f t="shared" si="27"/>
        <v>Mgg3</v>
      </c>
      <c r="S72" s="307" t="str">
        <f t="shared" si="32"/>
        <v>BKK.19aa</v>
      </c>
      <c r="T72" s="307" t="str">
        <f t="shared" si="33"/>
        <v>Besi 8.0 Sni</v>
      </c>
      <c r="U72" s="315" t="str">
        <f t="shared" si="34"/>
        <v/>
      </c>
      <c r="V72" s="307" t="str">
        <f t="shared" si="39"/>
        <v/>
      </c>
      <c r="W72" s="307" t="str">
        <f>IFERROR(IF(V72&gt;0,PROPER(Terbilang1(V72)&amp;" Rupiah"),0),"")</f>
        <v/>
      </c>
      <c r="X72" s="90">
        <f t="shared" si="40"/>
        <v>5</v>
      </c>
      <c r="Y72" s="307" t="str">
        <f t="shared" si="41"/>
        <v>Ljr</v>
      </c>
      <c r="Z72" s="307">
        <f t="shared" si="35"/>
        <v>0</v>
      </c>
      <c r="AA72" s="366">
        <f t="shared" si="36"/>
        <v>0</v>
      </c>
      <c r="AB72" s="367">
        <f t="shared" si="42"/>
        <v>0</v>
      </c>
      <c r="AC72" s="305">
        <f t="shared" si="43"/>
        <v>0</v>
      </c>
      <c r="AP72" s="89" t="str">
        <f t="shared" si="29"/>
        <v/>
      </c>
      <c r="AQ72" s="89" t="str">
        <f t="shared" si="28"/>
        <v/>
      </c>
      <c r="AR72" s="315" t="str">
        <f t="shared" si="37"/>
        <v/>
      </c>
      <c r="AS72" s="305" t="str">
        <f t="shared" si="38"/>
        <v>0</v>
      </c>
      <c r="AT72" s="307">
        <f>Table22[[#This Row],[Column1]]</f>
        <v>0</v>
      </c>
    </row>
    <row r="73" spans="1:46" x14ac:dyDescent="0.3">
      <c r="A73" s="307" t="str">
        <f t="shared" si="30"/>
        <v>1.72</v>
      </c>
      <c r="B73" s="307" t="str">
        <f t="shared" si="26"/>
        <v>Beli</v>
      </c>
      <c r="C73" s="308">
        <v>1</v>
      </c>
      <c r="D73" s="309" t="s">
        <v>563</v>
      </c>
      <c r="E73" s="310" t="s">
        <v>235</v>
      </c>
      <c r="F73" s="310" t="s">
        <v>684</v>
      </c>
      <c r="G73" s="311" t="s">
        <v>685</v>
      </c>
      <c r="H73" s="310" t="s">
        <v>628</v>
      </c>
      <c r="I73" s="310">
        <v>78000</v>
      </c>
      <c r="J73" s="310">
        <v>5</v>
      </c>
      <c r="K73" s="312">
        <v>390000</v>
      </c>
      <c r="L73" s="310" t="s">
        <v>38</v>
      </c>
      <c r="M73" s="310">
        <v>390000</v>
      </c>
      <c r="N73" s="313" t="s">
        <v>563</v>
      </c>
      <c r="O73" s="314" t="s">
        <v>563</v>
      </c>
      <c r="P73" s="307">
        <f t="shared" si="31"/>
        <v>0</v>
      </c>
      <c r="R73" s="91" t="str">
        <f t="shared" si="27"/>
        <v>Mgg3</v>
      </c>
      <c r="S73" s="307" t="str">
        <f t="shared" si="32"/>
        <v>BKK.19aaa</v>
      </c>
      <c r="T73" s="307" t="str">
        <f t="shared" si="33"/>
        <v>Pipa Pvc Rucika D 2 1/2"</v>
      </c>
      <c r="U73" s="315" t="str">
        <f t="shared" si="34"/>
        <v/>
      </c>
      <c r="V73" s="307" t="str">
        <f t="shared" si="39"/>
        <v/>
      </c>
      <c r="W73" s="307" t="str">
        <f>IFERROR(IF(V73&gt;0,PROPER(Terbilang1(V73)&amp;" Rupiah"),0),"")</f>
        <v/>
      </c>
      <c r="X73" s="90">
        <f t="shared" si="40"/>
        <v>5</v>
      </c>
      <c r="Y73" s="307" t="str">
        <f t="shared" si="41"/>
        <v>Ljr</v>
      </c>
      <c r="Z73" s="307">
        <f t="shared" si="35"/>
        <v>0</v>
      </c>
      <c r="AA73" s="366">
        <f t="shared" si="36"/>
        <v>0</v>
      </c>
      <c r="AB73" s="367">
        <f t="shared" si="42"/>
        <v>0</v>
      </c>
      <c r="AC73" s="305">
        <f t="shared" si="43"/>
        <v>0</v>
      </c>
      <c r="AP73" s="89" t="str">
        <f t="shared" si="29"/>
        <v/>
      </c>
      <c r="AQ73" s="89" t="str">
        <f t="shared" si="28"/>
        <v/>
      </c>
      <c r="AR73" s="315" t="str">
        <f t="shared" si="37"/>
        <v/>
      </c>
      <c r="AS73" s="305" t="str">
        <f t="shared" si="38"/>
        <v>0</v>
      </c>
      <c r="AT73" s="307">
        <f>Table22[[#This Row],[Column1]]</f>
        <v>0</v>
      </c>
    </row>
    <row r="74" spans="1:46" x14ac:dyDescent="0.3">
      <c r="A74" s="307" t="str">
        <f t="shared" si="30"/>
        <v>1.73</v>
      </c>
      <c r="B74" s="307" t="str">
        <f t="shared" si="26"/>
        <v>Beli</v>
      </c>
      <c r="C74" s="308">
        <v>1</v>
      </c>
      <c r="D74" s="309" t="s">
        <v>563</v>
      </c>
      <c r="E74" s="310" t="s">
        <v>235</v>
      </c>
      <c r="F74" s="310" t="s">
        <v>681</v>
      </c>
      <c r="G74" s="311" t="s">
        <v>682</v>
      </c>
      <c r="H74" s="310" t="s">
        <v>628</v>
      </c>
      <c r="I74" s="310">
        <v>115000</v>
      </c>
      <c r="J74" s="310">
        <v>5</v>
      </c>
      <c r="K74" s="312">
        <v>575000</v>
      </c>
      <c r="L74" s="310" t="s">
        <v>38</v>
      </c>
      <c r="M74" s="310">
        <v>575000</v>
      </c>
      <c r="N74" s="313" t="s">
        <v>563</v>
      </c>
      <c r="O74" s="314" t="s">
        <v>563</v>
      </c>
      <c r="P74" s="307">
        <f t="shared" si="31"/>
        <v>0</v>
      </c>
      <c r="R74" s="91" t="str">
        <f t="shared" si="27"/>
        <v>Mgg3</v>
      </c>
      <c r="S74" s="307" t="str">
        <f t="shared" si="32"/>
        <v>BKK.19aaaa</v>
      </c>
      <c r="T74" s="307" t="str">
        <f t="shared" si="33"/>
        <v>Pipa Pvc Rucika D 3"</v>
      </c>
      <c r="U74" s="315" t="str">
        <f t="shared" si="34"/>
        <v/>
      </c>
      <c r="V74" s="307" t="str">
        <f t="shared" si="39"/>
        <v/>
      </c>
      <c r="W74" s="307" t="str">
        <f>IFERROR(IF(V74&gt;0,PROPER(Terbilang1(V74)&amp;" Rupiah"),0),"")</f>
        <v/>
      </c>
      <c r="X74" s="90">
        <f t="shared" si="40"/>
        <v>5</v>
      </c>
      <c r="Y74" s="307" t="str">
        <f t="shared" si="41"/>
        <v>Ljr</v>
      </c>
      <c r="Z74" s="307">
        <f t="shared" si="35"/>
        <v>0</v>
      </c>
      <c r="AA74" s="366">
        <f t="shared" si="36"/>
        <v>0</v>
      </c>
      <c r="AB74" s="367">
        <f t="shared" si="42"/>
        <v>0</v>
      </c>
      <c r="AC74" s="305">
        <f t="shared" si="43"/>
        <v>0</v>
      </c>
      <c r="AP74" s="89" t="str">
        <f t="shared" si="29"/>
        <v/>
      </c>
      <c r="AQ74" s="89" t="str">
        <f t="shared" si="28"/>
        <v/>
      </c>
      <c r="AR74" s="315" t="str">
        <f t="shared" si="37"/>
        <v/>
      </c>
      <c r="AS74" s="305" t="str">
        <f t="shared" si="38"/>
        <v>0</v>
      </c>
      <c r="AT74" s="307">
        <f>Table22[[#This Row],[Column1]]</f>
        <v>0</v>
      </c>
    </row>
    <row r="75" spans="1:46" x14ac:dyDescent="0.3">
      <c r="A75" s="307" t="str">
        <f t="shared" si="30"/>
        <v>1.74</v>
      </c>
      <c r="B75" s="307" t="str">
        <f t="shared" si="26"/>
        <v>Beli</v>
      </c>
      <c r="C75" s="308">
        <v>1</v>
      </c>
      <c r="D75" s="309">
        <v>45919</v>
      </c>
      <c r="E75" s="310" t="s">
        <v>235</v>
      </c>
      <c r="F75" s="310" t="s">
        <v>664</v>
      </c>
      <c r="G75" s="311" t="s">
        <v>665</v>
      </c>
      <c r="H75" s="310" t="s">
        <v>628</v>
      </c>
      <c r="I75" s="310">
        <v>73000</v>
      </c>
      <c r="J75" s="310">
        <v>10</v>
      </c>
      <c r="K75" s="312">
        <v>730000</v>
      </c>
      <c r="L75" s="310" t="s">
        <v>38</v>
      </c>
      <c r="M75" s="310">
        <v>730000</v>
      </c>
      <c r="N75" s="313">
        <v>1581000</v>
      </c>
      <c r="O75" s="314" t="s">
        <v>686</v>
      </c>
      <c r="P75" s="307" t="str">
        <f t="shared" si="31"/>
        <v>Mgg3</v>
      </c>
      <c r="R75" s="91" t="str">
        <f t="shared" si="27"/>
        <v>Mgg3</v>
      </c>
      <c r="S75" s="307" t="str">
        <f t="shared" si="32"/>
        <v>BKK.20</v>
      </c>
      <c r="T75" s="307" t="str">
        <f t="shared" si="33"/>
        <v>Besi Sni 10.0</v>
      </c>
      <c r="U75" s="315">
        <f t="shared" si="34"/>
        <v>45919</v>
      </c>
      <c r="V75" s="307">
        <f t="shared" si="39"/>
        <v>1581000</v>
      </c>
      <c r="W75" s="307" t="str">
        <f>IFERROR(IF(V75&gt;0,PROPER(Terbilang1(V75)&amp;" Rupiah"),0),"")</f>
        <v>Satu Juta Lima Ratus Delapan Puluh Satu Ribu Rupiah</v>
      </c>
      <c r="X75" s="90">
        <f t="shared" si="40"/>
        <v>10</v>
      </c>
      <c r="Y75" s="307" t="str">
        <f t="shared" si="41"/>
        <v>Ljr</v>
      </c>
      <c r="Z75" s="307">
        <f t="shared" si="35"/>
        <v>0</v>
      </c>
      <c r="AA75" s="366">
        <f t="shared" si="36"/>
        <v>0</v>
      </c>
      <c r="AB75" s="367">
        <f t="shared" si="42"/>
        <v>0</v>
      </c>
      <c r="AC75" s="305">
        <f t="shared" si="43"/>
        <v>0</v>
      </c>
      <c r="AP75" s="89">
        <f t="shared" si="29"/>
        <v>1</v>
      </c>
      <c r="AQ75" s="89" t="str">
        <f t="shared" si="28"/>
        <v/>
      </c>
      <c r="AR75" s="315" t="str">
        <f t="shared" si="37"/>
        <v/>
      </c>
      <c r="AS75" s="305" t="str">
        <f t="shared" si="38"/>
        <v>0</v>
      </c>
      <c r="AT75" s="307">
        <f>Table22[[#This Row],[Column1]]</f>
        <v>0</v>
      </c>
    </row>
    <row r="76" spans="1:46" x14ac:dyDescent="0.3">
      <c r="A76" s="307" t="str">
        <f t="shared" si="30"/>
        <v>1.75</v>
      </c>
      <c r="B76" s="307" t="str">
        <f t="shared" si="26"/>
        <v>Beli</v>
      </c>
      <c r="C76" s="308">
        <v>1</v>
      </c>
      <c r="D76" s="309" t="s">
        <v>563</v>
      </c>
      <c r="E76" s="310" t="s">
        <v>235</v>
      </c>
      <c r="F76" s="310" t="s">
        <v>646</v>
      </c>
      <c r="G76" s="311" t="s">
        <v>647</v>
      </c>
      <c r="H76" s="310" t="s">
        <v>648</v>
      </c>
      <c r="I76" s="310">
        <v>58000</v>
      </c>
      <c r="J76" s="310">
        <v>6</v>
      </c>
      <c r="K76" s="312">
        <v>348000</v>
      </c>
      <c r="L76" s="310" t="s">
        <v>38</v>
      </c>
      <c r="M76" s="310">
        <v>348000</v>
      </c>
      <c r="N76" s="313" t="s">
        <v>563</v>
      </c>
      <c r="O76" s="314" t="s">
        <v>563</v>
      </c>
      <c r="P76" s="307">
        <f t="shared" si="31"/>
        <v>0</v>
      </c>
      <c r="R76" s="91" t="str">
        <f t="shared" si="27"/>
        <v>Mgg3</v>
      </c>
      <c r="S76" s="307" t="str">
        <f t="shared" si="32"/>
        <v>BKK.20a</v>
      </c>
      <c r="T76" s="307" t="str">
        <f t="shared" si="33"/>
        <v>Semen Gresik 40Kg</v>
      </c>
      <c r="U76" s="315" t="str">
        <f t="shared" si="34"/>
        <v/>
      </c>
      <c r="V76" s="307" t="str">
        <f>N76</f>
        <v/>
      </c>
      <c r="W76" s="307" t="str">
        <f>IFERROR(IF(V76&gt;0,PROPER(Terbilang1(V76)&amp;" Rupiah"),0),"")</f>
        <v/>
      </c>
      <c r="X76" s="90">
        <f t="shared" si="40"/>
        <v>6</v>
      </c>
      <c r="Y76" s="307" t="str">
        <f t="shared" si="41"/>
        <v>Sak</v>
      </c>
      <c r="Z76" s="307">
        <f t="shared" si="35"/>
        <v>0</v>
      </c>
      <c r="AA76" s="366">
        <f t="shared" si="36"/>
        <v>0</v>
      </c>
      <c r="AB76" s="367">
        <f t="shared" si="42"/>
        <v>0</v>
      </c>
      <c r="AC76" s="305">
        <f t="shared" si="43"/>
        <v>0</v>
      </c>
      <c r="AP76" s="89" t="str">
        <f t="shared" si="29"/>
        <v/>
      </c>
      <c r="AQ76" s="89" t="str">
        <f t="shared" si="28"/>
        <v/>
      </c>
      <c r="AR76" s="315" t="str">
        <f t="shared" si="37"/>
        <v/>
      </c>
      <c r="AS76" s="305" t="str">
        <f t="shared" si="38"/>
        <v>0</v>
      </c>
      <c r="AT76" s="307">
        <f>Table22[[#This Row],[Column1]]</f>
        <v>0</v>
      </c>
    </row>
    <row r="77" spans="1:46" x14ac:dyDescent="0.3">
      <c r="A77" s="307" t="str">
        <f t="shared" si="30"/>
        <v>1.76</v>
      </c>
      <c r="B77" s="307" t="str">
        <f t="shared" si="26"/>
        <v>Beli</v>
      </c>
      <c r="C77" s="308">
        <v>1</v>
      </c>
      <c r="D77" s="309" t="s">
        <v>563</v>
      </c>
      <c r="E77" s="310" t="s">
        <v>235</v>
      </c>
      <c r="F77" s="310" t="s">
        <v>681</v>
      </c>
      <c r="G77" s="311" t="s">
        <v>682</v>
      </c>
      <c r="H77" s="310" t="s">
        <v>628</v>
      </c>
      <c r="I77" s="310">
        <v>115000</v>
      </c>
      <c r="J77" s="310">
        <v>3</v>
      </c>
      <c r="K77" s="312">
        <v>345000</v>
      </c>
      <c r="L77" s="310" t="s">
        <v>38</v>
      </c>
      <c r="M77" s="310">
        <v>345000</v>
      </c>
      <c r="N77" s="313" t="s">
        <v>563</v>
      </c>
      <c r="O77" s="314" t="s">
        <v>563</v>
      </c>
      <c r="P77" s="307">
        <f t="shared" si="31"/>
        <v>0</v>
      </c>
      <c r="R77" s="91" t="str">
        <f t="shared" si="27"/>
        <v>Mgg3</v>
      </c>
      <c r="S77" s="307" t="str">
        <f t="shared" si="32"/>
        <v>BKK.20aa</v>
      </c>
      <c r="T77" s="307" t="str">
        <f t="shared" si="33"/>
        <v>Pipa Pvc Rucika D 3"</v>
      </c>
      <c r="U77" s="315" t="str">
        <f t="shared" si="34"/>
        <v/>
      </c>
      <c r="V77" s="307" t="str">
        <f t="shared" si="39"/>
        <v/>
      </c>
      <c r="W77" s="307" t="str">
        <f>IFERROR(IF(V77&gt;0,PROPER(Terbilang1(V77)&amp;" Rupiah"),0),"")</f>
        <v/>
      </c>
      <c r="X77" s="90">
        <f t="shared" si="40"/>
        <v>3</v>
      </c>
      <c r="Y77" s="307" t="str">
        <f t="shared" si="41"/>
        <v>Ljr</v>
      </c>
      <c r="Z77" s="307">
        <f t="shared" si="35"/>
        <v>0</v>
      </c>
      <c r="AA77" s="366">
        <f t="shared" si="36"/>
        <v>0</v>
      </c>
      <c r="AB77" s="367">
        <f t="shared" si="42"/>
        <v>0</v>
      </c>
      <c r="AC77" s="305">
        <f t="shared" si="43"/>
        <v>0</v>
      </c>
      <c r="AP77" s="89" t="str">
        <f t="shared" si="29"/>
        <v/>
      </c>
      <c r="AQ77" s="89" t="str">
        <f t="shared" si="28"/>
        <v/>
      </c>
      <c r="AR77" s="315" t="str">
        <f t="shared" si="37"/>
        <v/>
      </c>
      <c r="AS77" s="305" t="str">
        <f t="shared" si="38"/>
        <v>0</v>
      </c>
      <c r="AT77" s="307">
        <f>Table22[[#This Row],[Column1]]</f>
        <v>0</v>
      </c>
    </row>
    <row r="78" spans="1:46" x14ac:dyDescent="0.3">
      <c r="A78" s="307" t="str">
        <f t="shared" si="30"/>
        <v>1.77</v>
      </c>
      <c r="B78" s="307" t="str">
        <f t="shared" si="26"/>
        <v>Beli</v>
      </c>
      <c r="C78" s="308">
        <v>1</v>
      </c>
      <c r="D78" s="309" t="s">
        <v>563</v>
      </c>
      <c r="E78" s="310" t="s">
        <v>235</v>
      </c>
      <c r="F78" s="310" t="s">
        <v>687</v>
      </c>
      <c r="G78" s="311" t="s">
        <v>688</v>
      </c>
      <c r="H78" s="310" t="s">
        <v>628</v>
      </c>
      <c r="I78" s="310">
        <v>158000</v>
      </c>
      <c r="J78" s="310">
        <v>1</v>
      </c>
      <c r="K78" s="312">
        <v>158000</v>
      </c>
      <c r="L78" s="310" t="s">
        <v>38</v>
      </c>
      <c r="M78" s="310">
        <v>158000</v>
      </c>
      <c r="N78" s="313" t="s">
        <v>563</v>
      </c>
      <c r="O78" s="314" t="s">
        <v>563</v>
      </c>
      <c r="P78" s="307">
        <f t="shared" si="31"/>
        <v>0</v>
      </c>
      <c r="R78" s="91" t="str">
        <f t="shared" si="27"/>
        <v>Mgg3</v>
      </c>
      <c r="S78" s="307" t="str">
        <f t="shared" si="32"/>
        <v>BKK.20aaa</v>
      </c>
      <c r="T78" s="307" t="str">
        <f t="shared" si="33"/>
        <v>Pipa Pvc Rucika D 4"</v>
      </c>
      <c r="U78" s="315" t="str">
        <f t="shared" si="34"/>
        <v/>
      </c>
      <c r="V78" s="307" t="str">
        <f t="shared" si="39"/>
        <v/>
      </c>
      <c r="W78" s="307" t="str">
        <f>IFERROR(IF(V78&gt;0,PROPER(Terbilang1(V78)&amp;" Rupiah"),0),"")</f>
        <v/>
      </c>
      <c r="X78" s="90">
        <f t="shared" si="40"/>
        <v>1</v>
      </c>
      <c r="Y78" s="307" t="str">
        <f t="shared" si="41"/>
        <v>Ljr</v>
      </c>
      <c r="Z78" s="307">
        <f t="shared" si="35"/>
        <v>0</v>
      </c>
      <c r="AA78" s="366">
        <f t="shared" si="36"/>
        <v>0</v>
      </c>
      <c r="AB78" s="367">
        <f t="shared" si="42"/>
        <v>0</v>
      </c>
      <c r="AC78" s="305">
        <f t="shared" si="43"/>
        <v>0</v>
      </c>
      <c r="AP78" s="89" t="str">
        <f t="shared" si="29"/>
        <v/>
      </c>
      <c r="AQ78" s="89" t="str">
        <f t="shared" si="28"/>
        <v/>
      </c>
      <c r="AR78" s="315" t="str">
        <f t="shared" si="37"/>
        <v/>
      </c>
      <c r="AS78" s="305" t="str">
        <f t="shared" si="38"/>
        <v>0</v>
      </c>
      <c r="AT78" s="307">
        <f>Table22[[#This Row],[Column1]]</f>
        <v>0</v>
      </c>
    </row>
    <row r="79" spans="1:46" x14ac:dyDescent="0.3">
      <c r="A79" s="307" t="str">
        <f t="shared" si="30"/>
        <v>1.78</v>
      </c>
      <c r="B79" s="307" t="str">
        <f t="shared" si="26"/>
        <v>Beli</v>
      </c>
      <c r="C79" s="308">
        <v>1</v>
      </c>
      <c r="D79" s="309">
        <v>45920</v>
      </c>
      <c r="E79" s="310" t="s">
        <v>235</v>
      </c>
      <c r="F79" s="310" t="s">
        <v>646</v>
      </c>
      <c r="G79" s="311" t="s">
        <v>647</v>
      </c>
      <c r="H79" s="310" t="s">
        <v>648</v>
      </c>
      <c r="I79" s="310">
        <v>58000</v>
      </c>
      <c r="J79" s="310">
        <v>30</v>
      </c>
      <c r="K79" s="312">
        <v>1740000</v>
      </c>
      <c r="L79" s="310" t="s">
        <v>38</v>
      </c>
      <c r="M79" s="310">
        <v>1740000</v>
      </c>
      <c r="N79" s="313">
        <v>1740000</v>
      </c>
      <c r="O79" s="314" t="s">
        <v>689</v>
      </c>
      <c r="P79" s="307" t="str">
        <f t="shared" si="31"/>
        <v>Mgg3</v>
      </c>
      <c r="R79" s="91" t="str">
        <f t="shared" si="27"/>
        <v>Mgg3</v>
      </c>
      <c r="S79" s="307" t="str">
        <f t="shared" si="32"/>
        <v>BKK.21</v>
      </c>
      <c r="T79" s="307" t="str">
        <f t="shared" si="33"/>
        <v>Semen Gresik 40Kg</v>
      </c>
      <c r="U79" s="315">
        <f t="shared" si="34"/>
        <v>45920</v>
      </c>
      <c r="V79" s="307">
        <f t="shared" si="39"/>
        <v>1740000</v>
      </c>
      <c r="W79" s="307" t="str">
        <f>IFERROR(IF(V79&gt;0,PROPER(Terbilang1(V79)&amp;" Rupiah"),0),"")</f>
        <v>Satu Juta Tujuh Ratus Empat Puluh Ribu Rupiah</v>
      </c>
      <c r="X79" s="90">
        <f t="shared" si="40"/>
        <v>30</v>
      </c>
      <c r="Y79" s="307" t="str">
        <f t="shared" si="41"/>
        <v>Sak</v>
      </c>
      <c r="Z79" s="307">
        <f t="shared" si="35"/>
        <v>0</v>
      </c>
      <c r="AA79" s="366">
        <f t="shared" si="36"/>
        <v>0</v>
      </c>
      <c r="AB79" s="367">
        <f t="shared" si="42"/>
        <v>0</v>
      </c>
      <c r="AC79" s="305">
        <f t="shared" si="43"/>
        <v>0</v>
      </c>
      <c r="AP79" s="89">
        <f t="shared" si="29"/>
        <v>1</v>
      </c>
      <c r="AQ79" s="89" t="str">
        <f t="shared" si="28"/>
        <v/>
      </c>
      <c r="AR79" s="315" t="str">
        <f t="shared" si="37"/>
        <v/>
      </c>
      <c r="AS79" s="305" t="str">
        <f t="shared" si="38"/>
        <v>0</v>
      </c>
      <c r="AT79" s="307">
        <f>Table22[[#This Row],[Column1]]</f>
        <v>0</v>
      </c>
    </row>
    <row r="80" spans="1:46" x14ac:dyDescent="0.3">
      <c r="A80" s="307" t="str">
        <f t="shared" si="30"/>
        <v>1.79</v>
      </c>
      <c r="B80" s="307" t="str">
        <f t="shared" si="26"/>
        <v>Bayar Ongkos</v>
      </c>
      <c r="C80" s="308">
        <v>1</v>
      </c>
      <c r="D80" s="309">
        <v>45920</v>
      </c>
      <c r="E80" s="310" t="s">
        <v>501</v>
      </c>
      <c r="F80" s="310" t="s">
        <v>501</v>
      </c>
      <c r="G80" s="311" t="s">
        <v>690</v>
      </c>
      <c r="H80" s="310">
        <v>0</v>
      </c>
      <c r="I80" s="310">
        <v>1</v>
      </c>
      <c r="J80" s="310">
        <v>1</v>
      </c>
      <c r="K80" s="312">
        <v>1</v>
      </c>
      <c r="L80" s="310" t="s">
        <v>35</v>
      </c>
      <c r="M80" s="310">
        <v>5580000</v>
      </c>
      <c r="N80" s="313">
        <v>5580000</v>
      </c>
      <c r="O80" s="314" t="s">
        <v>691</v>
      </c>
      <c r="P80" s="307" t="str">
        <f t="shared" si="31"/>
        <v>Gaj3</v>
      </c>
      <c r="R80" s="91" t="str">
        <f t="shared" si="27"/>
        <v>Gaj3</v>
      </c>
      <c r="S80" s="307" t="str">
        <f t="shared" si="32"/>
        <v>BKK.22</v>
      </c>
      <c r="T80" s="307" t="str">
        <f t="shared" si="33"/>
        <v>Pembayaran Pekerja Minggu Ke 3</v>
      </c>
      <c r="U80" s="315">
        <f t="shared" si="34"/>
        <v>45920</v>
      </c>
      <c r="V80" s="307">
        <f t="shared" si="39"/>
        <v>5580000</v>
      </c>
      <c r="W80" s="307" t="str">
        <f>IFERROR(IF(V80&gt;0,PROPER(Terbilang1(V80)&amp;" Rupiah"),0),"")</f>
        <v>Lima Juta Lima Ratus Delapan Puluh Ribu Rupiah</v>
      </c>
      <c r="X80" s="90">
        <f t="shared" si="40"/>
        <v>1</v>
      </c>
      <c r="Y80" s="307">
        <f t="shared" si="41"/>
        <v>0</v>
      </c>
      <c r="Z80" s="307">
        <f t="shared" si="35"/>
        <v>0</v>
      </c>
      <c r="AA80" s="366">
        <f t="shared" si="36"/>
        <v>0</v>
      </c>
      <c r="AB80" s="367">
        <f t="shared" si="42"/>
        <v>0</v>
      </c>
      <c r="AC80" s="305">
        <f t="shared" si="43"/>
        <v>0</v>
      </c>
      <c r="AP80" s="89">
        <f t="shared" si="29"/>
        <v>1</v>
      </c>
      <c r="AQ80" s="89" t="str">
        <f t="shared" si="28"/>
        <v/>
      </c>
      <c r="AR80" s="315" t="str">
        <f t="shared" si="37"/>
        <v/>
      </c>
      <c r="AS80" s="305" t="str">
        <f t="shared" si="38"/>
        <v>0</v>
      </c>
      <c r="AT80" s="307">
        <f>Table22[[#This Row],[Column1]]</f>
        <v>0</v>
      </c>
    </row>
    <row r="81" spans="1:46" x14ac:dyDescent="0.3">
      <c r="A81" s="307" t="str">
        <f t="shared" si="30"/>
        <v>1.80</v>
      </c>
      <c r="B81" s="307" t="str">
        <f t="shared" si="26"/>
        <v>Beli</v>
      </c>
      <c r="C81" s="308">
        <v>1</v>
      </c>
      <c r="D81" s="309">
        <v>45922</v>
      </c>
      <c r="E81" s="310" t="s">
        <v>236</v>
      </c>
      <c r="F81" s="310" t="s">
        <v>692</v>
      </c>
      <c r="G81" s="311" t="s">
        <v>693</v>
      </c>
      <c r="H81" s="310" t="s">
        <v>566</v>
      </c>
      <c r="I81" s="310">
        <v>93000</v>
      </c>
      <c r="J81" s="310">
        <v>6</v>
      </c>
      <c r="K81" s="312">
        <v>558000</v>
      </c>
      <c r="L81" s="310" t="s">
        <v>38</v>
      </c>
      <c r="M81" s="310">
        <v>558000</v>
      </c>
      <c r="N81" s="313">
        <v>1924000</v>
      </c>
      <c r="O81" s="314" t="s">
        <v>694</v>
      </c>
      <c r="P81" s="307" t="str">
        <f t="shared" si="31"/>
        <v>Mgg4</v>
      </c>
      <c r="R81" s="91" t="str">
        <f t="shared" si="27"/>
        <v>Mgg4</v>
      </c>
      <c r="S81" s="307" t="str">
        <f t="shared" si="32"/>
        <v>BKK.23</v>
      </c>
      <c r="T81" s="307" t="str">
        <f t="shared" si="33"/>
        <v>Triplek 9Mm</v>
      </c>
      <c r="U81" s="315">
        <f t="shared" si="34"/>
        <v>45922</v>
      </c>
      <c r="V81" s="307">
        <f>N81</f>
        <v>1924000</v>
      </c>
      <c r="W81" s="307" t="str">
        <f>IFERROR(IF(V81&gt;0,PROPER(Terbilang1(V81)&amp;" Rupiah"),0),"")</f>
        <v>Satu Juta Sembilan Ratus Dua Puluh Empat Ribu Rupiah</v>
      </c>
      <c r="X81" s="90">
        <f t="shared" si="40"/>
        <v>6</v>
      </c>
      <c r="Y81" s="307" t="str">
        <f t="shared" si="41"/>
        <v>Lbr</v>
      </c>
      <c r="Z81" s="307">
        <f t="shared" si="35"/>
        <v>0</v>
      </c>
      <c r="AA81" s="366">
        <f t="shared" si="36"/>
        <v>0</v>
      </c>
      <c r="AB81" s="367">
        <f t="shared" si="42"/>
        <v>0</v>
      </c>
      <c r="AC81" s="305">
        <f t="shared" si="43"/>
        <v>0</v>
      </c>
      <c r="AP81" s="89">
        <f t="shared" si="29"/>
        <v>1</v>
      </c>
      <c r="AQ81" s="89" t="str">
        <f t="shared" si="28"/>
        <v/>
      </c>
      <c r="AR81" s="315" t="str">
        <f t="shared" si="37"/>
        <v/>
      </c>
      <c r="AS81" s="305" t="str">
        <f t="shared" si="38"/>
        <v>0</v>
      </c>
      <c r="AT81" s="307">
        <f>Table22[[#This Row],[Column1]]</f>
        <v>0</v>
      </c>
    </row>
    <row r="82" spans="1:46" x14ac:dyDescent="0.3">
      <c r="A82" s="307" t="str">
        <f t="shared" si="30"/>
        <v>1.81</v>
      </c>
      <c r="B82" s="307" t="str">
        <f t="shared" si="26"/>
        <v>Beli</v>
      </c>
      <c r="C82" s="308">
        <v>1</v>
      </c>
      <c r="D82" s="309" t="s">
        <v>563</v>
      </c>
      <c r="E82" s="310" t="s">
        <v>236</v>
      </c>
      <c r="F82" s="310" t="s">
        <v>640</v>
      </c>
      <c r="G82" s="311" t="s">
        <v>641</v>
      </c>
      <c r="H82" s="310" t="s">
        <v>633</v>
      </c>
      <c r="I82" s="310">
        <v>335000</v>
      </c>
      <c r="J82" s="310">
        <v>2</v>
      </c>
      <c r="K82" s="312">
        <v>670000</v>
      </c>
      <c r="L82" s="310" t="s">
        <v>38</v>
      </c>
      <c r="M82" s="310">
        <v>670000</v>
      </c>
      <c r="N82" s="313" t="s">
        <v>563</v>
      </c>
      <c r="O82" s="314" t="s">
        <v>563</v>
      </c>
      <c r="P82" s="307">
        <f t="shared" si="31"/>
        <v>0</v>
      </c>
      <c r="R82" s="91" t="str">
        <f t="shared" si="27"/>
        <v>Mgg4</v>
      </c>
      <c r="S82" s="307" t="str">
        <f t="shared" si="32"/>
        <v>BKK.23a</v>
      </c>
      <c r="T82" s="307" t="str">
        <f t="shared" si="33"/>
        <v>Pasir Cor L300</v>
      </c>
      <c r="U82" s="315" t="str">
        <f t="shared" si="34"/>
        <v/>
      </c>
      <c r="V82" s="307" t="str">
        <f t="shared" si="39"/>
        <v/>
      </c>
      <c r="W82" s="307" t="str">
        <f>IFERROR(IF(V82&gt;0,PROPER(Terbilang1(V82)&amp;" Rupiah"),0),"")</f>
        <v/>
      </c>
      <c r="X82" s="90">
        <f t="shared" si="40"/>
        <v>2</v>
      </c>
      <c r="Y82" s="307" t="str">
        <f t="shared" si="41"/>
        <v>Pik Up</v>
      </c>
      <c r="Z82" s="307">
        <f t="shared" si="35"/>
        <v>0</v>
      </c>
      <c r="AA82" s="366">
        <f t="shared" si="36"/>
        <v>0</v>
      </c>
      <c r="AB82" s="367">
        <f t="shared" si="42"/>
        <v>0</v>
      </c>
      <c r="AC82" s="305">
        <f t="shared" si="43"/>
        <v>0</v>
      </c>
      <c r="AP82" s="89" t="str">
        <f t="shared" si="29"/>
        <v/>
      </c>
      <c r="AQ82" s="89" t="str">
        <f t="shared" si="28"/>
        <v/>
      </c>
      <c r="AR82" s="315" t="str">
        <f t="shared" si="37"/>
        <v/>
      </c>
      <c r="AS82" s="305" t="str">
        <f t="shared" si="38"/>
        <v>0</v>
      </c>
      <c r="AT82" s="307">
        <f>Table22[[#This Row],[Column1]]</f>
        <v>0</v>
      </c>
    </row>
    <row r="83" spans="1:46" x14ac:dyDescent="0.3">
      <c r="A83" s="307" t="str">
        <f t="shared" si="30"/>
        <v>1.82</v>
      </c>
      <c r="B83" s="307" t="str">
        <f t="shared" si="26"/>
        <v>Beli</v>
      </c>
      <c r="C83" s="308">
        <v>1</v>
      </c>
      <c r="D83" s="309" t="s">
        <v>563</v>
      </c>
      <c r="E83" s="310" t="s">
        <v>236</v>
      </c>
      <c r="F83" s="310" t="s">
        <v>668</v>
      </c>
      <c r="G83" s="311" t="s">
        <v>669</v>
      </c>
      <c r="H83" s="310" t="s">
        <v>628</v>
      </c>
      <c r="I83" s="310">
        <v>28000</v>
      </c>
      <c r="J83" s="310">
        <v>10</v>
      </c>
      <c r="K83" s="312">
        <v>280000</v>
      </c>
      <c r="L83" s="310" t="s">
        <v>38</v>
      </c>
      <c r="M83" s="310">
        <v>280000</v>
      </c>
      <c r="N83" s="313" t="s">
        <v>563</v>
      </c>
      <c r="O83" s="314" t="s">
        <v>563</v>
      </c>
      <c r="P83" s="307">
        <f t="shared" si="31"/>
        <v>0</v>
      </c>
      <c r="R83" s="91" t="str">
        <f t="shared" si="27"/>
        <v>Mgg4</v>
      </c>
      <c r="S83" s="307" t="str">
        <f t="shared" si="32"/>
        <v>BKK.23aa</v>
      </c>
      <c r="T83" s="307" t="str">
        <f t="shared" si="33"/>
        <v>Besi 6.0 Sni</v>
      </c>
      <c r="U83" s="315" t="str">
        <f t="shared" si="34"/>
        <v/>
      </c>
      <c r="V83" s="307" t="str">
        <f t="shared" si="39"/>
        <v/>
      </c>
      <c r="W83" s="307" t="str">
        <f>IFERROR(IF(V83&gt;0,PROPER(Terbilang1(V83)&amp;" Rupiah"),0),"")</f>
        <v/>
      </c>
      <c r="X83" s="90">
        <f t="shared" si="40"/>
        <v>10</v>
      </c>
      <c r="Y83" s="307" t="str">
        <f t="shared" si="41"/>
        <v>Ljr</v>
      </c>
      <c r="Z83" s="307">
        <f t="shared" si="35"/>
        <v>0</v>
      </c>
      <c r="AA83" s="366">
        <f t="shared" si="36"/>
        <v>0</v>
      </c>
      <c r="AB83" s="367">
        <f t="shared" si="42"/>
        <v>0</v>
      </c>
      <c r="AC83" s="305">
        <f t="shared" si="43"/>
        <v>0</v>
      </c>
      <c r="AP83" s="89" t="str">
        <f t="shared" si="29"/>
        <v/>
      </c>
      <c r="AQ83" s="89" t="str">
        <f t="shared" si="28"/>
        <v/>
      </c>
      <c r="AR83" s="315" t="str">
        <f t="shared" si="37"/>
        <v/>
      </c>
      <c r="AS83" s="305" t="str">
        <f t="shared" si="38"/>
        <v>0</v>
      </c>
      <c r="AT83" s="307">
        <f>Table22[[#This Row],[Column1]]</f>
        <v>0</v>
      </c>
    </row>
    <row r="84" spans="1:46" x14ac:dyDescent="0.3">
      <c r="A84" s="307" t="str">
        <f t="shared" si="30"/>
        <v>1.83</v>
      </c>
      <c r="B84" s="307" t="str">
        <f t="shared" si="26"/>
        <v>Beli</v>
      </c>
      <c r="C84" s="308">
        <v>1</v>
      </c>
      <c r="D84" s="309" t="s">
        <v>563</v>
      </c>
      <c r="E84" s="310" t="s">
        <v>236</v>
      </c>
      <c r="F84" s="310" t="s">
        <v>649</v>
      </c>
      <c r="G84" s="311" t="s">
        <v>650</v>
      </c>
      <c r="H84" s="310" t="s">
        <v>648</v>
      </c>
      <c r="I84" s="310">
        <v>52000</v>
      </c>
      <c r="J84" s="310">
        <v>8</v>
      </c>
      <c r="K84" s="312">
        <v>416000</v>
      </c>
      <c r="L84" s="310" t="s">
        <v>38</v>
      </c>
      <c r="M84" s="310">
        <v>416000</v>
      </c>
      <c r="N84" s="313" t="s">
        <v>563</v>
      </c>
      <c r="O84" s="314" t="s">
        <v>563</v>
      </c>
      <c r="P84" s="307">
        <f t="shared" si="31"/>
        <v>0</v>
      </c>
      <c r="R84" s="91" t="str">
        <f t="shared" si="27"/>
        <v>Mgg4</v>
      </c>
      <c r="S84" s="307" t="str">
        <f t="shared" si="32"/>
        <v>BKK.23aaa</v>
      </c>
      <c r="T84" s="307" t="str">
        <f t="shared" si="33"/>
        <v>Semen 3 Roda</v>
      </c>
      <c r="U84" s="315" t="str">
        <f t="shared" si="34"/>
        <v/>
      </c>
      <c r="V84" s="307" t="str">
        <f t="shared" si="39"/>
        <v/>
      </c>
      <c r="W84" s="307" t="str">
        <f>IFERROR(IF(V84&gt;0,PROPER(Terbilang1(V84)&amp;" Rupiah"),0),"")</f>
        <v/>
      </c>
      <c r="X84" s="90">
        <f t="shared" si="40"/>
        <v>8</v>
      </c>
      <c r="Y84" s="307" t="str">
        <f t="shared" si="41"/>
        <v>Sak</v>
      </c>
      <c r="Z84" s="307">
        <f t="shared" si="35"/>
        <v>0</v>
      </c>
      <c r="AA84" s="366">
        <f t="shared" si="36"/>
        <v>0</v>
      </c>
      <c r="AB84" s="367">
        <f t="shared" si="42"/>
        <v>0</v>
      </c>
      <c r="AC84" s="305">
        <f t="shared" si="43"/>
        <v>0</v>
      </c>
      <c r="AP84" s="89" t="str">
        <f t="shared" si="29"/>
        <v/>
      </c>
      <c r="AQ84" s="89" t="str">
        <f t="shared" si="28"/>
        <v/>
      </c>
      <c r="AR84" s="315" t="str">
        <f t="shared" si="37"/>
        <v/>
      </c>
      <c r="AS84" s="305" t="str">
        <f t="shared" si="38"/>
        <v>0</v>
      </c>
      <c r="AT84" s="307">
        <f>Table22[[#This Row],[Column1]]</f>
        <v>0</v>
      </c>
    </row>
    <row r="85" spans="1:46" x14ac:dyDescent="0.3">
      <c r="A85" s="307" t="str">
        <f t="shared" si="30"/>
        <v>1.84</v>
      </c>
      <c r="B85" s="307" t="str">
        <f t="shared" si="26"/>
        <v>Beli</v>
      </c>
      <c r="C85" s="308">
        <v>1</v>
      </c>
      <c r="D85" s="309">
        <v>45923</v>
      </c>
      <c r="E85" s="310" t="s">
        <v>236</v>
      </c>
      <c r="F85" s="310" t="s">
        <v>695</v>
      </c>
      <c r="G85" s="311" t="s">
        <v>696</v>
      </c>
      <c r="H85" s="310" t="s">
        <v>697</v>
      </c>
      <c r="I85" s="310">
        <v>550</v>
      </c>
      <c r="J85" s="310">
        <v>1000</v>
      </c>
      <c r="K85" s="312">
        <v>550000</v>
      </c>
      <c r="L85" s="310" t="s">
        <v>38</v>
      </c>
      <c r="M85" s="310">
        <v>550000</v>
      </c>
      <c r="N85" s="313">
        <v>1950000</v>
      </c>
      <c r="O85" s="314" t="s">
        <v>698</v>
      </c>
      <c r="P85" s="307" t="str">
        <f t="shared" si="31"/>
        <v>Mgg4</v>
      </c>
      <c r="Q85" s="327"/>
      <c r="R85" s="91" t="str">
        <f t="shared" si="27"/>
        <v>Mgg4</v>
      </c>
      <c r="S85" s="307" t="str">
        <f t="shared" si="32"/>
        <v>BKK.24</v>
      </c>
      <c r="T85" s="307" t="str">
        <f t="shared" si="33"/>
        <v>Bata Merah Super</v>
      </c>
      <c r="U85" s="315">
        <f t="shared" si="34"/>
        <v>45923</v>
      </c>
      <c r="V85" s="307">
        <f t="shared" si="39"/>
        <v>1950000</v>
      </c>
      <c r="W85" s="307" t="str">
        <f>IFERROR(IF(V85&gt;0,PROPER(Terbilang1(V85)&amp;" Rupiah"),0),"")</f>
        <v>Satu Juta Sembilan Ratus Lima Puluh Ribu Rupiah</v>
      </c>
      <c r="X85" s="90">
        <f t="shared" si="40"/>
        <v>1000</v>
      </c>
      <c r="Y85" s="307" t="str">
        <f t="shared" si="41"/>
        <v>Bji</v>
      </c>
      <c r="Z85" s="307">
        <f t="shared" si="35"/>
        <v>0</v>
      </c>
      <c r="AA85" s="366">
        <f t="shared" si="36"/>
        <v>0</v>
      </c>
      <c r="AB85" s="367">
        <f t="shared" si="42"/>
        <v>0</v>
      </c>
      <c r="AC85" s="305">
        <f t="shared" si="43"/>
        <v>0</v>
      </c>
      <c r="AP85" s="89">
        <f t="shared" si="29"/>
        <v>1</v>
      </c>
      <c r="AQ85" s="89" t="str">
        <f t="shared" si="28"/>
        <v/>
      </c>
      <c r="AR85" s="315" t="str">
        <f t="shared" si="37"/>
        <v/>
      </c>
      <c r="AS85" s="305" t="str">
        <f t="shared" si="38"/>
        <v>0</v>
      </c>
      <c r="AT85" s="307">
        <f>Table22[[#This Row],[Column1]]</f>
        <v>0</v>
      </c>
    </row>
    <row r="86" spans="1:46" x14ac:dyDescent="0.3">
      <c r="A86" s="307" t="str">
        <f t="shared" si="30"/>
        <v>1.85</v>
      </c>
      <c r="B86" s="307" t="str">
        <f t="shared" si="26"/>
        <v>Beli</v>
      </c>
      <c r="C86" s="308">
        <v>1</v>
      </c>
      <c r="D86" s="309" t="s">
        <v>563</v>
      </c>
      <c r="E86" s="310" t="s">
        <v>236</v>
      </c>
      <c r="F86" s="310" t="s">
        <v>699</v>
      </c>
      <c r="G86" s="311" t="s">
        <v>700</v>
      </c>
      <c r="H86" s="310" t="s">
        <v>701</v>
      </c>
      <c r="I86" s="310">
        <v>560000</v>
      </c>
      <c r="J86" s="310">
        <v>2</v>
      </c>
      <c r="K86" s="312">
        <v>1120000</v>
      </c>
      <c r="L86" s="310" t="s">
        <v>38</v>
      </c>
      <c r="M86" s="310">
        <v>1120000</v>
      </c>
      <c r="N86" s="313" t="s">
        <v>563</v>
      </c>
      <c r="O86" s="314" t="s">
        <v>563</v>
      </c>
      <c r="P86" s="307">
        <f t="shared" si="31"/>
        <v>0</v>
      </c>
      <c r="R86" s="91" t="str">
        <f t="shared" si="27"/>
        <v>Mgg4</v>
      </c>
      <c r="S86" s="307" t="str">
        <f t="shared" si="32"/>
        <v>BKK.24a</v>
      </c>
      <c r="T86" s="307" t="str">
        <f t="shared" si="33"/>
        <v>Bata Ringan Vocon 10 Cm</v>
      </c>
      <c r="U86" s="315" t="str">
        <f t="shared" si="34"/>
        <v/>
      </c>
      <c r="V86" s="307" t="str">
        <f>N86</f>
        <v/>
      </c>
      <c r="W86" s="307" t="str">
        <f>IFERROR(IF(V86&gt;0,PROPER(Terbilang1(V86)&amp;" Rupiah"),0),"")</f>
        <v/>
      </c>
      <c r="X86" s="328">
        <f t="shared" si="40"/>
        <v>2</v>
      </c>
      <c r="Y86" s="307" t="str">
        <f t="shared" si="41"/>
        <v>m3</v>
      </c>
      <c r="Z86" s="307">
        <f t="shared" si="35"/>
        <v>0</v>
      </c>
      <c r="AA86" s="366">
        <f t="shared" si="36"/>
        <v>0</v>
      </c>
      <c r="AB86" s="367">
        <f t="shared" si="42"/>
        <v>0</v>
      </c>
      <c r="AC86" s="305">
        <f t="shared" si="43"/>
        <v>0</v>
      </c>
      <c r="AP86" s="89" t="str">
        <f t="shared" si="29"/>
        <v/>
      </c>
      <c r="AQ86" s="89" t="str">
        <f t="shared" si="28"/>
        <v/>
      </c>
      <c r="AR86" s="315" t="str">
        <f t="shared" si="37"/>
        <v/>
      </c>
      <c r="AS86" s="305" t="str">
        <f t="shared" si="38"/>
        <v>0</v>
      </c>
      <c r="AT86" s="307">
        <f>Table22[[#This Row],[Column1]]</f>
        <v>0</v>
      </c>
    </row>
    <row r="87" spans="1:46" x14ac:dyDescent="0.3">
      <c r="A87" s="307" t="str">
        <f t="shared" si="30"/>
        <v>1.86</v>
      </c>
      <c r="B87" s="307" t="str">
        <f t="shared" si="26"/>
        <v>Beli</v>
      </c>
      <c r="C87" s="308">
        <v>1</v>
      </c>
      <c r="D87" s="309" t="s">
        <v>563</v>
      </c>
      <c r="E87" s="310" t="s">
        <v>236</v>
      </c>
      <c r="F87" s="310" t="s">
        <v>702</v>
      </c>
      <c r="G87" s="311" t="s">
        <v>703</v>
      </c>
      <c r="H87" s="310" t="s">
        <v>648</v>
      </c>
      <c r="I87" s="310">
        <v>70000</v>
      </c>
      <c r="J87" s="310">
        <v>4</v>
      </c>
      <c r="K87" s="312">
        <v>280000</v>
      </c>
      <c r="L87" s="310" t="s">
        <v>38</v>
      </c>
      <c r="M87" s="310">
        <v>280000</v>
      </c>
      <c r="N87" s="313" t="s">
        <v>563</v>
      </c>
      <c r="O87" s="314" t="s">
        <v>563</v>
      </c>
      <c r="P87" s="307">
        <f t="shared" si="31"/>
        <v>0</v>
      </c>
      <c r="R87" s="91" t="str">
        <f t="shared" si="27"/>
        <v>Mgg4</v>
      </c>
      <c r="S87" s="307" t="str">
        <f t="shared" si="32"/>
        <v>BKK.24aa</v>
      </c>
      <c r="T87" s="307" t="str">
        <f t="shared" si="33"/>
        <v>Drymix Perekat Bata Ringan</v>
      </c>
      <c r="U87" s="315" t="str">
        <f t="shared" si="34"/>
        <v/>
      </c>
      <c r="V87" s="307" t="str">
        <f>N87</f>
        <v/>
      </c>
      <c r="W87" s="307" t="str">
        <f>IFERROR(IF(V87&gt;0,PROPER(Terbilang1(V87)&amp;" Rupiah"),0),"")</f>
        <v/>
      </c>
      <c r="X87" s="90">
        <f t="shared" si="40"/>
        <v>4</v>
      </c>
      <c r="Y87" s="307" t="str">
        <f t="shared" si="41"/>
        <v>Sak</v>
      </c>
      <c r="Z87" s="307">
        <f t="shared" si="35"/>
        <v>0</v>
      </c>
      <c r="AA87" s="366">
        <f t="shared" si="36"/>
        <v>0</v>
      </c>
      <c r="AB87" s="367">
        <f t="shared" si="42"/>
        <v>0</v>
      </c>
      <c r="AC87" s="305">
        <f t="shared" si="43"/>
        <v>0</v>
      </c>
      <c r="AP87" s="89" t="str">
        <f t="shared" si="29"/>
        <v/>
      </c>
      <c r="AQ87" s="89" t="str">
        <f t="shared" si="28"/>
        <v/>
      </c>
      <c r="AR87" s="315" t="str">
        <f t="shared" si="37"/>
        <v/>
      </c>
      <c r="AS87" s="305" t="str">
        <f t="shared" si="38"/>
        <v>0</v>
      </c>
      <c r="AT87" s="307">
        <f>Table22[[#This Row],[Column1]]</f>
        <v>0</v>
      </c>
    </row>
    <row r="88" spans="1:46" x14ac:dyDescent="0.3">
      <c r="A88" s="307" t="str">
        <f t="shared" si="30"/>
        <v>1.87</v>
      </c>
      <c r="B88" s="307" t="str">
        <f t="shared" si="26"/>
        <v>Beli</v>
      </c>
      <c r="C88" s="308">
        <v>1</v>
      </c>
      <c r="D88" s="309">
        <v>45924</v>
      </c>
      <c r="E88" s="310" t="s">
        <v>236</v>
      </c>
      <c r="F88" s="310" t="s">
        <v>699</v>
      </c>
      <c r="G88" s="311" t="s">
        <v>700</v>
      </c>
      <c r="H88" s="310" t="s">
        <v>701</v>
      </c>
      <c r="I88" s="310">
        <v>560000</v>
      </c>
      <c r="J88" s="310">
        <v>2</v>
      </c>
      <c r="K88" s="312">
        <v>1120000</v>
      </c>
      <c r="L88" s="310" t="s">
        <v>38</v>
      </c>
      <c r="M88" s="310">
        <v>1120000</v>
      </c>
      <c r="N88" s="313">
        <v>1400000</v>
      </c>
      <c r="O88" s="314" t="s">
        <v>704</v>
      </c>
      <c r="P88" s="307" t="str">
        <f t="shared" si="31"/>
        <v>Mgg4</v>
      </c>
      <c r="R88" s="91" t="str">
        <f t="shared" si="27"/>
        <v>Mgg4</v>
      </c>
      <c r="S88" s="307" t="str">
        <f t="shared" si="32"/>
        <v>BKK.25</v>
      </c>
      <c r="T88" s="307" t="str">
        <f t="shared" si="33"/>
        <v>Bata Ringan Vocon 10 Cm</v>
      </c>
      <c r="U88" s="315">
        <f t="shared" si="34"/>
        <v>45924</v>
      </c>
      <c r="V88" s="307">
        <f>N88</f>
        <v>1400000</v>
      </c>
      <c r="W88" s="307" t="str">
        <f>IFERROR(IF(V88&gt;0,PROPER(Terbilang1(V88)&amp;" Rupiah"),0),"")</f>
        <v>Satu Juta Empat Ratus Ribu Rupiah</v>
      </c>
      <c r="X88" s="90">
        <f t="shared" si="40"/>
        <v>2</v>
      </c>
      <c r="Y88" s="307" t="str">
        <f t="shared" si="41"/>
        <v>m3</v>
      </c>
      <c r="Z88" s="307">
        <f t="shared" si="35"/>
        <v>0</v>
      </c>
      <c r="AA88" s="366">
        <f t="shared" si="36"/>
        <v>0</v>
      </c>
      <c r="AB88" s="367">
        <f t="shared" si="42"/>
        <v>0</v>
      </c>
      <c r="AC88" s="305">
        <f t="shared" si="43"/>
        <v>0</v>
      </c>
      <c r="AP88" s="89">
        <f t="shared" si="29"/>
        <v>1</v>
      </c>
      <c r="AQ88" s="89" t="str">
        <f t="shared" si="28"/>
        <v/>
      </c>
      <c r="AR88" s="315" t="str">
        <f t="shared" si="37"/>
        <v/>
      </c>
      <c r="AS88" s="305" t="str">
        <f t="shared" si="38"/>
        <v>0</v>
      </c>
      <c r="AT88" s="307">
        <f>Table22[[#This Row],[Column1]]</f>
        <v>0</v>
      </c>
    </row>
    <row r="89" spans="1:46" x14ac:dyDescent="0.3">
      <c r="A89" s="307" t="str">
        <f t="shared" si="30"/>
        <v>1.88</v>
      </c>
      <c r="B89" s="307" t="str">
        <f t="shared" si="26"/>
        <v>Beli</v>
      </c>
      <c r="C89" s="308">
        <v>1</v>
      </c>
      <c r="D89" s="309" t="s">
        <v>563</v>
      </c>
      <c r="E89" s="310" t="s">
        <v>236</v>
      </c>
      <c r="F89" s="310" t="s">
        <v>702</v>
      </c>
      <c r="G89" s="311" t="s">
        <v>703</v>
      </c>
      <c r="H89" s="310" t="s">
        <v>648</v>
      </c>
      <c r="I89" s="310">
        <v>70000</v>
      </c>
      <c r="J89" s="310">
        <v>4</v>
      </c>
      <c r="K89" s="312">
        <v>280000</v>
      </c>
      <c r="L89" s="310" t="s">
        <v>38</v>
      </c>
      <c r="M89" s="310">
        <v>280000</v>
      </c>
      <c r="N89" s="313" t="s">
        <v>563</v>
      </c>
      <c r="O89" s="314" t="s">
        <v>563</v>
      </c>
      <c r="P89" s="307">
        <f t="shared" si="31"/>
        <v>0</v>
      </c>
      <c r="R89" s="91" t="str">
        <f t="shared" si="27"/>
        <v>Mgg4</v>
      </c>
      <c r="S89" s="307" t="str">
        <f t="shared" si="32"/>
        <v>BKK.25a</v>
      </c>
      <c r="T89" s="307" t="str">
        <f t="shared" si="33"/>
        <v>Drymix Perekat Bata Ringan</v>
      </c>
      <c r="U89" s="315" t="str">
        <f t="shared" si="34"/>
        <v/>
      </c>
      <c r="V89" s="307" t="str">
        <f t="shared" si="39"/>
        <v/>
      </c>
      <c r="W89" s="307" t="str">
        <f>IFERROR(IF(V89&gt;0,PROPER(Terbilang1(V89)&amp;" Rupiah"),0),"")</f>
        <v/>
      </c>
      <c r="X89" s="90">
        <f t="shared" si="40"/>
        <v>4</v>
      </c>
      <c r="Y89" s="307" t="str">
        <f t="shared" si="41"/>
        <v>Sak</v>
      </c>
      <c r="Z89" s="307">
        <f t="shared" si="35"/>
        <v>0</v>
      </c>
      <c r="AA89" s="366">
        <f t="shared" si="36"/>
        <v>0</v>
      </c>
      <c r="AB89" s="367">
        <f t="shared" si="42"/>
        <v>0</v>
      </c>
      <c r="AC89" s="305">
        <f t="shared" si="43"/>
        <v>0</v>
      </c>
      <c r="AP89" s="89" t="str">
        <f t="shared" si="29"/>
        <v/>
      </c>
      <c r="AQ89" s="89" t="str">
        <f t="shared" si="28"/>
        <v/>
      </c>
      <c r="AR89" s="315" t="str">
        <f t="shared" si="37"/>
        <v/>
      </c>
      <c r="AS89" s="305" t="str">
        <f t="shared" si="38"/>
        <v>0</v>
      </c>
      <c r="AT89" s="307">
        <f>Table22[[#This Row],[Column1]]</f>
        <v>0</v>
      </c>
    </row>
    <row r="90" spans="1:46" x14ac:dyDescent="0.3">
      <c r="A90" s="307" t="str">
        <f t="shared" si="30"/>
        <v>1.89</v>
      </c>
      <c r="B90" s="307" t="str">
        <f t="shared" si="26"/>
        <v>Beli</v>
      </c>
      <c r="C90" s="308">
        <v>1</v>
      </c>
      <c r="D90" s="309">
        <v>45925</v>
      </c>
      <c r="E90" s="310" t="s">
        <v>236</v>
      </c>
      <c r="F90" s="310" t="s">
        <v>631</v>
      </c>
      <c r="G90" s="311" t="s">
        <v>632</v>
      </c>
      <c r="H90" s="310" t="s">
        <v>633</v>
      </c>
      <c r="I90" s="310">
        <v>230000</v>
      </c>
      <c r="J90" s="310">
        <v>2</v>
      </c>
      <c r="K90" s="312">
        <v>460000</v>
      </c>
      <c r="L90" s="310" t="s">
        <v>38</v>
      </c>
      <c r="M90" s="310">
        <v>460000</v>
      </c>
      <c r="N90" s="313">
        <v>1827000</v>
      </c>
      <c r="O90" s="314" t="s">
        <v>705</v>
      </c>
      <c r="P90" s="307" t="str">
        <f t="shared" si="31"/>
        <v>Mgg4</v>
      </c>
      <c r="R90" s="91" t="str">
        <f t="shared" si="27"/>
        <v>Mgg4</v>
      </c>
      <c r="S90" s="307" t="str">
        <f t="shared" si="32"/>
        <v>BKK.26</v>
      </c>
      <c r="T90" s="307" t="str">
        <f t="shared" si="33"/>
        <v>Pasir Biasa L300</v>
      </c>
      <c r="U90" s="315">
        <f t="shared" si="34"/>
        <v>45925</v>
      </c>
      <c r="V90" s="307">
        <f t="shared" si="39"/>
        <v>1827000</v>
      </c>
      <c r="W90" s="307" t="str">
        <f>IFERROR(IF(V90&gt;0,PROPER(Terbilang1(V90)&amp;" Rupiah"),0),"")</f>
        <v>Satu Juta Delapan Ratus Dua Puluh Tujuh Ribu Rupiah</v>
      </c>
      <c r="X90" s="90">
        <f t="shared" si="40"/>
        <v>2</v>
      </c>
      <c r="Y90" s="307" t="str">
        <f t="shared" si="41"/>
        <v>Pik Up</v>
      </c>
      <c r="Z90" s="307">
        <f t="shared" si="35"/>
        <v>0</v>
      </c>
      <c r="AA90" s="366">
        <f t="shared" si="36"/>
        <v>0</v>
      </c>
      <c r="AB90" s="367">
        <f t="shared" si="42"/>
        <v>0</v>
      </c>
      <c r="AC90" s="305">
        <f t="shared" si="43"/>
        <v>0</v>
      </c>
      <c r="AP90" s="89">
        <f t="shared" si="29"/>
        <v>1</v>
      </c>
      <c r="AQ90" s="89" t="str">
        <f t="shared" si="28"/>
        <v/>
      </c>
      <c r="AR90" s="315" t="str">
        <f t="shared" si="37"/>
        <v/>
      </c>
      <c r="AS90" s="305" t="str">
        <f t="shared" si="38"/>
        <v>0</v>
      </c>
      <c r="AT90" s="307">
        <f>Table22[[#This Row],[Column1]]</f>
        <v>0</v>
      </c>
    </row>
    <row r="91" spans="1:46" x14ac:dyDescent="0.3">
      <c r="A91" s="307" t="str">
        <f t="shared" si="30"/>
        <v>1.90</v>
      </c>
      <c r="B91" s="307" t="str">
        <f t="shared" si="26"/>
        <v>Beli</v>
      </c>
      <c r="C91" s="308">
        <v>1</v>
      </c>
      <c r="D91" s="309" t="s">
        <v>563</v>
      </c>
      <c r="E91" s="310" t="s">
        <v>236</v>
      </c>
      <c r="F91" s="310" t="s">
        <v>644</v>
      </c>
      <c r="G91" s="311" t="s">
        <v>645</v>
      </c>
      <c r="H91" s="310" t="s">
        <v>577</v>
      </c>
      <c r="I91" s="310">
        <v>3500</v>
      </c>
      <c r="J91" s="310">
        <v>6</v>
      </c>
      <c r="K91" s="312">
        <v>21000</v>
      </c>
      <c r="L91" s="310" t="s">
        <v>38</v>
      </c>
      <c r="M91" s="310">
        <v>21000</v>
      </c>
      <c r="N91" s="313" t="s">
        <v>563</v>
      </c>
      <c r="O91" s="314" t="s">
        <v>563</v>
      </c>
      <c r="P91" s="307">
        <f t="shared" si="31"/>
        <v>0</v>
      </c>
      <c r="R91" s="91" t="str">
        <f t="shared" si="27"/>
        <v>Mgg4</v>
      </c>
      <c r="S91" s="307" t="str">
        <f t="shared" si="32"/>
        <v>BKK.26a</v>
      </c>
      <c r="T91" s="307" t="str">
        <f t="shared" si="33"/>
        <v>Wd Potong Bosch</v>
      </c>
      <c r="U91" s="315" t="str">
        <f t="shared" si="34"/>
        <v/>
      </c>
      <c r="V91" s="307" t="str">
        <f t="shared" si="39"/>
        <v/>
      </c>
      <c r="W91" s="307" t="str">
        <f>IFERROR(IF(V91&gt;0,PROPER(Terbilang1(V91)&amp;" Rupiah"),0),"")</f>
        <v/>
      </c>
      <c r="X91" s="90">
        <f t="shared" si="40"/>
        <v>6</v>
      </c>
      <c r="Y91" s="307" t="str">
        <f t="shared" si="41"/>
        <v>Pcs</v>
      </c>
      <c r="Z91" s="307">
        <f t="shared" si="35"/>
        <v>0</v>
      </c>
      <c r="AA91" s="366">
        <f t="shared" si="36"/>
        <v>0</v>
      </c>
      <c r="AB91" s="367">
        <f t="shared" si="42"/>
        <v>0</v>
      </c>
      <c r="AC91" s="305">
        <f t="shared" si="43"/>
        <v>0</v>
      </c>
      <c r="AP91" s="89" t="str">
        <f t="shared" si="29"/>
        <v/>
      </c>
      <c r="AQ91" s="89" t="str">
        <f t="shared" si="28"/>
        <v/>
      </c>
      <c r="AR91" s="315" t="str">
        <f t="shared" si="37"/>
        <v/>
      </c>
      <c r="AS91" s="305" t="str">
        <f t="shared" si="38"/>
        <v>0</v>
      </c>
      <c r="AT91" s="307">
        <f>Table22[[#This Row],[Column1]]</f>
        <v>0</v>
      </c>
    </row>
    <row r="92" spans="1:46" x14ac:dyDescent="0.3">
      <c r="A92" s="307" t="str">
        <f t="shared" si="30"/>
        <v>1.91</v>
      </c>
      <c r="B92" s="307" t="str">
        <f t="shared" si="26"/>
        <v>Beli</v>
      </c>
      <c r="C92" s="308">
        <v>1</v>
      </c>
      <c r="D92" s="309" t="s">
        <v>563</v>
      </c>
      <c r="E92" s="310" t="s">
        <v>236</v>
      </c>
      <c r="F92" s="310" t="s">
        <v>660</v>
      </c>
      <c r="G92" s="311" t="s">
        <v>661</v>
      </c>
      <c r="H92" s="310" t="s">
        <v>589</v>
      </c>
      <c r="I92" s="310">
        <v>22000</v>
      </c>
      <c r="J92" s="310">
        <v>5</v>
      </c>
      <c r="K92" s="312">
        <v>110000</v>
      </c>
      <c r="L92" s="310" t="s">
        <v>38</v>
      </c>
      <c r="M92" s="310">
        <v>110000</v>
      </c>
      <c r="N92" s="313" t="s">
        <v>563</v>
      </c>
      <c r="O92" s="314" t="s">
        <v>563</v>
      </c>
      <c r="P92" s="307">
        <f t="shared" si="31"/>
        <v>0</v>
      </c>
      <c r="R92" s="91" t="str">
        <f t="shared" si="27"/>
        <v>Mgg4</v>
      </c>
      <c r="S92" s="307" t="str">
        <f t="shared" si="32"/>
        <v>BKK.26aa</v>
      </c>
      <c r="T92" s="307" t="str">
        <f t="shared" si="33"/>
        <v>Bendrat Spq</v>
      </c>
      <c r="U92" s="315" t="str">
        <f t="shared" si="34"/>
        <v/>
      </c>
      <c r="V92" s="307" t="str">
        <f t="shared" si="39"/>
        <v/>
      </c>
      <c r="W92" s="307" t="str">
        <f>IFERROR(IF(V92&gt;0,PROPER(Terbilang1(V92)&amp;" Rupiah"),0),"")</f>
        <v/>
      </c>
      <c r="X92" s="90">
        <f t="shared" si="40"/>
        <v>5</v>
      </c>
      <c r="Y92" s="307" t="str">
        <f t="shared" si="41"/>
        <v>kg</v>
      </c>
      <c r="Z92" s="307">
        <f t="shared" si="35"/>
        <v>0</v>
      </c>
      <c r="AA92" s="366">
        <f t="shared" si="36"/>
        <v>0</v>
      </c>
      <c r="AB92" s="367">
        <f t="shared" si="42"/>
        <v>0</v>
      </c>
      <c r="AC92" s="305">
        <f t="shared" si="43"/>
        <v>0</v>
      </c>
      <c r="AP92" s="89" t="str">
        <f t="shared" si="29"/>
        <v/>
      </c>
      <c r="AQ92" s="89" t="str">
        <f t="shared" si="28"/>
        <v/>
      </c>
      <c r="AR92" s="315" t="str">
        <f t="shared" si="37"/>
        <v/>
      </c>
      <c r="AS92" s="305" t="str">
        <f t="shared" si="38"/>
        <v>0</v>
      </c>
      <c r="AT92" s="307">
        <f>Table22[[#This Row],[Column1]]</f>
        <v>0</v>
      </c>
    </row>
    <row r="93" spans="1:46" x14ac:dyDescent="0.3">
      <c r="A93" s="307" t="str">
        <f t="shared" si="30"/>
        <v>1.92</v>
      </c>
      <c r="B93" s="307" t="str">
        <f t="shared" si="26"/>
        <v>Beli</v>
      </c>
      <c r="C93" s="308">
        <v>1</v>
      </c>
      <c r="D93" s="309" t="s">
        <v>563</v>
      </c>
      <c r="E93" s="310" t="s">
        <v>236</v>
      </c>
      <c r="F93" s="310" t="s">
        <v>668</v>
      </c>
      <c r="G93" s="311" t="s">
        <v>669</v>
      </c>
      <c r="H93" s="310" t="s">
        <v>628</v>
      </c>
      <c r="I93" s="310">
        <v>28000</v>
      </c>
      <c r="J93" s="310">
        <v>10</v>
      </c>
      <c r="K93" s="312">
        <v>280000</v>
      </c>
      <c r="L93" s="310" t="s">
        <v>38</v>
      </c>
      <c r="M93" s="310">
        <v>280000</v>
      </c>
      <c r="N93" s="313" t="s">
        <v>563</v>
      </c>
      <c r="O93" s="314" t="s">
        <v>563</v>
      </c>
      <c r="P93" s="307">
        <f t="shared" si="31"/>
        <v>0</v>
      </c>
      <c r="R93" s="91" t="str">
        <f t="shared" si="27"/>
        <v>Mgg4</v>
      </c>
      <c r="S93" s="307" t="str">
        <f t="shared" si="32"/>
        <v>BKK.26aaa</v>
      </c>
      <c r="T93" s="307" t="str">
        <f t="shared" si="33"/>
        <v>Besi 6.0 Sni</v>
      </c>
      <c r="U93" s="315" t="str">
        <f t="shared" si="34"/>
        <v/>
      </c>
      <c r="V93" s="307" t="str">
        <f t="shared" si="39"/>
        <v/>
      </c>
      <c r="W93" s="307" t="str">
        <f>IFERROR(IF(V93&gt;0,PROPER(Terbilang1(V93)&amp;" Rupiah"),0),"")</f>
        <v/>
      </c>
      <c r="X93" s="90">
        <f t="shared" si="40"/>
        <v>10</v>
      </c>
      <c r="Y93" s="307" t="str">
        <f t="shared" si="41"/>
        <v>Ljr</v>
      </c>
      <c r="Z93" s="307">
        <f t="shared" si="35"/>
        <v>0</v>
      </c>
      <c r="AA93" s="366">
        <f t="shared" si="36"/>
        <v>0</v>
      </c>
      <c r="AB93" s="367">
        <f t="shared" si="42"/>
        <v>0</v>
      </c>
      <c r="AC93" s="305">
        <f t="shared" si="43"/>
        <v>0</v>
      </c>
      <c r="AP93" s="89" t="str">
        <f t="shared" si="29"/>
        <v/>
      </c>
      <c r="AQ93" s="89" t="str">
        <f t="shared" si="28"/>
        <v/>
      </c>
      <c r="AR93" s="315" t="str">
        <f t="shared" si="37"/>
        <v/>
      </c>
      <c r="AS93" s="305" t="str">
        <f t="shared" si="38"/>
        <v>0</v>
      </c>
      <c r="AT93" s="307">
        <f>Table22[[#This Row],[Column1]]</f>
        <v>0</v>
      </c>
    </row>
    <row r="94" spans="1:46" x14ac:dyDescent="0.3">
      <c r="A94" s="307" t="str">
        <f t="shared" si="30"/>
        <v>1.93</v>
      </c>
      <c r="B94" s="307" t="str">
        <f t="shared" si="26"/>
        <v>Beli</v>
      </c>
      <c r="C94" s="308">
        <v>1</v>
      </c>
      <c r="D94" s="309" t="s">
        <v>563</v>
      </c>
      <c r="E94" s="310" t="s">
        <v>236</v>
      </c>
      <c r="F94" s="310" t="s">
        <v>662</v>
      </c>
      <c r="G94" s="311" t="s">
        <v>663</v>
      </c>
      <c r="H94" s="310" t="s">
        <v>628</v>
      </c>
      <c r="I94" s="310">
        <v>46000</v>
      </c>
      <c r="J94" s="310">
        <v>14</v>
      </c>
      <c r="K94" s="312">
        <v>644000</v>
      </c>
      <c r="L94" s="310" t="s">
        <v>38</v>
      </c>
      <c r="M94" s="310">
        <v>644000</v>
      </c>
      <c r="N94" s="313" t="s">
        <v>563</v>
      </c>
      <c r="O94" s="314" t="s">
        <v>563</v>
      </c>
      <c r="P94" s="307">
        <f t="shared" si="31"/>
        <v>0</v>
      </c>
      <c r="R94" s="91" t="str">
        <f t="shared" si="27"/>
        <v>Mgg4</v>
      </c>
      <c r="S94" s="307" t="str">
        <f t="shared" si="32"/>
        <v>BKK.26aaaa</v>
      </c>
      <c r="T94" s="307" t="str">
        <f t="shared" si="33"/>
        <v>Besi 8.0 Sni</v>
      </c>
      <c r="U94" s="315" t="str">
        <f t="shared" si="34"/>
        <v/>
      </c>
      <c r="V94" s="307" t="str">
        <f t="shared" si="39"/>
        <v/>
      </c>
      <c r="W94" s="307" t="str">
        <f>IFERROR(IF(V94&gt;0,PROPER(Terbilang1(V94)&amp;" Rupiah"),0),"")</f>
        <v/>
      </c>
      <c r="X94" s="90">
        <f t="shared" si="40"/>
        <v>14</v>
      </c>
      <c r="Y94" s="307" t="str">
        <f t="shared" si="41"/>
        <v>Ljr</v>
      </c>
      <c r="Z94" s="307">
        <f t="shared" si="35"/>
        <v>0</v>
      </c>
      <c r="AA94" s="366">
        <f t="shared" si="36"/>
        <v>0</v>
      </c>
      <c r="AB94" s="367">
        <f t="shared" si="42"/>
        <v>0</v>
      </c>
      <c r="AC94" s="305">
        <f t="shared" si="43"/>
        <v>0</v>
      </c>
      <c r="AP94" s="89" t="str">
        <f t="shared" si="29"/>
        <v/>
      </c>
      <c r="AQ94" s="89" t="str">
        <f t="shared" si="28"/>
        <v/>
      </c>
      <c r="AR94" s="315" t="str">
        <f t="shared" si="37"/>
        <v/>
      </c>
      <c r="AS94" s="305" t="str">
        <f t="shared" si="38"/>
        <v>0</v>
      </c>
      <c r="AT94" s="307">
        <f>Table22[[#This Row],[Column1]]</f>
        <v>0</v>
      </c>
    </row>
    <row r="95" spans="1:46" x14ac:dyDescent="0.3">
      <c r="A95" s="307" t="str">
        <f t="shared" si="30"/>
        <v>1.94</v>
      </c>
      <c r="B95" s="307" t="str">
        <f t="shared" si="26"/>
        <v>Beli</v>
      </c>
      <c r="C95" s="308">
        <v>1</v>
      </c>
      <c r="D95" s="309" t="s">
        <v>563</v>
      </c>
      <c r="E95" s="310" t="s">
        <v>236</v>
      </c>
      <c r="F95" s="310" t="s">
        <v>649</v>
      </c>
      <c r="G95" s="311" t="s">
        <v>650</v>
      </c>
      <c r="H95" s="310" t="s">
        <v>648</v>
      </c>
      <c r="I95" s="310">
        <v>52000</v>
      </c>
      <c r="J95" s="310">
        <v>6</v>
      </c>
      <c r="K95" s="312">
        <v>312000</v>
      </c>
      <c r="L95" s="310" t="s">
        <v>38</v>
      </c>
      <c r="M95" s="310">
        <v>312000</v>
      </c>
      <c r="N95" s="313" t="s">
        <v>563</v>
      </c>
      <c r="O95" s="314" t="s">
        <v>563</v>
      </c>
      <c r="P95" s="307">
        <f t="shared" si="31"/>
        <v>0</v>
      </c>
      <c r="R95" s="91" t="str">
        <f t="shared" si="27"/>
        <v>Mgg4</v>
      </c>
      <c r="S95" s="307" t="str">
        <f t="shared" si="32"/>
        <v>BKK.26aaaaa</v>
      </c>
      <c r="T95" s="307" t="str">
        <f t="shared" si="33"/>
        <v>Semen 3 Roda</v>
      </c>
      <c r="U95" s="315" t="str">
        <f t="shared" si="34"/>
        <v/>
      </c>
      <c r="V95" s="307" t="str">
        <f t="shared" si="39"/>
        <v/>
      </c>
      <c r="W95" s="307" t="str">
        <f>IFERROR(IF(V95&gt;0,PROPER(Terbilang1(V95)&amp;" Rupiah"),0),"")</f>
        <v/>
      </c>
      <c r="X95" s="90">
        <f t="shared" si="40"/>
        <v>6</v>
      </c>
      <c r="Y95" s="307" t="str">
        <f t="shared" si="41"/>
        <v>Sak</v>
      </c>
      <c r="Z95" s="307">
        <f t="shared" si="35"/>
        <v>0</v>
      </c>
      <c r="AA95" s="366">
        <f t="shared" si="36"/>
        <v>0</v>
      </c>
      <c r="AB95" s="367">
        <f t="shared" si="42"/>
        <v>0</v>
      </c>
      <c r="AC95" s="305">
        <f t="shared" si="43"/>
        <v>0</v>
      </c>
      <c r="AD95" s="307"/>
      <c r="AP95" s="89" t="str">
        <f t="shared" si="29"/>
        <v/>
      </c>
      <c r="AQ95" s="89" t="str">
        <f t="shared" si="28"/>
        <v/>
      </c>
      <c r="AR95" s="315" t="str">
        <f t="shared" si="37"/>
        <v/>
      </c>
      <c r="AS95" s="305" t="str">
        <f t="shared" si="38"/>
        <v>0</v>
      </c>
      <c r="AT95" s="307">
        <f>Table22[[#This Row],[Column1]]</f>
        <v>0</v>
      </c>
    </row>
    <row r="96" spans="1:46" x14ac:dyDescent="0.3">
      <c r="A96" s="307" t="str">
        <f t="shared" si="30"/>
        <v>1.95</v>
      </c>
      <c r="B96" s="307" t="str">
        <f t="shared" si="26"/>
        <v>Beli</v>
      </c>
      <c r="C96" s="308">
        <v>1</v>
      </c>
      <c r="D96" s="309">
        <v>45926</v>
      </c>
      <c r="E96" s="310" t="s">
        <v>236</v>
      </c>
      <c r="F96" s="310" t="s">
        <v>695</v>
      </c>
      <c r="G96" s="311" t="s">
        <v>696</v>
      </c>
      <c r="H96" s="310" t="s">
        <v>697</v>
      </c>
      <c r="I96" s="310">
        <v>550</v>
      </c>
      <c r="J96" s="310">
        <v>500</v>
      </c>
      <c r="K96" s="312">
        <v>275000</v>
      </c>
      <c r="L96" s="310" t="s">
        <v>38</v>
      </c>
      <c r="M96" s="310">
        <v>275000</v>
      </c>
      <c r="N96" s="313">
        <v>1955000</v>
      </c>
      <c r="O96" s="314" t="s">
        <v>706</v>
      </c>
      <c r="P96" s="307" t="str">
        <f t="shared" si="31"/>
        <v>Mgg4</v>
      </c>
      <c r="R96" s="91" t="str">
        <f t="shared" si="27"/>
        <v>Mgg4</v>
      </c>
      <c r="S96" s="307" t="str">
        <f t="shared" si="32"/>
        <v>BKK.27</v>
      </c>
      <c r="T96" s="307" t="str">
        <f t="shared" si="33"/>
        <v>Bata Merah Super</v>
      </c>
      <c r="U96" s="315">
        <f t="shared" si="34"/>
        <v>45926</v>
      </c>
      <c r="V96" s="307">
        <f t="shared" si="39"/>
        <v>1955000</v>
      </c>
      <c r="W96" s="307" t="str">
        <f>IFERROR(IF(V96&gt;0,PROPER(Terbilang1(V96)&amp;" Rupiah"),0),"")</f>
        <v>Satu Juta Sembilan Ratus Lima Puluh Lima Ribu Rupiah</v>
      </c>
      <c r="X96" s="90">
        <f t="shared" si="40"/>
        <v>500</v>
      </c>
      <c r="Y96" s="307" t="str">
        <f t="shared" si="41"/>
        <v>Bji</v>
      </c>
      <c r="Z96" s="307">
        <f t="shared" si="35"/>
        <v>0</v>
      </c>
      <c r="AA96" s="366">
        <f t="shared" si="36"/>
        <v>0</v>
      </c>
      <c r="AB96" s="367">
        <f t="shared" si="42"/>
        <v>0</v>
      </c>
      <c r="AC96" s="305">
        <f t="shared" si="43"/>
        <v>0</v>
      </c>
      <c r="AD96" s="307"/>
      <c r="AP96" s="89">
        <f t="shared" si="29"/>
        <v>1</v>
      </c>
      <c r="AQ96" s="89" t="str">
        <f t="shared" si="28"/>
        <v/>
      </c>
      <c r="AR96" s="315" t="str">
        <f t="shared" si="37"/>
        <v/>
      </c>
      <c r="AS96" s="305" t="str">
        <f t="shared" si="38"/>
        <v>0</v>
      </c>
      <c r="AT96" s="307">
        <f>Table22[[#This Row],[Column1]]</f>
        <v>0</v>
      </c>
    </row>
    <row r="97" spans="1:46" x14ac:dyDescent="0.3">
      <c r="A97" s="307" t="str">
        <f t="shared" si="30"/>
        <v>1.96</v>
      </c>
      <c r="B97" s="307" t="str">
        <f t="shared" si="26"/>
        <v>Beli</v>
      </c>
      <c r="C97" s="308">
        <v>1</v>
      </c>
      <c r="D97" s="309" t="s">
        <v>563</v>
      </c>
      <c r="E97" s="310" t="s">
        <v>236</v>
      </c>
      <c r="F97" s="310" t="s">
        <v>699</v>
      </c>
      <c r="G97" s="311" t="s">
        <v>700</v>
      </c>
      <c r="H97" s="310" t="s">
        <v>701</v>
      </c>
      <c r="I97" s="310">
        <v>560000</v>
      </c>
      <c r="J97" s="310">
        <v>3</v>
      </c>
      <c r="K97" s="312">
        <v>1680000</v>
      </c>
      <c r="L97" s="310" t="s">
        <v>38</v>
      </c>
      <c r="M97" s="310">
        <v>1680000</v>
      </c>
      <c r="N97" s="313" t="s">
        <v>563</v>
      </c>
      <c r="O97" s="314" t="s">
        <v>563</v>
      </c>
      <c r="P97" s="307">
        <f t="shared" si="31"/>
        <v>0</v>
      </c>
      <c r="R97" s="91" t="str">
        <f t="shared" si="27"/>
        <v>Mgg4</v>
      </c>
      <c r="S97" s="307" t="str">
        <f t="shared" si="32"/>
        <v>BKK.27a</v>
      </c>
      <c r="T97" s="307" t="str">
        <f t="shared" si="33"/>
        <v>Bata Ringan Vocon 10 Cm</v>
      </c>
      <c r="U97" s="315" t="str">
        <f t="shared" si="34"/>
        <v/>
      </c>
      <c r="V97" s="307" t="str">
        <f>N97</f>
        <v/>
      </c>
      <c r="W97" s="307" t="str">
        <f>IFERROR(IF(V97&gt;0,PROPER(Terbilang1(V97)&amp;" Rupiah"),0),"")</f>
        <v/>
      </c>
      <c r="X97" s="90">
        <f t="shared" si="40"/>
        <v>3</v>
      </c>
      <c r="Y97" s="307" t="str">
        <f t="shared" si="41"/>
        <v>m3</v>
      </c>
      <c r="Z97" s="307">
        <f t="shared" si="35"/>
        <v>0</v>
      </c>
      <c r="AA97" s="366">
        <f t="shared" si="36"/>
        <v>0</v>
      </c>
      <c r="AB97" s="367">
        <f t="shared" si="42"/>
        <v>0</v>
      </c>
      <c r="AC97" s="305">
        <f t="shared" si="43"/>
        <v>0</v>
      </c>
      <c r="AD97" s="307"/>
      <c r="AP97" s="89" t="str">
        <f t="shared" si="29"/>
        <v/>
      </c>
      <c r="AQ97" s="89" t="str">
        <f t="shared" si="28"/>
        <v/>
      </c>
      <c r="AR97" s="315" t="str">
        <f t="shared" si="37"/>
        <v/>
      </c>
      <c r="AS97" s="305" t="str">
        <f t="shared" si="38"/>
        <v>0</v>
      </c>
      <c r="AT97" s="307">
        <f>Table22[[#This Row],[Column1]]</f>
        <v>0</v>
      </c>
    </row>
    <row r="98" spans="1:46" x14ac:dyDescent="0.3">
      <c r="A98" s="307" t="str">
        <f t="shared" si="30"/>
        <v>1.97</v>
      </c>
      <c r="B98" s="307" t="str">
        <f t="shared" si="26"/>
        <v>Beli</v>
      </c>
      <c r="C98" s="308">
        <v>1</v>
      </c>
      <c r="D98" s="309">
        <v>45927</v>
      </c>
      <c r="E98" s="310" t="s">
        <v>236</v>
      </c>
      <c r="F98" s="310" t="s">
        <v>631</v>
      </c>
      <c r="G98" s="311" t="s">
        <v>632</v>
      </c>
      <c r="H98" s="310" t="s">
        <v>633</v>
      </c>
      <c r="I98" s="310">
        <v>230000</v>
      </c>
      <c r="J98" s="310">
        <v>1</v>
      </c>
      <c r="K98" s="312">
        <v>230000</v>
      </c>
      <c r="L98" s="310" t="s">
        <v>38</v>
      </c>
      <c r="M98" s="310">
        <v>230000</v>
      </c>
      <c r="N98" s="313">
        <v>1658000</v>
      </c>
      <c r="O98" s="314" t="s">
        <v>707</v>
      </c>
      <c r="P98" s="307" t="str">
        <f t="shared" si="31"/>
        <v>Mgg4</v>
      </c>
      <c r="R98" s="91" t="str">
        <f t="shared" si="27"/>
        <v>Mgg4</v>
      </c>
      <c r="S98" s="307" t="str">
        <f t="shared" si="32"/>
        <v>BKK.28</v>
      </c>
      <c r="T98" s="307" t="str">
        <f t="shared" si="33"/>
        <v>Pasir Biasa L300</v>
      </c>
      <c r="U98" s="315">
        <f t="shared" si="34"/>
        <v>45927</v>
      </c>
      <c r="V98" s="307">
        <f t="shared" si="39"/>
        <v>1658000</v>
      </c>
      <c r="W98" s="307" t="str">
        <f>IFERROR(IF(V98&gt;0,PROPER(Terbilang1(V98)&amp;" Rupiah"),0),"")</f>
        <v>Satu Juta Enam Ratus Lima Puluh Delapan Ribu Rupiah</v>
      </c>
      <c r="X98" s="90">
        <f t="shared" si="40"/>
        <v>1</v>
      </c>
      <c r="Y98" s="307" t="str">
        <f t="shared" si="41"/>
        <v>Pik Up</v>
      </c>
      <c r="Z98" s="307">
        <f t="shared" si="35"/>
        <v>0</v>
      </c>
      <c r="AA98" s="366">
        <f t="shared" si="36"/>
        <v>0</v>
      </c>
      <c r="AB98" s="367">
        <f t="shared" si="42"/>
        <v>0</v>
      </c>
      <c r="AC98" s="305">
        <f t="shared" si="43"/>
        <v>0</v>
      </c>
      <c r="AD98" s="307"/>
      <c r="AP98" s="89">
        <f t="shared" si="29"/>
        <v>1</v>
      </c>
      <c r="AQ98" s="89" t="str">
        <f t="shared" si="28"/>
        <v/>
      </c>
      <c r="AR98" s="315" t="str">
        <f t="shared" si="37"/>
        <v/>
      </c>
      <c r="AS98" s="305" t="str">
        <f t="shared" si="38"/>
        <v>0</v>
      </c>
      <c r="AT98" s="307">
        <f>Table22[[#This Row],[Column1]]</f>
        <v>0</v>
      </c>
    </row>
    <row r="99" spans="1:46" x14ac:dyDescent="0.3">
      <c r="A99" s="307" t="str">
        <f t="shared" si="30"/>
        <v>1.98</v>
      </c>
      <c r="B99" s="307" t="str">
        <f t="shared" si="26"/>
        <v>Beli</v>
      </c>
      <c r="C99" s="308">
        <v>1</v>
      </c>
      <c r="D99" s="309" t="s">
        <v>563</v>
      </c>
      <c r="E99" s="310" t="s">
        <v>236</v>
      </c>
      <c r="F99" s="310" t="s">
        <v>642</v>
      </c>
      <c r="G99" s="311" t="s">
        <v>643</v>
      </c>
      <c r="H99" s="310" t="s">
        <v>633</v>
      </c>
      <c r="I99" s="310">
        <v>350000</v>
      </c>
      <c r="J99" s="310">
        <v>3</v>
      </c>
      <c r="K99" s="312">
        <v>1050000</v>
      </c>
      <c r="L99" s="310" t="s">
        <v>38</v>
      </c>
      <c r="M99" s="310">
        <v>1050000</v>
      </c>
      <c r="N99" s="313" t="s">
        <v>563</v>
      </c>
      <c r="O99" s="314" t="s">
        <v>563</v>
      </c>
      <c r="P99" s="307">
        <f t="shared" si="31"/>
        <v>0</v>
      </c>
      <c r="R99" s="91" t="str">
        <f t="shared" si="27"/>
        <v>Mgg4</v>
      </c>
      <c r="S99" s="307" t="str">
        <f t="shared" si="32"/>
        <v>BKK.28a</v>
      </c>
      <c r="T99" s="307" t="str">
        <f t="shared" si="33"/>
        <v>Koral L300</v>
      </c>
      <c r="U99" s="315" t="str">
        <f t="shared" si="34"/>
        <v/>
      </c>
      <c r="V99" s="307" t="str">
        <f t="shared" si="39"/>
        <v/>
      </c>
      <c r="W99" s="307" t="str">
        <f>IFERROR(IF(V99&gt;0,PROPER(Terbilang1(V99)&amp;" Rupiah"),0),"")</f>
        <v/>
      </c>
      <c r="X99" s="90">
        <f t="shared" si="40"/>
        <v>3</v>
      </c>
      <c r="Y99" s="307" t="str">
        <f t="shared" si="41"/>
        <v>Pik Up</v>
      </c>
      <c r="Z99" s="307">
        <f t="shared" si="35"/>
        <v>0</v>
      </c>
      <c r="AA99" s="366">
        <f t="shared" si="36"/>
        <v>0</v>
      </c>
      <c r="AB99" s="367">
        <f t="shared" si="42"/>
        <v>0</v>
      </c>
      <c r="AC99" s="305">
        <f t="shared" si="43"/>
        <v>0</v>
      </c>
      <c r="AD99" s="307"/>
      <c r="AP99" s="89" t="str">
        <f t="shared" si="29"/>
        <v/>
      </c>
      <c r="AQ99" s="89" t="str">
        <f t="shared" si="28"/>
        <v/>
      </c>
      <c r="AR99" s="315" t="str">
        <f t="shared" si="37"/>
        <v/>
      </c>
      <c r="AS99" s="305" t="str">
        <f t="shared" si="38"/>
        <v>0</v>
      </c>
      <c r="AT99" s="307">
        <f>Table22[[#This Row],[Column1]]</f>
        <v>0</v>
      </c>
    </row>
    <row r="100" spans="1:46" x14ac:dyDescent="0.3">
      <c r="A100" s="307" t="str">
        <f t="shared" si="30"/>
        <v>1.99</v>
      </c>
      <c r="B100" s="307" t="str">
        <f t="shared" si="26"/>
        <v>Beli</v>
      </c>
      <c r="C100" s="308">
        <v>1</v>
      </c>
      <c r="D100" s="309" t="s">
        <v>563</v>
      </c>
      <c r="E100" s="310" t="s">
        <v>236</v>
      </c>
      <c r="F100" s="310" t="s">
        <v>660</v>
      </c>
      <c r="G100" s="311" t="s">
        <v>661</v>
      </c>
      <c r="H100" s="310" t="s">
        <v>589</v>
      </c>
      <c r="I100" s="310">
        <v>22000</v>
      </c>
      <c r="J100" s="310">
        <v>4</v>
      </c>
      <c r="K100" s="312">
        <v>88000</v>
      </c>
      <c r="L100" s="310" t="s">
        <v>38</v>
      </c>
      <c r="M100" s="310">
        <v>88000</v>
      </c>
      <c r="N100" s="313" t="s">
        <v>563</v>
      </c>
      <c r="O100" s="314" t="s">
        <v>563</v>
      </c>
      <c r="P100" s="307">
        <f t="shared" si="31"/>
        <v>0</v>
      </c>
      <c r="R100" s="91" t="str">
        <f t="shared" si="27"/>
        <v>Mgg4</v>
      </c>
      <c r="S100" s="307" t="str">
        <f t="shared" si="32"/>
        <v>BKK.28aa</v>
      </c>
      <c r="T100" s="307" t="str">
        <f t="shared" si="33"/>
        <v>Bendrat Spq</v>
      </c>
      <c r="U100" s="315" t="str">
        <f t="shared" si="34"/>
        <v/>
      </c>
      <c r="V100" s="307" t="str">
        <f t="shared" si="39"/>
        <v/>
      </c>
      <c r="W100" s="307" t="str">
        <f>IFERROR(IF(V100&gt;0,PROPER(Terbilang1(V100)&amp;" Rupiah"),0),"")</f>
        <v/>
      </c>
      <c r="X100" s="90">
        <f t="shared" si="40"/>
        <v>4</v>
      </c>
      <c r="Y100" s="307" t="str">
        <f t="shared" si="41"/>
        <v>kg</v>
      </c>
      <c r="Z100" s="307">
        <f t="shared" si="35"/>
        <v>0</v>
      </c>
      <c r="AA100" s="366">
        <f t="shared" si="36"/>
        <v>0</v>
      </c>
      <c r="AB100" s="367">
        <f t="shared" si="42"/>
        <v>0</v>
      </c>
      <c r="AC100" s="305">
        <f t="shared" si="43"/>
        <v>0</v>
      </c>
      <c r="AD100" s="307"/>
      <c r="AP100" s="89" t="str">
        <f t="shared" si="29"/>
        <v/>
      </c>
      <c r="AQ100" s="89" t="str">
        <f t="shared" si="28"/>
        <v/>
      </c>
      <c r="AR100" s="315" t="str">
        <f t="shared" si="37"/>
        <v/>
      </c>
      <c r="AS100" s="305" t="str">
        <f t="shared" si="38"/>
        <v>0</v>
      </c>
      <c r="AT100" s="307">
        <f>Table22[[#This Row],[Column1]]</f>
        <v>0</v>
      </c>
    </row>
    <row r="101" spans="1:46" x14ac:dyDescent="0.3">
      <c r="A101" s="307" t="str">
        <f t="shared" si="30"/>
        <v>1.100</v>
      </c>
      <c r="B101" s="307" t="str">
        <f t="shared" ref="B101:B164" si="44">IF(LEFT(F101,2)="MA","Jasa",IF(LEFT(F101,1)="G","Bayar Ongkos",IF(LEFT(F101,1)="M","Beli",0)))</f>
        <v>Beli</v>
      </c>
      <c r="C101" s="308">
        <v>1</v>
      </c>
      <c r="D101" s="309" t="s">
        <v>563</v>
      </c>
      <c r="E101" s="310" t="s">
        <v>236</v>
      </c>
      <c r="F101" s="310" t="s">
        <v>646</v>
      </c>
      <c r="G101" s="311" t="s">
        <v>647</v>
      </c>
      <c r="H101" s="310" t="s">
        <v>648</v>
      </c>
      <c r="I101" s="310">
        <v>58000</v>
      </c>
      <c r="J101" s="310">
        <v>5</v>
      </c>
      <c r="K101" s="312">
        <v>290000</v>
      </c>
      <c r="L101" s="310" t="s">
        <v>38</v>
      </c>
      <c r="M101" s="310">
        <v>290000</v>
      </c>
      <c r="N101" s="313" t="s">
        <v>563</v>
      </c>
      <c r="O101" s="314" t="s">
        <v>563</v>
      </c>
      <c r="P101" s="307">
        <f t="shared" si="31"/>
        <v>0</v>
      </c>
      <c r="R101" s="91" t="str">
        <f t="shared" ref="R101:R164" si="45">IF(LEFT(F101,2)="ma",F101,IF(LEFT(F101,1)="m",E101,IF(LEFT(F101,1)="b",E101,IF(LEFT(F101,1)="G",F101,""))))</f>
        <v>Mgg4</v>
      </c>
      <c r="S101" s="307" t="str">
        <f t="shared" si="32"/>
        <v>BKK.28aaa</v>
      </c>
      <c r="T101" s="307" t="str">
        <f t="shared" si="33"/>
        <v>Semen Gresik 40Kg</v>
      </c>
      <c r="U101" s="315" t="str">
        <f t="shared" si="34"/>
        <v/>
      </c>
      <c r="V101" s="307" t="str">
        <f t="shared" si="39"/>
        <v/>
      </c>
      <c r="W101" s="307" t="str">
        <f>IFERROR(IF(V101&gt;0,PROPER(Terbilang1(V101)&amp;" Rupiah"),0),"")</f>
        <v/>
      </c>
      <c r="X101" s="90">
        <f t="shared" si="40"/>
        <v>5</v>
      </c>
      <c r="Y101" s="307" t="str">
        <f t="shared" si="41"/>
        <v>Sak</v>
      </c>
      <c r="Z101" s="307">
        <f t="shared" si="35"/>
        <v>0</v>
      </c>
      <c r="AA101" s="366">
        <f t="shared" si="36"/>
        <v>0</v>
      </c>
      <c r="AB101" s="367">
        <f t="shared" si="42"/>
        <v>0</v>
      </c>
      <c r="AC101" s="305">
        <f t="shared" si="43"/>
        <v>0</v>
      </c>
      <c r="AD101" s="307"/>
      <c r="AP101" s="89" t="str">
        <f t="shared" si="29"/>
        <v/>
      </c>
      <c r="AQ101" s="89" t="str">
        <f t="shared" si="28"/>
        <v/>
      </c>
      <c r="AR101" s="315" t="str">
        <f t="shared" si="37"/>
        <v/>
      </c>
      <c r="AS101" s="305" t="str">
        <f t="shared" si="38"/>
        <v>0</v>
      </c>
      <c r="AT101" s="307">
        <f>Table22[[#This Row],[Column1]]</f>
        <v>0</v>
      </c>
    </row>
    <row r="102" spans="1:46" x14ac:dyDescent="0.3">
      <c r="A102" s="307" t="str">
        <f t="shared" si="30"/>
        <v>1.101</v>
      </c>
      <c r="B102" s="307" t="str">
        <f t="shared" si="44"/>
        <v>Bayar Ongkos</v>
      </c>
      <c r="C102" s="308">
        <v>1</v>
      </c>
      <c r="D102" s="309">
        <v>45927</v>
      </c>
      <c r="E102" s="310" t="s">
        <v>502</v>
      </c>
      <c r="F102" s="310" t="s">
        <v>502</v>
      </c>
      <c r="G102" s="311" t="s">
        <v>708</v>
      </c>
      <c r="H102" s="310">
        <v>0</v>
      </c>
      <c r="I102" s="310">
        <v>1</v>
      </c>
      <c r="J102" s="310">
        <v>1</v>
      </c>
      <c r="K102" s="312">
        <v>1</v>
      </c>
      <c r="L102" s="310" t="s">
        <v>35</v>
      </c>
      <c r="M102" s="310">
        <v>6035000</v>
      </c>
      <c r="N102" s="313">
        <v>6035000</v>
      </c>
      <c r="O102" s="314" t="s">
        <v>709</v>
      </c>
      <c r="P102" s="307" t="str">
        <f t="shared" si="31"/>
        <v>Gaj4</v>
      </c>
      <c r="R102" s="91" t="str">
        <f t="shared" si="45"/>
        <v>Gaj4</v>
      </c>
      <c r="S102" s="307" t="str">
        <f t="shared" si="32"/>
        <v>BKK.29</v>
      </c>
      <c r="T102" s="307" t="str">
        <f t="shared" si="33"/>
        <v>Pembayaran Pekerja Minggu Ke 4</v>
      </c>
      <c r="U102" s="315">
        <f t="shared" si="34"/>
        <v>45927</v>
      </c>
      <c r="V102" s="307">
        <f t="shared" si="39"/>
        <v>6035000</v>
      </c>
      <c r="W102" s="307" t="str">
        <f>IFERROR(IF(V102&gt;0,PROPER(Terbilang1(V102)&amp;" Rupiah"),0),"")</f>
        <v>Enam Juta Tiga Puluh Lima Ribu Rupiah</v>
      </c>
      <c r="X102" s="90">
        <f t="shared" si="40"/>
        <v>1</v>
      </c>
      <c r="Y102" s="307">
        <f t="shared" si="41"/>
        <v>0</v>
      </c>
      <c r="Z102" s="307">
        <f t="shared" si="35"/>
        <v>0</v>
      </c>
      <c r="AA102" s="366">
        <f t="shared" si="36"/>
        <v>0</v>
      </c>
      <c r="AB102" s="367">
        <f t="shared" si="42"/>
        <v>0</v>
      </c>
      <c r="AC102" s="305">
        <f t="shared" si="43"/>
        <v>0</v>
      </c>
      <c r="AD102" s="307"/>
      <c r="AE102" s="365"/>
      <c r="AP102" s="89">
        <f t="shared" si="29"/>
        <v>1</v>
      </c>
      <c r="AQ102" s="89" t="str">
        <f t="shared" si="28"/>
        <v/>
      </c>
      <c r="AR102" s="315" t="str">
        <f t="shared" si="37"/>
        <v/>
      </c>
      <c r="AS102" s="305" t="str">
        <f t="shared" si="38"/>
        <v>0</v>
      </c>
      <c r="AT102" s="307">
        <f>Table22[[#This Row],[Column1]]</f>
        <v>0</v>
      </c>
    </row>
    <row r="103" spans="1:46" x14ac:dyDescent="0.3">
      <c r="A103" s="307" t="str">
        <f t="shared" si="30"/>
        <v>1.102</v>
      </c>
      <c r="B103" s="307" t="str">
        <f t="shared" si="44"/>
        <v>Beli</v>
      </c>
      <c r="C103" s="308">
        <v>1</v>
      </c>
      <c r="D103" s="309">
        <v>45929</v>
      </c>
      <c r="E103" s="310" t="s">
        <v>237</v>
      </c>
      <c r="F103" s="310" t="s">
        <v>710</v>
      </c>
      <c r="G103" s="311" t="s">
        <v>711</v>
      </c>
      <c r="H103" s="310" t="s">
        <v>577</v>
      </c>
      <c r="I103" s="310">
        <v>55000</v>
      </c>
      <c r="J103" s="310">
        <v>1</v>
      </c>
      <c r="K103" s="312">
        <v>55000</v>
      </c>
      <c r="L103" s="310" t="s">
        <v>38</v>
      </c>
      <c r="M103" s="310">
        <v>55000</v>
      </c>
      <c r="N103" s="313">
        <v>1947000</v>
      </c>
      <c r="O103" s="314" t="s">
        <v>712</v>
      </c>
      <c r="P103" s="307" t="str">
        <f t="shared" si="31"/>
        <v>Mgg5</v>
      </c>
      <c r="R103" s="91" t="str">
        <f t="shared" si="45"/>
        <v>Mgg5</v>
      </c>
      <c r="S103" s="307" t="str">
        <f t="shared" si="32"/>
        <v>BKK.30</v>
      </c>
      <c r="T103" s="307" t="str">
        <f t="shared" si="33"/>
        <v>Lem Ruglue 400 Gr</v>
      </c>
      <c r="U103" s="315">
        <f t="shared" si="34"/>
        <v>45929</v>
      </c>
      <c r="V103" s="307">
        <f>N103</f>
        <v>1947000</v>
      </c>
      <c r="W103" s="307" t="str">
        <f>IFERROR(IF(V103&gt;0,PROPER(Terbilang1(V103)&amp;" Rupiah"),0),"")</f>
        <v>Satu Juta Sembilan Ratus Empat Puluh Tujuh Ribu Rupiah</v>
      </c>
      <c r="X103" s="90">
        <f t="shared" si="40"/>
        <v>1</v>
      </c>
      <c r="Y103" s="307" t="str">
        <f t="shared" si="41"/>
        <v>Pcs</v>
      </c>
      <c r="Z103" s="307">
        <f t="shared" si="35"/>
        <v>0</v>
      </c>
      <c r="AA103" s="366">
        <f t="shared" si="36"/>
        <v>0</v>
      </c>
      <c r="AB103" s="367">
        <f t="shared" si="42"/>
        <v>0</v>
      </c>
      <c r="AC103" s="305">
        <f t="shared" si="43"/>
        <v>0</v>
      </c>
      <c r="AD103" s="307"/>
      <c r="AE103" s="365"/>
      <c r="AP103" s="89">
        <f t="shared" si="29"/>
        <v>1</v>
      </c>
      <c r="AQ103" s="89" t="str">
        <f t="shared" si="28"/>
        <v/>
      </c>
      <c r="AR103" s="315" t="str">
        <f t="shared" si="37"/>
        <v/>
      </c>
      <c r="AS103" s="305" t="str">
        <f t="shared" si="38"/>
        <v>0</v>
      </c>
      <c r="AT103" s="307">
        <f>Table22[[#This Row],[Column1]]</f>
        <v>0</v>
      </c>
    </row>
    <row r="104" spans="1:46" x14ac:dyDescent="0.3">
      <c r="A104" s="307" t="str">
        <f t="shared" si="30"/>
        <v>1.103</v>
      </c>
      <c r="B104" s="307" t="str">
        <f t="shared" si="44"/>
        <v>Beli</v>
      </c>
      <c r="C104" s="308">
        <v>1</v>
      </c>
      <c r="D104" s="309" t="s">
        <v>563</v>
      </c>
      <c r="E104" s="310" t="s">
        <v>237</v>
      </c>
      <c r="F104" s="310" t="s">
        <v>713</v>
      </c>
      <c r="G104" s="311" t="s">
        <v>714</v>
      </c>
      <c r="H104" s="310" t="s">
        <v>577</v>
      </c>
      <c r="I104" s="310">
        <v>5000</v>
      </c>
      <c r="J104" s="310">
        <v>4</v>
      </c>
      <c r="K104" s="312">
        <v>20000</v>
      </c>
      <c r="L104" s="310" t="s">
        <v>38</v>
      </c>
      <c r="M104" s="310">
        <v>20000</v>
      </c>
      <c r="N104" s="313" t="s">
        <v>563</v>
      </c>
      <c r="O104" s="314" t="s">
        <v>563</v>
      </c>
      <c r="P104" s="307">
        <f t="shared" si="31"/>
        <v>0</v>
      </c>
      <c r="R104" s="91" t="str">
        <f t="shared" si="45"/>
        <v>Mgg5</v>
      </c>
      <c r="S104" s="307" t="str">
        <f t="shared" si="32"/>
        <v>BKK.30a</v>
      </c>
      <c r="T104" s="307" t="str">
        <f t="shared" si="33"/>
        <v>Tba Onda</v>
      </c>
      <c r="U104" s="315" t="str">
        <f t="shared" si="34"/>
        <v/>
      </c>
      <c r="V104" s="307" t="str">
        <f>N104</f>
        <v/>
      </c>
      <c r="W104" s="307" t="str">
        <f>IFERROR(IF(V104&gt;0,PROPER(Terbilang1(V104)&amp;" Rupiah"),0),"")</f>
        <v/>
      </c>
      <c r="X104" s="90">
        <f t="shared" si="40"/>
        <v>4</v>
      </c>
      <c r="Y104" s="307" t="str">
        <f t="shared" si="41"/>
        <v>Pcs</v>
      </c>
      <c r="Z104" s="307">
        <f t="shared" si="35"/>
        <v>0</v>
      </c>
      <c r="AA104" s="366">
        <f t="shared" si="36"/>
        <v>0</v>
      </c>
      <c r="AB104" s="367">
        <f t="shared" si="42"/>
        <v>0</v>
      </c>
      <c r="AC104" s="305">
        <f t="shared" si="43"/>
        <v>0</v>
      </c>
      <c r="AD104" s="307"/>
      <c r="AE104" s="365"/>
      <c r="AP104" s="89" t="str">
        <f t="shared" si="29"/>
        <v/>
      </c>
      <c r="AQ104" s="89" t="str">
        <f t="shared" ref="AQ104:AQ167" si="46">TEXT(AR104,"MM")</f>
        <v/>
      </c>
      <c r="AR104" s="315" t="str">
        <f t="shared" si="37"/>
        <v/>
      </c>
      <c r="AS104" s="305" t="str">
        <f t="shared" si="38"/>
        <v>0</v>
      </c>
      <c r="AT104" s="307">
        <f>Table22[[#This Row],[Column1]]</f>
        <v>0</v>
      </c>
    </row>
    <row r="105" spans="1:46" x14ac:dyDescent="0.3">
      <c r="A105" s="307" t="str">
        <f t="shared" si="30"/>
        <v>1.104</v>
      </c>
      <c r="B105" s="307" t="str">
        <f t="shared" si="44"/>
        <v>Beli</v>
      </c>
      <c r="C105" s="308">
        <v>1</v>
      </c>
      <c r="D105" s="309" t="s">
        <v>563</v>
      </c>
      <c r="E105" s="310" t="s">
        <v>237</v>
      </c>
      <c r="F105" s="310" t="s">
        <v>715</v>
      </c>
      <c r="G105" s="311" t="s">
        <v>716</v>
      </c>
      <c r="H105" s="310" t="s">
        <v>577</v>
      </c>
      <c r="I105" s="310">
        <v>25000</v>
      </c>
      <c r="J105" s="310">
        <v>8</v>
      </c>
      <c r="K105" s="312">
        <v>200000</v>
      </c>
      <c r="L105" s="310" t="s">
        <v>38</v>
      </c>
      <c r="M105" s="310">
        <v>200000</v>
      </c>
      <c r="N105" s="313" t="s">
        <v>563</v>
      </c>
      <c r="O105" s="314" t="s">
        <v>563</v>
      </c>
      <c r="P105" s="307">
        <f t="shared" si="31"/>
        <v>0</v>
      </c>
      <c r="R105" s="91" t="str">
        <f t="shared" si="45"/>
        <v>Mgg5</v>
      </c>
      <c r="S105" s="307" t="str">
        <f t="shared" si="32"/>
        <v>BKK.30aa</v>
      </c>
      <c r="T105" s="307" t="str">
        <f t="shared" si="33"/>
        <v>Tee Drat Dalam Kuningan 3/4" Rck</v>
      </c>
      <c r="U105" s="315" t="str">
        <f t="shared" si="34"/>
        <v/>
      </c>
      <c r="V105" s="307" t="str">
        <f t="shared" si="39"/>
        <v/>
      </c>
      <c r="W105" s="307" t="str">
        <f>IFERROR(IF(V105&gt;0,PROPER(Terbilang1(V105)&amp;" Rupiah"),0),"")</f>
        <v/>
      </c>
      <c r="X105" s="90">
        <f t="shared" si="40"/>
        <v>8</v>
      </c>
      <c r="Y105" s="307" t="str">
        <f t="shared" si="41"/>
        <v>Pcs</v>
      </c>
      <c r="Z105" s="307">
        <f t="shared" si="35"/>
        <v>0</v>
      </c>
      <c r="AA105" s="366">
        <f t="shared" si="36"/>
        <v>0</v>
      </c>
      <c r="AB105" s="367">
        <f t="shared" si="42"/>
        <v>0</v>
      </c>
      <c r="AC105" s="305">
        <f t="shared" si="43"/>
        <v>0</v>
      </c>
      <c r="AD105" s="307"/>
      <c r="AP105" s="89" t="str">
        <f t="shared" si="29"/>
        <v/>
      </c>
      <c r="AQ105" s="89" t="str">
        <f t="shared" si="46"/>
        <v/>
      </c>
      <c r="AR105" s="315" t="str">
        <f t="shared" si="37"/>
        <v/>
      </c>
      <c r="AS105" s="305" t="str">
        <f t="shared" si="38"/>
        <v>0</v>
      </c>
      <c r="AT105" s="307">
        <f>Table22[[#This Row],[Column1]]</f>
        <v>0</v>
      </c>
    </row>
    <row r="106" spans="1:46" x14ac:dyDescent="0.3">
      <c r="A106" s="307" t="str">
        <f t="shared" si="30"/>
        <v>1.105</v>
      </c>
      <c r="B106" s="307" t="str">
        <f t="shared" si="44"/>
        <v>Beli</v>
      </c>
      <c r="C106" s="308">
        <v>1</v>
      </c>
      <c r="D106" s="309" t="s">
        <v>563</v>
      </c>
      <c r="E106" s="310" t="s">
        <v>237</v>
      </c>
      <c r="F106" s="310" t="s">
        <v>717</v>
      </c>
      <c r="G106" s="311" t="s">
        <v>718</v>
      </c>
      <c r="H106" s="310" t="s">
        <v>628</v>
      </c>
      <c r="I106" s="310">
        <v>36000</v>
      </c>
      <c r="J106" s="310">
        <v>10</v>
      </c>
      <c r="K106" s="312">
        <v>360000</v>
      </c>
      <c r="L106" s="310" t="s">
        <v>38</v>
      </c>
      <c r="M106" s="310">
        <v>360000</v>
      </c>
      <c r="N106" s="313" t="s">
        <v>563</v>
      </c>
      <c r="O106" s="314" t="s">
        <v>563</v>
      </c>
      <c r="P106" s="307">
        <f t="shared" si="31"/>
        <v>0</v>
      </c>
      <c r="R106" s="91" t="str">
        <f t="shared" si="45"/>
        <v>Mgg5</v>
      </c>
      <c r="S106" s="307" t="str">
        <f t="shared" si="32"/>
        <v>BKK.30aaa</v>
      </c>
      <c r="T106" s="307" t="str">
        <f t="shared" si="33"/>
        <v>Pipa Maspion Abu Aw 3/4"</v>
      </c>
      <c r="U106" s="315" t="str">
        <f t="shared" si="34"/>
        <v/>
      </c>
      <c r="V106" s="307" t="str">
        <f t="shared" si="39"/>
        <v/>
      </c>
      <c r="W106" s="307" t="str">
        <f>IFERROR(IF(V106&gt;0,PROPER(Terbilang1(V106)&amp;" Rupiah"),0),"")</f>
        <v/>
      </c>
      <c r="X106" s="90">
        <f t="shared" si="40"/>
        <v>10</v>
      </c>
      <c r="Y106" s="307" t="str">
        <f t="shared" si="41"/>
        <v>Ljr</v>
      </c>
      <c r="Z106" s="307">
        <f t="shared" si="35"/>
        <v>0</v>
      </c>
      <c r="AA106" s="366">
        <f t="shared" si="36"/>
        <v>0</v>
      </c>
      <c r="AB106" s="367">
        <f t="shared" si="42"/>
        <v>0</v>
      </c>
      <c r="AC106" s="305">
        <f t="shared" si="43"/>
        <v>0</v>
      </c>
      <c r="AD106" s="307"/>
      <c r="AP106" s="89" t="str">
        <f t="shared" si="29"/>
        <v/>
      </c>
      <c r="AQ106" s="89" t="str">
        <f t="shared" si="46"/>
        <v/>
      </c>
      <c r="AR106" s="315" t="str">
        <f t="shared" si="37"/>
        <v/>
      </c>
      <c r="AS106" s="305" t="str">
        <f t="shared" si="38"/>
        <v>0</v>
      </c>
      <c r="AT106" s="307">
        <f>Table22[[#This Row],[Column1]]</f>
        <v>0</v>
      </c>
    </row>
    <row r="107" spans="1:46" x14ac:dyDescent="0.3">
      <c r="A107" s="307" t="str">
        <f t="shared" si="30"/>
        <v>1.106</v>
      </c>
      <c r="B107" s="307" t="str">
        <f t="shared" si="44"/>
        <v>Beli</v>
      </c>
      <c r="C107" s="308">
        <v>1</v>
      </c>
      <c r="D107" s="309" t="s">
        <v>563</v>
      </c>
      <c r="E107" s="310" t="s">
        <v>237</v>
      </c>
      <c r="F107" s="310" t="s">
        <v>719</v>
      </c>
      <c r="G107" s="311" t="s">
        <v>720</v>
      </c>
      <c r="H107" s="310" t="s">
        <v>577</v>
      </c>
      <c r="I107" s="310">
        <v>4000</v>
      </c>
      <c r="J107" s="310">
        <v>8</v>
      </c>
      <c r="K107" s="312">
        <v>32000</v>
      </c>
      <c r="L107" s="310" t="s">
        <v>38</v>
      </c>
      <c r="M107" s="310">
        <v>32000</v>
      </c>
      <c r="N107" s="313" t="s">
        <v>563</v>
      </c>
      <c r="O107" s="314" t="s">
        <v>563</v>
      </c>
      <c r="P107" s="307">
        <f t="shared" si="31"/>
        <v>0</v>
      </c>
      <c r="R107" s="91" t="str">
        <f t="shared" si="45"/>
        <v>Mgg5</v>
      </c>
      <c r="S107" s="307" t="str">
        <f t="shared" si="32"/>
        <v>BKK.30aaaa</v>
      </c>
      <c r="T107" s="307" t="str">
        <f t="shared" si="33"/>
        <v>Socket Aw 3/4 Rck</v>
      </c>
      <c r="U107" s="315" t="str">
        <f t="shared" si="34"/>
        <v/>
      </c>
      <c r="V107" s="307" t="str">
        <f t="shared" si="39"/>
        <v/>
      </c>
      <c r="W107" s="307" t="str">
        <f>IFERROR(IF(V107&gt;0,PROPER(Terbilang1(V107)&amp;" Rupiah"),0),"")</f>
        <v/>
      </c>
      <c r="X107" s="90">
        <f t="shared" si="40"/>
        <v>8</v>
      </c>
      <c r="Y107" s="307" t="str">
        <f t="shared" si="41"/>
        <v>Pcs</v>
      </c>
      <c r="Z107" s="307">
        <f t="shared" si="35"/>
        <v>0</v>
      </c>
      <c r="AA107" s="366">
        <f t="shared" si="36"/>
        <v>0</v>
      </c>
      <c r="AB107" s="367">
        <f t="shared" si="42"/>
        <v>0</v>
      </c>
      <c r="AC107" s="305">
        <f t="shared" si="43"/>
        <v>0</v>
      </c>
      <c r="AD107" s="307"/>
      <c r="AP107" s="89" t="str">
        <f t="shared" si="29"/>
        <v/>
      </c>
      <c r="AQ107" s="89" t="str">
        <f t="shared" si="46"/>
        <v/>
      </c>
      <c r="AR107" s="315" t="str">
        <f t="shared" si="37"/>
        <v/>
      </c>
      <c r="AS107" s="305" t="str">
        <f t="shared" si="38"/>
        <v>0</v>
      </c>
      <c r="AT107" s="307">
        <f>Table22[[#This Row],[Column1]]</f>
        <v>0</v>
      </c>
    </row>
    <row r="108" spans="1:46" x14ac:dyDescent="0.3">
      <c r="A108" s="307" t="str">
        <f t="shared" si="30"/>
        <v>1.107</v>
      </c>
      <c r="B108" s="307" t="str">
        <f t="shared" si="44"/>
        <v>Beli</v>
      </c>
      <c r="C108" s="308">
        <v>1</v>
      </c>
      <c r="D108" s="309" t="s">
        <v>563</v>
      </c>
      <c r="E108" s="310" t="s">
        <v>237</v>
      </c>
      <c r="F108" s="310" t="s">
        <v>721</v>
      </c>
      <c r="G108" s="311" t="s">
        <v>722</v>
      </c>
      <c r="H108" s="310" t="s">
        <v>577</v>
      </c>
      <c r="I108" s="310">
        <v>20000</v>
      </c>
      <c r="J108" s="310">
        <v>4</v>
      </c>
      <c r="K108" s="312">
        <v>80000</v>
      </c>
      <c r="L108" s="310" t="s">
        <v>38</v>
      </c>
      <c r="M108" s="310">
        <v>80000</v>
      </c>
      <c r="N108" s="313" t="s">
        <v>563</v>
      </c>
      <c r="O108" s="314" t="s">
        <v>563</v>
      </c>
      <c r="P108" s="307">
        <f t="shared" si="31"/>
        <v>0</v>
      </c>
      <c r="R108" s="91" t="str">
        <f t="shared" si="45"/>
        <v>Mgg5</v>
      </c>
      <c r="S108" s="307" t="str">
        <f t="shared" si="32"/>
        <v>BKK.30aaaaa</v>
      </c>
      <c r="T108" s="307" t="str">
        <f t="shared" si="33"/>
        <v>Knee Aw 3" Rck</v>
      </c>
      <c r="U108" s="315" t="str">
        <f t="shared" si="34"/>
        <v/>
      </c>
      <c r="V108" s="307" t="str">
        <f t="shared" si="39"/>
        <v/>
      </c>
      <c r="W108" s="307" t="str">
        <f>IFERROR(IF(V108&gt;0,PROPER(Terbilang1(V108)&amp;" Rupiah"),0),"")</f>
        <v/>
      </c>
      <c r="X108" s="90">
        <f t="shared" si="40"/>
        <v>4</v>
      </c>
      <c r="Y108" s="307" t="str">
        <f t="shared" si="41"/>
        <v>Pcs</v>
      </c>
      <c r="Z108" s="307">
        <f t="shared" si="35"/>
        <v>0</v>
      </c>
      <c r="AA108" s="366">
        <f t="shared" si="36"/>
        <v>0</v>
      </c>
      <c r="AB108" s="367">
        <f t="shared" si="42"/>
        <v>0</v>
      </c>
      <c r="AC108" s="305">
        <f t="shared" si="43"/>
        <v>0</v>
      </c>
      <c r="AD108" s="307"/>
      <c r="AP108" s="89" t="str">
        <f t="shared" si="29"/>
        <v/>
      </c>
      <c r="AQ108" s="89" t="str">
        <f t="shared" si="46"/>
        <v/>
      </c>
      <c r="AR108" s="315" t="str">
        <f t="shared" si="37"/>
        <v/>
      </c>
      <c r="AS108" s="305" t="str">
        <f t="shared" si="38"/>
        <v>0</v>
      </c>
      <c r="AT108" s="307">
        <f>Table22[[#This Row],[Column1]]</f>
        <v>0</v>
      </c>
    </row>
    <row r="109" spans="1:46" x14ac:dyDescent="0.3">
      <c r="A109" s="307" t="str">
        <f t="shared" si="30"/>
        <v>1.108</v>
      </c>
      <c r="B109" s="307" t="str">
        <f t="shared" si="44"/>
        <v>Beli</v>
      </c>
      <c r="C109" s="308">
        <v>1</v>
      </c>
      <c r="D109" s="309" t="s">
        <v>563</v>
      </c>
      <c r="E109" s="310" t="s">
        <v>237</v>
      </c>
      <c r="F109" s="310" t="s">
        <v>723</v>
      </c>
      <c r="G109" s="311" t="s">
        <v>724</v>
      </c>
      <c r="H109" s="310" t="s">
        <v>697</v>
      </c>
      <c r="I109" s="310">
        <v>150000</v>
      </c>
      <c r="J109" s="310">
        <v>8</v>
      </c>
      <c r="K109" s="312">
        <v>1200000</v>
      </c>
      <c r="L109" s="310" t="s">
        <v>38</v>
      </c>
      <c r="M109" s="310">
        <v>1200000</v>
      </c>
      <c r="N109" s="313" t="s">
        <v>563</v>
      </c>
      <c r="O109" s="314" t="s">
        <v>563</v>
      </c>
      <c r="P109" s="307">
        <f t="shared" si="31"/>
        <v>0</v>
      </c>
      <c r="R109" s="91" t="str">
        <f t="shared" si="45"/>
        <v>Mgg5</v>
      </c>
      <c r="S109" s="307" t="str">
        <f t="shared" si="32"/>
        <v>BKK.30aaaaaa</v>
      </c>
      <c r="T109" s="307" t="str">
        <f t="shared" si="33"/>
        <v>Babon list</v>
      </c>
      <c r="U109" s="315" t="str">
        <f t="shared" si="34"/>
        <v/>
      </c>
      <c r="V109" s="307" t="str">
        <f t="shared" si="39"/>
        <v/>
      </c>
      <c r="W109" s="307" t="str">
        <f>IFERROR(IF(V109&gt;0,PROPER(Terbilang1(V109)&amp;" Rupiah"),0),"")</f>
        <v/>
      </c>
      <c r="X109" s="90">
        <f t="shared" si="40"/>
        <v>8</v>
      </c>
      <c r="Y109" s="307" t="str">
        <f t="shared" si="41"/>
        <v>Bji</v>
      </c>
      <c r="Z109" s="307">
        <f t="shared" si="35"/>
        <v>0</v>
      </c>
      <c r="AA109" s="366">
        <f t="shared" si="36"/>
        <v>0</v>
      </c>
      <c r="AB109" s="367">
        <f t="shared" si="42"/>
        <v>0</v>
      </c>
      <c r="AC109" s="305">
        <f t="shared" si="43"/>
        <v>0</v>
      </c>
      <c r="AD109" s="307"/>
      <c r="AP109" s="89" t="str">
        <f t="shared" si="29"/>
        <v/>
      </c>
      <c r="AQ109" s="89" t="str">
        <f t="shared" si="46"/>
        <v/>
      </c>
      <c r="AR109" s="315" t="str">
        <f t="shared" si="37"/>
        <v/>
      </c>
      <c r="AS109" s="305" t="str">
        <f t="shared" si="38"/>
        <v>0</v>
      </c>
      <c r="AT109" s="307">
        <f>Table22[[#This Row],[Column1]]</f>
        <v>0</v>
      </c>
    </row>
    <row r="110" spans="1:46" x14ac:dyDescent="0.3">
      <c r="A110" s="307" t="str">
        <f t="shared" si="30"/>
        <v>1.109</v>
      </c>
      <c r="B110" s="307" t="str">
        <f t="shared" si="44"/>
        <v>Beli</v>
      </c>
      <c r="C110" s="308">
        <v>1</v>
      </c>
      <c r="D110" s="309">
        <v>45930</v>
      </c>
      <c r="E110" s="310" t="s">
        <v>725</v>
      </c>
      <c r="F110" s="310" t="s">
        <v>726</v>
      </c>
      <c r="G110" s="311" t="s">
        <v>727</v>
      </c>
      <c r="H110" s="310" t="s">
        <v>571</v>
      </c>
      <c r="I110" s="310">
        <v>30000</v>
      </c>
      <c r="J110" s="310">
        <v>15</v>
      </c>
      <c r="K110" s="312">
        <v>450000</v>
      </c>
      <c r="L110" s="310" t="s">
        <v>562</v>
      </c>
      <c r="M110" s="310">
        <v>450000</v>
      </c>
      <c r="N110" s="313">
        <v>450000</v>
      </c>
      <c r="O110" s="314" t="s">
        <v>728</v>
      </c>
      <c r="P110" s="307" t="str">
        <f t="shared" si="31"/>
        <v>Men5</v>
      </c>
      <c r="R110" s="91" t="str">
        <f t="shared" si="45"/>
        <v>Men5</v>
      </c>
      <c r="S110" s="307" t="str">
        <f t="shared" si="32"/>
        <v>BKK.31</v>
      </c>
      <c r="T110" s="307" t="str">
        <f>IF(G110=0," ",G110)</f>
        <v>Kosumsi Rapat Peninjauan 50%</v>
      </c>
      <c r="U110" s="315">
        <f t="shared" si="34"/>
        <v>45930</v>
      </c>
      <c r="V110" s="307">
        <f>N110</f>
        <v>450000</v>
      </c>
      <c r="W110" s="307" t="str">
        <f>IFERROR(IF(V110&gt;0,PROPER(Terbilang1(V110)&amp;" Rupiah"),0),"")</f>
        <v>Empat Ratus Lima Puluh Ribu Rupiah</v>
      </c>
      <c r="X110" s="90">
        <f t="shared" si="40"/>
        <v>15</v>
      </c>
      <c r="Y110" s="307" t="str">
        <f t="shared" si="41"/>
        <v>Bks</v>
      </c>
      <c r="Z110" s="307">
        <f t="shared" si="35"/>
        <v>0</v>
      </c>
      <c r="AA110" s="366">
        <f t="shared" si="36"/>
        <v>0</v>
      </c>
      <c r="AB110" s="367">
        <f t="shared" si="42"/>
        <v>0</v>
      </c>
      <c r="AC110" s="305">
        <f t="shared" si="43"/>
        <v>0</v>
      </c>
      <c r="AP110" s="89">
        <f t="shared" si="29"/>
        <v>1</v>
      </c>
      <c r="AQ110" s="89" t="str">
        <f t="shared" si="46"/>
        <v/>
      </c>
      <c r="AR110" s="315" t="str">
        <f t="shared" si="37"/>
        <v/>
      </c>
      <c r="AS110" s="305" t="str">
        <f t="shared" si="38"/>
        <v>0</v>
      </c>
      <c r="AT110" s="307">
        <f>Table22[[#This Row],[Column1]]</f>
        <v>0</v>
      </c>
    </row>
    <row r="111" spans="1:46" x14ac:dyDescent="0.3">
      <c r="A111" s="307" t="str">
        <f t="shared" si="30"/>
        <v>2.1</v>
      </c>
      <c r="B111" s="307" t="str">
        <f t="shared" si="44"/>
        <v>Beli</v>
      </c>
      <c r="C111" s="308">
        <v>2</v>
      </c>
      <c r="D111" s="309">
        <v>45931</v>
      </c>
      <c r="E111" s="310" t="s">
        <v>237</v>
      </c>
      <c r="F111" s="310" t="s">
        <v>640</v>
      </c>
      <c r="G111" s="311" t="s">
        <v>641</v>
      </c>
      <c r="H111" s="310" t="s">
        <v>633</v>
      </c>
      <c r="I111" s="310">
        <v>335000</v>
      </c>
      <c r="J111" s="310">
        <v>2</v>
      </c>
      <c r="K111" s="312">
        <v>670000</v>
      </c>
      <c r="L111" s="310" t="s">
        <v>38</v>
      </c>
      <c r="M111" s="310">
        <v>670000</v>
      </c>
      <c r="N111" s="313">
        <v>1650000</v>
      </c>
      <c r="O111" s="314" t="s">
        <v>729</v>
      </c>
      <c r="P111" s="307" t="str">
        <f>IF(LEFT(O111,1)="B",R111,0)</f>
        <v>Mgg5</v>
      </c>
      <c r="R111" s="91" t="str">
        <f t="shared" si="45"/>
        <v>Mgg5</v>
      </c>
      <c r="S111" s="307" t="str">
        <f t="shared" si="32"/>
        <v>BKK.32</v>
      </c>
      <c r="T111" s="307" t="str">
        <f>IF(G111=0," ",G111)</f>
        <v>Pasir Cor L300</v>
      </c>
      <c r="U111" s="315">
        <f t="shared" si="34"/>
        <v>45931</v>
      </c>
      <c r="V111" s="307">
        <f>N111</f>
        <v>1650000</v>
      </c>
      <c r="W111" s="307" t="str">
        <f>IFERROR(IF(V111&gt;0,PROPER(Terbilang1(V111)&amp;" Rupiah"),0),"")</f>
        <v>Satu Juta Enam Ratus Lima Puluh Ribu Rupiah</v>
      </c>
      <c r="X111" s="90">
        <f t="shared" si="40"/>
        <v>2</v>
      </c>
      <c r="Y111" s="307" t="str">
        <f t="shared" si="41"/>
        <v>Pik Up</v>
      </c>
      <c r="Z111" s="307">
        <f t="shared" si="35"/>
        <v>0</v>
      </c>
      <c r="AA111" s="366">
        <f t="shared" si="36"/>
        <v>0</v>
      </c>
      <c r="AB111" s="367">
        <f t="shared" si="42"/>
        <v>0</v>
      </c>
      <c r="AC111" s="305">
        <f t="shared" si="43"/>
        <v>0</v>
      </c>
      <c r="AP111" s="89">
        <f t="shared" si="29"/>
        <v>1</v>
      </c>
      <c r="AQ111" s="89" t="str">
        <f t="shared" si="46"/>
        <v/>
      </c>
      <c r="AR111" s="315" t="str">
        <f t="shared" si="37"/>
        <v/>
      </c>
      <c r="AS111" s="305" t="str">
        <f t="shared" si="38"/>
        <v>0</v>
      </c>
      <c r="AT111" s="307">
        <f>Table22[[#This Row],[Column1]]</f>
        <v>0</v>
      </c>
    </row>
    <row r="112" spans="1:46" x14ac:dyDescent="0.3">
      <c r="A112" s="307" t="str">
        <f t="shared" si="30"/>
        <v>2.2</v>
      </c>
      <c r="B112" s="307" t="str">
        <f t="shared" si="44"/>
        <v>Beli</v>
      </c>
      <c r="C112" s="308">
        <v>2</v>
      </c>
      <c r="D112" s="309" t="s">
        <v>563</v>
      </c>
      <c r="E112" s="310" t="s">
        <v>237</v>
      </c>
      <c r="F112" s="310" t="s">
        <v>631</v>
      </c>
      <c r="G112" s="311" t="s">
        <v>632</v>
      </c>
      <c r="H112" s="310" t="s">
        <v>633</v>
      </c>
      <c r="I112" s="310">
        <v>230000</v>
      </c>
      <c r="J112" s="310">
        <v>2</v>
      </c>
      <c r="K112" s="312">
        <v>460000</v>
      </c>
      <c r="L112" s="310" t="s">
        <v>38</v>
      </c>
      <c r="M112" s="310">
        <v>460000</v>
      </c>
      <c r="N112" s="313" t="s">
        <v>563</v>
      </c>
      <c r="O112" s="314" t="s">
        <v>563</v>
      </c>
      <c r="P112" s="307">
        <f t="shared" si="31"/>
        <v>0</v>
      </c>
      <c r="R112" s="91" t="str">
        <f t="shared" si="45"/>
        <v>Mgg5</v>
      </c>
      <c r="S112" s="307" t="str">
        <f t="shared" si="32"/>
        <v>BKK.32a</v>
      </c>
      <c r="T112" s="307" t="str">
        <f t="shared" si="33"/>
        <v>Pasir Biasa L300</v>
      </c>
      <c r="U112" s="315" t="str">
        <f t="shared" si="34"/>
        <v/>
      </c>
      <c r="V112" s="307" t="str">
        <f t="shared" si="39"/>
        <v/>
      </c>
      <c r="W112" s="307" t="str">
        <f>IFERROR(IF(V112&gt;0,PROPER(Terbilang1(V112)&amp;" Rupiah"),0),"")</f>
        <v/>
      </c>
      <c r="X112" s="90">
        <f t="shared" si="40"/>
        <v>2</v>
      </c>
      <c r="Y112" s="307" t="str">
        <f t="shared" si="41"/>
        <v>Pik Up</v>
      </c>
      <c r="Z112" s="307">
        <f t="shared" si="35"/>
        <v>0</v>
      </c>
      <c r="AA112" s="366">
        <f t="shared" si="36"/>
        <v>0</v>
      </c>
      <c r="AB112" s="367">
        <f t="shared" si="42"/>
        <v>0</v>
      </c>
      <c r="AC112" s="305">
        <f t="shared" si="43"/>
        <v>0</v>
      </c>
      <c r="AP112" s="89" t="str">
        <f t="shared" si="29"/>
        <v/>
      </c>
      <c r="AQ112" s="89" t="str">
        <f t="shared" si="46"/>
        <v/>
      </c>
      <c r="AR112" s="315" t="str">
        <f t="shared" si="37"/>
        <v/>
      </c>
      <c r="AS112" s="305" t="str">
        <f t="shared" si="38"/>
        <v>0</v>
      </c>
      <c r="AT112" s="307">
        <f>Table22[[#This Row],[Column1]]</f>
        <v>0</v>
      </c>
    </row>
    <row r="113" spans="1:46" x14ac:dyDescent="0.3">
      <c r="A113" s="307" t="str">
        <f t="shared" si="30"/>
        <v>2.3</v>
      </c>
      <c r="B113" s="307" t="str">
        <f t="shared" si="44"/>
        <v>Beli</v>
      </c>
      <c r="C113" s="308">
        <v>2</v>
      </c>
      <c r="D113" s="309" t="s">
        <v>563</v>
      </c>
      <c r="E113" s="310" t="s">
        <v>237</v>
      </c>
      <c r="F113" s="310" t="s">
        <v>649</v>
      </c>
      <c r="G113" s="311" t="s">
        <v>650</v>
      </c>
      <c r="H113" s="310" t="s">
        <v>648</v>
      </c>
      <c r="I113" s="310">
        <v>52000</v>
      </c>
      <c r="J113" s="310">
        <v>10</v>
      </c>
      <c r="K113" s="312">
        <v>520000</v>
      </c>
      <c r="L113" s="310" t="s">
        <v>38</v>
      </c>
      <c r="M113" s="310">
        <v>520000</v>
      </c>
      <c r="N113" s="313" t="s">
        <v>563</v>
      </c>
      <c r="O113" s="314" t="s">
        <v>563</v>
      </c>
      <c r="P113" s="307">
        <f t="shared" si="31"/>
        <v>0</v>
      </c>
      <c r="R113" s="91" t="str">
        <f t="shared" si="45"/>
        <v>Mgg5</v>
      </c>
      <c r="S113" s="307" t="str">
        <f t="shared" si="32"/>
        <v>BKK.32aa</v>
      </c>
      <c r="T113" s="307" t="str">
        <f t="shared" si="33"/>
        <v>Semen 3 Roda</v>
      </c>
      <c r="U113" s="315" t="str">
        <f t="shared" si="34"/>
        <v/>
      </c>
      <c r="V113" s="307" t="str">
        <f t="shared" si="39"/>
        <v/>
      </c>
      <c r="W113" s="307" t="str">
        <f>IFERROR(IF(V113&gt;0,PROPER(Terbilang1(V113)&amp;" Rupiah"),0),"")</f>
        <v/>
      </c>
      <c r="X113" s="90">
        <f t="shared" si="40"/>
        <v>10</v>
      </c>
      <c r="Y113" s="307" t="str">
        <f t="shared" si="41"/>
        <v>Sak</v>
      </c>
      <c r="Z113" s="307">
        <f t="shared" si="35"/>
        <v>0</v>
      </c>
      <c r="AA113" s="366">
        <f t="shared" si="36"/>
        <v>0</v>
      </c>
      <c r="AB113" s="367">
        <f t="shared" si="42"/>
        <v>0</v>
      </c>
      <c r="AC113" s="305">
        <f t="shared" si="43"/>
        <v>0</v>
      </c>
      <c r="AP113" s="89" t="str">
        <f t="shared" si="29"/>
        <v/>
      </c>
      <c r="AQ113" s="89" t="str">
        <f t="shared" si="46"/>
        <v/>
      </c>
      <c r="AR113" s="315" t="str">
        <f t="shared" si="37"/>
        <v/>
      </c>
      <c r="AS113" s="305" t="str">
        <f t="shared" si="38"/>
        <v>0</v>
      </c>
      <c r="AT113" s="307">
        <f>Table22[[#This Row],[Column1]]</f>
        <v>0</v>
      </c>
    </row>
    <row r="114" spans="1:46" x14ac:dyDescent="0.3">
      <c r="A114" s="307" t="str">
        <f t="shared" si="30"/>
        <v>2.4</v>
      </c>
      <c r="B114" s="307" t="str">
        <f t="shared" si="44"/>
        <v>Beli</v>
      </c>
      <c r="C114" s="308">
        <v>2</v>
      </c>
      <c r="D114" s="309">
        <v>45933</v>
      </c>
      <c r="E114" s="310" t="s">
        <v>237</v>
      </c>
      <c r="F114" s="310" t="s">
        <v>640</v>
      </c>
      <c r="G114" s="311" t="s">
        <v>641</v>
      </c>
      <c r="H114" s="310" t="s">
        <v>633</v>
      </c>
      <c r="I114" s="310">
        <v>335000</v>
      </c>
      <c r="J114" s="310">
        <v>1</v>
      </c>
      <c r="K114" s="312">
        <v>335000</v>
      </c>
      <c r="L114" s="310" t="s">
        <v>38</v>
      </c>
      <c r="M114" s="310">
        <v>335000</v>
      </c>
      <c r="N114" s="313">
        <v>625000</v>
      </c>
      <c r="O114" s="314" t="s">
        <v>730</v>
      </c>
      <c r="P114" s="307" t="str">
        <f t="shared" si="31"/>
        <v>Mgg5</v>
      </c>
      <c r="R114" s="91" t="str">
        <f t="shared" si="45"/>
        <v>Mgg5</v>
      </c>
      <c r="S114" s="307" t="str">
        <f t="shared" si="32"/>
        <v>BKK.33</v>
      </c>
      <c r="T114" s="307" t="str">
        <f t="shared" si="33"/>
        <v>Pasir Cor L300</v>
      </c>
      <c r="U114" s="315">
        <f t="shared" si="34"/>
        <v>45933</v>
      </c>
      <c r="V114" s="307">
        <f t="shared" si="39"/>
        <v>625000</v>
      </c>
      <c r="W114" s="307" t="str">
        <f>IFERROR(IF(V114&gt;0,PROPER(Terbilang1(V114)&amp;" Rupiah"),0),"")</f>
        <v>Enam Ratus Dua Puluh Lima Ribu Rupiah</v>
      </c>
      <c r="X114" s="90">
        <f t="shared" si="40"/>
        <v>1</v>
      </c>
      <c r="Y114" s="307" t="str">
        <f t="shared" si="41"/>
        <v>Pik Up</v>
      </c>
      <c r="Z114" s="307">
        <f t="shared" si="35"/>
        <v>0</v>
      </c>
      <c r="AA114" s="366">
        <f t="shared" si="36"/>
        <v>0</v>
      </c>
      <c r="AB114" s="367">
        <f t="shared" si="42"/>
        <v>0</v>
      </c>
      <c r="AC114" s="305">
        <f t="shared" si="43"/>
        <v>0</v>
      </c>
      <c r="AP114" s="89">
        <f t="shared" si="29"/>
        <v>1</v>
      </c>
      <c r="AQ114" s="89" t="str">
        <f t="shared" si="46"/>
        <v/>
      </c>
      <c r="AR114" s="315" t="str">
        <f t="shared" si="37"/>
        <v/>
      </c>
      <c r="AS114" s="305" t="str">
        <f t="shared" si="38"/>
        <v>0</v>
      </c>
      <c r="AT114" s="307">
        <f>Table22[[#This Row],[Column1]]</f>
        <v>0</v>
      </c>
    </row>
    <row r="115" spans="1:46" x14ac:dyDescent="0.3">
      <c r="A115" s="307" t="str">
        <f t="shared" si="30"/>
        <v>2.5</v>
      </c>
      <c r="B115" s="307" t="str">
        <f t="shared" si="44"/>
        <v>Beli</v>
      </c>
      <c r="C115" s="308">
        <v>2</v>
      </c>
      <c r="D115" s="309" t="s">
        <v>563</v>
      </c>
      <c r="E115" s="310" t="s">
        <v>237</v>
      </c>
      <c r="F115" s="310" t="s">
        <v>646</v>
      </c>
      <c r="G115" s="311" t="s">
        <v>647</v>
      </c>
      <c r="H115" s="310" t="s">
        <v>648</v>
      </c>
      <c r="I115" s="310">
        <v>58000</v>
      </c>
      <c r="J115" s="310">
        <v>5</v>
      </c>
      <c r="K115" s="312">
        <v>290000</v>
      </c>
      <c r="L115" s="310" t="s">
        <v>38</v>
      </c>
      <c r="M115" s="310">
        <v>290000</v>
      </c>
      <c r="N115" s="313" t="s">
        <v>563</v>
      </c>
      <c r="O115" s="314" t="s">
        <v>563</v>
      </c>
      <c r="P115" s="307">
        <f t="shared" si="31"/>
        <v>0</v>
      </c>
      <c r="R115" s="91" t="str">
        <f t="shared" si="45"/>
        <v>Mgg5</v>
      </c>
      <c r="S115" s="307" t="str">
        <f t="shared" si="32"/>
        <v>BKK.33a</v>
      </c>
      <c r="T115" s="307" t="str">
        <f t="shared" si="33"/>
        <v>Semen Gresik 40Kg</v>
      </c>
      <c r="U115" s="315" t="str">
        <f t="shared" si="34"/>
        <v/>
      </c>
      <c r="V115" s="307" t="str">
        <f>N115</f>
        <v/>
      </c>
      <c r="W115" s="307" t="str">
        <f>IFERROR(IF(V115&gt;0,PROPER(Terbilang1(V115)&amp;" Rupiah"),0),"")</f>
        <v/>
      </c>
      <c r="X115" s="90">
        <f t="shared" si="40"/>
        <v>5</v>
      </c>
      <c r="Y115" s="307" t="str">
        <f t="shared" si="41"/>
        <v>Sak</v>
      </c>
      <c r="Z115" s="307">
        <f t="shared" si="35"/>
        <v>0</v>
      </c>
      <c r="AA115" s="366">
        <f t="shared" si="36"/>
        <v>0</v>
      </c>
      <c r="AB115" s="367">
        <f t="shared" si="42"/>
        <v>0</v>
      </c>
      <c r="AC115" s="305">
        <f t="shared" si="43"/>
        <v>0</v>
      </c>
      <c r="AP115" s="89" t="str">
        <f t="shared" si="29"/>
        <v/>
      </c>
      <c r="AQ115" s="89" t="str">
        <f t="shared" si="46"/>
        <v/>
      </c>
      <c r="AR115" s="315" t="str">
        <f t="shared" si="37"/>
        <v/>
      </c>
      <c r="AS115" s="305" t="str">
        <f t="shared" si="38"/>
        <v>0</v>
      </c>
      <c r="AT115" s="307">
        <f>Table22[[#This Row],[Column1]]</f>
        <v>0</v>
      </c>
    </row>
    <row r="116" spans="1:46" x14ac:dyDescent="0.3">
      <c r="A116" s="307" t="str">
        <f t="shared" si="30"/>
        <v>2.6</v>
      </c>
      <c r="B116" s="307" t="str">
        <f t="shared" si="44"/>
        <v>Bayar Ongkos</v>
      </c>
      <c r="C116" s="308">
        <v>2</v>
      </c>
      <c r="D116" s="309">
        <v>45934</v>
      </c>
      <c r="E116" s="310" t="s">
        <v>503</v>
      </c>
      <c r="F116" s="310" t="s">
        <v>503</v>
      </c>
      <c r="G116" s="311" t="s">
        <v>731</v>
      </c>
      <c r="H116" s="310">
        <v>0</v>
      </c>
      <c r="I116" s="310">
        <v>1</v>
      </c>
      <c r="J116" s="310">
        <v>1</v>
      </c>
      <c r="K116" s="312">
        <v>1</v>
      </c>
      <c r="L116" s="310" t="s">
        <v>35</v>
      </c>
      <c r="M116" s="310">
        <v>5225000</v>
      </c>
      <c r="N116" s="313">
        <v>5225000</v>
      </c>
      <c r="O116" s="314" t="s">
        <v>732</v>
      </c>
      <c r="P116" s="307" t="str">
        <f t="shared" si="31"/>
        <v>Gaj5</v>
      </c>
      <c r="R116" s="91" t="str">
        <f t="shared" si="45"/>
        <v>Gaj5</v>
      </c>
      <c r="S116" s="307" t="str">
        <f t="shared" si="32"/>
        <v>BKK.34</v>
      </c>
      <c r="T116" s="307" t="str">
        <f t="shared" si="33"/>
        <v>Pembayaran Pekerja Minggu Ke 5</v>
      </c>
      <c r="U116" s="315">
        <f t="shared" si="34"/>
        <v>45934</v>
      </c>
      <c r="V116" s="307">
        <f t="shared" si="39"/>
        <v>5225000</v>
      </c>
      <c r="W116" s="307" t="str">
        <f>IFERROR(IF(V116&gt;0,PROPER(Terbilang1(V116)&amp;" Rupiah"),0),"")</f>
        <v>Lima Juta Dua Ratus Dua Puluh Lima Ribu Rupiah</v>
      </c>
      <c r="X116" s="90">
        <f t="shared" si="40"/>
        <v>1</v>
      </c>
      <c r="Y116" s="307">
        <f t="shared" si="41"/>
        <v>0</v>
      </c>
      <c r="Z116" s="307">
        <f t="shared" si="35"/>
        <v>0</v>
      </c>
      <c r="AA116" s="366">
        <f t="shared" si="36"/>
        <v>0</v>
      </c>
      <c r="AB116" s="367">
        <f t="shared" si="42"/>
        <v>0</v>
      </c>
      <c r="AC116" s="305">
        <f t="shared" si="43"/>
        <v>0</v>
      </c>
      <c r="AP116" s="89">
        <f t="shared" si="29"/>
        <v>1</v>
      </c>
      <c r="AQ116" s="89" t="str">
        <f t="shared" si="46"/>
        <v/>
      </c>
      <c r="AR116" s="315" t="str">
        <f t="shared" si="37"/>
        <v/>
      </c>
      <c r="AS116" s="305" t="str">
        <f t="shared" si="38"/>
        <v>0</v>
      </c>
      <c r="AT116" s="307">
        <f>Table22[[#This Row],[Column1]]</f>
        <v>0</v>
      </c>
    </row>
    <row r="117" spans="1:46" x14ac:dyDescent="0.3">
      <c r="A117" s="307" t="str">
        <f t="shared" si="30"/>
        <v>2.7</v>
      </c>
      <c r="B117" s="307" t="str">
        <f t="shared" si="44"/>
        <v>Beli</v>
      </c>
      <c r="C117" s="308">
        <v>2</v>
      </c>
      <c r="D117" s="309">
        <v>45936</v>
      </c>
      <c r="E117" s="310" t="s">
        <v>238</v>
      </c>
      <c r="F117" s="310" t="s">
        <v>640</v>
      </c>
      <c r="G117" s="311" t="s">
        <v>641</v>
      </c>
      <c r="H117" s="310" t="s">
        <v>633</v>
      </c>
      <c r="I117" s="310">
        <v>335000</v>
      </c>
      <c r="J117" s="310">
        <v>3</v>
      </c>
      <c r="K117" s="312">
        <v>1005000</v>
      </c>
      <c r="L117" s="310" t="s">
        <v>38</v>
      </c>
      <c r="M117" s="310">
        <v>1005000</v>
      </c>
      <c r="N117" s="313">
        <v>2663000</v>
      </c>
      <c r="O117" s="314" t="s">
        <v>733</v>
      </c>
      <c r="P117" s="307" t="str">
        <f t="shared" si="31"/>
        <v>Mgg6</v>
      </c>
      <c r="R117" s="91" t="str">
        <f t="shared" si="45"/>
        <v>Mgg6</v>
      </c>
      <c r="S117" s="307" t="str">
        <f t="shared" si="32"/>
        <v>BKK.35</v>
      </c>
      <c r="T117" s="307" t="str">
        <f t="shared" si="33"/>
        <v>Pasir Cor L300</v>
      </c>
      <c r="U117" s="315">
        <f t="shared" si="34"/>
        <v>45936</v>
      </c>
      <c r="V117" s="307">
        <f t="shared" si="39"/>
        <v>2663000</v>
      </c>
      <c r="W117" s="307" t="str">
        <f>IFERROR(IF(V117&gt;0,PROPER(Terbilang1(V117)&amp;" Rupiah"),0),"")</f>
        <v>Dua Juta Enam Ratus Enam Puluh Tiga Ribu Rupiah</v>
      </c>
      <c r="X117" s="90">
        <f t="shared" si="40"/>
        <v>3</v>
      </c>
      <c r="Y117" s="307" t="str">
        <f t="shared" si="41"/>
        <v>Pik Up</v>
      </c>
      <c r="Z117" s="307">
        <f t="shared" si="35"/>
        <v>292930</v>
      </c>
      <c r="AA117" s="366">
        <f t="shared" si="36"/>
        <v>292930</v>
      </c>
      <c r="AB117" s="367">
        <f t="shared" si="42"/>
        <v>0</v>
      </c>
      <c r="AC117" s="305" t="str">
        <f t="shared" si="43"/>
        <v>Bayar Pajak PPN (11 %) BKK.35</v>
      </c>
      <c r="AP117" s="89">
        <f t="shared" si="29"/>
        <v>1</v>
      </c>
      <c r="AQ117" s="89" t="str">
        <f t="shared" si="46"/>
        <v>10</v>
      </c>
      <c r="AR117" s="315">
        <f t="shared" si="37"/>
        <v>45936</v>
      </c>
      <c r="AS117" s="305" t="str">
        <f t="shared" si="38"/>
        <v>Bayar Pajak PPN</v>
      </c>
      <c r="AT117" s="307">
        <f>Table22[[#This Row],[Column1]]</f>
        <v>292930</v>
      </c>
    </row>
    <row r="118" spans="1:46" x14ac:dyDescent="0.3">
      <c r="A118" s="307" t="str">
        <f t="shared" si="30"/>
        <v>2.8</v>
      </c>
      <c r="B118" s="307" t="str">
        <f t="shared" si="44"/>
        <v>Beli</v>
      </c>
      <c r="C118" s="308">
        <v>2</v>
      </c>
      <c r="D118" s="309" t="s">
        <v>563</v>
      </c>
      <c r="E118" s="310" t="s">
        <v>238</v>
      </c>
      <c r="F118" s="310" t="s">
        <v>646</v>
      </c>
      <c r="G118" s="311" t="s">
        <v>647</v>
      </c>
      <c r="H118" s="310" t="s">
        <v>648</v>
      </c>
      <c r="I118" s="310">
        <v>58000</v>
      </c>
      <c r="J118" s="310">
        <v>5</v>
      </c>
      <c r="K118" s="312">
        <v>290000</v>
      </c>
      <c r="L118" s="310" t="s">
        <v>38</v>
      </c>
      <c r="M118" s="310">
        <v>290000</v>
      </c>
      <c r="N118" s="313" t="s">
        <v>563</v>
      </c>
      <c r="O118" s="314" t="s">
        <v>563</v>
      </c>
      <c r="P118" s="307">
        <f t="shared" si="31"/>
        <v>0</v>
      </c>
      <c r="R118" s="91" t="str">
        <f t="shared" si="45"/>
        <v>Mgg6</v>
      </c>
      <c r="S118" s="307" t="str">
        <f t="shared" si="32"/>
        <v>BKK.35a</v>
      </c>
      <c r="T118" s="307" t="str">
        <f t="shared" si="33"/>
        <v>Semen Gresik 40Kg</v>
      </c>
      <c r="U118" s="315" t="str">
        <f t="shared" si="34"/>
        <v/>
      </c>
      <c r="V118" s="307" t="str">
        <f t="shared" si="39"/>
        <v/>
      </c>
      <c r="W118" s="307" t="str">
        <f>IFERROR(IF(V118&gt;0,PROPER(Terbilang1(V118)&amp;" Rupiah"),0),"")</f>
        <v/>
      </c>
      <c r="X118" s="90">
        <f t="shared" si="40"/>
        <v>5</v>
      </c>
      <c r="Y118" s="307" t="str">
        <f t="shared" si="41"/>
        <v>Sak</v>
      </c>
      <c r="Z118" s="307">
        <f t="shared" si="35"/>
        <v>39945</v>
      </c>
      <c r="AA118" s="366">
        <f t="shared" si="36"/>
        <v>0</v>
      </c>
      <c r="AB118" s="367">
        <f t="shared" si="42"/>
        <v>39945</v>
      </c>
      <c r="AC118" s="305" t="str">
        <f t="shared" si="43"/>
        <v>Bayar Pajak PPH (1,5 %) BKK.35</v>
      </c>
      <c r="AP118" s="89" t="str">
        <f t="shared" si="29"/>
        <v/>
      </c>
      <c r="AQ118" s="89" t="str">
        <f t="shared" si="46"/>
        <v>10</v>
      </c>
      <c r="AR118" s="315">
        <f t="shared" si="37"/>
        <v>45936</v>
      </c>
      <c r="AS118" s="305" t="str">
        <f t="shared" si="38"/>
        <v>Bayar Pajak PPH</v>
      </c>
      <c r="AT118" s="307">
        <f>Table22[[#This Row],[Column1]]</f>
        <v>39945</v>
      </c>
    </row>
    <row r="119" spans="1:46" x14ac:dyDescent="0.3">
      <c r="A119" s="307" t="str">
        <f t="shared" si="30"/>
        <v>2.9</v>
      </c>
      <c r="B119" s="307" t="str">
        <f t="shared" si="44"/>
        <v>Beli</v>
      </c>
      <c r="C119" s="308">
        <v>2</v>
      </c>
      <c r="D119" s="309" t="s">
        <v>563</v>
      </c>
      <c r="E119" s="310" t="s">
        <v>238</v>
      </c>
      <c r="F119" s="310" t="s">
        <v>734</v>
      </c>
      <c r="G119" s="311" t="s">
        <v>735</v>
      </c>
      <c r="H119" s="310" t="s">
        <v>577</v>
      </c>
      <c r="I119" s="310">
        <v>42000</v>
      </c>
      <c r="J119" s="310">
        <v>8</v>
      </c>
      <c r="K119" s="312">
        <v>336000</v>
      </c>
      <c r="L119" s="310" t="s">
        <v>38</v>
      </c>
      <c r="M119" s="310">
        <v>336000</v>
      </c>
      <c r="N119" s="313" t="s">
        <v>563</v>
      </c>
      <c r="O119" s="314" t="s">
        <v>563</v>
      </c>
      <c r="P119" s="307">
        <f t="shared" si="31"/>
        <v>0</v>
      </c>
      <c r="R119" s="91" t="str">
        <f t="shared" si="45"/>
        <v>Mgg6</v>
      </c>
      <c r="S119" s="307" t="str">
        <f t="shared" si="32"/>
        <v>BKK.35aa</v>
      </c>
      <c r="T119" s="307" t="str">
        <f t="shared" si="33"/>
        <v>Lampu Philips Led Bulb 8W</v>
      </c>
      <c r="U119" s="315" t="str">
        <f t="shared" si="34"/>
        <v/>
      </c>
      <c r="V119" s="307" t="str">
        <f t="shared" si="39"/>
        <v/>
      </c>
      <c r="W119" s="307" t="str">
        <f>IFERROR(IF(V119&gt;0,PROPER(Terbilang1(V119)&amp;" Rupiah"),0),"")</f>
        <v/>
      </c>
      <c r="X119" s="90">
        <f t="shared" si="40"/>
        <v>8</v>
      </c>
      <c r="Y119" s="307" t="str">
        <f t="shared" si="41"/>
        <v>Pcs</v>
      </c>
      <c r="Z119" s="307">
        <f t="shared" si="35"/>
        <v>0</v>
      </c>
      <c r="AA119" s="366">
        <f t="shared" si="36"/>
        <v>0</v>
      </c>
      <c r="AB119" s="367">
        <f t="shared" si="42"/>
        <v>0</v>
      </c>
      <c r="AC119" s="305">
        <f t="shared" si="43"/>
        <v>0</v>
      </c>
      <c r="AP119" s="89" t="str">
        <f t="shared" si="29"/>
        <v/>
      </c>
      <c r="AQ119" s="89" t="str">
        <f t="shared" si="46"/>
        <v/>
      </c>
      <c r="AR119" s="315" t="str">
        <f t="shared" si="37"/>
        <v/>
      </c>
      <c r="AS119" s="305" t="str">
        <f t="shared" si="38"/>
        <v>0</v>
      </c>
      <c r="AT119" s="307">
        <f>Table22[[#This Row],[Column1]]</f>
        <v>0</v>
      </c>
    </row>
    <row r="120" spans="1:46" x14ac:dyDescent="0.3">
      <c r="A120" s="307" t="str">
        <f t="shared" si="30"/>
        <v>2.10</v>
      </c>
      <c r="B120" s="307" t="str">
        <f t="shared" si="44"/>
        <v>Beli</v>
      </c>
      <c r="C120" s="308">
        <v>2</v>
      </c>
      <c r="D120" s="309" t="s">
        <v>563</v>
      </c>
      <c r="E120" s="310" t="s">
        <v>238</v>
      </c>
      <c r="F120" s="310" t="s">
        <v>736</v>
      </c>
      <c r="G120" s="311" t="s">
        <v>737</v>
      </c>
      <c r="H120" s="310" t="s">
        <v>577</v>
      </c>
      <c r="I120" s="310">
        <v>20000</v>
      </c>
      <c r="J120" s="310">
        <v>4</v>
      </c>
      <c r="K120" s="312">
        <v>80000</v>
      </c>
      <c r="L120" s="310" t="s">
        <v>38</v>
      </c>
      <c r="M120" s="310">
        <v>80000</v>
      </c>
      <c r="N120" s="313" t="s">
        <v>563</v>
      </c>
      <c r="O120" s="314" t="s">
        <v>563</v>
      </c>
      <c r="P120" s="307">
        <f t="shared" si="31"/>
        <v>0</v>
      </c>
      <c r="R120" s="91" t="str">
        <f t="shared" si="45"/>
        <v>Mgg6</v>
      </c>
      <c r="S120" s="307" t="str">
        <f t="shared" si="32"/>
        <v>BKK.35aaa</v>
      </c>
      <c r="T120" s="307" t="str">
        <f t="shared" si="33"/>
        <v>Broco Saklar Seri Ib 6622U</v>
      </c>
      <c r="U120" s="315" t="str">
        <f t="shared" si="34"/>
        <v/>
      </c>
      <c r="V120" s="307" t="str">
        <f>N120</f>
        <v/>
      </c>
      <c r="W120" s="307" t="str">
        <f>IFERROR(IF(V120&gt;0,PROPER(Terbilang1(V120)&amp;" Rupiah"),0),"")</f>
        <v/>
      </c>
      <c r="X120" s="90">
        <f t="shared" si="40"/>
        <v>4</v>
      </c>
      <c r="Y120" s="307" t="str">
        <f t="shared" si="41"/>
        <v>Pcs</v>
      </c>
      <c r="Z120" s="307">
        <f t="shared" si="35"/>
        <v>0</v>
      </c>
      <c r="AA120" s="366">
        <f t="shared" si="36"/>
        <v>0</v>
      </c>
      <c r="AB120" s="367">
        <f t="shared" si="42"/>
        <v>0</v>
      </c>
      <c r="AC120" s="305">
        <f t="shared" si="43"/>
        <v>0</v>
      </c>
      <c r="AP120" s="89" t="str">
        <f t="shared" si="29"/>
        <v/>
      </c>
      <c r="AQ120" s="89" t="str">
        <f t="shared" si="46"/>
        <v/>
      </c>
      <c r="AR120" s="315" t="str">
        <f t="shared" si="37"/>
        <v/>
      </c>
      <c r="AS120" s="305" t="str">
        <f t="shared" si="38"/>
        <v>0</v>
      </c>
      <c r="AT120" s="307">
        <f>Table22[[#This Row],[Column1]]</f>
        <v>0</v>
      </c>
    </row>
    <row r="121" spans="1:46" x14ac:dyDescent="0.3">
      <c r="A121" s="307" t="str">
        <f t="shared" si="30"/>
        <v>2.11</v>
      </c>
      <c r="B121" s="307" t="str">
        <f t="shared" si="44"/>
        <v>Beli</v>
      </c>
      <c r="C121" s="308">
        <v>2</v>
      </c>
      <c r="D121" s="309" t="s">
        <v>563</v>
      </c>
      <c r="E121" s="310" t="s">
        <v>238</v>
      </c>
      <c r="F121" s="310" t="s">
        <v>738</v>
      </c>
      <c r="G121" s="311" t="s">
        <v>739</v>
      </c>
      <c r="H121" s="310" t="s">
        <v>577</v>
      </c>
      <c r="I121" s="310">
        <v>15000</v>
      </c>
      <c r="J121" s="310">
        <v>8</v>
      </c>
      <c r="K121" s="312">
        <v>120000</v>
      </c>
      <c r="L121" s="310" t="s">
        <v>38</v>
      </c>
      <c r="M121" s="310">
        <v>120000</v>
      </c>
      <c r="N121" s="313" t="s">
        <v>563</v>
      </c>
      <c r="O121" s="314" t="s">
        <v>563</v>
      </c>
      <c r="P121" s="307">
        <f t="shared" si="31"/>
        <v>0</v>
      </c>
      <c r="R121" s="91" t="str">
        <f t="shared" si="45"/>
        <v>Mgg6</v>
      </c>
      <c r="S121" s="307" t="str">
        <f t="shared" si="32"/>
        <v>BKK.35aaaa</v>
      </c>
      <c r="T121" s="307" t="str">
        <f t="shared" si="33"/>
        <v>Fitting Plafon Kotak New Broco 1210</v>
      </c>
      <c r="U121" s="315" t="str">
        <f t="shared" si="34"/>
        <v/>
      </c>
      <c r="V121" s="307" t="str">
        <f t="shared" si="39"/>
        <v/>
      </c>
      <c r="W121" s="307" t="str">
        <f>IFERROR(IF(V121&gt;0,PROPER(Terbilang1(V121)&amp;" Rupiah"),0),"")</f>
        <v/>
      </c>
      <c r="X121" s="90">
        <f t="shared" si="40"/>
        <v>8</v>
      </c>
      <c r="Y121" s="307" t="str">
        <f t="shared" si="41"/>
        <v>Pcs</v>
      </c>
      <c r="Z121" s="307">
        <f t="shared" si="35"/>
        <v>0</v>
      </c>
      <c r="AA121" s="366">
        <f t="shared" si="36"/>
        <v>0</v>
      </c>
      <c r="AB121" s="367">
        <f t="shared" si="42"/>
        <v>0</v>
      </c>
      <c r="AC121" s="305">
        <f t="shared" si="43"/>
        <v>0</v>
      </c>
      <c r="AP121" s="89" t="str">
        <f t="shared" si="29"/>
        <v/>
      </c>
      <c r="AQ121" s="89" t="str">
        <f t="shared" si="46"/>
        <v/>
      </c>
      <c r="AR121" s="315" t="str">
        <f t="shared" si="37"/>
        <v/>
      </c>
      <c r="AS121" s="305" t="str">
        <f t="shared" si="38"/>
        <v>0</v>
      </c>
      <c r="AT121" s="307">
        <f>Table22[[#This Row],[Column1]]</f>
        <v>0</v>
      </c>
    </row>
    <row r="122" spans="1:46" x14ac:dyDescent="0.3">
      <c r="A122" s="307" t="str">
        <f t="shared" si="30"/>
        <v>2.12</v>
      </c>
      <c r="B122" s="307" t="str">
        <f t="shared" si="44"/>
        <v>Beli</v>
      </c>
      <c r="C122" s="308">
        <v>2</v>
      </c>
      <c r="D122" s="309" t="s">
        <v>563</v>
      </c>
      <c r="E122" s="310" t="s">
        <v>238</v>
      </c>
      <c r="F122" s="310" t="s">
        <v>740</v>
      </c>
      <c r="G122" s="311" t="s">
        <v>741</v>
      </c>
      <c r="H122" s="310" t="s">
        <v>628</v>
      </c>
      <c r="I122" s="310">
        <v>10000</v>
      </c>
      <c r="J122" s="310">
        <v>10</v>
      </c>
      <c r="K122" s="312">
        <v>100000</v>
      </c>
      <c r="L122" s="310" t="s">
        <v>38</v>
      </c>
      <c r="M122" s="310">
        <v>100000</v>
      </c>
      <c r="N122" s="313" t="s">
        <v>563</v>
      </c>
      <c r="O122" s="314" t="s">
        <v>563</v>
      </c>
      <c r="P122" s="307">
        <f t="shared" si="31"/>
        <v>0</v>
      </c>
      <c r="R122" s="91" t="str">
        <f t="shared" si="45"/>
        <v>Mgg6</v>
      </c>
      <c r="S122" s="307" t="str">
        <f t="shared" si="32"/>
        <v>BKK.35aaaaa</v>
      </c>
      <c r="T122" s="307" t="str">
        <f t="shared" si="33"/>
        <v>Pipa Listrik Nisso</v>
      </c>
      <c r="U122" s="315" t="str">
        <f t="shared" si="34"/>
        <v/>
      </c>
      <c r="V122" s="307" t="str">
        <f t="shared" si="39"/>
        <v/>
      </c>
      <c r="W122" s="307" t="str">
        <f>IFERROR(IF(V122&gt;0,PROPER(Terbilang1(V122)&amp;" Rupiah"),0),"")</f>
        <v/>
      </c>
      <c r="X122" s="90">
        <f t="shared" si="40"/>
        <v>10</v>
      </c>
      <c r="Y122" s="307" t="str">
        <f t="shared" si="41"/>
        <v>Ljr</v>
      </c>
      <c r="Z122" s="307">
        <f t="shared" si="35"/>
        <v>0</v>
      </c>
      <c r="AA122" s="366">
        <f t="shared" si="36"/>
        <v>0</v>
      </c>
      <c r="AB122" s="367">
        <f t="shared" si="42"/>
        <v>0</v>
      </c>
      <c r="AC122" s="305">
        <f t="shared" si="43"/>
        <v>0</v>
      </c>
      <c r="AP122" s="89" t="str">
        <f t="shared" si="29"/>
        <v/>
      </c>
      <c r="AQ122" s="89" t="str">
        <f t="shared" si="46"/>
        <v/>
      </c>
      <c r="AR122" s="315" t="str">
        <f t="shared" si="37"/>
        <v/>
      </c>
      <c r="AS122" s="305" t="str">
        <f t="shared" si="38"/>
        <v>0</v>
      </c>
      <c r="AT122" s="307">
        <f>Table22[[#This Row],[Column1]]</f>
        <v>0</v>
      </c>
    </row>
    <row r="123" spans="1:46" x14ac:dyDescent="0.3">
      <c r="A123" s="307" t="str">
        <f t="shared" si="30"/>
        <v>2.13</v>
      </c>
      <c r="B123" s="307" t="str">
        <f t="shared" si="44"/>
        <v>Beli</v>
      </c>
      <c r="C123" s="308">
        <v>2</v>
      </c>
      <c r="D123" s="309" t="s">
        <v>563</v>
      </c>
      <c r="E123" s="310" t="s">
        <v>238</v>
      </c>
      <c r="F123" s="310" t="s">
        <v>742</v>
      </c>
      <c r="G123" s="311" t="s">
        <v>743</v>
      </c>
      <c r="H123" s="310" t="s">
        <v>577</v>
      </c>
      <c r="I123" s="310">
        <v>9000</v>
      </c>
      <c r="J123" s="310">
        <v>30</v>
      </c>
      <c r="K123" s="312">
        <v>270000</v>
      </c>
      <c r="L123" s="310" t="s">
        <v>38</v>
      </c>
      <c r="M123" s="310">
        <v>270000</v>
      </c>
      <c r="N123" s="313" t="s">
        <v>563</v>
      </c>
      <c r="O123" s="314" t="s">
        <v>563</v>
      </c>
      <c r="P123" s="307">
        <f t="shared" si="31"/>
        <v>0</v>
      </c>
      <c r="R123" s="91" t="str">
        <f t="shared" si="45"/>
        <v>Mgg6</v>
      </c>
      <c r="S123" s="307" t="str">
        <f t="shared" si="32"/>
        <v>BKK.35aaaaaa</v>
      </c>
      <c r="T123" s="307" t="str">
        <f t="shared" si="33"/>
        <v>Supreme 2 X 0.75 Nymhy</v>
      </c>
      <c r="U123" s="315" t="str">
        <f t="shared" si="34"/>
        <v/>
      </c>
      <c r="V123" s="307" t="str">
        <f>N123</f>
        <v/>
      </c>
      <c r="W123" s="307" t="str">
        <f>IFERROR(IF(V123&gt;0,PROPER(Terbilang1(V123)&amp;" Rupiah"),0),"")</f>
        <v/>
      </c>
      <c r="X123" s="90">
        <f t="shared" si="40"/>
        <v>30</v>
      </c>
      <c r="Y123" s="307" t="str">
        <f t="shared" si="41"/>
        <v>Pcs</v>
      </c>
      <c r="Z123" s="307">
        <f t="shared" si="35"/>
        <v>0</v>
      </c>
      <c r="AA123" s="366">
        <f t="shared" si="36"/>
        <v>0</v>
      </c>
      <c r="AB123" s="367">
        <f t="shared" si="42"/>
        <v>0</v>
      </c>
      <c r="AC123" s="305">
        <f t="shared" si="43"/>
        <v>0</v>
      </c>
      <c r="AP123" s="89" t="str">
        <f t="shared" si="29"/>
        <v/>
      </c>
      <c r="AQ123" s="89" t="str">
        <f t="shared" si="46"/>
        <v/>
      </c>
      <c r="AR123" s="315" t="str">
        <f t="shared" si="37"/>
        <v/>
      </c>
      <c r="AS123" s="305" t="str">
        <f t="shared" si="38"/>
        <v>0</v>
      </c>
      <c r="AT123" s="307">
        <f>Table22[[#This Row],[Column1]]</f>
        <v>0</v>
      </c>
    </row>
    <row r="124" spans="1:46" x14ac:dyDescent="0.3">
      <c r="A124" s="307" t="str">
        <f t="shared" si="30"/>
        <v>2.14</v>
      </c>
      <c r="B124" s="307" t="str">
        <f t="shared" si="44"/>
        <v>Beli</v>
      </c>
      <c r="C124" s="308">
        <v>2</v>
      </c>
      <c r="D124" s="309" t="s">
        <v>563</v>
      </c>
      <c r="E124" s="310" t="s">
        <v>238</v>
      </c>
      <c r="F124" s="310" t="s">
        <v>744</v>
      </c>
      <c r="G124" s="311" t="s">
        <v>745</v>
      </c>
      <c r="H124" s="310" t="s">
        <v>561</v>
      </c>
      <c r="I124" s="310">
        <v>5000</v>
      </c>
      <c r="J124" s="310">
        <v>4</v>
      </c>
      <c r="K124" s="312">
        <v>20000</v>
      </c>
      <c r="L124" s="310" t="s">
        <v>38</v>
      </c>
      <c r="M124" s="310">
        <v>20000</v>
      </c>
      <c r="N124" s="313" t="s">
        <v>563</v>
      </c>
      <c r="O124" s="314" t="s">
        <v>563</v>
      </c>
      <c r="P124" s="307">
        <f t="shared" si="31"/>
        <v>0</v>
      </c>
      <c r="R124" s="91" t="str">
        <f t="shared" si="45"/>
        <v>Mgg6</v>
      </c>
      <c r="S124" s="307" t="str">
        <f t="shared" si="32"/>
        <v>BKK.35aaaaaaa</v>
      </c>
      <c r="T124" s="307" t="str">
        <f t="shared" si="33"/>
        <v>Spiral Listrik</v>
      </c>
      <c r="U124" s="315" t="str">
        <f t="shared" si="34"/>
        <v/>
      </c>
      <c r="V124" s="307" t="str">
        <f t="shared" si="39"/>
        <v/>
      </c>
      <c r="W124" s="307" t="str">
        <f>IFERROR(IF(V124&gt;0,PROPER(Terbilang1(V124)&amp;" Rupiah"),0),"")</f>
        <v/>
      </c>
      <c r="X124" s="90">
        <f t="shared" si="40"/>
        <v>4</v>
      </c>
      <c r="Y124" s="307" t="str">
        <f t="shared" si="41"/>
        <v>m</v>
      </c>
      <c r="Z124" s="307">
        <f t="shared" si="35"/>
        <v>0</v>
      </c>
      <c r="AA124" s="366">
        <f t="shared" si="36"/>
        <v>0</v>
      </c>
      <c r="AB124" s="367">
        <f t="shared" si="42"/>
        <v>0</v>
      </c>
      <c r="AC124" s="305">
        <f t="shared" si="43"/>
        <v>0</v>
      </c>
      <c r="AP124" s="89" t="str">
        <f t="shared" si="29"/>
        <v/>
      </c>
      <c r="AQ124" s="89" t="str">
        <f t="shared" si="46"/>
        <v/>
      </c>
      <c r="AR124" s="315" t="str">
        <f t="shared" si="37"/>
        <v/>
      </c>
      <c r="AS124" s="305" t="str">
        <f t="shared" si="38"/>
        <v>0</v>
      </c>
      <c r="AT124" s="307">
        <f>Table22[[#This Row],[Column1]]</f>
        <v>0</v>
      </c>
    </row>
    <row r="125" spans="1:46" x14ac:dyDescent="0.3">
      <c r="A125" s="307" t="str">
        <f t="shared" si="30"/>
        <v>2.15</v>
      </c>
      <c r="B125" s="307" t="str">
        <f t="shared" si="44"/>
        <v>Beli</v>
      </c>
      <c r="C125" s="308">
        <v>2</v>
      </c>
      <c r="D125" s="309" t="s">
        <v>563</v>
      </c>
      <c r="E125" s="310" t="s">
        <v>238</v>
      </c>
      <c r="F125" s="310" t="s">
        <v>746</v>
      </c>
      <c r="G125" s="311" t="s">
        <v>747</v>
      </c>
      <c r="H125" s="310" t="s">
        <v>577</v>
      </c>
      <c r="I125" s="310">
        <v>10000</v>
      </c>
      <c r="J125" s="310">
        <v>2</v>
      </c>
      <c r="K125" s="312">
        <v>20000</v>
      </c>
      <c r="L125" s="310" t="s">
        <v>38</v>
      </c>
      <c r="M125" s="310">
        <v>20000</v>
      </c>
      <c r="N125" s="313" t="s">
        <v>563</v>
      </c>
      <c r="O125" s="314" t="s">
        <v>563</v>
      </c>
      <c r="P125" s="307">
        <f t="shared" si="31"/>
        <v>0</v>
      </c>
      <c r="R125" s="91" t="str">
        <f t="shared" si="45"/>
        <v>Mgg6</v>
      </c>
      <c r="S125" s="307" t="str">
        <f t="shared" si="32"/>
        <v>BKK.35aaaaaaaa</v>
      </c>
      <c r="T125" s="307" t="str">
        <f t="shared" si="33"/>
        <v>Isolasi Kabel National</v>
      </c>
      <c r="U125" s="315" t="str">
        <f t="shared" si="34"/>
        <v/>
      </c>
      <c r="V125" s="307" t="str">
        <f t="shared" si="39"/>
        <v/>
      </c>
      <c r="W125" s="307" t="str">
        <f>IFERROR(IF(V125&gt;0,PROPER(Terbilang1(V125)&amp;" Rupiah"),0),"")</f>
        <v/>
      </c>
      <c r="X125" s="90">
        <f t="shared" si="40"/>
        <v>2</v>
      </c>
      <c r="Y125" s="307" t="str">
        <f t="shared" si="41"/>
        <v>Pcs</v>
      </c>
      <c r="Z125" s="307">
        <f t="shared" si="35"/>
        <v>0</v>
      </c>
      <c r="AA125" s="366">
        <f t="shared" si="36"/>
        <v>0</v>
      </c>
      <c r="AB125" s="367">
        <f t="shared" si="42"/>
        <v>0</v>
      </c>
      <c r="AC125" s="305">
        <f t="shared" si="43"/>
        <v>0</v>
      </c>
      <c r="AP125" s="89" t="str">
        <f t="shared" si="29"/>
        <v/>
      </c>
      <c r="AQ125" s="89" t="str">
        <f t="shared" si="46"/>
        <v/>
      </c>
      <c r="AR125" s="315" t="str">
        <f t="shared" si="37"/>
        <v/>
      </c>
      <c r="AS125" s="305" t="str">
        <f t="shared" si="38"/>
        <v>0</v>
      </c>
      <c r="AT125" s="307">
        <f>Table22[[#This Row],[Column1]]</f>
        <v>0</v>
      </c>
    </row>
    <row r="126" spans="1:46" x14ac:dyDescent="0.3">
      <c r="A126" s="307" t="str">
        <f t="shared" si="30"/>
        <v>2.16</v>
      </c>
      <c r="B126" s="307" t="str">
        <f t="shared" si="44"/>
        <v>Beli</v>
      </c>
      <c r="C126" s="308">
        <v>2</v>
      </c>
      <c r="D126" s="309" t="s">
        <v>563</v>
      </c>
      <c r="E126" s="310" t="s">
        <v>238</v>
      </c>
      <c r="F126" s="310" t="s">
        <v>748</v>
      </c>
      <c r="G126" s="311" t="s">
        <v>749</v>
      </c>
      <c r="H126" s="310" t="s">
        <v>750</v>
      </c>
      <c r="I126" s="310">
        <v>405000</v>
      </c>
      <c r="J126" s="310">
        <v>1</v>
      </c>
      <c r="K126" s="312">
        <v>405000</v>
      </c>
      <c r="L126" s="310" t="s">
        <v>38</v>
      </c>
      <c r="M126" s="310">
        <v>405000</v>
      </c>
      <c r="N126" s="313" t="s">
        <v>563</v>
      </c>
      <c r="O126" s="314" t="s">
        <v>563</v>
      </c>
      <c r="P126" s="307">
        <f t="shared" si="31"/>
        <v>0</v>
      </c>
      <c r="R126" s="91" t="str">
        <f t="shared" si="45"/>
        <v>Mgg6</v>
      </c>
      <c r="S126" s="307" t="str">
        <f t="shared" si="32"/>
        <v>BKK.35aaaaaaaaa</v>
      </c>
      <c r="T126" s="307" t="str">
        <f t="shared" si="33"/>
        <v>Kabel Nyy 2 X 1.5</v>
      </c>
      <c r="U126" s="315" t="str">
        <f t="shared" si="34"/>
        <v/>
      </c>
      <c r="V126" s="307" t="str">
        <f>N126</f>
        <v/>
      </c>
      <c r="W126" s="307" t="str">
        <f>IFERROR(IF(V126&gt;0,PROPER(Terbilang1(V126)&amp;" Rupiah"),0),"")</f>
        <v/>
      </c>
      <c r="X126" s="90">
        <f t="shared" si="40"/>
        <v>1</v>
      </c>
      <c r="Y126" s="307" t="str">
        <f t="shared" si="41"/>
        <v>Roll</v>
      </c>
      <c r="Z126" s="307">
        <f t="shared" si="35"/>
        <v>0</v>
      </c>
      <c r="AA126" s="366">
        <f t="shared" si="36"/>
        <v>0</v>
      </c>
      <c r="AB126" s="367">
        <f t="shared" si="42"/>
        <v>0</v>
      </c>
      <c r="AC126" s="305">
        <f t="shared" si="43"/>
        <v>0</v>
      </c>
      <c r="AP126" s="89" t="str">
        <f t="shared" si="29"/>
        <v/>
      </c>
      <c r="AQ126" s="89" t="str">
        <f t="shared" si="46"/>
        <v/>
      </c>
      <c r="AR126" s="315" t="str">
        <f t="shared" si="37"/>
        <v/>
      </c>
      <c r="AS126" s="305" t="str">
        <f t="shared" si="38"/>
        <v>0</v>
      </c>
      <c r="AT126" s="307">
        <f>Table22[[#This Row],[Column1]]</f>
        <v>0</v>
      </c>
    </row>
    <row r="127" spans="1:46" x14ac:dyDescent="0.3">
      <c r="A127" s="307" t="str">
        <f t="shared" si="30"/>
        <v>2.17</v>
      </c>
      <c r="B127" s="307" t="str">
        <f t="shared" si="44"/>
        <v>Beli</v>
      </c>
      <c r="C127" s="308">
        <v>2</v>
      </c>
      <c r="D127" s="309" t="s">
        <v>563</v>
      </c>
      <c r="E127" s="310" t="s">
        <v>238</v>
      </c>
      <c r="F127" s="310" t="s">
        <v>751</v>
      </c>
      <c r="G127" s="311" t="s">
        <v>752</v>
      </c>
      <c r="H127" s="310" t="s">
        <v>594</v>
      </c>
      <c r="I127" s="310">
        <v>17000</v>
      </c>
      <c r="J127" s="310">
        <v>1</v>
      </c>
      <c r="K127" s="312">
        <v>17000</v>
      </c>
      <c r="L127" s="310" t="s">
        <v>38</v>
      </c>
      <c r="M127" s="310">
        <v>17000</v>
      </c>
      <c r="N127" s="313" t="s">
        <v>563</v>
      </c>
      <c r="O127" s="314" t="s">
        <v>563</v>
      </c>
      <c r="P127" s="307">
        <f t="shared" si="31"/>
        <v>0</v>
      </c>
      <c r="R127" s="91" t="str">
        <f t="shared" si="45"/>
        <v>Mgg6</v>
      </c>
      <c r="S127" s="307" t="str">
        <f t="shared" si="32"/>
        <v>BKK.35aaaaaaaaaa</v>
      </c>
      <c r="T127" s="307" t="str">
        <f t="shared" si="33"/>
        <v>Kabel Tis Besar</v>
      </c>
      <c r="U127" s="315" t="str">
        <f t="shared" si="34"/>
        <v/>
      </c>
      <c r="V127" s="307" t="str">
        <f>N127</f>
        <v/>
      </c>
      <c r="W127" s="307" t="str">
        <f>IFERROR(IF(V127&gt;0,PROPER(Terbilang1(V127)&amp;" Rupiah"),0),"")</f>
        <v/>
      </c>
      <c r="X127" s="90">
        <f t="shared" si="40"/>
        <v>1</v>
      </c>
      <c r="Y127" s="307" t="str">
        <f t="shared" si="41"/>
        <v>pak</v>
      </c>
      <c r="Z127" s="307">
        <f t="shared" si="35"/>
        <v>0</v>
      </c>
      <c r="AA127" s="366">
        <f t="shared" si="36"/>
        <v>0</v>
      </c>
      <c r="AB127" s="367">
        <f t="shared" si="42"/>
        <v>0</v>
      </c>
      <c r="AC127" s="305">
        <f t="shared" si="43"/>
        <v>0</v>
      </c>
      <c r="AP127" s="89" t="str">
        <f t="shared" si="29"/>
        <v/>
      </c>
      <c r="AQ127" s="89" t="str">
        <f t="shared" si="46"/>
        <v/>
      </c>
      <c r="AR127" s="315" t="str">
        <f t="shared" si="37"/>
        <v/>
      </c>
      <c r="AS127" s="305" t="str">
        <f t="shared" si="38"/>
        <v>0</v>
      </c>
      <c r="AT127" s="307">
        <f>Table22[[#This Row],[Column1]]</f>
        <v>0</v>
      </c>
    </row>
    <row r="128" spans="1:46" x14ac:dyDescent="0.3">
      <c r="A128" s="307" t="str">
        <f t="shared" si="30"/>
        <v>2.18</v>
      </c>
      <c r="B128" s="307" t="str">
        <f t="shared" si="44"/>
        <v>Beli</v>
      </c>
      <c r="C128" s="308">
        <v>2</v>
      </c>
      <c r="D128" s="309">
        <v>45937</v>
      </c>
      <c r="E128" s="310" t="s">
        <v>238</v>
      </c>
      <c r="F128" s="310" t="s">
        <v>753</v>
      </c>
      <c r="G128" s="311" t="s">
        <v>754</v>
      </c>
      <c r="H128" s="310" t="s">
        <v>755</v>
      </c>
      <c r="I128" s="310">
        <v>65000</v>
      </c>
      <c r="J128" s="310">
        <v>15</v>
      </c>
      <c r="K128" s="312">
        <v>975000</v>
      </c>
      <c r="L128" s="310" t="s">
        <v>38</v>
      </c>
      <c r="M128" s="310">
        <v>975000</v>
      </c>
      <c r="N128" s="313">
        <v>1725000</v>
      </c>
      <c r="O128" s="314" t="s">
        <v>756</v>
      </c>
      <c r="P128" s="307" t="str">
        <f t="shared" si="31"/>
        <v>Mgg6</v>
      </c>
      <c r="R128" s="91" t="str">
        <f t="shared" si="45"/>
        <v>Mgg6</v>
      </c>
      <c r="S128" s="307" t="str">
        <f t="shared" si="32"/>
        <v>BKK.36</v>
      </c>
      <c r="T128" s="307" t="str">
        <f t="shared" si="33"/>
        <v>Keramik 25X25 Everst Platinum</v>
      </c>
      <c r="U128" s="315">
        <f t="shared" si="34"/>
        <v>45937</v>
      </c>
      <c r="V128" s="307">
        <f t="shared" si="39"/>
        <v>1725000</v>
      </c>
      <c r="W128" s="307" t="str">
        <f>IFERROR(IF(V128&gt;0,PROPER(Terbilang1(V128)&amp;" Rupiah"),0),"")</f>
        <v>Satu Juta Tujuh Ratus Dua Puluh Lima Ribu Rupiah</v>
      </c>
      <c r="X128" s="90">
        <f t="shared" si="40"/>
        <v>15</v>
      </c>
      <c r="Y128" s="307" t="str">
        <f t="shared" si="41"/>
        <v>Dus</v>
      </c>
      <c r="Z128" s="307">
        <f t="shared" si="35"/>
        <v>0</v>
      </c>
      <c r="AA128" s="366">
        <f t="shared" si="36"/>
        <v>0</v>
      </c>
      <c r="AB128" s="367">
        <f t="shared" si="42"/>
        <v>0</v>
      </c>
      <c r="AC128" s="305">
        <f t="shared" si="43"/>
        <v>0</v>
      </c>
      <c r="AP128" s="89">
        <f t="shared" si="29"/>
        <v>1</v>
      </c>
      <c r="AQ128" s="89" t="str">
        <f t="shared" si="46"/>
        <v/>
      </c>
      <c r="AR128" s="315" t="str">
        <f t="shared" si="37"/>
        <v/>
      </c>
      <c r="AS128" s="305" t="str">
        <f t="shared" si="38"/>
        <v>0</v>
      </c>
      <c r="AT128" s="307">
        <f>Table22[[#This Row],[Column1]]</f>
        <v>0</v>
      </c>
    </row>
    <row r="129" spans="1:46" x14ac:dyDescent="0.3">
      <c r="A129" s="307" t="str">
        <f t="shared" si="30"/>
        <v>2.19</v>
      </c>
      <c r="B129" s="307" t="str">
        <f t="shared" si="44"/>
        <v>Beli</v>
      </c>
      <c r="C129" s="308">
        <v>2</v>
      </c>
      <c r="D129" s="309" t="s">
        <v>563</v>
      </c>
      <c r="E129" s="310" t="s">
        <v>238</v>
      </c>
      <c r="F129" s="310" t="s">
        <v>757</v>
      </c>
      <c r="G129" s="311" t="s">
        <v>758</v>
      </c>
      <c r="H129" s="310" t="s">
        <v>755</v>
      </c>
      <c r="I129" s="310">
        <v>75000</v>
      </c>
      <c r="J129" s="310">
        <v>10</v>
      </c>
      <c r="K129" s="312">
        <v>750000</v>
      </c>
      <c r="L129" s="310" t="s">
        <v>38</v>
      </c>
      <c r="M129" s="310">
        <v>750000</v>
      </c>
      <c r="N129" s="313" t="s">
        <v>563</v>
      </c>
      <c r="O129" s="314" t="s">
        <v>563</v>
      </c>
      <c r="P129" s="307">
        <f t="shared" si="31"/>
        <v>0</v>
      </c>
      <c r="R129" s="91" t="str">
        <f t="shared" si="45"/>
        <v>Mgg6</v>
      </c>
      <c r="S129" s="307" t="str">
        <f t="shared" si="32"/>
        <v>BKK.36a</v>
      </c>
      <c r="T129" s="307" t="str">
        <f t="shared" si="33"/>
        <v>Keramik Dinding 25 X 40 Novana Perla</v>
      </c>
      <c r="U129" s="315" t="str">
        <f t="shared" si="34"/>
        <v/>
      </c>
      <c r="V129" s="307" t="str">
        <f t="shared" si="39"/>
        <v/>
      </c>
      <c r="W129" s="307" t="str">
        <f>IFERROR(IF(V129&gt;0,PROPER(Terbilang1(V129)&amp;" Rupiah"),0),"")</f>
        <v/>
      </c>
      <c r="X129" s="90">
        <f t="shared" si="40"/>
        <v>10</v>
      </c>
      <c r="Y129" s="307" t="str">
        <f t="shared" si="41"/>
        <v>Dus</v>
      </c>
      <c r="Z129" s="307">
        <f t="shared" si="35"/>
        <v>0</v>
      </c>
      <c r="AA129" s="366">
        <f t="shared" si="36"/>
        <v>0</v>
      </c>
      <c r="AB129" s="367">
        <f t="shared" si="42"/>
        <v>0</v>
      </c>
      <c r="AC129" s="305">
        <f t="shared" si="43"/>
        <v>0</v>
      </c>
      <c r="AP129" s="89" t="str">
        <f t="shared" ref="AP129:AP192" si="47">IF(LEFT(O129,3)="BKK",1,"")</f>
        <v/>
      </c>
      <c r="AQ129" s="89" t="str">
        <f t="shared" si="46"/>
        <v/>
      </c>
      <c r="AR129" s="315" t="str">
        <f t="shared" si="37"/>
        <v/>
      </c>
      <c r="AS129" s="305" t="str">
        <f t="shared" si="38"/>
        <v>0</v>
      </c>
      <c r="AT129" s="307">
        <f>Table22[[#This Row],[Column1]]</f>
        <v>0</v>
      </c>
    </row>
    <row r="130" spans="1:46" x14ac:dyDescent="0.3">
      <c r="A130" s="307" t="str">
        <f>IF(C130=1,C130&amp;"."&amp;MOD(ROW()-1,$AJ$2+1),IF(C130=2,C130&amp;"."&amp;MOD(ROW()-($AJ$2+1),$AK$2+1),IF(C130=3,C130&amp;"."&amp;MOD(ROW()-($AJ$2+$AK$2+1),$AL$2+1),IF(C130=4,C130&amp;"."&amp;MOD(ROW()-($AJ$2+$AK$2+$AL$2+1),$AM$2+1),IF(C130=5,C130&amp;"."&amp;MOD(ROW()-($AJ$2+$AK$2+$AL$2+$AM$2+1),$AN$2+1),0)))))</f>
        <v>2.20</v>
      </c>
      <c r="B130" s="307" t="str">
        <f t="shared" si="44"/>
        <v>Beli</v>
      </c>
      <c r="C130" s="308">
        <v>2</v>
      </c>
      <c r="D130" s="309">
        <v>45938</v>
      </c>
      <c r="E130" s="310" t="s">
        <v>238</v>
      </c>
      <c r="F130" s="310" t="s">
        <v>640</v>
      </c>
      <c r="G130" s="311" t="s">
        <v>641</v>
      </c>
      <c r="H130" s="310" t="s">
        <v>633</v>
      </c>
      <c r="I130" s="310">
        <v>335000</v>
      </c>
      <c r="J130" s="310">
        <v>1</v>
      </c>
      <c r="K130" s="312">
        <v>335000</v>
      </c>
      <c r="L130" s="310" t="s">
        <v>38</v>
      </c>
      <c r="M130" s="310">
        <v>335000</v>
      </c>
      <c r="N130" s="313">
        <v>2760000</v>
      </c>
      <c r="O130" s="314" t="s">
        <v>759</v>
      </c>
      <c r="P130" s="307" t="str">
        <f t="shared" ref="P130:P193" si="48">IF(LEFT(O130,1)="B",R130,0)</f>
        <v>Mgg6</v>
      </c>
      <c r="R130" s="91" t="str">
        <f t="shared" si="45"/>
        <v>Mgg6</v>
      </c>
      <c r="S130" s="307" t="str">
        <f t="shared" ref="S130:S193" si="49">IF(O130="",S129&amp;"a",IF(O130&gt;0,O130,0))</f>
        <v>BKK.37</v>
      </c>
      <c r="T130" s="307" t="str">
        <f t="shared" ref="T130:T193" si="50">IF(G130=0,"",G130)</f>
        <v>Pasir Cor L300</v>
      </c>
      <c r="U130" s="315">
        <f t="shared" ref="U130:U193" si="51">D130</f>
        <v>45938</v>
      </c>
      <c r="V130" s="307">
        <f t="shared" si="39"/>
        <v>2760000</v>
      </c>
      <c r="W130" s="307" t="str">
        <f>IFERROR(IF(V130&gt;0,PROPER(Terbilang1(V130)&amp;" Rupiah"),0),"")</f>
        <v>Dua Juta Tujuh Ratus Enam Puluh Ribu Rupiah</v>
      </c>
      <c r="X130" s="90">
        <f t="shared" si="40"/>
        <v>1</v>
      </c>
      <c r="Y130" s="307" t="str">
        <f t="shared" si="41"/>
        <v>Pik Up</v>
      </c>
      <c r="Z130" s="307">
        <f t="shared" ref="Z130:Z193" si="52">IF(LEN(AA130)&gt;1,AA130,IF(AA130=0,AB130,0))</f>
        <v>303600</v>
      </c>
      <c r="AA130" s="366">
        <f t="shared" ref="AA130:AA193" si="53">IFERROR(IF(AND(N130&gt;1,LEFT(G130,5)="Bayar"),N130*3.5%,IF(N130&gt;2000000,N130*(IF(OR(LEFT(F130,3)="MoP",LEFT(F130,3)="GaJ"),0,11%)),0)),0)</f>
        <v>303600</v>
      </c>
      <c r="AB130" s="367">
        <f t="shared" si="42"/>
        <v>0</v>
      </c>
      <c r="AC130" s="305" t="str">
        <f t="shared" si="43"/>
        <v>Bayar Pajak PPN (11 %) BKK.37</v>
      </c>
      <c r="AP130" s="89">
        <f t="shared" si="47"/>
        <v>1</v>
      </c>
      <c r="AQ130" s="89" t="str">
        <f t="shared" si="46"/>
        <v>10</v>
      </c>
      <c r="AR130" s="315">
        <f t="shared" ref="AR130:AR161" si="54">IF(VALUE(AT130)&gt;1,IF(LEN(AR129)&gt;1,AR129,D130),"")</f>
        <v>45938</v>
      </c>
      <c r="AS130" s="305" t="str">
        <f t="shared" ref="AS130" si="55">IF(AC130="","",LEFT(AC130,15))</f>
        <v>Bayar Pajak PPN</v>
      </c>
      <c r="AT130" s="307">
        <f>Table22[[#This Row],[Column1]]</f>
        <v>303600</v>
      </c>
    </row>
    <row r="131" spans="1:46" x14ac:dyDescent="0.3">
      <c r="A131" s="307" t="str">
        <f t="shared" ref="A131:A194" si="56">IF(C131=1,C131&amp;"."&amp;MOD(ROW()-1,$AJ$2+1),IF(C131=2,C131&amp;"."&amp;MOD(ROW()-($AJ$2+1),$AK$2+1),IF(C131=3,C131&amp;"."&amp;MOD(ROW()-($AJ$2+$AK$2+1),$AL$2+1),IF(C131=4,C131&amp;"."&amp;MOD(ROW()-($AJ$2+$AK$2+$AL$2+1),$AM$2+1),IF(C131=5,C131&amp;"."&amp;MOD(ROW()-($AJ$2+$AK$2+$AL$2+$AM$2+1),$AN$2+1),0)))))</f>
        <v>2.21</v>
      </c>
      <c r="B131" s="307" t="str">
        <f t="shared" si="44"/>
        <v>Beli</v>
      </c>
      <c r="C131" s="308">
        <v>2</v>
      </c>
      <c r="D131" s="309" t="s">
        <v>563</v>
      </c>
      <c r="E131" s="310" t="s">
        <v>238</v>
      </c>
      <c r="F131" s="310" t="s">
        <v>695</v>
      </c>
      <c r="G131" s="311" t="s">
        <v>696</v>
      </c>
      <c r="H131" s="310" t="s">
        <v>697</v>
      </c>
      <c r="I131" s="310">
        <v>550</v>
      </c>
      <c r="J131" s="310">
        <v>1000</v>
      </c>
      <c r="K131" s="312">
        <v>550000</v>
      </c>
      <c r="L131" s="310" t="s">
        <v>38</v>
      </c>
      <c r="M131" s="310">
        <v>550000</v>
      </c>
      <c r="N131" s="313" t="s">
        <v>563</v>
      </c>
      <c r="O131" s="314" t="s">
        <v>563</v>
      </c>
      <c r="P131" s="307">
        <f t="shared" si="48"/>
        <v>0</v>
      </c>
      <c r="R131" s="91" t="str">
        <f t="shared" si="45"/>
        <v>Mgg6</v>
      </c>
      <c r="S131" s="307" t="str">
        <f t="shared" si="49"/>
        <v>BKK.37a</v>
      </c>
      <c r="T131" s="307" t="str">
        <f t="shared" si="50"/>
        <v>Bata Merah Super</v>
      </c>
      <c r="U131" s="315" t="str">
        <f t="shared" si="51"/>
        <v/>
      </c>
      <c r="V131" s="307" t="str">
        <f t="shared" ref="V131:V194" si="57">N131</f>
        <v/>
      </c>
      <c r="W131" s="307" t="str">
        <f>IFERROR(IF(V131&gt;0,PROPER(Terbilang1(V131)&amp;" Rupiah"),0),"")</f>
        <v/>
      </c>
      <c r="X131" s="90">
        <f t="shared" ref="X131:X194" si="58">J131</f>
        <v>1000</v>
      </c>
      <c r="Y131" s="307" t="str">
        <f t="shared" ref="Y131:Y194" si="59">H131</f>
        <v>Bji</v>
      </c>
      <c r="Z131" s="307">
        <f t="shared" si="52"/>
        <v>41400</v>
      </c>
      <c r="AA131" s="366">
        <f t="shared" si="53"/>
        <v>0</v>
      </c>
      <c r="AB131" s="367">
        <f t="shared" ref="AB131:AB194" si="60">IF(LEN(AA130)&gt;1,IF(LEFT(G130,5)="Bayar",0,IF(LEFT(G130,6)="PEMASA",(N130*100/111*1.5%),N130*0.015)),0)</f>
        <v>41400</v>
      </c>
      <c r="AC131" s="305" t="str">
        <f t="shared" ref="AC131:AC194" si="61">IF(LEN(AA131)&gt;1,IF(LEFT(G131,6)="PEMASA","Terima Pajak PPN (11 %) "&amp;O131,IF(LEFT(G131,5)="Bayar","Terima PPh Pasal 4 ayat 2 (3,5 %) "&amp;O131,"Bayar Pajak PPN (11 %) "&amp;O131)),IF(AB131&gt;0,IF(LEFT(AC130,6)="Terima","Terima Pajak PPH (1,5%) "&amp;O130,"Bayar Pajak PPH (1,5 %) "&amp;O130),0))</f>
        <v>Bayar Pajak PPH (1,5 %) BKK.37</v>
      </c>
      <c r="AP131" s="89" t="str">
        <f>IF(LEFT(O131,3)="BKK",1,"")</f>
        <v/>
      </c>
      <c r="AQ131" s="89" t="str">
        <f t="shared" si="46"/>
        <v>10</v>
      </c>
      <c r="AR131" s="315">
        <f t="shared" si="54"/>
        <v>45938</v>
      </c>
      <c r="AS131" s="305" t="str">
        <f t="shared" ref="AS131:AS194" si="62">IF(AC131="","",LEFT(AC131,15))</f>
        <v>Bayar Pajak PPH</v>
      </c>
      <c r="AT131" s="307">
        <f>Table22[[#This Row],[Column1]]</f>
        <v>41400</v>
      </c>
    </row>
    <row r="132" spans="1:46" x14ac:dyDescent="0.3">
      <c r="A132" s="307" t="str">
        <f t="shared" si="56"/>
        <v>2.22</v>
      </c>
      <c r="B132" s="307" t="str">
        <f t="shared" si="44"/>
        <v>Beli</v>
      </c>
      <c r="C132" s="308">
        <v>2</v>
      </c>
      <c r="D132" s="309" t="s">
        <v>563</v>
      </c>
      <c r="E132" s="310" t="s">
        <v>238</v>
      </c>
      <c r="F132" s="310" t="s">
        <v>757</v>
      </c>
      <c r="G132" s="311" t="s">
        <v>758</v>
      </c>
      <c r="H132" s="310" t="s">
        <v>755</v>
      </c>
      <c r="I132" s="310">
        <v>75000</v>
      </c>
      <c r="J132" s="310">
        <v>25</v>
      </c>
      <c r="K132" s="312">
        <v>1875000</v>
      </c>
      <c r="L132" s="310" t="s">
        <v>38</v>
      </c>
      <c r="M132" s="310">
        <v>1875000</v>
      </c>
      <c r="N132" s="313" t="s">
        <v>563</v>
      </c>
      <c r="O132" s="314" t="s">
        <v>563</v>
      </c>
      <c r="P132" s="307">
        <f t="shared" si="48"/>
        <v>0</v>
      </c>
      <c r="R132" s="91" t="str">
        <f t="shared" si="45"/>
        <v>Mgg6</v>
      </c>
      <c r="S132" s="307" t="str">
        <f t="shared" si="49"/>
        <v>BKK.37aa</v>
      </c>
      <c r="T132" s="307" t="str">
        <f t="shared" si="50"/>
        <v>Keramik Dinding 25 X 40 Novana Perla</v>
      </c>
      <c r="U132" s="315" t="str">
        <f t="shared" si="51"/>
        <v/>
      </c>
      <c r="V132" s="307" t="str">
        <f t="shared" si="57"/>
        <v/>
      </c>
      <c r="W132" s="307" t="str">
        <f>IFERROR(IF(V132&gt;0,PROPER(Terbilang1(V132)&amp;" Rupiah"),0),"")</f>
        <v/>
      </c>
      <c r="X132" s="90">
        <f t="shared" si="58"/>
        <v>25</v>
      </c>
      <c r="Y132" s="307" t="str">
        <f t="shared" si="59"/>
        <v>Dus</v>
      </c>
      <c r="Z132" s="307">
        <f t="shared" si="52"/>
        <v>0</v>
      </c>
      <c r="AA132" s="366">
        <f t="shared" si="53"/>
        <v>0</v>
      </c>
      <c r="AB132" s="367">
        <f t="shared" si="60"/>
        <v>0</v>
      </c>
      <c r="AC132" s="305">
        <f t="shared" si="61"/>
        <v>0</v>
      </c>
      <c r="AP132" s="89" t="str">
        <f t="shared" si="47"/>
        <v/>
      </c>
      <c r="AQ132" s="89" t="str">
        <f t="shared" si="46"/>
        <v/>
      </c>
      <c r="AR132" s="315" t="str">
        <f t="shared" si="54"/>
        <v/>
      </c>
      <c r="AS132" s="305" t="str">
        <f t="shared" si="62"/>
        <v>0</v>
      </c>
      <c r="AT132" s="307">
        <f>Table22[[#This Row],[Column1]]</f>
        <v>0</v>
      </c>
    </row>
    <row r="133" spans="1:46" x14ac:dyDescent="0.3">
      <c r="A133" s="307" t="str">
        <f t="shared" si="56"/>
        <v>2.23</v>
      </c>
      <c r="B133" s="307" t="str">
        <f t="shared" si="44"/>
        <v>Beli</v>
      </c>
      <c r="C133" s="308">
        <v>2</v>
      </c>
      <c r="D133" s="309">
        <v>45939</v>
      </c>
      <c r="E133" s="310" t="s">
        <v>238</v>
      </c>
      <c r="F133" s="310" t="s">
        <v>640</v>
      </c>
      <c r="G133" s="311" t="s">
        <v>641</v>
      </c>
      <c r="H133" s="310" t="s">
        <v>633</v>
      </c>
      <c r="I133" s="310">
        <v>335000</v>
      </c>
      <c r="J133" s="310">
        <v>2</v>
      </c>
      <c r="K133" s="312">
        <v>670000</v>
      </c>
      <c r="L133" s="310" t="s">
        <v>38</v>
      </c>
      <c r="M133" s="310">
        <v>670000</v>
      </c>
      <c r="N133" s="313">
        <v>960000</v>
      </c>
      <c r="O133" s="314" t="s">
        <v>760</v>
      </c>
      <c r="P133" s="307" t="str">
        <f t="shared" si="48"/>
        <v>Mgg6</v>
      </c>
      <c r="R133" s="91" t="str">
        <f t="shared" si="45"/>
        <v>Mgg6</v>
      </c>
      <c r="S133" s="307" t="str">
        <f t="shared" si="49"/>
        <v>BKK.38</v>
      </c>
      <c r="T133" s="307" t="str">
        <f t="shared" si="50"/>
        <v>Pasir Cor L300</v>
      </c>
      <c r="U133" s="315">
        <f t="shared" si="51"/>
        <v>45939</v>
      </c>
      <c r="V133" s="307">
        <f>N133</f>
        <v>960000</v>
      </c>
      <c r="W133" s="307" t="str">
        <f>IFERROR(IF(V133&gt;0,PROPER(Terbilang1(V133)&amp;" Rupiah"),0),"")</f>
        <v>Sembilan Ratus Enam Puluh Ribu Rupiah</v>
      </c>
      <c r="X133" s="90">
        <f t="shared" si="58"/>
        <v>2</v>
      </c>
      <c r="Y133" s="307" t="str">
        <f t="shared" si="59"/>
        <v>Pik Up</v>
      </c>
      <c r="Z133" s="307">
        <f t="shared" si="52"/>
        <v>0</v>
      </c>
      <c r="AA133" s="366">
        <f t="shared" si="53"/>
        <v>0</v>
      </c>
      <c r="AB133" s="367">
        <f t="shared" si="60"/>
        <v>0</v>
      </c>
      <c r="AC133" s="305">
        <f t="shared" si="61"/>
        <v>0</v>
      </c>
      <c r="AP133" s="89">
        <f t="shared" si="47"/>
        <v>1</v>
      </c>
      <c r="AQ133" s="89" t="str">
        <f t="shared" si="46"/>
        <v/>
      </c>
      <c r="AR133" s="315" t="str">
        <f t="shared" si="54"/>
        <v/>
      </c>
      <c r="AS133" s="305" t="str">
        <f t="shared" si="62"/>
        <v>0</v>
      </c>
      <c r="AT133" s="307">
        <f>Table22[[#This Row],[Column1]]</f>
        <v>0</v>
      </c>
    </row>
    <row r="134" spans="1:46" x14ac:dyDescent="0.3">
      <c r="A134" s="307" t="str">
        <f t="shared" si="56"/>
        <v>2.24</v>
      </c>
      <c r="B134" s="307" t="str">
        <f t="shared" si="44"/>
        <v>Beli</v>
      </c>
      <c r="C134" s="308">
        <v>2</v>
      </c>
      <c r="D134" s="309" t="s">
        <v>563</v>
      </c>
      <c r="E134" s="310" t="s">
        <v>238</v>
      </c>
      <c r="F134" s="310" t="s">
        <v>646</v>
      </c>
      <c r="G134" s="311" t="s">
        <v>647</v>
      </c>
      <c r="H134" s="310" t="s">
        <v>648</v>
      </c>
      <c r="I134" s="310">
        <v>58000</v>
      </c>
      <c r="J134" s="310">
        <v>5</v>
      </c>
      <c r="K134" s="312">
        <v>290000</v>
      </c>
      <c r="L134" s="310" t="s">
        <v>38</v>
      </c>
      <c r="M134" s="310">
        <v>290000</v>
      </c>
      <c r="N134" s="313" t="s">
        <v>563</v>
      </c>
      <c r="O134" s="314" t="s">
        <v>563</v>
      </c>
      <c r="P134" s="307">
        <f t="shared" si="48"/>
        <v>0</v>
      </c>
      <c r="R134" s="91" t="str">
        <f t="shared" si="45"/>
        <v>Mgg6</v>
      </c>
      <c r="S134" s="307" t="str">
        <f t="shared" si="49"/>
        <v>BKK.38a</v>
      </c>
      <c r="T134" s="307" t="str">
        <f t="shared" si="50"/>
        <v>Semen Gresik 40Kg</v>
      </c>
      <c r="U134" s="315" t="str">
        <f t="shared" si="51"/>
        <v/>
      </c>
      <c r="V134" s="307" t="str">
        <f>N134</f>
        <v/>
      </c>
      <c r="W134" s="307" t="str">
        <f>IFERROR(IF(V134&gt;0,PROPER(Terbilang1(V134)&amp;" Rupiah"),0),"")</f>
        <v/>
      </c>
      <c r="X134" s="90">
        <f t="shared" si="58"/>
        <v>5</v>
      </c>
      <c r="Y134" s="307" t="str">
        <f t="shared" si="59"/>
        <v>Sak</v>
      </c>
      <c r="Z134" s="307">
        <f t="shared" si="52"/>
        <v>0</v>
      </c>
      <c r="AA134" s="366">
        <f t="shared" si="53"/>
        <v>0</v>
      </c>
      <c r="AB134" s="367">
        <f t="shared" si="60"/>
        <v>0</v>
      </c>
      <c r="AC134" s="305">
        <f t="shared" si="61"/>
        <v>0</v>
      </c>
      <c r="AP134" s="89" t="str">
        <f t="shared" si="47"/>
        <v/>
      </c>
      <c r="AQ134" s="89" t="str">
        <f t="shared" si="46"/>
        <v/>
      </c>
      <c r="AR134" s="315" t="str">
        <f t="shared" si="54"/>
        <v/>
      </c>
      <c r="AS134" s="305" t="str">
        <f t="shared" si="62"/>
        <v>0</v>
      </c>
      <c r="AT134" s="307">
        <f>Table22[[#This Row],[Column1]]</f>
        <v>0</v>
      </c>
    </row>
    <row r="135" spans="1:46" x14ac:dyDescent="0.3">
      <c r="A135" s="307" t="str">
        <f t="shared" si="56"/>
        <v>2.25</v>
      </c>
      <c r="B135" s="307" t="str">
        <f t="shared" si="44"/>
        <v>Beli</v>
      </c>
      <c r="C135" s="308">
        <v>2</v>
      </c>
      <c r="D135" s="309">
        <v>45940</v>
      </c>
      <c r="E135" s="310" t="s">
        <v>761</v>
      </c>
      <c r="F135" s="310" t="s">
        <v>762</v>
      </c>
      <c r="G135" s="311" t="s">
        <v>763</v>
      </c>
      <c r="H135" s="310" t="s">
        <v>571</v>
      </c>
      <c r="I135" s="310">
        <v>30000</v>
      </c>
      <c r="J135" s="310">
        <v>14</v>
      </c>
      <c r="K135" s="312">
        <v>420000</v>
      </c>
      <c r="L135" s="310" t="s">
        <v>562</v>
      </c>
      <c r="M135" s="310">
        <v>420000</v>
      </c>
      <c r="N135" s="313">
        <v>420000</v>
      </c>
      <c r="O135" s="314" t="s">
        <v>764</v>
      </c>
      <c r="P135" s="307" t="str">
        <f t="shared" si="48"/>
        <v>Men6</v>
      </c>
      <c r="R135" s="91" t="str">
        <f t="shared" si="45"/>
        <v>Men6</v>
      </c>
      <c r="S135" s="307" t="str">
        <f t="shared" si="49"/>
        <v>BKK.39</v>
      </c>
      <c r="T135" s="307" t="str">
        <f t="shared" si="50"/>
        <v>Kosumsi Rapat Peninjauan 75%</v>
      </c>
      <c r="U135" s="315">
        <f t="shared" si="51"/>
        <v>45940</v>
      </c>
      <c r="V135" s="307">
        <f t="shared" si="57"/>
        <v>420000</v>
      </c>
      <c r="W135" s="307" t="str">
        <f>IFERROR(IF(V135&gt;0,PROPER(Terbilang1(V135)&amp;" Rupiah"),0),"")</f>
        <v>Empat Ratus Dua Puluh Ribu Rupiah</v>
      </c>
      <c r="X135" s="90">
        <f t="shared" si="58"/>
        <v>14</v>
      </c>
      <c r="Y135" s="307" t="str">
        <f t="shared" si="59"/>
        <v>Bks</v>
      </c>
      <c r="Z135" s="307">
        <f t="shared" si="52"/>
        <v>0</v>
      </c>
      <c r="AA135" s="366">
        <f t="shared" si="53"/>
        <v>0</v>
      </c>
      <c r="AB135" s="367">
        <f t="shared" si="60"/>
        <v>0</v>
      </c>
      <c r="AC135" s="305">
        <f t="shared" si="61"/>
        <v>0</v>
      </c>
      <c r="AP135" s="89">
        <f t="shared" si="47"/>
        <v>1</v>
      </c>
      <c r="AQ135" s="89" t="str">
        <f t="shared" si="46"/>
        <v/>
      </c>
      <c r="AR135" s="315" t="str">
        <f t="shared" si="54"/>
        <v/>
      </c>
      <c r="AS135" s="305" t="str">
        <f t="shared" si="62"/>
        <v>0</v>
      </c>
      <c r="AT135" s="307">
        <f>Table22[[#This Row],[Column1]]</f>
        <v>0</v>
      </c>
    </row>
    <row r="136" spans="1:46" x14ac:dyDescent="0.3">
      <c r="A136" s="307" t="str">
        <f t="shared" si="56"/>
        <v>2.26</v>
      </c>
      <c r="B136" s="307" t="str">
        <f t="shared" si="44"/>
        <v>Beli</v>
      </c>
      <c r="C136" s="308">
        <v>2</v>
      </c>
      <c r="D136" s="309">
        <v>45941</v>
      </c>
      <c r="E136" s="310" t="s">
        <v>238</v>
      </c>
      <c r="F136" s="310" t="s">
        <v>631</v>
      </c>
      <c r="G136" s="311" t="s">
        <v>632</v>
      </c>
      <c r="H136" s="310" t="s">
        <v>633</v>
      </c>
      <c r="I136" s="310">
        <v>230000</v>
      </c>
      <c r="J136" s="310">
        <v>2</v>
      </c>
      <c r="K136" s="312">
        <v>460000</v>
      </c>
      <c r="L136" s="310" t="s">
        <v>38</v>
      </c>
      <c r="M136" s="310">
        <v>460000</v>
      </c>
      <c r="N136" s="313">
        <v>1950000</v>
      </c>
      <c r="O136" s="314" t="s">
        <v>765</v>
      </c>
      <c r="P136" s="307" t="str">
        <f t="shared" si="48"/>
        <v>Mgg6</v>
      </c>
      <c r="R136" s="91" t="str">
        <f t="shared" si="45"/>
        <v>Mgg6</v>
      </c>
      <c r="S136" s="307" t="str">
        <f t="shared" si="49"/>
        <v>BKK.40</v>
      </c>
      <c r="T136" s="307" t="str">
        <f t="shared" si="50"/>
        <v>Pasir Biasa L300</v>
      </c>
      <c r="U136" s="315">
        <f t="shared" si="51"/>
        <v>45941</v>
      </c>
      <c r="V136" s="307">
        <f t="shared" si="57"/>
        <v>1950000</v>
      </c>
      <c r="W136" s="307" t="str">
        <f>IFERROR(IF(V136&gt;0,PROPER(Terbilang1(V136)&amp;" Rupiah"),0),"")</f>
        <v>Satu Juta Sembilan Ratus Lima Puluh Ribu Rupiah</v>
      </c>
      <c r="X136" s="90">
        <f t="shared" si="58"/>
        <v>2</v>
      </c>
      <c r="Y136" s="307" t="str">
        <f t="shared" si="59"/>
        <v>Pik Up</v>
      </c>
      <c r="Z136" s="307">
        <f t="shared" si="52"/>
        <v>0</v>
      </c>
      <c r="AA136" s="366">
        <f t="shared" si="53"/>
        <v>0</v>
      </c>
      <c r="AB136" s="367">
        <f t="shared" si="60"/>
        <v>0</v>
      </c>
      <c r="AC136" s="305">
        <f t="shared" si="61"/>
        <v>0</v>
      </c>
      <c r="AP136" s="89">
        <f t="shared" si="47"/>
        <v>1</v>
      </c>
      <c r="AQ136" s="89" t="str">
        <f t="shared" si="46"/>
        <v/>
      </c>
      <c r="AR136" s="315" t="str">
        <f t="shared" si="54"/>
        <v/>
      </c>
      <c r="AS136" s="305" t="str">
        <f t="shared" si="62"/>
        <v>0</v>
      </c>
      <c r="AT136" s="307">
        <f>Table22[[#This Row],[Column1]]</f>
        <v>0</v>
      </c>
    </row>
    <row r="137" spans="1:46" x14ac:dyDescent="0.3">
      <c r="A137" s="307" t="str">
        <f t="shared" si="56"/>
        <v>2.27</v>
      </c>
      <c r="B137" s="307" t="str">
        <f t="shared" si="44"/>
        <v>Beli</v>
      </c>
      <c r="C137" s="308">
        <v>2</v>
      </c>
      <c r="D137" s="309" t="s">
        <v>563</v>
      </c>
      <c r="E137" s="310" t="s">
        <v>238</v>
      </c>
      <c r="F137" s="310" t="s">
        <v>642</v>
      </c>
      <c r="G137" s="311" t="s">
        <v>643</v>
      </c>
      <c r="H137" s="310" t="s">
        <v>633</v>
      </c>
      <c r="I137" s="310">
        <v>350000</v>
      </c>
      <c r="J137" s="310">
        <v>1</v>
      </c>
      <c r="K137" s="312">
        <v>350000</v>
      </c>
      <c r="L137" s="310" t="s">
        <v>38</v>
      </c>
      <c r="M137" s="310">
        <v>350000</v>
      </c>
      <c r="N137" s="313" t="s">
        <v>563</v>
      </c>
      <c r="O137" s="314" t="s">
        <v>563</v>
      </c>
      <c r="P137" s="307">
        <f t="shared" si="48"/>
        <v>0</v>
      </c>
      <c r="R137" s="91" t="str">
        <f t="shared" si="45"/>
        <v>Mgg6</v>
      </c>
      <c r="S137" s="307" t="str">
        <f t="shared" si="49"/>
        <v>BKK.40a</v>
      </c>
      <c r="T137" s="307" t="str">
        <f t="shared" si="50"/>
        <v>Koral L300</v>
      </c>
      <c r="U137" s="315" t="str">
        <f t="shared" si="51"/>
        <v/>
      </c>
      <c r="V137" s="307" t="str">
        <f t="shared" si="57"/>
        <v/>
      </c>
      <c r="W137" s="307" t="str">
        <f>IFERROR(IF(V137&gt;0,PROPER(Terbilang1(V137)&amp;" Rupiah"),0),"")</f>
        <v/>
      </c>
      <c r="X137" s="90">
        <f t="shared" si="58"/>
        <v>1</v>
      </c>
      <c r="Y137" s="307" t="str">
        <f t="shared" si="59"/>
        <v>Pik Up</v>
      </c>
      <c r="Z137" s="307">
        <f t="shared" si="52"/>
        <v>0</v>
      </c>
      <c r="AA137" s="366">
        <f t="shared" si="53"/>
        <v>0</v>
      </c>
      <c r="AB137" s="367">
        <f t="shared" si="60"/>
        <v>0</v>
      </c>
      <c r="AC137" s="305">
        <f t="shared" si="61"/>
        <v>0</v>
      </c>
      <c r="AP137" s="89" t="str">
        <f t="shared" si="47"/>
        <v/>
      </c>
      <c r="AQ137" s="89" t="str">
        <f t="shared" si="46"/>
        <v/>
      </c>
      <c r="AR137" s="315" t="str">
        <f t="shared" si="54"/>
        <v/>
      </c>
      <c r="AS137" s="305" t="str">
        <f t="shared" si="62"/>
        <v>0</v>
      </c>
      <c r="AT137" s="307">
        <f>Table22[[#This Row],[Column1]]</f>
        <v>0</v>
      </c>
    </row>
    <row r="138" spans="1:46" x14ac:dyDescent="0.3">
      <c r="A138" s="307" t="str">
        <f t="shared" si="56"/>
        <v>2.28</v>
      </c>
      <c r="B138" s="307" t="str">
        <f t="shared" si="44"/>
        <v>Beli</v>
      </c>
      <c r="C138" s="308">
        <v>2</v>
      </c>
      <c r="D138" s="309" t="s">
        <v>563</v>
      </c>
      <c r="E138" s="310" t="s">
        <v>238</v>
      </c>
      <c r="F138" s="310" t="s">
        <v>649</v>
      </c>
      <c r="G138" s="311" t="s">
        <v>650</v>
      </c>
      <c r="H138" s="310" t="s">
        <v>648</v>
      </c>
      <c r="I138" s="310">
        <v>52000</v>
      </c>
      <c r="J138" s="310">
        <v>15</v>
      </c>
      <c r="K138" s="312">
        <v>780000</v>
      </c>
      <c r="L138" s="310" t="s">
        <v>38</v>
      </c>
      <c r="M138" s="310">
        <v>780000</v>
      </c>
      <c r="N138" s="313" t="s">
        <v>563</v>
      </c>
      <c r="O138" s="314" t="s">
        <v>563</v>
      </c>
      <c r="P138" s="307">
        <f t="shared" si="48"/>
        <v>0</v>
      </c>
      <c r="R138" s="91" t="str">
        <f t="shared" si="45"/>
        <v>Mgg6</v>
      </c>
      <c r="S138" s="307" t="str">
        <f t="shared" si="49"/>
        <v>BKK.40aa</v>
      </c>
      <c r="T138" s="307" t="str">
        <f t="shared" si="50"/>
        <v>Semen 3 Roda</v>
      </c>
      <c r="U138" s="315" t="str">
        <f t="shared" si="51"/>
        <v/>
      </c>
      <c r="V138" s="307" t="str">
        <f t="shared" si="57"/>
        <v/>
      </c>
      <c r="W138" s="307" t="str">
        <f>IFERROR(IF(V138&gt;0,PROPER(Terbilang1(V138)&amp;" Rupiah"),0),"")</f>
        <v/>
      </c>
      <c r="X138" s="90">
        <f t="shared" si="58"/>
        <v>15</v>
      </c>
      <c r="Y138" s="307" t="str">
        <f t="shared" si="59"/>
        <v>Sak</v>
      </c>
      <c r="Z138" s="307">
        <f t="shared" si="52"/>
        <v>0</v>
      </c>
      <c r="AA138" s="366">
        <f t="shared" si="53"/>
        <v>0</v>
      </c>
      <c r="AB138" s="367">
        <f t="shared" si="60"/>
        <v>0</v>
      </c>
      <c r="AC138" s="305">
        <f t="shared" si="61"/>
        <v>0</v>
      </c>
      <c r="AP138" s="89" t="str">
        <f t="shared" si="47"/>
        <v/>
      </c>
      <c r="AQ138" s="89" t="str">
        <f t="shared" si="46"/>
        <v/>
      </c>
      <c r="AR138" s="315" t="str">
        <f t="shared" si="54"/>
        <v/>
      </c>
      <c r="AS138" s="305" t="str">
        <f t="shared" si="62"/>
        <v>0</v>
      </c>
      <c r="AT138" s="307">
        <f>Table22[[#This Row],[Column1]]</f>
        <v>0</v>
      </c>
    </row>
    <row r="139" spans="1:46" x14ac:dyDescent="0.3">
      <c r="A139" s="307" t="str">
        <f t="shared" si="56"/>
        <v>2.29</v>
      </c>
      <c r="B139" s="307" t="str">
        <f t="shared" si="44"/>
        <v>Beli</v>
      </c>
      <c r="C139" s="308">
        <v>2</v>
      </c>
      <c r="D139" s="309" t="s">
        <v>563</v>
      </c>
      <c r="E139" s="310" t="s">
        <v>238</v>
      </c>
      <c r="F139" s="310" t="s">
        <v>766</v>
      </c>
      <c r="G139" s="311" t="s">
        <v>767</v>
      </c>
      <c r="H139" s="310" t="s">
        <v>577</v>
      </c>
      <c r="I139" s="310">
        <v>45000</v>
      </c>
      <c r="J139" s="310">
        <v>8</v>
      </c>
      <c r="K139" s="312">
        <v>360000</v>
      </c>
      <c r="L139" s="310" t="s">
        <v>38</v>
      </c>
      <c r="M139" s="310">
        <v>360000</v>
      </c>
      <c r="N139" s="313" t="s">
        <v>563</v>
      </c>
      <c r="O139" s="314" t="s">
        <v>563</v>
      </c>
      <c r="P139" s="307">
        <f t="shared" si="48"/>
        <v>0</v>
      </c>
      <c r="R139" s="91" t="str">
        <f t="shared" si="45"/>
        <v>Mgg6</v>
      </c>
      <c r="S139" s="307" t="str">
        <f t="shared" si="49"/>
        <v>BKK.40aaa</v>
      </c>
      <c r="T139" s="307" t="str">
        <f t="shared" si="50"/>
        <v>Avour Lantai PVC</v>
      </c>
      <c r="U139" s="315" t="str">
        <f t="shared" si="51"/>
        <v/>
      </c>
      <c r="V139" s="307" t="str">
        <f t="shared" si="57"/>
        <v/>
      </c>
      <c r="W139" s="307" t="str">
        <f>IFERROR(IF(V139&gt;0,PROPER(Terbilang1(V139)&amp;" Rupiah"),0),"")</f>
        <v/>
      </c>
      <c r="X139" s="90">
        <f t="shared" si="58"/>
        <v>8</v>
      </c>
      <c r="Y139" s="307" t="str">
        <f t="shared" si="59"/>
        <v>Pcs</v>
      </c>
      <c r="Z139" s="307">
        <f t="shared" si="52"/>
        <v>0</v>
      </c>
      <c r="AA139" s="366">
        <f t="shared" si="53"/>
        <v>0</v>
      </c>
      <c r="AB139" s="367">
        <f t="shared" si="60"/>
        <v>0</v>
      </c>
      <c r="AC139" s="305">
        <f t="shared" si="61"/>
        <v>0</v>
      </c>
      <c r="AD139" s="365"/>
      <c r="AE139" s="364"/>
      <c r="AP139" s="89" t="str">
        <f t="shared" si="47"/>
        <v/>
      </c>
      <c r="AQ139" s="89" t="str">
        <f t="shared" si="46"/>
        <v/>
      </c>
      <c r="AR139" s="315" t="str">
        <f t="shared" si="54"/>
        <v/>
      </c>
      <c r="AS139" s="305" t="str">
        <f t="shared" si="62"/>
        <v>0</v>
      </c>
      <c r="AT139" s="307">
        <f>Table22[[#This Row],[Column1]]</f>
        <v>0</v>
      </c>
    </row>
    <row r="140" spans="1:46" x14ac:dyDescent="0.3">
      <c r="A140" s="307" t="str">
        <f t="shared" si="56"/>
        <v>2.30</v>
      </c>
      <c r="B140" s="307" t="str">
        <f t="shared" si="44"/>
        <v>Bayar Ongkos</v>
      </c>
      <c r="C140" s="308">
        <v>2</v>
      </c>
      <c r="D140" s="309">
        <v>45941</v>
      </c>
      <c r="E140" s="310" t="s">
        <v>504</v>
      </c>
      <c r="F140" s="310" t="s">
        <v>504</v>
      </c>
      <c r="G140" s="311" t="s">
        <v>768</v>
      </c>
      <c r="H140" s="310">
        <v>0</v>
      </c>
      <c r="I140" s="310">
        <v>1</v>
      </c>
      <c r="J140" s="310">
        <v>1</v>
      </c>
      <c r="K140" s="312">
        <v>1</v>
      </c>
      <c r="L140" s="310" t="s">
        <v>35</v>
      </c>
      <c r="M140" s="310">
        <v>5350000</v>
      </c>
      <c r="N140" s="313">
        <v>5350000</v>
      </c>
      <c r="O140" s="314" t="s">
        <v>769</v>
      </c>
      <c r="P140" s="307" t="str">
        <f t="shared" si="48"/>
        <v>Gaj6</v>
      </c>
      <c r="R140" s="91" t="str">
        <f t="shared" si="45"/>
        <v>Gaj6</v>
      </c>
      <c r="S140" s="307" t="str">
        <f t="shared" si="49"/>
        <v>BKK.41</v>
      </c>
      <c r="T140" s="307" t="str">
        <f t="shared" si="50"/>
        <v>Pembayaran Pekerja Minggu Ke 6</v>
      </c>
      <c r="U140" s="315">
        <f t="shared" si="51"/>
        <v>45941</v>
      </c>
      <c r="V140" s="307">
        <f t="shared" si="57"/>
        <v>5350000</v>
      </c>
      <c r="W140" s="307" t="str">
        <f>IFERROR(IF(V140&gt;0,PROPER(Terbilang1(V140)&amp;" Rupiah"),0),"")</f>
        <v>Lima Juta Tiga Ratus Lima Puluh Ribu Rupiah</v>
      </c>
      <c r="X140" s="90">
        <f t="shared" si="58"/>
        <v>1</v>
      </c>
      <c r="Y140" s="307">
        <f t="shared" si="59"/>
        <v>0</v>
      </c>
      <c r="Z140" s="307">
        <f t="shared" si="52"/>
        <v>0</v>
      </c>
      <c r="AA140" s="366">
        <f t="shared" si="53"/>
        <v>0</v>
      </c>
      <c r="AB140" s="367">
        <f t="shared" si="60"/>
        <v>0</v>
      </c>
      <c r="AC140" s="305">
        <f t="shared" si="61"/>
        <v>0</v>
      </c>
      <c r="AD140" s="365"/>
      <c r="AP140" s="89">
        <f t="shared" si="47"/>
        <v>1</v>
      </c>
      <c r="AQ140" s="89" t="str">
        <f t="shared" si="46"/>
        <v/>
      </c>
      <c r="AR140" s="315" t="str">
        <f t="shared" si="54"/>
        <v/>
      </c>
      <c r="AS140" s="305" t="str">
        <f t="shared" si="62"/>
        <v>0</v>
      </c>
      <c r="AT140" s="307">
        <f>Table22[[#This Row],[Column1]]</f>
        <v>0</v>
      </c>
    </row>
    <row r="141" spans="1:46" x14ac:dyDescent="0.3">
      <c r="A141" s="307" t="str">
        <f t="shared" si="56"/>
        <v>2.31</v>
      </c>
      <c r="B141" s="307" t="str">
        <f t="shared" si="44"/>
        <v>Beli</v>
      </c>
      <c r="C141" s="308">
        <v>2</v>
      </c>
      <c r="D141" s="309">
        <v>45943</v>
      </c>
      <c r="E141" s="310" t="s">
        <v>239</v>
      </c>
      <c r="F141" s="310" t="s">
        <v>640</v>
      </c>
      <c r="G141" s="311" t="s">
        <v>641</v>
      </c>
      <c r="H141" s="310" t="s">
        <v>633</v>
      </c>
      <c r="I141" s="310">
        <v>335000</v>
      </c>
      <c r="J141" s="310">
        <v>1</v>
      </c>
      <c r="K141" s="312">
        <v>335000</v>
      </c>
      <c r="L141" s="310" t="s">
        <v>38</v>
      </c>
      <c r="M141" s="310">
        <v>335000</v>
      </c>
      <c r="N141" s="313">
        <v>1965000</v>
      </c>
      <c r="O141" s="314" t="s">
        <v>770</v>
      </c>
      <c r="P141" s="307" t="str">
        <f t="shared" si="48"/>
        <v>Mgg7</v>
      </c>
      <c r="R141" s="91" t="str">
        <f t="shared" si="45"/>
        <v>Mgg7</v>
      </c>
      <c r="S141" s="307" t="str">
        <f t="shared" si="49"/>
        <v>BKK.42</v>
      </c>
      <c r="T141" s="307" t="str">
        <f t="shared" si="50"/>
        <v>Pasir Cor L300</v>
      </c>
      <c r="U141" s="315">
        <f t="shared" si="51"/>
        <v>45943</v>
      </c>
      <c r="V141" s="307">
        <f t="shared" si="57"/>
        <v>1965000</v>
      </c>
      <c r="W141" s="307" t="str">
        <f>IFERROR(IF(V141&gt;0,PROPER(Terbilang1(V141)&amp;" Rupiah"),0),"")</f>
        <v>Satu Juta Sembilan Ratus Enam Puluh Lima Ribu Rupiah</v>
      </c>
      <c r="X141" s="90">
        <f t="shared" si="58"/>
        <v>1</v>
      </c>
      <c r="Y141" s="307" t="str">
        <f t="shared" si="59"/>
        <v>Pik Up</v>
      </c>
      <c r="Z141" s="307">
        <f t="shared" si="52"/>
        <v>0</v>
      </c>
      <c r="AA141" s="366">
        <f t="shared" si="53"/>
        <v>0</v>
      </c>
      <c r="AB141" s="367">
        <f t="shared" si="60"/>
        <v>0</v>
      </c>
      <c r="AC141" s="305">
        <f t="shared" si="61"/>
        <v>0</v>
      </c>
      <c r="AP141" s="89">
        <f t="shared" si="47"/>
        <v>1</v>
      </c>
      <c r="AQ141" s="89" t="str">
        <f t="shared" si="46"/>
        <v/>
      </c>
      <c r="AR141" s="315" t="str">
        <f t="shared" si="54"/>
        <v/>
      </c>
      <c r="AS141" s="305" t="str">
        <f t="shared" si="62"/>
        <v>0</v>
      </c>
      <c r="AT141" s="307">
        <f>Table22[[#This Row],[Column1]]</f>
        <v>0</v>
      </c>
    </row>
    <row r="142" spans="1:46" x14ac:dyDescent="0.3">
      <c r="A142" s="307" t="str">
        <f t="shared" si="56"/>
        <v>2.32</v>
      </c>
      <c r="B142" s="307" t="str">
        <f t="shared" si="44"/>
        <v>Beli</v>
      </c>
      <c r="C142" s="308">
        <v>2</v>
      </c>
      <c r="D142" s="309" t="s">
        <v>563</v>
      </c>
      <c r="E142" s="310" t="s">
        <v>239</v>
      </c>
      <c r="F142" s="310" t="s">
        <v>631</v>
      </c>
      <c r="G142" s="311" t="s">
        <v>632</v>
      </c>
      <c r="H142" s="310" t="s">
        <v>633</v>
      </c>
      <c r="I142" s="310">
        <v>230000</v>
      </c>
      <c r="J142" s="310">
        <v>1</v>
      </c>
      <c r="K142" s="312">
        <v>230000</v>
      </c>
      <c r="L142" s="310" t="s">
        <v>38</v>
      </c>
      <c r="M142" s="310">
        <v>230000</v>
      </c>
      <c r="N142" s="313" t="s">
        <v>563</v>
      </c>
      <c r="O142" s="314" t="s">
        <v>563</v>
      </c>
      <c r="P142" s="307">
        <f t="shared" si="48"/>
        <v>0</v>
      </c>
      <c r="R142" s="91" t="str">
        <f t="shared" si="45"/>
        <v>Mgg7</v>
      </c>
      <c r="S142" s="307" t="str">
        <f t="shared" si="49"/>
        <v>BKK.42a</v>
      </c>
      <c r="T142" s="307" t="str">
        <f t="shared" si="50"/>
        <v>Pasir Biasa L300</v>
      </c>
      <c r="U142" s="315" t="str">
        <f t="shared" si="51"/>
        <v/>
      </c>
      <c r="V142" s="307" t="str">
        <f>N142</f>
        <v/>
      </c>
      <c r="W142" s="307" t="str">
        <f>IFERROR(IF(V142&gt;0,PROPER(Terbilang1(V142)&amp;" Rupiah"),0),"")</f>
        <v/>
      </c>
      <c r="X142" s="90">
        <f t="shared" si="58"/>
        <v>1</v>
      </c>
      <c r="Y142" s="307" t="str">
        <f t="shared" si="59"/>
        <v>Pik Up</v>
      </c>
      <c r="Z142" s="307">
        <f t="shared" si="52"/>
        <v>0</v>
      </c>
      <c r="AA142" s="366">
        <f t="shared" si="53"/>
        <v>0</v>
      </c>
      <c r="AB142" s="367">
        <f t="shared" si="60"/>
        <v>0</v>
      </c>
      <c r="AC142" s="305">
        <f t="shared" si="61"/>
        <v>0</v>
      </c>
      <c r="AP142" s="89" t="str">
        <f t="shared" si="47"/>
        <v/>
      </c>
      <c r="AQ142" s="89" t="str">
        <f t="shared" si="46"/>
        <v/>
      </c>
      <c r="AR142" s="315" t="str">
        <f t="shared" si="54"/>
        <v/>
      </c>
      <c r="AS142" s="305" t="str">
        <f t="shared" si="62"/>
        <v>0</v>
      </c>
      <c r="AT142" s="307">
        <f>Table22[[#This Row],[Column1]]</f>
        <v>0</v>
      </c>
    </row>
    <row r="143" spans="1:46" x14ac:dyDescent="0.3">
      <c r="A143" s="307" t="str">
        <f t="shared" si="56"/>
        <v>2.33</v>
      </c>
      <c r="B143" s="307" t="str">
        <f t="shared" si="44"/>
        <v>Beli</v>
      </c>
      <c r="C143" s="308">
        <v>2</v>
      </c>
      <c r="D143" s="309" t="s">
        <v>563</v>
      </c>
      <c r="E143" s="310" t="s">
        <v>239</v>
      </c>
      <c r="F143" s="310" t="s">
        <v>642</v>
      </c>
      <c r="G143" s="311" t="s">
        <v>643</v>
      </c>
      <c r="H143" s="310" t="s">
        <v>633</v>
      </c>
      <c r="I143" s="310">
        <v>350000</v>
      </c>
      <c r="J143" s="310">
        <v>1</v>
      </c>
      <c r="K143" s="312">
        <v>350000</v>
      </c>
      <c r="L143" s="310" t="s">
        <v>38</v>
      </c>
      <c r="M143" s="310">
        <v>350000</v>
      </c>
      <c r="N143" s="313" t="s">
        <v>563</v>
      </c>
      <c r="O143" s="314" t="s">
        <v>563</v>
      </c>
      <c r="P143" s="307">
        <f t="shared" si="48"/>
        <v>0</v>
      </c>
      <c r="R143" s="91" t="str">
        <f t="shared" si="45"/>
        <v>Mgg7</v>
      </c>
      <c r="S143" s="307" t="str">
        <f t="shared" si="49"/>
        <v>BKK.42aa</v>
      </c>
      <c r="T143" s="307" t="str">
        <f t="shared" si="50"/>
        <v>Koral L300</v>
      </c>
      <c r="U143" s="315" t="str">
        <f t="shared" si="51"/>
        <v/>
      </c>
      <c r="V143" s="307" t="str">
        <f t="shared" si="57"/>
        <v/>
      </c>
      <c r="W143" s="307" t="str">
        <f>IFERROR(IF(V143&gt;0,PROPER(Terbilang1(V143)&amp;" Rupiah"),0),"")</f>
        <v/>
      </c>
      <c r="X143" s="90">
        <f t="shared" si="58"/>
        <v>1</v>
      </c>
      <c r="Y143" s="307" t="str">
        <f t="shared" si="59"/>
        <v>Pik Up</v>
      </c>
      <c r="Z143" s="307">
        <f t="shared" si="52"/>
        <v>0</v>
      </c>
      <c r="AA143" s="366">
        <f t="shared" si="53"/>
        <v>0</v>
      </c>
      <c r="AB143" s="367">
        <f t="shared" si="60"/>
        <v>0</v>
      </c>
      <c r="AC143" s="305">
        <f t="shared" si="61"/>
        <v>0</v>
      </c>
      <c r="AP143" s="89" t="str">
        <f t="shared" si="47"/>
        <v/>
      </c>
      <c r="AQ143" s="89" t="str">
        <f t="shared" si="46"/>
        <v/>
      </c>
      <c r="AR143" s="315" t="str">
        <f t="shared" si="54"/>
        <v/>
      </c>
      <c r="AS143" s="305" t="str">
        <f t="shared" si="62"/>
        <v>0</v>
      </c>
      <c r="AT143" s="307">
        <f>Table22[[#This Row],[Column1]]</f>
        <v>0</v>
      </c>
    </row>
    <row r="144" spans="1:46" x14ac:dyDescent="0.3">
      <c r="A144" s="307" t="str">
        <f t="shared" si="56"/>
        <v>2.34</v>
      </c>
      <c r="B144" s="307" t="str">
        <f t="shared" si="44"/>
        <v>Beli</v>
      </c>
      <c r="C144" s="308">
        <v>2</v>
      </c>
      <c r="D144" s="309" t="s">
        <v>563</v>
      </c>
      <c r="E144" s="310" t="s">
        <v>239</v>
      </c>
      <c r="F144" s="310" t="s">
        <v>321</v>
      </c>
      <c r="G144" s="311" t="s">
        <v>771</v>
      </c>
      <c r="H144" s="310" t="s">
        <v>755</v>
      </c>
      <c r="I144" s="310">
        <v>70000</v>
      </c>
      <c r="J144" s="310">
        <v>15</v>
      </c>
      <c r="K144" s="312">
        <v>1050000</v>
      </c>
      <c r="L144" s="310" t="s">
        <v>38</v>
      </c>
      <c r="M144" s="310">
        <v>1050000</v>
      </c>
      <c r="N144" s="313" t="s">
        <v>563</v>
      </c>
      <c r="O144" s="314" t="s">
        <v>563</v>
      </c>
      <c r="P144" s="307">
        <f t="shared" si="48"/>
        <v>0</v>
      </c>
      <c r="R144" s="91" t="str">
        <f t="shared" si="45"/>
        <v>Mgg7</v>
      </c>
      <c r="S144" s="307" t="str">
        <f t="shared" si="49"/>
        <v>BKK.42aaa</v>
      </c>
      <c r="T144" s="307" t="str">
        <f t="shared" si="50"/>
        <v>Keramik Kia 30X30</v>
      </c>
      <c r="U144" s="315" t="str">
        <f t="shared" si="51"/>
        <v/>
      </c>
      <c r="V144" s="307" t="str">
        <f t="shared" si="57"/>
        <v/>
      </c>
      <c r="W144" s="307" t="str">
        <f>IFERROR(IF(V144&gt;0,PROPER(Terbilang1(V144)&amp;" Rupiah"),0),"")</f>
        <v/>
      </c>
      <c r="X144" s="90">
        <f t="shared" si="58"/>
        <v>15</v>
      </c>
      <c r="Y144" s="307" t="str">
        <f t="shared" si="59"/>
        <v>Dus</v>
      </c>
      <c r="Z144" s="307">
        <f t="shared" si="52"/>
        <v>0</v>
      </c>
      <c r="AA144" s="366">
        <f t="shared" si="53"/>
        <v>0</v>
      </c>
      <c r="AB144" s="367">
        <f t="shared" si="60"/>
        <v>0</v>
      </c>
      <c r="AC144" s="305">
        <f t="shared" si="61"/>
        <v>0</v>
      </c>
      <c r="AP144" s="89" t="str">
        <f t="shared" si="47"/>
        <v/>
      </c>
      <c r="AQ144" s="89" t="str">
        <f t="shared" si="46"/>
        <v/>
      </c>
      <c r="AR144" s="315" t="str">
        <f t="shared" si="54"/>
        <v/>
      </c>
      <c r="AS144" s="305" t="str">
        <f t="shared" si="62"/>
        <v>0</v>
      </c>
      <c r="AT144" s="307">
        <f>Table22[[#This Row],[Column1]]</f>
        <v>0</v>
      </c>
    </row>
    <row r="145" spans="1:46" x14ac:dyDescent="0.3">
      <c r="A145" s="307" t="str">
        <f t="shared" si="56"/>
        <v>2.35</v>
      </c>
      <c r="B145" s="307" t="str">
        <f t="shared" si="44"/>
        <v>Beli</v>
      </c>
      <c r="C145" s="308">
        <v>2</v>
      </c>
      <c r="D145" s="309">
        <v>45944</v>
      </c>
      <c r="E145" s="310" t="s">
        <v>239</v>
      </c>
      <c r="F145" s="310" t="s">
        <v>646</v>
      </c>
      <c r="G145" s="311" t="s">
        <v>647</v>
      </c>
      <c r="H145" s="310" t="s">
        <v>648</v>
      </c>
      <c r="I145" s="310">
        <v>58000</v>
      </c>
      <c r="J145" s="310">
        <v>2</v>
      </c>
      <c r="K145" s="312">
        <v>116000</v>
      </c>
      <c r="L145" s="310" t="s">
        <v>38</v>
      </c>
      <c r="M145" s="310">
        <v>116000</v>
      </c>
      <c r="N145" s="313">
        <v>1004000</v>
      </c>
      <c r="O145" s="314" t="s">
        <v>772</v>
      </c>
      <c r="P145" s="307" t="str">
        <f t="shared" si="48"/>
        <v>Mgg7</v>
      </c>
      <c r="R145" s="91" t="str">
        <f t="shared" si="45"/>
        <v>Mgg7</v>
      </c>
      <c r="S145" s="307" t="str">
        <f t="shared" si="49"/>
        <v>BKK.43</v>
      </c>
      <c r="T145" s="307" t="str">
        <f t="shared" si="50"/>
        <v>Semen Gresik 40Kg</v>
      </c>
      <c r="U145" s="315">
        <f t="shared" si="51"/>
        <v>45944</v>
      </c>
      <c r="V145" s="307">
        <f>N145</f>
        <v>1004000</v>
      </c>
      <c r="W145" s="307" t="str">
        <f>IFERROR(IF(V145&gt;0,PROPER(Terbilang1(V145)&amp;" Rupiah"),0),"")</f>
        <v>Satu Juta Empat Ribu Rupiah</v>
      </c>
      <c r="X145" s="90">
        <f t="shared" si="58"/>
        <v>2</v>
      </c>
      <c r="Y145" s="307" t="str">
        <f t="shared" si="59"/>
        <v>Sak</v>
      </c>
      <c r="Z145" s="307">
        <f t="shared" si="52"/>
        <v>0</v>
      </c>
      <c r="AA145" s="366">
        <f t="shared" si="53"/>
        <v>0</v>
      </c>
      <c r="AB145" s="367">
        <f t="shared" si="60"/>
        <v>0</v>
      </c>
      <c r="AC145" s="305">
        <f t="shared" si="61"/>
        <v>0</v>
      </c>
      <c r="AP145" s="89">
        <f t="shared" si="47"/>
        <v>1</v>
      </c>
      <c r="AQ145" s="89" t="str">
        <f t="shared" si="46"/>
        <v/>
      </c>
      <c r="AR145" s="315" t="str">
        <f t="shared" si="54"/>
        <v/>
      </c>
      <c r="AS145" s="305" t="str">
        <f t="shared" si="62"/>
        <v>0</v>
      </c>
      <c r="AT145" s="307">
        <f>Table22[[#This Row],[Column1]]</f>
        <v>0</v>
      </c>
    </row>
    <row r="146" spans="1:46" x14ac:dyDescent="0.3">
      <c r="A146" s="307" t="str">
        <f t="shared" si="56"/>
        <v>2.36</v>
      </c>
      <c r="B146" s="307" t="str">
        <f t="shared" si="44"/>
        <v>Beli</v>
      </c>
      <c r="C146" s="308">
        <v>2</v>
      </c>
      <c r="D146" s="309" t="s">
        <v>563</v>
      </c>
      <c r="E146" s="310" t="s">
        <v>239</v>
      </c>
      <c r="F146" s="310" t="s">
        <v>773</v>
      </c>
      <c r="G146" s="311" t="s">
        <v>774</v>
      </c>
      <c r="H146" s="310" t="s">
        <v>775</v>
      </c>
      <c r="I146" s="310">
        <v>44000</v>
      </c>
      <c r="J146" s="310">
        <v>2</v>
      </c>
      <c r="K146" s="312">
        <v>88000</v>
      </c>
      <c r="L146" s="310" t="s">
        <v>38</v>
      </c>
      <c r="M146" s="310">
        <v>88000</v>
      </c>
      <c r="N146" s="313" t="s">
        <v>563</v>
      </c>
      <c r="O146" s="314" t="s">
        <v>563</v>
      </c>
      <c r="P146" s="307">
        <f t="shared" si="48"/>
        <v>0</v>
      </c>
      <c r="R146" s="91" t="str">
        <f t="shared" si="45"/>
        <v>Mgg7</v>
      </c>
      <c r="S146" s="307" t="str">
        <f t="shared" si="49"/>
        <v>BKK.43a</v>
      </c>
      <c r="T146" s="307" t="str">
        <f t="shared" si="50"/>
        <v>Kalsium Omya No. 6</v>
      </c>
      <c r="U146" s="315" t="str">
        <f t="shared" si="51"/>
        <v/>
      </c>
      <c r="V146" s="307" t="str">
        <f t="shared" si="57"/>
        <v/>
      </c>
      <c r="W146" s="307" t="str">
        <f>IFERROR(IF(V146&gt;0,PROPER(Terbilang1(V146)&amp;" Rupiah"),0),"")</f>
        <v/>
      </c>
      <c r="X146" s="90">
        <f t="shared" si="58"/>
        <v>2</v>
      </c>
      <c r="Y146" s="307" t="str">
        <f t="shared" si="59"/>
        <v>sak</v>
      </c>
      <c r="Z146" s="307">
        <f t="shared" si="52"/>
        <v>0</v>
      </c>
      <c r="AA146" s="366">
        <f t="shared" si="53"/>
        <v>0</v>
      </c>
      <c r="AB146" s="367">
        <f t="shared" si="60"/>
        <v>0</v>
      </c>
      <c r="AC146" s="305">
        <f t="shared" si="61"/>
        <v>0</v>
      </c>
      <c r="AP146" s="89" t="str">
        <f t="shared" si="47"/>
        <v/>
      </c>
      <c r="AQ146" s="89" t="str">
        <f t="shared" si="46"/>
        <v/>
      </c>
      <c r="AR146" s="315" t="str">
        <f t="shared" si="54"/>
        <v/>
      </c>
      <c r="AS146" s="305" t="str">
        <f t="shared" si="62"/>
        <v>0</v>
      </c>
      <c r="AT146" s="307">
        <f>Table22[[#This Row],[Column1]]</f>
        <v>0</v>
      </c>
    </row>
    <row r="147" spans="1:46" x14ac:dyDescent="0.3">
      <c r="A147" s="307" t="str">
        <f t="shared" si="56"/>
        <v>2.37</v>
      </c>
      <c r="B147" s="307" t="str">
        <f t="shared" si="44"/>
        <v>Beli</v>
      </c>
      <c r="C147" s="308">
        <v>2</v>
      </c>
      <c r="D147" s="309" t="s">
        <v>563</v>
      </c>
      <c r="E147" s="310" t="s">
        <v>239</v>
      </c>
      <c r="F147" s="310" t="s">
        <v>776</v>
      </c>
      <c r="G147" s="311" t="s">
        <v>777</v>
      </c>
      <c r="H147" s="310" t="s">
        <v>577</v>
      </c>
      <c r="I147" s="310">
        <v>20000</v>
      </c>
      <c r="J147" s="310">
        <v>40</v>
      </c>
      <c r="K147" s="312">
        <v>800000</v>
      </c>
      <c r="L147" s="310" t="s">
        <v>38</v>
      </c>
      <c r="M147" s="310">
        <v>800000</v>
      </c>
      <c r="N147" s="313" t="s">
        <v>563</v>
      </c>
      <c r="O147" s="314" t="s">
        <v>563</v>
      </c>
      <c r="P147" s="307">
        <f t="shared" si="48"/>
        <v>0</v>
      </c>
      <c r="R147" s="91" t="str">
        <f t="shared" si="45"/>
        <v>Mgg7</v>
      </c>
      <c r="S147" s="307" t="str">
        <f t="shared" si="49"/>
        <v>BKK.43aa</v>
      </c>
      <c r="T147" s="307" t="str">
        <f t="shared" si="50"/>
        <v>Lem Rajawali Putih</v>
      </c>
      <c r="U147" s="315" t="str">
        <f t="shared" si="51"/>
        <v/>
      </c>
      <c r="V147" s="307" t="str">
        <f t="shared" si="57"/>
        <v/>
      </c>
      <c r="W147" s="307" t="str">
        <f>IFERROR(IF(V147&gt;0,PROPER(Terbilang1(V147)&amp;" Rupiah"),0),"")</f>
        <v/>
      </c>
      <c r="X147" s="90">
        <f t="shared" si="58"/>
        <v>40</v>
      </c>
      <c r="Y147" s="307" t="str">
        <f t="shared" si="59"/>
        <v>Pcs</v>
      </c>
      <c r="Z147" s="307">
        <f t="shared" si="52"/>
        <v>0</v>
      </c>
      <c r="AA147" s="366">
        <f t="shared" si="53"/>
        <v>0</v>
      </c>
      <c r="AB147" s="367">
        <f t="shared" si="60"/>
        <v>0</v>
      </c>
      <c r="AC147" s="305">
        <f t="shared" si="61"/>
        <v>0</v>
      </c>
      <c r="AP147" s="89" t="str">
        <f t="shared" si="47"/>
        <v/>
      </c>
      <c r="AQ147" s="89" t="str">
        <f t="shared" si="46"/>
        <v/>
      </c>
      <c r="AR147" s="315" t="str">
        <f t="shared" si="54"/>
        <v/>
      </c>
      <c r="AS147" s="305" t="str">
        <f t="shared" si="62"/>
        <v>0</v>
      </c>
      <c r="AT147" s="307">
        <f>Table22[[#This Row],[Column1]]</f>
        <v>0</v>
      </c>
    </row>
    <row r="148" spans="1:46" x14ac:dyDescent="0.3">
      <c r="A148" s="307" t="str">
        <f t="shared" si="56"/>
        <v>2.38</v>
      </c>
      <c r="B148" s="307" t="str">
        <f t="shared" si="44"/>
        <v>Beli</v>
      </c>
      <c r="C148" s="308">
        <v>2</v>
      </c>
      <c r="D148" s="309">
        <v>45945</v>
      </c>
      <c r="E148" s="310" t="s">
        <v>239</v>
      </c>
      <c r="F148" s="310" t="s">
        <v>778</v>
      </c>
      <c r="G148" s="311" t="s">
        <v>779</v>
      </c>
      <c r="H148" s="310" t="s">
        <v>697</v>
      </c>
      <c r="I148" s="310">
        <v>14000</v>
      </c>
      <c r="J148" s="310">
        <v>10</v>
      </c>
      <c r="K148" s="312">
        <v>140000</v>
      </c>
      <c r="L148" s="310" t="s">
        <v>38</v>
      </c>
      <c r="M148" s="310">
        <v>140000</v>
      </c>
      <c r="N148" s="313">
        <v>1805000</v>
      </c>
      <c r="O148" s="314" t="s">
        <v>780</v>
      </c>
      <c r="P148" s="307" t="str">
        <f t="shared" si="48"/>
        <v>Mgg7</v>
      </c>
      <c r="R148" s="91" t="str">
        <f t="shared" si="45"/>
        <v>Mgg7</v>
      </c>
      <c r="S148" s="307" t="str">
        <f t="shared" si="49"/>
        <v>BKK.44</v>
      </c>
      <c r="T148" s="307" t="str">
        <f t="shared" si="50"/>
        <v>Kain Lap</v>
      </c>
      <c r="U148" s="315">
        <f t="shared" si="51"/>
        <v>45945</v>
      </c>
      <c r="V148" s="307">
        <f>N148</f>
        <v>1805000</v>
      </c>
      <c r="W148" s="307" t="str">
        <f>IFERROR(IF(V148&gt;0,PROPER(Terbilang1(V148)&amp;" Rupiah"),0),"")</f>
        <v>Satu Juta Delapan Ratus Lima Ribu Rupiah</v>
      </c>
      <c r="X148" s="90">
        <f t="shared" si="58"/>
        <v>10</v>
      </c>
      <c r="Y148" s="307" t="str">
        <f t="shared" si="59"/>
        <v>Bji</v>
      </c>
      <c r="Z148" s="307">
        <f t="shared" si="52"/>
        <v>0</v>
      </c>
      <c r="AA148" s="366">
        <f t="shared" si="53"/>
        <v>0</v>
      </c>
      <c r="AB148" s="367">
        <f t="shared" si="60"/>
        <v>0</v>
      </c>
      <c r="AC148" s="305">
        <f t="shared" si="61"/>
        <v>0</v>
      </c>
      <c r="AP148" s="89">
        <f t="shared" si="47"/>
        <v>1</v>
      </c>
      <c r="AQ148" s="89" t="str">
        <f t="shared" si="46"/>
        <v/>
      </c>
      <c r="AR148" s="315" t="str">
        <f t="shared" si="54"/>
        <v/>
      </c>
      <c r="AS148" s="305" t="str">
        <f t="shared" si="62"/>
        <v>0</v>
      </c>
      <c r="AT148" s="307">
        <f>Table22[[#This Row],[Column1]]</f>
        <v>0</v>
      </c>
    </row>
    <row r="149" spans="1:46" x14ac:dyDescent="0.3">
      <c r="A149" s="307" t="str">
        <f t="shared" si="56"/>
        <v>2.39</v>
      </c>
      <c r="B149" s="307" t="str">
        <f t="shared" si="44"/>
        <v>Beli</v>
      </c>
      <c r="C149" s="308">
        <v>2</v>
      </c>
      <c r="D149" s="309" t="s">
        <v>563</v>
      </c>
      <c r="E149" s="310" t="s">
        <v>239</v>
      </c>
      <c r="F149" s="310" t="s">
        <v>781</v>
      </c>
      <c r="G149" s="311" t="s">
        <v>782</v>
      </c>
      <c r="H149" s="310" t="s">
        <v>783</v>
      </c>
      <c r="I149" s="310">
        <v>10000</v>
      </c>
      <c r="J149" s="310">
        <v>4</v>
      </c>
      <c r="K149" s="312">
        <v>40000</v>
      </c>
      <c r="L149" s="310" t="s">
        <v>38</v>
      </c>
      <c r="M149" s="310">
        <v>40000</v>
      </c>
      <c r="N149" s="313" t="s">
        <v>563</v>
      </c>
      <c r="O149" s="314" t="s">
        <v>563</v>
      </c>
      <c r="P149" s="307">
        <f t="shared" si="48"/>
        <v>0</v>
      </c>
      <c r="R149" s="91" t="str">
        <f t="shared" si="45"/>
        <v>Mgg7</v>
      </c>
      <c r="S149" s="307" t="str">
        <f t="shared" si="49"/>
        <v>BKK.44a</v>
      </c>
      <c r="T149" s="307" t="str">
        <f t="shared" si="50"/>
        <v>Hcl</v>
      </c>
      <c r="U149" s="315" t="str">
        <f t="shared" si="51"/>
        <v/>
      </c>
      <c r="V149" s="307" t="str">
        <f>N149</f>
        <v/>
      </c>
      <c r="W149" s="307" t="str">
        <f>IFERROR(IF(V149&gt;0,PROPER(Terbilang1(V149)&amp;" Rupiah"),0),"")</f>
        <v/>
      </c>
      <c r="X149" s="90">
        <f t="shared" si="58"/>
        <v>4</v>
      </c>
      <c r="Y149" s="307" t="str">
        <f t="shared" si="59"/>
        <v>ltr</v>
      </c>
      <c r="Z149" s="307">
        <f t="shared" si="52"/>
        <v>0</v>
      </c>
      <c r="AA149" s="366">
        <f t="shared" si="53"/>
        <v>0</v>
      </c>
      <c r="AB149" s="367">
        <f t="shared" si="60"/>
        <v>0</v>
      </c>
      <c r="AC149" s="305">
        <f t="shared" si="61"/>
        <v>0</v>
      </c>
      <c r="AP149" s="89" t="str">
        <f t="shared" si="47"/>
        <v/>
      </c>
      <c r="AQ149" s="89" t="str">
        <f t="shared" si="46"/>
        <v/>
      </c>
      <c r="AR149" s="315" t="str">
        <f t="shared" si="54"/>
        <v/>
      </c>
      <c r="AS149" s="305" t="str">
        <f t="shared" si="62"/>
        <v>0</v>
      </c>
      <c r="AT149" s="307">
        <f>Table22[[#This Row],[Column1]]</f>
        <v>0</v>
      </c>
    </row>
    <row r="150" spans="1:46" x14ac:dyDescent="0.3">
      <c r="A150" s="307" t="str">
        <f t="shared" si="56"/>
        <v>2.40</v>
      </c>
      <c r="B150" s="307" t="str">
        <f t="shared" si="44"/>
        <v>Beli</v>
      </c>
      <c r="C150" s="308">
        <v>2</v>
      </c>
      <c r="D150" s="309" t="s">
        <v>563</v>
      </c>
      <c r="E150" s="310" t="s">
        <v>239</v>
      </c>
      <c r="F150" s="310" t="s">
        <v>784</v>
      </c>
      <c r="G150" s="311" t="s">
        <v>785</v>
      </c>
      <c r="H150" s="310" t="s">
        <v>786</v>
      </c>
      <c r="I150" s="310">
        <v>500000</v>
      </c>
      <c r="J150" s="310">
        <v>1</v>
      </c>
      <c r="K150" s="312">
        <v>500000</v>
      </c>
      <c r="L150" s="310" t="s">
        <v>38</v>
      </c>
      <c r="M150" s="310">
        <v>500000</v>
      </c>
      <c r="N150" s="313" t="s">
        <v>563</v>
      </c>
      <c r="O150" s="314" t="s">
        <v>563</v>
      </c>
      <c r="P150" s="307">
        <f t="shared" si="48"/>
        <v>0</v>
      </c>
      <c r="R150" s="91" t="str">
        <f t="shared" si="45"/>
        <v>Mgg7</v>
      </c>
      <c r="S150" s="307" t="str">
        <f t="shared" si="49"/>
        <v>BKK.44aa</v>
      </c>
      <c r="T150" s="307" t="str">
        <f t="shared" si="50"/>
        <v>Paragon Putih Eml 20Kg</v>
      </c>
      <c r="U150" s="315" t="str">
        <f t="shared" si="51"/>
        <v/>
      </c>
      <c r="V150" s="307" t="str">
        <f t="shared" si="57"/>
        <v/>
      </c>
      <c r="W150" s="307" t="str">
        <f>IFERROR(IF(V150&gt;0,PROPER(Terbilang1(V150)&amp;" Rupiah"),0),"")</f>
        <v/>
      </c>
      <c r="X150" s="90">
        <f t="shared" si="58"/>
        <v>1</v>
      </c>
      <c r="Y150" s="307" t="str">
        <f t="shared" si="59"/>
        <v>Pail</v>
      </c>
      <c r="Z150" s="307">
        <f t="shared" si="52"/>
        <v>0</v>
      </c>
      <c r="AA150" s="366">
        <f t="shared" si="53"/>
        <v>0</v>
      </c>
      <c r="AB150" s="367">
        <f t="shared" si="60"/>
        <v>0</v>
      </c>
      <c r="AC150" s="305">
        <f t="shared" si="61"/>
        <v>0</v>
      </c>
      <c r="AP150" s="89" t="str">
        <f t="shared" si="47"/>
        <v/>
      </c>
      <c r="AQ150" s="89" t="str">
        <f t="shared" si="46"/>
        <v/>
      </c>
      <c r="AR150" s="315" t="str">
        <f t="shared" si="54"/>
        <v/>
      </c>
      <c r="AS150" s="305" t="str">
        <f t="shared" si="62"/>
        <v>0</v>
      </c>
      <c r="AT150" s="307">
        <f>Table22[[#This Row],[Column1]]</f>
        <v>0</v>
      </c>
    </row>
    <row r="151" spans="1:46" x14ac:dyDescent="0.3">
      <c r="A151" s="307" t="str">
        <f t="shared" si="56"/>
        <v>2.41</v>
      </c>
      <c r="B151" s="307" t="str">
        <f t="shared" si="44"/>
        <v>Beli</v>
      </c>
      <c r="C151" s="308">
        <v>2</v>
      </c>
      <c r="D151" s="309" t="s">
        <v>563</v>
      </c>
      <c r="E151" s="310" t="s">
        <v>239</v>
      </c>
      <c r="F151" s="310" t="s">
        <v>787</v>
      </c>
      <c r="G151" s="311" t="s">
        <v>788</v>
      </c>
      <c r="H151" s="310" t="s">
        <v>786</v>
      </c>
      <c r="I151" s="310">
        <v>1125000</v>
      </c>
      <c r="J151" s="310">
        <v>1</v>
      </c>
      <c r="K151" s="312">
        <v>1125000</v>
      </c>
      <c r="L151" s="310" t="s">
        <v>38</v>
      </c>
      <c r="M151" s="310">
        <v>1125000</v>
      </c>
      <c r="N151" s="313" t="s">
        <v>563</v>
      </c>
      <c r="O151" s="314" t="s">
        <v>563</v>
      </c>
      <c r="P151" s="307">
        <f t="shared" si="48"/>
        <v>0</v>
      </c>
      <c r="R151" s="91" t="str">
        <f t="shared" si="45"/>
        <v>Mgg7</v>
      </c>
      <c r="S151" s="307" t="str">
        <f t="shared" si="49"/>
        <v>BKK.44aaa</v>
      </c>
      <c r="T151" s="307" t="str">
        <f t="shared" si="50"/>
        <v>Cat No Drop Hijau</v>
      </c>
      <c r="U151" s="315" t="str">
        <f t="shared" si="51"/>
        <v/>
      </c>
      <c r="V151" s="307" t="str">
        <f t="shared" si="57"/>
        <v/>
      </c>
      <c r="W151" s="307" t="str">
        <f>IFERROR(IF(V151&gt;0,PROPER(Terbilang1(V151)&amp;" Rupiah"),0),"")</f>
        <v/>
      </c>
      <c r="X151" s="90">
        <f t="shared" si="58"/>
        <v>1</v>
      </c>
      <c r="Y151" s="307" t="str">
        <f t="shared" si="59"/>
        <v>Pail</v>
      </c>
      <c r="Z151" s="307">
        <f t="shared" si="52"/>
        <v>0</v>
      </c>
      <c r="AA151" s="366">
        <f t="shared" si="53"/>
        <v>0</v>
      </c>
      <c r="AB151" s="367">
        <f t="shared" si="60"/>
        <v>0</v>
      </c>
      <c r="AC151" s="305">
        <f t="shared" si="61"/>
        <v>0</v>
      </c>
      <c r="AP151" s="89" t="str">
        <f t="shared" si="47"/>
        <v/>
      </c>
      <c r="AQ151" s="89" t="str">
        <f t="shared" si="46"/>
        <v/>
      </c>
      <c r="AR151" s="315" t="str">
        <f t="shared" si="54"/>
        <v/>
      </c>
      <c r="AS151" s="305" t="str">
        <f t="shared" si="62"/>
        <v>0</v>
      </c>
      <c r="AT151" s="307">
        <f>Table22[[#This Row],[Column1]]</f>
        <v>0</v>
      </c>
    </row>
    <row r="152" spans="1:46" x14ac:dyDescent="0.3">
      <c r="A152" s="307" t="str">
        <f t="shared" si="56"/>
        <v>2.42</v>
      </c>
      <c r="B152" s="307" t="str">
        <f t="shared" si="44"/>
        <v>Beli</v>
      </c>
      <c r="C152" s="308">
        <v>2</v>
      </c>
      <c r="D152" s="309">
        <v>45946</v>
      </c>
      <c r="E152" s="310" t="s">
        <v>239</v>
      </c>
      <c r="F152" s="310" t="s">
        <v>649</v>
      </c>
      <c r="G152" s="311" t="s">
        <v>650</v>
      </c>
      <c r="H152" s="310" t="s">
        <v>648</v>
      </c>
      <c r="I152" s="310">
        <v>52000</v>
      </c>
      <c r="J152" s="310">
        <v>10</v>
      </c>
      <c r="K152" s="312">
        <v>520000</v>
      </c>
      <c r="L152" s="310" t="s">
        <v>38</v>
      </c>
      <c r="M152" s="310">
        <v>520000</v>
      </c>
      <c r="N152" s="313">
        <v>1836000</v>
      </c>
      <c r="O152" s="314" t="s">
        <v>789</v>
      </c>
      <c r="P152" s="307" t="str">
        <f t="shared" si="48"/>
        <v>Mgg7</v>
      </c>
      <c r="R152" s="91" t="str">
        <f t="shared" si="45"/>
        <v>Mgg7</v>
      </c>
      <c r="S152" s="307" t="str">
        <f t="shared" si="49"/>
        <v>BKK.45</v>
      </c>
      <c r="T152" s="307" t="str">
        <f t="shared" si="50"/>
        <v>Semen 3 Roda</v>
      </c>
      <c r="U152" s="315">
        <f t="shared" si="51"/>
        <v>45946</v>
      </c>
      <c r="V152" s="307">
        <f>N152</f>
        <v>1836000</v>
      </c>
      <c r="W152" s="307" t="str">
        <f>IFERROR(IF(V152&gt;0,PROPER(Terbilang1(V152)&amp;" Rupiah"),0),"")</f>
        <v>Satu Juta Delapan Ratus Tiga Puluh Enam Ribu Rupiah</v>
      </c>
      <c r="X152" s="90">
        <f t="shared" si="58"/>
        <v>10</v>
      </c>
      <c r="Y152" s="307" t="str">
        <f t="shared" si="59"/>
        <v>Sak</v>
      </c>
      <c r="Z152" s="307">
        <f t="shared" si="52"/>
        <v>0</v>
      </c>
      <c r="AA152" s="366">
        <f t="shared" si="53"/>
        <v>0</v>
      </c>
      <c r="AB152" s="367">
        <f t="shared" si="60"/>
        <v>0</v>
      </c>
      <c r="AC152" s="305">
        <f t="shared" si="61"/>
        <v>0</v>
      </c>
      <c r="AP152" s="89">
        <f t="shared" si="47"/>
        <v>1</v>
      </c>
      <c r="AQ152" s="89" t="str">
        <f t="shared" si="46"/>
        <v/>
      </c>
      <c r="AR152" s="315" t="str">
        <f t="shared" si="54"/>
        <v/>
      </c>
      <c r="AS152" s="305" t="str">
        <f t="shared" si="62"/>
        <v>0</v>
      </c>
      <c r="AT152" s="307">
        <f>Table22[[#This Row],[Column1]]</f>
        <v>0</v>
      </c>
    </row>
    <row r="153" spans="1:46" x14ac:dyDescent="0.3">
      <c r="A153" s="307" t="str">
        <f t="shared" si="56"/>
        <v>2.43</v>
      </c>
      <c r="B153" s="307" t="str">
        <f t="shared" si="44"/>
        <v>Beli</v>
      </c>
      <c r="C153" s="308">
        <v>2</v>
      </c>
      <c r="D153" s="309" t="s">
        <v>563</v>
      </c>
      <c r="E153" s="310" t="s">
        <v>239</v>
      </c>
      <c r="F153" s="310" t="s">
        <v>776</v>
      </c>
      <c r="G153" s="311" t="s">
        <v>777</v>
      </c>
      <c r="H153" s="310" t="s">
        <v>577</v>
      </c>
      <c r="I153" s="310">
        <v>20000</v>
      </c>
      <c r="J153" s="310">
        <v>48</v>
      </c>
      <c r="K153" s="312">
        <v>960000</v>
      </c>
      <c r="L153" s="310" t="s">
        <v>38</v>
      </c>
      <c r="M153" s="310">
        <v>960000</v>
      </c>
      <c r="N153" s="313" t="s">
        <v>563</v>
      </c>
      <c r="O153" s="314" t="s">
        <v>563</v>
      </c>
      <c r="P153" s="307">
        <f t="shared" si="48"/>
        <v>0</v>
      </c>
      <c r="R153" s="91" t="str">
        <f t="shared" si="45"/>
        <v>Mgg7</v>
      </c>
      <c r="S153" s="307" t="str">
        <f t="shared" si="49"/>
        <v>BKK.45a</v>
      </c>
      <c r="T153" s="307" t="str">
        <f t="shared" si="50"/>
        <v>Lem Rajawali Putih</v>
      </c>
      <c r="U153" s="315" t="str">
        <f t="shared" si="51"/>
        <v/>
      </c>
      <c r="V153" s="307" t="str">
        <f>N153</f>
        <v/>
      </c>
      <c r="W153" s="307" t="str">
        <f>IFERROR(IF(V153&gt;0,PROPER(Terbilang1(V153)&amp;" Rupiah"),0),"")</f>
        <v/>
      </c>
      <c r="X153" s="90">
        <f t="shared" si="58"/>
        <v>48</v>
      </c>
      <c r="Y153" s="307" t="str">
        <f t="shared" si="59"/>
        <v>Pcs</v>
      </c>
      <c r="Z153" s="307">
        <f t="shared" si="52"/>
        <v>0</v>
      </c>
      <c r="AA153" s="366">
        <f t="shared" si="53"/>
        <v>0</v>
      </c>
      <c r="AB153" s="367">
        <f t="shared" si="60"/>
        <v>0</v>
      </c>
      <c r="AC153" s="305">
        <f t="shared" si="61"/>
        <v>0</v>
      </c>
      <c r="AP153" s="89" t="str">
        <f t="shared" si="47"/>
        <v/>
      </c>
      <c r="AQ153" s="89" t="str">
        <f t="shared" si="46"/>
        <v/>
      </c>
      <c r="AR153" s="315" t="str">
        <f t="shared" si="54"/>
        <v/>
      </c>
      <c r="AS153" s="305" t="str">
        <f t="shared" si="62"/>
        <v>0</v>
      </c>
      <c r="AT153" s="307">
        <f>Table22[[#This Row],[Column1]]</f>
        <v>0</v>
      </c>
    </row>
    <row r="154" spans="1:46" x14ac:dyDescent="0.3">
      <c r="A154" s="307" t="str">
        <f t="shared" si="56"/>
        <v>2.44</v>
      </c>
      <c r="B154" s="307" t="str">
        <f t="shared" si="44"/>
        <v>Beli</v>
      </c>
      <c r="C154" s="308">
        <v>2</v>
      </c>
      <c r="D154" s="309" t="s">
        <v>563</v>
      </c>
      <c r="E154" s="310" t="s">
        <v>239</v>
      </c>
      <c r="F154" s="310" t="s">
        <v>790</v>
      </c>
      <c r="G154" s="311" t="s">
        <v>791</v>
      </c>
      <c r="H154" s="310" t="s">
        <v>577</v>
      </c>
      <c r="I154" s="310">
        <v>23000</v>
      </c>
      <c r="J154" s="310">
        <v>4</v>
      </c>
      <c r="K154" s="312">
        <v>92000</v>
      </c>
      <c r="L154" s="310" t="s">
        <v>38</v>
      </c>
      <c r="M154" s="310">
        <v>92000</v>
      </c>
      <c r="N154" s="313" t="s">
        <v>563</v>
      </c>
      <c r="O154" s="314" t="s">
        <v>563</v>
      </c>
      <c r="P154" s="307">
        <f t="shared" si="48"/>
        <v>0</v>
      </c>
      <c r="R154" s="91" t="str">
        <f t="shared" si="45"/>
        <v>Mgg7</v>
      </c>
      <c r="S154" s="307" t="str">
        <f t="shared" si="49"/>
        <v>BKK.45aa</v>
      </c>
      <c r="T154" s="307" t="str">
        <f t="shared" si="50"/>
        <v>Kuas Nippon 5"</v>
      </c>
      <c r="U154" s="315" t="str">
        <f t="shared" si="51"/>
        <v/>
      </c>
      <c r="V154" s="307" t="str">
        <f t="shared" si="57"/>
        <v/>
      </c>
      <c r="W154" s="307" t="str">
        <f>IFERROR(IF(V154&gt;0,PROPER(Terbilang1(V154)&amp;" Rupiah"),0),"")</f>
        <v/>
      </c>
      <c r="X154" s="90">
        <f t="shared" si="58"/>
        <v>4</v>
      </c>
      <c r="Y154" s="307" t="str">
        <f t="shared" si="59"/>
        <v>Pcs</v>
      </c>
      <c r="Z154" s="307">
        <f t="shared" si="52"/>
        <v>0</v>
      </c>
      <c r="AA154" s="366">
        <f t="shared" si="53"/>
        <v>0</v>
      </c>
      <c r="AB154" s="367">
        <f t="shared" si="60"/>
        <v>0</v>
      </c>
      <c r="AC154" s="305">
        <f t="shared" si="61"/>
        <v>0</v>
      </c>
      <c r="AP154" s="89" t="str">
        <f t="shared" si="47"/>
        <v/>
      </c>
      <c r="AQ154" s="89" t="str">
        <f t="shared" si="46"/>
        <v/>
      </c>
      <c r="AR154" s="315" t="str">
        <f t="shared" si="54"/>
        <v/>
      </c>
      <c r="AS154" s="305" t="str">
        <f t="shared" si="62"/>
        <v>0</v>
      </c>
      <c r="AT154" s="307">
        <f>Table22[[#This Row],[Column1]]</f>
        <v>0</v>
      </c>
    </row>
    <row r="155" spans="1:46" x14ac:dyDescent="0.3">
      <c r="A155" s="307" t="str">
        <f t="shared" si="56"/>
        <v>2.45</v>
      </c>
      <c r="B155" s="307" t="str">
        <f t="shared" si="44"/>
        <v>Beli</v>
      </c>
      <c r="C155" s="308">
        <v>2</v>
      </c>
      <c r="D155" s="309" t="s">
        <v>563</v>
      </c>
      <c r="E155" s="310" t="s">
        <v>239</v>
      </c>
      <c r="F155" s="310" t="s">
        <v>792</v>
      </c>
      <c r="G155" s="311" t="s">
        <v>793</v>
      </c>
      <c r="H155" s="310" t="s">
        <v>577</v>
      </c>
      <c r="I155" s="310">
        <v>28000</v>
      </c>
      <c r="J155" s="310">
        <v>2</v>
      </c>
      <c r="K155" s="312">
        <v>56000</v>
      </c>
      <c r="L155" s="310" t="s">
        <v>38</v>
      </c>
      <c r="M155" s="310">
        <v>56000</v>
      </c>
      <c r="N155" s="313" t="s">
        <v>563</v>
      </c>
      <c r="O155" s="314" t="s">
        <v>563</v>
      </c>
      <c r="P155" s="307">
        <f t="shared" si="48"/>
        <v>0</v>
      </c>
      <c r="R155" s="91" t="str">
        <f t="shared" si="45"/>
        <v>Mgg7</v>
      </c>
      <c r="S155" s="307" t="str">
        <f t="shared" si="49"/>
        <v>BKK.45aaa</v>
      </c>
      <c r="T155" s="307" t="str">
        <f t="shared" si="50"/>
        <v>Kuas Nippon 6"</v>
      </c>
      <c r="U155" s="315" t="str">
        <f t="shared" si="51"/>
        <v/>
      </c>
      <c r="V155" s="307" t="str">
        <f t="shared" si="57"/>
        <v/>
      </c>
      <c r="W155" s="307" t="str">
        <f>IFERROR(IF(V155&gt;0,PROPER(Terbilang1(V155)&amp;" Rupiah"),0),"")</f>
        <v/>
      </c>
      <c r="X155" s="90">
        <f t="shared" si="58"/>
        <v>2</v>
      </c>
      <c r="Y155" s="307" t="str">
        <f t="shared" si="59"/>
        <v>Pcs</v>
      </c>
      <c r="Z155" s="307">
        <f t="shared" si="52"/>
        <v>0</v>
      </c>
      <c r="AA155" s="366">
        <f t="shared" si="53"/>
        <v>0</v>
      </c>
      <c r="AB155" s="367">
        <f t="shared" si="60"/>
        <v>0</v>
      </c>
      <c r="AC155" s="305">
        <f t="shared" si="61"/>
        <v>0</v>
      </c>
      <c r="AP155" s="89" t="str">
        <f t="shared" si="47"/>
        <v/>
      </c>
      <c r="AQ155" s="89" t="str">
        <f t="shared" si="46"/>
        <v/>
      </c>
      <c r="AR155" s="315" t="str">
        <f t="shared" si="54"/>
        <v/>
      </c>
      <c r="AS155" s="305" t="str">
        <f t="shared" si="62"/>
        <v>0</v>
      </c>
      <c r="AT155" s="307">
        <f>Table22[[#This Row],[Column1]]</f>
        <v>0</v>
      </c>
    </row>
    <row r="156" spans="1:46" x14ac:dyDescent="0.3">
      <c r="A156" s="307" t="str">
        <f t="shared" si="56"/>
        <v>2.46</v>
      </c>
      <c r="B156" s="307" t="str">
        <f t="shared" si="44"/>
        <v>Beli</v>
      </c>
      <c r="C156" s="308">
        <v>2</v>
      </c>
      <c r="D156" s="309" t="s">
        <v>563</v>
      </c>
      <c r="E156" s="310" t="s">
        <v>239</v>
      </c>
      <c r="F156" s="310" t="s">
        <v>794</v>
      </c>
      <c r="G156" s="311" t="s">
        <v>795</v>
      </c>
      <c r="H156" s="310" t="s">
        <v>561</v>
      </c>
      <c r="I156" s="310">
        <v>8000</v>
      </c>
      <c r="J156" s="310">
        <v>10</v>
      </c>
      <c r="K156" s="312">
        <v>80000</v>
      </c>
      <c r="L156" s="310" t="s">
        <v>38</v>
      </c>
      <c r="M156" s="310">
        <v>80000</v>
      </c>
      <c r="N156" s="313" t="s">
        <v>563</v>
      </c>
      <c r="O156" s="314" t="s">
        <v>563</v>
      </c>
      <c r="P156" s="307">
        <f t="shared" si="48"/>
        <v>0</v>
      </c>
      <c r="R156" s="91" t="str">
        <f t="shared" si="45"/>
        <v>Mgg7</v>
      </c>
      <c r="S156" s="307" t="str">
        <f t="shared" si="49"/>
        <v>BKK.45aaaa</v>
      </c>
      <c r="T156" s="307" t="str">
        <f t="shared" si="50"/>
        <v>Amplas No 100</v>
      </c>
      <c r="U156" s="315" t="str">
        <f t="shared" si="51"/>
        <v/>
      </c>
      <c r="V156" s="307" t="str">
        <f t="shared" si="57"/>
        <v/>
      </c>
      <c r="W156" s="307" t="str">
        <f>IFERROR(IF(V156&gt;0,PROPER(Terbilang1(V156)&amp;" Rupiah"),0),"")</f>
        <v/>
      </c>
      <c r="X156" s="90">
        <f t="shared" si="58"/>
        <v>10</v>
      </c>
      <c r="Y156" s="307" t="str">
        <f t="shared" si="59"/>
        <v>m</v>
      </c>
      <c r="Z156" s="307">
        <f t="shared" si="52"/>
        <v>0</v>
      </c>
      <c r="AA156" s="366">
        <f t="shared" si="53"/>
        <v>0</v>
      </c>
      <c r="AB156" s="367">
        <f t="shared" si="60"/>
        <v>0</v>
      </c>
      <c r="AC156" s="305">
        <f t="shared" si="61"/>
        <v>0</v>
      </c>
      <c r="AP156" s="89" t="str">
        <f t="shared" si="47"/>
        <v/>
      </c>
      <c r="AQ156" s="89" t="str">
        <f t="shared" si="46"/>
        <v/>
      </c>
      <c r="AR156" s="315" t="str">
        <f t="shared" si="54"/>
        <v/>
      </c>
      <c r="AS156" s="305" t="str">
        <f t="shared" si="62"/>
        <v>0</v>
      </c>
      <c r="AT156" s="307">
        <f>Table22[[#This Row],[Column1]]</f>
        <v>0</v>
      </c>
    </row>
    <row r="157" spans="1:46" x14ac:dyDescent="0.3">
      <c r="A157" s="307" t="str">
        <f t="shared" si="56"/>
        <v>2.47</v>
      </c>
      <c r="B157" s="307" t="str">
        <f t="shared" si="44"/>
        <v>Beli</v>
      </c>
      <c r="C157" s="308">
        <v>2</v>
      </c>
      <c r="D157" s="309" t="s">
        <v>563</v>
      </c>
      <c r="E157" s="310" t="s">
        <v>239</v>
      </c>
      <c r="F157" s="310" t="s">
        <v>796</v>
      </c>
      <c r="G157" s="311" t="s">
        <v>797</v>
      </c>
      <c r="H157" s="310" t="s">
        <v>561</v>
      </c>
      <c r="I157" s="310">
        <v>8000</v>
      </c>
      <c r="J157" s="310">
        <v>10</v>
      </c>
      <c r="K157" s="312">
        <v>80000</v>
      </c>
      <c r="L157" s="310" t="s">
        <v>38</v>
      </c>
      <c r="M157" s="310">
        <v>80000</v>
      </c>
      <c r="N157" s="313" t="s">
        <v>563</v>
      </c>
      <c r="O157" s="314" t="s">
        <v>563</v>
      </c>
      <c r="P157" s="307">
        <f t="shared" si="48"/>
        <v>0</v>
      </c>
      <c r="R157" s="91" t="str">
        <f t="shared" si="45"/>
        <v>Mgg7</v>
      </c>
      <c r="S157" s="307" t="str">
        <f t="shared" si="49"/>
        <v>BKK.45aaaaa</v>
      </c>
      <c r="T157" s="307" t="str">
        <f t="shared" si="50"/>
        <v>Amplas No 240</v>
      </c>
      <c r="U157" s="315" t="str">
        <f t="shared" si="51"/>
        <v/>
      </c>
      <c r="V157" s="307" t="str">
        <f t="shared" si="57"/>
        <v/>
      </c>
      <c r="W157" s="307" t="str">
        <f>IFERROR(IF(V157&gt;0,PROPER(Terbilang1(V157)&amp;" Rupiah"),0),"")</f>
        <v/>
      </c>
      <c r="X157" s="90">
        <f t="shared" si="58"/>
        <v>10</v>
      </c>
      <c r="Y157" s="307" t="str">
        <f t="shared" si="59"/>
        <v>m</v>
      </c>
      <c r="Z157" s="307">
        <f t="shared" si="52"/>
        <v>0</v>
      </c>
      <c r="AA157" s="366">
        <f t="shared" si="53"/>
        <v>0</v>
      </c>
      <c r="AB157" s="367">
        <f t="shared" si="60"/>
        <v>0</v>
      </c>
      <c r="AC157" s="305">
        <f t="shared" si="61"/>
        <v>0</v>
      </c>
      <c r="AP157" s="89" t="str">
        <f t="shared" si="47"/>
        <v/>
      </c>
      <c r="AQ157" s="89" t="str">
        <f t="shared" si="46"/>
        <v/>
      </c>
      <c r="AR157" s="315" t="str">
        <f t="shared" si="54"/>
        <v/>
      </c>
      <c r="AS157" s="305" t="str">
        <f t="shared" si="62"/>
        <v>0</v>
      </c>
      <c r="AT157" s="307">
        <f>Table22[[#This Row],[Column1]]</f>
        <v>0</v>
      </c>
    </row>
    <row r="158" spans="1:46" x14ac:dyDescent="0.3">
      <c r="A158" s="307" t="str">
        <f t="shared" si="56"/>
        <v>2.48</v>
      </c>
      <c r="B158" s="307" t="str">
        <f t="shared" si="44"/>
        <v>Beli</v>
      </c>
      <c r="C158" s="308">
        <v>2</v>
      </c>
      <c r="D158" s="309" t="s">
        <v>563</v>
      </c>
      <c r="E158" s="310" t="s">
        <v>239</v>
      </c>
      <c r="F158" s="310" t="s">
        <v>798</v>
      </c>
      <c r="G158" s="311" t="s">
        <v>799</v>
      </c>
      <c r="H158" s="310" t="s">
        <v>800</v>
      </c>
      <c r="I158" s="310">
        <v>16000</v>
      </c>
      <c r="J158" s="310">
        <v>3</v>
      </c>
      <c r="K158" s="312">
        <v>48000</v>
      </c>
      <c r="L158" s="310" t="s">
        <v>38</v>
      </c>
      <c r="M158" s="310">
        <v>48000</v>
      </c>
      <c r="N158" s="313" t="s">
        <v>563</v>
      </c>
      <c r="O158" s="314" t="s">
        <v>563</v>
      </c>
      <c r="P158" s="307">
        <f t="shared" si="48"/>
        <v>0</v>
      </c>
      <c r="R158" s="91" t="str">
        <f t="shared" si="45"/>
        <v>Mgg7</v>
      </c>
      <c r="S158" s="307" t="str">
        <f t="shared" si="49"/>
        <v>BKK.45aaaaaa</v>
      </c>
      <c r="T158" s="307" t="str">
        <f t="shared" si="50"/>
        <v>Serabut No Drop</v>
      </c>
      <c r="U158" s="315" t="str">
        <f t="shared" si="51"/>
        <v/>
      </c>
      <c r="V158" s="307" t="str">
        <f>N158</f>
        <v/>
      </c>
      <c r="W158" s="307" t="str">
        <f>IFERROR(IF(V158&gt;0,PROPER(Terbilang1(V158)&amp;" Rupiah"),0),"")</f>
        <v/>
      </c>
      <c r="X158" s="90">
        <f t="shared" si="58"/>
        <v>3</v>
      </c>
      <c r="Y158" s="307" t="str">
        <f t="shared" si="59"/>
        <v>Pak</v>
      </c>
      <c r="Z158" s="307">
        <f t="shared" si="52"/>
        <v>0</v>
      </c>
      <c r="AA158" s="366">
        <f t="shared" si="53"/>
        <v>0</v>
      </c>
      <c r="AB158" s="367">
        <f t="shared" si="60"/>
        <v>0</v>
      </c>
      <c r="AC158" s="305">
        <f t="shared" si="61"/>
        <v>0</v>
      </c>
      <c r="AP158" s="89" t="str">
        <f t="shared" si="47"/>
        <v/>
      </c>
      <c r="AQ158" s="89" t="str">
        <f t="shared" si="46"/>
        <v/>
      </c>
      <c r="AR158" s="315" t="str">
        <f t="shared" si="54"/>
        <v/>
      </c>
      <c r="AS158" s="305" t="str">
        <f t="shared" si="62"/>
        <v>0</v>
      </c>
      <c r="AT158" s="307">
        <f>Table22[[#This Row],[Column1]]</f>
        <v>0</v>
      </c>
    </row>
    <row r="159" spans="1:46" x14ac:dyDescent="0.3">
      <c r="A159" s="307" t="str">
        <f t="shared" si="56"/>
        <v>2.49</v>
      </c>
      <c r="B159" s="307" t="str">
        <f t="shared" si="44"/>
        <v>Beli</v>
      </c>
      <c r="C159" s="308">
        <v>2</v>
      </c>
      <c r="D159" s="309">
        <v>45947</v>
      </c>
      <c r="E159" s="310" t="s">
        <v>239</v>
      </c>
      <c r="F159" s="310" t="s">
        <v>801</v>
      </c>
      <c r="G159" s="311" t="s">
        <v>802</v>
      </c>
      <c r="H159" s="310" t="s">
        <v>803</v>
      </c>
      <c r="I159" s="310">
        <v>565000</v>
      </c>
      <c r="J159" s="310">
        <v>1</v>
      </c>
      <c r="K159" s="312">
        <v>565000</v>
      </c>
      <c r="L159" s="310" t="s">
        <v>38</v>
      </c>
      <c r="M159" s="310">
        <v>565000</v>
      </c>
      <c r="N159" s="313">
        <v>565000</v>
      </c>
      <c r="O159" s="314" t="s">
        <v>804</v>
      </c>
      <c r="P159" s="307" t="str">
        <f t="shared" si="48"/>
        <v>Mgg7</v>
      </c>
      <c r="R159" s="91" t="str">
        <f t="shared" si="45"/>
        <v>Mgg7</v>
      </c>
      <c r="S159" s="307" t="str">
        <f t="shared" si="49"/>
        <v>BKK.46</v>
      </c>
      <c r="T159" s="307" t="str">
        <f t="shared" si="50"/>
        <v>Cat Catylac Int Lime 45120</v>
      </c>
      <c r="U159" s="315">
        <f t="shared" si="51"/>
        <v>45947</v>
      </c>
      <c r="V159" s="307">
        <f t="shared" si="57"/>
        <v>565000</v>
      </c>
      <c r="W159" s="307" t="str">
        <f>IFERROR(IF(V159&gt;0,PROPER(Terbilang1(V159)&amp;" Rupiah"),0),"")</f>
        <v>Lima Ratus Enam Puluh Lima Ribu Rupiah</v>
      </c>
      <c r="X159" s="90">
        <f t="shared" si="58"/>
        <v>1</v>
      </c>
      <c r="Y159" s="307" t="str">
        <f t="shared" si="59"/>
        <v>Gln</v>
      </c>
      <c r="Z159" s="307">
        <f t="shared" si="52"/>
        <v>0</v>
      </c>
      <c r="AA159" s="366">
        <f t="shared" si="53"/>
        <v>0</v>
      </c>
      <c r="AB159" s="367">
        <f t="shared" si="60"/>
        <v>0</v>
      </c>
      <c r="AC159" s="305">
        <f t="shared" si="61"/>
        <v>0</v>
      </c>
      <c r="AP159" s="89">
        <f t="shared" si="47"/>
        <v>1</v>
      </c>
      <c r="AQ159" s="89" t="str">
        <f t="shared" si="46"/>
        <v/>
      </c>
      <c r="AR159" s="315" t="str">
        <f t="shared" si="54"/>
        <v/>
      </c>
      <c r="AS159" s="305" t="str">
        <f t="shared" si="62"/>
        <v>0</v>
      </c>
      <c r="AT159" s="307">
        <f>Table22[[#This Row],[Column1]]</f>
        <v>0</v>
      </c>
    </row>
    <row r="160" spans="1:46" x14ac:dyDescent="0.3">
      <c r="A160" s="307" t="str">
        <f t="shared" si="56"/>
        <v>2.50</v>
      </c>
      <c r="B160" s="307" t="str">
        <f t="shared" si="44"/>
        <v>Beli</v>
      </c>
      <c r="C160" s="308">
        <v>2</v>
      </c>
      <c r="D160" s="309">
        <v>45948</v>
      </c>
      <c r="E160" s="310" t="s">
        <v>239</v>
      </c>
      <c r="F160" s="310" t="s">
        <v>805</v>
      </c>
      <c r="G160" s="311" t="s">
        <v>806</v>
      </c>
      <c r="H160" s="310" t="s">
        <v>807</v>
      </c>
      <c r="I160" s="310">
        <v>1100000</v>
      </c>
      <c r="J160" s="310">
        <v>2</v>
      </c>
      <c r="K160" s="312">
        <v>2200000</v>
      </c>
      <c r="L160" s="310" t="s">
        <v>38</v>
      </c>
      <c r="M160" s="310">
        <v>2200000</v>
      </c>
      <c r="N160" s="313">
        <v>2200000</v>
      </c>
      <c r="O160" s="314" t="s">
        <v>808</v>
      </c>
      <c r="P160" s="307" t="str">
        <f t="shared" si="48"/>
        <v>Mgg7</v>
      </c>
      <c r="R160" s="91" t="str">
        <f t="shared" si="45"/>
        <v>Mgg7</v>
      </c>
      <c r="S160" s="307" t="str">
        <f t="shared" si="49"/>
        <v>BKK.47</v>
      </c>
      <c r="T160" s="307" t="str">
        <f t="shared" si="50"/>
        <v>Closet Duduk Komplit Volk</v>
      </c>
      <c r="U160" s="315">
        <f t="shared" si="51"/>
        <v>45948</v>
      </c>
      <c r="V160" s="307">
        <f t="shared" si="57"/>
        <v>2200000</v>
      </c>
      <c r="W160" s="307" t="str">
        <f>IFERROR(IF(V160&gt;0,PROPER(Terbilang1(V160)&amp;" Rupiah"),0),"")</f>
        <v>Dua Juta Dua Ratus Ribu Rupiah</v>
      </c>
      <c r="X160" s="90">
        <f t="shared" si="58"/>
        <v>2</v>
      </c>
      <c r="Y160" s="307" t="str">
        <f t="shared" si="59"/>
        <v>Unit</v>
      </c>
      <c r="Z160" s="307">
        <f t="shared" si="52"/>
        <v>242000</v>
      </c>
      <c r="AA160" s="366">
        <f t="shared" si="53"/>
        <v>242000</v>
      </c>
      <c r="AB160" s="367">
        <f t="shared" si="60"/>
        <v>0</v>
      </c>
      <c r="AC160" s="305" t="str">
        <f t="shared" si="61"/>
        <v>Bayar Pajak PPN (11 %) BKK.47</v>
      </c>
      <c r="AP160" s="89">
        <f t="shared" si="47"/>
        <v>1</v>
      </c>
      <c r="AQ160" s="89" t="str">
        <f t="shared" si="46"/>
        <v>10</v>
      </c>
      <c r="AR160" s="315">
        <f t="shared" si="54"/>
        <v>45948</v>
      </c>
      <c r="AS160" s="305" t="str">
        <f t="shared" si="62"/>
        <v>Bayar Pajak PPN</v>
      </c>
      <c r="AT160" s="307">
        <f>Table22[[#This Row],[Column1]]</f>
        <v>242000</v>
      </c>
    </row>
    <row r="161" spans="1:46" x14ac:dyDescent="0.3">
      <c r="A161" s="307" t="str">
        <f t="shared" si="56"/>
        <v>2.51</v>
      </c>
      <c r="B161" s="307" t="str">
        <f t="shared" si="44"/>
        <v>Bayar Ongkos</v>
      </c>
      <c r="C161" s="308">
        <v>2</v>
      </c>
      <c r="D161" s="309">
        <v>45948</v>
      </c>
      <c r="E161" s="310" t="s">
        <v>505</v>
      </c>
      <c r="F161" s="310" t="s">
        <v>505</v>
      </c>
      <c r="G161" s="311" t="s">
        <v>809</v>
      </c>
      <c r="H161" s="310">
        <v>0</v>
      </c>
      <c r="I161" s="310">
        <v>1</v>
      </c>
      <c r="J161" s="310">
        <v>1</v>
      </c>
      <c r="K161" s="312">
        <v>1</v>
      </c>
      <c r="L161" s="310" t="s">
        <v>35</v>
      </c>
      <c r="M161" s="310">
        <v>5110000</v>
      </c>
      <c r="N161" s="313">
        <v>5110000</v>
      </c>
      <c r="O161" s="314" t="s">
        <v>810</v>
      </c>
      <c r="P161" s="307" t="str">
        <f t="shared" si="48"/>
        <v>Gaj7</v>
      </c>
      <c r="R161" s="91" t="str">
        <f t="shared" si="45"/>
        <v>Gaj7</v>
      </c>
      <c r="S161" s="307" t="str">
        <f t="shared" si="49"/>
        <v>BKK.48</v>
      </c>
      <c r="T161" s="307" t="str">
        <f t="shared" si="50"/>
        <v>Pembayaran Pekerja Minggu Ke 7</v>
      </c>
      <c r="U161" s="315">
        <f t="shared" si="51"/>
        <v>45948</v>
      </c>
      <c r="V161" s="307">
        <f t="shared" si="57"/>
        <v>5110000</v>
      </c>
      <c r="W161" s="307" t="str">
        <f>IFERROR(IF(V161&gt;0,PROPER(Terbilang1(V161)&amp;" Rupiah"),0),"")</f>
        <v>Lima Juta Seratus Sepuluh Ribu Rupiah</v>
      </c>
      <c r="X161" s="90">
        <f t="shared" si="58"/>
        <v>1</v>
      </c>
      <c r="Y161" s="307">
        <f t="shared" si="59"/>
        <v>0</v>
      </c>
      <c r="Z161" s="307">
        <f t="shared" si="52"/>
        <v>33000</v>
      </c>
      <c r="AA161" s="366">
        <f t="shared" si="53"/>
        <v>0</v>
      </c>
      <c r="AB161" s="367">
        <f t="shared" si="60"/>
        <v>33000</v>
      </c>
      <c r="AC161" s="305" t="str">
        <f t="shared" si="61"/>
        <v>Bayar Pajak PPH (1,5 %) BKK.47</v>
      </c>
      <c r="AP161" s="89">
        <f t="shared" si="47"/>
        <v>1</v>
      </c>
      <c r="AQ161" s="89" t="str">
        <f t="shared" si="46"/>
        <v>10</v>
      </c>
      <c r="AR161" s="315">
        <f t="shared" si="54"/>
        <v>45948</v>
      </c>
      <c r="AS161" s="305" t="str">
        <f t="shared" si="62"/>
        <v>Bayar Pajak PPH</v>
      </c>
      <c r="AT161" s="307">
        <f>Table22[[#This Row],[Column1]]</f>
        <v>33000</v>
      </c>
    </row>
    <row r="162" spans="1:46" x14ac:dyDescent="0.3">
      <c r="A162" s="307" t="str">
        <f t="shared" si="56"/>
        <v>2.52</v>
      </c>
      <c r="B162" s="307" t="str">
        <f t="shared" si="44"/>
        <v>Beli</v>
      </c>
      <c r="C162" s="308">
        <v>2</v>
      </c>
      <c r="D162" s="309">
        <v>45950</v>
      </c>
      <c r="E162" s="310" t="s">
        <v>240</v>
      </c>
      <c r="F162" s="310" t="s">
        <v>811</v>
      </c>
      <c r="G162" s="311" t="s">
        <v>812</v>
      </c>
      <c r="H162" s="310" t="s">
        <v>628</v>
      </c>
      <c r="I162" s="310">
        <v>375000</v>
      </c>
      <c r="J162" s="310">
        <v>2</v>
      </c>
      <c r="K162" s="312">
        <v>750000</v>
      </c>
      <c r="L162" s="310" t="s">
        <v>38</v>
      </c>
      <c r="M162" s="310">
        <v>750000</v>
      </c>
      <c r="N162" s="313">
        <v>1550000</v>
      </c>
      <c r="O162" s="314" t="s">
        <v>813</v>
      </c>
      <c r="P162" s="307" t="str">
        <f t="shared" si="48"/>
        <v>Mgg8</v>
      </c>
      <c r="R162" s="91" t="str">
        <f t="shared" si="45"/>
        <v>Mgg8</v>
      </c>
      <c r="S162" s="307" t="str">
        <f t="shared" si="49"/>
        <v>BKK.49</v>
      </c>
      <c r="T162" s="307" t="str">
        <f t="shared" si="50"/>
        <v>Tiang Engsel Pintu Lipat 8cm Alumunium</v>
      </c>
      <c r="U162" s="315">
        <f t="shared" si="51"/>
        <v>45950</v>
      </c>
      <c r="V162" s="307">
        <f t="shared" si="57"/>
        <v>1550000</v>
      </c>
      <c r="W162" s="307" t="str">
        <f>IFERROR(IF(V162&gt;0,PROPER(Terbilang1(V162)&amp;" Rupiah"),0),"")</f>
        <v>Satu Juta Lima Ratus Lima Puluh Ribu Rupiah</v>
      </c>
      <c r="X162" s="90">
        <f t="shared" si="58"/>
        <v>2</v>
      </c>
      <c r="Y162" s="307" t="str">
        <f t="shared" si="59"/>
        <v>Ljr</v>
      </c>
      <c r="Z162" s="307">
        <f t="shared" si="52"/>
        <v>0</v>
      </c>
      <c r="AA162" s="366">
        <f t="shared" si="53"/>
        <v>0</v>
      </c>
      <c r="AB162" s="367">
        <f t="shared" si="60"/>
        <v>0</v>
      </c>
      <c r="AC162" s="305">
        <f t="shared" si="61"/>
        <v>0</v>
      </c>
      <c r="AP162" s="89">
        <f t="shared" si="47"/>
        <v>1</v>
      </c>
      <c r="AQ162" s="89" t="str">
        <f t="shared" si="46"/>
        <v/>
      </c>
      <c r="AR162" s="315" t="str">
        <f t="shared" ref="AR162:AR178" si="63">IF(VALUE(AT162)&gt;1,IF(LEN(AR161)&gt;1,AR161,D162),"")</f>
        <v/>
      </c>
      <c r="AS162" s="305" t="str">
        <f t="shared" si="62"/>
        <v>0</v>
      </c>
      <c r="AT162" s="307">
        <f>Table22[[#This Row],[Column1]]</f>
        <v>0</v>
      </c>
    </row>
    <row r="163" spans="1:46" x14ac:dyDescent="0.3">
      <c r="A163" s="307" t="str">
        <f t="shared" si="56"/>
        <v>2.53</v>
      </c>
      <c r="B163" s="307" t="str">
        <f t="shared" si="44"/>
        <v>Beli</v>
      </c>
      <c r="C163" s="308">
        <v>2</v>
      </c>
      <c r="D163" s="309" t="s">
        <v>563</v>
      </c>
      <c r="E163" s="310" t="s">
        <v>240</v>
      </c>
      <c r="F163" s="310" t="s">
        <v>814</v>
      </c>
      <c r="G163" s="311" t="s">
        <v>815</v>
      </c>
      <c r="H163" s="310" t="s">
        <v>628</v>
      </c>
      <c r="I163" s="310">
        <v>200000</v>
      </c>
      <c r="J163" s="310">
        <v>4</v>
      </c>
      <c r="K163" s="312">
        <v>800000</v>
      </c>
      <c r="L163" s="310" t="s">
        <v>38</v>
      </c>
      <c r="M163" s="310">
        <v>800000</v>
      </c>
      <c r="N163" s="313" t="s">
        <v>563</v>
      </c>
      <c r="O163" s="314" t="s">
        <v>563</v>
      </c>
      <c r="P163" s="307">
        <f t="shared" si="48"/>
        <v>0</v>
      </c>
      <c r="R163" s="91" t="str">
        <f t="shared" si="45"/>
        <v>Mgg8</v>
      </c>
      <c r="S163" s="307" t="str">
        <f t="shared" si="49"/>
        <v>BKK.49a</v>
      </c>
      <c r="T163" s="307" t="str">
        <f t="shared" si="50"/>
        <v>Alumunium Profil C 3"</v>
      </c>
      <c r="U163" s="315" t="str">
        <f t="shared" si="51"/>
        <v/>
      </c>
      <c r="V163" s="307" t="str">
        <f>N163</f>
        <v/>
      </c>
      <c r="W163" s="307" t="str">
        <f>IFERROR(IF(V163&gt;0,PROPER(Terbilang1(V163)&amp;" Rupiah"),0),"")</f>
        <v/>
      </c>
      <c r="X163" s="90">
        <f t="shared" si="58"/>
        <v>4</v>
      </c>
      <c r="Y163" s="307" t="str">
        <f t="shared" si="59"/>
        <v>Ljr</v>
      </c>
      <c r="Z163" s="307">
        <f t="shared" si="52"/>
        <v>0</v>
      </c>
      <c r="AA163" s="366">
        <f t="shared" si="53"/>
        <v>0</v>
      </c>
      <c r="AB163" s="367">
        <f t="shared" si="60"/>
        <v>0</v>
      </c>
      <c r="AC163" s="305">
        <f t="shared" si="61"/>
        <v>0</v>
      </c>
      <c r="AP163" s="89" t="str">
        <f t="shared" si="47"/>
        <v/>
      </c>
      <c r="AQ163" s="89" t="str">
        <f t="shared" si="46"/>
        <v/>
      </c>
      <c r="AR163" s="315" t="str">
        <f t="shared" si="63"/>
        <v/>
      </c>
      <c r="AS163" s="305" t="str">
        <f t="shared" si="62"/>
        <v>0</v>
      </c>
      <c r="AT163" s="307">
        <f>Table22[[#This Row],[Column1]]</f>
        <v>0</v>
      </c>
    </row>
    <row r="164" spans="1:46" x14ac:dyDescent="0.3">
      <c r="A164" s="307" t="str">
        <f t="shared" si="56"/>
        <v>2.54</v>
      </c>
      <c r="B164" s="307" t="str">
        <f t="shared" si="44"/>
        <v>Beli</v>
      </c>
      <c r="C164" s="308">
        <v>2</v>
      </c>
      <c r="D164" s="309">
        <v>45951</v>
      </c>
      <c r="E164" s="310" t="s">
        <v>240</v>
      </c>
      <c r="F164" s="310" t="s">
        <v>816</v>
      </c>
      <c r="G164" s="311" t="s">
        <v>817</v>
      </c>
      <c r="H164" s="310" t="s">
        <v>577</v>
      </c>
      <c r="I164" s="310">
        <v>30000</v>
      </c>
      <c r="J164" s="310">
        <v>1</v>
      </c>
      <c r="K164" s="312">
        <v>30000</v>
      </c>
      <c r="L164" s="310" t="s">
        <v>38</v>
      </c>
      <c r="M164" s="310">
        <v>30000</v>
      </c>
      <c r="N164" s="313">
        <v>1682000</v>
      </c>
      <c r="O164" s="314" t="s">
        <v>818</v>
      </c>
      <c r="P164" s="307" t="str">
        <f t="shared" si="48"/>
        <v>Mgg8</v>
      </c>
      <c r="R164" s="91" t="str">
        <f t="shared" si="45"/>
        <v>Mgg8</v>
      </c>
      <c r="S164" s="307" t="str">
        <f t="shared" si="49"/>
        <v>BKK.50</v>
      </c>
      <c r="T164" s="307" t="str">
        <f t="shared" si="50"/>
        <v>Stang Silent Plat</v>
      </c>
      <c r="U164" s="315">
        <f t="shared" si="51"/>
        <v>45951</v>
      </c>
      <c r="V164" s="307">
        <f t="shared" si="57"/>
        <v>1682000</v>
      </c>
      <c r="W164" s="307" t="str">
        <f>IFERROR(IF(V164&gt;0,PROPER(Terbilang1(V164)&amp;" Rupiah"),0),"")</f>
        <v>Satu Juta Enam Ratus Delapan Puluh Dua Ribu Rupiah</v>
      </c>
      <c r="X164" s="90">
        <f t="shared" si="58"/>
        <v>1</v>
      </c>
      <c r="Y164" s="307" t="str">
        <f t="shared" si="59"/>
        <v>Pcs</v>
      </c>
      <c r="Z164" s="307">
        <f t="shared" si="52"/>
        <v>0</v>
      </c>
      <c r="AA164" s="366">
        <f t="shared" si="53"/>
        <v>0</v>
      </c>
      <c r="AB164" s="367">
        <f t="shared" si="60"/>
        <v>0</v>
      </c>
      <c r="AC164" s="305">
        <f t="shared" si="61"/>
        <v>0</v>
      </c>
      <c r="AP164" s="89">
        <f t="shared" si="47"/>
        <v>1</v>
      </c>
      <c r="AQ164" s="89" t="str">
        <f t="shared" si="46"/>
        <v/>
      </c>
      <c r="AR164" s="315" t="str">
        <f t="shared" si="63"/>
        <v/>
      </c>
      <c r="AS164" s="305" t="str">
        <f t="shared" si="62"/>
        <v>0</v>
      </c>
      <c r="AT164" s="307">
        <f>Table22[[#This Row],[Column1]]</f>
        <v>0</v>
      </c>
    </row>
    <row r="165" spans="1:46" x14ac:dyDescent="0.3">
      <c r="A165" s="307" t="str">
        <f t="shared" si="56"/>
        <v>2.55</v>
      </c>
      <c r="B165" s="307" t="str">
        <f t="shared" ref="B165:B228" si="64">IF(LEFT(F165,2)="MA","Jasa",IF(LEFT(F165,1)="G","Bayar Ongkos",IF(LEFT(F165,1)="M","Beli",0)))</f>
        <v>Beli</v>
      </c>
      <c r="C165" s="308">
        <v>2</v>
      </c>
      <c r="D165" s="309" t="s">
        <v>563</v>
      </c>
      <c r="E165" s="310" t="s">
        <v>240</v>
      </c>
      <c r="F165" s="310" t="s">
        <v>819</v>
      </c>
      <c r="G165" s="311" t="s">
        <v>820</v>
      </c>
      <c r="H165" s="310" t="s">
        <v>628</v>
      </c>
      <c r="I165" s="310">
        <v>76000</v>
      </c>
      <c r="J165" s="310">
        <v>2</v>
      </c>
      <c r="K165" s="312">
        <v>152000</v>
      </c>
      <c r="L165" s="310" t="s">
        <v>38</v>
      </c>
      <c r="M165" s="310">
        <v>152000</v>
      </c>
      <c r="N165" s="313" t="s">
        <v>563</v>
      </c>
      <c r="O165" s="314" t="s">
        <v>563</v>
      </c>
      <c r="P165" s="307">
        <f t="shared" si="48"/>
        <v>0</v>
      </c>
      <c r="R165" s="91" t="str">
        <f t="shared" ref="R165:R228" si="65">IF(LEFT(F165,2)="ma",F165,IF(LEFT(F165,1)="m",E165,IF(LEFT(F165,1)="b",E165,IF(LEFT(F165,1)="G",F165,""))))</f>
        <v>Mgg8</v>
      </c>
      <c r="S165" s="307" t="str">
        <f t="shared" si="49"/>
        <v>BKK.50a</v>
      </c>
      <c r="T165" s="307" t="str">
        <f t="shared" si="50"/>
        <v>Spigot Indal</v>
      </c>
      <c r="U165" s="315" t="str">
        <f t="shared" si="51"/>
        <v/>
      </c>
      <c r="V165" s="307" t="str">
        <f t="shared" si="57"/>
        <v/>
      </c>
      <c r="W165" s="307" t="str">
        <f>IFERROR(IF(V165&gt;0,PROPER(Terbilang1(V165)&amp;" Rupiah"),0),"")</f>
        <v/>
      </c>
      <c r="X165" s="90">
        <f t="shared" si="58"/>
        <v>2</v>
      </c>
      <c r="Y165" s="307" t="str">
        <f t="shared" si="59"/>
        <v>Ljr</v>
      </c>
      <c r="Z165" s="307">
        <f t="shared" si="52"/>
        <v>0</v>
      </c>
      <c r="AA165" s="366">
        <f t="shared" si="53"/>
        <v>0</v>
      </c>
      <c r="AB165" s="367">
        <f t="shared" si="60"/>
        <v>0</v>
      </c>
      <c r="AC165" s="305">
        <f t="shared" si="61"/>
        <v>0</v>
      </c>
      <c r="AP165" s="89" t="str">
        <f t="shared" si="47"/>
        <v/>
      </c>
      <c r="AQ165" s="89" t="str">
        <f t="shared" si="46"/>
        <v/>
      </c>
      <c r="AR165" s="315" t="str">
        <f t="shared" si="63"/>
        <v/>
      </c>
      <c r="AS165" s="305" t="str">
        <f t="shared" si="62"/>
        <v>0</v>
      </c>
      <c r="AT165" s="307">
        <f>Table22[[#This Row],[Column1]]</f>
        <v>0</v>
      </c>
    </row>
    <row r="166" spans="1:46" x14ac:dyDescent="0.3">
      <c r="A166" s="307" t="str">
        <f t="shared" si="56"/>
        <v>2.56</v>
      </c>
      <c r="B166" s="307" t="str">
        <f t="shared" si="64"/>
        <v>Beli</v>
      </c>
      <c r="C166" s="308">
        <v>2</v>
      </c>
      <c r="D166" s="309" t="s">
        <v>563</v>
      </c>
      <c r="E166" s="310" t="s">
        <v>240</v>
      </c>
      <c r="F166" s="310" t="s">
        <v>811</v>
      </c>
      <c r="G166" s="311" t="s">
        <v>812</v>
      </c>
      <c r="H166" s="310" t="s">
        <v>628</v>
      </c>
      <c r="I166" s="310">
        <v>375000</v>
      </c>
      <c r="J166" s="310">
        <v>4</v>
      </c>
      <c r="K166" s="312">
        <v>1500000</v>
      </c>
      <c r="L166" s="310" t="s">
        <v>38</v>
      </c>
      <c r="M166" s="310">
        <v>1500000</v>
      </c>
      <c r="N166" s="313" t="s">
        <v>563</v>
      </c>
      <c r="O166" s="314" t="s">
        <v>563</v>
      </c>
      <c r="P166" s="307">
        <f t="shared" si="48"/>
        <v>0</v>
      </c>
      <c r="R166" s="91" t="str">
        <f t="shared" si="65"/>
        <v>Mgg8</v>
      </c>
      <c r="S166" s="307" t="str">
        <f t="shared" si="49"/>
        <v>BKK.50aa</v>
      </c>
      <c r="T166" s="307" t="str">
        <f t="shared" si="50"/>
        <v>Tiang Engsel Pintu Lipat 8cm Alumunium</v>
      </c>
      <c r="U166" s="315" t="str">
        <f t="shared" si="51"/>
        <v/>
      </c>
      <c r="V166" s="307" t="str">
        <f t="shared" si="57"/>
        <v/>
      </c>
      <c r="W166" s="307" t="str">
        <f>IFERROR(IF(V166&gt;0,PROPER(Terbilang1(V166)&amp;" Rupiah"),0),"")</f>
        <v/>
      </c>
      <c r="X166" s="90">
        <f t="shared" si="58"/>
        <v>4</v>
      </c>
      <c r="Y166" s="307" t="str">
        <f t="shared" si="59"/>
        <v>Ljr</v>
      </c>
      <c r="Z166" s="307">
        <f t="shared" si="52"/>
        <v>0</v>
      </c>
      <c r="AA166" s="366">
        <f t="shared" si="53"/>
        <v>0</v>
      </c>
      <c r="AB166" s="367">
        <f t="shared" si="60"/>
        <v>0</v>
      </c>
      <c r="AC166" s="305">
        <f t="shared" si="61"/>
        <v>0</v>
      </c>
      <c r="AP166" s="89" t="str">
        <f t="shared" si="47"/>
        <v/>
      </c>
      <c r="AQ166" s="89" t="str">
        <f t="shared" si="46"/>
        <v/>
      </c>
      <c r="AR166" s="315" t="str">
        <f t="shared" si="63"/>
        <v/>
      </c>
      <c r="AS166" s="305" t="str">
        <f t="shared" si="62"/>
        <v>0</v>
      </c>
      <c r="AT166" s="307">
        <f>Table22[[#This Row],[Column1]]</f>
        <v>0</v>
      </c>
    </row>
    <row r="167" spans="1:46" x14ac:dyDescent="0.3">
      <c r="A167" s="307" t="str">
        <f t="shared" si="56"/>
        <v>2.57</v>
      </c>
      <c r="B167" s="307" t="str">
        <f t="shared" si="64"/>
        <v>Beli</v>
      </c>
      <c r="C167" s="308">
        <v>2</v>
      </c>
      <c r="D167" s="309">
        <v>45952</v>
      </c>
      <c r="E167" s="310" t="s">
        <v>240</v>
      </c>
      <c r="F167" s="310" t="s">
        <v>814</v>
      </c>
      <c r="G167" s="311" t="s">
        <v>815</v>
      </c>
      <c r="H167" s="310" t="s">
        <v>628</v>
      </c>
      <c r="I167" s="310">
        <v>200000</v>
      </c>
      <c r="J167" s="310">
        <v>2</v>
      </c>
      <c r="K167" s="312">
        <v>400000</v>
      </c>
      <c r="L167" s="310" t="s">
        <v>38</v>
      </c>
      <c r="M167" s="310">
        <v>400000</v>
      </c>
      <c r="N167" s="313">
        <v>1680000</v>
      </c>
      <c r="O167" s="314" t="s">
        <v>821</v>
      </c>
      <c r="P167" s="307" t="str">
        <f t="shared" si="48"/>
        <v>Mgg8</v>
      </c>
      <c r="R167" s="91" t="str">
        <f t="shared" si="65"/>
        <v>Mgg8</v>
      </c>
      <c r="S167" s="307" t="str">
        <f t="shared" si="49"/>
        <v>BKK.51</v>
      </c>
      <c r="T167" s="307" t="str">
        <f t="shared" si="50"/>
        <v>Alumunium Profil C 3"</v>
      </c>
      <c r="U167" s="315">
        <f t="shared" si="51"/>
        <v>45952</v>
      </c>
      <c r="V167" s="307">
        <f>N167</f>
        <v>1680000</v>
      </c>
      <c r="W167" s="307" t="str">
        <f>IFERROR(IF(V167&gt;0,PROPER(Terbilang1(V167)&amp;" Rupiah"),0),"")</f>
        <v>Satu Juta Enam Ratus Delapan Puluh Ribu Rupiah</v>
      </c>
      <c r="X167" s="90">
        <f t="shared" si="58"/>
        <v>2</v>
      </c>
      <c r="Y167" s="307" t="str">
        <f t="shared" si="59"/>
        <v>Ljr</v>
      </c>
      <c r="Z167" s="307">
        <f t="shared" si="52"/>
        <v>0</v>
      </c>
      <c r="AA167" s="366">
        <f t="shared" si="53"/>
        <v>0</v>
      </c>
      <c r="AB167" s="367">
        <f t="shared" si="60"/>
        <v>0</v>
      </c>
      <c r="AC167" s="305">
        <f t="shared" si="61"/>
        <v>0</v>
      </c>
      <c r="AP167" s="89">
        <f t="shared" si="47"/>
        <v>1</v>
      </c>
      <c r="AQ167" s="89" t="str">
        <f t="shared" si="46"/>
        <v/>
      </c>
      <c r="AR167" s="315" t="str">
        <f t="shared" si="63"/>
        <v/>
      </c>
      <c r="AS167" s="305" t="str">
        <f t="shared" si="62"/>
        <v>0</v>
      </c>
      <c r="AT167" s="307">
        <f>Table22[[#This Row],[Column1]]</f>
        <v>0</v>
      </c>
    </row>
    <row r="168" spans="1:46" x14ac:dyDescent="0.3">
      <c r="A168" s="307" t="str">
        <f t="shared" si="56"/>
        <v>2.58</v>
      </c>
      <c r="B168" s="307" t="str">
        <f t="shared" si="64"/>
        <v>Beli</v>
      </c>
      <c r="C168" s="308">
        <v>2</v>
      </c>
      <c r="D168" s="309" t="s">
        <v>563</v>
      </c>
      <c r="E168" s="310" t="s">
        <v>240</v>
      </c>
      <c r="F168" s="310" t="s">
        <v>822</v>
      </c>
      <c r="G168" s="311" t="s">
        <v>823</v>
      </c>
      <c r="H168" s="310" t="s">
        <v>566</v>
      </c>
      <c r="I168" s="310">
        <v>250000</v>
      </c>
      <c r="J168" s="310">
        <v>4</v>
      </c>
      <c r="K168" s="312">
        <v>1000000</v>
      </c>
      <c r="L168" s="310" t="s">
        <v>38</v>
      </c>
      <c r="M168" s="310">
        <v>1000000</v>
      </c>
      <c r="N168" s="313" t="s">
        <v>563</v>
      </c>
      <c r="O168" s="314" t="s">
        <v>563</v>
      </c>
      <c r="P168" s="307">
        <f t="shared" si="48"/>
        <v>0</v>
      </c>
      <c r="R168" s="91" t="str">
        <f t="shared" si="65"/>
        <v>Mgg8</v>
      </c>
      <c r="S168" s="307" t="str">
        <f t="shared" si="49"/>
        <v>BKK.51a</v>
      </c>
      <c r="T168" s="307" t="str">
        <f t="shared" si="50"/>
        <v>ACP motif</v>
      </c>
      <c r="U168" s="315" t="str">
        <f t="shared" si="51"/>
        <v/>
      </c>
      <c r="V168" s="307" t="str">
        <f>N168</f>
        <v/>
      </c>
      <c r="W168" s="307" t="str">
        <f>IFERROR(IF(V168&gt;0,PROPER(Terbilang1(V168)&amp;" Rupiah"),0),"")</f>
        <v/>
      </c>
      <c r="X168" s="90">
        <f t="shared" si="58"/>
        <v>4</v>
      </c>
      <c r="Y168" s="307" t="str">
        <f t="shared" si="59"/>
        <v>Lbr</v>
      </c>
      <c r="Z168" s="307">
        <f t="shared" si="52"/>
        <v>0</v>
      </c>
      <c r="AA168" s="366">
        <f t="shared" si="53"/>
        <v>0</v>
      </c>
      <c r="AB168" s="367">
        <f t="shared" si="60"/>
        <v>0</v>
      </c>
      <c r="AC168" s="305">
        <f t="shared" si="61"/>
        <v>0</v>
      </c>
      <c r="AP168" s="89" t="str">
        <f t="shared" si="47"/>
        <v/>
      </c>
      <c r="AQ168" s="89" t="str">
        <f t="shared" ref="AQ168:AQ231" si="66">TEXT(AR168,"MM")</f>
        <v/>
      </c>
      <c r="AR168" s="315" t="str">
        <f t="shared" si="63"/>
        <v/>
      </c>
      <c r="AS168" s="305" t="str">
        <f t="shared" si="62"/>
        <v>0</v>
      </c>
      <c r="AT168" s="307">
        <f>Table22[[#This Row],[Column1]]</f>
        <v>0</v>
      </c>
    </row>
    <row r="169" spans="1:46" x14ac:dyDescent="0.3">
      <c r="A169" s="307" t="str">
        <f t="shared" si="56"/>
        <v>2.59</v>
      </c>
      <c r="B169" s="307" t="str">
        <f t="shared" si="64"/>
        <v>Beli</v>
      </c>
      <c r="C169" s="308">
        <v>2</v>
      </c>
      <c r="D169" s="309" t="s">
        <v>563</v>
      </c>
      <c r="E169" s="310" t="s">
        <v>240</v>
      </c>
      <c r="F169" s="310" t="s">
        <v>824</v>
      </c>
      <c r="G169" s="311" t="s">
        <v>825</v>
      </c>
      <c r="H169" s="310" t="s">
        <v>628</v>
      </c>
      <c r="I169" s="310">
        <v>70000</v>
      </c>
      <c r="J169" s="310">
        <v>4</v>
      </c>
      <c r="K169" s="312">
        <v>280000</v>
      </c>
      <c r="L169" s="310" t="s">
        <v>38</v>
      </c>
      <c r="M169" s="310">
        <v>280000</v>
      </c>
      <c r="N169" s="313" t="s">
        <v>563</v>
      </c>
      <c r="O169" s="314" t="s">
        <v>563</v>
      </c>
      <c r="P169" s="307">
        <f t="shared" si="48"/>
        <v>0</v>
      </c>
      <c r="R169" s="91" t="str">
        <f t="shared" si="65"/>
        <v>Mgg8</v>
      </c>
      <c r="S169" s="307" t="str">
        <f t="shared" si="49"/>
        <v>BKK.51aa</v>
      </c>
      <c r="T169" s="307" t="str">
        <f t="shared" si="50"/>
        <v>Hollow Kadalan</v>
      </c>
      <c r="U169" s="315" t="str">
        <f t="shared" si="51"/>
        <v/>
      </c>
      <c r="V169" s="307" t="str">
        <f t="shared" si="57"/>
        <v/>
      </c>
      <c r="W169" s="307" t="str">
        <f>IFERROR(IF(V169&gt;0,PROPER(Terbilang1(V169)&amp;" Rupiah"),0),"")</f>
        <v/>
      </c>
      <c r="X169" s="90">
        <f t="shared" si="58"/>
        <v>4</v>
      </c>
      <c r="Y169" s="307" t="str">
        <f t="shared" si="59"/>
        <v>Ljr</v>
      </c>
      <c r="Z169" s="307">
        <f t="shared" si="52"/>
        <v>0</v>
      </c>
      <c r="AA169" s="366">
        <f t="shared" si="53"/>
        <v>0</v>
      </c>
      <c r="AB169" s="367">
        <f t="shared" si="60"/>
        <v>0</v>
      </c>
      <c r="AC169" s="305">
        <f t="shared" si="61"/>
        <v>0</v>
      </c>
      <c r="AP169" s="89" t="str">
        <f t="shared" si="47"/>
        <v/>
      </c>
      <c r="AQ169" s="89" t="str">
        <f t="shared" si="66"/>
        <v/>
      </c>
      <c r="AR169" s="315" t="str">
        <f t="shared" si="63"/>
        <v/>
      </c>
      <c r="AS169" s="305" t="str">
        <f t="shared" si="62"/>
        <v>0</v>
      </c>
      <c r="AT169" s="307">
        <f>Table22[[#This Row],[Column1]]</f>
        <v>0</v>
      </c>
    </row>
    <row r="170" spans="1:46" x14ac:dyDescent="0.3">
      <c r="A170" s="307" t="str">
        <f t="shared" si="56"/>
        <v>2.60</v>
      </c>
      <c r="B170" s="307" t="str">
        <f t="shared" si="64"/>
        <v>Beli</v>
      </c>
      <c r="C170" s="308">
        <v>2</v>
      </c>
      <c r="D170" s="309">
        <v>45953</v>
      </c>
      <c r="E170" s="310" t="s">
        <v>240</v>
      </c>
      <c r="F170" s="310" t="s">
        <v>801</v>
      </c>
      <c r="G170" s="311" t="s">
        <v>802</v>
      </c>
      <c r="H170" s="310" t="s">
        <v>803</v>
      </c>
      <c r="I170" s="310">
        <v>565000</v>
      </c>
      <c r="J170" s="310">
        <v>1</v>
      </c>
      <c r="K170" s="312">
        <v>565000</v>
      </c>
      <c r="L170" s="310" t="s">
        <v>38</v>
      </c>
      <c r="M170" s="310">
        <v>565000</v>
      </c>
      <c r="N170" s="313">
        <v>1326000</v>
      </c>
      <c r="O170" s="314" t="s">
        <v>826</v>
      </c>
      <c r="P170" s="307" t="str">
        <f t="shared" si="48"/>
        <v>Mgg8</v>
      </c>
      <c r="R170" s="91" t="str">
        <f t="shared" si="65"/>
        <v>Mgg8</v>
      </c>
      <c r="S170" s="307" t="str">
        <f t="shared" si="49"/>
        <v>BKK.52</v>
      </c>
      <c r="T170" s="307" t="str">
        <f t="shared" si="50"/>
        <v>Cat Catylac Int Lime 45120</v>
      </c>
      <c r="U170" s="315">
        <f t="shared" si="51"/>
        <v>45953</v>
      </c>
      <c r="V170" s="307">
        <f t="shared" si="57"/>
        <v>1326000</v>
      </c>
      <c r="W170" s="307" t="str">
        <f>IFERROR(IF(V170&gt;0,PROPER(Terbilang1(V170)&amp;" Rupiah"),0),"")</f>
        <v>Satu Juta Tiga Ratus Dua Puluh Enam Ribu Rupiah</v>
      </c>
      <c r="X170" s="90">
        <f t="shared" si="58"/>
        <v>1</v>
      </c>
      <c r="Y170" s="307" t="str">
        <f t="shared" si="59"/>
        <v>Gln</v>
      </c>
      <c r="Z170" s="307">
        <f t="shared" si="52"/>
        <v>0</v>
      </c>
      <c r="AA170" s="366">
        <f t="shared" si="53"/>
        <v>0</v>
      </c>
      <c r="AB170" s="367">
        <f t="shared" si="60"/>
        <v>0</v>
      </c>
      <c r="AC170" s="305">
        <f t="shared" si="61"/>
        <v>0</v>
      </c>
      <c r="AP170" s="89">
        <f t="shared" si="47"/>
        <v>1</v>
      </c>
      <c r="AQ170" s="89" t="str">
        <f t="shared" si="66"/>
        <v/>
      </c>
      <c r="AR170" s="315" t="str">
        <f t="shared" si="63"/>
        <v/>
      </c>
      <c r="AS170" s="305" t="str">
        <f t="shared" si="62"/>
        <v>0</v>
      </c>
      <c r="AT170" s="307">
        <f>Table22[[#This Row],[Column1]]</f>
        <v>0</v>
      </c>
    </row>
    <row r="171" spans="1:46" x14ac:dyDescent="0.3">
      <c r="A171" s="307" t="str">
        <f t="shared" si="56"/>
        <v>2.61</v>
      </c>
      <c r="B171" s="307" t="str">
        <f t="shared" si="64"/>
        <v>Beli</v>
      </c>
      <c r="C171" s="308">
        <v>2</v>
      </c>
      <c r="D171" s="309" t="s">
        <v>563</v>
      </c>
      <c r="E171" s="310" t="s">
        <v>240</v>
      </c>
      <c r="F171" s="310" t="s">
        <v>827</v>
      </c>
      <c r="G171" s="311" t="s">
        <v>828</v>
      </c>
      <c r="H171" s="310" t="s">
        <v>829</v>
      </c>
      <c r="I171" s="310">
        <v>60000</v>
      </c>
      <c r="J171" s="310">
        <v>5</v>
      </c>
      <c r="K171" s="312">
        <v>300000</v>
      </c>
      <c r="L171" s="310" t="s">
        <v>38</v>
      </c>
      <c r="M171" s="310">
        <v>300000</v>
      </c>
      <c r="N171" s="313" t="s">
        <v>563</v>
      </c>
      <c r="O171" s="314" t="s">
        <v>563</v>
      </c>
      <c r="P171" s="307">
        <f t="shared" si="48"/>
        <v>0</v>
      </c>
      <c r="R171" s="91" t="str">
        <f t="shared" si="65"/>
        <v>Mgg8</v>
      </c>
      <c r="S171" s="307" t="str">
        <f t="shared" si="49"/>
        <v>BKK.52a</v>
      </c>
      <c r="T171" s="307" t="str">
        <f t="shared" si="50"/>
        <v>Handle Kotak Natural</v>
      </c>
      <c r="U171" s="315" t="str">
        <f t="shared" si="51"/>
        <v/>
      </c>
      <c r="V171" s="307" t="str">
        <f>N171</f>
        <v/>
      </c>
      <c r="W171" s="307" t="str">
        <f>IFERROR(IF(V171&gt;0,PROPER(Terbilang1(V171)&amp;" Rupiah"),0),"")</f>
        <v/>
      </c>
      <c r="X171" s="90">
        <f t="shared" si="58"/>
        <v>5</v>
      </c>
      <c r="Y171" s="307" t="str">
        <f t="shared" si="59"/>
        <v>Set</v>
      </c>
      <c r="Z171" s="307">
        <f t="shared" si="52"/>
        <v>0</v>
      </c>
      <c r="AA171" s="366">
        <f t="shared" si="53"/>
        <v>0</v>
      </c>
      <c r="AB171" s="367">
        <f t="shared" si="60"/>
        <v>0</v>
      </c>
      <c r="AC171" s="305">
        <f t="shared" si="61"/>
        <v>0</v>
      </c>
      <c r="AP171" s="89" t="str">
        <f t="shared" si="47"/>
        <v/>
      </c>
      <c r="AQ171" s="89" t="str">
        <f t="shared" si="66"/>
        <v/>
      </c>
      <c r="AR171" s="315" t="str">
        <f t="shared" si="63"/>
        <v/>
      </c>
      <c r="AS171" s="305" t="str">
        <f t="shared" si="62"/>
        <v>0</v>
      </c>
      <c r="AT171" s="307">
        <f>Table22[[#This Row],[Column1]]</f>
        <v>0</v>
      </c>
    </row>
    <row r="172" spans="1:46" x14ac:dyDescent="0.3">
      <c r="A172" s="307" t="str">
        <f t="shared" si="56"/>
        <v>2.62</v>
      </c>
      <c r="B172" s="307" t="str">
        <f t="shared" si="64"/>
        <v>Beli</v>
      </c>
      <c r="C172" s="308">
        <v>2</v>
      </c>
      <c r="D172" s="309" t="s">
        <v>563</v>
      </c>
      <c r="E172" s="310" t="s">
        <v>240</v>
      </c>
      <c r="F172" s="310" t="s">
        <v>830</v>
      </c>
      <c r="G172" s="311" t="s">
        <v>831</v>
      </c>
      <c r="H172" s="310" t="s">
        <v>829</v>
      </c>
      <c r="I172" s="310">
        <v>20000</v>
      </c>
      <c r="J172" s="310">
        <v>5</v>
      </c>
      <c r="K172" s="312">
        <v>100000</v>
      </c>
      <c r="L172" s="310" t="s">
        <v>38</v>
      </c>
      <c r="M172" s="310">
        <v>100000</v>
      </c>
      <c r="N172" s="313" t="s">
        <v>563</v>
      </c>
      <c r="O172" s="314" t="s">
        <v>563</v>
      </c>
      <c r="P172" s="307">
        <f t="shared" si="48"/>
        <v>0</v>
      </c>
      <c r="R172" s="91" t="str">
        <f t="shared" si="65"/>
        <v>Mgg8</v>
      </c>
      <c r="S172" s="307" t="str">
        <f t="shared" si="49"/>
        <v>BKK.52aa</v>
      </c>
      <c r="T172" s="307" t="str">
        <f t="shared" si="50"/>
        <v>Engsel Tebal  4"</v>
      </c>
      <c r="U172" s="315" t="str">
        <f t="shared" si="51"/>
        <v/>
      </c>
      <c r="V172" s="307" t="str">
        <f>N172</f>
        <v/>
      </c>
      <c r="W172" s="307" t="str">
        <f>IFERROR(IF(V172&gt;0,PROPER(Terbilang1(V172)&amp;" Rupiah"),0),"")</f>
        <v/>
      </c>
      <c r="X172" s="90">
        <f t="shared" si="58"/>
        <v>5</v>
      </c>
      <c r="Y172" s="307" t="str">
        <f t="shared" si="59"/>
        <v>Set</v>
      </c>
      <c r="Z172" s="307">
        <f t="shared" si="52"/>
        <v>0</v>
      </c>
      <c r="AA172" s="366">
        <f t="shared" si="53"/>
        <v>0</v>
      </c>
      <c r="AB172" s="367">
        <f t="shared" si="60"/>
        <v>0</v>
      </c>
      <c r="AC172" s="305">
        <f t="shared" si="61"/>
        <v>0</v>
      </c>
      <c r="AP172" s="89" t="str">
        <f t="shared" si="47"/>
        <v/>
      </c>
      <c r="AQ172" s="89" t="str">
        <f t="shared" si="66"/>
        <v/>
      </c>
      <c r="AR172" s="315" t="str">
        <f t="shared" si="63"/>
        <v/>
      </c>
      <c r="AS172" s="305" t="str">
        <f t="shared" si="62"/>
        <v>0</v>
      </c>
      <c r="AT172" s="307">
        <f>Table22[[#This Row],[Column1]]</f>
        <v>0</v>
      </c>
    </row>
    <row r="173" spans="1:46" x14ac:dyDescent="0.3">
      <c r="A173" s="307" t="str">
        <f t="shared" si="56"/>
        <v>2.63</v>
      </c>
      <c r="B173" s="307" t="str">
        <f t="shared" si="64"/>
        <v>Beli</v>
      </c>
      <c r="C173" s="308">
        <v>2</v>
      </c>
      <c r="D173" s="309" t="s">
        <v>563</v>
      </c>
      <c r="E173" s="310" t="s">
        <v>240</v>
      </c>
      <c r="F173" s="310" t="s">
        <v>832</v>
      </c>
      <c r="G173" s="311" t="s">
        <v>833</v>
      </c>
      <c r="H173" s="310" t="s">
        <v>800</v>
      </c>
      <c r="I173" s="310">
        <v>11000</v>
      </c>
      <c r="J173" s="310">
        <v>1</v>
      </c>
      <c r="K173" s="312">
        <v>11000</v>
      </c>
      <c r="L173" s="310" t="s">
        <v>38</v>
      </c>
      <c r="M173" s="310">
        <v>11000</v>
      </c>
      <c r="N173" s="313" t="s">
        <v>563</v>
      </c>
      <c r="O173" s="314" t="s">
        <v>563</v>
      </c>
      <c r="P173" s="307">
        <f t="shared" si="48"/>
        <v>0</v>
      </c>
      <c r="R173" s="91" t="str">
        <f t="shared" si="65"/>
        <v>Mgg8</v>
      </c>
      <c r="S173" s="307" t="str">
        <f t="shared" si="49"/>
        <v>BKK.52aaa</v>
      </c>
      <c r="T173" s="307" t="str">
        <f t="shared" si="50"/>
        <v>Fisher S10</v>
      </c>
      <c r="U173" s="315" t="str">
        <f t="shared" si="51"/>
        <v/>
      </c>
      <c r="V173" s="307" t="str">
        <f>N173</f>
        <v/>
      </c>
      <c r="W173" s="307" t="str">
        <f>IFERROR(IF(V173&gt;0,PROPER(Terbilang1(V173)&amp;" Rupiah"),0),"")</f>
        <v/>
      </c>
      <c r="X173" s="90">
        <f t="shared" si="58"/>
        <v>1</v>
      </c>
      <c r="Y173" s="307" t="str">
        <f t="shared" si="59"/>
        <v>Pak</v>
      </c>
      <c r="Z173" s="307">
        <f t="shared" si="52"/>
        <v>0</v>
      </c>
      <c r="AA173" s="366">
        <f t="shared" si="53"/>
        <v>0</v>
      </c>
      <c r="AB173" s="367">
        <f t="shared" si="60"/>
        <v>0</v>
      </c>
      <c r="AC173" s="305">
        <f t="shared" si="61"/>
        <v>0</v>
      </c>
      <c r="AP173" s="89" t="str">
        <f t="shared" si="47"/>
        <v/>
      </c>
      <c r="AQ173" s="89" t="str">
        <f t="shared" si="66"/>
        <v/>
      </c>
      <c r="AR173" s="315" t="str">
        <f t="shared" si="63"/>
        <v/>
      </c>
      <c r="AS173" s="305" t="str">
        <f t="shared" si="62"/>
        <v>0</v>
      </c>
      <c r="AT173" s="307">
        <f>Table22[[#This Row],[Column1]]</f>
        <v>0</v>
      </c>
    </row>
    <row r="174" spans="1:46" x14ac:dyDescent="0.3">
      <c r="A174" s="307" t="str">
        <f t="shared" si="56"/>
        <v>2.64</v>
      </c>
      <c r="B174" s="307" t="str">
        <f t="shared" si="64"/>
        <v>Beli</v>
      </c>
      <c r="C174" s="308">
        <v>2</v>
      </c>
      <c r="D174" s="309" t="s">
        <v>563</v>
      </c>
      <c r="E174" s="310" t="s">
        <v>240</v>
      </c>
      <c r="F174" s="310" t="s">
        <v>834</v>
      </c>
      <c r="G174" s="311" t="s">
        <v>835</v>
      </c>
      <c r="H174" s="310" t="s">
        <v>577</v>
      </c>
      <c r="I174" s="310">
        <v>35000</v>
      </c>
      <c r="J174" s="310">
        <v>10</v>
      </c>
      <c r="K174" s="312">
        <v>350000</v>
      </c>
      <c r="L174" s="310" t="s">
        <v>38</v>
      </c>
      <c r="M174" s="310">
        <v>350000</v>
      </c>
      <c r="N174" s="313" t="s">
        <v>563</v>
      </c>
      <c r="O174" s="314" t="s">
        <v>563</v>
      </c>
      <c r="P174" s="307">
        <f t="shared" si="48"/>
        <v>0</v>
      </c>
      <c r="R174" s="91" t="str">
        <f t="shared" si="65"/>
        <v>Mgg8</v>
      </c>
      <c r="S174" s="307" t="str">
        <f t="shared" si="49"/>
        <v>BKK.52aaaa</v>
      </c>
      <c r="T174" s="307" t="str">
        <f t="shared" si="50"/>
        <v>Silen Clear Netral</v>
      </c>
      <c r="U174" s="315" t="str">
        <f t="shared" si="51"/>
        <v/>
      </c>
      <c r="V174" s="307" t="str">
        <f t="shared" si="57"/>
        <v/>
      </c>
      <c r="W174" s="307" t="str">
        <f>IFERROR(IF(V174&gt;0,PROPER(Terbilang1(V174)&amp;" Rupiah"),0),"")</f>
        <v/>
      </c>
      <c r="X174" s="90">
        <f t="shared" si="58"/>
        <v>10</v>
      </c>
      <c r="Y174" s="307" t="str">
        <f t="shared" si="59"/>
        <v>Pcs</v>
      </c>
      <c r="Z174" s="307">
        <f t="shared" si="52"/>
        <v>0</v>
      </c>
      <c r="AA174" s="366">
        <f t="shared" si="53"/>
        <v>0</v>
      </c>
      <c r="AB174" s="367">
        <f t="shared" si="60"/>
        <v>0</v>
      </c>
      <c r="AC174" s="305">
        <f t="shared" si="61"/>
        <v>0</v>
      </c>
      <c r="AP174" s="89" t="str">
        <f t="shared" si="47"/>
        <v/>
      </c>
      <c r="AQ174" s="89" t="str">
        <f t="shared" si="66"/>
        <v/>
      </c>
      <c r="AR174" s="315" t="str">
        <f t="shared" si="63"/>
        <v/>
      </c>
      <c r="AS174" s="305" t="str">
        <f t="shared" si="62"/>
        <v>0</v>
      </c>
      <c r="AT174" s="307">
        <f>Table22[[#This Row],[Column1]]</f>
        <v>0</v>
      </c>
    </row>
    <row r="175" spans="1:46" x14ac:dyDescent="0.3">
      <c r="A175" s="307" t="str">
        <f t="shared" si="56"/>
        <v>2.65</v>
      </c>
      <c r="B175" s="307" t="str">
        <f t="shared" si="64"/>
        <v>Beli</v>
      </c>
      <c r="C175" s="308">
        <v>2</v>
      </c>
      <c r="D175" s="309">
        <v>45954</v>
      </c>
      <c r="E175" s="310" t="s">
        <v>240</v>
      </c>
      <c r="F175" s="310" t="s">
        <v>836</v>
      </c>
      <c r="G175" s="311" t="s">
        <v>837</v>
      </c>
      <c r="H175" s="310" t="s">
        <v>807</v>
      </c>
      <c r="I175" s="310">
        <v>750000</v>
      </c>
      <c r="J175" s="310">
        <v>2</v>
      </c>
      <c r="K175" s="312">
        <v>1500000</v>
      </c>
      <c r="L175" s="310" t="s">
        <v>38</v>
      </c>
      <c r="M175" s="310">
        <v>1500000</v>
      </c>
      <c r="N175" s="313">
        <v>2070000</v>
      </c>
      <c r="O175" s="314" t="s">
        <v>838</v>
      </c>
      <c r="P175" s="307" t="str">
        <f t="shared" si="48"/>
        <v>Mgg8</v>
      </c>
      <c r="R175" s="91" t="str">
        <f t="shared" si="65"/>
        <v>Mgg8</v>
      </c>
      <c r="S175" s="307" t="str">
        <f t="shared" si="49"/>
        <v>BKK.53</v>
      </c>
      <c r="T175" s="307" t="str">
        <f t="shared" si="50"/>
        <v>Urinoir Komplit Volk</v>
      </c>
      <c r="U175" s="315">
        <f t="shared" si="51"/>
        <v>45954</v>
      </c>
      <c r="V175" s="307">
        <f t="shared" si="57"/>
        <v>2070000</v>
      </c>
      <c r="W175" s="307" t="str">
        <f>IFERROR(IF(V175&gt;0,PROPER(Terbilang1(V175)&amp;" Rupiah"),0),"")</f>
        <v>Dua Juta Tujuh Puluh Ribu Rupiah</v>
      </c>
      <c r="X175" s="90">
        <f t="shared" si="58"/>
        <v>2</v>
      </c>
      <c r="Y175" s="307" t="str">
        <f t="shared" si="59"/>
        <v>Unit</v>
      </c>
      <c r="Z175" s="307">
        <f t="shared" si="52"/>
        <v>227700</v>
      </c>
      <c r="AA175" s="366">
        <f t="shared" si="53"/>
        <v>227700</v>
      </c>
      <c r="AB175" s="367">
        <f t="shared" si="60"/>
        <v>0</v>
      </c>
      <c r="AC175" s="305" t="str">
        <f t="shared" si="61"/>
        <v>Bayar Pajak PPN (11 %) BKK.53</v>
      </c>
      <c r="AP175" s="89">
        <f t="shared" si="47"/>
        <v>1</v>
      </c>
      <c r="AQ175" s="89" t="str">
        <f t="shared" si="66"/>
        <v>10</v>
      </c>
      <c r="AR175" s="315">
        <f t="shared" si="63"/>
        <v>45954</v>
      </c>
      <c r="AS175" s="305" t="str">
        <f t="shared" si="62"/>
        <v>Bayar Pajak PPN</v>
      </c>
      <c r="AT175" s="307">
        <f>Table22[[#This Row],[Column1]]</f>
        <v>227700</v>
      </c>
    </row>
    <row r="176" spans="1:46" x14ac:dyDescent="0.3">
      <c r="A176" s="307" t="str">
        <f t="shared" si="56"/>
        <v>2.66</v>
      </c>
      <c r="B176" s="307" t="str">
        <f t="shared" si="64"/>
        <v>Beli</v>
      </c>
      <c r="C176" s="308">
        <v>2</v>
      </c>
      <c r="D176" s="309" t="s">
        <v>563</v>
      </c>
      <c r="E176" s="310" t="s">
        <v>240</v>
      </c>
      <c r="F176" s="310" t="s">
        <v>839</v>
      </c>
      <c r="G176" s="311" t="s">
        <v>840</v>
      </c>
      <c r="H176" s="310" t="s">
        <v>807</v>
      </c>
      <c r="I176" s="310">
        <v>570000</v>
      </c>
      <c r="J176" s="310">
        <v>1</v>
      </c>
      <c r="K176" s="312">
        <v>570000</v>
      </c>
      <c r="L176" s="310" t="s">
        <v>38</v>
      </c>
      <c r="M176" s="310">
        <v>570000</v>
      </c>
      <c r="N176" s="313" t="s">
        <v>563</v>
      </c>
      <c r="O176" s="314" t="s">
        <v>563</v>
      </c>
      <c r="P176" s="307">
        <f t="shared" si="48"/>
        <v>0</v>
      </c>
      <c r="R176" s="91" t="str">
        <f t="shared" si="65"/>
        <v>Mgg8</v>
      </c>
      <c r="S176" s="307" t="str">
        <f t="shared" si="49"/>
        <v>BKK.53a</v>
      </c>
      <c r="T176" s="307" t="str">
        <f t="shared" si="50"/>
        <v>Tandon Air Penyu 320L Biru</v>
      </c>
      <c r="U176" s="315" t="str">
        <f t="shared" si="51"/>
        <v/>
      </c>
      <c r="V176" s="307" t="str">
        <f>N176</f>
        <v/>
      </c>
      <c r="W176" s="307" t="str">
        <f>IFERROR(IF(V176&gt;0,PROPER(Terbilang1(V176)&amp;" Rupiah"),0),"")</f>
        <v/>
      </c>
      <c r="X176" s="90">
        <f t="shared" si="58"/>
        <v>1</v>
      </c>
      <c r="Y176" s="307" t="str">
        <f t="shared" si="59"/>
        <v>Unit</v>
      </c>
      <c r="Z176" s="307">
        <f t="shared" si="52"/>
        <v>31050</v>
      </c>
      <c r="AA176" s="366">
        <f t="shared" si="53"/>
        <v>0</v>
      </c>
      <c r="AB176" s="367">
        <f t="shared" si="60"/>
        <v>31050</v>
      </c>
      <c r="AC176" s="305" t="str">
        <f t="shared" si="61"/>
        <v>Bayar Pajak PPH (1,5 %) BKK.53</v>
      </c>
      <c r="AP176" s="89" t="str">
        <f t="shared" si="47"/>
        <v/>
      </c>
      <c r="AQ176" s="89" t="str">
        <f t="shared" si="66"/>
        <v>10</v>
      </c>
      <c r="AR176" s="315">
        <f t="shared" si="63"/>
        <v>45954</v>
      </c>
      <c r="AS176" s="305" t="str">
        <f t="shared" si="62"/>
        <v>Bayar Pajak PPH</v>
      </c>
      <c r="AT176" s="307">
        <f>Table22[[#This Row],[Column1]]</f>
        <v>31050</v>
      </c>
    </row>
    <row r="177" spans="1:46" x14ac:dyDescent="0.3">
      <c r="A177" s="307" t="str">
        <f t="shared" si="56"/>
        <v>2.67</v>
      </c>
      <c r="B177" s="307" t="str">
        <f t="shared" si="64"/>
        <v>Beli</v>
      </c>
      <c r="C177" s="308">
        <v>2</v>
      </c>
      <c r="D177" s="309">
        <v>45955</v>
      </c>
      <c r="E177" s="310" t="s">
        <v>240</v>
      </c>
      <c r="F177" s="310" t="s">
        <v>841</v>
      </c>
      <c r="G177" s="311" t="s">
        <v>842</v>
      </c>
      <c r="H177" s="310" t="s">
        <v>577</v>
      </c>
      <c r="I177" s="310">
        <v>60000</v>
      </c>
      <c r="J177" s="310">
        <v>6</v>
      </c>
      <c r="K177" s="312">
        <v>360000</v>
      </c>
      <c r="L177" s="310" t="s">
        <v>38</v>
      </c>
      <c r="M177" s="310">
        <v>360000</v>
      </c>
      <c r="N177" s="313">
        <v>2235000</v>
      </c>
      <c r="O177" s="314" t="s">
        <v>843</v>
      </c>
      <c r="P177" s="307" t="str">
        <f t="shared" si="48"/>
        <v>Mgg8</v>
      </c>
      <c r="R177" s="91" t="str">
        <f t="shared" si="65"/>
        <v>Mgg8</v>
      </c>
      <c r="S177" s="307" t="str">
        <f t="shared" si="49"/>
        <v>BKK.54</v>
      </c>
      <c r="T177" s="307" t="str">
        <f t="shared" si="50"/>
        <v>Kran Alinco 1/2" Kuningan</v>
      </c>
      <c r="U177" s="315">
        <f t="shared" si="51"/>
        <v>45955</v>
      </c>
      <c r="V177" s="307">
        <f t="shared" si="57"/>
        <v>2235000</v>
      </c>
      <c r="W177" s="307" t="str">
        <f>IFERROR(IF(V177&gt;0,PROPER(Terbilang1(V177)&amp;" Rupiah"),0),"")</f>
        <v>Dua Juta Dua Ratus Tiga Puluh Lima Ribu Rupiah</v>
      </c>
      <c r="X177" s="90">
        <f t="shared" si="58"/>
        <v>6</v>
      </c>
      <c r="Y177" s="307" t="str">
        <f t="shared" si="59"/>
        <v>Pcs</v>
      </c>
      <c r="Z177" s="307">
        <f t="shared" si="52"/>
        <v>245850</v>
      </c>
      <c r="AA177" s="366">
        <f t="shared" si="53"/>
        <v>245850</v>
      </c>
      <c r="AB177" s="367">
        <f t="shared" si="60"/>
        <v>0</v>
      </c>
      <c r="AC177" s="305" t="str">
        <f t="shared" si="61"/>
        <v>Bayar Pajak PPN (11 %) BKK.54</v>
      </c>
      <c r="AP177" s="89">
        <f t="shared" si="47"/>
        <v>1</v>
      </c>
      <c r="AQ177" s="89" t="str">
        <f t="shared" si="66"/>
        <v>10</v>
      </c>
      <c r="AR177" s="315">
        <f t="shared" si="63"/>
        <v>45954</v>
      </c>
      <c r="AS177" s="305" t="str">
        <f t="shared" si="62"/>
        <v>Bayar Pajak PPN</v>
      </c>
      <c r="AT177" s="307">
        <f>Table22[[#This Row],[Column1]]</f>
        <v>245850</v>
      </c>
    </row>
    <row r="178" spans="1:46" x14ac:dyDescent="0.3">
      <c r="A178" s="307" t="str">
        <f t="shared" si="56"/>
        <v>2.68</v>
      </c>
      <c r="B178" s="307" t="str">
        <f t="shared" si="64"/>
        <v>Beli</v>
      </c>
      <c r="C178" s="308">
        <v>2</v>
      </c>
      <c r="D178" s="309" t="s">
        <v>563</v>
      </c>
      <c r="E178" s="310" t="s">
        <v>240</v>
      </c>
      <c r="F178" s="310" t="s">
        <v>844</v>
      </c>
      <c r="G178" s="311" t="s">
        <v>845</v>
      </c>
      <c r="H178" s="310" t="s">
        <v>577</v>
      </c>
      <c r="I178" s="310">
        <v>4000</v>
      </c>
      <c r="J178" s="310">
        <v>5</v>
      </c>
      <c r="K178" s="312">
        <v>20000</v>
      </c>
      <c r="L178" s="310" t="s">
        <v>38</v>
      </c>
      <c r="M178" s="310">
        <v>20000</v>
      </c>
      <c r="N178" s="313" t="s">
        <v>563</v>
      </c>
      <c r="O178" s="314" t="s">
        <v>563</v>
      </c>
      <c r="P178" s="307">
        <f t="shared" si="48"/>
        <v>0</v>
      </c>
      <c r="R178" s="91" t="str">
        <f t="shared" si="65"/>
        <v>Mgg8</v>
      </c>
      <c r="S178" s="307" t="str">
        <f t="shared" si="49"/>
        <v>BKK.54a</v>
      </c>
      <c r="T178" s="307" t="str">
        <f t="shared" si="50"/>
        <v>Tba Imokito 12Mm X 10Mm</v>
      </c>
      <c r="U178" s="315" t="str">
        <f t="shared" si="51"/>
        <v/>
      </c>
      <c r="V178" s="307" t="str">
        <f t="shared" si="57"/>
        <v/>
      </c>
      <c r="W178" s="307" t="str">
        <f>IFERROR(IF(V178&gt;0,PROPER(Terbilang1(V178)&amp;" Rupiah"),0),"")</f>
        <v/>
      </c>
      <c r="X178" s="90">
        <f t="shared" si="58"/>
        <v>5</v>
      </c>
      <c r="Y178" s="307" t="str">
        <f t="shared" si="59"/>
        <v>Pcs</v>
      </c>
      <c r="Z178" s="307">
        <f t="shared" si="52"/>
        <v>33525</v>
      </c>
      <c r="AA178" s="366">
        <f t="shared" si="53"/>
        <v>0</v>
      </c>
      <c r="AB178" s="367">
        <f t="shared" si="60"/>
        <v>33525</v>
      </c>
      <c r="AC178" s="305" t="str">
        <f t="shared" si="61"/>
        <v>Bayar Pajak PPH (1,5 %) BKK.54</v>
      </c>
      <c r="AP178" s="89" t="str">
        <f t="shared" si="47"/>
        <v/>
      </c>
      <c r="AQ178" s="89" t="str">
        <f t="shared" si="66"/>
        <v>10</v>
      </c>
      <c r="AR178" s="315">
        <f t="shared" si="63"/>
        <v>45954</v>
      </c>
      <c r="AS178" s="305" t="str">
        <f t="shared" si="62"/>
        <v>Bayar Pajak PPH</v>
      </c>
      <c r="AT178" s="307">
        <f>Table22[[#This Row],[Column1]]</f>
        <v>33525</v>
      </c>
    </row>
    <row r="179" spans="1:46" x14ac:dyDescent="0.3">
      <c r="A179" s="307" t="str">
        <f t="shared" si="56"/>
        <v>2.69</v>
      </c>
      <c r="B179" s="307" t="str">
        <f t="shared" si="64"/>
        <v>Beli</v>
      </c>
      <c r="C179" s="308">
        <v>2</v>
      </c>
      <c r="D179" s="309" t="s">
        <v>563</v>
      </c>
      <c r="E179" s="310" t="s">
        <v>240</v>
      </c>
      <c r="F179" s="310" t="s">
        <v>846</v>
      </c>
      <c r="G179" s="311" t="s">
        <v>847</v>
      </c>
      <c r="H179" s="310" t="s">
        <v>577</v>
      </c>
      <c r="I179" s="310">
        <v>185000</v>
      </c>
      <c r="J179" s="310">
        <v>3</v>
      </c>
      <c r="K179" s="312">
        <v>555000</v>
      </c>
      <c r="L179" s="310" t="s">
        <v>38</v>
      </c>
      <c r="M179" s="310">
        <v>555000</v>
      </c>
      <c r="N179" s="313" t="s">
        <v>563</v>
      </c>
      <c r="O179" s="314" t="s">
        <v>563</v>
      </c>
      <c r="P179" s="307">
        <f t="shared" si="48"/>
        <v>0</v>
      </c>
      <c r="R179" s="91" t="str">
        <f t="shared" si="65"/>
        <v>Mgg8</v>
      </c>
      <c r="S179" s="307" t="str">
        <f t="shared" si="49"/>
        <v>BKK.54aa</v>
      </c>
      <c r="T179" s="307" t="str">
        <f t="shared" si="50"/>
        <v>Kloset Ivory Emerald</v>
      </c>
      <c r="U179" s="315" t="str">
        <f t="shared" si="51"/>
        <v/>
      </c>
      <c r="V179" s="307" t="str">
        <f>N179</f>
        <v/>
      </c>
      <c r="W179" s="307" t="str">
        <f>IFERROR(IF(V179&gt;0,PROPER(Terbilang1(V179)&amp;" Rupiah"),0),"")</f>
        <v/>
      </c>
      <c r="X179" s="90">
        <f t="shared" si="58"/>
        <v>3</v>
      </c>
      <c r="Y179" s="307" t="str">
        <f t="shared" si="59"/>
        <v>Pcs</v>
      </c>
      <c r="Z179" s="307">
        <f t="shared" si="52"/>
        <v>0</v>
      </c>
      <c r="AA179" s="366">
        <f t="shared" si="53"/>
        <v>0</v>
      </c>
      <c r="AB179" s="367">
        <f t="shared" si="60"/>
        <v>0</v>
      </c>
      <c r="AC179" s="305">
        <f t="shared" si="61"/>
        <v>0</v>
      </c>
      <c r="AP179" s="89" t="str">
        <f t="shared" si="47"/>
        <v/>
      </c>
      <c r="AQ179" s="89" t="str">
        <f t="shared" si="66"/>
        <v/>
      </c>
      <c r="AR179" s="315" t="str">
        <f t="shared" ref="AR179:AR242" si="67">IF(VALUE(AT179)&gt;1,IF(LEN(AR178)&gt;1,AR178,D179),"")</f>
        <v/>
      </c>
      <c r="AS179" s="305" t="str">
        <f t="shared" si="62"/>
        <v>0</v>
      </c>
      <c r="AT179" s="307">
        <f>Table22[[#This Row],[Column1]]</f>
        <v>0</v>
      </c>
    </row>
    <row r="180" spans="1:46" x14ac:dyDescent="0.3">
      <c r="A180" s="307" t="str">
        <f t="shared" si="56"/>
        <v>2.70</v>
      </c>
      <c r="B180" s="307" t="str">
        <f t="shared" si="64"/>
        <v>Beli</v>
      </c>
      <c r="C180" s="308">
        <v>2</v>
      </c>
      <c r="D180" s="309" t="s">
        <v>563</v>
      </c>
      <c r="E180" s="310" t="s">
        <v>240</v>
      </c>
      <c r="F180" s="310" t="s">
        <v>848</v>
      </c>
      <c r="G180" s="311" t="s">
        <v>849</v>
      </c>
      <c r="H180" s="310" t="s">
        <v>807</v>
      </c>
      <c r="I180" s="310">
        <v>650000</v>
      </c>
      <c r="J180" s="310">
        <v>2</v>
      </c>
      <c r="K180" s="312">
        <v>1300000</v>
      </c>
      <c r="L180" s="310" t="s">
        <v>38</v>
      </c>
      <c r="M180" s="310">
        <v>1300000</v>
      </c>
      <c r="N180" s="313" t="s">
        <v>563</v>
      </c>
      <c r="O180" s="314" t="s">
        <v>563</v>
      </c>
      <c r="P180" s="307">
        <f t="shared" si="48"/>
        <v>0</v>
      </c>
      <c r="R180" s="91" t="str">
        <f t="shared" si="65"/>
        <v>Mgg8</v>
      </c>
      <c r="S180" s="307" t="str">
        <f t="shared" si="49"/>
        <v>BKK.54aaa</v>
      </c>
      <c r="T180" s="307" t="str">
        <f t="shared" si="50"/>
        <v>Wastafel Komplit Volk</v>
      </c>
      <c r="U180" s="315" t="str">
        <f t="shared" si="51"/>
        <v/>
      </c>
      <c r="V180" s="307" t="str">
        <f t="shared" si="57"/>
        <v/>
      </c>
      <c r="W180" s="307" t="str">
        <f>IFERROR(IF(V180&gt;0,PROPER(Terbilang1(V180)&amp;" Rupiah"),0),"")</f>
        <v/>
      </c>
      <c r="X180" s="90">
        <f t="shared" si="58"/>
        <v>2</v>
      </c>
      <c r="Y180" s="307" t="str">
        <f t="shared" si="59"/>
        <v>Unit</v>
      </c>
      <c r="Z180" s="307">
        <f t="shared" si="52"/>
        <v>0</v>
      </c>
      <c r="AA180" s="366">
        <f t="shared" si="53"/>
        <v>0</v>
      </c>
      <c r="AB180" s="367">
        <f t="shared" si="60"/>
        <v>0</v>
      </c>
      <c r="AC180" s="305">
        <f t="shared" si="61"/>
        <v>0</v>
      </c>
      <c r="AP180" s="89" t="str">
        <f t="shared" si="47"/>
        <v/>
      </c>
      <c r="AQ180" s="89" t="str">
        <f t="shared" si="66"/>
        <v/>
      </c>
      <c r="AR180" s="315" t="str">
        <f t="shared" si="67"/>
        <v/>
      </c>
      <c r="AS180" s="305" t="str">
        <f t="shared" si="62"/>
        <v>0</v>
      </c>
      <c r="AT180" s="307">
        <f>Table22[[#This Row],[Column1]]</f>
        <v>0</v>
      </c>
    </row>
    <row r="181" spans="1:46" x14ac:dyDescent="0.3">
      <c r="A181" s="307" t="str">
        <f t="shared" si="56"/>
        <v>2.71</v>
      </c>
      <c r="B181" s="307" t="str">
        <f t="shared" si="64"/>
        <v>Bayar Ongkos</v>
      </c>
      <c r="C181" s="308">
        <v>2</v>
      </c>
      <c r="D181" s="309">
        <v>45955</v>
      </c>
      <c r="E181" s="310" t="s">
        <v>506</v>
      </c>
      <c r="F181" s="310" t="s">
        <v>506</v>
      </c>
      <c r="G181" s="311" t="s">
        <v>850</v>
      </c>
      <c r="H181" s="310">
        <v>0</v>
      </c>
      <c r="I181" s="310">
        <v>1</v>
      </c>
      <c r="J181" s="310">
        <v>1</v>
      </c>
      <c r="K181" s="312">
        <v>1</v>
      </c>
      <c r="L181" s="310" t="s">
        <v>35</v>
      </c>
      <c r="M181" s="310">
        <v>4265000</v>
      </c>
      <c r="N181" s="313">
        <v>4265000</v>
      </c>
      <c r="O181" s="314" t="s">
        <v>851</v>
      </c>
      <c r="P181" s="307" t="str">
        <f t="shared" si="48"/>
        <v>Gaj8</v>
      </c>
      <c r="R181" s="91" t="str">
        <f t="shared" si="65"/>
        <v>Gaj8</v>
      </c>
      <c r="S181" s="307" t="str">
        <f t="shared" si="49"/>
        <v>BKK.55</v>
      </c>
      <c r="T181" s="307" t="str">
        <f t="shared" si="50"/>
        <v>Pembayaran Pekerja Minggu Ke 8</v>
      </c>
      <c r="U181" s="315">
        <f t="shared" si="51"/>
        <v>45955</v>
      </c>
      <c r="V181" s="307">
        <f t="shared" si="57"/>
        <v>4265000</v>
      </c>
      <c r="W181" s="307" t="str">
        <f>IFERROR(IF(V181&gt;0,PROPER(Terbilang1(V181)&amp;" Rupiah"),0),"")</f>
        <v>Empat Juta Dua Ratus Enam Puluh Lima Ribu Rupiah</v>
      </c>
      <c r="X181" s="90">
        <f t="shared" si="58"/>
        <v>1</v>
      </c>
      <c r="Y181" s="307">
        <f t="shared" si="59"/>
        <v>0</v>
      </c>
      <c r="Z181" s="307">
        <f t="shared" si="52"/>
        <v>0</v>
      </c>
      <c r="AA181" s="366">
        <f t="shared" si="53"/>
        <v>0</v>
      </c>
      <c r="AB181" s="367">
        <f t="shared" si="60"/>
        <v>0</v>
      </c>
      <c r="AC181" s="305">
        <f t="shared" si="61"/>
        <v>0</v>
      </c>
      <c r="AP181" s="89">
        <f t="shared" si="47"/>
        <v>1</v>
      </c>
      <c r="AQ181" s="89" t="str">
        <f t="shared" si="66"/>
        <v/>
      </c>
      <c r="AR181" s="315" t="str">
        <f t="shared" si="67"/>
        <v/>
      </c>
      <c r="AS181" s="305" t="str">
        <f t="shared" si="62"/>
        <v>0</v>
      </c>
      <c r="AT181" s="307">
        <f>Table22[[#This Row],[Column1]]</f>
        <v>0</v>
      </c>
    </row>
    <row r="182" spans="1:46" x14ac:dyDescent="0.3">
      <c r="A182" s="307" t="str">
        <f t="shared" si="56"/>
        <v>2.72</v>
      </c>
      <c r="B182" s="307" t="str">
        <f t="shared" si="64"/>
        <v>Beli</v>
      </c>
      <c r="C182" s="308">
        <v>2</v>
      </c>
      <c r="D182" s="309">
        <v>45961</v>
      </c>
      <c r="E182" s="310" t="s">
        <v>852</v>
      </c>
      <c r="F182" s="310" t="s">
        <v>853</v>
      </c>
      <c r="G182" s="311" t="s">
        <v>854</v>
      </c>
      <c r="H182" s="310" t="s">
        <v>571</v>
      </c>
      <c r="I182" s="310">
        <v>30000</v>
      </c>
      <c r="J182" s="310">
        <v>15</v>
      </c>
      <c r="K182" s="312">
        <v>450000</v>
      </c>
      <c r="L182" s="310" t="s">
        <v>562</v>
      </c>
      <c r="M182" s="310">
        <v>450000</v>
      </c>
      <c r="N182" s="313">
        <v>1010000</v>
      </c>
      <c r="O182" s="314" t="s">
        <v>855</v>
      </c>
      <c r="P182" s="307" t="str">
        <f t="shared" si="48"/>
        <v>Men9</v>
      </c>
      <c r="R182" s="91" t="str">
        <f t="shared" si="65"/>
        <v>Men9</v>
      </c>
      <c r="S182" s="307" t="str">
        <f t="shared" si="49"/>
        <v>BKK.56</v>
      </c>
      <c r="T182" s="307" t="str">
        <f t="shared" si="50"/>
        <v>Kosumsi Rapat Peninjauan 100%</v>
      </c>
      <c r="U182" s="315">
        <f t="shared" si="51"/>
        <v>45961</v>
      </c>
      <c r="V182" s="307">
        <f>N182</f>
        <v>1010000</v>
      </c>
      <c r="W182" s="307" t="str">
        <f>IFERROR(IF(V182&gt;0,PROPER(Terbilang1(V182)&amp;" Rupiah"),0),"")</f>
        <v>Satu Juta Sepuluh Ribu Rupiah</v>
      </c>
      <c r="X182" s="90">
        <f t="shared" si="58"/>
        <v>15</v>
      </c>
      <c r="Y182" s="307" t="str">
        <f t="shared" si="59"/>
        <v>Bks</v>
      </c>
      <c r="Z182" s="307">
        <f t="shared" si="52"/>
        <v>0</v>
      </c>
      <c r="AA182" s="366">
        <f t="shared" si="53"/>
        <v>0</v>
      </c>
      <c r="AB182" s="367">
        <f t="shared" si="60"/>
        <v>0</v>
      </c>
      <c r="AC182" s="305">
        <f t="shared" si="61"/>
        <v>0</v>
      </c>
      <c r="AP182" s="89">
        <f t="shared" si="47"/>
        <v>1</v>
      </c>
      <c r="AQ182" s="89" t="str">
        <f t="shared" si="66"/>
        <v/>
      </c>
      <c r="AR182" s="315" t="str">
        <f t="shared" si="67"/>
        <v/>
      </c>
      <c r="AS182" s="305" t="str">
        <f t="shared" si="62"/>
        <v>0</v>
      </c>
      <c r="AT182" s="307">
        <f>Table22[[#This Row],[Column1]]</f>
        <v>0</v>
      </c>
    </row>
    <row r="183" spans="1:46" x14ac:dyDescent="0.3">
      <c r="A183" s="307" t="str">
        <f t="shared" si="56"/>
        <v>2.73</v>
      </c>
      <c r="B183" s="307" t="str">
        <f t="shared" si="64"/>
        <v>Beli</v>
      </c>
      <c r="C183" s="308">
        <v>2</v>
      </c>
      <c r="D183" s="309" t="s">
        <v>563</v>
      </c>
      <c r="E183" s="310" t="s">
        <v>852</v>
      </c>
      <c r="F183" s="310" t="s">
        <v>597</v>
      </c>
      <c r="G183" s="311" t="s">
        <v>598</v>
      </c>
      <c r="H183" s="310" t="s">
        <v>599</v>
      </c>
      <c r="I183" s="310">
        <v>50000</v>
      </c>
      <c r="J183" s="310">
        <v>2</v>
      </c>
      <c r="K183" s="312">
        <v>100000</v>
      </c>
      <c r="L183" s="310" t="s">
        <v>562</v>
      </c>
      <c r="M183" s="310">
        <v>100000</v>
      </c>
      <c r="N183" s="313" t="s">
        <v>563</v>
      </c>
      <c r="O183" s="314" t="s">
        <v>563</v>
      </c>
      <c r="P183" s="307">
        <f t="shared" si="48"/>
        <v>0</v>
      </c>
      <c r="R183" s="91" t="str">
        <f t="shared" si="65"/>
        <v>Men9</v>
      </c>
      <c r="S183" s="307" t="str">
        <f t="shared" si="49"/>
        <v>BKK.56a</v>
      </c>
      <c r="T183" s="307" t="str">
        <f t="shared" si="50"/>
        <v>Kertas Sidu A4 70 grm</v>
      </c>
      <c r="U183" s="315" t="str">
        <f t="shared" si="51"/>
        <v/>
      </c>
      <c r="V183" s="307" t="str">
        <f t="shared" si="57"/>
        <v/>
      </c>
      <c r="W183" s="307" t="str">
        <f>IFERROR(IF(V183&gt;0,PROPER(Terbilang1(V183)&amp;" Rupiah"),0),"")</f>
        <v/>
      </c>
      <c r="X183" s="90">
        <f t="shared" si="58"/>
        <v>2</v>
      </c>
      <c r="Y183" s="307" t="str">
        <f t="shared" si="59"/>
        <v>Rim</v>
      </c>
      <c r="Z183" s="307">
        <f t="shared" si="52"/>
        <v>0</v>
      </c>
      <c r="AA183" s="366">
        <f t="shared" si="53"/>
        <v>0</v>
      </c>
      <c r="AB183" s="367">
        <f t="shared" si="60"/>
        <v>0</v>
      </c>
      <c r="AC183" s="305">
        <f t="shared" si="61"/>
        <v>0</v>
      </c>
      <c r="AP183" s="89" t="str">
        <f t="shared" si="47"/>
        <v/>
      </c>
      <c r="AQ183" s="89" t="str">
        <f t="shared" si="66"/>
        <v/>
      </c>
      <c r="AR183" s="315" t="str">
        <f t="shared" si="67"/>
        <v/>
      </c>
      <c r="AS183" s="305" t="str">
        <f t="shared" si="62"/>
        <v>0</v>
      </c>
      <c r="AT183" s="307">
        <f>Table22[[#This Row],[Column1]]</f>
        <v>0</v>
      </c>
    </row>
    <row r="184" spans="1:46" x14ac:dyDescent="0.3">
      <c r="A184" s="307" t="str">
        <f t="shared" si="56"/>
        <v>2.74</v>
      </c>
      <c r="B184" s="307" t="str">
        <f t="shared" si="64"/>
        <v>Beli</v>
      </c>
      <c r="C184" s="308">
        <v>2</v>
      </c>
      <c r="D184" s="309" t="s">
        <v>563</v>
      </c>
      <c r="E184" s="310" t="s">
        <v>852</v>
      </c>
      <c r="F184" s="310" t="s">
        <v>603</v>
      </c>
      <c r="G184" s="311" t="s">
        <v>604</v>
      </c>
      <c r="H184" s="310" t="s">
        <v>577</v>
      </c>
      <c r="I184" s="310">
        <v>100000</v>
      </c>
      <c r="J184" s="310">
        <v>1</v>
      </c>
      <c r="K184" s="312">
        <v>100000</v>
      </c>
      <c r="L184" s="310" t="s">
        <v>562</v>
      </c>
      <c r="M184" s="310">
        <v>100000</v>
      </c>
      <c r="N184" s="313" t="s">
        <v>563</v>
      </c>
      <c r="O184" s="314" t="s">
        <v>563</v>
      </c>
      <c r="P184" s="307">
        <f t="shared" si="48"/>
        <v>0</v>
      </c>
      <c r="R184" s="91" t="str">
        <f t="shared" si="65"/>
        <v>Men9</v>
      </c>
      <c r="S184" s="307" t="str">
        <f t="shared" si="49"/>
        <v>BKK.56aa</v>
      </c>
      <c r="T184" s="307" t="str">
        <f t="shared" si="50"/>
        <v>Tinta Printer</v>
      </c>
      <c r="U184" s="315" t="str">
        <f t="shared" si="51"/>
        <v/>
      </c>
      <c r="V184" s="307" t="str">
        <f>N184</f>
        <v/>
      </c>
      <c r="W184" s="307" t="str">
        <f>IFERROR(IF(V184&gt;0,PROPER(Terbilang1(V184)&amp;" Rupiah"),0),"")</f>
        <v/>
      </c>
      <c r="X184" s="90">
        <f t="shared" si="58"/>
        <v>1</v>
      </c>
      <c r="Y184" s="307" t="str">
        <f t="shared" si="59"/>
        <v>Pcs</v>
      </c>
      <c r="Z184" s="307">
        <f t="shared" si="52"/>
        <v>0</v>
      </c>
      <c r="AA184" s="366">
        <f t="shared" si="53"/>
        <v>0</v>
      </c>
      <c r="AB184" s="367">
        <f t="shared" si="60"/>
        <v>0</v>
      </c>
      <c r="AC184" s="305">
        <f t="shared" si="61"/>
        <v>0</v>
      </c>
      <c r="AP184" s="89" t="str">
        <f t="shared" si="47"/>
        <v/>
      </c>
      <c r="AQ184" s="89" t="str">
        <f t="shared" si="66"/>
        <v/>
      </c>
      <c r="AR184" s="315" t="str">
        <f t="shared" si="67"/>
        <v/>
      </c>
      <c r="AS184" s="305" t="str">
        <f t="shared" si="62"/>
        <v>0</v>
      </c>
      <c r="AT184" s="307">
        <f>Table22[[#This Row],[Column1]]</f>
        <v>0</v>
      </c>
    </row>
    <row r="185" spans="1:46" x14ac:dyDescent="0.3">
      <c r="A185" s="307" t="str">
        <f t="shared" si="56"/>
        <v>2.75</v>
      </c>
      <c r="B185" s="307" t="str">
        <f t="shared" si="64"/>
        <v>Beli</v>
      </c>
      <c r="C185" s="308">
        <v>2</v>
      </c>
      <c r="D185" s="309" t="s">
        <v>563</v>
      </c>
      <c r="E185" s="310" t="s">
        <v>852</v>
      </c>
      <c r="F185" s="310" t="s">
        <v>856</v>
      </c>
      <c r="G185" s="311" t="s">
        <v>857</v>
      </c>
      <c r="H185" s="310" t="s">
        <v>577</v>
      </c>
      <c r="I185" s="310">
        <v>12000</v>
      </c>
      <c r="J185" s="310">
        <v>10</v>
      </c>
      <c r="K185" s="312">
        <v>120000</v>
      </c>
      <c r="L185" s="310" t="s">
        <v>562</v>
      </c>
      <c r="M185" s="310">
        <v>120000</v>
      </c>
      <c r="N185" s="313" t="s">
        <v>563</v>
      </c>
      <c r="O185" s="314" t="s">
        <v>563</v>
      </c>
      <c r="P185" s="307">
        <f t="shared" si="48"/>
        <v>0</v>
      </c>
      <c r="R185" s="91" t="str">
        <f t="shared" si="65"/>
        <v>Men9</v>
      </c>
      <c r="S185" s="307" t="str">
        <f t="shared" si="49"/>
        <v>BKK.56aaa</v>
      </c>
      <c r="T185" s="307" t="str">
        <f t="shared" si="50"/>
        <v>Materai 10000</v>
      </c>
      <c r="U185" s="315" t="str">
        <f t="shared" si="51"/>
        <v/>
      </c>
      <c r="V185" s="307" t="str">
        <f t="shared" si="57"/>
        <v/>
      </c>
      <c r="W185" s="307" t="str">
        <f>IFERROR(IF(V185&gt;0,PROPER(Terbilang1(V185)&amp;" Rupiah"),0),"")</f>
        <v/>
      </c>
      <c r="X185" s="90">
        <f t="shared" si="58"/>
        <v>10</v>
      </c>
      <c r="Y185" s="307" t="str">
        <f t="shared" si="59"/>
        <v>Pcs</v>
      </c>
      <c r="Z185" s="307">
        <f t="shared" si="52"/>
        <v>0</v>
      </c>
      <c r="AA185" s="366">
        <f t="shared" si="53"/>
        <v>0</v>
      </c>
      <c r="AB185" s="367">
        <f t="shared" si="60"/>
        <v>0</v>
      </c>
      <c r="AC185" s="305">
        <f t="shared" si="61"/>
        <v>0</v>
      </c>
      <c r="AP185" s="89" t="str">
        <f t="shared" si="47"/>
        <v/>
      </c>
      <c r="AQ185" s="89" t="str">
        <f t="shared" si="66"/>
        <v/>
      </c>
      <c r="AR185" s="315" t="str">
        <f t="shared" si="67"/>
        <v/>
      </c>
      <c r="AS185" s="305" t="str">
        <f t="shared" si="62"/>
        <v>0</v>
      </c>
      <c r="AT185" s="307">
        <f>Table22[[#This Row],[Column1]]</f>
        <v>0</v>
      </c>
    </row>
    <row r="186" spans="1:46" x14ac:dyDescent="0.3">
      <c r="A186" s="307" t="str">
        <f t="shared" si="56"/>
        <v>2.76</v>
      </c>
      <c r="B186" s="307" t="str">
        <f t="shared" si="64"/>
        <v>Beli</v>
      </c>
      <c r="C186" s="308">
        <v>2</v>
      </c>
      <c r="D186" s="309" t="s">
        <v>563</v>
      </c>
      <c r="E186" s="310" t="s">
        <v>852</v>
      </c>
      <c r="F186" s="310" t="s">
        <v>858</v>
      </c>
      <c r="G186" s="311" t="s">
        <v>859</v>
      </c>
      <c r="H186" s="310" t="s">
        <v>860</v>
      </c>
      <c r="I186" s="310">
        <v>50000</v>
      </c>
      <c r="J186" s="310">
        <v>2</v>
      </c>
      <c r="K186" s="312">
        <v>100000</v>
      </c>
      <c r="L186" s="310" t="s">
        <v>562</v>
      </c>
      <c r="M186" s="310">
        <v>100000</v>
      </c>
      <c r="N186" s="313" t="s">
        <v>563</v>
      </c>
      <c r="O186" s="314" t="s">
        <v>563</v>
      </c>
      <c r="P186" s="307">
        <f t="shared" si="48"/>
        <v>0</v>
      </c>
      <c r="R186" s="91" t="str">
        <f t="shared" si="65"/>
        <v>Men9</v>
      </c>
      <c r="S186" s="307" t="str">
        <f t="shared" si="49"/>
        <v>BKK.56aaaa</v>
      </c>
      <c r="T186" s="307" t="str">
        <f t="shared" si="50"/>
        <v>Foto Copy</v>
      </c>
      <c r="U186" s="315" t="str">
        <f t="shared" si="51"/>
        <v/>
      </c>
      <c r="V186" s="307" t="str">
        <f t="shared" si="57"/>
        <v/>
      </c>
      <c r="W186" s="307" t="str">
        <f>IFERROR(IF(V186&gt;0,PROPER(Terbilang1(V186)&amp;" Rupiah"),0),"")</f>
        <v/>
      </c>
      <c r="X186" s="90">
        <f t="shared" si="58"/>
        <v>2</v>
      </c>
      <c r="Y186" s="307" t="str">
        <f t="shared" si="59"/>
        <v>Buku</v>
      </c>
      <c r="Z186" s="307">
        <f t="shared" si="52"/>
        <v>0</v>
      </c>
      <c r="AA186" s="366">
        <f t="shared" si="53"/>
        <v>0</v>
      </c>
      <c r="AB186" s="367">
        <f t="shared" si="60"/>
        <v>0</v>
      </c>
      <c r="AC186" s="305">
        <f t="shared" si="61"/>
        <v>0</v>
      </c>
      <c r="AP186" s="89" t="str">
        <f t="shared" si="47"/>
        <v/>
      </c>
      <c r="AQ186" s="89" t="str">
        <f t="shared" si="66"/>
        <v/>
      </c>
      <c r="AR186" s="315" t="str">
        <f t="shared" si="67"/>
        <v/>
      </c>
      <c r="AS186" s="305" t="str">
        <f t="shared" si="62"/>
        <v>0</v>
      </c>
      <c r="AT186" s="307">
        <f>Table22[[#This Row],[Column1]]</f>
        <v>0</v>
      </c>
    </row>
    <row r="187" spans="1:46" x14ac:dyDescent="0.3">
      <c r="A187" s="307" t="str">
        <f t="shared" si="56"/>
        <v>2.77</v>
      </c>
      <c r="B187" s="307" t="str">
        <f t="shared" si="64"/>
        <v>Beli</v>
      </c>
      <c r="C187" s="308">
        <v>2</v>
      </c>
      <c r="D187" s="309" t="s">
        <v>563</v>
      </c>
      <c r="E187" s="310" t="s">
        <v>852</v>
      </c>
      <c r="F187" s="310" t="s">
        <v>861</v>
      </c>
      <c r="G187" s="311" t="s">
        <v>862</v>
      </c>
      <c r="H187" s="310" t="s">
        <v>574</v>
      </c>
      <c r="I187" s="310">
        <v>140000</v>
      </c>
      <c r="J187" s="310">
        <v>1</v>
      </c>
      <c r="K187" s="312">
        <v>140000</v>
      </c>
      <c r="L187" s="310" t="s">
        <v>562</v>
      </c>
      <c r="M187" s="310">
        <v>140000</v>
      </c>
      <c r="N187" s="313" t="s">
        <v>563</v>
      </c>
      <c r="O187" s="314" t="s">
        <v>563</v>
      </c>
      <c r="P187" s="307">
        <f t="shared" si="48"/>
        <v>0</v>
      </c>
      <c r="R187" s="91" t="str">
        <f t="shared" si="65"/>
        <v>Men9</v>
      </c>
      <c r="S187" s="307" t="str">
        <f t="shared" si="49"/>
        <v>BKK.56aaaaa</v>
      </c>
      <c r="T187" s="307" t="str">
        <f t="shared" si="50"/>
        <v>Biaya Perjalanan Lain</v>
      </c>
      <c r="U187" s="315" t="str">
        <f t="shared" si="51"/>
        <v/>
      </c>
      <c r="V187" s="307" t="str">
        <f>N187</f>
        <v/>
      </c>
      <c r="W187" s="307" t="str">
        <f>IFERROR(IF(V187&gt;0,PROPER(Terbilang1(V187)&amp;" Rupiah"),0),"")</f>
        <v/>
      </c>
      <c r="X187" s="90">
        <f t="shared" si="58"/>
        <v>1</v>
      </c>
      <c r="Y187" s="307" t="str">
        <f t="shared" si="59"/>
        <v>Ls</v>
      </c>
      <c r="Z187" s="307">
        <f t="shared" si="52"/>
        <v>0</v>
      </c>
      <c r="AA187" s="366">
        <f t="shared" si="53"/>
        <v>0</v>
      </c>
      <c r="AB187" s="367">
        <f t="shared" si="60"/>
        <v>0</v>
      </c>
      <c r="AC187" s="305">
        <f t="shared" si="61"/>
        <v>0</v>
      </c>
      <c r="AP187" s="89" t="str">
        <f t="shared" si="47"/>
        <v/>
      </c>
      <c r="AQ187" s="89" t="str">
        <f t="shared" si="66"/>
        <v/>
      </c>
      <c r="AR187" s="315" t="str">
        <f t="shared" si="67"/>
        <v/>
      </c>
      <c r="AS187" s="305" t="str">
        <f t="shared" si="62"/>
        <v>0</v>
      </c>
      <c r="AT187" s="307">
        <f>Table22[[#This Row],[Column1]]</f>
        <v>0</v>
      </c>
    </row>
    <row r="188" spans="1:46" x14ac:dyDescent="0.3">
      <c r="A188" s="307" t="str">
        <f t="shared" si="56"/>
        <v>2.78</v>
      </c>
      <c r="B188" s="307" t="str">
        <f t="shared" si="64"/>
        <v>Jasa</v>
      </c>
      <c r="C188" s="308">
        <v>2</v>
      </c>
      <c r="D188" s="309">
        <v>45961</v>
      </c>
      <c r="E188" s="310" t="s">
        <v>863</v>
      </c>
      <c r="F188" s="310" t="s">
        <v>864</v>
      </c>
      <c r="G188" s="311" t="s">
        <v>483</v>
      </c>
      <c r="H188" s="310">
        <v>0</v>
      </c>
      <c r="I188" s="310">
        <v>3404630</v>
      </c>
      <c r="J188" s="310">
        <v>1</v>
      </c>
      <c r="K188" s="312">
        <v>3404630</v>
      </c>
      <c r="L188" s="310" t="s">
        <v>35</v>
      </c>
      <c r="M188" s="310">
        <v>3404630</v>
      </c>
      <c r="N188" s="313">
        <v>3404630</v>
      </c>
      <c r="O188" s="314" t="s">
        <v>865</v>
      </c>
      <c r="P188" s="307" t="str">
        <f t="shared" si="48"/>
        <v>Maa2</v>
      </c>
      <c r="R188" s="91" t="str">
        <f t="shared" si="65"/>
        <v>Maa2</v>
      </c>
      <c r="S188" s="307" t="str">
        <f t="shared" si="49"/>
        <v>BKK.57</v>
      </c>
      <c r="T188" s="307" t="str">
        <f t="shared" si="50"/>
        <v>Bayar Dana Pengawasan</v>
      </c>
      <c r="U188" s="315">
        <f t="shared" si="51"/>
        <v>45961</v>
      </c>
      <c r="V188" s="307">
        <f>N188</f>
        <v>3404630</v>
      </c>
      <c r="W188" s="307" t="str">
        <f>IFERROR(IF(V188&gt;0,PROPER(Terbilang1(V188)&amp;" Rupiah"),0),"")</f>
        <v>Tiga Juta Empat Ratus Empat Ribu Enam Ratus Tiga Puluh Rupiah</v>
      </c>
      <c r="X188" s="90">
        <f t="shared" si="58"/>
        <v>1</v>
      </c>
      <c r="Y188" s="307">
        <f t="shared" si="59"/>
        <v>0</v>
      </c>
      <c r="Z188" s="307">
        <f t="shared" si="52"/>
        <v>119162.05000000002</v>
      </c>
      <c r="AA188" s="366">
        <f t="shared" si="53"/>
        <v>119162.05000000002</v>
      </c>
      <c r="AB188" s="367">
        <f t="shared" si="60"/>
        <v>0</v>
      </c>
      <c r="AC188" s="305" t="str">
        <f t="shared" si="61"/>
        <v>Terima PPh Pasal 4 ayat 2 (3,5 %) BKK.57</v>
      </c>
      <c r="AP188" s="89">
        <f t="shared" si="47"/>
        <v>1</v>
      </c>
      <c r="AQ188" s="89" t="str">
        <f t="shared" si="66"/>
        <v>10</v>
      </c>
      <c r="AR188" s="315">
        <f t="shared" si="67"/>
        <v>45961</v>
      </c>
      <c r="AS188" s="305" t="str">
        <f t="shared" si="62"/>
        <v>Terima PPh Pasa</v>
      </c>
      <c r="AT188" s="307">
        <f>Table22[[#This Row],[Column1]]</f>
        <v>119162.05000000002</v>
      </c>
    </row>
    <row r="189" spans="1:46" x14ac:dyDescent="0.3">
      <c r="A189" s="307">
        <f t="shared" si="56"/>
        <v>0</v>
      </c>
      <c r="B189" s="307">
        <f t="shared" si="64"/>
        <v>0</v>
      </c>
      <c r="C189" s="308" t="s">
        <v>563</v>
      </c>
      <c r="D189" s="309" t="s">
        <v>563</v>
      </c>
      <c r="E189" s="310">
        <v>0</v>
      </c>
      <c r="F189" s="310">
        <v>0</v>
      </c>
      <c r="G189" s="311">
        <v>0</v>
      </c>
      <c r="H189" s="310" t="s">
        <v>563</v>
      </c>
      <c r="I189" s="310" t="s">
        <v>563</v>
      </c>
      <c r="J189" s="310" t="s">
        <v>563</v>
      </c>
      <c r="K189" s="312">
        <v>0</v>
      </c>
      <c r="L189" s="310">
        <v>0</v>
      </c>
      <c r="M189" s="310">
        <v>0</v>
      </c>
      <c r="N189" s="313" t="s">
        <v>563</v>
      </c>
      <c r="O189" s="314" t="s">
        <v>563</v>
      </c>
      <c r="P189" s="307">
        <f t="shared" si="48"/>
        <v>0</v>
      </c>
      <c r="R189" s="91" t="str">
        <f t="shared" si="65"/>
        <v/>
      </c>
      <c r="S189" s="307" t="str">
        <f t="shared" si="49"/>
        <v>BKK.57a</v>
      </c>
      <c r="T189" s="307" t="str">
        <f t="shared" si="50"/>
        <v/>
      </c>
      <c r="U189" s="315" t="str">
        <f t="shared" si="51"/>
        <v/>
      </c>
      <c r="V189" s="307" t="str">
        <f t="shared" si="57"/>
        <v/>
      </c>
      <c r="W189" s="307" t="str">
        <f>IFERROR(IF(V189&gt;0,PROPER(Terbilang1(V189)&amp;" Rupiah"),0),"")</f>
        <v/>
      </c>
      <c r="X189" s="90" t="str">
        <f t="shared" si="58"/>
        <v/>
      </c>
      <c r="Y189" s="307" t="str">
        <f t="shared" si="59"/>
        <v/>
      </c>
      <c r="Z189" s="307">
        <f t="shared" si="52"/>
        <v>0</v>
      </c>
      <c r="AA189" s="366">
        <f t="shared" si="53"/>
        <v>0</v>
      </c>
      <c r="AB189" s="367">
        <f t="shared" si="60"/>
        <v>0</v>
      </c>
      <c r="AC189" s="305">
        <f t="shared" si="61"/>
        <v>0</v>
      </c>
      <c r="AP189" s="89" t="str">
        <f t="shared" si="47"/>
        <v/>
      </c>
      <c r="AQ189" s="89" t="str">
        <f t="shared" si="66"/>
        <v/>
      </c>
      <c r="AR189" s="315" t="str">
        <f t="shared" si="67"/>
        <v/>
      </c>
      <c r="AS189" s="305" t="str">
        <f t="shared" si="62"/>
        <v>0</v>
      </c>
      <c r="AT189" s="307">
        <f>Table22[[#This Row],[Column1]]</f>
        <v>0</v>
      </c>
    </row>
    <row r="190" spans="1:46" x14ac:dyDescent="0.3">
      <c r="A190" s="307">
        <f t="shared" si="56"/>
        <v>0</v>
      </c>
      <c r="B190" s="307">
        <f t="shared" si="64"/>
        <v>0</v>
      </c>
      <c r="C190" s="308" t="s">
        <v>563</v>
      </c>
      <c r="D190" s="309" t="s">
        <v>563</v>
      </c>
      <c r="E190" s="310">
        <v>0</v>
      </c>
      <c r="F190" s="310">
        <v>0</v>
      </c>
      <c r="G190" s="311">
        <v>0</v>
      </c>
      <c r="H190" s="310" t="s">
        <v>563</v>
      </c>
      <c r="I190" s="310" t="s">
        <v>563</v>
      </c>
      <c r="J190" s="310" t="s">
        <v>563</v>
      </c>
      <c r="K190" s="312">
        <v>0</v>
      </c>
      <c r="L190" s="310">
        <v>0</v>
      </c>
      <c r="M190" s="310">
        <v>0</v>
      </c>
      <c r="N190" s="313" t="s">
        <v>563</v>
      </c>
      <c r="O190" s="314" t="s">
        <v>563</v>
      </c>
      <c r="P190" s="307">
        <f t="shared" si="48"/>
        <v>0</v>
      </c>
      <c r="R190" s="91" t="str">
        <f t="shared" si="65"/>
        <v/>
      </c>
      <c r="S190" s="307" t="str">
        <f t="shared" si="49"/>
        <v>BKK.57aa</v>
      </c>
      <c r="T190" s="307" t="str">
        <f t="shared" si="50"/>
        <v/>
      </c>
      <c r="U190" s="315" t="str">
        <f t="shared" si="51"/>
        <v/>
      </c>
      <c r="V190" s="307" t="str">
        <f t="shared" si="57"/>
        <v/>
      </c>
      <c r="W190" s="307" t="str">
        <f>IFERROR(IF(V190&gt;0,PROPER(Terbilang1(V190)&amp;" Rupiah"),0),"")</f>
        <v/>
      </c>
      <c r="X190" s="90" t="str">
        <f t="shared" si="58"/>
        <v/>
      </c>
      <c r="Y190" s="307" t="str">
        <f t="shared" si="59"/>
        <v/>
      </c>
      <c r="Z190" s="307">
        <f t="shared" si="52"/>
        <v>0</v>
      </c>
      <c r="AA190" s="366">
        <f t="shared" si="53"/>
        <v>0</v>
      </c>
      <c r="AB190" s="367">
        <f t="shared" si="60"/>
        <v>0</v>
      </c>
      <c r="AC190" s="305">
        <f t="shared" si="61"/>
        <v>0</v>
      </c>
      <c r="AP190" s="89" t="str">
        <f t="shared" si="47"/>
        <v/>
      </c>
      <c r="AQ190" s="89" t="str">
        <f t="shared" si="66"/>
        <v/>
      </c>
      <c r="AR190" s="315" t="str">
        <f t="shared" si="67"/>
        <v/>
      </c>
      <c r="AS190" s="305" t="str">
        <f t="shared" si="62"/>
        <v>0</v>
      </c>
      <c r="AT190" s="307">
        <f>Table22[[#This Row],[Column1]]</f>
        <v>0</v>
      </c>
    </row>
    <row r="191" spans="1:46" x14ac:dyDescent="0.3">
      <c r="A191" s="307">
        <f t="shared" si="56"/>
        <v>0</v>
      </c>
      <c r="B191" s="307">
        <f t="shared" si="64"/>
        <v>0</v>
      </c>
      <c r="C191" s="308" t="s">
        <v>563</v>
      </c>
      <c r="D191" s="309" t="s">
        <v>563</v>
      </c>
      <c r="E191" s="310">
        <v>0</v>
      </c>
      <c r="F191" s="310">
        <v>0</v>
      </c>
      <c r="G191" s="311">
        <v>0</v>
      </c>
      <c r="H191" s="310" t="s">
        <v>563</v>
      </c>
      <c r="I191" s="310" t="s">
        <v>563</v>
      </c>
      <c r="J191" s="310" t="s">
        <v>563</v>
      </c>
      <c r="K191" s="312">
        <v>0</v>
      </c>
      <c r="L191" s="310">
        <v>0</v>
      </c>
      <c r="M191" s="310">
        <v>0</v>
      </c>
      <c r="N191" s="313" t="s">
        <v>563</v>
      </c>
      <c r="O191" s="314" t="s">
        <v>563</v>
      </c>
      <c r="P191" s="307">
        <f t="shared" si="48"/>
        <v>0</v>
      </c>
      <c r="R191" s="91" t="str">
        <f t="shared" si="65"/>
        <v/>
      </c>
      <c r="S191" s="307" t="str">
        <f t="shared" si="49"/>
        <v>BKK.57aaa</v>
      </c>
      <c r="T191" s="307" t="str">
        <f t="shared" si="50"/>
        <v/>
      </c>
      <c r="U191" s="315" t="str">
        <f t="shared" si="51"/>
        <v/>
      </c>
      <c r="V191" s="307" t="str">
        <f t="shared" si="57"/>
        <v/>
      </c>
      <c r="W191" s="307" t="str">
        <f>IFERROR(IF(V191&gt;0,PROPER(Terbilang1(V191)&amp;" Rupiah"),0),"")</f>
        <v/>
      </c>
      <c r="X191" s="90" t="str">
        <f t="shared" si="58"/>
        <v/>
      </c>
      <c r="Y191" s="307" t="str">
        <f t="shared" si="59"/>
        <v/>
      </c>
      <c r="Z191" s="307">
        <f t="shared" si="52"/>
        <v>0</v>
      </c>
      <c r="AA191" s="366">
        <f t="shared" si="53"/>
        <v>0</v>
      </c>
      <c r="AB191" s="367">
        <f t="shared" si="60"/>
        <v>0</v>
      </c>
      <c r="AC191" s="305">
        <f t="shared" si="61"/>
        <v>0</v>
      </c>
      <c r="AP191" s="89" t="str">
        <f t="shared" si="47"/>
        <v/>
      </c>
      <c r="AQ191" s="89" t="str">
        <f t="shared" si="66"/>
        <v/>
      </c>
      <c r="AR191" s="315" t="str">
        <f t="shared" si="67"/>
        <v/>
      </c>
      <c r="AS191" s="305" t="str">
        <f t="shared" si="62"/>
        <v>0</v>
      </c>
      <c r="AT191" s="307">
        <f>Table22[[#This Row],[Column1]]</f>
        <v>0</v>
      </c>
    </row>
    <row r="192" spans="1:46" x14ac:dyDescent="0.3">
      <c r="A192" s="307">
        <f t="shared" si="56"/>
        <v>0</v>
      </c>
      <c r="B192" s="307">
        <f t="shared" si="64"/>
        <v>0</v>
      </c>
      <c r="C192" s="308" t="s">
        <v>563</v>
      </c>
      <c r="D192" s="309" t="s">
        <v>563</v>
      </c>
      <c r="E192" s="310">
        <v>0</v>
      </c>
      <c r="F192" s="310">
        <v>0</v>
      </c>
      <c r="G192" s="311">
        <v>0</v>
      </c>
      <c r="H192" s="310" t="s">
        <v>563</v>
      </c>
      <c r="I192" s="310" t="s">
        <v>563</v>
      </c>
      <c r="J192" s="310" t="s">
        <v>563</v>
      </c>
      <c r="K192" s="312">
        <v>0</v>
      </c>
      <c r="L192" s="310">
        <v>0</v>
      </c>
      <c r="M192" s="310">
        <v>0</v>
      </c>
      <c r="N192" s="313" t="s">
        <v>563</v>
      </c>
      <c r="O192" s="314" t="s">
        <v>563</v>
      </c>
      <c r="P192" s="307">
        <f t="shared" si="48"/>
        <v>0</v>
      </c>
      <c r="R192" s="91" t="str">
        <f t="shared" si="65"/>
        <v/>
      </c>
      <c r="S192" s="307" t="str">
        <f t="shared" si="49"/>
        <v>BKK.57aaaa</v>
      </c>
      <c r="T192" s="307" t="str">
        <f t="shared" si="50"/>
        <v/>
      </c>
      <c r="U192" s="315" t="str">
        <f t="shared" si="51"/>
        <v/>
      </c>
      <c r="V192" s="307" t="str">
        <f t="shared" si="57"/>
        <v/>
      </c>
      <c r="W192" s="307" t="str">
        <f>IFERROR(IF(V192&gt;0,PROPER(Terbilang1(V192)&amp;" Rupiah"),0),"")</f>
        <v/>
      </c>
      <c r="X192" s="90" t="str">
        <f t="shared" si="58"/>
        <v/>
      </c>
      <c r="Y192" s="307" t="str">
        <f t="shared" si="59"/>
        <v/>
      </c>
      <c r="Z192" s="307">
        <f t="shared" si="52"/>
        <v>0</v>
      </c>
      <c r="AA192" s="366">
        <f t="shared" si="53"/>
        <v>0</v>
      </c>
      <c r="AB192" s="367">
        <f t="shared" si="60"/>
        <v>0</v>
      </c>
      <c r="AC192" s="305">
        <f t="shared" si="61"/>
        <v>0</v>
      </c>
      <c r="AP192" s="89" t="str">
        <f t="shared" si="47"/>
        <v/>
      </c>
      <c r="AQ192" s="89" t="str">
        <f t="shared" si="66"/>
        <v/>
      </c>
      <c r="AR192" s="315" t="str">
        <f t="shared" si="67"/>
        <v/>
      </c>
      <c r="AS192" s="305" t="str">
        <f t="shared" si="62"/>
        <v>0</v>
      </c>
      <c r="AT192" s="307">
        <f>Table22[[#This Row],[Column1]]</f>
        <v>0</v>
      </c>
    </row>
    <row r="193" spans="1:46" x14ac:dyDescent="0.3">
      <c r="A193" s="307">
        <f t="shared" si="56"/>
        <v>0</v>
      </c>
      <c r="B193" s="307">
        <f t="shared" si="64"/>
        <v>0</v>
      </c>
      <c r="C193" s="308" t="s">
        <v>563</v>
      </c>
      <c r="D193" s="309" t="s">
        <v>563</v>
      </c>
      <c r="E193" s="310">
        <v>0</v>
      </c>
      <c r="F193" s="310">
        <v>0</v>
      </c>
      <c r="G193" s="311">
        <v>0</v>
      </c>
      <c r="H193" s="310" t="s">
        <v>563</v>
      </c>
      <c r="I193" s="310" t="s">
        <v>563</v>
      </c>
      <c r="J193" s="310" t="s">
        <v>563</v>
      </c>
      <c r="K193" s="312">
        <v>0</v>
      </c>
      <c r="L193" s="310">
        <v>0</v>
      </c>
      <c r="M193" s="310">
        <v>0</v>
      </c>
      <c r="N193" s="313" t="s">
        <v>563</v>
      </c>
      <c r="O193" s="314" t="s">
        <v>563</v>
      </c>
      <c r="P193" s="307">
        <f t="shared" si="48"/>
        <v>0</v>
      </c>
      <c r="R193" s="91" t="str">
        <f t="shared" si="65"/>
        <v/>
      </c>
      <c r="S193" s="307" t="str">
        <f t="shared" si="49"/>
        <v>BKK.57aaaaa</v>
      </c>
      <c r="T193" s="307" t="str">
        <f t="shared" si="50"/>
        <v/>
      </c>
      <c r="U193" s="315" t="str">
        <f t="shared" si="51"/>
        <v/>
      </c>
      <c r="V193" s="307" t="str">
        <f t="shared" si="57"/>
        <v/>
      </c>
      <c r="W193" s="307" t="str">
        <f>IFERROR(IF(V193&gt;0,PROPER(Terbilang1(V193)&amp;" Rupiah"),0),"")</f>
        <v/>
      </c>
      <c r="X193" s="90" t="str">
        <f t="shared" si="58"/>
        <v/>
      </c>
      <c r="Y193" s="307" t="str">
        <f t="shared" si="59"/>
        <v/>
      </c>
      <c r="Z193" s="307">
        <f t="shared" si="52"/>
        <v>0</v>
      </c>
      <c r="AA193" s="366">
        <f t="shared" si="53"/>
        <v>0</v>
      </c>
      <c r="AB193" s="367">
        <f t="shared" si="60"/>
        <v>0</v>
      </c>
      <c r="AC193" s="305">
        <f t="shared" si="61"/>
        <v>0</v>
      </c>
      <c r="AP193" s="89" t="str">
        <f t="shared" ref="AP193:AP256" si="68">IF(LEFT(O193,3)="BKK",1,"")</f>
        <v/>
      </c>
      <c r="AQ193" s="89" t="str">
        <f t="shared" si="66"/>
        <v/>
      </c>
      <c r="AR193" s="315" t="str">
        <f t="shared" si="67"/>
        <v/>
      </c>
      <c r="AS193" s="305" t="str">
        <f t="shared" si="62"/>
        <v>0</v>
      </c>
      <c r="AT193" s="307">
        <f>Table22[[#This Row],[Column1]]</f>
        <v>0</v>
      </c>
    </row>
    <row r="194" spans="1:46" x14ac:dyDescent="0.3">
      <c r="A194" s="307">
        <f t="shared" si="56"/>
        <v>0</v>
      </c>
      <c r="B194" s="307">
        <f t="shared" si="64"/>
        <v>0</v>
      </c>
      <c r="C194" s="308" t="s">
        <v>563</v>
      </c>
      <c r="D194" s="309" t="s">
        <v>563</v>
      </c>
      <c r="E194" s="310">
        <v>0</v>
      </c>
      <c r="F194" s="310">
        <v>0</v>
      </c>
      <c r="G194" s="311">
        <v>0</v>
      </c>
      <c r="H194" s="310" t="s">
        <v>563</v>
      </c>
      <c r="I194" s="310" t="s">
        <v>563</v>
      </c>
      <c r="J194" s="310" t="s">
        <v>563</v>
      </c>
      <c r="K194" s="312">
        <v>0</v>
      </c>
      <c r="L194" s="310">
        <v>0</v>
      </c>
      <c r="M194" s="310">
        <v>0</v>
      </c>
      <c r="N194" s="313" t="s">
        <v>563</v>
      </c>
      <c r="O194" s="314" t="s">
        <v>563</v>
      </c>
      <c r="P194" s="307">
        <f t="shared" ref="P194:P257" si="69">IF(LEFT(O194,1)="B",R194,0)</f>
        <v>0</v>
      </c>
      <c r="R194" s="91" t="str">
        <f t="shared" si="65"/>
        <v/>
      </c>
      <c r="S194" s="307" t="str">
        <f t="shared" ref="S194:S257" si="70">IF(O194="",S193&amp;"a",IF(O194&gt;0,O194,0))</f>
        <v>BKK.57aaaaaa</v>
      </c>
      <c r="T194" s="307" t="str">
        <f t="shared" ref="T194:T257" si="71">IF(G194=0,"",G194)</f>
        <v/>
      </c>
      <c r="U194" s="315" t="str">
        <f t="shared" ref="U194:U257" si="72">D194</f>
        <v/>
      </c>
      <c r="V194" s="307" t="str">
        <f t="shared" si="57"/>
        <v/>
      </c>
      <c r="W194" s="307" t="str">
        <f>IFERROR(IF(V194&gt;0,PROPER(Terbilang1(V194)&amp;" Rupiah"),0),"")</f>
        <v/>
      </c>
      <c r="X194" s="90" t="str">
        <f t="shared" si="58"/>
        <v/>
      </c>
      <c r="Y194" s="307" t="str">
        <f t="shared" si="59"/>
        <v/>
      </c>
      <c r="Z194" s="307">
        <f t="shared" ref="Z194:Z257" si="73">IF(LEN(AA194)&gt;1,AA194,IF(AA194=0,AB194,0))</f>
        <v>0</v>
      </c>
      <c r="AA194" s="366">
        <f t="shared" ref="AA194:AA257" si="74">IFERROR(IF(AND(N194&gt;1,LEFT(G194,5)="Bayar"),N194*3.5%,IF(N194&gt;2000000,N194*(IF(OR(LEFT(F194,3)="MoP",LEFT(F194,3)="GaJ"),0,11%)),0)),0)</f>
        <v>0</v>
      </c>
      <c r="AB194" s="367">
        <f t="shared" si="60"/>
        <v>0</v>
      </c>
      <c r="AC194" s="305">
        <f t="shared" si="61"/>
        <v>0</v>
      </c>
      <c r="AP194" s="89" t="str">
        <f t="shared" si="68"/>
        <v/>
      </c>
      <c r="AQ194" s="89" t="str">
        <f t="shared" si="66"/>
        <v/>
      </c>
      <c r="AR194" s="315" t="str">
        <f t="shared" si="67"/>
        <v/>
      </c>
      <c r="AS194" s="305" t="str">
        <f t="shared" si="62"/>
        <v>0</v>
      </c>
      <c r="AT194" s="307">
        <f>Table22[[#This Row],[Column1]]</f>
        <v>0</v>
      </c>
    </row>
    <row r="195" spans="1:46" x14ac:dyDescent="0.3">
      <c r="A195" s="307">
        <f t="shared" ref="A195:A258" si="75">IF(C195=1,C195&amp;"."&amp;MOD(ROW()-1,$AJ$2+1),IF(C195=2,C195&amp;"."&amp;MOD(ROW()-($AJ$2+1),$AK$2+1),IF(C195=3,C195&amp;"."&amp;MOD(ROW()-($AJ$2+$AK$2+1),$AL$2+1),IF(C195=4,C195&amp;"."&amp;MOD(ROW()-($AJ$2+$AK$2+$AL$2+1),$AM$2+1),IF(C195=5,C195&amp;"."&amp;MOD(ROW()-($AJ$2+$AK$2+$AL$2+$AM$2+1),$AN$2+1),0)))))</f>
        <v>0</v>
      </c>
      <c r="B195" s="307">
        <f t="shared" si="64"/>
        <v>0</v>
      </c>
      <c r="C195" s="308" t="s">
        <v>563</v>
      </c>
      <c r="D195" s="309" t="s">
        <v>563</v>
      </c>
      <c r="E195" s="310">
        <v>0</v>
      </c>
      <c r="F195" s="310">
        <v>0</v>
      </c>
      <c r="G195" s="311">
        <v>0</v>
      </c>
      <c r="H195" s="310" t="s">
        <v>563</v>
      </c>
      <c r="I195" s="310" t="s">
        <v>563</v>
      </c>
      <c r="J195" s="310" t="s">
        <v>563</v>
      </c>
      <c r="K195" s="312">
        <v>0</v>
      </c>
      <c r="L195" s="310">
        <v>0</v>
      </c>
      <c r="M195" s="310">
        <v>0</v>
      </c>
      <c r="N195" s="313" t="s">
        <v>563</v>
      </c>
      <c r="O195" s="314" t="s">
        <v>563</v>
      </c>
      <c r="P195" s="307">
        <f t="shared" si="69"/>
        <v>0</v>
      </c>
      <c r="R195" s="91" t="str">
        <f t="shared" si="65"/>
        <v/>
      </c>
      <c r="S195" s="307" t="str">
        <f t="shared" si="70"/>
        <v>BKK.57aaaaaaa</v>
      </c>
      <c r="T195" s="307" t="str">
        <f t="shared" si="71"/>
        <v/>
      </c>
      <c r="U195" s="315" t="str">
        <f t="shared" si="72"/>
        <v/>
      </c>
      <c r="V195" s="307" t="str">
        <f t="shared" ref="V195:V258" si="76">N195</f>
        <v/>
      </c>
      <c r="W195" s="307" t="str">
        <f>IFERROR(IF(V195&gt;0,PROPER(Terbilang1(V195)&amp;" Rupiah"),0),"")</f>
        <v/>
      </c>
      <c r="X195" s="90" t="str">
        <f t="shared" ref="X195:X258" si="77">J195</f>
        <v/>
      </c>
      <c r="Y195" s="307" t="str">
        <f t="shared" ref="Y195:Y258" si="78">H195</f>
        <v/>
      </c>
      <c r="Z195" s="307">
        <f t="shared" si="73"/>
        <v>0</v>
      </c>
      <c r="AA195" s="366">
        <f t="shared" si="74"/>
        <v>0</v>
      </c>
      <c r="AB195" s="367">
        <f t="shared" ref="AB195:AB258" si="79">IF(LEN(AA194)&gt;1,IF(LEFT(G194,5)="Bayar",0,IF(LEFT(G194,6)="PEMASA",(N194*100/111*1.5%),N194*0.015)),0)</f>
        <v>0</v>
      </c>
      <c r="AC195" s="305">
        <f t="shared" ref="AC195:AC258" si="80">IF(LEN(AA195)&gt;1,IF(LEFT(G195,6)="PEMASA","Terima Pajak PPN (11 %) "&amp;O195,IF(LEFT(G195,5)="Bayar","Terima PPh Pasal 4 ayat 2 (3,5 %) "&amp;O195,"Bayar Pajak PPN (11 %) "&amp;O195)),IF(AB195&gt;0,IF(LEFT(AC194,6)="Terima","Terima Pajak PPH (1,5%) "&amp;O194,"Bayar Pajak PPH (1,5 %) "&amp;O194),0))</f>
        <v>0</v>
      </c>
      <c r="AP195" s="89" t="str">
        <f t="shared" si="68"/>
        <v/>
      </c>
      <c r="AQ195" s="89" t="str">
        <f t="shared" si="66"/>
        <v/>
      </c>
      <c r="AR195" s="315" t="str">
        <f t="shared" si="67"/>
        <v/>
      </c>
      <c r="AS195" s="305" t="str">
        <f t="shared" ref="AS195:AS258" si="81">IF(AC195="","",LEFT(AC195,15))</f>
        <v>0</v>
      </c>
      <c r="AT195" s="307">
        <f>Table22[[#This Row],[Column1]]</f>
        <v>0</v>
      </c>
    </row>
    <row r="196" spans="1:46" x14ac:dyDescent="0.3">
      <c r="A196" s="307">
        <f t="shared" si="75"/>
        <v>0</v>
      </c>
      <c r="B196" s="307">
        <f t="shared" si="64"/>
        <v>0</v>
      </c>
      <c r="C196" s="308" t="s">
        <v>563</v>
      </c>
      <c r="D196" s="309" t="s">
        <v>563</v>
      </c>
      <c r="E196" s="310">
        <v>0</v>
      </c>
      <c r="F196" s="310">
        <v>0</v>
      </c>
      <c r="G196" s="311">
        <v>0</v>
      </c>
      <c r="H196" s="310" t="s">
        <v>563</v>
      </c>
      <c r="I196" s="310" t="s">
        <v>563</v>
      </c>
      <c r="J196" s="310" t="s">
        <v>563</v>
      </c>
      <c r="K196" s="312">
        <v>0</v>
      </c>
      <c r="L196" s="310">
        <v>0</v>
      </c>
      <c r="M196" s="310">
        <v>0</v>
      </c>
      <c r="N196" s="313" t="s">
        <v>563</v>
      </c>
      <c r="O196" s="314" t="s">
        <v>563</v>
      </c>
      <c r="P196" s="307">
        <f t="shared" si="69"/>
        <v>0</v>
      </c>
      <c r="R196" s="91" t="str">
        <f t="shared" si="65"/>
        <v/>
      </c>
      <c r="S196" s="307" t="str">
        <f t="shared" si="70"/>
        <v>BKK.57aaaaaaaa</v>
      </c>
      <c r="T196" s="307" t="str">
        <f t="shared" si="71"/>
        <v/>
      </c>
      <c r="U196" s="315" t="str">
        <f t="shared" si="72"/>
        <v/>
      </c>
      <c r="V196" s="307" t="str">
        <f t="shared" si="76"/>
        <v/>
      </c>
      <c r="W196" s="307" t="str">
        <f>IFERROR(IF(V196&gt;0,PROPER(Terbilang1(V196)&amp;" Rupiah"),0),"")</f>
        <v/>
      </c>
      <c r="X196" s="90" t="str">
        <f t="shared" si="77"/>
        <v/>
      </c>
      <c r="Y196" s="307" t="str">
        <f t="shared" si="78"/>
        <v/>
      </c>
      <c r="Z196" s="307">
        <f t="shared" si="73"/>
        <v>0</v>
      </c>
      <c r="AA196" s="366">
        <f t="shared" si="74"/>
        <v>0</v>
      </c>
      <c r="AB196" s="367">
        <f t="shared" si="79"/>
        <v>0</v>
      </c>
      <c r="AC196" s="305">
        <f t="shared" si="80"/>
        <v>0</v>
      </c>
      <c r="AP196" s="89" t="str">
        <f t="shared" si="68"/>
        <v/>
      </c>
      <c r="AQ196" s="89" t="str">
        <f t="shared" si="66"/>
        <v/>
      </c>
      <c r="AR196" s="315" t="str">
        <f t="shared" si="67"/>
        <v/>
      </c>
      <c r="AS196" s="305" t="str">
        <f t="shared" si="81"/>
        <v>0</v>
      </c>
      <c r="AT196" s="307">
        <f>Table22[[#This Row],[Column1]]</f>
        <v>0</v>
      </c>
    </row>
    <row r="197" spans="1:46" x14ac:dyDescent="0.3">
      <c r="A197" s="307">
        <f t="shared" si="75"/>
        <v>0</v>
      </c>
      <c r="B197" s="307">
        <f t="shared" si="64"/>
        <v>0</v>
      </c>
      <c r="C197" s="308" t="s">
        <v>563</v>
      </c>
      <c r="D197" s="309" t="s">
        <v>563</v>
      </c>
      <c r="E197" s="310">
        <v>0</v>
      </c>
      <c r="F197" s="310">
        <v>0</v>
      </c>
      <c r="G197" s="311">
        <v>0</v>
      </c>
      <c r="H197" s="310" t="s">
        <v>563</v>
      </c>
      <c r="I197" s="310" t="s">
        <v>563</v>
      </c>
      <c r="J197" s="310" t="s">
        <v>563</v>
      </c>
      <c r="K197" s="312">
        <v>0</v>
      </c>
      <c r="L197" s="310">
        <v>0</v>
      </c>
      <c r="M197" s="310">
        <v>0</v>
      </c>
      <c r="N197" s="313" t="s">
        <v>563</v>
      </c>
      <c r="O197" s="314" t="s">
        <v>563</v>
      </c>
      <c r="P197" s="307">
        <f t="shared" si="69"/>
        <v>0</v>
      </c>
      <c r="R197" s="91" t="str">
        <f t="shared" si="65"/>
        <v/>
      </c>
      <c r="S197" s="307" t="str">
        <f t="shared" si="70"/>
        <v>BKK.57aaaaaaaaa</v>
      </c>
      <c r="T197" s="307" t="str">
        <f t="shared" si="71"/>
        <v/>
      </c>
      <c r="U197" s="315" t="str">
        <f t="shared" si="72"/>
        <v/>
      </c>
      <c r="V197" s="307" t="str">
        <f>N197</f>
        <v/>
      </c>
      <c r="W197" s="307" t="str">
        <f>IFERROR(IF(V197&gt;0,PROPER(Terbilang1(V197)&amp;" Rupiah"),0),"")</f>
        <v/>
      </c>
      <c r="X197" s="90" t="str">
        <f t="shared" si="77"/>
        <v/>
      </c>
      <c r="Y197" s="307" t="str">
        <f t="shared" si="78"/>
        <v/>
      </c>
      <c r="Z197" s="307">
        <f t="shared" si="73"/>
        <v>0</v>
      </c>
      <c r="AA197" s="366">
        <f t="shared" si="74"/>
        <v>0</v>
      </c>
      <c r="AB197" s="367">
        <f t="shared" si="79"/>
        <v>0</v>
      </c>
      <c r="AC197" s="305">
        <f t="shared" si="80"/>
        <v>0</v>
      </c>
      <c r="AP197" s="89" t="str">
        <f t="shared" si="68"/>
        <v/>
      </c>
      <c r="AQ197" s="89" t="str">
        <f t="shared" si="66"/>
        <v/>
      </c>
      <c r="AR197" s="315" t="str">
        <f t="shared" si="67"/>
        <v/>
      </c>
      <c r="AS197" s="305" t="str">
        <f t="shared" si="81"/>
        <v>0</v>
      </c>
      <c r="AT197" s="307">
        <f>Table22[[#This Row],[Column1]]</f>
        <v>0</v>
      </c>
    </row>
    <row r="198" spans="1:46" x14ac:dyDescent="0.3">
      <c r="A198" s="307">
        <f t="shared" si="75"/>
        <v>0</v>
      </c>
      <c r="B198" s="307">
        <f t="shared" si="64"/>
        <v>0</v>
      </c>
      <c r="C198" s="308" t="s">
        <v>563</v>
      </c>
      <c r="D198" s="309" t="s">
        <v>563</v>
      </c>
      <c r="E198" s="310">
        <v>0</v>
      </c>
      <c r="F198" s="310">
        <v>0</v>
      </c>
      <c r="G198" s="311">
        <v>0</v>
      </c>
      <c r="H198" s="310" t="s">
        <v>563</v>
      </c>
      <c r="I198" s="310" t="s">
        <v>563</v>
      </c>
      <c r="J198" s="310" t="s">
        <v>563</v>
      </c>
      <c r="K198" s="312">
        <v>0</v>
      </c>
      <c r="L198" s="310">
        <v>0</v>
      </c>
      <c r="M198" s="310">
        <v>0</v>
      </c>
      <c r="N198" s="313" t="s">
        <v>563</v>
      </c>
      <c r="O198" s="314" t="s">
        <v>563</v>
      </c>
      <c r="P198" s="307">
        <f t="shared" si="69"/>
        <v>0</v>
      </c>
      <c r="R198" s="91" t="str">
        <f t="shared" si="65"/>
        <v/>
      </c>
      <c r="S198" s="307" t="str">
        <f t="shared" si="70"/>
        <v>BKK.57aaaaaaaaaa</v>
      </c>
      <c r="T198" s="307" t="str">
        <f t="shared" si="71"/>
        <v/>
      </c>
      <c r="U198" s="315" t="str">
        <f t="shared" si="72"/>
        <v/>
      </c>
      <c r="V198" s="307" t="str">
        <f t="shared" si="76"/>
        <v/>
      </c>
      <c r="W198" s="307" t="str">
        <f>IFERROR(IF(V198&gt;0,PROPER(Terbilang1(V198)&amp;" Rupiah"),0),"")</f>
        <v/>
      </c>
      <c r="X198" s="90" t="str">
        <f t="shared" si="77"/>
        <v/>
      </c>
      <c r="Y198" s="307" t="str">
        <f t="shared" si="78"/>
        <v/>
      </c>
      <c r="Z198" s="307">
        <f t="shared" si="73"/>
        <v>0</v>
      </c>
      <c r="AA198" s="366">
        <f t="shared" si="74"/>
        <v>0</v>
      </c>
      <c r="AB198" s="367">
        <f t="shared" si="79"/>
        <v>0</v>
      </c>
      <c r="AC198" s="305">
        <f t="shared" si="80"/>
        <v>0</v>
      </c>
      <c r="AP198" s="89" t="str">
        <f t="shared" si="68"/>
        <v/>
      </c>
      <c r="AQ198" s="89" t="str">
        <f t="shared" si="66"/>
        <v/>
      </c>
      <c r="AR198" s="315" t="str">
        <f t="shared" si="67"/>
        <v/>
      </c>
      <c r="AS198" s="305" t="str">
        <f t="shared" si="81"/>
        <v>0</v>
      </c>
      <c r="AT198" s="307">
        <f>Table22[[#This Row],[Column1]]</f>
        <v>0</v>
      </c>
    </row>
    <row r="199" spans="1:46" x14ac:dyDescent="0.3">
      <c r="A199" s="307">
        <f t="shared" si="75"/>
        <v>0</v>
      </c>
      <c r="B199" s="307">
        <f t="shared" si="64"/>
        <v>0</v>
      </c>
      <c r="C199" s="308" t="s">
        <v>563</v>
      </c>
      <c r="D199" s="309" t="s">
        <v>563</v>
      </c>
      <c r="E199" s="310">
        <v>0</v>
      </c>
      <c r="F199" s="310">
        <v>0</v>
      </c>
      <c r="G199" s="311">
        <v>0</v>
      </c>
      <c r="H199" s="310" t="s">
        <v>563</v>
      </c>
      <c r="I199" s="310" t="s">
        <v>563</v>
      </c>
      <c r="J199" s="310" t="s">
        <v>563</v>
      </c>
      <c r="K199" s="312">
        <v>0</v>
      </c>
      <c r="L199" s="310">
        <v>0</v>
      </c>
      <c r="M199" s="310">
        <v>0</v>
      </c>
      <c r="N199" s="313" t="s">
        <v>563</v>
      </c>
      <c r="O199" s="314" t="s">
        <v>563</v>
      </c>
      <c r="P199" s="307">
        <f t="shared" si="69"/>
        <v>0</v>
      </c>
      <c r="R199" s="91" t="str">
        <f t="shared" si="65"/>
        <v/>
      </c>
      <c r="S199" s="307" t="str">
        <f t="shared" si="70"/>
        <v>BKK.57aaaaaaaaaaa</v>
      </c>
      <c r="T199" s="307" t="str">
        <f t="shared" si="71"/>
        <v/>
      </c>
      <c r="U199" s="315" t="str">
        <f t="shared" si="72"/>
        <v/>
      </c>
      <c r="V199" s="307" t="str">
        <f t="shared" si="76"/>
        <v/>
      </c>
      <c r="W199" s="307" t="str">
        <f>IFERROR(IF(V199&gt;0,PROPER(Terbilang1(V199)&amp;" Rupiah"),0),"")</f>
        <v/>
      </c>
      <c r="X199" s="90" t="str">
        <f t="shared" si="77"/>
        <v/>
      </c>
      <c r="Y199" s="307" t="str">
        <f t="shared" si="78"/>
        <v/>
      </c>
      <c r="Z199" s="307">
        <f t="shared" si="73"/>
        <v>0</v>
      </c>
      <c r="AA199" s="366">
        <f t="shared" si="74"/>
        <v>0</v>
      </c>
      <c r="AB199" s="367">
        <f t="shared" si="79"/>
        <v>0</v>
      </c>
      <c r="AC199" s="305">
        <f t="shared" si="80"/>
        <v>0</v>
      </c>
      <c r="AP199" s="89" t="str">
        <f t="shared" si="68"/>
        <v/>
      </c>
      <c r="AQ199" s="89" t="str">
        <f t="shared" si="66"/>
        <v/>
      </c>
      <c r="AR199" s="315" t="str">
        <f t="shared" si="67"/>
        <v/>
      </c>
      <c r="AS199" s="305" t="str">
        <f t="shared" si="81"/>
        <v>0</v>
      </c>
      <c r="AT199" s="307">
        <f>Table22[[#This Row],[Column1]]</f>
        <v>0</v>
      </c>
    </row>
    <row r="200" spans="1:46" x14ac:dyDescent="0.3">
      <c r="A200" s="307">
        <f t="shared" si="75"/>
        <v>0</v>
      </c>
      <c r="B200" s="307">
        <f t="shared" si="64"/>
        <v>0</v>
      </c>
      <c r="C200" s="308" t="s">
        <v>563</v>
      </c>
      <c r="D200" s="309" t="s">
        <v>563</v>
      </c>
      <c r="E200" s="310">
        <v>0</v>
      </c>
      <c r="F200" s="310">
        <v>0</v>
      </c>
      <c r="G200" s="311">
        <v>0</v>
      </c>
      <c r="H200" s="310" t="s">
        <v>563</v>
      </c>
      <c r="I200" s="310" t="s">
        <v>563</v>
      </c>
      <c r="J200" s="310" t="s">
        <v>563</v>
      </c>
      <c r="K200" s="312">
        <v>0</v>
      </c>
      <c r="L200" s="310">
        <v>0</v>
      </c>
      <c r="M200" s="310">
        <v>0</v>
      </c>
      <c r="N200" s="313" t="s">
        <v>563</v>
      </c>
      <c r="O200" s="314" t="s">
        <v>563</v>
      </c>
      <c r="P200" s="307">
        <f t="shared" si="69"/>
        <v>0</v>
      </c>
      <c r="R200" s="91" t="str">
        <f t="shared" si="65"/>
        <v/>
      </c>
      <c r="S200" s="307" t="str">
        <f t="shared" si="70"/>
        <v>BKK.57aaaaaaaaaaaa</v>
      </c>
      <c r="T200" s="307" t="str">
        <f t="shared" si="71"/>
        <v/>
      </c>
      <c r="U200" s="315" t="str">
        <f t="shared" si="72"/>
        <v/>
      </c>
      <c r="V200" s="307" t="str">
        <f t="shared" si="76"/>
        <v/>
      </c>
      <c r="W200" s="307" t="str">
        <f>IFERROR(IF(V200&gt;0,PROPER(Terbilang1(V200)&amp;" Rupiah"),0),"")</f>
        <v/>
      </c>
      <c r="X200" s="90" t="str">
        <f t="shared" si="77"/>
        <v/>
      </c>
      <c r="Y200" s="307" t="str">
        <f t="shared" si="78"/>
        <v/>
      </c>
      <c r="Z200" s="307">
        <f t="shared" si="73"/>
        <v>0</v>
      </c>
      <c r="AA200" s="366">
        <f t="shared" si="74"/>
        <v>0</v>
      </c>
      <c r="AB200" s="367">
        <f t="shared" si="79"/>
        <v>0</v>
      </c>
      <c r="AC200" s="305">
        <f t="shared" si="80"/>
        <v>0</v>
      </c>
      <c r="AP200" s="89" t="str">
        <f t="shared" si="68"/>
        <v/>
      </c>
      <c r="AQ200" s="89" t="str">
        <f t="shared" si="66"/>
        <v/>
      </c>
      <c r="AR200" s="315" t="str">
        <f t="shared" si="67"/>
        <v/>
      </c>
      <c r="AS200" s="305" t="str">
        <f t="shared" si="81"/>
        <v>0</v>
      </c>
      <c r="AT200" s="307">
        <f>Table22[[#This Row],[Column1]]</f>
        <v>0</v>
      </c>
    </row>
    <row r="201" spans="1:46" x14ac:dyDescent="0.3">
      <c r="A201" s="307">
        <f t="shared" si="75"/>
        <v>0</v>
      </c>
      <c r="B201" s="307">
        <f t="shared" si="64"/>
        <v>0</v>
      </c>
      <c r="C201" s="308" t="s">
        <v>563</v>
      </c>
      <c r="D201" s="309" t="s">
        <v>563</v>
      </c>
      <c r="E201" s="310">
        <v>0</v>
      </c>
      <c r="F201" s="310">
        <v>0</v>
      </c>
      <c r="G201" s="311">
        <v>0</v>
      </c>
      <c r="H201" s="310" t="s">
        <v>563</v>
      </c>
      <c r="I201" s="310" t="s">
        <v>563</v>
      </c>
      <c r="J201" s="310" t="s">
        <v>563</v>
      </c>
      <c r="K201" s="312">
        <v>0</v>
      </c>
      <c r="L201" s="310">
        <v>0</v>
      </c>
      <c r="M201" s="310">
        <v>0</v>
      </c>
      <c r="N201" s="313" t="s">
        <v>563</v>
      </c>
      <c r="O201" s="314" t="s">
        <v>563</v>
      </c>
      <c r="P201" s="307">
        <f t="shared" si="69"/>
        <v>0</v>
      </c>
      <c r="R201" s="91" t="str">
        <f t="shared" si="65"/>
        <v/>
      </c>
      <c r="S201" s="307" t="str">
        <f t="shared" si="70"/>
        <v>BKK.57aaaaaaaaaaaaa</v>
      </c>
      <c r="T201" s="307" t="str">
        <f t="shared" si="71"/>
        <v/>
      </c>
      <c r="U201" s="315" t="str">
        <f t="shared" si="72"/>
        <v/>
      </c>
      <c r="V201" s="307" t="str">
        <f t="shared" si="76"/>
        <v/>
      </c>
      <c r="W201" s="307" t="str">
        <f>IFERROR(IF(V201&gt;0,PROPER(Terbilang1(V201)&amp;" Rupiah"),0),"")</f>
        <v/>
      </c>
      <c r="X201" s="90" t="str">
        <f t="shared" si="77"/>
        <v/>
      </c>
      <c r="Y201" s="307" t="str">
        <f t="shared" si="78"/>
        <v/>
      </c>
      <c r="Z201" s="307">
        <f t="shared" si="73"/>
        <v>0</v>
      </c>
      <c r="AA201" s="366">
        <f t="shared" si="74"/>
        <v>0</v>
      </c>
      <c r="AB201" s="367">
        <f t="shared" si="79"/>
        <v>0</v>
      </c>
      <c r="AC201" s="305">
        <f t="shared" si="80"/>
        <v>0</v>
      </c>
      <c r="AP201" s="89" t="str">
        <f t="shared" si="68"/>
        <v/>
      </c>
      <c r="AQ201" s="89" t="str">
        <f t="shared" si="66"/>
        <v/>
      </c>
      <c r="AR201" s="315" t="str">
        <f t="shared" si="67"/>
        <v/>
      </c>
      <c r="AS201" s="305" t="str">
        <f t="shared" si="81"/>
        <v>0</v>
      </c>
      <c r="AT201" s="307">
        <f>Table22[[#This Row],[Column1]]</f>
        <v>0</v>
      </c>
    </row>
    <row r="202" spans="1:46" x14ac:dyDescent="0.3">
      <c r="A202" s="307">
        <f t="shared" si="75"/>
        <v>0</v>
      </c>
      <c r="B202" s="307">
        <f t="shared" si="64"/>
        <v>0</v>
      </c>
      <c r="C202" s="308" t="s">
        <v>563</v>
      </c>
      <c r="D202" s="309" t="s">
        <v>563</v>
      </c>
      <c r="E202" s="310">
        <v>0</v>
      </c>
      <c r="F202" s="310">
        <v>0</v>
      </c>
      <c r="G202" s="311">
        <v>0</v>
      </c>
      <c r="H202" s="310" t="s">
        <v>563</v>
      </c>
      <c r="I202" s="310" t="s">
        <v>563</v>
      </c>
      <c r="J202" s="310" t="s">
        <v>563</v>
      </c>
      <c r="K202" s="312">
        <v>0</v>
      </c>
      <c r="L202" s="310">
        <v>0</v>
      </c>
      <c r="M202" s="310">
        <v>0</v>
      </c>
      <c r="N202" s="313" t="s">
        <v>563</v>
      </c>
      <c r="O202" s="314" t="s">
        <v>563</v>
      </c>
      <c r="P202" s="307">
        <f t="shared" si="69"/>
        <v>0</v>
      </c>
      <c r="R202" s="91" t="str">
        <f t="shared" si="65"/>
        <v/>
      </c>
      <c r="S202" s="307" t="str">
        <f t="shared" si="70"/>
        <v>BKK.57aaaaaaaaaaaaaa</v>
      </c>
      <c r="T202" s="307" t="str">
        <f t="shared" si="71"/>
        <v/>
      </c>
      <c r="U202" s="315" t="str">
        <f t="shared" si="72"/>
        <v/>
      </c>
      <c r="V202" s="307" t="str">
        <f>N202</f>
        <v/>
      </c>
      <c r="W202" s="307" t="str">
        <f>IFERROR(IF(V202&gt;0,PROPER(Terbilang1(V202)&amp;" Rupiah"),0),"")</f>
        <v/>
      </c>
      <c r="X202" s="90" t="str">
        <f t="shared" si="77"/>
        <v/>
      </c>
      <c r="Y202" s="307" t="str">
        <f t="shared" si="78"/>
        <v/>
      </c>
      <c r="Z202" s="307">
        <f t="shared" si="73"/>
        <v>0</v>
      </c>
      <c r="AA202" s="366">
        <f t="shared" si="74"/>
        <v>0</v>
      </c>
      <c r="AB202" s="367">
        <f t="shared" si="79"/>
        <v>0</v>
      </c>
      <c r="AC202" s="305">
        <f t="shared" si="80"/>
        <v>0</v>
      </c>
      <c r="AP202" s="89" t="str">
        <f t="shared" si="68"/>
        <v/>
      </c>
      <c r="AQ202" s="89" t="str">
        <f t="shared" si="66"/>
        <v/>
      </c>
      <c r="AR202" s="315" t="str">
        <f t="shared" si="67"/>
        <v/>
      </c>
      <c r="AS202" s="305" t="str">
        <f t="shared" si="81"/>
        <v>0</v>
      </c>
      <c r="AT202" s="307">
        <f>Table22[[#This Row],[Column1]]</f>
        <v>0</v>
      </c>
    </row>
    <row r="203" spans="1:46" x14ac:dyDescent="0.3">
      <c r="A203" s="307">
        <f t="shared" si="75"/>
        <v>0</v>
      </c>
      <c r="B203" s="307">
        <f t="shared" si="64"/>
        <v>0</v>
      </c>
      <c r="C203" s="308" t="s">
        <v>563</v>
      </c>
      <c r="D203" s="309" t="s">
        <v>563</v>
      </c>
      <c r="E203" s="310">
        <v>0</v>
      </c>
      <c r="F203" s="310">
        <v>0</v>
      </c>
      <c r="G203" s="311">
        <v>0</v>
      </c>
      <c r="H203" s="310" t="s">
        <v>563</v>
      </c>
      <c r="I203" s="310" t="s">
        <v>563</v>
      </c>
      <c r="J203" s="310" t="s">
        <v>563</v>
      </c>
      <c r="K203" s="312">
        <v>0</v>
      </c>
      <c r="L203" s="310">
        <v>0</v>
      </c>
      <c r="M203" s="310">
        <v>0</v>
      </c>
      <c r="N203" s="313" t="s">
        <v>563</v>
      </c>
      <c r="O203" s="314" t="s">
        <v>563</v>
      </c>
      <c r="P203" s="307">
        <f t="shared" si="69"/>
        <v>0</v>
      </c>
      <c r="R203" s="91" t="str">
        <f t="shared" si="65"/>
        <v/>
      </c>
      <c r="S203" s="307" t="str">
        <f t="shared" si="70"/>
        <v>BKK.57aaaaaaaaaaaaaaa</v>
      </c>
      <c r="T203" s="307" t="str">
        <f t="shared" si="71"/>
        <v/>
      </c>
      <c r="U203" s="315" t="str">
        <f t="shared" si="72"/>
        <v/>
      </c>
      <c r="V203" s="307" t="str">
        <f t="shared" si="76"/>
        <v/>
      </c>
      <c r="W203" s="307" t="str">
        <f>IFERROR(IF(V203&gt;0,PROPER(Terbilang1(V203)&amp;" Rupiah"),0),"")</f>
        <v/>
      </c>
      <c r="X203" s="90" t="str">
        <f t="shared" si="77"/>
        <v/>
      </c>
      <c r="Y203" s="307" t="str">
        <f t="shared" si="78"/>
        <v/>
      </c>
      <c r="Z203" s="307">
        <f t="shared" si="73"/>
        <v>0</v>
      </c>
      <c r="AA203" s="366">
        <f t="shared" si="74"/>
        <v>0</v>
      </c>
      <c r="AB203" s="367">
        <f t="shared" si="79"/>
        <v>0</v>
      </c>
      <c r="AC203" s="305">
        <f t="shared" si="80"/>
        <v>0</v>
      </c>
      <c r="AP203" s="89" t="str">
        <f t="shared" si="68"/>
        <v/>
      </c>
      <c r="AQ203" s="89" t="str">
        <f t="shared" si="66"/>
        <v/>
      </c>
      <c r="AR203" s="315" t="str">
        <f t="shared" si="67"/>
        <v/>
      </c>
      <c r="AS203" s="305" t="str">
        <f t="shared" si="81"/>
        <v>0</v>
      </c>
      <c r="AT203" s="307">
        <f>Table22[[#This Row],[Column1]]</f>
        <v>0</v>
      </c>
    </row>
    <row r="204" spans="1:46" x14ac:dyDescent="0.3">
      <c r="A204" s="307">
        <f t="shared" si="75"/>
        <v>0</v>
      </c>
      <c r="B204" s="307">
        <f t="shared" si="64"/>
        <v>0</v>
      </c>
      <c r="C204" s="308" t="s">
        <v>563</v>
      </c>
      <c r="D204" s="309" t="s">
        <v>563</v>
      </c>
      <c r="E204" s="310">
        <v>0</v>
      </c>
      <c r="F204" s="310">
        <v>0</v>
      </c>
      <c r="G204" s="311">
        <v>0</v>
      </c>
      <c r="H204" s="310" t="s">
        <v>563</v>
      </c>
      <c r="I204" s="310" t="s">
        <v>563</v>
      </c>
      <c r="J204" s="310" t="s">
        <v>563</v>
      </c>
      <c r="K204" s="312">
        <v>0</v>
      </c>
      <c r="L204" s="310">
        <v>0</v>
      </c>
      <c r="M204" s="310">
        <v>0</v>
      </c>
      <c r="N204" s="313" t="s">
        <v>563</v>
      </c>
      <c r="O204" s="314" t="s">
        <v>563</v>
      </c>
      <c r="P204" s="307">
        <f t="shared" si="69"/>
        <v>0</v>
      </c>
      <c r="R204" s="91" t="str">
        <f t="shared" si="65"/>
        <v/>
      </c>
      <c r="S204" s="307" t="str">
        <f t="shared" si="70"/>
        <v>BKK.57aaaaaaaaaaaaaaaa</v>
      </c>
      <c r="T204" s="307" t="str">
        <f t="shared" si="71"/>
        <v/>
      </c>
      <c r="U204" s="315" t="str">
        <f t="shared" si="72"/>
        <v/>
      </c>
      <c r="V204" s="307" t="str">
        <f>N204</f>
        <v/>
      </c>
      <c r="W204" s="307" t="str">
        <f>IFERROR(IF(V204&gt;0,PROPER(Terbilang1(V204)&amp;" Rupiah"),0),"")</f>
        <v/>
      </c>
      <c r="X204" s="90" t="str">
        <f t="shared" si="77"/>
        <v/>
      </c>
      <c r="Y204" s="307" t="str">
        <f t="shared" si="78"/>
        <v/>
      </c>
      <c r="Z204" s="307">
        <f t="shared" si="73"/>
        <v>0</v>
      </c>
      <c r="AA204" s="366">
        <f t="shared" si="74"/>
        <v>0</v>
      </c>
      <c r="AB204" s="367">
        <f t="shared" si="79"/>
        <v>0</v>
      </c>
      <c r="AC204" s="305">
        <f t="shared" si="80"/>
        <v>0</v>
      </c>
      <c r="AP204" s="89" t="str">
        <f t="shared" si="68"/>
        <v/>
      </c>
      <c r="AQ204" s="89" t="str">
        <f t="shared" si="66"/>
        <v/>
      </c>
      <c r="AR204" s="315" t="str">
        <f t="shared" si="67"/>
        <v/>
      </c>
      <c r="AS204" s="305" t="str">
        <f t="shared" si="81"/>
        <v>0</v>
      </c>
      <c r="AT204" s="307">
        <f>Table22[[#This Row],[Column1]]</f>
        <v>0</v>
      </c>
    </row>
    <row r="205" spans="1:46" x14ac:dyDescent="0.3">
      <c r="A205" s="307">
        <f t="shared" si="75"/>
        <v>0</v>
      </c>
      <c r="B205" s="307">
        <f t="shared" si="64"/>
        <v>0</v>
      </c>
      <c r="C205" s="308" t="s">
        <v>563</v>
      </c>
      <c r="D205" s="309" t="s">
        <v>563</v>
      </c>
      <c r="E205" s="310">
        <v>0</v>
      </c>
      <c r="F205" s="310">
        <v>0</v>
      </c>
      <c r="G205" s="311">
        <v>0</v>
      </c>
      <c r="H205" s="310" t="s">
        <v>563</v>
      </c>
      <c r="I205" s="310" t="s">
        <v>563</v>
      </c>
      <c r="J205" s="310" t="s">
        <v>563</v>
      </c>
      <c r="K205" s="312">
        <v>0</v>
      </c>
      <c r="L205" s="310">
        <v>0</v>
      </c>
      <c r="M205" s="310">
        <v>0</v>
      </c>
      <c r="N205" s="313" t="s">
        <v>563</v>
      </c>
      <c r="O205" s="314" t="s">
        <v>563</v>
      </c>
      <c r="P205" s="307">
        <f t="shared" si="69"/>
        <v>0</v>
      </c>
      <c r="R205" s="91" t="str">
        <f t="shared" si="65"/>
        <v/>
      </c>
      <c r="S205" s="307" t="str">
        <f t="shared" si="70"/>
        <v>BKK.57aaaaaaaaaaaaaaaaa</v>
      </c>
      <c r="T205" s="307" t="str">
        <f t="shared" si="71"/>
        <v/>
      </c>
      <c r="U205" s="315" t="str">
        <f t="shared" si="72"/>
        <v/>
      </c>
      <c r="V205" s="307" t="str">
        <f>N205</f>
        <v/>
      </c>
      <c r="W205" s="307" t="str">
        <f>IFERROR(IF(V205&gt;0,PROPER(Terbilang1(V205)&amp;" Rupiah"),0),"")</f>
        <v/>
      </c>
      <c r="X205" s="90" t="str">
        <f t="shared" si="77"/>
        <v/>
      </c>
      <c r="Y205" s="307" t="str">
        <f t="shared" si="78"/>
        <v/>
      </c>
      <c r="Z205" s="307">
        <f t="shared" si="73"/>
        <v>0</v>
      </c>
      <c r="AA205" s="366">
        <f t="shared" si="74"/>
        <v>0</v>
      </c>
      <c r="AB205" s="367">
        <f t="shared" si="79"/>
        <v>0</v>
      </c>
      <c r="AC205" s="305">
        <f t="shared" si="80"/>
        <v>0</v>
      </c>
      <c r="AP205" s="89" t="str">
        <f t="shared" si="68"/>
        <v/>
      </c>
      <c r="AQ205" s="89" t="str">
        <f t="shared" si="66"/>
        <v/>
      </c>
      <c r="AR205" s="315" t="str">
        <f t="shared" si="67"/>
        <v/>
      </c>
      <c r="AS205" s="305" t="str">
        <f t="shared" si="81"/>
        <v>0</v>
      </c>
      <c r="AT205" s="307">
        <f>Table22[[#This Row],[Column1]]</f>
        <v>0</v>
      </c>
    </row>
    <row r="206" spans="1:46" x14ac:dyDescent="0.3">
      <c r="A206" s="307">
        <f t="shared" si="75"/>
        <v>0</v>
      </c>
      <c r="B206" s="307">
        <f t="shared" si="64"/>
        <v>0</v>
      </c>
      <c r="C206" s="308" t="s">
        <v>563</v>
      </c>
      <c r="D206" s="309" t="s">
        <v>563</v>
      </c>
      <c r="E206" s="310">
        <v>0</v>
      </c>
      <c r="F206" s="310">
        <v>0</v>
      </c>
      <c r="G206" s="311">
        <v>0</v>
      </c>
      <c r="H206" s="310" t="s">
        <v>563</v>
      </c>
      <c r="I206" s="310" t="s">
        <v>563</v>
      </c>
      <c r="J206" s="310" t="s">
        <v>563</v>
      </c>
      <c r="K206" s="312">
        <v>0</v>
      </c>
      <c r="L206" s="310">
        <v>0</v>
      </c>
      <c r="M206" s="310">
        <v>0</v>
      </c>
      <c r="N206" s="313" t="s">
        <v>563</v>
      </c>
      <c r="O206" s="314" t="s">
        <v>563</v>
      </c>
      <c r="P206" s="307">
        <f t="shared" si="69"/>
        <v>0</v>
      </c>
      <c r="R206" s="91" t="str">
        <f t="shared" si="65"/>
        <v/>
      </c>
      <c r="S206" s="307" t="str">
        <f t="shared" si="70"/>
        <v>BKK.57aaaaaaaaaaaaaaaaaa</v>
      </c>
      <c r="T206" s="307" t="str">
        <f t="shared" si="71"/>
        <v/>
      </c>
      <c r="U206" s="315" t="str">
        <f t="shared" si="72"/>
        <v/>
      </c>
      <c r="V206" s="307" t="str">
        <f t="shared" si="76"/>
        <v/>
      </c>
      <c r="W206" s="307" t="str">
        <f>IFERROR(IF(V206&gt;0,PROPER(Terbilang1(V206)&amp;" Rupiah"),0),"")</f>
        <v/>
      </c>
      <c r="X206" s="90" t="str">
        <f t="shared" si="77"/>
        <v/>
      </c>
      <c r="Y206" s="307" t="str">
        <f t="shared" si="78"/>
        <v/>
      </c>
      <c r="Z206" s="307">
        <f t="shared" si="73"/>
        <v>0</v>
      </c>
      <c r="AA206" s="366">
        <f t="shared" si="74"/>
        <v>0</v>
      </c>
      <c r="AB206" s="367">
        <f t="shared" si="79"/>
        <v>0</v>
      </c>
      <c r="AC206" s="305">
        <f t="shared" si="80"/>
        <v>0</v>
      </c>
      <c r="AP206" s="89" t="str">
        <f t="shared" si="68"/>
        <v/>
      </c>
      <c r="AQ206" s="89" t="str">
        <f t="shared" si="66"/>
        <v/>
      </c>
      <c r="AR206" s="315" t="str">
        <f t="shared" si="67"/>
        <v/>
      </c>
      <c r="AS206" s="305" t="str">
        <f t="shared" si="81"/>
        <v>0</v>
      </c>
      <c r="AT206" s="307">
        <f>Table22[[#This Row],[Column1]]</f>
        <v>0</v>
      </c>
    </row>
    <row r="207" spans="1:46" x14ac:dyDescent="0.3">
      <c r="A207" s="307">
        <f t="shared" si="75"/>
        <v>0</v>
      </c>
      <c r="B207" s="307">
        <f t="shared" si="64"/>
        <v>0</v>
      </c>
      <c r="C207" s="308" t="s">
        <v>563</v>
      </c>
      <c r="D207" s="309" t="s">
        <v>563</v>
      </c>
      <c r="E207" s="310">
        <v>0</v>
      </c>
      <c r="F207" s="310">
        <v>0</v>
      </c>
      <c r="G207" s="311">
        <v>0</v>
      </c>
      <c r="H207" s="310" t="s">
        <v>563</v>
      </c>
      <c r="I207" s="310" t="s">
        <v>563</v>
      </c>
      <c r="J207" s="310" t="s">
        <v>563</v>
      </c>
      <c r="K207" s="312">
        <v>0</v>
      </c>
      <c r="L207" s="310">
        <v>0</v>
      </c>
      <c r="M207" s="310">
        <v>0</v>
      </c>
      <c r="N207" s="313" t="s">
        <v>563</v>
      </c>
      <c r="O207" s="314" t="s">
        <v>563</v>
      </c>
      <c r="P207" s="307">
        <f t="shared" si="69"/>
        <v>0</v>
      </c>
      <c r="R207" s="91" t="str">
        <f t="shared" si="65"/>
        <v/>
      </c>
      <c r="S207" s="307" t="str">
        <f t="shared" si="70"/>
        <v>BKK.57aaaaaaaaaaaaaaaaaaa</v>
      </c>
      <c r="T207" s="307" t="str">
        <f t="shared" si="71"/>
        <v/>
      </c>
      <c r="U207" s="315" t="str">
        <f t="shared" si="72"/>
        <v/>
      </c>
      <c r="V207" s="307" t="str">
        <f>N207</f>
        <v/>
      </c>
      <c r="W207" s="307" t="str">
        <f>IFERROR(IF(V207&gt;0,PROPER(Terbilang1(V207)&amp;" Rupiah"),0),"")</f>
        <v/>
      </c>
      <c r="X207" s="90" t="str">
        <f t="shared" si="77"/>
        <v/>
      </c>
      <c r="Y207" s="307" t="str">
        <f t="shared" si="78"/>
        <v/>
      </c>
      <c r="Z207" s="307">
        <f t="shared" si="73"/>
        <v>0</v>
      </c>
      <c r="AA207" s="366">
        <f t="shared" si="74"/>
        <v>0</v>
      </c>
      <c r="AB207" s="367">
        <f t="shared" si="79"/>
        <v>0</v>
      </c>
      <c r="AC207" s="305">
        <f t="shared" si="80"/>
        <v>0</v>
      </c>
      <c r="AP207" s="89" t="str">
        <f t="shared" si="68"/>
        <v/>
      </c>
      <c r="AQ207" s="89" t="str">
        <f t="shared" si="66"/>
        <v/>
      </c>
      <c r="AR207" s="315" t="str">
        <f t="shared" si="67"/>
        <v/>
      </c>
      <c r="AS207" s="305" t="str">
        <f t="shared" si="81"/>
        <v>0</v>
      </c>
      <c r="AT207" s="307">
        <f>Table22[[#This Row],[Column1]]</f>
        <v>0</v>
      </c>
    </row>
    <row r="208" spans="1:46" x14ac:dyDescent="0.3">
      <c r="A208" s="307">
        <f t="shared" si="75"/>
        <v>0</v>
      </c>
      <c r="B208" s="307">
        <f t="shared" si="64"/>
        <v>0</v>
      </c>
      <c r="C208" s="308" t="s">
        <v>563</v>
      </c>
      <c r="D208" s="309" t="s">
        <v>563</v>
      </c>
      <c r="E208" s="310">
        <v>0</v>
      </c>
      <c r="F208" s="310">
        <v>0</v>
      </c>
      <c r="G208" s="311">
        <v>0</v>
      </c>
      <c r="H208" s="310" t="s">
        <v>563</v>
      </c>
      <c r="I208" s="310" t="s">
        <v>563</v>
      </c>
      <c r="J208" s="310" t="s">
        <v>563</v>
      </c>
      <c r="K208" s="312">
        <v>0</v>
      </c>
      <c r="L208" s="310">
        <v>0</v>
      </c>
      <c r="M208" s="310">
        <v>0</v>
      </c>
      <c r="N208" s="313" t="s">
        <v>563</v>
      </c>
      <c r="O208" s="314" t="s">
        <v>563</v>
      </c>
      <c r="P208" s="307">
        <f t="shared" si="69"/>
        <v>0</v>
      </c>
      <c r="R208" s="91" t="str">
        <f t="shared" si="65"/>
        <v/>
      </c>
      <c r="S208" s="307" t="str">
        <f t="shared" si="70"/>
        <v>BKK.57aaaaaaaaaaaaaaaaaaaa</v>
      </c>
      <c r="T208" s="307" t="str">
        <f t="shared" si="71"/>
        <v/>
      </c>
      <c r="U208" s="315" t="str">
        <f t="shared" si="72"/>
        <v/>
      </c>
      <c r="V208" s="307" t="str">
        <f>N208</f>
        <v/>
      </c>
      <c r="W208" s="307" t="str">
        <f>IFERROR(IF(V208&gt;0,PROPER(Terbilang1(V208)&amp;" Rupiah"),0),"")</f>
        <v/>
      </c>
      <c r="X208" s="90" t="str">
        <f t="shared" si="77"/>
        <v/>
      </c>
      <c r="Y208" s="307" t="str">
        <f t="shared" si="78"/>
        <v/>
      </c>
      <c r="Z208" s="307">
        <f t="shared" si="73"/>
        <v>0</v>
      </c>
      <c r="AA208" s="366">
        <f t="shared" si="74"/>
        <v>0</v>
      </c>
      <c r="AB208" s="367">
        <f t="shared" si="79"/>
        <v>0</v>
      </c>
      <c r="AC208" s="305">
        <f t="shared" si="80"/>
        <v>0</v>
      </c>
      <c r="AP208" s="89" t="str">
        <f t="shared" si="68"/>
        <v/>
      </c>
      <c r="AQ208" s="89" t="str">
        <f t="shared" si="66"/>
        <v/>
      </c>
      <c r="AR208" s="315" t="str">
        <f t="shared" si="67"/>
        <v/>
      </c>
      <c r="AS208" s="305" t="str">
        <f t="shared" si="81"/>
        <v>0</v>
      </c>
      <c r="AT208" s="307">
        <f>Table22[[#This Row],[Column1]]</f>
        <v>0</v>
      </c>
    </row>
    <row r="209" spans="1:46" x14ac:dyDescent="0.3">
      <c r="A209" s="307">
        <f t="shared" si="75"/>
        <v>0</v>
      </c>
      <c r="B209" s="307">
        <f t="shared" si="64"/>
        <v>0</v>
      </c>
      <c r="C209" s="308" t="s">
        <v>563</v>
      </c>
      <c r="D209" s="309" t="s">
        <v>563</v>
      </c>
      <c r="E209" s="310">
        <v>0</v>
      </c>
      <c r="F209" s="310">
        <v>0</v>
      </c>
      <c r="G209" s="311">
        <v>0</v>
      </c>
      <c r="H209" s="310" t="s">
        <v>563</v>
      </c>
      <c r="I209" s="310" t="s">
        <v>563</v>
      </c>
      <c r="J209" s="310" t="s">
        <v>563</v>
      </c>
      <c r="K209" s="312">
        <v>0</v>
      </c>
      <c r="L209" s="310">
        <v>0</v>
      </c>
      <c r="M209" s="310">
        <v>0</v>
      </c>
      <c r="N209" s="313" t="s">
        <v>563</v>
      </c>
      <c r="O209" s="314" t="s">
        <v>563</v>
      </c>
      <c r="P209" s="307">
        <f t="shared" si="69"/>
        <v>0</v>
      </c>
      <c r="R209" s="91" t="str">
        <f t="shared" si="65"/>
        <v/>
      </c>
      <c r="S209" s="307" t="str">
        <f t="shared" si="70"/>
        <v>BKK.57aaaaaaaaaaaaaaaaaaaaa</v>
      </c>
      <c r="T209" s="307" t="str">
        <f t="shared" si="71"/>
        <v/>
      </c>
      <c r="U209" s="315" t="str">
        <f t="shared" si="72"/>
        <v/>
      </c>
      <c r="V209" s="307" t="str">
        <f t="shared" si="76"/>
        <v/>
      </c>
      <c r="W209" s="307" t="str">
        <f>IFERROR(IF(V209&gt;0,PROPER(Terbilang1(V209)&amp;" Rupiah"),0),"")</f>
        <v/>
      </c>
      <c r="X209" s="90" t="str">
        <f t="shared" si="77"/>
        <v/>
      </c>
      <c r="Y209" s="307" t="str">
        <f t="shared" si="78"/>
        <v/>
      </c>
      <c r="Z209" s="307">
        <f t="shared" si="73"/>
        <v>0</v>
      </c>
      <c r="AA209" s="366">
        <f t="shared" si="74"/>
        <v>0</v>
      </c>
      <c r="AB209" s="367">
        <f t="shared" si="79"/>
        <v>0</v>
      </c>
      <c r="AC209" s="305">
        <f t="shared" si="80"/>
        <v>0</v>
      </c>
      <c r="AP209" s="89" t="str">
        <f t="shared" si="68"/>
        <v/>
      </c>
      <c r="AQ209" s="89" t="str">
        <f t="shared" si="66"/>
        <v/>
      </c>
      <c r="AR209" s="315" t="str">
        <f t="shared" si="67"/>
        <v/>
      </c>
      <c r="AS209" s="305" t="str">
        <f t="shared" si="81"/>
        <v>0</v>
      </c>
      <c r="AT209" s="307">
        <f>Table22[[#This Row],[Column1]]</f>
        <v>0</v>
      </c>
    </row>
    <row r="210" spans="1:46" x14ac:dyDescent="0.3">
      <c r="A210" s="307">
        <f t="shared" si="75"/>
        <v>0</v>
      </c>
      <c r="B210" s="307">
        <f t="shared" si="64"/>
        <v>0</v>
      </c>
      <c r="C210" s="308" t="s">
        <v>563</v>
      </c>
      <c r="D210" s="309" t="s">
        <v>563</v>
      </c>
      <c r="E210" s="310">
        <v>0</v>
      </c>
      <c r="F210" s="310">
        <v>0</v>
      </c>
      <c r="G210" s="311">
        <v>0</v>
      </c>
      <c r="H210" s="310" t="s">
        <v>563</v>
      </c>
      <c r="I210" s="310" t="s">
        <v>563</v>
      </c>
      <c r="J210" s="310" t="s">
        <v>563</v>
      </c>
      <c r="K210" s="312">
        <v>0</v>
      </c>
      <c r="L210" s="310">
        <v>0</v>
      </c>
      <c r="M210" s="310">
        <v>0</v>
      </c>
      <c r="N210" s="313" t="s">
        <v>563</v>
      </c>
      <c r="O210" s="314" t="s">
        <v>563</v>
      </c>
      <c r="P210" s="307">
        <f t="shared" si="69"/>
        <v>0</v>
      </c>
      <c r="R210" s="91" t="str">
        <f t="shared" si="65"/>
        <v/>
      </c>
      <c r="S210" s="307" t="str">
        <f t="shared" si="70"/>
        <v>BKK.57aaaaaaaaaaaaaaaaaaaaaa</v>
      </c>
      <c r="T210" s="307" t="str">
        <f t="shared" si="71"/>
        <v/>
      </c>
      <c r="U210" s="315" t="str">
        <f t="shared" si="72"/>
        <v/>
      </c>
      <c r="V210" s="307" t="str">
        <f t="shared" si="76"/>
        <v/>
      </c>
      <c r="W210" s="307" t="str">
        <f>IFERROR(IF(V210&gt;0,PROPER(Terbilang1(V210)&amp;" Rupiah"),0),"")</f>
        <v/>
      </c>
      <c r="X210" s="90" t="str">
        <f t="shared" si="77"/>
        <v/>
      </c>
      <c r="Y210" s="307" t="str">
        <f t="shared" si="78"/>
        <v/>
      </c>
      <c r="Z210" s="307">
        <f t="shared" si="73"/>
        <v>0</v>
      </c>
      <c r="AA210" s="366">
        <f t="shared" si="74"/>
        <v>0</v>
      </c>
      <c r="AB210" s="367">
        <f t="shared" si="79"/>
        <v>0</v>
      </c>
      <c r="AC210" s="305">
        <f t="shared" si="80"/>
        <v>0</v>
      </c>
      <c r="AP210" s="89" t="str">
        <f t="shared" si="68"/>
        <v/>
      </c>
      <c r="AQ210" s="89" t="str">
        <f t="shared" si="66"/>
        <v/>
      </c>
      <c r="AR210" s="315" t="str">
        <f t="shared" si="67"/>
        <v/>
      </c>
      <c r="AS210" s="305" t="str">
        <f t="shared" si="81"/>
        <v>0</v>
      </c>
      <c r="AT210" s="307">
        <f>Table22[[#This Row],[Column1]]</f>
        <v>0</v>
      </c>
    </row>
    <row r="211" spans="1:46" x14ac:dyDescent="0.3">
      <c r="A211" s="307">
        <f t="shared" si="75"/>
        <v>0</v>
      </c>
      <c r="B211" s="307">
        <f t="shared" si="64"/>
        <v>0</v>
      </c>
      <c r="C211" s="308" t="s">
        <v>563</v>
      </c>
      <c r="D211" s="309" t="s">
        <v>563</v>
      </c>
      <c r="E211" s="310">
        <v>0</v>
      </c>
      <c r="F211" s="310">
        <v>0</v>
      </c>
      <c r="G211" s="311">
        <v>0</v>
      </c>
      <c r="H211" s="310" t="s">
        <v>563</v>
      </c>
      <c r="I211" s="310" t="s">
        <v>563</v>
      </c>
      <c r="J211" s="310" t="s">
        <v>563</v>
      </c>
      <c r="K211" s="312">
        <v>0</v>
      </c>
      <c r="L211" s="310">
        <v>0</v>
      </c>
      <c r="M211" s="310">
        <v>0</v>
      </c>
      <c r="N211" s="313" t="s">
        <v>563</v>
      </c>
      <c r="O211" s="314" t="s">
        <v>563</v>
      </c>
      <c r="P211" s="307">
        <f t="shared" si="69"/>
        <v>0</v>
      </c>
      <c r="R211" s="91" t="str">
        <f t="shared" si="65"/>
        <v/>
      </c>
      <c r="S211" s="307" t="str">
        <f t="shared" si="70"/>
        <v>BKK.57aaaaaaaaaaaaaaaaaaaaaaa</v>
      </c>
      <c r="T211" s="307" t="str">
        <f t="shared" si="71"/>
        <v/>
      </c>
      <c r="U211" s="315" t="str">
        <f t="shared" si="72"/>
        <v/>
      </c>
      <c r="V211" s="307" t="str">
        <f>N211</f>
        <v/>
      </c>
      <c r="W211" s="307" t="str">
        <f>IFERROR(IF(V211&gt;0,PROPER(Terbilang1(V211)&amp;" Rupiah"),0),"")</f>
        <v/>
      </c>
      <c r="X211" s="90" t="str">
        <f t="shared" si="77"/>
        <v/>
      </c>
      <c r="Y211" s="307" t="str">
        <f t="shared" si="78"/>
        <v/>
      </c>
      <c r="Z211" s="307">
        <f t="shared" si="73"/>
        <v>0</v>
      </c>
      <c r="AA211" s="366">
        <f t="shared" si="74"/>
        <v>0</v>
      </c>
      <c r="AB211" s="367">
        <f t="shared" si="79"/>
        <v>0</v>
      </c>
      <c r="AC211" s="305">
        <f t="shared" si="80"/>
        <v>0</v>
      </c>
      <c r="AP211" s="89" t="str">
        <f t="shared" si="68"/>
        <v/>
      </c>
      <c r="AQ211" s="89" t="str">
        <f t="shared" si="66"/>
        <v/>
      </c>
      <c r="AR211" s="315" t="str">
        <f t="shared" si="67"/>
        <v/>
      </c>
      <c r="AS211" s="305" t="str">
        <f t="shared" si="81"/>
        <v>0</v>
      </c>
      <c r="AT211" s="307">
        <f>Table22[[#This Row],[Column1]]</f>
        <v>0</v>
      </c>
    </row>
    <row r="212" spans="1:46" x14ac:dyDescent="0.3">
      <c r="A212" s="307">
        <f t="shared" si="75"/>
        <v>0</v>
      </c>
      <c r="B212" s="307">
        <f t="shared" si="64"/>
        <v>0</v>
      </c>
      <c r="C212" s="308" t="s">
        <v>563</v>
      </c>
      <c r="D212" s="309" t="s">
        <v>563</v>
      </c>
      <c r="E212" s="310">
        <v>0</v>
      </c>
      <c r="F212" s="310">
        <v>0</v>
      </c>
      <c r="G212" s="311">
        <v>0</v>
      </c>
      <c r="H212" s="310" t="s">
        <v>563</v>
      </c>
      <c r="I212" s="310" t="s">
        <v>563</v>
      </c>
      <c r="J212" s="310" t="s">
        <v>563</v>
      </c>
      <c r="K212" s="312">
        <v>0</v>
      </c>
      <c r="L212" s="310">
        <v>0</v>
      </c>
      <c r="M212" s="310">
        <v>0</v>
      </c>
      <c r="N212" s="313" t="s">
        <v>563</v>
      </c>
      <c r="O212" s="314" t="s">
        <v>563</v>
      </c>
      <c r="P212" s="307">
        <f t="shared" si="69"/>
        <v>0</v>
      </c>
      <c r="R212" s="91" t="str">
        <f t="shared" si="65"/>
        <v/>
      </c>
      <c r="S212" s="307" t="str">
        <f t="shared" si="70"/>
        <v>BKK.57aaaaaaaaaaaaaaaaaaaaaaaa</v>
      </c>
      <c r="T212" s="307" t="str">
        <f t="shared" si="71"/>
        <v/>
      </c>
      <c r="U212" s="315" t="str">
        <f t="shared" si="72"/>
        <v/>
      </c>
      <c r="V212" s="307" t="str">
        <f t="shared" si="76"/>
        <v/>
      </c>
      <c r="W212" s="307" t="str">
        <f>IFERROR(IF(V212&gt;0,PROPER(Terbilang1(V212)&amp;" Rupiah"),0),"")</f>
        <v/>
      </c>
      <c r="X212" s="90" t="str">
        <f t="shared" si="77"/>
        <v/>
      </c>
      <c r="Y212" s="307" t="str">
        <f t="shared" si="78"/>
        <v/>
      </c>
      <c r="Z212" s="307">
        <f t="shared" si="73"/>
        <v>0</v>
      </c>
      <c r="AA212" s="366">
        <f t="shared" si="74"/>
        <v>0</v>
      </c>
      <c r="AB212" s="367">
        <f t="shared" si="79"/>
        <v>0</v>
      </c>
      <c r="AC212" s="305">
        <f t="shared" si="80"/>
        <v>0</v>
      </c>
      <c r="AP212" s="89" t="str">
        <f t="shared" si="68"/>
        <v/>
      </c>
      <c r="AQ212" s="89" t="str">
        <f t="shared" si="66"/>
        <v/>
      </c>
      <c r="AR212" s="315" t="str">
        <f t="shared" si="67"/>
        <v/>
      </c>
      <c r="AS212" s="305" t="str">
        <f t="shared" si="81"/>
        <v>0</v>
      </c>
      <c r="AT212" s="307">
        <f>Table22[[#This Row],[Column1]]</f>
        <v>0</v>
      </c>
    </row>
    <row r="213" spans="1:46" x14ac:dyDescent="0.3">
      <c r="A213" s="307">
        <f t="shared" si="75"/>
        <v>0</v>
      </c>
      <c r="B213" s="307">
        <f t="shared" si="64"/>
        <v>0</v>
      </c>
      <c r="C213" s="308" t="s">
        <v>563</v>
      </c>
      <c r="D213" s="309" t="s">
        <v>563</v>
      </c>
      <c r="E213" s="310">
        <v>0</v>
      </c>
      <c r="F213" s="310">
        <v>0</v>
      </c>
      <c r="G213" s="311">
        <v>0</v>
      </c>
      <c r="H213" s="310" t="s">
        <v>563</v>
      </c>
      <c r="I213" s="310" t="s">
        <v>563</v>
      </c>
      <c r="J213" s="310" t="s">
        <v>563</v>
      </c>
      <c r="K213" s="312">
        <v>0</v>
      </c>
      <c r="L213" s="310">
        <v>0</v>
      </c>
      <c r="M213" s="310">
        <v>0</v>
      </c>
      <c r="N213" s="313" t="s">
        <v>563</v>
      </c>
      <c r="O213" s="314" t="s">
        <v>563</v>
      </c>
      <c r="P213" s="307">
        <f t="shared" si="69"/>
        <v>0</v>
      </c>
      <c r="R213" s="91" t="str">
        <f t="shared" si="65"/>
        <v/>
      </c>
      <c r="S213" s="307" t="str">
        <f t="shared" si="70"/>
        <v>BKK.57aaaaaaaaaaaaaaaaaaaaaaaaa</v>
      </c>
      <c r="T213" s="307" t="str">
        <f t="shared" si="71"/>
        <v/>
      </c>
      <c r="U213" s="315" t="str">
        <f t="shared" si="72"/>
        <v/>
      </c>
      <c r="V213" s="307" t="str">
        <f t="shared" si="76"/>
        <v/>
      </c>
      <c r="W213" s="307" t="str">
        <f>IFERROR(IF(V213&gt;0,PROPER(Terbilang1(V213)&amp;" Rupiah"),0),"")</f>
        <v/>
      </c>
      <c r="X213" s="90" t="str">
        <f t="shared" si="77"/>
        <v/>
      </c>
      <c r="Y213" s="307" t="str">
        <f t="shared" si="78"/>
        <v/>
      </c>
      <c r="Z213" s="307">
        <f t="shared" si="73"/>
        <v>0</v>
      </c>
      <c r="AA213" s="366">
        <f t="shared" si="74"/>
        <v>0</v>
      </c>
      <c r="AB213" s="367">
        <f t="shared" si="79"/>
        <v>0</v>
      </c>
      <c r="AC213" s="305">
        <f t="shared" si="80"/>
        <v>0</v>
      </c>
      <c r="AP213" s="89" t="str">
        <f t="shared" si="68"/>
        <v/>
      </c>
      <c r="AQ213" s="89" t="str">
        <f t="shared" si="66"/>
        <v/>
      </c>
      <c r="AR213" s="315" t="str">
        <f t="shared" si="67"/>
        <v/>
      </c>
      <c r="AS213" s="305" t="str">
        <f t="shared" si="81"/>
        <v>0</v>
      </c>
      <c r="AT213" s="307">
        <f>Table22[[#This Row],[Column1]]</f>
        <v>0</v>
      </c>
    </row>
    <row r="214" spans="1:46" x14ac:dyDescent="0.3">
      <c r="A214" s="307">
        <f t="shared" si="75"/>
        <v>0</v>
      </c>
      <c r="B214" s="307">
        <f t="shared" si="64"/>
        <v>0</v>
      </c>
      <c r="C214" s="308" t="s">
        <v>563</v>
      </c>
      <c r="D214" s="309" t="s">
        <v>563</v>
      </c>
      <c r="E214" s="310">
        <v>0</v>
      </c>
      <c r="F214" s="310">
        <v>0</v>
      </c>
      <c r="G214" s="311">
        <v>0</v>
      </c>
      <c r="H214" s="310" t="s">
        <v>563</v>
      </c>
      <c r="I214" s="310" t="s">
        <v>563</v>
      </c>
      <c r="J214" s="310" t="s">
        <v>563</v>
      </c>
      <c r="K214" s="312">
        <v>0</v>
      </c>
      <c r="L214" s="310">
        <v>0</v>
      </c>
      <c r="M214" s="310">
        <v>0</v>
      </c>
      <c r="N214" s="313" t="s">
        <v>563</v>
      </c>
      <c r="O214" s="314" t="s">
        <v>563</v>
      </c>
      <c r="P214" s="307">
        <f t="shared" si="69"/>
        <v>0</v>
      </c>
      <c r="R214" s="91" t="str">
        <f t="shared" si="65"/>
        <v/>
      </c>
      <c r="S214" s="307" t="str">
        <f t="shared" si="70"/>
        <v>BKK.57aaaaaaaaaaaaaaaaaaaaaaaaaa</v>
      </c>
      <c r="T214" s="307" t="str">
        <f t="shared" si="71"/>
        <v/>
      </c>
      <c r="U214" s="315" t="str">
        <f t="shared" si="72"/>
        <v/>
      </c>
      <c r="V214" s="307" t="str">
        <f>N214</f>
        <v/>
      </c>
      <c r="W214" s="307" t="str">
        <f>IFERROR(IF(V214&gt;0,PROPER(Terbilang1(V214)&amp;" Rupiah"),0),"")</f>
        <v/>
      </c>
      <c r="X214" s="90" t="str">
        <f t="shared" si="77"/>
        <v/>
      </c>
      <c r="Y214" s="307" t="str">
        <f t="shared" si="78"/>
        <v/>
      </c>
      <c r="Z214" s="307">
        <f t="shared" si="73"/>
        <v>0</v>
      </c>
      <c r="AA214" s="366">
        <f t="shared" si="74"/>
        <v>0</v>
      </c>
      <c r="AB214" s="367">
        <f t="shared" si="79"/>
        <v>0</v>
      </c>
      <c r="AC214" s="305">
        <f t="shared" si="80"/>
        <v>0</v>
      </c>
      <c r="AP214" s="89" t="str">
        <f t="shared" si="68"/>
        <v/>
      </c>
      <c r="AQ214" s="89" t="str">
        <f t="shared" si="66"/>
        <v/>
      </c>
      <c r="AR214" s="315" t="str">
        <f t="shared" si="67"/>
        <v/>
      </c>
      <c r="AS214" s="305" t="str">
        <f t="shared" si="81"/>
        <v>0</v>
      </c>
      <c r="AT214" s="307">
        <f>Table22[[#This Row],[Column1]]</f>
        <v>0</v>
      </c>
    </row>
    <row r="215" spans="1:46" x14ac:dyDescent="0.3">
      <c r="A215" s="307">
        <f t="shared" si="75"/>
        <v>0</v>
      </c>
      <c r="B215" s="307">
        <f t="shared" si="64"/>
        <v>0</v>
      </c>
      <c r="C215" s="308" t="s">
        <v>563</v>
      </c>
      <c r="D215" s="309" t="s">
        <v>563</v>
      </c>
      <c r="E215" s="310">
        <v>0</v>
      </c>
      <c r="F215" s="310">
        <v>0</v>
      </c>
      <c r="G215" s="311">
        <v>0</v>
      </c>
      <c r="H215" s="310" t="s">
        <v>563</v>
      </c>
      <c r="I215" s="310" t="s">
        <v>563</v>
      </c>
      <c r="J215" s="310" t="s">
        <v>563</v>
      </c>
      <c r="K215" s="312">
        <v>0</v>
      </c>
      <c r="L215" s="310">
        <v>0</v>
      </c>
      <c r="M215" s="310">
        <v>0</v>
      </c>
      <c r="N215" s="313" t="s">
        <v>563</v>
      </c>
      <c r="O215" s="314" t="s">
        <v>563</v>
      </c>
      <c r="P215" s="307">
        <f t="shared" si="69"/>
        <v>0</v>
      </c>
      <c r="R215" s="91" t="str">
        <f t="shared" si="65"/>
        <v/>
      </c>
      <c r="S215" s="307" t="str">
        <f t="shared" si="70"/>
        <v>BKK.57aaaaaaaaaaaaaaaaaaaaaaaaaaa</v>
      </c>
      <c r="T215" s="307" t="str">
        <f t="shared" si="71"/>
        <v/>
      </c>
      <c r="U215" s="315" t="str">
        <f t="shared" si="72"/>
        <v/>
      </c>
      <c r="V215" s="307" t="str">
        <f t="shared" si="76"/>
        <v/>
      </c>
      <c r="W215" s="307" t="str">
        <f>IFERROR(IF(V215&gt;0,PROPER(Terbilang1(V215)&amp;" Rupiah"),0),"")</f>
        <v/>
      </c>
      <c r="X215" s="90" t="str">
        <f t="shared" si="77"/>
        <v/>
      </c>
      <c r="Y215" s="307" t="str">
        <f t="shared" si="78"/>
        <v/>
      </c>
      <c r="Z215" s="307">
        <f t="shared" si="73"/>
        <v>0</v>
      </c>
      <c r="AA215" s="366">
        <f t="shared" si="74"/>
        <v>0</v>
      </c>
      <c r="AB215" s="367">
        <f t="shared" si="79"/>
        <v>0</v>
      </c>
      <c r="AC215" s="305">
        <f t="shared" si="80"/>
        <v>0</v>
      </c>
      <c r="AP215" s="89" t="str">
        <f t="shared" si="68"/>
        <v/>
      </c>
      <c r="AQ215" s="89" t="str">
        <f t="shared" si="66"/>
        <v/>
      </c>
      <c r="AR215" s="315" t="str">
        <f t="shared" si="67"/>
        <v/>
      </c>
      <c r="AS215" s="305" t="str">
        <f t="shared" si="81"/>
        <v>0</v>
      </c>
      <c r="AT215" s="307">
        <f>Table22[[#This Row],[Column1]]</f>
        <v>0</v>
      </c>
    </row>
    <row r="216" spans="1:46" x14ac:dyDescent="0.3">
      <c r="A216" s="307">
        <f t="shared" si="75"/>
        <v>0</v>
      </c>
      <c r="B216" s="307">
        <f t="shared" si="64"/>
        <v>0</v>
      </c>
      <c r="C216" s="308" t="s">
        <v>563</v>
      </c>
      <c r="D216" s="309" t="s">
        <v>563</v>
      </c>
      <c r="E216" s="310">
        <v>0</v>
      </c>
      <c r="F216" s="310">
        <v>0</v>
      </c>
      <c r="G216" s="311">
        <v>0</v>
      </c>
      <c r="H216" s="310" t="s">
        <v>563</v>
      </c>
      <c r="I216" s="310" t="s">
        <v>563</v>
      </c>
      <c r="J216" s="310" t="s">
        <v>563</v>
      </c>
      <c r="K216" s="312">
        <v>0</v>
      </c>
      <c r="L216" s="310">
        <v>0</v>
      </c>
      <c r="M216" s="310">
        <v>0</v>
      </c>
      <c r="N216" s="313" t="s">
        <v>563</v>
      </c>
      <c r="O216" s="314" t="s">
        <v>563</v>
      </c>
      <c r="P216" s="307">
        <f t="shared" si="69"/>
        <v>0</v>
      </c>
      <c r="R216" s="91" t="str">
        <f t="shared" si="65"/>
        <v/>
      </c>
      <c r="S216" s="307" t="str">
        <f t="shared" si="70"/>
        <v>BKK.57aaaaaaaaaaaaaaaaaaaaaaaaaaaa</v>
      </c>
      <c r="T216" s="307" t="str">
        <f t="shared" si="71"/>
        <v/>
      </c>
      <c r="U216" s="315" t="str">
        <f t="shared" si="72"/>
        <v/>
      </c>
      <c r="V216" s="307" t="str">
        <f t="shared" si="76"/>
        <v/>
      </c>
      <c r="W216" s="307" t="str">
        <f>IFERROR(IF(V216&gt;0,PROPER(Terbilang1(V216)&amp;" Rupiah"),0),"")</f>
        <v/>
      </c>
      <c r="X216" s="90" t="str">
        <f t="shared" si="77"/>
        <v/>
      </c>
      <c r="Y216" s="307" t="str">
        <f t="shared" si="78"/>
        <v/>
      </c>
      <c r="Z216" s="307">
        <f t="shared" si="73"/>
        <v>0</v>
      </c>
      <c r="AA216" s="366">
        <f t="shared" si="74"/>
        <v>0</v>
      </c>
      <c r="AB216" s="367">
        <f t="shared" si="79"/>
        <v>0</v>
      </c>
      <c r="AC216" s="305">
        <f t="shared" si="80"/>
        <v>0</v>
      </c>
      <c r="AP216" s="89" t="str">
        <f t="shared" si="68"/>
        <v/>
      </c>
      <c r="AQ216" s="89" t="str">
        <f t="shared" si="66"/>
        <v/>
      </c>
      <c r="AR216" s="315" t="str">
        <f t="shared" si="67"/>
        <v/>
      </c>
      <c r="AS216" s="305" t="str">
        <f t="shared" si="81"/>
        <v>0</v>
      </c>
      <c r="AT216" s="307">
        <f>Table22[[#This Row],[Column1]]</f>
        <v>0</v>
      </c>
    </row>
    <row r="217" spans="1:46" x14ac:dyDescent="0.3">
      <c r="A217" s="307">
        <f t="shared" si="75"/>
        <v>0</v>
      </c>
      <c r="B217" s="307">
        <f t="shared" si="64"/>
        <v>0</v>
      </c>
      <c r="C217" s="308" t="s">
        <v>563</v>
      </c>
      <c r="D217" s="309" t="s">
        <v>563</v>
      </c>
      <c r="E217" s="310">
        <v>0</v>
      </c>
      <c r="F217" s="310">
        <v>0</v>
      </c>
      <c r="G217" s="311">
        <v>0</v>
      </c>
      <c r="H217" s="310" t="s">
        <v>563</v>
      </c>
      <c r="I217" s="310" t="s">
        <v>563</v>
      </c>
      <c r="J217" s="310" t="s">
        <v>563</v>
      </c>
      <c r="K217" s="312">
        <v>0</v>
      </c>
      <c r="L217" s="310">
        <v>0</v>
      </c>
      <c r="M217" s="310">
        <v>0</v>
      </c>
      <c r="N217" s="313" t="s">
        <v>563</v>
      </c>
      <c r="O217" s="314" t="s">
        <v>563</v>
      </c>
      <c r="P217" s="307">
        <f t="shared" si="69"/>
        <v>0</v>
      </c>
      <c r="R217" s="91" t="str">
        <f t="shared" si="65"/>
        <v/>
      </c>
      <c r="S217" s="307" t="str">
        <f t="shared" si="70"/>
        <v>BKK.57aaaaaaaaaaaaaaaaaaaaaaaaaaaaa</v>
      </c>
      <c r="T217" s="307" t="str">
        <f t="shared" si="71"/>
        <v/>
      </c>
      <c r="U217" s="315" t="str">
        <f t="shared" si="72"/>
        <v/>
      </c>
      <c r="V217" s="307" t="str">
        <f t="shared" si="76"/>
        <v/>
      </c>
      <c r="W217" s="307" t="str">
        <f>IFERROR(IF(V217&gt;0,PROPER(Terbilang1(V217)&amp;" Rupiah"),0),"")</f>
        <v/>
      </c>
      <c r="X217" s="90" t="str">
        <f t="shared" si="77"/>
        <v/>
      </c>
      <c r="Y217" s="307" t="str">
        <f t="shared" si="78"/>
        <v/>
      </c>
      <c r="Z217" s="307">
        <f t="shared" si="73"/>
        <v>0</v>
      </c>
      <c r="AA217" s="366">
        <f t="shared" si="74"/>
        <v>0</v>
      </c>
      <c r="AB217" s="367">
        <f t="shared" si="79"/>
        <v>0</v>
      </c>
      <c r="AC217" s="305">
        <f t="shared" si="80"/>
        <v>0</v>
      </c>
      <c r="AP217" s="89" t="str">
        <f t="shared" si="68"/>
        <v/>
      </c>
      <c r="AQ217" s="89" t="str">
        <f t="shared" si="66"/>
        <v/>
      </c>
      <c r="AR217" s="315" t="str">
        <f t="shared" si="67"/>
        <v/>
      </c>
      <c r="AS217" s="305" t="str">
        <f t="shared" si="81"/>
        <v>0</v>
      </c>
      <c r="AT217" s="307">
        <f>Table22[[#This Row],[Column1]]</f>
        <v>0</v>
      </c>
    </row>
    <row r="218" spans="1:46" x14ac:dyDescent="0.3">
      <c r="A218" s="307">
        <f t="shared" si="75"/>
        <v>0</v>
      </c>
      <c r="B218" s="307">
        <f t="shared" si="64"/>
        <v>0</v>
      </c>
      <c r="C218" s="308" t="s">
        <v>563</v>
      </c>
      <c r="D218" s="309" t="s">
        <v>563</v>
      </c>
      <c r="E218" s="310">
        <v>0</v>
      </c>
      <c r="F218" s="310">
        <v>0</v>
      </c>
      <c r="G218" s="311">
        <v>0</v>
      </c>
      <c r="H218" s="310" t="s">
        <v>563</v>
      </c>
      <c r="I218" s="310" t="s">
        <v>563</v>
      </c>
      <c r="J218" s="310" t="s">
        <v>563</v>
      </c>
      <c r="K218" s="312">
        <v>0</v>
      </c>
      <c r="L218" s="310">
        <v>0</v>
      </c>
      <c r="M218" s="310">
        <v>0</v>
      </c>
      <c r="N218" s="313" t="s">
        <v>563</v>
      </c>
      <c r="O218" s="314" t="s">
        <v>563</v>
      </c>
      <c r="P218" s="307">
        <f t="shared" si="69"/>
        <v>0</v>
      </c>
      <c r="R218" s="91" t="str">
        <f t="shared" si="65"/>
        <v/>
      </c>
      <c r="S218" s="307" t="str">
        <f t="shared" si="70"/>
        <v>BKK.57aaaaaaaaaaaaaaaaaaaaaaaaaaaaaa</v>
      </c>
      <c r="T218" s="307" t="str">
        <f t="shared" si="71"/>
        <v/>
      </c>
      <c r="U218" s="315" t="str">
        <f t="shared" si="72"/>
        <v/>
      </c>
      <c r="V218" s="307" t="str">
        <f>N218</f>
        <v/>
      </c>
      <c r="W218" s="307" t="str">
        <f>IFERROR(IF(V218&gt;0,PROPER(Terbilang1(V218)&amp;" Rupiah"),0),"")</f>
        <v/>
      </c>
      <c r="X218" s="90" t="str">
        <f t="shared" si="77"/>
        <v/>
      </c>
      <c r="Y218" s="307" t="str">
        <f t="shared" si="78"/>
        <v/>
      </c>
      <c r="Z218" s="307">
        <f t="shared" si="73"/>
        <v>0</v>
      </c>
      <c r="AA218" s="366">
        <f t="shared" si="74"/>
        <v>0</v>
      </c>
      <c r="AB218" s="367">
        <f t="shared" si="79"/>
        <v>0</v>
      </c>
      <c r="AC218" s="305">
        <f t="shared" si="80"/>
        <v>0</v>
      </c>
      <c r="AP218" s="89" t="str">
        <f t="shared" si="68"/>
        <v/>
      </c>
      <c r="AQ218" s="89" t="str">
        <f t="shared" si="66"/>
        <v/>
      </c>
      <c r="AR218" s="315" t="str">
        <f t="shared" si="67"/>
        <v/>
      </c>
      <c r="AS218" s="305" t="str">
        <f t="shared" si="81"/>
        <v>0</v>
      </c>
      <c r="AT218" s="307">
        <f>Table22[[#This Row],[Column1]]</f>
        <v>0</v>
      </c>
    </row>
    <row r="219" spans="1:46" x14ac:dyDescent="0.3">
      <c r="A219" s="307">
        <f t="shared" si="75"/>
        <v>0</v>
      </c>
      <c r="B219" s="307">
        <f t="shared" si="64"/>
        <v>0</v>
      </c>
      <c r="C219" s="308" t="s">
        <v>563</v>
      </c>
      <c r="D219" s="309" t="s">
        <v>563</v>
      </c>
      <c r="E219" s="310">
        <v>0</v>
      </c>
      <c r="F219" s="310">
        <v>0</v>
      </c>
      <c r="G219" s="311">
        <v>0</v>
      </c>
      <c r="H219" s="310" t="s">
        <v>563</v>
      </c>
      <c r="I219" s="310" t="s">
        <v>563</v>
      </c>
      <c r="J219" s="310" t="s">
        <v>563</v>
      </c>
      <c r="K219" s="312">
        <v>0</v>
      </c>
      <c r="L219" s="310">
        <v>0</v>
      </c>
      <c r="M219" s="310">
        <v>0</v>
      </c>
      <c r="N219" s="313" t="s">
        <v>563</v>
      </c>
      <c r="O219" s="314" t="s">
        <v>563</v>
      </c>
      <c r="P219" s="307">
        <f t="shared" si="69"/>
        <v>0</v>
      </c>
      <c r="R219" s="91" t="str">
        <f t="shared" si="65"/>
        <v/>
      </c>
      <c r="S219" s="307" t="str">
        <f t="shared" si="70"/>
        <v>BKK.57aaaaaaaaaaaaaaaaaaaaaaaaaaaaaaa</v>
      </c>
      <c r="T219" s="307" t="str">
        <f t="shared" si="71"/>
        <v/>
      </c>
      <c r="U219" s="315" t="str">
        <f t="shared" si="72"/>
        <v/>
      </c>
      <c r="V219" s="307" t="str">
        <f t="shared" si="76"/>
        <v/>
      </c>
      <c r="W219" s="307" t="str">
        <f>IFERROR(IF(V219&gt;0,PROPER(Terbilang1(V219)&amp;" Rupiah"),0),"")</f>
        <v/>
      </c>
      <c r="X219" s="90" t="str">
        <f t="shared" si="77"/>
        <v/>
      </c>
      <c r="Y219" s="307" t="str">
        <f t="shared" si="78"/>
        <v/>
      </c>
      <c r="Z219" s="307">
        <f t="shared" si="73"/>
        <v>0</v>
      </c>
      <c r="AA219" s="366">
        <f t="shared" si="74"/>
        <v>0</v>
      </c>
      <c r="AB219" s="367">
        <f t="shared" si="79"/>
        <v>0</v>
      </c>
      <c r="AC219" s="305">
        <f t="shared" si="80"/>
        <v>0</v>
      </c>
      <c r="AP219" s="89" t="str">
        <f t="shared" si="68"/>
        <v/>
      </c>
      <c r="AQ219" s="89" t="str">
        <f t="shared" si="66"/>
        <v/>
      </c>
      <c r="AR219" s="315" t="str">
        <f t="shared" si="67"/>
        <v/>
      </c>
      <c r="AS219" s="305" t="str">
        <f t="shared" si="81"/>
        <v>0</v>
      </c>
      <c r="AT219" s="307">
        <f>Table22[[#This Row],[Column1]]</f>
        <v>0</v>
      </c>
    </row>
    <row r="220" spans="1:46" x14ac:dyDescent="0.3">
      <c r="A220" s="307">
        <f t="shared" si="75"/>
        <v>0</v>
      </c>
      <c r="B220" s="307">
        <f t="shared" si="64"/>
        <v>0</v>
      </c>
      <c r="C220" s="308" t="s">
        <v>563</v>
      </c>
      <c r="D220" s="309" t="s">
        <v>563</v>
      </c>
      <c r="E220" s="310">
        <v>0</v>
      </c>
      <c r="F220" s="310">
        <v>0</v>
      </c>
      <c r="G220" s="311">
        <v>0</v>
      </c>
      <c r="H220" s="310" t="s">
        <v>563</v>
      </c>
      <c r="I220" s="310" t="s">
        <v>563</v>
      </c>
      <c r="J220" s="310" t="s">
        <v>563</v>
      </c>
      <c r="K220" s="312">
        <v>0</v>
      </c>
      <c r="L220" s="310">
        <v>0</v>
      </c>
      <c r="M220" s="310">
        <v>0</v>
      </c>
      <c r="N220" s="313" t="s">
        <v>563</v>
      </c>
      <c r="O220" s="314" t="s">
        <v>563</v>
      </c>
      <c r="P220" s="307">
        <f t="shared" si="69"/>
        <v>0</v>
      </c>
      <c r="R220" s="91" t="str">
        <f t="shared" si="65"/>
        <v/>
      </c>
      <c r="S220" s="307" t="str">
        <f t="shared" si="70"/>
        <v>BKK.57aaaaaaaaaaaaaaaaaaaaaaaaaaaaaaaa</v>
      </c>
      <c r="T220" s="307" t="str">
        <f t="shared" si="71"/>
        <v/>
      </c>
      <c r="U220" s="315" t="str">
        <f t="shared" si="72"/>
        <v/>
      </c>
      <c r="V220" s="307" t="str">
        <f t="shared" si="76"/>
        <v/>
      </c>
      <c r="W220" s="307" t="str">
        <f>IFERROR(IF(V220&gt;0,PROPER(Terbilang1(V220)&amp;" Rupiah"),0),"")</f>
        <v/>
      </c>
      <c r="X220" s="90" t="str">
        <f t="shared" si="77"/>
        <v/>
      </c>
      <c r="Y220" s="307" t="str">
        <f t="shared" si="78"/>
        <v/>
      </c>
      <c r="Z220" s="307">
        <f t="shared" si="73"/>
        <v>0</v>
      </c>
      <c r="AA220" s="366">
        <f t="shared" si="74"/>
        <v>0</v>
      </c>
      <c r="AB220" s="367">
        <f t="shared" si="79"/>
        <v>0</v>
      </c>
      <c r="AC220" s="305">
        <f t="shared" si="80"/>
        <v>0</v>
      </c>
      <c r="AP220" s="89" t="str">
        <f t="shared" si="68"/>
        <v/>
      </c>
      <c r="AQ220" s="89" t="str">
        <f t="shared" si="66"/>
        <v/>
      </c>
      <c r="AR220" s="315" t="str">
        <f t="shared" si="67"/>
        <v/>
      </c>
      <c r="AS220" s="305" t="str">
        <f t="shared" si="81"/>
        <v>0</v>
      </c>
      <c r="AT220" s="307">
        <f>Table22[[#This Row],[Column1]]</f>
        <v>0</v>
      </c>
    </row>
    <row r="221" spans="1:46" x14ac:dyDescent="0.3">
      <c r="A221" s="307">
        <f t="shared" si="75"/>
        <v>0</v>
      </c>
      <c r="B221" s="307">
        <f t="shared" si="64"/>
        <v>0</v>
      </c>
      <c r="C221" s="308" t="s">
        <v>563</v>
      </c>
      <c r="D221" s="309" t="s">
        <v>563</v>
      </c>
      <c r="E221" s="310">
        <v>0</v>
      </c>
      <c r="F221" s="310">
        <v>0</v>
      </c>
      <c r="G221" s="311">
        <v>0</v>
      </c>
      <c r="H221" s="310" t="s">
        <v>563</v>
      </c>
      <c r="I221" s="310" t="s">
        <v>563</v>
      </c>
      <c r="J221" s="310" t="s">
        <v>563</v>
      </c>
      <c r="K221" s="312">
        <v>0</v>
      </c>
      <c r="L221" s="310">
        <v>0</v>
      </c>
      <c r="M221" s="310">
        <v>0</v>
      </c>
      <c r="N221" s="313" t="s">
        <v>563</v>
      </c>
      <c r="O221" s="314" t="s">
        <v>563</v>
      </c>
      <c r="P221" s="307">
        <f t="shared" si="69"/>
        <v>0</v>
      </c>
      <c r="R221" s="91" t="str">
        <f t="shared" si="65"/>
        <v/>
      </c>
      <c r="S221" s="307" t="str">
        <f t="shared" si="70"/>
        <v>BKK.57aaaaaaaaaaaaaaaaaaaaaaaaaaaaaaaaa</v>
      </c>
      <c r="T221" s="307" t="str">
        <f t="shared" si="71"/>
        <v/>
      </c>
      <c r="U221" s="315" t="str">
        <f t="shared" si="72"/>
        <v/>
      </c>
      <c r="V221" s="307" t="str">
        <f t="shared" si="76"/>
        <v/>
      </c>
      <c r="W221" s="307" t="str">
        <f>IFERROR(IF(V221&gt;0,PROPER(Terbilang1(V221)&amp;" Rupiah"),0),"")</f>
        <v/>
      </c>
      <c r="X221" s="90" t="str">
        <f t="shared" si="77"/>
        <v/>
      </c>
      <c r="Y221" s="307" t="str">
        <f t="shared" si="78"/>
        <v/>
      </c>
      <c r="Z221" s="307">
        <f t="shared" si="73"/>
        <v>0</v>
      </c>
      <c r="AA221" s="366">
        <f t="shared" si="74"/>
        <v>0</v>
      </c>
      <c r="AB221" s="367">
        <f t="shared" si="79"/>
        <v>0</v>
      </c>
      <c r="AC221" s="305">
        <f t="shared" si="80"/>
        <v>0</v>
      </c>
      <c r="AP221" s="89" t="str">
        <f t="shared" si="68"/>
        <v/>
      </c>
      <c r="AQ221" s="89" t="str">
        <f t="shared" si="66"/>
        <v/>
      </c>
      <c r="AR221" s="315" t="str">
        <f t="shared" si="67"/>
        <v/>
      </c>
      <c r="AS221" s="305" t="str">
        <f t="shared" si="81"/>
        <v>0</v>
      </c>
      <c r="AT221" s="307">
        <f>Table22[[#This Row],[Column1]]</f>
        <v>0</v>
      </c>
    </row>
    <row r="222" spans="1:46" x14ac:dyDescent="0.3">
      <c r="A222" s="307">
        <f t="shared" si="75"/>
        <v>0</v>
      </c>
      <c r="B222" s="307">
        <f t="shared" si="64"/>
        <v>0</v>
      </c>
      <c r="C222" s="308" t="s">
        <v>563</v>
      </c>
      <c r="D222" s="309" t="s">
        <v>563</v>
      </c>
      <c r="E222" s="310">
        <v>0</v>
      </c>
      <c r="F222" s="310">
        <v>0</v>
      </c>
      <c r="G222" s="311">
        <v>0</v>
      </c>
      <c r="H222" s="310" t="s">
        <v>563</v>
      </c>
      <c r="I222" s="310" t="s">
        <v>563</v>
      </c>
      <c r="J222" s="310" t="s">
        <v>563</v>
      </c>
      <c r="K222" s="312">
        <v>0</v>
      </c>
      <c r="L222" s="310">
        <v>0</v>
      </c>
      <c r="M222" s="310">
        <v>0</v>
      </c>
      <c r="N222" s="313" t="s">
        <v>563</v>
      </c>
      <c r="O222" s="314" t="s">
        <v>563</v>
      </c>
      <c r="P222" s="307">
        <f t="shared" si="69"/>
        <v>0</v>
      </c>
      <c r="R222" s="91" t="str">
        <f t="shared" si="65"/>
        <v/>
      </c>
      <c r="S222" s="307" t="str">
        <f t="shared" si="70"/>
        <v>BKK.57aaaaaaaaaaaaaaaaaaaaaaaaaaaaaaaaaa</v>
      </c>
      <c r="T222" s="307" t="str">
        <f t="shared" si="71"/>
        <v/>
      </c>
      <c r="U222" s="315" t="str">
        <f t="shared" si="72"/>
        <v/>
      </c>
      <c r="V222" s="307" t="str">
        <f>N222</f>
        <v/>
      </c>
      <c r="W222" s="307" t="str">
        <f>IFERROR(IF(V222&gt;0,PROPER(Terbilang1(V222)&amp;" Rupiah"),0),"")</f>
        <v/>
      </c>
      <c r="X222" s="90" t="str">
        <f t="shared" si="77"/>
        <v/>
      </c>
      <c r="Y222" s="307" t="str">
        <f t="shared" si="78"/>
        <v/>
      </c>
      <c r="Z222" s="307">
        <f t="shared" si="73"/>
        <v>0</v>
      </c>
      <c r="AA222" s="366">
        <f t="shared" si="74"/>
        <v>0</v>
      </c>
      <c r="AB222" s="367">
        <f t="shared" si="79"/>
        <v>0</v>
      </c>
      <c r="AC222" s="305">
        <f t="shared" si="80"/>
        <v>0</v>
      </c>
      <c r="AP222" s="89" t="str">
        <f t="shared" si="68"/>
        <v/>
      </c>
      <c r="AQ222" s="89" t="str">
        <f t="shared" si="66"/>
        <v/>
      </c>
      <c r="AR222" s="315" t="str">
        <f t="shared" si="67"/>
        <v/>
      </c>
      <c r="AS222" s="305" t="str">
        <f t="shared" si="81"/>
        <v>0</v>
      </c>
      <c r="AT222" s="307">
        <f>Table22[[#This Row],[Column1]]</f>
        <v>0</v>
      </c>
    </row>
    <row r="223" spans="1:46" x14ac:dyDescent="0.3">
      <c r="A223" s="307">
        <f t="shared" si="75"/>
        <v>0</v>
      </c>
      <c r="B223" s="307">
        <f t="shared" si="64"/>
        <v>0</v>
      </c>
      <c r="C223" s="308" t="s">
        <v>563</v>
      </c>
      <c r="D223" s="309" t="s">
        <v>563</v>
      </c>
      <c r="E223" s="310">
        <v>0</v>
      </c>
      <c r="F223" s="310">
        <v>0</v>
      </c>
      <c r="G223" s="311">
        <v>0</v>
      </c>
      <c r="H223" s="310" t="s">
        <v>563</v>
      </c>
      <c r="I223" s="310" t="s">
        <v>563</v>
      </c>
      <c r="J223" s="310" t="s">
        <v>563</v>
      </c>
      <c r="K223" s="312">
        <v>0</v>
      </c>
      <c r="L223" s="310">
        <v>0</v>
      </c>
      <c r="M223" s="310">
        <v>0</v>
      </c>
      <c r="N223" s="313" t="s">
        <v>563</v>
      </c>
      <c r="O223" s="314" t="s">
        <v>563</v>
      </c>
      <c r="P223" s="307">
        <f t="shared" si="69"/>
        <v>0</v>
      </c>
      <c r="R223" s="91" t="str">
        <f t="shared" si="65"/>
        <v/>
      </c>
      <c r="S223" s="307" t="str">
        <f t="shared" si="70"/>
        <v>BKK.57aaaaaaaaaaaaaaaaaaaaaaaaaaaaaaaaaaa</v>
      </c>
      <c r="T223" s="307" t="str">
        <f t="shared" si="71"/>
        <v/>
      </c>
      <c r="U223" s="315" t="str">
        <f t="shared" si="72"/>
        <v/>
      </c>
      <c r="V223" s="307" t="str">
        <f t="shared" si="76"/>
        <v/>
      </c>
      <c r="W223" s="307" t="str">
        <f>IFERROR(IF(V223&gt;0,PROPER(Terbilang1(V223)&amp;" Rupiah"),0),"")</f>
        <v/>
      </c>
      <c r="X223" s="90" t="str">
        <f t="shared" si="77"/>
        <v/>
      </c>
      <c r="Y223" s="307" t="str">
        <f t="shared" si="78"/>
        <v/>
      </c>
      <c r="Z223" s="307">
        <f t="shared" si="73"/>
        <v>0</v>
      </c>
      <c r="AA223" s="366">
        <f t="shared" si="74"/>
        <v>0</v>
      </c>
      <c r="AB223" s="367">
        <f t="shared" si="79"/>
        <v>0</v>
      </c>
      <c r="AC223" s="305">
        <f t="shared" si="80"/>
        <v>0</v>
      </c>
      <c r="AP223" s="89" t="str">
        <f t="shared" si="68"/>
        <v/>
      </c>
      <c r="AQ223" s="89" t="str">
        <f t="shared" si="66"/>
        <v/>
      </c>
      <c r="AR223" s="315" t="str">
        <f t="shared" si="67"/>
        <v/>
      </c>
      <c r="AS223" s="305" t="str">
        <f t="shared" si="81"/>
        <v>0</v>
      </c>
      <c r="AT223" s="307">
        <f>Table22[[#This Row],[Column1]]</f>
        <v>0</v>
      </c>
    </row>
    <row r="224" spans="1:46" x14ac:dyDescent="0.3">
      <c r="A224" s="307">
        <f t="shared" si="75"/>
        <v>0</v>
      </c>
      <c r="B224" s="307">
        <f t="shared" si="64"/>
        <v>0</v>
      </c>
      <c r="C224" s="308" t="s">
        <v>563</v>
      </c>
      <c r="D224" s="309" t="s">
        <v>563</v>
      </c>
      <c r="E224" s="310">
        <v>0</v>
      </c>
      <c r="F224" s="310">
        <v>0</v>
      </c>
      <c r="G224" s="311">
        <v>0</v>
      </c>
      <c r="H224" s="310" t="s">
        <v>563</v>
      </c>
      <c r="I224" s="310" t="s">
        <v>563</v>
      </c>
      <c r="J224" s="310" t="s">
        <v>563</v>
      </c>
      <c r="K224" s="312">
        <v>0</v>
      </c>
      <c r="L224" s="310">
        <v>0</v>
      </c>
      <c r="M224" s="310">
        <v>0</v>
      </c>
      <c r="N224" s="313" t="s">
        <v>563</v>
      </c>
      <c r="O224" s="314" t="s">
        <v>563</v>
      </c>
      <c r="P224" s="307">
        <f t="shared" si="69"/>
        <v>0</v>
      </c>
      <c r="R224" s="91" t="str">
        <f t="shared" si="65"/>
        <v/>
      </c>
      <c r="S224" s="307" t="str">
        <f t="shared" si="70"/>
        <v>BKK.57aaaaaaaaaaaaaaaaaaaaaaaaaaaaaaaaaaaa</v>
      </c>
      <c r="T224" s="307" t="str">
        <f t="shared" si="71"/>
        <v/>
      </c>
      <c r="U224" s="315" t="str">
        <f t="shared" si="72"/>
        <v/>
      </c>
      <c r="V224" s="307" t="str">
        <f>N224</f>
        <v/>
      </c>
      <c r="W224" s="307" t="str">
        <f>IFERROR(IF(V224&gt;0,PROPER(Terbilang1(V224)&amp;" Rupiah"),0),"")</f>
        <v/>
      </c>
      <c r="X224" s="90" t="str">
        <f t="shared" si="77"/>
        <v/>
      </c>
      <c r="Y224" s="307" t="str">
        <f t="shared" si="78"/>
        <v/>
      </c>
      <c r="Z224" s="307">
        <f t="shared" si="73"/>
        <v>0</v>
      </c>
      <c r="AA224" s="366">
        <f t="shared" si="74"/>
        <v>0</v>
      </c>
      <c r="AB224" s="367">
        <f t="shared" si="79"/>
        <v>0</v>
      </c>
      <c r="AC224" s="305">
        <f t="shared" si="80"/>
        <v>0</v>
      </c>
      <c r="AP224" s="89" t="str">
        <f t="shared" si="68"/>
        <v/>
      </c>
      <c r="AQ224" s="89" t="str">
        <f t="shared" si="66"/>
        <v/>
      </c>
      <c r="AR224" s="315" t="str">
        <f t="shared" si="67"/>
        <v/>
      </c>
      <c r="AS224" s="305" t="str">
        <f t="shared" si="81"/>
        <v>0</v>
      </c>
      <c r="AT224" s="307">
        <f>Table22[[#This Row],[Column1]]</f>
        <v>0</v>
      </c>
    </row>
    <row r="225" spans="1:46" x14ac:dyDescent="0.3">
      <c r="A225" s="307">
        <f t="shared" si="75"/>
        <v>0</v>
      </c>
      <c r="B225" s="307">
        <f t="shared" si="64"/>
        <v>0</v>
      </c>
      <c r="C225" s="308" t="s">
        <v>563</v>
      </c>
      <c r="D225" s="309" t="s">
        <v>563</v>
      </c>
      <c r="E225" s="310">
        <v>0</v>
      </c>
      <c r="F225" s="310">
        <v>0</v>
      </c>
      <c r="G225" s="311">
        <v>0</v>
      </c>
      <c r="H225" s="310" t="s">
        <v>563</v>
      </c>
      <c r="I225" s="310" t="s">
        <v>563</v>
      </c>
      <c r="J225" s="310" t="s">
        <v>563</v>
      </c>
      <c r="K225" s="312">
        <v>0</v>
      </c>
      <c r="L225" s="310">
        <v>0</v>
      </c>
      <c r="M225" s="310">
        <v>0</v>
      </c>
      <c r="N225" s="313" t="s">
        <v>563</v>
      </c>
      <c r="O225" s="314" t="s">
        <v>563</v>
      </c>
      <c r="P225" s="307">
        <f t="shared" si="69"/>
        <v>0</v>
      </c>
      <c r="R225" s="91" t="str">
        <f t="shared" si="65"/>
        <v/>
      </c>
      <c r="S225" s="307" t="str">
        <f t="shared" si="70"/>
        <v>BKK.57aaaaaaaaaaaaaaaaaaaaaaaaaaaaaaaaaaaaa</v>
      </c>
      <c r="T225" s="307" t="str">
        <f t="shared" si="71"/>
        <v/>
      </c>
      <c r="U225" s="315" t="str">
        <f t="shared" si="72"/>
        <v/>
      </c>
      <c r="V225" s="307" t="str">
        <f t="shared" si="76"/>
        <v/>
      </c>
      <c r="W225" s="307" t="str">
        <f>IFERROR(IF(V225&gt;0,PROPER(Terbilang1(V225)&amp;" Rupiah"),0),"")</f>
        <v/>
      </c>
      <c r="X225" s="90" t="str">
        <f t="shared" si="77"/>
        <v/>
      </c>
      <c r="Y225" s="307" t="str">
        <f t="shared" si="78"/>
        <v/>
      </c>
      <c r="Z225" s="307">
        <f t="shared" si="73"/>
        <v>0</v>
      </c>
      <c r="AA225" s="366">
        <f t="shared" si="74"/>
        <v>0</v>
      </c>
      <c r="AB225" s="367">
        <f t="shared" si="79"/>
        <v>0</v>
      </c>
      <c r="AC225" s="305">
        <f t="shared" si="80"/>
        <v>0</v>
      </c>
      <c r="AP225" s="89" t="str">
        <f t="shared" si="68"/>
        <v/>
      </c>
      <c r="AQ225" s="89" t="str">
        <f t="shared" si="66"/>
        <v/>
      </c>
      <c r="AR225" s="315" t="str">
        <f t="shared" si="67"/>
        <v/>
      </c>
      <c r="AS225" s="305" t="str">
        <f t="shared" si="81"/>
        <v>0</v>
      </c>
      <c r="AT225" s="307">
        <f>Table22[[#This Row],[Column1]]</f>
        <v>0</v>
      </c>
    </row>
    <row r="226" spans="1:46" x14ac:dyDescent="0.3">
      <c r="A226" s="307">
        <f t="shared" si="75"/>
        <v>0</v>
      </c>
      <c r="B226" s="307">
        <f t="shared" si="64"/>
        <v>0</v>
      </c>
      <c r="C226" s="308" t="s">
        <v>563</v>
      </c>
      <c r="D226" s="309" t="s">
        <v>563</v>
      </c>
      <c r="E226" s="310">
        <v>0</v>
      </c>
      <c r="F226" s="310">
        <v>0</v>
      </c>
      <c r="G226" s="311">
        <v>0</v>
      </c>
      <c r="H226" s="310" t="s">
        <v>563</v>
      </c>
      <c r="I226" s="310" t="s">
        <v>563</v>
      </c>
      <c r="J226" s="310" t="s">
        <v>563</v>
      </c>
      <c r="K226" s="312">
        <v>0</v>
      </c>
      <c r="L226" s="310">
        <v>0</v>
      </c>
      <c r="M226" s="310">
        <v>0</v>
      </c>
      <c r="N226" s="313" t="s">
        <v>563</v>
      </c>
      <c r="O226" s="314" t="s">
        <v>563</v>
      </c>
      <c r="P226" s="307">
        <f t="shared" si="69"/>
        <v>0</v>
      </c>
      <c r="R226" s="91" t="str">
        <f t="shared" si="65"/>
        <v/>
      </c>
      <c r="S226" s="307" t="str">
        <f t="shared" si="70"/>
        <v>BKK.57aaaaaaaaaaaaaaaaaaaaaaaaaaaaaaaaaaaaaa</v>
      </c>
      <c r="T226" s="307" t="str">
        <f t="shared" si="71"/>
        <v/>
      </c>
      <c r="U226" s="315" t="str">
        <f t="shared" si="72"/>
        <v/>
      </c>
      <c r="V226" s="307" t="str">
        <f t="shared" si="76"/>
        <v/>
      </c>
      <c r="W226" s="307" t="str">
        <f>IFERROR(IF(V226&gt;0,PROPER(Terbilang1(V226)&amp;" Rupiah"),0),"")</f>
        <v/>
      </c>
      <c r="X226" s="90" t="str">
        <f t="shared" si="77"/>
        <v/>
      </c>
      <c r="Y226" s="307" t="str">
        <f t="shared" si="78"/>
        <v/>
      </c>
      <c r="Z226" s="307">
        <f t="shared" si="73"/>
        <v>0</v>
      </c>
      <c r="AA226" s="366">
        <f t="shared" si="74"/>
        <v>0</v>
      </c>
      <c r="AB226" s="367">
        <f t="shared" si="79"/>
        <v>0</v>
      </c>
      <c r="AC226" s="305">
        <f t="shared" si="80"/>
        <v>0</v>
      </c>
      <c r="AP226" s="89" t="str">
        <f t="shared" si="68"/>
        <v/>
      </c>
      <c r="AQ226" s="89" t="str">
        <f t="shared" si="66"/>
        <v/>
      </c>
      <c r="AR226" s="315" t="str">
        <f t="shared" si="67"/>
        <v/>
      </c>
      <c r="AS226" s="305" t="str">
        <f t="shared" si="81"/>
        <v>0</v>
      </c>
      <c r="AT226" s="307">
        <f>Table22[[#This Row],[Column1]]</f>
        <v>0</v>
      </c>
    </row>
    <row r="227" spans="1:46" x14ac:dyDescent="0.3">
      <c r="A227" s="307">
        <f t="shared" si="75"/>
        <v>0</v>
      </c>
      <c r="B227" s="307">
        <f t="shared" si="64"/>
        <v>0</v>
      </c>
      <c r="C227" s="308" t="s">
        <v>563</v>
      </c>
      <c r="D227" s="309" t="s">
        <v>563</v>
      </c>
      <c r="E227" s="310">
        <v>0</v>
      </c>
      <c r="F227" s="310">
        <v>0</v>
      </c>
      <c r="G227" s="311">
        <v>0</v>
      </c>
      <c r="H227" s="310" t="s">
        <v>563</v>
      </c>
      <c r="I227" s="310" t="s">
        <v>563</v>
      </c>
      <c r="J227" s="310" t="s">
        <v>563</v>
      </c>
      <c r="K227" s="312">
        <v>0</v>
      </c>
      <c r="L227" s="310">
        <v>0</v>
      </c>
      <c r="M227" s="310">
        <v>0</v>
      </c>
      <c r="N227" s="313" t="s">
        <v>563</v>
      </c>
      <c r="O227" s="314" t="s">
        <v>563</v>
      </c>
      <c r="P227" s="307">
        <f t="shared" si="69"/>
        <v>0</v>
      </c>
      <c r="R227" s="91" t="str">
        <f t="shared" si="65"/>
        <v/>
      </c>
      <c r="S227" s="307" t="str">
        <f t="shared" si="70"/>
        <v>BKK.57aaaaaaaaaaaaaaaaaaaaaaaaaaaaaaaaaaaaaaa</v>
      </c>
      <c r="T227" s="307" t="str">
        <f t="shared" si="71"/>
        <v/>
      </c>
      <c r="U227" s="315" t="str">
        <f t="shared" si="72"/>
        <v/>
      </c>
      <c r="V227" s="307" t="str">
        <f t="shared" si="76"/>
        <v/>
      </c>
      <c r="W227" s="307" t="str">
        <f>IFERROR(IF(V227&gt;0,PROPER(Terbilang1(V227)&amp;" Rupiah"),0),"")</f>
        <v/>
      </c>
      <c r="X227" s="90" t="str">
        <f t="shared" si="77"/>
        <v/>
      </c>
      <c r="Y227" s="307" t="str">
        <f t="shared" si="78"/>
        <v/>
      </c>
      <c r="Z227" s="307">
        <f t="shared" si="73"/>
        <v>0</v>
      </c>
      <c r="AA227" s="366">
        <f t="shared" si="74"/>
        <v>0</v>
      </c>
      <c r="AB227" s="367">
        <f t="shared" si="79"/>
        <v>0</v>
      </c>
      <c r="AC227" s="305">
        <f t="shared" si="80"/>
        <v>0</v>
      </c>
      <c r="AP227" s="89" t="str">
        <f t="shared" si="68"/>
        <v/>
      </c>
      <c r="AQ227" s="89" t="str">
        <f t="shared" si="66"/>
        <v/>
      </c>
      <c r="AR227" s="315" t="str">
        <f t="shared" si="67"/>
        <v/>
      </c>
      <c r="AS227" s="305" t="str">
        <f t="shared" si="81"/>
        <v>0</v>
      </c>
      <c r="AT227" s="307">
        <f>Table22[[#This Row],[Column1]]</f>
        <v>0</v>
      </c>
    </row>
    <row r="228" spans="1:46" x14ac:dyDescent="0.3">
      <c r="A228" s="307">
        <f t="shared" si="75"/>
        <v>0</v>
      </c>
      <c r="B228" s="307">
        <f t="shared" si="64"/>
        <v>0</v>
      </c>
      <c r="C228" s="308" t="s">
        <v>563</v>
      </c>
      <c r="D228" s="309" t="s">
        <v>563</v>
      </c>
      <c r="E228" s="310">
        <v>0</v>
      </c>
      <c r="F228" s="310">
        <v>0</v>
      </c>
      <c r="G228" s="311">
        <v>0</v>
      </c>
      <c r="H228" s="310" t="s">
        <v>563</v>
      </c>
      <c r="I228" s="310" t="s">
        <v>563</v>
      </c>
      <c r="J228" s="310" t="s">
        <v>563</v>
      </c>
      <c r="K228" s="312">
        <v>0</v>
      </c>
      <c r="L228" s="310">
        <v>0</v>
      </c>
      <c r="M228" s="310">
        <v>0</v>
      </c>
      <c r="N228" s="313" t="s">
        <v>563</v>
      </c>
      <c r="O228" s="314" t="s">
        <v>563</v>
      </c>
      <c r="P228" s="307">
        <f t="shared" si="69"/>
        <v>0</v>
      </c>
      <c r="R228" s="91" t="str">
        <f t="shared" si="65"/>
        <v/>
      </c>
      <c r="S228" s="307" t="str">
        <f t="shared" si="70"/>
        <v>BKK.57aaaaaaaaaaaaaaaaaaaaaaaaaaaaaaaaaaaaaaaa</v>
      </c>
      <c r="T228" s="307" t="str">
        <f t="shared" si="71"/>
        <v/>
      </c>
      <c r="U228" s="315" t="str">
        <f t="shared" si="72"/>
        <v/>
      </c>
      <c r="V228" s="307" t="str">
        <f t="shared" si="76"/>
        <v/>
      </c>
      <c r="W228" s="307" t="str">
        <f>IFERROR(IF(V228&gt;0,PROPER(Terbilang1(V228)&amp;" Rupiah"),0),"")</f>
        <v/>
      </c>
      <c r="X228" s="90" t="str">
        <f t="shared" si="77"/>
        <v/>
      </c>
      <c r="Y228" s="307" t="str">
        <f t="shared" si="78"/>
        <v/>
      </c>
      <c r="Z228" s="307">
        <f t="shared" si="73"/>
        <v>0</v>
      </c>
      <c r="AA228" s="366">
        <f t="shared" si="74"/>
        <v>0</v>
      </c>
      <c r="AB228" s="367">
        <f t="shared" si="79"/>
        <v>0</v>
      </c>
      <c r="AC228" s="305">
        <f t="shared" si="80"/>
        <v>0</v>
      </c>
      <c r="AP228" s="89" t="str">
        <f t="shared" si="68"/>
        <v/>
      </c>
      <c r="AQ228" s="89" t="str">
        <f t="shared" si="66"/>
        <v/>
      </c>
      <c r="AR228" s="315" t="str">
        <f t="shared" si="67"/>
        <v/>
      </c>
      <c r="AS228" s="305" t="str">
        <f t="shared" si="81"/>
        <v>0</v>
      </c>
      <c r="AT228" s="307">
        <f>Table22[[#This Row],[Column1]]</f>
        <v>0</v>
      </c>
    </row>
    <row r="229" spans="1:46" x14ac:dyDescent="0.3">
      <c r="A229" s="307">
        <f t="shared" si="75"/>
        <v>0</v>
      </c>
      <c r="B229" s="307">
        <f t="shared" ref="B229:B292" si="82">IF(LEFT(F229,2)="MA","Jasa",IF(LEFT(F229,1)="G","Bayar Ongkos",IF(LEFT(F229,1)="M","Beli",0)))</f>
        <v>0</v>
      </c>
      <c r="C229" s="308" t="s">
        <v>563</v>
      </c>
      <c r="D229" s="309" t="s">
        <v>563</v>
      </c>
      <c r="E229" s="310">
        <v>0</v>
      </c>
      <c r="F229" s="310">
        <v>0</v>
      </c>
      <c r="G229" s="311">
        <v>0</v>
      </c>
      <c r="H229" s="310" t="s">
        <v>563</v>
      </c>
      <c r="I229" s="310" t="s">
        <v>563</v>
      </c>
      <c r="J229" s="310" t="s">
        <v>563</v>
      </c>
      <c r="K229" s="312">
        <v>0</v>
      </c>
      <c r="L229" s="310">
        <v>0</v>
      </c>
      <c r="M229" s="310">
        <v>0</v>
      </c>
      <c r="N229" s="313" t="s">
        <v>563</v>
      </c>
      <c r="O229" s="314" t="s">
        <v>563</v>
      </c>
      <c r="P229" s="307">
        <f t="shared" si="69"/>
        <v>0</v>
      </c>
      <c r="R229" s="91" t="str">
        <f t="shared" ref="R229:R292" si="83">IF(LEFT(F229,2)="ma",F229,IF(LEFT(F229,1)="m",E229,IF(LEFT(F229,1)="b",E229,IF(LEFT(F229,1)="G",F229,""))))</f>
        <v/>
      </c>
      <c r="S229" s="307" t="str">
        <f t="shared" si="70"/>
        <v>BKK.57aaaaaaaaaaaaaaaaaaaaaaaaaaaaaaaaaaaaaaaaa</v>
      </c>
      <c r="T229" s="307" t="str">
        <f t="shared" si="71"/>
        <v/>
      </c>
      <c r="U229" s="315" t="str">
        <f t="shared" si="72"/>
        <v/>
      </c>
      <c r="V229" s="307" t="str">
        <f t="shared" si="76"/>
        <v/>
      </c>
      <c r="W229" s="307" t="str">
        <f>IFERROR(IF(V229&gt;0,PROPER(Terbilang1(V229)&amp;" Rupiah"),0),"")</f>
        <v/>
      </c>
      <c r="X229" s="90" t="str">
        <f t="shared" si="77"/>
        <v/>
      </c>
      <c r="Y229" s="307" t="str">
        <f t="shared" si="78"/>
        <v/>
      </c>
      <c r="Z229" s="307">
        <f t="shared" si="73"/>
        <v>0</v>
      </c>
      <c r="AA229" s="366">
        <f t="shared" si="74"/>
        <v>0</v>
      </c>
      <c r="AB229" s="367">
        <f t="shared" si="79"/>
        <v>0</v>
      </c>
      <c r="AC229" s="305">
        <f t="shared" si="80"/>
        <v>0</v>
      </c>
      <c r="AP229" s="89" t="str">
        <f t="shared" si="68"/>
        <v/>
      </c>
      <c r="AQ229" s="89" t="str">
        <f t="shared" si="66"/>
        <v/>
      </c>
      <c r="AR229" s="315" t="str">
        <f t="shared" si="67"/>
        <v/>
      </c>
      <c r="AS229" s="305" t="str">
        <f t="shared" si="81"/>
        <v>0</v>
      </c>
      <c r="AT229" s="307">
        <f>Table22[[#This Row],[Column1]]</f>
        <v>0</v>
      </c>
    </row>
    <row r="230" spans="1:46" x14ac:dyDescent="0.3">
      <c r="A230" s="307">
        <f t="shared" si="75"/>
        <v>0</v>
      </c>
      <c r="B230" s="307">
        <f t="shared" si="82"/>
        <v>0</v>
      </c>
      <c r="C230" s="308" t="s">
        <v>563</v>
      </c>
      <c r="D230" s="309" t="s">
        <v>563</v>
      </c>
      <c r="E230" s="310">
        <v>0</v>
      </c>
      <c r="F230" s="310">
        <v>0</v>
      </c>
      <c r="G230" s="311">
        <v>0</v>
      </c>
      <c r="H230" s="310" t="s">
        <v>563</v>
      </c>
      <c r="I230" s="310" t="s">
        <v>563</v>
      </c>
      <c r="J230" s="310" t="s">
        <v>563</v>
      </c>
      <c r="K230" s="312">
        <v>0</v>
      </c>
      <c r="L230" s="310">
        <v>0</v>
      </c>
      <c r="M230" s="310">
        <v>0</v>
      </c>
      <c r="N230" s="313" t="s">
        <v>563</v>
      </c>
      <c r="O230" s="314" t="s">
        <v>563</v>
      </c>
      <c r="P230" s="307">
        <f t="shared" si="69"/>
        <v>0</v>
      </c>
      <c r="R230" s="91" t="str">
        <f t="shared" si="83"/>
        <v/>
      </c>
      <c r="S230" s="307" t="str">
        <f t="shared" si="70"/>
        <v>BKK.57aaaaaaaaaaaaaaaaaaaaaaaaaaaaaaaaaaaaaaaaaa</v>
      </c>
      <c r="T230" s="307" t="str">
        <f t="shared" si="71"/>
        <v/>
      </c>
      <c r="U230" s="315" t="str">
        <f t="shared" si="72"/>
        <v/>
      </c>
      <c r="V230" s="307" t="str">
        <f t="shared" si="76"/>
        <v/>
      </c>
      <c r="W230" s="307" t="str">
        <f>IFERROR(IF(V230&gt;0,PROPER(Terbilang1(V230)&amp;" Rupiah"),0),"")</f>
        <v/>
      </c>
      <c r="X230" s="90" t="str">
        <f t="shared" si="77"/>
        <v/>
      </c>
      <c r="Y230" s="307" t="str">
        <f t="shared" si="78"/>
        <v/>
      </c>
      <c r="Z230" s="307">
        <f t="shared" si="73"/>
        <v>0</v>
      </c>
      <c r="AA230" s="366">
        <f t="shared" si="74"/>
        <v>0</v>
      </c>
      <c r="AB230" s="367">
        <f t="shared" si="79"/>
        <v>0</v>
      </c>
      <c r="AC230" s="305">
        <f t="shared" si="80"/>
        <v>0</v>
      </c>
      <c r="AP230" s="89" t="str">
        <f t="shared" si="68"/>
        <v/>
      </c>
      <c r="AQ230" s="89" t="str">
        <f t="shared" si="66"/>
        <v/>
      </c>
      <c r="AR230" s="315" t="str">
        <f t="shared" si="67"/>
        <v/>
      </c>
      <c r="AS230" s="305" t="str">
        <f t="shared" si="81"/>
        <v>0</v>
      </c>
      <c r="AT230" s="307">
        <f>Table22[[#This Row],[Column1]]</f>
        <v>0</v>
      </c>
    </row>
    <row r="231" spans="1:46" x14ac:dyDescent="0.3">
      <c r="A231" s="307">
        <f t="shared" si="75"/>
        <v>0</v>
      </c>
      <c r="B231" s="307">
        <f t="shared" si="82"/>
        <v>0</v>
      </c>
      <c r="C231" s="308" t="s">
        <v>563</v>
      </c>
      <c r="D231" s="309" t="s">
        <v>563</v>
      </c>
      <c r="E231" s="310">
        <v>0</v>
      </c>
      <c r="F231" s="310">
        <v>0</v>
      </c>
      <c r="G231" s="311">
        <v>0</v>
      </c>
      <c r="H231" s="310" t="s">
        <v>563</v>
      </c>
      <c r="I231" s="310" t="s">
        <v>563</v>
      </c>
      <c r="J231" s="310" t="s">
        <v>563</v>
      </c>
      <c r="K231" s="312">
        <v>0</v>
      </c>
      <c r="L231" s="310">
        <v>0</v>
      </c>
      <c r="M231" s="310">
        <v>0</v>
      </c>
      <c r="N231" s="313" t="s">
        <v>563</v>
      </c>
      <c r="O231" s="314" t="s">
        <v>563</v>
      </c>
      <c r="P231" s="307">
        <f t="shared" si="69"/>
        <v>0</v>
      </c>
      <c r="R231" s="91" t="str">
        <f t="shared" si="83"/>
        <v/>
      </c>
      <c r="S231" s="307" t="str">
        <f t="shared" si="70"/>
        <v>BKK.57aaaaaaaaaaaaaaaaaaaaaaaaaaaaaaaaaaaaaaaaaaa</v>
      </c>
      <c r="T231" s="307" t="str">
        <f t="shared" si="71"/>
        <v/>
      </c>
      <c r="U231" s="315" t="str">
        <f t="shared" si="72"/>
        <v/>
      </c>
      <c r="V231" s="307" t="str">
        <f t="shared" si="76"/>
        <v/>
      </c>
      <c r="W231" s="307" t="str">
        <f>IFERROR(IF(V231&gt;0,PROPER(Terbilang1(V231)&amp;" Rupiah"),0),"")</f>
        <v/>
      </c>
      <c r="X231" s="90" t="str">
        <f t="shared" si="77"/>
        <v/>
      </c>
      <c r="Y231" s="307" t="str">
        <f t="shared" si="78"/>
        <v/>
      </c>
      <c r="Z231" s="307">
        <f t="shared" si="73"/>
        <v>0</v>
      </c>
      <c r="AA231" s="366">
        <f t="shared" si="74"/>
        <v>0</v>
      </c>
      <c r="AB231" s="367">
        <f t="shared" si="79"/>
        <v>0</v>
      </c>
      <c r="AC231" s="305">
        <f t="shared" si="80"/>
        <v>0</v>
      </c>
      <c r="AP231" s="89" t="str">
        <f t="shared" si="68"/>
        <v/>
      </c>
      <c r="AQ231" s="89" t="str">
        <f t="shared" si="66"/>
        <v/>
      </c>
      <c r="AR231" s="315" t="str">
        <f t="shared" si="67"/>
        <v/>
      </c>
      <c r="AS231" s="305" t="str">
        <f t="shared" si="81"/>
        <v>0</v>
      </c>
      <c r="AT231" s="307">
        <f>Table22[[#This Row],[Column1]]</f>
        <v>0</v>
      </c>
    </row>
    <row r="232" spans="1:46" x14ac:dyDescent="0.3">
      <c r="A232" s="307">
        <f t="shared" si="75"/>
        <v>0</v>
      </c>
      <c r="B232" s="307">
        <f t="shared" si="82"/>
        <v>0</v>
      </c>
      <c r="C232" s="308" t="s">
        <v>563</v>
      </c>
      <c r="D232" s="309" t="s">
        <v>563</v>
      </c>
      <c r="E232" s="310">
        <v>0</v>
      </c>
      <c r="F232" s="310">
        <v>0</v>
      </c>
      <c r="G232" s="311">
        <v>0</v>
      </c>
      <c r="H232" s="310" t="s">
        <v>563</v>
      </c>
      <c r="I232" s="310" t="s">
        <v>563</v>
      </c>
      <c r="J232" s="310" t="s">
        <v>563</v>
      </c>
      <c r="K232" s="312">
        <v>0</v>
      </c>
      <c r="L232" s="310">
        <v>0</v>
      </c>
      <c r="M232" s="310">
        <v>0</v>
      </c>
      <c r="N232" s="313" t="s">
        <v>563</v>
      </c>
      <c r="O232" s="314" t="s">
        <v>563</v>
      </c>
      <c r="P232" s="307">
        <f t="shared" si="69"/>
        <v>0</v>
      </c>
      <c r="R232" s="91" t="str">
        <f t="shared" si="83"/>
        <v/>
      </c>
      <c r="S232" s="307" t="str">
        <f t="shared" si="70"/>
        <v>BKK.57aaaaaaaaaaaaaaaaaaaaaaaaaaaaaaaaaaaaaaaaaaaa</v>
      </c>
      <c r="T232" s="307" t="str">
        <f t="shared" si="71"/>
        <v/>
      </c>
      <c r="U232" s="315" t="str">
        <f t="shared" si="72"/>
        <v/>
      </c>
      <c r="V232" s="307" t="str">
        <f t="shared" si="76"/>
        <v/>
      </c>
      <c r="W232" s="307" t="str">
        <f>IFERROR(IF(V232&gt;0,PROPER(Terbilang1(V232)&amp;" Rupiah"),0),"")</f>
        <v/>
      </c>
      <c r="X232" s="90" t="str">
        <f t="shared" si="77"/>
        <v/>
      </c>
      <c r="Y232" s="307" t="str">
        <f t="shared" si="78"/>
        <v/>
      </c>
      <c r="Z232" s="307">
        <f t="shared" si="73"/>
        <v>0</v>
      </c>
      <c r="AA232" s="366">
        <f t="shared" si="74"/>
        <v>0</v>
      </c>
      <c r="AB232" s="367">
        <f t="shared" si="79"/>
        <v>0</v>
      </c>
      <c r="AC232" s="305">
        <f t="shared" si="80"/>
        <v>0</v>
      </c>
      <c r="AP232" s="89" t="str">
        <f t="shared" si="68"/>
        <v/>
      </c>
      <c r="AQ232" s="89" t="str">
        <f t="shared" ref="AQ232:AQ295" si="84">TEXT(AR232,"MM")</f>
        <v/>
      </c>
      <c r="AR232" s="315" t="str">
        <f t="shared" si="67"/>
        <v/>
      </c>
      <c r="AS232" s="305" t="str">
        <f t="shared" si="81"/>
        <v>0</v>
      </c>
      <c r="AT232" s="307">
        <f>Table22[[#This Row],[Column1]]</f>
        <v>0</v>
      </c>
    </row>
    <row r="233" spans="1:46" x14ac:dyDescent="0.3">
      <c r="A233" s="307">
        <f t="shared" si="75"/>
        <v>0</v>
      </c>
      <c r="B233" s="307">
        <f t="shared" si="82"/>
        <v>0</v>
      </c>
      <c r="C233" s="308" t="s">
        <v>563</v>
      </c>
      <c r="D233" s="309" t="s">
        <v>563</v>
      </c>
      <c r="E233" s="310">
        <v>0</v>
      </c>
      <c r="F233" s="310">
        <v>0</v>
      </c>
      <c r="G233" s="311">
        <v>0</v>
      </c>
      <c r="H233" s="310" t="s">
        <v>563</v>
      </c>
      <c r="I233" s="310" t="s">
        <v>563</v>
      </c>
      <c r="J233" s="310" t="s">
        <v>563</v>
      </c>
      <c r="K233" s="312">
        <v>0</v>
      </c>
      <c r="L233" s="310">
        <v>0</v>
      </c>
      <c r="M233" s="310">
        <v>0</v>
      </c>
      <c r="N233" s="313" t="s">
        <v>563</v>
      </c>
      <c r="O233" s="314" t="s">
        <v>563</v>
      </c>
      <c r="P233" s="307">
        <f t="shared" si="69"/>
        <v>0</v>
      </c>
      <c r="R233" s="91" t="str">
        <f t="shared" si="83"/>
        <v/>
      </c>
      <c r="S233" s="307" t="str">
        <f t="shared" si="70"/>
        <v>BKK.57aaaaaaaaaaaaaaaaaaaaaaaaaaaaaaaaaaaaaaaaaaaaa</v>
      </c>
      <c r="T233" s="307" t="str">
        <f t="shared" si="71"/>
        <v/>
      </c>
      <c r="U233" s="315" t="str">
        <f t="shared" si="72"/>
        <v/>
      </c>
      <c r="V233" s="307" t="str">
        <f>N233</f>
        <v/>
      </c>
      <c r="W233" s="307" t="str">
        <f>IFERROR(IF(V233&gt;0,PROPER(Terbilang1(V233)&amp;" Rupiah"),0),"")</f>
        <v/>
      </c>
      <c r="X233" s="90" t="str">
        <f t="shared" si="77"/>
        <v/>
      </c>
      <c r="Y233" s="307" t="str">
        <f t="shared" si="78"/>
        <v/>
      </c>
      <c r="Z233" s="307">
        <f t="shared" si="73"/>
        <v>0</v>
      </c>
      <c r="AA233" s="366">
        <f t="shared" si="74"/>
        <v>0</v>
      </c>
      <c r="AB233" s="367">
        <f t="shared" si="79"/>
        <v>0</v>
      </c>
      <c r="AC233" s="305">
        <f t="shared" si="80"/>
        <v>0</v>
      </c>
      <c r="AP233" s="89" t="str">
        <f t="shared" si="68"/>
        <v/>
      </c>
      <c r="AQ233" s="89" t="str">
        <f t="shared" si="84"/>
        <v/>
      </c>
      <c r="AR233" s="315" t="str">
        <f t="shared" si="67"/>
        <v/>
      </c>
      <c r="AS233" s="305" t="str">
        <f t="shared" si="81"/>
        <v>0</v>
      </c>
      <c r="AT233" s="307">
        <f>Table22[[#This Row],[Column1]]</f>
        <v>0</v>
      </c>
    </row>
    <row r="234" spans="1:46" x14ac:dyDescent="0.3">
      <c r="A234" s="307">
        <f t="shared" si="75"/>
        <v>0</v>
      </c>
      <c r="B234" s="307">
        <f t="shared" si="82"/>
        <v>0</v>
      </c>
      <c r="C234" s="308" t="s">
        <v>563</v>
      </c>
      <c r="D234" s="309" t="s">
        <v>563</v>
      </c>
      <c r="E234" s="310">
        <v>0</v>
      </c>
      <c r="F234" s="310">
        <v>0</v>
      </c>
      <c r="G234" s="311">
        <v>0</v>
      </c>
      <c r="H234" s="310" t="s">
        <v>563</v>
      </c>
      <c r="I234" s="310" t="s">
        <v>563</v>
      </c>
      <c r="J234" s="310" t="s">
        <v>563</v>
      </c>
      <c r="K234" s="312">
        <v>0</v>
      </c>
      <c r="L234" s="310">
        <v>0</v>
      </c>
      <c r="M234" s="310">
        <v>0</v>
      </c>
      <c r="N234" s="313" t="s">
        <v>563</v>
      </c>
      <c r="O234" s="314" t="s">
        <v>563</v>
      </c>
      <c r="P234" s="307">
        <f t="shared" si="69"/>
        <v>0</v>
      </c>
      <c r="R234" s="91" t="str">
        <f t="shared" si="83"/>
        <v/>
      </c>
      <c r="S234" s="307" t="str">
        <f t="shared" si="70"/>
        <v>BKK.57aaaaaaaaaaaaaaaaaaaaaaaaaaaaaaaaaaaaaaaaaaaaaa</v>
      </c>
      <c r="T234" s="307" t="str">
        <f t="shared" si="71"/>
        <v/>
      </c>
      <c r="U234" s="315" t="str">
        <f t="shared" si="72"/>
        <v/>
      </c>
      <c r="V234" s="307" t="str">
        <f t="shared" si="76"/>
        <v/>
      </c>
      <c r="W234" s="307" t="str">
        <f>IFERROR(IF(V234&gt;0,PROPER(Terbilang1(V234)&amp;" Rupiah"),0),"")</f>
        <v/>
      </c>
      <c r="X234" s="90" t="str">
        <f t="shared" si="77"/>
        <v/>
      </c>
      <c r="Y234" s="307" t="str">
        <f t="shared" si="78"/>
        <v/>
      </c>
      <c r="Z234" s="307">
        <f t="shared" si="73"/>
        <v>0</v>
      </c>
      <c r="AA234" s="366">
        <f t="shared" si="74"/>
        <v>0</v>
      </c>
      <c r="AB234" s="367">
        <f t="shared" si="79"/>
        <v>0</v>
      </c>
      <c r="AC234" s="305">
        <f t="shared" si="80"/>
        <v>0</v>
      </c>
      <c r="AP234" s="89" t="str">
        <f t="shared" si="68"/>
        <v/>
      </c>
      <c r="AQ234" s="89" t="str">
        <f t="shared" si="84"/>
        <v/>
      </c>
      <c r="AR234" s="315" t="str">
        <f t="shared" si="67"/>
        <v/>
      </c>
      <c r="AS234" s="305" t="str">
        <f t="shared" si="81"/>
        <v>0</v>
      </c>
      <c r="AT234" s="307">
        <f>Table22[[#This Row],[Column1]]</f>
        <v>0</v>
      </c>
    </row>
    <row r="235" spans="1:46" x14ac:dyDescent="0.3">
      <c r="A235" s="307">
        <f t="shared" si="75"/>
        <v>0</v>
      </c>
      <c r="B235" s="307">
        <f t="shared" si="82"/>
        <v>0</v>
      </c>
      <c r="C235" s="308" t="s">
        <v>563</v>
      </c>
      <c r="D235" s="309" t="s">
        <v>563</v>
      </c>
      <c r="E235" s="310">
        <v>0</v>
      </c>
      <c r="F235" s="310">
        <v>0</v>
      </c>
      <c r="G235" s="311">
        <v>0</v>
      </c>
      <c r="H235" s="310" t="s">
        <v>563</v>
      </c>
      <c r="I235" s="310" t="s">
        <v>563</v>
      </c>
      <c r="J235" s="310" t="s">
        <v>563</v>
      </c>
      <c r="K235" s="312">
        <v>0</v>
      </c>
      <c r="L235" s="310">
        <v>0</v>
      </c>
      <c r="M235" s="310">
        <v>0</v>
      </c>
      <c r="N235" s="313" t="s">
        <v>563</v>
      </c>
      <c r="O235" s="314" t="s">
        <v>563</v>
      </c>
      <c r="P235" s="307">
        <f t="shared" si="69"/>
        <v>0</v>
      </c>
      <c r="R235" s="91" t="str">
        <f t="shared" si="83"/>
        <v/>
      </c>
      <c r="S235" s="307" t="str">
        <f t="shared" si="70"/>
        <v>BKK.57aaaaaaaaaaaaaaaaaaaaaaaaaaaaaaaaaaaaaaaaaaaaaaa</v>
      </c>
      <c r="T235" s="307" t="str">
        <f t="shared" si="71"/>
        <v/>
      </c>
      <c r="U235" s="315" t="str">
        <f t="shared" si="72"/>
        <v/>
      </c>
      <c r="V235" s="307" t="str">
        <f t="shared" si="76"/>
        <v/>
      </c>
      <c r="W235" s="307" t="str">
        <f>IFERROR(IF(V235&gt;0,PROPER(Terbilang1(V235)&amp;" Rupiah"),0),"")</f>
        <v/>
      </c>
      <c r="X235" s="90" t="str">
        <f t="shared" si="77"/>
        <v/>
      </c>
      <c r="Y235" s="307" t="str">
        <f t="shared" si="78"/>
        <v/>
      </c>
      <c r="Z235" s="307">
        <f t="shared" si="73"/>
        <v>0</v>
      </c>
      <c r="AA235" s="366">
        <f t="shared" si="74"/>
        <v>0</v>
      </c>
      <c r="AB235" s="367">
        <f t="shared" si="79"/>
        <v>0</v>
      </c>
      <c r="AC235" s="305">
        <f t="shared" si="80"/>
        <v>0</v>
      </c>
      <c r="AP235" s="89" t="str">
        <f t="shared" si="68"/>
        <v/>
      </c>
      <c r="AQ235" s="89" t="str">
        <f t="shared" si="84"/>
        <v/>
      </c>
      <c r="AR235" s="315" t="str">
        <f t="shared" si="67"/>
        <v/>
      </c>
      <c r="AS235" s="305" t="str">
        <f t="shared" si="81"/>
        <v>0</v>
      </c>
      <c r="AT235" s="307">
        <f>Table22[[#This Row],[Column1]]</f>
        <v>0</v>
      </c>
    </row>
    <row r="236" spans="1:46" x14ac:dyDescent="0.3">
      <c r="A236" s="307">
        <f t="shared" si="75"/>
        <v>0</v>
      </c>
      <c r="B236" s="307">
        <f t="shared" si="82"/>
        <v>0</v>
      </c>
      <c r="C236" s="308" t="s">
        <v>563</v>
      </c>
      <c r="D236" s="309" t="s">
        <v>563</v>
      </c>
      <c r="E236" s="310">
        <v>0</v>
      </c>
      <c r="F236" s="310">
        <v>0</v>
      </c>
      <c r="G236" s="311">
        <v>0</v>
      </c>
      <c r="H236" s="310" t="s">
        <v>563</v>
      </c>
      <c r="I236" s="310" t="s">
        <v>563</v>
      </c>
      <c r="J236" s="310" t="s">
        <v>563</v>
      </c>
      <c r="K236" s="312">
        <v>0</v>
      </c>
      <c r="L236" s="310">
        <v>0</v>
      </c>
      <c r="M236" s="310">
        <v>0</v>
      </c>
      <c r="N236" s="313" t="s">
        <v>563</v>
      </c>
      <c r="O236" s="314" t="s">
        <v>563</v>
      </c>
      <c r="P236" s="307">
        <f t="shared" si="69"/>
        <v>0</v>
      </c>
      <c r="R236" s="91" t="str">
        <f t="shared" si="83"/>
        <v/>
      </c>
      <c r="S236" s="307" t="str">
        <f t="shared" si="70"/>
        <v>BKK.57aaaaaaaaaaaaaaaaaaaaaaaaaaaaaaaaaaaaaaaaaaaaaaaa</v>
      </c>
      <c r="T236" s="307" t="str">
        <f t="shared" si="71"/>
        <v/>
      </c>
      <c r="U236" s="315" t="str">
        <f t="shared" si="72"/>
        <v/>
      </c>
      <c r="V236" s="307" t="str">
        <f t="shared" si="76"/>
        <v/>
      </c>
      <c r="W236" s="307" t="str">
        <f>IFERROR(IF(V236&gt;0,PROPER(Terbilang1(V236)&amp;" Rupiah"),0),"")</f>
        <v/>
      </c>
      <c r="X236" s="90" t="str">
        <f t="shared" si="77"/>
        <v/>
      </c>
      <c r="Y236" s="307" t="str">
        <f t="shared" si="78"/>
        <v/>
      </c>
      <c r="Z236" s="307">
        <f t="shared" si="73"/>
        <v>0</v>
      </c>
      <c r="AA236" s="366">
        <f t="shared" si="74"/>
        <v>0</v>
      </c>
      <c r="AB236" s="367">
        <f t="shared" si="79"/>
        <v>0</v>
      </c>
      <c r="AC236" s="305">
        <f t="shared" si="80"/>
        <v>0</v>
      </c>
      <c r="AP236" s="89" t="str">
        <f t="shared" si="68"/>
        <v/>
      </c>
      <c r="AQ236" s="89" t="str">
        <f t="shared" si="84"/>
        <v/>
      </c>
      <c r="AR236" s="315" t="str">
        <f t="shared" si="67"/>
        <v/>
      </c>
      <c r="AS236" s="305" t="str">
        <f t="shared" si="81"/>
        <v>0</v>
      </c>
      <c r="AT236" s="307">
        <f>Table22[[#This Row],[Column1]]</f>
        <v>0</v>
      </c>
    </row>
    <row r="237" spans="1:46" x14ac:dyDescent="0.3">
      <c r="A237" s="307">
        <f t="shared" si="75"/>
        <v>0</v>
      </c>
      <c r="B237" s="307">
        <f t="shared" si="82"/>
        <v>0</v>
      </c>
      <c r="C237" s="308" t="s">
        <v>563</v>
      </c>
      <c r="D237" s="309" t="s">
        <v>563</v>
      </c>
      <c r="E237" s="310">
        <v>0</v>
      </c>
      <c r="F237" s="310">
        <v>0</v>
      </c>
      <c r="G237" s="311">
        <v>0</v>
      </c>
      <c r="H237" s="310" t="s">
        <v>563</v>
      </c>
      <c r="I237" s="310" t="s">
        <v>563</v>
      </c>
      <c r="J237" s="310" t="s">
        <v>563</v>
      </c>
      <c r="K237" s="312">
        <v>0</v>
      </c>
      <c r="L237" s="310">
        <v>0</v>
      </c>
      <c r="M237" s="310">
        <v>0</v>
      </c>
      <c r="N237" s="313" t="s">
        <v>563</v>
      </c>
      <c r="O237" s="314" t="s">
        <v>563</v>
      </c>
      <c r="P237" s="307">
        <f t="shared" si="69"/>
        <v>0</v>
      </c>
      <c r="R237" s="91" t="str">
        <f t="shared" si="83"/>
        <v/>
      </c>
      <c r="S237" s="307" t="str">
        <f t="shared" si="70"/>
        <v>BKK.57aaaaaaaaaaaaaaaaaaaaaaaaaaaaaaaaaaaaaaaaaaaaaaaaa</v>
      </c>
      <c r="T237" s="307" t="str">
        <f t="shared" si="71"/>
        <v/>
      </c>
      <c r="U237" s="315" t="str">
        <f t="shared" si="72"/>
        <v/>
      </c>
      <c r="V237" s="307" t="str">
        <f>N237</f>
        <v/>
      </c>
      <c r="W237" s="307" t="str">
        <f>IFERROR(IF(V237&gt;0,PROPER(Terbilang1(V237)&amp;" Rupiah"),0),"")</f>
        <v/>
      </c>
      <c r="X237" s="90" t="str">
        <f t="shared" si="77"/>
        <v/>
      </c>
      <c r="Y237" s="307" t="str">
        <f t="shared" si="78"/>
        <v/>
      </c>
      <c r="Z237" s="307">
        <f t="shared" si="73"/>
        <v>0</v>
      </c>
      <c r="AA237" s="366">
        <f t="shared" si="74"/>
        <v>0</v>
      </c>
      <c r="AB237" s="367">
        <f t="shared" si="79"/>
        <v>0</v>
      </c>
      <c r="AC237" s="305">
        <f t="shared" si="80"/>
        <v>0</v>
      </c>
      <c r="AP237" s="89" t="str">
        <f t="shared" si="68"/>
        <v/>
      </c>
      <c r="AQ237" s="89" t="str">
        <f t="shared" si="84"/>
        <v/>
      </c>
      <c r="AR237" s="315" t="str">
        <f t="shared" si="67"/>
        <v/>
      </c>
      <c r="AS237" s="305" t="str">
        <f t="shared" si="81"/>
        <v>0</v>
      </c>
      <c r="AT237" s="307">
        <f>Table22[[#This Row],[Column1]]</f>
        <v>0</v>
      </c>
    </row>
    <row r="238" spans="1:46" x14ac:dyDescent="0.3">
      <c r="A238" s="307">
        <f t="shared" si="75"/>
        <v>0</v>
      </c>
      <c r="B238" s="307">
        <f t="shared" si="82"/>
        <v>0</v>
      </c>
      <c r="C238" s="308" t="s">
        <v>563</v>
      </c>
      <c r="D238" s="309" t="s">
        <v>563</v>
      </c>
      <c r="E238" s="310">
        <v>0</v>
      </c>
      <c r="F238" s="310">
        <v>0</v>
      </c>
      <c r="G238" s="311">
        <v>0</v>
      </c>
      <c r="H238" s="310" t="s">
        <v>563</v>
      </c>
      <c r="I238" s="310" t="s">
        <v>563</v>
      </c>
      <c r="J238" s="310" t="s">
        <v>563</v>
      </c>
      <c r="K238" s="312">
        <v>0</v>
      </c>
      <c r="L238" s="310">
        <v>0</v>
      </c>
      <c r="M238" s="310">
        <v>0</v>
      </c>
      <c r="N238" s="313" t="s">
        <v>563</v>
      </c>
      <c r="O238" s="314" t="s">
        <v>563</v>
      </c>
      <c r="P238" s="307">
        <f t="shared" si="69"/>
        <v>0</v>
      </c>
      <c r="R238" s="91" t="str">
        <f t="shared" si="83"/>
        <v/>
      </c>
      <c r="S238" s="307" t="str">
        <f t="shared" si="70"/>
        <v>BKK.57aaaaaaaaaaaaaaaaaaaaaaaaaaaaaaaaaaaaaaaaaaaaaaaaaa</v>
      </c>
      <c r="T238" s="307" t="str">
        <f t="shared" si="71"/>
        <v/>
      </c>
      <c r="U238" s="315" t="str">
        <f t="shared" si="72"/>
        <v/>
      </c>
      <c r="V238" s="307" t="str">
        <f t="shared" si="76"/>
        <v/>
      </c>
      <c r="W238" s="307" t="str">
        <f>IFERROR(IF(V238&gt;0,PROPER(Terbilang1(V238)&amp;" Rupiah"),0),"")</f>
        <v/>
      </c>
      <c r="X238" s="90" t="str">
        <f t="shared" si="77"/>
        <v/>
      </c>
      <c r="Y238" s="307" t="str">
        <f t="shared" si="78"/>
        <v/>
      </c>
      <c r="Z238" s="307">
        <f t="shared" si="73"/>
        <v>0</v>
      </c>
      <c r="AA238" s="366">
        <f t="shared" si="74"/>
        <v>0</v>
      </c>
      <c r="AB238" s="367">
        <f t="shared" si="79"/>
        <v>0</v>
      </c>
      <c r="AC238" s="305">
        <f t="shared" si="80"/>
        <v>0</v>
      </c>
      <c r="AP238" s="89" t="str">
        <f t="shared" si="68"/>
        <v/>
      </c>
      <c r="AQ238" s="89" t="str">
        <f t="shared" si="84"/>
        <v/>
      </c>
      <c r="AR238" s="315" t="str">
        <f t="shared" si="67"/>
        <v/>
      </c>
      <c r="AS238" s="305" t="str">
        <f t="shared" si="81"/>
        <v>0</v>
      </c>
      <c r="AT238" s="307">
        <f>Table22[[#This Row],[Column1]]</f>
        <v>0</v>
      </c>
    </row>
    <row r="239" spans="1:46" x14ac:dyDescent="0.3">
      <c r="A239" s="307">
        <f t="shared" si="75"/>
        <v>0</v>
      </c>
      <c r="B239" s="307">
        <f t="shared" si="82"/>
        <v>0</v>
      </c>
      <c r="C239" s="308" t="s">
        <v>563</v>
      </c>
      <c r="D239" s="309" t="s">
        <v>563</v>
      </c>
      <c r="E239" s="310">
        <v>0</v>
      </c>
      <c r="F239" s="310">
        <v>0</v>
      </c>
      <c r="G239" s="311">
        <v>0</v>
      </c>
      <c r="H239" s="310" t="s">
        <v>563</v>
      </c>
      <c r="I239" s="310" t="s">
        <v>563</v>
      </c>
      <c r="J239" s="310" t="s">
        <v>563</v>
      </c>
      <c r="K239" s="312">
        <v>0</v>
      </c>
      <c r="L239" s="310">
        <v>0</v>
      </c>
      <c r="M239" s="310">
        <v>0</v>
      </c>
      <c r="N239" s="313" t="s">
        <v>563</v>
      </c>
      <c r="O239" s="314" t="s">
        <v>563</v>
      </c>
      <c r="P239" s="307">
        <f t="shared" si="69"/>
        <v>0</v>
      </c>
      <c r="R239" s="91" t="str">
        <f t="shared" si="83"/>
        <v/>
      </c>
      <c r="S239" s="307" t="str">
        <f t="shared" si="70"/>
        <v>BKK.57aaaaaaaaaaaaaaaaaaaaaaaaaaaaaaaaaaaaaaaaaaaaaaaaaaa</v>
      </c>
      <c r="T239" s="307" t="str">
        <f t="shared" si="71"/>
        <v/>
      </c>
      <c r="U239" s="315" t="str">
        <f t="shared" si="72"/>
        <v/>
      </c>
      <c r="V239" s="307" t="str">
        <f>N239</f>
        <v/>
      </c>
      <c r="W239" s="307" t="str">
        <f>IFERROR(IF(V239&gt;0,PROPER(Terbilang1(V239)&amp;" Rupiah"),0),"")</f>
        <v/>
      </c>
      <c r="X239" s="90" t="str">
        <f t="shared" si="77"/>
        <v/>
      </c>
      <c r="Y239" s="307" t="str">
        <f t="shared" si="78"/>
        <v/>
      </c>
      <c r="Z239" s="307">
        <f t="shared" si="73"/>
        <v>0</v>
      </c>
      <c r="AA239" s="366">
        <f t="shared" si="74"/>
        <v>0</v>
      </c>
      <c r="AB239" s="367">
        <f t="shared" si="79"/>
        <v>0</v>
      </c>
      <c r="AC239" s="305">
        <f t="shared" si="80"/>
        <v>0</v>
      </c>
      <c r="AP239" s="89" t="str">
        <f t="shared" si="68"/>
        <v/>
      </c>
      <c r="AQ239" s="89" t="str">
        <f t="shared" si="84"/>
        <v/>
      </c>
      <c r="AR239" s="315" t="str">
        <f t="shared" si="67"/>
        <v/>
      </c>
      <c r="AS239" s="305" t="str">
        <f t="shared" si="81"/>
        <v>0</v>
      </c>
      <c r="AT239" s="307">
        <f>Table22[[#This Row],[Column1]]</f>
        <v>0</v>
      </c>
    </row>
    <row r="240" spans="1:46" x14ac:dyDescent="0.3">
      <c r="A240" s="307">
        <f t="shared" si="75"/>
        <v>0</v>
      </c>
      <c r="B240" s="307">
        <f t="shared" si="82"/>
        <v>0</v>
      </c>
      <c r="C240" s="308" t="s">
        <v>563</v>
      </c>
      <c r="D240" s="309" t="s">
        <v>563</v>
      </c>
      <c r="E240" s="310">
        <v>0</v>
      </c>
      <c r="F240" s="310">
        <v>0</v>
      </c>
      <c r="G240" s="311">
        <v>0</v>
      </c>
      <c r="H240" s="310" t="s">
        <v>563</v>
      </c>
      <c r="I240" s="310" t="s">
        <v>563</v>
      </c>
      <c r="J240" s="310" t="s">
        <v>563</v>
      </c>
      <c r="K240" s="312">
        <v>0</v>
      </c>
      <c r="L240" s="310">
        <v>0</v>
      </c>
      <c r="M240" s="310">
        <v>0</v>
      </c>
      <c r="N240" s="313" t="s">
        <v>563</v>
      </c>
      <c r="O240" s="314" t="s">
        <v>563</v>
      </c>
      <c r="P240" s="307">
        <f t="shared" si="69"/>
        <v>0</v>
      </c>
      <c r="R240" s="91" t="str">
        <f t="shared" si="83"/>
        <v/>
      </c>
      <c r="S240" s="307" t="str">
        <f t="shared" si="70"/>
        <v>BKK.57aaaaaaaaaaaaaaaaaaaaaaaaaaaaaaaaaaaaaaaaaaaaaaaaaaaa</v>
      </c>
      <c r="T240" s="307" t="str">
        <f t="shared" si="71"/>
        <v/>
      </c>
      <c r="U240" s="315" t="str">
        <f t="shared" si="72"/>
        <v/>
      </c>
      <c r="V240" s="307" t="str">
        <f>N240</f>
        <v/>
      </c>
      <c r="W240" s="307" t="str">
        <f>IFERROR(IF(V240&gt;0,PROPER(Terbilang1(V240)&amp;" Rupiah"),0),"")</f>
        <v/>
      </c>
      <c r="X240" s="90" t="str">
        <f t="shared" si="77"/>
        <v/>
      </c>
      <c r="Y240" s="307" t="str">
        <f t="shared" si="78"/>
        <v/>
      </c>
      <c r="Z240" s="307">
        <f t="shared" si="73"/>
        <v>0</v>
      </c>
      <c r="AA240" s="366">
        <f t="shared" si="74"/>
        <v>0</v>
      </c>
      <c r="AB240" s="367">
        <f t="shared" si="79"/>
        <v>0</v>
      </c>
      <c r="AC240" s="305">
        <f t="shared" si="80"/>
        <v>0</v>
      </c>
      <c r="AP240" s="89" t="str">
        <f t="shared" si="68"/>
        <v/>
      </c>
      <c r="AQ240" s="89" t="str">
        <f t="shared" si="84"/>
        <v/>
      </c>
      <c r="AR240" s="315" t="str">
        <f t="shared" si="67"/>
        <v/>
      </c>
      <c r="AS240" s="305" t="str">
        <f t="shared" si="81"/>
        <v>0</v>
      </c>
      <c r="AT240" s="307">
        <f>Table22[[#This Row],[Column1]]</f>
        <v>0</v>
      </c>
    </row>
    <row r="241" spans="1:46" x14ac:dyDescent="0.3">
      <c r="A241" s="307">
        <f t="shared" si="75"/>
        <v>0</v>
      </c>
      <c r="B241" s="307">
        <f t="shared" si="82"/>
        <v>0</v>
      </c>
      <c r="C241" s="308" t="s">
        <v>563</v>
      </c>
      <c r="D241" s="309" t="s">
        <v>563</v>
      </c>
      <c r="E241" s="310">
        <v>0</v>
      </c>
      <c r="F241" s="310">
        <v>0</v>
      </c>
      <c r="G241" s="311">
        <v>0</v>
      </c>
      <c r="H241" s="310" t="s">
        <v>563</v>
      </c>
      <c r="I241" s="310" t="s">
        <v>563</v>
      </c>
      <c r="J241" s="310" t="s">
        <v>563</v>
      </c>
      <c r="K241" s="312">
        <v>0</v>
      </c>
      <c r="L241" s="310">
        <v>0</v>
      </c>
      <c r="M241" s="310">
        <v>0</v>
      </c>
      <c r="N241" s="313" t="s">
        <v>563</v>
      </c>
      <c r="O241" s="314" t="s">
        <v>563</v>
      </c>
      <c r="P241" s="307">
        <f t="shared" si="69"/>
        <v>0</v>
      </c>
      <c r="R241" s="91" t="str">
        <f t="shared" si="83"/>
        <v/>
      </c>
      <c r="S241" s="307" t="str">
        <f t="shared" si="70"/>
        <v>BKK.57aaaaaaaaaaaaaaaaaaaaaaaaaaaaaaaaaaaaaaaaaaaaaaaaaaaaa</v>
      </c>
      <c r="T241" s="307" t="str">
        <f t="shared" si="71"/>
        <v/>
      </c>
      <c r="U241" s="315" t="str">
        <f t="shared" si="72"/>
        <v/>
      </c>
      <c r="V241" s="307" t="str">
        <f>N241</f>
        <v/>
      </c>
      <c r="W241" s="307" t="str">
        <f>IFERROR(IF(V241&gt;0,PROPER(Terbilang1(V241)&amp;" Rupiah"),0),"")</f>
        <v/>
      </c>
      <c r="X241" s="90" t="str">
        <f t="shared" si="77"/>
        <v/>
      </c>
      <c r="Y241" s="307" t="str">
        <f t="shared" si="78"/>
        <v/>
      </c>
      <c r="Z241" s="307">
        <f t="shared" si="73"/>
        <v>0</v>
      </c>
      <c r="AA241" s="366">
        <f t="shared" si="74"/>
        <v>0</v>
      </c>
      <c r="AB241" s="367">
        <f t="shared" si="79"/>
        <v>0</v>
      </c>
      <c r="AC241" s="305">
        <f t="shared" si="80"/>
        <v>0</v>
      </c>
      <c r="AP241" s="89" t="str">
        <f t="shared" si="68"/>
        <v/>
      </c>
      <c r="AQ241" s="89" t="str">
        <f t="shared" si="84"/>
        <v/>
      </c>
      <c r="AR241" s="315" t="str">
        <f t="shared" si="67"/>
        <v/>
      </c>
      <c r="AS241" s="305" t="str">
        <f t="shared" si="81"/>
        <v>0</v>
      </c>
      <c r="AT241" s="307">
        <f>Table22[[#This Row],[Column1]]</f>
        <v>0</v>
      </c>
    </row>
    <row r="242" spans="1:46" x14ac:dyDescent="0.3">
      <c r="A242" s="307">
        <f t="shared" si="75"/>
        <v>0</v>
      </c>
      <c r="B242" s="307">
        <f t="shared" si="82"/>
        <v>0</v>
      </c>
      <c r="C242" s="308" t="s">
        <v>563</v>
      </c>
      <c r="D242" s="309" t="s">
        <v>563</v>
      </c>
      <c r="E242" s="310">
        <v>0</v>
      </c>
      <c r="F242" s="310">
        <v>0</v>
      </c>
      <c r="G242" s="311">
        <v>0</v>
      </c>
      <c r="H242" s="310" t="s">
        <v>563</v>
      </c>
      <c r="I242" s="310" t="s">
        <v>563</v>
      </c>
      <c r="J242" s="310" t="s">
        <v>563</v>
      </c>
      <c r="K242" s="312">
        <v>0</v>
      </c>
      <c r="L242" s="310">
        <v>0</v>
      </c>
      <c r="M242" s="310">
        <v>0</v>
      </c>
      <c r="N242" s="313" t="s">
        <v>563</v>
      </c>
      <c r="O242" s="314" t="s">
        <v>563</v>
      </c>
      <c r="P242" s="307">
        <f t="shared" si="69"/>
        <v>0</v>
      </c>
      <c r="R242" s="91" t="str">
        <f t="shared" si="83"/>
        <v/>
      </c>
      <c r="S242" s="307" t="str">
        <f t="shared" si="70"/>
        <v>BKK.57aaaaaaaaaaaaaaaaaaaaaaaaaaaaaaaaaaaaaaaaaaaaaaaaaaaaaa</v>
      </c>
      <c r="T242" s="307" t="str">
        <f t="shared" si="71"/>
        <v/>
      </c>
      <c r="U242" s="315" t="str">
        <f t="shared" si="72"/>
        <v/>
      </c>
      <c r="V242" s="307" t="str">
        <f t="shared" si="76"/>
        <v/>
      </c>
      <c r="W242" s="307" t="str">
        <f>IFERROR(IF(V242&gt;0,PROPER(Terbilang1(V242)&amp;" Rupiah"),0),"")</f>
        <v/>
      </c>
      <c r="X242" s="90" t="str">
        <f t="shared" si="77"/>
        <v/>
      </c>
      <c r="Y242" s="307" t="str">
        <f t="shared" si="78"/>
        <v/>
      </c>
      <c r="Z242" s="307">
        <f t="shared" si="73"/>
        <v>0</v>
      </c>
      <c r="AA242" s="366">
        <f t="shared" si="74"/>
        <v>0</v>
      </c>
      <c r="AB242" s="367">
        <f t="shared" si="79"/>
        <v>0</v>
      </c>
      <c r="AC242" s="305">
        <f t="shared" si="80"/>
        <v>0</v>
      </c>
      <c r="AP242" s="89" t="str">
        <f t="shared" si="68"/>
        <v/>
      </c>
      <c r="AQ242" s="89" t="str">
        <f t="shared" si="84"/>
        <v/>
      </c>
      <c r="AR242" s="315" t="str">
        <f t="shared" si="67"/>
        <v/>
      </c>
      <c r="AS242" s="305" t="str">
        <f t="shared" si="81"/>
        <v>0</v>
      </c>
      <c r="AT242" s="307">
        <f>Table22[[#This Row],[Column1]]</f>
        <v>0</v>
      </c>
    </row>
    <row r="243" spans="1:46" x14ac:dyDescent="0.3">
      <c r="A243" s="307">
        <f t="shared" si="75"/>
        <v>0</v>
      </c>
      <c r="B243" s="307">
        <f t="shared" si="82"/>
        <v>0</v>
      </c>
      <c r="C243" s="308" t="s">
        <v>563</v>
      </c>
      <c r="D243" s="309" t="s">
        <v>563</v>
      </c>
      <c r="E243" s="310">
        <v>0</v>
      </c>
      <c r="F243" s="310">
        <v>0</v>
      </c>
      <c r="G243" s="311">
        <v>0</v>
      </c>
      <c r="H243" s="310" t="s">
        <v>563</v>
      </c>
      <c r="I243" s="310" t="s">
        <v>563</v>
      </c>
      <c r="J243" s="310" t="s">
        <v>563</v>
      </c>
      <c r="K243" s="312">
        <v>0</v>
      </c>
      <c r="L243" s="310">
        <v>0</v>
      </c>
      <c r="M243" s="310">
        <v>0</v>
      </c>
      <c r="N243" s="313" t="s">
        <v>563</v>
      </c>
      <c r="O243" s="314" t="s">
        <v>563</v>
      </c>
      <c r="P243" s="307">
        <f t="shared" si="69"/>
        <v>0</v>
      </c>
      <c r="R243" s="91" t="str">
        <f t="shared" si="83"/>
        <v/>
      </c>
      <c r="S243" s="307" t="str">
        <f t="shared" si="70"/>
        <v>BKK.57aaaaaaaaaaaaaaaaaaaaaaaaaaaaaaaaaaaaaaaaaaaaaaaaaaaaaaa</v>
      </c>
      <c r="T243" s="307" t="str">
        <f t="shared" si="71"/>
        <v/>
      </c>
      <c r="U243" s="315" t="str">
        <f t="shared" si="72"/>
        <v/>
      </c>
      <c r="V243" s="307" t="str">
        <f t="shared" si="76"/>
        <v/>
      </c>
      <c r="W243" s="307" t="str">
        <f>IFERROR(IF(V243&gt;0,PROPER(Terbilang1(V243)&amp;" Rupiah"),0),"")</f>
        <v/>
      </c>
      <c r="X243" s="90" t="str">
        <f t="shared" si="77"/>
        <v/>
      </c>
      <c r="Y243" s="307" t="str">
        <f t="shared" si="78"/>
        <v/>
      </c>
      <c r="Z243" s="307">
        <f t="shared" si="73"/>
        <v>0</v>
      </c>
      <c r="AA243" s="366">
        <f t="shared" si="74"/>
        <v>0</v>
      </c>
      <c r="AB243" s="367">
        <f t="shared" si="79"/>
        <v>0</v>
      </c>
      <c r="AC243" s="305">
        <f t="shared" si="80"/>
        <v>0</v>
      </c>
      <c r="AP243" s="89" t="str">
        <f t="shared" si="68"/>
        <v/>
      </c>
      <c r="AQ243" s="89" t="str">
        <f t="shared" si="84"/>
        <v/>
      </c>
      <c r="AR243" s="315" t="str">
        <f t="shared" ref="AR243:AR306" si="85">IF(VALUE(AT243)&gt;1,IF(LEN(AR242)&gt;1,AR242,D243),"")</f>
        <v/>
      </c>
      <c r="AS243" s="305" t="str">
        <f t="shared" si="81"/>
        <v>0</v>
      </c>
      <c r="AT243" s="307">
        <f>Table22[[#This Row],[Column1]]</f>
        <v>0</v>
      </c>
    </row>
    <row r="244" spans="1:46" x14ac:dyDescent="0.3">
      <c r="A244" s="307">
        <f t="shared" si="75"/>
        <v>0</v>
      </c>
      <c r="B244" s="307">
        <f t="shared" si="82"/>
        <v>0</v>
      </c>
      <c r="C244" s="308" t="s">
        <v>563</v>
      </c>
      <c r="D244" s="309" t="s">
        <v>563</v>
      </c>
      <c r="E244" s="310">
        <v>0</v>
      </c>
      <c r="F244" s="310">
        <v>0</v>
      </c>
      <c r="G244" s="311">
        <v>0</v>
      </c>
      <c r="H244" s="310" t="s">
        <v>563</v>
      </c>
      <c r="I244" s="310" t="s">
        <v>563</v>
      </c>
      <c r="J244" s="310" t="s">
        <v>563</v>
      </c>
      <c r="K244" s="312">
        <v>0</v>
      </c>
      <c r="L244" s="310">
        <v>0</v>
      </c>
      <c r="M244" s="310">
        <v>0</v>
      </c>
      <c r="N244" s="313" t="s">
        <v>563</v>
      </c>
      <c r="O244" s="314" t="s">
        <v>563</v>
      </c>
      <c r="P244" s="307">
        <f t="shared" si="69"/>
        <v>0</v>
      </c>
      <c r="R244" s="91" t="str">
        <f t="shared" si="83"/>
        <v/>
      </c>
      <c r="S244" s="307" t="str">
        <f t="shared" si="70"/>
        <v>BKK.57aaaaaaaaaaaaaaaaaaaaaaaaaaaaaaaaaaaaaaaaaaaaaaaaaaaaaaaa</v>
      </c>
      <c r="T244" s="307" t="str">
        <f t="shared" si="71"/>
        <v/>
      </c>
      <c r="U244" s="315" t="str">
        <f t="shared" si="72"/>
        <v/>
      </c>
      <c r="V244" s="307" t="str">
        <f>N244</f>
        <v/>
      </c>
      <c r="W244" s="307" t="str">
        <f>IFERROR(IF(V244&gt;0,PROPER(Terbilang1(V244)&amp;" Rupiah"),0),"")</f>
        <v/>
      </c>
      <c r="X244" s="90" t="str">
        <f t="shared" si="77"/>
        <v/>
      </c>
      <c r="Y244" s="307" t="str">
        <f t="shared" si="78"/>
        <v/>
      </c>
      <c r="Z244" s="307">
        <f t="shared" si="73"/>
        <v>0</v>
      </c>
      <c r="AA244" s="366">
        <f t="shared" si="74"/>
        <v>0</v>
      </c>
      <c r="AB244" s="367">
        <f t="shared" si="79"/>
        <v>0</v>
      </c>
      <c r="AC244" s="305">
        <f t="shared" si="80"/>
        <v>0</v>
      </c>
      <c r="AP244" s="89" t="str">
        <f t="shared" si="68"/>
        <v/>
      </c>
      <c r="AQ244" s="89" t="str">
        <f t="shared" si="84"/>
        <v/>
      </c>
      <c r="AR244" s="315" t="str">
        <f t="shared" si="85"/>
        <v/>
      </c>
      <c r="AS244" s="305" t="str">
        <f t="shared" si="81"/>
        <v>0</v>
      </c>
      <c r="AT244" s="307">
        <f>Table22[[#This Row],[Column1]]</f>
        <v>0</v>
      </c>
    </row>
    <row r="245" spans="1:46" x14ac:dyDescent="0.3">
      <c r="A245" s="307">
        <f t="shared" si="75"/>
        <v>0</v>
      </c>
      <c r="B245" s="307">
        <f t="shared" si="82"/>
        <v>0</v>
      </c>
      <c r="C245" s="308" t="s">
        <v>563</v>
      </c>
      <c r="D245" s="309" t="s">
        <v>563</v>
      </c>
      <c r="E245" s="310">
        <v>0</v>
      </c>
      <c r="F245" s="310">
        <v>0</v>
      </c>
      <c r="G245" s="311">
        <v>0</v>
      </c>
      <c r="H245" s="310" t="s">
        <v>563</v>
      </c>
      <c r="I245" s="310" t="s">
        <v>563</v>
      </c>
      <c r="J245" s="310" t="s">
        <v>563</v>
      </c>
      <c r="K245" s="312">
        <v>0</v>
      </c>
      <c r="L245" s="310">
        <v>0</v>
      </c>
      <c r="M245" s="310">
        <v>0</v>
      </c>
      <c r="N245" s="313" t="s">
        <v>563</v>
      </c>
      <c r="O245" s="314" t="s">
        <v>563</v>
      </c>
      <c r="P245" s="307">
        <f t="shared" si="69"/>
        <v>0</v>
      </c>
      <c r="R245" s="91" t="str">
        <f t="shared" si="83"/>
        <v/>
      </c>
      <c r="S245" s="307" t="str">
        <f t="shared" si="70"/>
        <v>BKK.57aaaaaaaaaaaaaaaaaaaaaaaaaaaaaaaaaaaaaaaaaaaaaaaaaaaaaaaaa</v>
      </c>
      <c r="T245" s="307" t="str">
        <f t="shared" si="71"/>
        <v/>
      </c>
      <c r="U245" s="315" t="str">
        <f t="shared" si="72"/>
        <v/>
      </c>
      <c r="V245" s="307" t="str">
        <f>N245</f>
        <v/>
      </c>
      <c r="W245" s="307" t="str">
        <f>IFERROR(IF(V245&gt;0,PROPER(Terbilang1(V245)&amp;" Rupiah"),0),"")</f>
        <v/>
      </c>
      <c r="X245" s="90" t="str">
        <f t="shared" si="77"/>
        <v/>
      </c>
      <c r="Y245" s="307" t="str">
        <f t="shared" si="78"/>
        <v/>
      </c>
      <c r="Z245" s="307">
        <f t="shared" si="73"/>
        <v>0</v>
      </c>
      <c r="AA245" s="366">
        <f t="shared" si="74"/>
        <v>0</v>
      </c>
      <c r="AB245" s="367">
        <f t="shared" si="79"/>
        <v>0</v>
      </c>
      <c r="AC245" s="305">
        <f t="shared" si="80"/>
        <v>0</v>
      </c>
      <c r="AP245" s="89" t="str">
        <f t="shared" si="68"/>
        <v/>
      </c>
      <c r="AQ245" s="89" t="str">
        <f t="shared" si="84"/>
        <v/>
      </c>
      <c r="AR245" s="315" t="str">
        <f t="shared" si="85"/>
        <v/>
      </c>
      <c r="AS245" s="305" t="str">
        <f t="shared" si="81"/>
        <v>0</v>
      </c>
      <c r="AT245" s="307">
        <f>Table22[[#This Row],[Column1]]</f>
        <v>0</v>
      </c>
    </row>
    <row r="246" spans="1:46" x14ac:dyDescent="0.3">
      <c r="A246" s="307">
        <f t="shared" si="75"/>
        <v>0</v>
      </c>
      <c r="B246" s="307">
        <f t="shared" si="82"/>
        <v>0</v>
      </c>
      <c r="C246" s="308" t="s">
        <v>563</v>
      </c>
      <c r="D246" s="309" t="s">
        <v>563</v>
      </c>
      <c r="E246" s="310">
        <v>0</v>
      </c>
      <c r="F246" s="310">
        <v>0</v>
      </c>
      <c r="G246" s="311">
        <v>0</v>
      </c>
      <c r="H246" s="310" t="s">
        <v>563</v>
      </c>
      <c r="I246" s="310" t="s">
        <v>563</v>
      </c>
      <c r="J246" s="310" t="s">
        <v>563</v>
      </c>
      <c r="K246" s="312">
        <v>0</v>
      </c>
      <c r="L246" s="310">
        <v>0</v>
      </c>
      <c r="M246" s="310">
        <v>0</v>
      </c>
      <c r="N246" s="313" t="s">
        <v>563</v>
      </c>
      <c r="O246" s="314" t="s">
        <v>563</v>
      </c>
      <c r="P246" s="307">
        <f t="shared" si="69"/>
        <v>0</v>
      </c>
      <c r="R246" s="91" t="str">
        <f t="shared" si="83"/>
        <v/>
      </c>
      <c r="S246" s="307" t="str">
        <f t="shared" si="70"/>
        <v>BKK.57aaaaaaaaaaaaaaaaaaaaaaaaaaaaaaaaaaaaaaaaaaaaaaaaaaaaaaaaaa</v>
      </c>
      <c r="T246" s="307" t="str">
        <f t="shared" si="71"/>
        <v/>
      </c>
      <c r="U246" s="315" t="str">
        <f t="shared" si="72"/>
        <v/>
      </c>
      <c r="V246" s="307" t="str">
        <f t="shared" si="76"/>
        <v/>
      </c>
      <c r="W246" s="307" t="str">
        <f>IFERROR(IF(V246&gt;0,PROPER(Terbilang1(V246)&amp;" Rupiah"),0),"")</f>
        <v/>
      </c>
      <c r="X246" s="90" t="str">
        <f t="shared" si="77"/>
        <v/>
      </c>
      <c r="Y246" s="307" t="str">
        <f t="shared" si="78"/>
        <v/>
      </c>
      <c r="Z246" s="307">
        <f t="shared" si="73"/>
        <v>0</v>
      </c>
      <c r="AA246" s="366">
        <f t="shared" si="74"/>
        <v>0</v>
      </c>
      <c r="AB246" s="367">
        <f t="shared" si="79"/>
        <v>0</v>
      </c>
      <c r="AC246" s="305">
        <f t="shared" si="80"/>
        <v>0</v>
      </c>
      <c r="AP246" s="89" t="str">
        <f t="shared" si="68"/>
        <v/>
      </c>
      <c r="AQ246" s="89" t="str">
        <f t="shared" si="84"/>
        <v/>
      </c>
      <c r="AR246" s="315" t="str">
        <f t="shared" si="85"/>
        <v/>
      </c>
      <c r="AS246" s="305" t="str">
        <f t="shared" si="81"/>
        <v>0</v>
      </c>
      <c r="AT246" s="307">
        <f>Table22[[#This Row],[Column1]]</f>
        <v>0</v>
      </c>
    </row>
    <row r="247" spans="1:46" x14ac:dyDescent="0.3">
      <c r="A247" s="307">
        <f t="shared" si="75"/>
        <v>0</v>
      </c>
      <c r="B247" s="307">
        <f t="shared" si="82"/>
        <v>0</v>
      </c>
      <c r="C247" s="308" t="s">
        <v>563</v>
      </c>
      <c r="D247" s="309" t="s">
        <v>563</v>
      </c>
      <c r="E247" s="310">
        <v>0</v>
      </c>
      <c r="F247" s="310">
        <v>0</v>
      </c>
      <c r="G247" s="311">
        <v>0</v>
      </c>
      <c r="H247" s="310" t="s">
        <v>563</v>
      </c>
      <c r="I247" s="310" t="s">
        <v>563</v>
      </c>
      <c r="J247" s="310" t="s">
        <v>563</v>
      </c>
      <c r="K247" s="312">
        <v>0</v>
      </c>
      <c r="L247" s="310">
        <v>0</v>
      </c>
      <c r="M247" s="310">
        <v>0</v>
      </c>
      <c r="N247" s="313" t="s">
        <v>563</v>
      </c>
      <c r="O247" s="314" t="s">
        <v>563</v>
      </c>
      <c r="P247" s="307">
        <f t="shared" si="69"/>
        <v>0</v>
      </c>
      <c r="R247" s="91" t="str">
        <f t="shared" si="83"/>
        <v/>
      </c>
      <c r="S247" s="307" t="str">
        <f t="shared" si="70"/>
        <v>BKK.57aaaaaaaaaaaaaaaaaaaaaaaaaaaaaaaaaaaaaaaaaaaaaaaaaaaaaaaaaaa</v>
      </c>
      <c r="T247" s="307" t="str">
        <f t="shared" si="71"/>
        <v/>
      </c>
      <c r="U247" s="315" t="str">
        <f t="shared" si="72"/>
        <v/>
      </c>
      <c r="V247" s="307" t="str">
        <f t="shared" si="76"/>
        <v/>
      </c>
      <c r="W247" s="307" t="str">
        <f>IFERROR(IF(V247&gt;0,PROPER(Terbilang1(V247)&amp;" Rupiah"),0),"")</f>
        <v/>
      </c>
      <c r="X247" s="90" t="str">
        <f t="shared" si="77"/>
        <v/>
      </c>
      <c r="Y247" s="307" t="str">
        <f t="shared" si="78"/>
        <v/>
      </c>
      <c r="Z247" s="307">
        <f t="shared" si="73"/>
        <v>0</v>
      </c>
      <c r="AA247" s="366">
        <f t="shared" si="74"/>
        <v>0</v>
      </c>
      <c r="AB247" s="367">
        <f t="shared" si="79"/>
        <v>0</v>
      </c>
      <c r="AC247" s="305">
        <f t="shared" si="80"/>
        <v>0</v>
      </c>
      <c r="AP247" s="89" t="str">
        <f t="shared" si="68"/>
        <v/>
      </c>
      <c r="AQ247" s="89" t="str">
        <f t="shared" si="84"/>
        <v/>
      </c>
      <c r="AR247" s="315" t="str">
        <f t="shared" si="85"/>
        <v/>
      </c>
      <c r="AS247" s="305" t="str">
        <f t="shared" si="81"/>
        <v>0</v>
      </c>
      <c r="AT247" s="307">
        <f>Table22[[#This Row],[Column1]]</f>
        <v>0</v>
      </c>
    </row>
    <row r="248" spans="1:46" x14ac:dyDescent="0.3">
      <c r="A248" s="307">
        <f t="shared" si="75"/>
        <v>0</v>
      </c>
      <c r="B248" s="307">
        <f t="shared" si="82"/>
        <v>0</v>
      </c>
      <c r="C248" s="308" t="s">
        <v>563</v>
      </c>
      <c r="D248" s="309" t="s">
        <v>563</v>
      </c>
      <c r="E248" s="310">
        <v>0</v>
      </c>
      <c r="F248" s="310">
        <v>0</v>
      </c>
      <c r="G248" s="311">
        <v>0</v>
      </c>
      <c r="H248" s="310" t="s">
        <v>563</v>
      </c>
      <c r="I248" s="310" t="s">
        <v>563</v>
      </c>
      <c r="J248" s="310" t="s">
        <v>563</v>
      </c>
      <c r="K248" s="312">
        <v>0</v>
      </c>
      <c r="L248" s="310">
        <v>0</v>
      </c>
      <c r="M248" s="310">
        <v>0</v>
      </c>
      <c r="N248" s="313" t="s">
        <v>563</v>
      </c>
      <c r="O248" s="314" t="s">
        <v>563</v>
      </c>
      <c r="P248" s="307">
        <f t="shared" si="69"/>
        <v>0</v>
      </c>
      <c r="R248" s="91" t="str">
        <f t="shared" si="83"/>
        <v/>
      </c>
      <c r="S248" s="307" t="str">
        <f t="shared" si="70"/>
        <v>BKK.57aaaaaaaaaaaaaaaaaaaaaaaaaaaaaaaaaaaaaaaaaaaaaaaaaaaaaaaaaaaa</v>
      </c>
      <c r="T248" s="307" t="str">
        <f t="shared" si="71"/>
        <v/>
      </c>
      <c r="U248" s="315" t="str">
        <f t="shared" si="72"/>
        <v/>
      </c>
      <c r="V248" s="307" t="str">
        <f>N248</f>
        <v/>
      </c>
      <c r="W248" s="307" t="str">
        <f>IFERROR(IF(V248&gt;0,PROPER(Terbilang1(V248)&amp;" Rupiah"),0),"")</f>
        <v/>
      </c>
      <c r="X248" s="90" t="str">
        <f t="shared" si="77"/>
        <v/>
      </c>
      <c r="Y248" s="307" t="str">
        <f t="shared" si="78"/>
        <v/>
      </c>
      <c r="Z248" s="307">
        <f t="shared" si="73"/>
        <v>0</v>
      </c>
      <c r="AA248" s="366">
        <f t="shared" si="74"/>
        <v>0</v>
      </c>
      <c r="AB248" s="367">
        <f t="shared" si="79"/>
        <v>0</v>
      </c>
      <c r="AC248" s="305">
        <f t="shared" si="80"/>
        <v>0</v>
      </c>
      <c r="AP248" s="89" t="str">
        <f t="shared" si="68"/>
        <v/>
      </c>
      <c r="AQ248" s="89" t="str">
        <f t="shared" si="84"/>
        <v/>
      </c>
      <c r="AR248" s="315" t="str">
        <f t="shared" si="85"/>
        <v/>
      </c>
      <c r="AS248" s="305" t="str">
        <f t="shared" si="81"/>
        <v>0</v>
      </c>
      <c r="AT248" s="307">
        <f>Table22[[#This Row],[Column1]]</f>
        <v>0</v>
      </c>
    </row>
    <row r="249" spans="1:46" x14ac:dyDescent="0.3">
      <c r="A249" s="307">
        <f t="shared" si="75"/>
        <v>0</v>
      </c>
      <c r="B249" s="307">
        <f t="shared" si="82"/>
        <v>0</v>
      </c>
      <c r="C249" s="308" t="s">
        <v>563</v>
      </c>
      <c r="D249" s="309" t="s">
        <v>563</v>
      </c>
      <c r="E249" s="310">
        <v>0</v>
      </c>
      <c r="F249" s="310">
        <v>0</v>
      </c>
      <c r="G249" s="311">
        <v>0</v>
      </c>
      <c r="H249" s="310" t="s">
        <v>563</v>
      </c>
      <c r="I249" s="310" t="s">
        <v>563</v>
      </c>
      <c r="J249" s="310" t="s">
        <v>563</v>
      </c>
      <c r="K249" s="312">
        <v>0</v>
      </c>
      <c r="L249" s="310">
        <v>0</v>
      </c>
      <c r="M249" s="310">
        <v>0</v>
      </c>
      <c r="N249" s="313" t="s">
        <v>563</v>
      </c>
      <c r="O249" s="314" t="s">
        <v>563</v>
      </c>
      <c r="P249" s="307">
        <f t="shared" si="69"/>
        <v>0</v>
      </c>
      <c r="R249" s="91" t="str">
        <f t="shared" si="83"/>
        <v/>
      </c>
      <c r="S249" s="307" t="str">
        <f t="shared" si="70"/>
        <v>BKK.57aaaaaaaaaaaaaaaaaaaaaaaaaaaaaaaaaaaaaaaaaaaaaaaaaaaaaaaaaaaaa</v>
      </c>
      <c r="T249" s="307" t="str">
        <f t="shared" si="71"/>
        <v/>
      </c>
      <c r="U249" s="315" t="str">
        <f t="shared" si="72"/>
        <v/>
      </c>
      <c r="V249" s="307" t="str">
        <f t="shared" si="76"/>
        <v/>
      </c>
      <c r="W249" s="307" t="str">
        <f>IFERROR(IF(V249&gt;0,PROPER(Terbilang1(V249)&amp;" Rupiah"),0),"")</f>
        <v/>
      </c>
      <c r="X249" s="90" t="str">
        <f t="shared" si="77"/>
        <v/>
      </c>
      <c r="Y249" s="307" t="str">
        <f t="shared" si="78"/>
        <v/>
      </c>
      <c r="Z249" s="307">
        <f t="shared" si="73"/>
        <v>0</v>
      </c>
      <c r="AA249" s="366">
        <f t="shared" si="74"/>
        <v>0</v>
      </c>
      <c r="AB249" s="367">
        <f t="shared" si="79"/>
        <v>0</v>
      </c>
      <c r="AC249" s="305">
        <f t="shared" si="80"/>
        <v>0</v>
      </c>
      <c r="AP249" s="89" t="str">
        <f t="shared" si="68"/>
        <v/>
      </c>
      <c r="AQ249" s="89" t="str">
        <f t="shared" si="84"/>
        <v/>
      </c>
      <c r="AR249" s="315" t="str">
        <f t="shared" si="85"/>
        <v/>
      </c>
      <c r="AS249" s="305" t="str">
        <f t="shared" si="81"/>
        <v>0</v>
      </c>
      <c r="AT249" s="307">
        <f>Table22[[#This Row],[Column1]]</f>
        <v>0</v>
      </c>
    </row>
    <row r="250" spans="1:46" x14ac:dyDescent="0.3">
      <c r="A250" s="307">
        <f t="shared" si="75"/>
        <v>0</v>
      </c>
      <c r="B250" s="307">
        <f t="shared" si="82"/>
        <v>0</v>
      </c>
      <c r="C250" s="308" t="s">
        <v>563</v>
      </c>
      <c r="D250" s="309" t="s">
        <v>563</v>
      </c>
      <c r="E250" s="310">
        <v>0</v>
      </c>
      <c r="F250" s="310">
        <v>0</v>
      </c>
      <c r="G250" s="311">
        <v>0</v>
      </c>
      <c r="H250" s="310" t="s">
        <v>563</v>
      </c>
      <c r="I250" s="310" t="s">
        <v>563</v>
      </c>
      <c r="J250" s="310" t="s">
        <v>563</v>
      </c>
      <c r="K250" s="312">
        <v>0</v>
      </c>
      <c r="L250" s="310">
        <v>0</v>
      </c>
      <c r="M250" s="310">
        <v>0</v>
      </c>
      <c r="N250" s="313" t="s">
        <v>563</v>
      </c>
      <c r="O250" s="314" t="s">
        <v>563</v>
      </c>
      <c r="P250" s="307">
        <f t="shared" si="69"/>
        <v>0</v>
      </c>
      <c r="R250" s="91" t="str">
        <f t="shared" si="83"/>
        <v/>
      </c>
      <c r="S250" s="307" t="str">
        <f t="shared" si="70"/>
        <v>BKK.57aaaaaaaaaaaaaaaaaaaaaaaaaaaaaaaaaaaaaaaaaaaaaaaaaaaaaaaaaaaaaa</v>
      </c>
      <c r="T250" s="307" t="str">
        <f t="shared" si="71"/>
        <v/>
      </c>
      <c r="U250" s="315" t="str">
        <f t="shared" si="72"/>
        <v/>
      </c>
      <c r="V250" s="307" t="str">
        <f>N250</f>
        <v/>
      </c>
      <c r="W250" s="307" t="str">
        <f>IFERROR(IF(V250&gt;0,PROPER(Terbilang1(V250)&amp;" Rupiah"),0),"")</f>
        <v/>
      </c>
      <c r="X250" s="90" t="str">
        <f t="shared" si="77"/>
        <v/>
      </c>
      <c r="Y250" s="307" t="str">
        <f t="shared" si="78"/>
        <v/>
      </c>
      <c r="Z250" s="307">
        <f t="shared" si="73"/>
        <v>0</v>
      </c>
      <c r="AA250" s="366">
        <f t="shared" si="74"/>
        <v>0</v>
      </c>
      <c r="AB250" s="367">
        <f t="shared" si="79"/>
        <v>0</v>
      </c>
      <c r="AC250" s="305">
        <f t="shared" si="80"/>
        <v>0</v>
      </c>
      <c r="AP250" s="89" t="str">
        <f t="shared" si="68"/>
        <v/>
      </c>
      <c r="AQ250" s="89" t="str">
        <f t="shared" si="84"/>
        <v/>
      </c>
      <c r="AR250" s="315" t="str">
        <f t="shared" si="85"/>
        <v/>
      </c>
      <c r="AS250" s="305" t="str">
        <f t="shared" si="81"/>
        <v>0</v>
      </c>
      <c r="AT250" s="307">
        <f>Table22[[#This Row],[Column1]]</f>
        <v>0</v>
      </c>
    </row>
    <row r="251" spans="1:46" x14ac:dyDescent="0.3">
      <c r="A251" s="307">
        <f t="shared" si="75"/>
        <v>0</v>
      </c>
      <c r="B251" s="307">
        <f t="shared" si="82"/>
        <v>0</v>
      </c>
      <c r="C251" s="308" t="s">
        <v>563</v>
      </c>
      <c r="D251" s="309" t="s">
        <v>563</v>
      </c>
      <c r="E251" s="310">
        <v>0</v>
      </c>
      <c r="F251" s="310">
        <v>0</v>
      </c>
      <c r="G251" s="311">
        <v>0</v>
      </c>
      <c r="H251" s="310" t="s">
        <v>563</v>
      </c>
      <c r="I251" s="310" t="s">
        <v>563</v>
      </c>
      <c r="J251" s="310" t="s">
        <v>563</v>
      </c>
      <c r="K251" s="312">
        <v>0</v>
      </c>
      <c r="L251" s="310">
        <v>0</v>
      </c>
      <c r="M251" s="310">
        <v>0</v>
      </c>
      <c r="N251" s="313" t="s">
        <v>563</v>
      </c>
      <c r="O251" s="314" t="s">
        <v>563</v>
      </c>
      <c r="P251" s="307">
        <f t="shared" si="69"/>
        <v>0</v>
      </c>
      <c r="R251" s="91" t="str">
        <f t="shared" si="83"/>
        <v/>
      </c>
      <c r="S251" s="307" t="str">
        <f t="shared" si="70"/>
        <v>BKK.57aaaaaaaaaaaaaaaaaaaaaaaaaaaaaaaaaaaaaaaaaaaaaaaaaaaaaaaaaaaaaaa</v>
      </c>
      <c r="T251" s="307" t="str">
        <f t="shared" si="71"/>
        <v/>
      </c>
      <c r="U251" s="315" t="str">
        <f t="shared" si="72"/>
        <v/>
      </c>
      <c r="V251" s="307" t="str">
        <f t="shared" si="76"/>
        <v/>
      </c>
      <c r="W251" s="307" t="str">
        <f>IFERROR(IF(V251&gt;0,PROPER(Terbilang1(V251)&amp;" Rupiah"),0),"")</f>
        <v/>
      </c>
      <c r="X251" s="90" t="str">
        <f t="shared" si="77"/>
        <v/>
      </c>
      <c r="Y251" s="307" t="str">
        <f t="shared" si="78"/>
        <v/>
      </c>
      <c r="Z251" s="307">
        <f t="shared" si="73"/>
        <v>0</v>
      </c>
      <c r="AA251" s="366">
        <f t="shared" si="74"/>
        <v>0</v>
      </c>
      <c r="AB251" s="367">
        <f t="shared" si="79"/>
        <v>0</v>
      </c>
      <c r="AC251" s="305">
        <f t="shared" si="80"/>
        <v>0</v>
      </c>
      <c r="AP251" s="89" t="str">
        <f t="shared" si="68"/>
        <v/>
      </c>
      <c r="AQ251" s="89" t="str">
        <f t="shared" si="84"/>
        <v/>
      </c>
      <c r="AR251" s="315" t="str">
        <f t="shared" si="85"/>
        <v/>
      </c>
      <c r="AS251" s="305" t="str">
        <f t="shared" si="81"/>
        <v>0</v>
      </c>
      <c r="AT251" s="307">
        <f>Table22[[#This Row],[Column1]]</f>
        <v>0</v>
      </c>
    </row>
    <row r="252" spans="1:46" x14ac:dyDescent="0.3">
      <c r="A252" s="307">
        <f t="shared" si="75"/>
        <v>0</v>
      </c>
      <c r="B252" s="307">
        <f t="shared" si="82"/>
        <v>0</v>
      </c>
      <c r="C252" s="308" t="s">
        <v>563</v>
      </c>
      <c r="D252" s="309" t="s">
        <v>563</v>
      </c>
      <c r="E252" s="310">
        <v>0</v>
      </c>
      <c r="F252" s="310">
        <v>0</v>
      </c>
      <c r="G252" s="311">
        <v>0</v>
      </c>
      <c r="H252" s="310" t="s">
        <v>563</v>
      </c>
      <c r="I252" s="310" t="s">
        <v>563</v>
      </c>
      <c r="J252" s="310" t="s">
        <v>563</v>
      </c>
      <c r="K252" s="312">
        <v>0</v>
      </c>
      <c r="L252" s="310">
        <v>0</v>
      </c>
      <c r="M252" s="310">
        <v>0</v>
      </c>
      <c r="N252" s="313" t="s">
        <v>563</v>
      </c>
      <c r="O252" s="314" t="s">
        <v>563</v>
      </c>
      <c r="P252" s="307">
        <f t="shared" si="69"/>
        <v>0</v>
      </c>
      <c r="R252" s="91" t="str">
        <f t="shared" si="83"/>
        <v/>
      </c>
      <c r="S252" s="307" t="str">
        <f t="shared" si="70"/>
        <v>BKK.57aaaaaaaaaaaaaaaaaaaaaaaaaaaaaaaaaaaaaaaaaaaaaaaaaaaaaaaaaaaaaaaa</v>
      </c>
      <c r="T252" s="307" t="str">
        <f t="shared" si="71"/>
        <v/>
      </c>
      <c r="U252" s="315" t="str">
        <f t="shared" si="72"/>
        <v/>
      </c>
      <c r="V252" s="307" t="str">
        <f t="shared" si="76"/>
        <v/>
      </c>
      <c r="W252" s="307" t="str">
        <f>IFERROR(IF(V252&gt;0,PROPER(Terbilang1(V252)&amp;" Rupiah"),0),"")</f>
        <v/>
      </c>
      <c r="X252" s="90" t="str">
        <f t="shared" si="77"/>
        <v/>
      </c>
      <c r="Y252" s="307" t="str">
        <f t="shared" si="78"/>
        <v/>
      </c>
      <c r="Z252" s="307">
        <f t="shared" si="73"/>
        <v>0</v>
      </c>
      <c r="AA252" s="366">
        <f t="shared" si="74"/>
        <v>0</v>
      </c>
      <c r="AB252" s="367">
        <f t="shared" si="79"/>
        <v>0</v>
      </c>
      <c r="AC252" s="305">
        <f t="shared" si="80"/>
        <v>0</v>
      </c>
      <c r="AP252" s="89" t="str">
        <f t="shared" si="68"/>
        <v/>
      </c>
      <c r="AQ252" s="89" t="str">
        <f t="shared" si="84"/>
        <v/>
      </c>
      <c r="AR252" s="315" t="str">
        <f t="shared" si="85"/>
        <v/>
      </c>
      <c r="AS252" s="305" t="str">
        <f t="shared" si="81"/>
        <v>0</v>
      </c>
      <c r="AT252" s="307">
        <f>Table22[[#This Row],[Column1]]</f>
        <v>0</v>
      </c>
    </row>
    <row r="253" spans="1:46" x14ac:dyDescent="0.3">
      <c r="A253" s="307">
        <f t="shared" si="75"/>
        <v>0</v>
      </c>
      <c r="B253" s="307">
        <f t="shared" si="82"/>
        <v>0</v>
      </c>
      <c r="C253" s="308" t="s">
        <v>563</v>
      </c>
      <c r="D253" s="309" t="s">
        <v>563</v>
      </c>
      <c r="E253" s="310">
        <v>0</v>
      </c>
      <c r="F253" s="310">
        <v>0</v>
      </c>
      <c r="G253" s="311">
        <v>0</v>
      </c>
      <c r="H253" s="310" t="s">
        <v>563</v>
      </c>
      <c r="I253" s="310" t="s">
        <v>563</v>
      </c>
      <c r="J253" s="310" t="s">
        <v>563</v>
      </c>
      <c r="K253" s="312">
        <v>0</v>
      </c>
      <c r="L253" s="310">
        <v>0</v>
      </c>
      <c r="M253" s="310">
        <v>0</v>
      </c>
      <c r="N253" s="313" t="s">
        <v>563</v>
      </c>
      <c r="O253" s="314" t="s">
        <v>563</v>
      </c>
      <c r="P253" s="307">
        <f t="shared" si="69"/>
        <v>0</v>
      </c>
      <c r="R253" s="91" t="str">
        <f t="shared" si="83"/>
        <v/>
      </c>
      <c r="S253" s="307" t="str">
        <f t="shared" si="70"/>
        <v>BKK.57aaaaaaaaaaaaaaaaaaaaaaaaaaaaaaaaaaaaaaaaaaaaaaaaaaaaaaaaaaaaaaaaa</v>
      </c>
      <c r="T253" s="307" t="str">
        <f t="shared" si="71"/>
        <v/>
      </c>
      <c r="U253" s="315" t="str">
        <f t="shared" si="72"/>
        <v/>
      </c>
      <c r="V253" s="307" t="str">
        <f t="shared" si="76"/>
        <v/>
      </c>
      <c r="W253" s="307" t="str">
        <f>IFERROR(IF(V253&gt;0,PROPER(Terbilang1(V253)&amp;" Rupiah"),0),"")</f>
        <v/>
      </c>
      <c r="X253" s="90" t="str">
        <f t="shared" si="77"/>
        <v/>
      </c>
      <c r="Y253" s="307" t="str">
        <f t="shared" si="78"/>
        <v/>
      </c>
      <c r="Z253" s="307">
        <f t="shared" si="73"/>
        <v>0</v>
      </c>
      <c r="AA253" s="366">
        <f t="shared" si="74"/>
        <v>0</v>
      </c>
      <c r="AB253" s="367">
        <f t="shared" si="79"/>
        <v>0</v>
      </c>
      <c r="AC253" s="305">
        <f t="shared" si="80"/>
        <v>0</v>
      </c>
      <c r="AP253" s="89" t="str">
        <f t="shared" si="68"/>
        <v/>
      </c>
      <c r="AQ253" s="89" t="str">
        <f t="shared" si="84"/>
        <v/>
      </c>
      <c r="AR253" s="315" t="str">
        <f t="shared" si="85"/>
        <v/>
      </c>
      <c r="AS253" s="305" t="str">
        <f t="shared" si="81"/>
        <v>0</v>
      </c>
      <c r="AT253" s="307">
        <f>Table22[[#This Row],[Column1]]</f>
        <v>0</v>
      </c>
    </row>
    <row r="254" spans="1:46" x14ac:dyDescent="0.3">
      <c r="A254" s="307">
        <f t="shared" si="75"/>
        <v>0</v>
      </c>
      <c r="B254" s="307">
        <f t="shared" si="82"/>
        <v>0</v>
      </c>
      <c r="C254" s="308" t="s">
        <v>563</v>
      </c>
      <c r="D254" s="309" t="s">
        <v>563</v>
      </c>
      <c r="E254" s="310">
        <v>0</v>
      </c>
      <c r="F254" s="310">
        <v>0</v>
      </c>
      <c r="G254" s="311">
        <v>0</v>
      </c>
      <c r="H254" s="310" t="s">
        <v>563</v>
      </c>
      <c r="I254" s="310" t="s">
        <v>563</v>
      </c>
      <c r="J254" s="310" t="s">
        <v>563</v>
      </c>
      <c r="K254" s="312">
        <v>0</v>
      </c>
      <c r="L254" s="310">
        <v>0</v>
      </c>
      <c r="M254" s="310">
        <v>0</v>
      </c>
      <c r="N254" s="313" t="s">
        <v>563</v>
      </c>
      <c r="O254" s="314" t="s">
        <v>563</v>
      </c>
      <c r="P254" s="307">
        <f t="shared" si="69"/>
        <v>0</v>
      </c>
      <c r="R254" s="91" t="str">
        <f t="shared" si="83"/>
        <v/>
      </c>
      <c r="S254" s="307" t="str">
        <f t="shared" si="70"/>
        <v>BKK.57aaaaaaaaaaaaaaaaaaaaaaaaaaaaaaaaaaaaaaaaaaaaaaaaaaaaaaaaaaaaaaaaaa</v>
      </c>
      <c r="T254" s="307" t="str">
        <f t="shared" si="71"/>
        <v/>
      </c>
      <c r="U254" s="315" t="str">
        <f t="shared" si="72"/>
        <v/>
      </c>
      <c r="V254" s="307" t="str">
        <f t="shared" si="76"/>
        <v/>
      </c>
      <c r="W254" s="307" t="str">
        <f>IFERROR(IF(V254&gt;0,PROPER(Terbilang1(V254)&amp;" Rupiah"),0),"")</f>
        <v/>
      </c>
      <c r="X254" s="90" t="str">
        <f t="shared" si="77"/>
        <v/>
      </c>
      <c r="Y254" s="307" t="str">
        <f t="shared" si="78"/>
        <v/>
      </c>
      <c r="Z254" s="307">
        <f t="shared" si="73"/>
        <v>0</v>
      </c>
      <c r="AA254" s="366">
        <f t="shared" si="74"/>
        <v>0</v>
      </c>
      <c r="AB254" s="367">
        <f t="shared" si="79"/>
        <v>0</v>
      </c>
      <c r="AC254" s="305">
        <f t="shared" si="80"/>
        <v>0</v>
      </c>
      <c r="AP254" s="89" t="str">
        <f t="shared" si="68"/>
        <v/>
      </c>
      <c r="AQ254" s="89" t="str">
        <f t="shared" si="84"/>
        <v/>
      </c>
      <c r="AR254" s="315" t="str">
        <f t="shared" si="85"/>
        <v/>
      </c>
      <c r="AS254" s="305" t="str">
        <f t="shared" si="81"/>
        <v>0</v>
      </c>
      <c r="AT254" s="307">
        <f>Table22[[#This Row],[Column1]]</f>
        <v>0</v>
      </c>
    </row>
    <row r="255" spans="1:46" x14ac:dyDescent="0.3">
      <c r="A255" s="307">
        <f t="shared" si="75"/>
        <v>0</v>
      </c>
      <c r="B255" s="307">
        <f t="shared" si="82"/>
        <v>0</v>
      </c>
      <c r="C255" s="308" t="s">
        <v>563</v>
      </c>
      <c r="D255" s="309" t="s">
        <v>563</v>
      </c>
      <c r="E255" s="310">
        <v>0</v>
      </c>
      <c r="F255" s="310">
        <v>0</v>
      </c>
      <c r="G255" s="311">
        <v>0</v>
      </c>
      <c r="H255" s="310" t="s">
        <v>563</v>
      </c>
      <c r="I255" s="310" t="s">
        <v>563</v>
      </c>
      <c r="J255" s="310" t="s">
        <v>563</v>
      </c>
      <c r="K255" s="312">
        <v>0</v>
      </c>
      <c r="L255" s="310">
        <v>0</v>
      </c>
      <c r="M255" s="310">
        <v>0</v>
      </c>
      <c r="N255" s="313" t="s">
        <v>563</v>
      </c>
      <c r="O255" s="314" t="s">
        <v>563</v>
      </c>
      <c r="P255" s="307">
        <f t="shared" si="69"/>
        <v>0</v>
      </c>
      <c r="R255" s="91" t="str">
        <f t="shared" si="83"/>
        <v/>
      </c>
      <c r="S255" s="307" t="str">
        <f t="shared" si="70"/>
        <v>BKK.57aaaaaaaaaaaaaaaaaaaaaaaaaaaaaaaaaaaaaaaaaaaaaaaaaaaaaaaaaaaaaaaaaaa</v>
      </c>
      <c r="T255" s="307" t="str">
        <f t="shared" si="71"/>
        <v/>
      </c>
      <c r="U255" s="315" t="str">
        <f t="shared" si="72"/>
        <v/>
      </c>
      <c r="V255" s="307" t="str">
        <f>N255</f>
        <v/>
      </c>
      <c r="W255" s="307" t="str">
        <f>IFERROR(IF(V255&gt;0,PROPER(Terbilang1(V255)&amp;" Rupiah"),0),"")</f>
        <v/>
      </c>
      <c r="X255" s="90" t="str">
        <f t="shared" si="77"/>
        <v/>
      </c>
      <c r="Y255" s="307" t="str">
        <f t="shared" si="78"/>
        <v/>
      </c>
      <c r="Z255" s="307">
        <f t="shared" si="73"/>
        <v>0</v>
      </c>
      <c r="AA255" s="366">
        <f t="shared" si="74"/>
        <v>0</v>
      </c>
      <c r="AB255" s="367">
        <f t="shared" si="79"/>
        <v>0</v>
      </c>
      <c r="AC255" s="305">
        <f t="shared" si="80"/>
        <v>0</v>
      </c>
      <c r="AP255" s="89" t="str">
        <f t="shared" si="68"/>
        <v/>
      </c>
      <c r="AQ255" s="89" t="str">
        <f t="shared" si="84"/>
        <v/>
      </c>
      <c r="AR255" s="315" t="str">
        <f t="shared" si="85"/>
        <v/>
      </c>
      <c r="AS255" s="305" t="str">
        <f t="shared" si="81"/>
        <v>0</v>
      </c>
      <c r="AT255" s="307">
        <f>Table22[[#This Row],[Column1]]</f>
        <v>0</v>
      </c>
    </row>
    <row r="256" spans="1:46" x14ac:dyDescent="0.3">
      <c r="A256" s="307">
        <f t="shared" si="75"/>
        <v>0</v>
      </c>
      <c r="B256" s="307">
        <f t="shared" si="82"/>
        <v>0</v>
      </c>
      <c r="C256" s="308" t="s">
        <v>563</v>
      </c>
      <c r="D256" s="309" t="s">
        <v>563</v>
      </c>
      <c r="E256" s="310">
        <v>0</v>
      </c>
      <c r="F256" s="310">
        <v>0</v>
      </c>
      <c r="G256" s="311">
        <v>0</v>
      </c>
      <c r="H256" s="310" t="s">
        <v>563</v>
      </c>
      <c r="I256" s="310" t="s">
        <v>563</v>
      </c>
      <c r="J256" s="310" t="s">
        <v>563</v>
      </c>
      <c r="K256" s="312">
        <v>0</v>
      </c>
      <c r="L256" s="310">
        <v>0</v>
      </c>
      <c r="M256" s="310">
        <v>0</v>
      </c>
      <c r="N256" s="313" t="s">
        <v>563</v>
      </c>
      <c r="O256" s="314" t="s">
        <v>563</v>
      </c>
      <c r="P256" s="307">
        <f t="shared" si="69"/>
        <v>0</v>
      </c>
      <c r="R256" s="91" t="str">
        <f t="shared" si="83"/>
        <v/>
      </c>
      <c r="S256" s="307" t="str">
        <f t="shared" si="70"/>
        <v>BKK.57aaaaaaaaaaaaaaaaaaaaaaaaaaaaaaaaaaaaaaaaaaaaaaaaaaaaaaaaaaaaaaaaaaaa</v>
      </c>
      <c r="T256" s="307" t="str">
        <f t="shared" si="71"/>
        <v/>
      </c>
      <c r="U256" s="315" t="str">
        <f t="shared" si="72"/>
        <v/>
      </c>
      <c r="V256" s="307" t="str">
        <f t="shared" si="76"/>
        <v/>
      </c>
      <c r="W256" s="307" t="str">
        <f>IFERROR(IF(V256&gt;0,PROPER(Terbilang1(V256)&amp;" Rupiah"),0),"")</f>
        <v/>
      </c>
      <c r="X256" s="90" t="str">
        <f t="shared" si="77"/>
        <v/>
      </c>
      <c r="Y256" s="307" t="str">
        <f t="shared" si="78"/>
        <v/>
      </c>
      <c r="Z256" s="307">
        <f t="shared" si="73"/>
        <v>0</v>
      </c>
      <c r="AA256" s="366">
        <f t="shared" si="74"/>
        <v>0</v>
      </c>
      <c r="AB256" s="367">
        <f t="shared" si="79"/>
        <v>0</v>
      </c>
      <c r="AC256" s="305">
        <f t="shared" si="80"/>
        <v>0</v>
      </c>
      <c r="AP256" s="89" t="str">
        <f t="shared" si="68"/>
        <v/>
      </c>
      <c r="AQ256" s="89" t="str">
        <f t="shared" si="84"/>
        <v/>
      </c>
      <c r="AR256" s="315" t="str">
        <f t="shared" si="85"/>
        <v/>
      </c>
      <c r="AS256" s="305" t="str">
        <f t="shared" si="81"/>
        <v>0</v>
      </c>
      <c r="AT256" s="307">
        <f>Table22[[#This Row],[Column1]]</f>
        <v>0</v>
      </c>
    </row>
    <row r="257" spans="1:46" x14ac:dyDescent="0.3">
      <c r="A257" s="307">
        <f t="shared" si="75"/>
        <v>0</v>
      </c>
      <c r="B257" s="307">
        <f t="shared" si="82"/>
        <v>0</v>
      </c>
      <c r="C257" s="308" t="s">
        <v>563</v>
      </c>
      <c r="D257" s="309" t="s">
        <v>563</v>
      </c>
      <c r="E257" s="310">
        <v>0</v>
      </c>
      <c r="F257" s="310">
        <v>0</v>
      </c>
      <c r="G257" s="311">
        <v>0</v>
      </c>
      <c r="H257" s="310" t="s">
        <v>563</v>
      </c>
      <c r="I257" s="310" t="s">
        <v>563</v>
      </c>
      <c r="J257" s="310" t="s">
        <v>563</v>
      </c>
      <c r="K257" s="312">
        <v>0</v>
      </c>
      <c r="L257" s="310">
        <v>0</v>
      </c>
      <c r="M257" s="310">
        <v>0</v>
      </c>
      <c r="N257" s="313" t="s">
        <v>563</v>
      </c>
      <c r="O257" s="314" t="s">
        <v>563</v>
      </c>
      <c r="P257" s="307">
        <f t="shared" si="69"/>
        <v>0</v>
      </c>
      <c r="R257" s="91" t="str">
        <f t="shared" si="83"/>
        <v/>
      </c>
      <c r="S257" s="307" t="str">
        <f t="shared" si="70"/>
        <v>BKK.57aaaaaaaaaaaaaaaaaaaaaaaaaaaaaaaaaaaaaaaaaaaaaaaaaaaaaaaaaaaaaaaaaaaaa</v>
      </c>
      <c r="T257" s="307" t="str">
        <f t="shared" si="71"/>
        <v/>
      </c>
      <c r="U257" s="315" t="str">
        <f t="shared" si="72"/>
        <v/>
      </c>
      <c r="V257" s="307" t="str">
        <f>N257</f>
        <v/>
      </c>
      <c r="W257" s="307" t="str">
        <f>IFERROR(IF(V257&gt;0,PROPER(Terbilang1(V257)&amp;" Rupiah"),0),"")</f>
        <v/>
      </c>
      <c r="X257" s="90" t="str">
        <f t="shared" si="77"/>
        <v/>
      </c>
      <c r="Y257" s="307" t="str">
        <f t="shared" si="78"/>
        <v/>
      </c>
      <c r="Z257" s="307">
        <f t="shared" si="73"/>
        <v>0</v>
      </c>
      <c r="AA257" s="366">
        <f t="shared" si="74"/>
        <v>0</v>
      </c>
      <c r="AB257" s="367">
        <f t="shared" si="79"/>
        <v>0</v>
      </c>
      <c r="AC257" s="305">
        <f t="shared" si="80"/>
        <v>0</v>
      </c>
      <c r="AP257" s="89" t="str">
        <f t="shared" ref="AP257:AP320" si="86">IF(LEFT(O257,3)="BKK",1,"")</f>
        <v/>
      </c>
      <c r="AQ257" s="89" t="str">
        <f t="shared" si="84"/>
        <v/>
      </c>
      <c r="AR257" s="315" t="str">
        <f t="shared" si="85"/>
        <v/>
      </c>
      <c r="AS257" s="305" t="str">
        <f t="shared" si="81"/>
        <v>0</v>
      </c>
      <c r="AT257" s="307">
        <f>Table22[[#This Row],[Column1]]</f>
        <v>0</v>
      </c>
    </row>
    <row r="258" spans="1:46" x14ac:dyDescent="0.3">
      <c r="A258" s="307">
        <f t="shared" si="75"/>
        <v>0</v>
      </c>
      <c r="B258" s="307">
        <f t="shared" si="82"/>
        <v>0</v>
      </c>
      <c r="C258" s="308" t="s">
        <v>563</v>
      </c>
      <c r="D258" s="309" t="s">
        <v>563</v>
      </c>
      <c r="E258" s="310">
        <v>0</v>
      </c>
      <c r="F258" s="310">
        <v>0</v>
      </c>
      <c r="G258" s="311">
        <v>0</v>
      </c>
      <c r="H258" s="310" t="s">
        <v>563</v>
      </c>
      <c r="I258" s="310" t="s">
        <v>563</v>
      </c>
      <c r="J258" s="310" t="s">
        <v>563</v>
      </c>
      <c r="K258" s="312">
        <v>0</v>
      </c>
      <c r="L258" s="310">
        <v>0</v>
      </c>
      <c r="M258" s="310">
        <v>0</v>
      </c>
      <c r="N258" s="313" t="s">
        <v>563</v>
      </c>
      <c r="O258" s="314" t="s">
        <v>563</v>
      </c>
      <c r="P258" s="307">
        <f t="shared" ref="P258:P321" si="87">IF(LEFT(O258,1)="B",R258,0)</f>
        <v>0</v>
      </c>
      <c r="R258" s="91" t="str">
        <f t="shared" si="83"/>
        <v/>
      </c>
      <c r="S258" s="307" t="str">
        <f t="shared" ref="S258:S321" si="88">IF(O258="",S257&amp;"a",IF(O258&gt;0,O258,0))</f>
        <v>BKK.57aaaaaaaaaaaaaaaaaaaaaaaaaaaaaaaaaaaaaaaaaaaaaaaaaaaaaaaaaaaaaaaaaaaaaa</v>
      </c>
      <c r="T258" s="307" t="str">
        <f t="shared" ref="T258:T321" si="89">IF(G258=0,"",G258)</f>
        <v/>
      </c>
      <c r="U258" s="315" t="str">
        <f t="shared" ref="U258:U321" si="90">D258</f>
        <v/>
      </c>
      <c r="V258" s="307" t="str">
        <f t="shared" si="76"/>
        <v/>
      </c>
      <c r="W258" s="307" t="str">
        <f>IFERROR(IF(V258&gt;0,PROPER(Terbilang1(V258)&amp;" Rupiah"),0),"")</f>
        <v/>
      </c>
      <c r="X258" s="90" t="str">
        <f t="shared" si="77"/>
        <v/>
      </c>
      <c r="Y258" s="307" t="str">
        <f t="shared" si="78"/>
        <v/>
      </c>
      <c r="Z258" s="307">
        <f t="shared" ref="Z258:Z321" si="91">IF(LEN(AA258)&gt;1,AA258,IF(AA258=0,AB258,0))</f>
        <v>0</v>
      </c>
      <c r="AA258" s="366">
        <f t="shared" ref="AA258:AA321" si="92">IFERROR(IF(AND(N258&gt;1,LEFT(G258,5)="Bayar"),N258*3.5%,IF(N258&gt;2000000,N258*(IF(OR(LEFT(F258,3)="MoP",LEFT(F258,3)="GaJ"),0,11%)),0)),0)</f>
        <v>0</v>
      </c>
      <c r="AB258" s="367">
        <f t="shared" si="79"/>
        <v>0</v>
      </c>
      <c r="AC258" s="305">
        <f t="shared" si="80"/>
        <v>0</v>
      </c>
      <c r="AP258" s="89" t="str">
        <f t="shared" si="86"/>
        <v/>
      </c>
      <c r="AQ258" s="89" t="str">
        <f t="shared" si="84"/>
        <v/>
      </c>
      <c r="AR258" s="315" t="str">
        <f t="shared" si="85"/>
        <v/>
      </c>
      <c r="AS258" s="305" t="str">
        <f t="shared" si="81"/>
        <v>0</v>
      </c>
      <c r="AT258" s="307">
        <f>Table22[[#This Row],[Column1]]</f>
        <v>0</v>
      </c>
    </row>
    <row r="259" spans="1:46" x14ac:dyDescent="0.3">
      <c r="A259" s="307">
        <f t="shared" ref="A259:A322" si="93">IF(C259=1,C259&amp;"."&amp;MOD(ROW()-1,$AJ$2+1),IF(C259=2,C259&amp;"."&amp;MOD(ROW()-($AJ$2+1),$AK$2+1),IF(C259=3,C259&amp;"."&amp;MOD(ROW()-($AJ$2+$AK$2+1),$AL$2+1),IF(C259=4,C259&amp;"."&amp;MOD(ROW()-($AJ$2+$AK$2+$AL$2+1),$AM$2+1),IF(C259=5,C259&amp;"."&amp;MOD(ROW()-($AJ$2+$AK$2+$AL$2+$AM$2+1),$AN$2+1),0)))))</f>
        <v>0</v>
      </c>
      <c r="B259" s="307">
        <f t="shared" si="82"/>
        <v>0</v>
      </c>
      <c r="C259" s="308" t="s">
        <v>563</v>
      </c>
      <c r="D259" s="309" t="s">
        <v>563</v>
      </c>
      <c r="E259" s="310">
        <v>0</v>
      </c>
      <c r="F259" s="310">
        <v>0</v>
      </c>
      <c r="G259" s="311">
        <v>0</v>
      </c>
      <c r="H259" s="310" t="s">
        <v>563</v>
      </c>
      <c r="I259" s="310" t="s">
        <v>563</v>
      </c>
      <c r="J259" s="310" t="s">
        <v>563</v>
      </c>
      <c r="K259" s="312">
        <v>0</v>
      </c>
      <c r="L259" s="310">
        <v>0</v>
      </c>
      <c r="M259" s="310">
        <v>0</v>
      </c>
      <c r="N259" s="313" t="s">
        <v>563</v>
      </c>
      <c r="O259" s="314" t="s">
        <v>563</v>
      </c>
      <c r="P259" s="307">
        <f t="shared" si="87"/>
        <v>0</v>
      </c>
      <c r="R259" s="91" t="str">
        <f t="shared" si="83"/>
        <v/>
      </c>
      <c r="S259" s="307" t="str">
        <f t="shared" si="88"/>
        <v>BKK.57aaaaaaaaaaaaaaaaaaaaaaaaaaaaaaaaaaaaaaaaaaaaaaaaaaaaaaaaaaaaaaaaaaaaaaa</v>
      </c>
      <c r="T259" s="307" t="str">
        <f t="shared" si="89"/>
        <v/>
      </c>
      <c r="U259" s="315" t="str">
        <f t="shared" si="90"/>
        <v/>
      </c>
      <c r="V259" s="307" t="str">
        <f t="shared" ref="V259:V322" si="94">N259</f>
        <v/>
      </c>
      <c r="W259" s="307" t="str">
        <f>IFERROR(IF(V259&gt;0,PROPER(Terbilang1(V259)&amp;" Rupiah"),0),"")</f>
        <v/>
      </c>
      <c r="X259" s="90" t="str">
        <f t="shared" ref="X259:X322" si="95">J259</f>
        <v/>
      </c>
      <c r="Y259" s="307" t="str">
        <f t="shared" ref="Y259:Y322" si="96">H259</f>
        <v/>
      </c>
      <c r="Z259" s="307">
        <f t="shared" si="91"/>
        <v>0</v>
      </c>
      <c r="AA259" s="366">
        <f t="shared" si="92"/>
        <v>0</v>
      </c>
      <c r="AB259" s="367">
        <f t="shared" ref="AB259:AB322" si="97">IF(LEN(AA258)&gt;1,IF(LEFT(G258,5)="Bayar",0,IF(LEFT(G258,6)="PEMASA",(N258*100/111*1.5%),N258*0.015)),0)</f>
        <v>0</v>
      </c>
      <c r="AC259" s="305">
        <f t="shared" ref="AC259:AC322" si="98">IF(LEN(AA259)&gt;1,IF(LEFT(G259,6)="PEMASA","Terima Pajak PPN (11 %) "&amp;O259,IF(LEFT(G259,5)="Bayar","Terima PPh Pasal 4 ayat 2 (3,5 %) "&amp;O259,"Bayar Pajak PPN (11 %) "&amp;O259)),IF(AB259&gt;0,IF(LEFT(AC258,6)="Terima","Terima Pajak PPH (1,5%) "&amp;O258,"Bayar Pajak PPH (1,5 %) "&amp;O258),0))</f>
        <v>0</v>
      </c>
      <c r="AP259" s="89" t="str">
        <f t="shared" si="86"/>
        <v/>
      </c>
      <c r="AQ259" s="89" t="str">
        <f t="shared" si="84"/>
        <v/>
      </c>
      <c r="AR259" s="315" t="str">
        <f t="shared" si="85"/>
        <v/>
      </c>
      <c r="AS259" s="305" t="str">
        <f t="shared" ref="AS259:AS322" si="99">IF(AC259="","",LEFT(AC259,15))</f>
        <v>0</v>
      </c>
      <c r="AT259" s="307">
        <f>Table22[[#This Row],[Column1]]</f>
        <v>0</v>
      </c>
    </row>
    <row r="260" spans="1:46" x14ac:dyDescent="0.3">
      <c r="A260" s="307">
        <f t="shared" si="93"/>
        <v>0</v>
      </c>
      <c r="B260" s="307">
        <f t="shared" si="82"/>
        <v>0</v>
      </c>
      <c r="C260" s="308" t="s">
        <v>563</v>
      </c>
      <c r="D260" s="309" t="s">
        <v>563</v>
      </c>
      <c r="E260" s="310">
        <v>0</v>
      </c>
      <c r="F260" s="310">
        <v>0</v>
      </c>
      <c r="G260" s="311">
        <v>0</v>
      </c>
      <c r="H260" s="310" t="s">
        <v>563</v>
      </c>
      <c r="I260" s="310" t="s">
        <v>563</v>
      </c>
      <c r="J260" s="310" t="s">
        <v>563</v>
      </c>
      <c r="K260" s="312">
        <v>0</v>
      </c>
      <c r="L260" s="310">
        <v>0</v>
      </c>
      <c r="M260" s="310">
        <v>0</v>
      </c>
      <c r="N260" s="313" t="s">
        <v>563</v>
      </c>
      <c r="O260" s="314" t="s">
        <v>563</v>
      </c>
      <c r="P260" s="307">
        <f t="shared" si="87"/>
        <v>0</v>
      </c>
      <c r="R260" s="91" t="str">
        <f t="shared" si="83"/>
        <v/>
      </c>
      <c r="S260" s="307" t="str">
        <f t="shared" si="88"/>
        <v>BKK.57aaaaaaaaaaaaaaaaaaaaaaaaaaaaaaaaaaaaaaaaaaaaaaaaaaaaaaaaaaaaaaaaaaaaaaaa</v>
      </c>
      <c r="T260" s="307" t="str">
        <f t="shared" si="89"/>
        <v/>
      </c>
      <c r="U260" s="315" t="str">
        <f t="shared" si="90"/>
        <v/>
      </c>
      <c r="V260" s="307" t="str">
        <f t="shared" si="94"/>
        <v/>
      </c>
      <c r="W260" s="307" t="str">
        <f>IFERROR(IF(V260&gt;0,PROPER(Terbilang1(V260)&amp;" Rupiah"),0),"")</f>
        <v/>
      </c>
      <c r="X260" s="90" t="str">
        <f t="shared" si="95"/>
        <v/>
      </c>
      <c r="Y260" s="307" t="str">
        <f t="shared" si="96"/>
        <v/>
      </c>
      <c r="Z260" s="307">
        <f t="shared" si="91"/>
        <v>0</v>
      </c>
      <c r="AA260" s="366">
        <f t="shared" si="92"/>
        <v>0</v>
      </c>
      <c r="AB260" s="367">
        <f t="shared" si="97"/>
        <v>0</v>
      </c>
      <c r="AC260" s="305">
        <f t="shared" si="98"/>
        <v>0</v>
      </c>
      <c r="AP260" s="89" t="str">
        <f t="shared" si="86"/>
        <v/>
      </c>
      <c r="AQ260" s="89" t="str">
        <f t="shared" si="84"/>
        <v/>
      </c>
      <c r="AR260" s="315" t="str">
        <f t="shared" si="85"/>
        <v/>
      </c>
      <c r="AS260" s="305" t="str">
        <f t="shared" si="99"/>
        <v>0</v>
      </c>
      <c r="AT260" s="307">
        <f>Table22[[#This Row],[Column1]]</f>
        <v>0</v>
      </c>
    </row>
    <row r="261" spans="1:46" x14ac:dyDescent="0.3">
      <c r="A261" s="307">
        <f t="shared" si="93"/>
        <v>0</v>
      </c>
      <c r="B261" s="307">
        <f t="shared" si="82"/>
        <v>0</v>
      </c>
      <c r="C261" s="308" t="s">
        <v>563</v>
      </c>
      <c r="D261" s="309" t="s">
        <v>563</v>
      </c>
      <c r="E261" s="310">
        <v>0</v>
      </c>
      <c r="F261" s="310">
        <v>0</v>
      </c>
      <c r="G261" s="311">
        <v>0</v>
      </c>
      <c r="H261" s="310" t="s">
        <v>563</v>
      </c>
      <c r="I261" s="310" t="s">
        <v>563</v>
      </c>
      <c r="J261" s="310" t="s">
        <v>563</v>
      </c>
      <c r="K261" s="312">
        <v>0</v>
      </c>
      <c r="L261" s="310">
        <v>0</v>
      </c>
      <c r="M261" s="310">
        <v>0</v>
      </c>
      <c r="N261" s="313" t="s">
        <v>563</v>
      </c>
      <c r="O261" s="314" t="s">
        <v>563</v>
      </c>
      <c r="P261" s="307">
        <f t="shared" si="87"/>
        <v>0</v>
      </c>
      <c r="R261" s="91" t="str">
        <f t="shared" si="83"/>
        <v/>
      </c>
      <c r="S261" s="307" t="str">
        <f t="shared" si="88"/>
        <v>BKK.57aaaaaaaaaaaaaaaaaaaaaaaaaaaaaaaaaaaaaaaaaaaaaaaaaaaaaaaaaaaaaaaaaaaaaaaaa</v>
      </c>
      <c r="T261" s="307" t="str">
        <f t="shared" si="89"/>
        <v/>
      </c>
      <c r="U261" s="315" t="str">
        <f t="shared" si="90"/>
        <v/>
      </c>
      <c r="V261" s="307" t="str">
        <f>N261</f>
        <v/>
      </c>
      <c r="W261" s="307" t="str">
        <f>IFERROR(IF(V261&gt;0,PROPER(Terbilang1(V261)&amp;" Rupiah"),0),"")</f>
        <v/>
      </c>
      <c r="X261" s="90" t="str">
        <f t="shared" si="95"/>
        <v/>
      </c>
      <c r="Y261" s="307" t="str">
        <f t="shared" si="96"/>
        <v/>
      </c>
      <c r="Z261" s="307">
        <f t="shared" si="91"/>
        <v>0</v>
      </c>
      <c r="AA261" s="366">
        <f t="shared" si="92"/>
        <v>0</v>
      </c>
      <c r="AB261" s="367">
        <f t="shared" si="97"/>
        <v>0</v>
      </c>
      <c r="AC261" s="305">
        <f t="shared" si="98"/>
        <v>0</v>
      </c>
      <c r="AP261" s="89" t="str">
        <f t="shared" si="86"/>
        <v/>
      </c>
      <c r="AQ261" s="89" t="str">
        <f t="shared" si="84"/>
        <v/>
      </c>
      <c r="AR261" s="315" t="str">
        <f t="shared" si="85"/>
        <v/>
      </c>
      <c r="AS261" s="305" t="str">
        <f t="shared" si="99"/>
        <v>0</v>
      </c>
      <c r="AT261" s="307">
        <f>Table22[[#This Row],[Column1]]</f>
        <v>0</v>
      </c>
    </row>
    <row r="262" spans="1:46" x14ac:dyDescent="0.3">
      <c r="A262" s="307">
        <f t="shared" si="93"/>
        <v>0</v>
      </c>
      <c r="B262" s="307">
        <f t="shared" si="82"/>
        <v>0</v>
      </c>
      <c r="C262" s="308" t="s">
        <v>563</v>
      </c>
      <c r="D262" s="309" t="s">
        <v>563</v>
      </c>
      <c r="E262" s="310">
        <v>0</v>
      </c>
      <c r="F262" s="310">
        <v>0</v>
      </c>
      <c r="G262" s="311">
        <v>0</v>
      </c>
      <c r="H262" s="310" t="s">
        <v>563</v>
      </c>
      <c r="I262" s="310" t="s">
        <v>563</v>
      </c>
      <c r="J262" s="310" t="s">
        <v>563</v>
      </c>
      <c r="K262" s="312">
        <v>0</v>
      </c>
      <c r="L262" s="310">
        <v>0</v>
      </c>
      <c r="M262" s="310">
        <v>0</v>
      </c>
      <c r="N262" s="313" t="s">
        <v>563</v>
      </c>
      <c r="O262" s="314" t="s">
        <v>563</v>
      </c>
      <c r="P262" s="307">
        <f t="shared" si="87"/>
        <v>0</v>
      </c>
      <c r="R262" s="91" t="str">
        <f t="shared" si="83"/>
        <v/>
      </c>
      <c r="S262" s="307" t="str">
        <f t="shared" si="88"/>
        <v>BKK.57aaaaaaaaaaaaaaaaaaaaaaaaaaaaaaaaaaaaaaaaaaaaaaaaaaaaaaaaaaaaaaaaaaaaaaaaaa</v>
      </c>
      <c r="T262" s="307" t="str">
        <f t="shared" si="89"/>
        <v/>
      </c>
      <c r="U262" s="315" t="str">
        <f t="shared" si="90"/>
        <v/>
      </c>
      <c r="V262" s="307" t="str">
        <f t="shared" si="94"/>
        <v/>
      </c>
      <c r="W262" s="307" t="str">
        <f>IFERROR(IF(V262&gt;0,PROPER(Terbilang1(V262)&amp;" Rupiah"),0),"")</f>
        <v/>
      </c>
      <c r="X262" s="90" t="str">
        <f t="shared" si="95"/>
        <v/>
      </c>
      <c r="Y262" s="307" t="str">
        <f t="shared" si="96"/>
        <v/>
      </c>
      <c r="Z262" s="307">
        <f t="shared" si="91"/>
        <v>0</v>
      </c>
      <c r="AA262" s="366">
        <f t="shared" si="92"/>
        <v>0</v>
      </c>
      <c r="AB262" s="367">
        <f t="shared" si="97"/>
        <v>0</v>
      </c>
      <c r="AC262" s="305">
        <f t="shared" si="98"/>
        <v>0</v>
      </c>
      <c r="AP262" s="89" t="str">
        <f t="shared" si="86"/>
        <v/>
      </c>
      <c r="AQ262" s="89" t="str">
        <f t="shared" si="84"/>
        <v/>
      </c>
      <c r="AR262" s="315" t="str">
        <f t="shared" si="85"/>
        <v/>
      </c>
      <c r="AS262" s="305" t="str">
        <f t="shared" si="99"/>
        <v>0</v>
      </c>
      <c r="AT262" s="307">
        <f>Table22[[#This Row],[Column1]]</f>
        <v>0</v>
      </c>
    </row>
    <row r="263" spans="1:46" x14ac:dyDescent="0.3">
      <c r="A263" s="307">
        <f t="shared" si="93"/>
        <v>0</v>
      </c>
      <c r="B263" s="307">
        <f t="shared" si="82"/>
        <v>0</v>
      </c>
      <c r="C263" s="308" t="s">
        <v>563</v>
      </c>
      <c r="D263" s="309" t="s">
        <v>563</v>
      </c>
      <c r="E263" s="310">
        <v>0</v>
      </c>
      <c r="F263" s="310">
        <v>0</v>
      </c>
      <c r="G263" s="311">
        <v>0</v>
      </c>
      <c r="H263" s="310" t="s">
        <v>563</v>
      </c>
      <c r="I263" s="310" t="s">
        <v>563</v>
      </c>
      <c r="J263" s="310" t="s">
        <v>563</v>
      </c>
      <c r="K263" s="312">
        <v>0</v>
      </c>
      <c r="L263" s="310">
        <v>0</v>
      </c>
      <c r="M263" s="310">
        <v>0</v>
      </c>
      <c r="N263" s="313" t="s">
        <v>563</v>
      </c>
      <c r="O263" s="314" t="s">
        <v>563</v>
      </c>
      <c r="P263" s="307">
        <f t="shared" si="87"/>
        <v>0</v>
      </c>
      <c r="R263" s="91" t="str">
        <f t="shared" si="83"/>
        <v/>
      </c>
      <c r="S263" s="307" t="str">
        <f t="shared" si="88"/>
        <v>BKK.57aaaaaaaaaaaaaaaaaaaaaaaaaaaaaaaaaaaaaaaaaaaaaaaaaaaaaaaaaaaaaaaaaaaaaaaaaaa</v>
      </c>
      <c r="T263" s="307" t="str">
        <f t="shared" si="89"/>
        <v/>
      </c>
      <c r="U263" s="315" t="str">
        <f t="shared" si="90"/>
        <v/>
      </c>
      <c r="V263" s="307" t="str">
        <f t="shared" si="94"/>
        <v/>
      </c>
      <c r="W263" s="307" t="str">
        <f>IFERROR(IF(V263&gt;0,PROPER(Terbilang1(V263)&amp;" Rupiah"),0),"")</f>
        <v/>
      </c>
      <c r="X263" s="90" t="str">
        <f t="shared" si="95"/>
        <v/>
      </c>
      <c r="Y263" s="307" t="str">
        <f t="shared" si="96"/>
        <v/>
      </c>
      <c r="Z263" s="307">
        <f t="shared" si="91"/>
        <v>0</v>
      </c>
      <c r="AA263" s="366">
        <f t="shared" si="92"/>
        <v>0</v>
      </c>
      <c r="AB263" s="367">
        <f t="shared" si="97"/>
        <v>0</v>
      </c>
      <c r="AC263" s="305">
        <f t="shared" si="98"/>
        <v>0</v>
      </c>
      <c r="AP263" s="89" t="str">
        <f t="shared" si="86"/>
        <v/>
      </c>
      <c r="AQ263" s="89" t="str">
        <f t="shared" si="84"/>
        <v/>
      </c>
      <c r="AR263" s="315" t="str">
        <f t="shared" si="85"/>
        <v/>
      </c>
      <c r="AS263" s="305" t="str">
        <f t="shared" si="99"/>
        <v>0</v>
      </c>
      <c r="AT263" s="307">
        <f>Table22[[#This Row],[Column1]]</f>
        <v>0</v>
      </c>
    </row>
    <row r="264" spans="1:46" x14ac:dyDescent="0.3">
      <c r="A264" s="307">
        <f t="shared" si="93"/>
        <v>0</v>
      </c>
      <c r="B264" s="307">
        <f t="shared" si="82"/>
        <v>0</v>
      </c>
      <c r="C264" s="308" t="s">
        <v>563</v>
      </c>
      <c r="D264" s="309" t="s">
        <v>563</v>
      </c>
      <c r="E264" s="310">
        <v>0</v>
      </c>
      <c r="F264" s="310">
        <v>0</v>
      </c>
      <c r="G264" s="311">
        <v>0</v>
      </c>
      <c r="H264" s="310" t="s">
        <v>563</v>
      </c>
      <c r="I264" s="310" t="s">
        <v>563</v>
      </c>
      <c r="J264" s="310" t="s">
        <v>563</v>
      </c>
      <c r="K264" s="312">
        <v>0</v>
      </c>
      <c r="L264" s="310">
        <v>0</v>
      </c>
      <c r="M264" s="310">
        <v>0</v>
      </c>
      <c r="N264" s="313" t="s">
        <v>563</v>
      </c>
      <c r="O264" s="314" t="s">
        <v>563</v>
      </c>
      <c r="P264" s="307">
        <f t="shared" si="87"/>
        <v>0</v>
      </c>
      <c r="R264" s="91" t="str">
        <f t="shared" si="83"/>
        <v/>
      </c>
      <c r="S264" s="307" t="str">
        <f t="shared" si="88"/>
        <v>BKK.57aaaaaaaaaaaaaaaaaaaaaaaaaaaaaaaaaaaaaaaaaaaaaaaaaaaaaaaaaaaaaaaaaaaaaaaaaaaa</v>
      </c>
      <c r="T264" s="307" t="str">
        <f t="shared" si="89"/>
        <v/>
      </c>
      <c r="U264" s="315" t="str">
        <f t="shared" si="90"/>
        <v/>
      </c>
      <c r="V264" s="307" t="str">
        <f t="shared" si="94"/>
        <v/>
      </c>
      <c r="W264" s="307" t="str">
        <f>IFERROR(IF(V264&gt;0,PROPER(Terbilang1(V264)&amp;" Rupiah"),0),"")</f>
        <v/>
      </c>
      <c r="X264" s="90" t="str">
        <f t="shared" si="95"/>
        <v/>
      </c>
      <c r="Y264" s="307" t="str">
        <f t="shared" si="96"/>
        <v/>
      </c>
      <c r="Z264" s="307">
        <f t="shared" si="91"/>
        <v>0</v>
      </c>
      <c r="AA264" s="366">
        <f t="shared" si="92"/>
        <v>0</v>
      </c>
      <c r="AB264" s="367">
        <f t="shared" si="97"/>
        <v>0</v>
      </c>
      <c r="AC264" s="305">
        <f t="shared" si="98"/>
        <v>0</v>
      </c>
      <c r="AP264" s="89" t="str">
        <f t="shared" si="86"/>
        <v/>
      </c>
      <c r="AQ264" s="89" t="str">
        <f t="shared" si="84"/>
        <v/>
      </c>
      <c r="AR264" s="315" t="str">
        <f t="shared" si="85"/>
        <v/>
      </c>
      <c r="AS264" s="305" t="str">
        <f t="shared" si="99"/>
        <v>0</v>
      </c>
      <c r="AT264" s="307">
        <f>Table22[[#This Row],[Column1]]</f>
        <v>0</v>
      </c>
    </row>
    <row r="265" spans="1:46" x14ac:dyDescent="0.3">
      <c r="A265" s="307">
        <f t="shared" si="93"/>
        <v>0</v>
      </c>
      <c r="B265" s="307">
        <f t="shared" si="82"/>
        <v>0</v>
      </c>
      <c r="C265" s="308" t="s">
        <v>563</v>
      </c>
      <c r="D265" s="309" t="s">
        <v>563</v>
      </c>
      <c r="E265" s="310">
        <v>0</v>
      </c>
      <c r="F265" s="310">
        <v>0</v>
      </c>
      <c r="G265" s="311">
        <v>0</v>
      </c>
      <c r="H265" s="310" t="s">
        <v>563</v>
      </c>
      <c r="I265" s="310" t="s">
        <v>563</v>
      </c>
      <c r="J265" s="310" t="s">
        <v>563</v>
      </c>
      <c r="K265" s="312">
        <v>0</v>
      </c>
      <c r="L265" s="310">
        <v>0</v>
      </c>
      <c r="M265" s="310">
        <v>0</v>
      </c>
      <c r="N265" s="313" t="s">
        <v>563</v>
      </c>
      <c r="O265" s="314" t="s">
        <v>563</v>
      </c>
      <c r="P265" s="307">
        <f t="shared" si="87"/>
        <v>0</v>
      </c>
      <c r="R265" s="91" t="str">
        <f t="shared" si="83"/>
        <v/>
      </c>
      <c r="S265" s="307" t="str">
        <f t="shared" si="88"/>
        <v>BKK.57aaaaaaaaaaaaaaaaaaaaaaaaaaaaaaaaaaaaaaaaaaaaaaaaaaaaaaaaaaaaaaaaaaaaaaaaaaaaa</v>
      </c>
      <c r="T265" s="307" t="str">
        <f t="shared" si="89"/>
        <v/>
      </c>
      <c r="U265" s="315" t="str">
        <f t="shared" si="90"/>
        <v/>
      </c>
      <c r="V265" s="307" t="str">
        <f t="shared" si="94"/>
        <v/>
      </c>
      <c r="W265" s="307" t="str">
        <f>IFERROR(IF(V265&gt;0,PROPER(Terbilang1(V265)&amp;" Rupiah"),0),"")</f>
        <v/>
      </c>
      <c r="X265" s="90" t="str">
        <f t="shared" si="95"/>
        <v/>
      </c>
      <c r="Y265" s="307" t="str">
        <f t="shared" si="96"/>
        <v/>
      </c>
      <c r="Z265" s="307">
        <f t="shared" si="91"/>
        <v>0</v>
      </c>
      <c r="AA265" s="366">
        <f t="shared" si="92"/>
        <v>0</v>
      </c>
      <c r="AB265" s="367">
        <f t="shared" si="97"/>
        <v>0</v>
      </c>
      <c r="AC265" s="305">
        <f t="shared" si="98"/>
        <v>0</v>
      </c>
      <c r="AP265" s="89" t="str">
        <f t="shared" si="86"/>
        <v/>
      </c>
      <c r="AQ265" s="89" t="str">
        <f t="shared" si="84"/>
        <v/>
      </c>
      <c r="AR265" s="315" t="str">
        <f t="shared" si="85"/>
        <v/>
      </c>
      <c r="AS265" s="305" t="str">
        <f t="shared" si="99"/>
        <v>0</v>
      </c>
      <c r="AT265" s="307">
        <f>Table22[[#This Row],[Column1]]</f>
        <v>0</v>
      </c>
    </row>
    <row r="266" spans="1:46" x14ac:dyDescent="0.3">
      <c r="A266" s="307">
        <f t="shared" si="93"/>
        <v>0</v>
      </c>
      <c r="B266" s="307">
        <f t="shared" si="82"/>
        <v>0</v>
      </c>
      <c r="C266" s="308" t="s">
        <v>563</v>
      </c>
      <c r="D266" s="309" t="s">
        <v>563</v>
      </c>
      <c r="E266" s="310">
        <v>0</v>
      </c>
      <c r="F266" s="310">
        <v>0</v>
      </c>
      <c r="G266" s="311">
        <v>0</v>
      </c>
      <c r="H266" s="310" t="s">
        <v>563</v>
      </c>
      <c r="I266" s="310" t="s">
        <v>563</v>
      </c>
      <c r="J266" s="310" t="s">
        <v>563</v>
      </c>
      <c r="K266" s="312">
        <v>0</v>
      </c>
      <c r="L266" s="310">
        <v>0</v>
      </c>
      <c r="M266" s="310">
        <v>0</v>
      </c>
      <c r="N266" s="313" t="s">
        <v>563</v>
      </c>
      <c r="O266" s="314" t="s">
        <v>563</v>
      </c>
      <c r="P266" s="307">
        <f t="shared" si="87"/>
        <v>0</v>
      </c>
      <c r="R266" s="91" t="str">
        <f t="shared" si="83"/>
        <v/>
      </c>
      <c r="S266" s="307" t="str">
        <f t="shared" si="88"/>
        <v>BKK.57aaaaaaaaaaaaaaaaaaaaaaaaaaaaaaaaaaaaaaaaaaaaaaaaaaaaaaaaaaaaaaaaaaaaaaaaaaaaaa</v>
      </c>
      <c r="T266" s="307" t="str">
        <f t="shared" si="89"/>
        <v/>
      </c>
      <c r="U266" s="315" t="str">
        <f t="shared" si="90"/>
        <v/>
      </c>
      <c r="V266" s="307" t="str">
        <f>N266</f>
        <v/>
      </c>
      <c r="W266" s="307" t="str">
        <f>IFERROR(IF(V266&gt;0,PROPER(Terbilang1(V266)&amp;" Rupiah"),0),"")</f>
        <v/>
      </c>
      <c r="X266" s="90" t="str">
        <f t="shared" si="95"/>
        <v/>
      </c>
      <c r="Y266" s="307" t="str">
        <f t="shared" si="96"/>
        <v/>
      </c>
      <c r="Z266" s="307">
        <f t="shared" si="91"/>
        <v>0</v>
      </c>
      <c r="AA266" s="366">
        <f t="shared" si="92"/>
        <v>0</v>
      </c>
      <c r="AB266" s="367">
        <f t="shared" si="97"/>
        <v>0</v>
      </c>
      <c r="AC266" s="305">
        <f t="shared" si="98"/>
        <v>0</v>
      </c>
      <c r="AP266" s="89" t="str">
        <f t="shared" si="86"/>
        <v/>
      </c>
      <c r="AQ266" s="89" t="str">
        <f t="shared" si="84"/>
        <v/>
      </c>
      <c r="AR266" s="315" t="str">
        <f t="shared" si="85"/>
        <v/>
      </c>
      <c r="AS266" s="305" t="str">
        <f t="shared" si="99"/>
        <v>0</v>
      </c>
      <c r="AT266" s="307">
        <f>Table22[[#This Row],[Column1]]</f>
        <v>0</v>
      </c>
    </row>
    <row r="267" spans="1:46" x14ac:dyDescent="0.3">
      <c r="A267" s="307">
        <f t="shared" si="93"/>
        <v>0</v>
      </c>
      <c r="B267" s="307">
        <f t="shared" si="82"/>
        <v>0</v>
      </c>
      <c r="C267" s="308" t="s">
        <v>563</v>
      </c>
      <c r="D267" s="309" t="s">
        <v>563</v>
      </c>
      <c r="E267" s="310">
        <v>0</v>
      </c>
      <c r="F267" s="310">
        <v>0</v>
      </c>
      <c r="G267" s="311">
        <v>0</v>
      </c>
      <c r="H267" s="310" t="s">
        <v>563</v>
      </c>
      <c r="I267" s="310" t="s">
        <v>563</v>
      </c>
      <c r="J267" s="310" t="s">
        <v>563</v>
      </c>
      <c r="K267" s="312">
        <v>0</v>
      </c>
      <c r="L267" s="310">
        <v>0</v>
      </c>
      <c r="M267" s="310">
        <v>0</v>
      </c>
      <c r="N267" s="313" t="s">
        <v>563</v>
      </c>
      <c r="O267" s="314" t="s">
        <v>563</v>
      </c>
      <c r="P267" s="307">
        <f t="shared" si="87"/>
        <v>0</v>
      </c>
      <c r="R267" s="91" t="str">
        <f t="shared" si="83"/>
        <v/>
      </c>
      <c r="S267" s="307" t="str">
        <f t="shared" si="88"/>
        <v>BKK.57aaaaaaaaaaaaaaaaaaaaaaaaaaaaaaaaaaaaaaaaaaaaaaaaaaaaaaaaaaaaaaaaaaaaaaaaaaaaaaa</v>
      </c>
      <c r="T267" s="307" t="str">
        <f t="shared" si="89"/>
        <v/>
      </c>
      <c r="U267" s="315" t="str">
        <f t="shared" si="90"/>
        <v/>
      </c>
      <c r="V267" s="307" t="str">
        <f t="shared" si="94"/>
        <v/>
      </c>
      <c r="W267" s="307" t="str">
        <f>IFERROR(IF(V267&gt;0,PROPER(Terbilang1(V267)&amp;" Rupiah"),0),"")</f>
        <v/>
      </c>
      <c r="X267" s="90" t="str">
        <f t="shared" si="95"/>
        <v/>
      </c>
      <c r="Y267" s="307" t="str">
        <f t="shared" si="96"/>
        <v/>
      </c>
      <c r="Z267" s="307">
        <f t="shared" si="91"/>
        <v>0</v>
      </c>
      <c r="AA267" s="366">
        <f t="shared" si="92"/>
        <v>0</v>
      </c>
      <c r="AB267" s="367">
        <f t="shared" si="97"/>
        <v>0</v>
      </c>
      <c r="AC267" s="305">
        <f t="shared" si="98"/>
        <v>0</v>
      </c>
      <c r="AP267" s="89" t="str">
        <f t="shared" si="86"/>
        <v/>
      </c>
      <c r="AQ267" s="89" t="str">
        <f t="shared" si="84"/>
        <v/>
      </c>
      <c r="AR267" s="315" t="str">
        <f t="shared" si="85"/>
        <v/>
      </c>
      <c r="AS267" s="305" t="str">
        <f t="shared" si="99"/>
        <v>0</v>
      </c>
      <c r="AT267" s="307">
        <f>Table22[[#This Row],[Column1]]</f>
        <v>0</v>
      </c>
    </row>
    <row r="268" spans="1:46" x14ac:dyDescent="0.3">
      <c r="A268" s="307">
        <f t="shared" si="93"/>
        <v>0</v>
      </c>
      <c r="B268" s="307">
        <f t="shared" si="82"/>
        <v>0</v>
      </c>
      <c r="C268" s="308" t="s">
        <v>563</v>
      </c>
      <c r="D268" s="309" t="s">
        <v>563</v>
      </c>
      <c r="E268" s="310">
        <v>0</v>
      </c>
      <c r="F268" s="310">
        <v>0</v>
      </c>
      <c r="G268" s="311">
        <v>0</v>
      </c>
      <c r="H268" s="310" t="s">
        <v>563</v>
      </c>
      <c r="I268" s="310" t="s">
        <v>563</v>
      </c>
      <c r="J268" s="310" t="s">
        <v>563</v>
      </c>
      <c r="K268" s="312">
        <v>0</v>
      </c>
      <c r="L268" s="310">
        <v>0</v>
      </c>
      <c r="M268" s="310">
        <v>0</v>
      </c>
      <c r="N268" s="313" t="s">
        <v>563</v>
      </c>
      <c r="O268" s="314" t="s">
        <v>563</v>
      </c>
      <c r="P268" s="307">
        <f t="shared" si="87"/>
        <v>0</v>
      </c>
      <c r="R268" s="91" t="str">
        <f t="shared" si="83"/>
        <v/>
      </c>
      <c r="S268" s="307" t="str">
        <f t="shared" si="88"/>
        <v>BKK.57aaaaaaaaaaaaaaaaaaaaaaaaaaaaaaaaaaaaaaaaaaaaaaaaaaaaaaaaaaaaaaaaaaaaaaaaaaaaaaaa</v>
      </c>
      <c r="T268" s="307" t="str">
        <f t="shared" si="89"/>
        <v/>
      </c>
      <c r="U268" s="315" t="str">
        <f t="shared" si="90"/>
        <v/>
      </c>
      <c r="V268" s="307" t="str">
        <f t="shared" si="94"/>
        <v/>
      </c>
      <c r="W268" s="307" t="str">
        <f>IFERROR(IF(V268&gt;0,PROPER(Terbilang1(V268)&amp;" Rupiah"),0),"")</f>
        <v/>
      </c>
      <c r="X268" s="90" t="str">
        <f t="shared" si="95"/>
        <v/>
      </c>
      <c r="Y268" s="307" t="str">
        <f t="shared" si="96"/>
        <v/>
      </c>
      <c r="Z268" s="307">
        <f t="shared" si="91"/>
        <v>0</v>
      </c>
      <c r="AA268" s="366">
        <f t="shared" si="92"/>
        <v>0</v>
      </c>
      <c r="AB268" s="367">
        <f t="shared" si="97"/>
        <v>0</v>
      </c>
      <c r="AC268" s="305">
        <f t="shared" si="98"/>
        <v>0</v>
      </c>
      <c r="AP268" s="89" t="str">
        <f t="shared" si="86"/>
        <v/>
      </c>
      <c r="AQ268" s="89" t="str">
        <f t="shared" si="84"/>
        <v/>
      </c>
      <c r="AR268" s="315" t="str">
        <f t="shared" si="85"/>
        <v/>
      </c>
      <c r="AS268" s="305" t="str">
        <f t="shared" si="99"/>
        <v>0</v>
      </c>
      <c r="AT268" s="307">
        <f>Table22[[#This Row],[Column1]]</f>
        <v>0</v>
      </c>
    </row>
    <row r="269" spans="1:46" x14ac:dyDescent="0.3">
      <c r="A269" s="307">
        <f t="shared" si="93"/>
        <v>0</v>
      </c>
      <c r="B269" s="307">
        <f t="shared" si="82"/>
        <v>0</v>
      </c>
      <c r="C269" s="308" t="s">
        <v>563</v>
      </c>
      <c r="D269" s="309" t="s">
        <v>563</v>
      </c>
      <c r="E269" s="310">
        <v>0</v>
      </c>
      <c r="F269" s="310">
        <v>0</v>
      </c>
      <c r="G269" s="311">
        <v>0</v>
      </c>
      <c r="H269" s="310" t="s">
        <v>563</v>
      </c>
      <c r="I269" s="310" t="s">
        <v>563</v>
      </c>
      <c r="J269" s="310" t="s">
        <v>563</v>
      </c>
      <c r="K269" s="312">
        <v>0</v>
      </c>
      <c r="L269" s="310">
        <v>0</v>
      </c>
      <c r="M269" s="310">
        <v>0</v>
      </c>
      <c r="N269" s="313" t="s">
        <v>563</v>
      </c>
      <c r="O269" s="314" t="s">
        <v>563</v>
      </c>
      <c r="P269" s="307">
        <f t="shared" si="87"/>
        <v>0</v>
      </c>
      <c r="R269" s="91" t="str">
        <f t="shared" si="83"/>
        <v/>
      </c>
      <c r="S269" s="307" t="str">
        <f t="shared" si="88"/>
        <v>BKK.57aaaaaaaaaaaaaaaaaaaaaaaaaaaaaaaaaaaaaaaaaaaaaaaaaaaaaaaaaaaaaaaaaaaaaaaaaaaaaaaaa</v>
      </c>
      <c r="T269" s="307" t="str">
        <f t="shared" si="89"/>
        <v/>
      </c>
      <c r="U269" s="315" t="str">
        <f t="shared" si="90"/>
        <v/>
      </c>
      <c r="V269" s="307" t="str">
        <f t="shared" si="94"/>
        <v/>
      </c>
      <c r="W269" s="307" t="str">
        <f>IFERROR(IF(V269&gt;0,PROPER(Terbilang1(V269)&amp;" Rupiah"),0),"")</f>
        <v/>
      </c>
      <c r="X269" s="90" t="str">
        <f t="shared" si="95"/>
        <v/>
      </c>
      <c r="Y269" s="307" t="str">
        <f t="shared" si="96"/>
        <v/>
      </c>
      <c r="Z269" s="307">
        <f t="shared" si="91"/>
        <v>0</v>
      </c>
      <c r="AA269" s="366">
        <f t="shared" si="92"/>
        <v>0</v>
      </c>
      <c r="AB269" s="367">
        <f t="shared" si="97"/>
        <v>0</v>
      </c>
      <c r="AC269" s="305">
        <f t="shared" si="98"/>
        <v>0</v>
      </c>
      <c r="AP269" s="89" t="str">
        <f t="shared" si="86"/>
        <v/>
      </c>
      <c r="AQ269" s="89" t="str">
        <f t="shared" si="84"/>
        <v/>
      </c>
      <c r="AR269" s="315" t="str">
        <f t="shared" si="85"/>
        <v/>
      </c>
      <c r="AS269" s="305" t="str">
        <f t="shared" si="99"/>
        <v>0</v>
      </c>
      <c r="AT269" s="307">
        <f>Table22[[#This Row],[Column1]]</f>
        <v>0</v>
      </c>
    </row>
    <row r="270" spans="1:46" x14ac:dyDescent="0.3">
      <c r="A270" s="307">
        <f t="shared" si="93"/>
        <v>0</v>
      </c>
      <c r="B270" s="307">
        <f t="shared" si="82"/>
        <v>0</v>
      </c>
      <c r="C270" s="308" t="s">
        <v>563</v>
      </c>
      <c r="D270" s="309" t="s">
        <v>563</v>
      </c>
      <c r="E270" s="310">
        <v>0</v>
      </c>
      <c r="F270" s="310">
        <v>0</v>
      </c>
      <c r="G270" s="311">
        <v>0</v>
      </c>
      <c r="H270" s="310" t="s">
        <v>563</v>
      </c>
      <c r="I270" s="310" t="s">
        <v>563</v>
      </c>
      <c r="J270" s="310" t="s">
        <v>563</v>
      </c>
      <c r="K270" s="312">
        <v>0</v>
      </c>
      <c r="L270" s="310">
        <v>0</v>
      </c>
      <c r="M270" s="310">
        <v>0</v>
      </c>
      <c r="N270" s="313" t="s">
        <v>563</v>
      </c>
      <c r="O270" s="314" t="s">
        <v>563</v>
      </c>
      <c r="P270" s="307">
        <f t="shared" si="87"/>
        <v>0</v>
      </c>
      <c r="R270" s="91" t="str">
        <f t="shared" si="83"/>
        <v/>
      </c>
      <c r="S270" s="307" t="str">
        <f t="shared" si="88"/>
        <v>BKK.57aaaaaaaaaaaaaaaaaaaaaaaaaaaaaaaaaaaaaaaaaaaaaaaaaaaaaaaaaaaaaaaaaaaaaaaaaaaaaaaaaa</v>
      </c>
      <c r="T270" s="307" t="str">
        <f t="shared" si="89"/>
        <v/>
      </c>
      <c r="U270" s="315" t="str">
        <f t="shared" si="90"/>
        <v/>
      </c>
      <c r="V270" s="307" t="str">
        <f t="shared" si="94"/>
        <v/>
      </c>
      <c r="W270" s="307" t="str">
        <f>IFERROR(IF(V270&gt;0,PROPER(Terbilang1(V270)&amp;" Rupiah"),0),"")</f>
        <v/>
      </c>
      <c r="X270" s="90" t="str">
        <f t="shared" si="95"/>
        <v/>
      </c>
      <c r="Y270" s="307" t="str">
        <f t="shared" si="96"/>
        <v/>
      </c>
      <c r="Z270" s="307">
        <f t="shared" si="91"/>
        <v>0</v>
      </c>
      <c r="AA270" s="366">
        <f t="shared" si="92"/>
        <v>0</v>
      </c>
      <c r="AB270" s="367">
        <f t="shared" si="97"/>
        <v>0</v>
      </c>
      <c r="AC270" s="305">
        <f t="shared" si="98"/>
        <v>0</v>
      </c>
      <c r="AP270" s="89" t="str">
        <f t="shared" si="86"/>
        <v/>
      </c>
      <c r="AQ270" s="89" t="str">
        <f t="shared" si="84"/>
        <v/>
      </c>
      <c r="AR270" s="315" t="str">
        <f t="shared" si="85"/>
        <v/>
      </c>
      <c r="AS270" s="305" t="str">
        <f t="shared" si="99"/>
        <v>0</v>
      </c>
      <c r="AT270" s="307">
        <f>Table22[[#This Row],[Column1]]</f>
        <v>0</v>
      </c>
    </row>
    <row r="271" spans="1:46" x14ac:dyDescent="0.3">
      <c r="A271" s="307">
        <f t="shared" si="93"/>
        <v>0</v>
      </c>
      <c r="B271" s="307">
        <f t="shared" si="82"/>
        <v>0</v>
      </c>
      <c r="C271" s="308" t="s">
        <v>563</v>
      </c>
      <c r="D271" s="309" t="s">
        <v>563</v>
      </c>
      <c r="E271" s="310">
        <v>0</v>
      </c>
      <c r="F271" s="310">
        <v>0</v>
      </c>
      <c r="G271" s="311">
        <v>0</v>
      </c>
      <c r="H271" s="310" t="s">
        <v>563</v>
      </c>
      <c r="I271" s="310" t="s">
        <v>563</v>
      </c>
      <c r="J271" s="310" t="s">
        <v>563</v>
      </c>
      <c r="K271" s="312">
        <v>0</v>
      </c>
      <c r="L271" s="310">
        <v>0</v>
      </c>
      <c r="M271" s="310">
        <v>0</v>
      </c>
      <c r="N271" s="313" t="s">
        <v>563</v>
      </c>
      <c r="O271" s="314" t="s">
        <v>563</v>
      </c>
      <c r="P271" s="307">
        <f t="shared" si="87"/>
        <v>0</v>
      </c>
      <c r="R271" s="91" t="str">
        <f t="shared" si="83"/>
        <v/>
      </c>
      <c r="S271" s="307" t="str">
        <f t="shared" si="88"/>
        <v>BKK.57aaaaaaaaaaaaaaaaaaaaaaaaaaaaaaaaaaaaaaaaaaaaaaaaaaaaaaaaaaaaaaaaaaaaaaaaaaaaaaaaaaa</v>
      </c>
      <c r="T271" s="307" t="str">
        <f t="shared" si="89"/>
        <v/>
      </c>
      <c r="U271" s="315" t="str">
        <f t="shared" si="90"/>
        <v/>
      </c>
      <c r="V271" s="307" t="str">
        <f>N271</f>
        <v/>
      </c>
      <c r="W271" s="307" t="str">
        <f>IFERROR(IF(V271&gt;0,PROPER(Terbilang1(V271)&amp;" Rupiah"),0),"")</f>
        <v/>
      </c>
      <c r="X271" s="90" t="str">
        <f t="shared" si="95"/>
        <v/>
      </c>
      <c r="Y271" s="307" t="str">
        <f t="shared" si="96"/>
        <v/>
      </c>
      <c r="Z271" s="307">
        <f t="shared" si="91"/>
        <v>0</v>
      </c>
      <c r="AA271" s="366">
        <f t="shared" si="92"/>
        <v>0</v>
      </c>
      <c r="AB271" s="367">
        <f t="shared" si="97"/>
        <v>0</v>
      </c>
      <c r="AC271" s="305">
        <f t="shared" si="98"/>
        <v>0</v>
      </c>
      <c r="AP271" s="89" t="str">
        <f t="shared" si="86"/>
        <v/>
      </c>
      <c r="AQ271" s="89" t="str">
        <f t="shared" si="84"/>
        <v/>
      </c>
      <c r="AR271" s="315" t="str">
        <f t="shared" si="85"/>
        <v/>
      </c>
      <c r="AS271" s="305" t="str">
        <f t="shared" si="99"/>
        <v>0</v>
      </c>
      <c r="AT271" s="307">
        <f>Table22[[#This Row],[Column1]]</f>
        <v>0</v>
      </c>
    </row>
    <row r="272" spans="1:46" x14ac:dyDescent="0.3">
      <c r="A272" s="307">
        <f t="shared" si="93"/>
        <v>0</v>
      </c>
      <c r="B272" s="307">
        <f t="shared" si="82"/>
        <v>0</v>
      </c>
      <c r="C272" s="308" t="s">
        <v>563</v>
      </c>
      <c r="D272" s="309" t="s">
        <v>563</v>
      </c>
      <c r="E272" s="310">
        <v>0</v>
      </c>
      <c r="F272" s="310">
        <v>0</v>
      </c>
      <c r="G272" s="311">
        <v>0</v>
      </c>
      <c r="H272" s="310" t="s">
        <v>563</v>
      </c>
      <c r="I272" s="310" t="s">
        <v>563</v>
      </c>
      <c r="J272" s="310" t="s">
        <v>563</v>
      </c>
      <c r="K272" s="312">
        <v>0</v>
      </c>
      <c r="L272" s="310">
        <v>0</v>
      </c>
      <c r="M272" s="310">
        <v>0</v>
      </c>
      <c r="N272" s="313" t="s">
        <v>563</v>
      </c>
      <c r="O272" s="314" t="s">
        <v>563</v>
      </c>
      <c r="P272" s="307">
        <f t="shared" si="87"/>
        <v>0</v>
      </c>
      <c r="R272" s="91" t="str">
        <f t="shared" si="83"/>
        <v/>
      </c>
      <c r="S272" s="307" t="str">
        <f t="shared" si="88"/>
        <v>BKK.57aaaaaaaaaaaaaaaaaaaaaaaaaaaaaaaaaaaaaaaaaaaaaaaaaaaaaaaaaaaaaaaaaaaaaaaaaaaaaaaaaaaa</v>
      </c>
      <c r="T272" s="307" t="str">
        <f t="shared" si="89"/>
        <v/>
      </c>
      <c r="U272" s="315" t="str">
        <f t="shared" si="90"/>
        <v/>
      </c>
      <c r="V272" s="307" t="str">
        <f t="shared" si="94"/>
        <v/>
      </c>
      <c r="W272" s="307" t="str">
        <f>IFERROR(IF(V272&gt;0,PROPER(Terbilang1(V272)&amp;" Rupiah"),0),"")</f>
        <v/>
      </c>
      <c r="X272" s="90" t="str">
        <f t="shared" si="95"/>
        <v/>
      </c>
      <c r="Y272" s="307" t="str">
        <f t="shared" si="96"/>
        <v/>
      </c>
      <c r="Z272" s="307">
        <f t="shared" si="91"/>
        <v>0</v>
      </c>
      <c r="AA272" s="366">
        <f t="shared" si="92"/>
        <v>0</v>
      </c>
      <c r="AB272" s="367">
        <f t="shared" si="97"/>
        <v>0</v>
      </c>
      <c r="AC272" s="305">
        <f t="shared" si="98"/>
        <v>0</v>
      </c>
      <c r="AP272" s="89" t="str">
        <f t="shared" si="86"/>
        <v/>
      </c>
      <c r="AQ272" s="89" t="str">
        <f t="shared" si="84"/>
        <v/>
      </c>
      <c r="AR272" s="315" t="str">
        <f t="shared" si="85"/>
        <v/>
      </c>
      <c r="AS272" s="305" t="str">
        <f t="shared" si="99"/>
        <v>0</v>
      </c>
      <c r="AT272" s="307">
        <f>Table22[[#This Row],[Column1]]</f>
        <v>0</v>
      </c>
    </row>
    <row r="273" spans="1:46" x14ac:dyDescent="0.3">
      <c r="A273" s="307">
        <f t="shared" si="93"/>
        <v>0</v>
      </c>
      <c r="B273" s="307">
        <f t="shared" si="82"/>
        <v>0</v>
      </c>
      <c r="C273" s="308" t="s">
        <v>563</v>
      </c>
      <c r="D273" s="309" t="s">
        <v>563</v>
      </c>
      <c r="E273" s="310">
        <v>0</v>
      </c>
      <c r="F273" s="310">
        <v>0</v>
      </c>
      <c r="G273" s="311">
        <v>0</v>
      </c>
      <c r="H273" s="310" t="s">
        <v>563</v>
      </c>
      <c r="I273" s="310" t="s">
        <v>563</v>
      </c>
      <c r="J273" s="310" t="s">
        <v>563</v>
      </c>
      <c r="K273" s="312">
        <v>0</v>
      </c>
      <c r="L273" s="310">
        <v>0</v>
      </c>
      <c r="M273" s="310">
        <v>0</v>
      </c>
      <c r="N273" s="313" t="s">
        <v>563</v>
      </c>
      <c r="O273" s="314" t="s">
        <v>563</v>
      </c>
      <c r="P273" s="307">
        <f t="shared" si="87"/>
        <v>0</v>
      </c>
      <c r="R273" s="91" t="str">
        <f t="shared" si="83"/>
        <v/>
      </c>
      <c r="S273" s="307" t="str">
        <f t="shared" si="88"/>
        <v>BKK.57aaaaaaaaaaaaaaaaaaaaaaaaaaaaaaaaaaaaaaaaaaaaaaaaaaaaaaaaaaaaaaaaaaaaaaaaaaaaaaaaaaaaa</v>
      </c>
      <c r="T273" s="307" t="str">
        <f t="shared" si="89"/>
        <v/>
      </c>
      <c r="U273" s="315" t="str">
        <f t="shared" si="90"/>
        <v/>
      </c>
      <c r="V273" s="307" t="str">
        <f>N273</f>
        <v/>
      </c>
      <c r="W273" s="307" t="str">
        <f>IFERROR(IF(V273&gt;0,PROPER(Terbilang1(V273)&amp;" Rupiah"),0),"")</f>
        <v/>
      </c>
      <c r="X273" s="90" t="str">
        <f t="shared" si="95"/>
        <v/>
      </c>
      <c r="Y273" s="307" t="str">
        <f t="shared" si="96"/>
        <v/>
      </c>
      <c r="Z273" s="307">
        <f t="shared" si="91"/>
        <v>0</v>
      </c>
      <c r="AA273" s="366">
        <f t="shared" si="92"/>
        <v>0</v>
      </c>
      <c r="AB273" s="367">
        <f t="shared" si="97"/>
        <v>0</v>
      </c>
      <c r="AC273" s="305">
        <f t="shared" si="98"/>
        <v>0</v>
      </c>
      <c r="AP273" s="89" t="str">
        <f t="shared" si="86"/>
        <v/>
      </c>
      <c r="AQ273" s="89" t="str">
        <f t="shared" si="84"/>
        <v/>
      </c>
      <c r="AR273" s="315" t="str">
        <f t="shared" si="85"/>
        <v/>
      </c>
      <c r="AS273" s="305" t="str">
        <f t="shared" si="99"/>
        <v>0</v>
      </c>
      <c r="AT273" s="307">
        <f>Table22[[#This Row],[Column1]]</f>
        <v>0</v>
      </c>
    </row>
    <row r="274" spans="1:46" x14ac:dyDescent="0.3">
      <c r="A274" s="307">
        <f t="shared" si="93"/>
        <v>0</v>
      </c>
      <c r="B274" s="307">
        <f t="shared" si="82"/>
        <v>0</v>
      </c>
      <c r="C274" s="308" t="s">
        <v>563</v>
      </c>
      <c r="D274" s="309" t="s">
        <v>563</v>
      </c>
      <c r="E274" s="310">
        <v>0</v>
      </c>
      <c r="F274" s="310">
        <v>0</v>
      </c>
      <c r="G274" s="311">
        <v>0</v>
      </c>
      <c r="H274" s="310" t="s">
        <v>563</v>
      </c>
      <c r="I274" s="310" t="s">
        <v>563</v>
      </c>
      <c r="J274" s="310" t="s">
        <v>563</v>
      </c>
      <c r="K274" s="312">
        <v>0</v>
      </c>
      <c r="L274" s="310">
        <v>0</v>
      </c>
      <c r="M274" s="310">
        <v>0</v>
      </c>
      <c r="N274" s="313" t="s">
        <v>563</v>
      </c>
      <c r="O274" s="314" t="s">
        <v>563</v>
      </c>
      <c r="P274" s="307">
        <f t="shared" si="87"/>
        <v>0</v>
      </c>
      <c r="R274" s="91" t="str">
        <f t="shared" si="83"/>
        <v/>
      </c>
      <c r="S274" s="307" t="str">
        <f t="shared" si="88"/>
        <v>BKK.57aaaaaaaaaaaaaaaaaaaaaaaaaaaaaaaaaaaaaaaaaaaaaaaaaaaaaaaaaaaaaaaaaaaaaaaaaaaaaaaaaaaaaa</v>
      </c>
      <c r="T274" s="307" t="str">
        <f t="shared" si="89"/>
        <v/>
      </c>
      <c r="U274" s="315" t="str">
        <f t="shared" si="90"/>
        <v/>
      </c>
      <c r="V274" s="307" t="str">
        <f>N274</f>
        <v/>
      </c>
      <c r="W274" s="307" t="str">
        <f>IFERROR(IF(V274&gt;0,PROPER(Terbilang1(V274)&amp;" Rupiah"),0),"")</f>
        <v/>
      </c>
      <c r="X274" s="90" t="str">
        <f t="shared" si="95"/>
        <v/>
      </c>
      <c r="Y274" s="307" t="str">
        <f t="shared" si="96"/>
        <v/>
      </c>
      <c r="Z274" s="307">
        <f t="shared" si="91"/>
        <v>0</v>
      </c>
      <c r="AA274" s="366">
        <f t="shared" si="92"/>
        <v>0</v>
      </c>
      <c r="AB274" s="367">
        <f t="shared" si="97"/>
        <v>0</v>
      </c>
      <c r="AC274" s="305">
        <f t="shared" si="98"/>
        <v>0</v>
      </c>
      <c r="AP274" s="89" t="str">
        <f t="shared" si="86"/>
        <v/>
      </c>
      <c r="AQ274" s="89" t="str">
        <f t="shared" si="84"/>
        <v/>
      </c>
      <c r="AR274" s="315" t="str">
        <f t="shared" si="85"/>
        <v/>
      </c>
      <c r="AS274" s="305" t="str">
        <f t="shared" si="99"/>
        <v>0</v>
      </c>
      <c r="AT274" s="307">
        <f>Table22[[#This Row],[Column1]]</f>
        <v>0</v>
      </c>
    </row>
    <row r="275" spans="1:46" x14ac:dyDescent="0.3">
      <c r="A275" s="307">
        <f t="shared" si="93"/>
        <v>0</v>
      </c>
      <c r="B275" s="307">
        <f t="shared" si="82"/>
        <v>0</v>
      </c>
      <c r="C275" s="308" t="s">
        <v>563</v>
      </c>
      <c r="D275" s="309" t="s">
        <v>563</v>
      </c>
      <c r="E275" s="310">
        <v>0</v>
      </c>
      <c r="F275" s="310">
        <v>0</v>
      </c>
      <c r="G275" s="311">
        <v>0</v>
      </c>
      <c r="H275" s="310" t="s">
        <v>563</v>
      </c>
      <c r="I275" s="310" t="s">
        <v>563</v>
      </c>
      <c r="J275" s="310" t="s">
        <v>563</v>
      </c>
      <c r="K275" s="312">
        <v>0</v>
      </c>
      <c r="L275" s="310">
        <v>0</v>
      </c>
      <c r="M275" s="310">
        <v>0</v>
      </c>
      <c r="N275" s="313" t="s">
        <v>563</v>
      </c>
      <c r="O275" s="314" t="s">
        <v>563</v>
      </c>
      <c r="P275" s="307">
        <f t="shared" si="87"/>
        <v>0</v>
      </c>
      <c r="R275" s="91" t="str">
        <f t="shared" si="83"/>
        <v/>
      </c>
      <c r="S275" s="307" t="str">
        <f t="shared" si="88"/>
        <v>BKK.57aaaaaaaaaaaaaaaaaaaaaaaaaaaaaaaaaaaaaaaaaaaaaaaaaaaaaaaaaaaaaaaaaaaaaaaaaaaaaaaaaaaaaaa</v>
      </c>
      <c r="T275" s="307" t="str">
        <f t="shared" si="89"/>
        <v/>
      </c>
      <c r="U275" s="315" t="str">
        <f t="shared" si="90"/>
        <v/>
      </c>
      <c r="V275" s="307" t="str">
        <f t="shared" si="94"/>
        <v/>
      </c>
      <c r="W275" s="307" t="str">
        <f>IFERROR(IF(V275&gt;0,PROPER(Terbilang1(V275)&amp;" Rupiah"),0),"")</f>
        <v/>
      </c>
      <c r="X275" s="90" t="str">
        <f t="shared" si="95"/>
        <v/>
      </c>
      <c r="Y275" s="307" t="str">
        <f t="shared" si="96"/>
        <v/>
      </c>
      <c r="Z275" s="307">
        <f t="shared" si="91"/>
        <v>0</v>
      </c>
      <c r="AA275" s="366">
        <f t="shared" si="92"/>
        <v>0</v>
      </c>
      <c r="AB275" s="367">
        <f t="shared" si="97"/>
        <v>0</v>
      </c>
      <c r="AC275" s="305">
        <f t="shared" si="98"/>
        <v>0</v>
      </c>
      <c r="AP275" s="89" t="str">
        <f t="shared" si="86"/>
        <v/>
      </c>
      <c r="AQ275" s="89" t="str">
        <f t="shared" si="84"/>
        <v/>
      </c>
      <c r="AR275" s="315" t="str">
        <f t="shared" si="85"/>
        <v/>
      </c>
      <c r="AS275" s="305" t="str">
        <f t="shared" si="99"/>
        <v>0</v>
      </c>
      <c r="AT275" s="307">
        <f>Table22[[#This Row],[Column1]]</f>
        <v>0</v>
      </c>
    </row>
    <row r="276" spans="1:46" x14ac:dyDescent="0.3">
      <c r="A276" s="307">
        <f t="shared" si="93"/>
        <v>0</v>
      </c>
      <c r="B276" s="307">
        <f t="shared" si="82"/>
        <v>0</v>
      </c>
      <c r="C276" s="308" t="s">
        <v>563</v>
      </c>
      <c r="D276" s="309" t="s">
        <v>563</v>
      </c>
      <c r="E276" s="310">
        <v>0</v>
      </c>
      <c r="F276" s="310">
        <v>0</v>
      </c>
      <c r="G276" s="311">
        <v>0</v>
      </c>
      <c r="H276" s="310" t="s">
        <v>563</v>
      </c>
      <c r="I276" s="310" t="s">
        <v>563</v>
      </c>
      <c r="J276" s="310" t="s">
        <v>563</v>
      </c>
      <c r="K276" s="312">
        <v>0</v>
      </c>
      <c r="L276" s="310">
        <v>0</v>
      </c>
      <c r="M276" s="310">
        <v>0</v>
      </c>
      <c r="N276" s="313" t="s">
        <v>563</v>
      </c>
      <c r="O276" s="314" t="s">
        <v>563</v>
      </c>
      <c r="P276" s="307">
        <f t="shared" si="87"/>
        <v>0</v>
      </c>
      <c r="R276" s="91" t="str">
        <f t="shared" si="83"/>
        <v/>
      </c>
      <c r="S276" s="307" t="str">
        <f t="shared" si="88"/>
        <v>BKK.57aaaaaaaaaaaaaaaaaaaaaaaaaaaaaaaaaaaaaaaaaaaaaaaaaaaaaaaaaaaaaaaaaaaaaaaaaaaaaaaaaaaaaaaa</v>
      </c>
      <c r="T276" s="307" t="str">
        <f t="shared" si="89"/>
        <v/>
      </c>
      <c r="U276" s="315" t="str">
        <f t="shared" si="90"/>
        <v/>
      </c>
      <c r="V276" s="307" t="str">
        <f t="shared" si="94"/>
        <v/>
      </c>
      <c r="W276" s="307" t="str">
        <f>IFERROR(IF(V276&gt;0,PROPER(Terbilang1(V276)&amp;" Rupiah"),0),"")</f>
        <v/>
      </c>
      <c r="X276" s="90" t="str">
        <f t="shared" si="95"/>
        <v/>
      </c>
      <c r="Y276" s="307" t="str">
        <f t="shared" si="96"/>
        <v/>
      </c>
      <c r="Z276" s="307">
        <f t="shared" si="91"/>
        <v>0</v>
      </c>
      <c r="AA276" s="366">
        <f t="shared" si="92"/>
        <v>0</v>
      </c>
      <c r="AB276" s="367">
        <f t="shared" si="97"/>
        <v>0</v>
      </c>
      <c r="AC276" s="305">
        <f t="shared" si="98"/>
        <v>0</v>
      </c>
      <c r="AP276" s="89" t="str">
        <f t="shared" si="86"/>
        <v/>
      </c>
      <c r="AQ276" s="89" t="str">
        <f t="shared" si="84"/>
        <v/>
      </c>
      <c r="AR276" s="315" t="str">
        <f t="shared" si="85"/>
        <v/>
      </c>
      <c r="AS276" s="305" t="str">
        <f t="shared" si="99"/>
        <v>0</v>
      </c>
      <c r="AT276" s="307">
        <f>Table22[[#This Row],[Column1]]</f>
        <v>0</v>
      </c>
    </row>
    <row r="277" spans="1:46" x14ac:dyDescent="0.3">
      <c r="A277" s="307">
        <f t="shared" si="93"/>
        <v>0</v>
      </c>
      <c r="B277" s="307">
        <f t="shared" si="82"/>
        <v>0</v>
      </c>
      <c r="C277" s="308" t="s">
        <v>563</v>
      </c>
      <c r="D277" s="309" t="s">
        <v>563</v>
      </c>
      <c r="E277" s="310">
        <v>0</v>
      </c>
      <c r="F277" s="310">
        <v>0</v>
      </c>
      <c r="G277" s="311">
        <v>0</v>
      </c>
      <c r="H277" s="310" t="s">
        <v>563</v>
      </c>
      <c r="I277" s="310" t="s">
        <v>563</v>
      </c>
      <c r="J277" s="310" t="s">
        <v>563</v>
      </c>
      <c r="K277" s="312">
        <v>0</v>
      </c>
      <c r="L277" s="310">
        <v>0</v>
      </c>
      <c r="M277" s="310">
        <v>0</v>
      </c>
      <c r="N277" s="313" t="s">
        <v>563</v>
      </c>
      <c r="O277" s="314" t="s">
        <v>563</v>
      </c>
      <c r="P277" s="307">
        <f t="shared" si="87"/>
        <v>0</v>
      </c>
      <c r="R277" s="91" t="str">
        <f t="shared" si="83"/>
        <v/>
      </c>
      <c r="S277" s="307" t="str">
        <f t="shared" si="88"/>
        <v>BKK.57aaaaaaaaaaaaaaaaaaaaaaaaaaaaaaaaaaaaaaaaaaaaaaaaaaaaaaaaaaaaaaaaaaaaaaaaaaaaaaaaaaaaaaaaa</v>
      </c>
      <c r="T277" s="307" t="str">
        <f t="shared" si="89"/>
        <v/>
      </c>
      <c r="U277" s="315" t="str">
        <f t="shared" si="90"/>
        <v/>
      </c>
      <c r="V277" s="307" t="str">
        <f>N277</f>
        <v/>
      </c>
      <c r="W277" s="307" t="str">
        <f>IFERROR(IF(V277&gt;0,PROPER(Terbilang1(V277)&amp;" Rupiah"),0),"")</f>
        <v/>
      </c>
      <c r="X277" s="90" t="str">
        <f t="shared" si="95"/>
        <v/>
      </c>
      <c r="Y277" s="307" t="str">
        <f t="shared" si="96"/>
        <v/>
      </c>
      <c r="Z277" s="307">
        <f t="shared" si="91"/>
        <v>0</v>
      </c>
      <c r="AA277" s="366">
        <f t="shared" si="92"/>
        <v>0</v>
      </c>
      <c r="AB277" s="367">
        <f t="shared" si="97"/>
        <v>0</v>
      </c>
      <c r="AC277" s="305">
        <f t="shared" si="98"/>
        <v>0</v>
      </c>
      <c r="AP277" s="89" t="str">
        <f t="shared" si="86"/>
        <v/>
      </c>
      <c r="AQ277" s="89" t="str">
        <f t="shared" si="84"/>
        <v/>
      </c>
      <c r="AR277" s="315" t="str">
        <f t="shared" si="85"/>
        <v/>
      </c>
      <c r="AS277" s="305" t="str">
        <f t="shared" si="99"/>
        <v>0</v>
      </c>
      <c r="AT277" s="307">
        <f>Table22[[#This Row],[Column1]]</f>
        <v>0</v>
      </c>
    </row>
    <row r="278" spans="1:46" x14ac:dyDescent="0.3">
      <c r="A278" s="307">
        <f t="shared" si="93"/>
        <v>0</v>
      </c>
      <c r="B278" s="307">
        <f t="shared" si="82"/>
        <v>0</v>
      </c>
      <c r="C278" s="308" t="s">
        <v>563</v>
      </c>
      <c r="D278" s="309" t="s">
        <v>563</v>
      </c>
      <c r="E278" s="310">
        <v>0</v>
      </c>
      <c r="F278" s="310">
        <v>0</v>
      </c>
      <c r="G278" s="311">
        <v>0</v>
      </c>
      <c r="H278" s="310" t="s">
        <v>563</v>
      </c>
      <c r="I278" s="310" t="s">
        <v>563</v>
      </c>
      <c r="J278" s="310" t="s">
        <v>563</v>
      </c>
      <c r="K278" s="312">
        <v>0</v>
      </c>
      <c r="L278" s="310">
        <v>0</v>
      </c>
      <c r="M278" s="310">
        <v>0</v>
      </c>
      <c r="N278" s="313" t="s">
        <v>563</v>
      </c>
      <c r="O278" s="314" t="s">
        <v>563</v>
      </c>
      <c r="P278" s="307">
        <f t="shared" si="87"/>
        <v>0</v>
      </c>
      <c r="R278" s="91" t="str">
        <f t="shared" si="83"/>
        <v/>
      </c>
      <c r="S278" s="307" t="str">
        <f t="shared" si="88"/>
        <v>BKK.57aaaaaaaaaaaaaaaaaaaaaaaaaaaaaaaaaaaaaaaaaaaaaaaaaaaaaaaaaaaaaaaaaaaaaaaaaaaaaaaaaaaaaaaaaa</v>
      </c>
      <c r="T278" s="307" t="str">
        <f t="shared" si="89"/>
        <v/>
      </c>
      <c r="U278" s="315" t="str">
        <f t="shared" si="90"/>
        <v/>
      </c>
      <c r="V278" s="307" t="str">
        <f t="shared" si="94"/>
        <v/>
      </c>
      <c r="W278" s="307" t="str">
        <f>IFERROR(IF(V278&gt;0,PROPER(Terbilang1(V278)&amp;" Rupiah"),0),"")</f>
        <v/>
      </c>
      <c r="X278" s="90" t="str">
        <f t="shared" si="95"/>
        <v/>
      </c>
      <c r="Y278" s="307" t="str">
        <f t="shared" si="96"/>
        <v/>
      </c>
      <c r="Z278" s="307">
        <f t="shared" si="91"/>
        <v>0</v>
      </c>
      <c r="AA278" s="366">
        <f t="shared" si="92"/>
        <v>0</v>
      </c>
      <c r="AB278" s="367">
        <f t="shared" si="97"/>
        <v>0</v>
      </c>
      <c r="AC278" s="305">
        <f t="shared" si="98"/>
        <v>0</v>
      </c>
      <c r="AP278" s="89" t="str">
        <f t="shared" si="86"/>
        <v/>
      </c>
      <c r="AQ278" s="89" t="str">
        <f t="shared" si="84"/>
        <v/>
      </c>
      <c r="AR278" s="315" t="str">
        <f t="shared" si="85"/>
        <v/>
      </c>
      <c r="AS278" s="305" t="str">
        <f t="shared" si="99"/>
        <v>0</v>
      </c>
      <c r="AT278" s="307">
        <f>Table22[[#This Row],[Column1]]</f>
        <v>0</v>
      </c>
    </row>
    <row r="279" spans="1:46" x14ac:dyDescent="0.3">
      <c r="A279" s="307">
        <f t="shared" si="93"/>
        <v>0</v>
      </c>
      <c r="B279" s="307">
        <f t="shared" si="82"/>
        <v>0</v>
      </c>
      <c r="C279" s="308" t="s">
        <v>563</v>
      </c>
      <c r="D279" s="309" t="s">
        <v>563</v>
      </c>
      <c r="E279" s="310">
        <v>0</v>
      </c>
      <c r="F279" s="310">
        <v>0</v>
      </c>
      <c r="G279" s="311">
        <v>0</v>
      </c>
      <c r="H279" s="310" t="s">
        <v>563</v>
      </c>
      <c r="I279" s="310" t="s">
        <v>563</v>
      </c>
      <c r="J279" s="310" t="s">
        <v>563</v>
      </c>
      <c r="K279" s="312">
        <v>0</v>
      </c>
      <c r="L279" s="310">
        <v>0</v>
      </c>
      <c r="M279" s="310">
        <v>0</v>
      </c>
      <c r="N279" s="313" t="s">
        <v>563</v>
      </c>
      <c r="O279" s="314" t="s">
        <v>563</v>
      </c>
      <c r="P279" s="307">
        <f t="shared" si="87"/>
        <v>0</v>
      </c>
      <c r="R279" s="91" t="str">
        <f t="shared" si="83"/>
        <v/>
      </c>
      <c r="S279" s="307" t="str">
        <f t="shared" si="88"/>
        <v>BKK.57aaaaaaaaaaaaaaaaaaaaaaaaaaaaaaaaaaaaaaaaaaaaaaaaaaaaaaaaaaaaaaaaaaaaaaaaaaaaaaaaaaaaaaaaaaa</v>
      </c>
      <c r="T279" s="307" t="str">
        <f t="shared" si="89"/>
        <v/>
      </c>
      <c r="U279" s="315" t="str">
        <f t="shared" si="90"/>
        <v/>
      </c>
      <c r="V279" s="307" t="str">
        <f>N279</f>
        <v/>
      </c>
      <c r="W279" s="307" t="str">
        <f>IFERROR(IF(V279&gt;0,PROPER(Terbilang1(V279)&amp;" Rupiah"),0),"")</f>
        <v/>
      </c>
      <c r="X279" s="90" t="str">
        <f t="shared" si="95"/>
        <v/>
      </c>
      <c r="Y279" s="307" t="str">
        <f t="shared" si="96"/>
        <v/>
      </c>
      <c r="Z279" s="307">
        <f t="shared" si="91"/>
        <v>0</v>
      </c>
      <c r="AA279" s="366">
        <f t="shared" si="92"/>
        <v>0</v>
      </c>
      <c r="AB279" s="367">
        <f t="shared" si="97"/>
        <v>0</v>
      </c>
      <c r="AC279" s="305">
        <f t="shared" si="98"/>
        <v>0</v>
      </c>
      <c r="AP279" s="89" t="str">
        <f t="shared" si="86"/>
        <v/>
      </c>
      <c r="AQ279" s="89" t="str">
        <f t="shared" si="84"/>
        <v/>
      </c>
      <c r="AR279" s="315" t="str">
        <f t="shared" si="85"/>
        <v/>
      </c>
      <c r="AS279" s="305" t="str">
        <f t="shared" si="99"/>
        <v>0</v>
      </c>
      <c r="AT279" s="307">
        <f>Table22[[#This Row],[Column1]]</f>
        <v>0</v>
      </c>
    </row>
    <row r="280" spans="1:46" x14ac:dyDescent="0.3">
      <c r="A280" s="307">
        <f t="shared" si="93"/>
        <v>0</v>
      </c>
      <c r="B280" s="307">
        <f t="shared" si="82"/>
        <v>0</v>
      </c>
      <c r="C280" s="308" t="s">
        <v>563</v>
      </c>
      <c r="D280" s="309" t="s">
        <v>563</v>
      </c>
      <c r="E280" s="310">
        <v>0</v>
      </c>
      <c r="F280" s="310">
        <v>0</v>
      </c>
      <c r="G280" s="311">
        <v>0</v>
      </c>
      <c r="H280" s="310" t="s">
        <v>563</v>
      </c>
      <c r="I280" s="310" t="s">
        <v>563</v>
      </c>
      <c r="J280" s="310" t="s">
        <v>563</v>
      </c>
      <c r="K280" s="312">
        <v>0</v>
      </c>
      <c r="L280" s="310">
        <v>0</v>
      </c>
      <c r="M280" s="310">
        <v>0</v>
      </c>
      <c r="N280" s="313" t="s">
        <v>563</v>
      </c>
      <c r="O280" s="314" t="s">
        <v>563</v>
      </c>
      <c r="P280" s="307">
        <f t="shared" si="87"/>
        <v>0</v>
      </c>
      <c r="R280" s="91" t="str">
        <f t="shared" si="83"/>
        <v/>
      </c>
      <c r="S280" s="307" t="str">
        <f t="shared" si="88"/>
        <v>BKK.57aaaaaaaaaaaaaaaaaaaaaaaaaaaaaaaaaaaaaaaaaaaaaaaaaaaaaaaaaaaaaaaaaaaaaaaaaaaaaaaaaaaaaaaaaaaa</v>
      </c>
      <c r="T280" s="307" t="str">
        <f t="shared" si="89"/>
        <v/>
      </c>
      <c r="U280" s="315" t="str">
        <f t="shared" si="90"/>
        <v/>
      </c>
      <c r="V280" s="307" t="str">
        <f t="shared" si="94"/>
        <v/>
      </c>
      <c r="W280" s="307" t="str">
        <f>IFERROR(IF(V280&gt;0,PROPER(Terbilang1(V280)&amp;" Rupiah"),0),"")</f>
        <v/>
      </c>
      <c r="X280" s="90" t="str">
        <f t="shared" si="95"/>
        <v/>
      </c>
      <c r="Y280" s="307" t="str">
        <f t="shared" si="96"/>
        <v/>
      </c>
      <c r="Z280" s="307">
        <f t="shared" si="91"/>
        <v>0</v>
      </c>
      <c r="AA280" s="366">
        <f t="shared" si="92"/>
        <v>0</v>
      </c>
      <c r="AB280" s="367">
        <f t="shared" si="97"/>
        <v>0</v>
      </c>
      <c r="AC280" s="305">
        <f t="shared" si="98"/>
        <v>0</v>
      </c>
      <c r="AP280" s="89" t="str">
        <f t="shared" si="86"/>
        <v/>
      </c>
      <c r="AQ280" s="89" t="str">
        <f t="shared" si="84"/>
        <v/>
      </c>
      <c r="AR280" s="315" t="str">
        <f t="shared" si="85"/>
        <v/>
      </c>
      <c r="AS280" s="305" t="str">
        <f t="shared" si="99"/>
        <v>0</v>
      </c>
      <c r="AT280" s="307">
        <f>Table22[[#This Row],[Column1]]</f>
        <v>0</v>
      </c>
    </row>
    <row r="281" spans="1:46" x14ac:dyDescent="0.3">
      <c r="A281" s="307">
        <f t="shared" si="93"/>
        <v>0</v>
      </c>
      <c r="B281" s="307">
        <f t="shared" si="82"/>
        <v>0</v>
      </c>
      <c r="C281" s="308" t="s">
        <v>563</v>
      </c>
      <c r="D281" s="309" t="s">
        <v>563</v>
      </c>
      <c r="E281" s="310">
        <v>0</v>
      </c>
      <c r="F281" s="310">
        <v>0</v>
      </c>
      <c r="G281" s="311">
        <v>0</v>
      </c>
      <c r="H281" s="310" t="s">
        <v>563</v>
      </c>
      <c r="I281" s="310" t="s">
        <v>563</v>
      </c>
      <c r="J281" s="310" t="s">
        <v>563</v>
      </c>
      <c r="K281" s="312">
        <v>0</v>
      </c>
      <c r="L281" s="310">
        <v>0</v>
      </c>
      <c r="M281" s="310">
        <v>0</v>
      </c>
      <c r="N281" s="313" t="s">
        <v>563</v>
      </c>
      <c r="O281" s="314" t="s">
        <v>563</v>
      </c>
      <c r="P281" s="307">
        <f t="shared" si="87"/>
        <v>0</v>
      </c>
      <c r="R281" s="91" t="str">
        <f t="shared" si="83"/>
        <v/>
      </c>
      <c r="S281" s="307" t="str">
        <f t="shared" si="88"/>
        <v>BKK.57aaaaaaaaaaaaaaaaaaaaaaaaaaaaaaaaaaaaaaaaaaaaaaaaaaaaaaaaaaaaaaaaaaaaaaaaaaaaaaaaaaaaaaaaaaaaa</v>
      </c>
      <c r="T281" s="307" t="str">
        <f t="shared" si="89"/>
        <v/>
      </c>
      <c r="U281" s="315" t="str">
        <f t="shared" si="90"/>
        <v/>
      </c>
      <c r="V281" s="307" t="str">
        <f t="shared" si="94"/>
        <v/>
      </c>
      <c r="W281" s="307" t="str">
        <f>IFERROR(IF(V281&gt;0,PROPER(Terbilang1(V281)&amp;" Rupiah"),0),"")</f>
        <v/>
      </c>
      <c r="X281" s="90" t="str">
        <f t="shared" si="95"/>
        <v/>
      </c>
      <c r="Y281" s="307" t="str">
        <f t="shared" si="96"/>
        <v/>
      </c>
      <c r="Z281" s="307">
        <f t="shared" si="91"/>
        <v>0</v>
      </c>
      <c r="AA281" s="366">
        <f t="shared" si="92"/>
        <v>0</v>
      </c>
      <c r="AB281" s="367">
        <f t="shared" si="97"/>
        <v>0</v>
      </c>
      <c r="AC281" s="305">
        <f t="shared" si="98"/>
        <v>0</v>
      </c>
      <c r="AP281" s="89" t="str">
        <f t="shared" si="86"/>
        <v/>
      </c>
      <c r="AQ281" s="89" t="str">
        <f t="shared" si="84"/>
        <v/>
      </c>
      <c r="AR281" s="315" t="str">
        <f t="shared" si="85"/>
        <v/>
      </c>
      <c r="AS281" s="305" t="str">
        <f t="shared" si="99"/>
        <v>0</v>
      </c>
      <c r="AT281" s="307">
        <f>Table22[[#This Row],[Column1]]</f>
        <v>0</v>
      </c>
    </row>
    <row r="282" spans="1:46" x14ac:dyDescent="0.3">
      <c r="A282" s="307">
        <f t="shared" si="93"/>
        <v>0</v>
      </c>
      <c r="B282" s="307">
        <f t="shared" si="82"/>
        <v>0</v>
      </c>
      <c r="C282" s="308" t="s">
        <v>563</v>
      </c>
      <c r="D282" s="309" t="s">
        <v>563</v>
      </c>
      <c r="E282" s="310">
        <v>0</v>
      </c>
      <c r="F282" s="310">
        <v>0</v>
      </c>
      <c r="G282" s="311">
        <v>0</v>
      </c>
      <c r="H282" s="310" t="s">
        <v>563</v>
      </c>
      <c r="I282" s="310" t="s">
        <v>563</v>
      </c>
      <c r="J282" s="310" t="s">
        <v>563</v>
      </c>
      <c r="K282" s="312">
        <v>0</v>
      </c>
      <c r="L282" s="310">
        <v>0</v>
      </c>
      <c r="M282" s="310">
        <v>0</v>
      </c>
      <c r="N282" s="313" t="s">
        <v>563</v>
      </c>
      <c r="O282" s="314" t="s">
        <v>563</v>
      </c>
      <c r="P282" s="307">
        <f t="shared" si="87"/>
        <v>0</v>
      </c>
      <c r="R282" s="91" t="str">
        <f t="shared" si="83"/>
        <v/>
      </c>
      <c r="S282" s="307" t="str">
        <f t="shared" si="88"/>
        <v>BKK.57aaaaaaaaaaaaaaaaaaaaaaaaaaaaaaaaaaaaaaaaaaaaaaaaaaaaaaaaaaaaaaaaaaaaaaaaaaaaaaaaaaaaaaaaaaaaaa</v>
      </c>
      <c r="T282" s="307" t="str">
        <f t="shared" si="89"/>
        <v/>
      </c>
      <c r="U282" s="315" t="str">
        <f t="shared" si="90"/>
        <v/>
      </c>
      <c r="V282" s="307" t="str">
        <f t="shared" si="94"/>
        <v/>
      </c>
      <c r="W282" s="307" t="str">
        <f>IFERROR(IF(V282&gt;0,PROPER(Terbilang1(V282)&amp;" Rupiah"),0),"")</f>
        <v/>
      </c>
      <c r="X282" s="90" t="str">
        <f t="shared" si="95"/>
        <v/>
      </c>
      <c r="Y282" s="307" t="str">
        <f t="shared" si="96"/>
        <v/>
      </c>
      <c r="Z282" s="307">
        <f t="shared" si="91"/>
        <v>0</v>
      </c>
      <c r="AA282" s="366">
        <f t="shared" si="92"/>
        <v>0</v>
      </c>
      <c r="AB282" s="367">
        <f t="shared" si="97"/>
        <v>0</v>
      </c>
      <c r="AC282" s="305">
        <f t="shared" si="98"/>
        <v>0</v>
      </c>
      <c r="AP282" s="89" t="str">
        <f t="shared" si="86"/>
        <v/>
      </c>
      <c r="AQ282" s="89" t="str">
        <f t="shared" si="84"/>
        <v/>
      </c>
      <c r="AR282" s="315" t="str">
        <f t="shared" si="85"/>
        <v/>
      </c>
      <c r="AS282" s="305" t="str">
        <f t="shared" si="99"/>
        <v>0</v>
      </c>
      <c r="AT282" s="307">
        <f>Table22[[#This Row],[Column1]]</f>
        <v>0</v>
      </c>
    </row>
    <row r="283" spans="1:46" x14ac:dyDescent="0.3">
      <c r="A283" s="307">
        <f t="shared" si="93"/>
        <v>0</v>
      </c>
      <c r="B283" s="307">
        <f t="shared" si="82"/>
        <v>0</v>
      </c>
      <c r="C283" s="308" t="s">
        <v>563</v>
      </c>
      <c r="D283" s="309" t="s">
        <v>563</v>
      </c>
      <c r="E283" s="310">
        <v>0</v>
      </c>
      <c r="F283" s="310">
        <v>0</v>
      </c>
      <c r="G283" s="311">
        <v>0</v>
      </c>
      <c r="H283" s="310" t="s">
        <v>563</v>
      </c>
      <c r="I283" s="310" t="s">
        <v>563</v>
      </c>
      <c r="J283" s="310" t="s">
        <v>563</v>
      </c>
      <c r="K283" s="312">
        <v>0</v>
      </c>
      <c r="L283" s="310">
        <v>0</v>
      </c>
      <c r="M283" s="310">
        <v>0</v>
      </c>
      <c r="N283" s="313" t="s">
        <v>563</v>
      </c>
      <c r="O283" s="314" t="s">
        <v>563</v>
      </c>
      <c r="P283" s="307">
        <f t="shared" si="87"/>
        <v>0</v>
      </c>
      <c r="R283" s="91" t="str">
        <f t="shared" si="83"/>
        <v/>
      </c>
      <c r="S283" s="307" t="str">
        <f t="shared" si="88"/>
        <v>BKK.57aaaaaaaaaaaaaaaaaaaaaaaaaaaaaaaaaaaaaaaaaaaaaaaaaaaaaaaaaaaaaaaaaaaaaaaaaaaaaaaaaaaaaaaaaaaaaaa</v>
      </c>
      <c r="T283" s="307" t="str">
        <f t="shared" si="89"/>
        <v/>
      </c>
      <c r="U283" s="315" t="str">
        <f t="shared" si="90"/>
        <v/>
      </c>
      <c r="V283" s="307" t="str">
        <f t="shared" si="94"/>
        <v/>
      </c>
      <c r="W283" s="307" t="str">
        <f>IFERROR(IF(V283&gt;0,PROPER(Terbilang1(V283)&amp;" Rupiah"),0),"")</f>
        <v/>
      </c>
      <c r="X283" s="90" t="str">
        <f t="shared" si="95"/>
        <v/>
      </c>
      <c r="Y283" s="307" t="str">
        <f t="shared" si="96"/>
        <v/>
      </c>
      <c r="Z283" s="307">
        <f t="shared" si="91"/>
        <v>0</v>
      </c>
      <c r="AA283" s="366">
        <f t="shared" si="92"/>
        <v>0</v>
      </c>
      <c r="AB283" s="367">
        <f t="shared" si="97"/>
        <v>0</v>
      </c>
      <c r="AC283" s="305">
        <f t="shared" si="98"/>
        <v>0</v>
      </c>
      <c r="AP283" s="89" t="str">
        <f t="shared" si="86"/>
        <v/>
      </c>
      <c r="AQ283" s="89" t="str">
        <f t="shared" si="84"/>
        <v/>
      </c>
      <c r="AR283" s="315" t="str">
        <f t="shared" si="85"/>
        <v/>
      </c>
      <c r="AS283" s="305" t="str">
        <f t="shared" si="99"/>
        <v>0</v>
      </c>
      <c r="AT283" s="307">
        <f>Table22[[#This Row],[Column1]]</f>
        <v>0</v>
      </c>
    </row>
    <row r="284" spans="1:46" x14ac:dyDescent="0.3">
      <c r="A284" s="307">
        <f t="shared" si="93"/>
        <v>0</v>
      </c>
      <c r="B284" s="307">
        <f t="shared" si="82"/>
        <v>0</v>
      </c>
      <c r="C284" s="308" t="s">
        <v>563</v>
      </c>
      <c r="D284" s="309" t="s">
        <v>563</v>
      </c>
      <c r="E284" s="310">
        <v>0</v>
      </c>
      <c r="F284" s="310">
        <v>0</v>
      </c>
      <c r="G284" s="311">
        <v>0</v>
      </c>
      <c r="H284" s="310" t="s">
        <v>563</v>
      </c>
      <c r="I284" s="310" t="s">
        <v>563</v>
      </c>
      <c r="J284" s="310" t="s">
        <v>563</v>
      </c>
      <c r="K284" s="312">
        <v>0</v>
      </c>
      <c r="L284" s="310">
        <v>0</v>
      </c>
      <c r="M284" s="310">
        <v>0</v>
      </c>
      <c r="N284" s="313" t="s">
        <v>563</v>
      </c>
      <c r="O284" s="314" t="s">
        <v>563</v>
      </c>
      <c r="P284" s="307">
        <f t="shared" si="87"/>
        <v>0</v>
      </c>
      <c r="R284" s="91" t="str">
        <f t="shared" si="83"/>
        <v/>
      </c>
      <c r="S284" s="307" t="str">
        <f t="shared" si="88"/>
        <v>BKK.57aaaaaaaaaaaaaaaaaaaaaaaaaaaaaaaaaaaaaaaaaaaaaaaaaaaaaaaaaaaaaaaaaaaaaaaaaaaaaaaaaaaaaaaaaaaaaaaa</v>
      </c>
      <c r="T284" s="307" t="str">
        <f t="shared" si="89"/>
        <v/>
      </c>
      <c r="U284" s="315" t="str">
        <f t="shared" si="90"/>
        <v/>
      </c>
      <c r="V284" s="307" t="str">
        <f t="shared" si="94"/>
        <v/>
      </c>
      <c r="W284" s="307" t="str">
        <f>IFERROR(IF(V284&gt;0,PROPER(Terbilang1(V284)&amp;" Rupiah"),0),"")</f>
        <v/>
      </c>
      <c r="X284" s="90" t="str">
        <f t="shared" si="95"/>
        <v/>
      </c>
      <c r="Y284" s="307" t="str">
        <f t="shared" si="96"/>
        <v/>
      </c>
      <c r="Z284" s="307">
        <f t="shared" si="91"/>
        <v>0</v>
      </c>
      <c r="AA284" s="366">
        <f t="shared" si="92"/>
        <v>0</v>
      </c>
      <c r="AB284" s="367">
        <f t="shared" si="97"/>
        <v>0</v>
      </c>
      <c r="AC284" s="305">
        <f t="shared" si="98"/>
        <v>0</v>
      </c>
      <c r="AP284" s="89" t="str">
        <f t="shared" si="86"/>
        <v/>
      </c>
      <c r="AQ284" s="89" t="str">
        <f t="shared" si="84"/>
        <v/>
      </c>
      <c r="AR284" s="315" t="str">
        <f t="shared" si="85"/>
        <v/>
      </c>
      <c r="AS284" s="305" t="str">
        <f t="shared" si="99"/>
        <v>0</v>
      </c>
      <c r="AT284" s="307">
        <f>Table22[[#This Row],[Column1]]</f>
        <v>0</v>
      </c>
    </row>
    <row r="285" spans="1:46" x14ac:dyDescent="0.3">
      <c r="A285" s="307">
        <f t="shared" si="93"/>
        <v>0</v>
      </c>
      <c r="B285" s="307">
        <f t="shared" si="82"/>
        <v>0</v>
      </c>
      <c r="C285" s="308" t="s">
        <v>563</v>
      </c>
      <c r="D285" s="309" t="s">
        <v>563</v>
      </c>
      <c r="E285" s="310">
        <v>0</v>
      </c>
      <c r="F285" s="310">
        <v>0</v>
      </c>
      <c r="G285" s="311">
        <v>0</v>
      </c>
      <c r="H285" s="310" t="s">
        <v>563</v>
      </c>
      <c r="I285" s="310" t="s">
        <v>563</v>
      </c>
      <c r="J285" s="310" t="s">
        <v>563</v>
      </c>
      <c r="K285" s="312">
        <v>0</v>
      </c>
      <c r="L285" s="310">
        <v>0</v>
      </c>
      <c r="M285" s="310">
        <v>0</v>
      </c>
      <c r="N285" s="313" t="s">
        <v>563</v>
      </c>
      <c r="O285" s="314" t="s">
        <v>563</v>
      </c>
      <c r="P285" s="307">
        <f t="shared" si="87"/>
        <v>0</v>
      </c>
      <c r="R285" s="91" t="str">
        <f t="shared" si="83"/>
        <v/>
      </c>
      <c r="S285" s="307" t="str">
        <f t="shared" si="88"/>
        <v>BKK.57aaaaaaaaaaaaaaaaaaaaaaaaaaaaaaaaaaaaaaaaaaaaaaaaaaaaaaaaaaaaaaaaaaaaaaaaaaaaaaaaaaaaaaaaaaaaaaaaa</v>
      </c>
      <c r="T285" s="307" t="str">
        <f t="shared" si="89"/>
        <v/>
      </c>
      <c r="U285" s="315" t="str">
        <f t="shared" si="90"/>
        <v/>
      </c>
      <c r="V285" s="307" t="str">
        <f>N285</f>
        <v/>
      </c>
      <c r="W285" s="307" t="str">
        <f>IFERROR(IF(V285&gt;0,PROPER(Terbilang1(V285)&amp;" Rupiah"),0),"")</f>
        <v/>
      </c>
      <c r="X285" s="90" t="str">
        <f t="shared" si="95"/>
        <v/>
      </c>
      <c r="Y285" s="307" t="str">
        <f t="shared" si="96"/>
        <v/>
      </c>
      <c r="Z285" s="307">
        <f t="shared" si="91"/>
        <v>0</v>
      </c>
      <c r="AA285" s="366">
        <f t="shared" si="92"/>
        <v>0</v>
      </c>
      <c r="AB285" s="367">
        <f t="shared" si="97"/>
        <v>0</v>
      </c>
      <c r="AC285" s="305">
        <f t="shared" si="98"/>
        <v>0</v>
      </c>
      <c r="AP285" s="89" t="str">
        <f t="shared" si="86"/>
        <v/>
      </c>
      <c r="AQ285" s="89" t="str">
        <f t="shared" si="84"/>
        <v/>
      </c>
      <c r="AR285" s="315" t="str">
        <f t="shared" si="85"/>
        <v/>
      </c>
      <c r="AS285" s="305" t="str">
        <f t="shared" si="99"/>
        <v>0</v>
      </c>
      <c r="AT285" s="307">
        <f>Table22[[#This Row],[Column1]]</f>
        <v>0</v>
      </c>
    </row>
    <row r="286" spans="1:46" x14ac:dyDescent="0.3">
      <c r="A286" s="307">
        <f t="shared" si="93"/>
        <v>0</v>
      </c>
      <c r="B286" s="307">
        <f t="shared" si="82"/>
        <v>0</v>
      </c>
      <c r="C286" s="308" t="s">
        <v>563</v>
      </c>
      <c r="D286" s="309" t="s">
        <v>563</v>
      </c>
      <c r="E286" s="310">
        <v>0</v>
      </c>
      <c r="F286" s="310">
        <v>0</v>
      </c>
      <c r="G286" s="311">
        <v>0</v>
      </c>
      <c r="H286" s="310" t="s">
        <v>563</v>
      </c>
      <c r="I286" s="310" t="s">
        <v>563</v>
      </c>
      <c r="J286" s="310" t="s">
        <v>563</v>
      </c>
      <c r="K286" s="312">
        <v>0</v>
      </c>
      <c r="L286" s="310">
        <v>0</v>
      </c>
      <c r="M286" s="310">
        <v>0</v>
      </c>
      <c r="N286" s="313" t="s">
        <v>563</v>
      </c>
      <c r="O286" s="314" t="s">
        <v>563</v>
      </c>
      <c r="P286" s="307">
        <f t="shared" si="87"/>
        <v>0</v>
      </c>
      <c r="R286" s="91" t="str">
        <f t="shared" si="83"/>
        <v/>
      </c>
      <c r="S286" s="307" t="str">
        <f t="shared" si="88"/>
        <v>BKK.57aaaaaaaaaaaaaaaaaaaaaaaaaaaaaaaaaaaaaaaaaaaaaaaaaaaaaaaaaaaaaaaaaaaaaaaaaaaaaaaaaaaaaaaaaaaaaaaaaa</v>
      </c>
      <c r="T286" s="307" t="str">
        <f t="shared" si="89"/>
        <v/>
      </c>
      <c r="U286" s="315" t="str">
        <f t="shared" si="90"/>
        <v/>
      </c>
      <c r="V286" s="307" t="str">
        <f t="shared" si="94"/>
        <v/>
      </c>
      <c r="W286" s="307" t="str">
        <f>IFERROR(IF(V286&gt;0,PROPER(Terbilang1(V286)&amp;" Rupiah"),0),"")</f>
        <v/>
      </c>
      <c r="X286" s="90" t="str">
        <f t="shared" si="95"/>
        <v/>
      </c>
      <c r="Y286" s="307" t="str">
        <f t="shared" si="96"/>
        <v/>
      </c>
      <c r="Z286" s="307">
        <f t="shared" si="91"/>
        <v>0</v>
      </c>
      <c r="AA286" s="366">
        <f t="shared" si="92"/>
        <v>0</v>
      </c>
      <c r="AB286" s="367">
        <f t="shared" si="97"/>
        <v>0</v>
      </c>
      <c r="AC286" s="305">
        <f t="shared" si="98"/>
        <v>0</v>
      </c>
      <c r="AP286" s="89" t="str">
        <f t="shared" si="86"/>
        <v/>
      </c>
      <c r="AQ286" s="89" t="str">
        <f t="shared" si="84"/>
        <v/>
      </c>
      <c r="AR286" s="315" t="str">
        <f t="shared" si="85"/>
        <v/>
      </c>
      <c r="AS286" s="305" t="str">
        <f t="shared" si="99"/>
        <v>0</v>
      </c>
      <c r="AT286" s="307">
        <f>Table22[[#This Row],[Column1]]</f>
        <v>0</v>
      </c>
    </row>
    <row r="287" spans="1:46" x14ac:dyDescent="0.3">
      <c r="A287" s="307">
        <f t="shared" si="93"/>
        <v>0</v>
      </c>
      <c r="B287" s="307">
        <f t="shared" si="82"/>
        <v>0</v>
      </c>
      <c r="C287" s="308" t="s">
        <v>563</v>
      </c>
      <c r="D287" s="309" t="s">
        <v>563</v>
      </c>
      <c r="E287" s="310">
        <v>0</v>
      </c>
      <c r="F287" s="310">
        <v>0</v>
      </c>
      <c r="G287" s="311">
        <v>0</v>
      </c>
      <c r="H287" s="310" t="s">
        <v>563</v>
      </c>
      <c r="I287" s="310" t="s">
        <v>563</v>
      </c>
      <c r="J287" s="310" t="s">
        <v>563</v>
      </c>
      <c r="K287" s="312">
        <v>0</v>
      </c>
      <c r="L287" s="310">
        <v>0</v>
      </c>
      <c r="M287" s="310">
        <v>0</v>
      </c>
      <c r="N287" s="313" t="s">
        <v>563</v>
      </c>
      <c r="O287" s="314" t="s">
        <v>563</v>
      </c>
      <c r="P287" s="307">
        <f t="shared" si="87"/>
        <v>0</v>
      </c>
      <c r="R287" s="91" t="str">
        <f t="shared" si="83"/>
        <v/>
      </c>
      <c r="S287" s="307" t="str">
        <f t="shared" si="88"/>
        <v>BKK.57aaaaaaaaaaaaaaaaaaaaaaaaaaaaaaaaaaaaaaaaaaaaaaaaaaaaaaaaaaaaaaaaaaaaaaaaaaaaaaaaaaaaaaaaaaaaaaaaaaa</v>
      </c>
      <c r="T287" s="307" t="str">
        <f t="shared" si="89"/>
        <v/>
      </c>
      <c r="U287" s="315" t="str">
        <f t="shared" si="90"/>
        <v/>
      </c>
      <c r="V287" s="307" t="str">
        <f t="shared" si="94"/>
        <v/>
      </c>
      <c r="W287" s="307" t="str">
        <f>IFERROR(IF(V287&gt;0,PROPER(Terbilang1(V287)&amp;" Rupiah"),0),"")</f>
        <v/>
      </c>
      <c r="X287" s="90" t="str">
        <f t="shared" si="95"/>
        <v/>
      </c>
      <c r="Y287" s="307" t="str">
        <f t="shared" si="96"/>
        <v/>
      </c>
      <c r="Z287" s="307">
        <f t="shared" si="91"/>
        <v>0</v>
      </c>
      <c r="AA287" s="366">
        <f t="shared" si="92"/>
        <v>0</v>
      </c>
      <c r="AB287" s="367">
        <f t="shared" si="97"/>
        <v>0</v>
      </c>
      <c r="AC287" s="305">
        <f t="shared" si="98"/>
        <v>0</v>
      </c>
      <c r="AP287" s="89" t="str">
        <f t="shared" si="86"/>
        <v/>
      </c>
      <c r="AQ287" s="89" t="str">
        <f t="shared" si="84"/>
        <v/>
      </c>
      <c r="AR287" s="315" t="str">
        <f t="shared" si="85"/>
        <v/>
      </c>
      <c r="AS287" s="305" t="str">
        <f t="shared" si="99"/>
        <v>0</v>
      </c>
      <c r="AT287" s="307">
        <f>Table22[[#This Row],[Column1]]</f>
        <v>0</v>
      </c>
    </row>
    <row r="288" spans="1:46" x14ac:dyDescent="0.3">
      <c r="A288" s="307">
        <f t="shared" si="93"/>
        <v>0</v>
      </c>
      <c r="B288" s="307">
        <f t="shared" si="82"/>
        <v>0</v>
      </c>
      <c r="C288" s="308" t="s">
        <v>563</v>
      </c>
      <c r="D288" s="309" t="s">
        <v>563</v>
      </c>
      <c r="E288" s="310">
        <v>0</v>
      </c>
      <c r="F288" s="310">
        <v>0</v>
      </c>
      <c r="G288" s="311">
        <v>0</v>
      </c>
      <c r="H288" s="310" t="s">
        <v>563</v>
      </c>
      <c r="I288" s="310" t="s">
        <v>563</v>
      </c>
      <c r="J288" s="310" t="s">
        <v>563</v>
      </c>
      <c r="K288" s="312">
        <v>0</v>
      </c>
      <c r="L288" s="310">
        <v>0</v>
      </c>
      <c r="M288" s="310">
        <v>0</v>
      </c>
      <c r="N288" s="313" t="s">
        <v>563</v>
      </c>
      <c r="O288" s="314" t="s">
        <v>563</v>
      </c>
      <c r="P288" s="307">
        <f t="shared" si="87"/>
        <v>0</v>
      </c>
      <c r="R288" s="91" t="str">
        <f t="shared" si="83"/>
        <v/>
      </c>
      <c r="S288" s="307" t="str">
        <f t="shared" si="88"/>
        <v>BKK.57aaaaaaaaaaaaaaaaaaaaaaaaaaaaaaaaaaaaaaaaaaaaaaaaaaaaaaaaaaaaaaaaaaaaaaaaaaaaaaaaaaaaaaaaaaaaaaaaaaaa</v>
      </c>
      <c r="T288" s="307" t="str">
        <f t="shared" si="89"/>
        <v/>
      </c>
      <c r="U288" s="315" t="str">
        <f t="shared" si="90"/>
        <v/>
      </c>
      <c r="V288" s="307" t="str">
        <f>N288</f>
        <v/>
      </c>
      <c r="W288" s="307" t="str">
        <f>IFERROR(IF(V288&gt;0,PROPER(Terbilang1(V288)&amp;" Rupiah"),0),"")</f>
        <v/>
      </c>
      <c r="X288" s="90" t="str">
        <f t="shared" si="95"/>
        <v/>
      </c>
      <c r="Y288" s="307" t="str">
        <f t="shared" si="96"/>
        <v/>
      </c>
      <c r="Z288" s="307">
        <f t="shared" si="91"/>
        <v>0</v>
      </c>
      <c r="AA288" s="366">
        <f t="shared" si="92"/>
        <v>0</v>
      </c>
      <c r="AB288" s="367">
        <f t="shared" si="97"/>
        <v>0</v>
      </c>
      <c r="AC288" s="305">
        <f t="shared" si="98"/>
        <v>0</v>
      </c>
      <c r="AP288" s="89" t="str">
        <f t="shared" si="86"/>
        <v/>
      </c>
      <c r="AQ288" s="89" t="str">
        <f t="shared" si="84"/>
        <v/>
      </c>
      <c r="AR288" s="315" t="str">
        <f t="shared" si="85"/>
        <v/>
      </c>
      <c r="AS288" s="305" t="str">
        <f t="shared" si="99"/>
        <v>0</v>
      </c>
      <c r="AT288" s="307">
        <f>Table22[[#This Row],[Column1]]</f>
        <v>0</v>
      </c>
    </row>
    <row r="289" spans="1:46" x14ac:dyDescent="0.3">
      <c r="A289" s="307">
        <f t="shared" si="93"/>
        <v>0</v>
      </c>
      <c r="B289" s="307">
        <f t="shared" si="82"/>
        <v>0</v>
      </c>
      <c r="C289" s="308" t="s">
        <v>563</v>
      </c>
      <c r="D289" s="309" t="s">
        <v>563</v>
      </c>
      <c r="E289" s="310">
        <v>0</v>
      </c>
      <c r="F289" s="310">
        <v>0</v>
      </c>
      <c r="G289" s="311">
        <v>0</v>
      </c>
      <c r="H289" s="310" t="s">
        <v>563</v>
      </c>
      <c r="I289" s="310" t="s">
        <v>563</v>
      </c>
      <c r="J289" s="310" t="s">
        <v>563</v>
      </c>
      <c r="K289" s="312">
        <v>0</v>
      </c>
      <c r="L289" s="310">
        <v>0</v>
      </c>
      <c r="M289" s="310">
        <v>0</v>
      </c>
      <c r="N289" s="313" t="s">
        <v>563</v>
      </c>
      <c r="O289" s="314" t="s">
        <v>563</v>
      </c>
      <c r="P289" s="307">
        <f t="shared" si="87"/>
        <v>0</v>
      </c>
      <c r="R289" s="91" t="str">
        <f t="shared" si="83"/>
        <v/>
      </c>
      <c r="S289" s="307" t="str">
        <f t="shared" si="88"/>
        <v>BKK.57aaaaaaaaaaaaaaaaaaaaaaaaaaaaaaaaaaaaaaaaaaaaaaaaaaaaaaaaaaaaaaaaaaaaaaaaaaaaaaaaaaaaaaaaaaaaaaaaaaaaa</v>
      </c>
      <c r="T289" s="307" t="str">
        <f t="shared" si="89"/>
        <v/>
      </c>
      <c r="U289" s="315" t="str">
        <f t="shared" si="90"/>
        <v/>
      </c>
      <c r="V289" s="307" t="str">
        <f t="shared" si="94"/>
        <v/>
      </c>
      <c r="W289" s="307" t="str">
        <f>IFERROR(IF(V289&gt;0,PROPER(Terbilang1(V289)&amp;" Rupiah"),0),"")</f>
        <v/>
      </c>
      <c r="X289" s="90" t="str">
        <f t="shared" si="95"/>
        <v/>
      </c>
      <c r="Y289" s="307" t="str">
        <f t="shared" si="96"/>
        <v/>
      </c>
      <c r="Z289" s="307">
        <f t="shared" si="91"/>
        <v>0</v>
      </c>
      <c r="AA289" s="366">
        <f t="shared" si="92"/>
        <v>0</v>
      </c>
      <c r="AB289" s="367">
        <f t="shared" si="97"/>
        <v>0</v>
      </c>
      <c r="AC289" s="305">
        <f t="shared" si="98"/>
        <v>0</v>
      </c>
      <c r="AP289" s="89" t="str">
        <f t="shared" si="86"/>
        <v/>
      </c>
      <c r="AQ289" s="89" t="str">
        <f t="shared" si="84"/>
        <v/>
      </c>
      <c r="AR289" s="315" t="str">
        <f t="shared" si="85"/>
        <v/>
      </c>
      <c r="AS289" s="305" t="str">
        <f t="shared" si="99"/>
        <v>0</v>
      </c>
      <c r="AT289" s="307">
        <f>Table22[[#This Row],[Column1]]</f>
        <v>0</v>
      </c>
    </row>
    <row r="290" spans="1:46" x14ac:dyDescent="0.3">
      <c r="A290" s="307">
        <f t="shared" si="93"/>
        <v>0</v>
      </c>
      <c r="B290" s="307">
        <f t="shared" si="82"/>
        <v>0</v>
      </c>
      <c r="C290" s="308" t="s">
        <v>563</v>
      </c>
      <c r="D290" s="309" t="s">
        <v>563</v>
      </c>
      <c r="E290" s="310">
        <v>0</v>
      </c>
      <c r="F290" s="310">
        <v>0</v>
      </c>
      <c r="G290" s="311">
        <v>0</v>
      </c>
      <c r="H290" s="310" t="s">
        <v>563</v>
      </c>
      <c r="I290" s="310" t="s">
        <v>563</v>
      </c>
      <c r="J290" s="310" t="s">
        <v>563</v>
      </c>
      <c r="K290" s="312">
        <v>0</v>
      </c>
      <c r="L290" s="310">
        <v>0</v>
      </c>
      <c r="M290" s="310">
        <v>0</v>
      </c>
      <c r="N290" s="313" t="s">
        <v>563</v>
      </c>
      <c r="O290" s="314" t="s">
        <v>563</v>
      </c>
      <c r="P290" s="307">
        <f t="shared" si="87"/>
        <v>0</v>
      </c>
      <c r="R290" s="91" t="str">
        <f t="shared" si="83"/>
        <v/>
      </c>
      <c r="S290" s="307" t="str">
        <f t="shared" si="88"/>
        <v>BKK.57aaaaaaaaaaaaaaaaaaaaaaaaaaaaaaaaaaaaaaaaaaaaaaaaaaaaaaaaaaaaaaaaaaaaaaaaaaaaaaaaaaaaaaaaaaaaaaaaaaaaaa</v>
      </c>
      <c r="T290" s="307" t="str">
        <f t="shared" si="89"/>
        <v/>
      </c>
      <c r="U290" s="315" t="str">
        <f t="shared" si="90"/>
        <v/>
      </c>
      <c r="V290" s="307" t="str">
        <f t="shared" si="94"/>
        <v/>
      </c>
      <c r="W290" s="307" t="str">
        <f>IFERROR(IF(V290&gt;0,PROPER(Terbilang1(V290)&amp;" Rupiah"),0),"")</f>
        <v/>
      </c>
      <c r="X290" s="90" t="str">
        <f t="shared" si="95"/>
        <v/>
      </c>
      <c r="Y290" s="307" t="str">
        <f t="shared" si="96"/>
        <v/>
      </c>
      <c r="Z290" s="307">
        <f t="shared" si="91"/>
        <v>0</v>
      </c>
      <c r="AA290" s="366">
        <f t="shared" si="92"/>
        <v>0</v>
      </c>
      <c r="AB290" s="367">
        <f t="shared" si="97"/>
        <v>0</v>
      </c>
      <c r="AC290" s="305">
        <f t="shared" si="98"/>
        <v>0</v>
      </c>
      <c r="AP290" s="89" t="str">
        <f t="shared" si="86"/>
        <v/>
      </c>
      <c r="AQ290" s="89" t="str">
        <f t="shared" si="84"/>
        <v/>
      </c>
      <c r="AR290" s="315" t="str">
        <f t="shared" si="85"/>
        <v/>
      </c>
      <c r="AS290" s="305" t="str">
        <f t="shared" si="99"/>
        <v>0</v>
      </c>
      <c r="AT290" s="307">
        <f>Table22[[#This Row],[Column1]]</f>
        <v>0</v>
      </c>
    </row>
    <row r="291" spans="1:46" x14ac:dyDescent="0.3">
      <c r="A291" s="307">
        <f t="shared" si="93"/>
        <v>0</v>
      </c>
      <c r="B291" s="307">
        <f t="shared" si="82"/>
        <v>0</v>
      </c>
      <c r="C291" s="308" t="s">
        <v>563</v>
      </c>
      <c r="D291" s="309" t="s">
        <v>563</v>
      </c>
      <c r="E291" s="310">
        <v>0</v>
      </c>
      <c r="F291" s="310">
        <v>0</v>
      </c>
      <c r="G291" s="311">
        <v>0</v>
      </c>
      <c r="H291" s="310" t="s">
        <v>563</v>
      </c>
      <c r="I291" s="310" t="s">
        <v>563</v>
      </c>
      <c r="J291" s="310" t="s">
        <v>563</v>
      </c>
      <c r="K291" s="312">
        <v>0</v>
      </c>
      <c r="L291" s="310">
        <v>0</v>
      </c>
      <c r="M291" s="310">
        <v>0</v>
      </c>
      <c r="N291" s="313" t="s">
        <v>563</v>
      </c>
      <c r="O291" s="314" t="s">
        <v>563</v>
      </c>
      <c r="P291" s="307">
        <f t="shared" si="87"/>
        <v>0</v>
      </c>
      <c r="R291" s="91" t="str">
        <f t="shared" si="83"/>
        <v/>
      </c>
      <c r="S291" s="307" t="str">
        <f t="shared" si="88"/>
        <v>BKK.57aaaaaaaaaaaaaaaaaaaaaaaaaaaaaaaaaaaaaaaaaaaaaaaaaaaaaaaaaaaaaaaaaaaaaaaaaaaaaaaaaaaaaaaaaaaaaaaaaaaaaaa</v>
      </c>
      <c r="T291" s="307" t="str">
        <f t="shared" si="89"/>
        <v/>
      </c>
      <c r="U291" s="315" t="str">
        <f t="shared" si="90"/>
        <v/>
      </c>
      <c r="V291" s="307" t="str">
        <f t="shared" si="94"/>
        <v/>
      </c>
      <c r="W291" s="307" t="str">
        <f>IFERROR(IF(V291&gt;0,PROPER(Terbilang1(V291)&amp;" Rupiah"),0),"")</f>
        <v/>
      </c>
      <c r="X291" s="90" t="str">
        <f t="shared" si="95"/>
        <v/>
      </c>
      <c r="Y291" s="307" t="str">
        <f t="shared" si="96"/>
        <v/>
      </c>
      <c r="Z291" s="307">
        <f t="shared" si="91"/>
        <v>0</v>
      </c>
      <c r="AA291" s="366">
        <f t="shared" si="92"/>
        <v>0</v>
      </c>
      <c r="AB291" s="367">
        <f t="shared" si="97"/>
        <v>0</v>
      </c>
      <c r="AC291" s="305">
        <f t="shared" si="98"/>
        <v>0</v>
      </c>
      <c r="AP291" s="89" t="str">
        <f t="shared" si="86"/>
        <v/>
      </c>
      <c r="AQ291" s="89" t="str">
        <f t="shared" si="84"/>
        <v/>
      </c>
      <c r="AR291" s="315" t="str">
        <f t="shared" si="85"/>
        <v/>
      </c>
      <c r="AS291" s="305" t="str">
        <f t="shared" si="99"/>
        <v>0</v>
      </c>
      <c r="AT291" s="307">
        <f>Table22[[#This Row],[Column1]]</f>
        <v>0</v>
      </c>
    </row>
    <row r="292" spans="1:46" x14ac:dyDescent="0.3">
      <c r="A292" s="307">
        <f t="shared" si="93"/>
        <v>0</v>
      </c>
      <c r="B292" s="307">
        <f t="shared" si="82"/>
        <v>0</v>
      </c>
      <c r="C292" s="308" t="s">
        <v>563</v>
      </c>
      <c r="D292" s="309" t="s">
        <v>563</v>
      </c>
      <c r="E292" s="310">
        <v>0</v>
      </c>
      <c r="F292" s="310">
        <v>0</v>
      </c>
      <c r="G292" s="311">
        <v>0</v>
      </c>
      <c r="H292" s="310" t="s">
        <v>563</v>
      </c>
      <c r="I292" s="310" t="s">
        <v>563</v>
      </c>
      <c r="J292" s="310" t="s">
        <v>563</v>
      </c>
      <c r="K292" s="312">
        <v>0</v>
      </c>
      <c r="L292" s="310">
        <v>0</v>
      </c>
      <c r="M292" s="310">
        <v>0</v>
      </c>
      <c r="N292" s="313" t="s">
        <v>563</v>
      </c>
      <c r="O292" s="314" t="s">
        <v>563</v>
      </c>
      <c r="P292" s="307">
        <f t="shared" si="87"/>
        <v>0</v>
      </c>
      <c r="R292" s="91" t="str">
        <f t="shared" si="83"/>
        <v/>
      </c>
      <c r="S292" s="307" t="str">
        <f t="shared" si="88"/>
        <v>BKK.57aaaaaaaaaaaaaaaaaaaaaaaaaaaaaaaaaaaaaaaaaaaaaaaaaaaaaaaaaaaaaaaaaaaaaaaaaaaaaaaaaaaaaaaaaaaaaaaaaaaaaaaa</v>
      </c>
      <c r="T292" s="307" t="str">
        <f t="shared" si="89"/>
        <v/>
      </c>
      <c r="U292" s="315" t="str">
        <f t="shared" si="90"/>
        <v/>
      </c>
      <c r="V292" s="307" t="str">
        <f t="shared" si="94"/>
        <v/>
      </c>
      <c r="W292" s="307" t="str">
        <f>IFERROR(IF(V292&gt;0,PROPER(Terbilang1(V292)&amp;" Rupiah"),0),"")</f>
        <v/>
      </c>
      <c r="X292" s="90" t="str">
        <f t="shared" si="95"/>
        <v/>
      </c>
      <c r="Y292" s="307" t="str">
        <f t="shared" si="96"/>
        <v/>
      </c>
      <c r="Z292" s="307">
        <f t="shared" si="91"/>
        <v>0</v>
      </c>
      <c r="AA292" s="366">
        <f t="shared" si="92"/>
        <v>0</v>
      </c>
      <c r="AB292" s="367">
        <f t="shared" si="97"/>
        <v>0</v>
      </c>
      <c r="AC292" s="305">
        <f t="shared" si="98"/>
        <v>0</v>
      </c>
      <c r="AP292" s="89" t="str">
        <f t="shared" si="86"/>
        <v/>
      </c>
      <c r="AQ292" s="89" t="str">
        <f t="shared" si="84"/>
        <v/>
      </c>
      <c r="AR292" s="315" t="str">
        <f t="shared" si="85"/>
        <v/>
      </c>
      <c r="AS292" s="305" t="str">
        <f t="shared" si="99"/>
        <v>0</v>
      </c>
      <c r="AT292" s="307">
        <f>Table22[[#This Row],[Column1]]</f>
        <v>0</v>
      </c>
    </row>
    <row r="293" spans="1:46" x14ac:dyDescent="0.3">
      <c r="A293" s="307">
        <f t="shared" si="93"/>
        <v>0</v>
      </c>
      <c r="B293" s="307">
        <f t="shared" ref="B293:B356" si="100">IF(LEFT(F293,2)="MA","Jasa",IF(LEFT(F293,1)="G","Bayar Ongkos",IF(LEFT(F293,1)="M","Beli",0)))</f>
        <v>0</v>
      </c>
      <c r="C293" s="308" t="s">
        <v>563</v>
      </c>
      <c r="D293" s="309" t="s">
        <v>563</v>
      </c>
      <c r="E293" s="310">
        <v>0</v>
      </c>
      <c r="F293" s="310">
        <v>0</v>
      </c>
      <c r="G293" s="311">
        <v>0</v>
      </c>
      <c r="H293" s="310" t="s">
        <v>563</v>
      </c>
      <c r="I293" s="310" t="s">
        <v>563</v>
      </c>
      <c r="J293" s="310" t="s">
        <v>563</v>
      </c>
      <c r="K293" s="312">
        <v>0</v>
      </c>
      <c r="L293" s="310">
        <v>0</v>
      </c>
      <c r="M293" s="310">
        <v>0</v>
      </c>
      <c r="N293" s="313" t="s">
        <v>563</v>
      </c>
      <c r="O293" s="314" t="s">
        <v>563</v>
      </c>
      <c r="P293" s="307">
        <f t="shared" si="87"/>
        <v>0</v>
      </c>
      <c r="R293" s="91" t="str">
        <f t="shared" ref="R293:R356" si="101">IF(LEFT(F293,2)="ma",F293,IF(LEFT(F293,1)="m",E293,IF(LEFT(F293,1)="b",E293,IF(LEFT(F293,1)="G",F293,""))))</f>
        <v/>
      </c>
      <c r="S293" s="307" t="str">
        <f t="shared" si="88"/>
        <v>BKK.57aaaaaaaaaaaaaaaaaaaaaaaaaaaaaaaaaaaaaaaaaaaaaaaaaaaaaaaaaaaaaaaaaaaaaaaaaaaaaaaaaaaaaaaaaaaaaaaaaaaaaaaaa</v>
      </c>
      <c r="T293" s="307" t="str">
        <f t="shared" si="89"/>
        <v/>
      </c>
      <c r="U293" s="315" t="str">
        <f t="shared" si="90"/>
        <v/>
      </c>
      <c r="V293" s="307" t="str">
        <f>N293</f>
        <v/>
      </c>
      <c r="W293" s="307" t="str">
        <f>IFERROR(IF(V293&gt;0,PROPER(Terbilang1(V293)&amp;" Rupiah"),0),"")</f>
        <v/>
      </c>
      <c r="X293" s="90" t="str">
        <f t="shared" si="95"/>
        <v/>
      </c>
      <c r="Y293" s="307" t="str">
        <f t="shared" si="96"/>
        <v/>
      </c>
      <c r="Z293" s="307">
        <f t="shared" si="91"/>
        <v>0</v>
      </c>
      <c r="AA293" s="366">
        <f t="shared" si="92"/>
        <v>0</v>
      </c>
      <c r="AB293" s="367">
        <f t="shared" si="97"/>
        <v>0</v>
      </c>
      <c r="AC293" s="305">
        <f t="shared" si="98"/>
        <v>0</v>
      </c>
      <c r="AP293" s="89" t="str">
        <f t="shared" si="86"/>
        <v/>
      </c>
      <c r="AQ293" s="89" t="str">
        <f t="shared" si="84"/>
        <v/>
      </c>
      <c r="AR293" s="315" t="str">
        <f t="shared" si="85"/>
        <v/>
      </c>
      <c r="AS293" s="305" t="str">
        <f t="shared" si="99"/>
        <v>0</v>
      </c>
      <c r="AT293" s="307">
        <f>Table22[[#This Row],[Column1]]</f>
        <v>0</v>
      </c>
    </row>
    <row r="294" spans="1:46" x14ac:dyDescent="0.3">
      <c r="A294" s="307">
        <f t="shared" si="93"/>
        <v>0</v>
      </c>
      <c r="B294" s="307">
        <f t="shared" si="100"/>
        <v>0</v>
      </c>
      <c r="C294" s="308" t="s">
        <v>563</v>
      </c>
      <c r="D294" s="309" t="s">
        <v>563</v>
      </c>
      <c r="E294" s="310">
        <v>0</v>
      </c>
      <c r="F294" s="310">
        <v>0</v>
      </c>
      <c r="G294" s="311">
        <v>0</v>
      </c>
      <c r="H294" s="310" t="s">
        <v>563</v>
      </c>
      <c r="I294" s="310" t="s">
        <v>563</v>
      </c>
      <c r="J294" s="310" t="s">
        <v>563</v>
      </c>
      <c r="K294" s="312">
        <v>0</v>
      </c>
      <c r="L294" s="310">
        <v>0</v>
      </c>
      <c r="M294" s="310">
        <v>0</v>
      </c>
      <c r="N294" s="313" t="s">
        <v>563</v>
      </c>
      <c r="O294" s="314" t="s">
        <v>563</v>
      </c>
      <c r="P294" s="307">
        <f t="shared" si="87"/>
        <v>0</v>
      </c>
      <c r="R294" s="91" t="str">
        <f t="shared" si="101"/>
        <v/>
      </c>
      <c r="S294" s="307" t="str">
        <f t="shared" si="88"/>
        <v>BKK.57aaaaaaaaaaaaaaaaaaaaaaaaaaaaaaaaaaaaaaaaaaaaaaaaaaaaaaaaaaaaaaaaaaaaaaaaaaaaaaaaaaaaaaaaaaaaaaaaaaaaaaaaaa</v>
      </c>
      <c r="T294" s="307" t="str">
        <f t="shared" si="89"/>
        <v/>
      </c>
      <c r="U294" s="315" t="str">
        <f t="shared" si="90"/>
        <v/>
      </c>
      <c r="V294" s="307" t="str">
        <f t="shared" si="94"/>
        <v/>
      </c>
      <c r="W294" s="307" t="str">
        <f>IFERROR(IF(V294&gt;0,PROPER(Terbilang1(V294)&amp;" Rupiah"),0),"")</f>
        <v/>
      </c>
      <c r="X294" s="90" t="str">
        <f t="shared" si="95"/>
        <v/>
      </c>
      <c r="Y294" s="307" t="str">
        <f t="shared" si="96"/>
        <v/>
      </c>
      <c r="Z294" s="307">
        <f t="shared" si="91"/>
        <v>0</v>
      </c>
      <c r="AA294" s="366">
        <f t="shared" si="92"/>
        <v>0</v>
      </c>
      <c r="AB294" s="367">
        <f t="shared" si="97"/>
        <v>0</v>
      </c>
      <c r="AC294" s="305">
        <f t="shared" si="98"/>
        <v>0</v>
      </c>
      <c r="AP294" s="89" t="str">
        <f t="shared" si="86"/>
        <v/>
      </c>
      <c r="AQ294" s="89" t="str">
        <f t="shared" si="84"/>
        <v/>
      </c>
      <c r="AR294" s="315" t="str">
        <f t="shared" si="85"/>
        <v/>
      </c>
      <c r="AS294" s="305" t="str">
        <f t="shared" si="99"/>
        <v>0</v>
      </c>
      <c r="AT294" s="307">
        <f>Table22[[#This Row],[Column1]]</f>
        <v>0</v>
      </c>
    </row>
    <row r="295" spans="1:46" x14ac:dyDescent="0.3">
      <c r="A295" s="307">
        <f t="shared" si="93"/>
        <v>0</v>
      </c>
      <c r="B295" s="307">
        <f t="shared" si="100"/>
        <v>0</v>
      </c>
      <c r="C295" s="308" t="s">
        <v>563</v>
      </c>
      <c r="D295" s="309" t="s">
        <v>563</v>
      </c>
      <c r="E295" s="310">
        <v>0</v>
      </c>
      <c r="F295" s="310">
        <v>0</v>
      </c>
      <c r="G295" s="311">
        <v>0</v>
      </c>
      <c r="H295" s="310" t="s">
        <v>563</v>
      </c>
      <c r="I295" s="310" t="s">
        <v>563</v>
      </c>
      <c r="J295" s="310" t="s">
        <v>563</v>
      </c>
      <c r="K295" s="312">
        <v>0</v>
      </c>
      <c r="L295" s="310">
        <v>0</v>
      </c>
      <c r="M295" s="310">
        <v>0</v>
      </c>
      <c r="N295" s="313" t="s">
        <v>563</v>
      </c>
      <c r="O295" s="314" t="s">
        <v>563</v>
      </c>
      <c r="P295" s="307">
        <f t="shared" si="87"/>
        <v>0</v>
      </c>
      <c r="R295" s="91" t="str">
        <f t="shared" si="101"/>
        <v/>
      </c>
      <c r="S295" s="307" t="str">
        <f t="shared" si="88"/>
        <v>BKK.57aaaaaaaaaaaaaaaaaaaaaaaaaaaaaaaaaaaaaaaaaaaaaaaaaaaaaaaaaaaaaaaaaaaaaaaaaaaaaaaaaaaaaaaaaaaaaaaaaaaaaaaaaaa</v>
      </c>
      <c r="T295" s="307" t="str">
        <f t="shared" si="89"/>
        <v/>
      </c>
      <c r="U295" s="315" t="str">
        <f t="shared" si="90"/>
        <v/>
      </c>
      <c r="V295" s="307" t="str">
        <f t="shared" si="94"/>
        <v/>
      </c>
      <c r="W295" s="307" t="str">
        <f>IFERROR(IF(V295&gt;0,PROPER(Terbilang1(V295)&amp;" Rupiah"),0),"")</f>
        <v/>
      </c>
      <c r="X295" s="90" t="str">
        <f t="shared" si="95"/>
        <v/>
      </c>
      <c r="Y295" s="307" t="str">
        <f t="shared" si="96"/>
        <v/>
      </c>
      <c r="Z295" s="307">
        <f t="shared" si="91"/>
        <v>0</v>
      </c>
      <c r="AA295" s="366">
        <f t="shared" si="92"/>
        <v>0</v>
      </c>
      <c r="AB295" s="367">
        <f t="shared" si="97"/>
        <v>0</v>
      </c>
      <c r="AC295" s="305">
        <f t="shared" si="98"/>
        <v>0</v>
      </c>
      <c r="AP295" s="89" t="str">
        <f t="shared" si="86"/>
        <v/>
      </c>
      <c r="AQ295" s="89" t="str">
        <f t="shared" si="84"/>
        <v/>
      </c>
      <c r="AR295" s="315" t="str">
        <f t="shared" si="85"/>
        <v/>
      </c>
      <c r="AS295" s="305" t="str">
        <f t="shared" si="99"/>
        <v>0</v>
      </c>
      <c r="AT295" s="307">
        <f>Table22[[#This Row],[Column1]]</f>
        <v>0</v>
      </c>
    </row>
    <row r="296" spans="1:46" x14ac:dyDescent="0.3">
      <c r="A296" s="307">
        <f t="shared" si="93"/>
        <v>0</v>
      </c>
      <c r="B296" s="307">
        <f t="shared" si="100"/>
        <v>0</v>
      </c>
      <c r="C296" s="308" t="s">
        <v>563</v>
      </c>
      <c r="D296" s="309" t="s">
        <v>563</v>
      </c>
      <c r="E296" s="310">
        <v>0</v>
      </c>
      <c r="F296" s="310">
        <v>0</v>
      </c>
      <c r="G296" s="311">
        <v>0</v>
      </c>
      <c r="H296" s="310" t="s">
        <v>563</v>
      </c>
      <c r="I296" s="310" t="s">
        <v>563</v>
      </c>
      <c r="J296" s="310" t="s">
        <v>563</v>
      </c>
      <c r="K296" s="312">
        <v>0</v>
      </c>
      <c r="L296" s="310">
        <v>0</v>
      </c>
      <c r="M296" s="310">
        <v>0</v>
      </c>
      <c r="N296" s="313" t="s">
        <v>563</v>
      </c>
      <c r="O296" s="314" t="s">
        <v>563</v>
      </c>
      <c r="P296" s="307">
        <f t="shared" si="87"/>
        <v>0</v>
      </c>
      <c r="R296" s="91" t="str">
        <f t="shared" si="101"/>
        <v/>
      </c>
      <c r="S296" s="307" t="str">
        <f t="shared" si="88"/>
        <v>BKK.57aaaaaaaaaaaaaaaaaaaaaaaaaaaaaaaaaaaaaaaaaaaaaaaaaaaaaaaaaaaaaaaaaaaaaaaaaaaaaaaaaaaaaaaaaaaaaaaaaaaaaaaaaaaa</v>
      </c>
      <c r="T296" s="307" t="str">
        <f t="shared" si="89"/>
        <v/>
      </c>
      <c r="U296" s="315" t="str">
        <f t="shared" si="90"/>
        <v/>
      </c>
      <c r="V296" s="307" t="str">
        <f>N296</f>
        <v/>
      </c>
      <c r="W296" s="307" t="str">
        <f>IFERROR(IF(V296&gt;0,PROPER(Terbilang1(V296)&amp;" Rupiah"),0),"")</f>
        <v/>
      </c>
      <c r="X296" s="90" t="str">
        <f t="shared" si="95"/>
        <v/>
      </c>
      <c r="Y296" s="307" t="str">
        <f t="shared" si="96"/>
        <v/>
      </c>
      <c r="Z296" s="307">
        <f t="shared" si="91"/>
        <v>0</v>
      </c>
      <c r="AA296" s="366">
        <f t="shared" si="92"/>
        <v>0</v>
      </c>
      <c r="AB296" s="367">
        <f t="shared" si="97"/>
        <v>0</v>
      </c>
      <c r="AC296" s="305">
        <f t="shared" si="98"/>
        <v>0</v>
      </c>
      <c r="AP296" s="89" t="str">
        <f t="shared" si="86"/>
        <v/>
      </c>
      <c r="AQ296" s="89" t="str">
        <f t="shared" ref="AQ296:AQ359" si="102">TEXT(AR296,"MM")</f>
        <v/>
      </c>
      <c r="AR296" s="315" t="str">
        <f t="shared" si="85"/>
        <v/>
      </c>
      <c r="AS296" s="305" t="str">
        <f t="shared" si="99"/>
        <v>0</v>
      </c>
      <c r="AT296" s="307">
        <f>Table22[[#This Row],[Column1]]</f>
        <v>0</v>
      </c>
    </row>
    <row r="297" spans="1:46" x14ac:dyDescent="0.3">
      <c r="A297" s="307">
        <f t="shared" si="93"/>
        <v>0</v>
      </c>
      <c r="B297" s="307">
        <f t="shared" si="100"/>
        <v>0</v>
      </c>
      <c r="C297" s="308" t="s">
        <v>563</v>
      </c>
      <c r="D297" s="309" t="s">
        <v>563</v>
      </c>
      <c r="E297" s="310">
        <v>0</v>
      </c>
      <c r="F297" s="310">
        <v>0</v>
      </c>
      <c r="G297" s="311">
        <v>0</v>
      </c>
      <c r="H297" s="310" t="s">
        <v>563</v>
      </c>
      <c r="I297" s="310" t="s">
        <v>563</v>
      </c>
      <c r="J297" s="310" t="s">
        <v>563</v>
      </c>
      <c r="K297" s="312">
        <v>0</v>
      </c>
      <c r="L297" s="310">
        <v>0</v>
      </c>
      <c r="M297" s="310">
        <v>0</v>
      </c>
      <c r="N297" s="313" t="s">
        <v>563</v>
      </c>
      <c r="O297" s="314" t="s">
        <v>563</v>
      </c>
      <c r="P297" s="307">
        <f t="shared" si="87"/>
        <v>0</v>
      </c>
      <c r="R297" s="91" t="str">
        <f t="shared" si="101"/>
        <v/>
      </c>
      <c r="S297" s="307" t="str">
        <f t="shared" si="88"/>
        <v>BKK.57aaaaaaaaaaaaaaaaaaaaaaaaaaaaaaaaaaaaaaaaaaaaaaaaaaaaaaaaaaaaaaaaaaaaaaaaaaaaaaaaaaaaaaaaaaaaaaaaaaaaaaaaaaaaa</v>
      </c>
      <c r="T297" s="307" t="str">
        <f t="shared" si="89"/>
        <v/>
      </c>
      <c r="U297" s="315" t="str">
        <f t="shared" si="90"/>
        <v/>
      </c>
      <c r="V297" s="307" t="str">
        <f t="shared" si="94"/>
        <v/>
      </c>
      <c r="W297" s="307" t="str">
        <f>IFERROR(IF(V297&gt;0,PROPER(Terbilang1(V297)&amp;" Rupiah"),0),"")</f>
        <v/>
      </c>
      <c r="X297" s="90" t="str">
        <f t="shared" si="95"/>
        <v/>
      </c>
      <c r="Y297" s="307" t="str">
        <f t="shared" si="96"/>
        <v/>
      </c>
      <c r="Z297" s="307">
        <f t="shared" si="91"/>
        <v>0</v>
      </c>
      <c r="AA297" s="366">
        <f t="shared" si="92"/>
        <v>0</v>
      </c>
      <c r="AB297" s="367">
        <f t="shared" si="97"/>
        <v>0</v>
      </c>
      <c r="AC297" s="305">
        <f t="shared" si="98"/>
        <v>0</v>
      </c>
      <c r="AP297" s="89" t="str">
        <f t="shared" si="86"/>
        <v/>
      </c>
      <c r="AQ297" s="89" t="str">
        <f t="shared" si="102"/>
        <v/>
      </c>
      <c r="AR297" s="315" t="str">
        <f t="shared" si="85"/>
        <v/>
      </c>
      <c r="AS297" s="305" t="str">
        <f t="shared" si="99"/>
        <v>0</v>
      </c>
      <c r="AT297" s="307">
        <f>Table22[[#This Row],[Column1]]</f>
        <v>0</v>
      </c>
    </row>
    <row r="298" spans="1:46" x14ac:dyDescent="0.3">
      <c r="A298" s="307">
        <f t="shared" si="93"/>
        <v>0</v>
      </c>
      <c r="B298" s="307">
        <f t="shared" si="100"/>
        <v>0</v>
      </c>
      <c r="C298" s="308" t="s">
        <v>563</v>
      </c>
      <c r="D298" s="309" t="s">
        <v>563</v>
      </c>
      <c r="E298" s="310">
        <v>0</v>
      </c>
      <c r="F298" s="310">
        <v>0</v>
      </c>
      <c r="G298" s="311">
        <v>0</v>
      </c>
      <c r="H298" s="310" t="s">
        <v>563</v>
      </c>
      <c r="I298" s="310" t="s">
        <v>563</v>
      </c>
      <c r="J298" s="310" t="s">
        <v>563</v>
      </c>
      <c r="K298" s="312">
        <v>0</v>
      </c>
      <c r="L298" s="310">
        <v>0</v>
      </c>
      <c r="M298" s="310">
        <v>0</v>
      </c>
      <c r="N298" s="313" t="s">
        <v>563</v>
      </c>
      <c r="O298" s="314" t="s">
        <v>563</v>
      </c>
      <c r="P298" s="307">
        <f t="shared" si="87"/>
        <v>0</v>
      </c>
      <c r="R298" s="91" t="str">
        <f t="shared" si="101"/>
        <v/>
      </c>
      <c r="S298" s="307" t="str">
        <f t="shared" si="88"/>
        <v>BKK.57aaaaaaaaaaaaaaaaaaaaaaaaaaaaaaaaaaaaaaaaaaaaaaaaaaaaaaaaaaaaaaaaaaaaaaaaaaaaaaaaaaaaaaaaaaaaaaaaaaaaaaaaaaaaaa</v>
      </c>
      <c r="T298" s="307" t="str">
        <f t="shared" si="89"/>
        <v/>
      </c>
      <c r="U298" s="315" t="str">
        <f t="shared" si="90"/>
        <v/>
      </c>
      <c r="V298" s="307" t="str">
        <f t="shared" si="94"/>
        <v/>
      </c>
      <c r="W298" s="307" t="str">
        <f>IFERROR(IF(V298&gt;0,PROPER(Terbilang1(V298)&amp;" Rupiah"),0),"")</f>
        <v/>
      </c>
      <c r="X298" s="90" t="str">
        <f t="shared" si="95"/>
        <v/>
      </c>
      <c r="Y298" s="307" t="str">
        <f t="shared" si="96"/>
        <v/>
      </c>
      <c r="Z298" s="307">
        <f t="shared" si="91"/>
        <v>0</v>
      </c>
      <c r="AA298" s="366">
        <f t="shared" si="92"/>
        <v>0</v>
      </c>
      <c r="AB298" s="367">
        <f t="shared" si="97"/>
        <v>0</v>
      </c>
      <c r="AC298" s="305">
        <f t="shared" si="98"/>
        <v>0</v>
      </c>
      <c r="AP298" s="89" t="str">
        <f t="shared" si="86"/>
        <v/>
      </c>
      <c r="AQ298" s="89" t="str">
        <f t="shared" si="102"/>
        <v/>
      </c>
      <c r="AR298" s="315" t="str">
        <f t="shared" si="85"/>
        <v/>
      </c>
      <c r="AS298" s="305" t="str">
        <f t="shared" si="99"/>
        <v>0</v>
      </c>
      <c r="AT298" s="307">
        <f>Table22[[#This Row],[Column1]]</f>
        <v>0</v>
      </c>
    </row>
    <row r="299" spans="1:46" x14ac:dyDescent="0.3">
      <c r="A299" s="307">
        <f t="shared" si="93"/>
        <v>0</v>
      </c>
      <c r="B299" s="307">
        <f t="shared" si="100"/>
        <v>0</v>
      </c>
      <c r="C299" s="308" t="s">
        <v>563</v>
      </c>
      <c r="D299" s="309" t="s">
        <v>563</v>
      </c>
      <c r="E299" s="310">
        <v>0</v>
      </c>
      <c r="F299" s="310">
        <v>0</v>
      </c>
      <c r="G299" s="311">
        <v>0</v>
      </c>
      <c r="H299" s="310" t="s">
        <v>563</v>
      </c>
      <c r="I299" s="310" t="s">
        <v>563</v>
      </c>
      <c r="J299" s="310" t="s">
        <v>563</v>
      </c>
      <c r="K299" s="312">
        <v>0</v>
      </c>
      <c r="L299" s="310">
        <v>0</v>
      </c>
      <c r="M299" s="310">
        <v>0</v>
      </c>
      <c r="N299" s="313" t="s">
        <v>563</v>
      </c>
      <c r="O299" s="314" t="s">
        <v>563</v>
      </c>
      <c r="P299" s="307">
        <f t="shared" si="87"/>
        <v>0</v>
      </c>
      <c r="R299" s="91" t="str">
        <f t="shared" si="101"/>
        <v/>
      </c>
      <c r="S299" s="307" t="str">
        <f t="shared" si="88"/>
        <v>BKK.57aaaaaaaaaaaaaaaaaaaaaaaaaaaaaaaaaaaaaaaaaaaaaaaaaaaaaaaaaaaaaaaaaaaaaaaaaaaaaaaaaaaaaaaaaaaaaaaaaaaaaaaaaaaaaaa</v>
      </c>
      <c r="T299" s="307" t="str">
        <f t="shared" si="89"/>
        <v/>
      </c>
      <c r="U299" s="315" t="str">
        <f t="shared" si="90"/>
        <v/>
      </c>
      <c r="V299" s="307" t="str">
        <f t="shared" si="94"/>
        <v/>
      </c>
      <c r="W299" s="307" t="str">
        <f>IFERROR(IF(V299&gt;0,PROPER(Terbilang1(V299)&amp;" Rupiah"),0),"")</f>
        <v/>
      </c>
      <c r="X299" s="90" t="str">
        <f t="shared" si="95"/>
        <v/>
      </c>
      <c r="Y299" s="307" t="str">
        <f t="shared" si="96"/>
        <v/>
      </c>
      <c r="Z299" s="307">
        <f t="shared" si="91"/>
        <v>0</v>
      </c>
      <c r="AA299" s="366">
        <f t="shared" si="92"/>
        <v>0</v>
      </c>
      <c r="AB299" s="367">
        <f t="shared" si="97"/>
        <v>0</v>
      </c>
      <c r="AC299" s="305">
        <f t="shared" si="98"/>
        <v>0</v>
      </c>
      <c r="AP299" s="89" t="str">
        <f t="shared" si="86"/>
        <v/>
      </c>
      <c r="AQ299" s="89" t="str">
        <f t="shared" si="102"/>
        <v/>
      </c>
      <c r="AR299" s="315" t="str">
        <f t="shared" si="85"/>
        <v/>
      </c>
      <c r="AS299" s="305" t="str">
        <f t="shared" si="99"/>
        <v>0</v>
      </c>
      <c r="AT299" s="307">
        <f>Table22[[#This Row],[Column1]]</f>
        <v>0</v>
      </c>
    </row>
    <row r="300" spans="1:46" x14ac:dyDescent="0.3">
      <c r="A300" s="307">
        <f t="shared" si="93"/>
        <v>0</v>
      </c>
      <c r="B300" s="307">
        <f t="shared" si="100"/>
        <v>0</v>
      </c>
      <c r="C300" s="308" t="s">
        <v>563</v>
      </c>
      <c r="D300" s="309" t="s">
        <v>563</v>
      </c>
      <c r="E300" s="310">
        <v>0</v>
      </c>
      <c r="F300" s="310">
        <v>0</v>
      </c>
      <c r="G300" s="311">
        <v>0</v>
      </c>
      <c r="H300" s="310" t="s">
        <v>563</v>
      </c>
      <c r="I300" s="310" t="s">
        <v>563</v>
      </c>
      <c r="J300" s="310" t="s">
        <v>563</v>
      </c>
      <c r="K300" s="312">
        <v>0</v>
      </c>
      <c r="L300" s="310">
        <v>0</v>
      </c>
      <c r="M300" s="310">
        <v>0</v>
      </c>
      <c r="N300" s="313" t="s">
        <v>563</v>
      </c>
      <c r="O300" s="314" t="s">
        <v>563</v>
      </c>
      <c r="P300" s="307">
        <f t="shared" si="87"/>
        <v>0</v>
      </c>
      <c r="R300" s="91" t="str">
        <f t="shared" si="101"/>
        <v/>
      </c>
      <c r="S300" s="307" t="str">
        <f t="shared" si="88"/>
        <v>BKK.57aaaaaaaaaaaaaaaaaaaaaaaaaaaaaaaaaaaaaaaaaaaaaaaaaaaaaaaaaaaaaaaaaaaaaaaaaaaaaaaaaaaaaaaaaaaaaaaaaaaaaaaaaaaaaaaa</v>
      </c>
      <c r="T300" s="307" t="str">
        <f t="shared" si="89"/>
        <v/>
      </c>
      <c r="U300" s="315" t="str">
        <f t="shared" si="90"/>
        <v/>
      </c>
      <c r="V300" s="307" t="str">
        <f>N300</f>
        <v/>
      </c>
      <c r="W300" s="307" t="str">
        <f>IFERROR(IF(V300&gt;0,PROPER(Terbilang1(V300)&amp;" Rupiah"),0),"")</f>
        <v/>
      </c>
      <c r="X300" s="90" t="str">
        <f t="shared" si="95"/>
        <v/>
      </c>
      <c r="Y300" s="307" t="str">
        <f t="shared" si="96"/>
        <v/>
      </c>
      <c r="Z300" s="307">
        <f t="shared" si="91"/>
        <v>0</v>
      </c>
      <c r="AA300" s="366">
        <f t="shared" si="92"/>
        <v>0</v>
      </c>
      <c r="AB300" s="367">
        <f t="shared" si="97"/>
        <v>0</v>
      </c>
      <c r="AC300" s="305">
        <f t="shared" si="98"/>
        <v>0</v>
      </c>
      <c r="AP300" s="89" t="str">
        <f t="shared" si="86"/>
        <v/>
      </c>
      <c r="AQ300" s="89" t="str">
        <f t="shared" si="102"/>
        <v/>
      </c>
      <c r="AR300" s="315" t="str">
        <f t="shared" si="85"/>
        <v/>
      </c>
      <c r="AS300" s="305" t="str">
        <f t="shared" si="99"/>
        <v>0</v>
      </c>
      <c r="AT300" s="307">
        <f>Table22[[#This Row],[Column1]]</f>
        <v>0</v>
      </c>
    </row>
    <row r="301" spans="1:46" x14ac:dyDescent="0.3">
      <c r="A301" s="307">
        <f t="shared" si="93"/>
        <v>0</v>
      </c>
      <c r="B301" s="307">
        <f t="shared" si="100"/>
        <v>0</v>
      </c>
      <c r="C301" s="308" t="s">
        <v>563</v>
      </c>
      <c r="D301" s="309" t="s">
        <v>563</v>
      </c>
      <c r="E301" s="310">
        <v>0</v>
      </c>
      <c r="F301" s="310">
        <v>0</v>
      </c>
      <c r="G301" s="311">
        <v>0</v>
      </c>
      <c r="H301" s="310" t="s">
        <v>563</v>
      </c>
      <c r="I301" s="310" t="s">
        <v>563</v>
      </c>
      <c r="J301" s="310" t="s">
        <v>563</v>
      </c>
      <c r="K301" s="312">
        <v>0</v>
      </c>
      <c r="L301" s="310">
        <v>0</v>
      </c>
      <c r="M301" s="310">
        <v>0</v>
      </c>
      <c r="N301" s="313" t="s">
        <v>563</v>
      </c>
      <c r="O301" s="314" t="s">
        <v>563</v>
      </c>
      <c r="P301" s="307">
        <f t="shared" si="87"/>
        <v>0</v>
      </c>
      <c r="R301" s="91" t="str">
        <f t="shared" si="101"/>
        <v/>
      </c>
      <c r="S301" s="307" t="str">
        <f t="shared" si="88"/>
        <v>BKK.57aaaaaaaaaaaaaaaaaaaaaaaaaaaaaaaaaaaaaaaaaaaaaaaaaaaaaaaaaaaaaaaaaaaaaaaaaaaaaaaaaaaaaaaaaaaaaaaaaaaaaaaaaaaaaaaaa</v>
      </c>
      <c r="T301" s="307" t="str">
        <f t="shared" si="89"/>
        <v/>
      </c>
      <c r="U301" s="315" t="str">
        <f t="shared" si="90"/>
        <v/>
      </c>
      <c r="V301" s="307" t="str">
        <f>N301</f>
        <v/>
      </c>
      <c r="W301" s="307" t="str">
        <f>IFERROR(IF(V301&gt;0,PROPER(Terbilang1(V301)&amp;" Rupiah"),0),"")</f>
        <v/>
      </c>
      <c r="X301" s="90" t="str">
        <f t="shared" si="95"/>
        <v/>
      </c>
      <c r="Y301" s="307" t="str">
        <f t="shared" si="96"/>
        <v/>
      </c>
      <c r="Z301" s="307">
        <f t="shared" si="91"/>
        <v>0</v>
      </c>
      <c r="AA301" s="366">
        <f t="shared" si="92"/>
        <v>0</v>
      </c>
      <c r="AB301" s="367">
        <f t="shared" si="97"/>
        <v>0</v>
      </c>
      <c r="AC301" s="305">
        <f t="shared" si="98"/>
        <v>0</v>
      </c>
      <c r="AP301" s="89" t="str">
        <f t="shared" si="86"/>
        <v/>
      </c>
      <c r="AQ301" s="89" t="str">
        <f t="shared" si="102"/>
        <v/>
      </c>
      <c r="AR301" s="315" t="str">
        <f t="shared" si="85"/>
        <v/>
      </c>
      <c r="AS301" s="305" t="str">
        <f t="shared" si="99"/>
        <v>0</v>
      </c>
      <c r="AT301" s="307">
        <f>Table22[[#This Row],[Column1]]</f>
        <v>0</v>
      </c>
    </row>
    <row r="302" spans="1:46" x14ac:dyDescent="0.3">
      <c r="A302" s="307">
        <f t="shared" si="93"/>
        <v>0</v>
      </c>
      <c r="B302" s="307">
        <f t="shared" si="100"/>
        <v>0</v>
      </c>
      <c r="C302" s="308" t="s">
        <v>563</v>
      </c>
      <c r="D302" s="309" t="s">
        <v>563</v>
      </c>
      <c r="E302" s="310">
        <v>0</v>
      </c>
      <c r="F302" s="310">
        <v>0</v>
      </c>
      <c r="G302" s="311">
        <v>0</v>
      </c>
      <c r="H302" s="310" t="s">
        <v>563</v>
      </c>
      <c r="I302" s="310" t="s">
        <v>563</v>
      </c>
      <c r="J302" s="310" t="s">
        <v>563</v>
      </c>
      <c r="K302" s="312">
        <v>0</v>
      </c>
      <c r="L302" s="310">
        <v>0</v>
      </c>
      <c r="M302" s="310">
        <v>0</v>
      </c>
      <c r="N302" s="313" t="s">
        <v>563</v>
      </c>
      <c r="O302" s="314" t="s">
        <v>563</v>
      </c>
      <c r="P302" s="307">
        <f t="shared" si="87"/>
        <v>0</v>
      </c>
      <c r="R302" s="91" t="str">
        <f t="shared" si="101"/>
        <v/>
      </c>
      <c r="S302" s="307" t="str">
        <f t="shared" si="88"/>
        <v>BKK.57aaaaaaaaaaaaaaaaaaaaaaaaaaaaaaaaaaaaaaaaaaaaaaaaaaaaaaaaaaaaaaaaaaaaaaaaaaaaaaaaaaaaaaaaaaaaaaaaaaaaaaaaaaaaaaaaaa</v>
      </c>
      <c r="T302" s="307" t="str">
        <f t="shared" si="89"/>
        <v/>
      </c>
      <c r="U302" s="315" t="str">
        <f t="shared" si="90"/>
        <v/>
      </c>
      <c r="V302" s="307" t="str">
        <f t="shared" si="94"/>
        <v/>
      </c>
      <c r="W302" s="307" t="str">
        <f>IFERROR(IF(V302&gt;0,PROPER(Terbilang1(V302)&amp;" Rupiah"),0),"")</f>
        <v/>
      </c>
      <c r="X302" s="90" t="str">
        <f t="shared" si="95"/>
        <v/>
      </c>
      <c r="Y302" s="307" t="str">
        <f t="shared" si="96"/>
        <v/>
      </c>
      <c r="Z302" s="307">
        <f t="shared" si="91"/>
        <v>0</v>
      </c>
      <c r="AA302" s="366">
        <f t="shared" si="92"/>
        <v>0</v>
      </c>
      <c r="AB302" s="367">
        <f t="shared" si="97"/>
        <v>0</v>
      </c>
      <c r="AC302" s="305">
        <f t="shared" si="98"/>
        <v>0</v>
      </c>
      <c r="AP302" s="89" t="str">
        <f t="shared" si="86"/>
        <v/>
      </c>
      <c r="AQ302" s="89" t="str">
        <f t="shared" si="102"/>
        <v/>
      </c>
      <c r="AR302" s="315" t="str">
        <f t="shared" si="85"/>
        <v/>
      </c>
      <c r="AS302" s="305" t="str">
        <f t="shared" si="99"/>
        <v>0</v>
      </c>
      <c r="AT302" s="307">
        <f>Table22[[#This Row],[Column1]]</f>
        <v>0</v>
      </c>
    </row>
    <row r="303" spans="1:46" x14ac:dyDescent="0.3">
      <c r="A303" s="307">
        <f t="shared" si="93"/>
        <v>0</v>
      </c>
      <c r="B303" s="307">
        <f t="shared" si="100"/>
        <v>0</v>
      </c>
      <c r="C303" s="308" t="s">
        <v>563</v>
      </c>
      <c r="D303" s="309" t="s">
        <v>563</v>
      </c>
      <c r="E303" s="310">
        <v>0</v>
      </c>
      <c r="F303" s="310">
        <v>0</v>
      </c>
      <c r="G303" s="311">
        <v>0</v>
      </c>
      <c r="H303" s="310" t="s">
        <v>563</v>
      </c>
      <c r="I303" s="310" t="s">
        <v>563</v>
      </c>
      <c r="J303" s="310" t="s">
        <v>563</v>
      </c>
      <c r="K303" s="312">
        <v>0</v>
      </c>
      <c r="L303" s="310">
        <v>0</v>
      </c>
      <c r="M303" s="310">
        <v>0</v>
      </c>
      <c r="N303" s="313" t="s">
        <v>563</v>
      </c>
      <c r="O303" s="314" t="s">
        <v>563</v>
      </c>
      <c r="P303" s="307">
        <f t="shared" si="87"/>
        <v>0</v>
      </c>
      <c r="R303" s="91" t="str">
        <f t="shared" si="101"/>
        <v/>
      </c>
      <c r="S303" s="307" t="str">
        <f t="shared" si="88"/>
        <v>BKK.57aaaaaaaaaaaaaaaaaaaaaaaaaaaaaaaaaaaaaaaaaaaaaaaaaaaaaaaaaaaaaaaaaaaaaaaaaaaaaaaaaaaaaaaaaaaaaaaaaaaaaaaaaaaaaaaaaaa</v>
      </c>
      <c r="T303" s="307" t="str">
        <f t="shared" si="89"/>
        <v/>
      </c>
      <c r="U303" s="315" t="str">
        <f t="shared" si="90"/>
        <v/>
      </c>
      <c r="V303" s="307" t="str">
        <f t="shared" si="94"/>
        <v/>
      </c>
      <c r="W303" s="307" t="str">
        <f>IFERROR(IF(V303&gt;0,PROPER(Terbilang1(V303)&amp;" Rupiah"),0),"")</f>
        <v/>
      </c>
      <c r="X303" s="90" t="str">
        <f t="shared" si="95"/>
        <v/>
      </c>
      <c r="Y303" s="307" t="str">
        <f t="shared" si="96"/>
        <v/>
      </c>
      <c r="Z303" s="307">
        <f t="shared" si="91"/>
        <v>0</v>
      </c>
      <c r="AA303" s="366">
        <f t="shared" si="92"/>
        <v>0</v>
      </c>
      <c r="AB303" s="367">
        <f t="shared" si="97"/>
        <v>0</v>
      </c>
      <c r="AC303" s="305">
        <f t="shared" si="98"/>
        <v>0</v>
      </c>
      <c r="AP303" s="89" t="str">
        <f t="shared" si="86"/>
        <v/>
      </c>
      <c r="AQ303" s="89" t="str">
        <f t="shared" si="102"/>
        <v/>
      </c>
      <c r="AR303" s="315" t="str">
        <f t="shared" si="85"/>
        <v/>
      </c>
      <c r="AS303" s="305" t="str">
        <f t="shared" si="99"/>
        <v>0</v>
      </c>
      <c r="AT303" s="307">
        <f>Table22[[#This Row],[Column1]]</f>
        <v>0</v>
      </c>
    </row>
    <row r="304" spans="1:46" x14ac:dyDescent="0.3">
      <c r="A304" s="307">
        <f t="shared" si="93"/>
        <v>0</v>
      </c>
      <c r="B304" s="307">
        <f t="shared" si="100"/>
        <v>0</v>
      </c>
      <c r="C304" s="308" t="s">
        <v>563</v>
      </c>
      <c r="D304" s="309" t="s">
        <v>563</v>
      </c>
      <c r="E304" s="310">
        <v>0</v>
      </c>
      <c r="F304" s="310">
        <v>0</v>
      </c>
      <c r="G304" s="311">
        <v>0</v>
      </c>
      <c r="H304" s="310" t="s">
        <v>563</v>
      </c>
      <c r="I304" s="310" t="s">
        <v>563</v>
      </c>
      <c r="J304" s="310" t="s">
        <v>563</v>
      </c>
      <c r="K304" s="312">
        <v>0</v>
      </c>
      <c r="L304" s="310">
        <v>0</v>
      </c>
      <c r="M304" s="310">
        <v>0</v>
      </c>
      <c r="N304" s="313" t="s">
        <v>563</v>
      </c>
      <c r="O304" s="314" t="s">
        <v>563</v>
      </c>
      <c r="P304" s="307">
        <f t="shared" si="87"/>
        <v>0</v>
      </c>
      <c r="R304" s="91" t="str">
        <f t="shared" si="101"/>
        <v/>
      </c>
      <c r="S304" s="307" t="str">
        <f t="shared" si="88"/>
        <v>BKK.57aaaaaaaaaaaaaaaaaaaaaaaaaaaaaaaaaaaaaaaaaaaaaaaaaaaaaaaaaaaaaaaaaaaaaaaaaaaaaaaaaaaaaaaaaaaaaaaaaaaaaaaaaaaaaaaaaaaa</v>
      </c>
      <c r="T304" s="307" t="str">
        <f t="shared" si="89"/>
        <v/>
      </c>
      <c r="U304" s="315" t="str">
        <f t="shared" si="90"/>
        <v/>
      </c>
      <c r="V304" s="307" t="str">
        <f t="shared" si="94"/>
        <v/>
      </c>
      <c r="W304" s="307" t="str">
        <f>IFERROR(IF(V304&gt;0,PROPER(Terbilang1(V304)&amp;" Rupiah"),0),"")</f>
        <v/>
      </c>
      <c r="X304" s="90" t="str">
        <f t="shared" si="95"/>
        <v/>
      </c>
      <c r="Y304" s="307" t="str">
        <f t="shared" si="96"/>
        <v/>
      </c>
      <c r="Z304" s="307">
        <f t="shared" si="91"/>
        <v>0</v>
      </c>
      <c r="AA304" s="366">
        <f t="shared" si="92"/>
        <v>0</v>
      </c>
      <c r="AB304" s="367">
        <f t="shared" si="97"/>
        <v>0</v>
      </c>
      <c r="AC304" s="305">
        <f t="shared" si="98"/>
        <v>0</v>
      </c>
      <c r="AP304" s="89" t="str">
        <f t="shared" si="86"/>
        <v/>
      </c>
      <c r="AQ304" s="89" t="str">
        <f t="shared" si="102"/>
        <v/>
      </c>
      <c r="AR304" s="315" t="str">
        <f t="shared" si="85"/>
        <v/>
      </c>
      <c r="AS304" s="305" t="str">
        <f t="shared" si="99"/>
        <v>0</v>
      </c>
      <c r="AT304" s="307">
        <f>Table22[[#This Row],[Column1]]</f>
        <v>0</v>
      </c>
    </row>
    <row r="305" spans="1:46" x14ac:dyDescent="0.3">
      <c r="A305" s="307">
        <f t="shared" si="93"/>
        <v>0</v>
      </c>
      <c r="B305" s="307">
        <f t="shared" si="100"/>
        <v>0</v>
      </c>
      <c r="C305" s="308" t="s">
        <v>563</v>
      </c>
      <c r="D305" s="309" t="s">
        <v>563</v>
      </c>
      <c r="E305" s="310">
        <v>0</v>
      </c>
      <c r="F305" s="310">
        <v>0</v>
      </c>
      <c r="G305" s="311">
        <v>0</v>
      </c>
      <c r="H305" s="310" t="s">
        <v>563</v>
      </c>
      <c r="I305" s="310" t="s">
        <v>563</v>
      </c>
      <c r="J305" s="310" t="s">
        <v>563</v>
      </c>
      <c r="K305" s="312">
        <v>0</v>
      </c>
      <c r="L305" s="310">
        <v>0</v>
      </c>
      <c r="M305" s="310">
        <v>0</v>
      </c>
      <c r="N305" s="313" t="s">
        <v>563</v>
      </c>
      <c r="O305" s="314" t="s">
        <v>563</v>
      </c>
      <c r="P305" s="307">
        <f t="shared" si="87"/>
        <v>0</v>
      </c>
      <c r="R305" s="91" t="str">
        <f t="shared" si="101"/>
        <v/>
      </c>
      <c r="S305" s="307" t="str">
        <f t="shared" si="88"/>
        <v>BKK.57aaaaaaaaaaaaaaaaaaaaaaaaaaaaaaaaaaaaaaaaaaaaaaaaaaaaaaaaaaaaaaaaaaaaaaaaaaaaaaaaaaaaaaaaaaaaaaaaaaaaaaaaaaaaaaaaaaaaa</v>
      </c>
      <c r="T305" s="307" t="str">
        <f t="shared" si="89"/>
        <v/>
      </c>
      <c r="U305" s="315" t="str">
        <f t="shared" si="90"/>
        <v/>
      </c>
      <c r="V305" s="307" t="str">
        <f t="shared" si="94"/>
        <v/>
      </c>
      <c r="W305" s="307" t="str">
        <f>IFERROR(IF(V305&gt;0,PROPER(Terbilang1(V305)&amp;" Rupiah"),0),"")</f>
        <v/>
      </c>
      <c r="X305" s="90" t="str">
        <f t="shared" si="95"/>
        <v/>
      </c>
      <c r="Y305" s="307" t="str">
        <f t="shared" si="96"/>
        <v/>
      </c>
      <c r="Z305" s="307">
        <f t="shared" si="91"/>
        <v>0</v>
      </c>
      <c r="AA305" s="366">
        <f t="shared" si="92"/>
        <v>0</v>
      </c>
      <c r="AB305" s="367">
        <f t="shared" si="97"/>
        <v>0</v>
      </c>
      <c r="AC305" s="305">
        <f t="shared" si="98"/>
        <v>0</v>
      </c>
      <c r="AP305" s="89" t="str">
        <f t="shared" si="86"/>
        <v/>
      </c>
      <c r="AQ305" s="89" t="str">
        <f t="shared" si="102"/>
        <v/>
      </c>
      <c r="AR305" s="315" t="str">
        <f t="shared" si="85"/>
        <v/>
      </c>
      <c r="AS305" s="305" t="str">
        <f t="shared" si="99"/>
        <v>0</v>
      </c>
      <c r="AT305" s="307">
        <f>Table22[[#This Row],[Column1]]</f>
        <v>0</v>
      </c>
    </row>
    <row r="306" spans="1:46" x14ac:dyDescent="0.3">
      <c r="A306" s="307">
        <f t="shared" si="93"/>
        <v>0</v>
      </c>
      <c r="B306" s="307">
        <f t="shared" si="100"/>
        <v>0</v>
      </c>
      <c r="C306" s="308" t="s">
        <v>563</v>
      </c>
      <c r="D306" s="309" t="s">
        <v>563</v>
      </c>
      <c r="E306" s="310">
        <v>0</v>
      </c>
      <c r="F306" s="310">
        <v>0</v>
      </c>
      <c r="G306" s="311">
        <v>0</v>
      </c>
      <c r="H306" s="310" t="s">
        <v>563</v>
      </c>
      <c r="I306" s="310" t="s">
        <v>563</v>
      </c>
      <c r="J306" s="310" t="s">
        <v>563</v>
      </c>
      <c r="K306" s="312">
        <v>0</v>
      </c>
      <c r="L306" s="310">
        <v>0</v>
      </c>
      <c r="M306" s="310">
        <v>0</v>
      </c>
      <c r="N306" s="313" t="s">
        <v>563</v>
      </c>
      <c r="O306" s="314" t="s">
        <v>563</v>
      </c>
      <c r="P306" s="307">
        <f t="shared" si="87"/>
        <v>0</v>
      </c>
      <c r="R306" s="91" t="str">
        <f t="shared" si="101"/>
        <v/>
      </c>
      <c r="S306" s="307" t="str">
        <f t="shared" si="88"/>
        <v>BKK.57aaaaaaaaaaaaaaaaaaaaaaaaaaaaaaaaaaaaaaaaaaaaaaaaaaaaaaaaaaaaaaaaaaaaaaaaaaaaaaaaaaaaaaaaaaaaaaaaaaaaaaaaaaaaaaaaaaaaaa</v>
      </c>
      <c r="T306" s="307" t="str">
        <f t="shared" si="89"/>
        <v/>
      </c>
      <c r="U306" s="315" t="str">
        <f t="shared" si="90"/>
        <v/>
      </c>
      <c r="V306" s="307" t="str">
        <f t="shared" si="94"/>
        <v/>
      </c>
      <c r="W306" s="307" t="str">
        <f>IFERROR(IF(V306&gt;0,PROPER(Terbilang1(V306)&amp;" Rupiah"),0),"")</f>
        <v/>
      </c>
      <c r="X306" s="90" t="str">
        <f t="shared" si="95"/>
        <v/>
      </c>
      <c r="Y306" s="307" t="str">
        <f t="shared" si="96"/>
        <v/>
      </c>
      <c r="Z306" s="307">
        <f t="shared" si="91"/>
        <v>0</v>
      </c>
      <c r="AA306" s="366">
        <f t="shared" si="92"/>
        <v>0</v>
      </c>
      <c r="AB306" s="367">
        <f t="shared" si="97"/>
        <v>0</v>
      </c>
      <c r="AC306" s="305">
        <f t="shared" si="98"/>
        <v>0</v>
      </c>
      <c r="AP306" s="89" t="str">
        <f t="shared" si="86"/>
        <v/>
      </c>
      <c r="AQ306" s="89" t="str">
        <f t="shared" si="102"/>
        <v/>
      </c>
      <c r="AR306" s="315" t="str">
        <f t="shared" si="85"/>
        <v/>
      </c>
      <c r="AS306" s="305" t="str">
        <f t="shared" si="99"/>
        <v>0</v>
      </c>
      <c r="AT306" s="307">
        <f>Table22[[#This Row],[Column1]]</f>
        <v>0</v>
      </c>
    </row>
    <row r="307" spans="1:46" x14ac:dyDescent="0.3">
      <c r="A307" s="307">
        <f t="shared" si="93"/>
        <v>0</v>
      </c>
      <c r="B307" s="307">
        <f t="shared" si="100"/>
        <v>0</v>
      </c>
      <c r="C307" s="308" t="s">
        <v>563</v>
      </c>
      <c r="D307" s="309" t="s">
        <v>563</v>
      </c>
      <c r="E307" s="310">
        <v>0</v>
      </c>
      <c r="F307" s="310">
        <v>0</v>
      </c>
      <c r="G307" s="311">
        <v>0</v>
      </c>
      <c r="H307" s="310" t="s">
        <v>563</v>
      </c>
      <c r="I307" s="310" t="s">
        <v>563</v>
      </c>
      <c r="J307" s="310" t="s">
        <v>563</v>
      </c>
      <c r="K307" s="312">
        <v>0</v>
      </c>
      <c r="L307" s="310">
        <v>0</v>
      </c>
      <c r="M307" s="310">
        <v>0</v>
      </c>
      <c r="N307" s="313" t="s">
        <v>563</v>
      </c>
      <c r="O307" s="314" t="s">
        <v>563</v>
      </c>
      <c r="P307" s="307">
        <f t="shared" si="87"/>
        <v>0</v>
      </c>
      <c r="R307" s="91" t="str">
        <f t="shared" si="101"/>
        <v/>
      </c>
      <c r="S307" s="307" t="str">
        <f t="shared" si="88"/>
        <v>BKK.57aaaaaaaaaaaaaaaaaaaaaaaaaaaaaaaaaaaaaaaaaaaaaaaaaaaaaaaaaaaaaaaaaaaaaaaaaaaaaaaaaaaaaaaaaaaaaaaaaaaaaaaaaaaaaaaaaaaaaaa</v>
      </c>
      <c r="T307" s="307" t="str">
        <f t="shared" si="89"/>
        <v/>
      </c>
      <c r="U307" s="315" t="str">
        <f t="shared" si="90"/>
        <v/>
      </c>
      <c r="V307" s="307" t="str">
        <f t="shared" si="94"/>
        <v/>
      </c>
      <c r="W307" s="307" t="str">
        <f>IFERROR(IF(V307&gt;0,PROPER(Terbilang1(V307)&amp;" Rupiah"),0),"")</f>
        <v/>
      </c>
      <c r="X307" s="90" t="str">
        <f t="shared" si="95"/>
        <v/>
      </c>
      <c r="Y307" s="307" t="str">
        <f t="shared" si="96"/>
        <v/>
      </c>
      <c r="Z307" s="307">
        <f t="shared" si="91"/>
        <v>0</v>
      </c>
      <c r="AA307" s="366">
        <f t="shared" si="92"/>
        <v>0</v>
      </c>
      <c r="AB307" s="367">
        <f t="shared" si="97"/>
        <v>0</v>
      </c>
      <c r="AC307" s="305">
        <f t="shared" si="98"/>
        <v>0</v>
      </c>
      <c r="AP307" s="89" t="str">
        <f t="shared" si="86"/>
        <v/>
      </c>
      <c r="AQ307" s="89" t="str">
        <f t="shared" si="102"/>
        <v/>
      </c>
      <c r="AR307" s="315" t="str">
        <f t="shared" ref="AR307:AR370" si="103">IF(VALUE(AT307)&gt;1,IF(LEN(AR306)&gt;1,AR306,D307),"")</f>
        <v/>
      </c>
      <c r="AS307" s="305" t="str">
        <f t="shared" si="99"/>
        <v>0</v>
      </c>
      <c r="AT307" s="307">
        <f>Table22[[#This Row],[Column1]]</f>
        <v>0</v>
      </c>
    </row>
    <row r="308" spans="1:46" x14ac:dyDescent="0.3">
      <c r="A308" s="307">
        <f t="shared" si="93"/>
        <v>0</v>
      </c>
      <c r="B308" s="307">
        <f t="shared" si="100"/>
        <v>0</v>
      </c>
      <c r="C308" s="308" t="s">
        <v>563</v>
      </c>
      <c r="D308" s="309" t="s">
        <v>563</v>
      </c>
      <c r="E308" s="310">
        <v>0</v>
      </c>
      <c r="F308" s="310">
        <v>0</v>
      </c>
      <c r="G308" s="311">
        <v>0</v>
      </c>
      <c r="H308" s="310" t="s">
        <v>563</v>
      </c>
      <c r="I308" s="310" t="s">
        <v>563</v>
      </c>
      <c r="J308" s="310" t="s">
        <v>563</v>
      </c>
      <c r="K308" s="312">
        <v>0</v>
      </c>
      <c r="L308" s="310">
        <v>0</v>
      </c>
      <c r="M308" s="310">
        <v>0</v>
      </c>
      <c r="N308" s="313" t="s">
        <v>563</v>
      </c>
      <c r="O308" s="314" t="s">
        <v>563</v>
      </c>
      <c r="P308" s="307">
        <f t="shared" si="87"/>
        <v>0</v>
      </c>
      <c r="R308" s="91" t="str">
        <f t="shared" si="101"/>
        <v/>
      </c>
      <c r="S308" s="307" t="str">
        <f t="shared" si="88"/>
        <v>BKK.57aaaaaaaaaaaaaaaaaaaaaaaaaaaaaaaaaaaaaaaaaaaaaaaaaaaaaaaaaaaaaaaaaaaaaaaaaaaaaaaaaaaaaaaaaaaaaaaaaaaaaaaaaaaaaaaaaaaaaaaa</v>
      </c>
      <c r="T308" s="307" t="str">
        <f t="shared" si="89"/>
        <v/>
      </c>
      <c r="U308" s="315" t="str">
        <f t="shared" si="90"/>
        <v/>
      </c>
      <c r="V308" s="307" t="str">
        <f>N308</f>
        <v/>
      </c>
      <c r="W308" s="307" t="str">
        <f>IFERROR(IF(V308&gt;0,PROPER(Terbilang1(V308)&amp;" Rupiah"),0),"")</f>
        <v/>
      </c>
      <c r="X308" s="90" t="str">
        <f t="shared" si="95"/>
        <v/>
      </c>
      <c r="Y308" s="307" t="str">
        <f t="shared" si="96"/>
        <v/>
      </c>
      <c r="Z308" s="307">
        <f t="shared" si="91"/>
        <v>0</v>
      </c>
      <c r="AA308" s="366">
        <f t="shared" si="92"/>
        <v>0</v>
      </c>
      <c r="AB308" s="367">
        <f t="shared" si="97"/>
        <v>0</v>
      </c>
      <c r="AC308" s="305">
        <f t="shared" si="98"/>
        <v>0</v>
      </c>
      <c r="AP308" s="89" t="str">
        <f t="shared" si="86"/>
        <v/>
      </c>
      <c r="AQ308" s="89" t="str">
        <f t="shared" si="102"/>
        <v/>
      </c>
      <c r="AR308" s="315" t="str">
        <f t="shared" si="103"/>
        <v/>
      </c>
      <c r="AS308" s="305" t="str">
        <f t="shared" si="99"/>
        <v>0</v>
      </c>
      <c r="AT308" s="307">
        <f>Table22[[#This Row],[Column1]]</f>
        <v>0</v>
      </c>
    </row>
    <row r="309" spans="1:46" x14ac:dyDescent="0.3">
      <c r="A309" s="307">
        <f t="shared" si="93"/>
        <v>0</v>
      </c>
      <c r="B309" s="307">
        <f t="shared" si="100"/>
        <v>0</v>
      </c>
      <c r="C309" s="308" t="s">
        <v>563</v>
      </c>
      <c r="D309" s="309" t="s">
        <v>563</v>
      </c>
      <c r="E309" s="310">
        <v>0</v>
      </c>
      <c r="F309" s="310">
        <v>0</v>
      </c>
      <c r="G309" s="311">
        <v>0</v>
      </c>
      <c r="H309" s="310" t="s">
        <v>563</v>
      </c>
      <c r="I309" s="310" t="s">
        <v>563</v>
      </c>
      <c r="J309" s="310" t="s">
        <v>563</v>
      </c>
      <c r="K309" s="312">
        <v>0</v>
      </c>
      <c r="L309" s="310">
        <v>0</v>
      </c>
      <c r="M309" s="310">
        <v>0</v>
      </c>
      <c r="N309" s="313" t="s">
        <v>563</v>
      </c>
      <c r="O309" s="314" t="s">
        <v>563</v>
      </c>
      <c r="P309" s="307">
        <f t="shared" si="87"/>
        <v>0</v>
      </c>
      <c r="R309" s="91" t="str">
        <f t="shared" si="101"/>
        <v/>
      </c>
      <c r="S309" s="307" t="str">
        <f t="shared" si="88"/>
        <v>BKK.57aaaaaaaaaaaaaaaaaaaaaaaaaaaaaaaaaaaaaaaaaaaaaaaaaaaaaaaaaaaaaaaaaaaaaaaaaaaaaaaaaaaaaaaaaaaaaaaaaaaaaaaaaaaaaaaaaaaaaaaaa</v>
      </c>
      <c r="T309" s="307" t="str">
        <f t="shared" si="89"/>
        <v/>
      </c>
      <c r="U309" s="315" t="str">
        <f t="shared" si="90"/>
        <v/>
      </c>
      <c r="V309" s="307" t="str">
        <f>N309</f>
        <v/>
      </c>
      <c r="W309" s="307" t="str">
        <f>IFERROR(IF(V309&gt;0,PROPER(Terbilang1(V309)&amp;" Rupiah"),0),"")</f>
        <v/>
      </c>
      <c r="X309" s="90" t="str">
        <f t="shared" si="95"/>
        <v/>
      </c>
      <c r="Y309" s="307" t="str">
        <f t="shared" si="96"/>
        <v/>
      </c>
      <c r="Z309" s="307">
        <f t="shared" si="91"/>
        <v>0</v>
      </c>
      <c r="AA309" s="366">
        <f t="shared" si="92"/>
        <v>0</v>
      </c>
      <c r="AB309" s="367">
        <f t="shared" si="97"/>
        <v>0</v>
      </c>
      <c r="AC309" s="305">
        <f t="shared" si="98"/>
        <v>0</v>
      </c>
      <c r="AP309" s="89" t="str">
        <f t="shared" si="86"/>
        <v/>
      </c>
      <c r="AQ309" s="89" t="str">
        <f t="shared" si="102"/>
        <v/>
      </c>
      <c r="AR309" s="315" t="str">
        <f t="shared" si="103"/>
        <v/>
      </c>
      <c r="AS309" s="305" t="str">
        <f t="shared" si="99"/>
        <v>0</v>
      </c>
      <c r="AT309" s="307">
        <f>Table22[[#This Row],[Column1]]</f>
        <v>0</v>
      </c>
    </row>
    <row r="310" spans="1:46" x14ac:dyDescent="0.3">
      <c r="A310" s="307">
        <f t="shared" si="93"/>
        <v>0</v>
      </c>
      <c r="B310" s="307">
        <f t="shared" si="100"/>
        <v>0</v>
      </c>
      <c r="C310" s="308" t="s">
        <v>563</v>
      </c>
      <c r="D310" s="309" t="s">
        <v>563</v>
      </c>
      <c r="E310" s="310">
        <v>0</v>
      </c>
      <c r="F310" s="310">
        <v>0</v>
      </c>
      <c r="G310" s="311">
        <v>0</v>
      </c>
      <c r="H310" s="310" t="s">
        <v>563</v>
      </c>
      <c r="I310" s="310" t="s">
        <v>563</v>
      </c>
      <c r="J310" s="310" t="s">
        <v>563</v>
      </c>
      <c r="K310" s="312">
        <v>0</v>
      </c>
      <c r="L310" s="310">
        <v>0</v>
      </c>
      <c r="M310" s="310">
        <v>0</v>
      </c>
      <c r="N310" s="313" t="s">
        <v>563</v>
      </c>
      <c r="O310" s="314" t="s">
        <v>563</v>
      </c>
      <c r="P310" s="307">
        <f t="shared" si="87"/>
        <v>0</v>
      </c>
      <c r="R310" s="91" t="str">
        <f t="shared" si="101"/>
        <v/>
      </c>
      <c r="S310" s="307" t="str">
        <f t="shared" si="88"/>
        <v>BKK.57aaaaaaaaaaaaaaaaaaaaaaaaaaaaaaaaaaaaaaaaaaaaaaaaaaaaaaaaaaaaaaaaaaaaaaaaaaaaaaaaaaaaaaaaaaaaaaaaaaaaaaaaaaaaaaaaaaaaaaaaaa</v>
      </c>
      <c r="T310" s="307" t="str">
        <f t="shared" si="89"/>
        <v/>
      </c>
      <c r="U310" s="315" t="str">
        <f t="shared" si="90"/>
        <v/>
      </c>
      <c r="V310" s="307" t="str">
        <f t="shared" si="94"/>
        <v/>
      </c>
      <c r="W310" s="307" t="str">
        <f>IFERROR(IF(V310&gt;0,PROPER(Terbilang1(V310)&amp;" Rupiah"),0),"")</f>
        <v/>
      </c>
      <c r="X310" s="90" t="str">
        <f t="shared" si="95"/>
        <v/>
      </c>
      <c r="Y310" s="307" t="str">
        <f t="shared" si="96"/>
        <v/>
      </c>
      <c r="Z310" s="307">
        <f t="shared" si="91"/>
        <v>0</v>
      </c>
      <c r="AA310" s="366">
        <f t="shared" si="92"/>
        <v>0</v>
      </c>
      <c r="AB310" s="367">
        <f t="shared" si="97"/>
        <v>0</v>
      </c>
      <c r="AC310" s="305">
        <f t="shared" si="98"/>
        <v>0</v>
      </c>
      <c r="AP310" s="89" t="str">
        <f t="shared" si="86"/>
        <v/>
      </c>
      <c r="AQ310" s="89" t="str">
        <f t="shared" si="102"/>
        <v/>
      </c>
      <c r="AR310" s="315" t="str">
        <f t="shared" si="103"/>
        <v/>
      </c>
      <c r="AS310" s="305" t="str">
        <f t="shared" si="99"/>
        <v>0</v>
      </c>
      <c r="AT310" s="307">
        <f>Table22[[#This Row],[Column1]]</f>
        <v>0</v>
      </c>
    </row>
    <row r="311" spans="1:46" x14ac:dyDescent="0.3">
      <c r="A311" s="307">
        <f t="shared" si="93"/>
        <v>0</v>
      </c>
      <c r="B311" s="307">
        <f t="shared" si="100"/>
        <v>0</v>
      </c>
      <c r="C311" s="308" t="s">
        <v>563</v>
      </c>
      <c r="D311" s="309" t="s">
        <v>563</v>
      </c>
      <c r="E311" s="310">
        <v>0</v>
      </c>
      <c r="F311" s="310">
        <v>0</v>
      </c>
      <c r="G311" s="311">
        <v>0</v>
      </c>
      <c r="H311" s="310" t="s">
        <v>563</v>
      </c>
      <c r="I311" s="310" t="s">
        <v>563</v>
      </c>
      <c r="J311" s="310" t="s">
        <v>563</v>
      </c>
      <c r="K311" s="312">
        <v>0</v>
      </c>
      <c r="L311" s="310">
        <v>0</v>
      </c>
      <c r="M311" s="310">
        <v>0</v>
      </c>
      <c r="N311" s="313" t="s">
        <v>563</v>
      </c>
      <c r="O311" s="314" t="s">
        <v>563</v>
      </c>
      <c r="P311" s="307">
        <f t="shared" si="87"/>
        <v>0</v>
      </c>
      <c r="R311" s="91" t="str">
        <f t="shared" si="101"/>
        <v/>
      </c>
      <c r="S311" s="307" t="str">
        <f t="shared" si="88"/>
        <v>BKK.57aaaaaaaaaaaaaaaaaaaaaaaaaaaaaaaaaaaaaaaaaaaaaaaaaaaaaaaaaaaaaaaaaaaaaaaaaaaaaaaaaaaaaaaaaaaaaaaaaaaaaaaaaaaaaaaaaaaaaaaaaaa</v>
      </c>
      <c r="T311" s="307" t="str">
        <f t="shared" si="89"/>
        <v/>
      </c>
      <c r="U311" s="315" t="str">
        <f t="shared" si="90"/>
        <v/>
      </c>
      <c r="V311" s="307" t="str">
        <f t="shared" si="94"/>
        <v/>
      </c>
      <c r="W311" s="307" t="str">
        <f>IFERROR(IF(V311&gt;0,PROPER(Terbilang1(V311)&amp;" Rupiah"),0),"")</f>
        <v/>
      </c>
      <c r="X311" s="90" t="str">
        <f t="shared" si="95"/>
        <v/>
      </c>
      <c r="Y311" s="307" t="str">
        <f t="shared" si="96"/>
        <v/>
      </c>
      <c r="Z311" s="307">
        <f t="shared" si="91"/>
        <v>0</v>
      </c>
      <c r="AA311" s="366">
        <f t="shared" si="92"/>
        <v>0</v>
      </c>
      <c r="AB311" s="367">
        <f t="shared" si="97"/>
        <v>0</v>
      </c>
      <c r="AC311" s="305">
        <f t="shared" si="98"/>
        <v>0</v>
      </c>
      <c r="AP311" s="89" t="str">
        <f t="shared" si="86"/>
        <v/>
      </c>
      <c r="AQ311" s="89" t="str">
        <f t="shared" si="102"/>
        <v/>
      </c>
      <c r="AR311" s="315" t="str">
        <f t="shared" si="103"/>
        <v/>
      </c>
      <c r="AS311" s="305" t="str">
        <f t="shared" si="99"/>
        <v>0</v>
      </c>
      <c r="AT311" s="307">
        <f>Table22[[#This Row],[Column1]]</f>
        <v>0</v>
      </c>
    </row>
    <row r="312" spans="1:46" x14ac:dyDescent="0.3">
      <c r="A312" s="307">
        <f t="shared" si="93"/>
        <v>0</v>
      </c>
      <c r="B312" s="307">
        <f t="shared" si="100"/>
        <v>0</v>
      </c>
      <c r="C312" s="308" t="s">
        <v>563</v>
      </c>
      <c r="D312" s="309" t="s">
        <v>563</v>
      </c>
      <c r="E312" s="310">
        <v>0</v>
      </c>
      <c r="F312" s="310">
        <v>0</v>
      </c>
      <c r="G312" s="311">
        <v>0</v>
      </c>
      <c r="H312" s="310" t="s">
        <v>563</v>
      </c>
      <c r="I312" s="310" t="s">
        <v>563</v>
      </c>
      <c r="J312" s="310" t="s">
        <v>563</v>
      </c>
      <c r="K312" s="312">
        <v>0</v>
      </c>
      <c r="L312" s="310">
        <v>0</v>
      </c>
      <c r="M312" s="310">
        <v>0</v>
      </c>
      <c r="N312" s="313" t="s">
        <v>563</v>
      </c>
      <c r="O312" s="314" t="s">
        <v>563</v>
      </c>
      <c r="P312" s="307">
        <f t="shared" si="87"/>
        <v>0</v>
      </c>
      <c r="R312" s="91" t="str">
        <f t="shared" si="101"/>
        <v/>
      </c>
      <c r="S312" s="307" t="str">
        <f t="shared" si="88"/>
        <v>BKK.57aaaaaaaaaaaaaaaaaaaaaaaaaaaaaaaaaaaaaaaaaaaaaaaaaaaaaaaaaaaaaaaaaaaaaaaaaaaaaaaaaaaaaaaaaaaaaaaaaaaaaaaaaaaaaaaaaaaaaaaaaaaa</v>
      </c>
      <c r="T312" s="307" t="str">
        <f t="shared" si="89"/>
        <v/>
      </c>
      <c r="U312" s="315" t="str">
        <f t="shared" si="90"/>
        <v/>
      </c>
      <c r="V312" s="307" t="str">
        <f>N312</f>
        <v/>
      </c>
      <c r="W312" s="307" t="str">
        <f>IFERROR(IF(V312&gt;0,PROPER(Terbilang1(V312)&amp;" Rupiah"),0),"")</f>
        <v/>
      </c>
      <c r="X312" s="90" t="str">
        <f t="shared" si="95"/>
        <v/>
      </c>
      <c r="Y312" s="307" t="str">
        <f t="shared" si="96"/>
        <v/>
      </c>
      <c r="Z312" s="307">
        <f t="shared" si="91"/>
        <v>0</v>
      </c>
      <c r="AA312" s="366">
        <f t="shared" si="92"/>
        <v>0</v>
      </c>
      <c r="AB312" s="367">
        <f t="shared" si="97"/>
        <v>0</v>
      </c>
      <c r="AC312" s="305">
        <f t="shared" si="98"/>
        <v>0</v>
      </c>
      <c r="AP312" s="89" t="str">
        <f t="shared" si="86"/>
        <v/>
      </c>
      <c r="AQ312" s="89" t="str">
        <f t="shared" si="102"/>
        <v/>
      </c>
      <c r="AR312" s="315" t="str">
        <f t="shared" si="103"/>
        <v/>
      </c>
      <c r="AS312" s="305" t="str">
        <f t="shared" si="99"/>
        <v>0</v>
      </c>
      <c r="AT312" s="307">
        <f>Table22[[#This Row],[Column1]]</f>
        <v>0</v>
      </c>
    </row>
    <row r="313" spans="1:46" x14ac:dyDescent="0.3">
      <c r="A313" s="307">
        <f t="shared" si="93"/>
        <v>0</v>
      </c>
      <c r="B313" s="307">
        <f t="shared" si="100"/>
        <v>0</v>
      </c>
      <c r="C313" s="308" t="s">
        <v>563</v>
      </c>
      <c r="D313" s="309" t="s">
        <v>563</v>
      </c>
      <c r="E313" s="310">
        <v>0</v>
      </c>
      <c r="F313" s="310">
        <v>0</v>
      </c>
      <c r="G313" s="311">
        <v>0</v>
      </c>
      <c r="H313" s="310" t="s">
        <v>563</v>
      </c>
      <c r="I313" s="310" t="s">
        <v>563</v>
      </c>
      <c r="J313" s="310" t="s">
        <v>563</v>
      </c>
      <c r="K313" s="312">
        <v>0</v>
      </c>
      <c r="L313" s="310">
        <v>0</v>
      </c>
      <c r="M313" s="310">
        <v>0</v>
      </c>
      <c r="N313" s="313" t="s">
        <v>563</v>
      </c>
      <c r="O313" s="314" t="s">
        <v>563</v>
      </c>
      <c r="P313" s="307">
        <f t="shared" si="87"/>
        <v>0</v>
      </c>
      <c r="R313" s="91" t="str">
        <f t="shared" si="101"/>
        <v/>
      </c>
      <c r="S313" s="307" t="str">
        <f t="shared" si="88"/>
        <v>BKK.57aaaaaaaaaaaaaaaaaaaaaaaaaaaaaaaaaaaaaaaaaaaaaaaaaaaaaaaaaaaaaaaaaaaaaaaaaaaaaaaaaaaaaaaaaaaaaaaaaaaaaaaaaaaaaaaaaaaaaaaaaaaaa</v>
      </c>
      <c r="T313" s="307" t="str">
        <f t="shared" si="89"/>
        <v/>
      </c>
      <c r="U313" s="315" t="str">
        <f t="shared" si="90"/>
        <v/>
      </c>
      <c r="V313" s="307" t="str">
        <f>N313</f>
        <v/>
      </c>
      <c r="W313" s="307" t="str">
        <f>IFERROR(IF(V313&gt;0,PROPER(Terbilang1(V313)&amp;" Rupiah"),0),"")</f>
        <v/>
      </c>
      <c r="X313" s="90" t="str">
        <f t="shared" si="95"/>
        <v/>
      </c>
      <c r="Y313" s="307" t="str">
        <f t="shared" si="96"/>
        <v/>
      </c>
      <c r="Z313" s="307">
        <f t="shared" si="91"/>
        <v>0</v>
      </c>
      <c r="AA313" s="366">
        <f t="shared" si="92"/>
        <v>0</v>
      </c>
      <c r="AB313" s="367">
        <f t="shared" si="97"/>
        <v>0</v>
      </c>
      <c r="AC313" s="305">
        <f t="shared" si="98"/>
        <v>0</v>
      </c>
      <c r="AP313" s="89" t="str">
        <f t="shared" si="86"/>
        <v/>
      </c>
      <c r="AQ313" s="89" t="str">
        <f t="shared" si="102"/>
        <v/>
      </c>
      <c r="AR313" s="315" t="str">
        <f t="shared" si="103"/>
        <v/>
      </c>
      <c r="AS313" s="305" t="str">
        <f t="shared" si="99"/>
        <v>0</v>
      </c>
      <c r="AT313" s="307">
        <f>Table22[[#This Row],[Column1]]</f>
        <v>0</v>
      </c>
    </row>
    <row r="314" spans="1:46" x14ac:dyDescent="0.3">
      <c r="A314" s="307">
        <f t="shared" si="93"/>
        <v>0</v>
      </c>
      <c r="B314" s="307">
        <f t="shared" si="100"/>
        <v>0</v>
      </c>
      <c r="C314" s="308" t="s">
        <v>563</v>
      </c>
      <c r="D314" s="309" t="s">
        <v>563</v>
      </c>
      <c r="E314" s="310">
        <v>0</v>
      </c>
      <c r="F314" s="310">
        <v>0</v>
      </c>
      <c r="G314" s="311">
        <v>0</v>
      </c>
      <c r="H314" s="310" t="s">
        <v>563</v>
      </c>
      <c r="I314" s="310" t="s">
        <v>563</v>
      </c>
      <c r="J314" s="310" t="s">
        <v>563</v>
      </c>
      <c r="K314" s="312">
        <v>0</v>
      </c>
      <c r="L314" s="310">
        <v>0</v>
      </c>
      <c r="M314" s="310">
        <v>0</v>
      </c>
      <c r="N314" s="313" t="s">
        <v>563</v>
      </c>
      <c r="O314" s="314" t="s">
        <v>563</v>
      </c>
      <c r="P314" s="307">
        <f t="shared" si="87"/>
        <v>0</v>
      </c>
      <c r="R314" s="91" t="str">
        <f t="shared" si="101"/>
        <v/>
      </c>
      <c r="S314" s="307" t="str">
        <f t="shared" si="88"/>
        <v>BKK.57aaaaaaaaaaaaaaaaaaaaaaaaaaaaaaaaaaaaaaaaaaaaaaaaaaaaaaaaaaaaaaaaaaaaaaaaaaaaaaaaaaaaaaaaaaaaaaaaaaaaaaaaaaaaaaaaaaaaaaaaaaaaaa</v>
      </c>
      <c r="T314" s="307" t="str">
        <f t="shared" si="89"/>
        <v/>
      </c>
      <c r="U314" s="315" t="str">
        <f t="shared" si="90"/>
        <v/>
      </c>
      <c r="V314" s="307" t="str">
        <f t="shared" si="94"/>
        <v/>
      </c>
      <c r="W314" s="307" t="str">
        <f>IFERROR(IF(V314&gt;0,PROPER(Terbilang1(V314)&amp;" Rupiah"),0),"")</f>
        <v/>
      </c>
      <c r="X314" s="90" t="str">
        <f t="shared" si="95"/>
        <v/>
      </c>
      <c r="Y314" s="307" t="str">
        <f t="shared" si="96"/>
        <v/>
      </c>
      <c r="Z314" s="307">
        <f t="shared" si="91"/>
        <v>0</v>
      </c>
      <c r="AA314" s="366">
        <f t="shared" si="92"/>
        <v>0</v>
      </c>
      <c r="AB314" s="367">
        <f t="shared" si="97"/>
        <v>0</v>
      </c>
      <c r="AC314" s="305">
        <f t="shared" si="98"/>
        <v>0</v>
      </c>
      <c r="AP314" s="89" t="str">
        <f t="shared" si="86"/>
        <v/>
      </c>
      <c r="AQ314" s="89" t="str">
        <f t="shared" si="102"/>
        <v/>
      </c>
      <c r="AR314" s="315" t="str">
        <f t="shared" si="103"/>
        <v/>
      </c>
      <c r="AS314" s="305" t="str">
        <f t="shared" si="99"/>
        <v>0</v>
      </c>
      <c r="AT314" s="307">
        <f>Table22[[#This Row],[Column1]]</f>
        <v>0</v>
      </c>
    </row>
    <row r="315" spans="1:46" x14ac:dyDescent="0.3">
      <c r="A315" s="307">
        <f t="shared" si="93"/>
        <v>0</v>
      </c>
      <c r="B315" s="307">
        <f t="shared" si="100"/>
        <v>0</v>
      </c>
      <c r="C315" s="308" t="s">
        <v>563</v>
      </c>
      <c r="D315" s="309" t="s">
        <v>563</v>
      </c>
      <c r="E315" s="310">
        <v>0</v>
      </c>
      <c r="F315" s="310">
        <v>0</v>
      </c>
      <c r="G315" s="311">
        <v>0</v>
      </c>
      <c r="H315" s="310" t="s">
        <v>563</v>
      </c>
      <c r="I315" s="310" t="s">
        <v>563</v>
      </c>
      <c r="J315" s="310" t="s">
        <v>563</v>
      </c>
      <c r="K315" s="312">
        <v>0</v>
      </c>
      <c r="L315" s="310">
        <v>0</v>
      </c>
      <c r="M315" s="310">
        <v>0</v>
      </c>
      <c r="N315" s="313" t="s">
        <v>563</v>
      </c>
      <c r="O315" s="314" t="s">
        <v>563</v>
      </c>
      <c r="P315" s="307">
        <f t="shared" si="87"/>
        <v>0</v>
      </c>
      <c r="R315" s="91" t="str">
        <f t="shared" si="101"/>
        <v/>
      </c>
      <c r="S315" s="307" t="str">
        <f t="shared" si="88"/>
        <v>BKK.57aaaaaaaaaaaaaaaaaaaaaaaaaaaaaaaaaaaaaaaaaaaaaaaaaaaaaaaaaaaaaaaaaaaaaaaaaaaaaaaaaaaaaaaaaaaaaaaaaaaaaaaaaaaaaaaaaaaaaaaaaaaaaaa</v>
      </c>
      <c r="T315" s="307" t="str">
        <f t="shared" si="89"/>
        <v/>
      </c>
      <c r="U315" s="315" t="str">
        <f t="shared" si="90"/>
        <v/>
      </c>
      <c r="V315" s="307" t="str">
        <f>N315</f>
        <v/>
      </c>
      <c r="W315" s="307" t="str">
        <f>IFERROR(IF(V315&gt;0,PROPER(Terbilang1(V315)&amp;" Rupiah"),0),"")</f>
        <v/>
      </c>
      <c r="X315" s="90" t="str">
        <f t="shared" si="95"/>
        <v/>
      </c>
      <c r="Y315" s="307" t="str">
        <f t="shared" si="96"/>
        <v/>
      </c>
      <c r="Z315" s="307">
        <f t="shared" si="91"/>
        <v>0</v>
      </c>
      <c r="AA315" s="366">
        <f t="shared" si="92"/>
        <v>0</v>
      </c>
      <c r="AB315" s="367">
        <f t="shared" si="97"/>
        <v>0</v>
      </c>
      <c r="AC315" s="305">
        <f t="shared" si="98"/>
        <v>0</v>
      </c>
      <c r="AP315" s="89" t="str">
        <f t="shared" si="86"/>
        <v/>
      </c>
      <c r="AQ315" s="89" t="str">
        <f t="shared" si="102"/>
        <v/>
      </c>
      <c r="AR315" s="315" t="str">
        <f t="shared" si="103"/>
        <v/>
      </c>
      <c r="AS315" s="305" t="str">
        <f t="shared" si="99"/>
        <v>0</v>
      </c>
      <c r="AT315" s="307">
        <f>Table22[[#This Row],[Column1]]</f>
        <v>0</v>
      </c>
    </row>
    <row r="316" spans="1:46" x14ac:dyDescent="0.3">
      <c r="A316" s="307">
        <f t="shared" si="93"/>
        <v>0</v>
      </c>
      <c r="B316" s="307">
        <f t="shared" si="100"/>
        <v>0</v>
      </c>
      <c r="C316" s="308" t="s">
        <v>563</v>
      </c>
      <c r="D316" s="309" t="s">
        <v>563</v>
      </c>
      <c r="E316" s="310">
        <v>0</v>
      </c>
      <c r="F316" s="310">
        <v>0</v>
      </c>
      <c r="G316" s="311">
        <v>0</v>
      </c>
      <c r="H316" s="310" t="s">
        <v>563</v>
      </c>
      <c r="I316" s="310" t="s">
        <v>563</v>
      </c>
      <c r="J316" s="310" t="s">
        <v>563</v>
      </c>
      <c r="K316" s="312">
        <v>0</v>
      </c>
      <c r="L316" s="310">
        <v>0</v>
      </c>
      <c r="M316" s="310">
        <v>0</v>
      </c>
      <c r="N316" s="313" t="s">
        <v>563</v>
      </c>
      <c r="O316" s="314" t="s">
        <v>563</v>
      </c>
      <c r="P316" s="307">
        <f t="shared" si="87"/>
        <v>0</v>
      </c>
      <c r="R316" s="91" t="str">
        <f t="shared" si="101"/>
        <v/>
      </c>
      <c r="S316" s="307" t="str">
        <f t="shared" si="88"/>
        <v>BKK.57aaaaaaaaaaaaaaaaaaaaaaaaaaaaaaaaaaaaaaaaaaaaaaaaaaaaaaaaaaaaaaaaaaaaaaaaaaaaaaaaaaaaaaaaaaaaaaaaaaaaaaaaaaaaaaaaaaaaaaaaaaaaaaaa</v>
      </c>
      <c r="T316" s="307" t="str">
        <f t="shared" si="89"/>
        <v/>
      </c>
      <c r="U316" s="315" t="str">
        <f t="shared" si="90"/>
        <v/>
      </c>
      <c r="V316" s="307" t="str">
        <f t="shared" si="94"/>
        <v/>
      </c>
      <c r="W316" s="307" t="str">
        <f>IFERROR(IF(V316&gt;0,PROPER(Terbilang1(V316)&amp;" Rupiah"),0),"")</f>
        <v/>
      </c>
      <c r="X316" s="90" t="str">
        <f t="shared" si="95"/>
        <v/>
      </c>
      <c r="Y316" s="307" t="str">
        <f t="shared" si="96"/>
        <v/>
      </c>
      <c r="Z316" s="307">
        <f t="shared" si="91"/>
        <v>0</v>
      </c>
      <c r="AA316" s="366">
        <f t="shared" si="92"/>
        <v>0</v>
      </c>
      <c r="AB316" s="367">
        <f t="shared" si="97"/>
        <v>0</v>
      </c>
      <c r="AC316" s="305">
        <f t="shared" si="98"/>
        <v>0</v>
      </c>
      <c r="AP316" s="89" t="str">
        <f t="shared" si="86"/>
        <v/>
      </c>
      <c r="AQ316" s="89" t="str">
        <f t="shared" si="102"/>
        <v/>
      </c>
      <c r="AR316" s="315" t="str">
        <f t="shared" si="103"/>
        <v/>
      </c>
      <c r="AS316" s="305" t="str">
        <f t="shared" si="99"/>
        <v>0</v>
      </c>
      <c r="AT316" s="307">
        <f>Table22[[#This Row],[Column1]]</f>
        <v>0</v>
      </c>
    </row>
    <row r="317" spans="1:46" x14ac:dyDescent="0.3">
      <c r="A317" s="307">
        <f t="shared" si="93"/>
        <v>0</v>
      </c>
      <c r="B317" s="307">
        <f t="shared" si="100"/>
        <v>0</v>
      </c>
      <c r="C317" s="308" t="s">
        <v>563</v>
      </c>
      <c r="D317" s="309" t="s">
        <v>563</v>
      </c>
      <c r="E317" s="310">
        <v>0</v>
      </c>
      <c r="F317" s="310">
        <v>0</v>
      </c>
      <c r="G317" s="311">
        <v>0</v>
      </c>
      <c r="H317" s="310" t="s">
        <v>563</v>
      </c>
      <c r="I317" s="310" t="s">
        <v>563</v>
      </c>
      <c r="J317" s="310" t="s">
        <v>563</v>
      </c>
      <c r="K317" s="312">
        <v>0</v>
      </c>
      <c r="L317" s="310">
        <v>0</v>
      </c>
      <c r="M317" s="310">
        <v>0</v>
      </c>
      <c r="N317" s="313" t="s">
        <v>563</v>
      </c>
      <c r="O317" s="314" t="s">
        <v>563</v>
      </c>
      <c r="P317" s="307">
        <f t="shared" si="87"/>
        <v>0</v>
      </c>
      <c r="R317" s="91" t="str">
        <f t="shared" si="101"/>
        <v/>
      </c>
      <c r="S317" s="307" t="str">
        <f t="shared" si="88"/>
        <v>BKK.57aaaaaaaaaaaaaaaaaaaaaaaaaaaaaaaaaaaaaaaaaaaaaaaaaaaaaaaaaaaaaaaaaaaaaaaaaaaaaaaaaaaaaaaaaaaaaaaaaaaaaaaaaaaaaaaaaaaaaaaaaaaaaaaaa</v>
      </c>
      <c r="T317" s="307" t="str">
        <f t="shared" si="89"/>
        <v/>
      </c>
      <c r="U317" s="315" t="str">
        <f t="shared" si="90"/>
        <v/>
      </c>
      <c r="V317" s="307" t="str">
        <f t="shared" si="94"/>
        <v/>
      </c>
      <c r="W317" s="307" t="str">
        <f>IFERROR(IF(V317&gt;0,PROPER(Terbilang1(V317)&amp;" Rupiah"),0),"")</f>
        <v/>
      </c>
      <c r="X317" s="90" t="str">
        <f t="shared" si="95"/>
        <v/>
      </c>
      <c r="Y317" s="307" t="str">
        <f t="shared" si="96"/>
        <v/>
      </c>
      <c r="Z317" s="307">
        <f t="shared" si="91"/>
        <v>0</v>
      </c>
      <c r="AA317" s="366">
        <f t="shared" si="92"/>
        <v>0</v>
      </c>
      <c r="AB317" s="367">
        <f t="shared" si="97"/>
        <v>0</v>
      </c>
      <c r="AC317" s="305">
        <f t="shared" si="98"/>
        <v>0</v>
      </c>
      <c r="AP317" s="89" t="str">
        <f t="shared" si="86"/>
        <v/>
      </c>
      <c r="AQ317" s="89" t="str">
        <f t="shared" si="102"/>
        <v/>
      </c>
      <c r="AR317" s="315" t="str">
        <f t="shared" si="103"/>
        <v/>
      </c>
      <c r="AS317" s="305" t="str">
        <f t="shared" si="99"/>
        <v>0</v>
      </c>
      <c r="AT317" s="307">
        <f>Table22[[#This Row],[Column1]]</f>
        <v>0</v>
      </c>
    </row>
    <row r="318" spans="1:46" x14ac:dyDescent="0.3">
      <c r="A318" s="307">
        <f t="shared" si="93"/>
        <v>0</v>
      </c>
      <c r="B318" s="307">
        <f t="shared" si="100"/>
        <v>0</v>
      </c>
      <c r="C318" s="308" t="s">
        <v>563</v>
      </c>
      <c r="D318" s="309" t="s">
        <v>563</v>
      </c>
      <c r="E318" s="310">
        <v>0</v>
      </c>
      <c r="F318" s="310">
        <v>0</v>
      </c>
      <c r="G318" s="311">
        <v>0</v>
      </c>
      <c r="H318" s="310" t="s">
        <v>563</v>
      </c>
      <c r="I318" s="310" t="s">
        <v>563</v>
      </c>
      <c r="J318" s="310" t="s">
        <v>563</v>
      </c>
      <c r="K318" s="312">
        <v>0</v>
      </c>
      <c r="L318" s="310">
        <v>0</v>
      </c>
      <c r="M318" s="310">
        <v>0</v>
      </c>
      <c r="N318" s="313" t="s">
        <v>563</v>
      </c>
      <c r="O318" s="314" t="s">
        <v>563</v>
      </c>
      <c r="P318" s="307">
        <f t="shared" si="87"/>
        <v>0</v>
      </c>
      <c r="R318" s="91" t="str">
        <f t="shared" si="101"/>
        <v/>
      </c>
      <c r="S318" s="307" t="str">
        <f t="shared" si="88"/>
        <v>BKK.57aaaaaaaaaaaaaaaaaaaaaaaaaaaaaaaaaaaaaaaaaaaaaaaaaaaaaaaaaaaaaaaaaaaaaaaaaaaaaaaaaaaaaaaaaaaaaaaaaaaaaaaaaaaaaaaaaaaaaaaaaaaaaaaaaa</v>
      </c>
      <c r="T318" s="307" t="str">
        <f t="shared" si="89"/>
        <v/>
      </c>
      <c r="U318" s="315" t="str">
        <f t="shared" si="90"/>
        <v/>
      </c>
      <c r="V318" s="307" t="str">
        <f t="shared" si="94"/>
        <v/>
      </c>
      <c r="W318" s="307" t="str">
        <f>IFERROR(IF(V318&gt;0,PROPER(Terbilang1(V318)&amp;" Rupiah"),0),"")</f>
        <v/>
      </c>
      <c r="X318" s="90" t="str">
        <f t="shared" si="95"/>
        <v/>
      </c>
      <c r="Y318" s="307" t="str">
        <f t="shared" si="96"/>
        <v/>
      </c>
      <c r="Z318" s="307">
        <f t="shared" si="91"/>
        <v>0</v>
      </c>
      <c r="AA318" s="366">
        <f t="shared" si="92"/>
        <v>0</v>
      </c>
      <c r="AB318" s="367">
        <f t="shared" si="97"/>
        <v>0</v>
      </c>
      <c r="AC318" s="305">
        <f t="shared" si="98"/>
        <v>0</v>
      </c>
      <c r="AP318" s="89" t="str">
        <f t="shared" si="86"/>
        <v/>
      </c>
      <c r="AQ318" s="89" t="str">
        <f t="shared" si="102"/>
        <v/>
      </c>
      <c r="AR318" s="315" t="str">
        <f t="shared" si="103"/>
        <v/>
      </c>
      <c r="AS318" s="305" t="str">
        <f t="shared" si="99"/>
        <v>0</v>
      </c>
      <c r="AT318" s="307">
        <f>Table22[[#This Row],[Column1]]</f>
        <v>0</v>
      </c>
    </row>
    <row r="319" spans="1:46" x14ac:dyDescent="0.3">
      <c r="A319" s="307">
        <f t="shared" si="93"/>
        <v>0</v>
      </c>
      <c r="B319" s="307">
        <f t="shared" si="100"/>
        <v>0</v>
      </c>
      <c r="C319" s="308" t="s">
        <v>563</v>
      </c>
      <c r="D319" s="309" t="s">
        <v>563</v>
      </c>
      <c r="E319" s="310">
        <v>0</v>
      </c>
      <c r="F319" s="310">
        <v>0</v>
      </c>
      <c r="G319" s="311">
        <v>0</v>
      </c>
      <c r="H319" s="310" t="s">
        <v>563</v>
      </c>
      <c r="I319" s="310" t="s">
        <v>563</v>
      </c>
      <c r="J319" s="310" t="s">
        <v>563</v>
      </c>
      <c r="K319" s="312">
        <v>0</v>
      </c>
      <c r="L319" s="310">
        <v>0</v>
      </c>
      <c r="M319" s="310">
        <v>0</v>
      </c>
      <c r="N319" s="313" t="s">
        <v>563</v>
      </c>
      <c r="O319" s="314" t="s">
        <v>563</v>
      </c>
      <c r="P319" s="307">
        <f t="shared" si="87"/>
        <v>0</v>
      </c>
      <c r="R319" s="91" t="str">
        <f t="shared" si="101"/>
        <v/>
      </c>
      <c r="S319" s="307" t="str">
        <f t="shared" si="88"/>
        <v>BKK.57aaaaaaaaaaaaaaaaaaaaaaaaaaaaaaaaaaaaaaaaaaaaaaaaaaaaaaaaaaaaaaaaaaaaaaaaaaaaaaaaaaaaaaaaaaaaaaaaaaaaaaaaaaaaaaaaaaaaaaaaaaaaaaaaaaa</v>
      </c>
      <c r="T319" s="307" t="str">
        <f t="shared" si="89"/>
        <v/>
      </c>
      <c r="U319" s="315" t="str">
        <f t="shared" si="90"/>
        <v/>
      </c>
      <c r="V319" s="307" t="str">
        <f t="shared" si="94"/>
        <v/>
      </c>
      <c r="W319" s="307" t="str">
        <f>IFERROR(IF(V319&gt;0,PROPER(Terbilang1(V319)&amp;" Rupiah"),0),"")</f>
        <v/>
      </c>
      <c r="X319" s="90" t="str">
        <f t="shared" si="95"/>
        <v/>
      </c>
      <c r="Y319" s="307" t="str">
        <f t="shared" si="96"/>
        <v/>
      </c>
      <c r="Z319" s="307">
        <f t="shared" si="91"/>
        <v>0</v>
      </c>
      <c r="AA319" s="366">
        <f t="shared" si="92"/>
        <v>0</v>
      </c>
      <c r="AB319" s="367">
        <f t="shared" si="97"/>
        <v>0</v>
      </c>
      <c r="AC319" s="305">
        <f t="shared" si="98"/>
        <v>0</v>
      </c>
      <c r="AP319" s="89" t="str">
        <f t="shared" si="86"/>
        <v/>
      </c>
      <c r="AQ319" s="89" t="str">
        <f t="shared" si="102"/>
        <v/>
      </c>
      <c r="AR319" s="315" t="str">
        <f t="shared" si="103"/>
        <v/>
      </c>
      <c r="AS319" s="305" t="str">
        <f t="shared" si="99"/>
        <v>0</v>
      </c>
      <c r="AT319" s="307">
        <f>Table22[[#This Row],[Column1]]</f>
        <v>0</v>
      </c>
    </row>
    <row r="320" spans="1:46" x14ac:dyDescent="0.3">
      <c r="A320" s="307">
        <f t="shared" si="93"/>
        <v>0</v>
      </c>
      <c r="B320" s="307">
        <f t="shared" si="100"/>
        <v>0</v>
      </c>
      <c r="C320" s="308" t="s">
        <v>563</v>
      </c>
      <c r="D320" s="309" t="s">
        <v>563</v>
      </c>
      <c r="E320" s="310">
        <v>0</v>
      </c>
      <c r="F320" s="310">
        <v>0</v>
      </c>
      <c r="G320" s="311">
        <v>0</v>
      </c>
      <c r="H320" s="310" t="s">
        <v>563</v>
      </c>
      <c r="I320" s="310" t="s">
        <v>563</v>
      </c>
      <c r="J320" s="310" t="s">
        <v>563</v>
      </c>
      <c r="K320" s="312">
        <v>0</v>
      </c>
      <c r="L320" s="310">
        <v>0</v>
      </c>
      <c r="M320" s="310">
        <v>0</v>
      </c>
      <c r="N320" s="313" t="s">
        <v>563</v>
      </c>
      <c r="O320" s="314" t="s">
        <v>563</v>
      </c>
      <c r="P320" s="307">
        <f t="shared" si="87"/>
        <v>0</v>
      </c>
      <c r="R320" s="91" t="str">
        <f t="shared" si="101"/>
        <v/>
      </c>
      <c r="S320" s="307" t="str">
        <f t="shared" si="88"/>
        <v>BKK.57aaaaaaaaaaaaaaaaaaaaaaaaaaaaaaaaaaaaaaaaaaaaaaaaaaaaaaaaaaaaaaaaaaaaaaaaaaaaaaaaaaaaaaaaaaaaaaaaaaaaaaaaaaaaaaaaaaaaaaaaaaaaaaaaaaaa</v>
      </c>
      <c r="T320" s="307" t="str">
        <f t="shared" si="89"/>
        <v/>
      </c>
      <c r="U320" s="315" t="str">
        <f t="shared" si="90"/>
        <v/>
      </c>
      <c r="V320" s="307" t="str">
        <f>N320</f>
        <v/>
      </c>
      <c r="W320" s="307" t="str">
        <f>IFERROR(IF(V320&gt;0,PROPER(Terbilang1(V320)&amp;" Rupiah"),0),"")</f>
        <v/>
      </c>
      <c r="X320" s="90" t="str">
        <f t="shared" si="95"/>
        <v/>
      </c>
      <c r="Y320" s="307" t="str">
        <f t="shared" si="96"/>
        <v/>
      </c>
      <c r="Z320" s="307">
        <f t="shared" si="91"/>
        <v>0</v>
      </c>
      <c r="AA320" s="366">
        <f t="shared" si="92"/>
        <v>0</v>
      </c>
      <c r="AB320" s="367">
        <f t="shared" si="97"/>
        <v>0</v>
      </c>
      <c r="AC320" s="305">
        <f t="shared" si="98"/>
        <v>0</v>
      </c>
      <c r="AP320" s="89" t="str">
        <f t="shared" si="86"/>
        <v/>
      </c>
      <c r="AQ320" s="89" t="str">
        <f t="shared" si="102"/>
        <v/>
      </c>
      <c r="AR320" s="315" t="str">
        <f t="shared" si="103"/>
        <v/>
      </c>
      <c r="AS320" s="305" t="str">
        <f t="shared" si="99"/>
        <v>0</v>
      </c>
      <c r="AT320" s="307">
        <f>Table22[[#This Row],[Column1]]</f>
        <v>0</v>
      </c>
    </row>
    <row r="321" spans="1:46" x14ac:dyDescent="0.3">
      <c r="A321" s="307">
        <f t="shared" si="93"/>
        <v>0</v>
      </c>
      <c r="B321" s="307">
        <f t="shared" si="100"/>
        <v>0</v>
      </c>
      <c r="C321" s="308" t="s">
        <v>563</v>
      </c>
      <c r="D321" s="309" t="s">
        <v>563</v>
      </c>
      <c r="E321" s="310">
        <v>0</v>
      </c>
      <c r="F321" s="310">
        <v>0</v>
      </c>
      <c r="G321" s="311">
        <v>0</v>
      </c>
      <c r="H321" s="310" t="s">
        <v>563</v>
      </c>
      <c r="I321" s="310" t="s">
        <v>563</v>
      </c>
      <c r="J321" s="310" t="s">
        <v>563</v>
      </c>
      <c r="K321" s="312">
        <v>0</v>
      </c>
      <c r="L321" s="310">
        <v>0</v>
      </c>
      <c r="M321" s="310">
        <v>0</v>
      </c>
      <c r="N321" s="313" t="s">
        <v>563</v>
      </c>
      <c r="O321" s="314" t="s">
        <v>563</v>
      </c>
      <c r="P321" s="307">
        <f t="shared" si="87"/>
        <v>0</v>
      </c>
      <c r="R321" s="91" t="str">
        <f t="shared" si="101"/>
        <v/>
      </c>
      <c r="S321" s="307" t="str">
        <f t="shared" si="88"/>
        <v>BKK.57aaaaaaaaaaaaaaaaaaaaaaaaaaaaaaaaaaaaaaaaaaaaaaaaaaaaaaaaaaaaaaaaaaaaaaaaaaaaaaaaaaaaaaaaaaaaaaaaaaaaaaaaaaaaaaaaaaaaaaaaaaaaaaaaaaaaa</v>
      </c>
      <c r="T321" s="307" t="str">
        <f t="shared" si="89"/>
        <v/>
      </c>
      <c r="U321" s="315" t="str">
        <f t="shared" si="90"/>
        <v/>
      </c>
      <c r="V321" s="307" t="str">
        <f t="shared" si="94"/>
        <v/>
      </c>
      <c r="W321" s="307" t="str">
        <f>IFERROR(IF(V321&gt;0,PROPER(Terbilang1(V321)&amp;" Rupiah"),0),"")</f>
        <v/>
      </c>
      <c r="X321" s="90" t="str">
        <f t="shared" si="95"/>
        <v/>
      </c>
      <c r="Y321" s="307" t="str">
        <f t="shared" si="96"/>
        <v/>
      </c>
      <c r="Z321" s="307">
        <f t="shared" si="91"/>
        <v>0</v>
      </c>
      <c r="AA321" s="366">
        <f t="shared" si="92"/>
        <v>0</v>
      </c>
      <c r="AB321" s="367">
        <f t="shared" si="97"/>
        <v>0</v>
      </c>
      <c r="AC321" s="305">
        <f t="shared" si="98"/>
        <v>0</v>
      </c>
      <c r="AP321" s="89" t="str">
        <f t="shared" ref="AP321:AP384" si="104">IF(LEFT(O321,3)="BKK",1,"")</f>
        <v/>
      </c>
      <c r="AQ321" s="89" t="str">
        <f t="shared" si="102"/>
        <v/>
      </c>
      <c r="AR321" s="315" t="str">
        <f t="shared" si="103"/>
        <v/>
      </c>
      <c r="AS321" s="305" t="str">
        <f t="shared" si="99"/>
        <v>0</v>
      </c>
      <c r="AT321" s="307">
        <f>Table22[[#This Row],[Column1]]</f>
        <v>0</v>
      </c>
    </row>
    <row r="322" spans="1:46" x14ac:dyDescent="0.3">
      <c r="A322" s="307">
        <f t="shared" si="93"/>
        <v>0</v>
      </c>
      <c r="B322" s="307">
        <f t="shared" si="100"/>
        <v>0</v>
      </c>
      <c r="C322" s="308" t="s">
        <v>563</v>
      </c>
      <c r="D322" s="309" t="s">
        <v>563</v>
      </c>
      <c r="E322" s="310">
        <v>0</v>
      </c>
      <c r="F322" s="310">
        <v>0</v>
      </c>
      <c r="G322" s="311">
        <v>0</v>
      </c>
      <c r="H322" s="310" t="s">
        <v>563</v>
      </c>
      <c r="I322" s="310" t="s">
        <v>563</v>
      </c>
      <c r="J322" s="310" t="s">
        <v>563</v>
      </c>
      <c r="K322" s="312">
        <v>0</v>
      </c>
      <c r="L322" s="310">
        <v>0</v>
      </c>
      <c r="M322" s="310">
        <v>0</v>
      </c>
      <c r="N322" s="313" t="s">
        <v>563</v>
      </c>
      <c r="O322" s="314" t="s">
        <v>563</v>
      </c>
      <c r="P322" s="307">
        <f t="shared" ref="P322:P385" si="105">IF(LEFT(O322,1)="B",R322,0)</f>
        <v>0</v>
      </c>
      <c r="R322" s="91" t="str">
        <f t="shared" si="101"/>
        <v/>
      </c>
      <c r="S322" s="307" t="str">
        <f t="shared" ref="S322:S385" si="106">IF(O322="",S321&amp;"a",IF(O322&gt;0,O322,0))</f>
        <v>BKK.57aaaaaaaaaaaaaaaaaaaaaaaaaaaaaaaaaaaaaaaaaaaaaaaaaaaaaaaaaaaaaaaaaaaaaaaaaaaaaaaaaaaaaaaaaaaaaaaaaaaaaaaaaaaaaaaaaaaaaaaaaaaaaaaaaaaaaa</v>
      </c>
      <c r="T322" s="307" t="str">
        <f t="shared" ref="T322:T385" si="107">IF(G322=0,"",G322)</f>
        <v/>
      </c>
      <c r="U322" s="315" t="str">
        <f t="shared" ref="U322:U385" si="108">D322</f>
        <v/>
      </c>
      <c r="V322" s="307" t="str">
        <f t="shared" si="94"/>
        <v/>
      </c>
      <c r="W322" s="307" t="str">
        <f>IFERROR(IF(V322&gt;0,PROPER(Terbilang1(V322)&amp;" Rupiah"),0),"")</f>
        <v/>
      </c>
      <c r="X322" s="90" t="str">
        <f t="shared" si="95"/>
        <v/>
      </c>
      <c r="Y322" s="307" t="str">
        <f t="shared" si="96"/>
        <v/>
      </c>
      <c r="Z322" s="307">
        <f t="shared" ref="Z322:Z385" si="109">IF(LEN(AA322)&gt;1,AA322,IF(AA322=0,AB322,0))</f>
        <v>0</v>
      </c>
      <c r="AA322" s="366">
        <f t="shared" ref="AA322:AA385" si="110">IFERROR(IF(AND(N322&gt;1,LEFT(G322,5)="Bayar"),N322*3.5%,IF(N322&gt;2000000,N322*(IF(OR(LEFT(F322,3)="MoP",LEFT(F322,3)="GaJ"),0,11%)),0)),0)</f>
        <v>0</v>
      </c>
      <c r="AB322" s="367">
        <f t="shared" si="97"/>
        <v>0</v>
      </c>
      <c r="AC322" s="305">
        <f t="shared" si="98"/>
        <v>0</v>
      </c>
      <c r="AP322" s="89" t="str">
        <f t="shared" si="104"/>
        <v/>
      </c>
      <c r="AQ322" s="89" t="str">
        <f t="shared" si="102"/>
        <v/>
      </c>
      <c r="AR322" s="315" t="str">
        <f t="shared" si="103"/>
        <v/>
      </c>
      <c r="AS322" s="305" t="str">
        <f t="shared" si="99"/>
        <v>0</v>
      </c>
      <c r="AT322" s="307">
        <f>Table22[[#This Row],[Column1]]</f>
        <v>0</v>
      </c>
    </row>
    <row r="323" spans="1:46" x14ac:dyDescent="0.3">
      <c r="A323" s="307">
        <f t="shared" ref="A323:A386" si="111">IF(C323=1,C323&amp;"."&amp;MOD(ROW()-1,$AJ$2+1),IF(C323=2,C323&amp;"."&amp;MOD(ROW()-($AJ$2+1),$AK$2+1),IF(C323=3,C323&amp;"."&amp;MOD(ROW()-($AJ$2+$AK$2+1),$AL$2+1),IF(C323=4,C323&amp;"."&amp;MOD(ROW()-($AJ$2+$AK$2+$AL$2+1),$AM$2+1),IF(C323=5,C323&amp;"."&amp;MOD(ROW()-($AJ$2+$AK$2+$AL$2+$AM$2+1),$AN$2+1),0)))))</f>
        <v>0</v>
      </c>
      <c r="B323" s="307">
        <f t="shared" si="100"/>
        <v>0</v>
      </c>
      <c r="C323" s="308" t="s">
        <v>563</v>
      </c>
      <c r="D323" s="309" t="s">
        <v>563</v>
      </c>
      <c r="E323" s="310">
        <v>0</v>
      </c>
      <c r="F323" s="310">
        <v>0</v>
      </c>
      <c r="G323" s="311">
        <v>0</v>
      </c>
      <c r="H323" s="310" t="s">
        <v>563</v>
      </c>
      <c r="I323" s="310" t="s">
        <v>563</v>
      </c>
      <c r="J323" s="310" t="s">
        <v>563</v>
      </c>
      <c r="K323" s="312">
        <v>0</v>
      </c>
      <c r="L323" s="310">
        <v>0</v>
      </c>
      <c r="M323" s="310">
        <v>0</v>
      </c>
      <c r="N323" s="313" t="s">
        <v>563</v>
      </c>
      <c r="O323" s="314" t="s">
        <v>563</v>
      </c>
      <c r="P323" s="307">
        <f t="shared" si="105"/>
        <v>0</v>
      </c>
      <c r="R323" s="91" t="str">
        <f t="shared" si="101"/>
        <v/>
      </c>
      <c r="S323" s="307" t="str">
        <f t="shared" si="106"/>
        <v>BKK.57aaaaaaaaaaaaaaaaaaaaaaaaaaaaaaaaaaaaaaaaaaaaaaaaaaaaaaaaaaaaaaaaaaaaaaaaaaaaaaaaaaaaaaaaaaaaaaaaaaaaaaaaaaaaaaaaaaaaaaaaaaaaaaaaaaaaaaa</v>
      </c>
      <c r="T323" s="307" t="str">
        <f t="shared" si="107"/>
        <v/>
      </c>
      <c r="U323" s="315" t="str">
        <f t="shared" si="108"/>
        <v/>
      </c>
      <c r="V323" s="307" t="str">
        <f t="shared" ref="V323:V385" si="112">N323</f>
        <v/>
      </c>
      <c r="W323" s="307" t="str">
        <f>IFERROR(IF(V323&gt;0,PROPER(Terbilang1(V323)&amp;" Rupiah"),0),"")</f>
        <v/>
      </c>
      <c r="X323" s="90" t="str">
        <f t="shared" ref="X323:X386" si="113">J323</f>
        <v/>
      </c>
      <c r="Y323" s="307" t="str">
        <f t="shared" ref="Y323:Y386" si="114">H323</f>
        <v/>
      </c>
      <c r="Z323" s="307">
        <f t="shared" si="109"/>
        <v>0</v>
      </c>
      <c r="AA323" s="366">
        <f t="shared" si="110"/>
        <v>0</v>
      </c>
      <c r="AB323" s="367">
        <f t="shared" ref="AB323:AB386" si="115">IF(LEN(AA322)&gt;1,IF(LEFT(G322,5)="Bayar",0,IF(LEFT(G322,6)="PEMASA",(N322*100/111*1.5%),N322*0.015)),0)</f>
        <v>0</v>
      </c>
      <c r="AC323" s="305">
        <f t="shared" ref="AC323:AC386" si="116">IF(LEN(AA323)&gt;1,IF(LEFT(G323,6)="PEMASA","Terima Pajak PPN (11 %) "&amp;O323,IF(LEFT(G323,5)="Bayar","Terima PPh Pasal 4 ayat 2 (3,5 %) "&amp;O323,"Bayar Pajak PPN (11 %) "&amp;O323)),IF(AB323&gt;0,IF(LEFT(AC322,6)="Terima","Terima Pajak PPH (1,5%) "&amp;O322,"Bayar Pajak PPH (1,5 %) "&amp;O322),0))</f>
        <v>0</v>
      </c>
      <c r="AP323" s="89" t="str">
        <f t="shared" si="104"/>
        <v/>
      </c>
      <c r="AQ323" s="89" t="str">
        <f t="shared" si="102"/>
        <v/>
      </c>
      <c r="AR323" s="315" t="str">
        <f t="shared" si="103"/>
        <v/>
      </c>
      <c r="AS323" s="305" t="str">
        <f t="shared" ref="AS323:AS386" si="117">IF(AC323="","",LEFT(AC323,15))</f>
        <v>0</v>
      </c>
      <c r="AT323" s="307">
        <f>Table22[[#This Row],[Column1]]</f>
        <v>0</v>
      </c>
    </row>
    <row r="324" spans="1:46" x14ac:dyDescent="0.3">
      <c r="A324" s="307">
        <f t="shared" si="111"/>
        <v>0</v>
      </c>
      <c r="B324" s="307">
        <f t="shared" si="100"/>
        <v>0</v>
      </c>
      <c r="C324" s="308" t="s">
        <v>563</v>
      </c>
      <c r="D324" s="309" t="s">
        <v>563</v>
      </c>
      <c r="E324" s="310">
        <v>0</v>
      </c>
      <c r="F324" s="310">
        <v>0</v>
      </c>
      <c r="G324" s="311">
        <v>0</v>
      </c>
      <c r="H324" s="310" t="s">
        <v>563</v>
      </c>
      <c r="I324" s="310" t="s">
        <v>563</v>
      </c>
      <c r="J324" s="310" t="s">
        <v>563</v>
      </c>
      <c r="K324" s="312">
        <v>0</v>
      </c>
      <c r="L324" s="310">
        <v>0</v>
      </c>
      <c r="M324" s="310">
        <v>0</v>
      </c>
      <c r="N324" s="313" t="s">
        <v>563</v>
      </c>
      <c r="O324" s="314" t="s">
        <v>563</v>
      </c>
      <c r="P324" s="307">
        <f t="shared" si="105"/>
        <v>0</v>
      </c>
      <c r="R324" s="91" t="str">
        <f t="shared" si="101"/>
        <v/>
      </c>
      <c r="S324" s="307" t="str">
        <f t="shared" si="106"/>
        <v>BKK.57aaaaaaaaaaaaaaaaaaaaaaaaaaaaaaaaaaaaaaaaaaaaaaaaaaaaaaaaaaaaaaaaaaaaaaaaaaaaaaaaaaaaaaaaaaaaaaaaaaaaaaaaaaaaaaaaaaaaaaaaaaaaaaaaaaaaaaaa</v>
      </c>
      <c r="T324" s="307" t="str">
        <f t="shared" si="107"/>
        <v/>
      </c>
      <c r="U324" s="315" t="str">
        <f t="shared" si="108"/>
        <v/>
      </c>
      <c r="V324" s="307" t="str">
        <f t="shared" si="112"/>
        <v/>
      </c>
      <c r="W324" s="307" t="str">
        <f>IFERROR(IF(V324&gt;0,PROPER(Terbilang1(V324)&amp;" Rupiah"),0),"")</f>
        <v/>
      </c>
      <c r="X324" s="90" t="str">
        <f t="shared" si="113"/>
        <v/>
      </c>
      <c r="Y324" s="307" t="str">
        <f t="shared" si="114"/>
        <v/>
      </c>
      <c r="Z324" s="307">
        <f t="shared" si="109"/>
        <v>0</v>
      </c>
      <c r="AA324" s="366">
        <f t="shared" si="110"/>
        <v>0</v>
      </c>
      <c r="AB324" s="367">
        <f t="shared" si="115"/>
        <v>0</v>
      </c>
      <c r="AC324" s="305">
        <f t="shared" si="116"/>
        <v>0</v>
      </c>
      <c r="AP324" s="89" t="str">
        <f t="shared" si="104"/>
        <v/>
      </c>
      <c r="AQ324" s="89" t="str">
        <f t="shared" si="102"/>
        <v/>
      </c>
      <c r="AR324" s="315" t="str">
        <f t="shared" si="103"/>
        <v/>
      </c>
      <c r="AS324" s="305" t="str">
        <f t="shared" si="117"/>
        <v>0</v>
      </c>
      <c r="AT324" s="307">
        <f>Table22[[#This Row],[Column1]]</f>
        <v>0</v>
      </c>
    </row>
    <row r="325" spans="1:46" x14ac:dyDescent="0.3">
      <c r="A325" s="307">
        <f t="shared" si="111"/>
        <v>0</v>
      </c>
      <c r="B325" s="307">
        <f t="shared" si="100"/>
        <v>0</v>
      </c>
      <c r="C325" s="308" t="s">
        <v>563</v>
      </c>
      <c r="D325" s="309" t="s">
        <v>563</v>
      </c>
      <c r="E325" s="310">
        <v>0</v>
      </c>
      <c r="F325" s="310">
        <v>0</v>
      </c>
      <c r="G325" s="311">
        <v>0</v>
      </c>
      <c r="H325" s="310" t="s">
        <v>563</v>
      </c>
      <c r="I325" s="310" t="s">
        <v>563</v>
      </c>
      <c r="J325" s="310" t="s">
        <v>563</v>
      </c>
      <c r="K325" s="312">
        <v>0</v>
      </c>
      <c r="L325" s="310">
        <v>0</v>
      </c>
      <c r="M325" s="310">
        <v>0</v>
      </c>
      <c r="N325" s="313" t="s">
        <v>563</v>
      </c>
      <c r="O325" s="314" t="s">
        <v>563</v>
      </c>
      <c r="P325" s="307">
        <f t="shared" si="105"/>
        <v>0</v>
      </c>
      <c r="R325" s="91" t="str">
        <f t="shared" si="101"/>
        <v/>
      </c>
      <c r="S325" s="307" t="str">
        <f t="shared" si="106"/>
        <v>BKK.57aaaaaaaaaaaaaaaaaaaaaaaaaaaaaaaaaaaaaaaaaaaaaaaaaaaaaaaaaaaaaaaaaaaaaaaaaaaaaaaaaaaaaaaaaaaaaaaaaaaaaaaaaaaaaaaaaaaaaaaaaaaaaaaaaaaaaaaaa</v>
      </c>
      <c r="T325" s="307" t="str">
        <f t="shared" si="107"/>
        <v/>
      </c>
      <c r="U325" s="315" t="str">
        <f t="shared" si="108"/>
        <v/>
      </c>
      <c r="V325" s="307" t="str">
        <f>N325</f>
        <v/>
      </c>
      <c r="W325" s="307" t="str">
        <f>IFERROR(IF(V325&gt;0,PROPER(Terbilang1(V325)&amp;" Rupiah"),0),"")</f>
        <v/>
      </c>
      <c r="X325" s="90" t="str">
        <f t="shared" si="113"/>
        <v/>
      </c>
      <c r="Y325" s="307" t="str">
        <f t="shared" si="114"/>
        <v/>
      </c>
      <c r="Z325" s="307">
        <f t="shared" si="109"/>
        <v>0</v>
      </c>
      <c r="AA325" s="366">
        <f t="shared" si="110"/>
        <v>0</v>
      </c>
      <c r="AB325" s="367">
        <f t="shared" si="115"/>
        <v>0</v>
      </c>
      <c r="AC325" s="305">
        <f t="shared" si="116"/>
        <v>0</v>
      </c>
      <c r="AP325" s="89" t="str">
        <f t="shared" si="104"/>
        <v/>
      </c>
      <c r="AQ325" s="89" t="str">
        <f t="shared" si="102"/>
        <v/>
      </c>
      <c r="AR325" s="315" t="str">
        <f t="shared" si="103"/>
        <v/>
      </c>
      <c r="AS325" s="305" t="str">
        <f t="shared" si="117"/>
        <v>0</v>
      </c>
      <c r="AT325" s="307">
        <f>Table22[[#This Row],[Column1]]</f>
        <v>0</v>
      </c>
    </row>
    <row r="326" spans="1:46" x14ac:dyDescent="0.3">
      <c r="A326" s="307">
        <f t="shared" si="111"/>
        <v>0</v>
      </c>
      <c r="B326" s="307">
        <f t="shared" si="100"/>
        <v>0</v>
      </c>
      <c r="C326" s="308" t="s">
        <v>563</v>
      </c>
      <c r="D326" s="309" t="s">
        <v>563</v>
      </c>
      <c r="E326" s="310">
        <v>0</v>
      </c>
      <c r="F326" s="310">
        <v>0</v>
      </c>
      <c r="G326" s="311">
        <v>0</v>
      </c>
      <c r="H326" s="310" t="s">
        <v>563</v>
      </c>
      <c r="I326" s="310" t="s">
        <v>563</v>
      </c>
      <c r="J326" s="310" t="s">
        <v>563</v>
      </c>
      <c r="K326" s="312">
        <v>0</v>
      </c>
      <c r="L326" s="310">
        <v>0</v>
      </c>
      <c r="M326" s="310">
        <v>0</v>
      </c>
      <c r="N326" s="313" t="s">
        <v>563</v>
      </c>
      <c r="O326" s="314" t="s">
        <v>563</v>
      </c>
      <c r="P326" s="307">
        <f t="shared" si="105"/>
        <v>0</v>
      </c>
      <c r="R326" s="91" t="str">
        <f t="shared" si="101"/>
        <v/>
      </c>
      <c r="S326" s="307" t="str">
        <f t="shared" si="106"/>
        <v>BKK.57aaaaaaaaaaaaaaaaaaaaaaaaaaaaaaaaaaaaaaaaaaaaaaaaaaaaaaaaaaaaaaaaaaaaaaaaaaaaaaaaaaaaaaaaaaaaaaaaaaaaaaaaaaaaaaaaaaaaaaaaaaaaaaaaaaaaaaaaaa</v>
      </c>
      <c r="T326" s="307" t="str">
        <f t="shared" si="107"/>
        <v/>
      </c>
      <c r="U326" s="315" t="str">
        <f t="shared" si="108"/>
        <v/>
      </c>
      <c r="V326" s="307" t="str">
        <f t="shared" si="112"/>
        <v/>
      </c>
      <c r="W326" s="307" t="str">
        <f>IFERROR(IF(V326&gt;0,PROPER(Terbilang1(V326)&amp;" Rupiah"),0),"")</f>
        <v/>
      </c>
      <c r="X326" s="90" t="str">
        <f t="shared" si="113"/>
        <v/>
      </c>
      <c r="Y326" s="307" t="str">
        <f t="shared" si="114"/>
        <v/>
      </c>
      <c r="Z326" s="307">
        <f t="shared" si="109"/>
        <v>0</v>
      </c>
      <c r="AA326" s="366">
        <f t="shared" si="110"/>
        <v>0</v>
      </c>
      <c r="AB326" s="367">
        <f t="shared" si="115"/>
        <v>0</v>
      </c>
      <c r="AC326" s="305">
        <f t="shared" si="116"/>
        <v>0</v>
      </c>
      <c r="AP326" s="89" t="str">
        <f t="shared" si="104"/>
        <v/>
      </c>
      <c r="AQ326" s="89" t="str">
        <f t="shared" si="102"/>
        <v/>
      </c>
      <c r="AR326" s="315" t="str">
        <f t="shared" si="103"/>
        <v/>
      </c>
      <c r="AS326" s="305" t="str">
        <f t="shared" si="117"/>
        <v>0</v>
      </c>
      <c r="AT326" s="307">
        <f>Table22[[#This Row],[Column1]]</f>
        <v>0</v>
      </c>
    </row>
    <row r="327" spans="1:46" x14ac:dyDescent="0.3">
      <c r="A327" s="307">
        <f t="shared" si="111"/>
        <v>0</v>
      </c>
      <c r="B327" s="307">
        <f t="shared" si="100"/>
        <v>0</v>
      </c>
      <c r="C327" s="308" t="s">
        <v>563</v>
      </c>
      <c r="D327" s="309" t="s">
        <v>563</v>
      </c>
      <c r="E327" s="310">
        <v>0</v>
      </c>
      <c r="F327" s="310">
        <v>0</v>
      </c>
      <c r="G327" s="311">
        <v>0</v>
      </c>
      <c r="H327" s="310" t="s">
        <v>563</v>
      </c>
      <c r="I327" s="310" t="s">
        <v>563</v>
      </c>
      <c r="J327" s="310" t="s">
        <v>563</v>
      </c>
      <c r="K327" s="312">
        <v>0</v>
      </c>
      <c r="L327" s="310">
        <v>0</v>
      </c>
      <c r="M327" s="310">
        <v>0</v>
      </c>
      <c r="N327" s="313" t="s">
        <v>563</v>
      </c>
      <c r="O327" s="314" t="s">
        <v>563</v>
      </c>
      <c r="P327" s="307">
        <f t="shared" si="105"/>
        <v>0</v>
      </c>
      <c r="R327" s="91" t="str">
        <f t="shared" si="101"/>
        <v/>
      </c>
      <c r="S327" s="307" t="str">
        <f t="shared" si="106"/>
        <v>BKK.57aaaaaaaaaaaaaaaaaaaaaaaaaaaaaaaaaaaaaaaaaaaaaaaaaaaaaaaaaaaaaaaaaaaaaaaaaaaaaaaaaaaaaaaaaaaaaaaaaaaaaaaaaaaaaaaaaaaaaaaaaaaaaaaaaaaaaaaaaaa</v>
      </c>
      <c r="T327" s="307" t="str">
        <f t="shared" si="107"/>
        <v/>
      </c>
      <c r="U327" s="315" t="str">
        <f t="shared" si="108"/>
        <v/>
      </c>
      <c r="V327" s="307" t="str">
        <f t="shared" si="112"/>
        <v/>
      </c>
      <c r="W327" s="307" t="str">
        <f>IFERROR(IF(V327&gt;0,PROPER(Terbilang1(V327)&amp;" Rupiah"),0),"")</f>
        <v/>
      </c>
      <c r="X327" s="90" t="str">
        <f t="shared" si="113"/>
        <v/>
      </c>
      <c r="Y327" s="307" t="str">
        <f t="shared" si="114"/>
        <v/>
      </c>
      <c r="Z327" s="307">
        <f t="shared" si="109"/>
        <v>0</v>
      </c>
      <c r="AA327" s="366">
        <f t="shared" si="110"/>
        <v>0</v>
      </c>
      <c r="AB327" s="367">
        <f t="shared" si="115"/>
        <v>0</v>
      </c>
      <c r="AC327" s="305">
        <f t="shared" si="116"/>
        <v>0</v>
      </c>
      <c r="AP327" s="89" t="str">
        <f t="shared" si="104"/>
        <v/>
      </c>
      <c r="AQ327" s="89" t="str">
        <f t="shared" si="102"/>
        <v/>
      </c>
      <c r="AR327" s="315" t="str">
        <f t="shared" si="103"/>
        <v/>
      </c>
      <c r="AS327" s="305" t="str">
        <f t="shared" si="117"/>
        <v>0</v>
      </c>
      <c r="AT327" s="307">
        <f>Table22[[#This Row],[Column1]]</f>
        <v>0</v>
      </c>
    </row>
    <row r="328" spans="1:46" x14ac:dyDescent="0.3">
      <c r="A328" s="307">
        <f t="shared" si="111"/>
        <v>0</v>
      </c>
      <c r="B328" s="307">
        <f t="shared" si="100"/>
        <v>0</v>
      </c>
      <c r="C328" s="308" t="s">
        <v>563</v>
      </c>
      <c r="D328" s="309" t="s">
        <v>563</v>
      </c>
      <c r="E328" s="310">
        <v>0</v>
      </c>
      <c r="F328" s="310">
        <v>0</v>
      </c>
      <c r="G328" s="311">
        <v>0</v>
      </c>
      <c r="H328" s="310" t="s">
        <v>563</v>
      </c>
      <c r="I328" s="310" t="s">
        <v>563</v>
      </c>
      <c r="J328" s="310" t="s">
        <v>563</v>
      </c>
      <c r="K328" s="312">
        <v>0</v>
      </c>
      <c r="L328" s="310">
        <v>0</v>
      </c>
      <c r="M328" s="310">
        <v>0</v>
      </c>
      <c r="N328" s="313" t="s">
        <v>563</v>
      </c>
      <c r="O328" s="314" t="s">
        <v>563</v>
      </c>
      <c r="P328" s="307">
        <f t="shared" si="105"/>
        <v>0</v>
      </c>
      <c r="R328" s="91" t="str">
        <f t="shared" si="101"/>
        <v/>
      </c>
      <c r="S328" s="307" t="str">
        <f t="shared" si="106"/>
        <v>BKK.57aaaaaaaaaaaaaaaaaaaaaaaaaaaaaaaaaaaaaaaaaaaaaaaaaaaaaaaaaaaaaaaaaaaaaaaaaaaaaaaaaaaaaaaaaaaaaaaaaaaaaaaaaaaaaaaaaaaaaaaaaaaaaaaaaaaaaaaaaaaa</v>
      </c>
      <c r="T328" s="307" t="str">
        <f t="shared" si="107"/>
        <v/>
      </c>
      <c r="U328" s="315" t="str">
        <f t="shared" si="108"/>
        <v/>
      </c>
      <c r="V328" s="307" t="str">
        <f>N328</f>
        <v/>
      </c>
      <c r="W328" s="307" t="str">
        <f>IFERROR(IF(V328&gt;0,PROPER(Terbilang1(V328)&amp;" Rupiah"),0),"")</f>
        <v/>
      </c>
      <c r="X328" s="90" t="str">
        <f t="shared" si="113"/>
        <v/>
      </c>
      <c r="Y328" s="307" t="str">
        <f t="shared" si="114"/>
        <v/>
      </c>
      <c r="Z328" s="307">
        <f t="shared" si="109"/>
        <v>0</v>
      </c>
      <c r="AA328" s="366">
        <f t="shared" si="110"/>
        <v>0</v>
      </c>
      <c r="AB328" s="367">
        <f t="shared" si="115"/>
        <v>0</v>
      </c>
      <c r="AC328" s="305">
        <f t="shared" si="116"/>
        <v>0</v>
      </c>
      <c r="AP328" s="89" t="str">
        <f t="shared" si="104"/>
        <v/>
      </c>
      <c r="AQ328" s="89" t="str">
        <f t="shared" si="102"/>
        <v/>
      </c>
      <c r="AR328" s="315" t="str">
        <f t="shared" si="103"/>
        <v/>
      </c>
      <c r="AS328" s="305" t="str">
        <f t="shared" si="117"/>
        <v>0</v>
      </c>
      <c r="AT328" s="307">
        <f>Table22[[#This Row],[Column1]]</f>
        <v>0</v>
      </c>
    </row>
    <row r="329" spans="1:46" x14ac:dyDescent="0.3">
      <c r="A329" s="307">
        <f t="shared" si="111"/>
        <v>0</v>
      </c>
      <c r="B329" s="307">
        <f t="shared" si="100"/>
        <v>0</v>
      </c>
      <c r="C329" s="308" t="s">
        <v>563</v>
      </c>
      <c r="D329" s="309" t="s">
        <v>563</v>
      </c>
      <c r="E329" s="310">
        <v>0</v>
      </c>
      <c r="F329" s="310">
        <v>0</v>
      </c>
      <c r="G329" s="311">
        <v>0</v>
      </c>
      <c r="H329" s="310" t="s">
        <v>563</v>
      </c>
      <c r="I329" s="310" t="s">
        <v>563</v>
      </c>
      <c r="J329" s="310" t="s">
        <v>563</v>
      </c>
      <c r="K329" s="312">
        <v>0</v>
      </c>
      <c r="L329" s="310">
        <v>0</v>
      </c>
      <c r="M329" s="310">
        <v>0</v>
      </c>
      <c r="N329" s="313" t="s">
        <v>563</v>
      </c>
      <c r="O329" s="314" t="s">
        <v>563</v>
      </c>
      <c r="P329" s="307">
        <f t="shared" si="105"/>
        <v>0</v>
      </c>
      <c r="R329" s="91" t="str">
        <f t="shared" si="101"/>
        <v/>
      </c>
      <c r="S329" s="307" t="str">
        <f t="shared" si="106"/>
        <v>BKK.57aaaaaaaaaaaaaaaaaaaaaaaaaaaaaaaaaaaaaaaaaaaaaaaaaaaaaaaaaaaaaaaaaaaaaaaaaaaaaaaaaaaaaaaaaaaaaaaaaaaaaaaaaaaaaaaaaaaaaaaaaaaaaaaaaaaaaaaaaaaaa</v>
      </c>
      <c r="T329" s="307" t="str">
        <f t="shared" si="107"/>
        <v/>
      </c>
      <c r="U329" s="315" t="str">
        <f t="shared" si="108"/>
        <v/>
      </c>
      <c r="V329" s="307" t="str">
        <f t="shared" si="112"/>
        <v/>
      </c>
      <c r="W329" s="307" t="str">
        <f>IFERROR(IF(V329&gt;0,PROPER(Terbilang1(V329)&amp;" Rupiah"),0),"")</f>
        <v/>
      </c>
      <c r="X329" s="90" t="str">
        <f t="shared" si="113"/>
        <v/>
      </c>
      <c r="Y329" s="307" t="str">
        <f t="shared" si="114"/>
        <v/>
      </c>
      <c r="Z329" s="307">
        <f t="shared" si="109"/>
        <v>0</v>
      </c>
      <c r="AA329" s="366">
        <f t="shared" si="110"/>
        <v>0</v>
      </c>
      <c r="AB329" s="367">
        <f t="shared" si="115"/>
        <v>0</v>
      </c>
      <c r="AC329" s="305">
        <f t="shared" si="116"/>
        <v>0</v>
      </c>
      <c r="AP329" s="89" t="str">
        <f t="shared" si="104"/>
        <v/>
      </c>
      <c r="AQ329" s="89" t="str">
        <f t="shared" si="102"/>
        <v/>
      </c>
      <c r="AR329" s="315" t="str">
        <f t="shared" si="103"/>
        <v/>
      </c>
      <c r="AS329" s="305" t="str">
        <f t="shared" si="117"/>
        <v>0</v>
      </c>
      <c r="AT329" s="307">
        <f>Table22[[#This Row],[Column1]]</f>
        <v>0</v>
      </c>
    </row>
    <row r="330" spans="1:46" x14ac:dyDescent="0.3">
      <c r="A330" s="307">
        <f t="shared" si="111"/>
        <v>0</v>
      </c>
      <c r="B330" s="307">
        <f t="shared" si="100"/>
        <v>0</v>
      </c>
      <c r="C330" s="308" t="s">
        <v>563</v>
      </c>
      <c r="D330" s="309" t="s">
        <v>563</v>
      </c>
      <c r="E330" s="310">
        <v>0</v>
      </c>
      <c r="F330" s="310">
        <v>0</v>
      </c>
      <c r="G330" s="311">
        <v>0</v>
      </c>
      <c r="H330" s="310" t="s">
        <v>563</v>
      </c>
      <c r="I330" s="310" t="s">
        <v>563</v>
      </c>
      <c r="J330" s="310" t="s">
        <v>563</v>
      </c>
      <c r="K330" s="312">
        <v>0</v>
      </c>
      <c r="L330" s="310">
        <v>0</v>
      </c>
      <c r="M330" s="310">
        <v>0</v>
      </c>
      <c r="N330" s="313" t="s">
        <v>563</v>
      </c>
      <c r="O330" s="314" t="s">
        <v>563</v>
      </c>
      <c r="P330" s="307">
        <f t="shared" si="105"/>
        <v>0</v>
      </c>
      <c r="R330" s="91" t="str">
        <f t="shared" si="101"/>
        <v/>
      </c>
      <c r="S330" s="307" t="str">
        <f t="shared" si="106"/>
        <v>BKK.57aaaaaaaaaaaaaaaaaaaaaaaaaaaaaaaaaaaaaaaaaaaaaaaaaaaaaaaaaaaaaaaaaaaaaaaaaaaaaaaaaaaaaaaaaaaaaaaaaaaaaaaaaaaaaaaaaaaaaaaaaaaaaaaaaaaaaaaaaaaaaa</v>
      </c>
      <c r="T330" s="307" t="str">
        <f t="shared" si="107"/>
        <v/>
      </c>
      <c r="U330" s="315" t="str">
        <f t="shared" si="108"/>
        <v/>
      </c>
      <c r="V330" s="307" t="str">
        <f>N330</f>
        <v/>
      </c>
      <c r="W330" s="307" t="str">
        <f>IFERROR(IF(V330&gt;0,PROPER(Terbilang1(V330)&amp;" Rupiah"),0),"")</f>
        <v/>
      </c>
      <c r="X330" s="90" t="str">
        <f t="shared" si="113"/>
        <v/>
      </c>
      <c r="Y330" s="307" t="str">
        <f t="shared" si="114"/>
        <v/>
      </c>
      <c r="Z330" s="307">
        <f t="shared" si="109"/>
        <v>0</v>
      </c>
      <c r="AA330" s="366">
        <f t="shared" si="110"/>
        <v>0</v>
      </c>
      <c r="AB330" s="367">
        <f t="shared" si="115"/>
        <v>0</v>
      </c>
      <c r="AC330" s="305">
        <f t="shared" si="116"/>
        <v>0</v>
      </c>
      <c r="AP330" s="89" t="str">
        <f t="shared" si="104"/>
        <v/>
      </c>
      <c r="AQ330" s="89" t="str">
        <f t="shared" si="102"/>
        <v/>
      </c>
      <c r="AR330" s="315" t="str">
        <f t="shared" si="103"/>
        <v/>
      </c>
      <c r="AS330" s="305" t="str">
        <f t="shared" si="117"/>
        <v>0</v>
      </c>
      <c r="AT330" s="307">
        <f>Table22[[#This Row],[Column1]]</f>
        <v>0</v>
      </c>
    </row>
    <row r="331" spans="1:46" x14ac:dyDescent="0.3">
      <c r="A331" s="307">
        <f t="shared" si="111"/>
        <v>0</v>
      </c>
      <c r="B331" s="307">
        <f t="shared" si="100"/>
        <v>0</v>
      </c>
      <c r="C331" s="308" t="s">
        <v>563</v>
      </c>
      <c r="D331" s="309" t="s">
        <v>563</v>
      </c>
      <c r="E331" s="310">
        <v>0</v>
      </c>
      <c r="F331" s="310">
        <v>0</v>
      </c>
      <c r="G331" s="311">
        <v>0</v>
      </c>
      <c r="H331" s="310" t="s">
        <v>563</v>
      </c>
      <c r="I331" s="310" t="s">
        <v>563</v>
      </c>
      <c r="J331" s="310" t="s">
        <v>563</v>
      </c>
      <c r="K331" s="312">
        <v>0</v>
      </c>
      <c r="L331" s="310">
        <v>0</v>
      </c>
      <c r="M331" s="310">
        <v>0</v>
      </c>
      <c r="N331" s="313" t="s">
        <v>563</v>
      </c>
      <c r="O331" s="314" t="s">
        <v>563</v>
      </c>
      <c r="P331" s="307">
        <f t="shared" si="105"/>
        <v>0</v>
      </c>
      <c r="R331" s="91" t="str">
        <f t="shared" si="101"/>
        <v/>
      </c>
      <c r="S331" s="307" t="str">
        <f t="shared" si="106"/>
        <v>BKK.57aaaaaaaaaaaaaaaaaaaaaaaaaaaaaaaaaaaaaaaaaaaaaaaaaaaaaaaaaaaaaaaaaaaaaaaaaaaaaaaaaaaaaaaaaaaaaaaaaaaaaaaaaaaaaaaaaaaaaaaaaaaaaaaaaaaaaaaaaaaaaaa</v>
      </c>
      <c r="T331" s="307" t="str">
        <f t="shared" si="107"/>
        <v/>
      </c>
      <c r="U331" s="315" t="str">
        <f t="shared" si="108"/>
        <v/>
      </c>
      <c r="V331" s="307" t="str">
        <f>N331</f>
        <v/>
      </c>
      <c r="W331" s="307" t="str">
        <f>IFERROR(IF(V331&gt;0,PROPER(Terbilang1(V331)&amp;" Rupiah"),0),"")</f>
        <v/>
      </c>
      <c r="X331" s="90" t="str">
        <f t="shared" si="113"/>
        <v/>
      </c>
      <c r="Y331" s="307" t="str">
        <f t="shared" si="114"/>
        <v/>
      </c>
      <c r="Z331" s="307">
        <f t="shared" si="109"/>
        <v>0</v>
      </c>
      <c r="AA331" s="366">
        <f t="shared" si="110"/>
        <v>0</v>
      </c>
      <c r="AB331" s="367">
        <f t="shared" si="115"/>
        <v>0</v>
      </c>
      <c r="AC331" s="305">
        <f t="shared" si="116"/>
        <v>0</v>
      </c>
      <c r="AP331" s="89" t="str">
        <f t="shared" si="104"/>
        <v/>
      </c>
      <c r="AQ331" s="89" t="str">
        <f t="shared" si="102"/>
        <v/>
      </c>
      <c r="AR331" s="315" t="str">
        <f t="shared" si="103"/>
        <v/>
      </c>
      <c r="AS331" s="305" t="str">
        <f t="shared" si="117"/>
        <v>0</v>
      </c>
      <c r="AT331" s="307">
        <f>Table22[[#This Row],[Column1]]</f>
        <v>0</v>
      </c>
    </row>
    <row r="332" spans="1:46" x14ac:dyDescent="0.3">
      <c r="A332" s="307">
        <f t="shared" si="111"/>
        <v>0</v>
      </c>
      <c r="B332" s="307">
        <f t="shared" si="100"/>
        <v>0</v>
      </c>
      <c r="C332" s="308" t="s">
        <v>563</v>
      </c>
      <c r="D332" s="309" t="s">
        <v>563</v>
      </c>
      <c r="E332" s="310">
        <v>0</v>
      </c>
      <c r="F332" s="310">
        <v>0</v>
      </c>
      <c r="G332" s="311">
        <v>0</v>
      </c>
      <c r="H332" s="310" t="s">
        <v>563</v>
      </c>
      <c r="I332" s="310" t="s">
        <v>563</v>
      </c>
      <c r="J332" s="310" t="s">
        <v>563</v>
      </c>
      <c r="K332" s="312">
        <v>0</v>
      </c>
      <c r="L332" s="310">
        <v>0</v>
      </c>
      <c r="M332" s="310">
        <v>0</v>
      </c>
      <c r="N332" s="313" t="s">
        <v>563</v>
      </c>
      <c r="O332" s="314" t="s">
        <v>563</v>
      </c>
      <c r="P332" s="307">
        <f t="shared" si="105"/>
        <v>0</v>
      </c>
      <c r="R332" s="91" t="str">
        <f t="shared" si="101"/>
        <v/>
      </c>
      <c r="S332" s="307" t="str">
        <f t="shared" si="106"/>
        <v>BKK.57aaaaaaaaaaaaaaaaaaaaaaaaaaaaaaaaaaaaaaaaaaaaaaaaaaaaaaaaaaaaaaaaaaaaaaaaaaaaaaaaaaaaaaaaaaaaaaaaaaaaaaaaaaaaaaaaaaaaaaaaaaaaaaaaaaaaaaaaaaaaaaaa</v>
      </c>
      <c r="T332" s="307" t="str">
        <f t="shared" si="107"/>
        <v/>
      </c>
      <c r="U332" s="315" t="str">
        <f t="shared" si="108"/>
        <v/>
      </c>
      <c r="V332" s="307" t="str">
        <f t="shared" si="112"/>
        <v/>
      </c>
      <c r="W332" s="307" t="str">
        <f>IFERROR(IF(V332&gt;0,PROPER(Terbilang1(V332)&amp;" Rupiah"),0),"")</f>
        <v/>
      </c>
      <c r="X332" s="90" t="str">
        <f t="shared" si="113"/>
        <v/>
      </c>
      <c r="Y332" s="307" t="str">
        <f t="shared" si="114"/>
        <v/>
      </c>
      <c r="Z332" s="307">
        <f t="shared" si="109"/>
        <v>0</v>
      </c>
      <c r="AA332" s="366">
        <f t="shared" si="110"/>
        <v>0</v>
      </c>
      <c r="AB332" s="367">
        <f t="shared" si="115"/>
        <v>0</v>
      </c>
      <c r="AC332" s="305">
        <f t="shared" si="116"/>
        <v>0</v>
      </c>
      <c r="AP332" s="89" t="str">
        <f t="shared" si="104"/>
        <v/>
      </c>
      <c r="AQ332" s="89" t="str">
        <f t="shared" si="102"/>
        <v/>
      </c>
      <c r="AR332" s="315" t="str">
        <f t="shared" si="103"/>
        <v/>
      </c>
      <c r="AS332" s="305" t="str">
        <f t="shared" si="117"/>
        <v>0</v>
      </c>
      <c r="AT332" s="307">
        <f>Table22[[#This Row],[Column1]]</f>
        <v>0</v>
      </c>
    </row>
    <row r="333" spans="1:46" x14ac:dyDescent="0.3">
      <c r="A333" s="307">
        <f t="shared" si="111"/>
        <v>0</v>
      </c>
      <c r="B333" s="307">
        <f t="shared" si="100"/>
        <v>0</v>
      </c>
      <c r="C333" s="308" t="s">
        <v>563</v>
      </c>
      <c r="D333" s="309" t="s">
        <v>563</v>
      </c>
      <c r="E333" s="310">
        <v>0</v>
      </c>
      <c r="F333" s="310">
        <v>0</v>
      </c>
      <c r="G333" s="311">
        <v>0</v>
      </c>
      <c r="H333" s="310" t="s">
        <v>563</v>
      </c>
      <c r="I333" s="310" t="s">
        <v>563</v>
      </c>
      <c r="J333" s="310" t="s">
        <v>563</v>
      </c>
      <c r="K333" s="312">
        <v>0</v>
      </c>
      <c r="L333" s="310">
        <v>0</v>
      </c>
      <c r="M333" s="310">
        <v>0</v>
      </c>
      <c r="N333" s="313" t="s">
        <v>563</v>
      </c>
      <c r="O333" s="314" t="s">
        <v>563</v>
      </c>
      <c r="P333" s="307">
        <f t="shared" si="105"/>
        <v>0</v>
      </c>
      <c r="R333" s="91" t="str">
        <f t="shared" si="101"/>
        <v/>
      </c>
      <c r="S333" s="307" t="str">
        <f t="shared" si="106"/>
        <v>BKK.57aaaaaaaaaaaaaaaaaaaaaaaaaaaaaaaaaaaaaaaaaaaaaaaaaaaaaaaaaaaaaaaaaaaaaaaaaaaaaaaaaaaaaaaaaaaaaaaaaaaaaaaaaaaaaaaaaaaaaaaaaaaaaaaaaaaaaaaaaaaaaaaaa</v>
      </c>
      <c r="T333" s="307" t="str">
        <f t="shared" si="107"/>
        <v/>
      </c>
      <c r="U333" s="315" t="str">
        <f t="shared" si="108"/>
        <v/>
      </c>
      <c r="V333" s="307" t="str">
        <f>N333</f>
        <v/>
      </c>
      <c r="W333" s="307" t="str">
        <f>IFERROR(IF(V333&gt;0,PROPER(Terbilang1(V333)&amp;" Rupiah"),0),"")</f>
        <v/>
      </c>
      <c r="X333" s="90" t="str">
        <f t="shared" si="113"/>
        <v/>
      </c>
      <c r="Y333" s="307" t="str">
        <f t="shared" si="114"/>
        <v/>
      </c>
      <c r="Z333" s="307">
        <f t="shared" si="109"/>
        <v>0</v>
      </c>
      <c r="AA333" s="366">
        <f t="shared" si="110"/>
        <v>0</v>
      </c>
      <c r="AB333" s="367">
        <f t="shared" si="115"/>
        <v>0</v>
      </c>
      <c r="AC333" s="305">
        <f t="shared" si="116"/>
        <v>0</v>
      </c>
      <c r="AP333" s="89" t="str">
        <f t="shared" si="104"/>
        <v/>
      </c>
      <c r="AQ333" s="89" t="str">
        <f t="shared" si="102"/>
        <v/>
      </c>
      <c r="AR333" s="315" t="str">
        <f t="shared" si="103"/>
        <v/>
      </c>
      <c r="AS333" s="305" t="str">
        <f t="shared" si="117"/>
        <v>0</v>
      </c>
      <c r="AT333" s="307">
        <f>Table22[[#This Row],[Column1]]</f>
        <v>0</v>
      </c>
    </row>
    <row r="334" spans="1:46" x14ac:dyDescent="0.3">
      <c r="A334" s="307">
        <f t="shared" si="111"/>
        <v>0</v>
      </c>
      <c r="B334" s="307">
        <f t="shared" si="100"/>
        <v>0</v>
      </c>
      <c r="C334" s="308" t="s">
        <v>563</v>
      </c>
      <c r="D334" s="309" t="s">
        <v>563</v>
      </c>
      <c r="E334" s="310">
        <v>0</v>
      </c>
      <c r="F334" s="310">
        <v>0</v>
      </c>
      <c r="G334" s="311">
        <v>0</v>
      </c>
      <c r="H334" s="310" t="s">
        <v>563</v>
      </c>
      <c r="I334" s="310" t="s">
        <v>563</v>
      </c>
      <c r="J334" s="310" t="s">
        <v>563</v>
      </c>
      <c r="K334" s="312">
        <v>0</v>
      </c>
      <c r="L334" s="310">
        <v>0</v>
      </c>
      <c r="M334" s="310">
        <v>0</v>
      </c>
      <c r="N334" s="313" t="s">
        <v>563</v>
      </c>
      <c r="O334" s="314" t="s">
        <v>563</v>
      </c>
      <c r="P334" s="307">
        <f t="shared" si="105"/>
        <v>0</v>
      </c>
      <c r="R334" s="91" t="str">
        <f t="shared" si="101"/>
        <v/>
      </c>
      <c r="S334" s="307" t="str">
        <f t="shared" si="106"/>
        <v>BKK.57aaaaaaaaaaaaaaaaaaaaaaaaaaaaaaaaaaaaaaaaaaaaaaaaaaaaaaaaaaaaaaaaaaaaaaaaaaaaaaaaaaaaaaaaaaaaaaaaaaaaaaaaaaaaaaaaaaaaaaaaaaaaaaaaaaaaaaaaaaaaaaaaaa</v>
      </c>
      <c r="T334" s="307" t="str">
        <f t="shared" si="107"/>
        <v/>
      </c>
      <c r="U334" s="315" t="str">
        <f t="shared" si="108"/>
        <v/>
      </c>
      <c r="V334" s="307" t="str">
        <f t="shared" si="112"/>
        <v/>
      </c>
      <c r="W334" s="307" t="str">
        <f>IFERROR(IF(V334&gt;0,PROPER(Terbilang1(V334)&amp;" Rupiah"),0),"")</f>
        <v/>
      </c>
      <c r="X334" s="90" t="str">
        <f t="shared" si="113"/>
        <v/>
      </c>
      <c r="Y334" s="307" t="str">
        <f t="shared" si="114"/>
        <v/>
      </c>
      <c r="Z334" s="307">
        <f t="shared" si="109"/>
        <v>0</v>
      </c>
      <c r="AA334" s="366">
        <f t="shared" si="110"/>
        <v>0</v>
      </c>
      <c r="AB334" s="367">
        <f t="shared" si="115"/>
        <v>0</v>
      </c>
      <c r="AC334" s="305">
        <f t="shared" si="116"/>
        <v>0</v>
      </c>
      <c r="AP334" s="89" t="str">
        <f t="shared" si="104"/>
        <v/>
      </c>
      <c r="AQ334" s="89" t="str">
        <f t="shared" si="102"/>
        <v/>
      </c>
      <c r="AR334" s="315" t="str">
        <f t="shared" si="103"/>
        <v/>
      </c>
      <c r="AS334" s="305" t="str">
        <f t="shared" si="117"/>
        <v>0</v>
      </c>
      <c r="AT334" s="307">
        <f>Table22[[#This Row],[Column1]]</f>
        <v>0</v>
      </c>
    </row>
    <row r="335" spans="1:46" x14ac:dyDescent="0.3">
      <c r="A335" s="307">
        <f t="shared" si="111"/>
        <v>0</v>
      </c>
      <c r="B335" s="307">
        <f t="shared" si="100"/>
        <v>0</v>
      </c>
      <c r="C335" s="308" t="s">
        <v>563</v>
      </c>
      <c r="D335" s="309" t="s">
        <v>563</v>
      </c>
      <c r="E335" s="310">
        <v>0</v>
      </c>
      <c r="F335" s="310">
        <v>0</v>
      </c>
      <c r="G335" s="311">
        <v>0</v>
      </c>
      <c r="H335" s="310" t="s">
        <v>563</v>
      </c>
      <c r="I335" s="310" t="s">
        <v>563</v>
      </c>
      <c r="J335" s="310" t="s">
        <v>563</v>
      </c>
      <c r="K335" s="312">
        <v>0</v>
      </c>
      <c r="L335" s="310">
        <v>0</v>
      </c>
      <c r="M335" s="310">
        <v>0</v>
      </c>
      <c r="N335" s="313" t="s">
        <v>563</v>
      </c>
      <c r="O335" s="314" t="s">
        <v>563</v>
      </c>
      <c r="P335" s="307">
        <f t="shared" si="105"/>
        <v>0</v>
      </c>
      <c r="R335" s="91" t="str">
        <f t="shared" si="101"/>
        <v/>
      </c>
      <c r="S335" s="307" t="str">
        <f t="shared" si="106"/>
        <v>BKK.57aaaaaaaaaaaaaaaaaaaaaaaaaaaaaaaaaaaaaaaaaaaaaaaaaaaaaaaaaaaaaaaaaaaaaaaaaaaaaaaaaaaaaaaaaaaaaaaaaaaaaaaaaaaaaaaaaaaaaaaaaaaaaaaaaaaaaaaaaaaaaaaaaaa</v>
      </c>
      <c r="T335" s="307" t="str">
        <f t="shared" si="107"/>
        <v/>
      </c>
      <c r="U335" s="315" t="str">
        <f t="shared" si="108"/>
        <v/>
      </c>
      <c r="V335" s="307" t="str">
        <f t="shared" si="112"/>
        <v/>
      </c>
      <c r="W335" s="307" t="str">
        <f>IFERROR(IF(V335&gt;0,PROPER(Terbilang1(V335)&amp;" Rupiah"),0),"")</f>
        <v/>
      </c>
      <c r="X335" s="90" t="str">
        <f t="shared" si="113"/>
        <v/>
      </c>
      <c r="Y335" s="307" t="str">
        <f t="shared" si="114"/>
        <v/>
      </c>
      <c r="Z335" s="307">
        <f t="shared" si="109"/>
        <v>0</v>
      </c>
      <c r="AA335" s="366">
        <f t="shared" si="110"/>
        <v>0</v>
      </c>
      <c r="AB335" s="367">
        <f t="shared" si="115"/>
        <v>0</v>
      </c>
      <c r="AC335" s="305">
        <f t="shared" si="116"/>
        <v>0</v>
      </c>
      <c r="AP335" s="89" t="str">
        <f t="shared" si="104"/>
        <v/>
      </c>
      <c r="AQ335" s="89" t="str">
        <f t="shared" si="102"/>
        <v/>
      </c>
      <c r="AR335" s="315" t="str">
        <f t="shared" si="103"/>
        <v/>
      </c>
      <c r="AS335" s="305" t="str">
        <f t="shared" si="117"/>
        <v>0</v>
      </c>
      <c r="AT335" s="307">
        <f>Table22[[#This Row],[Column1]]</f>
        <v>0</v>
      </c>
    </row>
    <row r="336" spans="1:46" x14ac:dyDescent="0.3">
      <c r="A336" s="307">
        <f t="shared" si="111"/>
        <v>0</v>
      </c>
      <c r="B336" s="307">
        <f t="shared" si="100"/>
        <v>0</v>
      </c>
      <c r="C336" s="308" t="s">
        <v>563</v>
      </c>
      <c r="D336" s="309" t="s">
        <v>563</v>
      </c>
      <c r="E336" s="310">
        <v>0</v>
      </c>
      <c r="F336" s="310">
        <v>0</v>
      </c>
      <c r="G336" s="311">
        <v>0</v>
      </c>
      <c r="H336" s="310" t="s">
        <v>563</v>
      </c>
      <c r="I336" s="310" t="s">
        <v>563</v>
      </c>
      <c r="J336" s="310" t="s">
        <v>563</v>
      </c>
      <c r="K336" s="312">
        <v>0</v>
      </c>
      <c r="L336" s="310">
        <v>0</v>
      </c>
      <c r="M336" s="310">
        <v>0</v>
      </c>
      <c r="N336" s="313" t="s">
        <v>563</v>
      </c>
      <c r="O336" s="314" t="s">
        <v>563</v>
      </c>
      <c r="P336" s="307">
        <f t="shared" si="105"/>
        <v>0</v>
      </c>
      <c r="R336" s="91" t="str">
        <f t="shared" si="101"/>
        <v/>
      </c>
      <c r="S336" s="307" t="str">
        <f t="shared" si="106"/>
        <v>BKK.57aaaaaaaaaaaaaaaaaaaaaaaaaaaaaaaaaaaaaaaaaaaaaaaaaaaaaaaaaaaaaaaaaaaaaaaaaaaaaaaaaaaaaaaaaaaaaaaaaaaaaaaaaaaaaaaaaaaaaaaaaaaaaaaaaaaaaaaaaaaaaaaaaaaa</v>
      </c>
      <c r="T336" s="307" t="str">
        <f t="shared" si="107"/>
        <v/>
      </c>
      <c r="U336" s="315" t="str">
        <f t="shared" si="108"/>
        <v/>
      </c>
      <c r="V336" s="307" t="str">
        <f t="shared" si="112"/>
        <v/>
      </c>
      <c r="W336" s="307" t="str">
        <f>IFERROR(IF(V336&gt;0,PROPER(Terbilang1(V336)&amp;" Rupiah"),0),"")</f>
        <v/>
      </c>
      <c r="X336" s="90" t="str">
        <f t="shared" si="113"/>
        <v/>
      </c>
      <c r="Y336" s="307" t="str">
        <f t="shared" si="114"/>
        <v/>
      </c>
      <c r="Z336" s="307">
        <f t="shared" si="109"/>
        <v>0</v>
      </c>
      <c r="AA336" s="366">
        <f t="shared" si="110"/>
        <v>0</v>
      </c>
      <c r="AB336" s="367">
        <f t="shared" si="115"/>
        <v>0</v>
      </c>
      <c r="AC336" s="305">
        <f t="shared" si="116"/>
        <v>0</v>
      </c>
      <c r="AP336" s="89" t="str">
        <f t="shared" si="104"/>
        <v/>
      </c>
      <c r="AQ336" s="89" t="str">
        <f t="shared" si="102"/>
        <v/>
      </c>
      <c r="AR336" s="315" t="str">
        <f t="shared" si="103"/>
        <v/>
      </c>
      <c r="AS336" s="305" t="str">
        <f t="shared" si="117"/>
        <v>0</v>
      </c>
      <c r="AT336" s="307">
        <f>Table22[[#This Row],[Column1]]</f>
        <v>0</v>
      </c>
    </row>
    <row r="337" spans="1:46" x14ac:dyDescent="0.3">
      <c r="A337" s="307">
        <f t="shared" si="111"/>
        <v>0</v>
      </c>
      <c r="B337" s="307">
        <f t="shared" si="100"/>
        <v>0</v>
      </c>
      <c r="C337" s="308" t="s">
        <v>563</v>
      </c>
      <c r="D337" s="309" t="s">
        <v>563</v>
      </c>
      <c r="E337" s="310">
        <v>0</v>
      </c>
      <c r="F337" s="310">
        <v>0</v>
      </c>
      <c r="G337" s="311">
        <v>0</v>
      </c>
      <c r="H337" s="310" t="s">
        <v>563</v>
      </c>
      <c r="I337" s="310" t="s">
        <v>563</v>
      </c>
      <c r="J337" s="310" t="s">
        <v>563</v>
      </c>
      <c r="K337" s="312">
        <v>0</v>
      </c>
      <c r="L337" s="310">
        <v>0</v>
      </c>
      <c r="M337" s="310">
        <v>0</v>
      </c>
      <c r="N337" s="313" t="s">
        <v>563</v>
      </c>
      <c r="O337" s="314" t="s">
        <v>563</v>
      </c>
      <c r="P337" s="307">
        <f t="shared" si="105"/>
        <v>0</v>
      </c>
      <c r="R337" s="91" t="str">
        <f t="shared" si="101"/>
        <v/>
      </c>
      <c r="S337" s="307" t="str">
        <f t="shared" si="106"/>
        <v>BKK.57aaaaaaaaaaaaaaaaaaaaaaaaaaaaaaaaaaaaaaaaaaaaaaaaaaaaaaaaaaaaaaaaaaaaaaaaaaaaaaaaaaaaaaaaaaaaaaaaaaaaaaaaaaaaaaaaaaaaaaaaaaaaaaaaaaaaaaaaaaaaaaaaaaaaa</v>
      </c>
      <c r="T337" s="307" t="str">
        <f t="shared" si="107"/>
        <v/>
      </c>
      <c r="U337" s="315" t="str">
        <f t="shared" si="108"/>
        <v/>
      </c>
      <c r="V337" s="307" t="str">
        <f t="shared" si="112"/>
        <v/>
      </c>
      <c r="W337" s="307" t="str">
        <f>IFERROR(IF(V337&gt;0,PROPER(Terbilang1(V337)&amp;" Rupiah"),0),"")</f>
        <v/>
      </c>
      <c r="X337" s="90" t="str">
        <f t="shared" si="113"/>
        <v/>
      </c>
      <c r="Y337" s="307" t="str">
        <f t="shared" si="114"/>
        <v/>
      </c>
      <c r="Z337" s="307">
        <f t="shared" si="109"/>
        <v>0</v>
      </c>
      <c r="AA337" s="366">
        <f t="shared" si="110"/>
        <v>0</v>
      </c>
      <c r="AB337" s="367">
        <f t="shared" si="115"/>
        <v>0</v>
      </c>
      <c r="AC337" s="305">
        <f t="shared" si="116"/>
        <v>0</v>
      </c>
      <c r="AP337" s="89" t="str">
        <f t="shared" si="104"/>
        <v/>
      </c>
      <c r="AQ337" s="89" t="str">
        <f t="shared" si="102"/>
        <v/>
      </c>
      <c r="AR337" s="315" t="str">
        <f t="shared" si="103"/>
        <v/>
      </c>
      <c r="AS337" s="305" t="str">
        <f t="shared" si="117"/>
        <v>0</v>
      </c>
      <c r="AT337" s="307">
        <f>Table22[[#This Row],[Column1]]</f>
        <v>0</v>
      </c>
    </row>
    <row r="338" spans="1:46" x14ac:dyDescent="0.3">
      <c r="A338" s="307">
        <f t="shared" si="111"/>
        <v>0</v>
      </c>
      <c r="B338" s="307">
        <f t="shared" si="100"/>
        <v>0</v>
      </c>
      <c r="C338" s="308" t="s">
        <v>563</v>
      </c>
      <c r="D338" s="309" t="s">
        <v>563</v>
      </c>
      <c r="E338" s="310">
        <v>0</v>
      </c>
      <c r="F338" s="310">
        <v>0</v>
      </c>
      <c r="G338" s="311">
        <v>0</v>
      </c>
      <c r="H338" s="310" t="s">
        <v>563</v>
      </c>
      <c r="I338" s="310" t="s">
        <v>563</v>
      </c>
      <c r="J338" s="310" t="s">
        <v>563</v>
      </c>
      <c r="K338" s="312">
        <v>0</v>
      </c>
      <c r="L338" s="310">
        <v>0</v>
      </c>
      <c r="M338" s="310">
        <v>0</v>
      </c>
      <c r="N338" s="313" t="s">
        <v>563</v>
      </c>
      <c r="O338" s="314" t="s">
        <v>563</v>
      </c>
      <c r="P338" s="307">
        <f t="shared" si="105"/>
        <v>0</v>
      </c>
      <c r="R338" s="91" t="str">
        <f t="shared" si="101"/>
        <v/>
      </c>
      <c r="S338" s="307" t="str">
        <f t="shared" si="106"/>
        <v>BKK.57aaaaaaaaaaaaaaaaaaaaaaaaaaaaaaaaaaaaaaaaaaaaaaaaaaaaaaaaaaaaaaaaaaaaaaaaaaaaaaaaaaaaaaaaaaaaaaaaaaaaaaaaaaaaaaaaaaaaaaaaaaaaaaaaaaaaaaaaaaaaaaaaaaaaaa</v>
      </c>
      <c r="T338" s="307" t="str">
        <f t="shared" si="107"/>
        <v/>
      </c>
      <c r="U338" s="315" t="str">
        <f t="shared" si="108"/>
        <v/>
      </c>
      <c r="V338" s="307" t="str">
        <f>N338</f>
        <v/>
      </c>
      <c r="W338" s="307" t="str">
        <f>IFERROR(IF(V338&gt;0,PROPER(Terbilang1(V338)&amp;" Rupiah"),0),"")</f>
        <v/>
      </c>
      <c r="X338" s="90" t="str">
        <f t="shared" si="113"/>
        <v/>
      </c>
      <c r="Y338" s="307" t="str">
        <f t="shared" si="114"/>
        <v/>
      </c>
      <c r="Z338" s="307">
        <f t="shared" si="109"/>
        <v>0</v>
      </c>
      <c r="AA338" s="366">
        <f t="shared" si="110"/>
        <v>0</v>
      </c>
      <c r="AB338" s="367">
        <f t="shared" si="115"/>
        <v>0</v>
      </c>
      <c r="AC338" s="305">
        <f t="shared" si="116"/>
        <v>0</v>
      </c>
      <c r="AP338" s="89" t="str">
        <f t="shared" si="104"/>
        <v/>
      </c>
      <c r="AQ338" s="89" t="str">
        <f t="shared" si="102"/>
        <v/>
      </c>
      <c r="AR338" s="315" t="str">
        <f t="shared" si="103"/>
        <v/>
      </c>
      <c r="AS338" s="305" t="str">
        <f t="shared" si="117"/>
        <v>0</v>
      </c>
      <c r="AT338" s="307">
        <f>Table22[[#This Row],[Column1]]</f>
        <v>0</v>
      </c>
    </row>
    <row r="339" spans="1:46" x14ac:dyDescent="0.3">
      <c r="A339" s="307">
        <f t="shared" si="111"/>
        <v>0</v>
      </c>
      <c r="B339" s="307">
        <f t="shared" si="100"/>
        <v>0</v>
      </c>
      <c r="C339" s="308" t="s">
        <v>563</v>
      </c>
      <c r="D339" s="309" t="s">
        <v>563</v>
      </c>
      <c r="E339" s="310">
        <v>0</v>
      </c>
      <c r="F339" s="310">
        <v>0</v>
      </c>
      <c r="G339" s="311">
        <v>0</v>
      </c>
      <c r="H339" s="310" t="s">
        <v>563</v>
      </c>
      <c r="I339" s="310" t="s">
        <v>563</v>
      </c>
      <c r="J339" s="310" t="s">
        <v>563</v>
      </c>
      <c r="K339" s="312">
        <v>0</v>
      </c>
      <c r="L339" s="310">
        <v>0</v>
      </c>
      <c r="M339" s="310">
        <v>0</v>
      </c>
      <c r="N339" s="313" t="s">
        <v>563</v>
      </c>
      <c r="O339" s="314" t="s">
        <v>563</v>
      </c>
      <c r="P339" s="307">
        <f t="shared" si="105"/>
        <v>0</v>
      </c>
      <c r="R339" s="91" t="str">
        <f t="shared" si="101"/>
        <v/>
      </c>
      <c r="S339" s="307" t="str">
        <f t="shared" si="106"/>
        <v>BKK.57aaaaaaaaaaaaaaaaaaaaaaaaaaaaaaaaaaaaaaaaaaaaaaaaaaaaaaaaaaaaaaaaaaaaaaaaaaaaaaaaaaaaaaaaaaaaaaaaaaaaaaaaaaaaaaaaaaaaaaaaaaaaaaaaaaaaaaaaaaaaaaaaaaaaaaa</v>
      </c>
      <c r="T339" s="307" t="str">
        <f t="shared" si="107"/>
        <v/>
      </c>
      <c r="U339" s="315" t="str">
        <f t="shared" si="108"/>
        <v/>
      </c>
      <c r="V339" s="307" t="str">
        <f t="shared" si="112"/>
        <v/>
      </c>
      <c r="W339" s="307" t="str">
        <f>IFERROR(IF(V339&gt;0,PROPER(Terbilang1(V339)&amp;" Rupiah"),0),"")</f>
        <v/>
      </c>
      <c r="X339" s="90" t="str">
        <f t="shared" si="113"/>
        <v/>
      </c>
      <c r="Y339" s="307" t="str">
        <f t="shared" si="114"/>
        <v/>
      </c>
      <c r="Z339" s="307">
        <f t="shared" si="109"/>
        <v>0</v>
      </c>
      <c r="AA339" s="366">
        <f t="shared" si="110"/>
        <v>0</v>
      </c>
      <c r="AB339" s="367">
        <f t="shared" si="115"/>
        <v>0</v>
      </c>
      <c r="AC339" s="305">
        <f t="shared" si="116"/>
        <v>0</v>
      </c>
      <c r="AP339" s="89" t="str">
        <f t="shared" si="104"/>
        <v/>
      </c>
      <c r="AQ339" s="89" t="str">
        <f t="shared" si="102"/>
        <v/>
      </c>
      <c r="AR339" s="315" t="str">
        <f t="shared" si="103"/>
        <v/>
      </c>
      <c r="AS339" s="305" t="str">
        <f t="shared" si="117"/>
        <v>0</v>
      </c>
      <c r="AT339" s="307">
        <f>Table22[[#This Row],[Column1]]</f>
        <v>0</v>
      </c>
    </row>
    <row r="340" spans="1:46" x14ac:dyDescent="0.3">
      <c r="A340" s="307">
        <f t="shared" si="111"/>
        <v>0</v>
      </c>
      <c r="B340" s="307">
        <f t="shared" si="100"/>
        <v>0</v>
      </c>
      <c r="C340" s="308" t="s">
        <v>563</v>
      </c>
      <c r="D340" s="309" t="s">
        <v>563</v>
      </c>
      <c r="E340" s="310">
        <v>0</v>
      </c>
      <c r="F340" s="310">
        <v>0</v>
      </c>
      <c r="G340" s="311">
        <v>0</v>
      </c>
      <c r="H340" s="310" t="s">
        <v>563</v>
      </c>
      <c r="I340" s="310" t="s">
        <v>563</v>
      </c>
      <c r="J340" s="310" t="s">
        <v>563</v>
      </c>
      <c r="K340" s="312">
        <v>0</v>
      </c>
      <c r="L340" s="310">
        <v>0</v>
      </c>
      <c r="M340" s="310">
        <v>0</v>
      </c>
      <c r="N340" s="313" t="s">
        <v>563</v>
      </c>
      <c r="O340" s="314" t="s">
        <v>563</v>
      </c>
      <c r="P340" s="307">
        <f t="shared" si="105"/>
        <v>0</v>
      </c>
      <c r="R340" s="91" t="str">
        <f t="shared" si="101"/>
        <v/>
      </c>
      <c r="S340" s="307" t="str">
        <f t="shared" si="106"/>
        <v>BKK.57aaaaaaaaaaaaaaaaaaaaaaaaaaaaaaaaaaaaaaaaaaaaaaaaaaaaaaaaaaaaaaaaaaaaaaaaaaaaaaaaaaaaaaaaaaaaaaaaaaaaaaaaaaaaaaaaaaaaaaaaaaaaaaaaaaaaaaaaaaaaaaaaaaaaaaaa</v>
      </c>
      <c r="T340" s="307" t="str">
        <f t="shared" si="107"/>
        <v/>
      </c>
      <c r="U340" s="315" t="str">
        <f t="shared" si="108"/>
        <v/>
      </c>
      <c r="V340" s="307" t="str">
        <f t="shared" si="112"/>
        <v/>
      </c>
      <c r="W340" s="307" t="str">
        <f>IFERROR(IF(V340&gt;0,PROPER(Terbilang1(V340)&amp;" Rupiah"),0),"")</f>
        <v/>
      </c>
      <c r="X340" s="90" t="str">
        <f t="shared" si="113"/>
        <v/>
      </c>
      <c r="Y340" s="307" t="str">
        <f t="shared" si="114"/>
        <v/>
      </c>
      <c r="Z340" s="307">
        <f t="shared" si="109"/>
        <v>0</v>
      </c>
      <c r="AA340" s="366">
        <f t="shared" si="110"/>
        <v>0</v>
      </c>
      <c r="AB340" s="367">
        <f t="shared" si="115"/>
        <v>0</v>
      </c>
      <c r="AC340" s="305">
        <f t="shared" si="116"/>
        <v>0</v>
      </c>
      <c r="AP340" s="89" t="str">
        <f t="shared" si="104"/>
        <v/>
      </c>
      <c r="AQ340" s="89" t="str">
        <f t="shared" si="102"/>
        <v/>
      </c>
      <c r="AR340" s="315" t="str">
        <f t="shared" si="103"/>
        <v/>
      </c>
      <c r="AS340" s="305" t="str">
        <f t="shared" si="117"/>
        <v>0</v>
      </c>
      <c r="AT340" s="307">
        <f>Table22[[#This Row],[Column1]]</f>
        <v>0</v>
      </c>
    </row>
    <row r="341" spans="1:46" x14ac:dyDescent="0.3">
      <c r="A341" s="307">
        <f t="shared" si="111"/>
        <v>0</v>
      </c>
      <c r="B341" s="307">
        <f t="shared" si="100"/>
        <v>0</v>
      </c>
      <c r="C341" s="308" t="s">
        <v>563</v>
      </c>
      <c r="D341" s="309" t="s">
        <v>563</v>
      </c>
      <c r="E341" s="310">
        <v>0</v>
      </c>
      <c r="F341" s="310">
        <v>0</v>
      </c>
      <c r="G341" s="311">
        <v>0</v>
      </c>
      <c r="H341" s="310" t="s">
        <v>563</v>
      </c>
      <c r="I341" s="310" t="s">
        <v>563</v>
      </c>
      <c r="J341" s="310" t="s">
        <v>563</v>
      </c>
      <c r="K341" s="312">
        <v>0</v>
      </c>
      <c r="L341" s="310">
        <v>0</v>
      </c>
      <c r="M341" s="310">
        <v>0</v>
      </c>
      <c r="N341" s="313" t="s">
        <v>563</v>
      </c>
      <c r="O341" s="314" t="s">
        <v>563</v>
      </c>
      <c r="P341" s="307">
        <f t="shared" si="105"/>
        <v>0</v>
      </c>
      <c r="R341" s="91" t="str">
        <f t="shared" si="101"/>
        <v/>
      </c>
      <c r="S341" s="307" t="str">
        <f t="shared" si="106"/>
        <v>BKK.57aaaaaaaaaaaaaaaaaaaaaaaaaaaaaaaaaaaaaaaaaaaaaaaaaaaaaaaaaaaaaaaaaaaaaaaaaaaaaaaaaaaaaaaaaaaaaaaaaaaaaaaaaaaaaaaaaaaaaaaaaaaaaaaaaaaaaaaaaaaaaaaaaaaaaaaaa</v>
      </c>
      <c r="T341" s="307" t="str">
        <f t="shared" si="107"/>
        <v/>
      </c>
      <c r="U341" s="315" t="str">
        <f t="shared" si="108"/>
        <v/>
      </c>
      <c r="V341" s="307" t="str">
        <f t="shared" si="112"/>
        <v/>
      </c>
      <c r="W341" s="307" t="str">
        <f>IFERROR(IF(V341&gt;0,PROPER(Terbilang1(V341)&amp;" Rupiah"),0),"")</f>
        <v/>
      </c>
      <c r="X341" s="90" t="str">
        <f t="shared" si="113"/>
        <v/>
      </c>
      <c r="Y341" s="307" t="str">
        <f t="shared" si="114"/>
        <v/>
      </c>
      <c r="Z341" s="307">
        <f t="shared" si="109"/>
        <v>0</v>
      </c>
      <c r="AA341" s="366">
        <f t="shared" si="110"/>
        <v>0</v>
      </c>
      <c r="AB341" s="367">
        <f t="shared" si="115"/>
        <v>0</v>
      </c>
      <c r="AC341" s="305">
        <f t="shared" si="116"/>
        <v>0</v>
      </c>
      <c r="AP341" s="89" t="str">
        <f t="shared" si="104"/>
        <v/>
      </c>
      <c r="AQ341" s="89" t="str">
        <f t="shared" si="102"/>
        <v/>
      </c>
      <c r="AR341" s="315" t="str">
        <f t="shared" si="103"/>
        <v/>
      </c>
      <c r="AS341" s="305" t="str">
        <f t="shared" si="117"/>
        <v>0</v>
      </c>
      <c r="AT341" s="307">
        <f>Table22[[#This Row],[Column1]]</f>
        <v>0</v>
      </c>
    </row>
    <row r="342" spans="1:46" x14ac:dyDescent="0.3">
      <c r="A342" s="307">
        <f t="shared" si="111"/>
        <v>0</v>
      </c>
      <c r="B342" s="307">
        <f t="shared" si="100"/>
        <v>0</v>
      </c>
      <c r="C342" s="308" t="s">
        <v>563</v>
      </c>
      <c r="D342" s="309" t="s">
        <v>563</v>
      </c>
      <c r="E342" s="310">
        <v>0</v>
      </c>
      <c r="F342" s="310">
        <v>0</v>
      </c>
      <c r="G342" s="311">
        <v>0</v>
      </c>
      <c r="H342" s="310" t="s">
        <v>563</v>
      </c>
      <c r="I342" s="310" t="s">
        <v>563</v>
      </c>
      <c r="J342" s="310" t="s">
        <v>563</v>
      </c>
      <c r="K342" s="312">
        <v>0</v>
      </c>
      <c r="L342" s="310">
        <v>0</v>
      </c>
      <c r="M342" s="310">
        <v>0</v>
      </c>
      <c r="N342" s="313" t="s">
        <v>563</v>
      </c>
      <c r="O342" s="314" t="s">
        <v>563</v>
      </c>
      <c r="P342" s="307">
        <f t="shared" si="105"/>
        <v>0</v>
      </c>
      <c r="R342" s="91" t="str">
        <f t="shared" si="101"/>
        <v/>
      </c>
      <c r="S342" s="307" t="str">
        <f t="shared" si="106"/>
        <v>BKK.57aaaaaaaaaaaaaaaaaaaaaaaaaaaaaaaaaaaaaaaaaaaaaaaaaaaaaaaaaaaaaaaaaaaaaaaaaaaaaaaaaaaaaaaaaaaaaaaaaaaaaaaaaaaaaaaaaaaaaaaaaaaaaaaaaaaaaaaaaaaaaaaaaaaaaaaaaa</v>
      </c>
      <c r="T342" s="307" t="str">
        <f t="shared" si="107"/>
        <v/>
      </c>
      <c r="U342" s="315" t="str">
        <f t="shared" si="108"/>
        <v/>
      </c>
      <c r="V342" s="307" t="str">
        <f>N342</f>
        <v/>
      </c>
      <c r="W342" s="307" t="str">
        <f>IFERROR(IF(V342&gt;0,PROPER(Terbilang1(V342)&amp;" Rupiah"),0),"")</f>
        <v/>
      </c>
      <c r="X342" s="90" t="str">
        <f t="shared" si="113"/>
        <v/>
      </c>
      <c r="Y342" s="307" t="str">
        <f t="shared" si="114"/>
        <v/>
      </c>
      <c r="Z342" s="307">
        <f t="shared" si="109"/>
        <v>0</v>
      </c>
      <c r="AA342" s="366">
        <f t="shared" si="110"/>
        <v>0</v>
      </c>
      <c r="AB342" s="367">
        <f t="shared" si="115"/>
        <v>0</v>
      </c>
      <c r="AC342" s="305">
        <f t="shared" si="116"/>
        <v>0</v>
      </c>
      <c r="AP342" s="89" t="str">
        <f t="shared" si="104"/>
        <v/>
      </c>
      <c r="AQ342" s="89" t="str">
        <f t="shared" si="102"/>
        <v/>
      </c>
      <c r="AR342" s="315" t="str">
        <f t="shared" si="103"/>
        <v/>
      </c>
      <c r="AS342" s="305" t="str">
        <f t="shared" si="117"/>
        <v>0</v>
      </c>
      <c r="AT342" s="307">
        <f>Table22[[#This Row],[Column1]]</f>
        <v>0</v>
      </c>
    </row>
    <row r="343" spans="1:46" x14ac:dyDescent="0.3">
      <c r="A343" s="307">
        <f t="shared" si="111"/>
        <v>0</v>
      </c>
      <c r="B343" s="307">
        <f t="shared" si="100"/>
        <v>0</v>
      </c>
      <c r="C343" s="308" t="s">
        <v>563</v>
      </c>
      <c r="D343" s="309" t="s">
        <v>563</v>
      </c>
      <c r="E343" s="310">
        <v>0</v>
      </c>
      <c r="F343" s="310">
        <v>0</v>
      </c>
      <c r="G343" s="311">
        <v>0</v>
      </c>
      <c r="H343" s="310" t="s">
        <v>563</v>
      </c>
      <c r="I343" s="310" t="s">
        <v>563</v>
      </c>
      <c r="J343" s="310" t="s">
        <v>563</v>
      </c>
      <c r="K343" s="312">
        <v>0</v>
      </c>
      <c r="L343" s="310">
        <v>0</v>
      </c>
      <c r="M343" s="310">
        <v>0</v>
      </c>
      <c r="N343" s="313" t="s">
        <v>563</v>
      </c>
      <c r="O343" s="314" t="s">
        <v>563</v>
      </c>
      <c r="P343" s="307">
        <f t="shared" si="105"/>
        <v>0</v>
      </c>
      <c r="R343" s="91" t="str">
        <f t="shared" si="101"/>
        <v/>
      </c>
      <c r="S343" s="307" t="str">
        <f t="shared" si="106"/>
        <v>BKK.57aaaaaaaaaaaaaaaaaaaaaaaaaaaaaaaaaaaaaaaaaaaaaaaaaaaaaaaaaaaaaaaaaaaaaaaaaaaaaaaaaaaaaaaaaaaaaaaaaaaaaaaaaaaaaaaaaaaaaaaaaaaaaaaaaaaaaaaaaaaaaaaaaaaaaaaaaaa</v>
      </c>
      <c r="T343" s="307" t="str">
        <f t="shared" si="107"/>
        <v/>
      </c>
      <c r="U343" s="315" t="str">
        <f t="shared" si="108"/>
        <v/>
      </c>
      <c r="V343" s="307" t="str">
        <f>N343</f>
        <v/>
      </c>
      <c r="W343" s="307" t="str">
        <f>IFERROR(IF(V343&gt;0,PROPER(Terbilang1(V343)&amp;" Rupiah"),0),"")</f>
        <v/>
      </c>
      <c r="X343" s="90" t="str">
        <f t="shared" si="113"/>
        <v/>
      </c>
      <c r="Y343" s="307" t="str">
        <f t="shared" si="114"/>
        <v/>
      </c>
      <c r="Z343" s="307">
        <f t="shared" si="109"/>
        <v>0</v>
      </c>
      <c r="AA343" s="366">
        <f t="shared" si="110"/>
        <v>0</v>
      </c>
      <c r="AB343" s="367">
        <f t="shared" si="115"/>
        <v>0</v>
      </c>
      <c r="AC343" s="305">
        <f t="shared" si="116"/>
        <v>0</v>
      </c>
      <c r="AP343" s="89" t="str">
        <f t="shared" si="104"/>
        <v/>
      </c>
      <c r="AQ343" s="89" t="str">
        <f t="shared" si="102"/>
        <v/>
      </c>
      <c r="AR343" s="315" t="str">
        <f t="shared" si="103"/>
        <v/>
      </c>
      <c r="AS343" s="305" t="str">
        <f t="shared" si="117"/>
        <v>0</v>
      </c>
      <c r="AT343" s="307">
        <f>Table22[[#This Row],[Column1]]</f>
        <v>0</v>
      </c>
    </row>
    <row r="344" spans="1:46" x14ac:dyDescent="0.3">
      <c r="A344" s="307">
        <f t="shared" si="111"/>
        <v>0</v>
      </c>
      <c r="B344" s="307">
        <f t="shared" si="100"/>
        <v>0</v>
      </c>
      <c r="C344" s="308" t="s">
        <v>563</v>
      </c>
      <c r="D344" s="309" t="s">
        <v>563</v>
      </c>
      <c r="E344" s="310">
        <v>0</v>
      </c>
      <c r="F344" s="310">
        <v>0</v>
      </c>
      <c r="G344" s="311">
        <v>0</v>
      </c>
      <c r="H344" s="310" t="s">
        <v>563</v>
      </c>
      <c r="I344" s="310" t="s">
        <v>563</v>
      </c>
      <c r="J344" s="310" t="s">
        <v>563</v>
      </c>
      <c r="K344" s="312">
        <v>0</v>
      </c>
      <c r="L344" s="310">
        <v>0</v>
      </c>
      <c r="M344" s="310">
        <v>0</v>
      </c>
      <c r="N344" s="313" t="s">
        <v>563</v>
      </c>
      <c r="O344" s="314" t="s">
        <v>563</v>
      </c>
      <c r="P344" s="307">
        <f t="shared" si="105"/>
        <v>0</v>
      </c>
      <c r="R344" s="91" t="str">
        <f t="shared" si="101"/>
        <v/>
      </c>
      <c r="S344" s="307" t="str">
        <f t="shared" si="106"/>
        <v>BKK.57aaaaaaaaaaaaaaaaaaaaaaaaaaaaaaaaaaaaaaaaaaaaaaaaaaaaaaaaaaaaaaaaaaaaaaaaaaaaaaaaaaaaaaaaaaaaaaaaaaaaaaaaaaaaaaaaaaaaaaaaaaaaaaaaaaaaaaaaaaaaaaaaaaaaaaaaaaaa</v>
      </c>
      <c r="T344" s="307" t="str">
        <f t="shared" si="107"/>
        <v/>
      </c>
      <c r="U344" s="315" t="str">
        <f t="shared" si="108"/>
        <v/>
      </c>
      <c r="V344" s="307" t="str">
        <f t="shared" si="112"/>
        <v/>
      </c>
      <c r="W344" s="307" t="str">
        <f>IFERROR(IF(V344&gt;0,PROPER(Terbilang1(V344)&amp;" Rupiah"),0),"")</f>
        <v/>
      </c>
      <c r="X344" s="90" t="str">
        <f t="shared" si="113"/>
        <v/>
      </c>
      <c r="Y344" s="307" t="str">
        <f t="shared" si="114"/>
        <v/>
      </c>
      <c r="Z344" s="307">
        <f t="shared" si="109"/>
        <v>0</v>
      </c>
      <c r="AA344" s="366">
        <f t="shared" si="110"/>
        <v>0</v>
      </c>
      <c r="AB344" s="367">
        <f t="shared" si="115"/>
        <v>0</v>
      </c>
      <c r="AC344" s="305">
        <f t="shared" si="116"/>
        <v>0</v>
      </c>
      <c r="AP344" s="89" t="str">
        <f t="shared" si="104"/>
        <v/>
      </c>
      <c r="AQ344" s="89" t="str">
        <f t="shared" si="102"/>
        <v/>
      </c>
      <c r="AR344" s="315" t="str">
        <f t="shared" si="103"/>
        <v/>
      </c>
      <c r="AS344" s="305" t="str">
        <f t="shared" si="117"/>
        <v>0</v>
      </c>
      <c r="AT344" s="307">
        <f>Table22[[#This Row],[Column1]]</f>
        <v>0</v>
      </c>
    </row>
    <row r="345" spans="1:46" x14ac:dyDescent="0.3">
      <c r="A345" s="307">
        <f t="shared" si="111"/>
        <v>0</v>
      </c>
      <c r="B345" s="307">
        <f t="shared" si="100"/>
        <v>0</v>
      </c>
      <c r="C345" s="308" t="s">
        <v>563</v>
      </c>
      <c r="D345" s="309" t="s">
        <v>563</v>
      </c>
      <c r="E345" s="310">
        <v>0</v>
      </c>
      <c r="F345" s="310">
        <v>0</v>
      </c>
      <c r="G345" s="311">
        <v>0</v>
      </c>
      <c r="H345" s="310" t="s">
        <v>563</v>
      </c>
      <c r="I345" s="310" t="s">
        <v>563</v>
      </c>
      <c r="J345" s="310" t="s">
        <v>563</v>
      </c>
      <c r="K345" s="312">
        <v>0</v>
      </c>
      <c r="L345" s="310">
        <v>0</v>
      </c>
      <c r="M345" s="310">
        <v>0</v>
      </c>
      <c r="N345" s="313" t="s">
        <v>563</v>
      </c>
      <c r="O345" s="314" t="s">
        <v>563</v>
      </c>
      <c r="P345" s="307">
        <f t="shared" si="105"/>
        <v>0</v>
      </c>
      <c r="R345" s="91" t="str">
        <f t="shared" si="101"/>
        <v/>
      </c>
      <c r="S345" s="307" t="str">
        <f t="shared" si="106"/>
        <v>BKK.57aaaaaaaaaaaaaaaaaaaaaaaaaaaaaaaaaaaaaaaaaaaaaaaaaaaaaaaaaaaaaaaaaaaaaaaaaaaaaaaaaaaaaaaaaaaaaaaaaaaaaaaaaaaaaaaaaaaaaaaaaaaaaaaaaaaaaaaaaaaaaaaaaaaaaaaaaaaaa</v>
      </c>
      <c r="T345" s="307" t="str">
        <f t="shared" si="107"/>
        <v/>
      </c>
      <c r="U345" s="315" t="str">
        <f t="shared" si="108"/>
        <v/>
      </c>
      <c r="V345" s="307" t="str">
        <f t="shared" si="112"/>
        <v/>
      </c>
      <c r="W345" s="307" t="str">
        <f>IFERROR(IF(V345&gt;0,PROPER(Terbilang1(V345)&amp;" Rupiah"),0),"")</f>
        <v/>
      </c>
      <c r="X345" s="90" t="str">
        <f t="shared" si="113"/>
        <v/>
      </c>
      <c r="Y345" s="307" t="str">
        <f t="shared" si="114"/>
        <v/>
      </c>
      <c r="Z345" s="307">
        <f t="shared" si="109"/>
        <v>0</v>
      </c>
      <c r="AA345" s="366">
        <f t="shared" si="110"/>
        <v>0</v>
      </c>
      <c r="AB345" s="367">
        <f t="shared" si="115"/>
        <v>0</v>
      </c>
      <c r="AC345" s="305">
        <f t="shared" si="116"/>
        <v>0</v>
      </c>
      <c r="AP345" s="89" t="str">
        <f t="shared" si="104"/>
        <v/>
      </c>
      <c r="AQ345" s="89" t="str">
        <f t="shared" si="102"/>
        <v/>
      </c>
      <c r="AR345" s="315" t="str">
        <f t="shared" si="103"/>
        <v/>
      </c>
      <c r="AS345" s="305" t="str">
        <f t="shared" si="117"/>
        <v>0</v>
      </c>
      <c r="AT345" s="307">
        <f>Table22[[#This Row],[Column1]]</f>
        <v>0</v>
      </c>
    </row>
    <row r="346" spans="1:46" x14ac:dyDescent="0.3">
      <c r="A346" s="307">
        <f t="shared" si="111"/>
        <v>0</v>
      </c>
      <c r="B346" s="307">
        <f t="shared" si="100"/>
        <v>0</v>
      </c>
      <c r="C346" s="308" t="s">
        <v>563</v>
      </c>
      <c r="D346" s="309" t="s">
        <v>563</v>
      </c>
      <c r="E346" s="310">
        <v>0</v>
      </c>
      <c r="F346" s="310">
        <v>0</v>
      </c>
      <c r="G346" s="311">
        <v>0</v>
      </c>
      <c r="H346" s="310" t="s">
        <v>563</v>
      </c>
      <c r="I346" s="310" t="s">
        <v>563</v>
      </c>
      <c r="J346" s="310" t="s">
        <v>563</v>
      </c>
      <c r="K346" s="312">
        <v>0</v>
      </c>
      <c r="L346" s="310">
        <v>0</v>
      </c>
      <c r="M346" s="310">
        <v>0</v>
      </c>
      <c r="N346" s="313" t="s">
        <v>563</v>
      </c>
      <c r="O346" s="314" t="s">
        <v>563</v>
      </c>
      <c r="P346" s="307">
        <f t="shared" si="105"/>
        <v>0</v>
      </c>
      <c r="R346" s="91" t="str">
        <f t="shared" si="101"/>
        <v/>
      </c>
      <c r="S346" s="307" t="str">
        <f t="shared" si="106"/>
        <v>BKK.57aaaaaaaaaaaaaaaaaaaaaaaaaaaaaaaaaaaaaaaaaaaaaaaaaaaaaaaaaaaaaaaaaaaaaaaaaaaaaaaaaaaaaaaaaaaaaaaaaaaaaaaaaaaaaaaaaaaaaaaaaaaaaaaaaaaaaaaaaaaaaaaaaaaaaaaaaaaaaa</v>
      </c>
      <c r="T346" s="307" t="str">
        <f t="shared" si="107"/>
        <v/>
      </c>
      <c r="U346" s="315" t="str">
        <f t="shared" si="108"/>
        <v/>
      </c>
      <c r="V346" s="307" t="str">
        <f>N346</f>
        <v/>
      </c>
      <c r="W346" s="307" t="str">
        <f>IFERROR(IF(V346&gt;0,PROPER(Terbilang1(V346)&amp;" Rupiah"),0),"")</f>
        <v/>
      </c>
      <c r="X346" s="90" t="str">
        <f t="shared" si="113"/>
        <v/>
      </c>
      <c r="Y346" s="307" t="str">
        <f t="shared" si="114"/>
        <v/>
      </c>
      <c r="Z346" s="307">
        <f t="shared" si="109"/>
        <v>0</v>
      </c>
      <c r="AA346" s="366">
        <f t="shared" si="110"/>
        <v>0</v>
      </c>
      <c r="AB346" s="367">
        <f t="shared" si="115"/>
        <v>0</v>
      </c>
      <c r="AC346" s="305">
        <f t="shared" si="116"/>
        <v>0</v>
      </c>
      <c r="AP346" s="89" t="str">
        <f t="shared" si="104"/>
        <v/>
      </c>
      <c r="AQ346" s="89" t="str">
        <f t="shared" si="102"/>
        <v/>
      </c>
      <c r="AR346" s="315" t="str">
        <f t="shared" si="103"/>
        <v/>
      </c>
      <c r="AS346" s="305" t="str">
        <f t="shared" si="117"/>
        <v>0</v>
      </c>
      <c r="AT346" s="307">
        <f>Table22[[#This Row],[Column1]]</f>
        <v>0</v>
      </c>
    </row>
    <row r="347" spans="1:46" x14ac:dyDescent="0.3">
      <c r="A347" s="307">
        <f t="shared" si="111"/>
        <v>0</v>
      </c>
      <c r="B347" s="307">
        <f t="shared" si="100"/>
        <v>0</v>
      </c>
      <c r="C347" s="308" t="s">
        <v>563</v>
      </c>
      <c r="D347" s="309" t="s">
        <v>563</v>
      </c>
      <c r="E347" s="310">
        <v>0</v>
      </c>
      <c r="F347" s="310">
        <v>0</v>
      </c>
      <c r="G347" s="311">
        <v>0</v>
      </c>
      <c r="H347" s="310" t="s">
        <v>563</v>
      </c>
      <c r="I347" s="310" t="s">
        <v>563</v>
      </c>
      <c r="J347" s="310" t="s">
        <v>563</v>
      </c>
      <c r="K347" s="312">
        <v>0</v>
      </c>
      <c r="L347" s="310">
        <v>0</v>
      </c>
      <c r="M347" s="310">
        <v>0</v>
      </c>
      <c r="N347" s="313" t="s">
        <v>563</v>
      </c>
      <c r="O347" s="314" t="s">
        <v>563</v>
      </c>
      <c r="P347" s="307">
        <f t="shared" si="105"/>
        <v>0</v>
      </c>
      <c r="R347" s="91" t="str">
        <f t="shared" si="101"/>
        <v/>
      </c>
      <c r="S347" s="307" t="str">
        <f t="shared" si="106"/>
        <v>BKK.57aaaaaaaaaaaaaaaaaaaaaaaaaaaaaaaaaaaaaaaaaaaaaaaaaaaaaaaaaaaaaaaaaaaaaaaaaaaaaaaaaaaaaaaaaaaaaaaaaaaaaaaaaaaaaaaaaaaaaaaaaaaaaaaaaaaaaaaaaaaaaaaaaaaaaaaaaaaaaaa</v>
      </c>
      <c r="T347" s="307" t="str">
        <f t="shared" si="107"/>
        <v/>
      </c>
      <c r="U347" s="315" t="str">
        <f t="shared" si="108"/>
        <v/>
      </c>
      <c r="V347" s="307" t="str">
        <f>N347</f>
        <v/>
      </c>
      <c r="W347" s="307" t="str">
        <f>IFERROR(IF(V347&gt;0,PROPER(Terbilang1(V347)&amp;" Rupiah"),0),"")</f>
        <v/>
      </c>
      <c r="X347" s="90" t="str">
        <f t="shared" si="113"/>
        <v/>
      </c>
      <c r="Y347" s="307" t="str">
        <f t="shared" si="114"/>
        <v/>
      </c>
      <c r="Z347" s="307">
        <f t="shared" si="109"/>
        <v>0</v>
      </c>
      <c r="AA347" s="366">
        <f t="shared" si="110"/>
        <v>0</v>
      </c>
      <c r="AB347" s="367">
        <f t="shared" si="115"/>
        <v>0</v>
      </c>
      <c r="AC347" s="305">
        <f t="shared" si="116"/>
        <v>0</v>
      </c>
      <c r="AP347" s="89" t="str">
        <f t="shared" si="104"/>
        <v/>
      </c>
      <c r="AQ347" s="89" t="str">
        <f t="shared" si="102"/>
        <v/>
      </c>
      <c r="AR347" s="315" t="str">
        <f t="shared" si="103"/>
        <v/>
      </c>
      <c r="AS347" s="305" t="str">
        <f t="shared" si="117"/>
        <v>0</v>
      </c>
      <c r="AT347" s="307">
        <f>Table22[[#This Row],[Column1]]</f>
        <v>0</v>
      </c>
    </row>
    <row r="348" spans="1:46" x14ac:dyDescent="0.3">
      <c r="A348" s="307">
        <f t="shared" si="111"/>
        <v>0</v>
      </c>
      <c r="B348" s="307">
        <f t="shared" si="100"/>
        <v>0</v>
      </c>
      <c r="C348" s="308" t="s">
        <v>563</v>
      </c>
      <c r="D348" s="309" t="s">
        <v>563</v>
      </c>
      <c r="E348" s="310">
        <v>0</v>
      </c>
      <c r="F348" s="310">
        <v>0</v>
      </c>
      <c r="G348" s="311">
        <v>0</v>
      </c>
      <c r="H348" s="310" t="s">
        <v>563</v>
      </c>
      <c r="I348" s="310" t="s">
        <v>563</v>
      </c>
      <c r="J348" s="310" t="s">
        <v>563</v>
      </c>
      <c r="K348" s="312">
        <v>0</v>
      </c>
      <c r="L348" s="310">
        <v>0</v>
      </c>
      <c r="M348" s="310">
        <v>0</v>
      </c>
      <c r="N348" s="313" t="s">
        <v>563</v>
      </c>
      <c r="O348" s="314" t="s">
        <v>563</v>
      </c>
      <c r="P348" s="307">
        <f t="shared" si="105"/>
        <v>0</v>
      </c>
      <c r="R348" s="91" t="str">
        <f t="shared" si="101"/>
        <v/>
      </c>
      <c r="S348" s="307" t="str">
        <f t="shared" si="106"/>
        <v>BKK.57aaaaaaaaaaaaaaaaaaaaaaaaaaaaaaaaaaaaaaaaaaaaaaaaaaaaaaaaaaaaaaaaaaaaaaaaaaaaaaaaaaaaaaaaaaaaaaaaaaaaaaaaaaaaaaaaaaaaaaaaaaaaaaaaaaaaaaaaaaaaaaaaaaaaaaaaaaaaaaaa</v>
      </c>
      <c r="T348" s="307" t="str">
        <f t="shared" si="107"/>
        <v/>
      </c>
      <c r="U348" s="315" t="str">
        <f t="shared" si="108"/>
        <v/>
      </c>
      <c r="V348" s="307" t="str">
        <f>N348</f>
        <v/>
      </c>
      <c r="W348" s="307" t="str">
        <f>IFERROR(IF(V348&gt;0,PROPER(Terbilang1(V348)&amp;" Rupiah"),0),"")</f>
        <v/>
      </c>
      <c r="X348" s="90" t="str">
        <f t="shared" si="113"/>
        <v/>
      </c>
      <c r="Y348" s="307" t="str">
        <f t="shared" si="114"/>
        <v/>
      </c>
      <c r="Z348" s="307">
        <f t="shared" si="109"/>
        <v>0</v>
      </c>
      <c r="AA348" s="366">
        <f t="shared" si="110"/>
        <v>0</v>
      </c>
      <c r="AB348" s="367">
        <f t="shared" si="115"/>
        <v>0</v>
      </c>
      <c r="AC348" s="305">
        <f t="shared" si="116"/>
        <v>0</v>
      </c>
      <c r="AP348" s="89" t="str">
        <f t="shared" si="104"/>
        <v/>
      </c>
      <c r="AQ348" s="89" t="str">
        <f t="shared" si="102"/>
        <v/>
      </c>
      <c r="AR348" s="315" t="str">
        <f t="shared" si="103"/>
        <v/>
      </c>
      <c r="AS348" s="305" t="str">
        <f t="shared" si="117"/>
        <v>0</v>
      </c>
      <c r="AT348" s="307">
        <f>Table22[[#This Row],[Column1]]</f>
        <v>0</v>
      </c>
    </row>
    <row r="349" spans="1:46" x14ac:dyDescent="0.3">
      <c r="A349" s="307">
        <f t="shared" si="111"/>
        <v>0</v>
      </c>
      <c r="B349" s="307">
        <f t="shared" si="100"/>
        <v>0</v>
      </c>
      <c r="C349" s="308" t="s">
        <v>563</v>
      </c>
      <c r="D349" s="309" t="s">
        <v>563</v>
      </c>
      <c r="E349" s="310">
        <v>0</v>
      </c>
      <c r="F349" s="310">
        <v>0</v>
      </c>
      <c r="G349" s="311">
        <v>0</v>
      </c>
      <c r="H349" s="310" t="s">
        <v>563</v>
      </c>
      <c r="I349" s="310" t="s">
        <v>563</v>
      </c>
      <c r="J349" s="310" t="s">
        <v>563</v>
      </c>
      <c r="K349" s="312">
        <v>0</v>
      </c>
      <c r="L349" s="310">
        <v>0</v>
      </c>
      <c r="M349" s="310">
        <v>0</v>
      </c>
      <c r="N349" s="313" t="s">
        <v>563</v>
      </c>
      <c r="O349" s="314" t="s">
        <v>563</v>
      </c>
      <c r="P349" s="307">
        <f t="shared" si="105"/>
        <v>0</v>
      </c>
      <c r="R349" s="91" t="str">
        <f t="shared" si="101"/>
        <v/>
      </c>
      <c r="S349" s="307" t="str">
        <f t="shared" si="106"/>
        <v>BKK.57aaaaaaaaaaaaaaaaaaaaaaaaaaaaaaaaaaaaaaaaaaaaaaaaaaaaaaaaaaaaaaaaaaaaaaaaaaaaaaaaaaaaaaaaaaaaaaaaaaaaaaaaaaaaaaaaaaaaaaaaaaaaaaaaaaaaaaaaaaaaaaaaaaaaaaaaaaaaaaaaa</v>
      </c>
      <c r="T349" s="307" t="str">
        <f t="shared" si="107"/>
        <v/>
      </c>
      <c r="U349" s="315" t="str">
        <f t="shared" si="108"/>
        <v/>
      </c>
      <c r="V349" s="307" t="str">
        <f t="shared" si="112"/>
        <v/>
      </c>
      <c r="W349" s="307" t="str">
        <f>IFERROR(IF(V349&gt;0,PROPER(Terbilang1(V349)&amp;" Rupiah"),0),"")</f>
        <v/>
      </c>
      <c r="X349" s="90" t="str">
        <f t="shared" si="113"/>
        <v/>
      </c>
      <c r="Y349" s="307" t="str">
        <f t="shared" si="114"/>
        <v/>
      </c>
      <c r="Z349" s="307">
        <f t="shared" si="109"/>
        <v>0</v>
      </c>
      <c r="AA349" s="366">
        <f t="shared" si="110"/>
        <v>0</v>
      </c>
      <c r="AB349" s="367">
        <f t="shared" si="115"/>
        <v>0</v>
      </c>
      <c r="AC349" s="305">
        <f t="shared" si="116"/>
        <v>0</v>
      </c>
      <c r="AP349" s="89" t="str">
        <f t="shared" si="104"/>
        <v/>
      </c>
      <c r="AQ349" s="89" t="str">
        <f t="shared" si="102"/>
        <v/>
      </c>
      <c r="AR349" s="315" t="str">
        <f t="shared" si="103"/>
        <v/>
      </c>
      <c r="AS349" s="305" t="str">
        <f t="shared" si="117"/>
        <v>0</v>
      </c>
      <c r="AT349" s="307">
        <f>Table22[[#This Row],[Column1]]</f>
        <v>0</v>
      </c>
    </row>
    <row r="350" spans="1:46" x14ac:dyDescent="0.3">
      <c r="A350" s="307">
        <f t="shared" si="111"/>
        <v>0</v>
      </c>
      <c r="B350" s="307">
        <f t="shared" si="100"/>
        <v>0</v>
      </c>
      <c r="C350" s="308" t="s">
        <v>563</v>
      </c>
      <c r="D350" s="309" t="s">
        <v>563</v>
      </c>
      <c r="E350" s="310">
        <v>0</v>
      </c>
      <c r="F350" s="310">
        <v>0</v>
      </c>
      <c r="G350" s="311">
        <v>0</v>
      </c>
      <c r="H350" s="310" t="s">
        <v>563</v>
      </c>
      <c r="I350" s="310" t="s">
        <v>563</v>
      </c>
      <c r="J350" s="310" t="s">
        <v>563</v>
      </c>
      <c r="K350" s="312">
        <v>0</v>
      </c>
      <c r="L350" s="310">
        <v>0</v>
      </c>
      <c r="M350" s="310">
        <v>0</v>
      </c>
      <c r="N350" s="313" t="s">
        <v>563</v>
      </c>
      <c r="O350" s="314" t="s">
        <v>563</v>
      </c>
      <c r="P350" s="307">
        <f t="shared" si="105"/>
        <v>0</v>
      </c>
      <c r="R350" s="91" t="str">
        <f t="shared" si="101"/>
        <v/>
      </c>
      <c r="S350" s="307" t="str">
        <f t="shared" si="106"/>
        <v>BKK.57aaaaaaaaaaaaaaaaaaaaaaaaaaaaaaaaaaaaaaaaaaaaaaaaaaaaaaaaaaaaaaaaaaaaaaaaaaaaaaaaaaaaaaaaaaaaaaaaaaaaaaaaaaaaaaaaaaaaaaaaaaaaaaaaaaaaaaaaaaaaaaaaaaaaaaaaaaaaaaaaaa</v>
      </c>
      <c r="T350" s="307" t="str">
        <f t="shared" si="107"/>
        <v/>
      </c>
      <c r="U350" s="315" t="str">
        <f t="shared" si="108"/>
        <v/>
      </c>
      <c r="V350" s="307" t="str">
        <f t="shared" si="112"/>
        <v/>
      </c>
      <c r="W350" s="307" t="str">
        <f>IFERROR(IF(V350&gt;0,PROPER(Terbilang1(V350)&amp;" Rupiah"),0),"")</f>
        <v/>
      </c>
      <c r="X350" s="90" t="str">
        <f t="shared" si="113"/>
        <v/>
      </c>
      <c r="Y350" s="307" t="str">
        <f t="shared" si="114"/>
        <v/>
      </c>
      <c r="Z350" s="307">
        <f t="shared" si="109"/>
        <v>0</v>
      </c>
      <c r="AA350" s="366">
        <f t="shared" si="110"/>
        <v>0</v>
      </c>
      <c r="AB350" s="367">
        <f t="shared" si="115"/>
        <v>0</v>
      </c>
      <c r="AC350" s="305">
        <f t="shared" si="116"/>
        <v>0</v>
      </c>
      <c r="AP350" s="89" t="str">
        <f t="shared" si="104"/>
        <v/>
      </c>
      <c r="AQ350" s="89" t="str">
        <f t="shared" si="102"/>
        <v/>
      </c>
      <c r="AR350" s="315" t="str">
        <f t="shared" si="103"/>
        <v/>
      </c>
      <c r="AS350" s="305" t="str">
        <f t="shared" si="117"/>
        <v>0</v>
      </c>
      <c r="AT350" s="307">
        <f>Table22[[#This Row],[Column1]]</f>
        <v>0</v>
      </c>
    </row>
    <row r="351" spans="1:46" x14ac:dyDescent="0.3">
      <c r="A351" s="307">
        <f t="shared" si="111"/>
        <v>0</v>
      </c>
      <c r="B351" s="307">
        <f t="shared" si="100"/>
        <v>0</v>
      </c>
      <c r="C351" s="308" t="s">
        <v>563</v>
      </c>
      <c r="D351" s="309" t="s">
        <v>563</v>
      </c>
      <c r="E351" s="310">
        <v>0</v>
      </c>
      <c r="F351" s="310">
        <v>0</v>
      </c>
      <c r="G351" s="311">
        <v>0</v>
      </c>
      <c r="H351" s="310" t="s">
        <v>563</v>
      </c>
      <c r="I351" s="310" t="s">
        <v>563</v>
      </c>
      <c r="J351" s="310" t="s">
        <v>563</v>
      </c>
      <c r="K351" s="312">
        <v>0</v>
      </c>
      <c r="L351" s="310">
        <v>0</v>
      </c>
      <c r="M351" s="310">
        <v>0</v>
      </c>
      <c r="N351" s="313" t="s">
        <v>563</v>
      </c>
      <c r="O351" s="314" t="s">
        <v>563</v>
      </c>
      <c r="P351" s="307">
        <f t="shared" si="105"/>
        <v>0</v>
      </c>
      <c r="R351" s="91" t="str">
        <f t="shared" si="101"/>
        <v/>
      </c>
      <c r="S351" s="307" t="str">
        <f t="shared" si="106"/>
        <v>BKK.57aaaaaaaaaaaaaaaaaaaaaaaaaaaaaaaaaaaaaaaaaaaaaaaaaaaaaaaaaaaaaaaaaaaaaaaaaaaaaaaaaaaaaaaaaaaaaaaaaaaaaaaaaaaaaaaaaaaaaaaaaaaaaaaaaaaaaaaaaaaaaaaaaaaaaaaaaaaaaaaaaaa</v>
      </c>
      <c r="T351" s="307" t="str">
        <f t="shared" si="107"/>
        <v/>
      </c>
      <c r="U351" s="315" t="str">
        <f t="shared" si="108"/>
        <v/>
      </c>
      <c r="V351" s="307" t="str">
        <f t="shared" si="112"/>
        <v/>
      </c>
      <c r="W351" s="307" t="str">
        <f>IFERROR(IF(V351&gt;0,PROPER(Terbilang1(V351)&amp;" Rupiah"),0),"")</f>
        <v/>
      </c>
      <c r="X351" s="90" t="str">
        <f t="shared" si="113"/>
        <v/>
      </c>
      <c r="Y351" s="307" t="str">
        <f t="shared" si="114"/>
        <v/>
      </c>
      <c r="Z351" s="307">
        <f t="shared" si="109"/>
        <v>0</v>
      </c>
      <c r="AA351" s="366">
        <f t="shared" si="110"/>
        <v>0</v>
      </c>
      <c r="AB351" s="367">
        <f t="shared" si="115"/>
        <v>0</v>
      </c>
      <c r="AC351" s="305">
        <f t="shared" si="116"/>
        <v>0</v>
      </c>
      <c r="AP351" s="89" t="str">
        <f t="shared" si="104"/>
        <v/>
      </c>
      <c r="AQ351" s="89" t="str">
        <f t="shared" si="102"/>
        <v/>
      </c>
      <c r="AR351" s="315" t="str">
        <f t="shared" si="103"/>
        <v/>
      </c>
      <c r="AS351" s="305" t="str">
        <f t="shared" si="117"/>
        <v>0</v>
      </c>
      <c r="AT351" s="307">
        <f>Table22[[#This Row],[Column1]]</f>
        <v>0</v>
      </c>
    </row>
    <row r="352" spans="1:46" x14ac:dyDescent="0.3">
      <c r="A352" s="307">
        <f t="shared" si="111"/>
        <v>0</v>
      </c>
      <c r="B352" s="307">
        <f t="shared" si="100"/>
        <v>0</v>
      </c>
      <c r="C352" s="308" t="s">
        <v>563</v>
      </c>
      <c r="D352" s="309" t="s">
        <v>563</v>
      </c>
      <c r="E352" s="310">
        <v>0</v>
      </c>
      <c r="F352" s="310">
        <v>0</v>
      </c>
      <c r="G352" s="311">
        <v>0</v>
      </c>
      <c r="H352" s="310" t="s">
        <v>563</v>
      </c>
      <c r="I352" s="310" t="s">
        <v>563</v>
      </c>
      <c r="J352" s="310" t="s">
        <v>563</v>
      </c>
      <c r="K352" s="312">
        <v>0</v>
      </c>
      <c r="L352" s="310">
        <v>0</v>
      </c>
      <c r="M352" s="310">
        <v>0</v>
      </c>
      <c r="N352" s="313" t="s">
        <v>563</v>
      </c>
      <c r="O352" s="314" t="s">
        <v>563</v>
      </c>
      <c r="P352" s="307">
        <f t="shared" si="105"/>
        <v>0</v>
      </c>
      <c r="R352" s="91" t="str">
        <f t="shared" si="101"/>
        <v/>
      </c>
      <c r="S352" s="307" t="str">
        <f t="shared" si="106"/>
        <v>BKK.57aaaaaaaaaaaaaaaaaaaaaaaaaaaaaaaaaaaaaaaaaaaaaaaaaaaaaaaaaaaaaaaaaaaaaaaaaaaaaaaaaaaaaaaaaaaaaaaaaaaaaaaaaaaaaaaaaaaaaaaaaaaaaaaaaaaaaaaaaaaaaaaaaaaaaaaaaaaaaaaaaaaa</v>
      </c>
      <c r="T352" s="307" t="str">
        <f t="shared" si="107"/>
        <v/>
      </c>
      <c r="U352" s="315" t="str">
        <f t="shared" si="108"/>
        <v/>
      </c>
      <c r="V352" s="307" t="str">
        <f t="shared" si="112"/>
        <v/>
      </c>
      <c r="W352" s="307" t="str">
        <f>IFERROR(IF(V352&gt;0,PROPER(Terbilang1(V352)&amp;" Rupiah"),0),"")</f>
        <v/>
      </c>
      <c r="X352" s="90" t="str">
        <f t="shared" si="113"/>
        <v/>
      </c>
      <c r="Y352" s="307" t="str">
        <f t="shared" si="114"/>
        <v/>
      </c>
      <c r="Z352" s="307">
        <f t="shared" si="109"/>
        <v>0</v>
      </c>
      <c r="AA352" s="366">
        <f t="shared" si="110"/>
        <v>0</v>
      </c>
      <c r="AB352" s="367">
        <f t="shared" si="115"/>
        <v>0</v>
      </c>
      <c r="AC352" s="305">
        <f t="shared" si="116"/>
        <v>0</v>
      </c>
      <c r="AP352" s="89" t="str">
        <f t="shared" si="104"/>
        <v/>
      </c>
      <c r="AQ352" s="89" t="str">
        <f t="shared" si="102"/>
        <v/>
      </c>
      <c r="AR352" s="315" t="str">
        <f t="shared" si="103"/>
        <v/>
      </c>
      <c r="AS352" s="305" t="str">
        <f t="shared" si="117"/>
        <v>0</v>
      </c>
      <c r="AT352" s="307">
        <f>Table22[[#This Row],[Column1]]</f>
        <v>0</v>
      </c>
    </row>
    <row r="353" spans="1:46" x14ac:dyDescent="0.3">
      <c r="A353" s="307">
        <f t="shared" si="111"/>
        <v>0</v>
      </c>
      <c r="B353" s="307">
        <f t="shared" si="100"/>
        <v>0</v>
      </c>
      <c r="C353" s="308" t="s">
        <v>563</v>
      </c>
      <c r="D353" s="309" t="s">
        <v>563</v>
      </c>
      <c r="E353" s="310">
        <v>0</v>
      </c>
      <c r="F353" s="310">
        <v>0</v>
      </c>
      <c r="G353" s="311">
        <v>0</v>
      </c>
      <c r="H353" s="310" t="s">
        <v>563</v>
      </c>
      <c r="I353" s="310" t="s">
        <v>563</v>
      </c>
      <c r="J353" s="310" t="s">
        <v>563</v>
      </c>
      <c r="K353" s="312">
        <v>0</v>
      </c>
      <c r="L353" s="310">
        <v>0</v>
      </c>
      <c r="M353" s="310">
        <v>0</v>
      </c>
      <c r="N353" s="313" t="s">
        <v>563</v>
      </c>
      <c r="O353" s="314" t="s">
        <v>563</v>
      </c>
      <c r="P353" s="307">
        <f t="shared" si="105"/>
        <v>0</v>
      </c>
      <c r="R353" s="91" t="str">
        <f t="shared" si="101"/>
        <v/>
      </c>
      <c r="S353" s="307" t="str">
        <f t="shared" si="106"/>
        <v>BKK.57aaaaaaaaaaaaaaaaaaaaaaaaaaaaaaaaaaaaaaaaaaaaaaaaaaaaaaaaaaaaaaaaaaaaaaaaaaaaaaaaaaaaaaaaaaaaaaaaaaaaaaaaaaaaaaaaaaaaaaaaaaaaaaaaaaaaaaaaaaaaaaaaaaaaaaaaaaaaaaaaaaaaa</v>
      </c>
      <c r="T353" s="307" t="str">
        <f t="shared" si="107"/>
        <v/>
      </c>
      <c r="U353" s="315" t="str">
        <f t="shared" si="108"/>
        <v/>
      </c>
      <c r="V353" s="307" t="str">
        <f>N353</f>
        <v/>
      </c>
      <c r="W353" s="307" t="str">
        <f>IFERROR(IF(V353&gt;0,PROPER(Terbilang1(V353)&amp;" Rupiah"),0),"")</f>
        <v/>
      </c>
      <c r="X353" s="90" t="str">
        <f t="shared" si="113"/>
        <v/>
      </c>
      <c r="Y353" s="307" t="str">
        <f t="shared" si="114"/>
        <v/>
      </c>
      <c r="Z353" s="307">
        <f t="shared" si="109"/>
        <v>0</v>
      </c>
      <c r="AA353" s="366">
        <f t="shared" si="110"/>
        <v>0</v>
      </c>
      <c r="AB353" s="367">
        <f t="shared" si="115"/>
        <v>0</v>
      </c>
      <c r="AC353" s="305">
        <f t="shared" si="116"/>
        <v>0</v>
      </c>
      <c r="AP353" s="89" t="str">
        <f t="shared" si="104"/>
        <v/>
      </c>
      <c r="AQ353" s="89" t="str">
        <f t="shared" si="102"/>
        <v/>
      </c>
      <c r="AR353" s="315" t="str">
        <f t="shared" si="103"/>
        <v/>
      </c>
      <c r="AS353" s="305" t="str">
        <f t="shared" si="117"/>
        <v>0</v>
      </c>
      <c r="AT353" s="307">
        <f>Table22[[#This Row],[Column1]]</f>
        <v>0</v>
      </c>
    </row>
    <row r="354" spans="1:46" x14ac:dyDescent="0.3">
      <c r="A354" s="307">
        <f t="shared" si="111"/>
        <v>0</v>
      </c>
      <c r="B354" s="307">
        <f t="shared" si="100"/>
        <v>0</v>
      </c>
      <c r="C354" s="308" t="s">
        <v>563</v>
      </c>
      <c r="D354" s="309" t="s">
        <v>563</v>
      </c>
      <c r="E354" s="310">
        <v>0</v>
      </c>
      <c r="F354" s="310">
        <v>0</v>
      </c>
      <c r="G354" s="311">
        <v>0</v>
      </c>
      <c r="H354" s="310" t="s">
        <v>563</v>
      </c>
      <c r="I354" s="310" t="s">
        <v>563</v>
      </c>
      <c r="J354" s="310" t="s">
        <v>563</v>
      </c>
      <c r="K354" s="312">
        <v>0</v>
      </c>
      <c r="L354" s="310">
        <v>0</v>
      </c>
      <c r="M354" s="310">
        <v>0</v>
      </c>
      <c r="N354" s="313" t="s">
        <v>563</v>
      </c>
      <c r="O354" s="314" t="s">
        <v>563</v>
      </c>
      <c r="P354" s="307">
        <f t="shared" si="105"/>
        <v>0</v>
      </c>
      <c r="R354" s="91" t="str">
        <f t="shared" si="101"/>
        <v/>
      </c>
      <c r="S354" s="307" t="str">
        <f t="shared" si="106"/>
        <v>BKK.57aaaaaaaaaaaaaaaaaaaaaaaaaaaaaaaaaaaaaaaaaaaaaaaaaaaaaaaaaaaaaaaaaaaaaaaaaaaaaaaaaaaaaaaaaaaaaaaaaaaaaaaaaaaaaaaaaaaaaaaaaaaaaaaaaaaaaaaaaaaaaaaaaaaaaaaaaaaaaaaaaaaaaa</v>
      </c>
      <c r="T354" s="307" t="str">
        <f t="shared" si="107"/>
        <v/>
      </c>
      <c r="U354" s="315" t="str">
        <f t="shared" si="108"/>
        <v/>
      </c>
      <c r="V354" s="307" t="str">
        <f t="shared" si="112"/>
        <v/>
      </c>
      <c r="W354" s="307" t="str">
        <f>IFERROR(IF(V354&gt;0,PROPER(Terbilang1(V354)&amp;" Rupiah"),0),"")</f>
        <v/>
      </c>
      <c r="X354" s="90" t="str">
        <f t="shared" si="113"/>
        <v/>
      </c>
      <c r="Y354" s="307" t="str">
        <f t="shared" si="114"/>
        <v/>
      </c>
      <c r="Z354" s="307">
        <f t="shared" si="109"/>
        <v>0</v>
      </c>
      <c r="AA354" s="366">
        <f t="shared" si="110"/>
        <v>0</v>
      </c>
      <c r="AB354" s="367">
        <f t="shared" si="115"/>
        <v>0</v>
      </c>
      <c r="AC354" s="305">
        <f t="shared" si="116"/>
        <v>0</v>
      </c>
      <c r="AP354" s="89" t="str">
        <f t="shared" si="104"/>
        <v/>
      </c>
      <c r="AQ354" s="89" t="str">
        <f t="shared" si="102"/>
        <v/>
      </c>
      <c r="AR354" s="315" t="str">
        <f t="shared" si="103"/>
        <v/>
      </c>
      <c r="AS354" s="305" t="str">
        <f t="shared" si="117"/>
        <v>0</v>
      </c>
      <c r="AT354" s="307">
        <f>Table22[[#This Row],[Column1]]</f>
        <v>0</v>
      </c>
    </row>
    <row r="355" spans="1:46" x14ac:dyDescent="0.3">
      <c r="A355" s="307">
        <f t="shared" si="111"/>
        <v>0</v>
      </c>
      <c r="B355" s="307">
        <f t="shared" si="100"/>
        <v>0</v>
      </c>
      <c r="C355" s="308" t="s">
        <v>563</v>
      </c>
      <c r="D355" s="309" t="s">
        <v>563</v>
      </c>
      <c r="E355" s="310">
        <v>0</v>
      </c>
      <c r="F355" s="310">
        <v>0</v>
      </c>
      <c r="G355" s="311">
        <v>0</v>
      </c>
      <c r="H355" s="310" t="s">
        <v>563</v>
      </c>
      <c r="I355" s="310" t="s">
        <v>563</v>
      </c>
      <c r="J355" s="310" t="s">
        <v>563</v>
      </c>
      <c r="K355" s="312">
        <v>0</v>
      </c>
      <c r="L355" s="310">
        <v>0</v>
      </c>
      <c r="M355" s="310">
        <v>0</v>
      </c>
      <c r="N355" s="313" t="s">
        <v>563</v>
      </c>
      <c r="O355" s="314" t="s">
        <v>563</v>
      </c>
      <c r="P355" s="307">
        <f t="shared" si="105"/>
        <v>0</v>
      </c>
      <c r="R355" s="91" t="str">
        <f t="shared" si="101"/>
        <v/>
      </c>
      <c r="S355" s="307" t="str">
        <f t="shared" si="106"/>
        <v>BKK.57aaaaaaaaaaaaaaaaaaaaaaaaaaaaaaaaaaaaaaaaaaaaaaaaaaaaaaaaaaaaaaaaaaaaaaaaaaaaaaaaaaaaaaaaaaaaaaaaaaaaaaaaaaaaaaaaaaaaaaaaaaaaaaaaaaaaaaaaaaaaaaaaaaaaaaaaaaaaaaaaaaaaaaa</v>
      </c>
      <c r="T355" s="307" t="str">
        <f t="shared" si="107"/>
        <v/>
      </c>
      <c r="U355" s="315" t="str">
        <f t="shared" si="108"/>
        <v/>
      </c>
      <c r="V355" s="307" t="str">
        <f t="shared" si="112"/>
        <v/>
      </c>
      <c r="W355" s="307" t="str">
        <f>IFERROR(IF(V355&gt;0,PROPER(Terbilang1(V355)&amp;" Rupiah"),0),"")</f>
        <v/>
      </c>
      <c r="X355" s="90" t="str">
        <f t="shared" si="113"/>
        <v/>
      </c>
      <c r="Y355" s="307" t="str">
        <f t="shared" si="114"/>
        <v/>
      </c>
      <c r="Z355" s="307">
        <f t="shared" si="109"/>
        <v>0</v>
      </c>
      <c r="AA355" s="366">
        <f t="shared" si="110"/>
        <v>0</v>
      </c>
      <c r="AB355" s="367">
        <f t="shared" si="115"/>
        <v>0</v>
      </c>
      <c r="AC355" s="305">
        <f t="shared" si="116"/>
        <v>0</v>
      </c>
      <c r="AP355" s="89" t="str">
        <f t="shared" si="104"/>
        <v/>
      </c>
      <c r="AQ355" s="89" t="str">
        <f t="shared" si="102"/>
        <v/>
      </c>
      <c r="AR355" s="315" t="str">
        <f t="shared" si="103"/>
        <v/>
      </c>
      <c r="AS355" s="305" t="str">
        <f t="shared" si="117"/>
        <v>0</v>
      </c>
      <c r="AT355" s="307">
        <f>Table22[[#This Row],[Column1]]</f>
        <v>0</v>
      </c>
    </row>
    <row r="356" spans="1:46" x14ac:dyDescent="0.3">
      <c r="A356" s="307">
        <f t="shared" si="111"/>
        <v>0</v>
      </c>
      <c r="B356" s="307">
        <f t="shared" si="100"/>
        <v>0</v>
      </c>
      <c r="C356" s="308" t="s">
        <v>563</v>
      </c>
      <c r="D356" s="309" t="s">
        <v>563</v>
      </c>
      <c r="E356" s="310">
        <v>0</v>
      </c>
      <c r="F356" s="310">
        <v>0</v>
      </c>
      <c r="G356" s="311">
        <v>0</v>
      </c>
      <c r="H356" s="310" t="s">
        <v>563</v>
      </c>
      <c r="I356" s="310" t="s">
        <v>563</v>
      </c>
      <c r="J356" s="310" t="s">
        <v>563</v>
      </c>
      <c r="K356" s="312">
        <v>0</v>
      </c>
      <c r="L356" s="310">
        <v>0</v>
      </c>
      <c r="M356" s="310">
        <v>0</v>
      </c>
      <c r="N356" s="313" t="s">
        <v>563</v>
      </c>
      <c r="O356" s="314" t="s">
        <v>563</v>
      </c>
      <c r="P356" s="307">
        <f t="shared" si="105"/>
        <v>0</v>
      </c>
      <c r="R356" s="91" t="str">
        <f t="shared" si="101"/>
        <v/>
      </c>
      <c r="S356" s="307" t="str">
        <f t="shared" si="106"/>
        <v>BKK.57aaaaaaaaaaaaaaaaaaaaaaaaaaaaaaaaaaaaaaaaaaaaaaaaaaaaaaaaaaaaaaaaaaaaaaaaaaaaaaaaaaaaaaaaaaaaaaaaaaaaaaaaaaaaaaaaaaaaaaaaaaaaaaaaaaaaaaaaaaaaaaaaaaaaaaaaaaaaaaaaaaaaaaaa</v>
      </c>
      <c r="T356" s="307" t="str">
        <f t="shared" si="107"/>
        <v/>
      </c>
      <c r="U356" s="315" t="str">
        <f t="shared" si="108"/>
        <v/>
      </c>
      <c r="V356" s="307" t="str">
        <f t="shared" si="112"/>
        <v/>
      </c>
      <c r="W356" s="307" t="str">
        <f>IFERROR(IF(V356&gt;0,PROPER(Terbilang1(V356)&amp;" Rupiah"),0),"")</f>
        <v/>
      </c>
      <c r="X356" s="90" t="str">
        <f t="shared" si="113"/>
        <v/>
      </c>
      <c r="Y356" s="307" t="str">
        <f t="shared" si="114"/>
        <v/>
      </c>
      <c r="Z356" s="307">
        <f t="shared" si="109"/>
        <v>0</v>
      </c>
      <c r="AA356" s="366">
        <f t="shared" si="110"/>
        <v>0</v>
      </c>
      <c r="AB356" s="367">
        <f t="shared" si="115"/>
        <v>0</v>
      </c>
      <c r="AC356" s="305">
        <f t="shared" si="116"/>
        <v>0</v>
      </c>
      <c r="AP356" s="89" t="str">
        <f t="shared" si="104"/>
        <v/>
      </c>
      <c r="AQ356" s="89" t="str">
        <f t="shared" si="102"/>
        <v/>
      </c>
      <c r="AR356" s="315" t="str">
        <f t="shared" si="103"/>
        <v/>
      </c>
      <c r="AS356" s="305" t="str">
        <f t="shared" si="117"/>
        <v>0</v>
      </c>
      <c r="AT356" s="307">
        <f>Table22[[#This Row],[Column1]]</f>
        <v>0</v>
      </c>
    </row>
    <row r="357" spans="1:46" x14ac:dyDescent="0.3">
      <c r="A357" s="307">
        <f t="shared" si="111"/>
        <v>0</v>
      </c>
      <c r="B357" s="307">
        <f t="shared" ref="B357:B420" si="118">IF(LEFT(F357,2)="MA","Jasa",IF(LEFT(F357,1)="G","Bayar Ongkos",IF(LEFT(F357,1)="M","Beli",0)))</f>
        <v>0</v>
      </c>
      <c r="C357" s="308" t="s">
        <v>563</v>
      </c>
      <c r="D357" s="309" t="s">
        <v>563</v>
      </c>
      <c r="E357" s="310">
        <v>0</v>
      </c>
      <c r="F357" s="310">
        <v>0</v>
      </c>
      <c r="G357" s="311">
        <v>0</v>
      </c>
      <c r="H357" s="310" t="s">
        <v>563</v>
      </c>
      <c r="I357" s="310" t="s">
        <v>563</v>
      </c>
      <c r="J357" s="310" t="s">
        <v>563</v>
      </c>
      <c r="K357" s="312">
        <v>0</v>
      </c>
      <c r="L357" s="310">
        <v>0</v>
      </c>
      <c r="M357" s="310">
        <v>0</v>
      </c>
      <c r="N357" s="313" t="s">
        <v>563</v>
      </c>
      <c r="O357" s="314" t="s">
        <v>563</v>
      </c>
      <c r="P357" s="307">
        <f t="shared" si="105"/>
        <v>0</v>
      </c>
      <c r="R357" s="91" t="str">
        <f t="shared" ref="R357:R420" si="119">IF(LEFT(F357,2)="ma",F357,IF(LEFT(F357,1)="m",E357,IF(LEFT(F357,1)="b",E357,IF(LEFT(F357,1)="G",F357,""))))</f>
        <v/>
      </c>
      <c r="S357" s="307" t="str">
        <f t="shared" si="106"/>
        <v>BKK.57aaaaaaaaaaaaaaaaaaaaaaaaaaaaaaaaaaaaaaaaaaaaaaaaaaaaaaaaaaaaaaaaaaaaaaaaaaaaaaaaaaaaaaaaaaaaaaaaaaaaaaaaaaaaaaaaaaaaaaaaaaaaaaaaaaaaaaaaaaaaaaaaaaaaaaaaaaaaaaaaaaaaaaaaa</v>
      </c>
      <c r="T357" s="307" t="str">
        <f t="shared" si="107"/>
        <v/>
      </c>
      <c r="U357" s="315" t="str">
        <f t="shared" si="108"/>
        <v/>
      </c>
      <c r="V357" s="307" t="str">
        <f t="shared" si="112"/>
        <v/>
      </c>
      <c r="W357" s="307" t="str">
        <f>IFERROR(IF(V357&gt;0,PROPER(Terbilang1(V357)&amp;" Rupiah"),0),"")</f>
        <v/>
      </c>
      <c r="X357" s="90" t="str">
        <f t="shared" si="113"/>
        <v/>
      </c>
      <c r="Y357" s="307" t="str">
        <f t="shared" si="114"/>
        <v/>
      </c>
      <c r="Z357" s="307">
        <f t="shared" si="109"/>
        <v>0</v>
      </c>
      <c r="AA357" s="366">
        <f t="shared" si="110"/>
        <v>0</v>
      </c>
      <c r="AB357" s="367">
        <f t="shared" si="115"/>
        <v>0</v>
      </c>
      <c r="AC357" s="305">
        <f t="shared" si="116"/>
        <v>0</v>
      </c>
      <c r="AP357" s="89" t="str">
        <f t="shared" si="104"/>
        <v/>
      </c>
      <c r="AQ357" s="89" t="str">
        <f t="shared" si="102"/>
        <v/>
      </c>
      <c r="AR357" s="315" t="str">
        <f t="shared" si="103"/>
        <v/>
      </c>
      <c r="AS357" s="305" t="str">
        <f t="shared" si="117"/>
        <v>0</v>
      </c>
      <c r="AT357" s="307">
        <f>Table22[[#This Row],[Column1]]</f>
        <v>0</v>
      </c>
    </row>
    <row r="358" spans="1:46" x14ac:dyDescent="0.3">
      <c r="A358" s="307">
        <f t="shared" si="111"/>
        <v>0</v>
      </c>
      <c r="B358" s="307">
        <f t="shared" si="118"/>
        <v>0</v>
      </c>
      <c r="C358" s="308" t="s">
        <v>563</v>
      </c>
      <c r="D358" s="309" t="s">
        <v>563</v>
      </c>
      <c r="E358" s="310">
        <v>0</v>
      </c>
      <c r="F358" s="310">
        <v>0</v>
      </c>
      <c r="G358" s="311">
        <v>0</v>
      </c>
      <c r="H358" s="310" t="s">
        <v>563</v>
      </c>
      <c r="I358" s="310" t="s">
        <v>563</v>
      </c>
      <c r="J358" s="310" t="s">
        <v>563</v>
      </c>
      <c r="K358" s="312">
        <v>0</v>
      </c>
      <c r="L358" s="310">
        <v>0</v>
      </c>
      <c r="M358" s="310">
        <v>0</v>
      </c>
      <c r="N358" s="313" t="s">
        <v>563</v>
      </c>
      <c r="O358" s="314" t="s">
        <v>563</v>
      </c>
      <c r="P358" s="307">
        <f t="shared" si="105"/>
        <v>0</v>
      </c>
      <c r="R358" s="91" t="str">
        <f t="shared" si="119"/>
        <v/>
      </c>
      <c r="S358" s="307" t="str">
        <f t="shared" si="106"/>
        <v>BKK.57aaaaaaaaaaaaaaaaaaaaaaaaaaaaaaaaaaaaaaaaaaaaaaaaaaaaaaaaaaaaaaaaaaaaaaaaaaaaaaaaaaaaaaaaaaaaaaaaaaaaaaaaaaaaaaaaaaaaaaaaaaaaaaaaaaaaaaaaaaaaaaaaaaaaaaaaaaaaaaaaaaaaaaaaaa</v>
      </c>
      <c r="T358" s="307" t="str">
        <f t="shared" si="107"/>
        <v/>
      </c>
      <c r="U358" s="315" t="str">
        <f t="shared" si="108"/>
        <v/>
      </c>
      <c r="V358" s="307" t="str">
        <f t="shared" si="112"/>
        <v/>
      </c>
      <c r="W358" s="307" t="str">
        <f>IFERROR(IF(V358&gt;0,PROPER(Terbilang1(V358)&amp;" Rupiah"),0),"")</f>
        <v/>
      </c>
      <c r="X358" s="90" t="str">
        <f t="shared" si="113"/>
        <v/>
      </c>
      <c r="Y358" s="307" t="str">
        <f t="shared" si="114"/>
        <v/>
      </c>
      <c r="Z358" s="307">
        <f t="shared" si="109"/>
        <v>0</v>
      </c>
      <c r="AA358" s="366">
        <f t="shared" si="110"/>
        <v>0</v>
      </c>
      <c r="AB358" s="367">
        <f t="shared" si="115"/>
        <v>0</v>
      </c>
      <c r="AC358" s="305">
        <f t="shared" si="116"/>
        <v>0</v>
      </c>
      <c r="AP358" s="89" t="str">
        <f t="shared" si="104"/>
        <v/>
      </c>
      <c r="AQ358" s="89" t="str">
        <f t="shared" si="102"/>
        <v/>
      </c>
      <c r="AR358" s="315" t="str">
        <f t="shared" si="103"/>
        <v/>
      </c>
      <c r="AS358" s="305" t="str">
        <f t="shared" si="117"/>
        <v>0</v>
      </c>
      <c r="AT358" s="307">
        <f>Table22[[#This Row],[Column1]]</f>
        <v>0</v>
      </c>
    </row>
    <row r="359" spans="1:46" x14ac:dyDescent="0.3">
      <c r="A359" s="307">
        <f t="shared" si="111"/>
        <v>0</v>
      </c>
      <c r="B359" s="307">
        <f t="shared" si="118"/>
        <v>0</v>
      </c>
      <c r="C359" s="308" t="s">
        <v>563</v>
      </c>
      <c r="D359" s="309" t="s">
        <v>563</v>
      </c>
      <c r="E359" s="310">
        <v>0</v>
      </c>
      <c r="F359" s="310">
        <v>0</v>
      </c>
      <c r="G359" s="311">
        <v>0</v>
      </c>
      <c r="H359" s="310" t="s">
        <v>563</v>
      </c>
      <c r="I359" s="310" t="s">
        <v>563</v>
      </c>
      <c r="J359" s="310" t="s">
        <v>563</v>
      </c>
      <c r="K359" s="312">
        <v>0</v>
      </c>
      <c r="L359" s="310">
        <v>0</v>
      </c>
      <c r="M359" s="310">
        <v>0</v>
      </c>
      <c r="N359" s="313" t="s">
        <v>563</v>
      </c>
      <c r="O359" s="314" t="s">
        <v>563</v>
      </c>
      <c r="P359" s="307">
        <f t="shared" si="105"/>
        <v>0</v>
      </c>
      <c r="R359" s="91" t="str">
        <f t="shared" si="119"/>
        <v/>
      </c>
      <c r="S359" s="307" t="str">
        <f t="shared" si="106"/>
        <v>BKK.57aaaaaaaaaaaaaaaaaaaaaaaaaaaaaaaaaaaaaaaaaaaaaaaaaaaaaaaaaaaaaaaaaaaaaaaaaaaaaaaaaaaaaaaaaaaaaaaaaaaaaaaaaaaaaaaaaaaaaaaaaaaaaaaaaaaaaaaaaaaaaaaaaaaaaaaaaaaaaaaaaaaaaaaaaaa</v>
      </c>
      <c r="T359" s="307" t="str">
        <f t="shared" si="107"/>
        <v/>
      </c>
      <c r="U359" s="315" t="str">
        <f t="shared" si="108"/>
        <v/>
      </c>
      <c r="V359" s="307" t="str">
        <f>N359</f>
        <v/>
      </c>
      <c r="W359" s="307" t="str">
        <f>IFERROR(IF(V359&gt;0,PROPER(Terbilang1(V359)&amp;" Rupiah"),0),"")</f>
        <v/>
      </c>
      <c r="X359" s="90" t="str">
        <f t="shared" si="113"/>
        <v/>
      </c>
      <c r="Y359" s="307" t="str">
        <f t="shared" si="114"/>
        <v/>
      </c>
      <c r="Z359" s="307">
        <f t="shared" si="109"/>
        <v>0</v>
      </c>
      <c r="AA359" s="366">
        <f t="shared" si="110"/>
        <v>0</v>
      </c>
      <c r="AB359" s="367">
        <f t="shared" si="115"/>
        <v>0</v>
      </c>
      <c r="AC359" s="305">
        <f t="shared" si="116"/>
        <v>0</v>
      </c>
      <c r="AP359" s="89" t="str">
        <f t="shared" si="104"/>
        <v/>
      </c>
      <c r="AQ359" s="89" t="str">
        <f t="shared" si="102"/>
        <v/>
      </c>
      <c r="AR359" s="315" t="str">
        <f t="shared" si="103"/>
        <v/>
      </c>
      <c r="AS359" s="305" t="str">
        <f t="shared" si="117"/>
        <v>0</v>
      </c>
      <c r="AT359" s="307">
        <f>Table22[[#This Row],[Column1]]</f>
        <v>0</v>
      </c>
    </row>
    <row r="360" spans="1:46" x14ac:dyDescent="0.3">
      <c r="A360" s="307">
        <f t="shared" si="111"/>
        <v>0</v>
      </c>
      <c r="B360" s="307">
        <f t="shared" si="118"/>
        <v>0</v>
      </c>
      <c r="C360" s="308" t="s">
        <v>563</v>
      </c>
      <c r="D360" s="309" t="s">
        <v>563</v>
      </c>
      <c r="E360" s="310">
        <v>0</v>
      </c>
      <c r="F360" s="310">
        <v>0</v>
      </c>
      <c r="G360" s="311">
        <v>0</v>
      </c>
      <c r="H360" s="310" t="s">
        <v>563</v>
      </c>
      <c r="I360" s="310" t="s">
        <v>563</v>
      </c>
      <c r="J360" s="310" t="s">
        <v>563</v>
      </c>
      <c r="K360" s="312">
        <v>0</v>
      </c>
      <c r="L360" s="310">
        <v>0</v>
      </c>
      <c r="M360" s="310">
        <v>0</v>
      </c>
      <c r="N360" s="313" t="s">
        <v>563</v>
      </c>
      <c r="O360" s="314" t="s">
        <v>563</v>
      </c>
      <c r="P360" s="307">
        <f t="shared" si="105"/>
        <v>0</v>
      </c>
      <c r="R360" s="91" t="str">
        <f t="shared" si="119"/>
        <v/>
      </c>
      <c r="S360" s="307" t="str">
        <f t="shared" si="106"/>
        <v>BKK.57aaaaaaaaaaaaaaaaaaaaaaaaaaaaaaaaaaaaaaaaaaaaaaaaaaaaaaaaaaaaaaaaaaaaaaaaaaaaaaaaaaaaaaaaaaaaaaaaaaaaaaaaaaaaaaaaaaaaaaaaaaaaaaaaaaaaaaaaaaaaaaaaaaaaaaaaaaaaaaaaaaaaaaaaaaaa</v>
      </c>
      <c r="T360" s="307" t="str">
        <f t="shared" si="107"/>
        <v/>
      </c>
      <c r="U360" s="315" t="str">
        <f t="shared" si="108"/>
        <v/>
      </c>
      <c r="V360" s="307" t="str">
        <f>N360</f>
        <v/>
      </c>
      <c r="W360" s="307" t="str">
        <f>IFERROR(IF(V360&gt;0,PROPER(Terbilang1(V360)&amp;" Rupiah"),0),"")</f>
        <v/>
      </c>
      <c r="X360" s="90" t="str">
        <f t="shared" si="113"/>
        <v/>
      </c>
      <c r="Y360" s="307" t="str">
        <f t="shared" si="114"/>
        <v/>
      </c>
      <c r="Z360" s="307">
        <f t="shared" si="109"/>
        <v>0</v>
      </c>
      <c r="AA360" s="366">
        <f t="shared" si="110"/>
        <v>0</v>
      </c>
      <c r="AB360" s="367">
        <f t="shared" si="115"/>
        <v>0</v>
      </c>
      <c r="AC360" s="305">
        <f t="shared" si="116"/>
        <v>0</v>
      </c>
      <c r="AP360" s="89" t="str">
        <f t="shared" si="104"/>
        <v/>
      </c>
      <c r="AQ360" s="89" t="str">
        <f t="shared" ref="AQ360:AQ423" si="120">TEXT(AR360,"MM")</f>
        <v/>
      </c>
      <c r="AR360" s="315" t="str">
        <f t="shared" si="103"/>
        <v/>
      </c>
      <c r="AS360" s="305" t="str">
        <f t="shared" si="117"/>
        <v>0</v>
      </c>
      <c r="AT360" s="307">
        <f>Table22[[#This Row],[Column1]]</f>
        <v>0</v>
      </c>
    </row>
    <row r="361" spans="1:46" x14ac:dyDescent="0.3">
      <c r="A361" s="307">
        <f t="shared" si="111"/>
        <v>0</v>
      </c>
      <c r="B361" s="307">
        <f t="shared" si="118"/>
        <v>0</v>
      </c>
      <c r="C361" s="308" t="s">
        <v>563</v>
      </c>
      <c r="D361" s="309" t="s">
        <v>563</v>
      </c>
      <c r="E361" s="310">
        <v>0</v>
      </c>
      <c r="F361" s="310">
        <v>0</v>
      </c>
      <c r="G361" s="311">
        <v>0</v>
      </c>
      <c r="H361" s="310" t="s">
        <v>563</v>
      </c>
      <c r="I361" s="310" t="s">
        <v>563</v>
      </c>
      <c r="J361" s="310" t="s">
        <v>563</v>
      </c>
      <c r="K361" s="312">
        <v>0</v>
      </c>
      <c r="L361" s="310">
        <v>0</v>
      </c>
      <c r="M361" s="310">
        <v>0</v>
      </c>
      <c r="N361" s="313" t="s">
        <v>563</v>
      </c>
      <c r="O361" s="314" t="s">
        <v>563</v>
      </c>
      <c r="P361" s="307">
        <f t="shared" si="105"/>
        <v>0</v>
      </c>
      <c r="R361" s="91" t="str">
        <f t="shared" si="119"/>
        <v/>
      </c>
      <c r="S361" s="307" t="str">
        <f t="shared" si="106"/>
        <v>BKK.57aaaaaaaaaaaaaaaaaaaaaaaaaaaaaaaaaaaaaaaaaaaaaaaaaaaaaaaaaaaaaaaaaaaaaaaaaaaaaaaaaaaaaaaaaaaaaaaaaaaaaaaaaaaaaaaaaaaaaaaaaaaaaaaaaaaaaaaaaaaaaaaaaaaaaaaaaaaaaaaaaaaaaaaaaaaaa</v>
      </c>
      <c r="T361" s="307" t="str">
        <f t="shared" si="107"/>
        <v/>
      </c>
      <c r="U361" s="315" t="str">
        <f t="shared" si="108"/>
        <v/>
      </c>
      <c r="V361" s="307" t="str">
        <f t="shared" si="112"/>
        <v/>
      </c>
      <c r="W361" s="307" t="str">
        <f>IFERROR(IF(V361&gt;0,PROPER(Terbilang1(V361)&amp;" Rupiah"),0),"")</f>
        <v/>
      </c>
      <c r="X361" s="90" t="str">
        <f t="shared" si="113"/>
        <v/>
      </c>
      <c r="Y361" s="307" t="str">
        <f t="shared" si="114"/>
        <v/>
      </c>
      <c r="Z361" s="307">
        <f t="shared" si="109"/>
        <v>0</v>
      </c>
      <c r="AA361" s="366">
        <f t="shared" si="110"/>
        <v>0</v>
      </c>
      <c r="AB361" s="367">
        <f t="shared" si="115"/>
        <v>0</v>
      </c>
      <c r="AC361" s="305">
        <f t="shared" si="116"/>
        <v>0</v>
      </c>
      <c r="AP361" s="89" t="str">
        <f t="shared" si="104"/>
        <v/>
      </c>
      <c r="AQ361" s="89" t="str">
        <f t="shared" si="120"/>
        <v/>
      </c>
      <c r="AR361" s="315" t="str">
        <f t="shared" si="103"/>
        <v/>
      </c>
      <c r="AS361" s="305" t="str">
        <f t="shared" si="117"/>
        <v>0</v>
      </c>
      <c r="AT361" s="307">
        <f>Table22[[#This Row],[Column1]]</f>
        <v>0</v>
      </c>
    </row>
    <row r="362" spans="1:46" x14ac:dyDescent="0.3">
      <c r="A362" s="307">
        <f t="shared" si="111"/>
        <v>0</v>
      </c>
      <c r="B362" s="307">
        <f t="shared" si="118"/>
        <v>0</v>
      </c>
      <c r="C362" s="308" t="s">
        <v>563</v>
      </c>
      <c r="D362" s="309" t="s">
        <v>563</v>
      </c>
      <c r="E362" s="310">
        <v>0</v>
      </c>
      <c r="F362" s="310">
        <v>0</v>
      </c>
      <c r="G362" s="311">
        <v>0</v>
      </c>
      <c r="H362" s="310" t="s">
        <v>563</v>
      </c>
      <c r="I362" s="310" t="s">
        <v>563</v>
      </c>
      <c r="J362" s="310" t="s">
        <v>563</v>
      </c>
      <c r="K362" s="312">
        <v>0</v>
      </c>
      <c r="L362" s="310">
        <v>0</v>
      </c>
      <c r="M362" s="310">
        <v>0</v>
      </c>
      <c r="N362" s="313" t="s">
        <v>563</v>
      </c>
      <c r="O362" s="314" t="s">
        <v>563</v>
      </c>
      <c r="P362" s="307">
        <f t="shared" si="105"/>
        <v>0</v>
      </c>
      <c r="R362" s="91" t="str">
        <f t="shared" si="119"/>
        <v/>
      </c>
      <c r="S362" s="307" t="str">
        <f t="shared" si="106"/>
        <v>BKK.57aaaaaaaaaaaaaaaaaaaaaaaaaaaaaaaaaaaaaaaaaaaaaaaaaaaaaaaaaaaaaaaaaaaaaaaaaaaaaaaaaaaaaaaaaaaaaaaaaaaaaaaaaaaaaaaaaaaaaaaaaaaaaaaaaaaaaaaaaaaaaaaaaaaaaaaaaaaaaaaaaaaaaaaaaaaaaa</v>
      </c>
      <c r="T362" s="307" t="str">
        <f t="shared" si="107"/>
        <v/>
      </c>
      <c r="U362" s="315" t="str">
        <f t="shared" si="108"/>
        <v/>
      </c>
      <c r="V362" s="307" t="str">
        <f t="shared" si="112"/>
        <v/>
      </c>
      <c r="W362" s="307" t="str">
        <f>IFERROR(IF(V362&gt;0,PROPER(Terbilang1(V362)&amp;" Rupiah"),0),"")</f>
        <v/>
      </c>
      <c r="X362" s="90" t="str">
        <f t="shared" si="113"/>
        <v/>
      </c>
      <c r="Y362" s="307" t="str">
        <f t="shared" si="114"/>
        <v/>
      </c>
      <c r="Z362" s="307">
        <f t="shared" si="109"/>
        <v>0</v>
      </c>
      <c r="AA362" s="366">
        <f t="shared" si="110"/>
        <v>0</v>
      </c>
      <c r="AB362" s="367">
        <f t="shared" si="115"/>
        <v>0</v>
      </c>
      <c r="AC362" s="305">
        <f t="shared" si="116"/>
        <v>0</v>
      </c>
      <c r="AP362" s="89" t="str">
        <f t="shared" si="104"/>
        <v/>
      </c>
      <c r="AQ362" s="89" t="str">
        <f t="shared" si="120"/>
        <v/>
      </c>
      <c r="AR362" s="315" t="str">
        <f t="shared" si="103"/>
        <v/>
      </c>
      <c r="AS362" s="305" t="str">
        <f t="shared" si="117"/>
        <v>0</v>
      </c>
      <c r="AT362" s="307">
        <f>Table22[[#This Row],[Column1]]</f>
        <v>0</v>
      </c>
    </row>
    <row r="363" spans="1:46" x14ac:dyDescent="0.3">
      <c r="A363" s="307">
        <f t="shared" si="111"/>
        <v>0</v>
      </c>
      <c r="B363" s="307">
        <f t="shared" si="118"/>
        <v>0</v>
      </c>
      <c r="C363" s="308" t="s">
        <v>563</v>
      </c>
      <c r="D363" s="309" t="s">
        <v>563</v>
      </c>
      <c r="E363" s="310">
        <v>0</v>
      </c>
      <c r="F363" s="310">
        <v>0</v>
      </c>
      <c r="G363" s="311">
        <v>0</v>
      </c>
      <c r="H363" s="310" t="s">
        <v>563</v>
      </c>
      <c r="I363" s="310" t="s">
        <v>563</v>
      </c>
      <c r="J363" s="310" t="s">
        <v>563</v>
      </c>
      <c r="K363" s="312">
        <v>0</v>
      </c>
      <c r="L363" s="310">
        <v>0</v>
      </c>
      <c r="M363" s="310">
        <v>0</v>
      </c>
      <c r="N363" s="313" t="s">
        <v>563</v>
      </c>
      <c r="O363" s="314" t="s">
        <v>563</v>
      </c>
      <c r="P363" s="307">
        <f t="shared" si="105"/>
        <v>0</v>
      </c>
      <c r="R363" s="91" t="str">
        <f t="shared" si="119"/>
        <v/>
      </c>
      <c r="S363" s="307" t="str">
        <f t="shared" si="106"/>
        <v>BKK.57aaaaaaaaaaaaaaaaaaaaaaaaaaaaaaaaaaaaaaaaaaaaaaaaaaaaaaaaaaaaaaaaaaaaaaaaaaaaaaaaaaaaaaaaaaaaaaaaaaaaaaaaaaaaaaaaaaaaaaaaaaaaaaaaaaaaaaaaaaaaaaaaaaaaaaaaaaaaaaaaaaaaaaaaaaaaaaa</v>
      </c>
      <c r="T363" s="307" t="str">
        <f t="shared" si="107"/>
        <v/>
      </c>
      <c r="U363" s="315" t="str">
        <f t="shared" si="108"/>
        <v/>
      </c>
      <c r="V363" s="307" t="str">
        <f>N363</f>
        <v/>
      </c>
      <c r="W363" s="307" t="str">
        <f>IFERROR(IF(V363&gt;0,PROPER(Terbilang1(V363)&amp;" Rupiah"),0),"")</f>
        <v/>
      </c>
      <c r="X363" s="90" t="str">
        <f t="shared" si="113"/>
        <v/>
      </c>
      <c r="Y363" s="307" t="str">
        <f t="shared" si="114"/>
        <v/>
      </c>
      <c r="Z363" s="307">
        <f t="shared" si="109"/>
        <v>0</v>
      </c>
      <c r="AA363" s="366">
        <f t="shared" si="110"/>
        <v>0</v>
      </c>
      <c r="AB363" s="367">
        <f t="shared" si="115"/>
        <v>0</v>
      </c>
      <c r="AC363" s="305">
        <f t="shared" si="116"/>
        <v>0</v>
      </c>
      <c r="AP363" s="89" t="str">
        <f t="shared" si="104"/>
        <v/>
      </c>
      <c r="AQ363" s="89" t="str">
        <f t="shared" si="120"/>
        <v/>
      </c>
      <c r="AR363" s="315" t="str">
        <f t="shared" si="103"/>
        <v/>
      </c>
      <c r="AS363" s="305" t="str">
        <f t="shared" si="117"/>
        <v>0</v>
      </c>
      <c r="AT363" s="307">
        <f>Table22[[#This Row],[Column1]]</f>
        <v>0</v>
      </c>
    </row>
    <row r="364" spans="1:46" x14ac:dyDescent="0.3">
      <c r="A364" s="307">
        <f t="shared" si="111"/>
        <v>0</v>
      </c>
      <c r="B364" s="307">
        <f t="shared" si="118"/>
        <v>0</v>
      </c>
      <c r="C364" s="308" t="s">
        <v>563</v>
      </c>
      <c r="D364" s="309" t="s">
        <v>563</v>
      </c>
      <c r="E364" s="310">
        <v>0</v>
      </c>
      <c r="F364" s="310">
        <v>0</v>
      </c>
      <c r="G364" s="311">
        <v>0</v>
      </c>
      <c r="H364" s="310" t="s">
        <v>563</v>
      </c>
      <c r="I364" s="310" t="s">
        <v>563</v>
      </c>
      <c r="J364" s="310" t="s">
        <v>563</v>
      </c>
      <c r="K364" s="312">
        <v>0</v>
      </c>
      <c r="L364" s="310">
        <v>0</v>
      </c>
      <c r="M364" s="310">
        <v>0</v>
      </c>
      <c r="N364" s="313" t="s">
        <v>563</v>
      </c>
      <c r="O364" s="314" t="s">
        <v>563</v>
      </c>
      <c r="P364" s="307">
        <f t="shared" si="105"/>
        <v>0</v>
      </c>
      <c r="R364" s="91" t="str">
        <f t="shared" si="119"/>
        <v/>
      </c>
      <c r="S364" s="307" t="str">
        <f t="shared" si="106"/>
        <v>BKK.57aaaaaaaaaaaaaaaaaaaaaaaaaaaaaaaaaaaaaaaaaaaaaaaaaaaaaaaaaaaaaaaaaaaaaaaaaaaaaaaaaaaaaaaaaaaaaaaaaaaaaaaaaaaaaaaaaaaaaaaaaaaaaaaaaaaaaaaaaaaaaaaaaaaaaaaaaaaaaaaaaaaaaaaaaaaaaaaa</v>
      </c>
      <c r="T364" s="307" t="str">
        <f t="shared" si="107"/>
        <v/>
      </c>
      <c r="U364" s="315" t="str">
        <f t="shared" si="108"/>
        <v/>
      </c>
      <c r="V364" s="307" t="str">
        <f t="shared" si="112"/>
        <v/>
      </c>
      <c r="W364" s="307" t="str">
        <f>IFERROR(IF(V364&gt;0,PROPER(Terbilang1(V364)&amp;" Rupiah"),0),"")</f>
        <v/>
      </c>
      <c r="X364" s="90" t="str">
        <f t="shared" si="113"/>
        <v/>
      </c>
      <c r="Y364" s="307" t="str">
        <f t="shared" si="114"/>
        <v/>
      </c>
      <c r="Z364" s="307">
        <f t="shared" si="109"/>
        <v>0</v>
      </c>
      <c r="AA364" s="366">
        <f t="shared" si="110"/>
        <v>0</v>
      </c>
      <c r="AB364" s="367">
        <f t="shared" si="115"/>
        <v>0</v>
      </c>
      <c r="AC364" s="305">
        <f t="shared" si="116"/>
        <v>0</v>
      </c>
      <c r="AP364" s="89" t="str">
        <f t="shared" si="104"/>
        <v/>
      </c>
      <c r="AQ364" s="89" t="str">
        <f t="shared" si="120"/>
        <v/>
      </c>
      <c r="AR364" s="315" t="str">
        <f t="shared" si="103"/>
        <v/>
      </c>
      <c r="AS364" s="305" t="str">
        <f t="shared" si="117"/>
        <v>0</v>
      </c>
      <c r="AT364" s="307">
        <f>Table22[[#This Row],[Column1]]</f>
        <v>0</v>
      </c>
    </row>
    <row r="365" spans="1:46" x14ac:dyDescent="0.3">
      <c r="A365" s="307">
        <f t="shared" si="111"/>
        <v>0</v>
      </c>
      <c r="B365" s="307">
        <f t="shared" si="118"/>
        <v>0</v>
      </c>
      <c r="C365" s="308" t="s">
        <v>563</v>
      </c>
      <c r="D365" s="309" t="s">
        <v>563</v>
      </c>
      <c r="E365" s="310">
        <v>0</v>
      </c>
      <c r="F365" s="310">
        <v>0</v>
      </c>
      <c r="G365" s="311">
        <v>0</v>
      </c>
      <c r="H365" s="310" t="s">
        <v>563</v>
      </c>
      <c r="I365" s="310" t="s">
        <v>563</v>
      </c>
      <c r="J365" s="310" t="s">
        <v>563</v>
      </c>
      <c r="K365" s="312">
        <v>0</v>
      </c>
      <c r="L365" s="310">
        <v>0</v>
      </c>
      <c r="M365" s="310">
        <v>0</v>
      </c>
      <c r="N365" s="313" t="s">
        <v>563</v>
      </c>
      <c r="O365" s="314" t="s">
        <v>563</v>
      </c>
      <c r="P365" s="307">
        <f t="shared" si="105"/>
        <v>0</v>
      </c>
      <c r="R365" s="91" t="str">
        <f t="shared" si="119"/>
        <v/>
      </c>
      <c r="S365" s="307" t="str">
        <f t="shared" si="106"/>
        <v>BKK.57aaaaaaaaaaaaaaaaaaaaaaaaaaaaaaaaaaaaaaaaaaaaaaaaaaaaaaaaaaaaaaaaaaaaaaaaaaaaaaaaaaaaaaaaaaaaaaaaaaaaaaaaaaaaaaaaaaaaaaaaaaaaaaaaaaaaaaaaaaaaaaaaaaaaaaaaaaaaaaaaaaaaaaaaaaaaaaaaa</v>
      </c>
      <c r="T365" s="307" t="str">
        <f t="shared" si="107"/>
        <v/>
      </c>
      <c r="U365" s="315" t="str">
        <f t="shared" si="108"/>
        <v/>
      </c>
      <c r="V365" s="307" t="str">
        <f>N365</f>
        <v/>
      </c>
      <c r="W365" s="307" t="str">
        <f>IFERROR(IF(V365&gt;0,PROPER(Terbilang1(V365)&amp;" Rupiah"),0),"")</f>
        <v/>
      </c>
      <c r="X365" s="90" t="str">
        <f t="shared" si="113"/>
        <v/>
      </c>
      <c r="Y365" s="307" t="str">
        <f t="shared" si="114"/>
        <v/>
      </c>
      <c r="Z365" s="307">
        <f t="shared" si="109"/>
        <v>0</v>
      </c>
      <c r="AA365" s="366">
        <f t="shared" si="110"/>
        <v>0</v>
      </c>
      <c r="AB365" s="367">
        <f t="shared" si="115"/>
        <v>0</v>
      </c>
      <c r="AC365" s="305">
        <f t="shared" si="116"/>
        <v>0</v>
      </c>
      <c r="AP365" s="89" t="str">
        <f t="shared" si="104"/>
        <v/>
      </c>
      <c r="AQ365" s="89" t="str">
        <f t="shared" si="120"/>
        <v/>
      </c>
      <c r="AR365" s="315" t="str">
        <f t="shared" si="103"/>
        <v/>
      </c>
      <c r="AS365" s="305" t="str">
        <f t="shared" si="117"/>
        <v>0</v>
      </c>
      <c r="AT365" s="307">
        <f>Table22[[#This Row],[Column1]]</f>
        <v>0</v>
      </c>
    </row>
    <row r="366" spans="1:46" x14ac:dyDescent="0.3">
      <c r="A366" s="307">
        <f t="shared" si="111"/>
        <v>0</v>
      </c>
      <c r="B366" s="307">
        <f t="shared" si="118"/>
        <v>0</v>
      </c>
      <c r="C366" s="308" t="s">
        <v>563</v>
      </c>
      <c r="D366" s="309" t="s">
        <v>563</v>
      </c>
      <c r="E366" s="310">
        <v>0</v>
      </c>
      <c r="F366" s="310">
        <v>0</v>
      </c>
      <c r="G366" s="311">
        <v>0</v>
      </c>
      <c r="H366" s="310" t="s">
        <v>563</v>
      </c>
      <c r="I366" s="310" t="s">
        <v>563</v>
      </c>
      <c r="J366" s="310" t="s">
        <v>563</v>
      </c>
      <c r="K366" s="312">
        <v>0</v>
      </c>
      <c r="L366" s="310">
        <v>0</v>
      </c>
      <c r="M366" s="310">
        <v>0</v>
      </c>
      <c r="N366" s="313" t="s">
        <v>563</v>
      </c>
      <c r="O366" s="314" t="s">
        <v>563</v>
      </c>
      <c r="P366" s="307">
        <f t="shared" si="105"/>
        <v>0</v>
      </c>
      <c r="R366" s="91" t="str">
        <f t="shared" si="119"/>
        <v/>
      </c>
      <c r="S366" s="307" t="str">
        <f t="shared" si="106"/>
        <v>BKK.57aaaaaaaaaaaaaaaaaaaaaaaaaaaaaaaaaaaaaaaaaaaaaaaaaaaaaaaaaaaaaaaaaaaaaaaaaaaaaaaaaaaaaaaaaaaaaaaaaaaaaaaaaaaaaaaaaaaaaaaaaaaaaaaaaaaaaaaaaaaaaaaaaaaaaaaaaaaaaaaaaaaaaaaaaaaaaaaaaa</v>
      </c>
      <c r="T366" s="307" t="str">
        <f t="shared" si="107"/>
        <v/>
      </c>
      <c r="U366" s="315" t="str">
        <f t="shared" si="108"/>
        <v/>
      </c>
      <c r="V366" s="307" t="str">
        <f>N366</f>
        <v/>
      </c>
      <c r="W366" s="307" t="str">
        <f>IFERROR(IF(V366&gt;0,PROPER(Terbilang1(V366)&amp;" Rupiah"),0),"")</f>
        <v/>
      </c>
      <c r="X366" s="90" t="str">
        <f t="shared" si="113"/>
        <v/>
      </c>
      <c r="Y366" s="307" t="str">
        <f t="shared" si="114"/>
        <v/>
      </c>
      <c r="Z366" s="307">
        <f t="shared" si="109"/>
        <v>0</v>
      </c>
      <c r="AA366" s="366">
        <f t="shared" si="110"/>
        <v>0</v>
      </c>
      <c r="AB366" s="367">
        <f t="shared" si="115"/>
        <v>0</v>
      </c>
      <c r="AC366" s="305">
        <f t="shared" si="116"/>
        <v>0</v>
      </c>
      <c r="AP366" s="89" t="str">
        <f t="shared" si="104"/>
        <v/>
      </c>
      <c r="AQ366" s="89" t="str">
        <f t="shared" si="120"/>
        <v/>
      </c>
      <c r="AR366" s="315" t="str">
        <f t="shared" si="103"/>
        <v/>
      </c>
      <c r="AS366" s="305" t="str">
        <f t="shared" si="117"/>
        <v>0</v>
      </c>
      <c r="AT366" s="307">
        <f>Table22[[#This Row],[Column1]]</f>
        <v>0</v>
      </c>
    </row>
    <row r="367" spans="1:46" x14ac:dyDescent="0.3">
      <c r="A367" s="307">
        <f t="shared" si="111"/>
        <v>0</v>
      </c>
      <c r="B367" s="307">
        <f t="shared" si="118"/>
        <v>0</v>
      </c>
      <c r="C367" s="308" t="s">
        <v>563</v>
      </c>
      <c r="D367" s="309" t="s">
        <v>563</v>
      </c>
      <c r="E367" s="310">
        <v>0</v>
      </c>
      <c r="F367" s="310">
        <v>0</v>
      </c>
      <c r="G367" s="311">
        <v>0</v>
      </c>
      <c r="H367" s="310" t="s">
        <v>563</v>
      </c>
      <c r="I367" s="310" t="s">
        <v>563</v>
      </c>
      <c r="J367" s="310" t="s">
        <v>563</v>
      </c>
      <c r="K367" s="312">
        <v>0</v>
      </c>
      <c r="L367" s="310">
        <v>0</v>
      </c>
      <c r="M367" s="310">
        <v>0</v>
      </c>
      <c r="N367" s="313" t="s">
        <v>563</v>
      </c>
      <c r="O367" s="314" t="s">
        <v>563</v>
      </c>
      <c r="P367" s="307">
        <f t="shared" si="105"/>
        <v>0</v>
      </c>
      <c r="R367" s="91" t="str">
        <f t="shared" si="119"/>
        <v/>
      </c>
      <c r="S367" s="307" t="str">
        <f t="shared" si="106"/>
        <v>BKK.57aaaaaaaaaaaaaaaaaaaaaaaaaaaaaaaaaaaaaaaaaaaaaaaaaaaaaaaaaaaaaaaaaaaaaaaaaaaaaaaaaaaaaaaaaaaaaaaaaaaaaaaaaaaaaaaaaaaaaaaaaaaaaaaaaaaaaaaaaaaaaaaaaaaaaaaaaaaaaaaaaaaaaaaaaaaaaaaaaaa</v>
      </c>
      <c r="T367" s="307" t="str">
        <f t="shared" si="107"/>
        <v/>
      </c>
      <c r="U367" s="315" t="str">
        <f t="shared" si="108"/>
        <v/>
      </c>
      <c r="V367" s="307" t="str">
        <f t="shared" si="112"/>
        <v/>
      </c>
      <c r="W367" s="307" t="str">
        <f>IFERROR(IF(V367&gt;0,PROPER(Terbilang1(V367)&amp;" Rupiah"),0),"")</f>
        <v/>
      </c>
      <c r="X367" s="90" t="str">
        <f t="shared" si="113"/>
        <v/>
      </c>
      <c r="Y367" s="307" t="str">
        <f t="shared" si="114"/>
        <v/>
      </c>
      <c r="Z367" s="307">
        <f t="shared" si="109"/>
        <v>0</v>
      </c>
      <c r="AA367" s="366">
        <f t="shared" si="110"/>
        <v>0</v>
      </c>
      <c r="AB367" s="367">
        <f t="shared" si="115"/>
        <v>0</v>
      </c>
      <c r="AC367" s="305">
        <f t="shared" si="116"/>
        <v>0</v>
      </c>
      <c r="AP367" s="89" t="str">
        <f t="shared" si="104"/>
        <v/>
      </c>
      <c r="AQ367" s="89" t="str">
        <f t="shared" si="120"/>
        <v/>
      </c>
      <c r="AR367" s="315" t="str">
        <f t="shared" si="103"/>
        <v/>
      </c>
      <c r="AS367" s="305" t="str">
        <f t="shared" si="117"/>
        <v>0</v>
      </c>
      <c r="AT367" s="307">
        <f>Table22[[#This Row],[Column1]]</f>
        <v>0</v>
      </c>
    </row>
    <row r="368" spans="1:46" x14ac:dyDescent="0.3">
      <c r="A368" s="307">
        <f t="shared" si="111"/>
        <v>0</v>
      </c>
      <c r="B368" s="307">
        <f t="shared" si="118"/>
        <v>0</v>
      </c>
      <c r="C368" s="308" t="s">
        <v>563</v>
      </c>
      <c r="D368" s="309" t="s">
        <v>563</v>
      </c>
      <c r="E368" s="310">
        <v>0</v>
      </c>
      <c r="F368" s="310">
        <v>0</v>
      </c>
      <c r="G368" s="311">
        <v>0</v>
      </c>
      <c r="H368" s="310" t="s">
        <v>563</v>
      </c>
      <c r="I368" s="310" t="s">
        <v>563</v>
      </c>
      <c r="J368" s="310" t="s">
        <v>563</v>
      </c>
      <c r="K368" s="312">
        <v>0</v>
      </c>
      <c r="L368" s="310">
        <v>0</v>
      </c>
      <c r="M368" s="310">
        <v>0</v>
      </c>
      <c r="N368" s="313" t="s">
        <v>563</v>
      </c>
      <c r="O368" s="314" t="s">
        <v>563</v>
      </c>
      <c r="P368" s="307">
        <f t="shared" si="105"/>
        <v>0</v>
      </c>
      <c r="R368" s="91" t="str">
        <f t="shared" si="119"/>
        <v/>
      </c>
      <c r="S368" s="307" t="str">
        <f t="shared" si="106"/>
        <v>BKK.57aaaaaaaaaaaaaaaaaaaaaaaaaaaaaaaaaaaaaaaaaaaaaaaaaaaaaaaaaaaaaaaaaaaaaaaaaaaaaaaaaaaaaaaaaaaaaaaaaaaaaaaaaaaaaaaaaaaaaaaaaaaaaaaaaaaaaaaaaaaaaaaaaaaaaaaaaaaaaaaaaaaaaaaaaaaaaaaaaaaa</v>
      </c>
      <c r="T368" s="307" t="str">
        <f t="shared" si="107"/>
        <v/>
      </c>
      <c r="U368" s="315" t="str">
        <f t="shared" si="108"/>
        <v/>
      </c>
      <c r="V368" s="307" t="str">
        <f t="shared" si="112"/>
        <v/>
      </c>
      <c r="W368" s="307" t="str">
        <f>IFERROR(IF(V368&gt;0,PROPER(Terbilang1(V368)&amp;" Rupiah"),0),"")</f>
        <v/>
      </c>
      <c r="X368" s="90" t="str">
        <f t="shared" si="113"/>
        <v/>
      </c>
      <c r="Y368" s="307" t="str">
        <f t="shared" si="114"/>
        <v/>
      </c>
      <c r="Z368" s="307">
        <f t="shared" si="109"/>
        <v>0</v>
      </c>
      <c r="AA368" s="366">
        <f t="shared" si="110"/>
        <v>0</v>
      </c>
      <c r="AB368" s="367">
        <f t="shared" si="115"/>
        <v>0</v>
      </c>
      <c r="AC368" s="305">
        <f t="shared" si="116"/>
        <v>0</v>
      </c>
      <c r="AP368" s="89" t="str">
        <f t="shared" si="104"/>
        <v/>
      </c>
      <c r="AQ368" s="89" t="str">
        <f t="shared" si="120"/>
        <v/>
      </c>
      <c r="AR368" s="315" t="str">
        <f t="shared" si="103"/>
        <v/>
      </c>
      <c r="AS368" s="305" t="str">
        <f t="shared" si="117"/>
        <v>0</v>
      </c>
      <c r="AT368" s="307">
        <f>Table22[[#This Row],[Column1]]</f>
        <v>0</v>
      </c>
    </row>
    <row r="369" spans="1:46" x14ac:dyDescent="0.3">
      <c r="A369" s="307">
        <f t="shared" si="111"/>
        <v>0</v>
      </c>
      <c r="B369" s="307">
        <f t="shared" si="118"/>
        <v>0</v>
      </c>
      <c r="C369" s="308" t="s">
        <v>563</v>
      </c>
      <c r="D369" s="309" t="s">
        <v>563</v>
      </c>
      <c r="E369" s="310">
        <v>0</v>
      </c>
      <c r="F369" s="310">
        <v>0</v>
      </c>
      <c r="G369" s="311">
        <v>0</v>
      </c>
      <c r="H369" s="310" t="s">
        <v>563</v>
      </c>
      <c r="I369" s="310" t="s">
        <v>563</v>
      </c>
      <c r="J369" s="310" t="s">
        <v>563</v>
      </c>
      <c r="K369" s="312">
        <v>0</v>
      </c>
      <c r="L369" s="310">
        <v>0</v>
      </c>
      <c r="M369" s="310">
        <v>0</v>
      </c>
      <c r="N369" s="313" t="s">
        <v>563</v>
      </c>
      <c r="O369" s="314" t="s">
        <v>563</v>
      </c>
      <c r="P369" s="307">
        <f t="shared" si="105"/>
        <v>0</v>
      </c>
      <c r="R369" s="91" t="str">
        <f t="shared" si="119"/>
        <v/>
      </c>
      <c r="S369" s="307" t="str">
        <f t="shared" si="106"/>
        <v>BKK.57aaaaaaaaaaaaaaaaaaaaaaaaaaaaaaaaaaaaaaaaaaaaaaaaaaaaaaaaaaaaaaaaaaaaaaaaaaaaaaaaaaaaaaaaaaaaaaaaaaaaaaaaaaaaaaaaaaaaaaaaaaaaaaaaaaaaaaaaaaaaaaaaaaaaaaaaaaaaaaaaaaaaaaaaaaaaaaaaaaaaa</v>
      </c>
      <c r="T369" s="307" t="str">
        <f t="shared" si="107"/>
        <v/>
      </c>
      <c r="U369" s="315" t="str">
        <f t="shared" si="108"/>
        <v/>
      </c>
      <c r="V369" s="307" t="str">
        <f>N369</f>
        <v/>
      </c>
      <c r="W369" s="307" t="str">
        <f>IFERROR(IF(V369&gt;0,PROPER(Terbilang1(V369)&amp;" Rupiah"),0),"")</f>
        <v/>
      </c>
      <c r="X369" s="90" t="str">
        <f t="shared" si="113"/>
        <v/>
      </c>
      <c r="Y369" s="307" t="str">
        <f t="shared" si="114"/>
        <v/>
      </c>
      <c r="Z369" s="307">
        <f t="shared" si="109"/>
        <v>0</v>
      </c>
      <c r="AA369" s="366">
        <f t="shared" si="110"/>
        <v>0</v>
      </c>
      <c r="AB369" s="367">
        <f t="shared" si="115"/>
        <v>0</v>
      </c>
      <c r="AC369" s="305">
        <f t="shared" si="116"/>
        <v>0</v>
      </c>
      <c r="AP369" s="89" t="str">
        <f t="shared" si="104"/>
        <v/>
      </c>
      <c r="AQ369" s="89" t="str">
        <f t="shared" si="120"/>
        <v/>
      </c>
      <c r="AR369" s="315" t="str">
        <f t="shared" si="103"/>
        <v/>
      </c>
      <c r="AS369" s="305" t="str">
        <f t="shared" si="117"/>
        <v>0</v>
      </c>
      <c r="AT369" s="307">
        <f>Table22[[#This Row],[Column1]]</f>
        <v>0</v>
      </c>
    </row>
    <row r="370" spans="1:46" x14ac:dyDescent="0.3">
      <c r="A370" s="307">
        <f t="shared" si="111"/>
        <v>0</v>
      </c>
      <c r="B370" s="307">
        <f t="shared" si="118"/>
        <v>0</v>
      </c>
      <c r="C370" s="308" t="s">
        <v>563</v>
      </c>
      <c r="D370" s="309" t="s">
        <v>563</v>
      </c>
      <c r="E370" s="310">
        <v>0</v>
      </c>
      <c r="F370" s="310">
        <v>0</v>
      </c>
      <c r="G370" s="311">
        <v>0</v>
      </c>
      <c r="H370" s="310" t="s">
        <v>563</v>
      </c>
      <c r="I370" s="310" t="s">
        <v>563</v>
      </c>
      <c r="J370" s="310" t="s">
        <v>563</v>
      </c>
      <c r="K370" s="312">
        <v>0</v>
      </c>
      <c r="L370" s="310">
        <v>0</v>
      </c>
      <c r="M370" s="310">
        <v>0</v>
      </c>
      <c r="N370" s="313" t="s">
        <v>563</v>
      </c>
      <c r="O370" s="314" t="s">
        <v>563</v>
      </c>
      <c r="P370" s="307">
        <f t="shared" si="105"/>
        <v>0</v>
      </c>
      <c r="R370" s="91" t="str">
        <f t="shared" si="119"/>
        <v/>
      </c>
      <c r="S370" s="307" t="str">
        <f t="shared" si="106"/>
        <v>BKK.57aaaaaaaaaaaaaaaaaaaaaaaaaaaaaaaaaaaaaaaaaaaaaaaaaaaaaaaaaaaaaaaaaaaaaaaaaaaaaaaaaaaaaaaaaaaaaaaaaaaaaaaaaaaaaaaaaaaaaaaaaaaaaaaaaaaaaaaaaaaaaaaaaaaaaaaaaaaaaaaaaaaaaaaaaaaaaaaaaaaaaa</v>
      </c>
      <c r="T370" s="307" t="str">
        <f t="shared" si="107"/>
        <v/>
      </c>
      <c r="U370" s="315" t="str">
        <f t="shared" si="108"/>
        <v/>
      </c>
      <c r="V370" s="307" t="str">
        <f t="shared" si="112"/>
        <v/>
      </c>
      <c r="W370" s="307" t="str">
        <f>IFERROR(IF(V370&gt;0,PROPER(Terbilang1(V370)&amp;" Rupiah"),0),"")</f>
        <v/>
      </c>
      <c r="X370" s="90" t="str">
        <f t="shared" si="113"/>
        <v/>
      </c>
      <c r="Y370" s="307" t="str">
        <f t="shared" si="114"/>
        <v/>
      </c>
      <c r="Z370" s="307">
        <f t="shared" si="109"/>
        <v>0</v>
      </c>
      <c r="AA370" s="366">
        <f t="shared" si="110"/>
        <v>0</v>
      </c>
      <c r="AB370" s="367">
        <f t="shared" si="115"/>
        <v>0</v>
      </c>
      <c r="AC370" s="305">
        <f t="shared" si="116"/>
        <v>0</v>
      </c>
      <c r="AP370" s="89" t="str">
        <f t="shared" si="104"/>
        <v/>
      </c>
      <c r="AQ370" s="89" t="str">
        <f t="shared" si="120"/>
        <v/>
      </c>
      <c r="AR370" s="315" t="str">
        <f t="shared" si="103"/>
        <v/>
      </c>
      <c r="AS370" s="305" t="str">
        <f t="shared" si="117"/>
        <v>0</v>
      </c>
      <c r="AT370" s="307">
        <f>Table22[[#This Row],[Column1]]</f>
        <v>0</v>
      </c>
    </row>
    <row r="371" spans="1:46" x14ac:dyDescent="0.3">
      <c r="A371" s="307">
        <f t="shared" si="111"/>
        <v>0</v>
      </c>
      <c r="B371" s="307">
        <f t="shared" si="118"/>
        <v>0</v>
      </c>
      <c r="C371" s="308" t="s">
        <v>563</v>
      </c>
      <c r="D371" s="309" t="s">
        <v>563</v>
      </c>
      <c r="E371" s="310">
        <v>0</v>
      </c>
      <c r="F371" s="310">
        <v>0</v>
      </c>
      <c r="G371" s="311">
        <v>0</v>
      </c>
      <c r="H371" s="310" t="s">
        <v>563</v>
      </c>
      <c r="I371" s="310" t="s">
        <v>563</v>
      </c>
      <c r="J371" s="310" t="s">
        <v>563</v>
      </c>
      <c r="K371" s="312">
        <v>0</v>
      </c>
      <c r="L371" s="310">
        <v>0</v>
      </c>
      <c r="M371" s="310">
        <v>0</v>
      </c>
      <c r="N371" s="313" t="s">
        <v>563</v>
      </c>
      <c r="O371" s="314" t="s">
        <v>563</v>
      </c>
      <c r="P371" s="307">
        <f t="shared" si="105"/>
        <v>0</v>
      </c>
      <c r="R371" s="91" t="str">
        <f t="shared" si="119"/>
        <v/>
      </c>
      <c r="S371" s="307" t="str">
        <f t="shared" si="106"/>
        <v>BKK.57aaaaaaaaaaaaaaaaaaaaaaaaaaaaaaaaaaaaaaaaaaaaaaaaaaaaaaaaaaaaaaaaaaaaaaaaaaaaaaaaaaaaaaaaaaaaaaaaaaaaaaaaaaaaaaaaaaaaaaaaaaaaaaaaaaaaaaaaaaaaaaaaaaaaaaaaaaaaaaaaaaaaaaaaaaaaaaaaaaaaaaa</v>
      </c>
      <c r="T371" s="307" t="str">
        <f t="shared" si="107"/>
        <v/>
      </c>
      <c r="U371" s="315" t="str">
        <f t="shared" si="108"/>
        <v/>
      </c>
      <c r="V371" s="307" t="str">
        <f t="shared" si="112"/>
        <v/>
      </c>
      <c r="W371" s="307" t="str">
        <f>IFERROR(IF(V371&gt;0,PROPER(Terbilang1(V371)&amp;" Rupiah"),0),"")</f>
        <v/>
      </c>
      <c r="X371" s="90" t="str">
        <f t="shared" si="113"/>
        <v/>
      </c>
      <c r="Y371" s="307" t="str">
        <f t="shared" si="114"/>
        <v/>
      </c>
      <c r="Z371" s="307">
        <f t="shared" si="109"/>
        <v>0</v>
      </c>
      <c r="AA371" s="366">
        <f t="shared" si="110"/>
        <v>0</v>
      </c>
      <c r="AB371" s="367">
        <f t="shared" si="115"/>
        <v>0</v>
      </c>
      <c r="AC371" s="305">
        <f t="shared" si="116"/>
        <v>0</v>
      </c>
      <c r="AP371" s="89" t="str">
        <f t="shared" si="104"/>
        <v/>
      </c>
      <c r="AQ371" s="89" t="str">
        <f t="shared" si="120"/>
        <v/>
      </c>
      <c r="AR371" s="315" t="str">
        <f t="shared" ref="AR371:AR434" si="121">IF(VALUE(AT371)&gt;1,IF(LEN(AR370)&gt;1,AR370,D371),"")</f>
        <v/>
      </c>
      <c r="AS371" s="305" t="str">
        <f t="shared" si="117"/>
        <v>0</v>
      </c>
      <c r="AT371" s="307">
        <f>Table22[[#This Row],[Column1]]</f>
        <v>0</v>
      </c>
    </row>
    <row r="372" spans="1:46" x14ac:dyDescent="0.3">
      <c r="A372" s="307">
        <f t="shared" si="111"/>
        <v>0</v>
      </c>
      <c r="B372" s="307">
        <f t="shared" si="118"/>
        <v>0</v>
      </c>
      <c r="C372" s="308" t="s">
        <v>563</v>
      </c>
      <c r="D372" s="309" t="s">
        <v>563</v>
      </c>
      <c r="E372" s="310">
        <v>0</v>
      </c>
      <c r="F372" s="310">
        <v>0</v>
      </c>
      <c r="G372" s="311">
        <v>0</v>
      </c>
      <c r="H372" s="310" t="s">
        <v>563</v>
      </c>
      <c r="I372" s="310" t="s">
        <v>563</v>
      </c>
      <c r="J372" s="310" t="s">
        <v>563</v>
      </c>
      <c r="K372" s="312">
        <v>0</v>
      </c>
      <c r="L372" s="310">
        <v>0</v>
      </c>
      <c r="M372" s="310">
        <v>0</v>
      </c>
      <c r="N372" s="313" t="s">
        <v>563</v>
      </c>
      <c r="O372" s="314" t="s">
        <v>563</v>
      </c>
      <c r="P372" s="307">
        <f t="shared" si="105"/>
        <v>0</v>
      </c>
      <c r="R372" s="91" t="str">
        <f t="shared" si="119"/>
        <v/>
      </c>
      <c r="S372" s="307" t="str">
        <f t="shared" si="106"/>
        <v>BKK.57aaaaaaaaaaaaaaaaaaaaaaaaaaaaaaaaaaaaaaaaaaaaaaaaaaaaaaaaaaaaaaaaaaaaaaaaaaaaaaaaaaaaaaaaaaaaaaaaaaaaaaaaaaaaaaaaaaaaaaaaaaaaaaaaaaaaaaaaaaaaaaaaaaaaaaaaaaaaaaaaaaaaaaaaaaaaaaaaaaaaaaaa</v>
      </c>
      <c r="T372" s="307" t="str">
        <f t="shared" si="107"/>
        <v/>
      </c>
      <c r="U372" s="315" t="str">
        <f t="shared" si="108"/>
        <v/>
      </c>
      <c r="V372" s="307" t="str">
        <f t="shared" si="112"/>
        <v/>
      </c>
      <c r="W372" s="307" t="str">
        <f>IFERROR(IF(V372&gt;0,PROPER(Terbilang1(V372)&amp;" Rupiah"),0),"")</f>
        <v/>
      </c>
      <c r="X372" s="90" t="str">
        <f t="shared" si="113"/>
        <v/>
      </c>
      <c r="Y372" s="307" t="str">
        <f t="shared" si="114"/>
        <v/>
      </c>
      <c r="Z372" s="307">
        <f t="shared" si="109"/>
        <v>0</v>
      </c>
      <c r="AA372" s="366">
        <f t="shared" si="110"/>
        <v>0</v>
      </c>
      <c r="AB372" s="367">
        <f t="shared" si="115"/>
        <v>0</v>
      </c>
      <c r="AC372" s="305">
        <f t="shared" si="116"/>
        <v>0</v>
      </c>
      <c r="AP372" s="89" t="str">
        <f t="shared" si="104"/>
        <v/>
      </c>
      <c r="AQ372" s="89" t="str">
        <f t="shared" si="120"/>
        <v/>
      </c>
      <c r="AR372" s="315" t="str">
        <f t="shared" si="121"/>
        <v/>
      </c>
      <c r="AS372" s="305" t="str">
        <f t="shared" si="117"/>
        <v>0</v>
      </c>
      <c r="AT372" s="307">
        <f>Table22[[#This Row],[Column1]]</f>
        <v>0</v>
      </c>
    </row>
    <row r="373" spans="1:46" x14ac:dyDescent="0.3">
      <c r="A373" s="307">
        <f t="shared" si="111"/>
        <v>0</v>
      </c>
      <c r="B373" s="307">
        <f t="shared" si="118"/>
        <v>0</v>
      </c>
      <c r="C373" s="308" t="s">
        <v>563</v>
      </c>
      <c r="D373" s="309" t="s">
        <v>563</v>
      </c>
      <c r="E373" s="310">
        <v>0</v>
      </c>
      <c r="F373" s="310">
        <v>0</v>
      </c>
      <c r="G373" s="311">
        <v>0</v>
      </c>
      <c r="H373" s="310" t="s">
        <v>563</v>
      </c>
      <c r="I373" s="310" t="s">
        <v>563</v>
      </c>
      <c r="J373" s="310" t="s">
        <v>563</v>
      </c>
      <c r="K373" s="312">
        <v>0</v>
      </c>
      <c r="L373" s="310">
        <v>0</v>
      </c>
      <c r="M373" s="310">
        <v>0</v>
      </c>
      <c r="N373" s="313" t="s">
        <v>563</v>
      </c>
      <c r="O373" s="314" t="s">
        <v>563</v>
      </c>
      <c r="P373" s="307">
        <f t="shared" si="105"/>
        <v>0</v>
      </c>
      <c r="R373" s="91" t="str">
        <f t="shared" si="119"/>
        <v/>
      </c>
      <c r="S373" s="307" t="str">
        <f t="shared" si="106"/>
        <v>BKK.57aaaaaaaaaaaaaaaaaaaaaaaaaaaaaaaaaaaaaaaaaaaaaaaaaaaaaaaaaaaaaaaaaaaaaaaaaaaaaaaaaaaaaaaaaaaaaaaaaaaaaaaaaaaaaaaaaaaaaaaaaaaaaaaaaaaaaaaaaaaaaaaaaaaaaaaaaaaaaaaaaaaaaaaaaaaaaaaaaaaaaaaaa</v>
      </c>
      <c r="T373" s="307" t="str">
        <f t="shared" si="107"/>
        <v/>
      </c>
      <c r="U373" s="315" t="str">
        <f t="shared" si="108"/>
        <v/>
      </c>
      <c r="V373" s="307" t="str">
        <f t="shared" si="112"/>
        <v/>
      </c>
      <c r="W373" s="307" t="str">
        <f>IFERROR(IF(V373&gt;0,PROPER(Terbilang1(V373)&amp;" Rupiah"),0),"")</f>
        <v/>
      </c>
      <c r="X373" s="90" t="str">
        <f t="shared" si="113"/>
        <v/>
      </c>
      <c r="Y373" s="307" t="str">
        <f t="shared" si="114"/>
        <v/>
      </c>
      <c r="Z373" s="307">
        <f t="shared" si="109"/>
        <v>0</v>
      </c>
      <c r="AA373" s="366">
        <f t="shared" si="110"/>
        <v>0</v>
      </c>
      <c r="AB373" s="367">
        <f t="shared" si="115"/>
        <v>0</v>
      </c>
      <c r="AC373" s="305">
        <f t="shared" si="116"/>
        <v>0</v>
      </c>
      <c r="AP373" s="89" t="str">
        <f t="shared" si="104"/>
        <v/>
      </c>
      <c r="AQ373" s="89" t="str">
        <f t="shared" si="120"/>
        <v/>
      </c>
      <c r="AR373" s="315" t="str">
        <f t="shared" si="121"/>
        <v/>
      </c>
      <c r="AS373" s="305" t="str">
        <f t="shared" si="117"/>
        <v>0</v>
      </c>
      <c r="AT373" s="307">
        <f>Table22[[#This Row],[Column1]]</f>
        <v>0</v>
      </c>
    </row>
    <row r="374" spans="1:46" x14ac:dyDescent="0.3">
      <c r="A374" s="307">
        <f t="shared" si="111"/>
        <v>0</v>
      </c>
      <c r="B374" s="307">
        <f t="shared" si="118"/>
        <v>0</v>
      </c>
      <c r="C374" s="308" t="s">
        <v>563</v>
      </c>
      <c r="D374" s="309" t="s">
        <v>563</v>
      </c>
      <c r="E374" s="310">
        <v>0</v>
      </c>
      <c r="F374" s="310">
        <v>0</v>
      </c>
      <c r="G374" s="311">
        <v>0</v>
      </c>
      <c r="H374" s="310" t="s">
        <v>563</v>
      </c>
      <c r="I374" s="310" t="s">
        <v>563</v>
      </c>
      <c r="J374" s="310" t="s">
        <v>563</v>
      </c>
      <c r="K374" s="312">
        <v>0</v>
      </c>
      <c r="L374" s="310">
        <v>0</v>
      </c>
      <c r="M374" s="310">
        <v>0</v>
      </c>
      <c r="N374" s="313" t="s">
        <v>563</v>
      </c>
      <c r="O374" s="314" t="s">
        <v>563</v>
      </c>
      <c r="P374" s="307">
        <f t="shared" si="105"/>
        <v>0</v>
      </c>
      <c r="R374" s="91" t="str">
        <f t="shared" si="119"/>
        <v/>
      </c>
      <c r="S374" s="307" t="str">
        <f t="shared" si="106"/>
        <v>BKK.57aaaaaaaaaaaaaaaaaaaaaaaaaaaaaaaaaaaaaaaaaaaaaaaaaaaaaaaaaaaaaaaaaaaaaaaaaaaaaaaaaaaaaaaaaaaaaaaaaaaaaaaaaaaaaaaaaaaaaaaaaaaaaaaaaaaaaaaaaaaaaaaaaaaaaaaaaaaaaaaaaaaaaaaaaaaaaaaaaaaaaaaaaa</v>
      </c>
      <c r="T374" s="307" t="str">
        <f t="shared" si="107"/>
        <v/>
      </c>
      <c r="U374" s="315" t="str">
        <f t="shared" si="108"/>
        <v/>
      </c>
      <c r="V374" s="307" t="str">
        <f t="shared" si="112"/>
        <v/>
      </c>
      <c r="W374" s="307" t="str">
        <f>IFERROR(IF(V374&gt;0,PROPER(Terbilang1(V374)&amp;" Rupiah"),0),"")</f>
        <v/>
      </c>
      <c r="X374" s="90" t="str">
        <f t="shared" si="113"/>
        <v/>
      </c>
      <c r="Y374" s="307" t="str">
        <f t="shared" si="114"/>
        <v/>
      </c>
      <c r="Z374" s="307">
        <f t="shared" si="109"/>
        <v>0</v>
      </c>
      <c r="AA374" s="366">
        <f t="shared" si="110"/>
        <v>0</v>
      </c>
      <c r="AB374" s="367">
        <f t="shared" si="115"/>
        <v>0</v>
      </c>
      <c r="AC374" s="305">
        <f t="shared" si="116"/>
        <v>0</v>
      </c>
      <c r="AP374" s="89" t="str">
        <f t="shared" si="104"/>
        <v/>
      </c>
      <c r="AQ374" s="89" t="str">
        <f t="shared" si="120"/>
        <v/>
      </c>
      <c r="AR374" s="315" t="str">
        <f t="shared" si="121"/>
        <v/>
      </c>
      <c r="AS374" s="305" t="str">
        <f t="shared" si="117"/>
        <v>0</v>
      </c>
      <c r="AT374" s="307">
        <f>Table22[[#This Row],[Column1]]</f>
        <v>0</v>
      </c>
    </row>
    <row r="375" spans="1:46" x14ac:dyDescent="0.3">
      <c r="A375" s="307">
        <f t="shared" si="111"/>
        <v>0</v>
      </c>
      <c r="B375" s="307">
        <f t="shared" si="118"/>
        <v>0</v>
      </c>
      <c r="C375" s="308" t="s">
        <v>563</v>
      </c>
      <c r="D375" s="309" t="s">
        <v>563</v>
      </c>
      <c r="E375" s="310">
        <v>0</v>
      </c>
      <c r="F375" s="310">
        <v>0</v>
      </c>
      <c r="G375" s="311">
        <v>0</v>
      </c>
      <c r="H375" s="310" t="s">
        <v>563</v>
      </c>
      <c r="I375" s="310" t="s">
        <v>563</v>
      </c>
      <c r="J375" s="310" t="s">
        <v>563</v>
      </c>
      <c r="K375" s="312">
        <v>0</v>
      </c>
      <c r="L375" s="310">
        <v>0</v>
      </c>
      <c r="M375" s="310">
        <v>0</v>
      </c>
      <c r="N375" s="313" t="s">
        <v>563</v>
      </c>
      <c r="O375" s="314" t="s">
        <v>563</v>
      </c>
      <c r="P375" s="307">
        <f t="shared" si="105"/>
        <v>0</v>
      </c>
      <c r="R375" s="91" t="str">
        <f t="shared" si="119"/>
        <v/>
      </c>
      <c r="S375" s="307" t="str">
        <f t="shared" si="106"/>
        <v>BKK.57aaaaaaaaaaaaaaaaaaaaaaaaaaaaaaaaaaaaaaaaaaaaaaaaaaaaaaaaaaaaaaaaaaaaaaaaaaaaaaaaaaaaaaaaaaaaaaaaaaaaaaaaaaaaaaaaaaaaaaaaaaaaaaaaaaaaaaaaaaaaaaaaaaaaaaaaaaaaaaaaaaaaaaaaaaaaaaaaaaaaaaaaaaa</v>
      </c>
      <c r="T375" s="307" t="str">
        <f t="shared" si="107"/>
        <v/>
      </c>
      <c r="U375" s="315" t="str">
        <f t="shared" si="108"/>
        <v/>
      </c>
      <c r="V375" s="307" t="str">
        <f t="shared" si="112"/>
        <v/>
      </c>
      <c r="W375" s="307" t="str">
        <f>IFERROR(IF(V375&gt;0,PROPER(Terbilang1(V375)&amp;" Rupiah"),0),"")</f>
        <v/>
      </c>
      <c r="X375" s="90" t="str">
        <f t="shared" si="113"/>
        <v/>
      </c>
      <c r="Y375" s="307" t="str">
        <f t="shared" si="114"/>
        <v/>
      </c>
      <c r="Z375" s="307">
        <f t="shared" si="109"/>
        <v>0</v>
      </c>
      <c r="AA375" s="366">
        <f t="shared" si="110"/>
        <v>0</v>
      </c>
      <c r="AB375" s="367">
        <f t="shared" si="115"/>
        <v>0</v>
      </c>
      <c r="AC375" s="305">
        <f t="shared" si="116"/>
        <v>0</v>
      </c>
      <c r="AP375" s="89" t="str">
        <f t="shared" si="104"/>
        <v/>
      </c>
      <c r="AQ375" s="89" t="str">
        <f t="shared" si="120"/>
        <v/>
      </c>
      <c r="AR375" s="315" t="str">
        <f t="shared" si="121"/>
        <v/>
      </c>
      <c r="AS375" s="305" t="str">
        <f t="shared" si="117"/>
        <v>0</v>
      </c>
      <c r="AT375" s="307">
        <f>Table22[[#This Row],[Column1]]</f>
        <v>0</v>
      </c>
    </row>
    <row r="376" spans="1:46" x14ac:dyDescent="0.3">
      <c r="A376" s="307">
        <f t="shared" si="111"/>
        <v>0</v>
      </c>
      <c r="B376" s="307">
        <f t="shared" si="118"/>
        <v>0</v>
      </c>
      <c r="C376" s="308" t="s">
        <v>563</v>
      </c>
      <c r="D376" s="309" t="s">
        <v>563</v>
      </c>
      <c r="E376" s="310">
        <v>0</v>
      </c>
      <c r="F376" s="310">
        <v>0</v>
      </c>
      <c r="G376" s="311">
        <v>0</v>
      </c>
      <c r="H376" s="310" t="s">
        <v>563</v>
      </c>
      <c r="I376" s="310" t="s">
        <v>563</v>
      </c>
      <c r="J376" s="310" t="s">
        <v>563</v>
      </c>
      <c r="K376" s="312">
        <v>0</v>
      </c>
      <c r="L376" s="310">
        <v>0</v>
      </c>
      <c r="M376" s="310">
        <v>0</v>
      </c>
      <c r="N376" s="313" t="s">
        <v>563</v>
      </c>
      <c r="O376" s="314" t="s">
        <v>563</v>
      </c>
      <c r="P376" s="307">
        <f t="shared" si="105"/>
        <v>0</v>
      </c>
      <c r="R376" s="91" t="str">
        <f t="shared" si="119"/>
        <v/>
      </c>
      <c r="S376" s="307" t="str">
        <f t="shared" si="106"/>
        <v>BKK.57aaaaaaaaaaaaaaaaaaaaaaaaaaaaaaaaaaaaaaaaaaaaaaaaaaaaaaaaaaaaaaaaaaaaaaaaaaaaaaaaaaaaaaaaaaaaaaaaaaaaaaaaaaaaaaaaaaaaaaaaaaaaaaaaaaaaaaaaaaaaaaaaaaaaaaaaaaaaaaaaaaaaaaaaaaaaaaaaaaaaaaaaaaaa</v>
      </c>
      <c r="T376" s="307" t="str">
        <f t="shared" si="107"/>
        <v/>
      </c>
      <c r="U376" s="315" t="str">
        <f t="shared" si="108"/>
        <v/>
      </c>
      <c r="V376" s="307" t="str">
        <f t="shared" si="112"/>
        <v/>
      </c>
      <c r="W376" s="307" t="str">
        <f>IFERROR(IF(V376&gt;0,PROPER(Terbilang1(V376)&amp;" Rupiah"),0),"")</f>
        <v/>
      </c>
      <c r="X376" s="90" t="str">
        <f t="shared" si="113"/>
        <v/>
      </c>
      <c r="Y376" s="307" t="str">
        <f t="shared" si="114"/>
        <v/>
      </c>
      <c r="Z376" s="307">
        <f t="shared" si="109"/>
        <v>0</v>
      </c>
      <c r="AA376" s="366">
        <f t="shared" si="110"/>
        <v>0</v>
      </c>
      <c r="AB376" s="367">
        <f t="shared" si="115"/>
        <v>0</v>
      </c>
      <c r="AC376" s="305">
        <f t="shared" si="116"/>
        <v>0</v>
      </c>
      <c r="AP376" s="89" t="str">
        <f t="shared" si="104"/>
        <v/>
      </c>
      <c r="AQ376" s="89" t="str">
        <f t="shared" si="120"/>
        <v/>
      </c>
      <c r="AR376" s="315" t="str">
        <f t="shared" si="121"/>
        <v/>
      </c>
      <c r="AS376" s="305" t="str">
        <f t="shared" si="117"/>
        <v>0</v>
      </c>
      <c r="AT376" s="307">
        <f>Table22[[#This Row],[Column1]]</f>
        <v>0</v>
      </c>
    </row>
    <row r="377" spans="1:46" x14ac:dyDescent="0.3">
      <c r="A377" s="307">
        <f t="shared" si="111"/>
        <v>0</v>
      </c>
      <c r="B377" s="307">
        <f t="shared" si="118"/>
        <v>0</v>
      </c>
      <c r="C377" s="308" t="s">
        <v>563</v>
      </c>
      <c r="D377" s="309" t="s">
        <v>563</v>
      </c>
      <c r="E377" s="310">
        <v>0</v>
      </c>
      <c r="F377" s="310">
        <v>0</v>
      </c>
      <c r="G377" s="311">
        <v>0</v>
      </c>
      <c r="H377" s="310" t="s">
        <v>563</v>
      </c>
      <c r="I377" s="310" t="s">
        <v>563</v>
      </c>
      <c r="J377" s="310" t="s">
        <v>563</v>
      </c>
      <c r="K377" s="312">
        <v>0</v>
      </c>
      <c r="L377" s="310">
        <v>0</v>
      </c>
      <c r="M377" s="310">
        <v>0</v>
      </c>
      <c r="N377" s="313" t="s">
        <v>563</v>
      </c>
      <c r="O377" s="314" t="s">
        <v>563</v>
      </c>
      <c r="P377" s="307">
        <f t="shared" si="105"/>
        <v>0</v>
      </c>
      <c r="R377" s="91" t="str">
        <f t="shared" si="119"/>
        <v/>
      </c>
      <c r="S377" s="307" t="str">
        <f t="shared" si="106"/>
        <v>BKK.57aaaaaaaaaaaaaaaaaaaaaaaaaaaaaaaaaaaaaaaaaaaaaaaaaaaaaaaaaaaaaaaaaaaaaaaaaaaaaaaaaaaaaaaaaaaaaaaaaaaaaaaaaaaaaaaaaaaaaaaaaaaaaaaaaaaaaaaaaaaaaaaaaaaaaaaaaaaaaaaaaaaaaaaaaaaaaaaaaaaaaaaaaaaaa</v>
      </c>
      <c r="T377" s="307" t="str">
        <f t="shared" si="107"/>
        <v/>
      </c>
      <c r="U377" s="315" t="str">
        <f t="shared" si="108"/>
        <v/>
      </c>
      <c r="V377" s="307" t="str">
        <f t="shared" si="112"/>
        <v/>
      </c>
      <c r="W377" s="307" t="str">
        <f>IFERROR(IF(V377&gt;0,PROPER(Terbilang1(V377)&amp;" Rupiah"),0),"")</f>
        <v/>
      </c>
      <c r="X377" s="90" t="str">
        <f t="shared" si="113"/>
        <v/>
      </c>
      <c r="Y377" s="307" t="str">
        <f t="shared" si="114"/>
        <v/>
      </c>
      <c r="Z377" s="307">
        <f t="shared" si="109"/>
        <v>0</v>
      </c>
      <c r="AA377" s="366">
        <f t="shared" si="110"/>
        <v>0</v>
      </c>
      <c r="AB377" s="367">
        <f t="shared" si="115"/>
        <v>0</v>
      </c>
      <c r="AC377" s="305">
        <f t="shared" si="116"/>
        <v>0</v>
      </c>
      <c r="AP377" s="89" t="str">
        <f t="shared" si="104"/>
        <v/>
      </c>
      <c r="AQ377" s="89" t="str">
        <f t="shared" si="120"/>
        <v/>
      </c>
      <c r="AR377" s="315" t="str">
        <f t="shared" si="121"/>
        <v/>
      </c>
      <c r="AS377" s="305" t="str">
        <f t="shared" si="117"/>
        <v>0</v>
      </c>
      <c r="AT377" s="307">
        <f>Table22[[#This Row],[Column1]]</f>
        <v>0</v>
      </c>
    </row>
    <row r="378" spans="1:46" x14ac:dyDescent="0.3">
      <c r="A378" s="307">
        <f t="shared" si="111"/>
        <v>0</v>
      </c>
      <c r="B378" s="307">
        <f t="shared" si="118"/>
        <v>0</v>
      </c>
      <c r="C378" s="308" t="s">
        <v>563</v>
      </c>
      <c r="D378" s="309" t="s">
        <v>563</v>
      </c>
      <c r="E378" s="310">
        <v>0</v>
      </c>
      <c r="F378" s="310">
        <v>0</v>
      </c>
      <c r="G378" s="311">
        <v>0</v>
      </c>
      <c r="H378" s="310" t="s">
        <v>563</v>
      </c>
      <c r="I378" s="310" t="s">
        <v>563</v>
      </c>
      <c r="J378" s="310" t="s">
        <v>563</v>
      </c>
      <c r="K378" s="312">
        <v>0</v>
      </c>
      <c r="L378" s="310">
        <v>0</v>
      </c>
      <c r="M378" s="310">
        <v>0</v>
      </c>
      <c r="N378" s="313" t="s">
        <v>563</v>
      </c>
      <c r="O378" s="314" t="s">
        <v>563</v>
      </c>
      <c r="P378" s="307">
        <f t="shared" si="105"/>
        <v>0</v>
      </c>
      <c r="R378" s="91" t="str">
        <f t="shared" si="119"/>
        <v/>
      </c>
      <c r="S378" s="307" t="str">
        <f t="shared" si="106"/>
        <v>BKK.57aaaaaaaaaaaaaaaaaaaaaaaaaaaaaaaaaaaaaaaaaaaaaaaaaaaaaaaaaaaaaaaaaaaaaaaaaaaaaaaaaaaaaaaaaaaaaaaaaaaaaaaaaaaaaaaaaaaaaaaaaaaaaaaaaaaaaaaaaaaaaaaaaaaaaaaaaaaaaaaaaaaaaaaaaaaaaaaaaaaaaaaaaaaaaa</v>
      </c>
      <c r="T378" s="307" t="str">
        <f t="shared" si="107"/>
        <v/>
      </c>
      <c r="U378" s="315" t="str">
        <f t="shared" si="108"/>
        <v/>
      </c>
      <c r="V378" s="307" t="str">
        <f t="shared" si="112"/>
        <v/>
      </c>
      <c r="W378" s="307" t="str">
        <f>IFERROR(IF(V378&gt;0,PROPER(Terbilang1(V378)&amp;" Rupiah"),0),"")</f>
        <v/>
      </c>
      <c r="X378" s="90" t="str">
        <f t="shared" si="113"/>
        <v/>
      </c>
      <c r="Y378" s="307" t="str">
        <f t="shared" si="114"/>
        <v/>
      </c>
      <c r="Z378" s="307">
        <f t="shared" si="109"/>
        <v>0</v>
      </c>
      <c r="AA378" s="366">
        <f t="shared" si="110"/>
        <v>0</v>
      </c>
      <c r="AB378" s="367">
        <f t="shared" si="115"/>
        <v>0</v>
      </c>
      <c r="AC378" s="305">
        <f t="shared" si="116"/>
        <v>0</v>
      </c>
      <c r="AP378" s="89" t="str">
        <f t="shared" si="104"/>
        <v/>
      </c>
      <c r="AQ378" s="89" t="str">
        <f t="shared" si="120"/>
        <v/>
      </c>
      <c r="AR378" s="315" t="str">
        <f t="shared" si="121"/>
        <v/>
      </c>
      <c r="AS378" s="305" t="str">
        <f t="shared" si="117"/>
        <v>0</v>
      </c>
      <c r="AT378" s="307">
        <f>Table22[[#This Row],[Column1]]</f>
        <v>0</v>
      </c>
    </row>
    <row r="379" spans="1:46" x14ac:dyDescent="0.3">
      <c r="A379" s="307">
        <f t="shared" si="111"/>
        <v>0</v>
      </c>
      <c r="B379" s="307">
        <f t="shared" si="118"/>
        <v>0</v>
      </c>
      <c r="C379" s="308" t="s">
        <v>563</v>
      </c>
      <c r="D379" s="309" t="s">
        <v>563</v>
      </c>
      <c r="E379" s="310">
        <v>0</v>
      </c>
      <c r="F379" s="310">
        <v>0</v>
      </c>
      <c r="G379" s="311">
        <v>0</v>
      </c>
      <c r="H379" s="310" t="s">
        <v>563</v>
      </c>
      <c r="I379" s="310" t="s">
        <v>563</v>
      </c>
      <c r="J379" s="310" t="s">
        <v>563</v>
      </c>
      <c r="K379" s="312">
        <v>0</v>
      </c>
      <c r="L379" s="310">
        <v>0</v>
      </c>
      <c r="M379" s="310">
        <v>0</v>
      </c>
      <c r="N379" s="313" t="s">
        <v>563</v>
      </c>
      <c r="O379" s="314" t="s">
        <v>563</v>
      </c>
      <c r="P379" s="307">
        <f t="shared" si="105"/>
        <v>0</v>
      </c>
      <c r="R379" s="91" t="str">
        <f t="shared" si="119"/>
        <v/>
      </c>
      <c r="S379" s="307" t="str">
        <f t="shared" si="106"/>
        <v>BKK.57aaaaaaaaaaaaaaaaaaaaaaaaaaaaaaaaaaaaaaaaaaaaaaaaaaaaaaaaaaaaaaaaaaaaaaaaaaaaaaaaaaaaaaaaaaaaaaaaaaaaaaaaaaaaaaaaaaaaaaaaaaaaaaaaaaaaaaaaaaaaaaaaaaaaaaaaaaaaaaaaaaaaaaaaaaaaaaaaaaaaaaaaaaaaaaa</v>
      </c>
      <c r="T379" s="307" t="str">
        <f t="shared" si="107"/>
        <v/>
      </c>
      <c r="U379" s="315" t="str">
        <f t="shared" si="108"/>
        <v/>
      </c>
      <c r="V379" s="307" t="str">
        <f>N379</f>
        <v/>
      </c>
      <c r="W379" s="307" t="str">
        <f>IFERROR(IF(V379&gt;0,PROPER(Terbilang1(V379)&amp;" Rupiah"),0),"")</f>
        <v/>
      </c>
      <c r="X379" s="90" t="str">
        <f t="shared" si="113"/>
        <v/>
      </c>
      <c r="Y379" s="307" t="str">
        <f t="shared" si="114"/>
        <v/>
      </c>
      <c r="Z379" s="307">
        <f t="shared" si="109"/>
        <v>0</v>
      </c>
      <c r="AA379" s="366">
        <f t="shared" si="110"/>
        <v>0</v>
      </c>
      <c r="AB379" s="367">
        <f t="shared" si="115"/>
        <v>0</v>
      </c>
      <c r="AC379" s="305">
        <f t="shared" si="116"/>
        <v>0</v>
      </c>
      <c r="AP379" s="89" t="str">
        <f t="shared" si="104"/>
        <v/>
      </c>
      <c r="AQ379" s="89" t="str">
        <f t="shared" si="120"/>
        <v/>
      </c>
      <c r="AR379" s="315" t="str">
        <f t="shared" si="121"/>
        <v/>
      </c>
      <c r="AS379" s="305" t="str">
        <f t="shared" si="117"/>
        <v>0</v>
      </c>
      <c r="AT379" s="307">
        <f>Table22[[#This Row],[Column1]]</f>
        <v>0</v>
      </c>
    </row>
    <row r="380" spans="1:46" x14ac:dyDescent="0.3">
      <c r="A380" s="307">
        <f t="shared" si="111"/>
        <v>0</v>
      </c>
      <c r="B380" s="307">
        <f t="shared" si="118"/>
        <v>0</v>
      </c>
      <c r="C380" s="308" t="s">
        <v>563</v>
      </c>
      <c r="D380" s="309" t="s">
        <v>563</v>
      </c>
      <c r="E380" s="310">
        <v>0</v>
      </c>
      <c r="F380" s="310">
        <v>0</v>
      </c>
      <c r="G380" s="311">
        <v>0</v>
      </c>
      <c r="H380" s="310" t="s">
        <v>563</v>
      </c>
      <c r="I380" s="310" t="s">
        <v>563</v>
      </c>
      <c r="J380" s="310" t="s">
        <v>563</v>
      </c>
      <c r="K380" s="312">
        <v>0</v>
      </c>
      <c r="L380" s="310">
        <v>0</v>
      </c>
      <c r="M380" s="310">
        <v>0</v>
      </c>
      <c r="N380" s="313" t="s">
        <v>563</v>
      </c>
      <c r="O380" s="314" t="s">
        <v>563</v>
      </c>
      <c r="P380" s="307">
        <f t="shared" si="105"/>
        <v>0</v>
      </c>
      <c r="R380" s="91" t="str">
        <f t="shared" si="119"/>
        <v/>
      </c>
      <c r="S380" s="307" t="str">
        <f t="shared" si="106"/>
        <v>BKK.57aaaaaaaaaaaaaaaaaaaaaaaaaaaaaaaaaaaaaaaaaaaaaaaaaaaaaaaaaaaaaaaaaaaaaaaaaaaaaaaaaaaaaaaaaaaaaaaaaaaaaaaaaaaaaaaaaaaaaaaaaaaaaaaaaaaaaaaaaaaaaaaaaaaaaaaaaaaaaaaaaaaaaaaaaaaaaaaaaaaaaaaaaaaaaaaa</v>
      </c>
      <c r="T380" s="307" t="str">
        <f t="shared" si="107"/>
        <v/>
      </c>
      <c r="U380" s="315" t="str">
        <f t="shared" si="108"/>
        <v/>
      </c>
      <c r="V380" s="307" t="str">
        <f t="shared" si="112"/>
        <v/>
      </c>
      <c r="W380" s="307" t="str">
        <f>IFERROR(IF(V380&gt;0,PROPER(Terbilang1(V380)&amp;" Rupiah"),0),"")</f>
        <v/>
      </c>
      <c r="X380" s="90" t="str">
        <f t="shared" si="113"/>
        <v/>
      </c>
      <c r="Y380" s="307" t="str">
        <f t="shared" si="114"/>
        <v/>
      </c>
      <c r="Z380" s="307">
        <f t="shared" si="109"/>
        <v>0</v>
      </c>
      <c r="AA380" s="366">
        <f t="shared" si="110"/>
        <v>0</v>
      </c>
      <c r="AB380" s="367">
        <f t="shared" si="115"/>
        <v>0</v>
      </c>
      <c r="AC380" s="305">
        <f t="shared" si="116"/>
        <v>0</v>
      </c>
      <c r="AP380" s="89" t="str">
        <f t="shared" si="104"/>
        <v/>
      </c>
      <c r="AQ380" s="89" t="str">
        <f t="shared" si="120"/>
        <v/>
      </c>
      <c r="AR380" s="315" t="str">
        <f t="shared" si="121"/>
        <v/>
      </c>
      <c r="AS380" s="305" t="str">
        <f t="shared" si="117"/>
        <v>0</v>
      </c>
      <c r="AT380" s="307">
        <f>Table22[[#This Row],[Column1]]</f>
        <v>0</v>
      </c>
    </row>
    <row r="381" spans="1:46" x14ac:dyDescent="0.3">
      <c r="A381" s="307">
        <f t="shared" si="111"/>
        <v>0</v>
      </c>
      <c r="B381" s="307">
        <f t="shared" si="118"/>
        <v>0</v>
      </c>
      <c r="C381" s="308" t="s">
        <v>563</v>
      </c>
      <c r="D381" s="309" t="s">
        <v>563</v>
      </c>
      <c r="E381" s="310">
        <v>0</v>
      </c>
      <c r="F381" s="310">
        <v>0</v>
      </c>
      <c r="G381" s="311">
        <v>0</v>
      </c>
      <c r="H381" s="310" t="s">
        <v>563</v>
      </c>
      <c r="I381" s="310" t="s">
        <v>563</v>
      </c>
      <c r="J381" s="310" t="s">
        <v>563</v>
      </c>
      <c r="K381" s="312">
        <v>0</v>
      </c>
      <c r="L381" s="310">
        <v>0</v>
      </c>
      <c r="M381" s="310">
        <v>0</v>
      </c>
      <c r="N381" s="313" t="s">
        <v>563</v>
      </c>
      <c r="O381" s="314" t="s">
        <v>563</v>
      </c>
      <c r="P381" s="307">
        <f t="shared" si="105"/>
        <v>0</v>
      </c>
      <c r="R381" s="91" t="str">
        <f t="shared" si="119"/>
        <v/>
      </c>
      <c r="S381" s="307" t="str">
        <f t="shared" si="106"/>
        <v>BKK.57aaaaaaaaaaaaaaaaaaaaaaaaaaaaaaaaaaaaaaaaaaaaaaaaaaaaaaaaaaaaaaaaaaaaaaaaaaaaaaaaaaaaaaaaaaaaaaaaaaaaaaaaaaaaaaaaaaaaaaaaaaaaaaaaaaaaaaaaaaaaaaaaaaaaaaaaaaaaaaaaaaaaaaaaaaaaaaaaaaaaaaaaaaaaaaaaa</v>
      </c>
      <c r="T381" s="307" t="str">
        <f t="shared" si="107"/>
        <v/>
      </c>
      <c r="U381" s="315" t="str">
        <f t="shared" si="108"/>
        <v/>
      </c>
      <c r="V381" s="307" t="str">
        <f t="shared" si="112"/>
        <v/>
      </c>
      <c r="W381" s="307" t="str">
        <f>IFERROR(IF(V381&gt;0,PROPER(Terbilang1(V381)&amp;" Rupiah"),0),"")</f>
        <v/>
      </c>
      <c r="X381" s="90" t="str">
        <f t="shared" si="113"/>
        <v/>
      </c>
      <c r="Y381" s="307" t="str">
        <f t="shared" si="114"/>
        <v/>
      </c>
      <c r="Z381" s="307">
        <f t="shared" si="109"/>
        <v>0</v>
      </c>
      <c r="AA381" s="366">
        <f t="shared" si="110"/>
        <v>0</v>
      </c>
      <c r="AB381" s="367">
        <f t="shared" si="115"/>
        <v>0</v>
      </c>
      <c r="AC381" s="305">
        <f t="shared" si="116"/>
        <v>0</v>
      </c>
      <c r="AP381" s="89" t="str">
        <f t="shared" si="104"/>
        <v/>
      </c>
      <c r="AQ381" s="89" t="str">
        <f t="shared" si="120"/>
        <v/>
      </c>
      <c r="AR381" s="315" t="str">
        <f t="shared" si="121"/>
        <v/>
      </c>
      <c r="AS381" s="305" t="str">
        <f t="shared" si="117"/>
        <v>0</v>
      </c>
      <c r="AT381" s="307">
        <f>Table22[[#This Row],[Column1]]</f>
        <v>0</v>
      </c>
    </row>
    <row r="382" spans="1:46" x14ac:dyDescent="0.3">
      <c r="A382" s="307">
        <f t="shared" si="111"/>
        <v>0</v>
      </c>
      <c r="B382" s="307">
        <f t="shared" si="118"/>
        <v>0</v>
      </c>
      <c r="C382" s="308" t="s">
        <v>563</v>
      </c>
      <c r="D382" s="309" t="s">
        <v>563</v>
      </c>
      <c r="E382" s="310">
        <v>0</v>
      </c>
      <c r="F382" s="310">
        <v>0</v>
      </c>
      <c r="G382" s="311">
        <v>0</v>
      </c>
      <c r="H382" s="310" t="s">
        <v>563</v>
      </c>
      <c r="I382" s="310" t="s">
        <v>563</v>
      </c>
      <c r="J382" s="310" t="s">
        <v>563</v>
      </c>
      <c r="K382" s="312">
        <v>0</v>
      </c>
      <c r="L382" s="310">
        <v>0</v>
      </c>
      <c r="M382" s="310">
        <v>0</v>
      </c>
      <c r="N382" s="313" t="s">
        <v>563</v>
      </c>
      <c r="O382" s="314" t="s">
        <v>563</v>
      </c>
      <c r="P382" s="307">
        <f t="shared" si="105"/>
        <v>0</v>
      </c>
      <c r="R382" s="91" t="str">
        <f t="shared" si="119"/>
        <v/>
      </c>
      <c r="S382" s="307" t="str">
        <f t="shared" si="106"/>
        <v>BKK.57aaaaaaaaaaaaaaaaaaaaaaaaaaaaaaaaaaaaaaaaaaaaaaaaaaaaaaaaaaaaaaaaaaaaaaaaaaaaaaaaaaaaaaaaaaaaaaaaaaaaaaaaaaaaaaaaaaaaaaaaaaaaaaaaaaaaaaaaaaaaaaaaaaaaaaaaaaaaaaaaaaaaaaaaaaaaaaaaaaaaaaaaaaaaaaaaaa</v>
      </c>
      <c r="T382" s="307" t="str">
        <f t="shared" si="107"/>
        <v/>
      </c>
      <c r="U382" s="315" t="str">
        <f t="shared" si="108"/>
        <v/>
      </c>
      <c r="V382" s="307" t="str">
        <f>N382</f>
        <v/>
      </c>
      <c r="W382" s="307" t="str">
        <f>IFERROR(IF(V382&gt;0,PROPER(Terbilang1(V382)&amp;" Rupiah"),0),"")</f>
        <v/>
      </c>
      <c r="X382" s="90" t="str">
        <f t="shared" si="113"/>
        <v/>
      </c>
      <c r="Y382" s="307" t="str">
        <f t="shared" si="114"/>
        <v/>
      </c>
      <c r="Z382" s="307">
        <f t="shared" si="109"/>
        <v>0</v>
      </c>
      <c r="AA382" s="366">
        <f t="shared" si="110"/>
        <v>0</v>
      </c>
      <c r="AB382" s="367">
        <f t="shared" si="115"/>
        <v>0</v>
      </c>
      <c r="AC382" s="305">
        <f t="shared" si="116"/>
        <v>0</v>
      </c>
      <c r="AP382" s="89" t="str">
        <f t="shared" si="104"/>
        <v/>
      </c>
      <c r="AQ382" s="89" t="str">
        <f t="shared" si="120"/>
        <v/>
      </c>
      <c r="AR382" s="315" t="str">
        <f t="shared" si="121"/>
        <v/>
      </c>
      <c r="AS382" s="305" t="str">
        <f t="shared" si="117"/>
        <v>0</v>
      </c>
      <c r="AT382" s="307">
        <f>Table22[[#This Row],[Column1]]</f>
        <v>0</v>
      </c>
    </row>
    <row r="383" spans="1:46" x14ac:dyDescent="0.3">
      <c r="A383" s="307">
        <f t="shared" si="111"/>
        <v>0</v>
      </c>
      <c r="B383" s="307">
        <f t="shared" si="118"/>
        <v>0</v>
      </c>
      <c r="C383" s="308" t="s">
        <v>563</v>
      </c>
      <c r="D383" s="309" t="s">
        <v>563</v>
      </c>
      <c r="E383" s="310">
        <v>0</v>
      </c>
      <c r="F383" s="310">
        <v>0</v>
      </c>
      <c r="G383" s="311">
        <v>0</v>
      </c>
      <c r="H383" s="310" t="s">
        <v>563</v>
      </c>
      <c r="I383" s="310" t="s">
        <v>563</v>
      </c>
      <c r="J383" s="310" t="s">
        <v>563</v>
      </c>
      <c r="K383" s="312">
        <v>0</v>
      </c>
      <c r="L383" s="310">
        <v>0</v>
      </c>
      <c r="M383" s="310">
        <v>0</v>
      </c>
      <c r="N383" s="313" t="s">
        <v>563</v>
      </c>
      <c r="O383" s="314" t="s">
        <v>563</v>
      </c>
      <c r="P383" s="307">
        <f t="shared" si="105"/>
        <v>0</v>
      </c>
      <c r="R383" s="91" t="str">
        <f t="shared" si="119"/>
        <v/>
      </c>
      <c r="S383" s="307" t="str">
        <f t="shared" si="106"/>
        <v>BKK.57aaaaaaaaaaaaaaaaaaaaaaaaaaaaaaaaaaaaaaaaaaaaaaaaaaaaaaaaaaaaaaaaaaaaaaaaaaaaaaaaaaaaaaaaaaaaaaaaaaaaaaaaaaaaaaaaaaaaaaaaaaaaaaaaaaaaaaaaaaaaaaaaaaaaaaaaaaaaaaaaaaaaaaaaaaaaaaaaaaaaaaaaaaaaaaaaaaa</v>
      </c>
      <c r="T383" s="307" t="str">
        <f t="shared" si="107"/>
        <v/>
      </c>
      <c r="U383" s="315" t="str">
        <f t="shared" si="108"/>
        <v/>
      </c>
      <c r="V383" s="307" t="str">
        <f>N383</f>
        <v/>
      </c>
      <c r="W383" s="307" t="str">
        <f>IFERROR(IF(V383&gt;0,PROPER(Terbilang1(V383)&amp;" Rupiah"),0),"")</f>
        <v/>
      </c>
      <c r="X383" s="90" t="str">
        <f t="shared" si="113"/>
        <v/>
      </c>
      <c r="Y383" s="307" t="str">
        <f t="shared" si="114"/>
        <v/>
      </c>
      <c r="Z383" s="307">
        <f t="shared" si="109"/>
        <v>0</v>
      </c>
      <c r="AA383" s="366">
        <f t="shared" si="110"/>
        <v>0</v>
      </c>
      <c r="AB383" s="367">
        <f t="shared" si="115"/>
        <v>0</v>
      </c>
      <c r="AC383" s="305">
        <f t="shared" si="116"/>
        <v>0</v>
      </c>
      <c r="AP383" s="89" t="str">
        <f t="shared" si="104"/>
        <v/>
      </c>
      <c r="AQ383" s="89" t="str">
        <f t="shared" si="120"/>
        <v/>
      </c>
      <c r="AR383" s="315" t="str">
        <f t="shared" si="121"/>
        <v/>
      </c>
      <c r="AS383" s="305" t="str">
        <f t="shared" si="117"/>
        <v>0</v>
      </c>
      <c r="AT383" s="307">
        <f>Table22[[#This Row],[Column1]]</f>
        <v>0</v>
      </c>
    </row>
    <row r="384" spans="1:46" x14ac:dyDescent="0.3">
      <c r="A384" s="307">
        <f t="shared" si="111"/>
        <v>0</v>
      </c>
      <c r="B384" s="307">
        <f t="shared" si="118"/>
        <v>0</v>
      </c>
      <c r="C384" s="308" t="s">
        <v>563</v>
      </c>
      <c r="D384" s="309" t="s">
        <v>563</v>
      </c>
      <c r="E384" s="310">
        <v>0</v>
      </c>
      <c r="F384" s="310">
        <v>0</v>
      </c>
      <c r="G384" s="311">
        <v>0</v>
      </c>
      <c r="H384" s="310" t="s">
        <v>563</v>
      </c>
      <c r="I384" s="310" t="s">
        <v>563</v>
      </c>
      <c r="J384" s="310" t="s">
        <v>563</v>
      </c>
      <c r="K384" s="312">
        <v>0</v>
      </c>
      <c r="L384" s="310">
        <v>0</v>
      </c>
      <c r="M384" s="310">
        <v>0</v>
      </c>
      <c r="N384" s="313" t="s">
        <v>563</v>
      </c>
      <c r="O384" s="314" t="s">
        <v>563</v>
      </c>
      <c r="P384" s="307">
        <f t="shared" si="105"/>
        <v>0</v>
      </c>
      <c r="R384" s="91" t="str">
        <f t="shared" si="119"/>
        <v/>
      </c>
      <c r="S384" s="307" t="str">
        <f t="shared" si="106"/>
        <v>BKK.57aaaaaaaaaaaaaaaaaaaaaaaaaaaaaaaaaaaaaaaaaaaaaaaaaaaaaaaaaaaaaaaaaaaaaaaaaaaaaaaaaaaaaaaaaaaaaaaaaaaaaaaaaaaaaaaaaaaaaaaaaaaaaaaaaaaaaaaaaaaaaaaaaaaaaaaaaaaaaaaaaaaaaaaaaaaaaaaaaaaaaaaaaaaaaaaaaaaa</v>
      </c>
      <c r="T384" s="307" t="str">
        <f t="shared" si="107"/>
        <v/>
      </c>
      <c r="U384" s="315" t="str">
        <f t="shared" si="108"/>
        <v/>
      </c>
      <c r="V384" s="307" t="str">
        <f t="shared" si="112"/>
        <v/>
      </c>
      <c r="W384" s="307" t="str">
        <f>IFERROR(IF(V384&gt;0,PROPER(Terbilang1(V384)&amp;" Rupiah"),0),"")</f>
        <v/>
      </c>
      <c r="X384" s="90" t="str">
        <f t="shared" si="113"/>
        <v/>
      </c>
      <c r="Y384" s="307" t="str">
        <f t="shared" si="114"/>
        <v/>
      </c>
      <c r="Z384" s="307">
        <f t="shared" si="109"/>
        <v>0</v>
      </c>
      <c r="AA384" s="366">
        <f t="shared" si="110"/>
        <v>0</v>
      </c>
      <c r="AB384" s="367">
        <f t="shared" si="115"/>
        <v>0</v>
      </c>
      <c r="AC384" s="305">
        <f t="shared" si="116"/>
        <v>0</v>
      </c>
      <c r="AP384" s="89" t="str">
        <f t="shared" si="104"/>
        <v/>
      </c>
      <c r="AQ384" s="89" t="str">
        <f t="shared" si="120"/>
        <v/>
      </c>
      <c r="AR384" s="315" t="str">
        <f t="shared" si="121"/>
        <v/>
      </c>
      <c r="AS384" s="305" t="str">
        <f t="shared" si="117"/>
        <v>0</v>
      </c>
      <c r="AT384" s="307">
        <f>Table22[[#This Row],[Column1]]</f>
        <v>0</v>
      </c>
    </row>
    <row r="385" spans="1:46" x14ac:dyDescent="0.3">
      <c r="A385" s="307">
        <f t="shared" si="111"/>
        <v>0</v>
      </c>
      <c r="B385" s="307">
        <f t="shared" si="118"/>
        <v>0</v>
      </c>
      <c r="C385" s="308" t="s">
        <v>563</v>
      </c>
      <c r="D385" s="309" t="s">
        <v>563</v>
      </c>
      <c r="E385" s="310">
        <v>0</v>
      </c>
      <c r="F385" s="310">
        <v>0</v>
      </c>
      <c r="G385" s="311">
        <v>0</v>
      </c>
      <c r="H385" s="310" t="s">
        <v>563</v>
      </c>
      <c r="I385" s="310" t="s">
        <v>563</v>
      </c>
      <c r="J385" s="310" t="s">
        <v>563</v>
      </c>
      <c r="K385" s="312">
        <v>0</v>
      </c>
      <c r="L385" s="310">
        <v>0</v>
      </c>
      <c r="M385" s="310">
        <v>0</v>
      </c>
      <c r="N385" s="313" t="s">
        <v>563</v>
      </c>
      <c r="O385" s="314" t="s">
        <v>563</v>
      </c>
      <c r="P385" s="307">
        <f t="shared" si="105"/>
        <v>0</v>
      </c>
      <c r="R385" s="91" t="str">
        <f t="shared" si="119"/>
        <v/>
      </c>
      <c r="S385" s="307" t="str">
        <f t="shared" si="106"/>
        <v>BKK.57aaaaaaaaaaaaaaaaaaaaaaaaaaaaaaaaaaaaaaaaaaaaaaaaaaaaaaaaaaaaaaaaaaaaaaaaaaaaaaaaaaaaaaaaaaaaaaaaaaaaaaaaaaaaaaaaaaaaaaaaaaaaaaaaaaaaaaaaaaaaaaaaaaaaaaaaaaaaaaaaaaaaaaaaaaaaaaaaaaaaaaaaaaaaaaaaaaaaa</v>
      </c>
      <c r="T385" s="307" t="str">
        <f t="shared" si="107"/>
        <v/>
      </c>
      <c r="U385" s="315" t="str">
        <f t="shared" si="108"/>
        <v/>
      </c>
      <c r="V385" s="307" t="str">
        <f t="shared" si="112"/>
        <v/>
      </c>
      <c r="W385" s="307" t="str">
        <f>IFERROR(IF(V385&gt;0,PROPER(Terbilang1(V385)&amp;" Rupiah"),0),"")</f>
        <v/>
      </c>
      <c r="X385" s="90" t="str">
        <f t="shared" si="113"/>
        <v/>
      </c>
      <c r="Y385" s="307" t="str">
        <f t="shared" si="114"/>
        <v/>
      </c>
      <c r="Z385" s="307">
        <f t="shared" si="109"/>
        <v>0</v>
      </c>
      <c r="AA385" s="366">
        <f t="shared" si="110"/>
        <v>0</v>
      </c>
      <c r="AB385" s="367">
        <f t="shared" si="115"/>
        <v>0</v>
      </c>
      <c r="AC385" s="305">
        <f t="shared" si="116"/>
        <v>0</v>
      </c>
      <c r="AP385" s="89" t="str">
        <f t="shared" ref="AP385:AP448" si="122">IF(LEFT(O385,3)="BKK",1,"")</f>
        <v/>
      </c>
      <c r="AQ385" s="89" t="str">
        <f t="shared" si="120"/>
        <v/>
      </c>
      <c r="AR385" s="315" t="str">
        <f t="shared" si="121"/>
        <v/>
      </c>
      <c r="AS385" s="305" t="str">
        <f t="shared" si="117"/>
        <v>0</v>
      </c>
      <c r="AT385" s="307">
        <f>Table22[[#This Row],[Column1]]</f>
        <v>0</v>
      </c>
    </row>
    <row r="386" spans="1:46" x14ac:dyDescent="0.3">
      <c r="A386" s="307">
        <f t="shared" si="111"/>
        <v>0</v>
      </c>
      <c r="B386" s="307">
        <f t="shared" si="118"/>
        <v>0</v>
      </c>
      <c r="C386" s="308" t="s">
        <v>563</v>
      </c>
      <c r="D386" s="309" t="s">
        <v>563</v>
      </c>
      <c r="E386" s="310">
        <v>0</v>
      </c>
      <c r="F386" s="310">
        <v>0</v>
      </c>
      <c r="G386" s="311">
        <v>0</v>
      </c>
      <c r="H386" s="310" t="s">
        <v>563</v>
      </c>
      <c r="I386" s="310" t="s">
        <v>563</v>
      </c>
      <c r="J386" s="310" t="s">
        <v>563</v>
      </c>
      <c r="K386" s="312">
        <v>0</v>
      </c>
      <c r="L386" s="310">
        <v>0</v>
      </c>
      <c r="M386" s="310">
        <v>0</v>
      </c>
      <c r="N386" s="313" t="s">
        <v>563</v>
      </c>
      <c r="O386" s="314" t="s">
        <v>563</v>
      </c>
      <c r="P386" s="307">
        <f t="shared" ref="P386:P449" si="123">IF(LEFT(O386,1)="B",R386,0)</f>
        <v>0</v>
      </c>
      <c r="R386" s="91" t="str">
        <f t="shared" si="119"/>
        <v/>
      </c>
      <c r="S386" s="307" t="str">
        <f t="shared" ref="S386:S449" si="124">IF(O386="",S385&amp;"a",IF(O386&gt;0,O386,0))</f>
        <v>BKK.57aaaaaaaaaaaaaaaaaaaaaaaaaaaaaaaaaaaaaaaaaaaaaaaaaaaaaaaaaaaaaaaaaaaaaaaaaaaaaaaaaaaaaaaaaaaaaaaaaaaaaaaaaaaaaaaaaaaaaaaaaaaaaaaaaaaaaaaaaaaaaaaaaaaaaaaaaaaaaaaaaaaaaaaaaaaaaaaaaaaaaaaaaaaaaaaaaaaaaa</v>
      </c>
      <c r="T386" s="307" t="str">
        <f t="shared" ref="T386:T449" si="125">IF(G386=0,"",G386)</f>
        <v/>
      </c>
      <c r="U386" s="315" t="str">
        <f t="shared" ref="U386:U449" si="126">D386</f>
        <v/>
      </c>
      <c r="V386" s="307" t="str">
        <f>N386</f>
        <v/>
      </c>
      <c r="W386" s="307" t="str">
        <f>IFERROR(IF(V386&gt;0,PROPER(Terbilang1(V386)&amp;" Rupiah"),0),"")</f>
        <v/>
      </c>
      <c r="X386" s="90" t="str">
        <f t="shared" si="113"/>
        <v/>
      </c>
      <c r="Y386" s="307" t="str">
        <f t="shared" si="114"/>
        <v/>
      </c>
      <c r="Z386" s="307">
        <f t="shared" ref="Z386:Z449" si="127">IF(LEN(AA386)&gt;1,AA386,IF(AA386=0,AB386,0))</f>
        <v>0</v>
      </c>
      <c r="AA386" s="366">
        <f t="shared" ref="AA386:AA449" si="128">IFERROR(IF(AND(N386&gt;1,LEFT(G386,5)="Bayar"),N386*3.5%,IF(N386&gt;2000000,N386*(IF(OR(LEFT(F386,3)="MoP",LEFT(F386,3)="GaJ"),0,11%)),0)),0)</f>
        <v>0</v>
      </c>
      <c r="AB386" s="367">
        <f t="shared" si="115"/>
        <v>0</v>
      </c>
      <c r="AC386" s="305">
        <f t="shared" si="116"/>
        <v>0</v>
      </c>
      <c r="AP386" s="89" t="str">
        <f t="shared" si="122"/>
        <v/>
      </c>
      <c r="AQ386" s="89" t="str">
        <f t="shared" si="120"/>
        <v/>
      </c>
      <c r="AR386" s="315" t="str">
        <f t="shared" si="121"/>
        <v/>
      </c>
      <c r="AS386" s="305" t="str">
        <f t="shared" si="117"/>
        <v>0</v>
      </c>
      <c r="AT386" s="307">
        <f>Table22[[#This Row],[Column1]]</f>
        <v>0</v>
      </c>
    </row>
    <row r="387" spans="1:46" x14ac:dyDescent="0.3">
      <c r="A387" s="307">
        <f t="shared" ref="A387:A450" si="129">IF(C387=1,C387&amp;"."&amp;MOD(ROW()-1,$AJ$2+1),IF(C387=2,C387&amp;"."&amp;MOD(ROW()-($AJ$2+1),$AK$2+1),IF(C387=3,C387&amp;"."&amp;MOD(ROW()-($AJ$2+$AK$2+1),$AL$2+1),IF(C387=4,C387&amp;"."&amp;MOD(ROW()-($AJ$2+$AK$2+$AL$2+1),$AM$2+1),IF(C387=5,C387&amp;"."&amp;MOD(ROW()-($AJ$2+$AK$2+$AL$2+$AM$2+1),$AN$2+1),0)))))</f>
        <v>0</v>
      </c>
      <c r="B387" s="307">
        <f t="shared" si="118"/>
        <v>0</v>
      </c>
      <c r="C387" s="308" t="s">
        <v>563</v>
      </c>
      <c r="D387" s="309" t="s">
        <v>563</v>
      </c>
      <c r="E387" s="310">
        <v>0</v>
      </c>
      <c r="F387" s="310">
        <v>0</v>
      </c>
      <c r="G387" s="311">
        <v>0</v>
      </c>
      <c r="H387" s="310" t="s">
        <v>563</v>
      </c>
      <c r="I387" s="310" t="s">
        <v>563</v>
      </c>
      <c r="J387" s="310" t="s">
        <v>563</v>
      </c>
      <c r="K387" s="312">
        <v>0</v>
      </c>
      <c r="L387" s="310">
        <v>0</v>
      </c>
      <c r="M387" s="310">
        <v>0</v>
      </c>
      <c r="N387" s="313" t="s">
        <v>563</v>
      </c>
      <c r="O387" s="314" t="s">
        <v>563</v>
      </c>
      <c r="P387" s="307">
        <f t="shared" si="123"/>
        <v>0</v>
      </c>
      <c r="R387" s="91" t="str">
        <f t="shared" si="119"/>
        <v/>
      </c>
      <c r="S387" s="307" t="str">
        <f t="shared" si="124"/>
        <v>BKK.57aaaaaaaaaaaaaaaaaaaaaaaaaaaaaaaaaaaaaaaaaaaaaaaaaaaaaaaaaaaaaaaaaaaaaaaaaaaaaaaaaaaaaaaaaaaaaaaaaaaaaaaaaaaaaaaaaaaaaaaaaaaaaaaaaaaaaaaaaaaaaaaaaaaaaaaaaaaaaaaaaaaaaaaaaaaaaaaaaaaaaaaaaaaaaaaaaaaaaaa</v>
      </c>
      <c r="T387" s="307" t="str">
        <f t="shared" si="125"/>
        <v/>
      </c>
      <c r="U387" s="315" t="str">
        <f t="shared" si="126"/>
        <v/>
      </c>
      <c r="V387" s="307" t="str">
        <f t="shared" ref="V387:V449" si="130">N387</f>
        <v/>
      </c>
      <c r="W387" s="307" t="str">
        <f>IFERROR(IF(V387&gt;0,PROPER(Terbilang1(V387)&amp;" Rupiah"),0),"")</f>
        <v/>
      </c>
      <c r="X387" s="90" t="str">
        <f t="shared" ref="X387:X450" si="131">J387</f>
        <v/>
      </c>
      <c r="Y387" s="307" t="str">
        <f t="shared" ref="Y387:Y450" si="132">H387</f>
        <v/>
      </c>
      <c r="Z387" s="307">
        <f t="shared" si="127"/>
        <v>0</v>
      </c>
      <c r="AA387" s="366">
        <f t="shared" si="128"/>
        <v>0</v>
      </c>
      <c r="AB387" s="367">
        <f t="shared" ref="AB387:AB450" si="133">IF(LEN(AA386)&gt;1,IF(LEFT(G386,5)="Bayar",0,IF(LEFT(G386,6)="PEMASA",(N386*100/111*1.5%),N386*0.015)),0)</f>
        <v>0</v>
      </c>
      <c r="AC387" s="305">
        <f t="shared" ref="AC387:AC450" si="134">IF(LEN(AA387)&gt;1,IF(LEFT(G387,6)="PEMASA","Terima Pajak PPN (11 %) "&amp;O387,IF(LEFT(G387,5)="Bayar","Terima PPh Pasal 4 ayat 2 (3,5 %) "&amp;O387,"Bayar Pajak PPN (11 %) "&amp;O387)),IF(AB387&gt;0,IF(LEFT(AC386,6)="Terima","Terima Pajak PPH (1,5%) "&amp;O386,"Bayar Pajak PPH (1,5 %) "&amp;O386),0))</f>
        <v>0</v>
      </c>
      <c r="AP387" s="89" t="str">
        <f t="shared" si="122"/>
        <v/>
      </c>
      <c r="AQ387" s="89" t="str">
        <f t="shared" si="120"/>
        <v/>
      </c>
      <c r="AR387" s="315" t="str">
        <f t="shared" si="121"/>
        <v/>
      </c>
      <c r="AS387" s="305" t="str">
        <f t="shared" ref="AS387:AS450" si="135">IF(AC387="","",LEFT(AC387,15))</f>
        <v>0</v>
      </c>
      <c r="AT387" s="307">
        <f>Table22[[#This Row],[Column1]]</f>
        <v>0</v>
      </c>
    </row>
    <row r="388" spans="1:46" x14ac:dyDescent="0.3">
      <c r="A388" s="307">
        <f t="shared" si="129"/>
        <v>0</v>
      </c>
      <c r="B388" s="307">
        <f t="shared" si="118"/>
        <v>0</v>
      </c>
      <c r="C388" s="308" t="s">
        <v>563</v>
      </c>
      <c r="D388" s="309" t="s">
        <v>563</v>
      </c>
      <c r="E388" s="310">
        <v>0</v>
      </c>
      <c r="F388" s="310">
        <v>0</v>
      </c>
      <c r="G388" s="311">
        <v>0</v>
      </c>
      <c r="H388" s="310" t="s">
        <v>563</v>
      </c>
      <c r="I388" s="310" t="s">
        <v>563</v>
      </c>
      <c r="J388" s="310" t="s">
        <v>563</v>
      </c>
      <c r="K388" s="312">
        <v>0</v>
      </c>
      <c r="L388" s="310">
        <v>0</v>
      </c>
      <c r="M388" s="310">
        <v>0</v>
      </c>
      <c r="N388" s="313" t="s">
        <v>563</v>
      </c>
      <c r="O388" s="314" t="s">
        <v>563</v>
      </c>
      <c r="P388" s="307">
        <f t="shared" si="123"/>
        <v>0</v>
      </c>
      <c r="R388" s="91" t="str">
        <f t="shared" si="119"/>
        <v/>
      </c>
      <c r="S388" s="307" t="str">
        <f t="shared" si="124"/>
        <v>BKK.57aaaaaaaaaaaaaaaaaaaaaaaaaaaaaaaaaaaaaaaaaaaaaaaaaaaaaaaaaaaaaaaaaaaaaaaaaaaaaaaaaaaaaaaaaaaaaaaaaaaaaaaaaaaaaaaaaaaaaaaaaaaaaaaaaaaaaaaaaaaaaaaaaaaaaaaaaaaaaaaaaaaaaaaaaaaaaaaaaaaaaaaaaaaaaaaaaaaaaaaa</v>
      </c>
      <c r="T388" s="307" t="str">
        <f t="shared" si="125"/>
        <v/>
      </c>
      <c r="U388" s="315" t="str">
        <f t="shared" si="126"/>
        <v/>
      </c>
      <c r="V388" s="307" t="str">
        <f>N388</f>
        <v/>
      </c>
      <c r="W388" s="307" t="str">
        <f>IFERROR(IF(V388&gt;0,PROPER(Terbilang1(V388)&amp;" Rupiah"),0),"")</f>
        <v/>
      </c>
      <c r="X388" s="90" t="str">
        <f t="shared" si="131"/>
        <v/>
      </c>
      <c r="Y388" s="307" t="str">
        <f t="shared" si="132"/>
        <v/>
      </c>
      <c r="Z388" s="307">
        <f t="shared" si="127"/>
        <v>0</v>
      </c>
      <c r="AA388" s="366">
        <f t="shared" si="128"/>
        <v>0</v>
      </c>
      <c r="AB388" s="367">
        <f t="shared" si="133"/>
        <v>0</v>
      </c>
      <c r="AC388" s="305">
        <f t="shared" si="134"/>
        <v>0</v>
      </c>
      <c r="AP388" s="89" t="str">
        <f t="shared" si="122"/>
        <v/>
      </c>
      <c r="AQ388" s="89" t="str">
        <f t="shared" si="120"/>
        <v/>
      </c>
      <c r="AR388" s="315" t="str">
        <f t="shared" si="121"/>
        <v/>
      </c>
      <c r="AS388" s="305" t="str">
        <f t="shared" si="135"/>
        <v>0</v>
      </c>
      <c r="AT388" s="307">
        <f>Table22[[#This Row],[Column1]]</f>
        <v>0</v>
      </c>
    </row>
    <row r="389" spans="1:46" x14ac:dyDescent="0.3">
      <c r="A389" s="307">
        <f t="shared" si="129"/>
        <v>0</v>
      </c>
      <c r="B389" s="307">
        <f t="shared" si="118"/>
        <v>0</v>
      </c>
      <c r="C389" s="308" t="s">
        <v>563</v>
      </c>
      <c r="D389" s="309" t="s">
        <v>563</v>
      </c>
      <c r="E389" s="310">
        <v>0</v>
      </c>
      <c r="F389" s="310">
        <v>0</v>
      </c>
      <c r="G389" s="311">
        <v>0</v>
      </c>
      <c r="H389" s="310" t="s">
        <v>563</v>
      </c>
      <c r="I389" s="310" t="s">
        <v>563</v>
      </c>
      <c r="J389" s="310" t="s">
        <v>563</v>
      </c>
      <c r="K389" s="312">
        <v>0</v>
      </c>
      <c r="L389" s="310">
        <v>0</v>
      </c>
      <c r="M389" s="310">
        <v>0</v>
      </c>
      <c r="N389" s="313" t="s">
        <v>563</v>
      </c>
      <c r="O389" s="314" t="s">
        <v>563</v>
      </c>
      <c r="P389" s="307">
        <f t="shared" si="123"/>
        <v>0</v>
      </c>
      <c r="R389" s="91" t="str">
        <f t="shared" si="119"/>
        <v/>
      </c>
      <c r="S389" s="307" t="str">
        <f t="shared" si="124"/>
        <v>BKK.57aaaaaaaaaaaaaaaaaaaaaaaaaaaaaaaaaaaaaaaaaaaaaaaaaaaaaaaaaaaaaaaaaaaaaaaaaaaaaaaaaaaaaaaaaaaaaaaaaaaaaaaaaaaaaaaaaaaaaaaaaaaaaaaaaaaaaaaaaaaaaaaaaaaaaaaaaaaaaaaaaaaaaaaaaaaaaaaaaaaaaaaaaaaaaaaaaaaaaaaaa</v>
      </c>
      <c r="T389" s="307" t="str">
        <f t="shared" si="125"/>
        <v/>
      </c>
      <c r="U389" s="315" t="str">
        <f t="shared" si="126"/>
        <v/>
      </c>
      <c r="V389" s="307" t="str">
        <f t="shared" si="130"/>
        <v/>
      </c>
      <c r="W389" s="307" t="str">
        <f>IFERROR(IF(V389&gt;0,PROPER(Terbilang1(V389)&amp;" Rupiah"),0),"")</f>
        <v/>
      </c>
      <c r="X389" s="90" t="str">
        <f t="shared" si="131"/>
        <v/>
      </c>
      <c r="Y389" s="307" t="str">
        <f t="shared" si="132"/>
        <v/>
      </c>
      <c r="Z389" s="307">
        <f t="shared" si="127"/>
        <v>0</v>
      </c>
      <c r="AA389" s="366">
        <f t="shared" si="128"/>
        <v>0</v>
      </c>
      <c r="AB389" s="367">
        <f t="shared" si="133"/>
        <v>0</v>
      </c>
      <c r="AC389" s="305">
        <f t="shared" si="134"/>
        <v>0</v>
      </c>
      <c r="AP389" s="89" t="str">
        <f t="shared" si="122"/>
        <v/>
      </c>
      <c r="AQ389" s="89" t="str">
        <f t="shared" si="120"/>
        <v/>
      </c>
      <c r="AR389" s="315" t="str">
        <f t="shared" si="121"/>
        <v/>
      </c>
      <c r="AS389" s="305" t="str">
        <f t="shared" si="135"/>
        <v>0</v>
      </c>
      <c r="AT389" s="307">
        <f>Table22[[#This Row],[Column1]]</f>
        <v>0</v>
      </c>
    </row>
    <row r="390" spans="1:46" x14ac:dyDescent="0.3">
      <c r="A390" s="307">
        <f t="shared" si="129"/>
        <v>0</v>
      </c>
      <c r="B390" s="307">
        <f t="shared" si="118"/>
        <v>0</v>
      </c>
      <c r="C390" s="308" t="s">
        <v>563</v>
      </c>
      <c r="D390" s="309" t="s">
        <v>563</v>
      </c>
      <c r="E390" s="310">
        <v>0</v>
      </c>
      <c r="F390" s="310">
        <v>0</v>
      </c>
      <c r="G390" s="311">
        <v>0</v>
      </c>
      <c r="H390" s="310" t="s">
        <v>563</v>
      </c>
      <c r="I390" s="310" t="s">
        <v>563</v>
      </c>
      <c r="J390" s="310" t="s">
        <v>563</v>
      </c>
      <c r="K390" s="312">
        <v>0</v>
      </c>
      <c r="L390" s="310">
        <v>0</v>
      </c>
      <c r="M390" s="310">
        <v>0</v>
      </c>
      <c r="N390" s="313" t="s">
        <v>563</v>
      </c>
      <c r="O390" s="314" t="s">
        <v>563</v>
      </c>
      <c r="P390" s="307">
        <f t="shared" si="123"/>
        <v>0</v>
      </c>
      <c r="R390" s="91" t="str">
        <f t="shared" si="119"/>
        <v/>
      </c>
      <c r="S390" s="307" t="str">
        <f t="shared" si="124"/>
        <v>BKK.57aaaaaaaaaaaaaaaaaaaaaaaaaaaaaaaaaaaaaaaaaaaaaaaaaaaaaaaaaaaaaaaaaaaaaaaaaaaaaaaaaaaaaaaaaaaaaaaaaaaaaaaaaaaaaaaaaaaaaaaaaaaaaaaaaaaaaaaaaaaaaaaaaaaaaaaaaaaaaaaaaaaaaaaaaaaaaaaaaaaaaaaaaaaaaaaaaaaaaaaaaa</v>
      </c>
      <c r="T390" s="307" t="str">
        <f t="shared" si="125"/>
        <v/>
      </c>
      <c r="U390" s="315" t="str">
        <f t="shared" si="126"/>
        <v/>
      </c>
      <c r="V390" s="307" t="str">
        <f t="shared" si="130"/>
        <v/>
      </c>
      <c r="W390" s="307" t="str">
        <f>IFERROR(IF(V390&gt;0,PROPER(Terbilang1(V390)&amp;" Rupiah"),0),"")</f>
        <v/>
      </c>
      <c r="X390" s="90" t="str">
        <f t="shared" si="131"/>
        <v/>
      </c>
      <c r="Y390" s="307" t="str">
        <f t="shared" si="132"/>
        <v/>
      </c>
      <c r="Z390" s="307">
        <f t="shared" si="127"/>
        <v>0</v>
      </c>
      <c r="AA390" s="366">
        <f t="shared" si="128"/>
        <v>0</v>
      </c>
      <c r="AB390" s="367">
        <f t="shared" si="133"/>
        <v>0</v>
      </c>
      <c r="AC390" s="305">
        <f t="shared" si="134"/>
        <v>0</v>
      </c>
      <c r="AP390" s="89" t="str">
        <f t="shared" si="122"/>
        <v/>
      </c>
      <c r="AQ390" s="89" t="str">
        <f t="shared" si="120"/>
        <v/>
      </c>
      <c r="AR390" s="315" t="str">
        <f t="shared" si="121"/>
        <v/>
      </c>
      <c r="AS390" s="305" t="str">
        <f t="shared" si="135"/>
        <v>0</v>
      </c>
      <c r="AT390" s="307">
        <f>Table22[[#This Row],[Column1]]</f>
        <v>0</v>
      </c>
    </row>
    <row r="391" spans="1:46" x14ac:dyDescent="0.3">
      <c r="A391" s="307">
        <f t="shared" si="129"/>
        <v>0</v>
      </c>
      <c r="B391" s="307">
        <f t="shared" si="118"/>
        <v>0</v>
      </c>
      <c r="C391" s="308" t="s">
        <v>563</v>
      </c>
      <c r="D391" s="309" t="s">
        <v>563</v>
      </c>
      <c r="E391" s="310">
        <v>0</v>
      </c>
      <c r="F391" s="310">
        <v>0</v>
      </c>
      <c r="G391" s="311">
        <v>0</v>
      </c>
      <c r="H391" s="310" t="s">
        <v>563</v>
      </c>
      <c r="I391" s="310" t="s">
        <v>563</v>
      </c>
      <c r="J391" s="310" t="s">
        <v>563</v>
      </c>
      <c r="K391" s="312">
        <v>0</v>
      </c>
      <c r="L391" s="310">
        <v>0</v>
      </c>
      <c r="M391" s="310">
        <v>0</v>
      </c>
      <c r="N391" s="313" t="s">
        <v>563</v>
      </c>
      <c r="O391" s="314" t="s">
        <v>563</v>
      </c>
      <c r="P391" s="307">
        <f t="shared" si="123"/>
        <v>0</v>
      </c>
      <c r="R391" s="91" t="str">
        <f t="shared" si="119"/>
        <v/>
      </c>
      <c r="S391" s="307" t="str">
        <f t="shared" si="124"/>
        <v>BKK.57aaaaaaaaaaaaaaaaaaaaaaaaaaaaaaaaaaaaaaaaaaaaaaaaaaaaaaaaaaaaaaaaaaaaaaaaaaaaaaaaaaaaaaaaaaaaaaaaaaaaaaaaaaaaaaaaaaaaaaaaaaaaaaaaaaaaaaaaaaaaaaaaaaaaaaaaaaaaaaaaaaaaaaaaaaaaaaaaaaaaaaaaaaaaaaaaaaaaaaaaaaa</v>
      </c>
      <c r="T391" s="307" t="str">
        <f t="shared" si="125"/>
        <v/>
      </c>
      <c r="U391" s="315" t="str">
        <f t="shared" si="126"/>
        <v/>
      </c>
      <c r="V391" s="307" t="str">
        <f t="shared" si="130"/>
        <v/>
      </c>
      <c r="W391" s="307" t="str">
        <f>IFERROR(IF(V391&gt;0,PROPER(Terbilang1(V391)&amp;" Rupiah"),0),"")</f>
        <v/>
      </c>
      <c r="X391" s="90" t="str">
        <f t="shared" si="131"/>
        <v/>
      </c>
      <c r="Y391" s="307" t="str">
        <f t="shared" si="132"/>
        <v/>
      </c>
      <c r="Z391" s="307">
        <f t="shared" si="127"/>
        <v>0</v>
      </c>
      <c r="AA391" s="366">
        <f t="shared" si="128"/>
        <v>0</v>
      </c>
      <c r="AB391" s="367">
        <f t="shared" si="133"/>
        <v>0</v>
      </c>
      <c r="AC391" s="305">
        <f t="shared" si="134"/>
        <v>0</v>
      </c>
      <c r="AP391" s="89" t="str">
        <f t="shared" si="122"/>
        <v/>
      </c>
      <c r="AQ391" s="89" t="str">
        <f t="shared" si="120"/>
        <v/>
      </c>
      <c r="AR391" s="315" t="str">
        <f t="shared" si="121"/>
        <v/>
      </c>
      <c r="AS391" s="305" t="str">
        <f t="shared" si="135"/>
        <v>0</v>
      </c>
      <c r="AT391" s="307">
        <f>Table22[[#This Row],[Column1]]</f>
        <v>0</v>
      </c>
    </row>
    <row r="392" spans="1:46" x14ac:dyDescent="0.3">
      <c r="A392" s="307">
        <f t="shared" si="129"/>
        <v>0</v>
      </c>
      <c r="B392" s="307">
        <f t="shared" si="118"/>
        <v>0</v>
      </c>
      <c r="C392" s="308" t="s">
        <v>563</v>
      </c>
      <c r="D392" s="309" t="s">
        <v>563</v>
      </c>
      <c r="E392" s="310">
        <v>0</v>
      </c>
      <c r="F392" s="310">
        <v>0</v>
      </c>
      <c r="G392" s="311">
        <v>0</v>
      </c>
      <c r="H392" s="310" t="s">
        <v>563</v>
      </c>
      <c r="I392" s="310" t="s">
        <v>563</v>
      </c>
      <c r="J392" s="310" t="s">
        <v>563</v>
      </c>
      <c r="K392" s="312">
        <v>0</v>
      </c>
      <c r="L392" s="310">
        <v>0</v>
      </c>
      <c r="M392" s="310">
        <v>0</v>
      </c>
      <c r="N392" s="313" t="s">
        <v>563</v>
      </c>
      <c r="O392" s="314" t="s">
        <v>563</v>
      </c>
      <c r="P392" s="307">
        <f t="shared" si="123"/>
        <v>0</v>
      </c>
      <c r="R392" s="91" t="str">
        <f t="shared" si="119"/>
        <v/>
      </c>
      <c r="S392" s="307" t="str">
        <f t="shared" si="124"/>
        <v>BKK.57aaaaaaaaaaaaaaaaaaaaaaaaaaaaaaaaaaaaaaaaaaaaaaaaaaaaaaaaaaaaaaaaaaaaaaaaaaaaaaaaaaaaaaaaaaaaaaaaaaaaaaaaaaaaaaaaaaaaaaaaaaaaaaaaaaaaaaaaaaaaaaaaaaaaaaaaaaaaaaaaaaaaaaaaaaaaaaaaaaaaaaaaaaaaaaaaaaaaaaaaaaaa</v>
      </c>
      <c r="T392" s="307" t="str">
        <f t="shared" si="125"/>
        <v/>
      </c>
      <c r="U392" s="315" t="str">
        <f t="shared" si="126"/>
        <v/>
      </c>
      <c r="V392" s="307" t="str">
        <f t="shared" si="130"/>
        <v/>
      </c>
      <c r="W392" s="307" t="str">
        <f>IFERROR(IF(V392&gt;0,PROPER(Terbilang1(V392)&amp;" Rupiah"),0),"")</f>
        <v/>
      </c>
      <c r="X392" s="90" t="str">
        <f t="shared" si="131"/>
        <v/>
      </c>
      <c r="Y392" s="307" t="str">
        <f t="shared" si="132"/>
        <v/>
      </c>
      <c r="Z392" s="307">
        <f t="shared" si="127"/>
        <v>0</v>
      </c>
      <c r="AA392" s="366">
        <f t="shared" si="128"/>
        <v>0</v>
      </c>
      <c r="AB392" s="367">
        <f t="shared" si="133"/>
        <v>0</v>
      </c>
      <c r="AC392" s="305">
        <f t="shared" si="134"/>
        <v>0</v>
      </c>
      <c r="AP392" s="89" t="str">
        <f t="shared" si="122"/>
        <v/>
      </c>
      <c r="AQ392" s="89" t="str">
        <f t="shared" si="120"/>
        <v/>
      </c>
      <c r="AR392" s="315" t="str">
        <f t="shared" si="121"/>
        <v/>
      </c>
      <c r="AS392" s="305" t="str">
        <f t="shared" si="135"/>
        <v>0</v>
      </c>
      <c r="AT392" s="307">
        <f>Table22[[#This Row],[Column1]]</f>
        <v>0</v>
      </c>
    </row>
    <row r="393" spans="1:46" x14ac:dyDescent="0.3">
      <c r="A393" s="307">
        <f t="shared" si="129"/>
        <v>0</v>
      </c>
      <c r="B393" s="307">
        <f t="shared" si="118"/>
        <v>0</v>
      </c>
      <c r="C393" s="308" t="s">
        <v>563</v>
      </c>
      <c r="D393" s="309" t="s">
        <v>563</v>
      </c>
      <c r="E393" s="310">
        <v>0</v>
      </c>
      <c r="F393" s="310">
        <v>0</v>
      </c>
      <c r="G393" s="311">
        <v>0</v>
      </c>
      <c r="H393" s="310" t="s">
        <v>563</v>
      </c>
      <c r="I393" s="310" t="s">
        <v>563</v>
      </c>
      <c r="J393" s="310" t="s">
        <v>563</v>
      </c>
      <c r="K393" s="312">
        <v>0</v>
      </c>
      <c r="L393" s="310">
        <v>0</v>
      </c>
      <c r="M393" s="310">
        <v>0</v>
      </c>
      <c r="N393" s="313" t="s">
        <v>563</v>
      </c>
      <c r="O393" s="314" t="s">
        <v>563</v>
      </c>
      <c r="P393" s="307">
        <f t="shared" si="123"/>
        <v>0</v>
      </c>
      <c r="R393" s="91" t="str">
        <f t="shared" si="119"/>
        <v/>
      </c>
      <c r="S393" s="307" t="str">
        <f t="shared" si="124"/>
        <v>BKK.57aaaaaaaaaaaaaaaaaaaaaaaaaaaaaaaaaaaaaaaaaaaaaaaaaaaaaaaaaaaaaaaaaaaaaaaaaaaaaaaaaaaaaaaaaaaaaaaaaaaaaaaaaaaaaaaaaaaaaaaaaaaaaaaaaaaaaaaaaaaaaaaaaaaaaaaaaaaaaaaaaaaaaaaaaaaaaaaaaaaaaaaaaaaaaaaaaaaaaaaaaaaaa</v>
      </c>
      <c r="T393" s="307" t="str">
        <f t="shared" si="125"/>
        <v/>
      </c>
      <c r="U393" s="315" t="str">
        <f t="shared" si="126"/>
        <v/>
      </c>
      <c r="V393" s="307" t="str">
        <f>N393</f>
        <v/>
      </c>
      <c r="W393" s="307" t="str">
        <f>IFERROR(IF(V393&gt;0,PROPER(Terbilang1(V393)&amp;" Rupiah"),0),"")</f>
        <v/>
      </c>
      <c r="X393" s="90" t="str">
        <f t="shared" si="131"/>
        <v/>
      </c>
      <c r="Y393" s="307" t="str">
        <f t="shared" si="132"/>
        <v/>
      </c>
      <c r="Z393" s="307">
        <f t="shared" si="127"/>
        <v>0</v>
      </c>
      <c r="AA393" s="366">
        <f t="shared" si="128"/>
        <v>0</v>
      </c>
      <c r="AB393" s="367">
        <f t="shared" si="133"/>
        <v>0</v>
      </c>
      <c r="AC393" s="305">
        <f t="shared" si="134"/>
        <v>0</v>
      </c>
      <c r="AP393" s="89" t="str">
        <f t="shared" si="122"/>
        <v/>
      </c>
      <c r="AQ393" s="89" t="str">
        <f t="shared" si="120"/>
        <v/>
      </c>
      <c r="AR393" s="315" t="str">
        <f t="shared" si="121"/>
        <v/>
      </c>
      <c r="AS393" s="305" t="str">
        <f t="shared" si="135"/>
        <v>0</v>
      </c>
      <c r="AT393" s="307">
        <f>Table22[[#This Row],[Column1]]</f>
        <v>0</v>
      </c>
    </row>
    <row r="394" spans="1:46" x14ac:dyDescent="0.3">
      <c r="A394" s="307">
        <f t="shared" si="129"/>
        <v>0</v>
      </c>
      <c r="B394" s="307">
        <f t="shared" si="118"/>
        <v>0</v>
      </c>
      <c r="C394" s="308" t="s">
        <v>563</v>
      </c>
      <c r="D394" s="309" t="s">
        <v>563</v>
      </c>
      <c r="E394" s="310">
        <v>0</v>
      </c>
      <c r="F394" s="310">
        <v>0</v>
      </c>
      <c r="G394" s="311">
        <v>0</v>
      </c>
      <c r="H394" s="310" t="s">
        <v>563</v>
      </c>
      <c r="I394" s="310" t="s">
        <v>563</v>
      </c>
      <c r="J394" s="310" t="s">
        <v>563</v>
      </c>
      <c r="K394" s="312">
        <v>0</v>
      </c>
      <c r="L394" s="310">
        <v>0</v>
      </c>
      <c r="M394" s="310">
        <v>0</v>
      </c>
      <c r="N394" s="313" t="s">
        <v>563</v>
      </c>
      <c r="O394" s="314" t="s">
        <v>563</v>
      </c>
      <c r="P394" s="307">
        <f t="shared" si="123"/>
        <v>0</v>
      </c>
      <c r="R394" s="91" t="str">
        <f t="shared" si="119"/>
        <v/>
      </c>
      <c r="S394" s="307" t="str">
        <f t="shared" si="124"/>
        <v>BKK.57aaaaaaaaaaaaaaaaaaaaaaaaaaaaaaaaaaaaaaaaaaaaaaaaaaaaaaaaaaaaaaaaaaaaaaaaaaaaaaaaaaaaaaaaaaaaaaaaaaaaaaaaaaaaaaaaaaaaaaaaaaaaaaaaaaaaaaaaaaaaaaaaaaaaaaaaaaaaaaaaaaaaaaaaaaaaaaaaaaaaaaaaaaaaaaaaaaaaaaaaaaaaaa</v>
      </c>
      <c r="T394" s="307" t="str">
        <f t="shared" si="125"/>
        <v/>
      </c>
      <c r="U394" s="315" t="str">
        <f t="shared" si="126"/>
        <v/>
      </c>
      <c r="V394" s="307" t="str">
        <f t="shared" si="130"/>
        <v/>
      </c>
      <c r="W394" s="307" t="str">
        <f>IFERROR(IF(V394&gt;0,PROPER(Terbilang1(V394)&amp;" Rupiah"),0),"")</f>
        <v/>
      </c>
      <c r="X394" s="90" t="str">
        <f t="shared" si="131"/>
        <v/>
      </c>
      <c r="Y394" s="307" t="str">
        <f t="shared" si="132"/>
        <v/>
      </c>
      <c r="Z394" s="307">
        <f t="shared" si="127"/>
        <v>0</v>
      </c>
      <c r="AA394" s="366">
        <f t="shared" si="128"/>
        <v>0</v>
      </c>
      <c r="AB394" s="367">
        <f t="shared" si="133"/>
        <v>0</v>
      </c>
      <c r="AC394" s="305">
        <f t="shared" si="134"/>
        <v>0</v>
      </c>
      <c r="AP394" s="89" t="str">
        <f t="shared" si="122"/>
        <v/>
      </c>
      <c r="AQ394" s="89" t="str">
        <f t="shared" si="120"/>
        <v/>
      </c>
      <c r="AR394" s="315" t="str">
        <f t="shared" si="121"/>
        <v/>
      </c>
      <c r="AS394" s="305" t="str">
        <f t="shared" si="135"/>
        <v>0</v>
      </c>
      <c r="AT394" s="307">
        <f>Table22[[#This Row],[Column1]]</f>
        <v>0</v>
      </c>
    </row>
    <row r="395" spans="1:46" x14ac:dyDescent="0.3">
      <c r="A395" s="307">
        <f t="shared" si="129"/>
        <v>0</v>
      </c>
      <c r="B395" s="307">
        <f t="shared" si="118"/>
        <v>0</v>
      </c>
      <c r="C395" s="308" t="s">
        <v>563</v>
      </c>
      <c r="D395" s="309" t="s">
        <v>563</v>
      </c>
      <c r="E395" s="310">
        <v>0</v>
      </c>
      <c r="F395" s="310">
        <v>0</v>
      </c>
      <c r="G395" s="311">
        <v>0</v>
      </c>
      <c r="H395" s="310" t="s">
        <v>563</v>
      </c>
      <c r="I395" s="310" t="s">
        <v>563</v>
      </c>
      <c r="J395" s="310" t="s">
        <v>563</v>
      </c>
      <c r="K395" s="312">
        <v>0</v>
      </c>
      <c r="L395" s="310">
        <v>0</v>
      </c>
      <c r="M395" s="310">
        <v>0</v>
      </c>
      <c r="N395" s="313" t="s">
        <v>563</v>
      </c>
      <c r="O395" s="314" t="s">
        <v>563</v>
      </c>
      <c r="P395" s="307">
        <f t="shared" si="123"/>
        <v>0</v>
      </c>
      <c r="R395" s="91" t="str">
        <f t="shared" si="119"/>
        <v/>
      </c>
      <c r="S395" s="307" t="str">
        <f t="shared" si="124"/>
        <v>BKK.57aaaaaaaaaaaaaaaaaaaaaaaaaaaaaaaaaaaaaaaaaaaaaaaaaaaaaaaaaaaaaaaaaaaaaaaaaaaaaaaaaaaaaaaaaaaaaaaaaaaaaaaaaaaaaaaaaaaaaaaaaaaaaaaaaaaaaaaaaaaaaaaaaaaaaaaaaaaaaaaaaaaaaaaaaaaaaaaaaaaaaaaaaaaaaaaaaaaaaaaaaaaaaaa</v>
      </c>
      <c r="T395" s="307" t="str">
        <f t="shared" si="125"/>
        <v/>
      </c>
      <c r="U395" s="315" t="str">
        <f t="shared" si="126"/>
        <v/>
      </c>
      <c r="V395" s="307" t="str">
        <f t="shared" si="130"/>
        <v/>
      </c>
      <c r="W395" s="307" t="str">
        <f>IFERROR(IF(V395&gt;0,PROPER(Terbilang1(V395)&amp;" Rupiah"),0),"")</f>
        <v/>
      </c>
      <c r="X395" s="90" t="str">
        <f t="shared" si="131"/>
        <v/>
      </c>
      <c r="Y395" s="307" t="str">
        <f t="shared" si="132"/>
        <v/>
      </c>
      <c r="Z395" s="307">
        <f t="shared" si="127"/>
        <v>0</v>
      </c>
      <c r="AA395" s="366">
        <f t="shared" si="128"/>
        <v>0</v>
      </c>
      <c r="AB395" s="367">
        <f t="shared" si="133"/>
        <v>0</v>
      </c>
      <c r="AC395" s="305">
        <f t="shared" si="134"/>
        <v>0</v>
      </c>
      <c r="AP395" s="89" t="str">
        <f t="shared" si="122"/>
        <v/>
      </c>
      <c r="AQ395" s="89" t="str">
        <f t="shared" si="120"/>
        <v/>
      </c>
      <c r="AR395" s="315" t="str">
        <f t="shared" si="121"/>
        <v/>
      </c>
      <c r="AS395" s="305" t="str">
        <f t="shared" si="135"/>
        <v>0</v>
      </c>
      <c r="AT395" s="307">
        <f>Table22[[#This Row],[Column1]]</f>
        <v>0</v>
      </c>
    </row>
    <row r="396" spans="1:46" x14ac:dyDescent="0.3">
      <c r="A396" s="307">
        <f t="shared" si="129"/>
        <v>0</v>
      </c>
      <c r="B396" s="307">
        <f t="shared" si="118"/>
        <v>0</v>
      </c>
      <c r="C396" s="308" t="s">
        <v>563</v>
      </c>
      <c r="D396" s="309" t="s">
        <v>563</v>
      </c>
      <c r="E396" s="310">
        <v>0</v>
      </c>
      <c r="F396" s="310">
        <v>0</v>
      </c>
      <c r="G396" s="311">
        <v>0</v>
      </c>
      <c r="H396" s="310" t="s">
        <v>563</v>
      </c>
      <c r="I396" s="310" t="s">
        <v>563</v>
      </c>
      <c r="J396" s="310" t="s">
        <v>563</v>
      </c>
      <c r="K396" s="312">
        <v>0</v>
      </c>
      <c r="L396" s="310">
        <v>0</v>
      </c>
      <c r="M396" s="310">
        <v>0</v>
      </c>
      <c r="N396" s="313" t="s">
        <v>563</v>
      </c>
      <c r="O396" s="314" t="s">
        <v>563</v>
      </c>
      <c r="P396" s="307">
        <f t="shared" si="123"/>
        <v>0</v>
      </c>
      <c r="R396" s="91" t="str">
        <f t="shared" si="119"/>
        <v/>
      </c>
      <c r="S396" s="307" t="str">
        <f t="shared" si="124"/>
        <v>BKK.57aaaaaaaaaaaaaaaaaaaaaaaaaaaaaaaaaaaaaaaaaaaaaaaaaaaaaaaaaaaaaaaaaaaaaaaaaaaaaaaaaaaaaaaaaaaaaaaaaaaaaaaaaaaaaaaaaaaaaaaaaaaaaaaaaaaaaaaaaaaaaaaaaaaaaaaaaaaaaaaaaaaaaaaaaaaaaaaaaaaaaaaaaaaaaaaaaaaaaaaaaaaaaaaa</v>
      </c>
      <c r="T396" s="307" t="str">
        <f t="shared" si="125"/>
        <v/>
      </c>
      <c r="U396" s="315" t="str">
        <f t="shared" si="126"/>
        <v/>
      </c>
      <c r="V396" s="307" t="str">
        <f t="shared" si="130"/>
        <v/>
      </c>
      <c r="W396" s="307" t="str">
        <f>IFERROR(IF(V396&gt;0,PROPER(Terbilang1(V396)&amp;" Rupiah"),0),"")</f>
        <v/>
      </c>
      <c r="X396" s="90" t="str">
        <f t="shared" si="131"/>
        <v/>
      </c>
      <c r="Y396" s="307" t="str">
        <f t="shared" si="132"/>
        <v/>
      </c>
      <c r="Z396" s="307">
        <f t="shared" si="127"/>
        <v>0</v>
      </c>
      <c r="AA396" s="366">
        <f t="shared" si="128"/>
        <v>0</v>
      </c>
      <c r="AB396" s="367">
        <f t="shared" si="133"/>
        <v>0</v>
      </c>
      <c r="AC396" s="305">
        <f t="shared" si="134"/>
        <v>0</v>
      </c>
      <c r="AP396" s="89" t="str">
        <f t="shared" si="122"/>
        <v/>
      </c>
      <c r="AQ396" s="89" t="str">
        <f t="shared" si="120"/>
        <v/>
      </c>
      <c r="AR396" s="315" t="str">
        <f t="shared" si="121"/>
        <v/>
      </c>
      <c r="AS396" s="305" t="str">
        <f t="shared" si="135"/>
        <v>0</v>
      </c>
      <c r="AT396" s="307">
        <f>Table22[[#This Row],[Column1]]</f>
        <v>0</v>
      </c>
    </row>
    <row r="397" spans="1:46" x14ac:dyDescent="0.3">
      <c r="A397" s="307">
        <f t="shared" si="129"/>
        <v>0</v>
      </c>
      <c r="B397" s="307">
        <f t="shared" si="118"/>
        <v>0</v>
      </c>
      <c r="C397" s="308" t="s">
        <v>563</v>
      </c>
      <c r="D397" s="309" t="s">
        <v>563</v>
      </c>
      <c r="E397" s="310">
        <v>0</v>
      </c>
      <c r="F397" s="310">
        <v>0</v>
      </c>
      <c r="G397" s="311">
        <v>0</v>
      </c>
      <c r="H397" s="310" t="s">
        <v>563</v>
      </c>
      <c r="I397" s="310" t="s">
        <v>563</v>
      </c>
      <c r="J397" s="310" t="s">
        <v>563</v>
      </c>
      <c r="K397" s="312">
        <v>0</v>
      </c>
      <c r="L397" s="310">
        <v>0</v>
      </c>
      <c r="M397" s="310">
        <v>0</v>
      </c>
      <c r="N397" s="313" t="s">
        <v>563</v>
      </c>
      <c r="O397" s="314" t="s">
        <v>563</v>
      </c>
      <c r="P397" s="307">
        <f t="shared" si="123"/>
        <v>0</v>
      </c>
      <c r="R397" s="91" t="str">
        <f t="shared" si="119"/>
        <v/>
      </c>
      <c r="S397" s="307" t="str">
        <f t="shared" si="124"/>
        <v>BKK.57aaaaaaaaaaaaaaaaaaaaaaaaaaaaaaaaaaaaaaaaaaaaaaaaaaaaaaaaaaaaaaaaaaaaaaaaaaaaaaaaaaaaaaaaaaaaaaaaaaaaaaaaaaaaaaaaaaaaaaaaaaaaaaaaaaaaaaaaaaaaaaaaaaaaaaaaaaaaaaaaaaaaaaaaaaaaaaaaaaaaaaaaaaaaaaaaaaaaaaaaaaaaaaaaa</v>
      </c>
      <c r="T397" s="307" t="str">
        <f t="shared" si="125"/>
        <v/>
      </c>
      <c r="U397" s="315" t="str">
        <f t="shared" si="126"/>
        <v/>
      </c>
      <c r="V397" s="307" t="str">
        <f t="shared" si="130"/>
        <v/>
      </c>
      <c r="W397" s="307" t="str">
        <f>IFERROR(IF(V397&gt;0,PROPER(Terbilang1(V397)&amp;" Rupiah"),0),"")</f>
        <v/>
      </c>
      <c r="X397" s="90" t="str">
        <f t="shared" si="131"/>
        <v/>
      </c>
      <c r="Y397" s="307" t="str">
        <f t="shared" si="132"/>
        <v/>
      </c>
      <c r="Z397" s="307">
        <f t="shared" si="127"/>
        <v>0</v>
      </c>
      <c r="AA397" s="366">
        <f t="shared" si="128"/>
        <v>0</v>
      </c>
      <c r="AB397" s="367">
        <f t="shared" si="133"/>
        <v>0</v>
      </c>
      <c r="AC397" s="305">
        <f t="shared" si="134"/>
        <v>0</v>
      </c>
      <c r="AP397" s="89" t="str">
        <f t="shared" si="122"/>
        <v/>
      </c>
      <c r="AQ397" s="89" t="str">
        <f t="shared" si="120"/>
        <v/>
      </c>
      <c r="AR397" s="315" t="str">
        <f t="shared" si="121"/>
        <v/>
      </c>
      <c r="AS397" s="305" t="str">
        <f t="shared" si="135"/>
        <v>0</v>
      </c>
      <c r="AT397" s="307">
        <f>Table22[[#This Row],[Column1]]</f>
        <v>0</v>
      </c>
    </row>
    <row r="398" spans="1:46" x14ac:dyDescent="0.3">
      <c r="A398" s="307">
        <f t="shared" si="129"/>
        <v>0</v>
      </c>
      <c r="B398" s="307">
        <f t="shared" si="118"/>
        <v>0</v>
      </c>
      <c r="C398" s="308" t="s">
        <v>563</v>
      </c>
      <c r="D398" s="309" t="s">
        <v>563</v>
      </c>
      <c r="E398" s="310">
        <v>0</v>
      </c>
      <c r="F398" s="310">
        <v>0</v>
      </c>
      <c r="G398" s="311">
        <v>0</v>
      </c>
      <c r="H398" s="310" t="s">
        <v>563</v>
      </c>
      <c r="I398" s="310" t="s">
        <v>563</v>
      </c>
      <c r="J398" s="310" t="s">
        <v>563</v>
      </c>
      <c r="K398" s="312">
        <v>0</v>
      </c>
      <c r="L398" s="310">
        <v>0</v>
      </c>
      <c r="M398" s="310">
        <v>0</v>
      </c>
      <c r="N398" s="313" t="s">
        <v>563</v>
      </c>
      <c r="O398" s="314" t="s">
        <v>563</v>
      </c>
      <c r="P398" s="307">
        <f t="shared" si="123"/>
        <v>0</v>
      </c>
      <c r="R398" s="91" t="str">
        <f t="shared" si="119"/>
        <v/>
      </c>
      <c r="S39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</v>
      </c>
      <c r="T398" s="307" t="str">
        <f t="shared" si="125"/>
        <v/>
      </c>
      <c r="U398" s="315" t="str">
        <f t="shared" si="126"/>
        <v/>
      </c>
      <c r="V398" s="307" t="str">
        <f t="shared" si="130"/>
        <v/>
      </c>
      <c r="W398" s="307" t="str">
        <f>IFERROR(IF(V398&gt;0,PROPER(Terbilang1(V398)&amp;" Rupiah"),0),"")</f>
        <v/>
      </c>
      <c r="X398" s="90" t="str">
        <f t="shared" si="131"/>
        <v/>
      </c>
      <c r="Y398" s="307" t="str">
        <f t="shared" si="132"/>
        <v/>
      </c>
      <c r="Z398" s="307">
        <f t="shared" si="127"/>
        <v>0</v>
      </c>
      <c r="AA398" s="366">
        <f t="shared" si="128"/>
        <v>0</v>
      </c>
      <c r="AB398" s="367">
        <f t="shared" si="133"/>
        <v>0</v>
      </c>
      <c r="AC398" s="305">
        <f t="shared" si="134"/>
        <v>0</v>
      </c>
      <c r="AP398" s="89" t="str">
        <f t="shared" si="122"/>
        <v/>
      </c>
      <c r="AQ398" s="89" t="str">
        <f t="shared" si="120"/>
        <v/>
      </c>
      <c r="AR398" s="315" t="str">
        <f t="shared" si="121"/>
        <v/>
      </c>
      <c r="AS398" s="305" t="str">
        <f t="shared" si="135"/>
        <v>0</v>
      </c>
      <c r="AT398" s="307">
        <f>Table22[[#This Row],[Column1]]</f>
        <v>0</v>
      </c>
    </row>
    <row r="399" spans="1:46" x14ac:dyDescent="0.3">
      <c r="A399" s="307">
        <f t="shared" si="129"/>
        <v>0</v>
      </c>
      <c r="B399" s="307">
        <f t="shared" si="118"/>
        <v>0</v>
      </c>
      <c r="C399" s="308" t="s">
        <v>563</v>
      </c>
      <c r="D399" s="309" t="s">
        <v>563</v>
      </c>
      <c r="E399" s="310">
        <v>0</v>
      </c>
      <c r="F399" s="310">
        <v>0</v>
      </c>
      <c r="G399" s="311">
        <v>0</v>
      </c>
      <c r="H399" s="310" t="s">
        <v>563</v>
      </c>
      <c r="I399" s="310" t="s">
        <v>563</v>
      </c>
      <c r="J399" s="310" t="s">
        <v>563</v>
      </c>
      <c r="K399" s="312">
        <v>0</v>
      </c>
      <c r="L399" s="310">
        <v>0</v>
      </c>
      <c r="M399" s="310">
        <v>0</v>
      </c>
      <c r="N399" s="313" t="s">
        <v>563</v>
      </c>
      <c r="O399" s="314" t="s">
        <v>563</v>
      </c>
      <c r="P399" s="307">
        <f t="shared" si="123"/>
        <v>0</v>
      </c>
      <c r="R399" s="91" t="str">
        <f t="shared" si="119"/>
        <v/>
      </c>
      <c r="S39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</v>
      </c>
      <c r="T399" s="307" t="str">
        <f t="shared" si="125"/>
        <v/>
      </c>
      <c r="U399" s="315" t="str">
        <f t="shared" si="126"/>
        <v/>
      </c>
      <c r="V399" s="307" t="str">
        <f>N399</f>
        <v/>
      </c>
      <c r="W399" s="307" t="str">
        <f>IFERROR(IF(V399&gt;0,PROPER(Terbilang1(V399)&amp;" Rupiah"),0),"")</f>
        <v/>
      </c>
      <c r="X399" s="90" t="str">
        <f t="shared" si="131"/>
        <v/>
      </c>
      <c r="Y399" s="307" t="str">
        <f t="shared" si="132"/>
        <v/>
      </c>
      <c r="Z399" s="307">
        <f t="shared" si="127"/>
        <v>0</v>
      </c>
      <c r="AA399" s="366">
        <f t="shared" si="128"/>
        <v>0</v>
      </c>
      <c r="AB399" s="367">
        <f t="shared" si="133"/>
        <v>0</v>
      </c>
      <c r="AC399" s="305">
        <f t="shared" si="134"/>
        <v>0</v>
      </c>
      <c r="AP399" s="89" t="str">
        <f t="shared" si="122"/>
        <v/>
      </c>
      <c r="AQ399" s="89" t="str">
        <f t="shared" si="120"/>
        <v/>
      </c>
      <c r="AR399" s="315" t="str">
        <f t="shared" si="121"/>
        <v/>
      </c>
      <c r="AS399" s="305" t="str">
        <f t="shared" si="135"/>
        <v>0</v>
      </c>
      <c r="AT399" s="307">
        <f>Table22[[#This Row],[Column1]]</f>
        <v>0</v>
      </c>
    </row>
    <row r="400" spans="1:46" x14ac:dyDescent="0.3">
      <c r="A400" s="307">
        <f t="shared" si="129"/>
        <v>0</v>
      </c>
      <c r="B400" s="307">
        <f t="shared" si="118"/>
        <v>0</v>
      </c>
      <c r="C400" s="308" t="s">
        <v>563</v>
      </c>
      <c r="D400" s="309" t="s">
        <v>563</v>
      </c>
      <c r="E400" s="310">
        <v>0</v>
      </c>
      <c r="F400" s="310">
        <v>0</v>
      </c>
      <c r="G400" s="311">
        <v>0</v>
      </c>
      <c r="H400" s="310" t="s">
        <v>563</v>
      </c>
      <c r="I400" s="310" t="s">
        <v>563</v>
      </c>
      <c r="J400" s="310" t="s">
        <v>563</v>
      </c>
      <c r="K400" s="312">
        <v>0</v>
      </c>
      <c r="L400" s="310">
        <v>0</v>
      </c>
      <c r="M400" s="310">
        <v>0</v>
      </c>
      <c r="N400" s="313" t="s">
        <v>563</v>
      </c>
      <c r="O400" s="314" t="s">
        <v>563</v>
      </c>
      <c r="P400" s="307">
        <f t="shared" si="123"/>
        <v>0</v>
      </c>
      <c r="R400" s="91" t="str">
        <f t="shared" si="119"/>
        <v/>
      </c>
      <c r="S400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</v>
      </c>
      <c r="T400" s="307" t="str">
        <f t="shared" si="125"/>
        <v/>
      </c>
      <c r="U400" s="315" t="str">
        <f t="shared" si="126"/>
        <v/>
      </c>
      <c r="V400" s="307" t="str">
        <f>N400</f>
        <v/>
      </c>
      <c r="W400" s="307" t="str">
        <f>IFERROR(IF(V400&gt;0,PROPER(Terbilang1(V400)&amp;" Rupiah"),0),"")</f>
        <v/>
      </c>
      <c r="X400" s="90" t="str">
        <f t="shared" si="131"/>
        <v/>
      </c>
      <c r="Y400" s="307" t="str">
        <f t="shared" si="132"/>
        <v/>
      </c>
      <c r="Z400" s="307">
        <f t="shared" si="127"/>
        <v>0</v>
      </c>
      <c r="AA400" s="366">
        <f t="shared" si="128"/>
        <v>0</v>
      </c>
      <c r="AB400" s="367">
        <f t="shared" si="133"/>
        <v>0</v>
      </c>
      <c r="AC400" s="305">
        <f t="shared" si="134"/>
        <v>0</v>
      </c>
      <c r="AP400" s="89" t="str">
        <f t="shared" si="122"/>
        <v/>
      </c>
      <c r="AQ400" s="89" t="str">
        <f t="shared" si="120"/>
        <v/>
      </c>
      <c r="AR400" s="315" t="str">
        <f t="shared" si="121"/>
        <v/>
      </c>
      <c r="AS400" s="305" t="str">
        <f t="shared" si="135"/>
        <v>0</v>
      </c>
      <c r="AT400" s="307">
        <f>Table22[[#This Row],[Column1]]</f>
        <v>0</v>
      </c>
    </row>
    <row r="401" spans="1:46" x14ac:dyDescent="0.3">
      <c r="A401" s="307">
        <f t="shared" si="129"/>
        <v>0</v>
      </c>
      <c r="B401" s="307">
        <f t="shared" si="118"/>
        <v>0</v>
      </c>
      <c r="C401" s="308" t="s">
        <v>563</v>
      </c>
      <c r="D401" s="309" t="s">
        <v>563</v>
      </c>
      <c r="E401" s="310">
        <v>0</v>
      </c>
      <c r="F401" s="310">
        <v>0</v>
      </c>
      <c r="G401" s="311">
        <v>0</v>
      </c>
      <c r="H401" s="310" t="s">
        <v>563</v>
      </c>
      <c r="I401" s="310" t="s">
        <v>563</v>
      </c>
      <c r="J401" s="310" t="s">
        <v>563</v>
      </c>
      <c r="K401" s="312">
        <v>0</v>
      </c>
      <c r="L401" s="310">
        <v>0</v>
      </c>
      <c r="M401" s="310">
        <v>0</v>
      </c>
      <c r="N401" s="313" t="s">
        <v>563</v>
      </c>
      <c r="O401" s="314" t="s">
        <v>563</v>
      </c>
      <c r="P401" s="307">
        <f t="shared" si="123"/>
        <v>0</v>
      </c>
      <c r="R401" s="91" t="str">
        <f t="shared" si="119"/>
        <v/>
      </c>
      <c r="S401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</v>
      </c>
      <c r="T401" s="307" t="str">
        <f t="shared" si="125"/>
        <v/>
      </c>
      <c r="U401" s="315" t="str">
        <f t="shared" si="126"/>
        <v/>
      </c>
      <c r="V401" s="307" t="str">
        <f t="shared" si="130"/>
        <v/>
      </c>
      <c r="W401" s="307" t="str">
        <f>IFERROR(IF(V401&gt;0,PROPER(Terbilang1(V401)&amp;" Rupiah"),0),"")</f>
        <v/>
      </c>
      <c r="X401" s="90" t="str">
        <f t="shared" si="131"/>
        <v/>
      </c>
      <c r="Y401" s="307" t="str">
        <f t="shared" si="132"/>
        <v/>
      </c>
      <c r="Z401" s="307">
        <f t="shared" si="127"/>
        <v>0</v>
      </c>
      <c r="AA401" s="366">
        <f t="shared" si="128"/>
        <v>0</v>
      </c>
      <c r="AB401" s="367">
        <f t="shared" si="133"/>
        <v>0</v>
      </c>
      <c r="AC401" s="305">
        <f t="shared" si="134"/>
        <v>0</v>
      </c>
      <c r="AP401" s="89" t="str">
        <f t="shared" si="122"/>
        <v/>
      </c>
      <c r="AQ401" s="89" t="str">
        <f t="shared" si="120"/>
        <v/>
      </c>
      <c r="AR401" s="315" t="str">
        <f t="shared" si="121"/>
        <v/>
      </c>
      <c r="AS401" s="305" t="str">
        <f t="shared" si="135"/>
        <v>0</v>
      </c>
      <c r="AT401" s="307">
        <f>Table22[[#This Row],[Column1]]</f>
        <v>0</v>
      </c>
    </row>
    <row r="402" spans="1:46" x14ac:dyDescent="0.3">
      <c r="A402" s="307">
        <f t="shared" si="129"/>
        <v>0</v>
      </c>
      <c r="B402" s="307">
        <f t="shared" si="118"/>
        <v>0</v>
      </c>
      <c r="C402" s="308" t="s">
        <v>563</v>
      </c>
      <c r="D402" s="309" t="s">
        <v>563</v>
      </c>
      <c r="E402" s="310">
        <v>0</v>
      </c>
      <c r="F402" s="310">
        <v>0</v>
      </c>
      <c r="G402" s="311">
        <v>0</v>
      </c>
      <c r="H402" s="310" t="s">
        <v>563</v>
      </c>
      <c r="I402" s="310" t="s">
        <v>563</v>
      </c>
      <c r="J402" s="310" t="s">
        <v>563</v>
      </c>
      <c r="K402" s="312">
        <v>0</v>
      </c>
      <c r="L402" s="310">
        <v>0</v>
      </c>
      <c r="M402" s="310">
        <v>0</v>
      </c>
      <c r="N402" s="313" t="s">
        <v>563</v>
      </c>
      <c r="O402" s="314" t="s">
        <v>563</v>
      </c>
      <c r="P402" s="307">
        <f t="shared" si="123"/>
        <v>0</v>
      </c>
      <c r="R402" s="91" t="str">
        <f t="shared" si="119"/>
        <v/>
      </c>
      <c r="S402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</v>
      </c>
      <c r="T402" s="307" t="str">
        <f t="shared" si="125"/>
        <v/>
      </c>
      <c r="U402" s="315" t="str">
        <f t="shared" si="126"/>
        <v/>
      </c>
      <c r="V402" s="307" t="str">
        <f t="shared" si="130"/>
        <v/>
      </c>
      <c r="W402" s="307" t="str">
        <f>IFERROR(IF(V402&gt;0,PROPER(Terbilang1(V402)&amp;" Rupiah"),0),"")</f>
        <v/>
      </c>
      <c r="X402" s="90" t="str">
        <f t="shared" si="131"/>
        <v/>
      </c>
      <c r="Y402" s="307" t="str">
        <f t="shared" si="132"/>
        <v/>
      </c>
      <c r="Z402" s="307">
        <f t="shared" si="127"/>
        <v>0</v>
      </c>
      <c r="AA402" s="366">
        <f t="shared" si="128"/>
        <v>0</v>
      </c>
      <c r="AB402" s="367">
        <f t="shared" si="133"/>
        <v>0</v>
      </c>
      <c r="AC402" s="305">
        <f t="shared" si="134"/>
        <v>0</v>
      </c>
      <c r="AP402" s="89" t="str">
        <f t="shared" si="122"/>
        <v/>
      </c>
      <c r="AQ402" s="89" t="str">
        <f t="shared" si="120"/>
        <v/>
      </c>
      <c r="AR402" s="315" t="str">
        <f t="shared" si="121"/>
        <v/>
      </c>
      <c r="AS402" s="305" t="str">
        <f t="shared" si="135"/>
        <v>0</v>
      </c>
      <c r="AT402" s="307">
        <f>Table22[[#This Row],[Column1]]</f>
        <v>0</v>
      </c>
    </row>
    <row r="403" spans="1:46" x14ac:dyDescent="0.3">
      <c r="A403" s="307">
        <f t="shared" si="129"/>
        <v>0</v>
      </c>
      <c r="B403" s="307">
        <f t="shared" si="118"/>
        <v>0</v>
      </c>
      <c r="C403" s="308" t="s">
        <v>563</v>
      </c>
      <c r="D403" s="309" t="s">
        <v>563</v>
      </c>
      <c r="E403" s="310">
        <v>0</v>
      </c>
      <c r="F403" s="310">
        <v>0</v>
      </c>
      <c r="G403" s="311">
        <v>0</v>
      </c>
      <c r="H403" s="310" t="s">
        <v>563</v>
      </c>
      <c r="I403" s="310" t="s">
        <v>563</v>
      </c>
      <c r="J403" s="310" t="s">
        <v>563</v>
      </c>
      <c r="K403" s="312">
        <v>0</v>
      </c>
      <c r="L403" s="310">
        <v>0</v>
      </c>
      <c r="M403" s="310">
        <v>0</v>
      </c>
      <c r="N403" s="313" t="s">
        <v>563</v>
      </c>
      <c r="O403" s="314" t="s">
        <v>563</v>
      </c>
      <c r="P403" s="307">
        <f t="shared" si="123"/>
        <v>0</v>
      </c>
      <c r="R403" s="91" t="str">
        <f t="shared" si="119"/>
        <v/>
      </c>
      <c r="S403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</v>
      </c>
      <c r="T403" s="307" t="str">
        <f t="shared" si="125"/>
        <v/>
      </c>
      <c r="U403" s="315" t="str">
        <f t="shared" si="126"/>
        <v/>
      </c>
      <c r="V403" s="307" t="str">
        <f t="shared" si="130"/>
        <v/>
      </c>
      <c r="W403" s="307" t="str">
        <f>IFERROR(IF(V403&gt;0,PROPER(Terbilang1(V403)&amp;" Rupiah"),0),"")</f>
        <v/>
      </c>
      <c r="X403" s="90" t="str">
        <f t="shared" si="131"/>
        <v/>
      </c>
      <c r="Y403" s="307" t="str">
        <f t="shared" si="132"/>
        <v/>
      </c>
      <c r="Z403" s="307">
        <f t="shared" si="127"/>
        <v>0</v>
      </c>
      <c r="AA403" s="366">
        <f t="shared" si="128"/>
        <v>0</v>
      </c>
      <c r="AB403" s="367">
        <f t="shared" si="133"/>
        <v>0</v>
      </c>
      <c r="AC403" s="305">
        <f t="shared" si="134"/>
        <v>0</v>
      </c>
      <c r="AP403" s="89" t="str">
        <f t="shared" si="122"/>
        <v/>
      </c>
      <c r="AQ403" s="89" t="str">
        <f t="shared" si="120"/>
        <v/>
      </c>
      <c r="AR403" s="315" t="str">
        <f t="shared" si="121"/>
        <v/>
      </c>
      <c r="AS403" s="305" t="str">
        <f t="shared" si="135"/>
        <v>0</v>
      </c>
      <c r="AT403" s="307">
        <f>Table22[[#This Row],[Column1]]</f>
        <v>0</v>
      </c>
    </row>
    <row r="404" spans="1:46" x14ac:dyDescent="0.3">
      <c r="A404" s="307">
        <f t="shared" si="129"/>
        <v>0</v>
      </c>
      <c r="B404" s="307">
        <f t="shared" si="118"/>
        <v>0</v>
      </c>
      <c r="C404" s="308" t="s">
        <v>563</v>
      </c>
      <c r="D404" s="309" t="s">
        <v>563</v>
      </c>
      <c r="E404" s="310">
        <v>0</v>
      </c>
      <c r="F404" s="310">
        <v>0</v>
      </c>
      <c r="G404" s="311">
        <v>0</v>
      </c>
      <c r="H404" s="310" t="s">
        <v>563</v>
      </c>
      <c r="I404" s="310" t="s">
        <v>563</v>
      </c>
      <c r="J404" s="310" t="s">
        <v>563</v>
      </c>
      <c r="K404" s="312">
        <v>0</v>
      </c>
      <c r="L404" s="310">
        <v>0</v>
      </c>
      <c r="M404" s="310">
        <v>0</v>
      </c>
      <c r="N404" s="313" t="s">
        <v>563</v>
      </c>
      <c r="O404" s="314" t="s">
        <v>563</v>
      </c>
      <c r="P404" s="307">
        <f t="shared" si="123"/>
        <v>0</v>
      </c>
      <c r="R404" s="91" t="str">
        <f t="shared" si="119"/>
        <v/>
      </c>
      <c r="S404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</v>
      </c>
      <c r="T404" s="307" t="str">
        <f t="shared" si="125"/>
        <v/>
      </c>
      <c r="U404" s="315" t="str">
        <f t="shared" si="126"/>
        <v/>
      </c>
      <c r="V404" s="307" t="str">
        <f t="shared" si="130"/>
        <v/>
      </c>
      <c r="W404" s="307" t="str">
        <f>IFERROR(IF(V404&gt;0,PROPER(Terbilang1(V404)&amp;" Rupiah"),0),"")</f>
        <v/>
      </c>
      <c r="X404" s="90" t="str">
        <f t="shared" si="131"/>
        <v/>
      </c>
      <c r="Y404" s="307" t="str">
        <f t="shared" si="132"/>
        <v/>
      </c>
      <c r="Z404" s="307">
        <f t="shared" si="127"/>
        <v>0</v>
      </c>
      <c r="AA404" s="366">
        <f t="shared" si="128"/>
        <v>0</v>
      </c>
      <c r="AB404" s="367">
        <f t="shared" si="133"/>
        <v>0</v>
      </c>
      <c r="AC404" s="305">
        <f t="shared" si="134"/>
        <v>0</v>
      </c>
      <c r="AP404" s="89" t="str">
        <f t="shared" si="122"/>
        <v/>
      </c>
      <c r="AQ404" s="89" t="str">
        <f t="shared" si="120"/>
        <v/>
      </c>
      <c r="AR404" s="315" t="str">
        <f t="shared" si="121"/>
        <v/>
      </c>
      <c r="AS404" s="305" t="str">
        <f t="shared" si="135"/>
        <v>0</v>
      </c>
      <c r="AT404" s="307">
        <f>Table22[[#This Row],[Column1]]</f>
        <v>0</v>
      </c>
    </row>
    <row r="405" spans="1:46" x14ac:dyDescent="0.3">
      <c r="A405" s="307">
        <f t="shared" si="129"/>
        <v>0</v>
      </c>
      <c r="B405" s="307">
        <f t="shared" si="118"/>
        <v>0</v>
      </c>
      <c r="C405" s="308" t="s">
        <v>563</v>
      </c>
      <c r="D405" s="309" t="s">
        <v>563</v>
      </c>
      <c r="E405" s="310">
        <v>0</v>
      </c>
      <c r="F405" s="310">
        <v>0</v>
      </c>
      <c r="G405" s="311">
        <v>0</v>
      </c>
      <c r="H405" s="310" t="s">
        <v>563</v>
      </c>
      <c r="I405" s="310" t="s">
        <v>563</v>
      </c>
      <c r="J405" s="310" t="s">
        <v>563</v>
      </c>
      <c r="K405" s="312">
        <v>0</v>
      </c>
      <c r="L405" s="310">
        <v>0</v>
      </c>
      <c r="M405" s="310">
        <v>0</v>
      </c>
      <c r="N405" s="313" t="s">
        <v>563</v>
      </c>
      <c r="O405" s="314" t="s">
        <v>563</v>
      </c>
      <c r="P405" s="307">
        <f t="shared" si="123"/>
        <v>0</v>
      </c>
      <c r="R405" s="91" t="str">
        <f t="shared" si="119"/>
        <v/>
      </c>
      <c r="S405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</v>
      </c>
      <c r="T405" s="307" t="str">
        <f t="shared" si="125"/>
        <v/>
      </c>
      <c r="U405" s="315" t="str">
        <f t="shared" si="126"/>
        <v/>
      </c>
      <c r="V405" s="307" t="str">
        <f t="shared" si="130"/>
        <v/>
      </c>
      <c r="W405" s="307" t="str">
        <f>IFERROR(IF(V405&gt;0,PROPER(Terbilang1(V405)&amp;" Rupiah"),0),"")</f>
        <v/>
      </c>
      <c r="X405" s="90" t="str">
        <f t="shared" si="131"/>
        <v/>
      </c>
      <c r="Y405" s="307" t="str">
        <f t="shared" si="132"/>
        <v/>
      </c>
      <c r="Z405" s="307">
        <f t="shared" si="127"/>
        <v>0</v>
      </c>
      <c r="AA405" s="366">
        <f t="shared" si="128"/>
        <v>0</v>
      </c>
      <c r="AB405" s="367">
        <f t="shared" si="133"/>
        <v>0</v>
      </c>
      <c r="AC405" s="305">
        <f t="shared" si="134"/>
        <v>0</v>
      </c>
      <c r="AP405" s="89" t="str">
        <f t="shared" si="122"/>
        <v/>
      </c>
      <c r="AQ405" s="89" t="str">
        <f t="shared" si="120"/>
        <v/>
      </c>
      <c r="AR405" s="315" t="str">
        <f t="shared" si="121"/>
        <v/>
      </c>
      <c r="AS405" s="305" t="str">
        <f t="shared" si="135"/>
        <v>0</v>
      </c>
      <c r="AT405" s="307">
        <f>Table22[[#This Row],[Column1]]</f>
        <v>0</v>
      </c>
    </row>
    <row r="406" spans="1:46" x14ac:dyDescent="0.3">
      <c r="A406" s="307">
        <f t="shared" si="129"/>
        <v>0</v>
      </c>
      <c r="B406" s="307">
        <f t="shared" si="118"/>
        <v>0</v>
      </c>
      <c r="C406" s="308" t="s">
        <v>563</v>
      </c>
      <c r="D406" s="309" t="s">
        <v>563</v>
      </c>
      <c r="E406" s="310">
        <v>0</v>
      </c>
      <c r="F406" s="310">
        <v>0</v>
      </c>
      <c r="G406" s="311">
        <v>0</v>
      </c>
      <c r="H406" s="310" t="s">
        <v>563</v>
      </c>
      <c r="I406" s="310" t="s">
        <v>563</v>
      </c>
      <c r="J406" s="310" t="s">
        <v>563</v>
      </c>
      <c r="K406" s="312">
        <v>0</v>
      </c>
      <c r="L406" s="310">
        <v>0</v>
      </c>
      <c r="M406" s="310">
        <v>0</v>
      </c>
      <c r="N406" s="313" t="s">
        <v>563</v>
      </c>
      <c r="O406" s="314" t="s">
        <v>563</v>
      </c>
      <c r="P406" s="307">
        <f t="shared" si="123"/>
        <v>0</v>
      </c>
      <c r="R406" s="91" t="str">
        <f t="shared" si="119"/>
        <v/>
      </c>
      <c r="S406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</v>
      </c>
      <c r="T406" s="307" t="str">
        <f t="shared" si="125"/>
        <v/>
      </c>
      <c r="U406" s="315" t="str">
        <f t="shared" si="126"/>
        <v/>
      </c>
      <c r="V406" s="307" t="str">
        <f t="shared" si="130"/>
        <v/>
      </c>
      <c r="W406" s="307" t="str">
        <f>IFERROR(IF(V406&gt;0,PROPER(Terbilang1(V406)&amp;" Rupiah"),0),"")</f>
        <v/>
      </c>
      <c r="X406" s="90" t="str">
        <f t="shared" si="131"/>
        <v/>
      </c>
      <c r="Y406" s="307" t="str">
        <f t="shared" si="132"/>
        <v/>
      </c>
      <c r="Z406" s="307">
        <f t="shared" si="127"/>
        <v>0</v>
      </c>
      <c r="AA406" s="366">
        <f t="shared" si="128"/>
        <v>0</v>
      </c>
      <c r="AB406" s="367">
        <f t="shared" si="133"/>
        <v>0</v>
      </c>
      <c r="AC406" s="305">
        <f t="shared" si="134"/>
        <v>0</v>
      </c>
      <c r="AP406" s="89" t="str">
        <f t="shared" si="122"/>
        <v/>
      </c>
      <c r="AQ406" s="89" t="str">
        <f t="shared" si="120"/>
        <v/>
      </c>
      <c r="AR406" s="315" t="str">
        <f t="shared" si="121"/>
        <v/>
      </c>
      <c r="AS406" s="305" t="str">
        <f t="shared" si="135"/>
        <v>0</v>
      </c>
      <c r="AT406" s="307">
        <f>Table22[[#This Row],[Column1]]</f>
        <v>0</v>
      </c>
    </row>
    <row r="407" spans="1:46" x14ac:dyDescent="0.3">
      <c r="A407" s="307">
        <f t="shared" si="129"/>
        <v>0</v>
      </c>
      <c r="B407" s="307">
        <f t="shared" si="118"/>
        <v>0</v>
      </c>
      <c r="C407" s="308" t="s">
        <v>563</v>
      </c>
      <c r="D407" s="309" t="s">
        <v>563</v>
      </c>
      <c r="E407" s="310">
        <v>0</v>
      </c>
      <c r="F407" s="310">
        <v>0</v>
      </c>
      <c r="G407" s="311">
        <v>0</v>
      </c>
      <c r="H407" s="310" t="s">
        <v>563</v>
      </c>
      <c r="I407" s="310" t="s">
        <v>563</v>
      </c>
      <c r="J407" s="310" t="s">
        <v>563</v>
      </c>
      <c r="K407" s="312">
        <v>0</v>
      </c>
      <c r="L407" s="310">
        <v>0</v>
      </c>
      <c r="M407" s="310">
        <v>0</v>
      </c>
      <c r="N407" s="313" t="s">
        <v>563</v>
      </c>
      <c r="O407" s="314" t="s">
        <v>563</v>
      </c>
      <c r="P407" s="307">
        <f t="shared" si="123"/>
        <v>0</v>
      </c>
      <c r="R407" s="91" t="str">
        <f t="shared" si="119"/>
        <v/>
      </c>
      <c r="S407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</v>
      </c>
      <c r="T407" s="307" t="str">
        <f t="shared" si="125"/>
        <v/>
      </c>
      <c r="U407" s="315" t="str">
        <f t="shared" si="126"/>
        <v/>
      </c>
      <c r="V407" s="307" t="str">
        <f>N407</f>
        <v/>
      </c>
      <c r="W407" s="307" t="str">
        <f>IFERROR(IF(V407&gt;0,PROPER(Terbilang1(V407)&amp;" Rupiah"),0),"")</f>
        <v/>
      </c>
      <c r="X407" s="90" t="str">
        <f t="shared" si="131"/>
        <v/>
      </c>
      <c r="Y407" s="307" t="str">
        <f t="shared" si="132"/>
        <v/>
      </c>
      <c r="Z407" s="307">
        <f t="shared" si="127"/>
        <v>0</v>
      </c>
      <c r="AA407" s="366">
        <f t="shared" si="128"/>
        <v>0</v>
      </c>
      <c r="AB407" s="367">
        <f t="shared" si="133"/>
        <v>0</v>
      </c>
      <c r="AC407" s="305">
        <f t="shared" si="134"/>
        <v>0</v>
      </c>
      <c r="AP407" s="89" t="str">
        <f t="shared" si="122"/>
        <v/>
      </c>
      <c r="AQ407" s="89" t="str">
        <f t="shared" si="120"/>
        <v/>
      </c>
      <c r="AR407" s="315" t="str">
        <f t="shared" si="121"/>
        <v/>
      </c>
      <c r="AS407" s="305" t="str">
        <f t="shared" si="135"/>
        <v>0</v>
      </c>
      <c r="AT407" s="307">
        <f>Table22[[#This Row],[Column1]]</f>
        <v>0</v>
      </c>
    </row>
    <row r="408" spans="1:46" x14ac:dyDescent="0.3">
      <c r="A408" s="307">
        <f t="shared" si="129"/>
        <v>0</v>
      </c>
      <c r="B408" s="307">
        <f t="shared" si="118"/>
        <v>0</v>
      </c>
      <c r="C408" s="308" t="s">
        <v>563</v>
      </c>
      <c r="D408" s="309" t="s">
        <v>563</v>
      </c>
      <c r="E408" s="310">
        <v>0</v>
      </c>
      <c r="F408" s="310">
        <v>0</v>
      </c>
      <c r="G408" s="311">
        <v>0</v>
      </c>
      <c r="H408" s="310" t="s">
        <v>563</v>
      </c>
      <c r="I408" s="310" t="s">
        <v>563</v>
      </c>
      <c r="J408" s="310" t="s">
        <v>563</v>
      </c>
      <c r="K408" s="312">
        <v>0</v>
      </c>
      <c r="L408" s="310">
        <v>0</v>
      </c>
      <c r="M408" s="310">
        <v>0</v>
      </c>
      <c r="N408" s="313" t="s">
        <v>563</v>
      </c>
      <c r="O408" s="314" t="s">
        <v>563</v>
      </c>
      <c r="P408" s="307">
        <f t="shared" si="123"/>
        <v>0</v>
      </c>
      <c r="R408" s="91" t="str">
        <f t="shared" si="119"/>
        <v/>
      </c>
      <c r="S40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</v>
      </c>
      <c r="T408" s="307" t="str">
        <f t="shared" si="125"/>
        <v/>
      </c>
      <c r="U408" s="315" t="str">
        <f t="shared" si="126"/>
        <v/>
      </c>
      <c r="V408" s="307" t="str">
        <f>N408</f>
        <v/>
      </c>
      <c r="W408" s="307" t="str">
        <f>IFERROR(IF(V408&gt;0,PROPER(Terbilang1(V408)&amp;" Rupiah"),0),"")</f>
        <v/>
      </c>
      <c r="X408" s="90" t="str">
        <f t="shared" si="131"/>
        <v/>
      </c>
      <c r="Y408" s="307" t="str">
        <f t="shared" si="132"/>
        <v/>
      </c>
      <c r="Z408" s="307">
        <f t="shared" si="127"/>
        <v>0</v>
      </c>
      <c r="AA408" s="366">
        <f t="shared" si="128"/>
        <v>0</v>
      </c>
      <c r="AB408" s="367">
        <f t="shared" si="133"/>
        <v>0</v>
      </c>
      <c r="AC408" s="305">
        <f t="shared" si="134"/>
        <v>0</v>
      </c>
      <c r="AP408" s="89" t="str">
        <f t="shared" si="122"/>
        <v/>
      </c>
      <c r="AQ408" s="89" t="str">
        <f t="shared" si="120"/>
        <v/>
      </c>
      <c r="AR408" s="315" t="str">
        <f t="shared" si="121"/>
        <v/>
      </c>
      <c r="AS408" s="305" t="str">
        <f t="shared" si="135"/>
        <v>0</v>
      </c>
      <c r="AT408" s="307">
        <f>Table22[[#This Row],[Column1]]</f>
        <v>0</v>
      </c>
    </row>
    <row r="409" spans="1:46" x14ac:dyDescent="0.3">
      <c r="A409" s="307">
        <f t="shared" si="129"/>
        <v>0</v>
      </c>
      <c r="B409" s="307">
        <f t="shared" si="118"/>
        <v>0</v>
      </c>
      <c r="C409" s="308" t="s">
        <v>563</v>
      </c>
      <c r="D409" s="309" t="s">
        <v>563</v>
      </c>
      <c r="E409" s="310">
        <v>0</v>
      </c>
      <c r="F409" s="310">
        <v>0</v>
      </c>
      <c r="G409" s="311">
        <v>0</v>
      </c>
      <c r="H409" s="310" t="s">
        <v>563</v>
      </c>
      <c r="I409" s="310" t="s">
        <v>563</v>
      </c>
      <c r="J409" s="310" t="s">
        <v>563</v>
      </c>
      <c r="K409" s="312">
        <v>0</v>
      </c>
      <c r="L409" s="310">
        <v>0</v>
      </c>
      <c r="M409" s="310">
        <v>0</v>
      </c>
      <c r="N409" s="313" t="s">
        <v>563</v>
      </c>
      <c r="O409" s="314" t="s">
        <v>563</v>
      </c>
      <c r="P409" s="307">
        <f t="shared" si="123"/>
        <v>0</v>
      </c>
      <c r="R409" s="91" t="str">
        <f t="shared" si="119"/>
        <v/>
      </c>
      <c r="S40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</v>
      </c>
      <c r="T409" s="307" t="str">
        <f t="shared" si="125"/>
        <v/>
      </c>
      <c r="U409" s="315" t="str">
        <f t="shared" si="126"/>
        <v/>
      </c>
      <c r="V409" s="307" t="str">
        <f>N409</f>
        <v/>
      </c>
      <c r="W409" s="307" t="str">
        <f>IFERROR(IF(V409&gt;0,PROPER(Terbilang1(V409)&amp;" Rupiah"),0),"")</f>
        <v/>
      </c>
      <c r="X409" s="90" t="str">
        <f t="shared" si="131"/>
        <v/>
      </c>
      <c r="Y409" s="307" t="str">
        <f t="shared" si="132"/>
        <v/>
      </c>
      <c r="Z409" s="307">
        <f t="shared" si="127"/>
        <v>0</v>
      </c>
      <c r="AA409" s="366">
        <f t="shared" si="128"/>
        <v>0</v>
      </c>
      <c r="AB409" s="367">
        <f t="shared" si="133"/>
        <v>0</v>
      </c>
      <c r="AC409" s="305">
        <f t="shared" si="134"/>
        <v>0</v>
      </c>
      <c r="AP409" s="89" t="str">
        <f t="shared" si="122"/>
        <v/>
      </c>
      <c r="AQ409" s="89" t="str">
        <f t="shared" si="120"/>
        <v/>
      </c>
      <c r="AR409" s="315" t="str">
        <f t="shared" si="121"/>
        <v/>
      </c>
      <c r="AS409" s="305" t="str">
        <f t="shared" si="135"/>
        <v>0</v>
      </c>
      <c r="AT409" s="307">
        <f>Table22[[#This Row],[Column1]]</f>
        <v>0</v>
      </c>
    </row>
    <row r="410" spans="1:46" x14ac:dyDescent="0.3">
      <c r="A410" s="307">
        <f t="shared" si="129"/>
        <v>0</v>
      </c>
      <c r="B410" s="307">
        <f t="shared" si="118"/>
        <v>0</v>
      </c>
      <c r="C410" s="308" t="s">
        <v>563</v>
      </c>
      <c r="D410" s="309" t="s">
        <v>563</v>
      </c>
      <c r="E410" s="310">
        <v>0</v>
      </c>
      <c r="F410" s="310">
        <v>0</v>
      </c>
      <c r="G410" s="311">
        <v>0</v>
      </c>
      <c r="H410" s="310" t="s">
        <v>563</v>
      </c>
      <c r="I410" s="310" t="s">
        <v>563</v>
      </c>
      <c r="J410" s="310" t="s">
        <v>563</v>
      </c>
      <c r="K410" s="312">
        <v>0</v>
      </c>
      <c r="L410" s="310">
        <v>0</v>
      </c>
      <c r="M410" s="310">
        <v>0</v>
      </c>
      <c r="N410" s="313" t="s">
        <v>563</v>
      </c>
      <c r="O410" s="314" t="s">
        <v>563</v>
      </c>
      <c r="P410" s="307">
        <f t="shared" si="123"/>
        <v>0</v>
      </c>
      <c r="R410" s="91" t="str">
        <f t="shared" si="119"/>
        <v/>
      </c>
      <c r="S410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</v>
      </c>
      <c r="T410" s="307" t="str">
        <f t="shared" si="125"/>
        <v/>
      </c>
      <c r="U410" s="315" t="str">
        <f t="shared" si="126"/>
        <v/>
      </c>
      <c r="V410" s="307" t="str">
        <f t="shared" si="130"/>
        <v/>
      </c>
      <c r="W410" s="307" t="str">
        <f>IFERROR(IF(V410&gt;0,PROPER(Terbilang1(V410)&amp;" Rupiah"),0),"")</f>
        <v/>
      </c>
      <c r="X410" s="90" t="str">
        <f t="shared" si="131"/>
        <v/>
      </c>
      <c r="Y410" s="307" t="str">
        <f t="shared" si="132"/>
        <v/>
      </c>
      <c r="Z410" s="307">
        <f t="shared" si="127"/>
        <v>0</v>
      </c>
      <c r="AA410" s="366">
        <f t="shared" si="128"/>
        <v>0</v>
      </c>
      <c r="AB410" s="367">
        <f t="shared" si="133"/>
        <v>0</v>
      </c>
      <c r="AC410" s="305">
        <f t="shared" si="134"/>
        <v>0</v>
      </c>
      <c r="AP410" s="89" t="str">
        <f t="shared" si="122"/>
        <v/>
      </c>
      <c r="AQ410" s="89" t="str">
        <f t="shared" si="120"/>
        <v/>
      </c>
      <c r="AR410" s="315" t="str">
        <f t="shared" si="121"/>
        <v/>
      </c>
      <c r="AS410" s="305" t="str">
        <f t="shared" si="135"/>
        <v>0</v>
      </c>
      <c r="AT410" s="307">
        <f>Table22[[#This Row],[Column1]]</f>
        <v>0</v>
      </c>
    </row>
    <row r="411" spans="1:46" x14ac:dyDescent="0.3">
      <c r="A411" s="307">
        <f t="shared" si="129"/>
        <v>0</v>
      </c>
      <c r="B411" s="307">
        <f t="shared" si="118"/>
        <v>0</v>
      </c>
      <c r="C411" s="308" t="s">
        <v>563</v>
      </c>
      <c r="D411" s="309" t="s">
        <v>563</v>
      </c>
      <c r="E411" s="310">
        <v>0</v>
      </c>
      <c r="F411" s="310">
        <v>0</v>
      </c>
      <c r="G411" s="311">
        <v>0</v>
      </c>
      <c r="H411" s="310" t="s">
        <v>563</v>
      </c>
      <c r="I411" s="310" t="s">
        <v>563</v>
      </c>
      <c r="J411" s="310" t="s">
        <v>563</v>
      </c>
      <c r="K411" s="312">
        <v>0</v>
      </c>
      <c r="L411" s="310">
        <v>0</v>
      </c>
      <c r="M411" s="310">
        <v>0</v>
      </c>
      <c r="N411" s="313" t="s">
        <v>563</v>
      </c>
      <c r="O411" s="314" t="s">
        <v>563</v>
      </c>
      <c r="P411" s="307">
        <f t="shared" si="123"/>
        <v>0</v>
      </c>
      <c r="R411" s="91" t="str">
        <f t="shared" si="119"/>
        <v/>
      </c>
      <c r="S411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</v>
      </c>
      <c r="T411" s="307" t="str">
        <f t="shared" si="125"/>
        <v/>
      </c>
      <c r="U411" s="315" t="str">
        <f t="shared" si="126"/>
        <v/>
      </c>
      <c r="V411" s="307" t="str">
        <f t="shared" si="130"/>
        <v/>
      </c>
      <c r="W411" s="307" t="str">
        <f>IFERROR(IF(V411&gt;0,PROPER(Terbilang1(V411)&amp;" Rupiah"),0),"")</f>
        <v/>
      </c>
      <c r="X411" s="90" t="str">
        <f t="shared" si="131"/>
        <v/>
      </c>
      <c r="Y411" s="307" t="str">
        <f t="shared" si="132"/>
        <v/>
      </c>
      <c r="Z411" s="307">
        <f t="shared" si="127"/>
        <v>0</v>
      </c>
      <c r="AA411" s="366">
        <f t="shared" si="128"/>
        <v>0</v>
      </c>
      <c r="AB411" s="367">
        <f t="shared" si="133"/>
        <v>0</v>
      </c>
      <c r="AC411" s="305">
        <f t="shared" si="134"/>
        <v>0</v>
      </c>
      <c r="AP411" s="89" t="str">
        <f t="shared" si="122"/>
        <v/>
      </c>
      <c r="AQ411" s="89" t="str">
        <f t="shared" si="120"/>
        <v/>
      </c>
      <c r="AR411" s="315" t="str">
        <f t="shared" si="121"/>
        <v/>
      </c>
      <c r="AS411" s="305" t="str">
        <f t="shared" si="135"/>
        <v>0</v>
      </c>
      <c r="AT411" s="307">
        <f>Table22[[#This Row],[Column1]]</f>
        <v>0</v>
      </c>
    </row>
    <row r="412" spans="1:46" x14ac:dyDescent="0.3">
      <c r="A412" s="307">
        <f t="shared" si="129"/>
        <v>0</v>
      </c>
      <c r="B412" s="307">
        <f t="shared" si="118"/>
        <v>0</v>
      </c>
      <c r="C412" s="308" t="s">
        <v>563</v>
      </c>
      <c r="D412" s="309" t="s">
        <v>563</v>
      </c>
      <c r="E412" s="310">
        <v>0</v>
      </c>
      <c r="F412" s="310">
        <v>0</v>
      </c>
      <c r="G412" s="311">
        <v>0</v>
      </c>
      <c r="H412" s="310" t="s">
        <v>563</v>
      </c>
      <c r="I412" s="310" t="s">
        <v>563</v>
      </c>
      <c r="J412" s="310" t="s">
        <v>563</v>
      </c>
      <c r="K412" s="312">
        <v>0</v>
      </c>
      <c r="L412" s="310">
        <v>0</v>
      </c>
      <c r="M412" s="310">
        <v>0</v>
      </c>
      <c r="N412" s="313" t="s">
        <v>563</v>
      </c>
      <c r="O412" s="314" t="s">
        <v>563</v>
      </c>
      <c r="P412" s="307">
        <f t="shared" si="123"/>
        <v>0</v>
      </c>
      <c r="R412" s="91" t="str">
        <f t="shared" si="119"/>
        <v/>
      </c>
      <c r="S412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</v>
      </c>
      <c r="T412" s="307" t="str">
        <f t="shared" si="125"/>
        <v/>
      </c>
      <c r="U412" s="315" t="str">
        <f t="shared" si="126"/>
        <v/>
      </c>
      <c r="V412" s="307" t="str">
        <f>N412</f>
        <v/>
      </c>
      <c r="W412" s="307" t="str">
        <f>IFERROR(IF(V412&gt;0,PROPER(Terbilang1(V412)&amp;" Rupiah"),0),"")</f>
        <v/>
      </c>
      <c r="X412" s="90" t="str">
        <f t="shared" si="131"/>
        <v/>
      </c>
      <c r="Y412" s="307" t="str">
        <f t="shared" si="132"/>
        <v/>
      </c>
      <c r="Z412" s="307">
        <f t="shared" si="127"/>
        <v>0</v>
      </c>
      <c r="AA412" s="366">
        <f t="shared" si="128"/>
        <v>0</v>
      </c>
      <c r="AB412" s="367">
        <f t="shared" si="133"/>
        <v>0</v>
      </c>
      <c r="AC412" s="305">
        <f t="shared" si="134"/>
        <v>0</v>
      </c>
      <c r="AP412" s="89" t="str">
        <f t="shared" si="122"/>
        <v/>
      </c>
      <c r="AQ412" s="89" t="str">
        <f t="shared" si="120"/>
        <v/>
      </c>
      <c r="AR412" s="315" t="str">
        <f t="shared" si="121"/>
        <v/>
      </c>
      <c r="AS412" s="305" t="str">
        <f t="shared" si="135"/>
        <v>0</v>
      </c>
      <c r="AT412" s="307">
        <f>Table22[[#This Row],[Column1]]</f>
        <v>0</v>
      </c>
    </row>
    <row r="413" spans="1:46" x14ac:dyDescent="0.3">
      <c r="A413" s="307">
        <f t="shared" si="129"/>
        <v>0</v>
      </c>
      <c r="B413" s="307">
        <f t="shared" si="118"/>
        <v>0</v>
      </c>
      <c r="C413" s="308" t="s">
        <v>563</v>
      </c>
      <c r="D413" s="309" t="s">
        <v>563</v>
      </c>
      <c r="E413" s="310">
        <v>0</v>
      </c>
      <c r="F413" s="310">
        <v>0</v>
      </c>
      <c r="G413" s="311">
        <v>0</v>
      </c>
      <c r="H413" s="310" t="s">
        <v>563</v>
      </c>
      <c r="I413" s="310" t="s">
        <v>563</v>
      </c>
      <c r="J413" s="310" t="s">
        <v>563</v>
      </c>
      <c r="K413" s="312">
        <v>0</v>
      </c>
      <c r="L413" s="310">
        <v>0</v>
      </c>
      <c r="M413" s="310">
        <v>0</v>
      </c>
      <c r="N413" s="313" t="s">
        <v>563</v>
      </c>
      <c r="O413" s="314" t="s">
        <v>563</v>
      </c>
      <c r="P413" s="307">
        <f t="shared" si="123"/>
        <v>0</v>
      </c>
      <c r="R413" s="91" t="str">
        <f t="shared" si="119"/>
        <v/>
      </c>
      <c r="S413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</v>
      </c>
      <c r="T413" s="307" t="str">
        <f t="shared" si="125"/>
        <v/>
      </c>
      <c r="U413" s="315" t="str">
        <f t="shared" si="126"/>
        <v/>
      </c>
      <c r="V413" s="307" t="str">
        <f t="shared" si="130"/>
        <v/>
      </c>
      <c r="W413" s="307" t="str">
        <f>IFERROR(IF(V413&gt;0,PROPER(Terbilang1(V413)&amp;" Rupiah"),0),"")</f>
        <v/>
      </c>
      <c r="X413" s="90" t="str">
        <f t="shared" si="131"/>
        <v/>
      </c>
      <c r="Y413" s="307" t="str">
        <f t="shared" si="132"/>
        <v/>
      </c>
      <c r="Z413" s="307">
        <f t="shared" si="127"/>
        <v>0</v>
      </c>
      <c r="AA413" s="366">
        <f t="shared" si="128"/>
        <v>0</v>
      </c>
      <c r="AB413" s="367">
        <f t="shared" si="133"/>
        <v>0</v>
      </c>
      <c r="AC413" s="305">
        <f t="shared" si="134"/>
        <v>0</v>
      </c>
      <c r="AP413" s="89" t="str">
        <f t="shared" si="122"/>
        <v/>
      </c>
      <c r="AQ413" s="89" t="str">
        <f t="shared" si="120"/>
        <v/>
      </c>
      <c r="AR413" s="315" t="str">
        <f t="shared" si="121"/>
        <v/>
      </c>
      <c r="AS413" s="305" t="str">
        <f t="shared" si="135"/>
        <v>0</v>
      </c>
      <c r="AT413" s="307">
        <f>Table22[[#This Row],[Column1]]</f>
        <v>0</v>
      </c>
    </row>
    <row r="414" spans="1:46" x14ac:dyDescent="0.3">
      <c r="A414" s="307">
        <f t="shared" si="129"/>
        <v>0</v>
      </c>
      <c r="B414" s="307">
        <f t="shared" si="118"/>
        <v>0</v>
      </c>
      <c r="C414" s="308" t="s">
        <v>563</v>
      </c>
      <c r="D414" s="309" t="s">
        <v>563</v>
      </c>
      <c r="E414" s="310">
        <v>0</v>
      </c>
      <c r="F414" s="310">
        <v>0</v>
      </c>
      <c r="G414" s="311">
        <v>0</v>
      </c>
      <c r="H414" s="310" t="s">
        <v>563</v>
      </c>
      <c r="I414" s="310" t="s">
        <v>563</v>
      </c>
      <c r="J414" s="310" t="s">
        <v>563</v>
      </c>
      <c r="K414" s="312">
        <v>0</v>
      </c>
      <c r="L414" s="310">
        <v>0</v>
      </c>
      <c r="M414" s="310">
        <v>0</v>
      </c>
      <c r="N414" s="313" t="s">
        <v>563</v>
      </c>
      <c r="O414" s="314" t="s">
        <v>563</v>
      </c>
      <c r="P414" s="307">
        <f t="shared" si="123"/>
        <v>0</v>
      </c>
      <c r="R414" s="91" t="str">
        <f t="shared" si="119"/>
        <v/>
      </c>
      <c r="S414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</v>
      </c>
      <c r="T414" s="307" t="str">
        <f t="shared" si="125"/>
        <v/>
      </c>
      <c r="U414" s="315" t="str">
        <f t="shared" si="126"/>
        <v/>
      </c>
      <c r="V414" s="307" t="str">
        <f t="shared" si="130"/>
        <v/>
      </c>
      <c r="W414" s="307" t="str">
        <f>IFERROR(IF(V414&gt;0,PROPER(Terbilang1(V414)&amp;" Rupiah"),0),"")</f>
        <v/>
      </c>
      <c r="X414" s="90" t="str">
        <f t="shared" si="131"/>
        <v/>
      </c>
      <c r="Y414" s="307" t="str">
        <f t="shared" si="132"/>
        <v/>
      </c>
      <c r="Z414" s="307">
        <f t="shared" si="127"/>
        <v>0</v>
      </c>
      <c r="AA414" s="366">
        <f t="shared" si="128"/>
        <v>0</v>
      </c>
      <c r="AB414" s="367">
        <f t="shared" si="133"/>
        <v>0</v>
      </c>
      <c r="AC414" s="305">
        <f t="shared" si="134"/>
        <v>0</v>
      </c>
      <c r="AP414" s="89" t="str">
        <f t="shared" si="122"/>
        <v/>
      </c>
      <c r="AQ414" s="89" t="str">
        <f t="shared" si="120"/>
        <v/>
      </c>
      <c r="AR414" s="315" t="str">
        <f t="shared" si="121"/>
        <v/>
      </c>
      <c r="AS414" s="305" t="str">
        <f t="shared" si="135"/>
        <v>0</v>
      </c>
      <c r="AT414" s="307">
        <f>Table22[[#This Row],[Column1]]</f>
        <v>0</v>
      </c>
    </row>
    <row r="415" spans="1:46" x14ac:dyDescent="0.3">
      <c r="A415" s="307">
        <f t="shared" si="129"/>
        <v>0</v>
      </c>
      <c r="B415" s="307">
        <f t="shared" si="118"/>
        <v>0</v>
      </c>
      <c r="C415" s="308" t="s">
        <v>563</v>
      </c>
      <c r="D415" s="309" t="s">
        <v>563</v>
      </c>
      <c r="E415" s="310">
        <v>0</v>
      </c>
      <c r="F415" s="310">
        <v>0</v>
      </c>
      <c r="G415" s="311">
        <v>0</v>
      </c>
      <c r="H415" s="310" t="s">
        <v>563</v>
      </c>
      <c r="I415" s="310" t="s">
        <v>563</v>
      </c>
      <c r="J415" s="310" t="s">
        <v>563</v>
      </c>
      <c r="K415" s="312">
        <v>0</v>
      </c>
      <c r="L415" s="310">
        <v>0</v>
      </c>
      <c r="M415" s="310">
        <v>0</v>
      </c>
      <c r="N415" s="313" t="s">
        <v>563</v>
      </c>
      <c r="O415" s="314" t="s">
        <v>563</v>
      </c>
      <c r="P415" s="307">
        <f t="shared" si="123"/>
        <v>0</v>
      </c>
      <c r="R415" s="91" t="str">
        <f t="shared" si="119"/>
        <v/>
      </c>
      <c r="S415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</v>
      </c>
      <c r="T415" s="307" t="str">
        <f t="shared" si="125"/>
        <v/>
      </c>
      <c r="U415" s="315" t="str">
        <f t="shared" si="126"/>
        <v/>
      </c>
      <c r="V415" s="307" t="str">
        <f t="shared" si="130"/>
        <v/>
      </c>
      <c r="W415" s="307" t="str">
        <f>IFERROR(IF(V415&gt;0,PROPER(Terbilang1(V415)&amp;" Rupiah"),0),"")</f>
        <v/>
      </c>
      <c r="X415" s="90" t="str">
        <f t="shared" si="131"/>
        <v/>
      </c>
      <c r="Y415" s="307" t="str">
        <f t="shared" si="132"/>
        <v/>
      </c>
      <c r="Z415" s="307">
        <f t="shared" si="127"/>
        <v>0</v>
      </c>
      <c r="AA415" s="366">
        <f t="shared" si="128"/>
        <v>0</v>
      </c>
      <c r="AB415" s="367">
        <f t="shared" si="133"/>
        <v>0</v>
      </c>
      <c r="AC415" s="305">
        <f t="shared" si="134"/>
        <v>0</v>
      </c>
      <c r="AP415" s="89" t="str">
        <f t="shared" si="122"/>
        <v/>
      </c>
      <c r="AQ415" s="89" t="str">
        <f t="shared" si="120"/>
        <v/>
      </c>
      <c r="AR415" s="315" t="str">
        <f t="shared" si="121"/>
        <v/>
      </c>
      <c r="AS415" s="305" t="str">
        <f t="shared" si="135"/>
        <v>0</v>
      </c>
      <c r="AT415" s="307">
        <f>Table22[[#This Row],[Column1]]</f>
        <v>0</v>
      </c>
    </row>
    <row r="416" spans="1:46" x14ac:dyDescent="0.3">
      <c r="A416" s="307">
        <f t="shared" si="129"/>
        <v>0</v>
      </c>
      <c r="B416" s="307">
        <f t="shared" si="118"/>
        <v>0</v>
      </c>
      <c r="C416" s="308" t="s">
        <v>563</v>
      </c>
      <c r="D416" s="309" t="s">
        <v>563</v>
      </c>
      <c r="E416" s="310">
        <v>0</v>
      </c>
      <c r="F416" s="310">
        <v>0</v>
      </c>
      <c r="G416" s="311">
        <v>0</v>
      </c>
      <c r="H416" s="310" t="s">
        <v>563</v>
      </c>
      <c r="I416" s="310" t="s">
        <v>563</v>
      </c>
      <c r="J416" s="310" t="s">
        <v>563</v>
      </c>
      <c r="K416" s="312">
        <v>0</v>
      </c>
      <c r="L416" s="310">
        <v>0</v>
      </c>
      <c r="M416" s="310">
        <v>0</v>
      </c>
      <c r="N416" s="313" t="s">
        <v>563</v>
      </c>
      <c r="O416" s="314" t="s">
        <v>563</v>
      </c>
      <c r="P416" s="307">
        <f t="shared" si="123"/>
        <v>0</v>
      </c>
      <c r="R416" s="91" t="str">
        <f t="shared" si="119"/>
        <v/>
      </c>
      <c r="S416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</v>
      </c>
      <c r="T416" s="307" t="str">
        <f t="shared" si="125"/>
        <v/>
      </c>
      <c r="U416" s="315" t="str">
        <f t="shared" si="126"/>
        <v/>
      </c>
      <c r="V416" s="307" t="str">
        <f t="shared" si="130"/>
        <v/>
      </c>
      <c r="W416" s="307" t="str">
        <f>IFERROR(IF(V416&gt;0,PROPER(Terbilang1(V416)&amp;" Rupiah"),0),"")</f>
        <v/>
      </c>
      <c r="X416" s="90" t="str">
        <f t="shared" si="131"/>
        <v/>
      </c>
      <c r="Y416" s="307" t="str">
        <f t="shared" si="132"/>
        <v/>
      </c>
      <c r="Z416" s="307">
        <f t="shared" si="127"/>
        <v>0</v>
      </c>
      <c r="AA416" s="366">
        <f t="shared" si="128"/>
        <v>0</v>
      </c>
      <c r="AB416" s="367">
        <f t="shared" si="133"/>
        <v>0</v>
      </c>
      <c r="AC416" s="305">
        <f t="shared" si="134"/>
        <v>0</v>
      </c>
      <c r="AP416" s="89" t="str">
        <f t="shared" si="122"/>
        <v/>
      </c>
      <c r="AQ416" s="89" t="str">
        <f t="shared" si="120"/>
        <v/>
      </c>
      <c r="AR416" s="315" t="str">
        <f t="shared" si="121"/>
        <v/>
      </c>
      <c r="AS416" s="305" t="str">
        <f t="shared" si="135"/>
        <v>0</v>
      </c>
      <c r="AT416" s="307">
        <f>Table22[[#This Row],[Column1]]</f>
        <v>0</v>
      </c>
    </row>
    <row r="417" spans="1:46" x14ac:dyDescent="0.3">
      <c r="A417" s="307">
        <f t="shared" si="129"/>
        <v>0</v>
      </c>
      <c r="B417" s="307">
        <f t="shared" si="118"/>
        <v>0</v>
      </c>
      <c r="C417" s="308" t="s">
        <v>563</v>
      </c>
      <c r="D417" s="309" t="s">
        <v>563</v>
      </c>
      <c r="E417" s="310">
        <v>0</v>
      </c>
      <c r="F417" s="310">
        <v>0</v>
      </c>
      <c r="G417" s="311">
        <v>0</v>
      </c>
      <c r="H417" s="310" t="s">
        <v>563</v>
      </c>
      <c r="I417" s="310" t="s">
        <v>563</v>
      </c>
      <c r="J417" s="310" t="s">
        <v>563</v>
      </c>
      <c r="K417" s="312">
        <v>0</v>
      </c>
      <c r="L417" s="310">
        <v>0</v>
      </c>
      <c r="M417" s="310">
        <v>0</v>
      </c>
      <c r="N417" s="313" t="s">
        <v>563</v>
      </c>
      <c r="O417" s="314" t="s">
        <v>563</v>
      </c>
      <c r="P417" s="307">
        <f t="shared" si="123"/>
        <v>0</v>
      </c>
      <c r="R417" s="91" t="str">
        <f t="shared" si="119"/>
        <v/>
      </c>
      <c r="S417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</v>
      </c>
      <c r="T417" s="307" t="str">
        <f t="shared" si="125"/>
        <v/>
      </c>
      <c r="U417" s="315" t="str">
        <f t="shared" si="126"/>
        <v/>
      </c>
      <c r="V417" s="307" t="str">
        <f t="shared" si="130"/>
        <v/>
      </c>
      <c r="W417" s="307" t="str">
        <f>IFERROR(IF(V417&gt;0,PROPER(Terbilang1(V417)&amp;" Rupiah"),0),"")</f>
        <v/>
      </c>
      <c r="X417" s="90" t="str">
        <f t="shared" si="131"/>
        <v/>
      </c>
      <c r="Y417" s="307" t="str">
        <f t="shared" si="132"/>
        <v/>
      </c>
      <c r="Z417" s="307">
        <f t="shared" si="127"/>
        <v>0</v>
      </c>
      <c r="AA417" s="366">
        <f t="shared" si="128"/>
        <v>0</v>
      </c>
      <c r="AB417" s="367">
        <f t="shared" si="133"/>
        <v>0</v>
      </c>
      <c r="AC417" s="305">
        <f t="shared" si="134"/>
        <v>0</v>
      </c>
      <c r="AP417" s="89" t="str">
        <f t="shared" si="122"/>
        <v/>
      </c>
      <c r="AQ417" s="89" t="str">
        <f t="shared" si="120"/>
        <v/>
      </c>
      <c r="AR417" s="315" t="str">
        <f t="shared" si="121"/>
        <v/>
      </c>
      <c r="AS417" s="305" t="str">
        <f t="shared" si="135"/>
        <v>0</v>
      </c>
      <c r="AT417" s="307">
        <f>Table22[[#This Row],[Column1]]</f>
        <v>0</v>
      </c>
    </row>
    <row r="418" spans="1:46" x14ac:dyDescent="0.3">
      <c r="A418" s="307">
        <f t="shared" si="129"/>
        <v>0</v>
      </c>
      <c r="B418" s="307">
        <f t="shared" si="118"/>
        <v>0</v>
      </c>
      <c r="C418" s="308" t="s">
        <v>563</v>
      </c>
      <c r="D418" s="309" t="s">
        <v>563</v>
      </c>
      <c r="E418" s="310">
        <v>0</v>
      </c>
      <c r="F418" s="310">
        <v>0</v>
      </c>
      <c r="G418" s="311">
        <v>0</v>
      </c>
      <c r="H418" s="310" t="s">
        <v>563</v>
      </c>
      <c r="I418" s="310" t="s">
        <v>563</v>
      </c>
      <c r="J418" s="310" t="s">
        <v>563</v>
      </c>
      <c r="K418" s="312">
        <v>0</v>
      </c>
      <c r="L418" s="310">
        <v>0</v>
      </c>
      <c r="M418" s="310">
        <v>0</v>
      </c>
      <c r="N418" s="313" t="s">
        <v>563</v>
      </c>
      <c r="O418" s="314" t="s">
        <v>563</v>
      </c>
      <c r="P418" s="307">
        <f t="shared" si="123"/>
        <v>0</v>
      </c>
      <c r="R418" s="91" t="str">
        <f t="shared" si="119"/>
        <v/>
      </c>
      <c r="S41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</v>
      </c>
      <c r="T418" s="307" t="str">
        <f t="shared" si="125"/>
        <v/>
      </c>
      <c r="U418" s="315" t="str">
        <f t="shared" si="126"/>
        <v/>
      </c>
      <c r="V418" s="307" t="str">
        <f>N418</f>
        <v/>
      </c>
      <c r="W418" s="307" t="str">
        <f>IFERROR(IF(V418&gt;0,PROPER(Terbilang1(V418)&amp;" Rupiah"),0),"")</f>
        <v/>
      </c>
      <c r="X418" s="90" t="str">
        <f t="shared" si="131"/>
        <v/>
      </c>
      <c r="Y418" s="307" t="str">
        <f t="shared" si="132"/>
        <v/>
      </c>
      <c r="Z418" s="307">
        <f t="shared" si="127"/>
        <v>0</v>
      </c>
      <c r="AA418" s="366">
        <f t="shared" si="128"/>
        <v>0</v>
      </c>
      <c r="AB418" s="367">
        <f t="shared" si="133"/>
        <v>0</v>
      </c>
      <c r="AC418" s="305">
        <f t="shared" si="134"/>
        <v>0</v>
      </c>
      <c r="AP418" s="89" t="str">
        <f t="shared" si="122"/>
        <v/>
      </c>
      <c r="AQ418" s="89" t="str">
        <f t="shared" si="120"/>
        <v/>
      </c>
      <c r="AR418" s="315" t="str">
        <f t="shared" si="121"/>
        <v/>
      </c>
      <c r="AS418" s="305" t="str">
        <f t="shared" si="135"/>
        <v>0</v>
      </c>
      <c r="AT418" s="307">
        <f>Table22[[#This Row],[Column1]]</f>
        <v>0</v>
      </c>
    </row>
    <row r="419" spans="1:46" x14ac:dyDescent="0.3">
      <c r="A419" s="307">
        <f t="shared" si="129"/>
        <v>0</v>
      </c>
      <c r="B419" s="307">
        <f t="shared" si="118"/>
        <v>0</v>
      </c>
      <c r="C419" s="308" t="s">
        <v>563</v>
      </c>
      <c r="D419" s="309" t="s">
        <v>563</v>
      </c>
      <c r="E419" s="310">
        <v>0</v>
      </c>
      <c r="F419" s="310">
        <v>0</v>
      </c>
      <c r="G419" s="311">
        <v>0</v>
      </c>
      <c r="H419" s="310" t="s">
        <v>563</v>
      </c>
      <c r="I419" s="310" t="s">
        <v>563</v>
      </c>
      <c r="J419" s="310" t="s">
        <v>563</v>
      </c>
      <c r="K419" s="312">
        <v>0</v>
      </c>
      <c r="L419" s="310">
        <v>0</v>
      </c>
      <c r="M419" s="310">
        <v>0</v>
      </c>
      <c r="N419" s="313" t="s">
        <v>563</v>
      </c>
      <c r="O419" s="314" t="s">
        <v>563</v>
      </c>
      <c r="P419" s="307">
        <f t="shared" si="123"/>
        <v>0</v>
      </c>
      <c r="R419" s="91" t="str">
        <f t="shared" si="119"/>
        <v/>
      </c>
      <c r="S41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</v>
      </c>
      <c r="T419" s="307" t="str">
        <f t="shared" si="125"/>
        <v/>
      </c>
      <c r="U419" s="315" t="str">
        <f t="shared" si="126"/>
        <v/>
      </c>
      <c r="V419" s="307" t="str">
        <f t="shared" si="130"/>
        <v/>
      </c>
      <c r="W419" s="307" t="str">
        <f>IFERROR(IF(V419&gt;0,PROPER(Terbilang1(V419)&amp;" Rupiah"),0),"")</f>
        <v/>
      </c>
      <c r="X419" s="90" t="str">
        <f t="shared" si="131"/>
        <v/>
      </c>
      <c r="Y419" s="307" t="str">
        <f t="shared" si="132"/>
        <v/>
      </c>
      <c r="Z419" s="307">
        <f t="shared" si="127"/>
        <v>0</v>
      </c>
      <c r="AA419" s="366">
        <f t="shared" si="128"/>
        <v>0</v>
      </c>
      <c r="AB419" s="367">
        <f t="shared" si="133"/>
        <v>0</v>
      </c>
      <c r="AC419" s="305">
        <f t="shared" si="134"/>
        <v>0</v>
      </c>
      <c r="AP419" s="89" t="str">
        <f t="shared" si="122"/>
        <v/>
      </c>
      <c r="AQ419" s="89" t="str">
        <f t="shared" si="120"/>
        <v/>
      </c>
      <c r="AR419" s="315" t="str">
        <f t="shared" si="121"/>
        <v/>
      </c>
      <c r="AS419" s="305" t="str">
        <f t="shared" si="135"/>
        <v>0</v>
      </c>
      <c r="AT419" s="307">
        <f>Table22[[#This Row],[Column1]]</f>
        <v>0</v>
      </c>
    </row>
    <row r="420" spans="1:46" x14ac:dyDescent="0.3">
      <c r="A420" s="307">
        <f t="shared" si="129"/>
        <v>0</v>
      </c>
      <c r="B420" s="307">
        <f t="shared" si="118"/>
        <v>0</v>
      </c>
      <c r="C420" s="308" t="s">
        <v>563</v>
      </c>
      <c r="D420" s="309" t="s">
        <v>563</v>
      </c>
      <c r="E420" s="310">
        <v>0</v>
      </c>
      <c r="F420" s="310">
        <v>0</v>
      </c>
      <c r="G420" s="311">
        <v>0</v>
      </c>
      <c r="H420" s="310" t="s">
        <v>563</v>
      </c>
      <c r="I420" s="310" t="s">
        <v>563</v>
      </c>
      <c r="J420" s="310" t="s">
        <v>563</v>
      </c>
      <c r="K420" s="312">
        <v>0</v>
      </c>
      <c r="L420" s="310">
        <v>0</v>
      </c>
      <c r="M420" s="310">
        <v>0</v>
      </c>
      <c r="N420" s="313" t="s">
        <v>563</v>
      </c>
      <c r="O420" s="314" t="s">
        <v>563</v>
      </c>
      <c r="P420" s="307">
        <f t="shared" si="123"/>
        <v>0</v>
      </c>
      <c r="R420" s="91" t="str">
        <f t="shared" si="119"/>
        <v/>
      </c>
      <c r="S420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</v>
      </c>
      <c r="T420" s="307" t="str">
        <f t="shared" si="125"/>
        <v/>
      </c>
      <c r="U420" s="315" t="str">
        <f t="shared" si="126"/>
        <v/>
      </c>
      <c r="V420" s="307" t="str">
        <f t="shared" si="130"/>
        <v/>
      </c>
      <c r="W420" s="307" t="str">
        <f>IFERROR(IF(V420&gt;0,PROPER(Terbilang1(V420)&amp;" Rupiah"),0),"")</f>
        <v/>
      </c>
      <c r="X420" s="90" t="str">
        <f t="shared" si="131"/>
        <v/>
      </c>
      <c r="Y420" s="307" t="str">
        <f t="shared" si="132"/>
        <v/>
      </c>
      <c r="Z420" s="307">
        <f t="shared" si="127"/>
        <v>0</v>
      </c>
      <c r="AA420" s="366">
        <f t="shared" si="128"/>
        <v>0</v>
      </c>
      <c r="AB420" s="367">
        <f t="shared" si="133"/>
        <v>0</v>
      </c>
      <c r="AC420" s="305">
        <f t="shared" si="134"/>
        <v>0</v>
      </c>
      <c r="AP420" s="89" t="str">
        <f t="shared" si="122"/>
        <v/>
      </c>
      <c r="AQ420" s="89" t="str">
        <f t="shared" si="120"/>
        <v/>
      </c>
      <c r="AR420" s="315" t="str">
        <f t="shared" si="121"/>
        <v/>
      </c>
      <c r="AS420" s="305" t="str">
        <f t="shared" si="135"/>
        <v>0</v>
      </c>
      <c r="AT420" s="307">
        <f>Table22[[#This Row],[Column1]]</f>
        <v>0</v>
      </c>
    </row>
    <row r="421" spans="1:46" x14ac:dyDescent="0.3">
      <c r="A421" s="307">
        <f t="shared" si="129"/>
        <v>0</v>
      </c>
      <c r="B421" s="307">
        <f t="shared" ref="B421:B484" si="136">IF(LEFT(F421,2)="MA","Jasa",IF(LEFT(F421,1)="G","Bayar Ongkos",IF(LEFT(F421,1)="M","Beli",0)))</f>
        <v>0</v>
      </c>
      <c r="C421" s="308" t="s">
        <v>563</v>
      </c>
      <c r="D421" s="309" t="s">
        <v>563</v>
      </c>
      <c r="E421" s="310">
        <v>0</v>
      </c>
      <c r="F421" s="310">
        <v>0</v>
      </c>
      <c r="G421" s="311">
        <v>0</v>
      </c>
      <c r="H421" s="310" t="s">
        <v>563</v>
      </c>
      <c r="I421" s="310" t="s">
        <v>563</v>
      </c>
      <c r="J421" s="310" t="s">
        <v>563</v>
      </c>
      <c r="K421" s="312">
        <v>0</v>
      </c>
      <c r="L421" s="310">
        <v>0</v>
      </c>
      <c r="M421" s="310">
        <v>0</v>
      </c>
      <c r="N421" s="313" t="s">
        <v>563</v>
      </c>
      <c r="O421" s="314" t="s">
        <v>563</v>
      </c>
      <c r="P421" s="307">
        <f t="shared" si="123"/>
        <v>0</v>
      </c>
      <c r="R421" s="91" t="str">
        <f t="shared" ref="R421:R484" si="137">IF(LEFT(F421,2)="ma",F421,IF(LEFT(F421,1)="m",E421,IF(LEFT(F421,1)="b",E421,IF(LEFT(F421,1)="G",F421,""))))</f>
        <v/>
      </c>
      <c r="S421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</v>
      </c>
      <c r="T421" s="307" t="str">
        <f t="shared" si="125"/>
        <v/>
      </c>
      <c r="U421" s="315" t="str">
        <f t="shared" si="126"/>
        <v/>
      </c>
      <c r="V421" s="307" t="str">
        <f>N421</f>
        <v/>
      </c>
      <c r="W421" s="307" t="str">
        <f>IFERROR(IF(V421&gt;0,PROPER(Terbilang1(V421)&amp;" Rupiah"),0),"")</f>
        <v/>
      </c>
      <c r="X421" s="90" t="str">
        <f t="shared" si="131"/>
        <v/>
      </c>
      <c r="Y421" s="307" t="str">
        <f t="shared" si="132"/>
        <v/>
      </c>
      <c r="Z421" s="307">
        <f t="shared" si="127"/>
        <v>0</v>
      </c>
      <c r="AA421" s="366">
        <f t="shared" si="128"/>
        <v>0</v>
      </c>
      <c r="AB421" s="367">
        <f t="shared" si="133"/>
        <v>0</v>
      </c>
      <c r="AC421" s="305">
        <f t="shared" si="134"/>
        <v>0</v>
      </c>
      <c r="AP421" s="89" t="str">
        <f t="shared" si="122"/>
        <v/>
      </c>
      <c r="AQ421" s="89" t="str">
        <f t="shared" si="120"/>
        <v/>
      </c>
      <c r="AR421" s="315" t="str">
        <f t="shared" si="121"/>
        <v/>
      </c>
      <c r="AS421" s="305" t="str">
        <f t="shared" si="135"/>
        <v>0</v>
      </c>
      <c r="AT421" s="307">
        <f>Table22[[#This Row],[Column1]]</f>
        <v>0</v>
      </c>
    </row>
    <row r="422" spans="1:46" x14ac:dyDescent="0.3">
      <c r="A422" s="307">
        <f t="shared" si="129"/>
        <v>0</v>
      </c>
      <c r="B422" s="307">
        <f t="shared" si="136"/>
        <v>0</v>
      </c>
      <c r="C422" s="308" t="s">
        <v>563</v>
      </c>
      <c r="D422" s="309" t="s">
        <v>563</v>
      </c>
      <c r="E422" s="310">
        <v>0</v>
      </c>
      <c r="F422" s="310">
        <v>0</v>
      </c>
      <c r="G422" s="311">
        <v>0</v>
      </c>
      <c r="H422" s="310" t="s">
        <v>563</v>
      </c>
      <c r="I422" s="310" t="s">
        <v>563</v>
      </c>
      <c r="J422" s="310" t="s">
        <v>563</v>
      </c>
      <c r="K422" s="312">
        <v>0</v>
      </c>
      <c r="L422" s="310">
        <v>0</v>
      </c>
      <c r="M422" s="310">
        <v>0</v>
      </c>
      <c r="N422" s="313" t="s">
        <v>563</v>
      </c>
      <c r="O422" s="314" t="s">
        <v>563</v>
      </c>
      <c r="P422" s="307">
        <f t="shared" si="123"/>
        <v>0</v>
      </c>
      <c r="R422" s="91" t="str">
        <f t="shared" si="137"/>
        <v/>
      </c>
      <c r="S422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</v>
      </c>
      <c r="T422" s="307" t="str">
        <f t="shared" si="125"/>
        <v/>
      </c>
      <c r="U422" s="315" t="str">
        <f t="shared" si="126"/>
        <v/>
      </c>
      <c r="V422" s="307" t="str">
        <f>N422</f>
        <v/>
      </c>
      <c r="W422" s="307" t="str">
        <f>IFERROR(IF(V422&gt;0,PROPER(Terbilang1(V422)&amp;" Rupiah"),0),"")</f>
        <v/>
      </c>
      <c r="X422" s="90" t="str">
        <f t="shared" si="131"/>
        <v/>
      </c>
      <c r="Y422" s="307" t="str">
        <f t="shared" si="132"/>
        <v/>
      </c>
      <c r="Z422" s="307">
        <f t="shared" si="127"/>
        <v>0</v>
      </c>
      <c r="AA422" s="366">
        <f t="shared" si="128"/>
        <v>0</v>
      </c>
      <c r="AB422" s="367">
        <f t="shared" si="133"/>
        <v>0</v>
      </c>
      <c r="AC422" s="305">
        <f t="shared" si="134"/>
        <v>0</v>
      </c>
      <c r="AP422" s="89" t="str">
        <f t="shared" si="122"/>
        <v/>
      </c>
      <c r="AQ422" s="89" t="str">
        <f t="shared" si="120"/>
        <v/>
      </c>
      <c r="AR422" s="315" t="str">
        <f t="shared" si="121"/>
        <v/>
      </c>
      <c r="AS422" s="305" t="str">
        <f t="shared" si="135"/>
        <v>0</v>
      </c>
      <c r="AT422" s="307">
        <f>Table22[[#This Row],[Column1]]</f>
        <v>0</v>
      </c>
    </row>
    <row r="423" spans="1:46" x14ac:dyDescent="0.3">
      <c r="A423" s="307">
        <f t="shared" si="129"/>
        <v>0</v>
      </c>
      <c r="B423" s="307">
        <f t="shared" si="136"/>
        <v>0</v>
      </c>
      <c r="C423" s="308" t="s">
        <v>563</v>
      </c>
      <c r="D423" s="309" t="s">
        <v>563</v>
      </c>
      <c r="E423" s="310">
        <v>0</v>
      </c>
      <c r="F423" s="310">
        <v>0</v>
      </c>
      <c r="G423" s="311">
        <v>0</v>
      </c>
      <c r="H423" s="310" t="s">
        <v>563</v>
      </c>
      <c r="I423" s="310" t="s">
        <v>563</v>
      </c>
      <c r="J423" s="310" t="s">
        <v>563</v>
      </c>
      <c r="K423" s="312">
        <v>0</v>
      </c>
      <c r="L423" s="310">
        <v>0</v>
      </c>
      <c r="M423" s="310">
        <v>0</v>
      </c>
      <c r="N423" s="313" t="s">
        <v>563</v>
      </c>
      <c r="O423" s="314" t="s">
        <v>563</v>
      </c>
      <c r="P423" s="307">
        <f t="shared" si="123"/>
        <v>0</v>
      </c>
      <c r="R423" s="91" t="str">
        <f t="shared" si="137"/>
        <v/>
      </c>
      <c r="S423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</v>
      </c>
      <c r="T423" s="307" t="str">
        <f t="shared" si="125"/>
        <v/>
      </c>
      <c r="U423" s="315" t="str">
        <f t="shared" si="126"/>
        <v/>
      </c>
      <c r="V423" s="307" t="str">
        <f t="shared" si="130"/>
        <v/>
      </c>
      <c r="W423" s="307" t="str">
        <f>IFERROR(IF(V423&gt;0,PROPER(Terbilang1(V423)&amp;" Rupiah"),0),"")</f>
        <v/>
      </c>
      <c r="X423" s="90" t="str">
        <f t="shared" si="131"/>
        <v/>
      </c>
      <c r="Y423" s="307" t="str">
        <f t="shared" si="132"/>
        <v/>
      </c>
      <c r="Z423" s="307">
        <f t="shared" si="127"/>
        <v>0</v>
      </c>
      <c r="AA423" s="366">
        <f t="shared" si="128"/>
        <v>0</v>
      </c>
      <c r="AB423" s="367">
        <f t="shared" si="133"/>
        <v>0</v>
      </c>
      <c r="AC423" s="305">
        <f t="shared" si="134"/>
        <v>0</v>
      </c>
      <c r="AP423" s="89" t="str">
        <f t="shared" si="122"/>
        <v/>
      </c>
      <c r="AQ423" s="89" t="str">
        <f t="shared" si="120"/>
        <v/>
      </c>
      <c r="AR423" s="315" t="str">
        <f t="shared" si="121"/>
        <v/>
      </c>
      <c r="AS423" s="305" t="str">
        <f t="shared" si="135"/>
        <v>0</v>
      </c>
      <c r="AT423" s="307">
        <f>Table22[[#This Row],[Column1]]</f>
        <v>0</v>
      </c>
    </row>
    <row r="424" spans="1:46" x14ac:dyDescent="0.3">
      <c r="A424" s="307">
        <f t="shared" si="129"/>
        <v>0</v>
      </c>
      <c r="B424" s="307">
        <f t="shared" si="136"/>
        <v>0</v>
      </c>
      <c r="C424" s="308" t="s">
        <v>563</v>
      </c>
      <c r="D424" s="309" t="s">
        <v>563</v>
      </c>
      <c r="E424" s="310">
        <v>0</v>
      </c>
      <c r="F424" s="310">
        <v>0</v>
      </c>
      <c r="G424" s="311">
        <v>0</v>
      </c>
      <c r="H424" s="310" t="s">
        <v>563</v>
      </c>
      <c r="I424" s="310" t="s">
        <v>563</v>
      </c>
      <c r="J424" s="310" t="s">
        <v>563</v>
      </c>
      <c r="K424" s="312">
        <v>0</v>
      </c>
      <c r="L424" s="310">
        <v>0</v>
      </c>
      <c r="M424" s="310">
        <v>0</v>
      </c>
      <c r="N424" s="313" t="s">
        <v>563</v>
      </c>
      <c r="O424" s="314" t="s">
        <v>563</v>
      </c>
      <c r="P424" s="307">
        <f t="shared" si="123"/>
        <v>0</v>
      </c>
      <c r="R424" s="91" t="str">
        <f t="shared" si="137"/>
        <v/>
      </c>
      <c r="S424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</v>
      </c>
      <c r="T424" s="307" t="str">
        <f t="shared" si="125"/>
        <v/>
      </c>
      <c r="U424" s="315" t="str">
        <f t="shared" si="126"/>
        <v/>
      </c>
      <c r="V424" s="307" t="str">
        <f t="shared" si="130"/>
        <v/>
      </c>
      <c r="W424" s="307" t="str">
        <f>IFERROR(IF(V424&gt;0,PROPER(Terbilang1(V424)&amp;" Rupiah"),0),"")</f>
        <v/>
      </c>
      <c r="X424" s="90" t="str">
        <f t="shared" si="131"/>
        <v/>
      </c>
      <c r="Y424" s="307" t="str">
        <f t="shared" si="132"/>
        <v/>
      </c>
      <c r="Z424" s="307">
        <f t="shared" si="127"/>
        <v>0</v>
      </c>
      <c r="AA424" s="366">
        <f t="shared" si="128"/>
        <v>0</v>
      </c>
      <c r="AB424" s="367">
        <f t="shared" si="133"/>
        <v>0</v>
      </c>
      <c r="AC424" s="305">
        <f t="shared" si="134"/>
        <v>0</v>
      </c>
      <c r="AP424" s="89" t="str">
        <f t="shared" si="122"/>
        <v/>
      </c>
      <c r="AQ424" s="89" t="str">
        <f t="shared" ref="AQ424:AQ487" si="138">TEXT(AR424,"MM")</f>
        <v/>
      </c>
      <c r="AR424" s="315" t="str">
        <f t="shared" si="121"/>
        <v/>
      </c>
      <c r="AS424" s="305" t="str">
        <f t="shared" si="135"/>
        <v>0</v>
      </c>
      <c r="AT424" s="307">
        <f>Table22[[#This Row],[Column1]]</f>
        <v>0</v>
      </c>
    </row>
    <row r="425" spans="1:46" x14ac:dyDescent="0.3">
      <c r="A425" s="307">
        <f t="shared" si="129"/>
        <v>0</v>
      </c>
      <c r="B425" s="307">
        <f t="shared" si="136"/>
        <v>0</v>
      </c>
      <c r="C425" s="308" t="s">
        <v>563</v>
      </c>
      <c r="D425" s="309" t="s">
        <v>563</v>
      </c>
      <c r="E425" s="310">
        <v>0</v>
      </c>
      <c r="F425" s="310">
        <v>0</v>
      </c>
      <c r="G425" s="311">
        <v>0</v>
      </c>
      <c r="H425" s="310" t="s">
        <v>563</v>
      </c>
      <c r="I425" s="310" t="s">
        <v>563</v>
      </c>
      <c r="J425" s="310" t="s">
        <v>563</v>
      </c>
      <c r="K425" s="312">
        <v>0</v>
      </c>
      <c r="L425" s="310">
        <v>0</v>
      </c>
      <c r="M425" s="310">
        <v>0</v>
      </c>
      <c r="N425" s="313" t="s">
        <v>563</v>
      </c>
      <c r="O425" s="314" t="s">
        <v>563</v>
      </c>
      <c r="P425" s="307">
        <f t="shared" si="123"/>
        <v>0</v>
      </c>
      <c r="R425" s="91" t="str">
        <f t="shared" si="137"/>
        <v/>
      </c>
      <c r="S425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</v>
      </c>
      <c r="T425" s="307" t="str">
        <f t="shared" si="125"/>
        <v/>
      </c>
      <c r="U425" s="315" t="str">
        <f t="shared" si="126"/>
        <v/>
      </c>
      <c r="V425" s="307" t="str">
        <f t="shared" si="130"/>
        <v/>
      </c>
      <c r="W425" s="307" t="str">
        <f>IFERROR(IF(V425&gt;0,PROPER(Terbilang1(V425)&amp;" Rupiah"),0),"")</f>
        <v/>
      </c>
      <c r="X425" s="90" t="str">
        <f t="shared" si="131"/>
        <v/>
      </c>
      <c r="Y425" s="307" t="str">
        <f t="shared" si="132"/>
        <v/>
      </c>
      <c r="Z425" s="307">
        <f t="shared" si="127"/>
        <v>0</v>
      </c>
      <c r="AA425" s="366">
        <f t="shared" si="128"/>
        <v>0</v>
      </c>
      <c r="AB425" s="367">
        <f t="shared" si="133"/>
        <v>0</v>
      </c>
      <c r="AC425" s="305">
        <f t="shared" si="134"/>
        <v>0</v>
      </c>
      <c r="AP425" s="89" t="str">
        <f t="shared" si="122"/>
        <v/>
      </c>
      <c r="AQ425" s="89" t="str">
        <f t="shared" si="138"/>
        <v/>
      </c>
      <c r="AR425" s="315" t="str">
        <f t="shared" si="121"/>
        <v/>
      </c>
      <c r="AS425" s="305" t="str">
        <f t="shared" si="135"/>
        <v>0</v>
      </c>
      <c r="AT425" s="307">
        <f>Table22[[#This Row],[Column1]]</f>
        <v>0</v>
      </c>
    </row>
    <row r="426" spans="1:46" x14ac:dyDescent="0.3">
      <c r="A426" s="307">
        <f t="shared" si="129"/>
        <v>0</v>
      </c>
      <c r="B426" s="307">
        <f t="shared" si="136"/>
        <v>0</v>
      </c>
      <c r="C426" s="308" t="s">
        <v>563</v>
      </c>
      <c r="D426" s="309" t="s">
        <v>563</v>
      </c>
      <c r="E426" s="310">
        <v>0</v>
      </c>
      <c r="F426" s="310">
        <v>0</v>
      </c>
      <c r="G426" s="311">
        <v>0</v>
      </c>
      <c r="H426" s="310" t="s">
        <v>563</v>
      </c>
      <c r="I426" s="310" t="s">
        <v>563</v>
      </c>
      <c r="J426" s="310" t="s">
        <v>563</v>
      </c>
      <c r="K426" s="312">
        <v>0</v>
      </c>
      <c r="L426" s="310">
        <v>0</v>
      </c>
      <c r="M426" s="310">
        <v>0</v>
      </c>
      <c r="N426" s="313" t="s">
        <v>563</v>
      </c>
      <c r="O426" s="314" t="s">
        <v>563</v>
      </c>
      <c r="P426" s="307">
        <f t="shared" si="123"/>
        <v>0</v>
      </c>
      <c r="R426" s="91" t="str">
        <f t="shared" si="137"/>
        <v/>
      </c>
      <c r="S426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</v>
      </c>
      <c r="T426" s="307" t="str">
        <f t="shared" si="125"/>
        <v/>
      </c>
      <c r="U426" s="315" t="str">
        <f t="shared" si="126"/>
        <v/>
      </c>
      <c r="V426" s="307" t="str">
        <f>N426</f>
        <v/>
      </c>
      <c r="W426" s="307" t="str">
        <f>IFERROR(IF(V426&gt;0,PROPER(Terbilang1(V426)&amp;" Rupiah"),0),"")</f>
        <v/>
      </c>
      <c r="X426" s="90" t="str">
        <f t="shared" si="131"/>
        <v/>
      </c>
      <c r="Y426" s="307" t="str">
        <f t="shared" si="132"/>
        <v/>
      </c>
      <c r="Z426" s="307">
        <f t="shared" si="127"/>
        <v>0</v>
      </c>
      <c r="AA426" s="366">
        <f t="shared" si="128"/>
        <v>0</v>
      </c>
      <c r="AB426" s="367">
        <f t="shared" si="133"/>
        <v>0</v>
      </c>
      <c r="AC426" s="305">
        <f t="shared" si="134"/>
        <v>0</v>
      </c>
      <c r="AP426" s="89" t="str">
        <f t="shared" si="122"/>
        <v/>
      </c>
      <c r="AQ426" s="89" t="str">
        <f t="shared" si="138"/>
        <v/>
      </c>
      <c r="AR426" s="315" t="str">
        <f t="shared" si="121"/>
        <v/>
      </c>
      <c r="AS426" s="305" t="str">
        <f t="shared" si="135"/>
        <v>0</v>
      </c>
      <c r="AT426" s="307">
        <f>Table22[[#This Row],[Column1]]</f>
        <v>0</v>
      </c>
    </row>
    <row r="427" spans="1:46" x14ac:dyDescent="0.3">
      <c r="A427" s="307">
        <f t="shared" si="129"/>
        <v>0</v>
      </c>
      <c r="B427" s="307">
        <f t="shared" si="136"/>
        <v>0</v>
      </c>
      <c r="C427" s="308" t="s">
        <v>563</v>
      </c>
      <c r="D427" s="309" t="s">
        <v>563</v>
      </c>
      <c r="E427" s="310">
        <v>0</v>
      </c>
      <c r="F427" s="310">
        <v>0</v>
      </c>
      <c r="G427" s="311">
        <v>0</v>
      </c>
      <c r="H427" s="310" t="s">
        <v>563</v>
      </c>
      <c r="I427" s="310" t="s">
        <v>563</v>
      </c>
      <c r="J427" s="310" t="s">
        <v>563</v>
      </c>
      <c r="K427" s="312">
        <v>0</v>
      </c>
      <c r="L427" s="310">
        <v>0</v>
      </c>
      <c r="M427" s="310">
        <v>0</v>
      </c>
      <c r="N427" s="313" t="s">
        <v>563</v>
      </c>
      <c r="O427" s="314" t="s">
        <v>563</v>
      </c>
      <c r="P427" s="307">
        <f t="shared" si="123"/>
        <v>0</v>
      </c>
      <c r="R427" s="91" t="str">
        <f t="shared" si="137"/>
        <v/>
      </c>
      <c r="S427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</v>
      </c>
      <c r="T427" s="307" t="str">
        <f t="shared" si="125"/>
        <v/>
      </c>
      <c r="U427" s="315" t="str">
        <f t="shared" si="126"/>
        <v/>
      </c>
      <c r="V427" s="307" t="str">
        <f>N427</f>
        <v/>
      </c>
      <c r="W427" s="307" t="str">
        <f>IFERROR(IF(V427&gt;0,PROPER(Terbilang1(V427)&amp;" Rupiah"),0),"")</f>
        <v/>
      </c>
      <c r="X427" s="90" t="str">
        <f t="shared" si="131"/>
        <v/>
      </c>
      <c r="Y427" s="307" t="str">
        <f t="shared" si="132"/>
        <v/>
      </c>
      <c r="Z427" s="307">
        <f t="shared" si="127"/>
        <v>0</v>
      </c>
      <c r="AA427" s="366">
        <f t="shared" si="128"/>
        <v>0</v>
      </c>
      <c r="AB427" s="367">
        <f t="shared" si="133"/>
        <v>0</v>
      </c>
      <c r="AC427" s="305">
        <f t="shared" si="134"/>
        <v>0</v>
      </c>
      <c r="AP427" s="89" t="str">
        <f t="shared" si="122"/>
        <v/>
      </c>
      <c r="AQ427" s="89" t="str">
        <f t="shared" si="138"/>
        <v/>
      </c>
      <c r="AR427" s="315" t="str">
        <f t="shared" si="121"/>
        <v/>
      </c>
      <c r="AS427" s="305" t="str">
        <f t="shared" si="135"/>
        <v>0</v>
      </c>
      <c r="AT427" s="307">
        <f>Table22[[#This Row],[Column1]]</f>
        <v>0</v>
      </c>
    </row>
    <row r="428" spans="1:46" x14ac:dyDescent="0.3">
      <c r="A428" s="307">
        <f t="shared" si="129"/>
        <v>0</v>
      </c>
      <c r="B428" s="307">
        <f t="shared" si="136"/>
        <v>0</v>
      </c>
      <c r="C428" s="308" t="s">
        <v>563</v>
      </c>
      <c r="D428" s="309" t="s">
        <v>563</v>
      </c>
      <c r="E428" s="310">
        <v>0</v>
      </c>
      <c r="F428" s="310">
        <v>0</v>
      </c>
      <c r="G428" s="311">
        <v>0</v>
      </c>
      <c r="H428" s="310" t="s">
        <v>563</v>
      </c>
      <c r="I428" s="310" t="s">
        <v>563</v>
      </c>
      <c r="J428" s="310" t="s">
        <v>563</v>
      </c>
      <c r="K428" s="312">
        <v>0</v>
      </c>
      <c r="L428" s="310">
        <v>0</v>
      </c>
      <c r="M428" s="310">
        <v>0</v>
      </c>
      <c r="N428" s="313" t="s">
        <v>563</v>
      </c>
      <c r="O428" s="314" t="s">
        <v>563</v>
      </c>
      <c r="P428" s="307">
        <f t="shared" si="123"/>
        <v>0</v>
      </c>
      <c r="R428" s="91" t="str">
        <f t="shared" si="137"/>
        <v/>
      </c>
      <c r="S42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</v>
      </c>
      <c r="T428" s="307" t="str">
        <f t="shared" si="125"/>
        <v/>
      </c>
      <c r="U428" s="315" t="str">
        <f t="shared" si="126"/>
        <v/>
      </c>
      <c r="V428" s="307" t="str">
        <f t="shared" si="130"/>
        <v/>
      </c>
      <c r="W428" s="307" t="str">
        <f>IFERROR(IF(V428&gt;0,PROPER(Terbilang1(V428)&amp;" Rupiah"),0),"")</f>
        <v/>
      </c>
      <c r="X428" s="90" t="str">
        <f t="shared" si="131"/>
        <v/>
      </c>
      <c r="Y428" s="307" t="str">
        <f t="shared" si="132"/>
        <v/>
      </c>
      <c r="Z428" s="307">
        <f t="shared" si="127"/>
        <v>0</v>
      </c>
      <c r="AA428" s="366">
        <f t="shared" si="128"/>
        <v>0</v>
      </c>
      <c r="AB428" s="367">
        <f t="shared" si="133"/>
        <v>0</v>
      </c>
      <c r="AC428" s="305">
        <f t="shared" si="134"/>
        <v>0</v>
      </c>
      <c r="AP428" s="89" t="str">
        <f t="shared" si="122"/>
        <v/>
      </c>
      <c r="AQ428" s="89" t="str">
        <f t="shared" si="138"/>
        <v/>
      </c>
      <c r="AR428" s="315" t="str">
        <f t="shared" si="121"/>
        <v/>
      </c>
      <c r="AS428" s="305" t="str">
        <f t="shared" si="135"/>
        <v>0</v>
      </c>
      <c r="AT428" s="307">
        <f>Table22[[#This Row],[Column1]]</f>
        <v>0</v>
      </c>
    </row>
    <row r="429" spans="1:46" x14ac:dyDescent="0.3">
      <c r="A429" s="307">
        <f t="shared" si="129"/>
        <v>0</v>
      </c>
      <c r="B429" s="307">
        <f t="shared" si="136"/>
        <v>0</v>
      </c>
      <c r="C429" s="308" t="s">
        <v>563</v>
      </c>
      <c r="D429" s="309" t="s">
        <v>563</v>
      </c>
      <c r="E429" s="310">
        <v>0</v>
      </c>
      <c r="F429" s="310">
        <v>0</v>
      </c>
      <c r="G429" s="311">
        <v>0</v>
      </c>
      <c r="H429" s="310" t="s">
        <v>563</v>
      </c>
      <c r="I429" s="310" t="s">
        <v>563</v>
      </c>
      <c r="J429" s="310" t="s">
        <v>563</v>
      </c>
      <c r="K429" s="312">
        <v>0</v>
      </c>
      <c r="L429" s="310">
        <v>0</v>
      </c>
      <c r="M429" s="310">
        <v>0</v>
      </c>
      <c r="N429" s="313" t="s">
        <v>563</v>
      </c>
      <c r="O429" s="314" t="s">
        <v>563</v>
      </c>
      <c r="P429" s="307">
        <f t="shared" si="123"/>
        <v>0</v>
      </c>
      <c r="R429" s="91" t="str">
        <f t="shared" si="137"/>
        <v/>
      </c>
      <c r="S42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</v>
      </c>
      <c r="T429" s="307" t="str">
        <f t="shared" si="125"/>
        <v/>
      </c>
      <c r="U429" s="315" t="str">
        <f t="shared" si="126"/>
        <v/>
      </c>
      <c r="V429" s="307" t="str">
        <f t="shared" si="130"/>
        <v/>
      </c>
      <c r="W429" s="307" t="str">
        <f>IFERROR(IF(V429&gt;0,PROPER(Terbilang1(V429)&amp;" Rupiah"),0),"")</f>
        <v/>
      </c>
      <c r="X429" s="90" t="str">
        <f t="shared" si="131"/>
        <v/>
      </c>
      <c r="Y429" s="307" t="str">
        <f t="shared" si="132"/>
        <v/>
      </c>
      <c r="Z429" s="307">
        <f t="shared" si="127"/>
        <v>0</v>
      </c>
      <c r="AA429" s="366">
        <f t="shared" si="128"/>
        <v>0</v>
      </c>
      <c r="AB429" s="367">
        <f t="shared" si="133"/>
        <v>0</v>
      </c>
      <c r="AC429" s="305">
        <f t="shared" si="134"/>
        <v>0</v>
      </c>
      <c r="AP429" s="89" t="str">
        <f t="shared" si="122"/>
        <v/>
      </c>
      <c r="AQ429" s="89" t="str">
        <f t="shared" si="138"/>
        <v/>
      </c>
      <c r="AR429" s="315" t="str">
        <f t="shared" si="121"/>
        <v/>
      </c>
      <c r="AS429" s="305" t="str">
        <f t="shared" si="135"/>
        <v>0</v>
      </c>
      <c r="AT429" s="307">
        <f>Table22[[#This Row],[Column1]]</f>
        <v>0</v>
      </c>
    </row>
    <row r="430" spans="1:46" x14ac:dyDescent="0.3">
      <c r="A430" s="307">
        <f t="shared" si="129"/>
        <v>0</v>
      </c>
      <c r="B430" s="307">
        <f t="shared" si="136"/>
        <v>0</v>
      </c>
      <c r="C430" s="308" t="s">
        <v>563</v>
      </c>
      <c r="D430" s="309" t="s">
        <v>563</v>
      </c>
      <c r="E430" s="310">
        <v>0</v>
      </c>
      <c r="F430" s="310">
        <v>0</v>
      </c>
      <c r="G430" s="311">
        <v>0</v>
      </c>
      <c r="H430" s="310" t="s">
        <v>563</v>
      </c>
      <c r="I430" s="310" t="s">
        <v>563</v>
      </c>
      <c r="J430" s="310" t="s">
        <v>563</v>
      </c>
      <c r="K430" s="312">
        <v>0</v>
      </c>
      <c r="L430" s="310">
        <v>0</v>
      </c>
      <c r="M430" s="310">
        <v>0</v>
      </c>
      <c r="N430" s="313" t="s">
        <v>563</v>
      </c>
      <c r="O430" s="314" t="s">
        <v>563</v>
      </c>
      <c r="P430" s="307">
        <f t="shared" si="123"/>
        <v>0</v>
      </c>
      <c r="R430" s="91" t="str">
        <f t="shared" si="137"/>
        <v/>
      </c>
      <c r="S430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</v>
      </c>
      <c r="T430" s="307" t="str">
        <f t="shared" si="125"/>
        <v/>
      </c>
      <c r="U430" s="315" t="str">
        <f t="shared" si="126"/>
        <v/>
      </c>
      <c r="V430" s="307" t="str">
        <f t="shared" si="130"/>
        <v/>
      </c>
      <c r="W430" s="307" t="str">
        <f>IFERROR(IF(V430&gt;0,PROPER(Terbilang1(V430)&amp;" Rupiah"),0),"")</f>
        <v/>
      </c>
      <c r="X430" s="90" t="str">
        <f t="shared" si="131"/>
        <v/>
      </c>
      <c r="Y430" s="307" t="str">
        <f t="shared" si="132"/>
        <v/>
      </c>
      <c r="Z430" s="307">
        <f t="shared" si="127"/>
        <v>0</v>
      </c>
      <c r="AA430" s="366">
        <f t="shared" si="128"/>
        <v>0</v>
      </c>
      <c r="AB430" s="367">
        <f t="shared" si="133"/>
        <v>0</v>
      </c>
      <c r="AC430" s="305">
        <f t="shared" si="134"/>
        <v>0</v>
      </c>
      <c r="AP430" s="89" t="str">
        <f t="shared" si="122"/>
        <v/>
      </c>
      <c r="AQ430" s="89" t="str">
        <f t="shared" si="138"/>
        <v/>
      </c>
      <c r="AR430" s="315" t="str">
        <f t="shared" si="121"/>
        <v/>
      </c>
      <c r="AS430" s="305" t="str">
        <f t="shared" si="135"/>
        <v>0</v>
      </c>
      <c r="AT430" s="307">
        <f>Table22[[#This Row],[Column1]]</f>
        <v>0</v>
      </c>
    </row>
    <row r="431" spans="1:46" x14ac:dyDescent="0.3">
      <c r="A431" s="307">
        <f t="shared" si="129"/>
        <v>0</v>
      </c>
      <c r="B431" s="307">
        <f t="shared" si="136"/>
        <v>0</v>
      </c>
      <c r="C431" s="308" t="s">
        <v>563</v>
      </c>
      <c r="D431" s="309" t="s">
        <v>563</v>
      </c>
      <c r="E431" s="310">
        <v>0</v>
      </c>
      <c r="F431" s="310">
        <v>0</v>
      </c>
      <c r="G431" s="311">
        <v>0</v>
      </c>
      <c r="H431" s="310" t="s">
        <v>563</v>
      </c>
      <c r="I431" s="310" t="s">
        <v>563</v>
      </c>
      <c r="J431" s="310" t="s">
        <v>563</v>
      </c>
      <c r="K431" s="312">
        <v>0</v>
      </c>
      <c r="L431" s="310">
        <v>0</v>
      </c>
      <c r="M431" s="310">
        <v>0</v>
      </c>
      <c r="N431" s="313" t="s">
        <v>563</v>
      </c>
      <c r="O431" s="314" t="s">
        <v>563</v>
      </c>
      <c r="P431" s="307">
        <f t="shared" si="123"/>
        <v>0</v>
      </c>
      <c r="R431" s="91" t="str">
        <f t="shared" si="137"/>
        <v/>
      </c>
      <c r="S431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</v>
      </c>
      <c r="T431" s="307" t="str">
        <f t="shared" si="125"/>
        <v/>
      </c>
      <c r="U431" s="315" t="str">
        <f t="shared" si="126"/>
        <v/>
      </c>
      <c r="V431" s="307" t="str">
        <f t="shared" si="130"/>
        <v/>
      </c>
      <c r="W431" s="307" t="str">
        <f>IFERROR(IF(V431&gt;0,PROPER(Terbilang1(V431)&amp;" Rupiah"),0),"")</f>
        <v/>
      </c>
      <c r="X431" s="90" t="str">
        <f t="shared" si="131"/>
        <v/>
      </c>
      <c r="Y431" s="307" t="str">
        <f t="shared" si="132"/>
        <v/>
      </c>
      <c r="Z431" s="307">
        <f t="shared" si="127"/>
        <v>0</v>
      </c>
      <c r="AA431" s="366">
        <f t="shared" si="128"/>
        <v>0</v>
      </c>
      <c r="AB431" s="367">
        <f t="shared" si="133"/>
        <v>0</v>
      </c>
      <c r="AC431" s="305">
        <f t="shared" si="134"/>
        <v>0</v>
      </c>
      <c r="AP431" s="89" t="str">
        <f t="shared" si="122"/>
        <v/>
      </c>
      <c r="AQ431" s="89" t="str">
        <f t="shared" si="138"/>
        <v/>
      </c>
      <c r="AR431" s="315" t="str">
        <f t="shared" si="121"/>
        <v/>
      </c>
      <c r="AS431" s="305" t="str">
        <f t="shared" si="135"/>
        <v>0</v>
      </c>
      <c r="AT431" s="307">
        <f>Table22[[#This Row],[Column1]]</f>
        <v>0</v>
      </c>
    </row>
    <row r="432" spans="1:46" x14ac:dyDescent="0.3">
      <c r="A432" s="307">
        <f t="shared" si="129"/>
        <v>0</v>
      </c>
      <c r="B432" s="307">
        <f t="shared" si="136"/>
        <v>0</v>
      </c>
      <c r="C432" s="308" t="s">
        <v>563</v>
      </c>
      <c r="D432" s="309" t="s">
        <v>563</v>
      </c>
      <c r="E432" s="310">
        <v>0</v>
      </c>
      <c r="F432" s="310">
        <v>0</v>
      </c>
      <c r="G432" s="311">
        <v>0</v>
      </c>
      <c r="H432" s="310" t="s">
        <v>563</v>
      </c>
      <c r="I432" s="310" t="s">
        <v>563</v>
      </c>
      <c r="J432" s="310" t="s">
        <v>563</v>
      </c>
      <c r="K432" s="312">
        <v>0</v>
      </c>
      <c r="L432" s="310">
        <v>0</v>
      </c>
      <c r="M432" s="310">
        <v>0</v>
      </c>
      <c r="N432" s="313" t="s">
        <v>563</v>
      </c>
      <c r="O432" s="314" t="s">
        <v>563</v>
      </c>
      <c r="P432" s="307">
        <f t="shared" si="123"/>
        <v>0</v>
      </c>
      <c r="R432" s="91" t="str">
        <f t="shared" si="137"/>
        <v/>
      </c>
      <c r="S432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</v>
      </c>
      <c r="T432" s="307" t="str">
        <f t="shared" si="125"/>
        <v/>
      </c>
      <c r="U432" s="315" t="str">
        <f t="shared" si="126"/>
        <v/>
      </c>
      <c r="V432" s="307" t="str">
        <f t="shared" si="130"/>
        <v/>
      </c>
      <c r="W432" s="307" t="str">
        <f>IFERROR(IF(V432&gt;0,PROPER(Terbilang1(V432)&amp;" Rupiah"),0),"")</f>
        <v/>
      </c>
      <c r="X432" s="90" t="str">
        <f t="shared" si="131"/>
        <v/>
      </c>
      <c r="Y432" s="307" t="str">
        <f t="shared" si="132"/>
        <v/>
      </c>
      <c r="Z432" s="307">
        <f t="shared" si="127"/>
        <v>0</v>
      </c>
      <c r="AA432" s="366">
        <f t="shared" si="128"/>
        <v>0</v>
      </c>
      <c r="AB432" s="367">
        <f t="shared" si="133"/>
        <v>0</v>
      </c>
      <c r="AC432" s="305">
        <f t="shared" si="134"/>
        <v>0</v>
      </c>
      <c r="AP432" s="89" t="str">
        <f t="shared" si="122"/>
        <v/>
      </c>
      <c r="AQ432" s="89" t="str">
        <f t="shared" si="138"/>
        <v/>
      </c>
      <c r="AR432" s="315" t="str">
        <f t="shared" si="121"/>
        <v/>
      </c>
      <c r="AS432" s="305" t="str">
        <f t="shared" si="135"/>
        <v>0</v>
      </c>
      <c r="AT432" s="307">
        <f>Table22[[#This Row],[Column1]]</f>
        <v>0</v>
      </c>
    </row>
    <row r="433" spans="1:46" x14ac:dyDescent="0.3">
      <c r="A433" s="307">
        <f t="shared" si="129"/>
        <v>0</v>
      </c>
      <c r="B433" s="307">
        <f t="shared" si="136"/>
        <v>0</v>
      </c>
      <c r="C433" s="308" t="s">
        <v>563</v>
      </c>
      <c r="D433" s="309" t="s">
        <v>563</v>
      </c>
      <c r="E433" s="310">
        <v>0</v>
      </c>
      <c r="F433" s="310">
        <v>0</v>
      </c>
      <c r="G433" s="311">
        <v>0</v>
      </c>
      <c r="H433" s="310" t="s">
        <v>563</v>
      </c>
      <c r="I433" s="310" t="s">
        <v>563</v>
      </c>
      <c r="J433" s="310" t="s">
        <v>563</v>
      </c>
      <c r="K433" s="312">
        <v>0</v>
      </c>
      <c r="L433" s="310">
        <v>0</v>
      </c>
      <c r="M433" s="310">
        <v>0</v>
      </c>
      <c r="N433" s="313" t="s">
        <v>563</v>
      </c>
      <c r="O433" s="314" t="s">
        <v>563</v>
      </c>
      <c r="P433" s="307">
        <f t="shared" si="123"/>
        <v>0</v>
      </c>
      <c r="R433" s="91" t="str">
        <f t="shared" si="137"/>
        <v/>
      </c>
      <c r="S433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</v>
      </c>
      <c r="T433" s="307" t="str">
        <f t="shared" si="125"/>
        <v/>
      </c>
      <c r="U433" s="315" t="str">
        <f t="shared" si="126"/>
        <v/>
      </c>
      <c r="V433" s="307" t="str">
        <f t="shared" si="130"/>
        <v/>
      </c>
      <c r="W433" s="307" t="str">
        <f>IFERROR(IF(V433&gt;0,PROPER(Terbilang1(V433)&amp;" Rupiah"),0),"")</f>
        <v/>
      </c>
      <c r="X433" s="90" t="str">
        <f t="shared" si="131"/>
        <v/>
      </c>
      <c r="Y433" s="307" t="str">
        <f t="shared" si="132"/>
        <v/>
      </c>
      <c r="Z433" s="307">
        <f t="shared" si="127"/>
        <v>0</v>
      </c>
      <c r="AA433" s="366">
        <f t="shared" si="128"/>
        <v>0</v>
      </c>
      <c r="AB433" s="367">
        <f t="shared" si="133"/>
        <v>0</v>
      </c>
      <c r="AC433" s="305">
        <f t="shared" si="134"/>
        <v>0</v>
      </c>
      <c r="AP433" s="89" t="str">
        <f t="shared" si="122"/>
        <v/>
      </c>
      <c r="AQ433" s="89" t="str">
        <f t="shared" si="138"/>
        <v/>
      </c>
      <c r="AR433" s="315" t="str">
        <f t="shared" si="121"/>
        <v/>
      </c>
      <c r="AS433" s="305" t="str">
        <f t="shared" si="135"/>
        <v>0</v>
      </c>
      <c r="AT433" s="307">
        <f>Table22[[#This Row],[Column1]]</f>
        <v>0</v>
      </c>
    </row>
    <row r="434" spans="1:46" x14ac:dyDescent="0.3">
      <c r="A434" s="307">
        <f t="shared" si="129"/>
        <v>0</v>
      </c>
      <c r="B434" s="307">
        <f t="shared" si="136"/>
        <v>0</v>
      </c>
      <c r="C434" s="308" t="s">
        <v>563</v>
      </c>
      <c r="D434" s="309" t="s">
        <v>563</v>
      </c>
      <c r="E434" s="310">
        <v>0</v>
      </c>
      <c r="F434" s="310">
        <v>0</v>
      </c>
      <c r="G434" s="311">
        <v>0</v>
      </c>
      <c r="H434" s="310" t="s">
        <v>563</v>
      </c>
      <c r="I434" s="310" t="s">
        <v>563</v>
      </c>
      <c r="J434" s="310" t="s">
        <v>563</v>
      </c>
      <c r="K434" s="312">
        <v>0</v>
      </c>
      <c r="L434" s="310">
        <v>0</v>
      </c>
      <c r="M434" s="310">
        <v>0</v>
      </c>
      <c r="N434" s="313" t="s">
        <v>563</v>
      </c>
      <c r="O434" s="314" t="s">
        <v>563</v>
      </c>
      <c r="P434" s="307">
        <f t="shared" si="123"/>
        <v>0</v>
      </c>
      <c r="R434" s="91" t="str">
        <f t="shared" si="137"/>
        <v/>
      </c>
      <c r="S434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</v>
      </c>
      <c r="T434" s="307" t="str">
        <f t="shared" si="125"/>
        <v/>
      </c>
      <c r="U434" s="315" t="str">
        <f t="shared" si="126"/>
        <v/>
      </c>
      <c r="V434" s="307" t="str">
        <f t="shared" si="130"/>
        <v/>
      </c>
      <c r="W434" s="307" t="str">
        <f>IFERROR(IF(V434&gt;0,PROPER(Terbilang1(V434)&amp;" Rupiah"),0),"")</f>
        <v/>
      </c>
      <c r="X434" s="90" t="str">
        <f t="shared" si="131"/>
        <v/>
      </c>
      <c r="Y434" s="307" t="str">
        <f t="shared" si="132"/>
        <v/>
      </c>
      <c r="Z434" s="307">
        <f t="shared" si="127"/>
        <v>0</v>
      </c>
      <c r="AA434" s="366">
        <f t="shared" si="128"/>
        <v>0</v>
      </c>
      <c r="AB434" s="367">
        <f t="shared" si="133"/>
        <v>0</v>
      </c>
      <c r="AC434" s="305">
        <f t="shared" si="134"/>
        <v>0</v>
      </c>
      <c r="AP434" s="89" t="str">
        <f t="shared" si="122"/>
        <v/>
      </c>
      <c r="AQ434" s="89" t="str">
        <f t="shared" si="138"/>
        <v/>
      </c>
      <c r="AR434" s="315" t="str">
        <f t="shared" si="121"/>
        <v/>
      </c>
      <c r="AS434" s="305" t="str">
        <f t="shared" si="135"/>
        <v>0</v>
      </c>
      <c r="AT434" s="307">
        <f>Table22[[#This Row],[Column1]]</f>
        <v>0</v>
      </c>
    </row>
    <row r="435" spans="1:46" x14ac:dyDescent="0.3">
      <c r="A435" s="307">
        <f t="shared" si="129"/>
        <v>0</v>
      </c>
      <c r="B435" s="307">
        <f t="shared" si="136"/>
        <v>0</v>
      </c>
      <c r="C435" s="308" t="s">
        <v>563</v>
      </c>
      <c r="D435" s="309" t="s">
        <v>563</v>
      </c>
      <c r="E435" s="310">
        <v>0</v>
      </c>
      <c r="F435" s="310">
        <v>0</v>
      </c>
      <c r="G435" s="311">
        <v>0</v>
      </c>
      <c r="H435" s="310" t="s">
        <v>563</v>
      </c>
      <c r="I435" s="310" t="s">
        <v>563</v>
      </c>
      <c r="J435" s="310" t="s">
        <v>563</v>
      </c>
      <c r="K435" s="312">
        <v>0</v>
      </c>
      <c r="L435" s="310">
        <v>0</v>
      </c>
      <c r="M435" s="310">
        <v>0</v>
      </c>
      <c r="N435" s="313" t="s">
        <v>563</v>
      </c>
      <c r="O435" s="314" t="s">
        <v>563</v>
      </c>
      <c r="P435" s="307">
        <f t="shared" si="123"/>
        <v>0</v>
      </c>
      <c r="R435" s="91" t="str">
        <f t="shared" si="137"/>
        <v/>
      </c>
      <c r="S435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</v>
      </c>
      <c r="T435" s="307" t="str">
        <f t="shared" si="125"/>
        <v/>
      </c>
      <c r="U435" s="315" t="str">
        <f t="shared" si="126"/>
        <v/>
      </c>
      <c r="V435" s="307" t="str">
        <f>N435</f>
        <v/>
      </c>
      <c r="W435" s="307" t="str">
        <f>IFERROR(IF(V435&gt;0,PROPER(Terbilang1(V435)&amp;" Rupiah"),0),"")</f>
        <v/>
      </c>
      <c r="X435" s="90" t="str">
        <f t="shared" si="131"/>
        <v/>
      </c>
      <c r="Y435" s="307" t="str">
        <f t="shared" si="132"/>
        <v/>
      </c>
      <c r="Z435" s="307">
        <f t="shared" si="127"/>
        <v>0</v>
      </c>
      <c r="AA435" s="366">
        <f t="shared" si="128"/>
        <v>0</v>
      </c>
      <c r="AB435" s="367">
        <f t="shared" si="133"/>
        <v>0</v>
      </c>
      <c r="AC435" s="305">
        <f t="shared" si="134"/>
        <v>0</v>
      </c>
      <c r="AP435" s="89" t="str">
        <f t="shared" si="122"/>
        <v/>
      </c>
      <c r="AQ435" s="89" t="str">
        <f t="shared" si="138"/>
        <v/>
      </c>
      <c r="AR435" s="315" t="str">
        <f t="shared" ref="AR435:AR498" si="139">IF(VALUE(AT435)&gt;1,IF(LEN(AR434)&gt;1,AR434,D435),"")</f>
        <v/>
      </c>
      <c r="AS435" s="305" t="str">
        <f t="shared" si="135"/>
        <v>0</v>
      </c>
      <c r="AT435" s="307">
        <f>Table22[[#This Row],[Column1]]</f>
        <v>0</v>
      </c>
    </row>
    <row r="436" spans="1:46" x14ac:dyDescent="0.3">
      <c r="A436" s="307">
        <f t="shared" si="129"/>
        <v>0</v>
      </c>
      <c r="B436" s="307">
        <f t="shared" si="136"/>
        <v>0</v>
      </c>
      <c r="C436" s="308" t="s">
        <v>563</v>
      </c>
      <c r="D436" s="309" t="s">
        <v>563</v>
      </c>
      <c r="E436" s="310">
        <v>0</v>
      </c>
      <c r="F436" s="310">
        <v>0</v>
      </c>
      <c r="G436" s="311">
        <v>0</v>
      </c>
      <c r="H436" s="310" t="s">
        <v>563</v>
      </c>
      <c r="I436" s="310" t="s">
        <v>563</v>
      </c>
      <c r="J436" s="310" t="s">
        <v>563</v>
      </c>
      <c r="K436" s="312">
        <v>0</v>
      </c>
      <c r="L436" s="310">
        <v>0</v>
      </c>
      <c r="M436" s="310">
        <v>0</v>
      </c>
      <c r="N436" s="313" t="s">
        <v>563</v>
      </c>
      <c r="O436" s="314" t="s">
        <v>563</v>
      </c>
      <c r="P436" s="307">
        <f t="shared" si="123"/>
        <v>0</v>
      </c>
      <c r="R436" s="91" t="str">
        <f t="shared" si="137"/>
        <v/>
      </c>
      <c r="S436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</v>
      </c>
      <c r="T436" s="307" t="str">
        <f t="shared" si="125"/>
        <v/>
      </c>
      <c r="U436" s="315" t="str">
        <f t="shared" si="126"/>
        <v/>
      </c>
      <c r="V436" s="307" t="str">
        <f t="shared" si="130"/>
        <v/>
      </c>
      <c r="W436" s="307" t="str">
        <f>IFERROR(IF(V436&gt;0,PROPER(Terbilang1(V436)&amp;" Rupiah"),0),"")</f>
        <v/>
      </c>
      <c r="X436" s="90" t="str">
        <f t="shared" si="131"/>
        <v/>
      </c>
      <c r="Y436" s="307" t="str">
        <f t="shared" si="132"/>
        <v/>
      </c>
      <c r="Z436" s="307">
        <f t="shared" si="127"/>
        <v>0</v>
      </c>
      <c r="AA436" s="366">
        <f t="shared" si="128"/>
        <v>0</v>
      </c>
      <c r="AB436" s="367">
        <f t="shared" si="133"/>
        <v>0</v>
      </c>
      <c r="AC436" s="305">
        <f t="shared" si="134"/>
        <v>0</v>
      </c>
      <c r="AP436" s="89" t="str">
        <f t="shared" si="122"/>
        <v/>
      </c>
      <c r="AQ436" s="89" t="str">
        <f t="shared" si="138"/>
        <v/>
      </c>
      <c r="AR436" s="315" t="str">
        <f t="shared" si="139"/>
        <v/>
      </c>
      <c r="AS436" s="305" t="str">
        <f t="shared" si="135"/>
        <v>0</v>
      </c>
      <c r="AT436" s="307">
        <f>Table22[[#This Row],[Column1]]</f>
        <v>0</v>
      </c>
    </row>
    <row r="437" spans="1:46" x14ac:dyDescent="0.3">
      <c r="A437" s="307">
        <f t="shared" si="129"/>
        <v>0</v>
      </c>
      <c r="B437" s="307">
        <f t="shared" si="136"/>
        <v>0</v>
      </c>
      <c r="C437" s="308" t="s">
        <v>563</v>
      </c>
      <c r="D437" s="309" t="s">
        <v>563</v>
      </c>
      <c r="E437" s="310">
        <v>0</v>
      </c>
      <c r="F437" s="310">
        <v>0</v>
      </c>
      <c r="G437" s="311">
        <v>0</v>
      </c>
      <c r="H437" s="310" t="s">
        <v>563</v>
      </c>
      <c r="I437" s="310" t="s">
        <v>563</v>
      </c>
      <c r="J437" s="310" t="s">
        <v>563</v>
      </c>
      <c r="K437" s="312">
        <v>0</v>
      </c>
      <c r="L437" s="310">
        <v>0</v>
      </c>
      <c r="M437" s="310">
        <v>0</v>
      </c>
      <c r="N437" s="313" t="s">
        <v>563</v>
      </c>
      <c r="O437" s="314" t="s">
        <v>563</v>
      </c>
      <c r="P437" s="307">
        <f t="shared" si="123"/>
        <v>0</v>
      </c>
      <c r="R437" s="91" t="str">
        <f t="shared" si="137"/>
        <v/>
      </c>
      <c r="S437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</v>
      </c>
      <c r="T437" s="307" t="str">
        <f t="shared" si="125"/>
        <v/>
      </c>
      <c r="U437" s="315" t="str">
        <f t="shared" si="126"/>
        <v/>
      </c>
      <c r="V437" s="307" t="str">
        <f t="shared" si="130"/>
        <v/>
      </c>
      <c r="W437" s="307" t="str">
        <f>IFERROR(IF(V437&gt;0,PROPER(Terbilang1(V437)&amp;" Rupiah"),0),"")</f>
        <v/>
      </c>
      <c r="X437" s="90" t="str">
        <f t="shared" si="131"/>
        <v/>
      </c>
      <c r="Y437" s="307" t="str">
        <f t="shared" si="132"/>
        <v/>
      </c>
      <c r="Z437" s="307">
        <f t="shared" si="127"/>
        <v>0</v>
      </c>
      <c r="AA437" s="366">
        <f t="shared" si="128"/>
        <v>0</v>
      </c>
      <c r="AB437" s="367">
        <f t="shared" si="133"/>
        <v>0</v>
      </c>
      <c r="AC437" s="305">
        <f t="shared" si="134"/>
        <v>0</v>
      </c>
      <c r="AP437" s="89" t="str">
        <f t="shared" si="122"/>
        <v/>
      </c>
      <c r="AQ437" s="89" t="str">
        <f t="shared" si="138"/>
        <v/>
      </c>
      <c r="AR437" s="315" t="str">
        <f t="shared" si="139"/>
        <v/>
      </c>
      <c r="AS437" s="305" t="str">
        <f t="shared" si="135"/>
        <v>0</v>
      </c>
      <c r="AT437" s="307">
        <f>Table22[[#This Row],[Column1]]</f>
        <v>0</v>
      </c>
    </row>
    <row r="438" spans="1:46" x14ac:dyDescent="0.3">
      <c r="A438" s="307">
        <f t="shared" si="129"/>
        <v>0</v>
      </c>
      <c r="B438" s="307">
        <f t="shared" si="136"/>
        <v>0</v>
      </c>
      <c r="C438" s="308" t="s">
        <v>563</v>
      </c>
      <c r="D438" s="309" t="s">
        <v>563</v>
      </c>
      <c r="E438" s="310">
        <v>0</v>
      </c>
      <c r="F438" s="310">
        <v>0</v>
      </c>
      <c r="G438" s="311">
        <v>0</v>
      </c>
      <c r="H438" s="310" t="s">
        <v>563</v>
      </c>
      <c r="I438" s="310" t="s">
        <v>563</v>
      </c>
      <c r="J438" s="310" t="s">
        <v>563</v>
      </c>
      <c r="K438" s="312">
        <v>0</v>
      </c>
      <c r="L438" s="310">
        <v>0</v>
      </c>
      <c r="M438" s="310">
        <v>0</v>
      </c>
      <c r="N438" s="313" t="s">
        <v>563</v>
      </c>
      <c r="O438" s="314" t="s">
        <v>563</v>
      </c>
      <c r="P438" s="307">
        <f t="shared" si="123"/>
        <v>0</v>
      </c>
      <c r="R438" s="91" t="str">
        <f t="shared" si="137"/>
        <v/>
      </c>
      <c r="S43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38" s="307" t="str">
        <f t="shared" si="125"/>
        <v/>
      </c>
      <c r="U438" s="315" t="str">
        <f t="shared" si="126"/>
        <v/>
      </c>
      <c r="V438" s="307" t="str">
        <f t="shared" si="130"/>
        <v/>
      </c>
      <c r="W438" s="307" t="str">
        <f>IFERROR(IF(V438&gt;0,PROPER(Terbilang1(V438)&amp;" Rupiah"),0),"")</f>
        <v/>
      </c>
      <c r="X438" s="90" t="str">
        <f t="shared" si="131"/>
        <v/>
      </c>
      <c r="Y438" s="307" t="str">
        <f t="shared" si="132"/>
        <v/>
      </c>
      <c r="Z438" s="307">
        <f t="shared" si="127"/>
        <v>0</v>
      </c>
      <c r="AA438" s="366">
        <f t="shared" si="128"/>
        <v>0</v>
      </c>
      <c r="AB438" s="367">
        <f t="shared" si="133"/>
        <v>0</v>
      </c>
      <c r="AC438" s="305">
        <f t="shared" si="134"/>
        <v>0</v>
      </c>
      <c r="AP438" s="89" t="str">
        <f t="shared" si="122"/>
        <v/>
      </c>
      <c r="AQ438" s="89" t="str">
        <f t="shared" si="138"/>
        <v/>
      </c>
      <c r="AR438" s="315" t="str">
        <f t="shared" si="139"/>
        <v/>
      </c>
      <c r="AS438" s="305" t="str">
        <f t="shared" si="135"/>
        <v>0</v>
      </c>
      <c r="AT438" s="307">
        <f>Table22[[#This Row],[Column1]]</f>
        <v>0</v>
      </c>
    </row>
    <row r="439" spans="1:46" x14ac:dyDescent="0.3">
      <c r="A439" s="307">
        <f t="shared" si="129"/>
        <v>0</v>
      </c>
      <c r="B439" s="307">
        <f t="shared" si="136"/>
        <v>0</v>
      </c>
      <c r="C439" s="308" t="s">
        <v>563</v>
      </c>
      <c r="D439" s="309" t="s">
        <v>563</v>
      </c>
      <c r="E439" s="310">
        <v>0</v>
      </c>
      <c r="F439" s="310">
        <v>0</v>
      </c>
      <c r="G439" s="311">
        <v>0</v>
      </c>
      <c r="H439" s="310" t="s">
        <v>563</v>
      </c>
      <c r="I439" s="310" t="s">
        <v>563</v>
      </c>
      <c r="J439" s="310" t="s">
        <v>563</v>
      </c>
      <c r="K439" s="312">
        <v>0</v>
      </c>
      <c r="L439" s="310">
        <v>0</v>
      </c>
      <c r="M439" s="310">
        <v>0</v>
      </c>
      <c r="N439" s="313" t="s">
        <v>563</v>
      </c>
      <c r="O439" s="314" t="s">
        <v>563</v>
      </c>
      <c r="P439" s="307">
        <f t="shared" si="123"/>
        <v>0</v>
      </c>
      <c r="R439" s="91" t="str">
        <f t="shared" si="137"/>
        <v/>
      </c>
      <c r="S43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39" s="307" t="str">
        <f t="shared" si="125"/>
        <v/>
      </c>
      <c r="U439" s="315" t="str">
        <f t="shared" si="126"/>
        <v/>
      </c>
      <c r="V439" s="307" t="str">
        <f t="shared" si="130"/>
        <v/>
      </c>
      <c r="W439" s="307" t="str">
        <f>IFERROR(IF(V439&gt;0,PROPER(Terbilang1(V439)&amp;" Rupiah"),0),"")</f>
        <v/>
      </c>
      <c r="X439" s="90" t="str">
        <f t="shared" si="131"/>
        <v/>
      </c>
      <c r="Y439" s="307" t="str">
        <f t="shared" si="132"/>
        <v/>
      </c>
      <c r="Z439" s="307">
        <f t="shared" si="127"/>
        <v>0</v>
      </c>
      <c r="AA439" s="366">
        <f t="shared" si="128"/>
        <v>0</v>
      </c>
      <c r="AB439" s="367">
        <f t="shared" si="133"/>
        <v>0</v>
      </c>
      <c r="AC439" s="305">
        <f t="shared" si="134"/>
        <v>0</v>
      </c>
      <c r="AP439" s="89" t="str">
        <f t="shared" si="122"/>
        <v/>
      </c>
      <c r="AQ439" s="89" t="str">
        <f t="shared" si="138"/>
        <v/>
      </c>
      <c r="AR439" s="315" t="str">
        <f t="shared" si="139"/>
        <v/>
      </c>
      <c r="AS439" s="305" t="str">
        <f t="shared" si="135"/>
        <v>0</v>
      </c>
      <c r="AT439" s="307">
        <f>Table22[[#This Row],[Column1]]</f>
        <v>0</v>
      </c>
    </row>
    <row r="440" spans="1:46" x14ac:dyDescent="0.3">
      <c r="A440" s="307">
        <f t="shared" si="129"/>
        <v>0</v>
      </c>
      <c r="B440" s="307">
        <f t="shared" si="136"/>
        <v>0</v>
      </c>
      <c r="C440" s="308" t="s">
        <v>563</v>
      </c>
      <c r="D440" s="309" t="s">
        <v>563</v>
      </c>
      <c r="E440" s="310">
        <v>0</v>
      </c>
      <c r="F440" s="310">
        <v>0</v>
      </c>
      <c r="G440" s="311">
        <v>0</v>
      </c>
      <c r="H440" s="310" t="s">
        <v>563</v>
      </c>
      <c r="I440" s="310" t="s">
        <v>563</v>
      </c>
      <c r="J440" s="310" t="s">
        <v>563</v>
      </c>
      <c r="K440" s="312">
        <v>0</v>
      </c>
      <c r="L440" s="310">
        <v>0</v>
      </c>
      <c r="M440" s="310">
        <v>0</v>
      </c>
      <c r="N440" s="313" t="s">
        <v>563</v>
      </c>
      <c r="O440" s="314" t="s">
        <v>563</v>
      </c>
      <c r="P440" s="307">
        <f t="shared" si="123"/>
        <v>0</v>
      </c>
      <c r="R440" s="91" t="str">
        <f t="shared" si="137"/>
        <v/>
      </c>
      <c r="S440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0" s="307" t="str">
        <f t="shared" si="125"/>
        <v/>
      </c>
      <c r="U440" s="315" t="str">
        <f t="shared" si="126"/>
        <v/>
      </c>
      <c r="V440" s="307" t="str">
        <f t="shared" si="130"/>
        <v/>
      </c>
      <c r="W440" s="307" t="str">
        <f>IFERROR(IF(V440&gt;0,PROPER(Terbilang1(V440)&amp;" Rupiah"),0),"")</f>
        <v/>
      </c>
      <c r="X440" s="90" t="str">
        <f t="shared" si="131"/>
        <v/>
      </c>
      <c r="Y440" s="307" t="str">
        <f t="shared" si="132"/>
        <v/>
      </c>
      <c r="Z440" s="307">
        <f t="shared" si="127"/>
        <v>0</v>
      </c>
      <c r="AA440" s="366">
        <f t="shared" si="128"/>
        <v>0</v>
      </c>
      <c r="AB440" s="367">
        <f t="shared" si="133"/>
        <v>0</v>
      </c>
      <c r="AC440" s="305">
        <f t="shared" si="134"/>
        <v>0</v>
      </c>
      <c r="AP440" s="89" t="str">
        <f t="shared" si="122"/>
        <v/>
      </c>
      <c r="AQ440" s="89" t="str">
        <f t="shared" si="138"/>
        <v/>
      </c>
      <c r="AR440" s="315" t="str">
        <f t="shared" si="139"/>
        <v/>
      </c>
      <c r="AS440" s="305" t="str">
        <f t="shared" si="135"/>
        <v>0</v>
      </c>
      <c r="AT440" s="307">
        <f>Table22[[#This Row],[Column1]]</f>
        <v>0</v>
      </c>
    </row>
    <row r="441" spans="1:46" x14ac:dyDescent="0.3">
      <c r="A441" s="307">
        <f t="shared" si="129"/>
        <v>0</v>
      </c>
      <c r="B441" s="307">
        <f t="shared" si="136"/>
        <v>0</v>
      </c>
      <c r="C441" s="308" t="s">
        <v>563</v>
      </c>
      <c r="D441" s="309" t="s">
        <v>563</v>
      </c>
      <c r="E441" s="310">
        <v>0</v>
      </c>
      <c r="F441" s="310">
        <v>0</v>
      </c>
      <c r="G441" s="311">
        <v>0</v>
      </c>
      <c r="H441" s="310" t="s">
        <v>563</v>
      </c>
      <c r="I441" s="310" t="s">
        <v>563</v>
      </c>
      <c r="J441" s="310" t="s">
        <v>563</v>
      </c>
      <c r="K441" s="312">
        <v>0</v>
      </c>
      <c r="L441" s="310">
        <v>0</v>
      </c>
      <c r="M441" s="310">
        <v>0</v>
      </c>
      <c r="N441" s="313" t="s">
        <v>563</v>
      </c>
      <c r="O441" s="314" t="s">
        <v>563</v>
      </c>
      <c r="P441" s="307">
        <f t="shared" si="123"/>
        <v>0</v>
      </c>
      <c r="R441" s="91" t="str">
        <f t="shared" si="137"/>
        <v/>
      </c>
      <c r="S441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1" s="307" t="str">
        <f t="shared" si="125"/>
        <v/>
      </c>
      <c r="U441" s="315" t="str">
        <f t="shared" si="126"/>
        <v/>
      </c>
      <c r="V441" s="307" t="str">
        <f t="shared" si="130"/>
        <v/>
      </c>
      <c r="W441" s="307" t="str">
        <f>IFERROR(IF(V441&gt;0,PROPER(Terbilang1(V441)&amp;" Rupiah"),0),"")</f>
        <v/>
      </c>
      <c r="X441" s="90" t="str">
        <f t="shared" si="131"/>
        <v/>
      </c>
      <c r="Y441" s="307" t="str">
        <f t="shared" si="132"/>
        <v/>
      </c>
      <c r="Z441" s="307">
        <f t="shared" si="127"/>
        <v>0</v>
      </c>
      <c r="AA441" s="366">
        <f t="shared" si="128"/>
        <v>0</v>
      </c>
      <c r="AB441" s="367">
        <f t="shared" si="133"/>
        <v>0</v>
      </c>
      <c r="AC441" s="305">
        <f t="shared" si="134"/>
        <v>0</v>
      </c>
      <c r="AP441" s="89" t="str">
        <f t="shared" si="122"/>
        <v/>
      </c>
      <c r="AQ441" s="89" t="str">
        <f t="shared" si="138"/>
        <v/>
      </c>
      <c r="AR441" s="315" t="str">
        <f t="shared" si="139"/>
        <v/>
      </c>
      <c r="AS441" s="305" t="str">
        <f t="shared" si="135"/>
        <v>0</v>
      </c>
      <c r="AT441" s="307">
        <f>Table22[[#This Row],[Column1]]</f>
        <v>0</v>
      </c>
    </row>
    <row r="442" spans="1:46" x14ac:dyDescent="0.3">
      <c r="A442" s="307">
        <f t="shared" si="129"/>
        <v>0</v>
      </c>
      <c r="B442" s="307">
        <f t="shared" si="136"/>
        <v>0</v>
      </c>
      <c r="C442" s="308" t="s">
        <v>563</v>
      </c>
      <c r="D442" s="309" t="s">
        <v>563</v>
      </c>
      <c r="E442" s="310">
        <v>0</v>
      </c>
      <c r="F442" s="310">
        <v>0</v>
      </c>
      <c r="G442" s="311">
        <v>0</v>
      </c>
      <c r="H442" s="310" t="s">
        <v>563</v>
      </c>
      <c r="I442" s="310" t="s">
        <v>563</v>
      </c>
      <c r="J442" s="310" t="s">
        <v>563</v>
      </c>
      <c r="K442" s="312">
        <v>0</v>
      </c>
      <c r="L442" s="310">
        <v>0</v>
      </c>
      <c r="M442" s="310">
        <v>0</v>
      </c>
      <c r="N442" s="313" t="s">
        <v>563</v>
      </c>
      <c r="O442" s="314" t="s">
        <v>563</v>
      </c>
      <c r="P442" s="307">
        <f t="shared" si="123"/>
        <v>0</v>
      </c>
      <c r="R442" s="91" t="str">
        <f t="shared" si="137"/>
        <v/>
      </c>
      <c r="S442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2" s="307" t="str">
        <f t="shared" si="125"/>
        <v/>
      </c>
      <c r="U442" s="315" t="str">
        <f t="shared" si="126"/>
        <v/>
      </c>
      <c r="V442" s="307" t="str">
        <f t="shared" si="130"/>
        <v/>
      </c>
      <c r="W442" s="307" t="str">
        <f>IFERROR(IF(V442&gt;0,PROPER(Terbilang1(V442)&amp;" Rupiah"),0),"")</f>
        <v/>
      </c>
      <c r="X442" s="90" t="str">
        <f t="shared" si="131"/>
        <v/>
      </c>
      <c r="Y442" s="307" t="str">
        <f t="shared" si="132"/>
        <v/>
      </c>
      <c r="Z442" s="307">
        <f t="shared" si="127"/>
        <v>0</v>
      </c>
      <c r="AA442" s="366">
        <f t="shared" si="128"/>
        <v>0</v>
      </c>
      <c r="AB442" s="367">
        <f t="shared" si="133"/>
        <v>0</v>
      </c>
      <c r="AC442" s="305">
        <f t="shared" si="134"/>
        <v>0</v>
      </c>
      <c r="AP442" s="89" t="str">
        <f t="shared" si="122"/>
        <v/>
      </c>
      <c r="AQ442" s="89" t="str">
        <f t="shared" si="138"/>
        <v/>
      </c>
      <c r="AR442" s="315" t="str">
        <f t="shared" si="139"/>
        <v/>
      </c>
      <c r="AS442" s="305" t="str">
        <f t="shared" si="135"/>
        <v>0</v>
      </c>
      <c r="AT442" s="307">
        <f>Table22[[#This Row],[Column1]]</f>
        <v>0</v>
      </c>
    </row>
    <row r="443" spans="1:46" x14ac:dyDescent="0.3">
      <c r="A443" s="307">
        <f t="shared" si="129"/>
        <v>0</v>
      </c>
      <c r="B443" s="307">
        <f t="shared" si="136"/>
        <v>0</v>
      </c>
      <c r="C443" s="308" t="s">
        <v>563</v>
      </c>
      <c r="D443" s="309" t="s">
        <v>563</v>
      </c>
      <c r="E443" s="310">
        <v>0</v>
      </c>
      <c r="F443" s="310">
        <v>0</v>
      </c>
      <c r="G443" s="311">
        <v>0</v>
      </c>
      <c r="H443" s="310" t="s">
        <v>563</v>
      </c>
      <c r="I443" s="310" t="s">
        <v>563</v>
      </c>
      <c r="J443" s="310" t="s">
        <v>563</v>
      </c>
      <c r="K443" s="312">
        <v>0</v>
      </c>
      <c r="L443" s="310">
        <v>0</v>
      </c>
      <c r="M443" s="310">
        <v>0</v>
      </c>
      <c r="N443" s="313" t="s">
        <v>563</v>
      </c>
      <c r="O443" s="314" t="s">
        <v>563</v>
      </c>
      <c r="P443" s="307">
        <f t="shared" si="123"/>
        <v>0</v>
      </c>
      <c r="R443" s="91" t="str">
        <f t="shared" si="137"/>
        <v/>
      </c>
      <c r="S443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3" s="307" t="str">
        <f t="shared" si="125"/>
        <v/>
      </c>
      <c r="U443" s="315" t="str">
        <f t="shared" si="126"/>
        <v/>
      </c>
      <c r="V443" s="307" t="str">
        <f>N443</f>
        <v/>
      </c>
      <c r="W443" s="307" t="str">
        <f>IFERROR(IF(V443&gt;0,PROPER(Terbilang1(V443)&amp;" Rupiah"),0),"")</f>
        <v/>
      </c>
      <c r="X443" s="90" t="str">
        <f t="shared" si="131"/>
        <v/>
      </c>
      <c r="Y443" s="307" t="str">
        <f t="shared" si="132"/>
        <v/>
      </c>
      <c r="Z443" s="307">
        <f t="shared" si="127"/>
        <v>0</v>
      </c>
      <c r="AA443" s="366">
        <f t="shared" si="128"/>
        <v>0</v>
      </c>
      <c r="AB443" s="367">
        <f t="shared" si="133"/>
        <v>0</v>
      </c>
      <c r="AC443" s="305">
        <f t="shared" si="134"/>
        <v>0</v>
      </c>
      <c r="AP443" s="89" t="str">
        <f t="shared" si="122"/>
        <v/>
      </c>
      <c r="AQ443" s="89" t="str">
        <f t="shared" si="138"/>
        <v/>
      </c>
      <c r="AR443" s="315" t="str">
        <f t="shared" si="139"/>
        <v/>
      </c>
      <c r="AS443" s="305" t="str">
        <f t="shared" si="135"/>
        <v>0</v>
      </c>
      <c r="AT443" s="307">
        <f>Table22[[#This Row],[Column1]]</f>
        <v>0</v>
      </c>
    </row>
    <row r="444" spans="1:46" x14ac:dyDescent="0.3">
      <c r="A444" s="307">
        <f t="shared" si="129"/>
        <v>0</v>
      </c>
      <c r="B444" s="307">
        <f t="shared" si="136"/>
        <v>0</v>
      </c>
      <c r="C444" s="308" t="s">
        <v>563</v>
      </c>
      <c r="D444" s="309" t="s">
        <v>563</v>
      </c>
      <c r="E444" s="310">
        <v>0</v>
      </c>
      <c r="F444" s="310">
        <v>0</v>
      </c>
      <c r="G444" s="311">
        <v>0</v>
      </c>
      <c r="H444" s="310" t="s">
        <v>563</v>
      </c>
      <c r="I444" s="310" t="s">
        <v>563</v>
      </c>
      <c r="J444" s="310" t="s">
        <v>563</v>
      </c>
      <c r="K444" s="312">
        <v>0</v>
      </c>
      <c r="L444" s="310">
        <v>0</v>
      </c>
      <c r="M444" s="310">
        <v>0</v>
      </c>
      <c r="N444" s="313" t="s">
        <v>563</v>
      </c>
      <c r="O444" s="314" t="s">
        <v>563</v>
      </c>
      <c r="P444" s="307">
        <f t="shared" si="123"/>
        <v>0</v>
      </c>
      <c r="R444" s="91" t="str">
        <f t="shared" si="137"/>
        <v/>
      </c>
      <c r="S444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4" s="307" t="str">
        <f t="shared" si="125"/>
        <v/>
      </c>
      <c r="U444" s="315" t="str">
        <f t="shared" si="126"/>
        <v/>
      </c>
      <c r="V444" s="307" t="str">
        <f t="shared" si="130"/>
        <v/>
      </c>
      <c r="W444" s="307" t="str">
        <f>IFERROR(IF(V444&gt;0,PROPER(Terbilang1(V444)&amp;" Rupiah"),0),"")</f>
        <v/>
      </c>
      <c r="X444" s="90" t="str">
        <f t="shared" si="131"/>
        <v/>
      </c>
      <c r="Y444" s="307" t="str">
        <f t="shared" si="132"/>
        <v/>
      </c>
      <c r="Z444" s="307">
        <f t="shared" si="127"/>
        <v>0</v>
      </c>
      <c r="AA444" s="366">
        <f t="shared" si="128"/>
        <v>0</v>
      </c>
      <c r="AB444" s="367">
        <f t="shared" si="133"/>
        <v>0</v>
      </c>
      <c r="AC444" s="305">
        <f t="shared" si="134"/>
        <v>0</v>
      </c>
      <c r="AP444" s="89" t="str">
        <f t="shared" si="122"/>
        <v/>
      </c>
      <c r="AQ444" s="89" t="str">
        <f t="shared" si="138"/>
        <v/>
      </c>
      <c r="AR444" s="315" t="str">
        <f t="shared" si="139"/>
        <v/>
      </c>
      <c r="AS444" s="305" t="str">
        <f t="shared" si="135"/>
        <v>0</v>
      </c>
      <c r="AT444" s="307">
        <f>Table22[[#This Row],[Column1]]</f>
        <v>0</v>
      </c>
    </row>
    <row r="445" spans="1:46" x14ac:dyDescent="0.3">
      <c r="A445" s="307">
        <f t="shared" si="129"/>
        <v>0</v>
      </c>
      <c r="B445" s="307">
        <f t="shared" si="136"/>
        <v>0</v>
      </c>
      <c r="C445" s="308" t="s">
        <v>563</v>
      </c>
      <c r="D445" s="309" t="s">
        <v>563</v>
      </c>
      <c r="E445" s="310">
        <v>0</v>
      </c>
      <c r="F445" s="310">
        <v>0</v>
      </c>
      <c r="G445" s="311">
        <v>0</v>
      </c>
      <c r="H445" s="310" t="s">
        <v>563</v>
      </c>
      <c r="I445" s="310" t="s">
        <v>563</v>
      </c>
      <c r="J445" s="310" t="s">
        <v>563</v>
      </c>
      <c r="K445" s="312">
        <v>0</v>
      </c>
      <c r="L445" s="310">
        <v>0</v>
      </c>
      <c r="M445" s="310">
        <v>0</v>
      </c>
      <c r="N445" s="313" t="s">
        <v>563</v>
      </c>
      <c r="O445" s="314" t="s">
        <v>563</v>
      </c>
      <c r="P445" s="307">
        <f t="shared" si="123"/>
        <v>0</v>
      </c>
      <c r="R445" s="91" t="str">
        <f t="shared" si="137"/>
        <v/>
      </c>
      <c r="S445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5" s="307" t="str">
        <f t="shared" si="125"/>
        <v/>
      </c>
      <c r="U445" s="315" t="str">
        <f t="shared" si="126"/>
        <v/>
      </c>
      <c r="V445" s="307" t="str">
        <f t="shared" si="130"/>
        <v/>
      </c>
      <c r="W445" s="307" t="str">
        <f>IFERROR(IF(V445&gt;0,PROPER(Terbilang1(V445)&amp;" Rupiah"),0),"")</f>
        <v/>
      </c>
      <c r="X445" s="90" t="str">
        <f t="shared" si="131"/>
        <v/>
      </c>
      <c r="Y445" s="307" t="str">
        <f t="shared" si="132"/>
        <v/>
      </c>
      <c r="Z445" s="307">
        <f t="shared" si="127"/>
        <v>0</v>
      </c>
      <c r="AA445" s="366">
        <f t="shared" si="128"/>
        <v>0</v>
      </c>
      <c r="AB445" s="367">
        <f t="shared" si="133"/>
        <v>0</v>
      </c>
      <c r="AC445" s="305">
        <f t="shared" si="134"/>
        <v>0</v>
      </c>
      <c r="AP445" s="89" t="str">
        <f t="shared" si="122"/>
        <v/>
      </c>
      <c r="AQ445" s="89" t="str">
        <f t="shared" si="138"/>
        <v/>
      </c>
      <c r="AR445" s="315" t="str">
        <f t="shared" si="139"/>
        <v/>
      </c>
      <c r="AS445" s="305" t="str">
        <f t="shared" si="135"/>
        <v>0</v>
      </c>
      <c r="AT445" s="307">
        <f>Table22[[#This Row],[Column1]]</f>
        <v>0</v>
      </c>
    </row>
    <row r="446" spans="1:46" x14ac:dyDescent="0.3">
      <c r="A446" s="307">
        <f t="shared" si="129"/>
        <v>0</v>
      </c>
      <c r="B446" s="307">
        <f t="shared" si="136"/>
        <v>0</v>
      </c>
      <c r="C446" s="308" t="s">
        <v>563</v>
      </c>
      <c r="D446" s="309" t="s">
        <v>563</v>
      </c>
      <c r="E446" s="310">
        <v>0</v>
      </c>
      <c r="F446" s="310">
        <v>0</v>
      </c>
      <c r="G446" s="311">
        <v>0</v>
      </c>
      <c r="H446" s="310" t="s">
        <v>563</v>
      </c>
      <c r="I446" s="310" t="s">
        <v>563</v>
      </c>
      <c r="J446" s="310" t="s">
        <v>563</v>
      </c>
      <c r="K446" s="312">
        <v>0</v>
      </c>
      <c r="L446" s="310">
        <v>0</v>
      </c>
      <c r="M446" s="310">
        <v>0</v>
      </c>
      <c r="N446" s="313" t="s">
        <v>563</v>
      </c>
      <c r="O446" s="314" t="s">
        <v>563</v>
      </c>
      <c r="P446" s="307">
        <f t="shared" si="123"/>
        <v>0</v>
      </c>
      <c r="R446" s="91" t="str">
        <f t="shared" si="137"/>
        <v/>
      </c>
      <c r="S446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6" s="307" t="str">
        <f t="shared" si="125"/>
        <v/>
      </c>
      <c r="U446" s="315" t="str">
        <f t="shared" si="126"/>
        <v/>
      </c>
      <c r="V446" s="307" t="str">
        <f t="shared" si="130"/>
        <v/>
      </c>
      <c r="W446" s="307" t="str">
        <f>IFERROR(IF(V446&gt;0,PROPER(Terbilang1(V446)&amp;" Rupiah"),0),"")</f>
        <v/>
      </c>
      <c r="X446" s="90" t="str">
        <f t="shared" si="131"/>
        <v/>
      </c>
      <c r="Y446" s="307" t="str">
        <f t="shared" si="132"/>
        <v/>
      </c>
      <c r="Z446" s="307">
        <f t="shared" si="127"/>
        <v>0</v>
      </c>
      <c r="AA446" s="366">
        <f t="shared" si="128"/>
        <v>0</v>
      </c>
      <c r="AB446" s="367">
        <f t="shared" si="133"/>
        <v>0</v>
      </c>
      <c r="AC446" s="305">
        <f t="shared" si="134"/>
        <v>0</v>
      </c>
      <c r="AP446" s="89" t="str">
        <f t="shared" si="122"/>
        <v/>
      </c>
      <c r="AQ446" s="89" t="str">
        <f t="shared" si="138"/>
        <v/>
      </c>
      <c r="AR446" s="315" t="str">
        <f t="shared" si="139"/>
        <v/>
      </c>
      <c r="AS446" s="305" t="str">
        <f t="shared" si="135"/>
        <v>0</v>
      </c>
      <c r="AT446" s="307">
        <f>Table22[[#This Row],[Column1]]</f>
        <v>0</v>
      </c>
    </row>
    <row r="447" spans="1:46" x14ac:dyDescent="0.3">
      <c r="A447" s="307">
        <f t="shared" si="129"/>
        <v>0</v>
      </c>
      <c r="B447" s="307">
        <f t="shared" si="136"/>
        <v>0</v>
      </c>
      <c r="C447" s="308" t="s">
        <v>563</v>
      </c>
      <c r="D447" s="309" t="s">
        <v>563</v>
      </c>
      <c r="E447" s="310">
        <v>0</v>
      </c>
      <c r="F447" s="310">
        <v>0</v>
      </c>
      <c r="G447" s="311">
        <v>0</v>
      </c>
      <c r="H447" s="310" t="s">
        <v>563</v>
      </c>
      <c r="I447" s="310" t="s">
        <v>563</v>
      </c>
      <c r="J447" s="310" t="s">
        <v>563</v>
      </c>
      <c r="K447" s="312">
        <v>0</v>
      </c>
      <c r="L447" s="310">
        <v>0</v>
      </c>
      <c r="M447" s="310">
        <v>0</v>
      </c>
      <c r="N447" s="313" t="s">
        <v>563</v>
      </c>
      <c r="O447" s="314" t="s">
        <v>563</v>
      </c>
      <c r="P447" s="307">
        <f t="shared" si="123"/>
        <v>0</v>
      </c>
      <c r="R447" s="91" t="str">
        <f t="shared" si="137"/>
        <v/>
      </c>
      <c r="S447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7" s="307" t="str">
        <f t="shared" si="125"/>
        <v/>
      </c>
      <c r="U447" s="315" t="str">
        <f t="shared" si="126"/>
        <v/>
      </c>
      <c r="V447" s="307" t="str">
        <f t="shared" si="130"/>
        <v/>
      </c>
      <c r="W447" s="307" t="str">
        <f>IFERROR(IF(V447&gt;0,PROPER(Terbilang1(V447)&amp;" Rupiah"),0),"")</f>
        <v/>
      </c>
      <c r="X447" s="90" t="str">
        <f t="shared" si="131"/>
        <v/>
      </c>
      <c r="Y447" s="307" t="str">
        <f t="shared" si="132"/>
        <v/>
      </c>
      <c r="Z447" s="307">
        <f t="shared" si="127"/>
        <v>0</v>
      </c>
      <c r="AA447" s="366">
        <f t="shared" si="128"/>
        <v>0</v>
      </c>
      <c r="AB447" s="367">
        <f t="shared" si="133"/>
        <v>0</v>
      </c>
      <c r="AC447" s="305">
        <f t="shared" si="134"/>
        <v>0</v>
      </c>
      <c r="AP447" s="89" t="str">
        <f t="shared" si="122"/>
        <v/>
      </c>
      <c r="AQ447" s="89" t="str">
        <f t="shared" si="138"/>
        <v/>
      </c>
      <c r="AR447" s="315" t="str">
        <f t="shared" si="139"/>
        <v/>
      </c>
      <c r="AS447" s="305" t="str">
        <f t="shared" si="135"/>
        <v>0</v>
      </c>
      <c r="AT447" s="307">
        <f>Table22[[#This Row],[Column1]]</f>
        <v>0</v>
      </c>
    </row>
    <row r="448" spans="1:46" x14ac:dyDescent="0.3">
      <c r="A448" s="307">
        <f t="shared" si="129"/>
        <v>0</v>
      </c>
      <c r="B448" s="307">
        <f t="shared" si="136"/>
        <v>0</v>
      </c>
      <c r="C448" s="308" t="s">
        <v>563</v>
      </c>
      <c r="D448" s="309" t="s">
        <v>563</v>
      </c>
      <c r="E448" s="310">
        <v>0</v>
      </c>
      <c r="F448" s="310">
        <v>0</v>
      </c>
      <c r="G448" s="311">
        <v>0</v>
      </c>
      <c r="H448" s="310" t="s">
        <v>563</v>
      </c>
      <c r="I448" s="310" t="s">
        <v>563</v>
      </c>
      <c r="J448" s="310" t="s">
        <v>563</v>
      </c>
      <c r="K448" s="312">
        <v>0</v>
      </c>
      <c r="L448" s="310">
        <v>0</v>
      </c>
      <c r="M448" s="310">
        <v>0</v>
      </c>
      <c r="N448" s="313" t="s">
        <v>563</v>
      </c>
      <c r="O448" s="314" t="s">
        <v>563</v>
      </c>
      <c r="P448" s="307">
        <f t="shared" si="123"/>
        <v>0</v>
      </c>
      <c r="R448" s="91" t="str">
        <f t="shared" si="137"/>
        <v/>
      </c>
      <c r="S448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8" s="307" t="str">
        <f t="shared" si="125"/>
        <v/>
      </c>
      <c r="U448" s="315" t="str">
        <f t="shared" si="126"/>
        <v/>
      </c>
      <c r="V448" s="307" t="str">
        <f t="shared" si="130"/>
        <v/>
      </c>
      <c r="W448" s="307" t="str">
        <f>IFERROR(IF(V448&gt;0,PROPER(Terbilang1(V448)&amp;" Rupiah"),0),"")</f>
        <v/>
      </c>
      <c r="X448" s="90" t="str">
        <f t="shared" si="131"/>
        <v/>
      </c>
      <c r="Y448" s="307" t="str">
        <f t="shared" si="132"/>
        <v/>
      </c>
      <c r="Z448" s="307">
        <f t="shared" si="127"/>
        <v>0</v>
      </c>
      <c r="AA448" s="366">
        <f t="shared" si="128"/>
        <v>0</v>
      </c>
      <c r="AB448" s="367">
        <f t="shared" si="133"/>
        <v>0</v>
      </c>
      <c r="AC448" s="305">
        <f t="shared" si="134"/>
        <v>0</v>
      </c>
      <c r="AP448" s="89" t="str">
        <f t="shared" si="122"/>
        <v/>
      </c>
      <c r="AQ448" s="89" t="str">
        <f t="shared" si="138"/>
        <v/>
      </c>
      <c r="AR448" s="315" t="str">
        <f t="shared" si="139"/>
        <v/>
      </c>
      <c r="AS448" s="305" t="str">
        <f t="shared" si="135"/>
        <v>0</v>
      </c>
      <c r="AT448" s="307">
        <f>Table22[[#This Row],[Column1]]</f>
        <v>0</v>
      </c>
    </row>
    <row r="449" spans="1:46" x14ac:dyDescent="0.3">
      <c r="A449" s="307">
        <f t="shared" si="129"/>
        <v>0</v>
      </c>
      <c r="B449" s="307">
        <f t="shared" si="136"/>
        <v>0</v>
      </c>
      <c r="C449" s="308" t="s">
        <v>563</v>
      </c>
      <c r="D449" s="309" t="s">
        <v>563</v>
      </c>
      <c r="E449" s="310">
        <v>0</v>
      </c>
      <c r="F449" s="310">
        <v>0</v>
      </c>
      <c r="G449" s="311">
        <v>0</v>
      </c>
      <c r="H449" s="310" t="s">
        <v>563</v>
      </c>
      <c r="I449" s="310" t="s">
        <v>563</v>
      </c>
      <c r="J449" s="310" t="s">
        <v>563</v>
      </c>
      <c r="K449" s="312">
        <v>0</v>
      </c>
      <c r="L449" s="310">
        <v>0</v>
      </c>
      <c r="M449" s="310">
        <v>0</v>
      </c>
      <c r="N449" s="313" t="s">
        <v>563</v>
      </c>
      <c r="O449" s="314" t="s">
        <v>563</v>
      </c>
      <c r="P449" s="307">
        <f t="shared" si="123"/>
        <v>0</v>
      </c>
      <c r="R449" s="91" t="str">
        <f t="shared" si="137"/>
        <v/>
      </c>
      <c r="S449" s="307" t="str">
        <f t="shared" si="12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49" s="307" t="str">
        <f t="shared" si="125"/>
        <v/>
      </c>
      <c r="U449" s="315" t="str">
        <f t="shared" si="126"/>
        <v/>
      </c>
      <c r="V449" s="307" t="str">
        <f t="shared" si="130"/>
        <v/>
      </c>
      <c r="W449" s="307" t="str">
        <f>IFERROR(IF(V449&gt;0,PROPER(Terbilang1(V449)&amp;" Rupiah"),0),"")</f>
        <v/>
      </c>
      <c r="X449" s="90" t="str">
        <f t="shared" si="131"/>
        <v/>
      </c>
      <c r="Y449" s="307" t="str">
        <f t="shared" si="132"/>
        <v/>
      </c>
      <c r="Z449" s="307">
        <f t="shared" si="127"/>
        <v>0</v>
      </c>
      <c r="AA449" s="366">
        <f t="shared" si="128"/>
        <v>0</v>
      </c>
      <c r="AB449" s="367">
        <f t="shared" si="133"/>
        <v>0</v>
      </c>
      <c r="AC449" s="305">
        <f t="shared" si="134"/>
        <v>0</v>
      </c>
      <c r="AP449" s="89" t="str">
        <f t="shared" ref="AP449:AP512" si="140">IF(LEFT(O449,3)="BKK",1,"")</f>
        <v/>
      </c>
      <c r="AQ449" s="89" t="str">
        <f t="shared" si="138"/>
        <v/>
      </c>
      <c r="AR449" s="315" t="str">
        <f t="shared" si="139"/>
        <v/>
      </c>
      <c r="AS449" s="305" t="str">
        <f t="shared" si="135"/>
        <v>0</v>
      </c>
      <c r="AT449" s="307">
        <f>Table22[[#This Row],[Column1]]</f>
        <v>0</v>
      </c>
    </row>
    <row r="450" spans="1:46" x14ac:dyDescent="0.3">
      <c r="A450" s="307">
        <f t="shared" si="129"/>
        <v>0</v>
      </c>
      <c r="B450" s="307">
        <f t="shared" si="136"/>
        <v>0</v>
      </c>
      <c r="C450" s="308" t="s">
        <v>563</v>
      </c>
      <c r="D450" s="309" t="s">
        <v>563</v>
      </c>
      <c r="E450" s="310">
        <v>0</v>
      </c>
      <c r="F450" s="310">
        <v>0</v>
      </c>
      <c r="G450" s="311">
        <v>0</v>
      </c>
      <c r="H450" s="310" t="s">
        <v>563</v>
      </c>
      <c r="I450" s="310" t="s">
        <v>563</v>
      </c>
      <c r="J450" s="310" t="s">
        <v>563</v>
      </c>
      <c r="K450" s="312">
        <v>0</v>
      </c>
      <c r="L450" s="310">
        <v>0</v>
      </c>
      <c r="M450" s="310">
        <v>0</v>
      </c>
      <c r="N450" s="313" t="s">
        <v>563</v>
      </c>
      <c r="O450" s="314" t="s">
        <v>563</v>
      </c>
      <c r="P450" s="307">
        <f t="shared" ref="P450:P513" si="141">IF(LEFT(O450,1)="B",R450,0)</f>
        <v>0</v>
      </c>
      <c r="R450" s="91" t="str">
        <f t="shared" si="137"/>
        <v/>
      </c>
      <c r="S450" s="307" t="str">
        <f t="shared" ref="S450:S513" si="142">IF(O450="",S449&amp;"a",IF(O450&gt;0,O450,0))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0" s="307" t="str">
        <f t="shared" ref="T450:T513" si="143">IF(G450=0,"",G450)</f>
        <v/>
      </c>
      <c r="U450" s="315" t="str">
        <f t="shared" ref="U450:U513" si="144">D450</f>
        <v/>
      </c>
      <c r="V450" s="307" t="str">
        <f>N450</f>
        <v/>
      </c>
      <c r="W450" s="307" t="str">
        <f>IFERROR(IF(V450&gt;0,PROPER(Terbilang1(V450)&amp;" Rupiah"),0),"")</f>
        <v/>
      </c>
      <c r="X450" s="90" t="str">
        <f t="shared" si="131"/>
        <v/>
      </c>
      <c r="Y450" s="307" t="str">
        <f t="shared" si="132"/>
        <v/>
      </c>
      <c r="Z450" s="307">
        <f t="shared" ref="Z450:Z513" si="145">IF(LEN(AA450)&gt;1,AA450,IF(AA450=0,AB450,0))</f>
        <v>0</v>
      </c>
      <c r="AA450" s="366">
        <f t="shared" ref="AA450:AA513" si="146">IFERROR(IF(AND(N450&gt;1,LEFT(G450,5)="Bayar"),N450*3.5%,IF(N450&gt;2000000,N450*(IF(OR(LEFT(F450,3)="MoP",LEFT(F450,3)="GaJ"),0,11%)),0)),0)</f>
        <v>0</v>
      </c>
      <c r="AB450" s="367">
        <f t="shared" si="133"/>
        <v>0</v>
      </c>
      <c r="AC450" s="305">
        <f t="shared" si="134"/>
        <v>0</v>
      </c>
      <c r="AP450" s="89" t="str">
        <f t="shared" si="140"/>
        <v/>
      </c>
      <c r="AQ450" s="89" t="str">
        <f t="shared" si="138"/>
        <v/>
      </c>
      <c r="AR450" s="315" t="str">
        <f t="shared" si="139"/>
        <v/>
      </c>
      <c r="AS450" s="305" t="str">
        <f t="shared" si="135"/>
        <v>0</v>
      </c>
      <c r="AT450" s="307">
        <f>Table22[[#This Row],[Column1]]</f>
        <v>0</v>
      </c>
    </row>
    <row r="451" spans="1:46" x14ac:dyDescent="0.3">
      <c r="A451" s="307">
        <f t="shared" ref="A451:A514" si="147">IF(C451=1,C451&amp;"."&amp;MOD(ROW()-1,$AJ$2+1),IF(C451=2,C451&amp;"."&amp;MOD(ROW()-($AJ$2+1),$AK$2+1),IF(C451=3,C451&amp;"."&amp;MOD(ROW()-($AJ$2+$AK$2+1),$AL$2+1),IF(C451=4,C451&amp;"."&amp;MOD(ROW()-($AJ$2+$AK$2+$AL$2+1),$AM$2+1),IF(C451=5,C451&amp;"."&amp;MOD(ROW()-($AJ$2+$AK$2+$AL$2+$AM$2+1),$AN$2+1),0)))))</f>
        <v>0</v>
      </c>
      <c r="B451" s="307">
        <f t="shared" si="136"/>
        <v>0</v>
      </c>
      <c r="C451" s="308" t="s">
        <v>563</v>
      </c>
      <c r="D451" s="309" t="s">
        <v>563</v>
      </c>
      <c r="E451" s="310">
        <v>0</v>
      </c>
      <c r="F451" s="310">
        <v>0</v>
      </c>
      <c r="G451" s="311">
        <v>0</v>
      </c>
      <c r="H451" s="310" t="s">
        <v>563</v>
      </c>
      <c r="I451" s="310" t="s">
        <v>563</v>
      </c>
      <c r="J451" s="310" t="s">
        <v>563</v>
      </c>
      <c r="K451" s="312">
        <v>0</v>
      </c>
      <c r="L451" s="310">
        <v>0</v>
      </c>
      <c r="M451" s="310">
        <v>0</v>
      </c>
      <c r="N451" s="313" t="s">
        <v>563</v>
      </c>
      <c r="O451" s="314" t="s">
        <v>563</v>
      </c>
      <c r="P451" s="307">
        <f t="shared" si="141"/>
        <v>0</v>
      </c>
      <c r="R451" s="91" t="str">
        <f t="shared" si="137"/>
        <v/>
      </c>
      <c r="S45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1" s="307" t="str">
        <f t="shared" si="143"/>
        <v/>
      </c>
      <c r="U451" s="315" t="str">
        <f t="shared" si="144"/>
        <v/>
      </c>
      <c r="V451" s="307" t="str">
        <f>N451</f>
        <v/>
      </c>
      <c r="W451" s="307" t="str">
        <f>IFERROR(IF(V451&gt;0,PROPER(Terbilang1(V451)&amp;" Rupiah"),0),"")</f>
        <v/>
      </c>
      <c r="X451" s="90" t="str">
        <f t="shared" ref="X451:X514" si="148">J451</f>
        <v/>
      </c>
      <c r="Y451" s="307" t="str">
        <f t="shared" ref="Y451:Y514" si="149">H451</f>
        <v/>
      </c>
      <c r="Z451" s="307">
        <f t="shared" si="145"/>
        <v>0</v>
      </c>
      <c r="AA451" s="366">
        <f t="shared" si="146"/>
        <v>0</v>
      </c>
      <c r="AB451" s="367">
        <f t="shared" ref="AB451:AB514" si="150">IF(LEN(AA450)&gt;1,IF(LEFT(G450,5)="Bayar",0,IF(LEFT(G450,6)="PEMASA",(N450*100/111*1.5%),N450*0.015)),0)</f>
        <v>0</v>
      </c>
      <c r="AC451" s="305">
        <f t="shared" ref="AC451:AC514" si="151">IF(LEN(AA451)&gt;1,IF(LEFT(G451,6)="PEMASA","Terima Pajak PPN (11 %) "&amp;O451,IF(LEFT(G451,5)="Bayar","Terima PPh Pasal 4 ayat 2 (3,5 %) "&amp;O451,"Bayar Pajak PPN (11 %) "&amp;O451)),IF(AB451&gt;0,IF(LEFT(AC450,6)="Terima","Terima Pajak PPH (1,5%) "&amp;O450,"Bayar Pajak PPH (1,5 %) "&amp;O450),0))</f>
        <v>0</v>
      </c>
      <c r="AP451" s="89" t="str">
        <f t="shared" si="140"/>
        <v/>
      </c>
      <c r="AQ451" s="89" t="str">
        <f t="shared" si="138"/>
        <v/>
      </c>
      <c r="AR451" s="315" t="str">
        <f t="shared" si="139"/>
        <v/>
      </c>
      <c r="AS451" s="305" t="str">
        <f t="shared" ref="AS451:AS514" si="152">IF(AC451="","",LEFT(AC451,15))</f>
        <v>0</v>
      </c>
      <c r="AT451" s="307">
        <f>Table22[[#This Row],[Column1]]</f>
        <v>0</v>
      </c>
    </row>
    <row r="452" spans="1:46" x14ac:dyDescent="0.3">
      <c r="A452" s="307">
        <f t="shared" si="147"/>
        <v>0</v>
      </c>
      <c r="B452" s="307">
        <f t="shared" si="136"/>
        <v>0</v>
      </c>
      <c r="C452" s="308" t="s">
        <v>563</v>
      </c>
      <c r="D452" s="309" t="s">
        <v>563</v>
      </c>
      <c r="E452" s="310">
        <v>0</v>
      </c>
      <c r="F452" s="310">
        <v>0</v>
      </c>
      <c r="G452" s="311">
        <v>0</v>
      </c>
      <c r="H452" s="310" t="s">
        <v>563</v>
      </c>
      <c r="I452" s="310" t="s">
        <v>563</v>
      </c>
      <c r="J452" s="310" t="s">
        <v>563</v>
      </c>
      <c r="K452" s="312">
        <v>0</v>
      </c>
      <c r="L452" s="310">
        <v>0</v>
      </c>
      <c r="M452" s="310">
        <v>0</v>
      </c>
      <c r="N452" s="313" t="s">
        <v>563</v>
      </c>
      <c r="O452" s="314" t="s">
        <v>563</v>
      </c>
      <c r="P452" s="307">
        <f t="shared" si="141"/>
        <v>0</v>
      </c>
      <c r="R452" s="91" t="str">
        <f t="shared" si="137"/>
        <v/>
      </c>
      <c r="S45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2" s="307" t="str">
        <f t="shared" si="143"/>
        <v/>
      </c>
      <c r="U452" s="315" t="str">
        <f t="shared" si="144"/>
        <v/>
      </c>
      <c r="V452" s="307" t="str">
        <f t="shared" ref="V452:V513" si="153">N452</f>
        <v/>
      </c>
      <c r="W452" s="307" t="str">
        <f>IFERROR(IF(V452&gt;0,PROPER(Terbilang1(V452)&amp;" Rupiah"),0),"")</f>
        <v/>
      </c>
      <c r="X452" s="90" t="str">
        <f t="shared" si="148"/>
        <v/>
      </c>
      <c r="Y452" s="307" t="str">
        <f t="shared" si="149"/>
        <v/>
      </c>
      <c r="Z452" s="307">
        <f t="shared" si="145"/>
        <v>0</v>
      </c>
      <c r="AA452" s="366">
        <f t="shared" si="146"/>
        <v>0</v>
      </c>
      <c r="AB452" s="367">
        <f t="shared" si="150"/>
        <v>0</v>
      </c>
      <c r="AC452" s="305">
        <f t="shared" si="151"/>
        <v>0</v>
      </c>
      <c r="AP452" s="89" t="str">
        <f t="shared" si="140"/>
        <v/>
      </c>
      <c r="AQ452" s="89" t="str">
        <f t="shared" si="138"/>
        <v/>
      </c>
      <c r="AR452" s="315" t="str">
        <f t="shared" si="139"/>
        <v/>
      </c>
      <c r="AS452" s="305" t="str">
        <f t="shared" si="152"/>
        <v>0</v>
      </c>
      <c r="AT452" s="307">
        <f>Table22[[#This Row],[Column1]]</f>
        <v>0</v>
      </c>
    </row>
    <row r="453" spans="1:46" x14ac:dyDescent="0.3">
      <c r="A453" s="307">
        <f t="shared" si="147"/>
        <v>0</v>
      </c>
      <c r="B453" s="307">
        <f t="shared" si="136"/>
        <v>0</v>
      </c>
      <c r="C453" s="308" t="s">
        <v>563</v>
      </c>
      <c r="D453" s="309" t="s">
        <v>563</v>
      </c>
      <c r="E453" s="310">
        <v>0</v>
      </c>
      <c r="F453" s="310">
        <v>0</v>
      </c>
      <c r="G453" s="311">
        <v>0</v>
      </c>
      <c r="H453" s="310" t="s">
        <v>563</v>
      </c>
      <c r="I453" s="310" t="s">
        <v>563</v>
      </c>
      <c r="J453" s="310" t="s">
        <v>563</v>
      </c>
      <c r="K453" s="312">
        <v>0</v>
      </c>
      <c r="L453" s="310">
        <v>0</v>
      </c>
      <c r="M453" s="310">
        <v>0</v>
      </c>
      <c r="N453" s="313" t="s">
        <v>563</v>
      </c>
      <c r="O453" s="314" t="s">
        <v>563</v>
      </c>
      <c r="P453" s="307">
        <f t="shared" si="141"/>
        <v>0</v>
      </c>
      <c r="R453" s="91" t="str">
        <f t="shared" si="137"/>
        <v/>
      </c>
      <c r="S45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3" s="307" t="str">
        <f t="shared" si="143"/>
        <v/>
      </c>
      <c r="U453" s="315" t="str">
        <f t="shared" si="144"/>
        <v/>
      </c>
      <c r="V453" s="307" t="str">
        <f t="shared" si="153"/>
        <v/>
      </c>
      <c r="W453" s="307" t="str">
        <f>IFERROR(IF(V453&gt;0,PROPER(Terbilang1(V453)&amp;" Rupiah"),0),"")</f>
        <v/>
      </c>
      <c r="X453" s="90" t="str">
        <f t="shared" si="148"/>
        <v/>
      </c>
      <c r="Y453" s="307" t="str">
        <f t="shared" si="149"/>
        <v/>
      </c>
      <c r="Z453" s="307">
        <f t="shared" si="145"/>
        <v>0</v>
      </c>
      <c r="AA453" s="366">
        <f t="shared" si="146"/>
        <v>0</v>
      </c>
      <c r="AB453" s="367">
        <f t="shared" si="150"/>
        <v>0</v>
      </c>
      <c r="AC453" s="305">
        <f t="shared" si="151"/>
        <v>0</v>
      </c>
      <c r="AP453" s="89" t="str">
        <f t="shared" si="140"/>
        <v/>
      </c>
      <c r="AQ453" s="89" t="str">
        <f t="shared" si="138"/>
        <v/>
      </c>
      <c r="AR453" s="315" t="str">
        <f t="shared" si="139"/>
        <v/>
      </c>
      <c r="AS453" s="305" t="str">
        <f t="shared" si="152"/>
        <v>0</v>
      </c>
      <c r="AT453" s="307">
        <f>Table22[[#This Row],[Column1]]</f>
        <v>0</v>
      </c>
    </row>
    <row r="454" spans="1:46" x14ac:dyDescent="0.3">
      <c r="A454" s="307">
        <f t="shared" si="147"/>
        <v>0</v>
      </c>
      <c r="B454" s="307">
        <f t="shared" si="136"/>
        <v>0</v>
      </c>
      <c r="C454" s="308" t="s">
        <v>563</v>
      </c>
      <c r="D454" s="309" t="s">
        <v>563</v>
      </c>
      <c r="E454" s="310">
        <v>0</v>
      </c>
      <c r="F454" s="310">
        <v>0</v>
      </c>
      <c r="G454" s="311">
        <v>0</v>
      </c>
      <c r="H454" s="310" t="s">
        <v>563</v>
      </c>
      <c r="I454" s="310" t="s">
        <v>563</v>
      </c>
      <c r="J454" s="310" t="s">
        <v>563</v>
      </c>
      <c r="K454" s="312">
        <v>0</v>
      </c>
      <c r="L454" s="310">
        <v>0</v>
      </c>
      <c r="M454" s="310">
        <v>0</v>
      </c>
      <c r="N454" s="313" t="s">
        <v>563</v>
      </c>
      <c r="O454" s="314" t="s">
        <v>563</v>
      </c>
      <c r="P454" s="307">
        <f t="shared" si="141"/>
        <v>0</v>
      </c>
      <c r="R454" s="91" t="str">
        <f t="shared" si="137"/>
        <v/>
      </c>
      <c r="S45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4" s="307" t="str">
        <f t="shared" si="143"/>
        <v/>
      </c>
      <c r="U454" s="315" t="str">
        <f t="shared" si="144"/>
        <v/>
      </c>
      <c r="V454" s="307" t="str">
        <f t="shared" si="153"/>
        <v/>
      </c>
      <c r="W454" s="307" t="str">
        <f>IFERROR(IF(V454&gt;0,PROPER(Terbilang1(V454)&amp;" Rupiah"),0),"")</f>
        <v/>
      </c>
      <c r="X454" s="90" t="str">
        <f t="shared" si="148"/>
        <v/>
      </c>
      <c r="Y454" s="307" t="str">
        <f t="shared" si="149"/>
        <v/>
      </c>
      <c r="Z454" s="307">
        <f t="shared" si="145"/>
        <v>0</v>
      </c>
      <c r="AA454" s="366">
        <f t="shared" si="146"/>
        <v>0</v>
      </c>
      <c r="AB454" s="367">
        <f t="shared" si="150"/>
        <v>0</v>
      </c>
      <c r="AC454" s="305">
        <f t="shared" si="151"/>
        <v>0</v>
      </c>
      <c r="AP454" s="89" t="str">
        <f t="shared" si="140"/>
        <v/>
      </c>
      <c r="AQ454" s="89" t="str">
        <f t="shared" si="138"/>
        <v/>
      </c>
      <c r="AR454" s="315" t="str">
        <f t="shared" si="139"/>
        <v/>
      </c>
      <c r="AS454" s="305" t="str">
        <f t="shared" si="152"/>
        <v>0</v>
      </c>
      <c r="AT454" s="307">
        <f>Table22[[#This Row],[Column1]]</f>
        <v>0</v>
      </c>
    </row>
    <row r="455" spans="1:46" x14ac:dyDescent="0.3">
      <c r="A455" s="307">
        <f t="shared" si="147"/>
        <v>0</v>
      </c>
      <c r="B455" s="307">
        <f t="shared" si="136"/>
        <v>0</v>
      </c>
      <c r="C455" s="308" t="s">
        <v>563</v>
      </c>
      <c r="D455" s="309" t="s">
        <v>563</v>
      </c>
      <c r="E455" s="310">
        <v>0</v>
      </c>
      <c r="F455" s="310">
        <v>0</v>
      </c>
      <c r="G455" s="311">
        <v>0</v>
      </c>
      <c r="H455" s="310" t="s">
        <v>563</v>
      </c>
      <c r="I455" s="310" t="s">
        <v>563</v>
      </c>
      <c r="J455" s="310" t="s">
        <v>563</v>
      </c>
      <c r="K455" s="312">
        <v>0</v>
      </c>
      <c r="L455" s="310">
        <v>0</v>
      </c>
      <c r="M455" s="310">
        <v>0</v>
      </c>
      <c r="N455" s="313" t="s">
        <v>563</v>
      </c>
      <c r="O455" s="314" t="s">
        <v>563</v>
      </c>
      <c r="P455" s="307">
        <f t="shared" si="141"/>
        <v>0</v>
      </c>
      <c r="R455" s="91" t="str">
        <f t="shared" si="137"/>
        <v/>
      </c>
      <c r="S45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5" s="307" t="str">
        <f t="shared" si="143"/>
        <v/>
      </c>
      <c r="U455" s="315" t="str">
        <f t="shared" si="144"/>
        <v/>
      </c>
      <c r="V455" s="307" t="str">
        <f t="shared" si="153"/>
        <v/>
      </c>
      <c r="W455" s="307" t="str">
        <f>IFERROR(IF(V455&gt;0,PROPER(Terbilang1(V455)&amp;" Rupiah"),0),"")</f>
        <v/>
      </c>
      <c r="X455" s="90" t="str">
        <f t="shared" si="148"/>
        <v/>
      </c>
      <c r="Y455" s="307" t="str">
        <f t="shared" si="149"/>
        <v/>
      </c>
      <c r="Z455" s="307">
        <f t="shared" si="145"/>
        <v>0</v>
      </c>
      <c r="AA455" s="366">
        <f t="shared" si="146"/>
        <v>0</v>
      </c>
      <c r="AB455" s="367">
        <f t="shared" si="150"/>
        <v>0</v>
      </c>
      <c r="AC455" s="305">
        <f t="shared" si="151"/>
        <v>0</v>
      </c>
      <c r="AP455" s="89" t="str">
        <f t="shared" si="140"/>
        <v/>
      </c>
      <c r="AQ455" s="89" t="str">
        <f t="shared" si="138"/>
        <v/>
      </c>
      <c r="AR455" s="315" t="str">
        <f t="shared" si="139"/>
        <v/>
      </c>
      <c r="AS455" s="305" t="str">
        <f t="shared" si="152"/>
        <v>0</v>
      </c>
      <c r="AT455" s="307">
        <f>Table22[[#This Row],[Column1]]</f>
        <v>0</v>
      </c>
    </row>
    <row r="456" spans="1:46" x14ac:dyDescent="0.3">
      <c r="A456" s="307">
        <f t="shared" si="147"/>
        <v>0</v>
      </c>
      <c r="B456" s="307">
        <f t="shared" si="136"/>
        <v>0</v>
      </c>
      <c r="C456" s="308" t="s">
        <v>563</v>
      </c>
      <c r="D456" s="309" t="s">
        <v>563</v>
      </c>
      <c r="E456" s="310">
        <v>0</v>
      </c>
      <c r="F456" s="310">
        <v>0</v>
      </c>
      <c r="G456" s="311">
        <v>0</v>
      </c>
      <c r="H456" s="310" t="s">
        <v>563</v>
      </c>
      <c r="I456" s="310" t="s">
        <v>563</v>
      </c>
      <c r="J456" s="310" t="s">
        <v>563</v>
      </c>
      <c r="K456" s="312">
        <v>0</v>
      </c>
      <c r="L456" s="310">
        <v>0</v>
      </c>
      <c r="M456" s="310">
        <v>0</v>
      </c>
      <c r="N456" s="313" t="s">
        <v>563</v>
      </c>
      <c r="O456" s="314" t="s">
        <v>563</v>
      </c>
      <c r="P456" s="307">
        <f t="shared" si="141"/>
        <v>0</v>
      </c>
      <c r="R456" s="91" t="str">
        <f t="shared" si="137"/>
        <v/>
      </c>
      <c r="S45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6" s="307" t="str">
        <f t="shared" si="143"/>
        <v/>
      </c>
      <c r="U456" s="315" t="str">
        <f t="shared" si="144"/>
        <v/>
      </c>
      <c r="V456" s="307" t="str">
        <f>N456</f>
        <v/>
      </c>
      <c r="W456" s="307" t="str">
        <f>IFERROR(IF(V456&gt;0,PROPER(Terbilang1(V456)&amp;" Rupiah"),0),"")</f>
        <v/>
      </c>
      <c r="X456" s="90" t="str">
        <f t="shared" si="148"/>
        <v/>
      </c>
      <c r="Y456" s="307" t="str">
        <f t="shared" si="149"/>
        <v/>
      </c>
      <c r="Z456" s="307">
        <f t="shared" si="145"/>
        <v>0</v>
      </c>
      <c r="AA456" s="366">
        <f t="shared" si="146"/>
        <v>0</v>
      </c>
      <c r="AB456" s="367">
        <f t="shared" si="150"/>
        <v>0</v>
      </c>
      <c r="AC456" s="305">
        <f t="shared" si="151"/>
        <v>0</v>
      </c>
      <c r="AP456" s="89" t="str">
        <f t="shared" si="140"/>
        <v/>
      </c>
      <c r="AQ456" s="89" t="str">
        <f t="shared" si="138"/>
        <v/>
      </c>
      <c r="AR456" s="315" t="str">
        <f t="shared" si="139"/>
        <v/>
      </c>
      <c r="AS456" s="305" t="str">
        <f t="shared" si="152"/>
        <v>0</v>
      </c>
      <c r="AT456" s="307">
        <f>Table22[[#This Row],[Column1]]</f>
        <v>0</v>
      </c>
    </row>
    <row r="457" spans="1:46" x14ac:dyDescent="0.3">
      <c r="A457" s="307">
        <f t="shared" si="147"/>
        <v>0</v>
      </c>
      <c r="B457" s="307">
        <f t="shared" si="136"/>
        <v>0</v>
      </c>
      <c r="C457" s="308" t="s">
        <v>563</v>
      </c>
      <c r="D457" s="309" t="s">
        <v>563</v>
      </c>
      <c r="E457" s="310">
        <v>0</v>
      </c>
      <c r="F457" s="310">
        <v>0</v>
      </c>
      <c r="G457" s="311">
        <v>0</v>
      </c>
      <c r="H457" s="310" t="s">
        <v>563</v>
      </c>
      <c r="I457" s="310" t="s">
        <v>563</v>
      </c>
      <c r="J457" s="310" t="s">
        <v>563</v>
      </c>
      <c r="K457" s="312">
        <v>0</v>
      </c>
      <c r="L457" s="310">
        <v>0</v>
      </c>
      <c r="M457" s="310">
        <v>0</v>
      </c>
      <c r="N457" s="313" t="s">
        <v>563</v>
      </c>
      <c r="O457" s="314" t="s">
        <v>563</v>
      </c>
      <c r="P457" s="307">
        <f t="shared" si="141"/>
        <v>0</v>
      </c>
      <c r="R457" s="91" t="str">
        <f t="shared" si="137"/>
        <v/>
      </c>
      <c r="S45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7" s="307" t="str">
        <f t="shared" si="143"/>
        <v/>
      </c>
      <c r="U457" s="315" t="str">
        <f t="shared" si="144"/>
        <v/>
      </c>
      <c r="V457" s="307" t="str">
        <f t="shared" si="153"/>
        <v/>
      </c>
      <c r="W457" s="307" t="str">
        <f>IFERROR(IF(V457&gt;0,PROPER(Terbilang1(V457)&amp;" Rupiah"),0),"")</f>
        <v/>
      </c>
      <c r="X457" s="90" t="str">
        <f t="shared" si="148"/>
        <v/>
      </c>
      <c r="Y457" s="307" t="str">
        <f t="shared" si="149"/>
        <v/>
      </c>
      <c r="Z457" s="307">
        <f t="shared" si="145"/>
        <v>0</v>
      </c>
      <c r="AA457" s="366">
        <f t="shared" si="146"/>
        <v>0</v>
      </c>
      <c r="AB457" s="367">
        <f t="shared" si="150"/>
        <v>0</v>
      </c>
      <c r="AC457" s="305">
        <f t="shared" si="151"/>
        <v>0</v>
      </c>
      <c r="AP457" s="89" t="str">
        <f t="shared" si="140"/>
        <v/>
      </c>
      <c r="AQ457" s="89" t="str">
        <f t="shared" si="138"/>
        <v/>
      </c>
      <c r="AR457" s="315" t="str">
        <f t="shared" si="139"/>
        <v/>
      </c>
      <c r="AS457" s="305" t="str">
        <f t="shared" si="152"/>
        <v>0</v>
      </c>
      <c r="AT457" s="307">
        <f>Table22[[#This Row],[Column1]]</f>
        <v>0</v>
      </c>
    </row>
    <row r="458" spans="1:46" x14ac:dyDescent="0.3">
      <c r="A458" s="307">
        <f t="shared" si="147"/>
        <v>0</v>
      </c>
      <c r="B458" s="307">
        <f t="shared" si="136"/>
        <v>0</v>
      </c>
      <c r="C458" s="308" t="s">
        <v>563</v>
      </c>
      <c r="D458" s="309" t="s">
        <v>563</v>
      </c>
      <c r="E458" s="310">
        <v>0</v>
      </c>
      <c r="F458" s="310">
        <v>0</v>
      </c>
      <c r="G458" s="311">
        <v>0</v>
      </c>
      <c r="H458" s="310" t="s">
        <v>563</v>
      </c>
      <c r="I458" s="310" t="s">
        <v>563</v>
      </c>
      <c r="J458" s="310" t="s">
        <v>563</v>
      </c>
      <c r="K458" s="312">
        <v>0</v>
      </c>
      <c r="L458" s="310">
        <v>0</v>
      </c>
      <c r="M458" s="310">
        <v>0</v>
      </c>
      <c r="N458" s="313" t="s">
        <v>563</v>
      </c>
      <c r="O458" s="314" t="s">
        <v>563</v>
      </c>
      <c r="P458" s="307">
        <f t="shared" si="141"/>
        <v>0</v>
      </c>
      <c r="R458" s="91" t="str">
        <f t="shared" si="137"/>
        <v/>
      </c>
      <c r="S45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8" s="307" t="str">
        <f t="shared" si="143"/>
        <v/>
      </c>
      <c r="U458" s="315" t="str">
        <f t="shared" si="144"/>
        <v/>
      </c>
      <c r="V458" s="307" t="str">
        <f>N458</f>
        <v/>
      </c>
      <c r="W458" s="307" t="str">
        <f>IFERROR(IF(V458&gt;0,PROPER(Terbilang1(V458)&amp;" Rupiah"),0),"")</f>
        <v/>
      </c>
      <c r="X458" s="90" t="str">
        <f t="shared" si="148"/>
        <v/>
      </c>
      <c r="Y458" s="307" t="str">
        <f t="shared" si="149"/>
        <v/>
      </c>
      <c r="Z458" s="307">
        <f t="shared" si="145"/>
        <v>0</v>
      </c>
      <c r="AA458" s="366">
        <f t="shared" si="146"/>
        <v>0</v>
      </c>
      <c r="AB458" s="367">
        <f t="shared" si="150"/>
        <v>0</v>
      </c>
      <c r="AC458" s="305">
        <f t="shared" si="151"/>
        <v>0</v>
      </c>
      <c r="AP458" s="89" t="str">
        <f t="shared" si="140"/>
        <v/>
      </c>
      <c r="AQ458" s="89" t="str">
        <f t="shared" si="138"/>
        <v/>
      </c>
      <c r="AR458" s="315" t="str">
        <f t="shared" si="139"/>
        <v/>
      </c>
      <c r="AS458" s="305" t="str">
        <f t="shared" si="152"/>
        <v>0</v>
      </c>
      <c r="AT458" s="307">
        <f>Table22[[#This Row],[Column1]]</f>
        <v>0</v>
      </c>
    </row>
    <row r="459" spans="1:46" x14ac:dyDescent="0.3">
      <c r="A459" s="307">
        <f t="shared" si="147"/>
        <v>0</v>
      </c>
      <c r="B459" s="307">
        <f t="shared" si="136"/>
        <v>0</v>
      </c>
      <c r="C459" s="308" t="s">
        <v>563</v>
      </c>
      <c r="D459" s="309" t="s">
        <v>563</v>
      </c>
      <c r="E459" s="310">
        <v>0</v>
      </c>
      <c r="F459" s="310">
        <v>0</v>
      </c>
      <c r="G459" s="311">
        <v>0</v>
      </c>
      <c r="H459" s="310" t="s">
        <v>563</v>
      </c>
      <c r="I459" s="310" t="s">
        <v>563</v>
      </c>
      <c r="J459" s="310" t="s">
        <v>563</v>
      </c>
      <c r="K459" s="312">
        <v>0</v>
      </c>
      <c r="L459" s="310">
        <v>0</v>
      </c>
      <c r="M459" s="310">
        <v>0</v>
      </c>
      <c r="N459" s="313" t="s">
        <v>563</v>
      </c>
      <c r="O459" s="314" t="s">
        <v>563</v>
      </c>
      <c r="P459" s="307">
        <f t="shared" si="141"/>
        <v>0</v>
      </c>
      <c r="R459" s="91" t="str">
        <f t="shared" si="137"/>
        <v/>
      </c>
      <c r="S45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59" s="307" t="str">
        <f t="shared" si="143"/>
        <v/>
      </c>
      <c r="U459" s="315" t="str">
        <f t="shared" si="144"/>
        <v/>
      </c>
      <c r="V459" s="307" t="str">
        <f>N459</f>
        <v/>
      </c>
      <c r="W459" s="307" t="str">
        <f>IFERROR(IF(V459&gt;0,PROPER(Terbilang1(V459)&amp;" Rupiah"),0),"")</f>
        <v/>
      </c>
      <c r="X459" s="90" t="str">
        <f t="shared" si="148"/>
        <v/>
      </c>
      <c r="Y459" s="307" t="str">
        <f t="shared" si="149"/>
        <v/>
      </c>
      <c r="Z459" s="307">
        <f t="shared" si="145"/>
        <v>0</v>
      </c>
      <c r="AA459" s="366">
        <f t="shared" si="146"/>
        <v>0</v>
      </c>
      <c r="AB459" s="367">
        <f t="shared" si="150"/>
        <v>0</v>
      </c>
      <c r="AC459" s="305">
        <f t="shared" si="151"/>
        <v>0</v>
      </c>
      <c r="AP459" s="89" t="str">
        <f t="shared" si="140"/>
        <v/>
      </c>
      <c r="AQ459" s="89" t="str">
        <f t="shared" si="138"/>
        <v/>
      </c>
      <c r="AR459" s="315" t="str">
        <f t="shared" si="139"/>
        <v/>
      </c>
      <c r="AS459" s="305" t="str">
        <f t="shared" si="152"/>
        <v>0</v>
      </c>
      <c r="AT459" s="307">
        <f>Table22[[#This Row],[Column1]]</f>
        <v>0</v>
      </c>
    </row>
    <row r="460" spans="1:46" x14ac:dyDescent="0.3">
      <c r="A460" s="307">
        <f t="shared" si="147"/>
        <v>0</v>
      </c>
      <c r="B460" s="307">
        <f t="shared" si="136"/>
        <v>0</v>
      </c>
      <c r="C460" s="308" t="s">
        <v>563</v>
      </c>
      <c r="D460" s="309" t="s">
        <v>563</v>
      </c>
      <c r="E460" s="310">
        <v>0</v>
      </c>
      <c r="F460" s="310">
        <v>0</v>
      </c>
      <c r="G460" s="311">
        <v>0</v>
      </c>
      <c r="H460" s="310" t="s">
        <v>563</v>
      </c>
      <c r="I460" s="310" t="s">
        <v>563</v>
      </c>
      <c r="J460" s="310" t="s">
        <v>563</v>
      </c>
      <c r="K460" s="312">
        <v>0</v>
      </c>
      <c r="L460" s="310">
        <v>0</v>
      </c>
      <c r="M460" s="310">
        <v>0</v>
      </c>
      <c r="N460" s="313" t="s">
        <v>563</v>
      </c>
      <c r="O460" s="314" t="s">
        <v>563</v>
      </c>
      <c r="P460" s="307">
        <f t="shared" si="141"/>
        <v>0</v>
      </c>
      <c r="R460" s="91" t="str">
        <f t="shared" si="137"/>
        <v/>
      </c>
      <c r="S46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0" s="307" t="str">
        <f t="shared" si="143"/>
        <v/>
      </c>
      <c r="U460" s="315" t="str">
        <f t="shared" si="144"/>
        <v/>
      </c>
      <c r="V460" s="307" t="str">
        <f t="shared" si="153"/>
        <v/>
      </c>
      <c r="W460" s="307" t="str">
        <f>IFERROR(IF(V460&gt;0,PROPER(Terbilang1(V460)&amp;" Rupiah"),0),"")</f>
        <v/>
      </c>
      <c r="X460" s="90" t="str">
        <f t="shared" si="148"/>
        <v/>
      </c>
      <c r="Y460" s="307" t="str">
        <f t="shared" si="149"/>
        <v/>
      </c>
      <c r="Z460" s="307">
        <f t="shared" si="145"/>
        <v>0</v>
      </c>
      <c r="AA460" s="366">
        <f t="shared" si="146"/>
        <v>0</v>
      </c>
      <c r="AB460" s="367">
        <f t="shared" si="150"/>
        <v>0</v>
      </c>
      <c r="AC460" s="305">
        <f t="shared" si="151"/>
        <v>0</v>
      </c>
      <c r="AP460" s="89" t="str">
        <f t="shared" si="140"/>
        <v/>
      </c>
      <c r="AQ460" s="89" t="str">
        <f t="shared" si="138"/>
        <v/>
      </c>
      <c r="AR460" s="315" t="str">
        <f t="shared" si="139"/>
        <v/>
      </c>
      <c r="AS460" s="305" t="str">
        <f t="shared" si="152"/>
        <v>0</v>
      </c>
      <c r="AT460" s="307">
        <f>Table22[[#This Row],[Column1]]</f>
        <v>0</v>
      </c>
    </row>
    <row r="461" spans="1:46" x14ac:dyDescent="0.3">
      <c r="A461" s="307">
        <f t="shared" si="147"/>
        <v>0</v>
      </c>
      <c r="B461" s="307">
        <f t="shared" si="136"/>
        <v>0</v>
      </c>
      <c r="C461" s="308" t="s">
        <v>563</v>
      </c>
      <c r="D461" s="309" t="s">
        <v>563</v>
      </c>
      <c r="E461" s="310">
        <v>0</v>
      </c>
      <c r="F461" s="310">
        <v>0</v>
      </c>
      <c r="G461" s="311">
        <v>0</v>
      </c>
      <c r="H461" s="310" t="s">
        <v>563</v>
      </c>
      <c r="I461" s="310" t="s">
        <v>563</v>
      </c>
      <c r="J461" s="310" t="s">
        <v>563</v>
      </c>
      <c r="K461" s="312">
        <v>0</v>
      </c>
      <c r="L461" s="310">
        <v>0</v>
      </c>
      <c r="M461" s="310">
        <v>0</v>
      </c>
      <c r="N461" s="313" t="s">
        <v>563</v>
      </c>
      <c r="O461" s="314" t="s">
        <v>563</v>
      </c>
      <c r="P461" s="307">
        <f t="shared" si="141"/>
        <v>0</v>
      </c>
      <c r="R461" s="91" t="str">
        <f t="shared" si="137"/>
        <v/>
      </c>
      <c r="S46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1" s="307" t="str">
        <f t="shared" si="143"/>
        <v/>
      </c>
      <c r="U461" s="315" t="str">
        <f t="shared" si="144"/>
        <v/>
      </c>
      <c r="V461" s="307" t="str">
        <f t="shared" si="153"/>
        <v/>
      </c>
      <c r="W461" s="307" t="str">
        <f>IFERROR(IF(V461&gt;0,PROPER(Terbilang1(V461)&amp;" Rupiah"),0),"")</f>
        <v/>
      </c>
      <c r="X461" s="90" t="str">
        <f t="shared" si="148"/>
        <v/>
      </c>
      <c r="Y461" s="307" t="str">
        <f t="shared" si="149"/>
        <v/>
      </c>
      <c r="Z461" s="307">
        <f t="shared" si="145"/>
        <v>0</v>
      </c>
      <c r="AA461" s="366">
        <f t="shared" si="146"/>
        <v>0</v>
      </c>
      <c r="AB461" s="367">
        <f t="shared" si="150"/>
        <v>0</v>
      </c>
      <c r="AC461" s="305">
        <f t="shared" si="151"/>
        <v>0</v>
      </c>
      <c r="AP461" s="89" t="str">
        <f t="shared" si="140"/>
        <v/>
      </c>
      <c r="AQ461" s="89" t="str">
        <f t="shared" si="138"/>
        <v/>
      </c>
      <c r="AR461" s="315" t="str">
        <f t="shared" si="139"/>
        <v/>
      </c>
      <c r="AS461" s="305" t="str">
        <f t="shared" si="152"/>
        <v>0</v>
      </c>
      <c r="AT461" s="307">
        <f>Table22[[#This Row],[Column1]]</f>
        <v>0</v>
      </c>
    </row>
    <row r="462" spans="1:46" x14ac:dyDescent="0.3">
      <c r="A462" s="307">
        <f t="shared" si="147"/>
        <v>0</v>
      </c>
      <c r="B462" s="307">
        <f t="shared" si="136"/>
        <v>0</v>
      </c>
      <c r="C462" s="308" t="s">
        <v>563</v>
      </c>
      <c r="D462" s="309" t="s">
        <v>563</v>
      </c>
      <c r="E462" s="310">
        <v>0</v>
      </c>
      <c r="F462" s="310">
        <v>0</v>
      </c>
      <c r="G462" s="311">
        <v>0</v>
      </c>
      <c r="H462" s="310" t="s">
        <v>563</v>
      </c>
      <c r="I462" s="310" t="s">
        <v>563</v>
      </c>
      <c r="J462" s="310" t="s">
        <v>563</v>
      </c>
      <c r="K462" s="312">
        <v>0</v>
      </c>
      <c r="L462" s="310">
        <v>0</v>
      </c>
      <c r="M462" s="310">
        <v>0</v>
      </c>
      <c r="N462" s="313" t="s">
        <v>563</v>
      </c>
      <c r="O462" s="314" t="s">
        <v>563</v>
      </c>
      <c r="P462" s="307">
        <f t="shared" si="141"/>
        <v>0</v>
      </c>
      <c r="R462" s="91" t="str">
        <f t="shared" si="137"/>
        <v/>
      </c>
      <c r="S46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2" s="307" t="str">
        <f t="shared" si="143"/>
        <v/>
      </c>
      <c r="U462" s="315" t="str">
        <f t="shared" si="144"/>
        <v/>
      </c>
      <c r="V462" s="307" t="str">
        <f t="shared" si="153"/>
        <v/>
      </c>
      <c r="W462" s="307" t="str">
        <f>IFERROR(IF(V462&gt;0,PROPER(Terbilang1(V462)&amp;" Rupiah"),0),"")</f>
        <v/>
      </c>
      <c r="X462" s="90" t="str">
        <f t="shared" si="148"/>
        <v/>
      </c>
      <c r="Y462" s="307" t="str">
        <f t="shared" si="149"/>
        <v/>
      </c>
      <c r="Z462" s="307">
        <f t="shared" si="145"/>
        <v>0</v>
      </c>
      <c r="AA462" s="366">
        <f t="shared" si="146"/>
        <v>0</v>
      </c>
      <c r="AB462" s="367">
        <f t="shared" si="150"/>
        <v>0</v>
      </c>
      <c r="AC462" s="305">
        <f t="shared" si="151"/>
        <v>0</v>
      </c>
      <c r="AP462" s="89" t="str">
        <f t="shared" si="140"/>
        <v/>
      </c>
      <c r="AQ462" s="89" t="str">
        <f t="shared" si="138"/>
        <v/>
      </c>
      <c r="AR462" s="315" t="str">
        <f t="shared" si="139"/>
        <v/>
      </c>
      <c r="AS462" s="305" t="str">
        <f t="shared" si="152"/>
        <v>0</v>
      </c>
      <c r="AT462" s="307">
        <f>Table22[[#This Row],[Column1]]</f>
        <v>0</v>
      </c>
    </row>
    <row r="463" spans="1:46" x14ac:dyDescent="0.3">
      <c r="A463" s="307">
        <f t="shared" si="147"/>
        <v>0</v>
      </c>
      <c r="B463" s="307">
        <f t="shared" si="136"/>
        <v>0</v>
      </c>
      <c r="C463" s="308" t="s">
        <v>563</v>
      </c>
      <c r="D463" s="309" t="s">
        <v>563</v>
      </c>
      <c r="E463" s="310">
        <v>0</v>
      </c>
      <c r="F463" s="310">
        <v>0</v>
      </c>
      <c r="G463" s="311">
        <v>0</v>
      </c>
      <c r="H463" s="310" t="s">
        <v>563</v>
      </c>
      <c r="I463" s="310" t="s">
        <v>563</v>
      </c>
      <c r="J463" s="310" t="s">
        <v>563</v>
      </c>
      <c r="K463" s="312">
        <v>0</v>
      </c>
      <c r="L463" s="310">
        <v>0</v>
      </c>
      <c r="M463" s="310">
        <v>0</v>
      </c>
      <c r="N463" s="313" t="s">
        <v>563</v>
      </c>
      <c r="O463" s="314" t="s">
        <v>563</v>
      </c>
      <c r="P463" s="307">
        <f t="shared" si="141"/>
        <v>0</v>
      </c>
      <c r="R463" s="91" t="str">
        <f t="shared" si="137"/>
        <v/>
      </c>
      <c r="S46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3" s="307" t="str">
        <f t="shared" si="143"/>
        <v/>
      </c>
      <c r="U463" s="315" t="str">
        <f t="shared" si="144"/>
        <v/>
      </c>
      <c r="V463" s="307" t="str">
        <f t="shared" si="153"/>
        <v/>
      </c>
      <c r="W463" s="307" t="str">
        <f>IFERROR(IF(V463&gt;0,PROPER(Terbilang1(V463)&amp;" Rupiah"),0),"")</f>
        <v/>
      </c>
      <c r="X463" s="90" t="str">
        <f t="shared" si="148"/>
        <v/>
      </c>
      <c r="Y463" s="307" t="str">
        <f t="shared" si="149"/>
        <v/>
      </c>
      <c r="Z463" s="307">
        <f t="shared" si="145"/>
        <v>0</v>
      </c>
      <c r="AA463" s="366">
        <f t="shared" si="146"/>
        <v>0</v>
      </c>
      <c r="AB463" s="367">
        <f t="shared" si="150"/>
        <v>0</v>
      </c>
      <c r="AC463" s="305">
        <f t="shared" si="151"/>
        <v>0</v>
      </c>
      <c r="AP463" s="89" t="str">
        <f t="shared" si="140"/>
        <v/>
      </c>
      <c r="AQ463" s="89" t="str">
        <f t="shared" si="138"/>
        <v/>
      </c>
      <c r="AR463" s="315" t="str">
        <f t="shared" si="139"/>
        <v/>
      </c>
      <c r="AS463" s="305" t="str">
        <f t="shared" si="152"/>
        <v>0</v>
      </c>
      <c r="AT463" s="307">
        <f>Table22[[#This Row],[Column1]]</f>
        <v>0</v>
      </c>
    </row>
    <row r="464" spans="1:46" x14ac:dyDescent="0.3">
      <c r="A464" s="307">
        <f t="shared" si="147"/>
        <v>0</v>
      </c>
      <c r="B464" s="307">
        <f t="shared" si="136"/>
        <v>0</v>
      </c>
      <c r="C464" s="308" t="s">
        <v>563</v>
      </c>
      <c r="D464" s="309" t="s">
        <v>563</v>
      </c>
      <c r="E464" s="310">
        <v>0</v>
      </c>
      <c r="F464" s="310">
        <v>0</v>
      </c>
      <c r="G464" s="311">
        <v>0</v>
      </c>
      <c r="H464" s="310" t="s">
        <v>563</v>
      </c>
      <c r="I464" s="310" t="s">
        <v>563</v>
      </c>
      <c r="J464" s="310" t="s">
        <v>563</v>
      </c>
      <c r="K464" s="312">
        <v>0</v>
      </c>
      <c r="L464" s="310">
        <v>0</v>
      </c>
      <c r="M464" s="310">
        <v>0</v>
      </c>
      <c r="N464" s="313" t="s">
        <v>563</v>
      </c>
      <c r="O464" s="314" t="s">
        <v>563</v>
      </c>
      <c r="P464" s="307">
        <f t="shared" si="141"/>
        <v>0</v>
      </c>
      <c r="R464" s="91" t="str">
        <f t="shared" si="137"/>
        <v/>
      </c>
      <c r="S46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4" s="307" t="str">
        <f t="shared" si="143"/>
        <v/>
      </c>
      <c r="U464" s="315" t="str">
        <f t="shared" si="144"/>
        <v/>
      </c>
      <c r="V464" s="307" t="str">
        <f t="shared" si="153"/>
        <v/>
      </c>
      <c r="W464" s="307" t="str">
        <f>IFERROR(IF(V464&gt;0,PROPER(Terbilang1(V464)&amp;" Rupiah"),0),"")</f>
        <v/>
      </c>
      <c r="X464" s="90" t="str">
        <f t="shared" si="148"/>
        <v/>
      </c>
      <c r="Y464" s="307" t="str">
        <f t="shared" si="149"/>
        <v/>
      </c>
      <c r="Z464" s="307">
        <f t="shared" si="145"/>
        <v>0</v>
      </c>
      <c r="AA464" s="366">
        <f t="shared" si="146"/>
        <v>0</v>
      </c>
      <c r="AB464" s="367">
        <f t="shared" si="150"/>
        <v>0</v>
      </c>
      <c r="AC464" s="305">
        <f t="shared" si="151"/>
        <v>0</v>
      </c>
      <c r="AP464" s="89" t="str">
        <f t="shared" si="140"/>
        <v/>
      </c>
      <c r="AQ464" s="89" t="str">
        <f t="shared" si="138"/>
        <v/>
      </c>
      <c r="AR464" s="315" t="str">
        <f t="shared" si="139"/>
        <v/>
      </c>
      <c r="AS464" s="305" t="str">
        <f t="shared" si="152"/>
        <v>0</v>
      </c>
      <c r="AT464" s="307">
        <f>Table22[[#This Row],[Column1]]</f>
        <v>0</v>
      </c>
    </row>
    <row r="465" spans="1:46" x14ac:dyDescent="0.3">
      <c r="A465" s="307">
        <f t="shared" si="147"/>
        <v>0</v>
      </c>
      <c r="B465" s="307">
        <f t="shared" si="136"/>
        <v>0</v>
      </c>
      <c r="C465" s="308" t="s">
        <v>563</v>
      </c>
      <c r="D465" s="309" t="s">
        <v>563</v>
      </c>
      <c r="E465" s="310">
        <v>0</v>
      </c>
      <c r="F465" s="310">
        <v>0</v>
      </c>
      <c r="G465" s="311">
        <v>0</v>
      </c>
      <c r="H465" s="310" t="s">
        <v>563</v>
      </c>
      <c r="I465" s="310" t="s">
        <v>563</v>
      </c>
      <c r="J465" s="310" t="s">
        <v>563</v>
      </c>
      <c r="K465" s="312">
        <v>0</v>
      </c>
      <c r="L465" s="310">
        <v>0</v>
      </c>
      <c r="M465" s="310">
        <v>0</v>
      </c>
      <c r="N465" s="313" t="s">
        <v>563</v>
      </c>
      <c r="O465" s="314" t="s">
        <v>563</v>
      </c>
      <c r="P465" s="307">
        <f t="shared" si="141"/>
        <v>0</v>
      </c>
      <c r="R465" s="91" t="str">
        <f t="shared" si="137"/>
        <v/>
      </c>
      <c r="S46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5" s="307" t="str">
        <f t="shared" si="143"/>
        <v/>
      </c>
      <c r="U465" s="315" t="str">
        <f t="shared" si="144"/>
        <v/>
      </c>
      <c r="V465" s="307" t="str">
        <f>N465</f>
        <v/>
      </c>
      <c r="W465" s="307" t="str">
        <f>IFERROR(IF(V465&gt;0,PROPER(Terbilang1(V465)&amp;" Rupiah"),0),"")</f>
        <v/>
      </c>
      <c r="X465" s="90" t="str">
        <f t="shared" si="148"/>
        <v/>
      </c>
      <c r="Y465" s="307" t="str">
        <f t="shared" si="149"/>
        <v/>
      </c>
      <c r="Z465" s="307">
        <f t="shared" si="145"/>
        <v>0</v>
      </c>
      <c r="AA465" s="366">
        <f t="shared" si="146"/>
        <v>0</v>
      </c>
      <c r="AB465" s="367">
        <f t="shared" si="150"/>
        <v>0</v>
      </c>
      <c r="AC465" s="305">
        <f t="shared" si="151"/>
        <v>0</v>
      </c>
      <c r="AP465" s="89" t="str">
        <f t="shared" si="140"/>
        <v/>
      </c>
      <c r="AQ465" s="89" t="str">
        <f t="shared" si="138"/>
        <v/>
      </c>
      <c r="AR465" s="315" t="str">
        <f t="shared" si="139"/>
        <v/>
      </c>
      <c r="AS465" s="305" t="str">
        <f t="shared" si="152"/>
        <v>0</v>
      </c>
      <c r="AT465" s="307">
        <f>Table22[[#This Row],[Column1]]</f>
        <v>0</v>
      </c>
    </row>
    <row r="466" spans="1:46" x14ac:dyDescent="0.3">
      <c r="A466" s="307">
        <f t="shared" si="147"/>
        <v>0</v>
      </c>
      <c r="B466" s="307">
        <f t="shared" si="136"/>
        <v>0</v>
      </c>
      <c r="C466" s="308" t="s">
        <v>563</v>
      </c>
      <c r="D466" s="309" t="s">
        <v>563</v>
      </c>
      <c r="E466" s="310">
        <v>0</v>
      </c>
      <c r="F466" s="310">
        <v>0</v>
      </c>
      <c r="G466" s="311">
        <v>0</v>
      </c>
      <c r="H466" s="310" t="s">
        <v>563</v>
      </c>
      <c r="I466" s="310" t="s">
        <v>563</v>
      </c>
      <c r="J466" s="310" t="s">
        <v>563</v>
      </c>
      <c r="K466" s="312">
        <v>0</v>
      </c>
      <c r="L466" s="310">
        <v>0</v>
      </c>
      <c r="M466" s="310">
        <v>0</v>
      </c>
      <c r="N466" s="313" t="s">
        <v>563</v>
      </c>
      <c r="O466" s="314" t="s">
        <v>563</v>
      </c>
      <c r="P466" s="307">
        <f t="shared" si="141"/>
        <v>0</v>
      </c>
      <c r="R466" s="91" t="str">
        <f t="shared" si="137"/>
        <v/>
      </c>
      <c r="S46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6" s="307" t="str">
        <f t="shared" si="143"/>
        <v/>
      </c>
      <c r="U466" s="315" t="str">
        <f t="shared" si="144"/>
        <v/>
      </c>
      <c r="V466" s="307" t="str">
        <f t="shared" si="153"/>
        <v/>
      </c>
      <c r="W466" s="307" t="str">
        <f>IFERROR(IF(V466&gt;0,PROPER(Terbilang1(V466)&amp;" Rupiah"),0),"")</f>
        <v/>
      </c>
      <c r="X466" s="90" t="str">
        <f t="shared" si="148"/>
        <v/>
      </c>
      <c r="Y466" s="307" t="str">
        <f t="shared" si="149"/>
        <v/>
      </c>
      <c r="Z466" s="307">
        <f t="shared" si="145"/>
        <v>0</v>
      </c>
      <c r="AA466" s="366">
        <f t="shared" si="146"/>
        <v>0</v>
      </c>
      <c r="AB466" s="367">
        <f t="shared" si="150"/>
        <v>0</v>
      </c>
      <c r="AC466" s="305">
        <f t="shared" si="151"/>
        <v>0</v>
      </c>
      <c r="AP466" s="89" t="str">
        <f t="shared" si="140"/>
        <v/>
      </c>
      <c r="AQ466" s="89" t="str">
        <f t="shared" si="138"/>
        <v/>
      </c>
      <c r="AR466" s="315" t="str">
        <f t="shared" si="139"/>
        <v/>
      </c>
      <c r="AS466" s="305" t="str">
        <f t="shared" si="152"/>
        <v>0</v>
      </c>
      <c r="AT466" s="307">
        <f>Table22[[#This Row],[Column1]]</f>
        <v>0</v>
      </c>
    </row>
    <row r="467" spans="1:46" x14ac:dyDescent="0.3">
      <c r="A467" s="307">
        <f t="shared" si="147"/>
        <v>0</v>
      </c>
      <c r="B467" s="307">
        <f t="shared" si="136"/>
        <v>0</v>
      </c>
      <c r="C467" s="308" t="s">
        <v>563</v>
      </c>
      <c r="D467" s="309" t="s">
        <v>563</v>
      </c>
      <c r="E467" s="310">
        <v>0</v>
      </c>
      <c r="F467" s="310">
        <v>0</v>
      </c>
      <c r="G467" s="311">
        <v>0</v>
      </c>
      <c r="H467" s="310" t="s">
        <v>563</v>
      </c>
      <c r="I467" s="310" t="s">
        <v>563</v>
      </c>
      <c r="J467" s="310" t="s">
        <v>563</v>
      </c>
      <c r="K467" s="312">
        <v>0</v>
      </c>
      <c r="L467" s="310">
        <v>0</v>
      </c>
      <c r="M467" s="310">
        <v>0</v>
      </c>
      <c r="N467" s="313" t="s">
        <v>563</v>
      </c>
      <c r="O467" s="314" t="s">
        <v>563</v>
      </c>
      <c r="P467" s="307">
        <f t="shared" si="141"/>
        <v>0</v>
      </c>
      <c r="R467" s="91" t="str">
        <f t="shared" si="137"/>
        <v/>
      </c>
      <c r="S46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7" s="307" t="str">
        <f t="shared" si="143"/>
        <v/>
      </c>
      <c r="U467" s="315" t="str">
        <f t="shared" si="144"/>
        <v/>
      </c>
      <c r="V467" s="307" t="str">
        <f t="shared" si="153"/>
        <v/>
      </c>
      <c r="W467" s="307" t="str">
        <f>IFERROR(IF(V467&gt;0,PROPER(Terbilang1(V467)&amp;" Rupiah"),0),"")</f>
        <v/>
      </c>
      <c r="X467" s="90" t="str">
        <f t="shared" si="148"/>
        <v/>
      </c>
      <c r="Y467" s="307" t="str">
        <f t="shared" si="149"/>
        <v/>
      </c>
      <c r="Z467" s="307">
        <f t="shared" si="145"/>
        <v>0</v>
      </c>
      <c r="AA467" s="366">
        <f t="shared" si="146"/>
        <v>0</v>
      </c>
      <c r="AB467" s="367">
        <f t="shared" si="150"/>
        <v>0</v>
      </c>
      <c r="AC467" s="305">
        <f t="shared" si="151"/>
        <v>0</v>
      </c>
      <c r="AP467" s="89" t="str">
        <f t="shared" si="140"/>
        <v/>
      </c>
      <c r="AQ467" s="89" t="str">
        <f t="shared" si="138"/>
        <v/>
      </c>
      <c r="AR467" s="315" t="str">
        <f t="shared" si="139"/>
        <v/>
      </c>
      <c r="AS467" s="305" t="str">
        <f t="shared" si="152"/>
        <v>0</v>
      </c>
      <c r="AT467" s="307">
        <f>Table22[[#This Row],[Column1]]</f>
        <v>0</v>
      </c>
    </row>
    <row r="468" spans="1:46" x14ac:dyDescent="0.3">
      <c r="A468" s="307">
        <f t="shared" si="147"/>
        <v>0</v>
      </c>
      <c r="B468" s="307">
        <f t="shared" si="136"/>
        <v>0</v>
      </c>
      <c r="C468" s="308" t="s">
        <v>563</v>
      </c>
      <c r="D468" s="309" t="s">
        <v>563</v>
      </c>
      <c r="E468" s="310">
        <v>0</v>
      </c>
      <c r="F468" s="310">
        <v>0</v>
      </c>
      <c r="G468" s="311">
        <v>0</v>
      </c>
      <c r="H468" s="310" t="s">
        <v>563</v>
      </c>
      <c r="I468" s="310" t="s">
        <v>563</v>
      </c>
      <c r="J468" s="310" t="s">
        <v>563</v>
      </c>
      <c r="K468" s="312">
        <v>0</v>
      </c>
      <c r="L468" s="310">
        <v>0</v>
      </c>
      <c r="M468" s="310">
        <v>0</v>
      </c>
      <c r="N468" s="313" t="s">
        <v>563</v>
      </c>
      <c r="O468" s="314" t="s">
        <v>563</v>
      </c>
      <c r="P468" s="307">
        <f t="shared" si="141"/>
        <v>0</v>
      </c>
      <c r="R468" s="91" t="str">
        <f t="shared" si="137"/>
        <v/>
      </c>
      <c r="S46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8" s="307" t="str">
        <f t="shared" si="143"/>
        <v/>
      </c>
      <c r="U468" s="315" t="str">
        <f t="shared" si="144"/>
        <v/>
      </c>
      <c r="V468" s="307" t="str">
        <f t="shared" si="153"/>
        <v/>
      </c>
      <c r="W468" s="307" t="str">
        <f>IFERROR(IF(V468&gt;0,PROPER(Terbilang1(V468)&amp;" Rupiah"),0),"")</f>
        <v/>
      </c>
      <c r="X468" s="90" t="str">
        <f t="shared" si="148"/>
        <v/>
      </c>
      <c r="Y468" s="307" t="str">
        <f t="shared" si="149"/>
        <v/>
      </c>
      <c r="Z468" s="307">
        <f t="shared" si="145"/>
        <v>0</v>
      </c>
      <c r="AA468" s="366">
        <f t="shared" si="146"/>
        <v>0</v>
      </c>
      <c r="AB468" s="367">
        <f t="shared" si="150"/>
        <v>0</v>
      </c>
      <c r="AC468" s="305">
        <f t="shared" si="151"/>
        <v>0</v>
      </c>
      <c r="AP468" s="89" t="str">
        <f t="shared" si="140"/>
        <v/>
      </c>
      <c r="AQ468" s="89" t="str">
        <f t="shared" si="138"/>
        <v/>
      </c>
      <c r="AR468" s="315" t="str">
        <f t="shared" si="139"/>
        <v/>
      </c>
      <c r="AS468" s="305" t="str">
        <f t="shared" si="152"/>
        <v>0</v>
      </c>
      <c r="AT468" s="307">
        <f>Table22[[#This Row],[Column1]]</f>
        <v>0</v>
      </c>
    </row>
    <row r="469" spans="1:46" x14ac:dyDescent="0.3">
      <c r="A469" s="307">
        <f t="shared" si="147"/>
        <v>0</v>
      </c>
      <c r="B469" s="307">
        <f t="shared" si="136"/>
        <v>0</v>
      </c>
      <c r="C469" s="308" t="s">
        <v>563</v>
      </c>
      <c r="D469" s="309" t="s">
        <v>563</v>
      </c>
      <c r="E469" s="310">
        <v>0</v>
      </c>
      <c r="F469" s="310">
        <v>0</v>
      </c>
      <c r="G469" s="311">
        <v>0</v>
      </c>
      <c r="H469" s="310" t="s">
        <v>563</v>
      </c>
      <c r="I469" s="310" t="s">
        <v>563</v>
      </c>
      <c r="J469" s="310" t="s">
        <v>563</v>
      </c>
      <c r="K469" s="312">
        <v>0</v>
      </c>
      <c r="L469" s="310">
        <v>0</v>
      </c>
      <c r="M469" s="310">
        <v>0</v>
      </c>
      <c r="N469" s="313" t="s">
        <v>563</v>
      </c>
      <c r="O469" s="314" t="s">
        <v>563</v>
      </c>
      <c r="P469" s="307">
        <f t="shared" si="141"/>
        <v>0</v>
      </c>
      <c r="R469" s="91" t="str">
        <f t="shared" si="137"/>
        <v/>
      </c>
      <c r="S46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69" s="307" t="str">
        <f t="shared" si="143"/>
        <v/>
      </c>
      <c r="U469" s="315" t="str">
        <f t="shared" si="144"/>
        <v/>
      </c>
      <c r="V469" s="307" t="str">
        <f>N469</f>
        <v/>
      </c>
      <c r="W469" s="307" t="str">
        <f>IFERROR(IF(V469&gt;0,PROPER(Terbilang1(V469)&amp;" Rupiah"),0),"")</f>
        <v/>
      </c>
      <c r="X469" s="90" t="str">
        <f t="shared" si="148"/>
        <v/>
      </c>
      <c r="Y469" s="307" t="str">
        <f t="shared" si="149"/>
        <v/>
      </c>
      <c r="Z469" s="307">
        <f t="shared" si="145"/>
        <v>0</v>
      </c>
      <c r="AA469" s="366">
        <f t="shared" si="146"/>
        <v>0</v>
      </c>
      <c r="AB469" s="367">
        <f t="shared" si="150"/>
        <v>0</v>
      </c>
      <c r="AC469" s="305">
        <f t="shared" si="151"/>
        <v>0</v>
      </c>
      <c r="AP469" s="89" t="str">
        <f t="shared" si="140"/>
        <v/>
      </c>
      <c r="AQ469" s="89" t="str">
        <f t="shared" si="138"/>
        <v/>
      </c>
      <c r="AR469" s="315" t="str">
        <f t="shared" si="139"/>
        <v/>
      </c>
      <c r="AS469" s="305" t="str">
        <f t="shared" si="152"/>
        <v>0</v>
      </c>
      <c r="AT469" s="307">
        <f>Table22[[#This Row],[Column1]]</f>
        <v>0</v>
      </c>
    </row>
    <row r="470" spans="1:46" x14ac:dyDescent="0.3">
      <c r="A470" s="307">
        <f t="shared" si="147"/>
        <v>0</v>
      </c>
      <c r="B470" s="307">
        <f t="shared" si="136"/>
        <v>0</v>
      </c>
      <c r="C470" s="308" t="s">
        <v>563</v>
      </c>
      <c r="D470" s="309" t="s">
        <v>563</v>
      </c>
      <c r="E470" s="310">
        <v>0</v>
      </c>
      <c r="F470" s="310">
        <v>0</v>
      </c>
      <c r="G470" s="311">
        <v>0</v>
      </c>
      <c r="H470" s="310" t="s">
        <v>563</v>
      </c>
      <c r="I470" s="310" t="s">
        <v>563</v>
      </c>
      <c r="J470" s="310" t="s">
        <v>563</v>
      </c>
      <c r="K470" s="312">
        <v>0</v>
      </c>
      <c r="L470" s="310">
        <v>0</v>
      </c>
      <c r="M470" s="310">
        <v>0</v>
      </c>
      <c r="N470" s="313" t="s">
        <v>563</v>
      </c>
      <c r="O470" s="314" t="s">
        <v>563</v>
      </c>
      <c r="P470" s="307">
        <f t="shared" si="141"/>
        <v>0</v>
      </c>
      <c r="R470" s="91" t="str">
        <f t="shared" si="137"/>
        <v/>
      </c>
      <c r="S47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0" s="307" t="str">
        <f t="shared" si="143"/>
        <v/>
      </c>
      <c r="U470" s="315" t="str">
        <f t="shared" si="144"/>
        <v/>
      </c>
      <c r="V470" s="307" t="str">
        <f t="shared" si="153"/>
        <v/>
      </c>
      <c r="W470" s="307" t="str">
        <f>IFERROR(IF(V470&gt;0,PROPER(Terbilang1(V470)&amp;" Rupiah"),0),"")</f>
        <v/>
      </c>
      <c r="X470" s="90" t="str">
        <f t="shared" si="148"/>
        <v/>
      </c>
      <c r="Y470" s="307" t="str">
        <f t="shared" si="149"/>
        <v/>
      </c>
      <c r="Z470" s="307">
        <f t="shared" si="145"/>
        <v>0</v>
      </c>
      <c r="AA470" s="366">
        <f t="shared" si="146"/>
        <v>0</v>
      </c>
      <c r="AB470" s="367">
        <f t="shared" si="150"/>
        <v>0</v>
      </c>
      <c r="AC470" s="305">
        <f t="shared" si="151"/>
        <v>0</v>
      </c>
      <c r="AP470" s="89" t="str">
        <f t="shared" si="140"/>
        <v/>
      </c>
      <c r="AQ470" s="89" t="str">
        <f t="shared" si="138"/>
        <v/>
      </c>
      <c r="AR470" s="315" t="str">
        <f t="shared" si="139"/>
        <v/>
      </c>
      <c r="AS470" s="305" t="str">
        <f t="shared" si="152"/>
        <v>0</v>
      </c>
      <c r="AT470" s="307">
        <f>Table22[[#This Row],[Column1]]</f>
        <v>0</v>
      </c>
    </row>
    <row r="471" spans="1:46" x14ac:dyDescent="0.3">
      <c r="A471" s="307">
        <f t="shared" si="147"/>
        <v>0</v>
      </c>
      <c r="B471" s="307">
        <f t="shared" si="136"/>
        <v>0</v>
      </c>
      <c r="C471" s="308" t="s">
        <v>563</v>
      </c>
      <c r="D471" s="309" t="s">
        <v>563</v>
      </c>
      <c r="E471" s="310">
        <v>0</v>
      </c>
      <c r="F471" s="310">
        <v>0</v>
      </c>
      <c r="G471" s="311">
        <v>0</v>
      </c>
      <c r="H471" s="310" t="s">
        <v>563</v>
      </c>
      <c r="I471" s="310" t="s">
        <v>563</v>
      </c>
      <c r="J471" s="310" t="s">
        <v>563</v>
      </c>
      <c r="K471" s="312">
        <v>0</v>
      </c>
      <c r="L471" s="310">
        <v>0</v>
      </c>
      <c r="M471" s="310">
        <v>0</v>
      </c>
      <c r="N471" s="313" t="s">
        <v>563</v>
      </c>
      <c r="O471" s="314" t="s">
        <v>563</v>
      </c>
      <c r="P471" s="307">
        <f t="shared" si="141"/>
        <v>0</v>
      </c>
      <c r="R471" s="91" t="str">
        <f t="shared" si="137"/>
        <v/>
      </c>
      <c r="S47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1" s="307" t="str">
        <f t="shared" si="143"/>
        <v/>
      </c>
      <c r="U471" s="315" t="str">
        <f t="shared" si="144"/>
        <v/>
      </c>
      <c r="V471" s="307" t="str">
        <f t="shared" si="153"/>
        <v/>
      </c>
      <c r="W471" s="307" t="str">
        <f>IFERROR(IF(V471&gt;0,PROPER(Terbilang1(V471)&amp;" Rupiah"),0),"")</f>
        <v/>
      </c>
      <c r="X471" s="90" t="str">
        <f t="shared" si="148"/>
        <v/>
      </c>
      <c r="Y471" s="307" t="str">
        <f t="shared" si="149"/>
        <v/>
      </c>
      <c r="Z471" s="307">
        <f t="shared" si="145"/>
        <v>0</v>
      </c>
      <c r="AA471" s="366">
        <f t="shared" si="146"/>
        <v>0</v>
      </c>
      <c r="AB471" s="367">
        <f t="shared" si="150"/>
        <v>0</v>
      </c>
      <c r="AC471" s="305">
        <f t="shared" si="151"/>
        <v>0</v>
      </c>
      <c r="AP471" s="89" t="str">
        <f t="shared" si="140"/>
        <v/>
      </c>
      <c r="AQ471" s="89" t="str">
        <f t="shared" si="138"/>
        <v/>
      </c>
      <c r="AR471" s="315" t="str">
        <f t="shared" si="139"/>
        <v/>
      </c>
      <c r="AS471" s="305" t="str">
        <f t="shared" si="152"/>
        <v>0</v>
      </c>
      <c r="AT471" s="307">
        <f>Table22[[#This Row],[Column1]]</f>
        <v>0</v>
      </c>
    </row>
    <row r="472" spans="1:46" x14ac:dyDescent="0.3">
      <c r="A472" s="307">
        <f t="shared" si="147"/>
        <v>0</v>
      </c>
      <c r="B472" s="307">
        <f t="shared" si="136"/>
        <v>0</v>
      </c>
      <c r="C472" s="308" t="s">
        <v>563</v>
      </c>
      <c r="D472" s="309" t="s">
        <v>563</v>
      </c>
      <c r="E472" s="310">
        <v>0</v>
      </c>
      <c r="F472" s="310">
        <v>0</v>
      </c>
      <c r="G472" s="311">
        <v>0</v>
      </c>
      <c r="H472" s="310" t="s">
        <v>563</v>
      </c>
      <c r="I472" s="310" t="s">
        <v>563</v>
      </c>
      <c r="J472" s="310" t="s">
        <v>563</v>
      </c>
      <c r="K472" s="312">
        <v>0</v>
      </c>
      <c r="L472" s="310">
        <v>0</v>
      </c>
      <c r="M472" s="310">
        <v>0</v>
      </c>
      <c r="N472" s="313" t="s">
        <v>563</v>
      </c>
      <c r="O472" s="314" t="s">
        <v>563</v>
      </c>
      <c r="P472" s="307">
        <f t="shared" si="141"/>
        <v>0</v>
      </c>
      <c r="R472" s="91" t="str">
        <f t="shared" si="137"/>
        <v/>
      </c>
      <c r="S47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2" s="307" t="str">
        <f t="shared" si="143"/>
        <v/>
      </c>
      <c r="U472" s="315" t="str">
        <f t="shared" si="144"/>
        <v/>
      </c>
      <c r="V472" s="307" t="str">
        <f>N472</f>
        <v/>
      </c>
      <c r="W472" s="307" t="str">
        <f>IFERROR(IF(V472&gt;0,PROPER(Terbilang1(V472)&amp;" Rupiah"),0),"")</f>
        <v/>
      </c>
      <c r="X472" s="90" t="str">
        <f t="shared" si="148"/>
        <v/>
      </c>
      <c r="Y472" s="307" t="str">
        <f t="shared" si="149"/>
        <v/>
      </c>
      <c r="Z472" s="307">
        <f t="shared" si="145"/>
        <v>0</v>
      </c>
      <c r="AA472" s="366">
        <f t="shared" si="146"/>
        <v>0</v>
      </c>
      <c r="AB472" s="367">
        <f t="shared" si="150"/>
        <v>0</v>
      </c>
      <c r="AC472" s="305">
        <f t="shared" si="151"/>
        <v>0</v>
      </c>
      <c r="AP472" s="89" t="str">
        <f t="shared" si="140"/>
        <v/>
      </c>
      <c r="AQ472" s="89" t="str">
        <f t="shared" si="138"/>
        <v/>
      </c>
      <c r="AR472" s="315" t="str">
        <f t="shared" si="139"/>
        <v/>
      </c>
      <c r="AS472" s="305" t="str">
        <f t="shared" si="152"/>
        <v>0</v>
      </c>
      <c r="AT472" s="307">
        <f>Table22[[#This Row],[Column1]]</f>
        <v>0</v>
      </c>
    </row>
    <row r="473" spans="1:46" x14ac:dyDescent="0.3">
      <c r="A473" s="307">
        <f t="shared" si="147"/>
        <v>0</v>
      </c>
      <c r="B473" s="307">
        <f t="shared" si="136"/>
        <v>0</v>
      </c>
      <c r="C473" s="308" t="s">
        <v>563</v>
      </c>
      <c r="D473" s="309" t="s">
        <v>563</v>
      </c>
      <c r="E473" s="310">
        <v>0</v>
      </c>
      <c r="F473" s="310">
        <v>0</v>
      </c>
      <c r="G473" s="311">
        <v>0</v>
      </c>
      <c r="H473" s="310" t="s">
        <v>563</v>
      </c>
      <c r="I473" s="310" t="s">
        <v>563</v>
      </c>
      <c r="J473" s="310" t="s">
        <v>563</v>
      </c>
      <c r="K473" s="312">
        <v>0</v>
      </c>
      <c r="L473" s="310">
        <v>0</v>
      </c>
      <c r="M473" s="310">
        <v>0</v>
      </c>
      <c r="N473" s="313" t="s">
        <v>563</v>
      </c>
      <c r="O473" s="314" t="s">
        <v>563</v>
      </c>
      <c r="P473" s="307">
        <f t="shared" si="141"/>
        <v>0</v>
      </c>
      <c r="R473" s="91" t="str">
        <f t="shared" si="137"/>
        <v/>
      </c>
      <c r="S47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3" s="307" t="str">
        <f t="shared" si="143"/>
        <v/>
      </c>
      <c r="U473" s="315" t="str">
        <f t="shared" si="144"/>
        <v/>
      </c>
      <c r="V473" s="307" t="str">
        <f>N473</f>
        <v/>
      </c>
      <c r="W473" s="307" t="str">
        <f>IFERROR(IF(V473&gt;0,PROPER(Terbilang1(V473)&amp;" Rupiah"),0),"")</f>
        <v/>
      </c>
      <c r="X473" s="90" t="str">
        <f t="shared" si="148"/>
        <v/>
      </c>
      <c r="Y473" s="307" t="str">
        <f t="shared" si="149"/>
        <v/>
      </c>
      <c r="Z473" s="307">
        <f t="shared" si="145"/>
        <v>0</v>
      </c>
      <c r="AA473" s="366">
        <f t="shared" si="146"/>
        <v>0</v>
      </c>
      <c r="AB473" s="367">
        <f t="shared" si="150"/>
        <v>0</v>
      </c>
      <c r="AC473" s="305">
        <f t="shared" si="151"/>
        <v>0</v>
      </c>
      <c r="AP473" s="89" t="str">
        <f t="shared" si="140"/>
        <v/>
      </c>
      <c r="AQ473" s="89" t="str">
        <f t="shared" si="138"/>
        <v/>
      </c>
      <c r="AR473" s="315" t="str">
        <f t="shared" si="139"/>
        <v/>
      </c>
      <c r="AS473" s="305" t="str">
        <f t="shared" si="152"/>
        <v>0</v>
      </c>
      <c r="AT473" s="307">
        <f>Table22[[#This Row],[Column1]]</f>
        <v>0</v>
      </c>
    </row>
    <row r="474" spans="1:46" x14ac:dyDescent="0.3">
      <c r="A474" s="307">
        <f t="shared" si="147"/>
        <v>0</v>
      </c>
      <c r="B474" s="307">
        <f t="shared" si="136"/>
        <v>0</v>
      </c>
      <c r="C474" s="308" t="s">
        <v>563</v>
      </c>
      <c r="D474" s="309" t="s">
        <v>563</v>
      </c>
      <c r="E474" s="310">
        <v>0</v>
      </c>
      <c r="F474" s="310">
        <v>0</v>
      </c>
      <c r="G474" s="311">
        <v>0</v>
      </c>
      <c r="H474" s="310" t="s">
        <v>563</v>
      </c>
      <c r="I474" s="310" t="s">
        <v>563</v>
      </c>
      <c r="J474" s="310" t="s">
        <v>563</v>
      </c>
      <c r="K474" s="312">
        <v>0</v>
      </c>
      <c r="L474" s="310">
        <v>0</v>
      </c>
      <c r="M474" s="310">
        <v>0</v>
      </c>
      <c r="N474" s="313" t="s">
        <v>563</v>
      </c>
      <c r="O474" s="314" t="s">
        <v>563</v>
      </c>
      <c r="P474" s="307">
        <f t="shared" si="141"/>
        <v>0</v>
      </c>
      <c r="R474" s="91" t="str">
        <f t="shared" si="137"/>
        <v/>
      </c>
      <c r="S47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4" s="307" t="str">
        <f t="shared" si="143"/>
        <v/>
      </c>
      <c r="U474" s="315" t="str">
        <f t="shared" si="144"/>
        <v/>
      </c>
      <c r="V474" s="307" t="str">
        <f t="shared" si="153"/>
        <v/>
      </c>
      <c r="W474" s="307" t="str">
        <f>IFERROR(IF(V474&gt;0,PROPER(Terbilang1(V474)&amp;" Rupiah"),0),"")</f>
        <v/>
      </c>
      <c r="X474" s="90" t="str">
        <f t="shared" si="148"/>
        <v/>
      </c>
      <c r="Y474" s="307" t="str">
        <f t="shared" si="149"/>
        <v/>
      </c>
      <c r="Z474" s="307">
        <f t="shared" si="145"/>
        <v>0</v>
      </c>
      <c r="AA474" s="366">
        <f t="shared" si="146"/>
        <v>0</v>
      </c>
      <c r="AB474" s="367">
        <f t="shared" si="150"/>
        <v>0</v>
      </c>
      <c r="AC474" s="305">
        <f t="shared" si="151"/>
        <v>0</v>
      </c>
      <c r="AP474" s="89" t="str">
        <f t="shared" si="140"/>
        <v/>
      </c>
      <c r="AQ474" s="89" t="str">
        <f t="shared" si="138"/>
        <v/>
      </c>
      <c r="AR474" s="315" t="str">
        <f t="shared" si="139"/>
        <v/>
      </c>
      <c r="AS474" s="305" t="str">
        <f t="shared" si="152"/>
        <v>0</v>
      </c>
      <c r="AT474" s="307">
        <f>Table22[[#This Row],[Column1]]</f>
        <v>0</v>
      </c>
    </row>
    <row r="475" spans="1:46" x14ac:dyDescent="0.3">
      <c r="A475" s="307">
        <f t="shared" si="147"/>
        <v>0</v>
      </c>
      <c r="B475" s="307">
        <f t="shared" si="136"/>
        <v>0</v>
      </c>
      <c r="C475" s="308" t="s">
        <v>563</v>
      </c>
      <c r="D475" s="309" t="s">
        <v>563</v>
      </c>
      <c r="E475" s="310">
        <v>0</v>
      </c>
      <c r="F475" s="310">
        <v>0</v>
      </c>
      <c r="G475" s="311">
        <v>0</v>
      </c>
      <c r="H475" s="310" t="s">
        <v>563</v>
      </c>
      <c r="I475" s="310" t="s">
        <v>563</v>
      </c>
      <c r="J475" s="310" t="s">
        <v>563</v>
      </c>
      <c r="K475" s="312">
        <v>0</v>
      </c>
      <c r="L475" s="310">
        <v>0</v>
      </c>
      <c r="M475" s="310">
        <v>0</v>
      </c>
      <c r="N475" s="313" t="s">
        <v>563</v>
      </c>
      <c r="O475" s="314" t="s">
        <v>563</v>
      </c>
      <c r="P475" s="307">
        <f t="shared" si="141"/>
        <v>0</v>
      </c>
      <c r="R475" s="91" t="str">
        <f t="shared" si="137"/>
        <v/>
      </c>
      <c r="S47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5" s="307" t="str">
        <f t="shared" si="143"/>
        <v/>
      </c>
      <c r="U475" s="315" t="str">
        <f t="shared" si="144"/>
        <v/>
      </c>
      <c r="V475" s="307" t="str">
        <f t="shared" si="153"/>
        <v/>
      </c>
      <c r="W475" s="307" t="str">
        <f>IFERROR(IF(V475&gt;0,PROPER(Terbilang1(V475)&amp;" Rupiah"),0),"")</f>
        <v/>
      </c>
      <c r="X475" s="90" t="str">
        <f t="shared" si="148"/>
        <v/>
      </c>
      <c r="Y475" s="307" t="str">
        <f t="shared" si="149"/>
        <v/>
      </c>
      <c r="Z475" s="307">
        <f t="shared" si="145"/>
        <v>0</v>
      </c>
      <c r="AA475" s="366">
        <f t="shared" si="146"/>
        <v>0</v>
      </c>
      <c r="AB475" s="367">
        <f t="shared" si="150"/>
        <v>0</v>
      </c>
      <c r="AC475" s="305">
        <f t="shared" si="151"/>
        <v>0</v>
      </c>
      <c r="AP475" s="89" t="str">
        <f t="shared" si="140"/>
        <v/>
      </c>
      <c r="AQ475" s="89" t="str">
        <f t="shared" si="138"/>
        <v/>
      </c>
      <c r="AR475" s="315" t="str">
        <f t="shared" si="139"/>
        <v/>
      </c>
      <c r="AS475" s="305" t="str">
        <f t="shared" si="152"/>
        <v>0</v>
      </c>
      <c r="AT475" s="307">
        <f>Table22[[#This Row],[Column1]]</f>
        <v>0</v>
      </c>
    </row>
    <row r="476" spans="1:46" x14ac:dyDescent="0.3">
      <c r="A476" s="307">
        <f t="shared" si="147"/>
        <v>0</v>
      </c>
      <c r="B476" s="307">
        <f t="shared" si="136"/>
        <v>0</v>
      </c>
      <c r="C476" s="308" t="s">
        <v>563</v>
      </c>
      <c r="D476" s="309" t="s">
        <v>563</v>
      </c>
      <c r="E476" s="310">
        <v>0</v>
      </c>
      <c r="F476" s="310">
        <v>0</v>
      </c>
      <c r="G476" s="311">
        <v>0</v>
      </c>
      <c r="H476" s="310" t="s">
        <v>563</v>
      </c>
      <c r="I476" s="310" t="s">
        <v>563</v>
      </c>
      <c r="J476" s="310" t="s">
        <v>563</v>
      </c>
      <c r="K476" s="312">
        <v>0</v>
      </c>
      <c r="L476" s="310">
        <v>0</v>
      </c>
      <c r="M476" s="310">
        <v>0</v>
      </c>
      <c r="N476" s="313" t="s">
        <v>563</v>
      </c>
      <c r="O476" s="314" t="s">
        <v>563</v>
      </c>
      <c r="P476" s="307">
        <f t="shared" si="141"/>
        <v>0</v>
      </c>
      <c r="R476" s="91" t="str">
        <f t="shared" si="137"/>
        <v/>
      </c>
      <c r="S47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6" s="307" t="str">
        <f t="shared" si="143"/>
        <v/>
      </c>
      <c r="U476" s="315" t="str">
        <f t="shared" si="144"/>
        <v/>
      </c>
      <c r="V476" s="307" t="str">
        <f t="shared" si="153"/>
        <v/>
      </c>
      <c r="W476" s="307" t="str">
        <f>IFERROR(IF(V476&gt;0,PROPER(Terbilang1(V476)&amp;" Rupiah"),0),"")</f>
        <v/>
      </c>
      <c r="X476" s="90" t="str">
        <f t="shared" si="148"/>
        <v/>
      </c>
      <c r="Y476" s="307" t="str">
        <f t="shared" si="149"/>
        <v/>
      </c>
      <c r="Z476" s="307">
        <f t="shared" si="145"/>
        <v>0</v>
      </c>
      <c r="AA476" s="366">
        <f t="shared" si="146"/>
        <v>0</v>
      </c>
      <c r="AB476" s="367">
        <f t="shared" si="150"/>
        <v>0</v>
      </c>
      <c r="AC476" s="305">
        <f t="shared" si="151"/>
        <v>0</v>
      </c>
      <c r="AP476" s="89" t="str">
        <f t="shared" si="140"/>
        <v/>
      </c>
      <c r="AQ476" s="89" t="str">
        <f t="shared" si="138"/>
        <v/>
      </c>
      <c r="AR476" s="315" t="str">
        <f t="shared" si="139"/>
        <v/>
      </c>
      <c r="AS476" s="305" t="str">
        <f t="shared" si="152"/>
        <v>0</v>
      </c>
      <c r="AT476" s="307">
        <f>Table22[[#This Row],[Column1]]</f>
        <v>0</v>
      </c>
    </row>
    <row r="477" spans="1:46" x14ac:dyDescent="0.3">
      <c r="A477" s="307">
        <f t="shared" si="147"/>
        <v>0</v>
      </c>
      <c r="B477" s="307">
        <f t="shared" si="136"/>
        <v>0</v>
      </c>
      <c r="C477" s="308" t="s">
        <v>563</v>
      </c>
      <c r="D477" s="309" t="s">
        <v>563</v>
      </c>
      <c r="E477" s="310">
        <v>0</v>
      </c>
      <c r="F477" s="310">
        <v>0</v>
      </c>
      <c r="G477" s="311">
        <v>0</v>
      </c>
      <c r="H477" s="310" t="s">
        <v>563</v>
      </c>
      <c r="I477" s="310" t="s">
        <v>563</v>
      </c>
      <c r="J477" s="310" t="s">
        <v>563</v>
      </c>
      <c r="K477" s="312">
        <v>0</v>
      </c>
      <c r="L477" s="310">
        <v>0</v>
      </c>
      <c r="M477" s="310">
        <v>0</v>
      </c>
      <c r="N477" s="313" t="s">
        <v>563</v>
      </c>
      <c r="O477" s="314" t="s">
        <v>563</v>
      </c>
      <c r="P477" s="307">
        <f t="shared" si="141"/>
        <v>0</v>
      </c>
      <c r="R477" s="91" t="str">
        <f t="shared" si="137"/>
        <v/>
      </c>
      <c r="S47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7" s="307" t="str">
        <f t="shared" si="143"/>
        <v/>
      </c>
      <c r="U477" s="315" t="str">
        <f t="shared" si="144"/>
        <v/>
      </c>
      <c r="V477" s="307" t="str">
        <f t="shared" si="153"/>
        <v/>
      </c>
      <c r="W477" s="307" t="str">
        <f>IFERROR(IF(V477&gt;0,PROPER(Terbilang1(V477)&amp;" Rupiah"),0),"")</f>
        <v/>
      </c>
      <c r="X477" s="90" t="str">
        <f t="shared" si="148"/>
        <v/>
      </c>
      <c r="Y477" s="307" t="str">
        <f t="shared" si="149"/>
        <v/>
      </c>
      <c r="Z477" s="307">
        <f t="shared" si="145"/>
        <v>0</v>
      </c>
      <c r="AA477" s="366">
        <f t="shared" si="146"/>
        <v>0</v>
      </c>
      <c r="AB477" s="367">
        <f t="shared" si="150"/>
        <v>0</v>
      </c>
      <c r="AC477" s="305">
        <f t="shared" si="151"/>
        <v>0</v>
      </c>
      <c r="AP477" s="89" t="str">
        <f t="shared" si="140"/>
        <v/>
      </c>
      <c r="AQ477" s="89" t="str">
        <f t="shared" si="138"/>
        <v/>
      </c>
      <c r="AR477" s="315" t="str">
        <f t="shared" si="139"/>
        <v/>
      </c>
      <c r="AS477" s="305" t="str">
        <f t="shared" si="152"/>
        <v>0</v>
      </c>
      <c r="AT477" s="307">
        <f>Table22[[#This Row],[Column1]]</f>
        <v>0</v>
      </c>
    </row>
    <row r="478" spans="1:46" x14ac:dyDescent="0.3">
      <c r="A478" s="307">
        <f t="shared" si="147"/>
        <v>0</v>
      </c>
      <c r="B478" s="307">
        <f t="shared" si="136"/>
        <v>0</v>
      </c>
      <c r="C478" s="308" t="s">
        <v>563</v>
      </c>
      <c r="D478" s="309" t="s">
        <v>563</v>
      </c>
      <c r="E478" s="310">
        <v>0</v>
      </c>
      <c r="F478" s="310">
        <v>0</v>
      </c>
      <c r="G478" s="311">
        <v>0</v>
      </c>
      <c r="H478" s="310" t="s">
        <v>563</v>
      </c>
      <c r="I478" s="310" t="s">
        <v>563</v>
      </c>
      <c r="J478" s="310" t="s">
        <v>563</v>
      </c>
      <c r="K478" s="312">
        <v>0</v>
      </c>
      <c r="L478" s="310">
        <v>0</v>
      </c>
      <c r="M478" s="310">
        <v>0</v>
      </c>
      <c r="N478" s="313" t="s">
        <v>563</v>
      </c>
      <c r="O478" s="314" t="s">
        <v>563</v>
      </c>
      <c r="P478" s="307">
        <f t="shared" si="141"/>
        <v>0</v>
      </c>
      <c r="R478" s="91" t="str">
        <f t="shared" si="137"/>
        <v/>
      </c>
      <c r="S47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8" s="307" t="str">
        <f t="shared" si="143"/>
        <v/>
      </c>
      <c r="U478" s="315" t="str">
        <f t="shared" si="144"/>
        <v/>
      </c>
      <c r="V478" s="307" t="str">
        <f t="shared" si="153"/>
        <v/>
      </c>
      <c r="W478" s="307" t="str">
        <f>IFERROR(IF(V478&gt;0,PROPER(Terbilang1(V478)&amp;" Rupiah"),0),"")</f>
        <v/>
      </c>
      <c r="X478" s="90" t="str">
        <f t="shared" si="148"/>
        <v/>
      </c>
      <c r="Y478" s="307" t="str">
        <f t="shared" si="149"/>
        <v/>
      </c>
      <c r="Z478" s="307">
        <f t="shared" si="145"/>
        <v>0</v>
      </c>
      <c r="AA478" s="366">
        <f t="shared" si="146"/>
        <v>0</v>
      </c>
      <c r="AB478" s="367">
        <f t="shared" si="150"/>
        <v>0</v>
      </c>
      <c r="AC478" s="305">
        <f t="shared" si="151"/>
        <v>0</v>
      </c>
      <c r="AP478" s="89" t="str">
        <f t="shared" si="140"/>
        <v/>
      </c>
      <c r="AQ478" s="89" t="str">
        <f t="shared" si="138"/>
        <v/>
      </c>
      <c r="AR478" s="315" t="str">
        <f t="shared" si="139"/>
        <v/>
      </c>
      <c r="AS478" s="305" t="str">
        <f t="shared" si="152"/>
        <v>0</v>
      </c>
      <c r="AT478" s="307">
        <f>Table22[[#This Row],[Column1]]</f>
        <v>0</v>
      </c>
    </row>
    <row r="479" spans="1:46" x14ac:dyDescent="0.3">
      <c r="A479" s="307">
        <f t="shared" si="147"/>
        <v>0</v>
      </c>
      <c r="B479" s="307">
        <f t="shared" si="136"/>
        <v>0</v>
      </c>
      <c r="C479" s="308" t="s">
        <v>563</v>
      </c>
      <c r="D479" s="309" t="s">
        <v>563</v>
      </c>
      <c r="E479" s="310">
        <v>0</v>
      </c>
      <c r="F479" s="310">
        <v>0</v>
      </c>
      <c r="G479" s="311">
        <v>0</v>
      </c>
      <c r="H479" s="310" t="s">
        <v>563</v>
      </c>
      <c r="I479" s="310" t="s">
        <v>563</v>
      </c>
      <c r="J479" s="310" t="s">
        <v>563</v>
      </c>
      <c r="K479" s="312">
        <v>0</v>
      </c>
      <c r="L479" s="310">
        <v>0</v>
      </c>
      <c r="M479" s="310">
        <v>0</v>
      </c>
      <c r="N479" s="313" t="s">
        <v>563</v>
      </c>
      <c r="O479" s="314" t="s">
        <v>563</v>
      </c>
      <c r="P479" s="307">
        <f t="shared" si="141"/>
        <v>0</v>
      </c>
      <c r="R479" s="91" t="str">
        <f t="shared" si="137"/>
        <v/>
      </c>
      <c r="S47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79" s="307" t="str">
        <f t="shared" si="143"/>
        <v/>
      </c>
      <c r="U479" s="315" t="str">
        <f t="shared" si="144"/>
        <v/>
      </c>
      <c r="V479" s="307" t="str">
        <f t="shared" si="153"/>
        <v/>
      </c>
      <c r="W479" s="307" t="str">
        <f>IFERROR(IF(V479&gt;0,PROPER(Terbilang1(V479)&amp;" Rupiah"),0),"")</f>
        <v/>
      </c>
      <c r="X479" s="90" t="str">
        <f t="shared" si="148"/>
        <v/>
      </c>
      <c r="Y479" s="307" t="str">
        <f t="shared" si="149"/>
        <v/>
      </c>
      <c r="Z479" s="307">
        <f t="shared" si="145"/>
        <v>0</v>
      </c>
      <c r="AA479" s="366">
        <f t="shared" si="146"/>
        <v>0</v>
      </c>
      <c r="AB479" s="367">
        <f t="shared" si="150"/>
        <v>0</v>
      </c>
      <c r="AC479" s="305">
        <f t="shared" si="151"/>
        <v>0</v>
      </c>
      <c r="AP479" s="89" t="str">
        <f t="shared" si="140"/>
        <v/>
      </c>
      <c r="AQ479" s="89" t="str">
        <f t="shared" si="138"/>
        <v/>
      </c>
      <c r="AR479" s="315" t="str">
        <f t="shared" si="139"/>
        <v/>
      </c>
      <c r="AS479" s="305" t="str">
        <f t="shared" si="152"/>
        <v>0</v>
      </c>
      <c r="AT479" s="307">
        <f>Table22[[#This Row],[Column1]]</f>
        <v>0</v>
      </c>
    </row>
    <row r="480" spans="1:46" x14ac:dyDescent="0.3">
      <c r="A480" s="307">
        <f t="shared" si="147"/>
        <v>0</v>
      </c>
      <c r="B480" s="307">
        <f t="shared" si="136"/>
        <v>0</v>
      </c>
      <c r="C480" s="308" t="s">
        <v>563</v>
      </c>
      <c r="D480" s="309" t="s">
        <v>563</v>
      </c>
      <c r="E480" s="310">
        <v>0</v>
      </c>
      <c r="F480" s="310">
        <v>0</v>
      </c>
      <c r="G480" s="311">
        <v>0</v>
      </c>
      <c r="H480" s="310" t="s">
        <v>563</v>
      </c>
      <c r="I480" s="310" t="s">
        <v>563</v>
      </c>
      <c r="J480" s="310" t="s">
        <v>563</v>
      </c>
      <c r="K480" s="312">
        <v>0</v>
      </c>
      <c r="L480" s="310">
        <v>0</v>
      </c>
      <c r="M480" s="310">
        <v>0</v>
      </c>
      <c r="N480" s="313" t="s">
        <v>563</v>
      </c>
      <c r="O480" s="314" t="s">
        <v>563</v>
      </c>
      <c r="P480" s="307">
        <f t="shared" si="141"/>
        <v>0</v>
      </c>
      <c r="R480" s="91" t="str">
        <f t="shared" si="137"/>
        <v/>
      </c>
      <c r="S48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0" s="307" t="str">
        <f t="shared" si="143"/>
        <v/>
      </c>
      <c r="U480" s="315" t="str">
        <f t="shared" si="144"/>
        <v/>
      </c>
      <c r="V480" s="307" t="str">
        <f t="shared" si="153"/>
        <v/>
      </c>
      <c r="W480" s="307" t="str">
        <f>IFERROR(IF(V480&gt;0,PROPER(Terbilang1(V480)&amp;" Rupiah"),0),"")</f>
        <v/>
      </c>
      <c r="X480" s="90" t="str">
        <f t="shared" si="148"/>
        <v/>
      </c>
      <c r="Y480" s="307" t="str">
        <f t="shared" si="149"/>
        <v/>
      </c>
      <c r="Z480" s="307">
        <f t="shared" si="145"/>
        <v>0</v>
      </c>
      <c r="AA480" s="366">
        <f t="shared" si="146"/>
        <v>0</v>
      </c>
      <c r="AB480" s="367">
        <f t="shared" si="150"/>
        <v>0</v>
      </c>
      <c r="AC480" s="305">
        <f t="shared" si="151"/>
        <v>0</v>
      </c>
      <c r="AP480" s="89" t="str">
        <f t="shared" si="140"/>
        <v/>
      </c>
      <c r="AQ480" s="89" t="str">
        <f t="shared" si="138"/>
        <v/>
      </c>
      <c r="AR480" s="315" t="str">
        <f t="shared" si="139"/>
        <v/>
      </c>
      <c r="AS480" s="305" t="str">
        <f t="shared" si="152"/>
        <v>0</v>
      </c>
      <c r="AT480" s="307">
        <f>Table22[[#This Row],[Column1]]</f>
        <v>0</v>
      </c>
    </row>
    <row r="481" spans="1:46" x14ac:dyDescent="0.3">
      <c r="A481" s="307">
        <f t="shared" si="147"/>
        <v>0</v>
      </c>
      <c r="B481" s="307">
        <f t="shared" si="136"/>
        <v>0</v>
      </c>
      <c r="C481" s="308" t="s">
        <v>563</v>
      </c>
      <c r="D481" s="309" t="s">
        <v>563</v>
      </c>
      <c r="E481" s="310">
        <v>0</v>
      </c>
      <c r="F481" s="310">
        <v>0</v>
      </c>
      <c r="G481" s="311">
        <v>0</v>
      </c>
      <c r="H481" s="310" t="s">
        <v>563</v>
      </c>
      <c r="I481" s="310" t="s">
        <v>563</v>
      </c>
      <c r="J481" s="310" t="s">
        <v>563</v>
      </c>
      <c r="K481" s="312">
        <v>0</v>
      </c>
      <c r="L481" s="310">
        <v>0</v>
      </c>
      <c r="M481" s="310">
        <v>0</v>
      </c>
      <c r="N481" s="313" t="s">
        <v>563</v>
      </c>
      <c r="O481" s="314" t="s">
        <v>563</v>
      </c>
      <c r="P481" s="307">
        <f t="shared" si="141"/>
        <v>0</v>
      </c>
      <c r="R481" s="91" t="str">
        <f t="shared" si="137"/>
        <v/>
      </c>
      <c r="S48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1" s="307" t="str">
        <f t="shared" si="143"/>
        <v/>
      </c>
      <c r="U481" s="315" t="str">
        <f t="shared" si="144"/>
        <v/>
      </c>
      <c r="V481" s="307" t="str">
        <f>N481</f>
        <v/>
      </c>
      <c r="W481" s="307" t="str">
        <f>IFERROR(IF(V481&gt;0,PROPER(Terbilang1(V481)&amp;" Rupiah"),0),"")</f>
        <v/>
      </c>
      <c r="X481" s="90" t="str">
        <f t="shared" si="148"/>
        <v/>
      </c>
      <c r="Y481" s="307" t="str">
        <f t="shared" si="149"/>
        <v/>
      </c>
      <c r="Z481" s="307">
        <f t="shared" si="145"/>
        <v>0</v>
      </c>
      <c r="AA481" s="366">
        <f t="shared" si="146"/>
        <v>0</v>
      </c>
      <c r="AB481" s="367">
        <f t="shared" si="150"/>
        <v>0</v>
      </c>
      <c r="AC481" s="305">
        <f t="shared" si="151"/>
        <v>0</v>
      </c>
      <c r="AP481" s="89" t="str">
        <f t="shared" si="140"/>
        <v/>
      </c>
      <c r="AQ481" s="89" t="str">
        <f t="shared" si="138"/>
        <v/>
      </c>
      <c r="AR481" s="315" t="str">
        <f t="shared" si="139"/>
        <v/>
      </c>
      <c r="AS481" s="305" t="str">
        <f t="shared" si="152"/>
        <v>0</v>
      </c>
      <c r="AT481" s="307">
        <f>Table22[[#This Row],[Column1]]</f>
        <v>0</v>
      </c>
    </row>
    <row r="482" spans="1:46" x14ac:dyDescent="0.3">
      <c r="A482" s="307">
        <f t="shared" si="147"/>
        <v>0</v>
      </c>
      <c r="B482" s="307">
        <f t="shared" si="136"/>
        <v>0</v>
      </c>
      <c r="C482" s="308" t="s">
        <v>563</v>
      </c>
      <c r="D482" s="309" t="s">
        <v>563</v>
      </c>
      <c r="E482" s="310">
        <v>0</v>
      </c>
      <c r="F482" s="310">
        <v>0</v>
      </c>
      <c r="G482" s="311">
        <v>0</v>
      </c>
      <c r="H482" s="310" t="s">
        <v>563</v>
      </c>
      <c r="I482" s="310" t="s">
        <v>563</v>
      </c>
      <c r="J482" s="310" t="s">
        <v>563</v>
      </c>
      <c r="K482" s="312">
        <v>0</v>
      </c>
      <c r="L482" s="310">
        <v>0</v>
      </c>
      <c r="M482" s="310">
        <v>0</v>
      </c>
      <c r="N482" s="313" t="s">
        <v>563</v>
      </c>
      <c r="O482" s="314" t="s">
        <v>563</v>
      </c>
      <c r="P482" s="307">
        <f t="shared" si="141"/>
        <v>0</v>
      </c>
      <c r="R482" s="91" t="str">
        <f t="shared" si="137"/>
        <v/>
      </c>
      <c r="S48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2" s="307" t="str">
        <f t="shared" si="143"/>
        <v/>
      </c>
      <c r="U482" s="315" t="str">
        <f t="shared" si="144"/>
        <v/>
      </c>
      <c r="V482" s="307" t="str">
        <f t="shared" si="153"/>
        <v/>
      </c>
      <c r="W482" s="307" t="str">
        <f>IFERROR(IF(V482&gt;0,PROPER(Terbilang1(V482)&amp;" Rupiah"),0),"")</f>
        <v/>
      </c>
      <c r="X482" s="90" t="str">
        <f t="shared" si="148"/>
        <v/>
      </c>
      <c r="Y482" s="307" t="str">
        <f t="shared" si="149"/>
        <v/>
      </c>
      <c r="Z482" s="307">
        <f t="shared" si="145"/>
        <v>0</v>
      </c>
      <c r="AA482" s="366">
        <f t="shared" si="146"/>
        <v>0</v>
      </c>
      <c r="AB482" s="367">
        <f t="shared" si="150"/>
        <v>0</v>
      </c>
      <c r="AC482" s="305">
        <f t="shared" si="151"/>
        <v>0</v>
      </c>
      <c r="AP482" s="89" t="str">
        <f t="shared" si="140"/>
        <v/>
      </c>
      <c r="AQ482" s="89" t="str">
        <f t="shared" si="138"/>
        <v/>
      </c>
      <c r="AR482" s="315" t="str">
        <f t="shared" si="139"/>
        <v/>
      </c>
      <c r="AS482" s="305" t="str">
        <f t="shared" si="152"/>
        <v>0</v>
      </c>
      <c r="AT482" s="307">
        <f>Table22[[#This Row],[Column1]]</f>
        <v>0</v>
      </c>
    </row>
    <row r="483" spans="1:46" x14ac:dyDescent="0.3">
      <c r="A483" s="307">
        <f t="shared" si="147"/>
        <v>0</v>
      </c>
      <c r="B483" s="307">
        <f t="shared" si="136"/>
        <v>0</v>
      </c>
      <c r="C483" s="308" t="s">
        <v>563</v>
      </c>
      <c r="D483" s="309" t="s">
        <v>563</v>
      </c>
      <c r="E483" s="310">
        <v>0</v>
      </c>
      <c r="F483" s="310">
        <v>0</v>
      </c>
      <c r="G483" s="311">
        <v>0</v>
      </c>
      <c r="H483" s="310" t="s">
        <v>563</v>
      </c>
      <c r="I483" s="310" t="s">
        <v>563</v>
      </c>
      <c r="J483" s="310" t="s">
        <v>563</v>
      </c>
      <c r="K483" s="312">
        <v>0</v>
      </c>
      <c r="L483" s="310">
        <v>0</v>
      </c>
      <c r="M483" s="310">
        <v>0</v>
      </c>
      <c r="N483" s="313" t="s">
        <v>563</v>
      </c>
      <c r="O483" s="314" t="s">
        <v>563</v>
      </c>
      <c r="P483" s="307">
        <f t="shared" si="141"/>
        <v>0</v>
      </c>
      <c r="R483" s="91" t="str">
        <f t="shared" si="137"/>
        <v/>
      </c>
      <c r="S48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3" s="307" t="str">
        <f t="shared" si="143"/>
        <v/>
      </c>
      <c r="U483" s="315" t="str">
        <f t="shared" si="144"/>
        <v/>
      </c>
      <c r="V483" s="307" t="str">
        <f t="shared" si="153"/>
        <v/>
      </c>
      <c r="W483" s="307" t="str">
        <f>IFERROR(IF(V483&gt;0,PROPER(Terbilang1(V483)&amp;" Rupiah"),0),"")</f>
        <v/>
      </c>
      <c r="X483" s="90" t="str">
        <f t="shared" si="148"/>
        <v/>
      </c>
      <c r="Y483" s="307" t="str">
        <f t="shared" si="149"/>
        <v/>
      </c>
      <c r="Z483" s="307">
        <f t="shared" si="145"/>
        <v>0</v>
      </c>
      <c r="AA483" s="366">
        <f t="shared" si="146"/>
        <v>0</v>
      </c>
      <c r="AB483" s="367">
        <f t="shared" si="150"/>
        <v>0</v>
      </c>
      <c r="AC483" s="305">
        <f t="shared" si="151"/>
        <v>0</v>
      </c>
      <c r="AP483" s="89" t="str">
        <f t="shared" si="140"/>
        <v/>
      </c>
      <c r="AQ483" s="89" t="str">
        <f t="shared" si="138"/>
        <v/>
      </c>
      <c r="AR483" s="315" t="str">
        <f t="shared" si="139"/>
        <v/>
      </c>
      <c r="AS483" s="305" t="str">
        <f t="shared" si="152"/>
        <v>0</v>
      </c>
      <c r="AT483" s="307">
        <f>Table22[[#This Row],[Column1]]</f>
        <v>0</v>
      </c>
    </row>
    <row r="484" spans="1:46" x14ac:dyDescent="0.3">
      <c r="A484" s="307">
        <f t="shared" si="147"/>
        <v>0</v>
      </c>
      <c r="B484" s="307">
        <f t="shared" si="136"/>
        <v>0</v>
      </c>
      <c r="C484" s="308" t="s">
        <v>563</v>
      </c>
      <c r="D484" s="309" t="s">
        <v>563</v>
      </c>
      <c r="E484" s="310">
        <v>0</v>
      </c>
      <c r="F484" s="310">
        <v>0</v>
      </c>
      <c r="G484" s="311">
        <v>0</v>
      </c>
      <c r="H484" s="310" t="s">
        <v>563</v>
      </c>
      <c r="I484" s="310" t="s">
        <v>563</v>
      </c>
      <c r="J484" s="310" t="s">
        <v>563</v>
      </c>
      <c r="K484" s="312">
        <v>0</v>
      </c>
      <c r="L484" s="310">
        <v>0</v>
      </c>
      <c r="M484" s="310">
        <v>0</v>
      </c>
      <c r="N484" s="313" t="s">
        <v>563</v>
      </c>
      <c r="O484" s="314" t="s">
        <v>563</v>
      </c>
      <c r="P484" s="307">
        <f t="shared" si="141"/>
        <v>0</v>
      </c>
      <c r="R484" s="91" t="str">
        <f t="shared" si="137"/>
        <v/>
      </c>
      <c r="S48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4" s="307" t="str">
        <f t="shared" si="143"/>
        <v/>
      </c>
      <c r="U484" s="315" t="str">
        <f t="shared" si="144"/>
        <v/>
      </c>
      <c r="V484" s="307" t="str">
        <f t="shared" si="153"/>
        <v/>
      </c>
      <c r="W484" s="307" t="str">
        <f>IFERROR(IF(V484&gt;0,PROPER(Terbilang1(V484)&amp;" Rupiah"),0),"")</f>
        <v/>
      </c>
      <c r="X484" s="90" t="str">
        <f t="shared" si="148"/>
        <v/>
      </c>
      <c r="Y484" s="307" t="str">
        <f t="shared" si="149"/>
        <v/>
      </c>
      <c r="Z484" s="307">
        <f t="shared" si="145"/>
        <v>0</v>
      </c>
      <c r="AA484" s="366">
        <f t="shared" si="146"/>
        <v>0</v>
      </c>
      <c r="AB484" s="367">
        <f t="shared" si="150"/>
        <v>0</v>
      </c>
      <c r="AC484" s="305">
        <f t="shared" si="151"/>
        <v>0</v>
      </c>
      <c r="AP484" s="89" t="str">
        <f t="shared" si="140"/>
        <v/>
      </c>
      <c r="AQ484" s="89" t="str">
        <f t="shared" si="138"/>
        <v/>
      </c>
      <c r="AR484" s="315" t="str">
        <f t="shared" si="139"/>
        <v/>
      </c>
      <c r="AS484" s="305" t="str">
        <f t="shared" si="152"/>
        <v>0</v>
      </c>
      <c r="AT484" s="307">
        <f>Table22[[#This Row],[Column1]]</f>
        <v>0</v>
      </c>
    </row>
    <row r="485" spans="1:46" x14ac:dyDescent="0.3">
      <c r="A485" s="307">
        <f t="shared" si="147"/>
        <v>0</v>
      </c>
      <c r="B485" s="307">
        <f t="shared" ref="B485:B548" si="154">IF(LEFT(F485,2)="MA","Jasa",IF(LEFT(F485,1)="G","Bayar Ongkos",IF(LEFT(F485,1)="M","Beli",0)))</f>
        <v>0</v>
      </c>
      <c r="C485" s="308" t="s">
        <v>563</v>
      </c>
      <c r="D485" s="309" t="s">
        <v>563</v>
      </c>
      <c r="E485" s="310">
        <v>0</v>
      </c>
      <c r="F485" s="310">
        <v>0</v>
      </c>
      <c r="G485" s="311">
        <v>0</v>
      </c>
      <c r="H485" s="310" t="s">
        <v>563</v>
      </c>
      <c r="I485" s="310" t="s">
        <v>563</v>
      </c>
      <c r="J485" s="310" t="s">
        <v>563</v>
      </c>
      <c r="K485" s="312">
        <v>0</v>
      </c>
      <c r="L485" s="310">
        <v>0</v>
      </c>
      <c r="M485" s="310">
        <v>0</v>
      </c>
      <c r="N485" s="313" t="s">
        <v>563</v>
      </c>
      <c r="O485" s="314" t="s">
        <v>563</v>
      </c>
      <c r="P485" s="307">
        <f t="shared" si="141"/>
        <v>0</v>
      </c>
      <c r="R485" s="91" t="str">
        <f t="shared" ref="R485:R548" si="155">IF(LEFT(F485,2)="ma",F485,IF(LEFT(F485,1)="m",E485,IF(LEFT(F485,1)="b",E485,IF(LEFT(F485,1)="G",F485,""))))</f>
        <v/>
      </c>
      <c r="S48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5" s="307" t="str">
        <f t="shared" si="143"/>
        <v/>
      </c>
      <c r="U485" s="315" t="str">
        <f t="shared" si="144"/>
        <v/>
      </c>
      <c r="V485" s="307" t="str">
        <f t="shared" si="153"/>
        <v/>
      </c>
      <c r="W485" s="307" t="str">
        <f>IFERROR(IF(V485&gt;0,PROPER(Terbilang1(V485)&amp;" Rupiah"),0),"")</f>
        <v/>
      </c>
      <c r="X485" s="90" t="str">
        <f t="shared" si="148"/>
        <v/>
      </c>
      <c r="Y485" s="307" t="str">
        <f t="shared" si="149"/>
        <v/>
      </c>
      <c r="Z485" s="307">
        <f t="shared" si="145"/>
        <v>0</v>
      </c>
      <c r="AA485" s="366">
        <f t="shared" si="146"/>
        <v>0</v>
      </c>
      <c r="AB485" s="367">
        <f t="shared" si="150"/>
        <v>0</v>
      </c>
      <c r="AC485" s="305">
        <f t="shared" si="151"/>
        <v>0</v>
      </c>
      <c r="AP485" s="89" t="str">
        <f t="shared" si="140"/>
        <v/>
      </c>
      <c r="AQ485" s="89" t="str">
        <f t="shared" si="138"/>
        <v/>
      </c>
      <c r="AR485" s="315" t="str">
        <f t="shared" si="139"/>
        <v/>
      </c>
      <c r="AS485" s="305" t="str">
        <f t="shared" si="152"/>
        <v>0</v>
      </c>
      <c r="AT485" s="307">
        <f>Table22[[#This Row],[Column1]]</f>
        <v>0</v>
      </c>
    </row>
    <row r="486" spans="1:46" x14ac:dyDescent="0.3">
      <c r="A486" s="307">
        <f t="shared" si="147"/>
        <v>0</v>
      </c>
      <c r="B486" s="307">
        <f t="shared" si="154"/>
        <v>0</v>
      </c>
      <c r="C486" s="308" t="s">
        <v>563</v>
      </c>
      <c r="D486" s="309" t="s">
        <v>563</v>
      </c>
      <c r="E486" s="310">
        <v>0</v>
      </c>
      <c r="F486" s="310">
        <v>0</v>
      </c>
      <c r="G486" s="311">
        <v>0</v>
      </c>
      <c r="H486" s="310" t="s">
        <v>563</v>
      </c>
      <c r="I486" s="310" t="s">
        <v>563</v>
      </c>
      <c r="J486" s="310" t="s">
        <v>563</v>
      </c>
      <c r="K486" s="312">
        <v>0</v>
      </c>
      <c r="L486" s="310">
        <v>0</v>
      </c>
      <c r="M486" s="310">
        <v>0</v>
      </c>
      <c r="N486" s="313" t="s">
        <v>563</v>
      </c>
      <c r="O486" s="314" t="s">
        <v>563</v>
      </c>
      <c r="P486" s="307">
        <f t="shared" si="141"/>
        <v>0</v>
      </c>
      <c r="R486" s="91" t="str">
        <f t="shared" si="155"/>
        <v/>
      </c>
      <c r="S48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6" s="307" t="str">
        <f t="shared" si="143"/>
        <v/>
      </c>
      <c r="U486" s="315" t="str">
        <f t="shared" si="144"/>
        <v/>
      </c>
      <c r="V486" s="307" t="str">
        <f t="shared" si="153"/>
        <v/>
      </c>
      <c r="W486" s="307" t="str">
        <f>IFERROR(IF(V486&gt;0,PROPER(Terbilang1(V486)&amp;" Rupiah"),0),"")</f>
        <v/>
      </c>
      <c r="X486" s="90" t="str">
        <f t="shared" si="148"/>
        <v/>
      </c>
      <c r="Y486" s="307" t="str">
        <f t="shared" si="149"/>
        <v/>
      </c>
      <c r="Z486" s="307">
        <f t="shared" si="145"/>
        <v>0</v>
      </c>
      <c r="AA486" s="366">
        <f t="shared" si="146"/>
        <v>0</v>
      </c>
      <c r="AB486" s="367">
        <f t="shared" si="150"/>
        <v>0</v>
      </c>
      <c r="AC486" s="305">
        <f t="shared" si="151"/>
        <v>0</v>
      </c>
      <c r="AP486" s="89" t="str">
        <f t="shared" si="140"/>
        <v/>
      </c>
      <c r="AQ486" s="89" t="str">
        <f t="shared" si="138"/>
        <v/>
      </c>
      <c r="AR486" s="315" t="str">
        <f t="shared" si="139"/>
        <v/>
      </c>
      <c r="AS486" s="305" t="str">
        <f t="shared" si="152"/>
        <v>0</v>
      </c>
      <c r="AT486" s="307">
        <f>Table22[[#This Row],[Column1]]</f>
        <v>0</v>
      </c>
    </row>
    <row r="487" spans="1:46" x14ac:dyDescent="0.3">
      <c r="A487" s="307">
        <f t="shared" si="147"/>
        <v>0</v>
      </c>
      <c r="B487" s="307">
        <f t="shared" si="154"/>
        <v>0</v>
      </c>
      <c r="C487" s="308" t="s">
        <v>563</v>
      </c>
      <c r="D487" s="309" t="s">
        <v>563</v>
      </c>
      <c r="E487" s="310">
        <v>0</v>
      </c>
      <c r="F487" s="310">
        <v>0</v>
      </c>
      <c r="G487" s="311">
        <v>0</v>
      </c>
      <c r="H487" s="310" t="s">
        <v>563</v>
      </c>
      <c r="I487" s="310" t="s">
        <v>563</v>
      </c>
      <c r="J487" s="310" t="s">
        <v>563</v>
      </c>
      <c r="K487" s="312">
        <v>0</v>
      </c>
      <c r="L487" s="310">
        <v>0</v>
      </c>
      <c r="M487" s="310">
        <v>0</v>
      </c>
      <c r="N487" s="313" t="s">
        <v>563</v>
      </c>
      <c r="O487" s="314" t="s">
        <v>563</v>
      </c>
      <c r="P487" s="307">
        <f t="shared" si="141"/>
        <v>0</v>
      </c>
      <c r="R487" s="91" t="str">
        <f t="shared" si="155"/>
        <v/>
      </c>
      <c r="S48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7" s="307" t="str">
        <f t="shared" si="143"/>
        <v/>
      </c>
      <c r="U487" s="315" t="str">
        <f t="shared" si="144"/>
        <v/>
      </c>
      <c r="V487" s="307" t="str">
        <f t="shared" si="153"/>
        <v/>
      </c>
      <c r="W487" s="307" t="str">
        <f>IFERROR(IF(V487&gt;0,PROPER(Terbilang1(V487)&amp;" Rupiah"),0),"")</f>
        <v/>
      </c>
      <c r="X487" s="90" t="str">
        <f t="shared" si="148"/>
        <v/>
      </c>
      <c r="Y487" s="307" t="str">
        <f t="shared" si="149"/>
        <v/>
      </c>
      <c r="Z487" s="307">
        <f t="shared" si="145"/>
        <v>0</v>
      </c>
      <c r="AA487" s="366">
        <f t="shared" si="146"/>
        <v>0</v>
      </c>
      <c r="AB487" s="367">
        <f t="shared" si="150"/>
        <v>0</v>
      </c>
      <c r="AC487" s="305">
        <f t="shared" si="151"/>
        <v>0</v>
      </c>
      <c r="AP487" s="89" t="str">
        <f t="shared" si="140"/>
        <v/>
      </c>
      <c r="AQ487" s="89" t="str">
        <f t="shared" si="138"/>
        <v/>
      </c>
      <c r="AR487" s="315" t="str">
        <f t="shared" si="139"/>
        <v/>
      </c>
      <c r="AS487" s="305" t="str">
        <f t="shared" si="152"/>
        <v>0</v>
      </c>
      <c r="AT487" s="307">
        <f>Table22[[#This Row],[Column1]]</f>
        <v>0</v>
      </c>
    </row>
    <row r="488" spans="1:46" x14ac:dyDescent="0.3">
      <c r="A488" s="307">
        <f t="shared" si="147"/>
        <v>0</v>
      </c>
      <c r="B488" s="307">
        <f t="shared" si="154"/>
        <v>0</v>
      </c>
      <c r="C488" s="308" t="s">
        <v>563</v>
      </c>
      <c r="D488" s="309" t="s">
        <v>563</v>
      </c>
      <c r="E488" s="310">
        <v>0</v>
      </c>
      <c r="F488" s="310">
        <v>0</v>
      </c>
      <c r="G488" s="311">
        <v>0</v>
      </c>
      <c r="H488" s="310" t="s">
        <v>563</v>
      </c>
      <c r="I488" s="310" t="s">
        <v>563</v>
      </c>
      <c r="J488" s="310" t="s">
        <v>563</v>
      </c>
      <c r="K488" s="312">
        <v>0</v>
      </c>
      <c r="L488" s="310">
        <v>0</v>
      </c>
      <c r="M488" s="310">
        <v>0</v>
      </c>
      <c r="N488" s="313" t="s">
        <v>563</v>
      </c>
      <c r="O488" s="314" t="s">
        <v>563</v>
      </c>
      <c r="P488" s="307">
        <f t="shared" si="141"/>
        <v>0</v>
      </c>
      <c r="R488" s="91" t="str">
        <f t="shared" si="155"/>
        <v/>
      </c>
      <c r="S48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8" s="307" t="str">
        <f t="shared" si="143"/>
        <v/>
      </c>
      <c r="U488" s="315" t="str">
        <f t="shared" si="144"/>
        <v/>
      </c>
      <c r="V488" s="307" t="str">
        <f t="shared" si="153"/>
        <v/>
      </c>
      <c r="W488" s="307" t="str">
        <f>IFERROR(IF(V488&gt;0,PROPER(Terbilang1(V488)&amp;" Rupiah"),0),"")</f>
        <v/>
      </c>
      <c r="X488" s="90" t="str">
        <f t="shared" si="148"/>
        <v/>
      </c>
      <c r="Y488" s="307" t="str">
        <f t="shared" si="149"/>
        <v/>
      </c>
      <c r="Z488" s="307">
        <f t="shared" si="145"/>
        <v>0</v>
      </c>
      <c r="AA488" s="366">
        <f t="shared" si="146"/>
        <v>0</v>
      </c>
      <c r="AB488" s="367">
        <f t="shared" si="150"/>
        <v>0</v>
      </c>
      <c r="AC488" s="305">
        <f t="shared" si="151"/>
        <v>0</v>
      </c>
      <c r="AP488" s="89" t="str">
        <f t="shared" si="140"/>
        <v/>
      </c>
      <c r="AQ488" s="89" t="str">
        <f t="shared" ref="AQ488:AQ551" si="156">TEXT(AR488,"MM")</f>
        <v/>
      </c>
      <c r="AR488" s="315" t="str">
        <f t="shared" si="139"/>
        <v/>
      </c>
      <c r="AS488" s="305" t="str">
        <f t="shared" si="152"/>
        <v>0</v>
      </c>
      <c r="AT488" s="307">
        <f>Table22[[#This Row],[Column1]]</f>
        <v>0</v>
      </c>
    </row>
    <row r="489" spans="1:46" x14ac:dyDescent="0.3">
      <c r="A489" s="307">
        <f t="shared" si="147"/>
        <v>0</v>
      </c>
      <c r="B489" s="307">
        <f t="shared" si="154"/>
        <v>0</v>
      </c>
      <c r="C489" s="308" t="s">
        <v>563</v>
      </c>
      <c r="D489" s="309" t="s">
        <v>563</v>
      </c>
      <c r="E489" s="310">
        <v>0</v>
      </c>
      <c r="F489" s="310">
        <v>0</v>
      </c>
      <c r="G489" s="311">
        <v>0</v>
      </c>
      <c r="H489" s="310" t="s">
        <v>563</v>
      </c>
      <c r="I489" s="310" t="s">
        <v>563</v>
      </c>
      <c r="J489" s="310" t="s">
        <v>563</v>
      </c>
      <c r="K489" s="312">
        <v>0</v>
      </c>
      <c r="L489" s="310">
        <v>0</v>
      </c>
      <c r="M489" s="310">
        <v>0</v>
      </c>
      <c r="N489" s="313" t="s">
        <v>563</v>
      </c>
      <c r="O489" s="314" t="s">
        <v>563</v>
      </c>
      <c r="P489" s="307">
        <f t="shared" si="141"/>
        <v>0</v>
      </c>
      <c r="R489" s="91" t="str">
        <f t="shared" si="155"/>
        <v/>
      </c>
      <c r="S48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89" s="307" t="str">
        <f t="shared" si="143"/>
        <v/>
      </c>
      <c r="U489" s="315" t="str">
        <f t="shared" si="144"/>
        <v/>
      </c>
      <c r="V489" s="307" t="str">
        <f t="shared" si="153"/>
        <v/>
      </c>
      <c r="W489" s="307" t="str">
        <f>IFERROR(IF(V489&gt;0,PROPER(Terbilang1(V489)&amp;" Rupiah"),0),"")</f>
        <v/>
      </c>
      <c r="X489" s="90" t="str">
        <f t="shared" si="148"/>
        <v/>
      </c>
      <c r="Y489" s="307" t="str">
        <f t="shared" si="149"/>
        <v/>
      </c>
      <c r="Z489" s="307">
        <f t="shared" si="145"/>
        <v>0</v>
      </c>
      <c r="AA489" s="366">
        <f t="shared" si="146"/>
        <v>0</v>
      </c>
      <c r="AB489" s="367">
        <f t="shared" si="150"/>
        <v>0</v>
      </c>
      <c r="AC489" s="305">
        <f t="shared" si="151"/>
        <v>0</v>
      </c>
      <c r="AP489" s="89" t="str">
        <f t="shared" si="140"/>
        <v/>
      </c>
      <c r="AQ489" s="89" t="str">
        <f t="shared" si="156"/>
        <v/>
      </c>
      <c r="AR489" s="315" t="str">
        <f t="shared" si="139"/>
        <v/>
      </c>
      <c r="AS489" s="305" t="str">
        <f t="shared" si="152"/>
        <v>0</v>
      </c>
      <c r="AT489" s="307">
        <f>Table22[[#This Row],[Column1]]</f>
        <v>0</v>
      </c>
    </row>
    <row r="490" spans="1:46" x14ac:dyDescent="0.3">
      <c r="A490" s="307">
        <f t="shared" si="147"/>
        <v>0</v>
      </c>
      <c r="B490" s="307">
        <f t="shared" si="154"/>
        <v>0</v>
      </c>
      <c r="C490" s="308" t="s">
        <v>563</v>
      </c>
      <c r="D490" s="309" t="s">
        <v>563</v>
      </c>
      <c r="E490" s="310">
        <v>0</v>
      </c>
      <c r="F490" s="310">
        <v>0</v>
      </c>
      <c r="G490" s="311">
        <v>0</v>
      </c>
      <c r="H490" s="310" t="s">
        <v>563</v>
      </c>
      <c r="I490" s="310" t="s">
        <v>563</v>
      </c>
      <c r="J490" s="310" t="s">
        <v>563</v>
      </c>
      <c r="K490" s="312">
        <v>0</v>
      </c>
      <c r="L490" s="310">
        <v>0</v>
      </c>
      <c r="M490" s="310">
        <v>0</v>
      </c>
      <c r="N490" s="313" t="s">
        <v>563</v>
      </c>
      <c r="O490" s="314" t="s">
        <v>563</v>
      </c>
      <c r="P490" s="307">
        <f t="shared" si="141"/>
        <v>0</v>
      </c>
      <c r="R490" s="91" t="str">
        <f t="shared" si="155"/>
        <v/>
      </c>
      <c r="S49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0" s="307" t="str">
        <f t="shared" si="143"/>
        <v/>
      </c>
      <c r="U490" s="315" t="str">
        <f t="shared" si="144"/>
        <v/>
      </c>
      <c r="V490" s="307" t="str">
        <f t="shared" si="153"/>
        <v/>
      </c>
      <c r="W490" s="307" t="str">
        <f>IFERROR(IF(V490&gt;0,PROPER(Terbilang1(V490)&amp;" Rupiah"),0),"")</f>
        <v/>
      </c>
      <c r="X490" s="90" t="str">
        <f t="shared" si="148"/>
        <v/>
      </c>
      <c r="Y490" s="307" t="str">
        <f t="shared" si="149"/>
        <v/>
      </c>
      <c r="Z490" s="307">
        <f t="shared" si="145"/>
        <v>0</v>
      </c>
      <c r="AA490" s="366">
        <f t="shared" si="146"/>
        <v>0</v>
      </c>
      <c r="AB490" s="367">
        <f t="shared" si="150"/>
        <v>0</v>
      </c>
      <c r="AC490" s="305">
        <f t="shared" si="151"/>
        <v>0</v>
      </c>
      <c r="AP490" s="89" t="str">
        <f t="shared" si="140"/>
        <v/>
      </c>
      <c r="AQ490" s="89" t="str">
        <f t="shared" si="156"/>
        <v/>
      </c>
      <c r="AR490" s="315" t="str">
        <f t="shared" si="139"/>
        <v/>
      </c>
      <c r="AS490" s="305" t="str">
        <f t="shared" si="152"/>
        <v>0</v>
      </c>
      <c r="AT490" s="307">
        <f>Table22[[#This Row],[Column1]]</f>
        <v>0</v>
      </c>
    </row>
    <row r="491" spans="1:46" x14ac:dyDescent="0.3">
      <c r="A491" s="307">
        <f t="shared" si="147"/>
        <v>0</v>
      </c>
      <c r="B491" s="307">
        <f t="shared" si="154"/>
        <v>0</v>
      </c>
      <c r="C491" s="308" t="s">
        <v>563</v>
      </c>
      <c r="D491" s="309" t="s">
        <v>563</v>
      </c>
      <c r="E491" s="310">
        <v>0</v>
      </c>
      <c r="F491" s="310">
        <v>0</v>
      </c>
      <c r="G491" s="311">
        <v>0</v>
      </c>
      <c r="H491" s="310" t="s">
        <v>563</v>
      </c>
      <c r="I491" s="310" t="s">
        <v>563</v>
      </c>
      <c r="J491" s="310" t="s">
        <v>563</v>
      </c>
      <c r="K491" s="312">
        <v>0</v>
      </c>
      <c r="L491" s="310">
        <v>0</v>
      </c>
      <c r="M491" s="310">
        <v>0</v>
      </c>
      <c r="N491" s="313" t="s">
        <v>563</v>
      </c>
      <c r="O491" s="314" t="s">
        <v>563</v>
      </c>
      <c r="P491" s="307">
        <f t="shared" si="141"/>
        <v>0</v>
      </c>
      <c r="R491" s="91" t="str">
        <f t="shared" si="155"/>
        <v/>
      </c>
      <c r="S49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1" s="307" t="str">
        <f t="shared" si="143"/>
        <v/>
      </c>
      <c r="U491" s="315" t="str">
        <f t="shared" si="144"/>
        <v/>
      </c>
      <c r="V491" s="307" t="str">
        <f t="shared" si="153"/>
        <v/>
      </c>
      <c r="W491" s="307" t="str">
        <f>IFERROR(IF(V491&gt;0,PROPER(Terbilang1(V491)&amp;" Rupiah"),0),"")</f>
        <v/>
      </c>
      <c r="X491" s="90" t="str">
        <f t="shared" si="148"/>
        <v/>
      </c>
      <c r="Y491" s="307" t="str">
        <f t="shared" si="149"/>
        <v/>
      </c>
      <c r="Z491" s="307">
        <f t="shared" si="145"/>
        <v>0</v>
      </c>
      <c r="AA491" s="366">
        <f t="shared" si="146"/>
        <v>0</v>
      </c>
      <c r="AB491" s="367">
        <f t="shared" si="150"/>
        <v>0</v>
      </c>
      <c r="AC491" s="305">
        <f t="shared" si="151"/>
        <v>0</v>
      </c>
      <c r="AP491" s="89" t="str">
        <f t="shared" si="140"/>
        <v/>
      </c>
      <c r="AQ491" s="89" t="str">
        <f t="shared" si="156"/>
        <v/>
      </c>
      <c r="AR491" s="315" t="str">
        <f t="shared" si="139"/>
        <v/>
      </c>
      <c r="AS491" s="305" t="str">
        <f t="shared" si="152"/>
        <v>0</v>
      </c>
      <c r="AT491" s="307">
        <f>Table22[[#This Row],[Column1]]</f>
        <v>0</v>
      </c>
    </row>
    <row r="492" spans="1:46" x14ac:dyDescent="0.3">
      <c r="A492" s="307">
        <f t="shared" si="147"/>
        <v>0</v>
      </c>
      <c r="B492" s="307">
        <f t="shared" si="154"/>
        <v>0</v>
      </c>
      <c r="C492" s="308" t="s">
        <v>563</v>
      </c>
      <c r="D492" s="309" t="s">
        <v>563</v>
      </c>
      <c r="E492" s="310">
        <v>0</v>
      </c>
      <c r="F492" s="310">
        <v>0</v>
      </c>
      <c r="G492" s="311">
        <v>0</v>
      </c>
      <c r="H492" s="310" t="s">
        <v>563</v>
      </c>
      <c r="I492" s="310" t="s">
        <v>563</v>
      </c>
      <c r="J492" s="310" t="s">
        <v>563</v>
      </c>
      <c r="K492" s="312">
        <v>0</v>
      </c>
      <c r="L492" s="310">
        <v>0</v>
      </c>
      <c r="M492" s="310">
        <v>0</v>
      </c>
      <c r="N492" s="313" t="s">
        <v>563</v>
      </c>
      <c r="O492" s="314" t="s">
        <v>563</v>
      </c>
      <c r="P492" s="307">
        <f t="shared" si="141"/>
        <v>0</v>
      </c>
      <c r="R492" s="91" t="str">
        <f t="shared" si="155"/>
        <v/>
      </c>
      <c r="S49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2" s="307" t="str">
        <f t="shared" si="143"/>
        <v/>
      </c>
      <c r="U492" s="315" t="str">
        <f t="shared" si="144"/>
        <v/>
      </c>
      <c r="V492" s="307" t="str">
        <f t="shared" si="153"/>
        <v/>
      </c>
      <c r="W492" s="307" t="str">
        <f>IFERROR(IF(V492&gt;0,PROPER(Terbilang1(V492)&amp;" Rupiah"),0),"")</f>
        <v/>
      </c>
      <c r="X492" s="90" t="str">
        <f t="shared" si="148"/>
        <v/>
      </c>
      <c r="Y492" s="307" t="str">
        <f t="shared" si="149"/>
        <v/>
      </c>
      <c r="Z492" s="307">
        <f t="shared" si="145"/>
        <v>0</v>
      </c>
      <c r="AA492" s="366">
        <f t="shared" si="146"/>
        <v>0</v>
      </c>
      <c r="AB492" s="367">
        <f t="shared" si="150"/>
        <v>0</v>
      </c>
      <c r="AC492" s="305">
        <f t="shared" si="151"/>
        <v>0</v>
      </c>
      <c r="AP492" s="89" t="str">
        <f t="shared" si="140"/>
        <v/>
      </c>
      <c r="AQ492" s="89" t="str">
        <f t="shared" si="156"/>
        <v/>
      </c>
      <c r="AR492" s="315" t="str">
        <f t="shared" si="139"/>
        <v/>
      </c>
      <c r="AS492" s="305" t="str">
        <f t="shared" si="152"/>
        <v>0</v>
      </c>
      <c r="AT492" s="307">
        <f>Table22[[#This Row],[Column1]]</f>
        <v>0</v>
      </c>
    </row>
    <row r="493" spans="1:46" x14ac:dyDescent="0.3">
      <c r="A493" s="307">
        <f t="shared" si="147"/>
        <v>0</v>
      </c>
      <c r="B493" s="307">
        <f t="shared" si="154"/>
        <v>0</v>
      </c>
      <c r="C493" s="308" t="s">
        <v>563</v>
      </c>
      <c r="D493" s="309" t="s">
        <v>563</v>
      </c>
      <c r="E493" s="310">
        <v>0</v>
      </c>
      <c r="F493" s="310">
        <v>0</v>
      </c>
      <c r="G493" s="311">
        <v>0</v>
      </c>
      <c r="H493" s="310" t="s">
        <v>563</v>
      </c>
      <c r="I493" s="310" t="s">
        <v>563</v>
      </c>
      <c r="J493" s="310" t="s">
        <v>563</v>
      </c>
      <c r="K493" s="312">
        <v>0</v>
      </c>
      <c r="L493" s="310">
        <v>0</v>
      </c>
      <c r="M493" s="310">
        <v>0</v>
      </c>
      <c r="N493" s="313" t="s">
        <v>563</v>
      </c>
      <c r="O493" s="314" t="s">
        <v>563</v>
      </c>
      <c r="P493" s="307">
        <f t="shared" si="141"/>
        <v>0</v>
      </c>
      <c r="R493" s="91" t="str">
        <f t="shared" si="155"/>
        <v/>
      </c>
      <c r="S49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3" s="307" t="str">
        <f t="shared" si="143"/>
        <v/>
      </c>
      <c r="U493" s="315" t="str">
        <f t="shared" si="144"/>
        <v/>
      </c>
      <c r="V493" s="307" t="str">
        <f>N493</f>
        <v/>
      </c>
      <c r="W493" s="307" t="str">
        <f>IFERROR(IF(V493&gt;0,PROPER(Terbilang1(V493)&amp;" Rupiah"),0),"")</f>
        <v/>
      </c>
      <c r="X493" s="90" t="str">
        <f t="shared" si="148"/>
        <v/>
      </c>
      <c r="Y493" s="307" t="str">
        <f t="shared" si="149"/>
        <v/>
      </c>
      <c r="Z493" s="307">
        <f t="shared" si="145"/>
        <v>0</v>
      </c>
      <c r="AA493" s="366">
        <f t="shared" si="146"/>
        <v>0</v>
      </c>
      <c r="AB493" s="367">
        <f t="shared" si="150"/>
        <v>0</v>
      </c>
      <c r="AC493" s="305">
        <f t="shared" si="151"/>
        <v>0</v>
      </c>
      <c r="AP493" s="89" t="str">
        <f t="shared" si="140"/>
        <v/>
      </c>
      <c r="AQ493" s="89" t="str">
        <f t="shared" si="156"/>
        <v/>
      </c>
      <c r="AR493" s="315" t="str">
        <f t="shared" si="139"/>
        <v/>
      </c>
      <c r="AS493" s="305" t="str">
        <f t="shared" si="152"/>
        <v>0</v>
      </c>
      <c r="AT493" s="307">
        <f>Table22[[#This Row],[Column1]]</f>
        <v>0</v>
      </c>
    </row>
    <row r="494" spans="1:46" x14ac:dyDescent="0.3">
      <c r="A494" s="307">
        <f t="shared" si="147"/>
        <v>0</v>
      </c>
      <c r="B494" s="307">
        <f t="shared" si="154"/>
        <v>0</v>
      </c>
      <c r="C494" s="308" t="s">
        <v>563</v>
      </c>
      <c r="D494" s="309" t="s">
        <v>563</v>
      </c>
      <c r="E494" s="310">
        <v>0</v>
      </c>
      <c r="F494" s="310">
        <v>0</v>
      </c>
      <c r="G494" s="311">
        <v>0</v>
      </c>
      <c r="H494" s="310" t="s">
        <v>563</v>
      </c>
      <c r="I494" s="310" t="s">
        <v>563</v>
      </c>
      <c r="J494" s="310" t="s">
        <v>563</v>
      </c>
      <c r="K494" s="312">
        <v>0</v>
      </c>
      <c r="L494" s="310">
        <v>0</v>
      </c>
      <c r="M494" s="310">
        <v>0</v>
      </c>
      <c r="N494" s="313" t="s">
        <v>563</v>
      </c>
      <c r="O494" s="314" t="s">
        <v>563</v>
      </c>
      <c r="P494" s="307">
        <f t="shared" si="141"/>
        <v>0</v>
      </c>
      <c r="R494" s="91" t="str">
        <f t="shared" si="155"/>
        <v/>
      </c>
      <c r="S49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4" s="307" t="str">
        <f t="shared" si="143"/>
        <v/>
      </c>
      <c r="U494" s="315" t="str">
        <f t="shared" si="144"/>
        <v/>
      </c>
      <c r="V494" s="307" t="str">
        <f t="shared" si="153"/>
        <v/>
      </c>
      <c r="W494" s="307" t="str">
        <f>IFERROR(IF(V494&gt;0,PROPER(Terbilang1(V494)&amp;" Rupiah"),0),"")</f>
        <v/>
      </c>
      <c r="X494" s="90" t="str">
        <f t="shared" si="148"/>
        <v/>
      </c>
      <c r="Y494" s="307" t="str">
        <f t="shared" si="149"/>
        <v/>
      </c>
      <c r="Z494" s="307">
        <f t="shared" si="145"/>
        <v>0</v>
      </c>
      <c r="AA494" s="366">
        <f t="shared" si="146"/>
        <v>0</v>
      </c>
      <c r="AB494" s="367">
        <f t="shared" si="150"/>
        <v>0</v>
      </c>
      <c r="AC494" s="305">
        <f t="shared" si="151"/>
        <v>0</v>
      </c>
      <c r="AP494" s="89" t="str">
        <f t="shared" si="140"/>
        <v/>
      </c>
      <c r="AQ494" s="89" t="str">
        <f t="shared" si="156"/>
        <v/>
      </c>
      <c r="AR494" s="315" t="str">
        <f t="shared" si="139"/>
        <v/>
      </c>
      <c r="AS494" s="305" t="str">
        <f t="shared" si="152"/>
        <v>0</v>
      </c>
      <c r="AT494" s="307">
        <f>Table22[[#This Row],[Column1]]</f>
        <v>0</v>
      </c>
    </row>
    <row r="495" spans="1:46" x14ac:dyDescent="0.3">
      <c r="A495" s="307">
        <f t="shared" si="147"/>
        <v>0</v>
      </c>
      <c r="B495" s="307">
        <f t="shared" si="154"/>
        <v>0</v>
      </c>
      <c r="C495" s="308" t="s">
        <v>563</v>
      </c>
      <c r="D495" s="309" t="s">
        <v>563</v>
      </c>
      <c r="E495" s="310">
        <v>0</v>
      </c>
      <c r="F495" s="310">
        <v>0</v>
      </c>
      <c r="G495" s="311">
        <v>0</v>
      </c>
      <c r="H495" s="310" t="s">
        <v>563</v>
      </c>
      <c r="I495" s="310" t="s">
        <v>563</v>
      </c>
      <c r="J495" s="310" t="s">
        <v>563</v>
      </c>
      <c r="K495" s="312">
        <v>0</v>
      </c>
      <c r="L495" s="310">
        <v>0</v>
      </c>
      <c r="M495" s="310">
        <v>0</v>
      </c>
      <c r="N495" s="313" t="s">
        <v>563</v>
      </c>
      <c r="O495" s="314" t="s">
        <v>563</v>
      </c>
      <c r="P495" s="307">
        <f t="shared" si="141"/>
        <v>0</v>
      </c>
      <c r="R495" s="91" t="str">
        <f t="shared" si="155"/>
        <v/>
      </c>
      <c r="S49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5" s="307" t="str">
        <f t="shared" si="143"/>
        <v/>
      </c>
      <c r="U495" s="315" t="str">
        <f t="shared" si="144"/>
        <v/>
      </c>
      <c r="V495" s="307" t="str">
        <f t="shared" si="153"/>
        <v/>
      </c>
      <c r="W495" s="307" t="str">
        <f>IFERROR(IF(V495&gt;0,PROPER(Terbilang1(V495)&amp;" Rupiah"),0),"")</f>
        <v/>
      </c>
      <c r="X495" s="90" t="str">
        <f t="shared" si="148"/>
        <v/>
      </c>
      <c r="Y495" s="307" t="str">
        <f t="shared" si="149"/>
        <v/>
      </c>
      <c r="Z495" s="307">
        <f t="shared" si="145"/>
        <v>0</v>
      </c>
      <c r="AA495" s="366">
        <f t="shared" si="146"/>
        <v>0</v>
      </c>
      <c r="AB495" s="367">
        <f t="shared" si="150"/>
        <v>0</v>
      </c>
      <c r="AC495" s="305">
        <f t="shared" si="151"/>
        <v>0</v>
      </c>
      <c r="AP495" s="89" t="str">
        <f t="shared" si="140"/>
        <v/>
      </c>
      <c r="AQ495" s="89" t="str">
        <f t="shared" si="156"/>
        <v/>
      </c>
      <c r="AR495" s="315" t="str">
        <f t="shared" si="139"/>
        <v/>
      </c>
      <c r="AS495" s="305" t="str">
        <f t="shared" si="152"/>
        <v>0</v>
      </c>
      <c r="AT495" s="307">
        <f>Table22[[#This Row],[Column1]]</f>
        <v>0</v>
      </c>
    </row>
    <row r="496" spans="1:46" x14ac:dyDescent="0.3">
      <c r="A496" s="307">
        <f t="shared" si="147"/>
        <v>0</v>
      </c>
      <c r="B496" s="307">
        <f t="shared" si="154"/>
        <v>0</v>
      </c>
      <c r="C496" s="308" t="s">
        <v>563</v>
      </c>
      <c r="D496" s="309" t="s">
        <v>563</v>
      </c>
      <c r="E496" s="310">
        <v>0</v>
      </c>
      <c r="F496" s="310">
        <v>0</v>
      </c>
      <c r="G496" s="311">
        <v>0</v>
      </c>
      <c r="H496" s="310" t="s">
        <v>563</v>
      </c>
      <c r="I496" s="310" t="s">
        <v>563</v>
      </c>
      <c r="J496" s="310" t="s">
        <v>563</v>
      </c>
      <c r="K496" s="312">
        <v>0</v>
      </c>
      <c r="L496" s="310">
        <v>0</v>
      </c>
      <c r="M496" s="310">
        <v>0</v>
      </c>
      <c r="N496" s="313" t="s">
        <v>563</v>
      </c>
      <c r="O496" s="314" t="s">
        <v>563</v>
      </c>
      <c r="P496" s="307">
        <f t="shared" si="141"/>
        <v>0</v>
      </c>
      <c r="R496" s="91" t="str">
        <f t="shared" si="155"/>
        <v/>
      </c>
      <c r="S49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6" s="307" t="str">
        <f t="shared" si="143"/>
        <v/>
      </c>
      <c r="U496" s="315" t="str">
        <f t="shared" si="144"/>
        <v/>
      </c>
      <c r="V496" s="307" t="str">
        <f t="shared" si="153"/>
        <v/>
      </c>
      <c r="W496" s="307" t="str">
        <f>IFERROR(IF(V496&gt;0,PROPER(Terbilang1(V496)&amp;" Rupiah"),0),"")</f>
        <v/>
      </c>
      <c r="X496" s="90" t="str">
        <f t="shared" si="148"/>
        <v/>
      </c>
      <c r="Y496" s="307" t="str">
        <f t="shared" si="149"/>
        <v/>
      </c>
      <c r="Z496" s="307">
        <f t="shared" si="145"/>
        <v>0</v>
      </c>
      <c r="AA496" s="366">
        <f t="shared" si="146"/>
        <v>0</v>
      </c>
      <c r="AB496" s="367">
        <f t="shared" si="150"/>
        <v>0</v>
      </c>
      <c r="AC496" s="305">
        <f t="shared" si="151"/>
        <v>0</v>
      </c>
      <c r="AP496" s="89" t="str">
        <f t="shared" si="140"/>
        <v/>
      </c>
      <c r="AQ496" s="89" t="str">
        <f t="shared" si="156"/>
        <v/>
      </c>
      <c r="AR496" s="315" t="str">
        <f t="shared" si="139"/>
        <v/>
      </c>
      <c r="AS496" s="305" t="str">
        <f t="shared" si="152"/>
        <v>0</v>
      </c>
      <c r="AT496" s="307">
        <f>Table22[[#This Row],[Column1]]</f>
        <v>0</v>
      </c>
    </row>
    <row r="497" spans="1:46" x14ac:dyDescent="0.3">
      <c r="A497" s="307">
        <f t="shared" si="147"/>
        <v>0</v>
      </c>
      <c r="B497" s="307">
        <f t="shared" si="154"/>
        <v>0</v>
      </c>
      <c r="C497" s="308" t="s">
        <v>563</v>
      </c>
      <c r="D497" s="309" t="s">
        <v>563</v>
      </c>
      <c r="E497" s="310">
        <v>0</v>
      </c>
      <c r="F497" s="310">
        <v>0</v>
      </c>
      <c r="G497" s="311">
        <v>0</v>
      </c>
      <c r="H497" s="310" t="s">
        <v>563</v>
      </c>
      <c r="I497" s="310" t="s">
        <v>563</v>
      </c>
      <c r="J497" s="310" t="s">
        <v>563</v>
      </c>
      <c r="K497" s="312">
        <v>0</v>
      </c>
      <c r="L497" s="310">
        <v>0</v>
      </c>
      <c r="M497" s="310">
        <v>0</v>
      </c>
      <c r="N497" s="313" t="s">
        <v>563</v>
      </c>
      <c r="O497" s="314" t="s">
        <v>563</v>
      </c>
      <c r="P497" s="307">
        <f t="shared" si="141"/>
        <v>0</v>
      </c>
      <c r="R497" s="91" t="str">
        <f t="shared" si="155"/>
        <v/>
      </c>
      <c r="S49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7" s="307" t="str">
        <f t="shared" si="143"/>
        <v/>
      </c>
      <c r="U497" s="315" t="str">
        <f t="shared" si="144"/>
        <v/>
      </c>
      <c r="V497" s="307" t="str">
        <f t="shared" si="153"/>
        <v/>
      </c>
      <c r="W497" s="307" t="str">
        <f>IFERROR(IF(V497&gt;0,PROPER(Terbilang1(V497)&amp;" Rupiah"),0),"")</f>
        <v/>
      </c>
      <c r="X497" s="90" t="str">
        <f t="shared" si="148"/>
        <v/>
      </c>
      <c r="Y497" s="307" t="str">
        <f t="shared" si="149"/>
        <v/>
      </c>
      <c r="Z497" s="307">
        <f t="shared" si="145"/>
        <v>0</v>
      </c>
      <c r="AA497" s="366">
        <f t="shared" si="146"/>
        <v>0</v>
      </c>
      <c r="AB497" s="367">
        <f t="shared" si="150"/>
        <v>0</v>
      </c>
      <c r="AC497" s="305">
        <f t="shared" si="151"/>
        <v>0</v>
      </c>
      <c r="AP497" s="89" t="str">
        <f t="shared" si="140"/>
        <v/>
      </c>
      <c r="AQ497" s="89" t="str">
        <f t="shared" si="156"/>
        <v/>
      </c>
      <c r="AR497" s="315" t="str">
        <f t="shared" si="139"/>
        <v/>
      </c>
      <c r="AS497" s="305" t="str">
        <f t="shared" si="152"/>
        <v>0</v>
      </c>
      <c r="AT497" s="307">
        <f>Table22[[#This Row],[Column1]]</f>
        <v>0</v>
      </c>
    </row>
    <row r="498" spans="1:46" x14ac:dyDescent="0.3">
      <c r="A498" s="307">
        <f t="shared" si="147"/>
        <v>0</v>
      </c>
      <c r="B498" s="307">
        <f t="shared" si="154"/>
        <v>0</v>
      </c>
      <c r="C498" s="308" t="s">
        <v>563</v>
      </c>
      <c r="D498" s="309" t="s">
        <v>563</v>
      </c>
      <c r="E498" s="310">
        <v>0</v>
      </c>
      <c r="F498" s="310">
        <v>0</v>
      </c>
      <c r="G498" s="311">
        <v>0</v>
      </c>
      <c r="H498" s="310" t="s">
        <v>563</v>
      </c>
      <c r="I498" s="310" t="s">
        <v>563</v>
      </c>
      <c r="J498" s="310" t="s">
        <v>563</v>
      </c>
      <c r="K498" s="312">
        <v>0</v>
      </c>
      <c r="L498" s="310">
        <v>0</v>
      </c>
      <c r="M498" s="310">
        <v>0</v>
      </c>
      <c r="N498" s="313" t="s">
        <v>563</v>
      </c>
      <c r="O498" s="314" t="s">
        <v>563</v>
      </c>
      <c r="P498" s="307">
        <f t="shared" si="141"/>
        <v>0</v>
      </c>
      <c r="R498" s="91" t="str">
        <f t="shared" si="155"/>
        <v/>
      </c>
      <c r="S49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8" s="307" t="str">
        <f t="shared" si="143"/>
        <v/>
      </c>
      <c r="U498" s="315" t="str">
        <f t="shared" si="144"/>
        <v/>
      </c>
      <c r="V498" s="307" t="str">
        <f>N498</f>
        <v/>
      </c>
      <c r="W498" s="307" t="str">
        <f>IFERROR(IF(V498&gt;0,PROPER(Terbilang1(V498)&amp;" Rupiah"),0),"")</f>
        <v/>
      </c>
      <c r="X498" s="90" t="str">
        <f t="shared" si="148"/>
        <v/>
      </c>
      <c r="Y498" s="307" t="str">
        <f t="shared" si="149"/>
        <v/>
      </c>
      <c r="Z498" s="307">
        <f t="shared" si="145"/>
        <v>0</v>
      </c>
      <c r="AA498" s="366">
        <f t="shared" si="146"/>
        <v>0</v>
      </c>
      <c r="AB498" s="367">
        <f t="shared" si="150"/>
        <v>0</v>
      </c>
      <c r="AC498" s="305">
        <f t="shared" si="151"/>
        <v>0</v>
      </c>
      <c r="AP498" s="89" t="str">
        <f t="shared" si="140"/>
        <v/>
      </c>
      <c r="AQ498" s="89" t="str">
        <f t="shared" si="156"/>
        <v/>
      </c>
      <c r="AR498" s="315" t="str">
        <f t="shared" si="139"/>
        <v/>
      </c>
      <c r="AS498" s="305" t="str">
        <f t="shared" si="152"/>
        <v>0</v>
      </c>
      <c r="AT498" s="307">
        <f>Table22[[#This Row],[Column1]]</f>
        <v>0</v>
      </c>
    </row>
    <row r="499" spans="1:46" x14ac:dyDescent="0.3">
      <c r="A499" s="307">
        <f t="shared" si="147"/>
        <v>0</v>
      </c>
      <c r="B499" s="307">
        <f t="shared" si="154"/>
        <v>0</v>
      </c>
      <c r="C499" s="308" t="s">
        <v>563</v>
      </c>
      <c r="D499" s="309" t="s">
        <v>563</v>
      </c>
      <c r="E499" s="310">
        <v>0</v>
      </c>
      <c r="F499" s="310">
        <v>0</v>
      </c>
      <c r="G499" s="311">
        <v>0</v>
      </c>
      <c r="H499" s="310" t="s">
        <v>563</v>
      </c>
      <c r="I499" s="310" t="s">
        <v>563</v>
      </c>
      <c r="J499" s="310" t="s">
        <v>563</v>
      </c>
      <c r="K499" s="312">
        <v>0</v>
      </c>
      <c r="L499" s="310">
        <v>0</v>
      </c>
      <c r="M499" s="310">
        <v>0</v>
      </c>
      <c r="N499" s="313" t="s">
        <v>563</v>
      </c>
      <c r="O499" s="314" t="s">
        <v>563</v>
      </c>
      <c r="P499" s="307">
        <f t="shared" si="141"/>
        <v>0</v>
      </c>
      <c r="R499" s="91" t="str">
        <f t="shared" si="155"/>
        <v/>
      </c>
      <c r="S49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499" s="307" t="str">
        <f t="shared" si="143"/>
        <v/>
      </c>
      <c r="U499" s="315" t="str">
        <f t="shared" si="144"/>
        <v/>
      </c>
      <c r="V499" s="307" t="str">
        <f t="shared" si="153"/>
        <v/>
      </c>
      <c r="W499" s="307" t="str">
        <f>IFERROR(IF(V499&gt;0,PROPER(Terbilang1(V499)&amp;" Rupiah"),0),"")</f>
        <v/>
      </c>
      <c r="X499" s="90" t="str">
        <f t="shared" si="148"/>
        <v/>
      </c>
      <c r="Y499" s="307" t="str">
        <f t="shared" si="149"/>
        <v/>
      </c>
      <c r="Z499" s="307">
        <f t="shared" si="145"/>
        <v>0</v>
      </c>
      <c r="AA499" s="366">
        <f t="shared" si="146"/>
        <v>0</v>
      </c>
      <c r="AB499" s="367">
        <f t="shared" si="150"/>
        <v>0</v>
      </c>
      <c r="AC499" s="305">
        <f t="shared" si="151"/>
        <v>0</v>
      </c>
      <c r="AP499" s="89" t="str">
        <f t="shared" si="140"/>
        <v/>
      </c>
      <c r="AQ499" s="89" t="str">
        <f t="shared" si="156"/>
        <v/>
      </c>
      <c r="AR499" s="315" t="str">
        <f t="shared" ref="AR499:AR562" si="157">IF(VALUE(AT499)&gt;1,IF(LEN(AR498)&gt;1,AR498,D499),"")</f>
        <v/>
      </c>
      <c r="AS499" s="305" t="str">
        <f t="shared" si="152"/>
        <v>0</v>
      </c>
      <c r="AT499" s="307">
        <f>Table22[[#This Row],[Column1]]</f>
        <v>0</v>
      </c>
    </row>
    <row r="500" spans="1:46" x14ac:dyDescent="0.3">
      <c r="A500" s="307">
        <f t="shared" si="147"/>
        <v>0</v>
      </c>
      <c r="B500" s="307">
        <f t="shared" si="154"/>
        <v>0</v>
      </c>
      <c r="C500" s="308" t="s">
        <v>563</v>
      </c>
      <c r="D500" s="309" t="s">
        <v>563</v>
      </c>
      <c r="E500" s="310">
        <v>0</v>
      </c>
      <c r="F500" s="310">
        <v>0</v>
      </c>
      <c r="G500" s="311">
        <v>0</v>
      </c>
      <c r="H500" s="310" t="s">
        <v>563</v>
      </c>
      <c r="I500" s="310" t="s">
        <v>563</v>
      </c>
      <c r="J500" s="310" t="s">
        <v>563</v>
      </c>
      <c r="K500" s="312">
        <v>0</v>
      </c>
      <c r="L500" s="310">
        <v>0</v>
      </c>
      <c r="M500" s="310">
        <v>0</v>
      </c>
      <c r="N500" s="313" t="s">
        <v>563</v>
      </c>
      <c r="O500" s="314" t="s">
        <v>563</v>
      </c>
      <c r="P500" s="307">
        <f t="shared" si="141"/>
        <v>0</v>
      </c>
      <c r="R500" s="91" t="str">
        <f t="shared" si="155"/>
        <v/>
      </c>
      <c r="S50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0" s="307" t="str">
        <f t="shared" si="143"/>
        <v/>
      </c>
      <c r="U500" s="315" t="str">
        <f t="shared" si="144"/>
        <v/>
      </c>
      <c r="V500" s="307" t="str">
        <f t="shared" si="153"/>
        <v/>
      </c>
      <c r="W500" s="307" t="str">
        <f>IFERROR(IF(V500&gt;0,PROPER(Terbilang1(V500)&amp;" Rupiah"),0),"")</f>
        <v/>
      </c>
      <c r="X500" s="90" t="str">
        <f t="shared" si="148"/>
        <v/>
      </c>
      <c r="Y500" s="307" t="str">
        <f t="shared" si="149"/>
        <v/>
      </c>
      <c r="Z500" s="307">
        <f t="shared" si="145"/>
        <v>0</v>
      </c>
      <c r="AA500" s="366">
        <f t="shared" si="146"/>
        <v>0</v>
      </c>
      <c r="AB500" s="367">
        <f t="shared" si="150"/>
        <v>0</v>
      </c>
      <c r="AC500" s="305">
        <f t="shared" si="151"/>
        <v>0</v>
      </c>
      <c r="AP500" s="89" t="str">
        <f t="shared" si="140"/>
        <v/>
      </c>
      <c r="AQ500" s="89" t="str">
        <f t="shared" si="156"/>
        <v/>
      </c>
      <c r="AR500" s="315" t="str">
        <f t="shared" si="157"/>
        <v/>
      </c>
      <c r="AS500" s="305" t="str">
        <f t="shared" si="152"/>
        <v>0</v>
      </c>
      <c r="AT500" s="307">
        <f>Table22[[#This Row],[Column1]]</f>
        <v>0</v>
      </c>
    </row>
    <row r="501" spans="1:46" x14ac:dyDescent="0.3">
      <c r="A501" s="307">
        <f t="shared" si="147"/>
        <v>0</v>
      </c>
      <c r="B501" s="307">
        <f t="shared" si="154"/>
        <v>0</v>
      </c>
      <c r="C501" s="308" t="s">
        <v>563</v>
      </c>
      <c r="D501" s="309" t="s">
        <v>563</v>
      </c>
      <c r="E501" s="310">
        <v>0</v>
      </c>
      <c r="F501" s="310">
        <v>0</v>
      </c>
      <c r="G501" s="311">
        <v>0</v>
      </c>
      <c r="H501" s="310" t="s">
        <v>563</v>
      </c>
      <c r="I501" s="310" t="s">
        <v>563</v>
      </c>
      <c r="J501" s="310" t="s">
        <v>563</v>
      </c>
      <c r="K501" s="312">
        <v>0</v>
      </c>
      <c r="L501" s="310">
        <v>0</v>
      </c>
      <c r="M501" s="310">
        <v>0</v>
      </c>
      <c r="N501" s="313" t="s">
        <v>563</v>
      </c>
      <c r="O501" s="314" t="s">
        <v>563</v>
      </c>
      <c r="P501" s="307">
        <f t="shared" si="141"/>
        <v>0</v>
      </c>
      <c r="R501" s="91" t="str">
        <f t="shared" si="155"/>
        <v/>
      </c>
      <c r="S50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1" s="307" t="str">
        <f t="shared" si="143"/>
        <v/>
      </c>
      <c r="U501" s="315" t="str">
        <f t="shared" si="144"/>
        <v/>
      </c>
      <c r="V501" s="307" t="str">
        <f t="shared" si="153"/>
        <v/>
      </c>
      <c r="W501" s="307" t="str">
        <f>IFERROR(IF(V501&gt;0,PROPER(Terbilang1(V501)&amp;" Rupiah"),0),"")</f>
        <v/>
      </c>
      <c r="X501" s="90" t="str">
        <f t="shared" si="148"/>
        <v/>
      </c>
      <c r="Y501" s="307" t="str">
        <f t="shared" si="149"/>
        <v/>
      </c>
      <c r="Z501" s="307">
        <f t="shared" si="145"/>
        <v>0</v>
      </c>
      <c r="AA501" s="366">
        <f t="shared" si="146"/>
        <v>0</v>
      </c>
      <c r="AB501" s="367">
        <f t="shared" si="150"/>
        <v>0</v>
      </c>
      <c r="AC501" s="305">
        <f t="shared" si="151"/>
        <v>0</v>
      </c>
      <c r="AP501" s="89" t="str">
        <f t="shared" si="140"/>
        <v/>
      </c>
      <c r="AQ501" s="89" t="str">
        <f t="shared" si="156"/>
        <v/>
      </c>
      <c r="AR501" s="315" t="str">
        <f t="shared" si="157"/>
        <v/>
      </c>
      <c r="AS501" s="305" t="str">
        <f t="shared" si="152"/>
        <v>0</v>
      </c>
      <c r="AT501" s="307">
        <f>Table22[[#This Row],[Column1]]</f>
        <v>0</v>
      </c>
    </row>
    <row r="502" spans="1:46" x14ac:dyDescent="0.3">
      <c r="A502" s="307">
        <f t="shared" si="147"/>
        <v>0</v>
      </c>
      <c r="B502" s="307">
        <f t="shared" si="154"/>
        <v>0</v>
      </c>
      <c r="C502" s="308" t="s">
        <v>563</v>
      </c>
      <c r="D502" s="309" t="s">
        <v>563</v>
      </c>
      <c r="E502" s="310">
        <v>0</v>
      </c>
      <c r="F502" s="310">
        <v>0</v>
      </c>
      <c r="G502" s="311">
        <v>0</v>
      </c>
      <c r="H502" s="310" t="s">
        <v>563</v>
      </c>
      <c r="I502" s="310" t="s">
        <v>563</v>
      </c>
      <c r="J502" s="310" t="s">
        <v>563</v>
      </c>
      <c r="K502" s="312">
        <v>0</v>
      </c>
      <c r="L502" s="310">
        <v>0</v>
      </c>
      <c r="M502" s="310">
        <v>0</v>
      </c>
      <c r="N502" s="313" t="s">
        <v>563</v>
      </c>
      <c r="O502" s="314" t="s">
        <v>563</v>
      </c>
      <c r="P502" s="307">
        <f t="shared" si="141"/>
        <v>0</v>
      </c>
      <c r="R502" s="91" t="str">
        <f t="shared" si="155"/>
        <v/>
      </c>
      <c r="S50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2" s="307" t="str">
        <f t="shared" si="143"/>
        <v/>
      </c>
      <c r="U502" s="315" t="str">
        <f t="shared" si="144"/>
        <v/>
      </c>
      <c r="V502" s="307" t="str">
        <f>N502</f>
        <v/>
      </c>
      <c r="W502" s="307" t="str">
        <f>IFERROR(IF(V502&gt;0,PROPER(Terbilang1(V502)&amp;" Rupiah"),0),"")</f>
        <v/>
      </c>
      <c r="X502" s="90" t="str">
        <f t="shared" si="148"/>
        <v/>
      </c>
      <c r="Y502" s="307" t="str">
        <f t="shared" si="149"/>
        <v/>
      </c>
      <c r="Z502" s="307">
        <f t="shared" si="145"/>
        <v>0</v>
      </c>
      <c r="AA502" s="366">
        <f t="shared" si="146"/>
        <v>0</v>
      </c>
      <c r="AB502" s="367">
        <f t="shared" si="150"/>
        <v>0</v>
      </c>
      <c r="AC502" s="305">
        <f t="shared" si="151"/>
        <v>0</v>
      </c>
      <c r="AP502" s="89" t="str">
        <f t="shared" si="140"/>
        <v/>
      </c>
      <c r="AQ502" s="89" t="str">
        <f t="shared" si="156"/>
        <v/>
      </c>
      <c r="AR502" s="315" t="str">
        <f t="shared" si="157"/>
        <v/>
      </c>
      <c r="AS502" s="305" t="str">
        <f t="shared" si="152"/>
        <v>0</v>
      </c>
      <c r="AT502" s="307">
        <f>Table22[[#This Row],[Column1]]</f>
        <v>0</v>
      </c>
    </row>
    <row r="503" spans="1:46" x14ac:dyDescent="0.3">
      <c r="A503" s="307">
        <f t="shared" si="147"/>
        <v>0</v>
      </c>
      <c r="B503" s="307">
        <f t="shared" si="154"/>
        <v>0</v>
      </c>
      <c r="C503" s="308" t="s">
        <v>563</v>
      </c>
      <c r="D503" s="309" t="s">
        <v>563</v>
      </c>
      <c r="E503" s="310">
        <v>0</v>
      </c>
      <c r="F503" s="310">
        <v>0</v>
      </c>
      <c r="G503" s="311">
        <v>0</v>
      </c>
      <c r="H503" s="310" t="s">
        <v>563</v>
      </c>
      <c r="I503" s="310" t="s">
        <v>563</v>
      </c>
      <c r="J503" s="310" t="s">
        <v>563</v>
      </c>
      <c r="K503" s="312">
        <v>0</v>
      </c>
      <c r="L503" s="310">
        <v>0</v>
      </c>
      <c r="M503" s="310">
        <v>0</v>
      </c>
      <c r="N503" s="313" t="s">
        <v>563</v>
      </c>
      <c r="O503" s="314" t="s">
        <v>563</v>
      </c>
      <c r="P503" s="307">
        <f t="shared" si="141"/>
        <v>0</v>
      </c>
      <c r="R503" s="91" t="str">
        <f t="shared" si="155"/>
        <v/>
      </c>
      <c r="S50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3" s="307" t="str">
        <f t="shared" si="143"/>
        <v/>
      </c>
      <c r="U503" s="315" t="str">
        <f t="shared" si="144"/>
        <v/>
      </c>
      <c r="V503" s="307" t="str">
        <f t="shared" si="153"/>
        <v/>
      </c>
      <c r="W503" s="307" t="str">
        <f>IFERROR(IF(V503&gt;0,PROPER(Terbilang1(V503)&amp;" Rupiah"),0),"")</f>
        <v/>
      </c>
      <c r="X503" s="90" t="str">
        <f t="shared" si="148"/>
        <v/>
      </c>
      <c r="Y503" s="307" t="str">
        <f t="shared" si="149"/>
        <v/>
      </c>
      <c r="Z503" s="307">
        <f t="shared" si="145"/>
        <v>0</v>
      </c>
      <c r="AA503" s="366">
        <f t="shared" si="146"/>
        <v>0</v>
      </c>
      <c r="AB503" s="367">
        <f t="shared" si="150"/>
        <v>0</v>
      </c>
      <c r="AC503" s="305">
        <f t="shared" si="151"/>
        <v>0</v>
      </c>
      <c r="AP503" s="89" t="str">
        <f t="shared" si="140"/>
        <v/>
      </c>
      <c r="AQ503" s="89" t="str">
        <f t="shared" si="156"/>
        <v/>
      </c>
      <c r="AR503" s="315" t="str">
        <f t="shared" si="157"/>
        <v/>
      </c>
      <c r="AS503" s="305" t="str">
        <f t="shared" si="152"/>
        <v>0</v>
      </c>
      <c r="AT503" s="307">
        <f>Table22[[#This Row],[Column1]]</f>
        <v>0</v>
      </c>
    </row>
    <row r="504" spans="1:46" x14ac:dyDescent="0.3">
      <c r="A504" s="307">
        <f t="shared" si="147"/>
        <v>0</v>
      </c>
      <c r="B504" s="307">
        <f t="shared" si="154"/>
        <v>0</v>
      </c>
      <c r="C504" s="308" t="s">
        <v>563</v>
      </c>
      <c r="D504" s="309" t="s">
        <v>563</v>
      </c>
      <c r="E504" s="310">
        <v>0</v>
      </c>
      <c r="F504" s="310">
        <v>0</v>
      </c>
      <c r="G504" s="311">
        <v>0</v>
      </c>
      <c r="H504" s="310" t="s">
        <v>563</v>
      </c>
      <c r="I504" s="310" t="s">
        <v>563</v>
      </c>
      <c r="J504" s="310" t="s">
        <v>563</v>
      </c>
      <c r="K504" s="312">
        <v>0</v>
      </c>
      <c r="L504" s="310">
        <v>0</v>
      </c>
      <c r="M504" s="310">
        <v>0</v>
      </c>
      <c r="N504" s="313" t="s">
        <v>563</v>
      </c>
      <c r="O504" s="314" t="s">
        <v>563</v>
      </c>
      <c r="P504" s="307">
        <f t="shared" si="141"/>
        <v>0</v>
      </c>
      <c r="R504" s="91" t="str">
        <f t="shared" si="155"/>
        <v/>
      </c>
      <c r="S504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4" s="307" t="str">
        <f t="shared" si="143"/>
        <v/>
      </c>
      <c r="U504" s="315" t="str">
        <f t="shared" si="144"/>
        <v/>
      </c>
      <c r="V504" s="307" t="str">
        <f t="shared" si="153"/>
        <v/>
      </c>
      <c r="W504" s="307" t="str">
        <f>IFERROR(IF(V504&gt;0,PROPER(Terbilang1(V504)&amp;" Rupiah"),0),"")</f>
        <v/>
      </c>
      <c r="X504" s="90" t="str">
        <f t="shared" si="148"/>
        <v/>
      </c>
      <c r="Y504" s="307" t="str">
        <f t="shared" si="149"/>
        <v/>
      </c>
      <c r="Z504" s="307">
        <f t="shared" si="145"/>
        <v>0</v>
      </c>
      <c r="AA504" s="366">
        <f t="shared" si="146"/>
        <v>0</v>
      </c>
      <c r="AB504" s="367">
        <f t="shared" si="150"/>
        <v>0</v>
      </c>
      <c r="AC504" s="305">
        <f t="shared" si="151"/>
        <v>0</v>
      </c>
      <c r="AP504" s="89" t="str">
        <f t="shared" si="140"/>
        <v/>
      </c>
      <c r="AQ504" s="89" t="str">
        <f t="shared" si="156"/>
        <v/>
      </c>
      <c r="AR504" s="315" t="str">
        <f t="shared" si="157"/>
        <v/>
      </c>
      <c r="AS504" s="305" t="str">
        <f t="shared" si="152"/>
        <v>0</v>
      </c>
      <c r="AT504" s="307">
        <f>Table22[[#This Row],[Column1]]</f>
        <v>0</v>
      </c>
    </row>
    <row r="505" spans="1:46" x14ac:dyDescent="0.3">
      <c r="A505" s="307">
        <f t="shared" si="147"/>
        <v>0</v>
      </c>
      <c r="B505" s="307">
        <f t="shared" si="154"/>
        <v>0</v>
      </c>
      <c r="C505" s="308" t="s">
        <v>563</v>
      </c>
      <c r="D505" s="309" t="s">
        <v>563</v>
      </c>
      <c r="E505" s="310">
        <v>0</v>
      </c>
      <c r="F505" s="310">
        <v>0</v>
      </c>
      <c r="G505" s="311">
        <v>0</v>
      </c>
      <c r="H505" s="310" t="s">
        <v>563</v>
      </c>
      <c r="I505" s="310" t="s">
        <v>563</v>
      </c>
      <c r="J505" s="310" t="s">
        <v>563</v>
      </c>
      <c r="K505" s="312">
        <v>0</v>
      </c>
      <c r="L505" s="310">
        <v>0</v>
      </c>
      <c r="M505" s="310">
        <v>0</v>
      </c>
      <c r="N505" s="313" t="s">
        <v>563</v>
      </c>
      <c r="O505" s="314" t="s">
        <v>563</v>
      </c>
      <c r="P505" s="307">
        <f t="shared" si="141"/>
        <v>0</v>
      </c>
      <c r="R505" s="91" t="str">
        <f t="shared" si="155"/>
        <v/>
      </c>
      <c r="S505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5" s="307" t="str">
        <f t="shared" si="143"/>
        <v/>
      </c>
      <c r="U505" s="315" t="str">
        <f t="shared" si="144"/>
        <v/>
      </c>
      <c r="V505" s="307" t="str">
        <f t="shared" si="153"/>
        <v/>
      </c>
      <c r="W505" s="307" t="str">
        <f>IFERROR(IF(V505&gt;0,PROPER(Terbilang1(V505)&amp;" Rupiah"),0),"")</f>
        <v/>
      </c>
      <c r="X505" s="90" t="str">
        <f t="shared" si="148"/>
        <v/>
      </c>
      <c r="Y505" s="307" t="str">
        <f t="shared" si="149"/>
        <v/>
      </c>
      <c r="Z505" s="307">
        <f t="shared" si="145"/>
        <v>0</v>
      </c>
      <c r="AA505" s="366">
        <f t="shared" si="146"/>
        <v>0</v>
      </c>
      <c r="AB505" s="367">
        <f t="shared" si="150"/>
        <v>0</v>
      </c>
      <c r="AC505" s="305">
        <f t="shared" si="151"/>
        <v>0</v>
      </c>
      <c r="AP505" s="89" t="str">
        <f t="shared" si="140"/>
        <v/>
      </c>
      <c r="AQ505" s="89" t="str">
        <f t="shared" si="156"/>
        <v/>
      </c>
      <c r="AR505" s="315" t="str">
        <f t="shared" si="157"/>
        <v/>
      </c>
      <c r="AS505" s="305" t="str">
        <f t="shared" si="152"/>
        <v>0</v>
      </c>
      <c r="AT505" s="307">
        <f>Table22[[#This Row],[Column1]]</f>
        <v>0</v>
      </c>
    </row>
    <row r="506" spans="1:46" x14ac:dyDescent="0.3">
      <c r="A506" s="307">
        <f t="shared" si="147"/>
        <v>0</v>
      </c>
      <c r="B506" s="307">
        <f t="shared" si="154"/>
        <v>0</v>
      </c>
      <c r="C506" s="308" t="s">
        <v>563</v>
      </c>
      <c r="D506" s="309" t="s">
        <v>563</v>
      </c>
      <c r="E506" s="310">
        <v>0</v>
      </c>
      <c r="F506" s="310">
        <v>0</v>
      </c>
      <c r="G506" s="311">
        <v>0</v>
      </c>
      <c r="H506" s="310" t="s">
        <v>563</v>
      </c>
      <c r="I506" s="310" t="s">
        <v>563</v>
      </c>
      <c r="J506" s="310" t="s">
        <v>563</v>
      </c>
      <c r="K506" s="312">
        <v>0</v>
      </c>
      <c r="L506" s="310">
        <v>0</v>
      </c>
      <c r="M506" s="310">
        <v>0</v>
      </c>
      <c r="N506" s="313" t="s">
        <v>563</v>
      </c>
      <c r="O506" s="314" t="s">
        <v>563</v>
      </c>
      <c r="P506" s="307">
        <f t="shared" si="141"/>
        <v>0</v>
      </c>
      <c r="R506" s="91" t="str">
        <f t="shared" si="155"/>
        <v/>
      </c>
      <c r="S506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6" s="307" t="str">
        <f t="shared" si="143"/>
        <v/>
      </c>
      <c r="U506" s="315" t="str">
        <f t="shared" si="144"/>
        <v/>
      </c>
      <c r="V506" s="307" t="str">
        <f t="shared" si="153"/>
        <v/>
      </c>
      <c r="W506" s="307" t="str">
        <f>IFERROR(IF(V506&gt;0,PROPER(Terbilang1(V506)&amp;" Rupiah"),0),"")</f>
        <v/>
      </c>
      <c r="X506" s="90" t="str">
        <f t="shared" si="148"/>
        <v/>
      </c>
      <c r="Y506" s="307" t="str">
        <f t="shared" si="149"/>
        <v/>
      </c>
      <c r="Z506" s="307">
        <f t="shared" si="145"/>
        <v>0</v>
      </c>
      <c r="AA506" s="366">
        <f t="shared" si="146"/>
        <v>0</v>
      </c>
      <c r="AB506" s="367">
        <f t="shared" si="150"/>
        <v>0</v>
      </c>
      <c r="AC506" s="305">
        <f t="shared" si="151"/>
        <v>0</v>
      </c>
      <c r="AP506" s="89" t="str">
        <f t="shared" si="140"/>
        <v/>
      </c>
      <c r="AQ506" s="89" t="str">
        <f t="shared" si="156"/>
        <v/>
      </c>
      <c r="AR506" s="315" t="str">
        <f t="shared" si="157"/>
        <v/>
      </c>
      <c r="AS506" s="305" t="str">
        <f t="shared" si="152"/>
        <v>0</v>
      </c>
      <c r="AT506" s="307">
        <f>Table22[[#This Row],[Column1]]</f>
        <v>0</v>
      </c>
    </row>
    <row r="507" spans="1:46" x14ac:dyDescent="0.3">
      <c r="A507" s="307">
        <f t="shared" si="147"/>
        <v>0</v>
      </c>
      <c r="B507" s="307">
        <f t="shared" si="154"/>
        <v>0</v>
      </c>
      <c r="C507" s="308" t="s">
        <v>563</v>
      </c>
      <c r="D507" s="309" t="s">
        <v>563</v>
      </c>
      <c r="E507" s="310">
        <v>0</v>
      </c>
      <c r="F507" s="310">
        <v>0</v>
      </c>
      <c r="G507" s="311">
        <v>0</v>
      </c>
      <c r="H507" s="310" t="s">
        <v>563</v>
      </c>
      <c r="I507" s="310" t="s">
        <v>563</v>
      </c>
      <c r="J507" s="310" t="s">
        <v>563</v>
      </c>
      <c r="K507" s="312">
        <v>0</v>
      </c>
      <c r="L507" s="310">
        <v>0</v>
      </c>
      <c r="M507" s="310">
        <v>0</v>
      </c>
      <c r="N507" s="313" t="s">
        <v>563</v>
      </c>
      <c r="O507" s="314" t="s">
        <v>563</v>
      </c>
      <c r="P507" s="307">
        <f t="shared" si="141"/>
        <v>0</v>
      </c>
      <c r="R507" s="91" t="str">
        <f t="shared" si="155"/>
        <v/>
      </c>
      <c r="S507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7" s="307" t="str">
        <f t="shared" si="143"/>
        <v/>
      </c>
      <c r="U507" s="315" t="str">
        <f t="shared" si="144"/>
        <v/>
      </c>
      <c r="V507" s="307" t="str">
        <f t="shared" si="153"/>
        <v/>
      </c>
      <c r="W507" s="307" t="str">
        <f>IFERROR(IF(V507&gt;0,PROPER(Terbilang1(V507)&amp;" Rupiah"),0),"")</f>
        <v/>
      </c>
      <c r="X507" s="90" t="str">
        <f t="shared" si="148"/>
        <v/>
      </c>
      <c r="Y507" s="307" t="str">
        <f t="shared" si="149"/>
        <v/>
      </c>
      <c r="Z507" s="307">
        <f t="shared" si="145"/>
        <v>0</v>
      </c>
      <c r="AA507" s="366">
        <f t="shared" si="146"/>
        <v>0</v>
      </c>
      <c r="AB507" s="367">
        <f t="shared" si="150"/>
        <v>0</v>
      </c>
      <c r="AC507" s="305">
        <f t="shared" si="151"/>
        <v>0</v>
      </c>
      <c r="AP507" s="89" t="str">
        <f t="shared" si="140"/>
        <v/>
      </c>
      <c r="AQ507" s="89" t="str">
        <f t="shared" si="156"/>
        <v/>
      </c>
      <c r="AR507" s="315" t="str">
        <f t="shared" si="157"/>
        <v/>
      </c>
      <c r="AS507" s="305" t="str">
        <f t="shared" si="152"/>
        <v>0</v>
      </c>
      <c r="AT507" s="307">
        <f>Table22[[#This Row],[Column1]]</f>
        <v>0</v>
      </c>
    </row>
    <row r="508" spans="1:46" x14ac:dyDescent="0.3">
      <c r="A508" s="307">
        <f t="shared" si="147"/>
        <v>0</v>
      </c>
      <c r="B508" s="307">
        <f t="shared" si="154"/>
        <v>0</v>
      </c>
      <c r="C508" s="308" t="s">
        <v>563</v>
      </c>
      <c r="D508" s="309" t="s">
        <v>563</v>
      </c>
      <c r="E508" s="310">
        <v>0</v>
      </c>
      <c r="F508" s="310">
        <v>0</v>
      </c>
      <c r="G508" s="311">
        <v>0</v>
      </c>
      <c r="H508" s="310" t="s">
        <v>563</v>
      </c>
      <c r="I508" s="310" t="s">
        <v>563</v>
      </c>
      <c r="J508" s="310" t="s">
        <v>563</v>
      </c>
      <c r="K508" s="312">
        <v>0</v>
      </c>
      <c r="L508" s="310">
        <v>0</v>
      </c>
      <c r="M508" s="310">
        <v>0</v>
      </c>
      <c r="N508" s="313" t="s">
        <v>563</v>
      </c>
      <c r="O508" s="314" t="s">
        <v>563</v>
      </c>
      <c r="P508" s="307">
        <f t="shared" si="141"/>
        <v>0</v>
      </c>
      <c r="R508" s="91" t="str">
        <f t="shared" si="155"/>
        <v/>
      </c>
      <c r="S508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8" s="307" t="str">
        <f t="shared" si="143"/>
        <v/>
      </c>
      <c r="U508" s="315" t="str">
        <f t="shared" si="144"/>
        <v/>
      </c>
      <c r="V508" s="307" t="str">
        <f>N508</f>
        <v/>
      </c>
      <c r="W508" s="307" t="str">
        <f>IFERROR(IF(V508&gt;0,PROPER(Terbilang1(V508)&amp;" Rupiah"),0),"")</f>
        <v/>
      </c>
      <c r="X508" s="90" t="str">
        <f t="shared" si="148"/>
        <v/>
      </c>
      <c r="Y508" s="307" t="str">
        <f t="shared" si="149"/>
        <v/>
      </c>
      <c r="Z508" s="307">
        <f t="shared" si="145"/>
        <v>0</v>
      </c>
      <c r="AA508" s="366">
        <f t="shared" si="146"/>
        <v>0</v>
      </c>
      <c r="AB508" s="367">
        <f t="shared" si="150"/>
        <v>0</v>
      </c>
      <c r="AC508" s="305">
        <f t="shared" si="151"/>
        <v>0</v>
      </c>
      <c r="AP508" s="89" t="str">
        <f t="shared" si="140"/>
        <v/>
      </c>
      <c r="AQ508" s="89" t="str">
        <f t="shared" si="156"/>
        <v/>
      </c>
      <c r="AR508" s="315" t="str">
        <f t="shared" si="157"/>
        <v/>
      </c>
      <c r="AS508" s="305" t="str">
        <f t="shared" si="152"/>
        <v>0</v>
      </c>
      <c r="AT508" s="307">
        <f>Table22[[#This Row],[Column1]]</f>
        <v>0</v>
      </c>
    </row>
    <row r="509" spans="1:46" x14ac:dyDescent="0.3">
      <c r="A509" s="307">
        <f t="shared" si="147"/>
        <v>0</v>
      </c>
      <c r="B509" s="307">
        <f t="shared" si="154"/>
        <v>0</v>
      </c>
      <c r="C509" s="308" t="s">
        <v>563</v>
      </c>
      <c r="D509" s="309" t="s">
        <v>563</v>
      </c>
      <c r="E509" s="310">
        <v>0</v>
      </c>
      <c r="F509" s="310">
        <v>0</v>
      </c>
      <c r="G509" s="311">
        <v>0</v>
      </c>
      <c r="H509" s="310" t="s">
        <v>563</v>
      </c>
      <c r="I509" s="310" t="s">
        <v>563</v>
      </c>
      <c r="J509" s="310" t="s">
        <v>563</v>
      </c>
      <c r="K509" s="312">
        <v>0</v>
      </c>
      <c r="L509" s="310">
        <v>0</v>
      </c>
      <c r="M509" s="310">
        <v>0</v>
      </c>
      <c r="N509" s="313" t="s">
        <v>563</v>
      </c>
      <c r="O509" s="314" t="s">
        <v>563</v>
      </c>
      <c r="P509" s="307">
        <f t="shared" si="141"/>
        <v>0</v>
      </c>
      <c r="R509" s="91" t="str">
        <f t="shared" si="155"/>
        <v/>
      </c>
      <c r="S509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09" s="307" t="str">
        <f t="shared" si="143"/>
        <v/>
      </c>
      <c r="U509" s="315" t="str">
        <f t="shared" si="144"/>
        <v/>
      </c>
      <c r="V509" s="307" t="str">
        <f t="shared" si="153"/>
        <v/>
      </c>
      <c r="W509" s="307" t="str">
        <f>IFERROR(IF(V509&gt;0,PROPER(Terbilang1(V509)&amp;" Rupiah"),0),"")</f>
        <v/>
      </c>
      <c r="X509" s="90" t="str">
        <f t="shared" si="148"/>
        <v/>
      </c>
      <c r="Y509" s="307" t="str">
        <f t="shared" si="149"/>
        <v/>
      </c>
      <c r="Z509" s="307">
        <f t="shared" si="145"/>
        <v>0</v>
      </c>
      <c r="AA509" s="366">
        <f t="shared" si="146"/>
        <v>0</v>
      </c>
      <c r="AB509" s="367">
        <f t="shared" si="150"/>
        <v>0</v>
      </c>
      <c r="AC509" s="305">
        <f t="shared" si="151"/>
        <v>0</v>
      </c>
      <c r="AP509" s="89" t="str">
        <f t="shared" si="140"/>
        <v/>
      </c>
      <c r="AQ509" s="89" t="str">
        <f t="shared" si="156"/>
        <v/>
      </c>
      <c r="AR509" s="315" t="str">
        <f t="shared" si="157"/>
        <v/>
      </c>
      <c r="AS509" s="305" t="str">
        <f t="shared" si="152"/>
        <v>0</v>
      </c>
      <c r="AT509" s="307">
        <f>Table22[[#This Row],[Column1]]</f>
        <v>0</v>
      </c>
    </row>
    <row r="510" spans="1:46" x14ac:dyDescent="0.3">
      <c r="A510" s="307">
        <f t="shared" si="147"/>
        <v>0</v>
      </c>
      <c r="B510" s="307">
        <f t="shared" si="154"/>
        <v>0</v>
      </c>
      <c r="C510" s="308" t="s">
        <v>563</v>
      </c>
      <c r="D510" s="309" t="s">
        <v>563</v>
      </c>
      <c r="E510" s="310">
        <v>0</v>
      </c>
      <c r="F510" s="310">
        <v>0</v>
      </c>
      <c r="G510" s="311">
        <v>0</v>
      </c>
      <c r="H510" s="310" t="s">
        <v>563</v>
      </c>
      <c r="I510" s="310" t="s">
        <v>563</v>
      </c>
      <c r="J510" s="310" t="s">
        <v>563</v>
      </c>
      <c r="K510" s="312">
        <v>0</v>
      </c>
      <c r="L510" s="310">
        <v>0</v>
      </c>
      <c r="M510" s="310">
        <v>0</v>
      </c>
      <c r="N510" s="313" t="s">
        <v>563</v>
      </c>
      <c r="O510" s="314" t="s">
        <v>563</v>
      </c>
      <c r="P510" s="307">
        <f t="shared" si="141"/>
        <v>0</v>
      </c>
      <c r="R510" s="91" t="str">
        <f t="shared" si="155"/>
        <v/>
      </c>
      <c r="S510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0" s="307" t="str">
        <f t="shared" si="143"/>
        <v/>
      </c>
      <c r="U510" s="315" t="str">
        <f t="shared" si="144"/>
        <v/>
      </c>
      <c r="V510" s="307" t="str">
        <f t="shared" si="153"/>
        <v/>
      </c>
      <c r="W510" s="307" t="str">
        <f>IFERROR(IF(V510&gt;0,PROPER(Terbilang1(V510)&amp;" Rupiah"),0),"")</f>
        <v/>
      </c>
      <c r="X510" s="90" t="str">
        <f t="shared" si="148"/>
        <v/>
      </c>
      <c r="Y510" s="307" t="str">
        <f t="shared" si="149"/>
        <v/>
      </c>
      <c r="Z510" s="307">
        <f t="shared" si="145"/>
        <v>0</v>
      </c>
      <c r="AA510" s="366">
        <f t="shared" si="146"/>
        <v>0</v>
      </c>
      <c r="AB510" s="367">
        <f t="shared" si="150"/>
        <v>0</v>
      </c>
      <c r="AC510" s="305">
        <f t="shared" si="151"/>
        <v>0</v>
      </c>
      <c r="AP510" s="89" t="str">
        <f t="shared" si="140"/>
        <v/>
      </c>
      <c r="AQ510" s="89" t="str">
        <f t="shared" si="156"/>
        <v/>
      </c>
      <c r="AR510" s="315" t="str">
        <f t="shared" si="157"/>
        <v/>
      </c>
      <c r="AS510" s="305" t="str">
        <f t="shared" si="152"/>
        <v>0</v>
      </c>
      <c r="AT510" s="307">
        <f>Table22[[#This Row],[Column1]]</f>
        <v>0</v>
      </c>
    </row>
    <row r="511" spans="1:46" x14ac:dyDescent="0.3">
      <c r="A511" s="307">
        <f t="shared" si="147"/>
        <v>0</v>
      </c>
      <c r="B511" s="307">
        <f t="shared" si="154"/>
        <v>0</v>
      </c>
      <c r="C511" s="308" t="s">
        <v>563</v>
      </c>
      <c r="D511" s="309" t="s">
        <v>563</v>
      </c>
      <c r="E511" s="310">
        <v>0</v>
      </c>
      <c r="F511" s="310">
        <v>0</v>
      </c>
      <c r="G511" s="311">
        <v>0</v>
      </c>
      <c r="H511" s="310" t="s">
        <v>563</v>
      </c>
      <c r="I511" s="310" t="s">
        <v>563</v>
      </c>
      <c r="J511" s="310" t="s">
        <v>563</v>
      </c>
      <c r="K511" s="312">
        <v>0</v>
      </c>
      <c r="L511" s="310">
        <v>0</v>
      </c>
      <c r="M511" s="310">
        <v>0</v>
      </c>
      <c r="N511" s="313" t="s">
        <v>563</v>
      </c>
      <c r="O511" s="314" t="s">
        <v>563</v>
      </c>
      <c r="P511" s="307">
        <f t="shared" si="141"/>
        <v>0</v>
      </c>
      <c r="R511" s="91" t="str">
        <f t="shared" si="155"/>
        <v/>
      </c>
      <c r="S511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1" s="307" t="str">
        <f t="shared" si="143"/>
        <v/>
      </c>
      <c r="U511" s="315" t="str">
        <f t="shared" si="144"/>
        <v/>
      </c>
      <c r="V511" s="307" t="str">
        <f t="shared" si="153"/>
        <v/>
      </c>
      <c r="W511" s="307" t="str">
        <f>IFERROR(IF(V511&gt;0,PROPER(Terbilang1(V511)&amp;" Rupiah"),0),"")</f>
        <v/>
      </c>
      <c r="X511" s="90" t="str">
        <f t="shared" si="148"/>
        <v/>
      </c>
      <c r="Y511" s="307" t="str">
        <f t="shared" si="149"/>
        <v/>
      </c>
      <c r="Z511" s="307">
        <f t="shared" si="145"/>
        <v>0</v>
      </c>
      <c r="AA511" s="366">
        <f t="shared" si="146"/>
        <v>0</v>
      </c>
      <c r="AB511" s="367">
        <f t="shared" si="150"/>
        <v>0</v>
      </c>
      <c r="AC511" s="305">
        <f t="shared" si="151"/>
        <v>0</v>
      </c>
      <c r="AP511" s="89" t="str">
        <f t="shared" si="140"/>
        <v/>
      </c>
      <c r="AQ511" s="89" t="str">
        <f t="shared" si="156"/>
        <v/>
      </c>
      <c r="AR511" s="315" t="str">
        <f t="shared" si="157"/>
        <v/>
      </c>
      <c r="AS511" s="305" t="str">
        <f t="shared" si="152"/>
        <v>0</v>
      </c>
      <c r="AT511" s="307">
        <f>Table22[[#This Row],[Column1]]</f>
        <v>0</v>
      </c>
    </row>
    <row r="512" spans="1:46" x14ac:dyDescent="0.3">
      <c r="A512" s="307">
        <f t="shared" si="147"/>
        <v>0</v>
      </c>
      <c r="B512" s="307">
        <f t="shared" si="154"/>
        <v>0</v>
      </c>
      <c r="C512" s="308" t="s">
        <v>563</v>
      </c>
      <c r="D512" s="309" t="s">
        <v>563</v>
      </c>
      <c r="E512" s="310">
        <v>0</v>
      </c>
      <c r="F512" s="310">
        <v>0</v>
      </c>
      <c r="G512" s="311">
        <v>0</v>
      </c>
      <c r="H512" s="310" t="s">
        <v>563</v>
      </c>
      <c r="I512" s="310" t="s">
        <v>563</v>
      </c>
      <c r="J512" s="310" t="s">
        <v>563</v>
      </c>
      <c r="K512" s="312">
        <v>0</v>
      </c>
      <c r="L512" s="310">
        <v>0</v>
      </c>
      <c r="M512" s="310">
        <v>0</v>
      </c>
      <c r="N512" s="313" t="s">
        <v>563</v>
      </c>
      <c r="O512" s="314" t="s">
        <v>563</v>
      </c>
      <c r="P512" s="307">
        <f t="shared" si="141"/>
        <v>0</v>
      </c>
      <c r="R512" s="91" t="str">
        <f t="shared" si="155"/>
        <v/>
      </c>
      <c r="S512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2" s="307" t="str">
        <f t="shared" si="143"/>
        <v/>
      </c>
      <c r="U512" s="315" t="str">
        <f t="shared" si="144"/>
        <v/>
      </c>
      <c r="V512" s="307" t="str">
        <f t="shared" si="153"/>
        <v/>
      </c>
      <c r="W512" s="307" t="str">
        <f>IFERROR(IF(V512&gt;0,PROPER(Terbilang1(V512)&amp;" Rupiah"),0),"")</f>
        <v/>
      </c>
      <c r="X512" s="90" t="str">
        <f t="shared" si="148"/>
        <v/>
      </c>
      <c r="Y512" s="307" t="str">
        <f t="shared" si="149"/>
        <v/>
      </c>
      <c r="Z512" s="307">
        <f t="shared" si="145"/>
        <v>0</v>
      </c>
      <c r="AA512" s="366">
        <f t="shared" si="146"/>
        <v>0</v>
      </c>
      <c r="AB512" s="367">
        <f t="shared" si="150"/>
        <v>0</v>
      </c>
      <c r="AC512" s="305">
        <f t="shared" si="151"/>
        <v>0</v>
      </c>
      <c r="AP512" s="89" t="str">
        <f t="shared" si="140"/>
        <v/>
      </c>
      <c r="AQ512" s="89" t="str">
        <f t="shared" si="156"/>
        <v/>
      </c>
      <c r="AR512" s="315" t="str">
        <f t="shared" si="157"/>
        <v/>
      </c>
      <c r="AS512" s="305" t="str">
        <f t="shared" si="152"/>
        <v>0</v>
      </c>
      <c r="AT512" s="307">
        <f>Table22[[#This Row],[Column1]]</f>
        <v>0</v>
      </c>
    </row>
    <row r="513" spans="1:46" x14ac:dyDescent="0.3">
      <c r="A513" s="307">
        <f t="shared" si="147"/>
        <v>0</v>
      </c>
      <c r="B513" s="307">
        <f t="shared" si="154"/>
        <v>0</v>
      </c>
      <c r="C513" s="308" t="s">
        <v>563</v>
      </c>
      <c r="D513" s="309" t="s">
        <v>563</v>
      </c>
      <c r="E513" s="310">
        <v>0</v>
      </c>
      <c r="F513" s="310">
        <v>0</v>
      </c>
      <c r="G513" s="311">
        <v>0</v>
      </c>
      <c r="H513" s="310" t="s">
        <v>563</v>
      </c>
      <c r="I513" s="310" t="s">
        <v>563</v>
      </c>
      <c r="J513" s="310" t="s">
        <v>563</v>
      </c>
      <c r="K513" s="312">
        <v>0</v>
      </c>
      <c r="L513" s="310">
        <v>0</v>
      </c>
      <c r="M513" s="310">
        <v>0</v>
      </c>
      <c r="N513" s="313" t="s">
        <v>563</v>
      </c>
      <c r="O513" s="314" t="s">
        <v>563</v>
      </c>
      <c r="P513" s="307">
        <f t="shared" si="141"/>
        <v>0</v>
      </c>
      <c r="R513" s="91" t="str">
        <f t="shared" si="155"/>
        <v/>
      </c>
      <c r="S513" s="307" t="str">
        <f t="shared" si="14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3" s="307" t="str">
        <f t="shared" si="143"/>
        <v/>
      </c>
      <c r="U513" s="315" t="str">
        <f t="shared" si="144"/>
        <v/>
      </c>
      <c r="V513" s="307" t="str">
        <f t="shared" si="153"/>
        <v/>
      </c>
      <c r="W513" s="307" t="str">
        <f>IFERROR(IF(V513&gt;0,PROPER(Terbilang1(V513)&amp;" Rupiah"),0),"")</f>
        <v/>
      </c>
      <c r="X513" s="90" t="str">
        <f t="shared" si="148"/>
        <v/>
      </c>
      <c r="Y513" s="307" t="str">
        <f t="shared" si="149"/>
        <v/>
      </c>
      <c r="Z513" s="307">
        <f t="shared" si="145"/>
        <v>0</v>
      </c>
      <c r="AA513" s="366">
        <f t="shared" si="146"/>
        <v>0</v>
      </c>
      <c r="AB513" s="367">
        <f t="shared" si="150"/>
        <v>0</v>
      </c>
      <c r="AC513" s="305">
        <f t="shared" si="151"/>
        <v>0</v>
      </c>
      <c r="AP513" s="89" t="str">
        <f t="shared" ref="AP513:AP576" si="158">IF(LEFT(O513,3)="BKK",1,"")</f>
        <v/>
      </c>
      <c r="AQ513" s="89" t="str">
        <f t="shared" si="156"/>
        <v/>
      </c>
      <c r="AR513" s="315" t="str">
        <f t="shared" si="157"/>
        <v/>
      </c>
      <c r="AS513" s="305" t="str">
        <f t="shared" si="152"/>
        <v>0</v>
      </c>
      <c r="AT513" s="307">
        <f>Table22[[#This Row],[Column1]]</f>
        <v>0</v>
      </c>
    </row>
    <row r="514" spans="1:46" x14ac:dyDescent="0.3">
      <c r="A514" s="307">
        <f t="shared" si="147"/>
        <v>0</v>
      </c>
      <c r="B514" s="307">
        <f t="shared" si="154"/>
        <v>0</v>
      </c>
      <c r="C514" s="308" t="s">
        <v>563</v>
      </c>
      <c r="D514" s="309" t="s">
        <v>563</v>
      </c>
      <c r="E514" s="310">
        <v>0</v>
      </c>
      <c r="F514" s="310">
        <v>0</v>
      </c>
      <c r="G514" s="311">
        <v>0</v>
      </c>
      <c r="H514" s="310" t="s">
        <v>563</v>
      </c>
      <c r="I514" s="310" t="s">
        <v>563</v>
      </c>
      <c r="J514" s="310" t="s">
        <v>563</v>
      </c>
      <c r="K514" s="312">
        <v>0</v>
      </c>
      <c r="L514" s="310">
        <v>0</v>
      </c>
      <c r="M514" s="310">
        <v>0</v>
      </c>
      <c r="N514" s="313" t="s">
        <v>563</v>
      </c>
      <c r="O514" s="314" t="s">
        <v>563</v>
      </c>
      <c r="P514" s="307">
        <f t="shared" ref="P514:P577" si="159">IF(LEFT(O514,1)="B",R514,0)</f>
        <v>0</v>
      </c>
      <c r="R514" s="91" t="str">
        <f t="shared" si="155"/>
        <v/>
      </c>
      <c r="S514" s="307" t="str">
        <f t="shared" ref="S514:S577" si="160">IF(O514="",S513&amp;"a",IF(O514&gt;0,O514,0))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4" s="307" t="str">
        <f t="shared" ref="T514:T577" si="161">IF(G514=0,"",G514)</f>
        <v/>
      </c>
      <c r="U514" s="315" t="str">
        <f t="shared" ref="U514:U577" si="162">D514</f>
        <v/>
      </c>
      <c r="V514" s="307" t="str">
        <f>N514</f>
        <v/>
      </c>
      <c r="W514" s="307" t="str">
        <f>IFERROR(IF(V514&gt;0,PROPER(Terbilang1(V514)&amp;" Rupiah"),0),"")</f>
        <v/>
      </c>
      <c r="X514" s="90" t="str">
        <f t="shared" si="148"/>
        <v/>
      </c>
      <c r="Y514" s="307" t="str">
        <f t="shared" si="149"/>
        <v/>
      </c>
      <c r="Z514" s="307">
        <f t="shared" ref="Z514:Z577" si="163">IF(LEN(AA514)&gt;1,AA514,IF(AA514=0,AB514,0))</f>
        <v>0</v>
      </c>
      <c r="AA514" s="366">
        <f t="shared" ref="AA514:AA577" si="164">IFERROR(IF(AND(N514&gt;1,LEFT(G514,5)="Bayar"),N514*3.5%,IF(N514&gt;2000000,N514*(IF(OR(LEFT(F514,3)="MoP",LEFT(F514,3)="GaJ"),0,11%)),0)),0)</f>
        <v>0</v>
      </c>
      <c r="AB514" s="367">
        <f t="shared" si="150"/>
        <v>0</v>
      </c>
      <c r="AC514" s="305">
        <f t="shared" si="151"/>
        <v>0</v>
      </c>
      <c r="AP514" s="89" t="str">
        <f t="shared" si="158"/>
        <v/>
      </c>
      <c r="AQ514" s="89" t="str">
        <f t="shared" si="156"/>
        <v/>
      </c>
      <c r="AR514" s="315" t="str">
        <f t="shared" si="157"/>
        <v/>
      </c>
      <c r="AS514" s="305" t="str">
        <f t="shared" si="152"/>
        <v>0</v>
      </c>
      <c r="AT514" s="307">
        <f>Table22[[#This Row],[Column1]]</f>
        <v>0</v>
      </c>
    </row>
    <row r="515" spans="1:46" x14ac:dyDescent="0.3">
      <c r="A515" s="307">
        <f t="shared" ref="A515:A578" si="165">IF(C515=1,C515&amp;"."&amp;MOD(ROW()-1,$AJ$2+1),IF(C515=2,C515&amp;"."&amp;MOD(ROW()-($AJ$2+1),$AK$2+1),IF(C515=3,C515&amp;"."&amp;MOD(ROW()-($AJ$2+$AK$2+1),$AL$2+1),IF(C515=4,C515&amp;"."&amp;MOD(ROW()-($AJ$2+$AK$2+$AL$2+1),$AM$2+1),IF(C515=5,C515&amp;"."&amp;MOD(ROW()-($AJ$2+$AK$2+$AL$2+$AM$2+1),$AN$2+1),0)))))</f>
        <v>0</v>
      </c>
      <c r="B515" s="307">
        <f t="shared" si="154"/>
        <v>0</v>
      </c>
      <c r="C515" s="308" t="s">
        <v>563</v>
      </c>
      <c r="D515" s="309" t="s">
        <v>563</v>
      </c>
      <c r="E515" s="310">
        <v>0</v>
      </c>
      <c r="F515" s="310">
        <v>0</v>
      </c>
      <c r="G515" s="311">
        <v>0</v>
      </c>
      <c r="H515" s="310" t="s">
        <v>563</v>
      </c>
      <c r="I515" s="310" t="s">
        <v>563</v>
      </c>
      <c r="J515" s="310" t="s">
        <v>563</v>
      </c>
      <c r="K515" s="312">
        <v>0</v>
      </c>
      <c r="L515" s="310">
        <v>0</v>
      </c>
      <c r="M515" s="310">
        <v>0</v>
      </c>
      <c r="N515" s="313" t="s">
        <v>563</v>
      </c>
      <c r="O515" s="314" t="s">
        <v>563</v>
      </c>
      <c r="P515" s="307">
        <f t="shared" si="159"/>
        <v>0</v>
      </c>
      <c r="R515" s="91" t="str">
        <f t="shared" si="155"/>
        <v/>
      </c>
      <c r="S51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5" s="307" t="str">
        <f t="shared" si="161"/>
        <v/>
      </c>
      <c r="U515" s="315" t="str">
        <f t="shared" si="162"/>
        <v/>
      </c>
      <c r="V515" s="307" t="str">
        <f t="shared" ref="V515:V578" si="166">N515</f>
        <v/>
      </c>
      <c r="W515" s="307" t="str">
        <f>IFERROR(IF(V515&gt;0,PROPER(Terbilang1(V515)&amp;" Rupiah"),0),"")</f>
        <v/>
      </c>
      <c r="X515" s="90" t="str">
        <f t="shared" ref="X515:X578" si="167">J515</f>
        <v/>
      </c>
      <c r="Y515" s="307" t="str">
        <f t="shared" ref="Y515:Y578" si="168">H515</f>
        <v/>
      </c>
      <c r="Z515" s="307">
        <f t="shared" si="163"/>
        <v>0</v>
      </c>
      <c r="AA515" s="366">
        <f t="shared" si="164"/>
        <v>0</v>
      </c>
      <c r="AB515" s="367">
        <f t="shared" ref="AB515:AB578" si="169">IF(LEN(AA514)&gt;1,IF(LEFT(G514,5)="Bayar",0,IF(LEFT(G514,6)="PEMASA",(N514*100/111*1.5%),N514*0.015)),0)</f>
        <v>0</v>
      </c>
      <c r="AC515" s="305">
        <f t="shared" ref="AC515:AC578" si="170">IF(LEN(AA515)&gt;1,IF(LEFT(G515,6)="PEMASA","Terima Pajak PPN (11 %) "&amp;O515,IF(LEFT(G515,5)="Bayar","Terima PPh Pasal 4 ayat 2 (3,5 %) "&amp;O515,"Bayar Pajak PPN (11 %) "&amp;O515)),IF(AB515&gt;0,IF(LEFT(AC514,6)="Terima","Terima Pajak PPH (1,5%) "&amp;O514,"Bayar Pajak PPH (1,5 %) "&amp;O514),0))</f>
        <v>0</v>
      </c>
      <c r="AP515" s="89" t="str">
        <f t="shared" si="158"/>
        <v/>
      </c>
      <c r="AQ515" s="89" t="str">
        <f t="shared" si="156"/>
        <v/>
      </c>
      <c r="AR515" s="315" t="str">
        <f t="shared" si="157"/>
        <v/>
      </c>
      <c r="AS515" s="305" t="str">
        <f t="shared" ref="AS515:AS578" si="171">IF(AC515="","",LEFT(AC515,15))</f>
        <v>0</v>
      </c>
      <c r="AT515" s="307">
        <f>Table22[[#This Row],[Column1]]</f>
        <v>0</v>
      </c>
    </row>
    <row r="516" spans="1:46" x14ac:dyDescent="0.3">
      <c r="A516" s="307">
        <f t="shared" si="165"/>
        <v>0</v>
      </c>
      <c r="B516" s="307">
        <f t="shared" si="154"/>
        <v>0</v>
      </c>
      <c r="C516" s="308" t="s">
        <v>563</v>
      </c>
      <c r="D516" s="309" t="s">
        <v>563</v>
      </c>
      <c r="E516" s="310">
        <v>0</v>
      </c>
      <c r="F516" s="310">
        <v>0</v>
      </c>
      <c r="G516" s="311">
        <v>0</v>
      </c>
      <c r="H516" s="310" t="s">
        <v>563</v>
      </c>
      <c r="I516" s="310" t="s">
        <v>563</v>
      </c>
      <c r="J516" s="310" t="s">
        <v>563</v>
      </c>
      <c r="K516" s="312">
        <v>0</v>
      </c>
      <c r="L516" s="310">
        <v>0</v>
      </c>
      <c r="M516" s="310">
        <v>0</v>
      </c>
      <c r="N516" s="313" t="s">
        <v>563</v>
      </c>
      <c r="O516" s="314" t="s">
        <v>563</v>
      </c>
      <c r="P516" s="307">
        <f t="shared" si="159"/>
        <v>0</v>
      </c>
      <c r="R516" s="91" t="str">
        <f t="shared" si="155"/>
        <v/>
      </c>
      <c r="S51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6" s="307" t="str">
        <f t="shared" si="161"/>
        <v/>
      </c>
      <c r="U516" s="315" t="str">
        <f t="shared" si="162"/>
        <v/>
      </c>
      <c r="V516" s="307" t="str">
        <f>N516</f>
        <v/>
      </c>
      <c r="W516" s="307" t="str">
        <f>IFERROR(IF(V516&gt;0,PROPER(Terbilang1(V516)&amp;" Rupiah"),0),"")</f>
        <v/>
      </c>
      <c r="X516" s="90" t="str">
        <f t="shared" si="167"/>
        <v/>
      </c>
      <c r="Y516" s="307" t="str">
        <f t="shared" si="168"/>
        <v/>
      </c>
      <c r="Z516" s="307">
        <f t="shared" si="163"/>
        <v>0</v>
      </c>
      <c r="AA516" s="366">
        <f t="shared" si="164"/>
        <v>0</v>
      </c>
      <c r="AB516" s="367">
        <f t="shared" si="169"/>
        <v>0</v>
      </c>
      <c r="AC516" s="305">
        <f t="shared" si="170"/>
        <v>0</v>
      </c>
      <c r="AP516" s="89" t="str">
        <f t="shared" si="158"/>
        <v/>
      </c>
      <c r="AQ516" s="89" t="str">
        <f t="shared" si="156"/>
        <v/>
      </c>
      <c r="AR516" s="315" t="str">
        <f t="shared" si="157"/>
        <v/>
      </c>
      <c r="AS516" s="305" t="str">
        <f t="shared" si="171"/>
        <v>0</v>
      </c>
      <c r="AT516" s="307">
        <f>Table22[[#This Row],[Column1]]</f>
        <v>0</v>
      </c>
    </row>
    <row r="517" spans="1:46" x14ac:dyDescent="0.3">
      <c r="A517" s="307">
        <f t="shared" si="165"/>
        <v>0</v>
      </c>
      <c r="B517" s="307">
        <f t="shared" si="154"/>
        <v>0</v>
      </c>
      <c r="C517" s="308" t="s">
        <v>563</v>
      </c>
      <c r="D517" s="309" t="s">
        <v>563</v>
      </c>
      <c r="E517" s="310">
        <v>0</v>
      </c>
      <c r="F517" s="310">
        <v>0</v>
      </c>
      <c r="G517" s="311">
        <v>0</v>
      </c>
      <c r="H517" s="310" t="s">
        <v>563</v>
      </c>
      <c r="I517" s="310" t="s">
        <v>563</v>
      </c>
      <c r="J517" s="310" t="s">
        <v>563</v>
      </c>
      <c r="K517" s="312">
        <v>0</v>
      </c>
      <c r="L517" s="310">
        <v>0</v>
      </c>
      <c r="M517" s="310">
        <v>0</v>
      </c>
      <c r="N517" s="313" t="s">
        <v>563</v>
      </c>
      <c r="O517" s="314" t="s">
        <v>563</v>
      </c>
      <c r="P517" s="307">
        <f t="shared" si="159"/>
        <v>0</v>
      </c>
      <c r="R517" s="91" t="str">
        <f t="shared" si="155"/>
        <v/>
      </c>
      <c r="S51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7" s="307" t="str">
        <f t="shared" si="161"/>
        <v/>
      </c>
      <c r="U517" s="315" t="str">
        <f t="shared" si="162"/>
        <v/>
      </c>
      <c r="V517" s="307" t="str">
        <f>N517</f>
        <v/>
      </c>
      <c r="W517" s="307" t="str">
        <f>IFERROR(IF(V517&gt;0,PROPER(Terbilang1(V517)&amp;" Rupiah"),0),"")</f>
        <v/>
      </c>
      <c r="X517" s="90" t="str">
        <f t="shared" si="167"/>
        <v/>
      </c>
      <c r="Y517" s="307" t="str">
        <f t="shared" si="168"/>
        <v/>
      </c>
      <c r="Z517" s="307">
        <f t="shared" si="163"/>
        <v>0</v>
      </c>
      <c r="AA517" s="366">
        <f t="shared" si="164"/>
        <v>0</v>
      </c>
      <c r="AB517" s="367">
        <f t="shared" si="169"/>
        <v>0</v>
      </c>
      <c r="AC517" s="305">
        <f t="shared" si="170"/>
        <v>0</v>
      </c>
      <c r="AP517" s="89" t="str">
        <f t="shared" si="158"/>
        <v/>
      </c>
      <c r="AQ517" s="89" t="str">
        <f t="shared" si="156"/>
        <v/>
      </c>
      <c r="AR517" s="315" t="str">
        <f t="shared" si="157"/>
        <v/>
      </c>
      <c r="AS517" s="305" t="str">
        <f t="shared" si="171"/>
        <v>0</v>
      </c>
      <c r="AT517" s="307">
        <f>Table22[[#This Row],[Column1]]</f>
        <v>0</v>
      </c>
    </row>
    <row r="518" spans="1:46" x14ac:dyDescent="0.3">
      <c r="A518" s="307">
        <f t="shared" si="165"/>
        <v>0</v>
      </c>
      <c r="B518" s="307">
        <f t="shared" si="154"/>
        <v>0</v>
      </c>
      <c r="C518" s="308" t="s">
        <v>563</v>
      </c>
      <c r="D518" s="309" t="s">
        <v>563</v>
      </c>
      <c r="E518" s="310">
        <v>0</v>
      </c>
      <c r="F518" s="310">
        <v>0</v>
      </c>
      <c r="G518" s="311">
        <v>0</v>
      </c>
      <c r="H518" s="310" t="s">
        <v>563</v>
      </c>
      <c r="I518" s="310" t="s">
        <v>563</v>
      </c>
      <c r="J518" s="310" t="s">
        <v>563</v>
      </c>
      <c r="K518" s="312">
        <v>0</v>
      </c>
      <c r="L518" s="310">
        <v>0</v>
      </c>
      <c r="M518" s="310">
        <v>0</v>
      </c>
      <c r="N518" s="313" t="s">
        <v>563</v>
      </c>
      <c r="O518" s="314" t="s">
        <v>563</v>
      </c>
      <c r="P518" s="307">
        <f t="shared" si="159"/>
        <v>0</v>
      </c>
      <c r="R518" s="91" t="str">
        <f t="shared" si="155"/>
        <v/>
      </c>
      <c r="S51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8" s="307" t="str">
        <f t="shared" si="161"/>
        <v/>
      </c>
      <c r="U518" s="315" t="str">
        <f t="shared" si="162"/>
        <v/>
      </c>
      <c r="V518" s="307" t="str">
        <f t="shared" si="166"/>
        <v/>
      </c>
      <c r="W518" s="307" t="str">
        <f>IFERROR(IF(V518&gt;0,PROPER(Terbilang1(V518)&amp;" Rupiah"),0),"")</f>
        <v/>
      </c>
      <c r="X518" s="90" t="str">
        <f t="shared" si="167"/>
        <v/>
      </c>
      <c r="Y518" s="307" t="str">
        <f t="shared" si="168"/>
        <v/>
      </c>
      <c r="Z518" s="307">
        <f t="shared" si="163"/>
        <v>0</v>
      </c>
      <c r="AA518" s="366">
        <f t="shared" si="164"/>
        <v>0</v>
      </c>
      <c r="AB518" s="367">
        <f t="shared" si="169"/>
        <v>0</v>
      </c>
      <c r="AC518" s="305">
        <f t="shared" si="170"/>
        <v>0</v>
      </c>
      <c r="AP518" s="89" t="str">
        <f t="shared" si="158"/>
        <v/>
      </c>
      <c r="AQ518" s="89" t="str">
        <f t="shared" si="156"/>
        <v/>
      </c>
      <c r="AR518" s="315" t="str">
        <f t="shared" si="157"/>
        <v/>
      </c>
      <c r="AS518" s="305" t="str">
        <f t="shared" si="171"/>
        <v>0</v>
      </c>
      <c r="AT518" s="307">
        <f>Table22[[#This Row],[Column1]]</f>
        <v>0</v>
      </c>
    </row>
    <row r="519" spans="1:46" x14ac:dyDescent="0.3">
      <c r="A519" s="307">
        <f t="shared" si="165"/>
        <v>0</v>
      </c>
      <c r="B519" s="307">
        <f t="shared" si="154"/>
        <v>0</v>
      </c>
      <c r="C519" s="308" t="s">
        <v>563</v>
      </c>
      <c r="D519" s="309" t="s">
        <v>563</v>
      </c>
      <c r="E519" s="310">
        <v>0</v>
      </c>
      <c r="F519" s="310">
        <v>0</v>
      </c>
      <c r="G519" s="311">
        <v>0</v>
      </c>
      <c r="H519" s="310" t="s">
        <v>563</v>
      </c>
      <c r="I519" s="310" t="s">
        <v>563</v>
      </c>
      <c r="J519" s="310" t="s">
        <v>563</v>
      </c>
      <c r="K519" s="312">
        <v>0</v>
      </c>
      <c r="L519" s="310">
        <v>0</v>
      </c>
      <c r="M519" s="310">
        <v>0</v>
      </c>
      <c r="N519" s="313" t="s">
        <v>563</v>
      </c>
      <c r="O519" s="314" t="s">
        <v>563</v>
      </c>
      <c r="P519" s="329">
        <f t="shared" si="159"/>
        <v>0</v>
      </c>
      <c r="R519" s="91" t="str">
        <f t="shared" si="155"/>
        <v/>
      </c>
      <c r="S51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19" s="307" t="str">
        <f t="shared" si="161"/>
        <v/>
      </c>
      <c r="U519" s="315" t="str">
        <f t="shared" si="162"/>
        <v/>
      </c>
      <c r="V519" s="307" t="str">
        <f t="shared" si="166"/>
        <v/>
      </c>
      <c r="W519" s="307" t="str">
        <f>IFERROR(IF(V519&gt;0,PROPER(Terbilang1(V519)&amp;" Rupiah"),0),"")</f>
        <v/>
      </c>
      <c r="X519" s="90" t="str">
        <f t="shared" si="167"/>
        <v/>
      </c>
      <c r="Y519" s="307" t="str">
        <f t="shared" si="168"/>
        <v/>
      </c>
      <c r="Z519" s="307">
        <f t="shared" si="163"/>
        <v>0</v>
      </c>
      <c r="AA519" s="366">
        <f t="shared" si="164"/>
        <v>0</v>
      </c>
      <c r="AB519" s="367">
        <f t="shared" si="169"/>
        <v>0</v>
      </c>
      <c r="AC519" s="305">
        <f t="shared" si="170"/>
        <v>0</v>
      </c>
      <c r="AP519" s="89" t="str">
        <f t="shared" si="158"/>
        <v/>
      </c>
      <c r="AQ519" s="89" t="str">
        <f t="shared" si="156"/>
        <v/>
      </c>
      <c r="AR519" s="315" t="str">
        <f t="shared" si="157"/>
        <v/>
      </c>
      <c r="AS519" s="305" t="str">
        <f t="shared" si="171"/>
        <v>0</v>
      </c>
      <c r="AT519" s="307">
        <f>Table22[[#This Row],[Column1]]</f>
        <v>0</v>
      </c>
    </row>
    <row r="520" spans="1:46" x14ac:dyDescent="0.3">
      <c r="A520" s="307">
        <f t="shared" si="165"/>
        <v>0</v>
      </c>
      <c r="B520" s="307">
        <f t="shared" si="154"/>
        <v>0</v>
      </c>
      <c r="C520" s="308" t="s">
        <v>563</v>
      </c>
      <c r="D520" s="309" t="s">
        <v>563</v>
      </c>
      <c r="E520" s="310">
        <v>0</v>
      </c>
      <c r="F520" s="310">
        <v>0</v>
      </c>
      <c r="G520" s="311">
        <v>0</v>
      </c>
      <c r="H520" s="310" t="s">
        <v>563</v>
      </c>
      <c r="I520" s="310" t="s">
        <v>563</v>
      </c>
      <c r="J520" s="310" t="s">
        <v>563</v>
      </c>
      <c r="K520" s="312">
        <v>0</v>
      </c>
      <c r="L520" s="310">
        <v>0</v>
      </c>
      <c r="M520" s="310">
        <v>0</v>
      </c>
      <c r="N520" s="313" t="s">
        <v>563</v>
      </c>
      <c r="O520" s="314" t="s">
        <v>563</v>
      </c>
      <c r="P520" s="307">
        <f t="shared" si="159"/>
        <v>0</v>
      </c>
      <c r="R520" s="91" t="str">
        <f t="shared" si="155"/>
        <v/>
      </c>
      <c r="S52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0" s="307" t="str">
        <f t="shared" si="161"/>
        <v/>
      </c>
      <c r="U520" s="315" t="str">
        <f t="shared" si="162"/>
        <v/>
      </c>
      <c r="V520" s="307" t="str">
        <f t="shared" si="166"/>
        <v/>
      </c>
      <c r="W520" s="307" t="str">
        <f>IFERROR(IF(V520&gt;0,PROPER(Terbilang1(V520)&amp;" Rupiah"),0),"")</f>
        <v/>
      </c>
      <c r="X520" s="90" t="str">
        <f t="shared" si="167"/>
        <v/>
      </c>
      <c r="Y520" s="307" t="str">
        <f t="shared" si="168"/>
        <v/>
      </c>
      <c r="Z520" s="307">
        <f t="shared" si="163"/>
        <v>0</v>
      </c>
      <c r="AA520" s="366">
        <f t="shared" si="164"/>
        <v>0</v>
      </c>
      <c r="AB520" s="367">
        <f t="shared" si="169"/>
        <v>0</v>
      </c>
      <c r="AC520" s="305">
        <f t="shared" si="170"/>
        <v>0</v>
      </c>
      <c r="AP520" s="89" t="str">
        <f t="shared" si="158"/>
        <v/>
      </c>
      <c r="AQ520" s="89" t="str">
        <f t="shared" si="156"/>
        <v/>
      </c>
      <c r="AR520" s="315" t="str">
        <f t="shared" si="157"/>
        <v/>
      </c>
      <c r="AS520" s="305" t="str">
        <f t="shared" si="171"/>
        <v>0</v>
      </c>
      <c r="AT520" s="307">
        <f>Table22[[#This Row],[Column1]]</f>
        <v>0</v>
      </c>
    </row>
    <row r="521" spans="1:46" x14ac:dyDescent="0.3">
      <c r="A521" s="307">
        <f t="shared" si="165"/>
        <v>0</v>
      </c>
      <c r="B521" s="307">
        <f t="shared" si="154"/>
        <v>0</v>
      </c>
      <c r="C521" s="308" t="s">
        <v>563</v>
      </c>
      <c r="D521" s="309" t="s">
        <v>563</v>
      </c>
      <c r="E521" s="310">
        <v>0</v>
      </c>
      <c r="F521" s="310">
        <v>0</v>
      </c>
      <c r="G521" s="311">
        <v>0</v>
      </c>
      <c r="H521" s="310" t="s">
        <v>563</v>
      </c>
      <c r="I521" s="310" t="s">
        <v>563</v>
      </c>
      <c r="J521" s="310" t="s">
        <v>563</v>
      </c>
      <c r="K521" s="312">
        <v>0</v>
      </c>
      <c r="L521" s="310">
        <v>0</v>
      </c>
      <c r="M521" s="310">
        <v>0</v>
      </c>
      <c r="N521" s="313" t="s">
        <v>563</v>
      </c>
      <c r="O521" s="314" t="s">
        <v>563</v>
      </c>
      <c r="P521" s="307">
        <f t="shared" si="159"/>
        <v>0</v>
      </c>
      <c r="R521" s="91" t="str">
        <f t="shared" si="155"/>
        <v/>
      </c>
      <c r="S52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1" s="307" t="str">
        <f t="shared" si="161"/>
        <v/>
      </c>
      <c r="U521" s="315" t="str">
        <f t="shared" si="162"/>
        <v/>
      </c>
      <c r="V521" s="307" t="str">
        <f>N521</f>
        <v/>
      </c>
      <c r="W521" s="307" t="str">
        <f>IFERROR(IF(V521&gt;0,PROPER(Terbilang1(V521)&amp;" Rupiah"),0),"")</f>
        <v/>
      </c>
      <c r="X521" s="90" t="str">
        <f t="shared" si="167"/>
        <v/>
      </c>
      <c r="Y521" s="307" t="str">
        <f t="shared" si="168"/>
        <v/>
      </c>
      <c r="Z521" s="307">
        <f t="shared" si="163"/>
        <v>0</v>
      </c>
      <c r="AA521" s="366">
        <f t="shared" si="164"/>
        <v>0</v>
      </c>
      <c r="AB521" s="367">
        <f t="shared" si="169"/>
        <v>0</v>
      </c>
      <c r="AC521" s="305">
        <f t="shared" si="170"/>
        <v>0</v>
      </c>
      <c r="AP521" s="89" t="str">
        <f t="shared" si="158"/>
        <v/>
      </c>
      <c r="AQ521" s="89" t="str">
        <f t="shared" si="156"/>
        <v/>
      </c>
      <c r="AR521" s="315" t="str">
        <f t="shared" si="157"/>
        <v/>
      </c>
      <c r="AS521" s="305" t="str">
        <f t="shared" si="171"/>
        <v>0</v>
      </c>
      <c r="AT521" s="307">
        <f>Table22[[#This Row],[Column1]]</f>
        <v>0</v>
      </c>
    </row>
    <row r="522" spans="1:46" x14ac:dyDescent="0.3">
      <c r="A522" s="307">
        <f t="shared" si="165"/>
        <v>0</v>
      </c>
      <c r="B522" s="307">
        <f t="shared" si="154"/>
        <v>0</v>
      </c>
      <c r="C522" s="308" t="s">
        <v>563</v>
      </c>
      <c r="D522" s="309" t="s">
        <v>563</v>
      </c>
      <c r="E522" s="310">
        <v>0</v>
      </c>
      <c r="F522" s="310">
        <v>0</v>
      </c>
      <c r="G522" s="311">
        <v>0</v>
      </c>
      <c r="H522" s="310" t="s">
        <v>563</v>
      </c>
      <c r="I522" s="310" t="s">
        <v>563</v>
      </c>
      <c r="J522" s="310" t="s">
        <v>563</v>
      </c>
      <c r="K522" s="312">
        <v>0</v>
      </c>
      <c r="L522" s="310">
        <v>0</v>
      </c>
      <c r="M522" s="310">
        <v>0</v>
      </c>
      <c r="N522" s="313" t="s">
        <v>563</v>
      </c>
      <c r="O522" s="314" t="s">
        <v>563</v>
      </c>
      <c r="P522" s="307">
        <f t="shared" si="159"/>
        <v>0</v>
      </c>
      <c r="R522" s="91" t="str">
        <f t="shared" si="155"/>
        <v/>
      </c>
      <c r="S52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2" s="307" t="str">
        <f t="shared" si="161"/>
        <v/>
      </c>
      <c r="U522" s="315" t="str">
        <f t="shared" si="162"/>
        <v/>
      </c>
      <c r="V522" s="307" t="str">
        <f t="shared" si="166"/>
        <v/>
      </c>
      <c r="W522" s="307" t="str">
        <f>IFERROR(IF(V522&gt;0,PROPER(Terbilang1(V522)&amp;" Rupiah"),0),"")</f>
        <v/>
      </c>
      <c r="X522" s="90" t="str">
        <f t="shared" si="167"/>
        <v/>
      </c>
      <c r="Y522" s="307" t="str">
        <f t="shared" si="168"/>
        <v/>
      </c>
      <c r="Z522" s="307">
        <f t="shared" si="163"/>
        <v>0</v>
      </c>
      <c r="AA522" s="366">
        <f t="shared" si="164"/>
        <v>0</v>
      </c>
      <c r="AB522" s="367">
        <f t="shared" si="169"/>
        <v>0</v>
      </c>
      <c r="AC522" s="305">
        <f t="shared" si="170"/>
        <v>0</v>
      </c>
      <c r="AP522" s="89" t="str">
        <f t="shared" si="158"/>
        <v/>
      </c>
      <c r="AQ522" s="89" t="str">
        <f t="shared" si="156"/>
        <v/>
      </c>
      <c r="AR522" s="315" t="str">
        <f t="shared" si="157"/>
        <v/>
      </c>
      <c r="AS522" s="305" t="str">
        <f t="shared" si="171"/>
        <v>0</v>
      </c>
      <c r="AT522" s="307">
        <f>Table22[[#This Row],[Column1]]</f>
        <v>0</v>
      </c>
    </row>
    <row r="523" spans="1:46" x14ac:dyDescent="0.3">
      <c r="A523" s="307">
        <f t="shared" si="165"/>
        <v>0</v>
      </c>
      <c r="B523" s="307">
        <f t="shared" si="154"/>
        <v>0</v>
      </c>
      <c r="C523" s="308" t="s">
        <v>563</v>
      </c>
      <c r="D523" s="309" t="s">
        <v>563</v>
      </c>
      <c r="E523" s="310">
        <v>0</v>
      </c>
      <c r="F523" s="310">
        <v>0</v>
      </c>
      <c r="G523" s="311">
        <v>0</v>
      </c>
      <c r="H523" s="310" t="s">
        <v>563</v>
      </c>
      <c r="I523" s="310" t="s">
        <v>563</v>
      </c>
      <c r="J523" s="310" t="s">
        <v>563</v>
      </c>
      <c r="K523" s="312">
        <v>0</v>
      </c>
      <c r="L523" s="310">
        <v>0</v>
      </c>
      <c r="M523" s="310">
        <v>0</v>
      </c>
      <c r="N523" s="313" t="s">
        <v>563</v>
      </c>
      <c r="O523" s="314" t="s">
        <v>563</v>
      </c>
      <c r="P523" s="307">
        <f t="shared" si="159"/>
        <v>0</v>
      </c>
      <c r="R523" s="91" t="str">
        <f t="shared" si="155"/>
        <v/>
      </c>
      <c r="S52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3" s="307" t="str">
        <f t="shared" si="161"/>
        <v/>
      </c>
      <c r="U523" s="315" t="str">
        <f t="shared" si="162"/>
        <v/>
      </c>
      <c r="V523" s="307" t="str">
        <f t="shared" si="166"/>
        <v/>
      </c>
      <c r="W523" s="307" t="str">
        <f>IFERROR(IF(V523&gt;0,PROPER(Terbilang1(V523)&amp;" Rupiah"),0),"")</f>
        <v/>
      </c>
      <c r="X523" s="90" t="str">
        <f t="shared" si="167"/>
        <v/>
      </c>
      <c r="Y523" s="307" t="str">
        <f t="shared" si="168"/>
        <v/>
      </c>
      <c r="Z523" s="307">
        <f t="shared" si="163"/>
        <v>0</v>
      </c>
      <c r="AA523" s="366">
        <f t="shared" si="164"/>
        <v>0</v>
      </c>
      <c r="AB523" s="367">
        <f t="shared" si="169"/>
        <v>0</v>
      </c>
      <c r="AC523" s="305">
        <f t="shared" si="170"/>
        <v>0</v>
      </c>
      <c r="AP523" s="89" t="str">
        <f t="shared" si="158"/>
        <v/>
      </c>
      <c r="AQ523" s="89" t="str">
        <f t="shared" si="156"/>
        <v/>
      </c>
      <c r="AR523" s="315" t="str">
        <f t="shared" si="157"/>
        <v/>
      </c>
      <c r="AS523" s="305" t="str">
        <f t="shared" si="171"/>
        <v>0</v>
      </c>
      <c r="AT523" s="307">
        <f>Table22[[#This Row],[Column1]]</f>
        <v>0</v>
      </c>
    </row>
    <row r="524" spans="1:46" x14ac:dyDescent="0.3">
      <c r="A524" s="307">
        <f t="shared" si="165"/>
        <v>0</v>
      </c>
      <c r="B524" s="307">
        <f t="shared" si="154"/>
        <v>0</v>
      </c>
      <c r="C524" s="308" t="s">
        <v>563</v>
      </c>
      <c r="D524" s="309" t="s">
        <v>563</v>
      </c>
      <c r="E524" s="310">
        <v>0</v>
      </c>
      <c r="F524" s="310">
        <v>0</v>
      </c>
      <c r="G524" s="311">
        <v>0</v>
      </c>
      <c r="H524" s="310" t="s">
        <v>563</v>
      </c>
      <c r="I524" s="310" t="s">
        <v>563</v>
      </c>
      <c r="J524" s="310" t="s">
        <v>563</v>
      </c>
      <c r="K524" s="312">
        <v>0</v>
      </c>
      <c r="L524" s="310">
        <v>0</v>
      </c>
      <c r="M524" s="310">
        <v>0</v>
      </c>
      <c r="N524" s="313" t="s">
        <v>563</v>
      </c>
      <c r="O524" s="314" t="s">
        <v>563</v>
      </c>
      <c r="P524" s="307">
        <f t="shared" si="159"/>
        <v>0</v>
      </c>
      <c r="R524" s="91" t="str">
        <f t="shared" si="155"/>
        <v/>
      </c>
      <c r="S52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4" s="307" t="str">
        <f t="shared" si="161"/>
        <v/>
      </c>
      <c r="U524" s="315" t="str">
        <f t="shared" si="162"/>
        <v/>
      </c>
      <c r="V524" s="307" t="str">
        <f t="shared" si="166"/>
        <v/>
      </c>
      <c r="W524" s="307" t="str">
        <f>IFERROR(IF(V524&gt;0,PROPER(Terbilang1(V524)&amp;" Rupiah"),0),"")</f>
        <v/>
      </c>
      <c r="X524" s="90" t="str">
        <f t="shared" si="167"/>
        <v/>
      </c>
      <c r="Y524" s="307" t="str">
        <f t="shared" si="168"/>
        <v/>
      </c>
      <c r="Z524" s="307">
        <f t="shared" si="163"/>
        <v>0</v>
      </c>
      <c r="AA524" s="366">
        <f t="shared" si="164"/>
        <v>0</v>
      </c>
      <c r="AB524" s="367">
        <f t="shared" si="169"/>
        <v>0</v>
      </c>
      <c r="AC524" s="305">
        <f t="shared" si="170"/>
        <v>0</v>
      </c>
      <c r="AP524" s="89" t="str">
        <f t="shared" si="158"/>
        <v/>
      </c>
      <c r="AQ524" s="89" t="str">
        <f t="shared" si="156"/>
        <v/>
      </c>
      <c r="AR524" s="315" t="str">
        <f t="shared" si="157"/>
        <v/>
      </c>
      <c r="AS524" s="305" t="str">
        <f t="shared" si="171"/>
        <v>0</v>
      </c>
      <c r="AT524" s="307">
        <f>Table22[[#This Row],[Column1]]</f>
        <v>0</v>
      </c>
    </row>
    <row r="525" spans="1:46" x14ac:dyDescent="0.3">
      <c r="A525" s="307">
        <f t="shared" si="165"/>
        <v>0</v>
      </c>
      <c r="B525" s="307">
        <f t="shared" si="154"/>
        <v>0</v>
      </c>
      <c r="C525" s="308" t="s">
        <v>563</v>
      </c>
      <c r="D525" s="309" t="s">
        <v>563</v>
      </c>
      <c r="E525" s="310">
        <v>0</v>
      </c>
      <c r="F525" s="310">
        <v>0</v>
      </c>
      <c r="G525" s="311">
        <v>0</v>
      </c>
      <c r="H525" s="310" t="s">
        <v>563</v>
      </c>
      <c r="I525" s="310" t="s">
        <v>563</v>
      </c>
      <c r="J525" s="310" t="s">
        <v>563</v>
      </c>
      <c r="K525" s="312">
        <v>0</v>
      </c>
      <c r="L525" s="310">
        <v>0</v>
      </c>
      <c r="M525" s="310">
        <v>0</v>
      </c>
      <c r="N525" s="313" t="s">
        <v>563</v>
      </c>
      <c r="O525" s="314" t="s">
        <v>563</v>
      </c>
      <c r="P525" s="307">
        <f t="shared" si="159"/>
        <v>0</v>
      </c>
      <c r="R525" s="91" t="str">
        <f t="shared" si="155"/>
        <v/>
      </c>
      <c r="S52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5" s="307" t="str">
        <f t="shared" si="161"/>
        <v/>
      </c>
      <c r="U525" s="315" t="str">
        <f t="shared" si="162"/>
        <v/>
      </c>
      <c r="V525" s="307" t="str">
        <f t="shared" si="166"/>
        <v/>
      </c>
      <c r="W525" s="307" t="str">
        <f>IFERROR(IF(V525&gt;0,PROPER(Terbilang1(V525)&amp;" Rupiah"),0),"")</f>
        <v/>
      </c>
      <c r="X525" s="90" t="str">
        <f t="shared" si="167"/>
        <v/>
      </c>
      <c r="Y525" s="307" t="str">
        <f t="shared" si="168"/>
        <v/>
      </c>
      <c r="Z525" s="307">
        <f t="shared" si="163"/>
        <v>0</v>
      </c>
      <c r="AA525" s="366">
        <f t="shared" si="164"/>
        <v>0</v>
      </c>
      <c r="AB525" s="367">
        <f t="shared" si="169"/>
        <v>0</v>
      </c>
      <c r="AC525" s="305">
        <f t="shared" si="170"/>
        <v>0</v>
      </c>
      <c r="AP525" s="89" t="str">
        <f t="shared" si="158"/>
        <v/>
      </c>
      <c r="AQ525" s="89" t="str">
        <f t="shared" si="156"/>
        <v/>
      </c>
      <c r="AR525" s="315" t="str">
        <f t="shared" si="157"/>
        <v/>
      </c>
      <c r="AS525" s="305" t="str">
        <f t="shared" si="171"/>
        <v>0</v>
      </c>
      <c r="AT525" s="307">
        <f>Table22[[#This Row],[Column1]]</f>
        <v>0</v>
      </c>
    </row>
    <row r="526" spans="1:46" x14ac:dyDescent="0.3">
      <c r="A526" s="307">
        <f t="shared" si="165"/>
        <v>0</v>
      </c>
      <c r="B526" s="307">
        <f t="shared" si="154"/>
        <v>0</v>
      </c>
      <c r="C526" s="308" t="s">
        <v>563</v>
      </c>
      <c r="D526" s="309" t="s">
        <v>563</v>
      </c>
      <c r="E526" s="310">
        <v>0</v>
      </c>
      <c r="F526" s="310">
        <v>0</v>
      </c>
      <c r="G526" s="311">
        <v>0</v>
      </c>
      <c r="H526" s="310" t="s">
        <v>563</v>
      </c>
      <c r="I526" s="310" t="s">
        <v>563</v>
      </c>
      <c r="J526" s="310" t="s">
        <v>563</v>
      </c>
      <c r="K526" s="312">
        <v>0</v>
      </c>
      <c r="L526" s="310">
        <v>0</v>
      </c>
      <c r="M526" s="310">
        <v>0</v>
      </c>
      <c r="N526" s="313" t="s">
        <v>563</v>
      </c>
      <c r="O526" s="314" t="s">
        <v>563</v>
      </c>
      <c r="P526" s="307">
        <f t="shared" si="159"/>
        <v>0</v>
      </c>
      <c r="R526" s="91" t="str">
        <f t="shared" si="155"/>
        <v/>
      </c>
      <c r="S52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6" s="307" t="str">
        <f t="shared" si="161"/>
        <v/>
      </c>
      <c r="U526" s="315" t="str">
        <f t="shared" si="162"/>
        <v/>
      </c>
      <c r="V526" s="307" t="str">
        <f>N526</f>
        <v/>
      </c>
      <c r="W526" s="307" t="str">
        <f>IFERROR(IF(V526&gt;0,PROPER(Terbilang1(V526)&amp;" Rupiah"),0),"")</f>
        <v/>
      </c>
      <c r="X526" s="90" t="str">
        <f t="shared" si="167"/>
        <v/>
      </c>
      <c r="Y526" s="307" t="str">
        <f t="shared" si="168"/>
        <v/>
      </c>
      <c r="Z526" s="307">
        <f t="shared" si="163"/>
        <v>0</v>
      </c>
      <c r="AA526" s="366">
        <f t="shared" si="164"/>
        <v>0</v>
      </c>
      <c r="AB526" s="367">
        <f t="shared" si="169"/>
        <v>0</v>
      </c>
      <c r="AC526" s="305">
        <f t="shared" si="170"/>
        <v>0</v>
      </c>
      <c r="AP526" s="89" t="str">
        <f t="shared" si="158"/>
        <v/>
      </c>
      <c r="AQ526" s="89" t="str">
        <f t="shared" si="156"/>
        <v/>
      </c>
      <c r="AR526" s="315" t="str">
        <f t="shared" si="157"/>
        <v/>
      </c>
      <c r="AS526" s="305" t="str">
        <f t="shared" si="171"/>
        <v>0</v>
      </c>
      <c r="AT526" s="307">
        <f>Table22[[#This Row],[Column1]]</f>
        <v>0</v>
      </c>
    </row>
    <row r="527" spans="1:46" x14ac:dyDescent="0.3">
      <c r="A527" s="307">
        <f t="shared" si="165"/>
        <v>0</v>
      </c>
      <c r="B527" s="307">
        <f t="shared" si="154"/>
        <v>0</v>
      </c>
      <c r="C527" s="308" t="s">
        <v>563</v>
      </c>
      <c r="D527" s="309" t="s">
        <v>563</v>
      </c>
      <c r="E527" s="310">
        <v>0</v>
      </c>
      <c r="F527" s="310">
        <v>0</v>
      </c>
      <c r="G527" s="311">
        <v>0</v>
      </c>
      <c r="H527" s="310" t="s">
        <v>563</v>
      </c>
      <c r="I527" s="310" t="s">
        <v>563</v>
      </c>
      <c r="J527" s="310" t="s">
        <v>563</v>
      </c>
      <c r="K527" s="312">
        <v>0</v>
      </c>
      <c r="L527" s="310">
        <v>0</v>
      </c>
      <c r="M527" s="310">
        <v>0</v>
      </c>
      <c r="N527" s="313" t="s">
        <v>563</v>
      </c>
      <c r="O527" s="314" t="s">
        <v>563</v>
      </c>
      <c r="P527" s="307">
        <f t="shared" si="159"/>
        <v>0</v>
      </c>
      <c r="R527" s="91" t="str">
        <f t="shared" si="155"/>
        <v/>
      </c>
      <c r="S52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7" s="307" t="str">
        <f t="shared" si="161"/>
        <v/>
      </c>
      <c r="U527" s="315" t="str">
        <f t="shared" si="162"/>
        <v/>
      </c>
      <c r="V527" s="307" t="str">
        <f t="shared" si="166"/>
        <v/>
      </c>
      <c r="W527" s="307" t="str">
        <f>IFERROR(IF(V527&gt;0,PROPER(Terbilang1(V527)&amp;" Rupiah"),0),"")</f>
        <v/>
      </c>
      <c r="X527" s="90" t="str">
        <f t="shared" si="167"/>
        <v/>
      </c>
      <c r="Y527" s="307" t="str">
        <f t="shared" si="168"/>
        <v/>
      </c>
      <c r="Z527" s="307">
        <f t="shared" si="163"/>
        <v>0</v>
      </c>
      <c r="AA527" s="366">
        <f t="shared" si="164"/>
        <v>0</v>
      </c>
      <c r="AB527" s="367">
        <f t="shared" si="169"/>
        <v>0</v>
      </c>
      <c r="AC527" s="305">
        <f t="shared" si="170"/>
        <v>0</v>
      </c>
      <c r="AP527" s="89" t="str">
        <f t="shared" si="158"/>
        <v/>
      </c>
      <c r="AQ527" s="89" t="str">
        <f t="shared" si="156"/>
        <v/>
      </c>
      <c r="AR527" s="315" t="str">
        <f t="shared" si="157"/>
        <v/>
      </c>
      <c r="AS527" s="305" t="str">
        <f t="shared" si="171"/>
        <v>0</v>
      </c>
      <c r="AT527" s="307">
        <f>Table22[[#This Row],[Column1]]</f>
        <v>0</v>
      </c>
    </row>
    <row r="528" spans="1:46" x14ac:dyDescent="0.3">
      <c r="A528" s="307">
        <f t="shared" si="165"/>
        <v>0</v>
      </c>
      <c r="B528" s="307">
        <f t="shared" si="154"/>
        <v>0</v>
      </c>
      <c r="C528" s="308" t="s">
        <v>563</v>
      </c>
      <c r="D528" s="309" t="s">
        <v>563</v>
      </c>
      <c r="E528" s="310">
        <v>0</v>
      </c>
      <c r="F528" s="310">
        <v>0</v>
      </c>
      <c r="G528" s="311">
        <v>0</v>
      </c>
      <c r="H528" s="310" t="s">
        <v>563</v>
      </c>
      <c r="I528" s="310" t="s">
        <v>563</v>
      </c>
      <c r="J528" s="310" t="s">
        <v>563</v>
      </c>
      <c r="K528" s="312">
        <v>0</v>
      </c>
      <c r="L528" s="310">
        <v>0</v>
      </c>
      <c r="M528" s="310">
        <v>0</v>
      </c>
      <c r="N528" s="313" t="s">
        <v>563</v>
      </c>
      <c r="O528" s="314" t="s">
        <v>563</v>
      </c>
      <c r="P528" s="307">
        <f t="shared" si="159"/>
        <v>0</v>
      </c>
      <c r="R528" s="91" t="str">
        <f t="shared" si="155"/>
        <v/>
      </c>
      <c r="S52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8" s="307" t="str">
        <f t="shared" si="161"/>
        <v/>
      </c>
      <c r="U528" s="315" t="str">
        <f t="shared" si="162"/>
        <v/>
      </c>
      <c r="V528" s="307" t="str">
        <f t="shared" si="166"/>
        <v/>
      </c>
      <c r="W528" s="307" t="str">
        <f>IFERROR(IF(V528&gt;0,PROPER(Terbilang1(V528)&amp;" Rupiah"),0),"")</f>
        <v/>
      </c>
      <c r="X528" s="90" t="str">
        <f t="shared" si="167"/>
        <v/>
      </c>
      <c r="Y528" s="307" t="str">
        <f t="shared" si="168"/>
        <v/>
      </c>
      <c r="Z528" s="307">
        <f t="shared" si="163"/>
        <v>0</v>
      </c>
      <c r="AA528" s="366">
        <f t="shared" si="164"/>
        <v>0</v>
      </c>
      <c r="AB528" s="367">
        <f t="shared" si="169"/>
        <v>0</v>
      </c>
      <c r="AC528" s="305">
        <f t="shared" si="170"/>
        <v>0</v>
      </c>
      <c r="AP528" s="89" t="str">
        <f t="shared" si="158"/>
        <v/>
      </c>
      <c r="AQ528" s="89" t="str">
        <f t="shared" si="156"/>
        <v/>
      </c>
      <c r="AR528" s="315" t="str">
        <f t="shared" si="157"/>
        <v/>
      </c>
      <c r="AS528" s="305" t="str">
        <f t="shared" si="171"/>
        <v>0</v>
      </c>
      <c r="AT528" s="307">
        <f>Table22[[#This Row],[Column1]]</f>
        <v>0</v>
      </c>
    </row>
    <row r="529" spans="1:46" x14ac:dyDescent="0.3">
      <c r="A529" s="307">
        <f t="shared" si="165"/>
        <v>0</v>
      </c>
      <c r="B529" s="307">
        <f t="shared" si="154"/>
        <v>0</v>
      </c>
      <c r="C529" s="308" t="s">
        <v>563</v>
      </c>
      <c r="D529" s="309" t="s">
        <v>563</v>
      </c>
      <c r="E529" s="310">
        <v>0</v>
      </c>
      <c r="F529" s="310">
        <v>0</v>
      </c>
      <c r="G529" s="311">
        <v>0</v>
      </c>
      <c r="H529" s="310" t="s">
        <v>563</v>
      </c>
      <c r="I529" s="310" t="s">
        <v>563</v>
      </c>
      <c r="J529" s="310" t="s">
        <v>563</v>
      </c>
      <c r="K529" s="312">
        <v>0</v>
      </c>
      <c r="L529" s="310">
        <v>0</v>
      </c>
      <c r="M529" s="310">
        <v>0</v>
      </c>
      <c r="N529" s="313" t="s">
        <v>563</v>
      </c>
      <c r="O529" s="314" t="s">
        <v>563</v>
      </c>
      <c r="P529" s="307">
        <f t="shared" si="159"/>
        <v>0</v>
      </c>
      <c r="R529" s="91" t="str">
        <f t="shared" si="155"/>
        <v/>
      </c>
      <c r="S52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29" s="307" t="str">
        <f t="shared" si="161"/>
        <v/>
      </c>
      <c r="U529" s="315" t="str">
        <f t="shared" si="162"/>
        <v/>
      </c>
      <c r="V529" s="307" t="str">
        <f t="shared" si="166"/>
        <v/>
      </c>
      <c r="W529" s="307" t="str">
        <f>IFERROR(IF(V529&gt;0,PROPER(Terbilang1(V529)&amp;" Rupiah"),0),"")</f>
        <v/>
      </c>
      <c r="X529" s="90" t="str">
        <f t="shared" si="167"/>
        <v/>
      </c>
      <c r="Y529" s="307" t="str">
        <f t="shared" si="168"/>
        <v/>
      </c>
      <c r="Z529" s="307">
        <f t="shared" si="163"/>
        <v>0</v>
      </c>
      <c r="AA529" s="366">
        <f t="shared" si="164"/>
        <v>0</v>
      </c>
      <c r="AB529" s="367">
        <f t="shared" si="169"/>
        <v>0</v>
      </c>
      <c r="AC529" s="305">
        <f t="shared" si="170"/>
        <v>0</v>
      </c>
      <c r="AP529" s="89" t="str">
        <f t="shared" si="158"/>
        <v/>
      </c>
      <c r="AQ529" s="89" t="str">
        <f t="shared" si="156"/>
        <v/>
      </c>
      <c r="AR529" s="315" t="str">
        <f t="shared" si="157"/>
        <v/>
      </c>
      <c r="AS529" s="305" t="str">
        <f t="shared" si="171"/>
        <v>0</v>
      </c>
      <c r="AT529" s="307">
        <f>Table22[[#This Row],[Column1]]</f>
        <v>0</v>
      </c>
    </row>
    <row r="530" spans="1:46" x14ac:dyDescent="0.3">
      <c r="A530" s="307">
        <f t="shared" si="165"/>
        <v>0</v>
      </c>
      <c r="B530" s="307">
        <f t="shared" si="154"/>
        <v>0</v>
      </c>
      <c r="C530" s="308" t="s">
        <v>563</v>
      </c>
      <c r="D530" s="309" t="s">
        <v>563</v>
      </c>
      <c r="E530" s="310">
        <v>0</v>
      </c>
      <c r="F530" s="310">
        <v>0</v>
      </c>
      <c r="G530" s="311">
        <v>0</v>
      </c>
      <c r="H530" s="310" t="s">
        <v>563</v>
      </c>
      <c r="I530" s="310" t="s">
        <v>563</v>
      </c>
      <c r="J530" s="310" t="s">
        <v>563</v>
      </c>
      <c r="K530" s="312">
        <v>0</v>
      </c>
      <c r="L530" s="310">
        <v>0</v>
      </c>
      <c r="M530" s="310">
        <v>0</v>
      </c>
      <c r="N530" s="313" t="s">
        <v>563</v>
      </c>
      <c r="O530" s="314" t="s">
        <v>563</v>
      </c>
      <c r="P530" s="307">
        <f t="shared" si="159"/>
        <v>0</v>
      </c>
      <c r="R530" s="91" t="str">
        <f t="shared" si="155"/>
        <v/>
      </c>
      <c r="S53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0" s="307" t="str">
        <f t="shared" si="161"/>
        <v/>
      </c>
      <c r="U530" s="315" t="str">
        <f t="shared" si="162"/>
        <v/>
      </c>
      <c r="V530" s="307" t="str">
        <f t="shared" si="166"/>
        <v/>
      </c>
      <c r="W530" s="307" t="str">
        <f>IFERROR(IF(V530&gt;0,PROPER(Terbilang1(V530)&amp;" Rupiah"),0),"")</f>
        <v/>
      </c>
      <c r="X530" s="90" t="str">
        <f t="shared" si="167"/>
        <v/>
      </c>
      <c r="Y530" s="307" t="str">
        <f t="shared" si="168"/>
        <v/>
      </c>
      <c r="Z530" s="307">
        <f t="shared" si="163"/>
        <v>0</v>
      </c>
      <c r="AA530" s="366">
        <f t="shared" si="164"/>
        <v>0</v>
      </c>
      <c r="AB530" s="367">
        <f t="shared" si="169"/>
        <v>0</v>
      </c>
      <c r="AC530" s="305">
        <f t="shared" si="170"/>
        <v>0</v>
      </c>
      <c r="AP530" s="89" t="str">
        <f t="shared" si="158"/>
        <v/>
      </c>
      <c r="AQ530" s="89" t="str">
        <f t="shared" si="156"/>
        <v/>
      </c>
      <c r="AR530" s="315" t="str">
        <f t="shared" si="157"/>
        <v/>
      </c>
      <c r="AS530" s="305" t="str">
        <f t="shared" si="171"/>
        <v>0</v>
      </c>
      <c r="AT530" s="307">
        <f>Table22[[#This Row],[Column1]]</f>
        <v>0</v>
      </c>
    </row>
    <row r="531" spans="1:46" x14ac:dyDescent="0.3">
      <c r="A531" s="307">
        <f t="shared" si="165"/>
        <v>0</v>
      </c>
      <c r="B531" s="307">
        <f t="shared" si="154"/>
        <v>0</v>
      </c>
      <c r="C531" s="308" t="s">
        <v>563</v>
      </c>
      <c r="D531" s="309" t="s">
        <v>563</v>
      </c>
      <c r="E531" s="310">
        <v>0</v>
      </c>
      <c r="F531" s="310">
        <v>0</v>
      </c>
      <c r="G531" s="311">
        <v>0</v>
      </c>
      <c r="H531" s="310" t="s">
        <v>563</v>
      </c>
      <c r="I531" s="310" t="s">
        <v>563</v>
      </c>
      <c r="J531" s="310" t="s">
        <v>563</v>
      </c>
      <c r="K531" s="312">
        <v>0</v>
      </c>
      <c r="L531" s="310">
        <v>0</v>
      </c>
      <c r="M531" s="310">
        <v>0</v>
      </c>
      <c r="N531" s="313" t="s">
        <v>563</v>
      </c>
      <c r="O531" s="314" t="s">
        <v>563</v>
      </c>
      <c r="P531" s="307">
        <f t="shared" si="159"/>
        <v>0</v>
      </c>
      <c r="R531" s="91" t="str">
        <f t="shared" si="155"/>
        <v/>
      </c>
      <c r="S53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1" s="307" t="str">
        <f t="shared" si="161"/>
        <v/>
      </c>
      <c r="U531" s="315" t="str">
        <f t="shared" si="162"/>
        <v/>
      </c>
      <c r="V531" s="307" t="str">
        <f t="shared" si="166"/>
        <v/>
      </c>
      <c r="W531" s="307" t="str">
        <f>IFERROR(IF(V531&gt;0,PROPER(Terbilang1(V531)&amp;" Rupiah"),0),"")</f>
        <v/>
      </c>
      <c r="X531" s="90" t="str">
        <f t="shared" si="167"/>
        <v/>
      </c>
      <c r="Y531" s="307" t="str">
        <f t="shared" si="168"/>
        <v/>
      </c>
      <c r="Z531" s="307">
        <f t="shared" si="163"/>
        <v>0</v>
      </c>
      <c r="AA531" s="366">
        <f t="shared" si="164"/>
        <v>0</v>
      </c>
      <c r="AB531" s="367">
        <f t="shared" si="169"/>
        <v>0</v>
      </c>
      <c r="AC531" s="305">
        <f t="shared" si="170"/>
        <v>0</v>
      </c>
      <c r="AP531" s="89" t="str">
        <f t="shared" si="158"/>
        <v/>
      </c>
      <c r="AQ531" s="89" t="str">
        <f t="shared" si="156"/>
        <v/>
      </c>
      <c r="AR531" s="315" t="str">
        <f t="shared" si="157"/>
        <v/>
      </c>
      <c r="AS531" s="305" t="str">
        <f t="shared" si="171"/>
        <v>0</v>
      </c>
      <c r="AT531" s="307">
        <f>Table22[[#This Row],[Column1]]</f>
        <v>0</v>
      </c>
    </row>
    <row r="532" spans="1:46" x14ac:dyDescent="0.3">
      <c r="A532" s="307">
        <f t="shared" si="165"/>
        <v>0</v>
      </c>
      <c r="B532" s="307">
        <f t="shared" si="154"/>
        <v>0</v>
      </c>
      <c r="C532" s="308" t="s">
        <v>563</v>
      </c>
      <c r="D532" s="309" t="s">
        <v>563</v>
      </c>
      <c r="E532" s="310">
        <v>0</v>
      </c>
      <c r="F532" s="310">
        <v>0</v>
      </c>
      <c r="G532" s="311">
        <v>0</v>
      </c>
      <c r="H532" s="310" t="s">
        <v>563</v>
      </c>
      <c r="I532" s="310" t="s">
        <v>563</v>
      </c>
      <c r="J532" s="310" t="s">
        <v>563</v>
      </c>
      <c r="K532" s="312">
        <v>0</v>
      </c>
      <c r="L532" s="310">
        <v>0</v>
      </c>
      <c r="M532" s="310">
        <v>0</v>
      </c>
      <c r="N532" s="313" t="s">
        <v>563</v>
      </c>
      <c r="O532" s="314" t="s">
        <v>563</v>
      </c>
      <c r="P532" s="307">
        <f t="shared" si="159"/>
        <v>0</v>
      </c>
      <c r="R532" s="91" t="str">
        <f t="shared" si="155"/>
        <v/>
      </c>
      <c r="S53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2" s="307" t="str">
        <f t="shared" si="161"/>
        <v/>
      </c>
      <c r="U532" s="315" t="str">
        <f t="shared" si="162"/>
        <v/>
      </c>
      <c r="V532" s="307" t="str">
        <f t="shared" si="166"/>
        <v/>
      </c>
      <c r="W532" s="307" t="str">
        <f>IFERROR(IF(V532&gt;0,PROPER(Terbilang1(V532)&amp;" Rupiah"),0),"")</f>
        <v/>
      </c>
      <c r="X532" s="90" t="str">
        <f t="shared" si="167"/>
        <v/>
      </c>
      <c r="Y532" s="307" t="str">
        <f t="shared" si="168"/>
        <v/>
      </c>
      <c r="Z532" s="307">
        <f t="shared" si="163"/>
        <v>0</v>
      </c>
      <c r="AA532" s="366">
        <f t="shared" si="164"/>
        <v>0</v>
      </c>
      <c r="AB532" s="367">
        <f t="shared" si="169"/>
        <v>0</v>
      </c>
      <c r="AC532" s="305">
        <f t="shared" si="170"/>
        <v>0</v>
      </c>
      <c r="AP532" s="89" t="str">
        <f t="shared" si="158"/>
        <v/>
      </c>
      <c r="AQ532" s="89" t="str">
        <f t="shared" si="156"/>
        <v/>
      </c>
      <c r="AR532" s="315" t="str">
        <f t="shared" si="157"/>
        <v/>
      </c>
      <c r="AS532" s="305" t="str">
        <f t="shared" si="171"/>
        <v>0</v>
      </c>
      <c r="AT532" s="307">
        <f>Table22[[#This Row],[Column1]]</f>
        <v>0</v>
      </c>
    </row>
    <row r="533" spans="1:46" x14ac:dyDescent="0.3">
      <c r="A533" s="307">
        <f t="shared" si="165"/>
        <v>0</v>
      </c>
      <c r="B533" s="307">
        <f t="shared" si="154"/>
        <v>0</v>
      </c>
      <c r="C533" s="308" t="s">
        <v>563</v>
      </c>
      <c r="D533" s="309" t="s">
        <v>563</v>
      </c>
      <c r="E533" s="310">
        <v>0</v>
      </c>
      <c r="F533" s="310">
        <v>0</v>
      </c>
      <c r="G533" s="311">
        <v>0</v>
      </c>
      <c r="H533" s="310" t="s">
        <v>563</v>
      </c>
      <c r="I533" s="310" t="s">
        <v>563</v>
      </c>
      <c r="J533" s="310" t="s">
        <v>563</v>
      </c>
      <c r="K533" s="312">
        <v>0</v>
      </c>
      <c r="L533" s="310">
        <v>0</v>
      </c>
      <c r="M533" s="310">
        <v>0</v>
      </c>
      <c r="N533" s="313" t="s">
        <v>563</v>
      </c>
      <c r="O533" s="314" t="s">
        <v>563</v>
      </c>
      <c r="P533" s="307">
        <f t="shared" si="159"/>
        <v>0</v>
      </c>
      <c r="R533" s="91" t="str">
        <f t="shared" si="155"/>
        <v/>
      </c>
      <c r="S53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3" s="307" t="str">
        <f t="shared" si="161"/>
        <v/>
      </c>
      <c r="U533" s="315" t="str">
        <f t="shared" si="162"/>
        <v/>
      </c>
      <c r="V533" s="307" t="str">
        <f>N533</f>
        <v/>
      </c>
      <c r="W533" s="307" t="str">
        <f>IFERROR(IF(V533&gt;0,PROPER(Terbilang1(V533)&amp;" Rupiah"),0),"")</f>
        <v/>
      </c>
      <c r="X533" s="90" t="str">
        <f t="shared" si="167"/>
        <v/>
      </c>
      <c r="Y533" s="307" t="str">
        <f t="shared" si="168"/>
        <v/>
      </c>
      <c r="Z533" s="307">
        <f t="shared" si="163"/>
        <v>0</v>
      </c>
      <c r="AA533" s="366">
        <f t="shared" si="164"/>
        <v>0</v>
      </c>
      <c r="AB533" s="367">
        <f t="shared" si="169"/>
        <v>0</v>
      </c>
      <c r="AC533" s="305">
        <f t="shared" si="170"/>
        <v>0</v>
      </c>
      <c r="AP533" s="89" t="str">
        <f t="shared" si="158"/>
        <v/>
      </c>
      <c r="AQ533" s="89" t="str">
        <f t="shared" si="156"/>
        <v/>
      </c>
      <c r="AR533" s="315" t="str">
        <f t="shared" si="157"/>
        <v/>
      </c>
      <c r="AS533" s="305" t="str">
        <f t="shared" si="171"/>
        <v>0</v>
      </c>
      <c r="AT533" s="307">
        <f>Table22[[#This Row],[Column1]]</f>
        <v>0</v>
      </c>
    </row>
    <row r="534" spans="1:46" x14ac:dyDescent="0.3">
      <c r="A534" s="307">
        <f t="shared" si="165"/>
        <v>0</v>
      </c>
      <c r="B534" s="307">
        <f t="shared" si="154"/>
        <v>0</v>
      </c>
      <c r="C534" s="308" t="s">
        <v>563</v>
      </c>
      <c r="D534" s="309" t="s">
        <v>563</v>
      </c>
      <c r="E534" s="310">
        <v>0</v>
      </c>
      <c r="F534" s="310">
        <v>0</v>
      </c>
      <c r="G534" s="311">
        <v>0</v>
      </c>
      <c r="H534" s="310" t="s">
        <v>563</v>
      </c>
      <c r="I534" s="310" t="s">
        <v>563</v>
      </c>
      <c r="J534" s="310" t="s">
        <v>563</v>
      </c>
      <c r="K534" s="312">
        <v>0</v>
      </c>
      <c r="L534" s="310">
        <v>0</v>
      </c>
      <c r="M534" s="310">
        <v>0</v>
      </c>
      <c r="N534" s="313" t="s">
        <v>563</v>
      </c>
      <c r="O534" s="314" t="s">
        <v>563</v>
      </c>
      <c r="P534" s="307">
        <f t="shared" si="159"/>
        <v>0</v>
      </c>
      <c r="R534" s="91" t="str">
        <f t="shared" si="155"/>
        <v/>
      </c>
      <c r="S53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4" s="307" t="str">
        <f t="shared" si="161"/>
        <v/>
      </c>
      <c r="U534" s="315" t="str">
        <f t="shared" si="162"/>
        <v/>
      </c>
      <c r="V534" s="307" t="str">
        <f t="shared" si="166"/>
        <v/>
      </c>
      <c r="W534" s="307" t="str">
        <f>IFERROR(IF(V534&gt;0,PROPER(Terbilang1(V534)&amp;" Rupiah"),0),"")</f>
        <v/>
      </c>
      <c r="X534" s="90" t="str">
        <f t="shared" si="167"/>
        <v/>
      </c>
      <c r="Y534" s="307" t="str">
        <f t="shared" si="168"/>
        <v/>
      </c>
      <c r="Z534" s="307">
        <f t="shared" si="163"/>
        <v>0</v>
      </c>
      <c r="AA534" s="366">
        <f t="shared" si="164"/>
        <v>0</v>
      </c>
      <c r="AB534" s="367">
        <f t="shared" si="169"/>
        <v>0</v>
      </c>
      <c r="AC534" s="305">
        <f t="shared" si="170"/>
        <v>0</v>
      </c>
      <c r="AP534" s="89" t="str">
        <f t="shared" si="158"/>
        <v/>
      </c>
      <c r="AQ534" s="89" t="str">
        <f t="shared" si="156"/>
        <v/>
      </c>
      <c r="AR534" s="315" t="str">
        <f t="shared" si="157"/>
        <v/>
      </c>
      <c r="AS534" s="305" t="str">
        <f t="shared" si="171"/>
        <v>0</v>
      </c>
      <c r="AT534" s="307">
        <f>Table22[[#This Row],[Column1]]</f>
        <v>0</v>
      </c>
    </row>
    <row r="535" spans="1:46" x14ac:dyDescent="0.3">
      <c r="A535" s="307">
        <f t="shared" si="165"/>
        <v>0</v>
      </c>
      <c r="B535" s="307">
        <f t="shared" si="154"/>
        <v>0</v>
      </c>
      <c r="C535" s="308" t="s">
        <v>563</v>
      </c>
      <c r="D535" s="309" t="s">
        <v>563</v>
      </c>
      <c r="E535" s="310">
        <v>0</v>
      </c>
      <c r="F535" s="310">
        <v>0</v>
      </c>
      <c r="G535" s="311">
        <v>0</v>
      </c>
      <c r="H535" s="310" t="s">
        <v>563</v>
      </c>
      <c r="I535" s="310" t="s">
        <v>563</v>
      </c>
      <c r="J535" s="310" t="s">
        <v>563</v>
      </c>
      <c r="K535" s="312">
        <v>0</v>
      </c>
      <c r="L535" s="310">
        <v>0</v>
      </c>
      <c r="M535" s="310">
        <v>0</v>
      </c>
      <c r="N535" s="313" t="s">
        <v>563</v>
      </c>
      <c r="O535" s="314" t="s">
        <v>563</v>
      </c>
      <c r="P535" s="307">
        <f t="shared" si="159"/>
        <v>0</v>
      </c>
      <c r="R535" s="91" t="str">
        <f t="shared" si="155"/>
        <v/>
      </c>
      <c r="S53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5" s="307" t="str">
        <f t="shared" si="161"/>
        <v/>
      </c>
      <c r="U535" s="315" t="str">
        <f t="shared" si="162"/>
        <v/>
      </c>
      <c r="V535" s="307" t="str">
        <f>N535</f>
        <v/>
      </c>
      <c r="W535" s="307" t="str">
        <f>IFERROR(IF(V535&gt;0,PROPER(Terbilang1(V535)&amp;" Rupiah"),0),"")</f>
        <v/>
      </c>
      <c r="X535" s="90" t="str">
        <f t="shared" si="167"/>
        <v/>
      </c>
      <c r="Y535" s="307" t="str">
        <f t="shared" si="168"/>
        <v/>
      </c>
      <c r="Z535" s="307">
        <f t="shared" si="163"/>
        <v>0</v>
      </c>
      <c r="AA535" s="366">
        <f t="shared" si="164"/>
        <v>0</v>
      </c>
      <c r="AB535" s="367">
        <f t="shared" si="169"/>
        <v>0</v>
      </c>
      <c r="AC535" s="305">
        <f t="shared" si="170"/>
        <v>0</v>
      </c>
      <c r="AP535" s="89" t="str">
        <f t="shared" si="158"/>
        <v/>
      </c>
      <c r="AQ535" s="89" t="str">
        <f t="shared" si="156"/>
        <v/>
      </c>
      <c r="AR535" s="315" t="str">
        <f t="shared" si="157"/>
        <v/>
      </c>
      <c r="AS535" s="305" t="str">
        <f t="shared" si="171"/>
        <v>0</v>
      </c>
      <c r="AT535" s="307">
        <f>Table22[[#This Row],[Column1]]</f>
        <v>0</v>
      </c>
    </row>
    <row r="536" spans="1:46" x14ac:dyDescent="0.3">
      <c r="A536" s="307">
        <f t="shared" si="165"/>
        <v>0</v>
      </c>
      <c r="B536" s="307">
        <f t="shared" si="154"/>
        <v>0</v>
      </c>
      <c r="C536" s="308" t="s">
        <v>563</v>
      </c>
      <c r="D536" s="309" t="s">
        <v>563</v>
      </c>
      <c r="E536" s="310">
        <v>0</v>
      </c>
      <c r="F536" s="310">
        <v>0</v>
      </c>
      <c r="G536" s="311">
        <v>0</v>
      </c>
      <c r="H536" s="310" t="s">
        <v>563</v>
      </c>
      <c r="I536" s="310" t="s">
        <v>563</v>
      </c>
      <c r="J536" s="310" t="s">
        <v>563</v>
      </c>
      <c r="K536" s="312">
        <v>0</v>
      </c>
      <c r="L536" s="310">
        <v>0</v>
      </c>
      <c r="M536" s="310">
        <v>0</v>
      </c>
      <c r="N536" s="313" t="s">
        <v>563</v>
      </c>
      <c r="O536" s="314" t="s">
        <v>563</v>
      </c>
      <c r="P536" s="307">
        <f t="shared" si="159"/>
        <v>0</v>
      </c>
      <c r="R536" s="91" t="str">
        <f t="shared" si="155"/>
        <v/>
      </c>
      <c r="S53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6" s="307" t="str">
        <f t="shared" si="161"/>
        <v/>
      </c>
      <c r="U536" s="315" t="str">
        <f t="shared" si="162"/>
        <v/>
      </c>
      <c r="V536" s="307" t="str">
        <f t="shared" si="166"/>
        <v/>
      </c>
      <c r="W536" s="307" t="str">
        <f>IFERROR(IF(V536&gt;0,PROPER(Terbilang1(V536)&amp;" Rupiah"),0),"")</f>
        <v/>
      </c>
      <c r="X536" s="90" t="str">
        <f t="shared" si="167"/>
        <v/>
      </c>
      <c r="Y536" s="307" t="str">
        <f t="shared" si="168"/>
        <v/>
      </c>
      <c r="Z536" s="307">
        <f t="shared" si="163"/>
        <v>0</v>
      </c>
      <c r="AA536" s="366">
        <f t="shared" si="164"/>
        <v>0</v>
      </c>
      <c r="AB536" s="367">
        <f t="shared" si="169"/>
        <v>0</v>
      </c>
      <c r="AC536" s="305">
        <f t="shared" si="170"/>
        <v>0</v>
      </c>
      <c r="AP536" s="89" t="str">
        <f t="shared" si="158"/>
        <v/>
      </c>
      <c r="AQ536" s="89" t="str">
        <f t="shared" si="156"/>
        <v/>
      </c>
      <c r="AR536" s="315" t="str">
        <f t="shared" si="157"/>
        <v/>
      </c>
      <c r="AS536" s="305" t="str">
        <f t="shared" si="171"/>
        <v>0</v>
      </c>
      <c r="AT536" s="307">
        <f>Table22[[#This Row],[Column1]]</f>
        <v>0</v>
      </c>
    </row>
    <row r="537" spans="1:46" x14ac:dyDescent="0.3">
      <c r="A537" s="307">
        <f t="shared" si="165"/>
        <v>0</v>
      </c>
      <c r="B537" s="307">
        <f t="shared" si="154"/>
        <v>0</v>
      </c>
      <c r="C537" s="308" t="s">
        <v>563</v>
      </c>
      <c r="D537" s="309" t="s">
        <v>563</v>
      </c>
      <c r="E537" s="310">
        <v>0</v>
      </c>
      <c r="F537" s="310">
        <v>0</v>
      </c>
      <c r="G537" s="311">
        <v>0</v>
      </c>
      <c r="H537" s="310" t="s">
        <v>563</v>
      </c>
      <c r="I537" s="310" t="s">
        <v>563</v>
      </c>
      <c r="J537" s="310" t="s">
        <v>563</v>
      </c>
      <c r="K537" s="312">
        <v>0</v>
      </c>
      <c r="L537" s="310">
        <v>0</v>
      </c>
      <c r="M537" s="310">
        <v>0</v>
      </c>
      <c r="N537" s="313" t="s">
        <v>563</v>
      </c>
      <c r="O537" s="314" t="s">
        <v>563</v>
      </c>
      <c r="P537" s="307">
        <f t="shared" si="159"/>
        <v>0</v>
      </c>
      <c r="R537" s="91" t="str">
        <f t="shared" si="155"/>
        <v/>
      </c>
      <c r="S53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7" s="307" t="str">
        <f t="shared" si="161"/>
        <v/>
      </c>
      <c r="U537" s="315" t="str">
        <f t="shared" si="162"/>
        <v/>
      </c>
      <c r="V537" s="307" t="str">
        <f t="shared" si="166"/>
        <v/>
      </c>
      <c r="W537" s="307" t="str">
        <f>IFERROR(IF(V537&gt;0,PROPER(Terbilang1(V537)&amp;" Rupiah"),0),"")</f>
        <v/>
      </c>
      <c r="X537" s="90" t="str">
        <f t="shared" si="167"/>
        <v/>
      </c>
      <c r="Y537" s="307" t="str">
        <f t="shared" si="168"/>
        <v/>
      </c>
      <c r="Z537" s="307">
        <f t="shared" si="163"/>
        <v>0</v>
      </c>
      <c r="AA537" s="366">
        <f t="shared" si="164"/>
        <v>0</v>
      </c>
      <c r="AB537" s="367">
        <f t="shared" si="169"/>
        <v>0</v>
      </c>
      <c r="AC537" s="305">
        <f t="shared" si="170"/>
        <v>0</v>
      </c>
      <c r="AP537" s="89" t="str">
        <f t="shared" si="158"/>
        <v/>
      </c>
      <c r="AQ537" s="89" t="str">
        <f t="shared" si="156"/>
        <v/>
      </c>
      <c r="AR537" s="315" t="str">
        <f t="shared" si="157"/>
        <v/>
      </c>
      <c r="AS537" s="305" t="str">
        <f t="shared" si="171"/>
        <v>0</v>
      </c>
      <c r="AT537" s="307">
        <f>Table22[[#This Row],[Column1]]</f>
        <v>0</v>
      </c>
    </row>
    <row r="538" spans="1:46" x14ac:dyDescent="0.3">
      <c r="A538" s="307">
        <f t="shared" si="165"/>
        <v>0</v>
      </c>
      <c r="B538" s="307">
        <f t="shared" si="154"/>
        <v>0</v>
      </c>
      <c r="C538" s="308" t="s">
        <v>563</v>
      </c>
      <c r="D538" s="309" t="s">
        <v>563</v>
      </c>
      <c r="E538" s="310">
        <v>0</v>
      </c>
      <c r="F538" s="310">
        <v>0</v>
      </c>
      <c r="G538" s="311">
        <v>0</v>
      </c>
      <c r="H538" s="310" t="s">
        <v>563</v>
      </c>
      <c r="I538" s="310" t="s">
        <v>563</v>
      </c>
      <c r="J538" s="310" t="s">
        <v>563</v>
      </c>
      <c r="K538" s="312">
        <v>0</v>
      </c>
      <c r="L538" s="310">
        <v>0</v>
      </c>
      <c r="M538" s="310">
        <v>0</v>
      </c>
      <c r="N538" s="313" t="s">
        <v>563</v>
      </c>
      <c r="O538" s="314" t="s">
        <v>563</v>
      </c>
      <c r="P538" s="307">
        <f t="shared" si="159"/>
        <v>0</v>
      </c>
      <c r="R538" s="91" t="str">
        <f t="shared" si="155"/>
        <v/>
      </c>
      <c r="S53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8" s="307" t="str">
        <f t="shared" si="161"/>
        <v/>
      </c>
      <c r="U538" s="315" t="str">
        <f t="shared" si="162"/>
        <v/>
      </c>
      <c r="V538" s="307" t="str">
        <f t="shared" si="166"/>
        <v/>
      </c>
      <c r="W538" s="307" t="str">
        <f>IFERROR(IF(V538&gt;0,PROPER(Terbilang1(V538)&amp;" Rupiah"),0),"")</f>
        <v/>
      </c>
      <c r="X538" s="90" t="str">
        <f t="shared" si="167"/>
        <v/>
      </c>
      <c r="Y538" s="307" t="str">
        <f t="shared" si="168"/>
        <v/>
      </c>
      <c r="Z538" s="307">
        <f t="shared" si="163"/>
        <v>0</v>
      </c>
      <c r="AA538" s="366">
        <f t="shared" si="164"/>
        <v>0</v>
      </c>
      <c r="AB538" s="367">
        <f t="shared" si="169"/>
        <v>0</v>
      </c>
      <c r="AC538" s="305">
        <f t="shared" si="170"/>
        <v>0</v>
      </c>
      <c r="AP538" s="89" t="str">
        <f t="shared" si="158"/>
        <v/>
      </c>
      <c r="AQ538" s="89" t="str">
        <f t="shared" si="156"/>
        <v/>
      </c>
      <c r="AR538" s="315" t="str">
        <f t="shared" si="157"/>
        <v/>
      </c>
      <c r="AS538" s="305" t="str">
        <f t="shared" si="171"/>
        <v>0</v>
      </c>
      <c r="AT538" s="307">
        <f>Table22[[#This Row],[Column1]]</f>
        <v>0</v>
      </c>
    </row>
    <row r="539" spans="1:46" x14ac:dyDescent="0.3">
      <c r="A539" s="307">
        <f t="shared" si="165"/>
        <v>0</v>
      </c>
      <c r="B539" s="307">
        <f t="shared" si="154"/>
        <v>0</v>
      </c>
      <c r="C539" s="308" t="s">
        <v>563</v>
      </c>
      <c r="D539" s="309" t="s">
        <v>563</v>
      </c>
      <c r="E539" s="310">
        <v>0</v>
      </c>
      <c r="F539" s="310">
        <v>0</v>
      </c>
      <c r="G539" s="311">
        <v>0</v>
      </c>
      <c r="H539" s="310" t="s">
        <v>563</v>
      </c>
      <c r="I539" s="310" t="s">
        <v>563</v>
      </c>
      <c r="J539" s="310" t="s">
        <v>563</v>
      </c>
      <c r="K539" s="312">
        <v>0</v>
      </c>
      <c r="L539" s="310">
        <v>0</v>
      </c>
      <c r="M539" s="310">
        <v>0</v>
      </c>
      <c r="N539" s="313" t="s">
        <v>563</v>
      </c>
      <c r="O539" s="314" t="s">
        <v>563</v>
      </c>
      <c r="P539" s="307">
        <f t="shared" si="159"/>
        <v>0</v>
      </c>
      <c r="R539" s="91" t="str">
        <f t="shared" si="155"/>
        <v/>
      </c>
      <c r="S53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39" s="307" t="str">
        <f t="shared" si="161"/>
        <v/>
      </c>
      <c r="U539" s="315" t="str">
        <f t="shared" si="162"/>
        <v/>
      </c>
      <c r="V539" s="307" t="str">
        <f t="shared" si="166"/>
        <v/>
      </c>
      <c r="W539" s="307" t="str">
        <f>IFERROR(IF(V539&gt;0,PROPER(Terbilang1(V539)&amp;" Rupiah"),0),"")</f>
        <v/>
      </c>
      <c r="X539" s="90" t="str">
        <f t="shared" si="167"/>
        <v/>
      </c>
      <c r="Y539" s="307" t="str">
        <f t="shared" si="168"/>
        <v/>
      </c>
      <c r="Z539" s="307">
        <f t="shared" si="163"/>
        <v>0</v>
      </c>
      <c r="AA539" s="366">
        <f t="shared" si="164"/>
        <v>0</v>
      </c>
      <c r="AB539" s="367">
        <f t="shared" si="169"/>
        <v>0</v>
      </c>
      <c r="AC539" s="305">
        <f t="shared" si="170"/>
        <v>0</v>
      </c>
      <c r="AP539" s="89" t="str">
        <f t="shared" si="158"/>
        <v/>
      </c>
      <c r="AQ539" s="89" t="str">
        <f t="shared" si="156"/>
        <v/>
      </c>
      <c r="AR539" s="315" t="str">
        <f t="shared" si="157"/>
        <v/>
      </c>
      <c r="AS539" s="305" t="str">
        <f t="shared" si="171"/>
        <v>0</v>
      </c>
      <c r="AT539" s="307">
        <f>Table22[[#This Row],[Column1]]</f>
        <v>0</v>
      </c>
    </row>
    <row r="540" spans="1:46" x14ac:dyDescent="0.3">
      <c r="A540" s="307">
        <f t="shared" si="165"/>
        <v>0</v>
      </c>
      <c r="B540" s="307">
        <f t="shared" si="154"/>
        <v>0</v>
      </c>
      <c r="C540" s="308" t="s">
        <v>563</v>
      </c>
      <c r="D540" s="309" t="s">
        <v>563</v>
      </c>
      <c r="E540" s="310">
        <v>0</v>
      </c>
      <c r="F540" s="310">
        <v>0</v>
      </c>
      <c r="G540" s="311">
        <v>0</v>
      </c>
      <c r="H540" s="310" t="s">
        <v>563</v>
      </c>
      <c r="I540" s="310" t="s">
        <v>563</v>
      </c>
      <c r="J540" s="310" t="s">
        <v>563</v>
      </c>
      <c r="K540" s="312">
        <v>0</v>
      </c>
      <c r="L540" s="310">
        <v>0</v>
      </c>
      <c r="M540" s="310">
        <v>0</v>
      </c>
      <c r="N540" s="313" t="s">
        <v>563</v>
      </c>
      <c r="O540" s="314" t="s">
        <v>563</v>
      </c>
      <c r="P540" s="307">
        <f t="shared" si="159"/>
        <v>0</v>
      </c>
      <c r="R540" s="91" t="str">
        <f t="shared" si="155"/>
        <v/>
      </c>
      <c r="S54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0" s="307" t="str">
        <f t="shared" si="161"/>
        <v/>
      </c>
      <c r="U540" s="315" t="str">
        <f t="shared" si="162"/>
        <v/>
      </c>
      <c r="V540" s="307" t="str">
        <f t="shared" si="166"/>
        <v/>
      </c>
      <c r="W540" s="307" t="str">
        <f>IFERROR(IF(V540&gt;0,PROPER(Terbilang1(V540)&amp;" Rupiah"),0),"")</f>
        <v/>
      </c>
      <c r="X540" s="90" t="str">
        <f t="shared" si="167"/>
        <v/>
      </c>
      <c r="Y540" s="307" t="str">
        <f t="shared" si="168"/>
        <v/>
      </c>
      <c r="Z540" s="307">
        <f t="shared" si="163"/>
        <v>0</v>
      </c>
      <c r="AA540" s="366">
        <f t="shared" si="164"/>
        <v>0</v>
      </c>
      <c r="AB540" s="367">
        <f t="shared" si="169"/>
        <v>0</v>
      </c>
      <c r="AC540" s="305">
        <f t="shared" si="170"/>
        <v>0</v>
      </c>
      <c r="AP540" s="89" t="str">
        <f t="shared" si="158"/>
        <v/>
      </c>
      <c r="AQ540" s="89" t="str">
        <f t="shared" si="156"/>
        <v/>
      </c>
      <c r="AR540" s="315" t="str">
        <f t="shared" si="157"/>
        <v/>
      </c>
      <c r="AS540" s="305" t="str">
        <f t="shared" si="171"/>
        <v>0</v>
      </c>
      <c r="AT540" s="307">
        <f>Table22[[#This Row],[Column1]]</f>
        <v>0</v>
      </c>
    </row>
    <row r="541" spans="1:46" x14ac:dyDescent="0.3">
      <c r="A541" s="307">
        <f t="shared" si="165"/>
        <v>0</v>
      </c>
      <c r="B541" s="307">
        <f t="shared" si="154"/>
        <v>0</v>
      </c>
      <c r="C541" s="308" t="s">
        <v>563</v>
      </c>
      <c r="D541" s="309" t="s">
        <v>563</v>
      </c>
      <c r="E541" s="310">
        <v>0</v>
      </c>
      <c r="F541" s="310">
        <v>0</v>
      </c>
      <c r="G541" s="311">
        <v>0</v>
      </c>
      <c r="H541" s="310" t="s">
        <v>563</v>
      </c>
      <c r="I541" s="310" t="s">
        <v>563</v>
      </c>
      <c r="J541" s="310" t="s">
        <v>563</v>
      </c>
      <c r="K541" s="312">
        <v>0</v>
      </c>
      <c r="L541" s="310">
        <v>0</v>
      </c>
      <c r="M541" s="310">
        <v>0</v>
      </c>
      <c r="N541" s="313" t="s">
        <v>563</v>
      </c>
      <c r="O541" s="314" t="s">
        <v>563</v>
      </c>
      <c r="P541" s="307">
        <f t="shared" si="159"/>
        <v>0</v>
      </c>
      <c r="R541" s="91" t="str">
        <f t="shared" si="155"/>
        <v/>
      </c>
      <c r="S54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1" s="307" t="str">
        <f t="shared" si="161"/>
        <v/>
      </c>
      <c r="U541" s="315" t="str">
        <f t="shared" si="162"/>
        <v/>
      </c>
      <c r="V541" s="307" t="str">
        <f>N541</f>
        <v/>
      </c>
      <c r="W541" s="307" t="str">
        <f>IFERROR(IF(V541&gt;0,PROPER(Terbilang1(V541)&amp;" Rupiah"),0),"")</f>
        <v/>
      </c>
      <c r="X541" s="90" t="str">
        <f t="shared" si="167"/>
        <v/>
      </c>
      <c r="Y541" s="307" t="str">
        <f t="shared" si="168"/>
        <v/>
      </c>
      <c r="Z541" s="307">
        <f t="shared" si="163"/>
        <v>0</v>
      </c>
      <c r="AA541" s="366">
        <f t="shared" si="164"/>
        <v>0</v>
      </c>
      <c r="AB541" s="367">
        <f t="shared" si="169"/>
        <v>0</v>
      </c>
      <c r="AC541" s="305">
        <f t="shared" si="170"/>
        <v>0</v>
      </c>
      <c r="AP541" s="89" t="str">
        <f t="shared" si="158"/>
        <v/>
      </c>
      <c r="AQ541" s="89" t="str">
        <f t="shared" si="156"/>
        <v/>
      </c>
      <c r="AR541" s="315" t="str">
        <f t="shared" si="157"/>
        <v/>
      </c>
      <c r="AS541" s="305" t="str">
        <f t="shared" si="171"/>
        <v>0</v>
      </c>
      <c r="AT541" s="307">
        <f>Table22[[#This Row],[Column1]]</f>
        <v>0</v>
      </c>
    </row>
    <row r="542" spans="1:46" x14ac:dyDescent="0.3">
      <c r="A542" s="307">
        <f t="shared" si="165"/>
        <v>0</v>
      </c>
      <c r="B542" s="307">
        <f t="shared" si="154"/>
        <v>0</v>
      </c>
      <c r="C542" s="308" t="s">
        <v>563</v>
      </c>
      <c r="D542" s="309" t="s">
        <v>563</v>
      </c>
      <c r="E542" s="310">
        <v>0</v>
      </c>
      <c r="F542" s="310">
        <v>0</v>
      </c>
      <c r="G542" s="311">
        <v>0</v>
      </c>
      <c r="H542" s="310" t="s">
        <v>563</v>
      </c>
      <c r="I542" s="310" t="s">
        <v>563</v>
      </c>
      <c r="J542" s="310" t="s">
        <v>563</v>
      </c>
      <c r="K542" s="312">
        <v>0</v>
      </c>
      <c r="L542" s="310">
        <v>0</v>
      </c>
      <c r="M542" s="310">
        <v>0</v>
      </c>
      <c r="N542" s="313" t="s">
        <v>563</v>
      </c>
      <c r="O542" s="314" t="s">
        <v>563</v>
      </c>
      <c r="P542" s="307">
        <f t="shared" si="159"/>
        <v>0</v>
      </c>
      <c r="R542" s="91" t="str">
        <f t="shared" si="155"/>
        <v/>
      </c>
      <c r="S54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2" s="307" t="str">
        <f t="shared" si="161"/>
        <v/>
      </c>
      <c r="U542" s="315" t="str">
        <f t="shared" si="162"/>
        <v/>
      </c>
      <c r="V542" s="307" t="str">
        <f>N542</f>
        <v/>
      </c>
      <c r="W542" s="307" t="str">
        <f>IFERROR(IF(V542&gt;0,PROPER(Terbilang1(V542)&amp;" Rupiah"),0),"")</f>
        <v/>
      </c>
      <c r="X542" s="90" t="str">
        <f t="shared" si="167"/>
        <v/>
      </c>
      <c r="Y542" s="307" t="str">
        <f t="shared" si="168"/>
        <v/>
      </c>
      <c r="Z542" s="307">
        <f t="shared" si="163"/>
        <v>0</v>
      </c>
      <c r="AA542" s="366">
        <f t="shared" si="164"/>
        <v>0</v>
      </c>
      <c r="AB542" s="367">
        <f t="shared" si="169"/>
        <v>0</v>
      </c>
      <c r="AC542" s="305">
        <f t="shared" si="170"/>
        <v>0</v>
      </c>
      <c r="AP542" s="89" t="str">
        <f t="shared" si="158"/>
        <v/>
      </c>
      <c r="AQ542" s="89" t="str">
        <f t="shared" si="156"/>
        <v/>
      </c>
      <c r="AR542" s="315" t="str">
        <f t="shared" si="157"/>
        <v/>
      </c>
      <c r="AS542" s="305" t="str">
        <f t="shared" si="171"/>
        <v>0</v>
      </c>
      <c r="AT542" s="307">
        <f>Table22[[#This Row],[Column1]]</f>
        <v>0</v>
      </c>
    </row>
    <row r="543" spans="1:46" x14ac:dyDescent="0.3">
      <c r="A543" s="307">
        <f t="shared" si="165"/>
        <v>0</v>
      </c>
      <c r="B543" s="307">
        <f t="shared" si="154"/>
        <v>0</v>
      </c>
      <c r="C543" s="308" t="s">
        <v>563</v>
      </c>
      <c r="D543" s="309" t="s">
        <v>563</v>
      </c>
      <c r="E543" s="310">
        <v>0</v>
      </c>
      <c r="F543" s="310">
        <v>0</v>
      </c>
      <c r="G543" s="311">
        <v>0</v>
      </c>
      <c r="H543" s="310" t="s">
        <v>563</v>
      </c>
      <c r="I543" s="310" t="s">
        <v>563</v>
      </c>
      <c r="J543" s="310" t="s">
        <v>563</v>
      </c>
      <c r="K543" s="312">
        <v>0</v>
      </c>
      <c r="L543" s="310">
        <v>0</v>
      </c>
      <c r="M543" s="310">
        <v>0</v>
      </c>
      <c r="N543" s="313" t="s">
        <v>563</v>
      </c>
      <c r="O543" s="314" t="s">
        <v>563</v>
      </c>
      <c r="P543" s="307">
        <f t="shared" si="159"/>
        <v>0</v>
      </c>
      <c r="R543" s="91" t="str">
        <f t="shared" si="155"/>
        <v/>
      </c>
      <c r="S54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3" s="307" t="str">
        <f t="shared" si="161"/>
        <v/>
      </c>
      <c r="U543" s="315" t="str">
        <f t="shared" si="162"/>
        <v/>
      </c>
      <c r="V543" s="307" t="str">
        <f t="shared" si="166"/>
        <v/>
      </c>
      <c r="W543" s="307" t="str">
        <f>IFERROR(IF(V543&gt;0,PROPER(Terbilang1(V543)&amp;" Rupiah"),0),"")</f>
        <v/>
      </c>
      <c r="X543" s="90" t="str">
        <f t="shared" si="167"/>
        <v/>
      </c>
      <c r="Y543" s="307" t="str">
        <f t="shared" si="168"/>
        <v/>
      </c>
      <c r="Z543" s="307">
        <f t="shared" si="163"/>
        <v>0</v>
      </c>
      <c r="AA543" s="366">
        <f t="shared" si="164"/>
        <v>0</v>
      </c>
      <c r="AB543" s="367">
        <f t="shared" si="169"/>
        <v>0</v>
      </c>
      <c r="AC543" s="305">
        <f t="shared" si="170"/>
        <v>0</v>
      </c>
      <c r="AP543" s="89" t="str">
        <f t="shared" si="158"/>
        <v/>
      </c>
      <c r="AQ543" s="89" t="str">
        <f t="shared" si="156"/>
        <v/>
      </c>
      <c r="AR543" s="315" t="str">
        <f t="shared" si="157"/>
        <v/>
      </c>
      <c r="AS543" s="305" t="str">
        <f t="shared" si="171"/>
        <v>0</v>
      </c>
      <c r="AT543" s="307">
        <f>Table22[[#This Row],[Column1]]</f>
        <v>0</v>
      </c>
    </row>
    <row r="544" spans="1:46" x14ac:dyDescent="0.3">
      <c r="A544" s="307">
        <f t="shared" si="165"/>
        <v>0</v>
      </c>
      <c r="B544" s="307">
        <f t="shared" si="154"/>
        <v>0</v>
      </c>
      <c r="C544" s="308" t="s">
        <v>563</v>
      </c>
      <c r="D544" s="309" t="s">
        <v>563</v>
      </c>
      <c r="E544" s="310">
        <v>0</v>
      </c>
      <c r="F544" s="310">
        <v>0</v>
      </c>
      <c r="G544" s="311">
        <v>0</v>
      </c>
      <c r="H544" s="310" t="s">
        <v>563</v>
      </c>
      <c r="I544" s="310" t="s">
        <v>563</v>
      </c>
      <c r="J544" s="310" t="s">
        <v>563</v>
      </c>
      <c r="K544" s="312">
        <v>0</v>
      </c>
      <c r="L544" s="310">
        <v>0</v>
      </c>
      <c r="M544" s="310">
        <v>0</v>
      </c>
      <c r="N544" s="313" t="s">
        <v>563</v>
      </c>
      <c r="O544" s="314" t="s">
        <v>563</v>
      </c>
      <c r="P544" s="307">
        <f t="shared" si="159"/>
        <v>0</v>
      </c>
      <c r="R544" s="91" t="str">
        <f t="shared" si="155"/>
        <v/>
      </c>
      <c r="S54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4" s="307" t="str">
        <f t="shared" si="161"/>
        <v/>
      </c>
      <c r="U544" s="315" t="str">
        <f t="shared" si="162"/>
        <v/>
      </c>
      <c r="V544" s="307" t="str">
        <f t="shared" si="166"/>
        <v/>
      </c>
      <c r="W544" s="307" t="str">
        <f>IFERROR(IF(V544&gt;0,PROPER(Terbilang1(V544)&amp;" Rupiah"),0),"")</f>
        <v/>
      </c>
      <c r="X544" s="90" t="str">
        <f t="shared" si="167"/>
        <v/>
      </c>
      <c r="Y544" s="307" t="str">
        <f t="shared" si="168"/>
        <v/>
      </c>
      <c r="Z544" s="307">
        <f t="shared" si="163"/>
        <v>0</v>
      </c>
      <c r="AA544" s="366">
        <f t="shared" si="164"/>
        <v>0</v>
      </c>
      <c r="AB544" s="367">
        <f t="shared" si="169"/>
        <v>0</v>
      </c>
      <c r="AC544" s="305">
        <f t="shared" si="170"/>
        <v>0</v>
      </c>
      <c r="AP544" s="89" t="str">
        <f t="shared" si="158"/>
        <v/>
      </c>
      <c r="AQ544" s="89" t="str">
        <f t="shared" si="156"/>
        <v/>
      </c>
      <c r="AR544" s="315" t="str">
        <f t="shared" si="157"/>
        <v/>
      </c>
      <c r="AS544" s="305" t="str">
        <f t="shared" si="171"/>
        <v>0</v>
      </c>
      <c r="AT544" s="307">
        <f>Table22[[#This Row],[Column1]]</f>
        <v>0</v>
      </c>
    </row>
    <row r="545" spans="1:46" x14ac:dyDescent="0.3">
      <c r="A545" s="307">
        <f t="shared" si="165"/>
        <v>0</v>
      </c>
      <c r="B545" s="307">
        <f t="shared" si="154"/>
        <v>0</v>
      </c>
      <c r="C545" s="308" t="s">
        <v>563</v>
      </c>
      <c r="D545" s="309" t="s">
        <v>563</v>
      </c>
      <c r="E545" s="310">
        <v>0</v>
      </c>
      <c r="F545" s="310">
        <v>0</v>
      </c>
      <c r="G545" s="311">
        <v>0</v>
      </c>
      <c r="H545" s="310" t="s">
        <v>563</v>
      </c>
      <c r="I545" s="310" t="s">
        <v>563</v>
      </c>
      <c r="J545" s="310" t="s">
        <v>563</v>
      </c>
      <c r="K545" s="312">
        <v>0</v>
      </c>
      <c r="L545" s="310">
        <v>0</v>
      </c>
      <c r="M545" s="310">
        <v>0</v>
      </c>
      <c r="N545" s="313" t="s">
        <v>563</v>
      </c>
      <c r="O545" s="314" t="s">
        <v>563</v>
      </c>
      <c r="P545" s="307">
        <f t="shared" si="159"/>
        <v>0</v>
      </c>
      <c r="R545" s="91" t="str">
        <f t="shared" si="155"/>
        <v/>
      </c>
      <c r="S54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5" s="307" t="str">
        <f t="shared" si="161"/>
        <v/>
      </c>
      <c r="U545" s="315" t="str">
        <f t="shared" si="162"/>
        <v/>
      </c>
      <c r="V545" s="307" t="str">
        <f t="shared" si="166"/>
        <v/>
      </c>
      <c r="W545" s="307" t="str">
        <f>IFERROR(IF(V545&gt;0,PROPER(Terbilang1(V545)&amp;" Rupiah"),0),"")</f>
        <v/>
      </c>
      <c r="X545" s="90" t="str">
        <f t="shared" si="167"/>
        <v/>
      </c>
      <c r="Y545" s="307" t="str">
        <f t="shared" si="168"/>
        <v/>
      </c>
      <c r="Z545" s="307">
        <f t="shared" si="163"/>
        <v>0</v>
      </c>
      <c r="AA545" s="366">
        <f t="shared" si="164"/>
        <v>0</v>
      </c>
      <c r="AB545" s="367">
        <f t="shared" si="169"/>
        <v>0</v>
      </c>
      <c r="AC545" s="305">
        <f t="shared" si="170"/>
        <v>0</v>
      </c>
      <c r="AP545" s="89" t="str">
        <f t="shared" si="158"/>
        <v/>
      </c>
      <c r="AQ545" s="89" t="str">
        <f t="shared" si="156"/>
        <v/>
      </c>
      <c r="AR545" s="315" t="str">
        <f t="shared" si="157"/>
        <v/>
      </c>
      <c r="AS545" s="305" t="str">
        <f t="shared" si="171"/>
        <v>0</v>
      </c>
      <c r="AT545" s="307">
        <f>Table22[[#This Row],[Column1]]</f>
        <v>0</v>
      </c>
    </row>
    <row r="546" spans="1:46" x14ac:dyDescent="0.3">
      <c r="A546" s="307">
        <f t="shared" si="165"/>
        <v>0</v>
      </c>
      <c r="B546" s="307">
        <f t="shared" si="154"/>
        <v>0</v>
      </c>
      <c r="C546" s="308" t="s">
        <v>563</v>
      </c>
      <c r="D546" s="309" t="s">
        <v>563</v>
      </c>
      <c r="E546" s="310">
        <v>0</v>
      </c>
      <c r="F546" s="310">
        <v>0</v>
      </c>
      <c r="G546" s="311">
        <v>0</v>
      </c>
      <c r="H546" s="310" t="s">
        <v>563</v>
      </c>
      <c r="I546" s="310" t="s">
        <v>563</v>
      </c>
      <c r="J546" s="310" t="s">
        <v>563</v>
      </c>
      <c r="K546" s="312">
        <v>0</v>
      </c>
      <c r="L546" s="310">
        <v>0</v>
      </c>
      <c r="M546" s="310">
        <v>0</v>
      </c>
      <c r="N546" s="313" t="s">
        <v>563</v>
      </c>
      <c r="O546" s="314" t="s">
        <v>563</v>
      </c>
      <c r="P546" s="307">
        <f t="shared" si="159"/>
        <v>0</v>
      </c>
      <c r="R546" s="91" t="str">
        <f t="shared" si="155"/>
        <v/>
      </c>
      <c r="S54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6" s="307" t="str">
        <f t="shared" si="161"/>
        <v/>
      </c>
      <c r="U546" s="315" t="str">
        <f t="shared" si="162"/>
        <v/>
      </c>
      <c r="V546" s="307" t="str">
        <f t="shared" si="166"/>
        <v/>
      </c>
      <c r="W546" s="307" t="str">
        <f>IFERROR(IF(V546&gt;0,PROPER(Terbilang1(V546)&amp;" Rupiah"),0),"")</f>
        <v/>
      </c>
      <c r="X546" s="90" t="str">
        <f t="shared" si="167"/>
        <v/>
      </c>
      <c r="Y546" s="307" t="str">
        <f t="shared" si="168"/>
        <v/>
      </c>
      <c r="Z546" s="307">
        <f t="shared" si="163"/>
        <v>0</v>
      </c>
      <c r="AA546" s="366">
        <f t="shared" si="164"/>
        <v>0</v>
      </c>
      <c r="AB546" s="367">
        <f t="shared" si="169"/>
        <v>0</v>
      </c>
      <c r="AC546" s="305">
        <f t="shared" si="170"/>
        <v>0</v>
      </c>
      <c r="AP546" s="89" t="str">
        <f t="shared" si="158"/>
        <v/>
      </c>
      <c r="AQ546" s="89" t="str">
        <f t="shared" si="156"/>
        <v/>
      </c>
      <c r="AR546" s="315" t="str">
        <f t="shared" si="157"/>
        <v/>
      </c>
      <c r="AS546" s="305" t="str">
        <f t="shared" si="171"/>
        <v>0</v>
      </c>
      <c r="AT546" s="307">
        <f>Table22[[#This Row],[Column1]]</f>
        <v>0</v>
      </c>
    </row>
    <row r="547" spans="1:46" x14ac:dyDescent="0.3">
      <c r="A547" s="307">
        <f t="shared" si="165"/>
        <v>0</v>
      </c>
      <c r="B547" s="307">
        <f t="shared" si="154"/>
        <v>0</v>
      </c>
      <c r="C547" s="308" t="s">
        <v>563</v>
      </c>
      <c r="D547" s="309" t="s">
        <v>563</v>
      </c>
      <c r="E547" s="310">
        <v>0</v>
      </c>
      <c r="F547" s="310">
        <v>0</v>
      </c>
      <c r="G547" s="311">
        <v>0</v>
      </c>
      <c r="H547" s="310" t="s">
        <v>563</v>
      </c>
      <c r="I547" s="310" t="s">
        <v>563</v>
      </c>
      <c r="J547" s="310" t="s">
        <v>563</v>
      </c>
      <c r="K547" s="312">
        <v>0</v>
      </c>
      <c r="L547" s="310">
        <v>0</v>
      </c>
      <c r="M547" s="310">
        <v>0</v>
      </c>
      <c r="N547" s="313" t="s">
        <v>563</v>
      </c>
      <c r="O547" s="314" t="s">
        <v>563</v>
      </c>
      <c r="P547" s="307">
        <f t="shared" si="159"/>
        <v>0</v>
      </c>
      <c r="R547" s="91" t="str">
        <f t="shared" si="155"/>
        <v/>
      </c>
      <c r="S54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7" s="307" t="str">
        <f t="shared" si="161"/>
        <v/>
      </c>
      <c r="U547" s="315" t="str">
        <f t="shared" si="162"/>
        <v/>
      </c>
      <c r="V547" s="307" t="str">
        <f>N547</f>
        <v/>
      </c>
      <c r="W547" s="307" t="str">
        <f>IFERROR(IF(V547&gt;0,PROPER(Terbilang1(V547)&amp;" Rupiah"),0),"")</f>
        <v/>
      </c>
      <c r="X547" s="90" t="str">
        <f t="shared" si="167"/>
        <v/>
      </c>
      <c r="Y547" s="307" t="str">
        <f t="shared" si="168"/>
        <v/>
      </c>
      <c r="Z547" s="307">
        <f t="shared" si="163"/>
        <v>0</v>
      </c>
      <c r="AA547" s="366">
        <f t="shared" si="164"/>
        <v>0</v>
      </c>
      <c r="AB547" s="367">
        <f t="shared" si="169"/>
        <v>0</v>
      </c>
      <c r="AC547" s="305">
        <f t="shared" si="170"/>
        <v>0</v>
      </c>
      <c r="AP547" s="89" t="str">
        <f t="shared" si="158"/>
        <v/>
      </c>
      <c r="AQ547" s="89" t="str">
        <f t="shared" si="156"/>
        <v/>
      </c>
      <c r="AR547" s="315" t="str">
        <f t="shared" si="157"/>
        <v/>
      </c>
      <c r="AS547" s="305" t="str">
        <f t="shared" si="171"/>
        <v>0</v>
      </c>
      <c r="AT547" s="307">
        <f>Table22[[#This Row],[Column1]]</f>
        <v>0</v>
      </c>
    </row>
    <row r="548" spans="1:46" x14ac:dyDescent="0.3">
      <c r="A548" s="307">
        <f t="shared" si="165"/>
        <v>0</v>
      </c>
      <c r="B548" s="307">
        <f t="shared" si="154"/>
        <v>0</v>
      </c>
      <c r="C548" s="308" t="s">
        <v>563</v>
      </c>
      <c r="D548" s="309" t="s">
        <v>563</v>
      </c>
      <c r="E548" s="310">
        <v>0</v>
      </c>
      <c r="F548" s="310">
        <v>0</v>
      </c>
      <c r="G548" s="311">
        <v>0</v>
      </c>
      <c r="H548" s="310" t="s">
        <v>563</v>
      </c>
      <c r="I548" s="310" t="s">
        <v>563</v>
      </c>
      <c r="J548" s="310" t="s">
        <v>563</v>
      </c>
      <c r="K548" s="312">
        <v>0</v>
      </c>
      <c r="L548" s="310">
        <v>0</v>
      </c>
      <c r="M548" s="310">
        <v>0</v>
      </c>
      <c r="N548" s="313" t="s">
        <v>563</v>
      </c>
      <c r="O548" s="314" t="s">
        <v>563</v>
      </c>
      <c r="P548" s="307">
        <f t="shared" si="159"/>
        <v>0</v>
      </c>
      <c r="R548" s="91" t="str">
        <f t="shared" si="155"/>
        <v/>
      </c>
      <c r="S54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8" s="307" t="str">
        <f t="shared" si="161"/>
        <v/>
      </c>
      <c r="U548" s="315" t="str">
        <f t="shared" si="162"/>
        <v/>
      </c>
      <c r="V548" s="307" t="str">
        <f t="shared" si="166"/>
        <v/>
      </c>
      <c r="W548" s="307" t="str">
        <f>IFERROR(IF(V548&gt;0,PROPER(Terbilang1(V548)&amp;" Rupiah"),0),"")</f>
        <v/>
      </c>
      <c r="X548" s="90" t="str">
        <f t="shared" si="167"/>
        <v/>
      </c>
      <c r="Y548" s="307" t="str">
        <f t="shared" si="168"/>
        <v/>
      </c>
      <c r="Z548" s="307">
        <f t="shared" si="163"/>
        <v>0</v>
      </c>
      <c r="AA548" s="366">
        <f t="shared" si="164"/>
        <v>0</v>
      </c>
      <c r="AB548" s="367">
        <f t="shared" si="169"/>
        <v>0</v>
      </c>
      <c r="AC548" s="305">
        <f t="shared" si="170"/>
        <v>0</v>
      </c>
      <c r="AP548" s="89" t="str">
        <f t="shared" si="158"/>
        <v/>
      </c>
      <c r="AQ548" s="89" t="str">
        <f t="shared" si="156"/>
        <v/>
      </c>
      <c r="AR548" s="315" t="str">
        <f t="shared" si="157"/>
        <v/>
      </c>
      <c r="AS548" s="305" t="str">
        <f t="shared" si="171"/>
        <v>0</v>
      </c>
      <c r="AT548" s="307">
        <f>Table22[[#This Row],[Column1]]</f>
        <v>0</v>
      </c>
    </row>
    <row r="549" spans="1:46" x14ac:dyDescent="0.3">
      <c r="A549" s="307">
        <f t="shared" si="165"/>
        <v>0</v>
      </c>
      <c r="B549" s="307">
        <f t="shared" ref="B549:B612" si="172">IF(LEFT(F549,2)="MA","Jasa",IF(LEFT(F549,1)="G","Bayar Ongkos",IF(LEFT(F549,1)="M","Beli",0)))</f>
        <v>0</v>
      </c>
      <c r="C549" s="308" t="s">
        <v>563</v>
      </c>
      <c r="D549" s="309" t="s">
        <v>563</v>
      </c>
      <c r="E549" s="310">
        <v>0</v>
      </c>
      <c r="F549" s="310">
        <v>0</v>
      </c>
      <c r="G549" s="311">
        <v>0</v>
      </c>
      <c r="H549" s="310" t="s">
        <v>563</v>
      </c>
      <c r="I549" s="310" t="s">
        <v>563</v>
      </c>
      <c r="J549" s="310" t="s">
        <v>563</v>
      </c>
      <c r="K549" s="312">
        <v>0</v>
      </c>
      <c r="L549" s="310">
        <v>0</v>
      </c>
      <c r="M549" s="310">
        <v>0</v>
      </c>
      <c r="N549" s="313" t="s">
        <v>563</v>
      </c>
      <c r="O549" s="314" t="s">
        <v>563</v>
      </c>
      <c r="P549" s="307">
        <f t="shared" si="159"/>
        <v>0</v>
      </c>
      <c r="R549" s="91" t="str">
        <f t="shared" ref="R549:R612" si="173">IF(LEFT(F549,2)="ma",F549,IF(LEFT(F549,1)="m",E549,IF(LEFT(F549,1)="b",E549,IF(LEFT(F549,1)="G",F549,""))))</f>
        <v/>
      </c>
      <c r="S54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49" s="307" t="str">
        <f t="shared" si="161"/>
        <v/>
      </c>
      <c r="U549" s="315" t="str">
        <f t="shared" si="162"/>
        <v/>
      </c>
      <c r="V549" s="307" t="str">
        <f t="shared" si="166"/>
        <v/>
      </c>
      <c r="W549" s="307" t="str">
        <f>IFERROR(IF(V549&gt;0,PROPER(Terbilang1(V549)&amp;" Rupiah"),0),"")</f>
        <v/>
      </c>
      <c r="X549" s="90" t="str">
        <f t="shared" si="167"/>
        <v/>
      </c>
      <c r="Y549" s="307" t="str">
        <f t="shared" si="168"/>
        <v/>
      </c>
      <c r="Z549" s="307">
        <f t="shared" si="163"/>
        <v>0</v>
      </c>
      <c r="AA549" s="366">
        <f t="shared" si="164"/>
        <v>0</v>
      </c>
      <c r="AB549" s="367">
        <f t="shared" si="169"/>
        <v>0</v>
      </c>
      <c r="AC549" s="305">
        <f t="shared" si="170"/>
        <v>0</v>
      </c>
      <c r="AP549" s="89" t="str">
        <f t="shared" si="158"/>
        <v/>
      </c>
      <c r="AQ549" s="89" t="str">
        <f t="shared" si="156"/>
        <v/>
      </c>
      <c r="AR549" s="315" t="str">
        <f t="shared" si="157"/>
        <v/>
      </c>
      <c r="AS549" s="305" t="str">
        <f t="shared" si="171"/>
        <v>0</v>
      </c>
      <c r="AT549" s="307">
        <f>Table22[[#This Row],[Column1]]</f>
        <v>0</v>
      </c>
    </row>
    <row r="550" spans="1:46" x14ac:dyDescent="0.3">
      <c r="A550" s="307">
        <f t="shared" si="165"/>
        <v>0</v>
      </c>
      <c r="B550" s="307">
        <f t="shared" si="172"/>
        <v>0</v>
      </c>
      <c r="C550" s="308" t="s">
        <v>563</v>
      </c>
      <c r="D550" s="309" t="s">
        <v>563</v>
      </c>
      <c r="E550" s="310">
        <v>0</v>
      </c>
      <c r="F550" s="310">
        <v>0</v>
      </c>
      <c r="G550" s="311">
        <v>0</v>
      </c>
      <c r="H550" s="310" t="s">
        <v>563</v>
      </c>
      <c r="I550" s="310" t="s">
        <v>563</v>
      </c>
      <c r="J550" s="310" t="s">
        <v>563</v>
      </c>
      <c r="K550" s="312">
        <v>0</v>
      </c>
      <c r="L550" s="310">
        <v>0</v>
      </c>
      <c r="M550" s="310">
        <v>0</v>
      </c>
      <c r="N550" s="313" t="s">
        <v>563</v>
      </c>
      <c r="O550" s="314" t="s">
        <v>563</v>
      </c>
      <c r="P550" s="307">
        <f t="shared" si="159"/>
        <v>0</v>
      </c>
      <c r="R550" s="91" t="str">
        <f t="shared" si="173"/>
        <v/>
      </c>
      <c r="S55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0" s="307" t="str">
        <f t="shared" si="161"/>
        <v/>
      </c>
      <c r="U550" s="315" t="str">
        <f t="shared" si="162"/>
        <v/>
      </c>
      <c r="V550" s="307" t="str">
        <f t="shared" si="166"/>
        <v/>
      </c>
      <c r="W550" s="307" t="str">
        <f>IFERROR(IF(V550&gt;0,PROPER(Terbilang1(V550)&amp;" Rupiah"),0),"")</f>
        <v/>
      </c>
      <c r="X550" s="90" t="str">
        <f t="shared" si="167"/>
        <v/>
      </c>
      <c r="Y550" s="307" t="str">
        <f t="shared" si="168"/>
        <v/>
      </c>
      <c r="Z550" s="307">
        <f t="shared" si="163"/>
        <v>0</v>
      </c>
      <c r="AA550" s="366">
        <f t="shared" si="164"/>
        <v>0</v>
      </c>
      <c r="AB550" s="367">
        <f t="shared" si="169"/>
        <v>0</v>
      </c>
      <c r="AC550" s="305">
        <f t="shared" si="170"/>
        <v>0</v>
      </c>
      <c r="AP550" s="89" t="str">
        <f t="shared" si="158"/>
        <v/>
      </c>
      <c r="AQ550" s="89" t="str">
        <f t="shared" si="156"/>
        <v/>
      </c>
      <c r="AR550" s="315" t="str">
        <f t="shared" si="157"/>
        <v/>
      </c>
      <c r="AS550" s="305" t="str">
        <f t="shared" si="171"/>
        <v>0</v>
      </c>
      <c r="AT550" s="307">
        <f>Table22[[#This Row],[Column1]]</f>
        <v>0</v>
      </c>
    </row>
    <row r="551" spans="1:46" x14ac:dyDescent="0.3">
      <c r="A551" s="307">
        <f t="shared" si="165"/>
        <v>0</v>
      </c>
      <c r="B551" s="307">
        <f t="shared" si="172"/>
        <v>0</v>
      </c>
      <c r="C551" s="308" t="s">
        <v>563</v>
      </c>
      <c r="D551" s="309" t="s">
        <v>563</v>
      </c>
      <c r="E551" s="310">
        <v>0</v>
      </c>
      <c r="F551" s="310">
        <v>0</v>
      </c>
      <c r="G551" s="311">
        <v>0</v>
      </c>
      <c r="H551" s="310" t="s">
        <v>563</v>
      </c>
      <c r="I551" s="310" t="s">
        <v>563</v>
      </c>
      <c r="J551" s="310" t="s">
        <v>563</v>
      </c>
      <c r="K551" s="312">
        <v>0</v>
      </c>
      <c r="L551" s="310">
        <v>0</v>
      </c>
      <c r="M551" s="310">
        <v>0</v>
      </c>
      <c r="N551" s="313" t="s">
        <v>563</v>
      </c>
      <c r="O551" s="314" t="s">
        <v>563</v>
      </c>
      <c r="P551" s="307">
        <f t="shared" si="159"/>
        <v>0</v>
      </c>
      <c r="R551" s="91" t="str">
        <f t="shared" si="173"/>
        <v/>
      </c>
      <c r="S55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1" s="307" t="str">
        <f t="shared" si="161"/>
        <v/>
      </c>
      <c r="U551" s="315" t="str">
        <f t="shared" si="162"/>
        <v/>
      </c>
      <c r="V551" s="307" t="str">
        <f t="shared" si="166"/>
        <v/>
      </c>
      <c r="W551" s="307" t="str">
        <f>IFERROR(IF(V551&gt;0,PROPER(Terbilang1(V551)&amp;" Rupiah"),0),"")</f>
        <v/>
      </c>
      <c r="X551" s="90" t="str">
        <f t="shared" si="167"/>
        <v/>
      </c>
      <c r="Y551" s="307" t="str">
        <f t="shared" si="168"/>
        <v/>
      </c>
      <c r="Z551" s="307">
        <f t="shared" si="163"/>
        <v>0</v>
      </c>
      <c r="AA551" s="366">
        <f t="shared" si="164"/>
        <v>0</v>
      </c>
      <c r="AB551" s="367">
        <f t="shared" si="169"/>
        <v>0</v>
      </c>
      <c r="AC551" s="305">
        <f t="shared" si="170"/>
        <v>0</v>
      </c>
      <c r="AP551" s="89" t="str">
        <f t="shared" si="158"/>
        <v/>
      </c>
      <c r="AQ551" s="89" t="str">
        <f t="shared" si="156"/>
        <v/>
      </c>
      <c r="AR551" s="315" t="str">
        <f t="shared" si="157"/>
        <v/>
      </c>
      <c r="AS551" s="305" t="str">
        <f t="shared" si="171"/>
        <v>0</v>
      </c>
      <c r="AT551" s="307">
        <f>Table22[[#This Row],[Column1]]</f>
        <v>0</v>
      </c>
    </row>
    <row r="552" spans="1:46" x14ac:dyDescent="0.3">
      <c r="A552" s="307">
        <f t="shared" si="165"/>
        <v>0</v>
      </c>
      <c r="B552" s="307">
        <f t="shared" si="172"/>
        <v>0</v>
      </c>
      <c r="C552" s="308" t="s">
        <v>563</v>
      </c>
      <c r="D552" s="309" t="s">
        <v>563</v>
      </c>
      <c r="E552" s="310">
        <v>0</v>
      </c>
      <c r="F552" s="310">
        <v>0</v>
      </c>
      <c r="G552" s="311">
        <v>0</v>
      </c>
      <c r="H552" s="310" t="s">
        <v>563</v>
      </c>
      <c r="I552" s="310" t="s">
        <v>563</v>
      </c>
      <c r="J552" s="310" t="s">
        <v>563</v>
      </c>
      <c r="K552" s="312">
        <v>0</v>
      </c>
      <c r="L552" s="310">
        <v>0</v>
      </c>
      <c r="M552" s="310">
        <v>0</v>
      </c>
      <c r="N552" s="313">
        <v>0</v>
      </c>
      <c r="O552" s="314" t="s">
        <v>563</v>
      </c>
      <c r="P552" s="307">
        <f t="shared" si="159"/>
        <v>0</v>
      </c>
      <c r="R552" s="91" t="str">
        <f t="shared" si="173"/>
        <v/>
      </c>
      <c r="S55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2" s="307" t="str">
        <f t="shared" si="161"/>
        <v/>
      </c>
      <c r="U552" s="315" t="str">
        <f t="shared" si="162"/>
        <v/>
      </c>
      <c r="V552" s="307">
        <f>N552</f>
        <v>0</v>
      </c>
      <c r="W552" s="307">
        <f>IFERROR(IF(V552&gt;0,PROPER(Terbilang1(V552)&amp;" Rupiah"),0),"")</f>
        <v>0</v>
      </c>
      <c r="X552" s="90" t="str">
        <f t="shared" si="167"/>
        <v/>
      </c>
      <c r="Y552" s="307" t="str">
        <f t="shared" si="168"/>
        <v/>
      </c>
      <c r="Z552" s="307">
        <f t="shared" si="163"/>
        <v>0</v>
      </c>
      <c r="AA552" s="366">
        <f t="shared" si="164"/>
        <v>0</v>
      </c>
      <c r="AB552" s="367">
        <f t="shared" si="169"/>
        <v>0</v>
      </c>
      <c r="AC552" s="305">
        <f t="shared" si="170"/>
        <v>0</v>
      </c>
      <c r="AP552" s="89" t="str">
        <f t="shared" si="158"/>
        <v/>
      </c>
      <c r="AQ552" s="89" t="str">
        <f t="shared" ref="AQ552:AQ615" si="174">TEXT(AR552,"MM")</f>
        <v/>
      </c>
      <c r="AR552" s="315" t="str">
        <f t="shared" si="157"/>
        <v/>
      </c>
      <c r="AS552" s="305" t="str">
        <f t="shared" si="171"/>
        <v>0</v>
      </c>
      <c r="AT552" s="307">
        <f>Table22[[#This Row],[Column1]]</f>
        <v>0</v>
      </c>
    </row>
    <row r="553" spans="1:46" x14ac:dyDescent="0.3">
      <c r="A553" s="307">
        <f t="shared" si="165"/>
        <v>0</v>
      </c>
      <c r="B553" s="307">
        <f t="shared" si="172"/>
        <v>0</v>
      </c>
      <c r="C553" s="308" t="s">
        <v>563</v>
      </c>
      <c r="D553" s="309" t="s">
        <v>563</v>
      </c>
      <c r="E553" s="310">
        <v>0</v>
      </c>
      <c r="F553" s="310">
        <v>0</v>
      </c>
      <c r="G553" s="311">
        <v>0</v>
      </c>
      <c r="H553" s="310" t="s">
        <v>563</v>
      </c>
      <c r="I553" s="310" t="s">
        <v>563</v>
      </c>
      <c r="J553" s="310" t="s">
        <v>563</v>
      </c>
      <c r="K553" s="312">
        <v>0</v>
      </c>
      <c r="L553" s="310">
        <v>0</v>
      </c>
      <c r="M553" s="310">
        <v>0</v>
      </c>
      <c r="N553" s="313">
        <v>0</v>
      </c>
      <c r="O553" s="314" t="s">
        <v>563</v>
      </c>
      <c r="P553" s="307">
        <f t="shared" si="159"/>
        <v>0</v>
      </c>
      <c r="R553" s="91" t="str">
        <f t="shared" si="173"/>
        <v/>
      </c>
      <c r="S55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3" s="307" t="str">
        <f t="shared" si="161"/>
        <v/>
      </c>
      <c r="U553" s="315" t="str">
        <f t="shared" si="162"/>
        <v/>
      </c>
      <c r="V553" s="307">
        <f t="shared" si="166"/>
        <v>0</v>
      </c>
      <c r="W553" s="307">
        <f>IFERROR(IF(V553&gt;0,PROPER(Terbilang1(V553)&amp;" Rupiah"),0),"")</f>
        <v>0</v>
      </c>
      <c r="X553" s="90" t="str">
        <f t="shared" si="167"/>
        <v/>
      </c>
      <c r="Y553" s="307" t="str">
        <f t="shared" si="168"/>
        <v/>
      </c>
      <c r="Z553" s="307">
        <f t="shared" si="163"/>
        <v>0</v>
      </c>
      <c r="AA553" s="366">
        <f t="shared" si="164"/>
        <v>0</v>
      </c>
      <c r="AB553" s="367">
        <f t="shared" si="169"/>
        <v>0</v>
      </c>
      <c r="AC553" s="305">
        <f t="shared" si="170"/>
        <v>0</v>
      </c>
      <c r="AP553" s="89" t="str">
        <f t="shared" si="158"/>
        <v/>
      </c>
      <c r="AQ553" s="89" t="str">
        <f t="shared" si="174"/>
        <v/>
      </c>
      <c r="AR553" s="315" t="str">
        <f t="shared" si="157"/>
        <v/>
      </c>
      <c r="AS553" s="305" t="str">
        <f t="shared" si="171"/>
        <v>0</v>
      </c>
      <c r="AT553" s="307">
        <f>Table22[[#This Row],[Column1]]</f>
        <v>0</v>
      </c>
    </row>
    <row r="554" spans="1:46" x14ac:dyDescent="0.3">
      <c r="A554" s="307">
        <f t="shared" si="165"/>
        <v>0</v>
      </c>
      <c r="B554" s="307">
        <f t="shared" si="172"/>
        <v>0</v>
      </c>
      <c r="C554" s="308" t="s">
        <v>563</v>
      </c>
      <c r="D554" s="309" t="s">
        <v>563</v>
      </c>
      <c r="E554" s="310">
        <v>0</v>
      </c>
      <c r="F554" s="310">
        <v>0</v>
      </c>
      <c r="G554" s="311">
        <v>0</v>
      </c>
      <c r="H554" s="310" t="s">
        <v>563</v>
      </c>
      <c r="I554" s="310" t="s">
        <v>563</v>
      </c>
      <c r="J554" s="310" t="s">
        <v>563</v>
      </c>
      <c r="K554" s="312">
        <v>0</v>
      </c>
      <c r="L554" s="310">
        <v>0</v>
      </c>
      <c r="M554" s="310">
        <v>0</v>
      </c>
      <c r="N554" s="313">
        <v>0</v>
      </c>
      <c r="O554" s="314" t="s">
        <v>563</v>
      </c>
      <c r="P554" s="307">
        <f t="shared" si="159"/>
        <v>0</v>
      </c>
      <c r="R554" s="91" t="str">
        <f t="shared" si="173"/>
        <v/>
      </c>
      <c r="S55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4" s="307" t="str">
        <f t="shared" si="161"/>
        <v/>
      </c>
      <c r="U554" s="315" t="str">
        <f t="shared" si="162"/>
        <v/>
      </c>
      <c r="V554" s="307">
        <f>N554</f>
        <v>0</v>
      </c>
      <c r="W554" s="307">
        <f>IFERROR(IF(V554&gt;0,PROPER(Terbilang1(V554)&amp;" Rupiah"),0),"")</f>
        <v>0</v>
      </c>
      <c r="X554" s="90" t="str">
        <f t="shared" si="167"/>
        <v/>
      </c>
      <c r="Y554" s="307" t="str">
        <f t="shared" si="168"/>
        <v/>
      </c>
      <c r="Z554" s="307">
        <f t="shared" si="163"/>
        <v>0</v>
      </c>
      <c r="AA554" s="366">
        <f t="shared" si="164"/>
        <v>0</v>
      </c>
      <c r="AB554" s="367">
        <f t="shared" si="169"/>
        <v>0</v>
      </c>
      <c r="AC554" s="305">
        <f t="shared" si="170"/>
        <v>0</v>
      </c>
      <c r="AP554" s="89" t="str">
        <f t="shared" si="158"/>
        <v/>
      </c>
      <c r="AQ554" s="89" t="str">
        <f t="shared" si="174"/>
        <v/>
      </c>
      <c r="AR554" s="315" t="str">
        <f t="shared" si="157"/>
        <v/>
      </c>
      <c r="AS554" s="305" t="str">
        <f t="shared" si="171"/>
        <v>0</v>
      </c>
      <c r="AT554" s="307">
        <f>Table22[[#This Row],[Column1]]</f>
        <v>0</v>
      </c>
    </row>
    <row r="555" spans="1:46" x14ac:dyDescent="0.3">
      <c r="A555" s="307">
        <f t="shared" si="165"/>
        <v>0</v>
      </c>
      <c r="B555" s="307">
        <f t="shared" si="172"/>
        <v>0</v>
      </c>
      <c r="C555" s="308" t="s">
        <v>563</v>
      </c>
      <c r="D555" s="309" t="s">
        <v>563</v>
      </c>
      <c r="E555" s="310">
        <v>0</v>
      </c>
      <c r="F555" s="310">
        <v>0</v>
      </c>
      <c r="G555" s="311">
        <v>0</v>
      </c>
      <c r="H555" s="310" t="s">
        <v>563</v>
      </c>
      <c r="I555" s="310" t="s">
        <v>563</v>
      </c>
      <c r="J555" s="310" t="s">
        <v>563</v>
      </c>
      <c r="K555" s="312">
        <v>0</v>
      </c>
      <c r="L555" s="310">
        <v>0</v>
      </c>
      <c r="M555" s="310">
        <v>0</v>
      </c>
      <c r="N555" s="313">
        <v>0</v>
      </c>
      <c r="O555" s="314" t="s">
        <v>563</v>
      </c>
      <c r="P555" s="307">
        <f t="shared" si="159"/>
        <v>0</v>
      </c>
      <c r="R555" s="91" t="str">
        <f t="shared" si="173"/>
        <v/>
      </c>
      <c r="S55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5" s="307" t="str">
        <f t="shared" si="161"/>
        <v/>
      </c>
      <c r="U555" s="315" t="str">
        <f t="shared" si="162"/>
        <v/>
      </c>
      <c r="V555" s="307">
        <f t="shared" si="166"/>
        <v>0</v>
      </c>
      <c r="W555" s="307">
        <f>IFERROR(IF(V555&gt;0,PROPER(Terbilang1(V555)&amp;" Rupiah"),0),"")</f>
        <v>0</v>
      </c>
      <c r="X555" s="90" t="str">
        <f t="shared" si="167"/>
        <v/>
      </c>
      <c r="Y555" s="307" t="str">
        <f t="shared" si="168"/>
        <v/>
      </c>
      <c r="Z555" s="307">
        <f t="shared" si="163"/>
        <v>0</v>
      </c>
      <c r="AA555" s="366">
        <f t="shared" si="164"/>
        <v>0</v>
      </c>
      <c r="AB555" s="367">
        <f t="shared" si="169"/>
        <v>0</v>
      </c>
      <c r="AC555" s="305">
        <f t="shared" si="170"/>
        <v>0</v>
      </c>
      <c r="AP555" s="89" t="str">
        <f t="shared" si="158"/>
        <v/>
      </c>
      <c r="AQ555" s="89" t="str">
        <f t="shared" si="174"/>
        <v/>
      </c>
      <c r="AR555" s="315" t="str">
        <f t="shared" si="157"/>
        <v/>
      </c>
      <c r="AS555" s="305" t="str">
        <f t="shared" si="171"/>
        <v>0</v>
      </c>
      <c r="AT555" s="307">
        <f>Table22[[#This Row],[Column1]]</f>
        <v>0</v>
      </c>
    </row>
    <row r="556" spans="1:46" x14ac:dyDescent="0.3">
      <c r="A556" s="307">
        <f t="shared" si="165"/>
        <v>0</v>
      </c>
      <c r="B556" s="307">
        <f t="shared" si="172"/>
        <v>0</v>
      </c>
      <c r="C556" s="308" t="s">
        <v>563</v>
      </c>
      <c r="D556" s="309" t="s">
        <v>563</v>
      </c>
      <c r="E556" s="310">
        <v>0</v>
      </c>
      <c r="F556" s="310">
        <v>0</v>
      </c>
      <c r="G556" s="311">
        <v>0</v>
      </c>
      <c r="H556" s="310" t="s">
        <v>563</v>
      </c>
      <c r="I556" s="310" t="s">
        <v>563</v>
      </c>
      <c r="J556" s="310" t="s">
        <v>563</v>
      </c>
      <c r="K556" s="312">
        <v>0</v>
      </c>
      <c r="L556" s="310">
        <v>0</v>
      </c>
      <c r="M556" s="310">
        <v>0</v>
      </c>
      <c r="N556" s="313">
        <v>0</v>
      </c>
      <c r="O556" s="314" t="s">
        <v>563</v>
      </c>
      <c r="P556" s="307">
        <f t="shared" si="159"/>
        <v>0</v>
      </c>
      <c r="R556" s="91" t="str">
        <f t="shared" si="173"/>
        <v/>
      </c>
      <c r="S55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6" s="307" t="str">
        <f t="shared" si="161"/>
        <v/>
      </c>
      <c r="U556" s="315" t="str">
        <f t="shared" si="162"/>
        <v/>
      </c>
      <c r="V556" s="307">
        <f>N556</f>
        <v>0</v>
      </c>
      <c r="W556" s="307">
        <f>IFERROR(IF(V556&gt;0,PROPER(Terbilang1(V556)&amp;" Rupiah"),0),"")</f>
        <v>0</v>
      </c>
      <c r="X556" s="90" t="str">
        <f t="shared" si="167"/>
        <v/>
      </c>
      <c r="Y556" s="307" t="str">
        <f t="shared" si="168"/>
        <v/>
      </c>
      <c r="Z556" s="307">
        <f t="shared" si="163"/>
        <v>0</v>
      </c>
      <c r="AA556" s="366">
        <f t="shared" si="164"/>
        <v>0</v>
      </c>
      <c r="AB556" s="367">
        <f t="shared" si="169"/>
        <v>0</v>
      </c>
      <c r="AC556" s="305">
        <f t="shared" si="170"/>
        <v>0</v>
      </c>
      <c r="AP556" s="89" t="str">
        <f t="shared" si="158"/>
        <v/>
      </c>
      <c r="AQ556" s="89" t="str">
        <f t="shared" si="174"/>
        <v/>
      </c>
      <c r="AR556" s="315" t="str">
        <f t="shared" si="157"/>
        <v/>
      </c>
      <c r="AS556" s="305" t="str">
        <f t="shared" si="171"/>
        <v>0</v>
      </c>
      <c r="AT556" s="307">
        <f>Table22[[#This Row],[Column1]]</f>
        <v>0</v>
      </c>
    </row>
    <row r="557" spans="1:46" x14ac:dyDescent="0.3">
      <c r="A557" s="307">
        <f t="shared" si="165"/>
        <v>0</v>
      </c>
      <c r="B557" s="307">
        <f t="shared" si="172"/>
        <v>0</v>
      </c>
      <c r="C557" s="308" t="s">
        <v>563</v>
      </c>
      <c r="D557" s="309" t="s">
        <v>563</v>
      </c>
      <c r="E557" s="310">
        <v>0</v>
      </c>
      <c r="F557" s="310">
        <v>0</v>
      </c>
      <c r="G557" s="311">
        <v>0</v>
      </c>
      <c r="H557" s="310" t="s">
        <v>563</v>
      </c>
      <c r="I557" s="310" t="s">
        <v>563</v>
      </c>
      <c r="J557" s="310" t="s">
        <v>563</v>
      </c>
      <c r="K557" s="312">
        <v>0</v>
      </c>
      <c r="L557" s="310">
        <v>0</v>
      </c>
      <c r="M557" s="310">
        <v>0</v>
      </c>
      <c r="N557" s="313">
        <v>0</v>
      </c>
      <c r="O557" s="314" t="s">
        <v>563</v>
      </c>
      <c r="P557" s="307">
        <f t="shared" si="159"/>
        <v>0</v>
      </c>
      <c r="R557" s="91" t="str">
        <f t="shared" si="173"/>
        <v/>
      </c>
      <c r="S55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7" s="307" t="str">
        <f t="shared" si="161"/>
        <v/>
      </c>
      <c r="U557" s="315" t="str">
        <f t="shared" si="162"/>
        <v/>
      </c>
      <c r="V557" s="307">
        <f>N557</f>
        <v>0</v>
      </c>
      <c r="W557" s="307">
        <f>IFERROR(IF(V557&gt;0,PROPER(Terbilang1(V557)&amp;" Rupiah"),0),"")</f>
        <v>0</v>
      </c>
      <c r="X557" s="90" t="str">
        <f t="shared" si="167"/>
        <v/>
      </c>
      <c r="Y557" s="307" t="str">
        <f t="shared" si="168"/>
        <v/>
      </c>
      <c r="Z557" s="307">
        <f t="shared" si="163"/>
        <v>0</v>
      </c>
      <c r="AA557" s="366">
        <f t="shared" si="164"/>
        <v>0</v>
      </c>
      <c r="AB557" s="367">
        <f t="shared" si="169"/>
        <v>0</v>
      </c>
      <c r="AC557" s="305">
        <f t="shared" si="170"/>
        <v>0</v>
      </c>
      <c r="AP557" s="89" t="str">
        <f t="shared" si="158"/>
        <v/>
      </c>
      <c r="AQ557" s="89" t="str">
        <f t="shared" si="174"/>
        <v/>
      </c>
      <c r="AR557" s="315" t="str">
        <f t="shared" si="157"/>
        <v/>
      </c>
      <c r="AS557" s="305" t="str">
        <f t="shared" si="171"/>
        <v>0</v>
      </c>
      <c r="AT557" s="307">
        <f>Table22[[#This Row],[Column1]]</f>
        <v>0</v>
      </c>
    </row>
    <row r="558" spans="1:46" x14ac:dyDescent="0.3">
      <c r="A558" s="307">
        <f t="shared" si="165"/>
        <v>0</v>
      </c>
      <c r="B558" s="307">
        <f t="shared" si="172"/>
        <v>0</v>
      </c>
      <c r="C558" s="308" t="s">
        <v>563</v>
      </c>
      <c r="D558" s="309" t="s">
        <v>563</v>
      </c>
      <c r="E558" s="310">
        <v>0</v>
      </c>
      <c r="F558" s="310">
        <v>0</v>
      </c>
      <c r="G558" s="311">
        <v>0</v>
      </c>
      <c r="H558" s="310" t="s">
        <v>563</v>
      </c>
      <c r="I558" s="310" t="s">
        <v>563</v>
      </c>
      <c r="J558" s="310" t="s">
        <v>563</v>
      </c>
      <c r="K558" s="312">
        <v>0</v>
      </c>
      <c r="L558" s="310">
        <v>0</v>
      </c>
      <c r="M558" s="310">
        <v>0</v>
      </c>
      <c r="N558" s="313">
        <v>0</v>
      </c>
      <c r="O558" s="314" t="s">
        <v>563</v>
      </c>
      <c r="P558" s="307">
        <f t="shared" si="159"/>
        <v>0</v>
      </c>
      <c r="R558" s="91" t="str">
        <f t="shared" si="173"/>
        <v/>
      </c>
      <c r="S55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8" s="307" t="str">
        <f t="shared" si="161"/>
        <v/>
      </c>
      <c r="U558" s="315" t="str">
        <f t="shared" si="162"/>
        <v/>
      </c>
      <c r="V558" s="307">
        <f t="shared" si="166"/>
        <v>0</v>
      </c>
      <c r="W558" s="307">
        <f>IFERROR(IF(V558&gt;0,PROPER(Terbilang1(V558)&amp;" Rupiah"),0),"")</f>
        <v>0</v>
      </c>
      <c r="X558" s="90" t="str">
        <f t="shared" si="167"/>
        <v/>
      </c>
      <c r="Y558" s="307" t="str">
        <f t="shared" si="168"/>
        <v/>
      </c>
      <c r="Z558" s="307">
        <f t="shared" si="163"/>
        <v>0</v>
      </c>
      <c r="AA558" s="366">
        <f t="shared" si="164"/>
        <v>0</v>
      </c>
      <c r="AB558" s="367">
        <f t="shared" si="169"/>
        <v>0</v>
      </c>
      <c r="AC558" s="305">
        <f t="shared" si="170"/>
        <v>0</v>
      </c>
      <c r="AP558" s="89" t="str">
        <f t="shared" si="158"/>
        <v/>
      </c>
      <c r="AQ558" s="89" t="str">
        <f t="shared" si="174"/>
        <v/>
      </c>
      <c r="AR558" s="315" t="str">
        <f t="shared" si="157"/>
        <v/>
      </c>
      <c r="AS558" s="305" t="str">
        <f t="shared" si="171"/>
        <v>0</v>
      </c>
      <c r="AT558" s="307">
        <f>Table22[[#This Row],[Column1]]</f>
        <v>0</v>
      </c>
    </row>
    <row r="559" spans="1:46" x14ac:dyDescent="0.3">
      <c r="A559" s="307">
        <f t="shared" si="165"/>
        <v>0</v>
      </c>
      <c r="B559" s="307">
        <f t="shared" si="172"/>
        <v>0</v>
      </c>
      <c r="C559" s="308" t="s">
        <v>563</v>
      </c>
      <c r="D559" s="309" t="s">
        <v>563</v>
      </c>
      <c r="E559" s="310">
        <v>0</v>
      </c>
      <c r="F559" s="310">
        <v>0</v>
      </c>
      <c r="G559" s="311">
        <v>0</v>
      </c>
      <c r="H559" s="310" t="s">
        <v>563</v>
      </c>
      <c r="I559" s="310" t="s">
        <v>563</v>
      </c>
      <c r="J559" s="310" t="s">
        <v>563</v>
      </c>
      <c r="K559" s="312">
        <v>0</v>
      </c>
      <c r="L559" s="310">
        <v>0</v>
      </c>
      <c r="M559" s="310">
        <v>0</v>
      </c>
      <c r="N559" s="313">
        <v>0</v>
      </c>
      <c r="O559" s="314" t="s">
        <v>563</v>
      </c>
      <c r="P559" s="307">
        <f t="shared" si="159"/>
        <v>0</v>
      </c>
      <c r="R559" s="91" t="str">
        <f t="shared" si="173"/>
        <v/>
      </c>
      <c r="S55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59" s="307" t="str">
        <f t="shared" si="161"/>
        <v/>
      </c>
      <c r="U559" s="315" t="str">
        <f t="shared" si="162"/>
        <v/>
      </c>
      <c r="V559" s="307">
        <f t="shared" si="166"/>
        <v>0</v>
      </c>
      <c r="W559" s="307">
        <f>IFERROR(IF(V559&gt;0,PROPER(Terbilang1(V559)&amp;" Rupiah"),0),"")</f>
        <v>0</v>
      </c>
      <c r="X559" s="90" t="str">
        <f t="shared" si="167"/>
        <v/>
      </c>
      <c r="Y559" s="307" t="str">
        <f t="shared" si="168"/>
        <v/>
      </c>
      <c r="Z559" s="307">
        <f t="shared" si="163"/>
        <v>0</v>
      </c>
      <c r="AA559" s="366">
        <f t="shared" si="164"/>
        <v>0</v>
      </c>
      <c r="AB559" s="367">
        <f t="shared" si="169"/>
        <v>0</v>
      </c>
      <c r="AC559" s="305">
        <f t="shared" si="170"/>
        <v>0</v>
      </c>
      <c r="AP559" s="89" t="str">
        <f t="shared" si="158"/>
        <v/>
      </c>
      <c r="AQ559" s="89" t="str">
        <f t="shared" si="174"/>
        <v/>
      </c>
      <c r="AR559" s="315" t="str">
        <f t="shared" si="157"/>
        <v/>
      </c>
      <c r="AS559" s="305" t="str">
        <f t="shared" si="171"/>
        <v>0</v>
      </c>
      <c r="AT559" s="307">
        <f>Table22[[#This Row],[Column1]]</f>
        <v>0</v>
      </c>
    </row>
    <row r="560" spans="1:46" x14ac:dyDescent="0.3">
      <c r="A560" s="307">
        <f t="shared" si="165"/>
        <v>0</v>
      </c>
      <c r="B560" s="307">
        <f t="shared" si="172"/>
        <v>0</v>
      </c>
      <c r="C560" s="308" t="s">
        <v>563</v>
      </c>
      <c r="D560" s="309" t="s">
        <v>563</v>
      </c>
      <c r="E560" s="310">
        <v>0</v>
      </c>
      <c r="F560" s="310">
        <v>0</v>
      </c>
      <c r="G560" s="311">
        <v>0</v>
      </c>
      <c r="H560" s="310" t="s">
        <v>563</v>
      </c>
      <c r="I560" s="310" t="s">
        <v>563</v>
      </c>
      <c r="J560" s="310" t="s">
        <v>563</v>
      </c>
      <c r="K560" s="312">
        <v>0</v>
      </c>
      <c r="L560" s="310">
        <v>0</v>
      </c>
      <c r="M560" s="310">
        <v>0</v>
      </c>
      <c r="N560" s="313">
        <v>0</v>
      </c>
      <c r="O560" s="314" t="s">
        <v>563</v>
      </c>
      <c r="P560" s="307">
        <f t="shared" si="159"/>
        <v>0</v>
      </c>
      <c r="R560" s="91" t="str">
        <f t="shared" si="173"/>
        <v/>
      </c>
      <c r="S56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0" s="307" t="str">
        <f t="shared" si="161"/>
        <v/>
      </c>
      <c r="U560" s="315" t="str">
        <f t="shared" si="162"/>
        <v/>
      </c>
      <c r="V560" s="307">
        <f t="shared" si="166"/>
        <v>0</v>
      </c>
      <c r="W560" s="307">
        <f>IFERROR(IF(V560&gt;0,PROPER(Terbilang1(V560)&amp;" Rupiah"),0),"")</f>
        <v>0</v>
      </c>
      <c r="X560" s="90" t="str">
        <f t="shared" si="167"/>
        <v/>
      </c>
      <c r="Y560" s="307" t="str">
        <f t="shared" si="168"/>
        <v/>
      </c>
      <c r="Z560" s="307">
        <f t="shared" si="163"/>
        <v>0</v>
      </c>
      <c r="AA560" s="366">
        <f t="shared" si="164"/>
        <v>0</v>
      </c>
      <c r="AB560" s="367">
        <f t="shared" si="169"/>
        <v>0</v>
      </c>
      <c r="AC560" s="305">
        <f t="shared" si="170"/>
        <v>0</v>
      </c>
      <c r="AP560" s="89" t="str">
        <f t="shared" si="158"/>
        <v/>
      </c>
      <c r="AQ560" s="89" t="str">
        <f t="shared" si="174"/>
        <v/>
      </c>
      <c r="AR560" s="315" t="str">
        <f t="shared" si="157"/>
        <v/>
      </c>
      <c r="AS560" s="305" t="str">
        <f t="shared" si="171"/>
        <v>0</v>
      </c>
      <c r="AT560" s="307">
        <f>Table22[[#This Row],[Column1]]</f>
        <v>0</v>
      </c>
    </row>
    <row r="561" spans="1:46" x14ac:dyDescent="0.3">
      <c r="A561" s="307">
        <f t="shared" si="165"/>
        <v>0</v>
      </c>
      <c r="B561" s="307">
        <f t="shared" si="172"/>
        <v>0</v>
      </c>
      <c r="C561" s="308" t="s">
        <v>563</v>
      </c>
      <c r="D561" s="309" t="s">
        <v>563</v>
      </c>
      <c r="E561" s="310">
        <v>0</v>
      </c>
      <c r="F561" s="310">
        <v>0</v>
      </c>
      <c r="G561" s="311">
        <v>0</v>
      </c>
      <c r="H561" s="310" t="s">
        <v>563</v>
      </c>
      <c r="I561" s="310" t="s">
        <v>563</v>
      </c>
      <c r="J561" s="310" t="s">
        <v>563</v>
      </c>
      <c r="K561" s="312">
        <v>0</v>
      </c>
      <c r="L561" s="310">
        <v>0</v>
      </c>
      <c r="M561" s="310">
        <v>0</v>
      </c>
      <c r="N561" s="313">
        <v>0</v>
      </c>
      <c r="O561" s="314" t="s">
        <v>563</v>
      </c>
      <c r="P561" s="307">
        <f t="shared" si="159"/>
        <v>0</v>
      </c>
      <c r="R561" s="91" t="str">
        <f t="shared" si="173"/>
        <v/>
      </c>
      <c r="S56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1" s="307" t="str">
        <f t="shared" si="161"/>
        <v/>
      </c>
      <c r="U561" s="315" t="str">
        <f t="shared" si="162"/>
        <v/>
      </c>
      <c r="V561" s="307">
        <f t="shared" si="166"/>
        <v>0</v>
      </c>
      <c r="W561" s="307">
        <f>IFERROR(IF(V561&gt;0,PROPER(Terbilang1(V561)&amp;" Rupiah"),0),"")</f>
        <v>0</v>
      </c>
      <c r="X561" s="90" t="str">
        <f t="shared" si="167"/>
        <v/>
      </c>
      <c r="Y561" s="307" t="str">
        <f t="shared" si="168"/>
        <v/>
      </c>
      <c r="Z561" s="307">
        <f t="shared" si="163"/>
        <v>0</v>
      </c>
      <c r="AA561" s="366">
        <f t="shared" si="164"/>
        <v>0</v>
      </c>
      <c r="AB561" s="367">
        <f t="shared" si="169"/>
        <v>0</v>
      </c>
      <c r="AC561" s="305">
        <f t="shared" si="170"/>
        <v>0</v>
      </c>
      <c r="AP561" s="89" t="str">
        <f t="shared" si="158"/>
        <v/>
      </c>
      <c r="AQ561" s="89" t="str">
        <f t="shared" si="174"/>
        <v/>
      </c>
      <c r="AR561" s="315" t="str">
        <f t="shared" si="157"/>
        <v/>
      </c>
      <c r="AS561" s="305" t="str">
        <f t="shared" si="171"/>
        <v>0</v>
      </c>
      <c r="AT561" s="307">
        <f>Table22[[#This Row],[Column1]]</f>
        <v>0</v>
      </c>
    </row>
    <row r="562" spans="1:46" x14ac:dyDescent="0.3">
      <c r="A562" s="307">
        <f t="shared" si="165"/>
        <v>0</v>
      </c>
      <c r="B562" s="307">
        <f t="shared" si="172"/>
        <v>0</v>
      </c>
      <c r="C562" s="308" t="s">
        <v>563</v>
      </c>
      <c r="D562" s="309" t="s">
        <v>563</v>
      </c>
      <c r="E562" s="310">
        <v>0</v>
      </c>
      <c r="F562" s="310">
        <v>0</v>
      </c>
      <c r="G562" s="311">
        <v>0</v>
      </c>
      <c r="H562" s="310" t="s">
        <v>563</v>
      </c>
      <c r="I562" s="310" t="s">
        <v>563</v>
      </c>
      <c r="J562" s="310" t="s">
        <v>563</v>
      </c>
      <c r="K562" s="312">
        <v>0</v>
      </c>
      <c r="L562" s="310">
        <v>0</v>
      </c>
      <c r="M562" s="310">
        <v>0</v>
      </c>
      <c r="N562" s="313">
        <v>0</v>
      </c>
      <c r="O562" s="314" t="s">
        <v>563</v>
      </c>
      <c r="P562" s="307">
        <f t="shared" si="159"/>
        <v>0</v>
      </c>
      <c r="R562" s="91" t="str">
        <f t="shared" si="173"/>
        <v/>
      </c>
      <c r="S56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2" s="307" t="str">
        <f t="shared" si="161"/>
        <v/>
      </c>
      <c r="U562" s="315" t="str">
        <f t="shared" si="162"/>
        <v/>
      </c>
      <c r="V562" s="307">
        <f t="shared" si="166"/>
        <v>0</v>
      </c>
      <c r="W562" s="307">
        <f>IFERROR(IF(V562&gt;0,PROPER(Terbilang1(V562)&amp;" Rupiah"),0),"")</f>
        <v>0</v>
      </c>
      <c r="X562" s="90" t="str">
        <f t="shared" si="167"/>
        <v/>
      </c>
      <c r="Y562" s="307" t="str">
        <f t="shared" si="168"/>
        <v/>
      </c>
      <c r="Z562" s="307">
        <f t="shared" si="163"/>
        <v>0</v>
      </c>
      <c r="AA562" s="366">
        <f t="shared" si="164"/>
        <v>0</v>
      </c>
      <c r="AB562" s="367">
        <f t="shared" si="169"/>
        <v>0</v>
      </c>
      <c r="AC562" s="305">
        <f t="shared" si="170"/>
        <v>0</v>
      </c>
      <c r="AP562" s="89" t="str">
        <f t="shared" si="158"/>
        <v/>
      </c>
      <c r="AQ562" s="89" t="str">
        <f t="shared" si="174"/>
        <v/>
      </c>
      <c r="AR562" s="315" t="str">
        <f t="shared" si="157"/>
        <v/>
      </c>
      <c r="AS562" s="305" t="str">
        <f t="shared" si="171"/>
        <v>0</v>
      </c>
      <c r="AT562" s="307">
        <f>Table22[[#This Row],[Column1]]</f>
        <v>0</v>
      </c>
    </row>
    <row r="563" spans="1:46" x14ac:dyDescent="0.3">
      <c r="A563" s="307">
        <f t="shared" si="165"/>
        <v>0</v>
      </c>
      <c r="B563" s="307">
        <f t="shared" si="172"/>
        <v>0</v>
      </c>
      <c r="C563" s="308" t="s">
        <v>563</v>
      </c>
      <c r="D563" s="309" t="s">
        <v>563</v>
      </c>
      <c r="E563" s="310">
        <v>0</v>
      </c>
      <c r="F563" s="310">
        <v>0</v>
      </c>
      <c r="G563" s="311">
        <v>0</v>
      </c>
      <c r="H563" s="310" t="s">
        <v>563</v>
      </c>
      <c r="I563" s="310" t="s">
        <v>563</v>
      </c>
      <c r="J563" s="310" t="s">
        <v>563</v>
      </c>
      <c r="K563" s="312">
        <v>0</v>
      </c>
      <c r="L563" s="310">
        <v>0</v>
      </c>
      <c r="M563" s="310">
        <v>0</v>
      </c>
      <c r="N563" s="313">
        <v>0</v>
      </c>
      <c r="O563" s="314" t="s">
        <v>563</v>
      </c>
      <c r="P563" s="307">
        <f t="shared" si="159"/>
        <v>0</v>
      </c>
      <c r="R563" s="91" t="str">
        <f t="shared" si="173"/>
        <v/>
      </c>
      <c r="S56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3" s="307" t="str">
        <f t="shared" si="161"/>
        <v/>
      </c>
      <c r="U563" s="315" t="str">
        <f t="shared" si="162"/>
        <v/>
      </c>
      <c r="V563" s="307">
        <f t="shared" si="166"/>
        <v>0</v>
      </c>
      <c r="W563" s="307">
        <f>IFERROR(IF(V563&gt;0,PROPER(Terbilang1(V563)&amp;" Rupiah"),0),"")</f>
        <v>0</v>
      </c>
      <c r="X563" s="90" t="str">
        <f t="shared" si="167"/>
        <v/>
      </c>
      <c r="Y563" s="307" t="str">
        <f t="shared" si="168"/>
        <v/>
      </c>
      <c r="Z563" s="307">
        <f t="shared" si="163"/>
        <v>0</v>
      </c>
      <c r="AA563" s="366">
        <f t="shared" si="164"/>
        <v>0</v>
      </c>
      <c r="AB563" s="367">
        <f t="shared" si="169"/>
        <v>0</v>
      </c>
      <c r="AC563" s="305">
        <f t="shared" si="170"/>
        <v>0</v>
      </c>
      <c r="AP563" s="89" t="str">
        <f t="shared" si="158"/>
        <v/>
      </c>
      <c r="AQ563" s="89" t="str">
        <f t="shared" si="174"/>
        <v/>
      </c>
      <c r="AR563" s="315" t="str">
        <f t="shared" ref="AR563:AR626" si="175">IF(VALUE(AT563)&gt;1,IF(LEN(AR562)&gt;1,AR562,D563),"")</f>
        <v/>
      </c>
      <c r="AS563" s="305" t="str">
        <f t="shared" si="171"/>
        <v>0</v>
      </c>
      <c r="AT563" s="307">
        <f>Table22[[#This Row],[Column1]]</f>
        <v>0</v>
      </c>
    </row>
    <row r="564" spans="1:46" x14ac:dyDescent="0.3">
      <c r="A564" s="307">
        <f t="shared" si="165"/>
        <v>0</v>
      </c>
      <c r="B564" s="307">
        <f t="shared" si="172"/>
        <v>0</v>
      </c>
      <c r="C564" s="308" t="s">
        <v>563</v>
      </c>
      <c r="D564" s="309" t="s">
        <v>563</v>
      </c>
      <c r="E564" s="310">
        <v>0</v>
      </c>
      <c r="F564" s="310">
        <v>0</v>
      </c>
      <c r="G564" s="311">
        <v>0</v>
      </c>
      <c r="H564" s="310" t="s">
        <v>563</v>
      </c>
      <c r="I564" s="310" t="s">
        <v>563</v>
      </c>
      <c r="J564" s="310" t="s">
        <v>563</v>
      </c>
      <c r="K564" s="312">
        <v>0</v>
      </c>
      <c r="L564" s="310">
        <v>0</v>
      </c>
      <c r="M564" s="310">
        <v>0</v>
      </c>
      <c r="N564" s="313">
        <v>0</v>
      </c>
      <c r="O564" s="314" t="s">
        <v>563</v>
      </c>
      <c r="P564" s="307">
        <f t="shared" si="159"/>
        <v>0</v>
      </c>
      <c r="R564" s="91" t="str">
        <f t="shared" si="173"/>
        <v/>
      </c>
      <c r="S56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4" s="307" t="str">
        <f t="shared" si="161"/>
        <v/>
      </c>
      <c r="U564" s="315" t="str">
        <f t="shared" si="162"/>
        <v/>
      </c>
      <c r="V564" s="307">
        <f t="shared" si="166"/>
        <v>0</v>
      </c>
      <c r="W564" s="307">
        <f>IFERROR(IF(V564&gt;0,PROPER(Terbilang1(V564)&amp;" Rupiah"),0),"")</f>
        <v>0</v>
      </c>
      <c r="X564" s="90" t="str">
        <f t="shared" si="167"/>
        <v/>
      </c>
      <c r="Y564" s="307" t="str">
        <f t="shared" si="168"/>
        <v/>
      </c>
      <c r="Z564" s="307">
        <f t="shared" si="163"/>
        <v>0</v>
      </c>
      <c r="AA564" s="366">
        <f t="shared" si="164"/>
        <v>0</v>
      </c>
      <c r="AB564" s="367">
        <f t="shared" si="169"/>
        <v>0</v>
      </c>
      <c r="AC564" s="305">
        <f t="shared" si="170"/>
        <v>0</v>
      </c>
      <c r="AP564" s="89" t="str">
        <f t="shared" si="158"/>
        <v/>
      </c>
      <c r="AQ564" s="89" t="str">
        <f t="shared" si="174"/>
        <v/>
      </c>
      <c r="AR564" s="315" t="str">
        <f t="shared" si="175"/>
        <v/>
      </c>
      <c r="AS564" s="305" t="str">
        <f t="shared" si="171"/>
        <v>0</v>
      </c>
      <c r="AT564" s="307">
        <f>Table22[[#This Row],[Column1]]</f>
        <v>0</v>
      </c>
    </row>
    <row r="565" spans="1:46" x14ac:dyDescent="0.3">
      <c r="A565" s="307">
        <f t="shared" si="165"/>
        <v>0</v>
      </c>
      <c r="B565" s="307">
        <f t="shared" si="172"/>
        <v>0</v>
      </c>
      <c r="C565" s="308" t="s">
        <v>563</v>
      </c>
      <c r="D565" s="309" t="s">
        <v>563</v>
      </c>
      <c r="E565" s="310">
        <v>0</v>
      </c>
      <c r="F565" s="310">
        <v>0</v>
      </c>
      <c r="G565" s="311">
        <v>0</v>
      </c>
      <c r="H565" s="310" t="s">
        <v>563</v>
      </c>
      <c r="I565" s="310" t="s">
        <v>563</v>
      </c>
      <c r="J565" s="310" t="s">
        <v>563</v>
      </c>
      <c r="K565" s="312">
        <v>0</v>
      </c>
      <c r="L565" s="310">
        <v>0</v>
      </c>
      <c r="M565" s="310">
        <v>0</v>
      </c>
      <c r="N565" s="313">
        <v>0</v>
      </c>
      <c r="O565" s="314" t="s">
        <v>563</v>
      </c>
      <c r="P565" s="307">
        <f t="shared" si="159"/>
        <v>0</v>
      </c>
      <c r="R565" s="91" t="str">
        <f t="shared" si="173"/>
        <v/>
      </c>
      <c r="S56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5" s="307" t="str">
        <f t="shared" si="161"/>
        <v/>
      </c>
      <c r="U565" s="315" t="str">
        <f t="shared" si="162"/>
        <v/>
      </c>
      <c r="V565" s="307">
        <f t="shared" si="166"/>
        <v>0</v>
      </c>
      <c r="W565" s="307">
        <f>IFERROR(IF(V565&gt;0,PROPER(Terbilang1(V565)&amp;" Rupiah"),0),"")</f>
        <v>0</v>
      </c>
      <c r="X565" s="90" t="str">
        <f t="shared" si="167"/>
        <v/>
      </c>
      <c r="Y565" s="307" t="str">
        <f t="shared" si="168"/>
        <v/>
      </c>
      <c r="Z565" s="307">
        <f t="shared" si="163"/>
        <v>0</v>
      </c>
      <c r="AA565" s="366">
        <f t="shared" si="164"/>
        <v>0</v>
      </c>
      <c r="AB565" s="367">
        <f t="shared" si="169"/>
        <v>0</v>
      </c>
      <c r="AC565" s="305">
        <f t="shared" si="170"/>
        <v>0</v>
      </c>
      <c r="AP565" s="89" t="str">
        <f t="shared" si="158"/>
        <v/>
      </c>
      <c r="AQ565" s="89" t="str">
        <f t="shared" si="174"/>
        <v/>
      </c>
      <c r="AR565" s="315" t="str">
        <f t="shared" si="175"/>
        <v/>
      </c>
      <c r="AS565" s="305" t="str">
        <f t="shared" si="171"/>
        <v>0</v>
      </c>
      <c r="AT565" s="307">
        <f>Table22[[#This Row],[Column1]]</f>
        <v>0</v>
      </c>
    </row>
    <row r="566" spans="1:46" x14ac:dyDescent="0.3">
      <c r="A566" s="307">
        <f t="shared" si="165"/>
        <v>0</v>
      </c>
      <c r="B566" s="307">
        <f t="shared" si="172"/>
        <v>0</v>
      </c>
      <c r="C566" s="308" t="s">
        <v>563</v>
      </c>
      <c r="D566" s="309" t="s">
        <v>563</v>
      </c>
      <c r="E566" s="310">
        <v>0</v>
      </c>
      <c r="F566" s="310">
        <v>0</v>
      </c>
      <c r="G566" s="311">
        <v>0</v>
      </c>
      <c r="H566" s="310" t="s">
        <v>563</v>
      </c>
      <c r="I566" s="310" t="s">
        <v>563</v>
      </c>
      <c r="J566" s="310" t="s">
        <v>563</v>
      </c>
      <c r="K566" s="312">
        <v>0</v>
      </c>
      <c r="L566" s="310">
        <v>0</v>
      </c>
      <c r="M566" s="310">
        <v>0</v>
      </c>
      <c r="N566" s="313">
        <v>0</v>
      </c>
      <c r="O566" s="314" t="s">
        <v>563</v>
      </c>
      <c r="P566" s="307">
        <f t="shared" si="159"/>
        <v>0</v>
      </c>
      <c r="R566" s="91" t="str">
        <f t="shared" si="173"/>
        <v/>
      </c>
      <c r="S56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6" s="307" t="str">
        <f t="shared" si="161"/>
        <v/>
      </c>
      <c r="U566" s="315" t="str">
        <f t="shared" si="162"/>
        <v/>
      </c>
      <c r="V566" s="307">
        <f>N566</f>
        <v>0</v>
      </c>
      <c r="W566" s="307">
        <f>IFERROR(IF(V566&gt;0,PROPER(Terbilang1(V566)&amp;" Rupiah"),0),"")</f>
        <v>0</v>
      </c>
      <c r="X566" s="90" t="str">
        <f t="shared" si="167"/>
        <v/>
      </c>
      <c r="Y566" s="307" t="str">
        <f t="shared" si="168"/>
        <v/>
      </c>
      <c r="Z566" s="307">
        <f t="shared" si="163"/>
        <v>0</v>
      </c>
      <c r="AA566" s="366">
        <f t="shared" si="164"/>
        <v>0</v>
      </c>
      <c r="AB566" s="367">
        <f t="shared" si="169"/>
        <v>0</v>
      </c>
      <c r="AC566" s="305">
        <f t="shared" si="170"/>
        <v>0</v>
      </c>
      <c r="AP566" s="89" t="str">
        <f t="shared" si="158"/>
        <v/>
      </c>
      <c r="AQ566" s="89" t="str">
        <f t="shared" si="174"/>
        <v/>
      </c>
      <c r="AR566" s="315" t="str">
        <f t="shared" si="175"/>
        <v/>
      </c>
      <c r="AS566" s="305" t="str">
        <f t="shared" si="171"/>
        <v>0</v>
      </c>
      <c r="AT566" s="307">
        <f>Table22[[#This Row],[Column1]]</f>
        <v>0</v>
      </c>
    </row>
    <row r="567" spans="1:46" x14ac:dyDescent="0.3">
      <c r="A567" s="307">
        <f t="shared" si="165"/>
        <v>0</v>
      </c>
      <c r="B567" s="307">
        <f t="shared" si="172"/>
        <v>0</v>
      </c>
      <c r="C567" s="308" t="s">
        <v>563</v>
      </c>
      <c r="D567" s="309" t="s">
        <v>563</v>
      </c>
      <c r="E567" s="310">
        <v>0</v>
      </c>
      <c r="F567" s="310">
        <v>0</v>
      </c>
      <c r="G567" s="311">
        <v>0</v>
      </c>
      <c r="H567" s="310" t="s">
        <v>563</v>
      </c>
      <c r="I567" s="310" t="s">
        <v>563</v>
      </c>
      <c r="J567" s="310" t="s">
        <v>563</v>
      </c>
      <c r="K567" s="312">
        <v>0</v>
      </c>
      <c r="L567" s="310">
        <v>0</v>
      </c>
      <c r="M567" s="310">
        <v>0</v>
      </c>
      <c r="N567" s="313">
        <v>0</v>
      </c>
      <c r="O567" s="314" t="s">
        <v>563</v>
      </c>
      <c r="P567" s="307">
        <f t="shared" si="159"/>
        <v>0</v>
      </c>
      <c r="R567" s="91" t="str">
        <f t="shared" si="173"/>
        <v/>
      </c>
      <c r="S56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7" s="307" t="str">
        <f t="shared" si="161"/>
        <v/>
      </c>
      <c r="U567" s="315" t="str">
        <f t="shared" si="162"/>
        <v/>
      </c>
      <c r="V567" s="307">
        <f t="shared" si="166"/>
        <v>0</v>
      </c>
      <c r="W567" s="307">
        <f>IFERROR(IF(V567&gt;0,PROPER(Terbilang1(V567)&amp;" Rupiah"),0),"")</f>
        <v>0</v>
      </c>
      <c r="X567" s="90" t="str">
        <f t="shared" si="167"/>
        <v/>
      </c>
      <c r="Y567" s="307" t="str">
        <f t="shared" si="168"/>
        <v/>
      </c>
      <c r="Z567" s="307">
        <f t="shared" si="163"/>
        <v>0</v>
      </c>
      <c r="AA567" s="366">
        <f t="shared" si="164"/>
        <v>0</v>
      </c>
      <c r="AB567" s="367">
        <f t="shared" si="169"/>
        <v>0</v>
      </c>
      <c r="AC567" s="305">
        <f t="shared" si="170"/>
        <v>0</v>
      </c>
      <c r="AP567" s="89" t="str">
        <f t="shared" si="158"/>
        <v/>
      </c>
      <c r="AQ567" s="89" t="str">
        <f t="shared" si="174"/>
        <v/>
      </c>
      <c r="AR567" s="315" t="str">
        <f t="shared" si="175"/>
        <v/>
      </c>
      <c r="AS567" s="305" t="str">
        <f t="shared" si="171"/>
        <v>0</v>
      </c>
      <c r="AT567" s="307">
        <f>Table22[[#This Row],[Column1]]</f>
        <v>0</v>
      </c>
    </row>
    <row r="568" spans="1:46" x14ac:dyDescent="0.3">
      <c r="A568" s="307">
        <f t="shared" si="165"/>
        <v>0</v>
      </c>
      <c r="B568" s="307">
        <f t="shared" si="172"/>
        <v>0</v>
      </c>
      <c r="C568" s="308" t="s">
        <v>563</v>
      </c>
      <c r="D568" s="309" t="s">
        <v>563</v>
      </c>
      <c r="E568" s="310">
        <v>0</v>
      </c>
      <c r="F568" s="310">
        <v>0</v>
      </c>
      <c r="G568" s="311">
        <v>0</v>
      </c>
      <c r="H568" s="310" t="s">
        <v>563</v>
      </c>
      <c r="I568" s="310" t="s">
        <v>563</v>
      </c>
      <c r="J568" s="310" t="s">
        <v>563</v>
      </c>
      <c r="K568" s="312">
        <v>0</v>
      </c>
      <c r="L568" s="310">
        <v>0</v>
      </c>
      <c r="M568" s="310">
        <v>0</v>
      </c>
      <c r="N568" s="313">
        <v>0</v>
      </c>
      <c r="O568" s="314" t="s">
        <v>563</v>
      </c>
      <c r="P568" s="307">
        <f t="shared" si="159"/>
        <v>0</v>
      </c>
      <c r="R568" s="91" t="str">
        <f t="shared" si="173"/>
        <v/>
      </c>
      <c r="S568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8" s="307" t="str">
        <f t="shared" si="161"/>
        <v/>
      </c>
      <c r="U568" s="315" t="str">
        <f t="shared" si="162"/>
        <v/>
      </c>
      <c r="V568" s="307">
        <f t="shared" si="166"/>
        <v>0</v>
      </c>
      <c r="W568" s="307">
        <f>IFERROR(IF(V568&gt;0,PROPER(Terbilang1(V568)&amp;" Rupiah"),0),"")</f>
        <v>0</v>
      </c>
      <c r="X568" s="90" t="str">
        <f t="shared" si="167"/>
        <v/>
      </c>
      <c r="Y568" s="307" t="str">
        <f t="shared" si="168"/>
        <v/>
      </c>
      <c r="Z568" s="307">
        <f t="shared" si="163"/>
        <v>0</v>
      </c>
      <c r="AA568" s="366">
        <f t="shared" si="164"/>
        <v>0</v>
      </c>
      <c r="AB568" s="367">
        <f t="shared" si="169"/>
        <v>0</v>
      </c>
      <c r="AC568" s="305">
        <f t="shared" si="170"/>
        <v>0</v>
      </c>
      <c r="AP568" s="89" t="str">
        <f t="shared" si="158"/>
        <v/>
      </c>
      <c r="AQ568" s="89" t="str">
        <f t="shared" si="174"/>
        <v/>
      </c>
      <c r="AR568" s="315" t="str">
        <f t="shared" si="175"/>
        <v/>
      </c>
      <c r="AS568" s="305" t="str">
        <f t="shared" si="171"/>
        <v>0</v>
      </c>
      <c r="AT568" s="307">
        <f>Table22[[#This Row],[Column1]]</f>
        <v>0</v>
      </c>
    </row>
    <row r="569" spans="1:46" x14ac:dyDescent="0.3">
      <c r="A569" s="307">
        <f t="shared" si="165"/>
        <v>0</v>
      </c>
      <c r="B569" s="307">
        <f t="shared" si="172"/>
        <v>0</v>
      </c>
      <c r="C569" s="308" t="s">
        <v>563</v>
      </c>
      <c r="D569" s="309" t="s">
        <v>563</v>
      </c>
      <c r="E569" s="310">
        <v>0</v>
      </c>
      <c r="F569" s="310">
        <v>0</v>
      </c>
      <c r="G569" s="311">
        <v>0</v>
      </c>
      <c r="H569" s="310" t="s">
        <v>563</v>
      </c>
      <c r="I569" s="310" t="s">
        <v>563</v>
      </c>
      <c r="J569" s="310" t="s">
        <v>563</v>
      </c>
      <c r="K569" s="312">
        <v>0</v>
      </c>
      <c r="L569" s="310">
        <v>0</v>
      </c>
      <c r="M569" s="310">
        <v>0</v>
      </c>
      <c r="N569" s="313">
        <v>0</v>
      </c>
      <c r="O569" s="314" t="s">
        <v>563</v>
      </c>
      <c r="P569" s="307">
        <f t="shared" si="159"/>
        <v>0</v>
      </c>
      <c r="R569" s="91" t="str">
        <f t="shared" si="173"/>
        <v/>
      </c>
      <c r="S569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69" s="307" t="str">
        <f t="shared" si="161"/>
        <v/>
      </c>
      <c r="U569" s="315" t="str">
        <f t="shared" si="162"/>
        <v/>
      </c>
      <c r="V569" s="307">
        <f t="shared" si="166"/>
        <v>0</v>
      </c>
      <c r="W569" s="307">
        <f>IFERROR(IF(V569&gt;0,PROPER(Terbilang1(V569)&amp;" Rupiah"),0),"")</f>
        <v>0</v>
      </c>
      <c r="X569" s="90" t="str">
        <f t="shared" si="167"/>
        <v/>
      </c>
      <c r="Y569" s="307" t="str">
        <f t="shared" si="168"/>
        <v/>
      </c>
      <c r="Z569" s="307">
        <f t="shared" si="163"/>
        <v>0</v>
      </c>
      <c r="AA569" s="366">
        <f t="shared" si="164"/>
        <v>0</v>
      </c>
      <c r="AB569" s="367">
        <f t="shared" si="169"/>
        <v>0</v>
      </c>
      <c r="AC569" s="305">
        <f t="shared" si="170"/>
        <v>0</v>
      </c>
      <c r="AP569" s="89" t="str">
        <f t="shared" si="158"/>
        <v/>
      </c>
      <c r="AQ569" s="89" t="str">
        <f t="shared" si="174"/>
        <v/>
      </c>
      <c r="AR569" s="315" t="str">
        <f t="shared" si="175"/>
        <v/>
      </c>
      <c r="AS569" s="305" t="str">
        <f t="shared" si="171"/>
        <v>0</v>
      </c>
      <c r="AT569" s="307">
        <f>Table22[[#This Row],[Column1]]</f>
        <v>0</v>
      </c>
    </row>
    <row r="570" spans="1:46" x14ac:dyDescent="0.3">
      <c r="A570" s="307">
        <f t="shared" si="165"/>
        <v>0</v>
      </c>
      <c r="B570" s="307">
        <f t="shared" si="172"/>
        <v>0</v>
      </c>
      <c r="C570" s="308" t="s">
        <v>563</v>
      </c>
      <c r="D570" s="309" t="s">
        <v>563</v>
      </c>
      <c r="E570" s="310">
        <v>0</v>
      </c>
      <c r="F570" s="310">
        <v>0</v>
      </c>
      <c r="G570" s="311">
        <v>0</v>
      </c>
      <c r="H570" s="310" t="s">
        <v>563</v>
      </c>
      <c r="I570" s="310" t="s">
        <v>563</v>
      </c>
      <c r="J570" s="310" t="s">
        <v>563</v>
      </c>
      <c r="K570" s="312">
        <v>0</v>
      </c>
      <c r="L570" s="310">
        <v>0</v>
      </c>
      <c r="M570" s="310">
        <v>0</v>
      </c>
      <c r="N570" s="313">
        <v>0</v>
      </c>
      <c r="O570" s="314" t="s">
        <v>563</v>
      </c>
      <c r="P570" s="307">
        <f t="shared" si="159"/>
        <v>0</v>
      </c>
      <c r="R570" s="91" t="str">
        <f t="shared" si="173"/>
        <v/>
      </c>
      <c r="S570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0" s="307" t="str">
        <f t="shared" si="161"/>
        <v/>
      </c>
      <c r="U570" s="315" t="str">
        <f t="shared" si="162"/>
        <v/>
      </c>
      <c r="V570" s="307">
        <f t="shared" si="166"/>
        <v>0</v>
      </c>
      <c r="W570" s="307">
        <f>IFERROR(IF(V570&gt;0,PROPER(Terbilang1(V570)&amp;" Rupiah"),0),"")</f>
        <v>0</v>
      </c>
      <c r="X570" s="90" t="str">
        <f t="shared" si="167"/>
        <v/>
      </c>
      <c r="Y570" s="307" t="str">
        <f t="shared" si="168"/>
        <v/>
      </c>
      <c r="Z570" s="307">
        <f t="shared" si="163"/>
        <v>0</v>
      </c>
      <c r="AA570" s="366">
        <f t="shared" si="164"/>
        <v>0</v>
      </c>
      <c r="AB570" s="367">
        <f t="shared" si="169"/>
        <v>0</v>
      </c>
      <c r="AC570" s="305">
        <f t="shared" si="170"/>
        <v>0</v>
      </c>
      <c r="AP570" s="89" t="str">
        <f t="shared" si="158"/>
        <v/>
      </c>
      <c r="AQ570" s="89" t="str">
        <f t="shared" si="174"/>
        <v/>
      </c>
      <c r="AR570" s="315" t="str">
        <f t="shared" si="175"/>
        <v/>
      </c>
      <c r="AS570" s="305" t="str">
        <f t="shared" si="171"/>
        <v>0</v>
      </c>
      <c r="AT570" s="307">
        <f>Table22[[#This Row],[Column1]]</f>
        <v>0</v>
      </c>
    </row>
    <row r="571" spans="1:46" x14ac:dyDescent="0.3">
      <c r="A571" s="307">
        <f t="shared" si="165"/>
        <v>0</v>
      </c>
      <c r="B571" s="307">
        <f t="shared" si="172"/>
        <v>0</v>
      </c>
      <c r="C571" s="308" t="s">
        <v>563</v>
      </c>
      <c r="D571" s="309" t="s">
        <v>563</v>
      </c>
      <c r="E571" s="310">
        <v>0</v>
      </c>
      <c r="F571" s="310">
        <v>0</v>
      </c>
      <c r="G571" s="311">
        <v>0</v>
      </c>
      <c r="H571" s="310" t="s">
        <v>563</v>
      </c>
      <c r="I571" s="310" t="s">
        <v>563</v>
      </c>
      <c r="J571" s="310" t="s">
        <v>563</v>
      </c>
      <c r="K571" s="312">
        <v>0</v>
      </c>
      <c r="L571" s="310">
        <v>0</v>
      </c>
      <c r="M571" s="310">
        <v>0</v>
      </c>
      <c r="N571" s="313">
        <v>0</v>
      </c>
      <c r="O571" s="314" t="s">
        <v>563</v>
      </c>
      <c r="P571" s="307">
        <f t="shared" si="159"/>
        <v>0</v>
      </c>
      <c r="R571" s="91" t="str">
        <f t="shared" si="173"/>
        <v/>
      </c>
      <c r="S571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1" s="307" t="str">
        <f t="shared" si="161"/>
        <v/>
      </c>
      <c r="U571" s="315" t="str">
        <f t="shared" si="162"/>
        <v/>
      </c>
      <c r="V571" s="307">
        <f t="shared" si="166"/>
        <v>0</v>
      </c>
      <c r="W571" s="307">
        <f>IFERROR(IF(V571&gt;0,PROPER(Terbilang1(V571)&amp;" Rupiah"),0),"")</f>
        <v>0</v>
      </c>
      <c r="X571" s="90" t="str">
        <f t="shared" si="167"/>
        <v/>
      </c>
      <c r="Y571" s="307" t="str">
        <f t="shared" si="168"/>
        <v/>
      </c>
      <c r="Z571" s="307">
        <f t="shared" si="163"/>
        <v>0</v>
      </c>
      <c r="AA571" s="366">
        <f t="shared" si="164"/>
        <v>0</v>
      </c>
      <c r="AB571" s="367">
        <f t="shared" si="169"/>
        <v>0</v>
      </c>
      <c r="AC571" s="305">
        <f t="shared" si="170"/>
        <v>0</v>
      </c>
      <c r="AP571" s="89" t="str">
        <f t="shared" si="158"/>
        <v/>
      </c>
      <c r="AQ571" s="89" t="str">
        <f t="shared" si="174"/>
        <v/>
      </c>
      <c r="AR571" s="315" t="str">
        <f t="shared" si="175"/>
        <v/>
      </c>
      <c r="AS571" s="305" t="str">
        <f t="shared" si="171"/>
        <v>0</v>
      </c>
      <c r="AT571" s="307">
        <f>Table22[[#This Row],[Column1]]</f>
        <v>0</v>
      </c>
    </row>
    <row r="572" spans="1:46" x14ac:dyDescent="0.3">
      <c r="A572" s="307">
        <f t="shared" si="165"/>
        <v>0</v>
      </c>
      <c r="B572" s="307">
        <f t="shared" si="172"/>
        <v>0</v>
      </c>
      <c r="C572" s="308" t="s">
        <v>563</v>
      </c>
      <c r="D572" s="309" t="s">
        <v>563</v>
      </c>
      <c r="E572" s="310">
        <v>0</v>
      </c>
      <c r="F572" s="310">
        <v>0</v>
      </c>
      <c r="G572" s="311">
        <v>0</v>
      </c>
      <c r="H572" s="310" t="s">
        <v>563</v>
      </c>
      <c r="I572" s="310" t="s">
        <v>563</v>
      </c>
      <c r="J572" s="310" t="s">
        <v>563</v>
      </c>
      <c r="K572" s="312">
        <v>0</v>
      </c>
      <c r="L572" s="310">
        <v>0</v>
      </c>
      <c r="M572" s="310">
        <v>0</v>
      </c>
      <c r="N572" s="313">
        <v>0</v>
      </c>
      <c r="O572" s="314" t="s">
        <v>563</v>
      </c>
      <c r="P572" s="307">
        <f t="shared" si="159"/>
        <v>0</v>
      </c>
      <c r="R572" s="91" t="str">
        <f t="shared" si="173"/>
        <v/>
      </c>
      <c r="S572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2" s="307" t="str">
        <f t="shared" si="161"/>
        <v/>
      </c>
      <c r="U572" s="315" t="str">
        <f t="shared" si="162"/>
        <v/>
      </c>
      <c r="V572" s="307">
        <f t="shared" si="166"/>
        <v>0</v>
      </c>
      <c r="W572" s="307">
        <f>IFERROR(IF(V572&gt;0,PROPER(Terbilang1(V572)&amp;" Rupiah"),0),"")</f>
        <v>0</v>
      </c>
      <c r="X572" s="90" t="str">
        <f t="shared" si="167"/>
        <v/>
      </c>
      <c r="Y572" s="307" t="str">
        <f t="shared" si="168"/>
        <v/>
      </c>
      <c r="Z572" s="307">
        <f t="shared" si="163"/>
        <v>0</v>
      </c>
      <c r="AA572" s="366">
        <f t="shared" si="164"/>
        <v>0</v>
      </c>
      <c r="AB572" s="367">
        <f t="shared" si="169"/>
        <v>0</v>
      </c>
      <c r="AC572" s="305">
        <f t="shared" si="170"/>
        <v>0</v>
      </c>
      <c r="AP572" s="89" t="str">
        <f t="shared" si="158"/>
        <v/>
      </c>
      <c r="AQ572" s="89" t="str">
        <f t="shared" si="174"/>
        <v/>
      </c>
      <c r="AR572" s="315" t="str">
        <f t="shared" si="175"/>
        <v/>
      </c>
      <c r="AS572" s="305" t="str">
        <f t="shared" si="171"/>
        <v>0</v>
      </c>
      <c r="AT572" s="307">
        <f>Table22[[#This Row],[Column1]]</f>
        <v>0</v>
      </c>
    </row>
    <row r="573" spans="1:46" x14ac:dyDescent="0.3">
      <c r="A573" s="307">
        <f t="shared" si="165"/>
        <v>0</v>
      </c>
      <c r="B573" s="307">
        <f t="shared" si="172"/>
        <v>0</v>
      </c>
      <c r="C573" s="308" t="s">
        <v>563</v>
      </c>
      <c r="D573" s="309" t="s">
        <v>563</v>
      </c>
      <c r="E573" s="310">
        <v>0</v>
      </c>
      <c r="F573" s="310">
        <v>0</v>
      </c>
      <c r="G573" s="311">
        <v>0</v>
      </c>
      <c r="H573" s="310" t="s">
        <v>563</v>
      </c>
      <c r="I573" s="310" t="s">
        <v>563</v>
      </c>
      <c r="J573" s="310" t="s">
        <v>563</v>
      </c>
      <c r="K573" s="312">
        <v>0</v>
      </c>
      <c r="L573" s="310">
        <v>0</v>
      </c>
      <c r="M573" s="310">
        <v>0</v>
      </c>
      <c r="N573" s="313">
        <v>0</v>
      </c>
      <c r="O573" s="314" t="s">
        <v>563</v>
      </c>
      <c r="P573" s="307">
        <f t="shared" si="159"/>
        <v>0</v>
      </c>
      <c r="R573" s="91" t="str">
        <f t="shared" si="173"/>
        <v/>
      </c>
      <c r="S573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3" s="307" t="str">
        <f t="shared" si="161"/>
        <v/>
      </c>
      <c r="U573" s="315" t="str">
        <f t="shared" si="162"/>
        <v/>
      </c>
      <c r="V573" s="307">
        <f t="shared" si="166"/>
        <v>0</v>
      </c>
      <c r="W573" s="307">
        <f>IFERROR(IF(V573&gt;0,PROPER(Terbilang1(V573)&amp;" Rupiah"),0),"")</f>
        <v>0</v>
      </c>
      <c r="X573" s="90" t="str">
        <f t="shared" si="167"/>
        <v/>
      </c>
      <c r="Y573" s="307" t="str">
        <f t="shared" si="168"/>
        <v/>
      </c>
      <c r="Z573" s="307">
        <f t="shared" si="163"/>
        <v>0</v>
      </c>
      <c r="AA573" s="366">
        <f t="shared" si="164"/>
        <v>0</v>
      </c>
      <c r="AB573" s="367">
        <f t="shared" si="169"/>
        <v>0</v>
      </c>
      <c r="AC573" s="305">
        <f t="shared" si="170"/>
        <v>0</v>
      </c>
      <c r="AP573" s="89" t="str">
        <f t="shared" si="158"/>
        <v/>
      </c>
      <c r="AQ573" s="89" t="str">
        <f t="shared" si="174"/>
        <v/>
      </c>
      <c r="AR573" s="315" t="str">
        <f t="shared" si="175"/>
        <v/>
      </c>
      <c r="AS573" s="305" t="str">
        <f t="shared" si="171"/>
        <v>0</v>
      </c>
      <c r="AT573" s="307">
        <f>Table22[[#This Row],[Column1]]</f>
        <v>0</v>
      </c>
    </row>
    <row r="574" spans="1:46" x14ac:dyDescent="0.3">
      <c r="A574" s="307">
        <f t="shared" si="165"/>
        <v>0</v>
      </c>
      <c r="B574" s="307">
        <f t="shared" si="172"/>
        <v>0</v>
      </c>
      <c r="C574" s="308" t="s">
        <v>563</v>
      </c>
      <c r="D574" s="309" t="s">
        <v>563</v>
      </c>
      <c r="E574" s="310">
        <v>0</v>
      </c>
      <c r="F574" s="310">
        <v>0</v>
      </c>
      <c r="G574" s="311">
        <v>0</v>
      </c>
      <c r="H574" s="310" t="s">
        <v>563</v>
      </c>
      <c r="I574" s="310" t="s">
        <v>563</v>
      </c>
      <c r="J574" s="310" t="s">
        <v>563</v>
      </c>
      <c r="K574" s="312">
        <v>0</v>
      </c>
      <c r="L574" s="310">
        <v>0</v>
      </c>
      <c r="M574" s="310">
        <v>0</v>
      </c>
      <c r="N574" s="313">
        <v>0</v>
      </c>
      <c r="O574" s="314" t="s">
        <v>563</v>
      </c>
      <c r="P574" s="307">
        <f t="shared" si="159"/>
        <v>0</v>
      </c>
      <c r="R574" s="91" t="str">
        <f t="shared" si="173"/>
        <v/>
      </c>
      <c r="S574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4" s="307" t="str">
        <f t="shared" si="161"/>
        <v/>
      </c>
      <c r="U574" s="315" t="str">
        <f t="shared" si="162"/>
        <v/>
      </c>
      <c r="V574" s="307">
        <f t="shared" si="166"/>
        <v>0</v>
      </c>
      <c r="W574" s="307">
        <f>IFERROR(IF(V574&gt;0,PROPER(Terbilang1(V574)&amp;" Rupiah"),0),"")</f>
        <v>0</v>
      </c>
      <c r="X574" s="90" t="str">
        <f t="shared" si="167"/>
        <v/>
      </c>
      <c r="Y574" s="307" t="str">
        <f t="shared" si="168"/>
        <v/>
      </c>
      <c r="Z574" s="307">
        <f t="shared" si="163"/>
        <v>0</v>
      </c>
      <c r="AA574" s="366">
        <f t="shared" si="164"/>
        <v>0</v>
      </c>
      <c r="AB574" s="367">
        <f t="shared" si="169"/>
        <v>0</v>
      </c>
      <c r="AC574" s="305">
        <f t="shared" si="170"/>
        <v>0</v>
      </c>
      <c r="AP574" s="89" t="str">
        <f t="shared" si="158"/>
        <v/>
      </c>
      <c r="AQ574" s="89" t="str">
        <f t="shared" si="174"/>
        <v/>
      </c>
      <c r="AR574" s="315" t="str">
        <f t="shared" si="175"/>
        <v/>
      </c>
      <c r="AS574" s="305" t="str">
        <f t="shared" si="171"/>
        <v>0</v>
      </c>
      <c r="AT574" s="307">
        <f>Table22[[#This Row],[Column1]]</f>
        <v>0</v>
      </c>
    </row>
    <row r="575" spans="1:46" x14ac:dyDescent="0.3">
      <c r="A575" s="307">
        <f t="shared" si="165"/>
        <v>0</v>
      </c>
      <c r="B575" s="307">
        <f t="shared" si="172"/>
        <v>0</v>
      </c>
      <c r="C575" s="308" t="s">
        <v>563</v>
      </c>
      <c r="D575" s="309" t="s">
        <v>563</v>
      </c>
      <c r="E575" s="310">
        <v>0</v>
      </c>
      <c r="F575" s="310">
        <v>0</v>
      </c>
      <c r="G575" s="311">
        <v>0</v>
      </c>
      <c r="H575" s="310" t="s">
        <v>563</v>
      </c>
      <c r="I575" s="310" t="s">
        <v>563</v>
      </c>
      <c r="J575" s="310" t="s">
        <v>563</v>
      </c>
      <c r="K575" s="312">
        <v>0</v>
      </c>
      <c r="L575" s="310">
        <v>0</v>
      </c>
      <c r="M575" s="310">
        <v>0</v>
      </c>
      <c r="N575" s="313">
        <v>0</v>
      </c>
      <c r="O575" s="314" t="s">
        <v>563</v>
      </c>
      <c r="P575" s="307">
        <f t="shared" si="159"/>
        <v>0</v>
      </c>
      <c r="R575" s="91" t="str">
        <f t="shared" si="173"/>
        <v/>
      </c>
      <c r="S575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5" s="307" t="str">
        <f t="shared" si="161"/>
        <v/>
      </c>
      <c r="U575" s="315" t="str">
        <f t="shared" si="162"/>
        <v/>
      </c>
      <c r="V575" s="307">
        <f t="shared" si="166"/>
        <v>0</v>
      </c>
      <c r="W575" s="307">
        <f>IFERROR(IF(V575&gt;0,PROPER(Terbilang1(V575)&amp;" Rupiah"),0),"")</f>
        <v>0</v>
      </c>
      <c r="X575" s="90" t="str">
        <f t="shared" si="167"/>
        <v/>
      </c>
      <c r="Y575" s="307" t="str">
        <f t="shared" si="168"/>
        <v/>
      </c>
      <c r="Z575" s="307">
        <f t="shared" si="163"/>
        <v>0</v>
      </c>
      <c r="AA575" s="366">
        <f t="shared" si="164"/>
        <v>0</v>
      </c>
      <c r="AB575" s="367">
        <f t="shared" si="169"/>
        <v>0</v>
      </c>
      <c r="AC575" s="305">
        <f t="shared" si="170"/>
        <v>0</v>
      </c>
      <c r="AP575" s="89" t="str">
        <f t="shared" si="158"/>
        <v/>
      </c>
      <c r="AQ575" s="89" t="str">
        <f t="shared" si="174"/>
        <v/>
      </c>
      <c r="AR575" s="315" t="str">
        <f t="shared" si="175"/>
        <v/>
      </c>
      <c r="AS575" s="305" t="str">
        <f t="shared" si="171"/>
        <v>0</v>
      </c>
      <c r="AT575" s="307">
        <f>Table22[[#This Row],[Column1]]</f>
        <v>0</v>
      </c>
    </row>
    <row r="576" spans="1:46" x14ac:dyDescent="0.3">
      <c r="A576" s="307">
        <f t="shared" si="165"/>
        <v>0</v>
      </c>
      <c r="B576" s="307">
        <f t="shared" si="172"/>
        <v>0</v>
      </c>
      <c r="C576" s="308" t="s">
        <v>563</v>
      </c>
      <c r="D576" s="309" t="s">
        <v>563</v>
      </c>
      <c r="E576" s="310">
        <v>0</v>
      </c>
      <c r="F576" s="310">
        <v>0</v>
      </c>
      <c r="G576" s="311">
        <v>0</v>
      </c>
      <c r="H576" s="310" t="s">
        <v>563</v>
      </c>
      <c r="I576" s="310" t="s">
        <v>563</v>
      </c>
      <c r="J576" s="310" t="s">
        <v>563</v>
      </c>
      <c r="K576" s="312">
        <v>0</v>
      </c>
      <c r="L576" s="310">
        <v>0</v>
      </c>
      <c r="M576" s="310">
        <v>0</v>
      </c>
      <c r="N576" s="313">
        <v>0</v>
      </c>
      <c r="O576" s="314" t="s">
        <v>563</v>
      </c>
      <c r="P576" s="307">
        <f t="shared" si="159"/>
        <v>0</v>
      </c>
      <c r="R576" s="91" t="str">
        <f t="shared" si="173"/>
        <v/>
      </c>
      <c r="S576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6" s="307" t="str">
        <f t="shared" si="161"/>
        <v/>
      </c>
      <c r="U576" s="315" t="str">
        <f t="shared" si="162"/>
        <v/>
      </c>
      <c r="V576" s="307">
        <f t="shared" si="166"/>
        <v>0</v>
      </c>
      <c r="W576" s="307">
        <f>IFERROR(IF(V576&gt;0,PROPER(Terbilang1(V576)&amp;" Rupiah"),0),"")</f>
        <v>0</v>
      </c>
      <c r="X576" s="90" t="str">
        <f t="shared" si="167"/>
        <v/>
      </c>
      <c r="Y576" s="307" t="str">
        <f t="shared" si="168"/>
        <v/>
      </c>
      <c r="Z576" s="307">
        <f t="shared" si="163"/>
        <v>0</v>
      </c>
      <c r="AA576" s="366">
        <f t="shared" si="164"/>
        <v>0</v>
      </c>
      <c r="AB576" s="367">
        <f t="shared" si="169"/>
        <v>0</v>
      </c>
      <c r="AC576" s="305">
        <f t="shared" si="170"/>
        <v>0</v>
      </c>
      <c r="AP576" s="89" t="str">
        <f t="shared" si="158"/>
        <v/>
      </c>
      <c r="AQ576" s="89" t="str">
        <f t="shared" si="174"/>
        <v/>
      </c>
      <c r="AR576" s="315" t="str">
        <f t="shared" si="175"/>
        <v/>
      </c>
      <c r="AS576" s="305" t="str">
        <f t="shared" si="171"/>
        <v>0</v>
      </c>
      <c r="AT576" s="307">
        <f>Table22[[#This Row],[Column1]]</f>
        <v>0</v>
      </c>
    </row>
    <row r="577" spans="1:46" x14ac:dyDescent="0.3">
      <c r="A577" s="307">
        <f t="shared" si="165"/>
        <v>0</v>
      </c>
      <c r="B577" s="307">
        <f t="shared" si="172"/>
        <v>0</v>
      </c>
      <c r="C577" s="308" t="s">
        <v>563</v>
      </c>
      <c r="D577" s="309" t="s">
        <v>563</v>
      </c>
      <c r="E577" s="310">
        <v>0</v>
      </c>
      <c r="F577" s="310">
        <v>0</v>
      </c>
      <c r="G577" s="311">
        <v>0</v>
      </c>
      <c r="H577" s="310" t="s">
        <v>563</v>
      </c>
      <c r="I577" s="310" t="s">
        <v>563</v>
      </c>
      <c r="J577" s="310" t="s">
        <v>563</v>
      </c>
      <c r="K577" s="312">
        <v>0</v>
      </c>
      <c r="L577" s="310">
        <v>0</v>
      </c>
      <c r="M577" s="310">
        <v>0</v>
      </c>
      <c r="N577" s="313">
        <v>0</v>
      </c>
      <c r="O577" s="314" t="s">
        <v>563</v>
      </c>
      <c r="P577" s="307">
        <f t="shared" si="159"/>
        <v>0</v>
      </c>
      <c r="R577" s="91" t="str">
        <f t="shared" si="173"/>
        <v/>
      </c>
      <c r="S577" s="307" t="str">
        <f t="shared" si="16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7" s="307" t="str">
        <f t="shared" si="161"/>
        <v/>
      </c>
      <c r="U577" s="315" t="str">
        <f t="shared" si="162"/>
        <v/>
      </c>
      <c r="V577" s="307">
        <f t="shared" si="166"/>
        <v>0</v>
      </c>
      <c r="W577" s="307">
        <f>IFERROR(IF(V577&gt;0,PROPER(Terbilang1(V577)&amp;" Rupiah"),0),"")</f>
        <v>0</v>
      </c>
      <c r="X577" s="90" t="str">
        <f t="shared" si="167"/>
        <v/>
      </c>
      <c r="Y577" s="307" t="str">
        <f t="shared" si="168"/>
        <v/>
      </c>
      <c r="Z577" s="307">
        <f t="shared" si="163"/>
        <v>0</v>
      </c>
      <c r="AA577" s="366">
        <f t="shared" si="164"/>
        <v>0</v>
      </c>
      <c r="AB577" s="367">
        <f t="shared" si="169"/>
        <v>0</v>
      </c>
      <c r="AC577" s="305">
        <f t="shared" si="170"/>
        <v>0</v>
      </c>
      <c r="AP577" s="89" t="str">
        <f t="shared" ref="AP577:AP640" si="176">IF(LEFT(O577,3)="BKK",1,"")</f>
        <v/>
      </c>
      <c r="AQ577" s="89" t="str">
        <f t="shared" si="174"/>
        <v/>
      </c>
      <c r="AR577" s="315" t="str">
        <f t="shared" si="175"/>
        <v/>
      </c>
      <c r="AS577" s="305" t="str">
        <f t="shared" si="171"/>
        <v>0</v>
      </c>
      <c r="AT577" s="307">
        <f>Table22[[#This Row],[Column1]]</f>
        <v>0</v>
      </c>
    </row>
    <row r="578" spans="1:46" x14ac:dyDescent="0.3">
      <c r="A578" s="307">
        <f t="shared" si="165"/>
        <v>0</v>
      </c>
      <c r="B578" s="307">
        <f t="shared" si="172"/>
        <v>0</v>
      </c>
      <c r="C578" s="308" t="s">
        <v>563</v>
      </c>
      <c r="D578" s="309" t="s">
        <v>563</v>
      </c>
      <c r="E578" s="310">
        <v>0</v>
      </c>
      <c r="F578" s="310">
        <v>0</v>
      </c>
      <c r="G578" s="311">
        <v>0</v>
      </c>
      <c r="H578" s="310" t="s">
        <v>563</v>
      </c>
      <c r="I578" s="310" t="s">
        <v>563</v>
      </c>
      <c r="J578" s="310" t="s">
        <v>563</v>
      </c>
      <c r="K578" s="312">
        <v>0</v>
      </c>
      <c r="L578" s="310">
        <v>0</v>
      </c>
      <c r="M578" s="310">
        <v>0</v>
      </c>
      <c r="N578" s="313">
        <v>0</v>
      </c>
      <c r="O578" s="314" t="s">
        <v>563</v>
      </c>
      <c r="P578" s="307">
        <f t="shared" ref="P578:P641" si="177">IF(LEFT(O578,1)="B",R578,0)</f>
        <v>0</v>
      </c>
      <c r="R578" s="91" t="str">
        <f t="shared" si="173"/>
        <v/>
      </c>
      <c r="S578" s="307" t="str">
        <f t="shared" ref="S578:S641" si="178">IF(O578="",S577&amp;"a",IF(O578&gt;0,O578,0))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8" s="307" t="str">
        <f t="shared" ref="T578:T641" si="179">IF(G578=0,"",G578)</f>
        <v/>
      </c>
      <c r="U578" s="315" t="str">
        <f t="shared" ref="U578:U641" si="180">D578</f>
        <v/>
      </c>
      <c r="V578" s="307">
        <f t="shared" si="166"/>
        <v>0</v>
      </c>
      <c r="W578" s="307">
        <f>IFERROR(IF(V578&gt;0,PROPER(Terbilang1(V578)&amp;" Rupiah"),0),"")</f>
        <v>0</v>
      </c>
      <c r="X578" s="90" t="str">
        <f t="shared" si="167"/>
        <v/>
      </c>
      <c r="Y578" s="307" t="str">
        <f t="shared" si="168"/>
        <v/>
      </c>
      <c r="Z578" s="307">
        <f t="shared" ref="Z578:Z641" si="181">IF(LEN(AA578)&gt;1,AA578,IF(AA578=0,AB578,0))</f>
        <v>0</v>
      </c>
      <c r="AA578" s="366">
        <f t="shared" ref="AA578:AA641" si="182">IFERROR(IF(AND(N578&gt;1,LEFT(G578,5)="Bayar"),N578*3.5%,IF(N578&gt;2000000,N578*(IF(OR(LEFT(F578,3)="MoP",LEFT(F578,3)="GaJ"),0,11%)),0)),0)</f>
        <v>0</v>
      </c>
      <c r="AB578" s="367">
        <f t="shared" si="169"/>
        <v>0</v>
      </c>
      <c r="AC578" s="305">
        <f t="shared" si="170"/>
        <v>0</v>
      </c>
      <c r="AP578" s="89" t="str">
        <f t="shared" si="176"/>
        <v/>
      </c>
      <c r="AQ578" s="89" t="str">
        <f t="shared" si="174"/>
        <v/>
      </c>
      <c r="AR578" s="315" t="str">
        <f t="shared" si="175"/>
        <v/>
      </c>
      <c r="AS578" s="305" t="str">
        <f t="shared" si="171"/>
        <v>0</v>
      </c>
      <c r="AT578" s="307">
        <f>Table22[[#This Row],[Column1]]</f>
        <v>0</v>
      </c>
    </row>
    <row r="579" spans="1:46" x14ac:dyDescent="0.3">
      <c r="A579" s="307">
        <f t="shared" ref="A579:A642" si="183">IF(C579=1,C579&amp;"."&amp;MOD(ROW()-1,$AJ$2+1),IF(C579=2,C579&amp;"."&amp;MOD(ROW()-($AJ$2+1),$AK$2+1),IF(C579=3,C579&amp;"."&amp;MOD(ROW()-($AJ$2+$AK$2+1),$AL$2+1),IF(C579=4,C579&amp;"."&amp;MOD(ROW()-($AJ$2+$AK$2+$AL$2+1),$AM$2+1),IF(C579=5,C579&amp;"."&amp;MOD(ROW()-($AJ$2+$AK$2+$AL$2+$AM$2+1),$AN$2+1),0)))))</f>
        <v>0</v>
      </c>
      <c r="B579" s="307">
        <f t="shared" si="172"/>
        <v>0</v>
      </c>
      <c r="C579" s="308" t="s">
        <v>563</v>
      </c>
      <c r="D579" s="309" t="s">
        <v>563</v>
      </c>
      <c r="E579" s="310">
        <v>0</v>
      </c>
      <c r="F579" s="310">
        <v>0</v>
      </c>
      <c r="G579" s="311">
        <v>0</v>
      </c>
      <c r="H579" s="310" t="s">
        <v>563</v>
      </c>
      <c r="I579" s="310" t="s">
        <v>563</v>
      </c>
      <c r="J579" s="310" t="s">
        <v>563</v>
      </c>
      <c r="K579" s="312">
        <v>0</v>
      </c>
      <c r="L579" s="310">
        <v>0</v>
      </c>
      <c r="M579" s="310">
        <v>0</v>
      </c>
      <c r="N579" s="313">
        <v>0</v>
      </c>
      <c r="O579" s="314" t="s">
        <v>563</v>
      </c>
      <c r="P579" s="307">
        <f t="shared" si="177"/>
        <v>0</v>
      </c>
      <c r="R579" s="91" t="str">
        <f t="shared" si="173"/>
        <v/>
      </c>
      <c r="S57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79" s="307" t="str">
        <f t="shared" si="179"/>
        <v/>
      </c>
      <c r="U579" s="315" t="str">
        <f t="shared" si="180"/>
        <v/>
      </c>
      <c r="V579" s="307">
        <f t="shared" ref="V579:V642" si="184">N579</f>
        <v>0</v>
      </c>
      <c r="W579" s="307">
        <f>IFERROR(IF(V579&gt;0,PROPER(Terbilang1(V579)&amp;" Rupiah"),0),"")</f>
        <v>0</v>
      </c>
      <c r="X579" s="90" t="str">
        <f t="shared" ref="X579:X642" si="185">J579</f>
        <v/>
      </c>
      <c r="Y579" s="307" t="str">
        <f t="shared" ref="Y579:Y642" si="186">H579</f>
        <v/>
      </c>
      <c r="Z579" s="307">
        <f t="shared" si="181"/>
        <v>0</v>
      </c>
      <c r="AA579" s="366">
        <f t="shared" si="182"/>
        <v>0</v>
      </c>
      <c r="AB579" s="367">
        <f t="shared" ref="AB579:AB642" si="187">IF(LEN(AA578)&gt;1,IF(LEFT(G578,5)="Bayar",0,IF(LEFT(G578,6)="PEMASA",(N578*100/111*1.5%),N578*0.015)),0)</f>
        <v>0</v>
      </c>
      <c r="AC579" s="305">
        <f t="shared" ref="AC579:AC642" si="188">IF(LEN(AA579)&gt;1,IF(LEFT(G579,6)="PEMASA","Terima Pajak PPN (11 %) "&amp;O579,IF(LEFT(G579,5)="Bayar","Terima PPh Pasal 4 ayat 2 (3,5 %) "&amp;O579,"Bayar Pajak PPN (11 %) "&amp;O579)),IF(AB579&gt;0,IF(LEFT(AC578,6)="Terima","Terima Pajak PPH (1,5%) "&amp;O578,"Bayar Pajak PPH (1,5 %) "&amp;O578),0))</f>
        <v>0</v>
      </c>
      <c r="AP579" s="89" t="str">
        <f t="shared" si="176"/>
        <v/>
      </c>
      <c r="AQ579" s="89" t="str">
        <f t="shared" si="174"/>
        <v/>
      </c>
      <c r="AR579" s="315" t="str">
        <f t="shared" si="175"/>
        <v/>
      </c>
      <c r="AS579" s="305" t="str">
        <f t="shared" ref="AS579:AS642" si="189">IF(AC579="","",LEFT(AC579,15))</f>
        <v>0</v>
      </c>
      <c r="AT579" s="307">
        <f>Table22[[#This Row],[Column1]]</f>
        <v>0</v>
      </c>
    </row>
    <row r="580" spans="1:46" x14ac:dyDescent="0.3">
      <c r="A580" s="307">
        <f t="shared" si="183"/>
        <v>0</v>
      </c>
      <c r="B580" s="307">
        <f t="shared" si="172"/>
        <v>0</v>
      </c>
      <c r="C580" s="308" t="s">
        <v>563</v>
      </c>
      <c r="D580" s="309" t="s">
        <v>563</v>
      </c>
      <c r="E580" s="310">
        <v>0</v>
      </c>
      <c r="F580" s="310">
        <v>0</v>
      </c>
      <c r="G580" s="311">
        <v>0</v>
      </c>
      <c r="H580" s="310" t="s">
        <v>563</v>
      </c>
      <c r="I580" s="310" t="s">
        <v>563</v>
      </c>
      <c r="J580" s="310" t="s">
        <v>563</v>
      </c>
      <c r="K580" s="312">
        <v>0</v>
      </c>
      <c r="L580" s="310">
        <v>0</v>
      </c>
      <c r="M580" s="310">
        <v>0</v>
      </c>
      <c r="N580" s="313">
        <v>0</v>
      </c>
      <c r="O580" s="314" t="s">
        <v>563</v>
      </c>
      <c r="P580" s="307">
        <f t="shared" si="177"/>
        <v>0</v>
      </c>
      <c r="R580" s="91" t="str">
        <f t="shared" si="173"/>
        <v/>
      </c>
      <c r="S58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0" s="307" t="str">
        <f t="shared" si="179"/>
        <v/>
      </c>
      <c r="U580" s="315" t="str">
        <f t="shared" si="180"/>
        <v/>
      </c>
      <c r="V580" s="307">
        <f t="shared" si="184"/>
        <v>0</v>
      </c>
      <c r="W580" s="307">
        <f>IFERROR(IF(V580&gt;0,PROPER(Terbilang1(V580)&amp;" Rupiah"),0),"")</f>
        <v>0</v>
      </c>
      <c r="X580" s="90" t="str">
        <f t="shared" si="185"/>
        <v/>
      </c>
      <c r="Y580" s="307" t="str">
        <f t="shared" si="186"/>
        <v/>
      </c>
      <c r="Z580" s="307">
        <f t="shared" si="181"/>
        <v>0</v>
      </c>
      <c r="AA580" s="366">
        <f t="shared" si="182"/>
        <v>0</v>
      </c>
      <c r="AB580" s="367">
        <f t="shared" si="187"/>
        <v>0</v>
      </c>
      <c r="AC580" s="305">
        <f t="shared" si="188"/>
        <v>0</v>
      </c>
      <c r="AP580" s="89" t="str">
        <f t="shared" si="176"/>
        <v/>
      </c>
      <c r="AQ580" s="89" t="str">
        <f t="shared" si="174"/>
        <v/>
      </c>
      <c r="AR580" s="315" t="str">
        <f t="shared" si="175"/>
        <v/>
      </c>
      <c r="AS580" s="305" t="str">
        <f t="shared" si="189"/>
        <v>0</v>
      </c>
      <c r="AT580" s="307">
        <f>Table22[[#This Row],[Column1]]</f>
        <v>0</v>
      </c>
    </row>
    <row r="581" spans="1:46" x14ac:dyDescent="0.3">
      <c r="A581" s="307">
        <f t="shared" si="183"/>
        <v>0</v>
      </c>
      <c r="B581" s="307">
        <f t="shared" si="172"/>
        <v>0</v>
      </c>
      <c r="C581" s="308" t="s">
        <v>563</v>
      </c>
      <c r="D581" s="309" t="s">
        <v>563</v>
      </c>
      <c r="E581" s="310">
        <v>0</v>
      </c>
      <c r="F581" s="310">
        <v>0</v>
      </c>
      <c r="G581" s="311">
        <v>0</v>
      </c>
      <c r="H581" s="310" t="s">
        <v>563</v>
      </c>
      <c r="I581" s="310" t="s">
        <v>563</v>
      </c>
      <c r="J581" s="310" t="s">
        <v>563</v>
      </c>
      <c r="K581" s="312">
        <v>0</v>
      </c>
      <c r="L581" s="310">
        <v>0</v>
      </c>
      <c r="M581" s="310">
        <v>0</v>
      </c>
      <c r="N581" s="313">
        <v>0</v>
      </c>
      <c r="O581" s="314" t="s">
        <v>563</v>
      </c>
      <c r="P581" s="307">
        <f t="shared" si="177"/>
        <v>0</v>
      </c>
      <c r="R581" s="91" t="str">
        <f t="shared" si="173"/>
        <v/>
      </c>
      <c r="S58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1" s="307" t="str">
        <f t="shared" si="179"/>
        <v/>
      </c>
      <c r="U581" s="315" t="str">
        <f t="shared" si="180"/>
        <v/>
      </c>
      <c r="V581" s="307">
        <f t="shared" si="184"/>
        <v>0</v>
      </c>
      <c r="W581" s="307">
        <f>IFERROR(IF(V581&gt;0,PROPER(Terbilang1(V581)&amp;" Rupiah"),0),"")</f>
        <v>0</v>
      </c>
      <c r="X581" s="90" t="str">
        <f t="shared" si="185"/>
        <v/>
      </c>
      <c r="Y581" s="307" t="str">
        <f t="shared" si="186"/>
        <v/>
      </c>
      <c r="Z581" s="307">
        <f t="shared" si="181"/>
        <v>0</v>
      </c>
      <c r="AA581" s="366">
        <f t="shared" si="182"/>
        <v>0</v>
      </c>
      <c r="AB581" s="367">
        <f t="shared" si="187"/>
        <v>0</v>
      </c>
      <c r="AC581" s="305">
        <f t="shared" si="188"/>
        <v>0</v>
      </c>
      <c r="AP581" s="89" t="str">
        <f t="shared" si="176"/>
        <v/>
      </c>
      <c r="AQ581" s="89" t="str">
        <f t="shared" si="174"/>
        <v/>
      </c>
      <c r="AR581" s="315" t="str">
        <f t="shared" si="175"/>
        <v/>
      </c>
      <c r="AS581" s="305" t="str">
        <f t="shared" si="189"/>
        <v>0</v>
      </c>
      <c r="AT581" s="307">
        <f>Table22[[#This Row],[Column1]]</f>
        <v>0</v>
      </c>
    </row>
    <row r="582" spans="1:46" x14ac:dyDescent="0.3">
      <c r="A582" s="307">
        <f t="shared" si="183"/>
        <v>0</v>
      </c>
      <c r="B582" s="307">
        <f t="shared" si="172"/>
        <v>0</v>
      </c>
      <c r="C582" s="308" t="s">
        <v>563</v>
      </c>
      <c r="D582" s="309" t="s">
        <v>563</v>
      </c>
      <c r="E582" s="310">
        <v>0</v>
      </c>
      <c r="F582" s="310">
        <v>0</v>
      </c>
      <c r="G582" s="311">
        <v>0</v>
      </c>
      <c r="H582" s="310" t="s">
        <v>563</v>
      </c>
      <c r="I582" s="310" t="s">
        <v>563</v>
      </c>
      <c r="J582" s="310" t="s">
        <v>563</v>
      </c>
      <c r="K582" s="312">
        <v>0</v>
      </c>
      <c r="L582" s="310">
        <v>0</v>
      </c>
      <c r="M582" s="310">
        <v>0</v>
      </c>
      <c r="N582" s="313">
        <v>0</v>
      </c>
      <c r="O582" s="314" t="s">
        <v>563</v>
      </c>
      <c r="P582" s="307">
        <f t="shared" si="177"/>
        <v>0</v>
      </c>
      <c r="R582" s="91" t="str">
        <f t="shared" si="173"/>
        <v/>
      </c>
      <c r="S58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2" s="307" t="str">
        <f t="shared" si="179"/>
        <v/>
      </c>
      <c r="U582" s="315" t="str">
        <f t="shared" si="180"/>
        <v/>
      </c>
      <c r="V582" s="307">
        <f t="shared" si="184"/>
        <v>0</v>
      </c>
      <c r="W582" s="307">
        <f>IFERROR(IF(V582&gt;0,PROPER(Terbilang1(V582)&amp;" Rupiah"),0),"")</f>
        <v>0</v>
      </c>
      <c r="X582" s="90" t="str">
        <f t="shared" si="185"/>
        <v/>
      </c>
      <c r="Y582" s="307" t="str">
        <f t="shared" si="186"/>
        <v/>
      </c>
      <c r="Z582" s="307">
        <f t="shared" si="181"/>
        <v>0</v>
      </c>
      <c r="AA582" s="366">
        <f t="shared" si="182"/>
        <v>0</v>
      </c>
      <c r="AB582" s="367">
        <f t="shared" si="187"/>
        <v>0</v>
      </c>
      <c r="AC582" s="305">
        <f t="shared" si="188"/>
        <v>0</v>
      </c>
      <c r="AP582" s="89" t="str">
        <f t="shared" si="176"/>
        <v/>
      </c>
      <c r="AQ582" s="89" t="str">
        <f t="shared" si="174"/>
        <v/>
      </c>
      <c r="AR582" s="315" t="str">
        <f t="shared" si="175"/>
        <v/>
      </c>
      <c r="AS582" s="305" t="str">
        <f t="shared" si="189"/>
        <v>0</v>
      </c>
      <c r="AT582" s="307">
        <f>Table22[[#This Row],[Column1]]</f>
        <v>0</v>
      </c>
    </row>
    <row r="583" spans="1:46" x14ac:dyDescent="0.3">
      <c r="A583" s="307">
        <f t="shared" si="183"/>
        <v>0</v>
      </c>
      <c r="B583" s="307">
        <f t="shared" si="172"/>
        <v>0</v>
      </c>
      <c r="C583" s="308" t="s">
        <v>563</v>
      </c>
      <c r="D583" s="309" t="s">
        <v>563</v>
      </c>
      <c r="E583" s="310">
        <v>0</v>
      </c>
      <c r="F583" s="310">
        <v>0</v>
      </c>
      <c r="G583" s="311">
        <v>0</v>
      </c>
      <c r="H583" s="310" t="s">
        <v>563</v>
      </c>
      <c r="I583" s="310" t="s">
        <v>563</v>
      </c>
      <c r="J583" s="310" t="s">
        <v>563</v>
      </c>
      <c r="K583" s="312">
        <v>0</v>
      </c>
      <c r="L583" s="310">
        <v>0</v>
      </c>
      <c r="M583" s="310">
        <v>0</v>
      </c>
      <c r="N583" s="313">
        <v>0</v>
      </c>
      <c r="O583" s="314" t="s">
        <v>563</v>
      </c>
      <c r="P583" s="307">
        <f t="shared" si="177"/>
        <v>0</v>
      </c>
      <c r="R583" s="91" t="str">
        <f t="shared" si="173"/>
        <v/>
      </c>
      <c r="S58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3" s="307" t="str">
        <f t="shared" si="179"/>
        <v/>
      </c>
      <c r="U583" s="315" t="str">
        <f t="shared" si="180"/>
        <v/>
      </c>
      <c r="V583" s="307">
        <f t="shared" si="184"/>
        <v>0</v>
      </c>
      <c r="W583" s="307">
        <f>IFERROR(IF(V583&gt;0,PROPER(Terbilang1(V583)&amp;" Rupiah"),0),"")</f>
        <v>0</v>
      </c>
      <c r="X583" s="90" t="str">
        <f t="shared" si="185"/>
        <v/>
      </c>
      <c r="Y583" s="307" t="str">
        <f t="shared" si="186"/>
        <v/>
      </c>
      <c r="Z583" s="307">
        <f t="shared" si="181"/>
        <v>0</v>
      </c>
      <c r="AA583" s="366">
        <f t="shared" si="182"/>
        <v>0</v>
      </c>
      <c r="AB583" s="367">
        <f t="shared" si="187"/>
        <v>0</v>
      </c>
      <c r="AC583" s="305">
        <f t="shared" si="188"/>
        <v>0</v>
      </c>
      <c r="AP583" s="89" t="str">
        <f t="shared" si="176"/>
        <v/>
      </c>
      <c r="AQ583" s="89" t="str">
        <f t="shared" si="174"/>
        <v/>
      </c>
      <c r="AR583" s="315" t="str">
        <f t="shared" si="175"/>
        <v/>
      </c>
      <c r="AS583" s="305" t="str">
        <f t="shared" si="189"/>
        <v>0</v>
      </c>
      <c r="AT583" s="307">
        <f>Table22[[#This Row],[Column1]]</f>
        <v>0</v>
      </c>
    </row>
    <row r="584" spans="1:46" x14ac:dyDescent="0.3">
      <c r="A584" s="307">
        <f t="shared" si="183"/>
        <v>0</v>
      </c>
      <c r="B584" s="307">
        <f t="shared" si="172"/>
        <v>0</v>
      </c>
      <c r="C584" s="308" t="s">
        <v>563</v>
      </c>
      <c r="D584" s="309" t="s">
        <v>563</v>
      </c>
      <c r="E584" s="310">
        <v>0</v>
      </c>
      <c r="F584" s="310">
        <v>0</v>
      </c>
      <c r="G584" s="311">
        <v>0</v>
      </c>
      <c r="H584" s="310" t="s">
        <v>563</v>
      </c>
      <c r="I584" s="310" t="s">
        <v>563</v>
      </c>
      <c r="J584" s="310" t="s">
        <v>563</v>
      </c>
      <c r="K584" s="312">
        <v>0</v>
      </c>
      <c r="L584" s="310">
        <v>0</v>
      </c>
      <c r="M584" s="310">
        <v>0</v>
      </c>
      <c r="N584" s="313">
        <v>0</v>
      </c>
      <c r="O584" s="314" t="s">
        <v>563</v>
      </c>
      <c r="P584" s="307">
        <f t="shared" si="177"/>
        <v>0</v>
      </c>
      <c r="R584" s="91" t="str">
        <f t="shared" si="173"/>
        <v/>
      </c>
      <c r="S58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4" s="307" t="str">
        <f t="shared" si="179"/>
        <v/>
      </c>
      <c r="U584" s="315" t="str">
        <f t="shared" si="180"/>
        <v/>
      </c>
      <c r="V584" s="307">
        <f t="shared" si="184"/>
        <v>0</v>
      </c>
      <c r="W584" s="307">
        <f>IFERROR(IF(V584&gt;0,PROPER(Terbilang1(V584)&amp;" Rupiah"),0),"")</f>
        <v>0</v>
      </c>
      <c r="X584" s="90" t="str">
        <f t="shared" si="185"/>
        <v/>
      </c>
      <c r="Y584" s="307" t="str">
        <f t="shared" si="186"/>
        <v/>
      </c>
      <c r="Z584" s="307">
        <f t="shared" si="181"/>
        <v>0</v>
      </c>
      <c r="AA584" s="366">
        <f t="shared" si="182"/>
        <v>0</v>
      </c>
      <c r="AB584" s="367">
        <f t="shared" si="187"/>
        <v>0</v>
      </c>
      <c r="AC584" s="305">
        <f t="shared" si="188"/>
        <v>0</v>
      </c>
      <c r="AP584" s="89" t="str">
        <f t="shared" si="176"/>
        <v/>
      </c>
      <c r="AQ584" s="89" t="str">
        <f t="shared" si="174"/>
        <v/>
      </c>
      <c r="AR584" s="315" t="str">
        <f t="shared" si="175"/>
        <v/>
      </c>
      <c r="AS584" s="305" t="str">
        <f t="shared" si="189"/>
        <v>0</v>
      </c>
      <c r="AT584" s="307">
        <f>Table22[[#This Row],[Column1]]</f>
        <v>0</v>
      </c>
    </row>
    <row r="585" spans="1:46" x14ac:dyDescent="0.3">
      <c r="A585" s="307">
        <f t="shared" si="183"/>
        <v>0</v>
      </c>
      <c r="B585" s="307">
        <f t="shared" si="172"/>
        <v>0</v>
      </c>
      <c r="C585" s="308" t="s">
        <v>563</v>
      </c>
      <c r="D585" s="309" t="s">
        <v>563</v>
      </c>
      <c r="E585" s="310">
        <v>0</v>
      </c>
      <c r="F585" s="310">
        <v>0</v>
      </c>
      <c r="G585" s="311">
        <v>0</v>
      </c>
      <c r="H585" s="310" t="s">
        <v>563</v>
      </c>
      <c r="I585" s="310" t="s">
        <v>563</v>
      </c>
      <c r="J585" s="310" t="s">
        <v>563</v>
      </c>
      <c r="K585" s="312">
        <v>0</v>
      </c>
      <c r="L585" s="310">
        <v>0</v>
      </c>
      <c r="M585" s="310">
        <v>0</v>
      </c>
      <c r="N585" s="313">
        <v>0</v>
      </c>
      <c r="O585" s="314" t="s">
        <v>563</v>
      </c>
      <c r="P585" s="307">
        <f t="shared" si="177"/>
        <v>0</v>
      </c>
      <c r="R585" s="91" t="str">
        <f t="shared" si="173"/>
        <v/>
      </c>
      <c r="S58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5" s="307" t="str">
        <f t="shared" si="179"/>
        <v/>
      </c>
      <c r="U585" s="315" t="str">
        <f t="shared" si="180"/>
        <v/>
      </c>
      <c r="V585" s="307">
        <f t="shared" si="184"/>
        <v>0</v>
      </c>
      <c r="W585" s="307">
        <f>IFERROR(IF(V585&gt;0,PROPER(Terbilang1(V585)&amp;" Rupiah"),0),"")</f>
        <v>0</v>
      </c>
      <c r="X585" s="90" t="str">
        <f t="shared" si="185"/>
        <v/>
      </c>
      <c r="Y585" s="307" t="str">
        <f t="shared" si="186"/>
        <v/>
      </c>
      <c r="Z585" s="307">
        <f t="shared" si="181"/>
        <v>0</v>
      </c>
      <c r="AA585" s="366">
        <f t="shared" si="182"/>
        <v>0</v>
      </c>
      <c r="AB585" s="367">
        <f t="shared" si="187"/>
        <v>0</v>
      </c>
      <c r="AC585" s="305">
        <f t="shared" si="188"/>
        <v>0</v>
      </c>
      <c r="AP585" s="89" t="str">
        <f t="shared" si="176"/>
        <v/>
      </c>
      <c r="AQ585" s="89" t="str">
        <f t="shared" si="174"/>
        <v/>
      </c>
      <c r="AR585" s="315" t="str">
        <f t="shared" si="175"/>
        <v/>
      </c>
      <c r="AS585" s="305" t="str">
        <f t="shared" si="189"/>
        <v>0</v>
      </c>
      <c r="AT585" s="307">
        <f>Table22[[#This Row],[Column1]]</f>
        <v>0</v>
      </c>
    </row>
    <row r="586" spans="1:46" x14ac:dyDescent="0.3">
      <c r="A586" s="307">
        <f t="shared" si="183"/>
        <v>0</v>
      </c>
      <c r="B586" s="307">
        <f t="shared" si="172"/>
        <v>0</v>
      </c>
      <c r="C586" s="308" t="s">
        <v>563</v>
      </c>
      <c r="D586" s="309" t="s">
        <v>563</v>
      </c>
      <c r="E586" s="310">
        <v>0</v>
      </c>
      <c r="F586" s="310">
        <v>0</v>
      </c>
      <c r="G586" s="311">
        <v>0</v>
      </c>
      <c r="H586" s="310" t="s">
        <v>563</v>
      </c>
      <c r="I586" s="310" t="s">
        <v>563</v>
      </c>
      <c r="J586" s="310" t="s">
        <v>563</v>
      </c>
      <c r="K586" s="312">
        <v>0</v>
      </c>
      <c r="L586" s="310">
        <v>0</v>
      </c>
      <c r="M586" s="310">
        <v>0</v>
      </c>
      <c r="N586" s="313">
        <v>0</v>
      </c>
      <c r="O586" s="314" t="s">
        <v>563</v>
      </c>
      <c r="P586" s="307">
        <f t="shared" si="177"/>
        <v>0</v>
      </c>
      <c r="R586" s="91" t="str">
        <f t="shared" si="173"/>
        <v/>
      </c>
      <c r="S58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6" s="307" t="str">
        <f t="shared" si="179"/>
        <v/>
      </c>
      <c r="U586" s="315" t="str">
        <f t="shared" si="180"/>
        <v/>
      </c>
      <c r="V586" s="307">
        <f t="shared" si="184"/>
        <v>0</v>
      </c>
      <c r="W586" s="307">
        <f>IFERROR(IF(V586&gt;0,PROPER(Terbilang1(V586)&amp;" Rupiah"),0),"")</f>
        <v>0</v>
      </c>
      <c r="X586" s="90" t="str">
        <f t="shared" si="185"/>
        <v/>
      </c>
      <c r="Y586" s="307" t="str">
        <f t="shared" si="186"/>
        <v/>
      </c>
      <c r="Z586" s="307">
        <f t="shared" si="181"/>
        <v>0</v>
      </c>
      <c r="AA586" s="366">
        <f t="shared" si="182"/>
        <v>0</v>
      </c>
      <c r="AB586" s="367">
        <f t="shared" si="187"/>
        <v>0</v>
      </c>
      <c r="AC586" s="305">
        <f t="shared" si="188"/>
        <v>0</v>
      </c>
      <c r="AP586" s="89" t="str">
        <f t="shared" si="176"/>
        <v/>
      </c>
      <c r="AQ586" s="89" t="str">
        <f t="shared" si="174"/>
        <v/>
      </c>
      <c r="AR586" s="315" t="str">
        <f t="shared" si="175"/>
        <v/>
      </c>
      <c r="AS586" s="305" t="str">
        <f t="shared" si="189"/>
        <v>0</v>
      </c>
      <c r="AT586" s="307">
        <f>Table22[[#This Row],[Column1]]</f>
        <v>0</v>
      </c>
    </row>
    <row r="587" spans="1:46" x14ac:dyDescent="0.3">
      <c r="A587" s="307">
        <f t="shared" si="183"/>
        <v>0</v>
      </c>
      <c r="B587" s="307">
        <f t="shared" si="172"/>
        <v>0</v>
      </c>
      <c r="C587" s="308" t="s">
        <v>563</v>
      </c>
      <c r="D587" s="309" t="s">
        <v>563</v>
      </c>
      <c r="E587" s="310">
        <v>0</v>
      </c>
      <c r="F587" s="310">
        <v>0</v>
      </c>
      <c r="G587" s="311">
        <v>0</v>
      </c>
      <c r="H587" s="310" t="s">
        <v>563</v>
      </c>
      <c r="I587" s="310" t="s">
        <v>563</v>
      </c>
      <c r="J587" s="310" t="s">
        <v>563</v>
      </c>
      <c r="K587" s="312">
        <v>0</v>
      </c>
      <c r="L587" s="310">
        <v>0</v>
      </c>
      <c r="M587" s="310">
        <v>0</v>
      </c>
      <c r="N587" s="313">
        <v>0</v>
      </c>
      <c r="O587" s="314" t="s">
        <v>563</v>
      </c>
      <c r="P587" s="307">
        <f t="shared" si="177"/>
        <v>0</v>
      </c>
      <c r="R587" s="91" t="str">
        <f t="shared" si="173"/>
        <v/>
      </c>
      <c r="S58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7" s="307" t="str">
        <f t="shared" si="179"/>
        <v/>
      </c>
      <c r="U587" s="315" t="str">
        <f t="shared" si="180"/>
        <v/>
      </c>
      <c r="V587" s="307">
        <f t="shared" si="184"/>
        <v>0</v>
      </c>
      <c r="W587" s="307">
        <f>IFERROR(IF(V587&gt;0,PROPER(Terbilang1(V587)&amp;" Rupiah"),0),"")</f>
        <v>0</v>
      </c>
      <c r="X587" s="90" t="str">
        <f t="shared" si="185"/>
        <v/>
      </c>
      <c r="Y587" s="307" t="str">
        <f t="shared" si="186"/>
        <v/>
      </c>
      <c r="Z587" s="307">
        <f t="shared" si="181"/>
        <v>0</v>
      </c>
      <c r="AA587" s="366">
        <f t="shared" si="182"/>
        <v>0</v>
      </c>
      <c r="AB587" s="367">
        <f t="shared" si="187"/>
        <v>0</v>
      </c>
      <c r="AC587" s="305">
        <f t="shared" si="188"/>
        <v>0</v>
      </c>
      <c r="AP587" s="89" t="str">
        <f t="shared" si="176"/>
        <v/>
      </c>
      <c r="AQ587" s="89" t="str">
        <f t="shared" si="174"/>
        <v/>
      </c>
      <c r="AR587" s="315" t="str">
        <f t="shared" si="175"/>
        <v/>
      </c>
      <c r="AS587" s="305" t="str">
        <f t="shared" si="189"/>
        <v>0</v>
      </c>
      <c r="AT587" s="307">
        <f>Table22[[#This Row],[Column1]]</f>
        <v>0</v>
      </c>
    </row>
    <row r="588" spans="1:46" x14ac:dyDescent="0.3">
      <c r="A588" s="307">
        <f t="shared" si="183"/>
        <v>0</v>
      </c>
      <c r="B588" s="307">
        <f t="shared" si="172"/>
        <v>0</v>
      </c>
      <c r="C588" s="308" t="s">
        <v>563</v>
      </c>
      <c r="D588" s="309" t="s">
        <v>563</v>
      </c>
      <c r="E588" s="310">
        <v>0</v>
      </c>
      <c r="F588" s="310">
        <v>0</v>
      </c>
      <c r="G588" s="311">
        <v>0</v>
      </c>
      <c r="H588" s="310" t="s">
        <v>563</v>
      </c>
      <c r="I588" s="310" t="s">
        <v>563</v>
      </c>
      <c r="J588" s="310" t="s">
        <v>563</v>
      </c>
      <c r="K588" s="312">
        <v>0</v>
      </c>
      <c r="L588" s="310">
        <v>0</v>
      </c>
      <c r="M588" s="310">
        <v>0</v>
      </c>
      <c r="N588" s="313">
        <v>0</v>
      </c>
      <c r="O588" s="314" t="s">
        <v>563</v>
      </c>
      <c r="P588" s="307">
        <f t="shared" si="177"/>
        <v>0</v>
      </c>
      <c r="R588" s="91" t="str">
        <f t="shared" si="173"/>
        <v/>
      </c>
      <c r="S58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8" s="307" t="str">
        <f t="shared" si="179"/>
        <v/>
      </c>
      <c r="U588" s="315" t="str">
        <f t="shared" si="180"/>
        <v/>
      </c>
      <c r="V588" s="307">
        <f t="shared" si="184"/>
        <v>0</v>
      </c>
      <c r="W588" s="307">
        <f>IFERROR(IF(V588&gt;0,PROPER(Terbilang1(V588)&amp;" Rupiah"),0),"")</f>
        <v>0</v>
      </c>
      <c r="X588" s="90" t="str">
        <f t="shared" si="185"/>
        <v/>
      </c>
      <c r="Y588" s="307" t="str">
        <f t="shared" si="186"/>
        <v/>
      </c>
      <c r="Z588" s="307">
        <f t="shared" si="181"/>
        <v>0</v>
      </c>
      <c r="AA588" s="366">
        <f t="shared" si="182"/>
        <v>0</v>
      </c>
      <c r="AB588" s="367">
        <f t="shared" si="187"/>
        <v>0</v>
      </c>
      <c r="AC588" s="305">
        <f t="shared" si="188"/>
        <v>0</v>
      </c>
      <c r="AP588" s="89" t="str">
        <f t="shared" si="176"/>
        <v/>
      </c>
      <c r="AQ588" s="89" t="str">
        <f t="shared" si="174"/>
        <v/>
      </c>
      <c r="AR588" s="315" t="str">
        <f t="shared" si="175"/>
        <v/>
      </c>
      <c r="AS588" s="305" t="str">
        <f t="shared" si="189"/>
        <v>0</v>
      </c>
      <c r="AT588" s="307">
        <f>Table22[[#This Row],[Column1]]</f>
        <v>0</v>
      </c>
    </row>
    <row r="589" spans="1:46" x14ac:dyDescent="0.3">
      <c r="A589" s="307">
        <f t="shared" si="183"/>
        <v>0</v>
      </c>
      <c r="B589" s="307">
        <f t="shared" si="172"/>
        <v>0</v>
      </c>
      <c r="C589" s="308" t="s">
        <v>563</v>
      </c>
      <c r="D589" s="309" t="s">
        <v>563</v>
      </c>
      <c r="E589" s="310">
        <v>0</v>
      </c>
      <c r="F589" s="310">
        <v>0</v>
      </c>
      <c r="G589" s="311">
        <v>0</v>
      </c>
      <c r="H589" s="310" t="s">
        <v>563</v>
      </c>
      <c r="I589" s="310" t="s">
        <v>563</v>
      </c>
      <c r="J589" s="310" t="s">
        <v>563</v>
      </c>
      <c r="K589" s="312">
        <v>0</v>
      </c>
      <c r="L589" s="310">
        <v>0</v>
      </c>
      <c r="M589" s="310">
        <v>0</v>
      </c>
      <c r="N589" s="313">
        <v>0</v>
      </c>
      <c r="O589" s="314" t="s">
        <v>563</v>
      </c>
      <c r="P589" s="307">
        <f t="shared" si="177"/>
        <v>0</v>
      </c>
      <c r="R589" s="91" t="str">
        <f t="shared" si="173"/>
        <v/>
      </c>
      <c r="S58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89" s="307" t="str">
        <f t="shared" si="179"/>
        <v/>
      </c>
      <c r="U589" s="315" t="str">
        <f t="shared" si="180"/>
        <v/>
      </c>
      <c r="V589" s="307">
        <f t="shared" si="184"/>
        <v>0</v>
      </c>
      <c r="W589" s="307">
        <f>IFERROR(IF(V589&gt;0,PROPER(Terbilang1(V589)&amp;" Rupiah"),0),"")</f>
        <v>0</v>
      </c>
      <c r="X589" s="90" t="str">
        <f t="shared" si="185"/>
        <v/>
      </c>
      <c r="Y589" s="307" t="str">
        <f t="shared" si="186"/>
        <v/>
      </c>
      <c r="Z589" s="307">
        <f t="shared" si="181"/>
        <v>0</v>
      </c>
      <c r="AA589" s="366">
        <f t="shared" si="182"/>
        <v>0</v>
      </c>
      <c r="AB589" s="367">
        <f t="shared" si="187"/>
        <v>0</v>
      </c>
      <c r="AC589" s="305">
        <f t="shared" si="188"/>
        <v>0</v>
      </c>
      <c r="AP589" s="89" t="str">
        <f t="shared" si="176"/>
        <v/>
      </c>
      <c r="AQ589" s="89" t="str">
        <f t="shared" si="174"/>
        <v/>
      </c>
      <c r="AR589" s="315" t="str">
        <f t="shared" si="175"/>
        <v/>
      </c>
      <c r="AS589" s="305" t="str">
        <f t="shared" si="189"/>
        <v>0</v>
      </c>
      <c r="AT589" s="307">
        <f>Table22[[#This Row],[Column1]]</f>
        <v>0</v>
      </c>
    </row>
    <row r="590" spans="1:46" x14ac:dyDescent="0.3">
      <c r="A590" s="307">
        <f t="shared" si="183"/>
        <v>0</v>
      </c>
      <c r="B590" s="307">
        <f t="shared" si="172"/>
        <v>0</v>
      </c>
      <c r="C590" s="308" t="s">
        <v>563</v>
      </c>
      <c r="D590" s="309" t="s">
        <v>563</v>
      </c>
      <c r="E590" s="310">
        <v>0</v>
      </c>
      <c r="F590" s="310">
        <v>0</v>
      </c>
      <c r="G590" s="311">
        <v>0</v>
      </c>
      <c r="H590" s="310" t="s">
        <v>563</v>
      </c>
      <c r="I590" s="310" t="s">
        <v>563</v>
      </c>
      <c r="J590" s="310" t="s">
        <v>563</v>
      </c>
      <c r="K590" s="312">
        <v>0</v>
      </c>
      <c r="L590" s="310">
        <v>0</v>
      </c>
      <c r="M590" s="310">
        <v>0</v>
      </c>
      <c r="N590" s="313">
        <v>0</v>
      </c>
      <c r="O590" s="314" t="s">
        <v>563</v>
      </c>
      <c r="P590" s="307">
        <f t="shared" si="177"/>
        <v>0</v>
      </c>
      <c r="R590" s="91" t="str">
        <f t="shared" si="173"/>
        <v/>
      </c>
      <c r="S59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0" s="307" t="str">
        <f t="shared" si="179"/>
        <v/>
      </c>
      <c r="U590" s="315" t="str">
        <f t="shared" si="180"/>
        <v/>
      </c>
      <c r="V590" s="307">
        <f t="shared" si="184"/>
        <v>0</v>
      </c>
      <c r="W590" s="307">
        <f>IFERROR(IF(V590&gt;0,PROPER(Terbilang1(V590)&amp;" Rupiah"),0),"")</f>
        <v>0</v>
      </c>
      <c r="X590" s="90" t="str">
        <f t="shared" si="185"/>
        <v/>
      </c>
      <c r="Y590" s="307" t="str">
        <f t="shared" si="186"/>
        <v/>
      </c>
      <c r="Z590" s="307">
        <f t="shared" si="181"/>
        <v>0</v>
      </c>
      <c r="AA590" s="366">
        <f t="shared" si="182"/>
        <v>0</v>
      </c>
      <c r="AB590" s="367">
        <f t="shared" si="187"/>
        <v>0</v>
      </c>
      <c r="AC590" s="305">
        <f t="shared" si="188"/>
        <v>0</v>
      </c>
      <c r="AP590" s="89" t="str">
        <f t="shared" si="176"/>
        <v/>
      </c>
      <c r="AQ590" s="89" t="str">
        <f t="shared" si="174"/>
        <v/>
      </c>
      <c r="AR590" s="315" t="str">
        <f t="shared" si="175"/>
        <v/>
      </c>
      <c r="AS590" s="305" t="str">
        <f t="shared" si="189"/>
        <v>0</v>
      </c>
      <c r="AT590" s="307">
        <f>Table22[[#This Row],[Column1]]</f>
        <v>0</v>
      </c>
    </row>
    <row r="591" spans="1:46" x14ac:dyDescent="0.3">
      <c r="A591" s="307">
        <f t="shared" si="183"/>
        <v>0</v>
      </c>
      <c r="B591" s="307">
        <f t="shared" si="172"/>
        <v>0</v>
      </c>
      <c r="C591" s="308" t="s">
        <v>563</v>
      </c>
      <c r="D591" s="309" t="s">
        <v>563</v>
      </c>
      <c r="E591" s="310">
        <v>0</v>
      </c>
      <c r="F591" s="310">
        <v>0</v>
      </c>
      <c r="G591" s="311">
        <v>0</v>
      </c>
      <c r="H591" s="310" t="s">
        <v>563</v>
      </c>
      <c r="I591" s="310" t="s">
        <v>563</v>
      </c>
      <c r="J591" s="310" t="s">
        <v>563</v>
      </c>
      <c r="K591" s="312">
        <v>0</v>
      </c>
      <c r="L591" s="310">
        <v>0</v>
      </c>
      <c r="M591" s="310">
        <v>0</v>
      </c>
      <c r="N591" s="313">
        <v>0</v>
      </c>
      <c r="O591" s="314" t="s">
        <v>563</v>
      </c>
      <c r="P591" s="307">
        <f t="shared" si="177"/>
        <v>0</v>
      </c>
      <c r="R591" s="91" t="str">
        <f t="shared" si="173"/>
        <v/>
      </c>
      <c r="S59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1" s="307" t="str">
        <f t="shared" si="179"/>
        <v/>
      </c>
      <c r="U591" s="315" t="str">
        <f t="shared" si="180"/>
        <v/>
      </c>
      <c r="V591" s="307">
        <f t="shared" si="184"/>
        <v>0</v>
      </c>
      <c r="W591" s="307">
        <f>IFERROR(IF(V591&gt;0,PROPER(Terbilang1(V591)&amp;" Rupiah"),0),"")</f>
        <v>0</v>
      </c>
      <c r="X591" s="90" t="str">
        <f t="shared" si="185"/>
        <v/>
      </c>
      <c r="Y591" s="307" t="str">
        <f t="shared" si="186"/>
        <v/>
      </c>
      <c r="Z591" s="307">
        <f t="shared" si="181"/>
        <v>0</v>
      </c>
      <c r="AA591" s="366">
        <f t="shared" si="182"/>
        <v>0</v>
      </c>
      <c r="AB591" s="367">
        <f t="shared" si="187"/>
        <v>0</v>
      </c>
      <c r="AC591" s="305">
        <f t="shared" si="188"/>
        <v>0</v>
      </c>
      <c r="AP591" s="89" t="str">
        <f t="shared" si="176"/>
        <v/>
      </c>
      <c r="AQ591" s="89" t="str">
        <f t="shared" si="174"/>
        <v/>
      </c>
      <c r="AR591" s="315" t="str">
        <f t="shared" si="175"/>
        <v/>
      </c>
      <c r="AS591" s="305" t="str">
        <f t="shared" si="189"/>
        <v>0</v>
      </c>
      <c r="AT591" s="307">
        <f>Table22[[#This Row],[Column1]]</f>
        <v>0</v>
      </c>
    </row>
    <row r="592" spans="1:46" x14ac:dyDescent="0.3">
      <c r="A592" s="307">
        <f t="shared" si="183"/>
        <v>0</v>
      </c>
      <c r="B592" s="307">
        <f t="shared" si="172"/>
        <v>0</v>
      </c>
      <c r="C592" s="308" t="s">
        <v>563</v>
      </c>
      <c r="D592" s="309" t="s">
        <v>563</v>
      </c>
      <c r="E592" s="310">
        <v>0</v>
      </c>
      <c r="F592" s="310">
        <v>0</v>
      </c>
      <c r="G592" s="311">
        <v>0</v>
      </c>
      <c r="H592" s="310" t="s">
        <v>563</v>
      </c>
      <c r="I592" s="310" t="s">
        <v>563</v>
      </c>
      <c r="J592" s="310" t="s">
        <v>563</v>
      </c>
      <c r="K592" s="312">
        <v>0</v>
      </c>
      <c r="L592" s="310">
        <v>0</v>
      </c>
      <c r="M592" s="310">
        <v>0</v>
      </c>
      <c r="N592" s="313">
        <v>0</v>
      </c>
      <c r="O592" s="314" t="s">
        <v>563</v>
      </c>
      <c r="P592" s="307">
        <f t="shared" si="177"/>
        <v>0</v>
      </c>
      <c r="R592" s="91" t="str">
        <f t="shared" si="173"/>
        <v/>
      </c>
      <c r="S59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2" s="307" t="str">
        <f t="shared" si="179"/>
        <v/>
      </c>
      <c r="U592" s="315" t="str">
        <f t="shared" si="180"/>
        <v/>
      </c>
      <c r="V592" s="307">
        <f t="shared" si="184"/>
        <v>0</v>
      </c>
      <c r="W592" s="307">
        <f>IFERROR(IF(V592&gt;0,PROPER(Terbilang1(V592)&amp;" Rupiah"),0),"")</f>
        <v>0</v>
      </c>
      <c r="X592" s="90" t="str">
        <f t="shared" si="185"/>
        <v/>
      </c>
      <c r="Y592" s="307" t="str">
        <f t="shared" si="186"/>
        <v/>
      </c>
      <c r="Z592" s="307">
        <f t="shared" si="181"/>
        <v>0</v>
      </c>
      <c r="AA592" s="366">
        <f t="shared" si="182"/>
        <v>0</v>
      </c>
      <c r="AB592" s="367">
        <f t="shared" si="187"/>
        <v>0</v>
      </c>
      <c r="AC592" s="305">
        <f t="shared" si="188"/>
        <v>0</v>
      </c>
      <c r="AP592" s="89" t="str">
        <f t="shared" si="176"/>
        <v/>
      </c>
      <c r="AQ592" s="89" t="str">
        <f t="shared" si="174"/>
        <v/>
      </c>
      <c r="AR592" s="315" t="str">
        <f t="shared" si="175"/>
        <v/>
      </c>
      <c r="AS592" s="305" t="str">
        <f t="shared" si="189"/>
        <v>0</v>
      </c>
      <c r="AT592" s="307">
        <f>Table22[[#This Row],[Column1]]</f>
        <v>0</v>
      </c>
    </row>
    <row r="593" spans="1:46" x14ac:dyDescent="0.3">
      <c r="A593" s="307">
        <f t="shared" si="183"/>
        <v>0</v>
      </c>
      <c r="B593" s="307">
        <f t="shared" si="172"/>
        <v>0</v>
      </c>
      <c r="C593" s="308" t="s">
        <v>563</v>
      </c>
      <c r="D593" s="309" t="s">
        <v>563</v>
      </c>
      <c r="E593" s="310">
        <v>0</v>
      </c>
      <c r="F593" s="310">
        <v>0</v>
      </c>
      <c r="G593" s="311">
        <v>0</v>
      </c>
      <c r="H593" s="310" t="s">
        <v>563</v>
      </c>
      <c r="I593" s="310" t="s">
        <v>563</v>
      </c>
      <c r="J593" s="310" t="s">
        <v>563</v>
      </c>
      <c r="K593" s="312">
        <v>0</v>
      </c>
      <c r="L593" s="310">
        <v>0</v>
      </c>
      <c r="M593" s="310">
        <v>0</v>
      </c>
      <c r="N593" s="313">
        <v>0</v>
      </c>
      <c r="O593" s="314" t="s">
        <v>563</v>
      </c>
      <c r="P593" s="307">
        <f t="shared" si="177"/>
        <v>0</v>
      </c>
      <c r="R593" s="91" t="str">
        <f t="shared" si="173"/>
        <v/>
      </c>
      <c r="S59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3" s="307" t="str">
        <f t="shared" si="179"/>
        <v/>
      </c>
      <c r="U593" s="315" t="str">
        <f t="shared" si="180"/>
        <v/>
      </c>
      <c r="V593" s="307">
        <f t="shared" si="184"/>
        <v>0</v>
      </c>
      <c r="W593" s="307">
        <f>IFERROR(IF(V593&gt;0,PROPER(Terbilang1(V593)&amp;" Rupiah"),0),"")</f>
        <v>0</v>
      </c>
      <c r="X593" s="90" t="str">
        <f t="shared" si="185"/>
        <v/>
      </c>
      <c r="Y593" s="307" t="str">
        <f t="shared" si="186"/>
        <v/>
      </c>
      <c r="Z593" s="307">
        <f t="shared" si="181"/>
        <v>0</v>
      </c>
      <c r="AA593" s="366">
        <f t="shared" si="182"/>
        <v>0</v>
      </c>
      <c r="AB593" s="367">
        <f t="shared" si="187"/>
        <v>0</v>
      </c>
      <c r="AC593" s="305">
        <f t="shared" si="188"/>
        <v>0</v>
      </c>
      <c r="AP593" s="89" t="str">
        <f t="shared" si="176"/>
        <v/>
      </c>
      <c r="AQ593" s="89" t="str">
        <f t="shared" si="174"/>
        <v/>
      </c>
      <c r="AR593" s="315" t="str">
        <f t="shared" si="175"/>
        <v/>
      </c>
      <c r="AS593" s="305" t="str">
        <f t="shared" si="189"/>
        <v>0</v>
      </c>
      <c r="AT593" s="307">
        <f>Table22[[#This Row],[Column1]]</f>
        <v>0</v>
      </c>
    </row>
    <row r="594" spans="1:46" x14ac:dyDescent="0.3">
      <c r="A594" s="307">
        <f t="shared" si="183"/>
        <v>0</v>
      </c>
      <c r="B594" s="307">
        <f t="shared" si="172"/>
        <v>0</v>
      </c>
      <c r="C594" s="308" t="s">
        <v>563</v>
      </c>
      <c r="D594" s="309" t="s">
        <v>563</v>
      </c>
      <c r="E594" s="310">
        <v>0</v>
      </c>
      <c r="F594" s="310">
        <v>0</v>
      </c>
      <c r="G594" s="311">
        <v>0</v>
      </c>
      <c r="H594" s="310" t="s">
        <v>563</v>
      </c>
      <c r="I594" s="310" t="s">
        <v>563</v>
      </c>
      <c r="J594" s="310" t="s">
        <v>563</v>
      </c>
      <c r="K594" s="312">
        <v>0</v>
      </c>
      <c r="L594" s="310">
        <v>0</v>
      </c>
      <c r="M594" s="310">
        <v>0</v>
      </c>
      <c r="N594" s="313">
        <v>0</v>
      </c>
      <c r="O594" s="314" t="s">
        <v>563</v>
      </c>
      <c r="P594" s="307">
        <f t="shared" si="177"/>
        <v>0</v>
      </c>
      <c r="R594" s="91" t="str">
        <f t="shared" si="173"/>
        <v/>
      </c>
      <c r="S59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4" s="307" t="str">
        <f t="shared" si="179"/>
        <v/>
      </c>
      <c r="U594" s="315" t="str">
        <f t="shared" si="180"/>
        <v/>
      </c>
      <c r="V594" s="307">
        <f t="shared" si="184"/>
        <v>0</v>
      </c>
      <c r="W594" s="307">
        <f>IFERROR(IF(V594&gt;0,PROPER(Terbilang1(V594)&amp;" Rupiah"),0),"")</f>
        <v>0</v>
      </c>
      <c r="X594" s="90" t="str">
        <f t="shared" si="185"/>
        <v/>
      </c>
      <c r="Y594" s="307" t="str">
        <f t="shared" si="186"/>
        <v/>
      </c>
      <c r="Z594" s="307">
        <f t="shared" si="181"/>
        <v>0</v>
      </c>
      <c r="AA594" s="366">
        <f t="shared" si="182"/>
        <v>0</v>
      </c>
      <c r="AB594" s="367">
        <f t="shared" si="187"/>
        <v>0</v>
      </c>
      <c r="AC594" s="305">
        <f t="shared" si="188"/>
        <v>0</v>
      </c>
      <c r="AP594" s="89" t="str">
        <f t="shared" si="176"/>
        <v/>
      </c>
      <c r="AQ594" s="89" t="str">
        <f t="shared" si="174"/>
        <v/>
      </c>
      <c r="AR594" s="315" t="str">
        <f t="shared" si="175"/>
        <v/>
      </c>
      <c r="AS594" s="305" t="str">
        <f t="shared" si="189"/>
        <v>0</v>
      </c>
      <c r="AT594" s="307">
        <f>Table22[[#This Row],[Column1]]</f>
        <v>0</v>
      </c>
    </row>
    <row r="595" spans="1:46" x14ac:dyDescent="0.3">
      <c r="A595" s="307">
        <f t="shared" si="183"/>
        <v>0</v>
      </c>
      <c r="B595" s="307">
        <f t="shared" si="172"/>
        <v>0</v>
      </c>
      <c r="C595" s="308" t="s">
        <v>563</v>
      </c>
      <c r="D595" s="309" t="s">
        <v>563</v>
      </c>
      <c r="E595" s="310">
        <v>0</v>
      </c>
      <c r="F595" s="310">
        <v>0</v>
      </c>
      <c r="G595" s="311">
        <v>0</v>
      </c>
      <c r="H595" s="310" t="s">
        <v>563</v>
      </c>
      <c r="I595" s="310" t="s">
        <v>563</v>
      </c>
      <c r="J595" s="310" t="s">
        <v>563</v>
      </c>
      <c r="K595" s="312">
        <v>0</v>
      </c>
      <c r="L595" s="310">
        <v>0</v>
      </c>
      <c r="M595" s="310">
        <v>0</v>
      </c>
      <c r="N595" s="313">
        <v>0</v>
      </c>
      <c r="O595" s="314" t="s">
        <v>563</v>
      </c>
      <c r="P595" s="307">
        <f t="shared" si="177"/>
        <v>0</v>
      </c>
      <c r="R595" s="91" t="str">
        <f t="shared" si="173"/>
        <v/>
      </c>
      <c r="S59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5" s="307" t="str">
        <f t="shared" si="179"/>
        <v/>
      </c>
      <c r="U595" s="315" t="str">
        <f t="shared" si="180"/>
        <v/>
      </c>
      <c r="V595" s="307">
        <f t="shared" si="184"/>
        <v>0</v>
      </c>
      <c r="W595" s="307">
        <f>IFERROR(IF(V595&gt;0,PROPER(Terbilang1(V595)&amp;" Rupiah"),0),"")</f>
        <v>0</v>
      </c>
      <c r="X595" s="90" t="str">
        <f t="shared" si="185"/>
        <v/>
      </c>
      <c r="Y595" s="307" t="str">
        <f t="shared" si="186"/>
        <v/>
      </c>
      <c r="Z595" s="307">
        <f t="shared" si="181"/>
        <v>0</v>
      </c>
      <c r="AA595" s="366">
        <f t="shared" si="182"/>
        <v>0</v>
      </c>
      <c r="AB595" s="367">
        <f t="shared" si="187"/>
        <v>0</v>
      </c>
      <c r="AC595" s="305">
        <f t="shared" si="188"/>
        <v>0</v>
      </c>
      <c r="AP595" s="89" t="str">
        <f t="shared" si="176"/>
        <v/>
      </c>
      <c r="AQ595" s="89" t="str">
        <f t="shared" si="174"/>
        <v/>
      </c>
      <c r="AR595" s="315" t="str">
        <f t="shared" si="175"/>
        <v/>
      </c>
      <c r="AS595" s="305" t="str">
        <f t="shared" si="189"/>
        <v>0</v>
      </c>
      <c r="AT595" s="307">
        <f>Table22[[#This Row],[Column1]]</f>
        <v>0</v>
      </c>
    </row>
    <row r="596" spans="1:46" x14ac:dyDescent="0.3">
      <c r="A596" s="307">
        <f t="shared" si="183"/>
        <v>0</v>
      </c>
      <c r="B596" s="307">
        <f t="shared" si="172"/>
        <v>0</v>
      </c>
      <c r="C596" s="308" t="s">
        <v>563</v>
      </c>
      <c r="D596" s="309" t="s">
        <v>563</v>
      </c>
      <c r="E596" s="310">
        <v>0</v>
      </c>
      <c r="F596" s="310">
        <v>0</v>
      </c>
      <c r="G596" s="311">
        <v>0</v>
      </c>
      <c r="H596" s="310" t="s">
        <v>563</v>
      </c>
      <c r="I596" s="310" t="s">
        <v>563</v>
      </c>
      <c r="J596" s="310" t="s">
        <v>563</v>
      </c>
      <c r="K596" s="312">
        <v>0</v>
      </c>
      <c r="L596" s="310">
        <v>0</v>
      </c>
      <c r="M596" s="310">
        <v>0</v>
      </c>
      <c r="N596" s="313">
        <v>0</v>
      </c>
      <c r="O596" s="314" t="s">
        <v>563</v>
      </c>
      <c r="P596" s="307">
        <f t="shared" si="177"/>
        <v>0</v>
      </c>
      <c r="R596" s="91" t="str">
        <f t="shared" si="173"/>
        <v/>
      </c>
      <c r="S59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6" s="307" t="str">
        <f t="shared" si="179"/>
        <v/>
      </c>
      <c r="U596" s="315" t="str">
        <f t="shared" si="180"/>
        <v/>
      </c>
      <c r="V596" s="307">
        <f t="shared" si="184"/>
        <v>0</v>
      </c>
      <c r="W596" s="307">
        <f>IFERROR(IF(V596&gt;0,PROPER(Terbilang1(V596)&amp;" Rupiah"),0),"")</f>
        <v>0</v>
      </c>
      <c r="X596" s="90" t="str">
        <f t="shared" si="185"/>
        <v/>
      </c>
      <c r="Y596" s="307" t="str">
        <f t="shared" si="186"/>
        <v/>
      </c>
      <c r="Z596" s="307">
        <f t="shared" si="181"/>
        <v>0</v>
      </c>
      <c r="AA596" s="366">
        <f t="shared" si="182"/>
        <v>0</v>
      </c>
      <c r="AB596" s="367">
        <f t="shared" si="187"/>
        <v>0</v>
      </c>
      <c r="AC596" s="305">
        <f t="shared" si="188"/>
        <v>0</v>
      </c>
      <c r="AP596" s="89" t="str">
        <f t="shared" si="176"/>
        <v/>
      </c>
      <c r="AQ596" s="89" t="str">
        <f t="shared" si="174"/>
        <v/>
      </c>
      <c r="AR596" s="315" t="str">
        <f t="shared" si="175"/>
        <v/>
      </c>
      <c r="AS596" s="305" t="str">
        <f t="shared" si="189"/>
        <v>0</v>
      </c>
      <c r="AT596" s="307">
        <f>Table22[[#This Row],[Column1]]</f>
        <v>0</v>
      </c>
    </row>
    <row r="597" spans="1:46" x14ac:dyDescent="0.3">
      <c r="A597" s="307">
        <f t="shared" si="183"/>
        <v>0</v>
      </c>
      <c r="B597" s="307">
        <f t="shared" si="172"/>
        <v>0</v>
      </c>
      <c r="C597" s="308" t="s">
        <v>563</v>
      </c>
      <c r="D597" s="309" t="s">
        <v>563</v>
      </c>
      <c r="E597" s="310">
        <v>0</v>
      </c>
      <c r="F597" s="310">
        <v>0</v>
      </c>
      <c r="G597" s="311">
        <v>0</v>
      </c>
      <c r="H597" s="310" t="s">
        <v>563</v>
      </c>
      <c r="I597" s="310" t="s">
        <v>563</v>
      </c>
      <c r="J597" s="310" t="s">
        <v>563</v>
      </c>
      <c r="K597" s="312">
        <v>0</v>
      </c>
      <c r="L597" s="310">
        <v>0</v>
      </c>
      <c r="M597" s="310">
        <v>0</v>
      </c>
      <c r="N597" s="313">
        <v>0</v>
      </c>
      <c r="O597" s="314" t="s">
        <v>563</v>
      </c>
      <c r="P597" s="307">
        <f t="shared" si="177"/>
        <v>0</v>
      </c>
      <c r="R597" s="91" t="str">
        <f t="shared" si="173"/>
        <v/>
      </c>
      <c r="S59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7" s="307" t="str">
        <f t="shared" si="179"/>
        <v/>
      </c>
      <c r="U597" s="315" t="str">
        <f t="shared" si="180"/>
        <v/>
      </c>
      <c r="V597" s="307">
        <f t="shared" si="184"/>
        <v>0</v>
      </c>
      <c r="W597" s="307">
        <f>IFERROR(IF(V597&gt;0,PROPER(Terbilang1(V597)&amp;" Rupiah"),0),"")</f>
        <v>0</v>
      </c>
      <c r="X597" s="90" t="str">
        <f t="shared" si="185"/>
        <v/>
      </c>
      <c r="Y597" s="307" t="str">
        <f t="shared" si="186"/>
        <v/>
      </c>
      <c r="Z597" s="307">
        <f t="shared" si="181"/>
        <v>0</v>
      </c>
      <c r="AA597" s="366">
        <f t="shared" si="182"/>
        <v>0</v>
      </c>
      <c r="AB597" s="367">
        <f t="shared" si="187"/>
        <v>0</v>
      </c>
      <c r="AC597" s="305">
        <f t="shared" si="188"/>
        <v>0</v>
      </c>
      <c r="AP597" s="89" t="str">
        <f t="shared" si="176"/>
        <v/>
      </c>
      <c r="AQ597" s="89" t="str">
        <f t="shared" si="174"/>
        <v/>
      </c>
      <c r="AR597" s="315" t="str">
        <f t="shared" si="175"/>
        <v/>
      </c>
      <c r="AS597" s="305" t="str">
        <f t="shared" si="189"/>
        <v>0</v>
      </c>
      <c r="AT597" s="307">
        <f>Table22[[#This Row],[Column1]]</f>
        <v>0</v>
      </c>
    </row>
    <row r="598" spans="1:46" x14ac:dyDescent="0.3">
      <c r="A598" s="307">
        <f t="shared" si="183"/>
        <v>0</v>
      </c>
      <c r="B598" s="307">
        <f t="shared" si="172"/>
        <v>0</v>
      </c>
      <c r="C598" s="308" t="s">
        <v>563</v>
      </c>
      <c r="D598" s="309" t="s">
        <v>563</v>
      </c>
      <c r="E598" s="310">
        <v>0</v>
      </c>
      <c r="F598" s="310">
        <v>0</v>
      </c>
      <c r="G598" s="311">
        <v>0</v>
      </c>
      <c r="H598" s="310" t="s">
        <v>563</v>
      </c>
      <c r="I598" s="310" t="s">
        <v>563</v>
      </c>
      <c r="J598" s="310" t="s">
        <v>563</v>
      </c>
      <c r="K598" s="312">
        <v>0</v>
      </c>
      <c r="L598" s="310">
        <v>0</v>
      </c>
      <c r="M598" s="310">
        <v>0</v>
      </c>
      <c r="N598" s="313">
        <v>0</v>
      </c>
      <c r="O598" s="314" t="s">
        <v>563</v>
      </c>
      <c r="P598" s="307">
        <f t="shared" si="177"/>
        <v>0</v>
      </c>
      <c r="R598" s="91" t="str">
        <f t="shared" si="173"/>
        <v/>
      </c>
      <c r="S59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8" s="307" t="str">
        <f t="shared" si="179"/>
        <v/>
      </c>
      <c r="U598" s="315" t="str">
        <f t="shared" si="180"/>
        <v/>
      </c>
      <c r="V598" s="307">
        <f t="shared" si="184"/>
        <v>0</v>
      </c>
      <c r="W598" s="307">
        <f>IFERROR(IF(V598&gt;0,PROPER(Terbilang1(V598)&amp;" Rupiah"),0),"")</f>
        <v>0</v>
      </c>
      <c r="X598" s="90" t="str">
        <f t="shared" si="185"/>
        <v/>
      </c>
      <c r="Y598" s="307" t="str">
        <f t="shared" si="186"/>
        <v/>
      </c>
      <c r="Z598" s="307">
        <f t="shared" si="181"/>
        <v>0</v>
      </c>
      <c r="AA598" s="366">
        <f t="shared" si="182"/>
        <v>0</v>
      </c>
      <c r="AB598" s="367">
        <f t="shared" si="187"/>
        <v>0</v>
      </c>
      <c r="AC598" s="305">
        <f t="shared" si="188"/>
        <v>0</v>
      </c>
      <c r="AP598" s="89" t="str">
        <f t="shared" si="176"/>
        <v/>
      </c>
      <c r="AQ598" s="89" t="str">
        <f t="shared" si="174"/>
        <v/>
      </c>
      <c r="AR598" s="315" t="str">
        <f t="shared" si="175"/>
        <v/>
      </c>
      <c r="AS598" s="305" t="str">
        <f t="shared" si="189"/>
        <v>0</v>
      </c>
      <c r="AT598" s="307">
        <f>Table22[[#This Row],[Column1]]</f>
        <v>0</v>
      </c>
    </row>
    <row r="599" spans="1:46" x14ac:dyDescent="0.3">
      <c r="A599" s="307">
        <f t="shared" si="183"/>
        <v>0</v>
      </c>
      <c r="B599" s="307">
        <f t="shared" si="172"/>
        <v>0</v>
      </c>
      <c r="C599" s="308" t="s">
        <v>563</v>
      </c>
      <c r="D599" s="309" t="s">
        <v>563</v>
      </c>
      <c r="E599" s="310">
        <v>0</v>
      </c>
      <c r="F599" s="310">
        <v>0</v>
      </c>
      <c r="G599" s="311">
        <v>0</v>
      </c>
      <c r="H599" s="310" t="s">
        <v>563</v>
      </c>
      <c r="I599" s="310" t="s">
        <v>563</v>
      </c>
      <c r="J599" s="310" t="s">
        <v>563</v>
      </c>
      <c r="K599" s="312">
        <v>0</v>
      </c>
      <c r="L599" s="310">
        <v>0</v>
      </c>
      <c r="M599" s="310">
        <v>0</v>
      </c>
      <c r="N599" s="313">
        <v>0</v>
      </c>
      <c r="O599" s="314" t="s">
        <v>563</v>
      </c>
      <c r="P599" s="307">
        <f t="shared" si="177"/>
        <v>0</v>
      </c>
      <c r="R599" s="91" t="str">
        <f t="shared" si="173"/>
        <v/>
      </c>
      <c r="S59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599" s="307" t="str">
        <f t="shared" si="179"/>
        <v/>
      </c>
      <c r="U599" s="315" t="str">
        <f t="shared" si="180"/>
        <v/>
      </c>
      <c r="V599" s="307">
        <f t="shared" si="184"/>
        <v>0</v>
      </c>
      <c r="W599" s="307">
        <f>IFERROR(IF(V599&gt;0,PROPER(Terbilang1(V599)&amp;" Rupiah"),0),"")</f>
        <v>0</v>
      </c>
      <c r="X599" s="90" t="str">
        <f t="shared" si="185"/>
        <v/>
      </c>
      <c r="Y599" s="307" t="str">
        <f t="shared" si="186"/>
        <v/>
      </c>
      <c r="Z599" s="307">
        <f t="shared" si="181"/>
        <v>0</v>
      </c>
      <c r="AA599" s="366">
        <f t="shared" si="182"/>
        <v>0</v>
      </c>
      <c r="AB599" s="367">
        <f t="shared" si="187"/>
        <v>0</v>
      </c>
      <c r="AC599" s="305">
        <f t="shared" si="188"/>
        <v>0</v>
      </c>
      <c r="AP599" s="89" t="str">
        <f t="shared" si="176"/>
        <v/>
      </c>
      <c r="AQ599" s="89" t="str">
        <f t="shared" si="174"/>
        <v/>
      </c>
      <c r="AR599" s="315" t="str">
        <f t="shared" si="175"/>
        <v/>
      </c>
      <c r="AS599" s="305" t="str">
        <f t="shared" si="189"/>
        <v>0</v>
      </c>
      <c r="AT599" s="307">
        <f>Table22[[#This Row],[Column1]]</f>
        <v>0</v>
      </c>
    </row>
    <row r="600" spans="1:46" x14ac:dyDescent="0.3">
      <c r="A600" s="307">
        <f t="shared" si="183"/>
        <v>0</v>
      </c>
      <c r="B600" s="307">
        <f t="shared" si="172"/>
        <v>0</v>
      </c>
      <c r="C600" s="308" t="s">
        <v>563</v>
      </c>
      <c r="D600" s="309" t="s">
        <v>563</v>
      </c>
      <c r="E600" s="310">
        <v>0</v>
      </c>
      <c r="F600" s="310">
        <v>0</v>
      </c>
      <c r="G600" s="311">
        <v>0</v>
      </c>
      <c r="H600" s="310" t="s">
        <v>563</v>
      </c>
      <c r="I600" s="310" t="s">
        <v>563</v>
      </c>
      <c r="J600" s="310" t="s">
        <v>563</v>
      </c>
      <c r="K600" s="312">
        <v>0</v>
      </c>
      <c r="L600" s="310">
        <v>0</v>
      </c>
      <c r="M600" s="310">
        <v>0</v>
      </c>
      <c r="N600" s="313">
        <v>0</v>
      </c>
      <c r="O600" s="314" t="s">
        <v>563</v>
      </c>
      <c r="P600" s="307">
        <f t="shared" si="177"/>
        <v>0</v>
      </c>
      <c r="R600" s="91" t="str">
        <f t="shared" si="173"/>
        <v/>
      </c>
      <c r="S60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0" s="307" t="str">
        <f t="shared" si="179"/>
        <v/>
      </c>
      <c r="U600" s="315" t="str">
        <f t="shared" si="180"/>
        <v/>
      </c>
      <c r="V600" s="307">
        <f t="shared" si="184"/>
        <v>0</v>
      </c>
      <c r="W600" s="307">
        <f>IFERROR(IF(V600&gt;0,PROPER(Terbilang1(V600)&amp;" Rupiah"),0),"")</f>
        <v>0</v>
      </c>
      <c r="X600" s="90" t="str">
        <f t="shared" si="185"/>
        <v/>
      </c>
      <c r="Y600" s="307" t="str">
        <f t="shared" si="186"/>
        <v/>
      </c>
      <c r="Z600" s="307">
        <f t="shared" si="181"/>
        <v>0</v>
      </c>
      <c r="AA600" s="366">
        <f t="shared" si="182"/>
        <v>0</v>
      </c>
      <c r="AB600" s="367">
        <f t="shared" si="187"/>
        <v>0</v>
      </c>
      <c r="AC600" s="305">
        <f t="shared" si="188"/>
        <v>0</v>
      </c>
      <c r="AP600" s="89" t="str">
        <f t="shared" si="176"/>
        <v/>
      </c>
      <c r="AQ600" s="89" t="str">
        <f t="shared" si="174"/>
        <v/>
      </c>
      <c r="AR600" s="315" t="str">
        <f t="shared" si="175"/>
        <v/>
      </c>
      <c r="AS600" s="305" t="str">
        <f t="shared" si="189"/>
        <v>0</v>
      </c>
      <c r="AT600" s="307">
        <f>Table22[[#This Row],[Column1]]</f>
        <v>0</v>
      </c>
    </row>
    <row r="601" spans="1:46" x14ac:dyDescent="0.3">
      <c r="A601" s="307">
        <f t="shared" si="183"/>
        <v>0</v>
      </c>
      <c r="B601" s="307">
        <f t="shared" si="172"/>
        <v>0</v>
      </c>
      <c r="C601" s="308" t="s">
        <v>563</v>
      </c>
      <c r="D601" s="309" t="s">
        <v>563</v>
      </c>
      <c r="E601" s="310">
        <v>0</v>
      </c>
      <c r="F601" s="310">
        <v>0</v>
      </c>
      <c r="G601" s="311">
        <v>0</v>
      </c>
      <c r="H601" s="310" t="s">
        <v>563</v>
      </c>
      <c r="I601" s="310" t="s">
        <v>563</v>
      </c>
      <c r="J601" s="310" t="s">
        <v>563</v>
      </c>
      <c r="K601" s="312">
        <v>0</v>
      </c>
      <c r="L601" s="310">
        <v>0</v>
      </c>
      <c r="M601" s="310">
        <v>0</v>
      </c>
      <c r="N601" s="313">
        <v>0</v>
      </c>
      <c r="O601" s="314" t="s">
        <v>563</v>
      </c>
      <c r="P601" s="307">
        <f t="shared" si="177"/>
        <v>0</v>
      </c>
      <c r="R601" s="91" t="str">
        <f t="shared" si="173"/>
        <v/>
      </c>
      <c r="S60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1" s="307" t="str">
        <f t="shared" si="179"/>
        <v/>
      </c>
      <c r="U601" s="315" t="str">
        <f t="shared" si="180"/>
        <v/>
      </c>
      <c r="V601" s="307">
        <f t="shared" si="184"/>
        <v>0</v>
      </c>
      <c r="W601" s="307">
        <f>IFERROR(IF(V601&gt;0,PROPER(Terbilang1(V601)&amp;" Rupiah"),0),"")</f>
        <v>0</v>
      </c>
      <c r="X601" s="90" t="str">
        <f t="shared" si="185"/>
        <v/>
      </c>
      <c r="Y601" s="307" t="str">
        <f t="shared" si="186"/>
        <v/>
      </c>
      <c r="Z601" s="307">
        <f t="shared" si="181"/>
        <v>0</v>
      </c>
      <c r="AA601" s="366">
        <f t="shared" si="182"/>
        <v>0</v>
      </c>
      <c r="AB601" s="367">
        <f t="shared" si="187"/>
        <v>0</v>
      </c>
      <c r="AC601" s="305">
        <f t="shared" si="188"/>
        <v>0</v>
      </c>
      <c r="AP601" s="89" t="str">
        <f t="shared" si="176"/>
        <v/>
      </c>
      <c r="AQ601" s="89" t="str">
        <f t="shared" si="174"/>
        <v/>
      </c>
      <c r="AR601" s="315" t="str">
        <f t="shared" si="175"/>
        <v/>
      </c>
      <c r="AS601" s="305" t="str">
        <f t="shared" si="189"/>
        <v>0</v>
      </c>
      <c r="AT601" s="307">
        <f>Table22[[#This Row],[Column1]]</f>
        <v>0</v>
      </c>
    </row>
    <row r="602" spans="1:46" x14ac:dyDescent="0.3">
      <c r="A602" s="307">
        <f t="shared" si="183"/>
        <v>0</v>
      </c>
      <c r="B602" s="307">
        <f t="shared" si="172"/>
        <v>0</v>
      </c>
      <c r="C602" s="308" t="s">
        <v>563</v>
      </c>
      <c r="D602" s="309" t="s">
        <v>563</v>
      </c>
      <c r="E602" s="310">
        <v>0</v>
      </c>
      <c r="F602" s="310">
        <v>0</v>
      </c>
      <c r="G602" s="311">
        <v>0</v>
      </c>
      <c r="H602" s="310" t="s">
        <v>563</v>
      </c>
      <c r="I602" s="310" t="s">
        <v>563</v>
      </c>
      <c r="J602" s="310" t="s">
        <v>563</v>
      </c>
      <c r="K602" s="312">
        <v>0</v>
      </c>
      <c r="L602" s="310">
        <v>0</v>
      </c>
      <c r="M602" s="310">
        <v>0</v>
      </c>
      <c r="N602" s="313">
        <v>0</v>
      </c>
      <c r="O602" s="314" t="s">
        <v>563</v>
      </c>
      <c r="P602" s="307">
        <f t="shared" si="177"/>
        <v>0</v>
      </c>
      <c r="R602" s="91" t="str">
        <f t="shared" si="173"/>
        <v/>
      </c>
      <c r="S60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2" s="307" t="str">
        <f t="shared" si="179"/>
        <v/>
      </c>
      <c r="U602" s="315" t="str">
        <f t="shared" si="180"/>
        <v/>
      </c>
      <c r="V602" s="307">
        <f t="shared" si="184"/>
        <v>0</v>
      </c>
      <c r="W602" s="307">
        <f>IFERROR(IF(V602&gt;0,PROPER(Terbilang1(V602)&amp;" Rupiah"),0),"")</f>
        <v>0</v>
      </c>
      <c r="X602" s="90" t="str">
        <f t="shared" si="185"/>
        <v/>
      </c>
      <c r="Y602" s="307" t="str">
        <f t="shared" si="186"/>
        <v/>
      </c>
      <c r="Z602" s="307">
        <f t="shared" si="181"/>
        <v>0</v>
      </c>
      <c r="AA602" s="366">
        <f t="shared" si="182"/>
        <v>0</v>
      </c>
      <c r="AB602" s="367">
        <f t="shared" si="187"/>
        <v>0</v>
      </c>
      <c r="AC602" s="305">
        <f t="shared" si="188"/>
        <v>0</v>
      </c>
      <c r="AP602" s="89" t="str">
        <f t="shared" si="176"/>
        <v/>
      </c>
      <c r="AQ602" s="89" t="str">
        <f t="shared" si="174"/>
        <v/>
      </c>
      <c r="AR602" s="315" t="str">
        <f t="shared" si="175"/>
        <v/>
      </c>
      <c r="AS602" s="305" t="str">
        <f t="shared" si="189"/>
        <v>0</v>
      </c>
      <c r="AT602" s="307">
        <f>Table22[[#This Row],[Column1]]</f>
        <v>0</v>
      </c>
    </row>
    <row r="603" spans="1:46" x14ac:dyDescent="0.3">
      <c r="A603" s="307">
        <f t="shared" si="183"/>
        <v>0</v>
      </c>
      <c r="B603" s="307">
        <f t="shared" si="172"/>
        <v>0</v>
      </c>
      <c r="C603" s="308" t="s">
        <v>563</v>
      </c>
      <c r="D603" s="309" t="s">
        <v>563</v>
      </c>
      <c r="E603" s="310">
        <v>0</v>
      </c>
      <c r="F603" s="310">
        <v>0</v>
      </c>
      <c r="G603" s="311">
        <v>0</v>
      </c>
      <c r="H603" s="310" t="s">
        <v>563</v>
      </c>
      <c r="I603" s="310" t="s">
        <v>563</v>
      </c>
      <c r="J603" s="310" t="s">
        <v>563</v>
      </c>
      <c r="K603" s="312">
        <v>0</v>
      </c>
      <c r="L603" s="310">
        <v>0</v>
      </c>
      <c r="M603" s="310">
        <v>0</v>
      </c>
      <c r="N603" s="313">
        <v>0</v>
      </c>
      <c r="O603" s="314" t="s">
        <v>563</v>
      </c>
      <c r="P603" s="307">
        <f t="shared" si="177"/>
        <v>0</v>
      </c>
      <c r="R603" s="91" t="str">
        <f t="shared" si="173"/>
        <v/>
      </c>
      <c r="S60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3" s="307" t="str">
        <f t="shared" si="179"/>
        <v/>
      </c>
      <c r="U603" s="315" t="str">
        <f t="shared" si="180"/>
        <v/>
      </c>
      <c r="V603" s="307">
        <f t="shared" si="184"/>
        <v>0</v>
      </c>
      <c r="W603" s="307">
        <f>IFERROR(IF(V603&gt;0,PROPER(Terbilang1(V603)&amp;" Rupiah"),0),"")</f>
        <v>0</v>
      </c>
      <c r="X603" s="90" t="str">
        <f t="shared" si="185"/>
        <v/>
      </c>
      <c r="Y603" s="307" t="str">
        <f t="shared" si="186"/>
        <v/>
      </c>
      <c r="Z603" s="307">
        <f t="shared" si="181"/>
        <v>0</v>
      </c>
      <c r="AA603" s="366">
        <f t="shared" si="182"/>
        <v>0</v>
      </c>
      <c r="AB603" s="367">
        <f t="shared" si="187"/>
        <v>0</v>
      </c>
      <c r="AC603" s="305">
        <f t="shared" si="188"/>
        <v>0</v>
      </c>
      <c r="AP603" s="89" t="str">
        <f t="shared" si="176"/>
        <v/>
      </c>
      <c r="AQ603" s="89" t="str">
        <f t="shared" si="174"/>
        <v/>
      </c>
      <c r="AR603" s="315" t="str">
        <f t="shared" si="175"/>
        <v/>
      </c>
      <c r="AS603" s="305" t="str">
        <f t="shared" si="189"/>
        <v>0</v>
      </c>
      <c r="AT603" s="307">
        <f>Table22[[#This Row],[Column1]]</f>
        <v>0</v>
      </c>
    </row>
    <row r="604" spans="1:46" x14ac:dyDescent="0.3">
      <c r="A604" s="307">
        <f t="shared" si="183"/>
        <v>0</v>
      </c>
      <c r="B604" s="307">
        <f t="shared" si="172"/>
        <v>0</v>
      </c>
      <c r="C604" s="308" t="s">
        <v>563</v>
      </c>
      <c r="D604" s="309" t="s">
        <v>563</v>
      </c>
      <c r="E604" s="310">
        <v>0</v>
      </c>
      <c r="F604" s="310">
        <v>0</v>
      </c>
      <c r="G604" s="311">
        <v>0</v>
      </c>
      <c r="H604" s="310" t="s">
        <v>563</v>
      </c>
      <c r="I604" s="310" t="s">
        <v>563</v>
      </c>
      <c r="J604" s="310" t="s">
        <v>563</v>
      </c>
      <c r="K604" s="312">
        <v>0</v>
      </c>
      <c r="L604" s="310">
        <v>0</v>
      </c>
      <c r="M604" s="310">
        <v>0</v>
      </c>
      <c r="N604" s="313">
        <v>0</v>
      </c>
      <c r="O604" s="314" t="s">
        <v>563</v>
      </c>
      <c r="P604" s="307">
        <f t="shared" si="177"/>
        <v>0</v>
      </c>
      <c r="R604" s="91" t="str">
        <f t="shared" si="173"/>
        <v/>
      </c>
      <c r="S60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4" s="307" t="str">
        <f t="shared" si="179"/>
        <v/>
      </c>
      <c r="U604" s="315" t="str">
        <f t="shared" si="180"/>
        <v/>
      </c>
      <c r="V604" s="307">
        <f t="shared" si="184"/>
        <v>0</v>
      </c>
      <c r="W604" s="307">
        <f>IFERROR(IF(V604&gt;0,PROPER(Terbilang1(V604)&amp;" Rupiah"),0),"")</f>
        <v>0</v>
      </c>
      <c r="X604" s="90" t="str">
        <f t="shared" si="185"/>
        <v/>
      </c>
      <c r="Y604" s="307" t="str">
        <f t="shared" si="186"/>
        <v/>
      </c>
      <c r="Z604" s="307">
        <f t="shared" si="181"/>
        <v>0</v>
      </c>
      <c r="AA604" s="366">
        <f t="shared" si="182"/>
        <v>0</v>
      </c>
      <c r="AB604" s="367">
        <f t="shared" si="187"/>
        <v>0</v>
      </c>
      <c r="AC604" s="305">
        <f t="shared" si="188"/>
        <v>0</v>
      </c>
      <c r="AP604" s="89" t="str">
        <f t="shared" si="176"/>
        <v/>
      </c>
      <c r="AQ604" s="89" t="str">
        <f t="shared" si="174"/>
        <v/>
      </c>
      <c r="AR604" s="315" t="str">
        <f t="shared" si="175"/>
        <v/>
      </c>
      <c r="AS604" s="305" t="str">
        <f t="shared" si="189"/>
        <v>0</v>
      </c>
      <c r="AT604" s="307">
        <f>Table22[[#This Row],[Column1]]</f>
        <v>0</v>
      </c>
    </row>
    <row r="605" spans="1:46" x14ac:dyDescent="0.3">
      <c r="A605" s="307">
        <f t="shared" si="183"/>
        <v>0</v>
      </c>
      <c r="B605" s="307">
        <f t="shared" si="172"/>
        <v>0</v>
      </c>
      <c r="C605" s="308" t="s">
        <v>563</v>
      </c>
      <c r="D605" s="309" t="s">
        <v>563</v>
      </c>
      <c r="E605" s="310">
        <v>0</v>
      </c>
      <c r="F605" s="310">
        <v>0</v>
      </c>
      <c r="G605" s="311">
        <v>0</v>
      </c>
      <c r="H605" s="310" t="s">
        <v>563</v>
      </c>
      <c r="I605" s="310" t="s">
        <v>563</v>
      </c>
      <c r="J605" s="310" t="s">
        <v>563</v>
      </c>
      <c r="K605" s="312">
        <v>0</v>
      </c>
      <c r="L605" s="310">
        <v>0</v>
      </c>
      <c r="M605" s="310">
        <v>0</v>
      </c>
      <c r="N605" s="313">
        <v>0</v>
      </c>
      <c r="O605" s="314" t="s">
        <v>563</v>
      </c>
      <c r="P605" s="307">
        <f t="shared" si="177"/>
        <v>0</v>
      </c>
      <c r="R605" s="91" t="str">
        <f t="shared" si="173"/>
        <v/>
      </c>
      <c r="S60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5" s="307" t="str">
        <f t="shared" si="179"/>
        <v/>
      </c>
      <c r="U605" s="315" t="str">
        <f t="shared" si="180"/>
        <v/>
      </c>
      <c r="V605" s="307">
        <f t="shared" si="184"/>
        <v>0</v>
      </c>
      <c r="W605" s="307">
        <f>IFERROR(IF(V605&gt;0,PROPER(Terbilang1(V605)&amp;" Rupiah"),0),"")</f>
        <v>0</v>
      </c>
      <c r="X605" s="90" t="str">
        <f t="shared" si="185"/>
        <v/>
      </c>
      <c r="Y605" s="307" t="str">
        <f t="shared" si="186"/>
        <v/>
      </c>
      <c r="Z605" s="307">
        <f t="shared" si="181"/>
        <v>0</v>
      </c>
      <c r="AA605" s="366">
        <f t="shared" si="182"/>
        <v>0</v>
      </c>
      <c r="AB605" s="367">
        <f t="shared" si="187"/>
        <v>0</v>
      </c>
      <c r="AC605" s="305">
        <f t="shared" si="188"/>
        <v>0</v>
      </c>
      <c r="AP605" s="89" t="str">
        <f t="shared" si="176"/>
        <v/>
      </c>
      <c r="AQ605" s="89" t="str">
        <f t="shared" si="174"/>
        <v/>
      </c>
      <c r="AR605" s="315" t="str">
        <f t="shared" si="175"/>
        <v/>
      </c>
      <c r="AS605" s="305" t="str">
        <f t="shared" si="189"/>
        <v>0</v>
      </c>
      <c r="AT605" s="307">
        <f>Table22[[#This Row],[Column1]]</f>
        <v>0</v>
      </c>
    </row>
    <row r="606" spans="1:46" x14ac:dyDescent="0.3">
      <c r="A606" s="307">
        <f t="shared" si="183"/>
        <v>0</v>
      </c>
      <c r="B606" s="307">
        <f t="shared" si="172"/>
        <v>0</v>
      </c>
      <c r="C606" s="308" t="s">
        <v>563</v>
      </c>
      <c r="D606" s="309" t="s">
        <v>563</v>
      </c>
      <c r="E606" s="310">
        <v>0</v>
      </c>
      <c r="F606" s="310">
        <v>0</v>
      </c>
      <c r="G606" s="311">
        <v>0</v>
      </c>
      <c r="H606" s="310" t="s">
        <v>563</v>
      </c>
      <c r="I606" s="310" t="s">
        <v>563</v>
      </c>
      <c r="J606" s="310" t="s">
        <v>563</v>
      </c>
      <c r="K606" s="312">
        <v>0</v>
      </c>
      <c r="L606" s="310">
        <v>0</v>
      </c>
      <c r="M606" s="310">
        <v>0</v>
      </c>
      <c r="N606" s="313">
        <v>0</v>
      </c>
      <c r="O606" s="314" t="s">
        <v>563</v>
      </c>
      <c r="P606" s="307">
        <f t="shared" si="177"/>
        <v>0</v>
      </c>
      <c r="R606" s="91" t="str">
        <f t="shared" si="173"/>
        <v/>
      </c>
      <c r="S60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6" s="307" t="str">
        <f t="shared" si="179"/>
        <v/>
      </c>
      <c r="U606" s="315" t="str">
        <f t="shared" si="180"/>
        <v/>
      </c>
      <c r="V606" s="307">
        <f t="shared" si="184"/>
        <v>0</v>
      </c>
      <c r="W606" s="307">
        <f>IFERROR(IF(V606&gt;0,PROPER(Terbilang1(V606)&amp;" Rupiah"),0),"")</f>
        <v>0</v>
      </c>
      <c r="X606" s="90" t="str">
        <f t="shared" si="185"/>
        <v/>
      </c>
      <c r="Y606" s="307" t="str">
        <f t="shared" si="186"/>
        <v/>
      </c>
      <c r="Z606" s="307">
        <f t="shared" si="181"/>
        <v>0</v>
      </c>
      <c r="AA606" s="366">
        <f t="shared" si="182"/>
        <v>0</v>
      </c>
      <c r="AB606" s="367">
        <f t="shared" si="187"/>
        <v>0</v>
      </c>
      <c r="AC606" s="305">
        <f t="shared" si="188"/>
        <v>0</v>
      </c>
      <c r="AP606" s="89" t="str">
        <f t="shared" si="176"/>
        <v/>
      </c>
      <c r="AQ606" s="89" t="str">
        <f t="shared" si="174"/>
        <v/>
      </c>
      <c r="AR606" s="315" t="str">
        <f t="shared" si="175"/>
        <v/>
      </c>
      <c r="AS606" s="305" t="str">
        <f t="shared" si="189"/>
        <v>0</v>
      </c>
      <c r="AT606" s="307">
        <f>Table22[[#This Row],[Column1]]</f>
        <v>0</v>
      </c>
    </row>
    <row r="607" spans="1:46" x14ac:dyDescent="0.3">
      <c r="A607" s="307">
        <f t="shared" si="183"/>
        <v>0</v>
      </c>
      <c r="B607" s="307">
        <f t="shared" si="172"/>
        <v>0</v>
      </c>
      <c r="C607" s="308" t="s">
        <v>563</v>
      </c>
      <c r="D607" s="309" t="s">
        <v>563</v>
      </c>
      <c r="E607" s="310">
        <v>0</v>
      </c>
      <c r="F607" s="310">
        <v>0</v>
      </c>
      <c r="G607" s="311">
        <v>0</v>
      </c>
      <c r="H607" s="310" t="s">
        <v>563</v>
      </c>
      <c r="I607" s="310" t="s">
        <v>563</v>
      </c>
      <c r="J607" s="310" t="s">
        <v>563</v>
      </c>
      <c r="K607" s="312">
        <v>0</v>
      </c>
      <c r="L607" s="310">
        <v>0</v>
      </c>
      <c r="M607" s="310">
        <v>0</v>
      </c>
      <c r="N607" s="313">
        <v>0</v>
      </c>
      <c r="O607" s="314" t="s">
        <v>563</v>
      </c>
      <c r="P607" s="307">
        <f t="shared" si="177"/>
        <v>0</v>
      </c>
      <c r="R607" s="91" t="str">
        <f t="shared" si="173"/>
        <v/>
      </c>
      <c r="S60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7" s="307" t="str">
        <f t="shared" si="179"/>
        <v/>
      </c>
      <c r="U607" s="315" t="str">
        <f t="shared" si="180"/>
        <v/>
      </c>
      <c r="V607" s="307">
        <f t="shared" si="184"/>
        <v>0</v>
      </c>
      <c r="W607" s="307">
        <f>IFERROR(IF(V607&gt;0,PROPER(Terbilang1(V607)&amp;" Rupiah"),0),"")</f>
        <v>0</v>
      </c>
      <c r="X607" s="90" t="str">
        <f t="shared" si="185"/>
        <v/>
      </c>
      <c r="Y607" s="307" t="str">
        <f t="shared" si="186"/>
        <v/>
      </c>
      <c r="Z607" s="307">
        <f t="shared" si="181"/>
        <v>0</v>
      </c>
      <c r="AA607" s="366">
        <f t="shared" si="182"/>
        <v>0</v>
      </c>
      <c r="AB607" s="367">
        <f t="shared" si="187"/>
        <v>0</v>
      </c>
      <c r="AC607" s="305">
        <f t="shared" si="188"/>
        <v>0</v>
      </c>
      <c r="AP607" s="89" t="str">
        <f t="shared" si="176"/>
        <v/>
      </c>
      <c r="AQ607" s="89" t="str">
        <f t="shared" si="174"/>
        <v/>
      </c>
      <c r="AR607" s="315" t="str">
        <f t="shared" si="175"/>
        <v/>
      </c>
      <c r="AS607" s="305" t="str">
        <f t="shared" si="189"/>
        <v>0</v>
      </c>
      <c r="AT607" s="307">
        <f>Table22[[#This Row],[Column1]]</f>
        <v>0</v>
      </c>
    </row>
    <row r="608" spans="1:46" x14ac:dyDescent="0.3">
      <c r="A608" s="307">
        <f t="shared" si="183"/>
        <v>0</v>
      </c>
      <c r="B608" s="307">
        <f t="shared" si="172"/>
        <v>0</v>
      </c>
      <c r="C608" s="308" t="s">
        <v>563</v>
      </c>
      <c r="D608" s="309" t="s">
        <v>563</v>
      </c>
      <c r="E608" s="310">
        <v>0</v>
      </c>
      <c r="F608" s="310">
        <v>0</v>
      </c>
      <c r="G608" s="311">
        <v>0</v>
      </c>
      <c r="H608" s="310" t="s">
        <v>563</v>
      </c>
      <c r="I608" s="310" t="s">
        <v>563</v>
      </c>
      <c r="J608" s="310" t="s">
        <v>563</v>
      </c>
      <c r="K608" s="312">
        <v>0</v>
      </c>
      <c r="L608" s="310">
        <v>0</v>
      </c>
      <c r="M608" s="310">
        <v>0</v>
      </c>
      <c r="N608" s="313">
        <v>0</v>
      </c>
      <c r="O608" s="314" t="s">
        <v>563</v>
      </c>
      <c r="P608" s="307">
        <f t="shared" si="177"/>
        <v>0</v>
      </c>
      <c r="R608" s="91" t="str">
        <f t="shared" si="173"/>
        <v/>
      </c>
      <c r="S60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8" s="307" t="str">
        <f t="shared" si="179"/>
        <v/>
      </c>
      <c r="U608" s="315" t="str">
        <f t="shared" si="180"/>
        <v/>
      </c>
      <c r="V608" s="307">
        <f t="shared" si="184"/>
        <v>0</v>
      </c>
      <c r="W608" s="307">
        <f>IFERROR(IF(V608&gt;0,PROPER(Terbilang1(V608)&amp;" Rupiah"),0),"")</f>
        <v>0</v>
      </c>
      <c r="X608" s="90" t="str">
        <f t="shared" si="185"/>
        <v/>
      </c>
      <c r="Y608" s="307" t="str">
        <f t="shared" si="186"/>
        <v/>
      </c>
      <c r="Z608" s="307">
        <f t="shared" si="181"/>
        <v>0</v>
      </c>
      <c r="AA608" s="366">
        <f t="shared" si="182"/>
        <v>0</v>
      </c>
      <c r="AB608" s="367">
        <f t="shared" si="187"/>
        <v>0</v>
      </c>
      <c r="AC608" s="305">
        <f t="shared" si="188"/>
        <v>0</v>
      </c>
      <c r="AP608" s="89" t="str">
        <f t="shared" si="176"/>
        <v/>
      </c>
      <c r="AQ608" s="89" t="str">
        <f t="shared" si="174"/>
        <v/>
      </c>
      <c r="AR608" s="315" t="str">
        <f t="shared" si="175"/>
        <v/>
      </c>
      <c r="AS608" s="305" t="str">
        <f t="shared" si="189"/>
        <v>0</v>
      </c>
      <c r="AT608" s="307">
        <f>Table22[[#This Row],[Column1]]</f>
        <v>0</v>
      </c>
    </row>
    <row r="609" spans="1:46" x14ac:dyDescent="0.3">
      <c r="A609" s="307">
        <f t="shared" si="183"/>
        <v>0</v>
      </c>
      <c r="B609" s="307">
        <f t="shared" si="172"/>
        <v>0</v>
      </c>
      <c r="C609" s="308" t="s">
        <v>563</v>
      </c>
      <c r="D609" s="309" t="s">
        <v>563</v>
      </c>
      <c r="E609" s="310">
        <v>0</v>
      </c>
      <c r="F609" s="310">
        <v>0</v>
      </c>
      <c r="G609" s="311">
        <v>0</v>
      </c>
      <c r="H609" s="310" t="s">
        <v>563</v>
      </c>
      <c r="I609" s="310" t="s">
        <v>563</v>
      </c>
      <c r="J609" s="310" t="s">
        <v>563</v>
      </c>
      <c r="K609" s="312">
        <v>0</v>
      </c>
      <c r="L609" s="310">
        <v>0</v>
      </c>
      <c r="M609" s="310">
        <v>0</v>
      </c>
      <c r="N609" s="313">
        <v>0</v>
      </c>
      <c r="O609" s="314" t="s">
        <v>563</v>
      </c>
      <c r="P609" s="307">
        <f t="shared" si="177"/>
        <v>0</v>
      </c>
      <c r="R609" s="91" t="str">
        <f t="shared" si="173"/>
        <v/>
      </c>
      <c r="S60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09" s="307" t="str">
        <f t="shared" si="179"/>
        <v/>
      </c>
      <c r="U609" s="315" t="str">
        <f t="shared" si="180"/>
        <v/>
      </c>
      <c r="V609" s="307">
        <f t="shared" si="184"/>
        <v>0</v>
      </c>
      <c r="W609" s="307">
        <f>IFERROR(IF(V609&gt;0,PROPER(Terbilang1(V609)&amp;" Rupiah"),0),"")</f>
        <v>0</v>
      </c>
      <c r="X609" s="90" t="str">
        <f t="shared" si="185"/>
        <v/>
      </c>
      <c r="Y609" s="307" t="str">
        <f t="shared" si="186"/>
        <v/>
      </c>
      <c r="Z609" s="307">
        <f t="shared" si="181"/>
        <v>0</v>
      </c>
      <c r="AA609" s="366">
        <f t="shared" si="182"/>
        <v>0</v>
      </c>
      <c r="AB609" s="367">
        <f t="shared" si="187"/>
        <v>0</v>
      </c>
      <c r="AC609" s="305">
        <f t="shared" si="188"/>
        <v>0</v>
      </c>
      <c r="AP609" s="89" t="str">
        <f t="shared" si="176"/>
        <v/>
      </c>
      <c r="AQ609" s="89" t="str">
        <f t="shared" si="174"/>
        <v/>
      </c>
      <c r="AR609" s="315" t="str">
        <f t="shared" si="175"/>
        <v/>
      </c>
      <c r="AS609" s="305" t="str">
        <f t="shared" si="189"/>
        <v>0</v>
      </c>
      <c r="AT609" s="307">
        <f>Table22[[#This Row],[Column1]]</f>
        <v>0</v>
      </c>
    </row>
    <row r="610" spans="1:46" x14ac:dyDescent="0.3">
      <c r="A610" s="307">
        <f t="shared" si="183"/>
        <v>0</v>
      </c>
      <c r="B610" s="307">
        <f t="shared" si="172"/>
        <v>0</v>
      </c>
      <c r="C610" s="308" t="s">
        <v>563</v>
      </c>
      <c r="D610" s="309" t="s">
        <v>563</v>
      </c>
      <c r="E610" s="310">
        <v>0</v>
      </c>
      <c r="F610" s="310">
        <v>0</v>
      </c>
      <c r="G610" s="311">
        <v>0</v>
      </c>
      <c r="H610" s="310" t="s">
        <v>563</v>
      </c>
      <c r="I610" s="310" t="s">
        <v>563</v>
      </c>
      <c r="J610" s="310" t="s">
        <v>563</v>
      </c>
      <c r="K610" s="312">
        <v>0</v>
      </c>
      <c r="L610" s="310">
        <v>0</v>
      </c>
      <c r="M610" s="310">
        <v>0</v>
      </c>
      <c r="N610" s="313">
        <v>0</v>
      </c>
      <c r="O610" s="314" t="s">
        <v>563</v>
      </c>
      <c r="P610" s="307">
        <f t="shared" si="177"/>
        <v>0</v>
      </c>
      <c r="R610" s="91" t="str">
        <f t="shared" si="173"/>
        <v/>
      </c>
      <c r="S61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0" s="307" t="str">
        <f t="shared" si="179"/>
        <v/>
      </c>
      <c r="U610" s="315" t="str">
        <f t="shared" si="180"/>
        <v/>
      </c>
      <c r="V610" s="307">
        <f t="shared" si="184"/>
        <v>0</v>
      </c>
      <c r="W610" s="307">
        <f>IFERROR(IF(V610&gt;0,PROPER(Terbilang1(V610)&amp;" Rupiah"),0),"")</f>
        <v>0</v>
      </c>
      <c r="X610" s="90" t="str">
        <f t="shared" si="185"/>
        <v/>
      </c>
      <c r="Y610" s="307" t="str">
        <f t="shared" si="186"/>
        <v/>
      </c>
      <c r="Z610" s="307">
        <f t="shared" si="181"/>
        <v>0</v>
      </c>
      <c r="AA610" s="366">
        <f t="shared" si="182"/>
        <v>0</v>
      </c>
      <c r="AB610" s="367">
        <f t="shared" si="187"/>
        <v>0</v>
      </c>
      <c r="AC610" s="305">
        <f t="shared" si="188"/>
        <v>0</v>
      </c>
      <c r="AP610" s="89" t="str">
        <f t="shared" si="176"/>
        <v/>
      </c>
      <c r="AQ610" s="89" t="str">
        <f t="shared" si="174"/>
        <v/>
      </c>
      <c r="AR610" s="315" t="str">
        <f t="shared" si="175"/>
        <v/>
      </c>
      <c r="AS610" s="305" t="str">
        <f t="shared" si="189"/>
        <v>0</v>
      </c>
      <c r="AT610" s="307">
        <f>Table22[[#This Row],[Column1]]</f>
        <v>0</v>
      </c>
    </row>
    <row r="611" spans="1:46" x14ac:dyDescent="0.3">
      <c r="A611" s="307">
        <f t="shared" si="183"/>
        <v>0</v>
      </c>
      <c r="B611" s="307">
        <f t="shared" si="172"/>
        <v>0</v>
      </c>
      <c r="C611" s="308" t="s">
        <v>563</v>
      </c>
      <c r="D611" s="309" t="s">
        <v>563</v>
      </c>
      <c r="E611" s="310">
        <v>0</v>
      </c>
      <c r="F611" s="310">
        <v>0</v>
      </c>
      <c r="G611" s="311">
        <v>0</v>
      </c>
      <c r="H611" s="310" t="s">
        <v>563</v>
      </c>
      <c r="I611" s="310" t="s">
        <v>563</v>
      </c>
      <c r="J611" s="310" t="s">
        <v>563</v>
      </c>
      <c r="K611" s="312">
        <v>0</v>
      </c>
      <c r="L611" s="310">
        <v>0</v>
      </c>
      <c r="M611" s="310">
        <v>0</v>
      </c>
      <c r="N611" s="313">
        <v>0</v>
      </c>
      <c r="O611" s="314" t="s">
        <v>563</v>
      </c>
      <c r="P611" s="307">
        <f t="shared" si="177"/>
        <v>0</v>
      </c>
      <c r="R611" s="91" t="str">
        <f t="shared" si="173"/>
        <v/>
      </c>
      <c r="S61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1" s="307" t="str">
        <f t="shared" si="179"/>
        <v/>
      </c>
      <c r="U611" s="315" t="str">
        <f t="shared" si="180"/>
        <v/>
      </c>
      <c r="V611" s="307">
        <f t="shared" si="184"/>
        <v>0</v>
      </c>
      <c r="W611" s="307">
        <f>IFERROR(IF(V611&gt;0,PROPER(Terbilang1(V611)&amp;" Rupiah"),0),"")</f>
        <v>0</v>
      </c>
      <c r="X611" s="90" t="str">
        <f t="shared" si="185"/>
        <v/>
      </c>
      <c r="Y611" s="307" t="str">
        <f t="shared" si="186"/>
        <v/>
      </c>
      <c r="Z611" s="307">
        <f t="shared" si="181"/>
        <v>0</v>
      </c>
      <c r="AA611" s="366">
        <f t="shared" si="182"/>
        <v>0</v>
      </c>
      <c r="AB611" s="367">
        <f t="shared" si="187"/>
        <v>0</v>
      </c>
      <c r="AC611" s="305">
        <f t="shared" si="188"/>
        <v>0</v>
      </c>
      <c r="AP611" s="89" t="str">
        <f t="shared" si="176"/>
        <v/>
      </c>
      <c r="AQ611" s="89" t="str">
        <f t="shared" si="174"/>
        <v/>
      </c>
      <c r="AR611" s="315" t="str">
        <f t="shared" si="175"/>
        <v/>
      </c>
      <c r="AS611" s="305" t="str">
        <f t="shared" si="189"/>
        <v>0</v>
      </c>
      <c r="AT611" s="307">
        <f>Table22[[#This Row],[Column1]]</f>
        <v>0</v>
      </c>
    </row>
    <row r="612" spans="1:46" x14ac:dyDescent="0.3">
      <c r="A612" s="307">
        <f t="shared" si="183"/>
        <v>0</v>
      </c>
      <c r="B612" s="307">
        <f t="shared" si="172"/>
        <v>0</v>
      </c>
      <c r="C612" s="308" t="s">
        <v>563</v>
      </c>
      <c r="D612" s="309" t="s">
        <v>563</v>
      </c>
      <c r="E612" s="310">
        <v>0</v>
      </c>
      <c r="F612" s="310">
        <v>0</v>
      </c>
      <c r="G612" s="311">
        <v>0</v>
      </c>
      <c r="H612" s="310" t="s">
        <v>563</v>
      </c>
      <c r="I612" s="310" t="s">
        <v>563</v>
      </c>
      <c r="J612" s="310" t="s">
        <v>563</v>
      </c>
      <c r="K612" s="312">
        <v>0</v>
      </c>
      <c r="L612" s="310">
        <v>0</v>
      </c>
      <c r="M612" s="310">
        <v>0</v>
      </c>
      <c r="N612" s="313">
        <v>0</v>
      </c>
      <c r="O612" s="314" t="s">
        <v>563</v>
      </c>
      <c r="P612" s="307">
        <f t="shared" si="177"/>
        <v>0</v>
      </c>
      <c r="R612" s="91" t="str">
        <f t="shared" si="173"/>
        <v/>
      </c>
      <c r="S61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2" s="307" t="str">
        <f t="shared" si="179"/>
        <v/>
      </c>
      <c r="U612" s="315" t="str">
        <f t="shared" si="180"/>
        <v/>
      </c>
      <c r="V612" s="307">
        <f t="shared" si="184"/>
        <v>0</v>
      </c>
      <c r="W612" s="307">
        <f>IFERROR(IF(V612&gt;0,PROPER(Terbilang1(V612)&amp;" Rupiah"),0),"")</f>
        <v>0</v>
      </c>
      <c r="X612" s="90" t="str">
        <f t="shared" si="185"/>
        <v/>
      </c>
      <c r="Y612" s="307" t="str">
        <f t="shared" si="186"/>
        <v/>
      </c>
      <c r="Z612" s="307">
        <f t="shared" si="181"/>
        <v>0</v>
      </c>
      <c r="AA612" s="366">
        <f t="shared" si="182"/>
        <v>0</v>
      </c>
      <c r="AB612" s="367">
        <f t="shared" si="187"/>
        <v>0</v>
      </c>
      <c r="AC612" s="305">
        <f t="shared" si="188"/>
        <v>0</v>
      </c>
      <c r="AP612" s="89" t="str">
        <f t="shared" si="176"/>
        <v/>
      </c>
      <c r="AQ612" s="89" t="str">
        <f t="shared" si="174"/>
        <v/>
      </c>
      <c r="AR612" s="315" t="str">
        <f t="shared" si="175"/>
        <v/>
      </c>
      <c r="AS612" s="305" t="str">
        <f t="shared" si="189"/>
        <v>0</v>
      </c>
      <c r="AT612" s="307">
        <f>Table22[[#This Row],[Column1]]</f>
        <v>0</v>
      </c>
    </row>
    <row r="613" spans="1:46" x14ac:dyDescent="0.3">
      <c r="A613" s="307">
        <f t="shared" si="183"/>
        <v>0</v>
      </c>
      <c r="B613" s="307">
        <f t="shared" ref="B613:B676" si="190">IF(LEFT(F613,2)="MA","Jasa",IF(LEFT(F613,1)="G","Bayar Ongkos",IF(LEFT(F613,1)="M","Beli",0)))</f>
        <v>0</v>
      </c>
      <c r="C613" s="308" t="s">
        <v>563</v>
      </c>
      <c r="D613" s="309" t="s">
        <v>563</v>
      </c>
      <c r="E613" s="310">
        <v>0</v>
      </c>
      <c r="F613" s="310">
        <v>0</v>
      </c>
      <c r="G613" s="311">
        <v>0</v>
      </c>
      <c r="H613" s="310" t="s">
        <v>563</v>
      </c>
      <c r="I613" s="310" t="s">
        <v>563</v>
      </c>
      <c r="J613" s="310" t="s">
        <v>563</v>
      </c>
      <c r="K613" s="312">
        <v>0</v>
      </c>
      <c r="L613" s="310">
        <v>0</v>
      </c>
      <c r="M613" s="310">
        <v>0</v>
      </c>
      <c r="N613" s="313">
        <v>0</v>
      </c>
      <c r="O613" s="314" t="s">
        <v>563</v>
      </c>
      <c r="P613" s="307">
        <f t="shared" si="177"/>
        <v>0</v>
      </c>
      <c r="R613" s="91" t="str">
        <f t="shared" ref="R613:R676" si="191">IF(LEFT(F613,2)="ma",F613,IF(LEFT(F613,1)="m",E613,IF(LEFT(F613,1)="b",E613,IF(LEFT(F613,1)="G",F613,""))))</f>
        <v/>
      </c>
      <c r="S61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3" s="307" t="str">
        <f t="shared" si="179"/>
        <v/>
      </c>
      <c r="U613" s="315" t="str">
        <f t="shared" si="180"/>
        <v/>
      </c>
      <c r="V613" s="307">
        <f t="shared" si="184"/>
        <v>0</v>
      </c>
      <c r="W613" s="307">
        <f>IFERROR(IF(V613&gt;0,PROPER(Terbilang1(V613)&amp;" Rupiah"),0),"")</f>
        <v>0</v>
      </c>
      <c r="X613" s="90" t="str">
        <f t="shared" si="185"/>
        <v/>
      </c>
      <c r="Y613" s="307" t="str">
        <f t="shared" si="186"/>
        <v/>
      </c>
      <c r="Z613" s="307">
        <f t="shared" si="181"/>
        <v>0</v>
      </c>
      <c r="AA613" s="366">
        <f t="shared" si="182"/>
        <v>0</v>
      </c>
      <c r="AB613" s="367">
        <f t="shared" si="187"/>
        <v>0</v>
      </c>
      <c r="AC613" s="305">
        <f t="shared" si="188"/>
        <v>0</v>
      </c>
      <c r="AP613" s="89" t="str">
        <f t="shared" si="176"/>
        <v/>
      </c>
      <c r="AQ613" s="89" t="str">
        <f t="shared" si="174"/>
        <v/>
      </c>
      <c r="AR613" s="315" t="str">
        <f t="shared" si="175"/>
        <v/>
      </c>
      <c r="AS613" s="305" t="str">
        <f t="shared" si="189"/>
        <v>0</v>
      </c>
      <c r="AT613" s="307">
        <f>Table22[[#This Row],[Column1]]</f>
        <v>0</v>
      </c>
    </row>
    <row r="614" spans="1:46" x14ac:dyDescent="0.3">
      <c r="A614" s="307">
        <f t="shared" si="183"/>
        <v>0</v>
      </c>
      <c r="B614" s="307">
        <f t="shared" si="190"/>
        <v>0</v>
      </c>
      <c r="C614" s="308" t="s">
        <v>563</v>
      </c>
      <c r="D614" s="309" t="s">
        <v>563</v>
      </c>
      <c r="E614" s="310">
        <v>0</v>
      </c>
      <c r="F614" s="310">
        <v>0</v>
      </c>
      <c r="G614" s="311">
        <v>0</v>
      </c>
      <c r="H614" s="310" t="s">
        <v>563</v>
      </c>
      <c r="I614" s="310" t="s">
        <v>563</v>
      </c>
      <c r="J614" s="310" t="s">
        <v>563</v>
      </c>
      <c r="K614" s="312">
        <v>0</v>
      </c>
      <c r="L614" s="310">
        <v>0</v>
      </c>
      <c r="M614" s="310">
        <v>0</v>
      </c>
      <c r="N614" s="313">
        <v>0</v>
      </c>
      <c r="O614" s="314" t="s">
        <v>563</v>
      </c>
      <c r="P614" s="307">
        <f t="shared" si="177"/>
        <v>0</v>
      </c>
      <c r="R614" s="91" t="str">
        <f t="shared" si="191"/>
        <v/>
      </c>
      <c r="S61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4" s="307" t="str">
        <f t="shared" si="179"/>
        <v/>
      </c>
      <c r="U614" s="315" t="str">
        <f t="shared" si="180"/>
        <v/>
      </c>
      <c r="V614" s="307">
        <f t="shared" si="184"/>
        <v>0</v>
      </c>
      <c r="W614" s="307">
        <f>IFERROR(IF(V614&gt;0,PROPER(Terbilang1(V614)&amp;" Rupiah"),0),"")</f>
        <v>0</v>
      </c>
      <c r="X614" s="90" t="str">
        <f t="shared" si="185"/>
        <v/>
      </c>
      <c r="Y614" s="307" t="str">
        <f t="shared" si="186"/>
        <v/>
      </c>
      <c r="Z614" s="307">
        <f t="shared" si="181"/>
        <v>0</v>
      </c>
      <c r="AA614" s="366">
        <f t="shared" si="182"/>
        <v>0</v>
      </c>
      <c r="AB614" s="367">
        <f t="shared" si="187"/>
        <v>0</v>
      </c>
      <c r="AC614" s="305">
        <f t="shared" si="188"/>
        <v>0</v>
      </c>
      <c r="AP614" s="89" t="str">
        <f t="shared" si="176"/>
        <v/>
      </c>
      <c r="AQ614" s="89" t="str">
        <f t="shared" si="174"/>
        <v/>
      </c>
      <c r="AR614" s="315" t="str">
        <f t="shared" si="175"/>
        <v/>
      </c>
      <c r="AS614" s="305" t="str">
        <f t="shared" si="189"/>
        <v>0</v>
      </c>
      <c r="AT614" s="307">
        <f>Table22[[#This Row],[Column1]]</f>
        <v>0</v>
      </c>
    </row>
    <row r="615" spans="1:46" x14ac:dyDescent="0.3">
      <c r="A615" s="307">
        <f t="shared" si="183"/>
        <v>0</v>
      </c>
      <c r="B615" s="307">
        <f t="shared" si="190"/>
        <v>0</v>
      </c>
      <c r="C615" s="308" t="s">
        <v>563</v>
      </c>
      <c r="D615" s="309" t="s">
        <v>563</v>
      </c>
      <c r="E615" s="310">
        <v>0</v>
      </c>
      <c r="F615" s="310">
        <v>0</v>
      </c>
      <c r="G615" s="311">
        <v>0</v>
      </c>
      <c r="H615" s="310" t="s">
        <v>563</v>
      </c>
      <c r="I615" s="310" t="s">
        <v>563</v>
      </c>
      <c r="J615" s="310" t="s">
        <v>563</v>
      </c>
      <c r="K615" s="312">
        <v>0</v>
      </c>
      <c r="L615" s="310">
        <v>0</v>
      </c>
      <c r="M615" s="310">
        <v>0</v>
      </c>
      <c r="N615" s="313">
        <v>0</v>
      </c>
      <c r="O615" s="314" t="s">
        <v>563</v>
      </c>
      <c r="P615" s="307">
        <f t="shared" si="177"/>
        <v>0</v>
      </c>
      <c r="R615" s="91" t="str">
        <f t="shared" si="191"/>
        <v/>
      </c>
      <c r="S61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5" s="307" t="str">
        <f t="shared" si="179"/>
        <v/>
      </c>
      <c r="U615" s="315" t="str">
        <f t="shared" si="180"/>
        <v/>
      </c>
      <c r="V615" s="307">
        <f t="shared" si="184"/>
        <v>0</v>
      </c>
      <c r="W615" s="307">
        <f>IFERROR(IF(V615&gt;0,PROPER(Terbilang1(V615)&amp;" Rupiah"),0),"")</f>
        <v>0</v>
      </c>
      <c r="X615" s="90" t="str">
        <f t="shared" si="185"/>
        <v/>
      </c>
      <c r="Y615" s="307" t="str">
        <f t="shared" si="186"/>
        <v/>
      </c>
      <c r="Z615" s="307">
        <f t="shared" si="181"/>
        <v>0</v>
      </c>
      <c r="AA615" s="366">
        <f t="shared" si="182"/>
        <v>0</v>
      </c>
      <c r="AB615" s="367">
        <f t="shared" si="187"/>
        <v>0</v>
      </c>
      <c r="AC615" s="305">
        <f t="shared" si="188"/>
        <v>0</v>
      </c>
      <c r="AP615" s="89" t="str">
        <f t="shared" si="176"/>
        <v/>
      </c>
      <c r="AQ615" s="89" t="str">
        <f t="shared" si="174"/>
        <v/>
      </c>
      <c r="AR615" s="315" t="str">
        <f t="shared" si="175"/>
        <v/>
      </c>
      <c r="AS615" s="305" t="str">
        <f t="shared" si="189"/>
        <v>0</v>
      </c>
      <c r="AT615" s="307">
        <f>Table22[[#This Row],[Column1]]</f>
        <v>0</v>
      </c>
    </row>
    <row r="616" spans="1:46" x14ac:dyDescent="0.3">
      <c r="A616" s="307">
        <f t="shared" si="183"/>
        <v>0</v>
      </c>
      <c r="B616" s="307">
        <f t="shared" si="190"/>
        <v>0</v>
      </c>
      <c r="C616" s="308" t="s">
        <v>563</v>
      </c>
      <c r="D616" s="309" t="s">
        <v>563</v>
      </c>
      <c r="E616" s="310">
        <v>0</v>
      </c>
      <c r="F616" s="310">
        <v>0</v>
      </c>
      <c r="G616" s="311">
        <v>0</v>
      </c>
      <c r="H616" s="310" t="s">
        <v>563</v>
      </c>
      <c r="I616" s="310" t="s">
        <v>563</v>
      </c>
      <c r="J616" s="310" t="s">
        <v>563</v>
      </c>
      <c r="K616" s="312">
        <v>0</v>
      </c>
      <c r="L616" s="310">
        <v>0</v>
      </c>
      <c r="M616" s="310">
        <v>0</v>
      </c>
      <c r="N616" s="313">
        <v>0</v>
      </c>
      <c r="O616" s="314" t="s">
        <v>563</v>
      </c>
      <c r="P616" s="307">
        <f t="shared" si="177"/>
        <v>0</v>
      </c>
      <c r="R616" s="91" t="str">
        <f t="shared" si="191"/>
        <v/>
      </c>
      <c r="S61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6" s="307" t="str">
        <f t="shared" si="179"/>
        <v/>
      </c>
      <c r="U616" s="315" t="str">
        <f t="shared" si="180"/>
        <v/>
      </c>
      <c r="V616" s="307">
        <f t="shared" si="184"/>
        <v>0</v>
      </c>
      <c r="W616" s="307">
        <f>IFERROR(IF(V616&gt;0,PROPER(Terbilang1(V616)&amp;" Rupiah"),0),"")</f>
        <v>0</v>
      </c>
      <c r="X616" s="90" t="str">
        <f t="shared" si="185"/>
        <v/>
      </c>
      <c r="Y616" s="307" t="str">
        <f t="shared" si="186"/>
        <v/>
      </c>
      <c r="Z616" s="307">
        <f t="shared" si="181"/>
        <v>0</v>
      </c>
      <c r="AA616" s="366">
        <f t="shared" si="182"/>
        <v>0</v>
      </c>
      <c r="AB616" s="367">
        <f t="shared" si="187"/>
        <v>0</v>
      </c>
      <c r="AC616" s="305">
        <f t="shared" si="188"/>
        <v>0</v>
      </c>
      <c r="AP616" s="89" t="str">
        <f t="shared" si="176"/>
        <v/>
      </c>
      <c r="AQ616" s="89" t="str">
        <f t="shared" ref="AQ616:AQ679" si="192">TEXT(AR616,"MM")</f>
        <v/>
      </c>
      <c r="AR616" s="315" t="str">
        <f t="shared" si="175"/>
        <v/>
      </c>
      <c r="AS616" s="305" t="str">
        <f t="shared" si="189"/>
        <v>0</v>
      </c>
      <c r="AT616" s="307">
        <f>Table22[[#This Row],[Column1]]</f>
        <v>0</v>
      </c>
    </row>
    <row r="617" spans="1:46" x14ac:dyDescent="0.3">
      <c r="A617" s="307">
        <f t="shared" si="183"/>
        <v>0</v>
      </c>
      <c r="B617" s="307">
        <f t="shared" si="190"/>
        <v>0</v>
      </c>
      <c r="C617" s="308" t="s">
        <v>563</v>
      </c>
      <c r="D617" s="309" t="s">
        <v>563</v>
      </c>
      <c r="E617" s="310">
        <v>0</v>
      </c>
      <c r="F617" s="310">
        <v>0</v>
      </c>
      <c r="G617" s="311">
        <v>0</v>
      </c>
      <c r="H617" s="310" t="s">
        <v>563</v>
      </c>
      <c r="I617" s="310" t="s">
        <v>563</v>
      </c>
      <c r="J617" s="310" t="s">
        <v>563</v>
      </c>
      <c r="K617" s="312">
        <v>0</v>
      </c>
      <c r="L617" s="310">
        <v>0</v>
      </c>
      <c r="M617" s="310">
        <v>0</v>
      </c>
      <c r="N617" s="313">
        <v>0</v>
      </c>
      <c r="O617" s="314" t="s">
        <v>563</v>
      </c>
      <c r="P617" s="307">
        <f t="shared" si="177"/>
        <v>0</v>
      </c>
      <c r="R617" s="91" t="str">
        <f t="shared" si="191"/>
        <v/>
      </c>
      <c r="S61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7" s="307" t="str">
        <f t="shared" si="179"/>
        <v/>
      </c>
      <c r="U617" s="315" t="str">
        <f t="shared" si="180"/>
        <v/>
      </c>
      <c r="V617" s="307">
        <f t="shared" si="184"/>
        <v>0</v>
      </c>
      <c r="W617" s="307">
        <f>IFERROR(IF(V617&gt;0,PROPER(Terbilang1(V617)&amp;" Rupiah"),0),"")</f>
        <v>0</v>
      </c>
      <c r="X617" s="90" t="str">
        <f t="shared" si="185"/>
        <v/>
      </c>
      <c r="Y617" s="307" t="str">
        <f t="shared" si="186"/>
        <v/>
      </c>
      <c r="Z617" s="307">
        <f t="shared" si="181"/>
        <v>0</v>
      </c>
      <c r="AA617" s="366">
        <f t="shared" si="182"/>
        <v>0</v>
      </c>
      <c r="AB617" s="367">
        <f t="shared" si="187"/>
        <v>0</v>
      </c>
      <c r="AC617" s="305">
        <f t="shared" si="188"/>
        <v>0</v>
      </c>
      <c r="AP617" s="89" t="str">
        <f t="shared" si="176"/>
        <v/>
      </c>
      <c r="AQ617" s="89" t="str">
        <f t="shared" si="192"/>
        <v/>
      </c>
      <c r="AR617" s="315" t="str">
        <f t="shared" si="175"/>
        <v/>
      </c>
      <c r="AS617" s="305" t="str">
        <f t="shared" si="189"/>
        <v>0</v>
      </c>
      <c r="AT617" s="307">
        <f>Table22[[#This Row],[Column1]]</f>
        <v>0</v>
      </c>
    </row>
    <row r="618" spans="1:46" x14ac:dyDescent="0.3">
      <c r="A618" s="307">
        <f t="shared" si="183"/>
        <v>0</v>
      </c>
      <c r="B618" s="307">
        <f t="shared" si="190"/>
        <v>0</v>
      </c>
      <c r="C618" s="308" t="s">
        <v>563</v>
      </c>
      <c r="D618" s="309" t="s">
        <v>563</v>
      </c>
      <c r="E618" s="310">
        <v>0</v>
      </c>
      <c r="F618" s="310">
        <v>0</v>
      </c>
      <c r="G618" s="311">
        <v>0</v>
      </c>
      <c r="H618" s="310" t="s">
        <v>563</v>
      </c>
      <c r="I618" s="310" t="s">
        <v>563</v>
      </c>
      <c r="J618" s="310" t="s">
        <v>563</v>
      </c>
      <c r="K618" s="312">
        <v>0</v>
      </c>
      <c r="L618" s="310">
        <v>0</v>
      </c>
      <c r="M618" s="310">
        <v>0</v>
      </c>
      <c r="N618" s="313">
        <v>0</v>
      </c>
      <c r="O618" s="314" t="s">
        <v>563</v>
      </c>
      <c r="P618" s="307">
        <f t="shared" si="177"/>
        <v>0</v>
      </c>
      <c r="R618" s="91" t="str">
        <f t="shared" si="191"/>
        <v/>
      </c>
      <c r="S61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8" s="307" t="str">
        <f t="shared" si="179"/>
        <v/>
      </c>
      <c r="U618" s="315" t="str">
        <f t="shared" si="180"/>
        <v/>
      </c>
      <c r="V618" s="307">
        <f t="shared" si="184"/>
        <v>0</v>
      </c>
      <c r="W618" s="307">
        <f>IFERROR(IF(V618&gt;0,PROPER(Terbilang1(V618)&amp;" Rupiah"),0),"")</f>
        <v>0</v>
      </c>
      <c r="X618" s="90" t="str">
        <f t="shared" si="185"/>
        <v/>
      </c>
      <c r="Y618" s="307" t="str">
        <f t="shared" si="186"/>
        <v/>
      </c>
      <c r="Z618" s="307">
        <f t="shared" si="181"/>
        <v>0</v>
      </c>
      <c r="AA618" s="366">
        <f t="shared" si="182"/>
        <v>0</v>
      </c>
      <c r="AB618" s="367">
        <f t="shared" si="187"/>
        <v>0</v>
      </c>
      <c r="AC618" s="305">
        <f t="shared" si="188"/>
        <v>0</v>
      </c>
      <c r="AP618" s="89" t="str">
        <f t="shared" si="176"/>
        <v/>
      </c>
      <c r="AQ618" s="89" t="str">
        <f t="shared" si="192"/>
        <v/>
      </c>
      <c r="AR618" s="315" t="str">
        <f t="shared" si="175"/>
        <v/>
      </c>
      <c r="AS618" s="305" t="str">
        <f t="shared" si="189"/>
        <v>0</v>
      </c>
      <c r="AT618" s="307">
        <f>Table22[[#This Row],[Column1]]</f>
        <v>0</v>
      </c>
    </row>
    <row r="619" spans="1:46" x14ac:dyDescent="0.3">
      <c r="A619" s="307">
        <f t="shared" si="183"/>
        <v>0</v>
      </c>
      <c r="B619" s="307">
        <f t="shared" si="190"/>
        <v>0</v>
      </c>
      <c r="C619" s="308" t="s">
        <v>563</v>
      </c>
      <c r="D619" s="309" t="s">
        <v>563</v>
      </c>
      <c r="E619" s="310">
        <v>0</v>
      </c>
      <c r="F619" s="310">
        <v>0</v>
      </c>
      <c r="G619" s="311">
        <v>0</v>
      </c>
      <c r="H619" s="310" t="s">
        <v>563</v>
      </c>
      <c r="I619" s="310" t="s">
        <v>563</v>
      </c>
      <c r="J619" s="310" t="s">
        <v>563</v>
      </c>
      <c r="K619" s="312">
        <v>0</v>
      </c>
      <c r="L619" s="310">
        <v>0</v>
      </c>
      <c r="M619" s="310">
        <v>0</v>
      </c>
      <c r="N619" s="313">
        <v>0</v>
      </c>
      <c r="O619" s="314" t="s">
        <v>563</v>
      </c>
      <c r="P619" s="307">
        <f t="shared" si="177"/>
        <v>0</v>
      </c>
      <c r="R619" s="91" t="str">
        <f t="shared" si="191"/>
        <v/>
      </c>
      <c r="S61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19" s="307" t="str">
        <f t="shared" si="179"/>
        <v/>
      </c>
      <c r="U619" s="315" t="str">
        <f t="shared" si="180"/>
        <v/>
      </c>
      <c r="V619" s="307">
        <f t="shared" si="184"/>
        <v>0</v>
      </c>
      <c r="W619" s="307">
        <f>IFERROR(IF(V619&gt;0,PROPER(Terbilang1(V619)&amp;" Rupiah"),0),"")</f>
        <v>0</v>
      </c>
      <c r="X619" s="90" t="str">
        <f t="shared" si="185"/>
        <v/>
      </c>
      <c r="Y619" s="307" t="str">
        <f t="shared" si="186"/>
        <v/>
      </c>
      <c r="Z619" s="307">
        <f t="shared" si="181"/>
        <v>0</v>
      </c>
      <c r="AA619" s="366">
        <f t="shared" si="182"/>
        <v>0</v>
      </c>
      <c r="AB619" s="367">
        <f t="shared" si="187"/>
        <v>0</v>
      </c>
      <c r="AC619" s="305">
        <f t="shared" si="188"/>
        <v>0</v>
      </c>
      <c r="AP619" s="89" t="str">
        <f t="shared" si="176"/>
        <v/>
      </c>
      <c r="AQ619" s="89" t="str">
        <f t="shared" si="192"/>
        <v/>
      </c>
      <c r="AR619" s="315" t="str">
        <f t="shared" si="175"/>
        <v/>
      </c>
      <c r="AS619" s="305" t="str">
        <f t="shared" si="189"/>
        <v>0</v>
      </c>
      <c r="AT619" s="307">
        <f>Table22[[#This Row],[Column1]]</f>
        <v>0</v>
      </c>
    </row>
    <row r="620" spans="1:46" x14ac:dyDescent="0.3">
      <c r="A620" s="307">
        <f t="shared" si="183"/>
        <v>0</v>
      </c>
      <c r="B620" s="307">
        <f t="shared" si="190"/>
        <v>0</v>
      </c>
      <c r="C620" s="308" t="s">
        <v>563</v>
      </c>
      <c r="D620" s="309" t="s">
        <v>563</v>
      </c>
      <c r="E620" s="310">
        <v>0</v>
      </c>
      <c r="F620" s="310">
        <v>0</v>
      </c>
      <c r="G620" s="311">
        <v>0</v>
      </c>
      <c r="H620" s="310" t="s">
        <v>563</v>
      </c>
      <c r="I620" s="310" t="s">
        <v>563</v>
      </c>
      <c r="J620" s="310" t="s">
        <v>563</v>
      </c>
      <c r="K620" s="312">
        <v>0</v>
      </c>
      <c r="L620" s="310">
        <v>0</v>
      </c>
      <c r="M620" s="310">
        <v>0</v>
      </c>
      <c r="N620" s="313">
        <v>0</v>
      </c>
      <c r="O620" s="314" t="s">
        <v>563</v>
      </c>
      <c r="P620" s="307">
        <f t="shared" si="177"/>
        <v>0</v>
      </c>
      <c r="R620" s="91" t="str">
        <f t="shared" si="191"/>
        <v/>
      </c>
      <c r="S62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0" s="307" t="str">
        <f t="shared" si="179"/>
        <v/>
      </c>
      <c r="U620" s="315" t="str">
        <f t="shared" si="180"/>
        <v/>
      </c>
      <c r="V620" s="307">
        <f t="shared" si="184"/>
        <v>0</v>
      </c>
      <c r="W620" s="307">
        <f>IFERROR(IF(V620&gt;0,PROPER(Terbilang1(V620)&amp;" Rupiah"),0),"")</f>
        <v>0</v>
      </c>
      <c r="X620" s="90" t="str">
        <f t="shared" si="185"/>
        <v/>
      </c>
      <c r="Y620" s="307" t="str">
        <f t="shared" si="186"/>
        <v/>
      </c>
      <c r="Z620" s="307">
        <f t="shared" si="181"/>
        <v>0</v>
      </c>
      <c r="AA620" s="366">
        <f t="shared" si="182"/>
        <v>0</v>
      </c>
      <c r="AB620" s="367">
        <f t="shared" si="187"/>
        <v>0</v>
      </c>
      <c r="AC620" s="305">
        <f t="shared" si="188"/>
        <v>0</v>
      </c>
      <c r="AP620" s="89" t="str">
        <f t="shared" si="176"/>
        <v/>
      </c>
      <c r="AQ620" s="89" t="str">
        <f t="shared" si="192"/>
        <v/>
      </c>
      <c r="AR620" s="315" t="str">
        <f t="shared" si="175"/>
        <v/>
      </c>
      <c r="AS620" s="305" t="str">
        <f t="shared" si="189"/>
        <v>0</v>
      </c>
      <c r="AT620" s="307">
        <f>Table22[[#This Row],[Column1]]</f>
        <v>0</v>
      </c>
    </row>
    <row r="621" spans="1:46" x14ac:dyDescent="0.3">
      <c r="A621" s="307">
        <f t="shared" si="183"/>
        <v>0</v>
      </c>
      <c r="B621" s="307">
        <f t="shared" si="190"/>
        <v>0</v>
      </c>
      <c r="C621" s="308" t="s">
        <v>563</v>
      </c>
      <c r="D621" s="309" t="s">
        <v>563</v>
      </c>
      <c r="E621" s="310">
        <v>0</v>
      </c>
      <c r="F621" s="310">
        <v>0</v>
      </c>
      <c r="G621" s="311">
        <v>0</v>
      </c>
      <c r="H621" s="310" t="s">
        <v>563</v>
      </c>
      <c r="I621" s="310" t="s">
        <v>563</v>
      </c>
      <c r="J621" s="310" t="s">
        <v>563</v>
      </c>
      <c r="K621" s="312">
        <v>0</v>
      </c>
      <c r="L621" s="310">
        <v>0</v>
      </c>
      <c r="M621" s="310">
        <v>0</v>
      </c>
      <c r="N621" s="313">
        <v>0</v>
      </c>
      <c r="O621" s="314" t="s">
        <v>563</v>
      </c>
      <c r="P621" s="307">
        <f t="shared" si="177"/>
        <v>0</v>
      </c>
      <c r="R621" s="91" t="str">
        <f t="shared" si="191"/>
        <v/>
      </c>
      <c r="S62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1" s="307" t="str">
        <f t="shared" si="179"/>
        <v/>
      </c>
      <c r="U621" s="315" t="str">
        <f t="shared" si="180"/>
        <v/>
      </c>
      <c r="V621" s="307">
        <f t="shared" si="184"/>
        <v>0</v>
      </c>
      <c r="W621" s="307">
        <f>IFERROR(IF(V621&gt;0,PROPER(Terbilang1(V621)&amp;" Rupiah"),0),"")</f>
        <v>0</v>
      </c>
      <c r="X621" s="90" t="str">
        <f t="shared" si="185"/>
        <v/>
      </c>
      <c r="Y621" s="307" t="str">
        <f t="shared" si="186"/>
        <v/>
      </c>
      <c r="Z621" s="307">
        <f t="shared" si="181"/>
        <v>0</v>
      </c>
      <c r="AA621" s="366">
        <f t="shared" si="182"/>
        <v>0</v>
      </c>
      <c r="AB621" s="367">
        <f t="shared" si="187"/>
        <v>0</v>
      </c>
      <c r="AC621" s="305">
        <f t="shared" si="188"/>
        <v>0</v>
      </c>
      <c r="AP621" s="89" t="str">
        <f t="shared" si="176"/>
        <v/>
      </c>
      <c r="AQ621" s="89" t="str">
        <f t="shared" si="192"/>
        <v/>
      </c>
      <c r="AR621" s="315" t="str">
        <f t="shared" si="175"/>
        <v/>
      </c>
      <c r="AS621" s="305" t="str">
        <f t="shared" si="189"/>
        <v>0</v>
      </c>
      <c r="AT621" s="307">
        <f>Table22[[#This Row],[Column1]]</f>
        <v>0</v>
      </c>
    </row>
    <row r="622" spans="1:46" x14ac:dyDescent="0.3">
      <c r="A622" s="307">
        <f t="shared" si="183"/>
        <v>0</v>
      </c>
      <c r="B622" s="307">
        <f t="shared" si="190"/>
        <v>0</v>
      </c>
      <c r="C622" s="308" t="s">
        <v>563</v>
      </c>
      <c r="D622" s="309" t="s">
        <v>563</v>
      </c>
      <c r="E622" s="310">
        <v>0</v>
      </c>
      <c r="F622" s="310">
        <v>0</v>
      </c>
      <c r="G622" s="311">
        <v>0</v>
      </c>
      <c r="H622" s="310" t="s">
        <v>563</v>
      </c>
      <c r="I622" s="310" t="s">
        <v>563</v>
      </c>
      <c r="J622" s="310" t="s">
        <v>563</v>
      </c>
      <c r="K622" s="312">
        <v>0</v>
      </c>
      <c r="L622" s="310">
        <v>0</v>
      </c>
      <c r="M622" s="310">
        <v>0</v>
      </c>
      <c r="N622" s="313">
        <v>0</v>
      </c>
      <c r="O622" s="314" t="s">
        <v>563</v>
      </c>
      <c r="P622" s="307">
        <f t="shared" si="177"/>
        <v>0</v>
      </c>
      <c r="R622" s="91" t="str">
        <f t="shared" si="191"/>
        <v/>
      </c>
      <c r="S62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2" s="307" t="str">
        <f t="shared" si="179"/>
        <v/>
      </c>
      <c r="U622" s="315" t="str">
        <f t="shared" si="180"/>
        <v/>
      </c>
      <c r="V622" s="307">
        <f t="shared" si="184"/>
        <v>0</v>
      </c>
      <c r="W622" s="307">
        <f>IFERROR(IF(V622&gt;0,PROPER(Terbilang1(V622)&amp;" Rupiah"),0),"")</f>
        <v>0</v>
      </c>
      <c r="X622" s="90" t="str">
        <f t="shared" si="185"/>
        <v/>
      </c>
      <c r="Y622" s="307" t="str">
        <f t="shared" si="186"/>
        <v/>
      </c>
      <c r="Z622" s="307">
        <f t="shared" si="181"/>
        <v>0</v>
      </c>
      <c r="AA622" s="366">
        <f t="shared" si="182"/>
        <v>0</v>
      </c>
      <c r="AB622" s="367">
        <f t="shared" si="187"/>
        <v>0</v>
      </c>
      <c r="AC622" s="305">
        <f t="shared" si="188"/>
        <v>0</v>
      </c>
      <c r="AP622" s="89" t="str">
        <f t="shared" si="176"/>
        <v/>
      </c>
      <c r="AQ622" s="89" t="str">
        <f t="shared" si="192"/>
        <v/>
      </c>
      <c r="AR622" s="315" t="str">
        <f t="shared" si="175"/>
        <v/>
      </c>
      <c r="AS622" s="305" t="str">
        <f t="shared" si="189"/>
        <v>0</v>
      </c>
      <c r="AT622" s="307">
        <f>Table22[[#This Row],[Column1]]</f>
        <v>0</v>
      </c>
    </row>
    <row r="623" spans="1:46" x14ac:dyDescent="0.3">
      <c r="A623" s="307">
        <f t="shared" si="183"/>
        <v>0</v>
      </c>
      <c r="B623" s="307">
        <f t="shared" si="190"/>
        <v>0</v>
      </c>
      <c r="C623" s="308" t="s">
        <v>563</v>
      </c>
      <c r="D623" s="309" t="s">
        <v>563</v>
      </c>
      <c r="E623" s="310">
        <v>0</v>
      </c>
      <c r="F623" s="310">
        <v>0</v>
      </c>
      <c r="G623" s="311">
        <v>0</v>
      </c>
      <c r="H623" s="310" t="s">
        <v>563</v>
      </c>
      <c r="I623" s="310" t="s">
        <v>563</v>
      </c>
      <c r="J623" s="310" t="s">
        <v>563</v>
      </c>
      <c r="K623" s="312">
        <v>0</v>
      </c>
      <c r="L623" s="310">
        <v>0</v>
      </c>
      <c r="M623" s="310">
        <v>0</v>
      </c>
      <c r="N623" s="313">
        <v>0</v>
      </c>
      <c r="O623" s="314" t="s">
        <v>563</v>
      </c>
      <c r="P623" s="307">
        <f t="shared" si="177"/>
        <v>0</v>
      </c>
      <c r="R623" s="91" t="str">
        <f t="shared" si="191"/>
        <v/>
      </c>
      <c r="S62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3" s="307" t="str">
        <f t="shared" si="179"/>
        <v/>
      </c>
      <c r="U623" s="315" t="str">
        <f t="shared" si="180"/>
        <v/>
      </c>
      <c r="V623" s="307">
        <f t="shared" si="184"/>
        <v>0</v>
      </c>
      <c r="W623" s="307">
        <f>IFERROR(IF(V623&gt;0,PROPER(Terbilang1(V623)&amp;" Rupiah"),0),"")</f>
        <v>0</v>
      </c>
      <c r="X623" s="90" t="str">
        <f t="shared" si="185"/>
        <v/>
      </c>
      <c r="Y623" s="307" t="str">
        <f t="shared" si="186"/>
        <v/>
      </c>
      <c r="Z623" s="307">
        <f t="shared" si="181"/>
        <v>0</v>
      </c>
      <c r="AA623" s="366">
        <f t="shared" si="182"/>
        <v>0</v>
      </c>
      <c r="AB623" s="367">
        <f t="shared" si="187"/>
        <v>0</v>
      </c>
      <c r="AC623" s="305">
        <f t="shared" si="188"/>
        <v>0</v>
      </c>
      <c r="AP623" s="89" t="str">
        <f t="shared" si="176"/>
        <v/>
      </c>
      <c r="AQ623" s="89" t="str">
        <f t="shared" si="192"/>
        <v/>
      </c>
      <c r="AR623" s="315" t="str">
        <f t="shared" si="175"/>
        <v/>
      </c>
      <c r="AS623" s="305" t="str">
        <f t="shared" si="189"/>
        <v>0</v>
      </c>
      <c r="AT623" s="307">
        <f>Table22[[#This Row],[Column1]]</f>
        <v>0</v>
      </c>
    </row>
    <row r="624" spans="1:46" x14ac:dyDescent="0.3">
      <c r="A624" s="307">
        <f t="shared" si="183"/>
        <v>0</v>
      </c>
      <c r="B624" s="307">
        <f t="shared" si="190"/>
        <v>0</v>
      </c>
      <c r="C624" s="308" t="s">
        <v>563</v>
      </c>
      <c r="D624" s="309" t="s">
        <v>563</v>
      </c>
      <c r="E624" s="310">
        <v>0</v>
      </c>
      <c r="F624" s="310">
        <v>0</v>
      </c>
      <c r="G624" s="311">
        <v>0</v>
      </c>
      <c r="H624" s="310" t="s">
        <v>563</v>
      </c>
      <c r="I624" s="310" t="s">
        <v>563</v>
      </c>
      <c r="J624" s="310" t="s">
        <v>563</v>
      </c>
      <c r="K624" s="312">
        <v>0</v>
      </c>
      <c r="L624" s="310">
        <v>0</v>
      </c>
      <c r="M624" s="310">
        <v>0</v>
      </c>
      <c r="N624" s="313">
        <v>0</v>
      </c>
      <c r="O624" s="314" t="s">
        <v>563</v>
      </c>
      <c r="P624" s="307">
        <f t="shared" si="177"/>
        <v>0</v>
      </c>
      <c r="R624" s="91" t="str">
        <f t="shared" si="191"/>
        <v/>
      </c>
      <c r="S62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4" s="307" t="str">
        <f t="shared" si="179"/>
        <v/>
      </c>
      <c r="U624" s="315" t="str">
        <f t="shared" si="180"/>
        <v/>
      </c>
      <c r="V624" s="307">
        <f t="shared" si="184"/>
        <v>0</v>
      </c>
      <c r="W624" s="307">
        <f>IFERROR(IF(V624&gt;0,PROPER(Terbilang1(V624)&amp;" Rupiah"),0),"")</f>
        <v>0</v>
      </c>
      <c r="X624" s="90" t="str">
        <f t="shared" si="185"/>
        <v/>
      </c>
      <c r="Y624" s="307" t="str">
        <f t="shared" si="186"/>
        <v/>
      </c>
      <c r="Z624" s="307">
        <f t="shared" si="181"/>
        <v>0</v>
      </c>
      <c r="AA624" s="366">
        <f t="shared" si="182"/>
        <v>0</v>
      </c>
      <c r="AB624" s="367">
        <f t="shared" si="187"/>
        <v>0</v>
      </c>
      <c r="AC624" s="305">
        <f t="shared" si="188"/>
        <v>0</v>
      </c>
      <c r="AP624" s="89" t="str">
        <f t="shared" si="176"/>
        <v/>
      </c>
      <c r="AQ624" s="89" t="str">
        <f t="shared" si="192"/>
        <v/>
      </c>
      <c r="AR624" s="315" t="str">
        <f t="shared" si="175"/>
        <v/>
      </c>
      <c r="AS624" s="305" t="str">
        <f t="shared" si="189"/>
        <v>0</v>
      </c>
      <c r="AT624" s="307">
        <f>Table22[[#This Row],[Column1]]</f>
        <v>0</v>
      </c>
    </row>
    <row r="625" spans="1:46" x14ac:dyDescent="0.3">
      <c r="A625" s="307">
        <f t="shared" si="183"/>
        <v>0</v>
      </c>
      <c r="B625" s="307">
        <f t="shared" si="190"/>
        <v>0</v>
      </c>
      <c r="C625" s="308" t="s">
        <v>563</v>
      </c>
      <c r="D625" s="309" t="s">
        <v>563</v>
      </c>
      <c r="E625" s="310">
        <v>0</v>
      </c>
      <c r="F625" s="310">
        <v>0</v>
      </c>
      <c r="G625" s="311">
        <v>0</v>
      </c>
      <c r="H625" s="310" t="s">
        <v>563</v>
      </c>
      <c r="I625" s="310" t="s">
        <v>563</v>
      </c>
      <c r="J625" s="310" t="s">
        <v>563</v>
      </c>
      <c r="K625" s="312">
        <v>0</v>
      </c>
      <c r="L625" s="310">
        <v>0</v>
      </c>
      <c r="M625" s="310">
        <v>0</v>
      </c>
      <c r="N625" s="313">
        <v>0</v>
      </c>
      <c r="O625" s="314" t="s">
        <v>563</v>
      </c>
      <c r="P625" s="307">
        <f t="shared" si="177"/>
        <v>0</v>
      </c>
      <c r="R625" s="91" t="str">
        <f t="shared" si="191"/>
        <v/>
      </c>
      <c r="S62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5" s="307" t="str">
        <f t="shared" si="179"/>
        <v/>
      </c>
      <c r="U625" s="315" t="str">
        <f t="shared" si="180"/>
        <v/>
      </c>
      <c r="V625" s="307">
        <f t="shared" si="184"/>
        <v>0</v>
      </c>
      <c r="W625" s="307">
        <f>IFERROR(IF(V625&gt;0,PROPER(Terbilang1(V625)&amp;" Rupiah"),0),"")</f>
        <v>0</v>
      </c>
      <c r="X625" s="90" t="str">
        <f t="shared" si="185"/>
        <v/>
      </c>
      <c r="Y625" s="307" t="str">
        <f t="shared" si="186"/>
        <v/>
      </c>
      <c r="Z625" s="307">
        <f t="shared" si="181"/>
        <v>0</v>
      </c>
      <c r="AA625" s="366">
        <f t="shared" si="182"/>
        <v>0</v>
      </c>
      <c r="AB625" s="367">
        <f t="shared" si="187"/>
        <v>0</v>
      </c>
      <c r="AC625" s="305">
        <f t="shared" si="188"/>
        <v>0</v>
      </c>
      <c r="AP625" s="89" t="str">
        <f t="shared" si="176"/>
        <v/>
      </c>
      <c r="AQ625" s="89" t="str">
        <f t="shared" si="192"/>
        <v/>
      </c>
      <c r="AR625" s="315" t="str">
        <f t="shared" si="175"/>
        <v/>
      </c>
      <c r="AS625" s="305" t="str">
        <f t="shared" si="189"/>
        <v>0</v>
      </c>
      <c r="AT625" s="307">
        <f>Table22[[#This Row],[Column1]]</f>
        <v>0</v>
      </c>
    </row>
    <row r="626" spans="1:46" x14ac:dyDescent="0.3">
      <c r="A626" s="307">
        <f t="shared" si="183"/>
        <v>0</v>
      </c>
      <c r="B626" s="307">
        <f t="shared" si="190"/>
        <v>0</v>
      </c>
      <c r="C626" s="308" t="s">
        <v>563</v>
      </c>
      <c r="D626" s="309" t="s">
        <v>563</v>
      </c>
      <c r="E626" s="310">
        <v>0</v>
      </c>
      <c r="F626" s="310">
        <v>0</v>
      </c>
      <c r="G626" s="311">
        <v>0</v>
      </c>
      <c r="H626" s="310" t="s">
        <v>563</v>
      </c>
      <c r="I626" s="310" t="s">
        <v>563</v>
      </c>
      <c r="J626" s="310" t="s">
        <v>563</v>
      </c>
      <c r="K626" s="312">
        <v>0</v>
      </c>
      <c r="L626" s="310">
        <v>0</v>
      </c>
      <c r="M626" s="310">
        <v>0</v>
      </c>
      <c r="N626" s="313">
        <v>0</v>
      </c>
      <c r="O626" s="314" t="s">
        <v>563</v>
      </c>
      <c r="P626" s="307">
        <f t="shared" si="177"/>
        <v>0</v>
      </c>
      <c r="R626" s="91" t="str">
        <f t="shared" si="191"/>
        <v/>
      </c>
      <c r="S62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6" s="307" t="str">
        <f t="shared" si="179"/>
        <v/>
      </c>
      <c r="U626" s="315" t="str">
        <f t="shared" si="180"/>
        <v/>
      </c>
      <c r="V626" s="307">
        <f t="shared" si="184"/>
        <v>0</v>
      </c>
      <c r="W626" s="307">
        <f>IFERROR(IF(V626&gt;0,PROPER(Terbilang1(V626)&amp;" Rupiah"),0),"")</f>
        <v>0</v>
      </c>
      <c r="X626" s="90" t="str">
        <f t="shared" si="185"/>
        <v/>
      </c>
      <c r="Y626" s="307" t="str">
        <f t="shared" si="186"/>
        <v/>
      </c>
      <c r="Z626" s="307">
        <f t="shared" si="181"/>
        <v>0</v>
      </c>
      <c r="AA626" s="366">
        <f t="shared" si="182"/>
        <v>0</v>
      </c>
      <c r="AB626" s="367">
        <f t="shared" si="187"/>
        <v>0</v>
      </c>
      <c r="AC626" s="305">
        <f t="shared" si="188"/>
        <v>0</v>
      </c>
      <c r="AP626" s="89" t="str">
        <f t="shared" si="176"/>
        <v/>
      </c>
      <c r="AQ626" s="89" t="str">
        <f t="shared" si="192"/>
        <v/>
      </c>
      <c r="AR626" s="315" t="str">
        <f t="shared" si="175"/>
        <v/>
      </c>
      <c r="AS626" s="305" t="str">
        <f t="shared" si="189"/>
        <v>0</v>
      </c>
      <c r="AT626" s="307">
        <f>Table22[[#This Row],[Column1]]</f>
        <v>0</v>
      </c>
    </row>
    <row r="627" spans="1:46" x14ac:dyDescent="0.3">
      <c r="A627" s="307">
        <f t="shared" si="183"/>
        <v>0</v>
      </c>
      <c r="B627" s="307">
        <f t="shared" si="190"/>
        <v>0</v>
      </c>
      <c r="C627" s="308" t="s">
        <v>563</v>
      </c>
      <c r="D627" s="309" t="s">
        <v>563</v>
      </c>
      <c r="E627" s="310">
        <v>0</v>
      </c>
      <c r="F627" s="310">
        <v>0</v>
      </c>
      <c r="G627" s="311">
        <v>0</v>
      </c>
      <c r="H627" s="310" t="s">
        <v>563</v>
      </c>
      <c r="I627" s="310" t="s">
        <v>563</v>
      </c>
      <c r="J627" s="310" t="s">
        <v>563</v>
      </c>
      <c r="K627" s="312">
        <v>0</v>
      </c>
      <c r="L627" s="310">
        <v>0</v>
      </c>
      <c r="M627" s="310">
        <v>0</v>
      </c>
      <c r="N627" s="313">
        <v>0</v>
      </c>
      <c r="O627" s="314" t="s">
        <v>563</v>
      </c>
      <c r="P627" s="307">
        <f t="shared" si="177"/>
        <v>0</v>
      </c>
      <c r="R627" s="91" t="str">
        <f t="shared" si="191"/>
        <v/>
      </c>
      <c r="S62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7" s="307" t="str">
        <f t="shared" si="179"/>
        <v/>
      </c>
      <c r="U627" s="315" t="str">
        <f t="shared" si="180"/>
        <v/>
      </c>
      <c r="V627" s="307">
        <f t="shared" si="184"/>
        <v>0</v>
      </c>
      <c r="W627" s="307">
        <f>IFERROR(IF(V627&gt;0,PROPER(Terbilang1(V627)&amp;" Rupiah"),0),"")</f>
        <v>0</v>
      </c>
      <c r="X627" s="90" t="str">
        <f t="shared" si="185"/>
        <v/>
      </c>
      <c r="Y627" s="307" t="str">
        <f t="shared" si="186"/>
        <v/>
      </c>
      <c r="Z627" s="307">
        <f t="shared" si="181"/>
        <v>0</v>
      </c>
      <c r="AA627" s="366">
        <f t="shared" si="182"/>
        <v>0</v>
      </c>
      <c r="AB627" s="367">
        <f t="shared" si="187"/>
        <v>0</v>
      </c>
      <c r="AC627" s="305">
        <f t="shared" si="188"/>
        <v>0</v>
      </c>
      <c r="AP627" s="89" t="str">
        <f t="shared" si="176"/>
        <v/>
      </c>
      <c r="AQ627" s="89" t="str">
        <f t="shared" si="192"/>
        <v/>
      </c>
      <c r="AR627" s="315" t="str">
        <f t="shared" ref="AR627:AR690" si="193">IF(VALUE(AT627)&gt;1,IF(LEN(AR626)&gt;1,AR626,D627),"")</f>
        <v/>
      </c>
      <c r="AS627" s="305" t="str">
        <f t="shared" si="189"/>
        <v>0</v>
      </c>
      <c r="AT627" s="307">
        <f>Table22[[#This Row],[Column1]]</f>
        <v>0</v>
      </c>
    </row>
    <row r="628" spans="1:46" x14ac:dyDescent="0.3">
      <c r="A628" s="307">
        <f t="shared" si="183"/>
        <v>0</v>
      </c>
      <c r="B628" s="307">
        <f t="shared" si="190"/>
        <v>0</v>
      </c>
      <c r="C628" s="308" t="s">
        <v>563</v>
      </c>
      <c r="D628" s="309" t="s">
        <v>563</v>
      </c>
      <c r="E628" s="310">
        <v>0</v>
      </c>
      <c r="F628" s="310">
        <v>0</v>
      </c>
      <c r="G628" s="311">
        <v>0</v>
      </c>
      <c r="H628" s="310" t="s">
        <v>563</v>
      </c>
      <c r="I628" s="310" t="s">
        <v>563</v>
      </c>
      <c r="J628" s="310" t="s">
        <v>563</v>
      </c>
      <c r="K628" s="312">
        <v>0</v>
      </c>
      <c r="L628" s="310">
        <v>0</v>
      </c>
      <c r="M628" s="310">
        <v>0</v>
      </c>
      <c r="N628" s="313">
        <v>0</v>
      </c>
      <c r="O628" s="314" t="s">
        <v>563</v>
      </c>
      <c r="P628" s="307">
        <f t="shared" si="177"/>
        <v>0</v>
      </c>
      <c r="R628" s="91" t="str">
        <f t="shared" si="191"/>
        <v/>
      </c>
      <c r="S62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8" s="307" t="str">
        <f t="shared" si="179"/>
        <v/>
      </c>
      <c r="U628" s="315" t="str">
        <f t="shared" si="180"/>
        <v/>
      </c>
      <c r="V628" s="307">
        <f t="shared" si="184"/>
        <v>0</v>
      </c>
      <c r="W628" s="307">
        <f>IFERROR(IF(V628&gt;0,PROPER(Terbilang1(V628)&amp;" Rupiah"),0),"")</f>
        <v>0</v>
      </c>
      <c r="X628" s="90" t="str">
        <f t="shared" si="185"/>
        <v/>
      </c>
      <c r="Y628" s="307" t="str">
        <f t="shared" si="186"/>
        <v/>
      </c>
      <c r="Z628" s="307">
        <f t="shared" si="181"/>
        <v>0</v>
      </c>
      <c r="AA628" s="366">
        <f t="shared" si="182"/>
        <v>0</v>
      </c>
      <c r="AB628" s="367">
        <f t="shared" si="187"/>
        <v>0</v>
      </c>
      <c r="AC628" s="305">
        <f t="shared" si="188"/>
        <v>0</v>
      </c>
      <c r="AP628" s="89" t="str">
        <f t="shared" si="176"/>
        <v/>
      </c>
      <c r="AQ628" s="89" t="str">
        <f t="shared" si="192"/>
        <v/>
      </c>
      <c r="AR628" s="315" t="str">
        <f t="shared" si="193"/>
        <v/>
      </c>
      <c r="AS628" s="305" t="str">
        <f t="shared" si="189"/>
        <v>0</v>
      </c>
      <c r="AT628" s="307">
        <f>Table22[[#This Row],[Column1]]</f>
        <v>0</v>
      </c>
    </row>
    <row r="629" spans="1:46" x14ac:dyDescent="0.3">
      <c r="A629" s="307">
        <f t="shared" si="183"/>
        <v>0</v>
      </c>
      <c r="B629" s="307">
        <f t="shared" si="190"/>
        <v>0</v>
      </c>
      <c r="C629" s="308" t="s">
        <v>563</v>
      </c>
      <c r="D629" s="309" t="s">
        <v>563</v>
      </c>
      <c r="E629" s="310">
        <v>0</v>
      </c>
      <c r="F629" s="310">
        <v>0</v>
      </c>
      <c r="G629" s="311">
        <v>0</v>
      </c>
      <c r="H629" s="310" t="s">
        <v>563</v>
      </c>
      <c r="I629" s="310" t="s">
        <v>563</v>
      </c>
      <c r="J629" s="310" t="s">
        <v>563</v>
      </c>
      <c r="K629" s="312">
        <v>0</v>
      </c>
      <c r="L629" s="310">
        <v>0</v>
      </c>
      <c r="M629" s="310">
        <v>0</v>
      </c>
      <c r="N629" s="313">
        <v>0</v>
      </c>
      <c r="O629" s="314" t="s">
        <v>563</v>
      </c>
      <c r="P629" s="307">
        <f t="shared" si="177"/>
        <v>0</v>
      </c>
      <c r="R629" s="91" t="str">
        <f t="shared" si="191"/>
        <v/>
      </c>
      <c r="S62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29" s="307" t="str">
        <f t="shared" si="179"/>
        <v/>
      </c>
      <c r="U629" s="315" t="str">
        <f t="shared" si="180"/>
        <v/>
      </c>
      <c r="V629" s="307">
        <f t="shared" si="184"/>
        <v>0</v>
      </c>
      <c r="W629" s="307">
        <f>IFERROR(IF(V629&gt;0,PROPER(Terbilang1(V629)&amp;" Rupiah"),0),"")</f>
        <v>0</v>
      </c>
      <c r="X629" s="90" t="str">
        <f t="shared" si="185"/>
        <v/>
      </c>
      <c r="Y629" s="307" t="str">
        <f t="shared" si="186"/>
        <v/>
      </c>
      <c r="Z629" s="307">
        <f t="shared" si="181"/>
        <v>0</v>
      </c>
      <c r="AA629" s="366">
        <f t="shared" si="182"/>
        <v>0</v>
      </c>
      <c r="AB629" s="367">
        <f t="shared" si="187"/>
        <v>0</v>
      </c>
      <c r="AC629" s="305">
        <f t="shared" si="188"/>
        <v>0</v>
      </c>
      <c r="AP629" s="89" t="str">
        <f t="shared" si="176"/>
        <v/>
      </c>
      <c r="AQ629" s="89" t="str">
        <f t="shared" si="192"/>
        <v/>
      </c>
      <c r="AR629" s="315" t="str">
        <f t="shared" si="193"/>
        <v/>
      </c>
      <c r="AS629" s="305" t="str">
        <f t="shared" si="189"/>
        <v>0</v>
      </c>
      <c r="AT629" s="307">
        <f>Table22[[#This Row],[Column1]]</f>
        <v>0</v>
      </c>
    </row>
    <row r="630" spans="1:46" x14ac:dyDescent="0.3">
      <c r="A630" s="307">
        <f t="shared" si="183"/>
        <v>0</v>
      </c>
      <c r="B630" s="307">
        <f t="shared" si="190"/>
        <v>0</v>
      </c>
      <c r="C630" s="308" t="s">
        <v>563</v>
      </c>
      <c r="D630" s="309" t="s">
        <v>563</v>
      </c>
      <c r="E630" s="310">
        <v>0</v>
      </c>
      <c r="F630" s="310">
        <v>0</v>
      </c>
      <c r="G630" s="311">
        <v>0</v>
      </c>
      <c r="H630" s="310" t="s">
        <v>563</v>
      </c>
      <c r="I630" s="310" t="s">
        <v>563</v>
      </c>
      <c r="J630" s="310" t="s">
        <v>563</v>
      </c>
      <c r="K630" s="312">
        <v>0</v>
      </c>
      <c r="L630" s="310">
        <v>0</v>
      </c>
      <c r="M630" s="310">
        <v>0</v>
      </c>
      <c r="N630" s="313">
        <v>0</v>
      </c>
      <c r="O630" s="314" t="s">
        <v>563</v>
      </c>
      <c r="P630" s="307">
        <f t="shared" si="177"/>
        <v>0</v>
      </c>
      <c r="R630" s="91" t="str">
        <f t="shared" si="191"/>
        <v/>
      </c>
      <c r="S63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0" s="307" t="str">
        <f t="shared" si="179"/>
        <v/>
      </c>
      <c r="U630" s="315" t="str">
        <f t="shared" si="180"/>
        <v/>
      </c>
      <c r="V630" s="307">
        <f t="shared" si="184"/>
        <v>0</v>
      </c>
      <c r="W630" s="307">
        <f>IFERROR(IF(V630&gt;0,PROPER(Terbilang1(V630)&amp;" Rupiah"),0),"")</f>
        <v>0</v>
      </c>
      <c r="X630" s="90" t="str">
        <f t="shared" si="185"/>
        <v/>
      </c>
      <c r="Y630" s="307" t="str">
        <f t="shared" si="186"/>
        <v/>
      </c>
      <c r="Z630" s="307">
        <f t="shared" si="181"/>
        <v>0</v>
      </c>
      <c r="AA630" s="366">
        <f t="shared" si="182"/>
        <v>0</v>
      </c>
      <c r="AB630" s="367">
        <f t="shared" si="187"/>
        <v>0</v>
      </c>
      <c r="AC630" s="305">
        <f t="shared" si="188"/>
        <v>0</v>
      </c>
      <c r="AP630" s="89" t="str">
        <f t="shared" si="176"/>
        <v/>
      </c>
      <c r="AQ630" s="89" t="str">
        <f t="shared" si="192"/>
        <v/>
      </c>
      <c r="AR630" s="315" t="str">
        <f t="shared" si="193"/>
        <v/>
      </c>
      <c r="AS630" s="305" t="str">
        <f t="shared" si="189"/>
        <v>0</v>
      </c>
      <c r="AT630" s="307">
        <f>Table22[[#This Row],[Column1]]</f>
        <v>0</v>
      </c>
    </row>
    <row r="631" spans="1:46" x14ac:dyDescent="0.3">
      <c r="A631" s="307">
        <f t="shared" si="183"/>
        <v>0</v>
      </c>
      <c r="B631" s="307">
        <f t="shared" si="190"/>
        <v>0</v>
      </c>
      <c r="C631" s="308" t="s">
        <v>563</v>
      </c>
      <c r="D631" s="309" t="s">
        <v>563</v>
      </c>
      <c r="E631" s="310">
        <v>0</v>
      </c>
      <c r="F631" s="310">
        <v>0</v>
      </c>
      <c r="G631" s="311">
        <v>0</v>
      </c>
      <c r="H631" s="310" t="s">
        <v>563</v>
      </c>
      <c r="I631" s="310" t="s">
        <v>563</v>
      </c>
      <c r="J631" s="310" t="s">
        <v>563</v>
      </c>
      <c r="K631" s="312">
        <v>0</v>
      </c>
      <c r="L631" s="310">
        <v>0</v>
      </c>
      <c r="M631" s="310">
        <v>0</v>
      </c>
      <c r="N631" s="313">
        <v>0</v>
      </c>
      <c r="O631" s="314" t="s">
        <v>563</v>
      </c>
      <c r="P631" s="307">
        <f t="shared" si="177"/>
        <v>0</v>
      </c>
      <c r="R631" s="91" t="str">
        <f t="shared" si="191"/>
        <v/>
      </c>
      <c r="S63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1" s="307" t="str">
        <f t="shared" si="179"/>
        <v/>
      </c>
      <c r="U631" s="315" t="str">
        <f t="shared" si="180"/>
        <v/>
      </c>
      <c r="V631" s="307">
        <f t="shared" si="184"/>
        <v>0</v>
      </c>
      <c r="W631" s="307">
        <f>IFERROR(IF(V631&gt;0,PROPER(Terbilang1(V631)&amp;" Rupiah"),0),"")</f>
        <v>0</v>
      </c>
      <c r="X631" s="90" t="str">
        <f t="shared" si="185"/>
        <v/>
      </c>
      <c r="Y631" s="307" t="str">
        <f t="shared" si="186"/>
        <v/>
      </c>
      <c r="Z631" s="307">
        <f t="shared" si="181"/>
        <v>0</v>
      </c>
      <c r="AA631" s="366">
        <f t="shared" si="182"/>
        <v>0</v>
      </c>
      <c r="AB631" s="367">
        <f t="shared" si="187"/>
        <v>0</v>
      </c>
      <c r="AC631" s="305">
        <f t="shared" si="188"/>
        <v>0</v>
      </c>
      <c r="AP631" s="89" t="str">
        <f t="shared" si="176"/>
        <v/>
      </c>
      <c r="AQ631" s="89" t="str">
        <f t="shared" si="192"/>
        <v/>
      </c>
      <c r="AR631" s="315" t="str">
        <f t="shared" si="193"/>
        <v/>
      </c>
      <c r="AS631" s="305" t="str">
        <f t="shared" si="189"/>
        <v>0</v>
      </c>
      <c r="AT631" s="307">
        <f>Table22[[#This Row],[Column1]]</f>
        <v>0</v>
      </c>
    </row>
    <row r="632" spans="1:46" x14ac:dyDescent="0.3">
      <c r="A632" s="307">
        <f t="shared" si="183"/>
        <v>0</v>
      </c>
      <c r="B632" s="307">
        <f t="shared" si="190"/>
        <v>0</v>
      </c>
      <c r="C632" s="308" t="s">
        <v>563</v>
      </c>
      <c r="D632" s="309" t="s">
        <v>563</v>
      </c>
      <c r="E632" s="310">
        <v>0</v>
      </c>
      <c r="F632" s="310">
        <v>0</v>
      </c>
      <c r="G632" s="311">
        <v>0</v>
      </c>
      <c r="H632" s="310" t="s">
        <v>563</v>
      </c>
      <c r="I632" s="310" t="s">
        <v>563</v>
      </c>
      <c r="J632" s="310" t="s">
        <v>563</v>
      </c>
      <c r="K632" s="312">
        <v>0</v>
      </c>
      <c r="L632" s="310">
        <v>0</v>
      </c>
      <c r="M632" s="310">
        <v>0</v>
      </c>
      <c r="N632" s="313">
        <v>0</v>
      </c>
      <c r="O632" s="314" t="s">
        <v>563</v>
      </c>
      <c r="P632" s="307">
        <f t="shared" si="177"/>
        <v>0</v>
      </c>
      <c r="R632" s="91" t="str">
        <f t="shared" si="191"/>
        <v/>
      </c>
      <c r="S632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2" s="307" t="str">
        <f t="shared" si="179"/>
        <v/>
      </c>
      <c r="U632" s="315" t="str">
        <f t="shared" si="180"/>
        <v/>
      </c>
      <c r="V632" s="307">
        <f t="shared" si="184"/>
        <v>0</v>
      </c>
      <c r="W632" s="307">
        <f>IFERROR(IF(V632&gt;0,PROPER(Terbilang1(V632)&amp;" Rupiah"),0),"")</f>
        <v>0</v>
      </c>
      <c r="X632" s="90" t="str">
        <f t="shared" si="185"/>
        <v/>
      </c>
      <c r="Y632" s="307" t="str">
        <f t="shared" si="186"/>
        <v/>
      </c>
      <c r="Z632" s="307">
        <f t="shared" si="181"/>
        <v>0</v>
      </c>
      <c r="AA632" s="366">
        <f t="shared" si="182"/>
        <v>0</v>
      </c>
      <c r="AB632" s="367">
        <f t="shared" si="187"/>
        <v>0</v>
      </c>
      <c r="AC632" s="305">
        <f t="shared" si="188"/>
        <v>0</v>
      </c>
      <c r="AP632" s="89" t="str">
        <f t="shared" si="176"/>
        <v/>
      </c>
      <c r="AQ632" s="89" t="str">
        <f t="shared" si="192"/>
        <v/>
      </c>
      <c r="AR632" s="315" t="str">
        <f t="shared" si="193"/>
        <v/>
      </c>
      <c r="AS632" s="305" t="str">
        <f t="shared" si="189"/>
        <v>0</v>
      </c>
      <c r="AT632" s="307">
        <f>Table22[[#This Row],[Column1]]</f>
        <v>0</v>
      </c>
    </row>
    <row r="633" spans="1:46" x14ac:dyDescent="0.3">
      <c r="A633" s="307">
        <f t="shared" si="183"/>
        <v>0</v>
      </c>
      <c r="B633" s="307">
        <f t="shared" si="190"/>
        <v>0</v>
      </c>
      <c r="C633" s="308" t="s">
        <v>563</v>
      </c>
      <c r="D633" s="309" t="s">
        <v>563</v>
      </c>
      <c r="E633" s="310">
        <v>0</v>
      </c>
      <c r="F633" s="310">
        <v>0</v>
      </c>
      <c r="G633" s="311">
        <v>0</v>
      </c>
      <c r="H633" s="310" t="s">
        <v>563</v>
      </c>
      <c r="I633" s="310" t="s">
        <v>563</v>
      </c>
      <c r="J633" s="310" t="s">
        <v>563</v>
      </c>
      <c r="K633" s="312">
        <v>0</v>
      </c>
      <c r="L633" s="310">
        <v>0</v>
      </c>
      <c r="M633" s="310">
        <v>0</v>
      </c>
      <c r="N633" s="313">
        <v>0</v>
      </c>
      <c r="O633" s="314" t="s">
        <v>563</v>
      </c>
      <c r="P633" s="307">
        <f t="shared" si="177"/>
        <v>0</v>
      </c>
      <c r="R633" s="91" t="str">
        <f t="shared" si="191"/>
        <v/>
      </c>
      <c r="S633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3" s="307" t="str">
        <f t="shared" si="179"/>
        <v/>
      </c>
      <c r="U633" s="315" t="str">
        <f t="shared" si="180"/>
        <v/>
      </c>
      <c r="V633" s="307">
        <f t="shared" si="184"/>
        <v>0</v>
      </c>
      <c r="W633" s="307">
        <f>IFERROR(IF(V633&gt;0,PROPER(Terbilang1(V633)&amp;" Rupiah"),0),"")</f>
        <v>0</v>
      </c>
      <c r="X633" s="90" t="str">
        <f t="shared" si="185"/>
        <v/>
      </c>
      <c r="Y633" s="307" t="str">
        <f t="shared" si="186"/>
        <v/>
      </c>
      <c r="Z633" s="307">
        <f t="shared" si="181"/>
        <v>0</v>
      </c>
      <c r="AA633" s="366">
        <f t="shared" si="182"/>
        <v>0</v>
      </c>
      <c r="AB633" s="367">
        <f t="shared" si="187"/>
        <v>0</v>
      </c>
      <c r="AC633" s="305">
        <f t="shared" si="188"/>
        <v>0</v>
      </c>
      <c r="AP633" s="89" t="str">
        <f t="shared" si="176"/>
        <v/>
      </c>
      <c r="AQ633" s="89" t="str">
        <f t="shared" si="192"/>
        <v/>
      </c>
      <c r="AR633" s="315" t="str">
        <f t="shared" si="193"/>
        <v/>
      </c>
      <c r="AS633" s="305" t="str">
        <f t="shared" si="189"/>
        <v>0</v>
      </c>
      <c r="AT633" s="307">
        <f>Table22[[#This Row],[Column1]]</f>
        <v>0</v>
      </c>
    </row>
    <row r="634" spans="1:46" x14ac:dyDescent="0.3">
      <c r="A634" s="307">
        <f t="shared" si="183"/>
        <v>0</v>
      </c>
      <c r="B634" s="307">
        <f t="shared" si="190"/>
        <v>0</v>
      </c>
      <c r="C634" s="308" t="s">
        <v>563</v>
      </c>
      <c r="D634" s="309" t="s">
        <v>563</v>
      </c>
      <c r="E634" s="310">
        <v>0</v>
      </c>
      <c r="F634" s="310">
        <v>0</v>
      </c>
      <c r="G634" s="311">
        <v>0</v>
      </c>
      <c r="H634" s="310" t="s">
        <v>563</v>
      </c>
      <c r="I634" s="310" t="s">
        <v>563</v>
      </c>
      <c r="J634" s="310" t="s">
        <v>563</v>
      </c>
      <c r="K634" s="312">
        <v>0</v>
      </c>
      <c r="L634" s="310">
        <v>0</v>
      </c>
      <c r="M634" s="310">
        <v>0</v>
      </c>
      <c r="N634" s="313">
        <v>0</v>
      </c>
      <c r="O634" s="314" t="s">
        <v>563</v>
      </c>
      <c r="P634" s="307">
        <f t="shared" si="177"/>
        <v>0</v>
      </c>
      <c r="R634" s="91" t="str">
        <f t="shared" si="191"/>
        <v/>
      </c>
      <c r="S634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4" s="307" t="str">
        <f t="shared" si="179"/>
        <v/>
      </c>
      <c r="U634" s="315" t="str">
        <f t="shared" si="180"/>
        <v/>
      </c>
      <c r="V634" s="307">
        <f t="shared" si="184"/>
        <v>0</v>
      </c>
      <c r="W634" s="307">
        <f>IFERROR(IF(V634&gt;0,PROPER(Terbilang1(V634)&amp;" Rupiah"),0),"")</f>
        <v>0</v>
      </c>
      <c r="X634" s="90" t="str">
        <f t="shared" si="185"/>
        <v/>
      </c>
      <c r="Y634" s="307" t="str">
        <f t="shared" si="186"/>
        <v/>
      </c>
      <c r="Z634" s="307">
        <f t="shared" si="181"/>
        <v>0</v>
      </c>
      <c r="AA634" s="366">
        <f t="shared" si="182"/>
        <v>0</v>
      </c>
      <c r="AB634" s="367">
        <f t="shared" si="187"/>
        <v>0</v>
      </c>
      <c r="AC634" s="305">
        <f t="shared" si="188"/>
        <v>0</v>
      </c>
      <c r="AP634" s="89" t="str">
        <f t="shared" si="176"/>
        <v/>
      </c>
      <c r="AQ634" s="89" t="str">
        <f t="shared" si="192"/>
        <v/>
      </c>
      <c r="AR634" s="315" t="str">
        <f t="shared" si="193"/>
        <v/>
      </c>
      <c r="AS634" s="305" t="str">
        <f t="shared" si="189"/>
        <v>0</v>
      </c>
      <c r="AT634" s="307">
        <f>Table22[[#This Row],[Column1]]</f>
        <v>0</v>
      </c>
    </row>
    <row r="635" spans="1:46" x14ac:dyDescent="0.3">
      <c r="A635" s="307">
        <f t="shared" si="183"/>
        <v>0</v>
      </c>
      <c r="B635" s="307">
        <f t="shared" si="190"/>
        <v>0</v>
      </c>
      <c r="C635" s="308" t="s">
        <v>563</v>
      </c>
      <c r="D635" s="309" t="s">
        <v>563</v>
      </c>
      <c r="E635" s="310">
        <v>0</v>
      </c>
      <c r="F635" s="310">
        <v>0</v>
      </c>
      <c r="G635" s="311">
        <v>0</v>
      </c>
      <c r="H635" s="310" t="s">
        <v>563</v>
      </c>
      <c r="I635" s="310" t="s">
        <v>563</v>
      </c>
      <c r="J635" s="310" t="s">
        <v>563</v>
      </c>
      <c r="K635" s="312">
        <v>0</v>
      </c>
      <c r="L635" s="310">
        <v>0</v>
      </c>
      <c r="M635" s="310">
        <v>0</v>
      </c>
      <c r="N635" s="313">
        <v>0</v>
      </c>
      <c r="O635" s="314" t="s">
        <v>563</v>
      </c>
      <c r="P635" s="307">
        <f t="shared" si="177"/>
        <v>0</v>
      </c>
      <c r="R635" s="91" t="str">
        <f t="shared" si="191"/>
        <v/>
      </c>
      <c r="S635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5" s="307" t="str">
        <f t="shared" si="179"/>
        <v/>
      </c>
      <c r="U635" s="315" t="str">
        <f t="shared" si="180"/>
        <v/>
      </c>
      <c r="V635" s="307">
        <f t="shared" si="184"/>
        <v>0</v>
      </c>
      <c r="W635" s="307">
        <f>IFERROR(IF(V635&gt;0,PROPER(Terbilang1(V635)&amp;" Rupiah"),0),"")</f>
        <v>0</v>
      </c>
      <c r="X635" s="90" t="str">
        <f t="shared" si="185"/>
        <v/>
      </c>
      <c r="Y635" s="307" t="str">
        <f t="shared" si="186"/>
        <v/>
      </c>
      <c r="Z635" s="307">
        <f t="shared" si="181"/>
        <v>0</v>
      </c>
      <c r="AA635" s="366">
        <f t="shared" si="182"/>
        <v>0</v>
      </c>
      <c r="AB635" s="367">
        <f t="shared" si="187"/>
        <v>0</v>
      </c>
      <c r="AC635" s="305">
        <f t="shared" si="188"/>
        <v>0</v>
      </c>
      <c r="AP635" s="89" t="str">
        <f t="shared" si="176"/>
        <v/>
      </c>
      <c r="AQ635" s="89" t="str">
        <f t="shared" si="192"/>
        <v/>
      </c>
      <c r="AR635" s="315" t="str">
        <f t="shared" si="193"/>
        <v/>
      </c>
      <c r="AS635" s="305" t="str">
        <f t="shared" si="189"/>
        <v>0</v>
      </c>
      <c r="AT635" s="307">
        <f>Table22[[#This Row],[Column1]]</f>
        <v>0</v>
      </c>
    </row>
    <row r="636" spans="1:46" x14ac:dyDescent="0.3">
      <c r="A636" s="307">
        <f t="shared" si="183"/>
        <v>0</v>
      </c>
      <c r="B636" s="307">
        <f t="shared" si="190"/>
        <v>0</v>
      </c>
      <c r="C636" s="308" t="s">
        <v>563</v>
      </c>
      <c r="D636" s="309" t="s">
        <v>563</v>
      </c>
      <c r="E636" s="310">
        <v>0</v>
      </c>
      <c r="F636" s="310">
        <v>0</v>
      </c>
      <c r="G636" s="311">
        <v>0</v>
      </c>
      <c r="H636" s="310" t="s">
        <v>563</v>
      </c>
      <c r="I636" s="310" t="s">
        <v>563</v>
      </c>
      <c r="J636" s="310" t="s">
        <v>563</v>
      </c>
      <c r="K636" s="312">
        <v>0</v>
      </c>
      <c r="L636" s="310">
        <v>0</v>
      </c>
      <c r="M636" s="310">
        <v>0</v>
      </c>
      <c r="N636" s="313">
        <v>0</v>
      </c>
      <c r="O636" s="314" t="s">
        <v>563</v>
      </c>
      <c r="P636" s="307">
        <f t="shared" si="177"/>
        <v>0</v>
      </c>
      <c r="R636" s="91" t="str">
        <f t="shared" si="191"/>
        <v/>
      </c>
      <c r="S636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6" s="307" t="str">
        <f t="shared" si="179"/>
        <v/>
      </c>
      <c r="U636" s="315" t="str">
        <f t="shared" si="180"/>
        <v/>
      </c>
      <c r="V636" s="307">
        <f t="shared" si="184"/>
        <v>0</v>
      </c>
      <c r="W636" s="307">
        <f>IFERROR(IF(V636&gt;0,PROPER(Terbilang1(V636)&amp;" Rupiah"),0),"")</f>
        <v>0</v>
      </c>
      <c r="X636" s="90" t="str">
        <f t="shared" si="185"/>
        <v/>
      </c>
      <c r="Y636" s="307" t="str">
        <f t="shared" si="186"/>
        <v/>
      </c>
      <c r="Z636" s="307">
        <f t="shared" si="181"/>
        <v>0</v>
      </c>
      <c r="AA636" s="366">
        <f t="shared" si="182"/>
        <v>0</v>
      </c>
      <c r="AB636" s="367">
        <f t="shared" si="187"/>
        <v>0</v>
      </c>
      <c r="AC636" s="305">
        <f t="shared" si="188"/>
        <v>0</v>
      </c>
      <c r="AP636" s="89" t="str">
        <f t="shared" si="176"/>
        <v/>
      </c>
      <c r="AQ636" s="89" t="str">
        <f t="shared" si="192"/>
        <v/>
      </c>
      <c r="AR636" s="315" t="str">
        <f t="shared" si="193"/>
        <v/>
      </c>
      <c r="AS636" s="305" t="str">
        <f t="shared" si="189"/>
        <v>0</v>
      </c>
      <c r="AT636" s="307">
        <f>Table22[[#This Row],[Column1]]</f>
        <v>0</v>
      </c>
    </row>
    <row r="637" spans="1:46" x14ac:dyDescent="0.3">
      <c r="A637" s="307">
        <f t="shared" si="183"/>
        <v>0</v>
      </c>
      <c r="B637" s="307">
        <f t="shared" si="190"/>
        <v>0</v>
      </c>
      <c r="C637" s="308" t="s">
        <v>563</v>
      </c>
      <c r="D637" s="309" t="s">
        <v>563</v>
      </c>
      <c r="E637" s="310">
        <v>0</v>
      </c>
      <c r="F637" s="310">
        <v>0</v>
      </c>
      <c r="G637" s="311">
        <v>0</v>
      </c>
      <c r="H637" s="310" t="s">
        <v>563</v>
      </c>
      <c r="I637" s="310" t="s">
        <v>563</v>
      </c>
      <c r="J637" s="310" t="s">
        <v>563</v>
      </c>
      <c r="K637" s="312">
        <v>0</v>
      </c>
      <c r="L637" s="310">
        <v>0</v>
      </c>
      <c r="M637" s="310">
        <v>0</v>
      </c>
      <c r="N637" s="313">
        <v>0</v>
      </c>
      <c r="O637" s="314" t="s">
        <v>563</v>
      </c>
      <c r="P637" s="307">
        <f t="shared" si="177"/>
        <v>0</v>
      </c>
      <c r="R637" s="91" t="str">
        <f t="shared" si="191"/>
        <v/>
      </c>
      <c r="S637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7" s="307" t="str">
        <f t="shared" si="179"/>
        <v/>
      </c>
      <c r="U637" s="315" t="str">
        <f t="shared" si="180"/>
        <v/>
      </c>
      <c r="V637" s="307">
        <f t="shared" si="184"/>
        <v>0</v>
      </c>
      <c r="W637" s="307">
        <f>IFERROR(IF(V637&gt;0,PROPER(Terbilang1(V637)&amp;" Rupiah"),0),"")</f>
        <v>0</v>
      </c>
      <c r="X637" s="90" t="str">
        <f t="shared" si="185"/>
        <v/>
      </c>
      <c r="Y637" s="307" t="str">
        <f t="shared" si="186"/>
        <v/>
      </c>
      <c r="Z637" s="307">
        <f t="shared" si="181"/>
        <v>0</v>
      </c>
      <c r="AA637" s="366">
        <f t="shared" si="182"/>
        <v>0</v>
      </c>
      <c r="AB637" s="367">
        <f t="shared" si="187"/>
        <v>0</v>
      </c>
      <c r="AC637" s="305">
        <f t="shared" si="188"/>
        <v>0</v>
      </c>
      <c r="AP637" s="89" t="str">
        <f t="shared" si="176"/>
        <v/>
      </c>
      <c r="AQ637" s="89" t="str">
        <f t="shared" si="192"/>
        <v/>
      </c>
      <c r="AR637" s="315" t="str">
        <f t="shared" si="193"/>
        <v/>
      </c>
      <c r="AS637" s="305" t="str">
        <f t="shared" si="189"/>
        <v>0</v>
      </c>
      <c r="AT637" s="307">
        <f>Table22[[#This Row],[Column1]]</f>
        <v>0</v>
      </c>
    </row>
    <row r="638" spans="1:46" x14ac:dyDescent="0.3">
      <c r="A638" s="307">
        <f t="shared" si="183"/>
        <v>0</v>
      </c>
      <c r="B638" s="307">
        <f t="shared" si="190"/>
        <v>0</v>
      </c>
      <c r="C638" s="308" t="s">
        <v>563</v>
      </c>
      <c r="D638" s="309" t="s">
        <v>563</v>
      </c>
      <c r="E638" s="310">
        <v>0</v>
      </c>
      <c r="F638" s="310">
        <v>0</v>
      </c>
      <c r="G638" s="311">
        <v>0</v>
      </c>
      <c r="H638" s="310" t="s">
        <v>563</v>
      </c>
      <c r="I638" s="310" t="s">
        <v>563</v>
      </c>
      <c r="J638" s="310" t="s">
        <v>563</v>
      </c>
      <c r="K638" s="312">
        <v>0</v>
      </c>
      <c r="L638" s="310">
        <v>0</v>
      </c>
      <c r="M638" s="310">
        <v>0</v>
      </c>
      <c r="N638" s="313">
        <v>0</v>
      </c>
      <c r="O638" s="314" t="s">
        <v>563</v>
      </c>
      <c r="P638" s="307">
        <f t="shared" si="177"/>
        <v>0</v>
      </c>
      <c r="R638" s="91" t="str">
        <f t="shared" si="191"/>
        <v/>
      </c>
      <c r="S638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8" s="307" t="str">
        <f t="shared" si="179"/>
        <v/>
      </c>
      <c r="U638" s="315" t="str">
        <f t="shared" si="180"/>
        <v/>
      </c>
      <c r="V638" s="307">
        <f t="shared" si="184"/>
        <v>0</v>
      </c>
      <c r="W638" s="307">
        <f>IFERROR(IF(V638&gt;0,PROPER(Terbilang1(V638)&amp;" Rupiah"),0),"")</f>
        <v>0</v>
      </c>
      <c r="X638" s="90" t="str">
        <f t="shared" si="185"/>
        <v/>
      </c>
      <c r="Y638" s="307" t="str">
        <f t="shared" si="186"/>
        <v/>
      </c>
      <c r="Z638" s="307">
        <f t="shared" si="181"/>
        <v>0</v>
      </c>
      <c r="AA638" s="366">
        <f t="shared" si="182"/>
        <v>0</v>
      </c>
      <c r="AB638" s="367">
        <f t="shared" si="187"/>
        <v>0</v>
      </c>
      <c r="AC638" s="305">
        <f t="shared" si="188"/>
        <v>0</v>
      </c>
      <c r="AP638" s="89" t="str">
        <f t="shared" si="176"/>
        <v/>
      </c>
      <c r="AQ638" s="89" t="str">
        <f t="shared" si="192"/>
        <v/>
      </c>
      <c r="AR638" s="315" t="str">
        <f t="shared" si="193"/>
        <v/>
      </c>
      <c r="AS638" s="305" t="str">
        <f t="shared" si="189"/>
        <v>0</v>
      </c>
      <c r="AT638" s="307">
        <f>Table22[[#This Row],[Column1]]</f>
        <v>0</v>
      </c>
    </row>
    <row r="639" spans="1:46" x14ac:dyDescent="0.3">
      <c r="A639" s="307">
        <f t="shared" si="183"/>
        <v>0</v>
      </c>
      <c r="B639" s="307">
        <f t="shared" si="190"/>
        <v>0</v>
      </c>
      <c r="C639" s="308" t="s">
        <v>563</v>
      </c>
      <c r="D639" s="309" t="s">
        <v>563</v>
      </c>
      <c r="E639" s="310">
        <v>0</v>
      </c>
      <c r="F639" s="310">
        <v>0</v>
      </c>
      <c r="G639" s="311">
        <v>0</v>
      </c>
      <c r="H639" s="310" t="s">
        <v>563</v>
      </c>
      <c r="I639" s="310" t="s">
        <v>563</v>
      </c>
      <c r="J639" s="310" t="s">
        <v>563</v>
      </c>
      <c r="K639" s="312">
        <v>0</v>
      </c>
      <c r="L639" s="310">
        <v>0</v>
      </c>
      <c r="M639" s="310">
        <v>0</v>
      </c>
      <c r="N639" s="313">
        <v>0</v>
      </c>
      <c r="O639" s="314" t="s">
        <v>563</v>
      </c>
      <c r="P639" s="307">
        <f t="shared" si="177"/>
        <v>0</v>
      </c>
      <c r="R639" s="91" t="str">
        <f t="shared" si="191"/>
        <v/>
      </c>
      <c r="S639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39" s="307" t="str">
        <f t="shared" si="179"/>
        <v/>
      </c>
      <c r="U639" s="315" t="str">
        <f t="shared" si="180"/>
        <v/>
      </c>
      <c r="V639" s="307">
        <f t="shared" si="184"/>
        <v>0</v>
      </c>
      <c r="W639" s="307">
        <f>IFERROR(IF(V639&gt;0,PROPER(Terbilang1(V639)&amp;" Rupiah"),0),"")</f>
        <v>0</v>
      </c>
      <c r="X639" s="90" t="str">
        <f t="shared" si="185"/>
        <v/>
      </c>
      <c r="Y639" s="307" t="str">
        <f t="shared" si="186"/>
        <v/>
      </c>
      <c r="Z639" s="307">
        <f t="shared" si="181"/>
        <v>0</v>
      </c>
      <c r="AA639" s="366">
        <f t="shared" si="182"/>
        <v>0</v>
      </c>
      <c r="AB639" s="367">
        <f t="shared" si="187"/>
        <v>0</v>
      </c>
      <c r="AC639" s="305">
        <f t="shared" si="188"/>
        <v>0</v>
      </c>
      <c r="AP639" s="89" t="str">
        <f t="shared" si="176"/>
        <v/>
      </c>
      <c r="AQ639" s="89" t="str">
        <f t="shared" si="192"/>
        <v/>
      </c>
      <c r="AR639" s="315" t="str">
        <f t="shared" si="193"/>
        <v/>
      </c>
      <c r="AS639" s="305" t="str">
        <f t="shared" si="189"/>
        <v>0</v>
      </c>
      <c r="AT639" s="307">
        <f>Table22[[#This Row],[Column1]]</f>
        <v>0</v>
      </c>
    </row>
    <row r="640" spans="1:46" x14ac:dyDescent="0.3">
      <c r="A640" s="307">
        <f t="shared" si="183"/>
        <v>0</v>
      </c>
      <c r="B640" s="307">
        <f t="shared" si="190"/>
        <v>0</v>
      </c>
      <c r="C640" s="308" t="s">
        <v>563</v>
      </c>
      <c r="D640" s="309" t="s">
        <v>563</v>
      </c>
      <c r="E640" s="310">
        <v>0</v>
      </c>
      <c r="F640" s="310">
        <v>0</v>
      </c>
      <c r="G640" s="311">
        <v>0</v>
      </c>
      <c r="H640" s="310" t="s">
        <v>563</v>
      </c>
      <c r="I640" s="310" t="s">
        <v>563</v>
      </c>
      <c r="J640" s="310" t="s">
        <v>563</v>
      </c>
      <c r="K640" s="312">
        <v>0</v>
      </c>
      <c r="L640" s="310">
        <v>0</v>
      </c>
      <c r="M640" s="310">
        <v>0</v>
      </c>
      <c r="N640" s="313">
        <v>0</v>
      </c>
      <c r="O640" s="314" t="s">
        <v>563</v>
      </c>
      <c r="P640" s="307">
        <f t="shared" si="177"/>
        <v>0</v>
      </c>
      <c r="R640" s="91" t="str">
        <f t="shared" si="191"/>
        <v/>
      </c>
      <c r="S640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0" s="307" t="str">
        <f t="shared" si="179"/>
        <v/>
      </c>
      <c r="U640" s="315" t="str">
        <f t="shared" si="180"/>
        <v/>
      </c>
      <c r="V640" s="307">
        <f t="shared" si="184"/>
        <v>0</v>
      </c>
      <c r="W640" s="307">
        <f>IFERROR(IF(V640&gt;0,PROPER(Terbilang1(V640)&amp;" Rupiah"),0),"")</f>
        <v>0</v>
      </c>
      <c r="X640" s="90" t="str">
        <f t="shared" si="185"/>
        <v/>
      </c>
      <c r="Y640" s="307" t="str">
        <f t="shared" si="186"/>
        <v/>
      </c>
      <c r="Z640" s="307">
        <f t="shared" si="181"/>
        <v>0</v>
      </c>
      <c r="AA640" s="366">
        <f t="shared" si="182"/>
        <v>0</v>
      </c>
      <c r="AB640" s="367">
        <f t="shared" si="187"/>
        <v>0</v>
      </c>
      <c r="AC640" s="305">
        <f t="shared" si="188"/>
        <v>0</v>
      </c>
      <c r="AP640" s="89" t="str">
        <f t="shared" si="176"/>
        <v/>
      </c>
      <c r="AQ640" s="89" t="str">
        <f t="shared" si="192"/>
        <v/>
      </c>
      <c r="AR640" s="315" t="str">
        <f t="shared" si="193"/>
        <v/>
      </c>
      <c r="AS640" s="305" t="str">
        <f t="shared" si="189"/>
        <v>0</v>
      </c>
      <c r="AT640" s="307">
        <f>Table22[[#This Row],[Column1]]</f>
        <v>0</v>
      </c>
    </row>
    <row r="641" spans="1:46" x14ac:dyDescent="0.3">
      <c r="A641" s="307">
        <f t="shared" si="183"/>
        <v>0</v>
      </c>
      <c r="B641" s="307">
        <f t="shared" si="190"/>
        <v>0</v>
      </c>
      <c r="C641" s="308" t="s">
        <v>563</v>
      </c>
      <c r="D641" s="309" t="s">
        <v>563</v>
      </c>
      <c r="E641" s="310">
        <v>0</v>
      </c>
      <c r="F641" s="310">
        <v>0</v>
      </c>
      <c r="G641" s="311">
        <v>0</v>
      </c>
      <c r="H641" s="310" t="s">
        <v>563</v>
      </c>
      <c r="I641" s="310" t="s">
        <v>563</v>
      </c>
      <c r="J641" s="310" t="s">
        <v>563</v>
      </c>
      <c r="K641" s="312">
        <v>0</v>
      </c>
      <c r="L641" s="310">
        <v>0</v>
      </c>
      <c r="M641" s="310">
        <v>0</v>
      </c>
      <c r="N641" s="313">
        <v>0</v>
      </c>
      <c r="O641" s="314" t="s">
        <v>563</v>
      </c>
      <c r="P641" s="307">
        <f t="shared" si="177"/>
        <v>0</v>
      </c>
      <c r="R641" s="91" t="str">
        <f t="shared" si="191"/>
        <v/>
      </c>
      <c r="S641" s="307" t="str">
        <f t="shared" si="17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1" s="307" t="str">
        <f t="shared" si="179"/>
        <v/>
      </c>
      <c r="U641" s="315" t="str">
        <f t="shared" si="180"/>
        <v/>
      </c>
      <c r="V641" s="307">
        <f t="shared" si="184"/>
        <v>0</v>
      </c>
      <c r="W641" s="307">
        <f>IFERROR(IF(V641&gt;0,PROPER(Terbilang1(V641)&amp;" Rupiah"),0),"")</f>
        <v>0</v>
      </c>
      <c r="X641" s="90" t="str">
        <f t="shared" si="185"/>
        <v/>
      </c>
      <c r="Y641" s="307" t="str">
        <f t="shared" si="186"/>
        <v/>
      </c>
      <c r="Z641" s="307">
        <f t="shared" si="181"/>
        <v>0</v>
      </c>
      <c r="AA641" s="366">
        <f t="shared" si="182"/>
        <v>0</v>
      </c>
      <c r="AB641" s="367">
        <f t="shared" si="187"/>
        <v>0</v>
      </c>
      <c r="AC641" s="305">
        <f t="shared" si="188"/>
        <v>0</v>
      </c>
      <c r="AP641" s="89" t="str">
        <f t="shared" ref="AP641:AP704" si="194">IF(LEFT(O641,3)="BKK",1,"")</f>
        <v/>
      </c>
      <c r="AQ641" s="89" t="str">
        <f t="shared" si="192"/>
        <v/>
      </c>
      <c r="AR641" s="315" t="str">
        <f t="shared" si="193"/>
        <v/>
      </c>
      <c r="AS641" s="305" t="str">
        <f t="shared" si="189"/>
        <v>0</v>
      </c>
      <c r="AT641" s="307">
        <f>Table22[[#This Row],[Column1]]</f>
        <v>0</v>
      </c>
    </row>
    <row r="642" spans="1:46" x14ac:dyDescent="0.3">
      <c r="A642" s="307">
        <f t="shared" si="183"/>
        <v>0</v>
      </c>
      <c r="B642" s="307">
        <f t="shared" si="190"/>
        <v>0</v>
      </c>
      <c r="C642" s="308" t="s">
        <v>563</v>
      </c>
      <c r="D642" s="309" t="s">
        <v>563</v>
      </c>
      <c r="E642" s="310">
        <v>0</v>
      </c>
      <c r="F642" s="310">
        <v>0</v>
      </c>
      <c r="G642" s="311">
        <v>0</v>
      </c>
      <c r="H642" s="310" t="s">
        <v>563</v>
      </c>
      <c r="I642" s="310" t="s">
        <v>563</v>
      </c>
      <c r="J642" s="310" t="s">
        <v>563</v>
      </c>
      <c r="K642" s="312">
        <v>0</v>
      </c>
      <c r="L642" s="310">
        <v>0</v>
      </c>
      <c r="M642" s="310">
        <v>0</v>
      </c>
      <c r="N642" s="313">
        <v>0</v>
      </c>
      <c r="O642" s="314" t="s">
        <v>563</v>
      </c>
      <c r="P642" s="307">
        <f t="shared" ref="P642:P705" si="195">IF(LEFT(O642,1)="B",R642,0)</f>
        <v>0</v>
      </c>
      <c r="R642" s="91" t="str">
        <f t="shared" si="191"/>
        <v/>
      </c>
      <c r="S642" s="307" t="str">
        <f t="shared" ref="S642:S705" si="196">IF(O642="",S641&amp;"a",IF(O642&gt;0,O642,0))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2" s="307" t="str">
        <f t="shared" ref="T642:T705" si="197">IF(G642=0,"",G642)</f>
        <v/>
      </c>
      <c r="U642" s="315" t="str">
        <f t="shared" ref="U642:U705" si="198">D642</f>
        <v/>
      </c>
      <c r="V642" s="307">
        <f t="shared" si="184"/>
        <v>0</v>
      </c>
      <c r="W642" s="307">
        <f>IFERROR(IF(V642&gt;0,PROPER(Terbilang1(V642)&amp;" Rupiah"),0),"")</f>
        <v>0</v>
      </c>
      <c r="X642" s="90" t="str">
        <f t="shared" si="185"/>
        <v/>
      </c>
      <c r="Y642" s="307" t="str">
        <f t="shared" si="186"/>
        <v/>
      </c>
      <c r="Z642" s="307">
        <f t="shared" ref="Z642:Z705" si="199">IF(LEN(AA642)&gt;1,AA642,IF(AA642=0,AB642,0))</f>
        <v>0</v>
      </c>
      <c r="AA642" s="366">
        <f t="shared" ref="AA642:AA705" si="200">IFERROR(IF(AND(N642&gt;1,LEFT(G642,5)="Bayar"),N642*3.5%,IF(N642&gt;2000000,N642*(IF(OR(LEFT(F642,3)="MoP",LEFT(F642,3)="GaJ"),0,11%)),0)),0)</f>
        <v>0</v>
      </c>
      <c r="AB642" s="367">
        <f t="shared" si="187"/>
        <v>0</v>
      </c>
      <c r="AC642" s="305">
        <f t="shared" si="188"/>
        <v>0</v>
      </c>
      <c r="AP642" s="89" t="str">
        <f t="shared" si="194"/>
        <v/>
      </c>
      <c r="AQ642" s="89" t="str">
        <f t="shared" si="192"/>
        <v/>
      </c>
      <c r="AR642" s="315" t="str">
        <f t="shared" si="193"/>
        <v/>
      </c>
      <c r="AS642" s="305" t="str">
        <f t="shared" si="189"/>
        <v>0</v>
      </c>
      <c r="AT642" s="307">
        <f>Table22[[#This Row],[Column1]]</f>
        <v>0</v>
      </c>
    </row>
    <row r="643" spans="1:46" x14ac:dyDescent="0.3">
      <c r="A643" s="307">
        <f t="shared" ref="A643:A706" si="201">IF(C643=1,C643&amp;"."&amp;MOD(ROW()-1,$AJ$2+1),IF(C643=2,C643&amp;"."&amp;MOD(ROW()-($AJ$2+1),$AK$2+1),IF(C643=3,C643&amp;"."&amp;MOD(ROW()-($AJ$2+$AK$2+1),$AL$2+1),IF(C643=4,C643&amp;"."&amp;MOD(ROW()-($AJ$2+$AK$2+$AL$2+1),$AM$2+1),IF(C643=5,C643&amp;"."&amp;MOD(ROW()-($AJ$2+$AK$2+$AL$2+$AM$2+1),$AN$2+1),0)))))</f>
        <v>0</v>
      </c>
      <c r="B643" s="307">
        <f t="shared" si="190"/>
        <v>0</v>
      </c>
      <c r="C643" s="308" t="s">
        <v>563</v>
      </c>
      <c r="D643" s="309" t="s">
        <v>563</v>
      </c>
      <c r="E643" s="310">
        <v>0</v>
      </c>
      <c r="F643" s="310">
        <v>0</v>
      </c>
      <c r="G643" s="311">
        <v>0</v>
      </c>
      <c r="H643" s="310" t="s">
        <v>563</v>
      </c>
      <c r="I643" s="310" t="s">
        <v>563</v>
      </c>
      <c r="J643" s="310" t="s">
        <v>563</v>
      </c>
      <c r="K643" s="312">
        <v>0</v>
      </c>
      <c r="L643" s="310">
        <v>0</v>
      </c>
      <c r="M643" s="310">
        <v>0</v>
      </c>
      <c r="N643" s="313">
        <v>0</v>
      </c>
      <c r="O643" s="314" t="s">
        <v>563</v>
      </c>
      <c r="P643" s="307">
        <f t="shared" si="195"/>
        <v>0</v>
      </c>
      <c r="R643" s="91" t="str">
        <f t="shared" si="191"/>
        <v/>
      </c>
      <c r="S64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3" s="307" t="str">
        <f t="shared" si="197"/>
        <v/>
      </c>
      <c r="U643" s="315" t="str">
        <f t="shared" si="198"/>
        <v/>
      </c>
      <c r="V643" s="307">
        <f t="shared" ref="V643:V706" si="202">N643</f>
        <v>0</v>
      </c>
      <c r="W643" s="307">
        <f>IFERROR(IF(V643&gt;0,PROPER(Terbilang1(V643)&amp;" Rupiah"),0),"")</f>
        <v>0</v>
      </c>
      <c r="X643" s="90" t="str">
        <f t="shared" ref="X643:X706" si="203">J643</f>
        <v/>
      </c>
      <c r="Y643" s="307" t="str">
        <f t="shared" ref="Y643:Y706" si="204">H643</f>
        <v/>
      </c>
      <c r="Z643" s="307">
        <f t="shared" si="199"/>
        <v>0</v>
      </c>
      <c r="AA643" s="366">
        <f t="shared" si="200"/>
        <v>0</v>
      </c>
      <c r="AB643" s="367">
        <f t="shared" ref="AB643:AB706" si="205">IF(LEN(AA642)&gt;1,IF(LEFT(G642,5)="Bayar",0,IF(LEFT(G642,6)="PEMASA",(N642*100/111*1.5%),N642*0.015)),0)</f>
        <v>0</v>
      </c>
      <c r="AC643" s="305">
        <f t="shared" ref="AC643:AC706" si="206">IF(LEN(AA643)&gt;1,IF(LEFT(G643,6)="PEMASA","Terima Pajak PPN (11 %) "&amp;O643,IF(LEFT(G643,5)="Bayar","Terima PPh Pasal 4 ayat 2 (3,5 %) "&amp;O643,"Bayar Pajak PPN (11 %) "&amp;O643)),IF(AB643&gt;0,IF(LEFT(AC642,6)="Terima","Terima Pajak PPH (1,5%) "&amp;O642,"Bayar Pajak PPH (1,5 %) "&amp;O642),0))</f>
        <v>0</v>
      </c>
      <c r="AP643" s="89" t="str">
        <f t="shared" si="194"/>
        <v/>
      </c>
      <c r="AQ643" s="89" t="str">
        <f t="shared" si="192"/>
        <v/>
      </c>
      <c r="AR643" s="315" t="str">
        <f t="shared" si="193"/>
        <v/>
      </c>
      <c r="AS643" s="305" t="str">
        <f t="shared" ref="AS643:AS706" si="207">IF(AC643="","",LEFT(AC643,15))</f>
        <v>0</v>
      </c>
      <c r="AT643" s="307">
        <f>Table22[[#This Row],[Column1]]</f>
        <v>0</v>
      </c>
    </row>
    <row r="644" spans="1:46" x14ac:dyDescent="0.3">
      <c r="A644" s="307">
        <f t="shared" si="201"/>
        <v>0</v>
      </c>
      <c r="B644" s="307">
        <f t="shared" si="190"/>
        <v>0</v>
      </c>
      <c r="C644" s="308" t="s">
        <v>563</v>
      </c>
      <c r="D644" s="309" t="s">
        <v>563</v>
      </c>
      <c r="E644" s="310">
        <v>0</v>
      </c>
      <c r="F644" s="310">
        <v>0</v>
      </c>
      <c r="G644" s="311">
        <v>0</v>
      </c>
      <c r="H644" s="310" t="s">
        <v>563</v>
      </c>
      <c r="I644" s="310" t="s">
        <v>563</v>
      </c>
      <c r="J644" s="310" t="s">
        <v>563</v>
      </c>
      <c r="K644" s="312">
        <v>0</v>
      </c>
      <c r="L644" s="310">
        <v>0</v>
      </c>
      <c r="M644" s="310">
        <v>0</v>
      </c>
      <c r="N644" s="313">
        <v>0</v>
      </c>
      <c r="O644" s="314" t="s">
        <v>563</v>
      </c>
      <c r="P644" s="307">
        <f t="shared" si="195"/>
        <v>0</v>
      </c>
      <c r="R644" s="91" t="str">
        <f t="shared" si="191"/>
        <v/>
      </c>
      <c r="S64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4" s="307" t="str">
        <f t="shared" si="197"/>
        <v/>
      </c>
      <c r="U644" s="315" t="str">
        <f t="shared" si="198"/>
        <v/>
      </c>
      <c r="V644" s="307">
        <f t="shared" si="202"/>
        <v>0</v>
      </c>
      <c r="W644" s="307">
        <f>IFERROR(IF(V644&gt;0,PROPER(Terbilang1(V644)&amp;" Rupiah"),0),"")</f>
        <v>0</v>
      </c>
      <c r="X644" s="90" t="str">
        <f t="shared" si="203"/>
        <v/>
      </c>
      <c r="Y644" s="307" t="str">
        <f t="shared" si="204"/>
        <v/>
      </c>
      <c r="Z644" s="307">
        <f t="shared" si="199"/>
        <v>0</v>
      </c>
      <c r="AA644" s="366">
        <f t="shared" si="200"/>
        <v>0</v>
      </c>
      <c r="AB644" s="367">
        <f t="shared" si="205"/>
        <v>0</v>
      </c>
      <c r="AC644" s="305">
        <f t="shared" si="206"/>
        <v>0</v>
      </c>
      <c r="AP644" s="89" t="str">
        <f t="shared" si="194"/>
        <v/>
      </c>
      <c r="AQ644" s="89" t="str">
        <f t="shared" si="192"/>
        <v/>
      </c>
      <c r="AR644" s="315" t="str">
        <f t="shared" si="193"/>
        <v/>
      </c>
      <c r="AS644" s="305" t="str">
        <f t="shared" si="207"/>
        <v>0</v>
      </c>
      <c r="AT644" s="307">
        <f>Table22[[#This Row],[Column1]]</f>
        <v>0</v>
      </c>
    </row>
    <row r="645" spans="1:46" x14ac:dyDescent="0.3">
      <c r="A645" s="307">
        <f t="shared" si="201"/>
        <v>0</v>
      </c>
      <c r="B645" s="307">
        <f t="shared" si="190"/>
        <v>0</v>
      </c>
      <c r="C645" s="308" t="s">
        <v>563</v>
      </c>
      <c r="D645" s="309" t="s">
        <v>563</v>
      </c>
      <c r="E645" s="310">
        <v>0</v>
      </c>
      <c r="F645" s="310">
        <v>0</v>
      </c>
      <c r="G645" s="311">
        <v>0</v>
      </c>
      <c r="H645" s="310" t="s">
        <v>563</v>
      </c>
      <c r="I645" s="310" t="s">
        <v>563</v>
      </c>
      <c r="J645" s="310" t="s">
        <v>563</v>
      </c>
      <c r="K645" s="312">
        <v>0</v>
      </c>
      <c r="L645" s="310">
        <v>0</v>
      </c>
      <c r="M645" s="310">
        <v>0</v>
      </c>
      <c r="N645" s="313">
        <v>0</v>
      </c>
      <c r="O645" s="314" t="s">
        <v>563</v>
      </c>
      <c r="P645" s="307">
        <f t="shared" si="195"/>
        <v>0</v>
      </c>
      <c r="R645" s="91" t="str">
        <f t="shared" si="191"/>
        <v/>
      </c>
      <c r="S64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5" s="307" t="str">
        <f t="shared" si="197"/>
        <v/>
      </c>
      <c r="U645" s="315" t="str">
        <f t="shared" si="198"/>
        <v/>
      </c>
      <c r="V645" s="307">
        <f t="shared" si="202"/>
        <v>0</v>
      </c>
      <c r="W645" s="307">
        <f>IFERROR(IF(V645&gt;0,PROPER(Terbilang1(V645)&amp;" Rupiah"),0),"")</f>
        <v>0</v>
      </c>
      <c r="X645" s="90" t="str">
        <f t="shared" si="203"/>
        <v/>
      </c>
      <c r="Y645" s="307" t="str">
        <f t="shared" si="204"/>
        <v/>
      </c>
      <c r="Z645" s="307">
        <f t="shared" si="199"/>
        <v>0</v>
      </c>
      <c r="AA645" s="366">
        <f t="shared" si="200"/>
        <v>0</v>
      </c>
      <c r="AB645" s="367">
        <f t="shared" si="205"/>
        <v>0</v>
      </c>
      <c r="AC645" s="305">
        <f t="shared" si="206"/>
        <v>0</v>
      </c>
      <c r="AP645" s="89" t="str">
        <f t="shared" si="194"/>
        <v/>
      </c>
      <c r="AQ645" s="89" t="str">
        <f t="shared" si="192"/>
        <v/>
      </c>
      <c r="AR645" s="315" t="str">
        <f t="shared" si="193"/>
        <v/>
      </c>
      <c r="AS645" s="305" t="str">
        <f t="shared" si="207"/>
        <v>0</v>
      </c>
      <c r="AT645" s="307">
        <f>Table22[[#This Row],[Column1]]</f>
        <v>0</v>
      </c>
    </row>
    <row r="646" spans="1:46" x14ac:dyDescent="0.3">
      <c r="A646" s="307">
        <f t="shared" si="201"/>
        <v>0</v>
      </c>
      <c r="B646" s="307">
        <f t="shared" si="190"/>
        <v>0</v>
      </c>
      <c r="C646" s="308" t="s">
        <v>563</v>
      </c>
      <c r="D646" s="309" t="s">
        <v>563</v>
      </c>
      <c r="E646" s="310">
        <v>0</v>
      </c>
      <c r="F646" s="310">
        <v>0</v>
      </c>
      <c r="G646" s="311">
        <v>0</v>
      </c>
      <c r="H646" s="310" t="s">
        <v>563</v>
      </c>
      <c r="I646" s="310" t="s">
        <v>563</v>
      </c>
      <c r="J646" s="310" t="s">
        <v>563</v>
      </c>
      <c r="K646" s="312">
        <v>0</v>
      </c>
      <c r="L646" s="310">
        <v>0</v>
      </c>
      <c r="M646" s="310">
        <v>0</v>
      </c>
      <c r="N646" s="313">
        <v>0</v>
      </c>
      <c r="O646" s="314" t="s">
        <v>563</v>
      </c>
      <c r="P646" s="307">
        <f t="shared" si="195"/>
        <v>0</v>
      </c>
      <c r="R646" s="91" t="str">
        <f t="shared" si="191"/>
        <v/>
      </c>
      <c r="S64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6" s="307" t="str">
        <f t="shared" si="197"/>
        <v/>
      </c>
      <c r="U646" s="315" t="str">
        <f t="shared" si="198"/>
        <v/>
      </c>
      <c r="V646" s="307">
        <f t="shared" si="202"/>
        <v>0</v>
      </c>
      <c r="W646" s="307">
        <f>IFERROR(IF(V646&gt;0,PROPER(Terbilang1(V646)&amp;" Rupiah"),0),"")</f>
        <v>0</v>
      </c>
      <c r="X646" s="90" t="str">
        <f t="shared" si="203"/>
        <v/>
      </c>
      <c r="Y646" s="307" t="str">
        <f t="shared" si="204"/>
        <v/>
      </c>
      <c r="Z646" s="307">
        <f t="shared" si="199"/>
        <v>0</v>
      </c>
      <c r="AA646" s="366">
        <f t="shared" si="200"/>
        <v>0</v>
      </c>
      <c r="AB646" s="367">
        <f t="shared" si="205"/>
        <v>0</v>
      </c>
      <c r="AC646" s="305">
        <f t="shared" si="206"/>
        <v>0</v>
      </c>
      <c r="AP646" s="89" t="str">
        <f t="shared" si="194"/>
        <v/>
      </c>
      <c r="AQ646" s="89" t="str">
        <f t="shared" si="192"/>
        <v/>
      </c>
      <c r="AR646" s="315" t="str">
        <f t="shared" si="193"/>
        <v/>
      </c>
      <c r="AS646" s="305" t="str">
        <f t="shared" si="207"/>
        <v>0</v>
      </c>
      <c r="AT646" s="307">
        <f>Table22[[#This Row],[Column1]]</f>
        <v>0</v>
      </c>
    </row>
    <row r="647" spans="1:46" x14ac:dyDescent="0.3">
      <c r="A647" s="307">
        <f t="shared" si="201"/>
        <v>0</v>
      </c>
      <c r="B647" s="307">
        <f t="shared" si="190"/>
        <v>0</v>
      </c>
      <c r="C647" s="308" t="s">
        <v>563</v>
      </c>
      <c r="D647" s="309" t="s">
        <v>563</v>
      </c>
      <c r="E647" s="310">
        <v>0</v>
      </c>
      <c r="F647" s="310">
        <v>0</v>
      </c>
      <c r="G647" s="311">
        <v>0</v>
      </c>
      <c r="H647" s="310" t="s">
        <v>563</v>
      </c>
      <c r="I647" s="310" t="s">
        <v>563</v>
      </c>
      <c r="J647" s="310" t="s">
        <v>563</v>
      </c>
      <c r="K647" s="312">
        <v>0</v>
      </c>
      <c r="L647" s="310">
        <v>0</v>
      </c>
      <c r="M647" s="310">
        <v>0</v>
      </c>
      <c r="N647" s="313">
        <v>0</v>
      </c>
      <c r="O647" s="314" t="s">
        <v>563</v>
      </c>
      <c r="P647" s="307">
        <f t="shared" si="195"/>
        <v>0</v>
      </c>
      <c r="R647" s="91" t="str">
        <f t="shared" si="191"/>
        <v/>
      </c>
      <c r="S64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7" s="307" t="str">
        <f t="shared" si="197"/>
        <v/>
      </c>
      <c r="U647" s="315" t="str">
        <f t="shared" si="198"/>
        <v/>
      </c>
      <c r="V647" s="307">
        <f t="shared" si="202"/>
        <v>0</v>
      </c>
      <c r="W647" s="307">
        <f>IFERROR(IF(V647&gt;0,PROPER(Terbilang1(V647)&amp;" Rupiah"),0),"")</f>
        <v>0</v>
      </c>
      <c r="X647" s="90" t="str">
        <f t="shared" si="203"/>
        <v/>
      </c>
      <c r="Y647" s="307" t="str">
        <f t="shared" si="204"/>
        <v/>
      </c>
      <c r="Z647" s="307">
        <f t="shared" si="199"/>
        <v>0</v>
      </c>
      <c r="AA647" s="366">
        <f t="shared" si="200"/>
        <v>0</v>
      </c>
      <c r="AB647" s="367">
        <f t="shared" si="205"/>
        <v>0</v>
      </c>
      <c r="AC647" s="305">
        <f t="shared" si="206"/>
        <v>0</v>
      </c>
      <c r="AP647" s="89" t="str">
        <f t="shared" si="194"/>
        <v/>
      </c>
      <c r="AQ647" s="89" t="str">
        <f t="shared" si="192"/>
        <v/>
      </c>
      <c r="AR647" s="315" t="str">
        <f t="shared" si="193"/>
        <v/>
      </c>
      <c r="AS647" s="305" t="str">
        <f t="shared" si="207"/>
        <v>0</v>
      </c>
      <c r="AT647" s="307">
        <f>Table22[[#This Row],[Column1]]</f>
        <v>0</v>
      </c>
    </row>
    <row r="648" spans="1:46" x14ac:dyDescent="0.3">
      <c r="A648" s="307">
        <f t="shared" si="201"/>
        <v>0</v>
      </c>
      <c r="B648" s="307">
        <f t="shared" si="190"/>
        <v>0</v>
      </c>
      <c r="C648" s="308" t="s">
        <v>563</v>
      </c>
      <c r="D648" s="309" t="s">
        <v>563</v>
      </c>
      <c r="E648" s="310">
        <v>0</v>
      </c>
      <c r="F648" s="310">
        <v>0</v>
      </c>
      <c r="G648" s="311">
        <v>0</v>
      </c>
      <c r="H648" s="310" t="s">
        <v>563</v>
      </c>
      <c r="I648" s="310" t="s">
        <v>563</v>
      </c>
      <c r="J648" s="310" t="s">
        <v>563</v>
      </c>
      <c r="K648" s="312">
        <v>0</v>
      </c>
      <c r="L648" s="310">
        <v>0</v>
      </c>
      <c r="M648" s="310">
        <v>0</v>
      </c>
      <c r="N648" s="313">
        <v>0</v>
      </c>
      <c r="O648" s="314" t="s">
        <v>563</v>
      </c>
      <c r="P648" s="307">
        <f t="shared" si="195"/>
        <v>0</v>
      </c>
      <c r="R648" s="91" t="str">
        <f t="shared" si="191"/>
        <v/>
      </c>
      <c r="S64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8" s="307" t="str">
        <f t="shared" si="197"/>
        <v/>
      </c>
      <c r="U648" s="315" t="str">
        <f t="shared" si="198"/>
        <v/>
      </c>
      <c r="V648" s="307">
        <f t="shared" si="202"/>
        <v>0</v>
      </c>
      <c r="W648" s="307">
        <f>IFERROR(IF(V648&gt;0,PROPER(Terbilang1(V648)&amp;" Rupiah"),0),"")</f>
        <v>0</v>
      </c>
      <c r="X648" s="90" t="str">
        <f t="shared" si="203"/>
        <v/>
      </c>
      <c r="Y648" s="307" t="str">
        <f t="shared" si="204"/>
        <v/>
      </c>
      <c r="Z648" s="307">
        <f t="shared" si="199"/>
        <v>0</v>
      </c>
      <c r="AA648" s="366">
        <f t="shared" si="200"/>
        <v>0</v>
      </c>
      <c r="AB648" s="367">
        <f t="shared" si="205"/>
        <v>0</v>
      </c>
      <c r="AC648" s="305">
        <f t="shared" si="206"/>
        <v>0</v>
      </c>
      <c r="AP648" s="89" t="str">
        <f t="shared" si="194"/>
        <v/>
      </c>
      <c r="AQ648" s="89" t="str">
        <f t="shared" si="192"/>
        <v/>
      </c>
      <c r="AR648" s="315" t="str">
        <f t="shared" si="193"/>
        <v/>
      </c>
      <c r="AS648" s="305" t="str">
        <f t="shared" si="207"/>
        <v>0</v>
      </c>
      <c r="AT648" s="307">
        <f>Table22[[#This Row],[Column1]]</f>
        <v>0</v>
      </c>
    </row>
    <row r="649" spans="1:46" x14ac:dyDescent="0.3">
      <c r="A649" s="307">
        <f t="shared" si="201"/>
        <v>0</v>
      </c>
      <c r="B649" s="307">
        <f t="shared" si="190"/>
        <v>0</v>
      </c>
      <c r="C649" s="308" t="s">
        <v>563</v>
      </c>
      <c r="D649" s="309" t="s">
        <v>563</v>
      </c>
      <c r="E649" s="310">
        <v>0</v>
      </c>
      <c r="F649" s="310">
        <v>0</v>
      </c>
      <c r="G649" s="311">
        <v>0</v>
      </c>
      <c r="H649" s="310" t="s">
        <v>563</v>
      </c>
      <c r="I649" s="310" t="s">
        <v>563</v>
      </c>
      <c r="J649" s="310" t="s">
        <v>563</v>
      </c>
      <c r="K649" s="312">
        <v>0</v>
      </c>
      <c r="L649" s="310">
        <v>0</v>
      </c>
      <c r="M649" s="310">
        <v>0</v>
      </c>
      <c r="N649" s="313">
        <v>0</v>
      </c>
      <c r="O649" s="314" t="s">
        <v>563</v>
      </c>
      <c r="P649" s="307">
        <f t="shared" si="195"/>
        <v>0</v>
      </c>
      <c r="R649" s="91" t="str">
        <f t="shared" si="191"/>
        <v/>
      </c>
      <c r="S64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49" s="307" t="str">
        <f t="shared" si="197"/>
        <v/>
      </c>
      <c r="U649" s="315" t="str">
        <f t="shared" si="198"/>
        <v/>
      </c>
      <c r="V649" s="307">
        <f t="shared" si="202"/>
        <v>0</v>
      </c>
      <c r="W649" s="307">
        <f>IFERROR(IF(V649&gt;0,PROPER(Terbilang1(V649)&amp;" Rupiah"),0),"")</f>
        <v>0</v>
      </c>
      <c r="X649" s="90" t="str">
        <f t="shared" si="203"/>
        <v/>
      </c>
      <c r="Y649" s="307" t="str">
        <f t="shared" si="204"/>
        <v/>
      </c>
      <c r="Z649" s="307">
        <f t="shared" si="199"/>
        <v>0</v>
      </c>
      <c r="AA649" s="366">
        <f t="shared" si="200"/>
        <v>0</v>
      </c>
      <c r="AB649" s="367">
        <f t="shared" si="205"/>
        <v>0</v>
      </c>
      <c r="AC649" s="305">
        <f t="shared" si="206"/>
        <v>0</v>
      </c>
      <c r="AP649" s="89" t="str">
        <f t="shared" si="194"/>
        <v/>
      </c>
      <c r="AQ649" s="89" t="str">
        <f t="shared" si="192"/>
        <v/>
      </c>
      <c r="AR649" s="315" t="str">
        <f t="shared" si="193"/>
        <v/>
      </c>
      <c r="AS649" s="305" t="str">
        <f t="shared" si="207"/>
        <v>0</v>
      </c>
      <c r="AT649" s="307">
        <f>Table22[[#This Row],[Column1]]</f>
        <v>0</v>
      </c>
    </row>
    <row r="650" spans="1:46" x14ac:dyDescent="0.3">
      <c r="A650" s="307">
        <f t="shared" si="201"/>
        <v>0</v>
      </c>
      <c r="B650" s="307">
        <f t="shared" si="190"/>
        <v>0</v>
      </c>
      <c r="C650" s="308" t="s">
        <v>563</v>
      </c>
      <c r="D650" s="309" t="s">
        <v>563</v>
      </c>
      <c r="E650" s="310">
        <v>0</v>
      </c>
      <c r="F650" s="310">
        <v>0</v>
      </c>
      <c r="G650" s="311">
        <v>0</v>
      </c>
      <c r="H650" s="310" t="s">
        <v>563</v>
      </c>
      <c r="I650" s="310" t="s">
        <v>563</v>
      </c>
      <c r="J650" s="310" t="s">
        <v>563</v>
      </c>
      <c r="K650" s="312">
        <v>0</v>
      </c>
      <c r="L650" s="310">
        <v>0</v>
      </c>
      <c r="M650" s="310">
        <v>0</v>
      </c>
      <c r="N650" s="313">
        <v>0</v>
      </c>
      <c r="O650" s="314" t="s">
        <v>563</v>
      </c>
      <c r="P650" s="307">
        <f t="shared" si="195"/>
        <v>0</v>
      </c>
      <c r="R650" s="91" t="str">
        <f t="shared" si="191"/>
        <v/>
      </c>
      <c r="S65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0" s="307" t="str">
        <f t="shared" si="197"/>
        <v/>
      </c>
      <c r="U650" s="315" t="str">
        <f t="shared" si="198"/>
        <v/>
      </c>
      <c r="V650" s="307">
        <f t="shared" si="202"/>
        <v>0</v>
      </c>
      <c r="W650" s="307">
        <f>IFERROR(IF(V650&gt;0,PROPER(Terbilang1(V650)&amp;" Rupiah"),0),"")</f>
        <v>0</v>
      </c>
      <c r="X650" s="90" t="str">
        <f t="shared" si="203"/>
        <v/>
      </c>
      <c r="Y650" s="307" t="str">
        <f t="shared" si="204"/>
        <v/>
      </c>
      <c r="Z650" s="307">
        <f t="shared" si="199"/>
        <v>0</v>
      </c>
      <c r="AA650" s="366">
        <f t="shared" si="200"/>
        <v>0</v>
      </c>
      <c r="AB650" s="367">
        <f t="shared" si="205"/>
        <v>0</v>
      </c>
      <c r="AC650" s="305">
        <f t="shared" si="206"/>
        <v>0</v>
      </c>
      <c r="AP650" s="89" t="str">
        <f t="shared" si="194"/>
        <v/>
      </c>
      <c r="AQ650" s="89" t="str">
        <f t="shared" si="192"/>
        <v/>
      </c>
      <c r="AR650" s="315" t="str">
        <f t="shared" si="193"/>
        <v/>
      </c>
      <c r="AS650" s="305" t="str">
        <f t="shared" si="207"/>
        <v>0</v>
      </c>
      <c r="AT650" s="307">
        <f>Table22[[#This Row],[Column1]]</f>
        <v>0</v>
      </c>
    </row>
    <row r="651" spans="1:46" x14ac:dyDescent="0.3">
      <c r="A651" s="307">
        <f t="shared" si="201"/>
        <v>0</v>
      </c>
      <c r="B651" s="307">
        <f t="shared" si="190"/>
        <v>0</v>
      </c>
      <c r="C651" s="308" t="s">
        <v>563</v>
      </c>
      <c r="D651" s="309" t="s">
        <v>563</v>
      </c>
      <c r="E651" s="310">
        <v>0</v>
      </c>
      <c r="F651" s="310">
        <v>0</v>
      </c>
      <c r="G651" s="311">
        <v>0</v>
      </c>
      <c r="H651" s="310" t="s">
        <v>563</v>
      </c>
      <c r="I651" s="310" t="s">
        <v>563</v>
      </c>
      <c r="J651" s="310" t="s">
        <v>563</v>
      </c>
      <c r="K651" s="312">
        <v>0</v>
      </c>
      <c r="L651" s="310">
        <v>0</v>
      </c>
      <c r="M651" s="310">
        <v>0</v>
      </c>
      <c r="N651" s="313">
        <v>0</v>
      </c>
      <c r="O651" s="314" t="s">
        <v>563</v>
      </c>
      <c r="P651" s="307">
        <f t="shared" si="195"/>
        <v>0</v>
      </c>
      <c r="R651" s="91" t="str">
        <f t="shared" si="191"/>
        <v/>
      </c>
      <c r="S65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1" s="307" t="str">
        <f t="shared" si="197"/>
        <v/>
      </c>
      <c r="U651" s="315" t="str">
        <f t="shared" si="198"/>
        <v/>
      </c>
      <c r="V651" s="307">
        <f t="shared" si="202"/>
        <v>0</v>
      </c>
      <c r="W651" s="307">
        <f>IFERROR(IF(V651&gt;0,PROPER(Terbilang1(V651)&amp;" Rupiah"),0),"")</f>
        <v>0</v>
      </c>
      <c r="X651" s="90" t="str">
        <f t="shared" si="203"/>
        <v/>
      </c>
      <c r="Y651" s="307" t="str">
        <f t="shared" si="204"/>
        <v/>
      </c>
      <c r="Z651" s="307">
        <f t="shared" si="199"/>
        <v>0</v>
      </c>
      <c r="AA651" s="366">
        <f t="shared" si="200"/>
        <v>0</v>
      </c>
      <c r="AB651" s="367">
        <f t="shared" si="205"/>
        <v>0</v>
      </c>
      <c r="AC651" s="305">
        <f t="shared" si="206"/>
        <v>0</v>
      </c>
      <c r="AP651" s="89" t="str">
        <f t="shared" si="194"/>
        <v/>
      </c>
      <c r="AQ651" s="89" t="str">
        <f t="shared" si="192"/>
        <v/>
      </c>
      <c r="AR651" s="315" t="str">
        <f t="shared" si="193"/>
        <v/>
      </c>
      <c r="AS651" s="305" t="str">
        <f t="shared" si="207"/>
        <v>0</v>
      </c>
      <c r="AT651" s="307">
        <f>Table22[[#This Row],[Column1]]</f>
        <v>0</v>
      </c>
    </row>
    <row r="652" spans="1:46" x14ac:dyDescent="0.3">
      <c r="A652" s="307">
        <f t="shared" si="201"/>
        <v>0</v>
      </c>
      <c r="B652" s="307">
        <f t="shared" si="190"/>
        <v>0</v>
      </c>
      <c r="C652" s="308" t="s">
        <v>563</v>
      </c>
      <c r="D652" s="309" t="s">
        <v>563</v>
      </c>
      <c r="E652" s="310">
        <v>0</v>
      </c>
      <c r="F652" s="310">
        <v>0</v>
      </c>
      <c r="G652" s="311">
        <v>0</v>
      </c>
      <c r="H652" s="310" t="s">
        <v>563</v>
      </c>
      <c r="I652" s="310" t="s">
        <v>563</v>
      </c>
      <c r="J652" s="310" t="s">
        <v>563</v>
      </c>
      <c r="K652" s="312">
        <v>0</v>
      </c>
      <c r="L652" s="310">
        <v>0</v>
      </c>
      <c r="M652" s="310">
        <v>0</v>
      </c>
      <c r="N652" s="313">
        <v>0</v>
      </c>
      <c r="O652" s="314" t="s">
        <v>563</v>
      </c>
      <c r="P652" s="307">
        <f t="shared" si="195"/>
        <v>0</v>
      </c>
      <c r="R652" s="91" t="str">
        <f t="shared" si="191"/>
        <v/>
      </c>
      <c r="S65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2" s="307" t="str">
        <f t="shared" si="197"/>
        <v/>
      </c>
      <c r="U652" s="315" t="str">
        <f t="shared" si="198"/>
        <v/>
      </c>
      <c r="V652" s="307">
        <f t="shared" si="202"/>
        <v>0</v>
      </c>
      <c r="W652" s="307">
        <f>IFERROR(IF(V652&gt;0,PROPER(Terbilang1(V652)&amp;" Rupiah"),0),"")</f>
        <v>0</v>
      </c>
      <c r="X652" s="90" t="str">
        <f t="shared" si="203"/>
        <v/>
      </c>
      <c r="Y652" s="307" t="str">
        <f t="shared" si="204"/>
        <v/>
      </c>
      <c r="Z652" s="307">
        <f t="shared" si="199"/>
        <v>0</v>
      </c>
      <c r="AA652" s="366">
        <f t="shared" si="200"/>
        <v>0</v>
      </c>
      <c r="AB652" s="367">
        <f t="shared" si="205"/>
        <v>0</v>
      </c>
      <c r="AC652" s="305">
        <f t="shared" si="206"/>
        <v>0</v>
      </c>
      <c r="AP652" s="89" t="str">
        <f t="shared" si="194"/>
        <v/>
      </c>
      <c r="AQ652" s="89" t="str">
        <f t="shared" si="192"/>
        <v/>
      </c>
      <c r="AR652" s="315" t="str">
        <f t="shared" si="193"/>
        <v/>
      </c>
      <c r="AS652" s="305" t="str">
        <f t="shared" si="207"/>
        <v>0</v>
      </c>
      <c r="AT652" s="307">
        <f>Table22[[#This Row],[Column1]]</f>
        <v>0</v>
      </c>
    </row>
    <row r="653" spans="1:46" x14ac:dyDescent="0.3">
      <c r="A653" s="307">
        <f t="shared" si="201"/>
        <v>0</v>
      </c>
      <c r="B653" s="307">
        <f t="shared" si="190"/>
        <v>0</v>
      </c>
      <c r="C653" s="308" t="s">
        <v>563</v>
      </c>
      <c r="D653" s="309" t="s">
        <v>563</v>
      </c>
      <c r="E653" s="310">
        <v>0</v>
      </c>
      <c r="F653" s="310">
        <v>0</v>
      </c>
      <c r="G653" s="311">
        <v>0</v>
      </c>
      <c r="H653" s="310" t="s">
        <v>563</v>
      </c>
      <c r="I653" s="310" t="s">
        <v>563</v>
      </c>
      <c r="J653" s="310" t="s">
        <v>563</v>
      </c>
      <c r="K653" s="312">
        <v>0</v>
      </c>
      <c r="L653" s="310">
        <v>0</v>
      </c>
      <c r="M653" s="310">
        <v>0</v>
      </c>
      <c r="N653" s="313">
        <v>0</v>
      </c>
      <c r="O653" s="314" t="s">
        <v>563</v>
      </c>
      <c r="P653" s="307">
        <f t="shared" si="195"/>
        <v>0</v>
      </c>
      <c r="R653" s="91" t="str">
        <f t="shared" si="191"/>
        <v/>
      </c>
      <c r="S65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3" s="307" t="str">
        <f t="shared" si="197"/>
        <v/>
      </c>
      <c r="U653" s="315" t="str">
        <f t="shared" si="198"/>
        <v/>
      </c>
      <c r="V653" s="307">
        <f t="shared" si="202"/>
        <v>0</v>
      </c>
      <c r="W653" s="307">
        <f>IFERROR(IF(V653&gt;0,PROPER(Terbilang1(V653)&amp;" Rupiah"),0),"")</f>
        <v>0</v>
      </c>
      <c r="X653" s="90" t="str">
        <f t="shared" si="203"/>
        <v/>
      </c>
      <c r="Y653" s="307" t="str">
        <f t="shared" si="204"/>
        <v/>
      </c>
      <c r="Z653" s="307">
        <f t="shared" si="199"/>
        <v>0</v>
      </c>
      <c r="AA653" s="366">
        <f t="shared" si="200"/>
        <v>0</v>
      </c>
      <c r="AB653" s="367">
        <f t="shared" si="205"/>
        <v>0</v>
      </c>
      <c r="AC653" s="305">
        <f t="shared" si="206"/>
        <v>0</v>
      </c>
      <c r="AP653" s="89" t="str">
        <f t="shared" si="194"/>
        <v/>
      </c>
      <c r="AQ653" s="89" t="str">
        <f t="shared" si="192"/>
        <v/>
      </c>
      <c r="AR653" s="315" t="str">
        <f t="shared" si="193"/>
        <v/>
      </c>
      <c r="AS653" s="305" t="str">
        <f t="shared" si="207"/>
        <v>0</v>
      </c>
      <c r="AT653" s="307">
        <f>Table22[[#This Row],[Column1]]</f>
        <v>0</v>
      </c>
    </row>
    <row r="654" spans="1:46" x14ac:dyDescent="0.3">
      <c r="A654" s="307">
        <f t="shared" si="201"/>
        <v>0</v>
      </c>
      <c r="B654" s="307">
        <f t="shared" si="190"/>
        <v>0</v>
      </c>
      <c r="C654" s="308" t="s">
        <v>563</v>
      </c>
      <c r="D654" s="309" t="s">
        <v>563</v>
      </c>
      <c r="E654" s="310">
        <v>0</v>
      </c>
      <c r="F654" s="310">
        <v>0</v>
      </c>
      <c r="G654" s="311">
        <v>0</v>
      </c>
      <c r="H654" s="310" t="s">
        <v>563</v>
      </c>
      <c r="I654" s="310" t="s">
        <v>563</v>
      </c>
      <c r="J654" s="310" t="s">
        <v>563</v>
      </c>
      <c r="K654" s="312">
        <v>0</v>
      </c>
      <c r="L654" s="310">
        <v>0</v>
      </c>
      <c r="M654" s="310">
        <v>0</v>
      </c>
      <c r="N654" s="313">
        <v>0</v>
      </c>
      <c r="O654" s="314" t="s">
        <v>563</v>
      </c>
      <c r="P654" s="307">
        <f t="shared" si="195"/>
        <v>0</v>
      </c>
      <c r="R654" s="91" t="str">
        <f t="shared" si="191"/>
        <v/>
      </c>
      <c r="S65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4" s="307" t="str">
        <f t="shared" si="197"/>
        <v/>
      </c>
      <c r="U654" s="315" t="str">
        <f t="shared" si="198"/>
        <v/>
      </c>
      <c r="V654" s="307">
        <f t="shared" si="202"/>
        <v>0</v>
      </c>
      <c r="W654" s="307">
        <f>IFERROR(IF(V654&gt;0,PROPER(Terbilang1(V654)&amp;" Rupiah"),0),"")</f>
        <v>0</v>
      </c>
      <c r="X654" s="90" t="str">
        <f t="shared" si="203"/>
        <v/>
      </c>
      <c r="Y654" s="307" t="str">
        <f t="shared" si="204"/>
        <v/>
      </c>
      <c r="Z654" s="307">
        <f t="shared" si="199"/>
        <v>0</v>
      </c>
      <c r="AA654" s="366">
        <f t="shared" si="200"/>
        <v>0</v>
      </c>
      <c r="AB654" s="367">
        <f t="shared" si="205"/>
        <v>0</v>
      </c>
      <c r="AC654" s="305">
        <f t="shared" si="206"/>
        <v>0</v>
      </c>
      <c r="AP654" s="89" t="str">
        <f t="shared" si="194"/>
        <v/>
      </c>
      <c r="AQ654" s="89" t="str">
        <f t="shared" si="192"/>
        <v/>
      </c>
      <c r="AR654" s="315" t="str">
        <f t="shared" si="193"/>
        <v/>
      </c>
      <c r="AS654" s="305" t="str">
        <f t="shared" si="207"/>
        <v>0</v>
      </c>
      <c r="AT654" s="307">
        <f>Table22[[#This Row],[Column1]]</f>
        <v>0</v>
      </c>
    </row>
    <row r="655" spans="1:46" x14ac:dyDescent="0.3">
      <c r="A655" s="307">
        <f t="shared" si="201"/>
        <v>0</v>
      </c>
      <c r="B655" s="307">
        <f t="shared" si="190"/>
        <v>0</v>
      </c>
      <c r="C655" s="308" t="s">
        <v>563</v>
      </c>
      <c r="D655" s="309" t="s">
        <v>563</v>
      </c>
      <c r="E655" s="310">
        <v>0</v>
      </c>
      <c r="F655" s="310">
        <v>0</v>
      </c>
      <c r="G655" s="311">
        <v>0</v>
      </c>
      <c r="H655" s="310" t="s">
        <v>563</v>
      </c>
      <c r="I655" s="310" t="s">
        <v>563</v>
      </c>
      <c r="J655" s="310" t="s">
        <v>563</v>
      </c>
      <c r="K655" s="312">
        <v>0</v>
      </c>
      <c r="L655" s="310">
        <v>0</v>
      </c>
      <c r="M655" s="310">
        <v>0</v>
      </c>
      <c r="N655" s="313">
        <v>0</v>
      </c>
      <c r="O655" s="314" t="s">
        <v>563</v>
      </c>
      <c r="P655" s="307">
        <f t="shared" si="195"/>
        <v>0</v>
      </c>
      <c r="R655" s="91" t="str">
        <f t="shared" si="191"/>
        <v/>
      </c>
      <c r="S65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5" s="307" t="str">
        <f t="shared" si="197"/>
        <v/>
      </c>
      <c r="U655" s="315" t="str">
        <f t="shared" si="198"/>
        <v/>
      </c>
      <c r="V655" s="307">
        <f t="shared" si="202"/>
        <v>0</v>
      </c>
      <c r="W655" s="307">
        <f>IFERROR(IF(V655&gt;0,PROPER(Terbilang1(V655)&amp;" Rupiah"),0),"")</f>
        <v>0</v>
      </c>
      <c r="X655" s="90" t="str">
        <f t="shared" si="203"/>
        <v/>
      </c>
      <c r="Y655" s="307" t="str">
        <f t="shared" si="204"/>
        <v/>
      </c>
      <c r="Z655" s="307">
        <f t="shared" si="199"/>
        <v>0</v>
      </c>
      <c r="AA655" s="366">
        <f t="shared" si="200"/>
        <v>0</v>
      </c>
      <c r="AB655" s="367">
        <f t="shared" si="205"/>
        <v>0</v>
      </c>
      <c r="AC655" s="305">
        <f t="shared" si="206"/>
        <v>0</v>
      </c>
      <c r="AP655" s="89" t="str">
        <f t="shared" si="194"/>
        <v/>
      </c>
      <c r="AQ655" s="89" t="str">
        <f t="shared" si="192"/>
        <v/>
      </c>
      <c r="AR655" s="315" t="str">
        <f t="shared" si="193"/>
        <v/>
      </c>
      <c r="AS655" s="305" t="str">
        <f t="shared" si="207"/>
        <v>0</v>
      </c>
      <c r="AT655" s="307">
        <f>Table22[[#This Row],[Column1]]</f>
        <v>0</v>
      </c>
    </row>
    <row r="656" spans="1:46" x14ac:dyDescent="0.3">
      <c r="A656" s="307">
        <f t="shared" si="201"/>
        <v>0</v>
      </c>
      <c r="B656" s="307">
        <f t="shared" si="190"/>
        <v>0</v>
      </c>
      <c r="C656" s="308" t="s">
        <v>563</v>
      </c>
      <c r="D656" s="309" t="s">
        <v>563</v>
      </c>
      <c r="E656" s="310">
        <v>0</v>
      </c>
      <c r="F656" s="310">
        <v>0</v>
      </c>
      <c r="G656" s="311">
        <v>0</v>
      </c>
      <c r="H656" s="310" t="s">
        <v>563</v>
      </c>
      <c r="I656" s="310" t="s">
        <v>563</v>
      </c>
      <c r="J656" s="310" t="s">
        <v>563</v>
      </c>
      <c r="K656" s="312">
        <v>0</v>
      </c>
      <c r="L656" s="310">
        <v>0</v>
      </c>
      <c r="M656" s="310">
        <v>0</v>
      </c>
      <c r="N656" s="313">
        <v>0</v>
      </c>
      <c r="O656" s="314" t="s">
        <v>563</v>
      </c>
      <c r="P656" s="307">
        <f t="shared" si="195"/>
        <v>0</v>
      </c>
      <c r="R656" s="91" t="str">
        <f t="shared" si="191"/>
        <v/>
      </c>
      <c r="S65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6" s="307" t="str">
        <f t="shared" si="197"/>
        <v/>
      </c>
      <c r="U656" s="315" t="str">
        <f t="shared" si="198"/>
        <v/>
      </c>
      <c r="V656" s="307">
        <f t="shared" si="202"/>
        <v>0</v>
      </c>
      <c r="W656" s="307">
        <f>IFERROR(IF(V656&gt;0,PROPER(Terbilang1(V656)&amp;" Rupiah"),0),"")</f>
        <v>0</v>
      </c>
      <c r="X656" s="90" t="str">
        <f t="shared" si="203"/>
        <v/>
      </c>
      <c r="Y656" s="307" t="str">
        <f t="shared" si="204"/>
        <v/>
      </c>
      <c r="Z656" s="307">
        <f t="shared" si="199"/>
        <v>0</v>
      </c>
      <c r="AA656" s="366">
        <f t="shared" si="200"/>
        <v>0</v>
      </c>
      <c r="AB656" s="367">
        <f t="shared" si="205"/>
        <v>0</v>
      </c>
      <c r="AC656" s="305">
        <f t="shared" si="206"/>
        <v>0</v>
      </c>
      <c r="AP656" s="89" t="str">
        <f t="shared" si="194"/>
        <v/>
      </c>
      <c r="AQ656" s="89" t="str">
        <f t="shared" si="192"/>
        <v/>
      </c>
      <c r="AR656" s="315" t="str">
        <f t="shared" si="193"/>
        <v/>
      </c>
      <c r="AS656" s="305" t="str">
        <f t="shared" si="207"/>
        <v>0</v>
      </c>
      <c r="AT656" s="307">
        <f>Table22[[#This Row],[Column1]]</f>
        <v>0</v>
      </c>
    </row>
    <row r="657" spans="1:46" x14ac:dyDescent="0.3">
      <c r="A657" s="307">
        <f t="shared" si="201"/>
        <v>0</v>
      </c>
      <c r="B657" s="307">
        <f t="shared" si="190"/>
        <v>0</v>
      </c>
      <c r="C657" s="308" t="s">
        <v>563</v>
      </c>
      <c r="D657" s="309" t="s">
        <v>563</v>
      </c>
      <c r="E657" s="310">
        <v>0</v>
      </c>
      <c r="F657" s="310">
        <v>0</v>
      </c>
      <c r="G657" s="311">
        <v>0</v>
      </c>
      <c r="H657" s="310" t="s">
        <v>563</v>
      </c>
      <c r="I657" s="310" t="s">
        <v>563</v>
      </c>
      <c r="J657" s="310" t="s">
        <v>563</v>
      </c>
      <c r="K657" s="312">
        <v>0</v>
      </c>
      <c r="L657" s="310">
        <v>0</v>
      </c>
      <c r="M657" s="310">
        <v>0</v>
      </c>
      <c r="N657" s="313">
        <v>0</v>
      </c>
      <c r="O657" s="314" t="s">
        <v>563</v>
      </c>
      <c r="P657" s="307">
        <f t="shared" si="195"/>
        <v>0</v>
      </c>
      <c r="R657" s="91" t="str">
        <f t="shared" si="191"/>
        <v/>
      </c>
      <c r="S65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7" s="307" t="str">
        <f t="shared" si="197"/>
        <v/>
      </c>
      <c r="U657" s="315" t="str">
        <f t="shared" si="198"/>
        <v/>
      </c>
      <c r="V657" s="307">
        <f t="shared" si="202"/>
        <v>0</v>
      </c>
      <c r="W657" s="307">
        <f>IFERROR(IF(V657&gt;0,PROPER(Terbilang1(V657)&amp;" Rupiah"),0),"")</f>
        <v>0</v>
      </c>
      <c r="X657" s="90" t="str">
        <f t="shared" si="203"/>
        <v/>
      </c>
      <c r="Y657" s="307" t="str">
        <f t="shared" si="204"/>
        <v/>
      </c>
      <c r="Z657" s="307">
        <f t="shared" si="199"/>
        <v>0</v>
      </c>
      <c r="AA657" s="366">
        <f t="shared" si="200"/>
        <v>0</v>
      </c>
      <c r="AB657" s="367">
        <f t="shared" si="205"/>
        <v>0</v>
      </c>
      <c r="AC657" s="305">
        <f t="shared" si="206"/>
        <v>0</v>
      </c>
      <c r="AP657" s="89" t="str">
        <f t="shared" si="194"/>
        <v/>
      </c>
      <c r="AQ657" s="89" t="str">
        <f t="shared" si="192"/>
        <v/>
      </c>
      <c r="AR657" s="315" t="str">
        <f t="shared" si="193"/>
        <v/>
      </c>
      <c r="AS657" s="305" t="str">
        <f t="shared" si="207"/>
        <v>0</v>
      </c>
      <c r="AT657" s="307">
        <f>Table22[[#This Row],[Column1]]</f>
        <v>0</v>
      </c>
    </row>
    <row r="658" spans="1:46" x14ac:dyDescent="0.3">
      <c r="A658" s="307">
        <f t="shared" si="201"/>
        <v>0</v>
      </c>
      <c r="B658" s="307">
        <f t="shared" si="190"/>
        <v>0</v>
      </c>
      <c r="C658" s="308" t="s">
        <v>563</v>
      </c>
      <c r="D658" s="309" t="s">
        <v>563</v>
      </c>
      <c r="E658" s="310">
        <v>0</v>
      </c>
      <c r="F658" s="310">
        <v>0</v>
      </c>
      <c r="G658" s="311">
        <v>0</v>
      </c>
      <c r="H658" s="310" t="s">
        <v>563</v>
      </c>
      <c r="I658" s="310" t="s">
        <v>563</v>
      </c>
      <c r="J658" s="310" t="s">
        <v>563</v>
      </c>
      <c r="K658" s="312">
        <v>0</v>
      </c>
      <c r="L658" s="310">
        <v>0</v>
      </c>
      <c r="M658" s="310">
        <v>0</v>
      </c>
      <c r="N658" s="313">
        <v>0</v>
      </c>
      <c r="O658" s="314" t="s">
        <v>563</v>
      </c>
      <c r="P658" s="307">
        <f t="shared" si="195"/>
        <v>0</v>
      </c>
      <c r="R658" s="91" t="str">
        <f t="shared" si="191"/>
        <v/>
      </c>
      <c r="S65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8" s="307" t="str">
        <f t="shared" si="197"/>
        <v/>
      </c>
      <c r="U658" s="315" t="str">
        <f t="shared" si="198"/>
        <v/>
      </c>
      <c r="V658" s="307">
        <f t="shared" si="202"/>
        <v>0</v>
      </c>
      <c r="W658" s="307">
        <f>IFERROR(IF(V658&gt;0,PROPER(Terbilang1(V658)&amp;" Rupiah"),0),"")</f>
        <v>0</v>
      </c>
      <c r="X658" s="90" t="str">
        <f t="shared" si="203"/>
        <v/>
      </c>
      <c r="Y658" s="307" t="str">
        <f t="shared" si="204"/>
        <v/>
      </c>
      <c r="Z658" s="307">
        <f t="shared" si="199"/>
        <v>0</v>
      </c>
      <c r="AA658" s="366">
        <f t="shared" si="200"/>
        <v>0</v>
      </c>
      <c r="AB658" s="367">
        <f t="shared" si="205"/>
        <v>0</v>
      </c>
      <c r="AC658" s="305">
        <f t="shared" si="206"/>
        <v>0</v>
      </c>
      <c r="AP658" s="89" t="str">
        <f t="shared" si="194"/>
        <v/>
      </c>
      <c r="AQ658" s="89" t="str">
        <f t="shared" si="192"/>
        <v/>
      </c>
      <c r="AR658" s="315" t="str">
        <f t="shared" si="193"/>
        <v/>
      </c>
      <c r="AS658" s="305" t="str">
        <f t="shared" si="207"/>
        <v>0</v>
      </c>
      <c r="AT658" s="307">
        <f>Table22[[#This Row],[Column1]]</f>
        <v>0</v>
      </c>
    </row>
    <row r="659" spans="1:46" x14ac:dyDescent="0.3">
      <c r="A659" s="307">
        <f t="shared" si="201"/>
        <v>0</v>
      </c>
      <c r="B659" s="307">
        <f t="shared" si="190"/>
        <v>0</v>
      </c>
      <c r="C659" s="308" t="s">
        <v>563</v>
      </c>
      <c r="D659" s="309" t="s">
        <v>563</v>
      </c>
      <c r="E659" s="310">
        <v>0</v>
      </c>
      <c r="F659" s="310">
        <v>0</v>
      </c>
      <c r="G659" s="311">
        <v>0</v>
      </c>
      <c r="H659" s="310" t="s">
        <v>563</v>
      </c>
      <c r="I659" s="310" t="s">
        <v>563</v>
      </c>
      <c r="J659" s="310" t="s">
        <v>563</v>
      </c>
      <c r="K659" s="312">
        <v>0</v>
      </c>
      <c r="L659" s="310">
        <v>0</v>
      </c>
      <c r="M659" s="310">
        <v>0</v>
      </c>
      <c r="N659" s="313">
        <v>0</v>
      </c>
      <c r="O659" s="314" t="s">
        <v>563</v>
      </c>
      <c r="P659" s="307">
        <f t="shared" si="195"/>
        <v>0</v>
      </c>
      <c r="R659" s="91" t="str">
        <f t="shared" si="191"/>
        <v/>
      </c>
      <c r="S65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59" s="307" t="str">
        <f t="shared" si="197"/>
        <v/>
      </c>
      <c r="U659" s="315" t="str">
        <f t="shared" si="198"/>
        <v/>
      </c>
      <c r="V659" s="307">
        <f t="shared" si="202"/>
        <v>0</v>
      </c>
      <c r="W659" s="307">
        <f>IFERROR(IF(V659&gt;0,PROPER(Terbilang1(V659)&amp;" Rupiah"),0),"")</f>
        <v>0</v>
      </c>
      <c r="X659" s="90" t="str">
        <f t="shared" si="203"/>
        <v/>
      </c>
      <c r="Y659" s="307" t="str">
        <f t="shared" si="204"/>
        <v/>
      </c>
      <c r="Z659" s="307">
        <f t="shared" si="199"/>
        <v>0</v>
      </c>
      <c r="AA659" s="366">
        <f t="shared" si="200"/>
        <v>0</v>
      </c>
      <c r="AB659" s="367">
        <f t="shared" si="205"/>
        <v>0</v>
      </c>
      <c r="AC659" s="305">
        <f t="shared" si="206"/>
        <v>0</v>
      </c>
      <c r="AP659" s="89" t="str">
        <f t="shared" si="194"/>
        <v/>
      </c>
      <c r="AQ659" s="89" t="str">
        <f t="shared" si="192"/>
        <v/>
      </c>
      <c r="AR659" s="315" t="str">
        <f t="shared" si="193"/>
        <v/>
      </c>
      <c r="AS659" s="305" t="str">
        <f t="shared" si="207"/>
        <v>0</v>
      </c>
      <c r="AT659" s="307">
        <f>Table22[[#This Row],[Column1]]</f>
        <v>0</v>
      </c>
    </row>
    <row r="660" spans="1:46" x14ac:dyDescent="0.3">
      <c r="A660" s="307">
        <f t="shared" si="201"/>
        <v>0</v>
      </c>
      <c r="B660" s="307">
        <f t="shared" si="190"/>
        <v>0</v>
      </c>
      <c r="C660" s="308" t="s">
        <v>563</v>
      </c>
      <c r="D660" s="309" t="s">
        <v>563</v>
      </c>
      <c r="E660" s="310">
        <v>0</v>
      </c>
      <c r="F660" s="310">
        <v>0</v>
      </c>
      <c r="G660" s="311">
        <v>0</v>
      </c>
      <c r="H660" s="310" t="s">
        <v>563</v>
      </c>
      <c r="I660" s="310" t="s">
        <v>563</v>
      </c>
      <c r="J660" s="310" t="s">
        <v>563</v>
      </c>
      <c r="K660" s="312">
        <v>0</v>
      </c>
      <c r="L660" s="310">
        <v>0</v>
      </c>
      <c r="M660" s="310">
        <v>0</v>
      </c>
      <c r="N660" s="313">
        <v>0</v>
      </c>
      <c r="O660" s="314" t="s">
        <v>563</v>
      </c>
      <c r="P660" s="307">
        <f t="shared" si="195"/>
        <v>0</v>
      </c>
      <c r="R660" s="91" t="str">
        <f t="shared" si="191"/>
        <v/>
      </c>
      <c r="S66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0" s="307" t="str">
        <f t="shared" si="197"/>
        <v/>
      </c>
      <c r="U660" s="315" t="str">
        <f t="shared" si="198"/>
        <v/>
      </c>
      <c r="V660" s="307">
        <f t="shared" si="202"/>
        <v>0</v>
      </c>
      <c r="W660" s="307">
        <f>IFERROR(IF(V660&gt;0,PROPER(Terbilang1(V660)&amp;" Rupiah"),0),"")</f>
        <v>0</v>
      </c>
      <c r="X660" s="90" t="str">
        <f t="shared" si="203"/>
        <v/>
      </c>
      <c r="Y660" s="307" t="str">
        <f t="shared" si="204"/>
        <v/>
      </c>
      <c r="Z660" s="307">
        <f t="shared" si="199"/>
        <v>0</v>
      </c>
      <c r="AA660" s="366">
        <f t="shared" si="200"/>
        <v>0</v>
      </c>
      <c r="AB660" s="367">
        <f t="shared" si="205"/>
        <v>0</v>
      </c>
      <c r="AC660" s="305">
        <f t="shared" si="206"/>
        <v>0</v>
      </c>
      <c r="AP660" s="89" t="str">
        <f t="shared" si="194"/>
        <v/>
      </c>
      <c r="AQ660" s="89" t="str">
        <f t="shared" si="192"/>
        <v/>
      </c>
      <c r="AR660" s="315" t="str">
        <f t="shared" si="193"/>
        <v/>
      </c>
      <c r="AS660" s="305" t="str">
        <f t="shared" si="207"/>
        <v>0</v>
      </c>
      <c r="AT660" s="307">
        <f>Table22[[#This Row],[Column1]]</f>
        <v>0</v>
      </c>
    </row>
    <row r="661" spans="1:46" x14ac:dyDescent="0.3">
      <c r="A661" s="307">
        <f t="shared" si="201"/>
        <v>0</v>
      </c>
      <c r="B661" s="307">
        <f t="shared" si="190"/>
        <v>0</v>
      </c>
      <c r="C661" s="308" t="s">
        <v>563</v>
      </c>
      <c r="D661" s="309" t="s">
        <v>563</v>
      </c>
      <c r="E661" s="310">
        <v>0</v>
      </c>
      <c r="F661" s="310">
        <v>0</v>
      </c>
      <c r="G661" s="311">
        <v>0</v>
      </c>
      <c r="H661" s="310" t="s">
        <v>563</v>
      </c>
      <c r="I661" s="310" t="s">
        <v>563</v>
      </c>
      <c r="J661" s="310" t="s">
        <v>563</v>
      </c>
      <c r="K661" s="312">
        <v>0</v>
      </c>
      <c r="L661" s="310">
        <v>0</v>
      </c>
      <c r="M661" s="310">
        <v>0</v>
      </c>
      <c r="N661" s="313">
        <v>0</v>
      </c>
      <c r="O661" s="314" t="s">
        <v>563</v>
      </c>
      <c r="P661" s="307">
        <f t="shared" si="195"/>
        <v>0</v>
      </c>
      <c r="R661" s="91" t="str">
        <f t="shared" si="191"/>
        <v/>
      </c>
      <c r="S66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1" s="307" t="str">
        <f t="shared" si="197"/>
        <v/>
      </c>
      <c r="U661" s="315" t="str">
        <f t="shared" si="198"/>
        <v/>
      </c>
      <c r="V661" s="307">
        <f t="shared" si="202"/>
        <v>0</v>
      </c>
      <c r="W661" s="307">
        <f>IFERROR(IF(V661&gt;0,PROPER(Terbilang1(V661)&amp;" Rupiah"),0),"")</f>
        <v>0</v>
      </c>
      <c r="X661" s="90" t="str">
        <f t="shared" si="203"/>
        <v/>
      </c>
      <c r="Y661" s="307" t="str">
        <f t="shared" si="204"/>
        <v/>
      </c>
      <c r="Z661" s="307">
        <f t="shared" si="199"/>
        <v>0</v>
      </c>
      <c r="AA661" s="366">
        <f t="shared" si="200"/>
        <v>0</v>
      </c>
      <c r="AB661" s="367">
        <f t="shared" si="205"/>
        <v>0</v>
      </c>
      <c r="AC661" s="305">
        <f t="shared" si="206"/>
        <v>0</v>
      </c>
      <c r="AP661" s="89" t="str">
        <f t="shared" si="194"/>
        <v/>
      </c>
      <c r="AQ661" s="89" t="str">
        <f t="shared" si="192"/>
        <v/>
      </c>
      <c r="AR661" s="315" t="str">
        <f t="shared" si="193"/>
        <v/>
      </c>
      <c r="AS661" s="305" t="str">
        <f t="shared" si="207"/>
        <v>0</v>
      </c>
      <c r="AT661" s="307">
        <f>Table22[[#This Row],[Column1]]</f>
        <v>0</v>
      </c>
    </row>
    <row r="662" spans="1:46" x14ac:dyDescent="0.3">
      <c r="A662" s="307">
        <f t="shared" si="201"/>
        <v>0</v>
      </c>
      <c r="B662" s="307">
        <f t="shared" si="190"/>
        <v>0</v>
      </c>
      <c r="C662" s="308" t="s">
        <v>563</v>
      </c>
      <c r="D662" s="309" t="s">
        <v>563</v>
      </c>
      <c r="E662" s="310">
        <v>0</v>
      </c>
      <c r="F662" s="310">
        <v>0</v>
      </c>
      <c r="G662" s="311">
        <v>0</v>
      </c>
      <c r="H662" s="310" t="s">
        <v>563</v>
      </c>
      <c r="I662" s="310" t="s">
        <v>563</v>
      </c>
      <c r="J662" s="310" t="s">
        <v>563</v>
      </c>
      <c r="K662" s="312">
        <v>0</v>
      </c>
      <c r="L662" s="310">
        <v>0</v>
      </c>
      <c r="M662" s="310">
        <v>0</v>
      </c>
      <c r="N662" s="313">
        <v>0</v>
      </c>
      <c r="O662" s="314" t="s">
        <v>563</v>
      </c>
      <c r="P662" s="307">
        <f t="shared" si="195"/>
        <v>0</v>
      </c>
      <c r="R662" s="91" t="str">
        <f t="shared" si="191"/>
        <v/>
      </c>
      <c r="S66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2" s="307" t="str">
        <f t="shared" si="197"/>
        <v/>
      </c>
      <c r="U662" s="315" t="str">
        <f t="shared" si="198"/>
        <v/>
      </c>
      <c r="V662" s="307">
        <f t="shared" si="202"/>
        <v>0</v>
      </c>
      <c r="W662" s="307">
        <f>IFERROR(IF(V662&gt;0,PROPER(Terbilang1(V662)&amp;" Rupiah"),0),"")</f>
        <v>0</v>
      </c>
      <c r="X662" s="90" t="str">
        <f t="shared" si="203"/>
        <v/>
      </c>
      <c r="Y662" s="307" t="str">
        <f t="shared" si="204"/>
        <v/>
      </c>
      <c r="Z662" s="307">
        <f t="shared" si="199"/>
        <v>0</v>
      </c>
      <c r="AA662" s="366">
        <f t="shared" si="200"/>
        <v>0</v>
      </c>
      <c r="AB662" s="367">
        <f t="shared" si="205"/>
        <v>0</v>
      </c>
      <c r="AC662" s="305">
        <f t="shared" si="206"/>
        <v>0</v>
      </c>
      <c r="AP662" s="89" t="str">
        <f t="shared" si="194"/>
        <v/>
      </c>
      <c r="AQ662" s="89" t="str">
        <f t="shared" si="192"/>
        <v/>
      </c>
      <c r="AR662" s="315" t="str">
        <f t="shared" si="193"/>
        <v/>
      </c>
      <c r="AS662" s="305" t="str">
        <f t="shared" si="207"/>
        <v>0</v>
      </c>
      <c r="AT662" s="307">
        <f>Table22[[#This Row],[Column1]]</f>
        <v>0</v>
      </c>
    </row>
    <row r="663" spans="1:46" x14ac:dyDescent="0.3">
      <c r="A663" s="307">
        <f t="shared" si="201"/>
        <v>0</v>
      </c>
      <c r="B663" s="307">
        <f t="shared" si="190"/>
        <v>0</v>
      </c>
      <c r="C663" s="308" t="s">
        <v>563</v>
      </c>
      <c r="D663" s="309" t="s">
        <v>563</v>
      </c>
      <c r="E663" s="310">
        <v>0</v>
      </c>
      <c r="F663" s="310">
        <v>0</v>
      </c>
      <c r="G663" s="311">
        <v>0</v>
      </c>
      <c r="H663" s="310" t="s">
        <v>563</v>
      </c>
      <c r="I663" s="310" t="s">
        <v>563</v>
      </c>
      <c r="J663" s="310" t="s">
        <v>563</v>
      </c>
      <c r="K663" s="312">
        <v>0</v>
      </c>
      <c r="L663" s="310">
        <v>0</v>
      </c>
      <c r="M663" s="310">
        <v>0</v>
      </c>
      <c r="N663" s="313">
        <v>0</v>
      </c>
      <c r="O663" s="314" t="s">
        <v>563</v>
      </c>
      <c r="P663" s="307">
        <f t="shared" si="195"/>
        <v>0</v>
      </c>
      <c r="R663" s="91" t="str">
        <f t="shared" si="191"/>
        <v/>
      </c>
      <c r="S66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3" s="307" t="str">
        <f t="shared" si="197"/>
        <v/>
      </c>
      <c r="U663" s="315" t="str">
        <f t="shared" si="198"/>
        <v/>
      </c>
      <c r="V663" s="307">
        <f t="shared" si="202"/>
        <v>0</v>
      </c>
      <c r="W663" s="307">
        <f>IFERROR(IF(V663&gt;0,PROPER(Terbilang1(V663)&amp;" Rupiah"),0),"")</f>
        <v>0</v>
      </c>
      <c r="X663" s="90" t="str">
        <f t="shared" si="203"/>
        <v/>
      </c>
      <c r="Y663" s="307" t="str">
        <f t="shared" si="204"/>
        <v/>
      </c>
      <c r="Z663" s="307">
        <f t="shared" si="199"/>
        <v>0</v>
      </c>
      <c r="AA663" s="366">
        <f t="shared" si="200"/>
        <v>0</v>
      </c>
      <c r="AB663" s="367">
        <f t="shared" si="205"/>
        <v>0</v>
      </c>
      <c r="AC663" s="305">
        <f t="shared" si="206"/>
        <v>0</v>
      </c>
      <c r="AP663" s="89" t="str">
        <f t="shared" si="194"/>
        <v/>
      </c>
      <c r="AQ663" s="89" t="str">
        <f t="shared" si="192"/>
        <v/>
      </c>
      <c r="AR663" s="315" t="str">
        <f t="shared" si="193"/>
        <v/>
      </c>
      <c r="AS663" s="305" t="str">
        <f t="shared" si="207"/>
        <v>0</v>
      </c>
      <c r="AT663" s="307">
        <f>Table22[[#This Row],[Column1]]</f>
        <v>0</v>
      </c>
    </row>
    <row r="664" spans="1:46" x14ac:dyDescent="0.3">
      <c r="A664" s="307">
        <f t="shared" si="201"/>
        <v>0</v>
      </c>
      <c r="B664" s="307">
        <f t="shared" si="190"/>
        <v>0</v>
      </c>
      <c r="C664" s="308" t="s">
        <v>563</v>
      </c>
      <c r="D664" s="309" t="s">
        <v>563</v>
      </c>
      <c r="E664" s="310">
        <v>0</v>
      </c>
      <c r="F664" s="310">
        <v>0</v>
      </c>
      <c r="G664" s="311">
        <v>0</v>
      </c>
      <c r="H664" s="310" t="s">
        <v>563</v>
      </c>
      <c r="I664" s="310" t="s">
        <v>563</v>
      </c>
      <c r="J664" s="310" t="s">
        <v>563</v>
      </c>
      <c r="K664" s="312">
        <v>0</v>
      </c>
      <c r="L664" s="310">
        <v>0</v>
      </c>
      <c r="M664" s="310">
        <v>0</v>
      </c>
      <c r="N664" s="313">
        <v>0</v>
      </c>
      <c r="O664" s="314" t="s">
        <v>563</v>
      </c>
      <c r="P664" s="307">
        <f t="shared" si="195"/>
        <v>0</v>
      </c>
      <c r="R664" s="91" t="str">
        <f t="shared" si="191"/>
        <v/>
      </c>
      <c r="S66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4" s="307" t="str">
        <f t="shared" si="197"/>
        <v/>
      </c>
      <c r="U664" s="315" t="str">
        <f t="shared" si="198"/>
        <v/>
      </c>
      <c r="V664" s="307">
        <f t="shared" si="202"/>
        <v>0</v>
      </c>
      <c r="W664" s="307">
        <f>IFERROR(IF(V664&gt;0,PROPER(Terbilang1(V664)&amp;" Rupiah"),0),"")</f>
        <v>0</v>
      </c>
      <c r="X664" s="90" t="str">
        <f t="shared" si="203"/>
        <v/>
      </c>
      <c r="Y664" s="307" t="str">
        <f t="shared" si="204"/>
        <v/>
      </c>
      <c r="Z664" s="307">
        <f t="shared" si="199"/>
        <v>0</v>
      </c>
      <c r="AA664" s="366">
        <f t="shared" si="200"/>
        <v>0</v>
      </c>
      <c r="AB664" s="367">
        <f t="shared" si="205"/>
        <v>0</v>
      </c>
      <c r="AC664" s="305">
        <f t="shared" si="206"/>
        <v>0</v>
      </c>
      <c r="AP664" s="89" t="str">
        <f t="shared" si="194"/>
        <v/>
      </c>
      <c r="AQ664" s="89" t="str">
        <f t="shared" si="192"/>
        <v/>
      </c>
      <c r="AR664" s="315" t="str">
        <f t="shared" si="193"/>
        <v/>
      </c>
      <c r="AS664" s="305" t="str">
        <f t="shared" si="207"/>
        <v>0</v>
      </c>
      <c r="AT664" s="307">
        <f>Table22[[#This Row],[Column1]]</f>
        <v>0</v>
      </c>
    </row>
    <row r="665" spans="1:46" x14ac:dyDescent="0.3">
      <c r="A665" s="307">
        <f t="shared" si="201"/>
        <v>0</v>
      </c>
      <c r="B665" s="307">
        <f t="shared" si="190"/>
        <v>0</v>
      </c>
      <c r="C665" s="308" t="s">
        <v>563</v>
      </c>
      <c r="D665" s="309" t="s">
        <v>563</v>
      </c>
      <c r="E665" s="310">
        <v>0</v>
      </c>
      <c r="F665" s="310">
        <v>0</v>
      </c>
      <c r="G665" s="311">
        <v>0</v>
      </c>
      <c r="H665" s="310" t="s">
        <v>563</v>
      </c>
      <c r="I665" s="310" t="s">
        <v>563</v>
      </c>
      <c r="J665" s="310" t="s">
        <v>563</v>
      </c>
      <c r="K665" s="312">
        <v>0</v>
      </c>
      <c r="L665" s="310">
        <v>0</v>
      </c>
      <c r="M665" s="310">
        <v>0</v>
      </c>
      <c r="N665" s="313">
        <v>0</v>
      </c>
      <c r="O665" s="314" t="s">
        <v>563</v>
      </c>
      <c r="P665" s="307">
        <f t="shared" si="195"/>
        <v>0</v>
      </c>
      <c r="R665" s="91" t="str">
        <f t="shared" si="191"/>
        <v/>
      </c>
      <c r="S66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5" s="307" t="str">
        <f t="shared" si="197"/>
        <v/>
      </c>
      <c r="U665" s="315" t="str">
        <f t="shared" si="198"/>
        <v/>
      </c>
      <c r="V665" s="307">
        <f t="shared" si="202"/>
        <v>0</v>
      </c>
      <c r="W665" s="307">
        <f>IFERROR(IF(V665&gt;0,PROPER(Terbilang1(V665)&amp;" Rupiah"),0),"")</f>
        <v>0</v>
      </c>
      <c r="X665" s="90" t="str">
        <f t="shared" si="203"/>
        <v/>
      </c>
      <c r="Y665" s="307" t="str">
        <f t="shared" si="204"/>
        <v/>
      </c>
      <c r="Z665" s="307">
        <f t="shared" si="199"/>
        <v>0</v>
      </c>
      <c r="AA665" s="366">
        <f t="shared" si="200"/>
        <v>0</v>
      </c>
      <c r="AB665" s="367">
        <f t="shared" si="205"/>
        <v>0</v>
      </c>
      <c r="AC665" s="305">
        <f t="shared" si="206"/>
        <v>0</v>
      </c>
      <c r="AP665" s="89" t="str">
        <f t="shared" si="194"/>
        <v/>
      </c>
      <c r="AQ665" s="89" t="str">
        <f t="shared" si="192"/>
        <v/>
      </c>
      <c r="AR665" s="315" t="str">
        <f t="shared" si="193"/>
        <v/>
      </c>
      <c r="AS665" s="305" t="str">
        <f t="shared" si="207"/>
        <v>0</v>
      </c>
      <c r="AT665" s="307">
        <f>Table22[[#This Row],[Column1]]</f>
        <v>0</v>
      </c>
    </row>
    <row r="666" spans="1:46" x14ac:dyDescent="0.3">
      <c r="A666" s="307">
        <f t="shared" si="201"/>
        <v>0</v>
      </c>
      <c r="B666" s="307">
        <f t="shared" si="190"/>
        <v>0</v>
      </c>
      <c r="C666" s="308" t="s">
        <v>563</v>
      </c>
      <c r="D666" s="309" t="s">
        <v>563</v>
      </c>
      <c r="E666" s="310">
        <v>0</v>
      </c>
      <c r="F666" s="310">
        <v>0</v>
      </c>
      <c r="G666" s="311">
        <v>0</v>
      </c>
      <c r="H666" s="310" t="s">
        <v>563</v>
      </c>
      <c r="I666" s="310" t="s">
        <v>563</v>
      </c>
      <c r="J666" s="310" t="s">
        <v>563</v>
      </c>
      <c r="K666" s="312">
        <v>0</v>
      </c>
      <c r="L666" s="310">
        <v>0</v>
      </c>
      <c r="M666" s="310">
        <v>0</v>
      </c>
      <c r="N666" s="313">
        <v>0</v>
      </c>
      <c r="O666" s="314" t="s">
        <v>563</v>
      </c>
      <c r="P666" s="307">
        <f t="shared" si="195"/>
        <v>0</v>
      </c>
      <c r="R666" s="91" t="str">
        <f t="shared" si="191"/>
        <v/>
      </c>
      <c r="S66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6" s="307" t="str">
        <f t="shared" si="197"/>
        <v/>
      </c>
      <c r="U666" s="315" t="str">
        <f t="shared" si="198"/>
        <v/>
      </c>
      <c r="V666" s="307">
        <f t="shared" si="202"/>
        <v>0</v>
      </c>
      <c r="W666" s="307">
        <f>IFERROR(IF(V666&gt;0,PROPER(Terbilang1(V666)&amp;" Rupiah"),0),"")</f>
        <v>0</v>
      </c>
      <c r="X666" s="90" t="str">
        <f t="shared" si="203"/>
        <v/>
      </c>
      <c r="Y666" s="307" t="str">
        <f t="shared" si="204"/>
        <v/>
      </c>
      <c r="Z666" s="307">
        <f t="shared" si="199"/>
        <v>0</v>
      </c>
      <c r="AA666" s="366">
        <f t="shared" si="200"/>
        <v>0</v>
      </c>
      <c r="AB666" s="367">
        <f t="shared" si="205"/>
        <v>0</v>
      </c>
      <c r="AC666" s="305">
        <f t="shared" si="206"/>
        <v>0</v>
      </c>
      <c r="AP666" s="89" t="str">
        <f t="shared" si="194"/>
        <v/>
      </c>
      <c r="AQ666" s="89" t="str">
        <f t="shared" si="192"/>
        <v/>
      </c>
      <c r="AR666" s="315" t="str">
        <f t="shared" si="193"/>
        <v/>
      </c>
      <c r="AS666" s="305" t="str">
        <f t="shared" si="207"/>
        <v>0</v>
      </c>
      <c r="AT666" s="307">
        <f>Table22[[#This Row],[Column1]]</f>
        <v>0</v>
      </c>
    </row>
    <row r="667" spans="1:46" x14ac:dyDescent="0.3">
      <c r="A667" s="307">
        <f t="shared" si="201"/>
        <v>0</v>
      </c>
      <c r="B667" s="307">
        <f t="shared" si="190"/>
        <v>0</v>
      </c>
      <c r="C667" s="308" t="s">
        <v>563</v>
      </c>
      <c r="D667" s="309" t="s">
        <v>563</v>
      </c>
      <c r="E667" s="310">
        <v>0</v>
      </c>
      <c r="F667" s="310">
        <v>0</v>
      </c>
      <c r="G667" s="311">
        <v>0</v>
      </c>
      <c r="H667" s="310" t="s">
        <v>563</v>
      </c>
      <c r="I667" s="310" t="s">
        <v>563</v>
      </c>
      <c r="J667" s="310" t="s">
        <v>563</v>
      </c>
      <c r="K667" s="312">
        <v>0</v>
      </c>
      <c r="L667" s="310">
        <v>0</v>
      </c>
      <c r="M667" s="310">
        <v>0</v>
      </c>
      <c r="N667" s="313">
        <v>0</v>
      </c>
      <c r="O667" s="314" t="s">
        <v>563</v>
      </c>
      <c r="P667" s="307">
        <f t="shared" si="195"/>
        <v>0</v>
      </c>
      <c r="R667" s="91" t="str">
        <f t="shared" si="191"/>
        <v/>
      </c>
      <c r="S66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7" s="307" t="str">
        <f t="shared" si="197"/>
        <v/>
      </c>
      <c r="U667" s="315" t="str">
        <f t="shared" si="198"/>
        <v/>
      </c>
      <c r="V667" s="307">
        <f t="shared" si="202"/>
        <v>0</v>
      </c>
      <c r="W667" s="307">
        <f>IFERROR(IF(V667&gt;0,PROPER(Terbilang1(V667)&amp;" Rupiah"),0),"")</f>
        <v>0</v>
      </c>
      <c r="X667" s="90" t="str">
        <f t="shared" si="203"/>
        <v/>
      </c>
      <c r="Y667" s="307" t="str">
        <f t="shared" si="204"/>
        <v/>
      </c>
      <c r="Z667" s="307">
        <f t="shared" si="199"/>
        <v>0</v>
      </c>
      <c r="AA667" s="366">
        <f t="shared" si="200"/>
        <v>0</v>
      </c>
      <c r="AB667" s="367">
        <f t="shared" si="205"/>
        <v>0</v>
      </c>
      <c r="AC667" s="305">
        <f t="shared" si="206"/>
        <v>0</v>
      </c>
      <c r="AP667" s="89" t="str">
        <f t="shared" si="194"/>
        <v/>
      </c>
      <c r="AQ667" s="89" t="str">
        <f t="shared" si="192"/>
        <v/>
      </c>
      <c r="AR667" s="315" t="str">
        <f t="shared" si="193"/>
        <v/>
      </c>
      <c r="AS667" s="305" t="str">
        <f t="shared" si="207"/>
        <v>0</v>
      </c>
      <c r="AT667" s="307">
        <f>Table22[[#This Row],[Column1]]</f>
        <v>0</v>
      </c>
    </row>
    <row r="668" spans="1:46" x14ac:dyDescent="0.3">
      <c r="A668" s="307">
        <f t="shared" si="201"/>
        <v>0</v>
      </c>
      <c r="B668" s="307">
        <f t="shared" si="190"/>
        <v>0</v>
      </c>
      <c r="C668" s="308" t="s">
        <v>563</v>
      </c>
      <c r="D668" s="309" t="s">
        <v>563</v>
      </c>
      <c r="E668" s="310">
        <v>0</v>
      </c>
      <c r="F668" s="310">
        <v>0</v>
      </c>
      <c r="G668" s="311">
        <v>0</v>
      </c>
      <c r="H668" s="310" t="s">
        <v>563</v>
      </c>
      <c r="I668" s="310" t="s">
        <v>563</v>
      </c>
      <c r="J668" s="310" t="s">
        <v>563</v>
      </c>
      <c r="K668" s="312">
        <v>0</v>
      </c>
      <c r="L668" s="310">
        <v>0</v>
      </c>
      <c r="M668" s="310">
        <v>0</v>
      </c>
      <c r="N668" s="313">
        <v>0</v>
      </c>
      <c r="O668" s="314" t="s">
        <v>563</v>
      </c>
      <c r="P668" s="307">
        <f t="shared" si="195"/>
        <v>0</v>
      </c>
      <c r="R668" s="91" t="str">
        <f t="shared" si="191"/>
        <v/>
      </c>
      <c r="S66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8" s="307" t="str">
        <f t="shared" si="197"/>
        <v/>
      </c>
      <c r="U668" s="315" t="str">
        <f t="shared" si="198"/>
        <v/>
      </c>
      <c r="V668" s="307">
        <f t="shared" si="202"/>
        <v>0</v>
      </c>
      <c r="W668" s="307">
        <f>IFERROR(IF(V668&gt;0,PROPER(Terbilang1(V668)&amp;" Rupiah"),0),"")</f>
        <v>0</v>
      </c>
      <c r="X668" s="90" t="str">
        <f t="shared" si="203"/>
        <v/>
      </c>
      <c r="Y668" s="307" t="str">
        <f t="shared" si="204"/>
        <v/>
      </c>
      <c r="Z668" s="307">
        <f t="shared" si="199"/>
        <v>0</v>
      </c>
      <c r="AA668" s="366">
        <f t="shared" si="200"/>
        <v>0</v>
      </c>
      <c r="AB668" s="367">
        <f t="shared" si="205"/>
        <v>0</v>
      </c>
      <c r="AC668" s="305">
        <f t="shared" si="206"/>
        <v>0</v>
      </c>
      <c r="AP668" s="89" t="str">
        <f t="shared" si="194"/>
        <v/>
      </c>
      <c r="AQ668" s="89" t="str">
        <f t="shared" si="192"/>
        <v/>
      </c>
      <c r="AR668" s="315" t="str">
        <f t="shared" si="193"/>
        <v/>
      </c>
      <c r="AS668" s="305" t="str">
        <f t="shared" si="207"/>
        <v>0</v>
      </c>
      <c r="AT668" s="307">
        <f>Table22[[#This Row],[Column1]]</f>
        <v>0</v>
      </c>
    </row>
    <row r="669" spans="1:46" x14ac:dyDescent="0.3">
      <c r="A669" s="307">
        <f t="shared" si="201"/>
        <v>0</v>
      </c>
      <c r="B669" s="307">
        <f t="shared" si="190"/>
        <v>0</v>
      </c>
      <c r="C669" s="308" t="s">
        <v>563</v>
      </c>
      <c r="D669" s="309" t="s">
        <v>563</v>
      </c>
      <c r="E669" s="310">
        <v>0</v>
      </c>
      <c r="F669" s="310">
        <v>0</v>
      </c>
      <c r="G669" s="311">
        <v>0</v>
      </c>
      <c r="H669" s="310" t="s">
        <v>563</v>
      </c>
      <c r="I669" s="310" t="s">
        <v>563</v>
      </c>
      <c r="J669" s="310" t="s">
        <v>563</v>
      </c>
      <c r="K669" s="312">
        <v>0</v>
      </c>
      <c r="L669" s="310">
        <v>0</v>
      </c>
      <c r="M669" s="310">
        <v>0</v>
      </c>
      <c r="N669" s="313">
        <v>0</v>
      </c>
      <c r="O669" s="314" t="s">
        <v>563</v>
      </c>
      <c r="P669" s="307">
        <f t="shared" si="195"/>
        <v>0</v>
      </c>
      <c r="R669" s="91" t="str">
        <f t="shared" si="191"/>
        <v/>
      </c>
      <c r="S66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69" s="307" t="str">
        <f t="shared" si="197"/>
        <v/>
      </c>
      <c r="U669" s="315" t="str">
        <f t="shared" si="198"/>
        <v/>
      </c>
      <c r="V669" s="307">
        <f t="shared" si="202"/>
        <v>0</v>
      </c>
      <c r="W669" s="307">
        <f>IFERROR(IF(V669&gt;0,PROPER(Terbilang1(V669)&amp;" Rupiah"),0),"")</f>
        <v>0</v>
      </c>
      <c r="X669" s="90" t="str">
        <f t="shared" si="203"/>
        <v/>
      </c>
      <c r="Y669" s="307" t="str">
        <f t="shared" si="204"/>
        <v/>
      </c>
      <c r="Z669" s="307">
        <f t="shared" si="199"/>
        <v>0</v>
      </c>
      <c r="AA669" s="366">
        <f t="shared" si="200"/>
        <v>0</v>
      </c>
      <c r="AB669" s="367">
        <f t="shared" si="205"/>
        <v>0</v>
      </c>
      <c r="AC669" s="305">
        <f t="shared" si="206"/>
        <v>0</v>
      </c>
      <c r="AP669" s="89" t="str">
        <f t="shared" si="194"/>
        <v/>
      </c>
      <c r="AQ669" s="89" t="str">
        <f t="shared" si="192"/>
        <v/>
      </c>
      <c r="AR669" s="315" t="str">
        <f t="shared" si="193"/>
        <v/>
      </c>
      <c r="AS669" s="305" t="str">
        <f t="shared" si="207"/>
        <v>0</v>
      </c>
      <c r="AT669" s="307">
        <f>Table22[[#This Row],[Column1]]</f>
        <v>0</v>
      </c>
    </row>
    <row r="670" spans="1:46" x14ac:dyDescent="0.3">
      <c r="A670" s="307">
        <f t="shared" si="201"/>
        <v>0</v>
      </c>
      <c r="B670" s="307">
        <f t="shared" si="190"/>
        <v>0</v>
      </c>
      <c r="C670" s="308" t="s">
        <v>563</v>
      </c>
      <c r="D670" s="309" t="s">
        <v>563</v>
      </c>
      <c r="E670" s="310">
        <v>0</v>
      </c>
      <c r="F670" s="310">
        <v>0</v>
      </c>
      <c r="G670" s="311">
        <v>0</v>
      </c>
      <c r="H670" s="310" t="s">
        <v>563</v>
      </c>
      <c r="I670" s="310" t="s">
        <v>563</v>
      </c>
      <c r="J670" s="310" t="s">
        <v>563</v>
      </c>
      <c r="K670" s="312">
        <v>0</v>
      </c>
      <c r="L670" s="310">
        <v>0</v>
      </c>
      <c r="M670" s="310">
        <v>0</v>
      </c>
      <c r="N670" s="313">
        <v>0</v>
      </c>
      <c r="O670" s="314" t="s">
        <v>563</v>
      </c>
      <c r="P670" s="307">
        <f t="shared" si="195"/>
        <v>0</v>
      </c>
      <c r="R670" s="91" t="str">
        <f t="shared" si="191"/>
        <v/>
      </c>
      <c r="S67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0" s="307" t="str">
        <f t="shared" si="197"/>
        <v/>
      </c>
      <c r="U670" s="315" t="str">
        <f t="shared" si="198"/>
        <v/>
      </c>
      <c r="V670" s="307">
        <f t="shared" si="202"/>
        <v>0</v>
      </c>
      <c r="W670" s="307">
        <f>IFERROR(IF(V670&gt;0,PROPER(Terbilang1(V670)&amp;" Rupiah"),0),"")</f>
        <v>0</v>
      </c>
      <c r="X670" s="90" t="str">
        <f t="shared" si="203"/>
        <v/>
      </c>
      <c r="Y670" s="307" t="str">
        <f t="shared" si="204"/>
        <v/>
      </c>
      <c r="Z670" s="307">
        <f t="shared" si="199"/>
        <v>0</v>
      </c>
      <c r="AA670" s="366">
        <f t="shared" si="200"/>
        <v>0</v>
      </c>
      <c r="AB670" s="367">
        <f t="shared" si="205"/>
        <v>0</v>
      </c>
      <c r="AC670" s="305">
        <f t="shared" si="206"/>
        <v>0</v>
      </c>
      <c r="AP670" s="89" t="str">
        <f t="shared" si="194"/>
        <v/>
      </c>
      <c r="AQ670" s="89" t="str">
        <f t="shared" si="192"/>
        <v/>
      </c>
      <c r="AR670" s="315" t="str">
        <f t="shared" si="193"/>
        <v/>
      </c>
      <c r="AS670" s="305" t="str">
        <f t="shared" si="207"/>
        <v>0</v>
      </c>
      <c r="AT670" s="307">
        <f>Table22[[#This Row],[Column1]]</f>
        <v>0</v>
      </c>
    </row>
    <row r="671" spans="1:46" x14ac:dyDescent="0.3">
      <c r="A671" s="307">
        <f t="shared" si="201"/>
        <v>0</v>
      </c>
      <c r="B671" s="307">
        <f t="shared" si="190"/>
        <v>0</v>
      </c>
      <c r="C671" s="308" t="s">
        <v>563</v>
      </c>
      <c r="D671" s="309" t="s">
        <v>563</v>
      </c>
      <c r="E671" s="310">
        <v>0</v>
      </c>
      <c r="F671" s="310">
        <v>0</v>
      </c>
      <c r="G671" s="311">
        <v>0</v>
      </c>
      <c r="H671" s="310" t="s">
        <v>563</v>
      </c>
      <c r="I671" s="310" t="s">
        <v>563</v>
      </c>
      <c r="J671" s="310" t="s">
        <v>563</v>
      </c>
      <c r="K671" s="312">
        <v>0</v>
      </c>
      <c r="L671" s="310">
        <v>0</v>
      </c>
      <c r="M671" s="310">
        <v>0</v>
      </c>
      <c r="N671" s="313">
        <v>0</v>
      </c>
      <c r="O671" s="314" t="s">
        <v>563</v>
      </c>
      <c r="P671" s="307">
        <f t="shared" si="195"/>
        <v>0</v>
      </c>
      <c r="R671" s="91" t="str">
        <f t="shared" si="191"/>
        <v/>
      </c>
      <c r="S67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1" s="307" t="str">
        <f t="shared" si="197"/>
        <v/>
      </c>
      <c r="U671" s="315" t="str">
        <f t="shared" si="198"/>
        <v/>
      </c>
      <c r="V671" s="307">
        <f t="shared" si="202"/>
        <v>0</v>
      </c>
      <c r="W671" s="307">
        <f>IFERROR(IF(V671&gt;0,PROPER(Terbilang1(V671)&amp;" Rupiah"),0),"")</f>
        <v>0</v>
      </c>
      <c r="X671" s="90" t="str">
        <f t="shared" si="203"/>
        <v/>
      </c>
      <c r="Y671" s="307" t="str">
        <f t="shared" si="204"/>
        <v/>
      </c>
      <c r="Z671" s="307">
        <f t="shared" si="199"/>
        <v>0</v>
      </c>
      <c r="AA671" s="366">
        <f t="shared" si="200"/>
        <v>0</v>
      </c>
      <c r="AB671" s="367">
        <f t="shared" si="205"/>
        <v>0</v>
      </c>
      <c r="AC671" s="305">
        <f t="shared" si="206"/>
        <v>0</v>
      </c>
      <c r="AP671" s="89" t="str">
        <f t="shared" si="194"/>
        <v/>
      </c>
      <c r="AQ671" s="89" t="str">
        <f t="shared" si="192"/>
        <v/>
      </c>
      <c r="AR671" s="315" t="str">
        <f t="shared" si="193"/>
        <v/>
      </c>
      <c r="AS671" s="305" t="str">
        <f t="shared" si="207"/>
        <v>0</v>
      </c>
      <c r="AT671" s="307">
        <f>Table22[[#This Row],[Column1]]</f>
        <v>0</v>
      </c>
    </row>
    <row r="672" spans="1:46" x14ac:dyDescent="0.3">
      <c r="A672" s="307">
        <f t="shared" si="201"/>
        <v>0</v>
      </c>
      <c r="B672" s="307">
        <f t="shared" si="190"/>
        <v>0</v>
      </c>
      <c r="C672" s="308" t="s">
        <v>563</v>
      </c>
      <c r="D672" s="309" t="s">
        <v>563</v>
      </c>
      <c r="E672" s="310">
        <v>0</v>
      </c>
      <c r="F672" s="310">
        <v>0</v>
      </c>
      <c r="G672" s="311">
        <v>0</v>
      </c>
      <c r="H672" s="310" t="s">
        <v>563</v>
      </c>
      <c r="I672" s="310" t="s">
        <v>563</v>
      </c>
      <c r="J672" s="310" t="s">
        <v>563</v>
      </c>
      <c r="K672" s="312">
        <v>0</v>
      </c>
      <c r="L672" s="310">
        <v>0</v>
      </c>
      <c r="M672" s="310">
        <v>0</v>
      </c>
      <c r="N672" s="313">
        <v>0</v>
      </c>
      <c r="O672" s="314" t="s">
        <v>563</v>
      </c>
      <c r="P672" s="307">
        <f t="shared" si="195"/>
        <v>0</v>
      </c>
      <c r="R672" s="91" t="str">
        <f t="shared" si="191"/>
        <v/>
      </c>
      <c r="S67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2" s="307" t="str">
        <f t="shared" si="197"/>
        <v/>
      </c>
      <c r="U672" s="315" t="str">
        <f t="shared" si="198"/>
        <v/>
      </c>
      <c r="V672" s="307">
        <f t="shared" si="202"/>
        <v>0</v>
      </c>
      <c r="W672" s="307">
        <f>IFERROR(IF(V672&gt;0,PROPER(Terbilang1(V672)&amp;" Rupiah"),0),"")</f>
        <v>0</v>
      </c>
      <c r="X672" s="90" t="str">
        <f t="shared" si="203"/>
        <v/>
      </c>
      <c r="Y672" s="307" t="str">
        <f t="shared" si="204"/>
        <v/>
      </c>
      <c r="Z672" s="307">
        <f t="shared" si="199"/>
        <v>0</v>
      </c>
      <c r="AA672" s="366">
        <f t="shared" si="200"/>
        <v>0</v>
      </c>
      <c r="AB672" s="367">
        <f t="shared" si="205"/>
        <v>0</v>
      </c>
      <c r="AC672" s="305">
        <f t="shared" si="206"/>
        <v>0</v>
      </c>
      <c r="AP672" s="89" t="str">
        <f t="shared" si="194"/>
        <v/>
      </c>
      <c r="AQ672" s="89" t="str">
        <f t="shared" si="192"/>
        <v/>
      </c>
      <c r="AR672" s="315" t="str">
        <f t="shared" si="193"/>
        <v/>
      </c>
      <c r="AS672" s="305" t="str">
        <f t="shared" si="207"/>
        <v>0</v>
      </c>
      <c r="AT672" s="307">
        <f>Table22[[#This Row],[Column1]]</f>
        <v>0</v>
      </c>
    </row>
    <row r="673" spans="1:46" x14ac:dyDescent="0.3">
      <c r="A673" s="307">
        <f t="shared" si="201"/>
        <v>0</v>
      </c>
      <c r="B673" s="307">
        <f t="shared" si="190"/>
        <v>0</v>
      </c>
      <c r="C673" s="308" t="s">
        <v>563</v>
      </c>
      <c r="D673" s="309" t="s">
        <v>563</v>
      </c>
      <c r="E673" s="310">
        <v>0</v>
      </c>
      <c r="F673" s="310">
        <v>0</v>
      </c>
      <c r="G673" s="311">
        <v>0</v>
      </c>
      <c r="H673" s="310" t="s">
        <v>563</v>
      </c>
      <c r="I673" s="310" t="s">
        <v>563</v>
      </c>
      <c r="J673" s="310" t="s">
        <v>563</v>
      </c>
      <c r="K673" s="312">
        <v>0</v>
      </c>
      <c r="L673" s="310">
        <v>0</v>
      </c>
      <c r="M673" s="310">
        <v>0</v>
      </c>
      <c r="N673" s="313">
        <v>0</v>
      </c>
      <c r="O673" s="314" t="s">
        <v>563</v>
      </c>
      <c r="P673" s="307">
        <f t="shared" si="195"/>
        <v>0</v>
      </c>
      <c r="R673" s="91" t="str">
        <f t="shared" si="191"/>
        <v/>
      </c>
      <c r="S67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3" s="307" t="str">
        <f t="shared" si="197"/>
        <v/>
      </c>
      <c r="U673" s="315" t="str">
        <f t="shared" si="198"/>
        <v/>
      </c>
      <c r="V673" s="307">
        <f t="shared" si="202"/>
        <v>0</v>
      </c>
      <c r="W673" s="307">
        <f>IFERROR(IF(V673&gt;0,PROPER(Terbilang1(V673)&amp;" Rupiah"),0),"")</f>
        <v>0</v>
      </c>
      <c r="X673" s="90" t="str">
        <f t="shared" si="203"/>
        <v/>
      </c>
      <c r="Y673" s="307" t="str">
        <f t="shared" si="204"/>
        <v/>
      </c>
      <c r="Z673" s="307">
        <f t="shared" si="199"/>
        <v>0</v>
      </c>
      <c r="AA673" s="366">
        <f t="shared" si="200"/>
        <v>0</v>
      </c>
      <c r="AB673" s="367">
        <f t="shared" si="205"/>
        <v>0</v>
      </c>
      <c r="AC673" s="305">
        <f t="shared" si="206"/>
        <v>0</v>
      </c>
      <c r="AP673" s="89" t="str">
        <f t="shared" si="194"/>
        <v/>
      </c>
      <c r="AQ673" s="89" t="str">
        <f t="shared" si="192"/>
        <v/>
      </c>
      <c r="AR673" s="315" t="str">
        <f t="shared" si="193"/>
        <v/>
      </c>
      <c r="AS673" s="305" t="str">
        <f t="shared" si="207"/>
        <v>0</v>
      </c>
      <c r="AT673" s="307">
        <f>Table22[[#This Row],[Column1]]</f>
        <v>0</v>
      </c>
    </row>
    <row r="674" spans="1:46" x14ac:dyDescent="0.3">
      <c r="A674" s="307">
        <f t="shared" si="201"/>
        <v>0</v>
      </c>
      <c r="B674" s="307">
        <f t="shared" si="190"/>
        <v>0</v>
      </c>
      <c r="C674" s="308" t="s">
        <v>563</v>
      </c>
      <c r="D674" s="309" t="s">
        <v>563</v>
      </c>
      <c r="E674" s="310">
        <v>0</v>
      </c>
      <c r="F674" s="310">
        <v>0</v>
      </c>
      <c r="G674" s="311">
        <v>0</v>
      </c>
      <c r="H674" s="310" t="s">
        <v>563</v>
      </c>
      <c r="I674" s="310" t="s">
        <v>563</v>
      </c>
      <c r="J674" s="310" t="s">
        <v>563</v>
      </c>
      <c r="K674" s="312">
        <v>0</v>
      </c>
      <c r="L674" s="310">
        <v>0</v>
      </c>
      <c r="M674" s="310">
        <v>0</v>
      </c>
      <c r="N674" s="313">
        <v>0</v>
      </c>
      <c r="O674" s="314" t="s">
        <v>563</v>
      </c>
      <c r="P674" s="307">
        <f t="shared" si="195"/>
        <v>0</v>
      </c>
      <c r="R674" s="91" t="str">
        <f t="shared" si="191"/>
        <v/>
      </c>
      <c r="S67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4" s="307" t="str">
        <f t="shared" si="197"/>
        <v/>
      </c>
      <c r="U674" s="315" t="str">
        <f t="shared" si="198"/>
        <v/>
      </c>
      <c r="V674" s="307">
        <f t="shared" si="202"/>
        <v>0</v>
      </c>
      <c r="W674" s="307">
        <f>IFERROR(IF(V674&gt;0,PROPER(Terbilang1(V674)&amp;" Rupiah"),0),"")</f>
        <v>0</v>
      </c>
      <c r="X674" s="90" t="str">
        <f t="shared" si="203"/>
        <v/>
      </c>
      <c r="Y674" s="307" t="str">
        <f t="shared" si="204"/>
        <v/>
      </c>
      <c r="Z674" s="307">
        <f t="shared" si="199"/>
        <v>0</v>
      </c>
      <c r="AA674" s="366">
        <f t="shared" si="200"/>
        <v>0</v>
      </c>
      <c r="AB674" s="367">
        <f t="shared" si="205"/>
        <v>0</v>
      </c>
      <c r="AC674" s="305">
        <f t="shared" si="206"/>
        <v>0</v>
      </c>
      <c r="AP674" s="89" t="str">
        <f t="shared" si="194"/>
        <v/>
      </c>
      <c r="AQ674" s="89" t="str">
        <f t="shared" si="192"/>
        <v/>
      </c>
      <c r="AR674" s="315" t="str">
        <f t="shared" si="193"/>
        <v/>
      </c>
      <c r="AS674" s="305" t="str">
        <f t="shared" si="207"/>
        <v>0</v>
      </c>
      <c r="AT674" s="307">
        <f>Table22[[#This Row],[Column1]]</f>
        <v>0</v>
      </c>
    </row>
    <row r="675" spans="1:46" x14ac:dyDescent="0.3">
      <c r="A675" s="307">
        <f t="shared" si="201"/>
        <v>0</v>
      </c>
      <c r="B675" s="307">
        <f t="shared" si="190"/>
        <v>0</v>
      </c>
      <c r="C675" s="308" t="s">
        <v>563</v>
      </c>
      <c r="D675" s="309" t="s">
        <v>563</v>
      </c>
      <c r="E675" s="310">
        <v>0</v>
      </c>
      <c r="F675" s="310">
        <v>0</v>
      </c>
      <c r="G675" s="311">
        <v>0</v>
      </c>
      <c r="H675" s="310" t="s">
        <v>563</v>
      </c>
      <c r="I675" s="310" t="s">
        <v>563</v>
      </c>
      <c r="J675" s="310" t="s">
        <v>563</v>
      </c>
      <c r="K675" s="312">
        <v>0</v>
      </c>
      <c r="L675" s="310">
        <v>0</v>
      </c>
      <c r="M675" s="310">
        <v>0</v>
      </c>
      <c r="N675" s="313">
        <v>0</v>
      </c>
      <c r="O675" s="314" t="s">
        <v>563</v>
      </c>
      <c r="P675" s="307">
        <f t="shared" si="195"/>
        <v>0</v>
      </c>
      <c r="R675" s="91" t="str">
        <f t="shared" si="191"/>
        <v/>
      </c>
      <c r="S67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5" s="307" t="str">
        <f t="shared" si="197"/>
        <v/>
      </c>
      <c r="U675" s="315" t="str">
        <f t="shared" si="198"/>
        <v/>
      </c>
      <c r="V675" s="307">
        <f t="shared" si="202"/>
        <v>0</v>
      </c>
      <c r="W675" s="307">
        <f>IFERROR(IF(V675&gt;0,PROPER(Terbilang1(V675)&amp;" Rupiah"),0),"")</f>
        <v>0</v>
      </c>
      <c r="X675" s="90" t="str">
        <f t="shared" si="203"/>
        <v/>
      </c>
      <c r="Y675" s="307" t="str">
        <f t="shared" si="204"/>
        <v/>
      </c>
      <c r="Z675" s="307">
        <f t="shared" si="199"/>
        <v>0</v>
      </c>
      <c r="AA675" s="366">
        <f t="shared" si="200"/>
        <v>0</v>
      </c>
      <c r="AB675" s="367">
        <f t="shared" si="205"/>
        <v>0</v>
      </c>
      <c r="AC675" s="305">
        <f t="shared" si="206"/>
        <v>0</v>
      </c>
      <c r="AP675" s="89" t="str">
        <f t="shared" si="194"/>
        <v/>
      </c>
      <c r="AQ675" s="89" t="str">
        <f t="shared" si="192"/>
        <v/>
      </c>
      <c r="AR675" s="315" t="str">
        <f t="shared" si="193"/>
        <v/>
      </c>
      <c r="AS675" s="305" t="str">
        <f t="shared" si="207"/>
        <v>0</v>
      </c>
      <c r="AT675" s="307">
        <f>Table22[[#This Row],[Column1]]</f>
        <v>0</v>
      </c>
    </row>
    <row r="676" spans="1:46" x14ac:dyDescent="0.3">
      <c r="A676" s="307">
        <f t="shared" si="201"/>
        <v>0</v>
      </c>
      <c r="B676" s="307">
        <f t="shared" si="190"/>
        <v>0</v>
      </c>
      <c r="C676" s="308" t="s">
        <v>563</v>
      </c>
      <c r="D676" s="309" t="s">
        <v>563</v>
      </c>
      <c r="E676" s="310">
        <v>0</v>
      </c>
      <c r="F676" s="310">
        <v>0</v>
      </c>
      <c r="G676" s="311">
        <v>0</v>
      </c>
      <c r="H676" s="310" t="s">
        <v>563</v>
      </c>
      <c r="I676" s="310" t="s">
        <v>563</v>
      </c>
      <c r="J676" s="310" t="s">
        <v>563</v>
      </c>
      <c r="K676" s="312">
        <v>0</v>
      </c>
      <c r="L676" s="310">
        <v>0</v>
      </c>
      <c r="M676" s="310">
        <v>0</v>
      </c>
      <c r="N676" s="313">
        <v>0</v>
      </c>
      <c r="O676" s="314" t="s">
        <v>563</v>
      </c>
      <c r="P676" s="307">
        <f t="shared" si="195"/>
        <v>0</v>
      </c>
      <c r="R676" s="91" t="str">
        <f t="shared" si="191"/>
        <v/>
      </c>
      <c r="S67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6" s="307" t="str">
        <f t="shared" si="197"/>
        <v/>
      </c>
      <c r="U676" s="315" t="str">
        <f t="shared" si="198"/>
        <v/>
      </c>
      <c r="V676" s="307">
        <f t="shared" si="202"/>
        <v>0</v>
      </c>
      <c r="W676" s="307">
        <f>IFERROR(IF(V676&gt;0,PROPER(Terbilang1(V676)&amp;" Rupiah"),0),"")</f>
        <v>0</v>
      </c>
      <c r="X676" s="90" t="str">
        <f t="shared" si="203"/>
        <v/>
      </c>
      <c r="Y676" s="307" t="str">
        <f t="shared" si="204"/>
        <v/>
      </c>
      <c r="Z676" s="307">
        <f t="shared" si="199"/>
        <v>0</v>
      </c>
      <c r="AA676" s="366">
        <f t="shared" si="200"/>
        <v>0</v>
      </c>
      <c r="AB676" s="367">
        <f t="shared" si="205"/>
        <v>0</v>
      </c>
      <c r="AC676" s="305">
        <f t="shared" si="206"/>
        <v>0</v>
      </c>
      <c r="AP676" s="89" t="str">
        <f t="shared" si="194"/>
        <v/>
      </c>
      <c r="AQ676" s="89" t="str">
        <f t="shared" si="192"/>
        <v/>
      </c>
      <c r="AR676" s="315" t="str">
        <f t="shared" si="193"/>
        <v/>
      </c>
      <c r="AS676" s="305" t="str">
        <f t="shared" si="207"/>
        <v>0</v>
      </c>
      <c r="AT676" s="307">
        <f>Table22[[#This Row],[Column1]]</f>
        <v>0</v>
      </c>
    </row>
    <row r="677" spans="1:46" x14ac:dyDescent="0.3">
      <c r="A677" s="307">
        <f t="shared" si="201"/>
        <v>0</v>
      </c>
      <c r="B677" s="307">
        <f t="shared" ref="B677:B740" si="208">IF(LEFT(F677,2)="MA","Jasa",IF(LEFT(F677,1)="G","Bayar Ongkos",IF(LEFT(F677,1)="M","Beli",0)))</f>
        <v>0</v>
      </c>
      <c r="C677" s="308" t="s">
        <v>563</v>
      </c>
      <c r="D677" s="309" t="s">
        <v>563</v>
      </c>
      <c r="E677" s="310">
        <v>0</v>
      </c>
      <c r="F677" s="310">
        <v>0</v>
      </c>
      <c r="G677" s="311">
        <v>0</v>
      </c>
      <c r="H677" s="310" t="s">
        <v>563</v>
      </c>
      <c r="I677" s="310" t="s">
        <v>563</v>
      </c>
      <c r="J677" s="310" t="s">
        <v>563</v>
      </c>
      <c r="K677" s="312">
        <v>0</v>
      </c>
      <c r="L677" s="310">
        <v>0</v>
      </c>
      <c r="M677" s="310">
        <v>0</v>
      </c>
      <c r="N677" s="313">
        <v>0</v>
      </c>
      <c r="O677" s="314" t="s">
        <v>563</v>
      </c>
      <c r="P677" s="307">
        <f t="shared" si="195"/>
        <v>0</v>
      </c>
      <c r="R677" s="91" t="str">
        <f t="shared" ref="R677:R740" si="209">IF(LEFT(F677,2)="ma",F677,IF(LEFT(F677,1)="m",E677,IF(LEFT(F677,1)="b",E677,IF(LEFT(F677,1)="G",F677,""))))</f>
        <v/>
      </c>
      <c r="S67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7" s="307" t="str">
        <f t="shared" si="197"/>
        <v/>
      </c>
      <c r="U677" s="315" t="str">
        <f t="shared" si="198"/>
        <v/>
      </c>
      <c r="V677" s="307">
        <f t="shared" si="202"/>
        <v>0</v>
      </c>
      <c r="W677" s="307">
        <f>IFERROR(IF(V677&gt;0,PROPER(Terbilang1(V677)&amp;" Rupiah"),0),"")</f>
        <v>0</v>
      </c>
      <c r="X677" s="90" t="str">
        <f t="shared" si="203"/>
        <v/>
      </c>
      <c r="Y677" s="307" t="str">
        <f t="shared" si="204"/>
        <v/>
      </c>
      <c r="Z677" s="307">
        <f t="shared" si="199"/>
        <v>0</v>
      </c>
      <c r="AA677" s="366">
        <f t="shared" si="200"/>
        <v>0</v>
      </c>
      <c r="AB677" s="367">
        <f t="shared" si="205"/>
        <v>0</v>
      </c>
      <c r="AC677" s="305">
        <f t="shared" si="206"/>
        <v>0</v>
      </c>
      <c r="AP677" s="89" t="str">
        <f t="shared" si="194"/>
        <v/>
      </c>
      <c r="AQ677" s="89" t="str">
        <f t="shared" si="192"/>
        <v/>
      </c>
      <c r="AR677" s="315" t="str">
        <f t="shared" si="193"/>
        <v/>
      </c>
      <c r="AS677" s="305" t="str">
        <f t="shared" si="207"/>
        <v>0</v>
      </c>
      <c r="AT677" s="307">
        <f>Table22[[#This Row],[Column1]]</f>
        <v>0</v>
      </c>
    </row>
    <row r="678" spans="1:46" x14ac:dyDescent="0.3">
      <c r="A678" s="307">
        <f t="shared" si="201"/>
        <v>0</v>
      </c>
      <c r="B678" s="307">
        <f t="shared" si="208"/>
        <v>0</v>
      </c>
      <c r="C678" s="308" t="s">
        <v>563</v>
      </c>
      <c r="D678" s="309" t="s">
        <v>563</v>
      </c>
      <c r="E678" s="310">
        <v>0</v>
      </c>
      <c r="F678" s="310">
        <v>0</v>
      </c>
      <c r="G678" s="311">
        <v>0</v>
      </c>
      <c r="H678" s="310" t="s">
        <v>563</v>
      </c>
      <c r="I678" s="310" t="s">
        <v>563</v>
      </c>
      <c r="J678" s="310" t="s">
        <v>563</v>
      </c>
      <c r="K678" s="312">
        <v>0</v>
      </c>
      <c r="L678" s="310">
        <v>0</v>
      </c>
      <c r="M678" s="310">
        <v>0</v>
      </c>
      <c r="N678" s="313">
        <v>0</v>
      </c>
      <c r="O678" s="314" t="s">
        <v>563</v>
      </c>
      <c r="P678" s="307">
        <f t="shared" si="195"/>
        <v>0</v>
      </c>
      <c r="R678" s="91" t="str">
        <f t="shared" si="209"/>
        <v/>
      </c>
      <c r="S67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8" s="307" t="str">
        <f t="shared" si="197"/>
        <v/>
      </c>
      <c r="U678" s="315" t="str">
        <f t="shared" si="198"/>
        <v/>
      </c>
      <c r="V678" s="307">
        <f t="shared" si="202"/>
        <v>0</v>
      </c>
      <c r="W678" s="307">
        <f>IFERROR(IF(V678&gt;0,PROPER(Terbilang1(V678)&amp;" Rupiah"),0),"")</f>
        <v>0</v>
      </c>
      <c r="X678" s="90" t="str">
        <f t="shared" si="203"/>
        <v/>
      </c>
      <c r="Y678" s="307" t="str">
        <f t="shared" si="204"/>
        <v/>
      </c>
      <c r="Z678" s="307">
        <f t="shared" si="199"/>
        <v>0</v>
      </c>
      <c r="AA678" s="366">
        <f t="shared" si="200"/>
        <v>0</v>
      </c>
      <c r="AB678" s="367">
        <f t="shared" si="205"/>
        <v>0</v>
      </c>
      <c r="AC678" s="305">
        <f t="shared" si="206"/>
        <v>0</v>
      </c>
      <c r="AP678" s="89" t="str">
        <f t="shared" si="194"/>
        <v/>
      </c>
      <c r="AQ678" s="89" t="str">
        <f t="shared" si="192"/>
        <v/>
      </c>
      <c r="AR678" s="315" t="str">
        <f t="shared" si="193"/>
        <v/>
      </c>
      <c r="AS678" s="305" t="str">
        <f t="shared" si="207"/>
        <v>0</v>
      </c>
      <c r="AT678" s="307">
        <f>Table22[[#This Row],[Column1]]</f>
        <v>0</v>
      </c>
    </row>
    <row r="679" spans="1:46" x14ac:dyDescent="0.3">
      <c r="A679" s="307">
        <f t="shared" si="201"/>
        <v>0</v>
      </c>
      <c r="B679" s="307">
        <f t="shared" si="208"/>
        <v>0</v>
      </c>
      <c r="C679" s="308" t="s">
        <v>563</v>
      </c>
      <c r="D679" s="309" t="s">
        <v>563</v>
      </c>
      <c r="E679" s="310">
        <v>0</v>
      </c>
      <c r="F679" s="310">
        <v>0</v>
      </c>
      <c r="G679" s="311">
        <v>0</v>
      </c>
      <c r="H679" s="310" t="s">
        <v>563</v>
      </c>
      <c r="I679" s="310" t="s">
        <v>563</v>
      </c>
      <c r="J679" s="310" t="s">
        <v>563</v>
      </c>
      <c r="K679" s="312">
        <v>0</v>
      </c>
      <c r="L679" s="310">
        <v>0</v>
      </c>
      <c r="M679" s="310">
        <v>0</v>
      </c>
      <c r="N679" s="313">
        <v>0</v>
      </c>
      <c r="O679" s="314" t="s">
        <v>563</v>
      </c>
      <c r="P679" s="307">
        <f t="shared" si="195"/>
        <v>0</v>
      </c>
      <c r="R679" s="91" t="str">
        <f t="shared" si="209"/>
        <v/>
      </c>
      <c r="S67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79" s="307" t="str">
        <f t="shared" si="197"/>
        <v/>
      </c>
      <c r="U679" s="315" t="str">
        <f t="shared" si="198"/>
        <v/>
      </c>
      <c r="V679" s="307">
        <f t="shared" si="202"/>
        <v>0</v>
      </c>
      <c r="W679" s="307">
        <f>IFERROR(IF(V679&gt;0,PROPER(Terbilang1(V679)&amp;" Rupiah"),0),"")</f>
        <v>0</v>
      </c>
      <c r="X679" s="90" t="str">
        <f t="shared" si="203"/>
        <v/>
      </c>
      <c r="Y679" s="307" t="str">
        <f t="shared" si="204"/>
        <v/>
      </c>
      <c r="Z679" s="307">
        <f t="shared" si="199"/>
        <v>0</v>
      </c>
      <c r="AA679" s="366">
        <f t="shared" si="200"/>
        <v>0</v>
      </c>
      <c r="AB679" s="367">
        <f t="shared" si="205"/>
        <v>0</v>
      </c>
      <c r="AC679" s="305">
        <f t="shared" si="206"/>
        <v>0</v>
      </c>
      <c r="AP679" s="89" t="str">
        <f t="shared" si="194"/>
        <v/>
      </c>
      <c r="AQ679" s="89" t="str">
        <f t="shared" si="192"/>
        <v/>
      </c>
      <c r="AR679" s="315" t="str">
        <f t="shared" si="193"/>
        <v/>
      </c>
      <c r="AS679" s="305" t="str">
        <f t="shared" si="207"/>
        <v>0</v>
      </c>
      <c r="AT679" s="307">
        <f>Table22[[#This Row],[Column1]]</f>
        <v>0</v>
      </c>
    </row>
    <row r="680" spans="1:46" x14ac:dyDescent="0.3">
      <c r="A680" s="307">
        <f t="shared" si="201"/>
        <v>0</v>
      </c>
      <c r="B680" s="307">
        <f t="shared" si="208"/>
        <v>0</v>
      </c>
      <c r="C680" s="308" t="s">
        <v>563</v>
      </c>
      <c r="D680" s="309" t="s">
        <v>563</v>
      </c>
      <c r="E680" s="310">
        <v>0</v>
      </c>
      <c r="F680" s="310">
        <v>0</v>
      </c>
      <c r="G680" s="311">
        <v>0</v>
      </c>
      <c r="H680" s="310" t="s">
        <v>563</v>
      </c>
      <c r="I680" s="310" t="s">
        <v>563</v>
      </c>
      <c r="J680" s="310" t="s">
        <v>563</v>
      </c>
      <c r="K680" s="312">
        <v>0</v>
      </c>
      <c r="L680" s="310">
        <v>0</v>
      </c>
      <c r="M680" s="310">
        <v>0</v>
      </c>
      <c r="N680" s="313">
        <v>0</v>
      </c>
      <c r="O680" s="314" t="s">
        <v>563</v>
      </c>
      <c r="P680" s="307">
        <f t="shared" si="195"/>
        <v>0</v>
      </c>
      <c r="R680" s="91" t="str">
        <f t="shared" si="209"/>
        <v/>
      </c>
      <c r="S68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0" s="307" t="str">
        <f t="shared" si="197"/>
        <v/>
      </c>
      <c r="U680" s="315" t="str">
        <f t="shared" si="198"/>
        <v/>
      </c>
      <c r="V680" s="307">
        <f t="shared" si="202"/>
        <v>0</v>
      </c>
      <c r="W680" s="307">
        <f>IFERROR(IF(V680&gt;0,PROPER(Terbilang1(V680)&amp;" Rupiah"),0),"")</f>
        <v>0</v>
      </c>
      <c r="X680" s="90" t="str">
        <f t="shared" si="203"/>
        <v/>
      </c>
      <c r="Y680" s="307" t="str">
        <f t="shared" si="204"/>
        <v/>
      </c>
      <c r="Z680" s="307">
        <f t="shared" si="199"/>
        <v>0</v>
      </c>
      <c r="AA680" s="366">
        <f t="shared" si="200"/>
        <v>0</v>
      </c>
      <c r="AB680" s="367">
        <f t="shared" si="205"/>
        <v>0</v>
      </c>
      <c r="AC680" s="305">
        <f t="shared" si="206"/>
        <v>0</v>
      </c>
      <c r="AP680" s="89" t="str">
        <f t="shared" si="194"/>
        <v/>
      </c>
      <c r="AQ680" s="89" t="str">
        <f t="shared" ref="AQ680:AQ743" si="210">TEXT(AR680,"MM")</f>
        <v/>
      </c>
      <c r="AR680" s="315" t="str">
        <f t="shared" si="193"/>
        <v/>
      </c>
      <c r="AS680" s="305" t="str">
        <f t="shared" si="207"/>
        <v>0</v>
      </c>
      <c r="AT680" s="307">
        <f>Table22[[#This Row],[Column1]]</f>
        <v>0</v>
      </c>
    </row>
    <row r="681" spans="1:46" x14ac:dyDescent="0.3">
      <c r="A681" s="307">
        <f t="shared" si="201"/>
        <v>0</v>
      </c>
      <c r="B681" s="307">
        <f t="shared" si="208"/>
        <v>0</v>
      </c>
      <c r="C681" s="308" t="s">
        <v>563</v>
      </c>
      <c r="D681" s="309" t="s">
        <v>563</v>
      </c>
      <c r="E681" s="310">
        <v>0</v>
      </c>
      <c r="F681" s="310">
        <v>0</v>
      </c>
      <c r="G681" s="311">
        <v>0</v>
      </c>
      <c r="H681" s="310" t="s">
        <v>563</v>
      </c>
      <c r="I681" s="310" t="s">
        <v>563</v>
      </c>
      <c r="J681" s="310" t="s">
        <v>563</v>
      </c>
      <c r="K681" s="312">
        <v>0</v>
      </c>
      <c r="L681" s="310">
        <v>0</v>
      </c>
      <c r="M681" s="310">
        <v>0</v>
      </c>
      <c r="N681" s="313">
        <v>0</v>
      </c>
      <c r="O681" s="314" t="s">
        <v>563</v>
      </c>
      <c r="P681" s="307">
        <f t="shared" si="195"/>
        <v>0</v>
      </c>
      <c r="R681" s="91" t="str">
        <f t="shared" si="209"/>
        <v/>
      </c>
      <c r="S68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1" s="307" t="str">
        <f t="shared" si="197"/>
        <v/>
      </c>
      <c r="U681" s="315" t="str">
        <f t="shared" si="198"/>
        <v/>
      </c>
      <c r="V681" s="307">
        <f t="shared" si="202"/>
        <v>0</v>
      </c>
      <c r="W681" s="307">
        <f>IFERROR(IF(V681&gt;0,PROPER(Terbilang1(V681)&amp;" Rupiah"),0),"")</f>
        <v>0</v>
      </c>
      <c r="X681" s="90" t="str">
        <f t="shared" si="203"/>
        <v/>
      </c>
      <c r="Y681" s="307" t="str">
        <f t="shared" si="204"/>
        <v/>
      </c>
      <c r="Z681" s="307">
        <f t="shared" si="199"/>
        <v>0</v>
      </c>
      <c r="AA681" s="366">
        <f t="shared" si="200"/>
        <v>0</v>
      </c>
      <c r="AB681" s="367">
        <f t="shared" si="205"/>
        <v>0</v>
      </c>
      <c r="AC681" s="305">
        <f t="shared" si="206"/>
        <v>0</v>
      </c>
      <c r="AP681" s="89" t="str">
        <f t="shared" si="194"/>
        <v/>
      </c>
      <c r="AQ681" s="89" t="str">
        <f t="shared" si="210"/>
        <v/>
      </c>
      <c r="AR681" s="315" t="str">
        <f t="shared" si="193"/>
        <v/>
      </c>
      <c r="AS681" s="305" t="str">
        <f t="shared" si="207"/>
        <v>0</v>
      </c>
      <c r="AT681" s="307">
        <f>Table22[[#This Row],[Column1]]</f>
        <v>0</v>
      </c>
    </row>
    <row r="682" spans="1:46" x14ac:dyDescent="0.3">
      <c r="A682" s="307">
        <f t="shared" si="201"/>
        <v>0</v>
      </c>
      <c r="B682" s="307">
        <f t="shared" si="208"/>
        <v>0</v>
      </c>
      <c r="C682" s="308" t="s">
        <v>563</v>
      </c>
      <c r="D682" s="309" t="s">
        <v>563</v>
      </c>
      <c r="E682" s="310">
        <v>0</v>
      </c>
      <c r="F682" s="310">
        <v>0</v>
      </c>
      <c r="G682" s="311">
        <v>0</v>
      </c>
      <c r="H682" s="310" t="s">
        <v>563</v>
      </c>
      <c r="I682" s="310" t="s">
        <v>563</v>
      </c>
      <c r="J682" s="310" t="s">
        <v>563</v>
      </c>
      <c r="K682" s="312">
        <v>0</v>
      </c>
      <c r="L682" s="310">
        <v>0</v>
      </c>
      <c r="M682" s="310">
        <v>0</v>
      </c>
      <c r="N682" s="313">
        <v>0</v>
      </c>
      <c r="O682" s="314" t="s">
        <v>563</v>
      </c>
      <c r="P682" s="307">
        <f t="shared" si="195"/>
        <v>0</v>
      </c>
      <c r="R682" s="91" t="str">
        <f t="shared" si="209"/>
        <v/>
      </c>
      <c r="S68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2" s="307" t="str">
        <f t="shared" si="197"/>
        <v/>
      </c>
      <c r="U682" s="315" t="str">
        <f t="shared" si="198"/>
        <v/>
      </c>
      <c r="V682" s="307">
        <f t="shared" si="202"/>
        <v>0</v>
      </c>
      <c r="W682" s="307">
        <f>IFERROR(IF(V682&gt;0,PROPER(Terbilang1(V682)&amp;" Rupiah"),0),"")</f>
        <v>0</v>
      </c>
      <c r="X682" s="90" t="str">
        <f t="shared" si="203"/>
        <v/>
      </c>
      <c r="Y682" s="307" t="str">
        <f t="shared" si="204"/>
        <v/>
      </c>
      <c r="Z682" s="307">
        <f t="shared" si="199"/>
        <v>0</v>
      </c>
      <c r="AA682" s="366">
        <f t="shared" si="200"/>
        <v>0</v>
      </c>
      <c r="AB682" s="367">
        <f t="shared" si="205"/>
        <v>0</v>
      </c>
      <c r="AC682" s="305">
        <f t="shared" si="206"/>
        <v>0</v>
      </c>
      <c r="AP682" s="89" t="str">
        <f t="shared" si="194"/>
        <v/>
      </c>
      <c r="AQ682" s="89" t="str">
        <f t="shared" si="210"/>
        <v/>
      </c>
      <c r="AR682" s="315" t="str">
        <f t="shared" si="193"/>
        <v/>
      </c>
      <c r="AS682" s="305" t="str">
        <f t="shared" si="207"/>
        <v>0</v>
      </c>
      <c r="AT682" s="307">
        <f>Table22[[#This Row],[Column1]]</f>
        <v>0</v>
      </c>
    </row>
    <row r="683" spans="1:46" x14ac:dyDescent="0.3">
      <c r="A683" s="307">
        <f t="shared" si="201"/>
        <v>0</v>
      </c>
      <c r="B683" s="307">
        <f t="shared" si="208"/>
        <v>0</v>
      </c>
      <c r="C683" s="308" t="s">
        <v>563</v>
      </c>
      <c r="D683" s="309" t="s">
        <v>563</v>
      </c>
      <c r="E683" s="310">
        <v>0</v>
      </c>
      <c r="F683" s="310">
        <v>0</v>
      </c>
      <c r="G683" s="311">
        <v>0</v>
      </c>
      <c r="H683" s="310" t="s">
        <v>563</v>
      </c>
      <c r="I683" s="310" t="s">
        <v>563</v>
      </c>
      <c r="J683" s="310" t="s">
        <v>563</v>
      </c>
      <c r="K683" s="312">
        <v>0</v>
      </c>
      <c r="L683" s="310">
        <v>0</v>
      </c>
      <c r="M683" s="310">
        <v>0</v>
      </c>
      <c r="N683" s="313">
        <v>0</v>
      </c>
      <c r="O683" s="314" t="s">
        <v>563</v>
      </c>
      <c r="P683" s="307">
        <f t="shared" si="195"/>
        <v>0</v>
      </c>
      <c r="R683" s="91" t="str">
        <f t="shared" si="209"/>
        <v/>
      </c>
      <c r="S68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3" s="307" t="str">
        <f t="shared" si="197"/>
        <v/>
      </c>
      <c r="U683" s="315" t="str">
        <f t="shared" si="198"/>
        <v/>
      </c>
      <c r="V683" s="307">
        <f t="shared" si="202"/>
        <v>0</v>
      </c>
      <c r="W683" s="307">
        <f>IFERROR(IF(V683&gt;0,PROPER(Terbilang1(V683)&amp;" Rupiah"),0),"")</f>
        <v>0</v>
      </c>
      <c r="X683" s="90" t="str">
        <f t="shared" si="203"/>
        <v/>
      </c>
      <c r="Y683" s="307" t="str">
        <f t="shared" si="204"/>
        <v/>
      </c>
      <c r="Z683" s="307">
        <f t="shared" si="199"/>
        <v>0</v>
      </c>
      <c r="AA683" s="366">
        <f t="shared" si="200"/>
        <v>0</v>
      </c>
      <c r="AB683" s="367">
        <f t="shared" si="205"/>
        <v>0</v>
      </c>
      <c r="AC683" s="305">
        <f t="shared" si="206"/>
        <v>0</v>
      </c>
      <c r="AP683" s="89" t="str">
        <f t="shared" si="194"/>
        <v/>
      </c>
      <c r="AQ683" s="89" t="str">
        <f t="shared" si="210"/>
        <v/>
      </c>
      <c r="AR683" s="315" t="str">
        <f t="shared" si="193"/>
        <v/>
      </c>
      <c r="AS683" s="305" t="str">
        <f t="shared" si="207"/>
        <v>0</v>
      </c>
      <c r="AT683" s="307">
        <f>Table22[[#This Row],[Column1]]</f>
        <v>0</v>
      </c>
    </row>
    <row r="684" spans="1:46" x14ac:dyDescent="0.3">
      <c r="A684" s="307">
        <f t="shared" si="201"/>
        <v>0</v>
      </c>
      <c r="B684" s="307">
        <f t="shared" si="208"/>
        <v>0</v>
      </c>
      <c r="C684" s="308" t="s">
        <v>563</v>
      </c>
      <c r="D684" s="309" t="s">
        <v>563</v>
      </c>
      <c r="E684" s="310">
        <v>0</v>
      </c>
      <c r="F684" s="310">
        <v>0</v>
      </c>
      <c r="G684" s="311">
        <v>0</v>
      </c>
      <c r="H684" s="310" t="s">
        <v>563</v>
      </c>
      <c r="I684" s="310" t="s">
        <v>563</v>
      </c>
      <c r="J684" s="310" t="s">
        <v>563</v>
      </c>
      <c r="K684" s="312">
        <v>0</v>
      </c>
      <c r="L684" s="310">
        <v>0</v>
      </c>
      <c r="M684" s="310">
        <v>0</v>
      </c>
      <c r="N684" s="313">
        <v>0</v>
      </c>
      <c r="O684" s="314" t="s">
        <v>563</v>
      </c>
      <c r="P684" s="307">
        <f t="shared" si="195"/>
        <v>0</v>
      </c>
      <c r="R684" s="91" t="str">
        <f t="shared" si="209"/>
        <v/>
      </c>
      <c r="S68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4" s="307" t="str">
        <f t="shared" si="197"/>
        <v/>
      </c>
      <c r="U684" s="315" t="str">
        <f t="shared" si="198"/>
        <v/>
      </c>
      <c r="V684" s="307">
        <f t="shared" si="202"/>
        <v>0</v>
      </c>
      <c r="W684" s="307">
        <f>IFERROR(IF(V684&gt;0,PROPER(Terbilang1(V684)&amp;" Rupiah"),0),"")</f>
        <v>0</v>
      </c>
      <c r="X684" s="90" t="str">
        <f t="shared" si="203"/>
        <v/>
      </c>
      <c r="Y684" s="307" t="str">
        <f t="shared" si="204"/>
        <v/>
      </c>
      <c r="Z684" s="307">
        <f t="shared" si="199"/>
        <v>0</v>
      </c>
      <c r="AA684" s="366">
        <f t="shared" si="200"/>
        <v>0</v>
      </c>
      <c r="AB684" s="367">
        <f t="shared" si="205"/>
        <v>0</v>
      </c>
      <c r="AC684" s="305">
        <f t="shared" si="206"/>
        <v>0</v>
      </c>
      <c r="AP684" s="89" t="str">
        <f t="shared" si="194"/>
        <v/>
      </c>
      <c r="AQ684" s="89" t="str">
        <f t="shared" si="210"/>
        <v/>
      </c>
      <c r="AR684" s="315" t="str">
        <f t="shared" si="193"/>
        <v/>
      </c>
      <c r="AS684" s="305" t="str">
        <f t="shared" si="207"/>
        <v>0</v>
      </c>
      <c r="AT684" s="307">
        <f>Table22[[#This Row],[Column1]]</f>
        <v>0</v>
      </c>
    </row>
    <row r="685" spans="1:46" x14ac:dyDescent="0.3">
      <c r="A685" s="307">
        <f t="shared" si="201"/>
        <v>0</v>
      </c>
      <c r="B685" s="307">
        <f t="shared" si="208"/>
        <v>0</v>
      </c>
      <c r="C685" s="308" t="s">
        <v>563</v>
      </c>
      <c r="D685" s="309" t="s">
        <v>563</v>
      </c>
      <c r="E685" s="310">
        <v>0</v>
      </c>
      <c r="F685" s="310">
        <v>0</v>
      </c>
      <c r="G685" s="311">
        <v>0</v>
      </c>
      <c r="H685" s="310" t="s">
        <v>563</v>
      </c>
      <c r="I685" s="310" t="s">
        <v>563</v>
      </c>
      <c r="J685" s="310" t="s">
        <v>563</v>
      </c>
      <c r="K685" s="312">
        <v>0</v>
      </c>
      <c r="L685" s="310">
        <v>0</v>
      </c>
      <c r="M685" s="310">
        <v>0</v>
      </c>
      <c r="N685" s="313">
        <v>0</v>
      </c>
      <c r="O685" s="314" t="s">
        <v>563</v>
      </c>
      <c r="P685" s="307">
        <f t="shared" si="195"/>
        <v>0</v>
      </c>
      <c r="R685" s="91" t="str">
        <f t="shared" si="209"/>
        <v/>
      </c>
      <c r="S68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5" s="307" t="str">
        <f t="shared" si="197"/>
        <v/>
      </c>
      <c r="U685" s="315" t="str">
        <f t="shared" si="198"/>
        <v/>
      </c>
      <c r="V685" s="307">
        <f t="shared" si="202"/>
        <v>0</v>
      </c>
      <c r="W685" s="307">
        <f>IFERROR(IF(V685&gt;0,PROPER(Terbilang1(V685)&amp;" Rupiah"),0),"")</f>
        <v>0</v>
      </c>
      <c r="X685" s="90" t="str">
        <f t="shared" si="203"/>
        <v/>
      </c>
      <c r="Y685" s="307" t="str">
        <f t="shared" si="204"/>
        <v/>
      </c>
      <c r="Z685" s="307">
        <f t="shared" si="199"/>
        <v>0</v>
      </c>
      <c r="AA685" s="366">
        <f t="shared" si="200"/>
        <v>0</v>
      </c>
      <c r="AB685" s="367">
        <f t="shared" si="205"/>
        <v>0</v>
      </c>
      <c r="AC685" s="305">
        <f t="shared" si="206"/>
        <v>0</v>
      </c>
      <c r="AP685" s="89" t="str">
        <f t="shared" si="194"/>
        <v/>
      </c>
      <c r="AQ685" s="89" t="str">
        <f t="shared" si="210"/>
        <v/>
      </c>
      <c r="AR685" s="315" t="str">
        <f t="shared" si="193"/>
        <v/>
      </c>
      <c r="AS685" s="305" t="str">
        <f t="shared" si="207"/>
        <v>0</v>
      </c>
      <c r="AT685" s="307">
        <f>Table22[[#This Row],[Column1]]</f>
        <v>0</v>
      </c>
    </row>
    <row r="686" spans="1:46" x14ac:dyDescent="0.3">
      <c r="A686" s="307">
        <f t="shared" si="201"/>
        <v>0</v>
      </c>
      <c r="B686" s="307">
        <f t="shared" si="208"/>
        <v>0</v>
      </c>
      <c r="C686" s="308" t="s">
        <v>563</v>
      </c>
      <c r="D686" s="309" t="s">
        <v>563</v>
      </c>
      <c r="E686" s="310">
        <v>0</v>
      </c>
      <c r="F686" s="310">
        <v>0</v>
      </c>
      <c r="G686" s="311">
        <v>0</v>
      </c>
      <c r="H686" s="310" t="s">
        <v>563</v>
      </c>
      <c r="I686" s="310" t="s">
        <v>563</v>
      </c>
      <c r="J686" s="310" t="s">
        <v>563</v>
      </c>
      <c r="K686" s="312">
        <v>0</v>
      </c>
      <c r="L686" s="310">
        <v>0</v>
      </c>
      <c r="M686" s="310">
        <v>0</v>
      </c>
      <c r="N686" s="313">
        <v>0</v>
      </c>
      <c r="O686" s="314" t="s">
        <v>563</v>
      </c>
      <c r="P686" s="307">
        <f t="shared" si="195"/>
        <v>0</v>
      </c>
      <c r="R686" s="91" t="str">
        <f t="shared" si="209"/>
        <v/>
      </c>
      <c r="S68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6" s="307" t="str">
        <f t="shared" si="197"/>
        <v/>
      </c>
      <c r="U686" s="315" t="str">
        <f t="shared" si="198"/>
        <v/>
      </c>
      <c r="V686" s="307">
        <f t="shared" si="202"/>
        <v>0</v>
      </c>
      <c r="W686" s="307">
        <f>IFERROR(IF(V686&gt;0,PROPER(Terbilang1(V686)&amp;" Rupiah"),0),"")</f>
        <v>0</v>
      </c>
      <c r="X686" s="90" t="str">
        <f t="shared" si="203"/>
        <v/>
      </c>
      <c r="Y686" s="307" t="str">
        <f t="shared" si="204"/>
        <v/>
      </c>
      <c r="Z686" s="307">
        <f t="shared" si="199"/>
        <v>0</v>
      </c>
      <c r="AA686" s="366">
        <f t="shared" si="200"/>
        <v>0</v>
      </c>
      <c r="AB686" s="367">
        <f t="shared" si="205"/>
        <v>0</v>
      </c>
      <c r="AC686" s="305">
        <f t="shared" si="206"/>
        <v>0</v>
      </c>
      <c r="AP686" s="89" t="str">
        <f t="shared" si="194"/>
        <v/>
      </c>
      <c r="AQ686" s="89" t="str">
        <f t="shared" si="210"/>
        <v/>
      </c>
      <c r="AR686" s="315" t="str">
        <f t="shared" si="193"/>
        <v/>
      </c>
      <c r="AS686" s="305" t="str">
        <f t="shared" si="207"/>
        <v>0</v>
      </c>
      <c r="AT686" s="307">
        <f>Table22[[#This Row],[Column1]]</f>
        <v>0</v>
      </c>
    </row>
    <row r="687" spans="1:46" x14ac:dyDescent="0.3">
      <c r="A687" s="307">
        <f t="shared" si="201"/>
        <v>0</v>
      </c>
      <c r="B687" s="307">
        <f t="shared" si="208"/>
        <v>0</v>
      </c>
      <c r="C687" s="308" t="s">
        <v>563</v>
      </c>
      <c r="D687" s="309" t="s">
        <v>563</v>
      </c>
      <c r="E687" s="310">
        <v>0</v>
      </c>
      <c r="F687" s="310">
        <v>0</v>
      </c>
      <c r="G687" s="311">
        <v>0</v>
      </c>
      <c r="H687" s="310" t="s">
        <v>563</v>
      </c>
      <c r="I687" s="310" t="s">
        <v>563</v>
      </c>
      <c r="J687" s="310" t="s">
        <v>563</v>
      </c>
      <c r="K687" s="312">
        <v>0</v>
      </c>
      <c r="L687" s="310">
        <v>0</v>
      </c>
      <c r="M687" s="310">
        <v>0</v>
      </c>
      <c r="N687" s="313">
        <v>0</v>
      </c>
      <c r="O687" s="314" t="s">
        <v>563</v>
      </c>
      <c r="P687" s="307">
        <f t="shared" si="195"/>
        <v>0</v>
      </c>
      <c r="R687" s="91" t="str">
        <f t="shared" si="209"/>
        <v/>
      </c>
      <c r="S68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7" s="307" t="str">
        <f t="shared" si="197"/>
        <v/>
      </c>
      <c r="U687" s="315" t="str">
        <f t="shared" si="198"/>
        <v/>
      </c>
      <c r="V687" s="307">
        <f t="shared" si="202"/>
        <v>0</v>
      </c>
      <c r="W687" s="307">
        <f>IFERROR(IF(V687&gt;0,PROPER(Terbilang1(V687)&amp;" Rupiah"),0),"")</f>
        <v>0</v>
      </c>
      <c r="X687" s="90" t="str">
        <f t="shared" si="203"/>
        <v/>
      </c>
      <c r="Y687" s="307" t="str">
        <f t="shared" si="204"/>
        <v/>
      </c>
      <c r="Z687" s="307">
        <f t="shared" si="199"/>
        <v>0</v>
      </c>
      <c r="AA687" s="366">
        <f t="shared" si="200"/>
        <v>0</v>
      </c>
      <c r="AB687" s="367">
        <f t="shared" si="205"/>
        <v>0</v>
      </c>
      <c r="AC687" s="305">
        <f t="shared" si="206"/>
        <v>0</v>
      </c>
      <c r="AP687" s="89" t="str">
        <f t="shared" si="194"/>
        <v/>
      </c>
      <c r="AQ687" s="89" t="str">
        <f t="shared" si="210"/>
        <v/>
      </c>
      <c r="AR687" s="315" t="str">
        <f t="shared" si="193"/>
        <v/>
      </c>
      <c r="AS687" s="305" t="str">
        <f t="shared" si="207"/>
        <v>0</v>
      </c>
      <c r="AT687" s="307">
        <f>Table22[[#This Row],[Column1]]</f>
        <v>0</v>
      </c>
    </row>
    <row r="688" spans="1:46" x14ac:dyDescent="0.3">
      <c r="A688" s="307">
        <f t="shared" si="201"/>
        <v>0</v>
      </c>
      <c r="B688" s="307">
        <f t="shared" si="208"/>
        <v>0</v>
      </c>
      <c r="C688" s="308" t="s">
        <v>563</v>
      </c>
      <c r="D688" s="309" t="s">
        <v>563</v>
      </c>
      <c r="E688" s="310">
        <v>0</v>
      </c>
      <c r="F688" s="310">
        <v>0</v>
      </c>
      <c r="G688" s="311">
        <v>0</v>
      </c>
      <c r="H688" s="310" t="s">
        <v>563</v>
      </c>
      <c r="I688" s="310" t="s">
        <v>563</v>
      </c>
      <c r="J688" s="310" t="s">
        <v>563</v>
      </c>
      <c r="K688" s="312">
        <v>0</v>
      </c>
      <c r="L688" s="310">
        <v>0</v>
      </c>
      <c r="M688" s="310">
        <v>0</v>
      </c>
      <c r="N688" s="313">
        <v>0</v>
      </c>
      <c r="O688" s="314" t="s">
        <v>563</v>
      </c>
      <c r="P688" s="307">
        <f t="shared" si="195"/>
        <v>0</v>
      </c>
      <c r="R688" s="91" t="str">
        <f t="shared" si="209"/>
        <v/>
      </c>
      <c r="S68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8" s="307" t="str">
        <f t="shared" si="197"/>
        <v/>
      </c>
      <c r="U688" s="315" t="str">
        <f t="shared" si="198"/>
        <v/>
      </c>
      <c r="V688" s="307">
        <f t="shared" si="202"/>
        <v>0</v>
      </c>
      <c r="W688" s="307">
        <f>IFERROR(IF(V688&gt;0,PROPER(Terbilang1(V688)&amp;" Rupiah"),0),"")</f>
        <v>0</v>
      </c>
      <c r="X688" s="90" t="str">
        <f t="shared" si="203"/>
        <v/>
      </c>
      <c r="Y688" s="307" t="str">
        <f t="shared" si="204"/>
        <v/>
      </c>
      <c r="Z688" s="307">
        <f t="shared" si="199"/>
        <v>0</v>
      </c>
      <c r="AA688" s="366">
        <f t="shared" si="200"/>
        <v>0</v>
      </c>
      <c r="AB688" s="367">
        <f t="shared" si="205"/>
        <v>0</v>
      </c>
      <c r="AC688" s="305">
        <f t="shared" si="206"/>
        <v>0</v>
      </c>
      <c r="AP688" s="89" t="str">
        <f t="shared" si="194"/>
        <v/>
      </c>
      <c r="AQ688" s="89" t="str">
        <f t="shared" si="210"/>
        <v/>
      </c>
      <c r="AR688" s="315" t="str">
        <f t="shared" si="193"/>
        <v/>
      </c>
      <c r="AS688" s="305" t="str">
        <f t="shared" si="207"/>
        <v>0</v>
      </c>
      <c r="AT688" s="307">
        <f>Table22[[#This Row],[Column1]]</f>
        <v>0</v>
      </c>
    </row>
    <row r="689" spans="1:46" x14ac:dyDescent="0.3">
      <c r="A689" s="307">
        <f t="shared" si="201"/>
        <v>0</v>
      </c>
      <c r="B689" s="307">
        <f t="shared" si="208"/>
        <v>0</v>
      </c>
      <c r="C689" s="308" t="s">
        <v>563</v>
      </c>
      <c r="D689" s="309" t="s">
        <v>563</v>
      </c>
      <c r="E689" s="310">
        <v>0</v>
      </c>
      <c r="F689" s="310">
        <v>0</v>
      </c>
      <c r="G689" s="311">
        <v>0</v>
      </c>
      <c r="H689" s="310" t="s">
        <v>563</v>
      </c>
      <c r="I689" s="310" t="s">
        <v>563</v>
      </c>
      <c r="J689" s="310" t="s">
        <v>563</v>
      </c>
      <c r="K689" s="312">
        <v>0</v>
      </c>
      <c r="L689" s="310">
        <v>0</v>
      </c>
      <c r="M689" s="310">
        <v>0</v>
      </c>
      <c r="N689" s="313">
        <v>0</v>
      </c>
      <c r="O689" s="314" t="s">
        <v>563</v>
      </c>
      <c r="P689" s="307">
        <f t="shared" si="195"/>
        <v>0</v>
      </c>
      <c r="R689" s="91" t="str">
        <f t="shared" si="209"/>
        <v/>
      </c>
      <c r="S68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89" s="307" t="str">
        <f t="shared" si="197"/>
        <v/>
      </c>
      <c r="U689" s="315" t="str">
        <f t="shared" si="198"/>
        <v/>
      </c>
      <c r="V689" s="307">
        <f t="shared" si="202"/>
        <v>0</v>
      </c>
      <c r="W689" s="307">
        <f>IFERROR(IF(V689&gt;0,PROPER(Terbilang1(V689)&amp;" Rupiah"),0),"")</f>
        <v>0</v>
      </c>
      <c r="X689" s="90" t="str">
        <f t="shared" si="203"/>
        <v/>
      </c>
      <c r="Y689" s="307" t="str">
        <f t="shared" si="204"/>
        <v/>
      </c>
      <c r="Z689" s="307">
        <f t="shared" si="199"/>
        <v>0</v>
      </c>
      <c r="AA689" s="366">
        <f t="shared" si="200"/>
        <v>0</v>
      </c>
      <c r="AB689" s="367">
        <f t="shared" si="205"/>
        <v>0</v>
      </c>
      <c r="AC689" s="305">
        <f t="shared" si="206"/>
        <v>0</v>
      </c>
      <c r="AP689" s="89" t="str">
        <f t="shared" si="194"/>
        <v/>
      </c>
      <c r="AQ689" s="89" t="str">
        <f t="shared" si="210"/>
        <v/>
      </c>
      <c r="AR689" s="315" t="str">
        <f t="shared" si="193"/>
        <v/>
      </c>
      <c r="AS689" s="305" t="str">
        <f t="shared" si="207"/>
        <v>0</v>
      </c>
      <c r="AT689" s="307">
        <f>Table22[[#This Row],[Column1]]</f>
        <v>0</v>
      </c>
    </row>
    <row r="690" spans="1:46" x14ac:dyDescent="0.3">
      <c r="A690" s="307">
        <f t="shared" si="201"/>
        <v>0</v>
      </c>
      <c r="B690" s="307">
        <f t="shared" si="208"/>
        <v>0</v>
      </c>
      <c r="C690" s="308" t="s">
        <v>563</v>
      </c>
      <c r="D690" s="309" t="s">
        <v>563</v>
      </c>
      <c r="E690" s="310">
        <v>0</v>
      </c>
      <c r="F690" s="310">
        <v>0</v>
      </c>
      <c r="G690" s="311">
        <v>0</v>
      </c>
      <c r="H690" s="310" t="s">
        <v>563</v>
      </c>
      <c r="I690" s="310" t="s">
        <v>563</v>
      </c>
      <c r="J690" s="310" t="s">
        <v>563</v>
      </c>
      <c r="K690" s="312">
        <v>0</v>
      </c>
      <c r="L690" s="310">
        <v>0</v>
      </c>
      <c r="M690" s="310">
        <v>0</v>
      </c>
      <c r="N690" s="313">
        <v>0</v>
      </c>
      <c r="O690" s="314" t="s">
        <v>563</v>
      </c>
      <c r="P690" s="307">
        <f t="shared" si="195"/>
        <v>0</v>
      </c>
      <c r="R690" s="91" t="str">
        <f t="shared" si="209"/>
        <v/>
      </c>
      <c r="S69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0" s="307" t="str">
        <f t="shared" si="197"/>
        <v/>
      </c>
      <c r="U690" s="315" t="str">
        <f t="shared" si="198"/>
        <v/>
      </c>
      <c r="V690" s="307">
        <f t="shared" si="202"/>
        <v>0</v>
      </c>
      <c r="W690" s="307">
        <f>IFERROR(IF(V690&gt;0,PROPER(Terbilang1(V690)&amp;" Rupiah"),0),"")</f>
        <v>0</v>
      </c>
      <c r="X690" s="90" t="str">
        <f t="shared" si="203"/>
        <v/>
      </c>
      <c r="Y690" s="307" t="str">
        <f t="shared" si="204"/>
        <v/>
      </c>
      <c r="Z690" s="307">
        <f t="shared" si="199"/>
        <v>0</v>
      </c>
      <c r="AA690" s="366">
        <f t="shared" si="200"/>
        <v>0</v>
      </c>
      <c r="AB690" s="367">
        <f t="shared" si="205"/>
        <v>0</v>
      </c>
      <c r="AC690" s="305">
        <f t="shared" si="206"/>
        <v>0</v>
      </c>
      <c r="AP690" s="89" t="str">
        <f t="shared" si="194"/>
        <v/>
      </c>
      <c r="AQ690" s="89" t="str">
        <f t="shared" si="210"/>
        <v/>
      </c>
      <c r="AR690" s="315" t="str">
        <f t="shared" si="193"/>
        <v/>
      </c>
      <c r="AS690" s="305" t="str">
        <f t="shared" si="207"/>
        <v>0</v>
      </c>
      <c r="AT690" s="307">
        <f>Table22[[#This Row],[Column1]]</f>
        <v>0</v>
      </c>
    </row>
    <row r="691" spans="1:46" x14ac:dyDescent="0.3">
      <c r="A691" s="307">
        <f t="shared" si="201"/>
        <v>0</v>
      </c>
      <c r="B691" s="307">
        <f t="shared" si="208"/>
        <v>0</v>
      </c>
      <c r="C691" s="308" t="s">
        <v>563</v>
      </c>
      <c r="D691" s="309" t="s">
        <v>563</v>
      </c>
      <c r="E691" s="310">
        <v>0</v>
      </c>
      <c r="F691" s="310">
        <v>0</v>
      </c>
      <c r="G691" s="311">
        <v>0</v>
      </c>
      <c r="H691" s="310" t="s">
        <v>563</v>
      </c>
      <c r="I691" s="310" t="s">
        <v>563</v>
      </c>
      <c r="J691" s="310" t="s">
        <v>563</v>
      </c>
      <c r="K691" s="312">
        <v>0</v>
      </c>
      <c r="L691" s="310">
        <v>0</v>
      </c>
      <c r="M691" s="310">
        <v>0</v>
      </c>
      <c r="N691" s="313">
        <v>0</v>
      </c>
      <c r="O691" s="314" t="s">
        <v>563</v>
      </c>
      <c r="P691" s="307">
        <f t="shared" si="195"/>
        <v>0</v>
      </c>
      <c r="R691" s="91" t="str">
        <f t="shared" si="209"/>
        <v/>
      </c>
      <c r="S69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1" s="307" t="str">
        <f t="shared" si="197"/>
        <v/>
      </c>
      <c r="U691" s="315" t="str">
        <f t="shared" si="198"/>
        <v/>
      </c>
      <c r="V691" s="307">
        <f t="shared" si="202"/>
        <v>0</v>
      </c>
      <c r="W691" s="307">
        <f>IFERROR(IF(V691&gt;0,PROPER(Terbilang1(V691)&amp;" Rupiah"),0),"")</f>
        <v>0</v>
      </c>
      <c r="X691" s="90" t="str">
        <f t="shared" si="203"/>
        <v/>
      </c>
      <c r="Y691" s="307" t="str">
        <f t="shared" si="204"/>
        <v/>
      </c>
      <c r="Z691" s="307">
        <f t="shared" si="199"/>
        <v>0</v>
      </c>
      <c r="AA691" s="366">
        <f t="shared" si="200"/>
        <v>0</v>
      </c>
      <c r="AB691" s="367">
        <f t="shared" si="205"/>
        <v>0</v>
      </c>
      <c r="AC691" s="305">
        <f t="shared" si="206"/>
        <v>0</v>
      </c>
      <c r="AP691" s="89" t="str">
        <f t="shared" si="194"/>
        <v/>
      </c>
      <c r="AQ691" s="89" t="str">
        <f t="shared" si="210"/>
        <v/>
      </c>
      <c r="AR691" s="315" t="str">
        <f t="shared" ref="AR691:AR754" si="211">IF(VALUE(AT691)&gt;1,IF(LEN(AR690)&gt;1,AR690,D691),"")</f>
        <v/>
      </c>
      <c r="AS691" s="305" t="str">
        <f t="shared" si="207"/>
        <v>0</v>
      </c>
      <c r="AT691" s="307">
        <f>Table22[[#This Row],[Column1]]</f>
        <v>0</v>
      </c>
    </row>
    <row r="692" spans="1:46" x14ac:dyDescent="0.3">
      <c r="A692" s="307">
        <f t="shared" si="201"/>
        <v>0</v>
      </c>
      <c r="B692" s="307">
        <f t="shared" si="208"/>
        <v>0</v>
      </c>
      <c r="C692" s="308" t="s">
        <v>563</v>
      </c>
      <c r="D692" s="309" t="s">
        <v>563</v>
      </c>
      <c r="E692" s="310">
        <v>0</v>
      </c>
      <c r="F692" s="310">
        <v>0</v>
      </c>
      <c r="G692" s="311">
        <v>0</v>
      </c>
      <c r="H692" s="310" t="s">
        <v>563</v>
      </c>
      <c r="I692" s="310" t="s">
        <v>563</v>
      </c>
      <c r="J692" s="310" t="s">
        <v>563</v>
      </c>
      <c r="K692" s="312">
        <v>0</v>
      </c>
      <c r="L692" s="310">
        <v>0</v>
      </c>
      <c r="M692" s="310">
        <v>0</v>
      </c>
      <c r="N692" s="313">
        <v>0</v>
      </c>
      <c r="O692" s="314" t="s">
        <v>563</v>
      </c>
      <c r="P692" s="307">
        <f t="shared" si="195"/>
        <v>0</v>
      </c>
      <c r="R692" s="91" t="str">
        <f t="shared" si="209"/>
        <v/>
      </c>
      <c r="S69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2" s="307" t="str">
        <f t="shared" si="197"/>
        <v/>
      </c>
      <c r="U692" s="315" t="str">
        <f t="shared" si="198"/>
        <v/>
      </c>
      <c r="V692" s="307">
        <f t="shared" si="202"/>
        <v>0</v>
      </c>
      <c r="W692" s="307">
        <f>IFERROR(IF(V692&gt;0,PROPER(Terbilang1(V692)&amp;" Rupiah"),0),"")</f>
        <v>0</v>
      </c>
      <c r="X692" s="90" t="str">
        <f t="shared" si="203"/>
        <v/>
      </c>
      <c r="Y692" s="307" t="str">
        <f t="shared" si="204"/>
        <v/>
      </c>
      <c r="Z692" s="307">
        <f t="shared" si="199"/>
        <v>0</v>
      </c>
      <c r="AA692" s="366">
        <f t="shared" si="200"/>
        <v>0</v>
      </c>
      <c r="AB692" s="367">
        <f t="shared" si="205"/>
        <v>0</v>
      </c>
      <c r="AC692" s="305">
        <f t="shared" si="206"/>
        <v>0</v>
      </c>
      <c r="AP692" s="89" t="str">
        <f t="shared" si="194"/>
        <v/>
      </c>
      <c r="AQ692" s="89" t="str">
        <f t="shared" si="210"/>
        <v/>
      </c>
      <c r="AR692" s="315" t="str">
        <f t="shared" si="211"/>
        <v/>
      </c>
      <c r="AS692" s="305" t="str">
        <f t="shared" si="207"/>
        <v>0</v>
      </c>
      <c r="AT692" s="307">
        <f>Table22[[#This Row],[Column1]]</f>
        <v>0</v>
      </c>
    </row>
    <row r="693" spans="1:46" x14ac:dyDescent="0.3">
      <c r="A693" s="307">
        <f t="shared" si="201"/>
        <v>0</v>
      </c>
      <c r="B693" s="307">
        <f t="shared" si="208"/>
        <v>0</v>
      </c>
      <c r="C693" s="308" t="s">
        <v>563</v>
      </c>
      <c r="D693" s="309" t="s">
        <v>563</v>
      </c>
      <c r="E693" s="310">
        <v>0</v>
      </c>
      <c r="F693" s="310">
        <v>0</v>
      </c>
      <c r="G693" s="311">
        <v>0</v>
      </c>
      <c r="H693" s="310" t="s">
        <v>563</v>
      </c>
      <c r="I693" s="310" t="s">
        <v>563</v>
      </c>
      <c r="J693" s="310" t="s">
        <v>563</v>
      </c>
      <c r="K693" s="312">
        <v>0</v>
      </c>
      <c r="L693" s="310">
        <v>0</v>
      </c>
      <c r="M693" s="310">
        <v>0</v>
      </c>
      <c r="N693" s="313">
        <v>0</v>
      </c>
      <c r="O693" s="314" t="s">
        <v>563</v>
      </c>
      <c r="P693" s="307">
        <f t="shared" si="195"/>
        <v>0</v>
      </c>
      <c r="R693" s="91" t="str">
        <f t="shared" si="209"/>
        <v/>
      </c>
      <c r="S69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3" s="307" t="str">
        <f t="shared" si="197"/>
        <v/>
      </c>
      <c r="U693" s="315" t="str">
        <f t="shared" si="198"/>
        <v/>
      </c>
      <c r="V693" s="307">
        <f t="shared" si="202"/>
        <v>0</v>
      </c>
      <c r="W693" s="307">
        <f>IFERROR(IF(V693&gt;0,PROPER(Terbilang1(V693)&amp;" Rupiah"),0),"")</f>
        <v>0</v>
      </c>
      <c r="X693" s="90" t="str">
        <f t="shared" si="203"/>
        <v/>
      </c>
      <c r="Y693" s="307" t="str">
        <f t="shared" si="204"/>
        <v/>
      </c>
      <c r="Z693" s="307">
        <f t="shared" si="199"/>
        <v>0</v>
      </c>
      <c r="AA693" s="366">
        <f t="shared" si="200"/>
        <v>0</v>
      </c>
      <c r="AB693" s="367">
        <f t="shared" si="205"/>
        <v>0</v>
      </c>
      <c r="AC693" s="305">
        <f t="shared" si="206"/>
        <v>0</v>
      </c>
      <c r="AP693" s="89" t="str">
        <f t="shared" si="194"/>
        <v/>
      </c>
      <c r="AQ693" s="89" t="str">
        <f t="shared" si="210"/>
        <v/>
      </c>
      <c r="AR693" s="315" t="str">
        <f t="shared" si="211"/>
        <v/>
      </c>
      <c r="AS693" s="305" t="str">
        <f t="shared" si="207"/>
        <v>0</v>
      </c>
      <c r="AT693" s="307">
        <f>Table22[[#This Row],[Column1]]</f>
        <v>0</v>
      </c>
    </row>
    <row r="694" spans="1:46" x14ac:dyDescent="0.3">
      <c r="A694" s="307">
        <f t="shared" si="201"/>
        <v>0</v>
      </c>
      <c r="B694" s="307">
        <f t="shared" si="208"/>
        <v>0</v>
      </c>
      <c r="C694" s="308" t="s">
        <v>563</v>
      </c>
      <c r="D694" s="309" t="s">
        <v>563</v>
      </c>
      <c r="E694" s="310">
        <v>0</v>
      </c>
      <c r="F694" s="310">
        <v>0</v>
      </c>
      <c r="G694" s="311">
        <v>0</v>
      </c>
      <c r="H694" s="310" t="s">
        <v>563</v>
      </c>
      <c r="I694" s="310" t="s">
        <v>563</v>
      </c>
      <c r="J694" s="310" t="s">
        <v>563</v>
      </c>
      <c r="K694" s="312">
        <v>0</v>
      </c>
      <c r="L694" s="310">
        <v>0</v>
      </c>
      <c r="M694" s="310">
        <v>0</v>
      </c>
      <c r="N694" s="313">
        <v>0</v>
      </c>
      <c r="O694" s="314" t="s">
        <v>563</v>
      </c>
      <c r="P694" s="307">
        <f t="shared" si="195"/>
        <v>0</v>
      </c>
      <c r="R694" s="91" t="str">
        <f t="shared" si="209"/>
        <v/>
      </c>
      <c r="S69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4" s="307" t="str">
        <f t="shared" si="197"/>
        <v/>
      </c>
      <c r="U694" s="315" t="str">
        <f t="shared" si="198"/>
        <v/>
      </c>
      <c r="V694" s="307">
        <f t="shared" si="202"/>
        <v>0</v>
      </c>
      <c r="W694" s="307">
        <f>IFERROR(IF(V694&gt;0,PROPER(Terbilang1(V694)&amp;" Rupiah"),0),"")</f>
        <v>0</v>
      </c>
      <c r="X694" s="90" t="str">
        <f t="shared" si="203"/>
        <v/>
      </c>
      <c r="Y694" s="307" t="str">
        <f t="shared" si="204"/>
        <v/>
      </c>
      <c r="Z694" s="307">
        <f t="shared" si="199"/>
        <v>0</v>
      </c>
      <c r="AA694" s="366">
        <f t="shared" si="200"/>
        <v>0</v>
      </c>
      <c r="AB694" s="367">
        <f t="shared" si="205"/>
        <v>0</v>
      </c>
      <c r="AC694" s="305">
        <f t="shared" si="206"/>
        <v>0</v>
      </c>
      <c r="AP694" s="89" t="str">
        <f t="shared" si="194"/>
        <v/>
      </c>
      <c r="AQ694" s="89" t="str">
        <f t="shared" si="210"/>
        <v/>
      </c>
      <c r="AR694" s="315" t="str">
        <f t="shared" si="211"/>
        <v/>
      </c>
      <c r="AS694" s="305" t="str">
        <f t="shared" si="207"/>
        <v>0</v>
      </c>
      <c r="AT694" s="307">
        <f>Table22[[#This Row],[Column1]]</f>
        <v>0</v>
      </c>
    </row>
    <row r="695" spans="1:46" x14ac:dyDescent="0.3">
      <c r="A695" s="307">
        <f t="shared" si="201"/>
        <v>0</v>
      </c>
      <c r="B695" s="307">
        <f t="shared" si="208"/>
        <v>0</v>
      </c>
      <c r="C695" s="308" t="s">
        <v>563</v>
      </c>
      <c r="D695" s="309" t="s">
        <v>563</v>
      </c>
      <c r="E695" s="310">
        <v>0</v>
      </c>
      <c r="F695" s="310">
        <v>0</v>
      </c>
      <c r="G695" s="311">
        <v>0</v>
      </c>
      <c r="H695" s="310" t="s">
        <v>563</v>
      </c>
      <c r="I695" s="310" t="s">
        <v>563</v>
      </c>
      <c r="J695" s="310" t="s">
        <v>563</v>
      </c>
      <c r="K695" s="312">
        <v>0</v>
      </c>
      <c r="L695" s="310">
        <v>0</v>
      </c>
      <c r="M695" s="310">
        <v>0</v>
      </c>
      <c r="N695" s="313">
        <v>0</v>
      </c>
      <c r="O695" s="314" t="s">
        <v>563</v>
      </c>
      <c r="P695" s="307">
        <f t="shared" si="195"/>
        <v>0</v>
      </c>
      <c r="R695" s="91" t="str">
        <f t="shared" si="209"/>
        <v/>
      </c>
      <c r="S69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5" s="307" t="str">
        <f t="shared" si="197"/>
        <v/>
      </c>
      <c r="U695" s="315" t="str">
        <f t="shared" si="198"/>
        <v/>
      </c>
      <c r="V695" s="307">
        <f t="shared" si="202"/>
        <v>0</v>
      </c>
      <c r="W695" s="307">
        <f>IFERROR(IF(V695&gt;0,PROPER(Terbilang1(V695)&amp;" Rupiah"),0),"")</f>
        <v>0</v>
      </c>
      <c r="X695" s="90" t="str">
        <f t="shared" si="203"/>
        <v/>
      </c>
      <c r="Y695" s="307" t="str">
        <f t="shared" si="204"/>
        <v/>
      </c>
      <c r="Z695" s="307">
        <f t="shared" si="199"/>
        <v>0</v>
      </c>
      <c r="AA695" s="366">
        <f t="shared" si="200"/>
        <v>0</v>
      </c>
      <c r="AB695" s="367">
        <f t="shared" si="205"/>
        <v>0</v>
      </c>
      <c r="AC695" s="305">
        <f t="shared" si="206"/>
        <v>0</v>
      </c>
      <c r="AP695" s="89" t="str">
        <f t="shared" si="194"/>
        <v/>
      </c>
      <c r="AQ695" s="89" t="str">
        <f t="shared" si="210"/>
        <v/>
      </c>
      <c r="AR695" s="315" t="str">
        <f t="shared" si="211"/>
        <v/>
      </c>
      <c r="AS695" s="305" t="str">
        <f t="shared" si="207"/>
        <v>0</v>
      </c>
      <c r="AT695" s="307">
        <f>Table22[[#This Row],[Column1]]</f>
        <v>0</v>
      </c>
    </row>
    <row r="696" spans="1:46" x14ac:dyDescent="0.3">
      <c r="A696" s="307">
        <f t="shared" si="201"/>
        <v>0</v>
      </c>
      <c r="B696" s="307">
        <f t="shared" si="208"/>
        <v>0</v>
      </c>
      <c r="C696" s="308" t="s">
        <v>563</v>
      </c>
      <c r="D696" s="309" t="s">
        <v>563</v>
      </c>
      <c r="E696" s="310">
        <v>0</v>
      </c>
      <c r="F696" s="310">
        <v>0</v>
      </c>
      <c r="G696" s="311">
        <v>0</v>
      </c>
      <c r="H696" s="310" t="s">
        <v>563</v>
      </c>
      <c r="I696" s="310" t="s">
        <v>563</v>
      </c>
      <c r="J696" s="310" t="s">
        <v>563</v>
      </c>
      <c r="K696" s="312">
        <v>0</v>
      </c>
      <c r="L696" s="310">
        <v>0</v>
      </c>
      <c r="M696" s="310">
        <v>0</v>
      </c>
      <c r="N696" s="313">
        <v>0</v>
      </c>
      <c r="O696" s="314" t="s">
        <v>563</v>
      </c>
      <c r="P696" s="307">
        <f t="shared" si="195"/>
        <v>0</v>
      </c>
      <c r="R696" s="91" t="str">
        <f t="shared" si="209"/>
        <v/>
      </c>
      <c r="S696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6" s="307" t="str">
        <f t="shared" si="197"/>
        <v/>
      </c>
      <c r="U696" s="315" t="str">
        <f t="shared" si="198"/>
        <v/>
      </c>
      <c r="V696" s="307">
        <f t="shared" si="202"/>
        <v>0</v>
      </c>
      <c r="W696" s="307">
        <f>IFERROR(IF(V696&gt;0,PROPER(Terbilang1(V696)&amp;" Rupiah"),0),"")</f>
        <v>0</v>
      </c>
      <c r="X696" s="90" t="str">
        <f t="shared" si="203"/>
        <v/>
      </c>
      <c r="Y696" s="307" t="str">
        <f t="shared" si="204"/>
        <v/>
      </c>
      <c r="Z696" s="307">
        <f t="shared" si="199"/>
        <v>0</v>
      </c>
      <c r="AA696" s="366">
        <f t="shared" si="200"/>
        <v>0</v>
      </c>
      <c r="AB696" s="367">
        <f t="shared" si="205"/>
        <v>0</v>
      </c>
      <c r="AC696" s="305">
        <f t="shared" si="206"/>
        <v>0</v>
      </c>
      <c r="AP696" s="89" t="str">
        <f t="shared" si="194"/>
        <v/>
      </c>
      <c r="AQ696" s="89" t="str">
        <f t="shared" si="210"/>
        <v/>
      </c>
      <c r="AR696" s="315" t="str">
        <f t="shared" si="211"/>
        <v/>
      </c>
      <c r="AS696" s="305" t="str">
        <f t="shared" si="207"/>
        <v>0</v>
      </c>
      <c r="AT696" s="307">
        <f>Table22[[#This Row],[Column1]]</f>
        <v>0</v>
      </c>
    </row>
    <row r="697" spans="1:46" x14ac:dyDescent="0.3">
      <c r="A697" s="307">
        <f t="shared" si="201"/>
        <v>0</v>
      </c>
      <c r="B697" s="307">
        <f t="shared" si="208"/>
        <v>0</v>
      </c>
      <c r="C697" s="308" t="s">
        <v>563</v>
      </c>
      <c r="D697" s="309" t="s">
        <v>563</v>
      </c>
      <c r="E697" s="310">
        <v>0</v>
      </c>
      <c r="F697" s="310">
        <v>0</v>
      </c>
      <c r="G697" s="311">
        <v>0</v>
      </c>
      <c r="H697" s="310" t="s">
        <v>563</v>
      </c>
      <c r="I697" s="310" t="s">
        <v>563</v>
      </c>
      <c r="J697" s="310" t="s">
        <v>563</v>
      </c>
      <c r="K697" s="312">
        <v>0</v>
      </c>
      <c r="L697" s="310">
        <v>0</v>
      </c>
      <c r="M697" s="310">
        <v>0</v>
      </c>
      <c r="N697" s="313">
        <v>0</v>
      </c>
      <c r="O697" s="314" t="s">
        <v>563</v>
      </c>
      <c r="P697" s="307">
        <f t="shared" si="195"/>
        <v>0</v>
      </c>
      <c r="R697" s="91" t="str">
        <f t="shared" si="209"/>
        <v/>
      </c>
      <c r="S697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7" s="307" t="str">
        <f t="shared" si="197"/>
        <v/>
      </c>
      <c r="U697" s="315" t="str">
        <f t="shared" si="198"/>
        <v/>
      </c>
      <c r="V697" s="307">
        <f t="shared" si="202"/>
        <v>0</v>
      </c>
      <c r="W697" s="307">
        <f>IFERROR(IF(V697&gt;0,PROPER(Terbilang1(V697)&amp;" Rupiah"),0),"")</f>
        <v>0</v>
      </c>
      <c r="X697" s="90" t="str">
        <f t="shared" si="203"/>
        <v/>
      </c>
      <c r="Y697" s="307" t="str">
        <f t="shared" si="204"/>
        <v/>
      </c>
      <c r="Z697" s="307">
        <f t="shared" si="199"/>
        <v>0</v>
      </c>
      <c r="AA697" s="366">
        <f t="shared" si="200"/>
        <v>0</v>
      </c>
      <c r="AB697" s="367">
        <f t="shared" si="205"/>
        <v>0</v>
      </c>
      <c r="AC697" s="305">
        <f t="shared" si="206"/>
        <v>0</v>
      </c>
      <c r="AP697" s="89" t="str">
        <f t="shared" si="194"/>
        <v/>
      </c>
      <c r="AQ697" s="89" t="str">
        <f t="shared" si="210"/>
        <v/>
      </c>
      <c r="AR697" s="315" t="str">
        <f t="shared" si="211"/>
        <v/>
      </c>
      <c r="AS697" s="305" t="str">
        <f t="shared" si="207"/>
        <v>0</v>
      </c>
      <c r="AT697" s="307">
        <f>Table22[[#This Row],[Column1]]</f>
        <v>0</v>
      </c>
    </row>
    <row r="698" spans="1:46" x14ac:dyDescent="0.3">
      <c r="A698" s="307">
        <f t="shared" si="201"/>
        <v>0</v>
      </c>
      <c r="B698" s="307">
        <f t="shared" si="208"/>
        <v>0</v>
      </c>
      <c r="C698" s="308" t="s">
        <v>563</v>
      </c>
      <c r="D698" s="309" t="s">
        <v>563</v>
      </c>
      <c r="E698" s="310">
        <v>0</v>
      </c>
      <c r="F698" s="310">
        <v>0</v>
      </c>
      <c r="G698" s="311">
        <v>0</v>
      </c>
      <c r="H698" s="310" t="s">
        <v>563</v>
      </c>
      <c r="I698" s="310" t="s">
        <v>563</v>
      </c>
      <c r="J698" s="310" t="s">
        <v>563</v>
      </c>
      <c r="K698" s="312">
        <v>0</v>
      </c>
      <c r="L698" s="310">
        <v>0</v>
      </c>
      <c r="M698" s="310">
        <v>0</v>
      </c>
      <c r="N698" s="313">
        <v>0</v>
      </c>
      <c r="O698" s="314" t="s">
        <v>563</v>
      </c>
      <c r="P698" s="307">
        <f t="shared" si="195"/>
        <v>0</v>
      </c>
      <c r="R698" s="91" t="str">
        <f t="shared" si="209"/>
        <v/>
      </c>
      <c r="S698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8" s="307" t="str">
        <f t="shared" si="197"/>
        <v/>
      </c>
      <c r="U698" s="315" t="str">
        <f t="shared" si="198"/>
        <v/>
      </c>
      <c r="V698" s="307">
        <f t="shared" si="202"/>
        <v>0</v>
      </c>
      <c r="W698" s="307">
        <f>IFERROR(IF(V698&gt;0,PROPER(Terbilang1(V698)&amp;" Rupiah"),0),"")</f>
        <v>0</v>
      </c>
      <c r="X698" s="90" t="str">
        <f t="shared" si="203"/>
        <v/>
      </c>
      <c r="Y698" s="307" t="str">
        <f t="shared" si="204"/>
        <v/>
      </c>
      <c r="Z698" s="307">
        <f t="shared" si="199"/>
        <v>0</v>
      </c>
      <c r="AA698" s="366">
        <f t="shared" si="200"/>
        <v>0</v>
      </c>
      <c r="AB698" s="367">
        <f t="shared" si="205"/>
        <v>0</v>
      </c>
      <c r="AC698" s="305">
        <f t="shared" si="206"/>
        <v>0</v>
      </c>
      <c r="AP698" s="89" t="str">
        <f t="shared" si="194"/>
        <v/>
      </c>
      <c r="AQ698" s="89" t="str">
        <f t="shared" si="210"/>
        <v/>
      </c>
      <c r="AR698" s="315" t="str">
        <f t="shared" si="211"/>
        <v/>
      </c>
      <c r="AS698" s="305" t="str">
        <f t="shared" si="207"/>
        <v>0</v>
      </c>
      <c r="AT698" s="307">
        <f>Table22[[#This Row],[Column1]]</f>
        <v>0</v>
      </c>
    </row>
    <row r="699" spans="1:46" x14ac:dyDescent="0.3">
      <c r="A699" s="307">
        <f t="shared" si="201"/>
        <v>0</v>
      </c>
      <c r="B699" s="307">
        <f t="shared" si="208"/>
        <v>0</v>
      </c>
      <c r="C699" s="308" t="s">
        <v>563</v>
      </c>
      <c r="D699" s="309" t="s">
        <v>563</v>
      </c>
      <c r="E699" s="310">
        <v>0</v>
      </c>
      <c r="F699" s="310">
        <v>0</v>
      </c>
      <c r="G699" s="311">
        <v>0</v>
      </c>
      <c r="H699" s="310" t="s">
        <v>563</v>
      </c>
      <c r="I699" s="310" t="s">
        <v>563</v>
      </c>
      <c r="J699" s="310" t="s">
        <v>563</v>
      </c>
      <c r="K699" s="312">
        <v>0</v>
      </c>
      <c r="L699" s="310">
        <v>0</v>
      </c>
      <c r="M699" s="310">
        <v>0</v>
      </c>
      <c r="N699" s="313">
        <v>0</v>
      </c>
      <c r="O699" s="314" t="s">
        <v>563</v>
      </c>
      <c r="P699" s="307">
        <f t="shared" si="195"/>
        <v>0</v>
      </c>
      <c r="R699" s="91" t="str">
        <f t="shared" si="209"/>
        <v/>
      </c>
      <c r="S699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699" s="307" t="str">
        <f t="shared" si="197"/>
        <v/>
      </c>
      <c r="U699" s="315" t="str">
        <f t="shared" si="198"/>
        <v/>
      </c>
      <c r="V699" s="307">
        <f t="shared" si="202"/>
        <v>0</v>
      </c>
      <c r="W699" s="307">
        <f>IFERROR(IF(V699&gt;0,PROPER(Terbilang1(V699)&amp;" Rupiah"),0),"")</f>
        <v>0</v>
      </c>
      <c r="X699" s="90" t="str">
        <f t="shared" si="203"/>
        <v/>
      </c>
      <c r="Y699" s="307" t="str">
        <f t="shared" si="204"/>
        <v/>
      </c>
      <c r="Z699" s="307">
        <f t="shared" si="199"/>
        <v>0</v>
      </c>
      <c r="AA699" s="366">
        <f t="shared" si="200"/>
        <v>0</v>
      </c>
      <c r="AB699" s="367">
        <f t="shared" si="205"/>
        <v>0</v>
      </c>
      <c r="AC699" s="305">
        <f t="shared" si="206"/>
        <v>0</v>
      </c>
      <c r="AP699" s="89" t="str">
        <f t="shared" si="194"/>
        <v/>
      </c>
      <c r="AQ699" s="89" t="str">
        <f t="shared" si="210"/>
        <v/>
      </c>
      <c r="AR699" s="315" t="str">
        <f t="shared" si="211"/>
        <v/>
      </c>
      <c r="AS699" s="305" t="str">
        <f t="shared" si="207"/>
        <v>0</v>
      </c>
      <c r="AT699" s="307">
        <f>Table22[[#This Row],[Column1]]</f>
        <v>0</v>
      </c>
    </row>
    <row r="700" spans="1:46" x14ac:dyDescent="0.3">
      <c r="A700" s="307">
        <f t="shared" si="201"/>
        <v>0</v>
      </c>
      <c r="B700" s="307">
        <f t="shared" si="208"/>
        <v>0</v>
      </c>
      <c r="C700" s="308" t="s">
        <v>563</v>
      </c>
      <c r="D700" s="309" t="s">
        <v>563</v>
      </c>
      <c r="E700" s="310">
        <v>0</v>
      </c>
      <c r="F700" s="310">
        <v>0</v>
      </c>
      <c r="G700" s="311">
        <v>0</v>
      </c>
      <c r="H700" s="310" t="s">
        <v>563</v>
      </c>
      <c r="I700" s="310" t="s">
        <v>563</v>
      </c>
      <c r="J700" s="310" t="s">
        <v>563</v>
      </c>
      <c r="K700" s="312">
        <v>0</v>
      </c>
      <c r="L700" s="310">
        <v>0</v>
      </c>
      <c r="M700" s="310">
        <v>0</v>
      </c>
      <c r="N700" s="313">
        <v>0</v>
      </c>
      <c r="O700" s="314" t="s">
        <v>563</v>
      </c>
      <c r="P700" s="307">
        <f t="shared" si="195"/>
        <v>0</v>
      </c>
      <c r="R700" s="91" t="str">
        <f t="shared" si="209"/>
        <v/>
      </c>
      <c r="S700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0" s="307" t="str">
        <f t="shared" si="197"/>
        <v/>
      </c>
      <c r="U700" s="315" t="str">
        <f t="shared" si="198"/>
        <v/>
      </c>
      <c r="V700" s="307">
        <f t="shared" si="202"/>
        <v>0</v>
      </c>
      <c r="W700" s="307">
        <f>IFERROR(IF(V700&gt;0,PROPER(Terbilang1(V700)&amp;" Rupiah"),0),"")</f>
        <v>0</v>
      </c>
      <c r="X700" s="90" t="str">
        <f t="shared" si="203"/>
        <v/>
      </c>
      <c r="Y700" s="307" t="str">
        <f t="shared" si="204"/>
        <v/>
      </c>
      <c r="Z700" s="307">
        <f t="shared" si="199"/>
        <v>0</v>
      </c>
      <c r="AA700" s="366">
        <f t="shared" si="200"/>
        <v>0</v>
      </c>
      <c r="AB700" s="367">
        <f t="shared" si="205"/>
        <v>0</v>
      </c>
      <c r="AC700" s="305">
        <f t="shared" si="206"/>
        <v>0</v>
      </c>
      <c r="AP700" s="89" t="str">
        <f t="shared" si="194"/>
        <v/>
      </c>
      <c r="AQ700" s="89" t="str">
        <f t="shared" si="210"/>
        <v/>
      </c>
      <c r="AR700" s="315" t="str">
        <f t="shared" si="211"/>
        <v/>
      </c>
      <c r="AS700" s="305" t="str">
        <f t="shared" si="207"/>
        <v>0</v>
      </c>
      <c r="AT700" s="307">
        <f>Table22[[#This Row],[Column1]]</f>
        <v>0</v>
      </c>
    </row>
    <row r="701" spans="1:46" x14ac:dyDescent="0.3">
      <c r="A701" s="307">
        <f t="shared" si="201"/>
        <v>0</v>
      </c>
      <c r="B701" s="307">
        <f t="shared" si="208"/>
        <v>0</v>
      </c>
      <c r="C701" s="308" t="s">
        <v>563</v>
      </c>
      <c r="D701" s="309" t="s">
        <v>563</v>
      </c>
      <c r="E701" s="310">
        <v>0</v>
      </c>
      <c r="F701" s="310">
        <v>0</v>
      </c>
      <c r="G701" s="311">
        <v>0</v>
      </c>
      <c r="H701" s="310" t="s">
        <v>563</v>
      </c>
      <c r="I701" s="310" t="s">
        <v>563</v>
      </c>
      <c r="J701" s="310" t="s">
        <v>563</v>
      </c>
      <c r="K701" s="312">
        <v>0</v>
      </c>
      <c r="L701" s="310">
        <v>0</v>
      </c>
      <c r="M701" s="310">
        <v>0</v>
      </c>
      <c r="N701" s="313">
        <v>0</v>
      </c>
      <c r="O701" s="314" t="s">
        <v>563</v>
      </c>
      <c r="P701" s="307">
        <f t="shared" si="195"/>
        <v>0</v>
      </c>
      <c r="R701" s="91" t="str">
        <f t="shared" si="209"/>
        <v/>
      </c>
      <c r="S701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1" s="307" t="str">
        <f t="shared" si="197"/>
        <v/>
      </c>
      <c r="U701" s="315" t="str">
        <f t="shared" si="198"/>
        <v/>
      </c>
      <c r="V701" s="307">
        <f t="shared" si="202"/>
        <v>0</v>
      </c>
      <c r="W701" s="307">
        <f>IFERROR(IF(V701&gt;0,PROPER(Terbilang1(V701)&amp;" Rupiah"),0),"")</f>
        <v>0</v>
      </c>
      <c r="X701" s="90" t="str">
        <f t="shared" si="203"/>
        <v/>
      </c>
      <c r="Y701" s="307" t="str">
        <f t="shared" si="204"/>
        <v/>
      </c>
      <c r="Z701" s="307">
        <f t="shared" si="199"/>
        <v>0</v>
      </c>
      <c r="AA701" s="366">
        <f t="shared" si="200"/>
        <v>0</v>
      </c>
      <c r="AB701" s="367">
        <f t="shared" si="205"/>
        <v>0</v>
      </c>
      <c r="AC701" s="305">
        <f t="shared" si="206"/>
        <v>0</v>
      </c>
      <c r="AP701" s="89" t="str">
        <f t="shared" si="194"/>
        <v/>
      </c>
      <c r="AQ701" s="89" t="str">
        <f t="shared" si="210"/>
        <v/>
      </c>
      <c r="AR701" s="315" t="str">
        <f t="shared" si="211"/>
        <v/>
      </c>
      <c r="AS701" s="305" t="str">
        <f t="shared" si="207"/>
        <v>0</v>
      </c>
      <c r="AT701" s="307">
        <f>Table22[[#This Row],[Column1]]</f>
        <v>0</v>
      </c>
    </row>
    <row r="702" spans="1:46" x14ac:dyDescent="0.3">
      <c r="A702" s="307">
        <f t="shared" si="201"/>
        <v>0</v>
      </c>
      <c r="B702" s="307">
        <f t="shared" si="208"/>
        <v>0</v>
      </c>
      <c r="C702" s="308" t="s">
        <v>563</v>
      </c>
      <c r="D702" s="309" t="s">
        <v>563</v>
      </c>
      <c r="E702" s="310">
        <v>0</v>
      </c>
      <c r="F702" s="310">
        <v>0</v>
      </c>
      <c r="G702" s="311">
        <v>0</v>
      </c>
      <c r="H702" s="310" t="s">
        <v>563</v>
      </c>
      <c r="I702" s="310" t="s">
        <v>563</v>
      </c>
      <c r="J702" s="310" t="s">
        <v>563</v>
      </c>
      <c r="K702" s="312">
        <v>0</v>
      </c>
      <c r="L702" s="310">
        <v>0</v>
      </c>
      <c r="M702" s="310">
        <v>0</v>
      </c>
      <c r="N702" s="313">
        <v>0</v>
      </c>
      <c r="O702" s="314" t="s">
        <v>563</v>
      </c>
      <c r="P702" s="307">
        <f t="shared" si="195"/>
        <v>0</v>
      </c>
      <c r="R702" s="91" t="str">
        <f t="shared" si="209"/>
        <v/>
      </c>
      <c r="S702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2" s="307" t="str">
        <f t="shared" si="197"/>
        <v/>
      </c>
      <c r="U702" s="315" t="str">
        <f t="shared" si="198"/>
        <v/>
      </c>
      <c r="V702" s="307">
        <f t="shared" si="202"/>
        <v>0</v>
      </c>
      <c r="W702" s="307">
        <f>IFERROR(IF(V702&gt;0,PROPER(Terbilang1(V702)&amp;" Rupiah"),0),"")</f>
        <v>0</v>
      </c>
      <c r="X702" s="90" t="str">
        <f t="shared" si="203"/>
        <v/>
      </c>
      <c r="Y702" s="307" t="str">
        <f t="shared" si="204"/>
        <v/>
      </c>
      <c r="Z702" s="307">
        <f t="shared" si="199"/>
        <v>0</v>
      </c>
      <c r="AA702" s="366">
        <f t="shared" si="200"/>
        <v>0</v>
      </c>
      <c r="AB702" s="367">
        <f t="shared" si="205"/>
        <v>0</v>
      </c>
      <c r="AC702" s="305">
        <f t="shared" si="206"/>
        <v>0</v>
      </c>
      <c r="AP702" s="89" t="str">
        <f t="shared" si="194"/>
        <v/>
      </c>
      <c r="AQ702" s="89" t="str">
        <f t="shared" si="210"/>
        <v/>
      </c>
      <c r="AR702" s="315" t="str">
        <f t="shared" si="211"/>
        <v/>
      </c>
      <c r="AS702" s="305" t="str">
        <f t="shared" si="207"/>
        <v>0</v>
      </c>
      <c r="AT702" s="307">
        <f>Table22[[#This Row],[Column1]]</f>
        <v>0</v>
      </c>
    </row>
    <row r="703" spans="1:46" x14ac:dyDescent="0.3">
      <c r="A703" s="307">
        <f t="shared" si="201"/>
        <v>0</v>
      </c>
      <c r="B703" s="307">
        <f t="shared" si="208"/>
        <v>0</v>
      </c>
      <c r="C703" s="308" t="s">
        <v>563</v>
      </c>
      <c r="D703" s="309" t="s">
        <v>563</v>
      </c>
      <c r="E703" s="310">
        <v>0</v>
      </c>
      <c r="F703" s="310">
        <v>0</v>
      </c>
      <c r="G703" s="311">
        <v>0</v>
      </c>
      <c r="H703" s="310" t="s">
        <v>563</v>
      </c>
      <c r="I703" s="310" t="s">
        <v>563</v>
      </c>
      <c r="J703" s="310" t="s">
        <v>563</v>
      </c>
      <c r="K703" s="312">
        <v>0</v>
      </c>
      <c r="L703" s="310">
        <v>0</v>
      </c>
      <c r="M703" s="310">
        <v>0</v>
      </c>
      <c r="N703" s="313">
        <v>0</v>
      </c>
      <c r="O703" s="314" t="s">
        <v>563</v>
      </c>
      <c r="P703" s="307">
        <f t="shared" si="195"/>
        <v>0</v>
      </c>
      <c r="R703" s="91" t="str">
        <f t="shared" si="209"/>
        <v/>
      </c>
      <c r="S703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3" s="307" t="str">
        <f t="shared" si="197"/>
        <v/>
      </c>
      <c r="U703" s="315" t="str">
        <f t="shared" si="198"/>
        <v/>
      </c>
      <c r="V703" s="307">
        <f t="shared" si="202"/>
        <v>0</v>
      </c>
      <c r="W703" s="307">
        <f>IFERROR(IF(V703&gt;0,PROPER(Terbilang1(V703)&amp;" Rupiah"),0),"")</f>
        <v>0</v>
      </c>
      <c r="X703" s="90" t="str">
        <f t="shared" si="203"/>
        <v/>
      </c>
      <c r="Y703" s="307" t="str">
        <f t="shared" si="204"/>
        <v/>
      </c>
      <c r="Z703" s="307">
        <f t="shared" si="199"/>
        <v>0</v>
      </c>
      <c r="AA703" s="366">
        <f t="shared" si="200"/>
        <v>0</v>
      </c>
      <c r="AB703" s="367">
        <f t="shared" si="205"/>
        <v>0</v>
      </c>
      <c r="AC703" s="305">
        <f t="shared" si="206"/>
        <v>0</v>
      </c>
      <c r="AP703" s="89" t="str">
        <f t="shared" si="194"/>
        <v/>
      </c>
      <c r="AQ703" s="89" t="str">
        <f t="shared" si="210"/>
        <v/>
      </c>
      <c r="AR703" s="315" t="str">
        <f t="shared" si="211"/>
        <v/>
      </c>
      <c r="AS703" s="305" t="str">
        <f t="shared" si="207"/>
        <v>0</v>
      </c>
      <c r="AT703" s="307">
        <f>Table22[[#This Row],[Column1]]</f>
        <v>0</v>
      </c>
    </row>
    <row r="704" spans="1:46" x14ac:dyDescent="0.3">
      <c r="A704" s="307">
        <f t="shared" si="201"/>
        <v>0</v>
      </c>
      <c r="B704" s="307">
        <f t="shared" si="208"/>
        <v>0</v>
      </c>
      <c r="C704" s="308" t="s">
        <v>563</v>
      </c>
      <c r="D704" s="309" t="s">
        <v>563</v>
      </c>
      <c r="E704" s="310">
        <v>0</v>
      </c>
      <c r="F704" s="310">
        <v>0</v>
      </c>
      <c r="G704" s="311">
        <v>0</v>
      </c>
      <c r="H704" s="310" t="s">
        <v>563</v>
      </c>
      <c r="I704" s="310" t="s">
        <v>563</v>
      </c>
      <c r="J704" s="310" t="s">
        <v>563</v>
      </c>
      <c r="K704" s="312">
        <v>0</v>
      </c>
      <c r="L704" s="310">
        <v>0</v>
      </c>
      <c r="M704" s="310">
        <v>0</v>
      </c>
      <c r="N704" s="313">
        <v>0</v>
      </c>
      <c r="O704" s="314" t="s">
        <v>563</v>
      </c>
      <c r="P704" s="307">
        <f t="shared" si="195"/>
        <v>0</v>
      </c>
      <c r="R704" s="91" t="str">
        <f t="shared" si="209"/>
        <v/>
      </c>
      <c r="S704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4" s="307" t="str">
        <f t="shared" si="197"/>
        <v/>
      </c>
      <c r="U704" s="315" t="str">
        <f t="shared" si="198"/>
        <v/>
      </c>
      <c r="V704" s="307">
        <f t="shared" si="202"/>
        <v>0</v>
      </c>
      <c r="W704" s="307">
        <f>IFERROR(IF(V704&gt;0,PROPER(Terbilang1(V704)&amp;" Rupiah"),0),"")</f>
        <v>0</v>
      </c>
      <c r="X704" s="90" t="str">
        <f t="shared" si="203"/>
        <v/>
      </c>
      <c r="Y704" s="307" t="str">
        <f t="shared" si="204"/>
        <v/>
      </c>
      <c r="Z704" s="307">
        <f t="shared" si="199"/>
        <v>0</v>
      </c>
      <c r="AA704" s="366">
        <f t="shared" si="200"/>
        <v>0</v>
      </c>
      <c r="AB704" s="367">
        <f t="shared" si="205"/>
        <v>0</v>
      </c>
      <c r="AC704" s="305">
        <f t="shared" si="206"/>
        <v>0</v>
      </c>
      <c r="AP704" s="89" t="str">
        <f t="shared" si="194"/>
        <v/>
      </c>
      <c r="AQ704" s="89" t="str">
        <f t="shared" si="210"/>
        <v/>
      </c>
      <c r="AR704" s="315" t="str">
        <f t="shared" si="211"/>
        <v/>
      </c>
      <c r="AS704" s="305" t="str">
        <f t="shared" si="207"/>
        <v>0</v>
      </c>
      <c r="AT704" s="307">
        <f>Table22[[#This Row],[Column1]]</f>
        <v>0</v>
      </c>
    </row>
    <row r="705" spans="1:46" x14ac:dyDescent="0.3">
      <c r="A705" s="307">
        <f t="shared" si="201"/>
        <v>0</v>
      </c>
      <c r="B705" s="307">
        <f t="shared" si="208"/>
        <v>0</v>
      </c>
      <c r="C705" s="308" t="s">
        <v>563</v>
      </c>
      <c r="D705" s="309" t="s">
        <v>563</v>
      </c>
      <c r="E705" s="310">
        <v>0</v>
      </c>
      <c r="F705" s="310">
        <v>0</v>
      </c>
      <c r="G705" s="311">
        <v>0</v>
      </c>
      <c r="H705" s="310" t="s">
        <v>563</v>
      </c>
      <c r="I705" s="310" t="s">
        <v>563</v>
      </c>
      <c r="J705" s="310" t="s">
        <v>563</v>
      </c>
      <c r="K705" s="312">
        <v>0</v>
      </c>
      <c r="L705" s="310">
        <v>0</v>
      </c>
      <c r="M705" s="310">
        <v>0</v>
      </c>
      <c r="N705" s="313">
        <v>0</v>
      </c>
      <c r="O705" s="314" t="s">
        <v>563</v>
      </c>
      <c r="P705" s="307">
        <f t="shared" si="195"/>
        <v>0</v>
      </c>
      <c r="R705" s="91" t="str">
        <f t="shared" si="209"/>
        <v/>
      </c>
      <c r="S705" s="307" t="str">
        <f t="shared" si="19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5" s="307" t="str">
        <f t="shared" si="197"/>
        <v/>
      </c>
      <c r="U705" s="315" t="str">
        <f t="shared" si="198"/>
        <v/>
      </c>
      <c r="V705" s="307">
        <f t="shared" si="202"/>
        <v>0</v>
      </c>
      <c r="W705" s="307">
        <f>IFERROR(IF(V705&gt;0,PROPER(Terbilang1(V705)&amp;" Rupiah"),0),"")</f>
        <v>0</v>
      </c>
      <c r="X705" s="90" t="str">
        <f t="shared" si="203"/>
        <v/>
      </c>
      <c r="Y705" s="307" t="str">
        <f t="shared" si="204"/>
        <v/>
      </c>
      <c r="Z705" s="307">
        <f t="shared" si="199"/>
        <v>0</v>
      </c>
      <c r="AA705" s="366">
        <f t="shared" si="200"/>
        <v>0</v>
      </c>
      <c r="AB705" s="367">
        <f t="shared" si="205"/>
        <v>0</v>
      </c>
      <c r="AC705" s="305">
        <f t="shared" si="206"/>
        <v>0</v>
      </c>
      <c r="AP705" s="89" t="str">
        <f t="shared" ref="AP705:AP768" si="212">IF(LEFT(O705,3)="BKK",1,"")</f>
        <v/>
      </c>
      <c r="AQ705" s="89" t="str">
        <f t="shared" si="210"/>
        <v/>
      </c>
      <c r="AR705" s="315" t="str">
        <f t="shared" si="211"/>
        <v/>
      </c>
      <c r="AS705" s="305" t="str">
        <f t="shared" si="207"/>
        <v>0</v>
      </c>
      <c r="AT705" s="307">
        <f>Table22[[#This Row],[Column1]]</f>
        <v>0</v>
      </c>
    </row>
    <row r="706" spans="1:46" x14ac:dyDescent="0.3">
      <c r="A706" s="307">
        <f t="shared" si="201"/>
        <v>0</v>
      </c>
      <c r="B706" s="307">
        <f t="shared" si="208"/>
        <v>0</v>
      </c>
      <c r="C706" s="308" t="s">
        <v>563</v>
      </c>
      <c r="D706" s="309" t="s">
        <v>563</v>
      </c>
      <c r="E706" s="310">
        <v>0</v>
      </c>
      <c r="F706" s="310">
        <v>0</v>
      </c>
      <c r="G706" s="311">
        <v>0</v>
      </c>
      <c r="H706" s="310" t="s">
        <v>563</v>
      </c>
      <c r="I706" s="310" t="s">
        <v>563</v>
      </c>
      <c r="J706" s="310" t="s">
        <v>563</v>
      </c>
      <c r="K706" s="312">
        <v>0</v>
      </c>
      <c r="L706" s="310">
        <v>0</v>
      </c>
      <c r="M706" s="310">
        <v>0</v>
      </c>
      <c r="N706" s="313">
        <v>0</v>
      </c>
      <c r="O706" s="314" t="s">
        <v>563</v>
      </c>
      <c r="P706" s="307">
        <f t="shared" ref="P706:P769" si="213">IF(LEFT(O706,1)="B",R706,0)</f>
        <v>0</v>
      </c>
      <c r="R706" s="91" t="str">
        <f t="shared" si="209"/>
        <v/>
      </c>
      <c r="S706" s="307" t="str">
        <f t="shared" ref="S706:S769" si="214">IF(O706="",S705&amp;"a",IF(O706&gt;0,O706,0))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6" s="307" t="str">
        <f t="shared" ref="T706:T769" si="215">IF(G706=0,"",G706)</f>
        <v/>
      </c>
      <c r="U706" s="315" t="str">
        <f t="shared" ref="U706:U769" si="216">D706</f>
        <v/>
      </c>
      <c r="V706" s="307">
        <f t="shared" si="202"/>
        <v>0</v>
      </c>
      <c r="W706" s="307">
        <f>IFERROR(IF(V706&gt;0,PROPER(Terbilang1(V706)&amp;" Rupiah"),0),"")</f>
        <v>0</v>
      </c>
      <c r="X706" s="90" t="str">
        <f t="shared" si="203"/>
        <v/>
      </c>
      <c r="Y706" s="307" t="str">
        <f t="shared" si="204"/>
        <v/>
      </c>
      <c r="Z706" s="307">
        <f t="shared" ref="Z706:Z769" si="217">IF(LEN(AA706)&gt;1,AA706,IF(AA706=0,AB706,0))</f>
        <v>0</v>
      </c>
      <c r="AA706" s="366">
        <f t="shared" ref="AA706:AA769" si="218">IFERROR(IF(AND(N706&gt;1,LEFT(G706,5)="Bayar"),N706*3.5%,IF(N706&gt;2000000,N706*(IF(OR(LEFT(F706,3)="MoP",LEFT(F706,3)="GaJ"),0,11%)),0)),0)</f>
        <v>0</v>
      </c>
      <c r="AB706" s="367">
        <f t="shared" si="205"/>
        <v>0</v>
      </c>
      <c r="AC706" s="305">
        <f t="shared" si="206"/>
        <v>0</v>
      </c>
      <c r="AP706" s="89" t="str">
        <f t="shared" si="212"/>
        <v/>
      </c>
      <c r="AQ706" s="89" t="str">
        <f t="shared" si="210"/>
        <v/>
      </c>
      <c r="AR706" s="315" t="str">
        <f t="shared" si="211"/>
        <v/>
      </c>
      <c r="AS706" s="305" t="str">
        <f t="shared" si="207"/>
        <v>0</v>
      </c>
      <c r="AT706" s="307">
        <f>Table22[[#This Row],[Column1]]</f>
        <v>0</v>
      </c>
    </row>
    <row r="707" spans="1:46" x14ac:dyDescent="0.3">
      <c r="A707" s="307">
        <f t="shared" ref="A707:A770" si="219">IF(C707=1,C707&amp;"."&amp;MOD(ROW()-1,$AJ$2+1),IF(C707=2,C707&amp;"."&amp;MOD(ROW()-($AJ$2+1),$AK$2+1),IF(C707=3,C707&amp;"."&amp;MOD(ROW()-($AJ$2+$AK$2+1),$AL$2+1),IF(C707=4,C707&amp;"."&amp;MOD(ROW()-($AJ$2+$AK$2+$AL$2+1),$AM$2+1),IF(C707=5,C707&amp;"."&amp;MOD(ROW()-($AJ$2+$AK$2+$AL$2+$AM$2+1),$AN$2+1),0)))))</f>
        <v>0</v>
      </c>
      <c r="B707" s="307">
        <f t="shared" si="208"/>
        <v>0</v>
      </c>
      <c r="C707" s="308" t="s">
        <v>563</v>
      </c>
      <c r="D707" s="309" t="s">
        <v>563</v>
      </c>
      <c r="E707" s="310">
        <v>0</v>
      </c>
      <c r="F707" s="310">
        <v>0</v>
      </c>
      <c r="G707" s="311">
        <v>0</v>
      </c>
      <c r="H707" s="310" t="s">
        <v>563</v>
      </c>
      <c r="I707" s="310" t="s">
        <v>563</v>
      </c>
      <c r="J707" s="310" t="s">
        <v>563</v>
      </c>
      <c r="K707" s="312">
        <v>0</v>
      </c>
      <c r="L707" s="310">
        <v>0</v>
      </c>
      <c r="M707" s="310">
        <v>0</v>
      </c>
      <c r="N707" s="313">
        <v>0</v>
      </c>
      <c r="O707" s="314" t="s">
        <v>563</v>
      </c>
      <c r="P707" s="307">
        <f t="shared" si="213"/>
        <v>0</v>
      </c>
      <c r="R707" s="91" t="str">
        <f t="shared" si="209"/>
        <v/>
      </c>
      <c r="S70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7" s="307" t="str">
        <f t="shared" si="215"/>
        <v/>
      </c>
      <c r="U707" s="315" t="str">
        <f t="shared" si="216"/>
        <v/>
      </c>
      <c r="V707" s="307">
        <f t="shared" ref="V707:V770" si="220">N707</f>
        <v>0</v>
      </c>
      <c r="W707" s="307">
        <f>IFERROR(IF(V707&gt;0,PROPER(Terbilang1(V707)&amp;" Rupiah"),0),"")</f>
        <v>0</v>
      </c>
      <c r="X707" s="90" t="str">
        <f t="shared" ref="X707:X770" si="221">J707</f>
        <v/>
      </c>
      <c r="Y707" s="307" t="str">
        <f t="shared" ref="Y707:Y770" si="222">H707</f>
        <v/>
      </c>
      <c r="Z707" s="307">
        <f t="shared" si="217"/>
        <v>0</v>
      </c>
      <c r="AA707" s="366">
        <f t="shared" si="218"/>
        <v>0</v>
      </c>
      <c r="AB707" s="367">
        <f t="shared" ref="AB707:AB770" si="223">IF(LEN(AA706)&gt;1,IF(LEFT(G706,5)="Bayar",0,IF(LEFT(G706,6)="PEMASA",(N706*100/111*1.5%),N706*0.015)),0)</f>
        <v>0</v>
      </c>
      <c r="AC707" s="305">
        <f t="shared" ref="AC707:AC770" si="224">IF(LEN(AA707)&gt;1,IF(LEFT(G707,6)="PEMASA","Terima Pajak PPN (11 %) "&amp;O707,IF(LEFT(G707,5)="Bayar","Terima PPh Pasal 4 ayat 2 (3,5 %) "&amp;O707,"Bayar Pajak PPN (11 %) "&amp;O707)),IF(AB707&gt;0,IF(LEFT(AC706,6)="Terima","Terima Pajak PPH (1,5%) "&amp;O706,"Bayar Pajak PPH (1,5 %) "&amp;O706),0))</f>
        <v>0</v>
      </c>
      <c r="AP707" s="89" t="str">
        <f t="shared" si="212"/>
        <v/>
      </c>
      <c r="AQ707" s="89" t="str">
        <f t="shared" si="210"/>
        <v/>
      </c>
      <c r="AR707" s="315" t="str">
        <f t="shared" si="211"/>
        <v/>
      </c>
      <c r="AS707" s="305" t="str">
        <f t="shared" ref="AS707:AS770" si="225">IF(AC707="","",LEFT(AC707,15))</f>
        <v>0</v>
      </c>
      <c r="AT707" s="307">
        <f>Table22[[#This Row],[Column1]]</f>
        <v>0</v>
      </c>
    </row>
    <row r="708" spans="1:46" x14ac:dyDescent="0.3">
      <c r="A708" s="307">
        <f t="shared" si="219"/>
        <v>0</v>
      </c>
      <c r="B708" s="307">
        <f t="shared" si="208"/>
        <v>0</v>
      </c>
      <c r="C708" s="308" t="s">
        <v>563</v>
      </c>
      <c r="D708" s="309" t="s">
        <v>563</v>
      </c>
      <c r="E708" s="310">
        <v>0</v>
      </c>
      <c r="F708" s="310">
        <v>0</v>
      </c>
      <c r="G708" s="311">
        <v>0</v>
      </c>
      <c r="H708" s="310" t="s">
        <v>563</v>
      </c>
      <c r="I708" s="310" t="s">
        <v>563</v>
      </c>
      <c r="J708" s="310" t="s">
        <v>563</v>
      </c>
      <c r="K708" s="312">
        <v>0</v>
      </c>
      <c r="L708" s="310">
        <v>0</v>
      </c>
      <c r="M708" s="310">
        <v>0</v>
      </c>
      <c r="N708" s="313">
        <v>0</v>
      </c>
      <c r="O708" s="314" t="s">
        <v>563</v>
      </c>
      <c r="P708" s="307">
        <f t="shared" si="213"/>
        <v>0</v>
      </c>
      <c r="R708" s="91" t="str">
        <f t="shared" si="209"/>
        <v/>
      </c>
      <c r="S70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8" s="307" t="str">
        <f t="shared" si="215"/>
        <v/>
      </c>
      <c r="U708" s="315" t="str">
        <f t="shared" si="216"/>
        <v/>
      </c>
      <c r="V708" s="307">
        <f t="shared" si="220"/>
        <v>0</v>
      </c>
      <c r="W708" s="307">
        <f>IFERROR(IF(V708&gt;0,PROPER(Terbilang1(V708)&amp;" Rupiah"),0),"")</f>
        <v>0</v>
      </c>
      <c r="X708" s="90" t="str">
        <f t="shared" si="221"/>
        <v/>
      </c>
      <c r="Y708" s="307" t="str">
        <f t="shared" si="222"/>
        <v/>
      </c>
      <c r="Z708" s="307">
        <f t="shared" si="217"/>
        <v>0</v>
      </c>
      <c r="AA708" s="366">
        <f t="shared" si="218"/>
        <v>0</v>
      </c>
      <c r="AB708" s="367">
        <f t="shared" si="223"/>
        <v>0</v>
      </c>
      <c r="AC708" s="305">
        <f t="shared" si="224"/>
        <v>0</v>
      </c>
      <c r="AP708" s="89" t="str">
        <f t="shared" si="212"/>
        <v/>
      </c>
      <c r="AQ708" s="89" t="str">
        <f t="shared" si="210"/>
        <v/>
      </c>
      <c r="AR708" s="315" t="str">
        <f t="shared" si="211"/>
        <v/>
      </c>
      <c r="AS708" s="305" t="str">
        <f t="shared" si="225"/>
        <v>0</v>
      </c>
      <c r="AT708" s="307">
        <f>Table22[[#This Row],[Column1]]</f>
        <v>0</v>
      </c>
    </row>
    <row r="709" spans="1:46" x14ac:dyDescent="0.3">
      <c r="A709" s="307">
        <f t="shared" si="219"/>
        <v>0</v>
      </c>
      <c r="B709" s="307">
        <f t="shared" si="208"/>
        <v>0</v>
      </c>
      <c r="C709" s="308" t="s">
        <v>563</v>
      </c>
      <c r="D709" s="309" t="s">
        <v>563</v>
      </c>
      <c r="E709" s="310">
        <v>0</v>
      </c>
      <c r="F709" s="310">
        <v>0</v>
      </c>
      <c r="G709" s="311">
        <v>0</v>
      </c>
      <c r="H709" s="310" t="s">
        <v>563</v>
      </c>
      <c r="I709" s="310" t="s">
        <v>563</v>
      </c>
      <c r="J709" s="310" t="s">
        <v>563</v>
      </c>
      <c r="K709" s="312">
        <v>0</v>
      </c>
      <c r="L709" s="310">
        <v>0</v>
      </c>
      <c r="M709" s="310">
        <v>0</v>
      </c>
      <c r="N709" s="313">
        <v>0</v>
      </c>
      <c r="O709" s="314" t="s">
        <v>563</v>
      </c>
      <c r="P709" s="307">
        <f t="shared" si="213"/>
        <v>0</v>
      </c>
      <c r="R709" s="91" t="str">
        <f t="shared" si="209"/>
        <v/>
      </c>
      <c r="S70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09" s="307" t="str">
        <f t="shared" si="215"/>
        <v/>
      </c>
      <c r="U709" s="315" t="str">
        <f t="shared" si="216"/>
        <v/>
      </c>
      <c r="V709" s="307">
        <f t="shared" si="220"/>
        <v>0</v>
      </c>
      <c r="W709" s="307">
        <f>IFERROR(IF(V709&gt;0,PROPER(Terbilang1(V709)&amp;" Rupiah"),0),"")</f>
        <v>0</v>
      </c>
      <c r="X709" s="90" t="str">
        <f t="shared" si="221"/>
        <v/>
      </c>
      <c r="Y709" s="307" t="str">
        <f t="shared" si="222"/>
        <v/>
      </c>
      <c r="Z709" s="307">
        <f t="shared" si="217"/>
        <v>0</v>
      </c>
      <c r="AA709" s="366">
        <f t="shared" si="218"/>
        <v>0</v>
      </c>
      <c r="AB709" s="367">
        <f t="shared" si="223"/>
        <v>0</v>
      </c>
      <c r="AC709" s="305">
        <f t="shared" si="224"/>
        <v>0</v>
      </c>
      <c r="AP709" s="89" t="str">
        <f t="shared" si="212"/>
        <v/>
      </c>
      <c r="AQ709" s="89" t="str">
        <f t="shared" si="210"/>
        <v/>
      </c>
      <c r="AR709" s="315" t="str">
        <f t="shared" si="211"/>
        <v/>
      </c>
      <c r="AS709" s="305" t="str">
        <f t="shared" si="225"/>
        <v>0</v>
      </c>
      <c r="AT709" s="307">
        <f>Table22[[#This Row],[Column1]]</f>
        <v>0</v>
      </c>
    </row>
    <row r="710" spans="1:46" x14ac:dyDescent="0.3">
      <c r="A710" s="307">
        <f t="shared" si="219"/>
        <v>0</v>
      </c>
      <c r="B710" s="307">
        <f t="shared" si="208"/>
        <v>0</v>
      </c>
      <c r="C710" s="308" t="s">
        <v>563</v>
      </c>
      <c r="D710" s="309" t="s">
        <v>563</v>
      </c>
      <c r="E710" s="310">
        <v>0</v>
      </c>
      <c r="F710" s="310">
        <v>0</v>
      </c>
      <c r="G710" s="311">
        <v>0</v>
      </c>
      <c r="H710" s="310" t="s">
        <v>563</v>
      </c>
      <c r="I710" s="310" t="s">
        <v>563</v>
      </c>
      <c r="J710" s="310" t="s">
        <v>563</v>
      </c>
      <c r="K710" s="312">
        <v>0</v>
      </c>
      <c r="L710" s="310">
        <v>0</v>
      </c>
      <c r="M710" s="310">
        <v>0</v>
      </c>
      <c r="N710" s="313">
        <v>0</v>
      </c>
      <c r="O710" s="314" t="s">
        <v>563</v>
      </c>
      <c r="P710" s="307">
        <f t="shared" si="213"/>
        <v>0</v>
      </c>
      <c r="R710" s="91" t="str">
        <f t="shared" si="209"/>
        <v/>
      </c>
      <c r="S71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0" s="307" t="str">
        <f t="shared" si="215"/>
        <v/>
      </c>
      <c r="U710" s="315" t="str">
        <f t="shared" si="216"/>
        <v/>
      </c>
      <c r="V710" s="307">
        <f t="shared" si="220"/>
        <v>0</v>
      </c>
      <c r="W710" s="307">
        <f>IFERROR(IF(V710&gt;0,PROPER(Terbilang1(V710)&amp;" Rupiah"),0),"")</f>
        <v>0</v>
      </c>
      <c r="X710" s="90" t="str">
        <f t="shared" si="221"/>
        <v/>
      </c>
      <c r="Y710" s="307" t="str">
        <f t="shared" si="222"/>
        <v/>
      </c>
      <c r="Z710" s="307">
        <f t="shared" si="217"/>
        <v>0</v>
      </c>
      <c r="AA710" s="366">
        <f t="shared" si="218"/>
        <v>0</v>
      </c>
      <c r="AB710" s="367">
        <f t="shared" si="223"/>
        <v>0</v>
      </c>
      <c r="AC710" s="305">
        <f t="shared" si="224"/>
        <v>0</v>
      </c>
      <c r="AP710" s="89" t="str">
        <f t="shared" si="212"/>
        <v/>
      </c>
      <c r="AQ710" s="89" t="str">
        <f t="shared" si="210"/>
        <v/>
      </c>
      <c r="AR710" s="315" t="str">
        <f t="shared" si="211"/>
        <v/>
      </c>
      <c r="AS710" s="305" t="str">
        <f t="shared" si="225"/>
        <v>0</v>
      </c>
      <c r="AT710" s="307">
        <f>Table22[[#This Row],[Column1]]</f>
        <v>0</v>
      </c>
    </row>
    <row r="711" spans="1:46" x14ac:dyDescent="0.3">
      <c r="A711" s="307">
        <f t="shared" si="219"/>
        <v>0</v>
      </c>
      <c r="B711" s="307">
        <f t="shared" si="208"/>
        <v>0</v>
      </c>
      <c r="C711" s="308" t="s">
        <v>563</v>
      </c>
      <c r="D711" s="309" t="s">
        <v>563</v>
      </c>
      <c r="E711" s="310">
        <v>0</v>
      </c>
      <c r="F711" s="310">
        <v>0</v>
      </c>
      <c r="G711" s="311">
        <v>0</v>
      </c>
      <c r="H711" s="310" t="s">
        <v>563</v>
      </c>
      <c r="I711" s="310" t="s">
        <v>563</v>
      </c>
      <c r="J711" s="310" t="s">
        <v>563</v>
      </c>
      <c r="K711" s="312">
        <v>0</v>
      </c>
      <c r="L711" s="310">
        <v>0</v>
      </c>
      <c r="M711" s="310">
        <v>0</v>
      </c>
      <c r="N711" s="313">
        <v>0</v>
      </c>
      <c r="O711" s="314" t="s">
        <v>563</v>
      </c>
      <c r="P711" s="307">
        <f t="shared" si="213"/>
        <v>0</v>
      </c>
      <c r="R711" s="91" t="str">
        <f t="shared" si="209"/>
        <v/>
      </c>
      <c r="S71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1" s="307" t="str">
        <f t="shared" si="215"/>
        <v/>
      </c>
      <c r="U711" s="315" t="str">
        <f t="shared" si="216"/>
        <v/>
      </c>
      <c r="V711" s="307">
        <f t="shared" si="220"/>
        <v>0</v>
      </c>
      <c r="W711" s="307">
        <f>IFERROR(IF(V711&gt;0,PROPER(Terbilang1(V711)&amp;" Rupiah"),0),"")</f>
        <v>0</v>
      </c>
      <c r="X711" s="90" t="str">
        <f t="shared" si="221"/>
        <v/>
      </c>
      <c r="Y711" s="307" t="str">
        <f t="shared" si="222"/>
        <v/>
      </c>
      <c r="Z711" s="307">
        <f t="shared" si="217"/>
        <v>0</v>
      </c>
      <c r="AA711" s="366">
        <f t="shared" si="218"/>
        <v>0</v>
      </c>
      <c r="AB711" s="367">
        <f t="shared" si="223"/>
        <v>0</v>
      </c>
      <c r="AC711" s="305">
        <f t="shared" si="224"/>
        <v>0</v>
      </c>
      <c r="AP711" s="89" t="str">
        <f t="shared" si="212"/>
        <v/>
      </c>
      <c r="AQ711" s="89" t="str">
        <f t="shared" si="210"/>
        <v/>
      </c>
      <c r="AR711" s="315" t="str">
        <f t="shared" si="211"/>
        <v/>
      </c>
      <c r="AS711" s="305" t="str">
        <f t="shared" si="225"/>
        <v>0</v>
      </c>
      <c r="AT711" s="307">
        <f>Table22[[#This Row],[Column1]]</f>
        <v>0</v>
      </c>
    </row>
    <row r="712" spans="1:46" x14ac:dyDescent="0.3">
      <c r="A712" s="307">
        <f t="shared" si="219"/>
        <v>0</v>
      </c>
      <c r="B712" s="307">
        <f t="shared" si="208"/>
        <v>0</v>
      </c>
      <c r="C712" s="308" t="s">
        <v>563</v>
      </c>
      <c r="D712" s="309" t="s">
        <v>563</v>
      </c>
      <c r="E712" s="310">
        <v>0</v>
      </c>
      <c r="F712" s="310">
        <v>0</v>
      </c>
      <c r="G712" s="311">
        <v>0</v>
      </c>
      <c r="H712" s="310" t="s">
        <v>563</v>
      </c>
      <c r="I712" s="310" t="s">
        <v>563</v>
      </c>
      <c r="J712" s="310" t="s">
        <v>563</v>
      </c>
      <c r="K712" s="312">
        <v>0</v>
      </c>
      <c r="L712" s="310">
        <v>0</v>
      </c>
      <c r="M712" s="310">
        <v>0</v>
      </c>
      <c r="N712" s="313">
        <v>0</v>
      </c>
      <c r="O712" s="314" t="s">
        <v>563</v>
      </c>
      <c r="P712" s="307">
        <f t="shared" si="213"/>
        <v>0</v>
      </c>
      <c r="R712" s="91" t="str">
        <f t="shared" si="209"/>
        <v/>
      </c>
      <c r="S71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2" s="307" t="str">
        <f t="shared" si="215"/>
        <v/>
      </c>
      <c r="U712" s="315" t="str">
        <f t="shared" si="216"/>
        <v/>
      </c>
      <c r="V712" s="307">
        <f t="shared" si="220"/>
        <v>0</v>
      </c>
      <c r="W712" s="307">
        <f>IFERROR(IF(V712&gt;0,PROPER(Terbilang1(V712)&amp;" Rupiah"),0),"")</f>
        <v>0</v>
      </c>
      <c r="X712" s="90" t="str">
        <f t="shared" si="221"/>
        <v/>
      </c>
      <c r="Y712" s="307" t="str">
        <f t="shared" si="222"/>
        <v/>
      </c>
      <c r="Z712" s="307">
        <f t="shared" si="217"/>
        <v>0</v>
      </c>
      <c r="AA712" s="366">
        <f t="shared" si="218"/>
        <v>0</v>
      </c>
      <c r="AB712" s="367">
        <f t="shared" si="223"/>
        <v>0</v>
      </c>
      <c r="AC712" s="305">
        <f t="shared" si="224"/>
        <v>0</v>
      </c>
      <c r="AP712" s="89" t="str">
        <f t="shared" si="212"/>
        <v/>
      </c>
      <c r="AQ712" s="89" t="str">
        <f t="shared" si="210"/>
        <v/>
      </c>
      <c r="AR712" s="315" t="str">
        <f t="shared" si="211"/>
        <v/>
      </c>
      <c r="AS712" s="305" t="str">
        <f t="shared" si="225"/>
        <v>0</v>
      </c>
      <c r="AT712" s="307">
        <f>Table22[[#This Row],[Column1]]</f>
        <v>0</v>
      </c>
    </row>
    <row r="713" spans="1:46" x14ac:dyDescent="0.3">
      <c r="A713" s="307">
        <f t="shared" si="219"/>
        <v>0</v>
      </c>
      <c r="B713" s="307">
        <f t="shared" si="208"/>
        <v>0</v>
      </c>
      <c r="C713" s="308" t="s">
        <v>563</v>
      </c>
      <c r="D713" s="309" t="s">
        <v>563</v>
      </c>
      <c r="E713" s="310">
        <v>0</v>
      </c>
      <c r="F713" s="310">
        <v>0</v>
      </c>
      <c r="G713" s="311">
        <v>0</v>
      </c>
      <c r="H713" s="310" t="s">
        <v>563</v>
      </c>
      <c r="I713" s="310" t="s">
        <v>563</v>
      </c>
      <c r="J713" s="310" t="s">
        <v>563</v>
      </c>
      <c r="K713" s="312">
        <v>0</v>
      </c>
      <c r="L713" s="310">
        <v>0</v>
      </c>
      <c r="M713" s="310">
        <v>0</v>
      </c>
      <c r="N713" s="313">
        <v>0</v>
      </c>
      <c r="O713" s="314" t="s">
        <v>563</v>
      </c>
      <c r="P713" s="307">
        <f t="shared" si="213"/>
        <v>0</v>
      </c>
      <c r="R713" s="91" t="str">
        <f t="shared" si="209"/>
        <v/>
      </c>
      <c r="S71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3" s="307" t="str">
        <f t="shared" si="215"/>
        <v/>
      </c>
      <c r="U713" s="315" t="str">
        <f t="shared" si="216"/>
        <v/>
      </c>
      <c r="V713" s="307">
        <f t="shared" si="220"/>
        <v>0</v>
      </c>
      <c r="W713" s="307">
        <f>IFERROR(IF(V713&gt;0,PROPER(Terbilang1(V713)&amp;" Rupiah"),0),"")</f>
        <v>0</v>
      </c>
      <c r="X713" s="90" t="str">
        <f t="shared" si="221"/>
        <v/>
      </c>
      <c r="Y713" s="307" t="str">
        <f t="shared" si="222"/>
        <v/>
      </c>
      <c r="Z713" s="307">
        <f t="shared" si="217"/>
        <v>0</v>
      </c>
      <c r="AA713" s="366">
        <f t="shared" si="218"/>
        <v>0</v>
      </c>
      <c r="AB713" s="367">
        <f t="shared" si="223"/>
        <v>0</v>
      </c>
      <c r="AC713" s="305">
        <f t="shared" si="224"/>
        <v>0</v>
      </c>
      <c r="AP713" s="89" t="str">
        <f t="shared" si="212"/>
        <v/>
      </c>
      <c r="AQ713" s="89" t="str">
        <f t="shared" si="210"/>
        <v/>
      </c>
      <c r="AR713" s="315" t="str">
        <f t="shared" si="211"/>
        <v/>
      </c>
      <c r="AS713" s="305" t="str">
        <f t="shared" si="225"/>
        <v>0</v>
      </c>
      <c r="AT713" s="307">
        <f>Table22[[#This Row],[Column1]]</f>
        <v>0</v>
      </c>
    </row>
    <row r="714" spans="1:46" x14ac:dyDescent="0.3">
      <c r="A714" s="307">
        <f t="shared" si="219"/>
        <v>0</v>
      </c>
      <c r="B714" s="307">
        <f t="shared" si="208"/>
        <v>0</v>
      </c>
      <c r="C714" s="308" t="s">
        <v>563</v>
      </c>
      <c r="D714" s="309" t="s">
        <v>563</v>
      </c>
      <c r="E714" s="310">
        <v>0</v>
      </c>
      <c r="F714" s="310">
        <v>0</v>
      </c>
      <c r="G714" s="311">
        <v>0</v>
      </c>
      <c r="H714" s="310" t="s">
        <v>563</v>
      </c>
      <c r="I714" s="310" t="s">
        <v>563</v>
      </c>
      <c r="J714" s="310" t="s">
        <v>563</v>
      </c>
      <c r="K714" s="312">
        <v>0</v>
      </c>
      <c r="L714" s="310">
        <v>0</v>
      </c>
      <c r="M714" s="310">
        <v>0</v>
      </c>
      <c r="N714" s="313">
        <v>0</v>
      </c>
      <c r="O714" s="314" t="s">
        <v>563</v>
      </c>
      <c r="P714" s="307">
        <f t="shared" si="213"/>
        <v>0</v>
      </c>
      <c r="R714" s="91" t="str">
        <f t="shared" si="209"/>
        <v/>
      </c>
      <c r="S71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4" s="307" t="str">
        <f t="shared" si="215"/>
        <v/>
      </c>
      <c r="U714" s="315" t="str">
        <f t="shared" si="216"/>
        <v/>
      </c>
      <c r="V714" s="307">
        <f t="shared" si="220"/>
        <v>0</v>
      </c>
      <c r="W714" s="307">
        <f>IFERROR(IF(V714&gt;0,PROPER(Terbilang1(V714)&amp;" Rupiah"),0),"")</f>
        <v>0</v>
      </c>
      <c r="X714" s="90" t="str">
        <f t="shared" si="221"/>
        <v/>
      </c>
      <c r="Y714" s="307" t="str">
        <f t="shared" si="222"/>
        <v/>
      </c>
      <c r="Z714" s="307">
        <f t="shared" si="217"/>
        <v>0</v>
      </c>
      <c r="AA714" s="366">
        <f t="shared" si="218"/>
        <v>0</v>
      </c>
      <c r="AB714" s="367">
        <f t="shared" si="223"/>
        <v>0</v>
      </c>
      <c r="AC714" s="305">
        <f t="shared" si="224"/>
        <v>0</v>
      </c>
      <c r="AP714" s="89" t="str">
        <f t="shared" si="212"/>
        <v/>
      </c>
      <c r="AQ714" s="89" t="str">
        <f t="shared" si="210"/>
        <v/>
      </c>
      <c r="AR714" s="315" t="str">
        <f t="shared" si="211"/>
        <v/>
      </c>
      <c r="AS714" s="305" t="str">
        <f t="shared" si="225"/>
        <v>0</v>
      </c>
      <c r="AT714" s="307">
        <f>Table22[[#This Row],[Column1]]</f>
        <v>0</v>
      </c>
    </row>
    <row r="715" spans="1:46" x14ac:dyDescent="0.3">
      <c r="A715" s="307">
        <f t="shared" si="219"/>
        <v>0</v>
      </c>
      <c r="B715" s="307">
        <f t="shared" si="208"/>
        <v>0</v>
      </c>
      <c r="C715" s="308" t="s">
        <v>563</v>
      </c>
      <c r="D715" s="309" t="s">
        <v>563</v>
      </c>
      <c r="E715" s="310">
        <v>0</v>
      </c>
      <c r="F715" s="310">
        <v>0</v>
      </c>
      <c r="G715" s="311">
        <v>0</v>
      </c>
      <c r="H715" s="310" t="s">
        <v>563</v>
      </c>
      <c r="I715" s="310" t="s">
        <v>563</v>
      </c>
      <c r="J715" s="310" t="s">
        <v>563</v>
      </c>
      <c r="K715" s="312">
        <v>0</v>
      </c>
      <c r="L715" s="310">
        <v>0</v>
      </c>
      <c r="M715" s="310">
        <v>0</v>
      </c>
      <c r="N715" s="313">
        <v>0</v>
      </c>
      <c r="O715" s="314" t="s">
        <v>563</v>
      </c>
      <c r="P715" s="307">
        <f t="shared" si="213"/>
        <v>0</v>
      </c>
      <c r="R715" s="91" t="str">
        <f t="shared" si="209"/>
        <v/>
      </c>
      <c r="S71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5" s="307" t="str">
        <f t="shared" si="215"/>
        <v/>
      </c>
      <c r="U715" s="315" t="str">
        <f t="shared" si="216"/>
        <v/>
      </c>
      <c r="V715" s="307">
        <f t="shared" si="220"/>
        <v>0</v>
      </c>
      <c r="W715" s="307">
        <f>IFERROR(IF(V715&gt;0,PROPER(Terbilang1(V715)&amp;" Rupiah"),0),"")</f>
        <v>0</v>
      </c>
      <c r="X715" s="90" t="str">
        <f t="shared" si="221"/>
        <v/>
      </c>
      <c r="Y715" s="307" t="str">
        <f t="shared" si="222"/>
        <v/>
      </c>
      <c r="Z715" s="307">
        <f t="shared" si="217"/>
        <v>0</v>
      </c>
      <c r="AA715" s="366">
        <f t="shared" si="218"/>
        <v>0</v>
      </c>
      <c r="AB715" s="367">
        <f t="shared" si="223"/>
        <v>0</v>
      </c>
      <c r="AC715" s="305">
        <f t="shared" si="224"/>
        <v>0</v>
      </c>
      <c r="AP715" s="89" t="str">
        <f t="shared" si="212"/>
        <v/>
      </c>
      <c r="AQ715" s="89" t="str">
        <f t="shared" si="210"/>
        <v/>
      </c>
      <c r="AR715" s="315" t="str">
        <f t="shared" si="211"/>
        <v/>
      </c>
      <c r="AS715" s="305" t="str">
        <f t="shared" si="225"/>
        <v>0</v>
      </c>
      <c r="AT715" s="307">
        <f>Table22[[#This Row],[Column1]]</f>
        <v>0</v>
      </c>
    </row>
    <row r="716" spans="1:46" x14ac:dyDescent="0.3">
      <c r="A716" s="307">
        <f t="shared" si="219"/>
        <v>0</v>
      </c>
      <c r="B716" s="307">
        <f t="shared" si="208"/>
        <v>0</v>
      </c>
      <c r="C716" s="308" t="s">
        <v>563</v>
      </c>
      <c r="D716" s="309" t="s">
        <v>563</v>
      </c>
      <c r="E716" s="310">
        <v>0</v>
      </c>
      <c r="F716" s="310">
        <v>0</v>
      </c>
      <c r="G716" s="311">
        <v>0</v>
      </c>
      <c r="H716" s="310" t="s">
        <v>563</v>
      </c>
      <c r="I716" s="310" t="s">
        <v>563</v>
      </c>
      <c r="J716" s="310" t="s">
        <v>563</v>
      </c>
      <c r="K716" s="312">
        <v>0</v>
      </c>
      <c r="L716" s="310">
        <v>0</v>
      </c>
      <c r="M716" s="310">
        <v>0</v>
      </c>
      <c r="N716" s="313">
        <v>0</v>
      </c>
      <c r="O716" s="314" t="s">
        <v>563</v>
      </c>
      <c r="P716" s="307">
        <f t="shared" si="213"/>
        <v>0</v>
      </c>
      <c r="R716" s="91" t="str">
        <f t="shared" si="209"/>
        <v/>
      </c>
      <c r="S71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6" s="307" t="str">
        <f t="shared" si="215"/>
        <v/>
      </c>
      <c r="U716" s="315" t="str">
        <f t="shared" si="216"/>
        <v/>
      </c>
      <c r="V716" s="307">
        <f t="shared" si="220"/>
        <v>0</v>
      </c>
      <c r="W716" s="307">
        <f>IFERROR(IF(V716&gt;0,PROPER(Terbilang1(V716)&amp;" Rupiah"),0),"")</f>
        <v>0</v>
      </c>
      <c r="X716" s="90" t="str">
        <f t="shared" si="221"/>
        <v/>
      </c>
      <c r="Y716" s="307" t="str">
        <f t="shared" si="222"/>
        <v/>
      </c>
      <c r="Z716" s="307">
        <f t="shared" si="217"/>
        <v>0</v>
      </c>
      <c r="AA716" s="366">
        <f t="shared" si="218"/>
        <v>0</v>
      </c>
      <c r="AB716" s="367">
        <f t="shared" si="223"/>
        <v>0</v>
      </c>
      <c r="AC716" s="305">
        <f t="shared" si="224"/>
        <v>0</v>
      </c>
      <c r="AP716" s="89" t="str">
        <f t="shared" si="212"/>
        <v/>
      </c>
      <c r="AQ716" s="89" t="str">
        <f t="shared" si="210"/>
        <v/>
      </c>
      <c r="AR716" s="315" t="str">
        <f t="shared" si="211"/>
        <v/>
      </c>
      <c r="AS716" s="305" t="str">
        <f t="shared" si="225"/>
        <v>0</v>
      </c>
      <c r="AT716" s="307">
        <f>Table22[[#This Row],[Column1]]</f>
        <v>0</v>
      </c>
    </row>
    <row r="717" spans="1:46" x14ac:dyDescent="0.3">
      <c r="A717" s="307">
        <f t="shared" si="219"/>
        <v>0</v>
      </c>
      <c r="B717" s="307">
        <f t="shared" si="208"/>
        <v>0</v>
      </c>
      <c r="C717" s="308" t="s">
        <v>563</v>
      </c>
      <c r="D717" s="309" t="s">
        <v>563</v>
      </c>
      <c r="E717" s="310">
        <v>0</v>
      </c>
      <c r="F717" s="310">
        <v>0</v>
      </c>
      <c r="G717" s="311">
        <v>0</v>
      </c>
      <c r="H717" s="310" t="s">
        <v>563</v>
      </c>
      <c r="I717" s="310" t="s">
        <v>563</v>
      </c>
      <c r="J717" s="310" t="s">
        <v>563</v>
      </c>
      <c r="K717" s="312">
        <v>0</v>
      </c>
      <c r="L717" s="310">
        <v>0</v>
      </c>
      <c r="M717" s="310">
        <v>0</v>
      </c>
      <c r="N717" s="313">
        <v>0</v>
      </c>
      <c r="O717" s="314" t="s">
        <v>563</v>
      </c>
      <c r="P717" s="307">
        <f t="shared" si="213"/>
        <v>0</v>
      </c>
      <c r="R717" s="91" t="str">
        <f t="shared" si="209"/>
        <v/>
      </c>
      <c r="S71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7" s="307" t="str">
        <f t="shared" si="215"/>
        <v/>
      </c>
      <c r="U717" s="315" t="str">
        <f t="shared" si="216"/>
        <v/>
      </c>
      <c r="V717" s="307">
        <f t="shared" si="220"/>
        <v>0</v>
      </c>
      <c r="W717" s="307">
        <f>IFERROR(IF(V717&gt;0,PROPER(Terbilang1(V717)&amp;" Rupiah"),0),"")</f>
        <v>0</v>
      </c>
      <c r="X717" s="90" t="str">
        <f t="shared" si="221"/>
        <v/>
      </c>
      <c r="Y717" s="307" t="str">
        <f t="shared" si="222"/>
        <v/>
      </c>
      <c r="Z717" s="307">
        <f t="shared" si="217"/>
        <v>0</v>
      </c>
      <c r="AA717" s="366">
        <f t="shared" si="218"/>
        <v>0</v>
      </c>
      <c r="AB717" s="367">
        <f t="shared" si="223"/>
        <v>0</v>
      </c>
      <c r="AC717" s="305">
        <f t="shared" si="224"/>
        <v>0</v>
      </c>
      <c r="AP717" s="89" t="str">
        <f t="shared" si="212"/>
        <v/>
      </c>
      <c r="AQ717" s="89" t="str">
        <f t="shared" si="210"/>
        <v/>
      </c>
      <c r="AR717" s="315" t="str">
        <f t="shared" si="211"/>
        <v/>
      </c>
      <c r="AS717" s="305" t="str">
        <f t="shared" si="225"/>
        <v>0</v>
      </c>
      <c r="AT717" s="307">
        <f>Table22[[#This Row],[Column1]]</f>
        <v>0</v>
      </c>
    </row>
    <row r="718" spans="1:46" x14ac:dyDescent="0.3">
      <c r="A718" s="307">
        <f t="shared" si="219"/>
        <v>0</v>
      </c>
      <c r="B718" s="307">
        <f t="shared" si="208"/>
        <v>0</v>
      </c>
      <c r="C718" s="308" t="s">
        <v>563</v>
      </c>
      <c r="D718" s="309" t="s">
        <v>563</v>
      </c>
      <c r="E718" s="310">
        <v>0</v>
      </c>
      <c r="F718" s="310">
        <v>0</v>
      </c>
      <c r="G718" s="311">
        <v>0</v>
      </c>
      <c r="H718" s="310" t="s">
        <v>563</v>
      </c>
      <c r="I718" s="310" t="s">
        <v>563</v>
      </c>
      <c r="J718" s="310" t="s">
        <v>563</v>
      </c>
      <c r="K718" s="312">
        <v>0</v>
      </c>
      <c r="L718" s="310">
        <v>0</v>
      </c>
      <c r="M718" s="310">
        <v>0</v>
      </c>
      <c r="N718" s="313">
        <v>0</v>
      </c>
      <c r="O718" s="314" t="s">
        <v>563</v>
      </c>
      <c r="P718" s="307">
        <f t="shared" si="213"/>
        <v>0</v>
      </c>
      <c r="R718" s="91" t="str">
        <f t="shared" si="209"/>
        <v/>
      </c>
      <c r="S71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8" s="307" t="str">
        <f t="shared" si="215"/>
        <v/>
      </c>
      <c r="U718" s="315" t="str">
        <f t="shared" si="216"/>
        <v/>
      </c>
      <c r="V718" s="307">
        <f t="shared" si="220"/>
        <v>0</v>
      </c>
      <c r="W718" s="307">
        <f>IFERROR(IF(V718&gt;0,PROPER(Terbilang1(V718)&amp;" Rupiah"),0),"")</f>
        <v>0</v>
      </c>
      <c r="X718" s="90" t="str">
        <f t="shared" si="221"/>
        <v/>
      </c>
      <c r="Y718" s="307" t="str">
        <f t="shared" si="222"/>
        <v/>
      </c>
      <c r="Z718" s="307">
        <f t="shared" si="217"/>
        <v>0</v>
      </c>
      <c r="AA718" s="366">
        <f t="shared" si="218"/>
        <v>0</v>
      </c>
      <c r="AB718" s="367">
        <f t="shared" si="223"/>
        <v>0</v>
      </c>
      <c r="AC718" s="305">
        <f t="shared" si="224"/>
        <v>0</v>
      </c>
      <c r="AP718" s="89" t="str">
        <f t="shared" si="212"/>
        <v/>
      </c>
      <c r="AQ718" s="89" t="str">
        <f t="shared" si="210"/>
        <v/>
      </c>
      <c r="AR718" s="315" t="str">
        <f t="shared" si="211"/>
        <v/>
      </c>
      <c r="AS718" s="305" t="str">
        <f t="shared" si="225"/>
        <v>0</v>
      </c>
      <c r="AT718" s="307">
        <f>Table22[[#This Row],[Column1]]</f>
        <v>0</v>
      </c>
    </row>
    <row r="719" spans="1:46" x14ac:dyDescent="0.3">
      <c r="A719" s="307">
        <f t="shared" si="219"/>
        <v>0</v>
      </c>
      <c r="B719" s="307">
        <f t="shared" si="208"/>
        <v>0</v>
      </c>
      <c r="C719" s="308" t="s">
        <v>563</v>
      </c>
      <c r="D719" s="309" t="s">
        <v>563</v>
      </c>
      <c r="E719" s="310">
        <v>0</v>
      </c>
      <c r="F719" s="310">
        <v>0</v>
      </c>
      <c r="G719" s="311">
        <v>0</v>
      </c>
      <c r="H719" s="310" t="s">
        <v>563</v>
      </c>
      <c r="I719" s="310" t="s">
        <v>563</v>
      </c>
      <c r="J719" s="310" t="s">
        <v>563</v>
      </c>
      <c r="K719" s="312">
        <v>0</v>
      </c>
      <c r="L719" s="310">
        <v>0</v>
      </c>
      <c r="M719" s="310">
        <v>0</v>
      </c>
      <c r="N719" s="313">
        <v>0</v>
      </c>
      <c r="O719" s="314" t="s">
        <v>563</v>
      </c>
      <c r="P719" s="307">
        <f t="shared" si="213"/>
        <v>0</v>
      </c>
      <c r="R719" s="91" t="str">
        <f t="shared" si="209"/>
        <v/>
      </c>
      <c r="S71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19" s="307" t="str">
        <f t="shared" si="215"/>
        <v/>
      </c>
      <c r="U719" s="315" t="str">
        <f t="shared" si="216"/>
        <v/>
      </c>
      <c r="V719" s="307">
        <f t="shared" si="220"/>
        <v>0</v>
      </c>
      <c r="W719" s="307">
        <f>IFERROR(IF(V719&gt;0,PROPER(Terbilang1(V719)&amp;" Rupiah"),0),"")</f>
        <v>0</v>
      </c>
      <c r="X719" s="90" t="str">
        <f t="shared" si="221"/>
        <v/>
      </c>
      <c r="Y719" s="307" t="str">
        <f t="shared" si="222"/>
        <v/>
      </c>
      <c r="Z719" s="307">
        <f t="shared" si="217"/>
        <v>0</v>
      </c>
      <c r="AA719" s="366">
        <f t="shared" si="218"/>
        <v>0</v>
      </c>
      <c r="AB719" s="367">
        <f t="shared" si="223"/>
        <v>0</v>
      </c>
      <c r="AC719" s="305">
        <f t="shared" si="224"/>
        <v>0</v>
      </c>
      <c r="AP719" s="89" t="str">
        <f t="shared" si="212"/>
        <v/>
      </c>
      <c r="AQ719" s="89" t="str">
        <f t="shared" si="210"/>
        <v/>
      </c>
      <c r="AR719" s="315" t="str">
        <f t="shared" si="211"/>
        <v/>
      </c>
      <c r="AS719" s="305" t="str">
        <f t="shared" si="225"/>
        <v>0</v>
      </c>
      <c r="AT719" s="307">
        <f>Table22[[#This Row],[Column1]]</f>
        <v>0</v>
      </c>
    </row>
    <row r="720" spans="1:46" x14ac:dyDescent="0.3">
      <c r="A720" s="307">
        <f t="shared" si="219"/>
        <v>0</v>
      </c>
      <c r="B720" s="307">
        <f t="shared" si="208"/>
        <v>0</v>
      </c>
      <c r="C720" s="308" t="s">
        <v>563</v>
      </c>
      <c r="D720" s="309" t="s">
        <v>563</v>
      </c>
      <c r="E720" s="310">
        <v>0</v>
      </c>
      <c r="F720" s="310">
        <v>0</v>
      </c>
      <c r="G720" s="311">
        <v>0</v>
      </c>
      <c r="H720" s="310" t="s">
        <v>563</v>
      </c>
      <c r="I720" s="310" t="s">
        <v>563</v>
      </c>
      <c r="J720" s="310" t="s">
        <v>563</v>
      </c>
      <c r="K720" s="312">
        <v>0</v>
      </c>
      <c r="L720" s="310">
        <v>0</v>
      </c>
      <c r="M720" s="310">
        <v>0</v>
      </c>
      <c r="N720" s="313">
        <v>0</v>
      </c>
      <c r="O720" s="314" t="s">
        <v>563</v>
      </c>
      <c r="P720" s="307">
        <f t="shared" si="213"/>
        <v>0</v>
      </c>
      <c r="R720" s="91" t="str">
        <f t="shared" si="209"/>
        <v/>
      </c>
      <c r="S72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0" s="307" t="str">
        <f t="shared" si="215"/>
        <v/>
      </c>
      <c r="U720" s="315" t="str">
        <f t="shared" si="216"/>
        <v/>
      </c>
      <c r="V720" s="307">
        <f t="shared" si="220"/>
        <v>0</v>
      </c>
      <c r="W720" s="307">
        <f>IFERROR(IF(V720&gt;0,PROPER(Terbilang1(V720)&amp;" Rupiah"),0),"")</f>
        <v>0</v>
      </c>
      <c r="X720" s="90" t="str">
        <f t="shared" si="221"/>
        <v/>
      </c>
      <c r="Y720" s="307" t="str">
        <f t="shared" si="222"/>
        <v/>
      </c>
      <c r="Z720" s="307">
        <f t="shared" si="217"/>
        <v>0</v>
      </c>
      <c r="AA720" s="366">
        <f t="shared" si="218"/>
        <v>0</v>
      </c>
      <c r="AB720" s="367">
        <f t="shared" si="223"/>
        <v>0</v>
      </c>
      <c r="AC720" s="305">
        <f t="shared" si="224"/>
        <v>0</v>
      </c>
      <c r="AP720" s="89" t="str">
        <f t="shared" si="212"/>
        <v/>
      </c>
      <c r="AQ720" s="89" t="str">
        <f t="shared" si="210"/>
        <v/>
      </c>
      <c r="AR720" s="315" t="str">
        <f t="shared" si="211"/>
        <v/>
      </c>
      <c r="AS720" s="305" t="str">
        <f t="shared" si="225"/>
        <v>0</v>
      </c>
      <c r="AT720" s="307">
        <f>Table22[[#This Row],[Column1]]</f>
        <v>0</v>
      </c>
    </row>
    <row r="721" spans="1:46" x14ac:dyDescent="0.3">
      <c r="A721" s="307">
        <f t="shared" si="219"/>
        <v>0</v>
      </c>
      <c r="B721" s="307">
        <f t="shared" si="208"/>
        <v>0</v>
      </c>
      <c r="C721" s="308" t="s">
        <v>563</v>
      </c>
      <c r="D721" s="309" t="s">
        <v>563</v>
      </c>
      <c r="E721" s="310">
        <v>0</v>
      </c>
      <c r="F721" s="310">
        <v>0</v>
      </c>
      <c r="G721" s="311">
        <v>0</v>
      </c>
      <c r="H721" s="310" t="s">
        <v>563</v>
      </c>
      <c r="I721" s="310" t="s">
        <v>563</v>
      </c>
      <c r="J721" s="310" t="s">
        <v>563</v>
      </c>
      <c r="K721" s="312">
        <v>0</v>
      </c>
      <c r="L721" s="310">
        <v>0</v>
      </c>
      <c r="M721" s="310">
        <v>0</v>
      </c>
      <c r="N721" s="313">
        <v>0</v>
      </c>
      <c r="O721" s="314" t="s">
        <v>563</v>
      </c>
      <c r="P721" s="307">
        <f t="shared" si="213"/>
        <v>0</v>
      </c>
      <c r="R721" s="91" t="str">
        <f t="shared" si="209"/>
        <v/>
      </c>
      <c r="S72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1" s="307" t="str">
        <f t="shared" si="215"/>
        <v/>
      </c>
      <c r="U721" s="315" t="str">
        <f t="shared" si="216"/>
        <v/>
      </c>
      <c r="V721" s="307">
        <f t="shared" si="220"/>
        <v>0</v>
      </c>
      <c r="W721" s="307">
        <f>IFERROR(IF(V721&gt;0,PROPER(Terbilang1(V721)&amp;" Rupiah"),0),"")</f>
        <v>0</v>
      </c>
      <c r="X721" s="90" t="str">
        <f t="shared" si="221"/>
        <v/>
      </c>
      <c r="Y721" s="307" t="str">
        <f t="shared" si="222"/>
        <v/>
      </c>
      <c r="Z721" s="307">
        <f t="shared" si="217"/>
        <v>0</v>
      </c>
      <c r="AA721" s="366">
        <f t="shared" si="218"/>
        <v>0</v>
      </c>
      <c r="AB721" s="367">
        <f t="shared" si="223"/>
        <v>0</v>
      </c>
      <c r="AC721" s="305">
        <f t="shared" si="224"/>
        <v>0</v>
      </c>
      <c r="AP721" s="89" t="str">
        <f t="shared" si="212"/>
        <v/>
      </c>
      <c r="AQ721" s="89" t="str">
        <f t="shared" si="210"/>
        <v/>
      </c>
      <c r="AR721" s="315" t="str">
        <f t="shared" si="211"/>
        <v/>
      </c>
      <c r="AS721" s="305" t="str">
        <f t="shared" si="225"/>
        <v>0</v>
      </c>
      <c r="AT721" s="307">
        <f>Table22[[#This Row],[Column1]]</f>
        <v>0</v>
      </c>
    </row>
    <row r="722" spans="1:46" x14ac:dyDescent="0.3">
      <c r="A722" s="307">
        <f t="shared" si="219"/>
        <v>0</v>
      </c>
      <c r="B722" s="307">
        <f t="shared" si="208"/>
        <v>0</v>
      </c>
      <c r="C722" s="308" t="s">
        <v>563</v>
      </c>
      <c r="D722" s="309" t="s">
        <v>563</v>
      </c>
      <c r="E722" s="310">
        <v>0</v>
      </c>
      <c r="F722" s="310">
        <v>0</v>
      </c>
      <c r="G722" s="311">
        <v>0</v>
      </c>
      <c r="H722" s="310" t="s">
        <v>563</v>
      </c>
      <c r="I722" s="310" t="s">
        <v>563</v>
      </c>
      <c r="J722" s="310" t="s">
        <v>563</v>
      </c>
      <c r="K722" s="312">
        <v>0</v>
      </c>
      <c r="L722" s="310">
        <v>0</v>
      </c>
      <c r="M722" s="310">
        <v>0</v>
      </c>
      <c r="N722" s="313">
        <v>0</v>
      </c>
      <c r="O722" s="314" t="s">
        <v>563</v>
      </c>
      <c r="P722" s="307">
        <f t="shared" si="213"/>
        <v>0</v>
      </c>
      <c r="R722" s="91" t="str">
        <f t="shared" si="209"/>
        <v/>
      </c>
      <c r="S72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2" s="307" t="str">
        <f t="shared" si="215"/>
        <v/>
      </c>
      <c r="U722" s="315" t="str">
        <f t="shared" si="216"/>
        <v/>
      </c>
      <c r="V722" s="307">
        <f t="shared" si="220"/>
        <v>0</v>
      </c>
      <c r="W722" s="307">
        <f>IFERROR(IF(V722&gt;0,PROPER(Terbilang1(V722)&amp;" Rupiah"),0),"")</f>
        <v>0</v>
      </c>
      <c r="X722" s="90" t="str">
        <f t="shared" si="221"/>
        <v/>
      </c>
      <c r="Y722" s="307" t="str">
        <f t="shared" si="222"/>
        <v/>
      </c>
      <c r="Z722" s="307">
        <f t="shared" si="217"/>
        <v>0</v>
      </c>
      <c r="AA722" s="366">
        <f t="shared" si="218"/>
        <v>0</v>
      </c>
      <c r="AB722" s="367">
        <f t="shared" si="223"/>
        <v>0</v>
      </c>
      <c r="AC722" s="305">
        <f t="shared" si="224"/>
        <v>0</v>
      </c>
      <c r="AP722" s="89" t="str">
        <f t="shared" si="212"/>
        <v/>
      </c>
      <c r="AQ722" s="89" t="str">
        <f t="shared" si="210"/>
        <v/>
      </c>
      <c r="AR722" s="315" t="str">
        <f t="shared" si="211"/>
        <v/>
      </c>
      <c r="AS722" s="305" t="str">
        <f t="shared" si="225"/>
        <v>0</v>
      </c>
      <c r="AT722" s="307">
        <f>Table22[[#This Row],[Column1]]</f>
        <v>0</v>
      </c>
    </row>
    <row r="723" spans="1:46" x14ac:dyDescent="0.3">
      <c r="A723" s="307">
        <f t="shared" si="219"/>
        <v>0</v>
      </c>
      <c r="B723" s="307">
        <f t="shared" si="208"/>
        <v>0</v>
      </c>
      <c r="C723" s="308" t="s">
        <v>563</v>
      </c>
      <c r="D723" s="309" t="s">
        <v>563</v>
      </c>
      <c r="E723" s="310">
        <v>0</v>
      </c>
      <c r="F723" s="310">
        <v>0</v>
      </c>
      <c r="G723" s="311">
        <v>0</v>
      </c>
      <c r="H723" s="310" t="s">
        <v>563</v>
      </c>
      <c r="I723" s="310" t="s">
        <v>563</v>
      </c>
      <c r="J723" s="310" t="s">
        <v>563</v>
      </c>
      <c r="K723" s="312">
        <v>0</v>
      </c>
      <c r="L723" s="310">
        <v>0</v>
      </c>
      <c r="M723" s="310">
        <v>0</v>
      </c>
      <c r="N723" s="313">
        <v>0</v>
      </c>
      <c r="O723" s="314" t="s">
        <v>563</v>
      </c>
      <c r="P723" s="307">
        <f t="shared" si="213"/>
        <v>0</v>
      </c>
      <c r="R723" s="91" t="str">
        <f t="shared" si="209"/>
        <v/>
      </c>
      <c r="S72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3" s="307" t="str">
        <f t="shared" si="215"/>
        <v/>
      </c>
      <c r="U723" s="315" t="str">
        <f t="shared" si="216"/>
        <v/>
      </c>
      <c r="V723" s="307">
        <f t="shared" si="220"/>
        <v>0</v>
      </c>
      <c r="W723" s="307">
        <f>IFERROR(IF(V723&gt;0,PROPER(Terbilang1(V723)&amp;" Rupiah"),0),"")</f>
        <v>0</v>
      </c>
      <c r="X723" s="90" t="str">
        <f t="shared" si="221"/>
        <v/>
      </c>
      <c r="Y723" s="307" t="str">
        <f t="shared" si="222"/>
        <v/>
      </c>
      <c r="Z723" s="307">
        <f t="shared" si="217"/>
        <v>0</v>
      </c>
      <c r="AA723" s="366">
        <f t="shared" si="218"/>
        <v>0</v>
      </c>
      <c r="AB723" s="367">
        <f t="shared" si="223"/>
        <v>0</v>
      </c>
      <c r="AC723" s="305">
        <f t="shared" si="224"/>
        <v>0</v>
      </c>
      <c r="AP723" s="89" t="str">
        <f t="shared" si="212"/>
        <v/>
      </c>
      <c r="AQ723" s="89" t="str">
        <f t="shared" si="210"/>
        <v/>
      </c>
      <c r="AR723" s="315" t="str">
        <f t="shared" si="211"/>
        <v/>
      </c>
      <c r="AS723" s="305" t="str">
        <f t="shared" si="225"/>
        <v>0</v>
      </c>
      <c r="AT723" s="307">
        <f>Table22[[#This Row],[Column1]]</f>
        <v>0</v>
      </c>
    </row>
    <row r="724" spans="1:46" x14ac:dyDescent="0.3">
      <c r="A724" s="307">
        <f t="shared" si="219"/>
        <v>0</v>
      </c>
      <c r="B724" s="307">
        <f t="shared" si="208"/>
        <v>0</v>
      </c>
      <c r="C724" s="308" t="s">
        <v>563</v>
      </c>
      <c r="D724" s="309" t="s">
        <v>563</v>
      </c>
      <c r="E724" s="310">
        <v>0</v>
      </c>
      <c r="F724" s="310">
        <v>0</v>
      </c>
      <c r="G724" s="311">
        <v>0</v>
      </c>
      <c r="H724" s="310" t="s">
        <v>563</v>
      </c>
      <c r="I724" s="310" t="s">
        <v>563</v>
      </c>
      <c r="J724" s="310" t="s">
        <v>563</v>
      </c>
      <c r="K724" s="312">
        <v>0</v>
      </c>
      <c r="L724" s="310">
        <v>0</v>
      </c>
      <c r="M724" s="310">
        <v>0</v>
      </c>
      <c r="N724" s="313">
        <v>0</v>
      </c>
      <c r="O724" s="314" t="s">
        <v>563</v>
      </c>
      <c r="P724" s="307">
        <f t="shared" si="213"/>
        <v>0</v>
      </c>
      <c r="R724" s="91" t="str">
        <f t="shared" si="209"/>
        <v/>
      </c>
      <c r="S72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4" s="307" t="str">
        <f t="shared" si="215"/>
        <v/>
      </c>
      <c r="U724" s="315" t="str">
        <f t="shared" si="216"/>
        <v/>
      </c>
      <c r="V724" s="307">
        <f t="shared" si="220"/>
        <v>0</v>
      </c>
      <c r="W724" s="307">
        <f>IFERROR(IF(V724&gt;0,PROPER(Terbilang1(V724)&amp;" Rupiah"),0),"")</f>
        <v>0</v>
      </c>
      <c r="X724" s="90" t="str">
        <f t="shared" si="221"/>
        <v/>
      </c>
      <c r="Y724" s="307" t="str">
        <f t="shared" si="222"/>
        <v/>
      </c>
      <c r="Z724" s="307">
        <f t="shared" si="217"/>
        <v>0</v>
      </c>
      <c r="AA724" s="366">
        <f t="shared" si="218"/>
        <v>0</v>
      </c>
      <c r="AB724" s="367">
        <f t="shared" si="223"/>
        <v>0</v>
      </c>
      <c r="AC724" s="305">
        <f t="shared" si="224"/>
        <v>0</v>
      </c>
      <c r="AP724" s="89" t="str">
        <f t="shared" si="212"/>
        <v/>
      </c>
      <c r="AQ724" s="89" t="str">
        <f t="shared" si="210"/>
        <v/>
      </c>
      <c r="AR724" s="315" t="str">
        <f t="shared" si="211"/>
        <v/>
      </c>
      <c r="AS724" s="305" t="str">
        <f t="shared" si="225"/>
        <v>0</v>
      </c>
      <c r="AT724" s="307">
        <f>Table22[[#This Row],[Column1]]</f>
        <v>0</v>
      </c>
    </row>
    <row r="725" spans="1:46" x14ac:dyDescent="0.3">
      <c r="A725" s="307">
        <f t="shared" si="219"/>
        <v>0</v>
      </c>
      <c r="B725" s="307">
        <f t="shared" si="208"/>
        <v>0</v>
      </c>
      <c r="C725" s="308" t="s">
        <v>563</v>
      </c>
      <c r="D725" s="309" t="s">
        <v>563</v>
      </c>
      <c r="E725" s="310">
        <v>0</v>
      </c>
      <c r="F725" s="310">
        <v>0</v>
      </c>
      <c r="G725" s="311">
        <v>0</v>
      </c>
      <c r="H725" s="310" t="s">
        <v>563</v>
      </c>
      <c r="I725" s="310" t="s">
        <v>563</v>
      </c>
      <c r="J725" s="310" t="s">
        <v>563</v>
      </c>
      <c r="K725" s="312">
        <v>0</v>
      </c>
      <c r="L725" s="310">
        <v>0</v>
      </c>
      <c r="M725" s="310">
        <v>0</v>
      </c>
      <c r="N725" s="313">
        <v>0</v>
      </c>
      <c r="O725" s="314" t="s">
        <v>563</v>
      </c>
      <c r="P725" s="307">
        <f t="shared" si="213"/>
        <v>0</v>
      </c>
      <c r="R725" s="91" t="str">
        <f t="shared" si="209"/>
        <v/>
      </c>
      <c r="S72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5" s="307" t="str">
        <f t="shared" si="215"/>
        <v/>
      </c>
      <c r="U725" s="315" t="str">
        <f t="shared" si="216"/>
        <v/>
      </c>
      <c r="V725" s="307">
        <f t="shared" si="220"/>
        <v>0</v>
      </c>
      <c r="W725" s="307">
        <f>IFERROR(IF(V725&gt;0,PROPER(Terbilang1(V725)&amp;" Rupiah"),0),"")</f>
        <v>0</v>
      </c>
      <c r="X725" s="90" t="str">
        <f t="shared" si="221"/>
        <v/>
      </c>
      <c r="Y725" s="307" t="str">
        <f t="shared" si="222"/>
        <v/>
      </c>
      <c r="Z725" s="307">
        <f t="shared" si="217"/>
        <v>0</v>
      </c>
      <c r="AA725" s="366">
        <f t="shared" si="218"/>
        <v>0</v>
      </c>
      <c r="AB725" s="367">
        <f t="shared" si="223"/>
        <v>0</v>
      </c>
      <c r="AC725" s="305">
        <f t="shared" si="224"/>
        <v>0</v>
      </c>
      <c r="AP725" s="89" t="str">
        <f t="shared" si="212"/>
        <v/>
      </c>
      <c r="AQ725" s="89" t="str">
        <f t="shared" si="210"/>
        <v/>
      </c>
      <c r="AR725" s="315" t="str">
        <f t="shared" si="211"/>
        <v/>
      </c>
      <c r="AS725" s="305" t="str">
        <f t="shared" si="225"/>
        <v>0</v>
      </c>
      <c r="AT725" s="307">
        <f>Table22[[#This Row],[Column1]]</f>
        <v>0</v>
      </c>
    </row>
    <row r="726" spans="1:46" x14ac:dyDescent="0.3">
      <c r="A726" s="307">
        <f t="shared" si="219"/>
        <v>0</v>
      </c>
      <c r="B726" s="307">
        <f t="shared" si="208"/>
        <v>0</v>
      </c>
      <c r="C726" s="308" t="s">
        <v>563</v>
      </c>
      <c r="D726" s="309" t="s">
        <v>563</v>
      </c>
      <c r="E726" s="310">
        <v>0</v>
      </c>
      <c r="F726" s="310">
        <v>0</v>
      </c>
      <c r="G726" s="311">
        <v>0</v>
      </c>
      <c r="H726" s="310" t="s">
        <v>563</v>
      </c>
      <c r="I726" s="310" t="s">
        <v>563</v>
      </c>
      <c r="J726" s="310" t="s">
        <v>563</v>
      </c>
      <c r="K726" s="312">
        <v>0</v>
      </c>
      <c r="L726" s="310">
        <v>0</v>
      </c>
      <c r="M726" s="310">
        <v>0</v>
      </c>
      <c r="N726" s="313">
        <v>0</v>
      </c>
      <c r="O726" s="314" t="s">
        <v>563</v>
      </c>
      <c r="P726" s="307">
        <f t="shared" si="213"/>
        <v>0</v>
      </c>
      <c r="R726" s="91" t="str">
        <f t="shared" si="209"/>
        <v/>
      </c>
      <c r="S72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6" s="307" t="str">
        <f t="shared" si="215"/>
        <v/>
      </c>
      <c r="U726" s="315" t="str">
        <f t="shared" si="216"/>
        <v/>
      </c>
      <c r="V726" s="307">
        <f t="shared" si="220"/>
        <v>0</v>
      </c>
      <c r="W726" s="307">
        <f>IFERROR(IF(V726&gt;0,PROPER(Terbilang1(V726)&amp;" Rupiah"),0),"")</f>
        <v>0</v>
      </c>
      <c r="X726" s="90" t="str">
        <f t="shared" si="221"/>
        <v/>
      </c>
      <c r="Y726" s="307" t="str">
        <f t="shared" si="222"/>
        <v/>
      </c>
      <c r="Z726" s="307">
        <f t="shared" si="217"/>
        <v>0</v>
      </c>
      <c r="AA726" s="366">
        <f t="shared" si="218"/>
        <v>0</v>
      </c>
      <c r="AB726" s="367">
        <f t="shared" si="223"/>
        <v>0</v>
      </c>
      <c r="AC726" s="305">
        <f t="shared" si="224"/>
        <v>0</v>
      </c>
      <c r="AP726" s="89" t="str">
        <f t="shared" si="212"/>
        <v/>
      </c>
      <c r="AQ726" s="89" t="str">
        <f t="shared" si="210"/>
        <v/>
      </c>
      <c r="AR726" s="315" t="str">
        <f t="shared" si="211"/>
        <v/>
      </c>
      <c r="AS726" s="305" t="str">
        <f t="shared" si="225"/>
        <v>0</v>
      </c>
      <c r="AT726" s="307">
        <f>Table22[[#This Row],[Column1]]</f>
        <v>0</v>
      </c>
    </row>
    <row r="727" spans="1:46" x14ac:dyDescent="0.3">
      <c r="A727" s="307">
        <f t="shared" si="219"/>
        <v>0</v>
      </c>
      <c r="B727" s="307">
        <f t="shared" si="208"/>
        <v>0</v>
      </c>
      <c r="C727" s="308" t="s">
        <v>563</v>
      </c>
      <c r="D727" s="309" t="s">
        <v>563</v>
      </c>
      <c r="E727" s="310">
        <v>0</v>
      </c>
      <c r="F727" s="310">
        <v>0</v>
      </c>
      <c r="G727" s="311">
        <v>0</v>
      </c>
      <c r="H727" s="310" t="s">
        <v>563</v>
      </c>
      <c r="I727" s="310" t="s">
        <v>563</v>
      </c>
      <c r="J727" s="310" t="s">
        <v>563</v>
      </c>
      <c r="K727" s="312">
        <v>0</v>
      </c>
      <c r="L727" s="310">
        <v>0</v>
      </c>
      <c r="M727" s="310">
        <v>0</v>
      </c>
      <c r="N727" s="313">
        <v>0</v>
      </c>
      <c r="O727" s="314" t="s">
        <v>563</v>
      </c>
      <c r="P727" s="307">
        <f t="shared" si="213"/>
        <v>0</v>
      </c>
      <c r="R727" s="91" t="str">
        <f t="shared" si="209"/>
        <v/>
      </c>
      <c r="S72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7" s="307" t="str">
        <f t="shared" si="215"/>
        <v/>
      </c>
      <c r="U727" s="315" t="str">
        <f t="shared" si="216"/>
        <v/>
      </c>
      <c r="V727" s="307">
        <f t="shared" si="220"/>
        <v>0</v>
      </c>
      <c r="W727" s="307">
        <f>IFERROR(IF(V727&gt;0,PROPER(Terbilang1(V727)&amp;" Rupiah"),0),"")</f>
        <v>0</v>
      </c>
      <c r="X727" s="90" t="str">
        <f t="shared" si="221"/>
        <v/>
      </c>
      <c r="Y727" s="307" t="str">
        <f t="shared" si="222"/>
        <v/>
      </c>
      <c r="Z727" s="307">
        <f t="shared" si="217"/>
        <v>0</v>
      </c>
      <c r="AA727" s="366">
        <f t="shared" si="218"/>
        <v>0</v>
      </c>
      <c r="AB727" s="367">
        <f t="shared" si="223"/>
        <v>0</v>
      </c>
      <c r="AC727" s="305">
        <f t="shared" si="224"/>
        <v>0</v>
      </c>
      <c r="AP727" s="89" t="str">
        <f t="shared" si="212"/>
        <v/>
      </c>
      <c r="AQ727" s="89" t="str">
        <f t="shared" si="210"/>
        <v/>
      </c>
      <c r="AR727" s="315" t="str">
        <f t="shared" si="211"/>
        <v/>
      </c>
      <c r="AS727" s="305" t="str">
        <f t="shared" si="225"/>
        <v>0</v>
      </c>
      <c r="AT727" s="307">
        <f>Table22[[#This Row],[Column1]]</f>
        <v>0</v>
      </c>
    </row>
    <row r="728" spans="1:46" x14ac:dyDescent="0.3">
      <c r="A728" s="307">
        <f t="shared" si="219"/>
        <v>0</v>
      </c>
      <c r="B728" s="307">
        <f t="shared" si="208"/>
        <v>0</v>
      </c>
      <c r="C728" s="308" t="s">
        <v>563</v>
      </c>
      <c r="D728" s="309" t="s">
        <v>563</v>
      </c>
      <c r="E728" s="310">
        <v>0</v>
      </c>
      <c r="F728" s="310">
        <v>0</v>
      </c>
      <c r="G728" s="311">
        <v>0</v>
      </c>
      <c r="H728" s="310" t="s">
        <v>563</v>
      </c>
      <c r="I728" s="310" t="s">
        <v>563</v>
      </c>
      <c r="J728" s="310" t="s">
        <v>563</v>
      </c>
      <c r="K728" s="312">
        <v>0</v>
      </c>
      <c r="L728" s="310">
        <v>0</v>
      </c>
      <c r="M728" s="310">
        <v>0</v>
      </c>
      <c r="N728" s="313">
        <v>0</v>
      </c>
      <c r="O728" s="314" t="s">
        <v>563</v>
      </c>
      <c r="P728" s="307">
        <f t="shared" si="213"/>
        <v>0</v>
      </c>
      <c r="R728" s="91" t="str">
        <f t="shared" si="209"/>
        <v/>
      </c>
      <c r="S72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8" s="307" t="str">
        <f t="shared" si="215"/>
        <v/>
      </c>
      <c r="U728" s="315" t="str">
        <f t="shared" si="216"/>
        <v/>
      </c>
      <c r="V728" s="307">
        <f t="shared" si="220"/>
        <v>0</v>
      </c>
      <c r="W728" s="307">
        <f>IFERROR(IF(V728&gt;0,PROPER(Terbilang1(V728)&amp;" Rupiah"),0),"")</f>
        <v>0</v>
      </c>
      <c r="X728" s="90" t="str">
        <f t="shared" si="221"/>
        <v/>
      </c>
      <c r="Y728" s="307" t="str">
        <f t="shared" si="222"/>
        <v/>
      </c>
      <c r="Z728" s="307">
        <f t="shared" si="217"/>
        <v>0</v>
      </c>
      <c r="AA728" s="366">
        <f t="shared" si="218"/>
        <v>0</v>
      </c>
      <c r="AB728" s="367">
        <f t="shared" si="223"/>
        <v>0</v>
      </c>
      <c r="AC728" s="305">
        <f t="shared" si="224"/>
        <v>0</v>
      </c>
      <c r="AP728" s="89" t="str">
        <f t="shared" si="212"/>
        <v/>
      </c>
      <c r="AQ728" s="89" t="str">
        <f t="shared" si="210"/>
        <v/>
      </c>
      <c r="AR728" s="315" t="str">
        <f t="shared" si="211"/>
        <v/>
      </c>
      <c r="AS728" s="305" t="str">
        <f t="shared" si="225"/>
        <v>0</v>
      </c>
      <c r="AT728" s="307">
        <f>Table22[[#This Row],[Column1]]</f>
        <v>0</v>
      </c>
    </row>
    <row r="729" spans="1:46" x14ac:dyDescent="0.3">
      <c r="A729" s="307">
        <f t="shared" si="219"/>
        <v>0</v>
      </c>
      <c r="B729" s="307">
        <f t="shared" si="208"/>
        <v>0</v>
      </c>
      <c r="C729" s="308" t="s">
        <v>563</v>
      </c>
      <c r="D729" s="309" t="s">
        <v>563</v>
      </c>
      <c r="E729" s="310">
        <v>0</v>
      </c>
      <c r="F729" s="310">
        <v>0</v>
      </c>
      <c r="G729" s="311">
        <v>0</v>
      </c>
      <c r="H729" s="310" t="s">
        <v>563</v>
      </c>
      <c r="I729" s="310" t="s">
        <v>563</v>
      </c>
      <c r="J729" s="310" t="s">
        <v>563</v>
      </c>
      <c r="K729" s="312">
        <v>0</v>
      </c>
      <c r="L729" s="310">
        <v>0</v>
      </c>
      <c r="M729" s="310">
        <v>0</v>
      </c>
      <c r="N729" s="313">
        <v>0</v>
      </c>
      <c r="O729" s="314" t="s">
        <v>563</v>
      </c>
      <c r="P729" s="307">
        <f t="shared" si="213"/>
        <v>0</v>
      </c>
      <c r="R729" s="91" t="str">
        <f t="shared" si="209"/>
        <v/>
      </c>
      <c r="S72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29" s="307" t="str">
        <f t="shared" si="215"/>
        <v/>
      </c>
      <c r="U729" s="315" t="str">
        <f t="shared" si="216"/>
        <v/>
      </c>
      <c r="V729" s="307">
        <f t="shared" si="220"/>
        <v>0</v>
      </c>
      <c r="W729" s="307">
        <f>IFERROR(IF(V729&gt;0,PROPER(Terbilang1(V729)&amp;" Rupiah"),0),"")</f>
        <v>0</v>
      </c>
      <c r="X729" s="90" t="str">
        <f t="shared" si="221"/>
        <v/>
      </c>
      <c r="Y729" s="307" t="str">
        <f t="shared" si="222"/>
        <v/>
      </c>
      <c r="Z729" s="307">
        <f t="shared" si="217"/>
        <v>0</v>
      </c>
      <c r="AA729" s="366">
        <f t="shared" si="218"/>
        <v>0</v>
      </c>
      <c r="AB729" s="367">
        <f t="shared" si="223"/>
        <v>0</v>
      </c>
      <c r="AC729" s="305">
        <f t="shared" si="224"/>
        <v>0</v>
      </c>
      <c r="AP729" s="89" t="str">
        <f t="shared" si="212"/>
        <v/>
      </c>
      <c r="AQ729" s="89" t="str">
        <f t="shared" si="210"/>
        <v/>
      </c>
      <c r="AR729" s="315" t="str">
        <f t="shared" si="211"/>
        <v/>
      </c>
      <c r="AS729" s="305" t="str">
        <f t="shared" si="225"/>
        <v>0</v>
      </c>
      <c r="AT729" s="307">
        <f>Table22[[#This Row],[Column1]]</f>
        <v>0</v>
      </c>
    </row>
    <row r="730" spans="1:46" x14ac:dyDescent="0.3">
      <c r="A730" s="307">
        <f t="shared" si="219"/>
        <v>0</v>
      </c>
      <c r="B730" s="307">
        <f t="shared" si="208"/>
        <v>0</v>
      </c>
      <c r="C730" s="308" t="s">
        <v>563</v>
      </c>
      <c r="D730" s="309" t="s">
        <v>563</v>
      </c>
      <c r="E730" s="310">
        <v>0</v>
      </c>
      <c r="F730" s="310">
        <v>0</v>
      </c>
      <c r="G730" s="311">
        <v>0</v>
      </c>
      <c r="H730" s="310" t="s">
        <v>563</v>
      </c>
      <c r="I730" s="310" t="s">
        <v>563</v>
      </c>
      <c r="J730" s="310" t="s">
        <v>563</v>
      </c>
      <c r="K730" s="312">
        <v>0</v>
      </c>
      <c r="L730" s="310">
        <v>0</v>
      </c>
      <c r="M730" s="310">
        <v>0</v>
      </c>
      <c r="N730" s="313">
        <v>0</v>
      </c>
      <c r="O730" s="314" t="s">
        <v>563</v>
      </c>
      <c r="P730" s="307">
        <f t="shared" si="213"/>
        <v>0</v>
      </c>
      <c r="R730" s="91" t="str">
        <f t="shared" si="209"/>
        <v/>
      </c>
      <c r="S73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0" s="307" t="str">
        <f t="shared" si="215"/>
        <v/>
      </c>
      <c r="U730" s="315" t="str">
        <f t="shared" si="216"/>
        <v/>
      </c>
      <c r="V730" s="307">
        <f t="shared" si="220"/>
        <v>0</v>
      </c>
      <c r="W730" s="307">
        <f>IFERROR(IF(V730&gt;0,PROPER(Terbilang1(V730)&amp;" Rupiah"),0),"")</f>
        <v>0</v>
      </c>
      <c r="X730" s="90" t="str">
        <f t="shared" si="221"/>
        <v/>
      </c>
      <c r="Y730" s="307" t="str">
        <f t="shared" si="222"/>
        <v/>
      </c>
      <c r="Z730" s="307">
        <f t="shared" si="217"/>
        <v>0</v>
      </c>
      <c r="AA730" s="366">
        <f t="shared" si="218"/>
        <v>0</v>
      </c>
      <c r="AB730" s="367">
        <f t="shared" si="223"/>
        <v>0</v>
      </c>
      <c r="AC730" s="305">
        <f t="shared" si="224"/>
        <v>0</v>
      </c>
      <c r="AP730" s="89" t="str">
        <f t="shared" si="212"/>
        <v/>
      </c>
      <c r="AQ730" s="89" t="str">
        <f t="shared" si="210"/>
        <v/>
      </c>
      <c r="AR730" s="315" t="str">
        <f t="shared" si="211"/>
        <v/>
      </c>
      <c r="AS730" s="305" t="str">
        <f t="shared" si="225"/>
        <v>0</v>
      </c>
      <c r="AT730" s="307">
        <f>Table22[[#This Row],[Column1]]</f>
        <v>0</v>
      </c>
    </row>
    <row r="731" spans="1:46" x14ac:dyDescent="0.3">
      <c r="A731" s="307">
        <f t="shared" si="219"/>
        <v>0</v>
      </c>
      <c r="B731" s="307">
        <f t="shared" si="208"/>
        <v>0</v>
      </c>
      <c r="C731" s="308" t="s">
        <v>563</v>
      </c>
      <c r="D731" s="309" t="s">
        <v>563</v>
      </c>
      <c r="E731" s="310">
        <v>0</v>
      </c>
      <c r="F731" s="310">
        <v>0</v>
      </c>
      <c r="G731" s="311">
        <v>0</v>
      </c>
      <c r="H731" s="310" t="s">
        <v>563</v>
      </c>
      <c r="I731" s="310" t="s">
        <v>563</v>
      </c>
      <c r="J731" s="310" t="s">
        <v>563</v>
      </c>
      <c r="K731" s="312">
        <v>0</v>
      </c>
      <c r="L731" s="310">
        <v>0</v>
      </c>
      <c r="M731" s="310">
        <v>0</v>
      </c>
      <c r="N731" s="313">
        <v>0</v>
      </c>
      <c r="O731" s="314" t="s">
        <v>563</v>
      </c>
      <c r="P731" s="307">
        <f t="shared" si="213"/>
        <v>0</v>
      </c>
      <c r="R731" s="91" t="str">
        <f t="shared" si="209"/>
        <v/>
      </c>
      <c r="S73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1" s="307" t="str">
        <f t="shared" si="215"/>
        <v/>
      </c>
      <c r="U731" s="315" t="str">
        <f t="shared" si="216"/>
        <v/>
      </c>
      <c r="V731" s="307">
        <f t="shared" si="220"/>
        <v>0</v>
      </c>
      <c r="W731" s="307">
        <f>IFERROR(IF(V731&gt;0,PROPER(Terbilang1(V731)&amp;" Rupiah"),0),"")</f>
        <v>0</v>
      </c>
      <c r="X731" s="90" t="str">
        <f t="shared" si="221"/>
        <v/>
      </c>
      <c r="Y731" s="307" t="str">
        <f t="shared" si="222"/>
        <v/>
      </c>
      <c r="Z731" s="307">
        <f t="shared" si="217"/>
        <v>0</v>
      </c>
      <c r="AA731" s="366">
        <f t="shared" si="218"/>
        <v>0</v>
      </c>
      <c r="AB731" s="367">
        <f t="shared" si="223"/>
        <v>0</v>
      </c>
      <c r="AC731" s="305">
        <f t="shared" si="224"/>
        <v>0</v>
      </c>
      <c r="AP731" s="89" t="str">
        <f t="shared" si="212"/>
        <v/>
      </c>
      <c r="AQ731" s="89" t="str">
        <f t="shared" si="210"/>
        <v/>
      </c>
      <c r="AR731" s="315" t="str">
        <f t="shared" si="211"/>
        <v/>
      </c>
      <c r="AS731" s="305" t="str">
        <f t="shared" si="225"/>
        <v>0</v>
      </c>
      <c r="AT731" s="307">
        <f>Table22[[#This Row],[Column1]]</f>
        <v>0</v>
      </c>
    </row>
    <row r="732" spans="1:46" x14ac:dyDescent="0.3">
      <c r="A732" s="307">
        <f t="shared" si="219"/>
        <v>0</v>
      </c>
      <c r="B732" s="307">
        <f t="shared" si="208"/>
        <v>0</v>
      </c>
      <c r="C732" s="308" t="s">
        <v>563</v>
      </c>
      <c r="D732" s="309" t="s">
        <v>563</v>
      </c>
      <c r="E732" s="310">
        <v>0</v>
      </c>
      <c r="F732" s="310">
        <v>0</v>
      </c>
      <c r="G732" s="311">
        <v>0</v>
      </c>
      <c r="H732" s="310" t="s">
        <v>563</v>
      </c>
      <c r="I732" s="310" t="s">
        <v>563</v>
      </c>
      <c r="J732" s="310" t="s">
        <v>563</v>
      </c>
      <c r="K732" s="312">
        <v>0</v>
      </c>
      <c r="L732" s="310">
        <v>0</v>
      </c>
      <c r="M732" s="310">
        <v>0</v>
      </c>
      <c r="N732" s="313">
        <v>0</v>
      </c>
      <c r="O732" s="314" t="s">
        <v>563</v>
      </c>
      <c r="P732" s="307">
        <f t="shared" si="213"/>
        <v>0</v>
      </c>
      <c r="R732" s="91" t="str">
        <f t="shared" si="209"/>
        <v/>
      </c>
      <c r="S73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2" s="307" t="str">
        <f t="shared" si="215"/>
        <v/>
      </c>
      <c r="U732" s="315" t="str">
        <f t="shared" si="216"/>
        <v/>
      </c>
      <c r="V732" s="307">
        <f t="shared" si="220"/>
        <v>0</v>
      </c>
      <c r="W732" s="307">
        <f>IFERROR(IF(V732&gt;0,PROPER(Terbilang1(V732)&amp;" Rupiah"),0),"")</f>
        <v>0</v>
      </c>
      <c r="X732" s="90" t="str">
        <f t="shared" si="221"/>
        <v/>
      </c>
      <c r="Y732" s="307" t="str">
        <f t="shared" si="222"/>
        <v/>
      </c>
      <c r="Z732" s="307">
        <f t="shared" si="217"/>
        <v>0</v>
      </c>
      <c r="AA732" s="366">
        <f t="shared" si="218"/>
        <v>0</v>
      </c>
      <c r="AB732" s="367">
        <f t="shared" si="223"/>
        <v>0</v>
      </c>
      <c r="AC732" s="305">
        <f t="shared" si="224"/>
        <v>0</v>
      </c>
      <c r="AP732" s="89" t="str">
        <f t="shared" si="212"/>
        <v/>
      </c>
      <c r="AQ732" s="89" t="str">
        <f t="shared" si="210"/>
        <v/>
      </c>
      <c r="AR732" s="315" t="str">
        <f t="shared" si="211"/>
        <v/>
      </c>
      <c r="AS732" s="305" t="str">
        <f t="shared" si="225"/>
        <v>0</v>
      </c>
      <c r="AT732" s="307">
        <f>Table22[[#This Row],[Column1]]</f>
        <v>0</v>
      </c>
    </row>
    <row r="733" spans="1:46" x14ac:dyDescent="0.3">
      <c r="A733" s="307">
        <f t="shared" si="219"/>
        <v>0</v>
      </c>
      <c r="B733" s="307">
        <f t="shared" si="208"/>
        <v>0</v>
      </c>
      <c r="C733" s="308" t="s">
        <v>563</v>
      </c>
      <c r="D733" s="309" t="s">
        <v>563</v>
      </c>
      <c r="E733" s="310">
        <v>0</v>
      </c>
      <c r="F733" s="310">
        <v>0</v>
      </c>
      <c r="G733" s="311">
        <v>0</v>
      </c>
      <c r="H733" s="310" t="s">
        <v>563</v>
      </c>
      <c r="I733" s="310" t="s">
        <v>563</v>
      </c>
      <c r="J733" s="310" t="s">
        <v>563</v>
      </c>
      <c r="K733" s="312">
        <v>0</v>
      </c>
      <c r="L733" s="310">
        <v>0</v>
      </c>
      <c r="M733" s="310">
        <v>0</v>
      </c>
      <c r="N733" s="313">
        <v>0</v>
      </c>
      <c r="O733" s="314" t="s">
        <v>563</v>
      </c>
      <c r="P733" s="307">
        <f t="shared" si="213"/>
        <v>0</v>
      </c>
      <c r="R733" s="91" t="str">
        <f t="shared" si="209"/>
        <v/>
      </c>
      <c r="S73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3" s="307" t="str">
        <f t="shared" si="215"/>
        <v/>
      </c>
      <c r="U733" s="315" t="str">
        <f t="shared" si="216"/>
        <v/>
      </c>
      <c r="V733" s="307">
        <f t="shared" si="220"/>
        <v>0</v>
      </c>
      <c r="W733" s="307">
        <f>IFERROR(IF(V733&gt;0,PROPER(Terbilang1(V733)&amp;" Rupiah"),0),"")</f>
        <v>0</v>
      </c>
      <c r="X733" s="90" t="str">
        <f t="shared" si="221"/>
        <v/>
      </c>
      <c r="Y733" s="307" t="str">
        <f t="shared" si="222"/>
        <v/>
      </c>
      <c r="Z733" s="307">
        <f t="shared" si="217"/>
        <v>0</v>
      </c>
      <c r="AA733" s="366">
        <f t="shared" si="218"/>
        <v>0</v>
      </c>
      <c r="AB733" s="367">
        <f t="shared" si="223"/>
        <v>0</v>
      </c>
      <c r="AC733" s="305">
        <f t="shared" si="224"/>
        <v>0</v>
      </c>
      <c r="AP733" s="89" t="str">
        <f t="shared" si="212"/>
        <v/>
      </c>
      <c r="AQ733" s="89" t="str">
        <f t="shared" si="210"/>
        <v/>
      </c>
      <c r="AR733" s="315" t="str">
        <f t="shared" si="211"/>
        <v/>
      </c>
      <c r="AS733" s="305" t="str">
        <f t="shared" si="225"/>
        <v>0</v>
      </c>
      <c r="AT733" s="307">
        <f>Table22[[#This Row],[Column1]]</f>
        <v>0</v>
      </c>
    </row>
    <row r="734" spans="1:46" x14ac:dyDescent="0.3">
      <c r="A734" s="307">
        <f t="shared" si="219"/>
        <v>0</v>
      </c>
      <c r="B734" s="307">
        <f t="shared" si="208"/>
        <v>0</v>
      </c>
      <c r="C734" s="308" t="s">
        <v>563</v>
      </c>
      <c r="D734" s="309" t="s">
        <v>563</v>
      </c>
      <c r="E734" s="310">
        <v>0</v>
      </c>
      <c r="F734" s="310">
        <v>0</v>
      </c>
      <c r="G734" s="311">
        <v>0</v>
      </c>
      <c r="H734" s="310" t="s">
        <v>563</v>
      </c>
      <c r="I734" s="310" t="s">
        <v>563</v>
      </c>
      <c r="J734" s="310" t="s">
        <v>563</v>
      </c>
      <c r="K734" s="312">
        <v>0</v>
      </c>
      <c r="L734" s="310">
        <v>0</v>
      </c>
      <c r="M734" s="310">
        <v>0</v>
      </c>
      <c r="N734" s="313">
        <v>0</v>
      </c>
      <c r="O734" s="314" t="s">
        <v>563</v>
      </c>
      <c r="P734" s="307">
        <f t="shared" si="213"/>
        <v>0</v>
      </c>
      <c r="R734" s="91" t="str">
        <f t="shared" si="209"/>
        <v/>
      </c>
      <c r="S73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4" s="307" t="str">
        <f t="shared" si="215"/>
        <v/>
      </c>
      <c r="U734" s="315" t="str">
        <f t="shared" si="216"/>
        <v/>
      </c>
      <c r="V734" s="307">
        <f t="shared" si="220"/>
        <v>0</v>
      </c>
      <c r="W734" s="307">
        <f>IFERROR(IF(V734&gt;0,PROPER(Terbilang1(V734)&amp;" Rupiah"),0),"")</f>
        <v>0</v>
      </c>
      <c r="X734" s="90" t="str">
        <f t="shared" si="221"/>
        <v/>
      </c>
      <c r="Y734" s="307" t="str">
        <f t="shared" si="222"/>
        <v/>
      </c>
      <c r="Z734" s="307">
        <f t="shared" si="217"/>
        <v>0</v>
      </c>
      <c r="AA734" s="366">
        <f t="shared" si="218"/>
        <v>0</v>
      </c>
      <c r="AB734" s="367">
        <f t="shared" si="223"/>
        <v>0</v>
      </c>
      <c r="AC734" s="305">
        <f t="shared" si="224"/>
        <v>0</v>
      </c>
      <c r="AP734" s="89" t="str">
        <f t="shared" si="212"/>
        <v/>
      </c>
      <c r="AQ734" s="89" t="str">
        <f t="shared" si="210"/>
        <v/>
      </c>
      <c r="AR734" s="315" t="str">
        <f t="shared" si="211"/>
        <v/>
      </c>
      <c r="AS734" s="305" t="str">
        <f t="shared" si="225"/>
        <v>0</v>
      </c>
      <c r="AT734" s="307">
        <f>Table22[[#This Row],[Column1]]</f>
        <v>0</v>
      </c>
    </row>
    <row r="735" spans="1:46" x14ac:dyDescent="0.3">
      <c r="A735" s="307">
        <f t="shared" si="219"/>
        <v>0</v>
      </c>
      <c r="B735" s="307">
        <f t="shared" si="208"/>
        <v>0</v>
      </c>
      <c r="C735" s="308" t="s">
        <v>563</v>
      </c>
      <c r="D735" s="309" t="s">
        <v>563</v>
      </c>
      <c r="E735" s="310">
        <v>0</v>
      </c>
      <c r="F735" s="310">
        <v>0</v>
      </c>
      <c r="G735" s="311">
        <v>0</v>
      </c>
      <c r="H735" s="310" t="s">
        <v>563</v>
      </c>
      <c r="I735" s="310" t="s">
        <v>563</v>
      </c>
      <c r="J735" s="310" t="s">
        <v>563</v>
      </c>
      <c r="K735" s="312">
        <v>0</v>
      </c>
      <c r="L735" s="310">
        <v>0</v>
      </c>
      <c r="M735" s="310">
        <v>0</v>
      </c>
      <c r="N735" s="313">
        <v>0</v>
      </c>
      <c r="O735" s="314" t="s">
        <v>563</v>
      </c>
      <c r="P735" s="307">
        <f t="shared" si="213"/>
        <v>0</v>
      </c>
      <c r="R735" s="91" t="str">
        <f t="shared" si="209"/>
        <v/>
      </c>
      <c r="S73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5" s="307" t="str">
        <f t="shared" si="215"/>
        <v/>
      </c>
      <c r="U735" s="315" t="str">
        <f t="shared" si="216"/>
        <v/>
      </c>
      <c r="V735" s="307">
        <f t="shared" si="220"/>
        <v>0</v>
      </c>
      <c r="W735" s="307">
        <f>IFERROR(IF(V735&gt;0,PROPER(Terbilang1(V735)&amp;" Rupiah"),0),"")</f>
        <v>0</v>
      </c>
      <c r="X735" s="90" t="str">
        <f t="shared" si="221"/>
        <v/>
      </c>
      <c r="Y735" s="307" t="str">
        <f t="shared" si="222"/>
        <v/>
      </c>
      <c r="Z735" s="307">
        <f t="shared" si="217"/>
        <v>0</v>
      </c>
      <c r="AA735" s="366">
        <f t="shared" si="218"/>
        <v>0</v>
      </c>
      <c r="AB735" s="367">
        <f t="shared" si="223"/>
        <v>0</v>
      </c>
      <c r="AC735" s="305">
        <f t="shared" si="224"/>
        <v>0</v>
      </c>
      <c r="AP735" s="89" t="str">
        <f t="shared" si="212"/>
        <v/>
      </c>
      <c r="AQ735" s="89" t="str">
        <f t="shared" si="210"/>
        <v/>
      </c>
      <c r="AR735" s="315" t="str">
        <f t="shared" si="211"/>
        <v/>
      </c>
      <c r="AS735" s="305" t="str">
        <f t="shared" si="225"/>
        <v>0</v>
      </c>
      <c r="AT735" s="307">
        <f>Table22[[#This Row],[Column1]]</f>
        <v>0</v>
      </c>
    </row>
    <row r="736" spans="1:46" x14ac:dyDescent="0.3">
      <c r="A736" s="307">
        <f t="shared" si="219"/>
        <v>0</v>
      </c>
      <c r="B736" s="307">
        <f t="shared" si="208"/>
        <v>0</v>
      </c>
      <c r="C736" s="308" t="s">
        <v>563</v>
      </c>
      <c r="D736" s="309" t="s">
        <v>563</v>
      </c>
      <c r="E736" s="310">
        <v>0</v>
      </c>
      <c r="F736" s="310">
        <v>0</v>
      </c>
      <c r="G736" s="311">
        <v>0</v>
      </c>
      <c r="H736" s="310" t="s">
        <v>563</v>
      </c>
      <c r="I736" s="310" t="s">
        <v>563</v>
      </c>
      <c r="J736" s="310" t="s">
        <v>563</v>
      </c>
      <c r="K736" s="312">
        <v>0</v>
      </c>
      <c r="L736" s="310">
        <v>0</v>
      </c>
      <c r="M736" s="310">
        <v>0</v>
      </c>
      <c r="N736" s="313">
        <v>0</v>
      </c>
      <c r="O736" s="314" t="s">
        <v>563</v>
      </c>
      <c r="P736" s="307">
        <f t="shared" si="213"/>
        <v>0</v>
      </c>
      <c r="R736" s="91" t="str">
        <f t="shared" si="209"/>
        <v/>
      </c>
      <c r="S73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6" s="307" t="str">
        <f t="shared" si="215"/>
        <v/>
      </c>
      <c r="U736" s="315" t="str">
        <f t="shared" si="216"/>
        <v/>
      </c>
      <c r="V736" s="307">
        <f t="shared" si="220"/>
        <v>0</v>
      </c>
      <c r="W736" s="307">
        <f>IFERROR(IF(V736&gt;0,PROPER(Terbilang1(V736)&amp;" Rupiah"),0),"")</f>
        <v>0</v>
      </c>
      <c r="X736" s="90" t="str">
        <f t="shared" si="221"/>
        <v/>
      </c>
      <c r="Y736" s="307" t="str">
        <f t="shared" si="222"/>
        <v/>
      </c>
      <c r="Z736" s="307">
        <f t="shared" si="217"/>
        <v>0</v>
      </c>
      <c r="AA736" s="366">
        <f t="shared" si="218"/>
        <v>0</v>
      </c>
      <c r="AB736" s="367">
        <f t="shared" si="223"/>
        <v>0</v>
      </c>
      <c r="AC736" s="305">
        <f t="shared" si="224"/>
        <v>0</v>
      </c>
      <c r="AP736" s="89" t="str">
        <f t="shared" si="212"/>
        <v/>
      </c>
      <c r="AQ736" s="89" t="str">
        <f t="shared" si="210"/>
        <v/>
      </c>
      <c r="AR736" s="315" t="str">
        <f t="shared" si="211"/>
        <v/>
      </c>
      <c r="AS736" s="305" t="str">
        <f t="shared" si="225"/>
        <v>0</v>
      </c>
      <c r="AT736" s="307">
        <f>Table22[[#This Row],[Column1]]</f>
        <v>0</v>
      </c>
    </row>
    <row r="737" spans="1:46" x14ac:dyDescent="0.3">
      <c r="A737" s="307">
        <f t="shared" si="219"/>
        <v>0</v>
      </c>
      <c r="B737" s="307">
        <f t="shared" si="208"/>
        <v>0</v>
      </c>
      <c r="C737" s="308" t="s">
        <v>563</v>
      </c>
      <c r="D737" s="309" t="s">
        <v>563</v>
      </c>
      <c r="E737" s="310">
        <v>0</v>
      </c>
      <c r="F737" s="310">
        <v>0</v>
      </c>
      <c r="G737" s="311">
        <v>0</v>
      </c>
      <c r="H737" s="310" t="s">
        <v>563</v>
      </c>
      <c r="I737" s="310" t="s">
        <v>563</v>
      </c>
      <c r="J737" s="310" t="s">
        <v>563</v>
      </c>
      <c r="K737" s="312">
        <v>0</v>
      </c>
      <c r="L737" s="310">
        <v>0</v>
      </c>
      <c r="M737" s="310">
        <v>0</v>
      </c>
      <c r="N737" s="313">
        <v>0</v>
      </c>
      <c r="O737" s="314" t="s">
        <v>563</v>
      </c>
      <c r="P737" s="307">
        <f t="shared" si="213"/>
        <v>0</v>
      </c>
      <c r="R737" s="91" t="str">
        <f t="shared" si="209"/>
        <v/>
      </c>
      <c r="S73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7" s="307" t="str">
        <f t="shared" si="215"/>
        <v/>
      </c>
      <c r="U737" s="315" t="str">
        <f t="shared" si="216"/>
        <v/>
      </c>
      <c r="V737" s="307">
        <f t="shared" si="220"/>
        <v>0</v>
      </c>
      <c r="W737" s="307">
        <f>IFERROR(IF(V737&gt;0,PROPER(Terbilang1(V737)&amp;" Rupiah"),0),"")</f>
        <v>0</v>
      </c>
      <c r="X737" s="90" t="str">
        <f t="shared" si="221"/>
        <v/>
      </c>
      <c r="Y737" s="307" t="str">
        <f t="shared" si="222"/>
        <v/>
      </c>
      <c r="Z737" s="307">
        <f t="shared" si="217"/>
        <v>0</v>
      </c>
      <c r="AA737" s="366">
        <f t="shared" si="218"/>
        <v>0</v>
      </c>
      <c r="AB737" s="367">
        <f t="shared" si="223"/>
        <v>0</v>
      </c>
      <c r="AC737" s="305">
        <f t="shared" si="224"/>
        <v>0</v>
      </c>
      <c r="AP737" s="89" t="str">
        <f t="shared" si="212"/>
        <v/>
      </c>
      <c r="AQ737" s="89" t="str">
        <f t="shared" si="210"/>
        <v/>
      </c>
      <c r="AR737" s="315" t="str">
        <f t="shared" si="211"/>
        <v/>
      </c>
      <c r="AS737" s="305" t="str">
        <f t="shared" si="225"/>
        <v>0</v>
      </c>
      <c r="AT737" s="307">
        <f>Table22[[#This Row],[Column1]]</f>
        <v>0</v>
      </c>
    </row>
    <row r="738" spans="1:46" x14ac:dyDescent="0.3">
      <c r="A738" s="307">
        <f t="shared" si="219"/>
        <v>0</v>
      </c>
      <c r="B738" s="307">
        <f t="shared" si="208"/>
        <v>0</v>
      </c>
      <c r="C738" s="308" t="s">
        <v>563</v>
      </c>
      <c r="D738" s="309" t="s">
        <v>563</v>
      </c>
      <c r="E738" s="310">
        <v>0</v>
      </c>
      <c r="F738" s="310">
        <v>0</v>
      </c>
      <c r="G738" s="311">
        <v>0</v>
      </c>
      <c r="H738" s="310" t="s">
        <v>563</v>
      </c>
      <c r="I738" s="310" t="s">
        <v>563</v>
      </c>
      <c r="J738" s="310" t="s">
        <v>563</v>
      </c>
      <c r="K738" s="312">
        <v>0</v>
      </c>
      <c r="L738" s="310">
        <v>0</v>
      </c>
      <c r="M738" s="310">
        <v>0</v>
      </c>
      <c r="N738" s="313">
        <v>0</v>
      </c>
      <c r="O738" s="314" t="s">
        <v>563</v>
      </c>
      <c r="P738" s="307">
        <f t="shared" si="213"/>
        <v>0</v>
      </c>
      <c r="R738" s="91" t="str">
        <f t="shared" si="209"/>
        <v/>
      </c>
      <c r="S73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8" s="307" t="str">
        <f t="shared" si="215"/>
        <v/>
      </c>
      <c r="U738" s="315" t="str">
        <f t="shared" si="216"/>
        <v/>
      </c>
      <c r="V738" s="307">
        <f t="shared" si="220"/>
        <v>0</v>
      </c>
      <c r="W738" s="307">
        <f>IFERROR(IF(V738&gt;0,PROPER(Terbilang1(V738)&amp;" Rupiah"),0),"")</f>
        <v>0</v>
      </c>
      <c r="X738" s="90" t="str">
        <f t="shared" si="221"/>
        <v/>
      </c>
      <c r="Y738" s="307" t="str">
        <f t="shared" si="222"/>
        <v/>
      </c>
      <c r="Z738" s="307">
        <f t="shared" si="217"/>
        <v>0</v>
      </c>
      <c r="AA738" s="366">
        <f t="shared" si="218"/>
        <v>0</v>
      </c>
      <c r="AB738" s="367">
        <f t="shared" si="223"/>
        <v>0</v>
      </c>
      <c r="AC738" s="305">
        <f t="shared" si="224"/>
        <v>0</v>
      </c>
      <c r="AP738" s="89" t="str">
        <f t="shared" si="212"/>
        <v/>
      </c>
      <c r="AQ738" s="89" t="str">
        <f t="shared" si="210"/>
        <v/>
      </c>
      <c r="AR738" s="315" t="str">
        <f t="shared" si="211"/>
        <v/>
      </c>
      <c r="AS738" s="305" t="str">
        <f t="shared" si="225"/>
        <v>0</v>
      </c>
      <c r="AT738" s="307">
        <f>Table22[[#This Row],[Column1]]</f>
        <v>0</v>
      </c>
    </row>
    <row r="739" spans="1:46" x14ac:dyDescent="0.3">
      <c r="A739" s="307">
        <f t="shared" si="219"/>
        <v>0</v>
      </c>
      <c r="B739" s="307">
        <f t="shared" si="208"/>
        <v>0</v>
      </c>
      <c r="C739" s="308" t="s">
        <v>563</v>
      </c>
      <c r="D739" s="309" t="s">
        <v>563</v>
      </c>
      <c r="E739" s="310">
        <v>0</v>
      </c>
      <c r="F739" s="310">
        <v>0</v>
      </c>
      <c r="G739" s="311">
        <v>0</v>
      </c>
      <c r="H739" s="310" t="s">
        <v>563</v>
      </c>
      <c r="I739" s="310" t="s">
        <v>563</v>
      </c>
      <c r="J739" s="310" t="s">
        <v>563</v>
      </c>
      <c r="K739" s="312">
        <v>0</v>
      </c>
      <c r="L739" s="310">
        <v>0</v>
      </c>
      <c r="M739" s="310">
        <v>0</v>
      </c>
      <c r="N739" s="313">
        <v>0</v>
      </c>
      <c r="O739" s="314" t="s">
        <v>563</v>
      </c>
      <c r="P739" s="307">
        <f t="shared" si="213"/>
        <v>0</v>
      </c>
      <c r="R739" s="91" t="str">
        <f t="shared" si="209"/>
        <v/>
      </c>
      <c r="S73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39" s="307" t="str">
        <f t="shared" si="215"/>
        <v/>
      </c>
      <c r="U739" s="315" t="str">
        <f t="shared" si="216"/>
        <v/>
      </c>
      <c r="V739" s="307">
        <f t="shared" si="220"/>
        <v>0</v>
      </c>
      <c r="W739" s="307">
        <f>IFERROR(IF(V739&gt;0,PROPER(Terbilang1(V739)&amp;" Rupiah"),0),"")</f>
        <v>0</v>
      </c>
      <c r="X739" s="90" t="str">
        <f t="shared" si="221"/>
        <v/>
      </c>
      <c r="Y739" s="307" t="str">
        <f t="shared" si="222"/>
        <v/>
      </c>
      <c r="Z739" s="307">
        <f t="shared" si="217"/>
        <v>0</v>
      </c>
      <c r="AA739" s="366">
        <f t="shared" si="218"/>
        <v>0</v>
      </c>
      <c r="AB739" s="367">
        <f t="shared" si="223"/>
        <v>0</v>
      </c>
      <c r="AC739" s="305">
        <f t="shared" si="224"/>
        <v>0</v>
      </c>
      <c r="AP739" s="89" t="str">
        <f t="shared" si="212"/>
        <v/>
      </c>
      <c r="AQ739" s="89" t="str">
        <f t="shared" si="210"/>
        <v/>
      </c>
      <c r="AR739" s="315" t="str">
        <f t="shared" si="211"/>
        <v/>
      </c>
      <c r="AS739" s="305" t="str">
        <f t="shared" si="225"/>
        <v>0</v>
      </c>
      <c r="AT739" s="307">
        <f>Table22[[#This Row],[Column1]]</f>
        <v>0</v>
      </c>
    </row>
    <row r="740" spans="1:46" x14ac:dyDescent="0.3">
      <c r="A740" s="307">
        <f t="shared" si="219"/>
        <v>0</v>
      </c>
      <c r="B740" s="307">
        <f t="shared" si="208"/>
        <v>0</v>
      </c>
      <c r="C740" s="308" t="s">
        <v>563</v>
      </c>
      <c r="D740" s="309" t="s">
        <v>563</v>
      </c>
      <c r="E740" s="310">
        <v>0</v>
      </c>
      <c r="F740" s="310">
        <v>0</v>
      </c>
      <c r="G740" s="311">
        <v>0</v>
      </c>
      <c r="H740" s="310" t="s">
        <v>563</v>
      </c>
      <c r="I740" s="310" t="s">
        <v>563</v>
      </c>
      <c r="J740" s="310" t="s">
        <v>563</v>
      </c>
      <c r="K740" s="312">
        <v>0</v>
      </c>
      <c r="L740" s="310">
        <v>0</v>
      </c>
      <c r="M740" s="310">
        <v>0</v>
      </c>
      <c r="N740" s="313">
        <v>0</v>
      </c>
      <c r="O740" s="314" t="s">
        <v>563</v>
      </c>
      <c r="P740" s="307">
        <f t="shared" si="213"/>
        <v>0</v>
      </c>
      <c r="R740" s="91" t="str">
        <f t="shared" si="209"/>
        <v/>
      </c>
      <c r="S74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0" s="307" t="str">
        <f t="shared" si="215"/>
        <v/>
      </c>
      <c r="U740" s="315" t="str">
        <f t="shared" si="216"/>
        <v/>
      </c>
      <c r="V740" s="307">
        <f t="shared" si="220"/>
        <v>0</v>
      </c>
      <c r="W740" s="307">
        <f>IFERROR(IF(V740&gt;0,PROPER(Terbilang1(V740)&amp;" Rupiah"),0),"")</f>
        <v>0</v>
      </c>
      <c r="X740" s="90" t="str">
        <f t="shared" si="221"/>
        <v/>
      </c>
      <c r="Y740" s="307" t="str">
        <f t="shared" si="222"/>
        <v/>
      </c>
      <c r="Z740" s="307">
        <f t="shared" si="217"/>
        <v>0</v>
      </c>
      <c r="AA740" s="366">
        <f t="shared" si="218"/>
        <v>0</v>
      </c>
      <c r="AB740" s="367">
        <f t="shared" si="223"/>
        <v>0</v>
      </c>
      <c r="AC740" s="305">
        <f t="shared" si="224"/>
        <v>0</v>
      </c>
      <c r="AP740" s="89" t="str">
        <f t="shared" si="212"/>
        <v/>
      </c>
      <c r="AQ740" s="89" t="str">
        <f t="shared" si="210"/>
        <v/>
      </c>
      <c r="AR740" s="315" t="str">
        <f t="shared" si="211"/>
        <v/>
      </c>
      <c r="AS740" s="305" t="str">
        <f t="shared" si="225"/>
        <v>0</v>
      </c>
      <c r="AT740" s="307">
        <f>Table22[[#This Row],[Column1]]</f>
        <v>0</v>
      </c>
    </row>
    <row r="741" spans="1:46" x14ac:dyDescent="0.3">
      <c r="A741" s="307">
        <f t="shared" si="219"/>
        <v>0</v>
      </c>
      <c r="B741" s="307">
        <f t="shared" ref="B741:B804" si="226">IF(LEFT(F741,2)="MA","Jasa",IF(LEFT(F741,1)="G","Bayar Ongkos",IF(LEFT(F741,1)="M","Beli",0)))</f>
        <v>0</v>
      </c>
      <c r="C741" s="308" t="s">
        <v>563</v>
      </c>
      <c r="D741" s="309" t="s">
        <v>563</v>
      </c>
      <c r="E741" s="310">
        <v>0</v>
      </c>
      <c r="F741" s="310">
        <v>0</v>
      </c>
      <c r="G741" s="311">
        <v>0</v>
      </c>
      <c r="H741" s="310" t="s">
        <v>563</v>
      </c>
      <c r="I741" s="310" t="s">
        <v>563</v>
      </c>
      <c r="J741" s="310" t="s">
        <v>563</v>
      </c>
      <c r="K741" s="312">
        <v>0</v>
      </c>
      <c r="L741" s="310">
        <v>0</v>
      </c>
      <c r="M741" s="310">
        <v>0</v>
      </c>
      <c r="N741" s="313">
        <v>0</v>
      </c>
      <c r="O741" s="314" t="s">
        <v>563</v>
      </c>
      <c r="P741" s="307">
        <f t="shared" si="213"/>
        <v>0</v>
      </c>
      <c r="R741" s="91" t="str">
        <f t="shared" ref="R741:R804" si="227">IF(LEFT(F741,2)="ma",F741,IF(LEFT(F741,1)="m",E741,IF(LEFT(F741,1)="b",E741,IF(LEFT(F741,1)="G",F741,""))))</f>
        <v/>
      </c>
      <c r="S74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1" s="307" t="str">
        <f t="shared" si="215"/>
        <v/>
      </c>
      <c r="U741" s="315" t="str">
        <f t="shared" si="216"/>
        <v/>
      </c>
      <c r="V741" s="307">
        <f t="shared" si="220"/>
        <v>0</v>
      </c>
      <c r="W741" s="307">
        <f>IFERROR(IF(V741&gt;0,PROPER(Terbilang1(V741)&amp;" Rupiah"),0),"")</f>
        <v>0</v>
      </c>
      <c r="X741" s="90" t="str">
        <f t="shared" si="221"/>
        <v/>
      </c>
      <c r="Y741" s="307" t="str">
        <f t="shared" si="222"/>
        <v/>
      </c>
      <c r="Z741" s="307">
        <f t="shared" si="217"/>
        <v>0</v>
      </c>
      <c r="AA741" s="366">
        <f t="shared" si="218"/>
        <v>0</v>
      </c>
      <c r="AB741" s="367">
        <f t="shared" si="223"/>
        <v>0</v>
      </c>
      <c r="AC741" s="305">
        <f t="shared" si="224"/>
        <v>0</v>
      </c>
      <c r="AP741" s="89" t="str">
        <f t="shared" si="212"/>
        <v/>
      </c>
      <c r="AQ741" s="89" t="str">
        <f t="shared" si="210"/>
        <v/>
      </c>
      <c r="AR741" s="315" t="str">
        <f t="shared" si="211"/>
        <v/>
      </c>
      <c r="AS741" s="305" t="str">
        <f t="shared" si="225"/>
        <v>0</v>
      </c>
      <c r="AT741" s="307">
        <f>Table22[[#This Row],[Column1]]</f>
        <v>0</v>
      </c>
    </row>
    <row r="742" spans="1:46" x14ac:dyDescent="0.3">
      <c r="A742" s="307">
        <f t="shared" si="219"/>
        <v>0</v>
      </c>
      <c r="B742" s="307">
        <f t="shared" si="226"/>
        <v>0</v>
      </c>
      <c r="C742" s="308" t="s">
        <v>563</v>
      </c>
      <c r="D742" s="309" t="s">
        <v>563</v>
      </c>
      <c r="E742" s="310">
        <v>0</v>
      </c>
      <c r="F742" s="310">
        <v>0</v>
      </c>
      <c r="G742" s="311">
        <v>0</v>
      </c>
      <c r="H742" s="310" t="s">
        <v>563</v>
      </c>
      <c r="I742" s="310" t="s">
        <v>563</v>
      </c>
      <c r="J742" s="310" t="s">
        <v>563</v>
      </c>
      <c r="K742" s="312">
        <v>0</v>
      </c>
      <c r="L742" s="310">
        <v>0</v>
      </c>
      <c r="M742" s="310">
        <v>0</v>
      </c>
      <c r="N742" s="313">
        <v>0</v>
      </c>
      <c r="O742" s="314" t="s">
        <v>563</v>
      </c>
      <c r="P742" s="307">
        <f t="shared" si="213"/>
        <v>0</v>
      </c>
      <c r="R742" s="91" t="str">
        <f t="shared" si="227"/>
        <v/>
      </c>
      <c r="S74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2" s="307" t="str">
        <f t="shared" si="215"/>
        <v/>
      </c>
      <c r="U742" s="315" t="str">
        <f t="shared" si="216"/>
        <v/>
      </c>
      <c r="V742" s="307">
        <f t="shared" si="220"/>
        <v>0</v>
      </c>
      <c r="W742" s="307">
        <f>IFERROR(IF(V742&gt;0,PROPER(Terbilang1(V742)&amp;" Rupiah"),0),"")</f>
        <v>0</v>
      </c>
      <c r="X742" s="90" t="str">
        <f t="shared" si="221"/>
        <v/>
      </c>
      <c r="Y742" s="307" t="str">
        <f t="shared" si="222"/>
        <v/>
      </c>
      <c r="Z742" s="307">
        <f t="shared" si="217"/>
        <v>0</v>
      </c>
      <c r="AA742" s="366">
        <f t="shared" si="218"/>
        <v>0</v>
      </c>
      <c r="AB742" s="367">
        <f t="shared" si="223"/>
        <v>0</v>
      </c>
      <c r="AC742" s="305">
        <f t="shared" si="224"/>
        <v>0</v>
      </c>
      <c r="AP742" s="89" t="str">
        <f t="shared" si="212"/>
        <v/>
      </c>
      <c r="AQ742" s="89" t="str">
        <f t="shared" si="210"/>
        <v/>
      </c>
      <c r="AR742" s="315" t="str">
        <f t="shared" si="211"/>
        <v/>
      </c>
      <c r="AS742" s="305" t="str">
        <f t="shared" si="225"/>
        <v>0</v>
      </c>
      <c r="AT742" s="307">
        <f>Table22[[#This Row],[Column1]]</f>
        <v>0</v>
      </c>
    </row>
    <row r="743" spans="1:46" x14ac:dyDescent="0.3">
      <c r="A743" s="307">
        <f t="shared" si="219"/>
        <v>0</v>
      </c>
      <c r="B743" s="307">
        <f t="shared" si="226"/>
        <v>0</v>
      </c>
      <c r="C743" s="308" t="s">
        <v>563</v>
      </c>
      <c r="D743" s="309" t="s">
        <v>563</v>
      </c>
      <c r="E743" s="310">
        <v>0</v>
      </c>
      <c r="F743" s="310">
        <v>0</v>
      </c>
      <c r="G743" s="311">
        <v>0</v>
      </c>
      <c r="H743" s="310" t="s">
        <v>563</v>
      </c>
      <c r="I743" s="310" t="s">
        <v>563</v>
      </c>
      <c r="J743" s="310" t="s">
        <v>563</v>
      </c>
      <c r="K743" s="312">
        <v>0</v>
      </c>
      <c r="L743" s="310">
        <v>0</v>
      </c>
      <c r="M743" s="310">
        <v>0</v>
      </c>
      <c r="N743" s="313">
        <v>0</v>
      </c>
      <c r="O743" s="314" t="s">
        <v>563</v>
      </c>
      <c r="P743" s="307">
        <f t="shared" si="213"/>
        <v>0</v>
      </c>
      <c r="R743" s="91" t="str">
        <f t="shared" si="227"/>
        <v/>
      </c>
      <c r="S74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3" s="307" t="str">
        <f t="shared" si="215"/>
        <v/>
      </c>
      <c r="U743" s="315" t="str">
        <f t="shared" si="216"/>
        <v/>
      </c>
      <c r="V743" s="307">
        <f t="shared" si="220"/>
        <v>0</v>
      </c>
      <c r="W743" s="307">
        <f>IFERROR(IF(V743&gt;0,PROPER(Terbilang1(V743)&amp;" Rupiah"),0),"")</f>
        <v>0</v>
      </c>
      <c r="X743" s="90" t="str">
        <f t="shared" si="221"/>
        <v/>
      </c>
      <c r="Y743" s="307" t="str">
        <f t="shared" si="222"/>
        <v/>
      </c>
      <c r="Z743" s="307">
        <f t="shared" si="217"/>
        <v>0</v>
      </c>
      <c r="AA743" s="366">
        <f t="shared" si="218"/>
        <v>0</v>
      </c>
      <c r="AB743" s="367">
        <f t="shared" si="223"/>
        <v>0</v>
      </c>
      <c r="AC743" s="305">
        <f t="shared" si="224"/>
        <v>0</v>
      </c>
      <c r="AP743" s="89" t="str">
        <f t="shared" si="212"/>
        <v/>
      </c>
      <c r="AQ743" s="89" t="str">
        <f t="shared" si="210"/>
        <v/>
      </c>
      <c r="AR743" s="315" t="str">
        <f t="shared" si="211"/>
        <v/>
      </c>
      <c r="AS743" s="305" t="str">
        <f t="shared" si="225"/>
        <v>0</v>
      </c>
      <c r="AT743" s="307">
        <f>Table22[[#This Row],[Column1]]</f>
        <v>0</v>
      </c>
    </row>
    <row r="744" spans="1:46" x14ac:dyDescent="0.3">
      <c r="A744" s="307">
        <f t="shared" si="219"/>
        <v>0</v>
      </c>
      <c r="B744" s="307">
        <f t="shared" si="226"/>
        <v>0</v>
      </c>
      <c r="C744" s="308" t="s">
        <v>563</v>
      </c>
      <c r="D744" s="309" t="s">
        <v>563</v>
      </c>
      <c r="E744" s="310">
        <v>0</v>
      </c>
      <c r="F744" s="310">
        <v>0</v>
      </c>
      <c r="G744" s="311">
        <v>0</v>
      </c>
      <c r="H744" s="310" t="s">
        <v>563</v>
      </c>
      <c r="I744" s="310" t="s">
        <v>563</v>
      </c>
      <c r="J744" s="310" t="s">
        <v>563</v>
      </c>
      <c r="K744" s="312">
        <v>0</v>
      </c>
      <c r="L744" s="310">
        <v>0</v>
      </c>
      <c r="M744" s="310">
        <v>0</v>
      </c>
      <c r="N744" s="313">
        <v>0</v>
      </c>
      <c r="O744" s="314" t="s">
        <v>563</v>
      </c>
      <c r="P744" s="307">
        <f t="shared" si="213"/>
        <v>0</v>
      </c>
      <c r="R744" s="91" t="str">
        <f t="shared" si="227"/>
        <v/>
      </c>
      <c r="S74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4" s="307" t="str">
        <f t="shared" si="215"/>
        <v/>
      </c>
      <c r="U744" s="315" t="str">
        <f t="shared" si="216"/>
        <v/>
      </c>
      <c r="V744" s="307">
        <f t="shared" si="220"/>
        <v>0</v>
      </c>
      <c r="W744" s="307">
        <f>IFERROR(IF(V744&gt;0,PROPER(Terbilang1(V744)&amp;" Rupiah"),0),"")</f>
        <v>0</v>
      </c>
      <c r="X744" s="90" t="str">
        <f t="shared" si="221"/>
        <v/>
      </c>
      <c r="Y744" s="307" t="str">
        <f t="shared" si="222"/>
        <v/>
      </c>
      <c r="Z744" s="307">
        <f t="shared" si="217"/>
        <v>0</v>
      </c>
      <c r="AA744" s="366">
        <f t="shared" si="218"/>
        <v>0</v>
      </c>
      <c r="AB744" s="367">
        <f t="shared" si="223"/>
        <v>0</v>
      </c>
      <c r="AC744" s="305">
        <f t="shared" si="224"/>
        <v>0</v>
      </c>
      <c r="AP744" s="89" t="str">
        <f t="shared" si="212"/>
        <v/>
      </c>
      <c r="AQ744" s="89" t="str">
        <f t="shared" ref="AQ744:AQ807" si="228">TEXT(AR744,"MM")</f>
        <v/>
      </c>
      <c r="AR744" s="315" t="str">
        <f t="shared" si="211"/>
        <v/>
      </c>
      <c r="AS744" s="305" t="str">
        <f t="shared" si="225"/>
        <v>0</v>
      </c>
      <c r="AT744" s="307">
        <f>Table22[[#This Row],[Column1]]</f>
        <v>0</v>
      </c>
    </row>
    <row r="745" spans="1:46" x14ac:dyDescent="0.3">
      <c r="A745" s="307">
        <f t="shared" si="219"/>
        <v>0</v>
      </c>
      <c r="B745" s="307">
        <f t="shared" si="226"/>
        <v>0</v>
      </c>
      <c r="C745" s="308" t="s">
        <v>563</v>
      </c>
      <c r="D745" s="309" t="s">
        <v>563</v>
      </c>
      <c r="E745" s="310">
        <v>0</v>
      </c>
      <c r="F745" s="310">
        <v>0</v>
      </c>
      <c r="G745" s="311">
        <v>0</v>
      </c>
      <c r="H745" s="310" t="s">
        <v>563</v>
      </c>
      <c r="I745" s="310" t="s">
        <v>563</v>
      </c>
      <c r="J745" s="310" t="s">
        <v>563</v>
      </c>
      <c r="K745" s="312">
        <v>0</v>
      </c>
      <c r="L745" s="310">
        <v>0</v>
      </c>
      <c r="M745" s="310">
        <v>0</v>
      </c>
      <c r="N745" s="313">
        <v>0</v>
      </c>
      <c r="O745" s="314" t="s">
        <v>563</v>
      </c>
      <c r="P745" s="307">
        <f t="shared" si="213"/>
        <v>0</v>
      </c>
      <c r="R745" s="91" t="str">
        <f t="shared" si="227"/>
        <v/>
      </c>
      <c r="S74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5" s="307" t="str">
        <f t="shared" si="215"/>
        <v/>
      </c>
      <c r="U745" s="315" t="str">
        <f t="shared" si="216"/>
        <v/>
      </c>
      <c r="V745" s="307">
        <f t="shared" si="220"/>
        <v>0</v>
      </c>
      <c r="W745" s="307">
        <f>IFERROR(IF(V745&gt;0,PROPER(Terbilang1(V745)&amp;" Rupiah"),0),"")</f>
        <v>0</v>
      </c>
      <c r="X745" s="90" t="str">
        <f t="shared" si="221"/>
        <v/>
      </c>
      <c r="Y745" s="307" t="str">
        <f t="shared" si="222"/>
        <v/>
      </c>
      <c r="Z745" s="307">
        <f t="shared" si="217"/>
        <v>0</v>
      </c>
      <c r="AA745" s="366">
        <f t="shared" si="218"/>
        <v>0</v>
      </c>
      <c r="AB745" s="367">
        <f t="shared" si="223"/>
        <v>0</v>
      </c>
      <c r="AC745" s="305">
        <f t="shared" si="224"/>
        <v>0</v>
      </c>
      <c r="AP745" s="89" t="str">
        <f t="shared" si="212"/>
        <v/>
      </c>
      <c r="AQ745" s="89" t="str">
        <f t="shared" si="228"/>
        <v/>
      </c>
      <c r="AR745" s="315" t="str">
        <f t="shared" si="211"/>
        <v/>
      </c>
      <c r="AS745" s="305" t="str">
        <f t="shared" si="225"/>
        <v>0</v>
      </c>
      <c r="AT745" s="307">
        <f>Table22[[#This Row],[Column1]]</f>
        <v>0</v>
      </c>
    </row>
    <row r="746" spans="1:46" x14ac:dyDescent="0.3">
      <c r="A746" s="307">
        <f t="shared" si="219"/>
        <v>0</v>
      </c>
      <c r="B746" s="307">
        <f t="shared" si="226"/>
        <v>0</v>
      </c>
      <c r="C746" s="308" t="s">
        <v>563</v>
      </c>
      <c r="D746" s="309" t="s">
        <v>563</v>
      </c>
      <c r="E746" s="310">
        <v>0</v>
      </c>
      <c r="F746" s="310">
        <v>0</v>
      </c>
      <c r="G746" s="311">
        <v>0</v>
      </c>
      <c r="H746" s="310" t="s">
        <v>563</v>
      </c>
      <c r="I746" s="310" t="s">
        <v>563</v>
      </c>
      <c r="J746" s="310" t="s">
        <v>563</v>
      </c>
      <c r="K746" s="312">
        <v>0</v>
      </c>
      <c r="L746" s="310">
        <v>0</v>
      </c>
      <c r="M746" s="310">
        <v>0</v>
      </c>
      <c r="N746" s="313">
        <v>0</v>
      </c>
      <c r="O746" s="314" t="s">
        <v>563</v>
      </c>
      <c r="P746" s="307">
        <f t="shared" si="213"/>
        <v>0</v>
      </c>
      <c r="R746" s="91" t="str">
        <f t="shared" si="227"/>
        <v/>
      </c>
      <c r="S74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6" s="307" t="str">
        <f t="shared" si="215"/>
        <v/>
      </c>
      <c r="U746" s="315" t="str">
        <f t="shared" si="216"/>
        <v/>
      </c>
      <c r="V746" s="307">
        <f t="shared" si="220"/>
        <v>0</v>
      </c>
      <c r="W746" s="307">
        <f>IFERROR(IF(V746&gt;0,PROPER(Terbilang1(V746)&amp;" Rupiah"),0),"")</f>
        <v>0</v>
      </c>
      <c r="X746" s="90" t="str">
        <f t="shared" si="221"/>
        <v/>
      </c>
      <c r="Y746" s="307" t="str">
        <f t="shared" si="222"/>
        <v/>
      </c>
      <c r="Z746" s="307">
        <f t="shared" si="217"/>
        <v>0</v>
      </c>
      <c r="AA746" s="366">
        <f t="shared" si="218"/>
        <v>0</v>
      </c>
      <c r="AB746" s="367">
        <f t="shared" si="223"/>
        <v>0</v>
      </c>
      <c r="AC746" s="305">
        <f t="shared" si="224"/>
        <v>0</v>
      </c>
      <c r="AP746" s="89" t="str">
        <f t="shared" si="212"/>
        <v/>
      </c>
      <c r="AQ746" s="89" t="str">
        <f t="shared" si="228"/>
        <v/>
      </c>
      <c r="AR746" s="315" t="str">
        <f t="shared" si="211"/>
        <v/>
      </c>
      <c r="AS746" s="305" t="str">
        <f t="shared" si="225"/>
        <v>0</v>
      </c>
      <c r="AT746" s="307">
        <f>Table22[[#This Row],[Column1]]</f>
        <v>0</v>
      </c>
    </row>
    <row r="747" spans="1:46" x14ac:dyDescent="0.3">
      <c r="A747" s="307">
        <f t="shared" si="219"/>
        <v>0</v>
      </c>
      <c r="B747" s="307">
        <f t="shared" si="226"/>
        <v>0</v>
      </c>
      <c r="C747" s="308" t="s">
        <v>563</v>
      </c>
      <c r="D747" s="309" t="s">
        <v>563</v>
      </c>
      <c r="E747" s="310">
        <v>0</v>
      </c>
      <c r="F747" s="310">
        <v>0</v>
      </c>
      <c r="G747" s="311">
        <v>0</v>
      </c>
      <c r="H747" s="310" t="s">
        <v>563</v>
      </c>
      <c r="I747" s="310" t="s">
        <v>563</v>
      </c>
      <c r="J747" s="310" t="s">
        <v>563</v>
      </c>
      <c r="K747" s="312">
        <v>0</v>
      </c>
      <c r="L747" s="310">
        <v>0</v>
      </c>
      <c r="M747" s="310">
        <v>0</v>
      </c>
      <c r="N747" s="313">
        <v>0</v>
      </c>
      <c r="O747" s="314" t="s">
        <v>563</v>
      </c>
      <c r="P747" s="307">
        <f t="shared" si="213"/>
        <v>0</v>
      </c>
      <c r="R747" s="91" t="str">
        <f t="shared" si="227"/>
        <v/>
      </c>
      <c r="S74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7" s="307" t="str">
        <f t="shared" si="215"/>
        <v/>
      </c>
      <c r="U747" s="315" t="str">
        <f t="shared" si="216"/>
        <v/>
      </c>
      <c r="V747" s="307">
        <f t="shared" si="220"/>
        <v>0</v>
      </c>
      <c r="W747" s="307">
        <f>IFERROR(IF(V747&gt;0,PROPER(Terbilang1(V747)&amp;" Rupiah"),0),"")</f>
        <v>0</v>
      </c>
      <c r="X747" s="90" t="str">
        <f t="shared" si="221"/>
        <v/>
      </c>
      <c r="Y747" s="307" t="str">
        <f t="shared" si="222"/>
        <v/>
      </c>
      <c r="Z747" s="307">
        <f t="shared" si="217"/>
        <v>0</v>
      </c>
      <c r="AA747" s="366">
        <f t="shared" si="218"/>
        <v>0</v>
      </c>
      <c r="AB747" s="367">
        <f t="shared" si="223"/>
        <v>0</v>
      </c>
      <c r="AC747" s="305">
        <f t="shared" si="224"/>
        <v>0</v>
      </c>
      <c r="AP747" s="89" t="str">
        <f t="shared" si="212"/>
        <v/>
      </c>
      <c r="AQ747" s="89" t="str">
        <f t="shared" si="228"/>
        <v/>
      </c>
      <c r="AR747" s="315" t="str">
        <f t="shared" si="211"/>
        <v/>
      </c>
      <c r="AS747" s="305" t="str">
        <f t="shared" si="225"/>
        <v>0</v>
      </c>
      <c r="AT747" s="307">
        <f>Table22[[#This Row],[Column1]]</f>
        <v>0</v>
      </c>
    </row>
    <row r="748" spans="1:46" x14ac:dyDescent="0.3">
      <c r="A748" s="307">
        <f t="shared" si="219"/>
        <v>0</v>
      </c>
      <c r="B748" s="307">
        <f t="shared" si="226"/>
        <v>0</v>
      </c>
      <c r="C748" s="308" t="s">
        <v>563</v>
      </c>
      <c r="D748" s="309" t="s">
        <v>563</v>
      </c>
      <c r="E748" s="310">
        <v>0</v>
      </c>
      <c r="F748" s="310">
        <v>0</v>
      </c>
      <c r="G748" s="311">
        <v>0</v>
      </c>
      <c r="H748" s="310" t="s">
        <v>563</v>
      </c>
      <c r="I748" s="310" t="s">
        <v>563</v>
      </c>
      <c r="J748" s="310" t="s">
        <v>563</v>
      </c>
      <c r="K748" s="312">
        <v>0</v>
      </c>
      <c r="L748" s="310">
        <v>0</v>
      </c>
      <c r="M748" s="310">
        <v>0</v>
      </c>
      <c r="N748" s="313">
        <v>0</v>
      </c>
      <c r="O748" s="314" t="s">
        <v>563</v>
      </c>
      <c r="P748" s="307">
        <f t="shared" si="213"/>
        <v>0</v>
      </c>
      <c r="R748" s="91" t="str">
        <f t="shared" si="227"/>
        <v/>
      </c>
      <c r="S74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8" s="307" t="str">
        <f t="shared" si="215"/>
        <v/>
      </c>
      <c r="U748" s="315" t="str">
        <f t="shared" si="216"/>
        <v/>
      </c>
      <c r="V748" s="307">
        <f t="shared" si="220"/>
        <v>0</v>
      </c>
      <c r="W748" s="307">
        <f>IFERROR(IF(V748&gt;0,PROPER(Terbilang1(V748)&amp;" Rupiah"),0),"")</f>
        <v>0</v>
      </c>
      <c r="X748" s="90" t="str">
        <f t="shared" si="221"/>
        <v/>
      </c>
      <c r="Y748" s="307" t="str">
        <f t="shared" si="222"/>
        <v/>
      </c>
      <c r="Z748" s="307">
        <f t="shared" si="217"/>
        <v>0</v>
      </c>
      <c r="AA748" s="366">
        <f t="shared" si="218"/>
        <v>0</v>
      </c>
      <c r="AB748" s="367">
        <f t="shared" si="223"/>
        <v>0</v>
      </c>
      <c r="AC748" s="305">
        <f t="shared" si="224"/>
        <v>0</v>
      </c>
      <c r="AP748" s="89" t="str">
        <f t="shared" si="212"/>
        <v/>
      </c>
      <c r="AQ748" s="89" t="str">
        <f t="shared" si="228"/>
        <v/>
      </c>
      <c r="AR748" s="315" t="str">
        <f t="shared" si="211"/>
        <v/>
      </c>
      <c r="AS748" s="305" t="str">
        <f t="shared" si="225"/>
        <v>0</v>
      </c>
      <c r="AT748" s="307">
        <f>Table22[[#This Row],[Column1]]</f>
        <v>0</v>
      </c>
    </row>
    <row r="749" spans="1:46" x14ac:dyDescent="0.3">
      <c r="A749" s="307">
        <f t="shared" si="219"/>
        <v>0</v>
      </c>
      <c r="B749" s="307">
        <f t="shared" si="226"/>
        <v>0</v>
      </c>
      <c r="C749" s="308" t="s">
        <v>563</v>
      </c>
      <c r="D749" s="309" t="s">
        <v>563</v>
      </c>
      <c r="E749" s="310">
        <v>0</v>
      </c>
      <c r="F749" s="310">
        <v>0</v>
      </c>
      <c r="G749" s="311">
        <v>0</v>
      </c>
      <c r="H749" s="310" t="s">
        <v>563</v>
      </c>
      <c r="I749" s="310" t="s">
        <v>563</v>
      </c>
      <c r="J749" s="310" t="s">
        <v>563</v>
      </c>
      <c r="K749" s="312">
        <v>0</v>
      </c>
      <c r="L749" s="310">
        <v>0</v>
      </c>
      <c r="M749" s="310">
        <v>0</v>
      </c>
      <c r="N749" s="313">
        <v>0</v>
      </c>
      <c r="O749" s="314" t="s">
        <v>563</v>
      </c>
      <c r="P749" s="307">
        <f t="shared" si="213"/>
        <v>0</v>
      </c>
      <c r="R749" s="91" t="str">
        <f t="shared" si="227"/>
        <v/>
      </c>
      <c r="S74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49" s="307" t="str">
        <f t="shared" si="215"/>
        <v/>
      </c>
      <c r="U749" s="315" t="str">
        <f t="shared" si="216"/>
        <v/>
      </c>
      <c r="V749" s="307">
        <f t="shared" si="220"/>
        <v>0</v>
      </c>
      <c r="W749" s="307">
        <f>IFERROR(IF(V749&gt;0,PROPER(Terbilang1(V749)&amp;" Rupiah"),0),"")</f>
        <v>0</v>
      </c>
      <c r="X749" s="90" t="str">
        <f t="shared" si="221"/>
        <v/>
      </c>
      <c r="Y749" s="307" t="str">
        <f t="shared" si="222"/>
        <v/>
      </c>
      <c r="Z749" s="307">
        <f t="shared" si="217"/>
        <v>0</v>
      </c>
      <c r="AA749" s="366">
        <f t="shared" si="218"/>
        <v>0</v>
      </c>
      <c r="AB749" s="367">
        <f t="shared" si="223"/>
        <v>0</v>
      </c>
      <c r="AC749" s="305">
        <f t="shared" si="224"/>
        <v>0</v>
      </c>
      <c r="AP749" s="89" t="str">
        <f t="shared" si="212"/>
        <v/>
      </c>
      <c r="AQ749" s="89" t="str">
        <f t="shared" si="228"/>
        <v/>
      </c>
      <c r="AR749" s="315" t="str">
        <f t="shared" si="211"/>
        <v/>
      </c>
      <c r="AS749" s="305" t="str">
        <f t="shared" si="225"/>
        <v>0</v>
      </c>
      <c r="AT749" s="307">
        <f>Table22[[#This Row],[Column1]]</f>
        <v>0</v>
      </c>
    </row>
    <row r="750" spans="1:46" x14ac:dyDescent="0.3">
      <c r="A750" s="307">
        <f t="shared" si="219"/>
        <v>0</v>
      </c>
      <c r="B750" s="307">
        <f t="shared" si="226"/>
        <v>0</v>
      </c>
      <c r="C750" s="308" t="s">
        <v>563</v>
      </c>
      <c r="D750" s="309" t="s">
        <v>563</v>
      </c>
      <c r="E750" s="310">
        <v>0</v>
      </c>
      <c r="F750" s="310">
        <v>0</v>
      </c>
      <c r="G750" s="311">
        <v>0</v>
      </c>
      <c r="H750" s="310" t="s">
        <v>563</v>
      </c>
      <c r="I750" s="310" t="s">
        <v>563</v>
      </c>
      <c r="J750" s="310" t="s">
        <v>563</v>
      </c>
      <c r="K750" s="312">
        <v>0</v>
      </c>
      <c r="L750" s="310">
        <v>0</v>
      </c>
      <c r="M750" s="310">
        <v>0</v>
      </c>
      <c r="N750" s="313">
        <v>0</v>
      </c>
      <c r="O750" s="314" t="s">
        <v>563</v>
      </c>
      <c r="P750" s="307">
        <f t="shared" si="213"/>
        <v>0</v>
      </c>
      <c r="R750" s="91" t="str">
        <f t="shared" si="227"/>
        <v/>
      </c>
      <c r="S75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0" s="307" t="str">
        <f t="shared" si="215"/>
        <v/>
      </c>
      <c r="U750" s="315" t="str">
        <f t="shared" si="216"/>
        <v/>
      </c>
      <c r="V750" s="307">
        <f t="shared" si="220"/>
        <v>0</v>
      </c>
      <c r="W750" s="307">
        <f>IFERROR(IF(V750&gt;0,PROPER(Terbilang1(V750)&amp;" Rupiah"),0),"")</f>
        <v>0</v>
      </c>
      <c r="X750" s="90" t="str">
        <f t="shared" si="221"/>
        <v/>
      </c>
      <c r="Y750" s="307" t="str">
        <f t="shared" si="222"/>
        <v/>
      </c>
      <c r="Z750" s="307">
        <f t="shared" si="217"/>
        <v>0</v>
      </c>
      <c r="AA750" s="366">
        <f t="shared" si="218"/>
        <v>0</v>
      </c>
      <c r="AB750" s="367">
        <f t="shared" si="223"/>
        <v>0</v>
      </c>
      <c r="AC750" s="305">
        <f t="shared" si="224"/>
        <v>0</v>
      </c>
      <c r="AP750" s="89" t="str">
        <f t="shared" si="212"/>
        <v/>
      </c>
      <c r="AQ750" s="89" t="str">
        <f t="shared" si="228"/>
        <v/>
      </c>
      <c r="AR750" s="315" t="str">
        <f t="shared" si="211"/>
        <v/>
      </c>
      <c r="AS750" s="305" t="str">
        <f t="shared" si="225"/>
        <v>0</v>
      </c>
      <c r="AT750" s="307">
        <f>Table22[[#This Row],[Column1]]</f>
        <v>0</v>
      </c>
    </row>
    <row r="751" spans="1:46" x14ac:dyDescent="0.3">
      <c r="A751" s="307">
        <f t="shared" si="219"/>
        <v>0</v>
      </c>
      <c r="B751" s="307">
        <f t="shared" si="226"/>
        <v>0</v>
      </c>
      <c r="C751" s="308" t="s">
        <v>563</v>
      </c>
      <c r="D751" s="309" t="s">
        <v>563</v>
      </c>
      <c r="E751" s="310">
        <v>0</v>
      </c>
      <c r="F751" s="310">
        <v>0</v>
      </c>
      <c r="G751" s="311">
        <v>0</v>
      </c>
      <c r="H751" s="310" t="s">
        <v>563</v>
      </c>
      <c r="I751" s="310" t="s">
        <v>563</v>
      </c>
      <c r="J751" s="310" t="s">
        <v>563</v>
      </c>
      <c r="K751" s="312">
        <v>0</v>
      </c>
      <c r="L751" s="310">
        <v>0</v>
      </c>
      <c r="M751" s="310">
        <v>0</v>
      </c>
      <c r="N751" s="313">
        <v>0</v>
      </c>
      <c r="O751" s="314" t="s">
        <v>563</v>
      </c>
      <c r="P751" s="307">
        <f t="shared" si="213"/>
        <v>0</v>
      </c>
      <c r="R751" s="91" t="str">
        <f t="shared" si="227"/>
        <v/>
      </c>
      <c r="S75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1" s="307" t="str">
        <f t="shared" si="215"/>
        <v/>
      </c>
      <c r="U751" s="315" t="str">
        <f t="shared" si="216"/>
        <v/>
      </c>
      <c r="V751" s="307">
        <f t="shared" si="220"/>
        <v>0</v>
      </c>
      <c r="W751" s="307">
        <f>IFERROR(IF(V751&gt;0,PROPER(Terbilang1(V751)&amp;" Rupiah"),0),"")</f>
        <v>0</v>
      </c>
      <c r="X751" s="90" t="str">
        <f t="shared" si="221"/>
        <v/>
      </c>
      <c r="Y751" s="307" t="str">
        <f t="shared" si="222"/>
        <v/>
      </c>
      <c r="Z751" s="307">
        <f t="shared" si="217"/>
        <v>0</v>
      </c>
      <c r="AA751" s="366">
        <f t="shared" si="218"/>
        <v>0</v>
      </c>
      <c r="AB751" s="367">
        <f t="shared" si="223"/>
        <v>0</v>
      </c>
      <c r="AC751" s="305">
        <f t="shared" si="224"/>
        <v>0</v>
      </c>
      <c r="AP751" s="89" t="str">
        <f t="shared" si="212"/>
        <v/>
      </c>
      <c r="AQ751" s="89" t="str">
        <f t="shared" si="228"/>
        <v/>
      </c>
      <c r="AR751" s="315" t="str">
        <f t="shared" si="211"/>
        <v/>
      </c>
      <c r="AS751" s="305" t="str">
        <f t="shared" si="225"/>
        <v>0</v>
      </c>
      <c r="AT751" s="307">
        <f>Table22[[#This Row],[Column1]]</f>
        <v>0</v>
      </c>
    </row>
    <row r="752" spans="1:46" x14ac:dyDescent="0.3">
      <c r="A752" s="307">
        <f t="shared" si="219"/>
        <v>0</v>
      </c>
      <c r="B752" s="307">
        <f t="shared" si="226"/>
        <v>0</v>
      </c>
      <c r="C752" s="308" t="s">
        <v>563</v>
      </c>
      <c r="D752" s="309" t="s">
        <v>563</v>
      </c>
      <c r="E752" s="310">
        <v>0</v>
      </c>
      <c r="F752" s="310">
        <v>0</v>
      </c>
      <c r="G752" s="311">
        <v>0</v>
      </c>
      <c r="H752" s="310" t="s">
        <v>563</v>
      </c>
      <c r="I752" s="310" t="s">
        <v>563</v>
      </c>
      <c r="J752" s="310" t="s">
        <v>563</v>
      </c>
      <c r="K752" s="312">
        <v>0</v>
      </c>
      <c r="L752" s="310">
        <v>0</v>
      </c>
      <c r="M752" s="310">
        <v>0</v>
      </c>
      <c r="N752" s="313">
        <v>0</v>
      </c>
      <c r="O752" s="314" t="s">
        <v>563</v>
      </c>
      <c r="P752" s="307">
        <f t="shared" si="213"/>
        <v>0</v>
      </c>
      <c r="R752" s="91" t="str">
        <f t="shared" si="227"/>
        <v/>
      </c>
      <c r="S75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2" s="307" t="str">
        <f t="shared" si="215"/>
        <v/>
      </c>
      <c r="U752" s="315" t="str">
        <f t="shared" si="216"/>
        <v/>
      </c>
      <c r="V752" s="307">
        <f t="shared" si="220"/>
        <v>0</v>
      </c>
      <c r="W752" s="307">
        <f>IFERROR(IF(V752&gt;0,PROPER(Terbilang1(V752)&amp;" Rupiah"),0),"")</f>
        <v>0</v>
      </c>
      <c r="X752" s="90" t="str">
        <f t="shared" si="221"/>
        <v/>
      </c>
      <c r="Y752" s="307" t="str">
        <f t="shared" si="222"/>
        <v/>
      </c>
      <c r="Z752" s="307">
        <f t="shared" si="217"/>
        <v>0</v>
      </c>
      <c r="AA752" s="366">
        <f t="shared" si="218"/>
        <v>0</v>
      </c>
      <c r="AB752" s="367">
        <f t="shared" si="223"/>
        <v>0</v>
      </c>
      <c r="AC752" s="305">
        <f t="shared" si="224"/>
        <v>0</v>
      </c>
      <c r="AP752" s="89" t="str">
        <f t="shared" si="212"/>
        <v/>
      </c>
      <c r="AQ752" s="89" t="str">
        <f t="shared" si="228"/>
        <v/>
      </c>
      <c r="AR752" s="315" t="str">
        <f t="shared" si="211"/>
        <v/>
      </c>
      <c r="AS752" s="305" t="str">
        <f t="shared" si="225"/>
        <v>0</v>
      </c>
      <c r="AT752" s="307">
        <f>Table22[[#This Row],[Column1]]</f>
        <v>0</v>
      </c>
    </row>
    <row r="753" spans="1:46" x14ac:dyDescent="0.3">
      <c r="A753" s="307">
        <f t="shared" si="219"/>
        <v>0</v>
      </c>
      <c r="B753" s="307">
        <f t="shared" si="226"/>
        <v>0</v>
      </c>
      <c r="C753" s="308" t="s">
        <v>563</v>
      </c>
      <c r="D753" s="309" t="s">
        <v>563</v>
      </c>
      <c r="E753" s="310">
        <v>0</v>
      </c>
      <c r="F753" s="310">
        <v>0</v>
      </c>
      <c r="G753" s="311">
        <v>0</v>
      </c>
      <c r="H753" s="310" t="s">
        <v>563</v>
      </c>
      <c r="I753" s="310" t="s">
        <v>563</v>
      </c>
      <c r="J753" s="310" t="s">
        <v>563</v>
      </c>
      <c r="K753" s="312">
        <v>0</v>
      </c>
      <c r="L753" s="310">
        <v>0</v>
      </c>
      <c r="M753" s="310">
        <v>0</v>
      </c>
      <c r="N753" s="313">
        <v>0</v>
      </c>
      <c r="O753" s="314" t="s">
        <v>563</v>
      </c>
      <c r="P753" s="307">
        <f t="shared" si="213"/>
        <v>0</v>
      </c>
      <c r="R753" s="91" t="str">
        <f t="shared" si="227"/>
        <v/>
      </c>
      <c r="S75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3" s="307" t="str">
        <f t="shared" si="215"/>
        <v/>
      </c>
      <c r="U753" s="315" t="str">
        <f t="shared" si="216"/>
        <v/>
      </c>
      <c r="V753" s="307">
        <f t="shared" si="220"/>
        <v>0</v>
      </c>
      <c r="W753" s="307">
        <f>IFERROR(IF(V753&gt;0,PROPER(Terbilang1(V753)&amp;" Rupiah"),0),"")</f>
        <v>0</v>
      </c>
      <c r="X753" s="90" t="str">
        <f t="shared" si="221"/>
        <v/>
      </c>
      <c r="Y753" s="307" t="str">
        <f t="shared" si="222"/>
        <v/>
      </c>
      <c r="Z753" s="307">
        <f t="shared" si="217"/>
        <v>0</v>
      </c>
      <c r="AA753" s="366">
        <f t="shared" si="218"/>
        <v>0</v>
      </c>
      <c r="AB753" s="367">
        <f t="shared" si="223"/>
        <v>0</v>
      </c>
      <c r="AC753" s="305">
        <f t="shared" si="224"/>
        <v>0</v>
      </c>
      <c r="AP753" s="89" t="str">
        <f t="shared" si="212"/>
        <v/>
      </c>
      <c r="AQ753" s="89" t="str">
        <f t="shared" si="228"/>
        <v/>
      </c>
      <c r="AR753" s="315" t="str">
        <f t="shared" si="211"/>
        <v/>
      </c>
      <c r="AS753" s="305" t="str">
        <f t="shared" si="225"/>
        <v>0</v>
      </c>
      <c r="AT753" s="307">
        <f>Table22[[#This Row],[Column1]]</f>
        <v>0</v>
      </c>
    </row>
    <row r="754" spans="1:46" x14ac:dyDescent="0.3">
      <c r="A754" s="307">
        <f t="shared" si="219"/>
        <v>0</v>
      </c>
      <c r="B754" s="307">
        <f t="shared" si="226"/>
        <v>0</v>
      </c>
      <c r="C754" s="308" t="s">
        <v>563</v>
      </c>
      <c r="D754" s="309" t="s">
        <v>563</v>
      </c>
      <c r="E754" s="310">
        <v>0</v>
      </c>
      <c r="F754" s="310">
        <v>0</v>
      </c>
      <c r="G754" s="311">
        <v>0</v>
      </c>
      <c r="H754" s="310" t="s">
        <v>563</v>
      </c>
      <c r="I754" s="310" t="s">
        <v>563</v>
      </c>
      <c r="J754" s="310" t="s">
        <v>563</v>
      </c>
      <c r="K754" s="312">
        <v>0</v>
      </c>
      <c r="L754" s="310">
        <v>0</v>
      </c>
      <c r="M754" s="310">
        <v>0</v>
      </c>
      <c r="N754" s="313">
        <v>0</v>
      </c>
      <c r="O754" s="314" t="s">
        <v>563</v>
      </c>
      <c r="P754" s="307">
        <f t="shared" si="213"/>
        <v>0</v>
      </c>
      <c r="R754" s="91" t="str">
        <f t="shared" si="227"/>
        <v/>
      </c>
      <c r="S75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4" s="307" t="str">
        <f t="shared" si="215"/>
        <v/>
      </c>
      <c r="U754" s="315" t="str">
        <f t="shared" si="216"/>
        <v/>
      </c>
      <c r="V754" s="307">
        <f t="shared" si="220"/>
        <v>0</v>
      </c>
      <c r="W754" s="307">
        <f>IFERROR(IF(V754&gt;0,PROPER(Terbilang1(V754)&amp;" Rupiah"),0),"")</f>
        <v>0</v>
      </c>
      <c r="X754" s="90" t="str">
        <f t="shared" si="221"/>
        <v/>
      </c>
      <c r="Y754" s="307" t="str">
        <f t="shared" si="222"/>
        <v/>
      </c>
      <c r="Z754" s="307">
        <f t="shared" si="217"/>
        <v>0</v>
      </c>
      <c r="AA754" s="366">
        <f t="shared" si="218"/>
        <v>0</v>
      </c>
      <c r="AB754" s="367">
        <f t="shared" si="223"/>
        <v>0</v>
      </c>
      <c r="AC754" s="305">
        <f t="shared" si="224"/>
        <v>0</v>
      </c>
      <c r="AP754" s="89" t="str">
        <f t="shared" si="212"/>
        <v/>
      </c>
      <c r="AQ754" s="89" t="str">
        <f t="shared" si="228"/>
        <v/>
      </c>
      <c r="AR754" s="315" t="str">
        <f t="shared" si="211"/>
        <v/>
      </c>
      <c r="AS754" s="305" t="str">
        <f t="shared" si="225"/>
        <v>0</v>
      </c>
      <c r="AT754" s="307">
        <f>Table22[[#This Row],[Column1]]</f>
        <v>0</v>
      </c>
    </row>
    <row r="755" spans="1:46" x14ac:dyDescent="0.3">
      <c r="A755" s="307">
        <f t="shared" si="219"/>
        <v>0</v>
      </c>
      <c r="B755" s="307">
        <f t="shared" si="226"/>
        <v>0</v>
      </c>
      <c r="C755" s="308" t="s">
        <v>563</v>
      </c>
      <c r="D755" s="309" t="s">
        <v>563</v>
      </c>
      <c r="E755" s="310">
        <v>0</v>
      </c>
      <c r="F755" s="310">
        <v>0</v>
      </c>
      <c r="G755" s="311">
        <v>0</v>
      </c>
      <c r="H755" s="310" t="s">
        <v>563</v>
      </c>
      <c r="I755" s="310" t="s">
        <v>563</v>
      </c>
      <c r="J755" s="310" t="s">
        <v>563</v>
      </c>
      <c r="K755" s="312">
        <v>0</v>
      </c>
      <c r="L755" s="310">
        <v>0</v>
      </c>
      <c r="M755" s="310">
        <v>0</v>
      </c>
      <c r="N755" s="313">
        <v>0</v>
      </c>
      <c r="O755" s="314" t="s">
        <v>563</v>
      </c>
      <c r="P755" s="307">
        <f t="shared" si="213"/>
        <v>0</v>
      </c>
      <c r="R755" s="91" t="str">
        <f t="shared" si="227"/>
        <v/>
      </c>
      <c r="S75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5" s="307" t="str">
        <f t="shared" si="215"/>
        <v/>
      </c>
      <c r="U755" s="315" t="str">
        <f t="shared" si="216"/>
        <v/>
      </c>
      <c r="V755" s="307">
        <f t="shared" si="220"/>
        <v>0</v>
      </c>
      <c r="W755" s="307">
        <f>IFERROR(IF(V755&gt;0,PROPER(Terbilang1(V755)&amp;" Rupiah"),0),"")</f>
        <v>0</v>
      </c>
      <c r="X755" s="90" t="str">
        <f t="shared" si="221"/>
        <v/>
      </c>
      <c r="Y755" s="307" t="str">
        <f t="shared" si="222"/>
        <v/>
      </c>
      <c r="Z755" s="307">
        <f t="shared" si="217"/>
        <v>0</v>
      </c>
      <c r="AA755" s="366">
        <f t="shared" si="218"/>
        <v>0</v>
      </c>
      <c r="AB755" s="367">
        <f t="shared" si="223"/>
        <v>0</v>
      </c>
      <c r="AC755" s="305">
        <f t="shared" si="224"/>
        <v>0</v>
      </c>
      <c r="AP755" s="89" t="str">
        <f t="shared" si="212"/>
        <v/>
      </c>
      <c r="AQ755" s="89" t="str">
        <f t="shared" si="228"/>
        <v/>
      </c>
      <c r="AR755" s="315" t="str">
        <f t="shared" ref="AR755:AR818" si="229">IF(VALUE(AT755)&gt;1,IF(LEN(AR754)&gt;1,AR754,D755),"")</f>
        <v/>
      </c>
      <c r="AS755" s="305" t="str">
        <f t="shared" si="225"/>
        <v>0</v>
      </c>
      <c r="AT755" s="307">
        <f>Table22[[#This Row],[Column1]]</f>
        <v>0</v>
      </c>
    </row>
    <row r="756" spans="1:46" x14ac:dyDescent="0.3">
      <c r="A756" s="307">
        <f t="shared" si="219"/>
        <v>0</v>
      </c>
      <c r="B756" s="307">
        <f t="shared" si="226"/>
        <v>0</v>
      </c>
      <c r="C756" s="308" t="s">
        <v>563</v>
      </c>
      <c r="D756" s="309" t="s">
        <v>563</v>
      </c>
      <c r="E756" s="310">
        <v>0</v>
      </c>
      <c r="F756" s="310">
        <v>0</v>
      </c>
      <c r="G756" s="311">
        <v>0</v>
      </c>
      <c r="H756" s="310" t="s">
        <v>563</v>
      </c>
      <c r="I756" s="310" t="s">
        <v>563</v>
      </c>
      <c r="J756" s="310" t="s">
        <v>563</v>
      </c>
      <c r="K756" s="312">
        <v>0</v>
      </c>
      <c r="L756" s="310">
        <v>0</v>
      </c>
      <c r="M756" s="310">
        <v>0</v>
      </c>
      <c r="N756" s="313">
        <v>0</v>
      </c>
      <c r="O756" s="314" t="s">
        <v>563</v>
      </c>
      <c r="P756" s="307">
        <f t="shared" si="213"/>
        <v>0</v>
      </c>
      <c r="R756" s="91" t="str">
        <f t="shared" si="227"/>
        <v/>
      </c>
      <c r="S75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6" s="307" t="str">
        <f t="shared" si="215"/>
        <v/>
      </c>
      <c r="U756" s="315" t="str">
        <f t="shared" si="216"/>
        <v/>
      </c>
      <c r="V756" s="307">
        <f t="shared" si="220"/>
        <v>0</v>
      </c>
      <c r="W756" s="307">
        <f>IFERROR(IF(V756&gt;0,PROPER(Terbilang1(V756)&amp;" Rupiah"),0),"")</f>
        <v>0</v>
      </c>
      <c r="X756" s="90" t="str">
        <f t="shared" si="221"/>
        <v/>
      </c>
      <c r="Y756" s="307" t="str">
        <f t="shared" si="222"/>
        <v/>
      </c>
      <c r="Z756" s="307">
        <f t="shared" si="217"/>
        <v>0</v>
      </c>
      <c r="AA756" s="366">
        <f t="shared" si="218"/>
        <v>0</v>
      </c>
      <c r="AB756" s="367">
        <f t="shared" si="223"/>
        <v>0</v>
      </c>
      <c r="AC756" s="305">
        <f t="shared" si="224"/>
        <v>0</v>
      </c>
      <c r="AP756" s="89" t="str">
        <f t="shared" si="212"/>
        <v/>
      </c>
      <c r="AQ756" s="89" t="str">
        <f t="shared" si="228"/>
        <v/>
      </c>
      <c r="AR756" s="315" t="str">
        <f t="shared" si="229"/>
        <v/>
      </c>
      <c r="AS756" s="305" t="str">
        <f t="shared" si="225"/>
        <v>0</v>
      </c>
      <c r="AT756" s="307">
        <f>Table22[[#This Row],[Column1]]</f>
        <v>0</v>
      </c>
    </row>
    <row r="757" spans="1:46" x14ac:dyDescent="0.3">
      <c r="A757" s="307">
        <f t="shared" si="219"/>
        <v>0</v>
      </c>
      <c r="B757" s="307">
        <f t="shared" si="226"/>
        <v>0</v>
      </c>
      <c r="C757" s="308" t="s">
        <v>563</v>
      </c>
      <c r="D757" s="309" t="s">
        <v>563</v>
      </c>
      <c r="E757" s="310">
        <v>0</v>
      </c>
      <c r="F757" s="310">
        <v>0</v>
      </c>
      <c r="G757" s="311">
        <v>0</v>
      </c>
      <c r="H757" s="310" t="s">
        <v>563</v>
      </c>
      <c r="I757" s="310" t="s">
        <v>563</v>
      </c>
      <c r="J757" s="310" t="s">
        <v>563</v>
      </c>
      <c r="K757" s="312">
        <v>0</v>
      </c>
      <c r="L757" s="310">
        <v>0</v>
      </c>
      <c r="M757" s="310">
        <v>0</v>
      </c>
      <c r="N757" s="313">
        <v>0</v>
      </c>
      <c r="O757" s="314" t="s">
        <v>563</v>
      </c>
      <c r="P757" s="307">
        <f t="shared" si="213"/>
        <v>0</v>
      </c>
      <c r="R757" s="91" t="str">
        <f t="shared" si="227"/>
        <v/>
      </c>
      <c r="S75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7" s="307" t="str">
        <f t="shared" si="215"/>
        <v/>
      </c>
      <c r="U757" s="315" t="str">
        <f t="shared" si="216"/>
        <v/>
      </c>
      <c r="V757" s="307">
        <f t="shared" si="220"/>
        <v>0</v>
      </c>
      <c r="W757" s="307">
        <f>IFERROR(IF(V757&gt;0,PROPER(Terbilang1(V757)&amp;" Rupiah"),0),"")</f>
        <v>0</v>
      </c>
      <c r="X757" s="90" t="str">
        <f t="shared" si="221"/>
        <v/>
      </c>
      <c r="Y757" s="307" t="str">
        <f t="shared" si="222"/>
        <v/>
      </c>
      <c r="Z757" s="307">
        <f t="shared" si="217"/>
        <v>0</v>
      </c>
      <c r="AA757" s="366">
        <f t="shared" si="218"/>
        <v>0</v>
      </c>
      <c r="AB757" s="367">
        <f t="shared" si="223"/>
        <v>0</v>
      </c>
      <c r="AC757" s="305">
        <f t="shared" si="224"/>
        <v>0</v>
      </c>
      <c r="AP757" s="89" t="str">
        <f t="shared" si="212"/>
        <v/>
      </c>
      <c r="AQ757" s="89" t="str">
        <f t="shared" si="228"/>
        <v/>
      </c>
      <c r="AR757" s="315" t="str">
        <f t="shared" si="229"/>
        <v/>
      </c>
      <c r="AS757" s="305" t="str">
        <f t="shared" si="225"/>
        <v>0</v>
      </c>
      <c r="AT757" s="307">
        <f>Table22[[#This Row],[Column1]]</f>
        <v>0</v>
      </c>
    </row>
    <row r="758" spans="1:46" x14ac:dyDescent="0.3">
      <c r="A758" s="307">
        <f t="shared" si="219"/>
        <v>0</v>
      </c>
      <c r="B758" s="307">
        <f t="shared" si="226"/>
        <v>0</v>
      </c>
      <c r="C758" s="308" t="s">
        <v>563</v>
      </c>
      <c r="D758" s="309" t="s">
        <v>563</v>
      </c>
      <c r="E758" s="310">
        <v>0</v>
      </c>
      <c r="F758" s="310">
        <v>0</v>
      </c>
      <c r="G758" s="311">
        <v>0</v>
      </c>
      <c r="H758" s="310" t="s">
        <v>563</v>
      </c>
      <c r="I758" s="310" t="s">
        <v>563</v>
      </c>
      <c r="J758" s="310" t="s">
        <v>563</v>
      </c>
      <c r="K758" s="312">
        <v>0</v>
      </c>
      <c r="L758" s="310">
        <v>0</v>
      </c>
      <c r="M758" s="310">
        <v>0</v>
      </c>
      <c r="N758" s="313">
        <v>0</v>
      </c>
      <c r="O758" s="314" t="s">
        <v>563</v>
      </c>
      <c r="P758" s="307">
        <f t="shared" si="213"/>
        <v>0</v>
      </c>
      <c r="R758" s="91" t="str">
        <f t="shared" si="227"/>
        <v/>
      </c>
      <c r="S75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8" s="307" t="str">
        <f t="shared" si="215"/>
        <v/>
      </c>
      <c r="U758" s="315" t="str">
        <f t="shared" si="216"/>
        <v/>
      </c>
      <c r="V758" s="307">
        <f t="shared" si="220"/>
        <v>0</v>
      </c>
      <c r="W758" s="307">
        <f>IFERROR(IF(V758&gt;0,PROPER(Terbilang1(V758)&amp;" Rupiah"),0),"")</f>
        <v>0</v>
      </c>
      <c r="X758" s="90" t="str">
        <f t="shared" si="221"/>
        <v/>
      </c>
      <c r="Y758" s="307" t="str">
        <f t="shared" si="222"/>
        <v/>
      </c>
      <c r="Z758" s="307">
        <f t="shared" si="217"/>
        <v>0</v>
      </c>
      <c r="AA758" s="366">
        <f t="shared" si="218"/>
        <v>0</v>
      </c>
      <c r="AB758" s="367">
        <f t="shared" si="223"/>
        <v>0</v>
      </c>
      <c r="AC758" s="305">
        <f t="shared" si="224"/>
        <v>0</v>
      </c>
      <c r="AP758" s="89" t="str">
        <f t="shared" si="212"/>
        <v/>
      </c>
      <c r="AQ758" s="89" t="str">
        <f t="shared" si="228"/>
        <v/>
      </c>
      <c r="AR758" s="315" t="str">
        <f t="shared" si="229"/>
        <v/>
      </c>
      <c r="AS758" s="305" t="str">
        <f t="shared" si="225"/>
        <v>0</v>
      </c>
      <c r="AT758" s="307">
        <f>Table22[[#This Row],[Column1]]</f>
        <v>0</v>
      </c>
    </row>
    <row r="759" spans="1:46" x14ac:dyDescent="0.3">
      <c r="A759" s="307">
        <f t="shared" si="219"/>
        <v>0</v>
      </c>
      <c r="B759" s="307">
        <f t="shared" si="226"/>
        <v>0</v>
      </c>
      <c r="C759" s="308" t="s">
        <v>563</v>
      </c>
      <c r="D759" s="309" t="s">
        <v>563</v>
      </c>
      <c r="E759" s="310">
        <v>0</v>
      </c>
      <c r="F759" s="310">
        <v>0</v>
      </c>
      <c r="G759" s="311">
        <v>0</v>
      </c>
      <c r="H759" s="310" t="s">
        <v>563</v>
      </c>
      <c r="I759" s="310" t="s">
        <v>563</v>
      </c>
      <c r="J759" s="310" t="s">
        <v>563</v>
      </c>
      <c r="K759" s="312">
        <v>0</v>
      </c>
      <c r="L759" s="310">
        <v>0</v>
      </c>
      <c r="M759" s="310">
        <v>0</v>
      </c>
      <c r="N759" s="313">
        <v>0</v>
      </c>
      <c r="O759" s="314" t="s">
        <v>563</v>
      </c>
      <c r="P759" s="307">
        <f t="shared" si="213"/>
        <v>0</v>
      </c>
      <c r="R759" s="91" t="str">
        <f t="shared" si="227"/>
        <v/>
      </c>
      <c r="S75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59" s="307" t="str">
        <f t="shared" si="215"/>
        <v/>
      </c>
      <c r="U759" s="315" t="str">
        <f t="shared" si="216"/>
        <v/>
      </c>
      <c r="V759" s="307">
        <f t="shared" si="220"/>
        <v>0</v>
      </c>
      <c r="W759" s="307">
        <f>IFERROR(IF(V759&gt;0,PROPER(Terbilang1(V759)&amp;" Rupiah"),0),"")</f>
        <v>0</v>
      </c>
      <c r="X759" s="90" t="str">
        <f t="shared" si="221"/>
        <v/>
      </c>
      <c r="Y759" s="307" t="str">
        <f t="shared" si="222"/>
        <v/>
      </c>
      <c r="Z759" s="307">
        <f t="shared" si="217"/>
        <v>0</v>
      </c>
      <c r="AA759" s="366">
        <f t="shared" si="218"/>
        <v>0</v>
      </c>
      <c r="AB759" s="367">
        <f t="shared" si="223"/>
        <v>0</v>
      </c>
      <c r="AC759" s="305">
        <f t="shared" si="224"/>
        <v>0</v>
      </c>
      <c r="AP759" s="89" t="str">
        <f t="shared" si="212"/>
        <v/>
      </c>
      <c r="AQ759" s="89" t="str">
        <f t="shared" si="228"/>
        <v/>
      </c>
      <c r="AR759" s="315" t="str">
        <f t="shared" si="229"/>
        <v/>
      </c>
      <c r="AS759" s="305" t="str">
        <f t="shared" si="225"/>
        <v>0</v>
      </c>
      <c r="AT759" s="307">
        <f>Table22[[#This Row],[Column1]]</f>
        <v>0</v>
      </c>
    </row>
    <row r="760" spans="1:46" x14ac:dyDescent="0.3">
      <c r="A760" s="307">
        <f t="shared" si="219"/>
        <v>0</v>
      </c>
      <c r="B760" s="307">
        <f t="shared" si="226"/>
        <v>0</v>
      </c>
      <c r="C760" s="308" t="s">
        <v>563</v>
      </c>
      <c r="D760" s="309" t="s">
        <v>563</v>
      </c>
      <c r="E760" s="310">
        <v>0</v>
      </c>
      <c r="F760" s="310">
        <v>0</v>
      </c>
      <c r="G760" s="311">
        <v>0</v>
      </c>
      <c r="H760" s="310" t="s">
        <v>563</v>
      </c>
      <c r="I760" s="310" t="s">
        <v>563</v>
      </c>
      <c r="J760" s="310" t="s">
        <v>563</v>
      </c>
      <c r="K760" s="312">
        <v>0</v>
      </c>
      <c r="L760" s="310">
        <v>0</v>
      </c>
      <c r="M760" s="310">
        <v>0</v>
      </c>
      <c r="N760" s="313">
        <v>0</v>
      </c>
      <c r="O760" s="314" t="s">
        <v>563</v>
      </c>
      <c r="P760" s="307">
        <f t="shared" si="213"/>
        <v>0</v>
      </c>
      <c r="R760" s="91" t="str">
        <f t="shared" si="227"/>
        <v/>
      </c>
      <c r="S760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0" s="307" t="str">
        <f t="shared" si="215"/>
        <v/>
      </c>
      <c r="U760" s="315" t="str">
        <f t="shared" si="216"/>
        <v/>
      </c>
      <c r="V760" s="307">
        <f t="shared" si="220"/>
        <v>0</v>
      </c>
      <c r="W760" s="307">
        <f>IFERROR(IF(V760&gt;0,PROPER(Terbilang1(V760)&amp;" Rupiah"),0),"")</f>
        <v>0</v>
      </c>
      <c r="X760" s="90" t="str">
        <f t="shared" si="221"/>
        <v/>
      </c>
      <c r="Y760" s="307" t="str">
        <f t="shared" si="222"/>
        <v/>
      </c>
      <c r="Z760" s="307">
        <f t="shared" si="217"/>
        <v>0</v>
      </c>
      <c r="AA760" s="366">
        <f t="shared" si="218"/>
        <v>0</v>
      </c>
      <c r="AB760" s="367">
        <f t="shared" si="223"/>
        <v>0</v>
      </c>
      <c r="AC760" s="305">
        <f t="shared" si="224"/>
        <v>0</v>
      </c>
      <c r="AP760" s="89" t="str">
        <f t="shared" si="212"/>
        <v/>
      </c>
      <c r="AQ760" s="89" t="str">
        <f t="shared" si="228"/>
        <v/>
      </c>
      <c r="AR760" s="315" t="str">
        <f t="shared" si="229"/>
        <v/>
      </c>
      <c r="AS760" s="305" t="str">
        <f t="shared" si="225"/>
        <v>0</v>
      </c>
      <c r="AT760" s="307">
        <f>Table22[[#This Row],[Column1]]</f>
        <v>0</v>
      </c>
    </row>
    <row r="761" spans="1:46" x14ac:dyDescent="0.3">
      <c r="A761" s="307">
        <f t="shared" si="219"/>
        <v>0</v>
      </c>
      <c r="B761" s="307">
        <f t="shared" si="226"/>
        <v>0</v>
      </c>
      <c r="C761" s="308" t="s">
        <v>563</v>
      </c>
      <c r="D761" s="309" t="s">
        <v>563</v>
      </c>
      <c r="E761" s="310">
        <v>0</v>
      </c>
      <c r="F761" s="310">
        <v>0</v>
      </c>
      <c r="G761" s="311">
        <v>0</v>
      </c>
      <c r="H761" s="310" t="s">
        <v>563</v>
      </c>
      <c r="I761" s="310" t="s">
        <v>563</v>
      </c>
      <c r="J761" s="310" t="s">
        <v>563</v>
      </c>
      <c r="K761" s="312">
        <v>0</v>
      </c>
      <c r="L761" s="310">
        <v>0</v>
      </c>
      <c r="M761" s="310">
        <v>0</v>
      </c>
      <c r="N761" s="313">
        <v>0</v>
      </c>
      <c r="O761" s="314" t="s">
        <v>563</v>
      </c>
      <c r="P761" s="307">
        <f t="shared" si="213"/>
        <v>0</v>
      </c>
      <c r="R761" s="91" t="str">
        <f t="shared" si="227"/>
        <v/>
      </c>
      <c r="S761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1" s="307" t="str">
        <f t="shared" si="215"/>
        <v/>
      </c>
      <c r="U761" s="315" t="str">
        <f t="shared" si="216"/>
        <v/>
      </c>
      <c r="V761" s="307">
        <f t="shared" si="220"/>
        <v>0</v>
      </c>
      <c r="W761" s="307">
        <f>IFERROR(IF(V761&gt;0,PROPER(Terbilang1(V761)&amp;" Rupiah"),0),"")</f>
        <v>0</v>
      </c>
      <c r="X761" s="90" t="str">
        <f t="shared" si="221"/>
        <v/>
      </c>
      <c r="Y761" s="307" t="str">
        <f t="shared" si="222"/>
        <v/>
      </c>
      <c r="Z761" s="307">
        <f t="shared" si="217"/>
        <v>0</v>
      </c>
      <c r="AA761" s="366">
        <f t="shared" si="218"/>
        <v>0</v>
      </c>
      <c r="AB761" s="367">
        <f t="shared" si="223"/>
        <v>0</v>
      </c>
      <c r="AC761" s="305">
        <f t="shared" si="224"/>
        <v>0</v>
      </c>
      <c r="AP761" s="89" t="str">
        <f t="shared" si="212"/>
        <v/>
      </c>
      <c r="AQ761" s="89" t="str">
        <f t="shared" si="228"/>
        <v/>
      </c>
      <c r="AR761" s="315" t="str">
        <f t="shared" si="229"/>
        <v/>
      </c>
      <c r="AS761" s="305" t="str">
        <f t="shared" si="225"/>
        <v>0</v>
      </c>
      <c r="AT761" s="307">
        <f>Table22[[#This Row],[Column1]]</f>
        <v>0</v>
      </c>
    </row>
    <row r="762" spans="1:46" x14ac:dyDescent="0.3">
      <c r="A762" s="307">
        <f t="shared" si="219"/>
        <v>0</v>
      </c>
      <c r="B762" s="307">
        <f t="shared" si="226"/>
        <v>0</v>
      </c>
      <c r="C762" s="308" t="s">
        <v>563</v>
      </c>
      <c r="D762" s="309" t="s">
        <v>563</v>
      </c>
      <c r="E762" s="310">
        <v>0</v>
      </c>
      <c r="F762" s="310">
        <v>0</v>
      </c>
      <c r="G762" s="311">
        <v>0</v>
      </c>
      <c r="H762" s="310" t="s">
        <v>563</v>
      </c>
      <c r="I762" s="310" t="s">
        <v>563</v>
      </c>
      <c r="J762" s="310" t="s">
        <v>563</v>
      </c>
      <c r="K762" s="312">
        <v>0</v>
      </c>
      <c r="L762" s="310">
        <v>0</v>
      </c>
      <c r="M762" s="310">
        <v>0</v>
      </c>
      <c r="N762" s="313">
        <v>0</v>
      </c>
      <c r="O762" s="314" t="s">
        <v>563</v>
      </c>
      <c r="P762" s="307">
        <f t="shared" si="213"/>
        <v>0</v>
      </c>
      <c r="R762" s="91" t="str">
        <f t="shared" si="227"/>
        <v/>
      </c>
      <c r="S762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2" s="307" t="str">
        <f t="shared" si="215"/>
        <v/>
      </c>
      <c r="U762" s="315" t="str">
        <f t="shared" si="216"/>
        <v/>
      </c>
      <c r="V762" s="307">
        <f t="shared" si="220"/>
        <v>0</v>
      </c>
      <c r="W762" s="307">
        <f>IFERROR(IF(V762&gt;0,PROPER(Terbilang1(V762)&amp;" Rupiah"),0),"")</f>
        <v>0</v>
      </c>
      <c r="X762" s="90" t="str">
        <f t="shared" si="221"/>
        <v/>
      </c>
      <c r="Y762" s="307" t="str">
        <f t="shared" si="222"/>
        <v/>
      </c>
      <c r="Z762" s="307">
        <f t="shared" si="217"/>
        <v>0</v>
      </c>
      <c r="AA762" s="366">
        <f t="shared" si="218"/>
        <v>0</v>
      </c>
      <c r="AB762" s="367">
        <f t="shared" si="223"/>
        <v>0</v>
      </c>
      <c r="AC762" s="305">
        <f t="shared" si="224"/>
        <v>0</v>
      </c>
      <c r="AP762" s="89" t="str">
        <f t="shared" si="212"/>
        <v/>
      </c>
      <c r="AQ762" s="89" t="str">
        <f t="shared" si="228"/>
        <v/>
      </c>
      <c r="AR762" s="315" t="str">
        <f t="shared" si="229"/>
        <v/>
      </c>
      <c r="AS762" s="305" t="str">
        <f t="shared" si="225"/>
        <v>0</v>
      </c>
      <c r="AT762" s="307">
        <f>Table22[[#This Row],[Column1]]</f>
        <v>0</v>
      </c>
    </row>
    <row r="763" spans="1:46" x14ac:dyDescent="0.3">
      <c r="A763" s="307">
        <f t="shared" si="219"/>
        <v>0</v>
      </c>
      <c r="B763" s="307">
        <f t="shared" si="226"/>
        <v>0</v>
      </c>
      <c r="C763" s="308" t="s">
        <v>563</v>
      </c>
      <c r="D763" s="309" t="s">
        <v>563</v>
      </c>
      <c r="E763" s="310">
        <v>0</v>
      </c>
      <c r="F763" s="310">
        <v>0</v>
      </c>
      <c r="G763" s="311">
        <v>0</v>
      </c>
      <c r="H763" s="310" t="s">
        <v>563</v>
      </c>
      <c r="I763" s="310" t="s">
        <v>563</v>
      </c>
      <c r="J763" s="310" t="s">
        <v>563</v>
      </c>
      <c r="K763" s="312">
        <v>0</v>
      </c>
      <c r="L763" s="310">
        <v>0</v>
      </c>
      <c r="M763" s="310">
        <v>0</v>
      </c>
      <c r="N763" s="313">
        <v>0</v>
      </c>
      <c r="O763" s="314" t="s">
        <v>563</v>
      </c>
      <c r="P763" s="307">
        <f t="shared" si="213"/>
        <v>0</v>
      </c>
      <c r="R763" s="91" t="str">
        <f t="shared" si="227"/>
        <v/>
      </c>
      <c r="S763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3" s="307" t="str">
        <f t="shared" si="215"/>
        <v/>
      </c>
      <c r="U763" s="315" t="str">
        <f t="shared" si="216"/>
        <v/>
      </c>
      <c r="V763" s="307">
        <f t="shared" si="220"/>
        <v>0</v>
      </c>
      <c r="W763" s="307">
        <f>IFERROR(IF(V763&gt;0,PROPER(Terbilang1(V763)&amp;" Rupiah"),0),"")</f>
        <v>0</v>
      </c>
      <c r="X763" s="90" t="str">
        <f t="shared" si="221"/>
        <v/>
      </c>
      <c r="Y763" s="307" t="str">
        <f t="shared" si="222"/>
        <v/>
      </c>
      <c r="Z763" s="307">
        <f t="shared" si="217"/>
        <v>0</v>
      </c>
      <c r="AA763" s="366">
        <f t="shared" si="218"/>
        <v>0</v>
      </c>
      <c r="AB763" s="367">
        <f t="shared" si="223"/>
        <v>0</v>
      </c>
      <c r="AC763" s="305">
        <f t="shared" si="224"/>
        <v>0</v>
      </c>
      <c r="AP763" s="89" t="str">
        <f t="shared" si="212"/>
        <v/>
      </c>
      <c r="AQ763" s="89" t="str">
        <f t="shared" si="228"/>
        <v/>
      </c>
      <c r="AR763" s="315" t="str">
        <f t="shared" si="229"/>
        <v/>
      </c>
      <c r="AS763" s="305" t="str">
        <f t="shared" si="225"/>
        <v>0</v>
      </c>
      <c r="AT763" s="307">
        <f>Table22[[#This Row],[Column1]]</f>
        <v>0</v>
      </c>
    </row>
    <row r="764" spans="1:46" x14ac:dyDescent="0.3">
      <c r="A764" s="307">
        <f t="shared" si="219"/>
        <v>0</v>
      </c>
      <c r="B764" s="307">
        <f t="shared" si="226"/>
        <v>0</v>
      </c>
      <c r="C764" s="308" t="s">
        <v>563</v>
      </c>
      <c r="D764" s="309" t="s">
        <v>563</v>
      </c>
      <c r="E764" s="310">
        <v>0</v>
      </c>
      <c r="F764" s="310">
        <v>0</v>
      </c>
      <c r="G764" s="311">
        <v>0</v>
      </c>
      <c r="H764" s="310" t="s">
        <v>563</v>
      </c>
      <c r="I764" s="310" t="s">
        <v>563</v>
      </c>
      <c r="J764" s="310" t="s">
        <v>563</v>
      </c>
      <c r="K764" s="312">
        <v>0</v>
      </c>
      <c r="L764" s="310">
        <v>0</v>
      </c>
      <c r="M764" s="310">
        <v>0</v>
      </c>
      <c r="N764" s="313">
        <v>0</v>
      </c>
      <c r="O764" s="314" t="s">
        <v>563</v>
      </c>
      <c r="P764" s="307">
        <f t="shared" si="213"/>
        <v>0</v>
      </c>
      <c r="R764" s="91" t="str">
        <f t="shared" si="227"/>
        <v/>
      </c>
      <c r="S764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4" s="307" t="str">
        <f t="shared" si="215"/>
        <v/>
      </c>
      <c r="U764" s="315" t="str">
        <f t="shared" si="216"/>
        <v/>
      </c>
      <c r="V764" s="307">
        <f t="shared" si="220"/>
        <v>0</v>
      </c>
      <c r="W764" s="307">
        <f>IFERROR(IF(V764&gt;0,PROPER(Terbilang1(V764)&amp;" Rupiah"),0),"")</f>
        <v>0</v>
      </c>
      <c r="X764" s="90" t="str">
        <f t="shared" si="221"/>
        <v/>
      </c>
      <c r="Y764" s="307" t="str">
        <f t="shared" si="222"/>
        <v/>
      </c>
      <c r="Z764" s="307">
        <f t="shared" si="217"/>
        <v>0</v>
      </c>
      <c r="AA764" s="366">
        <f t="shared" si="218"/>
        <v>0</v>
      </c>
      <c r="AB764" s="367">
        <f t="shared" si="223"/>
        <v>0</v>
      </c>
      <c r="AC764" s="305">
        <f t="shared" si="224"/>
        <v>0</v>
      </c>
      <c r="AP764" s="89" t="str">
        <f t="shared" si="212"/>
        <v/>
      </c>
      <c r="AQ764" s="89" t="str">
        <f t="shared" si="228"/>
        <v/>
      </c>
      <c r="AR764" s="315" t="str">
        <f t="shared" si="229"/>
        <v/>
      </c>
      <c r="AS764" s="305" t="str">
        <f t="shared" si="225"/>
        <v>0</v>
      </c>
      <c r="AT764" s="307">
        <f>Table22[[#This Row],[Column1]]</f>
        <v>0</v>
      </c>
    </row>
    <row r="765" spans="1:46" x14ac:dyDescent="0.3">
      <c r="A765" s="307">
        <f t="shared" si="219"/>
        <v>0</v>
      </c>
      <c r="B765" s="307">
        <f t="shared" si="226"/>
        <v>0</v>
      </c>
      <c r="C765" s="308" t="s">
        <v>563</v>
      </c>
      <c r="D765" s="309" t="s">
        <v>563</v>
      </c>
      <c r="E765" s="310">
        <v>0</v>
      </c>
      <c r="F765" s="310">
        <v>0</v>
      </c>
      <c r="G765" s="311">
        <v>0</v>
      </c>
      <c r="H765" s="310" t="s">
        <v>563</v>
      </c>
      <c r="I765" s="310" t="s">
        <v>563</v>
      </c>
      <c r="J765" s="310" t="s">
        <v>563</v>
      </c>
      <c r="K765" s="312">
        <v>0</v>
      </c>
      <c r="L765" s="310">
        <v>0</v>
      </c>
      <c r="M765" s="310">
        <v>0</v>
      </c>
      <c r="N765" s="313">
        <v>0</v>
      </c>
      <c r="O765" s="314" t="s">
        <v>563</v>
      </c>
      <c r="P765" s="307">
        <f t="shared" si="213"/>
        <v>0</v>
      </c>
      <c r="R765" s="91" t="str">
        <f t="shared" si="227"/>
        <v/>
      </c>
      <c r="S765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5" s="307" t="str">
        <f t="shared" si="215"/>
        <v/>
      </c>
      <c r="U765" s="315" t="str">
        <f t="shared" si="216"/>
        <v/>
      </c>
      <c r="V765" s="307">
        <f t="shared" si="220"/>
        <v>0</v>
      </c>
      <c r="W765" s="307">
        <f>IFERROR(IF(V765&gt;0,PROPER(Terbilang1(V765)&amp;" Rupiah"),0),"")</f>
        <v>0</v>
      </c>
      <c r="X765" s="90" t="str">
        <f t="shared" si="221"/>
        <v/>
      </c>
      <c r="Y765" s="307" t="str">
        <f t="shared" si="222"/>
        <v/>
      </c>
      <c r="Z765" s="307">
        <f t="shared" si="217"/>
        <v>0</v>
      </c>
      <c r="AA765" s="366">
        <f t="shared" si="218"/>
        <v>0</v>
      </c>
      <c r="AB765" s="367">
        <f t="shared" si="223"/>
        <v>0</v>
      </c>
      <c r="AC765" s="305">
        <f t="shared" si="224"/>
        <v>0</v>
      </c>
      <c r="AP765" s="89" t="str">
        <f t="shared" si="212"/>
        <v/>
      </c>
      <c r="AQ765" s="89" t="str">
        <f t="shared" si="228"/>
        <v/>
      </c>
      <c r="AR765" s="315" t="str">
        <f t="shared" si="229"/>
        <v/>
      </c>
      <c r="AS765" s="305" t="str">
        <f t="shared" si="225"/>
        <v>0</v>
      </c>
      <c r="AT765" s="307">
        <f>Table22[[#This Row],[Column1]]</f>
        <v>0</v>
      </c>
    </row>
    <row r="766" spans="1:46" x14ac:dyDescent="0.3">
      <c r="A766" s="307">
        <f t="shared" si="219"/>
        <v>0</v>
      </c>
      <c r="B766" s="307">
        <f t="shared" si="226"/>
        <v>0</v>
      </c>
      <c r="C766" s="308" t="s">
        <v>563</v>
      </c>
      <c r="D766" s="309" t="s">
        <v>563</v>
      </c>
      <c r="E766" s="310">
        <v>0</v>
      </c>
      <c r="F766" s="310">
        <v>0</v>
      </c>
      <c r="G766" s="311">
        <v>0</v>
      </c>
      <c r="H766" s="310" t="s">
        <v>563</v>
      </c>
      <c r="I766" s="310" t="s">
        <v>563</v>
      </c>
      <c r="J766" s="310" t="s">
        <v>563</v>
      </c>
      <c r="K766" s="312">
        <v>0</v>
      </c>
      <c r="L766" s="310">
        <v>0</v>
      </c>
      <c r="M766" s="310">
        <v>0</v>
      </c>
      <c r="N766" s="313">
        <v>0</v>
      </c>
      <c r="O766" s="314" t="s">
        <v>563</v>
      </c>
      <c r="P766" s="307">
        <f t="shared" si="213"/>
        <v>0</v>
      </c>
      <c r="R766" s="91" t="str">
        <f t="shared" si="227"/>
        <v/>
      </c>
      <c r="S766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6" s="307" t="str">
        <f t="shared" si="215"/>
        <v/>
      </c>
      <c r="U766" s="315" t="str">
        <f t="shared" si="216"/>
        <v/>
      </c>
      <c r="V766" s="307">
        <f t="shared" si="220"/>
        <v>0</v>
      </c>
      <c r="W766" s="307">
        <f>IFERROR(IF(V766&gt;0,PROPER(Terbilang1(V766)&amp;" Rupiah"),0),"")</f>
        <v>0</v>
      </c>
      <c r="X766" s="90" t="str">
        <f t="shared" si="221"/>
        <v/>
      </c>
      <c r="Y766" s="307" t="str">
        <f t="shared" si="222"/>
        <v/>
      </c>
      <c r="Z766" s="307">
        <f t="shared" si="217"/>
        <v>0</v>
      </c>
      <c r="AA766" s="366">
        <f t="shared" si="218"/>
        <v>0</v>
      </c>
      <c r="AB766" s="367">
        <f t="shared" si="223"/>
        <v>0</v>
      </c>
      <c r="AC766" s="305">
        <f t="shared" si="224"/>
        <v>0</v>
      </c>
      <c r="AP766" s="89" t="str">
        <f t="shared" si="212"/>
        <v/>
      </c>
      <c r="AQ766" s="89" t="str">
        <f t="shared" si="228"/>
        <v/>
      </c>
      <c r="AR766" s="315" t="str">
        <f t="shared" si="229"/>
        <v/>
      </c>
      <c r="AS766" s="305" t="str">
        <f t="shared" si="225"/>
        <v>0</v>
      </c>
      <c r="AT766" s="307">
        <f>Table22[[#This Row],[Column1]]</f>
        <v>0</v>
      </c>
    </row>
    <row r="767" spans="1:46" x14ac:dyDescent="0.3">
      <c r="A767" s="307">
        <f t="shared" si="219"/>
        <v>0</v>
      </c>
      <c r="B767" s="307">
        <f t="shared" si="226"/>
        <v>0</v>
      </c>
      <c r="C767" s="308" t="s">
        <v>563</v>
      </c>
      <c r="D767" s="309" t="s">
        <v>563</v>
      </c>
      <c r="E767" s="310">
        <v>0</v>
      </c>
      <c r="F767" s="310">
        <v>0</v>
      </c>
      <c r="G767" s="311">
        <v>0</v>
      </c>
      <c r="H767" s="310" t="s">
        <v>563</v>
      </c>
      <c r="I767" s="310" t="s">
        <v>563</v>
      </c>
      <c r="J767" s="310" t="s">
        <v>563</v>
      </c>
      <c r="K767" s="312">
        <v>0</v>
      </c>
      <c r="L767" s="310">
        <v>0</v>
      </c>
      <c r="M767" s="310">
        <v>0</v>
      </c>
      <c r="N767" s="313">
        <v>0</v>
      </c>
      <c r="O767" s="314" t="s">
        <v>563</v>
      </c>
      <c r="P767" s="307">
        <f t="shared" si="213"/>
        <v>0</v>
      </c>
      <c r="R767" s="91" t="str">
        <f t="shared" si="227"/>
        <v/>
      </c>
      <c r="S767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7" s="307" t="str">
        <f t="shared" si="215"/>
        <v/>
      </c>
      <c r="U767" s="315" t="str">
        <f t="shared" si="216"/>
        <v/>
      </c>
      <c r="V767" s="307">
        <f t="shared" si="220"/>
        <v>0</v>
      </c>
      <c r="W767" s="307">
        <f>IFERROR(IF(V767&gt;0,PROPER(Terbilang1(V767)&amp;" Rupiah"),0),"")</f>
        <v>0</v>
      </c>
      <c r="X767" s="90" t="str">
        <f t="shared" si="221"/>
        <v/>
      </c>
      <c r="Y767" s="307" t="str">
        <f t="shared" si="222"/>
        <v/>
      </c>
      <c r="Z767" s="307">
        <f t="shared" si="217"/>
        <v>0</v>
      </c>
      <c r="AA767" s="366">
        <f t="shared" si="218"/>
        <v>0</v>
      </c>
      <c r="AB767" s="367">
        <f t="shared" si="223"/>
        <v>0</v>
      </c>
      <c r="AC767" s="305">
        <f t="shared" si="224"/>
        <v>0</v>
      </c>
      <c r="AP767" s="89" t="str">
        <f t="shared" si="212"/>
        <v/>
      </c>
      <c r="AQ767" s="89" t="str">
        <f t="shared" si="228"/>
        <v/>
      </c>
      <c r="AR767" s="315" t="str">
        <f t="shared" si="229"/>
        <v/>
      </c>
      <c r="AS767" s="305" t="str">
        <f t="shared" si="225"/>
        <v>0</v>
      </c>
      <c r="AT767" s="307">
        <f>Table22[[#This Row],[Column1]]</f>
        <v>0</v>
      </c>
    </row>
    <row r="768" spans="1:46" x14ac:dyDescent="0.3">
      <c r="A768" s="307">
        <f t="shared" si="219"/>
        <v>0</v>
      </c>
      <c r="B768" s="307">
        <f t="shared" si="226"/>
        <v>0</v>
      </c>
      <c r="C768" s="308" t="s">
        <v>563</v>
      </c>
      <c r="D768" s="309" t="s">
        <v>563</v>
      </c>
      <c r="E768" s="310">
        <v>0</v>
      </c>
      <c r="F768" s="310">
        <v>0</v>
      </c>
      <c r="G768" s="311">
        <v>0</v>
      </c>
      <c r="H768" s="310" t="s">
        <v>563</v>
      </c>
      <c r="I768" s="310" t="s">
        <v>563</v>
      </c>
      <c r="J768" s="310" t="s">
        <v>563</v>
      </c>
      <c r="K768" s="312">
        <v>0</v>
      </c>
      <c r="L768" s="310">
        <v>0</v>
      </c>
      <c r="M768" s="310">
        <v>0</v>
      </c>
      <c r="N768" s="313">
        <v>0</v>
      </c>
      <c r="O768" s="314" t="s">
        <v>563</v>
      </c>
      <c r="P768" s="307">
        <f t="shared" si="213"/>
        <v>0</v>
      </c>
      <c r="R768" s="91" t="str">
        <f t="shared" si="227"/>
        <v/>
      </c>
      <c r="S768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8" s="307" t="str">
        <f t="shared" si="215"/>
        <v/>
      </c>
      <c r="U768" s="315" t="str">
        <f t="shared" si="216"/>
        <v/>
      </c>
      <c r="V768" s="307">
        <f t="shared" si="220"/>
        <v>0</v>
      </c>
      <c r="W768" s="307">
        <f>IFERROR(IF(V768&gt;0,PROPER(Terbilang1(V768)&amp;" Rupiah"),0),"")</f>
        <v>0</v>
      </c>
      <c r="X768" s="90" t="str">
        <f t="shared" si="221"/>
        <v/>
      </c>
      <c r="Y768" s="307" t="str">
        <f t="shared" si="222"/>
        <v/>
      </c>
      <c r="Z768" s="307">
        <f t="shared" si="217"/>
        <v>0</v>
      </c>
      <c r="AA768" s="366">
        <f t="shared" si="218"/>
        <v>0</v>
      </c>
      <c r="AB768" s="367">
        <f t="shared" si="223"/>
        <v>0</v>
      </c>
      <c r="AC768" s="305">
        <f t="shared" si="224"/>
        <v>0</v>
      </c>
      <c r="AP768" s="89" t="str">
        <f t="shared" si="212"/>
        <v/>
      </c>
      <c r="AQ768" s="89" t="str">
        <f t="shared" si="228"/>
        <v/>
      </c>
      <c r="AR768" s="315" t="str">
        <f t="shared" si="229"/>
        <v/>
      </c>
      <c r="AS768" s="305" t="str">
        <f t="shared" si="225"/>
        <v>0</v>
      </c>
      <c r="AT768" s="307">
        <f>Table22[[#This Row],[Column1]]</f>
        <v>0</v>
      </c>
    </row>
    <row r="769" spans="1:46" x14ac:dyDescent="0.3">
      <c r="A769" s="307">
        <f t="shared" si="219"/>
        <v>0</v>
      </c>
      <c r="B769" s="307">
        <f t="shared" si="226"/>
        <v>0</v>
      </c>
      <c r="C769" s="308" t="s">
        <v>563</v>
      </c>
      <c r="D769" s="309" t="s">
        <v>563</v>
      </c>
      <c r="E769" s="310">
        <v>0</v>
      </c>
      <c r="F769" s="310">
        <v>0</v>
      </c>
      <c r="G769" s="311">
        <v>0</v>
      </c>
      <c r="H769" s="310" t="s">
        <v>563</v>
      </c>
      <c r="I769" s="310" t="s">
        <v>563</v>
      </c>
      <c r="J769" s="310" t="s">
        <v>563</v>
      </c>
      <c r="K769" s="312">
        <v>0</v>
      </c>
      <c r="L769" s="310">
        <v>0</v>
      </c>
      <c r="M769" s="310">
        <v>0</v>
      </c>
      <c r="N769" s="313">
        <v>0</v>
      </c>
      <c r="O769" s="314" t="s">
        <v>563</v>
      </c>
      <c r="P769" s="307">
        <f t="shared" si="213"/>
        <v>0</v>
      </c>
      <c r="R769" s="91" t="str">
        <f t="shared" si="227"/>
        <v/>
      </c>
      <c r="S769" s="307" t="str">
        <f t="shared" si="214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69" s="307" t="str">
        <f t="shared" si="215"/>
        <v/>
      </c>
      <c r="U769" s="315" t="str">
        <f t="shared" si="216"/>
        <v/>
      </c>
      <c r="V769" s="307">
        <f t="shared" si="220"/>
        <v>0</v>
      </c>
      <c r="W769" s="307">
        <f>IFERROR(IF(V769&gt;0,PROPER(Terbilang1(V769)&amp;" Rupiah"),0),"")</f>
        <v>0</v>
      </c>
      <c r="X769" s="90" t="str">
        <f t="shared" si="221"/>
        <v/>
      </c>
      <c r="Y769" s="307" t="str">
        <f t="shared" si="222"/>
        <v/>
      </c>
      <c r="Z769" s="307">
        <f t="shared" si="217"/>
        <v>0</v>
      </c>
      <c r="AA769" s="366">
        <f t="shared" si="218"/>
        <v>0</v>
      </c>
      <c r="AB769" s="367">
        <f t="shared" si="223"/>
        <v>0</v>
      </c>
      <c r="AC769" s="305">
        <f t="shared" si="224"/>
        <v>0</v>
      </c>
      <c r="AP769" s="89" t="str">
        <f t="shared" ref="AP769:AP832" si="230">IF(LEFT(O769,3)="BKK",1,"")</f>
        <v/>
      </c>
      <c r="AQ769" s="89" t="str">
        <f t="shared" si="228"/>
        <v/>
      </c>
      <c r="AR769" s="315" t="str">
        <f t="shared" si="229"/>
        <v/>
      </c>
      <c r="AS769" s="305" t="str">
        <f t="shared" si="225"/>
        <v>0</v>
      </c>
      <c r="AT769" s="307">
        <f>Table22[[#This Row],[Column1]]</f>
        <v>0</v>
      </c>
    </row>
    <row r="770" spans="1:46" x14ac:dyDescent="0.3">
      <c r="A770" s="307">
        <f t="shared" si="219"/>
        <v>0</v>
      </c>
      <c r="B770" s="307">
        <f t="shared" si="226"/>
        <v>0</v>
      </c>
      <c r="C770" s="308" t="s">
        <v>563</v>
      </c>
      <c r="D770" s="309" t="s">
        <v>563</v>
      </c>
      <c r="E770" s="310">
        <v>0</v>
      </c>
      <c r="F770" s="310">
        <v>0</v>
      </c>
      <c r="G770" s="311">
        <v>0</v>
      </c>
      <c r="H770" s="310" t="s">
        <v>563</v>
      </c>
      <c r="I770" s="310" t="s">
        <v>563</v>
      </c>
      <c r="J770" s="310" t="s">
        <v>563</v>
      </c>
      <c r="K770" s="312">
        <v>0</v>
      </c>
      <c r="L770" s="310">
        <v>0</v>
      </c>
      <c r="M770" s="310">
        <v>0</v>
      </c>
      <c r="N770" s="313">
        <v>0</v>
      </c>
      <c r="O770" s="314" t="s">
        <v>563</v>
      </c>
      <c r="P770" s="307">
        <f t="shared" ref="P770:P833" si="231">IF(LEFT(O770,1)="B",R770,0)</f>
        <v>0</v>
      </c>
      <c r="R770" s="91" t="str">
        <f t="shared" si="227"/>
        <v/>
      </c>
      <c r="S770" s="307" t="str">
        <f t="shared" ref="S770:S833" si="232">IF(O770="",S769&amp;"a",IF(O770&gt;0,O770,0))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0" s="307" t="str">
        <f t="shared" ref="T770:T833" si="233">IF(G770=0,"",G770)</f>
        <v/>
      </c>
      <c r="U770" s="315" t="str">
        <f t="shared" ref="U770:U833" si="234">D770</f>
        <v/>
      </c>
      <c r="V770" s="307">
        <f t="shared" si="220"/>
        <v>0</v>
      </c>
      <c r="W770" s="307">
        <f>IFERROR(IF(V770&gt;0,PROPER(Terbilang1(V770)&amp;" Rupiah"),0),"")</f>
        <v>0</v>
      </c>
      <c r="X770" s="90" t="str">
        <f t="shared" si="221"/>
        <v/>
      </c>
      <c r="Y770" s="307" t="str">
        <f t="shared" si="222"/>
        <v/>
      </c>
      <c r="Z770" s="307">
        <f t="shared" ref="Z770:Z833" si="235">IF(LEN(AA770)&gt;1,AA770,IF(AA770=0,AB770,0))</f>
        <v>0</v>
      </c>
      <c r="AA770" s="366">
        <f t="shared" ref="AA770:AA833" si="236">IFERROR(IF(AND(N770&gt;1,LEFT(G770,5)="Bayar"),N770*3.5%,IF(N770&gt;2000000,N770*(IF(OR(LEFT(F770,3)="MoP",LEFT(F770,3)="GaJ"),0,11%)),0)),0)</f>
        <v>0</v>
      </c>
      <c r="AB770" s="367">
        <f t="shared" si="223"/>
        <v>0</v>
      </c>
      <c r="AC770" s="305">
        <f t="shared" si="224"/>
        <v>0</v>
      </c>
      <c r="AP770" s="89" t="str">
        <f t="shared" si="230"/>
        <v/>
      </c>
      <c r="AQ770" s="89" t="str">
        <f t="shared" si="228"/>
        <v/>
      </c>
      <c r="AR770" s="315" t="str">
        <f t="shared" si="229"/>
        <v/>
      </c>
      <c r="AS770" s="305" t="str">
        <f t="shared" si="225"/>
        <v>0</v>
      </c>
      <c r="AT770" s="307">
        <f>Table22[[#This Row],[Column1]]</f>
        <v>0</v>
      </c>
    </row>
    <row r="771" spans="1:46" x14ac:dyDescent="0.3">
      <c r="A771" s="307">
        <f t="shared" ref="A771:A834" si="237">IF(C771=1,C771&amp;"."&amp;MOD(ROW()-1,$AJ$2+1),IF(C771=2,C771&amp;"."&amp;MOD(ROW()-($AJ$2+1),$AK$2+1),IF(C771=3,C771&amp;"."&amp;MOD(ROW()-($AJ$2+$AK$2+1),$AL$2+1),IF(C771=4,C771&amp;"."&amp;MOD(ROW()-($AJ$2+$AK$2+$AL$2+1),$AM$2+1),IF(C771=5,C771&amp;"."&amp;MOD(ROW()-($AJ$2+$AK$2+$AL$2+$AM$2+1),$AN$2+1),0)))))</f>
        <v>0</v>
      </c>
      <c r="B771" s="307">
        <f t="shared" si="226"/>
        <v>0</v>
      </c>
      <c r="C771" s="308" t="s">
        <v>563</v>
      </c>
      <c r="D771" s="309" t="s">
        <v>563</v>
      </c>
      <c r="E771" s="310">
        <v>0</v>
      </c>
      <c r="F771" s="310">
        <v>0</v>
      </c>
      <c r="G771" s="311">
        <v>0</v>
      </c>
      <c r="H771" s="310" t="s">
        <v>563</v>
      </c>
      <c r="I771" s="310" t="s">
        <v>563</v>
      </c>
      <c r="J771" s="310" t="s">
        <v>563</v>
      </c>
      <c r="K771" s="312">
        <v>0</v>
      </c>
      <c r="L771" s="310">
        <v>0</v>
      </c>
      <c r="M771" s="310">
        <v>0</v>
      </c>
      <c r="N771" s="313">
        <v>0</v>
      </c>
      <c r="O771" s="314" t="s">
        <v>563</v>
      </c>
      <c r="P771" s="307">
        <f t="shared" si="231"/>
        <v>0</v>
      </c>
      <c r="R771" s="91" t="str">
        <f t="shared" si="227"/>
        <v/>
      </c>
      <c r="S77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1" s="307" t="str">
        <f t="shared" si="233"/>
        <v/>
      </c>
      <c r="U771" s="315" t="str">
        <f t="shared" si="234"/>
        <v/>
      </c>
      <c r="V771" s="307">
        <f t="shared" ref="V771:V834" si="238">N771</f>
        <v>0</v>
      </c>
      <c r="W771" s="307">
        <f>IFERROR(IF(V771&gt;0,PROPER(Terbilang1(V771)&amp;" Rupiah"),0),"")</f>
        <v>0</v>
      </c>
      <c r="X771" s="90" t="str">
        <f t="shared" ref="X771:X834" si="239">J771</f>
        <v/>
      </c>
      <c r="Y771" s="307" t="str">
        <f t="shared" ref="Y771:Y834" si="240">H771</f>
        <v/>
      </c>
      <c r="Z771" s="307">
        <f t="shared" si="235"/>
        <v>0</v>
      </c>
      <c r="AA771" s="366">
        <f t="shared" si="236"/>
        <v>0</v>
      </c>
      <c r="AB771" s="367">
        <f t="shared" ref="AB771:AB834" si="241">IF(LEN(AA770)&gt;1,IF(LEFT(G770,5)="Bayar",0,IF(LEFT(G770,6)="PEMASA",(N770*100/111*1.5%),N770*0.015)),0)</f>
        <v>0</v>
      </c>
      <c r="AC771" s="305">
        <f t="shared" ref="AC771:AC834" si="242">IF(LEN(AA771)&gt;1,IF(LEFT(G771,6)="PEMASA","Terima Pajak PPN (11 %) "&amp;O771,IF(LEFT(G771,5)="Bayar","Terima PPh Pasal 4 ayat 2 (3,5 %) "&amp;O771,"Bayar Pajak PPN (11 %) "&amp;O771)),IF(AB771&gt;0,IF(LEFT(AC770,6)="Terima","Terima Pajak PPH (1,5%) "&amp;O770,"Bayar Pajak PPH (1,5 %) "&amp;O770),0))</f>
        <v>0</v>
      </c>
      <c r="AP771" s="89" t="str">
        <f t="shared" si="230"/>
        <v/>
      </c>
      <c r="AQ771" s="89" t="str">
        <f t="shared" si="228"/>
        <v/>
      </c>
      <c r="AR771" s="315" t="str">
        <f t="shared" si="229"/>
        <v/>
      </c>
      <c r="AS771" s="305" t="str">
        <f t="shared" ref="AS771:AS834" si="243">IF(AC771="","",LEFT(AC771,15))</f>
        <v>0</v>
      </c>
      <c r="AT771" s="307">
        <f>Table22[[#This Row],[Column1]]</f>
        <v>0</v>
      </c>
    </row>
    <row r="772" spans="1:46" x14ac:dyDescent="0.3">
      <c r="A772" s="307">
        <f t="shared" si="237"/>
        <v>0</v>
      </c>
      <c r="B772" s="307">
        <f t="shared" si="226"/>
        <v>0</v>
      </c>
      <c r="C772" s="308" t="s">
        <v>563</v>
      </c>
      <c r="D772" s="309" t="s">
        <v>563</v>
      </c>
      <c r="E772" s="310">
        <v>0</v>
      </c>
      <c r="F772" s="310">
        <v>0</v>
      </c>
      <c r="G772" s="311">
        <v>0</v>
      </c>
      <c r="H772" s="310" t="s">
        <v>563</v>
      </c>
      <c r="I772" s="310" t="s">
        <v>563</v>
      </c>
      <c r="J772" s="310" t="s">
        <v>563</v>
      </c>
      <c r="K772" s="312">
        <v>0</v>
      </c>
      <c r="L772" s="310">
        <v>0</v>
      </c>
      <c r="M772" s="310">
        <v>0</v>
      </c>
      <c r="N772" s="313">
        <v>0</v>
      </c>
      <c r="O772" s="314" t="s">
        <v>563</v>
      </c>
      <c r="P772" s="307">
        <f t="shared" si="231"/>
        <v>0</v>
      </c>
      <c r="R772" s="91" t="str">
        <f t="shared" si="227"/>
        <v/>
      </c>
      <c r="S77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2" s="307" t="str">
        <f t="shared" si="233"/>
        <v/>
      </c>
      <c r="U772" s="315" t="str">
        <f t="shared" si="234"/>
        <v/>
      </c>
      <c r="V772" s="307">
        <f t="shared" si="238"/>
        <v>0</v>
      </c>
      <c r="W772" s="307">
        <f>IFERROR(IF(V772&gt;0,PROPER(Terbilang1(V772)&amp;" Rupiah"),0),"")</f>
        <v>0</v>
      </c>
      <c r="X772" s="90" t="str">
        <f t="shared" si="239"/>
        <v/>
      </c>
      <c r="Y772" s="307" t="str">
        <f t="shared" si="240"/>
        <v/>
      </c>
      <c r="Z772" s="307">
        <f t="shared" si="235"/>
        <v>0</v>
      </c>
      <c r="AA772" s="366">
        <f t="shared" si="236"/>
        <v>0</v>
      </c>
      <c r="AB772" s="367">
        <f t="shared" si="241"/>
        <v>0</v>
      </c>
      <c r="AC772" s="305">
        <f t="shared" si="242"/>
        <v>0</v>
      </c>
      <c r="AP772" s="89" t="str">
        <f t="shared" si="230"/>
        <v/>
      </c>
      <c r="AQ772" s="89" t="str">
        <f t="shared" si="228"/>
        <v/>
      </c>
      <c r="AR772" s="315" t="str">
        <f t="shared" si="229"/>
        <v/>
      </c>
      <c r="AS772" s="305" t="str">
        <f t="shared" si="243"/>
        <v>0</v>
      </c>
      <c r="AT772" s="307">
        <f>Table22[[#This Row],[Column1]]</f>
        <v>0</v>
      </c>
    </row>
    <row r="773" spans="1:46" x14ac:dyDescent="0.3">
      <c r="A773" s="307">
        <f t="shared" si="237"/>
        <v>0</v>
      </c>
      <c r="B773" s="307">
        <f t="shared" si="226"/>
        <v>0</v>
      </c>
      <c r="C773" s="308" t="s">
        <v>563</v>
      </c>
      <c r="D773" s="309" t="s">
        <v>563</v>
      </c>
      <c r="E773" s="310">
        <v>0</v>
      </c>
      <c r="F773" s="310">
        <v>0</v>
      </c>
      <c r="G773" s="311">
        <v>0</v>
      </c>
      <c r="H773" s="310" t="s">
        <v>563</v>
      </c>
      <c r="I773" s="310" t="s">
        <v>563</v>
      </c>
      <c r="J773" s="310" t="s">
        <v>563</v>
      </c>
      <c r="K773" s="312">
        <v>0</v>
      </c>
      <c r="L773" s="310">
        <v>0</v>
      </c>
      <c r="M773" s="310">
        <v>0</v>
      </c>
      <c r="N773" s="313">
        <v>0</v>
      </c>
      <c r="O773" s="314" t="s">
        <v>563</v>
      </c>
      <c r="P773" s="307">
        <f t="shared" si="231"/>
        <v>0</v>
      </c>
      <c r="R773" s="91" t="str">
        <f t="shared" si="227"/>
        <v/>
      </c>
      <c r="S77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3" s="307" t="str">
        <f t="shared" si="233"/>
        <v/>
      </c>
      <c r="U773" s="315" t="str">
        <f t="shared" si="234"/>
        <v/>
      </c>
      <c r="V773" s="307">
        <f t="shared" si="238"/>
        <v>0</v>
      </c>
      <c r="W773" s="307">
        <f>IFERROR(IF(V773&gt;0,PROPER(Terbilang1(V773)&amp;" Rupiah"),0),"")</f>
        <v>0</v>
      </c>
      <c r="X773" s="90" t="str">
        <f t="shared" si="239"/>
        <v/>
      </c>
      <c r="Y773" s="307" t="str">
        <f t="shared" si="240"/>
        <v/>
      </c>
      <c r="Z773" s="307">
        <f t="shared" si="235"/>
        <v>0</v>
      </c>
      <c r="AA773" s="366">
        <f t="shared" si="236"/>
        <v>0</v>
      </c>
      <c r="AB773" s="367">
        <f t="shared" si="241"/>
        <v>0</v>
      </c>
      <c r="AC773" s="305">
        <f t="shared" si="242"/>
        <v>0</v>
      </c>
      <c r="AP773" s="89" t="str">
        <f t="shared" si="230"/>
        <v/>
      </c>
      <c r="AQ773" s="89" t="str">
        <f t="shared" si="228"/>
        <v/>
      </c>
      <c r="AR773" s="315" t="str">
        <f t="shared" si="229"/>
        <v/>
      </c>
      <c r="AS773" s="305" t="str">
        <f t="shared" si="243"/>
        <v>0</v>
      </c>
      <c r="AT773" s="307">
        <f>Table22[[#This Row],[Column1]]</f>
        <v>0</v>
      </c>
    </row>
    <row r="774" spans="1:46" x14ac:dyDescent="0.3">
      <c r="A774" s="307">
        <f t="shared" si="237"/>
        <v>0</v>
      </c>
      <c r="B774" s="307">
        <f t="shared" si="226"/>
        <v>0</v>
      </c>
      <c r="C774" s="308" t="s">
        <v>563</v>
      </c>
      <c r="D774" s="309" t="s">
        <v>563</v>
      </c>
      <c r="E774" s="310">
        <v>0</v>
      </c>
      <c r="F774" s="310">
        <v>0</v>
      </c>
      <c r="G774" s="311">
        <v>0</v>
      </c>
      <c r="H774" s="310" t="s">
        <v>563</v>
      </c>
      <c r="I774" s="310" t="s">
        <v>563</v>
      </c>
      <c r="J774" s="310" t="s">
        <v>563</v>
      </c>
      <c r="K774" s="312">
        <v>0</v>
      </c>
      <c r="L774" s="310">
        <v>0</v>
      </c>
      <c r="M774" s="310">
        <v>0</v>
      </c>
      <c r="N774" s="313">
        <v>0</v>
      </c>
      <c r="O774" s="314" t="s">
        <v>563</v>
      </c>
      <c r="P774" s="307">
        <f t="shared" si="231"/>
        <v>0</v>
      </c>
      <c r="R774" s="91" t="str">
        <f t="shared" si="227"/>
        <v/>
      </c>
      <c r="S77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4" s="307" t="str">
        <f t="shared" si="233"/>
        <v/>
      </c>
      <c r="U774" s="315" t="str">
        <f t="shared" si="234"/>
        <v/>
      </c>
      <c r="V774" s="307">
        <f t="shared" si="238"/>
        <v>0</v>
      </c>
      <c r="W774" s="307">
        <f>IFERROR(IF(V774&gt;0,PROPER(Terbilang1(V774)&amp;" Rupiah"),0),"")</f>
        <v>0</v>
      </c>
      <c r="X774" s="90" t="str">
        <f t="shared" si="239"/>
        <v/>
      </c>
      <c r="Y774" s="307" t="str">
        <f t="shared" si="240"/>
        <v/>
      </c>
      <c r="Z774" s="307">
        <f t="shared" si="235"/>
        <v>0</v>
      </c>
      <c r="AA774" s="366">
        <f t="shared" si="236"/>
        <v>0</v>
      </c>
      <c r="AB774" s="367">
        <f t="shared" si="241"/>
        <v>0</v>
      </c>
      <c r="AC774" s="305">
        <f t="shared" si="242"/>
        <v>0</v>
      </c>
      <c r="AP774" s="89" t="str">
        <f t="shared" si="230"/>
        <v/>
      </c>
      <c r="AQ774" s="89" t="str">
        <f t="shared" si="228"/>
        <v/>
      </c>
      <c r="AR774" s="315" t="str">
        <f t="shared" si="229"/>
        <v/>
      </c>
      <c r="AS774" s="305" t="str">
        <f t="shared" si="243"/>
        <v>0</v>
      </c>
      <c r="AT774" s="307">
        <f>Table22[[#This Row],[Column1]]</f>
        <v>0</v>
      </c>
    </row>
    <row r="775" spans="1:46" x14ac:dyDescent="0.3">
      <c r="A775" s="307">
        <f t="shared" si="237"/>
        <v>0</v>
      </c>
      <c r="B775" s="307">
        <f t="shared" si="226"/>
        <v>0</v>
      </c>
      <c r="C775" s="308" t="s">
        <v>563</v>
      </c>
      <c r="D775" s="309" t="s">
        <v>563</v>
      </c>
      <c r="E775" s="310">
        <v>0</v>
      </c>
      <c r="F775" s="310">
        <v>0</v>
      </c>
      <c r="G775" s="311">
        <v>0</v>
      </c>
      <c r="H775" s="310" t="s">
        <v>563</v>
      </c>
      <c r="I775" s="310" t="s">
        <v>563</v>
      </c>
      <c r="J775" s="310" t="s">
        <v>563</v>
      </c>
      <c r="K775" s="312">
        <v>0</v>
      </c>
      <c r="L775" s="310">
        <v>0</v>
      </c>
      <c r="M775" s="310">
        <v>0</v>
      </c>
      <c r="N775" s="313">
        <v>0</v>
      </c>
      <c r="O775" s="314" t="s">
        <v>563</v>
      </c>
      <c r="P775" s="307">
        <f t="shared" si="231"/>
        <v>0</v>
      </c>
      <c r="R775" s="91" t="str">
        <f t="shared" si="227"/>
        <v/>
      </c>
      <c r="S77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5" s="307" t="str">
        <f t="shared" si="233"/>
        <v/>
      </c>
      <c r="U775" s="315" t="str">
        <f t="shared" si="234"/>
        <v/>
      </c>
      <c r="V775" s="307">
        <f t="shared" si="238"/>
        <v>0</v>
      </c>
      <c r="W775" s="307">
        <f>IFERROR(IF(V775&gt;0,PROPER(Terbilang1(V775)&amp;" Rupiah"),0),"")</f>
        <v>0</v>
      </c>
      <c r="X775" s="90" t="str">
        <f t="shared" si="239"/>
        <v/>
      </c>
      <c r="Y775" s="307" t="str">
        <f t="shared" si="240"/>
        <v/>
      </c>
      <c r="Z775" s="307">
        <f t="shared" si="235"/>
        <v>0</v>
      </c>
      <c r="AA775" s="366">
        <f t="shared" si="236"/>
        <v>0</v>
      </c>
      <c r="AB775" s="367">
        <f t="shared" si="241"/>
        <v>0</v>
      </c>
      <c r="AC775" s="305">
        <f t="shared" si="242"/>
        <v>0</v>
      </c>
      <c r="AP775" s="89" t="str">
        <f t="shared" si="230"/>
        <v/>
      </c>
      <c r="AQ775" s="89" t="str">
        <f t="shared" si="228"/>
        <v/>
      </c>
      <c r="AR775" s="315" t="str">
        <f t="shared" si="229"/>
        <v/>
      </c>
      <c r="AS775" s="305" t="str">
        <f t="shared" si="243"/>
        <v>0</v>
      </c>
      <c r="AT775" s="307">
        <f>Table22[[#This Row],[Column1]]</f>
        <v>0</v>
      </c>
    </row>
    <row r="776" spans="1:46" x14ac:dyDescent="0.3">
      <c r="A776" s="307">
        <f t="shared" si="237"/>
        <v>0</v>
      </c>
      <c r="B776" s="307">
        <f t="shared" si="226"/>
        <v>0</v>
      </c>
      <c r="C776" s="308" t="s">
        <v>563</v>
      </c>
      <c r="D776" s="309" t="s">
        <v>563</v>
      </c>
      <c r="E776" s="310">
        <v>0</v>
      </c>
      <c r="F776" s="310">
        <v>0</v>
      </c>
      <c r="G776" s="311">
        <v>0</v>
      </c>
      <c r="H776" s="310" t="s">
        <v>563</v>
      </c>
      <c r="I776" s="310" t="s">
        <v>563</v>
      </c>
      <c r="J776" s="310" t="s">
        <v>563</v>
      </c>
      <c r="K776" s="312">
        <v>0</v>
      </c>
      <c r="L776" s="310">
        <v>0</v>
      </c>
      <c r="M776" s="310">
        <v>0</v>
      </c>
      <c r="N776" s="313">
        <v>0</v>
      </c>
      <c r="O776" s="314" t="s">
        <v>563</v>
      </c>
      <c r="P776" s="307">
        <f t="shared" si="231"/>
        <v>0</v>
      </c>
      <c r="R776" s="91" t="str">
        <f t="shared" si="227"/>
        <v/>
      </c>
      <c r="S77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6" s="307" t="str">
        <f t="shared" si="233"/>
        <v/>
      </c>
      <c r="U776" s="315" t="str">
        <f t="shared" si="234"/>
        <v/>
      </c>
      <c r="V776" s="307">
        <f t="shared" si="238"/>
        <v>0</v>
      </c>
      <c r="W776" s="307">
        <f>IFERROR(IF(V776&gt;0,PROPER(Terbilang1(V776)&amp;" Rupiah"),0),"")</f>
        <v>0</v>
      </c>
      <c r="X776" s="90" t="str">
        <f t="shared" si="239"/>
        <v/>
      </c>
      <c r="Y776" s="307" t="str">
        <f t="shared" si="240"/>
        <v/>
      </c>
      <c r="Z776" s="307">
        <f t="shared" si="235"/>
        <v>0</v>
      </c>
      <c r="AA776" s="366">
        <f t="shared" si="236"/>
        <v>0</v>
      </c>
      <c r="AB776" s="367">
        <f t="shared" si="241"/>
        <v>0</v>
      </c>
      <c r="AC776" s="305">
        <f t="shared" si="242"/>
        <v>0</v>
      </c>
      <c r="AP776" s="89" t="str">
        <f t="shared" si="230"/>
        <v/>
      </c>
      <c r="AQ776" s="89" t="str">
        <f t="shared" si="228"/>
        <v/>
      </c>
      <c r="AR776" s="315" t="str">
        <f t="shared" si="229"/>
        <v/>
      </c>
      <c r="AS776" s="305" t="str">
        <f t="shared" si="243"/>
        <v>0</v>
      </c>
      <c r="AT776" s="307">
        <f>Table22[[#This Row],[Column1]]</f>
        <v>0</v>
      </c>
    </row>
    <row r="777" spans="1:46" x14ac:dyDescent="0.3">
      <c r="A777" s="307">
        <f t="shared" si="237"/>
        <v>0</v>
      </c>
      <c r="B777" s="307">
        <f t="shared" si="226"/>
        <v>0</v>
      </c>
      <c r="C777" s="308" t="s">
        <v>563</v>
      </c>
      <c r="D777" s="309" t="s">
        <v>563</v>
      </c>
      <c r="E777" s="310">
        <v>0</v>
      </c>
      <c r="F777" s="310">
        <v>0</v>
      </c>
      <c r="G777" s="311">
        <v>0</v>
      </c>
      <c r="H777" s="310" t="s">
        <v>563</v>
      </c>
      <c r="I777" s="310" t="s">
        <v>563</v>
      </c>
      <c r="J777" s="310" t="s">
        <v>563</v>
      </c>
      <c r="K777" s="312">
        <v>0</v>
      </c>
      <c r="L777" s="310">
        <v>0</v>
      </c>
      <c r="M777" s="310">
        <v>0</v>
      </c>
      <c r="N777" s="313">
        <v>0</v>
      </c>
      <c r="O777" s="314" t="s">
        <v>563</v>
      </c>
      <c r="P777" s="307">
        <f t="shared" si="231"/>
        <v>0</v>
      </c>
      <c r="R777" s="91" t="str">
        <f t="shared" si="227"/>
        <v/>
      </c>
      <c r="S77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7" s="307" t="str">
        <f t="shared" si="233"/>
        <v/>
      </c>
      <c r="U777" s="315" t="str">
        <f t="shared" si="234"/>
        <v/>
      </c>
      <c r="V777" s="307">
        <f t="shared" si="238"/>
        <v>0</v>
      </c>
      <c r="W777" s="307">
        <f>IFERROR(IF(V777&gt;0,PROPER(Terbilang1(V777)&amp;" Rupiah"),0),"")</f>
        <v>0</v>
      </c>
      <c r="X777" s="90" t="str">
        <f t="shared" si="239"/>
        <v/>
      </c>
      <c r="Y777" s="307" t="str">
        <f t="shared" si="240"/>
        <v/>
      </c>
      <c r="Z777" s="307">
        <f t="shared" si="235"/>
        <v>0</v>
      </c>
      <c r="AA777" s="366">
        <f t="shared" si="236"/>
        <v>0</v>
      </c>
      <c r="AB777" s="367">
        <f t="shared" si="241"/>
        <v>0</v>
      </c>
      <c r="AC777" s="305">
        <f t="shared" si="242"/>
        <v>0</v>
      </c>
      <c r="AP777" s="89" t="str">
        <f t="shared" si="230"/>
        <v/>
      </c>
      <c r="AQ777" s="89" t="str">
        <f t="shared" si="228"/>
        <v/>
      </c>
      <c r="AR777" s="315" t="str">
        <f t="shared" si="229"/>
        <v/>
      </c>
      <c r="AS777" s="305" t="str">
        <f t="shared" si="243"/>
        <v>0</v>
      </c>
      <c r="AT777" s="307">
        <f>Table22[[#This Row],[Column1]]</f>
        <v>0</v>
      </c>
    </row>
    <row r="778" spans="1:46" x14ac:dyDescent="0.3">
      <c r="A778" s="307">
        <f t="shared" si="237"/>
        <v>0</v>
      </c>
      <c r="B778" s="307">
        <f t="shared" si="226"/>
        <v>0</v>
      </c>
      <c r="C778" s="308" t="s">
        <v>563</v>
      </c>
      <c r="D778" s="309" t="s">
        <v>563</v>
      </c>
      <c r="E778" s="310">
        <v>0</v>
      </c>
      <c r="F778" s="310">
        <v>0</v>
      </c>
      <c r="G778" s="311">
        <v>0</v>
      </c>
      <c r="H778" s="310" t="s">
        <v>563</v>
      </c>
      <c r="I778" s="310" t="s">
        <v>563</v>
      </c>
      <c r="J778" s="310" t="s">
        <v>563</v>
      </c>
      <c r="K778" s="312">
        <v>0</v>
      </c>
      <c r="L778" s="310">
        <v>0</v>
      </c>
      <c r="M778" s="310">
        <v>0</v>
      </c>
      <c r="N778" s="313">
        <v>0</v>
      </c>
      <c r="O778" s="314" t="s">
        <v>563</v>
      </c>
      <c r="P778" s="307">
        <f t="shared" si="231"/>
        <v>0</v>
      </c>
      <c r="R778" s="91" t="str">
        <f t="shared" si="227"/>
        <v/>
      </c>
      <c r="S77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8" s="307" t="str">
        <f t="shared" si="233"/>
        <v/>
      </c>
      <c r="U778" s="315" t="str">
        <f t="shared" si="234"/>
        <v/>
      </c>
      <c r="V778" s="307">
        <f t="shared" si="238"/>
        <v>0</v>
      </c>
      <c r="W778" s="307">
        <f>IFERROR(IF(V778&gt;0,PROPER(Terbilang1(V778)&amp;" Rupiah"),0),"")</f>
        <v>0</v>
      </c>
      <c r="X778" s="90" t="str">
        <f t="shared" si="239"/>
        <v/>
      </c>
      <c r="Y778" s="307" t="str">
        <f t="shared" si="240"/>
        <v/>
      </c>
      <c r="Z778" s="307">
        <f t="shared" si="235"/>
        <v>0</v>
      </c>
      <c r="AA778" s="366">
        <f t="shared" si="236"/>
        <v>0</v>
      </c>
      <c r="AB778" s="367">
        <f t="shared" si="241"/>
        <v>0</v>
      </c>
      <c r="AC778" s="305">
        <f t="shared" si="242"/>
        <v>0</v>
      </c>
      <c r="AP778" s="89" t="str">
        <f t="shared" si="230"/>
        <v/>
      </c>
      <c r="AQ778" s="89" t="str">
        <f t="shared" si="228"/>
        <v/>
      </c>
      <c r="AR778" s="315" t="str">
        <f t="shared" si="229"/>
        <v/>
      </c>
      <c r="AS778" s="305" t="str">
        <f t="shared" si="243"/>
        <v>0</v>
      </c>
      <c r="AT778" s="307">
        <f>Table22[[#This Row],[Column1]]</f>
        <v>0</v>
      </c>
    </row>
    <row r="779" spans="1:46" x14ac:dyDescent="0.3">
      <c r="A779" s="307">
        <f t="shared" si="237"/>
        <v>0</v>
      </c>
      <c r="B779" s="307">
        <f t="shared" si="226"/>
        <v>0</v>
      </c>
      <c r="C779" s="308" t="s">
        <v>563</v>
      </c>
      <c r="D779" s="309" t="s">
        <v>563</v>
      </c>
      <c r="E779" s="310">
        <v>0</v>
      </c>
      <c r="F779" s="310">
        <v>0</v>
      </c>
      <c r="G779" s="311">
        <v>0</v>
      </c>
      <c r="H779" s="310" t="s">
        <v>563</v>
      </c>
      <c r="I779" s="310" t="s">
        <v>563</v>
      </c>
      <c r="J779" s="310" t="s">
        <v>563</v>
      </c>
      <c r="K779" s="312">
        <v>0</v>
      </c>
      <c r="L779" s="310">
        <v>0</v>
      </c>
      <c r="M779" s="310">
        <v>0</v>
      </c>
      <c r="N779" s="313">
        <v>0</v>
      </c>
      <c r="O779" s="314" t="s">
        <v>563</v>
      </c>
      <c r="P779" s="307">
        <f t="shared" si="231"/>
        <v>0</v>
      </c>
      <c r="R779" s="91" t="str">
        <f t="shared" si="227"/>
        <v/>
      </c>
      <c r="S77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79" s="307" t="str">
        <f t="shared" si="233"/>
        <v/>
      </c>
      <c r="U779" s="315" t="str">
        <f t="shared" si="234"/>
        <v/>
      </c>
      <c r="V779" s="307">
        <f t="shared" si="238"/>
        <v>0</v>
      </c>
      <c r="W779" s="307">
        <f>IFERROR(IF(V779&gt;0,PROPER(Terbilang1(V779)&amp;" Rupiah"),0),"")</f>
        <v>0</v>
      </c>
      <c r="X779" s="90" t="str">
        <f t="shared" si="239"/>
        <v/>
      </c>
      <c r="Y779" s="307" t="str">
        <f t="shared" si="240"/>
        <v/>
      </c>
      <c r="Z779" s="307">
        <f t="shared" si="235"/>
        <v>0</v>
      </c>
      <c r="AA779" s="366">
        <f t="shared" si="236"/>
        <v>0</v>
      </c>
      <c r="AB779" s="367">
        <f t="shared" si="241"/>
        <v>0</v>
      </c>
      <c r="AC779" s="305">
        <f t="shared" si="242"/>
        <v>0</v>
      </c>
      <c r="AP779" s="89" t="str">
        <f t="shared" si="230"/>
        <v/>
      </c>
      <c r="AQ779" s="89" t="str">
        <f t="shared" si="228"/>
        <v/>
      </c>
      <c r="AR779" s="315" t="str">
        <f t="shared" si="229"/>
        <v/>
      </c>
      <c r="AS779" s="305" t="str">
        <f t="shared" si="243"/>
        <v>0</v>
      </c>
      <c r="AT779" s="307">
        <f>Table22[[#This Row],[Column1]]</f>
        <v>0</v>
      </c>
    </row>
    <row r="780" spans="1:46" x14ac:dyDescent="0.3">
      <c r="A780" s="307">
        <f t="shared" si="237"/>
        <v>0</v>
      </c>
      <c r="B780" s="307">
        <f t="shared" si="226"/>
        <v>0</v>
      </c>
      <c r="C780" s="308" t="s">
        <v>563</v>
      </c>
      <c r="D780" s="309" t="s">
        <v>563</v>
      </c>
      <c r="E780" s="310">
        <v>0</v>
      </c>
      <c r="F780" s="310">
        <v>0</v>
      </c>
      <c r="G780" s="311">
        <v>0</v>
      </c>
      <c r="H780" s="310" t="s">
        <v>563</v>
      </c>
      <c r="I780" s="310" t="s">
        <v>563</v>
      </c>
      <c r="J780" s="310" t="s">
        <v>563</v>
      </c>
      <c r="K780" s="312">
        <v>0</v>
      </c>
      <c r="L780" s="310">
        <v>0</v>
      </c>
      <c r="M780" s="310">
        <v>0</v>
      </c>
      <c r="N780" s="313">
        <v>0</v>
      </c>
      <c r="O780" s="314" t="s">
        <v>563</v>
      </c>
      <c r="P780" s="307">
        <f t="shared" si="231"/>
        <v>0</v>
      </c>
      <c r="R780" s="91" t="str">
        <f t="shared" si="227"/>
        <v/>
      </c>
      <c r="S78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0" s="307" t="str">
        <f t="shared" si="233"/>
        <v/>
      </c>
      <c r="U780" s="315" t="str">
        <f t="shared" si="234"/>
        <v/>
      </c>
      <c r="V780" s="307">
        <f t="shared" si="238"/>
        <v>0</v>
      </c>
      <c r="W780" s="307">
        <f>IFERROR(IF(V780&gt;0,PROPER(Terbilang1(V780)&amp;" Rupiah"),0),"")</f>
        <v>0</v>
      </c>
      <c r="X780" s="90" t="str">
        <f t="shared" si="239"/>
        <v/>
      </c>
      <c r="Y780" s="307" t="str">
        <f t="shared" si="240"/>
        <v/>
      </c>
      <c r="Z780" s="307">
        <f t="shared" si="235"/>
        <v>0</v>
      </c>
      <c r="AA780" s="366">
        <f t="shared" si="236"/>
        <v>0</v>
      </c>
      <c r="AB780" s="367">
        <f t="shared" si="241"/>
        <v>0</v>
      </c>
      <c r="AC780" s="305">
        <f t="shared" si="242"/>
        <v>0</v>
      </c>
      <c r="AP780" s="89" t="str">
        <f t="shared" si="230"/>
        <v/>
      </c>
      <c r="AQ780" s="89" t="str">
        <f t="shared" si="228"/>
        <v/>
      </c>
      <c r="AR780" s="315" t="str">
        <f t="shared" si="229"/>
        <v/>
      </c>
      <c r="AS780" s="305" t="str">
        <f t="shared" si="243"/>
        <v>0</v>
      </c>
      <c r="AT780" s="307">
        <f>Table22[[#This Row],[Column1]]</f>
        <v>0</v>
      </c>
    </row>
    <row r="781" spans="1:46" x14ac:dyDescent="0.3">
      <c r="A781" s="307">
        <f t="shared" si="237"/>
        <v>0</v>
      </c>
      <c r="B781" s="307">
        <f t="shared" si="226"/>
        <v>0</v>
      </c>
      <c r="C781" s="308" t="s">
        <v>563</v>
      </c>
      <c r="D781" s="309" t="s">
        <v>563</v>
      </c>
      <c r="E781" s="310">
        <v>0</v>
      </c>
      <c r="F781" s="310">
        <v>0</v>
      </c>
      <c r="G781" s="311">
        <v>0</v>
      </c>
      <c r="H781" s="310" t="s">
        <v>563</v>
      </c>
      <c r="I781" s="310" t="s">
        <v>563</v>
      </c>
      <c r="J781" s="310" t="s">
        <v>563</v>
      </c>
      <c r="K781" s="312">
        <v>0</v>
      </c>
      <c r="L781" s="310">
        <v>0</v>
      </c>
      <c r="M781" s="310">
        <v>0</v>
      </c>
      <c r="N781" s="313">
        <v>0</v>
      </c>
      <c r="O781" s="314" t="s">
        <v>563</v>
      </c>
      <c r="P781" s="307">
        <f t="shared" si="231"/>
        <v>0</v>
      </c>
      <c r="R781" s="91" t="str">
        <f t="shared" si="227"/>
        <v/>
      </c>
      <c r="S78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1" s="307" t="str">
        <f t="shared" si="233"/>
        <v/>
      </c>
      <c r="U781" s="315" t="str">
        <f t="shared" si="234"/>
        <v/>
      </c>
      <c r="V781" s="307">
        <f t="shared" si="238"/>
        <v>0</v>
      </c>
      <c r="W781" s="307">
        <f>IFERROR(IF(V781&gt;0,PROPER(Terbilang1(V781)&amp;" Rupiah"),0),"")</f>
        <v>0</v>
      </c>
      <c r="X781" s="90" t="str">
        <f t="shared" si="239"/>
        <v/>
      </c>
      <c r="Y781" s="307" t="str">
        <f t="shared" si="240"/>
        <v/>
      </c>
      <c r="Z781" s="307">
        <f t="shared" si="235"/>
        <v>0</v>
      </c>
      <c r="AA781" s="366">
        <f t="shared" si="236"/>
        <v>0</v>
      </c>
      <c r="AB781" s="367">
        <f t="shared" si="241"/>
        <v>0</v>
      </c>
      <c r="AC781" s="305">
        <f t="shared" si="242"/>
        <v>0</v>
      </c>
      <c r="AP781" s="89" t="str">
        <f t="shared" si="230"/>
        <v/>
      </c>
      <c r="AQ781" s="89" t="str">
        <f t="shared" si="228"/>
        <v/>
      </c>
      <c r="AR781" s="315" t="str">
        <f t="shared" si="229"/>
        <v/>
      </c>
      <c r="AS781" s="305" t="str">
        <f t="shared" si="243"/>
        <v>0</v>
      </c>
      <c r="AT781" s="307">
        <f>Table22[[#This Row],[Column1]]</f>
        <v>0</v>
      </c>
    </row>
    <row r="782" spans="1:46" x14ac:dyDescent="0.3">
      <c r="A782" s="307">
        <f t="shared" si="237"/>
        <v>0</v>
      </c>
      <c r="B782" s="307">
        <f t="shared" si="226"/>
        <v>0</v>
      </c>
      <c r="C782" s="308" t="s">
        <v>563</v>
      </c>
      <c r="D782" s="309" t="s">
        <v>563</v>
      </c>
      <c r="E782" s="310">
        <v>0</v>
      </c>
      <c r="F782" s="310">
        <v>0</v>
      </c>
      <c r="G782" s="311">
        <v>0</v>
      </c>
      <c r="H782" s="310" t="s">
        <v>563</v>
      </c>
      <c r="I782" s="310" t="s">
        <v>563</v>
      </c>
      <c r="J782" s="310" t="s">
        <v>563</v>
      </c>
      <c r="K782" s="312">
        <v>0</v>
      </c>
      <c r="L782" s="310">
        <v>0</v>
      </c>
      <c r="M782" s="310">
        <v>0</v>
      </c>
      <c r="N782" s="313">
        <v>0</v>
      </c>
      <c r="O782" s="314" t="s">
        <v>563</v>
      </c>
      <c r="P782" s="307">
        <f t="shared" si="231"/>
        <v>0</v>
      </c>
      <c r="R782" s="91" t="str">
        <f t="shared" si="227"/>
        <v/>
      </c>
      <c r="S78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2" s="307" t="str">
        <f t="shared" si="233"/>
        <v/>
      </c>
      <c r="U782" s="315" t="str">
        <f t="shared" si="234"/>
        <v/>
      </c>
      <c r="V782" s="307">
        <f t="shared" si="238"/>
        <v>0</v>
      </c>
      <c r="W782" s="307">
        <f>IFERROR(IF(V782&gt;0,PROPER(Terbilang1(V782)&amp;" Rupiah"),0),"")</f>
        <v>0</v>
      </c>
      <c r="X782" s="90" t="str">
        <f t="shared" si="239"/>
        <v/>
      </c>
      <c r="Y782" s="307" t="str">
        <f t="shared" si="240"/>
        <v/>
      </c>
      <c r="Z782" s="307">
        <f t="shared" si="235"/>
        <v>0</v>
      </c>
      <c r="AA782" s="366">
        <f t="shared" si="236"/>
        <v>0</v>
      </c>
      <c r="AB782" s="367">
        <f t="shared" si="241"/>
        <v>0</v>
      </c>
      <c r="AC782" s="305">
        <f t="shared" si="242"/>
        <v>0</v>
      </c>
      <c r="AP782" s="89" t="str">
        <f t="shared" si="230"/>
        <v/>
      </c>
      <c r="AQ782" s="89" t="str">
        <f t="shared" si="228"/>
        <v/>
      </c>
      <c r="AR782" s="315" t="str">
        <f t="shared" si="229"/>
        <v/>
      </c>
      <c r="AS782" s="305" t="str">
        <f t="shared" si="243"/>
        <v>0</v>
      </c>
      <c r="AT782" s="307">
        <f>Table22[[#This Row],[Column1]]</f>
        <v>0</v>
      </c>
    </row>
    <row r="783" spans="1:46" x14ac:dyDescent="0.3">
      <c r="A783" s="307">
        <f t="shared" si="237"/>
        <v>0</v>
      </c>
      <c r="B783" s="307">
        <f t="shared" si="226"/>
        <v>0</v>
      </c>
      <c r="C783" s="308" t="s">
        <v>563</v>
      </c>
      <c r="D783" s="309" t="s">
        <v>563</v>
      </c>
      <c r="E783" s="310">
        <v>0</v>
      </c>
      <c r="F783" s="310">
        <v>0</v>
      </c>
      <c r="G783" s="311">
        <v>0</v>
      </c>
      <c r="H783" s="310" t="s">
        <v>563</v>
      </c>
      <c r="I783" s="310" t="s">
        <v>563</v>
      </c>
      <c r="J783" s="310" t="s">
        <v>563</v>
      </c>
      <c r="K783" s="312">
        <v>0</v>
      </c>
      <c r="L783" s="310">
        <v>0</v>
      </c>
      <c r="M783" s="310">
        <v>0</v>
      </c>
      <c r="N783" s="313">
        <v>0</v>
      </c>
      <c r="O783" s="314" t="s">
        <v>563</v>
      </c>
      <c r="P783" s="307">
        <f t="shared" si="231"/>
        <v>0</v>
      </c>
      <c r="R783" s="91" t="str">
        <f t="shared" si="227"/>
        <v/>
      </c>
      <c r="S78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3" s="307" t="str">
        <f t="shared" si="233"/>
        <v/>
      </c>
      <c r="U783" s="315" t="str">
        <f t="shared" si="234"/>
        <v/>
      </c>
      <c r="V783" s="307">
        <f t="shared" si="238"/>
        <v>0</v>
      </c>
      <c r="W783" s="307">
        <f>IFERROR(IF(V783&gt;0,PROPER(Terbilang1(V783)&amp;" Rupiah"),0),"")</f>
        <v>0</v>
      </c>
      <c r="X783" s="90" t="str">
        <f t="shared" si="239"/>
        <v/>
      </c>
      <c r="Y783" s="307" t="str">
        <f t="shared" si="240"/>
        <v/>
      </c>
      <c r="Z783" s="307">
        <f t="shared" si="235"/>
        <v>0</v>
      </c>
      <c r="AA783" s="366">
        <f t="shared" si="236"/>
        <v>0</v>
      </c>
      <c r="AB783" s="367">
        <f t="shared" si="241"/>
        <v>0</v>
      </c>
      <c r="AC783" s="305">
        <f t="shared" si="242"/>
        <v>0</v>
      </c>
      <c r="AP783" s="89" t="str">
        <f t="shared" si="230"/>
        <v/>
      </c>
      <c r="AQ783" s="89" t="str">
        <f t="shared" si="228"/>
        <v/>
      </c>
      <c r="AR783" s="315" t="str">
        <f t="shared" si="229"/>
        <v/>
      </c>
      <c r="AS783" s="305" t="str">
        <f t="shared" si="243"/>
        <v>0</v>
      </c>
      <c r="AT783" s="307">
        <f>Table22[[#This Row],[Column1]]</f>
        <v>0</v>
      </c>
    </row>
    <row r="784" spans="1:46" x14ac:dyDescent="0.3">
      <c r="A784" s="307">
        <f t="shared" si="237"/>
        <v>0</v>
      </c>
      <c r="B784" s="307">
        <f t="shared" si="226"/>
        <v>0</v>
      </c>
      <c r="C784" s="308" t="s">
        <v>563</v>
      </c>
      <c r="D784" s="309" t="s">
        <v>563</v>
      </c>
      <c r="E784" s="310">
        <v>0</v>
      </c>
      <c r="F784" s="310">
        <v>0</v>
      </c>
      <c r="G784" s="311">
        <v>0</v>
      </c>
      <c r="H784" s="310" t="s">
        <v>563</v>
      </c>
      <c r="I784" s="310" t="s">
        <v>563</v>
      </c>
      <c r="J784" s="310" t="s">
        <v>563</v>
      </c>
      <c r="K784" s="312">
        <v>0</v>
      </c>
      <c r="L784" s="310">
        <v>0</v>
      </c>
      <c r="M784" s="310">
        <v>0</v>
      </c>
      <c r="N784" s="313">
        <v>0</v>
      </c>
      <c r="O784" s="314" t="s">
        <v>563</v>
      </c>
      <c r="P784" s="307">
        <f t="shared" si="231"/>
        <v>0</v>
      </c>
      <c r="R784" s="91" t="str">
        <f t="shared" si="227"/>
        <v/>
      </c>
      <c r="S78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4" s="307" t="str">
        <f t="shared" si="233"/>
        <v/>
      </c>
      <c r="U784" s="315" t="str">
        <f t="shared" si="234"/>
        <v/>
      </c>
      <c r="V784" s="307">
        <f t="shared" si="238"/>
        <v>0</v>
      </c>
      <c r="W784" s="307">
        <f>IFERROR(IF(V784&gt;0,PROPER(Terbilang1(V784)&amp;" Rupiah"),0),"")</f>
        <v>0</v>
      </c>
      <c r="X784" s="90" t="str">
        <f t="shared" si="239"/>
        <v/>
      </c>
      <c r="Y784" s="307" t="str">
        <f t="shared" si="240"/>
        <v/>
      </c>
      <c r="Z784" s="307">
        <f t="shared" si="235"/>
        <v>0</v>
      </c>
      <c r="AA784" s="366">
        <f t="shared" si="236"/>
        <v>0</v>
      </c>
      <c r="AB784" s="367">
        <f t="shared" si="241"/>
        <v>0</v>
      </c>
      <c r="AC784" s="305">
        <f t="shared" si="242"/>
        <v>0</v>
      </c>
      <c r="AP784" s="89" t="str">
        <f t="shared" si="230"/>
        <v/>
      </c>
      <c r="AQ784" s="89" t="str">
        <f t="shared" si="228"/>
        <v/>
      </c>
      <c r="AR784" s="315" t="str">
        <f t="shared" si="229"/>
        <v/>
      </c>
      <c r="AS784" s="305" t="str">
        <f t="shared" si="243"/>
        <v>0</v>
      </c>
      <c r="AT784" s="307">
        <f>Table22[[#This Row],[Column1]]</f>
        <v>0</v>
      </c>
    </row>
    <row r="785" spans="1:46" x14ac:dyDescent="0.3">
      <c r="A785" s="307">
        <f t="shared" si="237"/>
        <v>0</v>
      </c>
      <c r="B785" s="307">
        <f t="shared" si="226"/>
        <v>0</v>
      </c>
      <c r="C785" s="308" t="s">
        <v>563</v>
      </c>
      <c r="D785" s="309" t="s">
        <v>563</v>
      </c>
      <c r="E785" s="310">
        <v>0</v>
      </c>
      <c r="F785" s="310">
        <v>0</v>
      </c>
      <c r="G785" s="311">
        <v>0</v>
      </c>
      <c r="H785" s="310" t="s">
        <v>563</v>
      </c>
      <c r="I785" s="310" t="s">
        <v>563</v>
      </c>
      <c r="J785" s="310" t="s">
        <v>563</v>
      </c>
      <c r="K785" s="312">
        <v>0</v>
      </c>
      <c r="L785" s="310">
        <v>0</v>
      </c>
      <c r="M785" s="310">
        <v>0</v>
      </c>
      <c r="N785" s="313">
        <v>0</v>
      </c>
      <c r="O785" s="314" t="s">
        <v>563</v>
      </c>
      <c r="P785" s="307">
        <f t="shared" si="231"/>
        <v>0</v>
      </c>
      <c r="R785" s="91" t="str">
        <f t="shared" si="227"/>
        <v/>
      </c>
      <c r="S78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5" s="307" t="str">
        <f t="shared" si="233"/>
        <v/>
      </c>
      <c r="U785" s="315" t="str">
        <f t="shared" si="234"/>
        <v/>
      </c>
      <c r="V785" s="307">
        <f t="shared" si="238"/>
        <v>0</v>
      </c>
      <c r="W785" s="307">
        <f>IFERROR(IF(V785&gt;0,PROPER(Terbilang1(V785)&amp;" Rupiah"),0),"")</f>
        <v>0</v>
      </c>
      <c r="X785" s="90" t="str">
        <f t="shared" si="239"/>
        <v/>
      </c>
      <c r="Y785" s="307" t="str">
        <f t="shared" si="240"/>
        <v/>
      </c>
      <c r="Z785" s="307">
        <f t="shared" si="235"/>
        <v>0</v>
      </c>
      <c r="AA785" s="366">
        <f t="shared" si="236"/>
        <v>0</v>
      </c>
      <c r="AB785" s="367">
        <f t="shared" si="241"/>
        <v>0</v>
      </c>
      <c r="AC785" s="305">
        <f t="shared" si="242"/>
        <v>0</v>
      </c>
      <c r="AP785" s="89" t="str">
        <f t="shared" si="230"/>
        <v/>
      </c>
      <c r="AQ785" s="89" t="str">
        <f t="shared" si="228"/>
        <v/>
      </c>
      <c r="AR785" s="315" t="str">
        <f t="shared" si="229"/>
        <v/>
      </c>
      <c r="AS785" s="305" t="str">
        <f t="shared" si="243"/>
        <v>0</v>
      </c>
      <c r="AT785" s="307">
        <f>Table22[[#This Row],[Column1]]</f>
        <v>0</v>
      </c>
    </row>
    <row r="786" spans="1:46" x14ac:dyDescent="0.3">
      <c r="A786" s="307">
        <f t="shared" si="237"/>
        <v>0</v>
      </c>
      <c r="B786" s="307">
        <f t="shared" si="226"/>
        <v>0</v>
      </c>
      <c r="C786" s="308" t="s">
        <v>563</v>
      </c>
      <c r="D786" s="309" t="s">
        <v>563</v>
      </c>
      <c r="E786" s="310">
        <v>0</v>
      </c>
      <c r="F786" s="310">
        <v>0</v>
      </c>
      <c r="G786" s="311">
        <v>0</v>
      </c>
      <c r="H786" s="310" t="s">
        <v>563</v>
      </c>
      <c r="I786" s="310" t="s">
        <v>563</v>
      </c>
      <c r="J786" s="310" t="s">
        <v>563</v>
      </c>
      <c r="K786" s="312">
        <v>0</v>
      </c>
      <c r="L786" s="310">
        <v>0</v>
      </c>
      <c r="M786" s="310">
        <v>0</v>
      </c>
      <c r="N786" s="313">
        <v>0</v>
      </c>
      <c r="O786" s="314" t="s">
        <v>563</v>
      </c>
      <c r="P786" s="307">
        <f t="shared" si="231"/>
        <v>0</v>
      </c>
      <c r="R786" s="91" t="str">
        <f t="shared" si="227"/>
        <v/>
      </c>
      <c r="S78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6" s="307" t="str">
        <f t="shared" si="233"/>
        <v/>
      </c>
      <c r="U786" s="315" t="str">
        <f t="shared" si="234"/>
        <v/>
      </c>
      <c r="V786" s="307">
        <f t="shared" si="238"/>
        <v>0</v>
      </c>
      <c r="W786" s="307">
        <f>IFERROR(IF(V786&gt;0,PROPER(Terbilang1(V786)&amp;" Rupiah"),0),"")</f>
        <v>0</v>
      </c>
      <c r="X786" s="90" t="str">
        <f t="shared" si="239"/>
        <v/>
      </c>
      <c r="Y786" s="307" t="str">
        <f t="shared" si="240"/>
        <v/>
      </c>
      <c r="Z786" s="307">
        <f t="shared" si="235"/>
        <v>0</v>
      </c>
      <c r="AA786" s="366">
        <f t="shared" si="236"/>
        <v>0</v>
      </c>
      <c r="AB786" s="367">
        <f t="shared" si="241"/>
        <v>0</v>
      </c>
      <c r="AC786" s="305">
        <f t="shared" si="242"/>
        <v>0</v>
      </c>
      <c r="AP786" s="89" t="str">
        <f t="shared" si="230"/>
        <v/>
      </c>
      <c r="AQ786" s="89" t="str">
        <f t="shared" si="228"/>
        <v/>
      </c>
      <c r="AR786" s="315" t="str">
        <f t="shared" si="229"/>
        <v/>
      </c>
      <c r="AS786" s="305" t="str">
        <f t="shared" si="243"/>
        <v>0</v>
      </c>
      <c r="AT786" s="307">
        <f>Table22[[#This Row],[Column1]]</f>
        <v>0</v>
      </c>
    </row>
    <row r="787" spans="1:46" x14ac:dyDescent="0.3">
      <c r="A787" s="307">
        <f t="shared" si="237"/>
        <v>0</v>
      </c>
      <c r="B787" s="307">
        <f t="shared" si="226"/>
        <v>0</v>
      </c>
      <c r="C787" s="308" t="s">
        <v>563</v>
      </c>
      <c r="D787" s="309" t="s">
        <v>563</v>
      </c>
      <c r="E787" s="310">
        <v>0</v>
      </c>
      <c r="F787" s="310">
        <v>0</v>
      </c>
      <c r="G787" s="311">
        <v>0</v>
      </c>
      <c r="H787" s="310" t="s">
        <v>563</v>
      </c>
      <c r="I787" s="310" t="s">
        <v>563</v>
      </c>
      <c r="J787" s="310" t="s">
        <v>563</v>
      </c>
      <c r="K787" s="312">
        <v>0</v>
      </c>
      <c r="L787" s="310">
        <v>0</v>
      </c>
      <c r="M787" s="310">
        <v>0</v>
      </c>
      <c r="N787" s="313">
        <v>0</v>
      </c>
      <c r="O787" s="314" t="s">
        <v>563</v>
      </c>
      <c r="P787" s="307">
        <f t="shared" si="231"/>
        <v>0</v>
      </c>
      <c r="R787" s="91" t="str">
        <f t="shared" si="227"/>
        <v/>
      </c>
      <c r="S78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7" s="307" t="str">
        <f t="shared" si="233"/>
        <v/>
      </c>
      <c r="U787" s="315" t="str">
        <f t="shared" si="234"/>
        <v/>
      </c>
      <c r="V787" s="307">
        <f t="shared" si="238"/>
        <v>0</v>
      </c>
      <c r="W787" s="307">
        <f>IFERROR(IF(V787&gt;0,PROPER(Terbilang1(V787)&amp;" Rupiah"),0),"")</f>
        <v>0</v>
      </c>
      <c r="X787" s="90" t="str">
        <f t="shared" si="239"/>
        <v/>
      </c>
      <c r="Y787" s="307" t="str">
        <f t="shared" si="240"/>
        <v/>
      </c>
      <c r="Z787" s="307">
        <f t="shared" si="235"/>
        <v>0</v>
      </c>
      <c r="AA787" s="366">
        <f t="shared" si="236"/>
        <v>0</v>
      </c>
      <c r="AB787" s="367">
        <f t="shared" si="241"/>
        <v>0</v>
      </c>
      <c r="AC787" s="305">
        <f t="shared" si="242"/>
        <v>0</v>
      </c>
      <c r="AP787" s="89" t="str">
        <f t="shared" si="230"/>
        <v/>
      </c>
      <c r="AQ787" s="89" t="str">
        <f t="shared" si="228"/>
        <v/>
      </c>
      <c r="AR787" s="315" t="str">
        <f t="shared" si="229"/>
        <v/>
      </c>
      <c r="AS787" s="305" t="str">
        <f t="shared" si="243"/>
        <v>0</v>
      </c>
      <c r="AT787" s="307">
        <f>Table22[[#This Row],[Column1]]</f>
        <v>0</v>
      </c>
    </row>
    <row r="788" spans="1:46" x14ac:dyDescent="0.3">
      <c r="A788" s="307">
        <f t="shared" si="237"/>
        <v>0</v>
      </c>
      <c r="B788" s="307">
        <f t="shared" si="226"/>
        <v>0</v>
      </c>
      <c r="C788" s="308" t="s">
        <v>563</v>
      </c>
      <c r="D788" s="309" t="s">
        <v>563</v>
      </c>
      <c r="E788" s="310">
        <v>0</v>
      </c>
      <c r="F788" s="310">
        <v>0</v>
      </c>
      <c r="G788" s="311">
        <v>0</v>
      </c>
      <c r="H788" s="310" t="s">
        <v>563</v>
      </c>
      <c r="I788" s="310" t="s">
        <v>563</v>
      </c>
      <c r="J788" s="310" t="s">
        <v>563</v>
      </c>
      <c r="K788" s="312">
        <v>0</v>
      </c>
      <c r="L788" s="310">
        <v>0</v>
      </c>
      <c r="M788" s="310">
        <v>0</v>
      </c>
      <c r="N788" s="313">
        <v>0</v>
      </c>
      <c r="O788" s="314" t="s">
        <v>563</v>
      </c>
      <c r="P788" s="307">
        <f t="shared" si="231"/>
        <v>0</v>
      </c>
      <c r="R788" s="91" t="str">
        <f t="shared" si="227"/>
        <v/>
      </c>
      <c r="S78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8" s="307" t="str">
        <f t="shared" si="233"/>
        <v/>
      </c>
      <c r="U788" s="315" t="str">
        <f t="shared" si="234"/>
        <v/>
      </c>
      <c r="V788" s="307">
        <f t="shared" si="238"/>
        <v>0</v>
      </c>
      <c r="W788" s="307">
        <f>IFERROR(IF(V788&gt;0,PROPER(Terbilang1(V788)&amp;" Rupiah"),0),"")</f>
        <v>0</v>
      </c>
      <c r="X788" s="90" t="str">
        <f t="shared" si="239"/>
        <v/>
      </c>
      <c r="Y788" s="307" t="str">
        <f t="shared" si="240"/>
        <v/>
      </c>
      <c r="Z788" s="307">
        <f t="shared" si="235"/>
        <v>0</v>
      </c>
      <c r="AA788" s="366">
        <f t="shared" si="236"/>
        <v>0</v>
      </c>
      <c r="AB788" s="367">
        <f t="shared" si="241"/>
        <v>0</v>
      </c>
      <c r="AC788" s="305">
        <f t="shared" si="242"/>
        <v>0</v>
      </c>
      <c r="AP788" s="89" t="str">
        <f t="shared" si="230"/>
        <v/>
      </c>
      <c r="AQ788" s="89" t="str">
        <f t="shared" si="228"/>
        <v/>
      </c>
      <c r="AR788" s="315" t="str">
        <f t="shared" si="229"/>
        <v/>
      </c>
      <c r="AS788" s="305" t="str">
        <f t="shared" si="243"/>
        <v>0</v>
      </c>
      <c r="AT788" s="307">
        <f>Table22[[#This Row],[Column1]]</f>
        <v>0</v>
      </c>
    </row>
    <row r="789" spans="1:46" x14ac:dyDescent="0.3">
      <c r="A789" s="307">
        <f t="shared" si="237"/>
        <v>0</v>
      </c>
      <c r="B789" s="307">
        <f t="shared" si="226"/>
        <v>0</v>
      </c>
      <c r="C789" s="308" t="s">
        <v>563</v>
      </c>
      <c r="D789" s="309" t="s">
        <v>563</v>
      </c>
      <c r="E789" s="310">
        <v>0</v>
      </c>
      <c r="F789" s="310">
        <v>0</v>
      </c>
      <c r="G789" s="311">
        <v>0</v>
      </c>
      <c r="H789" s="310" t="s">
        <v>563</v>
      </c>
      <c r="I789" s="310" t="s">
        <v>563</v>
      </c>
      <c r="J789" s="310" t="s">
        <v>563</v>
      </c>
      <c r="K789" s="312">
        <v>0</v>
      </c>
      <c r="L789" s="310">
        <v>0</v>
      </c>
      <c r="M789" s="310">
        <v>0</v>
      </c>
      <c r="N789" s="313">
        <v>0</v>
      </c>
      <c r="O789" s="314" t="s">
        <v>563</v>
      </c>
      <c r="P789" s="307">
        <f t="shared" si="231"/>
        <v>0</v>
      </c>
      <c r="R789" s="91" t="str">
        <f t="shared" si="227"/>
        <v/>
      </c>
      <c r="S78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89" s="307" t="str">
        <f t="shared" si="233"/>
        <v/>
      </c>
      <c r="U789" s="315" t="str">
        <f t="shared" si="234"/>
        <v/>
      </c>
      <c r="V789" s="307">
        <f t="shared" si="238"/>
        <v>0</v>
      </c>
      <c r="W789" s="307">
        <f>IFERROR(IF(V789&gt;0,PROPER(Terbilang1(V789)&amp;" Rupiah"),0),"")</f>
        <v>0</v>
      </c>
      <c r="X789" s="90" t="str">
        <f t="shared" si="239"/>
        <v/>
      </c>
      <c r="Y789" s="307" t="str">
        <f t="shared" si="240"/>
        <v/>
      </c>
      <c r="Z789" s="307">
        <f t="shared" si="235"/>
        <v>0</v>
      </c>
      <c r="AA789" s="366">
        <f t="shared" si="236"/>
        <v>0</v>
      </c>
      <c r="AB789" s="367">
        <f t="shared" si="241"/>
        <v>0</v>
      </c>
      <c r="AC789" s="305">
        <f t="shared" si="242"/>
        <v>0</v>
      </c>
      <c r="AP789" s="89" t="str">
        <f t="shared" si="230"/>
        <v/>
      </c>
      <c r="AQ789" s="89" t="str">
        <f t="shared" si="228"/>
        <v/>
      </c>
      <c r="AR789" s="315" t="str">
        <f t="shared" si="229"/>
        <v/>
      </c>
      <c r="AS789" s="305" t="str">
        <f t="shared" si="243"/>
        <v>0</v>
      </c>
      <c r="AT789" s="307">
        <f>Table22[[#This Row],[Column1]]</f>
        <v>0</v>
      </c>
    </row>
    <row r="790" spans="1:46" x14ac:dyDescent="0.3">
      <c r="A790" s="307">
        <f t="shared" si="237"/>
        <v>0</v>
      </c>
      <c r="B790" s="307">
        <f t="shared" si="226"/>
        <v>0</v>
      </c>
      <c r="C790" s="308" t="s">
        <v>563</v>
      </c>
      <c r="D790" s="309" t="s">
        <v>563</v>
      </c>
      <c r="E790" s="310">
        <v>0</v>
      </c>
      <c r="F790" s="310">
        <v>0</v>
      </c>
      <c r="G790" s="311">
        <v>0</v>
      </c>
      <c r="H790" s="310" t="s">
        <v>563</v>
      </c>
      <c r="I790" s="310" t="s">
        <v>563</v>
      </c>
      <c r="J790" s="310" t="s">
        <v>563</v>
      </c>
      <c r="K790" s="312">
        <v>0</v>
      </c>
      <c r="L790" s="310">
        <v>0</v>
      </c>
      <c r="M790" s="310">
        <v>0</v>
      </c>
      <c r="N790" s="313">
        <v>0</v>
      </c>
      <c r="O790" s="314" t="s">
        <v>563</v>
      </c>
      <c r="P790" s="307">
        <f t="shared" si="231"/>
        <v>0</v>
      </c>
      <c r="R790" s="91" t="str">
        <f t="shared" si="227"/>
        <v/>
      </c>
      <c r="S79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0" s="307" t="str">
        <f t="shared" si="233"/>
        <v/>
      </c>
      <c r="U790" s="315" t="str">
        <f t="shared" si="234"/>
        <v/>
      </c>
      <c r="V790" s="307">
        <f t="shared" si="238"/>
        <v>0</v>
      </c>
      <c r="W790" s="307">
        <f>IFERROR(IF(V790&gt;0,PROPER(Terbilang1(V790)&amp;" Rupiah"),0),"")</f>
        <v>0</v>
      </c>
      <c r="X790" s="90" t="str">
        <f t="shared" si="239"/>
        <v/>
      </c>
      <c r="Y790" s="307" t="str">
        <f t="shared" si="240"/>
        <v/>
      </c>
      <c r="Z790" s="307">
        <f t="shared" si="235"/>
        <v>0</v>
      </c>
      <c r="AA790" s="366">
        <f t="shared" si="236"/>
        <v>0</v>
      </c>
      <c r="AB790" s="367">
        <f t="shared" si="241"/>
        <v>0</v>
      </c>
      <c r="AC790" s="305">
        <f t="shared" si="242"/>
        <v>0</v>
      </c>
      <c r="AP790" s="89" t="str">
        <f t="shared" si="230"/>
        <v/>
      </c>
      <c r="AQ790" s="89" t="str">
        <f t="shared" si="228"/>
        <v/>
      </c>
      <c r="AR790" s="315" t="str">
        <f t="shared" si="229"/>
        <v/>
      </c>
      <c r="AS790" s="305" t="str">
        <f t="shared" si="243"/>
        <v>0</v>
      </c>
      <c r="AT790" s="307">
        <f>Table22[[#This Row],[Column1]]</f>
        <v>0</v>
      </c>
    </row>
    <row r="791" spans="1:46" x14ac:dyDescent="0.3">
      <c r="A791" s="307">
        <f t="shared" si="237"/>
        <v>0</v>
      </c>
      <c r="B791" s="307">
        <f t="shared" si="226"/>
        <v>0</v>
      </c>
      <c r="C791" s="308" t="s">
        <v>563</v>
      </c>
      <c r="D791" s="309" t="s">
        <v>563</v>
      </c>
      <c r="E791" s="310">
        <v>0</v>
      </c>
      <c r="F791" s="310">
        <v>0</v>
      </c>
      <c r="G791" s="311">
        <v>0</v>
      </c>
      <c r="H791" s="310" t="s">
        <v>563</v>
      </c>
      <c r="I791" s="310" t="s">
        <v>563</v>
      </c>
      <c r="J791" s="310" t="s">
        <v>563</v>
      </c>
      <c r="K791" s="312">
        <v>0</v>
      </c>
      <c r="L791" s="310">
        <v>0</v>
      </c>
      <c r="M791" s="310">
        <v>0</v>
      </c>
      <c r="N791" s="313">
        <v>0</v>
      </c>
      <c r="O791" s="314" t="s">
        <v>563</v>
      </c>
      <c r="P791" s="307">
        <f t="shared" si="231"/>
        <v>0</v>
      </c>
      <c r="R791" s="91" t="str">
        <f t="shared" si="227"/>
        <v/>
      </c>
      <c r="S79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1" s="307" t="str">
        <f t="shared" si="233"/>
        <v/>
      </c>
      <c r="U791" s="315" t="str">
        <f t="shared" si="234"/>
        <v/>
      </c>
      <c r="V791" s="307">
        <f t="shared" si="238"/>
        <v>0</v>
      </c>
      <c r="W791" s="307">
        <f>IFERROR(IF(V791&gt;0,PROPER(Terbilang1(V791)&amp;" Rupiah"),0),"")</f>
        <v>0</v>
      </c>
      <c r="X791" s="90" t="str">
        <f t="shared" si="239"/>
        <v/>
      </c>
      <c r="Y791" s="307" t="str">
        <f t="shared" si="240"/>
        <v/>
      </c>
      <c r="Z791" s="307">
        <f t="shared" si="235"/>
        <v>0</v>
      </c>
      <c r="AA791" s="366">
        <f t="shared" si="236"/>
        <v>0</v>
      </c>
      <c r="AB791" s="367">
        <f t="shared" si="241"/>
        <v>0</v>
      </c>
      <c r="AC791" s="305">
        <f t="shared" si="242"/>
        <v>0</v>
      </c>
      <c r="AP791" s="89" t="str">
        <f t="shared" si="230"/>
        <v/>
      </c>
      <c r="AQ791" s="89" t="str">
        <f t="shared" si="228"/>
        <v/>
      </c>
      <c r="AR791" s="315" t="str">
        <f t="shared" si="229"/>
        <v/>
      </c>
      <c r="AS791" s="305" t="str">
        <f t="shared" si="243"/>
        <v>0</v>
      </c>
      <c r="AT791" s="307">
        <f>Table22[[#This Row],[Column1]]</f>
        <v>0</v>
      </c>
    </row>
    <row r="792" spans="1:46" x14ac:dyDescent="0.3">
      <c r="A792" s="307">
        <f t="shared" si="237"/>
        <v>0</v>
      </c>
      <c r="B792" s="307">
        <f t="shared" si="226"/>
        <v>0</v>
      </c>
      <c r="C792" s="308" t="s">
        <v>563</v>
      </c>
      <c r="D792" s="309" t="s">
        <v>563</v>
      </c>
      <c r="E792" s="310">
        <v>0</v>
      </c>
      <c r="F792" s="310">
        <v>0</v>
      </c>
      <c r="G792" s="311">
        <v>0</v>
      </c>
      <c r="H792" s="310" t="s">
        <v>563</v>
      </c>
      <c r="I792" s="310" t="s">
        <v>563</v>
      </c>
      <c r="J792" s="310" t="s">
        <v>563</v>
      </c>
      <c r="K792" s="312">
        <v>0</v>
      </c>
      <c r="L792" s="310">
        <v>0</v>
      </c>
      <c r="M792" s="310">
        <v>0</v>
      </c>
      <c r="N792" s="313">
        <v>0</v>
      </c>
      <c r="O792" s="314" t="s">
        <v>563</v>
      </c>
      <c r="P792" s="307">
        <f t="shared" si="231"/>
        <v>0</v>
      </c>
      <c r="R792" s="91" t="str">
        <f t="shared" si="227"/>
        <v/>
      </c>
      <c r="S79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2" s="307" t="str">
        <f t="shared" si="233"/>
        <v/>
      </c>
      <c r="U792" s="315" t="str">
        <f t="shared" si="234"/>
        <v/>
      </c>
      <c r="V792" s="307">
        <f t="shared" si="238"/>
        <v>0</v>
      </c>
      <c r="W792" s="307">
        <f>IFERROR(IF(V792&gt;0,PROPER(Terbilang1(V792)&amp;" Rupiah"),0),"")</f>
        <v>0</v>
      </c>
      <c r="X792" s="90" t="str">
        <f t="shared" si="239"/>
        <v/>
      </c>
      <c r="Y792" s="307" t="str">
        <f t="shared" si="240"/>
        <v/>
      </c>
      <c r="Z792" s="307">
        <f t="shared" si="235"/>
        <v>0</v>
      </c>
      <c r="AA792" s="366">
        <f t="shared" si="236"/>
        <v>0</v>
      </c>
      <c r="AB792" s="367">
        <f t="shared" si="241"/>
        <v>0</v>
      </c>
      <c r="AC792" s="305">
        <f t="shared" si="242"/>
        <v>0</v>
      </c>
      <c r="AP792" s="89" t="str">
        <f t="shared" si="230"/>
        <v/>
      </c>
      <c r="AQ792" s="89" t="str">
        <f t="shared" si="228"/>
        <v/>
      </c>
      <c r="AR792" s="315" t="str">
        <f t="shared" si="229"/>
        <v/>
      </c>
      <c r="AS792" s="305" t="str">
        <f t="shared" si="243"/>
        <v>0</v>
      </c>
      <c r="AT792" s="307">
        <f>Table22[[#This Row],[Column1]]</f>
        <v>0</v>
      </c>
    </row>
    <row r="793" spans="1:46" x14ac:dyDescent="0.3">
      <c r="A793" s="307">
        <f t="shared" si="237"/>
        <v>0</v>
      </c>
      <c r="B793" s="307">
        <f t="shared" si="226"/>
        <v>0</v>
      </c>
      <c r="C793" s="308" t="s">
        <v>563</v>
      </c>
      <c r="D793" s="309" t="s">
        <v>563</v>
      </c>
      <c r="E793" s="310">
        <v>0</v>
      </c>
      <c r="F793" s="310">
        <v>0</v>
      </c>
      <c r="G793" s="311">
        <v>0</v>
      </c>
      <c r="H793" s="310" t="s">
        <v>563</v>
      </c>
      <c r="I793" s="310" t="s">
        <v>563</v>
      </c>
      <c r="J793" s="310" t="s">
        <v>563</v>
      </c>
      <c r="K793" s="312">
        <v>0</v>
      </c>
      <c r="L793" s="310">
        <v>0</v>
      </c>
      <c r="M793" s="310">
        <v>0</v>
      </c>
      <c r="N793" s="313">
        <v>0</v>
      </c>
      <c r="O793" s="314" t="s">
        <v>563</v>
      </c>
      <c r="P793" s="307">
        <f t="shared" si="231"/>
        <v>0</v>
      </c>
      <c r="R793" s="91" t="str">
        <f t="shared" si="227"/>
        <v/>
      </c>
      <c r="S79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3" s="307" t="str">
        <f t="shared" si="233"/>
        <v/>
      </c>
      <c r="U793" s="315" t="str">
        <f t="shared" si="234"/>
        <v/>
      </c>
      <c r="V793" s="307">
        <f t="shared" si="238"/>
        <v>0</v>
      </c>
      <c r="W793" s="307">
        <f>IFERROR(IF(V793&gt;0,PROPER(Terbilang1(V793)&amp;" Rupiah"),0),"")</f>
        <v>0</v>
      </c>
      <c r="X793" s="90" t="str">
        <f t="shared" si="239"/>
        <v/>
      </c>
      <c r="Y793" s="307" t="str">
        <f t="shared" si="240"/>
        <v/>
      </c>
      <c r="Z793" s="307">
        <f t="shared" si="235"/>
        <v>0</v>
      </c>
      <c r="AA793" s="366">
        <f t="shared" si="236"/>
        <v>0</v>
      </c>
      <c r="AB793" s="367">
        <f t="shared" si="241"/>
        <v>0</v>
      </c>
      <c r="AC793" s="305">
        <f t="shared" si="242"/>
        <v>0</v>
      </c>
      <c r="AP793" s="89" t="str">
        <f t="shared" si="230"/>
        <v/>
      </c>
      <c r="AQ793" s="89" t="str">
        <f t="shared" si="228"/>
        <v/>
      </c>
      <c r="AR793" s="315" t="str">
        <f t="shared" si="229"/>
        <v/>
      </c>
      <c r="AS793" s="305" t="str">
        <f t="shared" si="243"/>
        <v>0</v>
      </c>
      <c r="AT793" s="307">
        <f>Table22[[#This Row],[Column1]]</f>
        <v>0</v>
      </c>
    </row>
    <row r="794" spans="1:46" x14ac:dyDescent="0.3">
      <c r="A794" s="307">
        <f t="shared" si="237"/>
        <v>0</v>
      </c>
      <c r="B794" s="307">
        <f t="shared" si="226"/>
        <v>0</v>
      </c>
      <c r="C794" s="308" t="s">
        <v>563</v>
      </c>
      <c r="D794" s="309" t="s">
        <v>563</v>
      </c>
      <c r="E794" s="310">
        <v>0</v>
      </c>
      <c r="F794" s="310">
        <v>0</v>
      </c>
      <c r="G794" s="311">
        <v>0</v>
      </c>
      <c r="H794" s="310" t="s">
        <v>563</v>
      </c>
      <c r="I794" s="310" t="s">
        <v>563</v>
      </c>
      <c r="J794" s="310" t="s">
        <v>563</v>
      </c>
      <c r="K794" s="312">
        <v>0</v>
      </c>
      <c r="L794" s="310">
        <v>0</v>
      </c>
      <c r="M794" s="310">
        <v>0</v>
      </c>
      <c r="N794" s="313">
        <v>0</v>
      </c>
      <c r="O794" s="314" t="s">
        <v>563</v>
      </c>
      <c r="P794" s="307">
        <f t="shared" si="231"/>
        <v>0</v>
      </c>
      <c r="R794" s="91" t="str">
        <f t="shared" si="227"/>
        <v/>
      </c>
      <c r="S79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4" s="307" t="str">
        <f t="shared" si="233"/>
        <v/>
      </c>
      <c r="U794" s="315" t="str">
        <f t="shared" si="234"/>
        <v/>
      </c>
      <c r="V794" s="307">
        <f t="shared" si="238"/>
        <v>0</v>
      </c>
      <c r="W794" s="307">
        <f>IFERROR(IF(V794&gt;0,PROPER(Terbilang1(V794)&amp;" Rupiah"),0),"")</f>
        <v>0</v>
      </c>
      <c r="X794" s="90" t="str">
        <f t="shared" si="239"/>
        <v/>
      </c>
      <c r="Y794" s="307" t="str">
        <f t="shared" si="240"/>
        <v/>
      </c>
      <c r="Z794" s="307">
        <f t="shared" si="235"/>
        <v>0</v>
      </c>
      <c r="AA794" s="366">
        <f t="shared" si="236"/>
        <v>0</v>
      </c>
      <c r="AB794" s="367">
        <f t="shared" si="241"/>
        <v>0</v>
      </c>
      <c r="AC794" s="305">
        <f t="shared" si="242"/>
        <v>0</v>
      </c>
      <c r="AP794" s="89" t="str">
        <f t="shared" si="230"/>
        <v/>
      </c>
      <c r="AQ794" s="89" t="str">
        <f t="shared" si="228"/>
        <v/>
      </c>
      <c r="AR794" s="315" t="str">
        <f t="shared" si="229"/>
        <v/>
      </c>
      <c r="AS794" s="305" t="str">
        <f t="shared" si="243"/>
        <v>0</v>
      </c>
      <c r="AT794" s="307">
        <f>Table22[[#This Row],[Column1]]</f>
        <v>0</v>
      </c>
    </row>
    <row r="795" spans="1:46" x14ac:dyDescent="0.3">
      <c r="A795" s="307">
        <f t="shared" si="237"/>
        <v>0</v>
      </c>
      <c r="B795" s="307">
        <f t="shared" si="226"/>
        <v>0</v>
      </c>
      <c r="C795" s="308" t="s">
        <v>563</v>
      </c>
      <c r="D795" s="309" t="s">
        <v>563</v>
      </c>
      <c r="E795" s="310">
        <v>0</v>
      </c>
      <c r="F795" s="310">
        <v>0</v>
      </c>
      <c r="G795" s="311">
        <v>0</v>
      </c>
      <c r="H795" s="310" t="s">
        <v>563</v>
      </c>
      <c r="I795" s="310" t="s">
        <v>563</v>
      </c>
      <c r="J795" s="310" t="s">
        <v>563</v>
      </c>
      <c r="K795" s="312">
        <v>0</v>
      </c>
      <c r="L795" s="310">
        <v>0</v>
      </c>
      <c r="M795" s="310">
        <v>0</v>
      </c>
      <c r="N795" s="313">
        <v>0</v>
      </c>
      <c r="O795" s="314" t="s">
        <v>563</v>
      </c>
      <c r="P795" s="307">
        <f t="shared" si="231"/>
        <v>0</v>
      </c>
      <c r="R795" s="91" t="str">
        <f t="shared" si="227"/>
        <v/>
      </c>
      <c r="S79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5" s="307" t="str">
        <f t="shared" si="233"/>
        <v/>
      </c>
      <c r="U795" s="315" t="str">
        <f t="shared" si="234"/>
        <v/>
      </c>
      <c r="V795" s="307">
        <f t="shared" si="238"/>
        <v>0</v>
      </c>
      <c r="W795" s="307">
        <f>IFERROR(IF(V795&gt;0,PROPER(Terbilang1(V795)&amp;" Rupiah"),0),"")</f>
        <v>0</v>
      </c>
      <c r="X795" s="90" t="str">
        <f t="shared" si="239"/>
        <v/>
      </c>
      <c r="Y795" s="307" t="str">
        <f t="shared" si="240"/>
        <v/>
      </c>
      <c r="Z795" s="307">
        <f t="shared" si="235"/>
        <v>0</v>
      </c>
      <c r="AA795" s="366">
        <f t="shared" si="236"/>
        <v>0</v>
      </c>
      <c r="AB795" s="367">
        <f t="shared" si="241"/>
        <v>0</v>
      </c>
      <c r="AC795" s="305">
        <f t="shared" si="242"/>
        <v>0</v>
      </c>
      <c r="AP795" s="89" t="str">
        <f t="shared" si="230"/>
        <v/>
      </c>
      <c r="AQ795" s="89" t="str">
        <f t="shared" si="228"/>
        <v/>
      </c>
      <c r="AR795" s="315" t="str">
        <f t="shared" si="229"/>
        <v/>
      </c>
      <c r="AS795" s="305" t="str">
        <f t="shared" si="243"/>
        <v>0</v>
      </c>
      <c r="AT795" s="307">
        <f>Table22[[#This Row],[Column1]]</f>
        <v>0</v>
      </c>
    </row>
    <row r="796" spans="1:46" x14ac:dyDescent="0.3">
      <c r="A796" s="307">
        <f t="shared" si="237"/>
        <v>0</v>
      </c>
      <c r="B796" s="307">
        <f t="shared" si="226"/>
        <v>0</v>
      </c>
      <c r="C796" s="308" t="s">
        <v>563</v>
      </c>
      <c r="D796" s="309" t="s">
        <v>563</v>
      </c>
      <c r="E796" s="310">
        <v>0</v>
      </c>
      <c r="F796" s="310">
        <v>0</v>
      </c>
      <c r="G796" s="311">
        <v>0</v>
      </c>
      <c r="H796" s="310" t="s">
        <v>563</v>
      </c>
      <c r="I796" s="310" t="s">
        <v>563</v>
      </c>
      <c r="J796" s="310" t="s">
        <v>563</v>
      </c>
      <c r="K796" s="312">
        <v>0</v>
      </c>
      <c r="L796" s="310">
        <v>0</v>
      </c>
      <c r="M796" s="310">
        <v>0</v>
      </c>
      <c r="N796" s="313">
        <v>0</v>
      </c>
      <c r="O796" s="314" t="s">
        <v>563</v>
      </c>
      <c r="P796" s="307">
        <f t="shared" si="231"/>
        <v>0</v>
      </c>
      <c r="R796" s="91" t="str">
        <f t="shared" si="227"/>
        <v/>
      </c>
      <c r="S79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6" s="307" t="str">
        <f t="shared" si="233"/>
        <v/>
      </c>
      <c r="U796" s="315" t="str">
        <f t="shared" si="234"/>
        <v/>
      </c>
      <c r="V796" s="307">
        <f t="shared" si="238"/>
        <v>0</v>
      </c>
      <c r="W796" s="307">
        <f>IFERROR(IF(V796&gt;0,PROPER(Terbilang1(V796)&amp;" Rupiah"),0),"")</f>
        <v>0</v>
      </c>
      <c r="X796" s="90" t="str">
        <f t="shared" si="239"/>
        <v/>
      </c>
      <c r="Y796" s="307" t="str">
        <f t="shared" si="240"/>
        <v/>
      </c>
      <c r="Z796" s="307">
        <f t="shared" si="235"/>
        <v>0</v>
      </c>
      <c r="AA796" s="366">
        <f t="shared" si="236"/>
        <v>0</v>
      </c>
      <c r="AB796" s="367">
        <f t="shared" si="241"/>
        <v>0</v>
      </c>
      <c r="AC796" s="305">
        <f t="shared" si="242"/>
        <v>0</v>
      </c>
      <c r="AP796" s="89" t="str">
        <f t="shared" si="230"/>
        <v/>
      </c>
      <c r="AQ796" s="89" t="str">
        <f t="shared" si="228"/>
        <v/>
      </c>
      <c r="AR796" s="315" t="str">
        <f t="shared" si="229"/>
        <v/>
      </c>
      <c r="AS796" s="305" t="str">
        <f t="shared" si="243"/>
        <v>0</v>
      </c>
      <c r="AT796" s="307">
        <f>Table22[[#This Row],[Column1]]</f>
        <v>0</v>
      </c>
    </row>
    <row r="797" spans="1:46" x14ac:dyDescent="0.3">
      <c r="A797" s="307">
        <f t="shared" si="237"/>
        <v>0</v>
      </c>
      <c r="B797" s="307">
        <f t="shared" si="226"/>
        <v>0</v>
      </c>
      <c r="C797" s="308" t="s">
        <v>563</v>
      </c>
      <c r="D797" s="309" t="s">
        <v>563</v>
      </c>
      <c r="E797" s="310">
        <v>0</v>
      </c>
      <c r="F797" s="310">
        <v>0</v>
      </c>
      <c r="G797" s="311">
        <v>0</v>
      </c>
      <c r="H797" s="310" t="s">
        <v>563</v>
      </c>
      <c r="I797" s="310" t="s">
        <v>563</v>
      </c>
      <c r="J797" s="310" t="s">
        <v>563</v>
      </c>
      <c r="K797" s="312">
        <v>0</v>
      </c>
      <c r="L797" s="310">
        <v>0</v>
      </c>
      <c r="M797" s="310">
        <v>0</v>
      </c>
      <c r="N797" s="313">
        <v>0</v>
      </c>
      <c r="O797" s="314" t="s">
        <v>563</v>
      </c>
      <c r="P797" s="307">
        <f t="shared" si="231"/>
        <v>0</v>
      </c>
      <c r="R797" s="91" t="str">
        <f t="shared" si="227"/>
        <v/>
      </c>
      <c r="S79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7" s="307" t="str">
        <f t="shared" si="233"/>
        <v/>
      </c>
      <c r="U797" s="315" t="str">
        <f t="shared" si="234"/>
        <v/>
      </c>
      <c r="V797" s="307">
        <f t="shared" si="238"/>
        <v>0</v>
      </c>
      <c r="W797" s="307">
        <f>IFERROR(IF(V797&gt;0,PROPER(Terbilang1(V797)&amp;" Rupiah"),0),"")</f>
        <v>0</v>
      </c>
      <c r="X797" s="90" t="str">
        <f t="shared" si="239"/>
        <v/>
      </c>
      <c r="Y797" s="307" t="str">
        <f t="shared" si="240"/>
        <v/>
      </c>
      <c r="Z797" s="307">
        <f t="shared" si="235"/>
        <v>0</v>
      </c>
      <c r="AA797" s="366">
        <f t="shared" si="236"/>
        <v>0</v>
      </c>
      <c r="AB797" s="367">
        <f t="shared" si="241"/>
        <v>0</v>
      </c>
      <c r="AC797" s="305">
        <f t="shared" si="242"/>
        <v>0</v>
      </c>
      <c r="AP797" s="89" t="str">
        <f t="shared" si="230"/>
        <v/>
      </c>
      <c r="AQ797" s="89" t="str">
        <f t="shared" si="228"/>
        <v/>
      </c>
      <c r="AR797" s="315" t="str">
        <f t="shared" si="229"/>
        <v/>
      </c>
      <c r="AS797" s="305" t="str">
        <f t="shared" si="243"/>
        <v>0</v>
      </c>
      <c r="AT797" s="307">
        <f>Table22[[#This Row],[Column1]]</f>
        <v>0</v>
      </c>
    </row>
    <row r="798" spans="1:46" x14ac:dyDescent="0.3">
      <c r="A798" s="307">
        <f t="shared" si="237"/>
        <v>0</v>
      </c>
      <c r="B798" s="307">
        <f t="shared" si="226"/>
        <v>0</v>
      </c>
      <c r="C798" s="308" t="s">
        <v>563</v>
      </c>
      <c r="D798" s="309" t="s">
        <v>563</v>
      </c>
      <c r="E798" s="310">
        <v>0</v>
      </c>
      <c r="F798" s="310">
        <v>0</v>
      </c>
      <c r="G798" s="311">
        <v>0</v>
      </c>
      <c r="H798" s="310" t="s">
        <v>563</v>
      </c>
      <c r="I798" s="310" t="s">
        <v>563</v>
      </c>
      <c r="J798" s="310" t="s">
        <v>563</v>
      </c>
      <c r="K798" s="312">
        <v>0</v>
      </c>
      <c r="L798" s="310">
        <v>0</v>
      </c>
      <c r="M798" s="310">
        <v>0</v>
      </c>
      <c r="N798" s="313">
        <v>0</v>
      </c>
      <c r="O798" s="314" t="s">
        <v>563</v>
      </c>
      <c r="P798" s="307">
        <f t="shared" si="231"/>
        <v>0</v>
      </c>
      <c r="R798" s="91" t="str">
        <f t="shared" si="227"/>
        <v/>
      </c>
      <c r="S79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8" s="307" t="str">
        <f t="shared" si="233"/>
        <v/>
      </c>
      <c r="U798" s="315" t="str">
        <f t="shared" si="234"/>
        <v/>
      </c>
      <c r="V798" s="307">
        <f t="shared" si="238"/>
        <v>0</v>
      </c>
      <c r="W798" s="307">
        <f>IFERROR(IF(V798&gt;0,PROPER(Terbilang1(V798)&amp;" Rupiah"),0),"")</f>
        <v>0</v>
      </c>
      <c r="X798" s="90" t="str">
        <f t="shared" si="239"/>
        <v/>
      </c>
      <c r="Y798" s="307" t="str">
        <f t="shared" si="240"/>
        <v/>
      </c>
      <c r="Z798" s="307">
        <f t="shared" si="235"/>
        <v>0</v>
      </c>
      <c r="AA798" s="366">
        <f t="shared" si="236"/>
        <v>0</v>
      </c>
      <c r="AB798" s="367">
        <f t="shared" si="241"/>
        <v>0</v>
      </c>
      <c r="AC798" s="305">
        <f t="shared" si="242"/>
        <v>0</v>
      </c>
      <c r="AP798" s="89" t="str">
        <f t="shared" si="230"/>
        <v/>
      </c>
      <c r="AQ798" s="89" t="str">
        <f t="shared" si="228"/>
        <v/>
      </c>
      <c r="AR798" s="315" t="str">
        <f t="shared" si="229"/>
        <v/>
      </c>
      <c r="AS798" s="305" t="str">
        <f t="shared" si="243"/>
        <v>0</v>
      </c>
      <c r="AT798" s="307">
        <f>Table22[[#This Row],[Column1]]</f>
        <v>0</v>
      </c>
    </row>
    <row r="799" spans="1:46" x14ac:dyDescent="0.3">
      <c r="A799" s="307">
        <f t="shared" si="237"/>
        <v>0</v>
      </c>
      <c r="B799" s="307">
        <f t="shared" si="226"/>
        <v>0</v>
      </c>
      <c r="C799" s="308" t="s">
        <v>563</v>
      </c>
      <c r="D799" s="309" t="s">
        <v>563</v>
      </c>
      <c r="E799" s="310">
        <v>0</v>
      </c>
      <c r="F799" s="310">
        <v>0</v>
      </c>
      <c r="G799" s="311">
        <v>0</v>
      </c>
      <c r="H799" s="310" t="s">
        <v>563</v>
      </c>
      <c r="I799" s="310" t="s">
        <v>563</v>
      </c>
      <c r="J799" s="310" t="s">
        <v>563</v>
      </c>
      <c r="K799" s="312">
        <v>0</v>
      </c>
      <c r="L799" s="310">
        <v>0</v>
      </c>
      <c r="M799" s="310">
        <v>0</v>
      </c>
      <c r="N799" s="313">
        <v>0</v>
      </c>
      <c r="O799" s="314" t="s">
        <v>563</v>
      </c>
      <c r="P799" s="307">
        <f t="shared" si="231"/>
        <v>0</v>
      </c>
      <c r="R799" s="91" t="str">
        <f t="shared" si="227"/>
        <v/>
      </c>
      <c r="S79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799" s="307" t="str">
        <f t="shared" si="233"/>
        <v/>
      </c>
      <c r="U799" s="315" t="str">
        <f t="shared" si="234"/>
        <v/>
      </c>
      <c r="V799" s="307">
        <f t="shared" si="238"/>
        <v>0</v>
      </c>
      <c r="W799" s="307">
        <f>IFERROR(IF(V799&gt;0,PROPER(Terbilang1(V799)&amp;" Rupiah"),0),"")</f>
        <v>0</v>
      </c>
      <c r="X799" s="90" t="str">
        <f t="shared" si="239"/>
        <v/>
      </c>
      <c r="Y799" s="307" t="str">
        <f t="shared" si="240"/>
        <v/>
      </c>
      <c r="Z799" s="307">
        <f t="shared" si="235"/>
        <v>0</v>
      </c>
      <c r="AA799" s="366">
        <f t="shared" si="236"/>
        <v>0</v>
      </c>
      <c r="AB799" s="367">
        <f t="shared" si="241"/>
        <v>0</v>
      </c>
      <c r="AC799" s="305">
        <f t="shared" si="242"/>
        <v>0</v>
      </c>
      <c r="AP799" s="89" t="str">
        <f t="shared" si="230"/>
        <v/>
      </c>
      <c r="AQ799" s="89" t="str">
        <f t="shared" si="228"/>
        <v/>
      </c>
      <c r="AR799" s="315" t="str">
        <f t="shared" si="229"/>
        <v/>
      </c>
      <c r="AS799" s="305" t="str">
        <f t="shared" si="243"/>
        <v>0</v>
      </c>
      <c r="AT799" s="307">
        <f>Table22[[#This Row],[Column1]]</f>
        <v>0</v>
      </c>
    </row>
    <row r="800" spans="1:46" x14ac:dyDescent="0.3">
      <c r="A800" s="307">
        <f t="shared" si="237"/>
        <v>0</v>
      </c>
      <c r="B800" s="307">
        <f t="shared" si="226"/>
        <v>0</v>
      </c>
      <c r="C800" s="308" t="s">
        <v>563</v>
      </c>
      <c r="D800" s="309" t="s">
        <v>563</v>
      </c>
      <c r="E800" s="310">
        <v>0</v>
      </c>
      <c r="F800" s="310">
        <v>0</v>
      </c>
      <c r="G800" s="311">
        <v>0</v>
      </c>
      <c r="H800" s="310" t="s">
        <v>563</v>
      </c>
      <c r="I800" s="310" t="s">
        <v>563</v>
      </c>
      <c r="J800" s="310" t="s">
        <v>563</v>
      </c>
      <c r="K800" s="312">
        <v>0</v>
      </c>
      <c r="L800" s="310">
        <v>0</v>
      </c>
      <c r="M800" s="310">
        <v>0</v>
      </c>
      <c r="N800" s="313">
        <v>0</v>
      </c>
      <c r="O800" s="314" t="s">
        <v>563</v>
      </c>
      <c r="P800" s="307">
        <f t="shared" si="231"/>
        <v>0</v>
      </c>
      <c r="R800" s="91" t="str">
        <f t="shared" si="227"/>
        <v/>
      </c>
      <c r="S80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0" s="307" t="str">
        <f t="shared" si="233"/>
        <v/>
      </c>
      <c r="U800" s="315" t="str">
        <f t="shared" si="234"/>
        <v/>
      </c>
      <c r="V800" s="307">
        <f t="shared" si="238"/>
        <v>0</v>
      </c>
      <c r="W800" s="307">
        <f>IFERROR(IF(V800&gt;0,PROPER(Terbilang1(V800)&amp;" Rupiah"),0),"")</f>
        <v>0</v>
      </c>
      <c r="X800" s="90" t="str">
        <f t="shared" si="239"/>
        <v/>
      </c>
      <c r="Y800" s="307" t="str">
        <f t="shared" si="240"/>
        <v/>
      </c>
      <c r="Z800" s="307">
        <f t="shared" si="235"/>
        <v>0</v>
      </c>
      <c r="AA800" s="366">
        <f t="shared" si="236"/>
        <v>0</v>
      </c>
      <c r="AB800" s="367">
        <f t="shared" si="241"/>
        <v>0</v>
      </c>
      <c r="AC800" s="305">
        <f t="shared" si="242"/>
        <v>0</v>
      </c>
      <c r="AP800" s="89" t="str">
        <f t="shared" si="230"/>
        <v/>
      </c>
      <c r="AQ800" s="89" t="str">
        <f t="shared" si="228"/>
        <v/>
      </c>
      <c r="AR800" s="315" t="str">
        <f t="shared" si="229"/>
        <v/>
      </c>
      <c r="AS800" s="305" t="str">
        <f t="shared" si="243"/>
        <v>0</v>
      </c>
      <c r="AT800" s="307">
        <f>Table22[[#This Row],[Column1]]</f>
        <v>0</v>
      </c>
    </row>
    <row r="801" spans="1:46" x14ac:dyDescent="0.3">
      <c r="A801" s="307">
        <f t="shared" si="237"/>
        <v>0</v>
      </c>
      <c r="B801" s="307">
        <f t="shared" si="226"/>
        <v>0</v>
      </c>
      <c r="C801" s="308" t="s">
        <v>563</v>
      </c>
      <c r="D801" s="309" t="s">
        <v>563</v>
      </c>
      <c r="E801" s="310">
        <v>0</v>
      </c>
      <c r="F801" s="310">
        <v>0</v>
      </c>
      <c r="G801" s="311">
        <v>0</v>
      </c>
      <c r="H801" s="310" t="s">
        <v>563</v>
      </c>
      <c r="I801" s="310" t="s">
        <v>563</v>
      </c>
      <c r="J801" s="310" t="s">
        <v>563</v>
      </c>
      <c r="K801" s="312">
        <v>0</v>
      </c>
      <c r="L801" s="310">
        <v>0</v>
      </c>
      <c r="M801" s="310">
        <v>0</v>
      </c>
      <c r="N801" s="313">
        <v>0</v>
      </c>
      <c r="O801" s="314" t="s">
        <v>563</v>
      </c>
      <c r="P801" s="307">
        <f t="shared" si="231"/>
        <v>0</v>
      </c>
      <c r="R801" s="91" t="str">
        <f t="shared" si="227"/>
        <v/>
      </c>
      <c r="S80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1" s="307" t="str">
        <f t="shared" si="233"/>
        <v/>
      </c>
      <c r="U801" s="315" t="str">
        <f t="shared" si="234"/>
        <v/>
      </c>
      <c r="V801" s="307">
        <f t="shared" si="238"/>
        <v>0</v>
      </c>
      <c r="W801" s="307">
        <f>IFERROR(IF(V801&gt;0,PROPER(Terbilang1(V801)&amp;" Rupiah"),0),"")</f>
        <v>0</v>
      </c>
      <c r="X801" s="90" t="str">
        <f t="shared" si="239"/>
        <v/>
      </c>
      <c r="Y801" s="307" t="str">
        <f t="shared" si="240"/>
        <v/>
      </c>
      <c r="Z801" s="307">
        <f t="shared" si="235"/>
        <v>0</v>
      </c>
      <c r="AA801" s="366">
        <f t="shared" si="236"/>
        <v>0</v>
      </c>
      <c r="AB801" s="367">
        <f t="shared" si="241"/>
        <v>0</v>
      </c>
      <c r="AC801" s="305">
        <f t="shared" si="242"/>
        <v>0</v>
      </c>
      <c r="AP801" s="89" t="str">
        <f t="shared" si="230"/>
        <v/>
      </c>
      <c r="AQ801" s="89" t="str">
        <f t="shared" si="228"/>
        <v/>
      </c>
      <c r="AR801" s="315" t="str">
        <f t="shared" si="229"/>
        <v/>
      </c>
      <c r="AS801" s="305" t="str">
        <f t="shared" si="243"/>
        <v>0</v>
      </c>
      <c r="AT801" s="307">
        <f>Table22[[#This Row],[Column1]]</f>
        <v>0</v>
      </c>
    </row>
    <row r="802" spans="1:46" x14ac:dyDescent="0.3">
      <c r="A802" s="307">
        <f t="shared" si="237"/>
        <v>0</v>
      </c>
      <c r="B802" s="307">
        <f t="shared" si="226"/>
        <v>0</v>
      </c>
      <c r="C802" s="308" t="s">
        <v>563</v>
      </c>
      <c r="D802" s="309" t="s">
        <v>563</v>
      </c>
      <c r="E802" s="310">
        <v>0</v>
      </c>
      <c r="F802" s="310">
        <v>0</v>
      </c>
      <c r="G802" s="311">
        <v>0</v>
      </c>
      <c r="H802" s="310" t="s">
        <v>563</v>
      </c>
      <c r="I802" s="310" t="s">
        <v>563</v>
      </c>
      <c r="J802" s="310" t="s">
        <v>563</v>
      </c>
      <c r="K802" s="312">
        <v>0</v>
      </c>
      <c r="L802" s="310">
        <v>0</v>
      </c>
      <c r="M802" s="310">
        <v>0</v>
      </c>
      <c r="N802" s="313">
        <v>0</v>
      </c>
      <c r="O802" s="314" t="s">
        <v>563</v>
      </c>
      <c r="P802" s="307">
        <f t="shared" si="231"/>
        <v>0</v>
      </c>
      <c r="R802" s="91" t="str">
        <f t="shared" si="227"/>
        <v/>
      </c>
      <c r="S80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2" s="307" t="str">
        <f t="shared" si="233"/>
        <v/>
      </c>
      <c r="U802" s="315" t="str">
        <f t="shared" si="234"/>
        <v/>
      </c>
      <c r="V802" s="307">
        <f t="shared" si="238"/>
        <v>0</v>
      </c>
      <c r="W802" s="307">
        <f>IFERROR(IF(V802&gt;0,PROPER(Terbilang1(V802)&amp;" Rupiah"),0),"")</f>
        <v>0</v>
      </c>
      <c r="X802" s="90" t="str">
        <f t="shared" si="239"/>
        <v/>
      </c>
      <c r="Y802" s="307" t="str">
        <f t="shared" si="240"/>
        <v/>
      </c>
      <c r="Z802" s="307">
        <f t="shared" si="235"/>
        <v>0</v>
      </c>
      <c r="AA802" s="366">
        <f t="shared" si="236"/>
        <v>0</v>
      </c>
      <c r="AB802" s="367">
        <f t="shared" si="241"/>
        <v>0</v>
      </c>
      <c r="AC802" s="305">
        <f t="shared" si="242"/>
        <v>0</v>
      </c>
      <c r="AP802" s="89" t="str">
        <f t="shared" si="230"/>
        <v/>
      </c>
      <c r="AQ802" s="89" t="str">
        <f t="shared" si="228"/>
        <v/>
      </c>
      <c r="AR802" s="315" t="str">
        <f t="shared" si="229"/>
        <v/>
      </c>
      <c r="AS802" s="305" t="str">
        <f t="shared" si="243"/>
        <v>0</v>
      </c>
      <c r="AT802" s="307">
        <f>Table22[[#This Row],[Column1]]</f>
        <v>0</v>
      </c>
    </row>
    <row r="803" spans="1:46" x14ac:dyDescent="0.3">
      <c r="A803" s="307">
        <f t="shared" si="237"/>
        <v>0</v>
      </c>
      <c r="B803" s="307">
        <f t="shared" si="226"/>
        <v>0</v>
      </c>
      <c r="C803" s="308" t="s">
        <v>563</v>
      </c>
      <c r="D803" s="309" t="s">
        <v>563</v>
      </c>
      <c r="E803" s="310">
        <v>0</v>
      </c>
      <c r="F803" s="310">
        <v>0</v>
      </c>
      <c r="G803" s="311">
        <v>0</v>
      </c>
      <c r="H803" s="310" t="s">
        <v>563</v>
      </c>
      <c r="I803" s="310" t="s">
        <v>563</v>
      </c>
      <c r="J803" s="310" t="s">
        <v>563</v>
      </c>
      <c r="K803" s="312">
        <v>0</v>
      </c>
      <c r="L803" s="310">
        <v>0</v>
      </c>
      <c r="M803" s="310">
        <v>0</v>
      </c>
      <c r="N803" s="313">
        <v>0</v>
      </c>
      <c r="O803" s="314" t="s">
        <v>563</v>
      </c>
      <c r="P803" s="307">
        <f t="shared" si="231"/>
        <v>0</v>
      </c>
      <c r="R803" s="91" t="str">
        <f t="shared" si="227"/>
        <v/>
      </c>
      <c r="S80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3" s="307" t="str">
        <f t="shared" si="233"/>
        <v/>
      </c>
      <c r="U803" s="315" t="str">
        <f t="shared" si="234"/>
        <v/>
      </c>
      <c r="V803" s="307">
        <f t="shared" si="238"/>
        <v>0</v>
      </c>
      <c r="W803" s="307">
        <f>IFERROR(IF(V803&gt;0,PROPER(Terbilang1(V803)&amp;" Rupiah"),0),"")</f>
        <v>0</v>
      </c>
      <c r="X803" s="90" t="str">
        <f t="shared" si="239"/>
        <v/>
      </c>
      <c r="Y803" s="307" t="str">
        <f t="shared" si="240"/>
        <v/>
      </c>
      <c r="Z803" s="307">
        <f t="shared" si="235"/>
        <v>0</v>
      </c>
      <c r="AA803" s="366">
        <f t="shared" si="236"/>
        <v>0</v>
      </c>
      <c r="AB803" s="367">
        <f t="shared" si="241"/>
        <v>0</v>
      </c>
      <c r="AC803" s="305">
        <f t="shared" si="242"/>
        <v>0</v>
      </c>
      <c r="AP803" s="89" t="str">
        <f t="shared" si="230"/>
        <v/>
      </c>
      <c r="AQ803" s="89" t="str">
        <f t="shared" si="228"/>
        <v/>
      </c>
      <c r="AR803" s="315" t="str">
        <f t="shared" si="229"/>
        <v/>
      </c>
      <c r="AS803" s="305" t="str">
        <f t="shared" si="243"/>
        <v>0</v>
      </c>
      <c r="AT803" s="307">
        <f>Table22[[#This Row],[Column1]]</f>
        <v>0</v>
      </c>
    </row>
    <row r="804" spans="1:46" x14ac:dyDescent="0.3">
      <c r="A804" s="307">
        <f t="shared" si="237"/>
        <v>0</v>
      </c>
      <c r="B804" s="307">
        <f t="shared" si="226"/>
        <v>0</v>
      </c>
      <c r="C804" s="308" t="s">
        <v>563</v>
      </c>
      <c r="D804" s="309" t="s">
        <v>563</v>
      </c>
      <c r="E804" s="310">
        <v>0</v>
      </c>
      <c r="F804" s="310">
        <v>0</v>
      </c>
      <c r="G804" s="311">
        <v>0</v>
      </c>
      <c r="H804" s="310" t="s">
        <v>563</v>
      </c>
      <c r="I804" s="310" t="s">
        <v>563</v>
      </c>
      <c r="J804" s="310" t="s">
        <v>563</v>
      </c>
      <c r="K804" s="312">
        <v>0</v>
      </c>
      <c r="L804" s="310">
        <v>0</v>
      </c>
      <c r="M804" s="310">
        <v>0</v>
      </c>
      <c r="N804" s="313">
        <v>0</v>
      </c>
      <c r="O804" s="314" t="s">
        <v>563</v>
      </c>
      <c r="P804" s="307">
        <f t="shared" si="231"/>
        <v>0</v>
      </c>
      <c r="R804" s="91" t="str">
        <f t="shared" si="227"/>
        <v/>
      </c>
      <c r="S80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4" s="307" t="str">
        <f t="shared" si="233"/>
        <v/>
      </c>
      <c r="U804" s="315" t="str">
        <f t="shared" si="234"/>
        <v/>
      </c>
      <c r="V804" s="307">
        <f t="shared" si="238"/>
        <v>0</v>
      </c>
      <c r="W804" s="307">
        <f>IFERROR(IF(V804&gt;0,PROPER(Terbilang1(V804)&amp;" Rupiah"),0),"")</f>
        <v>0</v>
      </c>
      <c r="X804" s="90" t="str">
        <f t="shared" si="239"/>
        <v/>
      </c>
      <c r="Y804" s="307" t="str">
        <f t="shared" si="240"/>
        <v/>
      </c>
      <c r="Z804" s="307">
        <f t="shared" si="235"/>
        <v>0</v>
      </c>
      <c r="AA804" s="366">
        <f t="shared" si="236"/>
        <v>0</v>
      </c>
      <c r="AB804" s="367">
        <f t="shared" si="241"/>
        <v>0</v>
      </c>
      <c r="AC804" s="305">
        <f t="shared" si="242"/>
        <v>0</v>
      </c>
      <c r="AP804" s="89" t="str">
        <f t="shared" si="230"/>
        <v/>
      </c>
      <c r="AQ804" s="89" t="str">
        <f t="shared" si="228"/>
        <v/>
      </c>
      <c r="AR804" s="315" t="str">
        <f t="shared" si="229"/>
        <v/>
      </c>
      <c r="AS804" s="305" t="str">
        <f t="shared" si="243"/>
        <v>0</v>
      </c>
      <c r="AT804" s="307">
        <f>Table22[[#This Row],[Column1]]</f>
        <v>0</v>
      </c>
    </row>
    <row r="805" spans="1:46" x14ac:dyDescent="0.3">
      <c r="A805" s="307">
        <f t="shared" si="237"/>
        <v>0</v>
      </c>
      <c r="B805" s="307">
        <f t="shared" ref="B805:B868" si="244">IF(LEFT(F805,2)="MA","Jasa",IF(LEFT(F805,1)="G","Bayar Ongkos",IF(LEFT(F805,1)="M","Beli",0)))</f>
        <v>0</v>
      </c>
      <c r="C805" s="308" t="s">
        <v>563</v>
      </c>
      <c r="D805" s="309" t="s">
        <v>563</v>
      </c>
      <c r="E805" s="310">
        <v>0</v>
      </c>
      <c r="F805" s="310">
        <v>0</v>
      </c>
      <c r="G805" s="311">
        <v>0</v>
      </c>
      <c r="H805" s="310" t="s">
        <v>563</v>
      </c>
      <c r="I805" s="310" t="s">
        <v>563</v>
      </c>
      <c r="J805" s="310" t="s">
        <v>563</v>
      </c>
      <c r="K805" s="312">
        <v>0</v>
      </c>
      <c r="L805" s="310">
        <v>0</v>
      </c>
      <c r="M805" s="310">
        <v>0</v>
      </c>
      <c r="N805" s="313">
        <v>0</v>
      </c>
      <c r="O805" s="314" t="s">
        <v>563</v>
      </c>
      <c r="P805" s="307">
        <f t="shared" si="231"/>
        <v>0</v>
      </c>
      <c r="R805" s="91" t="str">
        <f t="shared" ref="R805:R868" si="245">IF(LEFT(F805,2)="ma",F805,IF(LEFT(F805,1)="m",E805,IF(LEFT(F805,1)="b",E805,IF(LEFT(F805,1)="G",F805,""))))</f>
        <v/>
      </c>
      <c r="S80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5" s="307" t="str">
        <f t="shared" si="233"/>
        <v/>
      </c>
      <c r="U805" s="315" t="str">
        <f t="shared" si="234"/>
        <v/>
      </c>
      <c r="V805" s="307">
        <f t="shared" si="238"/>
        <v>0</v>
      </c>
      <c r="W805" s="307">
        <f>IFERROR(IF(V805&gt;0,PROPER(Terbilang1(V805)&amp;" Rupiah"),0),"")</f>
        <v>0</v>
      </c>
      <c r="X805" s="90" t="str">
        <f t="shared" si="239"/>
        <v/>
      </c>
      <c r="Y805" s="307" t="str">
        <f t="shared" si="240"/>
        <v/>
      </c>
      <c r="Z805" s="307">
        <f t="shared" si="235"/>
        <v>0</v>
      </c>
      <c r="AA805" s="366">
        <f t="shared" si="236"/>
        <v>0</v>
      </c>
      <c r="AB805" s="367">
        <f t="shared" si="241"/>
        <v>0</v>
      </c>
      <c r="AC805" s="305">
        <f t="shared" si="242"/>
        <v>0</v>
      </c>
      <c r="AP805" s="89" t="str">
        <f t="shared" si="230"/>
        <v/>
      </c>
      <c r="AQ805" s="89" t="str">
        <f t="shared" si="228"/>
        <v/>
      </c>
      <c r="AR805" s="315" t="str">
        <f t="shared" si="229"/>
        <v/>
      </c>
      <c r="AS805" s="305" t="str">
        <f t="shared" si="243"/>
        <v>0</v>
      </c>
      <c r="AT805" s="307">
        <f>Table22[[#This Row],[Column1]]</f>
        <v>0</v>
      </c>
    </row>
    <row r="806" spans="1:46" x14ac:dyDescent="0.3">
      <c r="A806" s="307">
        <f t="shared" si="237"/>
        <v>0</v>
      </c>
      <c r="B806" s="307">
        <f t="shared" si="244"/>
        <v>0</v>
      </c>
      <c r="C806" s="308" t="s">
        <v>563</v>
      </c>
      <c r="D806" s="309" t="s">
        <v>563</v>
      </c>
      <c r="E806" s="310">
        <v>0</v>
      </c>
      <c r="F806" s="310">
        <v>0</v>
      </c>
      <c r="G806" s="311">
        <v>0</v>
      </c>
      <c r="H806" s="310" t="s">
        <v>563</v>
      </c>
      <c r="I806" s="310" t="s">
        <v>563</v>
      </c>
      <c r="J806" s="310" t="s">
        <v>563</v>
      </c>
      <c r="K806" s="312">
        <v>0</v>
      </c>
      <c r="L806" s="310">
        <v>0</v>
      </c>
      <c r="M806" s="310">
        <v>0</v>
      </c>
      <c r="N806" s="313">
        <v>0</v>
      </c>
      <c r="O806" s="314" t="s">
        <v>563</v>
      </c>
      <c r="P806" s="307">
        <f t="shared" si="231"/>
        <v>0</v>
      </c>
      <c r="R806" s="91" t="str">
        <f t="shared" si="245"/>
        <v/>
      </c>
      <c r="S80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6" s="307" t="str">
        <f t="shared" si="233"/>
        <v/>
      </c>
      <c r="U806" s="315" t="str">
        <f t="shared" si="234"/>
        <v/>
      </c>
      <c r="V806" s="307">
        <f t="shared" si="238"/>
        <v>0</v>
      </c>
      <c r="W806" s="307">
        <f>IFERROR(IF(V806&gt;0,PROPER(Terbilang1(V806)&amp;" Rupiah"),0),"")</f>
        <v>0</v>
      </c>
      <c r="X806" s="90" t="str">
        <f t="shared" si="239"/>
        <v/>
      </c>
      <c r="Y806" s="307" t="str">
        <f t="shared" si="240"/>
        <v/>
      </c>
      <c r="Z806" s="307">
        <f t="shared" si="235"/>
        <v>0</v>
      </c>
      <c r="AA806" s="366">
        <f t="shared" si="236"/>
        <v>0</v>
      </c>
      <c r="AB806" s="367">
        <f t="shared" si="241"/>
        <v>0</v>
      </c>
      <c r="AC806" s="305">
        <f t="shared" si="242"/>
        <v>0</v>
      </c>
      <c r="AP806" s="89" t="str">
        <f t="shared" si="230"/>
        <v/>
      </c>
      <c r="AQ806" s="89" t="str">
        <f t="shared" si="228"/>
        <v/>
      </c>
      <c r="AR806" s="315" t="str">
        <f t="shared" si="229"/>
        <v/>
      </c>
      <c r="AS806" s="305" t="str">
        <f t="shared" si="243"/>
        <v>0</v>
      </c>
      <c r="AT806" s="307">
        <f>Table22[[#This Row],[Column1]]</f>
        <v>0</v>
      </c>
    </row>
    <row r="807" spans="1:46" x14ac:dyDescent="0.3">
      <c r="A807" s="307">
        <f t="shared" si="237"/>
        <v>0</v>
      </c>
      <c r="B807" s="307">
        <f t="shared" si="244"/>
        <v>0</v>
      </c>
      <c r="C807" s="308" t="s">
        <v>563</v>
      </c>
      <c r="D807" s="309" t="s">
        <v>563</v>
      </c>
      <c r="E807" s="310">
        <v>0</v>
      </c>
      <c r="F807" s="310">
        <v>0</v>
      </c>
      <c r="G807" s="311">
        <v>0</v>
      </c>
      <c r="H807" s="310" t="s">
        <v>563</v>
      </c>
      <c r="I807" s="310" t="s">
        <v>563</v>
      </c>
      <c r="J807" s="310" t="s">
        <v>563</v>
      </c>
      <c r="K807" s="312">
        <v>0</v>
      </c>
      <c r="L807" s="310">
        <v>0</v>
      </c>
      <c r="M807" s="310">
        <v>0</v>
      </c>
      <c r="N807" s="313">
        <v>0</v>
      </c>
      <c r="O807" s="314" t="s">
        <v>563</v>
      </c>
      <c r="P807" s="307">
        <f t="shared" si="231"/>
        <v>0</v>
      </c>
      <c r="R807" s="91" t="str">
        <f t="shared" si="245"/>
        <v/>
      </c>
      <c r="S80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7" s="307" t="str">
        <f t="shared" si="233"/>
        <v/>
      </c>
      <c r="U807" s="315" t="str">
        <f t="shared" si="234"/>
        <v/>
      </c>
      <c r="V807" s="307">
        <f t="shared" si="238"/>
        <v>0</v>
      </c>
      <c r="W807" s="307">
        <f>IFERROR(IF(V807&gt;0,PROPER(Terbilang1(V807)&amp;" Rupiah"),0),"")</f>
        <v>0</v>
      </c>
      <c r="X807" s="90" t="str">
        <f t="shared" si="239"/>
        <v/>
      </c>
      <c r="Y807" s="307" t="str">
        <f t="shared" si="240"/>
        <v/>
      </c>
      <c r="Z807" s="307">
        <f t="shared" si="235"/>
        <v>0</v>
      </c>
      <c r="AA807" s="366">
        <f t="shared" si="236"/>
        <v>0</v>
      </c>
      <c r="AB807" s="367">
        <f t="shared" si="241"/>
        <v>0</v>
      </c>
      <c r="AC807" s="305">
        <f t="shared" si="242"/>
        <v>0</v>
      </c>
      <c r="AP807" s="89" t="str">
        <f t="shared" si="230"/>
        <v/>
      </c>
      <c r="AQ807" s="89" t="str">
        <f t="shared" si="228"/>
        <v/>
      </c>
      <c r="AR807" s="315" t="str">
        <f t="shared" si="229"/>
        <v/>
      </c>
      <c r="AS807" s="305" t="str">
        <f t="shared" si="243"/>
        <v>0</v>
      </c>
      <c r="AT807" s="307">
        <f>Table22[[#This Row],[Column1]]</f>
        <v>0</v>
      </c>
    </row>
    <row r="808" spans="1:46" x14ac:dyDescent="0.3">
      <c r="A808" s="307">
        <f t="shared" si="237"/>
        <v>0</v>
      </c>
      <c r="B808" s="307">
        <f t="shared" si="244"/>
        <v>0</v>
      </c>
      <c r="C808" s="308" t="s">
        <v>563</v>
      </c>
      <c r="D808" s="309" t="s">
        <v>563</v>
      </c>
      <c r="E808" s="310">
        <v>0</v>
      </c>
      <c r="F808" s="310">
        <v>0</v>
      </c>
      <c r="G808" s="311">
        <v>0</v>
      </c>
      <c r="H808" s="310" t="s">
        <v>563</v>
      </c>
      <c r="I808" s="310" t="s">
        <v>563</v>
      </c>
      <c r="J808" s="310" t="s">
        <v>563</v>
      </c>
      <c r="K808" s="312">
        <v>0</v>
      </c>
      <c r="L808" s="310">
        <v>0</v>
      </c>
      <c r="M808" s="310">
        <v>0</v>
      </c>
      <c r="N808" s="313">
        <v>0</v>
      </c>
      <c r="O808" s="314" t="s">
        <v>563</v>
      </c>
      <c r="P808" s="307">
        <f t="shared" si="231"/>
        <v>0</v>
      </c>
      <c r="R808" s="91" t="str">
        <f t="shared" si="245"/>
        <v/>
      </c>
      <c r="S80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8" s="307" t="str">
        <f t="shared" si="233"/>
        <v/>
      </c>
      <c r="U808" s="315" t="str">
        <f t="shared" si="234"/>
        <v/>
      </c>
      <c r="V808" s="307">
        <f t="shared" si="238"/>
        <v>0</v>
      </c>
      <c r="W808" s="307">
        <f>IFERROR(IF(V808&gt;0,PROPER(Terbilang1(V808)&amp;" Rupiah"),0),"")</f>
        <v>0</v>
      </c>
      <c r="X808" s="90" t="str">
        <f t="shared" si="239"/>
        <v/>
      </c>
      <c r="Y808" s="307" t="str">
        <f t="shared" si="240"/>
        <v/>
      </c>
      <c r="Z808" s="307">
        <f t="shared" si="235"/>
        <v>0</v>
      </c>
      <c r="AA808" s="366">
        <f t="shared" si="236"/>
        <v>0</v>
      </c>
      <c r="AB808" s="367">
        <f t="shared" si="241"/>
        <v>0</v>
      </c>
      <c r="AC808" s="305">
        <f t="shared" si="242"/>
        <v>0</v>
      </c>
      <c r="AP808" s="89" t="str">
        <f t="shared" si="230"/>
        <v/>
      </c>
      <c r="AQ808" s="89" t="str">
        <f t="shared" ref="AQ808:AQ871" si="246">TEXT(AR808,"MM")</f>
        <v/>
      </c>
      <c r="AR808" s="315" t="str">
        <f t="shared" si="229"/>
        <v/>
      </c>
      <c r="AS808" s="305" t="str">
        <f t="shared" si="243"/>
        <v>0</v>
      </c>
      <c r="AT808" s="307">
        <f>Table22[[#This Row],[Column1]]</f>
        <v>0</v>
      </c>
    </row>
    <row r="809" spans="1:46" x14ac:dyDescent="0.3">
      <c r="A809" s="307">
        <f t="shared" si="237"/>
        <v>0</v>
      </c>
      <c r="B809" s="307">
        <f t="shared" si="244"/>
        <v>0</v>
      </c>
      <c r="C809" s="308" t="s">
        <v>563</v>
      </c>
      <c r="D809" s="309" t="s">
        <v>563</v>
      </c>
      <c r="E809" s="310">
        <v>0</v>
      </c>
      <c r="F809" s="310">
        <v>0</v>
      </c>
      <c r="G809" s="311">
        <v>0</v>
      </c>
      <c r="H809" s="310" t="s">
        <v>563</v>
      </c>
      <c r="I809" s="310" t="s">
        <v>563</v>
      </c>
      <c r="J809" s="310" t="s">
        <v>563</v>
      </c>
      <c r="K809" s="312">
        <v>0</v>
      </c>
      <c r="L809" s="310">
        <v>0</v>
      </c>
      <c r="M809" s="310">
        <v>0</v>
      </c>
      <c r="N809" s="313">
        <v>0</v>
      </c>
      <c r="O809" s="314" t="s">
        <v>563</v>
      </c>
      <c r="P809" s="307">
        <f t="shared" si="231"/>
        <v>0</v>
      </c>
      <c r="R809" s="91" t="str">
        <f t="shared" si="245"/>
        <v/>
      </c>
      <c r="S80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09" s="307" t="str">
        <f t="shared" si="233"/>
        <v/>
      </c>
      <c r="U809" s="315" t="str">
        <f t="shared" si="234"/>
        <v/>
      </c>
      <c r="V809" s="307">
        <f t="shared" si="238"/>
        <v>0</v>
      </c>
      <c r="W809" s="307">
        <f>IFERROR(IF(V809&gt;0,PROPER(Terbilang1(V809)&amp;" Rupiah"),0),"")</f>
        <v>0</v>
      </c>
      <c r="X809" s="90" t="str">
        <f t="shared" si="239"/>
        <v/>
      </c>
      <c r="Y809" s="307" t="str">
        <f t="shared" si="240"/>
        <v/>
      </c>
      <c r="Z809" s="307">
        <f t="shared" si="235"/>
        <v>0</v>
      </c>
      <c r="AA809" s="366">
        <f t="shared" si="236"/>
        <v>0</v>
      </c>
      <c r="AB809" s="367">
        <f t="shared" si="241"/>
        <v>0</v>
      </c>
      <c r="AC809" s="305">
        <f t="shared" si="242"/>
        <v>0</v>
      </c>
      <c r="AP809" s="89" t="str">
        <f t="shared" si="230"/>
        <v/>
      </c>
      <c r="AQ809" s="89" t="str">
        <f t="shared" si="246"/>
        <v/>
      </c>
      <c r="AR809" s="315" t="str">
        <f t="shared" si="229"/>
        <v/>
      </c>
      <c r="AS809" s="305" t="str">
        <f t="shared" si="243"/>
        <v>0</v>
      </c>
      <c r="AT809" s="307">
        <f>Table22[[#This Row],[Column1]]</f>
        <v>0</v>
      </c>
    </row>
    <row r="810" spans="1:46" x14ac:dyDescent="0.3">
      <c r="A810" s="307">
        <f t="shared" si="237"/>
        <v>0</v>
      </c>
      <c r="B810" s="307">
        <f t="shared" si="244"/>
        <v>0</v>
      </c>
      <c r="C810" s="308" t="s">
        <v>563</v>
      </c>
      <c r="D810" s="309" t="s">
        <v>563</v>
      </c>
      <c r="E810" s="310">
        <v>0</v>
      </c>
      <c r="F810" s="310">
        <v>0</v>
      </c>
      <c r="G810" s="311">
        <v>0</v>
      </c>
      <c r="H810" s="310" t="s">
        <v>563</v>
      </c>
      <c r="I810" s="310" t="s">
        <v>563</v>
      </c>
      <c r="J810" s="310" t="s">
        <v>563</v>
      </c>
      <c r="K810" s="312">
        <v>0</v>
      </c>
      <c r="L810" s="310">
        <v>0</v>
      </c>
      <c r="M810" s="310">
        <v>0</v>
      </c>
      <c r="N810" s="313">
        <v>0</v>
      </c>
      <c r="O810" s="314" t="s">
        <v>563</v>
      </c>
      <c r="P810" s="307">
        <f t="shared" si="231"/>
        <v>0</v>
      </c>
      <c r="R810" s="91" t="str">
        <f t="shared" si="245"/>
        <v/>
      </c>
      <c r="S81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0" s="307" t="str">
        <f t="shared" si="233"/>
        <v/>
      </c>
      <c r="U810" s="315" t="str">
        <f t="shared" si="234"/>
        <v/>
      </c>
      <c r="V810" s="307">
        <f t="shared" si="238"/>
        <v>0</v>
      </c>
      <c r="W810" s="307">
        <f>IFERROR(IF(V810&gt;0,PROPER(Terbilang1(V810)&amp;" Rupiah"),0),"")</f>
        <v>0</v>
      </c>
      <c r="X810" s="90" t="str">
        <f t="shared" si="239"/>
        <v/>
      </c>
      <c r="Y810" s="307" t="str">
        <f t="shared" si="240"/>
        <v/>
      </c>
      <c r="Z810" s="307">
        <f t="shared" si="235"/>
        <v>0</v>
      </c>
      <c r="AA810" s="366">
        <f t="shared" si="236"/>
        <v>0</v>
      </c>
      <c r="AB810" s="367">
        <f t="shared" si="241"/>
        <v>0</v>
      </c>
      <c r="AC810" s="305">
        <f t="shared" si="242"/>
        <v>0</v>
      </c>
      <c r="AP810" s="89" t="str">
        <f t="shared" si="230"/>
        <v/>
      </c>
      <c r="AQ810" s="89" t="str">
        <f t="shared" si="246"/>
        <v/>
      </c>
      <c r="AR810" s="315" t="str">
        <f t="shared" si="229"/>
        <v/>
      </c>
      <c r="AS810" s="305" t="str">
        <f t="shared" si="243"/>
        <v>0</v>
      </c>
      <c r="AT810" s="307">
        <f>Table22[[#This Row],[Column1]]</f>
        <v>0</v>
      </c>
    </row>
    <row r="811" spans="1:46" x14ac:dyDescent="0.3">
      <c r="A811" s="307">
        <f t="shared" si="237"/>
        <v>0</v>
      </c>
      <c r="B811" s="307">
        <f t="shared" si="244"/>
        <v>0</v>
      </c>
      <c r="C811" s="308" t="s">
        <v>563</v>
      </c>
      <c r="D811" s="309" t="s">
        <v>563</v>
      </c>
      <c r="E811" s="310">
        <v>0</v>
      </c>
      <c r="F811" s="310">
        <v>0</v>
      </c>
      <c r="G811" s="311">
        <v>0</v>
      </c>
      <c r="H811" s="310" t="s">
        <v>563</v>
      </c>
      <c r="I811" s="310" t="s">
        <v>563</v>
      </c>
      <c r="J811" s="310" t="s">
        <v>563</v>
      </c>
      <c r="K811" s="312">
        <v>0</v>
      </c>
      <c r="L811" s="310">
        <v>0</v>
      </c>
      <c r="M811" s="310">
        <v>0</v>
      </c>
      <c r="N811" s="313">
        <v>0</v>
      </c>
      <c r="O811" s="314" t="s">
        <v>563</v>
      </c>
      <c r="P811" s="307">
        <f t="shared" si="231"/>
        <v>0</v>
      </c>
      <c r="R811" s="91" t="str">
        <f t="shared" si="245"/>
        <v/>
      </c>
      <c r="S81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1" s="307" t="str">
        <f t="shared" si="233"/>
        <v/>
      </c>
      <c r="U811" s="315" t="str">
        <f t="shared" si="234"/>
        <v/>
      </c>
      <c r="V811" s="307">
        <f t="shared" si="238"/>
        <v>0</v>
      </c>
      <c r="W811" s="307">
        <f>IFERROR(IF(V811&gt;0,PROPER(Terbilang1(V811)&amp;" Rupiah"),0),"")</f>
        <v>0</v>
      </c>
      <c r="X811" s="90" t="str">
        <f t="shared" si="239"/>
        <v/>
      </c>
      <c r="Y811" s="307" t="str">
        <f t="shared" si="240"/>
        <v/>
      </c>
      <c r="Z811" s="307">
        <f t="shared" si="235"/>
        <v>0</v>
      </c>
      <c r="AA811" s="366">
        <f t="shared" si="236"/>
        <v>0</v>
      </c>
      <c r="AB811" s="367">
        <f t="shared" si="241"/>
        <v>0</v>
      </c>
      <c r="AC811" s="305">
        <f t="shared" si="242"/>
        <v>0</v>
      </c>
      <c r="AP811" s="89" t="str">
        <f t="shared" si="230"/>
        <v/>
      </c>
      <c r="AQ811" s="89" t="str">
        <f t="shared" si="246"/>
        <v/>
      </c>
      <c r="AR811" s="315" t="str">
        <f t="shared" si="229"/>
        <v/>
      </c>
      <c r="AS811" s="305" t="str">
        <f t="shared" si="243"/>
        <v>0</v>
      </c>
      <c r="AT811" s="307">
        <f>Table22[[#This Row],[Column1]]</f>
        <v>0</v>
      </c>
    </row>
    <row r="812" spans="1:46" x14ac:dyDescent="0.3">
      <c r="A812" s="307">
        <f t="shared" si="237"/>
        <v>0</v>
      </c>
      <c r="B812" s="307">
        <f t="shared" si="244"/>
        <v>0</v>
      </c>
      <c r="C812" s="308" t="s">
        <v>563</v>
      </c>
      <c r="D812" s="309" t="s">
        <v>563</v>
      </c>
      <c r="E812" s="310">
        <v>0</v>
      </c>
      <c r="F812" s="310">
        <v>0</v>
      </c>
      <c r="G812" s="311">
        <v>0</v>
      </c>
      <c r="H812" s="310" t="s">
        <v>563</v>
      </c>
      <c r="I812" s="310" t="s">
        <v>563</v>
      </c>
      <c r="J812" s="310" t="s">
        <v>563</v>
      </c>
      <c r="K812" s="312">
        <v>0</v>
      </c>
      <c r="L812" s="310">
        <v>0</v>
      </c>
      <c r="M812" s="310">
        <v>0</v>
      </c>
      <c r="N812" s="313">
        <v>0</v>
      </c>
      <c r="O812" s="314" t="s">
        <v>563</v>
      </c>
      <c r="P812" s="307">
        <f t="shared" si="231"/>
        <v>0</v>
      </c>
      <c r="R812" s="91" t="str">
        <f t="shared" si="245"/>
        <v/>
      </c>
      <c r="S81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2" s="307" t="str">
        <f t="shared" si="233"/>
        <v/>
      </c>
      <c r="U812" s="315" t="str">
        <f t="shared" si="234"/>
        <v/>
      </c>
      <c r="V812" s="307">
        <f t="shared" si="238"/>
        <v>0</v>
      </c>
      <c r="W812" s="307">
        <f>IFERROR(IF(V812&gt;0,PROPER(Terbilang1(V812)&amp;" Rupiah"),0),"")</f>
        <v>0</v>
      </c>
      <c r="X812" s="90" t="str">
        <f t="shared" si="239"/>
        <v/>
      </c>
      <c r="Y812" s="307" t="str">
        <f t="shared" si="240"/>
        <v/>
      </c>
      <c r="Z812" s="307">
        <f t="shared" si="235"/>
        <v>0</v>
      </c>
      <c r="AA812" s="366">
        <f t="shared" si="236"/>
        <v>0</v>
      </c>
      <c r="AB812" s="367">
        <f t="shared" si="241"/>
        <v>0</v>
      </c>
      <c r="AC812" s="305">
        <f t="shared" si="242"/>
        <v>0</v>
      </c>
      <c r="AP812" s="89" t="str">
        <f t="shared" si="230"/>
        <v/>
      </c>
      <c r="AQ812" s="89" t="str">
        <f t="shared" si="246"/>
        <v/>
      </c>
      <c r="AR812" s="315" t="str">
        <f t="shared" si="229"/>
        <v/>
      </c>
      <c r="AS812" s="305" t="str">
        <f t="shared" si="243"/>
        <v>0</v>
      </c>
      <c r="AT812" s="307">
        <f>Table22[[#This Row],[Column1]]</f>
        <v>0</v>
      </c>
    </row>
    <row r="813" spans="1:46" x14ac:dyDescent="0.3">
      <c r="A813" s="307">
        <f t="shared" si="237"/>
        <v>0</v>
      </c>
      <c r="B813" s="307">
        <f t="shared" si="244"/>
        <v>0</v>
      </c>
      <c r="C813" s="308" t="s">
        <v>563</v>
      </c>
      <c r="D813" s="309" t="s">
        <v>563</v>
      </c>
      <c r="E813" s="310">
        <v>0</v>
      </c>
      <c r="F813" s="310">
        <v>0</v>
      </c>
      <c r="G813" s="311">
        <v>0</v>
      </c>
      <c r="H813" s="310" t="s">
        <v>563</v>
      </c>
      <c r="I813" s="310" t="s">
        <v>563</v>
      </c>
      <c r="J813" s="310" t="s">
        <v>563</v>
      </c>
      <c r="K813" s="312">
        <v>0</v>
      </c>
      <c r="L813" s="310">
        <v>0</v>
      </c>
      <c r="M813" s="310">
        <v>0</v>
      </c>
      <c r="N813" s="313">
        <v>0</v>
      </c>
      <c r="O813" s="314" t="s">
        <v>563</v>
      </c>
      <c r="P813" s="307">
        <f t="shared" si="231"/>
        <v>0</v>
      </c>
      <c r="R813" s="91" t="str">
        <f t="shared" si="245"/>
        <v/>
      </c>
      <c r="S81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3" s="307" t="str">
        <f t="shared" si="233"/>
        <v/>
      </c>
      <c r="U813" s="315" t="str">
        <f t="shared" si="234"/>
        <v/>
      </c>
      <c r="V813" s="307">
        <f t="shared" si="238"/>
        <v>0</v>
      </c>
      <c r="W813" s="307">
        <f>IFERROR(IF(V813&gt;0,PROPER(Terbilang1(V813)&amp;" Rupiah"),0),"")</f>
        <v>0</v>
      </c>
      <c r="X813" s="90" t="str">
        <f t="shared" si="239"/>
        <v/>
      </c>
      <c r="Y813" s="307" t="str">
        <f t="shared" si="240"/>
        <v/>
      </c>
      <c r="Z813" s="307">
        <f t="shared" si="235"/>
        <v>0</v>
      </c>
      <c r="AA813" s="366">
        <f t="shared" si="236"/>
        <v>0</v>
      </c>
      <c r="AB813" s="367">
        <f t="shared" si="241"/>
        <v>0</v>
      </c>
      <c r="AC813" s="305">
        <f t="shared" si="242"/>
        <v>0</v>
      </c>
      <c r="AP813" s="89" t="str">
        <f t="shared" si="230"/>
        <v/>
      </c>
      <c r="AQ813" s="89" t="str">
        <f t="shared" si="246"/>
        <v/>
      </c>
      <c r="AR813" s="315" t="str">
        <f t="shared" si="229"/>
        <v/>
      </c>
      <c r="AS813" s="305" t="str">
        <f t="shared" si="243"/>
        <v>0</v>
      </c>
      <c r="AT813" s="307">
        <f>Table22[[#This Row],[Column1]]</f>
        <v>0</v>
      </c>
    </row>
    <row r="814" spans="1:46" x14ac:dyDescent="0.3">
      <c r="A814" s="307">
        <f t="shared" si="237"/>
        <v>0</v>
      </c>
      <c r="B814" s="307">
        <f t="shared" si="244"/>
        <v>0</v>
      </c>
      <c r="C814" s="308" t="s">
        <v>563</v>
      </c>
      <c r="D814" s="309" t="s">
        <v>563</v>
      </c>
      <c r="E814" s="310">
        <v>0</v>
      </c>
      <c r="F814" s="310">
        <v>0</v>
      </c>
      <c r="G814" s="311">
        <v>0</v>
      </c>
      <c r="H814" s="310" t="s">
        <v>563</v>
      </c>
      <c r="I814" s="310" t="s">
        <v>563</v>
      </c>
      <c r="J814" s="310" t="s">
        <v>563</v>
      </c>
      <c r="K814" s="312">
        <v>0</v>
      </c>
      <c r="L814" s="310">
        <v>0</v>
      </c>
      <c r="M814" s="310">
        <v>0</v>
      </c>
      <c r="N814" s="313">
        <v>0</v>
      </c>
      <c r="O814" s="314" t="s">
        <v>563</v>
      </c>
      <c r="P814" s="307">
        <f t="shared" si="231"/>
        <v>0</v>
      </c>
      <c r="R814" s="91" t="str">
        <f t="shared" si="245"/>
        <v/>
      </c>
      <c r="S81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4" s="307" t="str">
        <f t="shared" si="233"/>
        <v/>
      </c>
      <c r="U814" s="315" t="str">
        <f t="shared" si="234"/>
        <v/>
      </c>
      <c r="V814" s="307">
        <f t="shared" si="238"/>
        <v>0</v>
      </c>
      <c r="W814" s="307">
        <f>IFERROR(IF(V814&gt;0,PROPER(Terbilang1(V814)&amp;" Rupiah"),0),"")</f>
        <v>0</v>
      </c>
      <c r="X814" s="90" t="str">
        <f t="shared" si="239"/>
        <v/>
      </c>
      <c r="Y814" s="307" t="str">
        <f t="shared" si="240"/>
        <v/>
      </c>
      <c r="Z814" s="307">
        <f t="shared" si="235"/>
        <v>0</v>
      </c>
      <c r="AA814" s="366">
        <f t="shared" si="236"/>
        <v>0</v>
      </c>
      <c r="AB814" s="367">
        <f t="shared" si="241"/>
        <v>0</v>
      </c>
      <c r="AC814" s="305">
        <f t="shared" si="242"/>
        <v>0</v>
      </c>
      <c r="AP814" s="89" t="str">
        <f t="shared" si="230"/>
        <v/>
      </c>
      <c r="AQ814" s="89" t="str">
        <f t="shared" si="246"/>
        <v/>
      </c>
      <c r="AR814" s="315" t="str">
        <f t="shared" si="229"/>
        <v/>
      </c>
      <c r="AS814" s="305" t="str">
        <f t="shared" si="243"/>
        <v>0</v>
      </c>
      <c r="AT814" s="307">
        <f>Table22[[#This Row],[Column1]]</f>
        <v>0</v>
      </c>
    </row>
    <row r="815" spans="1:46" x14ac:dyDescent="0.3">
      <c r="A815" s="307">
        <f t="shared" si="237"/>
        <v>0</v>
      </c>
      <c r="B815" s="307">
        <f t="shared" si="244"/>
        <v>0</v>
      </c>
      <c r="C815" s="308" t="s">
        <v>563</v>
      </c>
      <c r="D815" s="309" t="s">
        <v>563</v>
      </c>
      <c r="E815" s="310">
        <v>0</v>
      </c>
      <c r="F815" s="310">
        <v>0</v>
      </c>
      <c r="G815" s="311">
        <v>0</v>
      </c>
      <c r="H815" s="310" t="s">
        <v>563</v>
      </c>
      <c r="I815" s="310" t="s">
        <v>563</v>
      </c>
      <c r="J815" s="310" t="s">
        <v>563</v>
      </c>
      <c r="K815" s="312">
        <v>0</v>
      </c>
      <c r="L815" s="310">
        <v>0</v>
      </c>
      <c r="M815" s="310">
        <v>0</v>
      </c>
      <c r="N815" s="313">
        <v>0</v>
      </c>
      <c r="O815" s="314" t="s">
        <v>563</v>
      </c>
      <c r="P815" s="307">
        <f t="shared" si="231"/>
        <v>0</v>
      </c>
      <c r="R815" s="91" t="str">
        <f t="shared" si="245"/>
        <v/>
      </c>
      <c r="S81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5" s="307" t="str">
        <f t="shared" si="233"/>
        <v/>
      </c>
      <c r="U815" s="315" t="str">
        <f t="shared" si="234"/>
        <v/>
      </c>
      <c r="V815" s="307">
        <f t="shared" si="238"/>
        <v>0</v>
      </c>
      <c r="W815" s="307">
        <f>IFERROR(IF(V815&gt;0,PROPER(Terbilang1(V815)&amp;" Rupiah"),0),"")</f>
        <v>0</v>
      </c>
      <c r="X815" s="90" t="str">
        <f t="shared" si="239"/>
        <v/>
      </c>
      <c r="Y815" s="307" t="str">
        <f t="shared" si="240"/>
        <v/>
      </c>
      <c r="Z815" s="307">
        <f t="shared" si="235"/>
        <v>0</v>
      </c>
      <c r="AA815" s="366">
        <f t="shared" si="236"/>
        <v>0</v>
      </c>
      <c r="AB815" s="367">
        <f t="shared" si="241"/>
        <v>0</v>
      </c>
      <c r="AC815" s="305">
        <f t="shared" si="242"/>
        <v>0</v>
      </c>
      <c r="AP815" s="89" t="str">
        <f t="shared" si="230"/>
        <v/>
      </c>
      <c r="AQ815" s="89" t="str">
        <f t="shared" si="246"/>
        <v/>
      </c>
      <c r="AR815" s="315" t="str">
        <f t="shared" si="229"/>
        <v/>
      </c>
      <c r="AS815" s="305" t="str">
        <f t="shared" si="243"/>
        <v>0</v>
      </c>
      <c r="AT815" s="307">
        <f>Table22[[#This Row],[Column1]]</f>
        <v>0</v>
      </c>
    </row>
    <row r="816" spans="1:46" x14ac:dyDescent="0.3">
      <c r="A816" s="307">
        <f t="shared" si="237"/>
        <v>0</v>
      </c>
      <c r="B816" s="307">
        <f t="shared" si="244"/>
        <v>0</v>
      </c>
      <c r="C816" s="308" t="s">
        <v>563</v>
      </c>
      <c r="D816" s="309" t="s">
        <v>563</v>
      </c>
      <c r="E816" s="310">
        <v>0</v>
      </c>
      <c r="F816" s="310">
        <v>0</v>
      </c>
      <c r="G816" s="311">
        <v>0</v>
      </c>
      <c r="H816" s="310" t="s">
        <v>563</v>
      </c>
      <c r="I816" s="310" t="s">
        <v>563</v>
      </c>
      <c r="J816" s="310" t="s">
        <v>563</v>
      </c>
      <c r="K816" s="312">
        <v>0</v>
      </c>
      <c r="L816" s="310">
        <v>0</v>
      </c>
      <c r="M816" s="310">
        <v>0</v>
      </c>
      <c r="N816" s="313">
        <v>0</v>
      </c>
      <c r="O816" s="314" t="s">
        <v>563</v>
      </c>
      <c r="P816" s="307">
        <f t="shared" si="231"/>
        <v>0</v>
      </c>
      <c r="R816" s="91" t="str">
        <f t="shared" si="245"/>
        <v/>
      </c>
      <c r="S81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6" s="307" t="str">
        <f t="shared" si="233"/>
        <v/>
      </c>
      <c r="U816" s="315" t="str">
        <f t="shared" si="234"/>
        <v/>
      </c>
      <c r="V816" s="307">
        <f t="shared" si="238"/>
        <v>0</v>
      </c>
      <c r="W816" s="307">
        <f>IFERROR(IF(V816&gt;0,PROPER(Terbilang1(V816)&amp;" Rupiah"),0),"")</f>
        <v>0</v>
      </c>
      <c r="X816" s="90" t="str">
        <f t="shared" si="239"/>
        <v/>
      </c>
      <c r="Y816" s="307" t="str">
        <f t="shared" si="240"/>
        <v/>
      </c>
      <c r="Z816" s="307">
        <f t="shared" si="235"/>
        <v>0</v>
      </c>
      <c r="AA816" s="366">
        <f t="shared" si="236"/>
        <v>0</v>
      </c>
      <c r="AB816" s="367">
        <f t="shared" si="241"/>
        <v>0</v>
      </c>
      <c r="AC816" s="305">
        <f t="shared" si="242"/>
        <v>0</v>
      </c>
      <c r="AP816" s="89" t="str">
        <f t="shared" si="230"/>
        <v/>
      </c>
      <c r="AQ816" s="89" t="str">
        <f t="shared" si="246"/>
        <v/>
      </c>
      <c r="AR816" s="315" t="str">
        <f t="shared" si="229"/>
        <v/>
      </c>
      <c r="AS816" s="305" t="str">
        <f t="shared" si="243"/>
        <v>0</v>
      </c>
      <c r="AT816" s="307">
        <f>Table22[[#This Row],[Column1]]</f>
        <v>0</v>
      </c>
    </row>
    <row r="817" spans="1:46" x14ac:dyDescent="0.3">
      <c r="A817" s="307">
        <f t="shared" si="237"/>
        <v>0</v>
      </c>
      <c r="B817" s="307">
        <f t="shared" si="244"/>
        <v>0</v>
      </c>
      <c r="C817" s="308" t="s">
        <v>563</v>
      </c>
      <c r="D817" s="309" t="s">
        <v>563</v>
      </c>
      <c r="E817" s="310">
        <v>0</v>
      </c>
      <c r="F817" s="310">
        <v>0</v>
      </c>
      <c r="G817" s="311">
        <v>0</v>
      </c>
      <c r="H817" s="310" t="s">
        <v>563</v>
      </c>
      <c r="I817" s="310" t="s">
        <v>563</v>
      </c>
      <c r="J817" s="310" t="s">
        <v>563</v>
      </c>
      <c r="K817" s="312">
        <v>0</v>
      </c>
      <c r="L817" s="310">
        <v>0</v>
      </c>
      <c r="M817" s="310">
        <v>0</v>
      </c>
      <c r="N817" s="313">
        <v>0</v>
      </c>
      <c r="O817" s="314" t="s">
        <v>563</v>
      </c>
      <c r="P817" s="307">
        <f t="shared" si="231"/>
        <v>0</v>
      </c>
      <c r="R817" s="91" t="str">
        <f t="shared" si="245"/>
        <v/>
      </c>
      <c r="S81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7" s="307" t="str">
        <f t="shared" si="233"/>
        <v/>
      </c>
      <c r="U817" s="315" t="str">
        <f t="shared" si="234"/>
        <v/>
      </c>
      <c r="V817" s="307">
        <f t="shared" si="238"/>
        <v>0</v>
      </c>
      <c r="W817" s="307">
        <f>IFERROR(IF(V817&gt;0,PROPER(Terbilang1(V817)&amp;" Rupiah"),0),"")</f>
        <v>0</v>
      </c>
      <c r="X817" s="90" t="str">
        <f t="shared" si="239"/>
        <v/>
      </c>
      <c r="Y817" s="307" t="str">
        <f t="shared" si="240"/>
        <v/>
      </c>
      <c r="Z817" s="307">
        <f t="shared" si="235"/>
        <v>0</v>
      </c>
      <c r="AA817" s="366">
        <f t="shared" si="236"/>
        <v>0</v>
      </c>
      <c r="AB817" s="367">
        <f t="shared" si="241"/>
        <v>0</v>
      </c>
      <c r="AC817" s="305">
        <f t="shared" si="242"/>
        <v>0</v>
      </c>
      <c r="AP817" s="89" t="str">
        <f t="shared" si="230"/>
        <v/>
      </c>
      <c r="AQ817" s="89" t="str">
        <f t="shared" si="246"/>
        <v/>
      </c>
      <c r="AR817" s="315" t="str">
        <f t="shared" si="229"/>
        <v/>
      </c>
      <c r="AS817" s="305" t="str">
        <f t="shared" si="243"/>
        <v>0</v>
      </c>
      <c r="AT817" s="307">
        <f>Table22[[#This Row],[Column1]]</f>
        <v>0</v>
      </c>
    </row>
    <row r="818" spans="1:46" x14ac:dyDescent="0.3">
      <c r="A818" s="307">
        <f t="shared" si="237"/>
        <v>0</v>
      </c>
      <c r="B818" s="307">
        <f t="shared" si="244"/>
        <v>0</v>
      </c>
      <c r="C818" s="308" t="s">
        <v>563</v>
      </c>
      <c r="D818" s="309" t="s">
        <v>563</v>
      </c>
      <c r="E818" s="310">
        <v>0</v>
      </c>
      <c r="F818" s="310">
        <v>0</v>
      </c>
      <c r="G818" s="311">
        <v>0</v>
      </c>
      <c r="H818" s="310" t="s">
        <v>563</v>
      </c>
      <c r="I818" s="310" t="s">
        <v>563</v>
      </c>
      <c r="J818" s="310" t="s">
        <v>563</v>
      </c>
      <c r="K818" s="312">
        <v>0</v>
      </c>
      <c r="L818" s="310">
        <v>0</v>
      </c>
      <c r="M818" s="310">
        <v>0</v>
      </c>
      <c r="N818" s="313">
        <v>0</v>
      </c>
      <c r="O818" s="314" t="s">
        <v>563</v>
      </c>
      <c r="P818" s="307">
        <f t="shared" si="231"/>
        <v>0</v>
      </c>
      <c r="R818" s="91" t="str">
        <f t="shared" si="245"/>
        <v/>
      </c>
      <c r="S81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8" s="307" t="str">
        <f t="shared" si="233"/>
        <v/>
      </c>
      <c r="U818" s="315" t="str">
        <f t="shared" si="234"/>
        <v/>
      </c>
      <c r="V818" s="307">
        <f t="shared" si="238"/>
        <v>0</v>
      </c>
      <c r="W818" s="307">
        <f>IFERROR(IF(V818&gt;0,PROPER(Terbilang1(V818)&amp;" Rupiah"),0),"")</f>
        <v>0</v>
      </c>
      <c r="X818" s="90" t="str">
        <f t="shared" si="239"/>
        <v/>
      </c>
      <c r="Y818" s="307" t="str">
        <f t="shared" si="240"/>
        <v/>
      </c>
      <c r="Z818" s="307">
        <f t="shared" si="235"/>
        <v>0</v>
      </c>
      <c r="AA818" s="366">
        <f t="shared" si="236"/>
        <v>0</v>
      </c>
      <c r="AB818" s="367">
        <f t="shared" si="241"/>
        <v>0</v>
      </c>
      <c r="AC818" s="305">
        <f t="shared" si="242"/>
        <v>0</v>
      </c>
      <c r="AP818" s="89" t="str">
        <f t="shared" si="230"/>
        <v/>
      </c>
      <c r="AQ818" s="89" t="str">
        <f t="shared" si="246"/>
        <v/>
      </c>
      <c r="AR818" s="315" t="str">
        <f t="shared" si="229"/>
        <v/>
      </c>
      <c r="AS818" s="305" t="str">
        <f t="shared" si="243"/>
        <v>0</v>
      </c>
      <c r="AT818" s="307">
        <f>Table22[[#This Row],[Column1]]</f>
        <v>0</v>
      </c>
    </row>
    <row r="819" spans="1:46" x14ac:dyDescent="0.3">
      <c r="A819" s="307">
        <f t="shared" si="237"/>
        <v>0</v>
      </c>
      <c r="B819" s="307">
        <f t="shared" si="244"/>
        <v>0</v>
      </c>
      <c r="C819" s="308" t="s">
        <v>563</v>
      </c>
      <c r="D819" s="309" t="s">
        <v>563</v>
      </c>
      <c r="E819" s="310">
        <v>0</v>
      </c>
      <c r="F819" s="310">
        <v>0</v>
      </c>
      <c r="G819" s="311">
        <v>0</v>
      </c>
      <c r="H819" s="310" t="s">
        <v>563</v>
      </c>
      <c r="I819" s="310" t="s">
        <v>563</v>
      </c>
      <c r="J819" s="310" t="s">
        <v>563</v>
      </c>
      <c r="K819" s="312">
        <v>0</v>
      </c>
      <c r="L819" s="310">
        <v>0</v>
      </c>
      <c r="M819" s="310">
        <v>0</v>
      </c>
      <c r="N819" s="313">
        <v>0</v>
      </c>
      <c r="O819" s="314" t="s">
        <v>563</v>
      </c>
      <c r="P819" s="307">
        <f t="shared" si="231"/>
        <v>0</v>
      </c>
      <c r="R819" s="91" t="str">
        <f t="shared" si="245"/>
        <v/>
      </c>
      <c r="S81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19" s="307" t="str">
        <f t="shared" si="233"/>
        <v/>
      </c>
      <c r="U819" s="315" t="str">
        <f t="shared" si="234"/>
        <v/>
      </c>
      <c r="V819" s="307">
        <f t="shared" si="238"/>
        <v>0</v>
      </c>
      <c r="W819" s="307">
        <f>IFERROR(IF(V819&gt;0,PROPER(Terbilang1(V819)&amp;" Rupiah"),0),"")</f>
        <v>0</v>
      </c>
      <c r="X819" s="90" t="str">
        <f t="shared" si="239"/>
        <v/>
      </c>
      <c r="Y819" s="307" t="str">
        <f t="shared" si="240"/>
        <v/>
      </c>
      <c r="Z819" s="307">
        <f t="shared" si="235"/>
        <v>0</v>
      </c>
      <c r="AA819" s="366">
        <f t="shared" si="236"/>
        <v>0</v>
      </c>
      <c r="AB819" s="367">
        <f t="shared" si="241"/>
        <v>0</v>
      </c>
      <c r="AC819" s="305">
        <f t="shared" si="242"/>
        <v>0</v>
      </c>
      <c r="AP819" s="89" t="str">
        <f t="shared" si="230"/>
        <v/>
      </c>
      <c r="AQ819" s="89" t="str">
        <f t="shared" si="246"/>
        <v/>
      </c>
      <c r="AR819" s="315" t="str">
        <f t="shared" ref="AR819:AR882" si="247">IF(VALUE(AT819)&gt;1,IF(LEN(AR818)&gt;1,AR818,D819),"")</f>
        <v/>
      </c>
      <c r="AS819" s="305" t="str">
        <f t="shared" si="243"/>
        <v>0</v>
      </c>
      <c r="AT819" s="307">
        <f>Table22[[#This Row],[Column1]]</f>
        <v>0</v>
      </c>
    </row>
    <row r="820" spans="1:46" x14ac:dyDescent="0.3">
      <c r="A820" s="307">
        <f t="shared" si="237"/>
        <v>0</v>
      </c>
      <c r="B820" s="307">
        <f t="shared" si="244"/>
        <v>0</v>
      </c>
      <c r="C820" s="308" t="s">
        <v>563</v>
      </c>
      <c r="D820" s="309" t="s">
        <v>563</v>
      </c>
      <c r="E820" s="310">
        <v>0</v>
      </c>
      <c r="F820" s="310">
        <v>0</v>
      </c>
      <c r="G820" s="311">
        <v>0</v>
      </c>
      <c r="H820" s="310" t="s">
        <v>563</v>
      </c>
      <c r="I820" s="310" t="s">
        <v>563</v>
      </c>
      <c r="J820" s="310" t="s">
        <v>563</v>
      </c>
      <c r="K820" s="312">
        <v>0</v>
      </c>
      <c r="L820" s="310">
        <v>0</v>
      </c>
      <c r="M820" s="310">
        <v>0</v>
      </c>
      <c r="N820" s="313">
        <v>0</v>
      </c>
      <c r="O820" s="314" t="s">
        <v>563</v>
      </c>
      <c r="P820" s="307">
        <f t="shared" si="231"/>
        <v>0</v>
      </c>
      <c r="R820" s="91" t="str">
        <f t="shared" si="245"/>
        <v/>
      </c>
      <c r="S82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0" s="307" t="str">
        <f t="shared" si="233"/>
        <v/>
      </c>
      <c r="U820" s="315" t="str">
        <f t="shared" si="234"/>
        <v/>
      </c>
      <c r="V820" s="307">
        <f t="shared" si="238"/>
        <v>0</v>
      </c>
      <c r="W820" s="307">
        <f>IFERROR(IF(V820&gt;0,PROPER(Terbilang1(V820)&amp;" Rupiah"),0),"")</f>
        <v>0</v>
      </c>
      <c r="X820" s="90" t="str">
        <f t="shared" si="239"/>
        <v/>
      </c>
      <c r="Y820" s="307" t="str">
        <f t="shared" si="240"/>
        <v/>
      </c>
      <c r="Z820" s="307">
        <f t="shared" si="235"/>
        <v>0</v>
      </c>
      <c r="AA820" s="366">
        <f t="shared" si="236"/>
        <v>0</v>
      </c>
      <c r="AB820" s="367">
        <f t="shared" si="241"/>
        <v>0</v>
      </c>
      <c r="AC820" s="305">
        <f t="shared" si="242"/>
        <v>0</v>
      </c>
      <c r="AP820" s="89" t="str">
        <f t="shared" si="230"/>
        <v/>
      </c>
      <c r="AQ820" s="89" t="str">
        <f t="shared" si="246"/>
        <v/>
      </c>
      <c r="AR820" s="315" t="str">
        <f t="shared" si="247"/>
        <v/>
      </c>
      <c r="AS820" s="305" t="str">
        <f t="shared" si="243"/>
        <v>0</v>
      </c>
      <c r="AT820" s="307">
        <f>Table22[[#This Row],[Column1]]</f>
        <v>0</v>
      </c>
    </row>
    <row r="821" spans="1:46" x14ac:dyDescent="0.3">
      <c r="A821" s="307">
        <f t="shared" si="237"/>
        <v>0</v>
      </c>
      <c r="B821" s="307">
        <f t="shared" si="244"/>
        <v>0</v>
      </c>
      <c r="C821" s="308" t="s">
        <v>563</v>
      </c>
      <c r="D821" s="309" t="s">
        <v>563</v>
      </c>
      <c r="E821" s="310">
        <v>0</v>
      </c>
      <c r="F821" s="310">
        <v>0</v>
      </c>
      <c r="G821" s="311">
        <v>0</v>
      </c>
      <c r="H821" s="310" t="s">
        <v>563</v>
      </c>
      <c r="I821" s="310" t="s">
        <v>563</v>
      </c>
      <c r="J821" s="310" t="s">
        <v>563</v>
      </c>
      <c r="K821" s="312">
        <v>0</v>
      </c>
      <c r="L821" s="310">
        <v>0</v>
      </c>
      <c r="M821" s="310">
        <v>0</v>
      </c>
      <c r="N821" s="313">
        <v>0</v>
      </c>
      <c r="O821" s="314" t="s">
        <v>563</v>
      </c>
      <c r="P821" s="307">
        <f t="shared" si="231"/>
        <v>0</v>
      </c>
      <c r="R821" s="91" t="str">
        <f t="shared" si="245"/>
        <v/>
      </c>
      <c r="S82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1" s="307" t="str">
        <f t="shared" si="233"/>
        <v/>
      </c>
      <c r="U821" s="315" t="str">
        <f t="shared" si="234"/>
        <v/>
      </c>
      <c r="V821" s="307">
        <f t="shared" si="238"/>
        <v>0</v>
      </c>
      <c r="W821" s="307">
        <f>IFERROR(IF(V821&gt;0,PROPER(Terbilang1(V821)&amp;" Rupiah"),0),"")</f>
        <v>0</v>
      </c>
      <c r="X821" s="90" t="str">
        <f t="shared" si="239"/>
        <v/>
      </c>
      <c r="Y821" s="307" t="str">
        <f t="shared" si="240"/>
        <v/>
      </c>
      <c r="Z821" s="307">
        <f t="shared" si="235"/>
        <v>0</v>
      </c>
      <c r="AA821" s="366">
        <f t="shared" si="236"/>
        <v>0</v>
      </c>
      <c r="AB821" s="367">
        <f t="shared" si="241"/>
        <v>0</v>
      </c>
      <c r="AC821" s="305">
        <f t="shared" si="242"/>
        <v>0</v>
      </c>
      <c r="AP821" s="89" t="str">
        <f t="shared" si="230"/>
        <v/>
      </c>
      <c r="AQ821" s="89" t="str">
        <f t="shared" si="246"/>
        <v/>
      </c>
      <c r="AR821" s="315" t="str">
        <f t="shared" si="247"/>
        <v/>
      </c>
      <c r="AS821" s="305" t="str">
        <f t="shared" si="243"/>
        <v>0</v>
      </c>
      <c r="AT821" s="307">
        <f>Table22[[#This Row],[Column1]]</f>
        <v>0</v>
      </c>
    </row>
    <row r="822" spans="1:46" x14ac:dyDescent="0.3">
      <c r="A822" s="307">
        <f t="shared" si="237"/>
        <v>0</v>
      </c>
      <c r="B822" s="307">
        <f t="shared" si="244"/>
        <v>0</v>
      </c>
      <c r="C822" s="308" t="s">
        <v>563</v>
      </c>
      <c r="D822" s="309" t="s">
        <v>563</v>
      </c>
      <c r="E822" s="310">
        <v>0</v>
      </c>
      <c r="F822" s="310">
        <v>0</v>
      </c>
      <c r="G822" s="311">
        <v>0</v>
      </c>
      <c r="H822" s="310" t="s">
        <v>563</v>
      </c>
      <c r="I822" s="310" t="s">
        <v>563</v>
      </c>
      <c r="J822" s="310" t="s">
        <v>563</v>
      </c>
      <c r="K822" s="312">
        <v>0</v>
      </c>
      <c r="L822" s="310">
        <v>0</v>
      </c>
      <c r="M822" s="310">
        <v>0</v>
      </c>
      <c r="N822" s="313">
        <v>0</v>
      </c>
      <c r="O822" s="314" t="s">
        <v>563</v>
      </c>
      <c r="P822" s="307">
        <f t="shared" si="231"/>
        <v>0</v>
      </c>
      <c r="R822" s="91" t="str">
        <f t="shared" si="245"/>
        <v/>
      </c>
      <c r="S82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2" s="307" t="str">
        <f t="shared" si="233"/>
        <v/>
      </c>
      <c r="U822" s="315" t="str">
        <f t="shared" si="234"/>
        <v/>
      </c>
      <c r="V822" s="307">
        <f t="shared" si="238"/>
        <v>0</v>
      </c>
      <c r="W822" s="307">
        <f>IFERROR(IF(V822&gt;0,PROPER(Terbilang1(V822)&amp;" Rupiah"),0),"")</f>
        <v>0</v>
      </c>
      <c r="X822" s="90" t="str">
        <f t="shared" si="239"/>
        <v/>
      </c>
      <c r="Y822" s="307" t="str">
        <f t="shared" si="240"/>
        <v/>
      </c>
      <c r="Z822" s="307">
        <f t="shared" si="235"/>
        <v>0</v>
      </c>
      <c r="AA822" s="366">
        <f t="shared" si="236"/>
        <v>0</v>
      </c>
      <c r="AB822" s="367">
        <f t="shared" si="241"/>
        <v>0</v>
      </c>
      <c r="AC822" s="305">
        <f t="shared" si="242"/>
        <v>0</v>
      </c>
      <c r="AP822" s="89" t="str">
        <f t="shared" si="230"/>
        <v/>
      </c>
      <c r="AQ822" s="89" t="str">
        <f t="shared" si="246"/>
        <v/>
      </c>
      <c r="AR822" s="315" t="str">
        <f t="shared" si="247"/>
        <v/>
      </c>
      <c r="AS822" s="305" t="str">
        <f t="shared" si="243"/>
        <v>0</v>
      </c>
      <c r="AT822" s="307">
        <f>Table22[[#This Row],[Column1]]</f>
        <v>0</v>
      </c>
    </row>
    <row r="823" spans="1:46" x14ac:dyDescent="0.3">
      <c r="A823" s="307">
        <f t="shared" si="237"/>
        <v>0</v>
      </c>
      <c r="B823" s="307">
        <f t="shared" si="244"/>
        <v>0</v>
      </c>
      <c r="C823" s="308" t="s">
        <v>563</v>
      </c>
      <c r="D823" s="309" t="s">
        <v>563</v>
      </c>
      <c r="E823" s="310">
        <v>0</v>
      </c>
      <c r="F823" s="310">
        <v>0</v>
      </c>
      <c r="G823" s="311">
        <v>0</v>
      </c>
      <c r="H823" s="310" t="s">
        <v>563</v>
      </c>
      <c r="I823" s="310" t="s">
        <v>563</v>
      </c>
      <c r="J823" s="310" t="s">
        <v>563</v>
      </c>
      <c r="K823" s="312">
        <v>0</v>
      </c>
      <c r="L823" s="310">
        <v>0</v>
      </c>
      <c r="M823" s="310">
        <v>0</v>
      </c>
      <c r="N823" s="313">
        <v>0</v>
      </c>
      <c r="O823" s="314" t="s">
        <v>563</v>
      </c>
      <c r="P823" s="307">
        <f t="shared" si="231"/>
        <v>0</v>
      </c>
      <c r="R823" s="91" t="str">
        <f t="shared" si="245"/>
        <v/>
      </c>
      <c r="S82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3" s="307" t="str">
        <f t="shared" si="233"/>
        <v/>
      </c>
      <c r="U823" s="315" t="str">
        <f t="shared" si="234"/>
        <v/>
      </c>
      <c r="V823" s="307">
        <f t="shared" si="238"/>
        <v>0</v>
      </c>
      <c r="W823" s="307">
        <f>IFERROR(IF(V823&gt;0,PROPER(Terbilang1(V823)&amp;" Rupiah"),0),"")</f>
        <v>0</v>
      </c>
      <c r="X823" s="90" t="str">
        <f t="shared" si="239"/>
        <v/>
      </c>
      <c r="Y823" s="307" t="str">
        <f t="shared" si="240"/>
        <v/>
      </c>
      <c r="Z823" s="307">
        <f t="shared" si="235"/>
        <v>0</v>
      </c>
      <c r="AA823" s="366">
        <f t="shared" si="236"/>
        <v>0</v>
      </c>
      <c r="AB823" s="367">
        <f t="shared" si="241"/>
        <v>0</v>
      </c>
      <c r="AC823" s="305">
        <f t="shared" si="242"/>
        <v>0</v>
      </c>
      <c r="AP823" s="89" t="str">
        <f t="shared" si="230"/>
        <v/>
      </c>
      <c r="AQ823" s="89" t="str">
        <f t="shared" si="246"/>
        <v/>
      </c>
      <c r="AR823" s="315" t="str">
        <f t="shared" si="247"/>
        <v/>
      </c>
      <c r="AS823" s="305" t="str">
        <f t="shared" si="243"/>
        <v>0</v>
      </c>
      <c r="AT823" s="307">
        <f>Table22[[#This Row],[Column1]]</f>
        <v>0</v>
      </c>
    </row>
    <row r="824" spans="1:46" x14ac:dyDescent="0.3">
      <c r="A824" s="307">
        <f t="shared" si="237"/>
        <v>0</v>
      </c>
      <c r="B824" s="307">
        <f t="shared" si="244"/>
        <v>0</v>
      </c>
      <c r="C824" s="308" t="s">
        <v>563</v>
      </c>
      <c r="D824" s="309" t="s">
        <v>563</v>
      </c>
      <c r="E824" s="310">
        <v>0</v>
      </c>
      <c r="F824" s="310">
        <v>0</v>
      </c>
      <c r="G824" s="311">
        <v>0</v>
      </c>
      <c r="H824" s="310" t="s">
        <v>563</v>
      </c>
      <c r="I824" s="310" t="s">
        <v>563</v>
      </c>
      <c r="J824" s="310" t="s">
        <v>563</v>
      </c>
      <c r="K824" s="312">
        <v>0</v>
      </c>
      <c r="L824" s="310">
        <v>0</v>
      </c>
      <c r="M824" s="310">
        <v>0</v>
      </c>
      <c r="N824" s="313">
        <v>0</v>
      </c>
      <c r="O824" s="314" t="s">
        <v>563</v>
      </c>
      <c r="P824" s="307">
        <f t="shared" si="231"/>
        <v>0</v>
      </c>
      <c r="R824" s="91" t="str">
        <f t="shared" si="245"/>
        <v/>
      </c>
      <c r="S824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4" s="307" t="str">
        <f t="shared" si="233"/>
        <v/>
      </c>
      <c r="U824" s="315" t="str">
        <f t="shared" si="234"/>
        <v/>
      </c>
      <c r="V824" s="307">
        <f t="shared" si="238"/>
        <v>0</v>
      </c>
      <c r="W824" s="307">
        <f>IFERROR(IF(V824&gt;0,PROPER(Terbilang1(V824)&amp;" Rupiah"),0),"")</f>
        <v>0</v>
      </c>
      <c r="X824" s="90" t="str">
        <f t="shared" si="239"/>
        <v/>
      </c>
      <c r="Y824" s="307" t="str">
        <f t="shared" si="240"/>
        <v/>
      </c>
      <c r="Z824" s="307">
        <f t="shared" si="235"/>
        <v>0</v>
      </c>
      <c r="AA824" s="366">
        <f t="shared" si="236"/>
        <v>0</v>
      </c>
      <c r="AB824" s="367">
        <f t="shared" si="241"/>
        <v>0</v>
      </c>
      <c r="AC824" s="305">
        <f t="shared" si="242"/>
        <v>0</v>
      </c>
      <c r="AP824" s="89" t="str">
        <f t="shared" si="230"/>
        <v/>
      </c>
      <c r="AQ824" s="89" t="str">
        <f t="shared" si="246"/>
        <v/>
      </c>
      <c r="AR824" s="315" t="str">
        <f t="shared" si="247"/>
        <v/>
      </c>
      <c r="AS824" s="305" t="str">
        <f t="shared" si="243"/>
        <v>0</v>
      </c>
      <c r="AT824" s="307">
        <f>Table22[[#This Row],[Column1]]</f>
        <v>0</v>
      </c>
    </row>
    <row r="825" spans="1:46" x14ac:dyDescent="0.3">
      <c r="A825" s="307">
        <f t="shared" si="237"/>
        <v>0</v>
      </c>
      <c r="B825" s="307">
        <f t="shared" si="244"/>
        <v>0</v>
      </c>
      <c r="C825" s="308" t="s">
        <v>563</v>
      </c>
      <c r="D825" s="309" t="s">
        <v>563</v>
      </c>
      <c r="E825" s="310">
        <v>0</v>
      </c>
      <c r="F825" s="310">
        <v>0</v>
      </c>
      <c r="G825" s="311">
        <v>0</v>
      </c>
      <c r="H825" s="310" t="s">
        <v>563</v>
      </c>
      <c r="I825" s="310" t="s">
        <v>563</v>
      </c>
      <c r="J825" s="310" t="s">
        <v>563</v>
      </c>
      <c r="K825" s="312">
        <v>0</v>
      </c>
      <c r="L825" s="310">
        <v>0</v>
      </c>
      <c r="M825" s="310">
        <v>0</v>
      </c>
      <c r="N825" s="313">
        <v>0</v>
      </c>
      <c r="O825" s="314" t="s">
        <v>563</v>
      </c>
      <c r="P825" s="307">
        <f t="shared" si="231"/>
        <v>0</v>
      </c>
      <c r="R825" s="91" t="str">
        <f t="shared" si="245"/>
        <v/>
      </c>
      <c r="S825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5" s="307" t="str">
        <f t="shared" si="233"/>
        <v/>
      </c>
      <c r="U825" s="315" t="str">
        <f t="shared" si="234"/>
        <v/>
      </c>
      <c r="V825" s="307">
        <f t="shared" si="238"/>
        <v>0</v>
      </c>
      <c r="W825" s="307">
        <f>IFERROR(IF(V825&gt;0,PROPER(Terbilang1(V825)&amp;" Rupiah"),0),"")</f>
        <v>0</v>
      </c>
      <c r="X825" s="90" t="str">
        <f t="shared" si="239"/>
        <v/>
      </c>
      <c r="Y825" s="307" t="str">
        <f t="shared" si="240"/>
        <v/>
      </c>
      <c r="Z825" s="307">
        <f t="shared" si="235"/>
        <v>0</v>
      </c>
      <c r="AA825" s="366">
        <f t="shared" si="236"/>
        <v>0</v>
      </c>
      <c r="AB825" s="367">
        <f t="shared" si="241"/>
        <v>0</v>
      </c>
      <c r="AC825" s="305">
        <f t="shared" si="242"/>
        <v>0</v>
      </c>
      <c r="AP825" s="89" t="str">
        <f t="shared" si="230"/>
        <v/>
      </c>
      <c r="AQ825" s="89" t="str">
        <f t="shared" si="246"/>
        <v/>
      </c>
      <c r="AR825" s="315" t="str">
        <f t="shared" si="247"/>
        <v/>
      </c>
      <c r="AS825" s="305" t="str">
        <f t="shared" si="243"/>
        <v>0</v>
      </c>
      <c r="AT825" s="307">
        <f>Table22[[#This Row],[Column1]]</f>
        <v>0</v>
      </c>
    </row>
    <row r="826" spans="1:46" x14ac:dyDescent="0.3">
      <c r="A826" s="307">
        <f t="shared" si="237"/>
        <v>0</v>
      </c>
      <c r="B826" s="307">
        <f t="shared" si="244"/>
        <v>0</v>
      </c>
      <c r="C826" s="308" t="s">
        <v>563</v>
      </c>
      <c r="D826" s="309" t="s">
        <v>563</v>
      </c>
      <c r="E826" s="310">
        <v>0</v>
      </c>
      <c r="F826" s="310">
        <v>0</v>
      </c>
      <c r="G826" s="311">
        <v>0</v>
      </c>
      <c r="H826" s="310" t="s">
        <v>563</v>
      </c>
      <c r="I826" s="310" t="s">
        <v>563</v>
      </c>
      <c r="J826" s="310" t="s">
        <v>563</v>
      </c>
      <c r="K826" s="312">
        <v>0</v>
      </c>
      <c r="L826" s="310">
        <v>0</v>
      </c>
      <c r="M826" s="310">
        <v>0</v>
      </c>
      <c r="N826" s="313">
        <v>0</v>
      </c>
      <c r="O826" s="314" t="s">
        <v>563</v>
      </c>
      <c r="P826" s="307">
        <f t="shared" si="231"/>
        <v>0</v>
      </c>
      <c r="R826" s="91" t="str">
        <f t="shared" si="245"/>
        <v/>
      </c>
      <c r="S826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6" s="307" t="str">
        <f t="shared" si="233"/>
        <v/>
      </c>
      <c r="U826" s="315" t="str">
        <f t="shared" si="234"/>
        <v/>
      </c>
      <c r="V826" s="307">
        <f t="shared" si="238"/>
        <v>0</v>
      </c>
      <c r="W826" s="307">
        <f>IFERROR(IF(V826&gt;0,PROPER(Terbilang1(V826)&amp;" Rupiah"),0),"")</f>
        <v>0</v>
      </c>
      <c r="X826" s="90" t="str">
        <f t="shared" si="239"/>
        <v/>
      </c>
      <c r="Y826" s="307" t="str">
        <f t="shared" si="240"/>
        <v/>
      </c>
      <c r="Z826" s="307">
        <f t="shared" si="235"/>
        <v>0</v>
      </c>
      <c r="AA826" s="366">
        <f t="shared" si="236"/>
        <v>0</v>
      </c>
      <c r="AB826" s="367">
        <f t="shared" si="241"/>
        <v>0</v>
      </c>
      <c r="AC826" s="305">
        <f t="shared" si="242"/>
        <v>0</v>
      </c>
      <c r="AP826" s="89" t="str">
        <f t="shared" si="230"/>
        <v/>
      </c>
      <c r="AQ826" s="89" t="str">
        <f t="shared" si="246"/>
        <v/>
      </c>
      <c r="AR826" s="315" t="str">
        <f t="shared" si="247"/>
        <v/>
      </c>
      <c r="AS826" s="305" t="str">
        <f t="shared" si="243"/>
        <v>0</v>
      </c>
      <c r="AT826" s="307">
        <f>Table22[[#This Row],[Column1]]</f>
        <v>0</v>
      </c>
    </row>
    <row r="827" spans="1:46" x14ac:dyDescent="0.3">
      <c r="A827" s="307">
        <f t="shared" si="237"/>
        <v>0</v>
      </c>
      <c r="B827" s="307">
        <f t="shared" si="244"/>
        <v>0</v>
      </c>
      <c r="C827" s="308" t="s">
        <v>563</v>
      </c>
      <c r="D827" s="309" t="s">
        <v>563</v>
      </c>
      <c r="E827" s="310">
        <v>0</v>
      </c>
      <c r="F827" s="310">
        <v>0</v>
      </c>
      <c r="G827" s="311">
        <v>0</v>
      </c>
      <c r="H827" s="310" t="s">
        <v>563</v>
      </c>
      <c r="I827" s="310" t="s">
        <v>563</v>
      </c>
      <c r="J827" s="310" t="s">
        <v>563</v>
      </c>
      <c r="K827" s="312">
        <v>0</v>
      </c>
      <c r="L827" s="310">
        <v>0</v>
      </c>
      <c r="M827" s="310">
        <v>0</v>
      </c>
      <c r="N827" s="313">
        <v>0</v>
      </c>
      <c r="O827" s="314" t="s">
        <v>563</v>
      </c>
      <c r="P827" s="307">
        <f t="shared" si="231"/>
        <v>0</v>
      </c>
      <c r="R827" s="91" t="str">
        <f t="shared" si="245"/>
        <v/>
      </c>
      <c r="S827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7" s="307" t="str">
        <f t="shared" si="233"/>
        <v/>
      </c>
      <c r="U827" s="315" t="str">
        <f t="shared" si="234"/>
        <v/>
      </c>
      <c r="V827" s="307">
        <f t="shared" si="238"/>
        <v>0</v>
      </c>
      <c r="W827" s="307">
        <f>IFERROR(IF(V827&gt;0,PROPER(Terbilang1(V827)&amp;" Rupiah"),0),"")</f>
        <v>0</v>
      </c>
      <c r="X827" s="90" t="str">
        <f t="shared" si="239"/>
        <v/>
      </c>
      <c r="Y827" s="307" t="str">
        <f t="shared" si="240"/>
        <v/>
      </c>
      <c r="Z827" s="307">
        <f t="shared" si="235"/>
        <v>0</v>
      </c>
      <c r="AA827" s="366">
        <f t="shared" si="236"/>
        <v>0</v>
      </c>
      <c r="AB827" s="367">
        <f t="shared" si="241"/>
        <v>0</v>
      </c>
      <c r="AC827" s="305">
        <f t="shared" si="242"/>
        <v>0</v>
      </c>
      <c r="AP827" s="89" t="str">
        <f t="shared" si="230"/>
        <v/>
      </c>
      <c r="AQ827" s="89" t="str">
        <f t="shared" si="246"/>
        <v/>
      </c>
      <c r="AR827" s="315" t="str">
        <f t="shared" si="247"/>
        <v/>
      </c>
      <c r="AS827" s="305" t="str">
        <f t="shared" si="243"/>
        <v>0</v>
      </c>
      <c r="AT827" s="307">
        <f>Table22[[#This Row],[Column1]]</f>
        <v>0</v>
      </c>
    </row>
    <row r="828" spans="1:46" x14ac:dyDescent="0.3">
      <c r="A828" s="307">
        <f t="shared" si="237"/>
        <v>0</v>
      </c>
      <c r="B828" s="307">
        <f t="shared" si="244"/>
        <v>0</v>
      </c>
      <c r="C828" s="308" t="s">
        <v>563</v>
      </c>
      <c r="D828" s="309" t="s">
        <v>563</v>
      </c>
      <c r="E828" s="310">
        <v>0</v>
      </c>
      <c r="F828" s="310">
        <v>0</v>
      </c>
      <c r="G828" s="311">
        <v>0</v>
      </c>
      <c r="H828" s="310" t="s">
        <v>563</v>
      </c>
      <c r="I828" s="310" t="s">
        <v>563</v>
      </c>
      <c r="J828" s="310" t="s">
        <v>563</v>
      </c>
      <c r="K828" s="312">
        <v>0</v>
      </c>
      <c r="L828" s="310">
        <v>0</v>
      </c>
      <c r="M828" s="310">
        <v>0</v>
      </c>
      <c r="N828" s="313">
        <v>0</v>
      </c>
      <c r="O828" s="314" t="s">
        <v>563</v>
      </c>
      <c r="P828" s="307">
        <f t="shared" si="231"/>
        <v>0</v>
      </c>
      <c r="R828" s="91" t="str">
        <f t="shared" si="245"/>
        <v/>
      </c>
      <c r="S828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8" s="307" t="str">
        <f t="shared" si="233"/>
        <v/>
      </c>
      <c r="U828" s="315" t="str">
        <f t="shared" si="234"/>
        <v/>
      </c>
      <c r="V828" s="307">
        <f t="shared" si="238"/>
        <v>0</v>
      </c>
      <c r="W828" s="307">
        <f>IFERROR(IF(V828&gt;0,PROPER(Terbilang1(V828)&amp;" Rupiah"),0),"")</f>
        <v>0</v>
      </c>
      <c r="X828" s="90" t="str">
        <f t="shared" si="239"/>
        <v/>
      </c>
      <c r="Y828" s="307" t="str">
        <f t="shared" si="240"/>
        <v/>
      </c>
      <c r="Z828" s="307">
        <f t="shared" si="235"/>
        <v>0</v>
      </c>
      <c r="AA828" s="366">
        <f t="shared" si="236"/>
        <v>0</v>
      </c>
      <c r="AB828" s="367">
        <f t="shared" si="241"/>
        <v>0</v>
      </c>
      <c r="AC828" s="305">
        <f t="shared" si="242"/>
        <v>0</v>
      </c>
      <c r="AP828" s="89" t="str">
        <f t="shared" si="230"/>
        <v/>
      </c>
      <c r="AQ828" s="89" t="str">
        <f t="shared" si="246"/>
        <v/>
      </c>
      <c r="AR828" s="315" t="str">
        <f t="shared" si="247"/>
        <v/>
      </c>
      <c r="AS828" s="305" t="str">
        <f t="shared" si="243"/>
        <v>0</v>
      </c>
      <c r="AT828" s="307">
        <f>Table22[[#This Row],[Column1]]</f>
        <v>0</v>
      </c>
    </row>
    <row r="829" spans="1:46" x14ac:dyDescent="0.3">
      <c r="A829" s="307">
        <f t="shared" si="237"/>
        <v>0</v>
      </c>
      <c r="B829" s="307">
        <f t="shared" si="244"/>
        <v>0</v>
      </c>
      <c r="C829" s="308" t="s">
        <v>563</v>
      </c>
      <c r="D829" s="309" t="s">
        <v>563</v>
      </c>
      <c r="E829" s="310">
        <v>0</v>
      </c>
      <c r="F829" s="310">
        <v>0</v>
      </c>
      <c r="G829" s="311">
        <v>0</v>
      </c>
      <c r="H829" s="310" t="s">
        <v>563</v>
      </c>
      <c r="I829" s="310" t="s">
        <v>563</v>
      </c>
      <c r="J829" s="310" t="s">
        <v>563</v>
      </c>
      <c r="K829" s="312">
        <v>0</v>
      </c>
      <c r="L829" s="310">
        <v>0</v>
      </c>
      <c r="M829" s="310">
        <v>0</v>
      </c>
      <c r="N829" s="313">
        <v>0</v>
      </c>
      <c r="O829" s="314" t="s">
        <v>563</v>
      </c>
      <c r="P829" s="307">
        <f t="shared" si="231"/>
        <v>0</v>
      </c>
      <c r="R829" s="91" t="str">
        <f t="shared" si="245"/>
        <v/>
      </c>
      <c r="S829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29" s="307" t="str">
        <f t="shared" si="233"/>
        <v/>
      </c>
      <c r="U829" s="315" t="str">
        <f t="shared" si="234"/>
        <v/>
      </c>
      <c r="V829" s="307">
        <f t="shared" si="238"/>
        <v>0</v>
      </c>
      <c r="W829" s="307">
        <f>IFERROR(IF(V829&gt;0,PROPER(Terbilang1(V829)&amp;" Rupiah"),0),"")</f>
        <v>0</v>
      </c>
      <c r="X829" s="90" t="str">
        <f t="shared" si="239"/>
        <v/>
      </c>
      <c r="Y829" s="307" t="str">
        <f t="shared" si="240"/>
        <v/>
      </c>
      <c r="Z829" s="307">
        <f t="shared" si="235"/>
        <v>0</v>
      </c>
      <c r="AA829" s="366">
        <f t="shared" si="236"/>
        <v>0</v>
      </c>
      <c r="AB829" s="367">
        <f t="shared" si="241"/>
        <v>0</v>
      </c>
      <c r="AC829" s="305">
        <f t="shared" si="242"/>
        <v>0</v>
      </c>
      <c r="AP829" s="89" t="str">
        <f t="shared" si="230"/>
        <v/>
      </c>
      <c r="AQ829" s="89" t="str">
        <f t="shared" si="246"/>
        <v/>
      </c>
      <c r="AR829" s="315" t="str">
        <f t="shared" si="247"/>
        <v/>
      </c>
      <c r="AS829" s="305" t="str">
        <f t="shared" si="243"/>
        <v>0</v>
      </c>
      <c r="AT829" s="307">
        <f>Table22[[#This Row],[Column1]]</f>
        <v>0</v>
      </c>
    </row>
    <row r="830" spans="1:46" x14ac:dyDescent="0.3">
      <c r="A830" s="307">
        <f t="shared" si="237"/>
        <v>0</v>
      </c>
      <c r="B830" s="307">
        <f t="shared" si="244"/>
        <v>0</v>
      </c>
      <c r="C830" s="308" t="s">
        <v>563</v>
      </c>
      <c r="D830" s="309" t="s">
        <v>563</v>
      </c>
      <c r="E830" s="310">
        <v>0</v>
      </c>
      <c r="F830" s="310">
        <v>0</v>
      </c>
      <c r="G830" s="311">
        <v>0</v>
      </c>
      <c r="H830" s="310" t="s">
        <v>563</v>
      </c>
      <c r="I830" s="310" t="s">
        <v>563</v>
      </c>
      <c r="J830" s="310" t="s">
        <v>563</v>
      </c>
      <c r="K830" s="312">
        <v>0</v>
      </c>
      <c r="L830" s="310">
        <v>0</v>
      </c>
      <c r="M830" s="310">
        <v>0</v>
      </c>
      <c r="N830" s="313">
        <v>0</v>
      </c>
      <c r="O830" s="314" t="s">
        <v>563</v>
      </c>
      <c r="P830" s="307">
        <f t="shared" si="231"/>
        <v>0</v>
      </c>
      <c r="R830" s="91" t="str">
        <f t="shared" si="245"/>
        <v/>
      </c>
      <c r="S830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0" s="307" t="str">
        <f t="shared" si="233"/>
        <v/>
      </c>
      <c r="U830" s="315" t="str">
        <f t="shared" si="234"/>
        <v/>
      </c>
      <c r="V830" s="307">
        <f t="shared" si="238"/>
        <v>0</v>
      </c>
      <c r="W830" s="307">
        <f>IFERROR(IF(V830&gt;0,PROPER(Terbilang1(V830)&amp;" Rupiah"),0),"")</f>
        <v>0</v>
      </c>
      <c r="X830" s="90" t="str">
        <f t="shared" si="239"/>
        <v/>
      </c>
      <c r="Y830" s="307" t="str">
        <f t="shared" si="240"/>
        <v/>
      </c>
      <c r="Z830" s="307">
        <f t="shared" si="235"/>
        <v>0</v>
      </c>
      <c r="AA830" s="366">
        <f t="shared" si="236"/>
        <v>0</v>
      </c>
      <c r="AB830" s="367">
        <f t="shared" si="241"/>
        <v>0</v>
      </c>
      <c r="AC830" s="305">
        <f t="shared" si="242"/>
        <v>0</v>
      </c>
      <c r="AP830" s="89" t="str">
        <f t="shared" si="230"/>
        <v/>
      </c>
      <c r="AQ830" s="89" t="str">
        <f t="shared" si="246"/>
        <v/>
      </c>
      <c r="AR830" s="315" t="str">
        <f t="shared" si="247"/>
        <v/>
      </c>
      <c r="AS830" s="305" t="str">
        <f t="shared" si="243"/>
        <v>0</v>
      </c>
      <c r="AT830" s="307">
        <f>Table22[[#This Row],[Column1]]</f>
        <v>0</v>
      </c>
    </row>
    <row r="831" spans="1:46" x14ac:dyDescent="0.3">
      <c r="A831" s="307">
        <f t="shared" si="237"/>
        <v>0</v>
      </c>
      <c r="B831" s="307">
        <f t="shared" si="244"/>
        <v>0</v>
      </c>
      <c r="C831" s="308" t="s">
        <v>563</v>
      </c>
      <c r="D831" s="309" t="s">
        <v>563</v>
      </c>
      <c r="E831" s="310">
        <v>0</v>
      </c>
      <c r="F831" s="310">
        <v>0</v>
      </c>
      <c r="G831" s="311">
        <v>0</v>
      </c>
      <c r="H831" s="310" t="s">
        <v>563</v>
      </c>
      <c r="I831" s="310" t="s">
        <v>563</v>
      </c>
      <c r="J831" s="310" t="s">
        <v>563</v>
      </c>
      <c r="K831" s="312">
        <v>0</v>
      </c>
      <c r="L831" s="310">
        <v>0</v>
      </c>
      <c r="M831" s="310">
        <v>0</v>
      </c>
      <c r="N831" s="313">
        <v>0</v>
      </c>
      <c r="O831" s="314" t="s">
        <v>563</v>
      </c>
      <c r="P831" s="307">
        <f t="shared" si="231"/>
        <v>0</v>
      </c>
      <c r="R831" s="91" t="str">
        <f t="shared" si="245"/>
        <v/>
      </c>
      <c r="S831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1" s="307" t="str">
        <f t="shared" si="233"/>
        <v/>
      </c>
      <c r="U831" s="315" t="str">
        <f t="shared" si="234"/>
        <v/>
      </c>
      <c r="V831" s="307">
        <f t="shared" si="238"/>
        <v>0</v>
      </c>
      <c r="W831" s="307">
        <f>IFERROR(IF(V831&gt;0,PROPER(Terbilang1(V831)&amp;" Rupiah"),0),"")</f>
        <v>0</v>
      </c>
      <c r="X831" s="90" t="str">
        <f t="shared" si="239"/>
        <v/>
      </c>
      <c r="Y831" s="307" t="str">
        <f t="shared" si="240"/>
        <v/>
      </c>
      <c r="Z831" s="307">
        <f t="shared" si="235"/>
        <v>0</v>
      </c>
      <c r="AA831" s="366">
        <f t="shared" si="236"/>
        <v>0</v>
      </c>
      <c r="AB831" s="367">
        <f t="shared" si="241"/>
        <v>0</v>
      </c>
      <c r="AC831" s="305">
        <f t="shared" si="242"/>
        <v>0</v>
      </c>
      <c r="AP831" s="89" t="str">
        <f t="shared" si="230"/>
        <v/>
      </c>
      <c r="AQ831" s="89" t="str">
        <f t="shared" si="246"/>
        <v/>
      </c>
      <c r="AR831" s="315" t="str">
        <f t="shared" si="247"/>
        <v/>
      </c>
      <c r="AS831" s="305" t="str">
        <f t="shared" si="243"/>
        <v>0</v>
      </c>
      <c r="AT831" s="307">
        <f>Table22[[#This Row],[Column1]]</f>
        <v>0</v>
      </c>
    </row>
    <row r="832" spans="1:46" x14ac:dyDescent="0.3">
      <c r="A832" s="307">
        <f t="shared" si="237"/>
        <v>0</v>
      </c>
      <c r="B832" s="307">
        <f t="shared" si="244"/>
        <v>0</v>
      </c>
      <c r="C832" s="308" t="s">
        <v>563</v>
      </c>
      <c r="D832" s="309" t="s">
        <v>563</v>
      </c>
      <c r="E832" s="310">
        <v>0</v>
      </c>
      <c r="F832" s="310">
        <v>0</v>
      </c>
      <c r="G832" s="311">
        <v>0</v>
      </c>
      <c r="H832" s="310" t="s">
        <v>563</v>
      </c>
      <c r="I832" s="310" t="s">
        <v>563</v>
      </c>
      <c r="J832" s="310" t="s">
        <v>563</v>
      </c>
      <c r="K832" s="312">
        <v>0</v>
      </c>
      <c r="L832" s="310">
        <v>0</v>
      </c>
      <c r="M832" s="310">
        <v>0</v>
      </c>
      <c r="N832" s="313">
        <v>0</v>
      </c>
      <c r="O832" s="314" t="s">
        <v>563</v>
      </c>
      <c r="P832" s="307">
        <f t="shared" si="231"/>
        <v>0</v>
      </c>
      <c r="R832" s="91" t="str">
        <f t="shared" si="245"/>
        <v/>
      </c>
      <c r="S832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2" s="307" t="str">
        <f t="shared" si="233"/>
        <v/>
      </c>
      <c r="U832" s="315" t="str">
        <f t="shared" si="234"/>
        <v/>
      </c>
      <c r="V832" s="307">
        <f t="shared" si="238"/>
        <v>0</v>
      </c>
      <c r="W832" s="307">
        <f>IFERROR(IF(V832&gt;0,PROPER(Terbilang1(V832)&amp;" Rupiah"),0),"")</f>
        <v>0</v>
      </c>
      <c r="X832" s="90" t="str">
        <f t="shared" si="239"/>
        <v/>
      </c>
      <c r="Y832" s="307" t="str">
        <f t="shared" si="240"/>
        <v/>
      </c>
      <c r="Z832" s="307">
        <f t="shared" si="235"/>
        <v>0</v>
      </c>
      <c r="AA832" s="366">
        <f t="shared" si="236"/>
        <v>0</v>
      </c>
      <c r="AB832" s="367">
        <f t="shared" si="241"/>
        <v>0</v>
      </c>
      <c r="AC832" s="305">
        <f t="shared" si="242"/>
        <v>0</v>
      </c>
      <c r="AP832" s="89" t="str">
        <f t="shared" si="230"/>
        <v/>
      </c>
      <c r="AQ832" s="89" t="str">
        <f t="shared" si="246"/>
        <v/>
      </c>
      <c r="AR832" s="315" t="str">
        <f t="shared" si="247"/>
        <v/>
      </c>
      <c r="AS832" s="305" t="str">
        <f t="shared" si="243"/>
        <v>0</v>
      </c>
      <c r="AT832" s="307">
        <f>Table22[[#This Row],[Column1]]</f>
        <v>0</v>
      </c>
    </row>
    <row r="833" spans="1:46" x14ac:dyDescent="0.3">
      <c r="A833" s="307">
        <f t="shared" si="237"/>
        <v>0</v>
      </c>
      <c r="B833" s="307">
        <f t="shared" si="244"/>
        <v>0</v>
      </c>
      <c r="C833" s="308" t="s">
        <v>563</v>
      </c>
      <c r="D833" s="309" t="s">
        <v>563</v>
      </c>
      <c r="E833" s="310">
        <v>0</v>
      </c>
      <c r="F833" s="310">
        <v>0</v>
      </c>
      <c r="G833" s="311">
        <v>0</v>
      </c>
      <c r="H833" s="310" t="s">
        <v>563</v>
      </c>
      <c r="I833" s="310" t="s">
        <v>563</v>
      </c>
      <c r="J833" s="310" t="s">
        <v>563</v>
      </c>
      <c r="K833" s="312">
        <v>0</v>
      </c>
      <c r="L833" s="310">
        <v>0</v>
      </c>
      <c r="M833" s="310">
        <v>0</v>
      </c>
      <c r="N833" s="313">
        <v>0</v>
      </c>
      <c r="O833" s="314" t="s">
        <v>563</v>
      </c>
      <c r="P833" s="307">
        <f t="shared" si="231"/>
        <v>0</v>
      </c>
      <c r="R833" s="91" t="str">
        <f t="shared" si="245"/>
        <v/>
      </c>
      <c r="S833" s="307" t="str">
        <f t="shared" si="232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3" s="307" t="str">
        <f t="shared" si="233"/>
        <v/>
      </c>
      <c r="U833" s="315" t="str">
        <f t="shared" si="234"/>
        <v/>
      </c>
      <c r="V833" s="307">
        <f t="shared" si="238"/>
        <v>0</v>
      </c>
      <c r="W833" s="307">
        <f>IFERROR(IF(V833&gt;0,PROPER(Terbilang1(V833)&amp;" Rupiah"),0),"")</f>
        <v>0</v>
      </c>
      <c r="X833" s="90" t="str">
        <f t="shared" si="239"/>
        <v/>
      </c>
      <c r="Y833" s="307" t="str">
        <f t="shared" si="240"/>
        <v/>
      </c>
      <c r="Z833" s="307">
        <f t="shared" si="235"/>
        <v>0</v>
      </c>
      <c r="AA833" s="366">
        <f t="shared" si="236"/>
        <v>0</v>
      </c>
      <c r="AB833" s="367">
        <f t="shared" si="241"/>
        <v>0</v>
      </c>
      <c r="AC833" s="305">
        <f t="shared" si="242"/>
        <v>0</v>
      </c>
      <c r="AP833" s="89" t="str">
        <f t="shared" ref="AP833:AP896" si="248">IF(LEFT(O833,3)="BKK",1,"")</f>
        <v/>
      </c>
      <c r="AQ833" s="89" t="str">
        <f t="shared" si="246"/>
        <v/>
      </c>
      <c r="AR833" s="315" t="str">
        <f t="shared" si="247"/>
        <v/>
      </c>
      <c r="AS833" s="305" t="str">
        <f t="shared" si="243"/>
        <v>0</v>
      </c>
      <c r="AT833" s="307">
        <f>Table22[[#This Row],[Column1]]</f>
        <v>0</v>
      </c>
    </row>
    <row r="834" spans="1:46" x14ac:dyDescent="0.3">
      <c r="A834" s="307">
        <f t="shared" si="237"/>
        <v>0</v>
      </c>
      <c r="B834" s="307">
        <f t="shared" si="244"/>
        <v>0</v>
      </c>
      <c r="C834" s="308" t="s">
        <v>563</v>
      </c>
      <c r="D834" s="309" t="s">
        <v>563</v>
      </c>
      <c r="E834" s="310">
        <v>0</v>
      </c>
      <c r="F834" s="310">
        <v>0</v>
      </c>
      <c r="G834" s="311">
        <v>0</v>
      </c>
      <c r="H834" s="310" t="s">
        <v>563</v>
      </c>
      <c r="I834" s="310" t="s">
        <v>563</v>
      </c>
      <c r="J834" s="310" t="s">
        <v>563</v>
      </c>
      <c r="K834" s="312">
        <v>0</v>
      </c>
      <c r="L834" s="310">
        <v>0</v>
      </c>
      <c r="M834" s="310">
        <v>0</v>
      </c>
      <c r="N834" s="313">
        <v>0</v>
      </c>
      <c r="O834" s="314" t="s">
        <v>563</v>
      </c>
      <c r="P834" s="307">
        <f t="shared" ref="P834:P897" si="249">IF(LEFT(O834,1)="B",R834,0)</f>
        <v>0</v>
      </c>
      <c r="R834" s="91" t="str">
        <f t="shared" si="245"/>
        <v/>
      </c>
      <c r="S834" s="307" t="str">
        <f t="shared" ref="S834:S897" si="250">IF(O834="",S833&amp;"a",IF(O834&gt;0,O834,0))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4" s="307" t="str">
        <f t="shared" ref="T834:T897" si="251">IF(G834=0,"",G834)</f>
        <v/>
      </c>
      <c r="U834" s="315" t="str">
        <f t="shared" ref="U834:U897" si="252">D834</f>
        <v/>
      </c>
      <c r="V834" s="307">
        <f t="shared" si="238"/>
        <v>0</v>
      </c>
      <c r="W834" s="307">
        <f>IFERROR(IF(V834&gt;0,PROPER(Terbilang1(V834)&amp;" Rupiah"),0),"")</f>
        <v>0</v>
      </c>
      <c r="X834" s="90" t="str">
        <f t="shared" si="239"/>
        <v/>
      </c>
      <c r="Y834" s="307" t="str">
        <f t="shared" si="240"/>
        <v/>
      </c>
      <c r="Z834" s="307">
        <f t="shared" ref="Z834:Z897" si="253">IF(LEN(AA834)&gt;1,AA834,IF(AA834=0,AB834,0))</f>
        <v>0</v>
      </c>
      <c r="AA834" s="366">
        <f t="shared" ref="AA834:AA897" si="254">IFERROR(IF(AND(N834&gt;1,LEFT(G834,5)="Bayar"),N834*3.5%,IF(N834&gt;2000000,N834*(IF(OR(LEFT(F834,3)="MoP",LEFT(F834,3)="GaJ"),0,11%)),0)),0)</f>
        <v>0</v>
      </c>
      <c r="AB834" s="367">
        <f t="shared" si="241"/>
        <v>0</v>
      </c>
      <c r="AC834" s="305">
        <f t="shared" si="242"/>
        <v>0</v>
      </c>
      <c r="AP834" s="89" t="str">
        <f t="shared" si="248"/>
        <v/>
      </c>
      <c r="AQ834" s="89" t="str">
        <f t="shared" si="246"/>
        <v/>
      </c>
      <c r="AR834" s="315" t="str">
        <f t="shared" si="247"/>
        <v/>
      </c>
      <c r="AS834" s="305" t="str">
        <f t="shared" si="243"/>
        <v>0</v>
      </c>
      <c r="AT834" s="307">
        <f>Table22[[#This Row],[Column1]]</f>
        <v>0</v>
      </c>
    </row>
    <row r="835" spans="1:46" x14ac:dyDescent="0.3">
      <c r="A835" s="307">
        <f t="shared" ref="A835:A898" si="255">IF(C835=1,C835&amp;"."&amp;MOD(ROW()-1,$AJ$2+1),IF(C835=2,C835&amp;"."&amp;MOD(ROW()-($AJ$2+1),$AK$2+1),IF(C835=3,C835&amp;"."&amp;MOD(ROW()-($AJ$2+$AK$2+1),$AL$2+1),IF(C835=4,C835&amp;"."&amp;MOD(ROW()-($AJ$2+$AK$2+$AL$2+1),$AM$2+1),IF(C835=5,C835&amp;"."&amp;MOD(ROW()-($AJ$2+$AK$2+$AL$2+$AM$2+1),$AN$2+1),0)))))</f>
        <v>0</v>
      </c>
      <c r="B835" s="307">
        <f t="shared" si="244"/>
        <v>0</v>
      </c>
      <c r="C835" s="308" t="s">
        <v>563</v>
      </c>
      <c r="D835" s="309" t="s">
        <v>563</v>
      </c>
      <c r="E835" s="310">
        <v>0</v>
      </c>
      <c r="F835" s="310">
        <v>0</v>
      </c>
      <c r="G835" s="311">
        <v>0</v>
      </c>
      <c r="H835" s="310" t="s">
        <v>563</v>
      </c>
      <c r="I835" s="310" t="s">
        <v>563</v>
      </c>
      <c r="J835" s="310" t="s">
        <v>563</v>
      </c>
      <c r="K835" s="312">
        <v>0</v>
      </c>
      <c r="L835" s="310">
        <v>0</v>
      </c>
      <c r="M835" s="310">
        <v>0</v>
      </c>
      <c r="N835" s="313">
        <v>0</v>
      </c>
      <c r="O835" s="314" t="s">
        <v>563</v>
      </c>
      <c r="P835" s="307">
        <f t="shared" si="249"/>
        <v>0</v>
      </c>
      <c r="R835" s="91" t="str">
        <f t="shared" si="245"/>
        <v/>
      </c>
      <c r="S83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5" s="307" t="str">
        <f t="shared" si="251"/>
        <v/>
      </c>
      <c r="U835" s="315" t="str">
        <f t="shared" si="252"/>
        <v/>
      </c>
      <c r="V835" s="307">
        <f t="shared" ref="V835:V898" si="256">N835</f>
        <v>0</v>
      </c>
      <c r="W835" s="307">
        <f>IFERROR(IF(V835&gt;0,PROPER(Terbilang1(V835)&amp;" Rupiah"),0),"")</f>
        <v>0</v>
      </c>
      <c r="X835" s="90" t="str">
        <f t="shared" ref="X835:X898" si="257">J835</f>
        <v/>
      </c>
      <c r="Y835" s="307" t="str">
        <f t="shared" ref="Y835:Y898" si="258">H835</f>
        <v/>
      </c>
      <c r="Z835" s="307">
        <f t="shared" si="253"/>
        <v>0</v>
      </c>
      <c r="AA835" s="366">
        <f t="shared" si="254"/>
        <v>0</v>
      </c>
      <c r="AB835" s="367">
        <f t="shared" ref="AB835:AB898" si="259">IF(LEN(AA834)&gt;1,IF(LEFT(G834,5)="Bayar",0,IF(LEFT(G834,6)="PEMASA",(N834*100/111*1.5%),N834*0.015)),0)</f>
        <v>0</v>
      </c>
      <c r="AC835" s="305">
        <f t="shared" ref="AC835:AC898" si="260">IF(LEN(AA835)&gt;1,IF(LEFT(G835,6)="PEMASA","Terima Pajak PPN (11 %) "&amp;O835,IF(LEFT(G835,5)="Bayar","Terima PPh Pasal 4 ayat 2 (3,5 %) "&amp;O835,"Bayar Pajak PPN (11 %) "&amp;O835)),IF(AB835&gt;0,IF(LEFT(AC834,6)="Terima","Terima Pajak PPH (1,5%) "&amp;O834,"Bayar Pajak PPH (1,5 %) "&amp;O834),0))</f>
        <v>0</v>
      </c>
      <c r="AP835" s="89" t="str">
        <f t="shared" si="248"/>
        <v/>
      </c>
      <c r="AQ835" s="89" t="str">
        <f t="shared" si="246"/>
        <v/>
      </c>
      <c r="AR835" s="315" t="str">
        <f t="shared" si="247"/>
        <v/>
      </c>
      <c r="AS835" s="305" t="str">
        <f t="shared" ref="AS835:AS898" si="261">IF(AC835="","",LEFT(AC835,15))</f>
        <v>0</v>
      </c>
      <c r="AT835" s="307">
        <f>Table22[[#This Row],[Column1]]</f>
        <v>0</v>
      </c>
    </row>
    <row r="836" spans="1:46" x14ac:dyDescent="0.3">
      <c r="A836" s="307">
        <f t="shared" si="255"/>
        <v>0</v>
      </c>
      <c r="B836" s="307">
        <f t="shared" si="244"/>
        <v>0</v>
      </c>
      <c r="C836" s="308" t="s">
        <v>563</v>
      </c>
      <c r="D836" s="309" t="s">
        <v>563</v>
      </c>
      <c r="E836" s="310">
        <v>0</v>
      </c>
      <c r="F836" s="310">
        <v>0</v>
      </c>
      <c r="G836" s="311">
        <v>0</v>
      </c>
      <c r="H836" s="310" t="s">
        <v>563</v>
      </c>
      <c r="I836" s="310" t="s">
        <v>563</v>
      </c>
      <c r="J836" s="310" t="s">
        <v>563</v>
      </c>
      <c r="K836" s="312">
        <v>0</v>
      </c>
      <c r="L836" s="310">
        <v>0</v>
      </c>
      <c r="M836" s="310">
        <v>0</v>
      </c>
      <c r="N836" s="313">
        <v>0</v>
      </c>
      <c r="O836" s="314" t="s">
        <v>563</v>
      </c>
      <c r="P836" s="307">
        <f t="shared" si="249"/>
        <v>0</v>
      </c>
      <c r="R836" s="91" t="str">
        <f t="shared" si="245"/>
        <v/>
      </c>
      <c r="S83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6" s="307" t="str">
        <f t="shared" si="251"/>
        <v/>
      </c>
      <c r="U836" s="315" t="str">
        <f t="shared" si="252"/>
        <v/>
      </c>
      <c r="V836" s="307">
        <f t="shared" si="256"/>
        <v>0</v>
      </c>
      <c r="W836" s="307">
        <f>IFERROR(IF(V836&gt;0,PROPER(Terbilang1(V836)&amp;" Rupiah"),0),"")</f>
        <v>0</v>
      </c>
      <c r="X836" s="90" t="str">
        <f t="shared" si="257"/>
        <v/>
      </c>
      <c r="Y836" s="307" t="str">
        <f t="shared" si="258"/>
        <v/>
      </c>
      <c r="Z836" s="307">
        <f t="shared" si="253"/>
        <v>0</v>
      </c>
      <c r="AA836" s="366">
        <f t="shared" si="254"/>
        <v>0</v>
      </c>
      <c r="AB836" s="367">
        <f t="shared" si="259"/>
        <v>0</v>
      </c>
      <c r="AC836" s="305">
        <f t="shared" si="260"/>
        <v>0</v>
      </c>
      <c r="AP836" s="89" t="str">
        <f t="shared" si="248"/>
        <v/>
      </c>
      <c r="AQ836" s="89" t="str">
        <f t="shared" si="246"/>
        <v/>
      </c>
      <c r="AR836" s="315" t="str">
        <f t="shared" si="247"/>
        <v/>
      </c>
      <c r="AS836" s="305" t="str">
        <f t="shared" si="261"/>
        <v>0</v>
      </c>
      <c r="AT836" s="307">
        <f>Table22[[#This Row],[Column1]]</f>
        <v>0</v>
      </c>
    </row>
    <row r="837" spans="1:46" x14ac:dyDescent="0.3">
      <c r="A837" s="307">
        <f t="shared" si="255"/>
        <v>0</v>
      </c>
      <c r="B837" s="307">
        <f t="shared" si="244"/>
        <v>0</v>
      </c>
      <c r="C837" s="308" t="s">
        <v>563</v>
      </c>
      <c r="D837" s="309" t="s">
        <v>563</v>
      </c>
      <c r="E837" s="310">
        <v>0</v>
      </c>
      <c r="F837" s="310">
        <v>0</v>
      </c>
      <c r="G837" s="311">
        <v>0</v>
      </c>
      <c r="H837" s="310" t="s">
        <v>563</v>
      </c>
      <c r="I837" s="310" t="s">
        <v>563</v>
      </c>
      <c r="J837" s="310" t="s">
        <v>563</v>
      </c>
      <c r="K837" s="312">
        <v>0</v>
      </c>
      <c r="L837" s="310">
        <v>0</v>
      </c>
      <c r="M837" s="310">
        <v>0</v>
      </c>
      <c r="N837" s="313">
        <v>0</v>
      </c>
      <c r="O837" s="314" t="s">
        <v>563</v>
      </c>
      <c r="P837" s="307">
        <f t="shared" si="249"/>
        <v>0</v>
      </c>
      <c r="R837" s="91" t="str">
        <f t="shared" si="245"/>
        <v/>
      </c>
      <c r="S83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7" s="307" t="str">
        <f t="shared" si="251"/>
        <v/>
      </c>
      <c r="U837" s="315" t="str">
        <f t="shared" si="252"/>
        <v/>
      </c>
      <c r="V837" s="307">
        <f t="shared" si="256"/>
        <v>0</v>
      </c>
      <c r="W837" s="307">
        <f>IFERROR(IF(V837&gt;0,PROPER(Terbilang1(V837)&amp;" Rupiah"),0),"")</f>
        <v>0</v>
      </c>
      <c r="X837" s="90" t="str">
        <f t="shared" si="257"/>
        <v/>
      </c>
      <c r="Y837" s="307" t="str">
        <f t="shared" si="258"/>
        <v/>
      </c>
      <c r="Z837" s="307">
        <f t="shared" si="253"/>
        <v>0</v>
      </c>
      <c r="AA837" s="366">
        <f t="shared" si="254"/>
        <v>0</v>
      </c>
      <c r="AB837" s="367">
        <f t="shared" si="259"/>
        <v>0</v>
      </c>
      <c r="AC837" s="305">
        <f t="shared" si="260"/>
        <v>0</v>
      </c>
      <c r="AP837" s="89" t="str">
        <f t="shared" si="248"/>
        <v/>
      </c>
      <c r="AQ837" s="89" t="str">
        <f t="shared" si="246"/>
        <v/>
      </c>
      <c r="AR837" s="315" t="str">
        <f t="shared" si="247"/>
        <v/>
      </c>
      <c r="AS837" s="305" t="str">
        <f t="shared" si="261"/>
        <v>0</v>
      </c>
      <c r="AT837" s="307">
        <f>Table22[[#This Row],[Column1]]</f>
        <v>0</v>
      </c>
    </row>
    <row r="838" spans="1:46" x14ac:dyDescent="0.3">
      <c r="A838" s="307">
        <f t="shared" si="255"/>
        <v>0</v>
      </c>
      <c r="B838" s="307">
        <f t="shared" si="244"/>
        <v>0</v>
      </c>
      <c r="C838" s="308" t="s">
        <v>563</v>
      </c>
      <c r="D838" s="309" t="s">
        <v>563</v>
      </c>
      <c r="E838" s="310">
        <v>0</v>
      </c>
      <c r="F838" s="310">
        <v>0</v>
      </c>
      <c r="G838" s="311">
        <v>0</v>
      </c>
      <c r="H838" s="310" t="s">
        <v>563</v>
      </c>
      <c r="I838" s="310" t="s">
        <v>563</v>
      </c>
      <c r="J838" s="310" t="s">
        <v>563</v>
      </c>
      <c r="K838" s="312">
        <v>0</v>
      </c>
      <c r="L838" s="310">
        <v>0</v>
      </c>
      <c r="M838" s="310">
        <v>0</v>
      </c>
      <c r="N838" s="313">
        <v>0</v>
      </c>
      <c r="O838" s="314" t="s">
        <v>563</v>
      </c>
      <c r="P838" s="307">
        <f t="shared" si="249"/>
        <v>0</v>
      </c>
      <c r="R838" s="91" t="str">
        <f t="shared" si="245"/>
        <v/>
      </c>
      <c r="S83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8" s="307" t="str">
        <f t="shared" si="251"/>
        <v/>
      </c>
      <c r="U838" s="315" t="str">
        <f t="shared" si="252"/>
        <v/>
      </c>
      <c r="V838" s="307">
        <f t="shared" si="256"/>
        <v>0</v>
      </c>
      <c r="W838" s="307">
        <f>IFERROR(IF(V838&gt;0,PROPER(Terbilang1(V838)&amp;" Rupiah"),0),"")</f>
        <v>0</v>
      </c>
      <c r="X838" s="90" t="str">
        <f t="shared" si="257"/>
        <v/>
      </c>
      <c r="Y838" s="307" t="str">
        <f t="shared" si="258"/>
        <v/>
      </c>
      <c r="Z838" s="307">
        <f t="shared" si="253"/>
        <v>0</v>
      </c>
      <c r="AA838" s="366">
        <f t="shared" si="254"/>
        <v>0</v>
      </c>
      <c r="AB838" s="367">
        <f t="shared" si="259"/>
        <v>0</v>
      </c>
      <c r="AC838" s="305">
        <f t="shared" si="260"/>
        <v>0</v>
      </c>
      <c r="AP838" s="89" t="str">
        <f t="shared" si="248"/>
        <v/>
      </c>
      <c r="AQ838" s="89" t="str">
        <f t="shared" si="246"/>
        <v/>
      </c>
      <c r="AR838" s="315" t="str">
        <f t="shared" si="247"/>
        <v/>
      </c>
      <c r="AS838" s="305" t="str">
        <f t="shared" si="261"/>
        <v>0</v>
      </c>
      <c r="AT838" s="307">
        <f>Table22[[#This Row],[Column1]]</f>
        <v>0</v>
      </c>
    </row>
    <row r="839" spans="1:46" x14ac:dyDescent="0.3">
      <c r="A839" s="307">
        <f t="shared" si="255"/>
        <v>0</v>
      </c>
      <c r="B839" s="307">
        <f t="shared" si="244"/>
        <v>0</v>
      </c>
      <c r="C839" s="308" t="s">
        <v>563</v>
      </c>
      <c r="D839" s="309" t="s">
        <v>563</v>
      </c>
      <c r="E839" s="310">
        <v>0</v>
      </c>
      <c r="F839" s="310">
        <v>0</v>
      </c>
      <c r="G839" s="311">
        <v>0</v>
      </c>
      <c r="H839" s="310" t="s">
        <v>563</v>
      </c>
      <c r="I839" s="310" t="s">
        <v>563</v>
      </c>
      <c r="J839" s="310" t="s">
        <v>563</v>
      </c>
      <c r="K839" s="312">
        <v>0</v>
      </c>
      <c r="L839" s="310">
        <v>0</v>
      </c>
      <c r="M839" s="310">
        <v>0</v>
      </c>
      <c r="N839" s="313">
        <v>0</v>
      </c>
      <c r="O839" s="314" t="s">
        <v>563</v>
      </c>
      <c r="P839" s="307">
        <f t="shared" si="249"/>
        <v>0</v>
      </c>
      <c r="R839" s="91" t="str">
        <f t="shared" si="245"/>
        <v/>
      </c>
      <c r="S83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39" s="307" t="str">
        <f t="shared" si="251"/>
        <v/>
      </c>
      <c r="U839" s="315" t="str">
        <f t="shared" si="252"/>
        <v/>
      </c>
      <c r="V839" s="307">
        <f t="shared" si="256"/>
        <v>0</v>
      </c>
      <c r="W839" s="307">
        <f>IFERROR(IF(V839&gt;0,PROPER(Terbilang1(V839)&amp;" Rupiah"),0),"")</f>
        <v>0</v>
      </c>
      <c r="X839" s="90" t="str">
        <f t="shared" si="257"/>
        <v/>
      </c>
      <c r="Y839" s="307" t="str">
        <f t="shared" si="258"/>
        <v/>
      </c>
      <c r="Z839" s="307">
        <f t="shared" si="253"/>
        <v>0</v>
      </c>
      <c r="AA839" s="366">
        <f t="shared" si="254"/>
        <v>0</v>
      </c>
      <c r="AB839" s="367">
        <f t="shared" si="259"/>
        <v>0</v>
      </c>
      <c r="AC839" s="305">
        <f t="shared" si="260"/>
        <v>0</v>
      </c>
      <c r="AP839" s="89" t="str">
        <f t="shared" si="248"/>
        <v/>
      </c>
      <c r="AQ839" s="89" t="str">
        <f t="shared" si="246"/>
        <v/>
      </c>
      <c r="AR839" s="315" t="str">
        <f t="shared" si="247"/>
        <v/>
      </c>
      <c r="AS839" s="305" t="str">
        <f t="shared" si="261"/>
        <v>0</v>
      </c>
      <c r="AT839" s="307">
        <f>Table22[[#This Row],[Column1]]</f>
        <v>0</v>
      </c>
    </row>
    <row r="840" spans="1:46" x14ac:dyDescent="0.3">
      <c r="A840" s="307">
        <f t="shared" si="255"/>
        <v>0</v>
      </c>
      <c r="B840" s="307">
        <f t="shared" si="244"/>
        <v>0</v>
      </c>
      <c r="C840" s="308" t="s">
        <v>563</v>
      </c>
      <c r="D840" s="309" t="s">
        <v>563</v>
      </c>
      <c r="E840" s="310">
        <v>0</v>
      </c>
      <c r="F840" s="310">
        <v>0</v>
      </c>
      <c r="G840" s="311">
        <v>0</v>
      </c>
      <c r="H840" s="310" t="s">
        <v>563</v>
      </c>
      <c r="I840" s="310" t="s">
        <v>563</v>
      </c>
      <c r="J840" s="310" t="s">
        <v>563</v>
      </c>
      <c r="K840" s="312">
        <v>0</v>
      </c>
      <c r="L840" s="310">
        <v>0</v>
      </c>
      <c r="M840" s="310">
        <v>0</v>
      </c>
      <c r="N840" s="313">
        <v>0</v>
      </c>
      <c r="O840" s="314" t="s">
        <v>563</v>
      </c>
      <c r="P840" s="307">
        <f t="shared" si="249"/>
        <v>0</v>
      </c>
      <c r="R840" s="91" t="str">
        <f t="shared" si="245"/>
        <v/>
      </c>
      <c r="S84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0" s="307" t="str">
        <f t="shared" si="251"/>
        <v/>
      </c>
      <c r="U840" s="315" t="str">
        <f t="shared" si="252"/>
        <v/>
      </c>
      <c r="V840" s="307">
        <f t="shared" si="256"/>
        <v>0</v>
      </c>
      <c r="W840" s="307">
        <f>IFERROR(IF(V840&gt;0,PROPER(Terbilang1(V840)&amp;" Rupiah"),0),"")</f>
        <v>0</v>
      </c>
      <c r="X840" s="90" t="str">
        <f t="shared" si="257"/>
        <v/>
      </c>
      <c r="Y840" s="307" t="str">
        <f t="shared" si="258"/>
        <v/>
      </c>
      <c r="Z840" s="307">
        <f t="shared" si="253"/>
        <v>0</v>
      </c>
      <c r="AA840" s="366">
        <f t="shared" si="254"/>
        <v>0</v>
      </c>
      <c r="AB840" s="367">
        <f t="shared" si="259"/>
        <v>0</v>
      </c>
      <c r="AC840" s="305">
        <f t="shared" si="260"/>
        <v>0</v>
      </c>
      <c r="AP840" s="89" t="str">
        <f t="shared" si="248"/>
        <v/>
      </c>
      <c r="AQ840" s="89" t="str">
        <f t="shared" si="246"/>
        <v/>
      </c>
      <c r="AR840" s="315" t="str">
        <f t="shared" si="247"/>
        <v/>
      </c>
      <c r="AS840" s="305" t="str">
        <f t="shared" si="261"/>
        <v>0</v>
      </c>
      <c r="AT840" s="307">
        <f>Table22[[#This Row],[Column1]]</f>
        <v>0</v>
      </c>
    </row>
    <row r="841" spans="1:46" x14ac:dyDescent="0.3">
      <c r="A841" s="307">
        <f t="shared" si="255"/>
        <v>0</v>
      </c>
      <c r="B841" s="307">
        <f t="shared" si="244"/>
        <v>0</v>
      </c>
      <c r="C841" s="308" t="s">
        <v>563</v>
      </c>
      <c r="D841" s="309" t="s">
        <v>563</v>
      </c>
      <c r="E841" s="310">
        <v>0</v>
      </c>
      <c r="F841" s="310">
        <v>0</v>
      </c>
      <c r="G841" s="311">
        <v>0</v>
      </c>
      <c r="H841" s="310" t="s">
        <v>563</v>
      </c>
      <c r="I841" s="310" t="s">
        <v>563</v>
      </c>
      <c r="J841" s="310" t="s">
        <v>563</v>
      </c>
      <c r="K841" s="312">
        <v>0</v>
      </c>
      <c r="L841" s="310">
        <v>0</v>
      </c>
      <c r="M841" s="310">
        <v>0</v>
      </c>
      <c r="N841" s="313">
        <v>0</v>
      </c>
      <c r="O841" s="314" t="s">
        <v>563</v>
      </c>
      <c r="P841" s="307">
        <f t="shared" si="249"/>
        <v>0</v>
      </c>
      <c r="R841" s="91" t="str">
        <f t="shared" si="245"/>
        <v/>
      </c>
      <c r="S84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1" s="307" t="str">
        <f t="shared" si="251"/>
        <v/>
      </c>
      <c r="U841" s="315" t="str">
        <f t="shared" si="252"/>
        <v/>
      </c>
      <c r="V841" s="307">
        <f t="shared" si="256"/>
        <v>0</v>
      </c>
      <c r="W841" s="307">
        <f>IFERROR(IF(V841&gt;0,PROPER(Terbilang1(V841)&amp;" Rupiah"),0),"")</f>
        <v>0</v>
      </c>
      <c r="X841" s="90" t="str">
        <f t="shared" si="257"/>
        <v/>
      </c>
      <c r="Y841" s="307" t="str">
        <f t="shared" si="258"/>
        <v/>
      </c>
      <c r="Z841" s="307">
        <f t="shared" si="253"/>
        <v>0</v>
      </c>
      <c r="AA841" s="366">
        <f t="shared" si="254"/>
        <v>0</v>
      </c>
      <c r="AB841" s="367">
        <f t="shared" si="259"/>
        <v>0</v>
      </c>
      <c r="AC841" s="305">
        <f t="shared" si="260"/>
        <v>0</v>
      </c>
      <c r="AP841" s="89" t="str">
        <f t="shared" si="248"/>
        <v/>
      </c>
      <c r="AQ841" s="89" t="str">
        <f t="shared" si="246"/>
        <v/>
      </c>
      <c r="AR841" s="315" t="str">
        <f t="shared" si="247"/>
        <v/>
      </c>
      <c r="AS841" s="305" t="str">
        <f t="shared" si="261"/>
        <v>0</v>
      </c>
      <c r="AT841" s="307">
        <f>Table22[[#This Row],[Column1]]</f>
        <v>0</v>
      </c>
    </row>
    <row r="842" spans="1:46" x14ac:dyDescent="0.3">
      <c r="A842" s="307">
        <f t="shared" si="255"/>
        <v>0</v>
      </c>
      <c r="B842" s="307">
        <f t="shared" si="244"/>
        <v>0</v>
      </c>
      <c r="C842" s="308" t="s">
        <v>563</v>
      </c>
      <c r="D842" s="309" t="s">
        <v>563</v>
      </c>
      <c r="E842" s="310">
        <v>0</v>
      </c>
      <c r="F842" s="310">
        <v>0</v>
      </c>
      <c r="G842" s="311">
        <v>0</v>
      </c>
      <c r="H842" s="310" t="s">
        <v>563</v>
      </c>
      <c r="I842" s="310" t="s">
        <v>563</v>
      </c>
      <c r="J842" s="310" t="s">
        <v>563</v>
      </c>
      <c r="K842" s="312">
        <v>0</v>
      </c>
      <c r="L842" s="310">
        <v>0</v>
      </c>
      <c r="M842" s="310">
        <v>0</v>
      </c>
      <c r="N842" s="313">
        <v>0</v>
      </c>
      <c r="O842" s="314" t="s">
        <v>563</v>
      </c>
      <c r="P842" s="307">
        <f t="shared" si="249"/>
        <v>0</v>
      </c>
      <c r="R842" s="91" t="str">
        <f t="shared" si="245"/>
        <v/>
      </c>
      <c r="S84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2" s="307" t="str">
        <f t="shared" si="251"/>
        <v/>
      </c>
      <c r="U842" s="315" t="str">
        <f t="shared" si="252"/>
        <v/>
      </c>
      <c r="V842" s="307">
        <f t="shared" si="256"/>
        <v>0</v>
      </c>
      <c r="W842" s="307">
        <f>IFERROR(IF(V842&gt;0,PROPER(Terbilang1(V842)&amp;" Rupiah"),0),"")</f>
        <v>0</v>
      </c>
      <c r="X842" s="90" t="str">
        <f t="shared" si="257"/>
        <v/>
      </c>
      <c r="Y842" s="307" t="str">
        <f t="shared" si="258"/>
        <v/>
      </c>
      <c r="Z842" s="307">
        <f t="shared" si="253"/>
        <v>0</v>
      </c>
      <c r="AA842" s="366">
        <f t="shared" si="254"/>
        <v>0</v>
      </c>
      <c r="AB842" s="367">
        <f t="shared" si="259"/>
        <v>0</v>
      </c>
      <c r="AC842" s="305">
        <f t="shared" si="260"/>
        <v>0</v>
      </c>
      <c r="AP842" s="89" t="str">
        <f t="shared" si="248"/>
        <v/>
      </c>
      <c r="AQ842" s="89" t="str">
        <f t="shared" si="246"/>
        <v/>
      </c>
      <c r="AR842" s="315" t="str">
        <f t="shared" si="247"/>
        <v/>
      </c>
      <c r="AS842" s="305" t="str">
        <f t="shared" si="261"/>
        <v>0</v>
      </c>
      <c r="AT842" s="307">
        <f>Table22[[#This Row],[Column1]]</f>
        <v>0</v>
      </c>
    </row>
    <row r="843" spans="1:46" x14ac:dyDescent="0.3">
      <c r="A843" s="307">
        <f t="shared" si="255"/>
        <v>0</v>
      </c>
      <c r="B843" s="307">
        <f t="shared" si="244"/>
        <v>0</v>
      </c>
      <c r="C843" s="308" t="s">
        <v>563</v>
      </c>
      <c r="D843" s="309" t="s">
        <v>563</v>
      </c>
      <c r="E843" s="310">
        <v>0</v>
      </c>
      <c r="F843" s="310">
        <v>0</v>
      </c>
      <c r="G843" s="311">
        <v>0</v>
      </c>
      <c r="H843" s="310" t="s">
        <v>563</v>
      </c>
      <c r="I843" s="310" t="s">
        <v>563</v>
      </c>
      <c r="J843" s="310" t="s">
        <v>563</v>
      </c>
      <c r="K843" s="312">
        <v>0</v>
      </c>
      <c r="L843" s="310">
        <v>0</v>
      </c>
      <c r="M843" s="310">
        <v>0</v>
      </c>
      <c r="N843" s="313">
        <v>0</v>
      </c>
      <c r="O843" s="314" t="s">
        <v>563</v>
      </c>
      <c r="P843" s="307">
        <f t="shared" si="249"/>
        <v>0</v>
      </c>
      <c r="R843" s="91" t="str">
        <f t="shared" si="245"/>
        <v/>
      </c>
      <c r="S84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3" s="307" t="str">
        <f t="shared" si="251"/>
        <v/>
      </c>
      <c r="U843" s="315" t="str">
        <f t="shared" si="252"/>
        <v/>
      </c>
      <c r="V843" s="307">
        <f t="shared" si="256"/>
        <v>0</v>
      </c>
      <c r="W843" s="307">
        <f>IFERROR(IF(V843&gt;0,PROPER(Terbilang1(V843)&amp;" Rupiah"),0),"")</f>
        <v>0</v>
      </c>
      <c r="X843" s="90" t="str">
        <f t="shared" si="257"/>
        <v/>
      </c>
      <c r="Y843" s="307" t="str">
        <f t="shared" si="258"/>
        <v/>
      </c>
      <c r="Z843" s="307">
        <f t="shared" si="253"/>
        <v>0</v>
      </c>
      <c r="AA843" s="366">
        <f t="shared" si="254"/>
        <v>0</v>
      </c>
      <c r="AB843" s="367">
        <f t="shared" si="259"/>
        <v>0</v>
      </c>
      <c r="AC843" s="305">
        <f t="shared" si="260"/>
        <v>0</v>
      </c>
      <c r="AP843" s="89" t="str">
        <f t="shared" si="248"/>
        <v/>
      </c>
      <c r="AQ843" s="89" t="str">
        <f t="shared" si="246"/>
        <v/>
      </c>
      <c r="AR843" s="315" t="str">
        <f t="shared" si="247"/>
        <v/>
      </c>
      <c r="AS843" s="305" t="str">
        <f t="shared" si="261"/>
        <v>0</v>
      </c>
      <c r="AT843" s="307">
        <f>Table22[[#This Row],[Column1]]</f>
        <v>0</v>
      </c>
    </row>
    <row r="844" spans="1:46" x14ac:dyDescent="0.3">
      <c r="A844" s="307">
        <f t="shared" si="255"/>
        <v>0</v>
      </c>
      <c r="B844" s="307">
        <f t="shared" si="244"/>
        <v>0</v>
      </c>
      <c r="C844" s="308" t="s">
        <v>563</v>
      </c>
      <c r="D844" s="309" t="s">
        <v>563</v>
      </c>
      <c r="E844" s="310">
        <v>0</v>
      </c>
      <c r="F844" s="310">
        <v>0</v>
      </c>
      <c r="G844" s="311">
        <v>0</v>
      </c>
      <c r="H844" s="310" t="s">
        <v>563</v>
      </c>
      <c r="I844" s="310" t="s">
        <v>563</v>
      </c>
      <c r="J844" s="310" t="s">
        <v>563</v>
      </c>
      <c r="K844" s="312">
        <v>0</v>
      </c>
      <c r="L844" s="310">
        <v>0</v>
      </c>
      <c r="M844" s="310">
        <v>0</v>
      </c>
      <c r="N844" s="313">
        <v>0</v>
      </c>
      <c r="O844" s="314" t="s">
        <v>563</v>
      </c>
      <c r="P844" s="307">
        <f t="shared" si="249"/>
        <v>0</v>
      </c>
      <c r="R844" s="91" t="str">
        <f t="shared" si="245"/>
        <v/>
      </c>
      <c r="S84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4" s="307" t="str">
        <f t="shared" si="251"/>
        <v/>
      </c>
      <c r="U844" s="315" t="str">
        <f t="shared" si="252"/>
        <v/>
      </c>
      <c r="V844" s="307">
        <f t="shared" si="256"/>
        <v>0</v>
      </c>
      <c r="W844" s="307">
        <f>IFERROR(IF(V844&gt;0,PROPER(Terbilang1(V844)&amp;" Rupiah"),0),"")</f>
        <v>0</v>
      </c>
      <c r="X844" s="90" t="str">
        <f t="shared" si="257"/>
        <v/>
      </c>
      <c r="Y844" s="307" t="str">
        <f t="shared" si="258"/>
        <v/>
      </c>
      <c r="Z844" s="307">
        <f t="shared" si="253"/>
        <v>0</v>
      </c>
      <c r="AA844" s="366">
        <f t="shared" si="254"/>
        <v>0</v>
      </c>
      <c r="AB844" s="367">
        <f t="shared" si="259"/>
        <v>0</v>
      </c>
      <c r="AC844" s="305">
        <f t="shared" si="260"/>
        <v>0</v>
      </c>
      <c r="AP844" s="89" t="str">
        <f t="shared" si="248"/>
        <v/>
      </c>
      <c r="AQ844" s="89" t="str">
        <f t="shared" si="246"/>
        <v/>
      </c>
      <c r="AR844" s="315" t="str">
        <f t="shared" si="247"/>
        <v/>
      </c>
      <c r="AS844" s="305" t="str">
        <f t="shared" si="261"/>
        <v>0</v>
      </c>
      <c r="AT844" s="307">
        <f>Table22[[#This Row],[Column1]]</f>
        <v>0</v>
      </c>
    </row>
    <row r="845" spans="1:46" x14ac:dyDescent="0.3">
      <c r="A845" s="307">
        <f t="shared" si="255"/>
        <v>0</v>
      </c>
      <c r="B845" s="307">
        <f t="shared" si="244"/>
        <v>0</v>
      </c>
      <c r="C845" s="308" t="s">
        <v>563</v>
      </c>
      <c r="D845" s="309" t="s">
        <v>563</v>
      </c>
      <c r="E845" s="310">
        <v>0</v>
      </c>
      <c r="F845" s="310">
        <v>0</v>
      </c>
      <c r="G845" s="311">
        <v>0</v>
      </c>
      <c r="H845" s="310" t="s">
        <v>563</v>
      </c>
      <c r="I845" s="310" t="s">
        <v>563</v>
      </c>
      <c r="J845" s="310" t="s">
        <v>563</v>
      </c>
      <c r="K845" s="312">
        <v>0</v>
      </c>
      <c r="L845" s="310">
        <v>0</v>
      </c>
      <c r="M845" s="310">
        <v>0</v>
      </c>
      <c r="N845" s="313">
        <v>0</v>
      </c>
      <c r="O845" s="314" t="s">
        <v>563</v>
      </c>
      <c r="P845" s="307">
        <f t="shared" si="249"/>
        <v>0</v>
      </c>
      <c r="R845" s="91" t="str">
        <f t="shared" si="245"/>
        <v/>
      </c>
      <c r="S84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5" s="307" t="str">
        <f t="shared" si="251"/>
        <v/>
      </c>
      <c r="U845" s="315" t="str">
        <f t="shared" si="252"/>
        <v/>
      </c>
      <c r="V845" s="307">
        <f t="shared" si="256"/>
        <v>0</v>
      </c>
      <c r="W845" s="307">
        <f>IFERROR(IF(V845&gt;0,PROPER(Terbilang1(V845)&amp;" Rupiah"),0),"")</f>
        <v>0</v>
      </c>
      <c r="X845" s="90" t="str">
        <f t="shared" si="257"/>
        <v/>
      </c>
      <c r="Y845" s="307" t="str">
        <f t="shared" si="258"/>
        <v/>
      </c>
      <c r="Z845" s="307">
        <f t="shared" si="253"/>
        <v>0</v>
      </c>
      <c r="AA845" s="366">
        <f t="shared" si="254"/>
        <v>0</v>
      </c>
      <c r="AB845" s="367">
        <f t="shared" si="259"/>
        <v>0</v>
      </c>
      <c r="AC845" s="305">
        <f t="shared" si="260"/>
        <v>0</v>
      </c>
      <c r="AP845" s="89" t="str">
        <f t="shared" si="248"/>
        <v/>
      </c>
      <c r="AQ845" s="89" t="str">
        <f t="shared" si="246"/>
        <v/>
      </c>
      <c r="AR845" s="315" t="str">
        <f t="shared" si="247"/>
        <v/>
      </c>
      <c r="AS845" s="305" t="str">
        <f t="shared" si="261"/>
        <v>0</v>
      </c>
      <c r="AT845" s="307">
        <f>Table22[[#This Row],[Column1]]</f>
        <v>0</v>
      </c>
    </row>
    <row r="846" spans="1:46" x14ac:dyDescent="0.3">
      <c r="A846" s="307">
        <f t="shared" si="255"/>
        <v>0</v>
      </c>
      <c r="B846" s="307">
        <f t="shared" si="244"/>
        <v>0</v>
      </c>
      <c r="C846" s="308" t="s">
        <v>563</v>
      </c>
      <c r="D846" s="309" t="s">
        <v>563</v>
      </c>
      <c r="E846" s="310">
        <v>0</v>
      </c>
      <c r="F846" s="310">
        <v>0</v>
      </c>
      <c r="G846" s="311">
        <v>0</v>
      </c>
      <c r="H846" s="310" t="s">
        <v>563</v>
      </c>
      <c r="I846" s="310" t="s">
        <v>563</v>
      </c>
      <c r="J846" s="310" t="s">
        <v>563</v>
      </c>
      <c r="K846" s="312">
        <v>0</v>
      </c>
      <c r="L846" s="310">
        <v>0</v>
      </c>
      <c r="M846" s="310">
        <v>0</v>
      </c>
      <c r="N846" s="313">
        <v>0</v>
      </c>
      <c r="O846" s="314" t="s">
        <v>563</v>
      </c>
      <c r="P846" s="307">
        <f t="shared" si="249"/>
        <v>0</v>
      </c>
      <c r="R846" s="91" t="str">
        <f t="shared" si="245"/>
        <v/>
      </c>
      <c r="S84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6" s="307" t="str">
        <f t="shared" si="251"/>
        <v/>
      </c>
      <c r="U846" s="315" t="str">
        <f t="shared" si="252"/>
        <v/>
      </c>
      <c r="V846" s="307">
        <f t="shared" si="256"/>
        <v>0</v>
      </c>
      <c r="W846" s="307">
        <f>IFERROR(IF(V846&gt;0,PROPER(Terbilang1(V846)&amp;" Rupiah"),0),"")</f>
        <v>0</v>
      </c>
      <c r="X846" s="90" t="str">
        <f t="shared" si="257"/>
        <v/>
      </c>
      <c r="Y846" s="307" t="str">
        <f t="shared" si="258"/>
        <v/>
      </c>
      <c r="Z846" s="307">
        <f t="shared" si="253"/>
        <v>0</v>
      </c>
      <c r="AA846" s="366">
        <f t="shared" si="254"/>
        <v>0</v>
      </c>
      <c r="AB846" s="367">
        <f t="shared" si="259"/>
        <v>0</v>
      </c>
      <c r="AC846" s="305">
        <f t="shared" si="260"/>
        <v>0</v>
      </c>
      <c r="AP846" s="89" t="str">
        <f t="shared" si="248"/>
        <v/>
      </c>
      <c r="AQ846" s="89" t="str">
        <f t="shared" si="246"/>
        <v/>
      </c>
      <c r="AR846" s="315" t="str">
        <f t="shared" si="247"/>
        <v/>
      </c>
      <c r="AS846" s="305" t="str">
        <f t="shared" si="261"/>
        <v>0</v>
      </c>
      <c r="AT846" s="307">
        <f>Table22[[#This Row],[Column1]]</f>
        <v>0</v>
      </c>
    </row>
    <row r="847" spans="1:46" x14ac:dyDescent="0.3">
      <c r="A847" s="307">
        <f t="shared" si="255"/>
        <v>0</v>
      </c>
      <c r="B847" s="307">
        <f t="shared" si="244"/>
        <v>0</v>
      </c>
      <c r="C847" s="308" t="s">
        <v>563</v>
      </c>
      <c r="D847" s="309" t="s">
        <v>563</v>
      </c>
      <c r="E847" s="310">
        <v>0</v>
      </c>
      <c r="F847" s="310">
        <v>0</v>
      </c>
      <c r="G847" s="311">
        <v>0</v>
      </c>
      <c r="H847" s="310" t="s">
        <v>563</v>
      </c>
      <c r="I847" s="310" t="s">
        <v>563</v>
      </c>
      <c r="J847" s="310" t="s">
        <v>563</v>
      </c>
      <c r="K847" s="312">
        <v>0</v>
      </c>
      <c r="L847" s="310">
        <v>0</v>
      </c>
      <c r="M847" s="310">
        <v>0</v>
      </c>
      <c r="N847" s="313">
        <v>0</v>
      </c>
      <c r="O847" s="314" t="s">
        <v>563</v>
      </c>
      <c r="P847" s="307">
        <f t="shared" si="249"/>
        <v>0</v>
      </c>
      <c r="R847" s="91" t="str">
        <f t="shared" si="245"/>
        <v/>
      </c>
      <c r="S84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7" s="307" t="str">
        <f t="shared" si="251"/>
        <v/>
      </c>
      <c r="U847" s="315" t="str">
        <f t="shared" si="252"/>
        <v/>
      </c>
      <c r="V847" s="307">
        <f t="shared" si="256"/>
        <v>0</v>
      </c>
      <c r="W847" s="307">
        <f>IFERROR(IF(V847&gt;0,PROPER(Terbilang1(V847)&amp;" Rupiah"),0),"")</f>
        <v>0</v>
      </c>
      <c r="X847" s="90" t="str">
        <f t="shared" si="257"/>
        <v/>
      </c>
      <c r="Y847" s="307" t="str">
        <f t="shared" si="258"/>
        <v/>
      </c>
      <c r="Z847" s="307">
        <f t="shared" si="253"/>
        <v>0</v>
      </c>
      <c r="AA847" s="366">
        <f t="shared" si="254"/>
        <v>0</v>
      </c>
      <c r="AB847" s="367">
        <f t="shared" si="259"/>
        <v>0</v>
      </c>
      <c r="AC847" s="305">
        <f t="shared" si="260"/>
        <v>0</v>
      </c>
      <c r="AP847" s="89" t="str">
        <f t="shared" si="248"/>
        <v/>
      </c>
      <c r="AQ847" s="89" t="str">
        <f t="shared" si="246"/>
        <v/>
      </c>
      <c r="AR847" s="315" t="str">
        <f t="shared" si="247"/>
        <v/>
      </c>
      <c r="AS847" s="305" t="str">
        <f t="shared" si="261"/>
        <v>0</v>
      </c>
      <c r="AT847" s="307">
        <f>Table22[[#This Row],[Column1]]</f>
        <v>0</v>
      </c>
    </row>
    <row r="848" spans="1:46" x14ac:dyDescent="0.3">
      <c r="A848" s="307">
        <f t="shared" si="255"/>
        <v>0</v>
      </c>
      <c r="B848" s="307">
        <f t="shared" si="244"/>
        <v>0</v>
      </c>
      <c r="C848" s="308" t="s">
        <v>563</v>
      </c>
      <c r="D848" s="309" t="s">
        <v>563</v>
      </c>
      <c r="E848" s="310">
        <v>0</v>
      </c>
      <c r="F848" s="310">
        <v>0</v>
      </c>
      <c r="G848" s="311">
        <v>0</v>
      </c>
      <c r="H848" s="310" t="s">
        <v>563</v>
      </c>
      <c r="I848" s="310" t="s">
        <v>563</v>
      </c>
      <c r="J848" s="310" t="s">
        <v>563</v>
      </c>
      <c r="K848" s="312">
        <v>0</v>
      </c>
      <c r="L848" s="310">
        <v>0</v>
      </c>
      <c r="M848" s="310">
        <v>0</v>
      </c>
      <c r="N848" s="313">
        <v>0</v>
      </c>
      <c r="O848" s="314" t="s">
        <v>563</v>
      </c>
      <c r="P848" s="307">
        <f t="shared" si="249"/>
        <v>0</v>
      </c>
      <c r="R848" s="91" t="str">
        <f t="shared" si="245"/>
        <v/>
      </c>
      <c r="S84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8" s="307" t="str">
        <f t="shared" si="251"/>
        <v/>
      </c>
      <c r="U848" s="315" t="str">
        <f t="shared" si="252"/>
        <v/>
      </c>
      <c r="V848" s="307">
        <f t="shared" si="256"/>
        <v>0</v>
      </c>
      <c r="W848" s="307">
        <f>IFERROR(IF(V848&gt;0,PROPER(Terbilang1(V848)&amp;" Rupiah"),0),"")</f>
        <v>0</v>
      </c>
      <c r="X848" s="90" t="str">
        <f t="shared" si="257"/>
        <v/>
      </c>
      <c r="Y848" s="307" t="str">
        <f t="shared" si="258"/>
        <v/>
      </c>
      <c r="Z848" s="307">
        <f t="shared" si="253"/>
        <v>0</v>
      </c>
      <c r="AA848" s="366">
        <f t="shared" si="254"/>
        <v>0</v>
      </c>
      <c r="AB848" s="367">
        <f t="shared" si="259"/>
        <v>0</v>
      </c>
      <c r="AC848" s="305">
        <f t="shared" si="260"/>
        <v>0</v>
      </c>
      <c r="AP848" s="89" t="str">
        <f t="shared" si="248"/>
        <v/>
      </c>
      <c r="AQ848" s="89" t="str">
        <f t="shared" si="246"/>
        <v/>
      </c>
      <c r="AR848" s="315" t="str">
        <f t="shared" si="247"/>
        <v/>
      </c>
      <c r="AS848" s="305" t="str">
        <f t="shared" si="261"/>
        <v>0</v>
      </c>
      <c r="AT848" s="307">
        <f>Table22[[#This Row],[Column1]]</f>
        <v>0</v>
      </c>
    </row>
    <row r="849" spans="1:46" x14ac:dyDescent="0.3">
      <c r="A849" s="307">
        <f t="shared" si="255"/>
        <v>0</v>
      </c>
      <c r="B849" s="307">
        <f t="shared" si="244"/>
        <v>0</v>
      </c>
      <c r="C849" s="308" t="s">
        <v>563</v>
      </c>
      <c r="D849" s="309" t="s">
        <v>563</v>
      </c>
      <c r="E849" s="310">
        <v>0</v>
      </c>
      <c r="F849" s="310">
        <v>0</v>
      </c>
      <c r="G849" s="311">
        <v>0</v>
      </c>
      <c r="H849" s="310" t="s">
        <v>563</v>
      </c>
      <c r="I849" s="310" t="s">
        <v>563</v>
      </c>
      <c r="J849" s="310" t="s">
        <v>563</v>
      </c>
      <c r="K849" s="312">
        <v>0</v>
      </c>
      <c r="L849" s="310">
        <v>0</v>
      </c>
      <c r="M849" s="310">
        <v>0</v>
      </c>
      <c r="N849" s="313">
        <v>0</v>
      </c>
      <c r="O849" s="314" t="s">
        <v>563</v>
      </c>
      <c r="P849" s="307">
        <f t="shared" si="249"/>
        <v>0</v>
      </c>
      <c r="R849" s="91" t="str">
        <f t="shared" si="245"/>
        <v/>
      </c>
      <c r="S84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49" s="307" t="str">
        <f t="shared" si="251"/>
        <v/>
      </c>
      <c r="U849" s="315" t="str">
        <f t="shared" si="252"/>
        <v/>
      </c>
      <c r="V849" s="307">
        <f t="shared" si="256"/>
        <v>0</v>
      </c>
      <c r="W849" s="307">
        <f>IFERROR(IF(V849&gt;0,PROPER(Terbilang1(V849)&amp;" Rupiah"),0),"")</f>
        <v>0</v>
      </c>
      <c r="X849" s="90" t="str">
        <f t="shared" si="257"/>
        <v/>
      </c>
      <c r="Y849" s="307" t="str">
        <f t="shared" si="258"/>
        <v/>
      </c>
      <c r="Z849" s="307">
        <f t="shared" si="253"/>
        <v>0</v>
      </c>
      <c r="AA849" s="366">
        <f t="shared" si="254"/>
        <v>0</v>
      </c>
      <c r="AB849" s="367">
        <f t="shared" si="259"/>
        <v>0</v>
      </c>
      <c r="AC849" s="305">
        <f t="shared" si="260"/>
        <v>0</v>
      </c>
      <c r="AP849" s="89" t="str">
        <f t="shared" si="248"/>
        <v/>
      </c>
      <c r="AQ849" s="89" t="str">
        <f t="shared" si="246"/>
        <v/>
      </c>
      <c r="AR849" s="315" t="str">
        <f t="shared" si="247"/>
        <v/>
      </c>
      <c r="AS849" s="305" t="str">
        <f t="shared" si="261"/>
        <v>0</v>
      </c>
      <c r="AT849" s="307">
        <f>Table22[[#This Row],[Column1]]</f>
        <v>0</v>
      </c>
    </row>
    <row r="850" spans="1:46" x14ac:dyDescent="0.3">
      <c r="A850" s="307">
        <f t="shared" si="255"/>
        <v>0</v>
      </c>
      <c r="B850" s="307">
        <f t="shared" si="244"/>
        <v>0</v>
      </c>
      <c r="C850" s="308" t="s">
        <v>563</v>
      </c>
      <c r="D850" s="309" t="s">
        <v>563</v>
      </c>
      <c r="E850" s="310">
        <v>0</v>
      </c>
      <c r="F850" s="310">
        <v>0</v>
      </c>
      <c r="G850" s="311">
        <v>0</v>
      </c>
      <c r="H850" s="310" t="s">
        <v>563</v>
      </c>
      <c r="I850" s="310" t="s">
        <v>563</v>
      </c>
      <c r="J850" s="310" t="s">
        <v>563</v>
      </c>
      <c r="K850" s="312">
        <v>0</v>
      </c>
      <c r="L850" s="310">
        <v>0</v>
      </c>
      <c r="M850" s="310">
        <v>0</v>
      </c>
      <c r="N850" s="313">
        <v>0</v>
      </c>
      <c r="O850" s="314" t="s">
        <v>563</v>
      </c>
      <c r="P850" s="307">
        <f t="shared" si="249"/>
        <v>0</v>
      </c>
      <c r="R850" s="91" t="str">
        <f t="shared" si="245"/>
        <v/>
      </c>
      <c r="S85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0" s="307" t="str">
        <f t="shared" si="251"/>
        <v/>
      </c>
      <c r="U850" s="315" t="str">
        <f t="shared" si="252"/>
        <v/>
      </c>
      <c r="V850" s="307">
        <f t="shared" si="256"/>
        <v>0</v>
      </c>
      <c r="W850" s="307">
        <f>IFERROR(IF(V850&gt;0,PROPER(Terbilang1(V850)&amp;" Rupiah"),0),"")</f>
        <v>0</v>
      </c>
      <c r="X850" s="90" t="str">
        <f t="shared" si="257"/>
        <v/>
      </c>
      <c r="Y850" s="307" t="str">
        <f t="shared" si="258"/>
        <v/>
      </c>
      <c r="Z850" s="307">
        <f t="shared" si="253"/>
        <v>0</v>
      </c>
      <c r="AA850" s="366">
        <f t="shared" si="254"/>
        <v>0</v>
      </c>
      <c r="AB850" s="367">
        <f t="shared" si="259"/>
        <v>0</v>
      </c>
      <c r="AC850" s="305">
        <f t="shared" si="260"/>
        <v>0</v>
      </c>
      <c r="AP850" s="89" t="str">
        <f t="shared" si="248"/>
        <v/>
      </c>
      <c r="AQ850" s="89" t="str">
        <f t="shared" si="246"/>
        <v/>
      </c>
      <c r="AR850" s="315" t="str">
        <f t="shared" si="247"/>
        <v/>
      </c>
      <c r="AS850" s="305" t="str">
        <f t="shared" si="261"/>
        <v>0</v>
      </c>
      <c r="AT850" s="307">
        <f>Table22[[#This Row],[Column1]]</f>
        <v>0</v>
      </c>
    </row>
    <row r="851" spans="1:46" x14ac:dyDescent="0.3">
      <c r="A851" s="307">
        <f t="shared" si="255"/>
        <v>0</v>
      </c>
      <c r="B851" s="307">
        <f t="shared" si="244"/>
        <v>0</v>
      </c>
      <c r="C851" s="308" t="s">
        <v>563</v>
      </c>
      <c r="D851" s="309" t="s">
        <v>563</v>
      </c>
      <c r="E851" s="310">
        <v>0</v>
      </c>
      <c r="F851" s="310">
        <v>0</v>
      </c>
      <c r="G851" s="311">
        <v>0</v>
      </c>
      <c r="H851" s="310" t="s">
        <v>563</v>
      </c>
      <c r="I851" s="310" t="s">
        <v>563</v>
      </c>
      <c r="J851" s="310" t="s">
        <v>563</v>
      </c>
      <c r="K851" s="312">
        <v>0</v>
      </c>
      <c r="L851" s="310">
        <v>0</v>
      </c>
      <c r="M851" s="310">
        <v>0</v>
      </c>
      <c r="N851" s="313">
        <v>0</v>
      </c>
      <c r="O851" s="314" t="s">
        <v>563</v>
      </c>
      <c r="P851" s="307">
        <f t="shared" si="249"/>
        <v>0</v>
      </c>
      <c r="R851" s="91" t="str">
        <f t="shared" si="245"/>
        <v/>
      </c>
      <c r="S85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1" s="307" t="str">
        <f t="shared" si="251"/>
        <v/>
      </c>
      <c r="U851" s="315" t="str">
        <f t="shared" si="252"/>
        <v/>
      </c>
      <c r="V851" s="307">
        <f t="shared" si="256"/>
        <v>0</v>
      </c>
      <c r="W851" s="307">
        <f>IFERROR(IF(V851&gt;0,PROPER(Terbilang1(V851)&amp;" Rupiah"),0),"")</f>
        <v>0</v>
      </c>
      <c r="X851" s="90" t="str">
        <f t="shared" si="257"/>
        <v/>
      </c>
      <c r="Y851" s="307" t="str">
        <f t="shared" si="258"/>
        <v/>
      </c>
      <c r="Z851" s="307">
        <f t="shared" si="253"/>
        <v>0</v>
      </c>
      <c r="AA851" s="366">
        <f t="shared" si="254"/>
        <v>0</v>
      </c>
      <c r="AB851" s="367">
        <f t="shared" si="259"/>
        <v>0</v>
      </c>
      <c r="AC851" s="305">
        <f t="shared" si="260"/>
        <v>0</v>
      </c>
      <c r="AP851" s="89" t="str">
        <f t="shared" si="248"/>
        <v/>
      </c>
      <c r="AQ851" s="89" t="str">
        <f t="shared" si="246"/>
        <v/>
      </c>
      <c r="AR851" s="315" t="str">
        <f t="shared" si="247"/>
        <v/>
      </c>
      <c r="AS851" s="305" t="str">
        <f t="shared" si="261"/>
        <v>0</v>
      </c>
      <c r="AT851" s="307">
        <f>Table22[[#This Row],[Column1]]</f>
        <v>0</v>
      </c>
    </row>
    <row r="852" spans="1:46" x14ac:dyDescent="0.3">
      <c r="A852" s="307">
        <f t="shared" si="255"/>
        <v>0</v>
      </c>
      <c r="B852" s="307">
        <f t="shared" si="244"/>
        <v>0</v>
      </c>
      <c r="C852" s="308" t="s">
        <v>563</v>
      </c>
      <c r="D852" s="309" t="s">
        <v>563</v>
      </c>
      <c r="E852" s="310">
        <v>0</v>
      </c>
      <c r="F852" s="310">
        <v>0</v>
      </c>
      <c r="G852" s="311">
        <v>0</v>
      </c>
      <c r="H852" s="310" t="s">
        <v>563</v>
      </c>
      <c r="I852" s="310" t="s">
        <v>563</v>
      </c>
      <c r="J852" s="310" t="s">
        <v>563</v>
      </c>
      <c r="K852" s="312">
        <v>0</v>
      </c>
      <c r="L852" s="310">
        <v>0</v>
      </c>
      <c r="M852" s="310">
        <v>0</v>
      </c>
      <c r="N852" s="313">
        <v>0</v>
      </c>
      <c r="O852" s="314" t="s">
        <v>563</v>
      </c>
      <c r="P852" s="307">
        <f t="shared" si="249"/>
        <v>0</v>
      </c>
      <c r="R852" s="91" t="str">
        <f t="shared" si="245"/>
        <v/>
      </c>
      <c r="S85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2" s="307" t="str">
        <f t="shared" si="251"/>
        <v/>
      </c>
      <c r="U852" s="315" t="str">
        <f t="shared" si="252"/>
        <v/>
      </c>
      <c r="V852" s="307">
        <f t="shared" si="256"/>
        <v>0</v>
      </c>
      <c r="W852" s="307">
        <f>IFERROR(IF(V852&gt;0,PROPER(Terbilang1(V852)&amp;" Rupiah"),0),"")</f>
        <v>0</v>
      </c>
      <c r="X852" s="90" t="str">
        <f t="shared" si="257"/>
        <v/>
      </c>
      <c r="Y852" s="307" t="str">
        <f t="shared" si="258"/>
        <v/>
      </c>
      <c r="Z852" s="307">
        <f t="shared" si="253"/>
        <v>0</v>
      </c>
      <c r="AA852" s="366">
        <f t="shared" si="254"/>
        <v>0</v>
      </c>
      <c r="AB852" s="367">
        <f t="shared" si="259"/>
        <v>0</v>
      </c>
      <c r="AC852" s="305">
        <f t="shared" si="260"/>
        <v>0</v>
      </c>
      <c r="AP852" s="89" t="str">
        <f t="shared" si="248"/>
        <v/>
      </c>
      <c r="AQ852" s="89" t="str">
        <f t="shared" si="246"/>
        <v/>
      </c>
      <c r="AR852" s="315" t="str">
        <f t="shared" si="247"/>
        <v/>
      </c>
      <c r="AS852" s="305" t="str">
        <f t="shared" si="261"/>
        <v>0</v>
      </c>
      <c r="AT852" s="307">
        <f>Table22[[#This Row],[Column1]]</f>
        <v>0</v>
      </c>
    </row>
    <row r="853" spans="1:46" x14ac:dyDescent="0.3">
      <c r="A853" s="307">
        <f t="shared" si="255"/>
        <v>0</v>
      </c>
      <c r="B853" s="307">
        <f t="shared" si="244"/>
        <v>0</v>
      </c>
      <c r="C853" s="308" t="s">
        <v>563</v>
      </c>
      <c r="D853" s="309" t="s">
        <v>563</v>
      </c>
      <c r="E853" s="310">
        <v>0</v>
      </c>
      <c r="F853" s="310">
        <v>0</v>
      </c>
      <c r="G853" s="311">
        <v>0</v>
      </c>
      <c r="H853" s="310" t="s">
        <v>563</v>
      </c>
      <c r="I853" s="310" t="s">
        <v>563</v>
      </c>
      <c r="J853" s="310" t="s">
        <v>563</v>
      </c>
      <c r="K853" s="312">
        <v>0</v>
      </c>
      <c r="L853" s="310">
        <v>0</v>
      </c>
      <c r="M853" s="310">
        <v>0</v>
      </c>
      <c r="N853" s="313">
        <v>0</v>
      </c>
      <c r="O853" s="314" t="s">
        <v>563</v>
      </c>
      <c r="P853" s="307">
        <f t="shared" si="249"/>
        <v>0</v>
      </c>
      <c r="R853" s="91" t="str">
        <f t="shared" si="245"/>
        <v/>
      </c>
      <c r="S85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3" s="307" t="str">
        <f t="shared" si="251"/>
        <v/>
      </c>
      <c r="U853" s="315" t="str">
        <f t="shared" si="252"/>
        <v/>
      </c>
      <c r="V853" s="307">
        <f t="shared" si="256"/>
        <v>0</v>
      </c>
      <c r="W853" s="307">
        <f>IFERROR(IF(V853&gt;0,PROPER(Terbilang1(V853)&amp;" Rupiah"),0),"")</f>
        <v>0</v>
      </c>
      <c r="X853" s="90" t="str">
        <f t="shared" si="257"/>
        <v/>
      </c>
      <c r="Y853" s="307" t="str">
        <f t="shared" si="258"/>
        <v/>
      </c>
      <c r="Z853" s="307">
        <f t="shared" si="253"/>
        <v>0</v>
      </c>
      <c r="AA853" s="366">
        <f t="shared" si="254"/>
        <v>0</v>
      </c>
      <c r="AB853" s="367">
        <f t="shared" si="259"/>
        <v>0</v>
      </c>
      <c r="AC853" s="305">
        <f t="shared" si="260"/>
        <v>0</v>
      </c>
      <c r="AP853" s="89" t="str">
        <f t="shared" si="248"/>
        <v/>
      </c>
      <c r="AQ853" s="89" t="str">
        <f t="shared" si="246"/>
        <v/>
      </c>
      <c r="AR853" s="315" t="str">
        <f t="shared" si="247"/>
        <v/>
      </c>
      <c r="AS853" s="305" t="str">
        <f t="shared" si="261"/>
        <v>0</v>
      </c>
      <c r="AT853" s="307">
        <f>Table22[[#This Row],[Column1]]</f>
        <v>0</v>
      </c>
    </row>
    <row r="854" spans="1:46" x14ac:dyDescent="0.3">
      <c r="A854" s="307">
        <f t="shared" si="255"/>
        <v>0</v>
      </c>
      <c r="B854" s="307">
        <f t="shared" si="244"/>
        <v>0</v>
      </c>
      <c r="C854" s="308" t="s">
        <v>563</v>
      </c>
      <c r="D854" s="309" t="s">
        <v>563</v>
      </c>
      <c r="E854" s="310">
        <v>0</v>
      </c>
      <c r="F854" s="310">
        <v>0</v>
      </c>
      <c r="G854" s="311">
        <v>0</v>
      </c>
      <c r="H854" s="310" t="s">
        <v>563</v>
      </c>
      <c r="I854" s="310" t="s">
        <v>563</v>
      </c>
      <c r="J854" s="310" t="s">
        <v>563</v>
      </c>
      <c r="K854" s="312">
        <v>0</v>
      </c>
      <c r="L854" s="310">
        <v>0</v>
      </c>
      <c r="M854" s="310">
        <v>0</v>
      </c>
      <c r="N854" s="313">
        <v>0</v>
      </c>
      <c r="O854" s="314" t="s">
        <v>563</v>
      </c>
      <c r="P854" s="307">
        <f t="shared" si="249"/>
        <v>0</v>
      </c>
      <c r="R854" s="91" t="str">
        <f t="shared" si="245"/>
        <v/>
      </c>
      <c r="S85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4" s="307" t="str">
        <f t="shared" si="251"/>
        <v/>
      </c>
      <c r="U854" s="315" t="str">
        <f t="shared" si="252"/>
        <v/>
      </c>
      <c r="V854" s="307">
        <f t="shared" si="256"/>
        <v>0</v>
      </c>
      <c r="W854" s="307">
        <f>IFERROR(IF(V854&gt;0,PROPER(Terbilang1(V854)&amp;" Rupiah"),0),"")</f>
        <v>0</v>
      </c>
      <c r="X854" s="90" t="str">
        <f t="shared" si="257"/>
        <v/>
      </c>
      <c r="Y854" s="307" t="str">
        <f t="shared" si="258"/>
        <v/>
      </c>
      <c r="Z854" s="307">
        <f t="shared" si="253"/>
        <v>0</v>
      </c>
      <c r="AA854" s="366">
        <f t="shared" si="254"/>
        <v>0</v>
      </c>
      <c r="AB854" s="367">
        <f t="shared" si="259"/>
        <v>0</v>
      </c>
      <c r="AC854" s="305">
        <f t="shared" si="260"/>
        <v>0</v>
      </c>
      <c r="AP854" s="89" t="str">
        <f t="shared" si="248"/>
        <v/>
      </c>
      <c r="AQ854" s="89" t="str">
        <f t="shared" si="246"/>
        <v/>
      </c>
      <c r="AR854" s="315" t="str">
        <f t="shared" si="247"/>
        <v/>
      </c>
      <c r="AS854" s="305" t="str">
        <f t="shared" si="261"/>
        <v>0</v>
      </c>
      <c r="AT854" s="307">
        <f>Table22[[#This Row],[Column1]]</f>
        <v>0</v>
      </c>
    </row>
    <row r="855" spans="1:46" x14ac:dyDescent="0.3">
      <c r="A855" s="307">
        <f t="shared" si="255"/>
        <v>0</v>
      </c>
      <c r="B855" s="307">
        <f t="shared" si="244"/>
        <v>0</v>
      </c>
      <c r="C855" s="308" t="s">
        <v>563</v>
      </c>
      <c r="D855" s="309" t="s">
        <v>563</v>
      </c>
      <c r="E855" s="310">
        <v>0</v>
      </c>
      <c r="F855" s="310">
        <v>0</v>
      </c>
      <c r="G855" s="311">
        <v>0</v>
      </c>
      <c r="H855" s="310" t="s">
        <v>563</v>
      </c>
      <c r="I855" s="310" t="s">
        <v>563</v>
      </c>
      <c r="J855" s="310" t="s">
        <v>563</v>
      </c>
      <c r="K855" s="312">
        <v>0</v>
      </c>
      <c r="L855" s="310">
        <v>0</v>
      </c>
      <c r="M855" s="310">
        <v>0</v>
      </c>
      <c r="N855" s="313">
        <v>0</v>
      </c>
      <c r="O855" s="314" t="s">
        <v>563</v>
      </c>
      <c r="P855" s="307">
        <f t="shared" si="249"/>
        <v>0</v>
      </c>
      <c r="R855" s="91" t="str">
        <f t="shared" si="245"/>
        <v/>
      </c>
      <c r="S85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5" s="307" t="str">
        <f t="shared" si="251"/>
        <v/>
      </c>
      <c r="U855" s="315" t="str">
        <f t="shared" si="252"/>
        <v/>
      </c>
      <c r="V855" s="307">
        <f t="shared" si="256"/>
        <v>0</v>
      </c>
      <c r="W855" s="307">
        <f>IFERROR(IF(V855&gt;0,PROPER(Terbilang1(V855)&amp;" Rupiah"),0),"")</f>
        <v>0</v>
      </c>
      <c r="X855" s="90" t="str">
        <f t="shared" si="257"/>
        <v/>
      </c>
      <c r="Y855" s="307" t="str">
        <f t="shared" si="258"/>
        <v/>
      </c>
      <c r="Z855" s="307">
        <f t="shared" si="253"/>
        <v>0</v>
      </c>
      <c r="AA855" s="366">
        <f t="shared" si="254"/>
        <v>0</v>
      </c>
      <c r="AB855" s="367">
        <f t="shared" si="259"/>
        <v>0</v>
      </c>
      <c r="AC855" s="305">
        <f t="shared" si="260"/>
        <v>0</v>
      </c>
      <c r="AP855" s="89" t="str">
        <f t="shared" si="248"/>
        <v/>
      </c>
      <c r="AQ855" s="89" t="str">
        <f t="shared" si="246"/>
        <v/>
      </c>
      <c r="AR855" s="315" t="str">
        <f t="shared" si="247"/>
        <v/>
      </c>
      <c r="AS855" s="305" t="str">
        <f t="shared" si="261"/>
        <v>0</v>
      </c>
      <c r="AT855" s="307">
        <f>Table22[[#This Row],[Column1]]</f>
        <v>0</v>
      </c>
    </row>
    <row r="856" spans="1:46" x14ac:dyDescent="0.3">
      <c r="A856" s="307">
        <f t="shared" si="255"/>
        <v>0</v>
      </c>
      <c r="B856" s="307">
        <f t="shared" si="244"/>
        <v>0</v>
      </c>
      <c r="C856" s="308" t="s">
        <v>563</v>
      </c>
      <c r="D856" s="309" t="s">
        <v>563</v>
      </c>
      <c r="E856" s="310">
        <v>0</v>
      </c>
      <c r="F856" s="310">
        <v>0</v>
      </c>
      <c r="G856" s="311">
        <v>0</v>
      </c>
      <c r="H856" s="310" t="s">
        <v>563</v>
      </c>
      <c r="I856" s="310" t="s">
        <v>563</v>
      </c>
      <c r="J856" s="310" t="s">
        <v>563</v>
      </c>
      <c r="K856" s="312">
        <v>0</v>
      </c>
      <c r="L856" s="310">
        <v>0</v>
      </c>
      <c r="M856" s="310">
        <v>0</v>
      </c>
      <c r="N856" s="313">
        <v>0</v>
      </c>
      <c r="O856" s="314" t="s">
        <v>563</v>
      </c>
      <c r="P856" s="307">
        <f t="shared" si="249"/>
        <v>0</v>
      </c>
      <c r="R856" s="91" t="str">
        <f t="shared" si="245"/>
        <v/>
      </c>
      <c r="S85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6" s="307" t="str">
        <f t="shared" si="251"/>
        <v/>
      </c>
      <c r="U856" s="315" t="str">
        <f t="shared" si="252"/>
        <v/>
      </c>
      <c r="V856" s="307">
        <f t="shared" si="256"/>
        <v>0</v>
      </c>
      <c r="W856" s="307">
        <f>IFERROR(IF(V856&gt;0,PROPER(Terbilang1(V856)&amp;" Rupiah"),0),"")</f>
        <v>0</v>
      </c>
      <c r="X856" s="90" t="str">
        <f t="shared" si="257"/>
        <v/>
      </c>
      <c r="Y856" s="307" t="str">
        <f t="shared" si="258"/>
        <v/>
      </c>
      <c r="Z856" s="307">
        <f t="shared" si="253"/>
        <v>0</v>
      </c>
      <c r="AA856" s="366">
        <f t="shared" si="254"/>
        <v>0</v>
      </c>
      <c r="AB856" s="367">
        <f t="shared" si="259"/>
        <v>0</v>
      </c>
      <c r="AC856" s="305">
        <f t="shared" si="260"/>
        <v>0</v>
      </c>
      <c r="AP856" s="89" t="str">
        <f t="shared" si="248"/>
        <v/>
      </c>
      <c r="AQ856" s="89" t="str">
        <f t="shared" si="246"/>
        <v/>
      </c>
      <c r="AR856" s="315" t="str">
        <f t="shared" si="247"/>
        <v/>
      </c>
      <c r="AS856" s="305" t="str">
        <f t="shared" si="261"/>
        <v>0</v>
      </c>
      <c r="AT856" s="307">
        <f>Table22[[#This Row],[Column1]]</f>
        <v>0</v>
      </c>
    </row>
    <row r="857" spans="1:46" x14ac:dyDescent="0.3">
      <c r="A857" s="307">
        <f t="shared" si="255"/>
        <v>0</v>
      </c>
      <c r="B857" s="307">
        <f t="shared" si="244"/>
        <v>0</v>
      </c>
      <c r="C857" s="308" t="s">
        <v>563</v>
      </c>
      <c r="D857" s="309" t="s">
        <v>563</v>
      </c>
      <c r="E857" s="310">
        <v>0</v>
      </c>
      <c r="F857" s="310">
        <v>0</v>
      </c>
      <c r="G857" s="311">
        <v>0</v>
      </c>
      <c r="H857" s="310" t="s">
        <v>563</v>
      </c>
      <c r="I857" s="310" t="s">
        <v>563</v>
      </c>
      <c r="J857" s="310" t="s">
        <v>563</v>
      </c>
      <c r="K857" s="312">
        <v>0</v>
      </c>
      <c r="L857" s="310">
        <v>0</v>
      </c>
      <c r="M857" s="310">
        <v>0</v>
      </c>
      <c r="N857" s="313">
        <v>0</v>
      </c>
      <c r="O857" s="314" t="s">
        <v>563</v>
      </c>
      <c r="P857" s="307">
        <f t="shared" si="249"/>
        <v>0</v>
      </c>
      <c r="R857" s="91" t="str">
        <f t="shared" si="245"/>
        <v/>
      </c>
      <c r="S85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7" s="307" t="str">
        <f t="shared" si="251"/>
        <v/>
      </c>
      <c r="U857" s="315" t="str">
        <f t="shared" si="252"/>
        <v/>
      </c>
      <c r="V857" s="307">
        <f t="shared" si="256"/>
        <v>0</v>
      </c>
      <c r="W857" s="307">
        <f>IFERROR(IF(V857&gt;0,PROPER(Terbilang1(V857)&amp;" Rupiah"),0),"")</f>
        <v>0</v>
      </c>
      <c r="X857" s="90" t="str">
        <f t="shared" si="257"/>
        <v/>
      </c>
      <c r="Y857" s="307" t="str">
        <f t="shared" si="258"/>
        <v/>
      </c>
      <c r="Z857" s="307">
        <f t="shared" si="253"/>
        <v>0</v>
      </c>
      <c r="AA857" s="366">
        <f t="shared" si="254"/>
        <v>0</v>
      </c>
      <c r="AB857" s="367">
        <f t="shared" si="259"/>
        <v>0</v>
      </c>
      <c r="AC857" s="305">
        <f t="shared" si="260"/>
        <v>0</v>
      </c>
      <c r="AP857" s="89" t="str">
        <f t="shared" si="248"/>
        <v/>
      </c>
      <c r="AQ857" s="89" t="str">
        <f t="shared" si="246"/>
        <v/>
      </c>
      <c r="AR857" s="315" t="str">
        <f t="shared" si="247"/>
        <v/>
      </c>
      <c r="AS857" s="305" t="str">
        <f t="shared" si="261"/>
        <v>0</v>
      </c>
      <c r="AT857" s="307">
        <f>Table22[[#This Row],[Column1]]</f>
        <v>0</v>
      </c>
    </row>
    <row r="858" spans="1:46" x14ac:dyDescent="0.3">
      <c r="A858" s="307">
        <f t="shared" si="255"/>
        <v>0</v>
      </c>
      <c r="B858" s="307">
        <f t="shared" si="244"/>
        <v>0</v>
      </c>
      <c r="C858" s="308" t="s">
        <v>563</v>
      </c>
      <c r="D858" s="309" t="s">
        <v>563</v>
      </c>
      <c r="E858" s="310">
        <v>0</v>
      </c>
      <c r="F858" s="310">
        <v>0</v>
      </c>
      <c r="G858" s="311">
        <v>0</v>
      </c>
      <c r="H858" s="310" t="s">
        <v>563</v>
      </c>
      <c r="I858" s="310" t="s">
        <v>563</v>
      </c>
      <c r="J858" s="310" t="s">
        <v>563</v>
      </c>
      <c r="K858" s="312">
        <v>0</v>
      </c>
      <c r="L858" s="310">
        <v>0</v>
      </c>
      <c r="M858" s="310">
        <v>0</v>
      </c>
      <c r="N858" s="313">
        <v>0</v>
      </c>
      <c r="O858" s="314" t="s">
        <v>563</v>
      </c>
      <c r="P858" s="307">
        <f t="shared" si="249"/>
        <v>0</v>
      </c>
      <c r="R858" s="91" t="str">
        <f t="shared" si="245"/>
        <v/>
      </c>
      <c r="S85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8" s="307" t="str">
        <f t="shared" si="251"/>
        <v/>
      </c>
      <c r="U858" s="315" t="str">
        <f t="shared" si="252"/>
        <v/>
      </c>
      <c r="V858" s="307">
        <f t="shared" si="256"/>
        <v>0</v>
      </c>
      <c r="W858" s="307">
        <f>IFERROR(IF(V858&gt;0,PROPER(Terbilang1(V858)&amp;" Rupiah"),0),"")</f>
        <v>0</v>
      </c>
      <c r="X858" s="90" t="str">
        <f t="shared" si="257"/>
        <v/>
      </c>
      <c r="Y858" s="307" t="str">
        <f t="shared" si="258"/>
        <v/>
      </c>
      <c r="Z858" s="307">
        <f t="shared" si="253"/>
        <v>0</v>
      </c>
      <c r="AA858" s="366">
        <f t="shared" si="254"/>
        <v>0</v>
      </c>
      <c r="AB858" s="367">
        <f t="shared" si="259"/>
        <v>0</v>
      </c>
      <c r="AC858" s="305">
        <f t="shared" si="260"/>
        <v>0</v>
      </c>
      <c r="AP858" s="89" t="str">
        <f t="shared" si="248"/>
        <v/>
      </c>
      <c r="AQ858" s="89" t="str">
        <f t="shared" si="246"/>
        <v/>
      </c>
      <c r="AR858" s="315" t="str">
        <f t="shared" si="247"/>
        <v/>
      </c>
      <c r="AS858" s="305" t="str">
        <f t="shared" si="261"/>
        <v>0</v>
      </c>
      <c r="AT858" s="307">
        <f>Table22[[#This Row],[Column1]]</f>
        <v>0</v>
      </c>
    </row>
    <row r="859" spans="1:46" x14ac:dyDescent="0.3">
      <c r="A859" s="307">
        <f t="shared" si="255"/>
        <v>0</v>
      </c>
      <c r="B859" s="307">
        <f t="shared" si="244"/>
        <v>0</v>
      </c>
      <c r="C859" s="308" t="s">
        <v>563</v>
      </c>
      <c r="D859" s="309" t="s">
        <v>563</v>
      </c>
      <c r="E859" s="310">
        <v>0</v>
      </c>
      <c r="F859" s="310">
        <v>0</v>
      </c>
      <c r="G859" s="311">
        <v>0</v>
      </c>
      <c r="H859" s="310" t="s">
        <v>563</v>
      </c>
      <c r="I859" s="310" t="s">
        <v>563</v>
      </c>
      <c r="J859" s="310" t="s">
        <v>563</v>
      </c>
      <c r="K859" s="312">
        <v>0</v>
      </c>
      <c r="L859" s="310">
        <v>0</v>
      </c>
      <c r="M859" s="310">
        <v>0</v>
      </c>
      <c r="N859" s="313">
        <v>0</v>
      </c>
      <c r="O859" s="314" t="s">
        <v>563</v>
      </c>
      <c r="P859" s="307">
        <f t="shared" si="249"/>
        <v>0</v>
      </c>
      <c r="R859" s="91" t="str">
        <f t="shared" si="245"/>
        <v/>
      </c>
      <c r="S85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59" s="307" t="str">
        <f t="shared" si="251"/>
        <v/>
      </c>
      <c r="U859" s="315" t="str">
        <f t="shared" si="252"/>
        <v/>
      </c>
      <c r="V859" s="307">
        <f t="shared" si="256"/>
        <v>0</v>
      </c>
      <c r="W859" s="307">
        <f>IFERROR(IF(V859&gt;0,PROPER(Terbilang1(V859)&amp;" Rupiah"),0),"")</f>
        <v>0</v>
      </c>
      <c r="X859" s="90" t="str">
        <f t="shared" si="257"/>
        <v/>
      </c>
      <c r="Y859" s="307" t="str">
        <f t="shared" si="258"/>
        <v/>
      </c>
      <c r="Z859" s="307">
        <f t="shared" si="253"/>
        <v>0</v>
      </c>
      <c r="AA859" s="366">
        <f t="shared" si="254"/>
        <v>0</v>
      </c>
      <c r="AB859" s="367">
        <f t="shared" si="259"/>
        <v>0</v>
      </c>
      <c r="AC859" s="305">
        <f t="shared" si="260"/>
        <v>0</v>
      </c>
      <c r="AP859" s="89" t="str">
        <f t="shared" si="248"/>
        <v/>
      </c>
      <c r="AQ859" s="89" t="str">
        <f t="shared" si="246"/>
        <v/>
      </c>
      <c r="AR859" s="315" t="str">
        <f t="shared" si="247"/>
        <v/>
      </c>
      <c r="AS859" s="305" t="str">
        <f t="shared" si="261"/>
        <v>0</v>
      </c>
      <c r="AT859" s="307">
        <f>Table22[[#This Row],[Column1]]</f>
        <v>0</v>
      </c>
    </row>
    <row r="860" spans="1:46" x14ac:dyDescent="0.3">
      <c r="A860" s="307">
        <f t="shared" si="255"/>
        <v>0</v>
      </c>
      <c r="B860" s="307">
        <f t="shared" si="244"/>
        <v>0</v>
      </c>
      <c r="C860" s="308" t="s">
        <v>563</v>
      </c>
      <c r="D860" s="309" t="s">
        <v>563</v>
      </c>
      <c r="E860" s="310">
        <v>0</v>
      </c>
      <c r="F860" s="310">
        <v>0</v>
      </c>
      <c r="G860" s="311">
        <v>0</v>
      </c>
      <c r="H860" s="310" t="s">
        <v>563</v>
      </c>
      <c r="I860" s="310" t="s">
        <v>563</v>
      </c>
      <c r="J860" s="310" t="s">
        <v>563</v>
      </c>
      <c r="K860" s="312">
        <v>0</v>
      </c>
      <c r="L860" s="310">
        <v>0</v>
      </c>
      <c r="M860" s="310">
        <v>0</v>
      </c>
      <c r="N860" s="313">
        <v>0</v>
      </c>
      <c r="O860" s="314" t="s">
        <v>563</v>
      </c>
      <c r="P860" s="307">
        <f t="shared" si="249"/>
        <v>0</v>
      </c>
      <c r="R860" s="91" t="str">
        <f t="shared" si="245"/>
        <v/>
      </c>
      <c r="S86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0" s="307" t="str">
        <f t="shared" si="251"/>
        <v/>
      </c>
      <c r="U860" s="315" t="str">
        <f t="shared" si="252"/>
        <v/>
      </c>
      <c r="V860" s="307">
        <f t="shared" si="256"/>
        <v>0</v>
      </c>
      <c r="W860" s="307">
        <f>IFERROR(IF(V860&gt;0,PROPER(Terbilang1(V860)&amp;" Rupiah"),0),"")</f>
        <v>0</v>
      </c>
      <c r="X860" s="90" t="str">
        <f t="shared" si="257"/>
        <v/>
      </c>
      <c r="Y860" s="307" t="str">
        <f t="shared" si="258"/>
        <v/>
      </c>
      <c r="Z860" s="307">
        <f t="shared" si="253"/>
        <v>0</v>
      </c>
      <c r="AA860" s="366">
        <f t="shared" si="254"/>
        <v>0</v>
      </c>
      <c r="AB860" s="367">
        <f t="shared" si="259"/>
        <v>0</v>
      </c>
      <c r="AC860" s="305">
        <f t="shared" si="260"/>
        <v>0</v>
      </c>
      <c r="AP860" s="89" t="str">
        <f t="shared" si="248"/>
        <v/>
      </c>
      <c r="AQ860" s="89" t="str">
        <f t="shared" si="246"/>
        <v/>
      </c>
      <c r="AR860" s="315" t="str">
        <f t="shared" si="247"/>
        <v/>
      </c>
      <c r="AS860" s="305" t="str">
        <f t="shared" si="261"/>
        <v>0</v>
      </c>
      <c r="AT860" s="307">
        <f>Table22[[#This Row],[Column1]]</f>
        <v>0</v>
      </c>
    </row>
    <row r="861" spans="1:46" x14ac:dyDescent="0.3">
      <c r="A861" s="307">
        <f t="shared" si="255"/>
        <v>0</v>
      </c>
      <c r="B861" s="307">
        <f t="shared" si="244"/>
        <v>0</v>
      </c>
      <c r="C861" s="308" t="s">
        <v>563</v>
      </c>
      <c r="D861" s="309" t="s">
        <v>563</v>
      </c>
      <c r="E861" s="310">
        <v>0</v>
      </c>
      <c r="F861" s="310">
        <v>0</v>
      </c>
      <c r="G861" s="311">
        <v>0</v>
      </c>
      <c r="H861" s="310" t="s">
        <v>563</v>
      </c>
      <c r="I861" s="310" t="s">
        <v>563</v>
      </c>
      <c r="J861" s="310" t="s">
        <v>563</v>
      </c>
      <c r="K861" s="312">
        <v>0</v>
      </c>
      <c r="L861" s="310">
        <v>0</v>
      </c>
      <c r="M861" s="310">
        <v>0</v>
      </c>
      <c r="N861" s="313">
        <v>0</v>
      </c>
      <c r="O861" s="314" t="s">
        <v>563</v>
      </c>
      <c r="P861" s="307">
        <f t="shared" si="249"/>
        <v>0</v>
      </c>
      <c r="R861" s="91" t="str">
        <f t="shared" si="245"/>
        <v/>
      </c>
      <c r="S86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1" s="307" t="str">
        <f t="shared" si="251"/>
        <v/>
      </c>
      <c r="U861" s="315" t="str">
        <f t="shared" si="252"/>
        <v/>
      </c>
      <c r="V861" s="307">
        <f t="shared" si="256"/>
        <v>0</v>
      </c>
      <c r="W861" s="307">
        <f>IFERROR(IF(V861&gt;0,PROPER(Terbilang1(V861)&amp;" Rupiah"),0),"")</f>
        <v>0</v>
      </c>
      <c r="X861" s="90" t="str">
        <f t="shared" si="257"/>
        <v/>
      </c>
      <c r="Y861" s="307" t="str">
        <f t="shared" si="258"/>
        <v/>
      </c>
      <c r="Z861" s="307">
        <f t="shared" si="253"/>
        <v>0</v>
      </c>
      <c r="AA861" s="366">
        <f t="shared" si="254"/>
        <v>0</v>
      </c>
      <c r="AB861" s="367">
        <f t="shared" si="259"/>
        <v>0</v>
      </c>
      <c r="AC861" s="305">
        <f t="shared" si="260"/>
        <v>0</v>
      </c>
      <c r="AP861" s="89" t="str">
        <f t="shared" si="248"/>
        <v/>
      </c>
      <c r="AQ861" s="89" t="str">
        <f t="shared" si="246"/>
        <v/>
      </c>
      <c r="AR861" s="315" t="str">
        <f t="shared" si="247"/>
        <v/>
      </c>
      <c r="AS861" s="305" t="str">
        <f t="shared" si="261"/>
        <v>0</v>
      </c>
      <c r="AT861" s="307">
        <f>Table22[[#This Row],[Column1]]</f>
        <v>0</v>
      </c>
    </row>
    <row r="862" spans="1:46" x14ac:dyDescent="0.3">
      <c r="A862" s="307">
        <f t="shared" si="255"/>
        <v>0</v>
      </c>
      <c r="B862" s="307">
        <f t="shared" si="244"/>
        <v>0</v>
      </c>
      <c r="C862" s="308" t="s">
        <v>563</v>
      </c>
      <c r="D862" s="309" t="s">
        <v>563</v>
      </c>
      <c r="E862" s="310">
        <v>0</v>
      </c>
      <c r="F862" s="310">
        <v>0</v>
      </c>
      <c r="G862" s="311">
        <v>0</v>
      </c>
      <c r="H862" s="310" t="s">
        <v>563</v>
      </c>
      <c r="I862" s="310" t="s">
        <v>563</v>
      </c>
      <c r="J862" s="310" t="s">
        <v>563</v>
      </c>
      <c r="K862" s="312">
        <v>0</v>
      </c>
      <c r="L862" s="310">
        <v>0</v>
      </c>
      <c r="M862" s="310">
        <v>0</v>
      </c>
      <c r="N862" s="313">
        <v>0</v>
      </c>
      <c r="O862" s="314" t="s">
        <v>563</v>
      </c>
      <c r="P862" s="307">
        <f t="shared" si="249"/>
        <v>0</v>
      </c>
      <c r="R862" s="91" t="str">
        <f t="shared" si="245"/>
        <v/>
      </c>
      <c r="S86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2" s="307" t="str">
        <f t="shared" si="251"/>
        <v/>
      </c>
      <c r="U862" s="315" t="str">
        <f t="shared" si="252"/>
        <v/>
      </c>
      <c r="V862" s="307">
        <f t="shared" si="256"/>
        <v>0</v>
      </c>
      <c r="W862" s="307">
        <f>IFERROR(IF(V862&gt;0,PROPER(Terbilang1(V862)&amp;" Rupiah"),0),"")</f>
        <v>0</v>
      </c>
      <c r="X862" s="90" t="str">
        <f t="shared" si="257"/>
        <v/>
      </c>
      <c r="Y862" s="307" t="str">
        <f t="shared" si="258"/>
        <v/>
      </c>
      <c r="Z862" s="307">
        <f t="shared" si="253"/>
        <v>0</v>
      </c>
      <c r="AA862" s="366">
        <f t="shared" si="254"/>
        <v>0</v>
      </c>
      <c r="AB862" s="367">
        <f t="shared" si="259"/>
        <v>0</v>
      </c>
      <c r="AC862" s="305">
        <f t="shared" si="260"/>
        <v>0</v>
      </c>
      <c r="AP862" s="89" t="str">
        <f t="shared" si="248"/>
        <v/>
      </c>
      <c r="AQ862" s="89" t="str">
        <f t="shared" si="246"/>
        <v/>
      </c>
      <c r="AR862" s="315" t="str">
        <f t="shared" si="247"/>
        <v/>
      </c>
      <c r="AS862" s="305" t="str">
        <f t="shared" si="261"/>
        <v>0</v>
      </c>
      <c r="AT862" s="307">
        <f>Table22[[#This Row],[Column1]]</f>
        <v>0</v>
      </c>
    </row>
    <row r="863" spans="1:46" x14ac:dyDescent="0.3">
      <c r="A863" s="307">
        <f t="shared" si="255"/>
        <v>0</v>
      </c>
      <c r="B863" s="307">
        <f t="shared" si="244"/>
        <v>0</v>
      </c>
      <c r="C863" s="308" t="s">
        <v>563</v>
      </c>
      <c r="D863" s="309" t="s">
        <v>563</v>
      </c>
      <c r="E863" s="310">
        <v>0</v>
      </c>
      <c r="F863" s="310">
        <v>0</v>
      </c>
      <c r="G863" s="311">
        <v>0</v>
      </c>
      <c r="H863" s="310" t="s">
        <v>563</v>
      </c>
      <c r="I863" s="310" t="s">
        <v>563</v>
      </c>
      <c r="J863" s="310" t="s">
        <v>563</v>
      </c>
      <c r="K863" s="312">
        <v>0</v>
      </c>
      <c r="L863" s="310">
        <v>0</v>
      </c>
      <c r="M863" s="310">
        <v>0</v>
      </c>
      <c r="N863" s="313">
        <v>0</v>
      </c>
      <c r="O863" s="314" t="s">
        <v>563</v>
      </c>
      <c r="P863" s="307">
        <f t="shared" si="249"/>
        <v>0</v>
      </c>
      <c r="R863" s="91" t="str">
        <f t="shared" si="245"/>
        <v/>
      </c>
      <c r="S86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3" s="307" t="str">
        <f t="shared" si="251"/>
        <v/>
      </c>
      <c r="U863" s="315" t="str">
        <f t="shared" si="252"/>
        <v/>
      </c>
      <c r="V863" s="307">
        <f t="shared" si="256"/>
        <v>0</v>
      </c>
      <c r="W863" s="307">
        <f>IFERROR(IF(V863&gt;0,PROPER(Terbilang1(V863)&amp;" Rupiah"),0),"")</f>
        <v>0</v>
      </c>
      <c r="X863" s="90" t="str">
        <f t="shared" si="257"/>
        <v/>
      </c>
      <c r="Y863" s="307" t="str">
        <f t="shared" si="258"/>
        <v/>
      </c>
      <c r="Z863" s="307">
        <f t="shared" si="253"/>
        <v>0</v>
      </c>
      <c r="AA863" s="366">
        <f t="shared" si="254"/>
        <v>0</v>
      </c>
      <c r="AB863" s="367">
        <f t="shared" si="259"/>
        <v>0</v>
      </c>
      <c r="AC863" s="305">
        <f t="shared" si="260"/>
        <v>0</v>
      </c>
      <c r="AP863" s="89" t="str">
        <f t="shared" si="248"/>
        <v/>
      </c>
      <c r="AQ863" s="89" t="str">
        <f t="shared" si="246"/>
        <v/>
      </c>
      <c r="AR863" s="315" t="str">
        <f t="shared" si="247"/>
        <v/>
      </c>
      <c r="AS863" s="305" t="str">
        <f t="shared" si="261"/>
        <v>0</v>
      </c>
      <c r="AT863" s="307">
        <f>Table22[[#This Row],[Column1]]</f>
        <v>0</v>
      </c>
    </row>
    <row r="864" spans="1:46" x14ac:dyDescent="0.3">
      <c r="A864" s="307">
        <f t="shared" si="255"/>
        <v>0</v>
      </c>
      <c r="B864" s="307">
        <f t="shared" si="244"/>
        <v>0</v>
      </c>
      <c r="C864" s="308" t="s">
        <v>563</v>
      </c>
      <c r="D864" s="309" t="s">
        <v>563</v>
      </c>
      <c r="E864" s="310">
        <v>0</v>
      </c>
      <c r="F864" s="310">
        <v>0</v>
      </c>
      <c r="G864" s="311">
        <v>0</v>
      </c>
      <c r="H864" s="310" t="s">
        <v>563</v>
      </c>
      <c r="I864" s="310" t="s">
        <v>563</v>
      </c>
      <c r="J864" s="310" t="s">
        <v>563</v>
      </c>
      <c r="K864" s="312">
        <v>0</v>
      </c>
      <c r="L864" s="310">
        <v>0</v>
      </c>
      <c r="M864" s="310">
        <v>0</v>
      </c>
      <c r="N864" s="313">
        <v>0</v>
      </c>
      <c r="O864" s="314" t="s">
        <v>563</v>
      </c>
      <c r="P864" s="307">
        <f t="shared" si="249"/>
        <v>0</v>
      </c>
      <c r="R864" s="91" t="str">
        <f t="shared" si="245"/>
        <v/>
      </c>
      <c r="S86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4" s="307" t="str">
        <f t="shared" si="251"/>
        <v/>
      </c>
      <c r="U864" s="315" t="str">
        <f t="shared" si="252"/>
        <v/>
      </c>
      <c r="V864" s="307">
        <f t="shared" si="256"/>
        <v>0</v>
      </c>
      <c r="W864" s="307">
        <f>IFERROR(IF(V864&gt;0,PROPER(Terbilang1(V864)&amp;" Rupiah"),0),"")</f>
        <v>0</v>
      </c>
      <c r="X864" s="90" t="str">
        <f t="shared" si="257"/>
        <v/>
      </c>
      <c r="Y864" s="307" t="str">
        <f t="shared" si="258"/>
        <v/>
      </c>
      <c r="Z864" s="307">
        <f t="shared" si="253"/>
        <v>0</v>
      </c>
      <c r="AA864" s="366">
        <f t="shared" si="254"/>
        <v>0</v>
      </c>
      <c r="AB864" s="367">
        <f t="shared" si="259"/>
        <v>0</v>
      </c>
      <c r="AC864" s="305">
        <f t="shared" si="260"/>
        <v>0</v>
      </c>
      <c r="AP864" s="89" t="str">
        <f t="shared" si="248"/>
        <v/>
      </c>
      <c r="AQ864" s="89" t="str">
        <f t="shared" si="246"/>
        <v/>
      </c>
      <c r="AR864" s="315" t="str">
        <f t="shared" si="247"/>
        <v/>
      </c>
      <c r="AS864" s="305" t="str">
        <f t="shared" si="261"/>
        <v>0</v>
      </c>
      <c r="AT864" s="307">
        <f>Table22[[#This Row],[Column1]]</f>
        <v>0</v>
      </c>
    </row>
    <row r="865" spans="1:46" x14ac:dyDescent="0.3">
      <c r="A865" s="307">
        <f t="shared" si="255"/>
        <v>0</v>
      </c>
      <c r="B865" s="307">
        <f t="shared" si="244"/>
        <v>0</v>
      </c>
      <c r="C865" s="308" t="s">
        <v>563</v>
      </c>
      <c r="D865" s="309" t="s">
        <v>563</v>
      </c>
      <c r="E865" s="310">
        <v>0</v>
      </c>
      <c r="F865" s="310">
        <v>0</v>
      </c>
      <c r="G865" s="311">
        <v>0</v>
      </c>
      <c r="H865" s="310" t="s">
        <v>563</v>
      </c>
      <c r="I865" s="310" t="s">
        <v>563</v>
      </c>
      <c r="J865" s="310" t="s">
        <v>563</v>
      </c>
      <c r="K865" s="312">
        <v>0</v>
      </c>
      <c r="L865" s="310">
        <v>0</v>
      </c>
      <c r="M865" s="310">
        <v>0</v>
      </c>
      <c r="N865" s="313">
        <v>0</v>
      </c>
      <c r="O865" s="314" t="s">
        <v>563</v>
      </c>
      <c r="P865" s="307">
        <f t="shared" si="249"/>
        <v>0</v>
      </c>
      <c r="R865" s="91" t="str">
        <f t="shared" si="245"/>
        <v/>
      </c>
      <c r="S86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5" s="307" t="str">
        <f t="shared" si="251"/>
        <v/>
      </c>
      <c r="U865" s="315" t="str">
        <f t="shared" si="252"/>
        <v/>
      </c>
      <c r="V865" s="307">
        <f t="shared" si="256"/>
        <v>0</v>
      </c>
      <c r="W865" s="307">
        <f>IFERROR(IF(V865&gt;0,PROPER(Terbilang1(V865)&amp;" Rupiah"),0),"")</f>
        <v>0</v>
      </c>
      <c r="X865" s="90" t="str">
        <f t="shared" si="257"/>
        <v/>
      </c>
      <c r="Y865" s="307" t="str">
        <f t="shared" si="258"/>
        <v/>
      </c>
      <c r="Z865" s="307">
        <f t="shared" si="253"/>
        <v>0</v>
      </c>
      <c r="AA865" s="366">
        <f t="shared" si="254"/>
        <v>0</v>
      </c>
      <c r="AB865" s="367">
        <f t="shared" si="259"/>
        <v>0</v>
      </c>
      <c r="AC865" s="305">
        <f t="shared" si="260"/>
        <v>0</v>
      </c>
      <c r="AP865" s="89" t="str">
        <f t="shared" si="248"/>
        <v/>
      </c>
      <c r="AQ865" s="89" t="str">
        <f t="shared" si="246"/>
        <v/>
      </c>
      <c r="AR865" s="315" t="str">
        <f t="shared" si="247"/>
        <v/>
      </c>
      <c r="AS865" s="305" t="str">
        <f t="shared" si="261"/>
        <v>0</v>
      </c>
      <c r="AT865" s="307">
        <f>Table22[[#This Row],[Column1]]</f>
        <v>0</v>
      </c>
    </row>
    <row r="866" spans="1:46" x14ac:dyDescent="0.3">
      <c r="A866" s="307">
        <f t="shared" si="255"/>
        <v>0</v>
      </c>
      <c r="B866" s="307">
        <f t="shared" si="244"/>
        <v>0</v>
      </c>
      <c r="C866" s="308" t="s">
        <v>563</v>
      </c>
      <c r="D866" s="309" t="s">
        <v>563</v>
      </c>
      <c r="E866" s="310">
        <v>0</v>
      </c>
      <c r="F866" s="310">
        <v>0</v>
      </c>
      <c r="G866" s="311">
        <v>0</v>
      </c>
      <c r="H866" s="310" t="s">
        <v>563</v>
      </c>
      <c r="I866" s="310" t="s">
        <v>563</v>
      </c>
      <c r="J866" s="310" t="s">
        <v>563</v>
      </c>
      <c r="K866" s="312">
        <v>0</v>
      </c>
      <c r="L866" s="310">
        <v>0</v>
      </c>
      <c r="M866" s="310">
        <v>0</v>
      </c>
      <c r="N866" s="313">
        <v>0</v>
      </c>
      <c r="O866" s="314" t="s">
        <v>563</v>
      </c>
      <c r="P866" s="307">
        <f t="shared" si="249"/>
        <v>0</v>
      </c>
      <c r="R866" s="91" t="str">
        <f t="shared" si="245"/>
        <v/>
      </c>
      <c r="S86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6" s="307" t="str">
        <f t="shared" si="251"/>
        <v/>
      </c>
      <c r="U866" s="315" t="str">
        <f t="shared" si="252"/>
        <v/>
      </c>
      <c r="V866" s="307">
        <f t="shared" si="256"/>
        <v>0</v>
      </c>
      <c r="W866" s="307">
        <f>IFERROR(IF(V866&gt;0,PROPER(Terbilang1(V866)&amp;" Rupiah"),0),"")</f>
        <v>0</v>
      </c>
      <c r="X866" s="90" t="str">
        <f t="shared" si="257"/>
        <v/>
      </c>
      <c r="Y866" s="307" t="str">
        <f t="shared" si="258"/>
        <v/>
      </c>
      <c r="Z866" s="307">
        <f t="shared" si="253"/>
        <v>0</v>
      </c>
      <c r="AA866" s="366">
        <f t="shared" si="254"/>
        <v>0</v>
      </c>
      <c r="AB866" s="367">
        <f t="shared" si="259"/>
        <v>0</v>
      </c>
      <c r="AC866" s="305">
        <f t="shared" si="260"/>
        <v>0</v>
      </c>
      <c r="AP866" s="89" t="str">
        <f t="shared" si="248"/>
        <v/>
      </c>
      <c r="AQ866" s="89" t="str">
        <f t="shared" si="246"/>
        <v/>
      </c>
      <c r="AR866" s="315" t="str">
        <f t="shared" si="247"/>
        <v/>
      </c>
      <c r="AS866" s="305" t="str">
        <f t="shared" si="261"/>
        <v>0</v>
      </c>
      <c r="AT866" s="307">
        <f>Table22[[#This Row],[Column1]]</f>
        <v>0</v>
      </c>
    </row>
    <row r="867" spans="1:46" x14ac:dyDescent="0.3">
      <c r="A867" s="307">
        <f t="shared" si="255"/>
        <v>0</v>
      </c>
      <c r="B867" s="307">
        <f t="shared" si="244"/>
        <v>0</v>
      </c>
      <c r="C867" s="308" t="s">
        <v>563</v>
      </c>
      <c r="D867" s="309" t="s">
        <v>563</v>
      </c>
      <c r="E867" s="310">
        <v>0</v>
      </c>
      <c r="F867" s="310">
        <v>0</v>
      </c>
      <c r="G867" s="311">
        <v>0</v>
      </c>
      <c r="H867" s="310" t="s">
        <v>563</v>
      </c>
      <c r="I867" s="310" t="s">
        <v>563</v>
      </c>
      <c r="J867" s="310" t="s">
        <v>563</v>
      </c>
      <c r="K867" s="312">
        <v>0</v>
      </c>
      <c r="L867" s="310">
        <v>0</v>
      </c>
      <c r="M867" s="310">
        <v>0</v>
      </c>
      <c r="N867" s="313">
        <v>0</v>
      </c>
      <c r="O867" s="314" t="s">
        <v>563</v>
      </c>
      <c r="P867" s="307">
        <f t="shared" si="249"/>
        <v>0</v>
      </c>
      <c r="R867" s="91" t="str">
        <f t="shared" si="245"/>
        <v/>
      </c>
      <c r="S86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7" s="307" t="str">
        <f t="shared" si="251"/>
        <v/>
      </c>
      <c r="U867" s="315" t="str">
        <f t="shared" si="252"/>
        <v/>
      </c>
      <c r="V867" s="307">
        <f t="shared" si="256"/>
        <v>0</v>
      </c>
      <c r="W867" s="307">
        <f>IFERROR(IF(V867&gt;0,PROPER(Terbilang1(V867)&amp;" Rupiah"),0),"")</f>
        <v>0</v>
      </c>
      <c r="X867" s="90" t="str">
        <f t="shared" si="257"/>
        <v/>
      </c>
      <c r="Y867" s="307" t="str">
        <f t="shared" si="258"/>
        <v/>
      </c>
      <c r="Z867" s="307">
        <f t="shared" si="253"/>
        <v>0</v>
      </c>
      <c r="AA867" s="366">
        <f t="shared" si="254"/>
        <v>0</v>
      </c>
      <c r="AB867" s="367">
        <f t="shared" si="259"/>
        <v>0</v>
      </c>
      <c r="AC867" s="305">
        <f t="shared" si="260"/>
        <v>0</v>
      </c>
      <c r="AP867" s="89" t="str">
        <f t="shared" si="248"/>
        <v/>
      </c>
      <c r="AQ867" s="89" t="str">
        <f t="shared" si="246"/>
        <v/>
      </c>
      <c r="AR867" s="315" t="str">
        <f t="shared" si="247"/>
        <v/>
      </c>
      <c r="AS867" s="305" t="str">
        <f t="shared" si="261"/>
        <v>0</v>
      </c>
      <c r="AT867" s="307">
        <f>Table22[[#This Row],[Column1]]</f>
        <v>0</v>
      </c>
    </row>
    <row r="868" spans="1:46" x14ac:dyDescent="0.3">
      <c r="A868" s="307">
        <f t="shared" si="255"/>
        <v>0</v>
      </c>
      <c r="B868" s="307">
        <f t="shared" si="244"/>
        <v>0</v>
      </c>
      <c r="C868" s="308" t="s">
        <v>563</v>
      </c>
      <c r="D868" s="309" t="s">
        <v>563</v>
      </c>
      <c r="E868" s="310">
        <v>0</v>
      </c>
      <c r="F868" s="310">
        <v>0</v>
      </c>
      <c r="G868" s="311">
        <v>0</v>
      </c>
      <c r="H868" s="310" t="s">
        <v>563</v>
      </c>
      <c r="I868" s="310" t="s">
        <v>563</v>
      </c>
      <c r="J868" s="310" t="s">
        <v>563</v>
      </c>
      <c r="K868" s="312">
        <v>0</v>
      </c>
      <c r="L868" s="310">
        <v>0</v>
      </c>
      <c r="M868" s="310">
        <v>0</v>
      </c>
      <c r="N868" s="313">
        <v>0</v>
      </c>
      <c r="O868" s="314" t="s">
        <v>563</v>
      </c>
      <c r="P868" s="307">
        <f t="shared" si="249"/>
        <v>0</v>
      </c>
      <c r="R868" s="91" t="str">
        <f t="shared" si="245"/>
        <v/>
      </c>
      <c r="S86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8" s="307" t="str">
        <f t="shared" si="251"/>
        <v/>
      </c>
      <c r="U868" s="315" t="str">
        <f t="shared" si="252"/>
        <v/>
      </c>
      <c r="V868" s="307">
        <f t="shared" si="256"/>
        <v>0</v>
      </c>
      <c r="W868" s="307">
        <f>IFERROR(IF(V868&gt;0,PROPER(Terbilang1(V868)&amp;" Rupiah"),0),"")</f>
        <v>0</v>
      </c>
      <c r="X868" s="90" t="str">
        <f t="shared" si="257"/>
        <v/>
      </c>
      <c r="Y868" s="307" t="str">
        <f t="shared" si="258"/>
        <v/>
      </c>
      <c r="Z868" s="307">
        <f t="shared" si="253"/>
        <v>0</v>
      </c>
      <c r="AA868" s="366">
        <f t="shared" si="254"/>
        <v>0</v>
      </c>
      <c r="AB868" s="367">
        <f t="shared" si="259"/>
        <v>0</v>
      </c>
      <c r="AC868" s="305">
        <f t="shared" si="260"/>
        <v>0</v>
      </c>
      <c r="AP868" s="89" t="str">
        <f t="shared" si="248"/>
        <v/>
      </c>
      <c r="AQ868" s="89" t="str">
        <f t="shared" si="246"/>
        <v/>
      </c>
      <c r="AR868" s="315" t="str">
        <f t="shared" si="247"/>
        <v/>
      </c>
      <c r="AS868" s="305" t="str">
        <f t="shared" si="261"/>
        <v>0</v>
      </c>
      <c r="AT868" s="307">
        <f>Table22[[#This Row],[Column1]]</f>
        <v>0</v>
      </c>
    </row>
    <row r="869" spans="1:46" x14ac:dyDescent="0.3">
      <c r="A869" s="307">
        <f t="shared" si="255"/>
        <v>0</v>
      </c>
      <c r="B869" s="307">
        <f t="shared" ref="B869:B932" si="262">IF(LEFT(F869,2)="MA","Jasa",IF(LEFT(F869,1)="G","Bayar Ongkos",IF(LEFT(F869,1)="M","Beli",0)))</f>
        <v>0</v>
      </c>
      <c r="C869" s="308" t="s">
        <v>563</v>
      </c>
      <c r="D869" s="309" t="s">
        <v>563</v>
      </c>
      <c r="E869" s="310">
        <v>0</v>
      </c>
      <c r="F869" s="310">
        <v>0</v>
      </c>
      <c r="G869" s="311">
        <v>0</v>
      </c>
      <c r="H869" s="310" t="s">
        <v>563</v>
      </c>
      <c r="I869" s="310" t="s">
        <v>563</v>
      </c>
      <c r="J869" s="310" t="s">
        <v>563</v>
      </c>
      <c r="K869" s="312">
        <v>0</v>
      </c>
      <c r="L869" s="310">
        <v>0</v>
      </c>
      <c r="M869" s="310">
        <v>0</v>
      </c>
      <c r="N869" s="313">
        <v>0</v>
      </c>
      <c r="O869" s="314" t="s">
        <v>563</v>
      </c>
      <c r="P869" s="307">
        <f t="shared" si="249"/>
        <v>0</v>
      </c>
      <c r="R869" s="91" t="str">
        <f t="shared" ref="R869:R932" si="263">IF(LEFT(F869,2)="ma",F869,IF(LEFT(F869,1)="m",E869,IF(LEFT(F869,1)="b",E869,IF(LEFT(F869,1)="G",F869,""))))</f>
        <v/>
      </c>
      <c r="S86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69" s="307" t="str">
        <f t="shared" si="251"/>
        <v/>
      </c>
      <c r="U869" s="315" t="str">
        <f t="shared" si="252"/>
        <v/>
      </c>
      <c r="V869" s="307">
        <f t="shared" si="256"/>
        <v>0</v>
      </c>
      <c r="W869" s="307">
        <f>IFERROR(IF(V869&gt;0,PROPER(Terbilang1(V869)&amp;" Rupiah"),0),"")</f>
        <v>0</v>
      </c>
      <c r="X869" s="90" t="str">
        <f t="shared" si="257"/>
        <v/>
      </c>
      <c r="Y869" s="307" t="str">
        <f t="shared" si="258"/>
        <v/>
      </c>
      <c r="Z869" s="307">
        <f t="shared" si="253"/>
        <v>0</v>
      </c>
      <c r="AA869" s="366">
        <f t="shared" si="254"/>
        <v>0</v>
      </c>
      <c r="AB869" s="367">
        <f t="shared" si="259"/>
        <v>0</v>
      </c>
      <c r="AC869" s="305">
        <f t="shared" si="260"/>
        <v>0</v>
      </c>
      <c r="AP869" s="89" t="str">
        <f t="shared" si="248"/>
        <v/>
      </c>
      <c r="AQ869" s="89" t="str">
        <f t="shared" si="246"/>
        <v/>
      </c>
      <c r="AR869" s="315" t="str">
        <f t="shared" si="247"/>
        <v/>
      </c>
      <c r="AS869" s="305" t="str">
        <f t="shared" si="261"/>
        <v>0</v>
      </c>
      <c r="AT869" s="307">
        <f>Table22[[#This Row],[Column1]]</f>
        <v>0</v>
      </c>
    </row>
    <row r="870" spans="1:46" x14ac:dyDescent="0.3">
      <c r="A870" s="307">
        <f t="shared" si="255"/>
        <v>0</v>
      </c>
      <c r="B870" s="307">
        <f t="shared" si="262"/>
        <v>0</v>
      </c>
      <c r="C870" s="308" t="s">
        <v>563</v>
      </c>
      <c r="D870" s="309" t="s">
        <v>563</v>
      </c>
      <c r="E870" s="310">
        <v>0</v>
      </c>
      <c r="F870" s="310">
        <v>0</v>
      </c>
      <c r="G870" s="311">
        <v>0</v>
      </c>
      <c r="H870" s="310" t="s">
        <v>563</v>
      </c>
      <c r="I870" s="310" t="s">
        <v>563</v>
      </c>
      <c r="J870" s="310" t="s">
        <v>563</v>
      </c>
      <c r="K870" s="312">
        <v>0</v>
      </c>
      <c r="L870" s="310">
        <v>0</v>
      </c>
      <c r="M870" s="310">
        <v>0</v>
      </c>
      <c r="N870" s="313">
        <v>0</v>
      </c>
      <c r="O870" s="314" t="s">
        <v>563</v>
      </c>
      <c r="P870" s="307">
        <f t="shared" si="249"/>
        <v>0</v>
      </c>
      <c r="R870" s="91" t="str">
        <f t="shared" si="263"/>
        <v/>
      </c>
      <c r="S87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0" s="307" t="str">
        <f t="shared" si="251"/>
        <v/>
      </c>
      <c r="U870" s="315" t="str">
        <f t="shared" si="252"/>
        <v/>
      </c>
      <c r="V870" s="307">
        <f t="shared" si="256"/>
        <v>0</v>
      </c>
      <c r="W870" s="307">
        <f>IFERROR(IF(V870&gt;0,PROPER(Terbilang1(V870)&amp;" Rupiah"),0),"")</f>
        <v>0</v>
      </c>
      <c r="X870" s="90" t="str">
        <f t="shared" si="257"/>
        <v/>
      </c>
      <c r="Y870" s="307" t="str">
        <f t="shared" si="258"/>
        <v/>
      </c>
      <c r="Z870" s="307">
        <f t="shared" si="253"/>
        <v>0</v>
      </c>
      <c r="AA870" s="366">
        <f t="shared" si="254"/>
        <v>0</v>
      </c>
      <c r="AB870" s="367">
        <f t="shared" si="259"/>
        <v>0</v>
      </c>
      <c r="AC870" s="305">
        <f t="shared" si="260"/>
        <v>0</v>
      </c>
      <c r="AP870" s="89" t="str">
        <f t="shared" si="248"/>
        <v/>
      </c>
      <c r="AQ870" s="89" t="str">
        <f t="shared" si="246"/>
        <v/>
      </c>
      <c r="AR870" s="315" t="str">
        <f t="shared" si="247"/>
        <v/>
      </c>
      <c r="AS870" s="305" t="str">
        <f t="shared" si="261"/>
        <v>0</v>
      </c>
      <c r="AT870" s="307">
        <f>Table22[[#This Row],[Column1]]</f>
        <v>0</v>
      </c>
    </row>
    <row r="871" spans="1:46" x14ac:dyDescent="0.3">
      <c r="A871" s="307">
        <f t="shared" si="255"/>
        <v>0</v>
      </c>
      <c r="B871" s="307">
        <f t="shared" si="262"/>
        <v>0</v>
      </c>
      <c r="C871" s="308" t="s">
        <v>563</v>
      </c>
      <c r="D871" s="309" t="s">
        <v>563</v>
      </c>
      <c r="E871" s="310">
        <v>0</v>
      </c>
      <c r="F871" s="310">
        <v>0</v>
      </c>
      <c r="G871" s="311">
        <v>0</v>
      </c>
      <c r="H871" s="310" t="s">
        <v>563</v>
      </c>
      <c r="I871" s="310" t="s">
        <v>563</v>
      </c>
      <c r="J871" s="310" t="s">
        <v>563</v>
      </c>
      <c r="K871" s="312">
        <v>0</v>
      </c>
      <c r="L871" s="310">
        <v>0</v>
      </c>
      <c r="M871" s="310">
        <v>0</v>
      </c>
      <c r="N871" s="313">
        <v>0</v>
      </c>
      <c r="O871" s="314" t="s">
        <v>563</v>
      </c>
      <c r="P871" s="307">
        <f t="shared" si="249"/>
        <v>0</v>
      </c>
      <c r="R871" s="91" t="str">
        <f t="shared" si="263"/>
        <v/>
      </c>
      <c r="S87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1" s="307" t="str">
        <f t="shared" si="251"/>
        <v/>
      </c>
      <c r="U871" s="315" t="str">
        <f t="shared" si="252"/>
        <v/>
      </c>
      <c r="V871" s="307">
        <f t="shared" si="256"/>
        <v>0</v>
      </c>
      <c r="W871" s="307">
        <f>IFERROR(IF(V871&gt;0,PROPER(Terbilang1(V871)&amp;" Rupiah"),0),"")</f>
        <v>0</v>
      </c>
      <c r="X871" s="90" t="str">
        <f t="shared" si="257"/>
        <v/>
      </c>
      <c r="Y871" s="307" t="str">
        <f t="shared" si="258"/>
        <v/>
      </c>
      <c r="Z871" s="307">
        <f t="shared" si="253"/>
        <v>0</v>
      </c>
      <c r="AA871" s="366">
        <f t="shared" si="254"/>
        <v>0</v>
      </c>
      <c r="AB871" s="367">
        <f t="shared" si="259"/>
        <v>0</v>
      </c>
      <c r="AC871" s="305">
        <f t="shared" si="260"/>
        <v>0</v>
      </c>
      <c r="AP871" s="89" t="str">
        <f t="shared" si="248"/>
        <v/>
      </c>
      <c r="AQ871" s="89" t="str">
        <f t="shared" si="246"/>
        <v/>
      </c>
      <c r="AR871" s="315" t="str">
        <f t="shared" si="247"/>
        <v/>
      </c>
      <c r="AS871" s="305" t="str">
        <f t="shared" si="261"/>
        <v>0</v>
      </c>
      <c r="AT871" s="307">
        <f>Table22[[#This Row],[Column1]]</f>
        <v>0</v>
      </c>
    </row>
    <row r="872" spans="1:46" x14ac:dyDescent="0.3">
      <c r="A872" s="307">
        <f t="shared" si="255"/>
        <v>0</v>
      </c>
      <c r="B872" s="307">
        <f t="shared" si="262"/>
        <v>0</v>
      </c>
      <c r="C872" s="308" t="s">
        <v>563</v>
      </c>
      <c r="D872" s="309" t="s">
        <v>563</v>
      </c>
      <c r="E872" s="310">
        <v>0</v>
      </c>
      <c r="F872" s="310">
        <v>0</v>
      </c>
      <c r="G872" s="311">
        <v>0</v>
      </c>
      <c r="H872" s="310" t="s">
        <v>563</v>
      </c>
      <c r="I872" s="310" t="s">
        <v>563</v>
      </c>
      <c r="J872" s="310" t="s">
        <v>563</v>
      </c>
      <c r="K872" s="312">
        <v>0</v>
      </c>
      <c r="L872" s="310">
        <v>0</v>
      </c>
      <c r="M872" s="310">
        <v>0</v>
      </c>
      <c r="N872" s="313">
        <v>0</v>
      </c>
      <c r="O872" s="314" t="s">
        <v>563</v>
      </c>
      <c r="P872" s="307">
        <f t="shared" si="249"/>
        <v>0</v>
      </c>
      <c r="R872" s="91" t="str">
        <f t="shared" si="263"/>
        <v/>
      </c>
      <c r="S87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2" s="307" t="str">
        <f t="shared" si="251"/>
        <v/>
      </c>
      <c r="U872" s="315" t="str">
        <f t="shared" si="252"/>
        <v/>
      </c>
      <c r="V872" s="307">
        <f t="shared" si="256"/>
        <v>0</v>
      </c>
      <c r="W872" s="307">
        <f>IFERROR(IF(V872&gt;0,PROPER(Terbilang1(V872)&amp;" Rupiah"),0),"")</f>
        <v>0</v>
      </c>
      <c r="X872" s="90" t="str">
        <f t="shared" si="257"/>
        <v/>
      </c>
      <c r="Y872" s="307" t="str">
        <f t="shared" si="258"/>
        <v/>
      </c>
      <c r="Z872" s="307">
        <f t="shared" si="253"/>
        <v>0</v>
      </c>
      <c r="AA872" s="366">
        <f t="shared" si="254"/>
        <v>0</v>
      </c>
      <c r="AB872" s="367">
        <f t="shared" si="259"/>
        <v>0</v>
      </c>
      <c r="AC872" s="305">
        <f t="shared" si="260"/>
        <v>0</v>
      </c>
      <c r="AP872" s="89" t="str">
        <f t="shared" si="248"/>
        <v/>
      </c>
      <c r="AQ872" s="89" t="str">
        <f t="shared" ref="AQ872:AQ935" si="264">TEXT(AR872,"MM")</f>
        <v/>
      </c>
      <c r="AR872" s="315" t="str">
        <f t="shared" si="247"/>
        <v/>
      </c>
      <c r="AS872" s="305" t="str">
        <f t="shared" si="261"/>
        <v>0</v>
      </c>
      <c r="AT872" s="307">
        <f>Table22[[#This Row],[Column1]]</f>
        <v>0</v>
      </c>
    </row>
    <row r="873" spans="1:46" x14ac:dyDescent="0.3">
      <c r="A873" s="307">
        <f t="shared" si="255"/>
        <v>0</v>
      </c>
      <c r="B873" s="307">
        <f t="shared" si="262"/>
        <v>0</v>
      </c>
      <c r="C873" s="308" t="s">
        <v>563</v>
      </c>
      <c r="D873" s="309" t="s">
        <v>563</v>
      </c>
      <c r="E873" s="310">
        <v>0</v>
      </c>
      <c r="F873" s="310">
        <v>0</v>
      </c>
      <c r="G873" s="311">
        <v>0</v>
      </c>
      <c r="H873" s="310" t="s">
        <v>563</v>
      </c>
      <c r="I873" s="310" t="s">
        <v>563</v>
      </c>
      <c r="J873" s="310" t="s">
        <v>563</v>
      </c>
      <c r="K873" s="312">
        <v>0</v>
      </c>
      <c r="L873" s="310">
        <v>0</v>
      </c>
      <c r="M873" s="310">
        <v>0</v>
      </c>
      <c r="N873" s="313">
        <v>0</v>
      </c>
      <c r="O873" s="314" t="s">
        <v>563</v>
      </c>
      <c r="P873" s="307">
        <f t="shared" si="249"/>
        <v>0</v>
      </c>
      <c r="R873" s="91" t="str">
        <f t="shared" si="263"/>
        <v/>
      </c>
      <c r="S87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3" s="307" t="str">
        <f t="shared" si="251"/>
        <v/>
      </c>
      <c r="U873" s="315" t="str">
        <f t="shared" si="252"/>
        <v/>
      </c>
      <c r="V873" s="307">
        <f t="shared" si="256"/>
        <v>0</v>
      </c>
      <c r="W873" s="307">
        <f>IFERROR(IF(V873&gt;0,PROPER(Terbilang1(V873)&amp;" Rupiah"),0),"")</f>
        <v>0</v>
      </c>
      <c r="X873" s="90" t="str">
        <f t="shared" si="257"/>
        <v/>
      </c>
      <c r="Y873" s="307" t="str">
        <f t="shared" si="258"/>
        <v/>
      </c>
      <c r="Z873" s="307">
        <f t="shared" si="253"/>
        <v>0</v>
      </c>
      <c r="AA873" s="366">
        <f t="shared" si="254"/>
        <v>0</v>
      </c>
      <c r="AB873" s="367">
        <f t="shared" si="259"/>
        <v>0</v>
      </c>
      <c r="AC873" s="305">
        <f t="shared" si="260"/>
        <v>0</v>
      </c>
      <c r="AP873" s="89" t="str">
        <f t="shared" si="248"/>
        <v/>
      </c>
      <c r="AQ873" s="89" t="str">
        <f t="shared" si="264"/>
        <v/>
      </c>
      <c r="AR873" s="315" t="str">
        <f t="shared" si="247"/>
        <v/>
      </c>
      <c r="AS873" s="305" t="str">
        <f t="shared" si="261"/>
        <v>0</v>
      </c>
      <c r="AT873" s="307">
        <f>Table22[[#This Row],[Column1]]</f>
        <v>0</v>
      </c>
    </row>
    <row r="874" spans="1:46" x14ac:dyDescent="0.3">
      <c r="A874" s="307">
        <f t="shared" si="255"/>
        <v>0</v>
      </c>
      <c r="B874" s="307">
        <f t="shared" si="262"/>
        <v>0</v>
      </c>
      <c r="C874" s="308" t="s">
        <v>563</v>
      </c>
      <c r="D874" s="309" t="s">
        <v>563</v>
      </c>
      <c r="E874" s="310">
        <v>0</v>
      </c>
      <c r="F874" s="310">
        <v>0</v>
      </c>
      <c r="G874" s="311">
        <v>0</v>
      </c>
      <c r="H874" s="310" t="s">
        <v>563</v>
      </c>
      <c r="I874" s="310" t="s">
        <v>563</v>
      </c>
      <c r="J874" s="310" t="s">
        <v>563</v>
      </c>
      <c r="K874" s="312">
        <v>0</v>
      </c>
      <c r="L874" s="310">
        <v>0</v>
      </c>
      <c r="M874" s="310">
        <v>0</v>
      </c>
      <c r="N874" s="313">
        <v>0</v>
      </c>
      <c r="O874" s="314" t="s">
        <v>563</v>
      </c>
      <c r="P874" s="307">
        <f t="shared" si="249"/>
        <v>0</v>
      </c>
      <c r="R874" s="91" t="str">
        <f t="shared" si="263"/>
        <v/>
      </c>
      <c r="S87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4" s="307" t="str">
        <f t="shared" si="251"/>
        <v/>
      </c>
      <c r="U874" s="315" t="str">
        <f t="shared" si="252"/>
        <v/>
      </c>
      <c r="V874" s="307">
        <f t="shared" si="256"/>
        <v>0</v>
      </c>
      <c r="W874" s="307">
        <f>IFERROR(IF(V874&gt;0,PROPER(Terbilang1(V874)&amp;" Rupiah"),0),"")</f>
        <v>0</v>
      </c>
      <c r="X874" s="90" t="str">
        <f t="shared" si="257"/>
        <v/>
      </c>
      <c r="Y874" s="307" t="str">
        <f t="shared" si="258"/>
        <v/>
      </c>
      <c r="Z874" s="307">
        <f t="shared" si="253"/>
        <v>0</v>
      </c>
      <c r="AA874" s="366">
        <f t="shared" si="254"/>
        <v>0</v>
      </c>
      <c r="AB874" s="367">
        <f t="shared" si="259"/>
        <v>0</v>
      </c>
      <c r="AC874" s="305">
        <f t="shared" si="260"/>
        <v>0</v>
      </c>
      <c r="AP874" s="89" t="str">
        <f t="shared" si="248"/>
        <v/>
      </c>
      <c r="AQ874" s="89" t="str">
        <f t="shared" si="264"/>
        <v/>
      </c>
      <c r="AR874" s="315" t="str">
        <f t="shared" si="247"/>
        <v/>
      </c>
      <c r="AS874" s="305" t="str">
        <f t="shared" si="261"/>
        <v>0</v>
      </c>
      <c r="AT874" s="307">
        <f>Table22[[#This Row],[Column1]]</f>
        <v>0</v>
      </c>
    </row>
    <row r="875" spans="1:46" x14ac:dyDescent="0.3">
      <c r="A875" s="307">
        <f t="shared" si="255"/>
        <v>0</v>
      </c>
      <c r="B875" s="307">
        <f t="shared" si="262"/>
        <v>0</v>
      </c>
      <c r="C875" s="308" t="s">
        <v>563</v>
      </c>
      <c r="D875" s="309" t="s">
        <v>563</v>
      </c>
      <c r="E875" s="310">
        <v>0</v>
      </c>
      <c r="F875" s="310">
        <v>0</v>
      </c>
      <c r="G875" s="311">
        <v>0</v>
      </c>
      <c r="H875" s="310" t="s">
        <v>563</v>
      </c>
      <c r="I875" s="310" t="s">
        <v>563</v>
      </c>
      <c r="J875" s="310" t="s">
        <v>563</v>
      </c>
      <c r="K875" s="312">
        <v>0</v>
      </c>
      <c r="L875" s="310">
        <v>0</v>
      </c>
      <c r="M875" s="310">
        <v>0</v>
      </c>
      <c r="N875" s="313">
        <v>0</v>
      </c>
      <c r="O875" s="314" t="s">
        <v>563</v>
      </c>
      <c r="P875" s="307">
        <f t="shared" si="249"/>
        <v>0</v>
      </c>
      <c r="R875" s="91" t="str">
        <f t="shared" si="263"/>
        <v/>
      </c>
      <c r="S87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5" s="307" t="str">
        <f t="shared" si="251"/>
        <v/>
      </c>
      <c r="U875" s="315" t="str">
        <f t="shared" si="252"/>
        <v/>
      </c>
      <c r="V875" s="307">
        <f t="shared" si="256"/>
        <v>0</v>
      </c>
      <c r="W875" s="307">
        <f>IFERROR(IF(V875&gt;0,PROPER(Terbilang1(V875)&amp;" Rupiah"),0),"")</f>
        <v>0</v>
      </c>
      <c r="X875" s="90" t="str">
        <f t="shared" si="257"/>
        <v/>
      </c>
      <c r="Y875" s="307" t="str">
        <f t="shared" si="258"/>
        <v/>
      </c>
      <c r="Z875" s="307">
        <f t="shared" si="253"/>
        <v>0</v>
      </c>
      <c r="AA875" s="366">
        <f t="shared" si="254"/>
        <v>0</v>
      </c>
      <c r="AB875" s="367">
        <f t="shared" si="259"/>
        <v>0</v>
      </c>
      <c r="AC875" s="305">
        <f t="shared" si="260"/>
        <v>0</v>
      </c>
      <c r="AP875" s="89" t="str">
        <f t="shared" si="248"/>
        <v/>
      </c>
      <c r="AQ875" s="89" t="str">
        <f t="shared" si="264"/>
        <v/>
      </c>
      <c r="AR875" s="315" t="str">
        <f t="shared" si="247"/>
        <v/>
      </c>
      <c r="AS875" s="305" t="str">
        <f t="shared" si="261"/>
        <v>0</v>
      </c>
      <c r="AT875" s="307">
        <f>Table22[[#This Row],[Column1]]</f>
        <v>0</v>
      </c>
    </row>
    <row r="876" spans="1:46" x14ac:dyDescent="0.3">
      <c r="A876" s="307">
        <f t="shared" si="255"/>
        <v>0</v>
      </c>
      <c r="B876" s="307">
        <f t="shared" si="262"/>
        <v>0</v>
      </c>
      <c r="C876" s="308" t="s">
        <v>563</v>
      </c>
      <c r="D876" s="309" t="s">
        <v>563</v>
      </c>
      <c r="E876" s="310">
        <v>0</v>
      </c>
      <c r="F876" s="310">
        <v>0</v>
      </c>
      <c r="G876" s="311">
        <v>0</v>
      </c>
      <c r="H876" s="310" t="s">
        <v>563</v>
      </c>
      <c r="I876" s="310" t="s">
        <v>563</v>
      </c>
      <c r="J876" s="310" t="s">
        <v>563</v>
      </c>
      <c r="K876" s="312">
        <v>0</v>
      </c>
      <c r="L876" s="310">
        <v>0</v>
      </c>
      <c r="M876" s="310">
        <v>0</v>
      </c>
      <c r="N876" s="313">
        <v>0</v>
      </c>
      <c r="O876" s="314" t="s">
        <v>563</v>
      </c>
      <c r="P876" s="307">
        <f t="shared" si="249"/>
        <v>0</v>
      </c>
      <c r="R876" s="91" t="str">
        <f t="shared" si="263"/>
        <v/>
      </c>
      <c r="S87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6" s="307" t="str">
        <f t="shared" si="251"/>
        <v/>
      </c>
      <c r="U876" s="315" t="str">
        <f t="shared" si="252"/>
        <v/>
      </c>
      <c r="V876" s="307">
        <f t="shared" si="256"/>
        <v>0</v>
      </c>
      <c r="W876" s="307">
        <f>IFERROR(IF(V876&gt;0,PROPER(Terbilang1(V876)&amp;" Rupiah"),0),"")</f>
        <v>0</v>
      </c>
      <c r="X876" s="90" t="str">
        <f t="shared" si="257"/>
        <v/>
      </c>
      <c r="Y876" s="307" t="str">
        <f t="shared" si="258"/>
        <v/>
      </c>
      <c r="Z876" s="307">
        <f t="shared" si="253"/>
        <v>0</v>
      </c>
      <c r="AA876" s="366">
        <f t="shared" si="254"/>
        <v>0</v>
      </c>
      <c r="AB876" s="367">
        <f t="shared" si="259"/>
        <v>0</v>
      </c>
      <c r="AC876" s="305">
        <f t="shared" si="260"/>
        <v>0</v>
      </c>
      <c r="AP876" s="89" t="str">
        <f t="shared" si="248"/>
        <v/>
      </c>
      <c r="AQ876" s="89" t="str">
        <f t="shared" si="264"/>
        <v/>
      </c>
      <c r="AR876" s="315" t="str">
        <f t="shared" si="247"/>
        <v/>
      </c>
      <c r="AS876" s="305" t="str">
        <f t="shared" si="261"/>
        <v>0</v>
      </c>
      <c r="AT876" s="307">
        <f>Table22[[#This Row],[Column1]]</f>
        <v>0</v>
      </c>
    </row>
    <row r="877" spans="1:46" x14ac:dyDescent="0.3">
      <c r="A877" s="307">
        <f t="shared" si="255"/>
        <v>0</v>
      </c>
      <c r="B877" s="307">
        <f t="shared" si="262"/>
        <v>0</v>
      </c>
      <c r="C877" s="308" t="s">
        <v>563</v>
      </c>
      <c r="D877" s="309" t="s">
        <v>563</v>
      </c>
      <c r="E877" s="310">
        <v>0</v>
      </c>
      <c r="F877" s="310">
        <v>0</v>
      </c>
      <c r="G877" s="311">
        <v>0</v>
      </c>
      <c r="H877" s="310" t="s">
        <v>563</v>
      </c>
      <c r="I877" s="310" t="s">
        <v>563</v>
      </c>
      <c r="J877" s="310" t="s">
        <v>563</v>
      </c>
      <c r="K877" s="312">
        <v>0</v>
      </c>
      <c r="L877" s="310">
        <v>0</v>
      </c>
      <c r="M877" s="310">
        <v>0</v>
      </c>
      <c r="N877" s="313">
        <v>0</v>
      </c>
      <c r="O877" s="314" t="s">
        <v>563</v>
      </c>
      <c r="P877" s="307">
        <f t="shared" si="249"/>
        <v>0</v>
      </c>
      <c r="R877" s="91" t="str">
        <f t="shared" si="263"/>
        <v/>
      </c>
      <c r="S87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7" s="307" t="str">
        <f t="shared" si="251"/>
        <v/>
      </c>
      <c r="U877" s="315" t="str">
        <f t="shared" si="252"/>
        <v/>
      </c>
      <c r="V877" s="307">
        <f t="shared" si="256"/>
        <v>0</v>
      </c>
      <c r="W877" s="307">
        <f>IFERROR(IF(V877&gt;0,PROPER(Terbilang1(V877)&amp;" Rupiah"),0),"")</f>
        <v>0</v>
      </c>
      <c r="X877" s="90" t="str">
        <f t="shared" si="257"/>
        <v/>
      </c>
      <c r="Y877" s="307" t="str">
        <f t="shared" si="258"/>
        <v/>
      </c>
      <c r="Z877" s="307">
        <f t="shared" si="253"/>
        <v>0</v>
      </c>
      <c r="AA877" s="366">
        <f t="shared" si="254"/>
        <v>0</v>
      </c>
      <c r="AB877" s="367">
        <f t="shared" si="259"/>
        <v>0</v>
      </c>
      <c r="AC877" s="305">
        <f t="shared" si="260"/>
        <v>0</v>
      </c>
      <c r="AP877" s="89" t="str">
        <f t="shared" si="248"/>
        <v/>
      </c>
      <c r="AQ877" s="89" t="str">
        <f t="shared" si="264"/>
        <v/>
      </c>
      <c r="AR877" s="315" t="str">
        <f t="shared" si="247"/>
        <v/>
      </c>
      <c r="AS877" s="305" t="str">
        <f t="shared" si="261"/>
        <v>0</v>
      </c>
      <c r="AT877" s="307">
        <f>Table22[[#This Row],[Column1]]</f>
        <v>0</v>
      </c>
    </row>
    <row r="878" spans="1:46" x14ac:dyDescent="0.3">
      <c r="A878" s="307">
        <f t="shared" si="255"/>
        <v>0</v>
      </c>
      <c r="B878" s="307">
        <f t="shared" si="262"/>
        <v>0</v>
      </c>
      <c r="C878" s="308" t="s">
        <v>563</v>
      </c>
      <c r="D878" s="309" t="s">
        <v>563</v>
      </c>
      <c r="E878" s="310">
        <v>0</v>
      </c>
      <c r="F878" s="310">
        <v>0</v>
      </c>
      <c r="G878" s="311">
        <v>0</v>
      </c>
      <c r="H878" s="310" t="s">
        <v>563</v>
      </c>
      <c r="I878" s="310" t="s">
        <v>563</v>
      </c>
      <c r="J878" s="310" t="s">
        <v>563</v>
      </c>
      <c r="K878" s="312">
        <v>0</v>
      </c>
      <c r="L878" s="310">
        <v>0</v>
      </c>
      <c r="M878" s="310">
        <v>0</v>
      </c>
      <c r="N878" s="313">
        <v>0</v>
      </c>
      <c r="O878" s="314" t="s">
        <v>563</v>
      </c>
      <c r="P878" s="307">
        <f t="shared" si="249"/>
        <v>0</v>
      </c>
      <c r="R878" s="91" t="str">
        <f t="shared" si="263"/>
        <v/>
      </c>
      <c r="S87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8" s="307" t="str">
        <f t="shared" si="251"/>
        <v/>
      </c>
      <c r="U878" s="315" t="str">
        <f t="shared" si="252"/>
        <v/>
      </c>
      <c r="V878" s="307">
        <f t="shared" si="256"/>
        <v>0</v>
      </c>
      <c r="W878" s="307">
        <f>IFERROR(IF(V878&gt;0,PROPER(Terbilang1(V878)&amp;" Rupiah"),0),"")</f>
        <v>0</v>
      </c>
      <c r="X878" s="90" t="str">
        <f t="shared" si="257"/>
        <v/>
      </c>
      <c r="Y878" s="307" t="str">
        <f t="shared" si="258"/>
        <v/>
      </c>
      <c r="Z878" s="307">
        <f t="shared" si="253"/>
        <v>0</v>
      </c>
      <c r="AA878" s="366">
        <f t="shared" si="254"/>
        <v>0</v>
      </c>
      <c r="AB878" s="367">
        <f t="shared" si="259"/>
        <v>0</v>
      </c>
      <c r="AC878" s="305">
        <f t="shared" si="260"/>
        <v>0</v>
      </c>
      <c r="AP878" s="89" t="str">
        <f t="shared" si="248"/>
        <v/>
      </c>
      <c r="AQ878" s="89" t="str">
        <f t="shared" si="264"/>
        <v/>
      </c>
      <c r="AR878" s="315" t="str">
        <f t="shared" si="247"/>
        <v/>
      </c>
      <c r="AS878" s="305" t="str">
        <f t="shared" si="261"/>
        <v>0</v>
      </c>
      <c r="AT878" s="307">
        <f>Table22[[#This Row],[Column1]]</f>
        <v>0</v>
      </c>
    </row>
    <row r="879" spans="1:46" x14ac:dyDescent="0.3">
      <c r="A879" s="307">
        <f t="shared" si="255"/>
        <v>0</v>
      </c>
      <c r="B879" s="307">
        <f t="shared" si="262"/>
        <v>0</v>
      </c>
      <c r="C879" s="308" t="s">
        <v>563</v>
      </c>
      <c r="D879" s="309" t="s">
        <v>563</v>
      </c>
      <c r="E879" s="310">
        <v>0</v>
      </c>
      <c r="F879" s="310">
        <v>0</v>
      </c>
      <c r="G879" s="311">
        <v>0</v>
      </c>
      <c r="H879" s="310" t="s">
        <v>563</v>
      </c>
      <c r="I879" s="310" t="s">
        <v>563</v>
      </c>
      <c r="J879" s="310" t="s">
        <v>563</v>
      </c>
      <c r="K879" s="312">
        <v>0</v>
      </c>
      <c r="L879" s="310">
        <v>0</v>
      </c>
      <c r="M879" s="310">
        <v>0</v>
      </c>
      <c r="N879" s="313">
        <v>0</v>
      </c>
      <c r="O879" s="314" t="s">
        <v>563</v>
      </c>
      <c r="P879" s="307">
        <f t="shared" si="249"/>
        <v>0</v>
      </c>
      <c r="R879" s="91" t="str">
        <f t="shared" si="263"/>
        <v/>
      </c>
      <c r="S87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79" s="307" t="str">
        <f t="shared" si="251"/>
        <v/>
      </c>
      <c r="U879" s="315" t="str">
        <f t="shared" si="252"/>
        <v/>
      </c>
      <c r="V879" s="307">
        <f t="shared" si="256"/>
        <v>0</v>
      </c>
      <c r="W879" s="307">
        <f>IFERROR(IF(V879&gt;0,PROPER(Terbilang1(V879)&amp;" Rupiah"),0),"")</f>
        <v>0</v>
      </c>
      <c r="X879" s="90" t="str">
        <f t="shared" si="257"/>
        <v/>
      </c>
      <c r="Y879" s="307" t="str">
        <f t="shared" si="258"/>
        <v/>
      </c>
      <c r="Z879" s="307">
        <f t="shared" si="253"/>
        <v>0</v>
      </c>
      <c r="AA879" s="366">
        <f t="shared" si="254"/>
        <v>0</v>
      </c>
      <c r="AB879" s="367">
        <f t="shared" si="259"/>
        <v>0</v>
      </c>
      <c r="AC879" s="305">
        <f t="shared" si="260"/>
        <v>0</v>
      </c>
      <c r="AP879" s="89" t="str">
        <f t="shared" si="248"/>
        <v/>
      </c>
      <c r="AQ879" s="89" t="str">
        <f t="shared" si="264"/>
        <v/>
      </c>
      <c r="AR879" s="315" t="str">
        <f t="shared" si="247"/>
        <v/>
      </c>
      <c r="AS879" s="305" t="str">
        <f t="shared" si="261"/>
        <v>0</v>
      </c>
      <c r="AT879" s="307">
        <f>Table22[[#This Row],[Column1]]</f>
        <v>0</v>
      </c>
    </row>
    <row r="880" spans="1:46" x14ac:dyDescent="0.3">
      <c r="A880" s="307">
        <f t="shared" si="255"/>
        <v>0</v>
      </c>
      <c r="B880" s="307">
        <f t="shared" si="262"/>
        <v>0</v>
      </c>
      <c r="C880" s="308" t="s">
        <v>563</v>
      </c>
      <c r="D880" s="309" t="s">
        <v>563</v>
      </c>
      <c r="E880" s="310">
        <v>0</v>
      </c>
      <c r="F880" s="310">
        <v>0</v>
      </c>
      <c r="G880" s="311">
        <v>0</v>
      </c>
      <c r="H880" s="310" t="s">
        <v>563</v>
      </c>
      <c r="I880" s="310" t="s">
        <v>563</v>
      </c>
      <c r="J880" s="310" t="s">
        <v>563</v>
      </c>
      <c r="K880" s="312">
        <v>0</v>
      </c>
      <c r="L880" s="310">
        <v>0</v>
      </c>
      <c r="M880" s="310">
        <v>0</v>
      </c>
      <c r="N880" s="313">
        <v>0</v>
      </c>
      <c r="O880" s="314" t="s">
        <v>563</v>
      </c>
      <c r="P880" s="307">
        <f t="shared" si="249"/>
        <v>0</v>
      </c>
      <c r="R880" s="91" t="str">
        <f t="shared" si="263"/>
        <v/>
      </c>
      <c r="S88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0" s="307" t="str">
        <f t="shared" si="251"/>
        <v/>
      </c>
      <c r="U880" s="315" t="str">
        <f t="shared" si="252"/>
        <v/>
      </c>
      <c r="V880" s="307">
        <f t="shared" si="256"/>
        <v>0</v>
      </c>
      <c r="W880" s="307">
        <f>IFERROR(IF(V880&gt;0,PROPER(Terbilang1(V880)&amp;" Rupiah"),0),"")</f>
        <v>0</v>
      </c>
      <c r="X880" s="90" t="str">
        <f t="shared" si="257"/>
        <v/>
      </c>
      <c r="Y880" s="307" t="str">
        <f t="shared" si="258"/>
        <v/>
      </c>
      <c r="Z880" s="307">
        <f t="shared" si="253"/>
        <v>0</v>
      </c>
      <c r="AA880" s="366">
        <f t="shared" si="254"/>
        <v>0</v>
      </c>
      <c r="AB880" s="367">
        <f t="shared" si="259"/>
        <v>0</v>
      </c>
      <c r="AC880" s="305">
        <f t="shared" si="260"/>
        <v>0</v>
      </c>
      <c r="AP880" s="89" t="str">
        <f t="shared" si="248"/>
        <v/>
      </c>
      <c r="AQ880" s="89" t="str">
        <f t="shared" si="264"/>
        <v/>
      </c>
      <c r="AR880" s="315" t="str">
        <f t="shared" si="247"/>
        <v/>
      </c>
      <c r="AS880" s="305" t="str">
        <f t="shared" si="261"/>
        <v>0</v>
      </c>
      <c r="AT880" s="307">
        <f>Table22[[#This Row],[Column1]]</f>
        <v>0</v>
      </c>
    </row>
    <row r="881" spans="1:46" x14ac:dyDescent="0.3">
      <c r="A881" s="307">
        <f t="shared" si="255"/>
        <v>0</v>
      </c>
      <c r="B881" s="307">
        <f t="shared" si="262"/>
        <v>0</v>
      </c>
      <c r="C881" s="308" t="s">
        <v>563</v>
      </c>
      <c r="D881" s="309" t="s">
        <v>563</v>
      </c>
      <c r="E881" s="310">
        <v>0</v>
      </c>
      <c r="F881" s="310">
        <v>0</v>
      </c>
      <c r="G881" s="311">
        <v>0</v>
      </c>
      <c r="H881" s="310" t="s">
        <v>563</v>
      </c>
      <c r="I881" s="310" t="s">
        <v>563</v>
      </c>
      <c r="J881" s="310" t="s">
        <v>563</v>
      </c>
      <c r="K881" s="312">
        <v>0</v>
      </c>
      <c r="L881" s="310">
        <v>0</v>
      </c>
      <c r="M881" s="310">
        <v>0</v>
      </c>
      <c r="N881" s="313">
        <v>0</v>
      </c>
      <c r="O881" s="314" t="s">
        <v>563</v>
      </c>
      <c r="P881" s="307">
        <f t="shared" si="249"/>
        <v>0</v>
      </c>
      <c r="R881" s="91" t="str">
        <f t="shared" si="263"/>
        <v/>
      </c>
      <c r="S88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1" s="307" t="str">
        <f t="shared" si="251"/>
        <v/>
      </c>
      <c r="U881" s="315" t="str">
        <f t="shared" si="252"/>
        <v/>
      </c>
      <c r="V881" s="307">
        <f t="shared" si="256"/>
        <v>0</v>
      </c>
      <c r="W881" s="307">
        <f>IFERROR(IF(V881&gt;0,PROPER(Terbilang1(V881)&amp;" Rupiah"),0),"")</f>
        <v>0</v>
      </c>
      <c r="X881" s="90" t="str">
        <f t="shared" si="257"/>
        <v/>
      </c>
      <c r="Y881" s="307" t="str">
        <f t="shared" si="258"/>
        <v/>
      </c>
      <c r="Z881" s="307">
        <f t="shared" si="253"/>
        <v>0</v>
      </c>
      <c r="AA881" s="366">
        <f t="shared" si="254"/>
        <v>0</v>
      </c>
      <c r="AB881" s="367">
        <f t="shared" si="259"/>
        <v>0</v>
      </c>
      <c r="AC881" s="305">
        <f t="shared" si="260"/>
        <v>0</v>
      </c>
      <c r="AP881" s="89" t="str">
        <f t="shared" si="248"/>
        <v/>
      </c>
      <c r="AQ881" s="89" t="str">
        <f t="shared" si="264"/>
        <v/>
      </c>
      <c r="AR881" s="315" t="str">
        <f t="shared" si="247"/>
        <v/>
      </c>
      <c r="AS881" s="305" t="str">
        <f t="shared" si="261"/>
        <v>0</v>
      </c>
      <c r="AT881" s="307">
        <f>Table22[[#This Row],[Column1]]</f>
        <v>0</v>
      </c>
    </row>
    <row r="882" spans="1:46" x14ac:dyDescent="0.3">
      <c r="A882" s="307">
        <f t="shared" si="255"/>
        <v>0</v>
      </c>
      <c r="B882" s="307">
        <f t="shared" si="262"/>
        <v>0</v>
      </c>
      <c r="C882" s="308" t="s">
        <v>563</v>
      </c>
      <c r="D882" s="309" t="s">
        <v>563</v>
      </c>
      <c r="E882" s="310">
        <v>0</v>
      </c>
      <c r="F882" s="310">
        <v>0</v>
      </c>
      <c r="G882" s="311">
        <v>0</v>
      </c>
      <c r="H882" s="310" t="s">
        <v>563</v>
      </c>
      <c r="I882" s="310" t="s">
        <v>563</v>
      </c>
      <c r="J882" s="310" t="s">
        <v>563</v>
      </c>
      <c r="K882" s="312">
        <v>0</v>
      </c>
      <c r="L882" s="310">
        <v>0</v>
      </c>
      <c r="M882" s="310">
        <v>0</v>
      </c>
      <c r="N882" s="313">
        <v>0</v>
      </c>
      <c r="O882" s="314" t="s">
        <v>563</v>
      </c>
      <c r="P882" s="307">
        <f t="shared" si="249"/>
        <v>0</v>
      </c>
      <c r="R882" s="91" t="str">
        <f t="shared" si="263"/>
        <v/>
      </c>
      <c r="S88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2" s="307" t="str">
        <f t="shared" si="251"/>
        <v/>
      </c>
      <c r="U882" s="315" t="str">
        <f t="shared" si="252"/>
        <v/>
      </c>
      <c r="V882" s="307">
        <f t="shared" si="256"/>
        <v>0</v>
      </c>
      <c r="W882" s="307">
        <f>IFERROR(IF(V882&gt;0,PROPER(Terbilang1(V882)&amp;" Rupiah"),0),"")</f>
        <v>0</v>
      </c>
      <c r="X882" s="90" t="str">
        <f t="shared" si="257"/>
        <v/>
      </c>
      <c r="Y882" s="307" t="str">
        <f t="shared" si="258"/>
        <v/>
      </c>
      <c r="Z882" s="307">
        <f t="shared" si="253"/>
        <v>0</v>
      </c>
      <c r="AA882" s="366">
        <f t="shared" si="254"/>
        <v>0</v>
      </c>
      <c r="AB882" s="367">
        <f t="shared" si="259"/>
        <v>0</v>
      </c>
      <c r="AC882" s="305">
        <f t="shared" si="260"/>
        <v>0</v>
      </c>
      <c r="AP882" s="89" t="str">
        <f t="shared" si="248"/>
        <v/>
      </c>
      <c r="AQ882" s="89" t="str">
        <f t="shared" si="264"/>
        <v/>
      </c>
      <c r="AR882" s="315" t="str">
        <f t="shared" si="247"/>
        <v/>
      </c>
      <c r="AS882" s="305" t="str">
        <f t="shared" si="261"/>
        <v>0</v>
      </c>
      <c r="AT882" s="307">
        <f>Table22[[#This Row],[Column1]]</f>
        <v>0</v>
      </c>
    </row>
    <row r="883" spans="1:46" x14ac:dyDescent="0.3">
      <c r="A883" s="307">
        <f t="shared" si="255"/>
        <v>0</v>
      </c>
      <c r="B883" s="307">
        <f t="shared" si="262"/>
        <v>0</v>
      </c>
      <c r="C883" s="308" t="s">
        <v>563</v>
      </c>
      <c r="D883" s="309" t="s">
        <v>563</v>
      </c>
      <c r="E883" s="310">
        <v>0</v>
      </c>
      <c r="F883" s="310">
        <v>0</v>
      </c>
      <c r="G883" s="311">
        <v>0</v>
      </c>
      <c r="H883" s="310" t="s">
        <v>563</v>
      </c>
      <c r="I883" s="310" t="s">
        <v>563</v>
      </c>
      <c r="J883" s="310" t="s">
        <v>563</v>
      </c>
      <c r="K883" s="312">
        <v>0</v>
      </c>
      <c r="L883" s="310">
        <v>0</v>
      </c>
      <c r="M883" s="310">
        <v>0</v>
      </c>
      <c r="N883" s="313">
        <v>0</v>
      </c>
      <c r="O883" s="314" t="s">
        <v>563</v>
      </c>
      <c r="P883" s="307">
        <f t="shared" si="249"/>
        <v>0</v>
      </c>
      <c r="R883" s="91" t="str">
        <f t="shared" si="263"/>
        <v/>
      </c>
      <c r="S88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3" s="307" t="str">
        <f t="shared" si="251"/>
        <v/>
      </c>
      <c r="U883" s="315" t="str">
        <f t="shared" si="252"/>
        <v/>
      </c>
      <c r="V883" s="307">
        <f t="shared" si="256"/>
        <v>0</v>
      </c>
      <c r="W883" s="307">
        <f>IFERROR(IF(V883&gt;0,PROPER(Terbilang1(V883)&amp;" Rupiah"),0),"")</f>
        <v>0</v>
      </c>
      <c r="X883" s="90" t="str">
        <f t="shared" si="257"/>
        <v/>
      </c>
      <c r="Y883" s="307" t="str">
        <f t="shared" si="258"/>
        <v/>
      </c>
      <c r="Z883" s="307">
        <f t="shared" si="253"/>
        <v>0</v>
      </c>
      <c r="AA883" s="366">
        <f t="shared" si="254"/>
        <v>0</v>
      </c>
      <c r="AB883" s="367">
        <f t="shared" si="259"/>
        <v>0</v>
      </c>
      <c r="AC883" s="305">
        <f t="shared" si="260"/>
        <v>0</v>
      </c>
      <c r="AP883" s="89" t="str">
        <f t="shared" si="248"/>
        <v/>
      </c>
      <c r="AQ883" s="89" t="str">
        <f t="shared" si="264"/>
        <v/>
      </c>
      <c r="AR883" s="315" t="str">
        <f t="shared" ref="AR883:AR946" si="265">IF(VALUE(AT883)&gt;1,IF(LEN(AR882)&gt;1,AR882,D883),"")</f>
        <v/>
      </c>
      <c r="AS883" s="305" t="str">
        <f t="shared" si="261"/>
        <v>0</v>
      </c>
      <c r="AT883" s="307">
        <f>Table22[[#This Row],[Column1]]</f>
        <v>0</v>
      </c>
    </row>
    <row r="884" spans="1:46" x14ac:dyDescent="0.3">
      <c r="A884" s="307">
        <f t="shared" si="255"/>
        <v>0</v>
      </c>
      <c r="B884" s="307">
        <f t="shared" si="262"/>
        <v>0</v>
      </c>
      <c r="C884" s="308" t="s">
        <v>563</v>
      </c>
      <c r="D884" s="309" t="s">
        <v>563</v>
      </c>
      <c r="E884" s="310">
        <v>0</v>
      </c>
      <c r="F884" s="310">
        <v>0</v>
      </c>
      <c r="G884" s="311">
        <v>0</v>
      </c>
      <c r="H884" s="310" t="s">
        <v>563</v>
      </c>
      <c r="I884" s="310" t="s">
        <v>563</v>
      </c>
      <c r="J884" s="310" t="s">
        <v>563</v>
      </c>
      <c r="K884" s="312">
        <v>0</v>
      </c>
      <c r="L884" s="310">
        <v>0</v>
      </c>
      <c r="M884" s="310">
        <v>0</v>
      </c>
      <c r="N884" s="313">
        <v>0</v>
      </c>
      <c r="O884" s="314" t="s">
        <v>563</v>
      </c>
      <c r="P884" s="307">
        <f t="shared" si="249"/>
        <v>0</v>
      </c>
      <c r="R884" s="91" t="str">
        <f t="shared" si="263"/>
        <v/>
      </c>
      <c r="S88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4" s="307" t="str">
        <f t="shared" si="251"/>
        <v/>
      </c>
      <c r="U884" s="315" t="str">
        <f t="shared" si="252"/>
        <v/>
      </c>
      <c r="V884" s="307">
        <f t="shared" si="256"/>
        <v>0</v>
      </c>
      <c r="W884" s="307">
        <f>IFERROR(IF(V884&gt;0,PROPER(Terbilang1(V884)&amp;" Rupiah"),0),"")</f>
        <v>0</v>
      </c>
      <c r="X884" s="90" t="str">
        <f t="shared" si="257"/>
        <v/>
      </c>
      <c r="Y884" s="307" t="str">
        <f t="shared" si="258"/>
        <v/>
      </c>
      <c r="Z884" s="307">
        <f t="shared" si="253"/>
        <v>0</v>
      </c>
      <c r="AA884" s="366">
        <f t="shared" si="254"/>
        <v>0</v>
      </c>
      <c r="AB884" s="367">
        <f t="shared" si="259"/>
        <v>0</v>
      </c>
      <c r="AC884" s="305">
        <f t="shared" si="260"/>
        <v>0</v>
      </c>
      <c r="AP884" s="89" t="str">
        <f t="shared" si="248"/>
        <v/>
      </c>
      <c r="AQ884" s="89" t="str">
        <f t="shared" si="264"/>
        <v/>
      </c>
      <c r="AR884" s="315" t="str">
        <f t="shared" si="265"/>
        <v/>
      </c>
      <c r="AS884" s="305" t="str">
        <f t="shared" si="261"/>
        <v>0</v>
      </c>
      <c r="AT884" s="307">
        <f>Table22[[#This Row],[Column1]]</f>
        <v>0</v>
      </c>
    </row>
    <row r="885" spans="1:46" x14ac:dyDescent="0.3">
      <c r="A885" s="307">
        <f t="shared" si="255"/>
        <v>0</v>
      </c>
      <c r="B885" s="307">
        <f t="shared" si="262"/>
        <v>0</v>
      </c>
      <c r="C885" s="308" t="s">
        <v>563</v>
      </c>
      <c r="D885" s="309" t="s">
        <v>563</v>
      </c>
      <c r="E885" s="310">
        <v>0</v>
      </c>
      <c r="F885" s="310">
        <v>0</v>
      </c>
      <c r="G885" s="311">
        <v>0</v>
      </c>
      <c r="H885" s="310" t="s">
        <v>563</v>
      </c>
      <c r="I885" s="310" t="s">
        <v>563</v>
      </c>
      <c r="J885" s="310" t="s">
        <v>563</v>
      </c>
      <c r="K885" s="312">
        <v>0</v>
      </c>
      <c r="L885" s="310">
        <v>0</v>
      </c>
      <c r="M885" s="310">
        <v>0</v>
      </c>
      <c r="N885" s="313">
        <v>0</v>
      </c>
      <c r="O885" s="314" t="s">
        <v>563</v>
      </c>
      <c r="P885" s="307">
        <f t="shared" si="249"/>
        <v>0</v>
      </c>
      <c r="R885" s="91" t="str">
        <f t="shared" si="263"/>
        <v/>
      </c>
      <c r="S88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5" s="307" t="str">
        <f t="shared" si="251"/>
        <v/>
      </c>
      <c r="U885" s="315" t="str">
        <f t="shared" si="252"/>
        <v/>
      </c>
      <c r="V885" s="307">
        <f t="shared" si="256"/>
        <v>0</v>
      </c>
      <c r="W885" s="307">
        <f>IFERROR(IF(V885&gt;0,PROPER(Terbilang1(V885)&amp;" Rupiah"),0),"")</f>
        <v>0</v>
      </c>
      <c r="X885" s="90" t="str">
        <f t="shared" si="257"/>
        <v/>
      </c>
      <c r="Y885" s="307" t="str">
        <f t="shared" si="258"/>
        <v/>
      </c>
      <c r="Z885" s="307">
        <f t="shared" si="253"/>
        <v>0</v>
      </c>
      <c r="AA885" s="366">
        <f t="shared" si="254"/>
        <v>0</v>
      </c>
      <c r="AB885" s="367">
        <f t="shared" si="259"/>
        <v>0</v>
      </c>
      <c r="AC885" s="305">
        <f t="shared" si="260"/>
        <v>0</v>
      </c>
      <c r="AP885" s="89" t="str">
        <f t="shared" si="248"/>
        <v/>
      </c>
      <c r="AQ885" s="89" t="str">
        <f t="shared" si="264"/>
        <v/>
      </c>
      <c r="AR885" s="315" t="str">
        <f t="shared" si="265"/>
        <v/>
      </c>
      <c r="AS885" s="305" t="str">
        <f t="shared" si="261"/>
        <v>0</v>
      </c>
      <c r="AT885" s="307">
        <f>Table22[[#This Row],[Column1]]</f>
        <v>0</v>
      </c>
    </row>
    <row r="886" spans="1:46" x14ac:dyDescent="0.3">
      <c r="A886" s="307">
        <f t="shared" si="255"/>
        <v>0</v>
      </c>
      <c r="B886" s="307">
        <f t="shared" si="262"/>
        <v>0</v>
      </c>
      <c r="C886" s="308" t="s">
        <v>563</v>
      </c>
      <c r="D886" s="309" t="s">
        <v>563</v>
      </c>
      <c r="E886" s="310">
        <v>0</v>
      </c>
      <c r="F886" s="310">
        <v>0</v>
      </c>
      <c r="G886" s="311">
        <v>0</v>
      </c>
      <c r="H886" s="310" t="s">
        <v>563</v>
      </c>
      <c r="I886" s="310" t="s">
        <v>563</v>
      </c>
      <c r="J886" s="310" t="s">
        <v>563</v>
      </c>
      <c r="K886" s="312">
        <v>0</v>
      </c>
      <c r="L886" s="310">
        <v>0</v>
      </c>
      <c r="M886" s="310">
        <v>0</v>
      </c>
      <c r="N886" s="313">
        <v>0</v>
      </c>
      <c r="O886" s="314" t="s">
        <v>563</v>
      </c>
      <c r="P886" s="307">
        <f t="shared" si="249"/>
        <v>0</v>
      </c>
      <c r="R886" s="91" t="str">
        <f t="shared" si="263"/>
        <v/>
      </c>
      <c r="S88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6" s="307" t="str">
        <f t="shared" si="251"/>
        <v/>
      </c>
      <c r="U886" s="315" t="str">
        <f t="shared" si="252"/>
        <v/>
      </c>
      <c r="V886" s="307">
        <f t="shared" si="256"/>
        <v>0</v>
      </c>
      <c r="W886" s="307">
        <f>IFERROR(IF(V886&gt;0,PROPER(Terbilang1(V886)&amp;" Rupiah"),0),"")</f>
        <v>0</v>
      </c>
      <c r="X886" s="90" t="str">
        <f t="shared" si="257"/>
        <v/>
      </c>
      <c r="Y886" s="307" t="str">
        <f t="shared" si="258"/>
        <v/>
      </c>
      <c r="Z886" s="307">
        <f t="shared" si="253"/>
        <v>0</v>
      </c>
      <c r="AA886" s="366">
        <f t="shared" si="254"/>
        <v>0</v>
      </c>
      <c r="AB886" s="367">
        <f t="shared" si="259"/>
        <v>0</v>
      </c>
      <c r="AC886" s="305">
        <f t="shared" si="260"/>
        <v>0</v>
      </c>
      <c r="AP886" s="89" t="str">
        <f t="shared" si="248"/>
        <v/>
      </c>
      <c r="AQ886" s="89" t="str">
        <f t="shared" si="264"/>
        <v/>
      </c>
      <c r="AR886" s="315" t="str">
        <f t="shared" si="265"/>
        <v/>
      </c>
      <c r="AS886" s="305" t="str">
        <f t="shared" si="261"/>
        <v>0</v>
      </c>
      <c r="AT886" s="307">
        <f>Table22[[#This Row],[Column1]]</f>
        <v>0</v>
      </c>
    </row>
    <row r="887" spans="1:46" x14ac:dyDescent="0.3">
      <c r="A887" s="307">
        <f t="shared" si="255"/>
        <v>0</v>
      </c>
      <c r="B887" s="307">
        <f t="shared" si="262"/>
        <v>0</v>
      </c>
      <c r="C887" s="308" t="s">
        <v>563</v>
      </c>
      <c r="D887" s="309" t="s">
        <v>563</v>
      </c>
      <c r="E887" s="310">
        <v>0</v>
      </c>
      <c r="F887" s="310">
        <v>0</v>
      </c>
      <c r="G887" s="311">
        <v>0</v>
      </c>
      <c r="H887" s="310" t="s">
        <v>563</v>
      </c>
      <c r="I887" s="310" t="s">
        <v>563</v>
      </c>
      <c r="J887" s="310" t="s">
        <v>563</v>
      </c>
      <c r="K887" s="312">
        <v>0</v>
      </c>
      <c r="L887" s="310">
        <v>0</v>
      </c>
      <c r="M887" s="310">
        <v>0</v>
      </c>
      <c r="N887" s="313">
        <v>0</v>
      </c>
      <c r="O887" s="314" t="s">
        <v>563</v>
      </c>
      <c r="P887" s="307">
        <f t="shared" si="249"/>
        <v>0</v>
      </c>
      <c r="R887" s="91" t="str">
        <f t="shared" si="263"/>
        <v/>
      </c>
      <c r="S88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7" s="307" t="str">
        <f t="shared" si="251"/>
        <v/>
      </c>
      <c r="U887" s="315" t="str">
        <f t="shared" si="252"/>
        <v/>
      </c>
      <c r="V887" s="307">
        <f t="shared" si="256"/>
        <v>0</v>
      </c>
      <c r="W887" s="307">
        <f>IFERROR(IF(V887&gt;0,PROPER(Terbilang1(V887)&amp;" Rupiah"),0),"")</f>
        <v>0</v>
      </c>
      <c r="X887" s="90" t="str">
        <f t="shared" si="257"/>
        <v/>
      </c>
      <c r="Y887" s="307" t="str">
        <f t="shared" si="258"/>
        <v/>
      </c>
      <c r="Z887" s="307">
        <f t="shared" si="253"/>
        <v>0</v>
      </c>
      <c r="AA887" s="366">
        <f t="shared" si="254"/>
        <v>0</v>
      </c>
      <c r="AB887" s="367">
        <f t="shared" si="259"/>
        <v>0</v>
      </c>
      <c r="AC887" s="305">
        <f t="shared" si="260"/>
        <v>0</v>
      </c>
      <c r="AP887" s="89" t="str">
        <f t="shared" si="248"/>
        <v/>
      </c>
      <c r="AQ887" s="89" t="str">
        <f t="shared" si="264"/>
        <v/>
      </c>
      <c r="AR887" s="315" t="str">
        <f t="shared" si="265"/>
        <v/>
      </c>
      <c r="AS887" s="305" t="str">
        <f t="shared" si="261"/>
        <v>0</v>
      </c>
      <c r="AT887" s="307">
        <f>Table22[[#This Row],[Column1]]</f>
        <v>0</v>
      </c>
    </row>
    <row r="888" spans="1:46" x14ac:dyDescent="0.3">
      <c r="A888" s="307">
        <f t="shared" si="255"/>
        <v>0</v>
      </c>
      <c r="B888" s="307">
        <f t="shared" si="262"/>
        <v>0</v>
      </c>
      <c r="C888" s="308" t="s">
        <v>563</v>
      </c>
      <c r="D888" s="309" t="s">
        <v>563</v>
      </c>
      <c r="E888" s="310">
        <v>0</v>
      </c>
      <c r="F888" s="310">
        <v>0</v>
      </c>
      <c r="G888" s="311">
        <v>0</v>
      </c>
      <c r="H888" s="310" t="s">
        <v>563</v>
      </c>
      <c r="I888" s="310" t="s">
        <v>563</v>
      </c>
      <c r="J888" s="310" t="s">
        <v>563</v>
      </c>
      <c r="K888" s="312">
        <v>0</v>
      </c>
      <c r="L888" s="310">
        <v>0</v>
      </c>
      <c r="M888" s="310">
        <v>0</v>
      </c>
      <c r="N888" s="313">
        <v>0</v>
      </c>
      <c r="O888" s="314" t="s">
        <v>563</v>
      </c>
      <c r="P888" s="307">
        <f t="shared" si="249"/>
        <v>0</v>
      </c>
      <c r="R888" s="91" t="str">
        <f t="shared" si="263"/>
        <v/>
      </c>
      <c r="S888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8" s="307" t="str">
        <f t="shared" si="251"/>
        <v/>
      </c>
      <c r="U888" s="315" t="str">
        <f t="shared" si="252"/>
        <v/>
      </c>
      <c r="V888" s="307">
        <f t="shared" si="256"/>
        <v>0</v>
      </c>
      <c r="W888" s="307">
        <f>IFERROR(IF(V888&gt;0,PROPER(Terbilang1(V888)&amp;" Rupiah"),0),"")</f>
        <v>0</v>
      </c>
      <c r="X888" s="90" t="str">
        <f t="shared" si="257"/>
        <v/>
      </c>
      <c r="Y888" s="307" t="str">
        <f t="shared" si="258"/>
        <v/>
      </c>
      <c r="Z888" s="307">
        <f t="shared" si="253"/>
        <v>0</v>
      </c>
      <c r="AA888" s="366">
        <f t="shared" si="254"/>
        <v>0</v>
      </c>
      <c r="AB888" s="367">
        <f t="shared" si="259"/>
        <v>0</v>
      </c>
      <c r="AC888" s="305">
        <f t="shared" si="260"/>
        <v>0</v>
      </c>
      <c r="AP888" s="89" t="str">
        <f t="shared" si="248"/>
        <v/>
      </c>
      <c r="AQ888" s="89" t="str">
        <f t="shared" si="264"/>
        <v/>
      </c>
      <c r="AR888" s="315" t="str">
        <f t="shared" si="265"/>
        <v/>
      </c>
      <c r="AS888" s="305" t="str">
        <f t="shared" si="261"/>
        <v>0</v>
      </c>
      <c r="AT888" s="307">
        <f>Table22[[#This Row],[Column1]]</f>
        <v>0</v>
      </c>
    </row>
    <row r="889" spans="1:46" x14ac:dyDescent="0.3">
      <c r="A889" s="307">
        <f t="shared" si="255"/>
        <v>0</v>
      </c>
      <c r="B889" s="307">
        <f t="shared" si="262"/>
        <v>0</v>
      </c>
      <c r="C889" s="308" t="s">
        <v>563</v>
      </c>
      <c r="D889" s="309" t="s">
        <v>563</v>
      </c>
      <c r="E889" s="310">
        <v>0</v>
      </c>
      <c r="F889" s="310">
        <v>0</v>
      </c>
      <c r="G889" s="311">
        <v>0</v>
      </c>
      <c r="H889" s="310" t="s">
        <v>563</v>
      </c>
      <c r="I889" s="310" t="s">
        <v>563</v>
      </c>
      <c r="J889" s="310" t="s">
        <v>563</v>
      </c>
      <c r="K889" s="312">
        <v>0</v>
      </c>
      <c r="L889" s="310">
        <v>0</v>
      </c>
      <c r="M889" s="310">
        <v>0</v>
      </c>
      <c r="N889" s="313">
        <v>0</v>
      </c>
      <c r="O889" s="314" t="s">
        <v>563</v>
      </c>
      <c r="P889" s="307">
        <f t="shared" si="249"/>
        <v>0</v>
      </c>
      <c r="R889" s="91" t="str">
        <f t="shared" si="263"/>
        <v/>
      </c>
      <c r="S889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89" s="307" t="str">
        <f t="shared" si="251"/>
        <v/>
      </c>
      <c r="U889" s="315" t="str">
        <f t="shared" si="252"/>
        <v/>
      </c>
      <c r="V889" s="307">
        <f t="shared" si="256"/>
        <v>0</v>
      </c>
      <c r="W889" s="307">
        <f>IFERROR(IF(V889&gt;0,PROPER(Terbilang1(V889)&amp;" Rupiah"),0),"")</f>
        <v>0</v>
      </c>
      <c r="X889" s="90" t="str">
        <f t="shared" si="257"/>
        <v/>
      </c>
      <c r="Y889" s="307" t="str">
        <f t="shared" si="258"/>
        <v/>
      </c>
      <c r="Z889" s="307">
        <f t="shared" si="253"/>
        <v>0</v>
      </c>
      <c r="AA889" s="366">
        <f t="shared" si="254"/>
        <v>0</v>
      </c>
      <c r="AB889" s="367">
        <f t="shared" si="259"/>
        <v>0</v>
      </c>
      <c r="AC889" s="305">
        <f t="shared" si="260"/>
        <v>0</v>
      </c>
      <c r="AP889" s="89" t="str">
        <f t="shared" si="248"/>
        <v/>
      </c>
      <c r="AQ889" s="89" t="str">
        <f t="shared" si="264"/>
        <v/>
      </c>
      <c r="AR889" s="315" t="str">
        <f t="shared" si="265"/>
        <v/>
      </c>
      <c r="AS889" s="305" t="str">
        <f t="shared" si="261"/>
        <v>0</v>
      </c>
      <c r="AT889" s="307">
        <f>Table22[[#This Row],[Column1]]</f>
        <v>0</v>
      </c>
    </row>
    <row r="890" spans="1:46" x14ac:dyDescent="0.3">
      <c r="A890" s="307">
        <f t="shared" si="255"/>
        <v>0</v>
      </c>
      <c r="B890" s="307">
        <f t="shared" si="262"/>
        <v>0</v>
      </c>
      <c r="C890" s="308" t="s">
        <v>563</v>
      </c>
      <c r="D890" s="309" t="s">
        <v>563</v>
      </c>
      <c r="E890" s="310">
        <v>0</v>
      </c>
      <c r="F890" s="310">
        <v>0</v>
      </c>
      <c r="G890" s="311">
        <v>0</v>
      </c>
      <c r="H890" s="310" t="s">
        <v>563</v>
      </c>
      <c r="I890" s="310" t="s">
        <v>563</v>
      </c>
      <c r="J890" s="310" t="s">
        <v>563</v>
      </c>
      <c r="K890" s="312">
        <v>0</v>
      </c>
      <c r="L890" s="310">
        <v>0</v>
      </c>
      <c r="M890" s="310">
        <v>0</v>
      </c>
      <c r="N890" s="313">
        <v>0</v>
      </c>
      <c r="O890" s="314" t="s">
        <v>563</v>
      </c>
      <c r="P890" s="307">
        <f t="shared" si="249"/>
        <v>0</v>
      </c>
      <c r="R890" s="91" t="str">
        <f t="shared" si="263"/>
        <v/>
      </c>
      <c r="S890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0" s="307" t="str">
        <f t="shared" si="251"/>
        <v/>
      </c>
      <c r="U890" s="315" t="str">
        <f t="shared" si="252"/>
        <v/>
      </c>
      <c r="V890" s="307">
        <f t="shared" si="256"/>
        <v>0</v>
      </c>
      <c r="W890" s="307">
        <f>IFERROR(IF(V890&gt;0,PROPER(Terbilang1(V890)&amp;" Rupiah"),0),"")</f>
        <v>0</v>
      </c>
      <c r="X890" s="90" t="str">
        <f t="shared" si="257"/>
        <v/>
      </c>
      <c r="Y890" s="307" t="str">
        <f t="shared" si="258"/>
        <v/>
      </c>
      <c r="Z890" s="307">
        <f t="shared" si="253"/>
        <v>0</v>
      </c>
      <c r="AA890" s="366">
        <f t="shared" si="254"/>
        <v>0</v>
      </c>
      <c r="AB890" s="367">
        <f t="shared" si="259"/>
        <v>0</v>
      </c>
      <c r="AC890" s="305">
        <f t="shared" si="260"/>
        <v>0</v>
      </c>
      <c r="AP890" s="89" t="str">
        <f t="shared" si="248"/>
        <v/>
      </c>
      <c r="AQ890" s="89" t="str">
        <f t="shared" si="264"/>
        <v/>
      </c>
      <c r="AR890" s="315" t="str">
        <f t="shared" si="265"/>
        <v/>
      </c>
      <c r="AS890" s="305" t="str">
        <f t="shared" si="261"/>
        <v>0</v>
      </c>
      <c r="AT890" s="307">
        <f>Table22[[#This Row],[Column1]]</f>
        <v>0</v>
      </c>
    </row>
    <row r="891" spans="1:46" x14ac:dyDescent="0.3">
      <c r="A891" s="307">
        <f t="shared" si="255"/>
        <v>0</v>
      </c>
      <c r="B891" s="307">
        <f t="shared" si="262"/>
        <v>0</v>
      </c>
      <c r="C891" s="308" t="s">
        <v>563</v>
      </c>
      <c r="D891" s="309" t="s">
        <v>563</v>
      </c>
      <c r="E891" s="310">
        <v>0</v>
      </c>
      <c r="F891" s="310">
        <v>0</v>
      </c>
      <c r="G891" s="311">
        <v>0</v>
      </c>
      <c r="H891" s="310" t="s">
        <v>563</v>
      </c>
      <c r="I891" s="310" t="s">
        <v>563</v>
      </c>
      <c r="J891" s="310" t="s">
        <v>563</v>
      </c>
      <c r="K891" s="312">
        <v>0</v>
      </c>
      <c r="L891" s="310">
        <v>0</v>
      </c>
      <c r="M891" s="310">
        <v>0</v>
      </c>
      <c r="N891" s="313">
        <v>0</v>
      </c>
      <c r="O891" s="314" t="s">
        <v>563</v>
      </c>
      <c r="P891" s="307">
        <f t="shared" si="249"/>
        <v>0</v>
      </c>
      <c r="R891" s="91" t="str">
        <f t="shared" si="263"/>
        <v/>
      </c>
      <c r="S891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1" s="307" t="str">
        <f t="shared" si="251"/>
        <v/>
      </c>
      <c r="U891" s="315" t="str">
        <f t="shared" si="252"/>
        <v/>
      </c>
      <c r="V891" s="307">
        <f t="shared" si="256"/>
        <v>0</v>
      </c>
      <c r="W891" s="307">
        <f>IFERROR(IF(V891&gt;0,PROPER(Terbilang1(V891)&amp;" Rupiah"),0),"")</f>
        <v>0</v>
      </c>
      <c r="X891" s="90" t="str">
        <f t="shared" si="257"/>
        <v/>
      </c>
      <c r="Y891" s="307" t="str">
        <f t="shared" si="258"/>
        <v/>
      </c>
      <c r="Z891" s="307">
        <f t="shared" si="253"/>
        <v>0</v>
      </c>
      <c r="AA891" s="366">
        <f t="shared" si="254"/>
        <v>0</v>
      </c>
      <c r="AB891" s="367">
        <f t="shared" si="259"/>
        <v>0</v>
      </c>
      <c r="AC891" s="305">
        <f t="shared" si="260"/>
        <v>0</v>
      </c>
      <c r="AP891" s="89" t="str">
        <f t="shared" si="248"/>
        <v/>
      </c>
      <c r="AQ891" s="89" t="str">
        <f t="shared" si="264"/>
        <v/>
      </c>
      <c r="AR891" s="315" t="str">
        <f t="shared" si="265"/>
        <v/>
      </c>
      <c r="AS891" s="305" t="str">
        <f t="shared" si="261"/>
        <v>0</v>
      </c>
      <c r="AT891" s="307">
        <f>Table22[[#This Row],[Column1]]</f>
        <v>0</v>
      </c>
    </row>
    <row r="892" spans="1:46" x14ac:dyDescent="0.3">
      <c r="A892" s="307">
        <f t="shared" si="255"/>
        <v>0</v>
      </c>
      <c r="B892" s="307">
        <f t="shared" si="262"/>
        <v>0</v>
      </c>
      <c r="C892" s="308" t="s">
        <v>563</v>
      </c>
      <c r="D892" s="309" t="s">
        <v>563</v>
      </c>
      <c r="E892" s="310">
        <v>0</v>
      </c>
      <c r="F892" s="310">
        <v>0</v>
      </c>
      <c r="G892" s="311">
        <v>0</v>
      </c>
      <c r="H892" s="310" t="s">
        <v>563</v>
      </c>
      <c r="I892" s="310" t="s">
        <v>563</v>
      </c>
      <c r="J892" s="310" t="s">
        <v>563</v>
      </c>
      <c r="K892" s="312">
        <v>0</v>
      </c>
      <c r="L892" s="310">
        <v>0</v>
      </c>
      <c r="M892" s="310">
        <v>0</v>
      </c>
      <c r="N892" s="313">
        <v>0</v>
      </c>
      <c r="O892" s="314" t="s">
        <v>563</v>
      </c>
      <c r="P892" s="307">
        <f t="shared" si="249"/>
        <v>0</v>
      </c>
      <c r="R892" s="91" t="str">
        <f t="shared" si="263"/>
        <v/>
      </c>
      <c r="S892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2" s="307" t="str">
        <f t="shared" si="251"/>
        <v/>
      </c>
      <c r="U892" s="315" t="str">
        <f t="shared" si="252"/>
        <v/>
      </c>
      <c r="V892" s="307">
        <f t="shared" si="256"/>
        <v>0</v>
      </c>
      <c r="W892" s="307">
        <f>IFERROR(IF(V892&gt;0,PROPER(Terbilang1(V892)&amp;" Rupiah"),0),"")</f>
        <v>0</v>
      </c>
      <c r="X892" s="90" t="str">
        <f t="shared" si="257"/>
        <v/>
      </c>
      <c r="Y892" s="307" t="str">
        <f t="shared" si="258"/>
        <v/>
      </c>
      <c r="Z892" s="307">
        <f t="shared" si="253"/>
        <v>0</v>
      </c>
      <c r="AA892" s="366">
        <f t="shared" si="254"/>
        <v>0</v>
      </c>
      <c r="AB892" s="367">
        <f t="shared" si="259"/>
        <v>0</v>
      </c>
      <c r="AC892" s="305">
        <f t="shared" si="260"/>
        <v>0</v>
      </c>
      <c r="AP892" s="89" t="str">
        <f t="shared" si="248"/>
        <v/>
      </c>
      <c r="AQ892" s="89" t="str">
        <f t="shared" si="264"/>
        <v/>
      </c>
      <c r="AR892" s="315" t="str">
        <f t="shared" si="265"/>
        <v/>
      </c>
      <c r="AS892" s="305" t="str">
        <f t="shared" si="261"/>
        <v>0</v>
      </c>
      <c r="AT892" s="307">
        <f>Table22[[#This Row],[Column1]]</f>
        <v>0</v>
      </c>
    </row>
    <row r="893" spans="1:46" x14ac:dyDescent="0.3">
      <c r="A893" s="307">
        <f t="shared" si="255"/>
        <v>0</v>
      </c>
      <c r="B893" s="307">
        <f t="shared" si="262"/>
        <v>0</v>
      </c>
      <c r="C893" s="308" t="s">
        <v>563</v>
      </c>
      <c r="D893" s="309" t="s">
        <v>563</v>
      </c>
      <c r="E893" s="310">
        <v>0</v>
      </c>
      <c r="F893" s="310">
        <v>0</v>
      </c>
      <c r="G893" s="311">
        <v>0</v>
      </c>
      <c r="H893" s="310" t="s">
        <v>563</v>
      </c>
      <c r="I893" s="310" t="s">
        <v>563</v>
      </c>
      <c r="J893" s="310" t="s">
        <v>563</v>
      </c>
      <c r="K893" s="312">
        <v>0</v>
      </c>
      <c r="L893" s="310">
        <v>0</v>
      </c>
      <c r="M893" s="310">
        <v>0</v>
      </c>
      <c r="N893" s="313">
        <v>0</v>
      </c>
      <c r="O893" s="314" t="s">
        <v>563</v>
      </c>
      <c r="P893" s="307">
        <f t="shared" si="249"/>
        <v>0</v>
      </c>
      <c r="R893" s="91" t="str">
        <f t="shared" si="263"/>
        <v/>
      </c>
      <c r="S893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3" s="307" t="str">
        <f t="shared" si="251"/>
        <v/>
      </c>
      <c r="U893" s="315" t="str">
        <f t="shared" si="252"/>
        <v/>
      </c>
      <c r="V893" s="307">
        <f t="shared" si="256"/>
        <v>0</v>
      </c>
      <c r="W893" s="307">
        <f>IFERROR(IF(V893&gt;0,PROPER(Terbilang1(V893)&amp;" Rupiah"),0),"")</f>
        <v>0</v>
      </c>
      <c r="X893" s="90" t="str">
        <f t="shared" si="257"/>
        <v/>
      </c>
      <c r="Y893" s="307" t="str">
        <f t="shared" si="258"/>
        <v/>
      </c>
      <c r="Z893" s="307">
        <f t="shared" si="253"/>
        <v>0</v>
      </c>
      <c r="AA893" s="366">
        <f t="shared" si="254"/>
        <v>0</v>
      </c>
      <c r="AB893" s="367">
        <f t="shared" si="259"/>
        <v>0</v>
      </c>
      <c r="AC893" s="305">
        <f t="shared" si="260"/>
        <v>0</v>
      </c>
      <c r="AP893" s="89" t="str">
        <f t="shared" si="248"/>
        <v/>
      </c>
      <c r="AQ893" s="89" t="str">
        <f t="shared" si="264"/>
        <v/>
      </c>
      <c r="AR893" s="315" t="str">
        <f t="shared" si="265"/>
        <v/>
      </c>
      <c r="AS893" s="305" t="str">
        <f t="shared" si="261"/>
        <v>0</v>
      </c>
      <c r="AT893" s="307">
        <f>Table22[[#This Row],[Column1]]</f>
        <v>0</v>
      </c>
    </row>
    <row r="894" spans="1:46" x14ac:dyDescent="0.3">
      <c r="A894" s="307">
        <f t="shared" si="255"/>
        <v>0</v>
      </c>
      <c r="B894" s="307">
        <f t="shared" si="262"/>
        <v>0</v>
      </c>
      <c r="C894" s="308" t="s">
        <v>563</v>
      </c>
      <c r="D894" s="309" t="s">
        <v>563</v>
      </c>
      <c r="E894" s="310">
        <v>0</v>
      </c>
      <c r="F894" s="310">
        <v>0</v>
      </c>
      <c r="G894" s="311">
        <v>0</v>
      </c>
      <c r="H894" s="310" t="s">
        <v>563</v>
      </c>
      <c r="I894" s="310" t="s">
        <v>563</v>
      </c>
      <c r="J894" s="310" t="s">
        <v>563</v>
      </c>
      <c r="K894" s="312">
        <v>0</v>
      </c>
      <c r="L894" s="310">
        <v>0</v>
      </c>
      <c r="M894" s="310">
        <v>0</v>
      </c>
      <c r="N894" s="313">
        <v>0</v>
      </c>
      <c r="O894" s="314" t="s">
        <v>563</v>
      </c>
      <c r="P894" s="307">
        <f t="shared" si="249"/>
        <v>0</v>
      </c>
      <c r="R894" s="91" t="str">
        <f t="shared" si="263"/>
        <v/>
      </c>
      <c r="S894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4" s="307" t="str">
        <f t="shared" si="251"/>
        <v/>
      </c>
      <c r="U894" s="315" t="str">
        <f t="shared" si="252"/>
        <v/>
      </c>
      <c r="V894" s="307">
        <f t="shared" si="256"/>
        <v>0</v>
      </c>
      <c r="W894" s="307">
        <f>IFERROR(IF(V894&gt;0,PROPER(Terbilang1(V894)&amp;" Rupiah"),0),"")</f>
        <v>0</v>
      </c>
      <c r="X894" s="90" t="str">
        <f t="shared" si="257"/>
        <v/>
      </c>
      <c r="Y894" s="307" t="str">
        <f t="shared" si="258"/>
        <v/>
      </c>
      <c r="Z894" s="307">
        <f t="shared" si="253"/>
        <v>0</v>
      </c>
      <c r="AA894" s="366">
        <f t="shared" si="254"/>
        <v>0</v>
      </c>
      <c r="AB894" s="367">
        <f t="shared" si="259"/>
        <v>0</v>
      </c>
      <c r="AC894" s="305">
        <f t="shared" si="260"/>
        <v>0</v>
      </c>
      <c r="AP894" s="89" t="str">
        <f t="shared" si="248"/>
        <v/>
      </c>
      <c r="AQ894" s="89" t="str">
        <f t="shared" si="264"/>
        <v/>
      </c>
      <c r="AR894" s="315" t="str">
        <f t="shared" si="265"/>
        <v/>
      </c>
      <c r="AS894" s="305" t="str">
        <f t="shared" si="261"/>
        <v>0</v>
      </c>
      <c r="AT894" s="307">
        <f>Table22[[#This Row],[Column1]]</f>
        <v>0</v>
      </c>
    </row>
    <row r="895" spans="1:46" x14ac:dyDescent="0.3">
      <c r="A895" s="307">
        <f t="shared" si="255"/>
        <v>0</v>
      </c>
      <c r="B895" s="307">
        <f t="shared" si="262"/>
        <v>0</v>
      </c>
      <c r="C895" s="308" t="s">
        <v>563</v>
      </c>
      <c r="D895" s="309" t="s">
        <v>563</v>
      </c>
      <c r="E895" s="310">
        <v>0</v>
      </c>
      <c r="F895" s="310">
        <v>0</v>
      </c>
      <c r="G895" s="311">
        <v>0</v>
      </c>
      <c r="H895" s="310" t="s">
        <v>563</v>
      </c>
      <c r="I895" s="310" t="s">
        <v>563</v>
      </c>
      <c r="J895" s="310" t="s">
        <v>563</v>
      </c>
      <c r="K895" s="312">
        <v>0</v>
      </c>
      <c r="L895" s="310">
        <v>0</v>
      </c>
      <c r="M895" s="310">
        <v>0</v>
      </c>
      <c r="N895" s="313">
        <v>0</v>
      </c>
      <c r="O895" s="314" t="s">
        <v>563</v>
      </c>
      <c r="P895" s="307">
        <f t="shared" si="249"/>
        <v>0</v>
      </c>
      <c r="R895" s="91" t="str">
        <f t="shared" si="263"/>
        <v/>
      </c>
      <c r="S895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5" s="307" t="str">
        <f t="shared" si="251"/>
        <v/>
      </c>
      <c r="U895" s="315" t="str">
        <f t="shared" si="252"/>
        <v/>
      </c>
      <c r="V895" s="307">
        <f t="shared" si="256"/>
        <v>0</v>
      </c>
      <c r="W895" s="307">
        <f>IFERROR(IF(V895&gt;0,PROPER(Terbilang1(V895)&amp;" Rupiah"),0),"")</f>
        <v>0</v>
      </c>
      <c r="X895" s="90" t="str">
        <f t="shared" si="257"/>
        <v/>
      </c>
      <c r="Y895" s="307" t="str">
        <f t="shared" si="258"/>
        <v/>
      </c>
      <c r="Z895" s="307">
        <f t="shared" si="253"/>
        <v>0</v>
      </c>
      <c r="AA895" s="366">
        <f t="shared" si="254"/>
        <v>0</v>
      </c>
      <c r="AB895" s="367">
        <f t="shared" si="259"/>
        <v>0</v>
      </c>
      <c r="AC895" s="305">
        <f t="shared" si="260"/>
        <v>0</v>
      </c>
      <c r="AP895" s="89" t="str">
        <f t="shared" si="248"/>
        <v/>
      </c>
      <c r="AQ895" s="89" t="str">
        <f t="shared" si="264"/>
        <v/>
      </c>
      <c r="AR895" s="315" t="str">
        <f t="shared" si="265"/>
        <v/>
      </c>
      <c r="AS895" s="305" t="str">
        <f t="shared" si="261"/>
        <v>0</v>
      </c>
      <c r="AT895" s="307">
        <f>Table22[[#This Row],[Column1]]</f>
        <v>0</v>
      </c>
    </row>
    <row r="896" spans="1:46" x14ac:dyDescent="0.3">
      <c r="A896" s="307">
        <f t="shared" si="255"/>
        <v>0</v>
      </c>
      <c r="B896" s="307">
        <f t="shared" si="262"/>
        <v>0</v>
      </c>
      <c r="C896" s="308" t="s">
        <v>563</v>
      </c>
      <c r="D896" s="309" t="s">
        <v>563</v>
      </c>
      <c r="E896" s="310">
        <v>0</v>
      </c>
      <c r="F896" s="310">
        <v>0</v>
      </c>
      <c r="G896" s="311">
        <v>0</v>
      </c>
      <c r="H896" s="310" t="s">
        <v>563</v>
      </c>
      <c r="I896" s="310" t="s">
        <v>563</v>
      </c>
      <c r="J896" s="310" t="s">
        <v>563</v>
      </c>
      <c r="K896" s="312">
        <v>0</v>
      </c>
      <c r="L896" s="310">
        <v>0</v>
      </c>
      <c r="M896" s="310">
        <v>0</v>
      </c>
      <c r="N896" s="313">
        <v>0</v>
      </c>
      <c r="O896" s="314" t="s">
        <v>563</v>
      </c>
      <c r="P896" s="307">
        <f t="shared" si="249"/>
        <v>0</v>
      </c>
      <c r="R896" s="91" t="str">
        <f t="shared" si="263"/>
        <v/>
      </c>
      <c r="S896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6" s="307" t="str">
        <f t="shared" si="251"/>
        <v/>
      </c>
      <c r="U896" s="315" t="str">
        <f t="shared" si="252"/>
        <v/>
      </c>
      <c r="V896" s="307">
        <f t="shared" si="256"/>
        <v>0</v>
      </c>
      <c r="W896" s="307">
        <f>IFERROR(IF(V896&gt;0,PROPER(Terbilang1(V896)&amp;" Rupiah"),0),"")</f>
        <v>0</v>
      </c>
      <c r="X896" s="90" t="str">
        <f t="shared" si="257"/>
        <v/>
      </c>
      <c r="Y896" s="307" t="str">
        <f t="shared" si="258"/>
        <v/>
      </c>
      <c r="Z896" s="307">
        <f t="shared" si="253"/>
        <v>0</v>
      </c>
      <c r="AA896" s="366">
        <f t="shared" si="254"/>
        <v>0</v>
      </c>
      <c r="AB896" s="367">
        <f t="shared" si="259"/>
        <v>0</v>
      </c>
      <c r="AC896" s="305">
        <f t="shared" si="260"/>
        <v>0</v>
      </c>
      <c r="AP896" s="89" t="str">
        <f t="shared" si="248"/>
        <v/>
      </c>
      <c r="AQ896" s="89" t="str">
        <f t="shared" si="264"/>
        <v/>
      </c>
      <c r="AR896" s="315" t="str">
        <f t="shared" si="265"/>
        <v/>
      </c>
      <c r="AS896" s="305" t="str">
        <f t="shared" si="261"/>
        <v>0</v>
      </c>
      <c r="AT896" s="307">
        <f>Table22[[#This Row],[Column1]]</f>
        <v>0</v>
      </c>
    </row>
    <row r="897" spans="1:46" x14ac:dyDescent="0.3">
      <c r="A897" s="307">
        <f t="shared" si="255"/>
        <v>0</v>
      </c>
      <c r="B897" s="307">
        <f t="shared" si="262"/>
        <v>0</v>
      </c>
      <c r="C897" s="308" t="s">
        <v>563</v>
      </c>
      <c r="D897" s="309" t="s">
        <v>563</v>
      </c>
      <c r="E897" s="310">
        <v>0</v>
      </c>
      <c r="F897" s="310">
        <v>0</v>
      </c>
      <c r="G897" s="311">
        <v>0</v>
      </c>
      <c r="H897" s="310" t="s">
        <v>563</v>
      </c>
      <c r="I897" s="310" t="s">
        <v>563</v>
      </c>
      <c r="J897" s="310" t="s">
        <v>563</v>
      </c>
      <c r="K897" s="312">
        <v>0</v>
      </c>
      <c r="L897" s="310">
        <v>0</v>
      </c>
      <c r="M897" s="310">
        <v>0</v>
      </c>
      <c r="N897" s="313">
        <v>0</v>
      </c>
      <c r="O897" s="314" t="s">
        <v>563</v>
      </c>
      <c r="P897" s="307">
        <f t="shared" si="249"/>
        <v>0</v>
      </c>
      <c r="R897" s="91" t="str">
        <f t="shared" si="263"/>
        <v/>
      </c>
      <c r="S897" s="307" t="str">
        <f t="shared" si="250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7" s="307" t="str">
        <f t="shared" si="251"/>
        <v/>
      </c>
      <c r="U897" s="315" t="str">
        <f t="shared" si="252"/>
        <v/>
      </c>
      <c r="V897" s="307">
        <f t="shared" si="256"/>
        <v>0</v>
      </c>
      <c r="W897" s="307">
        <f>IFERROR(IF(V897&gt;0,PROPER(Terbilang1(V897)&amp;" Rupiah"),0),"")</f>
        <v>0</v>
      </c>
      <c r="X897" s="90" t="str">
        <f t="shared" si="257"/>
        <v/>
      </c>
      <c r="Y897" s="307" t="str">
        <f t="shared" si="258"/>
        <v/>
      </c>
      <c r="Z897" s="307">
        <f t="shared" si="253"/>
        <v>0</v>
      </c>
      <c r="AA897" s="366">
        <f t="shared" si="254"/>
        <v>0</v>
      </c>
      <c r="AB897" s="367">
        <f t="shared" si="259"/>
        <v>0</v>
      </c>
      <c r="AC897" s="305">
        <f t="shared" si="260"/>
        <v>0</v>
      </c>
      <c r="AP897" s="89" t="str">
        <f t="shared" ref="AP897:AP960" si="266">IF(LEFT(O897,3)="BKK",1,"")</f>
        <v/>
      </c>
      <c r="AQ897" s="89" t="str">
        <f t="shared" si="264"/>
        <v/>
      </c>
      <c r="AR897" s="315" t="str">
        <f t="shared" si="265"/>
        <v/>
      </c>
      <c r="AS897" s="305" t="str">
        <f t="shared" si="261"/>
        <v>0</v>
      </c>
      <c r="AT897" s="307">
        <f>Table22[[#This Row],[Column1]]</f>
        <v>0</v>
      </c>
    </row>
    <row r="898" spans="1:46" x14ac:dyDescent="0.3">
      <c r="A898" s="307">
        <f t="shared" si="255"/>
        <v>0</v>
      </c>
      <c r="B898" s="307">
        <f t="shared" si="262"/>
        <v>0</v>
      </c>
      <c r="C898" s="308" t="s">
        <v>563</v>
      </c>
      <c r="D898" s="309" t="s">
        <v>563</v>
      </c>
      <c r="E898" s="310">
        <v>0</v>
      </c>
      <c r="F898" s="310">
        <v>0</v>
      </c>
      <c r="G898" s="311">
        <v>0</v>
      </c>
      <c r="H898" s="310" t="s">
        <v>563</v>
      </c>
      <c r="I898" s="310" t="s">
        <v>563</v>
      </c>
      <c r="J898" s="310" t="s">
        <v>563</v>
      </c>
      <c r="K898" s="312">
        <v>0</v>
      </c>
      <c r="L898" s="310">
        <v>0</v>
      </c>
      <c r="M898" s="310">
        <v>0</v>
      </c>
      <c r="N898" s="313">
        <v>0</v>
      </c>
      <c r="O898" s="314" t="s">
        <v>563</v>
      </c>
      <c r="P898" s="307">
        <f t="shared" ref="P898:P961" si="267">IF(LEFT(O898,1)="B",R898,0)</f>
        <v>0</v>
      </c>
      <c r="R898" s="91" t="str">
        <f t="shared" si="263"/>
        <v/>
      </c>
      <c r="S898" s="307" t="str">
        <f t="shared" ref="S898:S961" si="268">IF(O898="",S897&amp;"a",IF(O898&gt;0,O898,0))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8" s="307" t="str">
        <f t="shared" ref="T898:T961" si="269">IF(G898=0,"",G898)</f>
        <v/>
      </c>
      <c r="U898" s="315" t="str">
        <f t="shared" ref="U898:U961" si="270">D898</f>
        <v/>
      </c>
      <c r="V898" s="307">
        <f t="shared" si="256"/>
        <v>0</v>
      </c>
      <c r="W898" s="307">
        <f>IFERROR(IF(V898&gt;0,PROPER(Terbilang1(V898)&amp;" Rupiah"),0),"")</f>
        <v>0</v>
      </c>
      <c r="X898" s="90" t="str">
        <f t="shared" si="257"/>
        <v/>
      </c>
      <c r="Y898" s="307" t="str">
        <f t="shared" si="258"/>
        <v/>
      </c>
      <c r="Z898" s="307">
        <f t="shared" ref="Z898:Z961" si="271">IF(LEN(AA898)&gt;1,AA898,IF(AA898=0,AB898,0))</f>
        <v>0</v>
      </c>
      <c r="AA898" s="366">
        <f t="shared" ref="AA898:AA961" si="272">IFERROR(IF(AND(N898&gt;1,LEFT(G898,5)="Bayar"),N898*3.5%,IF(N898&gt;2000000,N898*(IF(OR(LEFT(F898,3)="MoP",LEFT(F898,3)="GaJ"),0,11%)),0)),0)</f>
        <v>0</v>
      </c>
      <c r="AB898" s="367">
        <f t="shared" si="259"/>
        <v>0</v>
      </c>
      <c r="AC898" s="305">
        <f t="shared" si="260"/>
        <v>0</v>
      </c>
      <c r="AP898" s="89" t="str">
        <f t="shared" si="266"/>
        <v/>
      </c>
      <c r="AQ898" s="89" t="str">
        <f t="shared" si="264"/>
        <v/>
      </c>
      <c r="AR898" s="315" t="str">
        <f t="shared" si="265"/>
        <v/>
      </c>
      <c r="AS898" s="305" t="str">
        <f t="shared" si="261"/>
        <v>0</v>
      </c>
      <c r="AT898" s="307">
        <f>Table22[[#This Row],[Column1]]</f>
        <v>0</v>
      </c>
    </row>
    <row r="899" spans="1:46" x14ac:dyDescent="0.3">
      <c r="A899" s="307">
        <f t="shared" ref="A899:A962" si="273">IF(C899=1,C899&amp;"."&amp;MOD(ROW()-1,$AJ$2+1),IF(C899=2,C899&amp;"."&amp;MOD(ROW()-($AJ$2+1),$AK$2+1),IF(C899=3,C899&amp;"."&amp;MOD(ROW()-($AJ$2+$AK$2+1),$AL$2+1),IF(C899=4,C899&amp;"."&amp;MOD(ROW()-($AJ$2+$AK$2+$AL$2+1),$AM$2+1),IF(C899=5,C899&amp;"."&amp;MOD(ROW()-($AJ$2+$AK$2+$AL$2+$AM$2+1),$AN$2+1),0)))))</f>
        <v>0</v>
      </c>
      <c r="B899" s="307">
        <f t="shared" si="262"/>
        <v>0</v>
      </c>
      <c r="C899" s="308" t="s">
        <v>563</v>
      </c>
      <c r="D899" s="309" t="s">
        <v>563</v>
      </c>
      <c r="E899" s="310">
        <v>0</v>
      </c>
      <c r="F899" s="310">
        <v>0</v>
      </c>
      <c r="G899" s="311">
        <v>0</v>
      </c>
      <c r="H899" s="310" t="s">
        <v>563</v>
      </c>
      <c r="I899" s="310" t="s">
        <v>563</v>
      </c>
      <c r="J899" s="310" t="s">
        <v>563</v>
      </c>
      <c r="K899" s="312">
        <v>0</v>
      </c>
      <c r="L899" s="310">
        <v>0</v>
      </c>
      <c r="M899" s="310">
        <v>0</v>
      </c>
      <c r="N899" s="313">
        <v>0</v>
      </c>
      <c r="O899" s="314" t="s">
        <v>563</v>
      </c>
      <c r="P899" s="307">
        <f t="shared" si="267"/>
        <v>0</v>
      </c>
      <c r="R899" s="91" t="str">
        <f t="shared" si="263"/>
        <v/>
      </c>
      <c r="S89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899" s="307" t="str">
        <f t="shared" si="269"/>
        <v/>
      </c>
      <c r="U899" s="315" t="str">
        <f t="shared" si="270"/>
        <v/>
      </c>
      <c r="V899" s="307">
        <f t="shared" ref="V899:V962" si="274">N899</f>
        <v>0</v>
      </c>
      <c r="W899" s="307">
        <f>IFERROR(IF(V899&gt;0,PROPER(Terbilang1(V899)&amp;" Rupiah"),0),"")</f>
        <v>0</v>
      </c>
      <c r="X899" s="90" t="str">
        <f t="shared" ref="X899:X962" si="275">J899</f>
        <v/>
      </c>
      <c r="Y899" s="307" t="str">
        <f t="shared" ref="Y899:Y962" si="276">H899</f>
        <v/>
      </c>
      <c r="Z899" s="307">
        <f t="shared" si="271"/>
        <v>0</v>
      </c>
      <c r="AA899" s="366">
        <f t="shared" si="272"/>
        <v>0</v>
      </c>
      <c r="AB899" s="367">
        <f t="shared" ref="AB899:AB962" si="277">IF(LEN(AA898)&gt;1,IF(LEFT(G898,5)="Bayar",0,IF(LEFT(G898,6)="PEMASA",(N898*100/111*1.5%),N898*0.015)),0)</f>
        <v>0</v>
      </c>
      <c r="AC899" s="305">
        <f t="shared" ref="AC899:AC962" si="278">IF(LEN(AA899)&gt;1,IF(LEFT(G899,6)="PEMASA","Terima Pajak PPN (11 %) "&amp;O899,IF(LEFT(G899,5)="Bayar","Terima PPh Pasal 4 ayat 2 (3,5 %) "&amp;O899,"Bayar Pajak PPN (11 %) "&amp;O899)),IF(AB899&gt;0,IF(LEFT(AC898,6)="Terima","Terima Pajak PPH (1,5%) "&amp;O898,"Bayar Pajak PPH (1,5 %) "&amp;O898),0))</f>
        <v>0</v>
      </c>
      <c r="AP899" s="89" t="str">
        <f t="shared" si="266"/>
        <v/>
      </c>
      <c r="AQ899" s="89" t="str">
        <f t="shared" si="264"/>
        <v/>
      </c>
      <c r="AR899" s="315" t="str">
        <f t="shared" si="265"/>
        <v/>
      </c>
      <c r="AS899" s="305" t="str">
        <f t="shared" ref="AS899:AS962" si="279">IF(AC899="","",LEFT(AC899,15))</f>
        <v>0</v>
      </c>
      <c r="AT899" s="307">
        <f>Table22[[#This Row],[Column1]]</f>
        <v>0</v>
      </c>
    </row>
    <row r="900" spans="1:46" x14ac:dyDescent="0.3">
      <c r="A900" s="307">
        <f t="shared" si="273"/>
        <v>0</v>
      </c>
      <c r="B900" s="307">
        <f t="shared" si="262"/>
        <v>0</v>
      </c>
      <c r="C900" s="308" t="s">
        <v>563</v>
      </c>
      <c r="D900" s="309" t="s">
        <v>563</v>
      </c>
      <c r="E900" s="310">
        <v>0</v>
      </c>
      <c r="F900" s="310">
        <v>0</v>
      </c>
      <c r="G900" s="311">
        <v>0</v>
      </c>
      <c r="H900" s="310" t="s">
        <v>563</v>
      </c>
      <c r="I900" s="310" t="s">
        <v>563</v>
      </c>
      <c r="J900" s="310" t="s">
        <v>563</v>
      </c>
      <c r="K900" s="312">
        <v>0</v>
      </c>
      <c r="L900" s="310">
        <v>0</v>
      </c>
      <c r="M900" s="310">
        <v>0</v>
      </c>
      <c r="N900" s="313">
        <v>0</v>
      </c>
      <c r="O900" s="314" t="s">
        <v>563</v>
      </c>
      <c r="P900" s="307">
        <f t="shared" si="267"/>
        <v>0</v>
      </c>
      <c r="R900" s="91" t="str">
        <f t="shared" si="263"/>
        <v/>
      </c>
      <c r="S90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0" s="307" t="str">
        <f t="shared" si="269"/>
        <v/>
      </c>
      <c r="U900" s="315" t="str">
        <f t="shared" si="270"/>
        <v/>
      </c>
      <c r="V900" s="307">
        <f t="shared" si="274"/>
        <v>0</v>
      </c>
      <c r="W900" s="307">
        <f>IFERROR(IF(V900&gt;0,PROPER(Terbilang1(V900)&amp;" Rupiah"),0),"")</f>
        <v>0</v>
      </c>
      <c r="X900" s="90" t="str">
        <f t="shared" si="275"/>
        <v/>
      </c>
      <c r="Y900" s="307" t="str">
        <f t="shared" si="276"/>
        <v/>
      </c>
      <c r="Z900" s="307">
        <f t="shared" si="271"/>
        <v>0</v>
      </c>
      <c r="AA900" s="366">
        <f t="shared" si="272"/>
        <v>0</v>
      </c>
      <c r="AB900" s="367">
        <f t="shared" si="277"/>
        <v>0</v>
      </c>
      <c r="AC900" s="305">
        <f t="shared" si="278"/>
        <v>0</v>
      </c>
      <c r="AP900" s="89" t="str">
        <f t="shared" si="266"/>
        <v/>
      </c>
      <c r="AQ900" s="89" t="str">
        <f t="shared" si="264"/>
        <v/>
      </c>
      <c r="AR900" s="315" t="str">
        <f t="shared" si="265"/>
        <v/>
      </c>
      <c r="AS900" s="305" t="str">
        <f t="shared" si="279"/>
        <v>0</v>
      </c>
      <c r="AT900" s="307">
        <f>Table22[[#This Row],[Column1]]</f>
        <v>0</v>
      </c>
    </row>
    <row r="901" spans="1:46" x14ac:dyDescent="0.3">
      <c r="A901" s="307">
        <f t="shared" si="273"/>
        <v>0</v>
      </c>
      <c r="B901" s="307">
        <f t="shared" si="262"/>
        <v>0</v>
      </c>
      <c r="C901" s="308" t="s">
        <v>563</v>
      </c>
      <c r="D901" s="309" t="s">
        <v>563</v>
      </c>
      <c r="E901" s="310">
        <v>0</v>
      </c>
      <c r="F901" s="310">
        <v>0</v>
      </c>
      <c r="G901" s="311">
        <v>0</v>
      </c>
      <c r="H901" s="310" t="s">
        <v>563</v>
      </c>
      <c r="I901" s="310" t="s">
        <v>563</v>
      </c>
      <c r="J901" s="310" t="s">
        <v>563</v>
      </c>
      <c r="K901" s="312">
        <v>0</v>
      </c>
      <c r="L901" s="310">
        <v>0</v>
      </c>
      <c r="M901" s="310">
        <v>0</v>
      </c>
      <c r="N901" s="313">
        <v>0</v>
      </c>
      <c r="O901" s="314" t="s">
        <v>563</v>
      </c>
      <c r="P901" s="307">
        <f t="shared" si="267"/>
        <v>0</v>
      </c>
      <c r="R901" s="91" t="str">
        <f t="shared" si="263"/>
        <v/>
      </c>
      <c r="S90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1" s="307" t="str">
        <f t="shared" si="269"/>
        <v/>
      </c>
      <c r="U901" s="315" t="str">
        <f t="shared" si="270"/>
        <v/>
      </c>
      <c r="V901" s="307">
        <f t="shared" si="274"/>
        <v>0</v>
      </c>
      <c r="W901" s="307">
        <f>IFERROR(IF(V901&gt;0,PROPER(Terbilang1(V901)&amp;" Rupiah"),0),"")</f>
        <v>0</v>
      </c>
      <c r="X901" s="90" t="str">
        <f t="shared" si="275"/>
        <v/>
      </c>
      <c r="Y901" s="307" t="str">
        <f t="shared" si="276"/>
        <v/>
      </c>
      <c r="Z901" s="307">
        <f t="shared" si="271"/>
        <v>0</v>
      </c>
      <c r="AA901" s="366">
        <f t="shared" si="272"/>
        <v>0</v>
      </c>
      <c r="AB901" s="367">
        <f t="shared" si="277"/>
        <v>0</v>
      </c>
      <c r="AC901" s="305">
        <f t="shared" si="278"/>
        <v>0</v>
      </c>
      <c r="AP901" s="89" t="str">
        <f t="shared" si="266"/>
        <v/>
      </c>
      <c r="AQ901" s="89" t="str">
        <f t="shared" si="264"/>
        <v/>
      </c>
      <c r="AR901" s="315" t="str">
        <f t="shared" si="265"/>
        <v/>
      </c>
      <c r="AS901" s="305" t="str">
        <f t="shared" si="279"/>
        <v>0</v>
      </c>
      <c r="AT901" s="307">
        <f>Table22[[#This Row],[Column1]]</f>
        <v>0</v>
      </c>
    </row>
    <row r="902" spans="1:46" x14ac:dyDescent="0.3">
      <c r="A902" s="307">
        <f t="shared" si="273"/>
        <v>0</v>
      </c>
      <c r="B902" s="307">
        <f t="shared" si="262"/>
        <v>0</v>
      </c>
      <c r="C902" s="308" t="s">
        <v>563</v>
      </c>
      <c r="D902" s="309" t="s">
        <v>563</v>
      </c>
      <c r="E902" s="310">
        <v>0</v>
      </c>
      <c r="F902" s="310">
        <v>0</v>
      </c>
      <c r="G902" s="311">
        <v>0</v>
      </c>
      <c r="H902" s="310" t="s">
        <v>563</v>
      </c>
      <c r="I902" s="310" t="s">
        <v>563</v>
      </c>
      <c r="J902" s="310" t="s">
        <v>563</v>
      </c>
      <c r="K902" s="312">
        <v>0</v>
      </c>
      <c r="L902" s="310">
        <v>0</v>
      </c>
      <c r="M902" s="310">
        <v>0</v>
      </c>
      <c r="N902" s="313">
        <v>0</v>
      </c>
      <c r="O902" s="314" t="s">
        <v>563</v>
      </c>
      <c r="P902" s="307">
        <f t="shared" si="267"/>
        <v>0</v>
      </c>
      <c r="R902" s="91" t="str">
        <f t="shared" si="263"/>
        <v/>
      </c>
      <c r="S90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2" s="307" t="str">
        <f t="shared" si="269"/>
        <v/>
      </c>
      <c r="U902" s="315" t="str">
        <f t="shared" si="270"/>
        <v/>
      </c>
      <c r="V902" s="307">
        <f t="shared" si="274"/>
        <v>0</v>
      </c>
      <c r="W902" s="307">
        <f>IFERROR(IF(V902&gt;0,PROPER(Terbilang1(V902)&amp;" Rupiah"),0),"")</f>
        <v>0</v>
      </c>
      <c r="X902" s="90" t="str">
        <f t="shared" si="275"/>
        <v/>
      </c>
      <c r="Y902" s="307" t="str">
        <f t="shared" si="276"/>
        <v/>
      </c>
      <c r="Z902" s="307">
        <f t="shared" si="271"/>
        <v>0</v>
      </c>
      <c r="AA902" s="366">
        <f t="shared" si="272"/>
        <v>0</v>
      </c>
      <c r="AB902" s="367">
        <f t="shared" si="277"/>
        <v>0</v>
      </c>
      <c r="AC902" s="305">
        <f t="shared" si="278"/>
        <v>0</v>
      </c>
      <c r="AP902" s="89" t="str">
        <f t="shared" si="266"/>
        <v/>
      </c>
      <c r="AQ902" s="89" t="str">
        <f t="shared" si="264"/>
        <v/>
      </c>
      <c r="AR902" s="315" t="str">
        <f t="shared" si="265"/>
        <v/>
      </c>
      <c r="AS902" s="305" t="str">
        <f t="shared" si="279"/>
        <v>0</v>
      </c>
      <c r="AT902" s="307">
        <f>Table22[[#This Row],[Column1]]</f>
        <v>0</v>
      </c>
    </row>
    <row r="903" spans="1:46" x14ac:dyDescent="0.3">
      <c r="A903" s="307">
        <f t="shared" si="273"/>
        <v>0</v>
      </c>
      <c r="B903" s="307">
        <f t="shared" si="262"/>
        <v>0</v>
      </c>
      <c r="C903" s="308" t="s">
        <v>563</v>
      </c>
      <c r="D903" s="309" t="s">
        <v>563</v>
      </c>
      <c r="E903" s="310">
        <v>0</v>
      </c>
      <c r="F903" s="310">
        <v>0</v>
      </c>
      <c r="G903" s="311">
        <v>0</v>
      </c>
      <c r="H903" s="310" t="s">
        <v>563</v>
      </c>
      <c r="I903" s="310" t="s">
        <v>563</v>
      </c>
      <c r="J903" s="310" t="s">
        <v>563</v>
      </c>
      <c r="K903" s="312">
        <v>0</v>
      </c>
      <c r="L903" s="310">
        <v>0</v>
      </c>
      <c r="M903" s="310">
        <v>0</v>
      </c>
      <c r="N903" s="313">
        <v>0</v>
      </c>
      <c r="O903" s="314" t="s">
        <v>563</v>
      </c>
      <c r="P903" s="307">
        <f t="shared" si="267"/>
        <v>0</v>
      </c>
      <c r="R903" s="91" t="str">
        <f t="shared" si="263"/>
        <v/>
      </c>
      <c r="S90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3" s="307" t="str">
        <f t="shared" si="269"/>
        <v/>
      </c>
      <c r="U903" s="315" t="str">
        <f t="shared" si="270"/>
        <v/>
      </c>
      <c r="V903" s="307">
        <f t="shared" si="274"/>
        <v>0</v>
      </c>
      <c r="W903" s="307">
        <f>IFERROR(IF(V903&gt;0,PROPER(Terbilang1(V903)&amp;" Rupiah"),0),"")</f>
        <v>0</v>
      </c>
      <c r="X903" s="90" t="str">
        <f t="shared" si="275"/>
        <v/>
      </c>
      <c r="Y903" s="307" t="str">
        <f t="shared" si="276"/>
        <v/>
      </c>
      <c r="Z903" s="307">
        <f t="shared" si="271"/>
        <v>0</v>
      </c>
      <c r="AA903" s="366">
        <f t="shared" si="272"/>
        <v>0</v>
      </c>
      <c r="AB903" s="367">
        <f t="shared" si="277"/>
        <v>0</v>
      </c>
      <c r="AC903" s="305">
        <f t="shared" si="278"/>
        <v>0</v>
      </c>
      <c r="AP903" s="89" t="str">
        <f t="shared" si="266"/>
        <v/>
      </c>
      <c r="AQ903" s="89" t="str">
        <f t="shared" si="264"/>
        <v/>
      </c>
      <c r="AR903" s="315" t="str">
        <f t="shared" si="265"/>
        <v/>
      </c>
      <c r="AS903" s="305" t="str">
        <f t="shared" si="279"/>
        <v>0</v>
      </c>
      <c r="AT903" s="307">
        <f>Table22[[#This Row],[Column1]]</f>
        <v>0</v>
      </c>
    </row>
    <row r="904" spans="1:46" x14ac:dyDescent="0.3">
      <c r="A904" s="307">
        <f t="shared" si="273"/>
        <v>0</v>
      </c>
      <c r="B904" s="307">
        <f t="shared" si="262"/>
        <v>0</v>
      </c>
      <c r="C904" s="308" t="s">
        <v>563</v>
      </c>
      <c r="D904" s="309" t="s">
        <v>563</v>
      </c>
      <c r="E904" s="310">
        <v>0</v>
      </c>
      <c r="F904" s="310">
        <v>0</v>
      </c>
      <c r="G904" s="311">
        <v>0</v>
      </c>
      <c r="H904" s="310" t="s">
        <v>563</v>
      </c>
      <c r="I904" s="310" t="s">
        <v>563</v>
      </c>
      <c r="J904" s="310" t="s">
        <v>563</v>
      </c>
      <c r="K904" s="312">
        <v>0</v>
      </c>
      <c r="L904" s="310">
        <v>0</v>
      </c>
      <c r="M904" s="310">
        <v>0</v>
      </c>
      <c r="N904" s="313">
        <v>0</v>
      </c>
      <c r="O904" s="314" t="s">
        <v>563</v>
      </c>
      <c r="P904" s="307">
        <f t="shared" si="267"/>
        <v>0</v>
      </c>
      <c r="R904" s="91" t="str">
        <f t="shared" si="263"/>
        <v/>
      </c>
      <c r="S90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4" s="307" t="str">
        <f t="shared" si="269"/>
        <v/>
      </c>
      <c r="U904" s="315" t="str">
        <f t="shared" si="270"/>
        <v/>
      </c>
      <c r="V904" s="307">
        <f t="shared" si="274"/>
        <v>0</v>
      </c>
      <c r="W904" s="307">
        <f>IFERROR(IF(V904&gt;0,PROPER(Terbilang1(V904)&amp;" Rupiah"),0),"")</f>
        <v>0</v>
      </c>
      <c r="X904" s="90" t="str">
        <f t="shared" si="275"/>
        <v/>
      </c>
      <c r="Y904" s="307" t="str">
        <f t="shared" si="276"/>
        <v/>
      </c>
      <c r="Z904" s="307">
        <f t="shared" si="271"/>
        <v>0</v>
      </c>
      <c r="AA904" s="366">
        <f t="shared" si="272"/>
        <v>0</v>
      </c>
      <c r="AB904" s="367">
        <f t="shared" si="277"/>
        <v>0</v>
      </c>
      <c r="AC904" s="305">
        <f t="shared" si="278"/>
        <v>0</v>
      </c>
      <c r="AP904" s="89" t="str">
        <f t="shared" si="266"/>
        <v/>
      </c>
      <c r="AQ904" s="89" t="str">
        <f t="shared" si="264"/>
        <v/>
      </c>
      <c r="AR904" s="315" t="str">
        <f t="shared" si="265"/>
        <v/>
      </c>
      <c r="AS904" s="305" t="str">
        <f t="shared" si="279"/>
        <v>0</v>
      </c>
      <c r="AT904" s="307">
        <f>Table22[[#This Row],[Column1]]</f>
        <v>0</v>
      </c>
    </row>
    <row r="905" spans="1:46" x14ac:dyDescent="0.3">
      <c r="A905" s="307">
        <f t="shared" si="273"/>
        <v>0</v>
      </c>
      <c r="B905" s="307">
        <f t="shared" si="262"/>
        <v>0</v>
      </c>
      <c r="C905" s="308" t="s">
        <v>563</v>
      </c>
      <c r="D905" s="309" t="s">
        <v>563</v>
      </c>
      <c r="E905" s="310">
        <v>0</v>
      </c>
      <c r="F905" s="310">
        <v>0</v>
      </c>
      <c r="G905" s="311">
        <v>0</v>
      </c>
      <c r="H905" s="310" t="s">
        <v>563</v>
      </c>
      <c r="I905" s="310" t="s">
        <v>563</v>
      </c>
      <c r="J905" s="310" t="s">
        <v>563</v>
      </c>
      <c r="K905" s="312">
        <v>0</v>
      </c>
      <c r="L905" s="310">
        <v>0</v>
      </c>
      <c r="M905" s="310">
        <v>0</v>
      </c>
      <c r="N905" s="313">
        <v>0</v>
      </c>
      <c r="O905" s="314" t="s">
        <v>563</v>
      </c>
      <c r="P905" s="307">
        <f t="shared" si="267"/>
        <v>0</v>
      </c>
      <c r="R905" s="91" t="str">
        <f t="shared" si="263"/>
        <v/>
      </c>
      <c r="S90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5" s="307" t="str">
        <f t="shared" si="269"/>
        <v/>
      </c>
      <c r="U905" s="315" t="str">
        <f t="shared" si="270"/>
        <v/>
      </c>
      <c r="V905" s="307">
        <f t="shared" si="274"/>
        <v>0</v>
      </c>
      <c r="W905" s="307">
        <f>IFERROR(IF(V905&gt;0,PROPER(Terbilang1(V905)&amp;" Rupiah"),0),"")</f>
        <v>0</v>
      </c>
      <c r="X905" s="90" t="str">
        <f t="shared" si="275"/>
        <v/>
      </c>
      <c r="Y905" s="307" t="str">
        <f t="shared" si="276"/>
        <v/>
      </c>
      <c r="Z905" s="307">
        <f t="shared" si="271"/>
        <v>0</v>
      </c>
      <c r="AA905" s="366">
        <f t="shared" si="272"/>
        <v>0</v>
      </c>
      <c r="AB905" s="367">
        <f t="shared" si="277"/>
        <v>0</v>
      </c>
      <c r="AC905" s="305">
        <f t="shared" si="278"/>
        <v>0</v>
      </c>
      <c r="AP905" s="89" t="str">
        <f t="shared" si="266"/>
        <v/>
      </c>
      <c r="AQ905" s="89" t="str">
        <f t="shared" si="264"/>
        <v/>
      </c>
      <c r="AR905" s="315" t="str">
        <f t="shared" si="265"/>
        <v/>
      </c>
      <c r="AS905" s="305" t="str">
        <f t="shared" si="279"/>
        <v>0</v>
      </c>
      <c r="AT905" s="307">
        <f>Table22[[#This Row],[Column1]]</f>
        <v>0</v>
      </c>
    </row>
    <row r="906" spans="1:46" x14ac:dyDescent="0.3">
      <c r="A906" s="307">
        <f t="shared" si="273"/>
        <v>0</v>
      </c>
      <c r="B906" s="307">
        <f t="shared" si="262"/>
        <v>0</v>
      </c>
      <c r="C906" s="308" t="s">
        <v>563</v>
      </c>
      <c r="D906" s="309" t="s">
        <v>563</v>
      </c>
      <c r="E906" s="310">
        <v>0</v>
      </c>
      <c r="F906" s="310">
        <v>0</v>
      </c>
      <c r="G906" s="311">
        <v>0</v>
      </c>
      <c r="H906" s="310" t="s">
        <v>563</v>
      </c>
      <c r="I906" s="310" t="s">
        <v>563</v>
      </c>
      <c r="J906" s="310" t="s">
        <v>563</v>
      </c>
      <c r="K906" s="312">
        <v>0</v>
      </c>
      <c r="L906" s="310">
        <v>0</v>
      </c>
      <c r="M906" s="310">
        <v>0</v>
      </c>
      <c r="N906" s="313">
        <v>0</v>
      </c>
      <c r="O906" s="314" t="s">
        <v>563</v>
      </c>
      <c r="P906" s="307">
        <f t="shared" si="267"/>
        <v>0</v>
      </c>
      <c r="R906" s="91" t="str">
        <f t="shared" si="263"/>
        <v/>
      </c>
      <c r="S90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6" s="307" t="str">
        <f t="shared" si="269"/>
        <v/>
      </c>
      <c r="U906" s="315" t="str">
        <f t="shared" si="270"/>
        <v/>
      </c>
      <c r="V906" s="307">
        <f t="shared" si="274"/>
        <v>0</v>
      </c>
      <c r="W906" s="307">
        <f>IFERROR(IF(V906&gt;0,PROPER(Terbilang1(V906)&amp;" Rupiah"),0),"")</f>
        <v>0</v>
      </c>
      <c r="X906" s="90" t="str">
        <f t="shared" si="275"/>
        <v/>
      </c>
      <c r="Y906" s="307" t="str">
        <f t="shared" si="276"/>
        <v/>
      </c>
      <c r="Z906" s="307">
        <f t="shared" si="271"/>
        <v>0</v>
      </c>
      <c r="AA906" s="366">
        <f t="shared" si="272"/>
        <v>0</v>
      </c>
      <c r="AB906" s="367">
        <f t="shared" si="277"/>
        <v>0</v>
      </c>
      <c r="AC906" s="305">
        <f t="shared" si="278"/>
        <v>0</v>
      </c>
      <c r="AP906" s="89" t="str">
        <f t="shared" si="266"/>
        <v/>
      </c>
      <c r="AQ906" s="89" t="str">
        <f t="shared" si="264"/>
        <v/>
      </c>
      <c r="AR906" s="315" t="str">
        <f t="shared" si="265"/>
        <v/>
      </c>
      <c r="AS906" s="305" t="str">
        <f t="shared" si="279"/>
        <v>0</v>
      </c>
      <c r="AT906" s="307">
        <f>Table22[[#This Row],[Column1]]</f>
        <v>0</v>
      </c>
    </row>
    <row r="907" spans="1:46" x14ac:dyDescent="0.3">
      <c r="A907" s="307">
        <f t="shared" si="273"/>
        <v>0</v>
      </c>
      <c r="B907" s="307">
        <f t="shared" si="262"/>
        <v>0</v>
      </c>
      <c r="C907" s="308" t="s">
        <v>563</v>
      </c>
      <c r="D907" s="309" t="s">
        <v>563</v>
      </c>
      <c r="E907" s="310">
        <v>0</v>
      </c>
      <c r="F907" s="310">
        <v>0</v>
      </c>
      <c r="G907" s="311">
        <v>0</v>
      </c>
      <c r="H907" s="310" t="s">
        <v>563</v>
      </c>
      <c r="I907" s="310" t="s">
        <v>563</v>
      </c>
      <c r="J907" s="310" t="s">
        <v>563</v>
      </c>
      <c r="K907" s="312">
        <v>0</v>
      </c>
      <c r="L907" s="310">
        <v>0</v>
      </c>
      <c r="M907" s="310">
        <v>0</v>
      </c>
      <c r="N907" s="313">
        <v>0</v>
      </c>
      <c r="O907" s="314" t="s">
        <v>563</v>
      </c>
      <c r="P907" s="307">
        <f t="shared" si="267"/>
        <v>0</v>
      </c>
      <c r="R907" s="91" t="str">
        <f t="shared" si="263"/>
        <v/>
      </c>
      <c r="S90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7" s="307" t="str">
        <f t="shared" si="269"/>
        <v/>
      </c>
      <c r="U907" s="315" t="str">
        <f t="shared" si="270"/>
        <v/>
      </c>
      <c r="V907" s="307">
        <f t="shared" si="274"/>
        <v>0</v>
      </c>
      <c r="W907" s="307">
        <f>IFERROR(IF(V907&gt;0,PROPER(Terbilang1(V907)&amp;" Rupiah"),0),"")</f>
        <v>0</v>
      </c>
      <c r="X907" s="90" t="str">
        <f t="shared" si="275"/>
        <v/>
      </c>
      <c r="Y907" s="307" t="str">
        <f t="shared" si="276"/>
        <v/>
      </c>
      <c r="Z907" s="307">
        <f t="shared" si="271"/>
        <v>0</v>
      </c>
      <c r="AA907" s="366">
        <f t="shared" si="272"/>
        <v>0</v>
      </c>
      <c r="AB907" s="367">
        <f t="shared" si="277"/>
        <v>0</v>
      </c>
      <c r="AC907" s="305">
        <f t="shared" si="278"/>
        <v>0</v>
      </c>
      <c r="AP907" s="89" t="str">
        <f t="shared" si="266"/>
        <v/>
      </c>
      <c r="AQ907" s="89" t="str">
        <f t="shared" si="264"/>
        <v/>
      </c>
      <c r="AR907" s="315" t="str">
        <f t="shared" si="265"/>
        <v/>
      </c>
      <c r="AS907" s="305" t="str">
        <f t="shared" si="279"/>
        <v>0</v>
      </c>
      <c r="AT907" s="307">
        <f>Table22[[#This Row],[Column1]]</f>
        <v>0</v>
      </c>
    </row>
    <row r="908" spans="1:46" x14ac:dyDescent="0.3">
      <c r="A908" s="307">
        <f t="shared" si="273"/>
        <v>0</v>
      </c>
      <c r="B908" s="307">
        <f t="shared" si="262"/>
        <v>0</v>
      </c>
      <c r="C908" s="308" t="s">
        <v>563</v>
      </c>
      <c r="D908" s="309" t="s">
        <v>563</v>
      </c>
      <c r="E908" s="310">
        <v>0</v>
      </c>
      <c r="F908" s="310">
        <v>0</v>
      </c>
      <c r="G908" s="311">
        <v>0</v>
      </c>
      <c r="H908" s="310" t="s">
        <v>563</v>
      </c>
      <c r="I908" s="310" t="s">
        <v>563</v>
      </c>
      <c r="J908" s="310" t="s">
        <v>563</v>
      </c>
      <c r="K908" s="312">
        <v>0</v>
      </c>
      <c r="L908" s="310">
        <v>0</v>
      </c>
      <c r="M908" s="310">
        <v>0</v>
      </c>
      <c r="N908" s="313">
        <v>0</v>
      </c>
      <c r="O908" s="314" t="s">
        <v>563</v>
      </c>
      <c r="P908" s="307">
        <f t="shared" si="267"/>
        <v>0</v>
      </c>
      <c r="R908" s="91" t="str">
        <f t="shared" si="263"/>
        <v/>
      </c>
      <c r="S90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8" s="307" t="str">
        <f t="shared" si="269"/>
        <v/>
      </c>
      <c r="U908" s="315" t="str">
        <f t="shared" si="270"/>
        <v/>
      </c>
      <c r="V908" s="307">
        <f t="shared" si="274"/>
        <v>0</v>
      </c>
      <c r="W908" s="307">
        <f>IFERROR(IF(V908&gt;0,PROPER(Terbilang1(V908)&amp;" Rupiah"),0),"")</f>
        <v>0</v>
      </c>
      <c r="X908" s="90" t="str">
        <f t="shared" si="275"/>
        <v/>
      </c>
      <c r="Y908" s="307" t="str">
        <f t="shared" si="276"/>
        <v/>
      </c>
      <c r="Z908" s="307">
        <f t="shared" si="271"/>
        <v>0</v>
      </c>
      <c r="AA908" s="366">
        <f t="shared" si="272"/>
        <v>0</v>
      </c>
      <c r="AB908" s="367">
        <f t="shared" si="277"/>
        <v>0</v>
      </c>
      <c r="AC908" s="305">
        <f t="shared" si="278"/>
        <v>0</v>
      </c>
      <c r="AP908" s="89" t="str">
        <f t="shared" si="266"/>
        <v/>
      </c>
      <c r="AQ908" s="89" t="str">
        <f t="shared" si="264"/>
        <v/>
      </c>
      <c r="AR908" s="315" t="str">
        <f t="shared" si="265"/>
        <v/>
      </c>
      <c r="AS908" s="305" t="str">
        <f t="shared" si="279"/>
        <v>0</v>
      </c>
      <c r="AT908" s="307">
        <f>Table22[[#This Row],[Column1]]</f>
        <v>0</v>
      </c>
    </row>
    <row r="909" spans="1:46" x14ac:dyDescent="0.3">
      <c r="A909" s="307">
        <f t="shared" si="273"/>
        <v>0</v>
      </c>
      <c r="B909" s="307">
        <f t="shared" si="262"/>
        <v>0</v>
      </c>
      <c r="C909" s="308" t="s">
        <v>563</v>
      </c>
      <c r="D909" s="309" t="s">
        <v>563</v>
      </c>
      <c r="E909" s="310">
        <v>0</v>
      </c>
      <c r="F909" s="310">
        <v>0</v>
      </c>
      <c r="G909" s="311">
        <v>0</v>
      </c>
      <c r="H909" s="310" t="s">
        <v>563</v>
      </c>
      <c r="I909" s="310" t="s">
        <v>563</v>
      </c>
      <c r="J909" s="310" t="s">
        <v>563</v>
      </c>
      <c r="K909" s="312">
        <v>0</v>
      </c>
      <c r="L909" s="310">
        <v>0</v>
      </c>
      <c r="M909" s="310">
        <v>0</v>
      </c>
      <c r="N909" s="313">
        <v>0</v>
      </c>
      <c r="O909" s="314" t="s">
        <v>563</v>
      </c>
      <c r="P909" s="307">
        <f t="shared" si="267"/>
        <v>0</v>
      </c>
      <c r="R909" s="91" t="str">
        <f t="shared" si="263"/>
        <v/>
      </c>
      <c r="S90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09" s="307" t="str">
        <f t="shared" si="269"/>
        <v/>
      </c>
      <c r="U909" s="315" t="str">
        <f t="shared" si="270"/>
        <v/>
      </c>
      <c r="V909" s="307">
        <f t="shared" si="274"/>
        <v>0</v>
      </c>
      <c r="W909" s="307">
        <f>IFERROR(IF(V909&gt;0,PROPER(Terbilang1(V909)&amp;" Rupiah"),0),"")</f>
        <v>0</v>
      </c>
      <c r="X909" s="90" t="str">
        <f t="shared" si="275"/>
        <v/>
      </c>
      <c r="Y909" s="307" t="str">
        <f t="shared" si="276"/>
        <v/>
      </c>
      <c r="Z909" s="307">
        <f t="shared" si="271"/>
        <v>0</v>
      </c>
      <c r="AA909" s="366">
        <f t="shared" si="272"/>
        <v>0</v>
      </c>
      <c r="AB909" s="367">
        <f t="shared" si="277"/>
        <v>0</v>
      </c>
      <c r="AC909" s="305">
        <f t="shared" si="278"/>
        <v>0</v>
      </c>
      <c r="AP909" s="89" t="str">
        <f t="shared" si="266"/>
        <v/>
      </c>
      <c r="AQ909" s="89" t="str">
        <f t="shared" si="264"/>
        <v/>
      </c>
      <c r="AR909" s="315" t="str">
        <f t="shared" si="265"/>
        <v/>
      </c>
      <c r="AS909" s="305" t="str">
        <f t="shared" si="279"/>
        <v>0</v>
      </c>
      <c r="AT909" s="307">
        <f>Table22[[#This Row],[Column1]]</f>
        <v>0</v>
      </c>
    </row>
    <row r="910" spans="1:46" x14ac:dyDescent="0.3">
      <c r="A910" s="307">
        <f t="shared" si="273"/>
        <v>0</v>
      </c>
      <c r="B910" s="307">
        <f t="shared" si="262"/>
        <v>0</v>
      </c>
      <c r="C910" s="308" t="s">
        <v>563</v>
      </c>
      <c r="D910" s="309" t="s">
        <v>563</v>
      </c>
      <c r="E910" s="310">
        <v>0</v>
      </c>
      <c r="F910" s="310">
        <v>0</v>
      </c>
      <c r="G910" s="311">
        <v>0</v>
      </c>
      <c r="H910" s="310" t="s">
        <v>563</v>
      </c>
      <c r="I910" s="310" t="s">
        <v>563</v>
      </c>
      <c r="J910" s="310" t="s">
        <v>563</v>
      </c>
      <c r="K910" s="312">
        <v>0</v>
      </c>
      <c r="L910" s="310">
        <v>0</v>
      </c>
      <c r="M910" s="310">
        <v>0</v>
      </c>
      <c r="N910" s="313">
        <v>0</v>
      </c>
      <c r="O910" s="314" t="s">
        <v>563</v>
      </c>
      <c r="P910" s="307">
        <f t="shared" si="267"/>
        <v>0</v>
      </c>
      <c r="R910" s="91" t="str">
        <f t="shared" si="263"/>
        <v/>
      </c>
      <c r="S91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0" s="307" t="str">
        <f t="shared" si="269"/>
        <v/>
      </c>
      <c r="U910" s="315" t="str">
        <f t="shared" si="270"/>
        <v/>
      </c>
      <c r="V910" s="307">
        <f t="shared" si="274"/>
        <v>0</v>
      </c>
      <c r="W910" s="307">
        <f>IFERROR(IF(V910&gt;0,PROPER(Terbilang1(V910)&amp;" Rupiah"),0),"")</f>
        <v>0</v>
      </c>
      <c r="X910" s="90" t="str">
        <f t="shared" si="275"/>
        <v/>
      </c>
      <c r="Y910" s="307" t="str">
        <f t="shared" si="276"/>
        <v/>
      </c>
      <c r="Z910" s="307">
        <f t="shared" si="271"/>
        <v>0</v>
      </c>
      <c r="AA910" s="366">
        <f t="shared" si="272"/>
        <v>0</v>
      </c>
      <c r="AB910" s="367">
        <f t="shared" si="277"/>
        <v>0</v>
      </c>
      <c r="AC910" s="305">
        <f t="shared" si="278"/>
        <v>0</v>
      </c>
      <c r="AP910" s="89" t="str">
        <f t="shared" si="266"/>
        <v/>
      </c>
      <c r="AQ910" s="89" t="str">
        <f t="shared" si="264"/>
        <v/>
      </c>
      <c r="AR910" s="315" t="str">
        <f t="shared" si="265"/>
        <v/>
      </c>
      <c r="AS910" s="305" t="str">
        <f t="shared" si="279"/>
        <v>0</v>
      </c>
      <c r="AT910" s="307">
        <f>Table22[[#This Row],[Column1]]</f>
        <v>0</v>
      </c>
    </row>
    <row r="911" spans="1:46" x14ac:dyDescent="0.3">
      <c r="A911" s="307">
        <f t="shared" si="273"/>
        <v>0</v>
      </c>
      <c r="B911" s="307">
        <f t="shared" si="262"/>
        <v>0</v>
      </c>
      <c r="C911" s="308" t="s">
        <v>563</v>
      </c>
      <c r="D911" s="309" t="s">
        <v>563</v>
      </c>
      <c r="E911" s="310">
        <v>0</v>
      </c>
      <c r="F911" s="310">
        <v>0</v>
      </c>
      <c r="G911" s="311">
        <v>0</v>
      </c>
      <c r="H911" s="310" t="s">
        <v>563</v>
      </c>
      <c r="I911" s="310" t="s">
        <v>563</v>
      </c>
      <c r="J911" s="310" t="s">
        <v>563</v>
      </c>
      <c r="K911" s="312">
        <v>0</v>
      </c>
      <c r="L911" s="310">
        <v>0</v>
      </c>
      <c r="M911" s="310">
        <v>0</v>
      </c>
      <c r="N911" s="313">
        <v>0</v>
      </c>
      <c r="O911" s="314" t="s">
        <v>563</v>
      </c>
      <c r="P911" s="307">
        <f t="shared" si="267"/>
        <v>0</v>
      </c>
      <c r="R911" s="91" t="str">
        <f t="shared" si="263"/>
        <v/>
      </c>
      <c r="S91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1" s="307" t="str">
        <f t="shared" si="269"/>
        <v/>
      </c>
      <c r="U911" s="315" t="str">
        <f t="shared" si="270"/>
        <v/>
      </c>
      <c r="V911" s="307">
        <f t="shared" si="274"/>
        <v>0</v>
      </c>
      <c r="W911" s="307">
        <f>IFERROR(IF(V911&gt;0,PROPER(Terbilang1(V911)&amp;" Rupiah"),0),"")</f>
        <v>0</v>
      </c>
      <c r="X911" s="90" t="str">
        <f t="shared" si="275"/>
        <v/>
      </c>
      <c r="Y911" s="307" t="str">
        <f t="shared" si="276"/>
        <v/>
      </c>
      <c r="Z911" s="307">
        <f t="shared" si="271"/>
        <v>0</v>
      </c>
      <c r="AA911" s="366">
        <f t="shared" si="272"/>
        <v>0</v>
      </c>
      <c r="AB911" s="367">
        <f t="shared" si="277"/>
        <v>0</v>
      </c>
      <c r="AC911" s="305">
        <f t="shared" si="278"/>
        <v>0</v>
      </c>
      <c r="AP911" s="89" t="str">
        <f t="shared" si="266"/>
        <v/>
      </c>
      <c r="AQ911" s="89" t="str">
        <f t="shared" si="264"/>
        <v/>
      </c>
      <c r="AR911" s="315" t="str">
        <f t="shared" si="265"/>
        <v/>
      </c>
      <c r="AS911" s="305" t="str">
        <f t="shared" si="279"/>
        <v>0</v>
      </c>
      <c r="AT911" s="307">
        <f>Table22[[#This Row],[Column1]]</f>
        <v>0</v>
      </c>
    </row>
    <row r="912" spans="1:46" x14ac:dyDescent="0.3">
      <c r="A912" s="307">
        <f t="shared" si="273"/>
        <v>0</v>
      </c>
      <c r="B912" s="307">
        <f t="shared" si="262"/>
        <v>0</v>
      </c>
      <c r="C912" s="308" t="s">
        <v>563</v>
      </c>
      <c r="D912" s="309" t="s">
        <v>563</v>
      </c>
      <c r="E912" s="310">
        <v>0</v>
      </c>
      <c r="F912" s="310">
        <v>0</v>
      </c>
      <c r="G912" s="311">
        <v>0</v>
      </c>
      <c r="H912" s="310" t="s">
        <v>563</v>
      </c>
      <c r="I912" s="310" t="s">
        <v>563</v>
      </c>
      <c r="J912" s="310" t="s">
        <v>563</v>
      </c>
      <c r="K912" s="312">
        <v>0</v>
      </c>
      <c r="L912" s="310">
        <v>0</v>
      </c>
      <c r="M912" s="310">
        <v>0</v>
      </c>
      <c r="N912" s="313">
        <v>0</v>
      </c>
      <c r="O912" s="314" t="s">
        <v>563</v>
      </c>
      <c r="P912" s="307">
        <f t="shared" si="267"/>
        <v>0</v>
      </c>
      <c r="R912" s="91" t="str">
        <f t="shared" si="263"/>
        <v/>
      </c>
      <c r="S91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2" s="307" t="str">
        <f t="shared" si="269"/>
        <v/>
      </c>
      <c r="U912" s="315" t="str">
        <f t="shared" si="270"/>
        <v/>
      </c>
      <c r="V912" s="307">
        <f t="shared" si="274"/>
        <v>0</v>
      </c>
      <c r="W912" s="307">
        <f>IFERROR(IF(V912&gt;0,PROPER(Terbilang1(V912)&amp;" Rupiah"),0),"")</f>
        <v>0</v>
      </c>
      <c r="X912" s="90" t="str">
        <f t="shared" si="275"/>
        <v/>
      </c>
      <c r="Y912" s="307" t="str">
        <f t="shared" si="276"/>
        <v/>
      </c>
      <c r="Z912" s="307">
        <f t="shared" si="271"/>
        <v>0</v>
      </c>
      <c r="AA912" s="366">
        <f t="shared" si="272"/>
        <v>0</v>
      </c>
      <c r="AB912" s="367">
        <f t="shared" si="277"/>
        <v>0</v>
      </c>
      <c r="AC912" s="305">
        <f t="shared" si="278"/>
        <v>0</v>
      </c>
      <c r="AP912" s="89" t="str">
        <f t="shared" si="266"/>
        <v/>
      </c>
      <c r="AQ912" s="89" t="str">
        <f t="shared" si="264"/>
        <v/>
      </c>
      <c r="AR912" s="315" t="str">
        <f t="shared" si="265"/>
        <v/>
      </c>
      <c r="AS912" s="305" t="str">
        <f t="shared" si="279"/>
        <v>0</v>
      </c>
      <c r="AT912" s="307">
        <f>Table22[[#This Row],[Column1]]</f>
        <v>0</v>
      </c>
    </row>
    <row r="913" spans="1:46" x14ac:dyDescent="0.3">
      <c r="A913" s="307">
        <f t="shared" si="273"/>
        <v>0</v>
      </c>
      <c r="B913" s="307">
        <f t="shared" si="262"/>
        <v>0</v>
      </c>
      <c r="C913" s="308" t="s">
        <v>563</v>
      </c>
      <c r="D913" s="309" t="s">
        <v>563</v>
      </c>
      <c r="E913" s="310">
        <v>0</v>
      </c>
      <c r="F913" s="310">
        <v>0</v>
      </c>
      <c r="G913" s="311">
        <v>0</v>
      </c>
      <c r="H913" s="310" t="s">
        <v>563</v>
      </c>
      <c r="I913" s="310" t="s">
        <v>563</v>
      </c>
      <c r="J913" s="310" t="s">
        <v>563</v>
      </c>
      <c r="K913" s="312">
        <v>0</v>
      </c>
      <c r="L913" s="310">
        <v>0</v>
      </c>
      <c r="M913" s="310">
        <v>0</v>
      </c>
      <c r="N913" s="313">
        <v>0</v>
      </c>
      <c r="O913" s="314" t="s">
        <v>563</v>
      </c>
      <c r="P913" s="307">
        <f t="shared" si="267"/>
        <v>0</v>
      </c>
      <c r="R913" s="91" t="str">
        <f t="shared" si="263"/>
        <v/>
      </c>
      <c r="S91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3" s="307" t="str">
        <f t="shared" si="269"/>
        <v/>
      </c>
      <c r="U913" s="315" t="str">
        <f t="shared" si="270"/>
        <v/>
      </c>
      <c r="V913" s="307">
        <f t="shared" si="274"/>
        <v>0</v>
      </c>
      <c r="W913" s="307">
        <f>IFERROR(IF(V913&gt;0,PROPER(Terbilang1(V913)&amp;" Rupiah"),0),"")</f>
        <v>0</v>
      </c>
      <c r="X913" s="90" t="str">
        <f t="shared" si="275"/>
        <v/>
      </c>
      <c r="Y913" s="307" t="str">
        <f t="shared" si="276"/>
        <v/>
      </c>
      <c r="Z913" s="307">
        <f t="shared" si="271"/>
        <v>0</v>
      </c>
      <c r="AA913" s="366">
        <f t="shared" si="272"/>
        <v>0</v>
      </c>
      <c r="AB913" s="367">
        <f t="shared" si="277"/>
        <v>0</v>
      </c>
      <c r="AC913" s="305">
        <f t="shared" si="278"/>
        <v>0</v>
      </c>
      <c r="AP913" s="89" t="str">
        <f t="shared" si="266"/>
        <v/>
      </c>
      <c r="AQ913" s="89" t="str">
        <f t="shared" si="264"/>
        <v/>
      </c>
      <c r="AR913" s="315" t="str">
        <f t="shared" si="265"/>
        <v/>
      </c>
      <c r="AS913" s="305" t="str">
        <f t="shared" si="279"/>
        <v>0</v>
      </c>
      <c r="AT913" s="307">
        <f>Table22[[#This Row],[Column1]]</f>
        <v>0</v>
      </c>
    </row>
    <row r="914" spans="1:46" x14ac:dyDescent="0.3">
      <c r="A914" s="307">
        <f t="shared" si="273"/>
        <v>0</v>
      </c>
      <c r="B914" s="307">
        <f t="shared" si="262"/>
        <v>0</v>
      </c>
      <c r="C914" s="308" t="s">
        <v>563</v>
      </c>
      <c r="D914" s="309" t="s">
        <v>563</v>
      </c>
      <c r="E914" s="310">
        <v>0</v>
      </c>
      <c r="F914" s="310">
        <v>0</v>
      </c>
      <c r="G914" s="311">
        <v>0</v>
      </c>
      <c r="H914" s="310" t="s">
        <v>563</v>
      </c>
      <c r="I914" s="310" t="s">
        <v>563</v>
      </c>
      <c r="J914" s="310" t="s">
        <v>563</v>
      </c>
      <c r="K914" s="312">
        <v>0</v>
      </c>
      <c r="L914" s="310">
        <v>0</v>
      </c>
      <c r="M914" s="310">
        <v>0</v>
      </c>
      <c r="N914" s="313">
        <v>0</v>
      </c>
      <c r="O914" s="314" t="s">
        <v>563</v>
      </c>
      <c r="P914" s="307">
        <f t="shared" si="267"/>
        <v>0</v>
      </c>
      <c r="R914" s="91" t="str">
        <f t="shared" si="263"/>
        <v/>
      </c>
      <c r="S91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4" s="307" t="str">
        <f t="shared" si="269"/>
        <v/>
      </c>
      <c r="U914" s="315" t="str">
        <f t="shared" si="270"/>
        <v/>
      </c>
      <c r="V914" s="307">
        <f t="shared" si="274"/>
        <v>0</v>
      </c>
      <c r="W914" s="307">
        <f>IFERROR(IF(V914&gt;0,PROPER(Terbilang1(V914)&amp;" Rupiah"),0),"")</f>
        <v>0</v>
      </c>
      <c r="X914" s="90" t="str">
        <f t="shared" si="275"/>
        <v/>
      </c>
      <c r="Y914" s="307" t="str">
        <f t="shared" si="276"/>
        <v/>
      </c>
      <c r="Z914" s="307">
        <f t="shared" si="271"/>
        <v>0</v>
      </c>
      <c r="AA914" s="366">
        <f t="shared" si="272"/>
        <v>0</v>
      </c>
      <c r="AB914" s="367">
        <f t="shared" si="277"/>
        <v>0</v>
      </c>
      <c r="AC914" s="305">
        <f t="shared" si="278"/>
        <v>0</v>
      </c>
      <c r="AP914" s="89" t="str">
        <f t="shared" si="266"/>
        <v/>
      </c>
      <c r="AQ914" s="89" t="str">
        <f t="shared" si="264"/>
        <v/>
      </c>
      <c r="AR914" s="315" t="str">
        <f t="shared" si="265"/>
        <v/>
      </c>
      <c r="AS914" s="305" t="str">
        <f t="shared" si="279"/>
        <v>0</v>
      </c>
      <c r="AT914" s="307">
        <f>Table22[[#This Row],[Column1]]</f>
        <v>0</v>
      </c>
    </row>
    <row r="915" spans="1:46" x14ac:dyDescent="0.3">
      <c r="A915" s="307">
        <f t="shared" si="273"/>
        <v>0</v>
      </c>
      <c r="B915" s="307">
        <f t="shared" si="262"/>
        <v>0</v>
      </c>
      <c r="C915" s="308" t="s">
        <v>563</v>
      </c>
      <c r="D915" s="309" t="s">
        <v>563</v>
      </c>
      <c r="E915" s="310">
        <v>0</v>
      </c>
      <c r="F915" s="310">
        <v>0</v>
      </c>
      <c r="G915" s="311">
        <v>0</v>
      </c>
      <c r="H915" s="310" t="s">
        <v>563</v>
      </c>
      <c r="I915" s="310" t="s">
        <v>563</v>
      </c>
      <c r="J915" s="310" t="s">
        <v>563</v>
      </c>
      <c r="K915" s="312">
        <v>0</v>
      </c>
      <c r="L915" s="310">
        <v>0</v>
      </c>
      <c r="M915" s="310">
        <v>0</v>
      </c>
      <c r="N915" s="313">
        <v>0</v>
      </c>
      <c r="O915" s="314" t="s">
        <v>563</v>
      </c>
      <c r="P915" s="307">
        <f t="shared" si="267"/>
        <v>0</v>
      </c>
      <c r="R915" s="91" t="str">
        <f t="shared" si="263"/>
        <v/>
      </c>
      <c r="S91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5" s="307" t="str">
        <f t="shared" si="269"/>
        <v/>
      </c>
      <c r="U915" s="315" t="str">
        <f t="shared" si="270"/>
        <v/>
      </c>
      <c r="V915" s="307">
        <f t="shared" si="274"/>
        <v>0</v>
      </c>
      <c r="W915" s="307">
        <f>IFERROR(IF(V915&gt;0,PROPER(Terbilang1(V915)&amp;" Rupiah"),0),"")</f>
        <v>0</v>
      </c>
      <c r="X915" s="90" t="str">
        <f t="shared" si="275"/>
        <v/>
      </c>
      <c r="Y915" s="307" t="str">
        <f t="shared" si="276"/>
        <v/>
      </c>
      <c r="Z915" s="307">
        <f t="shared" si="271"/>
        <v>0</v>
      </c>
      <c r="AA915" s="366">
        <f t="shared" si="272"/>
        <v>0</v>
      </c>
      <c r="AB915" s="367">
        <f t="shared" si="277"/>
        <v>0</v>
      </c>
      <c r="AC915" s="305">
        <f t="shared" si="278"/>
        <v>0</v>
      </c>
      <c r="AP915" s="89" t="str">
        <f t="shared" si="266"/>
        <v/>
      </c>
      <c r="AQ915" s="89" t="str">
        <f t="shared" si="264"/>
        <v/>
      </c>
      <c r="AR915" s="315" t="str">
        <f t="shared" si="265"/>
        <v/>
      </c>
      <c r="AS915" s="305" t="str">
        <f t="shared" si="279"/>
        <v>0</v>
      </c>
      <c r="AT915" s="307">
        <f>Table22[[#This Row],[Column1]]</f>
        <v>0</v>
      </c>
    </row>
    <row r="916" spans="1:46" x14ac:dyDescent="0.3">
      <c r="A916" s="307">
        <f t="shared" si="273"/>
        <v>0</v>
      </c>
      <c r="B916" s="307">
        <f t="shared" si="262"/>
        <v>0</v>
      </c>
      <c r="C916" s="308" t="s">
        <v>563</v>
      </c>
      <c r="D916" s="309" t="s">
        <v>563</v>
      </c>
      <c r="E916" s="310">
        <v>0</v>
      </c>
      <c r="F916" s="310">
        <v>0</v>
      </c>
      <c r="G916" s="311">
        <v>0</v>
      </c>
      <c r="H916" s="310" t="s">
        <v>563</v>
      </c>
      <c r="I916" s="310" t="s">
        <v>563</v>
      </c>
      <c r="J916" s="310" t="s">
        <v>563</v>
      </c>
      <c r="K916" s="312">
        <v>0</v>
      </c>
      <c r="L916" s="310">
        <v>0</v>
      </c>
      <c r="M916" s="310">
        <v>0</v>
      </c>
      <c r="N916" s="313">
        <v>0</v>
      </c>
      <c r="O916" s="314" t="s">
        <v>563</v>
      </c>
      <c r="P916" s="307">
        <f t="shared" si="267"/>
        <v>0</v>
      </c>
      <c r="R916" s="91" t="str">
        <f t="shared" si="263"/>
        <v/>
      </c>
      <c r="S91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6" s="307" t="str">
        <f t="shared" si="269"/>
        <v/>
      </c>
      <c r="U916" s="315" t="str">
        <f t="shared" si="270"/>
        <v/>
      </c>
      <c r="V916" s="307">
        <f t="shared" si="274"/>
        <v>0</v>
      </c>
      <c r="W916" s="307">
        <f>IFERROR(IF(V916&gt;0,PROPER(Terbilang1(V916)&amp;" Rupiah"),0),"")</f>
        <v>0</v>
      </c>
      <c r="X916" s="90" t="str">
        <f t="shared" si="275"/>
        <v/>
      </c>
      <c r="Y916" s="307" t="str">
        <f t="shared" si="276"/>
        <v/>
      </c>
      <c r="Z916" s="307">
        <f t="shared" si="271"/>
        <v>0</v>
      </c>
      <c r="AA916" s="366">
        <f t="shared" si="272"/>
        <v>0</v>
      </c>
      <c r="AB916" s="367">
        <f t="shared" si="277"/>
        <v>0</v>
      </c>
      <c r="AC916" s="305">
        <f t="shared" si="278"/>
        <v>0</v>
      </c>
      <c r="AP916" s="89" t="str">
        <f t="shared" si="266"/>
        <v/>
      </c>
      <c r="AQ916" s="89" t="str">
        <f t="shared" si="264"/>
        <v/>
      </c>
      <c r="AR916" s="315" t="str">
        <f t="shared" si="265"/>
        <v/>
      </c>
      <c r="AS916" s="305" t="str">
        <f t="shared" si="279"/>
        <v>0</v>
      </c>
      <c r="AT916" s="307">
        <f>Table22[[#This Row],[Column1]]</f>
        <v>0</v>
      </c>
    </row>
    <row r="917" spans="1:46" x14ac:dyDescent="0.3">
      <c r="A917" s="307">
        <f t="shared" si="273"/>
        <v>0</v>
      </c>
      <c r="B917" s="307">
        <f t="shared" si="262"/>
        <v>0</v>
      </c>
      <c r="C917" s="308" t="s">
        <v>563</v>
      </c>
      <c r="D917" s="309" t="s">
        <v>563</v>
      </c>
      <c r="E917" s="310">
        <v>0</v>
      </c>
      <c r="F917" s="310">
        <v>0</v>
      </c>
      <c r="G917" s="311">
        <v>0</v>
      </c>
      <c r="H917" s="310" t="s">
        <v>563</v>
      </c>
      <c r="I917" s="310" t="s">
        <v>563</v>
      </c>
      <c r="J917" s="310" t="s">
        <v>563</v>
      </c>
      <c r="K917" s="312">
        <v>0</v>
      </c>
      <c r="L917" s="310">
        <v>0</v>
      </c>
      <c r="M917" s="310">
        <v>0</v>
      </c>
      <c r="N917" s="313">
        <v>0</v>
      </c>
      <c r="O917" s="314" t="s">
        <v>563</v>
      </c>
      <c r="P917" s="307">
        <f t="shared" si="267"/>
        <v>0</v>
      </c>
      <c r="R917" s="91" t="str">
        <f t="shared" si="263"/>
        <v/>
      </c>
      <c r="S91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7" s="307" t="str">
        <f t="shared" si="269"/>
        <v/>
      </c>
      <c r="U917" s="315" t="str">
        <f t="shared" si="270"/>
        <v/>
      </c>
      <c r="V917" s="307">
        <f t="shared" si="274"/>
        <v>0</v>
      </c>
      <c r="W917" s="307">
        <f>IFERROR(IF(V917&gt;0,PROPER(Terbilang1(V917)&amp;" Rupiah"),0),"")</f>
        <v>0</v>
      </c>
      <c r="X917" s="90" t="str">
        <f t="shared" si="275"/>
        <v/>
      </c>
      <c r="Y917" s="307" t="str">
        <f t="shared" si="276"/>
        <v/>
      </c>
      <c r="Z917" s="307">
        <f t="shared" si="271"/>
        <v>0</v>
      </c>
      <c r="AA917" s="366">
        <f t="shared" si="272"/>
        <v>0</v>
      </c>
      <c r="AB917" s="367">
        <f t="shared" si="277"/>
        <v>0</v>
      </c>
      <c r="AC917" s="305">
        <f t="shared" si="278"/>
        <v>0</v>
      </c>
      <c r="AP917" s="89" t="str">
        <f t="shared" si="266"/>
        <v/>
      </c>
      <c r="AQ917" s="89" t="str">
        <f t="shared" si="264"/>
        <v/>
      </c>
      <c r="AR917" s="315" t="str">
        <f t="shared" si="265"/>
        <v/>
      </c>
      <c r="AS917" s="305" t="str">
        <f t="shared" si="279"/>
        <v>0</v>
      </c>
      <c r="AT917" s="307">
        <f>Table22[[#This Row],[Column1]]</f>
        <v>0</v>
      </c>
    </row>
    <row r="918" spans="1:46" x14ac:dyDescent="0.3">
      <c r="A918" s="307">
        <f t="shared" si="273"/>
        <v>0</v>
      </c>
      <c r="B918" s="307">
        <f t="shared" si="262"/>
        <v>0</v>
      </c>
      <c r="C918" s="308" t="s">
        <v>563</v>
      </c>
      <c r="D918" s="309" t="s">
        <v>563</v>
      </c>
      <c r="E918" s="310">
        <v>0</v>
      </c>
      <c r="F918" s="310">
        <v>0</v>
      </c>
      <c r="G918" s="311">
        <v>0</v>
      </c>
      <c r="H918" s="310" t="s">
        <v>563</v>
      </c>
      <c r="I918" s="310" t="s">
        <v>563</v>
      </c>
      <c r="J918" s="310" t="s">
        <v>563</v>
      </c>
      <c r="K918" s="312">
        <v>0</v>
      </c>
      <c r="L918" s="310">
        <v>0</v>
      </c>
      <c r="M918" s="310">
        <v>0</v>
      </c>
      <c r="N918" s="313">
        <v>0</v>
      </c>
      <c r="O918" s="314" t="s">
        <v>563</v>
      </c>
      <c r="P918" s="307">
        <f t="shared" si="267"/>
        <v>0</v>
      </c>
      <c r="R918" s="91" t="str">
        <f t="shared" si="263"/>
        <v/>
      </c>
      <c r="S91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8" s="307" t="str">
        <f t="shared" si="269"/>
        <v/>
      </c>
      <c r="U918" s="315" t="str">
        <f t="shared" si="270"/>
        <v/>
      </c>
      <c r="V918" s="307">
        <f t="shared" si="274"/>
        <v>0</v>
      </c>
      <c r="W918" s="307">
        <f>IFERROR(IF(V918&gt;0,PROPER(Terbilang1(V918)&amp;" Rupiah"),0),"")</f>
        <v>0</v>
      </c>
      <c r="X918" s="90" t="str">
        <f t="shared" si="275"/>
        <v/>
      </c>
      <c r="Y918" s="307" t="str">
        <f t="shared" si="276"/>
        <v/>
      </c>
      <c r="Z918" s="307">
        <f t="shared" si="271"/>
        <v>0</v>
      </c>
      <c r="AA918" s="366">
        <f t="shared" si="272"/>
        <v>0</v>
      </c>
      <c r="AB918" s="367">
        <f t="shared" si="277"/>
        <v>0</v>
      </c>
      <c r="AC918" s="305">
        <f t="shared" si="278"/>
        <v>0</v>
      </c>
      <c r="AP918" s="89" t="str">
        <f t="shared" si="266"/>
        <v/>
      </c>
      <c r="AQ918" s="89" t="str">
        <f t="shared" si="264"/>
        <v/>
      </c>
      <c r="AR918" s="315" t="str">
        <f t="shared" si="265"/>
        <v/>
      </c>
      <c r="AS918" s="305" t="str">
        <f t="shared" si="279"/>
        <v>0</v>
      </c>
      <c r="AT918" s="307">
        <f>Table22[[#This Row],[Column1]]</f>
        <v>0</v>
      </c>
    </row>
    <row r="919" spans="1:46" x14ac:dyDescent="0.3">
      <c r="A919" s="307">
        <f t="shared" si="273"/>
        <v>0</v>
      </c>
      <c r="B919" s="307">
        <f t="shared" si="262"/>
        <v>0</v>
      </c>
      <c r="C919" s="308" t="s">
        <v>563</v>
      </c>
      <c r="D919" s="309" t="s">
        <v>563</v>
      </c>
      <c r="E919" s="310">
        <v>0</v>
      </c>
      <c r="F919" s="310">
        <v>0</v>
      </c>
      <c r="G919" s="311">
        <v>0</v>
      </c>
      <c r="H919" s="310" t="s">
        <v>563</v>
      </c>
      <c r="I919" s="310" t="s">
        <v>563</v>
      </c>
      <c r="J919" s="310" t="s">
        <v>563</v>
      </c>
      <c r="K919" s="312">
        <v>0</v>
      </c>
      <c r="L919" s="310">
        <v>0</v>
      </c>
      <c r="M919" s="310">
        <v>0</v>
      </c>
      <c r="N919" s="313">
        <v>0</v>
      </c>
      <c r="O919" s="314" t="s">
        <v>563</v>
      </c>
      <c r="P919" s="307">
        <f t="shared" si="267"/>
        <v>0</v>
      </c>
      <c r="R919" s="91" t="str">
        <f t="shared" si="263"/>
        <v/>
      </c>
      <c r="S91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19" s="307" t="str">
        <f t="shared" si="269"/>
        <v/>
      </c>
      <c r="U919" s="315" t="str">
        <f t="shared" si="270"/>
        <v/>
      </c>
      <c r="V919" s="307">
        <f t="shared" si="274"/>
        <v>0</v>
      </c>
      <c r="W919" s="307">
        <f>IFERROR(IF(V919&gt;0,PROPER(Terbilang1(V919)&amp;" Rupiah"),0),"")</f>
        <v>0</v>
      </c>
      <c r="X919" s="90" t="str">
        <f t="shared" si="275"/>
        <v/>
      </c>
      <c r="Y919" s="307" t="str">
        <f t="shared" si="276"/>
        <v/>
      </c>
      <c r="Z919" s="307">
        <f t="shared" si="271"/>
        <v>0</v>
      </c>
      <c r="AA919" s="366">
        <f t="shared" si="272"/>
        <v>0</v>
      </c>
      <c r="AB919" s="367">
        <f t="shared" si="277"/>
        <v>0</v>
      </c>
      <c r="AC919" s="305">
        <f t="shared" si="278"/>
        <v>0</v>
      </c>
      <c r="AP919" s="89" t="str">
        <f t="shared" si="266"/>
        <v/>
      </c>
      <c r="AQ919" s="89" t="str">
        <f t="shared" si="264"/>
        <v/>
      </c>
      <c r="AR919" s="315" t="str">
        <f t="shared" si="265"/>
        <v/>
      </c>
      <c r="AS919" s="305" t="str">
        <f t="shared" si="279"/>
        <v>0</v>
      </c>
      <c r="AT919" s="307">
        <f>Table22[[#This Row],[Column1]]</f>
        <v>0</v>
      </c>
    </row>
    <row r="920" spans="1:46" x14ac:dyDescent="0.3">
      <c r="A920" s="307">
        <f t="shared" si="273"/>
        <v>0</v>
      </c>
      <c r="B920" s="307">
        <f t="shared" si="262"/>
        <v>0</v>
      </c>
      <c r="C920" s="308" t="s">
        <v>563</v>
      </c>
      <c r="D920" s="309" t="s">
        <v>563</v>
      </c>
      <c r="E920" s="310">
        <v>0</v>
      </c>
      <c r="F920" s="310">
        <v>0</v>
      </c>
      <c r="G920" s="311">
        <v>0</v>
      </c>
      <c r="H920" s="310" t="s">
        <v>563</v>
      </c>
      <c r="I920" s="310" t="s">
        <v>563</v>
      </c>
      <c r="J920" s="310" t="s">
        <v>563</v>
      </c>
      <c r="K920" s="312">
        <v>0</v>
      </c>
      <c r="L920" s="310">
        <v>0</v>
      </c>
      <c r="M920" s="310">
        <v>0</v>
      </c>
      <c r="N920" s="313">
        <v>0</v>
      </c>
      <c r="O920" s="314" t="s">
        <v>563</v>
      </c>
      <c r="P920" s="307">
        <f t="shared" si="267"/>
        <v>0</v>
      </c>
      <c r="R920" s="91" t="str">
        <f t="shared" si="263"/>
        <v/>
      </c>
      <c r="S92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0" s="307" t="str">
        <f t="shared" si="269"/>
        <v/>
      </c>
      <c r="U920" s="315" t="str">
        <f t="shared" si="270"/>
        <v/>
      </c>
      <c r="V920" s="307">
        <f t="shared" si="274"/>
        <v>0</v>
      </c>
      <c r="W920" s="307">
        <f>IFERROR(IF(V920&gt;0,PROPER(Terbilang1(V920)&amp;" Rupiah"),0),"")</f>
        <v>0</v>
      </c>
      <c r="X920" s="90" t="str">
        <f t="shared" si="275"/>
        <v/>
      </c>
      <c r="Y920" s="307" t="str">
        <f t="shared" si="276"/>
        <v/>
      </c>
      <c r="Z920" s="307">
        <f t="shared" si="271"/>
        <v>0</v>
      </c>
      <c r="AA920" s="366">
        <f t="shared" si="272"/>
        <v>0</v>
      </c>
      <c r="AB920" s="367">
        <f t="shared" si="277"/>
        <v>0</v>
      </c>
      <c r="AC920" s="305">
        <f t="shared" si="278"/>
        <v>0</v>
      </c>
      <c r="AP920" s="89" t="str">
        <f t="shared" si="266"/>
        <v/>
      </c>
      <c r="AQ920" s="89" t="str">
        <f t="shared" si="264"/>
        <v/>
      </c>
      <c r="AR920" s="315" t="str">
        <f t="shared" si="265"/>
        <v/>
      </c>
      <c r="AS920" s="305" t="str">
        <f t="shared" si="279"/>
        <v>0</v>
      </c>
      <c r="AT920" s="307">
        <f>Table22[[#This Row],[Column1]]</f>
        <v>0</v>
      </c>
    </row>
    <row r="921" spans="1:46" x14ac:dyDescent="0.3">
      <c r="A921" s="307">
        <f t="shared" si="273"/>
        <v>0</v>
      </c>
      <c r="B921" s="307">
        <f t="shared" si="262"/>
        <v>0</v>
      </c>
      <c r="C921" s="308" t="s">
        <v>563</v>
      </c>
      <c r="D921" s="309" t="s">
        <v>563</v>
      </c>
      <c r="E921" s="310">
        <v>0</v>
      </c>
      <c r="F921" s="310">
        <v>0</v>
      </c>
      <c r="G921" s="311">
        <v>0</v>
      </c>
      <c r="H921" s="310" t="s">
        <v>563</v>
      </c>
      <c r="I921" s="310" t="s">
        <v>563</v>
      </c>
      <c r="J921" s="310" t="s">
        <v>563</v>
      </c>
      <c r="K921" s="312">
        <v>0</v>
      </c>
      <c r="L921" s="310">
        <v>0</v>
      </c>
      <c r="M921" s="310">
        <v>0</v>
      </c>
      <c r="N921" s="313">
        <v>0</v>
      </c>
      <c r="O921" s="314" t="s">
        <v>563</v>
      </c>
      <c r="P921" s="307">
        <f t="shared" si="267"/>
        <v>0</v>
      </c>
      <c r="R921" s="91" t="str">
        <f t="shared" si="263"/>
        <v/>
      </c>
      <c r="S92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1" s="307" t="str">
        <f t="shared" si="269"/>
        <v/>
      </c>
      <c r="U921" s="315" t="str">
        <f t="shared" si="270"/>
        <v/>
      </c>
      <c r="V921" s="307">
        <f t="shared" si="274"/>
        <v>0</v>
      </c>
      <c r="W921" s="307">
        <f>IFERROR(IF(V921&gt;0,PROPER(Terbilang1(V921)&amp;" Rupiah"),0),"")</f>
        <v>0</v>
      </c>
      <c r="X921" s="90" t="str">
        <f t="shared" si="275"/>
        <v/>
      </c>
      <c r="Y921" s="307" t="str">
        <f t="shared" si="276"/>
        <v/>
      </c>
      <c r="Z921" s="307">
        <f t="shared" si="271"/>
        <v>0</v>
      </c>
      <c r="AA921" s="366">
        <f t="shared" si="272"/>
        <v>0</v>
      </c>
      <c r="AB921" s="367">
        <f t="shared" si="277"/>
        <v>0</v>
      </c>
      <c r="AC921" s="305">
        <f t="shared" si="278"/>
        <v>0</v>
      </c>
      <c r="AP921" s="89" t="str">
        <f t="shared" si="266"/>
        <v/>
      </c>
      <c r="AQ921" s="89" t="str">
        <f t="shared" si="264"/>
        <v/>
      </c>
      <c r="AR921" s="315" t="str">
        <f t="shared" si="265"/>
        <v/>
      </c>
      <c r="AS921" s="305" t="str">
        <f t="shared" si="279"/>
        <v>0</v>
      </c>
      <c r="AT921" s="307">
        <f>Table22[[#This Row],[Column1]]</f>
        <v>0</v>
      </c>
    </row>
    <row r="922" spans="1:46" x14ac:dyDescent="0.3">
      <c r="A922" s="307">
        <f t="shared" si="273"/>
        <v>0</v>
      </c>
      <c r="B922" s="307">
        <f t="shared" si="262"/>
        <v>0</v>
      </c>
      <c r="C922" s="308" t="s">
        <v>563</v>
      </c>
      <c r="D922" s="309" t="s">
        <v>563</v>
      </c>
      <c r="E922" s="310">
        <v>0</v>
      </c>
      <c r="F922" s="310">
        <v>0</v>
      </c>
      <c r="G922" s="311">
        <v>0</v>
      </c>
      <c r="H922" s="310" t="s">
        <v>563</v>
      </c>
      <c r="I922" s="310" t="s">
        <v>563</v>
      </c>
      <c r="J922" s="310" t="s">
        <v>563</v>
      </c>
      <c r="K922" s="312">
        <v>0</v>
      </c>
      <c r="L922" s="310">
        <v>0</v>
      </c>
      <c r="M922" s="310">
        <v>0</v>
      </c>
      <c r="N922" s="313">
        <v>0</v>
      </c>
      <c r="O922" s="314" t="s">
        <v>563</v>
      </c>
      <c r="P922" s="307">
        <f t="shared" si="267"/>
        <v>0</v>
      </c>
      <c r="R922" s="91" t="str">
        <f t="shared" si="263"/>
        <v/>
      </c>
      <c r="S92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2" s="307" t="str">
        <f t="shared" si="269"/>
        <v/>
      </c>
      <c r="U922" s="315" t="str">
        <f t="shared" si="270"/>
        <v/>
      </c>
      <c r="V922" s="307">
        <f t="shared" si="274"/>
        <v>0</v>
      </c>
      <c r="W922" s="307">
        <f>IFERROR(IF(V922&gt;0,PROPER(Terbilang1(V922)&amp;" Rupiah"),0),"")</f>
        <v>0</v>
      </c>
      <c r="X922" s="90" t="str">
        <f t="shared" si="275"/>
        <v/>
      </c>
      <c r="Y922" s="307" t="str">
        <f t="shared" si="276"/>
        <v/>
      </c>
      <c r="Z922" s="307">
        <f t="shared" si="271"/>
        <v>0</v>
      </c>
      <c r="AA922" s="366">
        <f t="shared" si="272"/>
        <v>0</v>
      </c>
      <c r="AB922" s="367">
        <f t="shared" si="277"/>
        <v>0</v>
      </c>
      <c r="AC922" s="305">
        <f t="shared" si="278"/>
        <v>0</v>
      </c>
      <c r="AP922" s="89" t="str">
        <f t="shared" si="266"/>
        <v/>
      </c>
      <c r="AQ922" s="89" t="str">
        <f t="shared" si="264"/>
        <v/>
      </c>
      <c r="AR922" s="315" t="str">
        <f t="shared" si="265"/>
        <v/>
      </c>
      <c r="AS922" s="305" t="str">
        <f t="shared" si="279"/>
        <v>0</v>
      </c>
      <c r="AT922" s="307">
        <f>Table22[[#This Row],[Column1]]</f>
        <v>0</v>
      </c>
    </row>
    <row r="923" spans="1:46" x14ac:dyDescent="0.3">
      <c r="A923" s="307">
        <f t="shared" si="273"/>
        <v>0</v>
      </c>
      <c r="B923" s="307">
        <f t="shared" si="262"/>
        <v>0</v>
      </c>
      <c r="C923" s="308" t="s">
        <v>563</v>
      </c>
      <c r="D923" s="309" t="s">
        <v>563</v>
      </c>
      <c r="E923" s="310">
        <v>0</v>
      </c>
      <c r="F923" s="310">
        <v>0</v>
      </c>
      <c r="G923" s="311">
        <v>0</v>
      </c>
      <c r="H923" s="310" t="s">
        <v>563</v>
      </c>
      <c r="I923" s="310" t="s">
        <v>563</v>
      </c>
      <c r="J923" s="310" t="s">
        <v>563</v>
      </c>
      <c r="K923" s="312">
        <v>0</v>
      </c>
      <c r="L923" s="310">
        <v>0</v>
      </c>
      <c r="M923" s="310">
        <v>0</v>
      </c>
      <c r="N923" s="313">
        <v>0</v>
      </c>
      <c r="O923" s="314" t="s">
        <v>563</v>
      </c>
      <c r="P923" s="307">
        <f t="shared" si="267"/>
        <v>0</v>
      </c>
      <c r="R923" s="91" t="str">
        <f t="shared" si="263"/>
        <v/>
      </c>
      <c r="S92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3" s="307" t="str">
        <f t="shared" si="269"/>
        <v/>
      </c>
      <c r="U923" s="315" t="str">
        <f t="shared" si="270"/>
        <v/>
      </c>
      <c r="V923" s="307">
        <f t="shared" si="274"/>
        <v>0</v>
      </c>
      <c r="W923" s="307">
        <f>IFERROR(IF(V923&gt;0,PROPER(Terbilang1(V923)&amp;" Rupiah"),0),"")</f>
        <v>0</v>
      </c>
      <c r="X923" s="90" t="str">
        <f t="shared" si="275"/>
        <v/>
      </c>
      <c r="Y923" s="307" t="str">
        <f t="shared" si="276"/>
        <v/>
      </c>
      <c r="Z923" s="307">
        <f t="shared" si="271"/>
        <v>0</v>
      </c>
      <c r="AA923" s="366">
        <f t="shared" si="272"/>
        <v>0</v>
      </c>
      <c r="AB923" s="367">
        <f t="shared" si="277"/>
        <v>0</v>
      </c>
      <c r="AC923" s="305">
        <f t="shared" si="278"/>
        <v>0</v>
      </c>
      <c r="AP923" s="89" t="str">
        <f t="shared" si="266"/>
        <v/>
      </c>
      <c r="AQ923" s="89" t="str">
        <f t="shared" si="264"/>
        <v/>
      </c>
      <c r="AR923" s="315" t="str">
        <f t="shared" si="265"/>
        <v/>
      </c>
      <c r="AS923" s="305" t="str">
        <f t="shared" si="279"/>
        <v>0</v>
      </c>
      <c r="AT923" s="307">
        <f>Table22[[#This Row],[Column1]]</f>
        <v>0</v>
      </c>
    </row>
    <row r="924" spans="1:46" x14ac:dyDescent="0.3">
      <c r="A924" s="307">
        <f t="shared" si="273"/>
        <v>0</v>
      </c>
      <c r="B924" s="307">
        <f t="shared" si="262"/>
        <v>0</v>
      </c>
      <c r="C924" s="308" t="s">
        <v>563</v>
      </c>
      <c r="D924" s="309" t="s">
        <v>563</v>
      </c>
      <c r="E924" s="310">
        <v>0</v>
      </c>
      <c r="F924" s="310">
        <v>0</v>
      </c>
      <c r="G924" s="311">
        <v>0</v>
      </c>
      <c r="H924" s="310" t="s">
        <v>563</v>
      </c>
      <c r="I924" s="310" t="s">
        <v>563</v>
      </c>
      <c r="J924" s="310" t="s">
        <v>563</v>
      </c>
      <c r="K924" s="312">
        <v>0</v>
      </c>
      <c r="L924" s="310">
        <v>0</v>
      </c>
      <c r="M924" s="310">
        <v>0</v>
      </c>
      <c r="N924" s="313">
        <v>0</v>
      </c>
      <c r="O924" s="314" t="s">
        <v>563</v>
      </c>
      <c r="P924" s="307">
        <f t="shared" si="267"/>
        <v>0</v>
      </c>
      <c r="R924" s="91" t="str">
        <f t="shared" si="263"/>
        <v/>
      </c>
      <c r="S92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4" s="307" t="str">
        <f t="shared" si="269"/>
        <v/>
      </c>
      <c r="U924" s="315" t="str">
        <f t="shared" si="270"/>
        <v/>
      </c>
      <c r="V924" s="307">
        <f t="shared" si="274"/>
        <v>0</v>
      </c>
      <c r="W924" s="307">
        <f>IFERROR(IF(V924&gt;0,PROPER(Terbilang1(V924)&amp;" Rupiah"),0),"")</f>
        <v>0</v>
      </c>
      <c r="X924" s="90" t="str">
        <f t="shared" si="275"/>
        <v/>
      </c>
      <c r="Y924" s="307" t="str">
        <f t="shared" si="276"/>
        <v/>
      </c>
      <c r="Z924" s="307">
        <f t="shared" si="271"/>
        <v>0</v>
      </c>
      <c r="AA924" s="366">
        <f t="shared" si="272"/>
        <v>0</v>
      </c>
      <c r="AB924" s="367">
        <f t="shared" si="277"/>
        <v>0</v>
      </c>
      <c r="AC924" s="305">
        <f t="shared" si="278"/>
        <v>0</v>
      </c>
      <c r="AP924" s="89" t="str">
        <f t="shared" si="266"/>
        <v/>
      </c>
      <c r="AQ924" s="89" t="str">
        <f t="shared" si="264"/>
        <v/>
      </c>
      <c r="AR924" s="315" t="str">
        <f t="shared" si="265"/>
        <v/>
      </c>
      <c r="AS924" s="305" t="str">
        <f t="shared" si="279"/>
        <v>0</v>
      </c>
      <c r="AT924" s="307">
        <f>Table22[[#This Row],[Column1]]</f>
        <v>0</v>
      </c>
    </row>
    <row r="925" spans="1:46" x14ac:dyDescent="0.3">
      <c r="A925" s="307">
        <f t="shared" si="273"/>
        <v>0</v>
      </c>
      <c r="B925" s="307">
        <f t="shared" si="262"/>
        <v>0</v>
      </c>
      <c r="C925" s="308" t="s">
        <v>563</v>
      </c>
      <c r="D925" s="309" t="s">
        <v>563</v>
      </c>
      <c r="E925" s="310">
        <v>0</v>
      </c>
      <c r="F925" s="310">
        <v>0</v>
      </c>
      <c r="G925" s="311">
        <v>0</v>
      </c>
      <c r="H925" s="310" t="s">
        <v>563</v>
      </c>
      <c r="I925" s="310" t="s">
        <v>563</v>
      </c>
      <c r="J925" s="310" t="s">
        <v>563</v>
      </c>
      <c r="K925" s="312">
        <v>0</v>
      </c>
      <c r="L925" s="310">
        <v>0</v>
      </c>
      <c r="M925" s="310">
        <v>0</v>
      </c>
      <c r="N925" s="313">
        <v>0</v>
      </c>
      <c r="O925" s="314" t="s">
        <v>563</v>
      </c>
      <c r="P925" s="307">
        <f t="shared" si="267"/>
        <v>0</v>
      </c>
      <c r="R925" s="91" t="str">
        <f t="shared" si="263"/>
        <v/>
      </c>
      <c r="S92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5" s="307" t="str">
        <f t="shared" si="269"/>
        <v/>
      </c>
      <c r="U925" s="315" t="str">
        <f t="shared" si="270"/>
        <v/>
      </c>
      <c r="V925" s="307">
        <f t="shared" si="274"/>
        <v>0</v>
      </c>
      <c r="W925" s="307">
        <f>IFERROR(IF(V925&gt;0,PROPER(Terbilang1(V925)&amp;" Rupiah"),0),"")</f>
        <v>0</v>
      </c>
      <c r="X925" s="90" t="str">
        <f t="shared" si="275"/>
        <v/>
      </c>
      <c r="Y925" s="307" t="str">
        <f t="shared" si="276"/>
        <v/>
      </c>
      <c r="Z925" s="307">
        <f t="shared" si="271"/>
        <v>0</v>
      </c>
      <c r="AA925" s="366">
        <f t="shared" si="272"/>
        <v>0</v>
      </c>
      <c r="AB925" s="367">
        <f t="shared" si="277"/>
        <v>0</v>
      </c>
      <c r="AC925" s="305">
        <f t="shared" si="278"/>
        <v>0</v>
      </c>
      <c r="AP925" s="89" t="str">
        <f t="shared" si="266"/>
        <v/>
      </c>
      <c r="AQ925" s="89" t="str">
        <f t="shared" si="264"/>
        <v/>
      </c>
      <c r="AR925" s="315" t="str">
        <f t="shared" si="265"/>
        <v/>
      </c>
      <c r="AS925" s="305" t="str">
        <f t="shared" si="279"/>
        <v>0</v>
      </c>
      <c r="AT925" s="307">
        <f>Table22[[#This Row],[Column1]]</f>
        <v>0</v>
      </c>
    </row>
    <row r="926" spans="1:46" x14ac:dyDescent="0.3">
      <c r="A926" s="307">
        <f t="shared" si="273"/>
        <v>0</v>
      </c>
      <c r="B926" s="307">
        <f t="shared" si="262"/>
        <v>0</v>
      </c>
      <c r="C926" s="308" t="s">
        <v>563</v>
      </c>
      <c r="D926" s="309" t="s">
        <v>563</v>
      </c>
      <c r="E926" s="310">
        <v>0</v>
      </c>
      <c r="F926" s="310">
        <v>0</v>
      </c>
      <c r="G926" s="311">
        <v>0</v>
      </c>
      <c r="H926" s="310" t="s">
        <v>563</v>
      </c>
      <c r="I926" s="310" t="s">
        <v>563</v>
      </c>
      <c r="J926" s="310" t="s">
        <v>563</v>
      </c>
      <c r="K926" s="312">
        <v>0</v>
      </c>
      <c r="L926" s="310">
        <v>0</v>
      </c>
      <c r="M926" s="310">
        <v>0</v>
      </c>
      <c r="N926" s="313">
        <v>0</v>
      </c>
      <c r="O926" s="314" t="s">
        <v>563</v>
      </c>
      <c r="P926" s="307">
        <f t="shared" si="267"/>
        <v>0</v>
      </c>
      <c r="R926" s="91" t="str">
        <f t="shared" si="263"/>
        <v/>
      </c>
      <c r="S92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6" s="307" t="str">
        <f t="shared" si="269"/>
        <v/>
      </c>
      <c r="U926" s="315" t="str">
        <f t="shared" si="270"/>
        <v/>
      </c>
      <c r="V926" s="307">
        <f t="shared" si="274"/>
        <v>0</v>
      </c>
      <c r="W926" s="307">
        <f>IFERROR(IF(V926&gt;0,PROPER(Terbilang1(V926)&amp;" Rupiah"),0),"")</f>
        <v>0</v>
      </c>
      <c r="X926" s="90" t="str">
        <f t="shared" si="275"/>
        <v/>
      </c>
      <c r="Y926" s="307" t="str">
        <f t="shared" si="276"/>
        <v/>
      </c>
      <c r="Z926" s="307">
        <f t="shared" si="271"/>
        <v>0</v>
      </c>
      <c r="AA926" s="366">
        <f t="shared" si="272"/>
        <v>0</v>
      </c>
      <c r="AB926" s="367">
        <f t="shared" si="277"/>
        <v>0</v>
      </c>
      <c r="AC926" s="305">
        <f t="shared" si="278"/>
        <v>0</v>
      </c>
      <c r="AP926" s="89" t="str">
        <f t="shared" si="266"/>
        <v/>
      </c>
      <c r="AQ926" s="89" t="str">
        <f t="shared" si="264"/>
        <v/>
      </c>
      <c r="AR926" s="315" t="str">
        <f t="shared" si="265"/>
        <v/>
      </c>
      <c r="AS926" s="305" t="str">
        <f t="shared" si="279"/>
        <v>0</v>
      </c>
      <c r="AT926" s="307">
        <f>Table22[[#This Row],[Column1]]</f>
        <v>0</v>
      </c>
    </row>
    <row r="927" spans="1:46" x14ac:dyDescent="0.3">
      <c r="A927" s="307">
        <f t="shared" si="273"/>
        <v>0</v>
      </c>
      <c r="B927" s="307">
        <f t="shared" si="262"/>
        <v>0</v>
      </c>
      <c r="C927" s="308" t="s">
        <v>563</v>
      </c>
      <c r="D927" s="309" t="s">
        <v>563</v>
      </c>
      <c r="E927" s="310">
        <v>0</v>
      </c>
      <c r="F927" s="310">
        <v>0</v>
      </c>
      <c r="G927" s="311">
        <v>0</v>
      </c>
      <c r="H927" s="310" t="s">
        <v>563</v>
      </c>
      <c r="I927" s="310" t="s">
        <v>563</v>
      </c>
      <c r="J927" s="310" t="s">
        <v>563</v>
      </c>
      <c r="K927" s="312">
        <v>0</v>
      </c>
      <c r="L927" s="310">
        <v>0</v>
      </c>
      <c r="M927" s="310">
        <v>0</v>
      </c>
      <c r="N927" s="313">
        <v>0</v>
      </c>
      <c r="O927" s="314" t="s">
        <v>563</v>
      </c>
      <c r="P927" s="307">
        <f t="shared" si="267"/>
        <v>0</v>
      </c>
      <c r="R927" s="91" t="str">
        <f t="shared" si="263"/>
        <v/>
      </c>
      <c r="S92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7" s="307" t="str">
        <f t="shared" si="269"/>
        <v/>
      </c>
      <c r="U927" s="315" t="str">
        <f t="shared" si="270"/>
        <v/>
      </c>
      <c r="V927" s="307">
        <f t="shared" si="274"/>
        <v>0</v>
      </c>
      <c r="W927" s="307">
        <f>IFERROR(IF(V927&gt;0,PROPER(Terbilang1(V927)&amp;" Rupiah"),0),"")</f>
        <v>0</v>
      </c>
      <c r="X927" s="90" t="str">
        <f t="shared" si="275"/>
        <v/>
      </c>
      <c r="Y927" s="307" t="str">
        <f t="shared" si="276"/>
        <v/>
      </c>
      <c r="Z927" s="307">
        <f t="shared" si="271"/>
        <v>0</v>
      </c>
      <c r="AA927" s="366">
        <f t="shared" si="272"/>
        <v>0</v>
      </c>
      <c r="AB927" s="367">
        <f t="shared" si="277"/>
        <v>0</v>
      </c>
      <c r="AC927" s="305">
        <f t="shared" si="278"/>
        <v>0</v>
      </c>
      <c r="AP927" s="89" t="str">
        <f t="shared" si="266"/>
        <v/>
      </c>
      <c r="AQ927" s="89" t="str">
        <f t="shared" si="264"/>
        <v/>
      </c>
      <c r="AR927" s="315" t="str">
        <f t="shared" si="265"/>
        <v/>
      </c>
      <c r="AS927" s="305" t="str">
        <f t="shared" si="279"/>
        <v>0</v>
      </c>
      <c r="AT927" s="307">
        <f>Table22[[#This Row],[Column1]]</f>
        <v>0</v>
      </c>
    </row>
    <row r="928" spans="1:46" x14ac:dyDescent="0.3">
      <c r="A928" s="307">
        <f t="shared" si="273"/>
        <v>0</v>
      </c>
      <c r="B928" s="307">
        <f t="shared" si="262"/>
        <v>0</v>
      </c>
      <c r="C928" s="308" t="s">
        <v>563</v>
      </c>
      <c r="D928" s="309" t="s">
        <v>563</v>
      </c>
      <c r="E928" s="310">
        <v>0</v>
      </c>
      <c r="F928" s="310">
        <v>0</v>
      </c>
      <c r="G928" s="311">
        <v>0</v>
      </c>
      <c r="H928" s="310" t="s">
        <v>563</v>
      </c>
      <c r="I928" s="310" t="s">
        <v>563</v>
      </c>
      <c r="J928" s="310" t="s">
        <v>563</v>
      </c>
      <c r="K928" s="312">
        <v>0</v>
      </c>
      <c r="L928" s="310">
        <v>0</v>
      </c>
      <c r="M928" s="310">
        <v>0</v>
      </c>
      <c r="N928" s="313">
        <v>0</v>
      </c>
      <c r="O928" s="314" t="s">
        <v>563</v>
      </c>
      <c r="P928" s="307">
        <f t="shared" si="267"/>
        <v>0</v>
      </c>
      <c r="R928" s="91" t="str">
        <f t="shared" si="263"/>
        <v/>
      </c>
      <c r="S92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8" s="307" t="str">
        <f t="shared" si="269"/>
        <v/>
      </c>
      <c r="U928" s="315" t="str">
        <f t="shared" si="270"/>
        <v/>
      </c>
      <c r="V928" s="307">
        <f t="shared" si="274"/>
        <v>0</v>
      </c>
      <c r="W928" s="307">
        <f>IFERROR(IF(V928&gt;0,PROPER(Terbilang1(V928)&amp;" Rupiah"),0),"")</f>
        <v>0</v>
      </c>
      <c r="X928" s="90" t="str">
        <f t="shared" si="275"/>
        <v/>
      </c>
      <c r="Y928" s="307" t="str">
        <f t="shared" si="276"/>
        <v/>
      </c>
      <c r="Z928" s="307">
        <f t="shared" si="271"/>
        <v>0</v>
      </c>
      <c r="AA928" s="366">
        <f t="shared" si="272"/>
        <v>0</v>
      </c>
      <c r="AB928" s="367">
        <f t="shared" si="277"/>
        <v>0</v>
      </c>
      <c r="AC928" s="305">
        <f t="shared" si="278"/>
        <v>0</v>
      </c>
      <c r="AP928" s="89" t="str">
        <f t="shared" si="266"/>
        <v/>
      </c>
      <c r="AQ928" s="89" t="str">
        <f t="shared" si="264"/>
        <v/>
      </c>
      <c r="AR928" s="315" t="str">
        <f t="shared" si="265"/>
        <v/>
      </c>
      <c r="AS928" s="305" t="str">
        <f t="shared" si="279"/>
        <v>0</v>
      </c>
      <c r="AT928" s="307">
        <f>Table22[[#This Row],[Column1]]</f>
        <v>0</v>
      </c>
    </row>
    <row r="929" spans="1:46" x14ac:dyDescent="0.3">
      <c r="A929" s="307">
        <f t="shared" si="273"/>
        <v>0</v>
      </c>
      <c r="B929" s="307">
        <f t="shared" si="262"/>
        <v>0</v>
      </c>
      <c r="C929" s="308" t="s">
        <v>563</v>
      </c>
      <c r="D929" s="309" t="s">
        <v>563</v>
      </c>
      <c r="E929" s="310">
        <v>0</v>
      </c>
      <c r="F929" s="310">
        <v>0</v>
      </c>
      <c r="G929" s="311">
        <v>0</v>
      </c>
      <c r="H929" s="310" t="s">
        <v>563</v>
      </c>
      <c r="I929" s="310" t="s">
        <v>563</v>
      </c>
      <c r="J929" s="310" t="s">
        <v>563</v>
      </c>
      <c r="K929" s="312">
        <v>0</v>
      </c>
      <c r="L929" s="310">
        <v>0</v>
      </c>
      <c r="M929" s="310">
        <v>0</v>
      </c>
      <c r="N929" s="313">
        <v>0</v>
      </c>
      <c r="O929" s="314" t="s">
        <v>563</v>
      </c>
      <c r="P929" s="307">
        <f t="shared" si="267"/>
        <v>0</v>
      </c>
      <c r="R929" s="91" t="str">
        <f t="shared" si="263"/>
        <v/>
      </c>
      <c r="S92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29" s="307" t="str">
        <f t="shared" si="269"/>
        <v/>
      </c>
      <c r="U929" s="315" t="str">
        <f t="shared" si="270"/>
        <v/>
      </c>
      <c r="V929" s="307">
        <f t="shared" si="274"/>
        <v>0</v>
      </c>
      <c r="W929" s="307">
        <f>IFERROR(IF(V929&gt;0,PROPER(Terbilang1(V929)&amp;" Rupiah"),0),"")</f>
        <v>0</v>
      </c>
      <c r="X929" s="90" t="str">
        <f t="shared" si="275"/>
        <v/>
      </c>
      <c r="Y929" s="307" t="str">
        <f t="shared" si="276"/>
        <v/>
      </c>
      <c r="Z929" s="307">
        <f t="shared" si="271"/>
        <v>0</v>
      </c>
      <c r="AA929" s="366">
        <f t="shared" si="272"/>
        <v>0</v>
      </c>
      <c r="AB929" s="367">
        <f t="shared" si="277"/>
        <v>0</v>
      </c>
      <c r="AC929" s="305">
        <f t="shared" si="278"/>
        <v>0</v>
      </c>
      <c r="AP929" s="89" t="str">
        <f t="shared" si="266"/>
        <v/>
      </c>
      <c r="AQ929" s="89" t="str">
        <f t="shared" si="264"/>
        <v/>
      </c>
      <c r="AR929" s="315" t="str">
        <f t="shared" si="265"/>
        <v/>
      </c>
      <c r="AS929" s="305" t="str">
        <f t="shared" si="279"/>
        <v>0</v>
      </c>
      <c r="AT929" s="307">
        <f>Table22[[#This Row],[Column1]]</f>
        <v>0</v>
      </c>
    </row>
    <row r="930" spans="1:46" x14ac:dyDescent="0.3">
      <c r="A930" s="307">
        <f t="shared" si="273"/>
        <v>0</v>
      </c>
      <c r="B930" s="307">
        <f t="shared" si="262"/>
        <v>0</v>
      </c>
      <c r="C930" s="308" t="s">
        <v>563</v>
      </c>
      <c r="D930" s="309" t="s">
        <v>563</v>
      </c>
      <c r="E930" s="310">
        <v>0</v>
      </c>
      <c r="F930" s="310">
        <v>0</v>
      </c>
      <c r="G930" s="311">
        <v>0</v>
      </c>
      <c r="H930" s="310" t="s">
        <v>563</v>
      </c>
      <c r="I930" s="310" t="s">
        <v>563</v>
      </c>
      <c r="J930" s="310" t="s">
        <v>563</v>
      </c>
      <c r="K930" s="312">
        <v>0</v>
      </c>
      <c r="L930" s="310">
        <v>0</v>
      </c>
      <c r="M930" s="310">
        <v>0</v>
      </c>
      <c r="N930" s="313">
        <v>0</v>
      </c>
      <c r="O930" s="314" t="s">
        <v>563</v>
      </c>
      <c r="P930" s="307">
        <f t="shared" si="267"/>
        <v>0</v>
      </c>
      <c r="R930" s="91" t="str">
        <f t="shared" si="263"/>
        <v/>
      </c>
      <c r="S93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0" s="307" t="str">
        <f t="shared" si="269"/>
        <v/>
      </c>
      <c r="U930" s="315" t="str">
        <f t="shared" si="270"/>
        <v/>
      </c>
      <c r="V930" s="307">
        <f t="shared" si="274"/>
        <v>0</v>
      </c>
      <c r="W930" s="307">
        <f>IFERROR(IF(V930&gt;0,PROPER(Terbilang1(V930)&amp;" Rupiah"),0),"")</f>
        <v>0</v>
      </c>
      <c r="X930" s="90" t="str">
        <f t="shared" si="275"/>
        <v/>
      </c>
      <c r="Y930" s="307" t="str">
        <f t="shared" si="276"/>
        <v/>
      </c>
      <c r="Z930" s="307">
        <f t="shared" si="271"/>
        <v>0</v>
      </c>
      <c r="AA930" s="366">
        <f t="shared" si="272"/>
        <v>0</v>
      </c>
      <c r="AB930" s="367">
        <f t="shared" si="277"/>
        <v>0</v>
      </c>
      <c r="AC930" s="305">
        <f t="shared" si="278"/>
        <v>0</v>
      </c>
      <c r="AP930" s="89" t="str">
        <f t="shared" si="266"/>
        <v/>
      </c>
      <c r="AQ930" s="89" t="str">
        <f t="shared" si="264"/>
        <v/>
      </c>
      <c r="AR930" s="315" t="str">
        <f t="shared" si="265"/>
        <v/>
      </c>
      <c r="AS930" s="305" t="str">
        <f t="shared" si="279"/>
        <v>0</v>
      </c>
      <c r="AT930" s="307">
        <f>Table22[[#This Row],[Column1]]</f>
        <v>0</v>
      </c>
    </row>
    <row r="931" spans="1:46" x14ac:dyDescent="0.3">
      <c r="A931" s="307">
        <f t="shared" si="273"/>
        <v>0</v>
      </c>
      <c r="B931" s="307">
        <f t="shared" si="262"/>
        <v>0</v>
      </c>
      <c r="C931" s="308" t="s">
        <v>563</v>
      </c>
      <c r="D931" s="309" t="s">
        <v>563</v>
      </c>
      <c r="E931" s="310">
        <v>0</v>
      </c>
      <c r="F931" s="310">
        <v>0</v>
      </c>
      <c r="G931" s="311">
        <v>0</v>
      </c>
      <c r="H931" s="310" t="s">
        <v>563</v>
      </c>
      <c r="I931" s="310" t="s">
        <v>563</v>
      </c>
      <c r="J931" s="310" t="s">
        <v>563</v>
      </c>
      <c r="K931" s="312">
        <v>0</v>
      </c>
      <c r="L931" s="310">
        <v>0</v>
      </c>
      <c r="M931" s="310">
        <v>0</v>
      </c>
      <c r="N931" s="313">
        <v>0</v>
      </c>
      <c r="O931" s="314" t="s">
        <v>563</v>
      </c>
      <c r="P931" s="307">
        <f t="shared" si="267"/>
        <v>0</v>
      </c>
      <c r="R931" s="91" t="str">
        <f t="shared" si="263"/>
        <v/>
      </c>
      <c r="S93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1" s="307" t="str">
        <f t="shared" si="269"/>
        <v/>
      </c>
      <c r="U931" s="315" t="str">
        <f t="shared" si="270"/>
        <v/>
      </c>
      <c r="V931" s="307">
        <f t="shared" si="274"/>
        <v>0</v>
      </c>
      <c r="W931" s="307">
        <f>IFERROR(IF(V931&gt;0,PROPER(Terbilang1(V931)&amp;" Rupiah"),0),"")</f>
        <v>0</v>
      </c>
      <c r="X931" s="90" t="str">
        <f t="shared" si="275"/>
        <v/>
      </c>
      <c r="Y931" s="307" t="str">
        <f t="shared" si="276"/>
        <v/>
      </c>
      <c r="Z931" s="307">
        <f t="shared" si="271"/>
        <v>0</v>
      </c>
      <c r="AA931" s="366">
        <f t="shared" si="272"/>
        <v>0</v>
      </c>
      <c r="AB931" s="367">
        <f t="shared" si="277"/>
        <v>0</v>
      </c>
      <c r="AC931" s="305">
        <f t="shared" si="278"/>
        <v>0</v>
      </c>
      <c r="AP931" s="89" t="str">
        <f t="shared" si="266"/>
        <v/>
      </c>
      <c r="AQ931" s="89" t="str">
        <f t="shared" si="264"/>
        <v/>
      </c>
      <c r="AR931" s="315" t="str">
        <f t="shared" si="265"/>
        <v/>
      </c>
      <c r="AS931" s="305" t="str">
        <f t="shared" si="279"/>
        <v>0</v>
      </c>
      <c r="AT931" s="307">
        <f>Table22[[#This Row],[Column1]]</f>
        <v>0</v>
      </c>
    </row>
    <row r="932" spans="1:46" x14ac:dyDescent="0.3">
      <c r="A932" s="307">
        <f t="shared" si="273"/>
        <v>0</v>
      </c>
      <c r="B932" s="307">
        <f t="shared" si="262"/>
        <v>0</v>
      </c>
      <c r="C932" s="308" t="s">
        <v>563</v>
      </c>
      <c r="D932" s="309" t="s">
        <v>563</v>
      </c>
      <c r="E932" s="310">
        <v>0</v>
      </c>
      <c r="F932" s="310">
        <v>0</v>
      </c>
      <c r="G932" s="311">
        <v>0</v>
      </c>
      <c r="H932" s="310" t="s">
        <v>563</v>
      </c>
      <c r="I932" s="310" t="s">
        <v>563</v>
      </c>
      <c r="J932" s="310" t="s">
        <v>563</v>
      </c>
      <c r="K932" s="312">
        <v>0</v>
      </c>
      <c r="L932" s="310">
        <v>0</v>
      </c>
      <c r="M932" s="310">
        <v>0</v>
      </c>
      <c r="N932" s="313">
        <v>0</v>
      </c>
      <c r="O932" s="314" t="s">
        <v>563</v>
      </c>
      <c r="P932" s="307">
        <f t="shared" si="267"/>
        <v>0</v>
      </c>
      <c r="R932" s="91" t="str">
        <f t="shared" si="263"/>
        <v/>
      </c>
      <c r="S93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2" s="307" t="str">
        <f t="shared" si="269"/>
        <v/>
      </c>
      <c r="U932" s="315" t="str">
        <f t="shared" si="270"/>
        <v/>
      </c>
      <c r="V932" s="307">
        <f t="shared" si="274"/>
        <v>0</v>
      </c>
      <c r="W932" s="307">
        <f>IFERROR(IF(V932&gt;0,PROPER(Terbilang1(V932)&amp;" Rupiah"),0),"")</f>
        <v>0</v>
      </c>
      <c r="X932" s="90" t="str">
        <f t="shared" si="275"/>
        <v/>
      </c>
      <c r="Y932" s="307" t="str">
        <f t="shared" si="276"/>
        <v/>
      </c>
      <c r="Z932" s="307">
        <f t="shared" si="271"/>
        <v>0</v>
      </c>
      <c r="AA932" s="366">
        <f t="shared" si="272"/>
        <v>0</v>
      </c>
      <c r="AB932" s="367">
        <f t="shared" si="277"/>
        <v>0</v>
      </c>
      <c r="AC932" s="305">
        <f t="shared" si="278"/>
        <v>0</v>
      </c>
      <c r="AP932" s="89" t="str">
        <f t="shared" si="266"/>
        <v/>
      </c>
      <c r="AQ932" s="89" t="str">
        <f t="shared" si="264"/>
        <v/>
      </c>
      <c r="AR932" s="315" t="str">
        <f t="shared" si="265"/>
        <v/>
      </c>
      <c r="AS932" s="305" t="str">
        <f t="shared" si="279"/>
        <v>0</v>
      </c>
      <c r="AT932" s="307">
        <f>Table22[[#This Row],[Column1]]</f>
        <v>0</v>
      </c>
    </row>
    <row r="933" spans="1:46" x14ac:dyDescent="0.3">
      <c r="A933" s="307">
        <f t="shared" si="273"/>
        <v>0</v>
      </c>
      <c r="B933" s="307">
        <f t="shared" ref="B933:B996" si="280">IF(LEFT(F933,2)="MA","Jasa",IF(LEFT(F933,1)="G","Bayar Ongkos",IF(LEFT(F933,1)="M","Beli",0)))</f>
        <v>0</v>
      </c>
      <c r="C933" s="308" t="s">
        <v>563</v>
      </c>
      <c r="D933" s="309" t="s">
        <v>563</v>
      </c>
      <c r="E933" s="310">
        <v>0</v>
      </c>
      <c r="F933" s="310">
        <v>0</v>
      </c>
      <c r="G933" s="311">
        <v>0</v>
      </c>
      <c r="H933" s="310" t="s">
        <v>563</v>
      </c>
      <c r="I933" s="310" t="s">
        <v>563</v>
      </c>
      <c r="J933" s="310" t="s">
        <v>563</v>
      </c>
      <c r="K933" s="312">
        <v>0</v>
      </c>
      <c r="L933" s="310">
        <v>0</v>
      </c>
      <c r="M933" s="310">
        <v>0</v>
      </c>
      <c r="N933" s="313">
        <v>0</v>
      </c>
      <c r="O933" s="314" t="s">
        <v>563</v>
      </c>
      <c r="P933" s="307">
        <f t="shared" si="267"/>
        <v>0</v>
      </c>
      <c r="R933" s="91" t="str">
        <f t="shared" ref="R933:R996" si="281">IF(LEFT(F933,2)="ma",F933,IF(LEFT(F933,1)="m",E933,IF(LEFT(F933,1)="b",E933,IF(LEFT(F933,1)="G",F933,""))))</f>
        <v/>
      </c>
      <c r="S93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3" s="307" t="str">
        <f t="shared" si="269"/>
        <v/>
      </c>
      <c r="U933" s="315" t="str">
        <f t="shared" si="270"/>
        <v/>
      </c>
      <c r="V933" s="307">
        <f t="shared" si="274"/>
        <v>0</v>
      </c>
      <c r="W933" s="307">
        <f>IFERROR(IF(V933&gt;0,PROPER(Terbilang1(V933)&amp;" Rupiah"),0),"")</f>
        <v>0</v>
      </c>
      <c r="X933" s="90" t="str">
        <f t="shared" si="275"/>
        <v/>
      </c>
      <c r="Y933" s="307" t="str">
        <f t="shared" si="276"/>
        <v/>
      </c>
      <c r="Z933" s="307">
        <f t="shared" si="271"/>
        <v>0</v>
      </c>
      <c r="AA933" s="366">
        <f t="shared" si="272"/>
        <v>0</v>
      </c>
      <c r="AB933" s="367">
        <f t="shared" si="277"/>
        <v>0</v>
      </c>
      <c r="AC933" s="305">
        <f t="shared" si="278"/>
        <v>0</v>
      </c>
      <c r="AP933" s="89" t="str">
        <f t="shared" si="266"/>
        <v/>
      </c>
      <c r="AQ933" s="89" t="str">
        <f t="shared" si="264"/>
        <v/>
      </c>
      <c r="AR933" s="315" t="str">
        <f t="shared" si="265"/>
        <v/>
      </c>
      <c r="AS933" s="305" t="str">
        <f t="shared" si="279"/>
        <v>0</v>
      </c>
      <c r="AT933" s="307">
        <f>Table22[[#This Row],[Column1]]</f>
        <v>0</v>
      </c>
    </row>
    <row r="934" spans="1:46" x14ac:dyDescent="0.3">
      <c r="A934" s="307">
        <f t="shared" si="273"/>
        <v>0</v>
      </c>
      <c r="B934" s="307">
        <f t="shared" si="280"/>
        <v>0</v>
      </c>
      <c r="C934" s="308" t="s">
        <v>563</v>
      </c>
      <c r="D934" s="309" t="s">
        <v>563</v>
      </c>
      <c r="E934" s="310">
        <v>0</v>
      </c>
      <c r="F934" s="310">
        <v>0</v>
      </c>
      <c r="G934" s="311">
        <v>0</v>
      </c>
      <c r="H934" s="310" t="s">
        <v>563</v>
      </c>
      <c r="I934" s="310" t="s">
        <v>563</v>
      </c>
      <c r="J934" s="310" t="s">
        <v>563</v>
      </c>
      <c r="K934" s="312">
        <v>0</v>
      </c>
      <c r="L934" s="310">
        <v>0</v>
      </c>
      <c r="M934" s="310">
        <v>0</v>
      </c>
      <c r="N934" s="313">
        <v>0</v>
      </c>
      <c r="O934" s="314" t="s">
        <v>563</v>
      </c>
      <c r="P934" s="307">
        <f t="shared" si="267"/>
        <v>0</v>
      </c>
      <c r="R934" s="91" t="str">
        <f t="shared" si="281"/>
        <v/>
      </c>
      <c r="S93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4" s="307" t="str">
        <f t="shared" si="269"/>
        <v/>
      </c>
      <c r="U934" s="315" t="str">
        <f t="shared" si="270"/>
        <v/>
      </c>
      <c r="V934" s="307">
        <f t="shared" si="274"/>
        <v>0</v>
      </c>
      <c r="W934" s="307">
        <f>IFERROR(IF(V934&gt;0,PROPER(Terbilang1(V934)&amp;" Rupiah"),0),"")</f>
        <v>0</v>
      </c>
      <c r="X934" s="90" t="str">
        <f t="shared" si="275"/>
        <v/>
      </c>
      <c r="Y934" s="307" t="str">
        <f t="shared" si="276"/>
        <v/>
      </c>
      <c r="Z934" s="307">
        <f t="shared" si="271"/>
        <v>0</v>
      </c>
      <c r="AA934" s="366">
        <f t="shared" si="272"/>
        <v>0</v>
      </c>
      <c r="AB934" s="367">
        <f t="shared" si="277"/>
        <v>0</v>
      </c>
      <c r="AC934" s="305">
        <f t="shared" si="278"/>
        <v>0</v>
      </c>
      <c r="AP934" s="89" t="str">
        <f t="shared" si="266"/>
        <v/>
      </c>
      <c r="AQ934" s="89" t="str">
        <f t="shared" si="264"/>
        <v/>
      </c>
      <c r="AR934" s="315" t="str">
        <f t="shared" si="265"/>
        <v/>
      </c>
      <c r="AS934" s="305" t="str">
        <f t="shared" si="279"/>
        <v>0</v>
      </c>
      <c r="AT934" s="307">
        <f>Table22[[#This Row],[Column1]]</f>
        <v>0</v>
      </c>
    </row>
    <row r="935" spans="1:46" x14ac:dyDescent="0.3">
      <c r="A935" s="307">
        <f t="shared" si="273"/>
        <v>0</v>
      </c>
      <c r="B935" s="307">
        <f t="shared" si="280"/>
        <v>0</v>
      </c>
      <c r="C935" s="308" t="s">
        <v>563</v>
      </c>
      <c r="D935" s="309" t="s">
        <v>563</v>
      </c>
      <c r="E935" s="310">
        <v>0</v>
      </c>
      <c r="F935" s="310">
        <v>0</v>
      </c>
      <c r="G935" s="311">
        <v>0</v>
      </c>
      <c r="H935" s="310" t="s">
        <v>563</v>
      </c>
      <c r="I935" s="310" t="s">
        <v>563</v>
      </c>
      <c r="J935" s="310" t="s">
        <v>563</v>
      </c>
      <c r="K935" s="312">
        <v>0</v>
      </c>
      <c r="L935" s="310">
        <v>0</v>
      </c>
      <c r="M935" s="310">
        <v>0</v>
      </c>
      <c r="N935" s="313">
        <v>0</v>
      </c>
      <c r="O935" s="314" t="s">
        <v>563</v>
      </c>
      <c r="P935" s="307">
        <f t="shared" si="267"/>
        <v>0</v>
      </c>
      <c r="R935" s="91" t="str">
        <f t="shared" si="281"/>
        <v/>
      </c>
      <c r="S93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5" s="307" t="str">
        <f t="shared" si="269"/>
        <v/>
      </c>
      <c r="U935" s="315" t="str">
        <f t="shared" si="270"/>
        <v/>
      </c>
      <c r="V935" s="307">
        <f t="shared" si="274"/>
        <v>0</v>
      </c>
      <c r="W935" s="307">
        <f>IFERROR(IF(V935&gt;0,PROPER(Terbilang1(V935)&amp;" Rupiah"),0),"")</f>
        <v>0</v>
      </c>
      <c r="X935" s="90" t="str">
        <f t="shared" si="275"/>
        <v/>
      </c>
      <c r="Y935" s="307" t="str">
        <f t="shared" si="276"/>
        <v/>
      </c>
      <c r="Z935" s="307">
        <f t="shared" si="271"/>
        <v>0</v>
      </c>
      <c r="AA935" s="366">
        <f t="shared" si="272"/>
        <v>0</v>
      </c>
      <c r="AB935" s="367">
        <f t="shared" si="277"/>
        <v>0</v>
      </c>
      <c r="AC935" s="305">
        <f t="shared" si="278"/>
        <v>0</v>
      </c>
      <c r="AP935" s="89" t="str">
        <f t="shared" si="266"/>
        <v/>
      </c>
      <c r="AQ935" s="89" t="str">
        <f t="shared" si="264"/>
        <v/>
      </c>
      <c r="AR935" s="315" t="str">
        <f t="shared" si="265"/>
        <v/>
      </c>
      <c r="AS935" s="305" t="str">
        <f t="shared" si="279"/>
        <v>0</v>
      </c>
      <c r="AT935" s="307">
        <f>Table22[[#This Row],[Column1]]</f>
        <v>0</v>
      </c>
    </row>
    <row r="936" spans="1:46" x14ac:dyDescent="0.3">
      <c r="A936" s="307">
        <f t="shared" si="273"/>
        <v>0</v>
      </c>
      <c r="B936" s="307">
        <f t="shared" si="280"/>
        <v>0</v>
      </c>
      <c r="C936" s="308" t="s">
        <v>563</v>
      </c>
      <c r="D936" s="309" t="s">
        <v>563</v>
      </c>
      <c r="E936" s="310">
        <v>0</v>
      </c>
      <c r="F936" s="310">
        <v>0</v>
      </c>
      <c r="G936" s="311">
        <v>0</v>
      </c>
      <c r="H936" s="310" t="s">
        <v>563</v>
      </c>
      <c r="I936" s="310" t="s">
        <v>563</v>
      </c>
      <c r="J936" s="310" t="s">
        <v>563</v>
      </c>
      <c r="K936" s="312">
        <v>0</v>
      </c>
      <c r="L936" s="310">
        <v>0</v>
      </c>
      <c r="M936" s="310">
        <v>0</v>
      </c>
      <c r="N936" s="313">
        <v>0</v>
      </c>
      <c r="O936" s="314" t="s">
        <v>563</v>
      </c>
      <c r="P936" s="307">
        <f t="shared" si="267"/>
        <v>0</v>
      </c>
      <c r="R936" s="91" t="str">
        <f t="shared" si="281"/>
        <v/>
      </c>
      <c r="S93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6" s="307" t="str">
        <f t="shared" si="269"/>
        <v/>
      </c>
      <c r="U936" s="315" t="str">
        <f t="shared" si="270"/>
        <v/>
      </c>
      <c r="V936" s="307">
        <f t="shared" si="274"/>
        <v>0</v>
      </c>
      <c r="W936" s="307">
        <f>IFERROR(IF(V936&gt;0,PROPER(Terbilang1(V936)&amp;" Rupiah"),0),"")</f>
        <v>0</v>
      </c>
      <c r="X936" s="90" t="str">
        <f t="shared" si="275"/>
        <v/>
      </c>
      <c r="Y936" s="307" t="str">
        <f t="shared" si="276"/>
        <v/>
      </c>
      <c r="Z936" s="307">
        <f t="shared" si="271"/>
        <v>0</v>
      </c>
      <c r="AA936" s="366">
        <f t="shared" si="272"/>
        <v>0</v>
      </c>
      <c r="AB936" s="367">
        <f t="shared" si="277"/>
        <v>0</v>
      </c>
      <c r="AC936" s="305">
        <f t="shared" si="278"/>
        <v>0</v>
      </c>
      <c r="AP936" s="89" t="str">
        <f t="shared" si="266"/>
        <v/>
      </c>
      <c r="AQ936" s="89" t="str">
        <f t="shared" ref="AQ936:AQ999" si="282">TEXT(AR936,"MM")</f>
        <v/>
      </c>
      <c r="AR936" s="315" t="str">
        <f t="shared" si="265"/>
        <v/>
      </c>
      <c r="AS936" s="305" t="str">
        <f t="shared" si="279"/>
        <v>0</v>
      </c>
      <c r="AT936" s="307">
        <f>Table22[[#This Row],[Column1]]</f>
        <v>0</v>
      </c>
    </row>
    <row r="937" spans="1:46" x14ac:dyDescent="0.3">
      <c r="A937" s="307">
        <f t="shared" si="273"/>
        <v>0</v>
      </c>
      <c r="B937" s="307">
        <f t="shared" si="280"/>
        <v>0</v>
      </c>
      <c r="C937" s="308" t="s">
        <v>563</v>
      </c>
      <c r="D937" s="309" t="s">
        <v>563</v>
      </c>
      <c r="E937" s="310">
        <v>0</v>
      </c>
      <c r="F937" s="310">
        <v>0</v>
      </c>
      <c r="G937" s="311">
        <v>0</v>
      </c>
      <c r="H937" s="310" t="s">
        <v>563</v>
      </c>
      <c r="I937" s="310" t="s">
        <v>563</v>
      </c>
      <c r="J937" s="310" t="s">
        <v>563</v>
      </c>
      <c r="K937" s="312">
        <v>0</v>
      </c>
      <c r="L937" s="310">
        <v>0</v>
      </c>
      <c r="M937" s="310">
        <v>0</v>
      </c>
      <c r="N937" s="313">
        <v>0</v>
      </c>
      <c r="O937" s="314" t="s">
        <v>563</v>
      </c>
      <c r="P937" s="307">
        <f t="shared" si="267"/>
        <v>0</v>
      </c>
      <c r="R937" s="91" t="str">
        <f t="shared" si="281"/>
        <v/>
      </c>
      <c r="S93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7" s="307" t="str">
        <f t="shared" si="269"/>
        <v/>
      </c>
      <c r="U937" s="315" t="str">
        <f t="shared" si="270"/>
        <v/>
      </c>
      <c r="V937" s="307">
        <f t="shared" si="274"/>
        <v>0</v>
      </c>
      <c r="W937" s="307">
        <f>IFERROR(IF(V937&gt;0,PROPER(Terbilang1(V937)&amp;" Rupiah"),0),"")</f>
        <v>0</v>
      </c>
      <c r="X937" s="90" t="str">
        <f t="shared" si="275"/>
        <v/>
      </c>
      <c r="Y937" s="307" t="str">
        <f t="shared" si="276"/>
        <v/>
      </c>
      <c r="Z937" s="307">
        <f t="shared" si="271"/>
        <v>0</v>
      </c>
      <c r="AA937" s="366">
        <f t="shared" si="272"/>
        <v>0</v>
      </c>
      <c r="AB937" s="367">
        <f t="shared" si="277"/>
        <v>0</v>
      </c>
      <c r="AC937" s="305">
        <f t="shared" si="278"/>
        <v>0</v>
      </c>
      <c r="AP937" s="89" t="str">
        <f t="shared" si="266"/>
        <v/>
      </c>
      <c r="AQ937" s="89" t="str">
        <f t="shared" si="282"/>
        <v/>
      </c>
      <c r="AR937" s="315" t="str">
        <f t="shared" si="265"/>
        <v/>
      </c>
      <c r="AS937" s="305" t="str">
        <f t="shared" si="279"/>
        <v>0</v>
      </c>
      <c r="AT937" s="307">
        <f>Table22[[#This Row],[Column1]]</f>
        <v>0</v>
      </c>
    </row>
    <row r="938" spans="1:46" x14ac:dyDescent="0.3">
      <c r="A938" s="307">
        <f t="shared" si="273"/>
        <v>0</v>
      </c>
      <c r="B938" s="307">
        <f t="shared" si="280"/>
        <v>0</v>
      </c>
      <c r="C938" s="308" t="s">
        <v>563</v>
      </c>
      <c r="D938" s="309" t="s">
        <v>563</v>
      </c>
      <c r="E938" s="310">
        <v>0</v>
      </c>
      <c r="F938" s="310">
        <v>0</v>
      </c>
      <c r="G938" s="311">
        <v>0</v>
      </c>
      <c r="H938" s="310" t="s">
        <v>563</v>
      </c>
      <c r="I938" s="310" t="s">
        <v>563</v>
      </c>
      <c r="J938" s="310" t="s">
        <v>563</v>
      </c>
      <c r="K938" s="312">
        <v>0</v>
      </c>
      <c r="L938" s="310">
        <v>0</v>
      </c>
      <c r="M938" s="310">
        <v>0</v>
      </c>
      <c r="N938" s="313">
        <v>0</v>
      </c>
      <c r="O938" s="314" t="s">
        <v>563</v>
      </c>
      <c r="P938" s="307">
        <f t="shared" si="267"/>
        <v>0</v>
      </c>
      <c r="R938" s="91" t="str">
        <f t="shared" si="281"/>
        <v/>
      </c>
      <c r="S93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8" s="307" t="str">
        <f t="shared" si="269"/>
        <v/>
      </c>
      <c r="U938" s="315" t="str">
        <f t="shared" si="270"/>
        <v/>
      </c>
      <c r="V938" s="307">
        <f t="shared" si="274"/>
        <v>0</v>
      </c>
      <c r="W938" s="307">
        <f>IFERROR(IF(V938&gt;0,PROPER(Terbilang1(V938)&amp;" Rupiah"),0),"")</f>
        <v>0</v>
      </c>
      <c r="X938" s="90" t="str">
        <f t="shared" si="275"/>
        <v/>
      </c>
      <c r="Y938" s="307" t="str">
        <f t="shared" si="276"/>
        <v/>
      </c>
      <c r="Z938" s="307">
        <f t="shared" si="271"/>
        <v>0</v>
      </c>
      <c r="AA938" s="366">
        <f t="shared" si="272"/>
        <v>0</v>
      </c>
      <c r="AB938" s="367">
        <f t="shared" si="277"/>
        <v>0</v>
      </c>
      <c r="AC938" s="305">
        <f t="shared" si="278"/>
        <v>0</v>
      </c>
      <c r="AP938" s="89" t="str">
        <f t="shared" si="266"/>
        <v/>
      </c>
      <c r="AQ938" s="89" t="str">
        <f t="shared" si="282"/>
        <v/>
      </c>
      <c r="AR938" s="315" t="str">
        <f t="shared" si="265"/>
        <v/>
      </c>
      <c r="AS938" s="305" t="str">
        <f t="shared" si="279"/>
        <v>0</v>
      </c>
      <c r="AT938" s="307">
        <f>Table22[[#This Row],[Column1]]</f>
        <v>0</v>
      </c>
    </row>
    <row r="939" spans="1:46" x14ac:dyDescent="0.3">
      <c r="A939" s="307">
        <f t="shared" si="273"/>
        <v>0</v>
      </c>
      <c r="B939" s="307">
        <f t="shared" si="280"/>
        <v>0</v>
      </c>
      <c r="C939" s="308" t="s">
        <v>563</v>
      </c>
      <c r="D939" s="309" t="s">
        <v>563</v>
      </c>
      <c r="E939" s="310">
        <v>0</v>
      </c>
      <c r="F939" s="310">
        <v>0</v>
      </c>
      <c r="G939" s="311">
        <v>0</v>
      </c>
      <c r="H939" s="310" t="s">
        <v>563</v>
      </c>
      <c r="I939" s="310" t="s">
        <v>563</v>
      </c>
      <c r="J939" s="310" t="s">
        <v>563</v>
      </c>
      <c r="K939" s="312">
        <v>0</v>
      </c>
      <c r="L939" s="310">
        <v>0</v>
      </c>
      <c r="M939" s="310">
        <v>0</v>
      </c>
      <c r="N939" s="313">
        <v>0</v>
      </c>
      <c r="O939" s="314" t="s">
        <v>563</v>
      </c>
      <c r="P939" s="307">
        <f t="shared" si="267"/>
        <v>0</v>
      </c>
      <c r="R939" s="91" t="str">
        <f t="shared" si="281"/>
        <v/>
      </c>
      <c r="S93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39" s="307" t="str">
        <f t="shared" si="269"/>
        <v/>
      </c>
      <c r="U939" s="315" t="str">
        <f t="shared" si="270"/>
        <v/>
      </c>
      <c r="V939" s="307">
        <f t="shared" si="274"/>
        <v>0</v>
      </c>
      <c r="W939" s="307">
        <f>IFERROR(IF(V939&gt;0,PROPER(Terbilang1(V939)&amp;" Rupiah"),0),"")</f>
        <v>0</v>
      </c>
      <c r="X939" s="90" t="str">
        <f t="shared" si="275"/>
        <v/>
      </c>
      <c r="Y939" s="307" t="str">
        <f t="shared" si="276"/>
        <v/>
      </c>
      <c r="Z939" s="307">
        <f t="shared" si="271"/>
        <v>0</v>
      </c>
      <c r="AA939" s="366">
        <f t="shared" si="272"/>
        <v>0</v>
      </c>
      <c r="AB939" s="367">
        <f t="shared" si="277"/>
        <v>0</v>
      </c>
      <c r="AC939" s="305">
        <f t="shared" si="278"/>
        <v>0</v>
      </c>
      <c r="AP939" s="89" t="str">
        <f t="shared" si="266"/>
        <v/>
      </c>
      <c r="AQ939" s="89" t="str">
        <f t="shared" si="282"/>
        <v/>
      </c>
      <c r="AR939" s="315" t="str">
        <f t="shared" si="265"/>
        <v/>
      </c>
      <c r="AS939" s="305" t="str">
        <f t="shared" si="279"/>
        <v>0</v>
      </c>
      <c r="AT939" s="307">
        <f>Table22[[#This Row],[Column1]]</f>
        <v>0</v>
      </c>
    </row>
    <row r="940" spans="1:46" x14ac:dyDescent="0.3">
      <c r="A940" s="307">
        <f t="shared" si="273"/>
        <v>0</v>
      </c>
      <c r="B940" s="307">
        <f t="shared" si="280"/>
        <v>0</v>
      </c>
      <c r="C940" s="308" t="s">
        <v>563</v>
      </c>
      <c r="D940" s="309" t="s">
        <v>563</v>
      </c>
      <c r="E940" s="310">
        <v>0</v>
      </c>
      <c r="F940" s="310">
        <v>0</v>
      </c>
      <c r="G940" s="311">
        <v>0</v>
      </c>
      <c r="H940" s="310" t="s">
        <v>563</v>
      </c>
      <c r="I940" s="310" t="s">
        <v>563</v>
      </c>
      <c r="J940" s="310" t="s">
        <v>563</v>
      </c>
      <c r="K940" s="312">
        <v>0</v>
      </c>
      <c r="L940" s="310">
        <v>0</v>
      </c>
      <c r="M940" s="310">
        <v>0</v>
      </c>
      <c r="N940" s="313">
        <v>0</v>
      </c>
      <c r="O940" s="314" t="s">
        <v>563</v>
      </c>
      <c r="P940" s="307">
        <f t="shared" si="267"/>
        <v>0</v>
      </c>
      <c r="R940" s="91" t="str">
        <f t="shared" si="281"/>
        <v/>
      </c>
      <c r="S94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0" s="307" t="str">
        <f t="shared" si="269"/>
        <v/>
      </c>
      <c r="U940" s="315" t="str">
        <f t="shared" si="270"/>
        <v/>
      </c>
      <c r="V940" s="307">
        <f t="shared" si="274"/>
        <v>0</v>
      </c>
      <c r="W940" s="307">
        <f>IFERROR(IF(V940&gt;0,PROPER(Terbilang1(V940)&amp;" Rupiah"),0),"")</f>
        <v>0</v>
      </c>
      <c r="X940" s="90" t="str">
        <f t="shared" si="275"/>
        <v/>
      </c>
      <c r="Y940" s="307" t="str">
        <f t="shared" si="276"/>
        <v/>
      </c>
      <c r="Z940" s="307">
        <f t="shared" si="271"/>
        <v>0</v>
      </c>
      <c r="AA940" s="366">
        <f t="shared" si="272"/>
        <v>0</v>
      </c>
      <c r="AB940" s="367">
        <f t="shared" si="277"/>
        <v>0</v>
      </c>
      <c r="AC940" s="305">
        <f t="shared" si="278"/>
        <v>0</v>
      </c>
      <c r="AP940" s="89" t="str">
        <f t="shared" si="266"/>
        <v/>
      </c>
      <c r="AQ940" s="89" t="str">
        <f t="shared" si="282"/>
        <v/>
      </c>
      <c r="AR940" s="315" t="str">
        <f t="shared" si="265"/>
        <v/>
      </c>
      <c r="AS940" s="305" t="str">
        <f t="shared" si="279"/>
        <v>0</v>
      </c>
      <c r="AT940" s="307">
        <f>Table22[[#This Row],[Column1]]</f>
        <v>0</v>
      </c>
    </row>
    <row r="941" spans="1:46" x14ac:dyDescent="0.3">
      <c r="A941" s="307">
        <f t="shared" si="273"/>
        <v>0</v>
      </c>
      <c r="B941" s="307">
        <f t="shared" si="280"/>
        <v>0</v>
      </c>
      <c r="C941" s="308" t="s">
        <v>563</v>
      </c>
      <c r="D941" s="309" t="s">
        <v>563</v>
      </c>
      <c r="E941" s="310">
        <v>0</v>
      </c>
      <c r="F941" s="310">
        <v>0</v>
      </c>
      <c r="G941" s="311">
        <v>0</v>
      </c>
      <c r="H941" s="310" t="s">
        <v>563</v>
      </c>
      <c r="I941" s="310" t="s">
        <v>563</v>
      </c>
      <c r="J941" s="310" t="s">
        <v>563</v>
      </c>
      <c r="K941" s="312">
        <v>0</v>
      </c>
      <c r="L941" s="310">
        <v>0</v>
      </c>
      <c r="M941" s="310">
        <v>0</v>
      </c>
      <c r="N941" s="313">
        <v>0</v>
      </c>
      <c r="O941" s="314" t="s">
        <v>563</v>
      </c>
      <c r="P941" s="307">
        <f t="shared" si="267"/>
        <v>0</v>
      </c>
      <c r="R941" s="91" t="str">
        <f t="shared" si="281"/>
        <v/>
      </c>
      <c r="S94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1" s="307" t="str">
        <f t="shared" si="269"/>
        <v/>
      </c>
      <c r="U941" s="315" t="str">
        <f t="shared" si="270"/>
        <v/>
      </c>
      <c r="V941" s="307">
        <f t="shared" si="274"/>
        <v>0</v>
      </c>
      <c r="W941" s="307">
        <f>IFERROR(IF(V941&gt;0,PROPER(Terbilang1(V941)&amp;" Rupiah"),0),"")</f>
        <v>0</v>
      </c>
      <c r="X941" s="90" t="str">
        <f t="shared" si="275"/>
        <v/>
      </c>
      <c r="Y941" s="307" t="str">
        <f t="shared" si="276"/>
        <v/>
      </c>
      <c r="Z941" s="307">
        <f t="shared" si="271"/>
        <v>0</v>
      </c>
      <c r="AA941" s="366">
        <f t="shared" si="272"/>
        <v>0</v>
      </c>
      <c r="AB941" s="367">
        <f t="shared" si="277"/>
        <v>0</v>
      </c>
      <c r="AC941" s="305">
        <f t="shared" si="278"/>
        <v>0</v>
      </c>
      <c r="AP941" s="89" t="str">
        <f t="shared" si="266"/>
        <v/>
      </c>
      <c r="AQ941" s="89" t="str">
        <f t="shared" si="282"/>
        <v/>
      </c>
      <c r="AR941" s="315" t="str">
        <f t="shared" si="265"/>
        <v/>
      </c>
      <c r="AS941" s="305" t="str">
        <f t="shared" si="279"/>
        <v>0</v>
      </c>
      <c r="AT941" s="307">
        <f>Table22[[#This Row],[Column1]]</f>
        <v>0</v>
      </c>
    </row>
    <row r="942" spans="1:46" x14ac:dyDescent="0.3">
      <c r="A942" s="307">
        <f t="shared" si="273"/>
        <v>0</v>
      </c>
      <c r="B942" s="307">
        <f t="shared" si="280"/>
        <v>0</v>
      </c>
      <c r="C942" s="308" t="s">
        <v>563</v>
      </c>
      <c r="D942" s="309" t="s">
        <v>563</v>
      </c>
      <c r="E942" s="310">
        <v>0</v>
      </c>
      <c r="F942" s="310">
        <v>0</v>
      </c>
      <c r="G942" s="311">
        <v>0</v>
      </c>
      <c r="H942" s="310" t="s">
        <v>563</v>
      </c>
      <c r="I942" s="310" t="s">
        <v>563</v>
      </c>
      <c r="J942" s="310" t="s">
        <v>563</v>
      </c>
      <c r="K942" s="312">
        <v>0</v>
      </c>
      <c r="L942" s="310">
        <v>0</v>
      </c>
      <c r="M942" s="310">
        <v>0</v>
      </c>
      <c r="N942" s="313">
        <v>0</v>
      </c>
      <c r="O942" s="314" t="s">
        <v>563</v>
      </c>
      <c r="P942" s="307">
        <f t="shared" si="267"/>
        <v>0</v>
      </c>
      <c r="R942" s="91" t="str">
        <f t="shared" si="281"/>
        <v/>
      </c>
      <c r="S94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2" s="307" t="str">
        <f t="shared" si="269"/>
        <v/>
      </c>
      <c r="U942" s="315" t="str">
        <f t="shared" si="270"/>
        <v/>
      </c>
      <c r="V942" s="307">
        <f t="shared" si="274"/>
        <v>0</v>
      </c>
      <c r="W942" s="307">
        <f>IFERROR(IF(V942&gt;0,PROPER(Terbilang1(V942)&amp;" Rupiah"),0),"")</f>
        <v>0</v>
      </c>
      <c r="X942" s="90" t="str">
        <f t="shared" si="275"/>
        <v/>
      </c>
      <c r="Y942" s="307" t="str">
        <f t="shared" si="276"/>
        <v/>
      </c>
      <c r="Z942" s="307">
        <f t="shared" si="271"/>
        <v>0</v>
      </c>
      <c r="AA942" s="366">
        <f t="shared" si="272"/>
        <v>0</v>
      </c>
      <c r="AB942" s="367">
        <f t="shared" si="277"/>
        <v>0</v>
      </c>
      <c r="AC942" s="305">
        <f t="shared" si="278"/>
        <v>0</v>
      </c>
      <c r="AP942" s="89" t="str">
        <f t="shared" si="266"/>
        <v/>
      </c>
      <c r="AQ942" s="89" t="str">
        <f t="shared" si="282"/>
        <v/>
      </c>
      <c r="AR942" s="315" t="str">
        <f t="shared" si="265"/>
        <v/>
      </c>
      <c r="AS942" s="305" t="str">
        <f t="shared" si="279"/>
        <v>0</v>
      </c>
      <c r="AT942" s="307">
        <f>Table22[[#This Row],[Column1]]</f>
        <v>0</v>
      </c>
    </row>
    <row r="943" spans="1:46" x14ac:dyDescent="0.3">
      <c r="A943" s="307">
        <f t="shared" si="273"/>
        <v>0</v>
      </c>
      <c r="B943" s="307">
        <f t="shared" si="280"/>
        <v>0</v>
      </c>
      <c r="C943" s="308" t="s">
        <v>563</v>
      </c>
      <c r="D943" s="309" t="s">
        <v>563</v>
      </c>
      <c r="E943" s="310">
        <v>0</v>
      </c>
      <c r="F943" s="310">
        <v>0</v>
      </c>
      <c r="G943" s="311">
        <v>0</v>
      </c>
      <c r="H943" s="310" t="s">
        <v>563</v>
      </c>
      <c r="I943" s="310" t="s">
        <v>563</v>
      </c>
      <c r="J943" s="310" t="s">
        <v>563</v>
      </c>
      <c r="K943" s="312">
        <v>0</v>
      </c>
      <c r="L943" s="310">
        <v>0</v>
      </c>
      <c r="M943" s="310">
        <v>0</v>
      </c>
      <c r="N943" s="313">
        <v>0</v>
      </c>
      <c r="O943" s="314" t="s">
        <v>563</v>
      </c>
      <c r="P943" s="307">
        <f t="shared" si="267"/>
        <v>0</v>
      </c>
      <c r="R943" s="91" t="str">
        <f t="shared" si="281"/>
        <v/>
      </c>
      <c r="S94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3" s="307" t="str">
        <f t="shared" si="269"/>
        <v/>
      </c>
      <c r="U943" s="315" t="str">
        <f t="shared" si="270"/>
        <v/>
      </c>
      <c r="V943" s="307">
        <f t="shared" si="274"/>
        <v>0</v>
      </c>
      <c r="W943" s="307">
        <f>IFERROR(IF(V943&gt;0,PROPER(Terbilang1(V943)&amp;" Rupiah"),0),"")</f>
        <v>0</v>
      </c>
      <c r="X943" s="90" t="str">
        <f t="shared" si="275"/>
        <v/>
      </c>
      <c r="Y943" s="307" t="str">
        <f t="shared" si="276"/>
        <v/>
      </c>
      <c r="Z943" s="307">
        <f t="shared" si="271"/>
        <v>0</v>
      </c>
      <c r="AA943" s="366">
        <f t="shared" si="272"/>
        <v>0</v>
      </c>
      <c r="AB943" s="367">
        <f t="shared" si="277"/>
        <v>0</v>
      </c>
      <c r="AC943" s="305">
        <f t="shared" si="278"/>
        <v>0</v>
      </c>
      <c r="AP943" s="89" t="str">
        <f t="shared" si="266"/>
        <v/>
      </c>
      <c r="AQ943" s="89" t="str">
        <f t="shared" si="282"/>
        <v/>
      </c>
      <c r="AR943" s="315" t="str">
        <f t="shared" si="265"/>
        <v/>
      </c>
      <c r="AS943" s="305" t="str">
        <f t="shared" si="279"/>
        <v>0</v>
      </c>
      <c r="AT943" s="307">
        <f>Table22[[#This Row],[Column1]]</f>
        <v>0</v>
      </c>
    </row>
    <row r="944" spans="1:46" x14ac:dyDescent="0.3">
      <c r="A944" s="307">
        <f t="shared" si="273"/>
        <v>0</v>
      </c>
      <c r="B944" s="307">
        <f t="shared" si="280"/>
        <v>0</v>
      </c>
      <c r="C944" s="308" t="s">
        <v>563</v>
      </c>
      <c r="D944" s="309" t="s">
        <v>563</v>
      </c>
      <c r="E944" s="310">
        <v>0</v>
      </c>
      <c r="F944" s="310">
        <v>0</v>
      </c>
      <c r="G944" s="311">
        <v>0</v>
      </c>
      <c r="H944" s="310" t="s">
        <v>563</v>
      </c>
      <c r="I944" s="310" t="s">
        <v>563</v>
      </c>
      <c r="J944" s="310" t="s">
        <v>563</v>
      </c>
      <c r="K944" s="312">
        <v>0</v>
      </c>
      <c r="L944" s="310">
        <v>0</v>
      </c>
      <c r="M944" s="310">
        <v>0</v>
      </c>
      <c r="N944" s="313">
        <v>0</v>
      </c>
      <c r="O944" s="314" t="s">
        <v>563</v>
      </c>
      <c r="P944" s="307">
        <f t="shared" si="267"/>
        <v>0</v>
      </c>
      <c r="R944" s="91" t="str">
        <f t="shared" si="281"/>
        <v/>
      </c>
      <c r="S94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4" s="307" t="str">
        <f t="shared" si="269"/>
        <v/>
      </c>
      <c r="U944" s="315" t="str">
        <f t="shared" si="270"/>
        <v/>
      </c>
      <c r="V944" s="307">
        <f t="shared" si="274"/>
        <v>0</v>
      </c>
      <c r="W944" s="307">
        <f>IFERROR(IF(V944&gt;0,PROPER(Terbilang1(V944)&amp;" Rupiah"),0),"")</f>
        <v>0</v>
      </c>
      <c r="X944" s="90" t="str">
        <f t="shared" si="275"/>
        <v/>
      </c>
      <c r="Y944" s="307" t="str">
        <f t="shared" si="276"/>
        <v/>
      </c>
      <c r="Z944" s="307">
        <f t="shared" si="271"/>
        <v>0</v>
      </c>
      <c r="AA944" s="366">
        <f t="shared" si="272"/>
        <v>0</v>
      </c>
      <c r="AB944" s="367">
        <f t="shared" si="277"/>
        <v>0</v>
      </c>
      <c r="AC944" s="305">
        <f t="shared" si="278"/>
        <v>0</v>
      </c>
      <c r="AP944" s="89" t="str">
        <f t="shared" si="266"/>
        <v/>
      </c>
      <c r="AQ944" s="89" t="str">
        <f t="shared" si="282"/>
        <v/>
      </c>
      <c r="AR944" s="315" t="str">
        <f t="shared" si="265"/>
        <v/>
      </c>
      <c r="AS944" s="305" t="str">
        <f t="shared" si="279"/>
        <v>0</v>
      </c>
      <c r="AT944" s="307">
        <f>Table22[[#This Row],[Column1]]</f>
        <v>0</v>
      </c>
    </row>
    <row r="945" spans="1:46" x14ac:dyDescent="0.3">
      <c r="A945" s="307">
        <f t="shared" si="273"/>
        <v>0</v>
      </c>
      <c r="B945" s="307">
        <f t="shared" si="280"/>
        <v>0</v>
      </c>
      <c r="C945" s="308" t="s">
        <v>563</v>
      </c>
      <c r="D945" s="309" t="s">
        <v>563</v>
      </c>
      <c r="E945" s="310">
        <v>0</v>
      </c>
      <c r="F945" s="310">
        <v>0</v>
      </c>
      <c r="G945" s="311">
        <v>0</v>
      </c>
      <c r="H945" s="310" t="s">
        <v>563</v>
      </c>
      <c r="I945" s="310" t="s">
        <v>563</v>
      </c>
      <c r="J945" s="310" t="s">
        <v>563</v>
      </c>
      <c r="K945" s="312">
        <v>0</v>
      </c>
      <c r="L945" s="310">
        <v>0</v>
      </c>
      <c r="M945" s="310">
        <v>0</v>
      </c>
      <c r="N945" s="313">
        <v>0</v>
      </c>
      <c r="O945" s="314" t="s">
        <v>563</v>
      </c>
      <c r="P945" s="307">
        <f t="shared" si="267"/>
        <v>0</v>
      </c>
      <c r="R945" s="91" t="str">
        <f t="shared" si="281"/>
        <v/>
      </c>
      <c r="S94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5" s="307" t="str">
        <f t="shared" si="269"/>
        <v/>
      </c>
      <c r="U945" s="315" t="str">
        <f t="shared" si="270"/>
        <v/>
      </c>
      <c r="V945" s="307">
        <f t="shared" si="274"/>
        <v>0</v>
      </c>
      <c r="W945" s="307">
        <f>IFERROR(IF(V945&gt;0,PROPER(Terbilang1(V945)&amp;" Rupiah"),0),"")</f>
        <v>0</v>
      </c>
      <c r="X945" s="90" t="str">
        <f t="shared" si="275"/>
        <v/>
      </c>
      <c r="Y945" s="307" t="str">
        <f t="shared" si="276"/>
        <v/>
      </c>
      <c r="Z945" s="307">
        <f t="shared" si="271"/>
        <v>0</v>
      </c>
      <c r="AA945" s="366">
        <f t="shared" si="272"/>
        <v>0</v>
      </c>
      <c r="AB945" s="367">
        <f t="shared" si="277"/>
        <v>0</v>
      </c>
      <c r="AC945" s="305">
        <f t="shared" si="278"/>
        <v>0</v>
      </c>
      <c r="AP945" s="89" t="str">
        <f t="shared" si="266"/>
        <v/>
      </c>
      <c r="AQ945" s="89" t="str">
        <f t="shared" si="282"/>
        <v/>
      </c>
      <c r="AR945" s="315" t="str">
        <f t="shared" si="265"/>
        <v/>
      </c>
      <c r="AS945" s="305" t="str">
        <f t="shared" si="279"/>
        <v>0</v>
      </c>
      <c r="AT945" s="307">
        <f>Table22[[#This Row],[Column1]]</f>
        <v>0</v>
      </c>
    </row>
    <row r="946" spans="1:46" x14ac:dyDescent="0.3">
      <c r="A946" s="307">
        <f t="shared" si="273"/>
        <v>0</v>
      </c>
      <c r="B946" s="307">
        <f t="shared" si="280"/>
        <v>0</v>
      </c>
      <c r="C946" s="308" t="s">
        <v>563</v>
      </c>
      <c r="D946" s="309" t="s">
        <v>563</v>
      </c>
      <c r="E946" s="310">
        <v>0</v>
      </c>
      <c r="F946" s="310">
        <v>0</v>
      </c>
      <c r="G946" s="311">
        <v>0</v>
      </c>
      <c r="H946" s="310" t="s">
        <v>563</v>
      </c>
      <c r="I946" s="310" t="s">
        <v>563</v>
      </c>
      <c r="J946" s="310" t="s">
        <v>563</v>
      </c>
      <c r="K946" s="312">
        <v>0</v>
      </c>
      <c r="L946" s="310">
        <v>0</v>
      </c>
      <c r="M946" s="310">
        <v>0</v>
      </c>
      <c r="N946" s="313">
        <v>0</v>
      </c>
      <c r="O946" s="314" t="s">
        <v>563</v>
      </c>
      <c r="P946" s="307">
        <f t="shared" si="267"/>
        <v>0</v>
      </c>
      <c r="R946" s="91" t="str">
        <f t="shared" si="281"/>
        <v/>
      </c>
      <c r="S94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6" s="307" t="str">
        <f t="shared" si="269"/>
        <v/>
      </c>
      <c r="U946" s="315" t="str">
        <f t="shared" si="270"/>
        <v/>
      </c>
      <c r="V946" s="307">
        <f t="shared" si="274"/>
        <v>0</v>
      </c>
      <c r="W946" s="307">
        <f>IFERROR(IF(V946&gt;0,PROPER(Terbilang1(V946)&amp;" Rupiah"),0),"")</f>
        <v>0</v>
      </c>
      <c r="X946" s="90" t="str">
        <f t="shared" si="275"/>
        <v/>
      </c>
      <c r="Y946" s="307" t="str">
        <f t="shared" si="276"/>
        <v/>
      </c>
      <c r="Z946" s="307">
        <f t="shared" si="271"/>
        <v>0</v>
      </c>
      <c r="AA946" s="366">
        <f t="shared" si="272"/>
        <v>0</v>
      </c>
      <c r="AB946" s="367">
        <f t="shared" si="277"/>
        <v>0</v>
      </c>
      <c r="AC946" s="305">
        <f t="shared" si="278"/>
        <v>0</v>
      </c>
      <c r="AP946" s="89" t="str">
        <f t="shared" si="266"/>
        <v/>
      </c>
      <c r="AQ946" s="89" t="str">
        <f t="shared" si="282"/>
        <v/>
      </c>
      <c r="AR946" s="315" t="str">
        <f t="shared" si="265"/>
        <v/>
      </c>
      <c r="AS946" s="305" t="str">
        <f t="shared" si="279"/>
        <v>0</v>
      </c>
      <c r="AT946" s="307">
        <f>Table22[[#This Row],[Column1]]</f>
        <v>0</v>
      </c>
    </row>
    <row r="947" spans="1:46" x14ac:dyDescent="0.3">
      <c r="A947" s="307">
        <f t="shared" si="273"/>
        <v>0</v>
      </c>
      <c r="B947" s="307">
        <f t="shared" si="280"/>
        <v>0</v>
      </c>
      <c r="C947" s="308" t="s">
        <v>563</v>
      </c>
      <c r="D947" s="309" t="s">
        <v>563</v>
      </c>
      <c r="E947" s="310">
        <v>0</v>
      </c>
      <c r="F947" s="310">
        <v>0</v>
      </c>
      <c r="G947" s="311">
        <v>0</v>
      </c>
      <c r="H947" s="310" t="s">
        <v>563</v>
      </c>
      <c r="I947" s="310" t="s">
        <v>563</v>
      </c>
      <c r="J947" s="310" t="s">
        <v>563</v>
      </c>
      <c r="K947" s="312">
        <v>0</v>
      </c>
      <c r="L947" s="310">
        <v>0</v>
      </c>
      <c r="M947" s="310">
        <v>0</v>
      </c>
      <c r="N947" s="313">
        <v>0</v>
      </c>
      <c r="O947" s="314" t="s">
        <v>563</v>
      </c>
      <c r="P947" s="307">
        <f t="shared" si="267"/>
        <v>0</v>
      </c>
      <c r="R947" s="91" t="str">
        <f t="shared" si="281"/>
        <v/>
      </c>
      <c r="S94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7" s="307" t="str">
        <f t="shared" si="269"/>
        <v/>
      </c>
      <c r="U947" s="315" t="str">
        <f t="shared" si="270"/>
        <v/>
      </c>
      <c r="V947" s="307">
        <f t="shared" si="274"/>
        <v>0</v>
      </c>
      <c r="W947" s="307">
        <f>IFERROR(IF(V947&gt;0,PROPER(Terbilang1(V947)&amp;" Rupiah"),0),"")</f>
        <v>0</v>
      </c>
      <c r="X947" s="90" t="str">
        <f t="shared" si="275"/>
        <v/>
      </c>
      <c r="Y947" s="307" t="str">
        <f t="shared" si="276"/>
        <v/>
      </c>
      <c r="Z947" s="307">
        <f t="shared" si="271"/>
        <v>0</v>
      </c>
      <c r="AA947" s="366">
        <f t="shared" si="272"/>
        <v>0</v>
      </c>
      <c r="AB947" s="367">
        <f t="shared" si="277"/>
        <v>0</v>
      </c>
      <c r="AC947" s="305">
        <f t="shared" si="278"/>
        <v>0</v>
      </c>
      <c r="AP947" s="89" t="str">
        <f t="shared" si="266"/>
        <v/>
      </c>
      <c r="AQ947" s="89" t="str">
        <f t="shared" si="282"/>
        <v/>
      </c>
      <c r="AR947" s="315" t="str">
        <f t="shared" ref="AR947:AR1000" si="283">IF(VALUE(AT947)&gt;1,IF(LEN(AR946)&gt;1,AR946,D947),"")</f>
        <v/>
      </c>
      <c r="AS947" s="305" t="str">
        <f t="shared" si="279"/>
        <v>0</v>
      </c>
      <c r="AT947" s="307">
        <f>Table22[[#This Row],[Column1]]</f>
        <v>0</v>
      </c>
    </row>
    <row r="948" spans="1:46" x14ac:dyDescent="0.3">
      <c r="A948" s="307">
        <f t="shared" si="273"/>
        <v>0</v>
      </c>
      <c r="B948" s="307">
        <f t="shared" si="280"/>
        <v>0</v>
      </c>
      <c r="C948" s="308" t="s">
        <v>563</v>
      </c>
      <c r="D948" s="309" t="s">
        <v>563</v>
      </c>
      <c r="E948" s="310">
        <v>0</v>
      </c>
      <c r="F948" s="310">
        <v>0</v>
      </c>
      <c r="G948" s="311">
        <v>0</v>
      </c>
      <c r="H948" s="310" t="s">
        <v>563</v>
      </c>
      <c r="I948" s="310" t="s">
        <v>563</v>
      </c>
      <c r="J948" s="310" t="s">
        <v>563</v>
      </c>
      <c r="K948" s="312">
        <v>0</v>
      </c>
      <c r="L948" s="310">
        <v>0</v>
      </c>
      <c r="M948" s="310">
        <v>0</v>
      </c>
      <c r="N948" s="313">
        <v>0</v>
      </c>
      <c r="O948" s="314" t="s">
        <v>563</v>
      </c>
      <c r="P948" s="307">
        <f t="shared" si="267"/>
        <v>0</v>
      </c>
      <c r="R948" s="91" t="str">
        <f t="shared" si="281"/>
        <v/>
      </c>
      <c r="S94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8" s="307" t="str">
        <f t="shared" si="269"/>
        <v/>
      </c>
      <c r="U948" s="315" t="str">
        <f t="shared" si="270"/>
        <v/>
      </c>
      <c r="V948" s="307">
        <f t="shared" si="274"/>
        <v>0</v>
      </c>
      <c r="W948" s="307">
        <f>IFERROR(IF(V948&gt;0,PROPER(Terbilang1(V948)&amp;" Rupiah"),0),"")</f>
        <v>0</v>
      </c>
      <c r="X948" s="90" t="str">
        <f t="shared" si="275"/>
        <v/>
      </c>
      <c r="Y948" s="307" t="str">
        <f t="shared" si="276"/>
        <v/>
      </c>
      <c r="Z948" s="307">
        <f t="shared" si="271"/>
        <v>0</v>
      </c>
      <c r="AA948" s="366">
        <f t="shared" si="272"/>
        <v>0</v>
      </c>
      <c r="AB948" s="367">
        <f t="shared" si="277"/>
        <v>0</v>
      </c>
      <c r="AC948" s="305">
        <f t="shared" si="278"/>
        <v>0</v>
      </c>
      <c r="AP948" s="89" t="str">
        <f t="shared" si="266"/>
        <v/>
      </c>
      <c r="AQ948" s="89" t="str">
        <f t="shared" si="282"/>
        <v/>
      </c>
      <c r="AR948" s="315" t="str">
        <f t="shared" si="283"/>
        <v/>
      </c>
      <c r="AS948" s="305" t="str">
        <f t="shared" si="279"/>
        <v>0</v>
      </c>
      <c r="AT948" s="307">
        <f>Table22[[#This Row],[Column1]]</f>
        <v>0</v>
      </c>
    </row>
    <row r="949" spans="1:46" x14ac:dyDescent="0.3">
      <c r="A949" s="307">
        <f t="shared" si="273"/>
        <v>0</v>
      </c>
      <c r="B949" s="307">
        <f t="shared" si="280"/>
        <v>0</v>
      </c>
      <c r="C949" s="308" t="s">
        <v>563</v>
      </c>
      <c r="D949" s="309" t="s">
        <v>563</v>
      </c>
      <c r="E949" s="310">
        <v>0</v>
      </c>
      <c r="F949" s="310">
        <v>0</v>
      </c>
      <c r="G949" s="311">
        <v>0</v>
      </c>
      <c r="H949" s="310" t="s">
        <v>563</v>
      </c>
      <c r="I949" s="310" t="s">
        <v>563</v>
      </c>
      <c r="J949" s="310" t="s">
        <v>563</v>
      </c>
      <c r="K949" s="312">
        <v>0</v>
      </c>
      <c r="L949" s="310">
        <v>0</v>
      </c>
      <c r="M949" s="310">
        <v>0</v>
      </c>
      <c r="N949" s="313">
        <v>0</v>
      </c>
      <c r="O949" s="314" t="s">
        <v>563</v>
      </c>
      <c r="P949" s="307">
        <f t="shared" si="267"/>
        <v>0</v>
      </c>
      <c r="R949" s="91" t="str">
        <f t="shared" si="281"/>
        <v/>
      </c>
      <c r="S94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49" s="307" t="str">
        <f t="shared" si="269"/>
        <v/>
      </c>
      <c r="U949" s="315" t="str">
        <f t="shared" si="270"/>
        <v/>
      </c>
      <c r="V949" s="307">
        <f t="shared" si="274"/>
        <v>0</v>
      </c>
      <c r="W949" s="307">
        <f>IFERROR(IF(V949&gt;0,PROPER(Terbilang1(V949)&amp;" Rupiah"),0),"")</f>
        <v>0</v>
      </c>
      <c r="X949" s="90" t="str">
        <f t="shared" si="275"/>
        <v/>
      </c>
      <c r="Y949" s="307" t="str">
        <f t="shared" si="276"/>
        <v/>
      </c>
      <c r="Z949" s="307">
        <f t="shared" si="271"/>
        <v>0</v>
      </c>
      <c r="AA949" s="366">
        <f t="shared" si="272"/>
        <v>0</v>
      </c>
      <c r="AB949" s="367">
        <f t="shared" si="277"/>
        <v>0</v>
      </c>
      <c r="AC949" s="305">
        <f t="shared" si="278"/>
        <v>0</v>
      </c>
      <c r="AP949" s="89" t="str">
        <f t="shared" si="266"/>
        <v/>
      </c>
      <c r="AQ949" s="89" t="str">
        <f t="shared" si="282"/>
        <v/>
      </c>
      <c r="AR949" s="315" t="str">
        <f t="shared" si="283"/>
        <v/>
      </c>
      <c r="AS949" s="305" t="str">
        <f t="shared" si="279"/>
        <v>0</v>
      </c>
      <c r="AT949" s="307">
        <f>Table22[[#This Row],[Column1]]</f>
        <v>0</v>
      </c>
    </row>
    <row r="950" spans="1:46" x14ac:dyDescent="0.3">
      <c r="A950" s="307">
        <f t="shared" si="273"/>
        <v>0</v>
      </c>
      <c r="B950" s="307">
        <f t="shared" si="280"/>
        <v>0</v>
      </c>
      <c r="C950" s="308" t="s">
        <v>563</v>
      </c>
      <c r="D950" s="309" t="s">
        <v>563</v>
      </c>
      <c r="E950" s="310">
        <v>0</v>
      </c>
      <c r="F950" s="310">
        <v>0</v>
      </c>
      <c r="G950" s="311">
        <v>0</v>
      </c>
      <c r="H950" s="310" t="s">
        <v>563</v>
      </c>
      <c r="I950" s="310" t="s">
        <v>563</v>
      </c>
      <c r="J950" s="310" t="s">
        <v>563</v>
      </c>
      <c r="K950" s="312">
        <v>0</v>
      </c>
      <c r="L950" s="310">
        <v>0</v>
      </c>
      <c r="M950" s="310">
        <v>0</v>
      </c>
      <c r="N950" s="313">
        <v>0</v>
      </c>
      <c r="O950" s="314" t="s">
        <v>563</v>
      </c>
      <c r="P950" s="307">
        <f t="shared" si="267"/>
        <v>0</v>
      </c>
      <c r="R950" s="91" t="str">
        <f t="shared" si="281"/>
        <v/>
      </c>
      <c r="S95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0" s="307" t="str">
        <f t="shared" si="269"/>
        <v/>
      </c>
      <c r="U950" s="315" t="str">
        <f t="shared" si="270"/>
        <v/>
      </c>
      <c r="V950" s="307">
        <f t="shared" si="274"/>
        <v>0</v>
      </c>
      <c r="W950" s="307">
        <f>IFERROR(IF(V950&gt;0,PROPER(Terbilang1(V950)&amp;" Rupiah"),0),"")</f>
        <v>0</v>
      </c>
      <c r="X950" s="90" t="str">
        <f t="shared" si="275"/>
        <v/>
      </c>
      <c r="Y950" s="307" t="str">
        <f t="shared" si="276"/>
        <v/>
      </c>
      <c r="Z950" s="307">
        <f t="shared" si="271"/>
        <v>0</v>
      </c>
      <c r="AA950" s="366">
        <f t="shared" si="272"/>
        <v>0</v>
      </c>
      <c r="AB950" s="367">
        <f t="shared" si="277"/>
        <v>0</v>
      </c>
      <c r="AC950" s="305">
        <f t="shared" si="278"/>
        <v>0</v>
      </c>
      <c r="AP950" s="89" t="str">
        <f t="shared" si="266"/>
        <v/>
      </c>
      <c r="AQ950" s="89" t="str">
        <f t="shared" si="282"/>
        <v/>
      </c>
      <c r="AR950" s="315" t="str">
        <f t="shared" si="283"/>
        <v/>
      </c>
      <c r="AS950" s="305" t="str">
        <f t="shared" si="279"/>
        <v>0</v>
      </c>
      <c r="AT950" s="307">
        <f>Table22[[#This Row],[Column1]]</f>
        <v>0</v>
      </c>
    </row>
    <row r="951" spans="1:46" x14ac:dyDescent="0.3">
      <c r="A951" s="307">
        <f t="shared" si="273"/>
        <v>0</v>
      </c>
      <c r="B951" s="307">
        <f t="shared" si="280"/>
        <v>0</v>
      </c>
      <c r="C951" s="308" t="s">
        <v>563</v>
      </c>
      <c r="D951" s="309" t="s">
        <v>563</v>
      </c>
      <c r="E951" s="310">
        <v>0</v>
      </c>
      <c r="F951" s="310">
        <v>0</v>
      </c>
      <c r="G951" s="311">
        <v>0</v>
      </c>
      <c r="H951" s="310" t="s">
        <v>563</v>
      </c>
      <c r="I951" s="310" t="s">
        <v>563</v>
      </c>
      <c r="J951" s="310" t="s">
        <v>563</v>
      </c>
      <c r="K951" s="312">
        <v>0</v>
      </c>
      <c r="L951" s="310">
        <v>0</v>
      </c>
      <c r="M951" s="310">
        <v>0</v>
      </c>
      <c r="N951" s="313">
        <v>0</v>
      </c>
      <c r="O951" s="314" t="s">
        <v>563</v>
      </c>
      <c r="P951" s="307">
        <f t="shared" si="267"/>
        <v>0</v>
      </c>
      <c r="R951" s="91" t="str">
        <f t="shared" si="281"/>
        <v/>
      </c>
      <c r="S95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1" s="307" t="str">
        <f t="shared" si="269"/>
        <v/>
      </c>
      <c r="U951" s="315" t="str">
        <f t="shared" si="270"/>
        <v/>
      </c>
      <c r="V951" s="307">
        <f t="shared" si="274"/>
        <v>0</v>
      </c>
      <c r="W951" s="307">
        <f>IFERROR(IF(V951&gt;0,PROPER(Terbilang1(V951)&amp;" Rupiah"),0),"")</f>
        <v>0</v>
      </c>
      <c r="X951" s="90" t="str">
        <f t="shared" si="275"/>
        <v/>
      </c>
      <c r="Y951" s="307" t="str">
        <f t="shared" si="276"/>
        <v/>
      </c>
      <c r="Z951" s="307">
        <f t="shared" si="271"/>
        <v>0</v>
      </c>
      <c r="AA951" s="366">
        <f t="shared" si="272"/>
        <v>0</v>
      </c>
      <c r="AB951" s="367">
        <f t="shared" si="277"/>
        <v>0</v>
      </c>
      <c r="AC951" s="305">
        <f t="shared" si="278"/>
        <v>0</v>
      </c>
      <c r="AP951" s="89" t="str">
        <f t="shared" si="266"/>
        <v/>
      </c>
      <c r="AQ951" s="89" t="str">
        <f t="shared" si="282"/>
        <v/>
      </c>
      <c r="AR951" s="315" t="str">
        <f t="shared" si="283"/>
        <v/>
      </c>
      <c r="AS951" s="305" t="str">
        <f t="shared" si="279"/>
        <v>0</v>
      </c>
      <c r="AT951" s="307">
        <f>Table22[[#This Row],[Column1]]</f>
        <v>0</v>
      </c>
    </row>
    <row r="952" spans="1:46" x14ac:dyDescent="0.3">
      <c r="A952" s="307">
        <f t="shared" si="273"/>
        <v>0</v>
      </c>
      <c r="B952" s="307">
        <f t="shared" si="280"/>
        <v>0</v>
      </c>
      <c r="C952" s="308" t="s">
        <v>563</v>
      </c>
      <c r="D952" s="309" t="s">
        <v>563</v>
      </c>
      <c r="E952" s="310">
        <v>0</v>
      </c>
      <c r="F952" s="310">
        <v>0</v>
      </c>
      <c r="G952" s="311">
        <v>0</v>
      </c>
      <c r="H952" s="310" t="s">
        <v>563</v>
      </c>
      <c r="I952" s="310" t="s">
        <v>563</v>
      </c>
      <c r="J952" s="310" t="s">
        <v>563</v>
      </c>
      <c r="K952" s="312">
        <v>0</v>
      </c>
      <c r="L952" s="310">
        <v>0</v>
      </c>
      <c r="M952" s="310">
        <v>0</v>
      </c>
      <c r="N952" s="313">
        <v>0</v>
      </c>
      <c r="O952" s="314" t="s">
        <v>563</v>
      </c>
      <c r="P952" s="307">
        <f t="shared" si="267"/>
        <v>0</v>
      </c>
      <c r="R952" s="91" t="str">
        <f t="shared" si="281"/>
        <v/>
      </c>
      <c r="S952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2" s="307" t="str">
        <f t="shared" si="269"/>
        <v/>
      </c>
      <c r="U952" s="315" t="str">
        <f t="shared" si="270"/>
        <v/>
      </c>
      <c r="V952" s="307">
        <f t="shared" si="274"/>
        <v>0</v>
      </c>
      <c r="W952" s="307">
        <f>IFERROR(IF(V952&gt;0,PROPER(Terbilang1(V952)&amp;" Rupiah"),0),"")</f>
        <v>0</v>
      </c>
      <c r="X952" s="90" t="str">
        <f t="shared" si="275"/>
        <v/>
      </c>
      <c r="Y952" s="307" t="str">
        <f t="shared" si="276"/>
        <v/>
      </c>
      <c r="Z952" s="307">
        <f t="shared" si="271"/>
        <v>0</v>
      </c>
      <c r="AA952" s="366">
        <f t="shared" si="272"/>
        <v>0</v>
      </c>
      <c r="AB952" s="367">
        <f t="shared" si="277"/>
        <v>0</v>
      </c>
      <c r="AC952" s="305">
        <f t="shared" si="278"/>
        <v>0</v>
      </c>
      <c r="AP952" s="89" t="str">
        <f t="shared" si="266"/>
        <v/>
      </c>
      <c r="AQ952" s="89" t="str">
        <f t="shared" si="282"/>
        <v/>
      </c>
      <c r="AR952" s="315" t="str">
        <f t="shared" si="283"/>
        <v/>
      </c>
      <c r="AS952" s="305" t="str">
        <f t="shared" si="279"/>
        <v>0</v>
      </c>
      <c r="AT952" s="307">
        <f>Table22[[#This Row],[Column1]]</f>
        <v>0</v>
      </c>
    </row>
    <row r="953" spans="1:46" x14ac:dyDescent="0.3">
      <c r="A953" s="307">
        <f t="shared" si="273"/>
        <v>0</v>
      </c>
      <c r="B953" s="307">
        <f t="shared" si="280"/>
        <v>0</v>
      </c>
      <c r="C953" s="308" t="s">
        <v>563</v>
      </c>
      <c r="D953" s="309" t="s">
        <v>563</v>
      </c>
      <c r="E953" s="310">
        <v>0</v>
      </c>
      <c r="F953" s="310">
        <v>0</v>
      </c>
      <c r="G953" s="311">
        <v>0</v>
      </c>
      <c r="H953" s="310" t="s">
        <v>563</v>
      </c>
      <c r="I953" s="310" t="s">
        <v>563</v>
      </c>
      <c r="J953" s="310" t="s">
        <v>563</v>
      </c>
      <c r="K953" s="312">
        <v>0</v>
      </c>
      <c r="L953" s="310">
        <v>0</v>
      </c>
      <c r="M953" s="310">
        <v>0</v>
      </c>
      <c r="N953" s="313">
        <v>0</v>
      </c>
      <c r="O953" s="314" t="s">
        <v>563</v>
      </c>
      <c r="P953" s="307">
        <f t="shared" si="267"/>
        <v>0</v>
      </c>
      <c r="R953" s="91" t="str">
        <f t="shared" si="281"/>
        <v/>
      </c>
      <c r="S953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3" s="307" t="str">
        <f t="shared" si="269"/>
        <v/>
      </c>
      <c r="U953" s="315" t="str">
        <f t="shared" si="270"/>
        <v/>
      </c>
      <c r="V953" s="307">
        <f t="shared" si="274"/>
        <v>0</v>
      </c>
      <c r="W953" s="307">
        <f>IFERROR(IF(V953&gt;0,PROPER(Terbilang1(V953)&amp;" Rupiah"),0),"")</f>
        <v>0</v>
      </c>
      <c r="X953" s="90" t="str">
        <f t="shared" si="275"/>
        <v/>
      </c>
      <c r="Y953" s="307" t="str">
        <f t="shared" si="276"/>
        <v/>
      </c>
      <c r="Z953" s="307">
        <f t="shared" si="271"/>
        <v>0</v>
      </c>
      <c r="AA953" s="366">
        <f t="shared" si="272"/>
        <v>0</v>
      </c>
      <c r="AB953" s="367">
        <f t="shared" si="277"/>
        <v>0</v>
      </c>
      <c r="AC953" s="305">
        <f t="shared" si="278"/>
        <v>0</v>
      </c>
      <c r="AP953" s="89" t="str">
        <f t="shared" si="266"/>
        <v/>
      </c>
      <c r="AQ953" s="89" t="str">
        <f t="shared" si="282"/>
        <v/>
      </c>
      <c r="AR953" s="315" t="str">
        <f t="shared" si="283"/>
        <v/>
      </c>
      <c r="AS953" s="305" t="str">
        <f t="shared" si="279"/>
        <v>0</v>
      </c>
      <c r="AT953" s="307">
        <f>Table22[[#This Row],[Column1]]</f>
        <v>0</v>
      </c>
    </row>
    <row r="954" spans="1:46" x14ac:dyDescent="0.3">
      <c r="A954" s="307">
        <f t="shared" si="273"/>
        <v>0</v>
      </c>
      <c r="B954" s="307">
        <f t="shared" si="280"/>
        <v>0</v>
      </c>
      <c r="C954" s="308" t="s">
        <v>563</v>
      </c>
      <c r="D954" s="309" t="s">
        <v>563</v>
      </c>
      <c r="E954" s="310">
        <v>0</v>
      </c>
      <c r="F954" s="310">
        <v>0</v>
      </c>
      <c r="G954" s="311">
        <v>0</v>
      </c>
      <c r="H954" s="310" t="s">
        <v>563</v>
      </c>
      <c r="I954" s="310" t="s">
        <v>563</v>
      </c>
      <c r="J954" s="310" t="s">
        <v>563</v>
      </c>
      <c r="K954" s="312">
        <v>0</v>
      </c>
      <c r="L954" s="310">
        <v>0</v>
      </c>
      <c r="M954" s="310">
        <v>0</v>
      </c>
      <c r="N954" s="313">
        <v>0</v>
      </c>
      <c r="O954" s="314" t="s">
        <v>563</v>
      </c>
      <c r="P954" s="307">
        <f t="shared" si="267"/>
        <v>0</v>
      </c>
      <c r="R954" s="91" t="str">
        <f t="shared" si="281"/>
        <v/>
      </c>
      <c r="S954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4" s="307" t="str">
        <f t="shared" si="269"/>
        <v/>
      </c>
      <c r="U954" s="315" t="str">
        <f t="shared" si="270"/>
        <v/>
      </c>
      <c r="V954" s="307">
        <f t="shared" si="274"/>
        <v>0</v>
      </c>
      <c r="W954" s="307">
        <f>IFERROR(IF(V954&gt;0,PROPER(Terbilang1(V954)&amp;" Rupiah"),0),"")</f>
        <v>0</v>
      </c>
      <c r="X954" s="90" t="str">
        <f t="shared" si="275"/>
        <v/>
      </c>
      <c r="Y954" s="307" t="str">
        <f t="shared" si="276"/>
        <v/>
      </c>
      <c r="Z954" s="307">
        <f t="shared" si="271"/>
        <v>0</v>
      </c>
      <c r="AA954" s="366">
        <f t="shared" si="272"/>
        <v>0</v>
      </c>
      <c r="AB954" s="367">
        <f t="shared" si="277"/>
        <v>0</v>
      </c>
      <c r="AC954" s="305">
        <f t="shared" si="278"/>
        <v>0</v>
      </c>
      <c r="AP954" s="89" t="str">
        <f t="shared" si="266"/>
        <v/>
      </c>
      <c r="AQ954" s="89" t="str">
        <f t="shared" si="282"/>
        <v/>
      </c>
      <c r="AR954" s="315" t="str">
        <f t="shared" si="283"/>
        <v/>
      </c>
      <c r="AS954" s="305" t="str">
        <f t="shared" si="279"/>
        <v>0</v>
      </c>
      <c r="AT954" s="307">
        <f>Table22[[#This Row],[Column1]]</f>
        <v>0</v>
      </c>
    </row>
    <row r="955" spans="1:46" x14ac:dyDescent="0.3">
      <c r="A955" s="307">
        <f t="shared" si="273"/>
        <v>0</v>
      </c>
      <c r="B955" s="307">
        <f t="shared" si="280"/>
        <v>0</v>
      </c>
      <c r="C955" s="308" t="s">
        <v>563</v>
      </c>
      <c r="D955" s="309" t="s">
        <v>563</v>
      </c>
      <c r="E955" s="310">
        <v>0</v>
      </c>
      <c r="F955" s="310">
        <v>0</v>
      </c>
      <c r="G955" s="311">
        <v>0</v>
      </c>
      <c r="H955" s="310" t="s">
        <v>563</v>
      </c>
      <c r="I955" s="310" t="s">
        <v>563</v>
      </c>
      <c r="J955" s="310" t="s">
        <v>563</v>
      </c>
      <c r="K955" s="312">
        <v>0</v>
      </c>
      <c r="L955" s="310">
        <v>0</v>
      </c>
      <c r="M955" s="310">
        <v>0</v>
      </c>
      <c r="N955" s="313">
        <v>0</v>
      </c>
      <c r="O955" s="314" t="s">
        <v>563</v>
      </c>
      <c r="P955" s="307">
        <f t="shared" si="267"/>
        <v>0</v>
      </c>
      <c r="R955" s="91" t="str">
        <f t="shared" si="281"/>
        <v/>
      </c>
      <c r="S955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5" s="307" t="str">
        <f t="shared" si="269"/>
        <v/>
      </c>
      <c r="U955" s="315" t="str">
        <f t="shared" si="270"/>
        <v/>
      </c>
      <c r="V955" s="307">
        <f t="shared" si="274"/>
        <v>0</v>
      </c>
      <c r="W955" s="307">
        <f>IFERROR(IF(V955&gt;0,PROPER(Terbilang1(V955)&amp;" Rupiah"),0),"")</f>
        <v>0</v>
      </c>
      <c r="X955" s="90" t="str">
        <f t="shared" si="275"/>
        <v/>
      </c>
      <c r="Y955" s="307" t="str">
        <f t="shared" si="276"/>
        <v/>
      </c>
      <c r="Z955" s="307">
        <f t="shared" si="271"/>
        <v>0</v>
      </c>
      <c r="AA955" s="366">
        <f t="shared" si="272"/>
        <v>0</v>
      </c>
      <c r="AB955" s="367">
        <f t="shared" si="277"/>
        <v>0</v>
      </c>
      <c r="AC955" s="305">
        <f t="shared" si="278"/>
        <v>0</v>
      </c>
      <c r="AP955" s="89" t="str">
        <f t="shared" si="266"/>
        <v/>
      </c>
      <c r="AQ955" s="89" t="str">
        <f t="shared" si="282"/>
        <v/>
      </c>
      <c r="AR955" s="315" t="str">
        <f t="shared" si="283"/>
        <v/>
      </c>
      <c r="AS955" s="305" t="str">
        <f t="shared" si="279"/>
        <v>0</v>
      </c>
      <c r="AT955" s="307">
        <f>Table22[[#This Row],[Column1]]</f>
        <v>0</v>
      </c>
    </row>
    <row r="956" spans="1:46" x14ac:dyDescent="0.3">
      <c r="A956" s="307">
        <f t="shared" si="273"/>
        <v>0</v>
      </c>
      <c r="B956" s="307">
        <f t="shared" si="280"/>
        <v>0</v>
      </c>
      <c r="C956" s="308" t="s">
        <v>563</v>
      </c>
      <c r="D956" s="309" t="s">
        <v>563</v>
      </c>
      <c r="E956" s="310">
        <v>0</v>
      </c>
      <c r="F956" s="310">
        <v>0</v>
      </c>
      <c r="G956" s="311">
        <v>0</v>
      </c>
      <c r="H956" s="310" t="s">
        <v>563</v>
      </c>
      <c r="I956" s="310" t="s">
        <v>563</v>
      </c>
      <c r="J956" s="310" t="s">
        <v>563</v>
      </c>
      <c r="K956" s="312">
        <v>0</v>
      </c>
      <c r="L956" s="310">
        <v>0</v>
      </c>
      <c r="M956" s="310">
        <v>0</v>
      </c>
      <c r="N956" s="313">
        <v>0</v>
      </c>
      <c r="O956" s="314" t="s">
        <v>563</v>
      </c>
      <c r="P956" s="307">
        <f t="shared" si="267"/>
        <v>0</v>
      </c>
      <c r="R956" s="91" t="str">
        <f t="shared" si="281"/>
        <v/>
      </c>
      <c r="S956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6" s="307" t="str">
        <f t="shared" si="269"/>
        <v/>
      </c>
      <c r="U956" s="315" t="str">
        <f t="shared" si="270"/>
        <v/>
      </c>
      <c r="V956" s="307">
        <f t="shared" si="274"/>
        <v>0</v>
      </c>
      <c r="W956" s="307">
        <f>IFERROR(IF(V956&gt;0,PROPER(Terbilang1(V956)&amp;" Rupiah"),0),"")</f>
        <v>0</v>
      </c>
      <c r="X956" s="90" t="str">
        <f t="shared" si="275"/>
        <v/>
      </c>
      <c r="Y956" s="307" t="str">
        <f t="shared" si="276"/>
        <v/>
      </c>
      <c r="Z956" s="307">
        <f t="shared" si="271"/>
        <v>0</v>
      </c>
      <c r="AA956" s="366">
        <f t="shared" si="272"/>
        <v>0</v>
      </c>
      <c r="AB956" s="367">
        <f t="shared" si="277"/>
        <v>0</v>
      </c>
      <c r="AC956" s="305">
        <f t="shared" si="278"/>
        <v>0</v>
      </c>
      <c r="AP956" s="89" t="str">
        <f t="shared" si="266"/>
        <v/>
      </c>
      <c r="AQ956" s="89" t="str">
        <f t="shared" si="282"/>
        <v/>
      </c>
      <c r="AR956" s="315" t="str">
        <f t="shared" si="283"/>
        <v/>
      </c>
      <c r="AS956" s="305" t="str">
        <f t="shared" si="279"/>
        <v>0</v>
      </c>
      <c r="AT956" s="307">
        <f>Table22[[#This Row],[Column1]]</f>
        <v>0</v>
      </c>
    </row>
    <row r="957" spans="1:46" x14ac:dyDescent="0.3">
      <c r="A957" s="307">
        <f t="shared" si="273"/>
        <v>0</v>
      </c>
      <c r="B957" s="307">
        <f t="shared" si="280"/>
        <v>0</v>
      </c>
      <c r="C957" s="308" t="s">
        <v>563</v>
      </c>
      <c r="D957" s="309" t="s">
        <v>563</v>
      </c>
      <c r="E957" s="310">
        <v>0</v>
      </c>
      <c r="F957" s="310">
        <v>0</v>
      </c>
      <c r="G957" s="311">
        <v>0</v>
      </c>
      <c r="H957" s="310" t="s">
        <v>563</v>
      </c>
      <c r="I957" s="310" t="s">
        <v>563</v>
      </c>
      <c r="J957" s="310" t="s">
        <v>563</v>
      </c>
      <c r="K957" s="312">
        <v>0</v>
      </c>
      <c r="L957" s="310">
        <v>0</v>
      </c>
      <c r="M957" s="310">
        <v>0</v>
      </c>
      <c r="N957" s="313">
        <v>0</v>
      </c>
      <c r="O957" s="314" t="s">
        <v>563</v>
      </c>
      <c r="P957" s="307">
        <f t="shared" si="267"/>
        <v>0</v>
      </c>
      <c r="R957" s="91" t="str">
        <f t="shared" si="281"/>
        <v/>
      </c>
      <c r="S957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7" s="307" t="str">
        <f t="shared" si="269"/>
        <v/>
      </c>
      <c r="U957" s="315" t="str">
        <f t="shared" si="270"/>
        <v/>
      </c>
      <c r="V957" s="307">
        <f t="shared" si="274"/>
        <v>0</v>
      </c>
      <c r="W957" s="307">
        <f>IFERROR(IF(V957&gt;0,PROPER(Terbilang1(V957)&amp;" Rupiah"),0),"")</f>
        <v>0</v>
      </c>
      <c r="X957" s="90" t="str">
        <f t="shared" si="275"/>
        <v/>
      </c>
      <c r="Y957" s="307" t="str">
        <f t="shared" si="276"/>
        <v/>
      </c>
      <c r="Z957" s="307">
        <f t="shared" si="271"/>
        <v>0</v>
      </c>
      <c r="AA957" s="366">
        <f t="shared" si="272"/>
        <v>0</v>
      </c>
      <c r="AB957" s="367">
        <f t="shared" si="277"/>
        <v>0</v>
      </c>
      <c r="AC957" s="305">
        <f t="shared" si="278"/>
        <v>0</v>
      </c>
      <c r="AP957" s="89" t="str">
        <f t="shared" si="266"/>
        <v/>
      </c>
      <c r="AQ957" s="89" t="str">
        <f t="shared" si="282"/>
        <v/>
      </c>
      <c r="AR957" s="315" t="str">
        <f t="shared" si="283"/>
        <v/>
      </c>
      <c r="AS957" s="305" t="str">
        <f t="shared" si="279"/>
        <v>0</v>
      </c>
      <c r="AT957" s="307">
        <f>Table22[[#This Row],[Column1]]</f>
        <v>0</v>
      </c>
    </row>
    <row r="958" spans="1:46" x14ac:dyDescent="0.3">
      <c r="A958" s="307">
        <f t="shared" si="273"/>
        <v>0</v>
      </c>
      <c r="B958" s="307">
        <f t="shared" si="280"/>
        <v>0</v>
      </c>
      <c r="C958" s="308" t="s">
        <v>563</v>
      </c>
      <c r="D958" s="309" t="s">
        <v>563</v>
      </c>
      <c r="E958" s="310">
        <v>0</v>
      </c>
      <c r="F958" s="310">
        <v>0</v>
      </c>
      <c r="G958" s="311">
        <v>0</v>
      </c>
      <c r="H958" s="310" t="s">
        <v>563</v>
      </c>
      <c r="I958" s="310" t="s">
        <v>563</v>
      </c>
      <c r="J958" s="310" t="s">
        <v>563</v>
      </c>
      <c r="K958" s="312">
        <v>0</v>
      </c>
      <c r="L958" s="310">
        <v>0</v>
      </c>
      <c r="M958" s="310">
        <v>0</v>
      </c>
      <c r="N958" s="313">
        <v>0</v>
      </c>
      <c r="O958" s="314" t="s">
        <v>563</v>
      </c>
      <c r="P958" s="307">
        <f t="shared" si="267"/>
        <v>0</v>
      </c>
      <c r="R958" s="91" t="str">
        <f t="shared" si="281"/>
        <v/>
      </c>
      <c r="S958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8" s="307" t="str">
        <f t="shared" si="269"/>
        <v/>
      </c>
      <c r="U958" s="315" t="str">
        <f t="shared" si="270"/>
        <v/>
      </c>
      <c r="V958" s="307">
        <f t="shared" si="274"/>
        <v>0</v>
      </c>
      <c r="W958" s="307">
        <f>IFERROR(IF(V958&gt;0,PROPER(Terbilang1(V958)&amp;" Rupiah"),0),"")</f>
        <v>0</v>
      </c>
      <c r="X958" s="90" t="str">
        <f t="shared" si="275"/>
        <v/>
      </c>
      <c r="Y958" s="307" t="str">
        <f t="shared" si="276"/>
        <v/>
      </c>
      <c r="Z958" s="307">
        <f t="shared" si="271"/>
        <v>0</v>
      </c>
      <c r="AA958" s="366">
        <f t="shared" si="272"/>
        <v>0</v>
      </c>
      <c r="AB958" s="367">
        <f t="shared" si="277"/>
        <v>0</v>
      </c>
      <c r="AC958" s="305">
        <f t="shared" si="278"/>
        <v>0</v>
      </c>
      <c r="AP958" s="89" t="str">
        <f t="shared" si="266"/>
        <v/>
      </c>
      <c r="AQ958" s="89" t="str">
        <f t="shared" si="282"/>
        <v/>
      </c>
      <c r="AR958" s="315" t="str">
        <f t="shared" si="283"/>
        <v/>
      </c>
      <c r="AS958" s="305" t="str">
        <f t="shared" si="279"/>
        <v>0</v>
      </c>
      <c r="AT958" s="307">
        <f>Table22[[#This Row],[Column1]]</f>
        <v>0</v>
      </c>
    </row>
    <row r="959" spans="1:46" x14ac:dyDescent="0.3">
      <c r="A959" s="307">
        <f t="shared" si="273"/>
        <v>0</v>
      </c>
      <c r="B959" s="307">
        <f t="shared" si="280"/>
        <v>0</v>
      </c>
      <c r="C959" s="308" t="s">
        <v>563</v>
      </c>
      <c r="D959" s="309" t="s">
        <v>563</v>
      </c>
      <c r="E959" s="310">
        <v>0</v>
      </c>
      <c r="F959" s="310">
        <v>0</v>
      </c>
      <c r="G959" s="311">
        <v>0</v>
      </c>
      <c r="H959" s="310" t="s">
        <v>563</v>
      </c>
      <c r="I959" s="310" t="s">
        <v>563</v>
      </c>
      <c r="J959" s="310" t="s">
        <v>563</v>
      </c>
      <c r="K959" s="312">
        <v>0</v>
      </c>
      <c r="L959" s="310">
        <v>0</v>
      </c>
      <c r="M959" s="310">
        <v>0</v>
      </c>
      <c r="N959" s="313">
        <v>0</v>
      </c>
      <c r="O959" s="314" t="s">
        <v>563</v>
      </c>
      <c r="P959" s="307">
        <f t="shared" si="267"/>
        <v>0</v>
      </c>
      <c r="R959" s="91" t="str">
        <f t="shared" si="281"/>
        <v/>
      </c>
      <c r="S959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59" s="307" t="str">
        <f t="shared" si="269"/>
        <v/>
      </c>
      <c r="U959" s="315" t="str">
        <f t="shared" si="270"/>
        <v/>
      </c>
      <c r="V959" s="307">
        <f t="shared" si="274"/>
        <v>0</v>
      </c>
      <c r="W959" s="307">
        <f>IFERROR(IF(V959&gt;0,PROPER(Terbilang1(V959)&amp;" Rupiah"),0),"")</f>
        <v>0</v>
      </c>
      <c r="X959" s="90" t="str">
        <f t="shared" si="275"/>
        <v/>
      </c>
      <c r="Y959" s="307" t="str">
        <f t="shared" si="276"/>
        <v/>
      </c>
      <c r="Z959" s="307">
        <f t="shared" si="271"/>
        <v>0</v>
      </c>
      <c r="AA959" s="366">
        <f t="shared" si="272"/>
        <v>0</v>
      </c>
      <c r="AB959" s="367">
        <f t="shared" si="277"/>
        <v>0</v>
      </c>
      <c r="AC959" s="305">
        <f t="shared" si="278"/>
        <v>0</v>
      </c>
      <c r="AP959" s="89" t="str">
        <f t="shared" si="266"/>
        <v/>
      </c>
      <c r="AQ959" s="89" t="str">
        <f t="shared" si="282"/>
        <v/>
      </c>
      <c r="AR959" s="315" t="str">
        <f t="shared" si="283"/>
        <v/>
      </c>
      <c r="AS959" s="305" t="str">
        <f t="shared" si="279"/>
        <v>0</v>
      </c>
      <c r="AT959" s="307">
        <f>Table22[[#This Row],[Column1]]</f>
        <v>0</v>
      </c>
    </row>
    <row r="960" spans="1:46" x14ac:dyDescent="0.3">
      <c r="A960" s="307">
        <f t="shared" si="273"/>
        <v>0</v>
      </c>
      <c r="B960" s="307">
        <f t="shared" si="280"/>
        <v>0</v>
      </c>
      <c r="C960" s="308" t="s">
        <v>563</v>
      </c>
      <c r="D960" s="309" t="s">
        <v>563</v>
      </c>
      <c r="E960" s="310">
        <v>0</v>
      </c>
      <c r="F960" s="310">
        <v>0</v>
      </c>
      <c r="G960" s="311">
        <v>0</v>
      </c>
      <c r="H960" s="310" t="s">
        <v>563</v>
      </c>
      <c r="I960" s="310" t="s">
        <v>563</v>
      </c>
      <c r="J960" s="310" t="s">
        <v>563</v>
      </c>
      <c r="K960" s="312">
        <v>0</v>
      </c>
      <c r="L960" s="310">
        <v>0</v>
      </c>
      <c r="M960" s="310">
        <v>0</v>
      </c>
      <c r="N960" s="313">
        <v>0</v>
      </c>
      <c r="O960" s="314" t="s">
        <v>563</v>
      </c>
      <c r="P960" s="307">
        <f t="shared" si="267"/>
        <v>0</v>
      </c>
      <c r="R960" s="91" t="str">
        <f t="shared" si="281"/>
        <v/>
      </c>
      <c r="S960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0" s="307" t="str">
        <f t="shared" si="269"/>
        <v/>
      </c>
      <c r="U960" s="315" t="str">
        <f t="shared" si="270"/>
        <v/>
      </c>
      <c r="V960" s="307">
        <f t="shared" si="274"/>
        <v>0</v>
      </c>
      <c r="W960" s="307">
        <f>IFERROR(IF(V960&gt;0,PROPER(Terbilang1(V960)&amp;" Rupiah"),0),"")</f>
        <v>0</v>
      </c>
      <c r="X960" s="90" t="str">
        <f t="shared" si="275"/>
        <v/>
      </c>
      <c r="Y960" s="307" t="str">
        <f t="shared" si="276"/>
        <v/>
      </c>
      <c r="Z960" s="307">
        <f t="shared" si="271"/>
        <v>0</v>
      </c>
      <c r="AA960" s="366">
        <f t="shared" si="272"/>
        <v>0</v>
      </c>
      <c r="AB960" s="367">
        <f t="shared" si="277"/>
        <v>0</v>
      </c>
      <c r="AC960" s="305">
        <f t="shared" si="278"/>
        <v>0</v>
      </c>
      <c r="AP960" s="89" t="str">
        <f t="shared" si="266"/>
        <v/>
      </c>
      <c r="AQ960" s="89" t="str">
        <f t="shared" si="282"/>
        <v/>
      </c>
      <c r="AR960" s="315" t="str">
        <f t="shared" si="283"/>
        <v/>
      </c>
      <c r="AS960" s="305" t="str">
        <f t="shared" si="279"/>
        <v>0</v>
      </c>
      <c r="AT960" s="307">
        <f>Table22[[#This Row],[Column1]]</f>
        <v>0</v>
      </c>
    </row>
    <row r="961" spans="1:46" x14ac:dyDescent="0.3">
      <c r="A961" s="307">
        <f t="shared" si="273"/>
        <v>0</v>
      </c>
      <c r="B961" s="307">
        <f t="shared" si="280"/>
        <v>0</v>
      </c>
      <c r="C961" s="308" t="s">
        <v>563</v>
      </c>
      <c r="D961" s="309" t="s">
        <v>563</v>
      </c>
      <c r="E961" s="310">
        <v>0</v>
      </c>
      <c r="F961" s="310">
        <v>0</v>
      </c>
      <c r="G961" s="311">
        <v>0</v>
      </c>
      <c r="H961" s="310" t="s">
        <v>563</v>
      </c>
      <c r="I961" s="310" t="s">
        <v>563</v>
      </c>
      <c r="J961" s="310" t="s">
        <v>563</v>
      </c>
      <c r="K961" s="312">
        <v>0</v>
      </c>
      <c r="L961" s="310">
        <v>0</v>
      </c>
      <c r="M961" s="310">
        <v>0</v>
      </c>
      <c r="N961" s="313">
        <v>0</v>
      </c>
      <c r="O961" s="314" t="s">
        <v>563</v>
      </c>
      <c r="P961" s="307">
        <f t="shared" si="267"/>
        <v>0</v>
      </c>
      <c r="R961" s="91" t="str">
        <f t="shared" si="281"/>
        <v/>
      </c>
      <c r="S961" s="307" t="str">
        <f t="shared" si="268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1" s="307" t="str">
        <f t="shared" si="269"/>
        <v/>
      </c>
      <c r="U961" s="315" t="str">
        <f t="shared" si="270"/>
        <v/>
      </c>
      <c r="V961" s="307">
        <f t="shared" si="274"/>
        <v>0</v>
      </c>
      <c r="W961" s="307">
        <f>IFERROR(IF(V961&gt;0,PROPER(Terbilang1(V961)&amp;" Rupiah"),0),"")</f>
        <v>0</v>
      </c>
      <c r="X961" s="90" t="str">
        <f t="shared" si="275"/>
        <v/>
      </c>
      <c r="Y961" s="307" t="str">
        <f t="shared" si="276"/>
        <v/>
      </c>
      <c r="Z961" s="307">
        <f t="shared" si="271"/>
        <v>0</v>
      </c>
      <c r="AA961" s="366">
        <f t="shared" si="272"/>
        <v>0</v>
      </c>
      <c r="AB961" s="367">
        <f t="shared" si="277"/>
        <v>0</v>
      </c>
      <c r="AC961" s="305">
        <f t="shared" si="278"/>
        <v>0</v>
      </c>
      <c r="AP961" s="89" t="str">
        <f t="shared" ref="AP961:AP1000" si="284">IF(LEFT(O961,3)="BKK",1,"")</f>
        <v/>
      </c>
      <c r="AQ961" s="89" t="str">
        <f t="shared" si="282"/>
        <v/>
      </c>
      <c r="AR961" s="315" t="str">
        <f t="shared" si="283"/>
        <v/>
      </c>
      <c r="AS961" s="305" t="str">
        <f t="shared" si="279"/>
        <v>0</v>
      </c>
      <c r="AT961" s="307">
        <f>Table22[[#This Row],[Column1]]</f>
        <v>0</v>
      </c>
    </row>
    <row r="962" spans="1:46" x14ac:dyDescent="0.3">
      <c r="A962" s="307">
        <f t="shared" si="273"/>
        <v>0</v>
      </c>
      <c r="B962" s="307">
        <f t="shared" si="280"/>
        <v>0</v>
      </c>
      <c r="C962" s="308" t="s">
        <v>563</v>
      </c>
      <c r="D962" s="309" t="s">
        <v>563</v>
      </c>
      <c r="E962" s="310">
        <v>0</v>
      </c>
      <c r="F962" s="310">
        <v>0</v>
      </c>
      <c r="G962" s="311">
        <v>0</v>
      </c>
      <c r="H962" s="310" t="s">
        <v>563</v>
      </c>
      <c r="I962" s="310" t="s">
        <v>563</v>
      </c>
      <c r="J962" s="310" t="s">
        <v>563</v>
      </c>
      <c r="K962" s="312">
        <v>0</v>
      </c>
      <c r="L962" s="310">
        <v>0</v>
      </c>
      <c r="M962" s="310">
        <v>0</v>
      </c>
      <c r="N962" s="313">
        <v>0</v>
      </c>
      <c r="O962" s="314" t="s">
        <v>563</v>
      </c>
      <c r="P962" s="307">
        <f t="shared" ref="P962:P1000" si="285">IF(LEFT(O962,1)="B",R962,0)</f>
        <v>0</v>
      </c>
      <c r="R962" s="91" t="str">
        <f t="shared" si="281"/>
        <v/>
      </c>
      <c r="S962" s="307" t="str">
        <f t="shared" ref="S962:S1000" si="286">IF(O962="",S961&amp;"a",IF(O962&gt;0,O962,0))</f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2" s="307" t="str">
        <f t="shared" ref="T962:T1000" si="287">IF(G962=0,"",G962)</f>
        <v/>
      </c>
      <c r="U962" s="315" t="str">
        <f t="shared" ref="U962:U1000" si="288">D962</f>
        <v/>
      </c>
      <c r="V962" s="307">
        <f t="shared" si="274"/>
        <v>0</v>
      </c>
      <c r="W962" s="307">
        <f>IFERROR(IF(V962&gt;0,PROPER(Terbilang1(V962)&amp;" Rupiah"),0),"")</f>
        <v>0</v>
      </c>
      <c r="X962" s="90" t="str">
        <f t="shared" si="275"/>
        <v/>
      </c>
      <c r="Y962" s="307" t="str">
        <f t="shared" si="276"/>
        <v/>
      </c>
      <c r="Z962" s="307">
        <f t="shared" ref="Z962:Z1000" si="289">IF(LEN(AA962)&gt;1,AA962,IF(AA962=0,AB962,0))</f>
        <v>0</v>
      </c>
      <c r="AA962" s="366">
        <f t="shared" ref="AA962:AA1000" si="290">IFERROR(IF(AND(N962&gt;1,LEFT(G962,5)="Bayar"),N962*3.5%,IF(N962&gt;2000000,N962*(IF(OR(LEFT(F962,3)="MoP",LEFT(F962,3)="GaJ"),0,11%)),0)),0)</f>
        <v>0</v>
      </c>
      <c r="AB962" s="367">
        <f t="shared" si="277"/>
        <v>0</v>
      </c>
      <c r="AC962" s="305">
        <f t="shared" si="278"/>
        <v>0</v>
      </c>
      <c r="AP962" s="89" t="str">
        <f t="shared" si="284"/>
        <v/>
      </c>
      <c r="AQ962" s="89" t="str">
        <f t="shared" si="282"/>
        <v/>
      </c>
      <c r="AR962" s="315" t="str">
        <f t="shared" si="283"/>
        <v/>
      </c>
      <c r="AS962" s="305" t="str">
        <f t="shared" si="279"/>
        <v>0</v>
      </c>
      <c r="AT962" s="307">
        <f>Table22[[#This Row],[Column1]]</f>
        <v>0</v>
      </c>
    </row>
    <row r="963" spans="1:46" x14ac:dyDescent="0.3">
      <c r="A963" s="307">
        <f t="shared" ref="A963:A1000" si="291">IF(C963=1,C963&amp;"."&amp;MOD(ROW()-1,$AJ$2+1),IF(C963=2,C963&amp;"."&amp;MOD(ROW()-($AJ$2+1),$AK$2+1),IF(C963=3,C963&amp;"."&amp;MOD(ROW()-($AJ$2+$AK$2+1),$AL$2+1),IF(C963=4,C963&amp;"."&amp;MOD(ROW()-($AJ$2+$AK$2+$AL$2+1),$AM$2+1),IF(C963=5,C963&amp;"."&amp;MOD(ROW()-($AJ$2+$AK$2+$AL$2+$AM$2+1),$AN$2+1),0)))))</f>
        <v>0</v>
      </c>
      <c r="B963" s="307">
        <f t="shared" si="280"/>
        <v>0</v>
      </c>
      <c r="C963" s="308" t="s">
        <v>563</v>
      </c>
      <c r="D963" s="309" t="s">
        <v>563</v>
      </c>
      <c r="E963" s="310">
        <v>0</v>
      </c>
      <c r="F963" s="310">
        <v>0</v>
      </c>
      <c r="G963" s="311">
        <v>0</v>
      </c>
      <c r="H963" s="310" t="s">
        <v>563</v>
      </c>
      <c r="I963" s="310" t="s">
        <v>563</v>
      </c>
      <c r="J963" s="310" t="s">
        <v>563</v>
      </c>
      <c r="K963" s="312">
        <v>0</v>
      </c>
      <c r="L963" s="310">
        <v>0</v>
      </c>
      <c r="M963" s="310">
        <v>0</v>
      </c>
      <c r="N963" s="313">
        <v>0</v>
      </c>
      <c r="O963" s="314" t="s">
        <v>563</v>
      </c>
      <c r="P963" s="307">
        <f t="shared" si="285"/>
        <v>0</v>
      </c>
      <c r="R963" s="91" t="str">
        <f t="shared" si="281"/>
        <v/>
      </c>
      <c r="S963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3" s="307" t="str">
        <f t="shared" si="287"/>
        <v/>
      </c>
      <c r="U963" s="315" t="str">
        <f t="shared" si="288"/>
        <v/>
      </c>
      <c r="V963" s="307">
        <f t="shared" ref="V963:V1000" si="292">N963</f>
        <v>0</v>
      </c>
      <c r="W963" s="307">
        <f>IFERROR(IF(V963&gt;0,PROPER(Terbilang1(V963)&amp;" Rupiah"),0),"")</f>
        <v>0</v>
      </c>
      <c r="X963" s="90" t="str">
        <f t="shared" ref="X963:X1000" si="293">J963</f>
        <v/>
      </c>
      <c r="Y963" s="307" t="str">
        <f t="shared" ref="Y963:Y1000" si="294">H963</f>
        <v/>
      </c>
      <c r="Z963" s="307">
        <f t="shared" si="289"/>
        <v>0</v>
      </c>
      <c r="AA963" s="366">
        <f t="shared" si="290"/>
        <v>0</v>
      </c>
      <c r="AB963" s="367">
        <f t="shared" ref="AB963:AB1000" si="295">IF(LEN(AA962)&gt;1,IF(LEFT(G962,5)="Bayar",0,IF(LEFT(G962,6)="PEMASA",(N962*100/111*1.5%),N962*0.015)),0)</f>
        <v>0</v>
      </c>
      <c r="AC963" s="305">
        <f t="shared" ref="AC963:AC1000" si="296">IF(LEN(AA963)&gt;1,IF(LEFT(G963,6)="PEMASA","Terima Pajak PPN (11 %) "&amp;O963,IF(LEFT(G963,5)="Bayar","Terima PPh Pasal 4 ayat 2 (3,5 %) "&amp;O963,"Bayar Pajak PPN (11 %) "&amp;O963)),IF(AB963&gt;0,IF(LEFT(AC962,6)="Terima","Terima Pajak PPH (1,5%) "&amp;O962,"Bayar Pajak PPH (1,5 %) "&amp;O962),0))</f>
        <v>0</v>
      </c>
      <c r="AP963" s="89" t="str">
        <f t="shared" si="284"/>
        <v/>
      </c>
      <c r="AQ963" s="89" t="str">
        <f t="shared" si="282"/>
        <v/>
      </c>
      <c r="AR963" s="315" t="str">
        <f t="shared" si="283"/>
        <v/>
      </c>
      <c r="AS963" s="305" t="str">
        <f t="shared" ref="AS963:AS1000" si="297">IF(AC963="","",LEFT(AC963,15))</f>
        <v>0</v>
      </c>
      <c r="AT963" s="307">
        <f>Table22[[#This Row],[Column1]]</f>
        <v>0</v>
      </c>
    </row>
    <row r="964" spans="1:46" x14ac:dyDescent="0.3">
      <c r="A964" s="307">
        <f t="shared" si="291"/>
        <v>0</v>
      </c>
      <c r="B964" s="307">
        <f t="shared" si="280"/>
        <v>0</v>
      </c>
      <c r="C964" s="308" t="s">
        <v>563</v>
      </c>
      <c r="D964" s="309" t="s">
        <v>563</v>
      </c>
      <c r="E964" s="310">
        <v>0</v>
      </c>
      <c r="F964" s="310">
        <v>0</v>
      </c>
      <c r="G964" s="311">
        <v>0</v>
      </c>
      <c r="H964" s="310" t="s">
        <v>563</v>
      </c>
      <c r="I964" s="310" t="s">
        <v>563</v>
      </c>
      <c r="J964" s="310" t="s">
        <v>563</v>
      </c>
      <c r="K964" s="312">
        <v>0</v>
      </c>
      <c r="L964" s="310">
        <v>0</v>
      </c>
      <c r="M964" s="310">
        <v>0</v>
      </c>
      <c r="N964" s="313">
        <v>0</v>
      </c>
      <c r="O964" s="314" t="s">
        <v>563</v>
      </c>
      <c r="P964" s="307">
        <f t="shared" si="285"/>
        <v>0</v>
      </c>
      <c r="R964" s="91" t="str">
        <f t="shared" si="281"/>
        <v/>
      </c>
      <c r="S964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4" s="307" t="str">
        <f t="shared" si="287"/>
        <v/>
      </c>
      <c r="U964" s="315" t="str">
        <f t="shared" si="288"/>
        <v/>
      </c>
      <c r="V964" s="307">
        <f t="shared" si="292"/>
        <v>0</v>
      </c>
      <c r="W964" s="307">
        <f>IFERROR(IF(V964&gt;0,PROPER(Terbilang1(V964)&amp;" Rupiah"),0),"")</f>
        <v>0</v>
      </c>
      <c r="X964" s="90" t="str">
        <f t="shared" si="293"/>
        <v/>
      </c>
      <c r="Y964" s="307" t="str">
        <f t="shared" si="294"/>
        <v/>
      </c>
      <c r="Z964" s="307">
        <f t="shared" si="289"/>
        <v>0</v>
      </c>
      <c r="AA964" s="366">
        <f t="shared" si="290"/>
        <v>0</v>
      </c>
      <c r="AB964" s="367">
        <f t="shared" si="295"/>
        <v>0</v>
      </c>
      <c r="AC964" s="305">
        <f t="shared" si="296"/>
        <v>0</v>
      </c>
      <c r="AP964" s="89" t="str">
        <f t="shared" si="284"/>
        <v/>
      </c>
      <c r="AQ964" s="89" t="str">
        <f t="shared" si="282"/>
        <v/>
      </c>
      <c r="AR964" s="315" t="str">
        <f t="shared" si="283"/>
        <v/>
      </c>
      <c r="AS964" s="305" t="str">
        <f t="shared" si="297"/>
        <v>0</v>
      </c>
      <c r="AT964" s="307">
        <f>Table22[[#This Row],[Column1]]</f>
        <v>0</v>
      </c>
    </row>
    <row r="965" spans="1:46" x14ac:dyDescent="0.3">
      <c r="A965" s="307">
        <f t="shared" si="291"/>
        <v>0</v>
      </c>
      <c r="B965" s="307">
        <f t="shared" si="280"/>
        <v>0</v>
      </c>
      <c r="C965" s="308" t="s">
        <v>563</v>
      </c>
      <c r="D965" s="309" t="s">
        <v>563</v>
      </c>
      <c r="E965" s="310">
        <v>0</v>
      </c>
      <c r="F965" s="310">
        <v>0</v>
      </c>
      <c r="G965" s="311">
        <v>0</v>
      </c>
      <c r="H965" s="310" t="s">
        <v>563</v>
      </c>
      <c r="I965" s="310" t="s">
        <v>563</v>
      </c>
      <c r="J965" s="310" t="s">
        <v>563</v>
      </c>
      <c r="K965" s="312">
        <v>0</v>
      </c>
      <c r="L965" s="310">
        <v>0</v>
      </c>
      <c r="M965" s="310">
        <v>0</v>
      </c>
      <c r="N965" s="313">
        <v>0</v>
      </c>
      <c r="O965" s="314" t="s">
        <v>563</v>
      </c>
      <c r="P965" s="307">
        <f t="shared" si="285"/>
        <v>0</v>
      </c>
      <c r="R965" s="91" t="str">
        <f t="shared" si="281"/>
        <v/>
      </c>
      <c r="S965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5" s="307" t="str">
        <f t="shared" si="287"/>
        <v/>
      </c>
      <c r="U965" s="315" t="str">
        <f t="shared" si="288"/>
        <v/>
      </c>
      <c r="V965" s="307">
        <f t="shared" si="292"/>
        <v>0</v>
      </c>
      <c r="W965" s="307">
        <f>IFERROR(IF(V965&gt;0,PROPER(Terbilang1(V965)&amp;" Rupiah"),0),"")</f>
        <v>0</v>
      </c>
      <c r="X965" s="90" t="str">
        <f t="shared" si="293"/>
        <v/>
      </c>
      <c r="Y965" s="307" t="str">
        <f t="shared" si="294"/>
        <v/>
      </c>
      <c r="Z965" s="307">
        <f t="shared" si="289"/>
        <v>0</v>
      </c>
      <c r="AA965" s="366">
        <f t="shared" si="290"/>
        <v>0</v>
      </c>
      <c r="AB965" s="367">
        <f t="shared" si="295"/>
        <v>0</v>
      </c>
      <c r="AC965" s="305">
        <f t="shared" si="296"/>
        <v>0</v>
      </c>
      <c r="AP965" s="89" t="str">
        <f t="shared" si="284"/>
        <v/>
      </c>
      <c r="AQ965" s="89" t="str">
        <f t="shared" si="282"/>
        <v/>
      </c>
      <c r="AR965" s="315" t="str">
        <f t="shared" si="283"/>
        <v/>
      </c>
      <c r="AS965" s="305" t="str">
        <f t="shared" si="297"/>
        <v>0</v>
      </c>
      <c r="AT965" s="307">
        <f>Table22[[#This Row],[Column1]]</f>
        <v>0</v>
      </c>
    </row>
    <row r="966" spans="1:46" x14ac:dyDescent="0.3">
      <c r="A966" s="307">
        <f t="shared" si="291"/>
        <v>0</v>
      </c>
      <c r="B966" s="307">
        <f t="shared" si="280"/>
        <v>0</v>
      </c>
      <c r="C966" s="308" t="s">
        <v>563</v>
      </c>
      <c r="D966" s="309" t="s">
        <v>563</v>
      </c>
      <c r="E966" s="310">
        <v>0</v>
      </c>
      <c r="F966" s="310">
        <v>0</v>
      </c>
      <c r="G966" s="311">
        <v>0</v>
      </c>
      <c r="H966" s="310" t="s">
        <v>563</v>
      </c>
      <c r="I966" s="310" t="s">
        <v>563</v>
      </c>
      <c r="J966" s="310" t="s">
        <v>563</v>
      </c>
      <c r="K966" s="312">
        <v>0</v>
      </c>
      <c r="L966" s="310">
        <v>0</v>
      </c>
      <c r="M966" s="310">
        <v>0</v>
      </c>
      <c r="N966" s="313">
        <v>0</v>
      </c>
      <c r="O966" s="314" t="s">
        <v>563</v>
      </c>
      <c r="P966" s="307">
        <f t="shared" si="285"/>
        <v>0</v>
      </c>
      <c r="R966" s="91" t="str">
        <f t="shared" si="281"/>
        <v/>
      </c>
      <c r="S966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6" s="307" t="str">
        <f t="shared" si="287"/>
        <v/>
      </c>
      <c r="U966" s="315" t="str">
        <f t="shared" si="288"/>
        <v/>
      </c>
      <c r="V966" s="307">
        <f t="shared" si="292"/>
        <v>0</v>
      </c>
      <c r="W966" s="307">
        <f>IFERROR(IF(V966&gt;0,PROPER(Terbilang1(V966)&amp;" Rupiah"),0),"")</f>
        <v>0</v>
      </c>
      <c r="X966" s="90" t="str">
        <f t="shared" si="293"/>
        <v/>
      </c>
      <c r="Y966" s="307" t="str">
        <f t="shared" si="294"/>
        <v/>
      </c>
      <c r="Z966" s="307">
        <f t="shared" si="289"/>
        <v>0</v>
      </c>
      <c r="AA966" s="366">
        <f t="shared" si="290"/>
        <v>0</v>
      </c>
      <c r="AB966" s="367">
        <f t="shared" si="295"/>
        <v>0</v>
      </c>
      <c r="AC966" s="305">
        <f t="shared" si="296"/>
        <v>0</v>
      </c>
      <c r="AP966" s="89" t="str">
        <f t="shared" si="284"/>
        <v/>
      </c>
      <c r="AQ966" s="89" t="str">
        <f t="shared" si="282"/>
        <v/>
      </c>
      <c r="AR966" s="315" t="str">
        <f t="shared" si="283"/>
        <v/>
      </c>
      <c r="AS966" s="305" t="str">
        <f t="shared" si="297"/>
        <v>0</v>
      </c>
      <c r="AT966" s="307">
        <f>Table22[[#This Row],[Column1]]</f>
        <v>0</v>
      </c>
    </row>
    <row r="967" spans="1:46" x14ac:dyDescent="0.3">
      <c r="A967" s="307">
        <f t="shared" si="291"/>
        <v>0</v>
      </c>
      <c r="B967" s="307">
        <f t="shared" si="280"/>
        <v>0</v>
      </c>
      <c r="C967" s="308" t="s">
        <v>563</v>
      </c>
      <c r="D967" s="309" t="s">
        <v>563</v>
      </c>
      <c r="E967" s="310">
        <v>0</v>
      </c>
      <c r="F967" s="310">
        <v>0</v>
      </c>
      <c r="G967" s="311">
        <v>0</v>
      </c>
      <c r="H967" s="310" t="s">
        <v>563</v>
      </c>
      <c r="I967" s="310" t="s">
        <v>563</v>
      </c>
      <c r="J967" s="310" t="s">
        <v>563</v>
      </c>
      <c r="K967" s="312">
        <v>0</v>
      </c>
      <c r="L967" s="310">
        <v>0</v>
      </c>
      <c r="M967" s="310">
        <v>0</v>
      </c>
      <c r="N967" s="313">
        <v>0</v>
      </c>
      <c r="O967" s="314" t="s">
        <v>563</v>
      </c>
      <c r="P967" s="307">
        <f t="shared" si="285"/>
        <v>0</v>
      </c>
      <c r="R967" s="91" t="str">
        <f t="shared" si="281"/>
        <v/>
      </c>
      <c r="S967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7" s="307" t="str">
        <f t="shared" si="287"/>
        <v/>
      </c>
      <c r="U967" s="315" t="str">
        <f t="shared" si="288"/>
        <v/>
      </c>
      <c r="V967" s="307">
        <f t="shared" si="292"/>
        <v>0</v>
      </c>
      <c r="W967" s="307">
        <f>IFERROR(IF(V967&gt;0,PROPER(Terbilang1(V967)&amp;" Rupiah"),0),"")</f>
        <v>0</v>
      </c>
      <c r="X967" s="90" t="str">
        <f t="shared" si="293"/>
        <v/>
      </c>
      <c r="Y967" s="307" t="str">
        <f t="shared" si="294"/>
        <v/>
      </c>
      <c r="Z967" s="307">
        <f t="shared" si="289"/>
        <v>0</v>
      </c>
      <c r="AA967" s="366">
        <f t="shared" si="290"/>
        <v>0</v>
      </c>
      <c r="AB967" s="367">
        <f t="shared" si="295"/>
        <v>0</v>
      </c>
      <c r="AC967" s="305">
        <f t="shared" si="296"/>
        <v>0</v>
      </c>
      <c r="AP967" s="89" t="str">
        <f t="shared" si="284"/>
        <v/>
      </c>
      <c r="AQ967" s="89" t="str">
        <f t="shared" si="282"/>
        <v/>
      </c>
      <c r="AR967" s="315" t="str">
        <f t="shared" si="283"/>
        <v/>
      </c>
      <c r="AS967" s="305" t="str">
        <f t="shared" si="297"/>
        <v>0</v>
      </c>
      <c r="AT967" s="307">
        <f>Table22[[#This Row],[Column1]]</f>
        <v>0</v>
      </c>
    </row>
    <row r="968" spans="1:46" x14ac:dyDescent="0.3">
      <c r="A968" s="307">
        <f t="shared" si="291"/>
        <v>0</v>
      </c>
      <c r="B968" s="307">
        <f t="shared" si="280"/>
        <v>0</v>
      </c>
      <c r="C968" s="308" t="s">
        <v>563</v>
      </c>
      <c r="D968" s="309" t="s">
        <v>563</v>
      </c>
      <c r="E968" s="310">
        <v>0</v>
      </c>
      <c r="F968" s="310">
        <v>0</v>
      </c>
      <c r="G968" s="311">
        <v>0</v>
      </c>
      <c r="H968" s="310" t="s">
        <v>563</v>
      </c>
      <c r="I968" s="310" t="s">
        <v>563</v>
      </c>
      <c r="J968" s="310" t="s">
        <v>563</v>
      </c>
      <c r="K968" s="312">
        <v>0</v>
      </c>
      <c r="L968" s="310">
        <v>0</v>
      </c>
      <c r="M968" s="310">
        <v>0</v>
      </c>
      <c r="N968" s="313">
        <v>0</v>
      </c>
      <c r="O968" s="314" t="s">
        <v>563</v>
      </c>
      <c r="P968" s="307">
        <f t="shared" si="285"/>
        <v>0</v>
      </c>
      <c r="R968" s="91" t="str">
        <f t="shared" si="281"/>
        <v/>
      </c>
      <c r="S968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8" s="307" t="str">
        <f t="shared" si="287"/>
        <v/>
      </c>
      <c r="U968" s="315" t="str">
        <f t="shared" si="288"/>
        <v/>
      </c>
      <c r="V968" s="307">
        <f t="shared" si="292"/>
        <v>0</v>
      </c>
      <c r="W968" s="307">
        <f>IFERROR(IF(V968&gt;0,PROPER(Terbilang1(V968)&amp;" Rupiah"),0),"")</f>
        <v>0</v>
      </c>
      <c r="X968" s="90" t="str">
        <f t="shared" si="293"/>
        <v/>
      </c>
      <c r="Y968" s="307" t="str">
        <f t="shared" si="294"/>
        <v/>
      </c>
      <c r="Z968" s="307">
        <f t="shared" si="289"/>
        <v>0</v>
      </c>
      <c r="AA968" s="366">
        <f t="shared" si="290"/>
        <v>0</v>
      </c>
      <c r="AB968" s="367">
        <f t="shared" si="295"/>
        <v>0</v>
      </c>
      <c r="AC968" s="305">
        <f t="shared" si="296"/>
        <v>0</v>
      </c>
      <c r="AP968" s="89" t="str">
        <f t="shared" si="284"/>
        <v/>
      </c>
      <c r="AQ968" s="89" t="str">
        <f t="shared" si="282"/>
        <v/>
      </c>
      <c r="AR968" s="315" t="str">
        <f t="shared" si="283"/>
        <v/>
      </c>
      <c r="AS968" s="305" t="str">
        <f t="shared" si="297"/>
        <v>0</v>
      </c>
      <c r="AT968" s="307">
        <f>Table22[[#This Row],[Column1]]</f>
        <v>0</v>
      </c>
    </row>
    <row r="969" spans="1:46" x14ac:dyDescent="0.3">
      <c r="A969" s="307">
        <f t="shared" si="291"/>
        <v>0</v>
      </c>
      <c r="B969" s="307">
        <f t="shared" si="280"/>
        <v>0</v>
      </c>
      <c r="C969" s="308" t="s">
        <v>563</v>
      </c>
      <c r="D969" s="309" t="s">
        <v>563</v>
      </c>
      <c r="E969" s="310">
        <v>0</v>
      </c>
      <c r="F969" s="310">
        <v>0</v>
      </c>
      <c r="G969" s="311">
        <v>0</v>
      </c>
      <c r="H969" s="310" t="s">
        <v>563</v>
      </c>
      <c r="I969" s="310" t="s">
        <v>563</v>
      </c>
      <c r="J969" s="310" t="s">
        <v>563</v>
      </c>
      <c r="K969" s="312">
        <v>0</v>
      </c>
      <c r="L969" s="310">
        <v>0</v>
      </c>
      <c r="M969" s="310">
        <v>0</v>
      </c>
      <c r="N969" s="313">
        <v>0</v>
      </c>
      <c r="O969" s="314" t="s">
        <v>563</v>
      </c>
      <c r="P969" s="307">
        <f t="shared" si="285"/>
        <v>0</v>
      </c>
      <c r="R969" s="91" t="str">
        <f t="shared" si="281"/>
        <v/>
      </c>
      <c r="S969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69" s="307" t="str">
        <f t="shared" si="287"/>
        <v/>
      </c>
      <c r="U969" s="315" t="str">
        <f t="shared" si="288"/>
        <v/>
      </c>
      <c r="V969" s="307">
        <f t="shared" si="292"/>
        <v>0</v>
      </c>
      <c r="W969" s="307">
        <f>IFERROR(IF(V969&gt;0,PROPER(Terbilang1(V969)&amp;" Rupiah"),0),"")</f>
        <v>0</v>
      </c>
      <c r="X969" s="90" t="str">
        <f t="shared" si="293"/>
        <v/>
      </c>
      <c r="Y969" s="307" t="str">
        <f t="shared" si="294"/>
        <v/>
      </c>
      <c r="Z969" s="307">
        <f t="shared" si="289"/>
        <v>0</v>
      </c>
      <c r="AA969" s="366">
        <f t="shared" si="290"/>
        <v>0</v>
      </c>
      <c r="AB969" s="367">
        <f t="shared" si="295"/>
        <v>0</v>
      </c>
      <c r="AC969" s="305">
        <f t="shared" si="296"/>
        <v>0</v>
      </c>
      <c r="AP969" s="89" t="str">
        <f t="shared" si="284"/>
        <v/>
      </c>
      <c r="AQ969" s="89" t="str">
        <f t="shared" si="282"/>
        <v/>
      </c>
      <c r="AR969" s="315" t="str">
        <f t="shared" si="283"/>
        <v/>
      </c>
      <c r="AS969" s="305" t="str">
        <f t="shared" si="297"/>
        <v>0</v>
      </c>
      <c r="AT969" s="307">
        <f>Table22[[#This Row],[Column1]]</f>
        <v>0</v>
      </c>
    </row>
    <row r="970" spans="1:46" x14ac:dyDescent="0.3">
      <c r="A970" s="307">
        <f t="shared" si="291"/>
        <v>0</v>
      </c>
      <c r="B970" s="307">
        <f t="shared" si="280"/>
        <v>0</v>
      </c>
      <c r="C970" s="308" t="s">
        <v>563</v>
      </c>
      <c r="D970" s="309" t="s">
        <v>563</v>
      </c>
      <c r="E970" s="310">
        <v>0</v>
      </c>
      <c r="F970" s="310">
        <v>0</v>
      </c>
      <c r="G970" s="311">
        <v>0</v>
      </c>
      <c r="H970" s="310" t="s">
        <v>563</v>
      </c>
      <c r="I970" s="310" t="s">
        <v>563</v>
      </c>
      <c r="J970" s="310" t="s">
        <v>563</v>
      </c>
      <c r="K970" s="312">
        <v>0</v>
      </c>
      <c r="L970" s="310">
        <v>0</v>
      </c>
      <c r="M970" s="310">
        <v>0</v>
      </c>
      <c r="N970" s="313">
        <v>0</v>
      </c>
      <c r="O970" s="314" t="s">
        <v>563</v>
      </c>
      <c r="P970" s="307">
        <f t="shared" si="285"/>
        <v>0</v>
      </c>
      <c r="R970" s="91" t="str">
        <f t="shared" si="281"/>
        <v/>
      </c>
      <c r="S970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0" s="307" t="str">
        <f t="shared" si="287"/>
        <v/>
      </c>
      <c r="U970" s="315" t="str">
        <f t="shared" si="288"/>
        <v/>
      </c>
      <c r="V970" s="307">
        <f t="shared" si="292"/>
        <v>0</v>
      </c>
      <c r="W970" s="307">
        <f>IFERROR(IF(V970&gt;0,PROPER(Terbilang1(V970)&amp;" Rupiah"),0),"")</f>
        <v>0</v>
      </c>
      <c r="X970" s="90" t="str">
        <f t="shared" si="293"/>
        <v/>
      </c>
      <c r="Y970" s="307" t="str">
        <f t="shared" si="294"/>
        <v/>
      </c>
      <c r="Z970" s="307">
        <f t="shared" si="289"/>
        <v>0</v>
      </c>
      <c r="AA970" s="366">
        <f t="shared" si="290"/>
        <v>0</v>
      </c>
      <c r="AB970" s="367">
        <f t="shared" si="295"/>
        <v>0</v>
      </c>
      <c r="AC970" s="305">
        <f t="shared" si="296"/>
        <v>0</v>
      </c>
      <c r="AP970" s="89" t="str">
        <f t="shared" si="284"/>
        <v/>
      </c>
      <c r="AQ970" s="89" t="str">
        <f t="shared" si="282"/>
        <v/>
      </c>
      <c r="AR970" s="315" t="str">
        <f t="shared" si="283"/>
        <v/>
      </c>
      <c r="AS970" s="305" t="str">
        <f t="shared" si="297"/>
        <v>0</v>
      </c>
      <c r="AT970" s="307">
        <f>Table22[[#This Row],[Column1]]</f>
        <v>0</v>
      </c>
    </row>
    <row r="971" spans="1:46" x14ac:dyDescent="0.3">
      <c r="A971" s="307">
        <f t="shared" si="291"/>
        <v>0</v>
      </c>
      <c r="B971" s="307">
        <f t="shared" si="280"/>
        <v>0</v>
      </c>
      <c r="C971" s="308" t="s">
        <v>563</v>
      </c>
      <c r="D971" s="309" t="s">
        <v>563</v>
      </c>
      <c r="E971" s="310">
        <v>0</v>
      </c>
      <c r="F971" s="310">
        <v>0</v>
      </c>
      <c r="G971" s="311">
        <v>0</v>
      </c>
      <c r="H971" s="310" t="s">
        <v>563</v>
      </c>
      <c r="I971" s="310" t="s">
        <v>563</v>
      </c>
      <c r="J971" s="310" t="s">
        <v>563</v>
      </c>
      <c r="K971" s="312">
        <v>0</v>
      </c>
      <c r="L971" s="310">
        <v>0</v>
      </c>
      <c r="M971" s="310">
        <v>0</v>
      </c>
      <c r="N971" s="313">
        <v>0</v>
      </c>
      <c r="O971" s="314" t="s">
        <v>563</v>
      </c>
      <c r="P971" s="307">
        <f t="shared" si="285"/>
        <v>0</v>
      </c>
      <c r="R971" s="91" t="str">
        <f t="shared" si="281"/>
        <v/>
      </c>
      <c r="S971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1" s="307" t="str">
        <f t="shared" si="287"/>
        <v/>
      </c>
      <c r="U971" s="315" t="str">
        <f t="shared" si="288"/>
        <v/>
      </c>
      <c r="V971" s="307">
        <f t="shared" si="292"/>
        <v>0</v>
      </c>
      <c r="W971" s="307">
        <f>IFERROR(IF(V971&gt;0,PROPER(Terbilang1(V971)&amp;" Rupiah"),0),"")</f>
        <v>0</v>
      </c>
      <c r="X971" s="90" t="str">
        <f t="shared" si="293"/>
        <v/>
      </c>
      <c r="Y971" s="307" t="str">
        <f t="shared" si="294"/>
        <v/>
      </c>
      <c r="Z971" s="307">
        <f t="shared" si="289"/>
        <v>0</v>
      </c>
      <c r="AA971" s="366">
        <f t="shared" si="290"/>
        <v>0</v>
      </c>
      <c r="AB971" s="367">
        <f t="shared" si="295"/>
        <v>0</v>
      </c>
      <c r="AC971" s="305">
        <f t="shared" si="296"/>
        <v>0</v>
      </c>
      <c r="AP971" s="89" t="str">
        <f t="shared" si="284"/>
        <v/>
      </c>
      <c r="AQ971" s="89" t="str">
        <f t="shared" si="282"/>
        <v/>
      </c>
      <c r="AR971" s="315" t="str">
        <f t="shared" si="283"/>
        <v/>
      </c>
      <c r="AS971" s="305" t="str">
        <f t="shared" si="297"/>
        <v>0</v>
      </c>
      <c r="AT971" s="307">
        <f>Table22[[#This Row],[Column1]]</f>
        <v>0</v>
      </c>
    </row>
    <row r="972" spans="1:46" x14ac:dyDescent="0.3">
      <c r="A972" s="307">
        <f t="shared" si="291"/>
        <v>0</v>
      </c>
      <c r="B972" s="307">
        <f t="shared" si="280"/>
        <v>0</v>
      </c>
      <c r="C972" s="308" t="s">
        <v>563</v>
      </c>
      <c r="D972" s="309" t="s">
        <v>563</v>
      </c>
      <c r="E972" s="310">
        <v>0</v>
      </c>
      <c r="F972" s="310">
        <v>0</v>
      </c>
      <c r="G972" s="311">
        <v>0</v>
      </c>
      <c r="H972" s="310" t="s">
        <v>563</v>
      </c>
      <c r="I972" s="310" t="s">
        <v>563</v>
      </c>
      <c r="J972" s="310" t="s">
        <v>563</v>
      </c>
      <c r="K972" s="312">
        <v>0</v>
      </c>
      <c r="L972" s="310">
        <v>0</v>
      </c>
      <c r="M972" s="310">
        <v>0</v>
      </c>
      <c r="N972" s="313">
        <v>0</v>
      </c>
      <c r="O972" s="314" t="s">
        <v>563</v>
      </c>
      <c r="P972" s="307">
        <f t="shared" si="285"/>
        <v>0</v>
      </c>
      <c r="R972" s="91" t="str">
        <f t="shared" si="281"/>
        <v/>
      </c>
      <c r="S972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2" s="307" t="str">
        <f t="shared" si="287"/>
        <v/>
      </c>
      <c r="U972" s="315" t="str">
        <f t="shared" si="288"/>
        <v/>
      </c>
      <c r="V972" s="307">
        <f t="shared" si="292"/>
        <v>0</v>
      </c>
      <c r="W972" s="307">
        <f>IFERROR(IF(V972&gt;0,PROPER(Terbilang1(V972)&amp;" Rupiah"),0),"")</f>
        <v>0</v>
      </c>
      <c r="X972" s="90" t="str">
        <f t="shared" si="293"/>
        <v/>
      </c>
      <c r="Y972" s="307" t="str">
        <f t="shared" si="294"/>
        <v/>
      </c>
      <c r="Z972" s="307">
        <f t="shared" si="289"/>
        <v>0</v>
      </c>
      <c r="AA972" s="366">
        <f t="shared" si="290"/>
        <v>0</v>
      </c>
      <c r="AB972" s="367">
        <f t="shared" si="295"/>
        <v>0</v>
      </c>
      <c r="AC972" s="305">
        <f t="shared" si="296"/>
        <v>0</v>
      </c>
      <c r="AP972" s="89" t="str">
        <f t="shared" si="284"/>
        <v/>
      </c>
      <c r="AQ972" s="89" t="str">
        <f t="shared" si="282"/>
        <v/>
      </c>
      <c r="AR972" s="315" t="str">
        <f t="shared" si="283"/>
        <v/>
      </c>
      <c r="AS972" s="305" t="str">
        <f t="shared" si="297"/>
        <v>0</v>
      </c>
      <c r="AT972" s="307">
        <f>Table22[[#This Row],[Column1]]</f>
        <v>0</v>
      </c>
    </row>
    <row r="973" spans="1:46" x14ac:dyDescent="0.3">
      <c r="A973" s="307">
        <f t="shared" si="291"/>
        <v>0</v>
      </c>
      <c r="B973" s="307">
        <f t="shared" si="280"/>
        <v>0</v>
      </c>
      <c r="C973" s="308" t="s">
        <v>563</v>
      </c>
      <c r="D973" s="309" t="s">
        <v>563</v>
      </c>
      <c r="E973" s="310">
        <v>0</v>
      </c>
      <c r="F973" s="310">
        <v>0</v>
      </c>
      <c r="G973" s="311">
        <v>0</v>
      </c>
      <c r="H973" s="310" t="s">
        <v>563</v>
      </c>
      <c r="I973" s="310" t="s">
        <v>563</v>
      </c>
      <c r="J973" s="310" t="s">
        <v>563</v>
      </c>
      <c r="K973" s="312">
        <v>0</v>
      </c>
      <c r="L973" s="310">
        <v>0</v>
      </c>
      <c r="M973" s="310">
        <v>0</v>
      </c>
      <c r="N973" s="313">
        <v>0</v>
      </c>
      <c r="O973" s="314" t="s">
        <v>563</v>
      </c>
      <c r="P973" s="307">
        <f t="shared" si="285"/>
        <v>0</v>
      </c>
      <c r="R973" s="91" t="str">
        <f t="shared" si="281"/>
        <v/>
      </c>
      <c r="S973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3" s="307" t="str">
        <f t="shared" si="287"/>
        <v/>
      </c>
      <c r="U973" s="315" t="str">
        <f t="shared" si="288"/>
        <v/>
      </c>
      <c r="V973" s="307">
        <f t="shared" si="292"/>
        <v>0</v>
      </c>
      <c r="W973" s="307">
        <f>IFERROR(IF(V973&gt;0,PROPER(Terbilang1(V973)&amp;" Rupiah"),0),"")</f>
        <v>0</v>
      </c>
      <c r="X973" s="90" t="str">
        <f t="shared" si="293"/>
        <v/>
      </c>
      <c r="Y973" s="307" t="str">
        <f t="shared" si="294"/>
        <v/>
      </c>
      <c r="Z973" s="307">
        <f t="shared" si="289"/>
        <v>0</v>
      </c>
      <c r="AA973" s="366">
        <f t="shared" si="290"/>
        <v>0</v>
      </c>
      <c r="AB973" s="367">
        <f t="shared" si="295"/>
        <v>0</v>
      </c>
      <c r="AC973" s="305">
        <f t="shared" si="296"/>
        <v>0</v>
      </c>
      <c r="AP973" s="89" t="str">
        <f t="shared" si="284"/>
        <v/>
      </c>
      <c r="AQ973" s="89" t="str">
        <f t="shared" si="282"/>
        <v/>
      </c>
      <c r="AR973" s="315" t="str">
        <f t="shared" si="283"/>
        <v/>
      </c>
      <c r="AS973" s="305" t="str">
        <f t="shared" si="297"/>
        <v>0</v>
      </c>
      <c r="AT973" s="307">
        <f>Table22[[#This Row],[Column1]]</f>
        <v>0</v>
      </c>
    </row>
    <row r="974" spans="1:46" x14ac:dyDescent="0.3">
      <c r="A974" s="307">
        <f t="shared" si="291"/>
        <v>0</v>
      </c>
      <c r="B974" s="307">
        <f t="shared" si="280"/>
        <v>0</v>
      </c>
      <c r="C974" s="308" t="s">
        <v>563</v>
      </c>
      <c r="D974" s="309" t="s">
        <v>563</v>
      </c>
      <c r="E974" s="310">
        <v>0</v>
      </c>
      <c r="F974" s="310">
        <v>0</v>
      </c>
      <c r="G974" s="311">
        <v>0</v>
      </c>
      <c r="H974" s="310" t="s">
        <v>563</v>
      </c>
      <c r="I974" s="310" t="s">
        <v>563</v>
      </c>
      <c r="J974" s="310" t="s">
        <v>563</v>
      </c>
      <c r="K974" s="312">
        <v>0</v>
      </c>
      <c r="L974" s="310">
        <v>0</v>
      </c>
      <c r="M974" s="310">
        <v>0</v>
      </c>
      <c r="N974" s="313">
        <v>0</v>
      </c>
      <c r="O974" s="314" t="s">
        <v>563</v>
      </c>
      <c r="P974" s="307">
        <f t="shared" si="285"/>
        <v>0</v>
      </c>
      <c r="R974" s="91" t="str">
        <f t="shared" si="281"/>
        <v/>
      </c>
      <c r="S974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4" s="307" t="str">
        <f t="shared" si="287"/>
        <v/>
      </c>
      <c r="U974" s="315" t="str">
        <f t="shared" si="288"/>
        <v/>
      </c>
      <c r="V974" s="307">
        <f t="shared" si="292"/>
        <v>0</v>
      </c>
      <c r="W974" s="307">
        <f>IFERROR(IF(V974&gt;0,PROPER(Terbilang1(V974)&amp;" Rupiah"),0),"")</f>
        <v>0</v>
      </c>
      <c r="X974" s="90" t="str">
        <f t="shared" si="293"/>
        <v/>
      </c>
      <c r="Y974" s="307" t="str">
        <f t="shared" si="294"/>
        <v/>
      </c>
      <c r="Z974" s="307">
        <f t="shared" si="289"/>
        <v>0</v>
      </c>
      <c r="AA974" s="366">
        <f t="shared" si="290"/>
        <v>0</v>
      </c>
      <c r="AB974" s="367">
        <f t="shared" si="295"/>
        <v>0</v>
      </c>
      <c r="AC974" s="305">
        <f t="shared" si="296"/>
        <v>0</v>
      </c>
      <c r="AP974" s="89" t="str">
        <f t="shared" si="284"/>
        <v/>
      </c>
      <c r="AQ974" s="89" t="str">
        <f t="shared" si="282"/>
        <v/>
      </c>
      <c r="AR974" s="315" t="str">
        <f t="shared" si="283"/>
        <v/>
      </c>
      <c r="AS974" s="305" t="str">
        <f t="shared" si="297"/>
        <v>0</v>
      </c>
      <c r="AT974" s="307">
        <f>Table22[[#This Row],[Column1]]</f>
        <v>0</v>
      </c>
    </row>
    <row r="975" spans="1:46" x14ac:dyDescent="0.3">
      <c r="A975" s="307">
        <f t="shared" si="291"/>
        <v>0</v>
      </c>
      <c r="B975" s="307">
        <f t="shared" si="280"/>
        <v>0</v>
      </c>
      <c r="C975" s="308" t="s">
        <v>563</v>
      </c>
      <c r="D975" s="309" t="s">
        <v>563</v>
      </c>
      <c r="E975" s="310">
        <v>0</v>
      </c>
      <c r="F975" s="310">
        <v>0</v>
      </c>
      <c r="G975" s="311">
        <v>0</v>
      </c>
      <c r="H975" s="310" t="s">
        <v>563</v>
      </c>
      <c r="I975" s="310" t="s">
        <v>563</v>
      </c>
      <c r="J975" s="310" t="s">
        <v>563</v>
      </c>
      <c r="K975" s="312">
        <v>0</v>
      </c>
      <c r="L975" s="310">
        <v>0</v>
      </c>
      <c r="M975" s="310">
        <v>0</v>
      </c>
      <c r="N975" s="313">
        <v>0</v>
      </c>
      <c r="O975" s="314" t="s">
        <v>563</v>
      </c>
      <c r="P975" s="307">
        <f t="shared" si="285"/>
        <v>0</v>
      </c>
      <c r="R975" s="91" t="str">
        <f t="shared" si="281"/>
        <v/>
      </c>
      <c r="S975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5" s="307" t="str">
        <f t="shared" si="287"/>
        <v/>
      </c>
      <c r="U975" s="315" t="str">
        <f t="shared" si="288"/>
        <v/>
      </c>
      <c r="V975" s="307">
        <f t="shared" si="292"/>
        <v>0</v>
      </c>
      <c r="W975" s="307">
        <f>IFERROR(IF(V975&gt;0,PROPER(Terbilang1(V975)&amp;" Rupiah"),0),"")</f>
        <v>0</v>
      </c>
      <c r="X975" s="90" t="str">
        <f t="shared" si="293"/>
        <v/>
      </c>
      <c r="Y975" s="307" t="str">
        <f t="shared" si="294"/>
        <v/>
      </c>
      <c r="Z975" s="307">
        <f t="shared" si="289"/>
        <v>0</v>
      </c>
      <c r="AA975" s="366">
        <f t="shared" si="290"/>
        <v>0</v>
      </c>
      <c r="AB975" s="367">
        <f t="shared" si="295"/>
        <v>0</v>
      </c>
      <c r="AC975" s="305">
        <f t="shared" si="296"/>
        <v>0</v>
      </c>
      <c r="AP975" s="89" t="str">
        <f t="shared" si="284"/>
        <v/>
      </c>
      <c r="AQ975" s="89" t="str">
        <f t="shared" si="282"/>
        <v/>
      </c>
      <c r="AR975" s="315" t="str">
        <f t="shared" si="283"/>
        <v/>
      </c>
      <c r="AS975" s="305" t="str">
        <f t="shared" si="297"/>
        <v>0</v>
      </c>
      <c r="AT975" s="307">
        <f>Table22[[#This Row],[Column1]]</f>
        <v>0</v>
      </c>
    </row>
    <row r="976" spans="1:46" x14ac:dyDescent="0.3">
      <c r="A976" s="307">
        <f t="shared" si="291"/>
        <v>0</v>
      </c>
      <c r="B976" s="307">
        <f t="shared" si="280"/>
        <v>0</v>
      </c>
      <c r="C976" s="308" t="s">
        <v>563</v>
      </c>
      <c r="D976" s="309" t="s">
        <v>563</v>
      </c>
      <c r="E976" s="310">
        <v>0</v>
      </c>
      <c r="F976" s="310">
        <v>0</v>
      </c>
      <c r="G976" s="311">
        <v>0</v>
      </c>
      <c r="H976" s="310" t="s">
        <v>563</v>
      </c>
      <c r="I976" s="310" t="s">
        <v>563</v>
      </c>
      <c r="J976" s="310" t="s">
        <v>563</v>
      </c>
      <c r="K976" s="312">
        <v>0</v>
      </c>
      <c r="L976" s="310">
        <v>0</v>
      </c>
      <c r="M976" s="310">
        <v>0</v>
      </c>
      <c r="N976" s="313">
        <v>0</v>
      </c>
      <c r="O976" s="314" t="s">
        <v>563</v>
      </c>
      <c r="P976" s="307">
        <f t="shared" si="285"/>
        <v>0</v>
      </c>
      <c r="R976" s="91" t="str">
        <f t="shared" si="281"/>
        <v/>
      </c>
      <c r="S976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6" s="307" t="str">
        <f t="shared" si="287"/>
        <v/>
      </c>
      <c r="U976" s="315" t="str">
        <f t="shared" si="288"/>
        <v/>
      </c>
      <c r="V976" s="307">
        <f t="shared" si="292"/>
        <v>0</v>
      </c>
      <c r="W976" s="307">
        <f>IFERROR(IF(V976&gt;0,PROPER(Terbilang1(V976)&amp;" Rupiah"),0),"")</f>
        <v>0</v>
      </c>
      <c r="X976" s="90" t="str">
        <f t="shared" si="293"/>
        <v/>
      </c>
      <c r="Y976" s="307" t="str">
        <f t="shared" si="294"/>
        <v/>
      </c>
      <c r="Z976" s="307">
        <f t="shared" si="289"/>
        <v>0</v>
      </c>
      <c r="AA976" s="366">
        <f t="shared" si="290"/>
        <v>0</v>
      </c>
      <c r="AB976" s="367">
        <f t="shared" si="295"/>
        <v>0</v>
      </c>
      <c r="AC976" s="305">
        <f t="shared" si="296"/>
        <v>0</v>
      </c>
      <c r="AP976" s="89" t="str">
        <f t="shared" si="284"/>
        <v/>
      </c>
      <c r="AQ976" s="89" t="str">
        <f t="shared" si="282"/>
        <v/>
      </c>
      <c r="AR976" s="315" t="str">
        <f t="shared" si="283"/>
        <v/>
      </c>
      <c r="AS976" s="305" t="str">
        <f t="shared" si="297"/>
        <v>0</v>
      </c>
      <c r="AT976" s="307">
        <f>Table22[[#This Row],[Column1]]</f>
        <v>0</v>
      </c>
    </row>
    <row r="977" spans="1:46" x14ac:dyDescent="0.3">
      <c r="A977" s="307">
        <f t="shared" si="291"/>
        <v>0</v>
      </c>
      <c r="B977" s="307">
        <f t="shared" si="280"/>
        <v>0</v>
      </c>
      <c r="C977" s="308" t="s">
        <v>563</v>
      </c>
      <c r="D977" s="309" t="s">
        <v>563</v>
      </c>
      <c r="E977" s="310">
        <v>0</v>
      </c>
      <c r="F977" s="310">
        <v>0</v>
      </c>
      <c r="G977" s="311">
        <v>0</v>
      </c>
      <c r="H977" s="310" t="s">
        <v>563</v>
      </c>
      <c r="I977" s="310" t="s">
        <v>563</v>
      </c>
      <c r="J977" s="310" t="s">
        <v>563</v>
      </c>
      <c r="K977" s="312">
        <v>0</v>
      </c>
      <c r="L977" s="310">
        <v>0</v>
      </c>
      <c r="M977" s="310">
        <v>0</v>
      </c>
      <c r="N977" s="313">
        <v>0</v>
      </c>
      <c r="O977" s="314" t="s">
        <v>563</v>
      </c>
      <c r="P977" s="307">
        <f t="shared" si="285"/>
        <v>0</v>
      </c>
      <c r="R977" s="91" t="str">
        <f t="shared" si="281"/>
        <v/>
      </c>
      <c r="S977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7" s="307" t="str">
        <f t="shared" si="287"/>
        <v/>
      </c>
      <c r="U977" s="315" t="str">
        <f t="shared" si="288"/>
        <v/>
      </c>
      <c r="V977" s="307">
        <f t="shared" si="292"/>
        <v>0</v>
      </c>
      <c r="W977" s="307">
        <f>IFERROR(IF(V977&gt;0,PROPER(Terbilang1(V977)&amp;" Rupiah"),0),"")</f>
        <v>0</v>
      </c>
      <c r="X977" s="90" t="str">
        <f t="shared" si="293"/>
        <v/>
      </c>
      <c r="Y977" s="307" t="str">
        <f t="shared" si="294"/>
        <v/>
      </c>
      <c r="Z977" s="307">
        <f t="shared" si="289"/>
        <v>0</v>
      </c>
      <c r="AA977" s="366">
        <f t="shared" si="290"/>
        <v>0</v>
      </c>
      <c r="AB977" s="367">
        <f t="shared" si="295"/>
        <v>0</v>
      </c>
      <c r="AC977" s="305">
        <f t="shared" si="296"/>
        <v>0</v>
      </c>
      <c r="AP977" s="89" t="str">
        <f t="shared" si="284"/>
        <v/>
      </c>
      <c r="AQ977" s="89" t="str">
        <f t="shared" si="282"/>
        <v/>
      </c>
      <c r="AR977" s="315" t="str">
        <f t="shared" si="283"/>
        <v/>
      </c>
      <c r="AS977" s="305" t="str">
        <f t="shared" si="297"/>
        <v>0</v>
      </c>
      <c r="AT977" s="307">
        <f>Table22[[#This Row],[Column1]]</f>
        <v>0</v>
      </c>
    </row>
    <row r="978" spans="1:46" x14ac:dyDescent="0.3">
      <c r="A978" s="307">
        <f t="shared" si="291"/>
        <v>0</v>
      </c>
      <c r="B978" s="307">
        <f t="shared" si="280"/>
        <v>0</v>
      </c>
      <c r="C978" s="308" t="s">
        <v>563</v>
      </c>
      <c r="D978" s="309" t="s">
        <v>563</v>
      </c>
      <c r="E978" s="310">
        <v>0</v>
      </c>
      <c r="F978" s="310">
        <v>0</v>
      </c>
      <c r="G978" s="311">
        <v>0</v>
      </c>
      <c r="H978" s="310" t="s">
        <v>563</v>
      </c>
      <c r="I978" s="310" t="s">
        <v>563</v>
      </c>
      <c r="J978" s="310" t="s">
        <v>563</v>
      </c>
      <c r="K978" s="312">
        <v>0</v>
      </c>
      <c r="L978" s="310">
        <v>0</v>
      </c>
      <c r="M978" s="310">
        <v>0</v>
      </c>
      <c r="N978" s="313">
        <v>0</v>
      </c>
      <c r="O978" s="314" t="s">
        <v>563</v>
      </c>
      <c r="P978" s="307">
        <f t="shared" si="285"/>
        <v>0</v>
      </c>
      <c r="R978" s="91" t="str">
        <f t="shared" si="281"/>
        <v/>
      </c>
      <c r="S978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8" s="307" t="str">
        <f t="shared" si="287"/>
        <v/>
      </c>
      <c r="U978" s="315" t="str">
        <f t="shared" si="288"/>
        <v/>
      </c>
      <c r="V978" s="307">
        <f t="shared" si="292"/>
        <v>0</v>
      </c>
      <c r="W978" s="307">
        <f>IFERROR(IF(V978&gt;0,PROPER(Terbilang1(V978)&amp;" Rupiah"),0),"")</f>
        <v>0</v>
      </c>
      <c r="X978" s="90" t="str">
        <f t="shared" si="293"/>
        <v/>
      </c>
      <c r="Y978" s="307" t="str">
        <f t="shared" si="294"/>
        <v/>
      </c>
      <c r="Z978" s="307">
        <f t="shared" si="289"/>
        <v>0</v>
      </c>
      <c r="AA978" s="366">
        <f t="shared" si="290"/>
        <v>0</v>
      </c>
      <c r="AB978" s="367">
        <f t="shared" si="295"/>
        <v>0</v>
      </c>
      <c r="AC978" s="305">
        <f t="shared" si="296"/>
        <v>0</v>
      </c>
      <c r="AP978" s="89" t="str">
        <f t="shared" si="284"/>
        <v/>
      </c>
      <c r="AQ978" s="89" t="str">
        <f t="shared" si="282"/>
        <v/>
      </c>
      <c r="AR978" s="315" t="str">
        <f t="shared" si="283"/>
        <v/>
      </c>
      <c r="AS978" s="305" t="str">
        <f t="shared" si="297"/>
        <v>0</v>
      </c>
      <c r="AT978" s="307">
        <f>Table22[[#This Row],[Column1]]</f>
        <v>0</v>
      </c>
    </row>
    <row r="979" spans="1:46" x14ac:dyDescent="0.3">
      <c r="A979" s="307">
        <f t="shared" si="291"/>
        <v>0</v>
      </c>
      <c r="B979" s="307">
        <f t="shared" si="280"/>
        <v>0</v>
      </c>
      <c r="C979" s="308" t="s">
        <v>563</v>
      </c>
      <c r="D979" s="309" t="s">
        <v>563</v>
      </c>
      <c r="E979" s="310">
        <v>0</v>
      </c>
      <c r="F979" s="310">
        <v>0</v>
      </c>
      <c r="G979" s="311">
        <v>0</v>
      </c>
      <c r="H979" s="310" t="s">
        <v>563</v>
      </c>
      <c r="I979" s="310" t="s">
        <v>563</v>
      </c>
      <c r="J979" s="310" t="s">
        <v>563</v>
      </c>
      <c r="K979" s="312">
        <v>0</v>
      </c>
      <c r="L979" s="310">
        <v>0</v>
      </c>
      <c r="M979" s="310">
        <v>0</v>
      </c>
      <c r="N979" s="313">
        <v>0</v>
      </c>
      <c r="O979" s="314" t="s">
        <v>563</v>
      </c>
      <c r="P979" s="307">
        <f t="shared" si="285"/>
        <v>0</v>
      </c>
      <c r="R979" s="91" t="str">
        <f t="shared" si="281"/>
        <v/>
      </c>
      <c r="S979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79" s="307" t="str">
        <f t="shared" si="287"/>
        <v/>
      </c>
      <c r="U979" s="315" t="str">
        <f t="shared" si="288"/>
        <v/>
      </c>
      <c r="V979" s="307">
        <f t="shared" si="292"/>
        <v>0</v>
      </c>
      <c r="W979" s="307">
        <f>IFERROR(IF(V979&gt;0,PROPER(Terbilang1(V979)&amp;" Rupiah"),0),"")</f>
        <v>0</v>
      </c>
      <c r="X979" s="90" t="str">
        <f t="shared" si="293"/>
        <v/>
      </c>
      <c r="Y979" s="307" t="str">
        <f t="shared" si="294"/>
        <v/>
      </c>
      <c r="Z979" s="307">
        <f t="shared" si="289"/>
        <v>0</v>
      </c>
      <c r="AA979" s="366">
        <f t="shared" si="290"/>
        <v>0</v>
      </c>
      <c r="AB979" s="367">
        <f t="shared" si="295"/>
        <v>0</v>
      </c>
      <c r="AC979" s="305">
        <f t="shared" si="296"/>
        <v>0</v>
      </c>
      <c r="AP979" s="89" t="str">
        <f t="shared" si="284"/>
        <v/>
      </c>
      <c r="AQ979" s="89" t="str">
        <f t="shared" si="282"/>
        <v/>
      </c>
      <c r="AR979" s="315" t="str">
        <f t="shared" si="283"/>
        <v/>
      </c>
      <c r="AS979" s="305" t="str">
        <f t="shared" si="297"/>
        <v>0</v>
      </c>
      <c r="AT979" s="307">
        <f>Table22[[#This Row],[Column1]]</f>
        <v>0</v>
      </c>
    </row>
    <row r="980" spans="1:46" x14ac:dyDescent="0.3">
      <c r="A980" s="307">
        <f t="shared" si="291"/>
        <v>0</v>
      </c>
      <c r="B980" s="307">
        <f t="shared" si="280"/>
        <v>0</v>
      </c>
      <c r="C980" s="308" t="s">
        <v>563</v>
      </c>
      <c r="D980" s="309" t="s">
        <v>563</v>
      </c>
      <c r="E980" s="310">
        <v>0</v>
      </c>
      <c r="F980" s="310">
        <v>0</v>
      </c>
      <c r="G980" s="311">
        <v>0</v>
      </c>
      <c r="H980" s="310" t="s">
        <v>563</v>
      </c>
      <c r="I980" s="310" t="s">
        <v>563</v>
      </c>
      <c r="J980" s="310" t="s">
        <v>563</v>
      </c>
      <c r="K980" s="312">
        <v>0</v>
      </c>
      <c r="L980" s="310">
        <v>0</v>
      </c>
      <c r="M980" s="310">
        <v>0</v>
      </c>
      <c r="N980" s="313">
        <v>0</v>
      </c>
      <c r="O980" s="314" t="s">
        <v>563</v>
      </c>
      <c r="P980" s="307">
        <f t="shared" si="285"/>
        <v>0</v>
      </c>
      <c r="R980" s="91" t="str">
        <f t="shared" si="281"/>
        <v/>
      </c>
      <c r="S980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0" s="307" t="str">
        <f t="shared" si="287"/>
        <v/>
      </c>
      <c r="U980" s="315" t="str">
        <f t="shared" si="288"/>
        <v/>
      </c>
      <c r="V980" s="307">
        <f t="shared" si="292"/>
        <v>0</v>
      </c>
      <c r="W980" s="307">
        <f>IFERROR(IF(V980&gt;0,PROPER(Terbilang1(V980)&amp;" Rupiah"),0),"")</f>
        <v>0</v>
      </c>
      <c r="X980" s="90" t="str">
        <f t="shared" si="293"/>
        <v/>
      </c>
      <c r="Y980" s="307" t="str">
        <f t="shared" si="294"/>
        <v/>
      </c>
      <c r="Z980" s="307">
        <f t="shared" si="289"/>
        <v>0</v>
      </c>
      <c r="AA980" s="366">
        <f t="shared" si="290"/>
        <v>0</v>
      </c>
      <c r="AB980" s="367">
        <f t="shared" si="295"/>
        <v>0</v>
      </c>
      <c r="AC980" s="305">
        <f t="shared" si="296"/>
        <v>0</v>
      </c>
      <c r="AP980" s="89" t="str">
        <f t="shared" si="284"/>
        <v/>
      </c>
      <c r="AQ980" s="89" t="str">
        <f t="shared" si="282"/>
        <v/>
      </c>
      <c r="AR980" s="315" t="str">
        <f t="shared" si="283"/>
        <v/>
      </c>
      <c r="AS980" s="305" t="str">
        <f t="shared" si="297"/>
        <v>0</v>
      </c>
      <c r="AT980" s="307">
        <f>Table22[[#This Row],[Column1]]</f>
        <v>0</v>
      </c>
    </row>
    <row r="981" spans="1:46" x14ac:dyDescent="0.3">
      <c r="A981" s="307">
        <f t="shared" si="291"/>
        <v>0</v>
      </c>
      <c r="B981" s="307">
        <f t="shared" si="280"/>
        <v>0</v>
      </c>
      <c r="C981" s="308" t="s">
        <v>563</v>
      </c>
      <c r="D981" s="309" t="s">
        <v>563</v>
      </c>
      <c r="E981" s="310">
        <v>0</v>
      </c>
      <c r="F981" s="310">
        <v>0</v>
      </c>
      <c r="G981" s="311">
        <v>0</v>
      </c>
      <c r="H981" s="310" t="s">
        <v>563</v>
      </c>
      <c r="I981" s="310" t="s">
        <v>563</v>
      </c>
      <c r="J981" s="310" t="s">
        <v>563</v>
      </c>
      <c r="K981" s="312">
        <v>0</v>
      </c>
      <c r="L981" s="310">
        <v>0</v>
      </c>
      <c r="M981" s="310">
        <v>0</v>
      </c>
      <c r="N981" s="313">
        <v>0</v>
      </c>
      <c r="O981" s="314" t="s">
        <v>563</v>
      </c>
      <c r="P981" s="307">
        <f t="shared" si="285"/>
        <v>0</v>
      </c>
      <c r="R981" s="91" t="str">
        <f t="shared" si="281"/>
        <v/>
      </c>
      <c r="S981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1" s="307" t="str">
        <f t="shared" si="287"/>
        <v/>
      </c>
      <c r="U981" s="315" t="str">
        <f t="shared" si="288"/>
        <v/>
      </c>
      <c r="V981" s="307">
        <f t="shared" si="292"/>
        <v>0</v>
      </c>
      <c r="W981" s="307">
        <f>IFERROR(IF(V981&gt;0,PROPER(Terbilang1(V981)&amp;" Rupiah"),0),"")</f>
        <v>0</v>
      </c>
      <c r="X981" s="90" t="str">
        <f t="shared" si="293"/>
        <v/>
      </c>
      <c r="Y981" s="307" t="str">
        <f t="shared" si="294"/>
        <v/>
      </c>
      <c r="Z981" s="307">
        <f t="shared" si="289"/>
        <v>0</v>
      </c>
      <c r="AA981" s="366">
        <f t="shared" si="290"/>
        <v>0</v>
      </c>
      <c r="AB981" s="367">
        <f t="shared" si="295"/>
        <v>0</v>
      </c>
      <c r="AC981" s="305">
        <f t="shared" si="296"/>
        <v>0</v>
      </c>
      <c r="AP981" s="89" t="str">
        <f t="shared" si="284"/>
        <v/>
      </c>
      <c r="AQ981" s="89" t="str">
        <f t="shared" si="282"/>
        <v/>
      </c>
      <c r="AR981" s="315" t="str">
        <f t="shared" si="283"/>
        <v/>
      </c>
      <c r="AS981" s="305" t="str">
        <f t="shared" si="297"/>
        <v>0</v>
      </c>
      <c r="AT981" s="307">
        <f>Table22[[#This Row],[Column1]]</f>
        <v>0</v>
      </c>
    </row>
    <row r="982" spans="1:46" x14ac:dyDescent="0.3">
      <c r="A982" s="307">
        <f t="shared" si="291"/>
        <v>0</v>
      </c>
      <c r="B982" s="307">
        <f t="shared" si="280"/>
        <v>0</v>
      </c>
      <c r="C982" s="308" t="s">
        <v>563</v>
      </c>
      <c r="D982" s="309" t="s">
        <v>563</v>
      </c>
      <c r="E982" s="310">
        <v>0</v>
      </c>
      <c r="F982" s="310">
        <v>0</v>
      </c>
      <c r="G982" s="311">
        <v>0</v>
      </c>
      <c r="H982" s="310" t="s">
        <v>563</v>
      </c>
      <c r="I982" s="310" t="s">
        <v>563</v>
      </c>
      <c r="J982" s="310" t="s">
        <v>563</v>
      </c>
      <c r="K982" s="312">
        <v>0</v>
      </c>
      <c r="L982" s="310">
        <v>0</v>
      </c>
      <c r="M982" s="310">
        <v>0</v>
      </c>
      <c r="N982" s="313">
        <v>0</v>
      </c>
      <c r="O982" s="314" t="s">
        <v>563</v>
      </c>
      <c r="P982" s="307">
        <f t="shared" si="285"/>
        <v>0</v>
      </c>
      <c r="R982" s="91" t="str">
        <f t="shared" si="281"/>
        <v/>
      </c>
      <c r="S982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2" s="307" t="str">
        <f t="shared" si="287"/>
        <v/>
      </c>
      <c r="U982" s="315" t="str">
        <f t="shared" si="288"/>
        <v/>
      </c>
      <c r="V982" s="307">
        <f t="shared" si="292"/>
        <v>0</v>
      </c>
      <c r="W982" s="307">
        <f>IFERROR(IF(V982&gt;0,PROPER(Terbilang1(V982)&amp;" Rupiah"),0),"")</f>
        <v>0</v>
      </c>
      <c r="X982" s="90" t="str">
        <f t="shared" si="293"/>
        <v/>
      </c>
      <c r="Y982" s="307" t="str">
        <f t="shared" si="294"/>
        <v/>
      </c>
      <c r="Z982" s="307">
        <f t="shared" si="289"/>
        <v>0</v>
      </c>
      <c r="AA982" s="366">
        <f t="shared" si="290"/>
        <v>0</v>
      </c>
      <c r="AB982" s="367">
        <f t="shared" si="295"/>
        <v>0</v>
      </c>
      <c r="AC982" s="305">
        <f t="shared" si="296"/>
        <v>0</v>
      </c>
      <c r="AP982" s="89" t="str">
        <f t="shared" si="284"/>
        <v/>
      </c>
      <c r="AQ982" s="89" t="str">
        <f t="shared" si="282"/>
        <v/>
      </c>
      <c r="AR982" s="315" t="str">
        <f t="shared" si="283"/>
        <v/>
      </c>
      <c r="AS982" s="305" t="str">
        <f t="shared" si="297"/>
        <v>0</v>
      </c>
      <c r="AT982" s="307">
        <f>Table22[[#This Row],[Column1]]</f>
        <v>0</v>
      </c>
    </row>
    <row r="983" spans="1:46" x14ac:dyDescent="0.3">
      <c r="A983" s="307">
        <f t="shared" si="291"/>
        <v>0</v>
      </c>
      <c r="B983" s="307">
        <f t="shared" si="280"/>
        <v>0</v>
      </c>
      <c r="C983" s="308" t="s">
        <v>563</v>
      </c>
      <c r="D983" s="309" t="s">
        <v>563</v>
      </c>
      <c r="E983" s="310">
        <v>0</v>
      </c>
      <c r="F983" s="310">
        <v>0</v>
      </c>
      <c r="G983" s="311">
        <v>0</v>
      </c>
      <c r="H983" s="310" t="s">
        <v>563</v>
      </c>
      <c r="I983" s="310" t="s">
        <v>563</v>
      </c>
      <c r="J983" s="310" t="s">
        <v>563</v>
      </c>
      <c r="K983" s="312">
        <v>0</v>
      </c>
      <c r="L983" s="310">
        <v>0</v>
      </c>
      <c r="M983" s="310">
        <v>0</v>
      </c>
      <c r="N983" s="313">
        <v>0</v>
      </c>
      <c r="O983" s="314" t="s">
        <v>563</v>
      </c>
      <c r="P983" s="307">
        <f t="shared" si="285"/>
        <v>0</v>
      </c>
      <c r="R983" s="91" t="str">
        <f t="shared" si="281"/>
        <v/>
      </c>
      <c r="S983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3" s="307" t="str">
        <f t="shared" si="287"/>
        <v/>
      </c>
      <c r="U983" s="315" t="str">
        <f t="shared" si="288"/>
        <v/>
      </c>
      <c r="V983" s="307">
        <f t="shared" si="292"/>
        <v>0</v>
      </c>
      <c r="W983" s="307">
        <f>IFERROR(IF(V983&gt;0,PROPER(Terbilang1(V983)&amp;" Rupiah"),0),"")</f>
        <v>0</v>
      </c>
      <c r="X983" s="90" t="str">
        <f t="shared" si="293"/>
        <v/>
      </c>
      <c r="Y983" s="307" t="str">
        <f t="shared" si="294"/>
        <v/>
      </c>
      <c r="Z983" s="307">
        <f t="shared" si="289"/>
        <v>0</v>
      </c>
      <c r="AA983" s="366">
        <f t="shared" si="290"/>
        <v>0</v>
      </c>
      <c r="AB983" s="367">
        <f t="shared" si="295"/>
        <v>0</v>
      </c>
      <c r="AC983" s="305">
        <f t="shared" si="296"/>
        <v>0</v>
      </c>
      <c r="AP983" s="89" t="str">
        <f t="shared" si="284"/>
        <v/>
      </c>
      <c r="AQ983" s="89" t="str">
        <f t="shared" si="282"/>
        <v/>
      </c>
      <c r="AR983" s="315" t="str">
        <f t="shared" si="283"/>
        <v/>
      </c>
      <c r="AS983" s="305" t="str">
        <f t="shared" si="297"/>
        <v>0</v>
      </c>
      <c r="AT983" s="307">
        <f>Table22[[#This Row],[Column1]]</f>
        <v>0</v>
      </c>
    </row>
    <row r="984" spans="1:46" x14ac:dyDescent="0.3">
      <c r="A984" s="307">
        <f t="shared" si="291"/>
        <v>0</v>
      </c>
      <c r="B984" s="307">
        <f t="shared" si="280"/>
        <v>0</v>
      </c>
      <c r="C984" s="308" t="s">
        <v>563</v>
      </c>
      <c r="D984" s="309" t="s">
        <v>563</v>
      </c>
      <c r="E984" s="310">
        <v>0</v>
      </c>
      <c r="F984" s="310">
        <v>0</v>
      </c>
      <c r="G984" s="311">
        <v>0</v>
      </c>
      <c r="H984" s="310" t="s">
        <v>563</v>
      </c>
      <c r="I984" s="310" t="s">
        <v>563</v>
      </c>
      <c r="J984" s="310" t="s">
        <v>563</v>
      </c>
      <c r="K984" s="312">
        <v>0</v>
      </c>
      <c r="L984" s="310">
        <v>0</v>
      </c>
      <c r="M984" s="310">
        <v>0</v>
      </c>
      <c r="N984" s="313">
        <v>0</v>
      </c>
      <c r="O984" s="314" t="s">
        <v>563</v>
      </c>
      <c r="P984" s="307">
        <f t="shared" si="285"/>
        <v>0</v>
      </c>
      <c r="R984" s="91" t="str">
        <f t="shared" si="281"/>
        <v/>
      </c>
      <c r="S984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4" s="307" t="str">
        <f t="shared" si="287"/>
        <v/>
      </c>
      <c r="U984" s="315" t="str">
        <f t="shared" si="288"/>
        <v/>
      </c>
      <c r="V984" s="307">
        <f t="shared" si="292"/>
        <v>0</v>
      </c>
      <c r="W984" s="307">
        <f>IFERROR(IF(V984&gt;0,PROPER(Terbilang1(V984)&amp;" Rupiah"),0),"")</f>
        <v>0</v>
      </c>
      <c r="X984" s="90" t="str">
        <f t="shared" si="293"/>
        <v/>
      </c>
      <c r="Y984" s="307" t="str">
        <f t="shared" si="294"/>
        <v/>
      </c>
      <c r="Z984" s="307">
        <f t="shared" si="289"/>
        <v>0</v>
      </c>
      <c r="AA984" s="366">
        <f t="shared" si="290"/>
        <v>0</v>
      </c>
      <c r="AB984" s="367">
        <f t="shared" si="295"/>
        <v>0</v>
      </c>
      <c r="AC984" s="305">
        <f t="shared" si="296"/>
        <v>0</v>
      </c>
      <c r="AP984" s="89" t="str">
        <f t="shared" si="284"/>
        <v/>
      </c>
      <c r="AQ984" s="89" t="str">
        <f t="shared" si="282"/>
        <v/>
      </c>
      <c r="AR984" s="315" t="str">
        <f t="shared" si="283"/>
        <v/>
      </c>
      <c r="AS984" s="305" t="str">
        <f t="shared" si="297"/>
        <v>0</v>
      </c>
      <c r="AT984" s="307">
        <f>Table22[[#This Row],[Column1]]</f>
        <v>0</v>
      </c>
    </row>
    <row r="985" spans="1:46" x14ac:dyDescent="0.3">
      <c r="A985" s="307">
        <f t="shared" si="291"/>
        <v>0</v>
      </c>
      <c r="B985" s="307">
        <f t="shared" si="280"/>
        <v>0</v>
      </c>
      <c r="C985" s="308" t="s">
        <v>563</v>
      </c>
      <c r="D985" s="309" t="s">
        <v>563</v>
      </c>
      <c r="E985" s="310">
        <v>0</v>
      </c>
      <c r="F985" s="310">
        <v>0</v>
      </c>
      <c r="G985" s="311">
        <v>0</v>
      </c>
      <c r="H985" s="310" t="s">
        <v>563</v>
      </c>
      <c r="I985" s="310" t="s">
        <v>563</v>
      </c>
      <c r="J985" s="310" t="s">
        <v>563</v>
      </c>
      <c r="K985" s="312">
        <v>0</v>
      </c>
      <c r="L985" s="310">
        <v>0</v>
      </c>
      <c r="M985" s="310">
        <v>0</v>
      </c>
      <c r="N985" s="313">
        <v>0</v>
      </c>
      <c r="O985" s="314" t="s">
        <v>563</v>
      </c>
      <c r="P985" s="307">
        <f t="shared" si="285"/>
        <v>0</v>
      </c>
      <c r="R985" s="91" t="str">
        <f t="shared" si="281"/>
        <v/>
      </c>
      <c r="S985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5" s="307" t="str">
        <f t="shared" si="287"/>
        <v/>
      </c>
      <c r="U985" s="315" t="str">
        <f t="shared" si="288"/>
        <v/>
      </c>
      <c r="V985" s="307">
        <f t="shared" si="292"/>
        <v>0</v>
      </c>
      <c r="W985" s="307">
        <f>IFERROR(IF(V985&gt;0,PROPER(Terbilang1(V985)&amp;" Rupiah"),0),"")</f>
        <v>0</v>
      </c>
      <c r="X985" s="90" t="str">
        <f t="shared" si="293"/>
        <v/>
      </c>
      <c r="Y985" s="307" t="str">
        <f t="shared" si="294"/>
        <v/>
      </c>
      <c r="Z985" s="307">
        <f t="shared" si="289"/>
        <v>0</v>
      </c>
      <c r="AA985" s="366">
        <f t="shared" si="290"/>
        <v>0</v>
      </c>
      <c r="AB985" s="367">
        <f t="shared" si="295"/>
        <v>0</v>
      </c>
      <c r="AC985" s="305">
        <f t="shared" si="296"/>
        <v>0</v>
      </c>
      <c r="AP985" s="89" t="str">
        <f t="shared" si="284"/>
        <v/>
      </c>
      <c r="AQ985" s="89" t="str">
        <f t="shared" si="282"/>
        <v/>
      </c>
      <c r="AR985" s="315" t="str">
        <f t="shared" si="283"/>
        <v/>
      </c>
      <c r="AS985" s="305" t="str">
        <f t="shared" si="297"/>
        <v>0</v>
      </c>
      <c r="AT985" s="307">
        <f>Table22[[#This Row],[Column1]]</f>
        <v>0</v>
      </c>
    </row>
    <row r="986" spans="1:46" x14ac:dyDescent="0.3">
      <c r="A986" s="307">
        <f t="shared" si="291"/>
        <v>0</v>
      </c>
      <c r="B986" s="307">
        <f t="shared" si="280"/>
        <v>0</v>
      </c>
      <c r="C986" s="308" t="s">
        <v>563</v>
      </c>
      <c r="D986" s="309" t="s">
        <v>563</v>
      </c>
      <c r="E986" s="310">
        <v>0</v>
      </c>
      <c r="F986" s="310">
        <v>0</v>
      </c>
      <c r="G986" s="311">
        <v>0</v>
      </c>
      <c r="H986" s="310" t="s">
        <v>563</v>
      </c>
      <c r="I986" s="310" t="s">
        <v>563</v>
      </c>
      <c r="J986" s="310" t="s">
        <v>563</v>
      </c>
      <c r="K986" s="312">
        <v>0</v>
      </c>
      <c r="L986" s="310">
        <v>0</v>
      </c>
      <c r="M986" s="310">
        <v>0</v>
      </c>
      <c r="N986" s="313">
        <v>0</v>
      </c>
      <c r="O986" s="314" t="s">
        <v>563</v>
      </c>
      <c r="P986" s="307">
        <f t="shared" si="285"/>
        <v>0</v>
      </c>
      <c r="R986" s="91" t="str">
        <f t="shared" si="281"/>
        <v/>
      </c>
      <c r="S986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6" s="307" t="str">
        <f t="shared" si="287"/>
        <v/>
      </c>
      <c r="U986" s="315" t="str">
        <f t="shared" si="288"/>
        <v/>
      </c>
      <c r="V986" s="307">
        <f t="shared" si="292"/>
        <v>0</v>
      </c>
      <c r="W986" s="307">
        <f>IFERROR(IF(V986&gt;0,PROPER(Terbilang1(V986)&amp;" Rupiah"),0),"")</f>
        <v>0</v>
      </c>
      <c r="X986" s="90" t="str">
        <f t="shared" si="293"/>
        <v/>
      </c>
      <c r="Y986" s="307" t="str">
        <f t="shared" si="294"/>
        <v/>
      </c>
      <c r="Z986" s="307">
        <f t="shared" si="289"/>
        <v>0</v>
      </c>
      <c r="AA986" s="366">
        <f t="shared" si="290"/>
        <v>0</v>
      </c>
      <c r="AB986" s="367">
        <f t="shared" si="295"/>
        <v>0</v>
      </c>
      <c r="AC986" s="305">
        <f t="shared" si="296"/>
        <v>0</v>
      </c>
      <c r="AP986" s="89" t="str">
        <f t="shared" si="284"/>
        <v/>
      </c>
      <c r="AQ986" s="89" t="str">
        <f t="shared" si="282"/>
        <v/>
      </c>
      <c r="AR986" s="315" t="str">
        <f t="shared" si="283"/>
        <v/>
      </c>
      <c r="AS986" s="305" t="str">
        <f t="shared" si="297"/>
        <v>0</v>
      </c>
      <c r="AT986" s="307">
        <f>Table22[[#This Row],[Column1]]</f>
        <v>0</v>
      </c>
    </row>
    <row r="987" spans="1:46" x14ac:dyDescent="0.3">
      <c r="A987" s="307">
        <f t="shared" si="291"/>
        <v>0</v>
      </c>
      <c r="B987" s="307">
        <f t="shared" si="280"/>
        <v>0</v>
      </c>
      <c r="C987" s="308" t="s">
        <v>563</v>
      </c>
      <c r="D987" s="309" t="s">
        <v>563</v>
      </c>
      <c r="E987" s="310">
        <v>0</v>
      </c>
      <c r="F987" s="310">
        <v>0</v>
      </c>
      <c r="G987" s="311">
        <v>0</v>
      </c>
      <c r="H987" s="310" t="s">
        <v>563</v>
      </c>
      <c r="I987" s="310" t="s">
        <v>563</v>
      </c>
      <c r="J987" s="310" t="s">
        <v>563</v>
      </c>
      <c r="K987" s="312">
        <v>0</v>
      </c>
      <c r="L987" s="310">
        <v>0</v>
      </c>
      <c r="M987" s="310">
        <v>0</v>
      </c>
      <c r="N987" s="313">
        <v>0</v>
      </c>
      <c r="O987" s="314" t="s">
        <v>563</v>
      </c>
      <c r="P987" s="307">
        <f t="shared" si="285"/>
        <v>0</v>
      </c>
      <c r="R987" s="91" t="str">
        <f t="shared" si="281"/>
        <v/>
      </c>
      <c r="S987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7" s="307" t="str">
        <f t="shared" si="287"/>
        <v/>
      </c>
      <c r="U987" s="315" t="str">
        <f t="shared" si="288"/>
        <v/>
      </c>
      <c r="V987" s="307">
        <f t="shared" si="292"/>
        <v>0</v>
      </c>
      <c r="W987" s="307">
        <f>IFERROR(IF(V987&gt;0,PROPER(Terbilang1(V987)&amp;" Rupiah"),0),"")</f>
        <v>0</v>
      </c>
      <c r="X987" s="90" t="str">
        <f t="shared" si="293"/>
        <v/>
      </c>
      <c r="Y987" s="307" t="str">
        <f t="shared" si="294"/>
        <v/>
      </c>
      <c r="Z987" s="307">
        <f t="shared" si="289"/>
        <v>0</v>
      </c>
      <c r="AA987" s="366">
        <f t="shared" si="290"/>
        <v>0</v>
      </c>
      <c r="AB987" s="367">
        <f t="shared" si="295"/>
        <v>0</v>
      </c>
      <c r="AC987" s="305">
        <f t="shared" si="296"/>
        <v>0</v>
      </c>
      <c r="AP987" s="89" t="str">
        <f t="shared" si="284"/>
        <v/>
      </c>
      <c r="AQ987" s="89" t="str">
        <f t="shared" si="282"/>
        <v/>
      </c>
      <c r="AR987" s="315" t="str">
        <f t="shared" si="283"/>
        <v/>
      </c>
      <c r="AS987" s="305" t="str">
        <f t="shared" si="297"/>
        <v>0</v>
      </c>
      <c r="AT987" s="307">
        <f>Table22[[#This Row],[Column1]]</f>
        <v>0</v>
      </c>
    </row>
    <row r="988" spans="1:46" x14ac:dyDescent="0.3">
      <c r="A988" s="307">
        <f t="shared" si="291"/>
        <v>0</v>
      </c>
      <c r="B988" s="307">
        <f t="shared" si="280"/>
        <v>0</v>
      </c>
      <c r="C988" s="308" t="s">
        <v>563</v>
      </c>
      <c r="D988" s="309" t="s">
        <v>563</v>
      </c>
      <c r="E988" s="310">
        <v>0</v>
      </c>
      <c r="F988" s="310">
        <v>0</v>
      </c>
      <c r="G988" s="311">
        <v>0</v>
      </c>
      <c r="H988" s="310" t="s">
        <v>563</v>
      </c>
      <c r="I988" s="310" t="s">
        <v>563</v>
      </c>
      <c r="J988" s="310" t="s">
        <v>563</v>
      </c>
      <c r="K988" s="312">
        <v>0</v>
      </c>
      <c r="L988" s="310">
        <v>0</v>
      </c>
      <c r="M988" s="310">
        <v>0</v>
      </c>
      <c r="N988" s="313">
        <v>0</v>
      </c>
      <c r="O988" s="314" t="s">
        <v>563</v>
      </c>
      <c r="P988" s="307">
        <f t="shared" si="285"/>
        <v>0</v>
      </c>
      <c r="R988" s="91" t="str">
        <f t="shared" si="281"/>
        <v/>
      </c>
      <c r="S988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8" s="307" t="str">
        <f t="shared" si="287"/>
        <v/>
      </c>
      <c r="U988" s="315" t="str">
        <f t="shared" si="288"/>
        <v/>
      </c>
      <c r="V988" s="307">
        <f t="shared" si="292"/>
        <v>0</v>
      </c>
      <c r="W988" s="307">
        <f>IFERROR(IF(V988&gt;0,PROPER(Terbilang1(V988)&amp;" Rupiah"),0),"")</f>
        <v>0</v>
      </c>
      <c r="X988" s="90" t="str">
        <f t="shared" si="293"/>
        <v/>
      </c>
      <c r="Y988" s="307" t="str">
        <f t="shared" si="294"/>
        <v/>
      </c>
      <c r="Z988" s="307">
        <f t="shared" si="289"/>
        <v>0</v>
      </c>
      <c r="AA988" s="366">
        <f t="shared" si="290"/>
        <v>0</v>
      </c>
      <c r="AB988" s="367">
        <f t="shared" si="295"/>
        <v>0</v>
      </c>
      <c r="AC988" s="305">
        <f t="shared" si="296"/>
        <v>0</v>
      </c>
      <c r="AP988" s="89" t="str">
        <f t="shared" si="284"/>
        <v/>
      </c>
      <c r="AQ988" s="89" t="str">
        <f t="shared" si="282"/>
        <v/>
      </c>
      <c r="AR988" s="315" t="str">
        <f t="shared" si="283"/>
        <v/>
      </c>
      <c r="AS988" s="305" t="str">
        <f t="shared" si="297"/>
        <v>0</v>
      </c>
      <c r="AT988" s="307">
        <f>Table22[[#This Row],[Column1]]</f>
        <v>0</v>
      </c>
    </row>
    <row r="989" spans="1:46" x14ac:dyDescent="0.3">
      <c r="A989" s="307">
        <f t="shared" si="291"/>
        <v>0</v>
      </c>
      <c r="B989" s="307">
        <f t="shared" si="280"/>
        <v>0</v>
      </c>
      <c r="C989" s="308" t="s">
        <v>563</v>
      </c>
      <c r="D989" s="309" t="s">
        <v>563</v>
      </c>
      <c r="E989" s="310">
        <v>0</v>
      </c>
      <c r="F989" s="310">
        <v>0</v>
      </c>
      <c r="G989" s="311">
        <v>0</v>
      </c>
      <c r="H989" s="310" t="s">
        <v>563</v>
      </c>
      <c r="I989" s="310" t="s">
        <v>563</v>
      </c>
      <c r="J989" s="310" t="s">
        <v>563</v>
      </c>
      <c r="K989" s="312">
        <v>0</v>
      </c>
      <c r="L989" s="310">
        <v>0</v>
      </c>
      <c r="M989" s="310">
        <v>0</v>
      </c>
      <c r="N989" s="313">
        <v>0</v>
      </c>
      <c r="O989" s="314" t="s">
        <v>563</v>
      </c>
      <c r="P989" s="307">
        <f t="shared" si="285"/>
        <v>0</v>
      </c>
      <c r="R989" s="91" t="str">
        <f t="shared" si="281"/>
        <v/>
      </c>
      <c r="S989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89" s="307" t="str">
        <f t="shared" si="287"/>
        <v/>
      </c>
      <c r="U989" s="315" t="str">
        <f t="shared" si="288"/>
        <v/>
      </c>
      <c r="V989" s="307">
        <f t="shared" si="292"/>
        <v>0</v>
      </c>
      <c r="W989" s="307">
        <f>IFERROR(IF(V989&gt;0,PROPER(Terbilang1(V989)&amp;" Rupiah"),0),"")</f>
        <v>0</v>
      </c>
      <c r="X989" s="90" t="str">
        <f t="shared" si="293"/>
        <v/>
      </c>
      <c r="Y989" s="307" t="str">
        <f t="shared" si="294"/>
        <v/>
      </c>
      <c r="Z989" s="307">
        <f t="shared" si="289"/>
        <v>0</v>
      </c>
      <c r="AA989" s="366">
        <f t="shared" si="290"/>
        <v>0</v>
      </c>
      <c r="AB989" s="367">
        <f t="shared" si="295"/>
        <v>0</v>
      </c>
      <c r="AC989" s="305">
        <f t="shared" si="296"/>
        <v>0</v>
      </c>
      <c r="AP989" s="89" t="str">
        <f t="shared" si="284"/>
        <v/>
      </c>
      <c r="AQ989" s="89" t="str">
        <f t="shared" si="282"/>
        <v/>
      </c>
      <c r="AR989" s="315" t="str">
        <f t="shared" si="283"/>
        <v/>
      </c>
      <c r="AS989" s="305" t="str">
        <f t="shared" si="297"/>
        <v>0</v>
      </c>
      <c r="AT989" s="307">
        <f>Table22[[#This Row],[Column1]]</f>
        <v>0</v>
      </c>
    </row>
    <row r="990" spans="1:46" x14ac:dyDescent="0.3">
      <c r="A990" s="307">
        <f t="shared" si="291"/>
        <v>0</v>
      </c>
      <c r="B990" s="307">
        <f t="shared" si="280"/>
        <v>0</v>
      </c>
      <c r="C990" s="308" t="s">
        <v>563</v>
      </c>
      <c r="D990" s="309" t="s">
        <v>563</v>
      </c>
      <c r="E990" s="310">
        <v>0</v>
      </c>
      <c r="F990" s="310">
        <v>0</v>
      </c>
      <c r="G990" s="311">
        <v>0</v>
      </c>
      <c r="H990" s="310" t="s">
        <v>563</v>
      </c>
      <c r="I990" s="310" t="s">
        <v>563</v>
      </c>
      <c r="J990" s="310" t="s">
        <v>563</v>
      </c>
      <c r="K990" s="312">
        <v>0</v>
      </c>
      <c r="L990" s="310">
        <v>0</v>
      </c>
      <c r="M990" s="310">
        <v>0</v>
      </c>
      <c r="N990" s="313">
        <v>0</v>
      </c>
      <c r="O990" s="314" t="s">
        <v>563</v>
      </c>
      <c r="P990" s="307">
        <f t="shared" si="285"/>
        <v>0</v>
      </c>
      <c r="R990" s="91" t="str">
        <f t="shared" si="281"/>
        <v/>
      </c>
      <c r="S990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0" s="307" t="str">
        <f t="shared" si="287"/>
        <v/>
      </c>
      <c r="U990" s="315" t="str">
        <f t="shared" si="288"/>
        <v/>
      </c>
      <c r="V990" s="307">
        <f t="shared" si="292"/>
        <v>0</v>
      </c>
      <c r="W990" s="307">
        <f>IFERROR(IF(V990&gt;0,PROPER(Terbilang1(V990)&amp;" Rupiah"),0),"")</f>
        <v>0</v>
      </c>
      <c r="X990" s="90" t="str">
        <f t="shared" si="293"/>
        <v/>
      </c>
      <c r="Y990" s="307" t="str">
        <f t="shared" si="294"/>
        <v/>
      </c>
      <c r="Z990" s="307">
        <f t="shared" si="289"/>
        <v>0</v>
      </c>
      <c r="AA990" s="366">
        <f t="shared" si="290"/>
        <v>0</v>
      </c>
      <c r="AB990" s="367">
        <f t="shared" si="295"/>
        <v>0</v>
      </c>
      <c r="AC990" s="305">
        <f t="shared" si="296"/>
        <v>0</v>
      </c>
      <c r="AP990" s="89" t="str">
        <f t="shared" si="284"/>
        <v/>
      </c>
      <c r="AQ990" s="89" t="str">
        <f t="shared" si="282"/>
        <v/>
      </c>
      <c r="AR990" s="315" t="str">
        <f t="shared" si="283"/>
        <v/>
      </c>
      <c r="AS990" s="305" t="str">
        <f t="shared" si="297"/>
        <v>0</v>
      </c>
      <c r="AT990" s="307">
        <f>Table22[[#This Row],[Column1]]</f>
        <v>0</v>
      </c>
    </row>
    <row r="991" spans="1:46" x14ac:dyDescent="0.3">
      <c r="A991" s="307">
        <f t="shared" si="291"/>
        <v>0</v>
      </c>
      <c r="B991" s="307">
        <f t="shared" si="280"/>
        <v>0</v>
      </c>
      <c r="C991" s="308" t="s">
        <v>563</v>
      </c>
      <c r="D991" s="309" t="s">
        <v>563</v>
      </c>
      <c r="E991" s="310">
        <v>0</v>
      </c>
      <c r="F991" s="310">
        <v>0</v>
      </c>
      <c r="G991" s="311">
        <v>0</v>
      </c>
      <c r="H991" s="310" t="s">
        <v>563</v>
      </c>
      <c r="I991" s="310" t="s">
        <v>563</v>
      </c>
      <c r="J991" s="310" t="s">
        <v>563</v>
      </c>
      <c r="K991" s="312">
        <v>0</v>
      </c>
      <c r="L991" s="310">
        <v>0</v>
      </c>
      <c r="M991" s="310">
        <v>0</v>
      </c>
      <c r="N991" s="313">
        <v>0</v>
      </c>
      <c r="O991" s="314" t="s">
        <v>563</v>
      </c>
      <c r="P991" s="307">
        <f t="shared" si="285"/>
        <v>0</v>
      </c>
      <c r="R991" s="91" t="str">
        <f t="shared" si="281"/>
        <v/>
      </c>
      <c r="S991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1" s="307" t="str">
        <f t="shared" si="287"/>
        <v/>
      </c>
      <c r="U991" s="315" t="str">
        <f t="shared" si="288"/>
        <v/>
      </c>
      <c r="V991" s="307">
        <f t="shared" si="292"/>
        <v>0</v>
      </c>
      <c r="W991" s="307">
        <f>IFERROR(IF(V991&gt;0,PROPER(Terbilang1(V991)&amp;" Rupiah"),0),"")</f>
        <v>0</v>
      </c>
      <c r="X991" s="90" t="str">
        <f t="shared" si="293"/>
        <v/>
      </c>
      <c r="Y991" s="307" t="str">
        <f t="shared" si="294"/>
        <v/>
      </c>
      <c r="Z991" s="307">
        <f t="shared" si="289"/>
        <v>0</v>
      </c>
      <c r="AA991" s="366">
        <f t="shared" si="290"/>
        <v>0</v>
      </c>
      <c r="AB991" s="367">
        <f t="shared" si="295"/>
        <v>0</v>
      </c>
      <c r="AC991" s="305">
        <f t="shared" si="296"/>
        <v>0</v>
      </c>
      <c r="AP991" s="89" t="str">
        <f t="shared" si="284"/>
        <v/>
      </c>
      <c r="AQ991" s="89" t="str">
        <f t="shared" si="282"/>
        <v/>
      </c>
      <c r="AR991" s="315" t="str">
        <f t="shared" si="283"/>
        <v/>
      </c>
      <c r="AS991" s="305" t="str">
        <f t="shared" si="297"/>
        <v>0</v>
      </c>
      <c r="AT991" s="307">
        <f>Table22[[#This Row],[Column1]]</f>
        <v>0</v>
      </c>
    </row>
    <row r="992" spans="1:46" x14ac:dyDescent="0.3">
      <c r="A992" s="307">
        <f t="shared" si="291"/>
        <v>0</v>
      </c>
      <c r="B992" s="307">
        <f t="shared" si="280"/>
        <v>0</v>
      </c>
      <c r="C992" s="308" t="s">
        <v>563</v>
      </c>
      <c r="D992" s="309" t="s">
        <v>563</v>
      </c>
      <c r="E992" s="310">
        <v>0</v>
      </c>
      <c r="F992" s="310">
        <v>0</v>
      </c>
      <c r="G992" s="311">
        <v>0</v>
      </c>
      <c r="H992" s="310" t="s">
        <v>563</v>
      </c>
      <c r="I992" s="310" t="s">
        <v>563</v>
      </c>
      <c r="J992" s="310" t="s">
        <v>563</v>
      </c>
      <c r="K992" s="312">
        <v>0</v>
      </c>
      <c r="L992" s="310">
        <v>0</v>
      </c>
      <c r="M992" s="310">
        <v>0</v>
      </c>
      <c r="N992" s="313">
        <v>0</v>
      </c>
      <c r="O992" s="314" t="s">
        <v>563</v>
      </c>
      <c r="P992" s="307">
        <f t="shared" si="285"/>
        <v>0</v>
      </c>
      <c r="R992" s="91" t="str">
        <f t="shared" si="281"/>
        <v/>
      </c>
      <c r="S992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2" s="307" t="str">
        <f t="shared" si="287"/>
        <v/>
      </c>
      <c r="U992" s="315" t="str">
        <f t="shared" si="288"/>
        <v/>
      </c>
      <c r="V992" s="307">
        <f t="shared" si="292"/>
        <v>0</v>
      </c>
      <c r="W992" s="307">
        <f>IFERROR(IF(V992&gt;0,PROPER(Terbilang1(V992)&amp;" Rupiah"),0),"")</f>
        <v>0</v>
      </c>
      <c r="X992" s="90" t="str">
        <f t="shared" si="293"/>
        <v/>
      </c>
      <c r="Y992" s="307" t="str">
        <f t="shared" si="294"/>
        <v/>
      </c>
      <c r="Z992" s="307">
        <f t="shared" si="289"/>
        <v>0</v>
      </c>
      <c r="AA992" s="366">
        <f t="shared" si="290"/>
        <v>0</v>
      </c>
      <c r="AB992" s="367">
        <f t="shared" si="295"/>
        <v>0</v>
      </c>
      <c r="AC992" s="305">
        <f t="shared" si="296"/>
        <v>0</v>
      </c>
      <c r="AP992" s="89" t="str">
        <f t="shared" si="284"/>
        <v/>
      </c>
      <c r="AQ992" s="89" t="str">
        <f t="shared" si="282"/>
        <v/>
      </c>
      <c r="AR992" s="315" t="str">
        <f t="shared" si="283"/>
        <v/>
      </c>
      <c r="AS992" s="305" t="str">
        <f t="shared" si="297"/>
        <v>0</v>
      </c>
      <c r="AT992" s="307">
        <f>Table22[[#This Row],[Column1]]</f>
        <v>0</v>
      </c>
    </row>
    <row r="993" spans="1:46" x14ac:dyDescent="0.3">
      <c r="A993" s="307">
        <f t="shared" si="291"/>
        <v>0</v>
      </c>
      <c r="B993" s="307">
        <f t="shared" si="280"/>
        <v>0</v>
      </c>
      <c r="C993" s="308" t="s">
        <v>563</v>
      </c>
      <c r="D993" s="309" t="s">
        <v>563</v>
      </c>
      <c r="E993" s="310">
        <v>0</v>
      </c>
      <c r="F993" s="310">
        <v>0</v>
      </c>
      <c r="G993" s="311">
        <v>0</v>
      </c>
      <c r="H993" s="310" t="s">
        <v>563</v>
      </c>
      <c r="I993" s="310" t="s">
        <v>563</v>
      </c>
      <c r="J993" s="310" t="s">
        <v>563</v>
      </c>
      <c r="K993" s="312">
        <v>0</v>
      </c>
      <c r="L993" s="310">
        <v>0</v>
      </c>
      <c r="M993" s="310">
        <v>0</v>
      </c>
      <c r="N993" s="313">
        <v>0</v>
      </c>
      <c r="O993" s="314" t="s">
        <v>563</v>
      </c>
      <c r="P993" s="307">
        <f t="shared" si="285"/>
        <v>0</v>
      </c>
      <c r="R993" s="91" t="str">
        <f t="shared" si="281"/>
        <v/>
      </c>
      <c r="S993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3" s="307" t="str">
        <f t="shared" si="287"/>
        <v/>
      </c>
      <c r="U993" s="315" t="str">
        <f t="shared" si="288"/>
        <v/>
      </c>
      <c r="V993" s="307">
        <f t="shared" si="292"/>
        <v>0</v>
      </c>
      <c r="W993" s="307">
        <f>IFERROR(IF(V993&gt;0,PROPER(Terbilang1(V993)&amp;" Rupiah"),0),"")</f>
        <v>0</v>
      </c>
      <c r="X993" s="90" t="str">
        <f t="shared" si="293"/>
        <v/>
      </c>
      <c r="Y993" s="307" t="str">
        <f t="shared" si="294"/>
        <v/>
      </c>
      <c r="Z993" s="307">
        <f t="shared" si="289"/>
        <v>0</v>
      </c>
      <c r="AA993" s="366">
        <f t="shared" si="290"/>
        <v>0</v>
      </c>
      <c r="AB993" s="367">
        <f t="shared" si="295"/>
        <v>0</v>
      </c>
      <c r="AC993" s="305">
        <f t="shared" si="296"/>
        <v>0</v>
      </c>
      <c r="AP993" s="89" t="str">
        <f t="shared" si="284"/>
        <v/>
      </c>
      <c r="AQ993" s="89" t="str">
        <f t="shared" si="282"/>
        <v/>
      </c>
      <c r="AR993" s="315" t="str">
        <f t="shared" si="283"/>
        <v/>
      </c>
      <c r="AS993" s="305" t="str">
        <f t="shared" si="297"/>
        <v>0</v>
      </c>
      <c r="AT993" s="307">
        <f>Table22[[#This Row],[Column1]]</f>
        <v>0</v>
      </c>
    </row>
    <row r="994" spans="1:46" x14ac:dyDescent="0.3">
      <c r="A994" s="307">
        <f t="shared" si="291"/>
        <v>0</v>
      </c>
      <c r="B994" s="307">
        <f t="shared" si="280"/>
        <v>0</v>
      </c>
      <c r="C994" s="308" t="s">
        <v>563</v>
      </c>
      <c r="D994" s="309" t="s">
        <v>563</v>
      </c>
      <c r="E994" s="310">
        <v>0</v>
      </c>
      <c r="F994" s="310">
        <v>0</v>
      </c>
      <c r="G994" s="311">
        <v>0</v>
      </c>
      <c r="H994" s="310" t="s">
        <v>563</v>
      </c>
      <c r="I994" s="310" t="s">
        <v>563</v>
      </c>
      <c r="J994" s="310" t="s">
        <v>563</v>
      </c>
      <c r="K994" s="312">
        <v>0</v>
      </c>
      <c r="L994" s="310">
        <v>0</v>
      </c>
      <c r="M994" s="310">
        <v>0</v>
      </c>
      <c r="N994" s="313">
        <v>0</v>
      </c>
      <c r="O994" s="314" t="s">
        <v>563</v>
      </c>
      <c r="P994" s="307">
        <f t="shared" si="285"/>
        <v>0</v>
      </c>
      <c r="R994" s="91" t="str">
        <f t="shared" si="281"/>
        <v/>
      </c>
      <c r="S994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4" s="307" t="str">
        <f t="shared" si="287"/>
        <v/>
      </c>
      <c r="U994" s="315" t="str">
        <f t="shared" si="288"/>
        <v/>
      </c>
      <c r="V994" s="307">
        <f t="shared" si="292"/>
        <v>0</v>
      </c>
      <c r="W994" s="307">
        <f>IFERROR(IF(V994&gt;0,PROPER(Terbilang1(V994)&amp;" Rupiah"),0),"")</f>
        <v>0</v>
      </c>
      <c r="X994" s="90" t="str">
        <f t="shared" si="293"/>
        <v/>
      </c>
      <c r="Y994" s="307" t="str">
        <f t="shared" si="294"/>
        <v/>
      </c>
      <c r="Z994" s="307">
        <f t="shared" si="289"/>
        <v>0</v>
      </c>
      <c r="AA994" s="366">
        <f t="shared" si="290"/>
        <v>0</v>
      </c>
      <c r="AB994" s="367">
        <f t="shared" si="295"/>
        <v>0</v>
      </c>
      <c r="AC994" s="305">
        <f t="shared" si="296"/>
        <v>0</v>
      </c>
      <c r="AP994" s="89" t="str">
        <f t="shared" si="284"/>
        <v/>
      </c>
      <c r="AQ994" s="89" t="str">
        <f t="shared" si="282"/>
        <v/>
      </c>
      <c r="AR994" s="315" t="str">
        <f t="shared" si="283"/>
        <v/>
      </c>
      <c r="AS994" s="305" t="str">
        <f t="shared" si="297"/>
        <v>0</v>
      </c>
      <c r="AT994" s="307">
        <f>Table22[[#This Row],[Column1]]</f>
        <v>0</v>
      </c>
    </row>
    <row r="995" spans="1:46" x14ac:dyDescent="0.3">
      <c r="A995" s="307">
        <f t="shared" si="291"/>
        <v>0</v>
      </c>
      <c r="B995" s="307">
        <f t="shared" si="280"/>
        <v>0</v>
      </c>
      <c r="C995" s="308" t="s">
        <v>563</v>
      </c>
      <c r="D995" s="309" t="s">
        <v>563</v>
      </c>
      <c r="E995" s="310">
        <v>0</v>
      </c>
      <c r="F995" s="310">
        <v>0</v>
      </c>
      <c r="G995" s="311">
        <v>0</v>
      </c>
      <c r="H995" s="310" t="s">
        <v>563</v>
      </c>
      <c r="I995" s="310" t="s">
        <v>563</v>
      </c>
      <c r="J995" s="310" t="s">
        <v>563</v>
      </c>
      <c r="K995" s="312">
        <v>0</v>
      </c>
      <c r="L995" s="310">
        <v>0</v>
      </c>
      <c r="M995" s="310">
        <v>0</v>
      </c>
      <c r="N995" s="313">
        <v>0</v>
      </c>
      <c r="O995" s="314" t="s">
        <v>563</v>
      </c>
      <c r="P995" s="307">
        <f t="shared" si="285"/>
        <v>0</v>
      </c>
      <c r="R995" s="91" t="str">
        <f t="shared" si="281"/>
        <v/>
      </c>
      <c r="S995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5" s="307" t="str">
        <f t="shared" si="287"/>
        <v/>
      </c>
      <c r="U995" s="315" t="str">
        <f t="shared" si="288"/>
        <v/>
      </c>
      <c r="V995" s="307">
        <f t="shared" si="292"/>
        <v>0</v>
      </c>
      <c r="W995" s="307">
        <f>IFERROR(IF(V995&gt;0,PROPER(Terbilang1(V995)&amp;" Rupiah"),0),"")</f>
        <v>0</v>
      </c>
      <c r="X995" s="90" t="str">
        <f t="shared" si="293"/>
        <v/>
      </c>
      <c r="Y995" s="307" t="str">
        <f t="shared" si="294"/>
        <v/>
      </c>
      <c r="Z995" s="307">
        <f t="shared" si="289"/>
        <v>0</v>
      </c>
      <c r="AA995" s="366">
        <f t="shared" si="290"/>
        <v>0</v>
      </c>
      <c r="AB995" s="367">
        <f t="shared" si="295"/>
        <v>0</v>
      </c>
      <c r="AC995" s="305">
        <f t="shared" si="296"/>
        <v>0</v>
      </c>
      <c r="AP995" s="89" t="str">
        <f t="shared" si="284"/>
        <v/>
      </c>
      <c r="AQ995" s="89" t="str">
        <f t="shared" si="282"/>
        <v/>
      </c>
      <c r="AR995" s="315" t="str">
        <f t="shared" si="283"/>
        <v/>
      </c>
      <c r="AS995" s="305" t="str">
        <f t="shared" si="297"/>
        <v>0</v>
      </c>
      <c r="AT995" s="307">
        <f>Table22[[#This Row],[Column1]]</f>
        <v>0</v>
      </c>
    </row>
    <row r="996" spans="1:46" x14ac:dyDescent="0.3">
      <c r="A996" s="307">
        <f t="shared" si="291"/>
        <v>0</v>
      </c>
      <c r="B996" s="307">
        <f t="shared" si="280"/>
        <v>0</v>
      </c>
      <c r="C996" s="308" t="s">
        <v>563</v>
      </c>
      <c r="D996" s="309" t="s">
        <v>563</v>
      </c>
      <c r="E996" s="310">
        <v>0</v>
      </c>
      <c r="F996" s="310">
        <v>0</v>
      </c>
      <c r="G996" s="311">
        <v>0</v>
      </c>
      <c r="H996" s="310" t="s">
        <v>563</v>
      </c>
      <c r="I996" s="310" t="s">
        <v>563</v>
      </c>
      <c r="J996" s="310" t="s">
        <v>563</v>
      </c>
      <c r="K996" s="312">
        <v>0</v>
      </c>
      <c r="L996" s="310">
        <v>0</v>
      </c>
      <c r="M996" s="310">
        <v>0</v>
      </c>
      <c r="N996" s="313">
        <v>0</v>
      </c>
      <c r="O996" s="314" t="s">
        <v>563</v>
      </c>
      <c r="P996" s="307">
        <f t="shared" si="285"/>
        <v>0</v>
      </c>
      <c r="R996" s="91" t="str">
        <f t="shared" si="281"/>
        <v/>
      </c>
      <c r="S996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6" s="307" t="str">
        <f t="shared" si="287"/>
        <v/>
      </c>
      <c r="U996" s="315" t="str">
        <f t="shared" si="288"/>
        <v/>
      </c>
      <c r="V996" s="307">
        <f t="shared" si="292"/>
        <v>0</v>
      </c>
      <c r="W996" s="307">
        <f>IFERROR(IF(V996&gt;0,PROPER(Terbilang1(V996)&amp;" Rupiah"),0),"")</f>
        <v>0</v>
      </c>
      <c r="X996" s="90" t="str">
        <f t="shared" si="293"/>
        <v/>
      </c>
      <c r="Y996" s="307" t="str">
        <f t="shared" si="294"/>
        <v/>
      </c>
      <c r="Z996" s="307">
        <f t="shared" si="289"/>
        <v>0</v>
      </c>
      <c r="AA996" s="366">
        <f t="shared" si="290"/>
        <v>0</v>
      </c>
      <c r="AB996" s="367">
        <f t="shared" si="295"/>
        <v>0</v>
      </c>
      <c r="AC996" s="305">
        <f t="shared" si="296"/>
        <v>0</v>
      </c>
      <c r="AP996" s="89" t="str">
        <f t="shared" si="284"/>
        <v/>
      </c>
      <c r="AQ996" s="89" t="str">
        <f t="shared" si="282"/>
        <v/>
      </c>
      <c r="AR996" s="315" t="str">
        <f t="shared" si="283"/>
        <v/>
      </c>
      <c r="AS996" s="305" t="str">
        <f t="shared" si="297"/>
        <v>0</v>
      </c>
      <c r="AT996" s="307">
        <f>Table22[[#This Row],[Column1]]</f>
        <v>0</v>
      </c>
    </row>
    <row r="997" spans="1:46" x14ac:dyDescent="0.3">
      <c r="A997" s="307">
        <f t="shared" si="291"/>
        <v>0</v>
      </c>
      <c r="B997" s="307">
        <f>IF(LEFT(F997,2)="MA","Jasa",IF(LEFT(F997,1)="G","Bayar Ongkos",IF(LEFT(F997,1)="M","Beli",0)))</f>
        <v>0</v>
      </c>
      <c r="C997" s="308" t="s">
        <v>563</v>
      </c>
      <c r="D997" s="309" t="s">
        <v>563</v>
      </c>
      <c r="E997" s="310">
        <v>0</v>
      </c>
      <c r="F997" s="310">
        <v>0</v>
      </c>
      <c r="G997" s="311">
        <v>0</v>
      </c>
      <c r="H997" s="310" t="s">
        <v>563</v>
      </c>
      <c r="I997" s="310" t="s">
        <v>563</v>
      </c>
      <c r="J997" s="310" t="s">
        <v>563</v>
      </c>
      <c r="K997" s="312">
        <v>0</v>
      </c>
      <c r="L997" s="310">
        <v>0</v>
      </c>
      <c r="M997" s="310">
        <v>0</v>
      </c>
      <c r="N997" s="313">
        <v>0</v>
      </c>
      <c r="O997" s="314" t="s">
        <v>563</v>
      </c>
      <c r="P997" s="307">
        <f t="shared" si="285"/>
        <v>0</v>
      </c>
      <c r="R997" s="91" t="str">
        <f>IF(LEFT(F997,2)="ma",F997,IF(LEFT(F997,1)="m",E997,IF(LEFT(F997,1)="b",E997,IF(LEFT(F997,1)="G",F997,""))))</f>
        <v/>
      </c>
      <c r="S997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7" s="307" t="str">
        <f t="shared" si="287"/>
        <v/>
      </c>
      <c r="U997" s="315" t="str">
        <f t="shared" si="288"/>
        <v/>
      </c>
      <c r="V997" s="307">
        <f t="shared" si="292"/>
        <v>0</v>
      </c>
      <c r="W997" s="307">
        <f>IFERROR(IF(V997&gt;0,PROPER(Terbilang1(V997)&amp;" Rupiah"),0),"")</f>
        <v>0</v>
      </c>
      <c r="X997" s="90" t="str">
        <f t="shared" si="293"/>
        <v/>
      </c>
      <c r="Y997" s="307" t="str">
        <f t="shared" si="294"/>
        <v/>
      </c>
      <c r="Z997" s="307">
        <f t="shared" si="289"/>
        <v>0</v>
      </c>
      <c r="AA997" s="366">
        <f t="shared" si="290"/>
        <v>0</v>
      </c>
      <c r="AB997" s="367">
        <f t="shared" si="295"/>
        <v>0</v>
      </c>
      <c r="AC997" s="305">
        <f t="shared" si="296"/>
        <v>0</v>
      </c>
      <c r="AP997" s="89" t="str">
        <f t="shared" si="284"/>
        <v/>
      </c>
      <c r="AQ997" s="89" t="str">
        <f t="shared" si="282"/>
        <v/>
      </c>
      <c r="AR997" s="315" t="str">
        <f t="shared" si="283"/>
        <v/>
      </c>
      <c r="AS997" s="305" t="str">
        <f t="shared" si="297"/>
        <v>0</v>
      </c>
      <c r="AT997" s="307">
        <f>Table22[[#This Row],[Column1]]</f>
        <v>0</v>
      </c>
    </row>
    <row r="998" spans="1:46" x14ac:dyDescent="0.3">
      <c r="A998" s="307">
        <f t="shared" si="291"/>
        <v>0</v>
      </c>
      <c r="B998" s="307">
        <f>IF(LEFT(F998,2)="MA","Jasa",IF(LEFT(F998,1)="G","Bayar Ongkos",IF(LEFT(F998,1)="M","Beli",0)))</f>
        <v>0</v>
      </c>
      <c r="C998" s="308" t="s">
        <v>563</v>
      </c>
      <c r="D998" s="309" t="s">
        <v>563</v>
      </c>
      <c r="E998" s="310">
        <v>0</v>
      </c>
      <c r="F998" s="310">
        <v>0</v>
      </c>
      <c r="G998" s="311">
        <v>0</v>
      </c>
      <c r="H998" s="310" t="s">
        <v>563</v>
      </c>
      <c r="I998" s="310" t="s">
        <v>563</v>
      </c>
      <c r="J998" s="310" t="s">
        <v>563</v>
      </c>
      <c r="K998" s="312">
        <v>0</v>
      </c>
      <c r="L998" s="310">
        <v>0</v>
      </c>
      <c r="M998" s="310">
        <v>0</v>
      </c>
      <c r="N998" s="313">
        <v>0</v>
      </c>
      <c r="O998" s="314" t="s">
        <v>563</v>
      </c>
      <c r="P998" s="307">
        <f t="shared" si="285"/>
        <v>0</v>
      </c>
      <c r="R998" s="91" t="str">
        <f>IF(LEFT(F998,2)="ma",F998,IF(LEFT(F998,1)="m",E998,IF(LEFT(F998,1)="b",E998,IF(LEFT(F998,1)="G",F998,""))))</f>
        <v/>
      </c>
      <c r="S998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8" s="307" t="str">
        <f t="shared" si="287"/>
        <v/>
      </c>
      <c r="U998" s="315" t="str">
        <f t="shared" si="288"/>
        <v/>
      </c>
      <c r="V998" s="307">
        <f t="shared" si="292"/>
        <v>0</v>
      </c>
      <c r="W998" s="307">
        <f>IFERROR(IF(V998&gt;0,PROPER(Terbilang1(V998)&amp;" Rupiah"),0),"")</f>
        <v>0</v>
      </c>
      <c r="X998" s="90" t="str">
        <f t="shared" si="293"/>
        <v/>
      </c>
      <c r="Y998" s="307" t="str">
        <f t="shared" si="294"/>
        <v/>
      </c>
      <c r="Z998" s="307">
        <f t="shared" si="289"/>
        <v>0</v>
      </c>
      <c r="AA998" s="366">
        <f t="shared" si="290"/>
        <v>0</v>
      </c>
      <c r="AB998" s="367">
        <f t="shared" si="295"/>
        <v>0</v>
      </c>
      <c r="AC998" s="305">
        <f t="shared" si="296"/>
        <v>0</v>
      </c>
      <c r="AP998" s="89" t="str">
        <f t="shared" si="284"/>
        <v/>
      </c>
      <c r="AQ998" s="89" t="str">
        <f t="shared" si="282"/>
        <v/>
      </c>
      <c r="AR998" s="315" t="str">
        <f t="shared" si="283"/>
        <v/>
      </c>
      <c r="AS998" s="305" t="str">
        <f t="shared" si="297"/>
        <v>0</v>
      </c>
      <c r="AT998" s="307">
        <f>Table22[[#This Row],[Column1]]</f>
        <v>0</v>
      </c>
    </row>
    <row r="999" spans="1:46" x14ac:dyDescent="0.3">
      <c r="A999" s="307">
        <f t="shared" si="291"/>
        <v>0</v>
      </c>
      <c r="B999" s="307">
        <f>IF(LEFT(F999,2)="MA","Jasa",IF(LEFT(F999,1)="G","Bayar Ongkos",IF(LEFT(F999,1)="M","Beli",0)))</f>
        <v>0</v>
      </c>
      <c r="C999" s="308" t="s">
        <v>563</v>
      </c>
      <c r="D999" s="309" t="s">
        <v>563</v>
      </c>
      <c r="E999" s="310">
        <v>0</v>
      </c>
      <c r="F999" s="310">
        <v>0</v>
      </c>
      <c r="G999" s="311">
        <v>0</v>
      </c>
      <c r="H999" s="310" t="s">
        <v>563</v>
      </c>
      <c r="I999" s="310" t="s">
        <v>563</v>
      </c>
      <c r="J999" s="310" t="s">
        <v>563</v>
      </c>
      <c r="K999" s="312">
        <v>0</v>
      </c>
      <c r="L999" s="310">
        <v>0</v>
      </c>
      <c r="M999" s="310">
        <v>0</v>
      </c>
      <c r="N999" s="313">
        <v>0</v>
      </c>
      <c r="O999" s="314" t="s">
        <v>563</v>
      </c>
      <c r="P999" s="307">
        <f t="shared" si="285"/>
        <v>0</v>
      </c>
      <c r="R999" s="91" t="str">
        <f>IF(LEFT(F999,2)="ma",F999,IF(LEFT(F999,1)="m",E999,IF(LEFT(F999,1)="b",E999,IF(LEFT(F999,1)="G",F999,""))))</f>
        <v/>
      </c>
      <c r="S999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999" s="307" t="str">
        <f t="shared" si="287"/>
        <v/>
      </c>
      <c r="U999" s="315" t="str">
        <f t="shared" si="288"/>
        <v/>
      </c>
      <c r="V999" s="307">
        <f t="shared" si="292"/>
        <v>0</v>
      </c>
      <c r="W999" s="307">
        <f>IFERROR(IF(V999&gt;0,PROPER(Terbilang1(V999)&amp;" Rupiah"),0),"")</f>
        <v>0</v>
      </c>
      <c r="X999" s="90" t="str">
        <f t="shared" si="293"/>
        <v/>
      </c>
      <c r="Y999" s="307" t="str">
        <f t="shared" si="294"/>
        <v/>
      </c>
      <c r="Z999" s="307">
        <f t="shared" si="289"/>
        <v>0</v>
      </c>
      <c r="AA999" s="366">
        <f t="shared" si="290"/>
        <v>0</v>
      </c>
      <c r="AB999" s="367">
        <f t="shared" si="295"/>
        <v>0</v>
      </c>
      <c r="AC999" s="305">
        <f t="shared" si="296"/>
        <v>0</v>
      </c>
      <c r="AP999" s="89" t="str">
        <f t="shared" si="284"/>
        <v/>
      </c>
      <c r="AQ999" s="89" t="str">
        <f t="shared" si="282"/>
        <v/>
      </c>
      <c r="AR999" s="315" t="str">
        <f t="shared" si="283"/>
        <v/>
      </c>
      <c r="AS999" s="305" t="str">
        <f t="shared" si="297"/>
        <v>0</v>
      </c>
      <c r="AT999" s="307">
        <f>Table22[[#This Row],[Column1]]</f>
        <v>0</v>
      </c>
    </row>
    <row r="1000" spans="1:46" x14ac:dyDescent="0.3">
      <c r="A1000" s="307">
        <f t="shared" si="291"/>
        <v>0</v>
      </c>
      <c r="B1000" s="307">
        <f>IF(LEFT(F1000,2)="MA","Jasa",IF(LEFT(F1000,1)="G","Bayar Ongkos",IF(LEFT(F1000,1)="M","Beli",0)))</f>
        <v>0</v>
      </c>
      <c r="C1000" s="308" t="s">
        <v>563</v>
      </c>
      <c r="D1000" s="309" t="s">
        <v>563</v>
      </c>
      <c r="E1000" s="310">
        <v>0</v>
      </c>
      <c r="F1000" s="310">
        <v>0</v>
      </c>
      <c r="G1000" s="311">
        <v>0</v>
      </c>
      <c r="H1000" s="310" t="s">
        <v>563</v>
      </c>
      <c r="I1000" s="310" t="s">
        <v>563</v>
      </c>
      <c r="J1000" s="310" t="s">
        <v>563</v>
      </c>
      <c r="K1000" s="312">
        <v>0</v>
      </c>
      <c r="L1000" s="310">
        <v>0</v>
      </c>
      <c r="M1000" s="310">
        <v>0</v>
      </c>
      <c r="N1000" s="313">
        <v>0</v>
      </c>
      <c r="O1000" s="314" t="s">
        <v>563</v>
      </c>
      <c r="P1000" s="307">
        <f t="shared" si="285"/>
        <v>0</v>
      </c>
      <c r="R1000" s="91" t="str">
        <f>IF(LEFT(F1000,2)="ma",F1000,IF(LEFT(F1000,1)="m",E1000,IF(LEFT(F1000,1)="b",E1000,IF(LEFT(F1000,1)="G",F1000,""))))</f>
        <v/>
      </c>
      <c r="S1000" s="307" t="str">
        <f t="shared" si="286"/>
        <v>BKK.57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v>
      </c>
      <c r="T1000" s="307" t="str">
        <f t="shared" si="287"/>
        <v/>
      </c>
      <c r="U1000" s="315" t="str">
        <f t="shared" si="288"/>
        <v/>
      </c>
      <c r="V1000" s="307">
        <f t="shared" si="292"/>
        <v>0</v>
      </c>
      <c r="W1000" s="307">
        <f>IFERROR(IF(V1000&gt;0,PROPER(Terbilang1(V1000)&amp;" Rupiah"),0),"")</f>
        <v>0</v>
      </c>
      <c r="X1000" s="90" t="str">
        <f t="shared" si="293"/>
        <v/>
      </c>
      <c r="Y1000" s="307" t="str">
        <f t="shared" si="294"/>
        <v/>
      </c>
      <c r="Z1000" s="307">
        <f t="shared" si="289"/>
        <v>0</v>
      </c>
      <c r="AA1000" s="366">
        <f t="shared" si="290"/>
        <v>0</v>
      </c>
      <c r="AB1000" s="367">
        <f t="shared" si="295"/>
        <v>0</v>
      </c>
      <c r="AC1000" s="305">
        <f t="shared" si="296"/>
        <v>0</v>
      </c>
      <c r="AP1000" s="89" t="str">
        <f t="shared" si="284"/>
        <v/>
      </c>
      <c r="AQ1000" s="89" t="str">
        <f t="shared" ref="AQ1000" si="298">TEXT(AR1000,"MM")</f>
        <v/>
      </c>
      <c r="AR1000" s="315" t="str">
        <f t="shared" si="283"/>
        <v/>
      </c>
      <c r="AS1000" s="305" t="str">
        <f t="shared" si="297"/>
        <v>0</v>
      </c>
      <c r="AT1000" s="307">
        <f>Table22[[#This Row],[Column1]]</f>
        <v>0</v>
      </c>
    </row>
  </sheetData>
  <autoFilter ref="C1:O1000" xr:uid="{00000000-0009-0000-0000-000000000000}"/>
  <conditionalFormatting sqref="L2:L1000">
    <cfRule type="cellIs" dxfId="407" priority="1" operator="equal">
      <formula>"A"</formula>
    </cfRule>
  </conditionalFormatting>
  <pageMargins left="0.19685039370078741" right="0.19685039370078741" top="0.19685039370078741" bottom="0.19685039370078741" header="0.31496062992125984" footer="0.31496062992125984"/>
  <pageSetup paperSize="9" scale="47" fitToHeight="0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EC211-F196-4AB9-B437-78C4EA7A5DCC}">
  <sheetPr codeName="Sheet20">
    <tabColor rgb="FFCC66FF"/>
    <pageSetUpPr fitToPage="1"/>
  </sheetPr>
  <dimension ref="C1:P164"/>
  <sheetViews>
    <sheetView view="pageBreakPreview" zoomScale="85" zoomScaleSheetLayoutView="85" workbookViewId="0">
      <selection activeCell="I21" sqref="I21"/>
    </sheetView>
  </sheetViews>
  <sheetFormatPr defaultColWidth="9.140625" defaultRowHeight="16.5" x14ac:dyDescent="0.3"/>
  <cols>
    <col min="1" max="1" width="14.28515625" style="625" customWidth="1"/>
    <col min="2" max="2" width="3.28515625" style="625" customWidth="1"/>
    <col min="3" max="3" width="5.28515625" style="625" customWidth="1"/>
    <col min="4" max="4" width="14.5703125" style="667" customWidth="1"/>
    <col min="5" max="5" width="30.140625" style="625" customWidth="1"/>
    <col min="6" max="6" width="27.140625" style="625" customWidth="1"/>
    <col min="7" max="8" width="22" style="625" customWidth="1"/>
    <col min="9" max="9" width="28.5703125" style="625" customWidth="1"/>
    <col min="10" max="10" width="3" style="625" customWidth="1"/>
    <col min="11" max="11" width="9.140625" style="625"/>
    <col min="12" max="12" width="12.5703125" style="625" bestFit="1" customWidth="1"/>
    <col min="13" max="13" width="9.140625" style="625"/>
    <col min="14" max="14" width="15.85546875" style="625" bestFit="1" customWidth="1"/>
    <col min="15" max="15" width="9.140625" style="625"/>
    <col min="16" max="16" width="16.85546875" style="625" bestFit="1" customWidth="1"/>
    <col min="17" max="16384" width="9.140625" style="625"/>
  </cols>
  <sheetData>
    <row r="1" spans="3:16" ht="19.5" customHeight="1" x14ac:dyDescent="0.3">
      <c r="C1" s="675" t="s">
        <v>532</v>
      </c>
      <c r="D1" s="675"/>
      <c r="E1" s="675"/>
      <c r="F1" s="675"/>
      <c r="G1" s="675"/>
      <c r="H1" s="675"/>
      <c r="I1" s="675"/>
    </row>
    <row r="2" spans="3:16" x14ac:dyDescent="0.3">
      <c r="C2" s="672" t="str">
        <f>"Bulan "&amp;TEXT(EOMONTH(D11,0),"mmmm yyyy")</f>
        <v>Bulan Agustus 2025</v>
      </c>
      <c r="D2" s="672"/>
      <c r="E2" s="672"/>
      <c r="F2" s="672"/>
      <c r="G2" s="672"/>
      <c r="H2" s="672"/>
      <c r="I2" s="672"/>
    </row>
    <row r="3" spans="3:16" x14ac:dyDescent="0.3">
      <c r="C3" s="626"/>
      <c r="D3" s="626"/>
      <c r="G3" s="627"/>
      <c r="H3" s="626"/>
      <c r="I3" s="626"/>
    </row>
    <row r="4" spans="3:16" x14ac:dyDescent="0.3">
      <c r="C4" s="627"/>
      <c r="D4" s="628" t="s">
        <v>61</v>
      </c>
      <c r="E4" s="629" t="str">
        <f>'BKU 1'!$D$25</f>
        <v>SDN 1 SIDODADI</v>
      </c>
      <c r="F4" s="629"/>
      <c r="G4" s="630"/>
      <c r="H4" s="631" t="s">
        <v>533</v>
      </c>
      <c r="I4" s="630" t="s">
        <v>534</v>
      </c>
    </row>
    <row r="5" spans="3:16" x14ac:dyDescent="0.3">
      <c r="C5" s="627"/>
      <c r="D5" s="628" t="s">
        <v>535</v>
      </c>
      <c r="E5" s="676" t="str">
        <f>'BKU 1'!$D$26</f>
        <v>Jl. Kawi No.36 Rt. 1 Rw. 1 Dusun Sekar, Rt / Rw : 1 / 1, Dusun : Sekar, Kelurahan : Sidodadi</v>
      </c>
      <c r="F5" s="676"/>
      <c r="G5" s="676"/>
      <c r="H5" s="631" t="s">
        <v>536</v>
      </c>
      <c r="I5" s="630" t="s">
        <v>537</v>
      </c>
    </row>
    <row r="6" spans="3:16" x14ac:dyDescent="0.3">
      <c r="C6" s="627"/>
      <c r="D6" s="628"/>
      <c r="E6" s="676"/>
      <c r="F6" s="676"/>
      <c r="G6" s="676"/>
      <c r="H6" s="631"/>
      <c r="I6" s="630"/>
    </row>
    <row r="7" spans="3:16" x14ac:dyDescent="0.3">
      <c r="C7" s="627"/>
      <c r="D7" s="628" t="s">
        <v>63</v>
      </c>
      <c r="E7" s="630" t="str">
        <f>'BKU 1'!$I$25</f>
        <v>NGANTANG</v>
      </c>
      <c r="F7" s="630"/>
      <c r="G7" s="630"/>
      <c r="H7" s="631"/>
      <c r="I7" s="630"/>
    </row>
    <row r="8" spans="3:16" ht="17.25" thickBot="1" x14ac:dyDescent="0.35">
      <c r="C8" s="627"/>
      <c r="D8" s="632"/>
      <c r="E8" s="627"/>
      <c r="F8" s="627"/>
      <c r="G8" s="627"/>
      <c r="H8" s="627"/>
      <c r="I8" s="627"/>
      <c r="J8" s="633"/>
    </row>
    <row r="9" spans="3:16" ht="31.5" customHeight="1" x14ac:dyDescent="0.3">
      <c r="C9" s="634" t="s">
        <v>538</v>
      </c>
      <c r="D9" s="635" t="s">
        <v>0</v>
      </c>
      <c r="E9" s="635" t="s">
        <v>1</v>
      </c>
      <c r="F9" s="635" t="s">
        <v>3</v>
      </c>
      <c r="G9" s="636" t="s">
        <v>539</v>
      </c>
      <c r="H9" s="636" t="s">
        <v>540</v>
      </c>
      <c r="I9" s="637" t="s">
        <v>541</v>
      </c>
      <c r="K9" s="638"/>
      <c r="L9" s="639"/>
    </row>
    <row r="10" spans="3:16" x14ac:dyDescent="0.3">
      <c r="C10" s="640"/>
      <c r="D10" s="641"/>
      <c r="E10" s="642"/>
      <c r="F10" s="642"/>
      <c r="G10" s="642"/>
      <c r="H10" s="642"/>
      <c r="I10" s="643"/>
      <c r="K10" s="638"/>
      <c r="L10" s="639"/>
    </row>
    <row r="11" spans="3:16" x14ac:dyDescent="0.3">
      <c r="C11" s="644">
        <v>1</v>
      </c>
      <c r="D11" s="645" t="s">
        <v>542</v>
      </c>
      <c r="E11" s="646" t="s">
        <v>543</v>
      </c>
      <c r="F11" s="647" t="s">
        <v>544</v>
      </c>
      <c r="G11" s="648">
        <v>84748671</v>
      </c>
      <c r="H11" s="648"/>
      <c r="I11" s="649">
        <f>G11</f>
        <v>84748671</v>
      </c>
      <c r="L11" s="639">
        <v>119653040</v>
      </c>
      <c r="N11" s="668">
        <f>G11-L11</f>
        <v>-34904369</v>
      </c>
    </row>
    <row r="12" spans="3:16" x14ac:dyDescent="0.3">
      <c r="C12" s="644">
        <v>2</v>
      </c>
      <c r="D12" s="645"/>
      <c r="E12" s="646"/>
      <c r="F12" s="647"/>
      <c r="G12" s="648"/>
      <c r="H12" s="648"/>
      <c r="I12" s="649"/>
      <c r="J12" s="633"/>
      <c r="L12" s="639">
        <f>'REKAP PAJAK'!K25+'BUKU BANK'!L11</f>
        <v>121144040</v>
      </c>
      <c r="N12" s="669">
        <v>36320859</v>
      </c>
      <c r="P12" s="668">
        <f>G11+N12</f>
        <v>121069530</v>
      </c>
    </row>
    <row r="13" spans="3:16" x14ac:dyDescent="0.3">
      <c r="C13" s="644">
        <v>3</v>
      </c>
      <c r="D13" s="645"/>
      <c r="E13" s="646"/>
      <c r="F13" s="650"/>
      <c r="G13" s="648"/>
      <c r="H13" s="648"/>
      <c r="I13" s="649"/>
      <c r="K13" s="638"/>
      <c r="L13" s="639"/>
    </row>
    <row r="14" spans="3:16" x14ac:dyDescent="0.3">
      <c r="C14" s="644">
        <v>4</v>
      </c>
      <c r="D14" s="645"/>
      <c r="E14" s="646"/>
      <c r="F14" s="650"/>
      <c r="G14" s="648"/>
      <c r="H14" s="648"/>
      <c r="I14" s="649"/>
      <c r="K14" s="638"/>
      <c r="L14" s="639"/>
    </row>
    <row r="15" spans="3:16" x14ac:dyDescent="0.3">
      <c r="C15" s="644">
        <v>5</v>
      </c>
      <c r="D15" s="645"/>
      <c r="E15" s="646"/>
      <c r="F15" s="650"/>
      <c r="G15" s="648"/>
      <c r="H15" s="648"/>
      <c r="I15" s="649"/>
      <c r="L15" s="639"/>
    </row>
    <row r="16" spans="3:16" x14ac:dyDescent="0.3">
      <c r="C16" s="644">
        <v>6</v>
      </c>
      <c r="D16" s="645"/>
      <c r="E16" s="646"/>
      <c r="F16" s="650"/>
      <c r="G16" s="648"/>
      <c r="H16" s="648"/>
      <c r="I16" s="649"/>
      <c r="J16" s="651"/>
    </row>
    <row r="17" spans="3:12" x14ac:dyDescent="0.3">
      <c r="C17" s="644">
        <v>7</v>
      </c>
      <c r="D17" s="645"/>
      <c r="E17" s="646"/>
      <c r="F17" s="650"/>
      <c r="G17" s="648"/>
      <c r="H17" s="648"/>
      <c r="I17" s="649"/>
      <c r="J17" s="651"/>
    </row>
    <row r="18" spans="3:12" x14ac:dyDescent="0.3">
      <c r="C18" s="644">
        <v>8</v>
      </c>
      <c r="D18" s="645"/>
      <c r="E18" s="646"/>
      <c r="F18" s="650"/>
      <c r="G18" s="648"/>
      <c r="H18" s="648"/>
      <c r="I18" s="649"/>
      <c r="J18" s="651"/>
    </row>
    <row r="19" spans="3:12" x14ac:dyDescent="0.3">
      <c r="C19" s="644">
        <v>9</v>
      </c>
      <c r="D19" s="645"/>
      <c r="E19" s="646"/>
      <c r="F19" s="650"/>
      <c r="G19" s="648"/>
      <c r="H19" s="648"/>
      <c r="I19" s="649"/>
      <c r="J19" s="651"/>
    </row>
    <row r="20" spans="3:12" ht="17.25" thickBot="1" x14ac:dyDescent="0.35">
      <c r="C20" s="652"/>
      <c r="D20" s="653"/>
      <c r="E20" s="654"/>
      <c r="F20" s="655"/>
      <c r="G20" s="654"/>
      <c r="H20" s="656"/>
      <c r="I20" s="657"/>
      <c r="K20" s="638"/>
      <c r="L20" s="639"/>
    </row>
    <row r="21" spans="3:12" ht="17.25" thickBot="1" x14ac:dyDescent="0.35">
      <c r="C21" s="658"/>
      <c r="D21" s="677" t="s">
        <v>40</v>
      </c>
      <c r="E21" s="678"/>
      <c r="F21" s="659"/>
      <c r="G21" s="660">
        <f>SUM(G11:G20)</f>
        <v>84748671</v>
      </c>
      <c r="H21" s="660">
        <f>SUM(H12:H14)</f>
        <v>0</v>
      </c>
      <c r="I21" s="661">
        <f>G21-H21</f>
        <v>84748671</v>
      </c>
      <c r="K21" s="638"/>
      <c r="L21" s="639"/>
    </row>
    <row r="22" spans="3:12" x14ac:dyDescent="0.3">
      <c r="C22" s="627"/>
      <c r="D22" s="632"/>
      <c r="E22" s="627"/>
      <c r="F22" s="627"/>
      <c r="G22" s="627"/>
      <c r="H22" s="627"/>
      <c r="I22" s="627"/>
      <c r="L22" s="639"/>
    </row>
    <row r="23" spans="3:12" x14ac:dyDescent="0.3">
      <c r="C23" s="627"/>
      <c r="D23" s="632"/>
      <c r="E23" s="627"/>
      <c r="F23" s="627"/>
      <c r="G23" s="627"/>
      <c r="H23" s="627"/>
      <c r="I23" s="627"/>
    </row>
    <row r="24" spans="3:12" s="662" customFormat="1" x14ac:dyDescent="0.3">
      <c r="C24" s="627"/>
      <c r="D24" s="632" t="s">
        <v>546</v>
      </c>
      <c r="E24" s="627"/>
      <c r="G24" s="627"/>
      <c r="I24" s="632" t="str">
        <f>"Malang, "&amp;TEXT(EOMONTH(D11,0),"dd mmmm yyyy")</f>
        <v>Malang, 31 Agustus 2025</v>
      </c>
    </row>
    <row r="25" spans="3:12" s="662" customFormat="1" x14ac:dyDescent="0.3">
      <c r="C25" s="627"/>
      <c r="D25" s="626" t="s">
        <v>547</v>
      </c>
      <c r="E25" s="627"/>
      <c r="F25" s="672" t="s">
        <v>548</v>
      </c>
      <c r="G25" s="672"/>
      <c r="I25" s="626" t="s">
        <v>549</v>
      </c>
    </row>
    <row r="26" spans="3:12" s="662" customFormat="1" x14ac:dyDescent="0.3">
      <c r="C26" s="627"/>
      <c r="D26" s="626" t="str">
        <f>E4</f>
        <v>SDN 1 SIDODADI</v>
      </c>
      <c r="E26" s="627"/>
      <c r="F26" s="672" t="str">
        <f>D26</f>
        <v>SDN 1 SIDODADI</v>
      </c>
      <c r="G26" s="672"/>
      <c r="I26" s="626" t="str">
        <f>D26</f>
        <v>SDN 1 SIDODADI</v>
      </c>
    </row>
    <row r="27" spans="3:12" s="662" customFormat="1" x14ac:dyDescent="0.3">
      <c r="C27" s="627"/>
      <c r="D27" s="632"/>
      <c r="E27" s="627"/>
      <c r="F27" s="632"/>
      <c r="G27" s="627"/>
      <c r="I27" s="632"/>
    </row>
    <row r="28" spans="3:12" s="662" customFormat="1" x14ac:dyDescent="0.3">
      <c r="C28" s="627"/>
      <c r="D28" s="632"/>
      <c r="E28" s="627"/>
      <c r="F28" s="632"/>
      <c r="G28" s="627"/>
      <c r="I28" s="632"/>
    </row>
    <row r="29" spans="3:12" s="662" customFormat="1" x14ac:dyDescent="0.3">
      <c r="C29" s="627"/>
      <c r="D29" s="632"/>
      <c r="E29" s="627"/>
      <c r="F29" s="632"/>
      <c r="G29" s="627"/>
      <c r="I29" s="632"/>
    </row>
    <row r="30" spans="3:12" s="662" customFormat="1" x14ac:dyDescent="0.3">
      <c r="C30" s="627"/>
      <c r="D30" s="663"/>
      <c r="E30" s="627"/>
      <c r="F30" s="632"/>
      <c r="G30" s="627"/>
    </row>
    <row r="31" spans="3:12" s="662" customFormat="1" x14ac:dyDescent="0.3">
      <c r="C31" s="627"/>
      <c r="D31" s="664" t="str">
        <f>'BKU 1'!E8</f>
        <v>MELIA FITRIANI, S.Pd.SD</v>
      </c>
      <c r="E31" s="627"/>
      <c r="F31" s="673" t="str">
        <f>'BKU 1'!E10</f>
        <v>HARTATIK</v>
      </c>
      <c r="G31" s="673"/>
      <c r="I31" s="664" t="str">
        <f>'BKU 1'!E12</f>
        <v>ARIF NUR UDIN, S.Pd.SD</v>
      </c>
    </row>
    <row r="32" spans="3:12" s="665" customFormat="1" x14ac:dyDescent="0.3">
      <c r="D32" s="632" t="str">
        <f>'BKU 1'!E9</f>
        <v>NIP. 19850619 200904 2 000</v>
      </c>
      <c r="F32" s="674"/>
      <c r="G32" s="674"/>
      <c r="I32" s="632" t="str">
        <f>+'BKU 1'!E13</f>
        <v>NIP. 19840719 200903 1 002</v>
      </c>
    </row>
    <row r="34" spans="3:12" ht="19.5" customHeight="1" x14ac:dyDescent="0.3">
      <c r="C34" s="675" t="s">
        <v>532</v>
      </c>
      <c r="D34" s="675"/>
      <c r="E34" s="675"/>
      <c r="F34" s="675"/>
      <c r="G34" s="675"/>
      <c r="H34" s="675"/>
      <c r="I34" s="675"/>
    </row>
    <row r="35" spans="3:12" x14ac:dyDescent="0.3">
      <c r="C35" s="672" t="str">
        <f>"Bulan "&amp;TEXT(EOMONTH(D44,0),"mmmm yyyy")</f>
        <v>Bulan September 2025</v>
      </c>
      <c r="D35" s="672"/>
      <c r="E35" s="672"/>
      <c r="F35" s="672"/>
      <c r="G35" s="672"/>
      <c r="H35" s="672"/>
      <c r="I35" s="672"/>
    </row>
    <row r="36" spans="3:12" x14ac:dyDescent="0.3">
      <c r="C36" s="626"/>
      <c r="D36" s="626"/>
      <c r="G36" s="627"/>
      <c r="H36" s="626"/>
      <c r="I36" s="626"/>
    </row>
    <row r="37" spans="3:12" x14ac:dyDescent="0.3">
      <c r="C37" s="627"/>
      <c r="D37" s="628" t="s">
        <v>61</v>
      </c>
      <c r="E37" s="629" t="str">
        <f>'BKU 1'!$D$25</f>
        <v>SDN 1 SIDODADI</v>
      </c>
      <c r="F37" s="629"/>
      <c r="G37" s="630"/>
      <c r="H37" s="631" t="s">
        <v>533</v>
      </c>
      <c r="I37" s="630" t="s">
        <v>534</v>
      </c>
    </row>
    <row r="38" spans="3:12" x14ac:dyDescent="0.3">
      <c r="C38" s="627"/>
      <c r="D38" s="628" t="s">
        <v>535</v>
      </c>
      <c r="E38" s="676" t="str">
        <f>'BKU 1'!$D$26</f>
        <v>Jl. Kawi No.36 Rt. 1 Rw. 1 Dusun Sekar, Rt / Rw : 1 / 1, Dusun : Sekar, Kelurahan : Sidodadi</v>
      </c>
      <c r="F38" s="676"/>
      <c r="G38" s="676"/>
      <c r="H38" s="631" t="s">
        <v>536</v>
      </c>
      <c r="I38" s="630" t="s">
        <v>537</v>
      </c>
    </row>
    <row r="39" spans="3:12" x14ac:dyDescent="0.3">
      <c r="C39" s="627"/>
      <c r="D39" s="628"/>
      <c r="E39" s="676"/>
      <c r="F39" s="676"/>
      <c r="G39" s="676"/>
      <c r="H39" s="631"/>
      <c r="I39" s="630"/>
    </row>
    <row r="40" spans="3:12" x14ac:dyDescent="0.3">
      <c r="C40" s="627"/>
      <c r="D40" s="628" t="s">
        <v>63</v>
      </c>
      <c r="E40" s="630" t="str">
        <f>'BKU 1'!$I$25</f>
        <v>NGANTANG</v>
      </c>
      <c r="F40" s="630"/>
      <c r="G40" s="630"/>
      <c r="H40" s="631"/>
      <c r="I40" s="630"/>
    </row>
    <row r="41" spans="3:12" ht="17.25" thickBot="1" x14ac:dyDescent="0.35">
      <c r="C41" s="627"/>
      <c r="D41" s="632"/>
      <c r="E41" s="627"/>
      <c r="F41" s="627"/>
      <c r="G41" s="627"/>
      <c r="H41" s="627"/>
      <c r="I41" s="627"/>
      <c r="J41" s="633"/>
    </row>
    <row r="42" spans="3:12" ht="31.5" customHeight="1" x14ac:dyDescent="0.3">
      <c r="C42" s="634" t="s">
        <v>538</v>
      </c>
      <c r="D42" s="635" t="s">
        <v>0</v>
      </c>
      <c r="E42" s="635" t="s">
        <v>1</v>
      </c>
      <c r="F42" s="635" t="s">
        <v>3</v>
      </c>
      <c r="G42" s="636" t="s">
        <v>539</v>
      </c>
      <c r="H42" s="636" t="s">
        <v>540</v>
      </c>
      <c r="I42" s="637" t="s">
        <v>541</v>
      </c>
      <c r="K42" s="638"/>
      <c r="L42" s="639"/>
    </row>
    <row r="43" spans="3:12" x14ac:dyDescent="0.3">
      <c r="C43" s="640"/>
      <c r="D43" s="641"/>
      <c r="E43" s="642"/>
      <c r="F43" s="642"/>
      <c r="G43" s="642"/>
      <c r="H43" s="642"/>
      <c r="I43" s="643"/>
      <c r="K43" s="638"/>
      <c r="L43" s="639"/>
    </row>
    <row r="44" spans="3:12" x14ac:dyDescent="0.3">
      <c r="C44" s="644">
        <v>1</v>
      </c>
      <c r="D44" s="645">
        <f>EOMONTH(D11,0)+1</f>
        <v>45901</v>
      </c>
      <c r="E44" s="646" t="s">
        <v>550</v>
      </c>
      <c r="F44" s="647"/>
      <c r="G44" s="648">
        <f>I21</f>
        <v>84748671</v>
      </c>
      <c r="H44" s="648"/>
      <c r="I44" s="666">
        <f>G44</f>
        <v>84748671</v>
      </c>
      <c r="L44" s="639"/>
    </row>
    <row r="45" spans="3:12" x14ac:dyDescent="0.3">
      <c r="C45" s="644">
        <v>2</v>
      </c>
      <c r="D45" s="645">
        <v>45902</v>
      </c>
      <c r="E45" s="646" t="s">
        <v>545</v>
      </c>
      <c r="F45" s="647" t="s">
        <v>551</v>
      </c>
      <c r="G45" s="648"/>
      <c r="H45" s="648">
        <v>84000000</v>
      </c>
      <c r="I45" s="666">
        <f>IF(H45&lt;1,G45,I44-H45)</f>
        <v>748671</v>
      </c>
      <c r="J45" s="633"/>
    </row>
    <row r="46" spans="3:12" x14ac:dyDescent="0.3">
      <c r="C46" s="644">
        <v>3</v>
      </c>
      <c r="D46" s="645"/>
      <c r="E46" s="646"/>
      <c r="F46" s="647"/>
      <c r="G46" s="648"/>
      <c r="H46" s="648"/>
      <c r="I46" s="666">
        <f t="shared" ref="I46:I52" si="0">IF(H46&lt;1,G46,I45-H46)</f>
        <v>0</v>
      </c>
      <c r="K46" s="638"/>
      <c r="L46" s="639"/>
    </row>
    <row r="47" spans="3:12" x14ac:dyDescent="0.3">
      <c r="C47" s="644">
        <v>4</v>
      </c>
      <c r="D47" s="645"/>
      <c r="E47" s="646"/>
      <c r="F47" s="650"/>
      <c r="G47" s="648"/>
      <c r="H47" s="648"/>
      <c r="I47" s="666">
        <f t="shared" si="0"/>
        <v>0</v>
      </c>
      <c r="K47" s="638"/>
      <c r="L47" s="639"/>
    </row>
    <row r="48" spans="3:12" x14ac:dyDescent="0.3">
      <c r="C48" s="644">
        <v>5</v>
      </c>
      <c r="D48" s="645"/>
      <c r="E48" s="646"/>
      <c r="F48" s="650"/>
      <c r="G48" s="648"/>
      <c r="H48" s="648"/>
      <c r="I48" s="666">
        <f t="shared" si="0"/>
        <v>0</v>
      </c>
      <c r="L48" s="639"/>
    </row>
    <row r="49" spans="3:12" x14ac:dyDescent="0.3">
      <c r="C49" s="644">
        <v>6</v>
      </c>
      <c r="D49" s="645"/>
      <c r="E49" s="646"/>
      <c r="F49" s="650"/>
      <c r="G49" s="648"/>
      <c r="H49" s="648"/>
      <c r="I49" s="666">
        <f t="shared" si="0"/>
        <v>0</v>
      </c>
      <c r="J49" s="651"/>
    </row>
    <row r="50" spans="3:12" x14ac:dyDescent="0.3">
      <c r="C50" s="644">
        <v>7</v>
      </c>
      <c r="D50" s="645"/>
      <c r="E50" s="646"/>
      <c r="F50" s="650"/>
      <c r="G50" s="648"/>
      <c r="H50" s="648"/>
      <c r="I50" s="666">
        <f t="shared" si="0"/>
        <v>0</v>
      </c>
      <c r="J50" s="651"/>
    </row>
    <row r="51" spans="3:12" x14ac:dyDescent="0.3">
      <c r="C51" s="644">
        <v>8</v>
      </c>
      <c r="D51" s="645"/>
      <c r="E51" s="646"/>
      <c r="F51" s="650"/>
      <c r="G51" s="648"/>
      <c r="H51" s="648"/>
      <c r="I51" s="666">
        <f t="shared" si="0"/>
        <v>0</v>
      </c>
      <c r="J51" s="651"/>
    </row>
    <row r="52" spans="3:12" x14ac:dyDescent="0.3">
      <c r="C52" s="644">
        <v>9</v>
      </c>
      <c r="D52" s="645"/>
      <c r="E52" s="646"/>
      <c r="F52" s="650"/>
      <c r="G52" s="648"/>
      <c r="H52" s="648"/>
      <c r="I52" s="666">
        <f t="shared" si="0"/>
        <v>0</v>
      </c>
      <c r="J52" s="651"/>
    </row>
    <row r="53" spans="3:12" ht="17.25" thickBot="1" x14ac:dyDescent="0.35">
      <c r="C53" s="652"/>
      <c r="D53" s="653"/>
      <c r="E53" s="654"/>
      <c r="F53" s="655"/>
      <c r="G53" s="654"/>
      <c r="H53" s="656"/>
      <c r="I53" s="657"/>
      <c r="K53" s="638"/>
      <c r="L53" s="639"/>
    </row>
    <row r="54" spans="3:12" ht="17.25" thickBot="1" x14ac:dyDescent="0.35">
      <c r="C54" s="658"/>
      <c r="D54" s="677" t="s">
        <v>40</v>
      </c>
      <c r="E54" s="678"/>
      <c r="F54" s="659"/>
      <c r="G54" s="660">
        <f>SUM(G44:G53)</f>
        <v>84748671</v>
      </c>
      <c r="H54" s="660">
        <f>SUM(H45:H47)</f>
        <v>84000000</v>
      </c>
      <c r="I54" s="661">
        <f>G54-H54</f>
        <v>748671</v>
      </c>
      <c r="K54" s="638"/>
      <c r="L54" s="639"/>
    </row>
    <row r="55" spans="3:12" x14ac:dyDescent="0.3">
      <c r="C55" s="627"/>
      <c r="D55" s="632"/>
      <c r="E55" s="627"/>
      <c r="F55" s="627"/>
      <c r="G55" s="627"/>
      <c r="H55" s="627"/>
      <c r="I55" s="627"/>
      <c r="L55" s="639"/>
    </row>
    <row r="56" spans="3:12" x14ac:dyDescent="0.3">
      <c r="C56" s="627"/>
      <c r="D56" s="632"/>
      <c r="E56" s="627"/>
      <c r="F56" s="627"/>
      <c r="G56" s="627"/>
      <c r="H56" s="627"/>
      <c r="I56" s="627"/>
    </row>
    <row r="57" spans="3:12" s="662" customFormat="1" x14ac:dyDescent="0.3">
      <c r="C57" s="627"/>
      <c r="D57" s="632" t="s">
        <v>546</v>
      </c>
      <c r="E57" s="627"/>
      <c r="G57" s="627"/>
      <c r="I57" s="632" t="str">
        <f>"Malang, "&amp;TEXT(EOMONTH(D44,0),"dd mmmm yyyy")</f>
        <v>Malang, 30 September 2025</v>
      </c>
    </row>
    <row r="58" spans="3:12" s="662" customFormat="1" x14ac:dyDescent="0.3">
      <c r="C58" s="627"/>
      <c r="D58" s="626" t="s">
        <v>547</v>
      </c>
      <c r="E58" s="627"/>
      <c r="F58" s="672" t="s">
        <v>548</v>
      </c>
      <c r="G58" s="672"/>
      <c r="I58" s="626" t="s">
        <v>549</v>
      </c>
    </row>
    <row r="59" spans="3:12" s="662" customFormat="1" x14ac:dyDescent="0.3">
      <c r="C59" s="627"/>
      <c r="D59" s="626" t="str">
        <f>E37</f>
        <v>SDN 1 SIDODADI</v>
      </c>
      <c r="E59" s="627"/>
      <c r="F59" s="672" t="str">
        <f>D59</f>
        <v>SDN 1 SIDODADI</v>
      </c>
      <c r="G59" s="672"/>
      <c r="I59" s="626" t="str">
        <f>D59</f>
        <v>SDN 1 SIDODADI</v>
      </c>
    </row>
    <row r="60" spans="3:12" s="662" customFormat="1" x14ac:dyDescent="0.3">
      <c r="C60" s="627"/>
      <c r="D60" s="632"/>
      <c r="E60" s="627"/>
      <c r="F60" s="632"/>
      <c r="G60" s="627"/>
      <c r="I60" s="632"/>
    </row>
    <row r="61" spans="3:12" s="662" customFormat="1" x14ac:dyDescent="0.3">
      <c r="C61" s="627"/>
      <c r="D61" s="632"/>
      <c r="E61" s="627"/>
      <c r="F61" s="632"/>
      <c r="G61" s="627"/>
      <c r="I61" s="632"/>
    </row>
    <row r="62" spans="3:12" s="662" customFormat="1" x14ac:dyDescent="0.3">
      <c r="C62" s="627"/>
      <c r="D62" s="632"/>
      <c r="E62" s="627"/>
      <c r="F62" s="632"/>
      <c r="G62" s="627"/>
      <c r="I62" s="632"/>
    </row>
    <row r="63" spans="3:12" s="662" customFormat="1" x14ac:dyDescent="0.3">
      <c r="C63" s="627"/>
      <c r="D63" s="663"/>
      <c r="E63" s="627"/>
      <c r="F63" s="632"/>
      <c r="G63" s="627"/>
    </row>
    <row r="64" spans="3:12" s="662" customFormat="1" x14ac:dyDescent="0.3">
      <c r="C64" s="627"/>
      <c r="D64" s="664" t="str">
        <f>'BKU 1'!E8</f>
        <v>MELIA FITRIANI, S.Pd.SD</v>
      </c>
      <c r="E64" s="627"/>
      <c r="F64" s="673" t="str">
        <f>'BKU 1'!E10</f>
        <v>HARTATIK</v>
      </c>
      <c r="G64" s="673"/>
      <c r="I64" s="664" t="str">
        <f>'BKU 1'!E12</f>
        <v>ARIF NUR UDIN, S.Pd.SD</v>
      </c>
    </row>
    <row r="65" spans="3:12" s="665" customFormat="1" x14ac:dyDescent="0.3">
      <c r="D65" s="632" t="str">
        <f>'BKU 1'!E9</f>
        <v>NIP. 19850619 200904 2 000</v>
      </c>
      <c r="F65" s="674"/>
      <c r="G65" s="674"/>
      <c r="I65" s="632" t="str">
        <f>'BKU 1'!E13</f>
        <v>NIP. 19840719 200903 1 002</v>
      </c>
    </row>
    <row r="67" spans="3:12" ht="19.5" customHeight="1" x14ac:dyDescent="0.3">
      <c r="C67" s="675" t="s">
        <v>532</v>
      </c>
      <c r="D67" s="675"/>
      <c r="E67" s="675"/>
      <c r="F67" s="675"/>
      <c r="G67" s="675"/>
      <c r="H67" s="675"/>
      <c r="I67" s="675"/>
    </row>
    <row r="68" spans="3:12" x14ac:dyDescent="0.3">
      <c r="C68" s="672" t="str">
        <f>"Bulan "&amp;TEXT(EOMONTH(D77,0),"mmmm yyyy")</f>
        <v>Bulan Oktober 2025</v>
      </c>
      <c r="D68" s="672"/>
      <c r="E68" s="672"/>
      <c r="F68" s="672"/>
      <c r="G68" s="672"/>
      <c r="H68" s="672"/>
      <c r="I68" s="672"/>
    </row>
    <row r="69" spans="3:12" x14ac:dyDescent="0.3">
      <c r="C69" s="626"/>
      <c r="D69" s="626"/>
      <c r="G69" s="627"/>
      <c r="H69" s="626"/>
      <c r="I69" s="626"/>
    </row>
    <row r="70" spans="3:12" x14ac:dyDescent="0.3">
      <c r="C70" s="627"/>
      <c r="D70" s="628" t="s">
        <v>61</v>
      </c>
      <c r="E70" s="629" t="str">
        <f>'BKU 1'!$D$25</f>
        <v>SDN 1 SIDODADI</v>
      </c>
      <c r="F70" s="629"/>
      <c r="G70" s="630"/>
      <c r="H70" s="631" t="s">
        <v>533</v>
      </c>
      <c r="I70" s="630" t="s">
        <v>534</v>
      </c>
    </row>
    <row r="71" spans="3:12" x14ac:dyDescent="0.3">
      <c r="C71" s="627"/>
      <c r="D71" s="628" t="s">
        <v>535</v>
      </c>
      <c r="E71" s="676" t="str">
        <f>'BKU 1'!$D$26</f>
        <v>Jl. Kawi No.36 Rt. 1 Rw. 1 Dusun Sekar, Rt / Rw : 1 / 1, Dusun : Sekar, Kelurahan : Sidodadi</v>
      </c>
      <c r="F71" s="676"/>
      <c r="G71" s="676"/>
      <c r="H71" s="631" t="s">
        <v>536</v>
      </c>
      <c r="I71" s="630" t="s">
        <v>537</v>
      </c>
    </row>
    <row r="72" spans="3:12" x14ac:dyDescent="0.3">
      <c r="C72" s="627"/>
      <c r="D72" s="628"/>
      <c r="E72" s="676"/>
      <c r="F72" s="676"/>
      <c r="G72" s="676"/>
      <c r="H72" s="631"/>
      <c r="I72" s="630"/>
    </row>
    <row r="73" spans="3:12" x14ac:dyDescent="0.3">
      <c r="C73" s="627"/>
      <c r="D73" s="628" t="s">
        <v>63</v>
      </c>
      <c r="E73" s="630" t="str">
        <f>'BKU 1'!$I$25</f>
        <v>NGANTANG</v>
      </c>
      <c r="F73" s="630"/>
      <c r="G73" s="630"/>
      <c r="H73" s="631"/>
      <c r="I73" s="630"/>
    </row>
    <row r="74" spans="3:12" ht="17.25" thickBot="1" x14ac:dyDescent="0.35">
      <c r="C74" s="627"/>
      <c r="D74" s="632"/>
      <c r="E74" s="627"/>
      <c r="F74" s="627"/>
      <c r="G74" s="627"/>
      <c r="H74" s="627"/>
      <c r="I74" s="627"/>
      <c r="J74" s="633"/>
    </row>
    <row r="75" spans="3:12" ht="31.5" customHeight="1" x14ac:dyDescent="0.3">
      <c r="C75" s="634" t="s">
        <v>538</v>
      </c>
      <c r="D75" s="635" t="s">
        <v>0</v>
      </c>
      <c r="E75" s="635" t="s">
        <v>1</v>
      </c>
      <c r="F75" s="635" t="s">
        <v>3</v>
      </c>
      <c r="G75" s="636" t="s">
        <v>539</v>
      </c>
      <c r="H75" s="636" t="s">
        <v>540</v>
      </c>
      <c r="I75" s="637" t="s">
        <v>541</v>
      </c>
      <c r="K75" s="638"/>
      <c r="L75" s="639"/>
    </row>
    <row r="76" spans="3:12" x14ac:dyDescent="0.3">
      <c r="C76" s="640"/>
      <c r="D76" s="641"/>
      <c r="E76" s="642"/>
      <c r="F76" s="642"/>
      <c r="G76" s="642"/>
      <c r="H76" s="642"/>
      <c r="I76" s="643"/>
      <c r="K76" s="638"/>
      <c r="L76" s="639"/>
    </row>
    <row r="77" spans="3:12" x14ac:dyDescent="0.3">
      <c r="C77" s="644">
        <v>1</v>
      </c>
      <c r="D77" s="645">
        <f>EOMONTH(D44,0)+1</f>
        <v>45931</v>
      </c>
      <c r="E77" s="646" t="s">
        <v>550</v>
      </c>
      <c r="F77" s="647"/>
      <c r="G77" s="648">
        <f>I54</f>
        <v>748671</v>
      </c>
      <c r="H77" s="648"/>
      <c r="I77" s="649">
        <f>G77</f>
        <v>748671</v>
      </c>
      <c r="L77" s="639"/>
    </row>
    <row r="78" spans="3:12" x14ac:dyDescent="0.3">
      <c r="C78" s="644">
        <v>2</v>
      </c>
      <c r="D78" s="645"/>
      <c r="E78" s="646"/>
      <c r="F78" s="647"/>
      <c r="G78" s="648"/>
      <c r="H78" s="648"/>
      <c r="I78" s="666">
        <f>IF(H78&lt;1,G78,I77-H78)</f>
        <v>0</v>
      </c>
      <c r="J78" s="633"/>
    </row>
    <row r="79" spans="3:12" x14ac:dyDescent="0.3">
      <c r="C79" s="644">
        <v>3</v>
      </c>
      <c r="D79" s="645"/>
      <c r="E79" s="646"/>
      <c r="F79" s="650"/>
      <c r="G79" s="648"/>
      <c r="H79" s="648"/>
      <c r="I79" s="666">
        <f t="shared" ref="I79:I85" si="1">IF(H79&lt;1,G79,I78-H79)</f>
        <v>0</v>
      </c>
      <c r="K79" s="638"/>
      <c r="L79" s="639"/>
    </row>
    <row r="80" spans="3:12" x14ac:dyDescent="0.3">
      <c r="C80" s="644">
        <v>4</v>
      </c>
      <c r="D80" s="645"/>
      <c r="E80" s="646"/>
      <c r="F80" s="650"/>
      <c r="G80" s="648"/>
      <c r="H80" s="648"/>
      <c r="I80" s="666">
        <f t="shared" si="1"/>
        <v>0</v>
      </c>
      <c r="K80" s="638"/>
      <c r="L80" s="639"/>
    </row>
    <row r="81" spans="3:12" x14ac:dyDescent="0.3">
      <c r="C81" s="644">
        <v>5</v>
      </c>
      <c r="D81" s="645"/>
      <c r="E81" s="646"/>
      <c r="F81" s="650"/>
      <c r="G81" s="648"/>
      <c r="H81" s="648"/>
      <c r="I81" s="666">
        <f t="shared" si="1"/>
        <v>0</v>
      </c>
      <c r="L81" s="639"/>
    </row>
    <row r="82" spans="3:12" x14ac:dyDescent="0.3">
      <c r="C82" s="644">
        <v>6</v>
      </c>
      <c r="D82" s="645"/>
      <c r="E82" s="646"/>
      <c r="F82" s="650"/>
      <c r="G82" s="648"/>
      <c r="H82" s="648"/>
      <c r="I82" s="666">
        <f t="shared" si="1"/>
        <v>0</v>
      </c>
      <c r="J82" s="651"/>
    </row>
    <row r="83" spans="3:12" x14ac:dyDescent="0.3">
      <c r="C83" s="644">
        <v>7</v>
      </c>
      <c r="D83" s="645"/>
      <c r="E83" s="646"/>
      <c r="F83" s="650"/>
      <c r="G83" s="648"/>
      <c r="H83" s="648"/>
      <c r="I83" s="666">
        <f t="shared" si="1"/>
        <v>0</v>
      </c>
      <c r="J83" s="651"/>
    </row>
    <row r="84" spans="3:12" x14ac:dyDescent="0.3">
      <c r="C84" s="644">
        <v>8</v>
      </c>
      <c r="D84" s="645"/>
      <c r="E84" s="646"/>
      <c r="F84" s="650"/>
      <c r="G84" s="648"/>
      <c r="H84" s="648"/>
      <c r="I84" s="666">
        <f t="shared" si="1"/>
        <v>0</v>
      </c>
      <c r="J84" s="651"/>
    </row>
    <row r="85" spans="3:12" x14ac:dyDescent="0.3">
      <c r="C85" s="644">
        <v>9</v>
      </c>
      <c r="D85" s="645"/>
      <c r="E85" s="646"/>
      <c r="F85" s="650"/>
      <c r="G85" s="648"/>
      <c r="H85" s="648"/>
      <c r="I85" s="666">
        <f t="shared" si="1"/>
        <v>0</v>
      </c>
      <c r="J85" s="651"/>
    </row>
    <row r="86" spans="3:12" ht="17.25" thickBot="1" x14ac:dyDescent="0.35">
      <c r="C86" s="652"/>
      <c r="D86" s="653"/>
      <c r="E86" s="654"/>
      <c r="F86" s="655"/>
      <c r="G86" s="654"/>
      <c r="H86" s="656"/>
      <c r="I86" s="657"/>
      <c r="K86" s="638"/>
      <c r="L86" s="639"/>
    </row>
    <row r="87" spans="3:12" ht="17.25" thickBot="1" x14ac:dyDescent="0.35">
      <c r="C87" s="658"/>
      <c r="D87" s="677" t="s">
        <v>40</v>
      </c>
      <c r="E87" s="678"/>
      <c r="F87" s="659"/>
      <c r="G87" s="660">
        <f>SUM(G77:G86)</f>
        <v>748671</v>
      </c>
      <c r="H87" s="660">
        <f>SUM(H78:H80)</f>
        <v>0</v>
      </c>
      <c r="I87" s="661">
        <f>G87-H87</f>
        <v>748671</v>
      </c>
      <c r="K87" s="638"/>
      <c r="L87" s="639"/>
    </row>
    <row r="88" spans="3:12" x14ac:dyDescent="0.3">
      <c r="C88" s="627"/>
      <c r="D88" s="632"/>
      <c r="E88" s="627"/>
      <c r="F88" s="627"/>
      <c r="G88" s="627"/>
      <c r="H88" s="627"/>
      <c r="I88" s="627"/>
      <c r="L88" s="639"/>
    </row>
    <row r="89" spans="3:12" x14ac:dyDescent="0.3">
      <c r="C89" s="627"/>
      <c r="D89" s="632"/>
      <c r="E89" s="627"/>
      <c r="F89" s="627"/>
      <c r="G89" s="627"/>
      <c r="H89" s="627"/>
      <c r="I89" s="627"/>
    </row>
    <row r="90" spans="3:12" s="662" customFormat="1" x14ac:dyDescent="0.3">
      <c r="C90" s="627"/>
      <c r="D90" s="632" t="s">
        <v>546</v>
      </c>
      <c r="E90" s="627"/>
      <c r="G90" s="627"/>
      <c r="I90" s="632" t="str">
        <f>"Malang, "&amp;TEXT(EOMONTH(D77,0),"dd mmmm yyyy")</f>
        <v>Malang, 31 Oktober 2025</v>
      </c>
    </row>
    <row r="91" spans="3:12" s="662" customFormat="1" x14ac:dyDescent="0.3">
      <c r="C91" s="627"/>
      <c r="D91" s="626" t="s">
        <v>547</v>
      </c>
      <c r="E91" s="627"/>
      <c r="F91" s="672" t="s">
        <v>548</v>
      </c>
      <c r="G91" s="672"/>
      <c r="I91" s="626" t="s">
        <v>549</v>
      </c>
    </row>
    <row r="92" spans="3:12" s="662" customFormat="1" x14ac:dyDescent="0.3">
      <c r="C92" s="627"/>
      <c r="D92" s="626" t="str">
        <f>E70</f>
        <v>SDN 1 SIDODADI</v>
      </c>
      <c r="E92" s="627"/>
      <c r="F92" s="672" t="str">
        <f>D92</f>
        <v>SDN 1 SIDODADI</v>
      </c>
      <c r="G92" s="672"/>
      <c r="I92" s="626" t="str">
        <f>D92</f>
        <v>SDN 1 SIDODADI</v>
      </c>
    </row>
    <row r="93" spans="3:12" s="662" customFormat="1" x14ac:dyDescent="0.3">
      <c r="C93" s="627"/>
      <c r="D93" s="632"/>
      <c r="E93" s="627"/>
      <c r="F93" s="632"/>
      <c r="G93" s="627"/>
      <c r="I93" s="632"/>
    </row>
    <row r="94" spans="3:12" s="662" customFormat="1" x14ac:dyDescent="0.3">
      <c r="C94" s="627"/>
      <c r="D94" s="632"/>
      <c r="E94" s="627"/>
      <c r="F94" s="632"/>
      <c r="G94" s="627"/>
      <c r="I94" s="632"/>
    </row>
    <row r="95" spans="3:12" s="662" customFormat="1" x14ac:dyDescent="0.3">
      <c r="C95" s="627"/>
      <c r="D95" s="632"/>
      <c r="E95" s="627"/>
      <c r="F95" s="632"/>
      <c r="G95" s="627"/>
      <c r="I95" s="632"/>
    </row>
    <row r="96" spans="3:12" s="662" customFormat="1" x14ac:dyDescent="0.3">
      <c r="C96" s="627"/>
      <c r="D96" s="663"/>
      <c r="E96" s="627"/>
      <c r="F96" s="632"/>
      <c r="G96" s="627"/>
    </row>
    <row r="97" spans="3:12" s="662" customFormat="1" x14ac:dyDescent="0.3">
      <c r="C97" s="627"/>
      <c r="D97" s="664" t="str">
        <f>'BKU 1'!E8</f>
        <v>MELIA FITRIANI, S.Pd.SD</v>
      </c>
      <c r="E97" s="627"/>
      <c r="F97" s="673" t="str">
        <f>'BKU 1'!E10</f>
        <v>HARTATIK</v>
      </c>
      <c r="G97" s="673"/>
      <c r="I97" s="664" t="str">
        <f>'BKU 1'!E12</f>
        <v>ARIF NUR UDIN, S.Pd.SD</v>
      </c>
    </row>
    <row r="98" spans="3:12" s="665" customFormat="1" x14ac:dyDescent="0.3">
      <c r="D98" s="632" t="str">
        <f>'BKU 1'!E9</f>
        <v>NIP. 19850619 200904 2 000</v>
      </c>
      <c r="F98" s="674"/>
      <c r="G98" s="674"/>
      <c r="I98" s="632" t="str">
        <f>'BKU 1'!E13</f>
        <v>NIP. 19840719 200903 1 002</v>
      </c>
    </row>
    <row r="100" spans="3:12" ht="19.5" customHeight="1" x14ac:dyDescent="0.3">
      <c r="C100" s="675" t="s">
        <v>532</v>
      </c>
      <c r="D100" s="675"/>
      <c r="E100" s="675"/>
      <c r="F100" s="675"/>
      <c r="G100" s="675"/>
      <c r="H100" s="675"/>
      <c r="I100" s="675"/>
    </row>
    <row r="101" spans="3:12" x14ac:dyDescent="0.3">
      <c r="C101" s="672" t="str">
        <f>"Bulan "&amp;TEXT(EOMONTH(D110,0),"mmmm yyyy")</f>
        <v>Bulan November 2025</v>
      </c>
      <c r="D101" s="672"/>
      <c r="E101" s="672"/>
      <c r="F101" s="672"/>
      <c r="G101" s="672"/>
      <c r="H101" s="672"/>
      <c r="I101" s="672"/>
    </row>
    <row r="102" spans="3:12" x14ac:dyDescent="0.3">
      <c r="C102" s="626"/>
      <c r="D102" s="626"/>
      <c r="G102" s="627"/>
      <c r="H102" s="626"/>
      <c r="I102" s="626"/>
    </row>
    <row r="103" spans="3:12" x14ac:dyDescent="0.3">
      <c r="C103" s="627"/>
      <c r="D103" s="628" t="s">
        <v>61</v>
      </c>
      <c r="E103" s="629" t="str">
        <f>'BKU 1'!$D$25</f>
        <v>SDN 1 SIDODADI</v>
      </c>
      <c r="F103" s="629"/>
      <c r="G103" s="630"/>
      <c r="H103" s="631" t="s">
        <v>533</v>
      </c>
      <c r="I103" s="630" t="s">
        <v>534</v>
      </c>
    </row>
    <row r="104" spans="3:12" x14ac:dyDescent="0.3">
      <c r="C104" s="627"/>
      <c r="D104" s="628" t="s">
        <v>535</v>
      </c>
      <c r="E104" s="676" t="str">
        <f>'BKU 1'!$D$26</f>
        <v>Jl. Kawi No.36 Rt. 1 Rw. 1 Dusun Sekar, Rt / Rw : 1 / 1, Dusun : Sekar, Kelurahan : Sidodadi</v>
      </c>
      <c r="F104" s="676"/>
      <c r="G104" s="676"/>
      <c r="H104" s="631" t="s">
        <v>536</v>
      </c>
      <c r="I104" s="630" t="s">
        <v>537</v>
      </c>
    </row>
    <row r="105" spans="3:12" x14ac:dyDescent="0.3">
      <c r="C105" s="627"/>
      <c r="D105" s="628"/>
      <c r="E105" s="676"/>
      <c r="F105" s="676"/>
      <c r="G105" s="676"/>
      <c r="H105" s="631"/>
      <c r="I105" s="630"/>
    </row>
    <row r="106" spans="3:12" x14ac:dyDescent="0.3">
      <c r="C106" s="627"/>
      <c r="D106" s="628" t="s">
        <v>63</v>
      </c>
      <c r="E106" s="630" t="str">
        <f>'BKU 1'!$I$25</f>
        <v>NGANTANG</v>
      </c>
      <c r="F106" s="630"/>
      <c r="G106" s="630"/>
      <c r="H106" s="631"/>
      <c r="I106" s="630"/>
    </row>
    <row r="107" spans="3:12" ht="17.25" thickBot="1" x14ac:dyDescent="0.35">
      <c r="C107" s="627"/>
      <c r="D107" s="632"/>
      <c r="E107" s="627"/>
      <c r="F107" s="627"/>
      <c r="G107" s="627"/>
      <c r="H107" s="627"/>
      <c r="I107" s="627"/>
      <c r="J107" s="633"/>
    </row>
    <row r="108" spans="3:12" ht="31.5" customHeight="1" x14ac:dyDescent="0.3">
      <c r="C108" s="634" t="s">
        <v>538</v>
      </c>
      <c r="D108" s="635" t="s">
        <v>0</v>
      </c>
      <c r="E108" s="635" t="s">
        <v>1</v>
      </c>
      <c r="F108" s="635" t="s">
        <v>3</v>
      </c>
      <c r="G108" s="636" t="s">
        <v>539</v>
      </c>
      <c r="H108" s="636" t="s">
        <v>540</v>
      </c>
      <c r="I108" s="637" t="s">
        <v>541</v>
      </c>
      <c r="K108" s="638"/>
      <c r="L108" s="639"/>
    </row>
    <row r="109" spans="3:12" x14ac:dyDescent="0.3">
      <c r="C109" s="640"/>
      <c r="D109" s="641"/>
      <c r="E109" s="642"/>
      <c r="F109" s="642"/>
      <c r="G109" s="642"/>
      <c r="H109" s="642"/>
      <c r="I109" s="643"/>
      <c r="K109" s="638"/>
      <c r="L109" s="639"/>
    </row>
    <row r="110" spans="3:12" x14ac:dyDescent="0.3">
      <c r="C110" s="644">
        <v>1</v>
      </c>
      <c r="D110" s="645">
        <f>EOMONTH(D77,0)+1</f>
        <v>45962</v>
      </c>
      <c r="E110" s="646" t="s">
        <v>550</v>
      </c>
      <c r="F110" s="647"/>
      <c r="G110" s="648">
        <f>I87</f>
        <v>748671</v>
      </c>
      <c r="H110" s="648"/>
      <c r="I110" s="649">
        <f>G110</f>
        <v>748671</v>
      </c>
      <c r="L110" s="639"/>
    </row>
    <row r="111" spans="3:12" x14ac:dyDescent="0.3">
      <c r="C111" s="644">
        <v>2</v>
      </c>
      <c r="D111" s="645">
        <v>45985</v>
      </c>
      <c r="E111" s="646" t="s">
        <v>555</v>
      </c>
      <c r="F111" s="647"/>
      <c r="G111" s="648">
        <v>36320859</v>
      </c>
      <c r="H111" s="648"/>
      <c r="I111" s="666">
        <f>IF(H111&lt;1,G111,I110-H111)</f>
        <v>36320859</v>
      </c>
      <c r="J111" s="633"/>
    </row>
    <row r="112" spans="3:12" x14ac:dyDescent="0.3">
      <c r="C112" s="644">
        <v>3</v>
      </c>
      <c r="D112" s="645"/>
      <c r="E112" s="646"/>
      <c r="F112" s="650"/>
      <c r="G112" s="648"/>
      <c r="H112" s="648"/>
      <c r="I112" s="666">
        <f t="shared" ref="I112:I118" si="2">IF(H112&lt;1,G112,I111-H112)</f>
        <v>0</v>
      </c>
      <c r="K112" s="638"/>
      <c r="L112" s="639"/>
    </row>
    <row r="113" spans="3:12" x14ac:dyDescent="0.3">
      <c r="C113" s="644">
        <v>4</v>
      </c>
      <c r="D113" s="645"/>
      <c r="E113" s="646"/>
      <c r="F113" s="650"/>
      <c r="G113" s="648"/>
      <c r="H113" s="648"/>
      <c r="I113" s="666">
        <f t="shared" si="2"/>
        <v>0</v>
      </c>
      <c r="K113" s="638"/>
      <c r="L113" s="639"/>
    </row>
    <row r="114" spans="3:12" x14ac:dyDescent="0.3">
      <c r="C114" s="644">
        <v>5</v>
      </c>
      <c r="D114" s="645"/>
      <c r="E114" s="646"/>
      <c r="F114" s="650"/>
      <c r="G114" s="648"/>
      <c r="H114" s="648"/>
      <c r="I114" s="666">
        <f t="shared" si="2"/>
        <v>0</v>
      </c>
      <c r="L114" s="639"/>
    </row>
    <row r="115" spans="3:12" x14ac:dyDescent="0.3">
      <c r="C115" s="644">
        <v>6</v>
      </c>
      <c r="D115" s="645"/>
      <c r="E115" s="646"/>
      <c r="F115" s="650"/>
      <c r="G115" s="648"/>
      <c r="H115" s="648"/>
      <c r="I115" s="666">
        <f t="shared" si="2"/>
        <v>0</v>
      </c>
      <c r="J115" s="651"/>
    </row>
    <row r="116" spans="3:12" x14ac:dyDescent="0.3">
      <c r="C116" s="644">
        <v>7</v>
      </c>
      <c r="D116" s="645"/>
      <c r="E116" s="646"/>
      <c r="F116" s="650"/>
      <c r="G116" s="648"/>
      <c r="H116" s="648"/>
      <c r="I116" s="666">
        <f t="shared" si="2"/>
        <v>0</v>
      </c>
      <c r="J116" s="651"/>
    </row>
    <row r="117" spans="3:12" x14ac:dyDescent="0.3">
      <c r="C117" s="644">
        <v>8</v>
      </c>
      <c r="D117" s="645"/>
      <c r="E117" s="646"/>
      <c r="F117" s="650"/>
      <c r="G117" s="648"/>
      <c r="H117" s="648"/>
      <c r="I117" s="666">
        <f t="shared" si="2"/>
        <v>0</v>
      </c>
      <c r="J117" s="651"/>
    </row>
    <row r="118" spans="3:12" x14ac:dyDescent="0.3">
      <c r="C118" s="644">
        <v>9</v>
      </c>
      <c r="D118" s="645"/>
      <c r="E118" s="646"/>
      <c r="F118" s="650"/>
      <c r="G118" s="648"/>
      <c r="H118" s="648"/>
      <c r="I118" s="666">
        <f t="shared" si="2"/>
        <v>0</v>
      </c>
      <c r="J118" s="651"/>
    </row>
    <row r="119" spans="3:12" ht="17.25" thickBot="1" x14ac:dyDescent="0.35">
      <c r="C119" s="652"/>
      <c r="D119" s="653"/>
      <c r="E119" s="654"/>
      <c r="F119" s="655"/>
      <c r="G119" s="654"/>
      <c r="H119" s="656"/>
      <c r="I119" s="657"/>
      <c r="K119" s="638"/>
      <c r="L119" s="639"/>
    </row>
    <row r="120" spans="3:12" ht="17.25" thickBot="1" x14ac:dyDescent="0.35">
      <c r="C120" s="658"/>
      <c r="D120" s="677" t="s">
        <v>40</v>
      </c>
      <c r="E120" s="678"/>
      <c r="F120" s="659"/>
      <c r="G120" s="660">
        <f>SUM(G110:G119)</f>
        <v>37069530</v>
      </c>
      <c r="H120" s="660">
        <f>SUM(H111:H113)</f>
        <v>0</v>
      </c>
      <c r="I120" s="661">
        <f>G120-H120</f>
        <v>37069530</v>
      </c>
      <c r="K120" s="638"/>
      <c r="L120" s="639"/>
    </row>
    <row r="121" spans="3:12" x14ac:dyDescent="0.3">
      <c r="C121" s="627"/>
      <c r="D121" s="632"/>
      <c r="E121" s="627"/>
      <c r="F121" s="627"/>
      <c r="G121" s="627"/>
      <c r="H121" s="627"/>
      <c r="I121" s="627"/>
      <c r="L121" s="639"/>
    </row>
    <row r="122" spans="3:12" x14ac:dyDescent="0.3">
      <c r="C122" s="627"/>
      <c r="D122" s="632"/>
      <c r="E122" s="627"/>
      <c r="F122" s="627"/>
      <c r="G122" s="627"/>
      <c r="H122" s="627"/>
      <c r="I122" s="627"/>
    </row>
    <row r="123" spans="3:12" s="662" customFormat="1" x14ac:dyDescent="0.3">
      <c r="C123" s="627"/>
      <c r="D123" s="632" t="s">
        <v>546</v>
      </c>
      <c r="E123" s="627"/>
      <c r="G123" s="627"/>
      <c r="I123" s="632" t="str">
        <f>"Malang, "&amp;TEXT(EOMONTH(D110,0),"dd mmmm yyyy")</f>
        <v>Malang, 30 November 2025</v>
      </c>
    </row>
    <row r="124" spans="3:12" s="662" customFormat="1" x14ac:dyDescent="0.3">
      <c r="C124" s="627"/>
      <c r="D124" s="626" t="s">
        <v>547</v>
      </c>
      <c r="E124" s="627"/>
      <c r="F124" s="672" t="s">
        <v>548</v>
      </c>
      <c r="G124" s="672"/>
      <c r="I124" s="626" t="s">
        <v>549</v>
      </c>
    </row>
    <row r="125" spans="3:12" s="662" customFormat="1" x14ac:dyDescent="0.3">
      <c r="C125" s="627"/>
      <c r="D125" s="626" t="str">
        <f>E103</f>
        <v>SDN 1 SIDODADI</v>
      </c>
      <c r="E125" s="627"/>
      <c r="F125" s="672" t="str">
        <f>D125</f>
        <v>SDN 1 SIDODADI</v>
      </c>
      <c r="G125" s="672"/>
      <c r="I125" s="626" t="str">
        <f>D125</f>
        <v>SDN 1 SIDODADI</v>
      </c>
    </row>
    <row r="126" spans="3:12" s="662" customFormat="1" x14ac:dyDescent="0.3">
      <c r="C126" s="627"/>
      <c r="D126" s="632"/>
      <c r="E126" s="627"/>
      <c r="F126" s="632"/>
      <c r="G126" s="627"/>
      <c r="I126" s="632"/>
    </row>
    <row r="127" spans="3:12" s="662" customFormat="1" x14ac:dyDescent="0.3">
      <c r="C127" s="627"/>
      <c r="D127" s="632"/>
      <c r="E127" s="627"/>
      <c r="F127" s="632"/>
      <c r="G127" s="627"/>
      <c r="I127" s="632"/>
    </row>
    <row r="128" spans="3:12" s="662" customFormat="1" x14ac:dyDescent="0.3">
      <c r="C128" s="627"/>
      <c r="D128" s="632"/>
      <c r="E128" s="627"/>
      <c r="F128" s="632"/>
      <c r="G128" s="627"/>
      <c r="I128" s="632"/>
    </row>
    <row r="129" spans="3:12" s="662" customFormat="1" x14ac:dyDescent="0.3">
      <c r="C129" s="627"/>
      <c r="D129" s="663"/>
      <c r="E129" s="627"/>
      <c r="F129" s="632"/>
      <c r="G129" s="627"/>
    </row>
    <row r="130" spans="3:12" s="662" customFormat="1" x14ac:dyDescent="0.3">
      <c r="C130" s="627"/>
      <c r="D130" s="664" t="str">
        <f>'BKU 1'!E8</f>
        <v>MELIA FITRIANI, S.Pd.SD</v>
      </c>
      <c r="E130" s="627"/>
      <c r="F130" s="673" t="str">
        <f>'BKU 1'!E10</f>
        <v>HARTATIK</v>
      </c>
      <c r="G130" s="673"/>
      <c r="I130" s="664" t="str">
        <f>'BKU 1'!E12</f>
        <v>ARIF NUR UDIN, S.Pd.SD</v>
      </c>
    </row>
    <row r="131" spans="3:12" s="665" customFormat="1" x14ac:dyDescent="0.3">
      <c r="D131" s="632" t="str">
        <f>'BKU 1'!E9</f>
        <v>NIP. 19850619 200904 2 000</v>
      </c>
      <c r="F131" s="674"/>
      <c r="G131" s="674"/>
      <c r="I131" s="632" t="str">
        <f>'BKU 1'!E13</f>
        <v>NIP. 19840719 200903 1 002</v>
      </c>
    </row>
    <row r="133" spans="3:12" ht="19.5" customHeight="1" x14ac:dyDescent="0.3">
      <c r="C133" s="675" t="s">
        <v>532</v>
      </c>
      <c r="D133" s="675"/>
      <c r="E133" s="675"/>
      <c r="F133" s="675"/>
      <c r="G133" s="675"/>
      <c r="H133" s="675"/>
      <c r="I133" s="675"/>
    </row>
    <row r="134" spans="3:12" x14ac:dyDescent="0.3">
      <c r="C134" s="672" t="str">
        <f>"Bulan "&amp;TEXT(EOMONTH(D143,0),"mmmm yyyy")</f>
        <v>Bulan Desember 2025</v>
      </c>
      <c r="D134" s="672"/>
      <c r="E134" s="672"/>
      <c r="F134" s="672"/>
      <c r="G134" s="672"/>
      <c r="H134" s="672"/>
      <c r="I134" s="672"/>
    </row>
    <row r="135" spans="3:12" x14ac:dyDescent="0.3">
      <c r="C135" s="626"/>
      <c r="D135" s="626"/>
      <c r="G135" s="627"/>
      <c r="H135" s="626"/>
      <c r="I135" s="626"/>
    </row>
    <row r="136" spans="3:12" x14ac:dyDescent="0.3">
      <c r="C136" s="627"/>
      <c r="D136" s="628" t="s">
        <v>61</v>
      </c>
      <c r="E136" s="629" t="str">
        <f>'BKU 1'!$D$25</f>
        <v>SDN 1 SIDODADI</v>
      </c>
      <c r="F136" s="629"/>
      <c r="G136" s="630"/>
      <c r="H136" s="631" t="s">
        <v>533</v>
      </c>
      <c r="I136" s="630" t="s">
        <v>534</v>
      </c>
    </row>
    <row r="137" spans="3:12" x14ac:dyDescent="0.3">
      <c r="C137" s="627"/>
      <c r="D137" s="628" t="s">
        <v>535</v>
      </c>
      <c r="E137" s="676" t="str">
        <f>'BKU 1'!$D$26</f>
        <v>Jl. Kawi No.36 Rt. 1 Rw. 1 Dusun Sekar, Rt / Rw : 1 / 1, Dusun : Sekar, Kelurahan : Sidodadi</v>
      </c>
      <c r="F137" s="676"/>
      <c r="G137" s="676"/>
      <c r="H137" s="631" t="s">
        <v>536</v>
      </c>
      <c r="I137" s="630" t="s">
        <v>537</v>
      </c>
    </row>
    <row r="138" spans="3:12" x14ac:dyDescent="0.3">
      <c r="C138" s="627"/>
      <c r="D138" s="628"/>
      <c r="E138" s="676"/>
      <c r="F138" s="676"/>
      <c r="G138" s="676"/>
      <c r="H138" s="631"/>
      <c r="I138" s="630"/>
    </row>
    <row r="139" spans="3:12" x14ac:dyDescent="0.3">
      <c r="C139" s="627"/>
      <c r="D139" s="628" t="s">
        <v>63</v>
      </c>
      <c r="E139" s="630" t="str">
        <f>'BKU 1'!$I$25</f>
        <v>NGANTANG</v>
      </c>
      <c r="F139" s="630"/>
      <c r="G139" s="630"/>
      <c r="H139" s="631"/>
      <c r="I139" s="630"/>
    </row>
    <row r="140" spans="3:12" ht="17.25" thickBot="1" x14ac:dyDescent="0.35">
      <c r="C140" s="627"/>
      <c r="D140" s="632"/>
      <c r="E140" s="627"/>
      <c r="F140" s="627"/>
      <c r="G140" s="627"/>
      <c r="H140" s="627"/>
      <c r="I140" s="627"/>
      <c r="J140" s="633"/>
    </row>
    <row r="141" spans="3:12" ht="31.5" customHeight="1" x14ac:dyDescent="0.3">
      <c r="C141" s="634" t="s">
        <v>538</v>
      </c>
      <c r="D141" s="635" t="s">
        <v>0</v>
      </c>
      <c r="E141" s="635" t="s">
        <v>1</v>
      </c>
      <c r="F141" s="635" t="s">
        <v>3</v>
      </c>
      <c r="G141" s="636" t="s">
        <v>539</v>
      </c>
      <c r="H141" s="636" t="s">
        <v>540</v>
      </c>
      <c r="I141" s="637" t="s">
        <v>541</v>
      </c>
      <c r="K141" s="638"/>
      <c r="L141" s="639"/>
    </row>
    <row r="142" spans="3:12" x14ac:dyDescent="0.3">
      <c r="C142" s="640"/>
      <c r="D142" s="641"/>
      <c r="E142" s="642"/>
      <c r="F142" s="642"/>
      <c r="G142" s="642"/>
      <c r="H142" s="642"/>
      <c r="I142" s="643"/>
      <c r="K142" s="638"/>
      <c r="L142" s="639"/>
    </row>
    <row r="143" spans="3:12" x14ac:dyDescent="0.3">
      <c r="C143" s="644">
        <v>1</v>
      </c>
      <c r="D143" s="645">
        <f>EOMONTH(D110,0)+1</f>
        <v>45992</v>
      </c>
      <c r="E143" s="646" t="s">
        <v>550</v>
      </c>
      <c r="F143" s="647"/>
      <c r="G143" s="648">
        <f>I120</f>
        <v>37069530</v>
      </c>
      <c r="H143" s="648"/>
      <c r="I143" s="649">
        <f>G143</f>
        <v>37069530</v>
      </c>
      <c r="L143" s="639"/>
    </row>
    <row r="144" spans="3:12" x14ac:dyDescent="0.3">
      <c r="C144" s="644">
        <v>2</v>
      </c>
      <c r="D144" s="645">
        <v>46007</v>
      </c>
      <c r="E144" s="646" t="s">
        <v>556</v>
      </c>
      <c r="F144" s="647"/>
      <c r="G144" s="648"/>
      <c r="H144" s="648">
        <v>37069530</v>
      </c>
      <c r="I144" s="666">
        <f>IF(H144&lt;1,G144,I143-H144)</f>
        <v>0</v>
      </c>
      <c r="J144" s="633"/>
    </row>
    <row r="145" spans="3:12" x14ac:dyDescent="0.3">
      <c r="C145" s="644">
        <v>3</v>
      </c>
      <c r="D145" s="645"/>
      <c r="E145" s="646"/>
      <c r="F145" s="650"/>
      <c r="G145" s="648"/>
      <c r="H145" s="648"/>
      <c r="I145" s="666">
        <f t="shared" ref="I145:I151" si="3">IF(H145&lt;1,G145,I144-H145)</f>
        <v>0</v>
      </c>
      <c r="K145" s="638"/>
      <c r="L145" s="639"/>
    </row>
    <row r="146" spans="3:12" x14ac:dyDescent="0.3">
      <c r="C146" s="644">
        <v>4</v>
      </c>
      <c r="D146" s="645"/>
      <c r="E146" s="646"/>
      <c r="F146" s="650"/>
      <c r="G146" s="648"/>
      <c r="H146" s="648"/>
      <c r="I146" s="666">
        <f t="shared" si="3"/>
        <v>0</v>
      </c>
      <c r="K146" s="638"/>
      <c r="L146" s="639"/>
    </row>
    <row r="147" spans="3:12" x14ac:dyDescent="0.3">
      <c r="C147" s="644">
        <v>5</v>
      </c>
      <c r="D147" s="645"/>
      <c r="E147" s="646"/>
      <c r="F147" s="650"/>
      <c r="G147" s="648"/>
      <c r="H147" s="648"/>
      <c r="I147" s="666">
        <f t="shared" si="3"/>
        <v>0</v>
      </c>
      <c r="L147" s="639"/>
    </row>
    <row r="148" spans="3:12" x14ac:dyDescent="0.3">
      <c r="C148" s="644">
        <v>6</v>
      </c>
      <c r="D148" s="645"/>
      <c r="E148" s="646"/>
      <c r="F148" s="650"/>
      <c r="G148" s="648"/>
      <c r="H148" s="648"/>
      <c r="I148" s="666">
        <f t="shared" si="3"/>
        <v>0</v>
      </c>
      <c r="J148" s="651"/>
    </row>
    <row r="149" spans="3:12" x14ac:dyDescent="0.3">
      <c r="C149" s="644">
        <v>7</v>
      </c>
      <c r="D149" s="645"/>
      <c r="E149" s="646"/>
      <c r="F149" s="650"/>
      <c r="G149" s="648"/>
      <c r="H149" s="648"/>
      <c r="I149" s="666">
        <f t="shared" si="3"/>
        <v>0</v>
      </c>
      <c r="J149" s="651"/>
    </row>
    <row r="150" spans="3:12" x14ac:dyDescent="0.3">
      <c r="C150" s="644">
        <v>8</v>
      </c>
      <c r="D150" s="645"/>
      <c r="E150" s="646"/>
      <c r="F150" s="650"/>
      <c r="G150" s="648"/>
      <c r="H150" s="648"/>
      <c r="I150" s="666">
        <f t="shared" si="3"/>
        <v>0</v>
      </c>
      <c r="J150" s="651"/>
    </row>
    <row r="151" spans="3:12" x14ac:dyDescent="0.3">
      <c r="C151" s="644">
        <v>9</v>
      </c>
      <c r="D151" s="645"/>
      <c r="E151" s="646"/>
      <c r="F151" s="650"/>
      <c r="G151" s="648"/>
      <c r="H151" s="648"/>
      <c r="I151" s="666">
        <f t="shared" si="3"/>
        <v>0</v>
      </c>
      <c r="J151" s="651"/>
    </row>
    <row r="152" spans="3:12" ht="17.25" thickBot="1" x14ac:dyDescent="0.35">
      <c r="C152" s="652"/>
      <c r="D152" s="653"/>
      <c r="E152" s="654"/>
      <c r="F152" s="655"/>
      <c r="G152" s="654"/>
      <c r="H152" s="656"/>
      <c r="I152" s="657"/>
      <c r="K152" s="638"/>
      <c r="L152" s="639"/>
    </row>
    <row r="153" spans="3:12" ht="17.25" thickBot="1" x14ac:dyDescent="0.35">
      <c r="C153" s="658"/>
      <c r="D153" s="677" t="s">
        <v>40</v>
      </c>
      <c r="E153" s="678"/>
      <c r="F153" s="659"/>
      <c r="G153" s="660">
        <f>SUM(G143:G152)</f>
        <v>37069530</v>
      </c>
      <c r="H153" s="660">
        <f>SUM(H144:H146)</f>
        <v>37069530</v>
      </c>
      <c r="I153" s="661">
        <f>G153-H153</f>
        <v>0</v>
      </c>
      <c r="K153" s="638"/>
      <c r="L153" s="639"/>
    </row>
    <row r="154" spans="3:12" x14ac:dyDescent="0.3">
      <c r="C154" s="627"/>
      <c r="D154" s="632"/>
      <c r="E154" s="627"/>
      <c r="F154" s="627"/>
      <c r="G154" s="627"/>
      <c r="H154" s="627"/>
      <c r="I154" s="627"/>
      <c r="L154" s="639"/>
    </row>
    <row r="155" spans="3:12" x14ac:dyDescent="0.3">
      <c r="C155" s="627"/>
      <c r="D155" s="632"/>
      <c r="E155" s="627"/>
      <c r="F155" s="627"/>
      <c r="G155" s="627"/>
      <c r="H155" s="627"/>
      <c r="I155" s="627"/>
    </row>
    <row r="156" spans="3:12" s="662" customFormat="1" x14ac:dyDescent="0.3">
      <c r="C156" s="627"/>
      <c r="D156" s="632" t="s">
        <v>546</v>
      </c>
      <c r="E156" s="627"/>
      <c r="G156" s="627"/>
      <c r="I156" s="632" t="str">
        <f>"Malang, "&amp;TEXT(EOMONTH(D143,0),"dd mmmm yyyy")</f>
        <v>Malang, 31 Desember 2025</v>
      </c>
    </row>
    <row r="157" spans="3:12" s="662" customFormat="1" x14ac:dyDescent="0.3">
      <c r="C157" s="627"/>
      <c r="D157" s="626" t="s">
        <v>547</v>
      </c>
      <c r="E157" s="627"/>
      <c r="F157" s="672" t="s">
        <v>548</v>
      </c>
      <c r="G157" s="672"/>
      <c r="I157" s="626" t="s">
        <v>549</v>
      </c>
    </row>
    <row r="158" spans="3:12" s="662" customFormat="1" x14ac:dyDescent="0.3">
      <c r="C158" s="627"/>
      <c r="D158" s="626" t="str">
        <f>E136</f>
        <v>SDN 1 SIDODADI</v>
      </c>
      <c r="E158" s="627"/>
      <c r="F158" s="672" t="str">
        <f>D158</f>
        <v>SDN 1 SIDODADI</v>
      </c>
      <c r="G158" s="672"/>
      <c r="I158" s="626" t="str">
        <f>D158</f>
        <v>SDN 1 SIDODADI</v>
      </c>
    </row>
    <row r="159" spans="3:12" s="662" customFormat="1" x14ac:dyDescent="0.3">
      <c r="C159" s="627"/>
      <c r="D159" s="632"/>
      <c r="E159" s="627"/>
      <c r="F159" s="632"/>
      <c r="G159" s="627"/>
      <c r="I159" s="632"/>
    </row>
    <row r="160" spans="3:12" s="662" customFormat="1" x14ac:dyDescent="0.3">
      <c r="C160" s="627"/>
      <c r="D160" s="632"/>
      <c r="E160" s="627"/>
      <c r="F160" s="632"/>
      <c r="G160" s="627"/>
      <c r="I160" s="632"/>
    </row>
    <row r="161" spans="3:9" s="662" customFormat="1" x14ac:dyDescent="0.3">
      <c r="C161" s="627"/>
      <c r="D161" s="632"/>
      <c r="E161" s="627"/>
      <c r="F161" s="632"/>
      <c r="G161" s="627"/>
      <c r="I161" s="632"/>
    </row>
    <row r="162" spans="3:9" s="662" customFormat="1" x14ac:dyDescent="0.3">
      <c r="C162" s="627"/>
      <c r="D162" s="663"/>
      <c r="E162" s="627"/>
      <c r="F162" s="632"/>
      <c r="G162" s="627"/>
    </row>
    <row r="163" spans="3:9" s="662" customFormat="1" x14ac:dyDescent="0.3">
      <c r="C163" s="627"/>
      <c r="D163" s="664" t="str">
        <f>'BKU 1'!E8</f>
        <v>MELIA FITRIANI, S.Pd.SD</v>
      </c>
      <c r="E163" s="627"/>
      <c r="F163" s="673" t="str">
        <f>'BKU 1'!E10</f>
        <v>HARTATIK</v>
      </c>
      <c r="G163" s="673"/>
      <c r="I163" s="664" t="str">
        <f>'BKU 1'!E12</f>
        <v>ARIF NUR UDIN, S.Pd.SD</v>
      </c>
    </row>
    <row r="164" spans="3:9" s="665" customFormat="1" x14ac:dyDescent="0.3">
      <c r="D164" s="632" t="str">
        <f>'BKU 1'!E9</f>
        <v>NIP. 19850619 200904 2 000</v>
      </c>
      <c r="F164" s="674"/>
      <c r="G164" s="674"/>
      <c r="I164" s="632" t="str">
        <f>'BKU 1'!E13</f>
        <v>NIP. 19840719 200903 1 002</v>
      </c>
    </row>
  </sheetData>
  <mergeCells count="40">
    <mergeCell ref="F26:G26"/>
    <mergeCell ref="C1:I1"/>
    <mergeCell ref="C2:I2"/>
    <mergeCell ref="E5:G6"/>
    <mergeCell ref="D21:E21"/>
    <mergeCell ref="F25:G25"/>
    <mergeCell ref="C68:I68"/>
    <mergeCell ref="F31:G31"/>
    <mergeCell ref="F32:G32"/>
    <mergeCell ref="C34:I34"/>
    <mergeCell ref="C35:I35"/>
    <mergeCell ref="E38:G39"/>
    <mergeCell ref="D54:E54"/>
    <mergeCell ref="F58:G58"/>
    <mergeCell ref="F59:G59"/>
    <mergeCell ref="F64:G64"/>
    <mergeCell ref="F65:G65"/>
    <mergeCell ref="C67:I67"/>
    <mergeCell ref="F125:G125"/>
    <mergeCell ref="E71:G72"/>
    <mergeCell ref="D87:E87"/>
    <mergeCell ref="F91:G91"/>
    <mergeCell ref="F92:G92"/>
    <mergeCell ref="F97:G97"/>
    <mergeCell ref="F98:G98"/>
    <mergeCell ref="C100:I100"/>
    <mergeCell ref="C101:I101"/>
    <mergeCell ref="E104:G105"/>
    <mergeCell ref="D120:E120"/>
    <mergeCell ref="F124:G124"/>
    <mergeCell ref="F157:G157"/>
    <mergeCell ref="F158:G158"/>
    <mergeCell ref="F163:G163"/>
    <mergeCell ref="F164:G164"/>
    <mergeCell ref="F130:G130"/>
    <mergeCell ref="F131:G131"/>
    <mergeCell ref="C133:I133"/>
    <mergeCell ref="C134:I134"/>
    <mergeCell ref="E137:G138"/>
    <mergeCell ref="D153:E153"/>
  </mergeCells>
  <printOptions horizontalCentered="1"/>
  <pageMargins left="0.31496062992125984" right="0.31496062992125984" top="0.9055118110236221" bottom="0.70866141732283472" header="0.31496062992125984" footer="0.31496062992125984"/>
  <pageSetup paperSize="9" scale="8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  <pageSetUpPr fitToPage="1"/>
  </sheetPr>
  <dimension ref="B1:AC361"/>
  <sheetViews>
    <sheetView showZeros="0" view="pageBreakPreview" topLeftCell="A139" zoomScale="70" zoomScaleNormal="70" zoomScaleSheetLayoutView="70" workbookViewId="0">
      <selection activeCell="L360" sqref="L360"/>
    </sheetView>
  </sheetViews>
  <sheetFormatPr defaultColWidth="9.140625" defaultRowHeight="20.100000000000001" customHeight="1" x14ac:dyDescent="0.25"/>
  <cols>
    <col min="1" max="1" width="9.140625" style="253"/>
    <col min="2" max="2" width="13.7109375" style="446" customWidth="1"/>
    <col min="3" max="3" width="8.85546875" style="253" customWidth="1"/>
    <col min="4" max="4" width="7" style="253" customWidth="1"/>
    <col min="5" max="5" width="20" style="253" customWidth="1"/>
    <col min="6" max="6" width="19" style="447" customWidth="1"/>
    <col min="7" max="7" width="13.7109375" style="446" customWidth="1"/>
    <col min="8" max="8" width="11.85546875" style="253" customWidth="1"/>
    <col min="9" max="9" width="10" style="509" customWidth="1"/>
    <col min="10" max="10" width="10" style="255" customWidth="1"/>
    <col min="11" max="11" width="44" style="253" customWidth="1"/>
    <col min="12" max="12" width="10" style="255" customWidth="1"/>
    <col min="13" max="13" width="7.140625" style="255" customWidth="1"/>
    <col min="14" max="14" width="19" style="447" customWidth="1"/>
    <col min="15" max="15" width="42.42578125" style="253" bestFit="1" customWidth="1"/>
    <col min="16" max="16" width="6" style="448" customWidth="1"/>
    <col min="17" max="17" width="18.85546875" style="253" bestFit="1" customWidth="1"/>
    <col min="18" max="18" width="16.7109375" style="253" customWidth="1"/>
    <col min="19" max="19" width="16.7109375" style="449" customWidth="1"/>
    <col min="20" max="20" width="16.7109375" style="253" customWidth="1"/>
    <col min="21" max="21" width="20.7109375" style="253" customWidth="1"/>
    <col min="22" max="22" width="48" style="253" customWidth="1"/>
    <col min="23" max="23" width="14.5703125" style="253" bestFit="1" customWidth="1"/>
    <col min="24" max="24" width="9.28515625" style="253" bestFit="1" customWidth="1"/>
    <col min="25" max="16384" width="9.140625" style="253"/>
  </cols>
  <sheetData>
    <row r="1" spans="2:29" ht="20.100000000000001" customHeight="1" x14ac:dyDescent="0.25">
      <c r="E1" s="686">
        <v>2</v>
      </c>
      <c r="F1" s="253">
        <v>14</v>
      </c>
      <c r="G1" s="253"/>
      <c r="X1" s="394"/>
    </row>
    <row r="2" spans="2:29" ht="20.100000000000001" customHeight="1" x14ac:dyDescent="0.25">
      <c r="E2" s="686"/>
      <c r="F2" s="253"/>
      <c r="G2" s="253"/>
    </row>
    <row r="3" spans="2:29" ht="20.100000000000001" customHeight="1" x14ac:dyDescent="0.25">
      <c r="B3" s="253" t="s">
        <v>83</v>
      </c>
      <c r="E3" s="253" t="s">
        <v>520</v>
      </c>
      <c r="F3" s="253"/>
      <c r="G3" s="253"/>
    </row>
    <row r="4" spans="2:29" ht="20.100000000000001" customHeight="1" x14ac:dyDescent="0.25">
      <c r="B4" s="253" t="s">
        <v>63</v>
      </c>
      <c r="E4" s="253" t="s">
        <v>518</v>
      </c>
      <c r="F4" s="253"/>
      <c r="G4" s="253"/>
    </row>
    <row r="5" spans="2:29" ht="20.100000000000001" customHeight="1" x14ac:dyDescent="0.25">
      <c r="B5" s="253" t="s">
        <v>62</v>
      </c>
      <c r="E5" s="253" t="s">
        <v>519</v>
      </c>
      <c r="F5" s="253"/>
      <c r="G5" s="253"/>
      <c r="R5" s="253" t="s">
        <v>461</v>
      </c>
      <c r="S5" s="449" t="s">
        <v>462</v>
      </c>
      <c r="T5" s="253" t="s">
        <v>463</v>
      </c>
    </row>
    <row r="6" spans="2:29" ht="20.100000000000001" customHeight="1" x14ac:dyDescent="0.25">
      <c r="B6" s="253" t="s">
        <v>84</v>
      </c>
      <c r="E6" s="253">
        <v>1</v>
      </c>
      <c r="F6" s="253"/>
      <c r="G6" s="253"/>
      <c r="N6" s="253">
        <v>1</v>
      </c>
      <c r="O6" s="253" t="s">
        <v>485</v>
      </c>
      <c r="Q6" s="450">
        <v>210000000</v>
      </c>
      <c r="R6" s="451">
        <v>19467500</v>
      </c>
      <c r="S6" s="452">
        <v>33400000</v>
      </c>
      <c r="T6" s="451">
        <f>Q6-R6-S6</f>
        <v>157132500</v>
      </c>
    </row>
    <row r="7" spans="2:29" ht="20.100000000000001" customHeight="1" x14ac:dyDescent="0.25">
      <c r="B7" s="253" t="s">
        <v>85</v>
      </c>
      <c r="E7" s="253" t="s">
        <v>517</v>
      </c>
      <c r="F7" s="253"/>
      <c r="G7" s="253"/>
      <c r="N7" s="253">
        <v>2</v>
      </c>
      <c r="O7" s="253" t="s">
        <v>487</v>
      </c>
      <c r="Q7" s="450">
        <v>220000000</v>
      </c>
      <c r="R7" s="451">
        <v>19467500</v>
      </c>
      <c r="S7" s="452">
        <v>33400000</v>
      </c>
      <c r="T7" s="451">
        <f>Q7-R7-S7</f>
        <v>167132500</v>
      </c>
    </row>
    <row r="8" spans="2:29" ht="20.100000000000001" customHeight="1" x14ac:dyDescent="0.25">
      <c r="B8" s="253" t="s">
        <v>86</v>
      </c>
      <c r="E8" s="253" t="s">
        <v>521</v>
      </c>
      <c r="F8" s="253"/>
      <c r="G8" s="253"/>
      <c r="N8" s="253">
        <v>3</v>
      </c>
      <c r="O8" s="253" t="s">
        <v>488</v>
      </c>
      <c r="Q8" s="450">
        <v>130000000</v>
      </c>
      <c r="R8" s="451">
        <v>29900000</v>
      </c>
      <c r="S8" s="452">
        <v>58500000</v>
      </c>
      <c r="T8" s="451">
        <f>Q8-R8-S8</f>
        <v>41600000</v>
      </c>
    </row>
    <row r="9" spans="2:29" ht="20.100000000000001" customHeight="1" x14ac:dyDescent="0.25">
      <c r="B9" s="253" t="s">
        <v>87</v>
      </c>
      <c r="E9" s="253" t="s">
        <v>522</v>
      </c>
      <c r="F9" s="253"/>
      <c r="G9" s="253"/>
      <c r="N9" s="253">
        <v>4</v>
      </c>
      <c r="O9" s="253" t="s">
        <v>484</v>
      </c>
      <c r="Q9" s="451">
        <v>230000000</v>
      </c>
      <c r="R9" s="451">
        <v>52900000</v>
      </c>
      <c r="S9" s="452">
        <v>103500000</v>
      </c>
      <c r="T9" s="451">
        <f>Q9-S9-R9</f>
        <v>73600000</v>
      </c>
    </row>
    <row r="10" spans="2:29" ht="20.100000000000001" customHeight="1" x14ac:dyDescent="0.25">
      <c r="B10" s="253" t="s">
        <v>88</v>
      </c>
      <c r="E10" s="253" t="s">
        <v>523</v>
      </c>
      <c r="F10" s="253"/>
      <c r="G10" s="253"/>
      <c r="N10" s="253">
        <v>5</v>
      </c>
      <c r="O10" s="253" t="s">
        <v>486</v>
      </c>
      <c r="Q10" s="253">
        <v>210000000</v>
      </c>
    </row>
    <row r="11" spans="2:29" ht="20.100000000000001" customHeight="1" x14ac:dyDescent="0.25">
      <c r="B11" s="254" t="s">
        <v>87</v>
      </c>
      <c r="F11" s="253"/>
      <c r="G11" s="253"/>
    </row>
    <row r="12" spans="2:29" ht="20.100000000000001" customHeight="1" x14ac:dyDescent="0.25">
      <c r="B12" s="253" t="s">
        <v>89</v>
      </c>
      <c r="E12" s="253" t="s">
        <v>524</v>
      </c>
      <c r="F12" s="253"/>
      <c r="G12" s="253"/>
    </row>
    <row r="13" spans="2:29" ht="20.100000000000001" customHeight="1" x14ac:dyDescent="0.25">
      <c r="B13" s="253" t="s">
        <v>87</v>
      </c>
      <c r="E13" s="253" t="s">
        <v>525</v>
      </c>
      <c r="F13" s="253"/>
      <c r="G13" s="253"/>
    </row>
    <row r="14" spans="2:29" ht="20.100000000000001" customHeight="1" x14ac:dyDescent="0.25">
      <c r="B14" s="253" t="s">
        <v>90</v>
      </c>
      <c r="E14" s="253" t="s">
        <v>526</v>
      </c>
      <c r="F14" s="253" t="s">
        <v>527</v>
      </c>
      <c r="G14" s="253"/>
    </row>
    <row r="15" spans="2:29" ht="20.100000000000001" customHeight="1" thickBot="1" x14ac:dyDescent="0.3">
      <c r="B15" s="253" t="s">
        <v>481</v>
      </c>
      <c r="E15" s="453" t="str">
        <f>E14</f>
        <v>NUR ROHMAN, ST.</v>
      </c>
      <c r="F15" s="253"/>
      <c r="G15" s="253"/>
    </row>
    <row r="16" spans="2:29" ht="20.100000000000001" customHeight="1" x14ac:dyDescent="0.25">
      <c r="B16" s="253" t="s">
        <v>483</v>
      </c>
      <c r="E16" s="453" t="str">
        <f>F14</f>
        <v>MUSYYAYIN, ST.</v>
      </c>
      <c r="F16" s="253"/>
      <c r="G16" s="253"/>
      <c r="V16" s="690" t="s">
        <v>17</v>
      </c>
      <c r="W16" s="682" t="s">
        <v>100</v>
      </c>
      <c r="X16" s="683"/>
      <c r="Y16" s="683"/>
      <c r="Z16" s="683"/>
      <c r="AA16" s="684"/>
      <c r="AB16" s="685" t="s">
        <v>0</v>
      </c>
      <c r="AC16" s="679" t="s">
        <v>2</v>
      </c>
    </row>
    <row r="17" spans="2:29" ht="20.100000000000001" customHeight="1" thickBot="1" x14ac:dyDescent="0.3">
      <c r="B17" s="446" t="s">
        <v>80</v>
      </c>
      <c r="V17" s="691"/>
      <c r="W17" s="681" t="s">
        <v>1</v>
      </c>
      <c r="X17" s="681"/>
      <c r="Y17" s="681" t="s">
        <v>101</v>
      </c>
      <c r="Z17" s="681"/>
      <c r="AA17" s="396" t="s">
        <v>102</v>
      </c>
      <c r="AB17" s="681"/>
      <c r="AC17" s="680"/>
    </row>
    <row r="18" spans="2:29" ht="20.100000000000001" customHeight="1" x14ac:dyDescent="0.25">
      <c r="B18" s="446" t="s">
        <v>432</v>
      </c>
      <c r="E18" s="253">
        <v>2600000</v>
      </c>
      <c r="F18" s="454">
        <v>1</v>
      </c>
    </row>
    <row r="19" spans="2:29" ht="20.100000000000001" customHeight="1" x14ac:dyDescent="0.25">
      <c r="B19" s="446" t="s">
        <v>433</v>
      </c>
      <c r="E19" s="253">
        <v>1950000</v>
      </c>
      <c r="F19" s="447">
        <f>Q8+E19+E18</f>
        <v>134550000</v>
      </c>
    </row>
    <row r="21" spans="2:29" s="517" customFormat="1" ht="20.100000000000001" customHeight="1" x14ac:dyDescent="0.25">
      <c r="B21" s="518"/>
      <c r="C21" s="518"/>
      <c r="D21" s="693" t="s">
        <v>59</v>
      </c>
      <c r="E21" s="693"/>
      <c r="F21" s="693"/>
      <c r="G21" s="693"/>
      <c r="H21" s="693"/>
      <c r="I21" s="693"/>
      <c r="J21" s="693"/>
      <c r="K21" s="693"/>
      <c r="L21" s="519"/>
      <c r="M21" s="518"/>
      <c r="N21" s="518"/>
      <c r="P21" s="520"/>
      <c r="S21" s="521"/>
    </row>
    <row r="22" spans="2:29" s="522" customFormat="1" ht="20.100000000000001" customHeight="1" x14ac:dyDescent="0.25">
      <c r="B22" s="523"/>
      <c r="C22" s="523"/>
      <c r="D22" s="694" t="str">
        <f>$E$7</f>
        <v>PEMBANGUNAN TOILET BESERTA SANITASINYA</v>
      </c>
      <c r="E22" s="694"/>
      <c r="F22" s="694"/>
      <c r="G22" s="694"/>
      <c r="H22" s="694"/>
      <c r="I22" s="694"/>
      <c r="J22" s="694"/>
      <c r="K22" s="694"/>
      <c r="L22" s="524"/>
      <c r="M22" s="523"/>
      <c r="N22" s="523"/>
      <c r="P22" s="525"/>
      <c r="S22" s="526"/>
    </row>
    <row r="23" spans="2:29" ht="8.1" customHeight="1" x14ac:dyDescent="0.25"/>
    <row r="24" spans="2:29" ht="20.100000000000001" customHeight="1" x14ac:dyDescent="0.25">
      <c r="B24" s="446" t="s">
        <v>60</v>
      </c>
      <c r="C24" s="255" t="s">
        <v>49</v>
      </c>
      <c r="D24" s="255">
        <v>1</v>
      </c>
      <c r="E24" s="253">
        <f>IFERROR(VLOOKUP(D24,'Rekap Gaji'!$B$12:$P$24,14,FALSE),"-")</f>
        <v>0</v>
      </c>
    </row>
    <row r="25" spans="2:29" ht="20.100000000000001" customHeight="1" x14ac:dyDescent="0.25">
      <c r="B25" s="446" t="s">
        <v>61</v>
      </c>
      <c r="C25" s="255" t="s">
        <v>49</v>
      </c>
      <c r="D25" s="253" t="str">
        <f>$E$3</f>
        <v>SDN 1 SIDODADI</v>
      </c>
      <c r="G25" s="446" t="s">
        <v>63</v>
      </c>
      <c r="H25" s="255" t="s">
        <v>49</v>
      </c>
      <c r="I25" s="253" t="str">
        <f>$E$4</f>
        <v>NGANTANG</v>
      </c>
      <c r="K25" s="253" t="s">
        <v>93</v>
      </c>
      <c r="L25" s="255" t="s">
        <v>49</v>
      </c>
      <c r="M25" s="687">
        <f>COPY!AF7</f>
        <v>45901</v>
      </c>
      <c r="N25" s="687"/>
    </row>
    <row r="26" spans="2:29" ht="20.100000000000001" customHeight="1" x14ac:dyDescent="0.25">
      <c r="B26" s="446" t="s">
        <v>62</v>
      </c>
      <c r="C26" s="255" t="s">
        <v>49</v>
      </c>
      <c r="D26" s="695" t="str">
        <f>$E$5</f>
        <v>Jl. Kawi No.36 Rt. 1 Rw. 1 Dusun Sekar, Rt / Rw : 1 / 1, Dusun : Sekar, Kelurahan : Sidodadi</v>
      </c>
      <c r="E26" s="695"/>
      <c r="F26" s="695"/>
      <c r="G26" s="446" t="s">
        <v>66</v>
      </c>
      <c r="H26" s="255" t="s">
        <v>49</v>
      </c>
      <c r="I26" s="499" t="s">
        <v>68</v>
      </c>
      <c r="K26" s="253" t="s">
        <v>94</v>
      </c>
      <c r="L26" s="255" t="s">
        <v>49</v>
      </c>
      <c r="M26" s="687">
        <f>EOMONTH(M25,0)</f>
        <v>45930</v>
      </c>
      <c r="N26" s="687"/>
    </row>
    <row r="27" spans="2:29" ht="20.100000000000001" customHeight="1" x14ac:dyDescent="0.25">
      <c r="D27" s="695"/>
      <c r="E27" s="695"/>
      <c r="F27" s="695"/>
      <c r="G27" s="446" t="s">
        <v>67</v>
      </c>
      <c r="H27" s="255" t="s">
        <v>49</v>
      </c>
      <c r="I27" s="499" t="s">
        <v>69</v>
      </c>
    </row>
    <row r="28" spans="2:29" ht="8.1" customHeight="1" x14ac:dyDescent="0.25"/>
    <row r="29" spans="2:29" ht="20.100000000000001" customHeight="1" thickBot="1" x14ac:dyDescent="0.3">
      <c r="B29" s="455" t="s">
        <v>217</v>
      </c>
      <c r="G29" s="455" t="s">
        <v>65</v>
      </c>
    </row>
    <row r="30" spans="2:29" s="399" customFormat="1" ht="39.950000000000003" customHeight="1" thickBot="1" x14ac:dyDescent="0.3">
      <c r="B30" s="400" t="s">
        <v>0</v>
      </c>
      <c r="C30" s="692" t="s">
        <v>1</v>
      </c>
      <c r="D30" s="692"/>
      <c r="E30" s="692"/>
      <c r="F30" s="401" t="s">
        <v>5</v>
      </c>
      <c r="G30" s="402" t="s">
        <v>0</v>
      </c>
      <c r="H30" s="692" t="s">
        <v>1</v>
      </c>
      <c r="I30" s="692"/>
      <c r="J30" s="692"/>
      <c r="K30" s="692"/>
      <c r="L30" s="403" t="s">
        <v>3</v>
      </c>
      <c r="M30" s="403" t="s">
        <v>4</v>
      </c>
      <c r="N30" s="404" t="s">
        <v>5</v>
      </c>
      <c r="P30" s="405" t="s">
        <v>226</v>
      </c>
      <c r="Q30" s="399" t="s">
        <v>225</v>
      </c>
      <c r="R30" s="399" t="s">
        <v>224</v>
      </c>
      <c r="S30" s="406">
        <f>COUNTIF(COPY!$C$2:$C$1000,D24)</f>
        <v>109</v>
      </c>
    </row>
    <row r="31" spans="2:29" s="399" customFormat="1" ht="20.100000000000001" customHeight="1" thickTop="1" x14ac:dyDescent="0.25">
      <c r="B31" s="407">
        <v>45902</v>
      </c>
      <c r="C31" s="408" t="s">
        <v>531</v>
      </c>
      <c r="D31" s="409"/>
      <c r="E31" s="409"/>
      <c r="F31" s="410">
        <v>84000000</v>
      </c>
      <c r="G31" s="411"/>
      <c r="H31" s="412"/>
      <c r="I31" s="409"/>
      <c r="J31" s="409"/>
      <c r="K31" s="409"/>
      <c r="L31" s="413"/>
      <c r="M31" s="413"/>
      <c r="N31" s="414"/>
      <c r="P31" s="405"/>
      <c r="S31" s="406"/>
    </row>
    <row r="32" spans="2:29" s="399" customFormat="1" ht="20.100000000000001" customHeight="1" x14ac:dyDescent="0.25">
      <c r="B32" s="415"/>
      <c r="C32" s="416"/>
      <c r="D32" s="417"/>
      <c r="E32" s="417"/>
      <c r="F32" s="418"/>
      <c r="G32" s="419"/>
      <c r="H32" s="417"/>
      <c r="I32" s="417"/>
      <c r="J32" s="417"/>
      <c r="K32" s="417"/>
      <c r="L32" s="420"/>
      <c r="M32" s="420"/>
      <c r="N32" s="421"/>
      <c r="P32" s="405"/>
      <c r="S32" s="406"/>
    </row>
    <row r="33" spans="2:24" ht="20.100000000000001" customHeight="1" x14ac:dyDescent="0.25">
      <c r="B33" s="456">
        <f>IF(LEFT(C33,16)="Terima Pajak PPN",VLOOKUP(P33,COPY!$A$1:$AC$1000,21,FALSE),IF(LEFT(C33,16)="Terima Pajak PPH",VLOOKUP(P33,COPY!$A$1:$AC$1000,21,FALSE),IF(LEFT(C33,13)="Terima PPh 23",VLOOKUP(P33,COPY!$A$1:$AC$1000,21,FALSE),0)))</f>
        <v>0</v>
      </c>
      <c r="C33" s="457">
        <f>IFERROR(IF(LEFT(VLOOKUP(P33,COPY!$A$1:$AC$1000,29,FALSE),5)="Terim",VLOOKUP(P33,COPY!$A$1:$AC$1000,29,FALSE),0),0)</f>
        <v>0</v>
      </c>
      <c r="D33" s="457"/>
      <c r="E33" s="457"/>
      <c r="F33" s="458">
        <f>IFERROR(IF(LEFT(VLOOKUP(P33,COPY!$A$1:$AC$1000,29,FALSE),5)="Terim",VLOOKUP(P33,COPY!$A$1:$AC$1000,26,FALSE),0),0)</f>
        <v>0</v>
      </c>
      <c r="G33" s="459">
        <f>IFERROR(VLOOKUP(P33,COPY!$A$1:$L$1000,4,FALSE),0)</f>
        <v>45901</v>
      </c>
      <c r="H33" s="460" t="str">
        <f>IFERROR(VLOOKUP(P33,COPY!$A$1:$L$1000,2,FALSE),0)</f>
        <v>Beli</v>
      </c>
      <c r="I33" s="461">
        <f>IFERROR(VLOOKUP(P33,COPY!$A$1:$L$1000,10,FALSE),0)</f>
        <v>16</v>
      </c>
      <c r="J33" s="461" t="str">
        <f>IFERROR(VLOOKUP(P33,COPY!$A$1:$L$1000,8,FALSE),0)</f>
        <v>m</v>
      </c>
      <c r="K33" s="462" t="str">
        <f>IFERROR(VLOOKUP(P33,COPY!$A$1:$L$1000,7,FALSE),0)</f>
        <v>Banner Untuk Rapat</v>
      </c>
      <c r="L33" s="468" t="str">
        <f>IFERROR(VLOOKUP(P33,COPY!$A$1:$O$1000,15,FALSE),0)</f>
        <v>BKK.1</v>
      </c>
      <c r="M33" s="463" t="str">
        <f>IFERROR(VLOOKUP(P33,COPY!$A$1:$L$1000,12,FALSE),0)</f>
        <v>D</v>
      </c>
      <c r="N33" s="464">
        <f>IF(H33="Jasa",VLOOKUP('BKU 1'!K33,'Rekap Gaji'!$D$12:$I$24,6,FALSE),(IF(H33="Beli",VLOOKUP(P33,COPY!$A$1:$L$1000,11,FALSE),IF(H33="Bayar Ongkos",VLOOKUP(K33,'Rekap Gaji'!$D$12:$I$24,6,FALSE),0))))</f>
        <v>272000</v>
      </c>
      <c r="O33" s="465" t="str">
        <f>IF(LEFT(M33,15)="Bayar Pajak PPN",1,IF(LEFT(M33,15)="Bayar Pajak PPH",2,IF(LEFT(M33,21)="Bayar Pajak Final PPH",3," ")))</f>
        <v xml:space="preserve"> </v>
      </c>
      <c r="P33" s="466" t="str">
        <f>$D$24&amp;"."&amp;Q33</f>
        <v>1.1</v>
      </c>
      <c r="Q33" s="253">
        <f>IF(T33&lt;=0,T33+$S$30,0)</f>
        <v>1</v>
      </c>
      <c r="R33" s="253">
        <f>IF(T33&lt;=0,S33,0)</f>
        <v>1</v>
      </c>
      <c r="S33" s="449">
        <v>1</v>
      </c>
      <c r="T33" s="253">
        <f>S33-$S$30</f>
        <v>-108</v>
      </c>
      <c r="U33" s="457" t="str">
        <f t="shared" ref="U33:U96" si="0">IF(LEFT(C33,16)="terima Pajak PPN",1,IF(LEFT(C33,16)="terima Pajak PPH",2,IF(LEFT(C33,21)="Bayar Pajak Final PPH",3," ")))</f>
        <v xml:space="preserve"> </v>
      </c>
      <c r="X33" s="253">
        <f>IFERROR(HLOOKUP("qty",COPY!$C$1:$L$1000,2+(MOD(ROW()-32,SUMIF(COPY!$C$2:$C$1000,'BKU 1'!$D$24,COPY!$C$2:$C$1000))+1),FALSE),"-")</f>
        <v>26</v>
      </c>
    </row>
    <row r="34" spans="2:24" ht="20.100000000000001" customHeight="1" x14ac:dyDescent="0.25">
      <c r="B34" s="456">
        <f>IF(LEFT(C34,16)="Terima Pajak PPN",VLOOKUP(P34,COPY!$A$1:$AC$1000,21,FALSE),IF(LEFT(C34,16)="Terima Pajak PPH",VLOOKUP(P34,COPY!$A$1:$AC$1000,21,FALSE),IF(LEFT(C34,13)="Terima PPh 23",VLOOKUP(P34,COPY!$A$1:$AC$1000,21,FALSE),0)))</f>
        <v>0</v>
      </c>
      <c r="C34" s="457">
        <f>IFERROR(IF(LEFT(VLOOKUP(P34,COPY!$A$1:$AC$1000,29,FALSE),5)="Terim",VLOOKUP(P34,COPY!$A$1:$AC$1000,29,FALSE),0),0)</f>
        <v>0</v>
      </c>
      <c r="D34" s="457"/>
      <c r="E34" s="457"/>
      <c r="F34" s="458">
        <f>IFERROR(IF(LEFT(VLOOKUP(P34,COPY!$A$1:$AC$1000,29,FALSE),5)="Terim",VLOOKUP(P34,COPY!$A$1:$AC$1000,26,FALSE),0),0)</f>
        <v>0</v>
      </c>
      <c r="G34" s="459" t="str">
        <f>IFERROR(VLOOKUP(P34,COPY!$A$1:$L$1000,4,FALSE),0)</f>
        <v/>
      </c>
      <c r="H34" s="457" t="str">
        <f>IFERROR(VLOOKUP(P34,COPY!$A$1:$L$1000,2,FALSE),0)</f>
        <v>Beli</v>
      </c>
      <c r="I34" s="510">
        <f>IFERROR(VLOOKUP(P34,COPY!$A$1:$L$1000,10,FALSE),0)</f>
        <v>26</v>
      </c>
      <c r="J34" s="467" t="str">
        <f>IFERROR(VLOOKUP(P34,COPY!$A$1:$L$1000,8,FALSE),0)</f>
        <v>Lbr</v>
      </c>
      <c r="K34" s="457" t="str">
        <f>IFERROR(VLOOKUP(P34,COPY!$A$1:$L$1000,7,FALSE),0)</f>
        <v>Cetak A3 HVS 70 Grm</v>
      </c>
      <c r="L34" s="468" t="str">
        <f>IFERROR(VLOOKUP(P34,COPY!$A$1:$O$1000,15,FALSE),0)</f>
        <v/>
      </c>
      <c r="M34" s="468" t="str">
        <f>IFERROR(VLOOKUP(P34,COPY!$A$1:$L$1000,12,FALSE),0)</f>
        <v>D</v>
      </c>
      <c r="N34" s="469">
        <f>IF(H34="Jasa",VLOOKUP('BKU 1'!K34,'Rekap Gaji'!$D$12:$I$24,6,FALSE),(IF(H34="Beli",VLOOKUP(P34,COPY!$A$1:$L$1000,11,FALSE),IF(H34="Bayar Ongkos",VLOOKUP(K34,'Rekap Gaji'!$D$12:$I$24,6,FALSE),0))))</f>
        <v>91000</v>
      </c>
      <c r="O34" s="470"/>
      <c r="P34" s="466" t="str">
        <f t="shared" ref="P34:P97" si="1">$D$24&amp;"."&amp;Q34</f>
        <v>1.2</v>
      </c>
      <c r="Q34" s="253">
        <f>IF(T34&lt;=0,T34+$S$30,0)</f>
        <v>2</v>
      </c>
      <c r="R34" s="253">
        <f>IF(T34&lt;=0,S34,0)</f>
        <v>2</v>
      </c>
      <c r="S34" s="449">
        <f>S33+1</f>
        <v>2</v>
      </c>
      <c r="T34" s="253">
        <f>S34-$S$30</f>
        <v>-107</v>
      </c>
      <c r="U34" s="457" t="str">
        <f t="shared" si="0"/>
        <v xml:space="preserve"> </v>
      </c>
    </row>
    <row r="35" spans="2:24" ht="20.100000000000001" customHeight="1" x14ac:dyDescent="0.25">
      <c r="B35" s="456">
        <f>IF(LEFT(C35,16)="Terima Pajak PPN",VLOOKUP(P35,COPY!$A$1:$AC$1000,21,FALSE),IF(LEFT(C35,16)="Terima Pajak PPH",VLOOKUP(P35,COPY!$A$1:$AC$1000,21,FALSE),IF(LEFT(C35,13)="Terima PPh 23",VLOOKUP(P35,COPY!$A$1:$AC$1000,21,FALSE),0)))</f>
        <v>0</v>
      </c>
      <c r="C35" s="457">
        <f>IFERROR(IF(LEFT(VLOOKUP(P35,COPY!$A$1:$AC$1000,29,FALSE),5)="Terim",VLOOKUP(P35,COPY!$A$1:$AC$1000,29,FALSE),0),0)</f>
        <v>0</v>
      </c>
      <c r="D35" s="457"/>
      <c r="E35" s="457"/>
      <c r="F35" s="458">
        <f>IFERROR(IF(LEFT(VLOOKUP(P35,COPY!$A$1:$AC$1000,29,FALSE),5)="Terim",VLOOKUP(P35,COPY!$A$1:$AC$1000,26,FALSE),0),0)</f>
        <v>0</v>
      </c>
      <c r="G35" s="459" t="str">
        <f>IFERROR(VLOOKUP(P35,COPY!$A$1:$L$1000,4,FALSE),0)</f>
        <v/>
      </c>
      <c r="H35" s="457" t="str">
        <f>IFERROR(VLOOKUP(P35,COPY!$A$1:$L$1000,2,FALSE),0)</f>
        <v>Beli</v>
      </c>
      <c r="I35" s="510">
        <f>IFERROR(VLOOKUP(P35,COPY!$A$1:$L$1000,10,FALSE),0)</f>
        <v>26</v>
      </c>
      <c r="J35" s="467" t="str">
        <f>IFERROR(VLOOKUP(P35,COPY!$A$1:$L$1000,8,FALSE),0)</f>
        <v>Lbr</v>
      </c>
      <c r="K35" s="457" t="str">
        <f>IFERROR(VLOOKUP(P35,COPY!$A$1:$L$1000,7,FALSE),0)</f>
        <v>Cetak Gambar A3 Ap 120 Grm</v>
      </c>
      <c r="L35" s="468" t="str">
        <f>IFERROR(VLOOKUP(P35,COPY!$A$1:$O$1000,15,FALSE),0)</f>
        <v/>
      </c>
      <c r="M35" s="468" t="str">
        <f>IFERROR(VLOOKUP(P35,COPY!$A$1:$L$1000,12,FALSE),0)</f>
        <v>D</v>
      </c>
      <c r="N35" s="469">
        <f>IF(H35="Jasa",VLOOKUP('BKU 1'!K35,'Rekap Gaji'!$D$12:$I$24,6,FALSE),(IF(H35="Beli",VLOOKUP(P35,COPY!$A$1:$L$1000,11,FALSE),IF(H35="Bayar Ongkos",VLOOKUP(K35,'Rekap Gaji'!$D$12:$I$24,6,FALSE),0))))</f>
        <v>104000</v>
      </c>
      <c r="O35" s="470"/>
      <c r="P35" s="466" t="str">
        <f t="shared" si="1"/>
        <v>1.3</v>
      </c>
      <c r="Q35" s="253">
        <f t="shared" ref="Q35:Q98" si="2">IF(T35&lt;=0,T35+$S$30,0)</f>
        <v>3</v>
      </c>
      <c r="R35" s="253">
        <f t="shared" ref="R35:R98" si="3">IF(T35&lt;=0,S35,0)</f>
        <v>3</v>
      </c>
      <c r="S35" s="449">
        <f t="shared" ref="S35:S98" si="4">S34+1</f>
        <v>3</v>
      </c>
      <c r="T35" s="253">
        <f t="shared" ref="T35:T98" si="5">S35-$S$30</f>
        <v>-106</v>
      </c>
      <c r="U35" s="457" t="str">
        <f t="shared" si="0"/>
        <v xml:space="preserve"> </v>
      </c>
    </row>
    <row r="36" spans="2:24" ht="20.100000000000001" customHeight="1" x14ac:dyDescent="0.25">
      <c r="B36" s="456">
        <f>IF(LEFT(C36,16)="Terima Pajak PPN",VLOOKUP(P36,COPY!$A$1:$AC$1000,21,FALSE),IF(LEFT(C36,16)="Terima Pajak PPH",VLOOKUP(P36,COPY!$A$1:$AC$1000,21,FALSE),IF(LEFT(C36,13)="Terima PPh 23",VLOOKUP(P36,COPY!$A$1:$AC$1000,21,FALSE),0)))</f>
        <v>0</v>
      </c>
      <c r="C36" s="457">
        <f>IFERROR(IF(LEFT(VLOOKUP(P36,COPY!$A$1:$AC$1000,29,FALSE),5)="Terim",VLOOKUP(P36,COPY!$A$1:$AC$1000,29,FALSE),0),0)</f>
        <v>0</v>
      </c>
      <c r="D36" s="457"/>
      <c r="E36" s="457"/>
      <c r="F36" s="458">
        <f>IFERROR(IF(LEFT(VLOOKUP(P36,COPY!$A$1:$AC$1000,29,FALSE),5)="Terim",VLOOKUP(P36,COPY!$A$1:$AC$1000,26,FALSE),0),0)</f>
        <v>0</v>
      </c>
      <c r="G36" s="459" t="str">
        <f>IFERROR(VLOOKUP(P36,COPY!$A$1:$L$1000,4,FALSE),0)</f>
        <v/>
      </c>
      <c r="H36" s="457" t="str">
        <f>IFERROR(VLOOKUP(P36,COPY!$A$1:$L$1000,2,FALSE),0)</f>
        <v>Beli</v>
      </c>
      <c r="I36" s="510">
        <f>IFERROR(VLOOKUP(P36,COPY!$A$1:$L$1000,10,FALSE),0)</f>
        <v>10</v>
      </c>
      <c r="J36" s="467" t="str">
        <f>IFERROR(VLOOKUP(P36,COPY!$A$1:$L$1000,8,FALSE),0)</f>
        <v>Bks</v>
      </c>
      <c r="K36" s="457" t="str">
        <f>IFERROR(VLOOKUP(P36,COPY!$A$1:$L$1000,7,FALSE),0)</f>
        <v>Kosumsi Rapat Awal Pekerjaan</v>
      </c>
      <c r="L36" s="468" t="str">
        <f>IFERROR(VLOOKUP(P36,COPY!$A$1:$O$1000,15,FALSE),0)</f>
        <v/>
      </c>
      <c r="M36" s="468" t="str">
        <f>IFERROR(VLOOKUP(P36,COPY!$A$1:$L$1000,12,FALSE),0)</f>
        <v>D</v>
      </c>
      <c r="N36" s="469">
        <f>IF(H36="Jasa",VLOOKUP('BKU 1'!K36,'Rekap Gaji'!$D$12:$I$24,6,FALSE),(IF(H36="Beli",VLOOKUP(P36,COPY!$A$1:$L$1000,11,FALSE),IF(H36="Bayar Ongkos",VLOOKUP(K36,'Rekap Gaji'!$D$12:$I$24,6,FALSE),0))))</f>
        <v>300000</v>
      </c>
      <c r="P36" s="466" t="str">
        <f t="shared" si="1"/>
        <v>1.4</v>
      </c>
      <c r="Q36" s="253">
        <f t="shared" si="2"/>
        <v>4</v>
      </c>
      <c r="R36" s="253">
        <f t="shared" si="3"/>
        <v>4</v>
      </c>
      <c r="S36" s="449">
        <f t="shared" si="4"/>
        <v>4</v>
      </c>
      <c r="T36" s="253">
        <f t="shared" si="5"/>
        <v>-105</v>
      </c>
      <c r="U36" s="457" t="str">
        <f t="shared" si="0"/>
        <v xml:space="preserve"> </v>
      </c>
    </row>
    <row r="37" spans="2:24" ht="20.100000000000001" customHeight="1" x14ac:dyDescent="0.25">
      <c r="B37" s="456">
        <f>IF(LEFT(C37,16)="Terima Pajak PPN",VLOOKUP(P37,COPY!$A$1:$AC$1000,21,FALSE),IF(LEFT(C37,16)="Terima Pajak PPH",VLOOKUP(P37,COPY!$A$1:$AC$1000,21,FALSE),IF(LEFT(C37,13)="Terima PPh 23",VLOOKUP(P37,COPY!$A$1:$AC$1000,21,FALSE),0)))</f>
        <v>0</v>
      </c>
      <c r="C37" s="457">
        <f>IFERROR(IF(LEFT(VLOOKUP(P37,COPY!$A$1:$AC$1000,29,FALSE),5)="Terim",VLOOKUP(P37,COPY!$A$1:$AC$1000,29,FALSE),0),0)</f>
        <v>0</v>
      </c>
      <c r="D37" s="457"/>
      <c r="E37" s="457"/>
      <c r="F37" s="458">
        <f>IFERROR(IF(LEFT(VLOOKUP(P37,COPY!$A$1:$AC$1000,29,FALSE),5)="Terim",VLOOKUP(P37,COPY!$A$1:$AC$1000,26,FALSE),0),0)</f>
        <v>0</v>
      </c>
      <c r="G37" s="459" t="str">
        <f>IFERROR(VLOOKUP(P37,COPY!$A$1:$L$1000,4,FALSE),0)</f>
        <v/>
      </c>
      <c r="H37" s="457" t="str">
        <f>IFERROR(VLOOKUP(P37,COPY!$A$1:$L$1000,2,FALSE),0)</f>
        <v>Beli</v>
      </c>
      <c r="I37" s="510">
        <f>IFERROR(VLOOKUP(P37,COPY!$A$1:$L$1000,10,FALSE),0)</f>
        <v>1</v>
      </c>
      <c r="J37" s="467" t="str">
        <f>IFERROR(VLOOKUP(P37,COPY!$A$1:$L$1000,8,FALSE),0)</f>
        <v>Ls</v>
      </c>
      <c r="K37" s="457" t="str">
        <f>IFERROR(VLOOKUP(P37,COPY!$A$1:$L$1000,7,FALSE),0)</f>
        <v>Biaya Perjalanan Rapat Ke dinas Pendidikan</v>
      </c>
      <c r="L37" s="468" t="str">
        <f>IFERROR(VLOOKUP(P37,COPY!$A$1:$O$1000,15,FALSE),0)</f>
        <v/>
      </c>
      <c r="M37" s="468" t="str">
        <f>IFERROR(VLOOKUP(P37,COPY!$A$1:$L$1000,12,FALSE),0)</f>
        <v>D</v>
      </c>
      <c r="N37" s="469">
        <f>IF(H37="Jasa",VLOOKUP('BKU 1'!K37,'Rekap Gaji'!$D$12:$I$24,6,FALSE),(IF(H37="Beli",VLOOKUP(P37,COPY!$A$1:$L$1000,11,FALSE),IF(H37="Bayar Ongkos",VLOOKUP(K37,'Rekap Gaji'!$D$12:$I$24,6,FALSE),0))))</f>
        <v>300000</v>
      </c>
      <c r="P37" s="466" t="str">
        <f t="shared" si="1"/>
        <v>1.5</v>
      </c>
      <c r="Q37" s="253">
        <f t="shared" si="2"/>
        <v>5</v>
      </c>
      <c r="R37" s="253">
        <f t="shared" si="3"/>
        <v>5</v>
      </c>
      <c r="S37" s="449">
        <f t="shared" si="4"/>
        <v>5</v>
      </c>
      <c r="T37" s="253">
        <f t="shared" si="5"/>
        <v>-104</v>
      </c>
      <c r="U37" s="457" t="str">
        <f t="shared" si="0"/>
        <v xml:space="preserve"> </v>
      </c>
    </row>
    <row r="38" spans="2:24" ht="20.100000000000001" customHeight="1" x14ac:dyDescent="0.25">
      <c r="B38" s="456">
        <f>IF(LEFT(C38,16)="Terima Pajak PPN",VLOOKUP(P38,COPY!$A$1:$AC$1000,21,FALSE),IF(LEFT(C38,16)="Terima Pajak PPH",VLOOKUP(P38,COPY!$A$1:$AC$1000,21,FALSE),IF(LEFT(C38,13)="Terima PPh 23",VLOOKUP(P38,COPY!$A$1:$AC$1000,21,FALSE),0)))</f>
        <v>0</v>
      </c>
      <c r="C38" s="457">
        <f>IFERROR(IF(LEFT(VLOOKUP(P38,COPY!$A$1:$AC$1000,29,FALSE),5)="Terim",VLOOKUP(P38,COPY!$A$1:$AC$1000,29,FALSE),0),0)</f>
        <v>0</v>
      </c>
      <c r="D38" s="457"/>
      <c r="E38" s="457"/>
      <c r="F38" s="458">
        <f>IFERROR(IF(LEFT(VLOOKUP(P38,COPY!$A$1:$AC$1000,29,FALSE),5)="Terim",VLOOKUP(P38,COPY!$A$1:$AC$1000,26,FALSE),0),0)</f>
        <v>0</v>
      </c>
      <c r="G38" s="459">
        <f>IFERROR(VLOOKUP(P38,COPY!$A$1:$L$1000,4,FALSE),0)</f>
        <v>45902</v>
      </c>
      <c r="H38" s="457" t="str">
        <f>IFERROR(VLOOKUP(P38,COPY!$A$1:$L$1000,2,FALSE),0)</f>
        <v>Beli</v>
      </c>
      <c r="I38" s="510">
        <f>IFERROR(VLOOKUP(P38,COPY!$A$1:$L$1000,10,FALSE),0)</f>
        <v>2</v>
      </c>
      <c r="J38" s="467" t="str">
        <f>IFERROR(VLOOKUP(P38,COPY!$A$1:$L$1000,8,FALSE),0)</f>
        <v>Pcs</v>
      </c>
      <c r="K38" s="457" t="str">
        <f>IFERROR(VLOOKUP(P38,COPY!$A$1:$L$1000,7,FALSE),0)</f>
        <v>Gancu   Doran</v>
      </c>
      <c r="L38" s="468" t="str">
        <f>IFERROR(VLOOKUP(P38,COPY!$A$1:$O$1000,15,FALSE),0)</f>
        <v>BKK.2</v>
      </c>
      <c r="M38" s="468" t="str">
        <f>IFERROR(VLOOKUP(P38,COPY!$A$1:$L$1000,12,FALSE),0)</f>
        <v>C</v>
      </c>
      <c r="N38" s="469">
        <f>IF(H38="Jasa",VLOOKUP('BKU 1'!K38,'Rekap Gaji'!$D$12:$I$24,6,FALSE),(IF(H38="Beli",VLOOKUP(P38,COPY!$A$1:$L$1000,11,FALSE),IF(H38="Bayar Ongkos",VLOOKUP(K38,'Rekap Gaji'!$D$12:$I$24,6,FALSE),0))))</f>
        <v>460000</v>
      </c>
      <c r="O38" s="470"/>
      <c r="P38" s="466" t="str">
        <f t="shared" si="1"/>
        <v>1.6</v>
      </c>
      <c r="Q38" s="253">
        <f t="shared" si="2"/>
        <v>6</v>
      </c>
      <c r="R38" s="253">
        <f t="shared" si="3"/>
        <v>6</v>
      </c>
      <c r="S38" s="449">
        <f t="shared" si="4"/>
        <v>6</v>
      </c>
      <c r="T38" s="253">
        <f t="shared" si="5"/>
        <v>-103</v>
      </c>
      <c r="U38" s="457" t="str">
        <f t="shared" si="0"/>
        <v xml:space="preserve"> </v>
      </c>
    </row>
    <row r="39" spans="2:24" ht="20.100000000000001" customHeight="1" x14ac:dyDescent="0.25">
      <c r="B39" s="456">
        <f>IF(LEFT(C39,16)="Terima Pajak PPN",VLOOKUP(P39,COPY!$A$1:$AC$1000,21,FALSE),IF(LEFT(C39,16)="Terima Pajak PPH",VLOOKUP(P39,COPY!$A$1:$AC$1000,21,FALSE),IF(LEFT(C39,13)="Terima PPh 23",VLOOKUP(P39,COPY!$A$1:$AC$1000,21,FALSE),0)))</f>
        <v>0</v>
      </c>
      <c r="C39" s="457">
        <f>IFERROR(IF(LEFT(VLOOKUP(P39,COPY!$A$1:$AC$1000,29,FALSE),5)="Terim",VLOOKUP(P39,COPY!$A$1:$AC$1000,29,FALSE),0),0)</f>
        <v>0</v>
      </c>
      <c r="D39" s="457"/>
      <c r="E39" s="457"/>
      <c r="F39" s="458">
        <f>IFERROR(IF(LEFT(VLOOKUP(P39,COPY!$A$1:$AC$1000,29,FALSE),5)="Terim",VLOOKUP(P39,COPY!$A$1:$AC$1000,26,FALSE),0),0)</f>
        <v>0</v>
      </c>
      <c r="G39" s="459" t="str">
        <f>IFERROR(VLOOKUP(P39,COPY!$A$1:$L$1000,4,FALSE),0)</f>
        <v/>
      </c>
      <c r="H39" s="457" t="str">
        <f>IFERROR(VLOOKUP(P39,COPY!$A$1:$L$1000,2,FALSE),0)</f>
        <v>Beli</v>
      </c>
      <c r="I39" s="510">
        <f>IFERROR(VLOOKUP(P39,COPY!$A$1:$L$1000,10,FALSE),0)</f>
        <v>1</v>
      </c>
      <c r="J39" s="467" t="str">
        <f>IFERROR(VLOOKUP(P39,COPY!$A$1:$L$1000,8,FALSE),0)</f>
        <v>Pcs</v>
      </c>
      <c r="K39" s="457" t="str">
        <f>IFERROR(VLOOKUP(P39,COPY!$A$1:$L$1000,7,FALSE),0)</f>
        <v>Garuk Besar</v>
      </c>
      <c r="L39" s="468" t="str">
        <f>IFERROR(VLOOKUP(P39,COPY!$A$1:$O$1000,15,FALSE),0)</f>
        <v/>
      </c>
      <c r="M39" s="468" t="str">
        <f>IFERROR(VLOOKUP(P39,COPY!$A$1:$L$1000,12,FALSE),0)</f>
        <v>C</v>
      </c>
      <c r="N39" s="469">
        <f>IF(H39="Jasa",VLOOKUP('BKU 1'!K39,'Rekap Gaji'!$D$12:$I$24,6,FALSE),(IF(H39="Beli",VLOOKUP(P39,COPY!$A$1:$L$1000,11,FALSE),IF(H39="Bayar Ongkos",VLOOKUP(K39,'Rekap Gaji'!$D$12:$I$24,6,FALSE),0))))</f>
        <v>25000</v>
      </c>
      <c r="P39" s="466" t="str">
        <f t="shared" si="1"/>
        <v>1.7</v>
      </c>
      <c r="Q39" s="253">
        <f t="shared" si="2"/>
        <v>7</v>
      </c>
      <c r="R39" s="253">
        <f t="shared" si="3"/>
        <v>7</v>
      </c>
      <c r="S39" s="449">
        <f t="shared" si="4"/>
        <v>7</v>
      </c>
      <c r="T39" s="253">
        <f t="shared" si="5"/>
        <v>-102</v>
      </c>
      <c r="U39" s="457" t="str">
        <f t="shared" si="0"/>
        <v xml:space="preserve"> </v>
      </c>
    </row>
    <row r="40" spans="2:24" ht="20.100000000000001" customHeight="1" x14ac:dyDescent="0.25">
      <c r="B40" s="456">
        <f>IF(LEFT(C40,16)="Terima Pajak PPN",VLOOKUP(P40,COPY!$A$1:$AC$1000,21,FALSE),IF(LEFT(C40,16)="Terima Pajak PPH",VLOOKUP(P40,COPY!$A$1:$AC$1000,21,FALSE),IF(LEFT(C40,13)="Terima PPh 23",VLOOKUP(P40,COPY!$A$1:$AC$1000,21,FALSE),0)))</f>
        <v>0</v>
      </c>
      <c r="C40" s="457">
        <f>IFERROR(IF(LEFT(VLOOKUP(P40,COPY!$A$1:$AC$1000,29,FALSE),5)="Terim",VLOOKUP(P40,COPY!$A$1:$AC$1000,29,FALSE),0),0)</f>
        <v>0</v>
      </c>
      <c r="D40" s="457"/>
      <c r="E40" s="457"/>
      <c r="F40" s="458">
        <f>IFERROR(IF(LEFT(VLOOKUP(P40,COPY!$A$1:$AC$1000,29,FALSE),5)="Terim",VLOOKUP(P40,COPY!$A$1:$AC$1000,26,FALSE),0),0)</f>
        <v>0</v>
      </c>
      <c r="G40" s="459" t="str">
        <f>IFERROR(VLOOKUP(P40,COPY!$A$1:$L$1000,4,FALSE),0)</f>
        <v/>
      </c>
      <c r="H40" s="457" t="str">
        <f>IFERROR(VLOOKUP(P40,COPY!$A$1:$L$1000,2,FALSE),0)</f>
        <v>Beli</v>
      </c>
      <c r="I40" s="510">
        <f>IFERROR(VLOOKUP(P40,COPY!$A$1:$L$1000,10,FALSE),0)</f>
        <v>1</v>
      </c>
      <c r="J40" s="467" t="str">
        <f>IFERROR(VLOOKUP(P40,COPY!$A$1:$L$1000,8,FALSE),0)</f>
        <v>Pcs</v>
      </c>
      <c r="K40" s="457" t="str">
        <f>IFERROR(VLOOKUP(P40,COPY!$A$1:$L$1000,7,FALSE),0)</f>
        <v>Meteran Biasa 7.5 M</v>
      </c>
      <c r="L40" s="468" t="str">
        <f>IFERROR(VLOOKUP(P40,COPY!$A$1:$O$1000,15,FALSE),0)</f>
        <v/>
      </c>
      <c r="M40" s="468" t="str">
        <f>IFERROR(VLOOKUP(P40,COPY!$A$1:$L$1000,12,FALSE),0)</f>
        <v>C</v>
      </c>
      <c r="N40" s="469">
        <f>IF(H40="Jasa",VLOOKUP('BKU 1'!K40,'Rekap Gaji'!$D$12:$I$24,6,FALSE),(IF(H40="Beli",VLOOKUP(P40,COPY!$A$1:$L$1000,11,FALSE),IF(H40="Bayar Ongkos",VLOOKUP(K40,'Rekap Gaji'!$D$12:$I$24,6,FALSE),0))))</f>
        <v>20000</v>
      </c>
      <c r="P40" s="466" t="str">
        <f t="shared" si="1"/>
        <v>1.8</v>
      </c>
      <c r="Q40" s="253">
        <f t="shared" si="2"/>
        <v>8</v>
      </c>
      <c r="R40" s="253">
        <f t="shared" si="3"/>
        <v>8</v>
      </c>
      <c r="S40" s="449">
        <f t="shared" si="4"/>
        <v>8</v>
      </c>
      <c r="T40" s="253">
        <f t="shared" si="5"/>
        <v>-101</v>
      </c>
      <c r="U40" s="457" t="str">
        <f t="shared" si="0"/>
        <v xml:space="preserve"> </v>
      </c>
    </row>
    <row r="41" spans="2:24" ht="20.100000000000001" customHeight="1" x14ac:dyDescent="0.25">
      <c r="B41" s="456">
        <f>IF(LEFT(C41,16)="Terima Pajak PPN",VLOOKUP(P41,COPY!$A$1:$AC$1000,21,FALSE),IF(LEFT(C41,16)="Terima Pajak PPH",VLOOKUP(P41,COPY!$A$1:$AC$1000,21,FALSE),IF(LEFT(C41,13)="Terima PPh 23",VLOOKUP(P41,COPY!$A$1:$AC$1000,21,FALSE),0)))</f>
        <v>0</v>
      </c>
      <c r="C41" s="457">
        <f>IFERROR(IF(LEFT(VLOOKUP(P41,COPY!$A$1:$AC$1000,29,FALSE),5)="Terim",VLOOKUP(P41,COPY!$A$1:$AC$1000,29,FALSE),0),0)</f>
        <v>0</v>
      </c>
      <c r="D41" s="457"/>
      <c r="E41" s="457"/>
      <c r="F41" s="458">
        <f>IFERROR(IF(LEFT(VLOOKUP(P41,COPY!$A$1:$AC$1000,29,FALSE),5)="Terim",VLOOKUP(P41,COPY!$A$1:$AC$1000,26,FALSE),0),0)</f>
        <v>0</v>
      </c>
      <c r="G41" s="459" t="str">
        <f>IFERROR(VLOOKUP(P41,COPY!$A$1:$L$1000,4,FALSE),0)</f>
        <v/>
      </c>
      <c r="H41" s="457" t="str">
        <f>IFERROR(VLOOKUP(P41,COPY!$A$1:$L$1000,2,FALSE),0)</f>
        <v>Beli</v>
      </c>
      <c r="I41" s="510">
        <f>IFERROR(VLOOKUP(P41,COPY!$A$1:$L$1000,10,FALSE),0)</f>
        <v>2</v>
      </c>
      <c r="J41" s="467" t="str">
        <f>IFERROR(VLOOKUP(P41,COPY!$A$1:$L$1000,8,FALSE),0)</f>
        <v>Pcs</v>
      </c>
      <c r="K41" s="457" t="str">
        <f>IFERROR(VLOOKUP(P41,COPY!$A$1:$L$1000,7,FALSE),0)</f>
        <v>Skrop Pasir Full Besi Crocodile</v>
      </c>
      <c r="L41" s="468" t="str">
        <f>IFERROR(VLOOKUP(P41,COPY!$A$1:$O$1000,15,FALSE),0)</f>
        <v/>
      </c>
      <c r="M41" s="468" t="str">
        <f>IFERROR(VLOOKUP(P41,COPY!$A$1:$L$1000,12,FALSE),0)</f>
        <v>C</v>
      </c>
      <c r="N41" s="469">
        <f>IF(H41="Jasa",VLOOKUP('BKU 1'!K41,'Rekap Gaji'!$D$12:$I$24,6,FALSE),(IF(H41="Beli",VLOOKUP(P41,COPY!$A$1:$L$1000,11,FALSE),IF(H41="Bayar Ongkos",VLOOKUP(K41,'Rekap Gaji'!$D$12:$I$24,6,FALSE),0))))</f>
        <v>110000</v>
      </c>
      <c r="O41" s="470"/>
      <c r="P41" s="466" t="str">
        <f t="shared" si="1"/>
        <v>1.9</v>
      </c>
      <c r="Q41" s="253">
        <f t="shared" si="2"/>
        <v>9</v>
      </c>
      <c r="R41" s="253">
        <f t="shared" si="3"/>
        <v>9</v>
      </c>
      <c r="S41" s="449">
        <f t="shared" si="4"/>
        <v>9</v>
      </c>
      <c r="T41" s="253">
        <f t="shared" si="5"/>
        <v>-100</v>
      </c>
      <c r="U41" s="457" t="str">
        <f t="shared" si="0"/>
        <v xml:space="preserve"> </v>
      </c>
    </row>
    <row r="42" spans="2:24" ht="20.100000000000001" customHeight="1" x14ac:dyDescent="0.25">
      <c r="B42" s="456">
        <f>IF(LEFT(C42,16)="Terima Pajak PPN",VLOOKUP(P42,COPY!$A$1:$AC$1000,21,FALSE),IF(LEFT(C42,16)="Terima Pajak PPH",VLOOKUP(P42,COPY!$A$1:$AC$1000,21,FALSE),IF(LEFT(C42,13)="Terima PPh 23",VLOOKUP(P42,COPY!$A$1:$AC$1000,21,FALSE),0)))</f>
        <v>0</v>
      </c>
      <c r="C42" s="457">
        <f>IFERROR(IF(LEFT(VLOOKUP(P42,COPY!$A$1:$AC$1000,29,FALSE),5)="Terim",VLOOKUP(P42,COPY!$A$1:$AC$1000,29,FALSE),0),0)</f>
        <v>0</v>
      </c>
      <c r="D42" s="457"/>
      <c r="E42" s="457"/>
      <c r="F42" s="458">
        <f>IFERROR(IF(LEFT(VLOOKUP(P42,COPY!$A$1:$AC$1000,29,FALSE),5)="Terim",VLOOKUP(P42,COPY!$A$1:$AC$1000,26,FALSE),0),0)</f>
        <v>0</v>
      </c>
      <c r="G42" s="459" t="str">
        <f>IFERROR(VLOOKUP(P42,COPY!$A$1:$L$1000,4,FALSE),0)</f>
        <v/>
      </c>
      <c r="H42" s="457" t="str">
        <f>IFERROR(VLOOKUP(P42,COPY!$A$1:$L$1000,2,FALSE),0)</f>
        <v>Beli</v>
      </c>
      <c r="I42" s="510">
        <f>IFERROR(VLOOKUP(P42,COPY!$A$1:$L$1000,10,FALSE),0)</f>
        <v>3</v>
      </c>
      <c r="J42" s="467" t="str">
        <f>IFERROR(VLOOKUP(P42,COPY!$A$1:$L$1000,8,FALSE),0)</f>
        <v>Pcs</v>
      </c>
      <c r="K42" s="457" t="str">
        <f>IFERROR(VLOOKUP(P42,COPY!$A$1:$L$1000,7,FALSE),0)</f>
        <v>Benang Tampar Kuning</v>
      </c>
      <c r="L42" s="468" t="str">
        <f>IFERROR(VLOOKUP(P42,COPY!$A$1:$O$1000,15,FALSE),0)</f>
        <v/>
      </c>
      <c r="M42" s="468" t="str">
        <f>IFERROR(VLOOKUP(P42,COPY!$A$1:$L$1000,12,FALSE),0)</f>
        <v>B</v>
      </c>
      <c r="N42" s="469">
        <f>IF(H42="Jasa",VLOOKUP('BKU 1'!K42,'Rekap Gaji'!$D$12:$I$24,6,FALSE),(IF(H42="Beli",VLOOKUP(P42,COPY!$A$1:$L$1000,11,FALSE),IF(H42="Bayar Ongkos",VLOOKUP(K42,'Rekap Gaji'!$D$12:$I$24,6,FALSE),0))))</f>
        <v>15000</v>
      </c>
      <c r="P42" s="466" t="str">
        <f t="shared" si="1"/>
        <v>1.10</v>
      </c>
      <c r="Q42" s="253">
        <f t="shared" si="2"/>
        <v>10</v>
      </c>
      <c r="R42" s="253">
        <f t="shared" si="3"/>
        <v>10</v>
      </c>
      <c r="S42" s="449">
        <f t="shared" si="4"/>
        <v>10</v>
      </c>
      <c r="T42" s="253">
        <f t="shared" si="5"/>
        <v>-99</v>
      </c>
      <c r="U42" s="457" t="str">
        <f t="shared" si="0"/>
        <v xml:space="preserve"> </v>
      </c>
    </row>
    <row r="43" spans="2:24" ht="20.100000000000001" customHeight="1" x14ac:dyDescent="0.25">
      <c r="B43" s="456">
        <f>IF(LEFT(C43,16)="Terima Pajak PPN",VLOOKUP(P43,COPY!$A$1:$AC$1000,21,FALSE),IF(LEFT(C43,16)="Terima Pajak PPH",VLOOKUP(P43,COPY!$A$1:$AC$1000,21,FALSE),IF(LEFT(C43,13)="Terima PPh 23",VLOOKUP(P43,COPY!$A$1:$AC$1000,21,FALSE),0)))</f>
        <v>0</v>
      </c>
      <c r="C43" s="457">
        <f>IFERROR(IF(LEFT(VLOOKUP(P43,COPY!$A$1:$AC$1000,29,FALSE),5)="Terim",VLOOKUP(P43,COPY!$A$1:$AC$1000,29,FALSE),0),0)</f>
        <v>0</v>
      </c>
      <c r="D43" s="457"/>
      <c r="E43" s="457"/>
      <c r="F43" s="458">
        <f>IFERROR(IF(LEFT(VLOOKUP(P43,COPY!$A$1:$AC$1000,29,FALSE),5)="Terim",VLOOKUP(P43,COPY!$A$1:$AC$1000,26,FALSE),0),0)</f>
        <v>0</v>
      </c>
      <c r="G43" s="459" t="str">
        <f>IFERROR(VLOOKUP(P43,COPY!$A$1:$L$1000,4,FALSE),0)</f>
        <v/>
      </c>
      <c r="H43" s="457" t="str">
        <f>IFERROR(VLOOKUP(P43,COPY!$A$1:$L$1000,2,FALSE),0)</f>
        <v>Beli</v>
      </c>
      <c r="I43" s="510">
        <f>IFERROR(VLOOKUP(P43,COPY!$A$1:$L$1000,10,FALSE),0)</f>
        <v>1</v>
      </c>
      <c r="J43" s="467" t="str">
        <f>IFERROR(VLOOKUP(P43,COPY!$A$1:$L$1000,8,FALSE),0)</f>
        <v>kg</v>
      </c>
      <c r="K43" s="457" t="str">
        <f>IFERROR(VLOOKUP(P43,COPY!$A$1:$L$1000,7,FALSE),0)</f>
        <v>Paku 1 1/2</v>
      </c>
      <c r="L43" s="468" t="str">
        <f>IFERROR(VLOOKUP(P43,COPY!$A$1:$O$1000,15,FALSE),0)</f>
        <v/>
      </c>
      <c r="M43" s="468" t="str">
        <f>IFERROR(VLOOKUP(P43,COPY!$A$1:$L$1000,12,FALSE),0)</f>
        <v>B</v>
      </c>
      <c r="N43" s="469">
        <f>IF(H43="Jasa",VLOOKUP('BKU 1'!K43,'Rekap Gaji'!$D$12:$I$24,6,FALSE),(IF(H43="Beli",VLOOKUP(P43,COPY!$A$1:$L$1000,11,FALSE),IF(H43="Bayar Ongkos",VLOOKUP(K43,'Rekap Gaji'!$D$12:$I$24,6,FALSE),0))))</f>
        <v>20000</v>
      </c>
      <c r="O43" s="470"/>
      <c r="P43" s="466" t="str">
        <f t="shared" si="1"/>
        <v>1.11</v>
      </c>
      <c r="Q43" s="253">
        <f t="shared" si="2"/>
        <v>11</v>
      </c>
      <c r="R43" s="253">
        <f t="shared" si="3"/>
        <v>11</v>
      </c>
      <c r="S43" s="449">
        <f t="shared" si="4"/>
        <v>11</v>
      </c>
      <c r="T43" s="253">
        <f t="shared" si="5"/>
        <v>-98</v>
      </c>
      <c r="U43" s="457" t="str">
        <f t="shared" si="0"/>
        <v xml:space="preserve"> </v>
      </c>
    </row>
    <row r="44" spans="2:24" ht="20.100000000000001" customHeight="1" x14ac:dyDescent="0.25">
      <c r="B44" s="456">
        <f>IF(LEFT(C44,16)="Terima Pajak PPN",VLOOKUP(P44,COPY!$A$1:$AC$1000,21,FALSE),IF(LEFT(C44,16)="Terima Pajak PPH",VLOOKUP(P44,COPY!$A$1:$AC$1000,21,FALSE),IF(LEFT(C44,13)="Terima PPh 23",VLOOKUP(P44,COPY!$A$1:$AC$1000,21,FALSE),0)))</f>
        <v>0</v>
      </c>
      <c r="C44" s="457">
        <f>IFERROR(IF(LEFT(VLOOKUP(P44,COPY!$A$1:$AC$1000,29,FALSE),5)="Terim",VLOOKUP(P44,COPY!$A$1:$AC$1000,29,FALSE),0),0)</f>
        <v>0</v>
      </c>
      <c r="D44" s="457"/>
      <c r="E44" s="457"/>
      <c r="F44" s="458">
        <f>IFERROR(IF(LEFT(VLOOKUP(P44,COPY!$A$1:$AC$1000,29,FALSE),5)="Terim",VLOOKUP(P44,COPY!$A$1:$AC$1000,26,FALSE),0),0)</f>
        <v>0</v>
      </c>
      <c r="G44" s="459" t="str">
        <f>IFERROR(VLOOKUP(P44,COPY!$A$1:$L$1000,4,FALSE),0)</f>
        <v/>
      </c>
      <c r="H44" s="457" t="str">
        <f>IFERROR(VLOOKUP(P44,COPY!$A$1:$L$1000,2,FALSE),0)</f>
        <v>Beli</v>
      </c>
      <c r="I44" s="510">
        <f>IFERROR(VLOOKUP(P44,COPY!$A$1:$L$1000,10,FALSE),0)</f>
        <v>2</v>
      </c>
      <c r="J44" s="467" t="str">
        <f>IFERROR(VLOOKUP(P44,COPY!$A$1:$L$1000,8,FALSE),0)</f>
        <v>kg</v>
      </c>
      <c r="K44" s="457" t="str">
        <f>IFERROR(VLOOKUP(P44,COPY!$A$1:$L$1000,7,FALSE),0)</f>
        <v>Paku 2</v>
      </c>
      <c r="L44" s="468" t="str">
        <f>IFERROR(VLOOKUP(P44,COPY!$A$1:$O$1000,15,FALSE),0)</f>
        <v/>
      </c>
      <c r="M44" s="468" t="str">
        <f>IFERROR(VLOOKUP(P44,COPY!$A$1:$L$1000,12,FALSE),0)</f>
        <v>B</v>
      </c>
      <c r="N44" s="469">
        <f>IF(H44="Jasa",VLOOKUP('BKU 1'!K44,'Rekap Gaji'!$D$12:$I$24,6,FALSE),(IF(H44="Beli",VLOOKUP(P44,COPY!$A$1:$L$1000,11,FALSE),IF(H44="Bayar Ongkos",VLOOKUP(K44,'Rekap Gaji'!$D$12:$I$24,6,FALSE),0))))</f>
        <v>36000</v>
      </c>
      <c r="O44" s="470"/>
      <c r="P44" s="466" t="str">
        <f t="shared" si="1"/>
        <v>1.12</v>
      </c>
      <c r="Q44" s="253">
        <f t="shared" si="2"/>
        <v>12</v>
      </c>
      <c r="R44" s="253">
        <f t="shared" si="3"/>
        <v>12</v>
      </c>
      <c r="S44" s="449">
        <f t="shared" si="4"/>
        <v>12</v>
      </c>
      <c r="T44" s="253">
        <f t="shared" si="5"/>
        <v>-97</v>
      </c>
      <c r="U44" s="457" t="str">
        <f t="shared" si="0"/>
        <v xml:space="preserve"> </v>
      </c>
    </row>
    <row r="45" spans="2:24" ht="20.100000000000001" customHeight="1" x14ac:dyDescent="0.25">
      <c r="B45" s="456">
        <f>IF(LEFT(C45,16)="Terima Pajak PPN",VLOOKUP(P45,COPY!$A$1:$AC$1000,21,FALSE),IF(LEFT(C45,16)="Terima Pajak PPH",VLOOKUP(P45,COPY!$A$1:$AC$1000,21,FALSE),IF(LEFT(C45,13)="Terima PPh 23",VLOOKUP(P45,COPY!$A$1:$AC$1000,21,FALSE),0)))</f>
        <v>0</v>
      </c>
      <c r="C45" s="457">
        <f>IFERROR(IF(LEFT(VLOOKUP(P45,COPY!$A$1:$AC$1000,29,FALSE),5)="Terim",VLOOKUP(P45,COPY!$A$1:$AC$1000,29,FALSE),0),0)</f>
        <v>0</v>
      </c>
      <c r="D45" s="457"/>
      <c r="E45" s="457"/>
      <c r="F45" s="458">
        <f>IFERROR(IF(LEFT(VLOOKUP(P45,COPY!$A$1:$AC$1000,29,FALSE),5)="Terim",VLOOKUP(P45,COPY!$A$1:$AC$1000,26,FALSE),0),0)</f>
        <v>0</v>
      </c>
      <c r="G45" s="459" t="str">
        <f>IFERROR(VLOOKUP(P45,COPY!$A$1:$L$1000,4,FALSE),0)</f>
        <v/>
      </c>
      <c r="H45" s="457" t="str">
        <f>IFERROR(VLOOKUP(P45,COPY!$A$1:$L$1000,2,FALSE),0)</f>
        <v>Beli</v>
      </c>
      <c r="I45" s="510">
        <f>IFERROR(VLOOKUP(P45,COPY!$A$1:$L$1000,10,FALSE),0)</f>
        <v>2</v>
      </c>
      <c r="J45" s="467" t="str">
        <f>IFERROR(VLOOKUP(P45,COPY!$A$1:$L$1000,8,FALSE),0)</f>
        <v>pak</v>
      </c>
      <c r="K45" s="457" t="str">
        <f>IFERROR(VLOOKUP(P45,COPY!$A$1:$L$1000,7,FALSE),0)</f>
        <v>Kayu Usuk 4 X 6 - 4M</v>
      </c>
      <c r="L45" s="468" t="str">
        <f>IFERROR(VLOOKUP(P45,COPY!$A$1:$O$1000,15,FALSE),0)</f>
        <v/>
      </c>
      <c r="M45" s="468" t="str">
        <f>IFERROR(VLOOKUP(P45,COPY!$A$1:$L$1000,12,FALSE),0)</f>
        <v>B</v>
      </c>
      <c r="N45" s="469">
        <f>IF(H45="Jasa",VLOOKUP('BKU 1'!K45,'Rekap Gaji'!$D$12:$I$24,6,FALSE),(IF(H45="Beli",VLOOKUP(P45,COPY!$A$1:$L$1000,11,FALSE),IF(H45="Bayar Ongkos",VLOOKUP(K45,'Rekap Gaji'!$D$12:$I$24,6,FALSE),0))))</f>
        <v>400000</v>
      </c>
      <c r="O45" s="470"/>
      <c r="P45" s="466" t="str">
        <f t="shared" si="1"/>
        <v>1.13</v>
      </c>
      <c r="Q45" s="253">
        <f t="shared" si="2"/>
        <v>13</v>
      </c>
      <c r="R45" s="253">
        <f t="shared" si="3"/>
        <v>13</v>
      </c>
      <c r="S45" s="449">
        <f t="shared" si="4"/>
        <v>13</v>
      </c>
      <c r="T45" s="253">
        <f t="shared" si="5"/>
        <v>-96</v>
      </c>
      <c r="U45" s="457" t="str">
        <f t="shared" si="0"/>
        <v xml:space="preserve"> </v>
      </c>
    </row>
    <row r="46" spans="2:24" ht="20.100000000000001" customHeight="1" x14ac:dyDescent="0.25">
      <c r="B46" s="456">
        <f>IF(LEFT(C46,16)="Terima Pajak PPN",VLOOKUP(P46,COPY!$A$1:$AC$1000,21,FALSE),IF(LEFT(C46,16)="Terima Pajak PPH",VLOOKUP(P46,COPY!$A$1:$AC$1000,21,FALSE),IF(LEFT(C46,13)="Terima PPh 23",VLOOKUP(P46,COPY!$A$1:$AC$1000,21,FALSE),0)))</f>
        <v>0</v>
      </c>
      <c r="C46" s="457">
        <f>IFERROR(IF(LEFT(VLOOKUP(P46,COPY!$A$1:$AC$1000,29,FALSE),5)="Terim",VLOOKUP(P46,COPY!$A$1:$AC$1000,29,FALSE),0),0)</f>
        <v>0</v>
      </c>
      <c r="D46" s="457"/>
      <c r="E46" s="457"/>
      <c r="F46" s="458">
        <f>IFERROR(IF(LEFT(VLOOKUP(P46,COPY!$A$1:$AC$1000,29,FALSE),5)="Terim",VLOOKUP(P46,COPY!$A$1:$AC$1000,26,FALSE),0),0)</f>
        <v>0</v>
      </c>
      <c r="G46" s="459" t="str">
        <f>IFERROR(VLOOKUP(P46,COPY!$A$1:$L$1000,4,FALSE),0)</f>
        <v/>
      </c>
      <c r="H46" s="457" t="str">
        <f>IFERROR(VLOOKUP(P46,COPY!$A$1:$L$1000,2,FALSE),0)</f>
        <v>Beli</v>
      </c>
      <c r="I46" s="510">
        <f>IFERROR(VLOOKUP(P46,COPY!$A$1:$L$1000,10,FALSE),0)</f>
        <v>2</v>
      </c>
      <c r="J46" s="467" t="str">
        <f>IFERROR(VLOOKUP(P46,COPY!$A$1:$L$1000,8,FALSE),0)</f>
        <v>pak</v>
      </c>
      <c r="K46" s="457" t="str">
        <f>IFERROR(VLOOKUP(P46,COPY!$A$1:$L$1000,7,FALSE),0)</f>
        <v>Kayu Usuk 4X6 Kembang Super</v>
      </c>
      <c r="L46" s="468" t="str">
        <f>IFERROR(VLOOKUP(P46,COPY!$A$1:$O$1000,15,FALSE),0)</f>
        <v/>
      </c>
      <c r="M46" s="468" t="str">
        <f>IFERROR(VLOOKUP(P46,COPY!$A$1:$L$1000,12,FALSE),0)</f>
        <v>B</v>
      </c>
      <c r="N46" s="469">
        <f>IF(H46="Jasa",VLOOKUP('BKU 1'!K46,'Rekap Gaji'!$D$12:$I$24,6,FALSE),(IF(H46="Beli",VLOOKUP(P46,COPY!$A$1:$L$1000,11,FALSE),IF(H46="Bayar Ongkos",VLOOKUP(K46,'Rekap Gaji'!$D$12:$I$24,6,FALSE),0))))</f>
        <v>600000</v>
      </c>
      <c r="P46" s="466" t="str">
        <f t="shared" si="1"/>
        <v>1.14</v>
      </c>
      <c r="Q46" s="253">
        <f t="shared" si="2"/>
        <v>14</v>
      </c>
      <c r="R46" s="253">
        <f t="shared" si="3"/>
        <v>14</v>
      </c>
      <c r="S46" s="449">
        <f t="shared" si="4"/>
        <v>14</v>
      </c>
      <c r="T46" s="253">
        <f t="shared" si="5"/>
        <v>-95</v>
      </c>
      <c r="U46" s="457" t="str">
        <f t="shared" si="0"/>
        <v xml:space="preserve"> </v>
      </c>
    </row>
    <row r="47" spans="2:24" ht="20.100000000000001" customHeight="1" x14ac:dyDescent="0.25">
      <c r="B47" s="456">
        <f>IF(LEFT(C47,16)="Terima Pajak PPN",VLOOKUP(P47,COPY!$A$1:$AC$1000,21,FALSE),IF(LEFT(C47,16)="Terima Pajak PPH",VLOOKUP(P47,COPY!$A$1:$AC$1000,21,FALSE),IF(LEFT(C47,13)="Terima PPh 23",VLOOKUP(P47,COPY!$A$1:$AC$1000,21,FALSE),0)))</f>
        <v>0</v>
      </c>
      <c r="C47" s="457">
        <f>IFERROR(IF(LEFT(VLOOKUP(P47,COPY!$A$1:$AC$1000,29,FALSE),5)="Terim",VLOOKUP(P47,COPY!$A$1:$AC$1000,29,FALSE),0),0)</f>
        <v>0</v>
      </c>
      <c r="D47" s="457"/>
      <c r="E47" s="457"/>
      <c r="F47" s="458">
        <f>IFERROR(IF(LEFT(VLOOKUP(P47,COPY!$A$1:$AC$1000,29,FALSE),5)="Terim",VLOOKUP(P47,COPY!$A$1:$AC$1000,26,FALSE),0),0)</f>
        <v>0</v>
      </c>
      <c r="G47" s="459">
        <f>IFERROR(VLOOKUP(P47,COPY!$A$1:$L$1000,4,FALSE),0)</f>
        <v>45902</v>
      </c>
      <c r="H47" s="457" t="str">
        <f>IFERROR(VLOOKUP(P47,COPY!$A$1:$L$1000,2,FALSE),0)</f>
        <v>Beli</v>
      </c>
      <c r="I47" s="510">
        <f>IFERROR(VLOOKUP(P47,COPY!$A$1:$L$1000,10,FALSE),0)</f>
        <v>1</v>
      </c>
      <c r="J47" s="467" t="str">
        <f>IFERROR(VLOOKUP(P47,COPY!$A$1:$L$1000,8,FALSE),0)</f>
        <v>Rim</v>
      </c>
      <c r="K47" s="457" t="str">
        <f>IFERROR(VLOOKUP(P47,COPY!$A$1:$L$1000,7,FALSE),0)</f>
        <v>Kertas Sidu A4 70 grm</v>
      </c>
      <c r="L47" s="468" t="str">
        <f>IFERROR(VLOOKUP(P47,COPY!$A$1:$O$1000,15,FALSE),0)</f>
        <v>BKK.3</v>
      </c>
      <c r="M47" s="468" t="str">
        <f>IFERROR(VLOOKUP(P47,COPY!$A$1:$L$1000,12,FALSE),0)</f>
        <v>D</v>
      </c>
      <c r="N47" s="469">
        <f>IF(H47="Jasa",VLOOKUP('BKU 1'!K47,'Rekap Gaji'!$D$12:$I$24,6,FALSE),(IF(H47="Beli",VLOOKUP(P47,COPY!$A$1:$L$1000,11,FALSE),IF(H47="Bayar Ongkos",VLOOKUP(K47,'Rekap Gaji'!$D$12:$I$24,6,FALSE),0))))</f>
        <v>50000</v>
      </c>
      <c r="O47" s="470"/>
      <c r="P47" s="466" t="str">
        <f t="shared" si="1"/>
        <v>1.15</v>
      </c>
      <c r="Q47" s="253">
        <f t="shared" si="2"/>
        <v>15</v>
      </c>
      <c r="R47" s="253">
        <f t="shared" si="3"/>
        <v>15</v>
      </c>
      <c r="S47" s="449">
        <f t="shared" si="4"/>
        <v>15</v>
      </c>
      <c r="T47" s="253">
        <f t="shared" si="5"/>
        <v>-94</v>
      </c>
      <c r="U47" s="457" t="str">
        <f t="shared" si="0"/>
        <v xml:space="preserve"> </v>
      </c>
    </row>
    <row r="48" spans="2:24" ht="20.100000000000001" customHeight="1" x14ac:dyDescent="0.25">
      <c r="B48" s="456">
        <f>IF(LEFT(C48,16)="Terima Pajak PPN",VLOOKUP(P48,COPY!$A$1:$AC$1000,21,FALSE),IF(LEFT(C48,16)="Terima Pajak PPH",VLOOKUP(P48,COPY!$A$1:$AC$1000,21,FALSE),IF(LEFT(C48,13)="Terima PPh 23",VLOOKUP(P48,COPY!$A$1:$AC$1000,21,FALSE),0)))</f>
        <v>0</v>
      </c>
      <c r="C48" s="457">
        <f>IFERROR(IF(LEFT(VLOOKUP(P48,COPY!$A$1:$AC$1000,29,FALSE),5)="Terim",VLOOKUP(P48,COPY!$A$1:$AC$1000,29,FALSE),0),0)</f>
        <v>0</v>
      </c>
      <c r="D48" s="457"/>
      <c r="E48" s="457"/>
      <c r="F48" s="458">
        <f>IFERROR(IF(LEFT(VLOOKUP(P48,COPY!$A$1:$AC$1000,29,FALSE),5)="Terim",VLOOKUP(P48,COPY!$A$1:$AC$1000,26,FALSE),0),0)</f>
        <v>0</v>
      </c>
      <c r="G48" s="459" t="str">
        <f>IFERROR(VLOOKUP(P48,COPY!$A$1:$L$1000,4,FALSE),0)</f>
        <v/>
      </c>
      <c r="H48" s="457" t="str">
        <f>IFERROR(VLOOKUP(P48,COPY!$A$1:$L$1000,2,FALSE),0)</f>
        <v>Beli</v>
      </c>
      <c r="I48" s="510">
        <f>IFERROR(VLOOKUP(P48,COPY!$A$1:$L$1000,10,FALSE),0)</f>
        <v>1</v>
      </c>
      <c r="J48" s="467" t="str">
        <f>IFERROR(VLOOKUP(P48,COPY!$A$1:$L$1000,8,FALSE),0)</f>
        <v>Rim</v>
      </c>
      <c r="K48" s="457" t="str">
        <f>IFERROR(VLOOKUP(P48,COPY!$A$1:$L$1000,7,FALSE),0)</f>
        <v>Kertas Sidu F4 70 grm</v>
      </c>
      <c r="L48" s="468" t="str">
        <f>IFERROR(VLOOKUP(P48,COPY!$A$1:$O$1000,15,FALSE),0)</f>
        <v/>
      </c>
      <c r="M48" s="468" t="str">
        <f>IFERROR(VLOOKUP(P48,COPY!$A$1:$L$1000,12,FALSE),0)</f>
        <v>D</v>
      </c>
      <c r="N48" s="469">
        <f>IF(H48="Jasa",VLOOKUP('BKU 1'!K48,'Rekap Gaji'!$D$12:$I$24,6,FALSE),(IF(H48="Beli",VLOOKUP(P48,COPY!$A$1:$L$1000,11,FALSE),IF(H48="Bayar Ongkos",VLOOKUP(K48,'Rekap Gaji'!$D$12:$I$24,6,FALSE),0))))</f>
        <v>58000</v>
      </c>
      <c r="P48" s="466" t="str">
        <f t="shared" si="1"/>
        <v>1.16</v>
      </c>
      <c r="Q48" s="253">
        <f t="shared" si="2"/>
        <v>16</v>
      </c>
      <c r="R48" s="253">
        <f t="shared" si="3"/>
        <v>16</v>
      </c>
      <c r="S48" s="449">
        <f t="shared" si="4"/>
        <v>16</v>
      </c>
      <c r="T48" s="253">
        <f t="shared" si="5"/>
        <v>-93</v>
      </c>
      <c r="U48" s="457" t="str">
        <f t="shared" si="0"/>
        <v xml:space="preserve"> </v>
      </c>
    </row>
    <row r="49" spans="2:21" ht="20.100000000000001" customHeight="1" x14ac:dyDescent="0.25">
      <c r="B49" s="456">
        <f>IF(LEFT(C49,16)="Terima Pajak PPN",VLOOKUP(P49,COPY!$A$1:$AC$1000,21,FALSE),IF(LEFT(C49,16)="Terima Pajak PPH",VLOOKUP(P49,COPY!$A$1:$AC$1000,21,FALSE),IF(LEFT(C49,13)="Terima PPh 23",VLOOKUP(P49,COPY!$A$1:$AC$1000,21,FALSE),0)))</f>
        <v>0</v>
      </c>
      <c r="C49" s="457">
        <f>IFERROR(IF(LEFT(VLOOKUP(P49,COPY!$A$1:$AC$1000,29,FALSE),5)="Terim",VLOOKUP(P49,COPY!$A$1:$AC$1000,29,FALSE),0),0)</f>
        <v>0</v>
      </c>
      <c r="D49" s="457"/>
      <c r="E49" s="457"/>
      <c r="F49" s="458">
        <f>IFERROR(IF(LEFT(VLOOKUP(P49,COPY!$A$1:$AC$1000,29,FALSE),5)="Terim",VLOOKUP(P49,COPY!$A$1:$AC$1000,26,FALSE),0),0)</f>
        <v>0</v>
      </c>
      <c r="G49" s="459" t="str">
        <f>IFERROR(VLOOKUP(P49,COPY!$A$1:$L$1000,4,FALSE),0)</f>
        <v/>
      </c>
      <c r="H49" s="457" t="str">
        <f>IFERROR(VLOOKUP(P49,COPY!$A$1:$L$1000,2,FALSE),0)</f>
        <v>Beli</v>
      </c>
      <c r="I49" s="510">
        <f>IFERROR(VLOOKUP(P49,COPY!$A$1:$L$1000,10,FALSE),0)</f>
        <v>2</v>
      </c>
      <c r="J49" s="467" t="str">
        <f>IFERROR(VLOOKUP(P49,COPY!$A$1:$L$1000,8,FALSE),0)</f>
        <v>Pcs</v>
      </c>
      <c r="K49" s="457" t="str">
        <f>IFERROR(VLOOKUP(P49,COPY!$A$1:$L$1000,7,FALSE),0)</f>
        <v>Tinta Printer</v>
      </c>
      <c r="L49" s="468" t="str">
        <f>IFERROR(VLOOKUP(P49,COPY!$A$1:$O$1000,15,FALSE),0)</f>
        <v/>
      </c>
      <c r="M49" s="468" t="str">
        <f>IFERROR(VLOOKUP(P49,COPY!$A$1:$L$1000,12,FALSE),0)</f>
        <v>D</v>
      </c>
      <c r="N49" s="469">
        <f>IF(H49="Jasa",VLOOKUP('BKU 1'!K49,'Rekap Gaji'!$D$12:$I$24,6,FALSE),(IF(H49="Beli",VLOOKUP(P49,COPY!$A$1:$L$1000,11,FALSE),IF(H49="Bayar Ongkos",VLOOKUP(K49,'Rekap Gaji'!$D$12:$I$24,6,FALSE),0))))</f>
        <v>200000</v>
      </c>
      <c r="P49" s="466" t="str">
        <f t="shared" si="1"/>
        <v>1.17</v>
      </c>
      <c r="Q49" s="253">
        <f t="shared" si="2"/>
        <v>17</v>
      </c>
      <c r="R49" s="253">
        <f t="shared" si="3"/>
        <v>17</v>
      </c>
      <c r="S49" s="449">
        <f t="shared" si="4"/>
        <v>17</v>
      </c>
      <c r="T49" s="253">
        <f t="shared" si="5"/>
        <v>-92</v>
      </c>
      <c r="U49" s="457" t="str">
        <f t="shared" si="0"/>
        <v xml:space="preserve"> </v>
      </c>
    </row>
    <row r="50" spans="2:21" ht="20.100000000000001" customHeight="1" x14ac:dyDescent="0.25">
      <c r="B50" s="456">
        <f>IF(LEFT(C50,16)="Terima Pajak PPN",VLOOKUP(P50,COPY!$A$1:$AC$1000,21,FALSE),IF(LEFT(C50,16)="Terima Pajak PPH",VLOOKUP(P50,COPY!$A$1:$AC$1000,21,FALSE),IF(LEFT(C50,13)="Terima PPh 23",VLOOKUP(P50,COPY!$A$1:$AC$1000,21,FALSE),0)))</f>
        <v>0</v>
      </c>
      <c r="C50" s="457">
        <f>IFERROR(IF(LEFT(VLOOKUP(P50,COPY!$A$1:$AC$1000,29,FALSE),5)="Terim",VLOOKUP(P50,COPY!$A$1:$AC$1000,29,FALSE),0),0)</f>
        <v>0</v>
      </c>
      <c r="D50" s="457"/>
      <c r="E50" s="457"/>
      <c r="F50" s="458">
        <f>IFERROR(IF(LEFT(VLOOKUP(P50,COPY!$A$1:$AC$1000,29,FALSE),5)="Terim",VLOOKUP(P50,COPY!$A$1:$AC$1000,26,FALSE),0),0)</f>
        <v>0</v>
      </c>
      <c r="G50" s="459" t="str">
        <f>IFERROR(VLOOKUP(P50,COPY!$A$1:$L$1000,4,FALSE),0)</f>
        <v/>
      </c>
      <c r="H50" s="457" t="str">
        <f>IFERROR(VLOOKUP(P50,COPY!$A$1:$L$1000,2,FALSE),0)</f>
        <v>Beli</v>
      </c>
      <c r="I50" s="510">
        <f>IFERROR(VLOOKUP(P50,COPY!$A$1:$L$1000,10,FALSE),0)</f>
        <v>2</v>
      </c>
      <c r="J50" s="467" t="str">
        <f>IFERROR(VLOOKUP(P50,COPY!$A$1:$L$1000,8,FALSE),0)</f>
        <v>Pcs</v>
      </c>
      <c r="K50" s="457" t="str">
        <f>IFERROR(VLOOKUP(P50,COPY!$A$1:$L$1000,7,FALSE),0)</f>
        <v>Isolasi Bening</v>
      </c>
      <c r="L50" s="468" t="str">
        <f>IFERROR(VLOOKUP(P50,COPY!$A$1:$O$1000,15,FALSE),0)</f>
        <v/>
      </c>
      <c r="M50" s="468" t="str">
        <f>IFERROR(VLOOKUP(P50,COPY!$A$1:$L$1000,12,FALSE),0)</f>
        <v>D</v>
      </c>
      <c r="N50" s="469">
        <f>IF(H50="Jasa",VLOOKUP('BKU 1'!K50,'Rekap Gaji'!$D$12:$I$24,6,FALSE),(IF(H50="Beli",VLOOKUP(P50,COPY!$A$1:$L$1000,11,FALSE),IF(H50="Bayar Ongkos",VLOOKUP(K50,'Rekap Gaji'!$D$12:$I$24,6,FALSE),0))))</f>
        <v>16000</v>
      </c>
      <c r="P50" s="466" t="str">
        <f t="shared" si="1"/>
        <v>1.18</v>
      </c>
      <c r="Q50" s="253">
        <f t="shared" si="2"/>
        <v>18</v>
      </c>
      <c r="R50" s="253">
        <f t="shared" si="3"/>
        <v>18</v>
      </c>
      <c r="S50" s="449">
        <f t="shared" si="4"/>
        <v>18</v>
      </c>
      <c r="T50" s="253">
        <f t="shared" si="5"/>
        <v>-91</v>
      </c>
      <c r="U50" s="457" t="str">
        <f t="shared" si="0"/>
        <v xml:space="preserve"> </v>
      </c>
    </row>
    <row r="51" spans="2:21" ht="20.100000000000001" customHeight="1" x14ac:dyDescent="0.25">
      <c r="B51" s="456">
        <f>IF(LEFT(C51,16)="Terima Pajak PPN",VLOOKUP(P51,COPY!$A$1:$AC$1000,21,FALSE),IF(LEFT(C51,16)="Terima Pajak PPH",VLOOKUP(P51,COPY!$A$1:$AC$1000,21,FALSE),IF(LEFT(C51,13)="Terima PPh 23",VLOOKUP(P51,COPY!$A$1:$AC$1000,21,FALSE),0)))</f>
        <v>0</v>
      </c>
      <c r="C51" s="457">
        <f>IFERROR(IF(LEFT(VLOOKUP(P51,COPY!$A$1:$AC$1000,29,FALSE),5)="Terim",VLOOKUP(P51,COPY!$A$1:$AC$1000,29,FALSE),0),0)</f>
        <v>0</v>
      </c>
      <c r="D51" s="457"/>
      <c r="E51" s="457"/>
      <c r="F51" s="458">
        <f>IFERROR(IF(LEFT(VLOOKUP(P51,COPY!$A$1:$AC$1000,29,FALSE),5)="Terim",VLOOKUP(P51,COPY!$A$1:$AC$1000,26,FALSE),0),0)</f>
        <v>0</v>
      </c>
      <c r="G51" s="459" t="str">
        <f>IFERROR(VLOOKUP(P51,COPY!$A$1:$L$1000,4,FALSE),0)</f>
        <v/>
      </c>
      <c r="H51" s="457" t="str">
        <f>IFERROR(VLOOKUP(P51,COPY!$A$1:$L$1000,2,FALSE),0)</f>
        <v>Beli</v>
      </c>
      <c r="I51" s="510">
        <f>IFERROR(VLOOKUP(P51,COPY!$A$1:$L$1000,10,FALSE),0)</f>
        <v>2</v>
      </c>
      <c r="J51" s="467" t="str">
        <f>IFERROR(VLOOKUP(P51,COPY!$A$1:$L$1000,8,FALSE),0)</f>
        <v>Pcs</v>
      </c>
      <c r="K51" s="457" t="str">
        <f>IFERROR(VLOOKUP(P51,COPY!$A$1:$L$1000,7,FALSE),0)</f>
        <v>Lakban Tanggung</v>
      </c>
      <c r="L51" s="468" t="str">
        <f>IFERROR(VLOOKUP(P51,COPY!$A$1:$O$1000,15,FALSE),0)</f>
        <v/>
      </c>
      <c r="M51" s="468" t="str">
        <f>IFERROR(VLOOKUP(P51,COPY!$A$1:$L$1000,12,FALSE),0)</f>
        <v>D</v>
      </c>
      <c r="N51" s="469">
        <f>IF(H51="Jasa",VLOOKUP('BKU 1'!K51,'Rekap Gaji'!$D$12:$I$24,6,FALSE),(IF(H51="Beli",VLOOKUP(P51,COPY!$A$1:$L$1000,11,FALSE),IF(H51="Bayar Ongkos",VLOOKUP(K51,'Rekap Gaji'!$D$12:$I$24,6,FALSE),0))))</f>
        <v>28000</v>
      </c>
      <c r="P51" s="466" t="str">
        <f t="shared" si="1"/>
        <v>1.19</v>
      </c>
      <c r="Q51" s="253">
        <f t="shared" si="2"/>
        <v>19</v>
      </c>
      <c r="R51" s="253">
        <f t="shared" si="3"/>
        <v>19</v>
      </c>
      <c r="S51" s="449">
        <f t="shared" si="4"/>
        <v>19</v>
      </c>
      <c r="T51" s="253">
        <f t="shared" si="5"/>
        <v>-90</v>
      </c>
      <c r="U51" s="457" t="str">
        <f t="shared" si="0"/>
        <v xml:space="preserve"> </v>
      </c>
    </row>
    <row r="52" spans="2:21" ht="20.100000000000001" customHeight="1" x14ac:dyDescent="0.25">
      <c r="B52" s="456">
        <f>IF(LEFT(C52,16)="Terima Pajak PPN",VLOOKUP(P52,COPY!$A$1:$AC$1000,21,FALSE),IF(LEFT(C52,16)="Terima Pajak PPH",VLOOKUP(P52,COPY!$A$1:$AC$1000,21,FALSE),IF(LEFT(C52,13)="Terima PPh 23",VLOOKUP(P52,COPY!$A$1:$AC$1000,21,FALSE),0)))</f>
        <v>0</v>
      </c>
      <c r="C52" s="457">
        <f>IFERROR(IF(LEFT(VLOOKUP(P52,COPY!$A$1:$AC$1000,29,FALSE),5)="Terim",VLOOKUP(P52,COPY!$A$1:$AC$1000,29,FALSE),0),0)</f>
        <v>0</v>
      </c>
      <c r="D52" s="457"/>
      <c r="E52" s="457"/>
      <c r="F52" s="458">
        <f>IFERROR(IF(LEFT(VLOOKUP(P52,COPY!$A$1:$AC$1000,29,FALSE),5)="Terim",VLOOKUP(P52,COPY!$A$1:$AC$1000,26,FALSE),0),0)</f>
        <v>0</v>
      </c>
      <c r="G52" s="459" t="str">
        <f>IFERROR(VLOOKUP(P52,COPY!$A$1:$L$1000,4,FALSE),0)</f>
        <v/>
      </c>
      <c r="H52" s="457" t="str">
        <f>IFERROR(VLOOKUP(P52,COPY!$A$1:$L$1000,2,FALSE),0)</f>
        <v>Beli</v>
      </c>
      <c r="I52" s="510">
        <f>IFERROR(VLOOKUP(P52,COPY!$A$1:$L$1000,10,FALSE),0)</f>
        <v>2</v>
      </c>
      <c r="J52" s="467" t="str">
        <f>IFERROR(VLOOKUP(P52,COPY!$A$1:$L$1000,8,FALSE),0)</f>
        <v>Pcs</v>
      </c>
      <c r="K52" s="457" t="str">
        <f>IFERROR(VLOOKUP(P52,COPY!$A$1:$L$1000,7,FALSE),0)</f>
        <v>Tinta stempel</v>
      </c>
      <c r="L52" s="468" t="str">
        <f>IFERROR(VLOOKUP(P52,COPY!$A$1:$O$1000,15,FALSE),0)</f>
        <v/>
      </c>
      <c r="M52" s="468" t="str">
        <f>IFERROR(VLOOKUP(P52,COPY!$A$1:$L$1000,12,FALSE),0)</f>
        <v>D</v>
      </c>
      <c r="N52" s="469">
        <f>IF(H52="Jasa",VLOOKUP('BKU 1'!K52,'Rekap Gaji'!$D$12:$I$24,6,FALSE),(IF(H52="Beli",VLOOKUP(P52,COPY!$A$1:$L$1000,11,FALSE),IF(H52="Bayar Ongkos",VLOOKUP(K52,'Rekap Gaji'!$D$12:$I$24,6,FALSE),0))))</f>
        <v>36000</v>
      </c>
      <c r="O52" s="470"/>
      <c r="P52" s="466" t="str">
        <f t="shared" si="1"/>
        <v>1.20</v>
      </c>
      <c r="Q52" s="253">
        <f t="shared" si="2"/>
        <v>20</v>
      </c>
      <c r="R52" s="253">
        <f t="shared" si="3"/>
        <v>20</v>
      </c>
      <c r="S52" s="449">
        <f t="shared" si="4"/>
        <v>20</v>
      </c>
      <c r="T52" s="253">
        <f t="shared" si="5"/>
        <v>-89</v>
      </c>
      <c r="U52" s="457" t="str">
        <f t="shared" si="0"/>
        <v xml:space="preserve"> </v>
      </c>
    </row>
    <row r="53" spans="2:21" ht="20.100000000000001" customHeight="1" x14ac:dyDescent="0.25">
      <c r="B53" s="456">
        <f>IF(LEFT(C53,16)="Terima Pajak PPN",VLOOKUP(P53,COPY!$A$1:$AC$1000,21,FALSE),IF(LEFT(C53,16)="Terima Pajak PPH",VLOOKUP(P53,COPY!$A$1:$AC$1000,21,FALSE),IF(LEFT(C53,13)="Terima PPh 23",VLOOKUP(P53,COPY!$A$1:$AC$1000,21,FALSE),0)))</f>
        <v>0</v>
      </c>
      <c r="C53" s="457">
        <f>IFERROR(IF(LEFT(VLOOKUP(P53,COPY!$A$1:$AC$1000,29,FALSE),5)="Terim",VLOOKUP(P53,COPY!$A$1:$AC$1000,29,FALSE),0),0)</f>
        <v>0</v>
      </c>
      <c r="D53" s="457"/>
      <c r="E53" s="457"/>
      <c r="F53" s="458">
        <f>IFERROR(IF(LEFT(VLOOKUP(P53,COPY!$A$1:$AC$1000,29,FALSE),5)="Terim",VLOOKUP(P53,COPY!$A$1:$AC$1000,26,FALSE),0),0)</f>
        <v>0</v>
      </c>
      <c r="G53" s="459" t="str">
        <f>IFERROR(VLOOKUP(P53,COPY!$A$1:$L$1000,4,FALSE),0)</f>
        <v/>
      </c>
      <c r="H53" s="457" t="str">
        <f>IFERROR(VLOOKUP(P53,COPY!$A$1:$L$1000,2,FALSE),0)</f>
        <v>Beli</v>
      </c>
      <c r="I53" s="510">
        <f>IFERROR(VLOOKUP(P53,COPY!$A$1:$L$1000,10,FALSE),0)</f>
        <v>2</v>
      </c>
      <c r="J53" s="467" t="str">
        <f>IFERROR(VLOOKUP(P53,COPY!$A$1:$L$1000,8,FALSE),0)</f>
        <v>Pcs</v>
      </c>
      <c r="K53" s="457" t="str">
        <f>IFERROR(VLOOKUP(P53,COPY!$A$1:$L$1000,7,FALSE),0)</f>
        <v>Double tipe</v>
      </c>
      <c r="L53" s="468" t="str">
        <f>IFERROR(VLOOKUP(P53,COPY!$A$1:$O$1000,15,FALSE),0)</f>
        <v/>
      </c>
      <c r="M53" s="468" t="str">
        <f>IFERROR(VLOOKUP(P53,COPY!$A$1:$L$1000,12,FALSE),0)</f>
        <v>D</v>
      </c>
      <c r="N53" s="469">
        <f>IF(H53="Jasa",VLOOKUP('BKU 1'!K53,'Rekap Gaji'!$D$12:$I$24,6,FALSE),(IF(H53="Beli",VLOOKUP(P53,COPY!$A$1:$L$1000,11,FALSE),IF(H53="Bayar Ongkos",VLOOKUP(K53,'Rekap Gaji'!$D$12:$I$24,6,FALSE),0))))</f>
        <v>8000</v>
      </c>
      <c r="P53" s="466" t="str">
        <f t="shared" si="1"/>
        <v>1.21</v>
      </c>
      <c r="Q53" s="253">
        <f t="shared" si="2"/>
        <v>21</v>
      </c>
      <c r="R53" s="253">
        <f t="shared" si="3"/>
        <v>21</v>
      </c>
      <c r="S53" s="449">
        <f t="shared" si="4"/>
        <v>21</v>
      </c>
      <c r="T53" s="253">
        <f t="shared" si="5"/>
        <v>-88</v>
      </c>
      <c r="U53" s="457" t="str">
        <f t="shared" si="0"/>
        <v xml:space="preserve"> </v>
      </c>
    </row>
    <row r="54" spans="2:21" ht="20.100000000000001" customHeight="1" x14ac:dyDescent="0.25">
      <c r="B54" s="456">
        <f>IF(LEFT(C54,16)="Terima Pajak PPN",VLOOKUP(P54,COPY!$A$1:$AC$1000,21,FALSE),IF(LEFT(C54,16)="Terima Pajak PPH",VLOOKUP(P54,COPY!$A$1:$AC$1000,21,FALSE),IF(LEFT(C54,13)="Terima PPh 23",VLOOKUP(P54,COPY!$A$1:$AC$1000,21,FALSE),0)))</f>
        <v>0</v>
      </c>
      <c r="C54" s="457">
        <f>IFERROR(IF(LEFT(VLOOKUP(P54,COPY!$A$1:$AC$1000,29,FALSE),5)="Terim",VLOOKUP(P54,COPY!$A$1:$AC$1000,29,FALSE),0),0)</f>
        <v>0</v>
      </c>
      <c r="D54" s="457"/>
      <c r="E54" s="457"/>
      <c r="F54" s="458">
        <f>IFERROR(IF(LEFT(VLOOKUP(P54,COPY!$A$1:$AC$1000,29,FALSE),5)="Terim",VLOOKUP(P54,COPY!$A$1:$AC$1000,26,FALSE),0),0)</f>
        <v>0</v>
      </c>
      <c r="G54" s="459" t="str">
        <f>IFERROR(VLOOKUP(P54,COPY!$A$1:$L$1000,4,FALSE),0)</f>
        <v/>
      </c>
      <c r="H54" s="457" t="str">
        <f>IFERROR(VLOOKUP(P54,COPY!$A$1:$L$1000,2,FALSE),0)</f>
        <v>Beli</v>
      </c>
      <c r="I54" s="510">
        <f>IFERROR(VLOOKUP(P54,COPY!$A$1:$L$1000,10,FALSE),0)</f>
        <v>1</v>
      </c>
      <c r="J54" s="467" t="str">
        <f>IFERROR(VLOOKUP(P54,COPY!$A$1:$L$1000,8,FALSE),0)</f>
        <v>Pcs</v>
      </c>
      <c r="K54" s="457" t="str">
        <f>IFERROR(VLOOKUP(P54,COPY!$A$1:$L$1000,7,FALSE),0)</f>
        <v>Spidol Besar</v>
      </c>
      <c r="L54" s="468" t="str">
        <f>IFERROR(VLOOKUP(P54,COPY!$A$1:$O$1000,15,FALSE),0)</f>
        <v/>
      </c>
      <c r="M54" s="468" t="str">
        <f>IFERROR(VLOOKUP(P54,COPY!$A$1:$L$1000,12,FALSE),0)</f>
        <v>D</v>
      </c>
      <c r="N54" s="469">
        <f>IF(H54="Jasa",VLOOKUP('BKU 1'!K54,'Rekap Gaji'!$D$12:$I$24,6,FALSE),(IF(H54="Beli",VLOOKUP(P54,COPY!$A$1:$L$1000,11,FALSE),IF(H54="Bayar Ongkos",VLOOKUP(K54,'Rekap Gaji'!$D$12:$I$24,6,FALSE),0))))</f>
        <v>5000</v>
      </c>
      <c r="O54" s="470"/>
      <c r="P54" s="466" t="str">
        <f t="shared" si="1"/>
        <v>1.22</v>
      </c>
      <c r="Q54" s="253">
        <f t="shared" si="2"/>
        <v>22</v>
      </c>
      <c r="R54" s="253">
        <f t="shared" si="3"/>
        <v>22</v>
      </c>
      <c r="S54" s="449">
        <f t="shared" si="4"/>
        <v>22</v>
      </c>
      <c r="T54" s="253">
        <f t="shared" si="5"/>
        <v>-87</v>
      </c>
      <c r="U54" s="457" t="str">
        <f t="shared" si="0"/>
        <v xml:space="preserve"> </v>
      </c>
    </row>
    <row r="55" spans="2:21" ht="20.100000000000001" customHeight="1" x14ac:dyDescent="0.25">
      <c r="B55" s="456">
        <f>IF(LEFT(C55,16)="Terima Pajak PPN",VLOOKUP(P55,COPY!$A$1:$AC$1000,21,FALSE),IF(LEFT(C55,16)="Terima Pajak PPH",VLOOKUP(P55,COPY!$A$1:$AC$1000,21,FALSE),IF(LEFT(C55,13)="Terima PPh 23",VLOOKUP(P55,COPY!$A$1:$AC$1000,21,FALSE),0)))</f>
        <v>0</v>
      </c>
      <c r="C55" s="457">
        <f>IFERROR(IF(LEFT(VLOOKUP(P55,COPY!$A$1:$AC$1000,29,FALSE),5)="Terim",VLOOKUP(P55,COPY!$A$1:$AC$1000,29,FALSE),0),0)</f>
        <v>0</v>
      </c>
      <c r="D55" s="457"/>
      <c r="E55" s="457"/>
      <c r="F55" s="458">
        <f>IFERROR(IF(LEFT(VLOOKUP(P55,COPY!$A$1:$AC$1000,29,FALSE),5)="Terim",VLOOKUP(P55,COPY!$A$1:$AC$1000,26,FALSE),0),0)</f>
        <v>0</v>
      </c>
      <c r="G55" s="459">
        <f>IFERROR(VLOOKUP(P55,COPY!$A$1:$L$1000,4,FALSE),0)</f>
        <v>45903</v>
      </c>
      <c r="H55" s="457" t="str">
        <f>IFERROR(VLOOKUP(P55,COPY!$A$1:$L$1000,2,FALSE),0)</f>
        <v>Beli</v>
      </c>
      <c r="I55" s="510">
        <f>IFERROR(VLOOKUP(P55,COPY!$A$1:$L$1000,10,FALSE),0)</f>
        <v>1</v>
      </c>
      <c r="J55" s="467" t="str">
        <f>IFERROR(VLOOKUP(P55,COPY!$A$1:$L$1000,8,FALSE),0)</f>
        <v>Pcs</v>
      </c>
      <c r="K55" s="457" t="str">
        <f>IFERROR(VLOOKUP(P55,COPY!$A$1:$L$1000,7,FALSE),0)</f>
        <v>Linggis Ulir 19</v>
      </c>
      <c r="L55" s="468" t="str">
        <f>IFERROR(VLOOKUP(P55,COPY!$A$1:$O$1000,15,FALSE),0)</f>
        <v>BKK.4</v>
      </c>
      <c r="M55" s="468" t="str">
        <f>IFERROR(VLOOKUP(P55,COPY!$A$1:$L$1000,12,FALSE),0)</f>
        <v>C</v>
      </c>
      <c r="N55" s="469">
        <f>IF(H55="Jasa",VLOOKUP('BKU 1'!K55,'Rekap Gaji'!$D$12:$I$24,6,FALSE),(IF(H55="Beli",VLOOKUP(P55,COPY!$A$1:$L$1000,11,FALSE),IF(H55="Bayar Ongkos",VLOOKUP(K55,'Rekap Gaji'!$D$12:$I$24,6,FALSE),0))))</f>
        <v>40000</v>
      </c>
      <c r="P55" s="466" t="str">
        <f t="shared" si="1"/>
        <v>1.23</v>
      </c>
      <c r="Q55" s="253">
        <f t="shared" si="2"/>
        <v>23</v>
      </c>
      <c r="R55" s="253">
        <f t="shared" si="3"/>
        <v>23</v>
      </c>
      <c r="S55" s="449">
        <f t="shared" si="4"/>
        <v>23</v>
      </c>
      <c r="T55" s="253">
        <f t="shared" si="5"/>
        <v>-86</v>
      </c>
      <c r="U55" s="457" t="str">
        <f t="shared" si="0"/>
        <v xml:space="preserve"> </v>
      </c>
    </row>
    <row r="56" spans="2:21" ht="20.100000000000001" customHeight="1" x14ac:dyDescent="0.25">
      <c r="B56" s="456">
        <f>IF(LEFT(C56,16)="Terima Pajak PPN",VLOOKUP(P56,COPY!$A$1:$AC$1000,21,FALSE),IF(LEFT(C56,16)="Terima Pajak PPH",VLOOKUP(P56,COPY!$A$1:$AC$1000,21,FALSE),IF(LEFT(C56,13)="Terima PPh 23",VLOOKUP(P56,COPY!$A$1:$AC$1000,21,FALSE),0)))</f>
        <v>0</v>
      </c>
      <c r="C56" s="457">
        <f>IFERROR(IF(LEFT(VLOOKUP(P56,COPY!$A$1:$AC$1000,29,FALSE),5)="Terim",VLOOKUP(P56,COPY!$A$1:$AC$1000,29,FALSE),0),0)</f>
        <v>0</v>
      </c>
      <c r="D56" s="457"/>
      <c r="E56" s="457"/>
      <c r="F56" s="458">
        <f>IFERROR(IF(LEFT(VLOOKUP(P56,COPY!$A$1:$AC$1000,29,FALSE),5)="Terim",VLOOKUP(P56,COPY!$A$1:$AC$1000,26,FALSE),0),0)</f>
        <v>0</v>
      </c>
      <c r="G56" s="459" t="str">
        <f>IFERROR(VLOOKUP(P56,COPY!$A$1:$L$1000,4,FALSE),0)</f>
        <v/>
      </c>
      <c r="H56" s="457" t="str">
        <f>IFERROR(VLOOKUP(P56,COPY!$A$1:$L$1000,2,FALSE),0)</f>
        <v>Beli</v>
      </c>
      <c r="I56" s="510">
        <f>IFERROR(VLOOKUP(P56,COPY!$A$1:$L$1000,10,FALSE),0)</f>
        <v>1</v>
      </c>
      <c r="J56" s="467" t="str">
        <f>IFERROR(VLOOKUP(P56,COPY!$A$1:$L$1000,8,FALSE),0)</f>
        <v>Pcs</v>
      </c>
      <c r="K56" s="457" t="str">
        <f>IFERROR(VLOOKUP(P56,COPY!$A$1:$L$1000,7,FALSE),0)</f>
        <v>Pleser 6-8</v>
      </c>
      <c r="L56" s="468" t="str">
        <f>IFERROR(VLOOKUP(P56,COPY!$A$1:$O$1000,15,FALSE),0)</f>
        <v/>
      </c>
      <c r="M56" s="468" t="str">
        <f>IFERROR(VLOOKUP(P56,COPY!$A$1:$L$1000,12,FALSE),0)</f>
        <v>C</v>
      </c>
      <c r="N56" s="469">
        <f>IF(H56="Jasa",VLOOKUP('BKU 1'!K56,'Rekap Gaji'!$D$12:$I$24,6,FALSE),(IF(H56="Beli",VLOOKUP(P56,COPY!$A$1:$L$1000,11,FALSE),IF(H56="Bayar Ongkos",VLOOKUP(K56,'Rekap Gaji'!$D$12:$I$24,6,FALSE),0))))</f>
        <v>20000</v>
      </c>
      <c r="P56" s="466" t="str">
        <f t="shared" si="1"/>
        <v>1.24</v>
      </c>
      <c r="Q56" s="253">
        <f t="shared" si="2"/>
        <v>24</v>
      </c>
      <c r="R56" s="253">
        <f t="shared" si="3"/>
        <v>24</v>
      </c>
      <c r="S56" s="449">
        <f t="shared" si="4"/>
        <v>24</v>
      </c>
      <c r="T56" s="253">
        <f t="shared" si="5"/>
        <v>-85</v>
      </c>
      <c r="U56" s="457" t="str">
        <f t="shared" si="0"/>
        <v xml:space="preserve"> </v>
      </c>
    </row>
    <row r="57" spans="2:21" ht="20.100000000000001" customHeight="1" x14ac:dyDescent="0.25">
      <c r="B57" s="456">
        <f>IF(LEFT(C57,16)="Terima Pajak PPN",VLOOKUP(P57,COPY!$A$1:$AC$1000,21,FALSE),IF(LEFT(C57,16)="Terima Pajak PPH",VLOOKUP(P57,COPY!$A$1:$AC$1000,21,FALSE),IF(LEFT(C57,13)="Terima PPh 23",VLOOKUP(P57,COPY!$A$1:$AC$1000,21,FALSE),0)))</f>
        <v>0</v>
      </c>
      <c r="C57" s="457">
        <f>IFERROR(IF(LEFT(VLOOKUP(P57,COPY!$A$1:$AC$1000,29,FALSE),5)="Terim",VLOOKUP(P57,COPY!$A$1:$AC$1000,29,FALSE),0),0)</f>
        <v>0</v>
      </c>
      <c r="D57" s="457"/>
      <c r="E57" s="457"/>
      <c r="F57" s="458">
        <f>IFERROR(IF(LEFT(VLOOKUP(P57,COPY!$A$1:$AC$1000,29,FALSE),5)="Terim",VLOOKUP(P57,COPY!$A$1:$AC$1000,26,FALSE),0),0)</f>
        <v>0</v>
      </c>
      <c r="G57" s="459" t="str">
        <f>IFERROR(VLOOKUP(P57,COPY!$A$1:$L$1000,4,FALSE),0)</f>
        <v/>
      </c>
      <c r="H57" s="457" t="str">
        <f>IFERROR(VLOOKUP(P57,COPY!$A$1:$L$1000,2,FALSE),0)</f>
        <v>Beli</v>
      </c>
      <c r="I57" s="510">
        <f>IFERROR(VLOOKUP(P57,COPY!$A$1:$L$1000,10,FALSE),0)</f>
        <v>1</v>
      </c>
      <c r="J57" s="467" t="str">
        <f>IFERROR(VLOOKUP(P57,COPY!$A$1:$L$1000,8,FALSE),0)</f>
        <v>Pcs</v>
      </c>
      <c r="K57" s="457" t="str">
        <f>IFERROR(VLOOKUP(P57,COPY!$A$1:$L$1000,7,FALSE),0)</f>
        <v>Pleser 8-10</v>
      </c>
      <c r="L57" s="468" t="str">
        <f>IFERROR(VLOOKUP(P57,COPY!$A$1:$O$1000,15,FALSE),0)</f>
        <v/>
      </c>
      <c r="M57" s="468" t="str">
        <f>IFERROR(VLOOKUP(P57,COPY!$A$1:$L$1000,12,FALSE),0)</f>
        <v>C</v>
      </c>
      <c r="N57" s="469">
        <f>IF(H57="Jasa",VLOOKUP('BKU 1'!K57,'Rekap Gaji'!$D$12:$I$24,6,FALSE),(IF(H57="Beli",VLOOKUP(P57,COPY!$A$1:$L$1000,11,FALSE),IF(H57="Bayar Ongkos",VLOOKUP(K57,'Rekap Gaji'!$D$12:$I$24,6,FALSE),0))))</f>
        <v>21000</v>
      </c>
      <c r="O57" s="470"/>
      <c r="P57" s="466" t="str">
        <f t="shared" si="1"/>
        <v>1.25</v>
      </c>
      <c r="Q57" s="253">
        <f t="shared" si="2"/>
        <v>25</v>
      </c>
      <c r="R57" s="253">
        <f t="shared" si="3"/>
        <v>25</v>
      </c>
      <c r="S57" s="449">
        <f t="shared" si="4"/>
        <v>25</v>
      </c>
      <c r="T57" s="253">
        <f t="shared" si="5"/>
        <v>-84</v>
      </c>
      <c r="U57" s="457" t="str">
        <f t="shared" si="0"/>
        <v xml:space="preserve"> </v>
      </c>
    </row>
    <row r="58" spans="2:21" ht="20.100000000000001" customHeight="1" x14ac:dyDescent="0.25">
      <c r="B58" s="456">
        <f>IF(LEFT(C58,16)="Terima Pajak PPN",VLOOKUP(P58,COPY!$A$1:$AC$1000,21,FALSE),IF(LEFT(C58,16)="Terima Pajak PPH",VLOOKUP(P58,COPY!$A$1:$AC$1000,21,FALSE),IF(LEFT(C58,13)="Terima PPh 23",VLOOKUP(P58,COPY!$A$1:$AC$1000,21,FALSE),0)))</f>
        <v>0</v>
      </c>
      <c r="C58" s="457">
        <f>IFERROR(IF(LEFT(VLOOKUP(P58,COPY!$A$1:$AC$1000,29,FALSE),5)="Terim",VLOOKUP(P58,COPY!$A$1:$AC$1000,29,FALSE),0),0)</f>
        <v>0</v>
      </c>
      <c r="D58" s="457"/>
      <c r="E58" s="457"/>
      <c r="F58" s="458">
        <f>IFERROR(IF(LEFT(VLOOKUP(P58,COPY!$A$1:$AC$1000,29,FALSE),5)="Terim",VLOOKUP(P58,COPY!$A$1:$AC$1000,26,FALSE),0),0)</f>
        <v>0</v>
      </c>
      <c r="G58" s="459" t="str">
        <f>IFERROR(VLOOKUP(P58,COPY!$A$1:$L$1000,4,FALSE),0)</f>
        <v/>
      </c>
      <c r="H58" s="457" t="str">
        <f>IFERROR(VLOOKUP(P58,COPY!$A$1:$L$1000,2,FALSE),0)</f>
        <v>Beli</v>
      </c>
      <c r="I58" s="510">
        <f>IFERROR(VLOOKUP(P58,COPY!$A$1:$L$1000,10,FALSE),0)</f>
        <v>6</v>
      </c>
      <c r="J58" s="467" t="str">
        <f>IFERROR(VLOOKUP(P58,COPY!$A$1:$L$1000,8,FALSE),0)</f>
        <v>Pcs</v>
      </c>
      <c r="K58" s="457" t="str">
        <f>IFERROR(VLOOKUP(P58,COPY!$A$1:$L$1000,7,FALSE),0)</f>
        <v>Kaleng Adiva</v>
      </c>
      <c r="L58" s="468" t="str">
        <f>IFERROR(VLOOKUP(P58,COPY!$A$1:$O$1000,15,FALSE),0)</f>
        <v/>
      </c>
      <c r="M58" s="468" t="str">
        <f>IFERROR(VLOOKUP(P58,COPY!$A$1:$L$1000,12,FALSE),0)</f>
        <v>C</v>
      </c>
      <c r="N58" s="469">
        <f>IF(H58="Jasa",VLOOKUP('BKU 1'!K58,'Rekap Gaji'!$D$12:$I$24,6,FALSE),(IF(H58="Beli",VLOOKUP(P58,COPY!$A$1:$L$1000,11,FALSE),IF(H58="Bayar Ongkos",VLOOKUP(K58,'Rekap Gaji'!$D$12:$I$24,6,FALSE),0))))</f>
        <v>60000</v>
      </c>
      <c r="O58" s="470"/>
      <c r="P58" s="466" t="str">
        <f t="shared" si="1"/>
        <v>1.26</v>
      </c>
      <c r="Q58" s="253">
        <f t="shared" si="2"/>
        <v>26</v>
      </c>
      <c r="R58" s="253">
        <f t="shared" si="3"/>
        <v>26</v>
      </c>
      <c r="S58" s="449">
        <f t="shared" si="4"/>
        <v>26</v>
      </c>
      <c r="T58" s="253">
        <f t="shared" si="5"/>
        <v>-83</v>
      </c>
      <c r="U58" s="457" t="str">
        <f t="shared" si="0"/>
        <v xml:space="preserve"> </v>
      </c>
    </row>
    <row r="59" spans="2:21" ht="20.100000000000001" customHeight="1" x14ac:dyDescent="0.25">
      <c r="B59" s="456">
        <f>IF(LEFT(C59,16)="Terima Pajak PPN",VLOOKUP(P59,COPY!$A$1:$AC$1000,21,FALSE),IF(LEFT(C59,16)="Terima Pajak PPH",VLOOKUP(P59,COPY!$A$1:$AC$1000,21,FALSE),IF(LEFT(C59,13)="Terima PPh 23",VLOOKUP(P59,COPY!$A$1:$AC$1000,21,FALSE),0)))</f>
        <v>0</v>
      </c>
      <c r="C59" s="457">
        <f>IFERROR(IF(LEFT(VLOOKUP(P59,COPY!$A$1:$AC$1000,29,FALSE),5)="Terim",VLOOKUP(P59,COPY!$A$1:$AC$1000,29,FALSE),0),0)</f>
        <v>0</v>
      </c>
      <c r="D59" s="457"/>
      <c r="E59" s="457"/>
      <c r="F59" s="458">
        <f>IFERROR(IF(LEFT(VLOOKUP(P59,COPY!$A$1:$AC$1000,29,FALSE),5)="Terim",VLOOKUP(P59,COPY!$A$1:$AC$1000,26,FALSE),0),0)</f>
        <v>0</v>
      </c>
      <c r="G59" s="459" t="str">
        <f>IFERROR(VLOOKUP(P59,COPY!$A$1:$L$1000,4,FALSE),0)</f>
        <v/>
      </c>
      <c r="H59" s="457" t="str">
        <f>IFERROR(VLOOKUP(P59,COPY!$A$1:$L$1000,2,FALSE),0)</f>
        <v>Beli</v>
      </c>
      <c r="I59" s="510">
        <f>IFERROR(VLOOKUP(P59,COPY!$A$1:$L$1000,10,FALSE),0)</f>
        <v>1</v>
      </c>
      <c r="J59" s="467" t="str">
        <f>IFERROR(VLOOKUP(P59,COPY!$A$1:$L$1000,8,FALSE),0)</f>
        <v>Pcs</v>
      </c>
      <c r="K59" s="457" t="str">
        <f>IFERROR(VLOOKUP(P59,COPY!$A$1:$L$1000,7,FALSE),0)</f>
        <v>Terpal A5 6X8</v>
      </c>
      <c r="L59" s="468" t="str">
        <f>IFERROR(VLOOKUP(P59,COPY!$A$1:$O$1000,15,FALSE),0)</f>
        <v/>
      </c>
      <c r="M59" s="468" t="str">
        <f>IFERROR(VLOOKUP(P59,COPY!$A$1:$L$1000,12,FALSE),0)</f>
        <v>B</v>
      </c>
      <c r="N59" s="469">
        <f>IF(H59="Jasa",VLOOKUP('BKU 1'!K59,'Rekap Gaji'!$D$12:$I$24,6,FALSE),(IF(H59="Beli",VLOOKUP(P59,COPY!$A$1:$L$1000,11,FALSE),IF(H59="Bayar Ongkos",VLOOKUP(K59,'Rekap Gaji'!$D$12:$I$24,6,FALSE),0))))</f>
        <v>336000</v>
      </c>
      <c r="P59" s="466" t="str">
        <f t="shared" si="1"/>
        <v>1.27</v>
      </c>
      <c r="Q59" s="253">
        <f t="shared" si="2"/>
        <v>27</v>
      </c>
      <c r="R59" s="253">
        <f t="shared" si="3"/>
        <v>27</v>
      </c>
      <c r="S59" s="449">
        <f t="shared" si="4"/>
        <v>27</v>
      </c>
      <c r="T59" s="253">
        <f t="shared" si="5"/>
        <v>-82</v>
      </c>
      <c r="U59" s="457" t="str">
        <f t="shared" si="0"/>
        <v xml:space="preserve"> </v>
      </c>
    </row>
    <row r="60" spans="2:21" ht="20.100000000000001" customHeight="1" x14ac:dyDescent="0.25">
      <c r="B60" s="456">
        <f>IF(LEFT(C60,16)="Terima Pajak PPN",VLOOKUP(P60,COPY!$A$1:$AC$1000,21,FALSE),IF(LEFT(C60,16)="Terima Pajak PPH",VLOOKUP(P60,COPY!$A$1:$AC$1000,21,FALSE),IF(LEFT(C60,13)="Terima PPh 23",VLOOKUP(P60,COPY!$A$1:$AC$1000,21,FALSE),0)))</f>
        <v>0</v>
      </c>
      <c r="C60" s="457">
        <f>IFERROR(IF(LEFT(VLOOKUP(P60,COPY!$A$1:$AC$1000,29,FALSE),5)="Terim",VLOOKUP(P60,COPY!$A$1:$AC$1000,29,FALSE),0),0)</f>
        <v>0</v>
      </c>
      <c r="D60" s="457"/>
      <c r="E60" s="457"/>
      <c r="F60" s="458">
        <f>IFERROR(IF(LEFT(VLOOKUP(P60,COPY!$A$1:$AC$1000,29,FALSE),5)="Terim",VLOOKUP(P60,COPY!$A$1:$AC$1000,26,FALSE),0),0)</f>
        <v>0</v>
      </c>
      <c r="G60" s="459" t="str">
        <f>IFERROR(VLOOKUP(P60,COPY!$A$1:$L$1000,4,FALSE),0)</f>
        <v/>
      </c>
      <c r="H60" s="457" t="str">
        <f>IFERROR(VLOOKUP(P60,COPY!$A$1:$L$1000,2,FALSE),0)</f>
        <v>Beli</v>
      </c>
      <c r="I60" s="510">
        <f>IFERROR(VLOOKUP(P60,COPY!$A$1:$L$1000,10,FALSE),0)</f>
        <v>5</v>
      </c>
      <c r="J60" s="467" t="str">
        <f>IFERROR(VLOOKUP(P60,COPY!$A$1:$L$1000,8,FALSE),0)</f>
        <v>Ljr</v>
      </c>
      <c r="K60" s="457" t="str">
        <f>IFERROR(VLOOKUP(P60,COPY!$A$1:$L$1000,7,FALSE),0)</f>
        <v>Kayu Usuk 3 X 5</v>
      </c>
      <c r="L60" s="468" t="str">
        <f>IFERROR(VLOOKUP(P60,COPY!$A$1:$O$1000,15,FALSE),0)</f>
        <v/>
      </c>
      <c r="M60" s="468" t="str">
        <f>IFERROR(VLOOKUP(P60,COPY!$A$1:$L$1000,12,FALSE),0)</f>
        <v>B</v>
      </c>
      <c r="N60" s="469">
        <f>IF(H60="Jasa",VLOOKUP('BKU 1'!K60,'Rekap Gaji'!$D$12:$I$24,6,FALSE),(IF(H60="Beli",VLOOKUP(P60,COPY!$A$1:$L$1000,11,FALSE),IF(H60="Bayar Ongkos",VLOOKUP(K60,'Rekap Gaji'!$D$12:$I$24,6,FALSE),0))))</f>
        <v>100000</v>
      </c>
      <c r="P60" s="466" t="str">
        <f t="shared" si="1"/>
        <v>1.28</v>
      </c>
      <c r="Q60" s="253">
        <f t="shared" si="2"/>
        <v>28</v>
      </c>
      <c r="R60" s="253">
        <f t="shared" si="3"/>
        <v>28</v>
      </c>
      <c r="S60" s="449">
        <f t="shared" si="4"/>
        <v>28</v>
      </c>
      <c r="T60" s="253">
        <f t="shared" si="5"/>
        <v>-81</v>
      </c>
      <c r="U60" s="457" t="str">
        <f t="shared" si="0"/>
        <v xml:space="preserve"> </v>
      </c>
    </row>
    <row r="61" spans="2:21" ht="20.100000000000001" customHeight="1" x14ac:dyDescent="0.25">
      <c r="B61" s="456">
        <f>IF(LEFT(C61,16)="Terima Pajak PPN",VLOOKUP(P61,COPY!$A$1:$AC$1000,21,FALSE),IF(LEFT(C61,16)="Terima Pajak PPH",VLOOKUP(P61,COPY!$A$1:$AC$1000,21,FALSE),IF(LEFT(C61,13)="Terima PPh 23",VLOOKUP(P61,COPY!$A$1:$AC$1000,21,FALSE),0)))</f>
        <v>0</v>
      </c>
      <c r="C61" s="457">
        <f>IFERROR(IF(LEFT(VLOOKUP(P61,COPY!$A$1:$AC$1000,29,FALSE),5)="Terim",VLOOKUP(P61,COPY!$A$1:$AC$1000,29,FALSE),0),0)</f>
        <v>0</v>
      </c>
      <c r="D61" s="457"/>
      <c r="E61" s="457"/>
      <c r="F61" s="458">
        <f>IFERROR(IF(LEFT(VLOOKUP(P61,COPY!$A$1:$AC$1000,29,FALSE),5)="Terim",VLOOKUP(P61,COPY!$A$1:$AC$1000,26,FALSE),0),0)</f>
        <v>0</v>
      </c>
      <c r="G61" s="459" t="str">
        <f>IFERROR(VLOOKUP(P61,COPY!$A$1:$L$1000,4,FALSE),0)</f>
        <v/>
      </c>
      <c r="H61" s="457" t="str">
        <f>IFERROR(VLOOKUP(P61,COPY!$A$1:$L$1000,2,FALSE),0)</f>
        <v>Beli</v>
      </c>
      <c r="I61" s="510">
        <f>IFERROR(VLOOKUP(P61,COPY!$A$1:$L$1000,10,FALSE),0)</f>
        <v>20</v>
      </c>
      <c r="J61" s="467" t="str">
        <f>IFERROR(VLOOKUP(P61,COPY!$A$1:$L$1000,8,FALSE),0)</f>
        <v>Ljr</v>
      </c>
      <c r="K61" s="457" t="str">
        <f>IFERROR(VLOOKUP(P61,COPY!$A$1:$L$1000,7,FALSE),0)</f>
        <v>Papan Sengon</v>
      </c>
      <c r="L61" s="468" t="str">
        <f>IFERROR(VLOOKUP(P61,COPY!$A$1:$O$1000,15,FALSE),0)</f>
        <v/>
      </c>
      <c r="M61" s="468" t="str">
        <f>IFERROR(VLOOKUP(P61,COPY!$A$1:$L$1000,12,FALSE),0)</f>
        <v>B</v>
      </c>
      <c r="N61" s="469">
        <f>IF(H61="Jasa",VLOOKUP('BKU 1'!K61,'Rekap Gaji'!$D$12:$I$24,6,FALSE),(IF(H61="Beli",VLOOKUP(P61,COPY!$A$1:$L$1000,11,FALSE),IF(H61="Bayar Ongkos",VLOOKUP(K61,'Rekap Gaji'!$D$12:$I$24,6,FALSE),0))))</f>
        <v>500000</v>
      </c>
      <c r="O61" s="470"/>
      <c r="P61" s="466" t="str">
        <f t="shared" si="1"/>
        <v>1.29</v>
      </c>
      <c r="Q61" s="253">
        <f t="shared" si="2"/>
        <v>29</v>
      </c>
      <c r="R61" s="253">
        <f t="shared" si="3"/>
        <v>29</v>
      </c>
      <c r="S61" s="449">
        <f t="shared" si="4"/>
        <v>29</v>
      </c>
      <c r="T61" s="253">
        <f t="shared" si="5"/>
        <v>-80</v>
      </c>
      <c r="U61" s="457" t="str">
        <f t="shared" si="0"/>
        <v xml:space="preserve"> </v>
      </c>
    </row>
    <row r="62" spans="2:21" ht="20.100000000000001" customHeight="1" x14ac:dyDescent="0.25">
      <c r="B62" s="456">
        <f>IF(LEFT(C62,16)="Terima Pajak PPN",VLOOKUP(P62,COPY!$A$1:$AC$1000,21,FALSE),IF(LEFT(C62,16)="Terima Pajak PPH",VLOOKUP(P62,COPY!$A$1:$AC$1000,21,FALSE),IF(LEFT(C62,13)="Terima PPh 23",VLOOKUP(P62,COPY!$A$1:$AC$1000,21,FALSE),0)))</f>
        <v>0</v>
      </c>
      <c r="C62" s="457">
        <f>IFERROR(IF(LEFT(VLOOKUP(P62,COPY!$A$1:$AC$1000,29,FALSE),5)="Terim",VLOOKUP(P62,COPY!$A$1:$AC$1000,29,FALSE),0),0)</f>
        <v>0</v>
      </c>
      <c r="D62" s="457"/>
      <c r="E62" s="457"/>
      <c r="F62" s="458">
        <f>IFERROR(IF(LEFT(VLOOKUP(P62,COPY!$A$1:$AC$1000,29,FALSE),5)="Terim",VLOOKUP(P62,COPY!$A$1:$AC$1000,26,FALSE),0),0)</f>
        <v>0</v>
      </c>
      <c r="G62" s="459" t="str">
        <f>IFERROR(VLOOKUP(P62,COPY!$A$1:$L$1000,4,FALSE),0)</f>
        <v/>
      </c>
      <c r="H62" s="457" t="str">
        <f>IFERROR(VLOOKUP(P62,COPY!$A$1:$L$1000,2,FALSE),0)</f>
        <v>Beli</v>
      </c>
      <c r="I62" s="510">
        <f>IFERROR(VLOOKUP(P62,COPY!$A$1:$L$1000,10,FALSE),0)</f>
        <v>1</v>
      </c>
      <c r="J62" s="467" t="str">
        <f>IFERROR(VLOOKUP(P62,COPY!$A$1:$L$1000,8,FALSE),0)</f>
        <v>Pik Up</v>
      </c>
      <c r="K62" s="457" t="str">
        <f>IFERROR(VLOOKUP(P62,COPY!$A$1:$L$1000,7,FALSE),0)</f>
        <v>Pasir Biasa L300</v>
      </c>
      <c r="L62" s="468" t="str">
        <f>IFERROR(VLOOKUP(P62,COPY!$A$1:$O$1000,15,FALSE),0)</f>
        <v/>
      </c>
      <c r="M62" s="468" t="str">
        <f>IFERROR(VLOOKUP(P62,COPY!$A$1:$L$1000,12,FALSE),0)</f>
        <v>B</v>
      </c>
      <c r="N62" s="469">
        <f>IF(H62="Jasa",VLOOKUP('BKU 1'!K62,'Rekap Gaji'!$D$12:$I$24,6,FALSE),(IF(H62="Beli",VLOOKUP(P62,COPY!$A$1:$L$1000,11,FALSE),IF(H62="Bayar Ongkos",VLOOKUP(K62,'Rekap Gaji'!$D$12:$I$24,6,FALSE),0))))</f>
        <v>230000</v>
      </c>
      <c r="P62" s="466" t="str">
        <f t="shared" si="1"/>
        <v>1.30</v>
      </c>
      <c r="Q62" s="253">
        <f t="shared" si="2"/>
        <v>30</v>
      </c>
      <c r="R62" s="253">
        <f t="shared" si="3"/>
        <v>30</v>
      </c>
      <c r="S62" s="449">
        <f t="shared" si="4"/>
        <v>30</v>
      </c>
      <c r="T62" s="253">
        <f t="shared" si="5"/>
        <v>-79</v>
      </c>
      <c r="U62" s="457" t="str">
        <f t="shared" si="0"/>
        <v xml:space="preserve"> </v>
      </c>
    </row>
    <row r="63" spans="2:21" ht="20.100000000000001" customHeight="1" x14ac:dyDescent="0.25">
      <c r="B63" s="456">
        <f>IF(LEFT(C63,16)="Terima Pajak PPN",VLOOKUP(P63,COPY!$A$1:$AC$1000,21,FALSE),IF(LEFT(C63,16)="Terima Pajak PPH",VLOOKUP(P63,COPY!$A$1:$AC$1000,21,FALSE),IF(LEFT(C63,13)="Terima PPh 23",VLOOKUP(P63,COPY!$A$1:$AC$1000,21,FALSE),0)))</f>
        <v>0</v>
      </c>
      <c r="C63" s="457">
        <f>IFERROR(IF(LEFT(VLOOKUP(P63,COPY!$A$1:$AC$1000,29,FALSE),5)="Terim",VLOOKUP(P63,COPY!$A$1:$AC$1000,29,FALSE),0),0)</f>
        <v>0</v>
      </c>
      <c r="D63" s="457"/>
      <c r="E63" s="457"/>
      <c r="F63" s="458">
        <f>IFERROR(IF(LEFT(VLOOKUP(P63,COPY!$A$1:$AC$1000,29,FALSE),5)="Terim",VLOOKUP(P63,COPY!$A$1:$AC$1000,26,FALSE),0),0)</f>
        <v>0</v>
      </c>
      <c r="G63" s="459">
        <f>IFERROR(VLOOKUP(P63,COPY!$A$1:$L$1000,4,FALSE),0)</f>
        <v>45903</v>
      </c>
      <c r="H63" s="457" t="str">
        <f>IFERROR(VLOOKUP(P63,COPY!$A$1:$L$1000,2,FALSE),0)</f>
        <v>Beli</v>
      </c>
      <c r="I63" s="510">
        <f>IFERROR(VLOOKUP(P63,COPY!$A$1:$L$1000,10,FALSE),0)</f>
        <v>1</v>
      </c>
      <c r="J63" s="467" t="str">
        <f>IFERROR(VLOOKUP(P63,COPY!$A$1:$L$1000,8,FALSE),0)</f>
        <v>Ls</v>
      </c>
      <c r="K63" s="457" t="str">
        <f>IFERROR(VLOOKUP(P63,COPY!$A$1:$L$1000,7,FALSE),0)</f>
        <v>Pembuatan Papan Pengumuman</v>
      </c>
      <c r="L63" s="468" t="str">
        <f>IFERROR(VLOOKUP(P63,COPY!$A$1:$O$1000,15,FALSE),0)</f>
        <v>BKK.5</v>
      </c>
      <c r="M63" s="468" t="str">
        <f>IFERROR(VLOOKUP(P63,COPY!$A$1:$L$1000,12,FALSE),0)</f>
        <v>D</v>
      </c>
      <c r="N63" s="469">
        <f>IF(H63="Jasa",VLOOKUP('BKU 1'!K63,'Rekap Gaji'!$D$12:$I$24,6,FALSE),(IF(H63="Beli",VLOOKUP(P63,COPY!$A$1:$L$1000,11,FALSE),IF(H63="Bayar Ongkos",VLOOKUP(K63,'Rekap Gaji'!$D$12:$I$24,6,FALSE),0))))</f>
        <v>300000</v>
      </c>
      <c r="O63" s="470"/>
      <c r="P63" s="466" t="str">
        <f t="shared" si="1"/>
        <v>1.31</v>
      </c>
      <c r="Q63" s="253">
        <f t="shared" si="2"/>
        <v>31</v>
      </c>
      <c r="R63" s="253">
        <f t="shared" si="3"/>
        <v>31</v>
      </c>
      <c r="S63" s="449">
        <f t="shared" si="4"/>
        <v>31</v>
      </c>
      <c r="T63" s="253">
        <f t="shared" si="5"/>
        <v>-78</v>
      </c>
      <c r="U63" s="457" t="str">
        <f t="shared" si="0"/>
        <v xml:space="preserve"> </v>
      </c>
    </row>
    <row r="64" spans="2:21" ht="20.100000000000001" customHeight="1" x14ac:dyDescent="0.25">
      <c r="B64" s="456">
        <f>IF(LEFT(C64,16)="Terima Pajak PPN",VLOOKUP(P64,COPY!$A$1:$AC$1000,21,FALSE),IF(LEFT(C64,16)="Terima Pajak PPH",VLOOKUP(P64,COPY!$A$1:$AC$1000,21,FALSE),IF(LEFT(C64,13)="Terima PPh 23",VLOOKUP(P64,COPY!$A$1:$AC$1000,21,FALSE),0)))</f>
        <v>0</v>
      </c>
      <c r="C64" s="457">
        <f>IFERROR(IF(LEFT(VLOOKUP(P64,COPY!$A$1:$AC$1000,29,FALSE),5)="Terim",VLOOKUP(P64,COPY!$A$1:$AC$1000,29,FALSE),0),0)</f>
        <v>0</v>
      </c>
      <c r="D64" s="457"/>
      <c r="E64" s="457"/>
      <c r="F64" s="458">
        <f>IFERROR(IF(LEFT(VLOOKUP(P64,COPY!$A$1:$AC$1000,29,FALSE),5)="Terim",VLOOKUP(P64,COPY!$A$1:$AC$1000,26,FALSE),0),0)</f>
        <v>0</v>
      </c>
      <c r="G64" s="459">
        <f>IFERROR(VLOOKUP(P64,COPY!$A$1:$L$1000,4,FALSE),0)</f>
        <v>45904</v>
      </c>
      <c r="H64" s="457" t="str">
        <f>IFERROR(VLOOKUP(P64,COPY!$A$1:$L$1000,2,FALSE),0)</f>
        <v>Beli</v>
      </c>
      <c r="I64" s="510">
        <f>IFERROR(VLOOKUP(P64,COPY!$A$1:$L$1000,10,FALSE),0)</f>
        <v>10</v>
      </c>
      <c r="J64" s="467" t="str">
        <f>IFERROR(VLOOKUP(P64,COPY!$A$1:$L$1000,8,FALSE),0)</f>
        <v>Ljr</v>
      </c>
      <c r="K64" s="457" t="str">
        <f>IFERROR(VLOOKUP(P64,COPY!$A$1:$L$1000,7,FALSE),0)</f>
        <v>Usuk Super 3 M</v>
      </c>
      <c r="L64" s="468" t="str">
        <f>IFERROR(VLOOKUP(P64,COPY!$A$1:$O$1000,15,FALSE),0)</f>
        <v>BKK.6</v>
      </c>
      <c r="M64" s="468" t="str">
        <f>IFERROR(VLOOKUP(P64,COPY!$A$1:$L$1000,12,FALSE),0)</f>
        <v>B</v>
      </c>
      <c r="N64" s="469">
        <f>IF(H64="Jasa",VLOOKUP('BKU 1'!K64,'Rekap Gaji'!$D$12:$I$24,6,FALSE),(IF(H64="Beli",VLOOKUP(P64,COPY!$A$1:$L$1000,11,FALSE),IF(H64="Bayar Ongkos",VLOOKUP(K64,'Rekap Gaji'!$D$12:$I$24,6,FALSE),0))))</f>
        <v>350000</v>
      </c>
      <c r="O64" s="470"/>
      <c r="P64" s="466" t="str">
        <f t="shared" si="1"/>
        <v>1.32</v>
      </c>
      <c r="Q64" s="253">
        <f t="shared" si="2"/>
        <v>32</v>
      </c>
      <c r="R64" s="253">
        <f t="shared" si="3"/>
        <v>32</v>
      </c>
      <c r="S64" s="449">
        <f t="shared" si="4"/>
        <v>32</v>
      </c>
      <c r="T64" s="253">
        <f t="shared" si="5"/>
        <v>-77</v>
      </c>
      <c r="U64" s="457" t="str">
        <f t="shared" si="0"/>
        <v xml:space="preserve"> </v>
      </c>
    </row>
    <row r="65" spans="2:21" ht="20.100000000000001" customHeight="1" x14ac:dyDescent="0.25">
      <c r="B65" s="456">
        <f>IF(LEFT(C65,16)="Terima Pajak PPN",VLOOKUP(P65,COPY!$A$1:$AC$1000,21,FALSE),IF(LEFT(C65,16)="Terima Pajak PPH",VLOOKUP(P65,COPY!$A$1:$AC$1000,21,FALSE),IF(LEFT(C65,13)="Terima PPh 23",VLOOKUP(P65,COPY!$A$1:$AC$1000,21,FALSE),0)))</f>
        <v>0</v>
      </c>
      <c r="C65" s="457">
        <f>IFERROR(IF(LEFT(VLOOKUP(P65,COPY!$A$1:$AC$1000,29,FALSE),5)="Terim",VLOOKUP(P65,COPY!$A$1:$AC$1000,29,FALSE),0),0)</f>
        <v>0</v>
      </c>
      <c r="D65" s="457"/>
      <c r="E65" s="457"/>
      <c r="F65" s="458">
        <f>IFERROR(IF(LEFT(VLOOKUP(P65,COPY!$A$1:$AC$1000,29,FALSE),5)="Terim",VLOOKUP(P65,COPY!$A$1:$AC$1000,26,FALSE),0),0)</f>
        <v>0</v>
      </c>
      <c r="G65" s="459" t="str">
        <f>IFERROR(VLOOKUP(P65,COPY!$A$1:$L$1000,4,FALSE),0)</f>
        <v/>
      </c>
      <c r="H65" s="457" t="str">
        <f>IFERROR(VLOOKUP(P65,COPY!$A$1:$L$1000,2,FALSE),0)</f>
        <v>Beli</v>
      </c>
      <c r="I65" s="510">
        <f>IFERROR(VLOOKUP(P65,COPY!$A$1:$L$1000,10,FALSE),0)</f>
        <v>1</v>
      </c>
      <c r="J65" s="467" t="str">
        <f>IFERROR(VLOOKUP(P65,COPY!$A$1:$L$1000,8,FALSE),0)</f>
        <v>Pik Up</v>
      </c>
      <c r="K65" s="457" t="str">
        <f>IFERROR(VLOOKUP(P65,COPY!$A$1:$L$1000,7,FALSE),0)</f>
        <v>Pasir Cor L300</v>
      </c>
      <c r="L65" s="468" t="str">
        <f>IFERROR(VLOOKUP(P65,COPY!$A$1:$O$1000,15,FALSE),0)</f>
        <v/>
      </c>
      <c r="M65" s="468" t="str">
        <f>IFERROR(VLOOKUP(P65,COPY!$A$1:$L$1000,12,FALSE),0)</f>
        <v>B</v>
      </c>
      <c r="N65" s="469">
        <f>IF(H65="Jasa",VLOOKUP('BKU 1'!K65,'Rekap Gaji'!$D$12:$I$24,6,FALSE),(IF(H65="Beli",VLOOKUP(P65,COPY!$A$1:$L$1000,11,FALSE),IF(H65="Bayar Ongkos",VLOOKUP(K65,'Rekap Gaji'!$D$12:$I$24,6,FALSE),0))))</f>
        <v>335000</v>
      </c>
      <c r="P65" s="466" t="str">
        <f t="shared" si="1"/>
        <v>1.33</v>
      </c>
      <c r="Q65" s="253">
        <f t="shared" si="2"/>
        <v>33</v>
      </c>
      <c r="R65" s="253">
        <f t="shared" si="3"/>
        <v>33</v>
      </c>
      <c r="S65" s="449">
        <f t="shared" si="4"/>
        <v>33</v>
      </c>
      <c r="T65" s="253">
        <f t="shared" si="5"/>
        <v>-76</v>
      </c>
      <c r="U65" s="457" t="str">
        <f t="shared" si="0"/>
        <v xml:space="preserve"> </v>
      </c>
    </row>
    <row r="66" spans="2:21" ht="20.100000000000001" customHeight="1" x14ac:dyDescent="0.25">
      <c r="B66" s="456">
        <f>IF(LEFT(C66,16)="Terima Pajak PPN",VLOOKUP(P66,COPY!$A$1:$AC$1000,21,FALSE),IF(LEFT(C66,16)="Terima Pajak PPH",VLOOKUP(P66,COPY!$A$1:$AC$1000,21,FALSE),IF(LEFT(C66,13)="Terima PPh 23",VLOOKUP(P66,COPY!$A$1:$AC$1000,21,FALSE),0)))</f>
        <v>0</v>
      </c>
      <c r="C66" s="457">
        <f>IFERROR(IF(LEFT(VLOOKUP(P66,COPY!$A$1:$AC$1000,29,FALSE),5)="Terim",VLOOKUP(P66,COPY!$A$1:$AC$1000,29,FALSE),0),0)</f>
        <v>0</v>
      </c>
      <c r="D66" s="457"/>
      <c r="E66" s="457"/>
      <c r="F66" s="458">
        <f>IFERROR(IF(LEFT(VLOOKUP(P66,COPY!$A$1:$AC$1000,29,FALSE),5)="Terim",VLOOKUP(P66,COPY!$A$1:$AC$1000,26,FALSE),0),0)</f>
        <v>0</v>
      </c>
      <c r="G66" s="459" t="str">
        <f>IFERROR(VLOOKUP(P66,COPY!$A$1:$L$1000,4,FALSE),0)</f>
        <v/>
      </c>
      <c r="H66" s="457" t="str">
        <f>IFERROR(VLOOKUP(P66,COPY!$A$1:$L$1000,2,FALSE),0)</f>
        <v>Beli</v>
      </c>
      <c r="I66" s="510">
        <f>IFERROR(VLOOKUP(P66,COPY!$A$1:$L$1000,10,FALSE),0)</f>
        <v>1</v>
      </c>
      <c r="J66" s="467" t="str">
        <f>IFERROR(VLOOKUP(P66,COPY!$A$1:$L$1000,8,FALSE),0)</f>
        <v>Pik Up</v>
      </c>
      <c r="K66" s="457" t="str">
        <f>IFERROR(VLOOKUP(P66,COPY!$A$1:$L$1000,7,FALSE),0)</f>
        <v>Koral L300</v>
      </c>
      <c r="L66" s="468" t="str">
        <f>IFERROR(VLOOKUP(P66,COPY!$A$1:$O$1000,15,FALSE),0)</f>
        <v/>
      </c>
      <c r="M66" s="468" t="str">
        <f>IFERROR(VLOOKUP(P66,COPY!$A$1:$L$1000,12,FALSE),0)</f>
        <v>B</v>
      </c>
      <c r="N66" s="469">
        <f>IF(H66="Jasa",VLOOKUP('BKU 1'!K66,'Rekap Gaji'!$D$12:$I$24,6,FALSE),(IF(H66="Beli",VLOOKUP(P66,COPY!$A$1:$L$1000,11,FALSE),IF(H66="Bayar Ongkos",VLOOKUP(K66,'Rekap Gaji'!$D$12:$I$24,6,FALSE),0))))</f>
        <v>350000</v>
      </c>
      <c r="P66" s="466" t="str">
        <f t="shared" si="1"/>
        <v>1.34</v>
      </c>
      <c r="Q66" s="253">
        <f t="shared" si="2"/>
        <v>34</v>
      </c>
      <c r="R66" s="253">
        <f t="shared" si="3"/>
        <v>34</v>
      </c>
      <c r="S66" s="449">
        <f t="shared" si="4"/>
        <v>34</v>
      </c>
      <c r="T66" s="253">
        <f t="shared" si="5"/>
        <v>-75</v>
      </c>
      <c r="U66" s="457" t="str">
        <f t="shared" si="0"/>
        <v xml:space="preserve"> </v>
      </c>
    </row>
    <row r="67" spans="2:21" ht="20.100000000000001" customHeight="1" x14ac:dyDescent="0.25">
      <c r="B67" s="456">
        <f>IF(LEFT(C67,16)="Terima Pajak PPN",VLOOKUP(P67,COPY!$A$1:$AC$1000,21,FALSE),IF(LEFT(C67,16)="Terima Pajak PPH",VLOOKUP(P67,COPY!$A$1:$AC$1000,21,FALSE),IF(LEFT(C67,13)="Terima PPh 23",VLOOKUP(P67,COPY!$A$1:$AC$1000,21,FALSE),0)))</f>
        <v>0</v>
      </c>
      <c r="C67" s="457">
        <f>IFERROR(IF(LEFT(VLOOKUP(P67,COPY!$A$1:$AC$1000,29,FALSE),5)="Terim",VLOOKUP(P67,COPY!$A$1:$AC$1000,29,FALSE),0),0)</f>
        <v>0</v>
      </c>
      <c r="D67" s="457"/>
      <c r="E67" s="457"/>
      <c r="F67" s="458">
        <f>IFERROR(IF(LEFT(VLOOKUP(P67,COPY!$A$1:$AC$1000,29,FALSE),5)="Terim",VLOOKUP(P67,COPY!$A$1:$AC$1000,26,FALSE),0),0)</f>
        <v>0</v>
      </c>
      <c r="G67" s="459" t="str">
        <f>IFERROR(VLOOKUP(P67,COPY!$A$1:$L$1000,4,FALSE),0)</f>
        <v/>
      </c>
      <c r="H67" s="457" t="str">
        <f>IFERROR(VLOOKUP(P67,COPY!$A$1:$L$1000,2,FALSE),0)</f>
        <v>Beli</v>
      </c>
      <c r="I67" s="510">
        <f>IFERROR(VLOOKUP(P67,COPY!$A$1:$L$1000,10,FALSE),0)</f>
        <v>4</v>
      </c>
      <c r="J67" s="467" t="str">
        <f>IFERROR(VLOOKUP(P67,COPY!$A$1:$L$1000,8,FALSE),0)</f>
        <v>Pcs</v>
      </c>
      <c r="K67" s="457" t="str">
        <f>IFERROR(VLOOKUP(P67,COPY!$A$1:$L$1000,7,FALSE),0)</f>
        <v>Wd Potong Bosch</v>
      </c>
      <c r="L67" s="468" t="str">
        <f>IFERROR(VLOOKUP(P67,COPY!$A$1:$O$1000,15,FALSE),0)</f>
        <v/>
      </c>
      <c r="M67" s="468" t="str">
        <f>IFERROR(VLOOKUP(P67,COPY!$A$1:$L$1000,12,FALSE),0)</f>
        <v>B</v>
      </c>
      <c r="N67" s="469">
        <f>IF(H67="Jasa",VLOOKUP('BKU 1'!K67,'Rekap Gaji'!$D$12:$I$24,6,FALSE),(IF(H67="Beli",VLOOKUP(P67,COPY!$A$1:$L$1000,11,FALSE),IF(H67="Bayar Ongkos",VLOOKUP(K67,'Rekap Gaji'!$D$12:$I$24,6,FALSE),0))))</f>
        <v>14000</v>
      </c>
      <c r="P67" s="466" t="str">
        <f t="shared" si="1"/>
        <v>1.35</v>
      </c>
      <c r="Q67" s="253">
        <f t="shared" si="2"/>
        <v>35</v>
      </c>
      <c r="R67" s="253">
        <f t="shared" si="3"/>
        <v>35</v>
      </c>
      <c r="S67" s="449">
        <f t="shared" si="4"/>
        <v>35</v>
      </c>
      <c r="T67" s="253">
        <f t="shared" si="5"/>
        <v>-74</v>
      </c>
      <c r="U67" s="457" t="str">
        <f t="shared" si="0"/>
        <v xml:space="preserve"> </v>
      </c>
    </row>
    <row r="68" spans="2:21" ht="20.100000000000001" customHeight="1" x14ac:dyDescent="0.25">
      <c r="B68" s="456">
        <f>IF(LEFT(C68,16)="Terima Pajak PPN",VLOOKUP(P68,COPY!$A$1:$AC$1000,21,FALSE),IF(LEFT(C68,16)="Terima Pajak PPH",VLOOKUP(P68,COPY!$A$1:$AC$1000,21,FALSE),IF(LEFT(C68,13)="Terima PPh 23",VLOOKUP(P68,COPY!$A$1:$AC$1000,21,FALSE),0)))</f>
        <v>0</v>
      </c>
      <c r="C68" s="457">
        <f>IFERROR(IF(LEFT(VLOOKUP(P68,COPY!$A$1:$AC$1000,29,FALSE),5)="Terim",VLOOKUP(P68,COPY!$A$1:$AC$1000,29,FALSE),0),0)</f>
        <v>0</v>
      </c>
      <c r="D68" s="457"/>
      <c r="E68" s="457"/>
      <c r="F68" s="458">
        <f>IFERROR(IF(LEFT(VLOOKUP(P68,COPY!$A$1:$AC$1000,29,FALSE),5)="Terim",VLOOKUP(P68,COPY!$A$1:$AC$1000,26,FALSE),0),0)</f>
        <v>0</v>
      </c>
      <c r="G68" s="459" t="str">
        <f>IFERROR(VLOOKUP(P68,COPY!$A$1:$L$1000,4,FALSE),0)</f>
        <v/>
      </c>
      <c r="H68" s="457" t="str">
        <f>IFERROR(VLOOKUP(P68,COPY!$A$1:$L$1000,2,FALSE),0)</f>
        <v>Beli</v>
      </c>
      <c r="I68" s="510">
        <f>IFERROR(VLOOKUP(P68,COPY!$A$1:$L$1000,10,FALSE),0)</f>
        <v>4</v>
      </c>
      <c r="J68" s="467" t="str">
        <f>IFERROR(VLOOKUP(P68,COPY!$A$1:$L$1000,8,FALSE),0)</f>
        <v>Sak</v>
      </c>
      <c r="K68" s="457" t="str">
        <f>IFERROR(VLOOKUP(P68,COPY!$A$1:$L$1000,7,FALSE),0)</f>
        <v>Semen Gresik 40Kg</v>
      </c>
      <c r="L68" s="468" t="str">
        <f>IFERROR(VLOOKUP(P68,COPY!$A$1:$O$1000,15,FALSE),0)</f>
        <v/>
      </c>
      <c r="M68" s="468" t="str">
        <f>IFERROR(VLOOKUP(P68,COPY!$A$1:$L$1000,12,FALSE),0)</f>
        <v>B</v>
      </c>
      <c r="N68" s="469">
        <f>IF(H68="Jasa",VLOOKUP('BKU 1'!K68,'Rekap Gaji'!$D$12:$I$24,6,FALSE),(IF(H68="Beli",VLOOKUP(P68,COPY!$A$1:$L$1000,11,FALSE),IF(H68="Bayar Ongkos",VLOOKUP(K68,'Rekap Gaji'!$D$12:$I$24,6,FALSE),0))))</f>
        <v>232000</v>
      </c>
      <c r="P68" s="466" t="str">
        <f t="shared" si="1"/>
        <v>1.36</v>
      </c>
      <c r="Q68" s="253">
        <f t="shared" si="2"/>
        <v>36</v>
      </c>
      <c r="R68" s="253">
        <f t="shared" si="3"/>
        <v>36</v>
      </c>
      <c r="S68" s="449">
        <f t="shared" si="4"/>
        <v>36</v>
      </c>
      <c r="T68" s="253">
        <f t="shared" si="5"/>
        <v>-73</v>
      </c>
      <c r="U68" s="457" t="str">
        <f t="shared" si="0"/>
        <v xml:space="preserve"> </v>
      </c>
    </row>
    <row r="69" spans="2:21" ht="20.100000000000001" customHeight="1" x14ac:dyDescent="0.25">
      <c r="B69" s="456">
        <f>IF(LEFT(C69,16)="Terima Pajak PPN",VLOOKUP(P69,COPY!$A$1:$AC$1000,21,FALSE),IF(LEFT(C69,16)="Terima Pajak PPH",VLOOKUP(P69,COPY!$A$1:$AC$1000,21,FALSE),IF(LEFT(C69,13)="Terima PPh 23",VLOOKUP(P69,COPY!$A$1:$AC$1000,21,FALSE),0)))</f>
        <v>0</v>
      </c>
      <c r="C69" s="457">
        <f>IFERROR(IF(LEFT(VLOOKUP(P69,COPY!$A$1:$AC$1000,29,FALSE),5)="Terim",VLOOKUP(P69,COPY!$A$1:$AC$1000,29,FALSE),0),0)</f>
        <v>0</v>
      </c>
      <c r="D69" s="457"/>
      <c r="E69" s="457"/>
      <c r="F69" s="458">
        <f>IFERROR(IF(LEFT(VLOOKUP(P69,COPY!$A$1:$AC$1000,29,FALSE),5)="Terim",VLOOKUP(P69,COPY!$A$1:$AC$1000,26,FALSE),0),0)</f>
        <v>0</v>
      </c>
      <c r="G69" s="459">
        <f>IFERROR(VLOOKUP(P69,COPY!$A$1:$L$1000,4,FALSE),0)</f>
        <v>45905</v>
      </c>
      <c r="H69" s="457" t="str">
        <f>IFERROR(VLOOKUP(P69,COPY!$A$1:$L$1000,2,FALSE),0)</f>
        <v>Beli</v>
      </c>
      <c r="I69" s="510">
        <f>IFERROR(VLOOKUP(P69,COPY!$A$1:$L$1000,10,FALSE),0)</f>
        <v>15</v>
      </c>
      <c r="J69" s="467" t="str">
        <f>IFERROR(VLOOKUP(P69,COPY!$A$1:$L$1000,8,FALSE),0)</f>
        <v>Sak</v>
      </c>
      <c r="K69" s="457" t="str">
        <f>IFERROR(VLOOKUP(P69,COPY!$A$1:$L$1000,7,FALSE),0)</f>
        <v>Semen 3 Roda</v>
      </c>
      <c r="L69" s="468" t="str">
        <f>IFERROR(VLOOKUP(P69,COPY!$A$1:$O$1000,15,FALSE),0)</f>
        <v>BKK.7</v>
      </c>
      <c r="M69" s="468" t="str">
        <f>IFERROR(VLOOKUP(P69,COPY!$A$1:$L$1000,12,FALSE),0)</f>
        <v>B</v>
      </c>
      <c r="N69" s="469">
        <f>IF(H69="Jasa",VLOOKUP('BKU 1'!K69,'Rekap Gaji'!$D$12:$I$24,6,FALSE),(IF(H69="Beli",VLOOKUP(P69,COPY!$A$1:$L$1000,11,FALSE),IF(H69="Bayar Ongkos",VLOOKUP(K69,'Rekap Gaji'!$D$12:$I$24,6,FALSE),0))))</f>
        <v>780000</v>
      </c>
      <c r="P69" s="466" t="str">
        <f t="shared" si="1"/>
        <v>1.37</v>
      </c>
      <c r="Q69" s="253">
        <f t="shared" si="2"/>
        <v>37</v>
      </c>
      <c r="R69" s="253">
        <f t="shared" si="3"/>
        <v>37</v>
      </c>
      <c r="S69" s="449">
        <f t="shared" si="4"/>
        <v>37</v>
      </c>
      <c r="T69" s="253">
        <f t="shared" si="5"/>
        <v>-72</v>
      </c>
      <c r="U69" s="457" t="str">
        <f t="shared" si="0"/>
        <v xml:space="preserve"> </v>
      </c>
    </row>
    <row r="70" spans="2:21" ht="20.100000000000001" customHeight="1" x14ac:dyDescent="0.25">
      <c r="B70" s="456">
        <f>IF(LEFT(C70,16)="Terima Pajak PPN",VLOOKUP(P70,COPY!$A$1:$AC$1000,21,FALSE),IF(LEFT(C70,16)="Terima Pajak PPH",VLOOKUP(P70,COPY!$A$1:$AC$1000,21,FALSE),IF(LEFT(C70,13)="Terima PPh 23",VLOOKUP(P70,COPY!$A$1:$AC$1000,21,FALSE),0)))</f>
        <v>0</v>
      </c>
      <c r="C70" s="457" t="str">
        <f>IFERROR(IF(LEFT(VLOOKUP(P70,COPY!$A$1:$AC$1000,29,FALSE),5)="Terim",VLOOKUP(P70,COPY!$A$1:$AC$1000,29,FALSE),0),0)</f>
        <v>Terima PPh Pasal 4 ayat 2 (3,5 %) BKK.8</v>
      </c>
      <c r="D70" s="457"/>
      <c r="E70" s="457"/>
      <c r="F70" s="458">
        <f>IFERROR(IF(LEFT(VLOOKUP(P70,COPY!$A$1:$AC$1000,29,FALSE),5)="Terim",VLOOKUP(P70,COPY!$A$1:$AC$1000,26,FALSE),0),0)</f>
        <v>96649.35</v>
      </c>
      <c r="G70" s="459">
        <f>IFERROR(VLOOKUP(P70,COPY!$A$1:$L$1000,4,FALSE),0)</f>
        <v>45905</v>
      </c>
      <c r="H70" s="457" t="str">
        <f>IFERROR(VLOOKUP(P70,COPY!$A$1:$L$1000,2,FALSE),0)</f>
        <v>Jasa</v>
      </c>
      <c r="I70" s="510">
        <f>IFERROR(VLOOKUP(P70,COPY!$A$1:$L$1000,10,FALSE),0)</f>
        <v>1</v>
      </c>
      <c r="J70" s="467">
        <f>IFERROR(VLOOKUP(P70,COPY!$A$1:$L$1000,8,FALSE),0)</f>
        <v>0</v>
      </c>
      <c r="K70" s="457" t="str">
        <f>IFERROR(VLOOKUP(P70,COPY!$A$1:$L$1000,7,FALSE),0)</f>
        <v>Bayar Dana Perencanaan</v>
      </c>
      <c r="L70" s="468" t="str">
        <f>IFERROR(VLOOKUP(P70,COPY!$A$1:$O$1000,15,FALSE),0)</f>
        <v>BKK.8</v>
      </c>
      <c r="M70" s="468" t="str">
        <f>IFERROR(VLOOKUP(P70,COPY!$A$1:$L$1000,12,FALSE),0)</f>
        <v>A</v>
      </c>
      <c r="N70" s="469">
        <f>IF(H70="Jasa",VLOOKUP('BKU 1'!K70,'Rekap Gaji'!$D$12:$I$24,6,FALSE),(IF(H70="Beli",VLOOKUP(P70,COPY!$A$1:$L$1000,11,FALSE),IF(H70="Bayar Ongkos",VLOOKUP(K70,'Rekap Gaji'!$D$12:$I$24,6,FALSE),0))))</f>
        <v>2761410</v>
      </c>
      <c r="O70" s="470"/>
      <c r="P70" s="466" t="str">
        <f t="shared" si="1"/>
        <v>1.38</v>
      </c>
      <c r="Q70" s="253">
        <f t="shared" si="2"/>
        <v>38</v>
      </c>
      <c r="R70" s="253">
        <f t="shared" si="3"/>
        <v>38</v>
      </c>
      <c r="S70" s="449">
        <f t="shared" si="4"/>
        <v>38</v>
      </c>
      <c r="T70" s="253">
        <f t="shared" si="5"/>
        <v>-71</v>
      </c>
      <c r="U70" s="457" t="str">
        <f t="shared" si="0"/>
        <v xml:space="preserve"> </v>
      </c>
    </row>
    <row r="71" spans="2:21" ht="20.100000000000001" customHeight="1" x14ac:dyDescent="0.25">
      <c r="B71" s="456">
        <f>IF(LEFT(C71,16)="Terima Pajak PPN",VLOOKUP(P71,COPY!$A$1:$AC$1000,21,FALSE),IF(LEFT(C71,16)="Terima Pajak PPH",VLOOKUP(P71,COPY!$A$1:$AC$1000,21,FALSE),IF(LEFT(C71,13)="Terima PPh 23",VLOOKUP(P71,COPY!$A$1:$AC$1000,21,FALSE),0)))</f>
        <v>0</v>
      </c>
      <c r="C71" s="457">
        <f>IFERROR(IF(LEFT(VLOOKUP(P71,COPY!$A$1:$AC$1000,29,FALSE),5)="Terim",VLOOKUP(P71,COPY!$A$1:$AC$1000,29,FALSE),0),0)</f>
        <v>0</v>
      </c>
      <c r="D71" s="457"/>
      <c r="E71" s="457"/>
      <c r="F71" s="458">
        <f>IFERROR(IF(LEFT(VLOOKUP(P71,COPY!$A$1:$AC$1000,29,FALSE),5)="Terim",VLOOKUP(P71,COPY!$A$1:$AC$1000,26,FALSE),0),0)</f>
        <v>0</v>
      </c>
      <c r="G71" s="459">
        <f>IFERROR(VLOOKUP(P71,COPY!$A$1:$L$1000,4,FALSE),0)</f>
        <v>45906</v>
      </c>
      <c r="H71" s="457" t="str">
        <f>IFERROR(VLOOKUP(P71,COPY!$A$1:$L$1000,2,FALSE),0)</f>
        <v>Bayar Ongkos</v>
      </c>
      <c r="I71" s="510">
        <f>IFERROR(VLOOKUP(P71,COPY!$A$1:$L$1000,10,FALSE),0)</f>
        <v>1</v>
      </c>
      <c r="J71" s="467">
        <f>IFERROR(VLOOKUP(P71,COPY!$A$1:$L$1000,8,FALSE),0)</f>
        <v>0</v>
      </c>
      <c r="K71" s="457" t="str">
        <f>IFERROR(VLOOKUP(P71,COPY!$A$1:$L$1000,7,FALSE),0)</f>
        <v>Pembayaran Pekerja Minggu Ke 1</v>
      </c>
      <c r="L71" s="468" t="str">
        <f>IFERROR(VLOOKUP(P71,COPY!$A$1:$O$1000,15,FALSE),0)</f>
        <v>BKK.9</v>
      </c>
      <c r="M71" s="468" t="str">
        <f>IFERROR(VLOOKUP(P71,COPY!$A$1:$L$1000,12,FALSE),0)</f>
        <v>A</v>
      </c>
      <c r="N71" s="469">
        <f>IF(H71="Jasa",VLOOKUP('BKU 1'!K71,'Rekap Gaji'!$D$12:$I$24,6,FALSE),(IF(H71="Beli",VLOOKUP(P71,COPY!$A$1:$L$1000,11,FALSE),IF(H71="Bayar Ongkos",VLOOKUP(K71,'Rekap Gaji'!$D$12:$I$24,6,FALSE),0))))</f>
        <v>5110000</v>
      </c>
      <c r="P71" s="466" t="str">
        <f t="shared" si="1"/>
        <v>1.39</v>
      </c>
      <c r="Q71" s="253">
        <f t="shared" si="2"/>
        <v>39</v>
      </c>
      <c r="R71" s="253">
        <f t="shared" si="3"/>
        <v>39</v>
      </c>
      <c r="S71" s="449">
        <f t="shared" si="4"/>
        <v>39</v>
      </c>
      <c r="T71" s="253">
        <f t="shared" si="5"/>
        <v>-70</v>
      </c>
      <c r="U71" s="457" t="str">
        <f t="shared" si="0"/>
        <v xml:space="preserve"> </v>
      </c>
    </row>
    <row r="72" spans="2:21" ht="20.100000000000001" customHeight="1" x14ac:dyDescent="0.25">
      <c r="B72" s="456">
        <f>IF(LEFT(C72,16)="Terima Pajak PPN",VLOOKUP(P72,COPY!$A$1:$AC$1000,21,FALSE),IF(LEFT(C72,16)="Terima Pajak PPH",VLOOKUP(P72,COPY!$A$1:$AC$1000,21,FALSE),IF(LEFT(C72,13)="Terima PPh 23",VLOOKUP(P72,COPY!$A$1:$AC$1000,21,FALSE),0)))</f>
        <v>0</v>
      </c>
      <c r="C72" s="457">
        <f>IFERROR(IF(LEFT(VLOOKUP(P72,COPY!$A$1:$AC$1000,29,FALSE),5)="Terim",VLOOKUP(P72,COPY!$A$1:$AC$1000,29,FALSE),0),0)</f>
        <v>0</v>
      </c>
      <c r="D72" s="457"/>
      <c r="E72" s="457"/>
      <c r="F72" s="458">
        <f>IFERROR(IF(LEFT(VLOOKUP(P72,COPY!$A$1:$AC$1000,29,FALSE),5)="Terim",VLOOKUP(P72,COPY!$A$1:$AC$1000,26,FALSE),0),0)</f>
        <v>0</v>
      </c>
      <c r="G72" s="459">
        <f>IFERROR(VLOOKUP(P72,COPY!$A$1:$L$1000,4,FALSE),0)</f>
        <v>45908</v>
      </c>
      <c r="H72" s="457" t="str">
        <f>IFERROR(VLOOKUP(P72,COPY!$A$1:$L$1000,2,FALSE),0)</f>
        <v>Beli</v>
      </c>
      <c r="I72" s="510">
        <f>IFERROR(VLOOKUP(P72,COPY!$A$1:$L$1000,10,FALSE),0)</f>
        <v>2</v>
      </c>
      <c r="J72" s="467" t="str">
        <f>IFERROR(VLOOKUP(P72,COPY!$A$1:$L$1000,8,FALSE),0)</f>
        <v>Pcs</v>
      </c>
      <c r="K72" s="457" t="str">
        <f>IFERROR(VLOOKUP(P72,COPY!$A$1:$L$1000,7,FALSE),0)</f>
        <v>Garuk Besar</v>
      </c>
      <c r="L72" s="468" t="str">
        <f>IFERROR(VLOOKUP(P72,COPY!$A$1:$O$1000,15,FALSE),0)</f>
        <v>BKK.10</v>
      </c>
      <c r="M72" s="468" t="str">
        <f>IFERROR(VLOOKUP(P72,COPY!$A$1:$L$1000,12,FALSE),0)</f>
        <v>C</v>
      </c>
      <c r="N72" s="469">
        <f>IF(H72="Jasa",VLOOKUP('BKU 1'!K72,'Rekap Gaji'!$D$12:$I$24,6,FALSE),(IF(H72="Beli",VLOOKUP(P72,COPY!$A$1:$L$1000,11,FALSE),IF(H72="Bayar Ongkos",VLOOKUP(K72,'Rekap Gaji'!$D$12:$I$24,6,FALSE),0))))</f>
        <v>50000</v>
      </c>
      <c r="P72" s="466" t="str">
        <f t="shared" si="1"/>
        <v>1.40</v>
      </c>
      <c r="Q72" s="253">
        <f t="shared" si="2"/>
        <v>40</v>
      </c>
      <c r="R72" s="253">
        <f t="shared" si="3"/>
        <v>40</v>
      </c>
      <c r="S72" s="449">
        <f t="shared" si="4"/>
        <v>40</v>
      </c>
      <c r="T72" s="253">
        <f t="shared" si="5"/>
        <v>-69</v>
      </c>
      <c r="U72" s="457" t="str">
        <f t="shared" si="0"/>
        <v xml:space="preserve"> </v>
      </c>
    </row>
    <row r="73" spans="2:21" ht="20.100000000000001" customHeight="1" x14ac:dyDescent="0.25">
      <c r="B73" s="456">
        <f>IF(LEFT(C73,16)="Terima Pajak PPN",VLOOKUP(P73,COPY!$A$1:$AC$1000,21,FALSE),IF(LEFT(C73,16)="Terima Pajak PPH",VLOOKUP(P73,COPY!$A$1:$AC$1000,21,FALSE),IF(LEFT(C73,13)="Terima PPh 23",VLOOKUP(P73,COPY!$A$1:$AC$1000,21,FALSE),0)))</f>
        <v>0</v>
      </c>
      <c r="C73" s="457">
        <f>IFERROR(IF(LEFT(VLOOKUP(P73,COPY!$A$1:$AC$1000,29,FALSE),5)="Terim",VLOOKUP(P73,COPY!$A$1:$AC$1000,29,FALSE),0),0)</f>
        <v>0</v>
      </c>
      <c r="D73" s="457"/>
      <c r="E73" s="457"/>
      <c r="F73" s="458">
        <f>IFERROR(IF(LEFT(VLOOKUP(P73,COPY!$A$1:$AC$1000,29,FALSE),5)="Terim",VLOOKUP(P73,COPY!$A$1:$AC$1000,26,FALSE),0),0)</f>
        <v>0</v>
      </c>
      <c r="G73" s="459" t="str">
        <f>IFERROR(VLOOKUP(P73,COPY!$A$1:$L$1000,4,FALSE),0)</f>
        <v/>
      </c>
      <c r="H73" s="457" t="str">
        <f>IFERROR(VLOOKUP(P73,COPY!$A$1:$L$1000,2,FALSE),0)</f>
        <v>Beli</v>
      </c>
      <c r="I73" s="510">
        <f>IFERROR(VLOOKUP(P73,COPY!$A$1:$L$1000,10,FALSE),0)</f>
        <v>6</v>
      </c>
      <c r="J73" s="467" t="str">
        <f>IFERROR(VLOOKUP(P73,COPY!$A$1:$L$1000,8,FALSE),0)</f>
        <v>Pcs</v>
      </c>
      <c r="K73" s="457" t="str">
        <f>IFERROR(VLOOKUP(P73,COPY!$A$1:$L$1000,7,FALSE),0)</f>
        <v>Kaleng Adiva</v>
      </c>
      <c r="L73" s="468" t="str">
        <f>IFERROR(VLOOKUP(P73,COPY!$A$1:$O$1000,15,FALSE),0)</f>
        <v/>
      </c>
      <c r="M73" s="468" t="str">
        <f>IFERROR(VLOOKUP(P73,COPY!$A$1:$L$1000,12,FALSE),0)</f>
        <v>C</v>
      </c>
      <c r="N73" s="469">
        <f>IF(H73="Jasa",VLOOKUP('BKU 1'!K73,'Rekap Gaji'!$D$12:$I$24,6,FALSE),(IF(H73="Beli",VLOOKUP(P73,COPY!$A$1:$L$1000,11,FALSE),IF(H73="Bayar Ongkos",VLOOKUP(K73,'Rekap Gaji'!$D$12:$I$24,6,FALSE),0))))</f>
        <v>60000</v>
      </c>
      <c r="O73" s="470"/>
      <c r="P73" s="466" t="str">
        <f t="shared" si="1"/>
        <v>1.41</v>
      </c>
      <c r="Q73" s="253">
        <f t="shared" si="2"/>
        <v>41</v>
      </c>
      <c r="R73" s="253">
        <f t="shared" si="3"/>
        <v>41</v>
      </c>
      <c r="S73" s="449">
        <f t="shared" si="4"/>
        <v>41</v>
      </c>
      <c r="T73" s="253">
        <f t="shared" si="5"/>
        <v>-68</v>
      </c>
      <c r="U73" s="457" t="str">
        <f t="shared" si="0"/>
        <v xml:space="preserve"> </v>
      </c>
    </row>
    <row r="74" spans="2:21" ht="20.100000000000001" customHeight="1" x14ac:dyDescent="0.25">
      <c r="B74" s="456">
        <f>IF(LEFT(C74,16)="Terima Pajak PPN",VLOOKUP(P74,COPY!$A$1:$AC$1000,21,FALSE),IF(LEFT(C74,16)="Terima Pajak PPH",VLOOKUP(P74,COPY!$A$1:$AC$1000,21,FALSE),IF(LEFT(C74,13)="Terima PPh 23",VLOOKUP(P74,COPY!$A$1:$AC$1000,21,FALSE),0)))</f>
        <v>0</v>
      </c>
      <c r="C74" s="457">
        <f>IFERROR(IF(LEFT(VLOOKUP(P74,COPY!$A$1:$AC$1000,29,FALSE),5)="Terim",VLOOKUP(P74,COPY!$A$1:$AC$1000,29,FALSE),0),0)</f>
        <v>0</v>
      </c>
      <c r="D74" s="457"/>
      <c r="E74" s="457"/>
      <c r="F74" s="458">
        <f>IFERROR(IF(LEFT(VLOOKUP(P74,COPY!$A$1:$AC$1000,29,FALSE),5)="Terim",VLOOKUP(P74,COPY!$A$1:$AC$1000,26,FALSE),0),0)</f>
        <v>0</v>
      </c>
      <c r="G74" s="459" t="str">
        <f>IFERROR(VLOOKUP(P74,COPY!$A$1:$L$1000,4,FALSE),0)</f>
        <v/>
      </c>
      <c r="H74" s="457" t="str">
        <f>IFERROR(VLOOKUP(P74,COPY!$A$1:$L$1000,2,FALSE),0)</f>
        <v>Beli</v>
      </c>
      <c r="I74" s="510">
        <f>IFERROR(VLOOKUP(P74,COPY!$A$1:$L$1000,10,FALSE),0)</f>
        <v>20</v>
      </c>
      <c r="J74" s="467" t="str">
        <f>IFERROR(VLOOKUP(P74,COPY!$A$1:$L$1000,8,FALSE),0)</f>
        <v>Ljr</v>
      </c>
      <c r="K74" s="457" t="str">
        <f>IFERROR(VLOOKUP(P74,COPY!$A$1:$L$1000,7,FALSE),0)</f>
        <v>Bambu</v>
      </c>
      <c r="L74" s="468" t="str">
        <f>IFERROR(VLOOKUP(P74,COPY!$A$1:$O$1000,15,FALSE),0)</f>
        <v/>
      </c>
      <c r="M74" s="468" t="str">
        <f>IFERROR(VLOOKUP(P74,COPY!$A$1:$L$1000,12,FALSE),0)</f>
        <v>B</v>
      </c>
      <c r="N74" s="469">
        <f>IF(H74="Jasa",VLOOKUP('BKU 1'!K74,'Rekap Gaji'!$D$12:$I$24,6,FALSE),(IF(H74="Beli",VLOOKUP(P74,COPY!$A$1:$L$1000,11,FALSE),IF(H74="Bayar Ongkos",VLOOKUP(K74,'Rekap Gaji'!$D$12:$I$24,6,FALSE),0))))</f>
        <v>500000</v>
      </c>
      <c r="O74" s="470"/>
      <c r="P74" s="466" t="str">
        <f t="shared" si="1"/>
        <v>1.42</v>
      </c>
      <c r="Q74" s="253">
        <f t="shared" si="2"/>
        <v>42</v>
      </c>
      <c r="R74" s="253">
        <f t="shared" si="3"/>
        <v>42</v>
      </c>
      <c r="S74" s="449">
        <f t="shared" si="4"/>
        <v>42</v>
      </c>
      <c r="T74" s="253">
        <f t="shared" si="5"/>
        <v>-67</v>
      </c>
      <c r="U74" s="457" t="str">
        <f t="shared" si="0"/>
        <v xml:space="preserve"> </v>
      </c>
    </row>
    <row r="75" spans="2:21" ht="20.100000000000001" customHeight="1" x14ac:dyDescent="0.25">
      <c r="B75" s="456">
        <f>IF(LEFT(C75,16)="Terima Pajak PPN",VLOOKUP(P75,COPY!$A$1:$AC$1000,21,FALSE),IF(LEFT(C75,16)="Terima Pajak PPH",VLOOKUP(P75,COPY!$A$1:$AC$1000,21,FALSE),IF(LEFT(C75,13)="Terima PPh 23",VLOOKUP(P75,COPY!$A$1:$AC$1000,21,FALSE),0)))</f>
        <v>0</v>
      </c>
      <c r="C75" s="457">
        <f>IFERROR(IF(LEFT(VLOOKUP(P75,COPY!$A$1:$AC$1000,29,FALSE),5)="Terim",VLOOKUP(P75,COPY!$A$1:$AC$1000,29,FALSE),0),0)</f>
        <v>0</v>
      </c>
      <c r="D75" s="457"/>
      <c r="E75" s="457"/>
      <c r="F75" s="458">
        <f>IFERROR(IF(LEFT(VLOOKUP(P75,COPY!$A$1:$AC$1000,29,FALSE),5)="Terim",VLOOKUP(P75,COPY!$A$1:$AC$1000,26,FALSE),0),0)</f>
        <v>0</v>
      </c>
      <c r="G75" s="459" t="str">
        <f>IFERROR(VLOOKUP(P75,COPY!$A$1:$L$1000,4,FALSE),0)</f>
        <v/>
      </c>
      <c r="H75" s="457" t="str">
        <f>IFERROR(VLOOKUP(P75,COPY!$A$1:$L$1000,2,FALSE),0)</f>
        <v>Beli</v>
      </c>
      <c r="I75" s="510">
        <f>IFERROR(VLOOKUP(P75,COPY!$A$1:$L$1000,10,FALSE),0)</f>
        <v>4</v>
      </c>
      <c r="J75" s="467" t="str">
        <f>IFERROR(VLOOKUP(P75,COPY!$A$1:$L$1000,8,FALSE),0)</f>
        <v>kg</v>
      </c>
      <c r="K75" s="457" t="str">
        <f>IFERROR(VLOOKUP(P75,COPY!$A$1:$L$1000,7,FALSE),0)</f>
        <v>Paku 1 1/2</v>
      </c>
      <c r="L75" s="468" t="str">
        <f>IFERROR(VLOOKUP(P75,COPY!$A$1:$O$1000,15,FALSE),0)</f>
        <v/>
      </c>
      <c r="M75" s="468" t="str">
        <f>IFERROR(VLOOKUP(P75,COPY!$A$1:$L$1000,12,FALSE),0)</f>
        <v>B</v>
      </c>
      <c r="N75" s="469">
        <f>IF(H75="Jasa",VLOOKUP('BKU 1'!K75,'Rekap Gaji'!$D$12:$I$24,6,FALSE),(IF(H75="Beli",VLOOKUP(P75,COPY!$A$1:$L$1000,11,FALSE),IF(H75="Bayar Ongkos",VLOOKUP(K75,'Rekap Gaji'!$D$12:$I$24,6,FALSE),0))))</f>
        <v>80000</v>
      </c>
      <c r="O75" s="470"/>
      <c r="P75" s="466" t="str">
        <f t="shared" si="1"/>
        <v>1.43</v>
      </c>
      <c r="Q75" s="253">
        <f t="shared" si="2"/>
        <v>43</v>
      </c>
      <c r="R75" s="253">
        <f t="shared" si="3"/>
        <v>43</v>
      </c>
      <c r="S75" s="449">
        <f t="shared" si="4"/>
        <v>43</v>
      </c>
      <c r="T75" s="253">
        <f t="shared" si="5"/>
        <v>-66</v>
      </c>
      <c r="U75" s="457" t="str">
        <f t="shared" si="0"/>
        <v xml:space="preserve"> </v>
      </c>
    </row>
    <row r="76" spans="2:21" ht="20.100000000000001" customHeight="1" x14ac:dyDescent="0.25">
      <c r="B76" s="456">
        <f>IF(LEFT(C76,16)="Terima Pajak PPN",VLOOKUP(P76,COPY!$A$1:$AC$1000,21,FALSE),IF(LEFT(C76,16)="Terima Pajak PPH",VLOOKUP(P76,COPY!$A$1:$AC$1000,21,FALSE),IF(LEFT(C76,13)="Terima PPh 23",VLOOKUP(P76,COPY!$A$1:$AC$1000,21,FALSE),0)))</f>
        <v>0</v>
      </c>
      <c r="C76" s="457">
        <f>IFERROR(IF(LEFT(VLOOKUP(P76,COPY!$A$1:$AC$1000,29,FALSE),5)="Terim",VLOOKUP(P76,COPY!$A$1:$AC$1000,29,FALSE),0),0)</f>
        <v>0</v>
      </c>
      <c r="D76" s="457"/>
      <c r="E76" s="457"/>
      <c r="F76" s="458">
        <f>IFERROR(IF(LEFT(VLOOKUP(P76,COPY!$A$1:$AC$1000,29,FALSE),5)="Terim",VLOOKUP(P76,COPY!$A$1:$AC$1000,26,FALSE),0),0)</f>
        <v>0</v>
      </c>
      <c r="G76" s="459" t="str">
        <f>IFERROR(VLOOKUP(P76,COPY!$A$1:$L$1000,4,FALSE),0)</f>
        <v/>
      </c>
      <c r="H76" s="457" t="str">
        <f>IFERROR(VLOOKUP(P76,COPY!$A$1:$L$1000,2,FALSE),0)</f>
        <v>Beli</v>
      </c>
      <c r="I76" s="510">
        <f>IFERROR(VLOOKUP(P76,COPY!$A$1:$L$1000,10,FALSE),0)</f>
        <v>1</v>
      </c>
      <c r="J76" s="467" t="str">
        <f>IFERROR(VLOOKUP(P76,COPY!$A$1:$L$1000,8,FALSE),0)</f>
        <v>Pik Up</v>
      </c>
      <c r="K76" s="457" t="str">
        <f>IFERROR(VLOOKUP(P76,COPY!$A$1:$L$1000,7,FALSE),0)</f>
        <v>Pasir Biasa L300</v>
      </c>
      <c r="L76" s="468" t="str">
        <f>IFERROR(VLOOKUP(P76,COPY!$A$1:$O$1000,15,FALSE),0)</f>
        <v/>
      </c>
      <c r="M76" s="468" t="str">
        <f>IFERROR(VLOOKUP(P76,COPY!$A$1:$L$1000,12,FALSE),0)</f>
        <v>B</v>
      </c>
      <c r="N76" s="469">
        <f>IF(H76="Jasa",VLOOKUP('BKU 1'!K76,'Rekap Gaji'!$D$12:$I$24,6,FALSE),(IF(H76="Beli",VLOOKUP(P76,COPY!$A$1:$L$1000,11,FALSE),IF(H76="Bayar Ongkos",VLOOKUP(K76,'Rekap Gaji'!$D$12:$I$24,6,FALSE),0))))</f>
        <v>230000</v>
      </c>
      <c r="O76" s="470"/>
      <c r="P76" s="466" t="str">
        <f t="shared" si="1"/>
        <v>1.44</v>
      </c>
      <c r="Q76" s="253">
        <f t="shared" si="2"/>
        <v>44</v>
      </c>
      <c r="R76" s="253">
        <f t="shared" si="3"/>
        <v>44</v>
      </c>
      <c r="S76" s="449">
        <f t="shared" si="4"/>
        <v>44</v>
      </c>
      <c r="T76" s="253">
        <f t="shared" si="5"/>
        <v>-65</v>
      </c>
      <c r="U76" s="457" t="str">
        <f t="shared" si="0"/>
        <v xml:space="preserve"> </v>
      </c>
    </row>
    <row r="77" spans="2:21" ht="20.100000000000001" customHeight="1" x14ac:dyDescent="0.25">
      <c r="B77" s="456">
        <f>IF(LEFT(C77,16)="Terima Pajak PPN",VLOOKUP(P77,COPY!$A$1:$AC$1000,21,FALSE),IF(LEFT(C77,16)="Terima Pajak PPH",VLOOKUP(P77,COPY!$A$1:$AC$1000,21,FALSE),IF(LEFT(C77,13)="Terima PPh 23",VLOOKUP(P77,COPY!$A$1:$AC$1000,21,FALSE),0)))</f>
        <v>0</v>
      </c>
      <c r="C77" s="457">
        <f>IFERROR(IF(LEFT(VLOOKUP(P77,COPY!$A$1:$AC$1000,29,FALSE),5)="Terim",VLOOKUP(P77,COPY!$A$1:$AC$1000,29,FALSE),0),0)</f>
        <v>0</v>
      </c>
      <c r="D77" s="457"/>
      <c r="E77" s="457"/>
      <c r="F77" s="458">
        <f>IFERROR(IF(LEFT(VLOOKUP(P77,COPY!$A$1:$AC$1000,29,FALSE),5)="Terim",VLOOKUP(P77,COPY!$A$1:$AC$1000,26,FALSE),0),0)</f>
        <v>0</v>
      </c>
      <c r="G77" s="459" t="str">
        <f>IFERROR(VLOOKUP(P77,COPY!$A$1:$L$1000,4,FALSE),0)</f>
        <v/>
      </c>
      <c r="H77" s="457" t="str">
        <f>IFERROR(VLOOKUP(P77,COPY!$A$1:$L$1000,2,FALSE),0)</f>
        <v>Beli</v>
      </c>
      <c r="I77" s="510">
        <f>IFERROR(VLOOKUP(P77,COPY!$A$1:$L$1000,10,FALSE),0)</f>
        <v>7</v>
      </c>
      <c r="J77" s="467" t="str">
        <f>IFERROR(VLOOKUP(P77,COPY!$A$1:$L$1000,8,FALSE),0)</f>
        <v>Sak</v>
      </c>
      <c r="K77" s="457" t="str">
        <f>IFERROR(VLOOKUP(P77,COPY!$A$1:$L$1000,7,FALSE),0)</f>
        <v>Semen 3 Roda</v>
      </c>
      <c r="L77" s="468" t="str">
        <f>IFERROR(VLOOKUP(P77,COPY!$A$1:$O$1000,15,FALSE),0)</f>
        <v/>
      </c>
      <c r="M77" s="468" t="str">
        <f>IFERROR(VLOOKUP(P77,COPY!$A$1:$L$1000,12,FALSE),0)</f>
        <v>B</v>
      </c>
      <c r="N77" s="471">
        <f>IF(H77="Jasa",VLOOKUP('BKU 1'!K77,'Rekap Gaji'!$D$12:$I$24,6,FALSE),(IF(H77="Beli",VLOOKUP(P77,COPY!$A$1:$L$1000,11,FALSE),IF(H77="Bayar Ongkos",VLOOKUP(K77,'Rekap Gaji'!$D$12:$I$24,6,FALSE),0))))</f>
        <v>364000</v>
      </c>
      <c r="O77" s="470"/>
      <c r="P77" s="466" t="str">
        <f t="shared" si="1"/>
        <v>1.45</v>
      </c>
      <c r="Q77" s="253">
        <f t="shared" si="2"/>
        <v>45</v>
      </c>
      <c r="R77" s="253">
        <f t="shared" si="3"/>
        <v>45</v>
      </c>
      <c r="S77" s="449">
        <f t="shared" si="4"/>
        <v>45</v>
      </c>
      <c r="T77" s="253">
        <f t="shared" si="5"/>
        <v>-64</v>
      </c>
      <c r="U77" s="457" t="str">
        <f t="shared" si="0"/>
        <v xml:space="preserve"> </v>
      </c>
    </row>
    <row r="78" spans="2:21" ht="20.100000000000001" customHeight="1" x14ac:dyDescent="0.25">
      <c r="B78" s="456">
        <f>IF(LEFT(C78,16)="Terima Pajak PPN",VLOOKUP(P78,COPY!$A$1:$AC$1000,21,FALSE),IF(LEFT(C78,16)="Terima Pajak PPH",VLOOKUP(P78,COPY!$A$1:$AC$1000,21,FALSE),IF(LEFT(C78,13)="Terima PPh 23",VLOOKUP(P78,COPY!$A$1:$AC$1000,21,FALSE),0)))</f>
        <v>0</v>
      </c>
      <c r="C78" s="457">
        <f>IFERROR(IF(LEFT(VLOOKUP(P78,COPY!$A$1:$AC$1000,29,FALSE),5)="Terim",VLOOKUP(P78,COPY!$A$1:$AC$1000,29,FALSE),0),0)</f>
        <v>0</v>
      </c>
      <c r="D78" s="457"/>
      <c r="E78" s="457"/>
      <c r="F78" s="458">
        <f>IFERROR(IF(LEFT(VLOOKUP(P78,COPY!$A$1:$AC$1000,29,FALSE),5)="Terim",VLOOKUP(P78,COPY!$A$1:$AC$1000,26,FALSE),0),0)</f>
        <v>0</v>
      </c>
      <c r="G78" s="459">
        <f>IFERROR(VLOOKUP(P78,COPY!$A$1:$L$1000,4,FALSE),0)</f>
        <v>45909</v>
      </c>
      <c r="H78" s="457" t="str">
        <f>IFERROR(VLOOKUP(P78,COPY!$A$1:$L$1000,2,FALSE),0)</f>
        <v>Beli</v>
      </c>
      <c r="I78" s="510">
        <f>IFERROR(VLOOKUP(P78,COPY!$A$1:$L$1000,10,FALSE),0)</f>
        <v>1</v>
      </c>
      <c r="J78" s="467" t="str">
        <f>IFERROR(VLOOKUP(P78,COPY!$A$1:$L$1000,8,FALSE),0)</f>
        <v>Pik Up</v>
      </c>
      <c r="K78" s="457" t="str">
        <f>IFERROR(VLOOKUP(P78,COPY!$A$1:$L$1000,7,FALSE),0)</f>
        <v>Koral L300</v>
      </c>
      <c r="L78" s="468" t="str">
        <f>IFERROR(VLOOKUP(P78,COPY!$A$1:$O$1000,15,FALSE),0)</f>
        <v>BKK.11</v>
      </c>
      <c r="M78" s="468" t="str">
        <f>IFERROR(VLOOKUP(P78,COPY!$A$1:$L$1000,12,FALSE),0)</f>
        <v>B</v>
      </c>
      <c r="N78" s="471">
        <f>IF(H78="Jasa",VLOOKUP('BKU 1'!K78,'Rekap Gaji'!$D$12:$I$24,6,FALSE),(IF(H78="Beli",VLOOKUP(P78,COPY!$A$1:$L$1000,11,FALSE),IF(H78="Bayar Ongkos",VLOOKUP(K78,'Rekap Gaji'!$D$12:$I$24,6,FALSE),0))))</f>
        <v>350000</v>
      </c>
      <c r="O78" s="470"/>
      <c r="P78" s="466" t="str">
        <f t="shared" si="1"/>
        <v>1.46</v>
      </c>
      <c r="Q78" s="253">
        <f t="shared" si="2"/>
        <v>46</v>
      </c>
      <c r="R78" s="253">
        <f t="shared" si="3"/>
        <v>46</v>
      </c>
      <c r="S78" s="449">
        <f t="shared" si="4"/>
        <v>46</v>
      </c>
      <c r="T78" s="253">
        <f t="shared" si="5"/>
        <v>-63</v>
      </c>
      <c r="U78" s="457" t="str">
        <f t="shared" si="0"/>
        <v xml:space="preserve"> </v>
      </c>
    </row>
    <row r="79" spans="2:21" ht="20.100000000000001" customHeight="1" x14ac:dyDescent="0.25">
      <c r="B79" s="456">
        <f>IF(LEFT(C79,16)="Terima Pajak PPN",VLOOKUP(P79,COPY!$A$1:$AC$1000,21,FALSE),IF(LEFT(C79,16)="Terima Pajak PPH",VLOOKUP(P79,COPY!$A$1:$AC$1000,21,FALSE),IF(LEFT(C79,13)="Terima PPh 23",VLOOKUP(P79,COPY!$A$1:$AC$1000,21,FALSE),0)))</f>
        <v>0</v>
      </c>
      <c r="C79" s="457">
        <f>IFERROR(IF(LEFT(VLOOKUP(P79,COPY!$A$1:$AC$1000,29,FALSE),5)="Terim",VLOOKUP(P79,COPY!$A$1:$AC$1000,29,FALSE),0),0)</f>
        <v>0</v>
      </c>
      <c r="D79" s="457"/>
      <c r="E79" s="457"/>
      <c r="F79" s="458">
        <f>IFERROR(IF(LEFT(VLOOKUP(P79,COPY!$A$1:$AC$1000,29,FALSE),5)="Terim",VLOOKUP(P79,COPY!$A$1:$AC$1000,26,FALSE),0),0)</f>
        <v>0</v>
      </c>
      <c r="G79" s="459" t="str">
        <f>IFERROR(VLOOKUP(P79,COPY!$A$1:$L$1000,4,FALSE),0)</f>
        <v/>
      </c>
      <c r="H79" s="457" t="str">
        <f>IFERROR(VLOOKUP(P79,COPY!$A$1:$L$1000,2,FALSE),0)</f>
        <v>Beli</v>
      </c>
      <c r="I79" s="510">
        <f>IFERROR(VLOOKUP(P79,COPY!$A$1:$L$1000,10,FALSE),0)</f>
        <v>5</v>
      </c>
      <c r="J79" s="467" t="str">
        <f>IFERROR(VLOOKUP(P79,COPY!$A$1:$L$1000,8,FALSE),0)</f>
        <v>kg</v>
      </c>
      <c r="K79" s="457" t="str">
        <f>IFERROR(VLOOKUP(P79,COPY!$A$1:$L$1000,7,FALSE),0)</f>
        <v>Bendrat Spq</v>
      </c>
      <c r="L79" s="468" t="str">
        <f>IFERROR(VLOOKUP(P79,COPY!$A$1:$O$1000,15,FALSE),0)</f>
        <v/>
      </c>
      <c r="M79" s="468" t="str">
        <f>IFERROR(VLOOKUP(P79,COPY!$A$1:$L$1000,12,FALSE),0)</f>
        <v>B</v>
      </c>
      <c r="N79" s="471">
        <f>IF(H79="Jasa",VLOOKUP('BKU 1'!K79,'Rekap Gaji'!$D$12:$I$24,6,FALSE),(IF(H79="Beli",VLOOKUP(P79,COPY!$A$1:$L$1000,11,FALSE),IF(H79="Bayar Ongkos",VLOOKUP(K79,'Rekap Gaji'!$D$12:$I$24,6,FALSE),0))))</f>
        <v>110000</v>
      </c>
      <c r="P79" s="466" t="str">
        <f t="shared" si="1"/>
        <v>1.47</v>
      </c>
      <c r="Q79" s="253">
        <f t="shared" si="2"/>
        <v>47</v>
      </c>
      <c r="R79" s="253">
        <f t="shared" si="3"/>
        <v>47</v>
      </c>
      <c r="S79" s="449">
        <f t="shared" si="4"/>
        <v>47</v>
      </c>
      <c r="T79" s="253">
        <f t="shared" si="5"/>
        <v>-62</v>
      </c>
      <c r="U79" s="457" t="str">
        <f t="shared" si="0"/>
        <v xml:space="preserve"> </v>
      </c>
    </row>
    <row r="80" spans="2:21" ht="20.100000000000001" customHeight="1" x14ac:dyDescent="0.25">
      <c r="B80" s="456">
        <f>IF(LEFT(C80,16)="Terima Pajak PPN",VLOOKUP(P80,COPY!$A$1:$AC$1000,21,FALSE),IF(LEFT(C80,16)="Terima Pajak PPH",VLOOKUP(P80,COPY!$A$1:$AC$1000,21,FALSE),IF(LEFT(C80,13)="Terima PPh 23",VLOOKUP(P80,COPY!$A$1:$AC$1000,21,FALSE),0)))</f>
        <v>0</v>
      </c>
      <c r="C80" s="457">
        <f>IFERROR(IF(LEFT(VLOOKUP(P80,COPY!$A$1:$AC$1000,29,FALSE),5)="Terim",VLOOKUP(P80,COPY!$A$1:$AC$1000,29,FALSE),0),0)</f>
        <v>0</v>
      </c>
      <c r="D80" s="457"/>
      <c r="E80" s="457"/>
      <c r="F80" s="458">
        <f>IFERROR(IF(LEFT(VLOOKUP(P80,COPY!$A$1:$AC$1000,29,FALSE),5)="Terim",VLOOKUP(P80,COPY!$A$1:$AC$1000,26,FALSE),0),0)</f>
        <v>0</v>
      </c>
      <c r="G80" s="459" t="str">
        <f>IFERROR(VLOOKUP(P80,COPY!$A$1:$L$1000,4,FALSE),0)</f>
        <v/>
      </c>
      <c r="H80" s="457" t="str">
        <f>IFERROR(VLOOKUP(P80,COPY!$A$1:$L$1000,2,FALSE),0)</f>
        <v>Beli</v>
      </c>
      <c r="I80" s="510">
        <f>IFERROR(VLOOKUP(P80,COPY!$A$1:$L$1000,10,FALSE),0)</f>
        <v>20</v>
      </c>
      <c r="J80" s="467" t="str">
        <f>IFERROR(VLOOKUP(P80,COPY!$A$1:$L$1000,8,FALSE),0)</f>
        <v>Ljr</v>
      </c>
      <c r="K80" s="457" t="str">
        <f>IFERROR(VLOOKUP(P80,COPY!$A$1:$L$1000,7,FALSE),0)</f>
        <v>Besi 8.0 Sni</v>
      </c>
      <c r="L80" s="468" t="str">
        <f>IFERROR(VLOOKUP(P80,COPY!$A$1:$O$1000,15,FALSE),0)</f>
        <v/>
      </c>
      <c r="M80" s="468" t="str">
        <f>IFERROR(VLOOKUP(P80,COPY!$A$1:$L$1000,12,FALSE),0)</f>
        <v>B</v>
      </c>
      <c r="N80" s="471">
        <f>IF(H80="Jasa",VLOOKUP('BKU 1'!K80,'Rekap Gaji'!$D$12:$I$24,6,FALSE),(IF(H80="Beli",VLOOKUP(P80,COPY!$A$1:$L$1000,11,FALSE),IF(H80="Bayar Ongkos",VLOOKUP(K80,'Rekap Gaji'!$D$12:$I$24,6,FALSE),0))))</f>
        <v>920000</v>
      </c>
      <c r="O80" s="470"/>
      <c r="P80" s="466" t="str">
        <f t="shared" si="1"/>
        <v>1.48</v>
      </c>
      <c r="Q80" s="253">
        <f t="shared" si="2"/>
        <v>48</v>
      </c>
      <c r="R80" s="253">
        <f t="shared" si="3"/>
        <v>48</v>
      </c>
      <c r="S80" s="449">
        <f t="shared" si="4"/>
        <v>48</v>
      </c>
      <c r="T80" s="253">
        <f t="shared" si="5"/>
        <v>-61</v>
      </c>
      <c r="U80" s="457" t="str">
        <f t="shared" si="0"/>
        <v xml:space="preserve"> </v>
      </c>
    </row>
    <row r="81" spans="2:21" ht="20.100000000000001" customHeight="1" x14ac:dyDescent="0.25">
      <c r="B81" s="456">
        <f>IF(LEFT(C81,16)="Terima Pajak PPN",VLOOKUP(P81,COPY!$A$1:$AC$1000,21,FALSE),IF(LEFT(C81,16)="Terima Pajak PPH",VLOOKUP(P81,COPY!$A$1:$AC$1000,21,FALSE),IF(LEFT(C81,13)="Terima PPh 23",VLOOKUP(P81,COPY!$A$1:$AC$1000,21,FALSE),0)))</f>
        <v>0</v>
      </c>
      <c r="C81" s="457">
        <f>IFERROR(IF(LEFT(VLOOKUP(P81,COPY!$A$1:$AC$1000,29,FALSE),5)="Terim",VLOOKUP(P81,COPY!$A$1:$AC$1000,29,FALSE),0),0)</f>
        <v>0</v>
      </c>
      <c r="D81" s="457"/>
      <c r="E81" s="457"/>
      <c r="F81" s="458">
        <f>IFERROR(IF(LEFT(VLOOKUP(P81,COPY!$A$1:$AC$1000,29,FALSE),5)="Terim",VLOOKUP(P81,COPY!$A$1:$AC$1000,26,FALSE),0),0)</f>
        <v>0</v>
      </c>
      <c r="G81" s="459" t="str">
        <f>IFERROR(VLOOKUP(P81,COPY!$A$1:$L$1000,4,FALSE),0)</f>
        <v/>
      </c>
      <c r="H81" s="457" t="str">
        <f>IFERROR(VLOOKUP(P81,COPY!$A$1:$L$1000,2,FALSE),0)</f>
        <v>Beli</v>
      </c>
      <c r="I81" s="510">
        <f>IFERROR(VLOOKUP(P81,COPY!$A$1:$L$1000,10,FALSE),0)</f>
        <v>6</v>
      </c>
      <c r="J81" s="467" t="str">
        <f>IFERROR(VLOOKUP(P81,COPY!$A$1:$L$1000,8,FALSE),0)</f>
        <v>Ljr</v>
      </c>
      <c r="K81" s="457" t="str">
        <f>IFERROR(VLOOKUP(P81,COPY!$A$1:$L$1000,7,FALSE),0)</f>
        <v>Besi Sni 10.0</v>
      </c>
      <c r="L81" s="468" t="str">
        <f>IFERROR(VLOOKUP(P81,COPY!$A$1:$O$1000,15,FALSE),0)</f>
        <v/>
      </c>
      <c r="M81" s="468" t="str">
        <f>IFERROR(VLOOKUP(P81,COPY!$A$1:$L$1000,12,FALSE),0)</f>
        <v>B</v>
      </c>
      <c r="N81" s="471">
        <f>IF(H81="Jasa",VLOOKUP('BKU 1'!K81,'Rekap Gaji'!$D$12:$I$24,6,FALSE),(IF(H81="Beli",VLOOKUP(P81,COPY!$A$1:$L$1000,11,FALSE),IF(H81="Bayar Ongkos",VLOOKUP(K81,'Rekap Gaji'!$D$12:$I$24,6,FALSE),0))))</f>
        <v>438000</v>
      </c>
      <c r="P81" s="466" t="str">
        <f t="shared" si="1"/>
        <v>1.49</v>
      </c>
      <c r="Q81" s="253">
        <f t="shared" si="2"/>
        <v>49</v>
      </c>
      <c r="R81" s="253">
        <f t="shared" si="3"/>
        <v>49</v>
      </c>
      <c r="S81" s="449">
        <f t="shared" si="4"/>
        <v>49</v>
      </c>
      <c r="T81" s="253">
        <f t="shared" si="5"/>
        <v>-60</v>
      </c>
      <c r="U81" s="457" t="str">
        <f t="shared" si="0"/>
        <v xml:space="preserve"> </v>
      </c>
    </row>
    <row r="82" spans="2:21" ht="20.100000000000001" customHeight="1" x14ac:dyDescent="0.25">
      <c r="B82" s="456">
        <f>IF(LEFT(C82,16)="Terima Pajak PPN",VLOOKUP(P82,COPY!$A$1:$AC$1000,21,FALSE),IF(LEFT(C82,16)="Terima Pajak PPH",VLOOKUP(P82,COPY!$A$1:$AC$1000,21,FALSE),IF(LEFT(C82,13)="Terima PPh 23",VLOOKUP(P82,COPY!$A$1:$AC$1000,21,FALSE),0)))</f>
        <v>0</v>
      </c>
      <c r="C82" s="457">
        <f>IFERROR(IF(LEFT(VLOOKUP(P82,COPY!$A$1:$AC$1000,29,FALSE),5)="Terim",VLOOKUP(P82,COPY!$A$1:$AC$1000,29,FALSE),0),0)</f>
        <v>0</v>
      </c>
      <c r="D82" s="457"/>
      <c r="E82" s="457"/>
      <c r="F82" s="458">
        <f>IFERROR(IF(LEFT(VLOOKUP(P82,COPY!$A$1:$AC$1000,29,FALSE),5)="Terim",VLOOKUP(P82,COPY!$A$1:$AC$1000,26,FALSE),0),0)</f>
        <v>0</v>
      </c>
      <c r="G82" s="459">
        <f>IFERROR(VLOOKUP(P82,COPY!$A$1:$L$1000,4,FALSE),0)</f>
        <v>45910</v>
      </c>
      <c r="H82" s="457" t="str">
        <f>IFERROR(VLOOKUP(P82,COPY!$A$1:$L$1000,2,FALSE),0)</f>
        <v>Beli</v>
      </c>
      <c r="I82" s="510">
        <f>IFERROR(VLOOKUP(P82,COPY!$A$1:$L$1000,10,FALSE),0)</f>
        <v>10</v>
      </c>
      <c r="J82" s="467" t="str">
        <f>IFERROR(VLOOKUP(P82,COPY!$A$1:$L$1000,8,FALSE),0)</f>
        <v>Ljr</v>
      </c>
      <c r="K82" s="457" t="str">
        <f>IFERROR(VLOOKUP(P82,COPY!$A$1:$L$1000,7,FALSE),0)</f>
        <v>Besi Sni 10.0</v>
      </c>
      <c r="L82" s="468" t="str">
        <f>IFERROR(VLOOKUP(P82,COPY!$A$1:$O$1000,15,FALSE),0)</f>
        <v>BKK.12</v>
      </c>
      <c r="M82" s="468" t="str">
        <f>IFERROR(VLOOKUP(P82,COPY!$A$1:$L$1000,12,FALSE),0)</f>
        <v>B</v>
      </c>
      <c r="N82" s="471">
        <f>IF(H82="Jasa",VLOOKUP('BKU 1'!K82,'Rekap Gaji'!$D$12:$I$24,6,FALSE),(IF(H82="Beli",VLOOKUP(P82,COPY!$A$1:$L$1000,11,FALSE),IF(H82="Bayar Ongkos",VLOOKUP(K82,'Rekap Gaji'!$D$12:$I$24,6,FALSE),0))))</f>
        <v>730000</v>
      </c>
      <c r="O82" s="470"/>
      <c r="P82" s="466" t="str">
        <f t="shared" si="1"/>
        <v>1.50</v>
      </c>
      <c r="Q82" s="253">
        <f t="shared" si="2"/>
        <v>50</v>
      </c>
      <c r="R82" s="253">
        <f t="shared" si="3"/>
        <v>50</v>
      </c>
      <c r="S82" s="449">
        <f t="shared" si="4"/>
        <v>50</v>
      </c>
      <c r="T82" s="253">
        <f t="shared" si="5"/>
        <v>-59</v>
      </c>
      <c r="U82" s="457" t="str">
        <f t="shared" si="0"/>
        <v xml:space="preserve"> </v>
      </c>
    </row>
    <row r="83" spans="2:21" ht="20.100000000000001" customHeight="1" x14ac:dyDescent="0.25">
      <c r="B83" s="456">
        <f>IF(LEFT(C83,16)="Terima Pajak PPN",VLOOKUP(P83,COPY!$A$1:$AC$1000,21,FALSE),IF(LEFT(C83,16)="Terima Pajak PPH",VLOOKUP(P83,COPY!$A$1:$AC$1000,21,FALSE),IF(LEFT(C83,13)="Terima PPh 23",VLOOKUP(P83,COPY!$A$1:$AC$1000,21,FALSE),0)))</f>
        <v>0</v>
      </c>
      <c r="C83" s="457">
        <f>IFERROR(IF(LEFT(VLOOKUP(P83,COPY!$A$1:$AC$1000,29,FALSE),5)="Terim",VLOOKUP(P83,COPY!$A$1:$AC$1000,29,FALSE),0),0)</f>
        <v>0</v>
      </c>
      <c r="D83" s="457"/>
      <c r="E83" s="457"/>
      <c r="F83" s="458">
        <f>IFERROR(IF(LEFT(VLOOKUP(P83,COPY!$A$1:$AC$1000,29,FALSE),5)="Terim",VLOOKUP(P83,COPY!$A$1:$AC$1000,26,FALSE),0),0)</f>
        <v>0</v>
      </c>
      <c r="G83" s="459" t="str">
        <f>IFERROR(VLOOKUP(P83,COPY!$A$1:$L$1000,4,FALSE),0)</f>
        <v/>
      </c>
      <c r="H83" s="457" t="str">
        <f>IFERROR(VLOOKUP(P83,COPY!$A$1:$L$1000,2,FALSE),0)</f>
        <v>Beli</v>
      </c>
      <c r="I83" s="510">
        <f>IFERROR(VLOOKUP(P83,COPY!$A$1:$L$1000,10,FALSE),0)</f>
        <v>15</v>
      </c>
      <c r="J83" s="467" t="str">
        <f>IFERROR(VLOOKUP(P83,COPY!$A$1:$L$1000,8,FALSE),0)</f>
        <v>Sak</v>
      </c>
      <c r="K83" s="457" t="str">
        <f>IFERROR(VLOOKUP(P83,COPY!$A$1:$L$1000,7,FALSE),0)</f>
        <v>Semen 3 Roda</v>
      </c>
      <c r="L83" s="468" t="str">
        <f>IFERROR(VLOOKUP(P83,COPY!$A$1:$O$1000,15,FALSE),0)</f>
        <v/>
      </c>
      <c r="M83" s="468" t="str">
        <f>IFERROR(VLOOKUP(P83,COPY!$A$1:$L$1000,12,FALSE),0)</f>
        <v>B</v>
      </c>
      <c r="N83" s="471">
        <f>IF(H83="Jasa",VLOOKUP('BKU 1'!K83,'Rekap Gaji'!$D$12:$I$24,6,FALSE),(IF(H83="Beli",VLOOKUP(P83,COPY!$A$1:$L$1000,11,FALSE),IF(H83="Bayar Ongkos",VLOOKUP(K83,'Rekap Gaji'!$D$12:$I$24,6,FALSE),0))))</f>
        <v>780000</v>
      </c>
      <c r="O83" s="470"/>
      <c r="P83" s="466" t="str">
        <f t="shared" si="1"/>
        <v>1.51</v>
      </c>
      <c r="Q83" s="253">
        <f t="shared" si="2"/>
        <v>51</v>
      </c>
      <c r="R83" s="253">
        <f t="shared" si="3"/>
        <v>51</v>
      </c>
      <c r="S83" s="449">
        <f t="shared" si="4"/>
        <v>51</v>
      </c>
      <c r="T83" s="253">
        <f t="shared" si="5"/>
        <v>-58</v>
      </c>
      <c r="U83" s="457" t="str">
        <f t="shared" si="0"/>
        <v xml:space="preserve"> </v>
      </c>
    </row>
    <row r="84" spans="2:21" ht="20.100000000000001" customHeight="1" x14ac:dyDescent="0.25">
      <c r="B84" s="456">
        <f>IF(LEFT(C84,16)="Terima Pajak PPN",VLOOKUP(P84,COPY!$A$1:$AC$1000,21,FALSE),IF(LEFT(C84,16)="Terima Pajak PPH",VLOOKUP(P84,COPY!$A$1:$AC$1000,21,FALSE),IF(LEFT(C84,13)="Terima PPh 23",VLOOKUP(P84,COPY!$A$1:$AC$1000,21,FALSE),0)))</f>
        <v>0</v>
      </c>
      <c r="C84" s="457">
        <f>IFERROR(IF(LEFT(VLOOKUP(P84,COPY!$A$1:$AC$1000,29,FALSE),5)="Terim",VLOOKUP(P84,COPY!$A$1:$AC$1000,29,FALSE),0),0)</f>
        <v>0</v>
      </c>
      <c r="D84" s="457"/>
      <c r="E84" s="457"/>
      <c r="F84" s="458">
        <f>IFERROR(IF(LEFT(VLOOKUP(P84,COPY!$A$1:$AC$1000,29,FALSE),5)="Terim",VLOOKUP(P84,COPY!$A$1:$AC$1000,26,FALSE),0),0)</f>
        <v>0</v>
      </c>
      <c r="G84" s="459">
        <f>IFERROR(VLOOKUP(P84,COPY!$A$1:$L$1000,4,FALSE),0)</f>
        <v>45911</v>
      </c>
      <c r="H84" s="457" t="str">
        <f>IFERROR(VLOOKUP(P84,COPY!$A$1:$L$1000,2,FALSE),0)</f>
        <v>Beli</v>
      </c>
      <c r="I84" s="510">
        <f>IFERROR(VLOOKUP(P84,COPY!$A$1:$L$1000,10,FALSE),0)</f>
        <v>1</v>
      </c>
      <c r="J84" s="467" t="str">
        <f>IFERROR(VLOOKUP(P84,COPY!$A$1:$L$1000,8,FALSE),0)</f>
        <v>Pik Up</v>
      </c>
      <c r="K84" s="457" t="str">
        <f>IFERROR(VLOOKUP(P84,COPY!$A$1:$L$1000,7,FALSE),0)</f>
        <v>Koral L300</v>
      </c>
      <c r="L84" s="468" t="str">
        <f>IFERROR(VLOOKUP(P84,COPY!$A$1:$O$1000,15,FALSE),0)</f>
        <v>BKK.13</v>
      </c>
      <c r="M84" s="468" t="str">
        <f>IFERROR(VLOOKUP(P84,COPY!$A$1:$L$1000,12,FALSE),0)</f>
        <v>B</v>
      </c>
      <c r="N84" s="471">
        <f>IF(H84="Jasa",VLOOKUP('BKU 1'!K84,'Rekap Gaji'!$D$12:$I$24,6,FALSE),(IF(H84="Beli",VLOOKUP(P84,COPY!$A$1:$L$1000,11,FALSE),IF(H84="Bayar Ongkos",VLOOKUP(K84,'Rekap Gaji'!$D$12:$I$24,6,FALSE),0))))</f>
        <v>350000</v>
      </c>
      <c r="P84" s="466" t="str">
        <f t="shared" si="1"/>
        <v>1.52</v>
      </c>
      <c r="Q84" s="253">
        <f t="shared" si="2"/>
        <v>52</v>
      </c>
      <c r="R84" s="253">
        <f t="shared" si="3"/>
        <v>52</v>
      </c>
      <c r="S84" s="449">
        <f t="shared" si="4"/>
        <v>52</v>
      </c>
      <c r="T84" s="253">
        <f t="shared" si="5"/>
        <v>-57</v>
      </c>
      <c r="U84" s="457" t="str">
        <f t="shared" si="0"/>
        <v xml:space="preserve"> </v>
      </c>
    </row>
    <row r="85" spans="2:21" ht="20.100000000000001" customHeight="1" x14ac:dyDescent="0.25">
      <c r="B85" s="456">
        <f>IF(LEFT(C85,16)="Terima Pajak PPN",VLOOKUP(P85,COPY!$A$1:$AC$1000,21,FALSE),IF(LEFT(C85,16)="Terima Pajak PPH",VLOOKUP(P85,COPY!$A$1:$AC$1000,21,FALSE),IF(LEFT(C85,13)="Terima PPh 23",VLOOKUP(P85,COPY!$A$1:$AC$1000,21,FALSE),0)))</f>
        <v>0</v>
      </c>
      <c r="C85" s="457">
        <f>IFERROR(IF(LEFT(VLOOKUP(P85,COPY!$A$1:$AC$1000,29,FALSE),5)="Terim",VLOOKUP(P85,COPY!$A$1:$AC$1000,29,FALSE),0),0)</f>
        <v>0</v>
      </c>
      <c r="D85" s="457"/>
      <c r="E85" s="457"/>
      <c r="F85" s="458">
        <f>IFERROR(IF(LEFT(VLOOKUP(P85,COPY!$A$1:$AC$1000,29,FALSE),5)="Terim",VLOOKUP(P85,COPY!$A$1:$AC$1000,26,FALSE),0),0)</f>
        <v>0</v>
      </c>
      <c r="G85" s="459" t="str">
        <f>IFERROR(VLOOKUP(P85,COPY!$A$1:$L$1000,4,FALSE),0)</f>
        <v/>
      </c>
      <c r="H85" s="457" t="str">
        <f>IFERROR(VLOOKUP(P85,COPY!$A$1:$L$1000,2,FALSE),0)</f>
        <v>Beli</v>
      </c>
      <c r="I85" s="510">
        <f>IFERROR(VLOOKUP(P85,COPY!$A$1:$L$1000,10,FALSE),0)</f>
        <v>5</v>
      </c>
      <c r="J85" s="467" t="str">
        <f>IFERROR(VLOOKUP(P85,COPY!$A$1:$L$1000,8,FALSE),0)</f>
        <v>kg</v>
      </c>
      <c r="K85" s="457" t="str">
        <f>IFERROR(VLOOKUP(P85,COPY!$A$1:$L$1000,7,FALSE),0)</f>
        <v>Bendrat Spq</v>
      </c>
      <c r="L85" s="468" t="str">
        <f>IFERROR(VLOOKUP(P85,COPY!$A$1:$O$1000,15,FALSE),0)</f>
        <v/>
      </c>
      <c r="M85" s="468" t="str">
        <f>IFERROR(VLOOKUP(P85,COPY!$A$1:$L$1000,12,FALSE),0)</f>
        <v>B</v>
      </c>
      <c r="N85" s="471">
        <f>IF(H85="Jasa",VLOOKUP('BKU 1'!K85,'Rekap Gaji'!$D$12:$I$24,6,FALSE),(IF(H85="Beli",VLOOKUP(P85,COPY!$A$1:$L$1000,11,FALSE),IF(H85="Bayar Ongkos",VLOOKUP(K85,'Rekap Gaji'!$D$12:$I$24,6,FALSE),0))))</f>
        <v>110000</v>
      </c>
      <c r="P85" s="466" t="str">
        <f t="shared" si="1"/>
        <v>1.53</v>
      </c>
      <c r="Q85" s="253">
        <f t="shared" si="2"/>
        <v>53</v>
      </c>
      <c r="R85" s="253">
        <f t="shared" si="3"/>
        <v>53</v>
      </c>
      <c r="S85" s="449">
        <f t="shared" si="4"/>
        <v>53</v>
      </c>
      <c r="T85" s="253">
        <f t="shared" si="5"/>
        <v>-56</v>
      </c>
      <c r="U85" s="457" t="str">
        <f t="shared" si="0"/>
        <v xml:space="preserve"> </v>
      </c>
    </row>
    <row r="86" spans="2:21" ht="20.100000000000001" customHeight="1" x14ac:dyDescent="0.25">
      <c r="B86" s="456">
        <f>IF(LEFT(C86,16)="Terima Pajak PPN",VLOOKUP(P86,COPY!$A$1:$AC$1000,21,FALSE),IF(LEFT(C86,16)="Terima Pajak PPH",VLOOKUP(P86,COPY!$A$1:$AC$1000,21,FALSE),IF(LEFT(C86,13)="Terima PPh 23",VLOOKUP(P86,COPY!$A$1:$AC$1000,21,FALSE),0)))</f>
        <v>0</v>
      </c>
      <c r="C86" s="457">
        <f>IFERROR(IF(LEFT(VLOOKUP(P86,COPY!$A$1:$AC$1000,29,FALSE),5)="Terim",VLOOKUP(P86,COPY!$A$1:$AC$1000,29,FALSE),0),0)</f>
        <v>0</v>
      </c>
      <c r="D86" s="457"/>
      <c r="E86" s="457"/>
      <c r="F86" s="458">
        <f>IFERROR(IF(LEFT(VLOOKUP(P86,COPY!$A$1:$AC$1000,29,FALSE),5)="Terim",VLOOKUP(P86,COPY!$A$1:$AC$1000,26,FALSE),0),0)</f>
        <v>0</v>
      </c>
      <c r="G86" s="459" t="str">
        <f>IFERROR(VLOOKUP(P86,COPY!$A$1:$L$1000,4,FALSE),0)</f>
        <v/>
      </c>
      <c r="H86" s="457" t="str">
        <f>IFERROR(VLOOKUP(P86,COPY!$A$1:$L$1000,2,FALSE),0)</f>
        <v>Beli</v>
      </c>
      <c r="I86" s="510">
        <f>IFERROR(VLOOKUP(P86,COPY!$A$1:$L$1000,10,FALSE),0)</f>
        <v>20</v>
      </c>
      <c r="J86" s="467" t="str">
        <f>IFERROR(VLOOKUP(P86,COPY!$A$1:$L$1000,8,FALSE),0)</f>
        <v>Ljr</v>
      </c>
      <c r="K86" s="457" t="str">
        <f>IFERROR(VLOOKUP(P86,COPY!$A$1:$L$1000,7,FALSE),0)</f>
        <v>Besi 6.0 Sni</v>
      </c>
      <c r="L86" s="468" t="str">
        <f>IFERROR(VLOOKUP(P86,COPY!$A$1:$O$1000,15,FALSE),0)</f>
        <v/>
      </c>
      <c r="M86" s="468" t="str">
        <f>IFERROR(VLOOKUP(P86,COPY!$A$1:$L$1000,12,FALSE),0)</f>
        <v>B</v>
      </c>
      <c r="N86" s="471">
        <f>IF(H86="Jasa",VLOOKUP('BKU 1'!K86,'Rekap Gaji'!$D$12:$I$24,6,FALSE),(IF(H86="Beli",VLOOKUP(P86,COPY!$A$1:$L$1000,11,FALSE),IF(H86="Bayar Ongkos",VLOOKUP(K86,'Rekap Gaji'!$D$12:$I$24,6,FALSE),0))))</f>
        <v>560000</v>
      </c>
      <c r="P86" s="466" t="str">
        <f t="shared" si="1"/>
        <v>1.54</v>
      </c>
      <c r="Q86" s="253">
        <f t="shared" si="2"/>
        <v>54</v>
      </c>
      <c r="R86" s="253">
        <f t="shared" si="3"/>
        <v>54</v>
      </c>
      <c r="S86" s="449">
        <f t="shared" si="4"/>
        <v>54</v>
      </c>
      <c r="T86" s="253">
        <f t="shared" si="5"/>
        <v>-55</v>
      </c>
      <c r="U86" s="457" t="str">
        <f t="shared" si="0"/>
        <v xml:space="preserve"> </v>
      </c>
    </row>
    <row r="87" spans="2:21" ht="20.100000000000001" customHeight="1" x14ac:dyDescent="0.25">
      <c r="B87" s="456">
        <f>IF(LEFT(C87,16)="Terima Pajak PPN",VLOOKUP(P87,COPY!$A$1:$AC$1000,21,FALSE),IF(LEFT(C87,16)="Terima Pajak PPH",VLOOKUP(P87,COPY!$A$1:$AC$1000,21,FALSE),IF(LEFT(C87,13)="Terima PPh 23",VLOOKUP(P87,COPY!$A$1:$AC$1000,21,FALSE),0)))</f>
        <v>0</v>
      </c>
      <c r="C87" s="457">
        <f>IFERROR(IF(LEFT(VLOOKUP(P87,COPY!$A$1:$AC$1000,29,FALSE),5)="Terim",VLOOKUP(P87,COPY!$A$1:$AC$1000,29,FALSE),0),0)</f>
        <v>0</v>
      </c>
      <c r="D87" s="457"/>
      <c r="E87" s="457"/>
      <c r="F87" s="458">
        <f>IFERROR(IF(LEFT(VLOOKUP(P87,COPY!$A$1:$AC$1000,29,FALSE),5)="Terim",VLOOKUP(P87,COPY!$A$1:$AC$1000,26,FALSE),0),0)</f>
        <v>0</v>
      </c>
      <c r="G87" s="459" t="str">
        <f>IFERROR(VLOOKUP(P87,COPY!$A$1:$L$1000,4,FALSE),0)</f>
        <v/>
      </c>
      <c r="H87" s="457" t="str">
        <f>IFERROR(VLOOKUP(P87,COPY!$A$1:$L$1000,2,FALSE),0)</f>
        <v>Beli</v>
      </c>
      <c r="I87" s="510">
        <f>IFERROR(VLOOKUP(P87,COPY!$A$1:$L$1000,10,FALSE),0)</f>
        <v>20</v>
      </c>
      <c r="J87" s="467" t="str">
        <f>IFERROR(VLOOKUP(P87,COPY!$A$1:$L$1000,8,FALSE),0)</f>
        <v>Ljr</v>
      </c>
      <c r="K87" s="457" t="str">
        <f>IFERROR(VLOOKUP(P87,COPY!$A$1:$L$1000,7,FALSE),0)</f>
        <v>Besi 8.0 Sni</v>
      </c>
      <c r="L87" s="468" t="str">
        <f>IFERROR(VLOOKUP(P87,COPY!$A$1:$O$1000,15,FALSE),0)</f>
        <v/>
      </c>
      <c r="M87" s="468" t="str">
        <f>IFERROR(VLOOKUP(P87,COPY!$A$1:$L$1000,12,FALSE),0)</f>
        <v>B</v>
      </c>
      <c r="N87" s="471">
        <f>IF(H87="Jasa",VLOOKUP('BKU 1'!K87,'Rekap Gaji'!$D$12:$I$24,6,FALSE),(IF(H87="Beli",VLOOKUP(P87,COPY!$A$1:$L$1000,11,FALSE),IF(H87="Bayar Ongkos",VLOOKUP(K87,'Rekap Gaji'!$D$12:$I$24,6,FALSE),0))))</f>
        <v>920000</v>
      </c>
      <c r="O87" s="470"/>
      <c r="P87" s="466" t="str">
        <f t="shared" si="1"/>
        <v>1.55</v>
      </c>
      <c r="Q87" s="253">
        <f t="shared" si="2"/>
        <v>55</v>
      </c>
      <c r="R87" s="253">
        <f t="shared" si="3"/>
        <v>55</v>
      </c>
      <c r="S87" s="449">
        <f t="shared" si="4"/>
        <v>55</v>
      </c>
      <c r="T87" s="253">
        <f t="shared" si="5"/>
        <v>-54</v>
      </c>
      <c r="U87" s="457" t="str">
        <f t="shared" si="0"/>
        <v xml:space="preserve"> </v>
      </c>
    </row>
    <row r="88" spans="2:21" ht="20.100000000000001" customHeight="1" x14ac:dyDescent="0.25">
      <c r="B88" s="456">
        <f>IF(LEFT(C88,16)="Terima Pajak PPN",VLOOKUP(P88,COPY!$A$1:$AC$1000,21,FALSE),IF(LEFT(C88,16)="Terima Pajak PPH",VLOOKUP(P88,COPY!$A$1:$AC$1000,21,FALSE),IF(LEFT(C88,13)="Terima PPh 23",VLOOKUP(P88,COPY!$A$1:$AC$1000,21,FALSE),0)))</f>
        <v>0</v>
      </c>
      <c r="C88" s="457">
        <f>IFERROR(IF(LEFT(VLOOKUP(P88,COPY!$A$1:$AC$1000,29,FALSE),5)="Terim",VLOOKUP(P88,COPY!$A$1:$AC$1000,29,FALSE),0),0)</f>
        <v>0</v>
      </c>
      <c r="D88" s="457"/>
      <c r="E88" s="457"/>
      <c r="F88" s="458">
        <f>IFERROR(IF(LEFT(VLOOKUP(P88,COPY!$A$1:$AC$1000,29,FALSE),5)="Terim",VLOOKUP(P88,COPY!$A$1:$AC$1000,26,FALSE),0),0)</f>
        <v>0</v>
      </c>
      <c r="G88" s="459">
        <f>IFERROR(VLOOKUP(P88,COPY!$A$1:$L$1000,4,FALSE),0)</f>
        <v>45912</v>
      </c>
      <c r="H88" s="457" t="str">
        <f>IFERROR(VLOOKUP(P88,COPY!$A$1:$L$1000,2,FALSE),0)</f>
        <v>Beli</v>
      </c>
      <c r="I88" s="510">
        <f>IFERROR(VLOOKUP(P88,COPY!$A$1:$L$1000,10,FALSE),0)</f>
        <v>14</v>
      </c>
      <c r="J88" s="467" t="str">
        <f>IFERROR(VLOOKUP(P88,COPY!$A$1:$L$1000,8,FALSE),0)</f>
        <v>Bks</v>
      </c>
      <c r="K88" s="457" t="str">
        <f>IFERROR(VLOOKUP(P88,COPY!$A$1:$L$1000,7,FALSE),0)</f>
        <v>Kosumsi Rapat Dengan Komite</v>
      </c>
      <c r="L88" s="468" t="str">
        <f>IFERROR(VLOOKUP(P88,COPY!$A$1:$O$1000,15,FALSE),0)</f>
        <v>BKK.14</v>
      </c>
      <c r="M88" s="468" t="str">
        <f>IFERROR(VLOOKUP(P88,COPY!$A$1:$L$1000,12,FALSE),0)</f>
        <v>D</v>
      </c>
      <c r="N88" s="471">
        <f>IF(H88="Jasa",VLOOKUP('BKU 1'!K88,'Rekap Gaji'!$D$12:$I$24,6,FALSE),(IF(H88="Beli",VLOOKUP(P88,COPY!$A$1:$L$1000,11,FALSE),IF(H88="Bayar Ongkos",VLOOKUP(K88,'Rekap Gaji'!$D$12:$I$24,6,FALSE),0))))</f>
        <v>420000</v>
      </c>
      <c r="P88" s="466" t="str">
        <f t="shared" si="1"/>
        <v>1.56</v>
      </c>
      <c r="Q88" s="253">
        <f t="shared" si="2"/>
        <v>56</v>
      </c>
      <c r="R88" s="253">
        <f t="shared" si="3"/>
        <v>56</v>
      </c>
      <c r="S88" s="449">
        <f t="shared" si="4"/>
        <v>56</v>
      </c>
      <c r="T88" s="253">
        <f t="shared" si="5"/>
        <v>-53</v>
      </c>
      <c r="U88" s="457" t="str">
        <f t="shared" si="0"/>
        <v xml:space="preserve"> </v>
      </c>
    </row>
    <row r="89" spans="2:21" ht="20.100000000000001" customHeight="1" x14ac:dyDescent="0.25">
      <c r="B89" s="456">
        <f>IF(LEFT(C89,16)="Terima Pajak PPN",VLOOKUP(P89,COPY!$A$1:$AC$1000,21,FALSE),IF(LEFT(C89,16)="Terima Pajak PPH",VLOOKUP(P89,COPY!$A$1:$AC$1000,21,FALSE),IF(LEFT(C89,13)="Terima PPh 23",VLOOKUP(P89,COPY!$A$1:$AC$1000,21,FALSE),0)))</f>
        <v>0</v>
      </c>
      <c r="C89" s="457">
        <f>IFERROR(IF(LEFT(VLOOKUP(P89,COPY!$A$1:$AC$1000,29,FALSE),5)="Terim",VLOOKUP(P89,COPY!$A$1:$AC$1000,29,FALSE),0),0)</f>
        <v>0</v>
      </c>
      <c r="D89" s="457"/>
      <c r="E89" s="457"/>
      <c r="F89" s="458">
        <f>IFERROR(IF(LEFT(VLOOKUP(P89,COPY!$A$1:$AC$1000,29,FALSE),5)="Terim",VLOOKUP(P89,COPY!$A$1:$AC$1000,26,FALSE),0),0)</f>
        <v>0</v>
      </c>
      <c r="G89" s="459">
        <f>IFERROR(VLOOKUP(P89,COPY!$A$1:$L$1000,4,FALSE),0)</f>
        <v>45913</v>
      </c>
      <c r="H89" s="457" t="str">
        <f>IFERROR(VLOOKUP(P89,COPY!$A$1:$L$1000,2,FALSE),0)</f>
        <v>Beli</v>
      </c>
      <c r="I89" s="510">
        <f>IFERROR(VLOOKUP(P89,COPY!$A$1:$L$1000,10,FALSE),0)</f>
        <v>15</v>
      </c>
      <c r="J89" s="467" t="str">
        <f>IFERROR(VLOOKUP(P89,COPY!$A$1:$L$1000,8,FALSE),0)</f>
        <v>Ljr</v>
      </c>
      <c r="K89" s="457" t="str">
        <f>IFERROR(VLOOKUP(P89,COPY!$A$1:$L$1000,7,FALSE),0)</f>
        <v>Besi 8.0 Sni</v>
      </c>
      <c r="L89" s="468" t="str">
        <f>IFERROR(VLOOKUP(P89,COPY!$A$1:$O$1000,15,FALSE),0)</f>
        <v>BKK.15</v>
      </c>
      <c r="M89" s="468" t="str">
        <f>IFERROR(VLOOKUP(P89,COPY!$A$1:$L$1000,12,FALSE),0)</f>
        <v>B</v>
      </c>
      <c r="N89" s="471">
        <f>IF(H89="Jasa",VLOOKUP('BKU 1'!K89,'Rekap Gaji'!$D$12:$I$24,6,FALSE),(IF(H89="Beli",VLOOKUP(P89,COPY!$A$1:$L$1000,11,FALSE),IF(H89="Bayar Ongkos",VLOOKUP(K89,'Rekap Gaji'!$D$12:$I$24,6,FALSE),0))))</f>
        <v>690000</v>
      </c>
      <c r="P89" s="466" t="str">
        <f t="shared" si="1"/>
        <v>1.57</v>
      </c>
      <c r="Q89" s="253">
        <f t="shared" si="2"/>
        <v>57</v>
      </c>
      <c r="R89" s="253">
        <f t="shared" si="3"/>
        <v>57</v>
      </c>
      <c r="S89" s="449">
        <f t="shared" si="4"/>
        <v>57</v>
      </c>
      <c r="T89" s="253">
        <f t="shared" si="5"/>
        <v>-52</v>
      </c>
      <c r="U89" s="457" t="str">
        <f t="shared" si="0"/>
        <v xml:space="preserve"> </v>
      </c>
    </row>
    <row r="90" spans="2:21" ht="20.100000000000001" customHeight="1" x14ac:dyDescent="0.25">
      <c r="B90" s="456">
        <f>IF(LEFT(C90,16)="Terima Pajak PPN",VLOOKUP(P90,COPY!$A$1:$AC$1000,21,FALSE),IF(LEFT(C90,16)="Terima Pajak PPH",VLOOKUP(P90,COPY!$A$1:$AC$1000,21,FALSE),IF(LEFT(C90,13)="Terima PPh 23",VLOOKUP(P90,COPY!$A$1:$AC$1000,21,FALSE),0)))</f>
        <v>0</v>
      </c>
      <c r="C90" s="457">
        <f>IFERROR(IF(LEFT(VLOOKUP(P90,COPY!$A$1:$AC$1000,29,FALSE),5)="Terim",VLOOKUP(P90,COPY!$A$1:$AC$1000,29,FALSE),0),0)</f>
        <v>0</v>
      </c>
      <c r="D90" s="457"/>
      <c r="E90" s="457"/>
      <c r="F90" s="458">
        <f>IFERROR(IF(LEFT(VLOOKUP(P90,COPY!$A$1:$AC$1000,29,FALSE),5)="Terim",VLOOKUP(P90,COPY!$A$1:$AC$1000,26,FALSE),0),0)</f>
        <v>0</v>
      </c>
      <c r="G90" s="459" t="str">
        <f>IFERROR(VLOOKUP(P90,COPY!$A$1:$L$1000,4,FALSE),0)</f>
        <v/>
      </c>
      <c r="H90" s="457" t="str">
        <f>IFERROR(VLOOKUP(P90,COPY!$A$1:$L$1000,2,FALSE),0)</f>
        <v>Beli</v>
      </c>
      <c r="I90" s="510">
        <f>IFERROR(VLOOKUP(P90,COPY!$A$1:$L$1000,10,FALSE),0)</f>
        <v>17</v>
      </c>
      <c r="J90" s="467" t="str">
        <f>IFERROR(VLOOKUP(P90,COPY!$A$1:$L$1000,8,FALSE),0)</f>
        <v>Ljr</v>
      </c>
      <c r="K90" s="457" t="str">
        <f>IFERROR(VLOOKUP(P90,COPY!$A$1:$L$1000,7,FALSE),0)</f>
        <v>Besi Sni 10.0</v>
      </c>
      <c r="L90" s="468" t="str">
        <f>IFERROR(VLOOKUP(P90,COPY!$A$1:$O$1000,15,FALSE),0)</f>
        <v/>
      </c>
      <c r="M90" s="468" t="str">
        <f>IFERROR(VLOOKUP(P90,COPY!$A$1:$L$1000,12,FALSE),0)</f>
        <v>B</v>
      </c>
      <c r="N90" s="471">
        <f>IF(H90="Jasa",VLOOKUP('BKU 1'!K90,'Rekap Gaji'!$D$12:$I$24,6,FALSE),(IF(H90="Beli",VLOOKUP(P90,COPY!$A$1:$L$1000,11,FALSE),IF(H90="Bayar Ongkos",VLOOKUP(K90,'Rekap Gaji'!$D$12:$I$24,6,FALSE),0))))</f>
        <v>1241000</v>
      </c>
      <c r="P90" s="466" t="str">
        <f t="shared" si="1"/>
        <v>1.58</v>
      </c>
      <c r="Q90" s="253">
        <f t="shared" si="2"/>
        <v>58</v>
      </c>
      <c r="R90" s="253">
        <f t="shared" si="3"/>
        <v>58</v>
      </c>
      <c r="S90" s="449">
        <f t="shared" si="4"/>
        <v>58</v>
      </c>
      <c r="T90" s="253">
        <f t="shared" si="5"/>
        <v>-51</v>
      </c>
      <c r="U90" s="457" t="str">
        <f t="shared" si="0"/>
        <v xml:space="preserve"> </v>
      </c>
    </row>
    <row r="91" spans="2:21" ht="20.100000000000001" customHeight="1" x14ac:dyDescent="0.25">
      <c r="B91" s="456">
        <f>IF(LEFT(C91,16)="Terima Pajak PPN",VLOOKUP(P91,COPY!$A$1:$AC$1000,21,FALSE),IF(LEFT(C91,16)="Terima Pajak PPH",VLOOKUP(P91,COPY!$A$1:$AC$1000,21,FALSE),IF(LEFT(C91,13)="Terima PPh 23",VLOOKUP(P91,COPY!$A$1:$AC$1000,21,FALSE),0)))</f>
        <v>0</v>
      </c>
      <c r="C91" s="457">
        <f>IFERROR(IF(LEFT(VLOOKUP(P91,COPY!$A$1:$AC$1000,29,FALSE),5)="Terim",VLOOKUP(P91,COPY!$A$1:$AC$1000,29,FALSE),0),0)</f>
        <v>0</v>
      </c>
      <c r="D91" s="457"/>
      <c r="E91" s="457"/>
      <c r="F91" s="458">
        <f>IFERROR(IF(LEFT(VLOOKUP(P91,COPY!$A$1:$AC$1000,29,FALSE),5)="Terim",VLOOKUP(P91,COPY!$A$1:$AC$1000,26,FALSE),0),0)</f>
        <v>0</v>
      </c>
      <c r="G91" s="459">
        <f>IFERROR(VLOOKUP(P91,COPY!$A$1:$L$1000,4,FALSE),0)</f>
        <v>45913</v>
      </c>
      <c r="H91" s="457" t="str">
        <f>IFERROR(VLOOKUP(P91,COPY!$A$1:$L$1000,2,FALSE),0)</f>
        <v>Bayar Ongkos</v>
      </c>
      <c r="I91" s="510">
        <f>IFERROR(VLOOKUP(P91,COPY!$A$1:$L$1000,10,FALSE),0)</f>
        <v>1</v>
      </c>
      <c r="J91" s="467">
        <f>IFERROR(VLOOKUP(P91,COPY!$A$1:$L$1000,8,FALSE),0)</f>
        <v>0</v>
      </c>
      <c r="K91" s="457" t="str">
        <f>IFERROR(VLOOKUP(P91,COPY!$A$1:$L$1000,7,FALSE),0)</f>
        <v>Pembayaran Pekerja Minggu Ke 2</v>
      </c>
      <c r="L91" s="468" t="str">
        <f>IFERROR(VLOOKUP(P91,COPY!$A$1:$O$1000,15,FALSE),0)</f>
        <v>BKK.16</v>
      </c>
      <c r="M91" s="468" t="str">
        <f>IFERROR(VLOOKUP(P91,COPY!$A$1:$L$1000,12,FALSE),0)</f>
        <v>A</v>
      </c>
      <c r="N91" s="471">
        <f>IF(H91="Jasa",VLOOKUP('BKU 1'!K91,'Rekap Gaji'!$D$12:$I$24,6,FALSE),(IF(H91="Beli",VLOOKUP(P91,COPY!$A$1:$L$1000,11,FALSE),IF(H91="Bayar Ongkos",VLOOKUP(K91,'Rekap Gaji'!$D$12:$I$24,6,FALSE),0))))</f>
        <v>5350000</v>
      </c>
      <c r="P91" s="466" t="str">
        <f t="shared" si="1"/>
        <v>1.59</v>
      </c>
      <c r="Q91" s="253">
        <f t="shared" si="2"/>
        <v>59</v>
      </c>
      <c r="R91" s="253">
        <f t="shared" si="3"/>
        <v>59</v>
      </c>
      <c r="S91" s="449">
        <f t="shared" si="4"/>
        <v>59</v>
      </c>
      <c r="T91" s="253">
        <f t="shared" si="5"/>
        <v>-50</v>
      </c>
      <c r="U91" s="457" t="str">
        <f t="shared" si="0"/>
        <v xml:space="preserve"> </v>
      </c>
    </row>
    <row r="92" spans="2:21" ht="20.100000000000001" customHeight="1" x14ac:dyDescent="0.25">
      <c r="B92" s="456">
        <f>IF(LEFT(C92,16)="Terima Pajak PPN",VLOOKUP(P92,COPY!$A$1:$AC$1000,21,FALSE),IF(LEFT(C92,16)="Terima Pajak PPH",VLOOKUP(P92,COPY!$A$1:$AC$1000,21,FALSE),IF(LEFT(C92,13)="Terima PPh 23",VLOOKUP(P92,COPY!$A$1:$AC$1000,21,FALSE),0)))</f>
        <v>0</v>
      </c>
      <c r="C92" s="457">
        <f>IFERROR(IF(LEFT(VLOOKUP(P92,COPY!$A$1:$AC$1000,29,FALSE),5)="Terim",VLOOKUP(P92,COPY!$A$1:$AC$1000,29,FALSE),0),0)</f>
        <v>0</v>
      </c>
      <c r="D92" s="457"/>
      <c r="E92" s="457"/>
      <c r="F92" s="458">
        <f>IFERROR(IF(LEFT(VLOOKUP(P92,COPY!$A$1:$AC$1000,29,FALSE),5)="Terim",VLOOKUP(P92,COPY!$A$1:$AC$1000,26,FALSE),0),0)</f>
        <v>0</v>
      </c>
      <c r="G92" s="459">
        <f>IFERROR(VLOOKUP(P92,COPY!$A$1:$L$1000,4,FALSE),0)</f>
        <v>45916</v>
      </c>
      <c r="H92" s="457" t="str">
        <f>IFERROR(VLOOKUP(P92,COPY!$A$1:$L$1000,2,FALSE),0)</f>
        <v>Beli</v>
      </c>
      <c r="I92" s="510">
        <f>IFERROR(VLOOKUP(P92,COPY!$A$1:$L$1000,10,FALSE),0)</f>
        <v>2</v>
      </c>
      <c r="J92" s="467" t="str">
        <f>IFERROR(VLOOKUP(P92,COPY!$A$1:$L$1000,8,FALSE),0)</f>
        <v>kg</v>
      </c>
      <c r="K92" s="457" t="str">
        <f>IFERROR(VLOOKUP(P92,COPY!$A$1:$L$1000,7,FALSE),0)</f>
        <v>Paku 1 1/2</v>
      </c>
      <c r="L92" s="468" t="str">
        <f>IFERROR(VLOOKUP(P92,COPY!$A$1:$O$1000,15,FALSE),0)</f>
        <v>BKK.17</v>
      </c>
      <c r="M92" s="468" t="str">
        <f>IFERROR(VLOOKUP(P92,COPY!$A$1:$L$1000,12,FALSE),0)</f>
        <v>B</v>
      </c>
      <c r="N92" s="471">
        <f>IF(H92="Jasa",VLOOKUP('BKU 1'!K92,'Rekap Gaji'!$D$12:$I$24,6,FALSE),(IF(H92="Beli",VLOOKUP(P92,COPY!$A$1:$L$1000,11,FALSE),IF(H92="Bayar Ongkos",VLOOKUP(K92,'Rekap Gaji'!$D$12:$I$24,6,FALSE),0))))</f>
        <v>40000</v>
      </c>
      <c r="O92" s="470"/>
      <c r="P92" s="466" t="str">
        <f t="shared" si="1"/>
        <v>1.60</v>
      </c>
      <c r="Q92" s="253">
        <f t="shared" si="2"/>
        <v>60</v>
      </c>
      <c r="R92" s="253">
        <f t="shared" si="3"/>
        <v>60</v>
      </c>
      <c r="S92" s="449">
        <f t="shared" si="4"/>
        <v>60</v>
      </c>
      <c r="T92" s="253">
        <f t="shared" si="5"/>
        <v>-49</v>
      </c>
      <c r="U92" s="457" t="str">
        <f t="shared" si="0"/>
        <v xml:space="preserve"> </v>
      </c>
    </row>
    <row r="93" spans="2:21" ht="20.100000000000001" customHeight="1" x14ac:dyDescent="0.25">
      <c r="B93" s="456">
        <f>IF(LEFT(C93,16)="Terima Pajak PPN",VLOOKUP(P93,COPY!$A$1:$AC$1000,21,FALSE),IF(LEFT(C93,16)="Terima Pajak PPH",VLOOKUP(P93,COPY!$A$1:$AC$1000,21,FALSE),IF(LEFT(C93,13)="Terima PPh 23",VLOOKUP(P93,COPY!$A$1:$AC$1000,21,FALSE),0)))</f>
        <v>0</v>
      </c>
      <c r="C93" s="457">
        <f>IFERROR(IF(LEFT(VLOOKUP(P93,COPY!$A$1:$AC$1000,29,FALSE),5)="Terim",VLOOKUP(P93,COPY!$A$1:$AC$1000,29,FALSE),0),0)</f>
        <v>0</v>
      </c>
      <c r="D93" s="457"/>
      <c r="E93" s="457"/>
      <c r="F93" s="458">
        <f>IFERROR(IF(LEFT(VLOOKUP(P93,COPY!$A$1:$AC$1000,29,FALSE),5)="Terim",VLOOKUP(P93,COPY!$A$1:$AC$1000,26,FALSE),0),0)</f>
        <v>0</v>
      </c>
      <c r="G93" s="459" t="str">
        <f>IFERROR(VLOOKUP(P93,COPY!$A$1:$L$1000,4,FALSE),0)</f>
        <v/>
      </c>
      <c r="H93" s="457" t="str">
        <f>IFERROR(VLOOKUP(P93,COPY!$A$1:$L$1000,2,FALSE),0)</f>
        <v>Beli</v>
      </c>
      <c r="I93" s="510">
        <f>IFERROR(VLOOKUP(P93,COPY!$A$1:$L$1000,10,FALSE),0)</f>
        <v>2</v>
      </c>
      <c r="J93" s="467" t="str">
        <f>IFERROR(VLOOKUP(P93,COPY!$A$1:$L$1000,8,FALSE),0)</f>
        <v>kg</v>
      </c>
      <c r="K93" s="457" t="str">
        <f>IFERROR(VLOOKUP(P93,COPY!$A$1:$L$1000,7,FALSE),0)</f>
        <v>Paku 2</v>
      </c>
      <c r="L93" s="468" t="str">
        <f>IFERROR(VLOOKUP(P93,COPY!$A$1:$O$1000,15,FALSE),0)</f>
        <v/>
      </c>
      <c r="M93" s="468" t="str">
        <f>IFERROR(VLOOKUP(P93,COPY!$A$1:$L$1000,12,FALSE),0)</f>
        <v>B</v>
      </c>
      <c r="N93" s="471">
        <f>IF(H93="Jasa",VLOOKUP('BKU 1'!K93,'Rekap Gaji'!$D$12:$I$24,6,FALSE),(IF(H93="Beli",VLOOKUP(P93,COPY!$A$1:$L$1000,11,FALSE),IF(H93="Bayar Ongkos",VLOOKUP(K93,'Rekap Gaji'!$D$12:$I$24,6,FALSE),0))))</f>
        <v>36000</v>
      </c>
      <c r="O93" s="470"/>
      <c r="P93" s="466" t="str">
        <f t="shared" si="1"/>
        <v>1.61</v>
      </c>
      <c r="Q93" s="253">
        <f t="shared" si="2"/>
        <v>61</v>
      </c>
      <c r="R93" s="253">
        <f t="shared" si="3"/>
        <v>61</v>
      </c>
      <c r="S93" s="449">
        <f t="shared" si="4"/>
        <v>61</v>
      </c>
      <c r="T93" s="253">
        <f t="shared" si="5"/>
        <v>-48</v>
      </c>
      <c r="U93" s="457" t="str">
        <f t="shared" si="0"/>
        <v xml:space="preserve"> </v>
      </c>
    </row>
    <row r="94" spans="2:21" ht="20.100000000000001" customHeight="1" x14ac:dyDescent="0.25">
      <c r="B94" s="456">
        <f>IF(LEFT(C94,16)="Terima Pajak PPN",VLOOKUP(P94,COPY!$A$1:$AC$1000,21,FALSE),IF(LEFT(C94,16)="Terima Pajak PPH",VLOOKUP(P94,COPY!$A$1:$AC$1000,21,FALSE),IF(LEFT(C94,13)="Terima PPh 23",VLOOKUP(P94,COPY!$A$1:$AC$1000,21,FALSE),0)))</f>
        <v>0</v>
      </c>
      <c r="C94" s="457">
        <f>IFERROR(IF(LEFT(VLOOKUP(P94,COPY!$A$1:$AC$1000,29,FALSE),5)="Terim",VLOOKUP(P94,COPY!$A$1:$AC$1000,29,FALSE),0),0)</f>
        <v>0</v>
      </c>
      <c r="D94" s="457"/>
      <c r="E94" s="457"/>
      <c r="F94" s="458">
        <f>IFERROR(IF(LEFT(VLOOKUP(P94,COPY!$A$1:$AC$1000,29,FALSE),5)="Terim",VLOOKUP(P94,COPY!$A$1:$AC$1000,26,FALSE),0),0)</f>
        <v>0</v>
      </c>
      <c r="G94" s="459" t="str">
        <f>IFERROR(VLOOKUP(P94,COPY!$A$1:$L$1000,4,FALSE),0)</f>
        <v/>
      </c>
      <c r="H94" s="457" t="str">
        <f>IFERROR(VLOOKUP(P94,COPY!$A$1:$L$1000,2,FALSE),0)</f>
        <v>Beli</v>
      </c>
      <c r="I94" s="510">
        <f>IFERROR(VLOOKUP(P94,COPY!$A$1:$L$1000,10,FALSE),0)</f>
        <v>6</v>
      </c>
      <c r="J94" s="467" t="str">
        <f>IFERROR(VLOOKUP(P94,COPY!$A$1:$L$1000,8,FALSE),0)</f>
        <v>Ljr</v>
      </c>
      <c r="K94" s="457" t="str">
        <f>IFERROR(VLOOKUP(P94,COPY!$A$1:$L$1000,7,FALSE),0)</f>
        <v>Kayu 3 X 5</v>
      </c>
      <c r="L94" s="468" t="str">
        <f>IFERROR(VLOOKUP(P94,COPY!$A$1:$O$1000,15,FALSE),0)</f>
        <v/>
      </c>
      <c r="M94" s="468" t="str">
        <f>IFERROR(VLOOKUP(P94,COPY!$A$1:$L$1000,12,FALSE),0)</f>
        <v>B</v>
      </c>
      <c r="N94" s="471">
        <f>IF(H94="Jasa",VLOOKUP('BKU 1'!K94,'Rekap Gaji'!$D$12:$I$24,6,FALSE),(IF(H94="Beli",VLOOKUP(P94,COPY!$A$1:$L$1000,11,FALSE),IF(H94="Bayar Ongkos",VLOOKUP(K94,'Rekap Gaji'!$D$12:$I$24,6,FALSE),0))))</f>
        <v>810000</v>
      </c>
      <c r="O94" s="470"/>
      <c r="P94" s="466" t="str">
        <f t="shared" si="1"/>
        <v>1.62</v>
      </c>
      <c r="Q94" s="253">
        <f t="shared" si="2"/>
        <v>62</v>
      </c>
      <c r="R94" s="253">
        <f t="shared" si="3"/>
        <v>62</v>
      </c>
      <c r="S94" s="449">
        <f t="shared" si="4"/>
        <v>62</v>
      </c>
      <c r="T94" s="253">
        <f t="shared" si="5"/>
        <v>-47</v>
      </c>
      <c r="U94" s="457" t="str">
        <f t="shared" si="0"/>
        <v xml:space="preserve"> </v>
      </c>
    </row>
    <row r="95" spans="2:21" ht="20.100000000000001" customHeight="1" x14ac:dyDescent="0.25">
      <c r="B95" s="456">
        <f>IF(LEFT(C95,16)="Terima Pajak PPN",VLOOKUP(P95,COPY!$A$1:$AC$1000,21,FALSE),IF(LEFT(C95,16)="Terima Pajak PPH",VLOOKUP(P95,COPY!$A$1:$AC$1000,21,FALSE),IF(LEFT(C95,13)="Terima PPh 23",VLOOKUP(P95,COPY!$A$1:$AC$1000,21,FALSE),0)))</f>
        <v>0</v>
      </c>
      <c r="C95" s="457">
        <f>IFERROR(IF(LEFT(VLOOKUP(P95,COPY!$A$1:$AC$1000,29,FALSE),5)="Terim",VLOOKUP(P95,COPY!$A$1:$AC$1000,29,FALSE),0),0)</f>
        <v>0</v>
      </c>
      <c r="D95" s="457"/>
      <c r="E95" s="457"/>
      <c r="F95" s="458">
        <f>IFERROR(IF(LEFT(VLOOKUP(P95,COPY!$A$1:$AC$1000,29,FALSE),5)="Terim",VLOOKUP(P95,COPY!$A$1:$AC$1000,26,FALSE),0),0)</f>
        <v>0</v>
      </c>
      <c r="G95" s="459" t="str">
        <f>IFERROR(VLOOKUP(P95,COPY!$A$1:$L$1000,4,FALSE),0)</f>
        <v/>
      </c>
      <c r="H95" s="457" t="str">
        <f>IFERROR(VLOOKUP(P95,COPY!$A$1:$L$1000,2,FALSE),0)</f>
        <v>Beli</v>
      </c>
      <c r="I95" s="510">
        <f>IFERROR(VLOOKUP(P95,COPY!$A$1:$L$1000,10,FALSE),0)</f>
        <v>1</v>
      </c>
      <c r="J95" s="467" t="str">
        <f>IFERROR(VLOOKUP(P95,COPY!$A$1:$L$1000,8,FALSE),0)</f>
        <v>Pik Up</v>
      </c>
      <c r="K95" s="457" t="str">
        <f>IFERROR(VLOOKUP(P95,COPY!$A$1:$L$1000,7,FALSE),0)</f>
        <v>Pasir Cor L300</v>
      </c>
      <c r="L95" s="468" t="str">
        <f>IFERROR(VLOOKUP(P95,COPY!$A$1:$O$1000,15,FALSE),0)</f>
        <v/>
      </c>
      <c r="M95" s="468" t="str">
        <f>IFERROR(VLOOKUP(P95,COPY!$A$1:$L$1000,12,FALSE),0)</f>
        <v>B</v>
      </c>
      <c r="N95" s="471">
        <f>IF(H95="Jasa",VLOOKUP('BKU 1'!K95,'Rekap Gaji'!$D$12:$I$24,6,FALSE),(IF(H95="Beli",VLOOKUP(P95,COPY!$A$1:$L$1000,11,FALSE),IF(H95="Bayar Ongkos",VLOOKUP(K95,'Rekap Gaji'!$D$12:$I$24,6,FALSE),0))))</f>
        <v>335000</v>
      </c>
      <c r="O95" s="470"/>
      <c r="P95" s="466" t="str">
        <f t="shared" si="1"/>
        <v>1.63</v>
      </c>
      <c r="Q95" s="253">
        <f t="shared" si="2"/>
        <v>63</v>
      </c>
      <c r="R95" s="253">
        <f t="shared" si="3"/>
        <v>63</v>
      </c>
      <c r="S95" s="449">
        <f t="shared" si="4"/>
        <v>63</v>
      </c>
      <c r="T95" s="253">
        <f t="shared" si="5"/>
        <v>-46</v>
      </c>
      <c r="U95" s="457" t="str">
        <f t="shared" si="0"/>
        <v xml:space="preserve"> </v>
      </c>
    </row>
    <row r="96" spans="2:21" ht="20.100000000000001" customHeight="1" x14ac:dyDescent="0.25">
      <c r="B96" s="456">
        <f>IF(LEFT(C96,16)="Terima Pajak PPN",VLOOKUP(P96,COPY!$A$1:$AC$1000,21,FALSE),IF(LEFT(C96,16)="Terima Pajak PPH",VLOOKUP(P96,COPY!$A$1:$AC$1000,21,FALSE),IF(LEFT(C96,13)="Terima PPh 23",VLOOKUP(P96,COPY!$A$1:$AC$1000,21,FALSE),0)))</f>
        <v>0</v>
      </c>
      <c r="C96" s="457">
        <f>IFERROR(IF(LEFT(VLOOKUP(P96,COPY!$A$1:$AC$1000,29,FALSE),5)="Terim",VLOOKUP(P96,COPY!$A$1:$AC$1000,29,FALSE),0),0)</f>
        <v>0</v>
      </c>
      <c r="D96" s="457"/>
      <c r="E96" s="457"/>
      <c r="F96" s="458">
        <f>IFERROR(IF(LEFT(VLOOKUP(P96,COPY!$A$1:$AC$1000,29,FALSE),5)="Terim",VLOOKUP(P96,COPY!$A$1:$AC$1000,26,FALSE),0),0)</f>
        <v>0</v>
      </c>
      <c r="G96" s="459" t="str">
        <f>IFERROR(VLOOKUP(P96,COPY!$A$1:$L$1000,4,FALSE),0)</f>
        <v/>
      </c>
      <c r="H96" s="457" t="str">
        <f>IFERROR(VLOOKUP(P96,COPY!$A$1:$L$1000,2,FALSE),0)</f>
        <v>Beli</v>
      </c>
      <c r="I96" s="510">
        <f>IFERROR(VLOOKUP(P96,COPY!$A$1:$L$1000,10,FALSE),0)</f>
        <v>1</v>
      </c>
      <c r="J96" s="467" t="str">
        <f>IFERROR(VLOOKUP(P96,COPY!$A$1:$L$1000,8,FALSE),0)</f>
        <v>Pik Up</v>
      </c>
      <c r="K96" s="457" t="str">
        <f>IFERROR(VLOOKUP(P96,COPY!$A$1:$L$1000,7,FALSE),0)</f>
        <v>Koral L300</v>
      </c>
      <c r="L96" s="468" t="str">
        <f>IFERROR(VLOOKUP(P96,COPY!$A$1:$O$1000,15,FALSE),0)</f>
        <v/>
      </c>
      <c r="M96" s="468" t="str">
        <f>IFERROR(VLOOKUP(P96,COPY!$A$1:$L$1000,12,FALSE),0)</f>
        <v>B</v>
      </c>
      <c r="N96" s="471">
        <f>IF(H96="Jasa",VLOOKUP('BKU 1'!K96,'Rekap Gaji'!$D$12:$I$24,6,FALSE),(IF(H96="Beli",VLOOKUP(P96,COPY!$A$1:$L$1000,11,FALSE),IF(H96="Bayar Ongkos",VLOOKUP(K96,'Rekap Gaji'!$D$12:$I$24,6,FALSE),0))))</f>
        <v>350000</v>
      </c>
      <c r="O96" s="470"/>
      <c r="P96" s="466" t="str">
        <f t="shared" si="1"/>
        <v>1.64</v>
      </c>
      <c r="Q96" s="253">
        <f t="shared" si="2"/>
        <v>64</v>
      </c>
      <c r="R96" s="253">
        <f t="shared" si="3"/>
        <v>64</v>
      </c>
      <c r="S96" s="449">
        <f t="shared" si="4"/>
        <v>64</v>
      </c>
      <c r="T96" s="253">
        <f t="shared" si="5"/>
        <v>-45</v>
      </c>
      <c r="U96" s="457" t="str">
        <f t="shared" si="0"/>
        <v xml:space="preserve"> </v>
      </c>
    </row>
    <row r="97" spans="2:21" ht="20.100000000000001" customHeight="1" x14ac:dyDescent="0.25">
      <c r="B97" s="456">
        <f>IF(LEFT(C97,16)="Terima Pajak PPN",VLOOKUP(P97,COPY!$A$1:$AC$1000,21,FALSE),IF(LEFT(C97,16)="Terima Pajak PPH",VLOOKUP(P97,COPY!$A$1:$AC$1000,21,FALSE),IF(LEFT(C97,13)="Terima PPh 23",VLOOKUP(P97,COPY!$A$1:$AC$1000,21,FALSE),0)))</f>
        <v>0</v>
      </c>
      <c r="C97" s="457">
        <f>IFERROR(IF(LEFT(VLOOKUP(P97,COPY!$A$1:$AC$1000,29,FALSE),5)="Terim",VLOOKUP(P97,COPY!$A$1:$AC$1000,29,FALSE),0),0)</f>
        <v>0</v>
      </c>
      <c r="D97" s="457"/>
      <c r="E97" s="457"/>
      <c r="F97" s="458">
        <f>IFERROR(IF(LEFT(VLOOKUP(P97,COPY!$A$1:$AC$1000,29,FALSE),5)="Terim",VLOOKUP(P97,COPY!$A$1:$AC$1000,26,FALSE),0),0)</f>
        <v>0</v>
      </c>
      <c r="G97" s="459" t="str">
        <f>IFERROR(VLOOKUP(P97,COPY!$A$1:$L$1000,4,FALSE),0)</f>
        <v/>
      </c>
      <c r="H97" s="457" t="str">
        <f>IFERROR(VLOOKUP(P97,COPY!$A$1:$L$1000,2,FALSE),0)</f>
        <v>Beli</v>
      </c>
      <c r="I97" s="510">
        <f>IFERROR(VLOOKUP(P97,COPY!$A$1:$L$1000,10,FALSE),0)</f>
        <v>6</v>
      </c>
      <c r="J97" s="467" t="str">
        <f>IFERROR(VLOOKUP(P97,COPY!$A$1:$L$1000,8,FALSE),0)</f>
        <v>Sak</v>
      </c>
      <c r="K97" s="457" t="str">
        <f>IFERROR(VLOOKUP(P97,COPY!$A$1:$L$1000,7,FALSE),0)</f>
        <v>Semen Gresik 40Kg</v>
      </c>
      <c r="L97" s="468" t="str">
        <f>IFERROR(VLOOKUP(P97,COPY!$A$1:$O$1000,15,FALSE),0)</f>
        <v/>
      </c>
      <c r="M97" s="468" t="str">
        <f>IFERROR(VLOOKUP(P97,COPY!$A$1:$L$1000,12,FALSE),0)</f>
        <v>B</v>
      </c>
      <c r="N97" s="471">
        <f>IF(H97="Jasa",VLOOKUP('BKU 1'!K97,'Rekap Gaji'!$D$12:$I$24,6,FALSE),(IF(H97="Beli",VLOOKUP(P97,COPY!$A$1:$L$1000,11,FALSE),IF(H97="Bayar Ongkos",VLOOKUP(K97,'Rekap Gaji'!$D$12:$I$24,6,FALSE),0))))</f>
        <v>348000</v>
      </c>
      <c r="O97" s="470"/>
      <c r="P97" s="466" t="str">
        <f t="shared" si="1"/>
        <v>1.65</v>
      </c>
      <c r="Q97" s="253">
        <f t="shared" si="2"/>
        <v>65</v>
      </c>
      <c r="R97" s="253">
        <f t="shared" si="3"/>
        <v>65</v>
      </c>
      <c r="S97" s="449">
        <f t="shared" si="4"/>
        <v>65</v>
      </c>
      <c r="T97" s="253">
        <f t="shared" si="5"/>
        <v>-44</v>
      </c>
      <c r="U97" s="457" t="str">
        <f t="shared" ref="U97:U160" si="6">IF(LEFT(C97,16)="terima Pajak PPN",1,IF(LEFT(C97,16)="terima Pajak PPH",2,IF(LEFT(C97,21)="Bayar Pajak Final PPH",3," ")))</f>
        <v xml:space="preserve"> </v>
      </c>
    </row>
    <row r="98" spans="2:21" ht="20.100000000000001" customHeight="1" x14ac:dyDescent="0.25">
      <c r="B98" s="456">
        <f>IF(LEFT(C98,16)="Terima Pajak PPN",VLOOKUP(P98,COPY!$A$1:$AC$1000,21,FALSE),IF(LEFT(C98,16)="Terima Pajak PPH",VLOOKUP(P98,COPY!$A$1:$AC$1000,21,FALSE),IF(LEFT(C98,13)="Terima PPh 23",VLOOKUP(P98,COPY!$A$1:$AC$1000,21,FALSE),0)))</f>
        <v>0</v>
      </c>
      <c r="C98" s="457">
        <f>IFERROR(IF(LEFT(VLOOKUP(P98,COPY!$A$1:$AC$1000,29,FALSE),5)="Terim",VLOOKUP(P98,COPY!$A$1:$AC$1000,29,FALSE),0),0)</f>
        <v>0</v>
      </c>
      <c r="D98" s="457"/>
      <c r="E98" s="457"/>
      <c r="F98" s="458">
        <f>IFERROR(IF(LEFT(VLOOKUP(P98,COPY!$A$1:$AC$1000,29,FALSE),5)="Terim",VLOOKUP(P98,COPY!$A$1:$AC$1000,26,FALSE),0),0)</f>
        <v>0</v>
      </c>
      <c r="G98" s="459">
        <f>IFERROR(VLOOKUP(P98,COPY!$A$1:$L$1000,4,FALSE),0)</f>
        <v>45917</v>
      </c>
      <c r="H98" s="457" t="str">
        <f>IFERROR(VLOOKUP(P98,COPY!$A$1:$L$1000,2,FALSE),0)</f>
        <v>Beli</v>
      </c>
      <c r="I98" s="510">
        <f>IFERROR(VLOOKUP(P98,COPY!$A$1:$L$1000,10,FALSE),0)</f>
        <v>15</v>
      </c>
      <c r="J98" s="467" t="str">
        <f>IFERROR(VLOOKUP(P98,COPY!$A$1:$L$1000,8,FALSE),0)</f>
        <v>Ljr</v>
      </c>
      <c r="K98" s="457" t="str">
        <f>IFERROR(VLOOKUP(P98,COPY!$A$1:$L$1000,7,FALSE),0)</f>
        <v>Besi Sni 10.0</v>
      </c>
      <c r="L98" s="468" t="str">
        <f>IFERROR(VLOOKUP(P98,COPY!$A$1:$O$1000,15,FALSE),0)</f>
        <v>BKK.18</v>
      </c>
      <c r="M98" s="468" t="str">
        <f>IFERROR(VLOOKUP(P98,COPY!$A$1:$L$1000,12,FALSE),0)</f>
        <v>B</v>
      </c>
      <c r="N98" s="471">
        <f>IF(H98="Jasa",VLOOKUP('BKU 1'!K98,'Rekap Gaji'!$D$12:$I$24,6,FALSE),(IF(H98="Beli",VLOOKUP(P98,COPY!$A$1:$L$1000,11,FALSE),IF(H98="Bayar Ongkos",VLOOKUP(K98,'Rekap Gaji'!$D$12:$I$24,6,FALSE),0))))</f>
        <v>1095000</v>
      </c>
      <c r="O98" s="470"/>
      <c r="P98" s="466" t="str">
        <f t="shared" ref="P98:P151" si="7">$D$24&amp;"."&amp;Q98</f>
        <v>1.66</v>
      </c>
      <c r="Q98" s="253">
        <f t="shared" si="2"/>
        <v>66</v>
      </c>
      <c r="R98" s="253">
        <f t="shared" si="3"/>
        <v>66</v>
      </c>
      <c r="S98" s="449">
        <f t="shared" si="4"/>
        <v>66</v>
      </c>
      <c r="T98" s="253">
        <f t="shared" si="5"/>
        <v>-43</v>
      </c>
      <c r="U98" s="457" t="str">
        <f t="shared" si="6"/>
        <v xml:space="preserve"> </v>
      </c>
    </row>
    <row r="99" spans="2:21" ht="20.100000000000001" customHeight="1" x14ac:dyDescent="0.25">
      <c r="B99" s="456">
        <f>IF(LEFT(C99,16)="Terima Pajak PPN",VLOOKUP(P99,COPY!$A$1:$AC$1000,21,FALSE),IF(LEFT(C99,16)="Terima Pajak PPH",VLOOKUP(P99,COPY!$A$1:$AC$1000,21,FALSE),IF(LEFT(C99,13)="Terima PPh 23",VLOOKUP(P99,COPY!$A$1:$AC$1000,21,FALSE),0)))</f>
        <v>0</v>
      </c>
      <c r="C99" s="457">
        <f>IFERROR(IF(LEFT(VLOOKUP(P99,COPY!$A$1:$AC$1000,29,FALSE),5)="Terim",VLOOKUP(P99,COPY!$A$1:$AC$1000,29,FALSE),0),0)</f>
        <v>0</v>
      </c>
      <c r="D99" s="457"/>
      <c r="E99" s="457"/>
      <c r="F99" s="458">
        <f>IFERROR(IF(LEFT(VLOOKUP(P99,COPY!$A$1:$AC$1000,29,FALSE),5)="Terim",VLOOKUP(P99,COPY!$A$1:$AC$1000,26,FALSE),0),0)</f>
        <v>0</v>
      </c>
      <c r="G99" s="459" t="str">
        <f>IFERROR(VLOOKUP(P99,COPY!$A$1:$L$1000,4,FALSE),0)</f>
        <v/>
      </c>
      <c r="H99" s="457" t="str">
        <f>IFERROR(VLOOKUP(P99,COPY!$A$1:$L$1000,2,FALSE),0)</f>
        <v>Beli</v>
      </c>
      <c r="I99" s="510">
        <f>IFERROR(VLOOKUP(P99,COPY!$A$1:$L$1000,10,FALSE),0)</f>
        <v>4</v>
      </c>
      <c r="J99" s="467" t="str">
        <f>IFERROR(VLOOKUP(P99,COPY!$A$1:$L$1000,8,FALSE),0)</f>
        <v>Sak</v>
      </c>
      <c r="K99" s="457" t="str">
        <f>IFERROR(VLOOKUP(P99,COPY!$A$1:$L$1000,7,FALSE),0)</f>
        <v>Semen Gresik 40Kg</v>
      </c>
      <c r="L99" s="468" t="str">
        <f>IFERROR(VLOOKUP(P99,COPY!$A$1:$O$1000,15,FALSE),0)</f>
        <v/>
      </c>
      <c r="M99" s="468" t="str">
        <f>IFERROR(VLOOKUP(P99,COPY!$A$1:$L$1000,12,FALSE),0)</f>
        <v>B</v>
      </c>
      <c r="N99" s="471">
        <f>IF(H99="Jasa",VLOOKUP('BKU 1'!K99,'Rekap Gaji'!$D$12:$I$24,6,FALSE),(IF(H99="Beli",VLOOKUP(P99,COPY!$A$1:$L$1000,11,FALSE),IF(H99="Bayar Ongkos",VLOOKUP(K99,'Rekap Gaji'!$D$12:$I$24,6,FALSE),0))))</f>
        <v>232000</v>
      </c>
      <c r="O99" s="470"/>
      <c r="P99" s="466" t="str">
        <f t="shared" si="7"/>
        <v>1.67</v>
      </c>
      <c r="Q99" s="253">
        <f t="shared" ref="Q99:Q110" si="8">IF(T99&lt;=0,T99+$S$30,0)</f>
        <v>67</v>
      </c>
      <c r="R99" s="253">
        <f t="shared" ref="R99:R110" si="9">IF(T99&lt;=0,S99,0)</f>
        <v>67</v>
      </c>
      <c r="S99" s="449">
        <f t="shared" ref="S99:S110" si="10">S98+1</f>
        <v>67</v>
      </c>
      <c r="T99" s="253">
        <f t="shared" ref="T99:T110" si="11">S99-$S$30</f>
        <v>-42</v>
      </c>
      <c r="U99" s="457" t="str">
        <f t="shared" si="6"/>
        <v xml:space="preserve"> </v>
      </c>
    </row>
    <row r="100" spans="2:21" ht="20.100000000000001" customHeight="1" x14ac:dyDescent="0.25">
      <c r="B100" s="456">
        <f>IF(LEFT(C100,16)="Terima Pajak PPN",VLOOKUP(P100,COPY!$A$1:$AC$1000,21,FALSE),IF(LEFT(C100,16)="Terima Pajak PPH",VLOOKUP(P100,COPY!$A$1:$AC$1000,21,FALSE),IF(LEFT(C100,13)="Terima PPh 23",VLOOKUP(P100,COPY!$A$1:$AC$1000,21,FALSE),0)))</f>
        <v>0</v>
      </c>
      <c r="C100" s="457">
        <f>IFERROR(IF(LEFT(VLOOKUP(P100,COPY!$A$1:$AC$1000,29,FALSE),5)="Terim",VLOOKUP(P100,COPY!$A$1:$AC$1000,29,FALSE),0),0)</f>
        <v>0</v>
      </c>
      <c r="D100" s="457"/>
      <c r="E100" s="457"/>
      <c r="F100" s="458">
        <f>IFERROR(IF(LEFT(VLOOKUP(P100,COPY!$A$1:$AC$1000,29,FALSE),5)="Terim",VLOOKUP(P100,COPY!$A$1:$AC$1000,26,FALSE),0),0)</f>
        <v>0</v>
      </c>
      <c r="G100" s="459" t="str">
        <f>IFERROR(VLOOKUP(P100,COPY!$A$1:$L$1000,4,FALSE),0)</f>
        <v/>
      </c>
      <c r="H100" s="457" t="str">
        <f>IFERROR(VLOOKUP(P100,COPY!$A$1:$L$1000,2,FALSE),0)</f>
        <v>Beli</v>
      </c>
      <c r="I100" s="510">
        <f>IFERROR(VLOOKUP(P100,COPY!$A$1:$L$1000,10,FALSE),0)</f>
        <v>5</v>
      </c>
      <c r="J100" s="467" t="str">
        <f>IFERROR(VLOOKUP(P100,COPY!$A$1:$L$1000,8,FALSE),0)</f>
        <v>Ljr</v>
      </c>
      <c r="K100" s="457" t="str">
        <f>IFERROR(VLOOKUP(P100,COPY!$A$1:$L$1000,7,FALSE),0)</f>
        <v>Pipa Pvc Rucika D 3"</v>
      </c>
      <c r="L100" s="468" t="str">
        <f>IFERROR(VLOOKUP(P100,COPY!$A$1:$O$1000,15,FALSE),0)</f>
        <v/>
      </c>
      <c r="M100" s="468" t="str">
        <f>IFERROR(VLOOKUP(P100,COPY!$A$1:$L$1000,12,FALSE),0)</f>
        <v>B</v>
      </c>
      <c r="N100" s="471">
        <f>IF(H100="Jasa",VLOOKUP('BKU 1'!K100,'Rekap Gaji'!$D$12:$I$24,6,FALSE),(IF(H100="Beli",VLOOKUP(P100,COPY!$A$1:$L$1000,11,FALSE),IF(H100="Bayar Ongkos",VLOOKUP(K100,'Rekap Gaji'!$D$12:$I$24,6,FALSE),0))))</f>
        <v>575000</v>
      </c>
      <c r="O100" s="470"/>
      <c r="P100" s="466" t="str">
        <f t="shared" si="7"/>
        <v>1.68</v>
      </c>
      <c r="Q100" s="253">
        <f t="shared" si="8"/>
        <v>68</v>
      </c>
      <c r="R100" s="253">
        <f t="shared" si="9"/>
        <v>68</v>
      </c>
      <c r="S100" s="449">
        <f t="shared" si="10"/>
        <v>68</v>
      </c>
      <c r="T100" s="253">
        <f t="shared" si="11"/>
        <v>-41</v>
      </c>
      <c r="U100" s="457" t="str">
        <f t="shared" si="6"/>
        <v xml:space="preserve"> </v>
      </c>
    </row>
    <row r="101" spans="2:21" ht="20.100000000000001" customHeight="1" x14ac:dyDescent="0.25">
      <c r="B101" s="456">
        <f>IF(LEFT(C101,16)="Terima Pajak PPN",VLOOKUP(P101,COPY!$A$1:$AC$1000,21,FALSE),IF(LEFT(C101,16)="Terima Pajak PPH",VLOOKUP(P101,COPY!$A$1:$AC$1000,21,FALSE),IF(LEFT(C101,13)="Terima PPh 23",VLOOKUP(P101,COPY!$A$1:$AC$1000,21,FALSE),0)))</f>
        <v>0</v>
      </c>
      <c r="C101" s="457">
        <f>IFERROR(IF(LEFT(VLOOKUP(P101,COPY!$A$1:$AC$1000,29,FALSE),5)="Terim",VLOOKUP(P101,COPY!$A$1:$AC$1000,29,FALSE),0),0)</f>
        <v>0</v>
      </c>
      <c r="D101" s="457"/>
      <c r="E101" s="457"/>
      <c r="F101" s="458">
        <f>IFERROR(IF(LEFT(VLOOKUP(P101,COPY!$A$1:$AC$1000,29,FALSE),5)="Terim",VLOOKUP(P101,COPY!$A$1:$AC$1000,26,FALSE),0),0)</f>
        <v>0</v>
      </c>
      <c r="G101" s="459">
        <f>IFERROR(VLOOKUP(P101,COPY!$A$1:$L$1000,4,FALSE),0)</f>
        <v>45918</v>
      </c>
      <c r="H101" s="457" t="str">
        <f>IFERROR(VLOOKUP(P101,COPY!$A$1:$L$1000,2,FALSE),0)</f>
        <v>Beli</v>
      </c>
      <c r="I101" s="510">
        <f>IFERROR(VLOOKUP(P101,COPY!$A$1:$L$1000,10,FALSE),0)</f>
        <v>4</v>
      </c>
      <c r="J101" s="467" t="str">
        <f>IFERROR(VLOOKUP(P101,COPY!$A$1:$L$1000,8,FALSE),0)</f>
        <v>kg</v>
      </c>
      <c r="K101" s="457" t="str">
        <f>IFERROR(VLOOKUP(P101,COPY!$A$1:$L$1000,7,FALSE),0)</f>
        <v>Bendrat Spq</v>
      </c>
      <c r="L101" s="468" t="str">
        <f>IFERROR(VLOOKUP(P101,COPY!$A$1:$O$1000,15,FALSE),0)</f>
        <v>BKK.19</v>
      </c>
      <c r="M101" s="468" t="str">
        <f>IFERROR(VLOOKUP(P101,COPY!$A$1:$L$1000,12,FALSE),0)</f>
        <v>B</v>
      </c>
      <c r="N101" s="471">
        <f>IF(H101="Jasa",VLOOKUP('BKU 1'!K101,'Rekap Gaji'!$D$12:$I$24,6,FALSE),(IF(H101="Beli",VLOOKUP(P101,COPY!$A$1:$L$1000,11,FALSE),IF(H101="Bayar Ongkos",VLOOKUP(K101,'Rekap Gaji'!$D$12:$I$24,6,FALSE),0))))</f>
        <v>88000</v>
      </c>
      <c r="O101" s="470"/>
      <c r="P101" s="466" t="str">
        <f t="shared" si="7"/>
        <v>1.69</v>
      </c>
      <c r="Q101" s="253">
        <f t="shared" si="8"/>
        <v>69</v>
      </c>
      <c r="R101" s="253">
        <f t="shared" si="9"/>
        <v>69</v>
      </c>
      <c r="S101" s="449">
        <f t="shared" si="10"/>
        <v>69</v>
      </c>
      <c r="T101" s="253">
        <f t="shared" si="11"/>
        <v>-40</v>
      </c>
      <c r="U101" s="457" t="str">
        <f t="shared" si="6"/>
        <v xml:space="preserve"> </v>
      </c>
    </row>
    <row r="102" spans="2:21" ht="20.100000000000001" customHeight="1" x14ac:dyDescent="0.25">
      <c r="B102" s="456">
        <f>IF(LEFT(C102,16)="Terima Pajak PPN",VLOOKUP(P102,COPY!$A$1:$AC$1000,21,FALSE),IF(LEFT(C102,16)="Terima Pajak PPH",VLOOKUP(P102,COPY!$A$1:$AC$1000,21,FALSE),IF(LEFT(C102,13)="Terima PPh 23",VLOOKUP(P102,COPY!$A$1:$AC$1000,21,FALSE),0)))</f>
        <v>0</v>
      </c>
      <c r="C102" s="457">
        <f>IFERROR(IF(LEFT(VLOOKUP(P102,COPY!$A$1:$AC$1000,29,FALSE),5)="Terim",VLOOKUP(P102,COPY!$A$1:$AC$1000,29,FALSE),0),0)</f>
        <v>0</v>
      </c>
      <c r="D102" s="457"/>
      <c r="E102" s="457"/>
      <c r="F102" s="458">
        <f>IFERROR(IF(LEFT(VLOOKUP(P102,COPY!$A$1:$AC$1000,29,FALSE),5)="Terim",VLOOKUP(P102,COPY!$A$1:$AC$1000,26,FALSE),0),0)</f>
        <v>0</v>
      </c>
      <c r="G102" s="459" t="str">
        <f>IFERROR(VLOOKUP(P102,COPY!$A$1:$L$1000,4,FALSE),0)</f>
        <v/>
      </c>
      <c r="H102" s="457" t="str">
        <f>IFERROR(VLOOKUP(P102,COPY!$A$1:$L$1000,2,FALSE),0)</f>
        <v>Beli</v>
      </c>
      <c r="I102" s="510">
        <f>IFERROR(VLOOKUP(P102,COPY!$A$1:$L$1000,10,FALSE),0)</f>
        <v>10</v>
      </c>
      <c r="J102" s="467" t="str">
        <f>IFERROR(VLOOKUP(P102,COPY!$A$1:$L$1000,8,FALSE),0)</f>
        <v>Ljr</v>
      </c>
      <c r="K102" s="457" t="str">
        <f>IFERROR(VLOOKUP(P102,COPY!$A$1:$L$1000,7,FALSE),0)</f>
        <v>Besi 6.0 Sni</v>
      </c>
      <c r="L102" s="468" t="str">
        <f>IFERROR(VLOOKUP(P102,COPY!$A$1:$O$1000,15,FALSE),0)</f>
        <v/>
      </c>
      <c r="M102" s="468" t="str">
        <f>IFERROR(VLOOKUP(P102,COPY!$A$1:$L$1000,12,FALSE),0)</f>
        <v>B</v>
      </c>
      <c r="N102" s="471">
        <f>IF(H102="Jasa",VLOOKUP('BKU 1'!K102,'Rekap Gaji'!$D$12:$I$24,6,FALSE),(IF(H102="Beli",VLOOKUP(P102,COPY!$A$1:$L$1000,11,FALSE),IF(H102="Bayar Ongkos",VLOOKUP(K102,'Rekap Gaji'!$D$12:$I$24,6,FALSE),0))))</f>
        <v>280000</v>
      </c>
      <c r="O102" s="470"/>
      <c r="P102" s="466" t="str">
        <f t="shared" si="7"/>
        <v>1.70</v>
      </c>
      <c r="Q102" s="253">
        <f t="shared" si="8"/>
        <v>70</v>
      </c>
      <c r="R102" s="253">
        <f t="shared" si="9"/>
        <v>70</v>
      </c>
      <c r="S102" s="449">
        <f t="shared" si="10"/>
        <v>70</v>
      </c>
      <c r="T102" s="253">
        <f t="shared" si="11"/>
        <v>-39</v>
      </c>
      <c r="U102" s="457" t="str">
        <f t="shared" si="6"/>
        <v xml:space="preserve"> </v>
      </c>
    </row>
    <row r="103" spans="2:21" ht="20.100000000000001" customHeight="1" x14ac:dyDescent="0.25">
      <c r="B103" s="456">
        <f>IF(LEFT(C103,16)="Terima Pajak PPN",VLOOKUP(P103,COPY!$A$1:$AC$1000,21,FALSE),IF(LEFT(C103,16)="Terima Pajak PPH",VLOOKUP(P103,COPY!$A$1:$AC$1000,21,FALSE),IF(LEFT(C103,13)="Terima PPh 23",VLOOKUP(P103,COPY!$A$1:$AC$1000,21,FALSE),0)))</f>
        <v>0</v>
      </c>
      <c r="C103" s="457">
        <f>IFERROR(IF(LEFT(VLOOKUP(P103,COPY!$A$1:$AC$1000,29,FALSE),5)="Terim",VLOOKUP(P103,COPY!$A$1:$AC$1000,29,FALSE),0),0)</f>
        <v>0</v>
      </c>
      <c r="D103" s="457"/>
      <c r="E103" s="457"/>
      <c r="F103" s="458">
        <f>IFERROR(IF(LEFT(VLOOKUP(P103,COPY!$A$1:$AC$1000,29,FALSE),5)="Terim",VLOOKUP(P103,COPY!$A$1:$AC$1000,26,FALSE),0),0)</f>
        <v>0</v>
      </c>
      <c r="G103" s="459" t="str">
        <f>IFERROR(VLOOKUP(P103,COPY!$A$1:$L$1000,4,FALSE),0)</f>
        <v/>
      </c>
      <c r="H103" s="457" t="str">
        <f>IFERROR(VLOOKUP(P103,COPY!$A$1:$L$1000,2,FALSE),0)</f>
        <v>Beli</v>
      </c>
      <c r="I103" s="510">
        <f>IFERROR(VLOOKUP(P103,COPY!$A$1:$L$1000,10,FALSE),0)</f>
        <v>5</v>
      </c>
      <c r="J103" s="467" t="str">
        <f>IFERROR(VLOOKUP(P103,COPY!$A$1:$L$1000,8,FALSE),0)</f>
        <v>Ljr</v>
      </c>
      <c r="K103" s="457" t="str">
        <f>IFERROR(VLOOKUP(P103,COPY!$A$1:$L$1000,7,FALSE),0)</f>
        <v>Besi 8.0 Sni</v>
      </c>
      <c r="L103" s="468" t="str">
        <f>IFERROR(VLOOKUP(P103,COPY!$A$1:$O$1000,15,FALSE),0)</f>
        <v/>
      </c>
      <c r="M103" s="468" t="str">
        <f>IFERROR(VLOOKUP(P103,COPY!$A$1:$L$1000,12,FALSE),0)</f>
        <v>B</v>
      </c>
      <c r="N103" s="471">
        <f>IF(H103="Jasa",VLOOKUP('BKU 1'!K103,'Rekap Gaji'!$D$12:$I$24,6,FALSE),(IF(H103="Beli",VLOOKUP(P103,COPY!$A$1:$L$1000,11,FALSE),IF(H103="Bayar Ongkos",VLOOKUP(K103,'Rekap Gaji'!$D$12:$I$24,6,FALSE),0))))</f>
        <v>230000</v>
      </c>
      <c r="O103" s="470"/>
      <c r="P103" s="466" t="str">
        <f t="shared" si="7"/>
        <v>1.71</v>
      </c>
      <c r="Q103" s="253">
        <f t="shared" si="8"/>
        <v>71</v>
      </c>
      <c r="R103" s="253">
        <f t="shared" si="9"/>
        <v>71</v>
      </c>
      <c r="S103" s="449">
        <f t="shared" si="10"/>
        <v>71</v>
      </c>
      <c r="T103" s="253">
        <f t="shared" si="11"/>
        <v>-38</v>
      </c>
      <c r="U103" s="457" t="str">
        <f t="shared" si="6"/>
        <v xml:space="preserve"> </v>
      </c>
    </row>
    <row r="104" spans="2:21" ht="20.100000000000001" customHeight="1" x14ac:dyDescent="0.25">
      <c r="B104" s="456">
        <f>IF(LEFT(C104,16)="Terima Pajak PPN",VLOOKUP(P104,COPY!$A$1:$AC$1000,21,FALSE),IF(LEFT(C104,16)="Terima Pajak PPH",VLOOKUP(P104,COPY!$A$1:$AC$1000,21,FALSE),IF(LEFT(C104,13)="Terima PPh 23",VLOOKUP(P104,COPY!$A$1:$AC$1000,21,FALSE),0)))</f>
        <v>0</v>
      </c>
      <c r="C104" s="457">
        <f>IFERROR(IF(LEFT(VLOOKUP(P104,COPY!$A$1:$AC$1000,29,FALSE),5)="Terim",VLOOKUP(P104,COPY!$A$1:$AC$1000,29,FALSE),0),0)</f>
        <v>0</v>
      </c>
      <c r="D104" s="457"/>
      <c r="E104" s="457"/>
      <c r="F104" s="458">
        <f>IFERROR(IF(LEFT(VLOOKUP(P104,COPY!$A$1:$AC$1000,29,FALSE),5)="Terim",VLOOKUP(P104,COPY!$A$1:$AC$1000,26,FALSE),0),0)</f>
        <v>0</v>
      </c>
      <c r="G104" s="459" t="str">
        <f>IFERROR(VLOOKUP(P104,COPY!$A$1:$L$1000,4,FALSE),0)</f>
        <v/>
      </c>
      <c r="H104" s="457" t="str">
        <f>IFERROR(VLOOKUP(P104,COPY!$A$1:$L$1000,2,FALSE),0)</f>
        <v>Beli</v>
      </c>
      <c r="I104" s="510">
        <f>IFERROR(VLOOKUP(P104,COPY!$A$1:$L$1000,10,FALSE),0)</f>
        <v>5</v>
      </c>
      <c r="J104" s="467" t="str">
        <f>IFERROR(VLOOKUP(P104,COPY!$A$1:$L$1000,8,FALSE),0)</f>
        <v>Ljr</v>
      </c>
      <c r="K104" s="457" t="str">
        <f>IFERROR(VLOOKUP(P104,COPY!$A$1:$L$1000,7,FALSE),0)</f>
        <v>Pipa Pvc Rucika D 2 1/2"</v>
      </c>
      <c r="L104" s="468" t="str">
        <f>IFERROR(VLOOKUP(P104,COPY!$A$1:$O$1000,15,FALSE),0)</f>
        <v/>
      </c>
      <c r="M104" s="468" t="str">
        <f>IFERROR(VLOOKUP(P104,COPY!$A$1:$L$1000,12,FALSE),0)</f>
        <v>B</v>
      </c>
      <c r="N104" s="471">
        <f>IF(H104="Jasa",VLOOKUP('BKU 1'!K104,'Rekap Gaji'!$D$12:$I$24,6,FALSE),(IF(H104="Beli",VLOOKUP(P104,COPY!$A$1:$L$1000,11,FALSE),IF(H104="Bayar Ongkos",VLOOKUP(K104,'Rekap Gaji'!$D$12:$I$24,6,FALSE),0))))</f>
        <v>390000</v>
      </c>
      <c r="O104" s="470"/>
      <c r="P104" s="466" t="str">
        <f t="shared" si="7"/>
        <v>1.72</v>
      </c>
      <c r="Q104" s="253">
        <f t="shared" si="8"/>
        <v>72</v>
      </c>
      <c r="R104" s="253">
        <f t="shared" si="9"/>
        <v>72</v>
      </c>
      <c r="S104" s="449">
        <f t="shared" si="10"/>
        <v>72</v>
      </c>
      <c r="T104" s="253">
        <f t="shared" si="11"/>
        <v>-37</v>
      </c>
      <c r="U104" s="457" t="str">
        <f t="shared" si="6"/>
        <v xml:space="preserve"> </v>
      </c>
    </row>
    <row r="105" spans="2:21" ht="20.100000000000001" customHeight="1" x14ac:dyDescent="0.25">
      <c r="B105" s="456">
        <f>IF(LEFT(C105,16)="Terima Pajak PPN",VLOOKUP(P105,COPY!$A$1:$AC$1000,21,FALSE),IF(LEFT(C105,16)="Terima Pajak PPH",VLOOKUP(P105,COPY!$A$1:$AC$1000,21,FALSE),IF(LEFT(C105,13)="Terima PPh 23",VLOOKUP(P105,COPY!$A$1:$AC$1000,21,FALSE),0)))</f>
        <v>0</v>
      </c>
      <c r="C105" s="457">
        <f>IFERROR(IF(LEFT(VLOOKUP(P105,COPY!$A$1:$AC$1000,29,FALSE),5)="Terim",VLOOKUP(P105,COPY!$A$1:$AC$1000,29,FALSE),0),0)</f>
        <v>0</v>
      </c>
      <c r="D105" s="457"/>
      <c r="E105" s="457"/>
      <c r="F105" s="458">
        <f>IFERROR(IF(LEFT(VLOOKUP(P105,COPY!$A$1:$AC$1000,29,FALSE),5)="Terim",VLOOKUP(P105,COPY!$A$1:$AC$1000,26,FALSE),0),0)</f>
        <v>0</v>
      </c>
      <c r="G105" s="459" t="str">
        <f>IFERROR(VLOOKUP(P105,COPY!$A$1:$L$1000,4,FALSE),0)</f>
        <v/>
      </c>
      <c r="H105" s="457" t="str">
        <f>IFERROR(VLOOKUP(P105,COPY!$A$1:$L$1000,2,FALSE),0)</f>
        <v>Beli</v>
      </c>
      <c r="I105" s="510">
        <f>IFERROR(VLOOKUP(P105,COPY!$A$1:$L$1000,10,FALSE),0)</f>
        <v>5</v>
      </c>
      <c r="J105" s="467" t="str">
        <f>IFERROR(VLOOKUP(P105,COPY!$A$1:$L$1000,8,FALSE),0)</f>
        <v>Ljr</v>
      </c>
      <c r="K105" s="457" t="str">
        <f>IFERROR(VLOOKUP(P105,COPY!$A$1:$L$1000,7,FALSE),0)</f>
        <v>Pipa Pvc Rucika D 3"</v>
      </c>
      <c r="L105" s="468" t="str">
        <f>IFERROR(VLOOKUP(P105,COPY!$A$1:$O$1000,15,FALSE),0)</f>
        <v/>
      </c>
      <c r="M105" s="468" t="str">
        <f>IFERROR(VLOOKUP(P105,COPY!$A$1:$L$1000,12,FALSE),0)</f>
        <v>B</v>
      </c>
      <c r="N105" s="471">
        <f>IF(H105="Jasa",VLOOKUP('BKU 1'!K105,'Rekap Gaji'!$D$12:$I$24,6,FALSE),(IF(H105="Beli",VLOOKUP(P105,COPY!$A$1:$L$1000,11,FALSE),IF(H105="Bayar Ongkos",VLOOKUP(K105,'Rekap Gaji'!$D$12:$I$24,6,FALSE),0))))</f>
        <v>575000</v>
      </c>
      <c r="O105" s="470"/>
      <c r="P105" s="466" t="str">
        <f t="shared" si="7"/>
        <v>1.73</v>
      </c>
      <c r="Q105" s="253">
        <f t="shared" si="8"/>
        <v>73</v>
      </c>
      <c r="R105" s="253">
        <f t="shared" si="9"/>
        <v>73</v>
      </c>
      <c r="S105" s="449">
        <f t="shared" si="10"/>
        <v>73</v>
      </c>
      <c r="T105" s="253">
        <f t="shared" si="11"/>
        <v>-36</v>
      </c>
      <c r="U105" s="457" t="str">
        <f t="shared" si="6"/>
        <v xml:space="preserve"> </v>
      </c>
    </row>
    <row r="106" spans="2:21" ht="20.100000000000001" customHeight="1" x14ac:dyDescent="0.25">
      <c r="B106" s="456">
        <f>IF(LEFT(C106,16)="Terima Pajak PPN",VLOOKUP(P106,COPY!$A$1:$AC$1000,21,FALSE),IF(LEFT(C106,16)="Terima Pajak PPH",VLOOKUP(P106,COPY!$A$1:$AC$1000,21,FALSE),IF(LEFT(C106,13)="Terima PPh 23",VLOOKUP(P106,COPY!$A$1:$AC$1000,21,FALSE),0)))</f>
        <v>0</v>
      </c>
      <c r="C106" s="457">
        <f>IFERROR(IF(LEFT(VLOOKUP(P106,COPY!$A$1:$AC$1000,29,FALSE),5)="Terim",VLOOKUP(P106,COPY!$A$1:$AC$1000,29,FALSE),0),0)</f>
        <v>0</v>
      </c>
      <c r="D106" s="457"/>
      <c r="E106" s="457"/>
      <c r="F106" s="458">
        <f>IFERROR(IF(LEFT(VLOOKUP(P106,COPY!$A$1:$AC$1000,29,FALSE),5)="Terim",VLOOKUP(P106,COPY!$A$1:$AC$1000,26,FALSE),0),0)</f>
        <v>0</v>
      </c>
      <c r="G106" s="459">
        <f>IFERROR(VLOOKUP(P106,COPY!$A$1:$L$1000,4,FALSE),0)</f>
        <v>45919</v>
      </c>
      <c r="H106" s="457" t="str">
        <f>IFERROR(VLOOKUP(P106,COPY!$A$1:$L$1000,2,FALSE),0)</f>
        <v>Beli</v>
      </c>
      <c r="I106" s="510">
        <f>IFERROR(VLOOKUP(P106,COPY!$A$1:$L$1000,10,FALSE),0)</f>
        <v>10</v>
      </c>
      <c r="J106" s="467" t="str">
        <f>IFERROR(VLOOKUP(P106,COPY!$A$1:$L$1000,8,FALSE),0)</f>
        <v>Ljr</v>
      </c>
      <c r="K106" s="457" t="str">
        <f>IFERROR(VLOOKUP(P106,COPY!$A$1:$L$1000,7,FALSE),0)</f>
        <v>Besi Sni 10.0</v>
      </c>
      <c r="L106" s="468" t="str">
        <f>IFERROR(VLOOKUP(P106,COPY!$A$1:$O$1000,15,FALSE),0)</f>
        <v>BKK.20</v>
      </c>
      <c r="M106" s="468" t="str">
        <f>IFERROR(VLOOKUP(P106,COPY!$A$1:$L$1000,12,FALSE),0)</f>
        <v>B</v>
      </c>
      <c r="N106" s="471">
        <f>IF(H106="Jasa",VLOOKUP('BKU 1'!K106,'Rekap Gaji'!$D$12:$I$24,6,FALSE),(IF(H106="Beli",VLOOKUP(P106,COPY!$A$1:$L$1000,11,FALSE),IF(H106="Bayar Ongkos",VLOOKUP(K106,'Rekap Gaji'!$D$12:$I$24,6,FALSE),0))))</f>
        <v>730000</v>
      </c>
      <c r="O106" s="470"/>
      <c r="P106" s="466" t="str">
        <f t="shared" si="7"/>
        <v>1.74</v>
      </c>
      <c r="Q106" s="253">
        <f t="shared" si="8"/>
        <v>74</v>
      </c>
      <c r="R106" s="253">
        <f t="shared" si="9"/>
        <v>74</v>
      </c>
      <c r="S106" s="449">
        <f t="shared" si="10"/>
        <v>74</v>
      </c>
      <c r="T106" s="253">
        <f t="shared" si="11"/>
        <v>-35</v>
      </c>
      <c r="U106" s="457" t="str">
        <f t="shared" si="6"/>
        <v xml:space="preserve"> </v>
      </c>
    </row>
    <row r="107" spans="2:21" ht="20.100000000000001" customHeight="1" x14ac:dyDescent="0.25">
      <c r="B107" s="456">
        <f>IF(LEFT(C107,16)="Terima Pajak PPN",VLOOKUP(P107,COPY!$A$1:$AC$1000,21,FALSE),IF(LEFT(C107,16)="Terima Pajak PPH",VLOOKUP(P107,COPY!$A$1:$AC$1000,21,FALSE),IF(LEFT(C107,13)="Terima PPh 23",VLOOKUP(P107,COPY!$A$1:$AC$1000,21,FALSE),0)))</f>
        <v>0</v>
      </c>
      <c r="C107" s="457">
        <f>IFERROR(IF(LEFT(VLOOKUP(P107,COPY!$A$1:$AC$1000,29,FALSE),5)="Terim",VLOOKUP(P107,COPY!$A$1:$AC$1000,29,FALSE),0),0)</f>
        <v>0</v>
      </c>
      <c r="D107" s="457"/>
      <c r="E107" s="457"/>
      <c r="F107" s="458">
        <f>IFERROR(IF(LEFT(VLOOKUP(P107,COPY!$A$1:$AC$1000,29,FALSE),5)="Terim",VLOOKUP(P107,COPY!$A$1:$AC$1000,26,FALSE),0),0)</f>
        <v>0</v>
      </c>
      <c r="G107" s="459" t="str">
        <f>IFERROR(VLOOKUP(P107,COPY!$A$1:$L$1000,4,FALSE),0)</f>
        <v/>
      </c>
      <c r="H107" s="457" t="str">
        <f>IFERROR(VLOOKUP(P107,COPY!$A$1:$L$1000,2,FALSE),0)</f>
        <v>Beli</v>
      </c>
      <c r="I107" s="510">
        <f>IFERROR(VLOOKUP(P107,COPY!$A$1:$L$1000,10,FALSE),0)</f>
        <v>6</v>
      </c>
      <c r="J107" s="467" t="str">
        <f>IFERROR(VLOOKUP(P107,COPY!$A$1:$L$1000,8,FALSE),0)</f>
        <v>Sak</v>
      </c>
      <c r="K107" s="457" t="str">
        <f>IFERROR(VLOOKUP(P107,COPY!$A$1:$L$1000,7,FALSE),0)</f>
        <v>Semen Gresik 40Kg</v>
      </c>
      <c r="L107" s="468" t="str">
        <f>IFERROR(VLOOKUP(P107,COPY!$A$1:$O$1000,15,FALSE),0)</f>
        <v/>
      </c>
      <c r="M107" s="468" t="str">
        <f>IFERROR(VLOOKUP(P107,COPY!$A$1:$L$1000,12,FALSE),0)</f>
        <v>B</v>
      </c>
      <c r="N107" s="471">
        <f>IF(H107="Jasa",VLOOKUP('BKU 1'!K107,'Rekap Gaji'!$D$12:$I$24,6,FALSE),(IF(H107="Beli",VLOOKUP(P107,COPY!$A$1:$L$1000,11,FALSE),IF(H107="Bayar Ongkos",VLOOKUP(K107,'Rekap Gaji'!$D$12:$I$24,6,FALSE),0))))</f>
        <v>348000</v>
      </c>
      <c r="O107" s="470"/>
      <c r="P107" s="466" t="str">
        <f t="shared" si="7"/>
        <v>1.75</v>
      </c>
      <c r="Q107" s="253">
        <f t="shared" si="8"/>
        <v>75</v>
      </c>
      <c r="R107" s="253">
        <f t="shared" si="9"/>
        <v>75</v>
      </c>
      <c r="S107" s="449">
        <f t="shared" si="10"/>
        <v>75</v>
      </c>
      <c r="T107" s="253">
        <f t="shared" si="11"/>
        <v>-34</v>
      </c>
      <c r="U107" s="457" t="str">
        <f t="shared" si="6"/>
        <v xml:space="preserve"> </v>
      </c>
    </row>
    <row r="108" spans="2:21" ht="20.100000000000001" customHeight="1" x14ac:dyDescent="0.25">
      <c r="B108" s="456">
        <f>IF(LEFT(C108,16)="Terima Pajak PPN",VLOOKUP(P108,COPY!$A$1:$AC$1000,21,FALSE),IF(LEFT(C108,16)="Terima Pajak PPH",VLOOKUP(P108,COPY!$A$1:$AC$1000,21,FALSE),IF(LEFT(C108,13)="Terima PPh 23",VLOOKUP(P108,COPY!$A$1:$AC$1000,21,FALSE),0)))</f>
        <v>0</v>
      </c>
      <c r="C108" s="457">
        <f>IFERROR(IF(LEFT(VLOOKUP(P108,COPY!$A$1:$AC$1000,29,FALSE),5)="Terim",VLOOKUP(P108,COPY!$A$1:$AC$1000,29,FALSE),0),0)</f>
        <v>0</v>
      </c>
      <c r="D108" s="457"/>
      <c r="E108" s="457"/>
      <c r="F108" s="458">
        <f>IFERROR(IF(LEFT(VLOOKUP(P108,COPY!$A$1:$AC$1000,29,FALSE),5)="Terim",VLOOKUP(P108,COPY!$A$1:$AC$1000,26,FALSE),0),0)</f>
        <v>0</v>
      </c>
      <c r="G108" s="459" t="str">
        <f>IFERROR(VLOOKUP(P108,COPY!$A$1:$L$1000,4,FALSE),0)</f>
        <v/>
      </c>
      <c r="H108" s="457" t="str">
        <f>IFERROR(VLOOKUP(P108,COPY!$A$1:$L$1000,2,FALSE),0)</f>
        <v>Beli</v>
      </c>
      <c r="I108" s="510">
        <f>IFERROR(VLOOKUP(P108,COPY!$A$1:$L$1000,10,FALSE),0)</f>
        <v>3</v>
      </c>
      <c r="J108" s="467" t="str">
        <f>IFERROR(VLOOKUP(P108,COPY!$A$1:$L$1000,8,FALSE),0)</f>
        <v>Ljr</v>
      </c>
      <c r="K108" s="457" t="str">
        <f>IFERROR(VLOOKUP(P108,COPY!$A$1:$L$1000,7,FALSE),0)</f>
        <v>Pipa Pvc Rucika D 3"</v>
      </c>
      <c r="L108" s="468" t="str">
        <f>IFERROR(VLOOKUP(P108,COPY!$A$1:$O$1000,15,FALSE),0)</f>
        <v/>
      </c>
      <c r="M108" s="468" t="str">
        <f>IFERROR(VLOOKUP(P108,COPY!$A$1:$L$1000,12,FALSE),0)</f>
        <v>B</v>
      </c>
      <c r="N108" s="471">
        <f>IF(H108="Jasa",VLOOKUP('BKU 1'!K108,'Rekap Gaji'!$D$12:$I$24,6,FALSE),(IF(H108="Beli",VLOOKUP(P108,COPY!$A$1:$L$1000,11,FALSE),IF(H108="Bayar Ongkos",VLOOKUP(K108,'Rekap Gaji'!$D$12:$I$24,6,FALSE),0))))</f>
        <v>345000</v>
      </c>
      <c r="O108" s="470"/>
      <c r="P108" s="466" t="str">
        <f t="shared" si="7"/>
        <v>1.76</v>
      </c>
      <c r="Q108" s="253">
        <f t="shared" si="8"/>
        <v>76</v>
      </c>
      <c r="R108" s="253">
        <f t="shared" si="9"/>
        <v>76</v>
      </c>
      <c r="S108" s="449">
        <f t="shared" si="10"/>
        <v>76</v>
      </c>
      <c r="T108" s="253">
        <f t="shared" si="11"/>
        <v>-33</v>
      </c>
      <c r="U108" s="457" t="str">
        <f t="shared" si="6"/>
        <v xml:space="preserve"> </v>
      </c>
    </row>
    <row r="109" spans="2:21" ht="20.100000000000001" customHeight="1" x14ac:dyDescent="0.25">
      <c r="B109" s="456">
        <f>IF(LEFT(C109,16)="Terima Pajak PPN",VLOOKUP(P109,COPY!$A$1:$AC$1000,21,FALSE),IF(LEFT(C109,16)="Terima Pajak PPH",VLOOKUP(P109,COPY!$A$1:$AC$1000,21,FALSE),IF(LEFT(C109,13)="Terima PPh 23",VLOOKUP(P109,COPY!$A$1:$AC$1000,21,FALSE),0)))</f>
        <v>0</v>
      </c>
      <c r="C109" s="457">
        <f>IFERROR(IF(LEFT(VLOOKUP(P109,COPY!$A$1:$AC$1000,29,FALSE),5)="Terim",VLOOKUP(P109,COPY!$A$1:$AC$1000,29,FALSE),0),0)</f>
        <v>0</v>
      </c>
      <c r="D109" s="457"/>
      <c r="E109" s="457"/>
      <c r="F109" s="458">
        <f>IFERROR(IF(LEFT(VLOOKUP(P109,COPY!$A$1:$AC$1000,29,FALSE),5)="Terim",VLOOKUP(P109,COPY!$A$1:$AC$1000,26,FALSE),0),0)</f>
        <v>0</v>
      </c>
      <c r="G109" s="459" t="str">
        <f>IFERROR(VLOOKUP(P109,COPY!$A$1:$L$1000,4,FALSE),0)</f>
        <v/>
      </c>
      <c r="H109" s="457" t="str">
        <f>IFERROR(VLOOKUP(P109,COPY!$A$1:$L$1000,2,FALSE),0)</f>
        <v>Beli</v>
      </c>
      <c r="I109" s="510">
        <f>IFERROR(VLOOKUP(P109,COPY!$A$1:$L$1000,10,FALSE),0)</f>
        <v>1</v>
      </c>
      <c r="J109" s="467" t="str">
        <f>IFERROR(VLOOKUP(P109,COPY!$A$1:$L$1000,8,FALSE),0)</f>
        <v>Ljr</v>
      </c>
      <c r="K109" s="457" t="str">
        <f>IFERROR(VLOOKUP(P109,COPY!$A$1:$L$1000,7,FALSE),0)</f>
        <v>Pipa Pvc Rucika D 4"</v>
      </c>
      <c r="L109" s="468" t="str">
        <f>IFERROR(VLOOKUP(P109,COPY!$A$1:$O$1000,15,FALSE),0)</f>
        <v/>
      </c>
      <c r="M109" s="468" t="str">
        <f>IFERROR(VLOOKUP(P109,COPY!$A$1:$L$1000,12,FALSE),0)</f>
        <v>B</v>
      </c>
      <c r="N109" s="471">
        <f>IF(H109="Jasa",VLOOKUP('BKU 1'!K109,'Rekap Gaji'!$D$12:$I$24,6,FALSE),(IF(H109="Beli",VLOOKUP(P109,COPY!$A$1:$L$1000,11,FALSE),IF(H109="Bayar Ongkos",VLOOKUP(K109,'Rekap Gaji'!$D$12:$I$24,6,FALSE),0))))</f>
        <v>158000</v>
      </c>
      <c r="O109" s="470"/>
      <c r="P109" s="466" t="str">
        <f t="shared" si="7"/>
        <v>1.77</v>
      </c>
      <c r="Q109" s="253">
        <f t="shared" si="8"/>
        <v>77</v>
      </c>
      <c r="R109" s="253">
        <f t="shared" si="9"/>
        <v>77</v>
      </c>
      <c r="S109" s="449">
        <f t="shared" si="10"/>
        <v>77</v>
      </c>
      <c r="T109" s="253">
        <f t="shared" si="11"/>
        <v>-32</v>
      </c>
      <c r="U109" s="457" t="str">
        <f t="shared" si="6"/>
        <v xml:space="preserve"> </v>
      </c>
    </row>
    <row r="110" spans="2:21" ht="20.100000000000001" customHeight="1" x14ac:dyDescent="0.25">
      <c r="B110" s="456">
        <f>IF(LEFT(C110,16)="Terima Pajak PPN",VLOOKUP(P110,COPY!$A$1:$AC$1000,21,FALSE),IF(LEFT(C110,16)="Terima Pajak PPH",VLOOKUP(P110,COPY!$A$1:$AC$1000,21,FALSE),IF(LEFT(C110,13)="Terima PPh 23",VLOOKUP(P110,COPY!$A$1:$AC$1000,21,FALSE),0)))</f>
        <v>0</v>
      </c>
      <c r="C110" s="457">
        <f>IFERROR(IF(LEFT(VLOOKUP(P110,COPY!$A$1:$AC$1000,29,FALSE),5)="Terim",VLOOKUP(P110,COPY!$A$1:$AC$1000,29,FALSE),0),0)</f>
        <v>0</v>
      </c>
      <c r="D110" s="457"/>
      <c r="E110" s="457"/>
      <c r="F110" s="458">
        <f>IFERROR(IF(LEFT(VLOOKUP(P110,COPY!$A$1:$AC$1000,29,FALSE),5)="Terim",VLOOKUP(P110,COPY!$A$1:$AC$1000,26,FALSE),0),0)</f>
        <v>0</v>
      </c>
      <c r="G110" s="459">
        <f>IFERROR(VLOOKUP(P110,COPY!$A$1:$L$1000,4,FALSE),0)</f>
        <v>45920</v>
      </c>
      <c r="H110" s="457" t="str">
        <f>IFERROR(VLOOKUP(P110,COPY!$A$1:$L$1000,2,FALSE),0)</f>
        <v>Beli</v>
      </c>
      <c r="I110" s="510">
        <f>IFERROR(VLOOKUP(P110,COPY!$A$1:$L$1000,10,FALSE),0)</f>
        <v>30</v>
      </c>
      <c r="J110" s="467" t="str">
        <f>IFERROR(VLOOKUP(P110,COPY!$A$1:$L$1000,8,FALSE),0)</f>
        <v>Sak</v>
      </c>
      <c r="K110" s="457" t="str">
        <f>IFERROR(VLOOKUP(P110,COPY!$A$1:$L$1000,7,FALSE),0)</f>
        <v>Semen Gresik 40Kg</v>
      </c>
      <c r="L110" s="468" t="str">
        <f>IFERROR(VLOOKUP(P110,COPY!$A$1:$O$1000,15,FALSE),0)</f>
        <v>BKK.21</v>
      </c>
      <c r="M110" s="468" t="str">
        <f>IFERROR(VLOOKUP(P110,COPY!$A$1:$L$1000,12,FALSE),0)</f>
        <v>B</v>
      </c>
      <c r="N110" s="471">
        <f>IF(H110="Jasa",VLOOKUP('BKU 1'!K110,'Rekap Gaji'!$D$12:$I$24,6,FALSE),(IF(H110="Beli",VLOOKUP(P110,COPY!$A$1:$L$1000,11,FALSE),IF(H110="Bayar Ongkos",VLOOKUP(K110,'Rekap Gaji'!$D$12:$I$24,6,FALSE),0))))</f>
        <v>1740000</v>
      </c>
      <c r="O110" s="470"/>
      <c r="P110" s="466" t="str">
        <f t="shared" si="7"/>
        <v>1.78</v>
      </c>
      <c r="Q110" s="253">
        <f t="shared" si="8"/>
        <v>78</v>
      </c>
      <c r="R110" s="253">
        <f t="shared" si="9"/>
        <v>78</v>
      </c>
      <c r="S110" s="449">
        <f t="shared" si="10"/>
        <v>78</v>
      </c>
      <c r="T110" s="253">
        <f t="shared" si="11"/>
        <v>-31</v>
      </c>
      <c r="U110" s="457" t="str">
        <f t="shared" si="6"/>
        <v xml:space="preserve"> </v>
      </c>
    </row>
    <row r="111" spans="2:21" ht="20.100000000000001" customHeight="1" x14ac:dyDescent="0.25">
      <c r="B111" s="456">
        <f>IF(LEFT(C111,16)="Terima Pajak PPN",VLOOKUP(P111,COPY!$A$1:$AC$1000,21,FALSE),IF(LEFT(C111,16)="Terima Pajak PPH",VLOOKUP(P111,COPY!$A$1:$AC$1000,21,FALSE),IF(LEFT(C111,13)="Terima PPh 23",VLOOKUP(P111,COPY!$A$1:$AC$1000,21,FALSE),0)))</f>
        <v>0</v>
      </c>
      <c r="C111" s="457">
        <f>IFERROR(IF(LEFT(VLOOKUP(P111,COPY!$A$1:$AC$1000,29,FALSE),5)="Terim",VLOOKUP(P111,COPY!$A$1:$AC$1000,29,FALSE),0),0)</f>
        <v>0</v>
      </c>
      <c r="D111" s="457"/>
      <c r="E111" s="457"/>
      <c r="F111" s="458">
        <f>IFERROR(IF(LEFT(VLOOKUP(P111,COPY!$A$1:$AC$1000,29,FALSE),5)="Terim",VLOOKUP(P111,COPY!$A$1:$AC$1000,26,FALSE),0),0)</f>
        <v>0</v>
      </c>
      <c r="G111" s="459">
        <f>IFERROR(VLOOKUP(P111,COPY!$A$1:$L$1000,4,FALSE),0)</f>
        <v>45920</v>
      </c>
      <c r="H111" s="457" t="str">
        <f>IFERROR(VLOOKUP(P111,COPY!$A$1:$L$1000,2,FALSE),0)</f>
        <v>Bayar Ongkos</v>
      </c>
      <c r="I111" s="510">
        <f>IFERROR(VLOOKUP(P111,COPY!$A$1:$L$1000,10,FALSE),0)</f>
        <v>1</v>
      </c>
      <c r="J111" s="467">
        <f>IFERROR(VLOOKUP(P111,COPY!$A$1:$L$1000,8,FALSE),0)</f>
        <v>0</v>
      </c>
      <c r="K111" s="457" t="str">
        <f>IFERROR(VLOOKUP(P111,COPY!$A$1:$L$1000,7,FALSE),0)</f>
        <v>Pembayaran Pekerja Minggu Ke 3</v>
      </c>
      <c r="L111" s="468" t="str">
        <f>IFERROR(VLOOKUP(P111,COPY!$A$1:$O$1000,15,FALSE),0)</f>
        <v>BKK.22</v>
      </c>
      <c r="M111" s="468" t="str">
        <f>IFERROR(VLOOKUP(P111,COPY!$A$1:$L$1000,12,FALSE),0)</f>
        <v>A</v>
      </c>
      <c r="N111" s="471">
        <f>IF(H111="Jasa",VLOOKUP('BKU 1'!K111,'Rekap Gaji'!$D$12:$I$24,6,FALSE),(IF(H111="Beli",VLOOKUP(P111,COPY!$A$1:$L$1000,11,FALSE),IF(H111="Bayar Ongkos",VLOOKUP(K111,'Rekap Gaji'!$D$12:$I$24,6,FALSE),0))))</f>
        <v>5580000</v>
      </c>
      <c r="O111" s="470"/>
      <c r="P111" s="466" t="str">
        <f t="shared" si="7"/>
        <v>1.79</v>
      </c>
      <c r="Q111" s="253">
        <f t="shared" ref="Q111:Q135" si="12">IF(T111&lt;=0,T111+$S$30,0)</f>
        <v>79</v>
      </c>
      <c r="R111" s="253">
        <f t="shared" ref="R111:R135" si="13">IF(T111&lt;=0,S111,0)</f>
        <v>79</v>
      </c>
      <c r="S111" s="449">
        <f t="shared" ref="S111:S135" si="14">S110+1</f>
        <v>79</v>
      </c>
      <c r="T111" s="253">
        <f t="shared" ref="T111:T135" si="15">S111-$S$30</f>
        <v>-30</v>
      </c>
      <c r="U111" s="457" t="str">
        <f t="shared" si="6"/>
        <v xml:space="preserve"> </v>
      </c>
    </row>
    <row r="112" spans="2:21" ht="20.100000000000001" customHeight="1" x14ac:dyDescent="0.25">
      <c r="B112" s="456">
        <f>IF(LEFT(C112,16)="Terima Pajak PPN",VLOOKUP(P112,COPY!$A$1:$AC$1000,21,FALSE),IF(LEFT(C112,16)="Terima Pajak PPH",VLOOKUP(P112,COPY!$A$1:$AC$1000,21,FALSE),IF(LEFT(C112,13)="Terima PPh 23",VLOOKUP(P112,COPY!$A$1:$AC$1000,21,FALSE),0)))</f>
        <v>0</v>
      </c>
      <c r="C112" s="457">
        <f>IFERROR(IF(LEFT(VLOOKUP(P112,COPY!$A$1:$AC$1000,29,FALSE),5)="Terim",VLOOKUP(P112,COPY!$A$1:$AC$1000,29,FALSE),0),0)</f>
        <v>0</v>
      </c>
      <c r="D112" s="457"/>
      <c r="E112" s="457"/>
      <c r="F112" s="458">
        <f>IFERROR(IF(LEFT(VLOOKUP(P112,COPY!$A$1:$AC$1000,29,FALSE),5)="Terim",VLOOKUP(P112,COPY!$A$1:$AC$1000,26,FALSE),0),0)</f>
        <v>0</v>
      </c>
      <c r="G112" s="459">
        <f>IFERROR(VLOOKUP(P112,COPY!$A$1:$L$1000,4,FALSE),0)</f>
        <v>45922</v>
      </c>
      <c r="H112" s="457" t="str">
        <f>IFERROR(VLOOKUP(P112,COPY!$A$1:$L$1000,2,FALSE),0)</f>
        <v>Beli</v>
      </c>
      <c r="I112" s="510">
        <f>IFERROR(VLOOKUP(P112,COPY!$A$1:$L$1000,10,FALSE),0)</f>
        <v>6</v>
      </c>
      <c r="J112" s="467" t="str">
        <f>IFERROR(VLOOKUP(P112,COPY!$A$1:$L$1000,8,FALSE),0)</f>
        <v>Lbr</v>
      </c>
      <c r="K112" s="457" t="str">
        <f>IFERROR(VLOOKUP(P112,COPY!$A$1:$L$1000,7,FALSE),0)</f>
        <v>Triplek 9Mm</v>
      </c>
      <c r="L112" s="468" t="str">
        <f>IFERROR(VLOOKUP(P112,COPY!$A$1:$O$1000,15,FALSE),0)</f>
        <v>BKK.23</v>
      </c>
      <c r="M112" s="468" t="str">
        <f>IFERROR(VLOOKUP(P112,COPY!$A$1:$L$1000,12,FALSE),0)</f>
        <v>B</v>
      </c>
      <c r="N112" s="471">
        <f>IF(H112="Jasa",VLOOKUP('BKU 1'!K112,'Rekap Gaji'!$D$12:$I$24,6,FALSE),(IF(H112="Beli",VLOOKUP(P112,COPY!$A$1:$L$1000,11,FALSE),IF(H112="Bayar Ongkos",VLOOKUP(K112,'Rekap Gaji'!$D$12:$I$24,6,FALSE),0))))</f>
        <v>558000</v>
      </c>
      <c r="O112" s="470"/>
      <c r="P112" s="466" t="str">
        <f t="shared" si="7"/>
        <v>1.80</v>
      </c>
      <c r="Q112" s="253">
        <f t="shared" si="12"/>
        <v>80</v>
      </c>
      <c r="R112" s="253">
        <f t="shared" si="13"/>
        <v>80</v>
      </c>
      <c r="S112" s="449">
        <f t="shared" si="14"/>
        <v>80</v>
      </c>
      <c r="T112" s="253">
        <f t="shared" si="15"/>
        <v>-29</v>
      </c>
      <c r="U112" s="457" t="str">
        <f t="shared" si="6"/>
        <v xml:space="preserve"> </v>
      </c>
    </row>
    <row r="113" spans="2:21" ht="20.100000000000001" customHeight="1" x14ac:dyDescent="0.25">
      <c r="B113" s="456">
        <f>IF(LEFT(C113,16)="Terima Pajak PPN",VLOOKUP(P113,COPY!$A$1:$AC$1000,21,FALSE),IF(LEFT(C113,16)="Terima Pajak PPH",VLOOKUP(P113,COPY!$A$1:$AC$1000,21,FALSE),IF(LEFT(C113,13)="Terima PPh 23",VLOOKUP(P113,COPY!$A$1:$AC$1000,21,FALSE),0)))</f>
        <v>0</v>
      </c>
      <c r="C113" s="457">
        <f>IFERROR(IF(LEFT(VLOOKUP(P113,COPY!$A$1:$AC$1000,29,FALSE),5)="Terim",VLOOKUP(P113,COPY!$A$1:$AC$1000,29,FALSE),0),0)</f>
        <v>0</v>
      </c>
      <c r="D113" s="457"/>
      <c r="E113" s="457"/>
      <c r="F113" s="458">
        <f>IFERROR(IF(LEFT(VLOOKUP(P113,COPY!$A$1:$AC$1000,29,FALSE),5)="Terim",VLOOKUP(P113,COPY!$A$1:$AC$1000,26,FALSE),0),0)</f>
        <v>0</v>
      </c>
      <c r="G113" s="459" t="str">
        <f>IFERROR(VLOOKUP(P113,COPY!$A$1:$L$1000,4,FALSE),0)</f>
        <v/>
      </c>
      <c r="H113" s="457" t="str">
        <f>IFERROR(VLOOKUP(P113,COPY!$A$1:$L$1000,2,FALSE),0)</f>
        <v>Beli</v>
      </c>
      <c r="I113" s="510">
        <f>IFERROR(VLOOKUP(P113,COPY!$A$1:$L$1000,10,FALSE),0)</f>
        <v>2</v>
      </c>
      <c r="J113" s="467" t="str">
        <f>IFERROR(VLOOKUP(P113,COPY!$A$1:$L$1000,8,FALSE),0)</f>
        <v>Pik Up</v>
      </c>
      <c r="K113" s="457" t="str">
        <f>IFERROR(VLOOKUP(P113,COPY!$A$1:$L$1000,7,FALSE),0)</f>
        <v>Pasir Cor L300</v>
      </c>
      <c r="L113" s="468" t="str">
        <f>IFERROR(VLOOKUP(P113,COPY!$A$1:$O$1000,15,FALSE),0)</f>
        <v/>
      </c>
      <c r="M113" s="468" t="str">
        <f>IFERROR(VLOOKUP(P113,COPY!$A$1:$L$1000,12,FALSE),0)</f>
        <v>B</v>
      </c>
      <c r="N113" s="471">
        <f>IF(H113="Jasa",VLOOKUP('BKU 1'!K113,'Rekap Gaji'!$D$12:$I$24,6,FALSE),(IF(H113="Beli",VLOOKUP(P113,COPY!$A$1:$L$1000,11,FALSE),IF(H113="Bayar Ongkos",VLOOKUP(K113,'Rekap Gaji'!$D$12:$I$24,6,FALSE),0))))</f>
        <v>670000</v>
      </c>
      <c r="O113" s="470"/>
      <c r="P113" s="466" t="str">
        <f t="shared" si="7"/>
        <v>1.81</v>
      </c>
      <c r="Q113" s="253">
        <f t="shared" si="12"/>
        <v>81</v>
      </c>
      <c r="R113" s="253">
        <f t="shared" si="13"/>
        <v>81</v>
      </c>
      <c r="S113" s="449">
        <f t="shared" si="14"/>
        <v>81</v>
      </c>
      <c r="T113" s="253">
        <f t="shared" si="15"/>
        <v>-28</v>
      </c>
      <c r="U113" s="457" t="str">
        <f t="shared" si="6"/>
        <v xml:space="preserve"> </v>
      </c>
    </row>
    <row r="114" spans="2:21" ht="20.100000000000001" customHeight="1" x14ac:dyDescent="0.25">
      <c r="B114" s="456">
        <f>IF(LEFT(C114,16)="Terima Pajak PPN",VLOOKUP(P114,COPY!$A$1:$AC$1000,21,FALSE),IF(LEFT(C114,16)="Terima Pajak PPH",VLOOKUP(P114,COPY!$A$1:$AC$1000,21,FALSE),IF(LEFT(C114,13)="Terima PPh 23",VLOOKUP(P114,COPY!$A$1:$AC$1000,21,FALSE),0)))</f>
        <v>0</v>
      </c>
      <c r="C114" s="457">
        <f>IFERROR(IF(LEFT(VLOOKUP(P114,COPY!$A$1:$AC$1000,29,FALSE),5)="Terim",VLOOKUP(P114,COPY!$A$1:$AC$1000,29,FALSE),0),0)</f>
        <v>0</v>
      </c>
      <c r="D114" s="457"/>
      <c r="E114" s="457"/>
      <c r="F114" s="458">
        <f>IFERROR(IF(LEFT(VLOOKUP(P114,COPY!$A$1:$AC$1000,29,FALSE),5)="Terim",VLOOKUP(P114,COPY!$A$1:$AC$1000,26,FALSE),0),0)</f>
        <v>0</v>
      </c>
      <c r="G114" s="459" t="str">
        <f>IFERROR(VLOOKUP(P114,COPY!$A$1:$L$1000,4,FALSE),0)</f>
        <v/>
      </c>
      <c r="H114" s="457" t="str">
        <f>IFERROR(VLOOKUP(P114,COPY!$A$1:$L$1000,2,FALSE),0)</f>
        <v>Beli</v>
      </c>
      <c r="I114" s="510">
        <f>IFERROR(VLOOKUP(P114,COPY!$A$1:$L$1000,10,FALSE),0)</f>
        <v>10</v>
      </c>
      <c r="J114" s="467" t="str">
        <f>IFERROR(VLOOKUP(P114,COPY!$A$1:$L$1000,8,FALSE),0)</f>
        <v>Ljr</v>
      </c>
      <c r="K114" s="457" t="str">
        <f>IFERROR(VLOOKUP(P114,COPY!$A$1:$L$1000,7,FALSE),0)</f>
        <v>Besi 6.0 Sni</v>
      </c>
      <c r="L114" s="468" t="str">
        <f>IFERROR(VLOOKUP(P114,COPY!$A$1:$O$1000,15,FALSE),0)</f>
        <v/>
      </c>
      <c r="M114" s="468" t="str">
        <f>IFERROR(VLOOKUP(P114,COPY!$A$1:$L$1000,12,FALSE),0)</f>
        <v>B</v>
      </c>
      <c r="N114" s="471">
        <f>IF(H114="Jasa",VLOOKUP('BKU 1'!K114,'Rekap Gaji'!$D$12:$I$24,6,FALSE),(IF(H114="Beli",VLOOKUP(P114,COPY!$A$1:$L$1000,11,FALSE),IF(H114="Bayar Ongkos",VLOOKUP(K114,'Rekap Gaji'!$D$12:$I$24,6,FALSE),0))))</f>
        <v>280000</v>
      </c>
      <c r="O114" s="470"/>
      <c r="P114" s="466" t="str">
        <f t="shared" si="7"/>
        <v>1.82</v>
      </c>
      <c r="Q114" s="253">
        <f t="shared" si="12"/>
        <v>82</v>
      </c>
      <c r="R114" s="253">
        <f t="shared" si="13"/>
        <v>82</v>
      </c>
      <c r="S114" s="449">
        <f t="shared" si="14"/>
        <v>82</v>
      </c>
      <c r="T114" s="253">
        <f t="shared" si="15"/>
        <v>-27</v>
      </c>
      <c r="U114" s="457" t="str">
        <f t="shared" si="6"/>
        <v xml:space="preserve"> </v>
      </c>
    </row>
    <row r="115" spans="2:21" ht="20.100000000000001" customHeight="1" x14ac:dyDescent="0.25">
      <c r="B115" s="456">
        <f>IF(LEFT(C115,16)="Terima Pajak PPN",VLOOKUP(P115,COPY!$A$1:$AC$1000,21,FALSE),IF(LEFT(C115,16)="Terima Pajak PPH",VLOOKUP(P115,COPY!$A$1:$AC$1000,21,FALSE),IF(LEFT(C115,13)="Terima PPh 23",VLOOKUP(P115,COPY!$A$1:$AC$1000,21,FALSE),0)))</f>
        <v>0</v>
      </c>
      <c r="C115" s="457">
        <f>IFERROR(IF(LEFT(VLOOKUP(P115,COPY!$A$1:$AC$1000,29,FALSE),5)="Terim",VLOOKUP(P115,COPY!$A$1:$AC$1000,29,FALSE),0),0)</f>
        <v>0</v>
      </c>
      <c r="D115" s="457"/>
      <c r="E115" s="457"/>
      <c r="F115" s="458">
        <f>IFERROR(IF(LEFT(VLOOKUP(P115,COPY!$A$1:$AC$1000,29,FALSE),5)="Terim",VLOOKUP(P115,COPY!$A$1:$AC$1000,26,FALSE),0),0)</f>
        <v>0</v>
      </c>
      <c r="G115" s="459" t="str">
        <f>IFERROR(VLOOKUP(P115,COPY!$A$1:$L$1000,4,FALSE),0)</f>
        <v/>
      </c>
      <c r="H115" s="457" t="str">
        <f>IFERROR(VLOOKUP(P115,COPY!$A$1:$L$1000,2,FALSE),0)</f>
        <v>Beli</v>
      </c>
      <c r="I115" s="510">
        <f>IFERROR(VLOOKUP(P115,COPY!$A$1:$L$1000,10,FALSE),0)</f>
        <v>8</v>
      </c>
      <c r="J115" s="467" t="str">
        <f>IFERROR(VLOOKUP(P115,COPY!$A$1:$L$1000,8,FALSE),0)</f>
        <v>Sak</v>
      </c>
      <c r="K115" s="457" t="str">
        <f>IFERROR(VLOOKUP(P115,COPY!$A$1:$L$1000,7,FALSE),0)</f>
        <v>Semen 3 Roda</v>
      </c>
      <c r="L115" s="468" t="str">
        <f>IFERROR(VLOOKUP(P115,COPY!$A$1:$O$1000,15,FALSE),0)</f>
        <v/>
      </c>
      <c r="M115" s="468" t="str">
        <f>IFERROR(VLOOKUP(P115,COPY!$A$1:$L$1000,12,FALSE),0)</f>
        <v>B</v>
      </c>
      <c r="N115" s="471">
        <f>IF(H115="Jasa",VLOOKUP('BKU 1'!K115,'Rekap Gaji'!$D$12:$I$24,6,FALSE),(IF(H115="Beli",VLOOKUP(P115,COPY!$A$1:$L$1000,11,FALSE),IF(H115="Bayar Ongkos",VLOOKUP(K115,'Rekap Gaji'!$D$12:$I$24,6,FALSE),0))))</f>
        <v>416000</v>
      </c>
      <c r="O115" s="470"/>
      <c r="P115" s="466" t="str">
        <f t="shared" si="7"/>
        <v>1.83</v>
      </c>
      <c r="Q115" s="253">
        <f t="shared" si="12"/>
        <v>83</v>
      </c>
      <c r="R115" s="253">
        <f t="shared" si="13"/>
        <v>83</v>
      </c>
      <c r="S115" s="449">
        <f t="shared" si="14"/>
        <v>83</v>
      </c>
      <c r="T115" s="253">
        <f t="shared" si="15"/>
        <v>-26</v>
      </c>
      <c r="U115" s="457" t="str">
        <f t="shared" si="6"/>
        <v xml:space="preserve"> </v>
      </c>
    </row>
    <row r="116" spans="2:21" ht="20.100000000000001" customHeight="1" x14ac:dyDescent="0.25">
      <c r="B116" s="456">
        <f>IF(LEFT(C116,16)="Terima Pajak PPN",VLOOKUP(P116,COPY!$A$1:$AC$1000,21,FALSE),IF(LEFT(C116,16)="Terima Pajak PPH",VLOOKUP(P116,COPY!$A$1:$AC$1000,21,FALSE),IF(LEFT(C116,13)="Terima PPh 23",VLOOKUP(P116,COPY!$A$1:$AC$1000,21,FALSE),0)))</f>
        <v>0</v>
      </c>
      <c r="C116" s="457">
        <f>IFERROR(IF(LEFT(VLOOKUP(P116,COPY!$A$1:$AC$1000,29,FALSE),5)="Terim",VLOOKUP(P116,COPY!$A$1:$AC$1000,29,FALSE),0),0)</f>
        <v>0</v>
      </c>
      <c r="D116" s="457"/>
      <c r="E116" s="457"/>
      <c r="F116" s="458">
        <f>IFERROR(IF(LEFT(VLOOKUP(P116,COPY!$A$1:$AC$1000,29,FALSE),5)="Terim",VLOOKUP(P116,COPY!$A$1:$AC$1000,26,FALSE),0),0)</f>
        <v>0</v>
      </c>
      <c r="G116" s="459">
        <f>IFERROR(VLOOKUP(P116,COPY!$A$1:$L$1000,4,FALSE),0)</f>
        <v>45923</v>
      </c>
      <c r="H116" s="457" t="str">
        <f>IFERROR(VLOOKUP(P116,COPY!$A$1:$L$1000,2,FALSE),0)</f>
        <v>Beli</v>
      </c>
      <c r="I116" s="510">
        <f>IFERROR(VLOOKUP(P116,COPY!$A$1:$L$1000,10,FALSE),0)</f>
        <v>1000</v>
      </c>
      <c r="J116" s="467" t="str">
        <f>IFERROR(VLOOKUP(P116,COPY!$A$1:$L$1000,8,FALSE),0)</f>
        <v>Bji</v>
      </c>
      <c r="K116" s="457" t="str">
        <f>IFERROR(VLOOKUP(P116,COPY!$A$1:$L$1000,7,FALSE),0)</f>
        <v>Bata Merah Super</v>
      </c>
      <c r="L116" s="468" t="str">
        <f>IFERROR(VLOOKUP(P116,COPY!$A$1:$O$1000,15,FALSE),0)</f>
        <v>BKK.24</v>
      </c>
      <c r="M116" s="468" t="str">
        <f>IFERROR(VLOOKUP(P116,COPY!$A$1:$L$1000,12,FALSE),0)</f>
        <v>B</v>
      </c>
      <c r="N116" s="471">
        <f>IF(H116="Jasa",VLOOKUP('BKU 1'!K116,'Rekap Gaji'!$D$12:$I$24,6,FALSE),(IF(H116="Beli",VLOOKUP(P116,COPY!$A$1:$L$1000,11,FALSE),IF(H116="Bayar Ongkos",VLOOKUP(K116,'Rekap Gaji'!$D$12:$I$24,6,FALSE),0))))</f>
        <v>550000</v>
      </c>
      <c r="O116" s="470"/>
      <c r="P116" s="466" t="str">
        <f t="shared" si="7"/>
        <v>1.84</v>
      </c>
      <c r="Q116" s="253">
        <f t="shared" si="12"/>
        <v>84</v>
      </c>
      <c r="R116" s="253">
        <f t="shared" si="13"/>
        <v>84</v>
      </c>
      <c r="S116" s="449">
        <f t="shared" si="14"/>
        <v>84</v>
      </c>
      <c r="T116" s="253">
        <f t="shared" si="15"/>
        <v>-25</v>
      </c>
      <c r="U116" s="457" t="str">
        <f t="shared" si="6"/>
        <v xml:space="preserve"> </v>
      </c>
    </row>
    <row r="117" spans="2:21" ht="20.100000000000001" customHeight="1" x14ac:dyDescent="0.25">
      <c r="B117" s="456">
        <f>IF(LEFT(C117,16)="Terima Pajak PPN",VLOOKUP(P117,COPY!$A$1:$AC$1000,21,FALSE),IF(LEFT(C117,16)="Terima Pajak PPH",VLOOKUP(P117,COPY!$A$1:$AC$1000,21,FALSE),IF(LEFT(C117,13)="Terima PPh 23",VLOOKUP(P117,COPY!$A$1:$AC$1000,21,FALSE),0)))</f>
        <v>0</v>
      </c>
      <c r="C117" s="457">
        <f>IFERROR(IF(LEFT(VLOOKUP(P117,COPY!$A$1:$AC$1000,29,FALSE),5)="Terim",VLOOKUP(P117,COPY!$A$1:$AC$1000,29,FALSE),0),0)</f>
        <v>0</v>
      </c>
      <c r="D117" s="457"/>
      <c r="E117" s="457"/>
      <c r="F117" s="458">
        <f>IFERROR(IF(LEFT(VLOOKUP(P117,COPY!$A$1:$AC$1000,29,FALSE),5)="Terim",VLOOKUP(P117,COPY!$A$1:$AC$1000,26,FALSE),0),0)</f>
        <v>0</v>
      </c>
      <c r="G117" s="459" t="str">
        <f>IFERROR(VLOOKUP(P117,COPY!$A$1:$L$1000,4,FALSE),0)</f>
        <v/>
      </c>
      <c r="H117" s="457" t="str">
        <f>IFERROR(VLOOKUP(P117,COPY!$A$1:$L$1000,2,FALSE),0)</f>
        <v>Beli</v>
      </c>
      <c r="I117" s="510">
        <f>IFERROR(VLOOKUP(P117,COPY!$A$1:$L$1000,10,FALSE),0)</f>
        <v>2</v>
      </c>
      <c r="J117" s="467" t="str">
        <f>IFERROR(VLOOKUP(P117,COPY!$A$1:$L$1000,8,FALSE),0)</f>
        <v>m3</v>
      </c>
      <c r="K117" s="457" t="str">
        <f>IFERROR(VLOOKUP(P117,COPY!$A$1:$L$1000,7,FALSE),0)</f>
        <v>Bata Ringan Vocon 10 Cm</v>
      </c>
      <c r="L117" s="468" t="str">
        <f>IFERROR(VLOOKUP(P117,COPY!$A$1:$O$1000,15,FALSE),0)</f>
        <v/>
      </c>
      <c r="M117" s="468" t="str">
        <f>IFERROR(VLOOKUP(P117,COPY!$A$1:$L$1000,12,FALSE),0)</f>
        <v>B</v>
      </c>
      <c r="N117" s="471">
        <f>IF(H117="Jasa",VLOOKUP('BKU 1'!K117,'Rekap Gaji'!$D$12:$I$24,6,FALSE),(IF(H117="Beli",VLOOKUP(P117,COPY!$A$1:$L$1000,11,FALSE),IF(H117="Bayar Ongkos",VLOOKUP(K117,'Rekap Gaji'!$D$12:$I$24,6,FALSE),0))))</f>
        <v>1120000</v>
      </c>
      <c r="O117" s="470"/>
      <c r="P117" s="466" t="str">
        <f t="shared" si="7"/>
        <v>1.85</v>
      </c>
      <c r="Q117" s="253">
        <f t="shared" si="12"/>
        <v>85</v>
      </c>
      <c r="R117" s="253">
        <f t="shared" si="13"/>
        <v>85</v>
      </c>
      <c r="S117" s="449">
        <f t="shared" si="14"/>
        <v>85</v>
      </c>
      <c r="T117" s="253">
        <f t="shared" si="15"/>
        <v>-24</v>
      </c>
      <c r="U117" s="457" t="str">
        <f t="shared" si="6"/>
        <v xml:space="preserve"> </v>
      </c>
    </row>
    <row r="118" spans="2:21" ht="20.100000000000001" customHeight="1" x14ac:dyDescent="0.25">
      <c r="B118" s="456">
        <f>IF(LEFT(C118,16)="Terima Pajak PPN",VLOOKUP(P118,COPY!$A$1:$AC$1000,21,FALSE),IF(LEFT(C118,16)="Terima Pajak PPH",VLOOKUP(P118,COPY!$A$1:$AC$1000,21,FALSE),IF(LEFT(C118,13)="Terima PPh 23",VLOOKUP(P118,COPY!$A$1:$AC$1000,21,FALSE),0)))</f>
        <v>0</v>
      </c>
      <c r="C118" s="457">
        <f>IFERROR(IF(LEFT(VLOOKUP(P118,COPY!$A$1:$AC$1000,29,FALSE),5)="Terim",VLOOKUP(P118,COPY!$A$1:$AC$1000,29,FALSE),0),0)</f>
        <v>0</v>
      </c>
      <c r="D118" s="457"/>
      <c r="E118" s="457"/>
      <c r="F118" s="458">
        <f>IFERROR(IF(LEFT(VLOOKUP(P118,COPY!$A$1:$AC$1000,29,FALSE),5)="Terim",VLOOKUP(P118,COPY!$A$1:$AC$1000,26,FALSE),0),0)</f>
        <v>0</v>
      </c>
      <c r="G118" s="459" t="str">
        <f>IFERROR(VLOOKUP(P118,COPY!$A$1:$L$1000,4,FALSE),0)</f>
        <v/>
      </c>
      <c r="H118" s="457" t="str">
        <f>IFERROR(VLOOKUP(P118,COPY!$A$1:$L$1000,2,FALSE),0)</f>
        <v>Beli</v>
      </c>
      <c r="I118" s="510">
        <f>IFERROR(VLOOKUP(P118,COPY!$A$1:$L$1000,10,FALSE),0)</f>
        <v>4</v>
      </c>
      <c r="J118" s="467" t="str">
        <f>IFERROR(VLOOKUP(P118,COPY!$A$1:$L$1000,8,FALSE),0)</f>
        <v>Sak</v>
      </c>
      <c r="K118" s="457" t="str">
        <f>IFERROR(VLOOKUP(P118,COPY!$A$1:$L$1000,7,FALSE),0)</f>
        <v>Drymix Perekat Bata Ringan</v>
      </c>
      <c r="L118" s="468" t="str">
        <f>IFERROR(VLOOKUP(P118,COPY!$A$1:$O$1000,15,FALSE),0)</f>
        <v/>
      </c>
      <c r="M118" s="468" t="str">
        <f>IFERROR(VLOOKUP(P118,COPY!$A$1:$L$1000,12,FALSE),0)</f>
        <v>B</v>
      </c>
      <c r="N118" s="471">
        <f>IF(H118="Jasa",VLOOKUP('BKU 1'!K118,'Rekap Gaji'!$D$12:$I$24,6,FALSE),(IF(H118="Beli",VLOOKUP(P118,COPY!$A$1:$L$1000,11,FALSE),IF(H118="Bayar Ongkos",VLOOKUP(K118,'Rekap Gaji'!$D$12:$I$24,6,FALSE),0))))</f>
        <v>280000</v>
      </c>
      <c r="O118" s="470"/>
      <c r="P118" s="466" t="str">
        <f t="shared" si="7"/>
        <v>1.86</v>
      </c>
      <c r="Q118" s="253">
        <f t="shared" si="12"/>
        <v>86</v>
      </c>
      <c r="R118" s="253">
        <f t="shared" si="13"/>
        <v>86</v>
      </c>
      <c r="S118" s="449">
        <f t="shared" si="14"/>
        <v>86</v>
      </c>
      <c r="T118" s="253">
        <f t="shared" si="15"/>
        <v>-23</v>
      </c>
      <c r="U118" s="457" t="str">
        <f t="shared" si="6"/>
        <v xml:space="preserve"> </v>
      </c>
    </row>
    <row r="119" spans="2:21" ht="20.100000000000001" customHeight="1" x14ac:dyDescent="0.25">
      <c r="B119" s="456">
        <f>IF(LEFT(C119,16)="Terima Pajak PPN",VLOOKUP(P119,COPY!$A$1:$AC$1000,21,FALSE),IF(LEFT(C119,16)="Terima Pajak PPH",VLOOKUP(P119,COPY!$A$1:$AC$1000,21,FALSE),IF(LEFT(C119,13)="Terima PPh 23",VLOOKUP(P119,COPY!$A$1:$AC$1000,21,FALSE),0)))</f>
        <v>0</v>
      </c>
      <c r="C119" s="457">
        <f>IFERROR(IF(LEFT(VLOOKUP(P119,COPY!$A$1:$AC$1000,29,FALSE),5)="Terim",VLOOKUP(P119,COPY!$A$1:$AC$1000,29,FALSE),0),0)</f>
        <v>0</v>
      </c>
      <c r="D119" s="457"/>
      <c r="E119" s="457"/>
      <c r="F119" s="458">
        <f>IFERROR(IF(LEFT(VLOOKUP(P119,COPY!$A$1:$AC$1000,29,FALSE),5)="Terim",VLOOKUP(P119,COPY!$A$1:$AC$1000,26,FALSE),0),0)</f>
        <v>0</v>
      </c>
      <c r="G119" s="459">
        <f>IFERROR(VLOOKUP(P119,COPY!$A$1:$L$1000,4,FALSE),0)</f>
        <v>45924</v>
      </c>
      <c r="H119" s="457" t="str">
        <f>IFERROR(VLOOKUP(P119,COPY!$A$1:$L$1000,2,FALSE),0)</f>
        <v>Beli</v>
      </c>
      <c r="I119" s="510">
        <f>IFERROR(VLOOKUP(P119,COPY!$A$1:$L$1000,10,FALSE),0)</f>
        <v>2</v>
      </c>
      <c r="J119" s="467" t="str">
        <f>IFERROR(VLOOKUP(P119,COPY!$A$1:$L$1000,8,FALSE),0)</f>
        <v>m3</v>
      </c>
      <c r="K119" s="457" t="str">
        <f>IFERROR(VLOOKUP(P119,COPY!$A$1:$L$1000,7,FALSE),0)</f>
        <v>Bata Ringan Vocon 10 Cm</v>
      </c>
      <c r="L119" s="468" t="str">
        <f>IFERROR(VLOOKUP(P119,COPY!$A$1:$O$1000,15,FALSE),0)</f>
        <v>BKK.25</v>
      </c>
      <c r="M119" s="468" t="str">
        <f>IFERROR(VLOOKUP(P119,COPY!$A$1:$L$1000,12,FALSE),0)</f>
        <v>B</v>
      </c>
      <c r="N119" s="471">
        <f>IF(H119="Jasa",VLOOKUP('BKU 1'!K119,'Rekap Gaji'!$D$12:$I$24,6,FALSE),(IF(H119="Beli",VLOOKUP(P119,COPY!$A$1:$L$1000,11,FALSE),IF(H119="Bayar Ongkos",VLOOKUP(K119,'Rekap Gaji'!$D$12:$I$24,6,FALSE),0))))</f>
        <v>1120000</v>
      </c>
      <c r="O119" s="470"/>
      <c r="P119" s="466" t="str">
        <f t="shared" si="7"/>
        <v>1.87</v>
      </c>
      <c r="Q119" s="253">
        <f t="shared" si="12"/>
        <v>87</v>
      </c>
      <c r="R119" s="253">
        <f t="shared" si="13"/>
        <v>87</v>
      </c>
      <c r="S119" s="449">
        <f t="shared" si="14"/>
        <v>87</v>
      </c>
      <c r="T119" s="253">
        <f t="shared" si="15"/>
        <v>-22</v>
      </c>
      <c r="U119" s="457" t="str">
        <f t="shared" si="6"/>
        <v xml:space="preserve"> </v>
      </c>
    </row>
    <row r="120" spans="2:21" ht="20.100000000000001" customHeight="1" x14ac:dyDescent="0.25">
      <c r="B120" s="456">
        <f>IF(LEFT(C120,16)="Terima Pajak PPN",VLOOKUP(P120,COPY!$A$1:$AC$1000,21,FALSE),IF(LEFT(C120,16)="Terima Pajak PPH",VLOOKUP(P120,COPY!$A$1:$AC$1000,21,FALSE),IF(LEFT(C120,13)="Terima PPh 23",VLOOKUP(P120,COPY!$A$1:$AC$1000,21,FALSE),0)))</f>
        <v>0</v>
      </c>
      <c r="C120" s="457">
        <f>IFERROR(IF(LEFT(VLOOKUP(P120,COPY!$A$1:$AC$1000,29,FALSE),5)="Terim",VLOOKUP(P120,COPY!$A$1:$AC$1000,29,FALSE),0),0)</f>
        <v>0</v>
      </c>
      <c r="D120" s="457"/>
      <c r="E120" s="457"/>
      <c r="F120" s="458">
        <f>IFERROR(IF(LEFT(VLOOKUP(P120,COPY!$A$1:$AC$1000,29,FALSE),5)="Terim",VLOOKUP(P120,COPY!$A$1:$AC$1000,26,FALSE),0),0)</f>
        <v>0</v>
      </c>
      <c r="G120" s="459" t="str">
        <f>IFERROR(VLOOKUP(P120,COPY!$A$1:$L$1000,4,FALSE),0)</f>
        <v/>
      </c>
      <c r="H120" s="457" t="str">
        <f>IFERROR(VLOOKUP(P120,COPY!$A$1:$L$1000,2,FALSE),0)</f>
        <v>Beli</v>
      </c>
      <c r="I120" s="510">
        <f>IFERROR(VLOOKUP(P120,COPY!$A$1:$L$1000,10,FALSE),0)</f>
        <v>4</v>
      </c>
      <c r="J120" s="467" t="str">
        <f>IFERROR(VLOOKUP(P120,COPY!$A$1:$L$1000,8,FALSE),0)</f>
        <v>Sak</v>
      </c>
      <c r="K120" s="457" t="str">
        <f>IFERROR(VLOOKUP(P120,COPY!$A$1:$L$1000,7,FALSE),0)</f>
        <v>Drymix Perekat Bata Ringan</v>
      </c>
      <c r="L120" s="468" t="str">
        <f>IFERROR(VLOOKUP(P120,COPY!$A$1:$O$1000,15,FALSE),0)</f>
        <v/>
      </c>
      <c r="M120" s="468" t="str">
        <f>IFERROR(VLOOKUP(P120,COPY!$A$1:$L$1000,12,FALSE),0)</f>
        <v>B</v>
      </c>
      <c r="N120" s="471">
        <f>IF(H120="Jasa",VLOOKUP('BKU 1'!K120,'Rekap Gaji'!$D$12:$I$24,6,FALSE),(IF(H120="Beli",VLOOKUP(P120,COPY!$A$1:$L$1000,11,FALSE),IF(H120="Bayar Ongkos",VLOOKUP(K120,'Rekap Gaji'!$D$12:$I$24,6,FALSE),0))))</f>
        <v>280000</v>
      </c>
      <c r="O120" s="470"/>
      <c r="P120" s="466" t="str">
        <f t="shared" si="7"/>
        <v>1.88</v>
      </c>
      <c r="Q120" s="253">
        <f t="shared" si="12"/>
        <v>88</v>
      </c>
      <c r="R120" s="253">
        <f t="shared" si="13"/>
        <v>88</v>
      </c>
      <c r="S120" s="449">
        <f t="shared" si="14"/>
        <v>88</v>
      </c>
      <c r="T120" s="253">
        <f t="shared" si="15"/>
        <v>-21</v>
      </c>
      <c r="U120" s="457" t="str">
        <f t="shared" si="6"/>
        <v xml:space="preserve"> </v>
      </c>
    </row>
    <row r="121" spans="2:21" ht="20.100000000000001" customHeight="1" x14ac:dyDescent="0.25">
      <c r="B121" s="456">
        <f>IF(LEFT(C121,16)="Terima Pajak PPN",VLOOKUP(P121,COPY!$A$1:$AC$1000,21,FALSE),IF(LEFT(C121,16)="Terima Pajak PPH",VLOOKUP(P121,COPY!$A$1:$AC$1000,21,FALSE),IF(LEFT(C121,13)="Terima PPh 23",VLOOKUP(P121,COPY!$A$1:$AC$1000,21,FALSE),0)))</f>
        <v>0</v>
      </c>
      <c r="C121" s="457">
        <f>IFERROR(IF(LEFT(VLOOKUP(P121,COPY!$A$1:$AC$1000,29,FALSE),5)="Terim",VLOOKUP(P121,COPY!$A$1:$AC$1000,29,FALSE),0),0)</f>
        <v>0</v>
      </c>
      <c r="D121" s="457"/>
      <c r="E121" s="457"/>
      <c r="F121" s="458">
        <f>IFERROR(IF(LEFT(VLOOKUP(P121,COPY!$A$1:$AC$1000,29,FALSE),5)="Terim",VLOOKUP(P121,COPY!$A$1:$AC$1000,26,FALSE),0),0)</f>
        <v>0</v>
      </c>
      <c r="G121" s="459">
        <f>IFERROR(VLOOKUP(P121,COPY!$A$1:$L$1000,4,FALSE),0)</f>
        <v>45925</v>
      </c>
      <c r="H121" s="457" t="str">
        <f>IFERROR(VLOOKUP(P121,COPY!$A$1:$L$1000,2,FALSE),0)</f>
        <v>Beli</v>
      </c>
      <c r="I121" s="510">
        <f>IFERROR(VLOOKUP(P121,COPY!$A$1:$L$1000,10,FALSE),0)</f>
        <v>2</v>
      </c>
      <c r="J121" s="467" t="str">
        <f>IFERROR(VLOOKUP(P121,COPY!$A$1:$L$1000,8,FALSE),0)</f>
        <v>Pik Up</v>
      </c>
      <c r="K121" s="457" t="str">
        <f>IFERROR(VLOOKUP(P121,COPY!$A$1:$L$1000,7,FALSE),0)</f>
        <v>Pasir Biasa L300</v>
      </c>
      <c r="L121" s="468" t="str">
        <f>IFERROR(VLOOKUP(P121,COPY!$A$1:$O$1000,15,FALSE),0)</f>
        <v>BKK.26</v>
      </c>
      <c r="M121" s="468" t="str">
        <f>IFERROR(VLOOKUP(P121,COPY!$A$1:$L$1000,12,FALSE),0)</f>
        <v>B</v>
      </c>
      <c r="N121" s="471">
        <f>IF(H121="Jasa",VLOOKUP('BKU 1'!K121,'Rekap Gaji'!$D$12:$I$24,6,FALSE),(IF(H121="Beli",VLOOKUP(P121,COPY!$A$1:$L$1000,11,FALSE),IF(H121="Bayar Ongkos",VLOOKUP(K121,'Rekap Gaji'!$D$12:$I$24,6,FALSE),0))))</f>
        <v>460000</v>
      </c>
      <c r="O121" s="470"/>
      <c r="P121" s="466" t="str">
        <f t="shared" si="7"/>
        <v>1.89</v>
      </c>
      <c r="Q121" s="253">
        <f t="shared" si="12"/>
        <v>89</v>
      </c>
      <c r="R121" s="253">
        <f t="shared" si="13"/>
        <v>89</v>
      </c>
      <c r="S121" s="449">
        <f t="shared" si="14"/>
        <v>89</v>
      </c>
      <c r="T121" s="253">
        <f t="shared" si="15"/>
        <v>-20</v>
      </c>
      <c r="U121" s="457" t="str">
        <f t="shared" si="6"/>
        <v xml:space="preserve"> </v>
      </c>
    </row>
    <row r="122" spans="2:21" ht="20.100000000000001" customHeight="1" x14ac:dyDescent="0.25">
      <c r="B122" s="456">
        <f>IF(LEFT(C122,16)="Terima Pajak PPN",VLOOKUP(P122,COPY!$A$1:$AC$1000,21,FALSE),IF(LEFT(C122,16)="Terima Pajak PPH",VLOOKUP(P122,COPY!$A$1:$AC$1000,21,FALSE),IF(LEFT(C122,13)="Terima PPh 23",VLOOKUP(P122,COPY!$A$1:$AC$1000,21,FALSE),0)))</f>
        <v>0</v>
      </c>
      <c r="C122" s="457">
        <f>IFERROR(IF(LEFT(VLOOKUP(P122,COPY!$A$1:$AC$1000,29,FALSE),5)="Terim",VLOOKUP(P122,COPY!$A$1:$AC$1000,29,FALSE),0),0)</f>
        <v>0</v>
      </c>
      <c r="D122" s="457"/>
      <c r="E122" s="457"/>
      <c r="F122" s="458">
        <f>IFERROR(IF(LEFT(VLOOKUP(P122,COPY!$A$1:$AC$1000,29,FALSE),5)="Terim",VLOOKUP(P122,COPY!$A$1:$AC$1000,26,FALSE),0),0)</f>
        <v>0</v>
      </c>
      <c r="G122" s="459" t="str">
        <f>IFERROR(VLOOKUP(P122,COPY!$A$1:$L$1000,4,FALSE),0)</f>
        <v/>
      </c>
      <c r="H122" s="457" t="str">
        <f>IFERROR(VLOOKUP(P122,COPY!$A$1:$L$1000,2,FALSE),0)</f>
        <v>Beli</v>
      </c>
      <c r="I122" s="510">
        <f>IFERROR(VLOOKUP(P122,COPY!$A$1:$L$1000,10,FALSE),0)</f>
        <v>6</v>
      </c>
      <c r="J122" s="467" t="str">
        <f>IFERROR(VLOOKUP(P122,COPY!$A$1:$L$1000,8,FALSE),0)</f>
        <v>Pcs</v>
      </c>
      <c r="K122" s="457" t="str">
        <f>IFERROR(VLOOKUP(P122,COPY!$A$1:$L$1000,7,FALSE),0)</f>
        <v>Wd Potong Bosch</v>
      </c>
      <c r="L122" s="468" t="str">
        <f>IFERROR(VLOOKUP(P122,COPY!$A$1:$O$1000,15,FALSE),0)</f>
        <v/>
      </c>
      <c r="M122" s="468" t="str">
        <f>IFERROR(VLOOKUP(P122,COPY!$A$1:$L$1000,12,FALSE),0)</f>
        <v>B</v>
      </c>
      <c r="N122" s="471">
        <f>IF(H122="Jasa",VLOOKUP('BKU 1'!K122,'Rekap Gaji'!$D$12:$I$24,6,FALSE),(IF(H122="Beli",VLOOKUP(P122,COPY!$A$1:$L$1000,11,FALSE),IF(H122="Bayar Ongkos",VLOOKUP(K122,'Rekap Gaji'!$D$12:$I$24,6,FALSE),0))))</f>
        <v>21000</v>
      </c>
      <c r="O122" s="470"/>
      <c r="P122" s="466" t="str">
        <f t="shared" si="7"/>
        <v>1.90</v>
      </c>
      <c r="Q122" s="253">
        <f t="shared" si="12"/>
        <v>90</v>
      </c>
      <c r="R122" s="253">
        <f t="shared" si="13"/>
        <v>90</v>
      </c>
      <c r="S122" s="449">
        <f t="shared" si="14"/>
        <v>90</v>
      </c>
      <c r="T122" s="253">
        <f t="shared" si="15"/>
        <v>-19</v>
      </c>
      <c r="U122" s="457" t="str">
        <f t="shared" si="6"/>
        <v xml:space="preserve"> </v>
      </c>
    </row>
    <row r="123" spans="2:21" ht="20.100000000000001" customHeight="1" x14ac:dyDescent="0.25">
      <c r="B123" s="456">
        <f>IF(LEFT(C123,16)="Terima Pajak PPN",VLOOKUP(P123,COPY!$A$1:$AC$1000,21,FALSE),IF(LEFT(C123,16)="Terima Pajak PPH",VLOOKUP(P123,COPY!$A$1:$AC$1000,21,FALSE),IF(LEFT(C123,13)="Terima PPh 23",VLOOKUP(P123,COPY!$A$1:$AC$1000,21,FALSE),0)))</f>
        <v>0</v>
      </c>
      <c r="C123" s="457">
        <f>IFERROR(IF(LEFT(VLOOKUP(P123,COPY!$A$1:$AC$1000,29,FALSE),5)="Terim",VLOOKUP(P123,COPY!$A$1:$AC$1000,29,FALSE),0),0)</f>
        <v>0</v>
      </c>
      <c r="D123" s="457"/>
      <c r="E123" s="457"/>
      <c r="F123" s="458">
        <f>IFERROR(IF(LEFT(VLOOKUP(P123,COPY!$A$1:$AC$1000,29,FALSE),5)="Terim",VLOOKUP(P123,COPY!$A$1:$AC$1000,26,FALSE),0),0)</f>
        <v>0</v>
      </c>
      <c r="G123" s="459" t="str">
        <f>IFERROR(VLOOKUP(P123,COPY!$A$1:$L$1000,4,FALSE),0)</f>
        <v/>
      </c>
      <c r="H123" s="457" t="str">
        <f>IFERROR(VLOOKUP(P123,COPY!$A$1:$L$1000,2,FALSE),0)</f>
        <v>Beli</v>
      </c>
      <c r="I123" s="510">
        <f>IFERROR(VLOOKUP(P123,COPY!$A$1:$L$1000,10,FALSE),0)</f>
        <v>5</v>
      </c>
      <c r="J123" s="467" t="str">
        <f>IFERROR(VLOOKUP(P123,COPY!$A$1:$L$1000,8,FALSE),0)</f>
        <v>kg</v>
      </c>
      <c r="K123" s="457" t="str">
        <f>IFERROR(VLOOKUP(P123,COPY!$A$1:$L$1000,7,FALSE),0)</f>
        <v>Bendrat Spq</v>
      </c>
      <c r="L123" s="468" t="str">
        <f>IFERROR(VLOOKUP(P123,COPY!$A$1:$O$1000,15,FALSE),0)</f>
        <v/>
      </c>
      <c r="M123" s="468" t="str">
        <f>IFERROR(VLOOKUP(P123,COPY!$A$1:$L$1000,12,FALSE),0)</f>
        <v>B</v>
      </c>
      <c r="N123" s="471">
        <f>IF(H123="Jasa",VLOOKUP('BKU 1'!K123,'Rekap Gaji'!$D$12:$I$24,6,FALSE),(IF(H123="Beli",VLOOKUP(P123,COPY!$A$1:$L$1000,11,FALSE),IF(H123="Bayar Ongkos",VLOOKUP(K123,'Rekap Gaji'!$D$12:$I$24,6,FALSE),0))))</f>
        <v>110000</v>
      </c>
      <c r="O123" s="470"/>
      <c r="P123" s="466" t="str">
        <f t="shared" si="7"/>
        <v>1.91</v>
      </c>
      <c r="Q123" s="253">
        <f t="shared" si="12"/>
        <v>91</v>
      </c>
      <c r="R123" s="253">
        <f t="shared" si="13"/>
        <v>91</v>
      </c>
      <c r="S123" s="449">
        <f t="shared" si="14"/>
        <v>91</v>
      </c>
      <c r="T123" s="253">
        <f t="shared" si="15"/>
        <v>-18</v>
      </c>
      <c r="U123" s="457" t="str">
        <f t="shared" si="6"/>
        <v xml:space="preserve"> </v>
      </c>
    </row>
    <row r="124" spans="2:21" ht="20.100000000000001" customHeight="1" x14ac:dyDescent="0.25">
      <c r="B124" s="456">
        <f>IF(LEFT(C124,16)="Terima Pajak PPN",VLOOKUP(P124,COPY!$A$1:$AC$1000,21,FALSE),IF(LEFT(C124,16)="Terima Pajak PPH",VLOOKUP(P124,COPY!$A$1:$AC$1000,21,FALSE),IF(LEFT(C124,13)="Terima PPh 23",VLOOKUP(P124,COPY!$A$1:$AC$1000,21,FALSE),0)))</f>
        <v>0</v>
      </c>
      <c r="C124" s="457">
        <f>IFERROR(IF(LEFT(VLOOKUP(P124,COPY!$A$1:$AC$1000,29,FALSE),5)="Terim",VLOOKUP(P124,COPY!$A$1:$AC$1000,29,FALSE),0),0)</f>
        <v>0</v>
      </c>
      <c r="D124" s="457"/>
      <c r="E124" s="457"/>
      <c r="F124" s="458">
        <f>IFERROR(IF(LEFT(VLOOKUP(P124,COPY!$A$1:$AC$1000,29,FALSE),5)="Terim",VLOOKUP(P124,COPY!$A$1:$AC$1000,26,FALSE),0),0)</f>
        <v>0</v>
      </c>
      <c r="G124" s="459" t="str">
        <f>IFERROR(VLOOKUP(P124,COPY!$A$1:$L$1000,4,FALSE),0)</f>
        <v/>
      </c>
      <c r="H124" s="457" t="str">
        <f>IFERROR(VLOOKUP(P124,COPY!$A$1:$L$1000,2,FALSE),0)</f>
        <v>Beli</v>
      </c>
      <c r="I124" s="510">
        <f>IFERROR(VLOOKUP(P124,COPY!$A$1:$L$1000,10,FALSE),0)</f>
        <v>10</v>
      </c>
      <c r="J124" s="467" t="str">
        <f>IFERROR(VLOOKUP(P124,COPY!$A$1:$L$1000,8,FALSE),0)</f>
        <v>Ljr</v>
      </c>
      <c r="K124" s="457" t="str">
        <f>IFERROR(VLOOKUP(P124,COPY!$A$1:$L$1000,7,FALSE),0)</f>
        <v>Besi 6.0 Sni</v>
      </c>
      <c r="L124" s="468" t="str">
        <f>IFERROR(VLOOKUP(P124,COPY!$A$1:$O$1000,15,FALSE),0)</f>
        <v/>
      </c>
      <c r="M124" s="468" t="str">
        <f>IFERROR(VLOOKUP(P124,COPY!$A$1:$L$1000,12,FALSE),0)</f>
        <v>B</v>
      </c>
      <c r="N124" s="471">
        <f>IF(H124="Jasa",VLOOKUP('BKU 1'!K124,'Rekap Gaji'!$D$12:$I$24,6,FALSE),(IF(H124="Beli",VLOOKUP(P124,COPY!$A$1:$L$1000,11,FALSE),IF(H124="Bayar Ongkos",VLOOKUP(K124,'Rekap Gaji'!$D$12:$I$24,6,FALSE),0))))</f>
        <v>280000</v>
      </c>
      <c r="O124" s="470"/>
      <c r="P124" s="466" t="str">
        <f t="shared" si="7"/>
        <v>1.92</v>
      </c>
      <c r="Q124" s="253">
        <f t="shared" si="12"/>
        <v>92</v>
      </c>
      <c r="R124" s="253">
        <f t="shared" si="13"/>
        <v>92</v>
      </c>
      <c r="S124" s="449">
        <f t="shared" si="14"/>
        <v>92</v>
      </c>
      <c r="T124" s="253">
        <f t="shared" si="15"/>
        <v>-17</v>
      </c>
      <c r="U124" s="457" t="str">
        <f t="shared" si="6"/>
        <v xml:space="preserve"> </v>
      </c>
    </row>
    <row r="125" spans="2:21" ht="20.100000000000001" customHeight="1" x14ac:dyDescent="0.25">
      <c r="B125" s="456">
        <f>IF(LEFT(C125,16)="Terima Pajak PPN",VLOOKUP(P125,COPY!$A$1:$AC$1000,21,FALSE),IF(LEFT(C125,16)="Terima Pajak PPH",VLOOKUP(P125,COPY!$A$1:$AC$1000,21,FALSE),IF(LEFT(C125,13)="Terima PPh 23",VLOOKUP(P125,COPY!$A$1:$AC$1000,21,FALSE),0)))</f>
        <v>0</v>
      </c>
      <c r="C125" s="457">
        <f>IFERROR(IF(LEFT(VLOOKUP(P125,COPY!$A$1:$AC$1000,29,FALSE),5)="Terim",VLOOKUP(P125,COPY!$A$1:$AC$1000,29,FALSE),0),0)</f>
        <v>0</v>
      </c>
      <c r="D125" s="457"/>
      <c r="E125" s="457"/>
      <c r="F125" s="458">
        <f>IFERROR(IF(LEFT(VLOOKUP(P125,COPY!$A$1:$AC$1000,29,FALSE),5)="Terim",VLOOKUP(P125,COPY!$A$1:$AC$1000,26,FALSE),0),0)</f>
        <v>0</v>
      </c>
      <c r="G125" s="459" t="str">
        <f>IFERROR(VLOOKUP(P125,COPY!$A$1:$L$1000,4,FALSE),0)</f>
        <v/>
      </c>
      <c r="H125" s="457" t="str">
        <f>IFERROR(VLOOKUP(P125,COPY!$A$1:$L$1000,2,FALSE),0)</f>
        <v>Beli</v>
      </c>
      <c r="I125" s="510">
        <f>IFERROR(VLOOKUP(P125,COPY!$A$1:$L$1000,10,FALSE),0)</f>
        <v>14</v>
      </c>
      <c r="J125" s="467" t="str">
        <f>IFERROR(VLOOKUP(P125,COPY!$A$1:$L$1000,8,FALSE),0)</f>
        <v>Ljr</v>
      </c>
      <c r="K125" s="457" t="str">
        <f>IFERROR(VLOOKUP(P125,COPY!$A$1:$L$1000,7,FALSE),0)</f>
        <v>Besi 8.0 Sni</v>
      </c>
      <c r="L125" s="468" t="str">
        <f>IFERROR(VLOOKUP(P125,COPY!$A$1:$O$1000,15,FALSE),0)</f>
        <v/>
      </c>
      <c r="M125" s="468" t="str">
        <f>IFERROR(VLOOKUP(P125,COPY!$A$1:$L$1000,12,FALSE),0)</f>
        <v>B</v>
      </c>
      <c r="N125" s="471">
        <f>IF(H125="Jasa",VLOOKUP('BKU 1'!K125,'Rekap Gaji'!$D$12:$I$24,6,FALSE),(IF(H125="Beli",VLOOKUP(P125,COPY!$A$1:$L$1000,11,FALSE),IF(H125="Bayar Ongkos",VLOOKUP(K125,'Rekap Gaji'!$D$12:$I$24,6,FALSE),0))))</f>
        <v>644000</v>
      </c>
      <c r="O125" s="470"/>
      <c r="P125" s="466" t="str">
        <f t="shared" si="7"/>
        <v>1.93</v>
      </c>
      <c r="Q125" s="253">
        <f t="shared" si="12"/>
        <v>93</v>
      </c>
      <c r="R125" s="253">
        <f t="shared" si="13"/>
        <v>93</v>
      </c>
      <c r="S125" s="449">
        <f t="shared" si="14"/>
        <v>93</v>
      </c>
      <c r="T125" s="253">
        <f t="shared" si="15"/>
        <v>-16</v>
      </c>
      <c r="U125" s="457" t="str">
        <f t="shared" si="6"/>
        <v xml:space="preserve"> </v>
      </c>
    </row>
    <row r="126" spans="2:21" ht="20.100000000000001" customHeight="1" x14ac:dyDescent="0.25">
      <c r="B126" s="456">
        <f>IF(LEFT(C126,16)="Terima Pajak PPN",VLOOKUP(P126,COPY!$A$1:$AC$1000,21,FALSE),IF(LEFT(C126,16)="Terima Pajak PPH",VLOOKUP(P126,COPY!$A$1:$AC$1000,21,FALSE),IF(LEFT(C126,13)="Terima PPh 23",VLOOKUP(P126,COPY!$A$1:$AC$1000,21,FALSE),0)))</f>
        <v>0</v>
      </c>
      <c r="C126" s="457">
        <f>IFERROR(IF(LEFT(VLOOKUP(P126,COPY!$A$1:$AC$1000,29,FALSE),5)="Terim",VLOOKUP(P126,COPY!$A$1:$AC$1000,29,FALSE),0),0)</f>
        <v>0</v>
      </c>
      <c r="D126" s="457"/>
      <c r="E126" s="457"/>
      <c r="F126" s="458">
        <f>IFERROR(IF(LEFT(VLOOKUP(P126,COPY!$A$1:$AC$1000,29,FALSE),5)="Terim",VLOOKUP(P126,COPY!$A$1:$AC$1000,26,FALSE),0),0)</f>
        <v>0</v>
      </c>
      <c r="G126" s="459" t="str">
        <f>IFERROR(VLOOKUP(P126,COPY!$A$1:$L$1000,4,FALSE),0)</f>
        <v/>
      </c>
      <c r="H126" s="457" t="str">
        <f>IFERROR(VLOOKUP(P126,COPY!$A$1:$L$1000,2,FALSE),0)</f>
        <v>Beli</v>
      </c>
      <c r="I126" s="510">
        <f>IFERROR(VLOOKUP(P126,COPY!$A$1:$L$1000,10,FALSE),0)</f>
        <v>6</v>
      </c>
      <c r="J126" s="467" t="str">
        <f>IFERROR(VLOOKUP(P126,COPY!$A$1:$L$1000,8,FALSE),0)</f>
        <v>Sak</v>
      </c>
      <c r="K126" s="457" t="str">
        <f>IFERROR(VLOOKUP(P126,COPY!$A$1:$L$1000,7,FALSE),0)</f>
        <v>Semen 3 Roda</v>
      </c>
      <c r="L126" s="468" t="str">
        <f>IFERROR(VLOOKUP(P126,COPY!$A$1:$O$1000,15,FALSE),0)</f>
        <v/>
      </c>
      <c r="M126" s="468" t="str">
        <f>IFERROR(VLOOKUP(P126,COPY!$A$1:$L$1000,12,FALSE),0)</f>
        <v>B</v>
      </c>
      <c r="N126" s="471">
        <f>IF(H126="Jasa",VLOOKUP('BKU 1'!K126,'Rekap Gaji'!$D$12:$I$24,6,FALSE),(IF(H126="Beli",VLOOKUP(P126,COPY!$A$1:$L$1000,11,FALSE),IF(H126="Bayar Ongkos",VLOOKUP(K126,'Rekap Gaji'!$D$12:$I$24,6,FALSE),0))))</f>
        <v>312000</v>
      </c>
      <c r="O126" s="470"/>
      <c r="P126" s="466" t="str">
        <f t="shared" si="7"/>
        <v>1.94</v>
      </c>
      <c r="Q126" s="253">
        <f t="shared" si="12"/>
        <v>94</v>
      </c>
      <c r="R126" s="253">
        <f t="shared" si="13"/>
        <v>94</v>
      </c>
      <c r="S126" s="449">
        <f t="shared" si="14"/>
        <v>94</v>
      </c>
      <c r="T126" s="253">
        <f t="shared" si="15"/>
        <v>-15</v>
      </c>
      <c r="U126" s="457" t="str">
        <f t="shared" si="6"/>
        <v xml:space="preserve"> </v>
      </c>
    </row>
    <row r="127" spans="2:21" ht="20.100000000000001" customHeight="1" x14ac:dyDescent="0.25">
      <c r="B127" s="456">
        <f>IF(LEFT(C127,16)="Terima Pajak PPN",VLOOKUP(P127,COPY!$A$1:$AC$1000,21,FALSE),IF(LEFT(C127,16)="Terima Pajak PPH",VLOOKUP(P127,COPY!$A$1:$AC$1000,21,FALSE),IF(LEFT(C127,13)="Terima PPh 23",VLOOKUP(P127,COPY!$A$1:$AC$1000,21,FALSE),0)))</f>
        <v>0</v>
      </c>
      <c r="C127" s="457">
        <f>IFERROR(IF(LEFT(VLOOKUP(P127,COPY!$A$1:$AC$1000,29,FALSE),5)="Terim",VLOOKUP(P127,COPY!$A$1:$AC$1000,29,FALSE),0),0)</f>
        <v>0</v>
      </c>
      <c r="D127" s="457"/>
      <c r="E127" s="457"/>
      <c r="F127" s="458">
        <f>IFERROR(IF(LEFT(VLOOKUP(P127,COPY!$A$1:$AC$1000,29,FALSE),5)="Terim",VLOOKUP(P127,COPY!$A$1:$AC$1000,26,FALSE),0),0)</f>
        <v>0</v>
      </c>
      <c r="G127" s="459">
        <f>IFERROR(VLOOKUP(P127,COPY!$A$1:$L$1000,4,FALSE),0)</f>
        <v>45926</v>
      </c>
      <c r="H127" s="457" t="str">
        <f>IFERROR(VLOOKUP(P127,COPY!$A$1:$L$1000,2,FALSE),0)</f>
        <v>Beli</v>
      </c>
      <c r="I127" s="510">
        <f>IFERROR(VLOOKUP(P127,COPY!$A$1:$L$1000,10,FALSE),0)</f>
        <v>500</v>
      </c>
      <c r="J127" s="467" t="str">
        <f>IFERROR(VLOOKUP(P127,COPY!$A$1:$L$1000,8,FALSE),0)</f>
        <v>Bji</v>
      </c>
      <c r="K127" s="457" t="str">
        <f>IFERROR(VLOOKUP(P127,COPY!$A$1:$L$1000,7,FALSE),0)</f>
        <v>Bata Merah Super</v>
      </c>
      <c r="L127" s="468" t="str">
        <f>IFERROR(VLOOKUP(P127,COPY!$A$1:$O$1000,15,FALSE),0)</f>
        <v>BKK.27</v>
      </c>
      <c r="M127" s="468" t="str">
        <f>IFERROR(VLOOKUP(P127,COPY!$A$1:$L$1000,12,FALSE),0)</f>
        <v>B</v>
      </c>
      <c r="N127" s="471">
        <f>IF(H127="Jasa",VLOOKUP('BKU 1'!K127,'Rekap Gaji'!$D$12:$I$24,6,FALSE),(IF(H127="Beli",VLOOKUP(P127,COPY!$A$1:$L$1000,11,FALSE),IF(H127="Bayar Ongkos",VLOOKUP(K127,'Rekap Gaji'!$D$12:$I$24,6,FALSE),0))))</f>
        <v>275000</v>
      </c>
      <c r="O127" s="470"/>
      <c r="P127" s="466" t="str">
        <f t="shared" si="7"/>
        <v>1.95</v>
      </c>
      <c r="Q127" s="253">
        <f t="shared" si="12"/>
        <v>95</v>
      </c>
      <c r="R127" s="253">
        <f t="shared" si="13"/>
        <v>95</v>
      </c>
      <c r="S127" s="449">
        <f t="shared" si="14"/>
        <v>95</v>
      </c>
      <c r="T127" s="253">
        <f t="shared" si="15"/>
        <v>-14</v>
      </c>
      <c r="U127" s="457" t="str">
        <f t="shared" si="6"/>
        <v xml:space="preserve"> </v>
      </c>
    </row>
    <row r="128" spans="2:21" ht="20.100000000000001" customHeight="1" x14ac:dyDescent="0.25">
      <c r="B128" s="456">
        <f>IF(LEFT(C128,16)="Terima Pajak PPN",VLOOKUP(P128,COPY!$A$1:$AC$1000,21,FALSE),IF(LEFT(C128,16)="Terima Pajak PPH",VLOOKUP(P128,COPY!$A$1:$AC$1000,21,FALSE),IF(LEFT(C128,13)="Terima PPh 23",VLOOKUP(P128,COPY!$A$1:$AC$1000,21,FALSE),0)))</f>
        <v>0</v>
      </c>
      <c r="C128" s="457">
        <f>IFERROR(IF(LEFT(VLOOKUP(P128,COPY!$A$1:$AC$1000,29,FALSE),5)="Terim",VLOOKUP(P128,COPY!$A$1:$AC$1000,29,FALSE),0),0)</f>
        <v>0</v>
      </c>
      <c r="D128" s="457"/>
      <c r="E128" s="457"/>
      <c r="F128" s="458">
        <f>IFERROR(IF(LEFT(VLOOKUP(P128,COPY!$A$1:$AC$1000,29,FALSE),5)="Terim",VLOOKUP(P128,COPY!$A$1:$AC$1000,26,FALSE),0),0)</f>
        <v>0</v>
      </c>
      <c r="G128" s="459" t="str">
        <f>IFERROR(VLOOKUP(P128,COPY!$A$1:$L$1000,4,FALSE),0)</f>
        <v/>
      </c>
      <c r="H128" s="457" t="str">
        <f>IFERROR(VLOOKUP(P128,COPY!$A$1:$L$1000,2,FALSE),0)</f>
        <v>Beli</v>
      </c>
      <c r="I128" s="510">
        <f>IFERROR(VLOOKUP(P128,COPY!$A$1:$L$1000,10,FALSE),0)</f>
        <v>3</v>
      </c>
      <c r="J128" s="467" t="str">
        <f>IFERROR(VLOOKUP(P128,COPY!$A$1:$L$1000,8,FALSE),0)</f>
        <v>m3</v>
      </c>
      <c r="K128" s="457" t="str">
        <f>IFERROR(VLOOKUP(P128,COPY!$A$1:$L$1000,7,FALSE),0)</f>
        <v>Bata Ringan Vocon 10 Cm</v>
      </c>
      <c r="L128" s="468" t="str">
        <f>IFERROR(VLOOKUP(P128,COPY!$A$1:$O$1000,15,FALSE),0)</f>
        <v/>
      </c>
      <c r="M128" s="468" t="str">
        <f>IFERROR(VLOOKUP(P128,COPY!$A$1:$L$1000,12,FALSE),0)</f>
        <v>B</v>
      </c>
      <c r="N128" s="471">
        <f>IF(H128="Jasa",VLOOKUP('BKU 1'!K128,'Rekap Gaji'!$D$12:$I$24,6,FALSE),(IF(H128="Beli",VLOOKUP(P128,COPY!$A$1:$L$1000,11,FALSE),IF(H128="Bayar Ongkos",VLOOKUP(K128,'Rekap Gaji'!$D$12:$I$24,6,FALSE),0))))</f>
        <v>1680000</v>
      </c>
      <c r="O128" s="470"/>
      <c r="P128" s="466" t="str">
        <f t="shared" si="7"/>
        <v>1.96</v>
      </c>
      <c r="Q128" s="253">
        <f t="shared" si="12"/>
        <v>96</v>
      </c>
      <c r="R128" s="253">
        <f t="shared" si="13"/>
        <v>96</v>
      </c>
      <c r="S128" s="449">
        <f t="shared" si="14"/>
        <v>96</v>
      </c>
      <c r="T128" s="253">
        <f t="shared" si="15"/>
        <v>-13</v>
      </c>
      <c r="U128" s="457" t="str">
        <f t="shared" si="6"/>
        <v xml:space="preserve"> </v>
      </c>
    </row>
    <row r="129" spans="2:21" ht="20.100000000000001" customHeight="1" x14ac:dyDescent="0.25">
      <c r="B129" s="456">
        <f>IF(LEFT(C129,16)="Terima Pajak PPN",VLOOKUP(P129,COPY!$A$1:$AC$1000,21,FALSE),IF(LEFT(C129,16)="Terima Pajak PPH",VLOOKUP(P129,COPY!$A$1:$AC$1000,21,FALSE),IF(LEFT(C129,13)="Terima PPh 23",VLOOKUP(P129,COPY!$A$1:$AC$1000,21,FALSE),0)))</f>
        <v>0</v>
      </c>
      <c r="C129" s="457">
        <f>IFERROR(IF(LEFT(VLOOKUP(P129,COPY!$A$1:$AC$1000,29,FALSE),5)="Terim",VLOOKUP(P129,COPY!$A$1:$AC$1000,29,FALSE),0),0)</f>
        <v>0</v>
      </c>
      <c r="D129" s="457"/>
      <c r="E129" s="457"/>
      <c r="F129" s="458">
        <f>IFERROR(IF(LEFT(VLOOKUP(P129,COPY!$A$1:$AC$1000,29,FALSE),5)="Terim",VLOOKUP(P129,COPY!$A$1:$AC$1000,26,FALSE),0),0)</f>
        <v>0</v>
      </c>
      <c r="G129" s="459">
        <f>IFERROR(VLOOKUP(P129,COPY!$A$1:$L$1000,4,FALSE),0)</f>
        <v>45927</v>
      </c>
      <c r="H129" s="457" t="str">
        <f>IFERROR(VLOOKUP(P129,COPY!$A$1:$L$1000,2,FALSE),0)</f>
        <v>Beli</v>
      </c>
      <c r="I129" s="510">
        <f>IFERROR(VLOOKUP(P129,COPY!$A$1:$L$1000,10,FALSE),0)</f>
        <v>1</v>
      </c>
      <c r="J129" s="467" t="str">
        <f>IFERROR(VLOOKUP(P129,COPY!$A$1:$L$1000,8,FALSE),0)</f>
        <v>Pik Up</v>
      </c>
      <c r="K129" s="457" t="str">
        <f>IFERROR(VLOOKUP(P129,COPY!$A$1:$L$1000,7,FALSE),0)</f>
        <v>Pasir Biasa L300</v>
      </c>
      <c r="L129" s="468" t="str">
        <f>IFERROR(VLOOKUP(P129,COPY!$A$1:$O$1000,15,FALSE),0)</f>
        <v>BKK.28</v>
      </c>
      <c r="M129" s="468" t="str">
        <f>IFERROR(VLOOKUP(P129,COPY!$A$1:$L$1000,12,FALSE),0)</f>
        <v>B</v>
      </c>
      <c r="N129" s="471">
        <f>IF(H129="Jasa",VLOOKUP('BKU 1'!K129,'Rekap Gaji'!$D$12:$I$24,6,FALSE),(IF(H129="Beli",VLOOKUP(P129,COPY!$A$1:$L$1000,11,FALSE),IF(H129="Bayar Ongkos",VLOOKUP(K129,'Rekap Gaji'!$D$12:$I$24,6,FALSE),0))))</f>
        <v>230000</v>
      </c>
      <c r="O129" s="470"/>
      <c r="P129" s="466" t="str">
        <f t="shared" si="7"/>
        <v>1.97</v>
      </c>
      <c r="Q129" s="253">
        <f t="shared" si="12"/>
        <v>97</v>
      </c>
      <c r="R129" s="253">
        <f t="shared" si="13"/>
        <v>97</v>
      </c>
      <c r="S129" s="449">
        <f t="shared" si="14"/>
        <v>97</v>
      </c>
      <c r="T129" s="253">
        <f t="shared" si="15"/>
        <v>-12</v>
      </c>
      <c r="U129" s="457" t="str">
        <f t="shared" si="6"/>
        <v xml:space="preserve"> </v>
      </c>
    </row>
    <row r="130" spans="2:21" ht="20.100000000000001" customHeight="1" x14ac:dyDescent="0.25">
      <c r="B130" s="456">
        <f>IF(LEFT(C130,16)="Terima Pajak PPN",VLOOKUP(P130,COPY!$A$1:$AC$1000,21,FALSE),IF(LEFT(C130,16)="Terima Pajak PPH",VLOOKUP(P130,COPY!$A$1:$AC$1000,21,FALSE),IF(LEFT(C130,13)="Terima PPh 23",VLOOKUP(P130,COPY!$A$1:$AC$1000,21,FALSE),0)))</f>
        <v>0</v>
      </c>
      <c r="C130" s="457">
        <f>IFERROR(IF(LEFT(VLOOKUP(P130,COPY!$A$1:$AC$1000,29,FALSE),5)="Terim",VLOOKUP(P130,COPY!$A$1:$AC$1000,29,FALSE),0),0)</f>
        <v>0</v>
      </c>
      <c r="D130" s="457"/>
      <c r="E130" s="457"/>
      <c r="F130" s="458">
        <f>IFERROR(IF(LEFT(VLOOKUP(P130,COPY!$A$1:$AC$1000,29,FALSE),5)="Terim",VLOOKUP(P130,COPY!$A$1:$AC$1000,26,FALSE),0),0)</f>
        <v>0</v>
      </c>
      <c r="G130" s="459" t="str">
        <f>IFERROR(VLOOKUP(P130,COPY!$A$1:$L$1000,4,FALSE),0)</f>
        <v/>
      </c>
      <c r="H130" s="457" t="str">
        <f>IFERROR(VLOOKUP(P130,COPY!$A$1:$L$1000,2,FALSE),0)</f>
        <v>Beli</v>
      </c>
      <c r="I130" s="510">
        <f>IFERROR(VLOOKUP(P130,COPY!$A$1:$L$1000,10,FALSE),0)</f>
        <v>3</v>
      </c>
      <c r="J130" s="467" t="str">
        <f>IFERROR(VLOOKUP(P130,COPY!$A$1:$L$1000,8,FALSE),0)</f>
        <v>Pik Up</v>
      </c>
      <c r="K130" s="457" t="str">
        <f>IFERROR(VLOOKUP(P130,COPY!$A$1:$L$1000,7,FALSE),0)</f>
        <v>Koral L300</v>
      </c>
      <c r="L130" s="468" t="str">
        <f>IFERROR(VLOOKUP(P130,COPY!$A$1:$O$1000,15,FALSE),0)</f>
        <v/>
      </c>
      <c r="M130" s="468" t="str">
        <f>IFERROR(VLOOKUP(P130,COPY!$A$1:$L$1000,12,FALSE),0)</f>
        <v>B</v>
      </c>
      <c r="N130" s="471">
        <f>IF(H130="Jasa",VLOOKUP('BKU 1'!K130,'Rekap Gaji'!$D$12:$I$24,6,FALSE),(IF(H130="Beli",VLOOKUP(P130,COPY!$A$1:$L$1000,11,FALSE),IF(H130="Bayar Ongkos",VLOOKUP(K130,'Rekap Gaji'!$D$12:$I$24,6,FALSE),0))))</f>
        <v>1050000</v>
      </c>
      <c r="O130" s="470"/>
      <c r="P130" s="466" t="str">
        <f t="shared" si="7"/>
        <v>1.98</v>
      </c>
      <c r="Q130" s="253">
        <f t="shared" si="12"/>
        <v>98</v>
      </c>
      <c r="R130" s="253">
        <f t="shared" si="13"/>
        <v>98</v>
      </c>
      <c r="S130" s="449">
        <f t="shared" si="14"/>
        <v>98</v>
      </c>
      <c r="T130" s="253">
        <f t="shared" si="15"/>
        <v>-11</v>
      </c>
      <c r="U130" s="457" t="str">
        <f t="shared" si="6"/>
        <v xml:space="preserve"> </v>
      </c>
    </row>
    <row r="131" spans="2:21" ht="20.100000000000001" customHeight="1" x14ac:dyDescent="0.25">
      <c r="B131" s="456">
        <f>IF(LEFT(C131,16)="Terima Pajak PPN",VLOOKUP(P131,COPY!$A$1:$AC$1000,21,FALSE),IF(LEFT(C131,16)="Terima Pajak PPH",VLOOKUP(P131,COPY!$A$1:$AC$1000,21,FALSE),IF(LEFT(C131,13)="Terima PPh 23",VLOOKUP(P131,COPY!$A$1:$AC$1000,21,FALSE),0)))</f>
        <v>0</v>
      </c>
      <c r="C131" s="457">
        <f>IFERROR(IF(LEFT(VLOOKUP(P131,COPY!$A$1:$AC$1000,29,FALSE),5)="Terim",VLOOKUP(P131,COPY!$A$1:$AC$1000,29,FALSE),0),0)</f>
        <v>0</v>
      </c>
      <c r="D131" s="457"/>
      <c r="E131" s="457"/>
      <c r="F131" s="458">
        <f>IFERROR(IF(LEFT(VLOOKUP(P131,COPY!$A$1:$AC$1000,29,FALSE),5)="Terim",VLOOKUP(P131,COPY!$A$1:$AC$1000,26,FALSE),0),0)</f>
        <v>0</v>
      </c>
      <c r="G131" s="459" t="str">
        <f>IFERROR(VLOOKUP(P131,COPY!$A$1:$L$1000,4,FALSE),0)</f>
        <v/>
      </c>
      <c r="H131" s="457" t="str">
        <f>IFERROR(VLOOKUP(P131,COPY!$A$1:$L$1000,2,FALSE),0)</f>
        <v>Beli</v>
      </c>
      <c r="I131" s="510">
        <f>IFERROR(VLOOKUP(P131,COPY!$A$1:$L$1000,10,FALSE),0)</f>
        <v>4</v>
      </c>
      <c r="J131" s="467" t="str">
        <f>IFERROR(VLOOKUP(P131,COPY!$A$1:$L$1000,8,FALSE),0)</f>
        <v>kg</v>
      </c>
      <c r="K131" s="457" t="str">
        <f>IFERROR(VLOOKUP(P131,COPY!$A$1:$L$1000,7,FALSE),0)</f>
        <v>Bendrat Spq</v>
      </c>
      <c r="L131" s="468" t="str">
        <f>IFERROR(VLOOKUP(P131,COPY!$A$1:$O$1000,15,FALSE),0)</f>
        <v/>
      </c>
      <c r="M131" s="468" t="str">
        <f>IFERROR(VLOOKUP(P131,COPY!$A$1:$L$1000,12,FALSE),0)</f>
        <v>B</v>
      </c>
      <c r="N131" s="471">
        <f>IF(H131="Jasa",VLOOKUP('BKU 1'!K131,'Rekap Gaji'!$D$12:$I$24,6,FALSE),(IF(H131="Beli",VLOOKUP(P131,COPY!$A$1:$L$1000,11,FALSE),IF(H131="Bayar Ongkos",VLOOKUP(K131,'Rekap Gaji'!$D$12:$I$24,6,FALSE),0))))</f>
        <v>88000</v>
      </c>
      <c r="O131" s="470"/>
      <c r="P131" s="466" t="str">
        <f t="shared" si="7"/>
        <v>1.99</v>
      </c>
      <c r="Q131" s="253">
        <f t="shared" si="12"/>
        <v>99</v>
      </c>
      <c r="R131" s="253">
        <f t="shared" si="13"/>
        <v>99</v>
      </c>
      <c r="S131" s="449">
        <f t="shared" si="14"/>
        <v>99</v>
      </c>
      <c r="T131" s="253">
        <f t="shared" si="15"/>
        <v>-10</v>
      </c>
      <c r="U131" s="457" t="str">
        <f t="shared" si="6"/>
        <v xml:space="preserve"> </v>
      </c>
    </row>
    <row r="132" spans="2:21" ht="20.100000000000001" customHeight="1" x14ac:dyDescent="0.25">
      <c r="B132" s="456">
        <f>IF(LEFT(C132,16)="Terima Pajak PPN",VLOOKUP(P132,COPY!$A$1:$AC$1000,21,FALSE),IF(LEFT(C132,16)="Terima Pajak PPH",VLOOKUP(P132,COPY!$A$1:$AC$1000,21,FALSE),IF(LEFT(C132,13)="Terima PPh 23",VLOOKUP(P132,COPY!$A$1:$AC$1000,21,FALSE),0)))</f>
        <v>0</v>
      </c>
      <c r="C132" s="457">
        <f>IFERROR(IF(LEFT(VLOOKUP(P132,COPY!$A$1:$AC$1000,29,FALSE),5)="Terim",VLOOKUP(P132,COPY!$A$1:$AC$1000,29,FALSE),0),0)</f>
        <v>0</v>
      </c>
      <c r="D132" s="457"/>
      <c r="E132" s="457"/>
      <c r="F132" s="458">
        <f>IFERROR(IF(LEFT(VLOOKUP(P132,COPY!$A$1:$AC$1000,29,FALSE),5)="Terim",VLOOKUP(P132,COPY!$A$1:$AC$1000,26,FALSE),0),0)</f>
        <v>0</v>
      </c>
      <c r="G132" s="459" t="str">
        <f>IFERROR(VLOOKUP(P132,COPY!$A$1:$L$1000,4,FALSE),0)</f>
        <v/>
      </c>
      <c r="H132" s="457" t="str">
        <f>IFERROR(VLOOKUP(P132,COPY!$A$1:$L$1000,2,FALSE),0)</f>
        <v>Beli</v>
      </c>
      <c r="I132" s="510">
        <f>IFERROR(VLOOKUP(P132,COPY!$A$1:$L$1000,10,FALSE),0)</f>
        <v>5</v>
      </c>
      <c r="J132" s="467" t="str">
        <f>IFERROR(VLOOKUP(P132,COPY!$A$1:$L$1000,8,FALSE),0)</f>
        <v>Sak</v>
      </c>
      <c r="K132" s="457" t="str">
        <f>IFERROR(VLOOKUP(P132,COPY!$A$1:$L$1000,7,FALSE),0)</f>
        <v>Semen Gresik 40Kg</v>
      </c>
      <c r="L132" s="468" t="str">
        <f>IFERROR(VLOOKUP(P132,COPY!$A$1:$O$1000,15,FALSE),0)</f>
        <v/>
      </c>
      <c r="M132" s="468" t="str">
        <f>IFERROR(VLOOKUP(P132,COPY!$A$1:$L$1000,12,FALSE),0)</f>
        <v>B</v>
      </c>
      <c r="N132" s="471">
        <f>IF(H132="Jasa",VLOOKUP('BKU 1'!K132,'Rekap Gaji'!$D$12:$I$24,6,FALSE),(IF(H132="Beli",VLOOKUP(P132,COPY!$A$1:$L$1000,11,FALSE),IF(H132="Bayar Ongkos",VLOOKUP(K132,'Rekap Gaji'!$D$12:$I$24,6,FALSE),0))))</f>
        <v>290000</v>
      </c>
      <c r="O132" s="470"/>
      <c r="P132" s="466" t="str">
        <f t="shared" si="7"/>
        <v>1.100</v>
      </c>
      <c r="Q132" s="253">
        <f t="shared" si="12"/>
        <v>100</v>
      </c>
      <c r="R132" s="253">
        <f t="shared" si="13"/>
        <v>100</v>
      </c>
      <c r="S132" s="449">
        <f t="shared" si="14"/>
        <v>100</v>
      </c>
      <c r="T132" s="253">
        <f t="shared" si="15"/>
        <v>-9</v>
      </c>
      <c r="U132" s="457" t="str">
        <f t="shared" si="6"/>
        <v xml:space="preserve"> </v>
      </c>
    </row>
    <row r="133" spans="2:21" ht="20.100000000000001" customHeight="1" x14ac:dyDescent="0.25">
      <c r="B133" s="456">
        <f>IF(LEFT(C133,16)="Terima Pajak PPN",VLOOKUP(P133,COPY!$A$1:$AC$1000,21,FALSE),IF(LEFT(C133,16)="Terima Pajak PPH",VLOOKUP(P133,COPY!$A$1:$AC$1000,21,FALSE),IF(LEFT(C133,13)="Terima PPh 23",VLOOKUP(P133,COPY!$A$1:$AC$1000,21,FALSE),0)))</f>
        <v>0</v>
      </c>
      <c r="C133" s="457">
        <f>IFERROR(IF(LEFT(VLOOKUP(P133,COPY!$A$1:$AC$1000,29,FALSE),5)="Terim",VLOOKUP(P133,COPY!$A$1:$AC$1000,29,FALSE),0),0)</f>
        <v>0</v>
      </c>
      <c r="D133" s="457"/>
      <c r="E133" s="457"/>
      <c r="F133" s="458">
        <f>IFERROR(IF(LEFT(VLOOKUP(P133,COPY!$A$1:$AC$1000,29,FALSE),5)="Terim",VLOOKUP(P133,COPY!$A$1:$AC$1000,26,FALSE),0),0)</f>
        <v>0</v>
      </c>
      <c r="G133" s="459">
        <f>IFERROR(VLOOKUP(P133,COPY!$A$1:$L$1000,4,FALSE),0)</f>
        <v>45927</v>
      </c>
      <c r="H133" s="457" t="str">
        <f>IFERROR(VLOOKUP(P133,COPY!$A$1:$L$1000,2,FALSE),0)</f>
        <v>Bayar Ongkos</v>
      </c>
      <c r="I133" s="510">
        <f>IFERROR(VLOOKUP(P133,COPY!$A$1:$L$1000,10,FALSE),0)</f>
        <v>1</v>
      </c>
      <c r="J133" s="467">
        <f>IFERROR(VLOOKUP(P133,COPY!$A$1:$L$1000,8,FALSE),0)</f>
        <v>0</v>
      </c>
      <c r="K133" s="457" t="str">
        <f>IFERROR(VLOOKUP(P133,COPY!$A$1:$L$1000,7,FALSE),0)</f>
        <v>Pembayaran Pekerja Minggu Ke 4</v>
      </c>
      <c r="L133" s="468" t="str">
        <f>IFERROR(VLOOKUP(P133,COPY!$A$1:$O$1000,15,FALSE),0)</f>
        <v>BKK.29</v>
      </c>
      <c r="M133" s="468" t="str">
        <f>IFERROR(VLOOKUP(P133,COPY!$A$1:$L$1000,12,FALSE),0)</f>
        <v>A</v>
      </c>
      <c r="N133" s="471">
        <f>IF(H133="Jasa",VLOOKUP('BKU 1'!K133,'Rekap Gaji'!$D$12:$I$24,6,FALSE),(IF(H133="Beli",VLOOKUP(P133,COPY!$A$1:$L$1000,11,FALSE),IF(H133="Bayar Ongkos",VLOOKUP(K133,'Rekap Gaji'!$D$12:$I$24,6,FALSE),0))))</f>
        <v>6035000</v>
      </c>
      <c r="O133" s="470"/>
      <c r="P133" s="466" t="str">
        <f t="shared" si="7"/>
        <v>1.101</v>
      </c>
      <c r="Q133" s="253">
        <f t="shared" si="12"/>
        <v>101</v>
      </c>
      <c r="R133" s="253">
        <f t="shared" si="13"/>
        <v>101</v>
      </c>
      <c r="S133" s="449">
        <f t="shared" si="14"/>
        <v>101</v>
      </c>
      <c r="T133" s="253">
        <f t="shared" si="15"/>
        <v>-8</v>
      </c>
      <c r="U133" s="457" t="str">
        <f t="shared" si="6"/>
        <v xml:space="preserve"> </v>
      </c>
    </row>
    <row r="134" spans="2:21" ht="20.100000000000001" customHeight="1" x14ac:dyDescent="0.25">
      <c r="B134" s="456">
        <f>IF(LEFT(C134,16)="Terima Pajak PPN",VLOOKUP(P134,COPY!$A$1:$AC$1000,21,FALSE),IF(LEFT(C134,16)="Terima Pajak PPH",VLOOKUP(P134,COPY!$A$1:$AC$1000,21,FALSE),IF(LEFT(C134,13)="Terima PPh 23",VLOOKUP(P134,COPY!$A$1:$AC$1000,21,FALSE),0)))</f>
        <v>0</v>
      </c>
      <c r="C134" s="457">
        <f>IFERROR(IF(LEFT(VLOOKUP(P134,COPY!$A$1:$AC$1000,29,FALSE),5)="Terim",VLOOKUP(P134,COPY!$A$1:$AC$1000,29,FALSE),0),0)</f>
        <v>0</v>
      </c>
      <c r="D134" s="457"/>
      <c r="E134" s="457"/>
      <c r="F134" s="458">
        <f>IFERROR(IF(LEFT(VLOOKUP(P134,COPY!$A$1:$AC$1000,29,FALSE),5)="Terim",VLOOKUP(P134,COPY!$A$1:$AC$1000,26,FALSE),0),0)</f>
        <v>0</v>
      </c>
      <c r="G134" s="459">
        <f>IFERROR(VLOOKUP(P134,COPY!$A$1:$L$1000,4,FALSE),0)</f>
        <v>45929</v>
      </c>
      <c r="H134" s="457" t="str">
        <f>IFERROR(VLOOKUP(P134,COPY!$A$1:$L$1000,2,FALSE),0)</f>
        <v>Beli</v>
      </c>
      <c r="I134" s="510">
        <f>IFERROR(VLOOKUP(P134,COPY!$A$1:$L$1000,10,FALSE),0)</f>
        <v>1</v>
      </c>
      <c r="J134" s="467" t="str">
        <f>IFERROR(VLOOKUP(P134,COPY!$A$1:$L$1000,8,FALSE),0)</f>
        <v>Pcs</v>
      </c>
      <c r="K134" s="457" t="str">
        <f>IFERROR(VLOOKUP(P134,COPY!$A$1:$L$1000,7,FALSE),0)</f>
        <v>Lem Ruglue 400 Gr</v>
      </c>
      <c r="L134" s="468" t="str">
        <f>IFERROR(VLOOKUP(P134,COPY!$A$1:$O$1000,15,FALSE),0)</f>
        <v>BKK.30</v>
      </c>
      <c r="M134" s="468" t="str">
        <f>IFERROR(VLOOKUP(P134,COPY!$A$1:$L$1000,12,FALSE),0)</f>
        <v>B</v>
      </c>
      <c r="N134" s="471">
        <f>IF(H134="Jasa",VLOOKUP('BKU 1'!K134,'Rekap Gaji'!$D$12:$I$24,6,FALSE),(IF(H134="Beli",VLOOKUP(P134,COPY!$A$1:$L$1000,11,FALSE),IF(H134="Bayar Ongkos",VLOOKUP(K134,'Rekap Gaji'!$D$12:$I$24,6,FALSE),0))))</f>
        <v>55000</v>
      </c>
      <c r="O134" s="470"/>
      <c r="P134" s="466" t="str">
        <f t="shared" si="7"/>
        <v>1.102</v>
      </c>
      <c r="Q134" s="253">
        <f t="shared" si="12"/>
        <v>102</v>
      </c>
      <c r="R134" s="253">
        <f t="shared" si="13"/>
        <v>102</v>
      </c>
      <c r="S134" s="449">
        <f t="shared" si="14"/>
        <v>102</v>
      </c>
      <c r="T134" s="253">
        <f t="shared" si="15"/>
        <v>-7</v>
      </c>
      <c r="U134" s="457" t="str">
        <f t="shared" si="6"/>
        <v xml:space="preserve"> </v>
      </c>
    </row>
    <row r="135" spans="2:21" ht="20.100000000000001" customHeight="1" x14ac:dyDescent="0.25">
      <c r="B135" s="456">
        <f>IF(LEFT(C135,16)="Terima Pajak PPN",VLOOKUP(P135,COPY!$A$1:$AC$1000,21,FALSE),IF(LEFT(C135,16)="Terima Pajak PPH",VLOOKUP(P135,COPY!$A$1:$AC$1000,21,FALSE),IF(LEFT(C135,13)="Terima PPh 23",VLOOKUP(P135,COPY!$A$1:$AC$1000,21,FALSE),0)))</f>
        <v>0</v>
      </c>
      <c r="C135" s="457">
        <f>IFERROR(IF(LEFT(VLOOKUP(P135,COPY!$A$1:$AC$1000,29,FALSE),5)="Terim",VLOOKUP(P135,COPY!$A$1:$AC$1000,29,FALSE),0),0)</f>
        <v>0</v>
      </c>
      <c r="D135" s="457"/>
      <c r="E135" s="457"/>
      <c r="F135" s="458">
        <f>IFERROR(IF(LEFT(VLOOKUP(P135,COPY!$A$1:$AC$1000,29,FALSE),5)="Terim",VLOOKUP(P135,COPY!$A$1:$AC$1000,26,FALSE),0),0)</f>
        <v>0</v>
      </c>
      <c r="G135" s="459" t="str">
        <f>IFERROR(VLOOKUP(P135,COPY!$A$1:$L$1000,4,FALSE),0)</f>
        <v/>
      </c>
      <c r="H135" s="457" t="str">
        <f>IFERROR(VLOOKUP(P135,COPY!$A$1:$L$1000,2,FALSE),0)</f>
        <v>Beli</v>
      </c>
      <c r="I135" s="510">
        <f>IFERROR(VLOOKUP(P135,COPY!$A$1:$L$1000,10,FALSE),0)</f>
        <v>4</v>
      </c>
      <c r="J135" s="467" t="str">
        <f>IFERROR(VLOOKUP(P135,COPY!$A$1:$L$1000,8,FALSE),0)</f>
        <v>Pcs</v>
      </c>
      <c r="K135" s="457" t="str">
        <f>IFERROR(VLOOKUP(P135,COPY!$A$1:$L$1000,7,FALSE),0)</f>
        <v>Tba Onda</v>
      </c>
      <c r="L135" s="468" t="str">
        <f>IFERROR(VLOOKUP(P135,COPY!$A$1:$O$1000,15,FALSE),0)</f>
        <v/>
      </c>
      <c r="M135" s="468" t="str">
        <f>IFERROR(VLOOKUP(P135,COPY!$A$1:$L$1000,12,FALSE),0)</f>
        <v>B</v>
      </c>
      <c r="N135" s="471">
        <f>IF(H135="Jasa",VLOOKUP('BKU 1'!K135,'Rekap Gaji'!$D$12:$I$24,6,FALSE),(IF(H135="Beli",VLOOKUP(P135,COPY!$A$1:$L$1000,11,FALSE),IF(H135="Bayar Ongkos",VLOOKUP(K135,'Rekap Gaji'!$D$12:$I$24,6,FALSE),0))))</f>
        <v>20000</v>
      </c>
      <c r="O135" s="470"/>
      <c r="P135" s="466" t="str">
        <f t="shared" si="7"/>
        <v>1.103</v>
      </c>
      <c r="Q135" s="253">
        <f t="shared" si="12"/>
        <v>103</v>
      </c>
      <c r="R135" s="253">
        <f t="shared" si="13"/>
        <v>103</v>
      </c>
      <c r="S135" s="449">
        <f t="shared" si="14"/>
        <v>103</v>
      </c>
      <c r="T135" s="253">
        <f t="shared" si="15"/>
        <v>-6</v>
      </c>
      <c r="U135" s="457" t="str">
        <f t="shared" si="6"/>
        <v xml:space="preserve"> </v>
      </c>
    </row>
    <row r="136" spans="2:21" ht="20.100000000000001" customHeight="1" x14ac:dyDescent="0.25">
      <c r="B136" s="456">
        <f>IF(LEFT(C136,16)="Terima Pajak PPN",VLOOKUP(P136,COPY!$A$1:$AC$1000,21,FALSE),IF(LEFT(C136,16)="Terima Pajak PPH",VLOOKUP(P136,COPY!$A$1:$AC$1000,21,FALSE),IF(LEFT(C136,13)="Terima PPh 23",VLOOKUP(P136,COPY!$A$1:$AC$1000,21,FALSE),0)))</f>
        <v>0</v>
      </c>
      <c r="C136" s="457">
        <f>IFERROR(IF(LEFT(VLOOKUP(P136,COPY!$A$1:$AC$1000,29,FALSE),5)="Terim",VLOOKUP(P136,COPY!$A$1:$AC$1000,29,FALSE),0),0)</f>
        <v>0</v>
      </c>
      <c r="D136" s="457"/>
      <c r="E136" s="457"/>
      <c r="F136" s="458">
        <f>IFERROR(IF(LEFT(VLOOKUP(P136,COPY!$A$1:$AC$1000,29,FALSE),5)="Terim",VLOOKUP(P136,COPY!$A$1:$AC$1000,26,FALSE),0),0)</f>
        <v>0</v>
      </c>
      <c r="G136" s="459" t="str">
        <f>IFERROR(VLOOKUP(P136,COPY!$A$1:$L$1000,4,FALSE),0)</f>
        <v/>
      </c>
      <c r="H136" s="457" t="str">
        <f>IFERROR(VLOOKUP(P136,COPY!$A$1:$L$1000,2,FALSE),0)</f>
        <v>Beli</v>
      </c>
      <c r="I136" s="510">
        <f>IFERROR(VLOOKUP(P136,COPY!$A$1:$L$1000,10,FALSE),0)</f>
        <v>8</v>
      </c>
      <c r="J136" s="467" t="str">
        <f>IFERROR(VLOOKUP(P136,COPY!$A$1:$L$1000,8,FALSE),0)</f>
        <v>Pcs</v>
      </c>
      <c r="K136" s="457" t="str">
        <f>IFERROR(VLOOKUP(P136,COPY!$A$1:$L$1000,7,FALSE),0)</f>
        <v>Tee Drat Dalam Kuningan 3/4" Rck</v>
      </c>
      <c r="L136" s="468" t="str">
        <f>IFERROR(VLOOKUP(P136,COPY!$A$1:$O$1000,15,FALSE),0)</f>
        <v/>
      </c>
      <c r="M136" s="468" t="str">
        <f>IFERROR(VLOOKUP(P136,COPY!$A$1:$L$1000,12,FALSE),0)</f>
        <v>B</v>
      </c>
      <c r="N136" s="471">
        <f>IF(H136="Jasa",VLOOKUP('BKU 1'!K136,'Rekap Gaji'!$D$12:$I$24,6,FALSE),(IF(H136="Beli",VLOOKUP(P136,COPY!$A$1:$L$1000,11,FALSE),IF(H136="Bayar Ongkos",VLOOKUP(K136,'Rekap Gaji'!$D$12:$I$24,6,FALSE),0))))</f>
        <v>200000</v>
      </c>
      <c r="O136" s="470"/>
      <c r="P136" s="466" t="str">
        <f t="shared" si="7"/>
        <v>1.104</v>
      </c>
      <c r="Q136" s="253">
        <f t="shared" ref="Q136:Q184" si="16">IF(T136&lt;=0,T136+$S$30,0)</f>
        <v>104</v>
      </c>
      <c r="R136" s="253">
        <f t="shared" ref="R136:R184" si="17">IF(T136&lt;=0,S136,0)</f>
        <v>104</v>
      </c>
      <c r="S136" s="449">
        <f t="shared" ref="S136:S184" si="18">S135+1</f>
        <v>104</v>
      </c>
      <c r="T136" s="253">
        <f t="shared" ref="T136:T184" si="19">S136-$S$30</f>
        <v>-5</v>
      </c>
      <c r="U136" s="457" t="str">
        <f t="shared" si="6"/>
        <v xml:space="preserve"> </v>
      </c>
    </row>
    <row r="137" spans="2:21" ht="20.100000000000001" customHeight="1" x14ac:dyDescent="0.25">
      <c r="B137" s="456">
        <f>IF(LEFT(C137,16)="Terima Pajak PPN",VLOOKUP(P137,COPY!$A$1:$AC$1000,21,FALSE),IF(LEFT(C137,16)="Terima Pajak PPH",VLOOKUP(P137,COPY!$A$1:$AC$1000,21,FALSE),IF(LEFT(C137,13)="Terima PPh 23",VLOOKUP(P137,COPY!$A$1:$AC$1000,21,FALSE),0)))</f>
        <v>0</v>
      </c>
      <c r="C137" s="457">
        <f>IFERROR(IF(LEFT(VLOOKUP(P137,COPY!$A$1:$AC$1000,29,FALSE),5)="Terim",VLOOKUP(P137,COPY!$A$1:$AC$1000,29,FALSE),0),0)</f>
        <v>0</v>
      </c>
      <c r="D137" s="457"/>
      <c r="E137" s="457"/>
      <c r="F137" s="458">
        <f>IFERROR(IF(LEFT(VLOOKUP(P137,COPY!$A$1:$AC$1000,29,FALSE),5)="Terim",VLOOKUP(P137,COPY!$A$1:$AC$1000,26,FALSE),0),0)</f>
        <v>0</v>
      </c>
      <c r="G137" s="459" t="str">
        <f>IFERROR(VLOOKUP(P137,COPY!$A$1:$L$1000,4,FALSE),0)</f>
        <v/>
      </c>
      <c r="H137" s="457" t="str">
        <f>IFERROR(VLOOKUP(P137,COPY!$A$1:$L$1000,2,FALSE),0)</f>
        <v>Beli</v>
      </c>
      <c r="I137" s="510">
        <f>IFERROR(VLOOKUP(P137,COPY!$A$1:$L$1000,10,FALSE),0)</f>
        <v>10</v>
      </c>
      <c r="J137" s="467" t="str">
        <f>IFERROR(VLOOKUP(P137,COPY!$A$1:$L$1000,8,FALSE),0)</f>
        <v>Ljr</v>
      </c>
      <c r="K137" s="457" t="str">
        <f>IFERROR(VLOOKUP(P137,COPY!$A$1:$L$1000,7,FALSE),0)</f>
        <v>Pipa Maspion Abu Aw 3/4"</v>
      </c>
      <c r="L137" s="468" t="str">
        <f>IFERROR(VLOOKUP(P137,COPY!$A$1:$O$1000,15,FALSE),0)</f>
        <v/>
      </c>
      <c r="M137" s="468" t="str">
        <f>IFERROR(VLOOKUP(P137,COPY!$A$1:$L$1000,12,FALSE),0)</f>
        <v>B</v>
      </c>
      <c r="N137" s="471">
        <f>IF(H137="Jasa",VLOOKUP('BKU 1'!K137,'Rekap Gaji'!$D$12:$I$24,6,FALSE),(IF(H137="Beli",VLOOKUP(P137,COPY!$A$1:$L$1000,11,FALSE),IF(H137="Bayar Ongkos",VLOOKUP(K137,'Rekap Gaji'!$D$12:$I$24,6,FALSE),0))))</f>
        <v>360000</v>
      </c>
      <c r="O137" s="470"/>
      <c r="P137" s="466" t="str">
        <f t="shared" si="7"/>
        <v>1.105</v>
      </c>
      <c r="Q137" s="253">
        <f t="shared" si="16"/>
        <v>105</v>
      </c>
      <c r="R137" s="253">
        <f t="shared" si="17"/>
        <v>105</v>
      </c>
      <c r="S137" s="449">
        <f t="shared" si="18"/>
        <v>105</v>
      </c>
      <c r="T137" s="253">
        <f t="shared" si="19"/>
        <v>-4</v>
      </c>
      <c r="U137" s="457" t="str">
        <f t="shared" si="6"/>
        <v xml:space="preserve"> </v>
      </c>
    </row>
    <row r="138" spans="2:21" ht="20.100000000000001" customHeight="1" x14ac:dyDescent="0.25">
      <c r="B138" s="456">
        <f>IF(LEFT(C138,16)="Terima Pajak PPN",VLOOKUP(P138,COPY!$A$1:$AC$1000,21,FALSE),IF(LEFT(C138,16)="Terima Pajak PPH",VLOOKUP(P138,COPY!$A$1:$AC$1000,21,FALSE),IF(LEFT(C138,13)="Terima PPh 23",VLOOKUP(P138,COPY!$A$1:$AC$1000,21,FALSE),0)))</f>
        <v>0</v>
      </c>
      <c r="C138" s="457">
        <f>IFERROR(IF(LEFT(VLOOKUP(P138,COPY!$A$1:$AC$1000,29,FALSE),5)="Terim",VLOOKUP(P138,COPY!$A$1:$AC$1000,29,FALSE),0),0)</f>
        <v>0</v>
      </c>
      <c r="D138" s="457"/>
      <c r="E138" s="457"/>
      <c r="F138" s="458">
        <f>IFERROR(IF(LEFT(VLOOKUP(P138,COPY!$A$1:$AC$1000,29,FALSE),5)="Terim",VLOOKUP(P138,COPY!$A$1:$AC$1000,26,FALSE),0),0)</f>
        <v>0</v>
      </c>
      <c r="G138" s="459" t="str">
        <f>IFERROR(VLOOKUP(P138,COPY!$A$1:$L$1000,4,FALSE),0)</f>
        <v/>
      </c>
      <c r="H138" s="457" t="str">
        <f>IFERROR(VLOOKUP(P138,COPY!$A$1:$L$1000,2,FALSE),0)</f>
        <v>Beli</v>
      </c>
      <c r="I138" s="510">
        <f>IFERROR(VLOOKUP(P138,COPY!$A$1:$L$1000,10,FALSE),0)</f>
        <v>8</v>
      </c>
      <c r="J138" s="467" t="str">
        <f>IFERROR(VLOOKUP(P138,COPY!$A$1:$L$1000,8,FALSE),0)</f>
        <v>Pcs</v>
      </c>
      <c r="K138" s="457" t="str">
        <f>IFERROR(VLOOKUP(P138,COPY!$A$1:$L$1000,7,FALSE),0)</f>
        <v>Socket Aw 3/4 Rck</v>
      </c>
      <c r="L138" s="468" t="str">
        <f>IFERROR(VLOOKUP(P138,COPY!$A$1:$O$1000,15,FALSE),0)</f>
        <v/>
      </c>
      <c r="M138" s="468" t="str">
        <f>IFERROR(VLOOKUP(P138,COPY!$A$1:$L$1000,12,FALSE),0)</f>
        <v>B</v>
      </c>
      <c r="N138" s="471">
        <f>IF(H138="Jasa",VLOOKUP('BKU 1'!K138,'Rekap Gaji'!$D$12:$I$24,6,FALSE),(IF(H138="Beli",VLOOKUP(P138,COPY!$A$1:$L$1000,11,FALSE),IF(H138="Bayar Ongkos",VLOOKUP(K138,'Rekap Gaji'!$D$12:$I$24,6,FALSE),0))))</f>
        <v>32000</v>
      </c>
      <c r="O138" s="470"/>
      <c r="P138" s="466" t="str">
        <f t="shared" si="7"/>
        <v>1.106</v>
      </c>
      <c r="Q138" s="253">
        <f t="shared" si="16"/>
        <v>106</v>
      </c>
      <c r="R138" s="253">
        <f t="shared" si="17"/>
        <v>106</v>
      </c>
      <c r="S138" s="449">
        <f t="shared" si="18"/>
        <v>106</v>
      </c>
      <c r="T138" s="253">
        <f t="shared" si="19"/>
        <v>-3</v>
      </c>
      <c r="U138" s="457" t="str">
        <f t="shared" si="6"/>
        <v xml:space="preserve"> </v>
      </c>
    </row>
    <row r="139" spans="2:21" ht="20.100000000000001" customHeight="1" x14ac:dyDescent="0.25">
      <c r="B139" s="456">
        <f>IF(LEFT(C139,16)="Terima Pajak PPN",VLOOKUP(P139,COPY!$A$1:$AC$1000,21,FALSE),IF(LEFT(C139,16)="Terima Pajak PPH",VLOOKUP(P139,COPY!$A$1:$AC$1000,21,FALSE),IF(LEFT(C139,13)="Terima PPh 23",VLOOKUP(P139,COPY!$A$1:$AC$1000,21,FALSE),0)))</f>
        <v>0</v>
      </c>
      <c r="C139" s="457">
        <f>IFERROR(IF(LEFT(VLOOKUP(P139,COPY!$A$1:$AC$1000,29,FALSE),5)="Terim",VLOOKUP(P139,COPY!$A$1:$AC$1000,29,FALSE),0),0)</f>
        <v>0</v>
      </c>
      <c r="D139" s="457"/>
      <c r="E139" s="457"/>
      <c r="F139" s="458">
        <f>IFERROR(IF(LEFT(VLOOKUP(P139,COPY!$A$1:$AC$1000,29,FALSE),5)="Terim",VLOOKUP(P139,COPY!$A$1:$AC$1000,26,FALSE),0),0)</f>
        <v>0</v>
      </c>
      <c r="G139" s="459" t="str">
        <f>IFERROR(VLOOKUP(P139,COPY!$A$1:$L$1000,4,FALSE),0)</f>
        <v/>
      </c>
      <c r="H139" s="457" t="str">
        <f>IFERROR(VLOOKUP(P139,COPY!$A$1:$L$1000,2,FALSE),0)</f>
        <v>Beli</v>
      </c>
      <c r="I139" s="510">
        <f>IFERROR(VLOOKUP(P139,COPY!$A$1:$L$1000,10,FALSE),0)</f>
        <v>4</v>
      </c>
      <c r="J139" s="467" t="str">
        <f>IFERROR(VLOOKUP(P139,COPY!$A$1:$L$1000,8,FALSE),0)</f>
        <v>Pcs</v>
      </c>
      <c r="K139" s="457" t="str">
        <f>IFERROR(VLOOKUP(P139,COPY!$A$1:$L$1000,7,FALSE),0)</f>
        <v>Knee Aw 3" Rck</v>
      </c>
      <c r="L139" s="468" t="str">
        <f>IFERROR(VLOOKUP(P139,COPY!$A$1:$O$1000,15,FALSE),0)</f>
        <v/>
      </c>
      <c r="M139" s="468" t="str">
        <f>IFERROR(VLOOKUP(P139,COPY!$A$1:$L$1000,12,FALSE),0)</f>
        <v>B</v>
      </c>
      <c r="N139" s="471">
        <f>IF(H139="Jasa",VLOOKUP('BKU 1'!K139,'Rekap Gaji'!$D$12:$I$24,6,FALSE),(IF(H139="Beli",VLOOKUP(P139,COPY!$A$1:$L$1000,11,FALSE),IF(H139="Bayar Ongkos",VLOOKUP(K139,'Rekap Gaji'!$D$12:$I$24,6,FALSE),0))))</f>
        <v>80000</v>
      </c>
      <c r="O139" s="470"/>
      <c r="P139" s="466" t="str">
        <f t="shared" si="7"/>
        <v>1.107</v>
      </c>
      <c r="Q139" s="253">
        <f t="shared" si="16"/>
        <v>107</v>
      </c>
      <c r="R139" s="253">
        <f t="shared" si="17"/>
        <v>107</v>
      </c>
      <c r="S139" s="449">
        <f t="shared" si="18"/>
        <v>107</v>
      </c>
      <c r="T139" s="253">
        <f t="shared" si="19"/>
        <v>-2</v>
      </c>
      <c r="U139" s="457" t="str">
        <f t="shared" si="6"/>
        <v xml:space="preserve"> </v>
      </c>
    </row>
    <row r="140" spans="2:21" ht="20.100000000000001" customHeight="1" x14ac:dyDescent="0.25">
      <c r="B140" s="456">
        <f>IF(LEFT(C140,16)="Terima Pajak PPN",VLOOKUP(P140,COPY!$A$1:$AC$1000,21,FALSE),IF(LEFT(C140,16)="Terima Pajak PPH",VLOOKUP(P140,COPY!$A$1:$AC$1000,21,FALSE),IF(LEFT(C140,13)="Terima PPh 23",VLOOKUP(P140,COPY!$A$1:$AC$1000,21,FALSE),0)))</f>
        <v>0</v>
      </c>
      <c r="C140" s="457">
        <f>IFERROR(IF(LEFT(VLOOKUP(P140,COPY!$A$1:$AC$1000,29,FALSE),5)="Terim",VLOOKUP(P140,COPY!$A$1:$AC$1000,29,FALSE),0),0)</f>
        <v>0</v>
      </c>
      <c r="D140" s="457"/>
      <c r="E140" s="457"/>
      <c r="F140" s="458">
        <f>IFERROR(IF(LEFT(VLOOKUP(P140,COPY!$A$1:$AC$1000,29,FALSE),5)="Terim",VLOOKUP(P140,COPY!$A$1:$AC$1000,26,FALSE),0),0)</f>
        <v>0</v>
      </c>
      <c r="G140" s="459" t="str">
        <f>IFERROR(VLOOKUP(P140,COPY!$A$1:$L$1000,4,FALSE),0)</f>
        <v/>
      </c>
      <c r="H140" s="457" t="str">
        <f>IFERROR(VLOOKUP(P140,COPY!$A$1:$L$1000,2,FALSE),0)</f>
        <v>Beli</v>
      </c>
      <c r="I140" s="510">
        <f>IFERROR(VLOOKUP(P140,COPY!$A$1:$L$1000,10,FALSE),0)</f>
        <v>8</v>
      </c>
      <c r="J140" s="467" t="str">
        <f>IFERROR(VLOOKUP(P140,COPY!$A$1:$L$1000,8,FALSE),0)</f>
        <v>Bji</v>
      </c>
      <c r="K140" s="457" t="str">
        <f>IFERROR(VLOOKUP(P140,COPY!$A$1:$L$1000,7,FALSE),0)</f>
        <v>Babon list</v>
      </c>
      <c r="L140" s="468" t="str">
        <f>IFERROR(VLOOKUP(P140,COPY!$A$1:$O$1000,15,FALSE),0)</f>
        <v/>
      </c>
      <c r="M140" s="468" t="str">
        <f>IFERROR(VLOOKUP(P140,COPY!$A$1:$L$1000,12,FALSE),0)</f>
        <v>B</v>
      </c>
      <c r="N140" s="471">
        <f>IF(H140="Jasa",VLOOKUP('BKU 1'!K140,'Rekap Gaji'!$D$12:$I$24,6,FALSE),(IF(H140="Beli",VLOOKUP(P140,COPY!$A$1:$L$1000,11,FALSE),IF(H140="Bayar Ongkos",VLOOKUP(K140,'Rekap Gaji'!$D$12:$I$24,6,FALSE),0))))</f>
        <v>1200000</v>
      </c>
      <c r="O140" s="470"/>
      <c r="P140" s="466" t="str">
        <f t="shared" si="7"/>
        <v>1.108</v>
      </c>
      <c r="Q140" s="253">
        <f t="shared" si="16"/>
        <v>108</v>
      </c>
      <c r="R140" s="253">
        <f t="shared" si="17"/>
        <v>108</v>
      </c>
      <c r="S140" s="449">
        <f t="shared" si="18"/>
        <v>108</v>
      </c>
      <c r="T140" s="253">
        <f t="shared" si="19"/>
        <v>-1</v>
      </c>
      <c r="U140" s="457" t="str">
        <f t="shared" si="6"/>
        <v xml:space="preserve"> </v>
      </c>
    </row>
    <row r="141" spans="2:21" ht="20.100000000000001" customHeight="1" x14ac:dyDescent="0.25">
      <c r="B141" s="456">
        <f>IF(LEFT(C141,16)="Terima Pajak PPN",VLOOKUP(P141,COPY!$A$1:$AC$1000,21,FALSE),IF(LEFT(C141,16)="Terima Pajak PPH",VLOOKUP(P141,COPY!$A$1:$AC$1000,21,FALSE),IF(LEFT(C141,13)="Terima PPh 23",VLOOKUP(P141,COPY!$A$1:$AC$1000,21,FALSE),0)))</f>
        <v>0</v>
      </c>
      <c r="C141" s="457">
        <f>IFERROR(IF(LEFT(VLOOKUP(P141,COPY!$A$1:$AC$1000,29,FALSE),5)="Terim",VLOOKUP(P141,COPY!$A$1:$AC$1000,29,FALSE),0),0)</f>
        <v>0</v>
      </c>
      <c r="D141" s="457"/>
      <c r="E141" s="457"/>
      <c r="F141" s="458">
        <f>IFERROR(IF(LEFT(VLOOKUP(P141,COPY!$A$1:$AC$1000,29,FALSE),5)="Terim",VLOOKUP(P141,COPY!$A$1:$AC$1000,26,FALSE),0),0)</f>
        <v>0</v>
      </c>
      <c r="G141" s="459">
        <f>IFERROR(VLOOKUP(P141,COPY!$A$1:$L$1000,4,FALSE),0)</f>
        <v>45930</v>
      </c>
      <c r="H141" s="457" t="str">
        <f>IFERROR(VLOOKUP(P141,COPY!$A$1:$L$1000,2,FALSE),0)</f>
        <v>Beli</v>
      </c>
      <c r="I141" s="510">
        <f>IFERROR(VLOOKUP(P141,COPY!$A$1:$L$1000,10,FALSE),0)</f>
        <v>15</v>
      </c>
      <c r="J141" s="467" t="str">
        <f>IFERROR(VLOOKUP(P141,COPY!$A$1:$L$1000,8,FALSE),0)</f>
        <v>Bks</v>
      </c>
      <c r="K141" s="457" t="str">
        <f>IFERROR(VLOOKUP(P141,COPY!$A$1:$L$1000,7,FALSE),0)</f>
        <v>Kosumsi Rapat Peninjauan 50%</v>
      </c>
      <c r="L141" s="468" t="str">
        <f>IFERROR(VLOOKUP(P141,COPY!$A$1:$O$1000,15,FALSE),0)</f>
        <v>BKK.31</v>
      </c>
      <c r="M141" s="468" t="str">
        <f>IFERROR(VLOOKUP(P141,COPY!$A$1:$L$1000,12,FALSE),0)</f>
        <v>D</v>
      </c>
      <c r="N141" s="471">
        <f>IF(H141="Jasa",VLOOKUP('BKU 1'!K141,'Rekap Gaji'!$D$12:$I$24,6,FALSE),(IF(H141="Beli",VLOOKUP(P141,COPY!$A$1:$L$1000,11,FALSE),IF(H141="Bayar Ongkos",VLOOKUP(K141,'Rekap Gaji'!$D$12:$I$24,6,FALSE),0))))</f>
        <v>450000</v>
      </c>
      <c r="O141" s="470"/>
      <c r="P141" s="466" t="str">
        <f t="shared" si="7"/>
        <v>1.109</v>
      </c>
      <c r="Q141" s="253">
        <f t="shared" si="16"/>
        <v>109</v>
      </c>
      <c r="R141" s="253">
        <f t="shared" si="17"/>
        <v>109</v>
      </c>
      <c r="S141" s="449">
        <f t="shared" si="18"/>
        <v>109</v>
      </c>
      <c r="T141" s="253">
        <f t="shared" si="19"/>
        <v>0</v>
      </c>
      <c r="U141" s="457" t="str">
        <f t="shared" si="6"/>
        <v xml:space="preserve"> </v>
      </c>
    </row>
    <row r="142" spans="2:21" ht="20.100000000000001" hidden="1" customHeight="1" x14ac:dyDescent="0.25">
      <c r="B142" s="456">
        <f>IF(LEFT(C142,16)="Terima Pajak PPN",VLOOKUP(P142,COPY!$A$1:$AC$1000,21,FALSE),IF(LEFT(C142,16)="Terima Pajak PPH",VLOOKUP(P142,COPY!$A$1:$AC$1000,21,FALSE),IF(LEFT(C142,13)="Terima PPh 23",VLOOKUP(P142,COPY!$A$1:$AC$1000,21,FALSE),0)))</f>
        <v>0</v>
      </c>
      <c r="C142" s="457">
        <f>IFERROR(IF(LEFT(VLOOKUP(P142,COPY!$A$1:$AC$1000,29,FALSE),5)="Terim",VLOOKUP(P142,COPY!$A$1:$AC$1000,29,FALSE),0),0)</f>
        <v>0</v>
      </c>
      <c r="D142" s="457"/>
      <c r="E142" s="457"/>
      <c r="F142" s="458">
        <f>IFERROR(IF(LEFT(VLOOKUP(P142,COPY!$A$1:$AC$1000,29,FALSE),5)="Terim",VLOOKUP(P142,COPY!$A$1:$AC$1000,26,FALSE),0),0)</f>
        <v>0</v>
      </c>
      <c r="G142" s="459">
        <f>IFERROR(VLOOKUP(P142,COPY!$A$1:$L$1000,4,FALSE),0)</f>
        <v>0</v>
      </c>
      <c r="H142" s="457">
        <f>IFERROR(VLOOKUP(P142,COPY!$A$1:$L$1000,2,FALSE),0)</f>
        <v>0</v>
      </c>
      <c r="I142" s="510">
        <f>IFERROR(VLOOKUP(P142,COPY!$A$1:$L$1000,10,FALSE),0)</f>
        <v>0</v>
      </c>
      <c r="J142" s="467">
        <f>IFERROR(VLOOKUP(P142,COPY!$A$1:$L$1000,8,FALSE),0)</f>
        <v>0</v>
      </c>
      <c r="K142" s="457">
        <f>IFERROR(VLOOKUP(P142,COPY!$A$1:$L$1000,7,FALSE),0)</f>
        <v>0</v>
      </c>
      <c r="L142" s="468">
        <f>IFERROR(VLOOKUP(P142,COPY!$A$1:$O$1000,15,FALSE),0)</f>
        <v>0</v>
      </c>
      <c r="M142" s="468">
        <f>IFERROR(VLOOKUP(P142,COPY!$A$1:$L$1000,12,FALSE),0)</f>
        <v>0</v>
      </c>
      <c r="N142" s="471">
        <f>IF(H142="Jasa",VLOOKUP('BKU 1'!K142,'Rekap Gaji'!$D$12:$I$24,6,FALSE),(IF(H142="Beli",VLOOKUP(P142,COPY!$A$1:$L$1000,11,FALSE),IF(H142="Bayar Ongkos",VLOOKUP(K142,'Rekap Gaji'!$D$12:$I$24,6,FALSE),0))))</f>
        <v>0</v>
      </c>
      <c r="O142" s="470"/>
      <c r="P142" s="466" t="str">
        <f t="shared" si="7"/>
        <v>1.0</v>
      </c>
      <c r="Q142" s="253">
        <f t="shared" si="16"/>
        <v>0</v>
      </c>
      <c r="R142" s="253">
        <f t="shared" si="17"/>
        <v>0</v>
      </c>
      <c r="S142" s="449">
        <f t="shared" si="18"/>
        <v>110</v>
      </c>
      <c r="T142" s="253">
        <f t="shared" si="19"/>
        <v>1</v>
      </c>
      <c r="U142" s="457" t="str">
        <f t="shared" si="6"/>
        <v xml:space="preserve"> </v>
      </c>
    </row>
    <row r="143" spans="2:21" ht="20.100000000000001" hidden="1" customHeight="1" x14ac:dyDescent="0.25">
      <c r="B143" s="456">
        <f>IF(LEFT(C143,16)="Terima Pajak PPN",VLOOKUP(P143,COPY!$A$1:$AC$1000,21,FALSE),IF(LEFT(C143,16)="Terima Pajak PPH",VLOOKUP(P143,COPY!$A$1:$AC$1000,21,FALSE),IF(LEFT(C143,13)="Terima PPh 23",VLOOKUP(P143,COPY!$A$1:$AC$1000,21,FALSE),0)))</f>
        <v>0</v>
      </c>
      <c r="C143" s="457">
        <f>IFERROR(IF(LEFT(VLOOKUP(P143,COPY!$A$1:$AC$1000,29,FALSE),5)="Terim",VLOOKUP(P143,COPY!$A$1:$AC$1000,29,FALSE),0),0)</f>
        <v>0</v>
      </c>
      <c r="D143" s="457"/>
      <c r="E143" s="457"/>
      <c r="F143" s="458">
        <f>IFERROR(IF(LEFT(VLOOKUP(P143,COPY!$A$1:$AC$1000,29,FALSE),5)="Terim",VLOOKUP(P143,COPY!$A$1:$AC$1000,26,FALSE),0),0)</f>
        <v>0</v>
      </c>
      <c r="G143" s="459">
        <f>IFERROR(VLOOKUP(P143,COPY!$A$1:$L$1000,4,FALSE),0)</f>
        <v>0</v>
      </c>
      <c r="H143" s="457">
        <f>IFERROR(VLOOKUP(P143,COPY!$A$1:$L$1000,2,FALSE),0)</f>
        <v>0</v>
      </c>
      <c r="I143" s="510">
        <f>IFERROR(VLOOKUP(P143,COPY!$A$1:$L$1000,10,FALSE),0)</f>
        <v>0</v>
      </c>
      <c r="J143" s="467">
        <f>IFERROR(VLOOKUP(P143,COPY!$A$1:$L$1000,8,FALSE),0)</f>
        <v>0</v>
      </c>
      <c r="K143" s="457">
        <f>IFERROR(VLOOKUP(P143,COPY!$A$1:$L$1000,7,FALSE),0)</f>
        <v>0</v>
      </c>
      <c r="L143" s="468">
        <f>IFERROR(VLOOKUP(P143,COPY!$A$1:$O$1000,15,FALSE),0)</f>
        <v>0</v>
      </c>
      <c r="M143" s="468">
        <f>IFERROR(VLOOKUP(P143,COPY!$A$1:$L$1000,12,FALSE),0)</f>
        <v>0</v>
      </c>
      <c r="N143" s="471">
        <f>IF(H143="Jasa",VLOOKUP('BKU 1'!K143,'Rekap Gaji'!$D$12:$I$24,6,FALSE),(IF(H143="Beli",VLOOKUP(P143,COPY!$A$1:$L$1000,11,FALSE),IF(H143="Bayar Ongkos",VLOOKUP(K143,'Rekap Gaji'!$D$12:$I$24,6,FALSE),0))))</f>
        <v>0</v>
      </c>
      <c r="O143" s="470"/>
      <c r="P143" s="466" t="str">
        <f t="shared" si="7"/>
        <v>1.0</v>
      </c>
      <c r="Q143" s="253">
        <f t="shared" si="16"/>
        <v>0</v>
      </c>
      <c r="R143" s="253">
        <f t="shared" si="17"/>
        <v>0</v>
      </c>
      <c r="S143" s="449">
        <f t="shared" si="18"/>
        <v>111</v>
      </c>
      <c r="T143" s="253">
        <f t="shared" si="19"/>
        <v>2</v>
      </c>
      <c r="U143" s="457" t="str">
        <f t="shared" si="6"/>
        <v xml:space="preserve"> </v>
      </c>
    </row>
    <row r="144" spans="2:21" ht="20.100000000000001" hidden="1" customHeight="1" x14ac:dyDescent="0.25">
      <c r="B144" s="456">
        <f>IF(LEFT(C144,16)="Terima Pajak PPN",VLOOKUP(P144,COPY!$A$1:$AC$1000,21,FALSE),IF(LEFT(C144,16)="Terima Pajak PPH",VLOOKUP(P144,COPY!$A$1:$AC$1000,21,FALSE),IF(LEFT(C144,13)="Terima PPh 23",VLOOKUP(P144,COPY!$A$1:$AC$1000,21,FALSE),0)))</f>
        <v>0</v>
      </c>
      <c r="C144" s="457">
        <f>IFERROR(IF(LEFT(VLOOKUP(P144,COPY!$A$1:$AC$1000,29,FALSE),5)="Terim",VLOOKUP(P144,COPY!$A$1:$AC$1000,29,FALSE),0),0)</f>
        <v>0</v>
      </c>
      <c r="D144" s="457"/>
      <c r="E144" s="457"/>
      <c r="F144" s="458">
        <f>IFERROR(IF(LEFT(VLOOKUP(P144,COPY!$A$1:$AC$1000,29,FALSE),5)="Terim",VLOOKUP(P144,COPY!$A$1:$AC$1000,26,FALSE),0),0)</f>
        <v>0</v>
      </c>
      <c r="G144" s="459">
        <f>IFERROR(VLOOKUP(P144,COPY!$A$1:$L$1000,4,FALSE),0)</f>
        <v>0</v>
      </c>
      <c r="H144" s="457">
        <f>IFERROR(VLOOKUP(P144,COPY!$A$1:$L$1000,2,FALSE),0)</f>
        <v>0</v>
      </c>
      <c r="I144" s="510">
        <f>IFERROR(VLOOKUP(P144,COPY!$A$1:$L$1000,10,FALSE),0)</f>
        <v>0</v>
      </c>
      <c r="J144" s="467">
        <f>IFERROR(VLOOKUP(P144,COPY!$A$1:$L$1000,8,FALSE),0)</f>
        <v>0</v>
      </c>
      <c r="K144" s="457">
        <f>IFERROR(VLOOKUP(P144,COPY!$A$1:$L$1000,7,FALSE),0)</f>
        <v>0</v>
      </c>
      <c r="L144" s="468">
        <f>IFERROR(VLOOKUP(P144,COPY!$A$1:$O$1000,15,FALSE),0)</f>
        <v>0</v>
      </c>
      <c r="M144" s="468">
        <f>IFERROR(VLOOKUP(P144,COPY!$A$1:$L$1000,12,FALSE),0)</f>
        <v>0</v>
      </c>
      <c r="N144" s="471">
        <f>IF(H144="Jasa",VLOOKUP('BKU 1'!K144,'Rekap Gaji'!$D$12:$I$24,6,FALSE),(IF(H144="Beli",VLOOKUP(P144,COPY!$A$1:$L$1000,11,FALSE),IF(H144="Bayar Ongkos",VLOOKUP(K144,'Rekap Gaji'!$D$12:$I$24,6,FALSE),0))))</f>
        <v>0</v>
      </c>
      <c r="O144" s="470"/>
      <c r="P144" s="466" t="str">
        <f t="shared" si="7"/>
        <v>1.0</v>
      </c>
      <c r="Q144" s="253">
        <f t="shared" si="16"/>
        <v>0</v>
      </c>
      <c r="R144" s="253">
        <f t="shared" si="17"/>
        <v>0</v>
      </c>
      <c r="S144" s="449">
        <f t="shared" si="18"/>
        <v>112</v>
      </c>
      <c r="T144" s="253">
        <f t="shared" si="19"/>
        <v>3</v>
      </c>
      <c r="U144" s="457" t="str">
        <f t="shared" si="6"/>
        <v xml:space="preserve"> </v>
      </c>
    </row>
    <row r="145" spans="2:21" ht="20.100000000000001" hidden="1" customHeight="1" x14ac:dyDescent="0.25">
      <c r="B145" s="456">
        <f>IF(LEFT(C145,16)="Terima Pajak PPN",VLOOKUP(P145,COPY!$A$1:$AC$1000,21,FALSE),IF(LEFT(C145,16)="Terima Pajak PPH",VLOOKUP(P145,COPY!$A$1:$AC$1000,21,FALSE),IF(LEFT(C145,13)="Terima PPh 23",VLOOKUP(P145,COPY!$A$1:$AC$1000,21,FALSE),0)))</f>
        <v>0</v>
      </c>
      <c r="C145" s="457">
        <f>IFERROR(IF(LEFT(VLOOKUP(P145,COPY!$A$1:$AC$1000,29,FALSE),5)="Terim",VLOOKUP(P145,COPY!$A$1:$AC$1000,29,FALSE),0),0)</f>
        <v>0</v>
      </c>
      <c r="D145" s="457"/>
      <c r="E145" s="457"/>
      <c r="F145" s="458">
        <f>IFERROR(IF(LEFT(VLOOKUP(P145,COPY!$A$1:$AC$1000,29,FALSE),5)="Terim",VLOOKUP(P145,COPY!$A$1:$AC$1000,26,FALSE),0),0)</f>
        <v>0</v>
      </c>
      <c r="G145" s="459">
        <f>IFERROR(VLOOKUP(P145,COPY!$A$1:$L$1000,4,FALSE),0)</f>
        <v>0</v>
      </c>
      <c r="H145" s="457">
        <f>IFERROR(VLOOKUP(P145,COPY!$A$1:$L$1000,2,FALSE),0)</f>
        <v>0</v>
      </c>
      <c r="I145" s="510">
        <f>IFERROR(VLOOKUP(P145,COPY!$A$1:$L$1000,10,FALSE),0)</f>
        <v>0</v>
      </c>
      <c r="J145" s="467">
        <f>IFERROR(VLOOKUP(P145,COPY!$A$1:$L$1000,8,FALSE),0)</f>
        <v>0</v>
      </c>
      <c r="K145" s="457">
        <f>IFERROR(VLOOKUP(P145,COPY!$A$1:$L$1000,7,FALSE),0)</f>
        <v>0</v>
      </c>
      <c r="L145" s="468">
        <f>IFERROR(VLOOKUP(P145,COPY!$A$1:$O$1000,15,FALSE),0)</f>
        <v>0</v>
      </c>
      <c r="M145" s="468">
        <f>IFERROR(VLOOKUP(P145,COPY!$A$1:$L$1000,12,FALSE),0)</f>
        <v>0</v>
      </c>
      <c r="N145" s="471">
        <f>IF(H145="Jasa",VLOOKUP('BKU 1'!K145,'Rekap Gaji'!$D$12:$I$24,6,FALSE),(IF(H145="Beli",VLOOKUP(P145,COPY!$A$1:$L$1000,11,FALSE),IF(H145="Bayar Ongkos",VLOOKUP(K145,'Rekap Gaji'!$D$12:$I$24,6,FALSE),0))))</f>
        <v>0</v>
      </c>
      <c r="O145" s="470"/>
      <c r="P145" s="466" t="str">
        <f t="shared" si="7"/>
        <v>1.0</v>
      </c>
      <c r="Q145" s="253">
        <f t="shared" si="16"/>
        <v>0</v>
      </c>
      <c r="R145" s="253">
        <f t="shared" si="17"/>
        <v>0</v>
      </c>
      <c r="S145" s="449">
        <f t="shared" si="18"/>
        <v>113</v>
      </c>
      <c r="T145" s="253">
        <f t="shared" si="19"/>
        <v>4</v>
      </c>
      <c r="U145" s="457" t="str">
        <f t="shared" si="6"/>
        <v xml:space="preserve"> </v>
      </c>
    </row>
    <row r="146" spans="2:21" ht="20.100000000000001" hidden="1" customHeight="1" x14ac:dyDescent="0.25">
      <c r="B146" s="456">
        <f>IF(LEFT(C146,16)="Terima Pajak PPN",VLOOKUP(P146,COPY!$A$1:$AC$1000,21,FALSE),IF(LEFT(C146,16)="Terima Pajak PPH",VLOOKUP(P146,COPY!$A$1:$AC$1000,21,FALSE),IF(LEFT(C146,13)="Terima PPh 23",VLOOKUP(P146,COPY!$A$1:$AC$1000,21,FALSE),0)))</f>
        <v>0</v>
      </c>
      <c r="C146" s="457">
        <f>IFERROR(IF(LEFT(VLOOKUP(P146,COPY!$A$1:$AC$1000,29,FALSE),5)="Terim",VLOOKUP(P146,COPY!$A$1:$AC$1000,29,FALSE),0),0)</f>
        <v>0</v>
      </c>
      <c r="D146" s="457"/>
      <c r="E146" s="457"/>
      <c r="F146" s="458">
        <f>IFERROR(IF(LEFT(VLOOKUP(P146,COPY!$A$1:$AC$1000,29,FALSE),5)="Terim",VLOOKUP(P146,COPY!$A$1:$AC$1000,26,FALSE),0),0)</f>
        <v>0</v>
      </c>
      <c r="G146" s="459">
        <f>IFERROR(VLOOKUP(P146,COPY!$A$1:$L$1000,4,FALSE),0)</f>
        <v>0</v>
      </c>
      <c r="H146" s="457">
        <f>IFERROR(VLOOKUP(P146,COPY!$A$1:$L$1000,2,FALSE),0)</f>
        <v>0</v>
      </c>
      <c r="I146" s="510">
        <f>IFERROR(VLOOKUP(P146,COPY!$A$1:$L$1000,10,FALSE),0)</f>
        <v>0</v>
      </c>
      <c r="J146" s="467">
        <f>IFERROR(VLOOKUP(P146,COPY!$A$1:$L$1000,8,FALSE),0)</f>
        <v>0</v>
      </c>
      <c r="K146" s="457">
        <f>IFERROR(VLOOKUP(P146,COPY!$A$1:$L$1000,7,FALSE),0)</f>
        <v>0</v>
      </c>
      <c r="L146" s="468">
        <f>IFERROR(VLOOKUP(P146,COPY!$A$1:$O$1000,15,FALSE),0)</f>
        <v>0</v>
      </c>
      <c r="M146" s="468">
        <f>IFERROR(VLOOKUP(P146,COPY!$A$1:$L$1000,12,FALSE),0)</f>
        <v>0</v>
      </c>
      <c r="N146" s="471">
        <f>IF(H146="Jasa",VLOOKUP('BKU 1'!K146,'Rekap Gaji'!$D$12:$I$24,6,FALSE),(IF(H146="Beli",VLOOKUP(P146,COPY!$A$1:$L$1000,11,FALSE),IF(H146="Bayar Ongkos",VLOOKUP(K146,'Rekap Gaji'!$D$12:$I$24,6,FALSE),0))))</f>
        <v>0</v>
      </c>
      <c r="O146" s="470"/>
      <c r="P146" s="466" t="str">
        <f t="shared" si="7"/>
        <v>1.0</v>
      </c>
      <c r="Q146" s="253">
        <f t="shared" si="16"/>
        <v>0</v>
      </c>
      <c r="R146" s="253">
        <f t="shared" si="17"/>
        <v>0</v>
      </c>
      <c r="S146" s="449">
        <f t="shared" si="18"/>
        <v>114</v>
      </c>
      <c r="T146" s="253">
        <f t="shared" si="19"/>
        <v>5</v>
      </c>
      <c r="U146" s="457" t="str">
        <f t="shared" si="6"/>
        <v xml:space="preserve"> </v>
      </c>
    </row>
    <row r="147" spans="2:21" ht="20.100000000000001" hidden="1" customHeight="1" x14ac:dyDescent="0.25">
      <c r="B147" s="456">
        <f>IF(LEFT(C147,16)="Terima Pajak PPN",VLOOKUP(P147,COPY!$A$1:$AC$1000,21,FALSE),IF(LEFT(C147,16)="Terima Pajak PPH",VLOOKUP(P147,COPY!$A$1:$AC$1000,21,FALSE),IF(LEFT(C147,13)="Terima PPh 23",VLOOKUP(P147,COPY!$A$1:$AC$1000,21,FALSE),0)))</f>
        <v>0</v>
      </c>
      <c r="C147" s="457">
        <f>IFERROR(IF(LEFT(VLOOKUP(P147,COPY!$A$1:$AC$1000,29,FALSE),5)="Terim",VLOOKUP(P147,COPY!$A$1:$AC$1000,29,FALSE),0),0)</f>
        <v>0</v>
      </c>
      <c r="D147" s="457"/>
      <c r="E147" s="457"/>
      <c r="F147" s="458">
        <f>IFERROR(IF(LEFT(VLOOKUP(P147,COPY!$A$1:$AC$1000,29,FALSE),5)="Terim",VLOOKUP(P147,COPY!$A$1:$AC$1000,26,FALSE),0),0)</f>
        <v>0</v>
      </c>
      <c r="G147" s="459">
        <f>IFERROR(VLOOKUP(P147,COPY!$A$1:$L$1000,4,FALSE),0)</f>
        <v>0</v>
      </c>
      <c r="H147" s="457">
        <f>IFERROR(VLOOKUP(P147,COPY!$A$1:$L$1000,2,FALSE),0)</f>
        <v>0</v>
      </c>
      <c r="I147" s="510">
        <f>IFERROR(VLOOKUP(P147,COPY!$A$1:$L$1000,10,FALSE),0)</f>
        <v>0</v>
      </c>
      <c r="J147" s="467">
        <f>IFERROR(VLOOKUP(P147,COPY!$A$1:$L$1000,8,FALSE),0)</f>
        <v>0</v>
      </c>
      <c r="K147" s="457">
        <f>IFERROR(VLOOKUP(P147,COPY!$A$1:$L$1000,7,FALSE),0)</f>
        <v>0</v>
      </c>
      <c r="L147" s="468">
        <f>IFERROR(VLOOKUP(P147,COPY!$A$1:$O$1000,15,FALSE),0)</f>
        <v>0</v>
      </c>
      <c r="M147" s="468">
        <f>IFERROR(VLOOKUP(P147,COPY!$A$1:$L$1000,12,FALSE),0)</f>
        <v>0</v>
      </c>
      <c r="N147" s="471">
        <f>IF(H147="Jasa",VLOOKUP('BKU 1'!K147,'Rekap Gaji'!$D$12:$I$24,6,FALSE),(IF(H147="Beli",VLOOKUP(P147,COPY!$A$1:$L$1000,11,FALSE),IF(H147="Bayar Ongkos",VLOOKUP(K147,'Rekap Gaji'!$D$12:$I$24,6,FALSE),0))))</f>
        <v>0</v>
      </c>
      <c r="O147" s="470"/>
      <c r="P147" s="466" t="str">
        <f t="shared" si="7"/>
        <v>1.0</v>
      </c>
      <c r="Q147" s="253">
        <f t="shared" si="16"/>
        <v>0</v>
      </c>
      <c r="R147" s="253">
        <f t="shared" si="17"/>
        <v>0</v>
      </c>
      <c r="S147" s="449">
        <f t="shared" si="18"/>
        <v>115</v>
      </c>
      <c r="T147" s="253">
        <f t="shared" si="19"/>
        <v>6</v>
      </c>
      <c r="U147" s="457" t="str">
        <f t="shared" si="6"/>
        <v xml:space="preserve"> </v>
      </c>
    </row>
    <row r="148" spans="2:21" ht="20.100000000000001" hidden="1" customHeight="1" x14ac:dyDescent="0.25">
      <c r="B148" s="456">
        <f>IF(LEFT(C148,16)="Terima Pajak PPN",VLOOKUP(P148,COPY!$A$1:$AC$1000,21,FALSE),IF(LEFT(C148,16)="Terima Pajak PPH",VLOOKUP(P148,COPY!$A$1:$AC$1000,21,FALSE),IF(LEFT(C148,13)="Terima PPh 23",VLOOKUP(P148,COPY!$A$1:$AC$1000,21,FALSE),0)))</f>
        <v>0</v>
      </c>
      <c r="C148" s="457">
        <f>IFERROR(IF(LEFT(VLOOKUP(P148,COPY!$A$1:$AC$1000,29,FALSE),5)="Terim",VLOOKUP(P148,COPY!$A$1:$AC$1000,29,FALSE),0),0)</f>
        <v>0</v>
      </c>
      <c r="D148" s="457"/>
      <c r="E148" s="457"/>
      <c r="F148" s="458">
        <f>IFERROR(IF(LEFT(VLOOKUP(P148,COPY!$A$1:$AC$1000,29,FALSE),5)="Terim",VLOOKUP(P148,COPY!$A$1:$AC$1000,26,FALSE),0),0)</f>
        <v>0</v>
      </c>
      <c r="G148" s="459">
        <f>IFERROR(VLOOKUP(P148,COPY!$A$1:$L$1000,4,FALSE),0)</f>
        <v>0</v>
      </c>
      <c r="H148" s="457">
        <f>IFERROR(VLOOKUP(P148,COPY!$A$1:$L$1000,2,FALSE),0)</f>
        <v>0</v>
      </c>
      <c r="I148" s="510">
        <f>IFERROR(VLOOKUP(P148,COPY!$A$1:$L$1000,10,FALSE),0)</f>
        <v>0</v>
      </c>
      <c r="J148" s="467">
        <f>IFERROR(VLOOKUP(P148,COPY!$A$1:$L$1000,8,FALSE),0)</f>
        <v>0</v>
      </c>
      <c r="K148" s="457">
        <f>IFERROR(VLOOKUP(P148,COPY!$A$1:$L$1000,7,FALSE),0)</f>
        <v>0</v>
      </c>
      <c r="L148" s="468">
        <f>IFERROR(VLOOKUP(P148,COPY!$A$1:$O$1000,15,FALSE),0)</f>
        <v>0</v>
      </c>
      <c r="M148" s="468">
        <f>IFERROR(VLOOKUP(P148,COPY!$A$1:$L$1000,12,FALSE),0)</f>
        <v>0</v>
      </c>
      <c r="N148" s="471">
        <f>IF(H148="Jasa",VLOOKUP('BKU 1'!K148,'Rekap Gaji'!$D$12:$I$24,6,FALSE),(IF(H148="Beli",VLOOKUP(P148,COPY!$A$1:$L$1000,11,FALSE),IF(H148="Bayar Ongkos",VLOOKUP(K148,'Rekap Gaji'!$D$12:$I$24,6,FALSE),0))))</f>
        <v>0</v>
      </c>
      <c r="O148" s="470"/>
      <c r="P148" s="466" t="str">
        <f t="shared" si="7"/>
        <v>1.0</v>
      </c>
      <c r="Q148" s="253">
        <f t="shared" si="16"/>
        <v>0</v>
      </c>
      <c r="R148" s="253">
        <f t="shared" si="17"/>
        <v>0</v>
      </c>
      <c r="S148" s="449">
        <f t="shared" si="18"/>
        <v>116</v>
      </c>
      <c r="T148" s="253">
        <f t="shared" si="19"/>
        <v>7</v>
      </c>
      <c r="U148" s="457" t="str">
        <f t="shared" si="6"/>
        <v xml:space="preserve"> </v>
      </c>
    </row>
    <row r="149" spans="2:21" ht="20.100000000000001" hidden="1" customHeight="1" x14ac:dyDescent="0.25">
      <c r="B149" s="456">
        <f>IF(LEFT(C149,16)="Terima Pajak PPN",VLOOKUP(P149,COPY!$A$1:$AC$1000,21,FALSE),IF(LEFT(C149,16)="Terima Pajak PPH",VLOOKUP(P149,COPY!$A$1:$AC$1000,21,FALSE),IF(LEFT(C149,13)="Terima PPh 23",VLOOKUP(P149,COPY!$A$1:$AC$1000,21,FALSE),0)))</f>
        <v>0</v>
      </c>
      <c r="C149" s="457">
        <f>IFERROR(IF(LEFT(VLOOKUP(P149,COPY!$A$1:$AC$1000,29,FALSE),5)="Terim",VLOOKUP(P149,COPY!$A$1:$AC$1000,29,FALSE),0),0)</f>
        <v>0</v>
      </c>
      <c r="D149" s="457"/>
      <c r="E149" s="457"/>
      <c r="F149" s="458">
        <f>IFERROR(IF(LEFT(VLOOKUP(P149,COPY!$A$1:$AC$1000,29,FALSE),5)="Terim",VLOOKUP(P149,COPY!$A$1:$AC$1000,26,FALSE),0),0)</f>
        <v>0</v>
      </c>
      <c r="G149" s="459">
        <f>IFERROR(VLOOKUP(P149,COPY!$A$1:$L$1000,4,FALSE),0)</f>
        <v>0</v>
      </c>
      <c r="H149" s="457">
        <f>IFERROR(VLOOKUP(P149,COPY!$A$1:$L$1000,2,FALSE),0)</f>
        <v>0</v>
      </c>
      <c r="I149" s="510">
        <f>IFERROR(VLOOKUP(P149,COPY!$A$1:$L$1000,10,FALSE),0)</f>
        <v>0</v>
      </c>
      <c r="J149" s="467">
        <f>IFERROR(VLOOKUP(P149,COPY!$A$1:$L$1000,8,FALSE),0)</f>
        <v>0</v>
      </c>
      <c r="K149" s="457">
        <f>IFERROR(VLOOKUP(P149,COPY!$A$1:$L$1000,7,FALSE),0)</f>
        <v>0</v>
      </c>
      <c r="L149" s="468">
        <f>IFERROR(VLOOKUP(P149,COPY!$A$1:$O$1000,15,FALSE),0)</f>
        <v>0</v>
      </c>
      <c r="M149" s="468">
        <f>IFERROR(VLOOKUP(P149,COPY!$A$1:$L$1000,12,FALSE),0)</f>
        <v>0</v>
      </c>
      <c r="N149" s="471">
        <f>IF(H149="Jasa",VLOOKUP('BKU 1'!K149,'Rekap Gaji'!$D$12:$I$24,6,FALSE),(IF(H149="Beli",VLOOKUP(P149,COPY!$A$1:$L$1000,11,FALSE),IF(H149="Bayar Ongkos",VLOOKUP(K149,'Rekap Gaji'!$D$12:$I$24,6,FALSE),0))))</f>
        <v>0</v>
      </c>
      <c r="O149" s="470"/>
      <c r="P149" s="466" t="str">
        <f t="shared" si="7"/>
        <v>1.0</v>
      </c>
      <c r="Q149" s="253">
        <f t="shared" si="16"/>
        <v>0</v>
      </c>
      <c r="R149" s="253">
        <f t="shared" si="17"/>
        <v>0</v>
      </c>
      <c r="S149" s="449">
        <f t="shared" si="18"/>
        <v>117</v>
      </c>
      <c r="T149" s="253">
        <f t="shared" si="19"/>
        <v>8</v>
      </c>
      <c r="U149" s="457" t="str">
        <f t="shared" si="6"/>
        <v xml:space="preserve"> </v>
      </c>
    </row>
    <row r="150" spans="2:21" ht="20.100000000000001" hidden="1" customHeight="1" x14ac:dyDescent="0.25">
      <c r="B150" s="456">
        <f>IF(LEFT(C150,16)="Terima Pajak PPN",VLOOKUP(P150,COPY!$A$1:$AC$1000,21,FALSE),IF(LEFT(C150,16)="Terima Pajak PPH",VLOOKUP(P150,COPY!$A$1:$AC$1000,21,FALSE),IF(LEFT(C150,13)="Terima PPh 23",VLOOKUP(P150,COPY!$A$1:$AC$1000,21,FALSE),0)))</f>
        <v>0</v>
      </c>
      <c r="C150" s="457">
        <f>IFERROR(IF(LEFT(VLOOKUP(P150,COPY!$A$1:$AC$1000,29,FALSE),5)="Terim",VLOOKUP(P150,COPY!$A$1:$AC$1000,29,FALSE),0),0)</f>
        <v>0</v>
      </c>
      <c r="D150" s="457"/>
      <c r="E150" s="457"/>
      <c r="F150" s="458">
        <f>IFERROR(IF(LEFT(VLOOKUP(P150,COPY!$A$1:$AC$1000,29,FALSE),5)="Terim",VLOOKUP(P150,COPY!$A$1:$AC$1000,26,FALSE),0),0)</f>
        <v>0</v>
      </c>
      <c r="G150" s="459">
        <f>IFERROR(VLOOKUP(P150,COPY!$A$1:$L$1000,4,FALSE),0)</f>
        <v>0</v>
      </c>
      <c r="H150" s="457">
        <f>IFERROR(VLOOKUP(P150,COPY!$A$1:$L$1000,2,FALSE),0)</f>
        <v>0</v>
      </c>
      <c r="I150" s="510">
        <f>IFERROR(VLOOKUP(P150,COPY!$A$1:$L$1000,10,FALSE),0)</f>
        <v>0</v>
      </c>
      <c r="J150" s="467">
        <f>IFERROR(VLOOKUP(P150,COPY!$A$1:$L$1000,8,FALSE),0)</f>
        <v>0</v>
      </c>
      <c r="K150" s="457">
        <f>IFERROR(VLOOKUP(P150,COPY!$A$1:$L$1000,7,FALSE),0)</f>
        <v>0</v>
      </c>
      <c r="L150" s="468">
        <f>IFERROR(VLOOKUP(P150,COPY!$A$1:$O$1000,15,FALSE),0)</f>
        <v>0</v>
      </c>
      <c r="M150" s="468">
        <f>IFERROR(VLOOKUP(P150,COPY!$A$1:$L$1000,12,FALSE),0)</f>
        <v>0</v>
      </c>
      <c r="N150" s="471">
        <f>IF(H150="Jasa",VLOOKUP('BKU 1'!K150,'Rekap Gaji'!$D$12:$I$24,6,FALSE),(IF(H150="Beli",VLOOKUP(P150,COPY!$A$1:$L$1000,11,FALSE),IF(H150="Bayar Ongkos",VLOOKUP(K150,'Rekap Gaji'!$D$12:$I$24,6,FALSE),0))))</f>
        <v>0</v>
      </c>
      <c r="O150" s="470"/>
      <c r="P150" s="466" t="str">
        <f t="shared" si="7"/>
        <v>1.0</v>
      </c>
      <c r="Q150" s="253">
        <f t="shared" si="16"/>
        <v>0</v>
      </c>
      <c r="R150" s="253">
        <f t="shared" si="17"/>
        <v>0</v>
      </c>
      <c r="S150" s="449">
        <f t="shared" si="18"/>
        <v>118</v>
      </c>
      <c r="T150" s="253">
        <f t="shared" si="19"/>
        <v>9</v>
      </c>
      <c r="U150" s="457" t="str">
        <f t="shared" si="6"/>
        <v xml:space="preserve"> </v>
      </c>
    </row>
    <row r="151" spans="2:21" ht="20.100000000000001" hidden="1" customHeight="1" x14ac:dyDescent="0.25">
      <c r="B151" s="456">
        <f>IF(LEFT(C151,16)="Terima Pajak PPN",VLOOKUP(P151,COPY!$A$1:$AC$1000,21,FALSE),IF(LEFT(C151,16)="Terima Pajak PPH",VLOOKUP(P151,COPY!$A$1:$AC$1000,21,FALSE),IF(LEFT(C151,13)="Terima PPh 23",VLOOKUP(P151,COPY!$A$1:$AC$1000,21,FALSE),0)))</f>
        <v>0</v>
      </c>
      <c r="C151" s="457">
        <f>IFERROR(IF(LEFT(VLOOKUP(P151,COPY!$A$1:$AC$1000,29,FALSE),5)="Terim",VLOOKUP(P151,COPY!$A$1:$AC$1000,29,FALSE),0),0)</f>
        <v>0</v>
      </c>
      <c r="D151" s="457"/>
      <c r="E151" s="457"/>
      <c r="F151" s="458">
        <f>IFERROR(IF(LEFT(VLOOKUP(P151,COPY!$A$1:$AC$1000,29,FALSE),5)="Terim",VLOOKUP(P151,COPY!$A$1:$AC$1000,26,FALSE),0),0)</f>
        <v>0</v>
      </c>
      <c r="G151" s="459">
        <f>IFERROR(VLOOKUP(P151,COPY!$A$1:$L$1000,4,FALSE),0)</f>
        <v>0</v>
      </c>
      <c r="H151" s="457">
        <f>IFERROR(VLOOKUP(P151,COPY!$A$1:$L$1000,2,FALSE),0)</f>
        <v>0</v>
      </c>
      <c r="I151" s="510">
        <f>IFERROR(VLOOKUP(P151,COPY!$A$1:$L$1000,10,FALSE),0)</f>
        <v>0</v>
      </c>
      <c r="J151" s="467">
        <f>IFERROR(VLOOKUP(P151,COPY!$A$1:$L$1000,8,FALSE),0)</f>
        <v>0</v>
      </c>
      <c r="K151" s="457">
        <f>IFERROR(VLOOKUP(P151,COPY!$A$1:$L$1000,7,FALSE),0)</f>
        <v>0</v>
      </c>
      <c r="L151" s="468">
        <f>IFERROR(VLOOKUP(P151,COPY!$A$1:$O$1000,15,FALSE),0)</f>
        <v>0</v>
      </c>
      <c r="M151" s="468">
        <f>IFERROR(VLOOKUP(P151,COPY!$A$1:$L$1000,12,FALSE),0)</f>
        <v>0</v>
      </c>
      <c r="N151" s="471">
        <f>IF(H151="Jasa",VLOOKUP('BKU 1'!K151,'Rekap Gaji'!$D$12:$I$24,6,FALSE),(IF(H151="Beli",VLOOKUP(P151,COPY!$A$1:$L$1000,11,FALSE),IF(H151="Bayar Ongkos",VLOOKUP(K151,'Rekap Gaji'!$D$12:$I$24,6,FALSE),0))))</f>
        <v>0</v>
      </c>
      <c r="O151" s="470"/>
      <c r="P151" s="466" t="str">
        <f t="shared" si="7"/>
        <v>1.0</v>
      </c>
      <c r="Q151" s="253">
        <f t="shared" si="16"/>
        <v>0</v>
      </c>
      <c r="R151" s="253">
        <f t="shared" si="17"/>
        <v>0</v>
      </c>
      <c r="S151" s="449">
        <f t="shared" si="18"/>
        <v>119</v>
      </c>
      <c r="T151" s="253">
        <f t="shared" si="19"/>
        <v>10</v>
      </c>
      <c r="U151" s="457" t="str">
        <f t="shared" si="6"/>
        <v xml:space="preserve"> </v>
      </c>
    </row>
    <row r="152" spans="2:21" ht="20.100000000000001" hidden="1" customHeight="1" x14ac:dyDescent="0.25">
      <c r="B152" s="456">
        <f>IF(LEFT(C152,16)="Terima Pajak PPN",VLOOKUP(P152,COPY!$A$1:$AC$1000,21,FALSE),IF(LEFT(C152,16)="Terima Pajak PPH",VLOOKUP(P152,COPY!$A$1:$AC$1000,21,FALSE),IF(LEFT(C152,13)="Terima PPh 23",VLOOKUP(P152,COPY!$A$1:$AC$1000,21,FALSE),0)))</f>
        <v>0</v>
      </c>
      <c r="C152" s="457">
        <f>IFERROR(IF(LEFT(VLOOKUP(P152,COPY!$A$1:$AC$1000,29,FALSE),5)="Terim",VLOOKUP(P152,COPY!$A$1:$AC$1000,29,FALSE),0),0)</f>
        <v>0</v>
      </c>
      <c r="D152" s="457"/>
      <c r="E152" s="457"/>
      <c r="F152" s="458">
        <f>IFERROR(IF(LEFT(VLOOKUP(P152,COPY!$A$1:$AC$1000,29,FALSE),5)="Terim",VLOOKUP(P152,COPY!$A$1:$AC$1000,26,FALSE),0),0)</f>
        <v>0</v>
      </c>
      <c r="G152" s="459">
        <f>IFERROR(VLOOKUP(P152,COPY!$A$1:$L$1000,4,FALSE),0)</f>
        <v>0</v>
      </c>
      <c r="H152" s="457">
        <f>IFERROR(VLOOKUP(P152,COPY!$A$1:$L$1000,2,FALSE),0)</f>
        <v>0</v>
      </c>
      <c r="I152" s="510">
        <f>IFERROR(VLOOKUP(P152,COPY!$A$1:$L$1000,10,FALSE),0)</f>
        <v>0</v>
      </c>
      <c r="J152" s="467">
        <f>IFERROR(VLOOKUP(P152,COPY!$A$1:$L$1000,8,FALSE),0)</f>
        <v>0</v>
      </c>
      <c r="K152" s="457">
        <f>IFERROR(VLOOKUP(P152,COPY!$A$1:$L$1000,7,FALSE),0)</f>
        <v>0</v>
      </c>
      <c r="L152" s="468">
        <f>IFERROR(VLOOKUP(P152,COPY!$A$1:$O$1000,15,FALSE),0)</f>
        <v>0</v>
      </c>
      <c r="M152" s="468">
        <f>IFERROR(VLOOKUP(P152,COPY!$A$1:$L$1000,12,FALSE),0)</f>
        <v>0</v>
      </c>
      <c r="N152" s="471">
        <f>IF(H152="Jasa",VLOOKUP('BKU 1'!K152,'Rekap Gaji'!$D$12:$I$24,6,FALSE),(IF(H152="Beli",VLOOKUP(P152,COPY!$A$1:$L$1000,11,FALSE),IF(H152="Bayar Ongkos",VLOOKUP(K152,'Rekap Gaji'!$D$12:$I$24,6,FALSE),0))))</f>
        <v>0</v>
      </c>
      <c r="O152" s="470"/>
      <c r="P152" s="466" t="str">
        <f t="shared" ref="P152:P168" si="20">$D$24&amp;"."&amp;Q152</f>
        <v>1.0</v>
      </c>
      <c r="Q152" s="253">
        <f t="shared" si="16"/>
        <v>0</v>
      </c>
      <c r="R152" s="253">
        <f t="shared" si="17"/>
        <v>0</v>
      </c>
      <c r="S152" s="449">
        <f t="shared" si="18"/>
        <v>120</v>
      </c>
      <c r="T152" s="253">
        <f t="shared" si="19"/>
        <v>11</v>
      </c>
      <c r="U152" s="457" t="str">
        <f t="shared" si="6"/>
        <v xml:space="preserve"> </v>
      </c>
    </row>
    <row r="153" spans="2:21" ht="20.100000000000001" hidden="1" customHeight="1" x14ac:dyDescent="0.25">
      <c r="B153" s="456">
        <f>IF(LEFT(C153,16)="Terima Pajak PPN",VLOOKUP(P153,COPY!$A$1:$AC$1000,21,FALSE),IF(LEFT(C153,16)="Terima Pajak PPH",VLOOKUP(P153,COPY!$A$1:$AC$1000,21,FALSE),IF(LEFT(C153,13)="Terima PPh 23",VLOOKUP(P153,COPY!$A$1:$AC$1000,21,FALSE),0)))</f>
        <v>0</v>
      </c>
      <c r="C153" s="457">
        <f>IFERROR(IF(LEFT(VLOOKUP(P153,COPY!$A$1:$AC$1000,29,FALSE),5)="Terim",VLOOKUP(P153,COPY!$A$1:$AC$1000,29,FALSE),0),0)</f>
        <v>0</v>
      </c>
      <c r="D153" s="457"/>
      <c r="E153" s="457"/>
      <c r="F153" s="458">
        <f>IFERROR(IF(LEFT(VLOOKUP(P153,COPY!$A$1:$AC$1000,29,FALSE),5)="Terim",VLOOKUP(P153,COPY!$A$1:$AC$1000,26,FALSE),0),0)</f>
        <v>0</v>
      </c>
      <c r="G153" s="459">
        <f>IFERROR(VLOOKUP(P153,COPY!$A$1:$L$1000,4,FALSE),0)</f>
        <v>0</v>
      </c>
      <c r="H153" s="457">
        <f>IFERROR(VLOOKUP(P153,COPY!$A$1:$L$1000,2,FALSE),0)</f>
        <v>0</v>
      </c>
      <c r="I153" s="510">
        <f>IFERROR(VLOOKUP(P153,COPY!$A$1:$L$1000,10,FALSE),0)</f>
        <v>0</v>
      </c>
      <c r="J153" s="467">
        <f>IFERROR(VLOOKUP(P153,COPY!$A$1:$L$1000,8,FALSE),0)</f>
        <v>0</v>
      </c>
      <c r="K153" s="457">
        <f>IFERROR(VLOOKUP(P153,COPY!$A$1:$L$1000,7,FALSE),0)</f>
        <v>0</v>
      </c>
      <c r="L153" s="468">
        <f>IFERROR(VLOOKUP(P153,COPY!$A$1:$O$1000,15,FALSE),0)</f>
        <v>0</v>
      </c>
      <c r="M153" s="468">
        <f>IFERROR(VLOOKUP(P153,COPY!$A$1:$L$1000,12,FALSE),0)</f>
        <v>0</v>
      </c>
      <c r="N153" s="471">
        <f>IF(H153="Jasa",VLOOKUP('BKU 1'!K153,'Rekap Gaji'!$D$12:$I$24,6,FALSE),(IF(H153="Beli",VLOOKUP(P153,COPY!$A$1:$L$1000,11,FALSE),IF(H153="Bayar Ongkos",VLOOKUP(K153,'Rekap Gaji'!$D$12:$I$24,6,FALSE),0))))</f>
        <v>0</v>
      </c>
      <c r="O153" s="470"/>
      <c r="P153" s="466" t="str">
        <f t="shared" si="20"/>
        <v>1.0</v>
      </c>
      <c r="Q153" s="253">
        <f t="shared" si="16"/>
        <v>0</v>
      </c>
      <c r="R153" s="253">
        <f t="shared" si="17"/>
        <v>0</v>
      </c>
      <c r="S153" s="449">
        <f t="shared" si="18"/>
        <v>121</v>
      </c>
      <c r="T153" s="253">
        <f t="shared" si="19"/>
        <v>12</v>
      </c>
      <c r="U153" s="457" t="str">
        <f t="shared" si="6"/>
        <v xml:space="preserve"> </v>
      </c>
    </row>
    <row r="154" spans="2:21" ht="20.100000000000001" hidden="1" customHeight="1" x14ac:dyDescent="0.25">
      <c r="B154" s="456">
        <f>IF(LEFT(C154,16)="Terima Pajak PPN",VLOOKUP(P154,COPY!$A$1:$AC$1000,21,FALSE),IF(LEFT(C154,16)="Terima Pajak PPH",VLOOKUP(P154,COPY!$A$1:$AC$1000,21,FALSE),IF(LEFT(C154,13)="Terima PPh 23",VLOOKUP(P154,COPY!$A$1:$AC$1000,21,FALSE),0)))</f>
        <v>0</v>
      </c>
      <c r="C154" s="457">
        <f>IFERROR(IF(LEFT(VLOOKUP(P154,COPY!$A$1:$AC$1000,29,FALSE),5)="Terim",VLOOKUP(P154,COPY!$A$1:$AC$1000,29,FALSE),0),0)</f>
        <v>0</v>
      </c>
      <c r="D154" s="457"/>
      <c r="E154" s="457"/>
      <c r="F154" s="458">
        <f>IFERROR(IF(LEFT(VLOOKUP(P154,COPY!$A$1:$AC$1000,29,FALSE),5)="Terim",VLOOKUP(P154,COPY!$A$1:$AC$1000,26,FALSE),0),0)</f>
        <v>0</v>
      </c>
      <c r="G154" s="459">
        <f>IFERROR(VLOOKUP(P154,COPY!$A$1:$L$1000,4,FALSE),0)</f>
        <v>0</v>
      </c>
      <c r="H154" s="457">
        <f>IFERROR(VLOOKUP(P154,COPY!$A$1:$L$1000,2,FALSE),0)</f>
        <v>0</v>
      </c>
      <c r="I154" s="510">
        <f>IFERROR(VLOOKUP(P154,COPY!$A$1:$L$1000,10,FALSE),0)</f>
        <v>0</v>
      </c>
      <c r="J154" s="467">
        <f>IFERROR(VLOOKUP(P154,COPY!$A$1:$L$1000,8,FALSE),0)</f>
        <v>0</v>
      </c>
      <c r="K154" s="457">
        <f>IFERROR(VLOOKUP(P154,COPY!$A$1:$L$1000,7,FALSE),0)</f>
        <v>0</v>
      </c>
      <c r="L154" s="468">
        <f>IFERROR(VLOOKUP(P154,COPY!$A$1:$O$1000,15,FALSE),0)</f>
        <v>0</v>
      </c>
      <c r="M154" s="468">
        <f>IFERROR(VLOOKUP(P154,COPY!$A$1:$L$1000,12,FALSE),0)</f>
        <v>0</v>
      </c>
      <c r="N154" s="471">
        <f>IF(H154="Jasa",VLOOKUP('BKU 1'!K154,'Rekap Gaji'!$D$12:$I$24,6,FALSE),(IF(H154="Beli",VLOOKUP(P154,COPY!$A$1:$L$1000,11,FALSE),IF(H154="Bayar Ongkos",VLOOKUP(K154,'Rekap Gaji'!$D$12:$I$24,6,FALSE),0))))</f>
        <v>0</v>
      </c>
      <c r="O154" s="470"/>
      <c r="P154" s="466" t="str">
        <f t="shared" si="20"/>
        <v>1.0</v>
      </c>
      <c r="Q154" s="253">
        <f t="shared" si="16"/>
        <v>0</v>
      </c>
      <c r="R154" s="253">
        <f t="shared" si="17"/>
        <v>0</v>
      </c>
      <c r="S154" s="449">
        <f t="shared" si="18"/>
        <v>122</v>
      </c>
      <c r="T154" s="253">
        <f t="shared" si="19"/>
        <v>13</v>
      </c>
      <c r="U154" s="457" t="str">
        <f t="shared" si="6"/>
        <v xml:space="preserve"> </v>
      </c>
    </row>
    <row r="155" spans="2:21" ht="20.100000000000001" hidden="1" customHeight="1" x14ac:dyDescent="0.25">
      <c r="B155" s="456">
        <f>IF(LEFT(C155,16)="Terima Pajak PPN",VLOOKUP(P155,COPY!$A$1:$AC$1000,21,FALSE),IF(LEFT(C155,16)="Terima Pajak PPH",VLOOKUP(P155,COPY!$A$1:$AC$1000,21,FALSE),IF(LEFT(C155,13)="Terima PPh 23",VLOOKUP(P155,COPY!$A$1:$AC$1000,21,FALSE),0)))</f>
        <v>0</v>
      </c>
      <c r="C155" s="457">
        <f>IFERROR(IF(LEFT(VLOOKUP(P155,COPY!$A$1:$AC$1000,29,FALSE),5)="Terim",VLOOKUP(P155,COPY!$A$1:$AC$1000,29,FALSE),0),0)</f>
        <v>0</v>
      </c>
      <c r="D155" s="457"/>
      <c r="E155" s="457"/>
      <c r="F155" s="458">
        <f>IFERROR(IF(LEFT(VLOOKUP(P155,COPY!$A$1:$AC$1000,29,FALSE),5)="Terim",VLOOKUP(P155,COPY!$A$1:$AC$1000,26,FALSE),0),0)</f>
        <v>0</v>
      </c>
      <c r="G155" s="459">
        <f>IFERROR(VLOOKUP(P155,COPY!$A$1:$L$1000,4,FALSE),0)</f>
        <v>0</v>
      </c>
      <c r="H155" s="457">
        <f>IFERROR(VLOOKUP(P155,COPY!$A$1:$L$1000,2,FALSE),0)</f>
        <v>0</v>
      </c>
      <c r="I155" s="510">
        <f>IFERROR(VLOOKUP(P155,COPY!$A$1:$L$1000,10,FALSE),0)</f>
        <v>0</v>
      </c>
      <c r="J155" s="467">
        <f>IFERROR(VLOOKUP(P155,COPY!$A$1:$L$1000,8,FALSE),0)</f>
        <v>0</v>
      </c>
      <c r="K155" s="457">
        <f>IFERROR(VLOOKUP(P155,COPY!$A$1:$L$1000,7,FALSE),0)</f>
        <v>0</v>
      </c>
      <c r="L155" s="468">
        <f>IFERROR(VLOOKUP(P155,COPY!$A$1:$O$1000,15,FALSE),0)</f>
        <v>0</v>
      </c>
      <c r="M155" s="468">
        <f>IFERROR(VLOOKUP(P155,COPY!$A$1:$L$1000,12,FALSE),0)</f>
        <v>0</v>
      </c>
      <c r="N155" s="471">
        <f>IF(H155="Jasa",VLOOKUP('BKU 1'!K155,'Rekap Gaji'!$D$12:$I$24,6,FALSE),(IF(H155="Beli",VLOOKUP(P155,COPY!$A$1:$L$1000,11,FALSE),IF(H155="Bayar Ongkos",VLOOKUP(K155,'Rekap Gaji'!$D$12:$I$24,6,FALSE),0))))</f>
        <v>0</v>
      </c>
      <c r="O155" s="470"/>
      <c r="P155" s="466" t="str">
        <f t="shared" si="20"/>
        <v>1.0</v>
      </c>
      <c r="Q155" s="253">
        <f t="shared" si="16"/>
        <v>0</v>
      </c>
      <c r="R155" s="253">
        <f t="shared" si="17"/>
        <v>0</v>
      </c>
      <c r="S155" s="449">
        <f t="shared" si="18"/>
        <v>123</v>
      </c>
      <c r="T155" s="253">
        <f t="shared" si="19"/>
        <v>14</v>
      </c>
      <c r="U155" s="457" t="str">
        <f t="shared" si="6"/>
        <v xml:space="preserve"> </v>
      </c>
    </row>
    <row r="156" spans="2:21" ht="20.100000000000001" hidden="1" customHeight="1" x14ac:dyDescent="0.25">
      <c r="B156" s="456">
        <f>IF(LEFT(C156,16)="Terima Pajak PPN",VLOOKUP(P156,COPY!$A$1:$AC$1000,21,FALSE),IF(LEFT(C156,16)="Terima Pajak PPH",VLOOKUP(P156,COPY!$A$1:$AC$1000,21,FALSE),IF(LEFT(C156,13)="Terima PPh 23",VLOOKUP(P156,COPY!$A$1:$AC$1000,21,FALSE),0)))</f>
        <v>0</v>
      </c>
      <c r="C156" s="457">
        <f>IFERROR(IF(LEFT(VLOOKUP(P156,COPY!$A$1:$AC$1000,29,FALSE),5)="Terim",VLOOKUP(P156,COPY!$A$1:$AC$1000,29,FALSE),0),0)</f>
        <v>0</v>
      </c>
      <c r="D156" s="457"/>
      <c r="E156" s="457"/>
      <c r="F156" s="458">
        <f>IFERROR(IF(LEFT(VLOOKUP(P156,COPY!$A$1:$AC$1000,29,FALSE),5)="Terim",VLOOKUP(P156,COPY!$A$1:$AC$1000,26,FALSE),0),0)</f>
        <v>0</v>
      </c>
      <c r="G156" s="459">
        <f>IFERROR(VLOOKUP(P156,COPY!$A$1:$L$1000,4,FALSE),0)</f>
        <v>0</v>
      </c>
      <c r="H156" s="457">
        <f>IFERROR(VLOOKUP(P156,COPY!$A$1:$L$1000,2,FALSE),0)</f>
        <v>0</v>
      </c>
      <c r="I156" s="510">
        <f>IFERROR(VLOOKUP(P156,COPY!$A$1:$L$1000,10,FALSE),0)</f>
        <v>0</v>
      </c>
      <c r="J156" s="467">
        <f>IFERROR(VLOOKUP(P156,COPY!$A$1:$L$1000,8,FALSE),0)</f>
        <v>0</v>
      </c>
      <c r="K156" s="457">
        <f>IFERROR(VLOOKUP(P156,COPY!$A$1:$L$1000,7,FALSE),0)</f>
        <v>0</v>
      </c>
      <c r="L156" s="468">
        <f>IFERROR(VLOOKUP(P156,COPY!$A$1:$O$1000,15,FALSE),0)</f>
        <v>0</v>
      </c>
      <c r="M156" s="468">
        <f>IFERROR(VLOOKUP(P156,COPY!$A$1:$L$1000,12,FALSE),0)</f>
        <v>0</v>
      </c>
      <c r="N156" s="471">
        <f>IF(H156="Jasa",VLOOKUP('BKU 1'!K156,'Rekap Gaji'!$D$12:$I$24,6,FALSE),(IF(H156="Beli",VLOOKUP(P156,COPY!$A$1:$L$1000,11,FALSE),IF(H156="Bayar Ongkos",VLOOKUP(K156,'Rekap Gaji'!$D$12:$I$24,6,FALSE),0))))</f>
        <v>0</v>
      </c>
      <c r="O156" s="470"/>
      <c r="P156" s="466" t="str">
        <f t="shared" si="20"/>
        <v>1.0</v>
      </c>
      <c r="Q156" s="253">
        <f t="shared" si="16"/>
        <v>0</v>
      </c>
      <c r="R156" s="253">
        <f t="shared" si="17"/>
        <v>0</v>
      </c>
      <c r="S156" s="449">
        <f t="shared" si="18"/>
        <v>124</v>
      </c>
      <c r="T156" s="253">
        <f t="shared" si="19"/>
        <v>15</v>
      </c>
      <c r="U156" s="457" t="str">
        <f t="shared" si="6"/>
        <v xml:space="preserve"> </v>
      </c>
    </row>
    <row r="157" spans="2:21" ht="20.100000000000001" hidden="1" customHeight="1" x14ac:dyDescent="0.25">
      <c r="B157" s="456">
        <f>IF(LEFT(C157,16)="Terima Pajak PPN",VLOOKUP(P157,COPY!$A$1:$AC$1000,21,FALSE),IF(LEFT(C157,16)="Terima Pajak PPH",VLOOKUP(P157,COPY!$A$1:$AC$1000,21,FALSE),IF(LEFT(C157,13)="Terima PPh 23",VLOOKUP(P157,COPY!$A$1:$AC$1000,21,FALSE),0)))</f>
        <v>0</v>
      </c>
      <c r="C157" s="457">
        <f>IFERROR(IF(LEFT(VLOOKUP(P157,COPY!$A$1:$AC$1000,29,FALSE),5)="Terim",VLOOKUP(P157,COPY!$A$1:$AC$1000,29,FALSE),0),0)</f>
        <v>0</v>
      </c>
      <c r="D157" s="457"/>
      <c r="E157" s="457"/>
      <c r="F157" s="458">
        <f>IFERROR(IF(LEFT(VLOOKUP(P157,COPY!$A$1:$AC$1000,29,FALSE),5)="Terim",VLOOKUP(P157,COPY!$A$1:$AC$1000,26,FALSE),0),0)</f>
        <v>0</v>
      </c>
      <c r="G157" s="459">
        <f>IFERROR(VLOOKUP(P157,COPY!$A$1:$L$1000,4,FALSE),0)</f>
        <v>0</v>
      </c>
      <c r="H157" s="457">
        <f>IFERROR(VLOOKUP(P157,COPY!$A$1:$L$1000,2,FALSE),0)</f>
        <v>0</v>
      </c>
      <c r="I157" s="510">
        <f>IFERROR(VLOOKUP(P157,COPY!$A$1:$L$1000,10,FALSE),0)</f>
        <v>0</v>
      </c>
      <c r="J157" s="467">
        <f>IFERROR(VLOOKUP(P157,COPY!$A$1:$L$1000,8,FALSE),0)</f>
        <v>0</v>
      </c>
      <c r="K157" s="457">
        <f>IFERROR(VLOOKUP(P157,COPY!$A$1:$L$1000,7,FALSE),0)</f>
        <v>0</v>
      </c>
      <c r="L157" s="468">
        <f>IFERROR(VLOOKUP(P157,COPY!$A$1:$O$1000,15,FALSE),0)</f>
        <v>0</v>
      </c>
      <c r="M157" s="468">
        <f>IFERROR(VLOOKUP(P157,COPY!$A$1:$L$1000,12,FALSE),0)</f>
        <v>0</v>
      </c>
      <c r="N157" s="471">
        <f>IF(H157="Jasa",VLOOKUP('BKU 1'!K157,'Rekap Gaji'!$D$12:$I$24,6,FALSE),(IF(H157="Beli",VLOOKUP(P157,COPY!$A$1:$L$1000,11,FALSE),IF(H157="Bayar Ongkos",VLOOKUP(K157,'Rekap Gaji'!$D$12:$I$24,6,FALSE),0))))</f>
        <v>0</v>
      </c>
      <c r="O157" s="470"/>
      <c r="P157" s="466" t="str">
        <f t="shared" si="20"/>
        <v>1.0</v>
      </c>
      <c r="Q157" s="253">
        <f t="shared" si="16"/>
        <v>0</v>
      </c>
      <c r="R157" s="253">
        <f t="shared" si="17"/>
        <v>0</v>
      </c>
      <c r="S157" s="449">
        <f t="shared" si="18"/>
        <v>125</v>
      </c>
      <c r="T157" s="253">
        <f t="shared" si="19"/>
        <v>16</v>
      </c>
      <c r="U157" s="457" t="str">
        <f t="shared" si="6"/>
        <v xml:space="preserve"> </v>
      </c>
    </row>
    <row r="158" spans="2:21" ht="20.100000000000001" hidden="1" customHeight="1" x14ac:dyDescent="0.25">
      <c r="B158" s="456">
        <f>IF(LEFT(C158,16)="Terima Pajak PPN",VLOOKUP(P158,COPY!$A$1:$AC$1000,21,FALSE),IF(LEFT(C158,16)="Terima Pajak PPH",VLOOKUP(P158,COPY!$A$1:$AC$1000,21,FALSE),IF(LEFT(C158,13)="Terima PPh 23",VLOOKUP(P158,COPY!$A$1:$AC$1000,21,FALSE),0)))</f>
        <v>0</v>
      </c>
      <c r="C158" s="457">
        <f>IFERROR(IF(LEFT(VLOOKUP(P158,COPY!$A$1:$AC$1000,29,FALSE),5)="Terim",VLOOKUP(P158,COPY!$A$1:$AC$1000,29,FALSE),0),0)</f>
        <v>0</v>
      </c>
      <c r="D158" s="457"/>
      <c r="E158" s="457"/>
      <c r="F158" s="458">
        <f>IFERROR(IF(LEFT(VLOOKUP(P158,COPY!$A$1:$AC$1000,29,FALSE),5)="Terim",VLOOKUP(P158,COPY!$A$1:$AC$1000,26,FALSE),0),0)</f>
        <v>0</v>
      </c>
      <c r="G158" s="459">
        <f>IFERROR(VLOOKUP(P158,COPY!$A$1:$L$1000,4,FALSE),0)</f>
        <v>0</v>
      </c>
      <c r="H158" s="457">
        <f>IFERROR(VLOOKUP(P158,COPY!$A$1:$L$1000,2,FALSE),0)</f>
        <v>0</v>
      </c>
      <c r="I158" s="510">
        <f>IFERROR(VLOOKUP(P158,COPY!$A$1:$L$1000,10,FALSE),0)</f>
        <v>0</v>
      </c>
      <c r="J158" s="467">
        <f>IFERROR(VLOOKUP(P158,COPY!$A$1:$L$1000,8,FALSE),0)</f>
        <v>0</v>
      </c>
      <c r="K158" s="457">
        <f>IFERROR(VLOOKUP(P158,COPY!$A$1:$L$1000,7,FALSE),0)</f>
        <v>0</v>
      </c>
      <c r="L158" s="468">
        <f>IFERROR(VLOOKUP(P158,COPY!$A$1:$O$1000,15,FALSE),0)</f>
        <v>0</v>
      </c>
      <c r="M158" s="468">
        <f>IFERROR(VLOOKUP(P158,COPY!$A$1:$L$1000,12,FALSE),0)</f>
        <v>0</v>
      </c>
      <c r="N158" s="471">
        <f>IF(H158="Jasa",VLOOKUP('BKU 1'!K158,'Rekap Gaji'!$D$12:$I$24,6,FALSE),(IF(H158="Beli",VLOOKUP(P158,COPY!$A$1:$L$1000,11,FALSE),IF(H158="Bayar Ongkos",VLOOKUP(K158,'Rekap Gaji'!$D$12:$I$24,6,FALSE),0))))</f>
        <v>0</v>
      </c>
      <c r="O158" s="470"/>
      <c r="P158" s="466" t="str">
        <f t="shared" si="20"/>
        <v>1.0</v>
      </c>
      <c r="Q158" s="253">
        <f t="shared" si="16"/>
        <v>0</v>
      </c>
      <c r="R158" s="253">
        <f t="shared" si="17"/>
        <v>0</v>
      </c>
      <c r="S158" s="449">
        <f t="shared" si="18"/>
        <v>126</v>
      </c>
      <c r="T158" s="253">
        <f t="shared" si="19"/>
        <v>17</v>
      </c>
      <c r="U158" s="457" t="str">
        <f t="shared" si="6"/>
        <v xml:space="preserve"> </v>
      </c>
    </row>
    <row r="159" spans="2:21" ht="20.100000000000001" hidden="1" customHeight="1" x14ac:dyDescent="0.25">
      <c r="B159" s="456">
        <f>IF(LEFT(C159,16)="Terima Pajak PPN",VLOOKUP(P159,COPY!$A$1:$AC$1000,21,FALSE),IF(LEFT(C159,16)="Terima Pajak PPH",VLOOKUP(P159,COPY!$A$1:$AC$1000,21,FALSE),IF(LEFT(C159,13)="Terima PPh 23",VLOOKUP(P159,COPY!$A$1:$AC$1000,21,FALSE),0)))</f>
        <v>0</v>
      </c>
      <c r="C159" s="457">
        <f>IFERROR(IF(LEFT(VLOOKUP(P159,COPY!$A$1:$AC$1000,29,FALSE),5)="Terim",VLOOKUP(P159,COPY!$A$1:$AC$1000,29,FALSE),0),0)</f>
        <v>0</v>
      </c>
      <c r="D159" s="457"/>
      <c r="E159" s="457"/>
      <c r="F159" s="458">
        <f>IFERROR(IF(LEFT(VLOOKUP(P159,COPY!$A$1:$AC$1000,29,FALSE),5)="Terim",VLOOKUP(P159,COPY!$A$1:$AC$1000,26,FALSE),0),0)</f>
        <v>0</v>
      </c>
      <c r="G159" s="459">
        <f>IFERROR(VLOOKUP(P159,COPY!$A$1:$L$1000,4,FALSE),0)</f>
        <v>0</v>
      </c>
      <c r="H159" s="457">
        <f>IFERROR(VLOOKUP(P159,COPY!$A$1:$L$1000,2,FALSE),0)</f>
        <v>0</v>
      </c>
      <c r="I159" s="510">
        <f>IFERROR(VLOOKUP(P159,COPY!$A$1:$L$1000,10,FALSE),0)</f>
        <v>0</v>
      </c>
      <c r="J159" s="467">
        <f>IFERROR(VLOOKUP(P159,COPY!$A$1:$L$1000,8,FALSE),0)</f>
        <v>0</v>
      </c>
      <c r="K159" s="457">
        <f>IFERROR(VLOOKUP(P159,COPY!$A$1:$L$1000,7,FALSE),0)</f>
        <v>0</v>
      </c>
      <c r="L159" s="468">
        <f>IFERROR(VLOOKUP(P159,COPY!$A$1:$O$1000,15,FALSE),0)</f>
        <v>0</v>
      </c>
      <c r="M159" s="468">
        <f>IFERROR(VLOOKUP(P159,COPY!$A$1:$L$1000,12,FALSE),0)</f>
        <v>0</v>
      </c>
      <c r="N159" s="471">
        <f>IF(H159="Jasa",VLOOKUP('BKU 1'!K159,'Rekap Gaji'!$D$12:$I$24,6,FALSE),(IF(H159="Beli",VLOOKUP(P159,COPY!$A$1:$L$1000,11,FALSE),IF(H159="Bayar Ongkos",VLOOKUP(K159,'Rekap Gaji'!$D$12:$I$24,6,FALSE),0))))</f>
        <v>0</v>
      </c>
      <c r="O159" s="470"/>
      <c r="P159" s="466" t="str">
        <f t="shared" si="20"/>
        <v>1.0</v>
      </c>
      <c r="Q159" s="253">
        <f t="shared" si="16"/>
        <v>0</v>
      </c>
      <c r="R159" s="253">
        <f t="shared" si="17"/>
        <v>0</v>
      </c>
      <c r="S159" s="449">
        <f t="shared" si="18"/>
        <v>127</v>
      </c>
      <c r="T159" s="253">
        <f t="shared" si="19"/>
        <v>18</v>
      </c>
      <c r="U159" s="457" t="str">
        <f t="shared" si="6"/>
        <v xml:space="preserve"> </v>
      </c>
    </row>
    <row r="160" spans="2:21" ht="20.100000000000001" hidden="1" customHeight="1" x14ac:dyDescent="0.25">
      <c r="B160" s="456">
        <f>IF(LEFT(C160,16)="Terima Pajak PPN",VLOOKUP(P160,COPY!$A$1:$AC$1000,21,FALSE),IF(LEFT(C160,16)="Terima Pajak PPH",VLOOKUP(P160,COPY!$A$1:$AC$1000,21,FALSE),IF(LEFT(C160,13)="Terima PPh 23",VLOOKUP(P160,COPY!$A$1:$AC$1000,21,FALSE),0)))</f>
        <v>0</v>
      </c>
      <c r="C160" s="457">
        <f>IFERROR(IF(LEFT(VLOOKUP(P160,COPY!$A$1:$AC$1000,29,FALSE),5)="Terim",VLOOKUP(P160,COPY!$A$1:$AC$1000,29,FALSE),0),0)</f>
        <v>0</v>
      </c>
      <c r="D160" s="457"/>
      <c r="E160" s="457"/>
      <c r="F160" s="458">
        <f>IFERROR(IF(LEFT(VLOOKUP(P160,COPY!$A$1:$AC$1000,29,FALSE),5)="Terim",VLOOKUP(P160,COPY!$A$1:$AC$1000,26,FALSE),0),0)</f>
        <v>0</v>
      </c>
      <c r="G160" s="459">
        <f>IFERROR(VLOOKUP(P160,COPY!$A$1:$L$1000,4,FALSE),0)</f>
        <v>0</v>
      </c>
      <c r="H160" s="457">
        <f>IFERROR(VLOOKUP(P160,COPY!$A$1:$L$1000,2,FALSE),0)</f>
        <v>0</v>
      </c>
      <c r="I160" s="510">
        <f>IFERROR(VLOOKUP(P160,COPY!$A$1:$L$1000,10,FALSE),0)</f>
        <v>0</v>
      </c>
      <c r="J160" s="467">
        <f>IFERROR(VLOOKUP(P160,COPY!$A$1:$L$1000,8,FALSE),0)</f>
        <v>0</v>
      </c>
      <c r="K160" s="457">
        <f>IFERROR(VLOOKUP(P160,COPY!$A$1:$L$1000,7,FALSE),0)</f>
        <v>0</v>
      </c>
      <c r="L160" s="468">
        <f>IFERROR(VLOOKUP(P160,COPY!$A$1:$O$1000,15,FALSE),0)</f>
        <v>0</v>
      </c>
      <c r="M160" s="468">
        <f>IFERROR(VLOOKUP(P160,COPY!$A$1:$L$1000,12,FALSE),0)</f>
        <v>0</v>
      </c>
      <c r="N160" s="471">
        <f>IF(H160="Jasa",VLOOKUP('BKU 1'!K160,'Rekap Gaji'!$D$12:$I$24,6,FALSE),(IF(H160="Beli",VLOOKUP(P160,COPY!$A$1:$L$1000,11,FALSE),IF(H160="Bayar Ongkos",VLOOKUP(K160,'Rekap Gaji'!$D$12:$I$24,6,FALSE),0))))</f>
        <v>0</v>
      </c>
      <c r="O160" s="470"/>
      <c r="P160" s="466" t="str">
        <f t="shared" si="20"/>
        <v>1.0</v>
      </c>
      <c r="Q160" s="253">
        <f t="shared" si="16"/>
        <v>0</v>
      </c>
      <c r="R160" s="253">
        <f t="shared" si="17"/>
        <v>0</v>
      </c>
      <c r="S160" s="449">
        <f t="shared" si="18"/>
        <v>128</v>
      </c>
      <c r="T160" s="253">
        <f t="shared" si="19"/>
        <v>19</v>
      </c>
      <c r="U160" s="457" t="str">
        <f t="shared" si="6"/>
        <v xml:space="preserve"> </v>
      </c>
    </row>
    <row r="161" spans="2:21" ht="20.100000000000001" hidden="1" customHeight="1" x14ac:dyDescent="0.25">
      <c r="B161" s="456">
        <f>IF(LEFT(C161,16)="Terima Pajak PPN",VLOOKUP(P161,COPY!$A$1:$AC$1000,21,FALSE),IF(LEFT(C161,16)="Terima Pajak PPH",VLOOKUP(P161,COPY!$A$1:$AC$1000,21,FALSE),IF(LEFT(C161,13)="Terima PPh 23",VLOOKUP(P161,COPY!$A$1:$AC$1000,21,FALSE),0)))</f>
        <v>0</v>
      </c>
      <c r="C161" s="457">
        <f>IFERROR(IF(LEFT(VLOOKUP(P161,COPY!$A$1:$AC$1000,29,FALSE),5)="Terim",VLOOKUP(P161,COPY!$A$1:$AC$1000,29,FALSE),0),0)</f>
        <v>0</v>
      </c>
      <c r="D161" s="457"/>
      <c r="E161" s="457"/>
      <c r="F161" s="458">
        <f>IFERROR(IF(LEFT(VLOOKUP(P161,COPY!$A$1:$AC$1000,29,FALSE),5)="Terim",VLOOKUP(P161,COPY!$A$1:$AC$1000,26,FALSE),0),0)</f>
        <v>0</v>
      </c>
      <c r="G161" s="459">
        <f>IFERROR(VLOOKUP(P161,COPY!$A$1:$L$1000,4,FALSE),0)</f>
        <v>0</v>
      </c>
      <c r="H161" s="457">
        <f>IFERROR(VLOOKUP(P161,COPY!$A$1:$L$1000,2,FALSE),0)</f>
        <v>0</v>
      </c>
      <c r="I161" s="510">
        <f>IFERROR(VLOOKUP(P161,COPY!$A$1:$L$1000,10,FALSE),0)</f>
        <v>0</v>
      </c>
      <c r="J161" s="467">
        <f>IFERROR(VLOOKUP(P161,COPY!$A$1:$L$1000,8,FALSE),0)</f>
        <v>0</v>
      </c>
      <c r="K161" s="457">
        <f>IFERROR(VLOOKUP(P161,COPY!$A$1:$L$1000,7,FALSE),0)</f>
        <v>0</v>
      </c>
      <c r="L161" s="468">
        <f>IFERROR(VLOOKUP(P161,COPY!$A$1:$O$1000,15,FALSE),0)</f>
        <v>0</v>
      </c>
      <c r="M161" s="468">
        <f>IFERROR(VLOOKUP(P161,COPY!$A$1:$L$1000,12,FALSE),0)</f>
        <v>0</v>
      </c>
      <c r="N161" s="471">
        <f>IF(H161="Jasa",VLOOKUP('BKU 1'!K161,'Rekap Gaji'!$D$12:$I$24,6,FALSE),(IF(H161="Beli",VLOOKUP(P161,COPY!$A$1:$L$1000,11,FALSE),IF(H161="Bayar Ongkos",VLOOKUP(K161,'Rekap Gaji'!$D$12:$I$24,6,FALSE),0))))</f>
        <v>0</v>
      </c>
      <c r="O161" s="470"/>
      <c r="P161" s="466" t="str">
        <f t="shared" si="20"/>
        <v>1.0</v>
      </c>
      <c r="Q161" s="253">
        <f t="shared" si="16"/>
        <v>0</v>
      </c>
      <c r="R161" s="253">
        <f t="shared" si="17"/>
        <v>0</v>
      </c>
      <c r="S161" s="449">
        <f t="shared" si="18"/>
        <v>129</v>
      </c>
      <c r="T161" s="253">
        <f t="shared" si="19"/>
        <v>20</v>
      </c>
      <c r="U161" s="457" t="str">
        <f t="shared" ref="U161:U186" si="21">IF(LEFT(C161,16)="terima Pajak PPN",1,IF(LEFT(C161,16)="terima Pajak PPH",2,IF(LEFT(C161,21)="Bayar Pajak Final PPH",3," ")))</f>
        <v xml:space="preserve"> </v>
      </c>
    </row>
    <row r="162" spans="2:21" ht="20.100000000000001" hidden="1" customHeight="1" x14ac:dyDescent="0.25">
      <c r="B162" s="456">
        <f>IF(LEFT(C162,16)="Terima Pajak PPN",VLOOKUP(P162,COPY!$A$1:$AC$1000,21,FALSE),IF(LEFT(C162,16)="Terima Pajak PPH",VLOOKUP(P162,COPY!$A$1:$AC$1000,21,FALSE),IF(LEFT(C162,13)="Terima PPh 23",VLOOKUP(P162,COPY!$A$1:$AC$1000,21,FALSE),0)))</f>
        <v>0</v>
      </c>
      <c r="C162" s="457">
        <f>IFERROR(IF(LEFT(VLOOKUP(P162,COPY!$A$1:$AC$1000,29,FALSE),5)="Terim",VLOOKUP(P162,COPY!$A$1:$AC$1000,29,FALSE),0),0)</f>
        <v>0</v>
      </c>
      <c r="D162" s="457"/>
      <c r="E162" s="457"/>
      <c r="F162" s="458">
        <f>IFERROR(IF(LEFT(VLOOKUP(P162,COPY!$A$1:$AC$1000,29,FALSE),5)="Terim",VLOOKUP(P162,COPY!$A$1:$AC$1000,26,FALSE),0),0)</f>
        <v>0</v>
      </c>
      <c r="G162" s="459">
        <f>IFERROR(VLOOKUP(P162,COPY!$A$1:$L$1000,4,FALSE),0)</f>
        <v>0</v>
      </c>
      <c r="H162" s="457">
        <f>IFERROR(VLOOKUP(P162,COPY!$A$1:$L$1000,2,FALSE),0)</f>
        <v>0</v>
      </c>
      <c r="I162" s="510">
        <f>IFERROR(VLOOKUP(P162,COPY!$A$1:$L$1000,10,FALSE),0)</f>
        <v>0</v>
      </c>
      <c r="J162" s="467">
        <f>IFERROR(VLOOKUP(P162,COPY!$A$1:$L$1000,8,FALSE),0)</f>
        <v>0</v>
      </c>
      <c r="K162" s="457">
        <f>IFERROR(VLOOKUP(P162,COPY!$A$1:$L$1000,7,FALSE),0)</f>
        <v>0</v>
      </c>
      <c r="L162" s="468">
        <f>IFERROR(VLOOKUP(P162,COPY!$A$1:$O$1000,15,FALSE),0)</f>
        <v>0</v>
      </c>
      <c r="M162" s="468">
        <f>IFERROR(VLOOKUP(P162,COPY!$A$1:$L$1000,12,FALSE),0)</f>
        <v>0</v>
      </c>
      <c r="N162" s="471">
        <f>IF(H162="Jasa",VLOOKUP('BKU 1'!K162,'Rekap Gaji'!$D$12:$I$24,6,FALSE),(IF(H162="Beli",VLOOKUP(P162,COPY!$A$1:$L$1000,11,FALSE),IF(H162="Bayar Ongkos",VLOOKUP(K162,'Rekap Gaji'!$D$12:$I$24,6,FALSE),0))))</f>
        <v>0</v>
      </c>
      <c r="O162" s="470"/>
      <c r="P162" s="466" t="str">
        <f t="shared" si="20"/>
        <v>1.0</v>
      </c>
      <c r="Q162" s="253">
        <f t="shared" si="16"/>
        <v>0</v>
      </c>
      <c r="R162" s="253">
        <f t="shared" si="17"/>
        <v>0</v>
      </c>
      <c r="S162" s="449">
        <f t="shared" si="18"/>
        <v>130</v>
      </c>
      <c r="T162" s="253">
        <f t="shared" si="19"/>
        <v>21</v>
      </c>
      <c r="U162" s="457" t="str">
        <f t="shared" si="21"/>
        <v xml:space="preserve"> </v>
      </c>
    </row>
    <row r="163" spans="2:21" ht="20.100000000000001" hidden="1" customHeight="1" x14ac:dyDescent="0.25">
      <c r="B163" s="456">
        <f>IF(LEFT(C163,16)="Terima Pajak PPN",VLOOKUP(P163,COPY!$A$1:$AC$1000,21,FALSE),IF(LEFT(C163,16)="Terima Pajak PPH",VLOOKUP(P163,COPY!$A$1:$AC$1000,21,FALSE),IF(LEFT(C163,13)="Terima PPh 23",VLOOKUP(P163,COPY!$A$1:$AC$1000,21,FALSE),0)))</f>
        <v>0</v>
      </c>
      <c r="C163" s="457">
        <f>IFERROR(IF(LEFT(VLOOKUP(P163,COPY!$A$1:$AC$1000,29,FALSE),5)="Terim",VLOOKUP(P163,COPY!$A$1:$AC$1000,29,FALSE),0),0)</f>
        <v>0</v>
      </c>
      <c r="D163" s="457"/>
      <c r="E163" s="457"/>
      <c r="F163" s="458">
        <f>IFERROR(IF(LEFT(VLOOKUP(P163,COPY!$A$1:$AC$1000,29,FALSE),5)="Terim",VLOOKUP(P163,COPY!$A$1:$AC$1000,26,FALSE),0),0)</f>
        <v>0</v>
      </c>
      <c r="G163" s="459">
        <f>IFERROR(VLOOKUP(P163,COPY!$A$1:$L$1000,4,FALSE),0)</f>
        <v>0</v>
      </c>
      <c r="H163" s="457">
        <f>IFERROR(VLOOKUP(P163,COPY!$A$1:$L$1000,2,FALSE),0)</f>
        <v>0</v>
      </c>
      <c r="I163" s="510">
        <f>IFERROR(VLOOKUP(P163,COPY!$A$1:$L$1000,10,FALSE),0)</f>
        <v>0</v>
      </c>
      <c r="J163" s="467">
        <f>IFERROR(VLOOKUP(P163,COPY!$A$1:$L$1000,8,FALSE),0)</f>
        <v>0</v>
      </c>
      <c r="K163" s="457">
        <f>IFERROR(VLOOKUP(P163,COPY!$A$1:$L$1000,7,FALSE),0)</f>
        <v>0</v>
      </c>
      <c r="L163" s="468">
        <f>IFERROR(VLOOKUP(P163,COPY!$A$1:$O$1000,15,FALSE),0)</f>
        <v>0</v>
      </c>
      <c r="M163" s="468">
        <f>IFERROR(VLOOKUP(P163,COPY!$A$1:$L$1000,12,FALSE),0)</f>
        <v>0</v>
      </c>
      <c r="N163" s="471">
        <f>IF(H163="Jasa",VLOOKUP('BKU 1'!K163,'Rekap Gaji'!$D$12:$I$24,6,FALSE),(IF(H163="Beli",VLOOKUP(P163,COPY!$A$1:$L$1000,11,FALSE),IF(H163="Bayar Ongkos",VLOOKUP(K163,'Rekap Gaji'!$D$12:$I$24,6,FALSE),0))))</f>
        <v>0</v>
      </c>
      <c r="O163" s="470"/>
      <c r="P163" s="466" t="str">
        <f t="shared" si="20"/>
        <v>1.0</v>
      </c>
      <c r="Q163" s="253">
        <f t="shared" si="16"/>
        <v>0</v>
      </c>
      <c r="R163" s="253">
        <f t="shared" si="17"/>
        <v>0</v>
      </c>
      <c r="S163" s="449">
        <f t="shared" si="18"/>
        <v>131</v>
      </c>
      <c r="T163" s="253">
        <f t="shared" si="19"/>
        <v>22</v>
      </c>
      <c r="U163" s="457" t="str">
        <f t="shared" si="21"/>
        <v xml:space="preserve"> </v>
      </c>
    </row>
    <row r="164" spans="2:21" ht="20.100000000000001" hidden="1" customHeight="1" x14ac:dyDescent="0.25">
      <c r="B164" s="456">
        <f>IF(LEFT(C164,16)="Terima Pajak PPN",VLOOKUP(P164,COPY!$A$1:$AC$1000,21,FALSE),IF(LEFT(C164,16)="Terima Pajak PPH",VLOOKUP(P164,COPY!$A$1:$AC$1000,21,FALSE),IF(LEFT(C164,13)="Terima PPh 23",VLOOKUP(P164,COPY!$A$1:$AC$1000,21,FALSE),0)))</f>
        <v>0</v>
      </c>
      <c r="C164" s="457">
        <f>IFERROR(IF(LEFT(VLOOKUP(P164,COPY!$A$1:$AC$1000,29,FALSE),5)="Terim",VLOOKUP(P164,COPY!$A$1:$AC$1000,29,FALSE),0),0)</f>
        <v>0</v>
      </c>
      <c r="D164" s="457"/>
      <c r="E164" s="457"/>
      <c r="F164" s="458">
        <f>IFERROR(IF(LEFT(VLOOKUP(P164,COPY!$A$1:$AC$1000,29,FALSE),5)="Terim",VLOOKUP(P164,COPY!$A$1:$AC$1000,26,FALSE),0),0)</f>
        <v>0</v>
      </c>
      <c r="G164" s="459">
        <f>IFERROR(VLOOKUP(P164,COPY!$A$1:$L$1000,4,FALSE),0)</f>
        <v>0</v>
      </c>
      <c r="H164" s="457">
        <f>IFERROR(VLOOKUP(P164,COPY!$A$1:$L$1000,2,FALSE),0)</f>
        <v>0</v>
      </c>
      <c r="I164" s="510">
        <f>IFERROR(VLOOKUP(P164,COPY!$A$1:$L$1000,10,FALSE),0)</f>
        <v>0</v>
      </c>
      <c r="J164" s="467">
        <f>IFERROR(VLOOKUP(P164,COPY!$A$1:$L$1000,8,FALSE),0)</f>
        <v>0</v>
      </c>
      <c r="K164" s="457">
        <f>IFERROR(VLOOKUP(P164,COPY!$A$1:$L$1000,7,FALSE),0)</f>
        <v>0</v>
      </c>
      <c r="L164" s="468">
        <f>IFERROR(VLOOKUP(P164,COPY!$A$1:$O$1000,15,FALSE),0)</f>
        <v>0</v>
      </c>
      <c r="M164" s="468">
        <f>IFERROR(VLOOKUP(P164,COPY!$A$1:$L$1000,12,FALSE),0)</f>
        <v>0</v>
      </c>
      <c r="N164" s="471">
        <f>IF(H164="Jasa",VLOOKUP('BKU 1'!K164,'Rekap Gaji'!$D$12:$I$24,6,FALSE),(IF(H164="Beli",VLOOKUP(P164,COPY!$A$1:$L$1000,11,FALSE),IF(H164="Bayar Ongkos",VLOOKUP(K164,'Rekap Gaji'!$D$12:$I$24,6,FALSE),0))))</f>
        <v>0</v>
      </c>
      <c r="O164" s="470"/>
      <c r="P164" s="466" t="str">
        <f t="shared" si="20"/>
        <v>1.0</v>
      </c>
      <c r="Q164" s="253">
        <f t="shared" si="16"/>
        <v>0</v>
      </c>
      <c r="R164" s="253">
        <f t="shared" si="17"/>
        <v>0</v>
      </c>
      <c r="S164" s="449">
        <f t="shared" si="18"/>
        <v>132</v>
      </c>
      <c r="T164" s="253">
        <f t="shared" si="19"/>
        <v>23</v>
      </c>
      <c r="U164" s="457" t="str">
        <f t="shared" si="21"/>
        <v xml:space="preserve"> </v>
      </c>
    </row>
    <row r="165" spans="2:21" ht="20.100000000000001" hidden="1" customHeight="1" x14ac:dyDescent="0.25">
      <c r="B165" s="456">
        <f>IF(LEFT(C165,16)="Terima Pajak PPN",VLOOKUP(P165,COPY!$A$1:$AC$1000,21,FALSE),IF(LEFT(C165,16)="Terima Pajak PPH",VLOOKUP(P165,COPY!$A$1:$AC$1000,21,FALSE),IF(LEFT(C165,13)="Terima PPh 23",VLOOKUP(P165,COPY!$A$1:$AC$1000,21,FALSE),0)))</f>
        <v>0</v>
      </c>
      <c r="C165" s="457">
        <f>IFERROR(IF(LEFT(VLOOKUP(P165,COPY!$A$1:$AC$1000,29,FALSE),5)="Terim",VLOOKUP(P165,COPY!$A$1:$AC$1000,29,FALSE),0),0)</f>
        <v>0</v>
      </c>
      <c r="D165" s="457"/>
      <c r="E165" s="457"/>
      <c r="F165" s="458">
        <f>IFERROR(IF(LEFT(VLOOKUP(P165,COPY!$A$1:$AC$1000,29,FALSE),5)="Terim",VLOOKUP(P165,COPY!$A$1:$AC$1000,26,FALSE),0),0)</f>
        <v>0</v>
      </c>
      <c r="G165" s="459">
        <f>IFERROR(VLOOKUP(P165,COPY!$A$1:$L$1000,4,FALSE),0)</f>
        <v>0</v>
      </c>
      <c r="H165" s="457">
        <f>IFERROR(VLOOKUP(P165,COPY!$A$1:$L$1000,2,FALSE),0)</f>
        <v>0</v>
      </c>
      <c r="I165" s="510">
        <f>IFERROR(VLOOKUP(P165,COPY!$A$1:$L$1000,10,FALSE),0)</f>
        <v>0</v>
      </c>
      <c r="J165" s="467">
        <f>IFERROR(VLOOKUP(P165,COPY!$A$1:$L$1000,8,FALSE),0)</f>
        <v>0</v>
      </c>
      <c r="K165" s="457">
        <f>IFERROR(VLOOKUP(P165,COPY!$A$1:$L$1000,7,FALSE),0)</f>
        <v>0</v>
      </c>
      <c r="L165" s="468">
        <f>IFERROR(VLOOKUP(P165,COPY!$A$1:$O$1000,15,FALSE),0)</f>
        <v>0</v>
      </c>
      <c r="M165" s="468">
        <f>IFERROR(VLOOKUP(P165,COPY!$A$1:$L$1000,12,FALSE),0)</f>
        <v>0</v>
      </c>
      <c r="N165" s="471">
        <f>IF(H165="Jasa",VLOOKUP('BKU 1'!K165,'Rekap Gaji'!$D$12:$I$24,6,FALSE),(IF(H165="Beli",VLOOKUP(P165,COPY!$A$1:$L$1000,11,FALSE),IF(H165="Bayar Ongkos",VLOOKUP(K165,'Rekap Gaji'!$D$12:$I$24,6,FALSE),0))))</f>
        <v>0</v>
      </c>
      <c r="O165" s="470"/>
      <c r="P165" s="466" t="str">
        <f t="shared" si="20"/>
        <v>1.0</v>
      </c>
      <c r="Q165" s="253">
        <f t="shared" si="16"/>
        <v>0</v>
      </c>
      <c r="R165" s="253">
        <f t="shared" si="17"/>
        <v>0</v>
      </c>
      <c r="S165" s="449">
        <f t="shared" si="18"/>
        <v>133</v>
      </c>
      <c r="T165" s="253">
        <f t="shared" si="19"/>
        <v>24</v>
      </c>
      <c r="U165" s="457" t="str">
        <f t="shared" si="21"/>
        <v xml:space="preserve"> </v>
      </c>
    </row>
    <row r="166" spans="2:21" ht="20.100000000000001" hidden="1" customHeight="1" x14ac:dyDescent="0.25">
      <c r="B166" s="456">
        <f>IF(LEFT(C166,16)="Terima Pajak PPN",VLOOKUP(P166,COPY!$A$1:$AC$1000,21,FALSE),IF(LEFT(C166,16)="Terima Pajak PPH",VLOOKUP(P166,COPY!$A$1:$AC$1000,21,FALSE),IF(LEFT(C166,13)="Terima PPh 23",VLOOKUP(P166,COPY!$A$1:$AC$1000,21,FALSE),0)))</f>
        <v>0</v>
      </c>
      <c r="C166" s="457">
        <f>IFERROR(IF(LEFT(VLOOKUP(P166,COPY!$A$1:$AC$1000,29,FALSE),5)="Terim",VLOOKUP(P166,COPY!$A$1:$AC$1000,29,FALSE),0),0)</f>
        <v>0</v>
      </c>
      <c r="D166" s="457"/>
      <c r="E166" s="457"/>
      <c r="F166" s="458">
        <f>IFERROR(IF(LEFT(VLOOKUP(P166,COPY!$A$1:$AC$1000,29,FALSE),5)="Terim",VLOOKUP(P166,COPY!$A$1:$AC$1000,26,FALSE),0),0)</f>
        <v>0</v>
      </c>
      <c r="G166" s="459">
        <f>IFERROR(VLOOKUP(P166,COPY!$A$1:$L$1000,4,FALSE),0)</f>
        <v>0</v>
      </c>
      <c r="H166" s="457">
        <f>IFERROR(VLOOKUP(P166,COPY!$A$1:$L$1000,2,FALSE),0)</f>
        <v>0</v>
      </c>
      <c r="I166" s="510">
        <f>IFERROR(VLOOKUP(P166,COPY!$A$1:$L$1000,10,FALSE),0)</f>
        <v>0</v>
      </c>
      <c r="J166" s="467">
        <f>IFERROR(VLOOKUP(P166,COPY!$A$1:$L$1000,8,FALSE),0)</f>
        <v>0</v>
      </c>
      <c r="K166" s="457">
        <f>IFERROR(VLOOKUP(P166,COPY!$A$1:$L$1000,7,FALSE),0)</f>
        <v>0</v>
      </c>
      <c r="L166" s="468">
        <f>IFERROR(VLOOKUP(P166,COPY!$A$1:$O$1000,15,FALSE),0)</f>
        <v>0</v>
      </c>
      <c r="M166" s="468">
        <f>IFERROR(VLOOKUP(P166,COPY!$A$1:$L$1000,12,FALSE),0)</f>
        <v>0</v>
      </c>
      <c r="N166" s="471">
        <f>IF(H166="Jasa",VLOOKUP('BKU 1'!K166,'Rekap Gaji'!$D$12:$I$24,6,FALSE),(IF(H166="Beli",VLOOKUP(P166,COPY!$A$1:$L$1000,11,FALSE),IF(H166="Bayar Ongkos",VLOOKUP(K166,'Rekap Gaji'!$D$12:$I$24,6,FALSE),0))))</f>
        <v>0</v>
      </c>
      <c r="O166" s="470"/>
      <c r="P166" s="466" t="str">
        <f t="shared" si="20"/>
        <v>1.0</v>
      </c>
      <c r="Q166" s="253">
        <f t="shared" si="16"/>
        <v>0</v>
      </c>
      <c r="R166" s="253">
        <f t="shared" si="17"/>
        <v>0</v>
      </c>
      <c r="S166" s="449">
        <f t="shared" si="18"/>
        <v>134</v>
      </c>
      <c r="T166" s="253">
        <f t="shared" si="19"/>
        <v>25</v>
      </c>
      <c r="U166" s="457" t="str">
        <f t="shared" si="21"/>
        <v xml:space="preserve"> </v>
      </c>
    </row>
    <row r="167" spans="2:21" ht="20.100000000000001" hidden="1" customHeight="1" x14ac:dyDescent="0.25">
      <c r="B167" s="456">
        <f>IF(LEFT(C167,16)="Terima Pajak PPN",VLOOKUP(P167,COPY!$A$1:$AC$1000,21,FALSE),IF(LEFT(C167,16)="Terima Pajak PPH",VLOOKUP(P167,COPY!$A$1:$AC$1000,21,FALSE),IF(LEFT(C167,13)="Terima PPh 23",VLOOKUP(P167,COPY!$A$1:$AC$1000,21,FALSE),0)))</f>
        <v>0</v>
      </c>
      <c r="C167" s="457">
        <f>IFERROR(IF(LEFT(VLOOKUP(P167,COPY!$A$1:$AC$1000,29,FALSE),5)="Terim",VLOOKUP(P167,COPY!$A$1:$AC$1000,29,FALSE),0),0)</f>
        <v>0</v>
      </c>
      <c r="D167" s="457"/>
      <c r="E167" s="457"/>
      <c r="F167" s="458">
        <f>IFERROR(IF(LEFT(VLOOKUP(P167,COPY!$A$1:$AC$1000,29,FALSE),5)="Terim",VLOOKUP(P167,COPY!$A$1:$AC$1000,26,FALSE),0),0)</f>
        <v>0</v>
      </c>
      <c r="G167" s="459">
        <f>IFERROR(VLOOKUP(P167,COPY!$A$1:$L$1000,4,FALSE),0)</f>
        <v>0</v>
      </c>
      <c r="H167" s="457">
        <f>IFERROR(VLOOKUP(P167,COPY!$A$1:$L$1000,2,FALSE),0)</f>
        <v>0</v>
      </c>
      <c r="I167" s="510">
        <f>IFERROR(VLOOKUP(P167,COPY!$A$1:$L$1000,10,FALSE),0)</f>
        <v>0</v>
      </c>
      <c r="J167" s="467">
        <f>IFERROR(VLOOKUP(P167,COPY!$A$1:$L$1000,8,FALSE),0)</f>
        <v>0</v>
      </c>
      <c r="K167" s="457">
        <f>IFERROR(VLOOKUP(P167,COPY!$A$1:$L$1000,7,FALSE),0)</f>
        <v>0</v>
      </c>
      <c r="L167" s="468">
        <f>IFERROR(VLOOKUP(P167,COPY!$A$1:$O$1000,15,FALSE),0)</f>
        <v>0</v>
      </c>
      <c r="M167" s="468">
        <f>IFERROR(VLOOKUP(P167,COPY!$A$1:$L$1000,12,FALSE),0)</f>
        <v>0</v>
      </c>
      <c r="N167" s="471">
        <f>IF(H167="Jasa",VLOOKUP('BKU 1'!K167,'Rekap Gaji'!$D$12:$I$24,6,FALSE),(IF(H167="Beli",VLOOKUP(P167,COPY!$A$1:$L$1000,11,FALSE),IF(H167="Bayar Ongkos",VLOOKUP(K167,'Rekap Gaji'!$D$12:$I$24,6,FALSE),0))))</f>
        <v>0</v>
      </c>
      <c r="O167" s="470"/>
      <c r="P167" s="466" t="str">
        <f t="shared" si="20"/>
        <v>1.0</v>
      </c>
      <c r="Q167" s="253">
        <f t="shared" si="16"/>
        <v>0</v>
      </c>
      <c r="R167" s="253">
        <f t="shared" si="17"/>
        <v>0</v>
      </c>
      <c r="S167" s="449">
        <f t="shared" si="18"/>
        <v>135</v>
      </c>
      <c r="T167" s="253">
        <f t="shared" si="19"/>
        <v>26</v>
      </c>
      <c r="U167" s="457" t="str">
        <f t="shared" si="21"/>
        <v xml:space="preserve"> </v>
      </c>
    </row>
    <row r="168" spans="2:21" ht="20.100000000000001" hidden="1" customHeight="1" x14ac:dyDescent="0.25">
      <c r="B168" s="456">
        <f>IF(LEFT(C168,16)="Terima Pajak PPN",VLOOKUP(P168,COPY!$A$1:$AC$1000,21,FALSE),IF(LEFT(C168,16)="Terima Pajak PPH",VLOOKUP(P168,COPY!$A$1:$AC$1000,21,FALSE),IF(LEFT(C168,13)="Terima PPh 23",VLOOKUP(P168,COPY!$A$1:$AC$1000,21,FALSE),0)))</f>
        <v>0</v>
      </c>
      <c r="C168" s="457">
        <f>IFERROR(IF(LEFT(VLOOKUP(P168,COPY!$A$1:$AC$1000,29,FALSE),5)="Terim",VLOOKUP(P168,COPY!$A$1:$AC$1000,29,FALSE),0),0)</f>
        <v>0</v>
      </c>
      <c r="D168" s="457"/>
      <c r="E168" s="457"/>
      <c r="F168" s="458">
        <f>IFERROR(IF(LEFT(VLOOKUP(P168,COPY!$A$1:$AC$1000,29,FALSE),5)="Terim",VLOOKUP(P168,COPY!$A$1:$AC$1000,26,FALSE),0),0)</f>
        <v>0</v>
      </c>
      <c r="G168" s="459">
        <f>IFERROR(VLOOKUP(P168,COPY!$A$1:$L$1000,4,FALSE),0)</f>
        <v>0</v>
      </c>
      <c r="H168" s="457">
        <f>IFERROR(VLOOKUP(P168,COPY!$A$1:$L$1000,2,FALSE),0)</f>
        <v>0</v>
      </c>
      <c r="I168" s="510">
        <f>IFERROR(VLOOKUP(P168,COPY!$A$1:$L$1000,10,FALSE),0)</f>
        <v>0</v>
      </c>
      <c r="J168" s="467">
        <f>IFERROR(VLOOKUP(P168,COPY!$A$1:$L$1000,8,FALSE),0)</f>
        <v>0</v>
      </c>
      <c r="K168" s="457">
        <f>IFERROR(VLOOKUP(P168,COPY!$A$1:$L$1000,7,FALSE),0)</f>
        <v>0</v>
      </c>
      <c r="L168" s="468">
        <f>IFERROR(VLOOKUP(P168,COPY!$A$1:$O$1000,15,FALSE),0)</f>
        <v>0</v>
      </c>
      <c r="M168" s="468">
        <f>IFERROR(VLOOKUP(P168,COPY!$A$1:$L$1000,12,FALSE),0)</f>
        <v>0</v>
      </c>
      <c r="N168" s="471">
        <f>IF(H168="Jasa",VLOOKUP('BKU 1'!K168,'Rekap Gaji'!$D$12:$I$24,6,FALSE),(IF(H168="Beli",VLOOKUP(P168,COPY!$A$1:$L$1000,11,FALSE),IF(H168="Bayar Ongkos",VLOOKUP(K168,'Rekap Gaji'!$D$12:$I$24,6,FALSE),0))))</f>
        <v>0</v>
      </c>
      <c r="O168" s="470"/>
      <c r="P168" s="466" t="str">
        <f t="shared" si="20"/>
        <v>1.0</v>
      </c>
      <c r="Q168" s="253">
        <f t="shared" si="16"/>
        <v>0</v>
      </c>
      <c r="R168" s="253">
        <f t="shared" si="17"/>
        <v>0</v>
      </c>
      <c r="S168" s="449">
        <f t="shared" si="18"/>
        <v>136</v>
      </c>
      <c r="T168" s="253">
        <f t="shared" si="19"/>
        <v>27</v>
      </c>
      <c r="U168" s="457" t="str">
        <f t="shared" si="21"/>
        <v xml:space="preserve"> </v>
      </c>
    </row>
    <row r="169" spans="2:21" ht="20.100000000000001" hidden="1" customHeight="1" x14ac:dyDescent="0.25">
      <c r="B169" s="456">
        <f>IF(LEFT(C169,16)="Terima Pajak PPN",VLOOKUP(P169,COPY!$A$1:$AC$1000,21,FALSE),IF(LEFT(C169,16)="Terima Pajak PPH",VLOOKUP(P169,COPY!$A$1:$AC$1000,21,FALSE),IF(LEFT(C169,13)="Terima PPh 23",VLOOKUP(P169,COPY!$A$1:$AC$1000,21,FALSE),0)))</f>
        <v>0</v>
      </c>
      <c r="C169" s="457">
        <f>IFERROR(IF(LEFT(VLOOKUP(P169,COPY!$A$1:$AC$1000,29,FALSE),5)="Terim",VLOOKUP(P169,COPY!$A$1:$AC$1000,29,FALSE),0),0)</f>
        <v>0</v>
      </c>
      <c r="D169" s="457"/>
      <c r="E169" s="457"/>
      <c r="F169" s="458">
        <f>IFERROR(IF(LEFT(VLOOKUP(P169,COPY!$A$1:$AC$1000,29,FALSE),5)="Terim",VLOOKUP(P169,COPY!$A$1:$AC$1000,26,FALSE),0),0)</f>
        <v>0</v>
      </c>
      <c r="G169" s="459">
        <f>IFERROR(VLOOKUP(P169,COPY!$A$1:$L$1000,4,FALSE),0)</f>
        <v>0</v>
      </c>
      <c r="H169" s="457">
        <f>IFERROR(VLOOKUP(P169,COPY!$A$1:$L$1000,2,FALSE),0)</f>
        <v>0</v>
      </c>
      <c r="I169" s="510">
        <f>IFERROR(VLOOKUP(P169,COPY!$A$1:$L$1000,10,FALSE),0)</f>
        <v>0</v>
      </c>
      <c r="J169" s="467">
        <f>IFERROR(VLOOKUP(P169,COPY!$A$1:$L$1000,8,FALSE),0)</f>
        <v>0</v>
      </c>
      <c r="K169" s="457">
        <f>IFERROR(VLOOKUP(P169,COPY!$A$1:$L$1000,7,FALSE),0)</f>
        <v>0</v>
      </c>
      <c r="L169" s="468">
        <f>IFERROR(VLOOKUP(P169,COPY!$A$1:$O$1000,15,FALSE),0)</f>
        <v>0</v>
      </c>
      <c r="M169" s="468">
        <f>IFERROR(VLOOKUP(P169,COPY!$A$1:$L$1000,12,FALSE),0)</f>
        <v>0</v>
      </c>
      <c r="N169" s="471">
        <f>IF(H169="Jasa",VLOOKUP('BKU 1'!K169,'Rekap Gaji'!$D$12:$I$24,6,FALSE),(IF(H169="Beli",VLOOKUP(P169,COPY!$A$1:$L$1000,11,FALSE),IF(H169="Bayar Ongkos",VLOOKUP(K169,'Rekap Gaji'!$D$12:$I$24,6,FALSE),0))))</f>
        <v>0</v>
      </c>
      <c r="O169" s="470"/>
      <c r="P169" s="466" t="str">
        <f t="shared" ref="P169:P185" si="22">$D$24&amp;"."&amp;Q169</f>
        <v>1.0</v>
      </c>
      <c r="Q169" s="253">
        <f t="shared" si="16"/>
        <v>0</v>
      </c>
      <c r="R169" s="253">
        <f t="shared" si="17"/>
        <v>0</v>
      </c>
      <c r="S169" s="449">
        <f t="shared" si="18"/>
        <v>137</v>
      </c>
      <c r="T169" s="253">
        <f t="shared" si="19"/>
        <v>28</v>
      </c>
      <c r="U169" s="457" t="str">
        <f t="shared" si="21"/>
        <v xml:space="preserve"> </v>
      </c>
    </row>
    <row r="170" spans="2:21" ht="20.100000000000001" hidden="1" customHeight="1" x14ac:dyDescent="0.25">
      <c r="B170" s="456">
        <f>IF(LEFT(C170,16)="Terima Pajak PPN",VLOOKUP(P170,COPY!$A$1:$AC$1000,21,FALSE),IF(LEFT(C170,16)="Terima Pajak PPH",VLOOKUP(P170,COPY!$A$1:$AC$1000,21,FALSE),IF(LEFT(C170,13)="Terima PPh 23",VLOOKUP(P170,COPY!$A$1:$AC$1000,21,FALSE),0)))</f>
        <v>0</v>
      </c>
      <c r="C170" s="457">
        <f>IFERROR(IF(LEFT(VLOOKUP(P170,COPY!$A$1:$AC$1000,29,FALSE),5)="Terim",VLOOKUP(P170,COPY!$A$1:$AC$1000,29,FALSE),0),0)</f>
        <v>0</v>
      </c>
      <c r="D170" s="457"/>
      <c r="E170" s="457"/>
      <c r="F170" s="458">
        <f>IFERROR(IF(LEFT(VLOOKUP(P170,COPY!$A$1:$AC$1000,29,FALSE),5)="Terim",VLOOKUP(P170,COPY!$A$1:$AC$1000,26,FALSE),0),0)</f>
        <v>0</v>
      </c>
      <c r="G170" s="459">
        <f>IFERROR(VLOOKUP(P170,COPY!$A$1:$L$1000,4,FALSE),0)</f>
        <v>0</v>
      </c>
      <c r="H170" s="457">
        <f>IFERROR(VLOOKUP(P170,COPY!$A$1:$L$1000,2,FALSE),0)</f>
        <v>0</v>
      </c>
      <c r="I170" s="510">
        <f>IFERROR(VLOOKUP(P170,COPY!$A$1:$L$1000,10,FALSE),0)</f>
        <v>0</v>
      </c>
      <c r="J170" s="467">
        <f>IFERROR(VLOOKUP(P170,COPY!$A$1:$L$1000,8,FALSE),0)</f>
        <v>0</v>
      </c>
      <c r="K170" s="457">
        <f>IFERROR(VLOOKUP(P170,COPY!$A$1:$L$1000,7,FALSE),0)</f>
        <v>0</v>
      </c>
      <c r="L170" s="468">
        <f>IFERROR(VLOOKUP(P170,COPY!$A$1:$O$1000,15,FALSE),0)</f>
        <v>0</v>
      </c>
      <c r="M170" s="468">
        <f>IFERROR(VLOOKUP(P170,COPY!$A$1:$L$1000,12,FALSE),0)</f>
        <v>0</v>
      </c>
      <c r="N170" s="471">
        <f>IF(H170="Jasa",VLOOKUP('BKU 1'!K170,'Rekap Gaji'!$D$12:$I$24,6,FALSE),(IF(H170="Beli",VLOOKUP(P170,COPY!$A$1:$L$1000,11,FALSE),IF(H170="Bayar Ongkos",VLOOKUP(K170,'Rekap Gaji'!$D$12:$I$24,6,FALSE),0))))</f>
        <v>0</v>
      </c>
      <c r="O170" s="470"/>
      <c r="P170" s="466" t="str">
        <f t="shared" si="22"/>
        <v>1.0</v>
      </c>
      <c r="Q170" s="253">
        <f t="shared" si="16"/>
        <v>0</v>
      </c>
      <c r="R170" s="253">
        <f t="shared" si="17"/>
        <v>0</v>
      </c>
      <c r="S170" s="449">
        <f t="shared" si="18"/>
        <v>138</v>
      </c>
      <c r="T170" s="253">
        <f t="shared" si="19"/>
        <v>29</v>
      </c>
      <c r="U170" s="457" t="str">
        <f t="shared" si="21"/>
        <v xml:space="preserve"> </v>
      </c>
    </row>
    <row r="171" spans="2:21" ht="20.100000000000001" hidden="1" customHeight="1" x14ac:dyDescent="0.25">
      <c r="B171" s="456">
        <f>IF(LEFT(C171,16)="Terima Pajak PPN",VLOOKUP(P171,COPY!$A$1:$AC$1000,21,FALSE),IF(LEFT(C171,16)="Terima Pajak PPH",VLOOKUP(P171,COPY!$A$1:$AC$1000,21,FALSE),IF(LEFT(C171,13)="Terima PPh 23",VLOOKUP(P171,COPY!$A$1:$AC$1000,21,FALSE),0)))</f>
        <v>0</v>
      </c>
      <c r="C171" s="457">
        <f>IFERROR(IF(LEFT(VLOOKUP(P171,COPY!$A$1:$AC$1000,29,FALSE),5)="Terim",VLOOKUP(P171,COPY!$A$1:$AC$1000,29,FALSE),0),0)</f>
        <v>0</v>
      </c>
      <c r="D171" s="457"/>
      <c r="E171" s="457"/>
      <c r="F171" s="458">
        <f>IFERROR(IF(LEFT(VLOOKUP(P171,COPY!$A$1:$AC$1000,29,FALSE),5)="Terim",VLOOKUP(P171,COPY!$A$1:$AC$1000,26,FALSE),0),0)</f>
        <v>0</v>
      </c>
      <c r="G171" s="459">
        <f>IFERROR(VLOOKUP(P171,COPY!$A$1:$L$1000,4,FALSE),0)</f>
        <v>0</v>
      </c>
      <c r="H171" s="457">
        <f>IFERROR(VLOOKUP(P171,COPY!$A$1:$L$1000,2,FALSE),0)</f>
        <v>0</v>
      </c>
      <c r="I171" s="510">
        <f>IFERROR(VLOOKUP(P171,COPY!$A$1:$L$1000,10,FALSE),0)</f>
        <v>0</v>
      </c>
      <c r="J171" s="467">
        <f>IFERROR(VLOOKUP(P171,COPY!$A$1:$L$1000,8,FALSE),0)</f>
        <v>0</v>
      </c>
      <c r="K171" s="457">
        <f>IFERROR(VLOOKUP(P171,COPY!$A$1:$L$1000,7,FALSE),0)</f>
        <v>0</v>
      </c>
      <c r="L171" s="468">
        <f>IFERROR(VLOOKUP(P171,COPY!$A$1:$O$1000,15,FALSE),0)</f>
        <v>0</v>
      </c>
      <c r="M171" s="468">
        <f>IFERROR(VLOOKUP(P171,COPY!$A$1:$L$1000,12,FALSE),0)</f>
        <v>0</v>
      </c>
      <c r="N171" s="471">
        <f>IF(H171="Jasa",VLOOKUP('BKU 1'!K171,'Rekap Gaji'!$D$12:$I$24,6,FALSE),(IF(H171="Beli",VLOOKUP(P171,COPY!$A$1:$L$1000,11,FALSE),IF(H171="Bayar Ongkos",VLOOKUP(K171,'Rekap Gaji'!$D$12:$I$24,6,FALSE),0))))</f>
        <v>0</v>
      </c>
      <c r="O171" s="470"/>
      <c r="P171" s="466" t="str">
        <f t="shared" si="22"/>
        <v>1.0</v>
      </c>
      <c r="Q171" s="253">
        <f t="shared" si="16"/>
        <v>0</v>
      </c>
      <c r="R171" s="253">
        <f t="shared" si="17"/>
        <v>0</v>
      </c>
      <c r="S171" s="449">
        <f t="shared" si="18"/>
        <v>139</v>
      </c>
      <c r="T171" s="253">
        <f t="shared" si="19"/>
        <v>30</v>
      </c>
      <c r="U171" s="457" t="str">
        <f t="shared" si="21"/>
        <v xml:space="preserve"> </v>
      </c>
    </row>
    <row r="172" spans="2:21" ht="20.100000000000001" hidden="1" customHeight="1" x14ac:dyDescent="0.25">
      <c r="B172" s="456">
        <f>IF(LEFT(C172,16)="Terima Pajak PPN",VLOOKUP(P172,COPY!$A$1:$AC$1000,21,FALSE),IF(LEFT(C172,16)="Terima Pajak PPH",VLOOKUP(P172,COPY!$A$1:$AC$1000,21,FALSE),IF(LEFT(C172,13)="Terima PPh 23",VLOOKUP(P172,COPY!$A$1:$AC$1000,21,FALSE),0)))</f>
        <v>0</v>
      </c>
      <c r="C172" s="457">
        <f>IFERROR(IF(LEFT(VLOOKUP(P172,COPY!$A$1:$AC$1000,29,FALSE),5)="Terim",VLOOKUP(P172,COPY!$A$1:$AC$1000,29,FALSE),0),0)</f>
        <v>0</v>
      </c>
      <c r="D172" s="457"/>
      <c r="E172" s="457"/>
      <c r="F172" s="458">
        <f>IFERROR(IF(LEFT(VLOOKUP(P172,COPY!$A$1:$AC$1000,29,FALSE),5)="Terim",VLOOKUP(P172,COPY!$A$1:$AC$1000,26,FALSE),0),0)</f>
        <v>0</v>
      </c>
      <c r="G172" s="459">
        <f>IFERROR(VLOOKUP(P172,COPY!$A$1:$L$1000,4,FALSE),0)</f>
        <v>0</v>
      </c>
      <c r="H172" s="457">
        <f>IFERROR(VLOOKUP(P172,COPY!$A$1:$L$1000,2,FALSE),0)</f>
        <v>0</v>
      </c>
      <c r="I172" s="510">
        <f>IFERROR(VLOOKUP(P172,COPY!$A$1:$L$1000,10,FALSE),0)</f>
        <v>0</v>
      </c>
      <c r="J172" s="467">
        <f>IFERROR(VLOOKUP(P172,COPY!$A$1:$L$1000,8,FALSE),0)</f>
        <v>0</v>
      </c>
      <c r="K172" s="457">
        <f>IFERROR(VLOOKUP(P172,COPY!$A$1:$L$1000,7,FALSE),0)</f>
        <v>0</v>
      </c>
      <c r="L172" s="468">
        <f>IFERROR(VLOOKUP(P172,COPY!$A$1:$O$1000,15,FALSE),0)</f>
        <v>0</v>
      </c>
      <c r="M172" s="468">
        <f>IFERROR(VLOOKUP(P172,COPY!$A$1:$L$1000,12,FALSE),0)</f>
        <v>0</v>
      </c>
      <c r="N172" s="471">
        <f>IF(H172="Jasa",VLOOKUP('BKU 1'!K172,'Rekap Gaji'!$D$12:$I$24,6,FALSE),(IF(H172="Beli",VLOOKUP(P172,COPY!$A$1:$L$1000,11,FALSE),IF(H172="Bayar Ongkos",VLOOKUP(K172,'Rekap Gaji'!$D$12:$I$24,6,FALSE),0))))</f>
        <v>0</v>
      </c>
      <c r="O172" s="470"/>
      <c r="P172" s="466" t="str">
        <f t="shared" si="22"/>
        <v>1.0</v>
      </c>
      <c r="Q172" s="253">
        <f t="shared" si="16"/>
        <v>0</v>
      </c>
      <c r="R172" s="253">
        <f t="shared" si="17"/>
        <v>0</v>
      </c>
      <c r="S172" s="449">
        <f t="shared" si="18"/>
        <v>140</v>
      </c>
      <c r="T172" s="253">
        <f t="shared" si="19"/>
        <v>31</v>
      </c>
      <c r="U172" s="457" t="str">
        <f t="shared" si="21"/>
        <v xml:space="preserve"> </v>
      </c>
    </row>
    <row r="173" spans="2:21" ht="20.100000000000001" hidden="1" customHeight="1" x14ac:dyDescent="0.25">
      <c r="B173" s="456">
        <f>IF(LEFT(C173,16)="Terima Pajak PPN",VLOOKUP(P173,COPY!$A$1:$AC$1000,21,FALSE),IF(LEFT(C173,16)="Terima Pajak PPH",VLOOKUP(P173,COPY!$A$1:$AC$1000,21,FALSE),IF(LEFT(C173,13)="Terima PPh 23",VLOOKUP(P173,COPY!$A$1:$AC$1000,21,FALSE),0)))</f>
        <v>0</v>
      </c>
      <c r="C173" s="457">
        <f>IFERROR(IF(LEFT(VLOOKUP(P173,COPY!$A$1:$AC$1000,29,FALSE),5)="Terim",VLOOKUP(P173,COPY!$A$1:$AC$1000,29,FALSE),0),0)</f>
        <v>0</v>
      </c>
      <c r="D173" s="457"/>
      <c r="E173" s="457"/>
      <c r="F173" s="458">
        <f>IFERROR(IF(LEFT(VLOOKUP(P173,COPY!$A$1:$AC$1000,29,FALSE),5)="Terim",VLOOKUP(P173,COPY!$A$1:$AC$1000,26,FALSE),0),0)</f>
        <v>0</v>
      </c>
      <c r="G173" s="459">
        <f>IFERROR(VLOOKUP(P173,COPY!$A$1:$L$1000,4,FALSE),0)</f>
        <v>0</v>
      </c>
      <c r="H173" s="457">
        <f>IFERROR(VLOOKUP(P173,COPY!$A$1:$L$1000,2,FALSE),0)</f>
        <v>0</v>
      </c>
      <c r="I173" s="510">
        <f>IFERROR(VLOOKUP(P173,COPY!$A$1:$L$1000,10,FALSE),0)</f>
        <v>0</v>
      </c>
      <c r="J173" s="467">
        <f>IFERROR(VLOOKUP(P173,COPY!$A$1:$L$1000,8,FALSE),0)</f>
        <v>0</v>
      </c>
      <c r="K173" s="457">
        <f>IFERROR(VLOOKUP(P173,COPY!$A$1:$L$1000,7,FALSE),0)</f>
        <v>0</v>
      </c>
      <c r="L173" s="468">
        <f>IFERROR(VLOOKUP(P173,COPY!$A$1:$O$1000,15,FALSE),0)</f>
        <v>0</v>
      </c>
      <c r="M173" s="468">
        <f>IFERROR(VLOOKUP(P173,COPY!$A$1:$L$1000,12,FALSE),0)</f>
        <v>0</v>
      </c>
      <c r="N173" s="471">
        <f>IF(H173="Jasa",VLOOKUP('BKU 1'!K173,'Rekap Gaji'!$D$12:$I$24,6,FALSE),(IF(H173="Beli",VLOOKUP(P173,COPY!$A$1:$L$1000,11,FALSE),IF(H173="Bayar Ongkos",VLOOKUP(K173,'Rekap Gaji'!$D$12:$I$24,6,FALSE),0))))</f>
        <v>0</v>
      </c>
      <c r="O173" s="470"/>
      <c r="P173" s="466" t="str">
        <f t="shared" si="22"/>
        <v>1.0</v>
      </c>
      <c r="Q173" s="253">
        <f t="shared" si="16"/>
        <v>0</v>
      </c>
      <c r="R173" s="253">
        <f t="shared" si="17"/>
        <v>0</v>
      </c>
      <c r="S173" s="449">
        <f t="shared" si="18"/>
        <v>141</v>
      </c>
      <c r="T173" s="253">
        <f t="shared" si="19"/>
        <v>32</v>
      </c>
      <c r="U173" s="457" t="str">
        <f t="shared" si="21"/>
        <v xml:space="preserve"> </v>
      </c>
    </row>
    <row r="174" spans="2:21" ht="20.100000000000001" hidden="1" customHeight="1" x14ac:dyDescent="0.25">
      <c r="B174" s="456">
        <f>IF(LEFT(C174,16)="Terima Pajak PPN",VLOOKUP(P174,COPY!$A$1:$AC$1000,21,FALSE),IF(LEFT(C174,16)="Terima Pajak PPH",VLOOKUP(P174,COPY!$A$1:$AC$1000,21,FALSE),IF(LEFT(C174,13)="Terima PPh 23",VLOOKUP(P174,COPY!$A$1:$AC$1000,21,FALSE),0)))</f>
        <v>0</v>
      </c>
      <c r="C174" s="457">
        <f>IFERROR(IF(LEFT(VLOOKUP(P174,COPY!$A$1:$AC$1000,29,FALSE),5)="Terim",VLOOKUP(P174,COPY!$A$1:$AC$1000,29,FALSE),0),0)</f>
        <v>0</v>
      </c>
      <c r="D174" s="457"/>
      <c r="E174" s="457"/>
      <c r="F174" s="458">
        <f>IFERROR(IF(LEFT(VLOOKUP(P174,COPY!$A$1:$AC$1000,29,FALSE),5)="Terim",VLOOKUP(P174,COPY!$A$1:$AC$1000,26,FALSE),0),0)</f>
        <v>0</v>
      </c>
      <c r="G174" s="459">
        <f>IFERROR(VLOOKUP(P174,COPY!$A$1:$L$1000,4,FALSE),0)</f>
        <v>0</v>
      </c>
      <c r="H174" s="457">
        <f>IFERROR(VLOOKUP(P174,COPY!$A$1:$L$1000,2,FALSE),0)</f>
        <v>0</v>
      </c>
      <c r="I174" s="510">
        <f>IFERROR(VLOOKUP(P174,COPY!$A$1:$L$1000,10,FALSE),0)</f>
        <v>0</v>
      </c>
      <c r="J174" s="467">
        <f>IFERROR(VLOOKUP(P174,COPY!$A$1:$L$1000,8,FALSE),0)</f>
        <v>0</v>
      </c>
      <c r="K174" s="457">
        <f>IFERROR(VLOOKUP(P174,COPY!$A$1:$L$1000,7,FALSE),0)</f>
        <v>0</v>
      </c>
      <c r="L174" s="468">
        <f>IFERROR(VLOOKUP(P174,COPY!$A$1:$O$1000,15,FALSE),0)</f>
        <v>0</v>
      </c>
      <c r="M174" s="468">
        <f>IFERROR(VLOOKUP(P174,COPY!$A$1:$L$1000,12,FALSE),0)</f>
        <v>0</v>
      </c>
      <c r="N174" s="471">
        <f>IF(H174="Jasa",VLOOKUP('BKU 1'!K174,'Rekap Gaji'!$D$12:$I$24,6,FALSE),(IF(H174="Beli",VLOOKUP(P174,COPY!$A$1:$L$1000,11,FALSE),IF(H174="Bayar Ongkos",VLOOKUP(K174,'Rekap Gaji'!$D$12:$I$24,6,FALSE),0))))</f>
        <v>0</v>
      </c>
      <c r="O174" s="470"/>
      <c r="P174" s="466" t="str">
        <f t="shared" si="22"/>
        <v>1.0</v>
      </c>
      <c r="Q174" s="253">
        <f t="shared" si="16"/>
        <v>0</v>
      </c>
      <c r="R174" s="253">
        <f t="shared" si="17"/>
        <v>0</v>
      </c>
      <c r="S174" s="449">
        <f t="shared" si="18"/>
        <v>142</v>
      </c>
      <c r="T174" s="253">
        <f t="shared" si="19"/>
        <v>33</v>
      </c>
      <c r="U174" s="457" t="str">
        <f t="shared" si="21"/>
        <v xml:space="preserve"> </v>
      </c>
    </row>
    <row r="175" spans="2:21" ht="20.100000000000001" hidden="1" customHeight="1" x14ac:dyDescent="0.25">
      <c r="B175" s="456">
        <f>IF(LEFT(C175,16)="Terima Pajak PPN",VLOOKUP(P175,COPY!$A$1:$AC$1000,21,FALSE),IF(LEFT(C175,16)="Terima Pajak PPH",VLOOKUP(P175,COPY!$A$1:$AC$1000,21,FALSE),IF(LEFT(C175,13)="Terima PPh 23",VLOOKUP(P175,COPY!$A$1:$AC$1000,21,FALSE),0)))</f>
        <v>0</v>
      </c>
      <c r="C175" s="457">
        <f>IFERROR(IF(LEFT(VLOOKUP(P175,COPY!$A$1:$AC$1000,29,FALSE),5)="Terim",VLOOKUP(P175,COPY!$A$1:$AC$1000,29,FALSE),0),0)</f>
        <v>0</v>
      </c>
      <c r="D175" s="457"/>
      <c r="E175" s="457"/>
      <c r="F175" s="458">
        <f>IFERROR(IF(LEFT(VLOOKUP(P175,COPY!$A$1:$AC$1000,29,FALSE),5)="Terim",VLOOKUP(P175,COPY!$A$1:$AC$1000,26,FALSE),0),0)</f>
        <v>0</v>
      </c>
      <c r="G175" s="459">
        <f>IFERROR(VLOOKUP(P175,COPY!$A$1:$L$1000,4,FALSE),0)</f>
        <v>0</v>
      </c>
      <c r="H175" s="457">
        <f>IFERROR(VLOOKUP(P175,COPY!$A$1:$L$1000,2,FALSE),0)</f>
        <v>0</v>
      </c>
      <c r="I175" s="510">
        <f>IFERROR(VLOOKUP(P175,COPY!$A$1:$L$1000,10,FALSE),0)</f>
        <v>0</v>
      </c>
      <c r="J175" s="467">
        <f>IFERROR(VLOOKUP(P175,COPY!$A$1:$L$1000,8,FALSE),0)</f>
        <v>0</v>
      </c>
      <c r="K175" s="457">
        <f>IFERROR(VLOOKUP(P175,COPY!$A$1:$L$1000,7,FALSE),0)</f>
        <v>0</v>
      </c>
      <c r="L175" s="468">
        <f>IFERROR(VLOOKUP(P175,COPY!$A$1:$O$1000,15,FALSE),0)</f>
        <v>0</v>
      </c>
      <c r="M175" s="468">
        <f>IFERROR(VLOOKUP(P175,COPY!$A$1:$L$1000,12,FALSE),0)</f>
        <v>0</v>
      </c>
      <c r="N175" s="471">
        <f>IF(H175="Jasa",VLOOKUP('BKU 1'!K175,'Rekap Gaji'!$D$12:$I$24,6,FALSE),(IF(H175="Beli",VLOOKUP(P175,COPY!$A$1:$L$1000,11,FALSE),IF(H175="Bayar Ongkos",VLOOKUP(K175,'Rekap Gaji'!$D$12:$I$24,6,FALSE),0))))</f>
        <v>0</v>
      </c>
      <c r="O175" s="470"/>
      <c r="P175" s="466" t="str">
        <f t="shared" si="22"/>
        <v>1.0</v>
      </c>
      <c r="Q175" s="253">
        <f t="shared" si="16"/>
        <v>0</v>
      </c>
      <c r="R175" s="253">
        <f t="shared" si="17"/>
        <v>0</v>
      </c>
      <c r="S175" s="449">
        <f t="shared" si="18"/>
        <v>143</v>
      </c>
      <c r="T175" s="253">
        <f t="shared" si="19"/>
        <v>34</v>
      </c>
      <c r="U175" s="457" t="str">
        <f t="shared" si="21"/>
        <v xml:space="preserve"> </v>
      </c>
    </row>
    <row r="176" spans="2:21" ht="20.100000000000001" hidden="1" customHeight="1" x14ac:dyDescent="0.25">
      <c r="B176" s="456">
        <f>IF(LEFT(C176,16)="Terima Pajak PPN",VLOOKUP(P176,COPY!$A$1:$AC$1000,21,FALSE),IF(LEFT(C176,16)="Terima Pajak PPH",VLOOKUP(P176,COPY!$A$1:$AC$1000,21,FALSE),IF(LEFT(C176,13)="Terima PPh 23",VLOOKUP(P176,COPY!$A$1:$AC$1000,21,FALSE),0)))</f>
        <v>0</v>
      </c>
      <c r="C176" s="457">
        <f>IFERROR(IF(LEFT(VLOOKUP(P176,COPY!$A$1:$AC$1000,29,FALSE),5)="Terim",VLOOKUP(P176,COPY!$A$1:$AC$1000,29,FALSE),0),0)</f>
        <v>0</v>
      </c>
      <c r="D176" s="457"/>
      <c r="E176" s="457"/>
      <c r="F176" s="458">
        <f>IFERROR(IF(LEFT(VLOOKUP(P176,COPY!$A$1:$AC$1000,29,FALSE),5)="Terim",VLOOKUP(P176,COPY!$A$1:$AC$1000,26,FALSE),0),0)</f>
        <v>0</v>
      </c>
      <c r="G176" s="459">
        <f>IFERROR(VLOOKUP(P176,COPY!$A$1:$L$1000,4,FALSE),0)</f>
        <v>0</v>
      </c>
      <c r="H176" s="457">
        <f>IFERROR(VLOOKUP(P176,COPY!$A$1:$L$1000,2,FALSE),0)</f>
        <v>0</v>
      </c>
      <c r="I176" s="510">
        <f>IFERROR(VLOOKUP(P176,COPY!$A$1:$L$1000,10,FALSE),0)</f>
        <v>0</v>
      </c>
      <c r="J176" s="467">
        <f>IFERROR(VLOOKUP(P176,COPY!$A$1:$L$1000,8,FALSE),0)</f>
        <v>0</v>
      </c>
      <c r="K176" s="457">
        <f>IFERROR(VLOOKUP(P176,COPY!$A$1:$L$1000,7,FALSE),0)</f>
        <v>0</v>
      </c>
      <c r="L176" s="468">
        <f>IFERROR(VLOOKUP(P176,COPY!$A$1:$O$1000,15,FALSE),0)</f>
        <v>0</v>
      </c>
      <c r="M176" s="468">
        <f>IFERROR(VLOOKUP(P176,COPY!$A$1:$L$1000,12,FALSE),0)</f>
        <v>0</v>
      </c>
      <c r="N176" s="471">
        <f>IF(H176="Jasa",VLOOKUP('BKU 1'!K176,'Rekap Gaji'!$D$12:$I$24,6,FALSE),(IF(H176="Beli",VLOOKUP(P176,COPY!$A$1:$L$1000,11,FALSE),IF(H176="Bayar Ongkos",VLOOKUP(K176,'Rekap Gaji'!$D$12:$I$24,6,FALSE),0))))</f>
        <v>0</v>
      </c>
      <c r="O176" s="470"/>
      <c r="P176" s="466" t="str">
        <f t="shared" si="22"/>
        <v>1.0</v>
      </c>
      <c r="Q176" s="253">
        <f t="shared" si="16"/>
        <v>0</v>
      </c>
      <c r="R176" s="253">
        <f t="shared" si="17"/>
        <v>0</v>
      </c>
      <c r="S176" s="449">
        <f t="shared" si="18"/>
        <v>144</v>
      </c>
      <c r="T176" s="253">
        <f t="shared" si="19"/>
        <v>35</v>
      </c>
      <c r="U176" s="457" t="str">
        <f t="shared" si="21"/>
        <v xml:space="preserve"> </v>
      </c>
    </row>
    <row r="177" spans="2:21" ht="20.100000000000001" hidden="1" customHeight="1" x14ac:dyDescent="0.25">
      <c r="B177" s="456">
        <f>IF(LEFT(C177,16)="Terima Pajak PPN",VLOOKUP(P177,COPY!$A$1:$AC$1000,21,FALSE),IF(LEFT(C177,16)="Terima Pajak PPH",VLOOKUP(P177,COPY!$A$1:$AC$1000,21,FALSE),IF(LEFT(C177,13)="Terima PPh 23",VLOOKUP(P177,COPY!$A$1:$AC$1000,21,FALSE),0)))</f>
        <v>0</v>
      </c>
      <c r="C177" s="457">
        <f>IFERROR(IF(LEFT(VLOOKUP(P177,COPY!$A$1:$AC$1000,29,FALSE),5)="Terim",VLOOKUP(P177,COPY!$A$1:$AC$1000,29,FALSE),0),0)</f>
        <v>0</v>
      </c>
      <c r="D177" s="457"/>
      <c r="E177" s="457"/>
      <c r="F177" s="458">
        <f>IFERROR(IF(LEFT(VLOOKUP(P177,COPY!$A$1:$AC$1000,29,FALSE),5)="Terim",VLOOKUP(P177,COPY!$A$1:$AC$1000,26,FALSE),0),0)</f>
        <v>0</v>
      </c>
      <c r="G177" s="459">
        <f>IFERROR(VLOOKUP(P177,COPY!$A$1:$L$1000,4,FALSE),0)</f>
        <v>0</v>
      </c>
      <c r="H177" s="457">
        <f>IFERROR(VLOOKUP(P177,COPY!$A$1:$L$1000,2,FALSE),0)</f>
        <v>0</v>
      </c>
      <c r="I177" s="510">
        <f>IFERROR(VLOOKUP(P177,COPY!$A$1:$L$1000,10,FALSE),0)</f>
        <v>0</v>
      </c>
      <c r="J177" s="467">
        <f>IFERROR(VLOOKUP(P177,COPY!$A$1:$L$1000,8,FALSE),0)</f>
        <v>0</v>
      </c>
      <c r="K177" s="457">
        <f>IFERROR(VLOOKUP(P177,COPY!$A$1:$L$1000,7,FALSE),0)</f>
        <v>0</v>
      </c>
      <c r="L177" s="468">
        <f>IFERROR(VLOOKUP(P177,COPY!$A$1:$O$1000,15,FALSE),0)</f>
        <v>0</v>
      </c>
      <c r="M177" s="468">
        <f>IFERROR(VLOOKUP(P177,COPY!$A$1:$L$1000,12,FALSE),0)</f>
        <v>0</v>
      </c>
      <c r="N177" s="471">
        <f>IF(H177="Jasa",VLOOKUP('BKU 1'!K177,'Rekap Gaji'!$D$12:$I$24,6,FALSE),(IF(H177="Beli",VLOOKUP(P177,COPY!$A$1:$L$1000,11,FALSE),IF(H177="Bayar Ongkos",VLOOKUP(K177,'Rekap Gaji'!$D$12:$I$24,6,FALSE),0))))</f>
        <v>0</v>
      </c>
      <c r="O177" s="470"/>
      <c r="P177" s="466" t="str">
        <f t="shared" si="22"/>
        <v>1.0</v>
      </c>
      <c r="Q177" s="253">
        <f t="shared" si="16"/>
        <v>0</v>
      </c>
      <c r="R177" s="253">
        <f t="shared" si="17"/>
        <v>0</v>
      </c>
      <c r="S177" s="449">
        <f t="shared" si="18"/>
        <v>145</v>
      </c>
      <c r="T177" s="253">
        <f t="shared" si="19"/>
        <v>36</v>
      </c>
      <c r="U177" s="457" t="str">
        <f t="shared" si="21"/>
        <v xml:space="preserve"> </v>
      </c>
    </row>
    <row r="178" spans="2:21" ht="20.100000000000001" hidden="1" customHeight="1" x14ac:dyDescent="0.25">
      <c r="B178" s="456">
        <f>IF(LEFT(C178,16)="Terima Pajak PPN",VLOOKUP(P178,COPY!$A$1:$AC$1000,21,FALSE),IF(LEFT(C178,16)="Terima Pajak PPH",VLOOKUP(P178,COPY!$A$1:$AC$1000,21,FALSE),IF(LEFT(C178,13)="Terima PPh 23",VLOOKUP(P178,COPY!$A$1:$AC$1000,21,FALSE),0)))</f>
        <v>0</v>
      </c>
      <c r="C178" s="457">
        <f>IFERROR(IF(LEFT(VLOOKUP(P178,COPY!$A$1:$AC$1000,29,FALSE),5)="Terim",VLOOKUP(P178,COPY!$A$1:$AC$1000,29,FALSE),0),0)</f>
        <v>0</v>
      </c>
      <c r="D178" s="457"/>
      <c r="E178" s="457"/>
      <c r="F178" s="458">
        <f>IFERROR(IF(LEFT(VLOOKUP(P178,COPY!$A$1:$AC$1000,29,FALSE),5)="Terim",VLOOKUP(P178,COPY!$A$1:$AC$1000,26,FALSE),0),0)</f>
        <v>0</v>
      </c>
      <c r="G178" s="459">
        <f>IFERROR(VLOOKUP(P178,COPY!$A$1:$L$1000,4,FALSE),0)</f>
        <v>0</v>
      </c>
      <c r="H178" s="457">
        <f>IFERROR(VLOOKUP(P178,COPY!$A$1:$L$1000,2,FALSE),0)</f>
        <v>0</v>
      </c>
      <c r="I178" s="510">
        <f>IFERROR(VLOOKUP(P178,COPY!$A$1:$L$1000,10,FALSE),0)</f>
        <v>0</v>
      </c>
      <c r="J178" s="467">
        <f>IFERROR(VLOOKUP(P178,COPY!$A$1:$L$1000,8,FALSE),0)</f>
        <v>0</v>
      </c>
      <c r="K178" s="457">
        <f>IFERROR(VLOOKUP(P178,COPY!$A$1:$L$1000,7,FALSE),0)</f>
        <v>0</v>
      </c>
      <c r="L178" s="468">
        <f>IFERROR(VLOOKUP(P178,COPY!$A$1:$O$1000,15,FALSE),0)</f>
        <v>0</v>
      </c>
      <c r="M178" s="468">
        <f>IFERROR(VLOOKUP(P178,COPY!$A$1:$L$1000,12,FALSE),0)</f>
        <v>0</v>
      </c>
      <c r="N178" s="471">
        <f>IF(H178="Jasa",VLOOKUP('BKU 1'!K178,'Rekap Gaji'!$D$12:$I$24,6,FALSE),(IF(H178="Beli",VLOOKUP(P178,COPY!$A$1:$L$1000,11,FALSE),IF(H178="Bayar Ongkos",VLOOKUP(K178,'Rekap Gaji'!$D$12:$I$24,6,FALSE),0))))</f>
        <v>0</v>
      </c>
      <c r="O178" s="470"/>
      <c r="P178" s="466" t="str">
        <f t="shared" si="22"/>
        <v>1.0</v>
      </c>
      <c r="Q178" s="253">
        <f t="shared" si="16"/>
        <v>0</v>
      </c>
      <c r="R178" s="253">
        <f t="shared" si="17"/>
        <v>0</v>
      </c>
      <c r="S178" s="449">
        <f t="shared" si="18"/>
        <v>146</v>
      </c>
      <c r="T178" s="253">
        <f t="shared" si="19"/>
        <v>37</v>
      </c>
      <c r="U178" s="457" t="str">
        <f t="shared" si="21"/>
        <v xml:space="preserve"> </v>
      </c>
    </row>
    <row r="179" spans="2:21" ht="20.100000000000001" hidden="1" customHeight="1" x14ac:dyDescent="0.25">
      <c r="B179" s="456">
        <f>IF(LEFT(C179,16)="Terima Pajak PPN",VLOOKUP(P179,COPY!$A$1:$AC$1000,21,FALSE),IF(LEFT(C179,16)="Terima Pajak PPH",VLOOKUP(P179,COPY!$A$1:$AC$1000,21,FALSE),IF(LEFT(C179,13)="Terima PPh 23",VLOOKUP(P179,COPY!$A$1:$AC$1000,21,FALSE),0)))</f>
        <v>0</v>
      </c>
      <c r="C179" s="457">
        <f>IFERROR(IF(LEFT(VLOOKUP(P179,COPY!$A$1:$AC$1000,29,FALSE),5)="Terim",VLOOKUP(P179,COPY!$A$1:$AC$1000,29,FALSE),0),0)</f>
        <v>0</v>
      </c>
      <c r="D179" s="457"/>
      <c r="E179" s="457"/>
      <c r="F179" s="458">
        <f>IFERROR(IF(LEFT(VLOOKUP(P179,COPY!$A$1:$AC$1000,29,FALSE),5)="Terim",VLOOKUP(P179,COPY!$A$1:$AC$1000,26,FALSE),0),0)</f>
        <v>0</v>
      </c>
      <c r="G179" s="459">
        <f>IFERROR(VLOOKUP(P179,COPY!$A$1:$L$1000,4,FALSE),0)</f>
        <v>0</v>
      </c>
      <c r="H179" s="457">
        <f>IFERROR(VLOOKUP(P179,COPY!$A$1:$L$1000,2,FALSE),0)</f>
        <v>0</v>
      </c>
      <c r="I179" s="510">
        <f>IFERROR(VLOOKUP(P179,COPY!$A$1:$L$1000,10,FALSE),0)</f>
        <v>0</v>
      </c>
      <c r="J179" s="467">
        <f>IFERROR(VLOOKUP(P179,COPY!$A$1:$L$1000,8,FALSE),0)</f>
        <v>0</v>
      </c>
      <c r="K179" s="457">
        <f>IFERROR(VLOOKUP(P179,COPY!$A$1:$L$1000,7,FALSE),0)</f>
        <v>0</v>
      </c>
      <c r="L179" s="468">
        <f>IFERROR(VLOOKUP(P179,COPY!$A$1:$O$1000,15,FALSE),0)</f>
        <v>0</v>
      </c>
      <c r="M179" s="468">
        <f>IFERROR(VLOOKUP(P179,COPY!$A$1:$L$1000,12,FALSE),0)</f>
        <v>0</v>
      </c>
      <c r="N179" s="471">
        <f>IF(H179="Jasa",VLOOKUP('BKU 1'!K179,'Rekap Gaji'!$D$12:$I$24,6,FALSE),(IF(H179="Beli",VLOOKUP(P179,COPY!$A$1:$L$1000,11,FALSE),IF(H179="Bayar Ongkos",VLOOKUP(K179,'Rekap Gaji'!$D$12:$I$24,6,FALSE),0))))</f>
        <v>0</v>
      </c>
      <c r="O179" s="470"/>
      <c r="P179" s="466" t="str">
        <f t="shared" si="22"/>
        <v>1.0</v>
      </c>
      <c r="Q179" s="253">
        <f t="shared" si="16"/>
        <v>0</v>
      </c>
      <c r="R179" s="253">
        <f t="shared" si="17"/>
        <v>0</v>
      </c>
      <c r="S179" s="449">
        <f t="shared" si="18"/>
        <v>147</v>
      </c>
      <c r="T179" s="253">
        <f t="shared" si="19"/>
        <v>38</v>
      </c>
      <c r="U179" s="457" t="str">
        <f t="shared" si="21"/>
        <v xml:space="preserve"> </v>
      </c>
    </row>
    <row r="180" spans="2:21" ht="20.100000000000001" hidden="1" customHeight="1" x14ac:dyDescent="0.25">
      <c r="B180" s="456">
        <f>IF(LEFT(C180,16)="Terima Pajak PPN",VLOOKUP(P180,COPY!$A$1:$AC$1000,21,FALSE),IF(LEFT(C180,16)="Terima Pajak PPH",VLOOKUP(P180,COPY!$A$1:$AC$1000,21,FALSE),IF(LEFT(C180,13)="Terima PPh 23",VLOOKUP(P180,COPY!$A$1:$AC$1000,21,FALSE),0)))</f>
        <v>0</v>
      </c>
      <c r="C180" s="457">
        <f>IFERROR(IF(LEFT(VLOOKUP(P180,COPY!$A$1:$AC$1000,29,FALSE),5)="Terim",VLOOKUP(P180,COPY!$A$1:$AC$1000,29,FALSE),0),0)</f>
        <v>0</v>
      </c>
      <c r="D180" s="457"/>
      <c r="E180" s="457"/>
      <c r="F180" s="458">
        <f>IFERROR(IF(LEFT(VLOOKUP(P180,COPY!$A$1:$AC$1000,29,FALSE),5)="Terim",VLOOKUP(P180,COPY!$A$1:$AC$1000,26,FALSE),0),0)</f>
        <v>0</v>
      </c>
      <c r="G180" s="459">
        <f>IFERROR(VLOOKUP(P180,COPY!$A$1:$L$1000,4,FALSE),0)</f>
        <v>0</v>
      </c>
      <c r="H180" s="457">
        <f>IFERROR(VLOOKUP(P180,COPY!$A$1:$L$1000,2,FALSE),0)</f>
        <v>0</v>
      </c>
      <c r="I180" s="510">
        <f>IFERROR(VLOOKUP(P180,COPY!$A$1:$L$1000,10,FALSE),0)</f>
        <v>0</v>
      </c>
      <c r="J180" s="467">
        <f>IFERROR(VLOOKUP(P180,COPY!$A$1:$L$1000,8,FALSE),0)</f>
        <v>0</v>
      </c>
      <c r="K180" s="457">
        <f>IFERROR(VLOOKUP(P180,COPY!$A$1:$L$1000,7,FALSE),0)</f>
        <v>0</v>
      </c>
      <c r="L180" s="468">
        <f>IFERROR(VLOOKUP(P180,COPY!$A$1:$O$1000,15,FALSE),0)</f>
        <v>0</v>
      </c>
      <c r="M180" s="468">
        <f>IFERROR(VLOOKUP(P180,COPY!$A$1:$L$1000,12,FALSE),0)</f>
        <v>0</v>
      </c>
      <c r="N180" s="471">
        <f>IF(H180="Jasa",VLOOKUP('BKU 1'!K180,'Rekap Gaji'!$D$12:$I$24,6,FALSE),(IF(H180="Beli",VLOOKUP(P180,COPY!$A$1:$L$1000,11,FALSE),IF(H180="Bayar Ongkos",VLOOKUP(K180,'Rekap Gaji'!$D$12:$I$24,6,FALSE),0))))</f>
        <v>0</v>
      </c>
      <c r="O180" s="470"/>
      <c r="P180" s="466" t="str">
        <f t="shared" si="22"/>
        <v>1.0</v>
      </c>
      <c r="Q180" s="253">
        <f t="shared" si="16"/>
        <v>0</v>
      </c>
      <c r="R180" s="253">
        <f t="shared" si="17"/>
        <v>0</v>
      </c>
      <c r="S180" s="449">
        <f t="shared" si="18"/>
        <v>148</v>
      </c>
      <c r="T180" s="253">
        <f t="shared" si="19"/>
        <v>39</v>
      </c>
      <c r="U180" s="457" t="str">
        <f t="shared" si="21"/>
        <v xml:space="preserve"> </v>
      </c>
    </row>
    <row r="181" spans="2:21" ht="20.100000000000001" hidden="1" customHeight="1" x14ac:dyDescent="0.25">
      <c r="B181" s="456">
        <f>IF(LEFT(C181,16)="Terima Pajak PPN",VLOOKUP(P181,COPY!$A$1:$AC$1000,21,FALSE),IF(LEFT(C181,16)="Terima Pajak PPH",VLOOKUP(P181,COPY!$A$1:$AC$1000,21,FALSE),IF(LEFT(C181,13)="Terima PPh 23",VLOOKUP(P181,COPY!$A$1:$AC$1000,21,FALSE),0)))</f>
        <v>0</v>
      </c>
      <c r="C181" s="457">
        <f>IFERROR(IF(LEFT(VLOOKUP(P181,COPY!$A$1:$AC$1000,29,FALSE),5)="Terim",VLOOKUP(P181,COPY!$A$1:$AC$1000,29,FALSE),0),0)</f>
        <v>0</v>
      </c>
      <c r="D181" s="457"/>
      <c r="E181" s="457"/>
      <c r="F181" s="458">
        <f>IFERROR(IF(LEFT(VLOOKUP(P181,COPY!$A$1:$AC$1000,29,FALSE),5)="Terim",VLOOKUP(P181,COPY!$A$1:$AC$1000,26,FALSE),0),0)</f>
        <v>0</v>
      </c>
      <c r="G181" s="459">
        <f>IFERROR(VLOOKUP(P181,COPY!$A$1:$L$1000,4,FALSE),0)</f>
        <v>0</v>
      </c>
      <c r="H181" s="457">
        <f>IFERROR(VLOOKUP(P181,COPY!$A$1:$L$1000,2,FALSE),0)</f>
        <v>0</v>
      </c>
      <c r="I181" s="510">
        <f>IFERROR(VLOOKUP(P181,COPY!$A$1:$L$1000,10,FALSE),0)</f>
        <v>0</v>
      </c>
      <c r="J181" s="467">
        <f>IFERROR(VLOOKUP(P181,COPY!$A$1:$L$1000,8,FALSE),0)</f>
        <v>0</v>
      </c>
      <c r="K181" s="457">
        <f>IFERROR(VLOOKUP(P181,COPY!$A$1:$L$1000,7,FALSE),0)</f>
        <v>0</v>
      </c>
      <c r="L181" s="468">
        <f>IFERROR(VLOOKUP(P181,COPY!$A$1:$O$1000,15,FALSE),0)</f>
        <v>0</v>
      </c>
      <c r="M181" s="468">
        <f>IFERROR(VLOOKUP(P181,COPY!$A$1:$L$1000,12,FALSE),0)</f>
        <v>0</v>
      </c>
      <c r="N181" s="471">
        <f>IF(H181="Jasa",VLOOKUP('BKU 1'!K181,'Rekap Gaji'!$D$12:$I$24,6,FALSE),(IF(H181="Beli",VLOOKUP(P181,COPY!$A$1:$L$1000,11,FALSE),IF(H181="Bayar Ongkos",VLOOKUP(K181,'Rekap Gaji'!$D$12:$I$24,6,FALSE),0))))</f>
        <v>0</v>
      </c>
      <c r="O181" s="470"/>
      <c r="P181" s="466" t="str">
        <f t="shared" si="22"/>
        <v>1.0</v>
      </c>
      <c r="Q181" s="253">
        <f t="shared" si="16"/>
        <v>0</v>
      </c>
      <c r="R181" s="253">
        <f t="shared" si="17"/>
        <v>0</v>
      </c>
      <c r="S181" s="449">
        <f t="shared" si="18"/>
        <v>149</v>
      </c>
      <c r="T181" s="253">
        <f t="shared" si="19"/>
        <v>40</v>
      </c>
      <c r="U181" s="457" t="str">
        <f t="shared" si="21"/>
        <v xml:space="preserve"> </v>
      </c>
    </row>
    <row r="182" spans="2:21" ht="20.100000000000001" hidden="1" customHeight="1" x14ac:dyDescent="0.25">
      <c r="B182" s="456">
        <f>IF(LEFT(C182,16)="Terima Pajak PPN",VLOOKUP(P182,COPY!$A$1:$AC$1000,21,FALSE),IF(LEFT(C182,16)="Terima Pajak PPH",VLOOKUP(P182,COPY!$A$1:$AC$1000,21,FALSE),IF(LEFT(C182,13)="Terima PPh 23",VLOOKUP(P182,COPY!$A$1:$AC$1000,21,FALSE),0)))</f>
        <v>0</v>
      </c>
      <c r="C182" s="457">
        <f>IFERROR(IF(LEFT(VLOOKUP(P182,COPY!$A$1:$AC$1000,29,FALSE),5)="Terim",VLOOKUP(P182,COPY!$A$1:$AC$1000,29,FALSE),0),0)</f>
        <v>0</v>
      </c>
      <c r="D182" s="457"/>
      <c r="E182" s="457"/>
      <c r="F182" s="458">
        <f>IFERROR(IF(LEFT(VLOOKUP(P182,COPY!$A$1:$AC$1000,29,FALSE),5)="Terim",VLOOKUP(P182,COPY!$A$1:$AC$1000,26,FALSE),0),0)</f>
        <v>0</v>
      </c>
      <c r="G182" s="459">
        <f>IFERROR(VLOOKUP(P182,COPY!$A$1:$L$1000,4,FALSE),0)</f>
        <v>0</v>
      </c>
      <c r="H182" s="457">
        <f>IFERROR(VLOOKUP(P182,COPY!$A$1:$L$1000,2,FALSE),0)</f>
        <v>0</v>
      </c>
      <c r="I182" s="510">
        <f>IFERROR(VLOOKUP(P182,COPY!$A$1:$L$1000,10,FALSE),0)</f>
        <v>0</v>
      </c>
      <c r="J182" s="467">
        <f>IFERROR(VLOOKUP(P182,COPY!$A$1:$L$1000,8,FALSE),0)</f>
        <v>0</v>
      </c>
      <c r="K182" s="457">
        <f>IFERROR(VLOOKUP(P182,COPY!$A$1:$L$1000,7,FALSE),0)</f>
        <v>0</v>
      </c>
      <c r="L182" s="468">
        <f>IFERROR(VLOOKUP(P182,COPY!$A$1:$O$1000,15,FALSE),0)</f>
        <v>0</v>
      </c>
      <c r="M182" s="468">
        <f>IFERROR(VLOOKUP(P182,COPY!$A$1:$L$1000,12,FALSE),0)</f>
        <v>0</v>
      </c>
      <c r="N182" s="471">
        <f>IF(H182="Jasa",VLOOKUP('BKU 1'!K182,'Rekap Gaji'!$D$12:$I$24,6,FALSE),(IF(H182="Beli",VLOOKUP(P182,COPY!$A$1:$L$1000,11,FALSE),IF(H182="Bayar Ongkos",VLOOKUP(K182,'Rekap Gaji'!$D$12:$I$24,6,FALSE),0))))</f>
        <v>0</v>
      </c>
      <c r="O182" s="470"/>
      <c r="P182" s="466" t="str">
        <f t="shared" si="22"/>
        <v>1.0</v>
      </c>
      <c r="Q182" s="253">
        <f t="shared" si="16"/>
        <v>0</v>
      </c>
      <c r="R182" s="253">
        <f t="shared" si="17"/>
        <v>0</v>
      </c>
      <c r="S182" s="449">
        <f t="shared" si="18"/>
        <v>150</v>
      </c>
      <c r="T182" s="253">
        <f t="shared" si="19"/>
        <v>41</v>
      </c>
      <c r="U182" s="457" t="str">
        <f t="shared" si="21"/>
        <v xml:space="preserve"> </v>
      </c>
    </row>
    <row r="183" spans="2:21" ht="20.100000000000001" hidden="1" customHeight="1" x14ac:dyDescent="0.25">
      <c r="B183" s="456">
        <f>IF(LEFT(C183,16)="Terima Pajak PPN",VLOOKUP(P183,COPY!$A$1:$AC$1000,21,FALSE),IF(LEFT(C183,16)="Terima Pajak PPH",VLOOKUP(P183,COPY!$A$1:$AC$1000,21,FALSE),IF(LEFT(C183,13)="Terima PPh 23",VLOOKUP(P183,COPY!$A$1:$AC$1000,21,FALSE),0)))</f>
        <v>0</v>
      </c>
      <c r="C183" s="457">
        <f>IFERROR(IF(LEFT(VLOOKUP(P183,COPY!$A$1:$AC$1000,29,FALSE),5)="Terim",VLOOKUP(P183,COPY!$A$1:$AC$1000,29,FALSE),0),0)</f>
        <v>0</v>
      </c>
      <c r="D183" s="457"/>
      <c r="E183" s="457"/>
      <c r="F183" s="458">
        <f>IFERROR(IF(LEFT(VLOOKUP(P183,COPY!$A$1:$AC$1000,29,FALSE),5)="Terim",VLOOKUP(P183,COPY!$A$1:$AC$1000,26,FALSE),0),0)</f>
        <v>0</v>
      </c>
      <c r="G183" s="459">
        <f>IFERROR(VLOOKUP(P183,COPY!$A$1:$L$1000,4,FALSE),0)</f>
        <v>0</v>
      </c>
      <c r="H183" s="457">
        <f>IFERROR(VLOOKUP(P183,COPY!$A$1:$L$1000,2,FALSE),0)</f>
        <v>0</v>
      </c>
      <c r="I183" s="510">
        <f>IFERROR(VLOOKUP(P183,COPY!$A$1:$L$1000,10,FALSE),0)</f>
        <v>0</v>
      </c>
      <c r="J183" s="467">
        <f>IFERROR(VLOOKUP(P183,COPY!$A$1:$L$1000,8,FALSE),0)</f>
        <v>0</v>
      </c>
      <c r="K183" s="457">
        <f>IFERROR(VLOOKUP(P183,COPY!$A$1:$L$1000,7,FALSE),0)</f>
        <v>0</v>
      </c>
      <c r="L183" s="468">
        <f>IFERROR(VLOOKUP(P183,COPY!$A$1:$O$1000,15,FALSE),0)</f>
        <v>0</v>
      </c>
      <c r="M183" s="468">
        <f>IFERROR(VLOOKUP(P183,COPY!$A$1:$L$1000,12,FALSE),0)</f>
        <v>0</v>
      </c>
      <c r="N183" s="471">
        <f>IF(H183="Jasa",VLOOKUP('BKU 1'!K183,'Rekap Gaji'!$D$12:$I$24,6,FALSE),(IF(H183="Beli",VLOOKUP(P183,COPY!$A$1:$L$1000,11,FALSE),IF(H183="Bayar Ongkos",VLOOKUP(K183,'Rekap Gaji'!$D$12:$I$24,6,FALSE),0))))</f>
        <v>0</v>
      </c>
      <c r="O183" s="470"/>
      <c r="P183" s="466" t="str">
        <f t="shared" si="22"/>
        <v>1.0</v>
      </c>
      <c r="Q183" s="253">
        <f t="shared" si="16"/>
        <v>0</v>
      </c>
      <c r="R183" s="253">
        <f t="shared" si="17"/>
        <v>0</v>
      </c>
      <c r="S183" s="449">
        <f t="shared" si="18"/>
        <v>151</v>
      </c>
      <c r="T183" s="253">
        <f t="shared" si="19"/>
        <v>42</v>
      </c>
      <c r="U183" s="457" t="str">
        <f t="shared" si="21"/>
        <v xml:space="preserve"> </v>
      </c>
    </row>
    <row r="184" spans="2:21" ht="20.100000000000001" hidden="1" customHeight="1" x14ac:dyDescent="0.25">
      <c r="B184" s="456">
        <f>IF(LEFT(C184,16)="Terima Pajak PPN",VLOOKUP(P184,COPY!$A$1:$AC$1000,21,FALSE),IF(LEFT(C184,16)="Terima Pajak PPH",VLOOKUP(P184,COPY!$A$1:$AC$1000,21,FALSE),IF(LEFT(C184,13)="Terima PPh 23",VLOOKUP(P184,COPY!$A$1:$AC$1000,21,FALSE),0)))</f>
        <v>0</v>
      </c>
      <c r="C184" s="457">
        <f>IFERROR(IF(LEFT(VLOOKUP(P184,COPY!$A$1:$AC$1000,29,FALSE),5)="Terim",VLOOKUP(P184,COPY!$A$1:$AC$1000,29,FALSE),0),0)</f>
        <v>0</v>
      </c>
      <c r="D184" s="457"/>
      <c r="E184" s="457"/>
      <c r="F184" s="458">
        <f>IFERROR(IF(LEFT(VLOOKUP(P184,COPY!$A$1:$AC$1000,29,FALSE),5)="Terim",VLOOKUP(P184,COPY!$A$1:$AC$1000,26,FALSE),0),0)</f>
        <v>0</v>
      </c>
      <c r="G184" s="459">
        <f>IFERROR(VLOOKUP(P184,COPY!$A$1:$L$1000,4,FALSE),0)</f>
        <v>0</v>
      </c>
      <c r="H184" s="457">
        <f>IFERROR(VLOOKUP(P184,COPY!$A$1:$L$1000,2,FALSE),0)</f>
        <v>0</v>
      </c>
      <c r="I184" s="510">
        <f>IFERROR(VLOOKUP(P184,COPY!$A$1:$L$1000,10,FALSE),0)</f>
        <v>0</v>
      </c>
      <c r="J184" s="467">
        <f>IFERROR(VLOOKUP(P184,COPY!$A$1:$L$1000,8,FALSE),0)</f>
        <v>0</v>
      </c>
      <c r="K184" s="457">
        <f>IFERROR(VLOOKUP(P184,COPY!$A$1:$L$1000,7,FALSE),0)</f>
        <v>0</v>
      </c>
      <c r="L184" s="468">
        <f>IFERROR(VLOOKUP(P184,COPY!$A$1:$O$1000,15,FALSE),0)</f>
        <v>0</v>
      </c>
      <c r="M184" s="468">
        <f>IFERROR(VLOOKUP(P184,COPY!$A$1:$L$1000,12,FALSE),0)</f>
        <v>0</v>
      </c>
      <c r="N184" s="471">
        <f>IF(H184="Jasa",VLOOKUP('BKU 1'!K184,'Rekap Gaji'!$D$12:$I$24,6,FALSE),(IF(H184="Beli",VLOOKUP(P184,COPY!$A$1:$L$1000,11,FALSE),IF(H184="Bayar Ongkos",VLOOKUP(K184,'Rekap Gaji'!$D$12:$I$24,6,FALSE),0))))</f>
        <v>0</v>
      </c>
      <c r="O184" s="470"/>
      <c r="P184" s="466" t="str">
        <f t="shared" si="22"/>
        <v>1.0</v>
      </c>
      <c r="Q184" s="253">
        <f t="shared" si="16"/>
        <v>0</v>
      </c>
      <c r="R184" s="253">
        <f t="shared" si="17"/>
        <v>0</v>
      </c>
      <c r="S184" s="449">
        <f t="shared" si="18"/>
        <v>152</v>
      </c>
      <c r="T184" s="253">
        <f t="shared" si="19"/>
        <v>43</v>
      </c>
      <c r="U184" s="457" t="str">
        <f t="shared" si="21"/>
        <v xml:space="preserve"> </v>
      </c>
    </row>
    <row r="185" spans="2:21" ht="20.100000000000001" hidden="1" customHeight="1" x14ac:dyDescent="0.25">
      <c r="B185" s="456">
        <f>IF(LEFT(C185,16)="Terima Pajak PPN",VLOOKUP(P185,COPY!$A$1:$AC$1000,21,FALSE),IF(LEFT(C185,16)="Terima Pajak PPH",VLOOKUP(P185,COPY!$A$1:$AC$1000,21,FALSE),IF(LEFT(C185,13)="Terima PPh 23",VLOOKUP(P185,COPY!$A$1:$AC$1000,21,FALSE),0)))</f>
        <v>0</v>
      </c>
      <c r="C185" s="457">
        <f>IFERROR(IF(LEFT(VLOOKUP(P185,COPY!$A$1:$AC$1000,29,FALSE),5)="Terim",VLOOKUP(P185,COPY!$A$1:$AC$1000,29,FALSE),0),0)</f>
        <v>0</v>
      </c>
      <c r="D185" s="457"/>
      <c r="E185" s="457"/>
      <c r="F185" s="458">
        <f>IFERROR(IF(LEFT(VLOOKUP(P185,COPY!$A$1:$AC$1000,29,FALSE),5)="Terim",VLOOKUP(P185,COPY!$A$1:$AC$1000,26,FALSE),0),0)</f>
        <v>0</v>
      </c>
      <c r="G185" s="459">
        <f>IFERROR(VLOOKUP(P185,COPY!$A$1:$L$1000,4,FALSE),0)</f>
        <v>0</v>
      </c>
      <c r="H185" s="457">
        <f>IFERROR(VLOOKUP(P185,COPY!$A$1:$L$1000,2,FALSE),0)</f>
        <v>0</v>
      </c>
      <c r="I185" s="510">
        <f>IFERROR(VLOOKUP(P185,COPY!$A$1:$L$1000,10,FALSE),0)</f>
        <v>0</v>
      </c>
      <c r="J185" s="467">
        <f>IFERROR(VLOOKUP(P185,COPY!$A$1:$L$1000,8,FALSE),0)</f>
        <v>0</v>
      </c>
      <c r="K185" s="457">
        <f>IFERROR(VLOOKUP(P185,COPY!$A$1:$L$1000,7,FALSE),0)</f>
        <v>0</v>
      </c>
      <c r="L185" s="468">
        <f>IFERROR(VLOOKUP(P185,COPY!$A$1:$O$1000,15,FALSE),0)</f>
        <v>0</v>
      </c>
      <c r="M185" s="468">
        <f>IFERROR(VLOOKUP(P185,COPY!$A$1:$L$1000,12,FALSE),0)</f>
        <v>0</v>
      </c>
      <c r="N185" s="471">
        <f>IF(H185="Jasa",VLOOKUP('BKU 1'!K185,'Rekap Gaji'!$D$12:$I$24,6,FALSE),(IF(H185="Beli",VLOOKUP(P185,COPY!$A$1:$L$1000,11,FALSE),IF(H185="Bayar Ongkos",VLOOKUP(K185,'Rekap Gaji'!$D$12:$I$24,6,FALSE),0))))</f>
        <v>0</v>
      </c>
      <c r="O185" s="470"/>
      <c r="P185" s="466" t="str">
        <f t="shared" si="22"/>
        <v>1.</v>
      </c>
      <c r="U185" s="457" t="str">
        <f t="shared" si="21"/>
        <v xml:space="preserve"> </v>
      </c>
    </row>
    <row r="186" spans="2:21" ht="20.100000000000001" customHeight="1" thickBot="1" x14ac:dyDescent="0.3">
      <c r="B186" s="456">
        <f>IF(LEFT(C186,16)="Terima Pajak PPN",VLOOKUP(P186,COPY!$A$1:$AC$1000,21,FALSE),IF(LEFT(C186,16)="Terima Pajak PPH",VLOOKUP(P186,COPY!$A$1:$AC$1000,21,FALSE),IF(LEFT(C186,13)="Terima PPh 23",VLOOKUP(P186,COPY!$A$1:$AC$1000,21,FALSE),0)))</f>
        <v>0</v>
      </c>
      <c r="C186" s="425"/>
      <c r="D186" s="425"/>
      <c r="E186" s="472"/>
      <c r="F186" s="473"/>
      <c r="G186" s="474"/>
      <c r="H186" s="475"/>
      <c r="I186" s="511"/>
      <c r="J186" s="500"/>
      <c r="K186" s="476"/>
      <c r="L186" s="468"/>
      <c r="M186" s="468"/>
      <c r="N186" s="477"/>
      <c r="U186" s="457" t="str">
        <f t="shared" si="21"/>
        <v xml:space="preserve"> </v>
      </c>
    </row>
    <row r="187" spans="2:21" ht="20.100000000000001" customHeight="1" thickBot="1" x14ac:dyDescent="0.3">
      <c r="B187" s="478"/>
      <c r="C187" s="479"/>
      <c r="D187" s="479"/>
      <c r="E187" s="480"/>
      <c r="F187" s="481"/>
      <c r="G187" s="478"/>
      <c r="H187" s="479"/>
      <c r="I187" s="512"/>
      <c r="J187" s="505"/>
      <c r="L187" s="501"/>
      <c r="M187" s="482"/>
      <c r="N187" s="483"/>
    </row>
    <row r="188" spans="2:21" ht="20.100000000000001" customHeight="1" x14ac:dyDescent="0.25">
      <c r="B188" s="484"/>
      <c r="F188" s="485"/>
      <c r="G188" s="484"/>
      <c r="I188" s="513"/>
      <c r="J188" s="515"/>
      <c r="K188" s="457"/>
      <c r="L188" s="502" t="str">
        <f>IF(LEFT(J188,15)="Bayar Pajak PPN",1,IF(LEFT(J188,15)="Bayar Pajak PPH",2," "))</f>
        <v xml:space="preserve"> </v>
      </c>
      <c r="M188" s="417"/>
      <c r="N188" s="486" t="s">
        <v>310</v>
      </c>
    </row>
    <row r="189" spans="2:21" ht="20.100000000000001" hidden="1" customHeight="1" x14ac:dyDescent="0.25">
      <c r="B189" s="487"/>
      <c r="F189" s="488"/>
      <c r="G189" s="484"/>
      <c r="I189" s="513"/>
      <c r="J189" s="515">
        <f t="shared" ref="J189:J252" si="23">S189</f>
        <v>0</v>
      </c>
      <c r="K189" s="457"/>
      <c r="L189" s="502" t="str">
        <f>IF(LEFT(J189,15)="Bayar Pajak PPN",1,IF(LEFT(J189,15)="Bayar Pajak PPH",2,IF(LEFT(J189,21)="Bayar Pajak Final PPH",3," ")))</f>
        <v xml:space="preserve"> </v>
      </c>
      <c r="M189" s="467"/>
      <c r="N189" s="477">
        <f>IFERROR(VLOOKUP(P33,COPY!$A$1:$AC$1000,26,FALSE),0)</f>
        <v>0</v>
      </c>
      <c r="P189" s="448">
        <f>IFERROR(VLOOKUP(P33,COPY!$A$1:$AC$1000,29,FALSE),0)</f>
        <v>0</v>
      </c>
      <c r="S189" s="449">
        <f>IF(LEFT(P189,6)="Terima",REPLACE(P189,1,6,"Bayar"),P189)</f>
        <v>0</v>
      </c>
    </row>
    <row r="190" spans="2:21" ht="20.100000000000001" hidden="1" customHeight="1" x14ac:dyDescent="0.25">
      <c r="B190" s="487"/>
      <c r="F190" s="488"/>
      <c r="G190" s="484"/>
      <c r="I190" s="513"/>
      <c r="J190" s="515">
        <f t="shared" si="23"/>
        <v>0</v>
      </c>
      <c r="K190" s="457"/>
      <c r="L190" s="502" t="str">
        <f>IF(LEFT(J190,15)="Bayar Pajak PPN",1,IF(LEFT(J190,15)="Bayar Pajak PPH",2,IF(LEFT(J190,21)="Bayar Pajak Final PPH",3," ")))</f>
        <v xml:space="preserve"> </v>
      </c>
      <c r="M190" s="467"/>
      <c r="N190" s="477">
        <f>IFERROR(VLOOKUP(P34,COPY!$A$1:$AC$1000,26,FALSE),0)</f>
        <v>0</v>
      </c>
      <c r="P190" s="448">
        <f>IFERROR(VLOOKUP(P34,COPY!$A$1:$AC$1000,29,FALSE),0)</f>
        <v>0</v>
      </c>
      <c r="S190" s="449">
        <f t="shared" ref="S190:S253" si="24">IF(LEFT(P190,6)="Terima",REPLACE(P190,1,6,"Bayar"),P190)</f>
        <v>0</v>
      </c>
    </row>
    <row r="191" spans="2:21" ht="20.100000000000001" hidden="1" customHeight="1" x14ac:dyDescent="0.25">
      <c r="B191" s="487"/>
      <c r="F191" s="488"/>
      <c r="G191" s="484"/>
      <c r="I191" s="513"/>
      <c r="J191" s="515">
        <f t="shared" si="23"/>
        <v>0</v>
      </c>
      <c r="K191" s="457"/>
      <c r="L191" s="502" t="str">
        <f>IF(LEFT(J191,15)="Bayar Pajak PPN",1,IF(LEFT(J191,15)="Bayar Pajak PPH",2,IF(LEFT(J191,21)="Bayar Pajak Final PPH",3," ")))</f>
        <v xml:space="preserve"> </v>
      </c>
      <c r="M191" s="467"/>
      <c r="N191" s="477">
        <f>IFERROR(VLOOKUP(P35,COPY!$A$1:$AC$1000,26,FALSE),0)</f>
        <v>0</v>
      </c>
      <c r="P191" s="448">
        <f>IFERROR(VLOOKUP(P35,COPY!$A$1:$AC$1000,29,FALSE),0)</f>
        <v>0</v>
      </c>
      <c r="S191" s="449">
        <f t="shared" si="24"/>
        <v>0</v>
      </c>
    </row>
    <row r="192" spans="2:21" ht="20.100000000000001" hidden="1" customHeight="1" x14ac:dyDescent="0.25">
      <c r="B192" s="487"/>
      <c r="F192" s="488"/>
      <c r="G192" s="484"/>
      <c r="I192" s="513"/>
      <c r="J192" s="515">
        <f t="shared" si="23"/>
        <v>0</v>
      </c>
      <c r="K192" s="457"/>
      <c r="L192" s="502" t="str">
        <f>IF(LEFT(J192,15)="Bayar Pajak PPN",1,IF(LEFT(J192,15)="Bayar Pajak PPH",2,IF(LEFT(J192,21)="Bayar Pajak Final PPH",3," ")))</f>
        <v xml:space="preserve"> </v>
      </c>
      <c r="M192" s="467"/>
      <c r="N192" s="477">
        <f>IFERROR(VLOOKUP(P36,COPY!$A$1:$AC$1000,26,FALSE),0)</f>
        <v>0</v>
      </c>
      <c r="P192" s="448">
        <f>IFERROR(VLOOKUP(P36,COPY!$A$1:$AC$1000,29,FALSE),0)</f>
        <v>0</v>
      </c>
      <c r="S192" s="449">
        <f t="shared" si="24"/>
        <v>0</v>
      </c>
    </row>
    <row r="193" spans="2:19" ht="20.100000000000001" hidden="1" customHeight="1" x14ac:dyDescent="0.25">
      <c r="B193" s="487"/>
      <c r="F193" s="488"/>
      <c r="G193" s="484"/>
      <c r="I193" s="513"/>
      <c r="J193" s="515">
        <f t="shared" si="23"/>
        <v>0</v>
      </c>
      <c r="K193" s="457"/>
      <c r="L193" s="502" t="str">
        <f>IF(LEFT(J193,15)="Bayar Pajak PPN",1,IF(LEFT(J193,15)="Bayar Pajak PPH",2,IF(LEFT(J193,21)="Bayar Pajak Final PPH",3," ")))</f>
        <v xml:space="preserve"> </v>
      </c>
      <c r="M193" s="467"/>
      <c r="N193" s="477">
        <f>IFERROR(VLOOKUP(P37,COPY!$A$1:$AC$1000,26,FALSE),0)</f>
        <v>0</v>
      </c>
      <c r="P193" s="448">
        <f>IFERROR(VLOOKUP(P37,COPY!$A$1:$AC$1000,29,FALSE),0)</f>
        <v>0</v>
      </c>
      <c r="S193" s="449">
        <f t="shared" si="24"/>
        <v>0</v>
      </c>
    </row>
    <row r="194" spans="2:19" ht="20.100000000000001" hidden="1" customHeight="1" x14ac:dyDescent="0.25">
      <c r="B194" s="487"/>
      <c r="F194" s="488"/>
      <c r="G194" s="484"/>
      <c r="I194" s="513"/>
      <c r="J194" s="515">
        <f t="shared" si="23"/>
        <v>0</v>
      </c>
      <c r="K194" s="457"/>
      <c r="L194" s="502" t="str">
        <f t="shared" ref="L194:L257" si="25">IF(LEFT(J194,15)="Bayar Pajak PPN",1,IF(LEFT(J194,15)="Bayar Pajak PPH",2,IF(LEFT(J194,21)="Bayar Pajak Final PPH",3," ")))</f>
        <v xml:space="preserve"> </v>
      </c>
      <c r="M194" s="467"/>
      <c r="N194" s="477">
        <f>IFERROR(VLOOKUP(P38,COPY!$A$1:$AC$1000,26,FALSE),0)</f>
        <v>0</v>
      </c>
      <c r="P194" s="448">
        <f>IFERROR(VLOOKUP(P38,COPY!$A$1:$AC$1000,29,FALSE),0)</f>
        <v>0</v>
      </c>
      <c r="S194" s="449">
        <f t="shared" si="24"/>
        <v>0</v>
      </c>
    </row>
    <row r="195" spans="2:19" ht="20.100000000000001" hidden="1" customHeight="1" x14ac:dyDescent="0.25">
      <c r="B195" s="487"/>
      <c r="F195" s="488"/>
      <c r="G195" s="484"/>
      <c r="I195" s="513"/>
      <c r="J195" s="515">
        <f t="shared" si="23"/>
        <v>0</v>
      </c>
      <c r="K195" s="457"/>
      <c r="L195" s="502" t="str">
        <f t="shared" si="25"/>
        <v xml:space="preserve"> </v>
      </c>
      <c r="M195" s="467"/>
      <c r="N195" s="477">
        <f>IFERROR(VLOOKUP(P39,COPY!$A$1:$AC$1000,26,FALSE),0)</f>
        <v>0</v>
      </c>
      <c r="P195" s="448">
        <f>IFERROR(VLOOKUP(P39,COPY!$A$1:$AC$1000,29,FALSE),0)</f>
        <v>0</v>
      </c>
      <c r="S195" s="449">
        <f t="shared" si="24"/>
        <v>0</v>
      </c>
    </row>
    <row r="196" spans="2:19" ht="20.100000000000001" hidden="1" customHeight="1" x14ac:dyDescent="0.25">
      <c r="B196" s="487"/>
      <c r="F196" s="488"/>
      <c r="G196" s="484"/>
      <c r="I196" s="513"/>
      <c r="J196" s="515">
        <f t="shared" si="23"/>
        <v>0</v>
      </c>
      <c r="K196" s="457"/>
      <c r="L196" s="502" t="str">
        <f t="shared" si="25"/>
        <v xml:space="preserve"> </v>
      </c>
      <c r="M196" s="467"/>
      <c r="N196" s="477">
        <f>IFERROR(VLOOKUP(P40,COPY!$A$1:$AC$1000,26,FALSE),0)</f>
        <v>0</v>
      </c>
      <c r="P196" s="448">
        <f>IFERROR(VLOOKUP(P40,COPY!$A$1:$AC$1000,29,FALSE),0)</f>
        <v>0</v>
      </c>
      <c r="S196" s="449">
        <f t="shared" si="24"/>
        <v>0</v>
      </c>
    </row>
    <row r="197" spans="2:19" ht="20.100000000000001" hidden="1" customHeight="1" x14ac:dyDescent="0.25">
      <c r="B197" s="487"/>
      <c r="F197" s="488"/>
      <c r="G197" s="484"/>
      <c r="I197" s="513"/>
      <c r="J197" s="515">
        <f t="shared" si="23"/>
        <v>0</v>
      </c>
      <c r="K197" s="457"/>
      <c r="L197" s="502" t="str">
        <f t="shared" si="25"/>
        <v xml:space="preserve"> </v>
      </c>
      <c r="M197" s="467"/>
      <c r="N197" s="477">
        <f>IFERROR(VLOOKUP(P41,COPY!$A$1:$AC$1000,26,FALSE),0)</f>
        <v>0</v>
      </c>
      <c r="P197" s="448">
        <f>IFERROR(VLOOKUP(P41,COPY!$A$1:$AC$1000,29,FALSE),0)</f>
        <v>0</v>
      </c>
      <c r="S197" s="449">
        <f t="shared" si="24"/>
        <v>0</v>
      </c>
    </row>
    <row r="198" spans="2:19" ht="20.100000000000001" hidden="1" customHeight="1" x14ac:dyDescent="0.25">
      <c r="B198" s="487"/>
      <c r="F198" s="488"/>
      <c r="G198" s="484"/>
      <c r="I198" s="513"/>
      <c r="J198" s="515">
        <f t="shared" si="23"/>
        <v>0</v>
      </c>
      <c r="K198" s="457"/>
      <c r="L198" s="502" t="str">
        <f t="shared" si="25"/>
        <v xml:space="preserve"> </v>
      </c>
      <c r="M198" s="467"/>
      <c r="N198" s="477">
        <f>IFERROR(VLOOKUP(P42,COPY!$A$1:$AC$1000,26,FALSE),0)</f>
        <v>0</v>
      </c>
      <c r="P198" s="448">
        <f>IFERROR(VLOOKUP(P42,COPY!$A$1:$AC$1000,29,FALSE),0)</f>
        <v>0</v>
      </c>
      <c r="S198" s="449">
        <f t="shared" si="24"/>
        <v>0</v>
      </c>
    </row>
    <row r="199" spans="2:19" ht="20.100000000000001" hidden="1" customHeight="1" x14ac:dyDescent="0.25">
      <c r="B199" s="487"/>
      <c r="F199" s="488"/>
      <c r="G199" s="484"/>
      <c r="I199" s="513"/>
      <c r="J199" s="515">
        <f t="shared" si="23"/>
        <v>0</v>
      </c>
      <c r="K199" s="457"/>
      <c r="L199" s="502" t="str">
        <f t="shared" si="25"/>
        <v xml:space="preserve"> </v>
      </c>
      <c r="M199" s="467"/>
      <c r="N199" s="477">
        <f>IFERROR(VLOOKUP(P43,COPY!$A$1:$AC$1000,26,FALSE),0)</f>
        <v>0</v>
      </c>
      <c r="P199" s="448">
        <f>IFERROR(VLOOKUP(P43,COPY!$A$1:$AC$1000,29,FALSE),0)</f>
        <v>0</v>
      </c>
      <c r="S199" s="449">
        <f t="shared" si="24"/>
        <v>0</v>
      </c>
    </row>
    <row r="200" spans="2:19" ht="20.100000000000001" hidden="1" customHeight="1" x14ac:dyDescent="0.25">
      <c r="B200" s="487"/>
      <c r="F200" s="488"/>
      <c r="G200" s="484"/>
      <c r="I200" s="513"/>
      <c r="J200" s="515">
        <f t="shared" si="23"/>
        <v>0</v>
      </c>
      <c r="K200" s="457"/>
      <c r="L200" s="502" t="str">
        <f t="shared" si="25"/>
        <v xml:space="preserve"> </v>
      </c>
      <c r="M200" s="467"/>
      <c r="N200" s="477">
        <f>IFERROR(VLOOKUP(P44,COPY!$A$1:$AC$1000,26,FALSE),0)</f>
        <v>0</v>
      </c>
      <c r="P200" s="448">
        <f>IFERROR(VLOOKUP(P44,COPY!$A$1:$AC$1000,29,FALSE),0)</f>
        <v>0</v>
      </c>
      <c r="S200" s="449">
        <f t="shared" si="24"/>
        <v>0</v>
      </c>
    </row>
    <row r="201" spans="2:19" ht="20.100000000000001" hidden="1" customHeight="1" x14ac:dyDescent="0.25">
      <c r="B201" s="487"/>
      <c r="F201" s="488"/>
      <c r="G201" s="484"/>
      <c r="I201" s="513"/>
      <c r="J201" s="515">
        <f t="shared" si="23"/>
        <v>0</v>
      </c>
      <c r="K201" s="457"/>
      <c r="L201" s="502" t="str">
        <f t="shared" si="25"/>
        <v xml:space="preserve"> </v>
      </c>
      <c r="M201" s="467"/>
      <c r="N201" s="477">
        <f>IFERROR(VLOOKUP(P45,COPY!$A$1:$AC$1000,26,FALSE),0)</f>
        <v>0</v>
      </c>
      <c r="P201" s="448">
        <f>IFERROR(VLOOKUP(P45,COPY!$A$1:$AC$1000,29,FALSE),0)</f>
        <v>0</v>
      </c>
      <c r="S201" s="449">
        <f t="shared" si="24"/>
        <v>0</v>
      </c>
    </row>
    <row r="202" spans="2:19" ht="20.100000000000001" hidden="1" customHeight="1" x14ac:dyDescent="0.25">
      <c r="B202" s="487"/>
      <c r="F202" s="488"/>
      <c r="G202" s="484"/>
      <c r="I202" s="513"/>
      <c r="J202" s="515">
        <f t="shared" si="23"/>
        <v>0</v>
      </c>
      <c r="K202" s="457"/>
      <c r="L202" s="502" t="str">
        <f t="shared" si="25"/>
        <v xml:space="preserve"> </v>
      </c>
      <c r="M202" s="467"/>
      <c r="N202" s="477">
        <f>IFERROR(VLOOKUP(P46,COPY!$A$1:$AC$1000,26,FALSE),0)</f>
        <v>0</v>
      </c>
      <c r="P202" s="448">
        <f>IFERROR(VLOOKUP(P46,COPY!$A$1:$AC$1000,29,FALSE),0)</f>
        <v>0</v>
      </c>
      <c r="S202" s="449">
        <f t="shared" si="24"/>
        <v>0</v>
      </c>
    </row>
    <row r="203" spans="2:19" ht="20.100000000000001" hidden="1" customHeight="1" x14ac:dyDescent="0.25">
      <c r="B203" s="487"/>
      <c r="F203" s="488"/>
      <c r="G203" s="484"/>
      <c r="I203" s="513"/>
      <c r="J203" s="515">
        <f t="shared" si="23"/>
        <v>0</v>
      </c>
      <c r="K203" s="457"/>
      <c r="L203" s="502" t="str">
        <f t="shared" si="25"/>
        <v xml:space="preserve"> </v>
      </c>
      <c r="M203" s="467"/>
      <c r="N203" s="477">
        <f>IFERROR(VLOOKUP(P47,COPY!$A$1:$AC$1000,26,FALSE),0)</f>
        <v>0</v>
      </c>
      <c r="P203" s="448">
        <f>IFERROR(VLOOKUP(P47,COPY!$A$1:$AC$1000,29,FALSE),0)</f>
        <v>0</v>
      </c>
      <c r="S203" s="449">
        <f t="shared" si="24"/>
        <v>0</v>
      </c>
    </row>
    <row r="204" spans="2:19" ht="20.100000000000001" hidden="1" customHeight="1" x14ac:dyDescent="0.25">
      <c r="B204" s="487"/>
      <c r="F204" s="488"/>
      <c r="G204" s="484"/>
      <c r="I204" s="513"/>
      <c r="J204" s="515">
        <f t="shared" si="23"/>
        <v>0</v>
      </c>
      <c r="K204" s="457"/>
      <c r="L204" s="502" t="str">
        <f t="shared" si="25"/>
        <v xml:space="preserve"> </v>
      </c>
      <c r="M204" s="467"/>
      <c r="N204" s="477">
        <f>IFERROR(VLOOKUP(P48,COPY!$A$1:$AC$1000,26,FALSE),0)</f>
        <v>0</v>
      </c>
      <c r="P204" s="448">
        <f>IFERROR(VLOOKUP(P48,COPY!$A$1:$AC$1000,29,FALSE),0)</f>
        <v>0</v>
      </c>
      <c r="S204" s="449">
        <f t="shared" si="24"/>
        <v>0</v>
      </c>
    </row>
    <row r="205" spans="2:19" ht="20.100000000000001" hidden="1" customHeight="1" x14ac:dyDescent="0.25">
      <c r="B205" s="487"/>
      <c r="F205" s="488"/>
      <c r="G205" s="484"/>
      <c r="I205" s="513"/>
      <c r="J205" s="515">
        <f t="shared" si="23"/>
        <v>0</v>
      </c>
      <c r="K205" s="457"/>
      <c r="L205" s="502" t="str">
        <f t="shared" si="25"/>
        <v xml:space="preserve"> </v>
      </c>
      <c r="M205" s="467"/>
      <c r="N205" s="477">
        <f>IFERROR(VLOOKUP(P49,COPY!$A$1:$AC$1000,26,FALSE),0)</f>
        <v>0</v>
      </c>
      <c r="P205" s="448">
        <f>IFERROR(VLOOKUP(P49,COPY!$A$1:$AC$1000,29,FALSE),0)</f>
        <v>0</v>
      </c>
      <c r="S205" s="449">
        <f t="shared" si="24"/>
        <v>0</v>
      </c>
    </row>
    <row r="206" spans="2:19" ht="20.100000000000001" hidden="1" customHeight="1" x14ac:dyDescent="0.25">
      <c r="B206" s="487"/>
      <c r="F206" s="488"/>
      <c r="G206" s="484"/>
      <c r="I206" s="513"/>
      <c r="J206" s="515">
        <f t="shared" si="23"/>
        <v>0</v>
      </c>
      <c r="K206" s="457"/>
      <c r="L206" s="502" t="str">
        <f t="shared" si="25"/>
        <v xml:space="preserve"> </v>
      </c>
      <c r="M206" s="467"/>
      <c r="N206" s="477">
        <f>IFERROR(VLOOKUP(P50,COPY!$A$1:$AC$1000,26,FALSE),0)</f>
        <v>0</v>
      </c>
      <c r="P206" s="448">
        <f>IFERROR(VLOOKUP(P50,COPY!$A$1:$AC$1000,29,FALSE),0)</f>
        <v>0</v>
      </c>
      <c r="S206" s="449">
        <f t="shared" si="24"/>
        <v>0</v>
      </c>
    </row>
    <row r="207" spans="2:19" ht="20.100000000000001" hidden="1" customHeight="1" x14ac:dyDescent="0.25">
      <c r="B207" s="487"/>
      <c r="F207" s="488"/>
      <c r="G207" s="484"/>
      <c r="I207" s="513"/>
      <c r="J207" s="515">
        <f t="shared" si="23"/>
        <v>0</v>
      </c>
      <c r="K207" s="457"/>
      <c r="L207" s="502" t="str">
        <f t="shared" si="25"/>
        <v xml:space="preserve"> </v>
      </c>
      <c r="M207" s="467"/>
      <c r="N207" s="477">
        <f>IFERROR(VLOOKUP(P51,COPY!$A$1:$AC$1000,26,FALSE),0)</f>
        <v>0</v>
      </c>
      <c r="P207" s="448">
        <f>IFERROR(VLOOKUP(P51,COPY!$A$1:$AC$1000,29,FALSE),0)</f>
        <v>0</v>
      </c>
      <c r="S207" s="449">
        <f t="shared" si="24"/>
        <v>0</v>
      </c>
    </row>
    <row r="208" spans="2:19" ht="20.100000000000001" hidden="1" customHeight="1" x14ac:dyDescent="0.25">
      <c r="B208" s="487"/>
      <c r="F208" s="488"/>
      <c r="G208" s="484"/>
      <c r="I208" s="513"/>
      <c r="J208" s="515">
        <f t="shared" si="23"/>
        <v>0</v>
      </c>
      <c r="K208" s="457"/>
      <c r="L208" s="502" t="str">
        <f t="shared" si="25"/>
        <v xml:space="preserve"> </v>
      </c>
      <c r="M208" s="467"/>
      <c r="N208" s="477">
        <f>IFERROR(VLOOKUP(P52,COPY!$A$1:$AC$1000,26,FALSE),0)</f>
        <v>0</v>
      </c>
      <c r="P208" s="448">
        <f>IFERROR(VLOOKUP(P52,COPY!$A$1:$AC$1000,29,FALSE),0)</f>
        <v>0</v>
      </c>
      <c r="S208" s="449">
        <f t="shared" si="24"/>
        <v>0</v>
      </c>
    </row>
    <row r="209" spans="2:19" ht="20.100000000000001" hidden="1" customHeight="1" x14ac:dyDescent="0.25">
      <c r="B209" s="487"/>
      <c r="F209" s="488"/>
      <c r="G209" s="484"/>
      <c r="I209" s="513"/>
      <c r="J209" s="515">
        <f t="shared" si="23"/>
        <v>0</v>
      </c>
      <c r="K209" s="457"/>
      <c r="L209" s="502" t="str">
        <f t="shared" si="25"/>
        <v xml:space="preserve"> </v>
      </c>
      <c r="M209" s="467"/>
      <c r="N209" s="477">
        <f>IFERROR(VLOOKUP(P53,COPY!$A$1:$AC$1000,26,FALSE),0)</f>
        <v>0</v>
      </c>
      <c r="P209" s="448">
        <f>IFERROR(VLOOKUP(P53,COPY!$A$1:$AC$1000,29,FALSE),0)</f>
        <v>0</v>
      </c>
      <c r="S209" s="449">
        <f t="shared" si="24"/>
        <v>0</v>
      </c>
    </row>
    <row r="210" spans="2:19" ht="20.100000000000001" hidden="1" customHeight="1" x14ac:dyDescent="0.25">
      <c r="B210" s="487"/>
      <c r="F210" s="488"/>
      <c r="G210" s="484"/>
      <c r="I210" s="513"/>
      <c r="J210" s="515">
        <f t="shared" si="23"/>
        <v>0</v>
      </c>
      <c r="K210" s="457"/>
      <c r="L210" s="502" t="str">
        <f t="shared" si="25"/>
        <v xml:space="preserve"> </v>
      </c>
      <c r="M210" s="467"/>
      <c r="N210" s="477">
        <f>IFERROR(VLOOKUP(P54,COPY!$A$1:$AC$1000,26,FALSE),0)</f>
        <v>0</v>
      </c>
      <c r="P210" s="448">
        <f>IFERROR(VLOOKUP(P54,COPY!$A$1:$AC$1000,29,FALSE),0)</f>
        <v>0</v>
      </c>
      <c r="S210" s="449">
        <f t="shared" si="24"/>
        <v>0</v>
      </c>
    </row>
    <row r="211" spans="2:19" ht="20.100000000000001" hidden="1" customHeight="1" x14ac:dyDescent="0.25">
      <c r="B211" s="487"/>
      <c r="F211" s="488"/>
      <c r="G211" s="484"/>
      <c r="I211" s="513"/>
      <c r="J211" s="515">
        <f t="shared" si="23"/>
        <v>0</v>
      </c>
      <c r="K211" s="457"/>
      <c r="L211" s="502" t="str">
        <f t="shared" si="25"/>
        <v xml:space="preserve"> </v>
      </c>
      <c r="M211" s="467"/>
      <c r="N211" s="477">
        <f>IFERROR(VLOOKUP(P55,COPY!$A$1:$AC$1000,26,FALSE),0)</f>
        <v>0</v>
      </c>
      <c r="P211" s="448">
        <f>IFERROR(VLOOKUP(P55,COPY!$A$1:$AC$1000,29,FALSE),0)</f>
        <v>0</v>
      </c>
      <c r="S211" s="449">
        <f t="shared" si="24"/>
        <v>0</v>
      </c>
    </row>
    <row r="212" spans="2:19" ht="20.100000000000001" hidden="1" customHeight="1" x14ac:dyDescent="0.25">
      <c r="B212" s="484"/>
      <c r="F212" s="488"/>
      <c r="G212" s="484"/>
      <c r="I212" s="513"/>
      <c r="J212" s="515">
        <f t="shared" si="23"/>
        <v>0</v>
      </c>
      <c r="K212" s="457"/>
      <c r="L212" s="502" t="str">
        <f t="shared" si="25"/>
        <v xml:space="preserve"> </v>
      </c>
      <c r="M212" s="467"/>
      <c r="N212" s="477">
        <f>IFERROR(VLOOKUP(P56,COPY!$A$1:$AC$1000,26,FALSE),0)</f>
        <v>0</v>
      </c>
      <c r="P212" s="448">
        <f>IFERROR(VLOOKUP(P56,COPY!$A$1:$AC$1000,29,FALSE),0)</f>
        <v>0</v>
      </c>
      <c r="S212" s="449">
        <f t="shared" si="24"/>
        <v>0</v>
      </c>
    </row>
    <row r="213" spans="2:19" ht="20.100000000000001" hidden="1" customHeight="1" x14ac:dyDescent="0.25">
      <c r="B213" s="484"/>
      <c r="F213" s="488"/>
      <c r="G213" s="484"/>
      <c r="I213" s="513"/>
      <c r="J213" s="515">
        <f t="shared" si="23"/>
        <v>0</v>
      </c>
      <c r="K213" s="457"/>
      <c r="L213" s="502" t="str">
        <f t="shared" si="25"/>
        <v xml:space="preserve"> </v>
      </c>
      <c r="M213" s="467"/>
      <c r="N213" s="477">
        <f>IFERROR(VLOOKUP(P57,COPY!$A$1:$AC$1000,26,FALSE),0)</f>
        <v>0</v>
      </c>
      <c r="P213" s="448">
        <f>IFERROR(VLOOKUP(P57,COPY!$A$1:$AC$1000,29,FALSE),0)</f>
        <v>0</v>
      </c>
      <c r="S213" s="449">
        <f t="shared" si="24"/>
        <v>0</v>
      </c>
    </row>
    <row r="214" spans="2:19" ht="20.100000000000001" hidden="1" customHeight="1" x14ac:dyDescent="0.25">
      <c r="B214" s="484"/>
      <c r="F214" s="488"/>
      <c r="G214" s="484"/>
      <c r="I214" s="513"/>
      <c r="J214" s="515">
        <f t="shared" si="23"/>
        <v>0</v>
      </c>
      <c r="K214" s="457"/>
      <c r="L214" s="502" t="str">
        <f t="shared" si="25"/>
        <v xml:space="preserve"> </v>
      </c>
      <c r="M214" s="467"/>
      <c r="N214" s="477">
        <f>IFERROR(VLOOKUP(P58,COPY!$A$1:$AC$1000,26,FALSE),0)</f>
        <v>0</v>
      </c>
      <c r="P214" s="448">
        <f>IFERROR(VLOOKUP(P58,COPY!$A$1:$AC$1000,29,FALSE),0)</f>
        <v>0</v>
      </c>
      <c r="S214" s="449">
        <f t="shared" si="24"/>
        <v>0</v>
      </c>
    </row>
    <row r="215" spans="2:19" ht="20.100000000000001" hidden="1" customHeight="1" x14ac:dyDescent="0.25">
      <c r="B215" s="484"/>
      <c r="F215" s="488"/>
      <c r="G215" s="484"/>
      <c r="I215" s="513"/>
      <c r="J215" s="515">
        <f t="shared" si="23"/>
        <v>0</v>
      </c>
      <c r="K215" s="457"/>
      <c r="L215" s="502" t="str">
        <f t="shared" si="25"/>
        <v xml:space="preserve"> </v>
      </c>
      <c r="M215" s="467"/>
      <c r="N215" s="477">
        <f>IFERROR(VLOOKUP(P59,COPY!$A$1:$AC$1000,26,FALSE),0)</f>
        <v>0</v>
      </c>
      <c r="P215" s="448">
        <f>IFERROR(VLOOKUP(P59,COPY!$A$1:$AC$1000,29,FALSE),0)</f>
        <v>0</v>
      </c>
      <c r="S215" s="449">
        <f t="shared" si="24"/>
        <v>0</v>
      </c>
    </row>
    <row r="216" spans="2:19" ht="20.100000000000001" hidden="1" customHeight="1" x14ac:dyDescent="0.25">
      <c r="B216" s="487"/>
      <c r="F216" s="488"/>
      <c r="G216" s="484"/>
      <c r="I216" s="513"/>
      <c r="J216" s="515">
        <f t="shared" si="23"/>
        <v>0</v>
      </c>
      <c r="K216" s="457"/>
      <c r="L216" s="502" t="str">
        <f t="shared" si="25"/>
        <v xml:space="preserve"> </v>
      </c>
      <c r="M216" s="467"/>
      <c r="N216" s="477">
        <f>IFERROR(VLOOKUP(P60,COPY!$A$1:$AC$1000,26,FALSE),0)</f>
        <v>0</v>
      </c>
      <c r="P216" s="448">
        <f>IFERROR(VLOOKUP(P60,COPY!$A$1:$AC$1000,29,FALSE),0)</f>
        <v>0</v>
      </c>
      <c r="S216" s="449">
        <f t="shared" si="24"/>
        <v>0</v>
      </c>
    </row>
    <row r="217" spans="2:19" ht="20.100000000000001" hidden="1" customHeight="1" x14ac:dyDescent="0.25">
      <c r="B217" s="487"/>
      <c r="F217" s="488"/>
      <c r="G217" s="484"/>
      <c r="I217" s="513"/>
      <c r="J217" s="515">
        <f t="shared" si="23"/>
        <v>0</v>
      </c>
      <c r="K217" s="457"/>
      <c r="L217" s="502" t="str">
        <f t="shared" si="25"/>
        <v xml:space="preserve"> </v>
      </c>
      <c r="M217" s="467"/>
      <c r="N217" s="477">
        <f>IFERROR(VLOOKUP(P61,COPY!$A$1:$AC$1000,26,FALSE),0)</f>
        <v>0</v>
      </c>
      <c r="P217" s="448">
        <f>IFERROR(VLOOKUP(P61,COPY!$A$1:$AC$1000,29,FALSE),0)</f>
        <v>0</v>
      </c>
      <c r="S217" s="449">
        <f t="shared" si="24"/>
        <v>0</v>
      </c>
    </row>
    <row r="218" spans="2:19" ht="20.100000000000001" hidden="1" customHeight="1" x14ac:dyDescent="0.25">
      <c r="B218" s="487"/>
      <c r="F218" s="488"/>
      <c r="G218" s="484"/>
      <c r="I218" s="513"/>
      <c r="J218" s="515">
        <f t="shared" si="23"/>
        <v>0</v>
      </c>
      <c r="K218" s="457"/>
      <c r="L218" s="502" t="str">
        <f t="shared" si="25"/>
        <v xml:space="preserve"> </v>
      </c>
      <c r="M218" s="467"/>
      <c r="N218" s="477">
        <f>IFERROR(VLOOKUP(P62,COPY!$A$1:$AC$1000,26,FALSE),0)</f>
        <v>0</v>
      </c>
      <c r="P218" s="448">
        <f>IFERROR(VLOOKUP(P62,COPY!$A$1:$AC$1000,29,FALSE),0)</f>
        <v>0</v>
      </c>
      <c r="S218" s="449">
        <f t="shared" si="24"/>
        <v>0</v>
      </c>
    </row>
    <row r="219" spans="2:19" ht="20.100000000000001" hidden="1" customHeight="1" x14ac:dyDescent="0.25">
      <c r="B219" s="487"/>
      <c r="F219" s="488"/>
      <c r="G219" s="484"/>
      <c r="I219" s="513"/>
      <c r="J219" s="515">
        <f t="shared" si="23"/>
        <v>0</v>
      </c>
      <c r="K219" s="457"/>
      <c r="L219" s="502" t="str">
        <f t="shared" si="25"/>
        <v xml:space="preserve"> </v>
      </c>
      <c r="M219" s="467"/>
      <c r="N219" s="477">
        <f>IFERROR(VLOOKUP(P63,COPY!$A$1:$AC$1000,26,FALSE),0)</f>
        <v>0</v>
      </c>
      <c r="P219" s="448">
        <f>IFERROR(VLOOKUP(P63,COPY!$A$1:$AC$1000,29,FALSE),0)</f>
        <v>0</v>
      </c>
      <c r="S219" s="449">
        <f t="shared" si="24"/>
        <v>0</v>
      </c>
    </row>
    <row r="220" spans="2:19" ht="20.100000000000001" hidden="1" customHeight="1" x14ac:dyDescent="0.25">
      <c r="B220" s="487"/>
      <c r="F220" s="488"/>
      <c r="G220" s="484"/>
      <c r="I220" s="513"/>
      <c r="J220" s="515">
        <f t="shared" si="23"/>
        <v>0</v>
      </c>
      <c r="K220" s="457"/>
      <c r="L220" s="502" t="str">
        <f t="shared" si="25"/>
        <v xml:space="preserve"> </v>
      </c>
      <c r="M220" s="467"/>
      <c r="N220" s="477">
        <f>IFERROR(VLOOKUP(P64,COPY!$A$1:$AC$1000,26,FALSE),0)</f>
        <v>0</v>
      </c>
      <c r="P220" s="448">
        <f>IFERROR(VLOOKUP(P64,COPY!$A$1:$AC$1000,29,FALSE),0)</f>
        <v>0</v>
      </c>
      <c r="S220" s="449">
        <f t="shared" si="24"/>
        <v>0</v>
      </c>
    </row>
    <row r="221" spans="2:19" ht="20.100000000000001" hidden="1" customHeight="1" x14ac:dyDescent="0.25">
      <c r="B221" s="487"/>
      <c r="F221" s="488"/>
      <c r="G221" s="484"/>
      <c r="I221" s="513"/>
      <c r="J221" s="515">
        <f t="shared" si="23"/>
        <v>0</v>
      </c>
      <c r="K221" s="457"/>
      <c r="L221" s="502" t="str">
        <f t="shared" si="25"/>
        <v xml:space="preserve"> </v>
      </c>
      <c r="M221" s="467"/>
      <c r="N221" s="477">
        <f>IFERROR(VLOOKUP(P65,COPY!$A$1:$AC$1000,26,FALSE),0)</f>
        <v>0</v>
      </c>
      <c r="P221" s="448">
        <f>IFERROR(VLOOKUP(P65,COPY!$A$1:$AC$1000,29,FALSE),0)</f>
        <v>0</v>
      </c>
      <c r="S221" s="449">
        <f t="shared" si="24"/>
        <v>0</v>
      </c>
    </row>
    <row r="222" spans="2:19" ht="20.100000000000001" hidden="1" customHeight="1" x14ac:dyDescent="0.25">
      <c r="B222" s="487"/>
      <c r="F222" s="488"/>
      <c r="G222" s="484"/>
      <c r="I222" s="513"/>
      <c r="J222" s="515">
        <f t="shared" si="23"/>
        <v>0</v>
      </c>
      <c r="K222" s="457"/>
      <c r="L222" s="502" t="str">
        <f t="shared" si="25"/>
        <v xml:space="preserve"> </v>
      </c>
      <c r="M222" s="467"/>
      <c r="N222" s="477">
        <f>IFERROR(VLOOKUP(P66,COPY!$A$1:$AC$1000,26,FALSE),0)</f>
        <v>0</v>
      </c>
      <c r="P222" s="448">
        <f>IFERROR(VLOOKUP(P66,COPY!$A$1:$AC$1000,29,FALSE),0)</f>
        <v>0</v>
      </c>
      <c r="S222" s="449">
        <f t="shared" si="24"/>
        <v>0</v>
      </c>
    </row>
    <row r="223" spans="2:19" ht="20.100000000000001" hidden="1" customHeight="1" x14ac:dyDescent="0.25">
      <c r="B223" s="487"/>
      <c r="F223" s="488"/>
      <c r="G223" s="484"/>
      <c r="I223" s="513"/>
      <c r="J223" s="515">
        <f t="shared" si="23"/>
        <v>0</v>
      </c>
      <c r="K223" s="457"/>
      <c r="L223" s="502" t="str">
        <f t="shared" si="25"/>
        <v xml:space="preserve"> </v>
      </c>
      <c r="M223" s="467"/>
      <c r="N223" s="477">
        <f>IFERROR(VLOOKUP(P67,COPY!$A$1:$AC$1000,26,FALSE),0)</f>
        <v>0</v>
      </c>
      <c r="P223" s="448">
        <f>IFERROR(VLOOKUP(P67,COPY!$A$1:$AC$1000,29,FALSE),0)</f>
        <v>0</v>
      </c>
      <c r="S223" s="449">
        <f t="shared" si="24"/>
        <v>0</v>
      </c>
    </row>
    <row r="224" spans="2:19" ht="20.100000000000001" hidden="1" customHeight="1" x14ac:dyDescent="0.25">
      <c r="B224" s="487"/>
      <c r="F224" s="488"/>
      <c r="G224" s="484"/>
      <c r="I224" s="513"/>
      <c r="J224" s="515">
        <f t="shared" si="23"/>
        <v>0</v>
      </c>
      <c r="K224" s="457"/>
      <c r="L224" s="502" t="str">
        <f t="shared" si="25"/>
        <v xml:space="preserve"> </v>
      </c>
      <c r="M224" s="467"/>
      <c r="N224" s="477">
        <f>IFERROR(VLOOKUP(P68,COPY!$A$1:$AC$1000,26,FALSE),0)</f>
        <v>0</v>
      </c>
      <c r="P224" s="448">
        <f>IFERROR(VLOOKUP(P68,COPY!$A$1:$AC$1000,29,FALSE),0)</f>
        <v>0</v>
      </c>
      <c r="S224" s="449">
        <f t="shared" si="24"/>
        <v>0</v>
      </c>
    </row>
    <row r="225" spans="2:19" ht="20.100000000000001" hidden="1" customHeight="1" x14ac:dyDescent="0.25">
      <c r="B225" s="487"/>
      <c r="F225" s="488"/>
      <c r="G225" s="484"/>
      <c r="I225" s="513"/>
      <c r="J225" s="515">
        <f t="shared" si="23"/>
        <v>0</v>
      </c>
      <c r="K225" s="457"/>
      <c r="L225" s="502" t="str">
        <f t="shared" si="25"/>
        <v xml:space="preserve"> </v>
      </c>
      <c r="M225" s="467"/>
      <c r="N225" s="477">
        <f>IFERROR(VLOOKUP(P69,COPY!$A$1:$AC$1000,26,FALSE),0)</f>
        <v>0</v>
      </c>
      <c r="P225" s="448">
        <f>IFERROR(VLOOKUP(P69,COPY!$A$1:$AC$1000,29,FALSE),0)</f>
        <v>0</v>
      </c>
      <c r="S225" s="449">
        <f t="shared" si="24"/>
        <v>0</v>
      </c>
    </row>
    <row r="226" spans="2:19" ht="20.100000000000001" customHeight="1" x14ac:dyDescent="0.25">
      <c r="B226" s="487"/>
      <c r="F226" s="488"/>
      <c r="G226" s="484"/>
      <c r="I226" s="513"/>
      <c r="J226" s="515" t="str">
        <f t="shared" si="23"/>
        <v>Bayar PPh Pasal 4 ayat 2 (3,5 %) BKK.8</v>
      </c>
      <c r="K226" s="457"/>
      <c r="L226" s="502" t="str">
        <f t="shared" si="25"/>
        <v xml:space="preserve"> </v>
      </c>
      <c r="M226" s="467"/>
      <c r="N226" s="477">
        <f>IFERROR(VLOOKUP(P70,COPY!$A$1:$AC$1000,26,FALSE),0)</f>
        <v>96649.35</v>
      </c>
      <c r="P226" s="448" t="str">
        <f>IFERROR(VLOOKUP(P70,COPY!$A$1:$AC$1000,29,FALSE),0)</f>
        <v>Terima PPh Pasal 4 ayat 2 (3,5 %) BKK.8</v>
      </c>
      <c r="S226" s="449" t="str">
        <f t="shared" si="24"/>
        <v>Bayar PPh Pasal 4 ayat 2 (3,5 %) BKK.8</v>
      </c>
    </row>
    <row r="227" spans="2:19" ht="20.100000000000001" hidden="1" customHeight="1" x14ac:dyDescent="0.25">
      <c r="B227" s="487"/>
      <c r="F227" s="488"/>
      <c r="G227" s="484"/>
      <c r="I227" s="513"/>
      <c r="J227" s="515">
        <f t="shared" si="23"/>
        <v>0</v>
      </c>
      <c r="K227" s="457"/>
      <c r="L227" s="502" t="str">
        <f t="shared" si="25"/>
        <v xml:space="preserve"> </v>
      </c>
      <c r="M227" s="467"/>
      <c r="N227" s="477">
        <f>IFERROR(VLOOKUP(P71,COPY!$A$1:$AC$1000,26,FALSE),0)</f>
        <v>0</v>
      </c>
      <c r="P227" s="448">
        <f>IFERROR(VLOOKUP(P71,COPY!$A$1:$AC$1000,29,FALSE),0)</f>
        <v>0</v>
      </c>
      <c r="S227" s="449">
        <f t="shared" si="24"/>
        <v>0</v>
      </c>
    </row>
    <row r="228" spans="2:19" ht="20.100000000000001" hidden="1" customHeight="1" x14ac:dyDescent="0.25">
      <c r="B228" s="487"/>
      <c r="F228" s="488"/>
      <c r="G228" s="484"/>
      <c r="I228" s="513"/>
      <c r="J228" s="515">
        <f t="shared" si="23"/>
        <v>0</v>
      </c>
      <c r="K228" s="457"/>
      <c r="L228" s="502" t="str">
        <f t="shared" si="25"/>
        <v xml:space="preserve"> </v>
      </c>
      <c r="M228" s="467"/>
      <c r="N228" s="477">
        <f>IFERROR(VLOOKUP(P72,COPY!$A$1:$AC$1000,26,FALSE),0)</f>
        <v>0</v>
      </c>
      <c r="P228" s="448">
        <f>IFERROR(VLOOKUP(P72,COPY!$A$1:$AC$1000,29,FALSE),0)</f>
        <v>0</v>
      </c>
      <c r="S228" s="449">
        <f t="shared" si="24"/>
        <v>0</v>
      </c>
    </row>
    <row r="229" spans="2:19" ht="20.100000000000001" hidden="1" customHeight="1" x14ac:dyDescent="0.25">
      <c r="B229" s="487"/>
      <c r="F229" s="488"/>
      <c r="G229" s="484"/>
      <c r="I229" s="513"/>
      <c r="J229" s="515">
        <f t="shared" si="23"/>
        <v>0</v>
      </c>
      <c r="K229" s="457"/>
      <c r="L229" s="502" t="str">
        <f t="shared" si="25"/>
        <v xml:space="preserve"> </v>
      </c>
      <c r="M229" s="467"/>
      <c r="N229" s="477">
        <f>IFERROR(VLOOKUP(P73,COPY!$A$1:$AC$1000,26,FALSE),0)</f>
        <v>0</v>
      </c>
      <c r="P229" s="448">
        <f>IFERROR(VLOOKUP(P73,COPY!$A$1:$AC$1000,29,FALSE),0)</f>
        <v>0</v>
      </c>
      <c r="S229" s="449">
        <f t="shared" si="24"/>
        <v>0</v>
      </c>
    </row>
    <row r="230" spans="2:19" ht="20.100000000000001" hidden="1" customHeight="1" x14ac:dyDescent="0.25">
      <c r="B230" s="487"/>
      <c r="F230" s="488"/>
      <c r="G230" s="484"/>
      <c r="I230" s="513"/>
      <c r="J230" s="515">
        <f t="shared" si="23"/>
        <v>0</v>
      </c>
      <c r="K230" s="457"/>
      <c r="L230" s="502" t="str">
        <f t="shared" si="25"/>
        <v xml:space="preserve"> </v>
      </c>
      <c r="M230" s="467"/>
      <c r="N230" s="477">
        <f>IFERROR(VLOOKUP(P74,COPY!$A$1:$AC$1000,26,FALSE),0)</f>
        <v>0</v>
      </c>
      <c r="P230" s="448">
        <f>IFERROR(VLOOKUP(P74,COPY!$A$1:$AC$1000,29,FALSE),0)</f>
        <v>0</v>
      </c>
      <c r="S230" s="449">
        <f t="shared" si="24"/>
        <v>0</v>
      </c>
    </row>
    <row r="231" spans="2:19" ht="20.100000000000001" hidden="1" customHeight="1" x14ac:dyDescent="0.25">
      <c r="B231" s="487"/>
      <c r="F231" s="488"/>
      <c r="G231" s="484"/>
      <c r="I231" s="513"/>
      <c r="J231" s="515">
        <f t="shared" si="23"/>
        <v>0</v>
      </c>
      <c r="K231" s="457"/>
      <c r="L231" s="502" t="str">
        <f t="shared" si="25"/>
        <v xml:space="preserve"> </v>
      </c>
      <c r="M231" s="467"/>
      <c r="N231" s="477">
        <f>IFERROR(VLOOKUP(P75,COPY!$A$1:$AC$1000,26,FALSE),0)</f>
        <v>0</v>
      </c>
      <c r="P231" s="448">
        <f>IFERROR(VLOOKUP(P75,COPY!$A$1:$AC$1000,29,FALSE),0)</f>
        <v>0</v>
      </c>
      <c r="S231" s="449">
        <f t="shared" si="24"/>
        <v>0</v>
      </c>
    </row>
    <row r="232" spans="2:19" ht="20.100000000000001" hidden="1" customHeight="1" x14ac:dyDescent="0.25">
      <c r="B232" s="487"/>
      <c r="F232" s="488"/>
      <c r="G232" s="484"/>
      <c r="I232" s="513"/>
      <c r="J232" s="515">
        <f t="shared" si="23"/>
        <v>0</v>
      </c>
      <c r="K232" s="457"/>
      <c r="L232" s="502" t="str">
        <f t="shared" si="25"/>
        <v xml:space="preserve"> </v>
      </c>
      <c r="M232" s="467"/>
      <c r="N232" s="477">
        <f>IFERROR(VLOOKUP(P76,COPY!$A$1:$AC$1000,26,FALSE),0)</f>
        <v>0</v>
      </c>
      <c r="P232" s="448">
        <f>IFERROR(VLOOKUP(P76,COPY!$A$1:$AC$1000,29,FALSE),0)</f>
        <v>0</v>
      </c>
      <c r="S232" s="449">
        <f t="shared" si="24"/>
        <v>0</v>
      </c>
    </row>
    <row r="233" spans="2:19" ht="20.100000000000001" hidden="1" customHeight="1" x14ac:dyDescent="0.25">
      <c r="B233" s="487"/>
      <c r="F233" s="488"/>
      <c r="G233" s="484"/>
      <c r="I233" s="513"/>
      <c r="J233" s="515">
        <f t="shared" si="23"/>
        <v>0</v>
      </c>
      <c r="K233" s="457"/>
      <c r="L233" s="502" t="str">
        <f t="shared" si="25"/>
        <v xml:space="preserve"> </v>
      </c>
      <c r="M233" s="467"/>
      <c r="N233" s="477">
        <f>IFERROR(VLOOKUP(P77,COPY!$A$1:$AC$1000,26,FALSE),0)</f>
        <v>0</v>
      </c>
      <c r="P233" s="448">
        <f>IFERROR(VLOOKUP(P77,COPY!$A$1:$AC$1000,29,FALSE),0)</f>
        <v>0</v>
      </c>
      <c r="S233" s="449">
        <f t="shared" si="24"/>
        <v>0</v>
      </c>
    </row>
    <row r="234" spans="2:19" ht="20.100000000000001" hidden="1" customHeight="1" x14ac:dyDescent="0.25">
      <c r="B234" s="487"/>
      <c r="F234" s="488"/>
      <c r="G234" s="484"/>
      <c r="I234" s="513"/>
      <c r="J234" s="515">
        <f t="shared" si="23"/>
        <v>0</v>
      </c>
      <c r="K234" s="457"/>
      <c r="L234" s="502" t="str">
        <f t="shared" si="25"/>
        <v xml:space="preserve"> </v>
      </c>
      <c r="M234" s="467"/>
      <c r="N234" s="477">
        <f>IFERROR(VLOOKUP(P78,COPY!$A$1:$AC$1000,26,FALSE),0)</f>
        <v>0</v>
      </c>
      <c r="P234" s="448">
        <f>IFERROR(VLOOKUP(P78,COPY!$A$1:$AC$1000,29,FALSE),0)</f>
        <v>0</v>
      </c>
      <c r="S234" s="449">
        <f t="shared" si="24"/>
        <v>0</v>
      </c>
    </row>
    <row r="235" spans="2:19" ht="20.100000000000001" hidden="1" customHeight="1" x14ac:dyDescent="0.25">
      <c r="B235" s="487"/>
      <c r="F235" s="488"/>
      <c r="G235" s="484"/>
      <c r="I235" s="513"/>
      <c r="J235" s="515">
        <f t="shared" si="23"/>
        <v>0</v>
      </c>
      <c r="K235" s="457"/>
      <c r="L235" s="502" t="str">
        <f t="shared" si="25"/>
        <v xml:space="preserve"> </v>
      </c>
      <c r="M235" s="467"/>
      <c r="N235" s="477">
        <f>IFERROR(VLOOKUP(P79,COPY!$A$1:$AC$1000,26,FALSE),0)</f>
        <v>0</v>
      </c>
      <c r="P235" s="448">
        <f>IFERROR(VLOOKUP(P79,COPY!$A$1:$AC$1000,29,FALSE),0)</f>
        <v>0</v>
      </c>
      <c r="S235" s="449">
        <f t="shared" si="24"/>
        <v>0</v>
      </c>
    </row>
    <row r="236" spans="2:19" ht="20.100000000000001" hidden="1" customHeight="1" x14ac:dyDescent="0.25">
      <c r="B236" s="487"/>
      <c r="F236" s="488"/>
      <c r="G236" s="484"/>
      <c r="I236" s="513"/>
      <c r="J236" s="515">
        <f t="shared" si="23"/>
        <v>0</v>
      </c>
      <c r="K236" s="457"/>
      <c r="L236" s="502" t="str">
        <f t="shared" si="25"/>
        <v xml:space="preserve"> </v>
      </c>
      <c r="M236" s="467"/>
      <c r="N236" s="477">
        <f>IFERROR(VLOOKUP(P80,COPY!$A$1:$AC$1000,26,FALSE),0)</f>
        <v>0</v>
      </c>
      <c r="P236" s="448">
        <f>IFERROR(VLOOKUP(P80,COPY!$A$1:$AC$1000,29,FALSE),0)</f>
        <v>0</v>
      </c>
      <c r="S236" s="449">
        <f t="shared" si="24"/>
        <v>0</v>
      </c>
    </row>
    <row r="237" spans="2:19" ht="20.100000000000001" hidden="1" customHeight="1" x14ac:dyDescent="0.25">
      <c r="B237" s="487"/>
      <c r="F237" s="488"/>
      <c r="G237" s="484"/>
      <c r="I237" s="513"/>
      <c r="J237" s="515">
        <f t="shared" si="23"/>
        <v>0</v>
      </c>
      <c r="K237" s="457"/>
      <c r="L237" s="502" t="str">
        <f t="shared" si="25"/>
        <v xml:space="preserve"> </v>
      </c>
      <c r="M237" s="467"/>
      <c r="N237" s="477">
        <f>IFERROR(VLOOKUP(P81,COPY!$A$1:$AC$1000,26,FALSE),0)</f>
        <v>0</v>
      </c>
      <c r="P237" s="448">
        <f>IFERROR(VLOOKUP(P81,COPY!$A$1:$AC$1000,29,FALSE),0)</f>
        <v>0</v>
      </c>
      <c r="S237" s="449">
        <f t="shared" si="24"/>
        <v>0</v>
      </c>
    </row>
    <row r="238" spans="2:19" ht="20.100000000000001" hidden="1" customHeight="1" x14ac:dyDescent="0.25">
      <c r="B238" s="487"/>
      <c r="F238" s="488"/>
      <c r="G238" s="484"/>
      <c r="I238" s="513"/>
      <c r="J238" s="515">
        <f t="shared" si="23"/>
        <v>0</v>
      </c>
      <c r="K238" s="457"/>
      <c r="L238" s="502" t="str">
        <f t="shared" si="25"/>
        <v xml:space="preserve"> </v>
      </c>
      <c r="M238" s="467"/>
      <c r="N238" s="477">
        <f>IFERROR(VLOOKUP(P82,COPY!$A$1:$AC$1000,26,FALSE),0)</f>
        <v>0</v>
      </c>
      <c r="P238" s="448">
        <f>IFERROR(VLOOKUP(P82,COPY!$A$1:$AC$1000,29,FALSE),0)</f>
        <v>0</v>
      </c>
      <c r="S238" s="449">
        <f t="shared" si="24"/>
        <v>0</v>
      </c>
    </row>
    <row r="239" spans="2:19" ht="20.100000000000001" hidden="1" customHeight="1" x14ac:dyDescent="0.25">
      <c r="B239" s="487"/>
      <c r="F239" s="488"/>
      <c r="G239" s="484"/>
      <c r="I239" s="513"/>
      <c r="J239" s="515">
        <f t="shared" si="23"/>
        <v>0</v>
      </c>
      <c r="K239" s="457"/>
      <c r="L239" s="502" t="str">
        <f t="shared" si="25"/>
        <v xml:space="preserve"> </v>
      </c>
      <c r="M239" s="467"/>
      <c r="N239" s="477">
        <f>IFERROR(VLOOKUP(P83,COPY!$A$1:$AC$1000,26,FALSE),0)</f>
        <v>0</v>
      </c>
      <c r="P239" s="448">
        <f>IFERROR(VLOOKUP(P83,COPY!$A$1:$AC$1000,29,FALSE),0)</f>
        <v>0</v>
      </c>
      <c r="S239" s="449">
        <f t="shared" si="24"/>
        <v>0</v>
      </c>
    </row>
    <row r="240" spans="2:19" ht="20.100000000000001" hidden="1" customHeight="1" x14ac:dyDescent="0.25">
      <c r="B240" s="487"/>
      <c r="F240" s="488"/>
      <c r="G240" s="484"/>
      <c r="I240" s="513"/>
      <c r="J240" s="515">
        <f t="shared" si="23"/>
        <v>0</v>
      </c>
      <c r="K240" s="457"/>
      <c r="L240" s="502" t="str">
        <f t="shared" si="25"/>
        <v xml:space="preserve"> </v>
      </c>
      <c r="M240" s="467"/>
      <c r="N240" s="477">
        <f>IFERROR(VLOOKUP(P84,COPY!$A$1:$AC$1000,26,FALSE),0)</f>
        <v>0</v>
      </c>
      <c r="P240" s="448">
        <f>IFERROR(VLOOKUP(P84,COPY!$A$1:$AC$1000,29,FALSE),0)</f>
        <v>0</v>
      </c>
      <c r="S240" s="449">
        <f t="shared" si="24"/>
        <v>0</v>
      </c>
    </row>
    <row r="241" spans="2:19" ht="20.100000000000001" hidden="1" customHeight="1" x14ac:dyDescent="0.25">
      <c r="B241" s="487"/>
      <c r="F241" s="488"/>
      <c r="G241" s="484"/>
      <c r="I241" s="513"/>
      <c r="J241" s="515">
        <f t="shared" si="23"/>
        <v>0</v>
      </c>
      <c r="K241" s="457"/>
      <c r="L241" s="502" t="str">
        <f t="shared" si="25"/>
        <v xml:space="preserve"> </v>
      </c>
      <c r="M241" s="467"/>
      <c r="N241" s="477">
        <f>IFERROR(VLOOKUP(P85,COPY!$A$1:$AC$1000,26,FALSE),0)</f>
        <v>0</v>
      </c>
      <c r="P241" s="448">
        <f>IFERROR(VLOOKUP(P85,COPY!$A$1:$AC$1000,29,FALSE),0)</f>
        <v>0</v>
      </c>
      <c r="S241" s="449">
        <f t="shared" si="24"/>
        <v>0</v>
      </c>
    </row>
    <row r="242" spans="2:19" ht="20.100000000000001" hidden="1" customHeight="1" x14ac:dyDescent="0.25">
      <c r="B242" s="487"/>
      <c r="F242" s="488"/>
      <c r="G242" s="484"/>
      <c r="I242" s="513"/>
      <c r="J242" s="515">
        <f t="shared" si="23"/>
        <v>0</v>
      </c>
      <c r="K242" s="457"/>
      <c r="L242" s="502" t="str">
        <f t="shared" si="25"/>
        <v xml:space="preserve"> </v>
      </c>
      <c r="M242" s="467"/>
      <c r="N242" s="477">
        <f>IFERROR(VLOOKUP(P86,COPY!$A$1:$AC$1000,26,FALSE),0)</f>
        <v>0</v>
      </c>
      <c r="P242" s="448">
        <f>IFERROR(VLOOKUP(P86,COPY!$A$1:$AC$1000,29,FALSE),0)</f>
        <v>0</v>
      </c>
      <c r="S242" s="449">
        <f t="shared" si="24"/>
        <v>0</v>
      </c>
    </row>
    <row r="243" spans="2:19" ht="20.100000000000001" hidden="1" customHeight="1" x14ac:dyDescent="0.25">
      <c r="B243" s="487"/>
      <c r="F243" s="488"/>
      <c r="G243" s="484"/>
      <c r="I243" s="513"/>
      <c r="J243" s="515">
        <f t="shared" si="23"/>
        <v>0</v>
      </c>
      <c r="K243" s="457"/>
      <c r="L243" s="502" t="str">
        <f t="shared" si="25"/>
        <v xml:space="preserve"> </v>
      </c>
      <c r="M243" s="467"/>
      <c r="N243" s="477">
        <f>IFERROR(VLOOKUP(P87,COPY!$A$1:$AC$1000,26,FALSE),0)</f>
        <v>0</v>
      </c>
      <c r="P243" s="448">
        <f>IFERROR(VLOOKUP(P87,COPY!$A$1:$AC$1000,29,FALSE),0)</f>
        <v>0</v>
      </c>
      <c r="S243" s="449">
        <f t="shared" si="24"/>
        <v>0</v>
      </c>
    </row>
    <row r="244" spans="2:19" ht="20.100000000000001" hidden="1" customHeight="1" x14ac:dyDescent="0.25">
      <c r="B244" s="487"/>
      <c r="F244" s="488"/>
      <c r="G244" s="484"/>
      <c r="I244" s="513"/>
      <c r="J244" s="515">
        <f t="shared" si="23"/>
        <v>0</v>
      </c>
      <c r="K244" s="457"/>
      <c r="L244" s="502" t="str">
        <f t="shared" si="25"/>
        <v xml:space="preserve"> </v>
      </c>
      <c r="M244" s="467"/>
      <c r="N244" s="477">
        <f>IFERROR(VLOOKUP(P88,COPY!$A$1:$AC$1000,26,FALSE),0)</f>
        <v>0</v>
      </c>
      <c r="P244" s="448">
        <f>IFERROR(VLOOKUP(P88,COPY!$A$1:$AC$1000,29,FALSE),0)</f>
        <v>0</v>
      </c>
      <c r="S244" s="449">
        <f t="shared" si="24"/>
        <v>0</v>
      </c>
    </row>
    <row r="245" spans="2:19" ht="20.100000000000001" hidden="1" customHeight="1" x14ac:dyDescent="0.25">
      <c r="B245" s="487"/>
      <c r="F245" s="488"/>
      <c r="G245" s="484"/>
      <c r="I245" s="513"/>
      <c r="J245" s="515">
        <f t="shared" si="23"/>
        <v>0</v>
      </c>
      <c r="K245" s="457"/>
      <c r="L245" s="502" t="str">
        <f t="shared" si="25"/>
        <v xml:space="preserve"> </v>
      </c>
      <c r="M245" s="467"/>
      <c r="N245" s="477">
        <f>IFERROR(VLOOKUP(P89,COPY!$A$1:$AC$1000,26,FALSE),0)</f>
        <v>0</v>
      </c>
      <c r="P245" s="448">
        <f>IFERROR(VLOOKUP(P89,COPY!$A$1:$AC$1000,29,FALSE),0)</f>
        <v>0</v>
      </c>
      <c r="S245" s="449">
        <f t="shared" si="24"/>
        <v>0</v>
      </c>
    </row>
    <row r="246" spans="2:19" ht="20.100000000000001" hidden="1" customHeight="1" x14ac:dyDescent="0.25">
      <c r="B246" s="487"/>
      <c r="F246" s="488"/>
      <c r="G246" s="484"/>
      <c r="I246" s="513"/>
      <c r="J246" s="515">
        <f t="shared" si="23"/>
        <v>0</v>
      </c>
      <c r="K246" s="457"/>
      <c r="L246" s="502" t="str">
        <f t="shared" si="25"/>
        <v xml:space="preserve"> </v>
      </c>
      <c r="M246" s="467"/>
      <c r="N246" s="477">
        <f>IFERROR(VLOOKUP(P90,COPY!$A$1:$AC$1000,26,FALSE),0)</f>
        <v>0</v>
      </c>
      <c r="P246" s="448">
        <f>IFERROR(VLOOKUP(P90,COPY!$A$1:$AC$1000,29,FALSE),0)</f>
        <v>0</v>
      </c>
      <c r="S246" s="449">
        <f t="shared" si="24"/>
        <v>0</v>
      </c>
    </row>
    <row r="247" spans="2:19" ht="20.100000000000001" hidden="1" customHeight="1" x14ac:dyDescent="0.25">
      <c r="B247" s="487"/>
      <c r="F247" s="488"/>
      <c r="G247" s="484"/>
      <c r="I247" s="513"/>
      <c r="J247" s="515">
        <f t="shared" si="23"/>
        <v>0</v>
      </c>
      <c r="K247" s="457"/>
      <c r="L247" s="502" t="str">
        <f t="shared" si="25"/>
        <v xml:space="preserve"> </v>
      </c>
      <c r="M247" s="467"/>
      <c r="N247" s="477">
        <f>IFERROR(VLOOKUP(P91,COPY!$A$1:$AC$1000,26,FALSE),0)</f>
        <v>0</v>
      </c>
      <c r="P247" s="448">
        <f>IFERROR(VLOOKUP(P91,COPY!$A$1:$AC$1000,29,FALSE),0)</f>
        <v>0</v>
      </c>
      <c r="S247" s="449">
        <f t="shared" si="24"/>
        <v>0</v>
      </c>
    </row>
    <row r="248" spans="2:19" ht="20.100000000000001" hidden="1" customHeight="1" x14ac:dyDescent="0.25">
      <c r="B248" s="487"/>
      <c r="F248" s="488"/>
      <c r="G248" s="484"/>
      <c r="I248" s="513"/>
      <c r="J248" s="515">
        <f t="shared" si="23"/>
        <v>0</v>
      </c>
      <c r="K248" s="457"/>
      <c r="L248" s="502" t="str">
        <f t="shared" si="25"/>
        <v xml:space="preserve"> </v>
      </c>
      <c r="M248" s="467"/>
      <c r="N248" s="477">
        <f>IFERROR(VLOOKUP(P92,COPY!$A$1:$AC$1000,26,FALSE),0)</f>
        <v>0</v>
      </c>
      <c r="P248" s="448">
        <f>IFERROR(VLOOKUP(P92,COPY!$A$1:$AC$1000,29,FALSE),0)</f>
        <v>0</v>
      </c>
      <c r="S248" s="449">
        <f t="shared" si="24"/>
        <v>0</v>
      </c>
    </row>
    <row r="249" spans="2:19" ht="20.100000000000001" hidden="1" customHeight="1" x14ac:dyDescent="0.25">
      <c r="B249" s="487"/>
      <c r="F249" s="488"/>
      <c r="G249" s="484"/>
      <c r="I249" s="513"/>
      <c r="J249" s="515">
        <f t="shared" si="23"/>
        <v>0</v>
      </c>
      <c r="K249" s="457"/>
      <c r="L249" s="502" t="str">
        <f t="shared" si="25"/>
        <v xml:space="preserve"> </v>
      </c>
      <c r="M249" s="467"/>
      <c r="N249" s="477">
        <f>IFERROR(VLOOKUP(P93,COPY!$A$1:$AC$1000,26,FALSE),0)</f>
        <v>0</v>
      </c>
      <c r="P249" s="448">
        <f>IFERROR(VLOOKUP(P93,COPY!$A$1:$AC$1000,29,FALSE),0)</f>
        <v>0</v>
      </c>
      <c r="S249" s="449">
        <f t="shared" si="24"/>
        <v>0</v>
      </c>
    </row>
    <row r="250" spans="2:19" ht="20.100000000000001" hidden="1" customHeight="1" x14ac:dyDescent="0.25">
      <c r="B250" s="487"/>
      <c r="F250" s="488"/>
      <c r="G250" s="484"/>
      <c r="I250" s="513"/>
      <c r="J250" s="515">
        <f t="shared" si="23"/>
        <v>0</v>
      </c>
      <c r="K250" s="457"/>
      <c r="L250" s="502" t="str">
        <f t="shared" si="25"/>
        <v xml:space="preserve"> </v>
      </c>
      <c r="M250" s="467"/>
      <c r="N250" s="477">
        <f>IFERROR(VLOOKUP(P94,COPY!$A$1:$AC$1000,26,FALSE),0)</f>
        <v>0</v>
      </c>
      <c r="P250" s="448">
        <f>IFERROR(VLOOKUP(P94,COPY!$A$1:$AC$1000,29,FALSE),0)</f>
        <v>0</v>
      </c>
      <c r="S250" s="449">
        <f t="shared" si="24"/>
        <v>0</v>
      </c>
    </row>
    <row r="251" spans="2:19" ht="20.100000000000001" hidden="1" customHeight="1" x14ac:dyDescent="0.25">
      <c r="B251" s="487"/>
      <c r="F251" s="488"/>
      <c r="G251" s="484"/>
      <c r="I251" s="513"/>
      <c r="J251" s="515">
        <f t="shared" si="23"/>
        <v>0</v>
      </c>
      <c r="K251" s="457"/>
      <c r="L251" s="502" t="str">
        <f t="shared" si="25"/>
        <v xml:space="preserve"> </v>
      </c>
      <c r="M251" s="467"/>
      <c r="N251" s="477">
        <f>IFERROR(VLOOKUP(P95,COPY!$A$1:$AC$1000,26,FALSE),0)</f>
        <v>0</v>
      </c>
      <c r="P251" s="448">
        <f>IFERROR(VLOOKUP(P95,COPY!$A$1:$AC$1000,29,FALSE),0)</f>
        <v>0</v>
      </c>
      <c r="S251" s="449">
        <f t="shared" si="24"/>
        <v>0</v>
      </c>
    </row>
    <row r="252" spans="2:19" ht="20.100000000000001" hidden="1" customHeight="1" x14ac:dyDescent="0.25">
      <c r="B252" s="487"/>
      <c r="F252" s="488"/>
      <c r="G252" s="484"/>
      <c r="I252" s="513"/>
      <c r="J252" s="515">
        <f t="shared" si="23"/>
        <v>0</v>
      </c>
      <c r="K252" s="457"/>
      <c r="L252" s="502" t="str">
        <f t="shared" si="25"/>
        <v xml:space="preserve"> </v>
      </c>
      <c r="M252" s="467"/>
      <c r="N252" s="477">
        <f>IFERROR(VLOOKUP(P96,COPY!$A$1:$AC$1000,26,FALSE),0)</f>
        <v>0</v>
      </c>
      <c r="P252" s="448">
        <f>IFERROR(VLOOKUP(P96,COPY!$A$1:$AC$1000,29,FALSE),0)</f>
        <v>0</v>
      </c>
      <c r="S252" s="449">
        <f t="shared" si="24"/>
        <v>0</v>
      </c>
    </row>
    <row r="253" spans="2:19" ht="20.100000000000001" hidden="1" customHeight="1" x14ac:dyDescent="0.25">
      <c r="B253" s="487"/>
      <c r="F253" s="488"/>
      <c r="G253" s="484"/>
      <c r="I253" s="513"/>
      <c r="J253" s="515">
        <f t="shared" ref="J253:J316" si="26">S253</f>
        <v>0</v>
      </c>
      <c r="K253" s="457"/>
      <c r="L253" s="502" t="str">
        <f t="shared" si="25"/>
        <v xml:space="preserve"> </v>
      </c>
      <c r="M253" s="467"/>
      <c r="N253" s="477">
        <f>IFERROR(VLOOKUP(P97,COPY!$A$1:$AC$1000,26,FALSE),0)</f>
        <v>0</v>
      </c>
      <c r="P253" s="448">
        <f>IFERROR(VLOOKUP(P97,COPY!$A$1:$AC$1000,29,FALSE),0)</f>
        <v>0</v>
      </c>
      <c r="S253" s="449">
        <f t="shared" si="24"/>
        <v>0</v>
      </c>
    </row>
    <row r="254" spans="2:19" ht="20.100000000000001" hidden="1" customHeight="1" x14ac:dyDescent="0.25">
      <c r="B254" s="487"/>
      <c r="F254" s="488"/>
      <c r="G254" s="484"/>
      <c r="I254" s="513"/>
      <c r="J254" s="515">
        <f t="shared" si="26"/>
        <v>0</v>
      </c>
      <c r="K254" s="457"/>
      <c r="L254" s="502" t="str">
        <f t="shared" si="25"/>
        <v xml:space="preserve"> </v>
      </c>
      <c r="M254" s="467"/>
      <c r="N254" s="477">
        <f>IFERROR(VLOOKUP(P98,COPY!$A$1:$AC$1000,26,FALSE),0)</f>
        <v>0</v>
      </c>
      <c r="P254" s="448">
        <f>IFERROR(VLOOKUP(P98,COPY!$A$1:$AC$1000,29,FALSE),0)</f>
        <v>0</v>
      </c>
      <c r="S254" s="449">
        <f t="shared" ref="S254:S317" si="27">IF(LEFT(P254,6)="Terima",REPLACE(P254,1,6,"Bayar"),P254)</f>
        <v>0</v>
      </c>
    </row>
    <row r="255" spans="2:19" ht="20.100000000000001" hidden="1" customHeight="1" x14ac:dyDescent="0.25">
      <c r="B255" s="487"/>
      <c r="F255" s="488"/>
      <c r="G255" s="484"/>
      <c r="I255" s="513"/>
      <c r="J255" s="515">
        <f t="shared" si="26"/>
        <v>0</v>
      </c>
      <c r="K255" s="457"/>
      <c r="L255" s="502" t="str">
        <f t="shared" si="25"/>
        <v xml:space="preserve"> </v>
      </c>
      <c r="M255" s="467"/>
      <c r="N255" s="477">
        <f>IFERROR(VLOOKUP(P99,COPY!$A$1:$AC$1000,26,FALSE),0)</f>
        <v>0</v>
      </c>
      <c r="P255" s="448">
        <f>IFERROR(VLOOKUP(P99,COPY!$A$1:$AC$1000,29,FALSE),0)</f>
        <v>0</v>
      </c>
      <c r="S255" s="449">
        <f t="shared" si="27"/>
        <v>0</v>
      </c>
    </row>
    <row r="256" spans="2:19" ht="20.100000000000001" hidden="1" customHeight="1" x14ac:dyDescent="0.25">
      <c r="B256" s="487"/>
      <c r="F256" s="488"/>
      <c r="G256" s="484"/>
      <c r="I256" s="513"/>
      <c r="J256" s="515">
        <f t="shared" si="26"/>
        <v>0</v>
      </c>
      <c r="K256" s="457"/>
      <c r="L256" s="502" t="str">
        <f t="shared" si="25"/>
        <v xml:space="preserve"> </v>
      </c>
      <c r="M256" s="467"/>
      <c r="N256" s="477">
        <f>IFERROR(VLOOKUP(P100,COPY!$A$1:$AC$1000,26,FALSE),0)</f>
        <v>0</v>
      </c>
      <c r="P256" s="448">
        <f>IFERROR(VLOOKUP(P100,COPY!$A$1:$AC$1000,29,FALSE),0)</f>
        <v>0</v>
      </c>
      <c r="S256" s="449">
        <f t="shared" si="27"/>
        <v>0</v>
      </c>
    </row>
    <row r="257" spans="2:19" ht="20.100000000000001" hidden="1" customHeight="1" x14ac:dyDescent="0.25">
      <c r="B257" s="487"/>
      <c r="F257" s="488"/>
      <c r="G257" s="484"/>
      <c r="I257" s="513"/>
      <c r="J257" s="515">
        <f t="shared" si="26"/>
        <v>0</v>
      </c>
      <c r="K257" s="457"/>
      <c r="L257" s="502" t="str">
        <f t="shared" si="25"/>
        <v xml:space="preserve"> </v>
      </c>
      <c r="M257" s="467"/>
      <c r="N257" s="477">
        <f>IFERROR(VLOOKUP(P101,COPY!$A$1:$AC$1000,26,FALSE),0)</f>
        <v>0</v>
      </c>
      <c r="P257" s="448">
        <f>IFERROR(VLOOKUP(P101,COPY!$A$1:$AC$1000,29,FALSE),0)</f>
        <v>0</v>
      </c>
      <c r="S257" s="449">
        <f t="shared" si="27"/>
        <v>0</v>
      </c>
    </row>
    <row r="258" spans="2:19" ht="20.100000000000001" hidden="1" customHeight="1" x14ac:dyDescent="0.25">
      <c r="B258" s="487"/>
      <c r="F258" s="488"/>
      <c r="G258" s="484"/>
      <c r="I258" s="513"/>
      <c r="J258" s="515">
        <f t="shared" si="26"/>
        <v>0</v>
      </c>
      <c r="K258" s="457"/>
      <c r="L258" s="502" t="str">
        <f t="shared" ref="L258:L321" si="28">IF(LEFT(J258,15)="Bayar Pajak PPN",1,IF(LEFT(J258,15)="Bayar Pajak PPH",2,IF(LEFT(J258,21)="Bayar Pajak Final PPH",3," ")))</f>
        <v xml:space="preserve"> </v>
      </c>
      <c r="M258" s="467"/>
      <c r="N258" s="477">
        <f>IFERROR(VLOOKUP(P102,COPY!$A$1:$AC$1000,26,FALSE),0)</f>
        <v>0</v>
      </c>
      <c r="P258" s="448">
        <f>IFERROR(VLOOKUP(P102,COPY!$A$1:$AC$1000,29,FALSE),0)</f>
        <v>0</v>
      </c>
      <c r="S258" s="449">
        <f t="shared" si="27"/>
        <v>0</v>
      </c>
    </row>
    <row r="259" spans="2:19" ht="20.100000000000001" hidden="1" customHeight="1" x14ac:dyDescent="0.25">
      <c r="B259" s="487"/>
      <c r="F259" s="488"/>
      <c r="G259" s="484"/>
      <c r="I259" s="513"/>
      <c r="J259" s="515">
        <f t="shared" si="26"/>
        <v>0</v>
      </c>
      <c r="K259" s="457"/>
      <c r="L259" s="502" t="str">
        <f t="shared" si="28"/>
        <v xml:space="preserve"> </v>
      </c>
      <c r="M259" s="467"/>
      <c r="N259" s="477">
        <f>IFERROR(VLOOKUP(P103,COPY!$A$1:$AC$1000,26,FALSE),0)</f>
        <v>0</v>
      </c>
      <c r="P259" s="448">
        <f>IFERROR(VLOOKUP(P103,COPY!$A$1:$AC$1000,29,FALSE),0)</f>
        <v>0</v>
      </c>
      <c r="S259" s="449">
        <f t="shared" si="27"/>
        <v>0</v>
      </c>
    </row>
    <row r="260" spans="2:19" ht="20.100000000000001" hidden="1" customHeight="1" x14ac:dyDescent="0.25">
      <c r="B260" s="487"/>
      <c r="F260" s="488"/>
      <c r="G260" s="484"/>
      <c r="I260" s="513"/>
      <c r="J260" s="515">
        <f t="shared" si="26"/>
        <v>0</v>
      </c>
      <c r="K260" s="457"/>
      <c r="L260" s="502" t="str">
        <f t="shared" si="28"/>
        <v xml:space="preserve"> </v>
      </c>
      <c r="M260" s="467"/>
      <c r="N260" s="477">
        <f>IFERROR(VLOOKUP(P104,COPY!$A$1:$AC$1000,26,FALSE),0)</f>
        <v>0</v>
      </c>
      <c r="P260" s="448">
        <f>IFERROR(VLOOKUP(P104,COPY!$A$1:$AC$1000,29,FALSE),0)</f>
        <v>0</v>
      </c>
      <c r="S260" s="449">
        <f t="shared" si="27"/>
        <v>0</v>
      </c>
    </row>
    <row r="261" spans="2:19" ht="20.100000000000001" hidden="1" customHeight="1" x14ac:dyDescent="0.25">
      <c r="B261" s="487"/>
      <c r="F261" s="488"/>
      <c r="G261" s="484"/>
      <c r="I261" s="513"/>
      <c r="J261" s="515">
        <f t="shared" si="26"/>
        <v>0</v>
      </c>
      <c r="K261" s="457"/>
      <c r="L261" s="502" t="str">
        <f t="shared" si="28"/>
        <v xml:space="preserve"> </v>
      </c>
      <c r="M261" s="467"/>
      <c r="N261" s="477">
        <f>IFERROR(VLOOKUP(P105,COPY!$A$1:$AC$1000,26,FALSE),0)</f>
        <v>0</v>
      </c>
      <c r="P261" s="448">
        <f>IFERROR(VLOOKUP(P105,COPY!$A$1:$AC$1000,29,FALSE),0)</f>
        <v>0</v>
      </c>
      <c r="S261" s="449">
        <f t="shared" si="27"/>
        <v>0</v>
      </c>
    </row>
    <row r="262" spans="2:19" ht="20.100000000000001" hidden="1" customHeight="1" x14ac:dyDescent="0.25">
      <c r="B262" s="487"/>
      <c r="F262" s="488"/>
      <c r="G262" s="484"/>
      <c r="I262" s="513"/>
      <c r="J262" s="515">
        <f t="shared" si="26"/>
        <v>0</v>
      </c>
      <c r="K262" s="457"/>
      <c r="L262" s="502" t="str">
        <f t="shared" si="28"/>
        <v xml:space="preserve"> </v>
      </c>
      <c r="M262" s="467"/>
      <c r="N262" s="477">
        <f>IFERROR(VLOOKUP(P106,COPY!$A$1:$AC$1000,26,FALSE),0)</f>
        <v>0</v>
      </c>
      <c r="P262" s="448">
        <f>IFERROR(VLOOKUP(P106,COPY!$A$1:$AC$1000,29,FALSE),0)</f>
        <v>0</v>
      </c>
      <c r="S262" s="449">
        <f t="shared" si="27"/>
        <v>0</v>
      </c>
    </row>
    <row r="263" spans="2:19" ht="20.100000000000001" hidden="1" customHeight="1" x14ac:dyDescent="0.25">
      <c r="B263" s="487"/>
      <c r="F263" s="488"/>
      <c r="G263" s="484"/>
      <c r="I263" s="513"/>
      <c r="J263" s="515">
        <f t="shared" si="26"/>
        <v>0</v>
      </c>
      <c r="K263" s="457"/>
      <c r="L263" s="502" t="str">
        <f t="shared" si="28"/>
        <v xml:space="preserve"> </v>
      </c>
      <c r="M263" s="467"/>
      <c r="N263" s="477">
        <f>IFERROR(VLOOKUP(P107,COPY!$A$1:$AC$1000,26,FALSE),0)</f>
        <v>0</v>
      </c>
      <c r="P263" s="448">
        <f>IFERROR(VLOOKUP(P107,COPY!$A$1:$AC$1000,29,FALSE),0)</f>
        <v>0</v>
      </c>
      <c r="S263" s="449">
        <f t="shared" si="27"/>
        <v>0</v>
      </c>
    </row>
    <row r="264" spans="2:19" ht="20.100000000000001" hidden="1" customHeight="1" x14ac:dyDescent="0.25">
      <c r="B264" s="487"/>
      <c r="F264" s="488"/>
      <c r="G264" s="484"/>
      <c r="I264" s="513"/>
      <c r="J264" s="515">
        <f t="shared" si="26"/>
        <v>0</v>
      </c>
      <c r="K264" s="457"/>
      <c r="L264" s="502" t="str">
        <f t="shared" si="28"/>
        <v xml:space="preserve"> </v>
      </c>
      <c r="M264" s="467"/>
      <c r="N264" s="477">
        <f>IFERROR(VLOOKUP(P108,COPY!$A$1:$AC$1000,26,FALSE),0)</f>
        <v>0</v>
      </c>
      <c r="P264" s="448">
        <f>IFERROR(VLOOKUP(P108,COPY!$A$1:$AC$1000,29,FALSE),0)</f>
        <v>0</v>
      </c>
      <c r="S264" s="449">
        <f t="shared" si="27"/>
        <v>0</v>
      </c>
    </row>
    <row r="265" spans="2:19" ht="20.100000000000001" hidden="1" customHeight="1" x14ac:dyDescent="0.25">
      <c r="B265" s="487"/>
      <c r="F265" s="488"/>
      <c r="G265" s="484"/>
      <c r="I265" s="513"/>
      <c r="J265" s="515">
        <f t="shared" si="26"/>
        <v>0</v>
      </c>
      <c r="K265" s="457"/>
      <c r="L265" s="502" t="str">
        <f t="shared" si="28"/>
        <v xml:space="preserve"> </v>
      </c>
      <c r="M265" s="467"/>
      <c r="N265" s="477">
        <f>IFERROR(VLOOKUP(P109,COPY!$A$1:$AC$1000,26,FALSE),0)</f>
        <v>0</v>
      </c>
      <c r="P265" s="448">
        <f>IFERROR(VLOOKUP(P109,COPY!$A$1:$AC$1000,29,FALSE),0)</f>
        <v>0</v>
      </c>
      <c r="S265" s="449">
        <f t="shared" si="27"/>
        <v>0</v>
      </c>
    </row>
    <row r="266" spans="2:19" ht="20.100000000000001" hidden="1" customHeight="1" x14ac:dyDescent="0.25">
      <c r="B266" s="487"/>
      <c r="F266" s="488"/>
      <c r="G266" s="484"/>
      <c r="I266" s="513"/>
      <c r="J266" s="515">
        <f t="shared" si="26"/>
        <v>0</v>
      </c>
      <c r="K266" s="457"/>
      <c r="L266" s="502" t="str">
        <f t="shared" si="28"/>
        <v xml:space="preserve"> </v>
      </c>
      <c r="M266" s="467"/>
      <c r="N266" s="477">
        <f>IFERROR(VLOOKUP(P110,COPY!$A$1:$AC$1000,26,FALSE),0)</f>
        <v>0</v>
      </c>
      <c r="P266" s="448">
        <f>IFERROR(VLOOKUP(P110,COPY!$A$1:$AC$1000,29,FALSE),0)</f>
        <v>0</v>
      </c>
      <c r="S266" s="449">
        <f t="shared" si="27"/>
        <v>0</v>
      </c>
    </row>
    <row r="267" spans="2:19" ht="20.100000000000001" hidden="1" customHeight="1" x14ac:dyDescent="0.25">
      <c r="B267" s="487"/>
      <c r="F267" s="488"/>
      <c r="G267" s="484"/>
      <c r="I267" s="513"/>
      <c r="J267" s="515">
        <f t="shared" si="26"/>
        <v>0</v>
      </c>
      <c r="K267" s="457"/>
      <c r="L267" s="502" t="str">
        <f t="shared" si="28"/>
        <v xml:space="preserve"> </v>
      </c>
      <c r="M267" s="467"/>
      <c r="N267" s="477">
        <f>IFERROR(VLOOKUP(P111,COPY!$A$1:$AC$1000,26,FALSE),0)</f>
        <v>0</v>
      </c>
      <c r="P267" s="448">
        <f>IFERROR(VLOOKUP(P111,COPY!$A$1:$AC$1000,29,FALSE),0)</f>
        <v>0</v>
      </c>
      <c r="S267" s="449">
        <f t="shared" si="27"/>
        <v>0</v>
      </c>
    </row>
    <row r="268" spans="2:19" ht="20.100000000000001" hidden="1" customHeight="1" x14ac:dyDescent="0.25">
      <c r="B268" s="487"/>
      <c r="F268" s="488"/>
      <c r="G268" s="484"/>
      <c r="I268" s="513"/>
      <c r="J268" s="515">
        <f t="shared" si="26"/>
        <v>0</v>
      </c>
      <c r="K268" s="457"/>
      <c r="L268" s="502" t="str">
        <f t="shared" si="28"/>
        <v xml:space="preserve"> </v>
      </c>
      <c r="M268" s="467"/>
      <c r="N268" s="477">
        <f>IFERROR(VLOOKUP(P112,COPY!$A$1:$AC$1000,26,FALSE),0)</f>
        <v>0</v>
      </c>
      <c r="P268" s="448">
        <f>IFERROR(VLOOKUP(P112,COPY!$A$1:$AC$1000,29,FALSE),0)</f>
        <v>0</v>
      </c>
      <c r="S268" s="449">
        <f t="shared" si="27"/>
        <v>0</v>
      </c>
    </row>
    <row r="269" spans="2:19" ht="20.100000000000001" hidden="1" customHeight="1" x14ac:dyDescent="0.25">
      <c r="B269" s="487"/>
      <c r="F269" s="488"/>
      <c r="G269" s="484"/>
      <c r="I269" s="513"/>
      <c r="J269" s="515">
        <f t="shared" si="26"/>
        <v>0</v>
      </c>
      <c r="K269" s="457"/>
      <c r="L269" s="502" t="str">
        <f t="shared" si="28"/>
        <v xml:space="preserve"> </v>
      </c>
      <c r="M269" s="467"/>
      <c r="N269" s="477">
        <f>IFERROR(VLOOKUP(P113,COPY!$A$1:$AC$1000,26,FALSE),0)</f>
        <v>0</v>
      </c>
      <c r="P269" s="448">
        <f>IFERROR(VLOOKUP(P113,COPY!$A$1:$AC$1000,29,FALSE),0)</f>
        <v>0</v>
      </c>
      <c r="S269" s="449">
        <f t="shared" si="27"/>
        <v>0</v>
      </c>
    </row>
    <row r="270" spans="2:19" ht="20.100000000000001" hidden="1" customHeight="1" x14ac:dyDescent="0.25">
      <c r="B270" s="487"/>
      <c r="F270" s="488"/>
      <c r="G270" s="484"/>
      <c r="I270" s="513"/>
      <c r="J270" s="515">
        <f t="shared" si="26"/>
        <v>0</v>
      </c>
      <c r="K270" s="457"/>
      <c r="L270" s="502" t="str">
        <f t="shared" si="28"/>
        <v xml:space="preserve"> </v>
      </c>
      <c r="M270" s="467"/>
      <c r="N270" s="477">
        <f>IFERROR(VLOOKUP(P114,COPY!$A$1:$AC$1000,26,FALSE),0)</f>
        <v>0</v>
      </c>
      <c r="P270" s="448">
        <f>IFERROR(VLOOKUP(P114,COPY!$A$1:$AC$1000,29,FALSE),0)</f>
        <v>0</v>
      </c>
      <c r="S270" s="449">
        <f t="shared" si="27"/>
        <v>0</v>
      </c>
    </row>
    <row r="271" spans="2:19" ht="20.100000000000001" hidden="1" customHeight="1" x14ac:dyDescent="0.25">
      <c r="B271" s="487"/>
      <c r="F271" s="488"/>
      <c r="G271" s="484"/>
      <c r="I271" s="513"/>
      <c r="J271" s="515">
        <f t="shared" si="26"/>
        <v>0</v>
      </c>
      <c r="K271" s="457"/>
      <c r="L271" s="502" t="str">
        <f t="shared" si="28"/>
        <v xml:space="preserve"> </v>
      </c>
      <c r="M271" s="467"/>
      <c r="N271" s="477">
        <f>IFERROR(VLOOKUP(P115,COPY!$A$1:$AC$1000,26,FALSE),0)</f>
        <v>0</v>
      </c>
      <c r="P271" s="448">
        <f>IFERROR(VLOOKUP(P115,COPY!$A$1:$AC$1000,29,FALSE),0)</f>
        <v>0</v>
      </c>
      <c r="S271" s="449">
        <f t="shared" si="27"/>
        <v>0</v>
      </c>
    </row>
    <row r="272" spans="2:19" ht="20.100000000000001" hidden="1" customHeight="1" x14ac:dyDescent="0.25">
      <c r="B272" s="487"/>
      <c r="F272" s="488"/>
      <c r="G272" s="484"/>
      <c r="I272" s="513"/>
      <c r="J272" s="515">
        <f t="shared" si="26"/>
        <v>0</v>
      </c>
      <c r="K272" s="457"/>
      <c r="L272" s="502" t="str">
        <f t="shared" si="28"/>
        <v xml:space="preserve"> </v>
      </c>
      <c r="M272" s="467"/>
      <c r="N272" s="477">
        <f>IFERROR(VLOOKUP(P116,COPY!$A$1:$AC$1000,26,FALSE),0)</f>
        <v>0</v>
      </c>
      <c r="P272" s="448">
        <f>IFERROR(VLOOKUP(P116,COPY!$A$1:$AC$1000,29,FALSE),0)</f>
        <v>0</v>
      </c>
      <c r="S272" s="449">
        <f t="shared" si="27"/>
        <v>0</v>
      </c>
    </row>
    <row r="273" spans="2:19" ht="20.100000000000001" hidden="1" customHeight="1" x14ac:dyDescent="0.25">
      <c r="B273" s="487"/>
      <c r="F273" s="488"/>
      <c r="G273" s="484"/>
      <c r="I273" s="513"/>
      <c r="J273" s="515">
        <f t="shared" si="26"/>
        <v>0</v>
      </c>
      <c r="K273" s="457"/>
      <c r="L273" s="502" t="str">
        <f t="shared" si="28"/>
        <v xml:space="preserve"> </v>
      </c>
      <c r="M273" s="467"/>
      <c r="N273" s="477">
        <f>IFERROR(VLOOKUP(P117,COPY!$A$1:$AC$1000,26,FALSE),0)</f>
        <v>0</v>
      </c>
      <c r="P273" s="448">
        <f>IFERROR(VLOOKUP(P117,COPY!$A$1:$AC$1000,29,FALSE),0)</f>
        <v>0</v>
      </c>
      <c r="S273" s="449">
        <f t="shared" si="27"/>
        <v>0</v>
      </c>
    </row>
    <row r="274" spans="2:19" ht="20.100000000000001" hidden="1" customHeight="1" x14ac:dyDescent="0.25">
      <c r="B274" s="487"/>
      <c r="F274" s="488"/>
      <c r="G274" s="484"/>
      <c r="I274" s="513"/>
      <c r="J274" s="515">
        <f t="shared" si="26"/>
        <v>0</v>
      </c>
      <c r="K274" s="457"/>
      <c r="L274" s="502" t="str">
        <f t="shared" si="28"/>
        <v xml:space="preserve"> </v>
      </c>
      <c r="M274" s="467"/>
      <c r="N274" s="477">
        <f>IFERROR(VLOOKUP(P118,COPY!$A$1:$AC$1000,26,FALSE),0)</f>
        <v>0</v>
      </c>
      <c r="P274" s="448">
        <f>IFERROR(VLOOKUP(P118,COPY!$A$1:$AC$1000,29,FALSE),0)</f>
        <v>0</v>
      </c>
      <c r="S274" s="449">
        <f t="shared" si="27"/>
        <v>0</v>
      </c>
    </row>
    <row r="275" spans="2:19" ht="20.100000000000001" hidden="1" customHeight="1" x14ac:dyDescent="0.25">
      <c r="B275" s="487"/>
      <c r="F275" s="488"/>
      <c r="G275" s="484"/>
      <c r="I275" s="513"/>
      <c r="J275" s="515">
        <f t="shared" si="26"/>
        <v>0</v>
      </c>
      <c r="K275" s="457"/>
      <c r="L275" s="502" t="str">
        <f t="shared" si="28"/>
        <v xml:space="preserve"> </v>
      </c>
      <c r="M275" s="467"/>
      <c r="N275" s="477">
        <f>IFERROR(VLOOKUP(P119,COPY!$A$1:$AC$1000,26,FALSE),0)</f>
        <v>0</v>
      </c>
      <c r="P275" s="448">
        <f>IFERROR(VLOOKUP(P119,COPY!$A$1:$AC$1000,29,FALSE),0)</f>
        <v>0</v>
      </c>
      <c r="S275" s="449">
        <f t="shared" si="27"/>
        <v>0</v>
      </c>
    </row>
    <row r="276" spans="2:19" ht="20.100000000000001" hidden="1" customHeight="1" x14ac:dyDescent="0.25">
      <c r="B276" s="487"/>
      <c r="F276" s="488"/>
      <c r="G276" s="484"/>
      <c r="I276" s="513"/>
      <c r="J276" s="515">
        <f t="shared" si="26"/>
        <v>0</v>
      </c>
      <c r="K276" s="457"/>
      <c r="L276" s="502" t="str">
        <f t="shared" si="28"/>
        <v xml:space="preserve"> </v>
      </c>
      <c r="M276" s="467"/>
      <c r="N276" s="477">
        <f>IFERROR(VLOOKUP(P120,COPY!$A$1:$AC$1000,26,FALSE),0)</f>
        <v>0</v>
      </c>
      <c r="P276" s="448">
        <f>IFERROR(VLOOKUP(P120,COPY!$A$1:$AC$1000,29,FALSE),0)</f>
        <v>0</v>
      </c>
      <c r="S276" s="449">
        <f t="shared" si="27"/>
        <v>0</v>
      </c>
    </row>
    <row r="277" spans="2:19" ht="20.100000000000001" hidden="1" customHeight="1" x14ac:dyDescent="0.25">
      <c r="B277" s="487"/>
      <c r="F277" s="488"/>
      <c r="G277" s="484"/>
      <c r="I277" s="513"/>
      <c r="J277" s="515">
        <f t="shared" si="26"/>
        <v>0</v>
      </c>
      <c r="K277" s="457"/>
      <c r="L277" s="502" t="str">
        <f t="shared" si="28"/>
        <v xml:space="preserve"> </v>
      </c>
      <c r="M277" s="467"/>
      <c r="N277" s="477">
        <f>IFERROR(VLOOKUP(P121,COPY!$A$1:$AC$1000,26,FALSE),0)</f>
        <v>0</v>
      </c>
      <c r="P277" s="448">
        <f>IFERROR(VLOOKUP(P121,COPY!$A$1:$AC$1000,29,FALSE),0)</f>
        <v>0</v>
      </c>
      <c r="S277" s="449">
        <f t="shared" si="27"/>
        <v>0</v>
      </c>
    </row>
    <row r="278" spans="2:19" ht="20.100000000000001" hidden="1" customHeight="1" x14ac:dyDescent="0.25">
      <c r="B278" s="487"/>
      <c r="F278" s="488"/>
      <c r="G278" s="484"/>
      <c r="I278" s="513"/>
      <c r="J278" s="515">
        <f t="shared" si="26"/>
        <v>0</v>
      </c>
      <c r="K278" s="457"/>
      <c r="L278" s="502" t="str">
        <f t="shared" si="28"/>
        <v xml:space="preserve"> </v>
      </c>
      <c r="M278" s="467"/>
      <c r="N278" s="477">
        <f>IFERROR(VLOOKUP(P122,COPY!$A$1:$AC$1000,26,FALSE),0)</f>
        <v>0</v>
      </c>
      <c r="P278" s="448">
        <f>IFERROR(VLOOKUP(P122,COPY!$A$1:$AC$1000,29,FALSE),0)</f>
        <v>0</v>
      </c>
      <c r="S278" s="449">
        <f t="shared" si="27"/>
        <v>0</v>
      </c>
    </row>
    <row r="279" spans="2:19" ht="20.100000000000001" hidden="1" customHeight="1" x14ac:dyDescent="0.25">
      <c r="B279" s="487"/>
      <c r="F279" s="488"/>
      <c r="G279" s="484"/>
      <c r="I279" s="513"/>
      <c r="J279" s="515">
        <f t="shared" si="26"/>
        <v>0</v>
      </c>
      <c r="K279" s="457"/>
      <c r="L279" s="502" t="str">
        <f t="shared" si="28"/>
        <v xml:space="preserve"> </v>
      </c>
      <c r="M279" s="467"/>
      <c r="N279" s="477">
        <f>IFERROR(VLOOKUP(P123,COPY!$A$1:$AC$1000,26,FALSE),0)</f>
        <v>0</v>
      </c>
      <c r="P279" s="448">
        <f>IFERROR(VLOOKUP(P123,COPY!$A$1:$AC$1000,29,FALSE),0)</f>
        <v>0</v>
      </c>
      <c r="S279" s="449">
        <f t="shared" si="27"/>
        <v>0</v>
      </c>
    </row>
    <row r="280" spans="2:19" ht="20.100000000000001" hidden="1" customHeight="1" x14ac:dyDescent="0.25">
      <c r="B280" s="487"/>
      <c r="F280" s="488"/>
      <c r="G280" s="484"/>
      <c r="I280" s="513"/>
      <c r="J280" s="515">
        <f t="shared" si="26"/>
        <v>0</v>
      </c>
      <c r="K280" s="457"/>
      <c r="L280" s="502" t="str">
        <f t="shared" si="28"/>
        <v xml:space="preserve"> </v>
      </c>
      <c r="M280" s="467"/>
      <c r="N280" s="477">
        <f>IFERROR(VLOOKUP(P124,COPY!$A$1:$AC$1000,26,FALSE),0)</f>
        <v>0</v>
      </c>
      <c r="P280" s="448">
        <f>IFERROR(VLOOKUP(P124,COPY!$A$1:$AC$1000,29,FALSE),0)</f>
        <v>0</v>
      </c>
      <c r="S280" s="449">
        <f t="shared" si="27"/>
        <v>0</v>
      </c>
    </row>
    <row r="281" spans="2:19" ht="20.100000000000001" hidden="1" customHeight="1" x14ac:dyDescent="0.25">
      <c r="B281" s="487"/>
      <c r="F281" s="488"/>
      <c r="G281" s="484"/>
      <c r="I281" s="513"/>
      <c r="J281" s="515">
        <f t="shared" si="26"/>
        <v>0</v>
      </c>
      <c r="K281" s="457"/>
      <c r="L281" s="502" t="str">
        <f t="shared" si="28"/>
        <v xml:space="preserve"> </v>
      </c>
      <c r="M281" s="467"/>
      <c r="N281" s="477">
        <f>IFERROR(VLOOKUP(P125,COPY!$A$1:$AC$1000,26,FALSE),0)</f>
        <v>0</v>
      </c>
      <c r="P281" s="448">
        <f>IFERROR(VLOOKUP(P125,COPY!$A$1:$AC$1000,29,FALSE),0)</f>
        <v>0</v>
      </c>
      <c r="S281" s="449">
        <f t="shared" si="27"/>
        <v>0</v>
      </c>
    </row>
    <row r="282" spans="2:19" ht="20.100000000000001" hidden="1" customHeight="1" x14ac:dyDescent="0.25">
      <c r="B282" s="487"/>
      <c r="F282" s="488"/>
      <c r="G282" s="484"/>
      <c r="I282" s="513"/>
      <c r="J282" s="515">
        <f t="shared" si="26"/>
        <v>0</v>
      </c>
      <c r="K282" s="457"/>
      <c r="L282" s="502" t="str">
        <f t="shared" si="28"/>
        <v xml:space="preserve"> </v>
      </c>
      <c r="M282" s="467"/>
      <c r="N282" s="477">
        <f>IFERROR(VLOOKUP(P126,COPY!$A$1:$AC$1000,26,FALSE),0)</f>
        <v>0</v>
      </c>
      <c r="P282" s="448">
        <f>IFERROR(VLOOKUP(P126,COPY!$A$1:$AC$1000,29,FALSE),0)</f>
        <v>0</v>
      </c>
      <c r="S282" s="449">
        <f t="shared" si="27"/>
        <v>0</v>
      </c>
    </row>
    <row r="283" spans="2:19" ht="20.100000000000001" hidden="1" customHeight="1" x14ac:dyDescent="0.25">
      <c r="B283" s="487"/>
      <c r="F283" s="488"/>
      <c r="G283" s="484"/>
      <c r="I283" s="513"/>
      <c r="J283" s="515">
        <f t="shared" si="26"/>
        <v>0</v>
      </c>
      <c r="K283" s="457"/>
      <c r="L283" s="502" t="str">
        <f t="shared" si="28"/>
        <v xml:space="preserve"> </v>
      </c>
      <c r="M283" s="467"/>
      <c r="N283" s="477">
        <f>IFERROR(VLOOKUP(P127,COPY!$A$1:$AC$1000,26,FALSE),0)</f>
        <v>0</v>
      </c>
      <c r="P283" s="448">
        <f>IFERROR(VLOOKUP(P127,COPY!$A$1:$AC$1000,29,FALSE),0)</f>
        <v>0</v>
      </c>
      <c r="S283" s="449">
        <f t="shared" si="27"/>
        <v>0</v>
      </c>
    </row>
    <row r="284" spans="2:19" ht="20.100000000000001" hidden="1" customHeight="1" x14ac:dyDescent="0.25">
      <c r="B284" s="487"/>
      <c r="F284" s="488"/>
      <c r="G284" s="484"/>
      <c r="I284" s="513"/>
      <c r="J284" s="515">
        <f t="shared" si="26"/>
        <v>0</v>
      </c>
      <c r="K284" s="457"/>
      <c r="L284" s="502" t="str">
        <f t="shared" si="28"/>
        <v xml:space="preserve"> </v>
      </c>
      <c r="M284" s="467"/>
      <c r="N284" s="477">
        <f>IFERROR(VLOOKUP(P128,COPY!$A$1:$AC$1000,26,FALSE),0)</f>
        <v>0</v>
      </c>
      <c r="P284" s="448">
        <f>IFERROR(VLOOKUP(P128,COPY!$A$1:$AC$1000,29,FALSE),0)</f>
        <v>0</v>
      </c>
      <c r="S284" s="449">
        <f t="shared" si="27"/>
        <v>0</v>
      </c>
    </row>
    <row r="285" spans="2:19" ht="20.100000000000001" hidden="1" customHeight="1" x14ac:dyDescent="0.25">
      <c r="B285" s="487"/>
      <c r="F285" s="488"/>
      <c r="G285" s="484"/>
      <c r="I285" s="513"/>
      <c r="J285" s="515">
        <f t="shared" si="26"/>
        <v>0</v>
      </c>
      <c r="K285" s="457"/>
      <c r="L285" s="502" t="str">
        <f t="shared" si="28"/>
        <v xml:space="preserve"> </v>
      </c>
      <c r="M285" s="467"/>
      <c r="N285" s="477">
        <f>IFERROR(VLOOKUP(P129,COPY!$A$1:$AC$1000,26,FALSE),0)</f>
        <v>0</v>
      </c>
      <c r="P285" s="448">
        <f>IFERROR(VLOOKUP(P129,COPY!$A$1:$AC$1000,29,FALSE),0)</f>
        <v>0</v>
      </c>
      <c r="S285" s="449">
        <f t="shared" si="27"/>
        <v>0</v>
      </c>
    </row>
    <row r="286" spans="2:19" ht="20.100000000000001" hidden="1" customHeight="1" x14ac:dyDescent="0.25">
      <c r="B286" s="487"/>
      <c r="F286" s="488"/>
      <c r="G286" s="484"/>
      <c r="I286" s="513"/>
      <c r="J286" s="515">
        <f t="shared" si="26"/>
        <v>0</v>
      </c>
      <c r="K286" s="457"/>
      <c r="L286" s="502" t="str">
        <f t="shared" si="28"/>
        <v xml:space="preserve"> </v>
      </c>
      <c r="M286" s="467"/>
      <c r="N286" s="477">
        <f>IFERROR(VLOOKUP(P130,COPY!$A$1:$AC$1000,26,FALSE),0)</f>
        <v>0</v>
      </c>
      <c r="P286" s="448">
        <f>IFERROR(VLOOKUP(P130,COPY!$A$1:$AC$1000,29,FALSE),0)</f>
        <v>0</v>
      </c>
      <c r="S286" s="449">
        <f t="shared" si="27"/>
        <v>0</v>
      </c>
    </row>
    <row r="287" spans="2:19" ht="20.100000000000001" hidden="1" customHeight="1" x14ac:dyDescent="0.25">
      <c r="B287" s="487"/>
      <c r="F287" s="488"/>
      <c r="G287" s="484"/>
      <c r="I287" s="513"/>
      <c r="J287" s="515">
        <f t="shared" si="26"/>
        <v>0</v>
      </c>
      <c r="K287" s="457"/>
      <c r="L287" s="502" t="str">
        <f t="shared" si="28"/>
        <v xml:space="preserve"> </v>
      </c>
      <c r="M287" s="467"/>
      <c r="N287" s="477">
        <f>IFERROR(VLOOKUP(P131,COPY!$A$1:$AC$1000,26,FALSE),0)</f>
        <v>0</v>
      </c>
      <c r="P287" s="448">
        <f>IFERROR(VLOOKUP(P131,COPY!$A$1:$AC$1000,29,FALSE),0)</f>
        <v>0</v>
      </c>
      <c r="S287" s="449">
        <f t="shared" si="27"/>
        <v>0</v>
      </c>
    </row>
    <row r="288" spans="2:19" ht="20.100000000000001" hidden="1" customHeight="1" x14ac:dyDescent="0.25">
      <c r="B288" s="487"/>
      <c r="F288" s="488"/>
      <c r="G288" s="484"/>
      <c r="I288" s="513"/>
      <c r="J288" s="515">
        <f t="shared" si="26"/>
        <v>0</v>
      </c>
      <c r="K288" s="457"/>
      <c r="L288" s="502" t="str">
        <f t="shared" si="28"/>
        <v xml:space="preserve"> </v>
      </c>
      <c r="M288" s="467"/>
      <c r="N288" s="477">
        <f>IFERROR(VLOOKUP(P132,COPY!$A$1:$AC$1000,26,FALSE),0)</f>
        <v>0</v>
      </c>
      <c r="P288" s="448">
        <f>IFERROR(VLOOKUP(P132,COPY!$A$1:$AC$1000,29,FALSE),0)</f>
        <v>0</v>
      </c>
      <c r="S288" s="449">
        <f t="shared" si="27"/>
        <v>0</v>
      </c>
    </row>
    <row r="289" spans="2:19" ht="20.100000000000001" hidden="1" customHeight="1" x14ac:dyDescent="0.25">
      <c r="B289" s="487"/>
      <c r="F289" s="488"/>
      <c r="G289" s="484"/>
      <c r="I289" s="513"/>
      <c r="J289" s="515">
        <f t="shared" si="26"/>
        <v>0</v>
      </c>
      <c r="K289" s="457"/>
      <c r="L289" s="502" t="str">
        <f t="shared" si="28"/>
        <v xml:space="preserve"> </v>
      </c>
      <c r="M289" s="467"/>
      <c r="N289" s="477">
        <f>IFERROR(VLOOKUP(P133,COPY!$A$1:$AC$1000,26,FALSE),0)</f>
        <v>0</v>
      </c>
      <c r="P289" s="448">
        <f>IFERROR(VLOOKUP(P133,COPY!$A$1:$AC$1000,29,FALSE),0)</f>
        <v>0</v>
      </c>
      <c r="S289" s="449">
        <f t="shared" si="27"/>
        <v>0</v>
      </c>
    </row>
    <row r="290" spans="2:19" ht="20.100000000000001" hidden="1" customHeight="1" x14ac:dyDescent="0.25">
      <c r="B290" s="487"/>
      <c r="F290" s="488"/>
      <c r="G290" s="484"/>
      <c r="I290" s="513"/>
      <c r="J290" s="515">
        <f t="shared" si="26"/>
        <v>0</v>
      </c>
      <c r="K290" s="457"/>
      <c r="L290" s="502" t="str">
        <f t="shared" si="28"/>
        <v xml:space="preserve"> </v>
      </c>
      <c r="M290" s="467"/>
      <c r="N290" s="477">
        <f>IFERROR(VLOOKUP(P134,COPY!$A$1:$AC$1000,26,FALSE),0)</f>
        <v>0</v>
      </c>
      <c r="P290" s="448">
        <f>IFERROR(VLOOKUP(P134,COPY!$A$1:$AC$1000,29,FALSE),0)</f>
        <v>0</v>
      </c>
      <c r="S290" s="449">
        <f t="shared" si="27"/>
        <v>0</v>
      </c>
    </row>
    <row r="291" spans="2:19" ht="20.100000000000001" hidden="1" customHeight="1" x14ac:dyDescent="0.25">
      <c r="B291" s="487"/>
      <c r="F291" s="488"/>
      <c r="G291" s="484"/>
      <c r="I291" s="513"/>
      <c r="J291" s="515">
        <f t="shared" si="26"/>
        <v>0</v>
      </c>
      <c r="K291" s="457"/>
      <c r="L291" s="502" t="str">
        <f t="shared" si="28"/>
        <v xml:space="preserve"> </v>
      </c>
      <c r="M291" s="467"/>
      <c r="N291" s="477">
        <f>IFERROR(VLOOKUP(P135,COPY!$A$1:$AC$1000,26,FALSE),0)</f>
        <v>0</v>
      </c>
      <c r="P291" s="448">
        <f>IFERROR(VLOOKUP(P135,COPY!$A$1:$AC$1000,29,FALSE),0)</f>
        <v>0</v>
      </c>
      <c r="S291" s="449">
        <f t="shared" si="27"/>
        <v>0</v>
      </c>
    </row>
    <row r="292" spans="2:19" ht="20.100000000000001" hidden="1" customHeight="1" x14ac:dyDescent="0.25">
      <c r="B292" s="487"/>
      <c r="F292" s="488"/>
      <c r="G292" s="484"/>
      <c r="I292" s="513"/>
      <c r="J292" s="515">
        <f t="shared" si="26"/>
        <v>0</v>
      </c>
      <c r="K292" s="457"/>
      <c r="L292" s="502" t="str">
        <f t="shared" si="28"/>
        <v xml:space="preserve"> </v>
      </c>
      <c r="M292" s="467"/>
      <c r="N292" s="477">
        <f>IFERROR(VLOOKUP(P136,COPY!$A$1:$AC$1000,26,FALSE),0)</f>
        <v>0</v>
      </c>
      <c r="P292" s="448">
        <f>IFERROR(VLOOKUP(P136,COPY!$A$1:$AC$1000,29,FALSE),0)</f>
        <v>0</v>
      </c>
      <c r="S292" s="449">
        <f t="shared" si="27"/>
        <v>0</v>
      </c>
    </row>
    <row r="293" spans="2:19" ht="20.100000000000001" hidden="1" customHeight="1" x14ac:dyDescent="0.25">
      <c r="B293" s="487"/>
      <c r="F293" s="488"/>
      <c r="G293" s="484"/>
      <c r="I293" s="513"/>
      <c r="J293" s="515">
        <f t="shared" si="26"/>
        <v>0</v>
      </c>
      <c r="K293" s="457"/>
      <c r="L293" s="502" t="str">
        <f t="shared" si="28"/>
        <v xml:space="preserve"> </v>
      </c>
      <c r="M293" s="467"/>
      <c r="N293" s="477">
        <f>IFERROR(VLOOKUP(P137,COPY!$A$1:$AC$1000,26,FALSE),0)</f>
        <v>0</v>
      </c>
      <c r="P293" s="448">
        <f>IFERROR(VLOOKUP(P137,COPY!$A$1:$AC$1000,29,FALSE),0)</f>
        <v>0</v>
      </c>
      <c r="S293" s="449">
        <f t="shared" si="27"/>
        <v>0</v>
      </c>
    </row>
    <row r="294" spans="2:19" ht="20.100000000000001" hidden="1" customHeight="1" x14ac:dyDescent="0.25">
      <c r="B294" s="487"/>
      <c r="F294" s="488"/>
      <c r="G294" s="484"/>
      <c r="I294" s="513"/>
      <c r="J294" s="515">
        <f t="shared" si="26"/>
        <v>0</v>
      </c>
      <c r="K294" s="457"/>
      <c r="L294" s="502" t="str">
        <f t="shared" si="28"/>
        <v xml:space="preserve"> </v>
      </c>
      <c r="M294" s="467"/>
      <c r="N294" s="477">
        <f>IFERROR(VLOOKUP(P138,COPY!$A$1:$AC$1000,26,FALSE),0)</f>
        <v>0</v>
      </c>
      <c r="P294" s="448">
        <f>IFERROR(VLOOKUP(P138,COPY!$A$1:$AC$1000,29,FALSE),0)</f>
        <v>0</v>
      </c>
      <c r="S294" s="449">
        <f t="shared" si="27"/>
        <v>0</v>
      </c>
    </row>
    <row r="295" spans="2:19" ht="20.100000000000001" hidden="1" customHeight="1" x14ac:dyDescent="0.25">
      <c r="B295" s="487"/>
      <c r="F295" s="488"/>
      <c r="G295" s="484"/>
      <c r="I295" s="513"/>
      <c r="J295" s="515">
        <f t="shared" si="26"/>
        <v>0</v>
      </c>
      <c r="K295" s="457"/>
      <c r="L295" s="502" t="str">
        <f t="shared" si="28"/>
        <v xml:space="preserve"> </v>
      </c>
      <c r="M295" s="467"/>
      <c r="N295" s="477">
        <f>IFERROR(VLOOKUP(P139,COPY!$A$1:$AC$1000,26,FALSE),0)</f>
        <v>0</v>
      </c>
      <c r="P295" s="448">
        <f>IFERROR(VLOOKUP(P139,COPY!$A$1:$AC$1000,29,FALSE),0)</f>
        <v>0</v>
      </c>
      <c r="S295" s="449">
        <f t="shared" si="27"/>
        <v>0</v>
      </c>
    </row>
    <row r="296" spans="2:19" ht="20.100000000000001" hidden="1" customHeight="1" x14ac:dyDescent="0.25">
      <c r="B296" s="487"/>
      <c r="F296" s="488"/>
      <c r="G296" s="484"/>
      <c r="I296" s="513"/>
      <c r="J296" s="515">
        <f t="shared" si="26"/>
        <v>0</v>
      </c>
      <c r="K296" s="457"/>
      <c r="L296" s="502" t="str">
        <f t="shared" si="28"/>
        <v xml:space="preserve"> </v>
      </c>
      <c r="M296" s="467"/>
      <c r="N296" s="477">
        <f>IFERROR(VLOOKUP(P140,COPY!$A$1:$AC$1000,26,FALSE),0)</f>
        <v>0</v>
      </c>
      <c r="P296" s="448">
        <f>IFERROR(VLOOKUP(P140,COPY!$A$1:$AC$1000,29,FALSE),0)</f>
        <v>0</v>
      </c>
      <c r="S296" s="449">
        <f t="shared" si="27"/>
        <v>0</v>
      </c>
    </row>
    <row r="297" spans="2:19" ht="20.100000000000001" hidden="1" customHeight="1" x14ac:dyDescent="0.25">
      <c r="B297" s="487"/>
      <c r="F297" s="488"/>
      <c r="G297" s="484"/>
      <c r="I297" s="513"/>
      <c r="J297" s="515">
        <f t="shared" si="26"/>
        <v>0</v>
      </c>
      <c r="K297" s="457"/>
      <c r="L297" s="502" t="str">
        <f t="shared" si="28"/>
        <v xml:space="preserve"> </v>
      </c>
      <c r="M297" s="467"/>
      <c r="N297" s="477">
        <f>IFERROR(VLOOKUP(P141,COPY!$A$1:$AC$1000,26,FALSE),0)</f>
        <v>0</v>
      </c>
      <c r="P297" s="448">
        <f>IFERROR(VLOOKUP(P141,COPY!$A$1:$AC$1000,29,FALSE),0)</f>
        <v>0</v>
      </c>
      <c r="S297" s="449">
        <f t="shared" si="27"/>
        <v>0</v>
      </c>
    </row>
    <row r="298" spans="2:19" ht="20.100000000000001" hidden="1" customHeight="1" x14ac:dyDescent="0.25">
      <c r="B298" s="487"/>
      <c r="F298" s="488"/>
      <c r="G298" s="484"/>
      <c r="I298" s="513"/>
      <c r="J298" s="515">
        <f t="shared" si="26"/>
        <v>0</v>
      </c>
      <c r="K298" s="457"/>
      <c r="L298" s="502" t="str">
        <f t="shared" si="28"/>
        <v xml:space="preserve"> </v>
      </c>
      <c r="M298" s="467"/>
      <c r="N298" s="477">
        <f>IFERROR(VLOOKUP(P142,COPY!$A$1:$AC$1000,26,FALSE),0)</f>
        <v>0</v>
      </c>
      <c r="P298" s="448">
        <f>IFERROR(VLOOKUP(P142,COPY!$A$1:$AC$1000,29,FALSE),0)</f>
        <v>0</v>
      </c>
      <c r="S298" s="449">
        <f t="shared" si="27"/>
        <v>0</v>
      </c>
    </row>
    <row r="299" spans="2:19" ht="20.100000000000001" hidden="1" customHeight="1" x14ac:dyDescent="0.25">
      <c r="B299" s="487"/>
      <c r="F299" s="488"/>
      <c r="G299" s="484"/>
      <c r="I299" s="513"/>
      <c r="J299" s="515">
        <f t="shared" si="26"/>
        <v>0</v>
      </c>
      <c r="K299" s="457"/>
      <c r="L299" s="502" t="str">
        <f t="shared" si="28"/>
        <v xml:space="preserve"> </v>
      </c>
      <c r="M299" s="467"/>
      <c r="N299" s="477">
        <f>IFERROR(VLOOKUP(P143,COPY!$A$1:$AC$1000,26,FALSE),0)</f>
        <v>0</v>
      </c>
      <c r="P299" s="448">
        <f>IFERROR(VLOOKUP(P143,COPY!$A$1:$AC$1000,29,FALSE),0)</f>
        <v>0</v>
      </c>
      <c r="S299" s="449">
        <f t="shared" si="27"/>
        <v>0</v>
      </c>
    </row>
    <row r="300" spans="2:19" ht="20.100000000000001" hidden="1" customHeight="1" x14ac:dyDescent="0.25">
      <c r="B300" s="487"/>
      <c r="F300" s="488"/>
      <c r="G300" s="484"/>
      <c r="I300" s="513"/>
      <c r="J300" s="515">
        <f t="shared" si="26"/>
        <v>0</v>
      </c>
      <c r="K300" s="457"/>
      <c r="L300" s="502" t="str">
        <f t="shared" si="28"/>
        <v xml:space="preserve"> </v>
      </c>
      <c r="M300" s="467"/>
      <c r="N300" s="477">
        <f>IFERROR(VLOOKUP(P144,COPY!$A$1:$AC$1000,26,FALSE),0)</f>
        <v>0</v>
      </c>
      <c r="P300" s="448">
        <f>IFERROR(VLOOKUP(P144,COPY!$A$1:$AC$1000,29,FALSE),0)</f>
        <v>0</v>
      </c>
      <c r="S300" s="449">
        <f t="shared" si="27"/>
        <v>0</v>
      </c>
    </row>
    <row r="301" spans="2:19" ht="20.100000000000001" hidden="1" customHeight="1" x14ac:dyDescent="0.25">
      <c r="B301" s="487"/>
      <c r="F301" s="488"/>
      <c r="G301" s="484"/>
      <c r="I301" s="513"/>
      <c r="J301" s="515">
        <f t="shared" si="26"/>
        <v>0</v>
      </c>
      <c r="K301" s="457"/>
      <c r="L301" s="502" t="str">
        <f t="shared" si="28"/>
        <v xml:space="preserve"> </v>
      </c>
      <c r="M301" s="467"/>
      <c r="N301" s="477">
        <f>IFERROR(VLOOKUP(P145,COPY!$A$1:$AC$1000,26,FALSE),0)</f>
        <v>0</v>
      </c>
      <c r="P301" s="448">
        <f>IFERROR(VLOOKUP(P145,COPY!$A$1:$AC$1000,29,FALSE),0)</f>
        <v>0</v>
      </c>
      <c r="S301" s="449">
        <f t="shared" si="27"/>
        <v>0</v>
      </c>
    </row>
    <row r="302" spans="2:19" ht="20.100000000000001" hidden="1" customHeight="1" x14ac:dyDescent="0.25">
      <c r="B302" s="487"/>
      <c r="F302" s="488"/>
      <c r="G302" s="484"/>
      <c r="I302" s="513"/>
      <c r="J302" s="515">
        <f t="shared" si="26"/>
        <v>0</v>
      </c>
      <c r="K302" s="457"/>
      <c r="L302" s="502" t="str">
        <f t="shared" si="28"/>
        <v xml:space="preserve"> </v>
      </c>
      <c r="M302" s="467"/>
      <c r="N302" s="477">
        <f>IFERROR(VLOOKUP(P146,COPY!$A$1:$AC$1000,26,FALSE),0)</f>
        <v>0</v>
      </c>
      <c r="P302" s="448">
        <f>IFERROR(VLOOKUP(P146,COPY!$A$1:$AC$1000,29,FALSE),0)</f>
        <v>0</v>
      </c>
      <c r="S302" s="449">
        <f t="shared" si="27"/>
        <v>0</v>
      </c>
    </row>
    <row r="303" spans="2:19" ht="20.100000000000001" hidden="1" customHeight="1" x14ac:dyDescent="0.25">
      <c r="B303" s="487"/>
      <c r="F303" s="488"/>
      <c r="G303" s="484"/>
      <c r="I303" s="513"/>
      <c r="J303" s="515">
        <f t="shared" si="26"/>
        <v>0</v>
      </c>
      <c r="K303" s="457"/>
      <c r="L303" s="502" t="str">
        <f t="shared" si="28"/>
        <v xml:space="preserve"> </v>
      </c>
      <c r="M303" s="467"/>
      <c r="N303" s="477">
        <f>IFERROR(VLOOKUP(P147,COPY!$A$1:$AC$1000,26,FALSE),0)</f>
        <v>0</v>
      </c>
      <c r="P303" s="448">
        <f>IFERROR(VLOOKUP(P147,COPY!$A$1:$AC$1000,29,FALSE),0)</f>
        <v>0</v>
      </c>
      <c r="S303" s="449">
        <f t="shared" si="27"/>
        <v>0</v>
      </c>
    </row>
    <row r="304" spans="2:19" ht="20.100000000000001" hidden="1" customHeight="1" x14ac:dyDescent="0.25">
      <c r="B304" s="487"/>
      <c r="F304" s="488"/>
      <c r="G304" s="484"/>
      <c r="I304" s="513"/>
      <c r="J304" s="515">
        <f t="shared" si="26"/>
        <v>0</v>
      </c>
      <c r="K304" s="457"/>
      <c r="L304" s="502" t="str">
        <f t="shared" si="28"/>
        <v xml:space="preserve"> </v>
      </c>
      <c r="M304" s="467"/>
      <c r="N304" s="477">
        <f>IFERROR(VLOOKUP(P148,COPY!$A$1:$AC$1000,26,FALSE),0)</f>
        <v>0</v>
      </c>
      <c r="P304" s="448">
        <f>IFERROR(VLOOKUP(P148,COPY!$A$1:$AC$1000,29,FALSE),0)</f>
        <v>0</v>
      </c>
      <c r="S304" s="449">
        <f t="shared" si="27"/>
        <v>0</v>
      </c>
    </row>
    <row r="305" spans="2:19" ht="20.100000000000001" hidden="1" customHeight="1" x14ac:dyDescent="0.25">
      <c r="B305" s="487"/>
      <c r="F305" s="488"/>
      <c r="G305" s="484"/>
      <c r="I305" s="513"/>
      <c r="J305" s="515">
        <f t="shared" si="26"/>
        <v>0</v>
      </c>
      <c r="K305" s="457"/>
      <c r="L305" s="502" t="str">
        <f t="shared" si="28"/>
        <v xml:space="preserve"> </v>
      </c>
      <c r="M305" s="467"/>
      <c r="N305" s="477">
        <f>IFERROR(VLOOKUP(P149,COPY!$A$1:$AC$1000,26,FALSE),0)</f>
        <v>0</v>
      </c>
      <c r="P305" s="448">
        <f>IFERROR(VLOOKUP(P149,COPY!$A$1:$AC$1000,29,FALSE),0)</f>
        <v>0</v>
      </c>
      <c r="S305" s="449">
        <f t="shared" si="27"/>
        <v>0</v>
      </c>
    </row>
    <row r="306" spans="2:19" ht="20.100000000000001" hidden="1" customHeight="1" x14ac:dyDescent="0.25">
      <c r="B306" s="487"/>
      <c r="F306" s="488"/>
      <c r="G306" s="484"/>
      <c r="I306" s="513"/>
      <c r="J306" s="515">
        <f t="shared" si="26"/>
        <v>0</v>
      </c>
      <c r="K306" s="457"/>
      <c r="L306" s="502" t="str">
        <f t="shared" si="28"/>
        <v xml:space="preserve"> </v>
      </c>
      <c r="M306" s="467"/>
      <c r="N306" s="477">
        <f>IFERROR(VLOOKUP(P150,COPY!$A$1:$AC$1000,26,FALSE),0)</f>
        <v>0</v>
      </c>
      <c r="P306" s="448">
        <f>IFERROR(VLOOKUP(P150,COPY!$A$1:$AC$1000,29,FALSE),0)</f>
        <v>0</v>
      </c>
      <c r="S306" s="449">
        <f t="shared" si="27"/>
        <v>0</v>
      </c>
    </row>
    <row r="307" spans="2:19" ht="20.100000000000001" hidden="1" customHeight="1" x14ac:dyDescent="0.25">
      <c r="B307" s="487"/>
      <c r="F307" s="488"/>
      <c r="G307" s="484"/>
      <c r="I307" s="513"/>
      <c r="J307" s="515">
        <f t="shared" si="26"/>
        <v>0</v>
      </c>
      <c r="K307" s="457"/>
      <c r="L307" s="502" t="str">
        <f t="shared" si="28"/>
        <v xml:space="preserve"> </v>
      </c>
      <c r="M307" s="467"/>
      <c r="N307" s="477">
        <f>IFERROR(VLOOKUP(P151,COPY!$A$1:$AC$1000,26,FALSE),0)</f>
        <v>0</v>
      </c>
      <c r="P307" s="448">
        <f>IFERROR(VLOOKUP(P151,COPY!$A$1:$AC$1000,29,FALSE),0)</f>
        <v>0</v>
      </c>
      <c r="S307" s="449">
        <f t="shared" si="27"/>
        <v>0</v>
      </c>
    </row>
    <row r="308" spans="2:19" ht="20.100000000000001" hidden="1" customHeight="1" x14ac:dyDescent="0.25">
      <c r="B308" s="487"/>
      <c r="F308" s="488"/>
      <c r="G308" s="484"/>
      <c r="I308" s="513"/>
      <c r="J308" s="515">
        <f t="shared" si="26"/>
        <v>0</v>
      </c>
      <c r="K308" s="457"/>
      <c r="L308" s="502" t="str">
        <f t="shared" si="28"/>
        <v xml:space="preserve"> </v>
      </c>
      <c r="M308" s="467"/>
      <c r="N308" s="477">
        <f>IFERROR(VLOOKUP(P152,COPY!$A$1:$AC$1000,26,FALSE),0)</f>
        <v>0</v>
      </c>
      <c r="P308" s="448">
        <f>IFERROR(VLOOKUP(P152,COPY!$A$1:$AC$1000,29,FALSE),0)</f>
        <v>0</v>
      </c>
      <c r="S308" s="449">
        <f t="shared" si="27"/>
        <v>0</v>
      </c>
    </row>
    <row r="309" spans="2:19" ht="20.100000000000001" hidden="1" customHeight="1" x14ac:dyDescent="0.25">
      <c r="B309" s="487"/>
      <c r="F309" s="488"/>
      <c r="G309" s="484"/>
      <c r="I309" s="513"/>
      <c r="J309" s="515">
        <f t="shared" si="26"/>
        <v>0</v>
      </c>
      <c r="K309" s="457"/>
      <c r="L309" s="502" t="str">
        <f t="shared" si="28"/>
        <v xml:space="preserve"> </v>
      </c>
      <c r="M309" s="467"/>
      <c r="N309" s="477">
        <f>IFERROR(VLOOKUP(P153,COPY!$A$1:$AC$1000,26,FALSE),0)</f>
        <v>0</v>
      </c>
      <c r="P309" s="448">
        <f>IFERROR(VLOOKUP(P153,COPY!$A$1:$AC$1000,29,FALSE),0)</f>
        <v>0</v>
      </c>
      <c r="S309" s="449">
        <f t="shared" si="27"/>
        <v>0</v>
      </c>
    </row>
    <row r="310" spans="2:19" ht="20.100000000000001" hidden="1" customHeight="1" x14ac:dyDescent="0.25">
      <c r="B310" s="487"/>
      <c r="F310" s="488"/>
      <c r="G310" s="484"/>
      <c r="I310" s="513"/>
      <c r="J310" s="515">
        <f t="shared" si="26"/>
        <v>0</v>
      </c>
      <c r="K310" s="457"/>
      <c r="L310" s="502" t="str">
        <f t="shared" si="28"/>
        <v xml:space="preserve"> </v>
      </c>
      <c r="M310" s="467"/>
      <c r="N310" s="477">
        <f>IFERROR(VLOOKUP(P154,COPY!$A$1:$AC$1000,26,FALSE),0)</f>
        <v>0</v>
      </c>
      <c r="P310" s="448">
        <f>IFERROR(VLOOKUP(P154,COPY!$A$1:$AC$1000,29,FALSE),0)</f>
        <v>0</v>
      </c>
      <c r="S310" s="449">
        <f t="shared" si="27"/>
        <v>0</v>
      </c>
    </row>
    <row r="311" spans="2:19" ht="20.100000000000001" hidden="1" customHeight="1" x14ac:dyDescent="0.25">
      <c r="B311" s="487"/>
      <c r="F311" s="488"/>
      <c r="G311" s="484"/>
      <c r="I311" s="513"/>
      <c r="J311" s="515">
        <f t="shared" si="26"/>
        <v>0</v>
      </c>
      <c r="K311" s="457"/>
      <c r="L311" s="502" t="str">
        <f t="shared" si="28"/>
        <v xml:space="preserve"> </v>
      </c>
      <c r="M311" s="467"/>
      <c r="N311" s="477">
        <f>IFERROR(VLOOKUP(P155,COPY!$A$1:$AC$1000,26,FALSE),0)</f>
        <v>0</v>
      </c>
      <c r="P311" s="448">
        <f>IFERROR(VLOOKUP(P155,COPY!$A$1:$AC$1000,29,FALSE),0)</f>
        <v>0</v>
      </c>
      <c r="S311" s="449">
        <f t="shared" si="27"/>
        <v>0</v>
      </c>
    </row>
    <row r="312" spans="2:19" ht="20.100000000000001" hidden="1" customHeight="1" x14ac:dyDescent="0.25">
      <c r="B312" s="487"/>
      <c r="F312" s="488"/>
      <c r="G312" s="484"/>
      <c r="I312" s="513"/>
      <c r="J312" s="515">
        <f t="shared" si="26"/>
        <v>0</v>
      </c>
      <c r="K312" s="457"/>
      <c r="L312" s="502" t="str">
        <f t="shared" si="28"/>
        <v xml:space="preserve"> </v>
      </c>
      <c r="M312" s="467"/>
      <c r="N312" s="477">
        <f>IFERROR(VLOOKUP(P156,COPY!$A$1:$AC$1000,26,FALSE),0)</f>
        <v>0</v>
      </c>
      <c r="P312" s="448">
        <f>IFERROR(VLOOKUP(P156,COPY!$A$1:$AC$1000,29,FALSE),0)</f>
        <v>0</v>
      </c>
      <c r="S312" s="449">
        <f t="shared" si="27"/>
        <v>0</v>
      </c>
    </row>
    <row r="313" spans="2:19" ht="20.100000000000001" hidden="1" customHeight="1" x14ac:dyDescent="0.25">
      <c r="B313" s="487"/>
      <c r="F313" s="488"/>
      <c r="G313" s="484"/>
      <c r="I313" s="513"/>
      <c r="J313" s="515">
        <f t="shared" si="26"/>
        <v>0</v>
      </c>
      <c r="K313" s="457"/>
      <c r="L313" s="502" t="str">
        <f t="shared" si="28"/>
        <v xml:space="preserve"> </v>
      </c>
      <c r="M313" s="467"/>
      <c r="N313" s="477">
        <f>IFERROR(VLOOKUP(P157,COPY!$A$1:$AC$1000,26,FALSE),0)</f>
        <v>0</v>
      </c>
      <c r="P313" s="448">
        <f>IFERROR(VLOOKUP(P157,COPY!$A$1:$AC$1000,29,FALSE),0)</f>
        <v>0</v>
      </c>
      <c r="S313" s="449">
        <f t="shared" si="27"/>
        <v>0</v>
      </c>
    </row>
    <row r="314" spans="2:19" ht="20.100000000000001" hidden="1" customHeight="1" x14ac:dyDescent="0.25">
      <c r="B314" s="487"/>
      <c r="F314" s="488"/>
      <c r="G314" s="484"/>
      <c r="I314" s="513"/>
      <c r="J314" s="515">
        <f t="shared" si="26"/>
        <v>0</v>
      </c>
      <c r="K314" s="457"/>
      <c r="L314" s="502" t="str">
        <f t="shared" si="28"/>
        <v xml:space="preserve"> </v>
      </c>
      <c r="M314" s="467"/>
      <c r="N314" s="477">
        <f>IFERROR(VLOOKUP(P158,COPY!$A$1:$AC$1000,26,FALSE),0)</f>
        <v>0</v>
      </c>
      <c r="P314" s="448">
        <f>IFERROR(VLOOKUP(P158,COPY!$A$1:$AC$1000,29,FALSE),0)</f>
        <v>0</v>
      </c>
      <c r="S314" s="449">
        <f t="shared" si="27"/>
        <v>0</v>
      </c>
    </row>
    <row r="315" spans="2:19" ht="20.100000000000001" hidden="1" customHeight="1" x14ac:dyDescent="0.25">
      <c r="B315" s="487"/>
      <c r="F315" s="488"/>
      <c r="G315" s="484"/>
      <c r="I315" s="513"/>
      <c r="J315" s="515">
        <f t="shared" si="26"/>
        <v>0</v>
      </c>
      <c r="K315" s="457"/>
      <c r="L315" s="502" t="str">
        <f t="shared" si="28"/>
        <v xml:space="preserve"> </v>
      </c>
      <c r="M315" s="467"/>
      <c r="N315" s="477">
        <f>IFERROR(VLOOKUP(P159,COPY!$A$1:$AC$1000,26,FALSE),0)</f>
        <v>0</v>
      </c>
      <c r="P315" s="448">
        <f>IFERROR(VLOOKUP(P159,COPY!$A$1:$AC$1000,29,FALSE),0)</f>
        <v>0</v>
      </c>
      <c r="S315" s="449">
        <f t="shared" si="27"/>
        <v>0</v>
      </c>
    </row>
    <row r="316" spans="2:19" ht="20.100000000000001" hidden="1" customHeight="1" x14ac:dyDescent="0.25">
      <c r="B316" s="487"/>
      <c r="F316" s="488"/>
      <c r="G316" s="484"/>
      <c r="I316" s="513"/>
      <c r="J316" s="515">
        <f t="shared" si="26"/>
        <v>0</v>
      </c>
      <c r="K316" s="457"/>
      <c r="L316" s="502" t="str">
        <f t="shared" si="28"/>
        <v xml:space="preserve"> </v>
      </c>
      <c r="M316" s="467"/>
      <c r="N316" s="477">
        <f>IFERROR(VLOOKUP(P160,COPY!$A$1:$AC$1000,26,FALSE),0)</f>
        <v>0</v>
      </c>
      <c r="P316" s="448">
        <f>IFERROR(VLOOKUP(P160,COPY!$A$1:$AC$1000,29,FALSE),0)</f>
        <v>0</v>
      </c>
      <c r="S316" s="449">
        <f t="shared" si="27"/>
        <v>0</v>
      </c>
    </row>
    <row r="317" spans="2:19" ht="20.100000000000001" hidden="1" customHeight="1" x14ac:dyDescent="0.25">
      <c r="B317" s="487"/>
      <c r="F317" s="488"/>
      <c r="G317" s="484"/>
      <c r="I317" s="513"/>
      <c r="J317" s="515">
        <f t="shared" ref="J317:J340" si="29">S317</f>
        <v>0</v>
      </c>
      <c r="K317" s="457"/>
      <c r="L317" s="502" t="str">
        <f t="shared" si="28"/>
        <v xml:space="preserve"> </v>
      </c>
      <c r="M317" s="467"/>
      <c r="N317" s="477">
        <f>IFERROR(VLOOKUP(P161,COPY!$A$1:$AC$1000,26,FALSE),0)</f>
        <v>0</v>
      </c>
      <c r="P317" s="448">
        <f>IFERROR(VLOOKUP(P161,COPY!$A$1:$AC$1000,29,FALSE),0)</f>
        <v>0</v>
      </c>
      <c r="S317" s="449">
        <f t="shared" si="27"/>
        <v>0</v>
      </c>
    </row>
    <row r="318" spans="2:19" ht="20.100000000000001" hidden="1" customHeight="1" x14ac:dyDescent="0.25">
      <c r="B318" s="487"/>
      <c r="F318" s="488"/>
      <c r="G318" s="484"/>
      <c r="I318" s="513"/>
      <c r="J318" s="515">
        <f t="shared" si="29"/>
        <v>0</v>
      </c>
      <c r="K318" s="457"/>
      <c r="L318" s="502" t="str">
        <f t="shared" si="28"/>
        <v xml:space="preserve"> </v>
      </c>
      <c r="M318" s="467"/>
      <c r="N318" s="477">
        <f>IFERROR(VLOOKUP(P162,COPY!$A$1:$AC$1000,26,FALSE),0)</f>
        <v>0</v>
      </c>
      <c r="P318" s="448">
        <f>IFERROR(VLOOKUP(P162,COPY!$A$1:$AC$1000,29,FALSE),0)</f>
        <v>0</v>
      </c>
      <c r="S318" s="449">
        <f t="shared" ref="S318:S341" si="30">IF(LEFT(P318,6)="Terima",REPLACE(P318,1,6,"Bayar"),P318)</f>
        <v>0</v>
      </c>
    </row>
    <row r="319" spans="2:19" ht="20.100000000000001" hidden="1" customHeight="1" x14ac:dyDescent="0.25">
      <c r="B319" s="487"/>
      <c r="F319" s="488"/>
      <c r="G319" s="484"/>
      <c r="I319" s="513"/>
      <c r="J319" s="515">
        <f t="shared" si="29"/>
        <v>0</v>
      </c>
      <c r="K319" s="457"/>
      <c r="L319" s="502" t="str">
        <f t="shared" si="28"/>
        <v xml:space="preserve"> </v>
      </c>
      <c r="M319" s="467"/>
      <c r="N319" s="477">
        <f>IFERROR(VLOOKUP(P163,COPY!$A$1:$AC$1000,26,FALSE),0)</f>
        <v>0</v>
      </c>
      <c r="P319" s="448">
        <f>IFERROR(VLOOKUP(P163,COPY!$A$1:$AC$1000,29,FALSE),0)</f>
        <v>0</v>
      </c>
      <c r="S319" s="449">
        <f t="shared" si="30"/>
        <v>0</v>
      </c>
    </row>
    <row r="320" spans="2:19" ht="20.100000000000001" hidden="1" customHeight="1" x14ac:dyDescent="0.25">
      <c r="B320" s="487"/>
      <c r="F320" s="488"/>
      <c r="G320" s="484"/>
      <c r="I320" s="513"/>
      <c r="J320" s="515">
        <f t="shared" si="29"/>
        <v>0</v>
      </c>
      <c r="K320" s="457"/>
      <c r="L320" s="502" t="str">
        <f t="shared" si="28"/>
        <v xml:space="preserve"> </v>
      </c>
      <c r="M320" s="467"/>
      <c r="N320" s="477">
        <f>IFERROR(VLOOKUP(P164,COPY!$A$1:$AC$1000,26,FALSE),0)</f>
        <v>0</v>
      </c>
      <c r="P320" s="448">
        <f>IFERROR(VLOOKUP(P164,COPY!$A$1:$AC$1000,29,FALSE),0)</f>
        <v>0</v>
      </c>
      <c r="S320" s="449">
        <f t="shared" si="30"/>
        <v>0</v>
      </c>
    </row>
    <row r="321" spans="2:19" ht="20.100000000000001" hidden="1" customHeight="1" x14ac:dyDescent="0.25">
      <c r="B321" s="487"/>
      <c r="F321" s="488"/>
      <c r="G321" s="484"/>
      <c r="I321" s="513"/>
      <c r="J321" s="515">
        <f t="shared" si="29"/>
        <v>0</v>
      </c>
      <c r="K321" s="457"/>
      <c r="L321" s="502" t="str">
        <f t="shared" si="28"/>
        <v xml:space="preserve"> </v>
      </c>
      <c r="M321" s="467"/>
      <c r="N321" s="477">
        <f>IFERROR(VLOOKUP(P165,COPY!$A$1:$AC$1000,26,FALSE),0)</f>
        <v>0</v>
      </c>
      <c r="P321" s="448">
        <f>IFERROR(VLOOKUP(P165,COPY!$A$1:$AC$1000,29,FALSE),0)</f>
        <v>0</v>
      </c>
      <c r="S321" s="449">
        <f t="shared" si="30"/>
        <v>0</v>
      </c>
    </row>
    <row r="322" spans="2:19" ht="20.100000000000001" hidden="1" customHeight="1" x14ac:dyDescent="0.25">
      <c r="B322" s="487"/>
      <c r="F322" s="488"/>
      <c r="G322" s="484"/>
      <c r="I322" s="513"/>
      <c r="J322" s="515">
        <f t="shared" si="29"/>
        <v>0</v>
      </c>
      <c r="K322" s="457"/>
      <c r="L322" s="502" t="str">
        <f t="shared" ref="L322:L341" si="31">IF(LEFT(J322,15)="Bayar Pajak PPN",1,IF(LEFT(J322,15)="Bayar Pajak PPH",2,IF(LEFT(J322,21)="Bayar Pajak Final PPH",3," ")))</f>
        <v xml:space="preserve"> </v>
      </c>
      <c r="M322" s="467"/>
      <c r="N322" s="477">
        <f>IFERROR(VLOOKUP(P166,COPY!$A$1:$AC$1000,26,FALSE),0)</f>
        <v>0</v>
      </c>
      <c r="P322" s="448">
        <f>IFERROR(VLOOKUP(P166,COPY!$A$1:$AC$1000,29,FALSE),0)</f>
        <v>0</v>
      </c>
      <c r="S322" s="449">
        <f t="shared" si="30"/>
        <v>0</v>
      </c>
    </row>
    <row r="323" spans="2:19" ht="20.100000000000001" hidden="1" customHeight="1" x14ac:dyDescent="0.25">
      <c r="B323" s="487"/>
      <c r="F323" s="488"/>
      <c r="G323" s="484"/>
      <c r="I323" s="513"/>
      <c r="J323" s="515">
        <f t="shared" si="29"/>
        <v>0</v>
      </c>
      <c r="K323" s="457"/>
      <c r="L323" s="502" t="str">
        <f t="shared" si="31"/>
        <v xml:space="preserve"> </v>
      </c>
      <c r="M323" s="467"/>
      <c r="N323" s="477">
        <f>IFERROR(VLOOKUP(P167,COPY!$A$1:$AC$1000,26,FALSE),0)</f>
        <v>0</v>
      </c>
      <c r="P323" s="448">
        <f>IFERROR(VLOOKUP(P167,COPY!$A$1:$AC$1000,29,FALSE),0)</f>
        <v>0</v>
      </c>
      <c r="S323" s="449">
        <f t="shared" si="30"/>
        <v>0</v>
      </c>
    </row>
    <row r="324" spans="2:19" ht="20.100000000000001" hidden="1" customHeight="1" x14ac:dyDescent="0.25">
      <c r="B324" s="487"/>
      <c r="F324" s="488"/>
      <c r="G324" s="484"/>
      <c r="I324" s="513"/>
      <c r="J324" s="515">
        <f t="shared" si="29"/>
        <v>0</v>
      </c>
      <c r="K324" s="457"/>
      <c r="L324" s="502" t="str">
        <f t="shared" si="31"/>
        <v xml:space="preserve"> </v>
      </c>
      <c r="M324" s="467"/>
      <c r="N324" s="477">
        <f>IFERROR(VLOOKUP(P168,COPY!$A$1:$AC$1000,26,FALSE),0)</f>
        <v>0</v>
      </c>
      <c r="P324" s="448">
        <f>IFERROR(VLOOKUP(P168,COPY!$A$1:$AC$1000,29,FALSE),0)</f>
        <v>0</v>
      </c>
      <c r="S324" s="449">
        <f t="shared" si="30"/>
        <v>0</v>
      </c>
    </row>
    <row r="325" spans="2:19" ht="20.100000000000001" hidden="1" customHeight="1" x14ac:dyDescent="0.25">
      <c r="B325" s="487"/>
      <c r="F325" s="488"/>
      <c r="G325" s="484"/>
      <c r="I325" s="513"/>
      <c r="J325" s="515">
        <f t="shared" si="29"/>
        <v>0</v>
      </c>
      <c r="K325" s="457"/>
      <c r="L325" s="502" t="str">
        <f t="shared" si="31"/>
        <v xml:space="preserve"> </v>
      </c>
      <c r="M325" s="467"/>
      <c r="N325" s="477">
        <f>IFERROR(VLOOKUP(P169,COPY!$A$1:$AC$1000,26,FALSE),0)</f>
        <v>0</v>
      </c>
      <c r="P325" s="448">
        <f>IFERROR(VLOOKUP(P169,COPY!$A$1:$AC$1000,29,FALSE),0)</f>
        <v>0</v>
      </c>
      <c r="S325" s="449">
        <f t="shared" si="30"/>
        <v>0</v>
      </c>
    </row>
    <row r="326" spans="2:19" ht="20.100000000000001" hidden="1" customHeight="1" x14ac:dyDescent="0.25">
      <c r="B326" s="487"/>
      <c r="F326" s="488"/>
      <c r="G326" s="484"/>
      <c r="I326" s="513"/>
      <c r="J326" s="515">
        <f t="shared" si="29"/>
        <v>0</v>
      </c>
      <c r="K326" s="457"/>
      <c r="L326" s="502" t="str">
        <f t="shared" si="31"/>
        <v xml:space="preserve"> </v>
      </c>
      <c r="M326" s="467"/>
      <c r="N326" s="477">
        <f>IFERROR(VLOOKUP(P170,COPY!$A$1:$AC$1000,26,FALSE),0)</f>
        <v>0</v>
      </c>
      <c r="P326" s="448">
        <f>IFERROR(VLOOKUP(P170,COPY!$A$1:$AC$1000,29,FALSE),0)</f>
        <v>0</v>
      </c>
      <c r="S326" s="449">
        <f t="shared" si="30"/>
        <v>0</v>
      </c>
    </row>
    <row r="327" spans="2:19" ht="20.100000000000001" hidden="1" customHeight="1" x14ac:dyDescent="0.25">
      <c r="B327" s="487"/>
      <c r="F327" s="488"/>
      <c r="G327" s="484"/>
      <c r="I327" s="513"/>
      <c r="J327" s="515">
        <f t="shared" si="29"/>
        <v>0</v>
      </c>
      <c r="K327" s="457"/>
      <c r="L327" s="502" t="str">
        <f t="shared" si="31"/>
        <v xml:space="preserve"> </v>
      </c>
      <c r="M327" s="467"/>
      <c r="N327" s="477">
        <f>IFERROR(VLOOKUP(P171,COPY!$A$1:$AC$1000,26,FALSE),0)</f>
        <v>0</v>
      </c>
      <c r="P327" s="448">
        <f>IFERROR(VLOOKUP(P171,COPY!$A$1:$AC$1000,29,FALSE),0)</f>
        <v>0</v>
      </c>
      <c r="S327" s="449">
        <f t="shared" si="30"/>
        <v>0</v>
      </c>
    </row>
    <row r="328" spans="2:19" ht="20.100000000000001" hidden="1" customHeight="1" x14ac:dyDescent="0.25">
      <c r="B328" s="487"/>
      <c r="F328" s="488"/>
      <c r="G328" s="484"/>
      <c r="I328" s="513"/>
      <c r="J328" s="515">
        <f t="shared" si="29"/>
        <v>0</v>
      </c>
      <c r="K328" s="457"/>
      <c r="L328" s="502" t="str">
        <f t="shared" si="31"/>
        <v xml:space="preserve"> </v>
      </c>
      <c r="M328" s="467"/>
      <c r="N328" s="477">
        <f>IFERROR(VLOOKUP(P172,COPY!$A$1:$AC$1000,26,FALSE),0)</f>
        <v>0</v>
      </c>
      <c r="P328" s="448">
        <f>IFERROR(VLOOKUP(P172,COPY!$A$1:$AC$1000,29,FALSE),0)</f>
        <v>0</v>
      </c>
      <c r="S328" s="449">
        <f t="shared" si="30"/>
        <v>0</v>
      </c>
    </row>
    <row r="329" spans="2:19" ht="20.100000000000001" hidden="1" customHeight="1" x14ac:dyDescent="0.25">
      <c r="B329" s="487"/>
      <c r="F329" s="488"/>
      <c r="G329" s="484"/>
      <c r="I329" s="513"/>
      <c r="J329" s="515">
        <f t="shared" si="29"/>
        <v>0</v>
      </c>
      <c r="K329" s="457"/>
      <c r="L329" s="502" t="str">
        <f t="shared" si="31"/>
        <v xml:space="preserve"> </v>
      </c>
      <c r="M329" s="467"/>
      <c r="N329" s="477">
        <f>IFERROR(VLOOKUP(P173,COPY!$A$1:$AC$1000,26,FALSE),0)</f>
        <v>0</v>
      </c>
      <c r="P329" s="448">
        <f>IFERROR(VLOOKUP(P173,COPY!$A$1:$AC$1000,29,FALSE),0)</f>
        <v>0</v>
      </c>
      <c r="S329" s="449">
        <f t="shared" si="30"/>
        <v>0</v>
      </c>
    </row>
    <row r="330" spans="2:19" ht="20.100000000000001" hidden="1" customHeight="1" x14ac:dyDescent="0.25">
      <c r="B330" s="487"/>
      <c r="F330" s="488"/>
      <c r="G330" s="484"/>
      <c r="I330" s="513"/>
      <c r="J330" s="515">
        <f t="shared" si="29"/>
        <v>0</v>
      </c>
      <c r="K330" s="457"/>
      <c r="L330" s="502" t="str">
        <f t="shared" si="31"/>
        <v xml:space="preserve"> </v>
      </c>
      <c r="M330" s="467"/>
      <c r="N330" s="477">
        <f>IFERROR(VLOOKUP(P174,COPY!$A$1:$AC$1000,26,FALSE),0)</f>
        <v>0</v>
      </c>
      <c r="P330" s="448">
        <f>IFERROR(VLOOKUP(P174,COPY!$A$1:$AC$1000,29,FALSE),0)</f>
        <v>0</v>
      </c>
      <c r="S330" s="449">
        <f t="shared" si="30"/>
        <v>0</v>
      </c>
    </row>
    <row r="331" spans="2:19" ht="20.100000000000001" hidden="1" customHeight="1" x14ac:dyDescent="0.25">
      <c r="B331" s="487"/>
      <c r="F331" s="488"/>
      <c r="G331" s="484"/>
      <c r="I331" s="513"/>
      <c r="J331" s="515">
        <f t="shared" si="29"/>
        <v>0</v>
      </c>
      <c r="K331" s="457"/>
      <c r="L331" s="502" t="str">
        <f t="shared" si="31"/>
        <v xml:space="preserve"> </v>
      </c>
      <c r="M331" s="467"/>
      <c r="N331" s="477">
        <f>IFERROR(VLOOKUP(P175,COPY!$A$1:$AC$1000,26,FALSE),0)</f>
        <v>0</v>
      </c>
      <c r="P331" s="448">
        <f>IFERROR(VLOOKUP(P175,COPY!$A$1:$AC$1000,29,FALSE),0)</f>
        <v>0</v>
      </c>
      <c r="S331" s="449">
        <f t="shared" si="30"/>
        <v>0</v>
      </c>
    </row>
    <row r="332" spans="2:19" ht="20.100000000000001" hidden="1" customHeight="1" x14ac:dyDescent="0.25">
      <c r="B332" s="487"/>
      <c r="F332" s="488"/>
      <c r="G332" s="484"/>
      <c r="I332" s="513"/>
      <c r="J332" s="515">
        <f t="shared" si="29"/>
        <v>0</v>
      </c>
      <c r="K332" s="457"/>
      <c r="L332" s="502" t="str">
        <f t="shared" si="31"/>
        <v xml:space="preserve"> </v>
      </c>
      <c r="M332" s="467"/>
      <c r="N332" s="477">
        <f>IFERROR(VLOOKUP(P176,COPY!$A$1:$AC$1000,26,FALSE),0)</f>
        <v>0</v>
      </c>
      <c r="P332" s="448">
        <f>IFERROR(VLOOKUP(P176,COPY!$A$1:$AC$1000,29,FALSE),0)</f>
        <v>0</v>
      </c>
      <c r="S332" s="449">
        <f t="shared" si="30"/>
        <v>0</v>
      </c>
    </row>
    <row r="333" spans="2:19" ht="20.100000000000001" hidden="1" customHeight="1" x14ac:dyDescent="0.25">
      <c r="B333" s="487"/>
      <c r="F333" s="488"/>
      <c r="G333" s="484"/>
      <c r="I333" s="513"/>
      <c r="J333" s="515">
        <f t="shared" si="29"/>
        <v>0</v>
      </c>
      <c r="K333" s="457"/>
      <c r="L333" s="502" t="str">
        <f t="shared" si="31"/>
        <v xml:space="preserve"> </v>
      </c>
      <c r="M333" s="467"/>
      <c r="N333" s="477">
        <f>IFERROR(VLOOKUP(P177,COPY!$A$1:$AC$1000,26,FALSE),0)</f>
        <v>0</v>
      </c>
      <c r="P333" s="448">
        <f>IFERROR(VLOOKUP(P177,COPY!$A$1:$AC$1000,29,FALSE),0)</f>
        <v>0</v>
      </c>
      <c r="S333" s="449">
        <f t="shared" si="30"/>
        <v>0</v>
      </c>
    </row>
    <row r="334" spans="2:19" ht="20.100000000000001" hidden="1" customHeight="1" x14ac:dyDescent="0.25">
      <c r="B334" s="487"/>
      <c r="F334" s="488"/>
      <c r="G334" s="484"/>
      <c r="I334" s="513"/>
      <c r="J334" s="515">
        <f t="shared" si="29"/>
        <v>0</v>
      </c>
      <c r="K334" s="457"/>
      <c r="L334" s="502" t="str">
        <f t="shared" si="31"/>
        <v xml:space="preserve"> </v>
      </c>
      <c r="M334" s="467"/>
      <c r="N334" s="477">
        <f>IFERROR(VLOOKUP(P178,COPY!$A$1:$AC$1000,26,FALSE),0)</f>
        <v>0</v>
      </c>
      <c r="P334" s="448">
        <f>IFERROR(VLOOKUP(P178,COPY!$A$1:$AC$1000,29,FALSE),0)</f>
        <v>0</v>
      </c>
      <c r="S334" s="449">
        <f t="shared" si="30"/>
        <v>0</v>
      </c>
    </row>
    <row r="335" spans="2:19" ht="20.100000000000001" hidden="1" customHeight="1" x14ac:dyDescent="0.25">
      <c r="B335" s="487"/>
      <c r="F335" s="488"/>
      <c r="G335" s="484"/>
      <c r="I335" s="513"/>
      <c r="J335" s="515">
        <f t="shared" si="29"/>
        <v>0</v>
      </c>
      <c r="K335" s="457"/>
      <c r="L335" s="502" t="str">
        <f t="shared" si="31"/>
        <v xml:space="preserve"> </v>
      </c>
      <c r="M335" s="467"/>
      <c r="N335" s="477">
        <f>IFERROR(VLOOKUP(P179,COPY!$A$1:$AC$1000,26,FALSE),0)</f>
        <v>0</v>
      </c>
      <c r="P335" s="448">
        <f>IFERROR(VLOOKUP(P179,COPY!$A$1:$AC$1000,29,FALSE),0)</f>
        <v>0</v>
      </c>
      <c r="S335" s="449">
        <f t="shared" si="30"/>
        <v>0</v>
      </c>
    </row>
    <row r="336" spans="2:19" ht="20.100000000000001" hidden="1" customHeight="1" x14ac:dyDescent="0.25">
      <c r="B336" s="487"/>
      <c r="F336" s="488"/>
      <c r="G336" s="484"/>
      <c r="I336" s="513"/>
      <c r="J336" s="515">
        <f t="shared" si="29"/>
        <v>0</v>
      </c>
      <c r="K336" s="457"/>
      <c r="L336" s="502" t="str">
        <f t="shared" si="31"/>
        <v xml:space="preserve"> </v>
      </c>
      <c r="M336" s="467"/>
      <c r="N336" s="477">
        <f>IFERROR(VLOOKUP(P180,COPY!$A$1:$AC$1000,26,FALSE),0)</f>
        <v>0</v>
      </c>
      <c r="P336" s="448">
        <f>IFERROR(VLOOKUP(P180,COPY!$A$1:$AC$1000,29,FALSE),0)</f>
        <v>0</v>
      </c>
      <c r="S336" s="449">
        <f t="shared" si="30"/>
        <v>0</v>
      </c>
    </row>
    <row r="337" spans="2:19" ht="20.100000000000001" hidden="1" customHeight="1" x14ac:dyDescent="0.25">
      <c r="B337" s="487"/>
      <c r="F337" s="488"/>
      <c r="G337" s="484"/>
      <c r="I337" s="513"/>
      <c r="J337" s="515">
        <f t="shared" si="29"/>
        <v>0</v>
      </c>
      <c r="K337" s="457"/>
      <c r="L337" s="502" t="str">
        <f t="shared" si="31"/>
        <v xml:space="preserve"> </v>
      </c>
      <c r="M337" s="467"/>
      <c r="N337" s="477">
        <f>IFERROR(VLOOKUP(P181,COPY!$A$1:$AC$1000,26,FALSE),0)</f>
        <v>0</v>
      </c>
      <c r="P337" s="448">
        <f>IFERROR(VLOOKUP(P181,COPY!$A$1:$AC$1000,29,FALSE),0)</f>
        <v>0</v>
      </c>
      <c r="S337" s="449">
        <f t="shared" si="30"/>
        <v>0</v>
      </c>
    </row>
    <row r="338" spans="2:19" ht="20.100000000000001" hidden="1" customHeight="1" x14ac:dyDescent="0.25">
      <c r="B338" s="487"/>
      <c r="F338" s="488"/>
      <c r="G338" s="484"/>
      <c r="I338" s="513"/>
      <c r="J338" s="515">
        <f t="shared" si="29"/>
        <v>0</v>
      </c>
      <c r="K338" s="457"/>
      <c r="L338" s="502" t="str">
        <f t="shared" si="31"/>
        <v xml:space="preserve"> </v>
      </c>
      <c r="M338" s="467"/>
      <c r="N338" s="477">
        <f>IFERROR(VLOOKUP(P182,COPY!$A$1:$AC$1000,26,FALSE),0)</f>
        <v>0</v>
      </c>
      <c r="P338" s="448">
        <f>IFERROR(VLOOKUP(P182,COPY!$A$1:$AC$1000,29,FALSE),0)</f>
        <v>0</v>
      </c>
      <c r="S338" s="449">
        <f t="shared" si="30"/>
        <v>0</v>
      </c>
    </row>
    <row r="339" spans="2:19" ht="20.100000000000001" hidden="1" customHeight="1" x14ac:dyDescent="0.25">
      <c r="B339" s="487"/>
      <c r="F339" s="488"/>
      <c r="G339" s="484"/>
      <c r="I339" s="513"/>
      <c r="J339" s="515">
        <f t="shared" si="29"/>
        <v>0</v>
      </c>
      <c r="K339" s="457"/>
      <c r="L339" s="502" t="str">
        <f t="shared" si="31"/>
        <v xml:space="preserve"> </v>
      </c>
      <c r="M339" s="467"/>
      <c r="N339" s="477">
        <f>IFERROR(VLOOKUP(P183,COPY!$A$1:$AC$1000,26,FALSE),0)</f>
        <v>0</v>
      </c>
      <c r="P339" s="448">
        <f>IFERROR(VLOOKUP(P183,COPY!$A$1:$AC$1000,29,FALSE),0)</f>
        <v>0</v>
      </c>
      <c r="S339" s="449">
        <f t="shared" si="30"/>
        <v>0</v>
      </c>
    </row>
    <row r="340" spans="2:19" ht="20.100000000000001" hidden="1" customHeight="1" x14ac:dyDescent="0.25">
      <c r="B340" s="487"/>
      <c r="F340" s="488"/>
      <c r="G340" s="484"/>
      <c r="I340" s="513"/>
      <c r="J340" s="515">
        <f t="shared" si="29"/>
        <v>0</v>
      </c>
      <c r="K340" s="457"/>
      <c r="L340" s="502" t="str">
        <f t="shared" si="31"/>
        <v xml:space="preserve"> </v>
      </c>
      <c r="M340" s="467"/>
      <c r="N340" s="477">
        <f>IFERROR(VLOOKUP(P184,COPY!$A$1:$AC$1000,26,FALSE),0)</f>
        <v>0</v>
      </c>
      <c r="P340" s="448">
        <f>IFERROR(VLOOKUP(P184,COPY!$A$1:$AC$1000,29,FALSE),0)</f>
        <v>0</v>
      </c>
      <c r="S340" s="449">
        <f t="shared" si="30"/>
        <v>0</v>
      </c>
    </row>
    <row r="341" spans="2:19" ht="20.100000000000001" hidden="1" customHeight="1" x14ac:dyDescent="0.25">
      <c r="B341" s="487"/>
      <c r="F341" s="488"/>
      <c r="G341" s="484"/>
      <c r="I341" s="513"/>
      <c r="J341" s="515">
        <f>S341</f>
        <v>0</v>
      </c>
      <c r="K341" s="457"/>
      <c r="L341" s="502" t="str">
        <f t="shared" si="31"/>
        <v xml:space="preserve"> </v>
      </c>
      <c r="M341" s="467"/>
      <c r="N341" s="477">
        <f>IFERROR(VLOOKUP(P185,COPY!$A$1:$AC$1000,26,FALSE),0)</f>
        <v>0</v>
      </c>
      <c r="P341" s="448">
        <f>IFERROR(VLOOKUP(P185,COPY!$A$1:$AC$1000,29,FALSE),0)</f>
        <v>0</v>
      </c>
      <c r="S341" s="449">
        <f t="shared" si="30"/>
        <v>0</v>
      </c>
    </row>
    <row r="342" spans="2:19" ht="20.100000000000001" customHeight="1" thickBot="1" x14ac:dyDescent="0.3">
      <c r="B342" s="484"/>
      <c r="F342" s="488"/>
      <c r="G342" s="484"/>
      <c r="I342" s="513"/>
      <c r="J342" s="506"/>
      <c r="K342" s="425"/>
      <c r="L342" s="503" t="str">
        <f>IF(LEFT(J342,15)="Bayar Pajak PPN",1,IF(LEFT(J342,15)="Bayar Pajak PPH",2,IF(LEFT(J342,21)="Bayar Pajak Final PPH",3," ")))</f>
        <v xml:space="preserve"> </v>
      </c>
      <c r="M342" s="489"/>
      <c r="N342" s="490">
        <f>IFERROR(VLOOKUP(P186,COPY!$A$1:$AC$1000,26,FALSE),0)</f>
        <v>0</v>
      </c>
    </row>
    <row r="343" spans="2:19" ht="20.100000000000001" customHeight="1" thickBot="1" x14ac:dyDescent="0.3">
      <c r="B343" s="491"/>
      <c r="C343" s="492" t="s">
        <v>46</v>
      </c>
      <c r="D343" s="493"/>
      <c r="E343" s="493"/>
      <c r="F343" s="494">
        <f>SUM(F31:F342)</f>
        <v>84096649.349999994</v>
      </c>
      <c r="G343" s="495"/>
      <c r="H343" s="493"/>
      <c r="I343" s="514" t="s">
        <v>47</v>
      </c>
      <c r="J343" s="496"/>
      <c r="K343" s="493"/>
      <c r="L343" s="496"/>
      <c r="M343" s="496"/>
      <c r="N343" s="497">
        <f>SUM(N33:N342)</f>
        <v>62474059.350000001</v>
      </c>
    </row>
    <row r="345" spans="2:19" ht="20.100000000000001" customHeight="1" x14ac:dyDescent="0.25">
      <c r="B345" s="253"/>
      <c r="C345" s="253" t="str">
        <f>"Pada hari ini : "&amp;TEXT(M353,"dddd")&amp;" tanggal "&amp;TEXT(M353,"dd mmmm yyyy")&amp;"  Buku Kas Umum ditutup dengan keadaan/posisi buku sebagai berikut:"</f>
        <v>Pada hari ini : Selasa tanggal 30 September 2025  Buku Kas Umum ditutup dengan keadaan/posisi buku sebagai berikut:</v>
      </c>
      <c r="F345" s="253"/>
      <c r="G345" s="253"/>
      <c r="H345" s="422"/>
      <c r="M345" s="253"/>
    </row>
    <row r="346" spans="2:19" ht="20.100000000000001" customHeight="1" x14ac:dyDescent="0.25">
      <c r="B346" s="253"/>
      <c r="C346" s="253" t="s">
        <v>48</v>
      </c>
      <c r="F346" s="423"/>
      <c r="G346" s="423"/>
      <c r="H346" s="422"/>
      <c r="K346" s="424" t="s">
        <v>50</v>
      </c>
      <c r="L346" s="489"/>
      <c r="M346" s="426"/>
      <c r="N346" s="498"/>
    </row>
    <row r="347" spans="2:19" ht="20.100000000000001" customHeight="1" x14ac:dyDescent="0.25">
      <c r="B347" s="253"/>
      <c r="C347" s="253" t="s">
        <v>51</v>
      </c>
      <c r="E347" s="427" t="s">
        <v>52</v>
      </c>
      <c r="F347" s="428">
        <f>'BUKU BANK'!I54</f>
        <v>748671</v>
      </c>
      <c r="G347" s="423"/>
      <c r="H347" s="422"/>
      <c r="K347" s="429" t="s">
        <v>53</v>
      </c>
      <c r="M347" s="430"/>
      <c r="N347" s="449"/>
    </row>
    <row r="348" spans="2:19" ht="20.100000000000001" customHeight="1" x14ac:dyDescent="0.25">
      <c r="B348" s="253"/>
      <c r="C348" s="427"/>
      <c r="E348" s="427" t="s">
        <v>54</v>
      </c>
      <c r="F348" s="431">
        <f>F343-N343</f>
        <v>21622589.999999993</v>
      </c>
      <c r="G348" s="423"/>
      <c r="H348" s="422"/>
      <c r="K348" s="432" t="s">
        <v>512</v>
      </c>
      <c r="M348" s="433"/>
      <c r="N348" s="434" t="s">
        <v>55</v>
      </c>
    </row>
    <row r="349" spans="2:19" ht="20.100000000000001" customHeight="1" x14ac:dyDescent="0.25">
      <c r="B349" s="253"/>
      <c r="C349" s="435"/>
      <c r="E349" s="435" t="s">
        <v>2</v>
      </c>
      <c r="F349" s="436">
        <f>SUM(F347:F348)</f>
        <v>22371260.999999993</v>
      </c>
      <c r="G349" s="437"/>
      <c r="H349" s="422"/>
      <c r="K349" s="432" t="s">
        <v>513</v>
      </c>
      <c r="M349" s="433"/>
      <c r="N349" s="434" t="s">
        <v>56</v>
      </c>
    </row>
    <row r="350" spans="2:19" ht="20.100000000000001" customHeight="1" x14ac:dyDescent="0.25">
      <c r="B350" s="253"/>
      <c r="F350" s="253"/>
      <c r="G350" s="253"/>
      <c r="H350" s="422"/>
      <c r="K350" s="432" t="s">
        <v>514</v>
      </c>
      <c r="M350" s="435"/>
      <c r="N350" s="438" t="s">
        <v>57</v>
      </c>
    </row>
    <row r="351" spans="2:19" ht="20.100000000000001" customHeight="1" x14ac:dyDescent="0.25">
      <c r="B351" s="253"/>
      <c r="F351" s="439"/>
      <c r="G351" s="253"/>
      <c r="H351" s="422"/>
      <c r="K351" s="440" t="s">
        <v>515</v>
      </c>
      <c r="L351" s="417"/>
      <c r="M351" s="441"/>
      <c r="N351" s="442" t="s">
        <v>58</v>
      </c>
    </row>
    <row r="352" spans="2:19" ht="20.100000000000001" customHeight="1" x14ac:dyDescent="0.25">
      <c r="B352" s="253"/>
      <c r="F352" s="439"/>
      <c r="G352" s="253"/>
      <c r="H352" s="422"/>
      <c r="M352" s="253"/>
    </row>
    <row r="353" spans="2:14" ht="20.100000000000001" customHeight="1" x14ac:dyDescent="0.25">
      <c r="B353" s="253"/>
      <c r="F353" s="439"/>
      <c r="G353" s="253"/>
      <c r="H353" s="439"/>
      <c r="K353" s="688" t="str">
        <f>$E$4</f>
        <v>NGANTANG</v>
      </c>
      <c r="L353" s="688"/>
      <c r="M353" s="689">
        <f>M26</f>
        <v>45930</v>
      </c>
      <c r="N353" s="689"/>
    </row>
    <row r="354" spans="2:14" ht="20.100000000000001" customHeight="1" x14ac:dyDescent="0.25">
      <c r="B354" s="253"/>
      <c r="C354" s="253" t="s">
        <v>43</v>
      </c>
      <c r="G354" s="439"/>
      <c r="H354" s="439" t="s">
        <v>44</v>
      </c>
      <c r="J354" s="507"/>
      <c r="L354" s="254" t="s">
        <v>215</v>
      </c>
      <c r="M354" s="253"/>
    </row>
    <row r="355" spans="2:14" ht="20.100000000000001" customHeight="1" x14ac:dyDescent="0.25">
      <c r="B355" s="253"/>
      <c r="C355" s="253" t="str">
        <f>"Kepala Sekolah "&amp;$E$3</f>
        <v>Kepala Sekolah SDN 1 SIDODADI</v>
      </c>
      <c r="D355" s="443"/>
      <c r="G355" s="439"/>
      <c r="H355" s="439" t="s">
        <v>45</v>
      </c>
      <c r="L355" s="254" t="s">
        <v>216</v>
      </c>
      <c r="M355" s="253"/>
    </row>
    <row r="356" spans="2:14" ht="20.100000000000001" customHeight="1" x14ac:dyDescent="0.25">
      <c r="B356" s="253"/>
      <c r="G356" s="439"/>
      <c r="H356" s="439"/>
      <c r="J356" s="508"/>
      <c r="K356" s="444"/>
      <c r="L356" s="254"/>
      <c r="M356" s="253"/>
    </row>
    <row r="357" spans="2:14" ht="20.100000000000001" customHeight="1" x14ac:dyDescent="0.25">
      <c r="B357" s="253"/>
      <c r="G357" s="439"/>
      <c r="H357" s="439"/>
      <c r="J357" s="508"/>
      <c r="K357" s="444"/>
      <c r="L357" s="254"/>
      <c r="M357" s="253"/>
    </row>
    <row r="358" spans="2:14" ht="20.100000000000001" customHeight="1" x14ac:dyDescent="0.25">
      <c r="B358" s="253"/>
      <c r="G358" s="439"/>
      <c r="H358" s="439"/>
      <c r="L358" s="254"/>
      <c r="M358" s="430"/>
    </row>
    <row r="359" spans="2:14" ht="20.100000000000001" customHeight="1" x14ac:dyDescent="0.25">
      <c r="B359" s="253"/>
      <c r="G359" s="439"/>
      <c r="H359" s="439"/>
      <c r="I359" s="512"/>
      <c r="L359" s="254"/>
      <c r="M359" s="430"/>
    </row>
    <row r="360" spans="2:14" ht="20.100000000000001" customHeight="1" x14ac:dyDescent="0.25">
      <c r="B360" s="253"/>
      <c r="C360" s="443" t="str">
        <f>$E$8</f>
        <v>MELIA FITRIANI, S.Pd.SD</v>
      </c>
      <c r="G360" s="445"/>
      <c r="H360" s="445" t="str">
        <f>$E$10</f>
        <v>HARTATIK</v>
      </c>
      <c r="L360" s="516" t="str">
        <f>$E$12</f>
        <v>ARIF NUR UDIN, S.Pd.SD</v>
      </c>
      <c r="M360" s="439"/>
    </row>
    <row r="361" spans="2:14" ht="20.100000000000001" customHeight="1" x14ac:dyDescent="0.25">
      <c r="B361" s="253"/>
      <c r="C361" s="253" t="str">
        <f>$E$9</f>
        <v>NIP. 19850619 200904 2 000</v>
      </c>
      <c r="G361" s="439"/>
      <c r="H361" s="439">
        <f>$E$11</f>
        <v>0</v>
      </c>
      <c r="L361" s="254" t="str">
        <f>$E$13</f>
        <v>NIP. 19840719 200903 1 002</v>
      </c>
      <c r="M361" s="439"/>
    </row>
  </sheetData>
  <mergeCells count="16">
    <mergeCell ref="E1:E2"/>
    <mergeCell ref="M25:N25"/>
    <mergeCell ref="K353:L353"/>
    <mergeCell ref="M353:N353"/>
    <mergeCell ref="V16:V17"/>
    <mergeCell ref="M26:N26"/>
    <mergeCell ref="H30:K30"/>
    <mergeCell ref="C30:E30"/>
    <mergeCell ref="D21:K21"/>
    <mergeCell ref="D22:K22"/>
    <mergeCell ref="D26:F27"/>
    <mergeCell ref="AC16:AC17"/>
    <mergeCell ref="W17:X17"/>
    <mergeCell ref="Y17:Z17"/>
    <mergeCell ref="W16:AA16"/>
    <mergeCell ref="AB16:AB17"/>
  </mergeCells>
  <phoneticPr fontId="12" type="noConversion"/>
  <conditionalFormatting sqref="B30:N30">
    <cfRule type="expression" dxfId="400" priority="1">
      <formula>$E$1=7</formula>
    </cfRule>
    <cfRule type="expression" dxfId="399" priority="2">
      <formula>$E$1=6</formula>
    </cfRule>
    <cfRule type="expression" dxfId="398" priority="3">
      <formula>$E$1=5</formula>
    </cfRule>
    <cfRule type="expression" dxfId="397" priority="4">
      <formula>$E$1=4</formula>
    </cfRule>
    <cfRule type="expression" dxfId="396" priority="5">
      <formula>$E$1=3</formula>
    </cfRule>
    <cfRule type="expression" dxfId="395" priority="6">
      <formula>$E$1=2</formula>
    </cfRule>
    <cfRule type="expression" dxfId="394" priority="7">
      <formula>$E$1=1</formula>
    </cfRule>
  </conditionalFormatting>
  <pageMargins left="0.31496062992125984" right="0.31496062992125984" top="1.1811023622047245" bottom="0.78740157480314965" header="0.31496062992125984" footer="0.31496062992125984"/>
  <pageSetup paperSize="9" scale="72" fitToHeight="0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C000"/>
    <pageSetUpPr autoPageBreaks="0" fitToPage="1"/>
  </sheetPr>
  <dimension ref="A1:AH335"/>
  <sheetViews>
    <sheetView showZeros="0" view="pageBreakPreview" topLeftCell="A118" zoomScale="85" zoomScaleNormal="100" zoomScaleSheetLayoutView="85" workbookViewId="0">
      <selection activeCell="H32" sqref="H32"/>
    </sheetView>
  </sheetViews>
  <sheetFormatPr defaultColWidth="9.140625" defaultRowHeight="12" x14ac:dyDescent="0.2"/>
  <cols>
    <col min="1" max="1" width="9.42578125" style="279" bestFit="1" customWidth="1"/>
    <col min="2" max="2" width="15.42578125" style="282" customWidth="1"/>
    <col min="3" max="3" width="8.85546875" style="288" customWidth="1"/>
    <col min="4" max="4" width="14.7109375" style="279" customWidth="1"/>
    <col min="5" max="5" width="8.42578125" style="283" customWidth="1"/>
    <col min="6" max="6" width="9.7109375" style="279" customWidth="1"/>
    <col min="7" max="7" width="46.7109375" style="279" bestFit="1" customWidth="1"/>
    <col min="8" max="8" width="2.7109375" style="279" customWidth="1"/>
    <col min="9" max="9" width="20.7109375" style="284" customWidth="1"/>
    <col min="10" max="10" width="20.7109375" style="285" customWidth="1"/>
    <col min="11" max="11" width="20.140625" style="286" customWidth="1"/>
    <col min="12" max="12" width="20.140625" style="287" customWidth="1"/>
    <col min="13" max="13" width="20.140625" style="278" customWidth="1"/>
    <col min="14" max="14" width="9.140625" style="279"/>
    <col min="15" max="15" width="27.5703125" style="279" bestFit="1" customWidth="1"/>
    <col min="16" max="16" width="22.42578125" style="280" bestFit="1" customWidth="1"/>
    <col min="17" max="17" width="27.140625" style="281" customWidth="1"/>
    <col min="18" max="18" width="9.28515625" style="279" bestFit="1" customWidth="1"/>
    <col min="19" max="16384" width="9.140625" style="279"/>
  </cols>
  <sheetData>
    <row r="1" spans="1:34" s="391" customFormat="1" ht="20.25" x14ac:dyDescent="0.25">
      <c r="B1" s="397"/>
      <c r="C1" s="693" t="s">
        <v>82</v>
      </c>
      <c r="D1" s="693"/>
      <c r="E1" s="693"/>
      <c r="F1" s="693"/>
      <c r="G1" s="693"/>
      <c r="H1" s="693"/>
      <c r="I1" s="693"/>
      <c r="J1" s="693"/>
      <c r="K1" s="693"/>
      <c r="L1" s="693"/>
      <c r="M1" s="588"/>
      <c r="P1" s="589"/>
      <c r="Q1" s="590"/>
      <c r="X1" s="394"/>
    </row>
    <row r="2" spans="1:34" s="391" customFormat="1" ht="18" x14ac:dyDescent="0.25">
      <c r="B2" s="398">
        <f>'BKU 1'!$B$22</f>
        <v>0</v>
      </c>
      <c r="C2" s="694" t="str">
        <f>'BKU 1'!$D$22</f>
        <v>PEMBANGUNAN TOILET BESERTA SANITASINYA</v>
      </c>
      <c r="D2" s="694"/>
      <c r="E2" s="694"/>
      <c r="F2" s="694"/>
      <c r="G2" s="694"/>
      <c r="H2" s="694"/>
      <c r="I2" s="694"/>
      <c r="J2" s="694"/>
      <c r="K2" s="694"/>
      <c r="L2" s="694"/>
      <c r="M2" s="588"/>
      <c r="P2" s="589"/>
      <c r="Q2" s="590"/>
    </row>
    <row r="3" spans="1:34" s="391" customFormat="1" ht="16.5" thickBot="1" x14ac:dyDescent="0.3">
      <c r="B3" s="591"/>
      <c r="C3" s="393"/>
      <c r="E3" s="395"/>
      <c r="I3" s="592"/>
      <c r="J3" s="593"/>
      <c r="K3" s="594"/>
      <c r="L3" s="595"/>
      <c r="M3" s="588"/>
      <c r="O3" s="391" t="s">
        <v>227</v>
      </c>
      <c r="P3" s="589" t="e">
        <f>COPY!AE2</f>
        <v>#REF!</v>
      </c>
      <c r="Q3" s="590">
        <f>COPY!AE3</f>
        <v>44468</v>
      </c>
    </row>
    <row r="4" spans="1:34" s="391" customFormat="1" ht="15.75" x14ac:dyDescent="0.25">
      <c r="B4" s="596" t="s">
        <v>60</v>
      </c>
      <c r="C4" s="393" t="s">
        <v>49</v>
      </c>
      <c r="D4" s="393">
        <v>1</v>
      </c>
      <c r="E4" s="391">
        <f>IFERROR(VLOOKUP(D4,'Rekap Gaji'!$B$12:$P$24,14,FALSE),"-")</f>
        <v>0</v>
      </c>
      <c r="F4" s="597"/>
      <c r="G4" s="392"/>
      <c r="I4" s="395"/>
      <c r="J4" s="593"/>
      <c r="K4" s="594"/>
      <c r="L4" s="595"/>
      <c r="M4" s="588"/>
      <c r="O4" s="391" t="s">
        <v>430</v>
      </c>
      <c r="P4" s="589" t="e">
        <f>COPY!AF2</f>
        <v>#REF!</v>
      </c>
      <c r="Q4" s="590">
        <f>COPY!AF3</f>
        <v>44524</v>
      </c>
      <c r="AA4" s="690" t="s">
        <v>17</v>
      </c>
      <c r="AB4" s="682" t="s">
        <v>100</v>
      </c>
      <c r="AC4" s="683"/>
      <c r="AD4" s="683"/>
      <c r="AE4" s="683"/>
      <c r="AF4" s="684"/>
      <c r="AG4" s="685" t="s">
        <v>0</v>
      </c>
      <c r="AH4" s="679" t="s">
        <v>2</v>
      </c>
    </row>
    <row r="5" spans="1:34" s="391" customFormat="1" ht="8.25" customHeight="1" thickBot="1" x14ac:dyDescent="0.3">
      <c r="B5" s="596"/>
      <c r="C5" s="393"/>
      <c r="F5" s="597"/>
      <c r="G5" s="392"/>
      <c r="I5" s="395"/>
      <c r="J5" s="593"/>
      <c r="K5" s="594"/>
      <c r="L5" s="595"/>
      <c r="M5" s="588"/>
      <c r="P5" s="589"/>
      <c r="Q5" s="590"/>
      <c r="AA5" s="691"/>
      <c r="AB5" s="681" t="s">
        <v>1</v>
      </c>
      <c r="AC5" s="681"/>
      <c r="AD5" s="681" t="s">
        <v>101</v>
      </c>
      <c r="AE5" s="681"/>
      <c r="AF5" s="396" t="s">
        <v>102</v>
      </c>
      <c r="AG5" s="681"/>
      <c r="AH5" s="680"/>
    </row>
    <row r="6" spans="1:34" s="391" customFormat="1" ht="15.75" x14ac:dyDescent="0.25">
      <c r="B6" s="596" t="s">
        <v>61</v>
      </c>
      <c r="C6" s="393" t="s">
        <v>49</v>
      </c>
      <c r="D6" s="391" t="str">
        <f>'BKU 1'!$D$25</f>
        <v>SDN 1 SIDODADI</v>
      </c>
      <c r="F6" s="597"/>
      <c r="I6" s="596" t="s">
        <v>63</v>
      </c>
      <c r="J6" s="393" t="s">
        <v>49</v>
      </c>
      <c r="K6" s="391" t="str">
        <f>'BKU 1'!$I$25</f>
        <v>NGANTANG</v>
      </c>
      <c r="L6" s="595"/>
      <c r="M6" s="588"/>
      <c r="P6" s="589"/>
      <c r="Q6" s="590"/>
    </row>
    <row r="7" spans="1:34" s="391" customFormat="1" ht="15.75" x14ac:dyDescent="0.25">
      <c r="A7" s="391" t="str">
        <f>IF(ROW()=0,1,"")</f>
        <v/>
      </c>
      <c r="B7" s="596" t="s">
        <v>62</v>
      </c>
      <c r="C7" s="393" t="s">
        <v>49</v>
      </c>
      <c r="D7" s="695" t="str">
        <f>'BKU 1'!$D$26</f>
        <v>Jl. Kawi No.36 Rt. 1 Rw. 1 Dusun Sekar, Rt / Rw : 1 / 1, Dusun : Sekar, Kelurahan : Sidodadi</v>
      </c>
      <c r="E7" s="695"/>
      <c r="F7" s="695"/>
      <c r="G7" s="695"/>
      <c r="I7" s="392" t="s">
        <v>66</v>
      </c>
      <c r="J7" s="393" t="s">
        <v>49</v>
      </c>
      <c r="K7" s="395" t="s">
        <v>68</v>
      </c>
      <c r="L7" s="595"/>
      <c r="M7" s="588"/>
      <c r="P7" s="589"/>
      <c r="Q7" s="590"/>
    </row>
    <row r="8" spans="1:34" s="391" customFormat="1" ht="15.75" x14ac:dyDescent="0.25">
      <c r="D8" s="695"/>
      <c r="E8" s="695"/>
      <c r="F8" s="695"/>
      <c r="G8" s="695"/>
      <c r="I8" s="392" t="s">
        <v>67</v>
      </c>
      <c r="J8" s="393" t="s">
        <v>49</v>
      </c>
      <c r="K8" s="395" t="s">
        <v>69</v>
      </c>
      <c r="L8" s="595"/>
      <c r="M8" s="588"/>
      <c r="P8" s="589"/>
      <c r="Q8" s="590"/>
    </row>
    <row r="9" spans="1:34" s="391" customFormat="1" ht="8.25" customHeight="1" thickBot="1" x14ac:dyDescent="0.3">
      <c r="B9" s="591"/>
      <c r="C9" s="393"/>
      <c r="F9" s="597"/>
      <c r="G9" s="392"/>
      <c r="I9" s="395"/>
      <c r="J9" s="593"/>
      <c r="K9" s="594"/>
      <c r="L9" s="595"/>
      <c r="M9" s="588"/>
      <c r="P9" s="589"/>
      <c r="Q9" s="590"/>
    </row>
    <row r="10" spans="1:34" s="399" customFormat="1" ht="26.1" customHeight="1" x14ac:dyDescent="0.25">
      <c r="A10" s="399">
        <f>COUNTIF(COPY!$C$2:$C$1000,D4)</f>
        <v>109</v>
      </c>
      <c r="B10" s="696" t="s">
        <v>0</v>
      </c>
      <c r="C10" s="703" t="s">
        <v>516</v>
      </c>
      <c r="D10" s="700" t="s">
        <v>1</v>
      </c>
      <c r="E10" s="700"/>
      <c r="F10" s="700"/>
      <c r="G10" s="700"/>
      <c r="H10" s="700"/>
      <c r="I10" s="700"/>
      <c r="J10" s="699" t="s">
        <v>257</v>
      </c>
      <c r="K10" s="699"/>
      <c r="L10" s="707" t="s">
        <v>70</v>
      </c>
      <c r="M10" s="708"/>
      <c r="P10" s="598"/>
      <c r="Q10" s="599"/>
    </row>
    <row r="11" spans="1:34" s="399" customFormat="1" ht="25.5" customHeight="1" thickBot="1" x14ac:dyDescent="0.3">
      <c r="B11" s="697"/>
      <c r="C11" s="698"/>
      <c r="D11" s="600" t="s">
        <v>253</v>
      </c>
      <c r="E11" s="600" t="s">
        <v>97</v>
      </c>
      <c r="F11" s="600" t="s">
        <v>254</v>
      </c>
      <c r="G11" s="601" t="s">
        <v>255</v>
      </c>
      <c r="H11" s="698" t="s">
        <v>256</v>
      </c>
      <c r="I11" s="698"/>
      <c r="J11" s="602" t="s">
        <v>64</v>
      </c>
      <c r="K11" s="603" t="s">
        <v>65</v>
      </c>
      <c r="L11" s="604" t="s">
        <v>258</v>
      </c>
      <c r="M11" s="605" t="s">
        <v>259</v>
      </c>
      <c r="P11" s="598"/>
      <c r="Q11" s="599"/>
    </row>
    <row r="12" spans="1:34" s="417" customFormat="1" ht="20.100000000000001" hidden="1" customHeight="1" x14ac:dyDescent="0.25">
      <c r="B12" s="583"/>
      <c r="C12" s="528"/>
      <c r="D12" s="529"/>
      <c r="E12" s="606"/>
      <c r="F12" s="530"/>
      <c r="G12" s="531"/>
      <c r="H12" s="532"/>
      <c r="I12" s="533"/>
      <c r="J12" s="534"/>
      <c r="K12" s="535"/>
      <c r="L12" s="536"/>
      <c r="M12" s="537"/>
      <c r="O12" s="538"/>
      <c r="P12" s="539"/>
      <c r="Q12" s="540"/>
    </row>
    <row r="13" spans="1:34" s="253" customFormat="1" ht="20.100000000000001" customHeight="1" x14ac:dyDescent="0.25">
      <c r="A13" s="253">
        <f>LEN(A14)</f>
        <v>4</v>
      </c>
      <c r="B13" s="584">
        <f>HLOOKUP(D4,COPY!$AJ$3:$AN$4,2,FALSE)</f>
        <v>45901</v>
      </c>
      <c r="C13" s="585"/>
      <c r="D13" s="542"/>
      <c r="E13" s="607"/>
      <c r="F13" s="542"/>
      <c r="G13" s="543" t="str">
        <f>'BKU 1'!C31</f>
        <v>Pengambilan Dana Tahab 1</v>
      </c>
      <c r="H13" s="544"/>
      <c r="I13" s="545"/>
      <c r="J13" s="546">
        <f>'BKU 1'!F31</f>
        <v>84000000</v>
      </c>
      <c r="K13" s="547"/>
      <c r="L13" s="548">
        <f>J13+M12</f>
        <v>84000000</v>
      </c>
      <c r="M13" s="549"/>
      <c r="O13" s="538">
        <f>IF(L13&gt;0,L13-K13,IF(M13&lt;=0,M13-K13,0))</f>
        <v>84000000</v>
      </c>
      <c r="P13" s="550"/>
      <c r="Q13" s="551"/>
    </row>
    <row r="14" spans="1:34" s="253" customFormat="1" ht="20.100000000000001" customHeight="1" x14ac:dyDescent="0.25">
      <c r="A14" s="253" t="str">
        <f>D4&amp;".."&amp;D4</f>
        <v>1..1</v>
      </c>
      <c r="B14" s="584"/>
      <c r="C14" s="585"/>
      <c r="D14" s="542"/>
      <c r="E14" s="607"/>
      <c r="F14" s="542"/>
      <c r="G14" s="543">
        <f>'BKU 1'!C32</f>
        <v>0</v>
      </c>
      <c r="H14" s="544"/>
      <c r="I14" s="545"/>
      <c r="J14" s="546">
        <f>'BKU 1'!F32</f>
        <v>0</v>
      </c>
      <c r="K14" s="547"/>
      <c r="L14" s="548"/>
      <c r="M14" s="549"/>
      <c r="O14" s="538"/>
      <c r="P14" s="550"/>
      <c r="Q14" s="551"/>
    </row>
    <row r="15" spans="1:34" s="253" customFormat="1" ht="20.100000000000001" customHeight="1" x14ac:dyDescent="0.25">
      <c r="A15" s="253" t="str">
        <f>IF(LEN(A14)&gt;2,$D$4&amp;"."&amp;IF(ROW()-ROW($A$15)+1&lt;=$A$10,ROW()-ROW($A$15)+1,""),"")</f>
        <v>1.1</v>
      </c>
      <c r="B15" s="584">
        <f>IF(LEN(A15)&gt;2,VLOOKUP(A15,COPY!$A$2:$O$1000,4,FALSE),"")</f>
        <v>45901</v>
      </c>
      <c r="C15" s="585" t="str">
        <f>IF(LEN(A15)&gt;2,VLOOKUP(A15,COPY!$A$2:$O$1000,15,FALSE),"")</f>
        <v>BKK.1</v>
      </c>
      <c r="D15" s="542" t="str">
        <f>IF(LEN(A15)&gt;2,VLOOKUP(A15,COPY!$A$2:$O$1000,2,FALSE),"")</f>
        <v>Beli</v>
      </c>
      <c r="E15" s="607">
        <f>IF(LEN(A15)&gt;2,VLOOKUP(A15,COPY!$A$2:$O$1000,10,FALSE),"")</f>
        <v>16</v>
      </c>
      <c r="F15" s="542" t="str">
        <f>IF(LEN(A15)&gt;2,VLOOKUP(A15,COPY!$A$2:$O$1000,8,FALSE),"")</f>
        <v>m</v>
      </c>
      <c r="G15" s="543" t="str">
        <f>IF(LEN(A15)&gt;2,VLOOKUP(A15,COPY!$A$2:$O$1000,7,FALSE),"")</f>
        <v>Banner Untuk Rapat</v>
      </c>
      <c r="H15" s="544" t="str">
        <f t="shared" ref="H15" si="0">IF(TEXT(D15,0)="Beli","@","")</f>
        <v>@</v>
      </c>
      <c r="I15" s="545">
        <f>IFERROR(IF(LEN(A15)&gt;2,VLOOKUP(A15,COPY!$A$2:$O$1000,13,FALSE),"")/E15,"")</f>
        <v>17000</v>
      </c>
      <c r="J15" s="546"/>
      <c r="K15" s="547">
        <f t="shared" ref="K15" si="1">IF(E15="","",IF(E15=0,I15,IF(E15&gt;0,E15*I15,0)))</f>
        <v>272000</v>
      </c>
      <c r="L15" s="548">
        <f t="shared" ref="L15" si="2">IF(O15&gt;=0,O15,IF(O15&lt;0,0,0))</f>
        <v>83728000</v>
      </c>
      <c r="M15" s="549">
        <f t="shared" ref="M15:M78" si="3">IF(O15&lt;0,O15,IF(O15&gt;=0,0,0))</f>
        <v>0</v>
      </c>
      <c r="O15" s="538">
        <f>IF(E15="","",IF(L13&gt;0,L13-K15,IF(M13&lt;=0,M13-K15,0)))</f>
        <v>83728000</v>
      </c>
      <c r="P15" s="550"/>
      <c r="Q15" s="551"/>
    </row>
    <row r="16" spans="1:34" s="253" customFormat="1" ht="20.100000000000001" customHeight="1" x14ac:dyDescent="0.25">
      <c r="A16" s="253" t="str">
        <f t="shared" ref="A16:A79" si="4">IF(LEN(A15)&gt;2,$D$4&amp;"."&amp;IF(ROW()-ROW($A$15)+1&lt;=$A$10,ROW()-ROW($A$15)+1,""),"")</f>
        <v>1.2</v>
      </c>
      <c r="B16" s="584" t="str">
        <f>IF(LEN(A16)&gt;2,VLOOKUP(A16,COPY!$A$2:$O$1000,4,FALSE),"")</f>
        <v/>
      </c>
      <c r="C16" s="585" t="str">
        <f>IF(LEN(A16)&gt;2,VLOOKUP(A16,COPY!$A$2:$O$1000,15,FALSE),"")</f>
        <v/>
      </c>
      <c r="D16" s="542" t="str">
        <f>IF(LEN(A16)&gt;2,VLOOKUP(A16,COPY!$A$2:$O$1000,2,FALSE),"")</f>
        <v>Beli</v>
      </c>
      <c r="E16" s="607">
        <f>IF(LEN(A16)&gt;2,VLOOKUP(A16,COPY!$A$2:$O$1000,10,FALSE),"")</f>
        <v>26</v>
      </c>
      <c r="F16" s="542" t="str">
        <f>IF(LEN(A16)&gt;2,VLOOKUP(A16,COPY!$A$2:$O$1000,8,FALSE),"")</f>
        <v>Lbr</v>
      </c>
      <c r="G16" s="543" t="str">
        <f>IF(LEN(A16)&gt;2,VLOOKUP(A16,COPY!$A$2:$O$1000,7,FALSE),"")</f>
        <v>Cetak A3 HVS 70 Grm</v>
      </c>
      <c r="H16" s="544" t="str">
        <f t="shared" ref="H16" si="5">IF(TEXT(D16,0)="Beli","@","")</f>
        <v>@</v>
      </c>
      <c r="I16" s="545">
        <f>IFERROR(IF(LEN(A16)&gt;2,VLOOKUP(A16,COPY!$A$2:$O$1000,13,FALSE),"")/E16,"")</f>
        <v>3500</v>
      </c>
      <c r="J16" s="546"/>
      <c r="K16" s="547">
        <f t="shared" ref="K16" si="6">IF(E16="","",IF(E16=0,I16,IF(E16&gt;0,E16*I16,0)))</f>
        <v>91000</v>
      </c>
      <c r="L16" s="548">
        <f t="shared" ref="L16:L79" si="7">IF(E16="","",IF(O16&gt;=0,O16,IF(O16&lt;0,0,0)))</f>
        <v>83637000</v>
      </c>
      <c r="M16" s="549">
        <f t="shared" si="3"/>
        <v>0</v>
      </c>
      <c r="O16" s="538">
        <f t="shared" ref="O16:O79" si="8">IF(E16="",O15,IF(L15&gt;0,L15-K16,IF(M15&lt;=0,M15-K16,0)))</f>
        <v>83637000</v>
      </c>
      <c r="P16" s="550"/>
      <c r="Q16" s="551"/>
    </row>
    <row r="17" spans="1:17" s="253" customFormat="1" ht="20.100000000000001" customHeight="1" x14ac:dyDescent="0.25">
      <c r="A17" s="253" t="str">
        <f t="shared" si="4"/>
        <v>1.3</v>
      </c>
      <c r="B17" s="584" t="str">
        <f>IF(LEN(A17)&gt;2,VLOOKUP(A17,COPY!$A$2:$O$1000,4,FALSE),"")</f>
        <v/>
      </c>
      <c r="C17" s="585" t="str">
        <f>IF(LEN(A17)&gt;2,VLOOKUP(A17,COPY!$A$2:$O$1000,15,FALSE),"")</f>
        <v/>
      </c>
      <c r="D17" s="542" t="str">
        <f>IF(LEN(A17)&gt;2,VLOOKUP(A17,COPY!$A$2:$O$1000,2,FALSE),"")</f>
        <v>Beli</v>
      </c>
      <c r="E17" s="607">
        <f>IF(LEN(A17)&gt;2,VLOOKUP(A17,COPY!$A$2:$O$1000,10,FALSE),"")</f>
        <v>26</v>
      </c>
      <c r="F17" s="542" t="str">
        <f>IF(LEN(A17)&gt;2,VLOOKUP(A17,COPY!$A$2:$O$1000,8,FALSE),"")</f>
        <v>Lbr</v>
      </c>
      <c r="G17" s="543" t="str">
        <f>IF(LEN(A17)&gt;2,VLOOKUP(A17,COPY!$A$2:$O$1000,7,FALSE),"")</f>
        <v>Cetak Gambar A3 Ap 120 Grm</v>
      </c>
      <c r="H17" s="544" t="str">
        <f t="shared" ref="H17:H80" si="9">IF(TEXT(D17,0)="Beli","@","")</f>
        <v>@</v>
      </c>
      <c r="I17" s="545">
        <f>IFERROR(IF(LEN(A17)&gt;2,VLOOKUP(A17,COPY!$A$2:$O$1000,13,FALSE),"")/E17,"")</f>
        <v>4000</v>
      </c>
      <c r="J17" s="546"/>
      <c r="K17" s="547">
        <f t="shared" ref="K17:K80" si="10">IF(E17="","",IF(E17=0,I17,IF(E17&gt;0,E17*I17,0)))</f>
        <v>104000</v>
      </c>
      <c r="L17" s="548">
        <f t="shared" si="7"/>
        <v>83533000</v>
      </c>
      <c r="M17" s="549">
        <f t="shared" si="3"/>
        <v>0</v>
      </c>
      <c r="O17" s="538">
        <f t="shared" si="8"/>
        <v>83533000</v>
      </c>
      <c r="P17" s="550"/>
      <c r="Q17" s="551"/>
    </row>
    <row r="18" spans="1:17" s="253" customFormat="1" ht="20.100000000000001" customHeight="1" x14ac:dyDescent="0.25">
      <c r="A18" s="253" t="str">
        <f t="shared" si="4"/>
        <v>1.4</v>
      </c>
      <c r="B18" s="584" t="str">
        <f>IF(LEN(A18)&gt;2,VLOOKUP(A18,COPY!$A$2:$O$1000,4,FALSE),"")</f>
        <v/>
      </c>
      <c r="C18" s="585" t="str">
        <f>IF(LEN(A18)&gt;2,VLOOKUP(A18,COPY!$A$2:$O$1000,15,FALSE),"")</f>
        <v/>
      </c>
      <c r="D18" s="542" t="str">
        <f>IF(LEN(A18)&gt;2,VLOOKUP(A18,COPY!$A$2:$O$1000,2,FALSE),"")</f>
        <v>Beli</v>
      </c>
      <c r="E18" s="607">
        <f>IF(LEN(A18)&gt;2,VLOOKUP(A18,COPY!$A$2:$O$1000,10,FALSE),"")</f>
        <v>10</v>
      </c>
      <c r="F18" s="542" t="str">
        <f>IF(LEN(A18)&gt;2,VLOOKUP(A18,COPY!$A$2:$O$1000,8,FALSE),"")</f>
        <v>Bks</v>
      </c>
      <c r="G18" s="543" t="str">
        <f>IF(LEN(A18)&gt;2,VLOOKUP(A18,COPY!$A$2:$O$1000,7,FALSE),"")</f>
        <v>Kosumsi Rapat Awal Pekerjaan</v>
      </c>
      <c r="H18" s="544" t="str">
        <f t="shared" si="9"/>
        <v>@</v>
      </c>
      <c r="I18" s="545">
        <f>IFERROR(IF(LEN(A18)&gt;2,VLOOKUP(A18,COPY!$A$2:$O$1000,13,FALSE),"")/E18,"")</f>
        <v>30000</v>
      </c>
      <c r="J18" s="546"/>
      <c r="K18" s="547">
        <f t="shared" si="10"/>
        <v>300000</v>
      </c>
      <c r="L18" s="548">
        <f t="shared" si="7"/>
        <v>83233000</v>
      </c>
      <c r="M18" s="549">
        <f t="shared" si="3"/>
        <v>0</v>
      </c>
      <c r="O18" s="538">
        <f t="shared" si="8"/>
        <v>83233000</v>
      </c>
      <c r="P18" s="550"/>
      <c r="Q18" s="551"/>
    </row>
    <row r="19" spans="1:17" s="253" customFormat="1" ht="20.100000000000001" customHeight="1" x14ac:dyDescent="0.25">
      <c r="A19" s="253" t="str">
        <f t="shared" si="4"/>
        <v>1.5</v>
      </c>
      <c r="B19" s="584" t="str">
        <f>IF(LEN(A19)&gt;2,VLOOKUP(A19,COPY!$A$2:$O$1000,4,FALSE),"")</f>
        <v/>
      </c>
      <c r="C19" s="585" t="str">
        <f>IF(LEN(A19)&gt;2,VLOOKUP(A19,COPY!$A$2:$O$1000,15,FALSE),"")</f>
        <v/>
      </c>
      <c r="D19" s="542" t="str">
        <f>IF(LEN(A19)&gt;2,VLOOKUP(A19,COPY!$A$2:$O$1000,2,FALSE),"")</f>
        <v>Beli</v>
      </c>
      <c r="E19" s="607">
        <f>IF(LEN(A19)&gt;2,VLOOKUP(A19,COPY!$A$2:$O$1000,10,FALSE),"")</f>
        <v>1</v>
      </c>
      <c r="F19" s="542" t="str">
        <f>IF(LEN(A19)&gt;2,VLOOKUP(A19,COPY!$A$2:$O$1000,8,FALSE),"")</f>
        <v>Ls</v>
      </c>
      <c r="G19" s="543" t="str">
        <f>IF(LEN(A19)&gt;2,VLOOKUP(A19,COPY!$A$2:$O$1000,7,FALSE),"")</f>
        <v>Biaya Perjalanan Rapat Ke dinas Pendidikan</v>
      </c>
      <c r="H19" s="544" t="str">
        <f t="shared" si="9"/>
        <v>@</v>
      </c>
      <c r="I19" s="545">
        <f>IFERROR(IF(LEN(A19)&gt;2,VLOOKUP(A19,COPY!$A$2:$O$1000,13,FALSE),"")/E19,"")</f>
        <v>300000</v>
      </c>
      <c r="J19" s="546"/>
      <c r="K19" s="547">
        <f t="shared" si="10"/>
        <v>300000</v>
      </c>
      <c r="L19" s="548">
        <f t="shared" si="7"/>
        <v>82933000</v>
      </c>
      <c r="M19" s="549">
        <f t="shared" si="3"/>
        <v>0</v>
      </c>
      <c r="O19" s="538">
        <f t="shared" si="8"/>
        <v>82933000</v>
      </c>
      <c r="P19" s="550"/>
      <c r="Q19" s="551"/>
    </row>
    <row r="20" spans="1:17" s="253" customFormat="1" ht="20.100000000000001" customHeight="1" x14ac:dyDescent="0.25">
      <c r="A20" s="253" t="str">
        <f t="shared" si="4"/>
        <v>1.6</v>
      </c>
      <c r="B20" s="584">
        <f>IF(LEN(A20)&gt;2,VLOOKUP(A20,COPY!$A$2:$O$1000,4,FALSE),"")</f>
        <v>45902</v>
      </c>
      <c r="C20" s="585" t="str">
        <f>IF(LEN(A20)&gt;2,VLOOKUP(A20,COPY!$A$2:$O$1000,15,FALSE),"")</f>
        <v>BKK.2</v>
      </c>
      <c r="D20" s="542" t="str">
        <f>IF(LEN(A20)&gt;2,VLOOKUP(A20,COPY!$A$2:$O$1000,2,FALSE),"")</f>
        <v>Beli</v>
      </c>
      <c r="E20" s="607">
        <f>IF(LEN(A20)&gt;2,VLOOKUP(A20,COPY!$A$2:$O$1000,10,FALSE),"")</f>
        <v>2</v>
      </c>
      <c r="F20" s="542" t="str">
        <f>IF(LEN(A20)&gt;2,VLOOKUP(A20,COPY!$A$2:$O$1000,8,FALSE),"")</f>
        <v>Pcs</v>
      </c>
      <c r="G20" s="543" t="str">
        <f>IF(LEN(A20)&gt;2,VLOOKUP(A20,COPY!$A$2:$O$1000,7,FALSE),"")</f>
        <v>Gancu   Doran</v>
      </c>
      <c r="H20" s="544" t="str">
        <f t="shared" si="9"/>
        <v>@</v>
      </c>
      <c r="I20" s="545">
        <f>IFERROR(IF(LEN(A20)&gt;2,VLOOKUP(A20,COPY!$A$2:$O$1000,13,FALSE),"")/E20,"")</f>
        <v>230000</v>
      </c>
      <c r="J20" s="546"/>
      <c r="K20" s="547">
        <f t="shared" si="10"/>
        <v>460000</v>
      </c>
      <c r="L20" s="548">
        <f t="shared" si="7"/>
        <v>82473000</v>
      </c>
      <c r="M20" s="549">
        <f t="shared" si="3"/>
        <v>0</v>
      </c>
      <c r="O20" s="538">
        <f t="shared" si="8"/>
        <v>82473000</v>
      </c>
      <c r="P20" s="550"/>
      <c r="Q20" s="551"/>
    </row>
    <row r="21" spans="1:17" s="253" customFormat="1" ht="20.100000000000001" customHeight="1" x14ac:dyDescent="0.25">
      <c r="A21" s="253" t="str">
        <f t="shared" si="4"/>
        <v>1.7</v>
      </c>
      <c r="B21" s="584" t="str">
        <f>IF(LEN(A21)&gt;2,VLOOKUP(A21,COPY!$A$2:$O$1000,4,FALSE),"")</f>
        <v/>
      </c>
      <c r="C21" s="585" t="str">
        <f>IF(LEN(A21)&gt;2,VLOOKUP(A21,COPY!$A$2:$O$1000,15,FALSE),"")</f>
        <v/>
      </c>
      <c r="D21" s="542" t="str">
        <f>IF(LEN(A21)&gt;2,VLOOKUP(A21,COPY!$A$2:$O$1000,2,FALSE),"")</f>
        <v>Beli</v>
      </c>
      <c r="E21" s="607">
        <f>IF(LEN(A21)&gt;2,VLOOKUP(A21,COPY!$A$2:$O$1000,10,FALSE),"")</f>
        <v>1</v>
      </c>
      <c r="F21" s="542" t="str">
        <f>IF(LEN(A21)&gt;2,VLOOKUP(A21,COPY!$A$2:$O$1000,8,FALSE),"")</f>
        <v>Pcs</v>
      </c>
      <c r="G21" s="543" t="str">
        <f>IF(LEN(A21)&gt;2,VLOOKUP(A21,COPY!$A$2:$O$1000,7,FALSE),"")</f>
        <v>Garuk Besar</v>
      </c>
      <c r="H21" s="544" t="str">
        <f t="shared" si="9"/>
        <v>@</v>
      </c>
      <c r="I21" s="545">
        <f>IFERROR(IF(LEN(A21)&gt;2,VLOOKUP(A21,COPY!$A$2:$O$1000,13,FALSE),"")/E21,"")</f>
        <v>25000</v>
      </c>
      <c r="J21" s="546"/>
      <c r="K21" s="547">
        <f t="shared" si="10"/>
        <v>25000</v>
      </c>
      <c r="L21" s="548">
        <f t="shared" si="7"/>
        <v>82448000</v>
      </c>
      <c r="M21" s="549">
        <f t="shared" si="3"/>
        <v>0</v>
      </c>
      <c r="O21" s="538">
        <f t="shared" si="8"/>
        <v>82448000</v>
      </c>
      <c r="P21" s="550"/>
      <c r="Q21" s="551"/>
    </row>
    <row r="22" spans="1:17" s="253" customFormat="1" ht="20.100000000000001" customHeight="1" x14ac:dyDescent="0.25">
      <c r="A22" s="253" t="str">
        <f t="shared" si="4"/>
        <v>1.8</v>
      </c>
      <c r="B22" s="584" t="str">
        <f>IF(LEN(A22)&gt;2,VLOOKUP(A22,COPY!$A$2:$O$1000,4,FALSE),"")</f>
        <v/>
      </c>
      <c r="C22" s="585" t="str">
        <f>IF(LEN(A22)&gt;2,VLOOKUP(A22,COPY!$A$2:$O$1000,15,FALSE),"")</f>
        <v/>
      </c>
      <c r="D22" s="542" t="str">
        <f>IF(LEN(A22)&gt;2,VLOOKUP(A22,COPY!$A$2:$O$1000,2,FALSE),"")</f>
        <v>Beli</v>
      </c>
      <c r="E22" s="607">
        <f>IF(LEN(A22)&gt;2,VLOOKUP(A22,COPY!$A$2:$O$1000,10,FALSE),"")</f>
        <v>1</v>
      </c>
      <c r="F22" s="542" t="str">
        <f>IF(LEN(A22)&gt;2,VLOOKUP(A22,COPY!$A$2:$O$1000,8,FALSE),"")</f>
        <v>Pcs</v>
      </c>
      <c r="G22" s="543" t="str">
        <f>IF(LEN(A22)&gt;2,VLOOKUP(A22,COPY!$A$2:$O$1000,7,FALSE),"")</f>
        <v>Meteran Biasa 7.5 M</v>
      </c>
      <c r="H22" s="544" t="str">
        <f t="shared" si="9"/>
        <v>@</v>
      </c>
      <c r="I22" s="545">
        <f>IFERROR(IF(LEN(A22)&gt;2,VLOOKUP(A22,COPY!$A$2:$O$1000,13,FALSE),"")/E22,"")</f>
        <v>20000</v>
      </c>
      <c r="J22" s="546"/>
      <c r="K22" s="547">
        <f t="shared" si="10"/>
        <v>20000</v>
      </c>
      <c r="L22" s="548">
        <f t="shared" si="7"/>
        <v>82428000</v>
      </c>
      <c r="M22" s="549">
        <f t="shared" si="3"/>
        <v>0</v>
      </c>
      <c r="O22" s="538">
        <f t="shared" si="8"/>
        <v>82428000</v>
      </c>
      <c r="P22" s="550"/>
      <c r="Q22" s="551"/>
    </row>
    <row r="23" spans="1:17" s="253" customFormat="1" ht="20.100000000000001" customHeight="1" x14ac:dyDescent="0.25">
      <c r="A23" s="253" t="str">
        <f t="shared" si="4"/>
        <v>1.9</v>
      </c>
      <c r="B23" s="584" t="str">
        <f>IF(LEN(A23)&gt;2,VLOOKUP(A23,COPY!$A$2:$O$1000,4,FALSE),"")</f>
        <v/>
      </c>
      <c r="C23" s="585" t="str">
        <f>IF(LEN(A23)&gt;2,VLOOKUP(A23,COPY!$A$2:$O$1000,15,FALSE),"")</f>
        <v/>
      </c>
      <c r="D23" s="542" t="str">
        <f>IF(LEN(A23)&gt;2,VLOOKUP(A23,COPY!$A$2:$O$1000,2,FALSE),"")</f>
        <v>Beli</v>
      </c>
      <c r="E23" s="607">
        <f>IF(LEN(A23)&gt;2,VLOOKUP(A23,COPY!$A$2:$O$1000,10,FALSE),"")</f>
        <v>2</v>
      </c>
      <c r="F23" s="542" t="str">
        <f>IF(LEN(A23)&gt;2,VLOOKUP(A23,COPY!$A$2:$O$1000,8,FALSE),"")</f>
        <v>Pcs</v>
      </c>
      <c r="G23" s="543" t="str">
        <f>IF(LEN(A23)&gt;2,VLOOKUP(A23,COPY!$A$2:$O$1000,7,FALSE),"")</f>
        <v>Skrop Pasir Full Besi Crocodile</v>
      </c>
      <c r="H23" s="544" t="str">
        <f t="shared" si="9"/>
        <v>@</v>
      </c>
      <c r="I23" s="545">
        <f>IFERROR(IF(LEN(A23)&gt;2,VLOOKUP(A23,COPY!$A$2:$O$1000,13,FALSE),"")/E23,"")</f>
        <v>55000</v>
      </c>
      <c r="J23" s="546"/>
      <c r="K23" s="547">
        <f t="shared" si="10"/>
        <v>110000</v>
      </c>
      <c r="L23" s="548">
        <f t="shared" si="7"/>
        <v>82318000</v>
      </c>
      <c r="M23" s="549">
        <f t="shared" si="3"/>
        <v>0</v>
      </c>
      <c r="O23" s="538">
        <f t="shared" si="8"/>
        <v>82318000</v>
      </c>
      <c r="P23" s="550"/>
      <c r="Q23" s="551"/>
    </row>
    <row r="24" spans="1:17" s="253" customFormat="1" ht="20.100000000000001" customHeight="1" x14ac:dyDescent="0.25">
      <c r="A24" s="253" t="str">
        <f t="shared" si="4"/>
        <v>1.10</v>
      </c>
      <c r="B24" s="584" t="str">
        <f>IF(LEN(A24)&gt;2,VLOOKUP(A24,COPY!$A$2:$O$1000,4,FALSE),"")</f>
        <v/>
      </c>
      <c r="C24" s="585" t="str">
        <f>IF(LEN(A24)&gt;2,VLOOKUP(A24,COPY!$A$2:$O$1000,15,FALSE),"")</f>
        <v/>
      </c>
      <c r="D24" s="542" t="str">
        <f>IF(LEN(A24)&gt;2,VLOOKUP(A24,COPY!$A$2:$O$1000,2,FALSE),"")</f>
        <v>Beli</v>
      </c>
      <c r="E24" s="607">
        <f>IF(LEN(A24)&gt;2,VLOOKUP(A24,COPY!$A$2:$O$1000,10,FALSE),"")</f>
        <v>3</v>
      </c>
      <c r="F24" s="542" t="str">
        <f>IF(LEN(A24)&gt;2,VLOOKUP(A24,COPY!$A$2:$O$1000,8,FALSE),"")</f>
        <v>Pcs</v>
      </c>
      <c r="G24" s="543" t="str">
        <f>IF(LEN(A24)&gt;2,VLOOKUP(A24,COPY!$A$2:$O$1000,7,FALSE),"")</f>
        <v>Benang Tampar Kuning</v>
      </c>
      <c r="H24" s="544" t="str">
        <f t="shared" si="9"/>
        <v>@</v>
      </c>
      <c r="I24" s="545">
        <f>IFERROR(IF(LEN(A24)&gt;2,VLOOKUP(A24,COPY!$A$2:$O$1000,13,FALSE),"")/E24,"")</f>
        <v>5000</v>
      </c>
      <c r="J24" s="546"/>
      <c r="K24" s="547">
        <f t="shared" si="10"/>
        <v>15000</v>
      </c>
      <c r="L24" s="548">
        <f t="shared" si="7"/>
        <v>82303000</v>
      </c>
      <c r="M24" s="549">
        <f t="shared" si="3"/>
        <v>0</v>
      </c>
      <c r="O24" s="538">
        <f t="shared" si="8"/>
        <v>82303000</v>
      </c>
      <c r="P24" s="550"/>
      <c r="Q24" s="551"/>
    </row>
    <row r="25" spans="1:17" s="253" customFormat="1" ht="20.100000000000001" customHeight="1" x14ac:dyDescent="0.25">
      <c r="A25" s="253" t="str">
        <f t="shared" si="4"/>
        <v>1.11</v>
      </c>
      <c r="B25" s="584" t="str">
        <f>IF(LEN(A25)&gt;2,VLOOKUP(A25,COPY!$A$2:$O$1000,4,FALSE),"")</f>
        <v/>
      </c>
      <c r="C25" s="585" t="str">
        <f>IF(LEN(A25)&gt;2,VLOOKUP(A25,COPY!$A$2:$O$1000,15,FALSE),"")</f>
        <v/>
      </c>
      <c r="D25" s="542" t="str">
        <f>IF(LEN(A25)&gt;2,VLOOKUP(A25,COPY!$A$2:$O$1000,2,FALSE),"")</f>
        <v>Beli</v>
      </c>
      <c r="E25" s="607">
        <f>IF(LEN(A25)&gt;2,VLOOKUP(A25,COPY!$A$2:$O$1000,10,FALSE),"")</f>
        <v>1</v>
      </c>
      <c r="F25" s="542" t="str">
        <f>IF(LEN(A25)&gt;2,VLOOKUP(A25,COPY!$A$2:$O$1000,8,FALSE),"")</f>
        <v>kg</v>
      </c>
      <c r="G25" s="543" t="str">
        <f>IF(LEN(A25)&gt;2,VLOOKUP(A25,COPY!$A$2:$O$1000,7,FALSE),"")</f>
        <v>Paku 1 1/2</v>
      </c>
      <c r="H25" s="544" t="str">
        <f t="shared" si="9"/>
        <v>@</v>
      </c>
      <c r="I25" s="545">
        <f>IFERROR(IF(LEN(A25)&gt;2,VLOOKUP(A25,COPY!$A$2:$O$1000,13,FALSE),"")/E25,"")</f>
        <v>20000</v>
      </c>
      <c r="J25" s="546"/>
      <c r="K25" s="547">
        <f t="shared" si="10"/>
        <v>20000</v>
      </c>
      <c r="L25" s="548">
        <f t="shared" si="7"/>
        <v>82283000</v>
      </c>
      <c r="M25" s="549">
        <f t="shared" si="3"/>
        <v>0</v>
      </c>
      <c r="O25" s="538">
        <f t="shared" si="8"/>
        <v>82283000</v>
      </c>
      <c r="P25" s="550"/>
      <c r="Q25" s="551"/>
    </row>
    <row r="26" spans="1:17" s="253" customFormat="1" ht="20.100000000000001" customHeight="1" x14ac:dyDescent="0.25">
      <c r="A26" s="253" t="str">
        <f t="shared" si="4"/>
        <v>1.12</v>
      </c>
      <c r="B26" s="584" t="str">
        <f>IF(LEN(A26)&gt;2,VLOOKUP(A26,COPY!$A$2:$O$1000,4,FALSE),"")</f>
        <v/>
      </c>
      <c r="C26" s="585" t="str">
        <f>IF(LEN(A26)&gt;2,VLOOKUP(A26,COPY!$A$2:$O$1000,15,FALSE),"")</f>
        <v/>
      </c>
      <c r="D26" s="542" t="str">
        <f>IF(LEN(A26)&gt;2,VLOOKUP(A26,COPY!$A$2:$O$1000,2,FALSE),"")</f>
        <v>Beli</v>
      </c>
      <c r="E26" s="607">
        <f>IF(LEN(A26)&gt;2,VLOOKUP(A26,COPY!$A$2:$O$1000,10,FALSE),"")</f>
        <v>2</v>
      </c>
      <c r="F26" s="542" t="str">
        <f>IF(LEN(A26)&gt;2,VLOOKUP(A26,COPY!$A$2:$O$1000,8,FALSE),"")</f>
        <v>kg</v>
      </c>
      <c r="G26" s="543" t="str">
        <f>IF(LEN(A26)&gt;2,VLOOKUP(A26,COPY!$A$2:$O$1000,7,FALSE),"")</f>
        <v>Paku 2</v>
      </c>
      <c r="H26" s="544" t="str">
        <f t="shared" si="9"/>
        <v>@</v>
      </c>
      <c r="I26" s="545">
        <f>IFERROR(IF(LEN(A26)&gt;2,VLOOKUP(A26,COPY!$A$2:$O$1000,13,FALSE),"")/E26,"")</f>
        <v>18000</v>
      </c>
      <c r="J26" s="546"/>
      <c r="K26" s="547">
        <f t="shared" si="10"/>
        <v>36000</v>
      </c>
      <c r="L26" s="548">
        <f t="shared" si="7"/>
        <v>82247000</v>
      </c>
      <c r="M26" s="549">
        <f t="shared" si="3"/>
        <v>0</v>
      </c>
      <c r="O26" s="538">
        <f t="shared" si="8"/>
        <v>82247000</v>
      </c>
      <c r="P26" s="550"/>
      <c r="Q26" s="551"/>
    </row>
    <row r="27" spans="1:17" s="253" customFormat="1" ht="20.100000000000001" customHeight="1" x14ac:dyDescent="0.25">
      <c r="A27" s="253" t="str">
        <f t="shared" si="4"/>
        <v>1.13</v>
      </c>
      <c r="B27" s="584" t="str">
        <f>IF(LEN(A27)&gt;2,VLOOKUP(A27,COPY!$A$2:$O$1000,4,FALSE),"")</f>
        <v/>
      </c>
      <c r="C27" s="585" t="str">
        <f>IF(LEN(A27)&gt;2,VLOOKUP(A27,COPY!$A$2:$O$1000,15,FALSE),"")</f>
        <v/>
      </c>
      <c r="D27" s="542" t="str">
        <f>IF(LEN(A27)&gt;2,VLOOKUP(A27,COPY!$A$2:$O$1000,2,FALSE),"")</f>
        <v>Beli</v>
      </c>
      <c r="E27" s="607">
        <f>IF(LEN(A27)&gt;2,VLOOKUP(A27,COPY!$A$2:$O$1000,10,FALSE),"")</f>
        <v>2</v>
      </c>
      <c r="F27" s="542" t="str">
        <f>IF(LEN(A27)&gt;2,VLOOKUP(A27,COPY!$A$2:$O$1000,8,FALSE),"")</f>
        <v>pak</v>
      </c>
      <c r="G27" s="543" t="str">
        <f>IF(LEN(A27)&gt;2,VLOOKUP(A27,COPY!$A$2:$O$1000,7,FALSE),"")</f>
        <v>Kayu Usuk 4 X 6 - 4M</v>
      </c>
      <c r="H27" s="544" t="str">
        <f t="shared" si="9"/>
        <v>@</v>
      </c>
      <c r="I27" s="545">
        <f>IFERROR(IF(LEN(A27)&gt;2,VLOOKUP(A27,COPY!$A$2:$O$1000,13,FALSE),"")/E27,"")</f>
        <v>200000</v>
      </c>
      <c r="J27" s="546"/>
      <c r="K27" s="547">
        <f t="shared" si="10"/>
        <v>400000</v>
      </c>
      <c r="L27" s="548">
        <f t="shared" si="7"/>
        <v>81847000</v>
      </c>
      <c r="M27" s="549">
        <f t="shared" si="3"/>
        <v>0</v>
      </c>
      <c r="O27" s="538">
        <f t="shared" si="8"/>
        <v>81847000</v>
      </c>
      <c r="P27" s="550"/>
      <c r="Q27" s="551"/>
    </row>
    <row r="28" spans="1:17" s="253" customFormat="1" ht="20.100000000000001" customHeight="1" x14ac:dyDescent="0.25">
      <c r="A28" s="253" t="str">
        <f t="shared" si="4"/>
        <v>1.14</v>
      </c>
      <c r="B28" s="584" t="str">
        <f>IF(LEN(A28)&gt;2,VLOOKUP(A28,COPY!$A$2:$O$1000,4,FALSE),"")</f>
        <v/>
      </c>
      <c r="C28" s="585" t="str">
        <f>IF(LEN(A28)&gt;2,VLOOKUP(A28,COPY!$A$2:$O$1000,15,FALSE),"")</f>
        <v/>
      </c>
      <c r="D28" s="542" t="str">
        <f>IF(LEN(A28)&gt;2,VLOOKUP(A28,COPY!$A$2:$O$1000,2,FALSE),"")</f>
        <v>Beli</v>
      </c>
      <c r="E28" s="607">
        <f>IF(LEN(A28)&gt;2,VLOOKUP(A28,COPY!$A$2:$O$1000,10,FALSE),"")</f>
        <v>2</v>
      </c>
      <c r="F28" s="542" t="str">
        <f>IF(LEN(A28)&gt;2,VLOOKUP(A28,COPY!$A$2:$O$1000,8,FALSE),"")</f>
        <v>pak</v>
      </c>
      <c r="G28" s="543" t="str">
        <f>IF(LEN(A28)&gt;2,VLOOKUP(A28,COPY!$A$2:$O$1000,7,FALSE),"")</f>
        <v>Kayu Usuk 4X6 Kembang Super</v>
      </c>
      <c r="H28" s="544" t="str">
        <f t="shared" si="9"/>
        <v>@</v>
      </c>
      <c r="I28" s="545">
        <f>IFERROR(IF(LEN(A28)&gt;2,VLOOKUP(A28,COPY!$A$2:$O$1000,13,FALSE),"")/E28,"")</f>
        <v>300000</v>
      </c>
      <c r="J28" s="546"/>
      <c r="K28" s="547">
        <f t="shared" si="10"/>
        <v>600000</v>
      </c>
      <c r="L28" s="548">
        <f t="shared" si="7"/>
        <v>81247000</v>
      </c>
      <c r="M28" s="549">
        <f t="shared" si="3"/>
        <v>0</v>
      </c>
      <c r="O28" s="538">
        <f t="shared" si="8"/>
        <v>81247000</v>
      </c>
      <c r="P28" s="550"/>
      <c r="Q28" s="551"/>
    </row>
    <row r="29" spans="1:17" s="253" customFormat="1" ht="20.100000000000001" customHeight="1" x14ac:dyDescent="0.25">
      <c r="A29" s="253" t="str">
        <f t="shared" si="4"/>
        <v>1.15</v>
      </c>
      <c r="B29" s="584">
        <f>IF(LEN(A29)&gt;2,VLOOKUP(A29,COPY!$A$2:$O$1000,4,FALSE),"")</f>
        <v>45902</v>
      </c>
      <c r="C29" s="585" t="str">
        <f>IF(LEN(A29)&gt;2,VLOOKUP(A29,COPY!$A$2:$O$1000,15,FALSE),"")</f>
        <v>BKK.3</v>
      </c>
      <c r="D29" s="542" t="str">
        <f>IF(LEN(A29)&gt;2,VLOOKUP(A29,COPY!$A$2:$O$1000,2,FALSE),"")</f>
        <v>Beli</v>
      </c>
      <c r="E29" s="607">
        <f>IF(LEN(A29)&gt;2,VLOOKUP(A29,COPY!$A$2:$O$1000,10,FALSE),"")</f>
        <v>1</v>
      </c>
      <c r="F29" s="542" t="str">
        <f>IF(LEN(A29)&gt;2,VLOOKUP(A29,COPY!$A$2:$O$1000,8,FALSE),"")</f>
        <v>Rim</v>
      </c>
      <c r="G29" s="543" t="str">
        <f>IF(LEN(A29)&gt;2,VLOOKUP(A29,COPY!$A$2:$O$1000,7,FALSE),"")</f>
        <v>Kertas Sidu A4 70 grm</v>
      </c>
      <c r="H29" s="544" t="str">
        <f t="shared" si="9"/>
        <v>@</v>
      </c>
      <c r="I29" s="545">
        <f>IFERROR(IF(LEN(A29)&gt;2,VLOOKUP(A29,COPY!$A$2:$O$1000,13,FALSE),"")/E29,"")</f>
        <v>50000</v>
      </c>
      <c r="J29" s="546"/>
      <c r="K29" s="547">
        <f t="shared" si="10"/>
        <v>50000</v>
      </c>
      <c r="L29" s="548">
        <f t="shared" si="7"/>
        <v>81197000</v>
      </c>
      <c r="M29" s="549">
        <f t="shared" si="3"/>
        <v>0</v>
      </c>
      <c r="O29" s="538">
        <f t="shared" si="8"/>
        <v>81197000</v>
      </c>
      <c r="P29" s="550"/>
      <c r="Q29" s="551"/>
    </row>
    <row r="30" spans="1:17" s="253" customFormat="1" ht="20.100000000000001" customHeight="1" x14ac:dyDescent="0.25">
      <c r="A30" s="253" t="str">
        <f t="shared" si="4"/>
        <v>1.16</v>
      </c>
      <c r="B30" s="584" t="str">
        <f>IF(LEN(A30)&gt;2,VLOOKUP(A30,COPY!$A$2:$O$1000,4,FALSE),"")</f>
        <v/>
      </c>
      <c r="C30" s="585" t="str">
        <f>IF(LEN(A30)&gt;2,VLOOKUP(A30,COPY!$A$2:$O$1000,15,FALSE),"")</f>
        <v/>
      </c>
      <c r="D30" s="542" t="str">
        <f>IF(LEN(A30)&gt;2,VLOOKUP(A30,COPY!$A$2:$O$1000,2,FALSE),"")</f>
        <v>Beli</v>
      </c>
      <c r="E30" s="607">
        <f>IF(LEN(A30)&gt;2,VLOOKUP(A30,COPY!$A$2:$O$1000,10,FALSE),"")</f>
        <v>1</v>
      </c>
      <c r="F30" s="542" t="str">
        <f>IF(LEN(A30)&gt;2,VLOOKUP(A30,COPY!$A$2:$O$1000,8,FALSE),"")</f>
        <v>Rim</v>
      </c>
      <c r="G30" s="543" t="str">
        <f>IF(LEN(A30)&gt;2,VLOOKUP(A30,COPY!$A$2:$O$1000,7,FALSE),"")</f>
        <v>Kertas Sidu F4 70 grm</v>
      </c>
      <c r="H30" s="544" t="str">
        <f t="shared" si="9"/>
        <v>@</v>
      </c>
      <c r="I30" s="545">
        <f>IFERROR(IF(LEN(A30)&gt;2,VLOOKUP(A30,COPY!$A$2:$O$1000,13,FALSE),"")/E30,"")</f>
        <v>58000</v>
      </c>
      <c r="J30" s="546"/>
      <c r="K30" s="547">
        <f t="shared" si="10"/>
        <v>58000</v>
      </c>
      <c r="L30" s="548">
        <f t="shared" si="7"/>
        <v>81139000</v>
      </c>
      <c r="M30" s="549">
        <f t="shared" si="3"/>
        <v>0</v>
      </c>
      <c r="O30" s="538">
        <f t="shared" si="8"/>
        <v>81139000</v>
      </c>
      <c r="P30" s="550"/>
      <c r="Q30" s="551"/>
    </row>
    <row r="31" spans="1:17" s="253" customFormat="1" ht="20.100000000000001" customHeight="1" x14ac:dyDescent="0.25">
      <c r="A31" s="253" t="str">
        <f t="shared" si="4"/>
        <v>1.17</v>
      </c>
      <c r="B31" s="584" t="str">
        <f>IF(LEN(A31)&gt;2,VLOOKUP(A31,COPY!$A$2:$O$1000,4,FALSE),"")</f>
        <v/>
      </c>
      <c r="C31" s="585" t="str">
        <f>IF(LEN(A31)&gt;2,VLOOKUP(A31,COPY!$A$2:$O$1000,15,FALSE),"")</f>
        <v/>
      </c>
      <c r="D31" s="542" t="str">
        <f>IF(LEN(A31)&gt;2,VLOOKUP(A31,COPY!$A$2:$O$1000,2,FALSE),"")</f>
        <v>Beli</v>
      </c>
      <c r="E31" s="607">
        <f>IF(LEN(A31)&gt;2,VLOOKUP(A31,COPY!$A$2:$O$1000,10,FALSE),"")</f>
        <v>2</v>
      </c>
      <c r="F31" s="542" t="str">
        <f>IF(LEN(A31)&gt;2,VLOOKUP(A31,COPY!$A$2:$O$1000,8,FALSE),"")</f>
        <v>Pcs</v>
      </c>
      <c r="G31" s="543" t="str">
        <f>IF(LEN(A31)&gt;2,VLOOKUP(A31,COPY!$A$2:$O$1000,7,FALSE),"")</f>
        <v>Tinta Printer</v>
      </c>
      <c r="H31" s="544" t="str">
        <f t="shared" si="9"/>
        <v>@</v>
      </c>
      <c r="I31" s="545">
        <f>IFERROR(IF(LEN(A31)&gt;2,VLOOKUP(A31,COPY!$A$2:$O$1000,13,FALSE),"")/E31,"")</f>
        <v>100000</v>
      </c>
      <c r="J31" s="546"/>
      <c r="K31" s="547">
        <f t="shared" si="10"/>
        <v>200000</v>
      </c>
      <c r="L31" s="548">
        <f t="shared" si="7"/>
        <v>80939000</v>
      </c>
      <c r="M31" s="549">
        <f t="shared" si="3"/>
        <v>0</v>
      </c>
      <c r="O31" s="538">
        <f t="shared" si="8"/>
        <v>80939000</v>
      </c>
      <c r="P31" s="550"/>
      <c r="Q31" s="551"/>
    </row>
    <row r="32" spans="1:17" s="253" customFormat="1" ht="20.100000000000001" customHeight="1" x14ac:dyDescent="0.25">
      <c r="A32" s="253" t="str">
        <f t="shared" si="4"/>
        <v>1.18</v>
      </c>
      <c r="B32" s="584" t="str">
        <f>IF(LEN(A32)&gt;2,VLOOKUP(A32,COPY!$A$2:$O$1000,4,FALSE),"")</f>
        <v/>
      </c>
      <c r="C32" s="585" t="str">
        <f>IF(LEN(A32)&gt;2,VLOOKUP(A32,COPY!$A$2:$O$1000,15,FALSE),"")</f>
        <v/>
      </c>
      <c r="D32" s="542" t="str">
        <f>IF(LEN(A32)&gt;2,VLOOKUP(A32,COPY!$A$2:$O$1000,2,FALSE),"")</f>
        <v>Beli</v>
      </c>
      <c r="E32" s="607">
        <f>IF(LEN(A32)&gt;2,VLOOKUP(A32,COPY!$A$2:$O$1000,10,FALSE),"")</f>
        <v>2</v>
      </c>
      <c r="F32" s="542" t="str">
        <f>IF(LEN(A32)&gt;2,VLOOKUP(A32,COPY!$A$2:$O$1000,8,FALSE),"")</f>
        <v>Pcs</v>
      </c>
      <c r="G32" s="543" t="str">
        <f>IF(LEN(A32)&gt;2,VLOOKUP(A32,COPY!$A$2:$O$1000,7,FALSE),"")</f>
        <v>Isolasi Bening</v>
      </c>
      <c r="H32" s="544" t="str">
        <f t="shared" si="9"/>
        <v>@</v>
      </c>
      <c r="I32" s="545">
        <f>IFERROR(IF(LEN(A32)&gt;2,VLOOKUP(A32,COPY!$A$2:$O$1000,13,FALSE),"")/E32,"")</f>
        <v>8000</v>
      </c>
      <c r="J32" s="546"/>
      <c r="K32" s="547">
        <f t="shared" si="10"/>
        <v>16000</v>
      </c>
      <c r="L32" s="548">
        <f t="shared" si="7"/>
        <v>80923000</v>
      </c>
      <c r="M32" s="549">
        <f t="shared" si="3"/>
        <v>0</v>
      </c>
      <c r="O32" s="538">
        <f t="shared" si="8"/>
        <v>80923000</v>
      </c>
      <c r="P32" s="550"/>
      <c r="Q32" s="551"/>
    </row>
    <row r="33" spans="1:17" s="253" customFormat="1" ht="20.100000000000001" customHeight="1" x14ac:dyDescent="0.25">
      <c r="A33" s="253" t="str">
        <f t="shared" si="4"/>
        <v>1.19</v>
      </c>
      <c r="B33" s="584" t="str">
        <f>IF(LEN(A33)&gt;2,VLOOKUP(A33,COPY!$A$2:$O$1000,4,FALSE),"")</f>
        <v/>
      </c>
      <c r="C33" s="585" t="str">
        <f>IF(LEN(A33)&gt;2,VLOOKUP(A33,COPY!$A$2:$O$1000,15,FALSE),"")</f>
        <v/>
      </c>
      <c r="D33" s="542" t="str">
        <f>IF(LEN(A33)&gt;2,VLOOKUP(A33,COPY!$A$2:$O$1000,2,FALSE),"")</f>
        <v>Beli</v>
      </c>
      <c r="E33" s="607">
        <f>IF(LEN(A33)&gt;2,VLOOKUP(A33,COPY!$A$2:$O$1000,10,FALSE),"")</f>
        <v>2</v>
      </c>
      <c r="F33" s="542" t="str">
        <f>IF(LEN(A33)&gt;2,VLOOKUP(A33,COPY!$A$2:$O$1000,8,FALSE),"")</f>
        <v>Pcs</v>
      </c>
      <c r="G33" s="543" t="str">
        <f>IF(LEN(A33)&gt;2,VLOOKUP(A33,COPY!$A$2:$O$1000,7,FALSE),"")</f>
        <v>Lakban Tanggung</v>
      </c>
      <c r="H33" s="544" t="str">
        <f t="shared" si="9"/>
        <v>@</v>
      </c>
      <c r="I33" s="545">
        <f>IFERROR(IF(LEN(A33)&gt;2,VLOOKUP(A33,COPY!$A$2:$O$1000,13,FALSE),"")/E33,"")</f>
        <v>14000</v>
      </c>
      <c r="J33" s="546"/>
      <c r="K33" s="547">
        <f t="shared" si="10"/>
        <v>28000</v>
      </c>
      <c r="L33" s="548">
        <f t="shared" si="7"/>
        <v>80895000</v>
      </c>
      <c r="M33" s="549">
        <f t="shared" si="3"/>
        <v>0</v>
      </c>
      <c r="O33" s="538">
        <f t="shared" si="8"/>
        <v>80895000</v>
      </c>
      <c r="P33" s="550"/>
      <c r="Q33" s="551"/>
    </row>
    <row r="34" spans="1:17" s="253" customFormat="1" ht="20.100000000000001" customHeight="1" x14ac:dyDescent="0.25">
      <c r="A34" s="253" t="str">
        <f t="shared" si="4"/>
        <v>1.20</v>
      </c>
      <c r="B34" s="584" t="str">
        <f>IF(LEN(A34)&gt;2,VLOOKUP(A34,COPY!$A$2:$O$1000,4,FALSE),"")</f>
        <v/>
      </c>
      <c r="C34" s="585" t="str">
        <f>IF(LEN(A34)&gt;2,VLOOKUP(A34,COPY!$A$2:$O$1000,15,FALSE),"")</f>
        <v/>
      </c>
      <c r="D34" s="542" t="str">
        <f>IF(LEN(A34)&gt;2,VLOOKUP(A34,COPY!$A$2:$O$1000,2,FALSE),"")</f>
        <v>Beli</v>
      </c>
      <c r="E34" s="607">
        <f>IF(LEN(A34)&gt;2,VLOOKUP(A34,COPY!$A$2:$O$1000,10,FALSE),"")</f>
        <v>2</v>
      </c>
      <c r="F34" s="542" t="str">
        <f>IF(LEN(A34)&gt;2,VLOOKUP(A34,COPY!$A$2:$O$1000,8,FALSE),"")</f>
        <v>Pcs</v>
      </c>
      <c r="G34" s="543" t="str">
        <f>IF(LEN(A34)&gt;2,VLOOKUP(A34,COPY!$A$2:$O$1000,7,FALSE),"")</f>
        <v>Tinta stempel</v>
      </c>
      <c r="H34" s="544" t="str">
        <f t="shared" si="9"/>
        <v>@</v>
      </c>
      <c r="I34" s="545">
        <f>IFERROR(IF(LEN(A34)&gt;2,VLOOKUP(A34,COPY!$A$2:$O$1000,13,FALSE),"")/E34,"")</f>
        <v>18000</v>
      </c>
      <c r="J34" s="546"/>
      <c r="K34" s="547">
        <f t="shared" si="10"/>
        <v>36000</v>
      </c>
      <c r="L34" s="548">
        <f t="shared" si="7"/>
        <v>80859000</v>
      </c>
      <c r="M34" s="549">
        <f t="shared" si="3"/>
        <v>0</v>
      </c>
      <c r="O34" s="538">
        <f t="shared" si="8"/>
        <v>80859000</v>
      </c>
      <c r="P34" s="550"/>
      <c r="Q34" s="551"/>
    </row>
    <row r="35" spans="1:17" s="253" customFormat="1" ht="20.100000000000001" customHeight="1" x14ac:dyDescent="0.25">
      <c r="A35" s="253" t="str">
        <f t="shared" si="4"/>
        <v>1.21</v>
      </c>
      <c r="B35" s="584" t="str">
        <f>IF(LEN(A35)&gt;2,VLOOKUP(A35,COPY!$A$2:$O$1000,4,FALSE),"")</f>
        <v/>
      </c>
      <c r="C35" s="585" t="str">
        <f>IF(LEN(A35)&gt;2,VLOOKUP(A35,COPY!$A$2:$O$1000,15,FALSE),"")</f>
        <v/>
      </c>
      <c r="D35" s="542" t="str">
        <f>IF(LEN(A35)&gt;2,VLOOKUP(A35,COPY!$A$2:$O$1000,2,FALSE),"")</f>
        <v>Beli</v>
      </c>
      <c r="E35" s="607">
        <f>IF(LEN(A35)&gt;2,VLOOKUP(A35,COPY!$A$2:$O$1000,10,FALSE),"")</f>
        <v>2</v>
      </c>
      <c r="F35" s="542" t="str">
        <f>IF(LEN(A35)&gt;2,VLOOKUP(A35,COPY!$A$2:$O$1000,8,FALSE),"")</f>
        <v>Pcs</v>
      </c>
      <c r="G35" s="543" t="str">
        <f>IF(LEN(A35)&gt;2,VLOOKUP(A35,COPY!$A$2:$O$1000,7,FALSE),"")</f>
        <v>Double tipe</v>
      </c>
      <c r="H35" s="544" t="str">
        <f t="shared" si="9"/>
        <v>@</v>
      </c>
      <c r="I35" s="545">
        <f>IFERROR(IF(LEN(A35)&gt;2,VLOOKUP(A35,COPY!$A$2:$O$1000,13,FALSE),"")/E35,"")</f>
        <v>4000</v>
      </c>
      <c r="J35" s="546"/>
      <c r="K35" s="547">
        <f t="shared" si="10"/>
        <v>8000</v>
      </c>
      <c r="L35" s="548">
        <f t="shared" si="7"/>
        <v>80851000</v>
      </c>
      <c r="M35" s="549">
        <f t="shared" si="3"/>
        <v>0</v>
      </c>
      <c r="O35" s="538">
        <f t="shared" si="8"/>
        <v>80851000</v>
      </c>
      <c r="P35" s="550"/>
      <c r="Q35" s="551"/>
    </row>
    <row r="36" spans="1:17" s="253" customFormat="1" ht="20.100000000000001" customHeight="1" x14ac:dyDescent="0.25">
      <c r="A36" s="253" t="str">
        <f t="shared" si="4"/>
        <v>1.22</v>
      </c>
      <c r="B36" s="584" t="str">
        <f>IF(LEN(A36)&gt;2,VLOOKUP(A36,COPY!$A$2:$O$1000,4,FALSE),"")</f>
        <v/>
      </c>
      <c r="C36" s="585" t="str">
        <f>IF(LEN(A36)&gt;2,VLOOKUP(A36,COPY!$A$2:$O$1000,15,FALSE),"")</f>
        <v/>
      </c>
      <c r="D36" s="542" t="str">
        <f>IF(LEN(A36)&gt;2,VLOOKUP(A36,COPY!$A$2:$O$1000,2,FALSE),"")</f>
        <v>Beli</v>
      </c>
      <c r="E36" s="607">
        <f>IF(LEN(A36)&gt;2,VLOOKUP(A36,COPY!$A$2:$O$1000,10,FALSE),"")</f>
        <v>1</v>
      </c>
      <c r="F36" s="542" t="str">
        <f>IF(LEN(A36)&gt;2,VLOOKUP(A36,COPY!$A$2:$O$1000,8,FALSE),"")</f>
        <v>Pcs</v>
      </c>
      <c r="G36" s="543" t="str">
        <f>IF(LEN(A36)&gt;2,VLOOKUP(A36,COPY!$A$2:$O$1000,7,FALSE),"")</f>
        <v>Spidol Besar</v>
      </c>
      <c r="H36" s="544" t="str">
        <f t="shared" si="9"/>
        <v>@</v>
      </c>
      <c r="I36" s="545">
        <f>IFERROR(IF(LEN(A36)&gt;2,VLOOKUP(A36,COPY!$A$2:$O$1000,13,FALSE),"")/E36,"")</f>
        <v>5000</v>
      </c>
      <c r="J36" s="546"/>
      <c r="K36" s="547">
        <f t="shared" si="10"/>
        <v>5000</v>
      </c>
      <c r="L36" s="548">
        <f t="shared" si="7"/>
        <v>80846000</v>
      </c>
      <c r="M36" s="549">
        <f t="shared" si="3"/>
        <v>0</v>
      </c>
      <c r="O36" s="538">
        <f t="shared" si="8"/>
        <v>80846000</v>
      </c>
      <c r="P36" s="550"/>
      <c r="Q36" s="551"/>
    </row>
    <row r="37" spans="1:17" s="253" customFormat="1" ht="20.100000000000001" customHeight="1" x14ac:dyDescent="0.25">
      <c r="A37" s="253" t="str">
        <f t="shared" si="4"/>
        <v>1.23</v>
      </c>
      <c r="B37" s="584">
        <f>IF(LEN(A37)&gt;2,VLOOKUP(A37,COPY!$A$2:$O$1000,4,FALSE),"")</f>
        <v>45903</v>
      </c>
      <c r="C37" s="585" t="str">
        <f>IF(LEN(A37)&gt;2,VLOOKUP(A37,COPY!$A$2:$O$1000,15,FALSE),"")</f>
        <v>BKK.4</v>
      </c>
      <c r="D37" s="542" t="str">
        <f>IF(LEN(A37)&gt;2,VLOOKUP(A37,COPY!$A$2:$O$1000,2,FALSE),"")</f>
        <v>Beli</v>
      </c>
      <c r="E37" s="607">
        <f>IF(LEN(A37)&gt;2,VLOOKUP(A37,COPY!$A$2:$O$1000,10,FALSE),"")</f>
        <v>1</v>
      </c>
      <c r="F37" s="542" t="str">
        <f>IF(LEN(A37)&gt;2,VLOOKUP(A37,COPY!$A$2:$O$1000,8,FALSE),"")</f>
        <v>Pcs</v>
      </c>
      <c r="G37" s="543" t="str">
        <f>IF(LEN(A37)&gt;2,VLOOKUP(A37,COPY!$A$2:$O$1000,7,FALSE),"")</f>
        <v>Linggis Ulir 19</v>
      </c>
      <c r="H37" s="544" t="str">
        <f t="shared" si="9"/>
        <v>@</v>
      </c>
      <c r="I37" s="545">
        <f>IFERROR(IF(LEN(A37)&gt;2,VLOOKUP(A37,COPY!$A$2:$O$1000,13,FALSE),"")/E37,"")</f>
        <v>40000</v>
      </c>
      <c r="J37" s="546"/>
      <c r="K37" s="547">
        <f t="shared" si="10"/>
        <v>40000</v>
      </c>
      <c r="L37" s="548">
        <f t="shared" si="7"/>
        <v>80806000</v>
      </c>
      <c r="M37" s="549">
        <f t="shared" si="3"/>
        <v>0</v>
      </c>
      <c r="O37" s="538">
        <f t="shared" si="8"/>
        <v>80806000</v>
      </c>
      <c r="P37" s="550"/>
      <c r="Q37" s="551"/>
    </row>
    <row r="38" spans="1:17" s="253" customFormat="1" ht="20.100000000000001" customHeight="1" x14ac:dyDescent="0.25">
      <c r="A38" s="253" t="str">
        <f t="shared" si="4"/>
        <v>1.24</v>
      </c>
      <c r="B38" s="584" t="str">
        <f>IF(LEN(A38)&gt;2,VLOOKUP(A38,COPY!$A$2:$O$1000,4,FALSE),"")</f>
        <v/>
      </c>
      <c r="C38" s="585" t="str">
        <f>IF(LEN(A38)&gt;2,VLOOKUP(A38,COPY!$A$2:$O$1000,15,FALSE),"")</f>
        <v/>
      </c>
      <c r="D38" s="542" t="str">
        <f>IF(LEN(A38)&gt;2,VLOOKUP(A38,COPY!$A$2:$O$1000,2,FALSE),"")</f>
        <v>Beli</v>
      </c>
      <c r="E38" s="607">
        <f>IF(LEN(A38)&gt;2,VLOOKUP(A38,COPY!$A$2:$O$1000,10,FALSE),"")</f>
        <v>1</v>
      </c>
      <c r="F38" s="542" t="str">
        <f>IF(LEN(A38)&gt;2,VLOOKUP(A38,COPY!$A$2:$O$1000,8,FALSE),"")</f>
        <v>Pcs</v>
      </c>
      <c r="G38" s="543" t="str">
        <f>IF(LEN(A38)&gt;2,VLOOKUP(A38,COPY!$A$2:$O$1000,7,FALSE),"")</f>
        <v>Pleser 6-8</v>
      </c>
      <c r="H38" s="544" t="str">
        <f t="shared" si="9"/>
        <v>@</v>
      </c>
      <c r="I38" s="545">
        <f>IFERROR(IF(LEN(A38)&gt;2,VLOOKUP(A38,COPY!$A$2:$O$1000,13,FALSE),"")/E38,"")</f>
        <v>20000</v>
      </c>
      <c r="J38" s="546"/>
      <c r="K38" s="547">
        <f t="shared" si="10"/>
        <v>20000</v>
      </c>
      <c r="L38" s="548">
        <f t="shared" si="7"/>
        <v>80786000</v>
      </c>
      <c r="M38" s="549">
        <f t="shared" si="3"/>
        <v>0</v>
      </c>
      <c r="O38" s="538">
        <f t="shared" si="8"/>
        <v>80786000</v>
      </c>
      <c r="P38" s="550"/>
      <c r="Q38" s="551"/>
    </row>
    <row r="39" spans="1:17" s="253" customFormat="1" ht="20.100000000000001" customHeight="1" x14ac:dyDescent="0.25">
      <c r="A39" s="253" t="str">
        <f t="shared" si="4"/>
        <v>1.25</v>
      </c>
      <c r="B39" s="584" t="str">
        <f>IF(LEN(A39)&gt;2,VLOOKUP(A39,COPY!$A$2:$O$1000,4,FALSE),"")</f>
        <v/>
      </c>
      <c r="C39" s="585" t="str">
        <f>IF(LEN(A39)&gt;2,VLOOKUP(A39,COPY!$A$2:$O$1000,15,FALSE),"")</f>
        <v/>
      </c>
      <c r="D39" s="542" t="str">
        <f>IF(LEN(A39)&gt;2,VLOOKUP(A39,COPY!$A$2:$O$1000,2,FALSE),"")</f>
        <v>Beli</v>
      </c>
      <c r="E39" s="607">
        <f>IF(LEN(A39)&gt;2,VLOOKUP(A39,COPY!$A$2:$O$1000,10,FALSE),"")</f>
        <v>1</v>
      </c>
      <c r="F39" s="542" t="str">
        <f>IF(LEN(A39)&gt;2,VLOOKUP(A39,COPY!$A$2:$O$1000,8,FALSE),"")</f>
        <v>Pcs</v>
      </c>
      <c r="G39" s="543" t="str">
        <f>IF(LEN(A39)&gt;2,VLOOKUP(A39,COPY!$A$2:$O$1000,7,FALSE),"")</f>
        <v>Pleser 8-10</v>
      </c>
      <c r="H39" s="544" t="str">
        <f t="shared" si="9"/>
        <v>@</v>
      </c>
      <c r="I39" s="545">
        <f>IFERROR(IF(LEN(A39)&gt;2,VLOOKUP(A39,COPY!$A$2:$O$1000,13,FALSE),"")/E39,"")</f>
        <v>21000</v>
      </c>
      <c r="J39" s="546"/>
      <c r="K39" s="547">
        <f t="shared" si="10"/>
        <v>21000</v>
      </c>
      <c r="L39" s="548">
        <f t="shared" si="7"/>
        <v>80765000</v>
      </c>
      <c r="M39" s="549">
        <f t="shared" si="3"/>
        <v>0</v>
      </c>
      <c r="O39" s="538">
        <f t="shared" si="8"/>
        <v>80765000</v>
      </c>
      <c r="P39" s="550"/>
      <c r="Q39" s="551"/>
    </row>
    <row r="40" spans="1:17" s="253" customFormat="1" ht="20.100000000000001" customHeight="1" x14ac:dyDescent="0.25">
      <c r="A40" s="253" t="str">
        <f t="shared" si="4"/>
        <v>1.26</v>
      </c>
      <c r="B40" s="584" t="str">
        <f>IF(LEN(A40)&gt;2,VLOOKUP(A40,COPY!$A$2:$O$1000,4,FALSE),"")</f>
        <v/>
      </c>
      <c r="C40" s="585" t="str">
        <f>IF(LEN(A40)&gt;2,VLOOKUP(A40,COPY!$A$2:$O$1000,15,FALSE),"")</f>
        <v/>
      </c>
      <c r="D40" s="542" t="str">
        <f>IF(LEN(A40)&gt;2,VLOOKUP(A40,COPY!$A$2:$O$1000,2,FALSE),"")</f>
        <v>Beli</v>
      </c>
      <c r="E40" s="607">
        <f>IF(LEN(A40)&gt;2,VLOOKUP(A40,COPY!$A$2:$O$1000,10,FALSE),"")</f>
        <v>6</v>
      </c>
      <c r="F40" s="542" t="str">
        <f>IF(LEN(A40)&gt;2,VLOOKUP(A40,COPY!$A$2:$O$1000,8,FALSE),"")</f>
        <v>Pcs</v>
      </c>
      <c r="G40" s="543" t="str">
        <f>IF(LEN(A40)&gt;2,VLOOKUP(A40,COPY!$A$2:$O$1000,7,FALSE),"")</f>
        <v>Kaleng Adiva</v>
      </c>
      <c r="H40" s="544" t="str">
        <f t="shared" si="9"/>
        <v>@</v>
      </c>
      <c r="I40" s="545">
        <f>IFERROR(IF(LEN(A40)&gt;2,VLOOKUP(A40,COPY!$A$2:$O$1000,13,FALSE),"")/E40,"")</f>
        <v>10000</v>
      </c>
      <c r="J40" s="546"/>
      <c r="K40" s="547">
        <f t="shared" si="10"/>
        <v>60000</v>
      </c>
      <c r="L40" s="548">
        <f t="shared" si="7"/>
        <v>80705000</v>
      </c>
      <c r="M40" s="549">
        <f t="shared" si="3"/>
        <v>0</v>
      </c>
      <c r="O40" s="538">
        <f t="shared" si="8"/>
        <v>80705000</v>
      </c>
      <c r="P40" s="550"/>
      <c r="Q40" s="551"/>
    </row>
    <row r="41" spans="1:17" s="253" customFormat="1" ht="20.100000000000001" customHeight="1" x14ac:dyDescent="0.25">
      <c r="A41" s="253" t="str">
        <f t="shared" si="4"/>
        <v>1.27</v>
      </c>
      <c r="B41" s="584" t="str">
        <f>IF(LEN(A41)&gt;2,VLOOKUP(A41,COPY!$A$2:$O$1000,4,FALSE),"")</f>
        <v/>
      </c>
      <c r="C41" s="585" t="str">
        <f>IF(LEN(A41)&gt;2,VLOOKUP(A41,COPY!$A$2:$O$1000,15,FALSE),"")</f>
        <v/>
      </c>
      <c r="D41" s="542" t="str">
        <f>IF(LEN(A41)&gt;2,VLOOKUP(A41,COPY!$A$2:$O$1000,2,FALSE),"")</f>
        <v>Beli</v>
      </c>
      <c r="E41" s="607">
        <f>IF(LEN(A41)&gt;2,VLOOKUP(A41,COPY!$A$2:$O$1000,10,FALSE),"")</f>
        <v>1</v>
      </c>
      <c r="F41" s="542" t="str">
        <f>IF(LEN(A41)&gt;2,VLOOKUP(A41,COPY!$A$2:$O$1000,8,FALSE),"")</f>
        <v>Pcs</v>
      </c>
      <c r="G41" s="543" t="str">
        <f>IF(LEN(A41)&gt;2,VLOOKUP(A41,COPY!$A$2:$O$1000,7,FALSE),"")</f>
        <v>Terpal A5 6X8</v>
      </c>
      <c r="H41" s="544" t="str">
        <f t="shared" si="9"/>
        <v>@</v>
      </c>
      <c r="I41" s="545">
        <f>IFERROR(IF(LEN(A41)&gt;2,VLOOKUP(A41,COPY!$A$2:$O$1000,13,FALSE),"")/E41,"")</f>
        <v>336000</v>
      </c>
      <c r="J41" s="546"/>
      <c r="K41" s="547">
        <f t="shared" si="10"/>
        <v>336000</v>
      </c>
      <c r="L41" s="548">
        <f t="shared" si="7"/>
        <v>80369000</v>
      </c>
      <c r="M41" s="549">
        <f t="shared" si="3"/>
        <v>0</v>
      </c>
      <c r="O41" s="538">
        <f t="shared" si="8"/>
        <v>80369000</v>
      </c>
      <c r="P41" s="550"/>
      <c r="Q41" s="551"/>
    </row>
    <row r="42" spans="1:17" s="253" customFormat="1" ht="20.100000000000001" customHeight="1" x14ac:dyDescent="0.25">
      <c r="A42" s="253" t="str">
        <f t="shared" si="4"/>
        <v>1.28</v>
      </c>
      <c r="B42" s="584" t="str">
        <f>IF(LEN(A42)&gt;2,VLOOKUP(A42,COPY!$A$2:$O$1000,4,FALSE),"")</f>
        <v/>
      </c>
      <c r="C42" s="585" t="str">
        <f>IF(LEN(A42)&gt;2,VLOOKUP(A42,COPY!$A$2:$O$1000,15,FALSE),"")</f>
        <v/>
      </c>
      <c r="D42" s="542" t="str">
        <f>IF(LEN(A42)&gt;2,VLOOKUP(A42,COPY!$A$2:$O$1000,2,FALSE),"")</f>
        <v>Beli</v>
      </c>
      <c r="E42" s="607">
        <f>IF(LEN(A42)&gt;2,VLOOKUP(A42,COPY!$A$2:$O$1000,10,FALSE),"")</f>
        <v>5</v>
      </c>
      <c r="F42" s="542" t="str">
        <f>IF(LEN(A42)&gt;2,VLOOKUP(A42,COPY!$A$2:$O$1000,8,FALSE),"")</f>
        <v>Ljr</v>
      </c>
      <c r="G42" s="543" t="str">
        <f>IF(LEN(A42)&gt;2,VLOOKUP(A42,COPY!$A$2:$O$1000,7,FALSE),"")</f>
        <v>Kayu Usuk 3 X 5</v>
      </c>
      <c r="H42" s="544" t="str">
        <f t="shared" si="9"/>
        <v>@</v>
      </c>
      <c r="I42" s="545">
        <f>IFERROR(IF(LEN(A42)&gt;2,VLOOKUP(A42,COPY!$A$2:$O$1000,13,FALSE),"")/E42,"")</f>
        <v>20000</v>
      </c>
      <c r="J42" s="546"/>
      <c r="K42" s="547">
        <f t="shared" si="10"/>
        <v>100000</v>
      </c>
      <c r="L42" s="548">
        <f t="shared" si="7"/>
        <v>80269000</v>
      </c>
      <c r="M42" s="549">
        <f t="shared" si="3"/>
        <v>0</v>
      </c>
      <c r="O42" s="538">
        <f t="shared" si="8"/>
        <v>80269000</v>
      </c>
      <c r="P42" s="550"/>
      <c r="Q42" s="551"/>
    </row>
    <row r="43" spans="1:17" s="253" customFormat="1" ht="20.100000000000001" customHeight="1" x14ac:dyDescent="0.25">
      <c r="A43" s="253" t="str">
        <f t="shared" si="4"/>
        <v>1.29</v>
      </c>
      <c r="B43" s="584" t="str">
        <f>IF(LEN(A43)&gt;2,VLOOKUP(A43,COPY!$A$2:$O$1000,4,FALSE),"")</f>
        <v/>
      </c>
      <c r="C43" s="585" t="str">
        <f>IF(LEN(A43)&gt;2,VLOOKUP(A43,COPY!$A$2:$O$1000,15,FALSE),"")</f>
        <v/>
      </c>
      <c r="D43" s="542" t="str">
        <f>IF(LEN(A43)&gt;2,VLOOKUP(A43,COPY!$A$2:$O$1000,2,FALSE),"")</f>
        <v>Beli</v>
      </c>
      <c r="E43" s="607">
        <f>IF(LEN(A43)&gt;2,VLOOKUP(A43,COPY!$A$2:$O$1000,10,FALSE),"")</f>
        <v>20</v>
      </c>
      <c r="F43" s="542" t="str">
        <f>IF(LEN(A43)&gt;2,VLOOKUP(A43,COPY!$A$2:$O$1000,8,FALSE),"")</f>
        <v>Ljr</v>
      </c>
      <c r="G43" s="543" t="str">
        <f>IF(LEN(A43)&gt;2,VLOOKUP(A43,COPY!$A$2:$O$1000,7,FALSE),"")</f>
        <v>Papan Sengon</v>
      </c>
      <c r="H43" s="544" t="str">
        <f t="shared" si="9"/>
        <v>@</v>
      </c>
      <c r="I43" s="545">
        <f>IFERROR(IF(LEN(A43)&gt;2,VLOOKUP(A43,COPY!$A$2:$O$1000,13,FALSE),"")/E43,"")</f>
        <v>25000</v>
      </c>
      <c r="J43" s="546"/>
      <c r="K43" s="547">
        <f t="shared" si="10"/>
        <v>500000</v>
      </c>
      <c r="L43" s="548">
        <f t="shared" si="7"/>
        <v>79769000</v>
      </c>
      <c r="M43" s="549">
        <f t="shared" si="3"/>
        <v>0</v>
      </c>
      <c r="O43" s="538">
        <f t="shared" si="8"/>
        <v>79769000</v>
      </c>
      <c r="P43" s="550"/>
      <c r="Q43" s="551"/>
    </row>
    <row r="44" spans="1:17" s="253" customFormat="1" ht="20.100000000000001" customHeight="1" x14ac:dyDescent="0.25">
      <c r="A44" s="253" t="str">
        <f t="shared" si="4"/>
        <v>1.30</v>
      </c>
      <c r="B44" s="584" t="str">
        <f>IF(LEN(A44)&gt;2,VLOOKUP(A44,COPY!$A$2:$O$1000,4,FALSE),"")</f>
        <v/>
      </c>
      <c r="C44" s="585" t="str">
        <f>IF(LEN(A44)&gt;2,VLOOKUP(A44,COPY!$A$2:$O$1000,15,FALSE),"")</f>
        <v/>
      </c>
      <c r="D44" s="542" t="str">
        <f>IF(LEN(A44)&gt;2,VLOOKUP(A44,COPY!$A$2:$O$1000,2,FALSE),"")</f>
        <v>Beli</v>
      </c>
      <c r="E44" s="607">
        <f>IF(LEN(A44)&gt;2,VLOOKUP(A44,COPY!$A$2:$O$1000,10,FALSE),"")</f>
        <v>1</v>
      </c>
      <c r="F44" s="542" t="str">
        <f>IF(LEN(A44)&gt;2,VLOOKUP(A44,COPY!$A$2:$O$1000,8,FALSE),"")</f>
        <v>Pik Up</v>
      </c>
      <c r="G44" s="543" t="str">
        <f>IF(LEN(A44)&gt;2,VLOOKUP(A44,COPY!$A$2:$O$1000,7,FALSE),"")</f>
        <v>Pasir Biasa L300</v>
      </c>
      <c r="H44" s="544" t="str">
        <f t="shared" si="9"/>
        <v>@</v>
      </c>
      <c r="I44" s="545">
        <f>IFERROR(IF(LEN(A44)&gt;2,VLOOKUP(A44,COPY!$A$2:$O$1000,13,FALSE),"")/E44,"")</f>
        <v>230000</v>
      </c>
      <c r="J44" s="546"/>
      <c r="K44" s="547">
        <f t="shared" si="10"/>
        <v>230000</v>
      </c>
      <c r="L44" s="548">
        <f t="shared" si="7"/>
        <v>79539000</v>
      </c>
      <c r="M44" s="549">
        <f t="shared" si="3"/>
        <v>0</v>
      </c>
      <c r="O44" s="538">
        <f t="shared" si="8"/>
        <v>79539000</v>
      </c>
      <c r="P44" s="550"/>
      <c r="Q44" s="551"/>
    </row>
    <row r="45" spans="1:17" s="253" customFormat="1" ht="20.100000000000001" customHeight="1" x14ac:dyDescent="0.25">
      <c r="A45" s="253" t="str">
        <f t="shared" si="4"/>
        <v>1.31</v>
      </c>
      <c r="B45" s="584">
        <f>IF(LEN(A45)&gt;2,VLOOKUP(A45,COPY!$A$2:$O$1000,4,FALSE),"")</f>
        <v>45903</v>
      </c>
      <c r="C45" s="585" t="str">
        <f>IF(LEN(A45)&gt;2,VLOOKUP(A45,COPY!$A$2:$O$1000,15,FALSE),"")</f>
        <v>BKK.5</v>
      </c>
      <c r="D45" s="542" t="str">
        <f>IF(LEN(A45)&gt;2,VLOOKUP(A45,COPY!$A$2:$O$1000,2,FALSE),"")</f>
        <v>Beli</v>
      </c>
      <c r="E45" s="607">
        <f>IF(LEN(A45)&gt;2,VLOOKUP(A45,COPY!$A$2:$O$1000,10,FALSE),"")</f>
        <v>1</v>
      </c>
      <c r="F45" s="542" t="str">
        <f>IF(LEN(A45)&gt;2,VLOOKUP(A45,COPY!$A$2:$O$1000,8,FALSE),"")</f>
        <v>Ls</v>
      </c>
      <c r="G45" s="543" t="str">
        <f>IF(LEN(A45)&gt;2,VLOOKUP(A45,COPY!$A$2:$O$1000,7,FALSE),"")</f>
        <v>Pembuatan Papan Pengumuman</v>
      </c>
      <c r="H45" s="544" t="str">
        <f t="shared" si="9"/>
        <v>@</v>
      </c>
      <c r="I45" s="545">
        <f>IFERROR(IF(LEN(A45)&gt;2,VLOOKUP(A45,COPY!$A$2:$O$1000,13,FALSE),"")/E45,"")</f>
        <v>300000</v>
      </c>
      <c r="J45" s="546"/>
      <c r="K45" s="547">
        <f t="shared" si="10"/>
        <v>300000</v>
      </c>
      <c r="L45" s="548">
        <f t="shared" si="7"/>
        <v>79239000</v>
      </c>
      <c r="M45" s="549">
        <f t="shared" si="3"/>
        <v>0</v>
      </c>
      <c r="O45" s="538">
        <f t="shared" si="8"/>
        <v>79239000</v>
      </c>
      <c r="P45" s="550"/>
      <c r="Q45" s="551"/>
    </row>
    <row r="46" spans="1:17" s="253" customFormat="1" ht="20.100000000000001" customHeight="1" x14ac:dyDescent="0.25">
      <c r="A46" s="253" t="str">
        <f t="shared" si="4"/>
        <v>1.32</v>
      </c>
      <c r="B46" s="584">
        <f>IF(LEN(A46)&gt;2,VLOOKUP(A46,COPY!$A$2:$O$1000,4,FALSE),"")</f>
        <v>45904</v>
      </c>
      <c r="C46" s="585" t="str">
        <f>IF(LEN(A46)&gt;2,VLOOKUP(A46,COPY!$A$2:$O$1000,15,FALSE),"")</f>
        <v>BKK.6</v>
      </c>
      <c r="D46" s="542" t="str">
        <f>IF(LEN(A46)&gt;2,VLOOKUP(A46,COPY!$A$2:$O$1000,2,FALSE),"")</f>
        <v>Beli</v>
      </c>
      <c r="E46" s="607">
        <f>IF(LEN(A46)&gt;2,VLOOKUP(A46,COPY!$A$2:$O$1000,10,FALSE),"")</f>
        <v>10</v>
      </c>
      <c r="F46" s="542" t="str">
        <f>IF(LEN(A46)&gt;2,VLOOKUP(A46,COPY!$A$2:$O$1000,8,FALSE),"")</f>
        <v>Ljr</v>
      </c>
      <c r="G46" s="543" t="str">
        <f>IF(LEN(A46)&gt;2,VLOOKUP(A46,COPY!$A$2:$O$1000,7,FALSE),"")</f>
        <v>Usuk Super 3 M</v>
      </c>
      <c r="H46" s="544" t="str">
        <f t="shared" si="9"/>
        <v>@</v>
      </c>
      <c r="I46" s="545">
        <f>IFERROR(IF(LEN(A46)&gt;2,VLOOKUP(A46,COPY!$A$2:$O$1000,13,FALSE),"")/E46,"")</f>
        <v>35000</v>
      </c>
      <c r="J46" s="546"/>
      <c r="K46" s="547">
        <f t="shared" si="10"/>
        <v>350000</v>
      </c>
      <c r="L46" s="548">
        <f t="shared" si="7"/>
        <v>78889000</v>
      </c>
      <c r="M46" s="549">
        <f t="shared" si="3"/>
        <v>0</v>
      </c>
      <c r="O46" s="538">
        <f t="shared" si="8"/>
        <v>78889000</v>
      </c>
      <c r="P46" s="550"/>
      <c r="Q46" s="551"/>
    </row>
    <row r="47" spans="1:17" s="253" customFormat="1" ht="20.100000000000001" customHeight="1" x14ac:dyDescent="0.25">
      <c r="A47" s="253" t="str">
        <f t="shared" si="4"/>
        <v>1.33</v>
      </c>
      <c r="B47" s="584" t="str">
        <f>IF(LEN(A47)&gt;2,VLOOKUP(A47,COPY!$A$2:$O$1000,4,FALSE),"")</f>
        <v/>
      </c>
      <c r="C47" s="585" t="str">
        <f>IF(LEN(A47)&gt;2,VLOOKUP(A47,COPY!$A$2:$O$1000,15,FALSE),"")</f>
        <v/>
      </c>
      <c r="D47" s="542" t="str">
        <f>IF(LEN(A47)&gt;2,VLOOKUP(A47,COPY!$A$2:$O$1000,2,FALSE),"")</f>
        <v>Beli</v>
      </c>
      <c r="E47" s="607">
        <f>IF(LEN(A47)&gt;2,VLOOKUP(A47,COPY!$A$2:$O$1000,10,FALSE),"")</f>
        <v>1</v>
      </c>
      <c r="F47" s="542" t="str">
        <f>IF(LEN(A47)&gt;2,VLOOKUP(A47,COPY!$A$2:$O$1000,8,FALSE),"")</f>
        <v>Pik Up</v>
      </c>
      <c r="G47" s="543" t="str">
        <f>IF(LEN(A47)&gt;2,VLOOKUP(A47,COPY!$A$2:$O$1000,7,FALSE),"")</f>
        <v>Pasir Cor L300</v>
      </c>
      <c r="H47" s="544" t="str">
        <f t="shared" si="9"/>
        <v>@</v>
      </c>
      <c r="I47" s="545">
        <f>IFERROR(IF(LEN(A47)&gt;2,VLOOKUP(A47,COPY!$A$2:$O$1000,13,FALSE),"")/E47,"")</f>
        <v>335000</v>
      </c>
      <c r="J47" s="546"/>
      <c r="K47" s="547">
        <f t="shared" si="10"/>
        <v>335000</v>
      </c>
      <c r="L47" s="548">
        <f t="shared" si="7"/>
        <v>78554000</v>
      </c>
      <c r="M47" s="549">
        <f t="shared" si="3"/>
        <v>0</v>
      </c>
      <c r="O47" s="538">
        <f t="shared" si="8"/>
        <v>78554000</v>
      </c>
      <c r="P47" s="550"/>
      <c r="Q47" s="551"/>
    </row>
    <row r="48" spans="1:17" s="253" customFormat="1" ht="20.100000000000001" customHeight="1" x14ac:dyDescent="0.25">
      <c r="A48" s="253" t="str">
        <f t="shared" si="4"/>
        <v>1.34</v>
      </c>
      <c r="B48" s="584" t="str">
        <f>IF(LEN(A48)&gt;2,VLOOKUP(A48,COPY!$A$2:$O$1000,4,FALSE),"")</f>
        <v/>
      </c>
      <c r="C48" s="585" t="str">
        <f>IF(LEN(A48)&gt;2,VLOOKUP(A48,COPY!$A$2:$O$1000,15,FALSE),"")</f>
        <v/>
      </c>
      <c r="D48" s="542" t="str">
        <f>IF(LEN(A48)&gt;2,VLOOKUP(A48,COPY!$A$2:$O$1000,2,FALSE),"")</f>
        <v>Beli</v>
      </c>
      <c r="E48" s="607">
        <f>IF(LEN(A48)&gt;2,VLOOKUP(A48,COPY!$A$2:$O$1000,10,FALSE),"")</f>
        <v>1</v>
      </c>
      <c r="F48" s="542" t="str">
        <f>IF(LEN(A48)&gt;2,VLOOKUP(A48,COPY!$A$2:$O$1000,8,FALSE),"")</f>
        <v>Pik Up</v>
      </c>
      <c r="G48" s="543" t="str">
        <f>IF(LEN(A48)&gt;2,VLOOKUP(A48,COPY!$A$2:$O$1000,7,FALSE),"")</f>
        <v>Koral L300</v>
      </c>
      <c r="H48" s="544" t="str">
        <f t="shared" si="9"/>
        <v>@</v>
      </c>
      <c r="I48" s="545">
        <f>IFERROR(IF(LEN(A48)&gt;2,VLOOKUP(A48,COPY!$A$2:$O$1000,13,FALSE),"")/E48,"")</f>
        <v>350000</v>
      </c>
      <c r="J48" s="546"/>
      <c r="K48" s="547">
        <f t="shared" si="10"/>
        <v>350000</v>
      </c>
      <c r="L48" s="548">
        <f t="shared" si="7"/>
        <v>78204000</v>
      </c>
      <c r="M48" s="549">
        <f t="shared" si="3"/>
        <v>0</v>
      </c>
      <c r="O48" s="538">
        <f t="shared" si="8"/>
        <v>78204000</v>
      </c>
      <c r="P48" s="550"/>
      <c r="Q48" s="551"/>
    </row>
    <row r="49" spans="1:17" s="253" customFormat="1" ht="20.100000000000001" customHeight="1" x14ac:dyDescent="0.25">
      <c r="A49" s="253" t="str">
        <f t="shared" si="4"/>
        <v>1.35</v>
      </c>
      <c r="B49" s="584" t="str">
        <f>IF(LEN(A49)&gt;2,VLOOKUP(A49,COPY!$A$2:$O$1000,4,FALSE),"")</f>
        <v/>
      </c>
      <c r="C49" s="585" t="str">
        <f>IF(LEN(A49)&gt;2,VLOOKUP(A49,COPY!$A$2:$O$1000,15,FALSE),"")</f>
        <v/>
      </c>
      <c r="D49" s="542" t="str">
        <f>IF(LEN(A49)&gt;2,VLOOKUP(A49,COPY!$A$2:$O$1000,2,FALSE),"")</f>
        <v>Beli</v>
      </c>
      <c r="E49" s="607">
        <f>IF(LEN(A49)&gt;2,VLOOKUP(A49,COPY!$A$2:$O$1000,10,FALSE),"")</f>
        <v>4</v>
      </c>
      <c r="F49" s="542" t="str">
        <f>IF(LEN(A49)&gt;2,VLOOKUP(A49,COPY!$A$2:$O$1000,8,FALSE),"")</f>
        <v>Pcs</v>
      </c>
      <c r="G49" s="543" t="str">
        <f>IF(LEN(A49)&gt;2,VLOOKUP(A49,COPY!$A$2:$O$1000,7,FALSE),"")</f>
        <v>Wd Potong Bosch</v>
      </c>
      <c r="H49" s="544" t="str">
        <f t="shared" si="9"/>
        <v>@</v>
      </c>
      <c r="I49" s="545">
        <f>IFERROR(IF(LEN(A49)&gt;2,VLOOKUP(A49,COPY!$A$2:$O$1000,13,FALSE),"")/E49,"")</f>
        <v>3500</v>
      </c>
      <c r="J49" s="546"/>
      <c r="K49" s="547">
        <f t="shared" si="10"/>
        <v>14000</v>
      </c>
      <c r="L49" s="548">
        <f t="shared" si="7"/>
        <v>78190000</v>
      </c>
      <c r="M49" s="549">
        <f t="shared" si="3"/>
        <v>0</v>
      </c>
      <c r="O49" s="538">
        <f t="shared" si="8"/>
        <v>78190000</v>
      </c>
      <c r="P49" s="550"/>
      <c r="Q49" s="551"/>
    </row>
    <row r="50" spans="1:17" s="253" customFormat="1" ht="20.100000000000001" customHeight="1" x14ac:dyDescent="0.25">
      <c r="A50" s="253" t="str">
        <f t="shared" si="4"/>
        <v>1.36</v>
      </c>
      <c r="B50" s="584" t="str">
        <f>IF(LEN(A50)&gt;2,VLOOKUP(A50,COPY!$A$2:$O$1000,4,FALSE),"")</f>
        <v/>
      </c>
      <c r="C50" s="585" t="str">
        <f>IF(LEN(A50)&gt;2,VLOOKUP(A50,COPY!$A$2:$O$1000,15,FALSE),"")</f>
        <v/>
      </c>
      <c r="D50" s="542" t="str">
        <f>IF(LEN(A50)&gt;2,VLOOKUP(A50,COPY!$A$2:$O$1000,2,FALSE),"")</f>
        <v>Beli</v>
      </c>
      <c r="E50" s="607">
        <f>IF(LEN(A50)&gt;2,VLOOKUP(A50,COPY!$A$2:$O$1000,10,FALSE),"")</f>
        <v>4</v>
      </c>
      <c r="F50" s="542" t="str">
        <f>IF(LEN(A50)&gt;2,VLOOKUP(A50,COPY!$A$2:$O$1000,8,FALSE),"")</f>
        <v>Sak</v>
      </c>
      <c r="G50" s="543" t="str">
        <f>IF(LEN(A50)&gt;2,VLOOKUP(A50,COPY!$A$2:$O$1000,7,FALSE),"")</f>
        <v>Semen Gresik 40Kg</v>
      </c>
      <c r="H50" s="544" t="str">
        <f t="shared" si="9"/>
        <v>@</v>
      </c>
      <c r="I50" s="545">
        <f>IFERROR(IF(LEN(A50)&gt;2,VLOOKUP(A50,COPY!$A$2:$O$1000,13,FALSE),"")/E50,"")</f>
        <v>58000</v>
      </c>
      <c r="J50" s="546"/>
      <c r="K50" s="547">
        <f t="shared" si="10"/>
        <v>232000</v>
      </c>
      <c r="L50" s="548">
        <f t="shared" si="7"/>
        <v>77958000</v>
      </c>
      <c r="M50" s="549">
        <f t="shared" si="3"/>
        <v>0</v>
      </c>
      <c r="O50" s="538">
        <f t="shared" si="8"/>
        <v>77958000</v>
      </c>
      <c r="P50" s="550"/>
      <c r="Q50" s="551"/>
    </row>
    <row r="51" spans="1:17" s="253" customFormat="1" ht="20.100000000000001" customHeight="1" x14ac:dyDescent="0.25">
      <c r="A51" s="253" t="str">
        <f t="shared" si="4"/>
        <v>1.37</v>
      </c>
      <c r="B51" s="584">
        <f>IF(LEN(A51)&gt;2,VLOOKUP(A51,COPY!$A$2:$O$1000,4,FALSE),"")</f>
        <v>45905</v>
      </c>
      <c r="C51" s="585" t="str">
        <f>IF(LEN(A51)&gt;2,VLOOKUP(A51,COPY!$A$2:$O$1000,15,FALSE),"")</f>
        <v>BKK.7</v>
      </c>
      <c r="D51" s="542" t="str">
        <f>IF(LEN(A51)&gt;2,VLOOKUP(A51,COPY!$A$2:$O$1000,2,FALSE),"")</f>
        <v>Beli</v>
      </c>
      <c r="E51" s="607">
        <f>IF(LEN(A51)&gt;2,VLOOKUP(A51,COPY!$A$2:$O$1000,10,FALSE),"")</f>
        <v>15</v>
      </c>
      <c r="F51" s="542" t="str">
        <f>IF(LEN(A51)&gt;2,VLOOKUP(A51,COPY!$A$2:$O$1000,8,FALSE),"")</f>
        <v>Sak</v>
      </c>
      <c r="G51" s="543" t="str">
        <f>IF(LEN(A51)&gt;2,VLOOKUP(A51,COPY!$A$2:$O$1000,7,FALSE),"")</f>
        <v>Semen 3 Roda</v>
      </c>
      <c r="H51" s="544" t="str">
        <f t="shared" si="9"/>
        <v>@</v>
      </c>
      <c r="I51" s="545">
        <f>IFERROR(IF(LEN(A51)&gt;2,VLOOKUP(A51,COPY!$A$2:$O$1000,13,FALSE),"")/E51,"")</f>
        <v>52000</v>
      </c>
      <c r="J51" s="546"/>
      <c r="K51" s="547">
        <f t="shared" si="10"/>
        <v>780000</v>
      </c>
      <c r="L51" s="548">
        <f t="shared" si="7"/>
        <v>77178000</v>
      </c>
      <c r="M51" s="549">
        <f t="shared" si="3"/>
        <v>0</v>
      </c>
      <c r="O51" s="538">
        <f t="shared" si="8"/>
        <v>77178000</v>
      </c>
      <c r="P51" s="550"/>
      <c r="Q51" s="551"/>
    </row>
    <row r="52" spans="1:17" s="253" customFormat="1" ht="20.100000000000001" customHeight="1" x14ac:dyDescent="0.25">
      <c r="A52" s="253" t="str">
        <f t="shared" si="4"/>
        <v>1.38</v>
      </c>
      <c r="B52" s="584">
        <f>IF(LEN(A52)&gt;2,VLOOKUP(A52,COPY!$A$2:$O$1000,4,FALSE),"")</f>
        <v>45905</v>
      </c>
      <c r="C52" s="585" t="str">
        <f>IF(LEN(A52)&gt;2,VLOOKUP(A52,COPY!$A$2:$O$1000,15,FALSE),"")</f>
        <v>BKK.8</v>
      </c>
      <c r="D52" s="542" t="str">
        <f>IF(LEN(A52)&gt;2,VLOOKUP(A52,COPY!$A$2:$O$1000,2,FALSE),"")</f>
        <v>Jasa</v>
      </c>
      <c r="E52" s="607">
        <f>IF(LEN(A52)&gt;2,VLOOKUP(A52,COPY!$A$2:$O$1000,10,FALSE),"")</f>
        <v>1</v>
      </c>
      <c r="F52" s="542">
        <f>IF(LEN(A52)&gt;2,VLOOKUP(A52,COPY!$A$2:$O$1000,8,FALSE),"")</f>
        <v>0</v>
      </c>
      <c r="G52" s="543" t="str">
        <f>IF(LEN(A52)&gt;2,VLOOKUP(A52,COPY!$A$2:$O$1000,7,FALSE),"")</f>
        <v>Bayar Dana Perencanaan</v>
      </c>
      <c r="H52" s="544" t="str">
        <f t="shared" si="9"/>
        <v/>
      </c>
      <c r="I52" s="545">
        <f>IFERROR(IF(LEN(A52)&gt;2,VLOOKUP(A52,COPY!$A$2:$O$1000,13,FALSE),"")/E52,"")</f>
        <v>2761410</v>
      </c>
      <c r="J52" s="546"/>
      <c r="K52" s="547">
        <f t="shared" si="10"/>
        <v>2761410</v>
      </c>
      <c r="L52" s="548">
        <f t="shared" si="7"/>
        <v>74416590</v>
      </c>
      <c r="M52" s="549">
        <f t="shared" si="3"/>
        <v>0</v>
      </c>
      <c r="O52" s="538">
        <f t="shared" si="8"/>
        <v>74416590</v>
      </c>
      <c r="P52" s="550"/>
      <c r="Q52" s="551"/>
    </row>
    <row r="53" spans="1:17" s="253" customFormat="1" ht="20.100000000000001" customHeight="1" x14ac:dyDescent="0.25">
      <c r="A53" s="253" t="str">
        <f t="shared" si="4"/>
        <v>1.39</v>
      </c>
      <c r="B53" s="584">
        <f>IF(LEN(A53)&gt;2,VLOOKUP(A53,COPY!$A$2:$O$1000,4,FALSE),"")</f>
        <v>45906</v>
      </c>
      <c r="C53" s="585" t="str">
        <f>IF(LEN(A53)&gt;2,VLOOKUP(A53,COPY!$A$2:$O$1000,15,FALSE),"")</f>
        <v>BKK.9</v>
      </c>
      <c r="D53" s="542" t="str">
        <f>IF(LEN(A53)&gt;2,VLOOKUP(A53,COPY!$A$2:$O$1000,2,FALSE),"")</f>
        <v>Bayar Ongkos</v>
      </c>
      <c r="E53" s="607">
        <f>IF(LEN(A53)&gt;2,VLOOKUP(A53,COPY!$A$2:$O$1000,10,FALSE),"")</f>
        <v>1</v>
      </c>
      <c r="F53" s="542">
        <f>IF(LEN(A53)&gt;2,VLOOKUP(A53,COPY!$A$2:$O$1000,8,FALSE),"")</f>
        <v>0</v>
      </c>
      <c r="G53" s="543" t="str">
        <f>IF(LEN(A53)&gt;2,VLOOKUP(A53,COPY!$A$2:$O$1000,7,FALSE),"")</f>
        <v>Pembayaran Pekerja Minggu Ke 1</v>
      </c>
      <c r="H53" s="544" t="str">
        <f t="shared" si="9"/>
        <v/>
      </c>
      <c r="I53" s="545">
        <f>IFERROR(IF(LEN(A53)&gt;2,VLOOKUP(A53,COPY!$A$2:$O$1000,13,FALSE),"")/E53,"")</f>
        <v>5110000</v>
      </c>
      <c r="J53" s="546"/>
      <c r="K53" s="547">
        <f t="shared" si="10"/>
        <v>5110000</v>
      </c>
      <c r="L53" s="548">
        <f t="shared" si="7"/>
        <v>69306590</v>
      </c>
      <c r="M53" s="549">
        <f t="shared" si="3"/>
        <v>0</v>
      </c>
      <c r="O53" s="538">
        <f t="shared" si="8"/>
        <v>69306590</v>
      </c>
      <c r="P53" s="550"/>
      <c r="Q53" s="551"/>
    </row>
    <row r="54" spans="1:17" s="253" customFormat="1" ht="20.100000000000001" customHeight="1" x14ac:dyDescent="0.25">
      <c r="A54" s="253" t="str">
        <f t="shared" si="4"/>
        <v>1.40</v>
      </c>
      <c r="B54" s="584">
        <f>IF(LEN(A54)&gt;2,VLOOKUP(A54,COPY!$A$2:$O$1000,4,FALSE),"")</f>
        <v>45908</v>
      </c>
      <c r="C54" s="585" t="str">
        <f>IF(LEN(A54)&gt;2,VLOOKUP(A54,COPY!$A$2:$O$1000,15,FALSE),"")</f>
        <v>BKK.10</v>
      </c>
      <c r="D54" s="542" t="str">
        <f>IF(LEN(A54)&gt;2,VLOOKUP(A54,COPY!$A$2:$O$1000,2,FALSE),"")</f>
        <v>Beli</v>
      </c>
      <c r="E54" s="607">
        <f>IF(LEN(A54)&gt;2,VLOOKUP(A54,COPY!$A$2:$O$1000,10,FALSE),"")</f>
        <v>2</v>
      </c>
      <c r="F54" s="542" t="str">
        <f>IF(LEN(A54)&gt;2,VLOOKUP(A54,COPY!$A$2:$O$1000,8,FALSE),"")</f>
        <v>Pcs</v>
      </c>
      <c r="G54" s="543" t="str">
        <f>IF(LEN(A54)&gt;2,VLOOKUP(A54,COPY!$A$2:$O$1000,7,FALSE),"")</f>
        <v>Garuk Besar</v>
      </c>
      <c r="H54" s="544" t="str">
        <f t="shared" si="9"/>
        <v>@</v>
      </c>
      <c r="I54" s="545">
        <f>IFERROR(IF(LEN(A54)&gt;2,VLOOKUP(A54,COPY!$A$2:$O$1000,13,FALSE),"")/E54,"")</f>
        <v>25000</v>
      </c>
      <c r="J54" s="546"/>
      <c r="K54" s="547">
        <f t="shared" si="10"/>
        <v>50000</v>
      </c>
      <c r="L54" s="548">
        <f t="shared" si="7"/>
        <v>69256590</v>
      </c>
      <c r="M54" s="549">
        <f t="shared" si="3"/>
        <v>0</v>
      </c>
      <c r="O54" s="538">
        <f t="shared" si="8"/>
        <v>69256590</v>
      </c>
      <c r="P54" s="550"/>
      <c r="Q54" s="551"/>
    </row>
    <row r="55" spans="1:17" s="253" customFormat="1" ht="20.100000000000001" customHeight="1" x14ac:dyDescent="0.25">
      <c r="A55" s="253" t="str">
        <f t="shared" si="4"/>
        <v>1.41</v>
      </c>
      <c r="B55" s="584" t="str">
        <f>IF(LEN(A55)&gt;2,VLOOKUP(A55,COPY!$A$2:$O$1000,4,FALSE),"")</f>
        <v/>
      </c>
      <c r="C55" s="585" t="str">
        <f>IF(LEN(A55)&gt;2,VLOOKUP(A55,COPY!$A$2:$O$1000,15,FALSE),"")</f>
        <v/>
      </c>
      <c r="D55" s="542" t="str">
        <f>IF(LEN(A55)&gt;2,VLOOKUP(A55,COPY!$A$2:$O$1000,2,FALSE),"")</f>
        <v>Beli</v>
      </c>
      <c r="E55" s="607">
        <f>IF(LEN(A55)&gt;2,VLOOKUP(A55,COPY!$A$2:$O$1000,10,FALSE),"")</f>
        <v>6</v>
      </c>
      <c r="F55" s="542" t="str">
        <f>IF(LEN(A55)&gt;2,VLOOKUP(A55,COPY!$A$2:$O$1000,8,FALSE),"")</f>
        <v>Pcs</v>
      </c>
      <c r="G55" s="543" t="str">
        <f>IF(LEN(A55)&gt;2,VLOOKUP(A55,COPY!$A$2:$O$1000,7,FALSE),"")</f>
        <v>Kaleng Adiva</v>
      </c>
      <c r="H55" s="544" t="str">
        <f t="shared" si="9"/>
        <v>@</v>
      </c>
      <c r="I55" s="545">
        <f>IFERROR(IF(LEN(A55)&gt;2,VLOOKUP(A55,COPY!$A$2:$O$1000,13,FALSE),"")/E55,"")</f>
        <v>10000</v>
      </c>
      <c r="J55" s="546"/>
      <c r="K55" s="547">
        <f t="shared" si="10"/>
        <v>60000</v>
      </c>
      <c r="L55" s="548">
        <f t="shared" si="7"/>
        <v>69196590</v>
      </c>
      <c r="M55" s="549">
        <f t="shared" si="3"/>
        <v>0</v>
      </c>
      <c r="O55" s="538">
        <f t="shared" si="8"/>
        <v>69196590</v>
      </c>
      <c r="P55" s="550"/>
      <c r="Q55" s="551"/>
    </row>
    <row r="56" spans="1:17" s="253" customFormat="1" ht="20.100000000000001" customHeight="1" x14ac:dyDescent="0.25">
      <c r="A56" s="253" t="str">
        <f t="shared" si="4"/>
        <v>1.42</v>
      </c>
      <c r="B56" s="584" t="str">
        <f>IF(LEN(A56)&gt;2,VLOOKUP(A56,COPY!$A$2:$O$1000,4,FALSE),"")</f>
        <v/>
      </c>
      <c r="C56" s="585" t="str">
        <f>IF(LEN(A56)&gt;2,VLOOKUP(A56,COPY!$A$2:$O$1000,15,FALSE),"")</f>
        <v/>
      </c>
      <c r="D56" s="542" t="str">
        <f>IF(LEN(A56)&gt;2,VLOOKUP(A56,COPY!$A$2:$O$1000,2,FALSE),"")</f>
        <v>Beli</v>
      </c>
      <c r="E56" s="607">
        <f>IF(LEN(A56)&gt;2,VLOOKUP(A56,COPY!$A$2:$O$1000,10,FALSE),"")</f>
        <v>20</v>
      </c>
      <c r="F56" s="542" t="str">
        <f>IF(LEN(A56)&gt;2,VLOOKUP(A56,COPY!$A$2:$O$1000,8,FALSE),"")</f>
        <v>Ljr</v>
      </c>
      <c r="G56" s="543" t="str">
        <f>IF(LEN(A56)&gt;2,VLOOKUP(A56,COPY!$A$2:$O$1000,7,FALSE),"")</f>
        <v>Bambu</v>
      </c>
      <c r="H56" s="544" t="str">
        <f t="shared" si="9"/>
        <v>@</v>
      </c>
      <c r="I56" s="545">
        <f>IFERROR(IF(LEN(A56)&gt;2,VLOOKUP(A56,COPY!$A$2:$O$1000,13,FALSE),"")/E56,"")</f>
        <v>25000</v>
      </c>
      <c r="J56" s="546"/>
      <c r="K56" s="547">
        <f t="shared" si="10"/>
        <v>500000</v>
      </c>
      <c r="L56" s="548">
        <f t="shared" si="7"/>
        <v>68696590</v>
      </c>
      <c r="M56" s="549">
        <f t="shared" si="3"/>
        <v>0</v>
      </c>
      <c r="O56" s="538">
        <f t="shared" si="8"/>
        <v>68696590</v>
      </c>
      <c r="P56" s="550"/>
      <c r="Q56" s="551"/>
    </row>
    <row r="57" spans="1:17" s="253" customFormat="1" ht="20.100000000000001" customHeight="1" x14ac:dyDescent="0.25">
      <c r="A57" s="253" t="str">
        <f t="shared" si="4"/>
        <v>1.43</v>
      </c>
      <c r="B57" s="584" t="str">
        <f>IF(LEN(A57)&gt;2,VLOOKUP(A57,COPY!$A$2:$O$1000,4,FALSE),"")</f>
        <v/>
      </c>
      <c r="C57" s="585" t="str">
        <f>IF(LEN(A57)&gt;2,VLOOKUP(A57,COPY!$A$2:$O$1000,15,FALSE),"")</f>
        <v/>
      </c>
      <c r="D57" s="542" t="str">
        <f>IF(LEN(A57)&gt;2,VLOOKUP(A57,COPY!$A$2:$O$1000,2,FALSE),"")</f>
        <v>Beli</v>
      </c>
      <c r="E57" s="607">
        <f>IF(LEN(A57)&gt;2,VLOOKUP(A57,COPY!$A$2:$O$1000,10,FALSE),"")</f>
        <v>4</v>
      </c>
      <c r="F57" s="542" t="str">
        <f>IF(LEN(A57)&gt;2,VLOOKUP(A57,COPY!$A$2:$O$1000,8,FALSE),"")</f>
        <v>kg</v>
      </c>
      <c r="G57" s="543" t="str">
        <f>IF(LEN(A57)&gt;2,VLOOKUP(A57,COPY!$A$2:$O$1000,7,FALSE),"")</f>
        <v>Paku 1 1/2</v>
      </c>
      <c r="H57" s="544" t="str">
        <f t="shared" si="9"/>
        <v>@</v>
      </c>
      <c r="I57" s="545">
        <f>IFERROR(IF(LEN(A57)&gt;2,VLOOKUP(A57,COPY!$A$2:$O$1000,13,FALSE),"")/E57,"")</f>
        <v>20000</v>
      </c>
      <c r="J57" s="546"/>
      <c r="K57" s="547">
        <f t="shared" si="10"/>
        <v>80000</v>
      </c>
      <c r="L57" s="548">
        <f t="shared" si="7"/>
        <v>68616590</v>
      </c>
      <c r="M57" s="549">
        <f t="shared" si="3"/>
        <v>0</v>
      </c>
      <c r="O57" s="538">
        <f t="shared" si="8"/>
        <v>68616590</v>
      </c>
      <c r="P57" s="550"/>
      <c r="Q57" s="551"/>
    </row>
    <row r="58" spans="1:17" s="253" customFormat="1" ht="20.100000000000001" customHeight="1" x14ac:dyDescent="0.25">
      <c r="A58" s="253" t="str">
        <f t="shared" si="4"/>
        <v>1.44</v>
      </c>
      <c r="B58" s="584" t="str">
        <f>IF(LEN(A58)&gt;2,VLOOKUP(A58,COPY!$A$2:$O$1000,4,FALSE),"")</f>
        <v/>
      </c>
      <c r="C58" s="585" t="str">
        <f>IF(LEN(A58)&gt;2,VLOOKUP(A58,COPY!$A$2:$O$1000,15,FALSE),"")</f>
        <v/>
      </c>
      <c r="D58" s="542" t="str">
        <f>IF(LEN(A58)&gt;2,VLOOKUP(A58,COPY!$A$2:$O$1000,2,FALSE),"")</f>
        <v>Beli</v>
      </c>
      <c r="E58" s="607">
        <f>IF(LEN(A58)&gt;2,VLOOKUP(A58,COPY!$A$2:$O$1000,10,FALSE),"")</f>
        <v>1</v>
      </c>
      <c r="F58" s="542" t="str">
        <f>IF(LEN(A58)&gt;2,VLOOKUP(A58,COPY!$A$2:$O$1000,8,FALSE),"")</f>
        <v>Pik Up</v>
      </c>
      <c r="G58" s="543" t="str">
        <f>IF(LEN(A58)&gt;2,VLOOKUP(A58,COPY!$A$2:$O$1000,7,FALSE),"")</f>
        <v>Pasir Biasa L300</v>
      </c>
      <c r="H58" s="544" t="str">
        <f t="shared" si="9"/>
        <v>@</v>
      </c>
      <c r="I58" s="545">
        <f>IFERROR(IF(LEN(A58)&gt;2,VLOOKUP(A58,COPY!$A$2:$O$1000,13,FALSE),"")/E58,"")</f>
        <v>230000</v>
      </c>
      <c r="J58" s="546"/>
      <c r="K58" s="547">
        <f t="shared" si="10"/>
        <v>230000</v>
      </c>
      <c r="L58" s="548">
        <f t="shared" si="7"/>
        <v>68386590</v>
      </c>
      <c r="M58" s="549">
        <f t="shared" si="3"/>
        <v>0</v>
      </c>
      <c r="O58" s="538">
        <f t="shared" si="8"/>
        <v>68386590</v>
      </c>
      <c r="P58" s="550"/>
      <c r="Q58" s="551"/>
    </row>
    <row r="59" spans="1:17" s="253" customFormat="1" ht="20.100000000000001" customHeight="1" x14ac:dyDescent="0.25">
      <c r="A59" s="253" t="str">
        <f t="shared" si="4"/>
        <v>1.45</v>
      </c>
      <c r="B59" s="584" t="str">
        <f>IF(LEN(A59)&gt;2,VLOOKUP(A59,COPY!$A$2:$O$1000,4,FALSE),"")</f>
        <v/>
      </c>
      <c r="C59" s="585" t="str">
        <f>IF(LEN(A59)&gt;2,VLOOKUP(A59,COPY!$A$2:$O$1000,15,FALSE),"")</f>
        <v/>
      </c>
      <c r="D59" s="542" t="str">
        <f>IF(LEN(A59)&gt;2,VLOOKUP(A59,COPY!$A$2:$O$1000,2,FALSE),"")</f>
        <v>Beli</v>
      </c>
      <c r="E59" s="607">
        <f>IF(LEN(A59)&gt;2,VLOOKUP(A59,COPY!$A$2:$O$1000,10,FALSE),"")</f>
        <v>7</v>
      </c>
      <c r="F59" s="542" t="str">
        <f>IF(LEN(A59)&gt;2,VLOOKUP(A59,COPY!$A$2:$O$1000,8,FALSE),"")</f>
        <v>Sak</v>
      </c>
      <c r="G59" s="543" t="str">
        <f>IF(LEN(A59)&gt;2,VLOOKUP(A59,COPY!$A$2:$O$1000,7,FALSE),"")</f>
        <v>Semen 3 Roda</v>
      </c>
      <c r="H59" s="544" t="str">
        <f t="shared" si="9"/>
        <v>@</v>
      </c>
      <c r="I59" s="545">
        <f>IFERROR(IF(LEN(A59)&gt;2,VLOOKUP(A59,COPY!$A$2:$O$1000,13,FALSE),"")/E59,"")</f>
        <v>52000</v>
      </c>
      <c r="J59" s="546"/>
      <c r="K59" s="547">
        <f t="shared" si="10"/>
        <v>364000</v>
      </c>
      <c r="L59" s="548">
        <f t="shared" si="7"/>
        <v>68022590</v>
      </c>
      <c r="M59" s="549">
        <f t="shared" si="3"/>
        <v>0</v>
      </c>
      <c r="O59" s="538">
        <f t="shared" si="8"/>
        <v>68022590</v>
      </c>
      <c r="P59" s="550"/>
      <c r="Q59" s="551"/>
    </row>
    <row r="60" spans="1:17" s="253" customFormat="1" ht="20.100000000000001" customHeight="1" x14ac:dyDescent="0.25">
      <c r="A60" s="253" t="str">
        <f t="shared" si="4"/>
        <v>1.46</v>
      </c>
      <c r="B60" s="584">
        <f>IF(LEN(A60)&gt;2,VLOOKUP(A60,COPY!$A$2:$O$1000,4,FALSE),"")</f>
        <v>45909</v>
      </c>
      <c r="C60" s="585" t="str">
        <f>IF(LEN(A60)&gt;2,VLOOKUP(A60,COPY!$A$2:$O$1000,15,FALSE),"")</f>
        <v>BKK.11</v>
      </c>
      <c r="D60" s="542" t="str">
        <f>IF(LEN(A60)&gt;2,VLOOKUP(A60,COPY!$A$2:$O$1000,2,FALSE),"")</f>
        <v>Beli</v>
      </c>
      <c r="E60" s="607">
        <f>IF(LEN(A60)&gt;2,VLOOKUP(A60,COPY!$A$2:$O$1000,10,FALSE),"")</f>
        <v>1</v>
      </c>
      <c r="F60" s="542" t="str">
        <f>IF(LEN(A60)&gt;2,VLOOKUP(A60,COPY!$A$2:$O$1000,8,FALSE),"")</f>
        <v>Pik Up</v>
      </c>
      <c r="G60" s="543" t="str">
        <f>IF(LEN(A60)&gt;2,VLOOKUP(A60,COPY!$A$2:$O$1000,7,FALSE),"")</f>
        <v>Koral L300</v>
      </c>
      <c r="H60" s="544" t="str">
        <f t="shared" si="9"/>
        <v>@</v>
      </c>
      <c r="I60" s="545">
        <f>IFERROR(IF(LEN(A60)&gt;2,VLOOKUP(A60,COPY!$A$2:$O$1000,13,FALSE),"")/E60,"")</f>
        <v>350000</v>
      </c>
      <c r="J60" s="546"/>
      <c r="K60" s="547">
        <f t="shared" si="10"/>
        <v>350000</v>
      </c>
      <c r="L60" s="548">
        <f t="shared" si="7"/>
        <v>67672590</v>
      </c>
      <c r="M60" s="549">
        <f t="shared" si="3"/>
        <v>0</v>
      </c>
      <c r="O60" s="538">
        <f t="shared" si="8"/>
        <v>67672590</v>
      </c>
      <c r="P60" s="550"/>
      <c r="Q60" s="551"/>
    </row>
    <row r="61" spans="1:17" s="253" customFormat="1" ht="20.100000000000001" customHeight="1" x14ac:dyDescent="0.25">
      <c r="A61" s="253" t="str">
        <f t="shared" si="4"/>
        <v>1.47</v>
      </c>
      <c r="B61" s="584" t="str">
        <f>IF(LEN(A61)&gt;2,VLOOKUP(A61,COPY!$A$2:$O$1000,4,FALSE),"")</f>
        <v/>
      </c>
      <c r="C61" s="585" t="str">
        <f>IF(LEN(A61)&gt;2,VLOOKUP(A61,COPY!$A$2:$O$1000,15,FALSE),"")</f>
        <v/>
      </c>
      <c r="D61" s="542" t="str">
        <f>IF(LEN(A61)&gt;2,VLOOKUP(A61,COPY!$A$2:$O$1000,2,FALSE),"")</f>
        <v>Beli</v>
      </c>
      <c r="E61" s="607">
        <f>IF(LEN(A61)&gt;2,VLOOKUP(A61,COPY!$A$2:$O$1000,10,FALSE),"")</f>
        <v>5</v>
      </c>
      <c r="F61" s="542" t="str">
        <f>IF(LEN(A61)&gt;2,VLOOKUP(A61,COPY!$A$2:$O$1000,8,FALSE),"")</f>
        <v>kg</v>
      </c>
      <c r="G61" s="543" t="str">
        <f>IF(LEN(A61)&gt;2,VLOOKUP(A61,COPY!$A$2:$O$1000,7,FALSE),"")</f>
        <v>Bendrat Spq</v>
      </c>
      <c r="H61" s="544" t="str">
        <f t="shared" si="9"/>
        <v>@</v>
      </c>
      <c r="I61" s="545">
        <f>IFERROR(IF(LEN(A61)&gt;2,VLOOKUP(A61,COPY!$A$2:$O$1000,13,FALSE),"")/E61,"")</f>
        <v>22000</v>
      </c>
      <c r="J61" s="546"/>
      <c r="K61" s="547">
        <f t="shared" si="10"/>
        <v>110000</v>
      </c>
      <c r="L61" s="548">
        <f t="shared" si="7"/>
        <v>67562590</v>
      </c>
      <c r="M61" s="549">
        <f t="shared" si="3"/>
        <v>0</v>
      </c>
      <c r="O61" s="538">
        <f t="shared" si="8"/>
        <v>67562590</v>
      </c>
      <c r="P61" s="550"/>
      <c r="Q61" s="551"/>
    </row>
    <row r="62" spans="1:17" s="253" customFormat="1" ht="20.100000000000001" customHeight="1" x14ac:dyDescent="0.25">
      <c r="A62" s="253" t="str">
        <f t="shared" si="4"/>
        <v>1.48</v>
      </c>
      <c r="B62" s="584" t="str">
        <f>IF(LEN(A62)&gt;2,VLOOKUP(A62,COPY!$A$2:$O$1000,4,FALSE),"")</f>
        <v/>
      </c>
      <c r="C62" s="585" t="str">
        <f>IF(LEN(A62)&gt;2,VLOOKUP(A62,COPY!$A$2:$O$1000,15,FALSE),"")</f>
        <v/>
      </c>
      <c r="D62" s="542" t="str">
        <f>IF(LEN(A62)&gt;2,VLOOKUP(A62,COPY!$A$2:$O$1000,2,FALSE),"")</f>
        <v>Beli</v>
      </c>
      <c r="E62" s="607">
        <f>IF(LEN(A62)&gt;2,VLOOKUP(A62,COPY!$A$2:$O$1000,10,FALSE),"")</f>
        <v>20</v>
      </c>
      <c r="F62" s="542" t="str">
        <f>IF(LEN(A62)&gt;2,VLOOKUP(A62,COPY!$A$2:$O$1000,8,FALSE),"")</f>
        <v>Ljr</v>
      </c>
      <c r="G62" s="543" t="str">
        <f>IF(LEN(A62)&gt;2,VLOOKUP(A62,COPY!$A$2:$O$1000,7,FALSE),"")</f>
        <v>Besi 8.0 Sni</v>
      </c>
      <c r="H62" s="544" t="str">
        <f t="shared" si="9"/>
        <v>@</v>
      </c>
      <c r="I62" s="545">
        <f>IFERROR(IF(LEN(A62)&gt;2,VLOOKUP(A62,COPY!$A$2:$O$1000,13,FALSE),"")/E62,"")</f>
        <v>46000</v>
      </c>
      <c r="J62" s="546"/>
      <c r="K62" s="547">
        <f t="shared" si="10"/>
        <v>920000</v>
      </c>
      <c r="L62" s="548">
        <f t="shared" si="7"/>
        <v>66642590</v>
      </c>
      <c r="M62" s="549">
        <f t="shared" si="3"/>
        <v>0</v>
      </c>
      <c r="O62" s="538">
        <f t="shared" si="8"/>
        <v>66642590</v>
      </c>
      <c r="P62" s="550"/>
      <c r="Q62" s="551"/>
    </row>
    <row r="63" spans="1:17" s="253" customFormat="1" ht="20.100000000000001" customHeight="1" x14ac:dyDescent="0.25">
      <c r="A63" s="253" t="str">
        <f t="shared" si="4"/>
        <v>1.49</v>
      </c>
      <c r="B63" s="584" t="str">
        <f>IF(LEN(A63)&gt;2,VLOOKUP(A63,COPY!$A$2:$O$1000,4,FALSE),"")</f>
        <v/>
      </c>
      <c r="C63" s="585" t="str">
        <f>IF(LEN(A63)&gt;2,VLOOKUP(A63,COPY!$A$2:$O$1000,15,FALSE),"")</f>
        <v/>
      </c>
      <c r="D63" s="542" t="str">
        <f>IF(LEN(A63)&gt;2,VLOOKUP(A63,COPY!$A$2:$O$1000,2,FALSE),"")</f>
        <v>Beli</v>
      </c>
      <c r="E63" s="607">
        <f>IF(LEN(A63)&gt;2,VLOOKUP(A63,COPY!$A$2:$O$1000,10,FALSE),"")</f>
        <v>6</v>
      </c>
      <c r="F63" s="542" t="str">
        <f>IF(LEN(A63)&gt;2,VLOOKUP(A63,COPY!$A$2:$O$1000,8,FALSE),"")</f>
        <v>Ljr</v>
      </c>
      <c r="G63" s="543" t="str">
        <f>IF(LEN(A63)&gt;2,VLOOKUP(A63,COPY!$A$2:$O$1000,7,FALSE),"")</f>
        <v>Besi Sni 10.0</v>
      </c>
      <c r="H63" s="544" t="str">
        <f t="shared" si="9"/>
        <v>@</v>
      </c>
      <c r="I63" s="545">
        <f>IFERROR(IF(LEN(A63)&gt;2,VLOOKUP(A63,COPY!$A$2:$O$1000,13,FALSE),"")/E63,"")</f>
        <v>73000</v>
      </c>
      <c r="J63" s="546"/>
      <c r="K63" s="547">
        <f t="shared" si="10"/>
        <v>438000</v>
      </c>
      <c r="L63" s="548">
        <f t="shared" si="7"/>
        <v>66204590</v>
      </c>
      <c r="M63" s="549">
        <f t="shared" si="3"/>
        <v>0</v>
      </c>
      <c r="O63" s="538">
        <f t="shared" si="8"/>
        <v>66204590</v>
      </c>
      <c r="P63" s="550"/>
      <c r="Q63" s="551"/>
    </row>
    <row r="64" spans="1:17" s="253" customFormat="1" ht="20.100000000000001" customHeight="1" x14ac:dyDescent="0.25">
      <c r="A64" s="253" t="str">
        <f t="shared" si="4"/>
        <v>1.50</v>
      </c>
      <c r="B64" s="584">
        <f>IF(LEN(A64)&gt;2,VLOOKUP(A64,COPY!$A$2:$O$1000,4,FALSE),"")</f>
        <v>45910</v>
      </c>
      <c r="C64" s="585" t="str">
        <f>IF(LEN(A64)&gt;2,VLOOKUP(A64,COPY!$A$2:$O$1000,15,FALSE),"")</f>
        <v>BKK.12</v>
      </c>
      <c r="D64" s="542" t="str">
        <f>IF(LEN(A64)&gt;2,VLOOKUP(A64,COPY!$A$2:$O$1000,2,FALSE),"")</f>
        <v>Beli</v>
      </c>
      <c r="E64" s="607">
        <f>IF(LEN(A64)&gt;2,VLOOKUP(A64,COPY!$A$2:$O$1000,10,FALSE),"")</f>
        <v>10</v>
      </c>
      <c r="F64" s="542" t="str">
        <f>IF(LEN(A64)&gt;2,VLOOKUP(A64,COPY!$A$2:$O$1000,8,FALSE),"")</f>
        <v>Ljr</v>
      </c>
      <c r="G64" s="543" t="str">
        <f>IF(LEN(A64)&gt;2,VLOOKUP(A64,COPY!$A$2:$O$1000,7,FALSE),"")</f>
        <v>Besi Sni 10.0</v>
      </c>
      <c r="H64" s="544" t="str">
        <f t="shared" si="9"/>
        <v>@</v>
      </c>
      <c r="I64" s="545">
        <f>IFERROR(IF(LEN(A64)&gt;2,VLOOKUP(A64,COPY!$A$2:$O$1000,13,FALSE),"")/E64,"")</f>
        <v>73000</v>
      </c>
      <c r="J64" s="546"/>
      <c r="K64" s="547">
        <f t="shared" si="10"/>
        <v>730000</v>
      </c>
      <c r="L64" s="548">
        <f t="shared" si="7"/>
        <v>65474590</v>
      </c>
      <c r="M64" s="549">
        <f t="shared" si="3"/>
        <v>0</v>
      </c>
      <c r="O64" s="538">
        <f t="shared" si="8"/>
        <v>65474590</v>
      </c>
      <c r="P64" s="550"/>
      <c r="Q64" s="551"/>
    </row>
    <row r="65" spans="1:17" s="253" customFormat="1" ht="20.100000000000001" customHeight="1" x14ac:dyDescent="0.25">
      <c r="A65" s="253" t="str">
        <f t="shared" si="4"/>
        <v>1.51</v>
      </c>
      <c r="B65" s="584" t="str">
        <f>IF(LEN(A65)&gt;2,VLOOKUP(A65,COPY!$A$2:$O$1000,4,FALSE),"")</f>
        <v/>
      </c>
      <c r="C65" s="585" t="str">
        <f>IF(LEN(A65)&gt;2,VLOOKUP(A65,COPY!$A$2:$O$1000,15,FALSE),"")</f>
        <v/>
      </c>
      <c r="D65" s="542" t="str">
        <f>IF(LEN(A65)&gt;2,VLOOKUP(A65,COPY!$A$2:$O$1000,2,FALSE),"")</f>
        <v>Beli</v>
      </c>
      <c r="E65" s="607">
        <f>IF(LEN(A65)&gt;2,VLOOKUP(A65,COPY!$A$2:$O$1000,10,FALSE),"")</f>
        <v>15</v>
      </c>
      <c r="F65" s="542" t="str">
        <f>IF(LEN(A65)&gt;2,VLOOKUP(A65,COPY!$A$2:$O$1000,8,FALSE),"")</f>
        <v>Sak</v>
      </c>
      <c r="G65" s="543" t="str">
        <f>IF(LEN(A65)&gt;2,VLOOKUP(A65,COPY!$A$2:$O$1000,7,FALSE),"")</f>
        <v>Semen 3 Roda</v>
      </c>
      <c r="H65" s="544" t="str">
        <f t="shared" si="9"/>
        <v>@</v>
      </c>
      <c r="I65" s="545">
        <f>IFERROR(IF(LEN(A65)&gt;2,VLOOKUP(A65,COPY!$A$2:$O$1000,13,FALSE),"")/E65,"")</f>
        <v>52000</v>
      </c>
      <c r="J65" s="546"/>
      <c r="K65" s="547">
        <f t="shared" si="10"/>
        <v>780000</v>
      </c>
      <c r="L65" s="548">
        <f t="shared" si="7"/>
        <v>64694590</v>
      </c>
      <c r="M65" s="549">
        <f t="shared" si="3"/>
        <v>0</v>
      </c>
      <c r="O65" s="538">
        <f t="shared" si="8"/>
        <v>64694590</v>
      </c>
      <c r="P65" s="550"/>
      <c r="Q65" s="551"/>
    </row>
    <row r="66" spans="1:17" s="253" customFormat="1" ht="20.100000000000001" customHeight="1" x14ac:dyDescent="0.25">
      <c r="A66" s="253" t="str">
        <f t="shared" si="4"/>
        <v>1.52</v>
      </c>
      <c r="B66" s="584">
        <f>IF(LEN(A66)&gt;2,VLOOKUP(A66,COPY!$A$2:$O$1000,4,FALSE),"")</f>
        <v>45911</v>
      </c>
      <c r="C66" s="585" t="str">
        <f>IF(LEN(A66)&gt;2,VLOOKUP(A66,COPY!$A$2:$O$1000,15,FALSE),"")</f>
        <v>BKK.13</v>
      </c>
      <c r="D66" s="542" t="str">
        <f>IF(LEN(A66)&gt;2,VLOOKUP(A66,COPY!$A$2:$O$1000,2,FALSE),"")</f>
        <v>Beli</v>
      </c>
      <c r="E66" s="607">
        <f>IF(LEN(A66)&gt;2,VLOOKUP(A66,COPY!$A$2:$O$1000,10,FALSE),"")</f>
        <v>1</v>
      </c>
      <c r="F66" s="542" t="str">
        <f>IF(LEN(A66)&gt;2,VLOOKUP(A66,COPY!$A$2:$O$1000,8,FALSE),"")</f>
        <v>Pik Up</v>
      </c>
      <c r="G66" s="543" t="str">
        <f>IF(LEN(A66)&gt;2,VLOOKUP(A66,COPY!$A$2:$O$1000,7,FALSE),"")</f>
        <v>Koral L300</v>
      </c>
      <c r="H66" s="544" t="str">
        <f t="shared" si="9"/>
        <v>@</v>
      </c>
      <c r="I66" s="545">
        <f>IFERROR(IF(LEN(A66)&gt;2,VLOOKUP(A66,COPY!$A$2:$O$1000,13,FALSE),"")/E66,"")</f>
        <v>350000</v>
      </c>
      <c r="J66" s="546"/>
      <c r="K66" s="547">
        <f t="shared" si="10"/>
        <v>350000</v>
      </c>
      <c r="L66" s="548">
        <f t="shared" si="7"/>
        <v>64344590</v>
      </c>
      <c r="M66" s="549">
        <f t="shared" si="3"/>
        <v>0</v>
      </c>
      <c r="O66" s="538">
        <f t="shared" si="8"/>
        <v>64344590</v>
      </c>
      <c r="P66" s="550"/>
      <c r="Q66" s="551"/>
    </row>
    <row r="67" spans="1:17" s="253" customFormat="1" ht="20.100000000000001" customHeight="1" x14ac:dyDescent="0.25">
      <c r="A67" s="253" t="str">
        <f t="shared" si="4"/>
        <v>1.53</v>
      </c>
      <c r="B67" s="584" t="str">
        <f>IF(LEN(A67)&gt;2,VLOOKUP(A67,COPY!$A$2:$O$1000,4,FALSE),"")</f>
        <v/>
      </c>
      <c r="C67" s="585" t="str">
        <f>IF(LEN(A67)&gt;2,VLOOKUP(A67,COPY!$A$2:$O$1000,15,FALSE),"")</f>
        <v/>
      </c>
      <c r="D67" s="542" t="str">
        <f>IF(LEN(A67)&gt;2,VLOOKUP(A67,COPY!$A$2:$O$1000,2,FALSE),"")</f>
        <v>Beli</v>
      </c>
      <c r="E67" s="607">
        <f>IF(LEN(A67)&gt;2,VLOOKUP(A67,COPY!$A$2:$O$1000,10,FALSE),"")</f>
        <v>5</v>
      </c>
      <c r="F67" s="542" t="str">
        <f>IF(LEN(A67)&gt;2,VLOOKUP(A67,COPY!$A$2:$O$1000,8,FALSE),"")</f>
        <v>kg</v>
      </c>
      <c r="G67" s="543" t="str">
        <f>IF(LEN(A67)&gt;2,VLOOKUP(A67,COPY!$A$2:$O$1000,7,FALSE),"")</f>
        <v>Bendrat Spq</v>
      </c>
      <c r="H67" s="544" t="str">
        <f t="shared" si="9"/>
        <v>@</v>
      </c>
      <c r="I67" s="545">
        <f>IFERROR(IF(LEN(A67)&gt;2,VLOOKUP(A67,COPY!$A$2:$O$1000,13,FALSE),"")/E67,"")</f>
        <v>22000</v>
      </c>
      <c r="J67" s="546"/>
      <c r="K67" s="547">
        <f t="shared" si="10"/>
        <v>110000</v>
      </c>
      <c r="L67" s="548">
        <f t="shared" si="7"/>
        <v>64234590</v>
      </c>
      <c r="M67" s="549">
        <f t="shared" si="3"/>
        <v>0</v>
      </c>
      <c r="O67" s="538">
        <f t="shared" si="8"/>
        <v>64234590</v>
      </c>
      <c r="P67" s="550"/>
      <c r="Q67" s="551"/>
    </row>
    <row r="68" spans="1:17" s="253" customFormat="1" ht="20.100000000000001" customHeight="1" x14ac:dyDescent="0.25">
      <c r="A68" s="253" t="str">
        <f t="shared" si="4"/>
        <v>1.54</v>
      </c>
      <c r="B68" s="584" t="str">
        <f>IF(LEN(A68)&gt;2,VLOOKUP(A68,COPY!$A$2:$O$1000,4,FALSE),"")</f>
        <v/>
      </c>
      <c r="C68" s="585" t="str">
        <f>IF(LEN(A68)&gt;2,VLOOKUP(A68,COPY!$A$2:$O$1000,15,FALSE),"")</f>
        <v/>
      </c>
      <c r="D68" s="542" t="str">
        <f>IF(LEN(A68)&gt;2,VLOOKUP(A68,COPY!$A$2:$O$1000,2,FALSE),"")</f>
        <v>Beli</v>
      </c>
      <c r="E68" s="607">
        <f>IF(LEN(A68)&gt;2,VLOOKUP(A68,COPY!$A$2:$O$1000,10,FALSE),"")</f>
        <v>20</v>
      </c>
      <c r="F68" s="542" t="str">
        <f>IF(LEN(A68)&gt;2,VLOOKUP(A68,COPY!$A$2:$O$1000,8,FALSE),"")</f>
        <v>Ljr</v>
      </c>
      <c r="G68" s="543" t="str">
        <f>IF(LEN(A68)&gt;2,VLOOKUP(A68,COPY!$A$2:$O$1000,7,FALSE),"")</f>
        <v>Besi 6.0 Sni</v>
      </c>
      <c r="H68" s="544" t="str">
        <f t="shared" si="9"/>
        <v>@</v>
      </c>
      <c r="I68" s="545">
        <f>IFERROR(IF(LEN(A68)&gt;2,VLOOKUP(A68,COPY!$A$2:$O$1000,13,FALSE),"")/E68,"")</f>
        <v>28000</v>
      </c>
      <c r="J68" s="546"/>
      <c r="K68" s="547">
        <f t="shared" si="10"/>
        <v>560000</v>
      </c>
      <c r="L68" s="548">
        <f t="shared" si="7"/>
        <v>63674590</v>
      </c>
      <c r="M68" s="549">
        <f t="shared" si="3"/>
        <v>0</v>
      </c>
      <c r="O68" s="538">
        <f t="shared" si="8"/>
        <v>63674590</v>
      </c>
      <c r="P68" s="550"/>
      <c r="Q68" s="551"/>
    </row>
    <row r="69" spans="1:17" s="253" customFormat="1" ht="20.100000000000001" customHeight="1" x14ac:dyDescent="0.25">
      <c r="A69" s="253" t="str">
        <f t="shared" si="4"/>
        <v>1.55</v>
      </c>
      <c r="B69" s="584" t="str">
        <f>IF(LEN(A69)&gt;2,VLOOKUP(A69,COPY!$A$2:$O$1000,4,FALSE),"")</f>
        <v/>
      </c>
      <c r="C69" s="585" t="str">
        <f>IF(LEN(A69)&gt;2,VLOOKUP(A69,COPY!$A$2:$O$1000,15,FALSE),"")</f>
        <v/>
      </c>
      <c r="D69" s="542" t="str">
        <f>IF(LEN(A69)&gt;2,VLOOKUP(A69,COPY!$A$2:$O$1000,2,FALSE),"")</f>
        <v>Beli</v>
      </c>
      <c r="E69" s="607">
        <f>IF(LEN(A69)&gt;2,VLOOKUP(A69,COPY!$A$2:$O$1000,10,FALSE),"")</f>
        <v>20</v>
      </c>
      <c r="F69" s="542" t="str">
        <f>IF(LEN(A69)&gt;2,VLOOKUP(A69,COPY!$A$2:$O$1000,8,FALSE),"")</f>
        <v>Ljr</v>
      </c>
      <c r="G69" s="543" t="str">
        <f>IF(LEN(A69)&gt;2,VLOOKUP(A69,COPY!$A$2:$O$1000,7,FALSE),"")</f>
        <v>Besi 8.0 Sni</v>
      </c>
      <c r="H69" s="544" t="str">
        <f t="shared" si="9"/>
        <v>@</v>
      </c>
      <c r="I69" s="545">
        <f>IFERROR(IF(LEN(A69)&gt;2,VLOOKUP(A69,COPY!$A$2:$O$1000,13,FALSE),"")/E69,"")</f>
        <v>46000</v>
      </c>
      <c r="J69" s="546"/>
      <c r="K69" s="547">
        <f t="shared" si="10"/>
        <v>920000</v>
      </c>
      <c r="L69" s="548">
        <f t="shared" si="7"/>
        <v>62754590</v>
      </c>
      <c r="M69" s="549">
        <f t="shared" si="3"/>
        <v>0</v>
      </c>
      <c r="O69" s="538">
        <f t="shared" si="8"/>
        <v>62754590</v>
      </c>
      <c r="P69" s="550"/>
      <c r="Q69" s="551"/>
    </row>
    <row r="70" spans="1:17" s="253" customFormat="1" ht="20.100000000000001" customHeight="1" x14ac:dyDescent="0.25">
      <c r="A70" s="253" t="str">
        <f t="shared" si="4"/>
        <v>1.56</v>
      </c>
      <c r="B70" s="584">
        <f>IF(LEN(A70)&gt;2,VLOOKUP(A70,COPY!$A$2:$O$1000,4,FALSE),"")</f>
        <v>45912</v>
      </c>
      <c r="C70" s="585" t="str">
        <f>IF(LEN(A70)&gt;2,VLOOKUP(A70,COPY!$A$2:$O$1000,15,FALSE),"")</f>
        <v>BKK.14</v>
      </c>
      <c r="D70" s="542" t="str">
        <f>IF(LEN(A70)&gt;2,VLOOKUP(A70,COPY!$A$2:$O$1000,2,FALSE),"")</f>
        <v>Beli</v>
      </c>
      <c r="E70" s="607">
        <f>IF(LEN(A70)&gt;2,VLOOKUP(A70,COPY!$A$2:$O$1000,10,FALSE),"")</f>
        <v>14</v>
      </c>
      <c r="F70" s="542" t="str">
        <f>IF(LEN(A70)&gt;2,VLOOKUP(A70,COPY!$A$2:$O$1000,8,FALSE),"")</f>
        <v>Bks</v>
      </c>
      <c r="G70" s="543" t="str">
        <f>IF(LEN(A70)&gt;2,VLOOKUP(A70,COPY!$A$2:$O$1000,7,FALSE),"")</f>
        <v>Kosumsi Rapat Dengan Komite</v>
      </c>
      <c r="H70" s="544" t="str">
        <f t="shared" si="9"/>
        <v>@</v>
      </c>
      <c r="I70" s="545">
        <f>IFERROR(IF(LEN(A70)&gt;2,VLOOKUP(A70,COPY!$A$2:$O$1000,13,FALSE),"")/E70,"")</f>
        <v>30000</v>
      </c>
      <c r="J70" s="546"/>
      <c r="K70" s="547">
        <f t="shared" si="10"/>
        <v>420000</v>
      </c>
      <c r="L70" s="548">
        <f t="shared" si="7"/>
        <v>62334590</v>
      </c>
      <c r="M70" s="549">
        <f t="shared" si="3"/>
        <v>0</v>
      </c>
      <c r="O70" s="538">
        <f t="shared" si="8"/>
        <v>62334590</v>
      </c>
      <c r="P70" s="550"/>
      <c r="Q70" s="551"/>
    </row>
    <row r="71" spans="1:17" s="253" customFormat="1" ht="20.100000000000001" customHeight="1" x14ac:dyDescent="0.25">
      <c r="A71" s="253" t="str">
        <f t="shared" si="4"/>
        <v>1.57</v>
      </c>
      <c r="B71" s="584">
        <f>IF(LEN(A71)&gt;2,VLOOKUP(A71,COPY!$A$2:$O$1000,4,FALSE),"")</f>
        <v>45913</v>
      </c>
      <c r="C71" s="585" t="str">
        <f>IF(LEN(A71)&gt;2,VLOOKUP(A71,COPY!$A$2:$O$1000,15,FALSE),"")</f>
        <v>BKK.15</v>
      </c>
      <c r="D71" s="542" t="str">
        <f>IF(LEN(A71)&gt;2,VLOOKUP(A71,COPY!$A$2:$O$1000,2,FALSE),"")</f>
        <v>Beli</v>
      </c>
      <c r="E71" s="607">
        <f>IF(LEN(A71)&gt;2,VLOOKUP(A71,COPY!$A$2:$O$1000,10,FALSE),"")</f>
        <v>15</v>
      </c>
      <c r="F71" s="542" t="str">
        <f>IF(LEN(A71)&gt;2,VLOOKUP(A71,COPY!$A$2:$O$1000,8,FALSE),"")</f>
        <v>Ljr</v>
      </c>
      <c r="G71" s="543" t="str">
        <f>IF(LEN(A71)&gt;2,VLOOKUP(A71,COPY!$A$2:$O$1000,7,FALSE),"")</f>
        <v>Besi 8.0 Sni</v>
      </c>
      <c r="H71" s="544" t="str">
        <f t="shared" si="9"/>
        <v>@</v>
      </c>
      <c r="I71" s="545">
        <f>IFERROR(IF(LEN(A71)&gt;2,VLOOKUP(A71,COPY!$A$2:$O$1000,13,FALSE),"")/E71,"")</f>
        <v>46000</v>
      </c>
      <c r="J71" s="546"/>
      <c r="K71" s="547">
        <f t="shared" si="10"/>
        <v>690000</v>
      </c>
      <c r="L71" s="548">
        <f t="shared" si="7"/>
        <v>61644590</v>
      </c>
      <c r="M71" s="549">
        <f t="shared" si="3"/>
        <v>0</v>
      </c>
      <c r="O71" s="538">
        <f t="shared" si="8"/>
        <v>61644590</v>
      </c>
      <c r="P71" s="550"/>
      <c r="Q71" s="551"/>
    </row>
    <row r="72" spans="1:17" s="253" customFormat="1" ht="20.100000000000001" customHeight="1" x14ac:dyDescent="0.25">
      <c r="A72" s="253" t="str">
        <f t="shared" si="4"/>
        <v>1.58</v>
      </c>
      <c r="B72" s="584" t="str">
        <f>IF(LEN(A72)&gt;2,VLOOKUP(A72,COPY!$A$2:$O$1000,4,FALSE),"")</f>
        <v/>
      </c>
      <c r="C72" s="585" t="str">
        <f>IF(LEN(A72)&gt;2,VLOOKUP(A72,COPY!$A$2:$O$1000,15,FALSE),"")</f>
        <v/>
      </c>
      <c r="D72" s="542" t="str">
        <f>IF(LEN(A72)&gt;2,VLOOKUP(A72,COPY!$A$2:$O$1000,2,FALSE),"")</f>
        <v>Beli</v>
      </c>
      <c r="E72" s="607">
        <f>IF(LEN(A72)&gt;2,VLOOKUP(A72,COPY!$A$2:$O$1000,10,FALSE),"")</f>
        <v>17</v>
      </c>
      <c r="F72" s="542" t="str">
        <f>IF(LEN(A72)&gt;2,VLOOKUP(A72,COPY!$A$2:$O$1000,8,FALSE),"")</f>
        <v>Ljr</v>
      </c>
      <c r="G72" s="543" t="str">
        <f>IF(LEN(A72)&gt;2,VLOOKUP(A72,COPY!$A$2:$O$1000,7,FALSE),"")</f>
        <v>Besi Sni 10.0</v>
      </c>
      <c r="H72" s="544" t="str">
        <f t="shared" si="9"/>
        <v>@</v>
      </c>
      <c r="I72" s="545">
        <f>IFERROR(IF(LEN(A72)&gt;2,VLOOKUP(A72,COPY!$A$2:$O$1000,13,FALSE),"")/E72,"")</f>
        <v>73000</v>
      </c>
      <c r="J72" s="546"/>
      <c r="K72" s="547">
        <f t="shared" si="10"/>
        <v>1241000</v>
      </c>
      <c r="L72" s="548">
        <f t="shared" si="7"/>
        <v>60403590</v>
      </c>
      <c r="M72" s="549">
        <f t="shared" si="3"/>
        <v>0</v>
      </c>
      <c r="O72" s="538">
        <f t="shared" si="8"/>
        <v>60403590</v>
      </c>
      <c r="P72" s="550"/>
      <c r="Q72" s="551"/>
    </row>
    <row r="73" spans="1:17" s="253" customFormat="1" ht="20.100000000000001" customHeight="1" x14ac:dyDescent="0.25">
      <c r="A73" s="253" t="str">
        <f t="shared" si="4"/>
        <v>1.59</v>
      </c>
      <c r="B73" s="584">
        <f>IF(LEN(A73)&gt;2,VLOOKUP(A73,COPY!$A$2:$O$1000,4,FALSE),"")</f>
        <v>45913</v>
      </c>
      <c r="C73" s="585" t="str">
        <f>IF(LEN(A73)&gt;2,VLOOKUP(A73,COPY!$A$2:$O$1000,15,FALSE),"")</f>
        <v>BKK.16</v>
      </c>
      <c r="D73" s="542" t="str">
        <f>IF(LEN(A73)&gt;2,VLOOKUP(A73,COPY!$A$2:$O$1000,2,FALSE),"")</f>
        <v>Bayar Ongkos</v>
      </c>
      <c r="E73" s="607">
        <f>IF(LEN(A73)&gt;2,VLOOKUP(A73,COPY!$A$2:$O$1000,10,FALSE),"")</f>
        <v>1</v>
      </c>
      <c r="F73" s="542">
        <f>IF(LEN(A73)&gt;2,VLOOKUP(A73,COPY!$A$2:$O$1000,8,FALSE),"")</f>
        <v>0</v>
      </c>
      <c r="G73" s="543" t="str">
        <f>IF(LEN(A73)&gt;2,VLOOKUP(A73,COPY!$A$2:$O$1000,7,FALSE),"")</f>
        <v>Pembayaran Pekerja Minggu Ke 2</v>
      </c>
      <c r="H73" s="544" t="str">
        <f t="shared" si="9"/>
        <v/>
      </c>
      <c r="I73" s="545">
        <f>IFERROR(IF(LEN(A73)&gt;2,VLOOKUP(A73,COPY!$A$2:$O$1000,13,FALSE),"")/E73,"")</f>
        <v>5350000</v>
      </c>
      <c r="J73" s="546"/>
      <c r="K73" s="547">
        <f t="shared" si="10"/>
        <v>5350000</v>
      </c>
      <c r="L73" s="548">
        <f t="shared" si="7"/>
        <v>55053590</v>
      </c>
      <c r="M73" s="549">
        <f t="shared" si="3"/>
        <v>0</v>
      </c>
      <c r="O73" s="538">
        <f t="shared" si="8"/>
        <v>55053590</v>
      </c>
      <c r="P73" s="550"/>
      <c r="Q73" s="551"/>
    </row>
    <row r="74" spans="1:17" s="253" customFormat="1" ht="20.100000000000001" customHeight="1" x14ac:dyDescent="0.25">
      <c r="A74" s="253" t="str">
        <f t="shared" si="4"/>
        <v>1.60</v>
      </c>
      <c r="B74" s="584">
        <f>IF(LEN(A74)&gt;2,VLOOKUP(A74,COPY!$A$2:$O$1000,4,FALSE),"")</f>
        <v>45916</v>
      </c>
      <c r="C74" s="585" t="str">
        <f>IF(LEN(A74)&gt;2,VLOOKUP(A74,COPY!$A$2:$O$1000,15,FALSE),"")</f>
        <v>BKK.17</v>
      </c>
      <c r="D74" s="542" t="str">
        <f>IF(LEN(A74)&gt;2,VLOOKUP(A74,COPY!$A$2:$O$1000,2,FALSE),"")</f>
        <v>Beli</v>
      </c>
      <c r="E74" s="607">
        <f>IF(LEN(A74)&gt;2,VLOOKUP(A74,COPY!$A$2:$O$1000,10,FALSE),"")</f>
        <v>2</v>
      </c>
      <c r="F74" s="542" t="str">
        <f>IF(LEN(A74)&gt;2,VLOOKUP(A74,COPY!$A$2:$O$1000,8,FALSE),"")</f>
        <v>kg</v>
      </c>
      <c r="G74" s="543" t="str">
        <f>IF(LEN(A74)&gt;2,VLOOKUP(A74,COPY!$A$2:$O$1000,7,FALSE),"")</f>
        <v>Paku 1 1/2</v>
      </c>
      <c r="H74" s="544" t="str">
        <f t="shared" si="9"/>
        <v>@</v>
      </c>
      <c r="I74" s="545">
        <f>IFERROR(IF(LEN(A74)&gt;2,VLOOKUP(A74,COPY!$A$2:$O$1000,13,FALSE),"")/E74,"")</f>
        <v>20000</v>
      </c>
      <c r="J74" s="546"/>
      <c r="K74" s="547">
        <f t="shared" si="10"/>
        <v>40000</v>
      </c>
      <c r="L74" s="548">
        <f t="shared" si="7"/>
        <v>55013590</v>
      </c>
      <c r="M74" s="549">
        <f t="shared" si="3"/>
        <v>0</v>
      </c>
      <c r="O74" s="538">
        <f t="shared" si="8"/>
        <v>55013590</v>
      </c>
      <c r="P74" s="550"/>
      <c r="Q74" s="551"/>
    </row>
    <row r="75" spans="1:17" s="253" customFormat="1" ht="20.100000000000001" customHeight="1" x14ac:dyDescent="0.25">
      <c r="A75" s="253" t="str">
        <f t="shared" si="4"/>
        <v>1.61</v>
      </c>
      <c r="B75" s="584" t="str">
        <f>IF(LEN(A75)&gt;2,VLOOKUP(A75,COPY!$A$2:$O$1000,4,FALSE),"")</f>
        <v/>
      </c>
      <c r="C75" s="585" t="str">
        <f>IF(LEN(A75)&gt;2,VLOOKUP(A75,COPY!$A$2:$O$1000,15,FALSE),"")</f>
        <v/>
      </c>
      <c r="D75" s="542" t="str">
        <f>IF(LEN(A75)&gt;2,VLOOKUP(A75,COPY!$A$2:$O$1000,2,FALSE),"")</f>
        <v>Beli</v>
      </c>
      <c r="E75" s="607">
        <f>IF(LEN(A75)&gt;2,VLOOKUP(A75,COPY!$A$2:$O$1000,10,FALSE),"")</f>
        <v>2</v>
      </c>
      <c r="F75" s="542" t="str">
        <f>IF(LEN(A75)&gt;2,VLOOKUP(A75,COPY!$A$2:$O$1000,8,FALSE),"")</f>
        <v>kg</v>
      </c>
      <c r="G75" s="543" t="str">
        <f>IF(LEN(A75)&gt;2,VLOOKUP(A75,COPY!$A$2:$O$1000,7,FALSE),"")</f>
        <v>Paku 2</v>
      </c>
      <c r="H75" s="544" t="str">
        <f t="shared" si="9"/>
        <v>@</v>
      </c>
      <c r="I75" s="545">
        <f>IFERROR(IF(LEN(A75)&gt;2,VLOOKUP(A75,COPY!$A$2:$O$1000,13,FALSE),"")/E75,"")</f>
        <v>18000</v>
      </c>
      <c r="J75" s="546"/>
      <c r="K75" s="547">
        <f t="shared" si="10"/>
        <v>36000</v>
      </c>
      <c r="L75" s="548">
        <f t="shared" si="7"/>
        <v>54977590</v>
      </c>
      <c r="M75" s="549">
        <f t="shared" si="3"/>
        <v>0</v>
      </c>
      <c r="O75" s="538">
        <f t="shared" si="8"/>
        <v>54977590</v>
      </c>
      <c r="P75" s="550"/>
      <c r="Q75" s="551"/>
    </row>
    <row r="76" spans="1:17" s="253" customFormat="1" ht="20.100000000000001" customHeight="1" x14ac:dyDescent="0.25">
      <c r="A76" s="253" t="str">
        <f t="shared" si="4"/>
        <v>1.62</v>
      </c>
      <c r="B76" s="584" t="str">
        <f>IF(LEN(A76)&gt;2,VLOOKUP(A76,COPY!$A$2:$O$1000,4,FALSE),"")</f>
        <v/>
      </c>
      <c r="C76" s="585" t="str">
        <f>IF(LEN(A76)&gt;2,VLOOKUP(A76,COPY!$A$2:$O$1000,15,FALSE),"")</f>
        <v/>
      </c>
      <c r="D76" s="542" t="str">
        <f>IF(LEN(A76)&gt;2,VLOOKUP(A76,COPY!$A$2:$O$1000,2,FALSE),"")</f>
        <v>Beli</v>
      </c>
      <c r="E76" s="607">
        <f>IF(LEN(A76)&gt;2,VLOOKUP(A76,COPY!$A$2:$O$1000,10,FALSE),"")</f>
        <v>6</v>
      </c>
      <c r="F76" s="542" t="str">
        <f>IF(LEN(A76)&gt;2,VLOOKUP(A76,COPY!$A$2:$O$1000,8,FALSE),"")</f>
        <v>Ljr</v>
      </c>
      <c r="G76" s="543" t="str">
        <f>IF(LEN(A76)&gt;2,VLOOKUP(A76,COPY!$A$2:$O$1000,7,FALSE),"")</f>
        <v>Kayu 3 X 5</v>
      </c>
      <c r="H76" s="544" t="str">
        <f t="shared" si="9"/>
        <v>@</v>
      </c>
      <c r="I76" s="545">
        <f>IFERROR(IF(LEN(A76)&gt;2,VLOOKUP(A76,COPY!$A$2:$O$1000,13,FALSE),"")/E76,"")</f>
        <v>135000</v>
      </c>
      <c r="J76" s="546"/>
      <c r="K76" s="547">
        <f t="shared" si="10"/>
        <v>810000</v>
      </c>
      <c r="L76" s="548">
        <f t="shared" si="7"/>
        <v>54167590</v>
      </c>
      <c r="M76" s="549">
        <f t="shared" si="3"/>
        <v>0</v>
      </c>
      <c r="O76" s="538">
        <f t="shared" si="8"/>
        <v>54167590</v>
      </c>
      <c r="P76" s="550"/>
      <c r="Q76" s="551"/>
    </row>
    <row r="77" spans="1:17" s="253" customFormat="1" ht="20.100000000000001" customHeight="1" x14ac:dyDescent="0.25">
      <c r="A77" s="253" t="str">
        <f t="shared" si="4"/>
        <v>1.63</v>
      </c>
      <c r="B77" s="584" t="str">
        <f>IF(LEN(A77)&gt;2,VLOOKUP(A77,COPY!$A$2:$O$1000,4,FALSE),"")</f>
        <v/>
      </c>
      <c r="C77" s="585" t="str">
        <f>IF(LEN(A77)&gt;2,VLOOKUP(A77,COPY!$A$2:$O$1000,15,FALSE),"")</f>
        <v/>
      </c>
      <c r="D77" s="542" t="str">
        <f>IF(LEN(A77)&gt;2,VLOOKUP(A77,COPY!$A$2:$O$1000,2,FALSE),"")</f>
        <v>Beli</v>
      </c>
      <c r="E77" s="607">
        <f>IF(LEN(A77)&gt;2,VLOOKUP(A77,COPY!$A$2:$O$1000,10,FALSE),"")</f>
        <v>1</v>
      </c>
      <c r="F77" s="542" t="str">
        <f>IF(LEN(A77)&gt;2,VLOOKUP(A77,COPY!$A$2:$O$1000,8,FALSE),"")</f>
        <v>Pik Up</v>
      </c>
      <c r="G77" s="543" t="str">
        <f>IF(LEN(A77)&gt;2,VLOOKUP(A77,COPY!$A$2:$O$1000,7,FALSE),"")</f>
        <v>Pasir Cor L300</v>
      </c>
      <c r="H77" s="544" t="str">
        <f t="shared" si="9"/>
        <v>@</v>
      </c>
      <c r="I77" s="545">
        <f>IFERROR(IF(LEN(A77)&gt;2,VLOOKUP(A77,COPY!$A$2:$O$1000,13,FALSE),"")/E77,"")</f>
        <v>335000</v>
      </c>
      <c r="J77" s="546"/>
      <c r="K77" s="547">
        <f t="shared" si="10"/>
        <v>335000</v>
      </c>
      <c r="L77" s="548">
        <f t="shared" si="7"/>
        <v>53832590</v>
      </c>
      <c r="M77" s="549">
        <f t="shared" si="3"/>
        <v>0</v>
      </c>
      <c r="O77" s="538">
        <f t="shared" si="8"/>
        <v>53832590</v>
      </c>
      <c r="P77" s="550"/>
      <c r="Q77" s="551"/>
    </row>
    <row r="78" spans="1:17" s="253" customFormat="1" ht="20.100000000000001" customHeight="1" x14ac:dyDescent="0.25">
      <c r="A78" s="253" t="str">
        <f t="shared" si="4"/>
        <v>1.64</v>
      </c>
      <c r="B78" s="584" t="str">
        <f>IF(LEN(A78)&gt;2,VLOOKUP(A78,COPY!$A$2:$O$1000,4,FALSE),"")</f>
        <v/>
      </c>
      <c r="C78" s="585" t="str">
        <f>IF(LEN(A78)&gt;2,VLOOKUP(A78,COPY!$A$2:$O$1000,15,FALSE),"")</f>
        <v/>
      </c>
      <c r="D78" s="542" t="str">
        <f>IF(LEN(A78)&gt;2,VLOOKUP(A78,COPY!$A$2:$O$1000,2,FALSE),"")</f>
        <v>Beli</v>
      </c>
      <c r="E78" s="607">
        <f>IF(LEN(A78)&gt;2,VLOOKUP(A78,COPY!$A$2:$O$1000,10,FALSE),"")</f>
        <v>1</v>
      </c>
      <c r="F78" s="542" t="str">
        <f>IF(LEN(A78)&gt;2,VLOOKUP(A78,COPY!$A$2:$O$1000,8,FALSE),"")</f>
        <v>Pik Up</v>
      </c>
      <c r="G78" s="543" t="str">
        <f>IF(LEN(A78)&gt;2,VLOOKUP(A78,COPY!$A$2:$O$1000,7,FALSE),"")</f>
        <v>Koral L300</v>
      </c>
      <c r="H78" s="544" t="str">
        <f t="shared" si="9"/>
        <v>@</v>
      </c>
      <c r="I78" s="545">
        <f>IFERROR(IF(LEN(A78)&gt;2,VLOOKUP(A78,COPY!$A$2:$O$1000,13,FALSE),"")/E78,"")</f>
        <v>350000</v>
      </c>
      <c r="J78" s="546"/>
      <c r="K78" s="547">
        <f t="shared" si="10"/>
        <v>350000</v>
      </c>
      <c r="L78" s="548">
        <f t="shared" si="7"/>
        <v>53482590</v>
      </c>
      <c r="M78" s="549">
        <f t="shared" si="3"/>
        <v>0</v>
      </c>
      <c r="O78" s="538">
        <f t="shared" si="8"/>
        <v>53482590</v>
      </c>
      <c r="P78" s="550"/>
      <c r="Q78" s="551"/>
    </row>
    <row r="79" spans="1:17" s="253" customFormat="1" ht="20.100000000000001" customHeight="1" x14ac:dyDescent="0.25">
      <c r="A79" s="253" t="str">
        <f t="shared" si="4"/>
        <v>1.65</v>
      </c>
      <c r="B79" s="584" t="str">
        <f>IF(LEN(A79)&gt;2,VLOOKUP(A79,COPY!$A$2:$O$1000,4,FALSE),"")</f>
        <v/>
      </c>
      <c r="C79" s="585" t="str">
        <f>IF(LEN(A79)&gt;2,VLOOKUP(A79,COPY!$A$2:$O$1000,15,FALSE),"")</f>
        <v/>
      </c>
      <c r="D79" s="542" t="str">
        <f>IF(LEN(A79)&gt;2,VLOOKUP(A79,COPY!$A$2:$O$1000,2,FALSE),"")</f>
        <v>Beli</v>
      </c>
      <c r="E79" s="607">
        <f>IF(LEN(A79)&gt;2,VLOOKUP(A79,COPY!$A$2:$O$1000,10,FALSE),"")</f>
        <v>6</v>
      </c>
      <c r="F79" s="542" t="str">
        <f>IF(LEN(A79)&gt;2,VLOOKUP(A79,COPY!$A$2:$O$1000,8,FALSE),"")</f>
        <v>Sak</v>
      </c>
      <c r="G79" s="543" t="str">
        <f>IF(LEN(A79)&gt;2,VLOOKUP(A79,COPY!$A$2:$O$1000,7,FALSE),"")</f>
        <v>Semen Gresik 40Kg</v>
      </c>
      <c r="H79" s="544" t="str">
        <f t="shared" si="9"/>
        <v>@</v>
      </c>
      <c r="I79" s="545">
        <f>IFERROR(IF(LEN(A79)&gt;2,VLOOKUP(A79,COPY!$A$2:$O$1000,13,FALSE),"")/E79,"")</f>
        <v>58000</v>
      </c>
      <c r="J79" s="546"/>
      <c r="K79" s="547">
        <f t="shared" si="10"/>
        <v>348000</v>
      </c>
      <c r="L79" s="548">
        <f t="shared" si="7"/>
        <v>53134590</v>
      </c>
      <c r="M79" s="549">
        <f t="shared" ref="M79:M122" si="11">IF(O79&lt;0,O79,IF(O79&gt;=0,0,0))</f>
        <v>0</v>
      </c>
      <c r="O79" s="538">
        <f t="shared" si="8"/>
        <v>53134590</v>
      </c>
      <c r="P79" s="550"/>
      <c r="Q79" s="551"/>
    </row>
    <row r="80" spans="1:17" s="253" customFormat="1" ht="20.100000000000001" customHeight="1" x14ac:dyDescent="0.25">
      <c r="A80" s="253" t="str">
        <f t="shared" ref="A80:A143" si="12">IF(LEN(A79)&gt;2,$D$4&amp;"."&amp;IF(ROW()-ROW($A$15)+1&lt;=$A$10,ROW()-ROW($A$15)+1,""),"")</f>
        <v>1.66</v>
      </c>
      <c r="B80" s="584">
        <f>IF(LEN(A80)&gt;2,VLOOKUP(A80,COPY!$A$2:$O$1000,4,FALSE),"")</f>
        <v>45917</v>
      </c>
      <c r="C80" s="585" t="str">
        <f>IF(LEN(A80)&gt;2,VLOOKUP(A80,COPY!$A$2:$O$1000,15,FALSE),"")</f>
        <v>BKK.18</v>
      </c>
      <c r="D80" s="542" t="str">
        <f>IF(LEN(A80)&gt;2,VLOOKUP(A80,COPY!$A$2:$O$1000,2,FALSE),"")</f>
        <v>Beli</v>
      </c>
      <c r="E80" s="607">
        <f>IF(LEN(A80)&gt;2,VLOOKUP(A80,COPY!$A$2:$O$1000,10,FALSE),"")</f>
        <v>15</v>
      </c>
      <c r="F80" s="542" t="str">
        <f>IF(LEN(A80)&gt;2,VLOOKUP(A80,COPY!$A$2:$O$1000,8,FALSE),"")</f>
        <v>Ljr</v>
      </c>
      <c r="G80" s="543" t="str">
        <f>IF(LEN(A80)&gt;2,VLOOKUP(A80,COPY!$A$2:$O$1000,7,FALSE),"")</f>
        <v>Besi Sni 10.0</v>
      </c>
      <c r="H80" s="544" t="str">
        <f t="shared" si="9"/>
        <v>@</v>
      </c>
      <c r="I80" s="545">
        <f>IFERROR(IF(LEN(A80)&gt;2,VLOOKUP(A80,COPY!$A$2:$O$1000,13,FALSE),"")/E80,"")</f>
        <v>73000</v>
      </c>
      <c r="J80" s="546"/>
      <c r="K80" s="547">
        <f t="shared" si="10"/>
        <v>1095000</v>
      </c>
      <c r="L80" s="548">
        <f t="shared" ref="L80:L122" si="13">IF(E80="","",IF(O80&gt;=0,O80,IF(O80&lt;0,0,0)))</f>
        <v>52039590</v>
      </c>
      <c r="M80" s="549">
        <f t="shared" si="11"/>
        <v>0</v>
      </c>
      <c r="O80" s="538">
        <f t="shared" ref="O80:O122" si="14">IF(E80="",O79,IF(L79&gt;0,L79-K80,IF(M79&lt;=0,M79-K80,0)))</f>
        <v>52039590</v>
      </c>
      <c r="P80" s="550"/>
      <c r="Q80" s="551"/>
    </row>
    <row r="81" spans="1:17" s="253" customFormat="1" ht="20.100000000000001" customHeight="1" x14ac:dyDescent="0.25">
      <c r="A81" s="253" t="str">
        <f t="shared" si="12"/>
        <v>1.67</v>
      </c>
      <c r="B81" s="584" t="str">
        <f>IF(LEN(A81)&gt;2,VLOOKUP(A81,COPY!$A$2:$O$1000,4,FALSE),"")</f>
        <v/>
      </c>
      <c r="C81" s="585" t="str">
        <f>IF(LEN(A81)&gt;2,VLOOKUP(A81,COPY!$A$2:$O$1000,15,FALSE),"")</f>
        <v/>
      </c>
      <c r="D81" s="542" t="str">
        <f>IF(LEN(A81)&gt;2,VLOOKUP(A81,COPY!$A$2:$O$1000,2,FALSE),"")</f>
        <v>Beli</v>
      </c>
      <c r="E81" s="607">
        <f>IF(LEN(A81)&gt;2,VLOOKUP(A81,COPY!$A$2:$O$1000,10,FALSE),"")</f>
        <v>4</v>
      </c>
      <c r="F81" s="542" t="str">
        <f>IF(LEN(A81)&gt;2,VLOOKUP(A81,COPY!$A$2:$O$1000,8,FALSE),"")</f>
        <v>Sak</v>
      </c>
      <c r="G81" s="543" t="str">
        <f>IF(LEN(A81)&gt;2,VLOOKUP(A81,COPY!$A$2:$O$1000,7,FALSE),"")</f>
        <v>Semen Gresik 40Kg</v>
      </c>
      <c r="H81" s="544" t="str">
        <f t="shared" ref="H81:H144" si="15">IF(TEXT(D81,0)="Beli","@","")</f>
        <v>@</v>
      </c>
      <c r="I81" s="545">
        <f>IFERROR(IF(LEN(A81)&gt;2,VLOOKUP(A81,COPY!$A$2:$O$1000,13,FALSE),"")/E81,"")</f>
        <v>58000</v>
      </c>
      <c r="J81" s="546"/>
      <c r="K81" s="547">
        <f t="shared" ref="K81:K144" si="16">IF(E81="","",IF(E81=0,I81,IF(E81&gt;0,E81*I81,0)))</f>
        <v>232000</v>
      </c>
      <c r="L81" s="548">
        <f t="shared" si="13"/>
        <v>51807590</v>
      </c>
      <c r="M81" s="549">
        <f t="shared" si="11"/>
        <v>0</v>
      </c>
      <c r="O81" s="538">
        <f t="shared" si="14"/>
        <v>51807590</v>
      </c>
      <c r="P81" s="550"/>
      <c r="Q81" s="551"/>
    </row>
    <row r="82" spans="1:17" s="253" customFormat="1" ht="20.100000000000001" customHeight="1" x14ac:dyDescent="0.25">
      <c r="A82" s="253" t="str">
        <f t="shared" si="12"/>
        <v>1.68</v>
      </c>
      <c r="B82" s="584" t="str">
        <f>IF(LEN(A82)&gt;2,VLOOKUP(A82,COPY!$A$2:$O$1000,4,FALSE),"")</f>
        <v/>
      </c>
      <c r="C82" s="585" t="str">
        <f>IF(LEN(A82)&gt;2,VLOOKUP(A82,COPY!$A$2:$O$1000,15,FALSE),"")</f>
        <v/>
      </c>
      <c r="D82" s="542" t="str">
        <f>IF(LEN(A82)&gt;2,VLOOKUP(A82,COPY!$A$2:$O$1000,2,FALSE),"")</f>
        <v>Beli</v>
      </c>
      <c r="E82" s="607">
        <f>IF(LEN(A82)&gt;2,VLOOKUP(A82,COPY!$A$2:$O$1000,10,FALSE),"")</f>
        <v>5</v>
      </c>
      <c r="F82" s="542" t="str">
        <f>IF(LEN(A82)&gt;2,VLOOKUP(A82,COPY!$A$2:$O$1000,8,FALSE),"")</f>
        <v>Ljr</v>
      </c>
      <c r="G82" s="543" t="str">
        <f>IF(LEN(A82)&gt;2,VLOOKUP(A82,COPY!$A$2:$O$1000,7,FALSE),"")</f>
        <v>Pipa Pvc Rucika D 3"</v>
      </c>
      <c r="H82" s="544" t="str">
        <f t="shared" si="15"/>
        <v>@</v>
      </c>
      <c r="I82" s="545">
        <f>IFERROR(IF(LEN(A82)&gt;2,VLOOKUP(A82,COPY!$A$2:$O$1000,13,FALSE),"")/E82,"")</f>
        <v>115000</v>
      </c>
      <c r="J82" s="546"/>
      <c r="K82" s="547">
        <f t="shared" si="16"/>
        <v>575000</v>
      </c>
      <c r="L82" s="548">
        <f t="shared" si="13"/>
        <v>51232590</v>
      </c>
      <c r="M82" s="549">
        <f t="shared" si="11"/>
        <v>0</v>
      </c>
      <c r="O82" s="538">
        <f t="shared" si="14"/>
        <v>51232590</v>
      </c>
      <c r="P82" s="550"/>
      <c r="Q82" s="551"/>
    </row>
    <row r="83" spans="1:17" s="253" customFormat="1" ht="20.100000000000001" customHeight="1" x14ac:dyDescent="0.25">
      <c r="A83" s="253" t="str">
        <f t="shared" si="12"/>
        <v>1.69</v>
      </c>
      <c r="B83" s="584">
        <f>IF(LEN(A83)&gt;2,VLOOKUP(A83,COPY!$A$2:$O$1000,4,FALSE),"")</f>
        <v>45918</v>
      </c>
      <c r="C83" s="585" t="str">
        <f>IF(LEN(A83)&gt;2,VLOOKUP(A83,COPY!$A$2:$O$1000,15,FALSE),"")</f>
        <v>BKK.19</v>
      </c>
      <c r="D83" s="542" t="str">
        <f>IF(LEN(A83)&gt;2,VLOOKUP(A83,COPY!$A$2:$O$1000,2,FALSE),"")</f>
        <v>Beli</v>
      </c>
      <c r="E83" s="607">
        <f>IF(LEN(A83)&gt;2,VLOOKUP(A83,COPY!$A$2:$O$1000,10,FALSE),"")</f>
        <v>4</v>
      </c>
      <c r="F83" s="542" t="str">
        <f>IF(LEN(A83)&gt;2,VLOOKUP(A83,COPY!$A$2:$O$1000,8,FALSE),"")</f>
        <v>kg</v>
      </c>
      <c r="G83" s="543" t="str">
        <f>IF(LEN(A83)&gt;2,VLOOKUP(A83,COPY!$A$2:$O$1000,7,FALSE),"")</f>
        <v>Bendrat Spq</v>
      </c>
      <c r="H83" s="544" t="str">
        <f t="shared" si="15"/>
        <v>@</v>
      </c>
      <c r="I83" s="545">
        <f>IFERROR(IF(LEN(A83)&gt;2,VLOOKUP(A83,COPY!$A$2:$O$1000,13,FALSE),"")/E83,"")</f>
        <v>22000</v>
      </c>
      <c r="J83" s="546"/>
      <c r="K83" s="547">
        <f t="shared" si="16"/>
        <v>88000</v>
      </c>
      <c r="L83" s="548">
        <f t="shared" si="13"/>
        <v>51144590</v>
      </c>
      <c r="M83" s="549">
        <f t="shared" si="11"/>
        <v>0</v>
      </c>
      <c r="O83" s="538">
        <f t="shared" si="14"/>
        <v>51144590</v>
      </c>
      <c r="P83" s="550"/>
      <c r="Q83" s="551"/>
    </row>
    <row r="84" spans="1:17" s="253" customFormat="1" ht="20.100000000000001" customHeight="1" x14ac:dyDescent="0.25">
      <c r="A84" s="253" t="str">
        <f t="shared" si="12"/>
        <v>1.70</v>
      </c>
      <c r="B84" s="584" t="str">
        <f>IF(LEN(A84)&gt;2,VLOOKUP(A84,COPY!$A$2:$O$1000,4,FALSE),"")</f>
        <v/>
      </c>
      <c r="C84" s="585" t="str">
        <f>IF(LEN(A84)&gt;2,VLOOKUP(A84,COPY!$A$2:$O$1000,15,FALSE),"")</f>
        <v/>
      </c>
      <c r="D84" s="542" t="str">
        <f>IF(LEN(A84)&gt;2,VLOOKUP(A84,COPY!$A$2:$O$1000,2,FALSE),"")</f>
        <v>Beli</v>
      </c>
      <c r="E84" s="607">
        <f>IF(LEN(A84)&gt;2,VLOOKUP(A84,COPY!$A$2:$O$1000,10,FALSE),"")</f>
        <v>10</v>
      </c>
      <c r="F84" s="542" t="str">
        <f>IF(LEN(A84)&gt;2,VLOOKUP(A84,COPY!$A$2:$O$1000,8,FALSE),"")</f>
        <v>Ljr</v>
      </c>
      <c r="G84" s="543" t="str">
        <f>IF(LEN(A84)&gt;2,VLOOKUP(A84,COPY!$A$2:$O$1000,7,FALSE),"")</f>
        <v>Besi 6.0 Sni</v>
      </c>
      <c r="H84" s="544" t="str">
        <f t="shared" si="15"/>
        <v>@</v>
      </c>
      <c r="I84" s="545">
        <f>IFERROR(IF(LEN(A84)&gt;2,VLOOKUP(A84,COPY!$A$2:$O$1000,13,FALSE),"")/E84,"")</f>
        <v>28000</v>
      </c>
      <c r="J84" s="546"/>
      <c r="K84" s="547">
        <f t="shared" si="16"/>
        <v>280000</v>
      </c>
      <c r="L84" s="548">
        <f t="shared" si="13"/>
        <v>50864590</v>
      </c>
      <c r="M84" s="549">
        <f t="shared" si="11"/>
        <v>0</v>
      </c>
      <c r="O84" s="538">
        <f t="shared" si="14"/>
        <v>50864590</v>
      </c>
      <c r="P84" s="550"/>
      <c r="Q84" s="551"/>
    </row>
    <row r="85" spans="1:17" s="253" customFormat="1" ht="20.100000000000001" customHeight="1" x14ac:dyDescent="0.25">
      <c r="A85" s="253" t="str">
        <f t="shared" si="12"/>
        <v>1.71</v>
      </c>
      <c r="B85" s="584" t="str">
        <f>IF(LEN(A85)&gt;2,VLOOKUP(A85,COPY!$A$2:$O$1000,4,FALSE),"")</f>
        <v/>
      </c>
      <c r="C85" s="585" t="str">
        <f>IF(LEN(A85)&gt;2,VLOOKUP(A85,COPY!$A$2:$O$1000,15,FALSE),"")</f>
        <v/>
      </c>
      <c r="D85" s="542" t="str">
        <f>IF(LEN(A85)&gt;2,VLOOKUP(A85,COPY!$A$2:$O$1000,2,FALSE),"")</f>
        <v>Beli</v>
      </c>
      <c r="E85" s="607">
        <f>IF(LEN(A85)&gt;2,VLOOKUP(A85,COPY!$A$2:$O$1000,10,FALSE),"")</f>
        <v>5</v>
      </c>
      <c r="F85" s="542" t="str">
        <f>IF(LEN(A85)&gt;2,VLOOKUP(A85,COPY!$A$2:$O$1000,8,FALSE),"")</f>
        <v>Ljr</v>
      </c>
      <c r="G85" s="543" t="str">
        <f>IF(LEN(A85)&gt;2,VLOOKUP(A85,COPY!$A$2:$O$1000,7,FALSE),"")</f>
        <v>Besi 8.0 Sni</v>
      </c>
      <c r="H85" s="544" t="str">
        <f t="shared" si="15"/>
        <v>@</v>
      </c>
      <c r="I85" s="545">
        <f>IFERROR(IF(LEN(A85)&gt;2,VLOOKUP(A85,COPY!$A$2:$O$1000,13,FALSE),"")/E85,"")</f>
        <v>46000</v>
      </c>
      <c r="J85" s="546"/>
      <c r="K85" s="547">
        <f t="shared" si="16"/>
        <v>230000</v>
      </c>
      <c r="L85" s="548">
        <f t="shared" si="13"/>
        <v>50634590</v>
      </c>
      <c r="M85" s="549">
        <f t="shared" si="11"/>
        <v>0</v>
      </c>
      <c r="O85" s="538">
        <f t="shared" si="14"/>
        <v>50634590</v>
      </c>
      <c r="P85" s="550"/>
      <c r="Q85" s="551"/>
    </row>
    <row r="86" spans="1:17" s="253" customFormat="1" ht="20.100000000000001" customHeight="1" x14ac:dyDescent="0.25">
      <c r="A86" s="253" t="str">
        <f t="shared" si="12"/>
        <v>1.72</v>
      </c>
      <c r="B86" s="584" t="str">
        <f>IF(LEN(A86)&gt;2,VLOOKUP(A86,COPY!$A$2:$O$1000,4,FALSE),"")</f>
        <v/>
      </c>
      <c r="C86" s="585" t="str">
        <f>IF(LEN(A86)&gt;2,VLOOKUP(A86,COPY!$A$2:$O$1000,15,FALSE),"")</f>
        <v/>
      </c>
      <c r="D86" s="542" t="str">
        <f>IF(LEN(A86)&gt;2,VLOOKUP(A86,COPY!$A$2:$O$1000,2,FALSE),"")</f>
        <v>Beli</v>
      </c>
      <c r="E86" s="607">
        <f>IF(LEN(A86)&gt;2,VLOOKUP(A86,COPY!$A$2:$O$1000,10,FALSE),"")</f>
        <v>5</v>
      </c>
      <c r="F86" s="542" t="str">
        <f>IF(LEN(A86)&gt;2,VLOOKUP(A86,COPY!$A$2:$O$1000,8,FALSE),"")</f>
        <v>Ljr</v>
      </c>
      <c r="G86" s="543" t="str">
        <f>IF(LEN(A86)&gt;2,VLOOKUP(A86,COPY!$A$2:$O$1000,7,FALSE),"")</f>
        <v>Pipa Pvc Rucika D 2 1/2"</v>
      </c>
      <c r="H86" s="544" t="str">
        <f t="shared" si="15"/>
        <v>@</v>
      </c>
      <c r="I86" s="545">
        <f>IFERROR(IF(LEN(A86)&gt;2,VLOOKUP(A86,COPY!$A$2:$O$1000,13,FALSE),"")/E86,"")</f>
        <v>78000</v>
      </c>
      <c r="J86" s="546"/>
      <c r="K86" s="547">
        <f t="shared" si="16"/>
        <v>390000</v>
      </c>
      <c r="L86" s="548">
        <f t="shared" si="13"/>
        <v>50244590</v>
      </c>
      <c r="M86" s="549">
        <f t="shared" si="11"/>
        <v>0</v>
      </c>
      <c r="O86" s="538">
        <f t="shared" si="14"/>
        <v>50244590</v>
      </c>
      <c r="P86" s="550"/>
      <c r="Q86" s="551"/>
    </row>
    <row r="87" spans="1:17" s="253" customFormat="1" ht="20.100000000000001" customHeight="1" x14ac:dyDescent="0.25">
      <c r="A87" s="253" t="str">
        <f t="shared" si="12"/>
        <v>1.73</v>
      </c>
      <c r="B87" s="584" t="str">
        <f>IF(LEN(A87)&gt;2,VLOOKUP(A87,COPY!$A$2:$O$1000,4,FALSE),"")</f>
        <v/>
      </c>
      <c r="C87" s="585" t="str">
        <f>IF(LEN(A87)&gt;2,VLOOKUP(A87,COPY!$A$2:$O$1000,15,FALSE),"")</f>
        <v/>
      </c>
      <c r="D87" s="542" t="str">
        <f>IF(LEN(A87)&gt;2,VLOOKUP(A87,COPY!$A$2:$O$1000,2,FALSE),"")</f>
        <v>Beli</v>
      </c>
      <c r="E87" s="607">
        <f>IF(LEN(A87)&gt;2,VLOOKUP(A87,COPY!$A$2:$O$1000,10,FALSE),"")</f>
        <v>5</v>
      </c>
      <c r="F87" s="542" t="str">
        <f>IF(LEN(A87)&gt;2,VLOOKUP(A87,COPY!$A$2:$O$1000,8,FALSE),"")</f>
        <v>Ljr</v>
      </c>
      <c r="G87" s="543" t="str">
        <f>IF(LEN(A87)&gt;2,VLOOKUP(A87,COPY!$A$2:$O$1000,7,FALSE),"")</f>
        <v>Pipa Pvc Rucika D 3"</v>
      </c>
      <c r="H87" s="544" t="str">
        <f t="shared" si="15"/>
        <v>@</v>
      </c>
      <c r="I87" s="545">
        <f>IFERROR(IF(LEN(A87)&gt;2,VLOOKUP(A87,COPY!$A$2:$O$1000,13,FALSE),"")/E87,"")</f>
        <v>115000</v>
      </c>
      <c r="J87" s="546"/>
      <c r="K87" s="547">
        <f t="shared" si="16"/>
        <v>575000</v>
      </c>
      <c r="L87" s="548">
        <f t="shared" si="13"/>
        <v>49669590</v>
      </c>
      <c r="M87" s="549">
        <f t="shared" si="11"/>
        <v>0</v>
      </c>
      <c r="O87" s="538">
        <f t="shared" si="14"/>
        <v>49669590</v>
      </c>
      <c r="P87" s="550"/>
      <c r="Q87" s="551"/>
    </row>
    <row r="88" spans="1:17" s="253" customFormat="1" ht="20.100000000000001" customHeight="1" x14ac:dyDescent="0.25">
      <c r="A88" s="253" t="str">
        <f t="shared" si="12"/>
        <v>1.74</v>
      </c>
      <c r="B88" s="584">
        <f>IF(LEN(A88)&gt;2,VLOOKUP(A88,COPY!$A$2:$O$1000,4,FALSE),"")</f>
        <v>45919</v>
      </c>
      <c r="C88" s="585" t="str">
        <f>IF(LEN(A88)&gt;2,VLOOKUP(A88,COPY!$A$2:$O$1000,15,FALSE),"")</f>
        <v>BKK.20</v>
      </c>
      <c r="D88" s="542" t="str">
        <f>IF(LEN(A88)&gt;2,VLOOKUP(A88,COPY!$A$2:$O$1000,2,FALSE),"")</f>
        <v>Beli</v>
      </c>
      <c r="E88" s="607">
        <f>IF(LEN(A88)&gt;2,VLOOKUP(A88,COPY!$A$2:$O$1000,10,FALSE),"")</f>
        <v>10</v>
      </c>
      <c r="F88" s="542" t="str">
        <f>IF(LEN(A88)&gt;2,VLOOKUP(A88,COPY!$A$2:$O$1000,8,FALSE),"")</f>
        <v>Ljr</v>
      </c>
      <c r="G88" s="543" t="str">
        <f>IF(LEN(A88)&gt;2,VLOOKUP(A88,COPY!$A$2:$O$1000,7,FALSE),"")</f>
        <v>Besi Sni 10.0</v>
      </c>
      <c r="H88" s="544" t="str">
        <f t="shared" si="15"/>
        <v>@</v>
      </c>
      <c r="I88" s="545">
        <f>IFERROR(IF(LEN(A88)&gt;2,VLOOKUP(A88,COPY!$A$2:$O$1000,13,FALSE),"")/E88,"")</f>
        <v>73000</v>
      </c>
      <c r="J88" s="546"/>
      <c r="K88" s="547">
        <f t="shared" si="16"/>
        <v>730000</v>
      </c>
      <c r="L88" s="548">
        <f t="shared" si="13"/>
        <v>48939590</v>
      </c>
      <c r="M88" s="549">
        <f t="shared" si="11"/>
        <v>0</v>
      </c>
      <c r="O88" s="538">
        <f t="shared" si="14"/>
        <v>48939590</v>
      </c>
      <c r="P88" s="550"/>
      <c r="Q88" s="551"/>
    </row>
    <row r="89" spans="1:17" s="253" customFormat="1" ht="20.100000000000001" customHeight="1" x14ac:dyDescent="0.25">
      <c r="A89" s="253" t="str">
        <f t="shared" si="12"/>
        <v>1.75</v>
      </c>
      <c r="B89" s="584" t="str">
        <f>IF(LEN(A89)&gt;2,VLOOKUP(A89,COPY!$A$2:$O$1000,4,FALSE),"")</f>
        <v/>
      </c>
      <c r="C89" s="585" t="str">
        <f>IF(LEN(A89)&gt;2,VLOOKUP(A89,COPY!$A$2:$O$1000,15,FALSE),"")</f>
        <v/>
      </c>
      <c r="D89" s="542" t="str">
        <f>IF(LEN(A89)&gt;2,VLOOKUP(A89,COPY!$A$2:$O$1000,2,FALSE),"")</f>
        <v>Beli</v>
      </c>
      <c r="E89" s="607">
        <f>IF(LEN(A89)&gt;2,VLOOKUP(A89,COPY!$A$2:$O$1000,10,FALSE),"")</f>
        <v>6</v>
      </c>
      <c r="F89" s="542" t="str">
        <f>IF(LEN(A89)&gt;2,VLOOKUP(A89,COPY!$A$2:$O$1000,8,FALSE),"")</f>
        <v>Sak</v>
      </c>
      <c r="G89" s="543" t="str">
        <f>IF(LEN(A89)&gt;2,VLOOKUP(A89,COPY!$A$2:$O$1000,7,FALSE),"")</f>
        <v>Semen Gresik 40Kg</v>
      </c>
      <c r="H89" s="544" t="str">
        <f t="shared" si="15"/>
        <v>@</v>
      </c>
      <c r="I89" s="545">
        <f>IFERROR(IF(LEN(A89)&gt;2,VLOOKUP(A89,COPY!$A$2:$O$1000,13,FALSE),"")/E89,"")</f>
        <v>58000</v>
      </c>
      <c r="J89" s="546"/>
      <c r="K89" s="547">
        <f t="shared" si="16"/>
        <v>348000</v>
      </c>
      <c r="L89" s="548">
        <f t="shared" si="13"/>
        <v>48591590</v>
      </c>
      <c r="M89" s="549">
        <f t="shared" si="11"/>
        <v>0</v>
      </c>
      <c r="O89" s="538">
        <f t="shared" si="14"/>
        <v>48591590</v>
      </c>
      <c r="P89" s="550"/>
      <c r="Q89" s="551"/>
    </row>
    <row r="90" spans="1:17" s="253" customFormat="1" ht="20.100000000000001" customHeight="1" x14ac:dyDescent="0.25">
      <c r="A90" s="253" t="str">
        <f t="shared" si="12"/>
        <v>1.76</v>
      </c>
      <c r="B90" s="584" t="str">
        <f>IF(LEN(A90)&gt;2,VLOOKUP(A90,COPY!$A$2:$O$1000,4,FALSE),"")</f>
        <v/>
      </c>
      <c r="C90" s="585" t="str">
        <f>IF(LEN(A90)&gt;2,VLOOKUP(A90,COPY!$A$2:$O$1000,15,FALSE),"")</f>
        <v/>
      </c>
      <c r="D90" s="542" t="str">
        <f>IF(LEN(A90)&gt;2,VLOOKUP(A90,COPY!$A$2:$O$1000,2,FALSE),"")</f>
        <v>Beli</v>
      </c>
      <c r="E90" s="607">
        <f>IF(LEN(A90)&gt;2,VLOOKUP(A90,COPY!$A$2:$O$1000,10,FALSE),"")</f>
        <v>3</v>
      </c>
      <c r="F90" s="542" t="str">
        <f>IF(LEN(A90)&gt;2,VLOOKUP(A90,COPY!$A$2:$O$1000,8,FALSE),"")</f>
        <v>Ljr</v>
      </c>
      <c r="G90" s="543" t="str">
        <f>IF(LEN(A90)&gt;2,VLOOKUP(A90,COPY!$A$2:$O$1000,7,FALSE),"")</f>
        <v>Pipa Pvc Rucika D 3"</v>
      </c>
      <c r="H90" s="544" t="str">
        <f t="shared" si="15"/>
        <v>@</v>
      </c>
      <c r="I90" s="545">
        <f>IFERROR(IF(LEN(A90)&gt;2,VLOOKUP(A90,COPY!$A$2:$O$1000,13,FALSE),"")/E90,"")</f>
        <v>115000</v>
      </c>
      <c r="J90" s="546"/>
      <c r="K90" s="547">
        <f t="shared" si="16"/>
        <v>345000</v>
      </c>
      <c r="L90" s="548">
        <f t="shared" si="13"/>
        <v>48246590</v>
      </c>
      <c r="M90" s="549">
        <f t="shared" si="11"/>
        <v>0</v>
      </c>
      <c r="O90" s="538">
        <f t="shared" si="14"/>
        <v>48246590</v>
      </c>
      <c r="P90" s="550"/>
      <c r="Q90" s="551"/>
    </row>
    <row r="91" spans="1:17" s="253" customFormat="1" ht="20.100000000000001" customHeight="1" x14ac:dyDescent="0.25">
      <c r="A91" s="253" t="str">
        <f t="shared" si="12"/>
        <v>1.77</v>
      </c>
      <c r="B91" s="584" t="str">
        <f>IF(LEN(A91)&gt;2,VLOOKUP(A91,COPY!$A$2:$O$1000,4,FALSE),"")</f>
        <v/>
      </c>
      <c r="C91" s="585" t="str">
        <f>IF(LEN(A91)&gt;2,VLOOKUP(A91,COPY!$A$2:$O$1000,15,FALSE),"")</f>
        <v/>
      </c>
      <c r="D91" s="542" t="str">
        <f>IF(LEN(A91)&gt;2,VLOOKUP(A91,COPY!$A$2:$O$1000,2,FALSE),"")</f>
        <v>Beli</v>
      </c>
      <c r="E91" s="607">
        <f>IF(LEN(A91)&gt;2,VLOOKUP(A91,COPY!$A$2:$O$1000,10,FALSE),"")</f>
        <v>1</v>
      </c>
      <c r="F91" s="542" t="str">
        <f>IF(LEN(A91)&gt;2,VLOOKUP(A91,COPY!$A$2:$O$1000,8,FALSE),"")</f>
        <v>Ljr</v>
      </c>
      <c r="G91" s="543" t="str">
        <f>IF(LEN(A91)&gt;2,VLOOKUP(A91,COPY!$A$2:$O$1000,7,FALSE),"")</f>
        <v>Pipa Pvc Rucika D 4"</v>
      </c>
      <c r="H91" s="544" t="str">
        <f t="shared" si="15"/>
        <v>@</v>
      </c>
      <c r="I91" s="545">
        <f>IFERROR(IF(LEN(A91)&gt;2,VLOOKUP(A91,COPY!$A$2:$O$1000,13,FALSE),"")/E91,"")</f>
        <v>158000</v>
      </c>
      <c r="J91" s="546"/>
      <c r="K91" s="547">
        <f t="shared" si="16"/>
        <v>158000</v>
      </c>
      <c r="L91" s="548">
        <f t="shared" si="13"/>
        <v>48088590</v>
      </c>
      <c r="M91" s="549">
        <f t="shared" si="11"/>
        <v>0</v>
      </c>
      <c r="O91" s="538">
        <f t="shared" si="14"/>
        <v>48088590</v>
      </c>
      <c r="P91" s="550"/>
      <c r="Q91" s="551"/>
    </row>
    <row r="92" spans="1:17" s="253" customFormat="1" ht="20.100000000000001" customHeight="1" x14ac:dyDescent="0.25">
      <c r="A92" s="253" t="str">
        <f t="shared" si="12"/>
        <v>1.78</v>
      </c>
      <c r="B92" s="584">
        <f>IF(LEN(A92)&gt;2,VLOOKUP(A92,COPY!$A$2:$O$1000,4,FALSE),"")</f>
        <v>45920</v>
      </c>
      <c r="C92" s="585" t="str">
        <f>IF(LEN(A92)&gt;2,VLOOKUP(A92,COPY!$A$2:$O$1000,15,FALSE),"")</f>
        <v>BKK.21</v>
      </c>
      <c r="D92" s="542" t="str">
        <f>IF(LEN(A92)&gt;2,VLOOKUP(A92,COPY!$A$2:$O$1000,2,FALSE),"")</f>
        <v>Beli</v>
      </c>
      <c r="E92" s="607">
        <f>IF(LEN(A92)&gt;2,VLOOKUP(A92,COPY!$A$2:$O$1000,10,FALSE),"")</f>
        <v>30</v>
      </c>
      <c r="F92" s="542" t="str">
        <f>IF(LEN(A92)&gt;2,VLOOKUP(A92,COPY!$A$2:$O$1000,8,FALSE),"")</f>
        <v>Sak</v>
      </c>
      <c r="G92" s="543" t="str">
        <f>IF(LEN(A92)&gt;2,VLOOKUP(A92,COPY!$A$2:$O$1000,7,FALSE),"")</f>
        <v>Semen Gresik 40Kg</v>
      </c>
      <c r="H92" s="544" t="str">
        <f t="shared" si="15"/>
        <v>@</v>
      </c>
      <c r="I92" s="545">
        <f>IFERROR(IF(LEN(A92)&gt;2,VLOOKUP(A92,COPY!$A$2:$O$1000,13,FALSE),"")/E92,"")</f>
        <v>58000</v>
      </c>
      <c r="J92" s="546"/>
      <c r="K92" s="547">
        <f t="shared" si="16"/>
        <v>1740000</v>
      </c>
      <c r="L92" s="548">
        <f t="shared" si="13"/>
        <v>46348590</v>
      </c>
      <c r="M92" s="549">
        <f t="shared" si="11"/>
        <v>0</v>
      </c>
      <c r="O92" s="538">
        <f t="shared" si="14"/>
        <v>46348590</v>
      </c>
      <c r="P92" s="550"/>
      <c r="Q92" s="551"/>
    </row>
    <row r="93" spans="1:17" s="253" customFormat="1" ht="20.100000000000001" customHeight="1" x14ac:dyDescent="0.25">
      <c r="A93" s="253" t="str">
        <f t="shared" si="12"/>
        <v>1.79</v>
      </c>
      <c r="B93" s="584">
        <f>IF(LEN(A93)&gt;2,VLOOKUP(A93,COPY!$A$2:$O$1000,4,FALSE),"")</f>
        <v>45920</v>
      </c>
      <c r="C93" s="585" t="str">
        <f>IF(LEN(A93)&gt;2,VLOOKUP(A93,COPY!$A$2:$O$1000,15,FALSE),"")</f>
        <v>BKK.22</v>
      </c>
      <c r="D93" s="542" t="str">
        <f>IF(LEN(A93)&gt;2,VLOOKUP(A93,COPY!$A$2:$O$1000,2,FALSE),"")</f>
        <v>Bayar Ongkos</v>
      </c>
      <c r="E93" s="607">
        <f>IF(LEN(A93)&gt;2,VLOOKUP(A93,COPY!$A$2:$O$1000,10,FALSE),"")</f>
        <v>1</v>
      </c>
      <c r="F93" s="542">
        <f>IF(LEN(A93)&gt;2,VLOOKUP(A93,COPY!$A$2:$O$1000,8,FALSE),"")</f>
        <v>0</v>
      </c>
      <c r="G93" s="543" t="str">
        <f>IF(LEN(A93)&gt;2,VLOOKUP(A93,COPY!$A$2:$O$1000,7,FALSE),"")</f>
        <v>Pembayaran Pekerja Minggu Ke 3</v>
      </c>
      <c r="H93" s="544" t="str">
        <f t="shared" si="15"/>
        <v/>
      </c>
      <c r="I93" s="545">
        <f>IFERROR(IF(LEN(A93)&gt;2,VLOOKUP(A93,COPY!$A$2:$O$1000,13,FALSE),"")/E93,"")</f>
        <v>5580000</v>
      </c>
      <c r="J93" s="546"/>
      <c r="K93" s="547">
        <f t="shared" si="16"/>
        <v>5580000</v>
      </c>
      <c r="L93" s="548">
        <f t="shared" si="13"/>
        <v>40768590</v>
      </c>
      <c r="M93" s="549">
        <f t="shared" si="11"/>
        <v>0</v>
      </c>
      <c r="O93" s="538">
        <f t="shared" si="14"/>
        <v>40768590</v>
      </c>
      <c r="P93" s="550"/>
      <c r="Q93" s="551"/>
    </row>
    <row r="94" spans="1:17" s="253" customFormat="1" ht="20.100000000000001" customHeight="1" x14ac:dyDescent="0.25">
      <c r="A94" s="253" t="str">
        <f t="shared" si="12"/>
        <v>1.80</v>
      </c>
      <c r="B94" s="584">
        <f>IF(LEN(A94)&gt;2,VLOOKUP(A94,COPY!$A$2:$O$1000,4,FALSE),"")</f>
        <v>45922</v>
      </c>
      <c r="C94" s="585" t="str">
        <f>IF(LEN(A94)&gt;2,VLOOKUP(A94,COPY!$A$2:$O$1000,15,FALSE),"")</f>
        <v>BKK.23</v>
      </c>
      <c r="D94" s="542" t="str">
        <f>IF(LEN(A94)&gt;2,VLOOKUP(A94,COPY!$A$2:$O$1000,2,FALSE),"")</f>
        <v>Beli</v>
      </c>
      <c r="E94" s="607">
        <f>IF(LEN(A94)&gt;2,VLOOKUP(A94,COPY!$A$2:$O$1000,10,FALSE),"")</f>
        <v>6</v>
      </c>
      <c r="F94" s="542" t="str">
        <f>IF(LEN(A94)&gt;2,VLOOKUP(A94,COPY!$A$2:$O$1000,8,FALSE),"")</f>
        <v>Lbr</v>
      </c>
      <c r="G94" s="543" t="str">
        <f>IF(LEN(A94)&gt;2,VLOOKUP(A94,COPY!$A$2:$O$1000,7,FALSE),"")</f>
        <v>Triplek 9Mm</v>
      </c>
      <c r="H94" s="544" t="str">
        <f t="shared" si="15"/>
        <v>@</v>
      </c>
      <c r="I94" s="545">
        <f>IFERROR(IF(LEN(A94)&gt;2,VLOOKUP(A94,COPY!$A$2:$O$1000,13,FALSE),"")/E94,"")</f>
        <v>93000</v>
      </c>
      <c r="J94" s="546"/>
      <c r="K94" s="547">
        <f t="shared" si="16"/>
        <v>558000</v>
      </c>
      <c r="L94" s="548">
        <f t="shared" si="13"/>
        <v>40210590</v>
      </c>
      <c r="M94" s="549">
        <f t="shared" si="11"/>
        <v>0</v>
      </c>
      <c r="O94" s="538">
        <f t="shared" si="14"/>
        <v>40210590</v>
      </c>
      <c r="P94" s="550"/>
      <c r="Q94" s="551"/>
    </row>
    <row r="95" spans="1:17" s="253" customFormat="1" ht="20.100000000000001" customHeight="1" x14ac:dyDescent="0.25">
      <c r="A95" s="253" t="str">
        <f t="shared" si="12"/>
        <v>1.81</v>
      </c>
      <c r="B95" s="584" t="str">
        <f>IF(LEN(A95)&gt;2,VLOOKUP(A95,COPY!$A$2:$O$1000,4,FALSE),"")</f>
        <v/>
      </c>
      <c r="C95" s="585" t="str">
        <f>IF(LEN(A95)&gt;2,VLOOKUP(A95,COPY!$A$2:$O$1000,15,FALSE),"")</f>
        <v/>
      </c>
      <c r="D95" s="542" t="str">
        <f>IF(LEN(A95)&gt;2,VLOOKUP(A95,COPY!$A$2:$O$1000,2,FALSE),"")</f>
        <v>Beli</v>
      </c>
      <c r="E95" s="607">
        <f>IF(LEN(A95)&gt;2,VLOOKUP(A95,COPY!$A$2:$O$1000,10,FALSE),"")</f>
        <v>2</v>
      </c>
      <c r="F95" s="542" t="str">
        <f>IF(LEN(A95)&gt;2,VLOOKUP(A95,COPY!$A$2:$O$1000,8,FALSE),"")</f>
        <v>Pik Up</v>
      </c>
      <c r="G95" s="543" t="str">
        <f>IF(LEN(A95)&gt;2,VLOOKUP(A95,COPY!$A$2:$O$1000,7,FALSE),"")</f>
        <v>Pasir Cor L300</v>
      </c>
      <c r="H95" s="544" t="str">
        <f t="shared" si="15"/>
        <v>@</v>
      </c>
      <c r="I95" s="545">
        <f>IFERROR(IF(LEN(A95)&gt;2,VLOOKUP(A95,COPY!$A$2:$O$1000,13,FALSE),"")/E95,"")</f>
        <v>335000</v>
      </c>
      <c r="J95" s="546"/>
      <c r="K95" s="547">
        <f t="shared" si="16"/>
        <v>670000</v>
      </c>
      <c r="L95" s="548">
        <f t="shared" si="13"/>
        <v>39540590</v>
      </c>
      <c r="M95" s="549">
        <f t="shared" si="11"/>
        <v>0</v>
      </c>
      <c r="O95" s="538">
        <f t="shared" si="14"/>
        <v>39540590</v>
      </c>
      <c r="P95" s="550"/>
      <c r="Q95" s="551"/>
    </row>
    <row r="96" spans="1:17" s="253" customFormat="1" ht="20.100000000000001" customHeight="1" x14ac:dyDescent="0.25">
      <c r="A96" s="253" t="str">
        <f t="shared" si="12"/>
        <v>1.82</v>
      </c>
      <c r="B96" s="584" t="str">
        <f>IF(LEN(A96)&gt;2,VLOOKUP(A96,COPY!$A$2:$O$1000,4,FALSE),"")</f>
        <v/>
      </c>
      <c r="C96" s="585" t="str">
        <f>IF(LEN(A96)&gt;2,VLOOKUP(A96,COPY!$A$2:$O$1000,15,FALSE),"")</f>
        <v/>
      </c>
      <c r="D96" s="542" t="str">
        <f>IF(LEN(A96)&gt;2,VLOOKUP(A96,COPY!$A$2:$O$1000,2,FALSE),"")</f>
        <v>Beli</v>
      </c>
      <c r="E96" s="607">
        <f>IF(LEN(A96)&gt;2,VLOOKUP(A96,COPY!$A$2:$O$1000,10,FALSE),"")</f>
        <v>10</v>
      </c>
      <c r="F96" s="542" t="str">
        <f>IF(LEN(A96)&gt;2,VLOOKUP(A96,COPY!$A$2:$O$1000,8,FALSE),"")</f>
        <v>Ljr</v>
      </c>
      <c r="G96" s="543" t="str">
        <f>IF(LEN(A96)&gt;2,VLOOKUP(A96,COPY!$A$2:$O$1000,7,FALSE),"")</f>
        <v>Besi 6.0 Sni</v>
      </c>
      <c r="H96" s="544" t="str">
        <f t="shared" si="15"/>
        <v>@</v>
      </c>
      <c r="I96" s="545">
        <f>IFERROR(IF(LEN(A96)&gt;2,VLOOKUP(A96,COPY!$A$2:$O$1000,13,FALSE),"")/E96,"")</f>
        <v>28000</v>
      </c>
      <c r="J96" s="546"/>
      <c r="K96" s="547">
        <f t="shared" si="16"/>
        <v>280000</v>
      </c>
      <c r="L96" s="548">
        <f t="shared" si="13"/>
        <v>39260590</v>
      </c>
      <c r="M96" s="549">
        <f t="shared" si="11"/>
        <v>0</v>
      </c>
      <c r="O96" s="538">
        <f t="shared" si="14"/>
        <v>39260590</v>
      </c>
      <c r="P96" s="550"/>
      <c r="Q96" s="551"/>
    </row>
    <row r="97" spans="1:17" s="253" customFormat="1" ht="20.100000000000001" customHeight="1" x14ac:dyDescent="0.25">
      <c r="A97" s="253" t="str">
        <f t="shared" si="12"/>
        <v>1.83</v>
      </c>
      <c r="B97" s="584" t="str">
        <f>IF(LEN(A97)&gt;2,VLOOKUP(A97,COPY!$A$2:$O$1000,4,FALSE),"")</f>
        <v/>
      </c>
      <c r="C97" s="585" t="str">
        <f>IF(LEN(A97)&gt;2,VLOOKUP(A97,COPY!$A$2:$O$1000,15,FALSE),"")</f>
        <v/>
      </c>
      <c r="D97" s="542" t="str">
        <f>IF(LEN(A97)&gt;2,VLOOKUP(A97,COPY!$A$2:$O$1000,2,FALSE),"")</f>
        <v>Beli</v>
      </c>
      <c r="E97" s="607">
        <f>IF(LEN(A97)&gt;2,VLOOKUP(A97,COPY!$A$2:$O$1000,10,FALSE),"")</f>
        <v>8</v>
      </c>
      <c r="F97" s="542" t="str">
        <f>IF(LEN(A97)&gt;2,VLOOKUP(A97,COPY!$A$2:$O$1000,8,FALSE),"")</f>
        <v>Sak</v>
      </c>
      <c r="G97" s="543" t="str">
        <f>IF(LEN(A97)&gt;2,VLOOKUP(A97,COPY!$A$2:$O$1000,7,FALSE),"")</f>
        <v>Semen 3 Roda</v>
      </c>
      <c r="H97" s="544" t="str">
        <f t="shared" si="15"/>
        <v>@</v>
      </c>
      <c r="I97" s="545">
        <f>IFERROR(IF(LEN(A97)&gt;2,VLOOKUP(A97,COPY!$A$2:$O$1000,13,FALSE),"")/E97,"")</f>
        <v>52000</v>
      </c>
      <c r="J97" s="546"/>
      <c r="K97" s="547">
        <f t="shared" si="16"/>
        <v>416000</v>
      </c>
      <c r="L97" s="548">
        <f t="shared" si="13"/>
        <v>38844590</v>
      </c>
      <c r="M97" s="549">
        <f t="shared" si="11"/>
        <v>0</v>
      </c>
      <c r="O97" s="538">
        <f t="shared" si="14"/>
        <v>38844590</v>
      </c>
      <c r="P97" s="550"/>
      <c r="Q97" s="551"/>
    </row>
    <row r="98" spans="1:17" s="253" customFormat="1" ht="20.100000000000001" customHeight="1" x14ac:dyDescent="0.25">
      <c r="A98" s="253" t="str">
        <f t="shared" si="12"/>
        <v>1.84</v>
      </c>
      <c r="B98" s="584">
        <f>IF(LEN(A98)&gt;2,VLOOKUP(A98,COPY!$A$2:$O$1000,4,FALSE),"")</f>
        <v>45923</v>
      </c>
      <c r="C98" s="585" t="str">
        <f>IF(LEN(A98)&gt;2,VLOOKUP(A98,COPY!$A$2:$O$1000,15,FALSE),"")</f>
        <v>BKK.24</v>
      </c>
      <c r="D98" s="542" t="str">
        <f>IF(LEN(A98)&gt;2,VLOOKUP(A98,COPY!$A$2:$O$1000,2,FALSE),"")</f>
        <v>Beli</v>
      </c>
      <c r="E98" s="607">
        <f>IF(LEN(A98)&gt;2,VLOOKUP(A98,COPY!$A$2:$O$1000,10,FALSE),"")</f>
        <v>1000</v>
      </c>
      <c r="F98" s="542" t="str">
        <f>IF(LEN(A98)&gt;2,VLOOKUP(A98,COPY!$A$2:$O$1000,8,FALSE),"")</f>
        <v>Bji</v>
      </c>
      <c r="G98" s="543" t="str">
        <f>IF(LEN(A98)&gt;2,VLOOKUP(A98,COPY!$A$2:$O$1000,7,FALSE),"")</f>
        <v>Bata Merah Super</v>
      </c>
      <c r="H98" s="544" t="str">
        <f t="shared" si="15"/>
        <v>@</v>
      </c>
      <c r="I98" s="545">
        <f>IFERROR(IF(LEN(A98)&gt;2,VLOOKUP(A98,COPY!$A$2:$O$1000,13,FALSE),"")/E98,"")</f>
        <v>550</v>
      </c>
      <c r="J98" s="546"/>
      <c r="K98" s="547">
        <f t="shared" si="16"/>
        <v>550000</v>
      </c>
      <c r="L98" s="548">
        <f t="shared" si="13"/>
        <v>38294590</v>
      </c>
      <c r="M98" s="549">
        <f t="shared" si="11"/>
        <v>0</v>
      </c>
      <c r="O98" s="538">
        <f t="shared" si="14"/>
        <v>38294590</v>
      </c>
      <c r="P98" s="550"/>
      <c r="Q98" s="551"/>
    </row>
    <row r="99" spans="1:17" s="253" customFormat="1" ht="20.100000000000001" customHeight="1" x14ac:dyDescent="0.25">
      <c r="A99" s="253" t="str">
        <f t="shared" si="12"/>
        <v>1.85</v>
      </c>
      <c r="B99" s="584" t="str">
        <f>IF(LEN(A99)&gt;2,VLOOKUP(A99,COPY!$A$2:$O$1000,4,FALSE),"")</f>
        <v/>
      </c>
      <c r="C99" s="585" t="str">
        <f>IF(LEN(A99)&gt;2,VLOOKUP(A99,COPY!$A$2:$O$1000,15,FALSE),"")</f>
        <v/>
      </c>
      <c r="D99" s="542" t="str">
        <f>IF(LEN(A99)&gt;2,VLOOKUP(A99,COPY!$A$2:$O$1000,2,FALSE),"")</f>
        <v>Beli</v>
      </c>
      <c r="E99" s="607">
        <f>IF(LEN(A99)&gt;2,VLOOKUP(A99,COPY!$A$2:$O$1000,10,FALSE),"")</f>
        <v>2</v>
      </c>
      <c r="F99" s="542" t="str">
        <f>IF(LEN(A99)&gt;2,VLOOKUP(A99,COPY!$A$2:$O$1000,8,FALSE),"")</f>
        <v>m3</v>
      </c>
      <c r="G99" s="543" t="str">
        <f>IF(LEN(A99)&gt;2,VLOOKUP(A99,COPY!$A$2:$O$1000,7,FALSE),"")</f>
        <v>Bata Ringan Vocon 10 Cm</v>
      </c>
      <c r="H99" s="544" t="str">
        <f t="shared" si="15"/>
        <v>@</v>
      </c>
      <c r="I99" s="545">
        <f>IFERROR(IF(LEN(A99)&gt;2,VLOOKUP(A99,COPY!$A$2:$O$1000,13,FALSE),"")/E99,"")</f>
        <v>560000</v>
      </c>
      <c r="J99" s="546"/>
      <c r="K99" s="547">
        <f t="shared" si="16"/>
        <v>1120000</v>
      </c>
      <c r="L99" s="548">
        <f t="shared" si="13"/>
        <v>37174590</v>
      </c>
      <c r="M99" s="549">
        <f t="shared" si="11"/>
        <v>0</v>
      </c>
      <c r="O99" s="538">
        <f t="shared" si="14"/>
        <v>37174590</v>
      </c>
      <c r="P99" s="550"/>
      <c r="Q99" s="551"/>
    </row>
    <row r="100" spans="1:17" s="253" customFormat="1" ht="20.100000000000001" customHeight="1" x14ac:dyDescent="0.25">
      <c r="A100" s="253" t="str">
        <f t="shared" si="12"/>
        <v>1.86</v>
      </c>
      <c r="B100" s="584" t="str">
        <f>IF(LEN(A100)&gt;2,VLOOKUP(A100,COPY!$A$2:$O$1000,4,FALSE),"")</f>
        <v/>
      </c>
      <c r="C100" s="585" t="str">
        <f>IF(LEN(A100)&gt;2,VLOOKUP(A100,COPY!$A$2:$O$1000,15,FALSE),"")</f>
        <v/>
      </c>
      <c r="D100" s="542" t="str">
        <f>IF(LEN(A100)&gt;2,VLOOKUP(A100,COPY!$A$2:$O$1000,2,FALSE),"")</f>
        <v>Beli</v>
      </c>
      <c r="E100" s="607">
        <f>IF(LEN(A100)&gt;2,VLOOKUP(A100,COPY!$A$2:$O$1000,10,FALSE),"")</f>
        <v>4</v>
      </c>
      <c r="F100" s="542" t="str">
        <f>IF(LEN(A100)&gt;2,VLOOKUP(A100,COPY!$A$2:$O$1000,8,FALSE),"")</f>
        <v>Sak</v>
      </c>
      <c r="G100" s="543" t="str">
        <f>IF(LEN(A100)&gt;2,VLOOKUP(A100,COPY!$A$2:$O$1000,7,FALSE),"")</f>
        <v>Drymix Perekat Bata Ringan</v>
      </c>
      <c r="H100" s="544" t="str">
        <f t="shared" si="15"/>
        <v>@</v>
      </c>
      <c r="I100" s="545">
        <f>IFERROR(IF(LEN(A100)&gt;2,VLOOKUP(A100,COPY!$A$2:$O$1000,13,FALSE),"")/E100,"")</f>
        <v>70000</v>
      </c>
      <c r="J100" s="546"/>
      <c r="K100" s="547">
        <f t="shared" si="16"/>
        <v>280000</v>
      </c>
      <c r="L100" s="548">
        <f t="shared" si="13"/>
        <v>36894590</v>
      </c>
      <c r="M100" s="549">
        <f t="shared" si="11"/>
        <v>0</v>
      </c>
      <c r="O100" s="538">
        <f t="shared" si="14"/>
        <v>36894590</v>
      </c>
      <c r="P100" s="550"/>
      <c r="Q100" s="551"/>
    </row>
    <row r="101" spans="1:17" s="253" customFormat="1" ht="20.100000000000001" customHeight="1" x14ac:dyDescent="0.25">
      <c r="A101" s="253" t="str">
        <f t="shared" si="12"/>
        <v>1.87</v>
      </c>
      <c r="B101" s="584">
        <f>IF(LEN(A101)&gt;2,VLOOKUP(A101,COPY!$A$2:$O$1000,4,FALSE),"")</f>
        <v>45924</v>
      </c>
      <c r="C101" s="585" t="str">
        <f>IF(LEN(A101)&gt;2,VLOOKUP(A101,COPY!$A$2:$O$1000,15,FALSE),"")</f>
        <v>BKK.25</v>
      </c>
      <c r="D101" s="542" t="str">
        <f>IF(LEN(A101)&gt;2,VLOOKUP(A101,COPY!$A$2:$O$1000,2,FALSE),"")</f>
        <v>Beli</v>
      </c>
      <c r="E101" s="607">
        <f>IF(LEN(A101)&gt;2,VLOOKUP(A101,COPY!$A$2:$O$1000,10,FALSE),"")</f>
        <v>2</v>
      </c>
      <c r="F101" s="542" t="str">
        <f>IF(LEN(A101)&gt;2,VLOOKUP(A101,COPY!$A$2:$O$1000,8,FALSE),"")</f>
        <v>m3</v>
      </c>
      <c r="G101" s="543" t="str">
        <f>IF(LEN(A101)&gt;2,VLOOKUP(A101,COPY!$A$2:$O$1000,7,FALSE),"")</f>
        <v>Bata Ringan Vocon 10 Cm</v>
      </c>
      <c r="H101" s="544" t="str">
        <f t="shared" si="15"/>
        <v>@</v>
      </c>
      <c r="I101" s="545">
        <f>IFERROR(IF(LEN(A101)&gt;2,VLOOKUP(A101,COPY!$A$2:$O$1000,13,FALSE),"")/E101,"")</f>
        <v>560000</v>
      </c>
      <c r="J101" s="546"/>
      <c r="K101" s="547">
        <f t="shared" si="16"/>
        <v>1120000</v>
      </c>
      <c r="L101" s="548">
        <f t="shared" si="13"/>
        <v>35774590</v>
      </c>
      <c r="M101" s="549">
        <f t="shared" si="11"/>
        <v>0</v>
      </c>
      <c r="O101" s="538">
        <f t="shared" si="14"/>
        <v>35774590</v>
      </c>
      <c r="P101" s="550"/>
      <c r="Q101" s="551"/>
    </row>
    <row r="102" spans="1:17" s="253" customFormat="1" ht="20.100000000000001" customHeight="1" x14ac:dyDescent="0.25">
      <c r="A102" s="253" t="str">
        <f t="shared" si="12"/>
        <v>1.88</v>
      </c>
      <c r="B102" s="584" t="str">
        <f>IF(LEN(A102)&gt;2,VLOOKUP(A102,COPY!$A$2:$O$1000,4,FALSE),"")</f>
        <v/>
      </c>
      <c r="C102" s="585" t="str">
        <f>IF(LEN(A102)&gt;2,VLOOKUP(A102,COPY!$A$2:$O$1000,15,FALSE),"")</f>
        <v/>
      </c>
      <c r="D102" s="542" t="str">
        <f>IF(LEN(A102)&gt;2,VLOOKUP(A102,COPY!$A$2:$O$1000,2,FALSE),"")</f>
        <v>Beli</v>
      </c>
      <c r="E102" s="607">
        <f>IF(LEN(A102)&gt;2,VLOOKUP(A102,COPY!$A$2:$O$1000,10,FALSE),"")</f>
        <v>4</v>
      </c>
      <c r="F102" s="542" t="str">
        <f>IF(LEN(A102)&gt;2,VLOOKUP(A102,COPY!$A$2:$O$1000,8,FALSE),"")</f>
        <v>Sak</v>
      </c>
      <c r="G102" s="543" t="str">
        <f>IF(LEN(A102)&gt;2,VLOOKUP(A102,COPY!$A$2:$O$1000,7,FALSE),"")</f>
        <v>Drymix Perekat Bata Ringan</v>
      </c>
      <c r="H102" s="544" t="str">
        <f t="shared" si="15"/>
        <v>@</v>
      </c>
      <c r="I102" s="545">
        <f>IFERROR(IF(LEN(A102)&gt;2,VLOOKUP(A102,COPY!$A$2:$O$1000,13,FALSE),"")/E102,"")</f>
        <v>70000</v>
      </c>
      <c r="J102" s="546"/>
      <c r="K102" s="547">
        <f t="shared" si="16"/>
        <v>280000</v>
      </c>
      <c r="L102" s="548">
        <f t="shared" si="13"/>
        <v>35494590</v>
      </c>
      <c r="M102" s="549">
        <f t="shared" si="11"/>
        <v>0</v>
      </c>
      <c r="O102" s="538">
        <f t="shared" si="14"/>
        <v>35494590</v>
      </c>
      <c r="P102" s="550"/>
      <c r="Q102" s="551"/>
    </row>
    <row r="103" spans="1:17" s="253" customFormat="1" ht="20.100000000000001" customHeight="1" x14ac:dyDescent="0.25">
      <c r="A103" s="253" t="str">
        <f t="shared" si="12"/>
        <v>1.89</v>
      </c>
      <c r="B103" s="584">
        <f>IF(LEN(A103)&gt;2,VLOOKUP(A103,COPY!$A$2:$O$1000,4,FALSE),"")</f>
        <v>45925</v>
      </c>
      <c r="C103" s="585" t="str">
        <f>IF(LEN(A103)&gt;2,VLOOKUP(A103,COPY!$A$2:$O$1000,15,FALSE),"")</f>
        <v>BKK.26</v>
      </c>
      <c r="D103" s="542" t="str">
        <f>IF(LEN(A103)&gt;2,VLOOKUP(A103,COPY!$A$2:$O$1000,2,FALSE),"")</f>
        <v>Beli</v>
      </c>
      <c r="E103" s="607">
        <f>IF(LEN(A103)&gt;2,VLOOKUP(A103,COPY!$A$2:$O$1000,10,FALSE),"")</f>
        <v>2</v>
      </c>
      <c r="F103" s="542" t="str">
        <f>IF(LEN(A103)&gt;2,VLOOKUP(A103,COPY!$A$2:$O$1000,8,FALSE),"")</f>
        <v>Pik Up</v>
      </c>
      <c r="G103" s="543" t="str">
        <f>IF(LEN(A103)&gt;2,VLOOKUP(A103,COPY!$A$2:$O$1000,7,FALSE),"")</f>
        <v>Pasir Biasa L300</v>
      </c>
      <c r="H103" s="544" t="str">
        <f t="shared" si="15"/>
        <v>@</v>
      </c>
      <c r="I103" s="545">
        <f>IFERROR(IF(LEN(A103)&gt;2,VLOOKUP(A103,COPY!$A$2:$O$1000,13,FALSE),"")/E103,"")</f>
        <v>230000</v>
      </c>
      <c r="J103" s="546"/>
      <c r="K103" s="547">
        <f t="shared" si="16"/>
        <v>460000</v>
      </c>
      <c r="L103" s="548">
        <f t="shared" si="13"/>
        <v>35034590</v>
      </c>
      <c r="M103" s="549">
        <f t="shared" si="11"/>
        <v>0</v>
      </c>
      <c r="O103" s="538">
        <f t="shared" si="14"/>
        <v>35034590</v>
      </c>
      <c r="P103" s="550"/>
      <c r="Q103" s="551"/>
    </row>
    <row r="104" spans="1:17" s="253" customFormat="1" ht="20.100000000000001" customHeight="1" x14ac:dyDescent="0.25">
      <c r="A104" s="253" t="str">
        <f t="shared" si="12"/>
        <v>1.90</v>
      </c>
      <c r="B104" s="584" t="str">
        <f>IF(LEN(A104)&gt;2,VLOOKUP(A104,COPY!$A$2:$O$1000,4,FALSE),"")</f>
        <v/>
      </c>
      <c r="C104" s="585" t="str">
        <f>IF(LEN(A104)&gt;2,VLOOKUP(A104,COPY!$A$2:$O$1000,15,FALSE),"")</f>
        <v/>
      </c>
      <c r="D104" s="542" t="str">
        <f>IF(LEN(A104)&gt;2,VLOOKUP(A104,COPY!$A$2:$O$1000,2,FALSE),"")</f>
        <v>Beli</v>
      </c>
      <c r="E104" s="607">
        <f>IF(LEN(A104)&gt;2,VLOOKUP(A104,COPY!$A$2:$O$1000,10,FALSE),"")</f>
        <v>6</v>
      </c>
      <c r="F104" s="542" t="str">
        <f>IF(LEN(A104)&gt;2,VLOOKUP(A104,COPY!$A$2:$O$1000,8,FALSE),"")</f>
        <v>Pcs</v>
      </c>
      <c r="G104" s="543" t="str">
        <f>IF(LEN(A104)&gt;2,VLOOKUP(A104,COPY!$A$2:$O$1000,7,FALSE),"")</f>
        <v>Wd Potong Bosch</v>
      </c>
      <c r="H104" s="544" t="str">
        <f t="shared" si="15"/>
        <v>@</v>
      </c>
      <c r="I104" s="545">
        <f>IFERROR(IF(LEN(A104)&gt;2,VLOOKUP(A104,COPY!$A$2:$O$1000,13,FALSE),"")/E104,"")</f>
        <v>3500</v>
      </c>
      <c r="J104" s="546"/>
      <c r="K104" s="547">
        <f t="shared" si="16"/>
        <v>21000</v>
      </c>
      <c r="L104" s="548">
        <f t="shared" si="13"/>
        <v>35013590</v>
      </c>
      <c r="M104" s="549">
        <f t="shared" si="11"/>
        <v>0</v>
      </c>
      <c r="O104" s="538">
        <f t="shared" si="14"/>
        <v>35013590</v>
      </c>
      <c r="P104" s="550"/>
      <c r="Q104" s="551"/>
    </row>
    <row r="105" spans="1:17" s="253" customFormat="1" ht="20.100000000000001" customHeight="1" x14ac:dyDescent="0.25">
      <c r="A105" s="253" t="str">
        <f t="shared" si="12"/>
        <v>1.91</v>
      </c>
      <c r="B105" s="584" t="str">
        <f>IF(LEN(A105)&gt;2,VLOOKUP(A105,COPY!$A$2:$O$1000,4,FALSE),"")</f>
        <v/>
      </c>
      <c r="C105" s="585" t="str">
        <f>IF(LEN(A105)&gt;2,VLOOKUP(A105,COPY!$A$2:$O$1000,15,FALSE),"")</f>
        <v/>
      </c>
      <c r="D105" s="542" t="str">
        <f>IF(LEN(A105)&gt;2,VLOOKUP(A105,COPY!$A$2:$O$1000,2,FALSE),"")</f>
        <v>Beli</v>
      </c>
      <c r="E105" s="607">
        <f>IF(LEN(A105)&gt;2,VLOOKUP(A105,COPY!$A$2:$O$1000,10,FALSE),"")</f>
        <v>5</v>
      </c>
      <c r="F105" s="542" t="str">
        <f>IF(LEN(A105)&gt;2,VLOOKUP(A105,COPY!$A$2:$O$1000,8,FALSE),"")</f>
        <v>kg</v>
      </c>
      <c r="G105" s="543" t="str">
        <f>IF(LEN(A105)&gt;2,VLOOKUP(A105,COPY!$A$2:$O$1000,7,FALSE),"")</f>
        <v>Bendrat Spq</v>
      </c>
      <c r="H105" s="544" t="str">
        <f t="shared" si="15"/>
        <v>@</v>
      </c>
      <c r="I105" s="545">
        <f>IFERROR(IF(LEN(A105)&gt;2,VLOOKUP(A105,COPY!$A$2:$O$1000,13,FALSE),"")/E105,"")</f>
        <v>22000</v>
      </c>
      <c r="J105" s="546"/>
      <c r="K105" s="547">
        <f t="shared" si="16"/>
        <v>110000</v>
      </c>
      <c r="L105" s="548">
        <f t="shared" si="13"/>
        <v>34903590</v>
      </c>
      <c r="M105" s="549">
        <f t="shared" si="11"/>
        <v>0</v>
      </c>
      <c r="O105" s="538">
        <f t="shared" si="14"/>
        <v>34903590</v>
      </c>
      <c r="P105" s="550"/>
      <c r="Q105" s="551"/>
    </row>
    <row r="106" spans="1:17" s="253" customFormat="1" ht="20.100000000000001" customHeight="1" x14ac:dyDescent="0.25">
      <c r="A106" s="253" t="str">
        <f t="shared" si="12"/>
        <v>1.92</v>
      </c>
      <c r="B106" s="584" t="str">
        <f>IF(LEN(A106)&gt;2,VLOOKUP(A106,COPY!$A$2:$O$1000,4,FALSE),"")</f>
        <v/>
      </c>
      <c r="C106" s="585" t="str">
        <f>IF(LEN(A106)&gt;2,VLOOKUP(A106,COPY!$A$2:$O$1000,15,FALSE),"")</f>
        <v/>
      </c>
      <c r="D106" s="542" t="str">
        <f>IF(LEN(A106)&gt;2,VLOOKUP(A106,COPY!$A$2:$O$1000,2,FALSE),"")</f>
        <v>Beli</v>
      </c>
      <c r="E106" s="607">
        <f>IF(LEN(A106)&gt;2,VLOOKUP(A106,COPY!$A$2:$O$1000,10,FALSE),"")</f>
        <v>10</v>
      </c>
      <c r="F106" s="542" t="str">
        <f>IF(LEN(A106)&gt;2,VLOOKUP(A106,COPY!$A$2:$O$1000,8,FALSE),"")</f>
        <v>Ljr</v>
      </c>
      <c r="G106" s="543" t="str">
        <f>IF(LEN(A106)&gt;2,VLOOKUP(A106,COPY!$A$2:$O$1000,7,FALSE),"")</f>
        <v>Besi 6.0 Sni</v>
      </c>
      <c r="H106" s="544" t="str">
        <f t="shared" si="15"/>
        <v>@</v>
      </c>
      <c r="I106" s="545">
        <f>IFERROR(IF(LEN(A106)&gt;2,VLOOKUP(A106,COPY!$A$2:$O$1000,13,FALSE),"")/E106,"")</f>
        <v>28000</v>
      </c>
      <c r="J106" s="546"/>
      <c r="K106" s="547">
        <f t="shared" si="16"/>
        <v>280000</v>
      </c>
      <c r="L106" s="548">
        <f t="shared" si="13"/>
        <v>34623590</v>
      </c>
      <c r="M106" s="549">
        <f t="shared" si="11"/>
        <v>0</v>
      </c>
      <c r="O106" s="538">
        <f t="shared" si="14"/>
        <v>34623590</v>
      </c>
      <c r="P106" s="550"/>
      <c r="Q106" s="551"/>
    </row>
    <row r="107" spans="1:17" s="253" customFormat="1" ht="20.100000000000001" customHeight="1" x14ac:dyDescent="0.25">
      <c r="A107" s="253" t="str">
        <f t="shared" si="12"/>
        <v>1.93</v>
      </c>
      <c r="B107" s="584" t="str">
        <f>IF(LEN(A107)&gt;2,VLOOKUP(A107,COPY!$A$2:$O$1000,4,FALSE),"")</f>
        <v/>
      </c>
      <c r="C107" s="585" t="str">
        <f>IF(LEN(A107)&gt;2,VLOOKUP(A107,COPY!$A$2:$O$1000,15,FALSE),"")</f>
        <v/>
      </c>
      <c r="D107" s="542" t="str">
        <f>IF(LEN(A107)&gt;2,VLOOKUP(A107,COPY!$A$2:$O$1000,2,FALSE),"")</f>
        <v>Beli</v>
      </c>
      <c r="E107" s="607">
        <f>IF(LEN(A107)&gt;2,VLOOKUP(A107,COPY!$A$2:$O$1000,10,FALSE),"")</f>
        <v>14</v>
      </c>
      <c r="F107" s="542" t="str">
        <f>IF(LEN(A107)&gt;2,VLOOKUP(A107,COPY!$A$2:$O$1000,8,FALSE),"")</f>
        <v>Ljr</v>
      </c>
      <c r="G107" s="543" t="str">
        <f>IF(LEN(A107)&gt;2,VLOOKUP(A107,COPY!$A$2:$O$1000,7,FALSE),"")</f>
        <v>Besi 8.0 Sni</v>
      </c>
      <c r="H107" s="544" t="str">
        <f t="shared" si="15"/>
        <v>@</v>
      </c>
      <c r="I107" s="545">
        <f>IFERROR(IF(LEN(A107)&gt;2,VLOOKUP(A107,COPY!$A$2:$O$1000,13,FALSE),"")/E107,"")</f>
        <v>46000</v>
      </c>
      <c r="J107" s="546"/>
      <c r="K107" s="547">
        <f t="shared" si="16"/>
        <v>644000</v>
      </c>
      <c r="L107" s="548">
        <f t="shared" si="13"/>
        <v>33979590</v>
      </c>
      <c r="M107" s="549">
        <f t="shared" si="11"/>
        <v>0</v>
      </c>
      <c r="O107" s="538">
        <f t="shared" si="14"/>
        <v>33979590</v>
      </c>
      <c r="P107" s="550"/>
      <c r="Q107" s="551"/>
    </row>
    <row r="108" spans="1:17" s="253" customFormat="1" ht="20.100000000000001" customHeight="1" x14ac:dyDescent="0.25">
      <c r="A108" s="253" t="str">
        <f t="shared" si="12"/>
        <v>1.94</v>
      </c>
      <c r="B108" s="584" t="str">
        <f>IF(LEN(A108)&gt;2,VLOOKUP(A108,COPY!$A$2:$O$1000,4,FALSE),"")</f>
        <v/>
      </c>
      <c r="C108" s="585" t="str">
        <f>IF(LEN(A108)&gt;2,VLOOKUP(A108,COPY!$A$2:$O$1000,15,FALSE),"")</f>
        <v/>
      </c>
      <c r="D108" s="542" t="str">
        <f>IF(LEN(A108)&gt;2,VLOOKUP(A108,COPY!$A$2:$O$1000,2,FALSE),"")</f>
        <v>Beli</v>
      </c>
      <c r="E108" s="607">
        <f>IF(LEN(A108)&gt;2,VLOOKUP(A108,COPY!$A$2:$O$1000,10,FALSE),"")</f>
        <v>6</v>
      </c>
      <c r="F108" s="542" t="str">
        <f>IF(LEN(A108)&gt;2,VLOOKUP(A108,COPY!$A$2:$O$1000,8,FALSE),"")</f>
        <v>Sak</v>
      </c>
      <c r="G108" s="543" t="str">
        <f>IF(LEN(A108)&gt;2,VLOOKUP(A108,COPY!$A$2:$O$1000,7,FALSE),"")</f>
        <v>Semen 3 Roda</v>
      </c>
      <c r="H108" s="544" t="str">
        <f t="shared" si="15"/>
        <v>@</v>
      </c>
      <c r="I108" s="545">
        <f>IFERROR(IF(LEN(A108)&gt;2,VLOOKUP(A108,COPY!$A$2:$O$1000,13,FALSE),"")/E108,"")</f>
        <v>52000</v>
      </c>
      <c r="J108" s="546"/>
      <c r="K108" s="547">
        <f t="shared" si="16"/>
        <v>312000</v>
      </c>
      <c r="L108" s="548">
        <f t="shared" si="13"/>
        <v>33667590</v>
      </c>
      <c r="M108" s="549">
        <f t="shared" si="11"/>
        <v>0</v>
      </c>
      <c r="O108" s="538">
        <f t="shared" si="14"/>
        <v>33667590</v>
      </c>
      <c r="P108" s="550"/>
      <c r="Q108" s="551"/>
    </row>
    <row r="109" spans="1:17" s="253" customFormat="1" ht="20.100000000000001" customHeight="1" x14ac:dyDescent="0.25">
      <c r="A109" s="253" t="str">
        <f t="shared" si="12"/>
        <v>1.95</v>
      </c>
      <c r="B109" s="584">
        <f>IF(LEN(A109)&gt;2,VLOOKUP(A109,COPY!$A$2:$O$1000,4,FALSE),"")</f>
        <v>45926</v>
      </c>
      <c r="C109" s="585" t="str">
        <f>IF(LEN(A109)&gt;2,VLOOKUP(A109,COPY!$A$2:$O$1000,15,FALSE),"")</f>
        <v>BKK.27</v>
      </c>
      <c r="D109" s="542" t="str">
        <f>IF(LEN(A109)&gt;2,VLOOKUP(A109,COPY!$A$2:$O$1000,2,FALSE),"")</f>
        <v>Beli</v>
      </c>
      <c r="E109" s="607">
        <f>IF(LEN(A109)&gt;2,VLOOKUP(A109,COPY!$A$2:$O$1000,10,FALSE),"")</f>
        <v>500</v>
      </c>
      <c r="F109" s="542" t="str">
        <f>IF(LEN(A109)&gt;2,VLOOKUP(A109,COPY!$A$2:$O$1000,8,FALSE),"")</f>
        <v>Bji</v>
      </c>
      <c r="G109" s="543" t="str">
        <f>IF(LEN(A109)&gt;2,VLOOKUP(A109,COPY!$A$2:$O$1000,7,FALSE),"")</f>
        <v>Bata Merah Super</v>
      </c>
      <c r="H109" s="544" t="str">
        <f t="shared" si="15"/>
        <v>@</v>
      </c>
      <c r="I109" s="545">
        <f>IFERROR(IF(LEN(A109)&gt;2,VLOOKUP(A109,COPY!$A$2:$O$1000,13,FALSE),"")/E109,"")</f>
        <v>550</v>
      </c>
      <c r="J109" s="546"/>
      <c r="K109" s="547">
        <f t="shared" si="16"/>
        <v>275000</v>
      </c>
      <c r="L109" s="548">
        <f t="shared" si="13"/>
        <v>33392590</v>
      </c>
      <c r="M109" s="549">
        <f t="shared" si="11"/>
        <v>0</v>
      </c>
      <c r="O109" s="538">
        <f t="shared" si="14"/>
        <v>33392590</v>
      </c>
      <c r="P109" s="550"/>
      <c r="Q109" s="551"/>
    </row>
    <row r="110" spans="1:17" s="253" customFormat="1" ht="20.100000000000001" customHeight="1" x14ac:dyDescent="0.25">
      <c r="A110" s="253" t="str">
        <f t="shared" si="12"/>
        <v>1.96</v>
      </c>
      <c r="B110" s="584" t="str">
        <f>IF(LEN(A110)&gt;2,VLOOKUP(A110,COPY!$A$2:$O$1000,4,FALSE),"")</f>
        <v/>
      </c>
      <c r="C110" s="585" t="str">
        <f>IF(LEN(A110)&gt;2,VLOOKUP(A110,COPY!$A$2:$O$1000,15,FALSE),"")</f>
        <v/>
      </c>
      <c r="D110" s="542" t="str">
        <f>IF(LEN(A110)&gt;2,VLOOKUP(A110,COPY!$A$2:$O$1000,2,FALSE),"")</f>
        <v>Beli</v>
      </c>
      <c r="E110" s="607">
        <f>IF(LEN(A110)&gt;2,VLOOKUP(A110,COPY!$A$2:$O$1000,10,FALSE),"")</f>
        <v>3</v>
      </c>
      <c r="F110" s="542" t="str">
        <f>IF(LEN(A110)&gt;2,VLOOKUP(A110,COPY!$A$2:$O$1000,8,FALSE),"")</f>
        <v>m3</v>
      </c>
      <c r="G110" s="543" t="str">
        <f>IF(LEN(A110)&gt;2,VLOOKUP(A110,COPY!$A$2:$O$1000,7,FALSE),"")</f>
        <v>Bata Ringan Vocon 10 Cm</v>
      </c>
      <c r="H110" s="544" t="str">
        <f t="shared" si="15"/>
        <v>@</v>
      </c>
      <c r="I110" s="545">
        <f>IFERROR(IF(LEN(A110)&gt;2,VLOOKUP(A110,COPY!$A$2:$O$1000,13,FALSE),"")/E110,"")</f>
        <v>560000</v>
      </c>
      <c r="J110" s="546"/>
      <c r="K110" s="547">
        <f t="shared" si="16"/>
        <v>1680000</v>
      </c>
      <c r="L110" s="548">
        <f t="shared" si="13"/>
        <v>31712590</v>
      </c>
      <c r="M110" s="549">
        <f t="shared" si="11"/>
        <v>0</v>
      </c>
      <c r="O110" s="538">
        <f t="shared" si="14"/>
        <v>31712590</v>
      </c>
      <c r="P110" s="550"/>
      <c r="Q110" s="551"/>
    </row>
    <row r="111" spans="1:17" s="253" customFormat="1" ht="20.100000000000001" customHeight="1" x14ac:dyDescent="0.25">
      <c r="A111" s="253" t="str">
        <f t="shared" si="12"/>
        <v>1.97</v>
      </c>
      <c r="B111" s="584">
        <f>IF(LEN(A111)&gt;2,VLOOKUP(A111,COPY!$A$2:$O$1000,4,FALSE),"")</f>
        <v>45927</v>
      </c>
      <c r="C111" s="585" t="str">
        <f>IF(LEN(A111)&gt;2,VLOOKUP(A111,COPY!$A$2:$O$1000,15,FALSE),"")</f>
        <v>BKK.28</v>
      </c>
      <c r="D111" s="542" t="str">
        <f>IF(LEN(A111)&gt;2,VLOOKUP(A111,COPY!$A$2:$O$1000,2,FALSE),"")</f>
        <v>Beli</v>
      </c>
      <c r="E111" s="607">
        <f>IF(LEN(A111)&gt;2,VLOOKUP(A111,COPY!$A$2:$O$1000,10,FALSE),"")</f>
        <v>1</v>
      </c>
      <c r="F111" s="542" t="str">
        <f>IF(LEN(A111)&gt;2,VLOOKUP(A111,COPY!$A$2:$O$1000,8,FALSE),"")</f>
        <v>Pik Up</v>
      </c>
      <c r="G111" s="543" t="str">
        <f>IF(LEN(A111)&gt;2,VLOOKUP(A111,COPY!$A$2:$O$1000,7,FALSE),"")</f>
        <v>Pasir Biasa L300</v>
      </c>
      <c r="H111" s="544" t="str">
        <f t="shared" si="15"/>
        <v>@</v>
      </c>
      <c r="I111" s="545">
        <f>IFERROR(IF(LEN(A111)&gt;2,VLOOKUP(A111,COPY!$A$2:$O$1000,13,FALSE),"")/E111,"")</f>
        <v>230000</v>
      </c>
      <c r="J111" s="546"/>
      <c r="K111" s="547">
        <f t="shared" si="16"/>
        <v>230000</v>
      </c>
      <c r="L111" s="548">
        <f t="shared" si="13"/>
        <v>31482590</v>
      </c>
      <c r="M111" s="549">
        <f t="shared" si="11"/>
        <v>0</v>
      </c>
      <c r="O111" s="538">
        <f t="shared" si="14"/>
        <v>31482590</v>
      </c>
      <c r="P111" s="550"/>
      <c r="Q111" s="551"/>
    </row>
    <row r="112" spans="1:17" s="253" customFormat="1" ht="20.100000000000001" customHeight="1" x14ac:dyDescent="0.25">
      <c r="A112" s="253" t="str">
        <f t="shared" si="12"/>
        <v>1.98</v>
      </c>
      <c r="B112" s="584" t="str">
        <f>IF(LEN(A112)&gt;2,VLOOKUP(A112,COPY!$A$2:$O$1000,4,FALSE),"")</f>
        <v/>
      </c>
      <c r="C112" s="585" t="str">
        <f>IF(LEN(A112)&gt;2,VLOOKUP(A112,COPY!$A$2:$O$1000,15,FALSE),"")</f>
        <v/>
      </c>
      <c r="D112" s="542" t="str">
        <f>IF(LEN(A112)&gt;2,VLOOKUP(A112,COPY!$A$2:$O$1000,2,FALSE),"")</f>
        <v>Beli</v>
      </c>
      <c r="E112" s="607">
        <f>IF(LEN(A112)&gt;2,VLOOKUP(A112,COPY!$A$2:$O$1000,10,FALSE),"")</f>
        <v>3</v>
      </c>
      <c r="F112" s="542" t="str">
        <f>IF(LEN(A112)&gt;2,VLOOKUP(A112,COPY!$A$2:$O$1000,8,FALSE),"")</f>
        <v>Pik Up</v>
      </c>
      <c r="G112" s="543" t="str">
        <f>IF(LEN(A112)&gt;2,VLOOKUP(A112,COPY!$A$2:$O$1000,7,FALSE),"")</f>
        <v>Koral L300</v>
      </c>
      <c r="H112" s="544" t="str">
        <f t="shared" si="15"/>
        <v>@</v>
      </c>
      <c r="I112" s="545">
        <f>IFERROR(IF(LEN(A112)&gt;2,VLOOKUP(A112,COPY!$A$2:$O$1000,13,FALSE),"")/E112,"")</f>
        <v>350000</v>
      </c>
      <c r="J112" s="546"/>
      <c r="K112" s="547">
        <f t="shared" si="16"/>
        <v>1050000</v>
      </c>
      <c r="L112" s="548">
        <f t="shared" si="13"/>
        <v>30432590</v>
      </c>
      <c r="M112" s="549">
        <f t="shared" si="11"/>
        <v>0</v>
      </c>
      <c r="O112" s="538">
        <f t="shared" si="14"/>
        <v>30432590</v>
      </c>
      <c r="P112" s="550"/>
      <c r="Q112" s="551"/>
    </row>
    <row r="113" spans="1:17" s="253" customFormat="1" ht="20.100000000000001" customHeight="1" x14ac:dyDescent="0.25">
      <c r="A113" s="253" t="str">
        <f t="shared" si="12"/>
        <v>1.99</v>
      </c>
      <c r="B113" s="584" t="str">
        <f>IF(LEN(A113)&gt;2,VLOOKUP(A113,COPY!$A$2:$O$1000,4,FALSE),"")</f>
        <v/>
      </c>
      <c r="C113" s="585" t="str">
        <f>IF(LEN(A113)&gt;2,VLOOKUP(A113,COPY!$A$2:$O$1000,15,FALSE),"")</f>
        <v/>
      </c>
      <c r="D113" s="542" t="str">
        <f>IF(LEN(A113)&gt;2,VLOOKUP(A113,COPY!$A$2:$O$1000,2,FALSE),"")</f>
        <v>Beli</v>
      </c>
      <c r="E113" s="607">
        <f>IF(LEN(A113)&gt;2,VLOOKUP(A113,COPY!$A$2:$O$1000,10,FALSE),"")</f>
        <v>4</v>
      </c>
      <c r="F113" s="542" t="str">
        <f>IF(LEN(A113)&gt;2,VLOOKUP(A113,COPY!$A$2:$O$1000,8,FALSE),"")</f>
        <v>kg</v>
      </c>
      <c r="G113" s="543" t="str">
        <f>IF(LEN(A113)&gt;2,VLOOKUP(A113,COPY!$A$2:$O$1000,7,FALSE),"")</f>
        <v>Bendrat Spq</v>
      </c>
      <c r="H113" s="544" t="str">
        <f t="shared" si="15"/>
        <v>@</v>
      </c>
      <c r="I113" s="545">
        <f>IFERROR(IF(LEN(A113)&gt;2,VLOOKUP(A113,COPY!$A$2:$O$1000,13,FALSE),"")/E113,"")</f>
        <v>22000</v>
      </c>
      <c r="J113" s="546"/>
      <c r="K113" s="547">
        <f t="shared" si="16"/>
        <v>88000</v>
      </c>
      <c r="L113" s="548">
        <f t="shared" si="13"/>
        <v>30344590</v>
      </c>
      <c r="M113" s="549">
        <f t="shared" si="11"/>
        <v>0</v>
      </c>
      <c r="O113" s="538">
        <f t="shared" si="14"/>
        <v>30344590</v>
      </c>
      <c r="P113" s="550"/>
      <c r="Q113" s="551"/>
    </row>
    <row r="114" spans="1:17" s="253" customFormat="1" ht="20.100000000000001" customHeight="1" x14ac:dyDescent="0.25">
      <c r="A114" s="253" t="str">
        <f t="shared" si="12"/>
        <v>1.100</v>
      </c>
      <c r="B114" s="584" t="str">
        <f>IF(LEN(A114)&gt;2,VLOOKUP(A114,COPY!$A$2:$O$1000,4,FALSE),"")</f>
        <v/>
      </c>
      <c r="C114" s="585" t="str">
        <f>IF(LEN(A114)&gt;2,VLOOKUP(A114,COPY!$A$2:$O$1000,15,FALSE),"")</f>
        <v/>
      </c>
      <c r="D114" s="542" t="str">
        <f>IF(LEN(A114)&gt;2,VLOOKUP(A114,COPY!$A$2:$O$1000,2,FALSE),"")</f>
        <v>Beli</v>
      </c>
      <c r="E114" s="607">
        <f>IF(LEN(A114)&gt;2,VLOOKUP(A114,COPY!$A$2:$O$1000,10,FALSE),"")</f>
        <v>5</v>
      </c>
      <c r="F114" s="542" t="str">
        <f>IF(LEN(A114)&gt;2,VLOOKUP(A114,COPY!$A$2:$O$1000,8,FALSE),"")</f>
        <v>Sak</v>
      </c>
      <c r="G114" s="543" t="str">
        <f>IF(LEN(A114)&gt;2,VLOOKUP(A114,COPY!$A$2:$O$1000,7,FALSE),"")</f>
        <v>Semen Gresik 40Kg</v>
      </c>
      <c r="H114" s="544" t="str">
        <f t="shared" si="15"/>
        <v>@</v>
      </c>
      <c r="I114" s="545">
        <f>IFERROR(IF(LEN(A114)&gt;2,VLOOKUP(A114,COPY!$A$2:$O$1000,13,FALSE),"")/E114,"")</f>
        <v>58000</v>
      </c>
      <c r="J114" s="546"/>
      <c r="K114" s="547">
        <f t="shared" si="16"/>
        <v>290000</v>
      </c>
      <c r="L114" s="548">
        <f t="shared" si="13"/>
        <v>30054590</v>
      </c>
      <c r="M114" s="549">
        <f t="shared" si="11"/>
        <v>0</v>
      </c>
      <c r="O114" s="538">
        <f t="shared" si="14"/>
        <v>30054590</v>
      </c>
      <c r="P114" s="550"/>
      <c r="Q114" s="551"/>
    </row>
    <row r="115" spans="1:17" s="253" customFormat="1" ht="20.100000000000001" customHeight="1" x14ac:dyDescent="0.25">
      <c r="A115" s="253" t="str">
        <f t="shared" si="12"/>
        <v>1.101</v>
      </c>
      <c r="B115" s="584">
        <f>IF(LEN(A115)&gt;2,VLOOKUP(A115,COPY!$A$2:$O$1000,4,FALSE),"")</f>
        <v>45927</v>
      </c>
      <c r="C115" s="585" t="str">
        <f>IF(LEN(A115)&gt;2,VLOOKUP(A115,COPY!$A$2:$O$1000,15,FALSE),"")</f>
        <v>BKK.29</v>
      </c>
      <c r="D115" s="542" t="str">
        <f>IF(LEN(A115)&gt;2,VLOOKUP(A115,COPY!$A$2:$O$1000,2,FALSE),"")</f>
        <v>Bayar Ongkos</v>
      </c>
      <c r="E115" s="607">
        <f>IF(LEN(A115)&gt;2,VLOOKUP(A115,COPY!$A$2:$O$1000,10,FALSE),"")</f>
        <v>1</v>
      </c>
      <c r="F115" s="542">
        <f>IF(LEN(A115)&gt;2,VLOOKUP(A115,COPY!$A$2:$O$1000,8,FALSE),"")</f>
        <v>0</v>
      </c>
      <c r="G115" s="543" t="str">
        <f>IF(LEN(A115)&gt;2,VLOOKUP(A115,COPY!$A$2:$O$1000,7,FALSE),"")</f>
        <v>Pembayaran Pekerja Minggu Ke 4</v>
      </c>
      <c r="H115" s="544" t="str">
        <f t="shared" si="15"/>
        <v/>
      </c>
      <c r="I115" s="545">
        <f>IFERROR(IF(LEN(A115)&gt;2,VLOOKUP(A115,COPY!$A$2:$O$1000,13,FALSE),"")/E115,"")</f>
        <v>6035000</v>
      </c>
      <c r="J115" s="546"/>
      <c r="K115" s="547">
        <f t="shared" si="16"/>
        <v>6035000</v>
      </c>
      <c r="L115" s="548">
        <f t="shared" si="13"/>
        <v>24019590</v>
      </c>
      <c r="M115" s="549">
        <f t="shared" si="11"/>
        <v>0</v>
      </c>
      <c r="O115" s="538">
        <f t="shared" si="14"/>
        <v>24019590</v>
      </c>
      <c r="P115" s="550"/>
      <c r="Q115" s="551"/>
    </row>
    <row r="116" spans="1:17" s="253" customFormat="1" ht="20.100000000000001" customHeight="1" x14ac:dyDescent="0.25">
      <c r="A116" s="253" t="str">
        <f t="shared" si="12"/>
        <v>1.102</v>
      </c>
      <c r="B116" s="584">
        <f>IF(LEN(A116)&gt;2,VLOOKUP(A116,COPY!$A$2:$O$1000,4,FALSE),"")</f>
        <v>45929</v>
      </c>
      <c r="C116" s="585" t="str">
        <f>IF(LEN(A116)&gt;2,VLOOKUP(A116,COPY!$A$2:$O$1000,15,FALSE),"")</f>
        <v>BKK.30</v>
      </c>
      <c r="D116" s="542" t="str">
        <f>IF(LEN(A116)&gt;2,VLOOKUP(A116,COPY!$A$2:$O$1000,2,FALSE),"")</f>
        <v>Beli</v>
      </c>
      <c r="E116" s="607">
        <f>IF(LEN(A116)&gt;2,VLOOKUP(A116,COPY!$A$2:$O$1000,10,FALSE),"")</f>
        <v>1</v>
      </c>
      <c r="F116" s="542" t="str">
        <f>IF(LEN(A116)&gt;2,VLOOKUP(A116,COPY!$A$2:$O$1000,8,FALSE),"")</f>
        <v>Pcs</v>
      </c>
      <c r="G116" s="543" t="str">
        <f>IF(LEN(A116)&gt;2,VLOOKUP(A116,COPY!$A$2:$O$1000,7,FALSE),"")</f>
        <v>Lem Ruglue 400 Gr</v>
      </c>
      <c r="H116" s="544" t="str">
        <f t="shared" si="15"/>
        <v>@</v>
      </c>
      <c r="I116" s="545">
        <f>IFERROR(IF(LEN(A116)&gt;2,VLOOKUP(A116,COPY!$A$2:$O$1000,13,FALSE),"")/E116,"")</f>
        <v>55000</v>
      </c>
      <c r="J116" s="546"/>
      <c r="K116" s="547">
        <f t="shared" si="16"/>
        <v>55000</v>
      </c>
      <c r="L116" s="548">
        <f t="shared" si="13"/>
        <v>23964590</v>
      </c>
      <c r="M116" s="549">
        <f t="shared" si="11"/>
        <v>0</v>
      </c>
      <c r="O116" s="538">
        <f t="shared" si="14"/>
        <v>23964590</v>
      </c>
      <c r="P116" s="550"/>
      <c r="Q116" s="551"/>
    </row>
    <row r="117" spans="1:17" s="253" customFormat="1" ht="20.100000000000001" customHeight="1" x14ac:dyDescent="0.25">
      <c r="A117" s="253" t="str">
        <f t="shared" si="12"/>
        <v>1.103</v>
      </c>
      <c r="B117" s="584" t="str">
        <f>IF(LEN(A117)&gt;2,VLOOKUP(A117,COPY!$A$2:$O$1000,4,FALSE),"")</f>
        <v/>
      </c>
      <c r="C117" s="585" t="str">
        <f>IF(LEN(A117)&gt;2,VLOOKUP(A117,COPY!$A$2:$O$1000,15,FALSE),"")</f>
        <v/>
      </c>
      <c r="D117" s="542" t="str">
        <f>IF(LEN(A117)&gt;2,VLOOKUP(A117,COPY!$A$2:$O$1000,2,FALSE),"")</f>
        <v>Beli</v>
      </c>
      <c r="E117" s="607">
        <f>IF(LEN(A117)&gt;2,VLOOKUP(A117,COPY!$A$2:$O$1000,10,FALSE),"")</f>
        <v>4</v>
      </c>
      <c r="F117" s="542" t="str">
        <f>IF(LEN(A117)&gt;2,VLOOKUP(A117,COPY!$A$2:$O$1000,8,FALSE),"")</f>
        <v>Pcs</v>
      </c>
      <c r="G117" s="543" t="str">
        <f>IF(LEN(A117)&gt;2,VLOOKUP(A117,COPY!$A$2:$O$1000,7,FALSE),"")</f>
        <v>Tba Onda</v>
      </c>
      <c r="H117" s="544" t="str">
        <f t="shared" si="15"/>
        <v>@</v>
      </c>
      <c r="I117" s="545">
        <f>IFERROR(IF(LEN(A117)&gt;2,VLOOKUP(A117,COPY!$A$2:$O$1000,13,FALSE),"")/E117,"")</f>
        <v>5000</v>
      </c>
      <c r="J117" s="546"/>
      <c r="K117" s="547">
        <f t="shared" si="16"/>
        <v>20000</v>
      </c>
      <c r="L117" s="548">
        <f t="shared" si="13"/>
        <v>23944590</v>
      </c>
      <c r="M117" s="549">
        <f t="shared" si="11"/>
        <v>0</v>
      </c>
      <c r="O117" s="538">
        <f t="shared" si="14"/>
        <v>23944590</v>
      </c>
      <c r="P117" s="550"/>
      <c r="Q117" s="551"/>
    </row>
    <row r="118" spans="1:17" s="253" customFormat="1" ht="20.100000000000001" customHeight="1" x14ac:dyDescent="0.25">
      <c r="A118" s="253" t="str">
        <f t="shared" si="12"/>
        <v>1.104</v>
      </c>
      <c r="B118" s="584" t="str">
        <f>IF(LEN(A118)&gt;2,VLOOKUP(A118,COPY!$A$2:$O$1000,4,FALSE),"")</f>
        <v/>
      </c>
      <c r="C118" s="585" t="str">
        <f>IF(LEN(A118)&gt;2,VLOOKUP(A118,COPY!$A$2:$O$1000,15,FALSE),"")</f>
        <v/>
      </c>
      <c r="D118" s="542" t="str">
        <f>IF(LEN(A118)&gt;2,VLOOKUP(A118,COPY!$A$2:$O$1000,2,FALSE),"")</f>
        <v>Beli</v>
      </c>
      <c r="E118" s="607">
        <f>IF(LEN(A118)&gt;2,VLOOKUP(A118,COPY!$A$2:$O$1000,10,FALSE),"")</f>
        <v>8</v>
      </c>
      <c r="F118" s="542" t="str">
        <f>IF(LEN(A118)&gt;2,VLOOKUP(A118,COPY!$A$2:$O$1000,8,FALSE),"")</f>
        <v>Pcs</v>
      </c>
      <c r="G118" s="543" t="str">
        <f>IF(LEN(A118)&gt;2,VLOOKUP(A118,COPY!$A$2:$O$1000,7,FALSE),"")</f>
        <v>Tee Drat Dalam Kuningan 3/4" Rck</v>
      </c>
      <c r="H118" s="544" t="str">
        <f t="shared" si="15"/>
        <v>@</v>
      </c>
      <c r="I118" s="545">
        <f>IFERROR(IF(LEN(A118)&gt;2,VLOOKUP(A118,COPY!$A$2:$O$1000,13,FALSE),"")/E118,"")</f>
        <v>25000</v>
      </c>
      <c r="J118" s="546"/>
      <c r="K118" s="547">
        <f t="shared" si="16"/>
        <v>200000</v>
      </c>
      <c r="L118" s="548">
        <f t="shared" si="13"/>
        <v>23744590</v>
      </c>
      <c r="M118" s="549">
        <f t="shared" si="11"/>
        <v>0</v>
      </c>
      <c r="O118" s="538">
        <f t="shared" si="14"/>
        <v>23744590</v>
      </c>
      <c r="P118" s="550"/>
      <c r="Q118" s="551"/>
    </row>
    <row r="119" spans="1:17" s="253" customFormat="1" ht="20.100000000000001" customHeight="1" x14ac:dyDescent="0.25">
      <c r="A119" s="253" t="str">
        <f t="shared" si="12"/>
        <v>1.105</v>
      </c>
      <c r="B119" s="584" t="str">
        <f>IF(LEN(A119)&gt;2,VLOOKUP(A119,COPY!$A$2:$O$1000,4,FALSE),"")</f>
        <v/>
      </c>
      <c r="C119" s="585" t="str">
        <f>IF(LEN(A119)&gt;2,VLOOKUP(A119,COPY!$A$2:$O$1000,15,FALSE),"")</f>
        <v/>
      </c>
      <c r="D119" s="542" t="str">
        <f>IF(LEN(A119)&gt;2,VLOOKUP(A119,COPY!$A$2:$O$1000,2,FALSE),"")</f>
        <v>Beli</v>
      </c>
      <c r="E119" s="607">
        <f>IF(LEN(A119)&gt;2,VLOOKUP(A119,COPY!$A$2:$O$1000,10,FALSE),"")</f>
        <v>10</v>
      </c>
      <c r="F119" s="542" t="str">
        <f>IF(LEN(A119)&gt;2,VLOOKUP(A119,COPY!$A$2:$O$1000,8,FALSE),"")</f>
        <v>Ljr</v>
      </c>
      <c r="G119" s="543" t="str">
        <f>IF(LEN(A119)&gt;2,VLOOKUP(A119,COPY!$A$2:$O$1000,7,FALSE),"")</f>
        <v>Pipa Maspion Abu Aw 3/4"</v>
      </c>
      <c r="H119" s="544" t="str">
        <f t="shared" si="15"/>
        <v>@</v>
      </c>
      <c r="I119" s="545">
        <f>IFERROR(IF(LEN(A119)&gt;2,VLOOKUP(A119,COPY!$A$2:$O$1000,13,FALSE),"")/E119,"")</f>
        <v>36000</v>
      </c>
      <c r="J119" s="546"/>
      <c r="K119" s="547">
        <f t="shared" si="16"/>
        <v>360000</v>
      </c>
      <c r="L119" s="548">
        <f t="shared" si="13"/>
        <v>23384590</v>
      </c>
      <c r="M119" s="549">
        <f t="shared" si="11"/>
        <v>0</v>
      </c>
      <c r="O119" s="538">
        <f t="shared" si="14"/>
        <v>23384590</v>
      </c>
      <c r="P119" s="550"/>
      <c r="Q119" s="551"/>
    </row>
    <row r="120" spans="1:17" s="253" customFormat="1" ht="20.100000000000001" customHeight="1" x14ac:dyDescent="0.25">
      <c r="A120" s="253" t="str">
        <f t="shared" si="12"/>
        <v>1.106</v>
      </c>
      <c r="B120" s="584" t="str">
        <f>IF(LEN(A120)&gt;2,VLOOKUP(A120,COPY!$A$2:$O$1000,4,FALSE),"")</f>
        <v/>
      </c>
      <c r="C120" s="585" t="str">
        <f>IF(LEN(A120)&gt;2,VLOOKUP(A120,COPY!$A$2:$O$1000,15,FALSE),"")</f>
        <v/>
      </c>
      <c r="D120" s="542" t="str">
        <f>IF(LEN(A120)&gt;2,VLOOKUP(A120,COPY!$A$2:$O$1000,2,FALSE),"")</f>
        <v>Beli</v>
      </c>
      <c r="E120" s="607">
        <f>IF(LEN(A120)&gt;2,VLOOKUP(A120,COPY!$A$2:$O$1000,10,FALSE),"")</f>
        <v>8</v>
      </c>
      <c r="F120" s="542" t="str">
        <f>IF(LEN(A120)&gt;2,VLOOKUP(A120,COPY!$A$2:$O$1000,8,FALSE),"")</f>
        <v>Pcs</v>
      </c>
      <c r="G120" s="543" t="str">
        <f>IF(LEN(A120)&gt;2,VLOOKUP(A120,COPY!$A$2:$O$1000,7,FALSE),"")</f>
        <v>Socket Aw 3/4 Rck</v>
      </c>
      <c r="H120" s="544" t="str">
        <f t="shared" si="15"/>
        <v>@</v>
      </c>
      <c r="I120" s="545">
        <f>IFERROR(IF(LEN(A120)&gt;2,VLOOKUP(A120,COPY!$A$2:$O$1000,13,FALSE),"")/E120,"")</f>
        <v>4000</v>
      </c>
      <c r="J120" s="546"/>
      <c r="K120" s="547">
        <f t="shared" si="16"/>
        <v>32000</v>
      </c>
      <c r="L120" s="548">
        <f t="shared" si="13"/>
        <v>23352590</v>
      </c>
      <c r="M120" s="549">
        <f t="shared" si="11"/>
        <v>0</v>
      </c>
      <c r="O120" s="538">
        <f t="shared" si="14"/>
        <v>23352590</v>
      </c>
      <c r="P120" s="550"/>
      <c r="Q120" s="551"/>
    </row>
    <row r="121" spans="1:17" s="253" customFormat="1" ht="20.100000000000001" customHeight="1" x14ac:dyDescent="0.25">
      <c r="A121" s="253" t="str">
        <f t="shared" si="12"/>
        <v>1.107</v>
      </c>
      <c r="B121" s="584" t="str">
        <f>IF(LEN(A121)&gt;2,VLOOKUP(A121,COPY!$A$2:$O$1000,4,FALSE),"")</f>
        <v/>
      </c>
      <c r="C121" s="585" t="str">
        <f>IF(LEN(A121)&gt;2,VLOOKUP(A121,COPY!$A$2:$O$1000,15,FALSE),"")</f>
        <v/>
      </c>
      <c r="D121" s="542" t="str">
        <f>IF(LEN(A121)&gt;2,VLOOKUP(A121,COPY!$A$2:$O$1000,2,FALSE),"")</f>
        <v>Beli</v>
      </c>
      <c r="E121" s="607">
        <f>IF(LEN(A121)&gt;2,VLOOKUP(A121,COPY!$A$2:$O$1000,10,FALSE),"")</f>
        <v>4</v>
      </c>
      <c r="F121" s="542" t="str">
        <f>IF(LEN(A121)&gt;2,VLOOKUP(A121,COPY!$A$2:$O$1000,8,FALSE),"")</f>
        <v>Pcs</v>
      </c>
      <c r="G121" s="543" t="str">
        <f>IF(LEN(A121)&gt;2,VLOOKUP(A121,COPY!$A$2:$O$1000,7,FALSE),"")</f>
        <v>Knee Aw 3" Rck</v>
      </c>
      <c r="H121" s="544" t="str">
        <f t="shared" si="15"/>
        <v>@</v>
      </c>
      <c r="I121" s="545">
        <f>IFERROR(IF(LEN(A121)&gt;2,VLOOKUP(A121,COPY!$A$2:$O$1000,13,FALSE),"")/E121,"")</f>
        <v>20000</v>
      </c>
      <c r="J121" s="546"/>
      <c r="K121" s="547">
        <f t="shared" si="16"/>
        <v>80000</v>
      </c>
      <c r="L121" s="548">
        <f t="shared" si="13"/>
        <v>23272590</v>
      </c>
      <c r="M121" s="549">
        <f t="shared" si="11"/>
        <v>0</v>
      </c>
      <c r="O121" s="538">
        <f t="shared" si="14"/>
        <v>23272590</v>
      </c>
      <c r="P121" s="550"/>
      <c r="Q121" s="551"/>
    </row>
    <row r="122" spans="1:17" s="253" customFormat="1" ht="20.100000000000001" customHeight="1" x14ac:dyDescent="0.25">
      <c r="A122" s="253" t="str">
        <f t="shared" si="12"/>
        <v>1.108</v>
      </c>
      <c r="B122" s="584" t="str">
        <f>IF(LEN(A122)&gt;2,VLOOKUP(A122,COPY!$A$2:$O$1000,4,FALSE),"")</f>
        <v/>
      </c>
      <c r="C122" s="585" t="str">
        <f>IF(LEN(A122)&gt;2,VLOOKUP(A122,COPY!$A$2:$O$1000,15,FALSE),"")</f>
        <v/>
      </c>
      <c r="D122" s="542" t="str">
        <f>IF(LEN(A122)&gt;2,VLOOKUP(A122,COPY!$A$2:$O$1000,2,FALSE),"")</f>
        <v>Beli</v>
      </c>
      <c r="E122" s="607">
        <f>IF(LEN(A122)&gt;2,VLOOKUP(A122,COPY!$A$2:$O$1000,10,FALSE),"")</f>
        <v>8</v>
      </c>
      <c r="F122" s="542" t="str">
        <f>IF(LEN(A122)&gt;2,VLOOKUP(A122,COPY!$A$2:$O$1000,8,FALSE),"")</f>
        <v>Bji</v>
      </c>
      <c r="G122" s="543" t="str">
        <f>IF(LEN(A122)&gt;2,VLOOKUP(A122,COPY!$A$2:$O$1000,7,FALSE),"")</f>
        <v>Babon list</v>
      </c>
      <c r="H122" s="544" t="str">
        <f t="shared" si="15"/>
        <v>@</v>
      </c>
      <c r="I122" s="545">
        <f>IFERROR(IF(LEN(A122)&gt;2,VLOOKUP(A122,COPY!$A$2:$O$1000,13,FALSE),"")/E122,"")</f>
        <v>150000</v>
      </c>
      <c r="J122" s="546"/>
      <c r="K122" s="547">
        <f t="shared" si="16"/>
        <v>1200000</v>
      </c>
      <c r="L122" s="548">
        <f t="shared" si="13"/>
        <v>22072590</v>
      </c>
      <c r="M122" s="549">
        <f t="shared" si="11"/>
        <v>0</v>
      </c>
      <c r="O122" s="538">
        <f t="shared" si="14"/>
        <v>22072590</v>
      </c>
      <c r="P122" s="550"/>
      <c r="Q122" s="551"/>
    </row>
    <row r="123" spans="1:17" s="253" customFormat="1" ht="20.100000000000001" customHeight="1" x14ac:dyDescent="0.25">
      <c r="A123" s="253" t="str">
        <f t="shared" si="12"/>
        <v>1.109</v>
      </c>
      <c r="B123" s="584">
        <f>IF(LEN(A123)&gt;2,VLOOKUP(A123,COPY!$A$2:$O$1000,4,FALSE),"")</f>
        <v>45930</v>
      </c>
      <c r="C123" s="585" t="str">
        <f>IF(LEN(A123)&gt;2,VLOOKUP(A123,COPY!$A$2:$O$1000,15,FALSE),"")</f>
        <v>BKK.31</v>
      </c>
      <c r="D123" s="542" t="str">
        <f>IF(LEN(A123)&gt;2,VLOOKUP(A123,COPY!$A$2:$O$1000,2,FALSE),"")</f>
        <v>Beli</v>
      </c>
      <c r="E123" s="607">
        <f>IF(LEN(A123)&gt;2,VLOOKUP(A123,COPY!$A$2:$O$1000,10,FALSE),"")</f>
        <v>15</v>
      </c>
      <c r="F123" s="542" t="str">
        <f>IF(LEN(A123)&gt;2,VLOOKUP(A123,COPY!$A$2:$O$1000,8,FALSE),"")</f>
        <v>Bks</v>
      </c>
      <c r="G123" s="543" t="str">
        <f>IF(LEN(A123)&gt;2,VLOOKUP(A123,COPY!$A$2:$O$1000,7,FALSE),"")</f>
        <v>Kosumsi Rapat Peninjauan 50%</v>
      </c>
      <c r="H123" s="544" t="str">
        <f t="shared" si="15"/>
        <v>@</v>
      </c>
      <c r="I123" s="545">
        <f>IFERROR(IF(LEN(A123)&gt;2,VLOOKUP(A123,COPY!$A$2:$O$1000,13,FALSE),"")/E123,"")</f>
        <v>30000</v>
      </c>
      <c r="J123" s="546"/>
      <c r="K123" s="547">
        <f t="shared" si="16"/>
        <v>450000</v>
      </c>
      <c r="L123" s="548">
        <f>IF(E123="","",IF(O123&gt;=0,O123,IF(O123&lt;0,0,0)))</f>
        <v>21622590</v>
      </c>
      <c r="M123" s="549">
        <f t="shared" ref="M123" si="17">IF(O123&lt;0,O123,IF(O123&gt;=0,0,0))</f>
        <v>0</v>
      </c>
      <c r="O123" s="538">
        <f>IF(E123="",O122,IF(L122&gt;0,L122-K123,IF(M122&lt;=0,M122-K123,0)))</f>
        <v>21622590</v>
      </c>
      <c r="P123" s="550"/>
      <c r="Q123" s="551"/>
    </row>
    <row r="124" spans="1:17" s="253" customFormat="1" ht="20.100000000000001" hidden="1" customHeight="1" x14ac:dyDescent="0.25">
      <c r="A124" s="253" t="str">
        <f t="shared" si="12"/>
        <v>1.</v>
      </c>
      <c r="B124" s="584" t="str">
        <f>IF(LEN(A124)&gt;2,VLOOKUP(A124,COPY!$A$2:$O$1000,4,FALSE),"")</f>
        <v/>
      </c>
      <c r="C124" s="585" t="str">
        <f>IF(LEN(A124)&gt;2,VLOOKUP(A124,COPY!$A$2:$O$1000,15,FALSE),"")</f>
        <v/>
      </c>
      <c r="D124" s="542" t="str">
        <f>IF(LEN(A124)&gt;2,VLOOKUP(A124,COPY!$A$2:$O$1000,2,FALSE),"")</f>
        <v/>
      </c>
      <c r="E124" s="607" t="str">
        <f>IF(LEN(A124)&gt;2,VLOOKUP(A124,COPY!$A$2:$O$1000,10,FALSE),"")</f>
        <v/>
      </c>
      <c r="F124" s="542" t="str">
        <f>IF(LEN(A124)&gt;2,VLOOKUP(A124,COPY!$A$2:$O$1000,8,FALSE),"")</f>
        <v/>
      </c>
      <c r="G124" s="543" t="str">
        <f>IF(LEN(A124)&gt;2,VLOOKUP(A124,COPY!$A$2:$O$1000,7,FALSE),"")</f>
        <v/>
      </c>
      <c r="H124" s="544" t="str">
        <f t="shared" si="15"/>
        <v/>
      </c>
      <c r="I124" s="545" t="str">
        <f>IFERROR(IF(LEN(A124)&gt;2,VLOOKUP(A124,COPY!$A$2:$O$1000,13,FALSE),"")/E124,"")</f>
        <v/>
      </c>
      <c r="J124" s="546"/>
      <c r="K124" s="547" t="str">
        <f t="shared" si="16"/>
        <v/>
      </c>
      <c r="L124" s="548" t="str">
        <f>IF(E124="","",IF(O124&gt;=0,O124,IF(O124&lt;0,0,0)))</f>
        <v/>
      </c>
      <c r="M124" s="549">
        <f t="shared" ref="M124" si="18">IF(O124&lt;0,O124,IF(O124&gt;=0,0,0))</f>
        <v>0</v>
      </c>
      <c r="O124" s="538">
        <f>IF(E124="",O123,IF(L123&gt;0,L123-K124,IF(M123&lt;=0,M123-K124,0)))</f>
        <v>21622590</v>
      </c>
      <c r="P124" s="550"/>
      <c r="Q124" s="551"/>
    </row>
    <row r="125" spans="1:17" s="253" customFormat="1" ht="20.100000000000001" hidden="1" customHeight="1" x14ac:dyDescent="0.25">
      <c r="A125" s="253" t="str">
        <f t="shared" si="12"/>
        <v/>
      </c>
      <c r="B125" s="584" t="str">
        <f>IF(LEN(A125)&gt;2,VLOOKUP(A125,COPY!$A$2:$O$1000,4,FALSE),"")</f>
        <v/>
      </c>
      <c r="C125" s="585" t="str">
        <f>IF(LEN(A125)&gt;2,VLOOKUP(A125,COPY!$A$2:$O$1000,15,FALSE),"")</f>
        <v/>
      </c>
      <c r="D125" s="542" t="str">
        <f>IF(LEN(A125)&gt;2,VLOOKUP(A125,COPY!$A$2:$O$1000,2,FALSE),"")</f>
        <v/>
      </c>
      <c r="E125" s="607" t="str">
        <f>IF(LEN(A125)&gt;2,VLOOKUP(A125,COPY!$A$2:$O$1000,10,FALSE),"")</f>
        <v/>
      </c>
      <c r="F125" s="542" t="str">
        <f>IF(LEN(A125)&gt;2,VLOOKUP(A125,COPY!$A$2:$O$1000,8,FALSE),"")</f>
        <v/>
      </c>
      <c r="G125" s="543" t="str">
        <f>IF(LEN(A125)&gt;2,VLOOKUP(A125,COPY!$A$2:$O$1000,7,FALSE),"")</f>
        <v/>
      </c>
      <c r="H125" s="544" t="str">
        <f t="shared" si="15"/>
        <v/>
      </c>
      <c r="I125" s="545" t="str">
        <f>IFERROR(IF(LEN(A125)&gt;2,VLOOKUP(A125,COPY!$A$2:$O$1000,13,FALSE),"")/E125,"")</f>
        <v/>
      </c>
      <c r="J125" s="546"/>
      <c r="K125" s="547" t="str">
        <f t="shared" si="16"/>
        <v/>
      </c>
      <c r="L125" s="548" t="str">
        <f t="shared" ref="L125:L167" si="19">IF(E125="","",IF(O125&gt;=0,O125,IF(O125&lt;0,0,0)))</f>
        <v/>
      </c>
      <c r="M125" s="549">
        <f t="shared" ref="M125:M167" si="20">IF(O125&lt;0,O125,IF(O125&gt;=0,0,0))</f>
        <v>0</v>
      </c>
      <c r="O125" s="538">
        <f t="shared" ref="O125:O169" si="21">IF(E125="",O124,IF(L124&gt;0,L124-K125,IF(M124&lt;=0,M124-K125,0)))</f>
        <v>21622590</v>
      </c>
      <c r="P125" s="550"/>
      <c r="Q125" s="551"/>
    </row>
    <row r="126" spans="1:17" s="253" customFormat="1" ht="20.100000000000001" hidden="1" customHeight="1" x14ac:dyDescent="0.25">
      <c r="A126" s="253" t="str">
        <f t="shared" si="12"/>
        <v/>
      </c>
      <c r="B126" s="584" t="str">
        <f>IF(LEN(A126)&gt;2,VLOOKUP(A126,COPY!$A$2:$O$1000,4,FALSE),"")</f>
        <v/>
      </c>
      <c r="C126" s="585" t="str">
        <f>IF(LEN(A126)&gt;2,VLOOKUP(A126,COPY!$A$2:$O$1000,15,FALSE),"")</f>
        <v/>
      </c>
      <c r="D126" s="542" t="str">
        <f>IF(LEN(A126)&gt;2,VLOOKUP(A126,COPY!$A$2:$O$1000,2,FALSE),"")</f>
        <v/>
      </c>
      <c r="E126" s="607" t="str">
        <f>IF(LEN(A126)&gt;2,VLOOKUP(A126,COPY!$A$2:$O$1000,10,FALSE),"")</f>
        <v/>
      </c>
      <c r="F126" s="542" t="str">
        <f>IF(LEN(A126)&gt;2,VLOOKUP(A126,COPY!$A$2:$O$1000,8,FALSE),"")</f>
        <v/>
      </c>
      <c r="G126" s="543" t="str">
        <f>IF(LEN(A126)&gt;2,VLOOKUP(A126,COPY!$A$2:$O$1000,7,FALSE),"")</f>
        <v/>
      </c>
      <c r="H126" s="544" t="str">
        <f t="shared" si="15"/>
        <v/>
      </c>
      <c r="I126" s="545" t="str">
        <f>IFERROR(IF(LEN(A126)&gt;2,VLOOKUP(A126,COPY!$A$2:$O$1000,13,FALSE),"")/E126,"")</f>
        <v/>
      </c>
      <c r="J126" s="546"/>
      <c r="K126" s="547" t="str">
        <f t="shared" si="16"/>
        <v/>
      </c>
      <c r="L126" s="548" t="str">
        <f t="shared" si="19"/>
        <v/>
      </c>
      <c r="M126" s="549">
        <f t="shared" si="20"/>
        <v>0</v>
      </c>
      <c r="O126" s="538">
        <f t="shared" si="21"/>
        <v>21622590</v>
      </c>
      <c r="P126" s="550"/>
      <c r="Q126" s="551"/>
    </row>
    <row r="127" spans="1:17" s="253" customFormat="1" ht="20.100000000000001" hidden="1" customHeight="1" x14ac:dyDescent="0.25">
      <c r="A127" s="253" t="str">
        <f t="shared" si="12"/>
        <v/>
      </c>
      <c r="B127" s="584" t="str">
        <f>IF(LEN(A127)&gt;2,VLOOKUP(A127,COPY!$A$2:$O$1000,4,FALSE),"")</f>
        <v/>
      </c>
      <c r="C127" s="585" t="str">
        <f>IF(LEN(A127)&gt;2,VLOOKUP(A127,COPY!$A$2:$O$1000,15,FALSE),"")</f>
        <v/>
      </c>
      <c r="D127" s="542" t="str">
        <f>IF(LEN(A127)&gt;2,VLOOKUP(A127,COPY!$A$2:$O$1000,2,FALSE),"")</f>
        <v/>
      </c>
      <c r="E127" s="607" t="str">
        <f>IF(LEN(A127)&gt;2,VLOOKUP(A127,COPY!$A$2:$O$1000,10,FALSE),"")</f>
        <v/>
      </c>
      <c r="F127" s="542" t="str">
        <f>IF(LEN(A127)&gt;2,VLOOKUP(A127,COPY!$A$2:$O$1000,8,FALSE),"")</f>
        <v/>
      </c>
      <c r="G127" s="543" t="str">
        <f>IF(LEN(A127)&gt;2,VLOOKUP(A127,COPY!$A$2:$O$1000,7,FALSE),"")</f>
        <v/>
      </c>
      <c r="H127" s="544" t="str">
        <f t="shared" si="15"/>
        <v/>
      </c>
      <c r="I127" s="545" t="str">
        <f>IFERROR(IF(LEN(A127)&gt;2,VLOOKUP(A127,COPY!$A$2:$O$1000,13,FALSE),"")/E127,"")</f>
        <v/>
      </c>
      <c r="J127" s="546"/>
      <c r="K127" s="547" t="str">
        <f t="shared" si="16"/>
        <v/>
      </c>
      <c r="L127" s="548" t="str">
        <f t="shared" si="19"/>
        <v/>
      </c>
      <c r="M127" s="549">
        <f t="shared" si="20"/>
        <v>0</v>
      </c>
      <c r="O127" s="538">
        <f t="shared" si="21"/>
        <v>21622590</v>
      </c>
      <c r="P127" s="550"/>
      <c r="Q127" s="551"/>
    </row>
    <row r="128" spans="1:17" s="253" customFormat="1" ht="20.100000000000001" hidden="1" customHeight="1" x14ac:dyDescent="0.25">
      <c r="A128" s="253" t="str">
        <f t="shared" si="12"/>
        <v/>
      </c>
      <c r="B128" s="584" t="str">
        <f>IF(LEN(A128)&gt;2,VLOOKUP(A128,COPY!$A$2:$O$1000,4,FALSE),"")</f>
        <v/>
      </c>
      <c r="C128" s="585" t="str">
        <f>IF(LEN(A128)&gt;2,VLOOKUP(A128,COPY!$A$2:$O$1000,15,FALSE),"")</f>
        <v/>
      </c>
      <c r="D128" s="542" t="str">
        <f>IF(LEN(A128)&gt;2,VLOOKUP(A128,COPY!$A$2:$O$1000,2,FALSE),"")</f>
        <v/>
      </c>
      <c r="E128" s="607" t="str">
        <f>IF(LEN(A128)&gt;2,VLOOKUP(A128,COPY!$A$2:$O$1000,10,FALSE),"")</f>
        <v/>
      </c>
      <c r="F128" s="542" t="str">
        <f>IF(LEN(A128)&gt;2,VLOOKUP(A128,COPY!$A$2:$O$1000,8,FALSE),"")</f>
        <v/>
      </c>
      <c r="G128" s="543" t="str">
        <f>IF(LEN(A128)&gt;2,VLOOKUP(A128,COPY!$A$2:$O$1000,7,FALSE),"")</f>
        <v/>
      </c>
      <c r="H128" s="544" t="str">
        <f t="shared" si="15"/>
        <v/>
      </c>
      <c r="I128" s="545" t="str">
        <f>IFERROR(IF(LEN(A128)&gt;2,VLOOKUP(A128,COPY!$A$2:$O$1000,13,FALSE),"")/E128,"")</f>
        <v/>
      </c>
      <c r="J128" s="546"/>
      <c r="K128" s="547" t="str">
        <f t="shared" si="16"/>
        <v/>
      </c>
      <c r="L128" s="548" t="str">
        <f t="shared" si="19"/>
        <v/>
      </c>
      <c r="M128" s="549">
        <f t="shared" si="20"/>
        <v>0</v>
      </c>
      <c r="O128" s="538">
        <f t="shared" si="21"/>
        <v>21622590</v>
      </c>
      <c r="P128" s="550"/>
      <c r="Q128" s="551"/>
    </row>
    <row r="129" spans="1:17" s="253" customFormat="1" ht="20.100000000000001" hidden="1" customHeight="1" x14ac:dyDescent="0.25">
      <c r="A129" s="253" t="str">
        <f t="shared" si="12"/>
        <v/>
      </c>
      <c r="B129" s="584" t="str">
        <f>IF(LEN(A129)&gt;2,VLOOKUP(A129,COPY!$A$2:$O$1000,4,FALSE),"")</f>
        <v/>
      </c>
      <c r="C129" s="585" t="str">
        <f>IF(LEN(A129)&gt;2,VLOOKUP(A129,COPY!$A$2:$O$1000,15,FALSE),"")</f>
        <v/>
      </c>
      <c r="D129" s="542" t="str">
        <f>IF(LEN(A129)&gt;2,VLOOKUP(A129,COPY!$A$2:$O$1000,2,FALSE),"")</f>
        <v/>
      </c>
      <c r="E129" s="607" t="str">
        <f>IF(LEN(A129)&gt;2,VLOOKUP(A129,COPY!$A$2:$O$1000,10,FALSE),"")</f>
        <v/>
      </c>
      <c r="F129" s="542" t="str">
        <f>IF(LEN(A129)&gt;2,VLOOKUP(A129,COPY!$A$2:$O$1000,8,FALSE),"")</f>
        <v/>
      </c>
      <c r="G129" s="543" t="str">
        <f>IF(LEN(A129)&gt;2,VLOOKUP(A129,COPY!$A$2:$O$1000,7,FALSE),"")</f>
        <v/>
      </c>
      <c r="H129" s="544" t="str">
        <f t="shared" si="15"/>
        <v/>
      </c>
      <c r="I129" s="545" t="str">
        <f>IFERROR(IF(LEN(A129)&gt;2,VLOOKUP(A129,COPY!$A$2:$O$1000,13,FALSE),"")/E129,"")</f>
        <v/>
      </c>
      <c r="J129" s="546"/>
      <c r="K129" s="547" t="str">
        <f t="shared" si="16"/>
        <v/>
      </c>
      <c r="L129" s="548" t="str">
        <f t="shared" si="19"/>
        <v/>
      </c>
      <c r="M129" s="549">
        <f t="shared" si="20"/>
        <v>0</v>
      </c>
      <c r="O129" s="538">
        <f t="shared" si="21"/>
        <v>21622590</v>
      </c>
      <c r="P129" s="550"/>
      <c r="Q129" s="551"/>
    </row>
    <row r="130" spans="1:17" s="253" customFormat="1" ht="20.100000000000001" hidden="1" customHeight="1" x14ac:dyDescent="0.25">
      <c r="A130" s="253" t="str">
        <f t="shared" si="12"/>
        <v/>
      </c>
      <c r="B130" s="584" t="str">
        <f>IF(LEN(A130)&gt;2,VLOOKUP(A130,COPY!$A$2:$O$1000,4,FALSE),"")</f>
        <v/>
      </c>
      <c r="C130" s="585" t="str">
        <f>IF(LEN(A130)&gt;2,VLOOKUP(A130,COPY!$A$2:$O$1000,15,FALSE),"")</f>
        <v/>
      </c>
      <c r="D130" s="542" t="str">
        <f>IF(LEN(A130)&gt;2,VLOOKUP(A130,COPY!$A$2:$O$1000,2,FALSE),"")</f>
        <v/>
      </c>
      <c r="E130" s="607" t="str">
        <f>IF(LEN(A130)&gt;2,VLOOKUP(A130,COPY!$A$2:$O$1000,10,FALSE),"")</f>
        <v/>
      </c>
      <c r="F130" s="542" t="str">
        <f>IF(LEN(A130)&gt;2,VLOOKUP(A130,COPY!$A$2:$O$1000,8,FALSE),"")</f>
        <v/>
      </c>
      <c r="G130" s="543" t="str">
        <f>IF(LEN(A130)&gt;2,VLOOKUP(A130,COPY!$A$2:$O$1000,7,FALSE),"")</f>
        <v/>
      </c>
      <c r="H130" s="544" t="str">
        <f t="shared" si="15"/>
        <v/>
      </c>
      <c r="I130" s="545" t="str">
        <f>IFERROR(IF(LEN(A130)&gt;2,VLOOKUP(A130,COPY!$A$2:$O$1000,13,FALSE),"")/E130,"")</f>
        <v/>
      </c>
      <c r="J130" s="546"/>
      <c r="K130" s="547" t="str">
        <f t="shared" si="16"/>
        <v/>
      </c>
      <c r="L130" s="548" t="str">
        <f t="shared" si="19"/>
        <v/>
      </c>
      <c r="M130" s="549">
        <f t="shared" si="20"/>
        <v>0</v>
      </c>
      <c r="O130" s="538">
        <f t="shared" si="21"/>
        <v>21622590</v>
      </c>
      <c r="P130" s="550"/>
      <c r="Q130" s="551"/>
    </row>
    <row r="131" spans="1:17" s="253" customFormat="1" ht="20.100000000000001" hidden="1" customHeight="1" x14ac:dyDescent="0.25">
      <c r="A131" s="253" t="str">
        <f t="shared" si="12"/>
        <v/>
      </c>
      <c r="B131" s="584" t="str">
        <f>IF(LEN(A131)&gt;2,VLOOKUP(A131,COPY!$A$2:$O$1000,4,FALSE),"")</f>
        <v/>
      </c>
      <c r="C131" s="585" t="str">
        <f>IF(LEN(A131)&gt;2,VLOOKUP(A131,COPY!$A$2:$O$1000,15,FALSE),"")</f>
        <v/>
      </c>
      <c r="D131" s="542" t="str">
        <f>IF(LEN(A131)&gt;2,VLOOKUP(A131,COPY!$A$2:$O$1000,2,FALSE),"")</f>
        <v/>
      </c>
      <c r="E131" s="607" t="str">
        <f>IF(LEN(A131)&gt;2,VLOOKUP(A131,COPY!$A$2:$O$1000,10,FALSE),"")</f>
        <v/>
      </c>
      <c r="F131" s="542" t="str">
        <f>IF(LEN(A131)&gt;2,VLOOKUP(A131,COPY!$A$2:$O$1000,8,FALSE),"")</f>
        <v/>
      </c>
      <c r="G131" s="543" t="str">
        <f>IF(LEN(A131)&gt;2,VLOOKUP(A131,COPY!$A$2:$O$1000,7,FALSE),"")</f>
        <v/>
      </c>
      <c r="H131" s="544" t="str">
        <f t="shared" si="15"/>
        <v/>
      </c>
      <c r="I131" s="545" t="str">
        <f>IFERROR(IF(LEN(A131)&gt;2,VLOOKUP(A131,COPY!$A$2:$O$1000,13,FALSE),"")/E131,"")</f>
        <v/>
      </c>
      <c r="J131" s="546"/>
      <c r="K131" s="547" t="str">
        <f t="shared" si="16"/>
        <v/>
      </c>
      <c r="L131" s="548" t="str">
        <f t="shared" si="19"/>
        <v/>
      </c>
      <c r="M131" s="549">
        <f t="shared" si="20"/>
        <v>0</v>
      </c>
      <c r="O131" s="538">
        <f t="shared" si="21"/>
        <v>21622590</v>
      </c>
      <c r="P131" s="550"/>
      <c r="Q131" s="551"/>
    </row>
    <row r="132" spans="1:17" s="253" customFormat="1" ht="20.100000000000001" hidden="1" customHeight="1" x14ac:dyDescent="0.25">
      <c r="A132" s="253" t="str">
        <f t="shared" si="12"/>
        <v/>
      </c>
      <c r="B132" s="584" t="str">
        <f>IF(LEN(A132)&gt;2,VLOOKUP(A132,COPY!$A$2:$O$1000,4,FALSE),"")</f>
        <v/>
      </c>
      <c r="C132" s="585" t="str">
        <f>IF(LEN(A132)&gt;2,VLOOKUP(A132,COPY!$A$2:$O$1000,15,FALSE),"")</f>
        <v/>
      </c>
      <c r="D132" s="542" t="str">
        <f>IF(LEN(A132)&gt;2,VLOOKUP(A132,COPY!$A$2:$O$1000,2,FALSE),"")</f>
        <v/>
      </c>
      <c r="E132" s="607" t="str">
        <f>IF(LEN(A132)&gt;2,VLOOKUP(A132,COPY!$A$2:$O$1000,10,FALSE),"")</f>
        <v/>
      </c>
      <c r="F132" s="542" t="str">
        <f>IF(LEN(A132)&gt;2,VLOOKUP(A132,COPY!$A$2:$O$1000,8,FALSE),"")</f>
        <v/>
      </c>
      <c r="G132" s="543" t="str">
        <f>IF(LEN(A132)&gt;2,VLOOKUP(A132,COPY!$A$2:$O$1000,7,FALSE),"")</f>
        <v/>
      </c>
      <c r="H132" s="544" t="str">
        <f t="shared" si="15"/>
        <v/>
      </c>
      <c r="I132" s="545" t="str">
        <f>IFERROR(IF(LEN(A132)&gt;2,VLOOKUP(A132,COPY!$A$2:$O$1000,13,FALSE),"")/E132,"")</f>
        <v/>
      </c>
      <c r="J132" s="546"/>
      <c r="K132" s="547" t="str">
        <f t="shared" si="16"/>
        <v/>
      </c>
      <c r="L132" s="548" t="str">
        <f t="shared" si="19"/>
        <v/>
      </c>
      <c r="M132" s="549">
        <f t="shared" si="20"/>
        <v>0</v>
      </c>
      <c r="O132" s="538">
        <f t="shared" si="21"/>
        <v>21622590</v>
      </c>
      <c r="P132" s="550"/>
      <c r="Q132" s="551"/>
    </row>
    <row r="133" spans="1:17" s="253" customFormat="1" ht="20.100000000000001" hidden="1" customHeight="1" x14ac:dyDescent="0.25">
      <c r="A133" s="253" t="str">
        <f t="shared" si="12"/>
        <v/>
      </c>
      <c r="B133" s="584" t="str">
        <f>IF(LEN(A133)&gt;2,VLOOKUP(A133,COPY!$A$2:$O$1000,4,FALSE),"")</f>
        <v/>
      </c>
      <c r="C133" s="585" t="str">
        <f>IF(LEN(A133)&gt;2,VLOOKUP(A133,COPY!$A$2:$O$1000,15,FALSE),"")</f>
        <v/>
      </c>
      <c r="D133" s="542" t="str">
        <f>IF(LEN(A133)&gt;2,VLOOKUP(A133,COPY!$A$2:$O$1000,2,FALSE),"")</f>
        <v/>
      </c>
      <c r="E133" s="607" t="str">
        <f>IF(LEN(A133)&gt;2,VLOOKUP(A133,COPY!$A$2:$O$1000,10,FALSE),"")</f>
        <v/>
      </c>
      <c r="F133" s="542" t="str">
        <f>IF(LEN(A133)&gt;2,VLOOKUP(A133,COPY!$A$2:$O$1000,8,FALSE),"")</f>
        <v/>
      </c>
      <c r="G133" s="543" t="str">
        <f>IF(LEN(A133)&gt;2,VLOOKUP(A133,COPY!$A$2:$O$1000,7,FALSE),"")</f>
        <v/>
      </c>
      <c r="H133" s="544" t="str">
        <f t="shared" si="15"/>
        <v/>
      </c>
      <c r="I133" s="545" t="str">
        <f>IFERROR(IF(LEN(A133)&gt;2,VLOOKUP(A133,COPY!$A$2:$O$1000,13,FALSE),"")/E133,"")</f>
        <v/>
      </c>
      <c r="J133" s="546"/>
      <c r="K133" s="547" t="str">
        <f t="shared" si="16"/>
        <v/>
      </c>
      <c r="L133" s="548" t="str">
        <f t="shared" si="19"/>
        <v/>
      </c>
      <c r="M133" s="549">
        <f t="shared" si="20"/>
        <v>0</v>
      </c>
      <c r="O133" s="538">
        <f t="shared" si="21"/>
        <v>21622590</v>
      </c>
      <c r="P133" s="550"/>
      <c r="Q133" s="551"/>
    </row>
    <row r="134" spans="1:17" s="253" customFormat="1" ht="20.100000000000001" hidden="1" customHeight="1" x14ac:dyDescent="0.25">
      <c r="A134" s="253" t="str">
        <f t="shared" si="12"/>
        <v/>
      </c>
      <c r="B134" s="584" t="str">
        <f>IF(LEN(A134)&gt;2,VLOOKUP(A134,COPY!$A$2:$O$1000,4,FALSE),"")</f>
        <v/>
      </c>
      <c r="C134" s="585" t="str">
        <f>IF(LEN(A134)&gt;2,VLOOKUP(A134,COPY!$A$2:$O$1000,15,FALSE),"")</f>
        <v/>
      </c>
      <c r="D134" s="542" t="str">
        <f>IF(LEN(A134)&gt;2,VLOOKUP(A134,COPY!$A$2:$O$1000,2,FALSE),"")</f>
        <v/>
      </c>
      <c r="E134" s="607" t="str">
        <f>IF(LEN(A134)&gt;2,VLOOKUP(A134,COPY!$A$2:$O$1000,10,FALSE),"")</f>
        <v/>
      </c>
      <c r="F134" s="542" t="str">
        <f>IF(LEN(A134)&gt;2,VLOOKUP(A134,COPY!$A$2:$O$1000,8,FALSE),"")</f>
        <v/>
      </c>
      <c r="G134" s="543" t="str">
        <f>IF(LEN(A134)&gt;2,VLOOKUP(A134,COPY!$A$2:$O$1000,7,FALSE),"")</f>
        <v/>
      </c>
      <c r="H134" s="544" t="str">
        <f t="shared" si="15"/>
        <v/>
      </c>
      <c r="I134" s="545" t="str">
        <f>IFERROR(IF(LEN(A134)&gt;2,VLOOKUP(A134,COPY!$A$2:$O$1000,13,FALSE),"")/E134,"")</f>
        <v/>
      </c>
      <c r="J134" s="546"/>
      <c r="K134" s="547" t="str">
        <f t="shared" si="16"/>
        <v/>
      </c>
      <c r="L134" s="548" t="str">
        <f t="shared" si="19"/>
        <v/>
      </c>
      <c r="M134" s="549">
        <f t="shared" si="20"/>
        <v>0</v>
      </c>
      <c r="O134" s="538">
        <f t="shared" si="21"/>
        <v>21622590</v>
      </c>
      <c r="P134" s="550"/>
      <c r="Q134" s="551"/>
    </row>
    <row r="135" spans="1:17" s="253" customFormat="1" ht="20.100000000000001" hidden="1" customHeight="1" x14ac:dyDescent="0.25">
      <c r="A135" s="253" t="str">
        <f t="shared" si="12"/>
        <v/>
      </c>
      <c r="B135" s="584" t="str">
        <f>IF(LEN(A135)&gt;2,VLOOKUP(A135,COPY!$A$2:$O$1000,4,FALSE),"")</f>
        <v/>
      </c>
      <c r="C135" s="585" t="str">
        <f>IF(LEN(A135)&gt;2,VLOOKUP(A135,COPY!$A$2:$O$1000,15,FALSE),"")</f>
        <v/>
      </c>
      <c r="D135" s="542" t="str">
        <f>IF(LEN(A135)&gt;2,VLOOKUP(A135,COPY!$A$2:$O$1000,2,FALSE),"")</f>
        <v/>
      </c>
      <c r="E135" s="607" t="str">
        <f>IF(LEN(A135)&gt;2,VLOOKUP(A135,COPY!$A$2:$O$1000,10,FALSE),"")</f>
        <v/>
      </c>
      <c r="F135" s="542" t="str">
        <f>IF(LEN(A135)&gt;2,VLOOKUP(A135,COPY!$A$2:$O$1000,8,FALSE),"")</f>
        <v/>
      </c>
      <c r="G135" s="543" t="str">
        <f>IF(LEN(A135)&gt;2,VLOOKUP(A135,COPY!$A$2:$O$1000,7,FALSE),"")</f>
        <v/>
      </c>
      <c r="H135" s="544" t="str">
        <f t="shared" si="15"/>
        <v/>
      </c>
      <c r="I135" s="545" t="str">
        <f>IFERROR(IF(LEN(A135)&gt;2,VLOOKUP(A135,COPY!$A$2:$O$1000,13,FALSE),"")/E135,"")</f>
        <v/>
      </c>
      <c r="J135" s="546"/>
      <c r="K135" s="547" t="str">
        <f t="shared" si="16"/>
        <v/>
      </c>
      <c r="L135" s="548" t="str">
        <f t="shared" si="19"/>
        <v/>
      </c>
      <c r="M135" s="549">
        <f t="shared" si="20"/>
        <v>0</v>
      </c>
      <c r="O135" s="538">
        <f t="shared" si="21"/>
        <v>21622590</v>
      </c>
      <c r="P135" s="550"/>
      <c r="Q135" s="551"/>
    </row>
    <row r="136" spans="1:17" s="253" customFormat="1" ht="20.100000000000001" hidden="1" customHeight="1" x14ac:dyDescent="0.25">
      <c r="A136" s="253" t="str">
        <f t="shared" si="12"/>
        <v/>
      </c>
      <c r="B136" s="584" t="str">
        <f>IF(LEN(A136)&gt;2,VLOOKUP(A136,COPY!$A$2:$O$1000,4,FALSE),"")</f>
        <v/>
      </c>
      <c r="C136" s="585" t="str">
        <f>IF(LEN(A136)&gt;2,VLOOKUP(A136,COPY!$A$2:$O$1000,15,FALSE),"")</f>
        <v/>
      </c>
      <c r="D136" s="542" t="str">
        <f>IF(LEN(A136)&gt;2,VLOOKUP(A136,COPY!$A$2:$O$1000,2,FALSE),"")</f>
        <v/>
      </c>
      <c r="E136" s="607" t="str">
        <f>IF(LEN(A136)&gt;2,VLOOKUP(A136,COPY!$A$2:$O$1000,10,FALSE),"")</f>
        <v/>
      </c>
      <c r="F136" s="542" t="str">
        <f>IF(LEN(A136)&gt;2,VLOOKUP(A136,COPY!$A$2:$O$1000,8,FALSE),"")</f>
        <v/>
      </c>
      <c r="G136" s="543" t="str">
        <f>IF(LEN(A136)&gt;2,VLOOKUP(A136,COPY!$A$2:$O$1000,7,FALSE),"")</f>
        <v/>
      </c>
      <c r="H136" s="544" t="str">
        <f t="shared" si="15"/>
        <v/>
      </c>
      <c r="I136" s="545" t="str">
        <f>IFERROR(IF(LEN(A136)&gt;2,VLOOKUP(A136,COPY!$A$2:$O$1000,13,FALSE),"")/E136,"")</f>
        <v/>
      </c>
      <c r="J136" s="546"/>
      <c r="K136" s="547" t="str">
        <f t="shared" si="16"/>
        <v/>
      </c>
      <c r="L136" s="548" t="str">
        <f t="shared" si="19"/>
        <v/>
      </c>
      <c r="M136" s="549">
        <f t="shared" si="20"/>
        <v>0</v>
      </c>
      <c r="O136" s="538">
        <f t="shared" si="21"/>
        <v>21622590</v>
      </c>
      <c r="P136" s="550"/>
      <c r="Q136" s="551"/>
    </row>
    <row r="137" spans="1:17" s="253" customFormat="1" ht="20.100000000000001" hidden="1" customHeight="1" x14ac:dyDescent="0.25">
      <c r="A137" s="253" t="str">
        <f t="shared" si="12"/>
        <v/>
      </c>
      <c r="B137" s="584" t="str">
        <f>IF(LEN(A137)&gt;2,VLOOKUP(A137,COPY!$A$2:$O$1000,4,FALSE),"")</f>
        <v/>
      </c>
      <c r="C137" s="585" t="str">
        <f>IF(LEN(A137)&gt;2,VLOOKUP(A137,COPY!$A$2:$O$1000,15,FALSE),"")</f>
        <v/>
      </c>
      <c r="D137" s="542" t="str">
        <f>IF(LEN(A137)&gt;2,VLOOKUP(A137,COPY!$A$2:$O$1000,2,FALSE),"")</f>
        <v/>
      </c>
      <c r="E137" s="607" t="str">
        <f>IF(LEN(A137)&gt;2,VLOOKUP(A137,COPY!$A$2:$O$1000,10,FALSE),"")</f>
        <v/>
      </c>
      <c r="F137" s="542" t="str">
        <f>IF(LEN(A137)&gt;2,VLOOKUP(A137,COPY!$A$2:$O$1000,8,FALSE),"")</f>
        <v/>
      </c>
      <c r="G137" s="543" t="str">
        <f>IF(LEN(A137)&gt;2,VLOOKUP(A137,COPY!$A$2:$O$1000,7,FALSE),"")</f>
        <v/>
      </c>
      <c r="H137" s="544" t="str">
        <f t="shared" si="15"/>
        <v/>
      </c>
      <c r="I137" s="545" t="str">
        <f>IFERROR(IF(LEN(A137)&gt;2,VLOOKUP(A137,COPY!$A$2:$O$1000,13,FALSE),"")/E137,"")</f>
        <v/>
      </c>
      <c r="J137" s="546"/>
      <c r="K137" s="547" t="str">
        <f t="shared" si="16"/>
        <v/>
      </c>
      <c r="L137" s="548" t="str">
        <f t="shared" si="19"/>
        <v/>
      </c>
      <c r="M137" s="549">
        <f t="shared" si="20"/>
        <v>0</v>
      </c>
      <c r="O137" s="538">
        <f t="shared" si="21"/>
        <v>21622590</v>
      </c>
      <c r="P137" s="550"/>
      <c r="Q137" s="551"/>
    </row>
    <row r="138" spans="1:17" s="253" customFormat="1" ht="20.100000000000001" hidden="1" customHeight="1" x14ac:dyDescent="0.25">
      <c r="A138" s="253" t="str">
        <f t="shared" si="12"/>
        <v/>
      </c>
      <c r="B138" s="584" t="str">
        <f>IF(LEN(A138)&gt;2,VLOOKUP(A138,COPY!$A$2:$O$1000,4,FALSE),"")</f>
        <v/>
      </c>
      <c r="C138" s="585" t="str">
        <f>IF(LEN(A138)&gt;2,VLOOKUP(A138,COPY!$A$2:$O$1000,15,FALSE),"")</f>
        <v/>
      </c>
      <c r="D138" s="542" t="str">
        <f>IF(LEN(A138)&gt;2,VLOOKUP(A138,COPY!$A$2:$O$1000,2,FALSE),"")</f>
        <v/>
      </c>
      <c r="E138" s="607" t="str">
        <f>IF(LEN(A138)&gt;2,VLOOKUP(A138,COPY!$A$2:$O$1000,10,FALSE),"")</f>
        <v/>
      </c>
      <c r="F138" s="542" t="str">
        <f>IF(LEN(A138)&gt;2,VLOOKUP(A138,COPY!$A$2:$O$1000,8,FALSE),"")</f>
        <v/>
      </c>
      <c r="G138" s="543" t="str">
        <f>IF(LEN(A138)&gt;2,VLOOKUP(A138,COPY!$A$2:$O$1000,7,FALSE),"")</f>
        <v/>
      </c>
      <c r="H138" s="544" t="str">
        <f t="shared" si="15"/>
        <v/>
      </c>
      <c r="I138" s="545" t="str">
        <f>IFERROR(IF(LEN(A138)&gt;2,VLOOKUP(A138,COPY!$A$2:$O$1000,13,FALSE),"")/E138,"")</f>
        <v/>
      </c>
      <c r="J138" s="546"/>
      <c r="K138" s="547" t="str">
        <f t="shared" si="16"/>
        <v/>
      </c>
      <c r="L138" s="548" t="str">
        <f t="shared" si="19"/>
        <v/>
      </c>
      <c r="M138" s="549">
        <f t="shared" si="20"/>
        <v>0</v>
      </c>
      <c r="O138" s="538">
        <f t="shared" si="21"/>
        <v>21622590</v>
      </c>
      <c r="P138" s="550"/>
      <c r="Q138" s="551"/>
    </row>
    <row r="139" spans="1:17" s="253" customFormat="1" ht="20.100000000000001" hidden="1" customHeight="1" x14ac:dyDescent="0.25">
      <c r="A139" s="253" t="str">
        <f t="shared" si="12"/>
        <v/>
      </c>
      <c r="B139" s="584" t="str">
        <f>IF(LEN(A139)&gt;2,VLOOKUP(A139,COPY!$A$2:$O$1000,4,FALSE),"")</f>
        <v/>
      </c>
      <c r="C139" s="585" t="str">
        <f>IF(LEN(A139)&gt;2,VLOOKUP(A139,COPY!$A$2:$O$1000,15,FALSE),"")</f>
        <v/>
      </c>
      <c r="D139" s="542" t="str">
        <f>IF(LEN(A139)&gt;2,VLOOKUP(A139,COPY!$A$2:$O$1000,2,FALSE),"")</f>
        <v/>
      </c>
      <c r="E139" s="607" t="str">
        <f>IF(LEN(A139)&gt;2,VLOOKUP(A139,COPY!$A$2:$O$1000,10,FALSE),"")</f>
        <v/>
      </c>
      <c r="F139" s="542" t="str">
        <f>IF(LEN(A139)&gt;2,VLOOKUP(A139,COPY!$A$2:$O$1000,8,FALSE),"")</f>
        <v/>
      </c>
      <c r="G139" s="543" t="str">
        <f>IF(LEN(A139)&gt;2,VLOOKUP(A139,COPY!$A$2:$O$1000,7,FALSE),"")</f>
        <v/>
      </c>
      <c r="H139" s="544" t="str">
        <f t="shared" si="15"/>
        <v/>
      </c>
      <c r="I139" s="545" t="str">
        <f>IFERROR(IF(LEN(A139)&gt;2,VLOOKUP(A139,COPY!$A$2:$O$1000,13,FALSE),"")/E139,"")</f>
        <v/>
      </c>
      <c r="J139" s="546"/>
      <c r="K139" s="547" t="str">
        <f t="shared" si="16"/>
        <v/>
      </c>
      <c r="L139" s="548" t="str">
        <f t="shared" si="19"/>
        <v/>
      </c>
      <c r="M139" s="549">
        <f t="shared" si="20"/>
        <v>0</v>
      </c>
      <c r="O139" s="538">
        <f t="shared" si="21"/>
        <v>21622590</v>
      </c>
      <c r="P139" s="550"/>
      <c r="Q139" s="551"/>
    </row>
    <row r="140" spans="1:17" s="253" customFormat="1" ht="20.100000000000001" hidden="1" customHeight="1" x14ac:dyDescent="0.25">
      <c r="A140" s="253" t="str">
        <f t="shared" si="12"/>
        <v/>
      </c>
      <c r="B140" s="584" t="str">
        <f>IF(LEN(A140)&gt;2,VLOOKUP(A140,COPY!$A$2:$O$1000,4,FALSE),"")</f>
        <v/>
      </c>
      <c r="C140" s="585" t="str">
        <f>IF(LEN(A140)&gt;2,VLOOKUP(A140,COPY!$A$2:$O$1000,15,FALSE),"")</f>
        <v/>
      </c>
      <c r="D140" s="542" t="str">
        <f>IF(LEN(A140)&gt;2,VLOOKUP(A140,COPY!$A$2:$O$1000,2,FALSE),"")</f>
        <v/>
      </c>
      <c r="E140" s="607" t="str">
        <f>IF(LEN(A140)&gt;2,VLOOKUP(A140,COPY!$A$2:$O$1000,10,FALSE),"")</f>
        <v/>
      </c>
      <c r="F140" s="542" t="str">
        <f>IF(LEN(A140)&gt;2,VLOOKUP(A140,COPY!$A$2:$O$1000,8,FALSE),"")</f>
        <v/>
      </c>
      <c r="G140" s="543" t="str">
        <f>IF(LEN(A140)&gt;2,VLOOKUP(A140,COPY!$A$2:$O$1000,7,FALSE),"")</f>
        <v/>
      </c>
      <c r="H140" s="544" t="str">
        <f t="shared" si="15"/>
        <v/>
      </c>
      <c r="I140" s="545" t="str">
        <f>IFERROR(IF(LEN(A140)&gt;2,VLOOKUP(A140,COPY!$A$2:$O$1000,13,FALSE),"")/E140,"")</f>
        <v/>
      </c>
      <c r="J140" s="546"/>
      <c r="K140" s="547" t="str">
        <f t="shared" si="16"/>
        <v/>
      </c>
      <c r="L140" s="548" t="str">
        <f t="shared" si="19"/>
        <v/>
      </c>
      <c r="M140" s="549">
        <f t="shared" si="20"/>
        <v>0</v>
      </c>
      <c r="O140" s="538">
        <f t="shared" si="21"/>
        <v>21622590</v>
      </c>
      <c r="P140" s="550"/>
      <c r="Q140" s="551"/>
    </row>
    <row r="141" spans="1:17" s="253" customFormat="1" ht="20.100000000000001" hidden="1" customHeight="1" x14ac:dyDescent="0.25">
      <c r="A141" s="253" t="str">
        <f t="shared" si="12"/>
        <v/>
      </c>
      <c r="B141" s="584" t="str">
        <f>IF(LEN(A141)&gt;2,VLOOKUP(A141,COPY!$A$2:$O$1000,4,FALSE),"")</f>
        <v/>
      </c>
      <c r="C141" s="585" t="str">
        <f>IF(LEN(A141)&gt;2,VLOOKUP(A141,COPY!$A$2:$O$1000,15,FALSE),"")</f>
        <v/>
      </c>
      <c r="D141" s="542" t="str">
        <f>IF(LEN(A141)&gt;2,VLOOKUP(A141,COPY!$A$2:$O$1000,2,FALSE),"")</f>
        <v/>
      </c>
      <c r="E141" s="607" t="str">
        <f>IF(LEN(A141)&gt;2,VLOOKUP(A141,COPY!$A$2:$O$1000,10,FALSE),"")</f>
        <v/>
      </c>
      <c r="F141" s="542" t="str">
        <f>IF(LEN(A141)&gt;2,VLOOKUP(A141,COPY!$A$2:$O$1000,8,FALSE),"")</f>
        <v/>
      </c>
      <c r="G141" s="543" t="str">
        <f>IF(LEN(A141)&gt;2,VLOOKUP(A141,COPY!$A$2:$O$1000,7,FALSE),"")</f>
        <v/>
      </c>
      <c r="H141" s="544" t="str">
        <f t="shared" si="15"/>
        <v/>
      </c>
      <c r="I141" s="545" t="str">
        <f>IFERROR(IF(LEN(A141)&gt;2,VLOOKUP(A141,COPY!$A$2:$O$1000,13,FALSE),"")/E141,"")</f>
        <v/>
      </c>
      <c r="J141" s="546"/>
      <c r="K141" s="547" t="str">
        <f t="shared" si="16"/>
        <v/>
      </c>
      <c r="L141" s="548" t="str">
        <f t="shared" si="19"/>
        <v/>
      </c>
      <c r="M141" s="549">
        <f t="shared" si="20"/>
        <v>0</v>
      </c>
      <c r="O141" s="538">
        <f t="shared" si="21"/>
        <v>21622590</v>
      </c>
      <c r="P141" s="550"/>
      <c r="Q141" s="551"/>
    </row>
    <row r="142" spans="1:17" s="253" customFormat="1" ht="20.100000000000001" hidden="1" customHeight="1" x14ac:dyDescent="0.25">
      <c r="A142" s="253" t="str">
        <f t="shared" si="12"/>
        <v/>
      </c>
      <c r="B142" s="584" t="str">
        <f>IF(LEN(A142)&gt;2,VLOOKUP(A142,COPY!$A$2:$O$1000,4,FALSE),"")</f>
        <v/>
      </c>
      <c r="C142" s="585" t="str">
        <f>IF(LEN(A142)&gt;2,VLOOKUP(A142,COPY!$A$2:$O$1000,15,FALSE),"")</f>
        <v/>
      </c>
      <c r="D142" s="542" t="str">
        <f>IF(LEN(A142)&gt;2,VLOOKUP(A142,COPY!$A$2:$O$1000,2,FALSE),"")</f>
        <v/>
      </c>
      <c r="E142" s="607" t="str">
        <f>IF(LEN(A142)&gt;2,VLOOKUP(A142,COPY!$A$2:$O$1000,10,FALSE),"")</f>
        <v/>
      </c>
      <c r="F142" s="542" t="str">
        <f>IF(LEN(A142)&gt;2,VLOOKUP(A142,COPY!$A$2:$O$1000,8,FALSE),"")</f>
        <v/>
      </c>
      <c r="G142" s="543" t="str">
        <f>IF(LEN(A142)&gt;2,VLOOKUP(A142,COPY!$A$2:$O$1000,7,FALSE),"")</f>
        <v/>
      </c>
      <c r="H142" s="544" t="str">
        <f t="shared" si="15"/>
        <v/>
      </c>
      <c r="I142" s="545" t="str">
        <f>IFERROR(IF(LEN(A142)&gt;2,VLOOKUP(A142,COPY!$A$2:$O$1000,13,FALSE),"")/E142,"")</f>
        <v/>
      </c>
      <c r="J142" s="546"/>
      <c r="K142" s="547" t="str">
        <f t="shared" si="16"/>
        <v/>
      </c>
      <c r="L142" s="548" t="str">
        <f t="shared" si="19"/>
        <v/>
      </c>
      <c r="M142" s="549">
        <f t="shared" si="20"/>
        <v>0</v>
      </c>
      <c r="O142" s="538">
        <f t="shared" si="21"/>
        <v>21622590</v>
      </c>
      <c r="P142" s="550"/>
      <c r="Q142" s="551"/>
    </row>
    <row r="143" spans="1:17" s="253" customFormat="1" ht="20.100000000000001" hidden="1" customHeight="1" x14ac:dyDescent="0.25">
      <c r="A143" s="253" t="str">
        <f t="shared" si="12"/>
        <v/>
      </c>
      <c r="B143" s="584" t="str">
        <f>IF(LEN(A143)&gt;2,VLOOKUP(A143,COPY!$A$2:$O$1000,4,FALSE),"")</f>
        <v/>
      </c>
      <c r="C143" s="585" t="str">
        <f>IF(LEN(A143)&gt;2,VLOOKUP(A143,COPY!$A$2:$O$1000,15,FALSE),"")</f>
        <v/>
      </c>
      <c r="D143" s="542" t="str">
        <f>IF(LEN(A143)&gt;2,VLOOKUP(A143,COPY!$A$2:$O$1000,2,FALSE),"")</f>
        <v/>
      </c>
      <c r="E143" s="607" t="str">
        <f>IF(LEN(A143)&gt;2,VLOOKUP(A143,COPY!$A$2:$O$1000,10,FALSE),"")</f>
        <v/>
      </c>
      <c r="F143" s="542" t="str">
        <f>IF(LEN(A143)&gt;2,VLOOKUP(A143,COPY!$A$2:$O$1000,8,FALSE),"")</f>
        <v/>
      </c>
      <c r="G143" s="543" t="str">
        <f>IF(LEN(A143)&gt;2,VLOOKUP(A143,COPY!$A$2:$O$1000,7,FALSE),"")</f>
        <v/>
      </c>
      <c r="H143" s="544" t="str">
        <f t="shared" si="15"/>
        <v/>
      </c>
      <c r="I143" s="545" t="str">
        <f>IFERROR(IF(LEN(A143)&gt;2,VLOOKUP(A143,COPY!$A$2:$O$1000,13,FALSE),"")/E143,"")</f>
        <v/>
      </c>
      <c r="J143" s="546"/>
      <c r="K143" s="547" t="str">
        <f t="shared" si="16"/>
        <v/>
      </c>
      <c r="L143" s="548" t="str">
        <f t="shared" si="19"/>
        <v/>
      </c>
      <c r="M143" s="549">
        <f t="shared" si="20"/>
        <v>0</v>
      </c>
      <c r="O143" s="538">
        <f t="shared" si="21"/>
        <v>21622590</v>
      </c>
      <c r="P143" s="550"/>
      <c r="Q143" s="551"/>
    </row>
    <row r="144" spans="1:17" s="253" customFormat="1" ht="20.100000000000001" hidden="1" customHeight="1" x14ac:dyDescent="0.25">
      <c r="A144" s="253" t="str">
        <f t="shared" ref="A144:A169" si="22">IF(LEN(A143)&gt;2,$D$4&amp;"."&amp;IF(ROW()-ROW($A$15)+1&lt;=$A$10,ROW()-ROW($A$15)+1,""),"")</f>
        <v/>
      </c>
      <c r="B144" s="584" t="str">
        <f>IF(LEN(A144)&gt;2,VLOOKUP(A144,COPY!$A$2:$O$1000,4,FALSE),"")</f>
        <v/>
      </c>
      <c r="C144" s="585" t="str">
        <f>IF(LEN(A144)&gt;2,VLOOKUP(A144,COPY!$A$2:$O$1000,15,FALSE),"")</f>
        <v/>
      </c>
      <c r="D144" s="542" t="str">
        <f>IF(LEN(A144)&gt;2,VLOOKUP(A144,COPY!$A$2:$O$1000,2,FALSE),"")</f>
        <v/>
      </c>
      <c r="E144" s="607" t="str">
        <f>IF(LEN(A144)&gt;2,VLOOKUP(A144,COPY!$A$2:$O$1000,10,FALSE),"")</f>
        <v/>
      </c>
      <c r="F144" s="542" t="str">
        <f>IF(LEN(A144)&gt;2,VLOOKUP(A144,COPY!$A$2:$O$1000,8,FALSE),"")</f>
        <v/>
      </c>
      <c r="G144" s="543" t="str">
        <f>IF(LEN(A144)&gt;2,VLOOKUP(A144,COPY!$A$2:$O$1000,7,FALSE),"")</f>
        <v/>
      </c>
      <c r="H144" s="544" t="str">
        <f t="shared" si="15"/>
        <v/>
      </c>
      <c r="I144" s="545" t="str">
        <f>IFERROR(IF(LEN(A144)&gt;2,VLOOKUP(A144,COPY!$A$2:$O$1000,13,FALSE),"")/E144,"")</f>
        <v/>
      </c>
      <c r="J144" s="546"/>
      <c r="K144" s="547" t="str">
        <f t="shared" si="16"/>
        <v/>
      </c>
      <c r="L144" s="548" t="str">
        <f t="shared" si="19"/>
        <v/>
      </c>
      <c r="M144" s="549">
        <f t="shared" si="20"/>
        <v>0</v>
      </c>
      <c r="O144" s="538">
        <f t="shared" si="21"/>
        <v>21622590</v>
      </c>
      <c r="P144" s="550"/>
      <c r="Q144" s="551"/>
    </row>
    <row r="145" spans="1:17" s="253" customFormat="1" ht="20.100000000000001" hidden="1" customHeight="1" x14ac:dyDescent="0.25">
      <c r="A145" s="253" t="str">
        <f t="shared" si="22"/>
        <v/>
      </c>
      <c r="B145" s="584" t="str">
        <f>IF(LEN(A145)&gt;2,VLOOKUP(A145,COPY!$A$2:$O$1000,4,FALSE),"")</f>
        <v/>
      </c>
      <c r="C145" s="585" t="str">
        <f>IF(LEN(A145)&gt;2,VLOOKUP(A145,COPY!$A$2:$O$1000,15,FALSE),"")</f>
        <v/>
      </c>
      <c r="D145" s="542" t="str">
        <f>IF(LEN(A145)&gt;2,VLOOKUP(A145,COPY!$A$2:$O$1000,2,FALSE),"")</f>
        <v/>
      </c>
      <c r="E145" s="607" t="str">
        <f>IF(LEN(A145)&gt;2,VLOOKUP(A145,COPY!$A$2:$O$1000,10,FALSE),"")</f>
        <v/>
      </c>
      <c r="F145" s="542" t="str">
        <f>IF(LEN(A145)&gt;2,VLOOKUP(A145,COPY!$A$2:$O$1000,8,FALSE),"")</f>
        <v/>
      </c>
      <c r="G145" s="543" t="str">
        <f>IF(LEN(A145)&gt;2,VLOOKUP(A145,COPY!$A$2:$O$1000,7,FALSE),"")</f>
        <v/>
      </c>
      <c r="H145" s="544" t="str">
        <f t="shared" ref="H145:H167" si="23">IF(TEXT(D145,0)="Beli","@","")</f>
        <v/>
      </c>
      <c r="I145" s="545" t="str">
        <f>IFERROR(IF(LEN(A145)&gt;2,VLOOKUP(A145,COPY!$A$2:$O$1000,13,FALSE),"")/E145,"")</f>
        <v/>
      </c>
      <c r="J145" s="546"/>
      <c r="K145" s="547" t="str">
        <f t="shared" ref="K145:K167" si="24">IF(E145="","",IF(E145=0,I145,IF(E145&gt;0,E145*I145,0)))</f>
        <v/>
      </c>
      <c r="L145" s="548" t="str">
        <f t="shared" si="19"/>
        <v/>
      </c>
      <c r="M145" s="549">
        <f t="shared" si="20"/>
        <v>0</v>
      </c>
      <c r="O145" s="538">
        <f t="shared" si="21"/>
        <v>21622590</v>
      </c>
      <c r="P145" s="550"/>
      <c r="Q145" s="551"/>
    </row>
    <row r="146" spans="1:17" s="253" customFormat="1" ht="20.100000000000001" hidden="1" customHeight="1" x14ac:dyDescent="0.25">
      <c r="A146" s="253" t="str">
        <f t="shared" si="22"/>
        <v/>
      </c>
      <c r="B146" s="584" t="str">
        <f>IF(LEN(A146)&gt;2,VLOOKUP(A146,COPY!$A$2:$O$1000,4,FALSE),"")</f>
        <v/>
      </c>
      <c r="C146" s="585" t="str">
        <f>IF(LEN(A146)&gt;2,VLOOKUP(A146,COPY!$A$2:$O$1000,15,FALSE),"")</f>
        <v/>
      </c>
      <c r="D146" s="542" t="str">
        <f>IF(LEN(A146)&gt;2,VLOOKUP(A146,COPY!$A$2:$O$1000,2,FALSE),"")</f>
        <v/>
      </c>
      <c r="E146" s="607" t="str">
        <f>IF(LEN(A146)&gt;2,VLOOKUP(A146,COPY!$A$2:$O$1000,10,FALSE),"")</f>
        <v/>
      </c>
      <c r="F146" s="542" t="str">
        <f>IF(LEN(A146)&gt;2,VLOOKUP(A146,COPY!$A$2:$O$1000,8,FALSE),"")</f>
        <v/>
      </c>
      <c r="G146" s="543" t="str">
        <f>IF(LEN(A146)&gt;2,VLOOKUP(A146,COPY!$A$2:$O$1000,7,FALSE),"")</f>
        <v/>
      </c>
      <c r="H146" s="544" t="str">
        <f t="shared" si="23"/>
        <v/>
      </c>
      <c r="I146" s="545" t="str">
        <f>IFERROR(IF(LEN(A146)&gt;2,VLOOKUP(A146,COPY!$A$2:$O$1000,13,FALSE),"")/E146,"")</f>
        <v/>
      </c>
      <c r="J146" s="546"/>
      <c r="K146" s="547" t="str">
        <f t="shared" si="24"/>
        <v/>
      </c>
      <c r="L146" s="548" t="str">
        <f t="shared" si="19"/>
        <v/>
      </c>
      <c r="M146" s="549">
        <f t="shared" si="20"/>
        <v>0</v>
      </c>
      <c r="O146" s="538">
        <f t="shared" si="21"/>
        <v>21622590</v>
      </c>
      <c r="P146" s="550"/>
      <c r="Q146" s="551"/>
    </row>
    <row r="147" spans="1:17" s="253" customFormat="1" ht="20.100000000000001" hidden="1" customHeight="1" x14ac:dyDescent="0.25">
      <c r="A147" s="253" t="str">
        <f t="shared" si="22"/>
        <v/>
      </c>
      <c r="B147" s="584" t="str">
        <f>IF(LEN(A147)&gt;2,VLOOKUP(A147,COPY!$A$2:$O$1000,4,FALSE),"")</f>
        <v/>
      </c>
      <c r="C147" s="585" t="str">
        <f>IF(LEN(A147)&gt;2,VLOOKUP(A147,COPY!$A$2:$O$1000,15,FALSE),"")</f>
        <v/>
      </c>
      <c r="D147" s="542" t="str">
        <f>IF(LEN(A147)&gt;2,VLOOKUP(A147,COPY!$A$2:$O$1000,2,FALSE),"")</f>
        <v/>
      </c>
      <c r="E147" s="607" t="str">
        <f>IF(LEN(A147)&gt;2,VLOOKUP(A147,COPY!$A$2:$O$1000,10,FALSE),"")</f>
        <v/>
      </c>
      <c r="F147" s="542" t="str">
        <f>IF(LEN(A147)&gt;2,VLOOKUP(A147,COPY!$A$2:$O$1000,8,FALSE),"")</f>
        <v/>
      </c>
      <c r="G147" s="543" t="str">
        <f>IF(LEN(A147)&gt;2,VLOOKUP(A147,COPY!$A$2:$O$1000,7,FALSE),"")</f>
        <v/>
      </c>
      <c r="H147" s="544" t="str">
        <f t="shared" si="23"/>
        <v/>
      </c>
      <c r="I147" s="545" t="str">
        <f>IFERROR(IF(LEN(A147)&gt;2,VLOOKUP(A147,COPY!$A$2:$O$1000,13,FALSE),"")/E147,"")</f>
        <v/>
      </c>
      <c r="J147" s="546"/>
      <c r="K147" s="547" t="str">
        <f t="shared" si="24"/>
        <v/>
      </c>
      <c r="L147" s="548" t="str">
        <f t="shared" si="19"/>
        <v/>
      </c>
      <c r="M147" s="549">
        <f t="shared" si="20"/>
        <v>0</v>
      </c>
      <c r="O147" s="538">
        <f t="shared" si="21"/>
        <v>21622590</v>
      </c>
      <c r="P147" s="550"/>
      <c r="Q147" s="551"/>
    </row>
    <row r="148" spans="1:17" s="253" customFormat="1" ht="20.100000000000001" hidden="1" customHeight="1" x14ac:dyDescent="0.25">
      <c r="A148" s="253" t="str">
        <f t="shared" si="22"/>
        <v/>
      </c>
      <c r="B148" s="584" t="str">
        <f>IF(LEN(A148)&gt;2,VLOOKUP(A148,COPY!$A$2:$O$1000,4,FALSE),"")</f>
        <v/>
      </c>
      <c r="C148" s="585" t="str">
        <f>IF(LEN(A148)&gt;2,VLOOKUP(A148,COPY!$A$2:$O$1000,15,FALSE),"")</f>
        <v/>
      </c>
      <c r="D148" s="542" t="str">
        <f>IF(LEN(A148)&gt;2,VLOOKUP(A148,COPY!$A$2:$O$1000,2,FALSE),"")</f>
        <v/>
      </c>
      <c r="E148" s="607" t="str">
        <f>IF(LEN(A148)&gt;2,VLOOKUP(A148,COPY!$A$2:$O$1000,10,FALSE),"")</f>
        <v/>
      </c>
      <c r="F148" s="542" t="str">
        <f>IF(LEN(A148)&gt;2,VLOOKUP(A148,COPY!$A$2:$O$1000,8,FALSE),"")</f>
        <v/>
      </c>
      <c r="G148" s="543" t="str">
        <f>IF(LEN(A148)&gt;2,VLOOKUP(A148,COPY!$A$2:$O$1000,7,FALSE),"")</f>
        <v/>
      </c>
      <c r="H148" s="544" t="str">
        <f t="shared" si="23"/>
        <v/>
      </c>
      <c r="I148" s="545" t="str">
        <f>IFERROR(IF(LEN(A148)&gt;2,VLOOKUP(A148,COPY!$A$2:$O$1000,13,FALSE),"")/E148,"")</f>
        <v/>
      </c>
      <c r="J148" s="546"/>
      <c r="K148" s="547" t="str">
        <f t="shared" si="24"/>
        <v/>
      </c>
      <c r="L148" s="548" t="str">
        <f t="shared" si="19"/>
        <v/>
      </c>
      <c r="M148" s="549">
        <f t="shared" si="20"/>
        <v>0</v>
      </c>
      <c r="O148" s="538">
        <f t="shared" si="21"/>
        <v>21622590</v>
      </c>
      <c r="P148" s="550"/>
      <c r="Q148" s="551"/>
    </row>
    <row r="149" spans="1:17" s="253" customFormat="1" ht="20.100000000000001" hidden="1" customHeight="1" x14ac:dyDescent="0.25">
      <c r="A149" s="253" t="str">
        <f t="shared" si="22"/>
        <v/>
      </c>
      <c r="B149" s="584" t="str">
        <f>IF(LEN(A149)&gt;2,VLOOKUP(A149,COPY!$A$2:$O$1000,4,FALSE),"")</f>
        <v/>
      </c>
      <c r="C149" s="585" t="str">
        <f>IF(LEN(A149)&gt;2,VLOOKUP(A149,COPY!$A$2:$O$1000,15,FALSE),"")</f>
        <v/>
      </c>
      <c r="D149" s="542" t="str">
        <f>IF(LEN(A149)&gt;2,VLOOKUP(A149,COPY!$A$2:$O$1000,2,FALSE),"")</f>
        <v/>
      </c>
      <c r="E149" s="607" t="str">
        <f>IF(LEN(A149)&gt;2,VLOOKUP(A149,COPY!$A$2:$O$1000,10,FALSE),"")</f>
        <v/>
      </c>
      <c r="F149" s="542" t="str">
        <f>IF(LEN(A149)&gt;2,VLOOKUP(A149,COPY!$A$2:$O$1000,8,FALSE),"")</f>
        <v/>
      </c>
      <c r="G149" s="543" t="str">
        <f>IF(LEN(A149)&gt;2,VLOOKUP(A149,COPY!$A$2:$O$1000,7,FALSE),"")</f>
        <v/>
      </c>
      <c r="H149" s="544" t="str">
        <f t="shared" si="23"/>
        <v/>
      </c>
      <c r="I149" s="545" t="str">
        <f>IFERROR(IF(LEN(A149)&gt;2,VLOOKUP(A149,COPY!$A$2:$O$1000,13,FALSE),"")/E149,"")</f>
        <v/>
      </c>
      <c r="J149" s="546"/>
      <c r="K149" s="547" t="str">
        <f t="shared" si="24"/>
        <v/>
      </c>
      <c r="L149" s="548" t="str">
        <f t="shared" si="19"/>
        <v/>
      </c>
      <c r="M149" s="549">
        <f t="shared" si="20"/>
        <v>0</v>
      </c>
      <c r="O149" s="538">
        <f t="shared" si="21"/>
        <v>21622590</v>
      </c>
      <c r="P149" s="550"/>
      <c r="Q149" s="551"/>
    </row>
    <row r="150" spans="1:17" s="253" customFormat="1" ht="20.100000000000001" hidden="1" customHeight="1" x14ac:dyDescent="0.25">
      <c r="A150" s="253" t="str">
        <f t="shared" si="22"/>
        <v/>
      </c>
      <c r="B150" s="584" t="str">
        <f>IF(LEN(A150)&gt;2,VLOOKUP(A150,COPY!$A$2:$O$1000,4,FALSE),"")</f>
        <v/>
      </c>
      <c r="C150" s="585" t="str">
        <f>IF(LEN(A150)&gt;2,VLOOKUP(A150,COPY!$A$2:$O$1000,15,FALSE),"")</f>
        <v/>
      </c>
      <c r="D150" s="542" t="str">
        <f>IF(LEN(A150)&gt;2,VLOOKUP(A150,COPY!$A$2:$O$1000,2,FALSE),"")</f>
        <v/>
      </c>
      <c r="E150" s="607" t="str">
        <f>IF(LEN(A150)&gt;2,VLOOKUP(A150,COPY!$A$2:$O$1000,10,FALSE),"")</f>
        <v/>
      </c>
      <c r="F150" s="542" t="str">
        <f>IF(LEN(A150)&gt;2,VLOOKUP(A150,COPY!$A$2:$O$1000,8,FALSE),"")</f>
        <v/>
      </c>
      <c r="G150" s="543" t="str">
        <f>IF(LEN(A150)&gt;2,VLOOKUP(A150,COPY!$A$2:$O$1000,7,FALSE),"")</f>
        <v/>
      </c>
      <c r="H150" s="544" t="str">
        <f t="shared" si="23"/>
        <v/>
      </c>
      <c r="I150" s="545" t="str">
        <f>IFERROR(IF(LEN(A150)&gt;2,VLOOKUP(A150,COPY!$A$2:$O$1000,13,FALSE),"")/E150,"")</f>
        <v/>
      </c>
      <c r="J150" s="546"/>
      <c r="K150" s="547" t="str">
        <f t="shared" si="24"/>
        <v/>
      </c>
      <c r="L150" s="548" t="str">
        <f t="shared" si="19"/>
        <v/>
      </c>
      <c r="M150" s="549">
        <f t="shared" si="20"/>
        <v>0</v>
      </c>
      <c r="O150" s="538">
        <f t="shared" si="21"/>
        <v>21622590</v>
      </c>
      <c r="P150" s="550"/>
      <c r="Q150" s="551"/>
    </row>
    <row r="151" spans="1:17" s="253" customFormat="1" ht="20.100000000000001" hidden="1" customHeight="1" x14ac:dyDescent="0.25">
      <c r="A151" s="253" t="str">
        <f t="shared" si="22"/>
        <v/>
      </c>
      <c r="B151" s="584" t="str">
        <f>IF(LEN(A151)&gt;2,VLOOKUP(A151,COPY!$A$2:$O$1000,4,FALSE),"")</f>
        <v/>
      </c>
      <c r="C151" s="585" t="str">
        <f>IF(LEN(A151)&gt;2,VLOOKUP(A151,COPY!$A$2:$O$1000,15,FALSE),"")</f>
        <v/>
      </c>
      <c r="D151" s="542" t="str">
        <f>IF(LEN(A151)&gt;2,VLOOKUP(A151,COPY!$A$2:$O$1000,2,FALSE),"")</f>
        <v/>
      </c>
      <c r="E151" s="607" t="str">
        <f>IF(LEN(A151)&gt;2,VLOOKUP(A151,COPY!$A$2:$O$1000,10,FALSE),"")</f>
        <v/>
      </c>
      <c r="F151" s="542" t="str">
        <f>IF(LEN(A151)&gt;2,VLOOKUP(A151,COPY!$A$2:$O$1000,8,FALSE),"")</f>
        <v/>
      </c>
      <c r="G151" s="543" t="str">
        <f>IF(LEN(A151)&gt;2,VLOOKUP(A151,COPY!$A$2:$O$1000,7,FALSE),"")</f>
        <v/>
      </c>
      <c r="H151" s="544" t="str">
        <f t="shared" si="23"/>
        <v/>
      </c>
      <c r="I151" s="545" t="str">
        <f>IFERROR(IF(LEN(A151)&gt;2,VLOOKUP(A151,COPY!$A$2:$O$1000,13,FALSE),"")/E151,"")</f>
        <v/>
      </c>
      <c r="J151" s="546"/>
      <c r="K151" s="547" t="str">
        <f t="shared" si="24"/>
        <v/>
      </c>
      <c r="L151" s="548" t="str">
        <f t="shared" si="19"/>
        <v/>
      </c>
      <c r="M151" s="549">
        <f t="shared" si="20"/>
        <v>0</v>
      </c>
      <c r="O151" s="538">
        <f t="shared" si="21"/>
        <v>21622590</v>
      </c>
      <c r="P151" s="550"/>
      <c r="Q151" s="551"/>
    </row>
    <row r="152" spans="1:17" s="253" customFormat="1" ht="20.100000000000001" hidden="1" customHeight="1" x14ac:dyDescent="0.25">
      <c r="A152" s="253" t="str">
        <f t="shared" si="22"/>
        <v/>
      </c>
      <c r="B152" s="584" t="str">
        <f>IF(LEN(A152)&gt;2,VLOOKUP(A152,COPY!$A$2:$O$1000,4,FALSE),"")</f>
        <v/>
      </c>
      <c r="C152" s="585" t="str">
        <f>IF(LEN(A152)&gt;2,VLOOKUP(A152,COPY!$A$2:$O$1000,15,FALSE),"")</f>
        <v/>
      </c>
      <c r="D152" s="542" t="str">
        <f>IF(LEN(A152)&gt;2,VLOOKUP(A152,COPY!$A$2:$O$1000,2,FALSE),"")</f>
        <v/>
      </c>
      <c r="E152" s="607" t="str">
        <f>IF(LEN(A152)&gt;2,VLOOKUP(A152,COPY!$A$2:$O$1000,10,FALSE),"")</f>
        <v/>
      </c>
      <c r="F152" s="542" t="str">
        <f>IF(LEN(A152)&gt;2,VLOOKUP(A152,COPY!$A$2:$O$1000,8,FALSE),"")</f>
        <v/>
      </c>
      <c r="G152" s="543" t="str">
        <f>IF(LEN(A152)&gt;2,VLOOKUP(A152,COPY!$A$2:$O$1000,7,FALSE),"")</f>
        <v/>
      </c>
      <c r="H152" s="544" t="str">
        <f t="shared" si="23"/>
        <v/>
      </c>
      <c r="I152" s="545" t="str">
        <f>IFERROR(IF(LEN(A152)&gt;2,VLOOKUP(A152,COPY!$A$2:$O$1000,13,FALSE),"")/E152,"")</f>
        <v/>
      </c>
      <c r="J152" s="546"/>
      <c r="K152" s="547" t="str">
        <f t="shared" si="24"/>
        <v/>
      </c>
      <c r="L152" s="548" t="str">
        <f t="shared" si="19"/>
        <v/>
      </c>
      <c r="M152" s="549">
        <f t="shared" si="20"/>
        <v>0</v>
      </c>
      <c r="O152" s="538">
        <f t="shared" si="21"/>
        <v>21622590</v>
      </c>
      <c r="P152" s="550"/>
      <c r="Q152" s="551"/>
    </row>
    <row r="153" spans="1:17" s="253" customFormat="1" ht="20.100000000000001" hidden="1" customHeight="1" x14ac:dyDescent="0.25">
      <c r="A153" s="253" t="str">
        <f t="shared" si="22"/>
        <v/>
      </c>
      <c r="B153" s="584" t="str">
        <f>IF(LEN(A153)&gt;2,VLOOKUP(A153,COPY!$A$2:$O$1000,4,FALSE),"")</f>
        <v/>
      </c>
      <c r="C153" s="585" t="str">
        <f>IF(LEN(A153)&gt;2,VLOOKUP(A153,COPY!$A$2:$O$1000,15,FALSE),"")</f>
        <v/>
      </c>
      <c r="D153" s="542" t="str">
        <f>IF(LEN(A153)&gt;2,VLOOKUP(A153,COPY!$A$2:$O$1000,2,FALSE),"")</f>
        <v/>
      </c>
      <c r="E153" s="607" t="str">
        <f>IF(LEN(A153)&gt;2,VLOOKUP(A153,COPY!$A$2:$O$1000,10,FALSE),"")</f>
        <v/>
      </c>
      <c r="F153" s="542" t="str">
        <f>IF(LEN(A153)&gt;2,VLOOKUP(A153,COPY!$A$2:$O$1000,8,FALSE),"")</f>
        <v/>
      </c>
      <c r="G153" s="543" t="str">
        <f>IF(LEN(A153)&gt;2,VLOOKUP(A153,COPY!$A$2:$O$1000,7,FALSE),"")</f>
        <v/>
      </c>
      <c r="H153" s="544" t="str">
        <f t="shared" si="23"/>
        <v/>
      </c>
      <c r="I153" s="545" t="str">
        <f>IFERROR(IF(LEN(A153)&gt;2,VLOOKUP(A153,COPY!$A$2:$O$1000,13,FALSE),"")/E153,"")</f>
        <v/>
      </c>
      <c r="J153" s="546"/>
      <c r="K153" s="547" t="str">
        <f t="shared" si="24"/>
        <v/>
      </c>
      <c r="L153" s="548" t="str">
        <f t="shared" si="19"/>
        <v/>
      </c>
      <c r="M153" s="549">
        <f t="shared" si="20"/>
        <v>0</v>
      </c>
      <c r="O153" s="538">
        <f t="shared" si="21"/>
        <v>21622590</v>
      </c>
      <c r="P153" s="550"/>
      <c r="Q153" s="551"/>
    </row>
    <row r="154" spans="1:17" s="253" customFormat="1" ht="20.100000000000001" hidden="1" customHeight="1" x14ac:dyDescent="0.25">
      <c r="A154" s="253" t="str">
        <f t="shared" si="22"/>
        <v/>
      </c>
      <c r="B154" s="584" t="str">
        <f>IF(LEN(A154)&gt;2,VLOOKUP(A154,COPY!$A$2:$O$1000,4,FALSE),"")</f>
        <v/>
      </c>
      <c r="C154" s="585" t="str">
        <f>IF(LEN(A154)&gt;2,VLOOKUP(A154,COPY!$A$2:$O$1000,15,FALSE),"")</f>
        <v/>
      </c>
      <c r="D154" s="542" t="str">
        <f>IF(LEN(A154)&gt;2,VLOOKUP(A154,COPY!$A$2:$O$1000,2,FALSE),"")</f>
        <v/>
      </c>
      <c r="E154" s="607" t="str">
        <f>IF(LEN(A154)&gt;2,VLOOKUP(A154,COPY!$A$2:$O$1000,10,FALSE),"")</f>
        <v/>
      </c>
      <c r="F154" s="542" t="str">
        <f>IF(LEN(A154)&gt;2,VLOOKUP(A154,COPY!$A$2:$O$1000,8,FALSE),"")</f>
        <v/>
      </c>
      <c r="G154" s="543" t="str">
        <f>IF(LEN(A154)&gt;2,VLOOKUP(A154,COPY!$A$2:$O$1000,7,FALSE),"")</f>
        <v/>
      </c>
      <c r="H154" s="544" t="str">
        <f t="shared" si="23"/>
        <v/>
      </c>
      <c r="I154" s="545" t="str">
        <f>IFERROR(IF(LEN(A154)&gt;2,VLOOKUP(A154,COPY!$A$2:$O$1000,13,FALSE),"")/E154,"")</f>
        <v/>
      </c>
      <c r="J154" s="546"/>
      <c r="K154" s="547" t="str">
        <f t="shared" si="24"/>
        <v/>
      </c>
      <c r="L154" s="548" t="str">
        <f t="shared" si="19"/>
        <v/>
      </c>
      <c r="M154" s="549">
        <f t="shared" si="20"/>
        <v>0</v>
      </c>
      <c r="O154" s="538">
        <f t="shared" si="21"/>
        <v>21622590</v>
      </c>
      <c r="P154" s="550"/>
      <c r="Q154" s="551"/>
    </row>
    <row r="155" spans="1:17" s="253" customFormat="1" ht="20.100000000000001" hidden="1" customHeight="1" x14ac:dyDescent="0.25">
      <c r="A155" s="253" t="str">
        <f t="shared" si="22"/>
        <v/>
      </c>
      <c r="B155" s="584" t="str">
        <f>IF(LEN(A155)&gt;2,VLOOKUP(A155,COPY!$A$2:$O$1000,4,FALSE),"")</f>
        <v/>
      </c>
      <c r="C155" s="585" t="str">
        <f>IF(LEN(A155)&gt;2,VLOOKUP(A155,COPY!$A$2:$O$1000,15,FALSE),"")</f>
        <v/>
      </c>
      <c r="D155" s="542" t="str">
        <f>IF(LEN(A155)&gt;2,VLOOKUP(A155,COPY!$A$2:$O$1000,2,FALSE),"")</f>
        <v/>
      </c>
      <c r="E155" s="607" t="str">
        <f>IF(LEN(A155)&gt;2,VLOOKUP(A155,COPY!$A$2:$O$1000,10,FALSE),"")</f>
        <v/>
      </c>
      <c r="F155" s="542" t="str">
        <f>IF(LEN(A155)&gt;2,VLOOKUP(A155,COPY!$A$2:$O$1000,8,FALSE),"")</f>
        <v/>
      </c>
      <c r="G155" s="543" t="str">
        <f>IF(LEN(A155)&gt;2,VLOOKUP(A155,COPY!$A$2:$O$1000,7,FALSE),"")</f>
        <v/>
      </c>
      <c r="H155" s="544" t="str">
        <f t="shared" si="23"/>
        <v/>
      </c>
      <c r="I155" s="545" t="str">
        <f>IFERROR(IF(LEN(A155)&gt;2,VLOOKUP(A155,COPY!$A$2:$O$1000,13,FALSE),"")/E155,"")</f>
        <v/>
      </c>
      <c r="J155" s="546"/>
      <c r="K155" s="547" t="str">
        <f t="shared" si="24"/>
        <v/>
      </c>
      <c r="L155" s="548" t="str">
        <f t="shared" si="19"/>
        <v/>
      </c>
      <c r="M155" s="549">
        <f t="shared" si="20"/>
        <v>0</v>
      </c>
      <c r="O155" s="538">
        <f t="shared" si="21"/>
        <v>21622590</v>
      </c>
      <c r="P155" s="550"/>
      <c r="Q155" s="551"/>
    </row>
    <row r="156" spans="1:17" s="253" customFormat="1" ht="20.100000000000001" hidden="1" customHeight="1" x14ac:dyDescent="0.25">
      <c r="A156" s="253" t="str">
        <f t="shared" si="22"/>
        <v/>
      </c>
      <c r="B156" s="584" t="str">
        <f>IF(LEN(A156)&gt;2,VLOOKUP(A156,COPY!$A$2:$O$1000,4,FALSE),"")</f>
        <v/>
      </c>
      <c r="C156" s="585" t="str">
        <f>IF(LEN(A156)&gt;2,VLOOKUP(A156,COPY!$A$2:$O$1000,15,FALSE),"")</f>
        <v/>
      </c>
      <c r="D156" s="542" t="str">
        <f>IF(LEN(A156)&gt;2,VLOOKUP(A156,COPY!$A$2:$O$1000,2,FALSE),"")</f>
        <v/>
      </c>
      <c r="E156" s="607" t="str">
        <f>IF(LEN(A156)&gt;2,VLOOKUP(A156,COPY!$A$2:$O$1000,10,FALSE),"")</f>
        <v/>
      </c>
      <c r="F156" s="542" t="str">
        <f>IF(LEN(A156)&gt;2,VLOOKUP(A156,COPY!$A$2:$O$1000,8,FALSE),"")</f>
        <v/>
      </c>
      <c r="G156" s="543" t="str">
        <f>IF(LEN(A156)&gt;2,VLOOKUP(A156,COPY!$A$2:$O$1000,7,FALSE),"")</f>
        <v/>
      </c>
      <c r="H156" s="544" t="str">
        <f t="shared" si="23"/>
        <v/>
      </c>
      <c r="I156" s="545" t="str">
        <f>IFERROR(IF(LEN(A156)&gt;2,VLOOKUP(A156,COPY!$A$2:$O$1000,13,FALSE),"")/E156,"")</f>
        <v/>
      </c>
      <c r="J156" s="546"/>
      <c r="K156" s="547" t="str">
        <f t="shared" si="24"/>
        <v/>
      </c>
      <c r="L156" s="548" t="str">
        <f t="shared" si="19"/>
        <v/>
      </c>
      <c r="M156" s="549">
        <f t="shared" si="20"/>
        <v>0</v>
      </c>
      <c r="O156" s="538">
        <f t="shared" si="21"/>
        <v>21622590</v>
      </c>
      <c r="P156" s="550"/>
      <c r="Q156" s="551"/>
    </row>
    <row r="157" spans="1:17" s="253" customFormat="1" ht="20.100000000000001" hidden="1" customHeight="1" x14ac:dyDescent="0.25">
      <c r="A157" s="253" t="str">
        <f t="shared" si="22"/>
        <v/>
      </c>
      <c r="B157" s="584" t="str">
        <f>IF(LEN(A157)&gt;2,VLOOKUP(A157,COPY!$A$2:$O$1000,4,FALSE),"")</f>
        <v/>
      </c>
      <c r="C157" s="585" t="str">
        <f>IF(LEN(A157)&gt;2,VLOOKUP(A157,COPY!$A$2:$O$1000,15,FALSE),"")</f>
        <v/>
      </c>
      <c r="D157" s="542" t="str">
        <f>IF(LEN(A157)&gt;2,VLOOKUP(A157,COPY!$A$2:$O$1000,2,FALSE),"")</f>
        <v/>
      </c>
      <c r="E157" s="607" t="str">
        <f>IF(LEN(A157)&gt;2,VLOOKUP(A157,COPY!$A$2:$O$1000,10,FALSE),"")</f>
        <v/>
      </c>
      <c r="F157" s="542" t="str">
        <f>IF(LEN(A157)&gt;2,VLOOKUP(A157,COPY!$A$2:$O$1000,8,FALSE),"")</f>
        <v/>
      </c>
      <c r="G157" s="543" t="str">
        <f>IF(LEN(A157)&gt;2,VLOOKUP(A157,COPY!$A$2:$O$1000,7,FALSE),"")</f>
        <v/>
      </c>
      <c r="H157" s="544" t="str">
        <f t="shared" si="23"/>
        <v/>
      </c>
      <c r="I157" s="545" t="str">
        <f>IFERROR(IF(LEN(A157)&gt;2,VLOOKUP(A157,COPY!$A$2:$O$1000,13,FALSE),"")/E157,"")</f>
        <v/>
      </c>
      <c r="J157" s="546"/>
      <c r="K157" s="547" t="str">
        <f t="shared" si="24"/>
        <v/>
      </c>
      <c r="L157" s="548" t="str">
        <f t="shared" si="19"/>
        <v/>
      </c>
      <c r="M157" s="549">
        <f t="shared" si="20"/>
        <v>0</v>
      </c>
      <c r="O157" s="538">
        <f t="shared" si="21"/>
        <v>21622590</v>
      </c>
      <c r="P157" s="550"/>
      <c r="Q157" s="551"/>
    </row>
    <row r="158" spans="1:17" s="253" customFormat="1" ht="20.100000000000001" hidden="1" customHeight="1" x14ac:dyDescent="0.25">
      <c r="A158" s="253" t="str">
        <f t="shared" si="22"/>
        <v/>
      </c>
      <c r="B158" s="584" t="str">
        <f>IF(LEN(A158)&gt;2,VLOOKUP(A158,COPY!$A$2:$O$1000,4,FALSE),"")</f>
        <v/>
      </c>
      <c r="C158" s="585" t="str">
        <f>IF(LEN(A158)&gt;2,VLOOKUP(A158,COPY!$A$2:$O$1000,15,FALSE),"")</f>
        <v/>
      </c>
      <c r="D158" s="542" t="str">
        <f>IF(LEN(A158)&gt;2,VLOOKUP(A158,COPY!$A$2:$O$1000,2,FALSE),"")</f>
        <v/>
      </c>
      <c r="E158" s="607" t="str">
        <f>IF(LEN(A158)&gt;2,VLOOKUP(A158,COPY!$A$2:$O$1000,10,FALSE),"")</f>
        <v/>
      </c>
      <c r="F158" s="542" t="str">
        <f>IF(LEN(A158)&gt;2,VLOOKUP(A158,COPY!$A$2:$O$1000,8,FALSE),"")</f>
        <v/>
      </c>
      <c r="G158" s="543" t="str">
        <f>IF(LEN(A158)&gt;2,VLOOKUP(A158,COPY!$A$2:$O$1000,7,FALSE),"")</f>
        <v/>
      </c>
      <c r="H158" s="544" t="str">
        <f t="shared" si="23"/>
        <v/>
      </c>
      <c r="I158" s="545" t="str">
        <f>IFERROR(IF(LEN(A158)&gt;2,VLOOKUP(A158,COPY!$A$2:$O$1000,13,FALSE),"")/E158,"")</f>
        <v/>
      </c>
      <c r="J158" s="546"/>
      <c r="K158" s="547" t="str">
        <f t="shared" si="24"/>
        <v/>
      </c>
      <c r="L158" s="548" t="str">
        <f t="shared" si="19"/>
        <v/>
      </c>
      <c r="M158" s="549">
        <f t="shared" si="20"/>
        <v>0</v>
      </c>
      <c r="O158" s="538">
        <f t="shared" si="21"/>
        <v>21622590</v>
      </c>
      <c r="P158" s="550"/>
      <c r="Q158" s="551"/>
    </row>
    <row r="159" spans="1:17" s="253" customFormat="1" ht="20.100000000000001" hidden="1" customHeight="1" x14ac:dyDescent="0.25">
      <c r="A159" s="253" t="str">
        <f t="shared" si="22"/>
        <v/>
      </c>
      <c r="B159" s="584" t="str">
        <f>IF(LEN(A159)&gt;2,VLOOKUP(A159,COPY!$A$2:$O$1000,4,FALSE),"")</f>
        <v/>
      </c>
      <c r="C159" s="585" t="str">
        <f>IF(LEN(A159)&gt;2,VLOOKUP(A159,COPY!$A$2:$O$1000,15,FALSE),"")</f>
        <v/>
      </c>
      <c r="D159" s="542" t="str">
        <f>IF(LEN(A159)&gt;2,VLOOKUP(A159,COPY!$A$2:$O$1000,2,FALSE),"")</f>
        <v/>
      </c>
      <c r="E159" s="607" t="str">
        <f>IF(LEN(A159)&gt;2,VLOOKUP(A159,COPY!$A$2:$O$1000,10,FALSE),"")</f>
        <v/>
      </c>
      <c r="F159" s="542" t="str">
        <f>IF(LEN(A159)&gt;2,VLOOKUP(A159,COPY!$A$2:$O$1000,8,FALSE),"")</f>
        <v/>
      </c>
      <c r="G159" s="543" t="str">
        <f>IF(LEN(A159)&gt;2,VLOOKUP(A159,COPY!$A$2:$O$1000,7,FALSE),"")</f>
        <v/>
      </c>
      <c r="H159" s="544" t="str">
        <f t="shared" si="23"/>
        <v/>
      </c>
      <c r="I159" s="545" t="str">
        <f>IFERROR(IF(LEN(A159)&gt;2,VLOOKUP(A159,COPY!$A$2:$O$1000,13,FALSE),"")/E159,"")</f>
        <v/>
      </c>
      <c r="J159" s="546"/>
      <c r="K159" s="547" t="str">
        <f t="shared" si="24"/>
        <v/>
      </c>
      <c r="L159" s="548" t="str">
        <f t="shared" si="19"/>
        <v/>
      </c>
      <c r="M159" s="549">
        <f t="shared" si="20"/>
        <v>0</v>
      </c>
      <c r="O159" s="538">
        <f t="shared" si="21"/>
        <v>21622590</v>
      </c>
      <c r="P159" s="550"/>
      <c r="Q159" s="551"/>
    </row>
    <row r="160" spans="1:17" s="253" customFormat="1" ht="20.100000000000001" hidden="1" customHeight="1" x14ac:dyDescent="0.25">
      <c r="A160" s="253" t="str">
        <f t="shared" si="22"/>
        <v/>
      </c>
      <c r="B160" s="584" t="str">
        <f>IF(LEN(A160)&gt;2,VLOOKUP(A160,COPY!$A$2:$O$1000,4,FALSE),"")</f>
        <v/>
      </c>
      <c r="C160" s="585" t="str">
        <f>IF(LEN(A160)&gt;2,VLOOKUP(A160,COPY!$A$2:$O$1000,15,FALSE),"")</f>
        <v/>
      </c>
      <c r="D160" s="542" t="str">
        <f>IF(LEN(A160)&gt;2,VLOOKUP(A160,COPY!$A$2:$O$1000,2,FALSE),"")</f>
        <v/>
      </c>
      <c r="E160" s="607" t="str">
        <f>IF(LEN(A160)&gt;2,VLOOKUP(A160,COPY!$A$2:$O$1000,10,FALSE),"")</f>
        <v/>
      </c>
      <c r="F160" s="542" t="str">
        <f>IF(LEN(A160)&gt;2,VLOOKUP(A160,COPY!$A$2:$O$1000,8,FALSE),"")</f>
        <v/>
      </c>
      <c r="G160" s="543" t="str">
        <f>IF(LEN(A160)&gt;2,VLOOKUP(A160,COPY!$A$2:$O$1000,7,FALSE),"")</f>
        <v/>
      </c>
      <c r="H160" s="544" t="str">
        <f t="shared" si="23"/>
        <v/>
      </c>
      <c r="I160" s="545" t="str">
        <f>IFERROR(IF(LEN(A160)&gt;2,VLOOKUP(A160,COPY!$A$2:$O$1000,13,FALSE),"")/E160,"")</f>
        <v/>
      </c>
      <c r="J160" s="546"/>
      <c r="K160" s="547" t="str">
        <f t="shared" si="24"/>
        <v/>
      </c>
      <c r="L160" s="548" t="str">
        <f t="shared" si="19"/>
        <v/>
      </c>
      <c r="M160" s="549">
        <f t="shared" si="20"/>
        <v>0</v>
      </c>
      <c r="O160" s="538">
        <f t="shared" si="21"/>
        <v>21622590</v>
      </c>
      <c r="P160" s="550"/>
      <c r="Q160" s="551"/>
    </row>
    <row r="161" spans="1:17" s="253" customFormat="1" ht="20.100000000000001" hidden="1" customHeight="1" x14ac:dyDescent="0.25">
      <c r="A161" s="253" t="str">
        <f t="shared" si="22"/>
        <v/>
      </c>
      <c r="B161" s="584" t="str">
        <f>IF(LEN(A161)&gt;2,VLOOKUP(A161,COPY!$A$2:$O$1000,4,FALSE),"")</f>
        <v/>
      </c>
      <c r="C161" s="585" t="str">
        <f>IF(LEN(A161)&gt;2,VLOOKUP(A161,COPY!$A$2:$O$1000,15,FALSE),"")</f>
        <v/>
      </c>
      <c r="D161" s="542" t="str">
        <f>IF(LEN(A161)&gt;2,VLOOKUP(A161,COPY!$A$2:$O$1000,2,FALSE),"")</f>
        <v/>
      </c>
      <c r="E161" s="607" t="str">
        <f>IF(LEN(A161)&gt;2,VLOOKUP(A161,COPY!$A$2:$O$1000,10,FALSE),"")</f>
        <v/>
      </c>
      <c r="F161" s="542" t="str">
        <f>IF(LEN(A161)&gt;2,VLOOKUP(A161,COPY!$A$2:$O$1000,8,FALSE),"")</f>
        <v/>
      </c>
      <c r="G161" s="543" t="str">
        <f>IF(LEN(A161)&gt;2,VLOOKUP(A161,COPY!$A$2:$O$1000,7,FALSE),"")</f>
        <v/>
      </c>
      <c r="H161" s="544" t="str">
        <f t="shared" si="23"/>
        <v/>
      </c>
      <c r="I161" s="545" t="str">
        <f>IFERROR(IF(LEN(A161)&gt;2,VLOOKUP(A161,COPY!$A$2:$O$1000,13,FALSE),"")/E161,"")</f>
        <v/>
      </c>
      <c r="J161" s="546"/>
      <c r="K161" s="547" t="str">
        <f t="shared" si="24"/>
        <v/>
      </c>
      <c r="L161" s="548" t="str">
        <f t="shared" si="19"/>
        <v/>
      </c>
      <c r="M161" s="549">
        <f t="shared" si="20"/>
        <v>0</v>
      </c>
      <c r="O161" s="538">
        <f t="shared" si="21"/>
        <v>21622590</v>
      </c>
      <c r="P161" s="550"/>
      <c r="Q161" s="551"/>
    </row>
    <row r="162" spans="1:17" s="253" customFormat="1" ht="20.100000000000001" hidden="1" customHeight="1" x14ac:dyDescent="0.25">
      <c r="A162" s="253" t="str">
        <f t="shared" si="22"/>
        <v/>
      </c>
      <c r="B162" s="584" t="str">
        <f>IF(LEN(A162)&gt;2,VLOOKUP(A162,COPY!$A$2:$O$1000,4,FALSE),"")</f>
        <v/>
      </c>
      <c r="C162" s="585" t="str">
        <f>IF(LEN(A162)&gt;2,VLOOKUP(A162,COPY!$A$2:$O$1000,15,FALSE),"")</f>
        <v/>
      </c>
      <c r="D162" s="542" t="str">
        <f>IF(LEN(A162)&gt;2,VLOOKUP(A162,COPY!$A$2:$O$1000,2,FALSE),"")</f>
        <v/>
      </c>
      <c r="E162" s="607" t="str">
        <f>IF(LEN(A162)&gt;2,VLOOKUP(A162,COPY!$A$2:$O$1000,10,FALSE),"")</f>
        <v/>
      </c>
      <c r="F162" s="542" t="str">
        <f>IF(LEN(A162)&gt;2,VLOOKUP(A162,COPY!$A$2:$O$1000,8,FALSE),"")</f>
        <v/>
      </c>
      <c r="G162" s="543" t="str">
        <f>IF(LEN(A162)&gt;2,VLOOKUP(A162,COPY!$A$2:$O$1000,7,FALSE),"")</f>
        <v/>
      </c>
      <c r="H162" s="544" t="str">
        <f t="shared" si="23"/>
        <v/>
      </c>
      <c r="I162" s="545" t="str">
        <f>IFERROR(IF(LEN(A162)&gt;2,VLOOKUP(A162,COPY!$A$2:$O$1000,13,FALSE),"")/E162,"")</f>
        <v/>
      </c>
      <c r="J162" s="546"/>
      <c r="K162" s="547" t="str">
        <f t="shared" si="24"/>
        <v/>
      </c>
      <c r="L162" s="548" t="str">
        <f t="shared" si="19"/>
        <v/>
      </c>
      <c r="M162" s="549">
        <f t="shared" si="20"/>
        <v>0</v>
      </c>
      <c r="O162" s="538">
        <f t="shared" si="21"/>
        <v>21622590</v>
      </c>
      <c r="P162" s="550"/>
      <c r="Q162" s="551"/>
    </row>
    <row r="163" spans="1:17" s="253" customFormat="1" ht="20.100000000000001" hidden="1" customHeight="1" x14ac:dyDescent="0.25">
      <c r="A163" s="253" t="str">
        <f t="shared" si="22"/>
        <v/>
      </c>
      <c r="B163" s="584" t="str">
        <f>IF(LEN(A163)&gt;2,VLOOKUP(A163,COPY!$A$2:$O$1000,4,FALSE),"")</f>
        <v/>
      </c>
      <c r="C163" s="585" t="str">
        <f>IF(LEN(A163)&gt;2,VLOOKUP(A163,COPY!$A$2:$O$1000,15,FALSE),"")</f>
        <v/>
      </c>
      <c r="D163" s="542" t="str">
        <f>IF(LEN(A163)&gt;2,VLOOKUP(A163,COPY!$A$2:$O$1000,2,FALSE),"")</f>
        <v/>
      </c>
      <c r="E163" s="607" t="str">
        <f>IF(LEN(A163)&gt;2,VLOOKUP(A163,COPY!$A$2:$O$1000,10,FALSE),"")</f>
        <v/>
      </c>
      <c r="F163" s="542" t="str">
        <f>IF(LEN(A163)&gt;2,VLOOKUP(A163,COPY!$A$2:$O$1000,8,FALSE),"")</f>
        <v/>
      </c>
      <c r="G163" s="543" t="str">
        <f>IF(LEN(A163)&gt;2,VLOOKUP(A163,COPY!$A$2:$O$1000,7,FALSE),"")</f>
        <v/>
      </c>
      <c r="H163" s="544" t="str">
        <f t="shared" si="23"/>
        <v/>
      </c>
      <c r="I163" s="545" t="str">
        <f>IFERROR(IF(LEN(A163)&gt;2,VLOOKUP(A163,COPY!$A$2:$O$1000,13,FALSE),"")/E163,"")</f>
        <v/>
      </c>
      <c r="J163" s="546"/>
      <c r="K163" s="547" t="str">
        <f t="shared" si="24"/>
        <v/>
      </c>
      <c r="L163" s="548" t="str">
        <f t="shared" si="19"/>
        <v/>
      </c>
      <c r="M163" s="549">
        <f t="shared" si="20"/>
        <v>0</v>
      </c>
      <c r="O163" s="538">
        <f t="shared" si="21"/>
        <v>21622590</v>
      </c>
      <c r="P163" s="550"/>
      <c r="Q163" s="551"/>
    </row>
    <row r="164" spans="1:17" s="253" customFormat="1" ht="20.100000000000001" hidden="1" customHeight="1" x14ac:dyDescent="0.25">
      <c r="A164" s="253" t="str">
        <f t="shared" si="22"/>
        <v/>
      </c>
      <c r="B164" s="584" t="str">
        <f>IF(LEN(A164)&gt;2,VLOOKUP(A164,COPY!$A$2:$O$1000,4,FALSE),"")</f>
        <v/>
      </c>
      <c r="C164" s="585" t="str">
        <f>IF(LEN(A164)&gt;2,VLOOKUP(A164,COPY!$A$2:$O$1000,15,FALSE),"")</f>
        <v/>
      </c>
      <c r="D164" s="542" t="str">
        <f>IF(LEN(A164)&gt;2,VLOOKUP(A164,COPY!$A$2:$O$1000,2,FALSE),"")</f>
        <v/>
      </c>
      <c r="E164" s="607" t="str">
        <f>IF(LEN(A164)&gt;2,VLOOKUP(A164,COPY!$A$2:$O$1000,10,FALSE),"")</f>
        <v/>
      </c>
      <c r="F164" s="542" t="str">
        <f>IF(LEN(A164)&gt;2,VLOOKUP(A164,COPY!$A$2:$O$1000,8,FALSE),"")</f>
        <v/>
      </c>
      <c r="G164" s="543" t="str">
        <f>IF(LEN(A164)&gt;2,VLOOKUP(A164,COPY!$A$2:$O$1000,7,FALSE),"")</f>
        <v/>
      </c>
      <c r="H164" s="544" t="str">
        <f t="shared" si="23"/>
        <v/>
      </c>
      <c r="I164" s="545" t="str">
        <f>IFERROR(IF(LEN(A164)&gt;2,VLOOKUP(A164,COPY!$A$2:$O$1000,13,FALSE),"")/E164,"")</f>
        <v/>
      </c>
      <c r="J164" s="546"/>
      <c r="K164" s="547" t="str">
        <f t="shared" si="24"/>
        <v/>
      </c>
      <c r="L164" s="548" t="str">
        <f t="shared" si="19"/>
        <v/>
      </c>
      <c r="M164" s="549">
        <f t="shared" si="20"/>
        <v>0</v>
      </c>
      <c r="O164" s="538">
        <f t="shared" si="21"/>
        <v>21622590</v>
      </c>
      <c r="P164" s="550"/>
      <c r="Q164" s="551"/>
    </row>
    <row r="165" spans="1:17" s="253" customFormat="1" ht="20.100000000000001" hidden="1" customHeight="1" x14ac:dyDescent="0.25">
      <c r="A165" s="253" t="str">
        <f t="shared" si="22"/>
        <v/>
      </c>
      <c r="B165" s="584" t="str">
        <f>IF(LEN(A165)&gt;2,VLOOKUP(A165,COPY!$A$2:$O$1000,4,FALSE),"")</f>
        <v/>
      </c>
      <c r="C165" s="585" t="str">
        <f>IF(LEN(A165)&gt;2,VLOOKUP(A165,COPY!$A$2:$O$1000,15,FALSE),"")</f>
        <v/>
      </c>
      <c r="D165" s="542" t="str">
        <f>IF(LEN(A165)&gt;2,VLOOKUP(A165,COPY!$A$2:$O$1000,2,FALSE),"")</f>
        <v/>
      </c>
      <c r="E165" s="607" t="str">
        <f>IF(LEN(A165)&gt;2,VLOOKUP(A165,COPY!$A$2:$O$1000,10,FALSE),"")</f>
        <v/>
      </c>
      <c r="F165" s="542" t="str">
        <f>IF(LEN(A165)&gt;2,VLOOKUP(A165,COPY!$A$2:$O$1000,8,FALSE),"")</f>
        <v/>
      </c>
      <c r="G165" s="543" t="str">
        <f>IF(LEN(A165)&gt;2,VLOOKUP(A165,COPY!$A$2:$O$1000,7,FALSE),"")</f>
        <v/>
      </c>
      <c r="H165" s="544" t="str">
        <f t="shared" si="23"/>
        <v/>
      </c>
      <c r="I165" s="545" t="str">
        <f>IFERROR(IF(LEN(A165)&gt;2,VLOOKUP(A165,COPY!$A$2:$O$1000,13,FALSE),"")/E165,"")</f>
        <v/>
      </c>
      <c r="J165" s="546"/>
      <c r="K165" s="547" t="str">
        <f t="shared" si="24"/>
        <v/>
      </c>
      <c r="L165" s="548" t="str">
        <f t="shared" si="19"/>
        <v/>
      </c>
      <c r="M165" s="549">
        <f t="shared" si="20"/>
        <v>0</v>
      </c>
      <c r="O165" s="538">
        <f t="shared" si="21"/>
        <v>21622590</v>
      </c>
      <c r="P165" s="550"/>
      <c r="Q165" s="551"/>
    </row>
    <row r="166" spans="1:17" s="253" customFormat="1" ht="20.100000000000001" hidden="1" customHeight="1" x14ac:dyDescent="0.25">
      <c r="A166" s="253" t="str">
        <f t="shared" si="22"/>
        <v/>
      </c>
      <c r="B166" s="584" t="str">
        <f>IF(LEN(A166)&gt;2,VLOOKUP(A166,COPY!$A$2:$O$1000,4,FALSE),"")</f>
        <v/>
      </c>
      <c r="C166" s="585" t="str">
        <f>IF(LEN(A166)&gt;2,VLOOKUP(A166,COPY!$A$2:$O$1000,15,FALSE),"")</f>
        <v/>
      </c>
      <c r="D166" s="542" t="str">
        <f>IF(LEN(A166)&gt;2,VLOOKUP(A166,COPY!$A$2:$O$1000,2,FALSE),"")</f>
        <v/>
      </c>
      <c r="E166" s="607" t="str">
        <f>IF(LEN(A166)&gt;2,VLOOKUP(A166,COPY!$A$2:$O$1000,10,FALSE),"")</f>
        <v/>
      </c>
      <c r="F166" s="542" t="str">
        <f>IF(LEN(A166)&gt;2,VLOOKUP(A166,COPY!$A$2:$O$1000,8,FALSE),"")</f>
        <v/>
      </c>
      <c r="G166" s="543" t="str">
        <f>IF(LEN(A166)&gt;2,VLOOKUP(A166,COPY!$A$2:$O$1000,7,FALSE),"")</f>
        <v/>
      </c>
      <c r="H166" s="544" t="str">
        <f t="shared" si="23"/>
        <v/>
      </c>
      <c r="I166" s="545" t="str">
        <f>IFERROR(IF(LEN(A166)&gt;2,VLOOKUP(A166,COPY!$A$2:$O$1000,13,FALSE),"")/E166,"")</f>
        <v/>
      </c>
      <c r="J166" s="546"/>
      <c r="K166" s="547" t="str">
        <f t="shared" si="24"/>
        <v/>
      </c>
      <c r="L166" s="548" t="str">
        <f t="shared" si="19"/>
        <v/>
      </c>
      <c r="M166" s="549">
        <f t="shared" si="20"/>
        <v>0</v>
      </c>
      <c r="O166" s="538">
        <f t="shared" si="21"/>
        <v>21622590</v>
      </c>
      <c r="P166" s="550"/>
      <c r="Q166" s="551"/>
    </row>
    <row r="167" spans="1:17" s="253" customFormat="1" ht="20.100000000000001" hidden="1" customHeight="1" x14ac:dyDescent="0.25">
      <c r="A167" s="253" t="str">
        <f t="shared" si="22"/>
        <v/>
      </c>
      <c r="B167" s="584" t="str">
        <f>IF(LEN(A167)&gt;2,VLOOKUP(A167,COPY!$A$2:$O$1000,4,FALSE),"")</f>
        <v/>
      </c>
      <c r="C167" s="585" t="str">
        <f>IF(LEN(A167)&gt;2,VLOOKUP(A167,COPY!$A$2:$O$1000,15,FALSE),"")</f>
        <v/>
      </c>
      <c r="D167" s="542" t="str">
        <f>IF(LEN(A167)&gt;2,VLOOKUP(A167,COPY!$A$2:$O$1000,2,FALSE),"")</f>
        <v/>
      </c>
      <c r="E167" s="607" t="str">
        <f>IF(LEN(A167)&gt;2,VLOOKUP(A167,COPY!$A$2:$O$1000,10,FALSE),"")</f>
        <v/>
      </c>
      <c r="F167" s="542" t="str">
        <f>IF(LEN(A167)&gt;2,VLOOKUP(A167,COPY!$A$2:$O$1000,8,FALSE),"")</f>
        <v/>
      </c>
      <c r="G167" s="543" t="str">
        <f>IF(LEN(A167)&gt;2,VLOOKUP(A167,COPY!$A$2:$O$1000,7,FALSE),"")</f>
        <v/>
      </c>
      <c r="H167" s="544" t="str">
        <f t="shared" si="23"/>
        <v/>
      </c>
      <c r="I167" s="545" t="str">
        <f>IFERROR(IF(LEN(A167)&gt;2,VLOOKUP(A167,COPY!$A$2:$O$1000,13,FALSE),"")/E167,"")</f>
        <v/>
      </c>
      <c r="J167" s="546"/>
      <c r="K167" s="547" t="str">
        <f t="shared" si="24"/>
        <v/>
      </c>
      <c r="L167" s="548" t="str">
        <f t="shared" si="19"/>
        <v/>
      </c>
      <c r="M167" s="549">
        <f t="shared" si="20"/>
        <v>0</v>
      </c>
      <c r="O167" s="538">
        <f t="shared" si="21"/>
        <v>21622590</v>
      </c>
      <c r="P167" s="550"/>
      <c r="Q167" s="551"/>
    </row>
    <row r="168" spans="1:17" s="253" customFormat="1" ht="20.100000000000001" hidden="1" customHeight="1" x14ac:dyDescent="0.25">
      <c r="A168" s="253" t="str">
        <f t="shared" si="22"/>
        <v/>
      </c>
      <c r="B168" s="541"/>
      <c r="C168" s="585"/>
      <c r="D168" s="542"/>
      <c r="E168" s="542"/>
      <c r="F168" s="542"/>
      <c r="G168" s="543"/>
      <c r="H168" s="544"/>
      <c r="I168" s="545"/>
      <c r="J168" s="546"/>
      <c r="K168" s="547"/>
      <c r="L168" s="548"/>
      <c r="M168" s="549"/>
      <c r="O168" s="538">
        <f t="shared" si="21"/>
        <v>21622590</v>
      </c>
      <c r="P168" s="550"/>
      <c r="Q168" s="551"/>
    </row>
    <row r="169" spans="1:17" s="253" customFormat="1" ht="20.100000000000001" customHeight="1" x14ac:dyDescent="0.25">
      <c r="A169" s="253" t="str">
        <f t="shared" si="22"/>
        <v/>
      </c>
      <c r="B169" s="552"/>
      <c r="C169" s="586"/>
      <c r="D169" s="553"/>
      <c r="E169" s="553"/>
      <c r="F169" s="554"/>
      <c r="G169" s="450" t="s">
        <v>310</v>
      </c>
      <c r="H169" s="457"/>
      <c r="I169" s="545"/>
      <c r="J169" s="555"/>
      <c r="K169" s="556"/>
      <c r="L169" s="548"/>
      <c r="M169" s="549"/>
      <c r="O169" s="538">
        <f t="shared" si="21"/>
        <v>21622590</v>
      </c>
      <c r="P169" s="550"/>
      <c r="Q169" s="551"/>
    </row>
    <row r="170" spans="1:17" s="253" customFormat="1" ht="20.100000000000001" hidden="1" customHeight="1" x14ac:dyDescent="0.25">
      <c r="A170" s="253" t="str">
        <f>A15</f>
        <v>1.1</v>
      </c>
      <c r="B170" s="609" t="str">
        <f>IF(LEFT(F170,1)="B",VLOOKUP(A170,COPY!$A$2:$AC$1000,4,FALSE),"")</f>
        <v/>
      </c>
      <c r="C170" s="586"/>
      <c r="D170" s="553"/>
      <c r="E170" s="553"/>
      <c r="F170" s="557" t="str">
        <f>IF(LEN(A170)&gt;2,LEFT(VLOOKUP(A170,COPY!$A$2:$AC$1000,29,FALSE),6),"")</f>
        <v>0</v>
      </c>
      <c r="G170" s="558">
        <f>_xlfn.IFNA(IF(TEXT(F170,0)="Terima","",VLOOKUP(A170,COPY!$A$2:$AC$1000,29,FALSE)),"")</f>
        <v>0</v>
      </c>
      <c r="H170" s="425"/>
      <c r="I170" s="559"/>
      <c r="J170" s="555"/>
      <c r="K170" s="608">
        <f>_xlfn.IFNA(IF(TEXT(F170,0)="Terima",0,VLOOKUP(A170,COPY!$A$2:$AC$1000,26,FALSE)),0)</f>
        <v>0</v>
      </c>
      <c r="L170" s="548">
        <f t="shared" ref="L170:L176" si="25">IF(K170&gt;0,IF(O170&gt;=0,O170,IF(O170&lt;0,0,0)),0)</f>
        <v>0</v>
      </c>
      <c r="M170" s="549">
        <f t="shared" ref="M170:M176" si="26">IF(O170&lt;0,O170,IF(O170&gt;=0,0,0))</f>
        <v>0</v>
      </c>
      <c r="O170" s="538">
        <f t="shared" ref="O170:O176" si="27">IF(J170&gt;0,O169+J170,IF(K170&gt;0,O169-K170,O169))</f>
        <v>21622590</v>
      </c>
      <c r="P170" s="550"/>
      <c r="Q170" s="551"/>
    </row>
    <row r="171" spans="1:17" s="253" customFormat="1" ht="20.100000000000001" hidden="1" customHeight="1" x14ac:dyDescent="0.25">
      <c r="A171" s="253" t="str">
        <f t="shared" ref="A171:A234" si="28">A16</f>
        <v>1.2</v>
      </c>
      <c r="B171" s="609" t="str">
        <f>IF(LEFT(F171,1)="B",VLOOKUP(A171,COPY!$A$2:$AC$1000,4,FALSE),"")</f>
        <v/>
      </c>
      <c r="C171" s="586"/>
      <c r="D171" s="553"/>
      <c r="E171" s="553"/>
      <c r="F171" s="557" t="str">
        <f>IF(LEN(A171)&gt;2,LEFT(VLOOKUP(A171,COPY!$A$2:$AC$1000,29,FALSE),6),"")</f>
        <v>0</v>
      </c>
      <c r="G171" s="558">
        <f>_xlfn.IFNA(IF(TEXT(F171,0)="Terima","",VLOOKUP(A171,COPY!$A$2:$AC$1000,29,FALSE)),"")</f>
        <v>0</v>
      </c>
      <c r="H171" s="425"/>
      <c r="I171" s="559"/>
      <c r="J171" s="555"/>
      <c r="K171" s="608">
        <f>_xlfn.IFNA(IF(TEXT(F171,0)="Terima",0,VLOOKUP(A171,COPY!$A$2:$AC$1000,26,FALSE)),0)</f>
        <v>0</v>
      </c>
      <c r="L171" s="548">
        <f t="shared" si="25"/>
        <v>0</v>
      </c>
      <c r="M171" s="549">
        <f t="shared" si="26"/>
        <v>0</v>
      </c>
      <c r="O171" s="538">
        <f t="shared" si="27"/>
        <v>21622590</v>
      </c>
      <c r="P171" s="550"/>
      <c r="Q171" s="551"/>
    </row>
    <row r="172" spans="1:17" s="253" customFormat="1" ht="20.100000000000001" hidden="1" customHeight="1" x14ac:dyDescent="0.25">
      <c r="A172" s="253" t="str">
        <f t="shared" si="28"/>
        <v>1.3</v>
      </c>
      <c r="B172" s="609" t="str">
        <f>IF(LEFT(F172,1)="B",VLOOKUP(A172,COPY!$A$2:$AC$1000,4,FALSE),"")</f>
        <v/>
      </c>
      <c r="C172" s="586"/>
      <c r="D172" s="553"/>
      <c r="E172" s="553"/>
      <c r="F172" s="557" t="str">
        <f>IF(LEN(A172)&gt;2,LEFT(VLOOKUP(A172,COPY!$A$2:$AC$1000,29,FALSE),6),"")</f>
        <v>0</v>
      </c>
      <c r="G172" s="558">
        <f>_xlfn.IFNA(IF(TEXT(F172,0)="Terima","",VLOOKUP(A172,COPY!$A$2:$AC$1000,29,FALSE)),"")</f>
        <v>0</v>
      </c>
      <c r="H172" s="425"/>
      <c r="I172" s="559"/>
      <c r="J172" s="555"/>
      <c r="K172" s="608">
        <f>_xlfn.IFNA(IF(TEXT(F172,0)="Terima",0,VLOOKUP(A172,COPY!$A$2:$AC$1000,26,FALSE)),0)</f>
        <v>0</v>
      </c>
      <c r="L172" s="548">
        <f t="shared" si="25"/>
        <v>0</v>
      </c>
      <c r="M172" s="549">
        <f t="shared" si="26"/>
        <v>0</v>
      </c>
      <c r="O172" s="538">
        <f t="shared" si="27"/>
        <v>21622590</v>
      </c>
      <c r="P172" s="550"/>
      <c r="Q172" s="551"/>
    </row>
    <row r="173" spans="1:17" s="253" customFormat="1" ht="20.100000000000001" hidden="1" customHeight="1" x14ac:dyDescent="0.25">
      <c r="A173" s="253" t="str">
        <f t="shared" si="28"/>
        <v>1.4</v>
      </c>
      <c r="B173" s="609" t="str">
        <f>IF(LEFT(F173,1)="B",VLOOKUP(A173,COPY!$A$2:$AC$1000,4,FALSE),"")</f>
        <v/>
      </c>
      <c r="C173" s="586"/>
      <c r="D173" s="553"/>
      <c r="E173" s="553"/>
      <c r="F173" s="557" t="str">
        <f>IF(LEN(A173)&gt;2,LEFT(VLOOKUP(A173,COPY!$A$2:$AC$1000,29,FALSE),6),"")</f>
        <v>0</v>
      </c>
      <c r="G173" s="558">
        <f>_xlfn.IFNA(IF(TEXT(F173,0)="Terima","",VLOOKUP(A173,COPY!$A$2:$AC$1000,29,FALSE)),"")</f>
        <v>0</v>
      </c>
      <c r="H173" s="425"/>
      <c r="I173" s="559"/>
      <c r="J173" s="555"/>
      <c r="K173" s="608">
        <f>_xlfn.IFNA(IF(TEXT(F173,0)="Terima",0,VLOOKUP(A173,COPY!$A$2:$AC$1000,26,FALSE)),0)</f>
        <v>0</v>
      </c>
      <c r="L173" s="548">
        <f t="shared" si="25"/>
        <v>0</v>
      </c>
      <c r="M173" s="549">
        <f t="shared" si="26"/>
        <v>0</v>
      </c>
      <c r="O173" s="538">
        <f t="shared" si="27"/>
        <v>21622590</v>
      </c>
      <c r="P173" s="550"/>
      <c r="Q173" s="551"/>
    </row>
    <row r="174" spans="1:17" s="253" customFormat="1" ht="20.100000000000001" hidden="1" customHeight="1" x14ac:dyDescent="0.25">
      <c r="A174" s="253" t="str">
        <f t="shared" si="28"/>
        <v>1.5</v>
      </c>
      <c r="B174" s="609" t="str">
        <f>IF(LEFT(F174,1)="B",VLOOKUP(A174,COPY!$A$2:$AC$1000,4,FALSE),"")</f>
        <v/>
      </c>
      <c r="C174" s="586"/>
      <c r="D174" s="553"/>
      <c r="E174" s="553"/>
      <c r="F174" s="557" t="str">
        <f>IF(LEN(A174)&gt;2,LEFT(VLOOKUP(A174,COPY!$A$2:$AC$1000,29,FALSE),6),"")</f>
        <v>0</v>
      </c>
      <c r="G174" s="558">
        <f>_xlfn.IFNA(IF(TEXT(F174,0)="Terima","",VLOOKUP(A174,COPY!$A$2:$AC$1000,29,FALSE)),"")</f>
        <v>0</v>
      </c>
      <c r="H174" s="425"/>
      <c r="I174" s="559"/>
      <c r="J174" s="555"/>
      <c r="K174" s="608">
        <f>_xlfn.IFNA(IF(TEXT(F174,0)="Terima",0,VLOOKUP(A174,COPY!$A$2:$AC$1000,26,FALSE)),0)</f>
        <v>0</v>
      </c>
      <c r="L174" s="548">
        <f t="shared" si="25"/>
        <v>0</v>
      </c>
      <c r="M174" s="549">
        <f t="shared" si="26"/>
        <v>0</v>
      </c>
      <c r="O174" s="538">
        <f t="shared" si="27"/>
        <v>21622590</v>
      </c>
      <c r="P174" s="550"/>
      <c r="Q174" s="551"/>
    </row>
    <row r="175" spans="1:17" s="253" customFormat="1" ht="20.100000000000001" hidden="1" customHeight="1" x14ac:dyDescent="0.25">
      <c r="A175" s="253" t="str">
        <f t="shared" si="28"/>
        <v>1.6</v>
      </c>
      <c r="B175" s="609" t="str">
        <f>IF(LEFT(F175,1)="B",VLOOKUP(A175,COPY!$A$2:$AC$1000,4,FALSE),"")</f>
        <v/>
      </c>
      <c r="C175" s="586"/>
      <c r="D175" s="553"/>
      <c r="E175" s="553"/>
      <c r="F175" s="557" t="str">
        <f>IF(LEN(A175)&gt;2,LEFT(VLOOKUP(A175,COPY!$A$2:$AC$1000,29,FALSE),6),"")</f>
        <v>0</v>
      </c>
      <c r="G175" s="558">
        <f>_xlfn.IFNA(IF(TEXT(F175,0)="Terima","",VLOOKUP(A175,COPY!$A$2:$AC$1000,29,FALSE)),"")</f>
        <v>0</v>
      </c>
      <c r="H175" s="425"/>
      <c r="I175" s="559"/>
      <c r="J175" s="555"/>
      <c r="K175" s="608">
        <f>_xlfn.IFNA(IF(TEXT(F175,0)="Terima",0,VLOOKUP(A175,COPY!$A$2:$AC$1000,26,FALSE)),0)</f>
        <v>0</v>
      </c>
      <c r="L175" s="548">
        <f t="shared" si="25"/>
        <v>0</v>
      </c>
      <c r="M175" s="549">
        <f t="shared" si="26"/>
        <v>0</v>
      </c>
      <c r="O175" s="538">
        <f t="shared" si="27"/>
        <v>21622590</v>
      </c>
      <c r="P175" s="550"/>
      <c r="Q175" s="551"/>
    </row>
    <row r="176" spans="1:17" s="253" customFormat="1" ht="20.100000000000001" hidden="1" customHeight="1" x14ac:dyDescent="0.25">
      <c r="A176" s="253" t="str">
        <f t="shared" si="28"/>
        <v>1.7</v>
      </c>
      <c r="B176" s="609" t="str">
        <f>IF(LEFT(F176,1)="B",VLOOKUP(A176,COPY!$A$2:$AC$1000,4,FALSE),"")</f>
        <v/>
      </c>
      <c r="C176" s="586"/>
      <c r="D176" s="553"/>
      <c r="E176" s="553"/>
      <c r="F176" s="557" t="str">
        <f>IF(LEN(A176)&gt;2,LEFT(VLOOKUP(A176,COPY!$A$2:$AC$1000,29,FALSE),6),"")</f>
        <v>0</v>
      </c>
      <c r="G176" s="558">
        <f>_xlfn.IFNA(IF(TEXT(F176,0)="Terima","",VLOOKUP(A176,COPY!$A$2:$AC$1000,29,FALSE)),"")</f>
        <v>0</v>
      </c>
      <c r="H176" s="425"/>
      <c r="I176" s="559"/>
      <c r="J176" s="555"/>
      <c r="K176" s="608">
        <f>_xlfn.IFNA(IF(TEXT(F176,0)="Terima",0,VLOOKUP(A176,COPY!$A$2:$AC$1000,26,FALSE)),0)</f>
        <v>0</v>
      </c>
      <c r="L176" s="548">
        <f t="shared" si="25"/>
        <v>0</v>
      </c>
      <c r="M176" s="549">
        <f t="shared" si="26"/>
        <v>0</v>
      </c>
      <c r="O176" s="538">
        <f t="shared" si="27"/>
        <v>21622590</v>
      </c>
      <c r="P176" s="550"/>
      <c r="Q176" s="550"/>
    </row>
    <row r="177" spans="1:17" s="253" customFormat="1" ht="20.100000000000001" hidden="1" customHeight="1" x14ac:dyDescent="0.25">
      <c r="A177" s="253" t="str">
        <f t="shared" si="28"/>
        <v>1.8</v>
      </c>
      <c r="B177" s="609" t="str">
        <f>IF(LEFT(F177,1)="B",VLOOKUP(A177,COPY!$A$2:$AC$1000,4,FALSE),"")</f>
        <v/>
      </c>
      <c r="C177" s="586"/>
      <c r="D177" s="553"/>
      <c r="E177" s="553"/>
      <c r="F177" s="557" t="str">
        <f>IF(LEN(A177)&gt;2,LEFT(VLOOKUP(A177,COPY!$A$2:$AC$1000,29,FALSE),6),"")</f>
        <v>0</v>
      </c>
      <c r="G177" s="558">
        <f>_xlfn.IFNA(IF(TEXT(F177,0)="Terima","",VLOOKUP(A177,COPY!$A$2:$AC$1000,29,FALSE)),"")</f>
        <v>0</v>
      </c>
      <c r="H177" s="425"/>
      <c r="I177" s="559"/>
      <c r="J177" s="555"/>
      <c r="K177" s="608">
        <f>_xlfn.IFNA(IF(TEXT(F177,0)="Terima",0,VLOOKUP(A177,COPY!$A$2:$AC$1000,26,FALSE)),0)</f>
        <v>0</v>
      </c>
      <c r="L177" s="548">
        <f t="shared" ref="L177:L178" si="29">IF(K177&gt;0,IF(O177&gt;=0,O177,IF(O177&lt;0,0,0)),0)</f>
        <v>0</v>
      </c>
      <c r="M177" s="549">
        <f t="shared" ref="M177:M178" si="30">IF(O177&lt;0,O177,IF(O177&gt;=0,0,0))</f>
        <v>0</v>
      </c>
      <c r="O177" s="538">
        <f t="shared" ref="O177:O178" si="31">IF(J177&gt;0,O176+J177,IF(K177&gt;0,O176-K177,O176))</f>
        <v>21622590</v>
      </c>
      <c r="P177" s="550"/>
      <c r="Q177" s="551"/>
    </row>
    <row r="178" spans="1:17" s="253" customFormat="1" ht="20.100000000000001" hidden="1" customHeight="1" x14ac:dyDescent="0.25">
      <c r="A178" s="253" t="str">
        <f t="shared" si="28"/>
        <v>1.9</v>
      </c>
      <c r="B178" s="609" t="str">
        <f>IF(LEFT(F178,1)="B",VLOOKUP(A178,COPY!$A$2:$AC$1000,4,FALSE),"")</f>
        <v/>
      </c>
      <c r="C178" s="586"/>
      <c r="D178" s="553"/>
      <c r="E178" s="553"/>
      <c r="F178" s="557" t="str">
        <f>IF(LEN(A178)&gt;2,LEFT(VLOOKUP(A178,COPY!$A$2:$AC$1000,29,FALSE),6),"")</f>
        <v>0</v>
      </c>
      <c r="G178" s="558">
        <f>_xlfn.IFNA(IF(TEXT(F178,0)="Terima","",VLOOKUP(A178,COPY!$A$2:$AC$1000,29,FALSE)),"")</f>
        <v>0</v>
      </c>
      <c r="H178" s="425"/>
      <c r="I178" s="559"/>
      <c r="J178" s="555"/>
      <c r="K178" s="608">
        <f>_xlfn.IFNA(IF(TEXT(F178,0)="Terima",0,VLOOKUP(A178,COPY!$A$2:$AC$1000,26,FALSE)),0)</f>
        <v>0</v>
      </c>
      <c r="L178" s="548">
        <f t="shared" si="29"/>
        <v>0</v>
      </c>
      <c r="M178" s="549">
        <f t="shared" si="30"/>
        <v>0</v>
      </c>
      <c r="O178" s="538">
        <f t="shared" si="31"/>
        <v>21622590</v>
      </c>
      <c r="P178" s="550"/>
      <c r="Q178" s="551"/>
    </row>
    <row r="179" spans="1:17" s="253" customFormat="1" ht="20.100000000000001" hidden="1" customHeight="1" x14ac:dyDescent="0.25">
      <c r="A179" s="253" t="str">
        <f t="shared" si="28"/>
        <v>1.10</v>
      </c>
      <c r="B179" s="609" t="str">
        <f>IF(LEFT(F179,1)="B",VLOOKUP(A179,COPY!$A$2:$AC$1000,4,FALSE),"")</f>
        <v/>
      </c>
      <c r="C179" s="586"/>
      <c r="D179" s="553"/>
      <c r="E179" s="553"/>
      <c r="F179" s="557" t="str">
        <f>IF(LEN(A179)&gt;2,LEFT(VLOOKUP(A179,COPY!$A$2:$AC$1000,29,FALSE),6),"")</f>
        <v>0</v>
      </c>
      <c r="G179" s="558">
        <f>_xlfn.IFNA(IF(TEXT(F179,0)="Terima","",VLOOKUP(A179,COPY!$A$2:$AC$1000,29,FALSE)),"")</f>
        <v>0</v>
      </c>
      <c r="H179" s="425"/>
      <c r="I179" s="559"/>
      <c r="J179" s="555"/>
      <c r="K179" s="608">
        <f>_xlfn.IFNA(IF(TEXT(F179,0)="Terima",0,VLOOKUP(A179,COPY!$A$2:$AC$1000,26,FALSE)),0)</f>
        <v>0</v>
      </c>
      <c r="L179" s="548">
        <f t="shared" ref="L179:L185" si="32">IF(K179&gt;0,IF(O179&gt;=0,O179,IF(O179&lt;0,0,0)),0)</f>
        <v>0</v>
      </c>
      <c r="M179" s="549">
        <f t="shared" ref="M179:M185" si="33">IF(O179&lt;0,O179,IF(O179&gt;=0,0,0))</f>
        <v>0</v>
      </c>
      <c r="O179" s="538">
        <f t="shared" ref="O179:O185" si="34">IF(J179&gt;0,O178+J179,IF(K179&gt;0,O178-K179,O178))</f>
        <v>21622590</v>
      </c>
      <c r="P179" s="550"/>
      <c r="Q179" s="551"/>
    </row>
    <row r="180" spans="1:17" s="253" customFormat="1" ht="20.100000000000001" hidden="1" customHeight="1" x14ac:dyDescent="0.25">
      <c r="A180" s="253" t="str">
        <f t="shared" si="28"/>
        <v>1.11</v>
      </c>
      <c r="B180" s="609" t="str">
        <f>IF(LEFT(F180,1)="B",VLOOKUP(A180,COPY!$A$2:$AC$1000,4,FALSE),"")</f>
        <v/>
      </c>
      <c r="C180" s="586"/>
      <c r="D180" s="553"/>
      <c r="E180" s="553"/>
      <c r="F180" s="557" t="str">
        <f>IF(LEN(A180)&gt;2,LEFT(VLOOKUP(A180,COPY!$A$2:$AC$1000,29,FALSE),6),"")</f>
        <v>0</v>
      </c>
      <c r="G180" s="558">
        <f>_xlfn.IFNA(IF(TEXT(F180,0)="Terima","",VLOOKUP(A180,COPY!$A$2:$AC$1000,29,FALSE)),"")</f>
        <v>0</v>
      </c>
      <c r="H180" s="425"/>
      <c r="I180" s="559"/>
      <c r="J180" s="555"/>
      <c r="K180" s="608">
        <f>_xlfn.IFNA(IF(TEXT(F180,0)="Terima",0,VLOOKUP(A180,COPY!$A$2:$AC$1000,26,FALSE)),0)</f>
        <v>0</v>
      </c>
      <c r="L180" s="548">
        <f t="shared" si="32"/>
        <v>0</v>
      </c>
      <c r="M180" s="549">
        <f t="shared" si="33"/>
        <v>0</v>
      </c>
      <c r="O180" s="538">
        <f t="shared" si="34"/>
        <v>21622590</v>
      </c>
      <c r="P180" s="550"/>
      <c r="Q180" s="551"/>
    </row>
    <row r="181" spans="1:17" s="253" customFormat="1" ht="20.100000000000001" hidden="1" customHeight="1" x14ac:dyDescent="0.25">
      <c r="A181" s="253" t="str">
        <f t="shared" si="28"/>
        <v>1.12</v>
      </c>
      <c r="B181" s="609" t="str">
        <f>IF(LEFT(F181,1)="B",VLOOKUP(A181,COPY!$A$2:$AC$1000,4,FALSE),"")</f>
        <v/>
      </c>
      <c r="C181" s="586"/>
      <c r="D181" s="553"/>
      <c r="E181" s="553"/>
      <c r="F181" s="557" t="str">
        <f>IF(LEN(A181)&gt;2,LEFT(VLOOKUP(A181,COPY!$A$2:$AC$1000,29,FALSE),6),"")</f>
        <v>0</v>
      </c>
      <c r="G181" s="558">
        <f>_xlfn.IFNA(IF(TEXT(F181,0)="Terima","",VLOOKUP(A181,COPY!$A$2:$AC$1000,29,FALSE)),"")</f>
        <v>0</v>
      </c>
      <c r="H181" s="425"/>
      <c r="I181" s="559"/>
      <c r="J181" s="555"/>
      <c r="K181" s="608">
        <f>_xlfn.IFNA(IF(TEXT(F181,0)="Terima",0,VLOOKUP(A181,COPY!$A$2:$AC$1000,26,FALSE)),0)</f>
        <v>0</v>
      </c>
      <c r="L181" s="548">
        <f t="shared" si="32"/>
        <v>0</v>
      </c>
      <c r="M181" s="549">
        <f t="shared" si="33"/>
        <v>0</v>
      </c>
      <c r="O181" s="538">
        <f t="shared" si="34"/>
        <v>21622590</v>
      </c>
      <c r="P181" s="550"/>
      <c r="Q181" s="551"/>
    </row>
    <row r="182" spans="1:17" s="253" customFormat="1" ht="20.100000000000001" hidden="1" customHeight="1" x14ac:dyDescent="0.25">
      <c r="A182" s="253" t="str">
        <f t="shared" si="28"/>
        <v>1.13</v>
      </c>
      <c r="B182" s="609" t="str">
        <f>IF(LEFT(F182,1)="B",VLOOKUP(A182,COPY!$A$2:$AC$1000,4,FALSE),"")</f>
        <v/>
      </c>
      <c r="C182" s="586"/>
      <c r="D182" s="553"/>
      <c r="E182" s="553"/>
      <c r="F182" s="557" t="str">
        <f>IF(LEN(A182)&gt;2,LEFT(VLOOKUP(A182,COPY!$A$2:$AC$1000,29,FALSE),6),"")</f>
        <v>0</v>
      </c>
      <c r="G182" s="558">
        <f>_xlfn.IFNA(IF(TEXT(F182,0)="Terima","",VLOOKUP(A182,COPY!$A$2:$AC$1000,29,FALSE)),"")</f>
        <v>0</v>
      </c>
      <c r="H182" s="425"/>
      <c r="I182" s="559"/>
      <c r="J182" s="555"/>
      <c r="K182" s="608">
        <f>_xlfn.IFNA(IF(TEXT(F182,0)="Terima",0,VLOOKUP(A182,COPY!$A$2:$AC$1000,26,FALSE)),0)</f>
        <v>0</v>
      </c>
      <c r="L182" s="548">
        <f t="shared" si="32"/>
        <v>0</v>
      </c>
      <c r="M182" s="549">
        <f t="shared" si="33"/>
        <v>0</v>
      </c>
      <c r="O182" s="538">
        <f t="shared" si="34"/>
        <v>21622590</v>
      </c>
      <c r="P182" s="550"/>
      <c r="Q182" s="551"/>
    </row>
    <row r="183" spans="1:17" s="253" customFormat="1" ht="20.100000000000001" hidden="1" customHeight="1" x14ac:dyDescent="0.25">
      <c r="A183" s="253" t="str">
        <f t="shared" si="28"/>
        <v>1.14</v>
      </c>
      <c r="B183" s="609" t="str">
        <f>IF(LEFT(F183,1)="B",VLOOKUP(A183,COPY!$A$2:$AC$1000,4,FALSE),"")</f>
        <v/>
      </c>
      <c r="C183" s="586"/>
      <c r="D183" s="553"/>
      <c r="E183" s="553"/>
      <c r="F183" s="557" t="str">
        <f>IF(LEN(A183)&gt;2,LEFT(VLOOKUP(A183,COPY!$A$2:$AC$1000,29,FALSE),6),"")</f>
        <v>0</v>
      </c>
      <c r="G183" s="558">
        <f>_xlfn.IFNA(IF(TEXT(F183,0)="Terima","",VLOOKUP(A183,COPY!$A$2:$AC$1000,29,FALSE)),"")</f>
        <v>0</v>
      </c>
      <c r="H183" s="425"/>
      <c r="I183" s="559"/>
      <c r="J183" s="555"/>
      <c r="K183" s="608">
        <f>_xlfn.IFNA(IF(TEXT(F183,0)="Terima",0,VLOOKUP(A183,COPY!$A$2:$AC$1000,26,FALSE)),0)</f>
        <v>0</v>
      </c>
      <c r="L183" s="548">
        <f t="shared" si="32"/>
        <v>0</v>
      </c>
      <c r="M183" s="549">
        <f t="shared" si="33"/>
        <v>0</v>
      </c>
      <c r="O183" s="538">
        <f t="shared" si="34"/>
        <v>21622590</v>
      </c>
      <c r="P183" s="550"/>
      <c r="Q183" s="551"/>
    </row>
    <row r="184" spans="1:17" s="253" customFormat="1" ht="20.100000000000001" hidden="1" customHeight="1" x14ac:dyDescent="0.25">
      <c r="A184" s="253" t="str">
        <f t="shared" si="28"/>
        <v>1.15</v>
      </c>
      <c r="B184" s="609" t="str">
        <f>IF(LEFT(F184,1)="B",VLOOKUP(A184,COPY!$A$2:$AC$1000,4,FALSE),"")</f>
        <v/>
      </c>
      <c r="C184" s="586"/>
      <c r="D184" s="553"/>
      <c r="E184" s="553"/>
      <c r="F184" s="557" t="str">
        <f>IF(LEN(A184)&gt;2,LEFT(VLOOKUP(A184,COPY!$A$2:$AC$1000,29,FALSE),6),"")</f>
        <v>0</v>
      </c>
      <c r="G184" s="558">
        <f>_xlfn.IFNA(IF(TEXT(F184,0)="Terima","",VLOOKUP(A184,COPY!$A$2:$AC$1000,29,FALSE)),"")</f>
        <v>0</v>
      </c>
      <c r="H184" s="425"/>
      <c r="I184" s="559"/>
      <c r="J184" s="555"/>
      <c r="K184" s="608">
        <f>_xlfn.IFNA(IF(TEXT(F184,0)="Terima",0,VLOOKUP(A184,COPY!$A$2:$AC$1000,26,FALSE)),0)</f>
        <v>0</v>
      </c>
      <c r="L184" s="548">
        <f t="shared" si="32"/>
        <v>0</v>
      </c>
      <c r="M184" s="549">
        <f t="shared" si="33"/>
        <v>0</v>
      </c>
      <c r="O184" s="538">
        <f t="shared" si="34"/>
        <v>21622590</v>
      </c>
      <c r="P184" s="550"/>
      <c r="Q184" s="551"/>
    </row>
    <row r="185" spans="1:17" s="253" customFormat="1" ht="20.100000000000001" hidden="1" customHeight="1" x14ac:dyDescent="0.25">
      <c r="A185" s="253" t="str">
        <f t="shared" si="28"/>
        <v>1.16</v>
      </c>
      <c r="B185" s="609" t="str">
        <f>IF(LEFT(F185,1)="B",VLOOKUP(A185,COPY!$A$2:$AC$1000,4,FALSE),"")</f>
        <v/>
      </c>
      <c r="C185" s="586"/>
      <c r="D185" s="553"/>
      <c r="E185" s="553"/>
      <c r="F185" s="557" t="str">
        <f>IF(LEN(A185)&gt;2,LEFT(VLOOKUP(A185,COPY!$A$2:$AC$1000,29,FALSE),6),"")</f>
        <v>0</v>
      </c>
      <c r="G185" s="558">
        <f>_xlfn.IFNA(IF(TEXT(F185,0)="Terima","",VLOOKUP(A185,COPY!$A$2:$AC$1000,29,FALSE)),"")</f>
        <v>0</v>
      </c>
      <c r="H185" s="425"/>
      <c r="I185" s="559"/>
      <c r="J185" s="555"/>
      <c r="K185" s="608">
        <f>_xlfn.IFNA(IF(TEXT(F185,0)="Terima",0,VLOOKUP(A185,COPY!$A$2:$AC$1000,26,FALSE)),0)</f>
        <v>0</v>
      </c>
      <c r="L185" s="548">
        <f t="shared" si="32"/>
        <v>0</v>
      </c>
      <c r="M185" s="549">
        <f t="shared" si="33"/>
        <v>0</v>
      </c>
      <c r="O185" s="538">
        <f t="shared" si="34"/>
        <v>21622590</v>
      </c>
      <c r="P185" s="550"/>
      <c r="Q185" s="551"/>
    </row>
    <row r="186" spans="1:17" s="253" customFormat="1" ht="20.100000000000001" hidden="1" customHeight="1" x14ac:dyDescent="0.25">
      <c r="A186" s="253" t="str">
        <f t="shared" si="28"/>
        <v>1.17</v>
      </c>
      <c r="B186" s="609" t="str">
        <f>IF(LEFT(F186,1)="B",VLOOKUP(A186,COPY!$A$2:$AC$1000,4,FALSE),"")</f>
        <v/>
      </c>
      <c r="C186" s="586"/>
      <c r="D186" s="553"/>
      <c r="E186" s="553"/>
      <c r="F186" s="557" t="str">
        <f>IF(LEN(A186)&gt;2,LEFT(VLOOKUP(A186,COPY!$A$2:$AC$1000,29,FALSE),6),"")</f>
        <v>0</v>
      </c>
      <c r="G186" s="558">
        <f>_xlfn.IFNA(IF(TEXT(F186,0)="Terima","",VLOOKUP(A186,COPY!$A$2:$AC$1000,29,FALSE)),"")</f>
        <v>0</v>
      </c>
      <c r="H186" s="425"/>
      <c r="I186" s="559"/>
      <c r="J186" s="555"/>
      <c r="K186" s="608">
        <f>_xlfn.IFNA(IF(TEXT(F186,0)="Terima",0,VLOOKUP(A186,COPY!$A$2:$AC$1000,26,FALSE)),0)</f>
        <v>0</v>
      </c>
      <c r="L186" s="548">
        <f t="shared" ref="L186:L249" si="35">IF(K186&gt;0,IF(O186&gt;=0,O186,IF(O186&lt;0,0,0)),0)</f>
        <v>0</v>
      </c>
      <c r="M186" s="549">
        <f t="shared" ref="M186:M249" si="36">IF(O186&lt;0,O186,IF(O186&gt;=0,0,0))</f>
        <v>0</v>
      </c>
      <c r="O186" s="538">
        <f t="shared" ref="O186:O249" si="37">IF(J186&gt;0,O185+J186,IF(K186&gt;0,O185-K186,O185))</f>
        <v>21622590</v>
      </c>
      <c r="P186" s="550"/>
      <c r="Q186" s="551"/>
    </row>
    <row r="187" spans="1:17" s="253" customFormat="1" ht="20.100000000000001" hidden="1" customHeight="1" x14ac:dyDescent="0.25">
      <c r="A187" s="253" t="str">
        <f t="shared" si="28"/>
        <v>1.18</v>
      </c>
      <c r="B187" s="609" t="str">
        <f>IF(LEFT(F187,1)="B",VLOOKUP(A187,COPY!$A$2:$AC$1000,4,FALSE),"")</f>
        <v/>
      </c>
      <c r="C187" s="586"/>
      <c r="D187" s="553"/>
      <c r="E187" s="553"/>
      <c r="F187" s="557" t="str">
        <f>IF(LEN(A187)&gt;2,LEFT(VLOOKUP(A187,COPY!$A$2:$AC$1000,29,FALSE),6),"")</f>
        <v>0</v>
      </c>
      <c r="G187" s="558">
        <f>_xlfn.IFNA(IF(TEXT(F187,0)="Terima","",VLOOKUP(A187,COPY!$A$2:$AC$1000,29,FALSE)),"")</f>
        <v>0</v>
      </c>
      <c r="H187" s="425"/>
      <c r="I187" s="559"/>
      <c r="J187" s="555"/>
      <c r="K187" s="608">
        <f>_xlfn.IFNA(IF(TEXT(F187,0)="Terima",0,VLOOKUP(A187,COPY!$A$2:$AC$1000,26,FALSE)),0)</f>
        <v>0</v>
      </c>
      <c r="L187" s="548">
        <f t="shared" si="35"/>
        <v>0</v>
      </c>
      <c r="M187" s="549">
        <f t="shared" si="36"/>
        <v>0</v>
      </c>
      <c r="O187" s="538">
        <f t="shared" si="37"/>
        <v>21622590</v>
      </c>
      <c r="P187" s="550"/>
      <c r="Q187" s="551"/>
    </row>
    <row r="188" spans="1:17" s="253" customFormat="1" ht="20.100000000000001" hidden="1" customHeight="1" x14ac:dyDescent="0.25">
      <c r="A188" s="253" t="str">
        <f t="shared" si="28"/>
        <v>1.19</v>
      </c>
      <c r="B188" s="609" t="str">
        <f>IF(LEFT(F188,1)="B",VLOOKUP(A188,COPY!$A$2:$AC$1000,4,FALSE),"")</f>
        <v/>
      </c>
      <c r="C188" s="586"/>
      <c r="D188" s="553"/>
      <c r="E188" s="553"/>
      <c r="F188" s="557" t="str">
        <f>IF(LEN(A188)&gt;2,LEFT(VLOOKUP(A188,COPY!$A$2:$AC$1000,29,FALSE),6),"")</f>
        <v>0</v>
      </c>
      <c r="G188" s="558">
        <f>_xlfn.IFNA(IF(TEXT(F188,0)="Terima","",VLOOKUP(A188,COPY!$A$2:$AC$1000,29,FALSE)),"")</f>
        <v>0</v>
      </c>
      <c r="H188" s="425"/>
      <c r="I188" s="559"/>
      <c r="J188" s="555"/>
      <c r="K188" s="608">
        <f>_xlfn.IFNA(IF(TEXT(F188,0)="Terima",0,VLOOKUP(A188,COPY!$A$2:$AC$1000,26,FALSE)),0)</f>
        <v>0</v>
      </c>
      <c r="L188" s="548">
        <f t="shared" si="35"/>
        <v>0</v>
      </c>
      <c r="M188" s="549">
        <f t="shared" si="36"/>
        <v>0</v>
      </c>
      <c r="O188" s="538">
        <f t="shared" si="37"/>
        <v>21622590</v>
      </c>
      <c r="P188" s="550"/>
      <c r="Q188" s="551"/>
    </row>
    <row r="189" spans="1:17" s="253" customFormat="1" ht="20.100000000000001" hidden="1" customHeight="1" x14ac:dyDescent="0.25">
      <c r="A189" s="253" t="str">
        <f t="shared" si="28"/>
        <v>1.20</v>
      </c>
      <c r="B189" s="609" t="str">
        <f>IF(LEFT(F189,1)="B",VLOOKUP(A189,COPY!$A$2:$AC$1000,4,FALSE),"")</f>
        <v/>
      </c>
      <c r="C189" s="586"/>
      <c r="D189" s="553"/>
      <c r="E189" s="553"/>
      <c r="F189" s="557" t="str">
        <f>IF(LEN(A189)&gt;2,LEFT(VLOOKUP(A189,COPY!$A$2:$AC$1000,29,FALSE),6),"")</f>
        <v>0</v>
      </c>
      <c r="G189" s="558">
        <f>_xlfn.IFNA(IF(TEXT(F189,0)="Terima","",VLOOKUP(A189,COPY!$A$2:$AC$1000,29,FALSE)),"")</f>
        <v>0</v>
      </c>
      <c r="H189" s="425"/>
      <c r="I189" s="559"/>
      <c r="J189" s="555"/>
      <c r="K189" s="608">
        <f>_xlfn.IFNA(IF(TEXT(F189,0)="Terima",0,VLOOKUP(A189,COPY!$A$2:$AC$1000,26,FALSE)),0)</f>
        <v>0</v>
      </c>
      <c r="L189" s="548">
        <f t="shared" si="35"/>
        <v>0</v>
      </c>
      <c r="M189" s="549">
        <f t="shared" si="36"/>
        <v>0</v>
      </c>
      <c r="O189" s="538">
        <f t="shared" si="37"/>
        <v>21622590</v>
      </c>
      <c r="P189" s="550"/>
      <c r="Q189" s="551"/>
    </row>
    <row r="190" spans="1:17" s="253" customFormat="1" ht="20.100000000000001" hidden="1" customHeight="1" x14ac:dyDescent="0.25">
      <c r="A190" s="253" t="str">
        <f t="shared" si="28"/>
        <v>1.21</v>
      </c>
      <c r="B190" s="609" t="str">
        <f>IF(LEFT(F190,1)="B",VLOOKUP(A190,COPY!$A$2:$AC$1000,4,FALSE),"")</f>
        <v/>
      </c>
      <c r="C190" s="586"/>
      <c r="D190" s="553"/>
      <c r="E190" s="553"/>
      <c r="F190" s="557" t="str">
        <f>IF(LEN(A190)&gt;2,LEFT(VLOOKUP(A190,COPY!$A$2:$AC$1000,29,FALSE),6),"")</f>
        <v>0</v>
      </c>
      <c r="G190" s="558">
        <f>_xlfn.IFNA(IF(TEXT(F190,0)="Terima","",VLOOKUP(A190,COPY!$A$2:$AC$1000,29,FALSE)),"")</f>
        <v>0</v>
      </c>
      <c r="H190" s="425"/>
      <c r="I190" s="559"/>
      <c r="J190" s="555"/>
      <c r="K190" s="608">
        <f>_xlfn.IFNA(IF(TEXT(F190,0)="Terima",0,VLOOKUP(A190,COPY!$A$2:$AC$1000,26,FALSE)),0)</f>
        <v>0</v>
      </c>
      <c r="L190" s="548">
        <f t="shared" si="35"/>
        <v>0</v>
      </c>
      <c r="M190" s="549">
        <f t="shared" si="36"/>
        <v>0</v>
      </c>
      <c r="O190" s="538">
        <f t="shared" si="37"/>
        <v>21622590</v>
      </c>
      <c r="P190" s="550"/>
      <c r="Q190" s="551"/>
    </row>
    <row r="191" spans="1:17" s="253" customFormat="1" ht="20.100000000000001" hidden="1" customHeight="1" x14ac:dyDescent="0.25">
      <c r="A191" s="253" t="str">
        <f t="shared" si="28"/>
        <v>1.22</v>
      </c>
      <c r="B191" s="609" t="str">
        <f>IF(LEFT(F191,1)="B",VLOOKUP(A191,COPY!$A$2:$AC$1000,4,FALSE),"")</f>
        <v/>
      </c>
      <c r="C191" s="586"/>
      <c r="D191" s="553"/>
      <c r="E191" s="553"/>
      <c r="F191" s="557" t="str">
        <f>IF(LEN(A191)&gt;2,LEFT(VLOOKUP(A191,COPY!$A$2:$AC$1000,29,FALSE),6),"")</f>
        <v>0</v>
      </c>
      <c r="G191" s="558">
        <f>_xlfn.IFNA(IF(TEXT(F191,0)="Terima","",VLOOKUP(A191,COPY!$A$2:$AC$1000,29,FALSE)),"")</f>
        <v>0</v>
      </c>
      <c r="H191" s="425"/>
      <c r="I191" s="559"/>
      <c r="J191" s="555"/>
      <c r="K191" s="608">
        <f>_xlfn.IFNA(IF(TEXT(F191,0)="Terima",0,VLOOKUP(A191,COPY!$A$2:$AC$1000,26,FALSE)),0)</f>
        <v>0</v>
      </c>
      <c r="L191" s="548">
        <f t="shared" si="35"/>
        <v>0</v>
      </c>
      <c r="M191" s="549">
        <f t="shared" si="36"/>
        <v>0</v>
      </c>
      <c r="O191" s="538">
        <f t="shared" si="37"/>
        <v>21622590</v>
      </c>
      <c r="P191" s="550"/>
      <c r="Q191" s="551"/>
    </row>
    <row r="192" spans="1:17" s="253" customFormat="1" ht="20.100000000000001" hidden="1" customHeight="1" x14ac:dyDescent="0.25">
      <c r="A192" s="253" t="str">
        <f t="shared" si="28"/>
        <v>1.23</v>
      </c>
      <c r="B192" s="609" t="str">
        <f>IF(LEFT(F192,1)="B",VLOOKUP(A192,COPY!$A$2:$AC$1000,4,FALSE),"")</f>
        <v/>
      </c>
      <c r="C192" s="586"/>
      <c r="D192" s="553"/>
      <c r="E192" s="553"/>
      <c r="F192" s="557" t="str">
        <f>IF(LEN(A192)&gt;2,LEFT(VLOOKUP(A192,COPY!$A$2:$AC$1000,29,FALSE),6),"")</f>
        <v>0</v>
      </c>
      <c r="G192" s="558">
        <f>_xlfn.IFNA(IF(TEXT(F192,0)="Terima","",VLOOKUP(A192,COPY!$A$2:$AC$1000,29,FALSE)),"")</f>
        <v>0</v>
      </c>
      <c r="H192" s="425"/>
      <c r="I192" s="559"/>
      <c r="J192" s="555"/>
      <c r="K192" s="608">
        <f>_xlfn.IFNA(IF(TEXT(F192,0)="Terima",0,VLOOKUP(A192,COPY!$A$2:$AC$1000,26,FALSE)),0)</f>
        <v>0</v>
      </c>
      <c r="L192" s="548">
        <f t="shared" si="35"/>
        <v>0</v>
      </c>
      <c r="M192" s="549">
        <f t="shared" si="36"/>
        <v>0</v>
      </c>
      <c r="O192" s="538">
        <f t="shared" si="37"/>
        <v>21622590</v>
      </c>
      <c r="P192" s="550"/>
      <c r="Q192" s="551"/>
    </row>
    <row r="193" spans="1:17" s="253" customFormat="1" ht="20.100000000000001" hidden="1" customHeight="1" x14ac:dyDescent="0.25">
      <c r="A193" s="253" t="str">
        <f t="shared" si="28"/>
        <v>1.24</v>
      </c>
      <c r="B193" s="609" t="str">
        <f>IF(LEFT(F193,1)="B",VLOOKUP(A193,COPY!$A$2:$AC$1000,4,FALSE),"")</f>
        <v/>
      </c>
      <c r="C193" s="586"/>
      <c r="D193" s="553"/>
      <c r="E193" s="553"/>
      <c r="F193" s="557" t="str">
        <f>IF(LEN(A193)&gt;2,LEFT(VLOOKUP(A193,COPY!$A$2:$AC$1000,29,FALSE),6),"")</f>
        <v>0</v>
      </c>
      <c r="G193" s="558">
        <f>_xlfn.IFNA(IF(TEXT(F193,0)="Terima","",VLOOKUP(A193,COPY!$A$2:$AC$1000,29,FALSE)),"")</f>
        <v>0</v>
      </c>
      <c r="H193" s="425"/>
      <c r="I193" s="559"/>
      <c r="J193" s="555"/>
      <c r="K193" s="608">
        <f>_xlfn.IFNA(IF(TEXT(F193,0)="Terima",0,VLOOKUP(A193,COPY!$A$2:$AC$1000,26,FALSE)),0)</f>
        <v>0</v>
      </c>
      <c r="L193" s="548">
        <f t="shared" si="35"/>
        <v>0</v>
      </c>
      <c r="M193" s="549">
        <f t="shared" si="36"/>
        <v>0</v>
      </c>
      <c r="O193" s="538">
        <f t="shared" si="37"/>
        <v>21622590</v>
      </c>
      <c r="P193" s="550"/>
      <c r="Q193" s="551"/>
    </row>
    <row r="194" spans="1:17" s="253" customFormat="1" ht="20.100000000000001" hidden="1" customHeight="1" x14ac:dyDescent="0.25">
      <c r="A194" s="253" t="str">
        <f t="shared" si="28"/>
        <v>1.25</v>
      </c>
      <c r="B194" s="609" t="str">
        <f>IF(LEFT(F194,1)="B",VLOOKUP(A194,COPY!$A$2:$AC$1000,4,FALSE),"")</f>
        <v/>
      </c>
      <c r="C194" s="586"/>
      <c r="D194" s="553"/>
      <c r="E194" s="553"/>
      <c r="F194" s="557" t="str">
        <f>IF(LEN(A194)&gt;2,LEFT(VLOOKUP(A194,COPY!$A$2:$AC$1000,29,FALSE),6),"")</f>
        <v>0</v>
      </c>
      <c r="G194" s="558">
        <f>_xlfn.IFNA(IF(TEXT(F194,0)="Terima","",VLOOKUP(A194,COPY!$A$2:$AC$1000,29,FALSE)),"")</f>
        <v>0</v>
      </c>
      <c r="H194" s="425"/>
      <c r="I194" s="559"/>
      <c r="J194" s="555"/>
      <c r="K194" s="608">
        <f>_xlfn.IFNA(IF(TEXT(F194,0)="Terima",0,VLOOKUP(A194,COPY!$A$2:$AC$1000,26,FALSE)),0)</f>
        <v>0</v>
      </c>
      <c r="L194" s="548">
        <f t="shared" si="35"/>
        <v>0</v>
      </c>
      <c r="M194" s="549">
        <f t="shared" si="36"/>
        <v>0</v>
      </c>
      <c r="O194" s="538">
        <f t="shared" si="37"/>
        <v>21622590</v>
      </c>
      <c r="P194" s="550"/>
      <c r="Q194" s="551"/>
    </row>
    <row r="195" spans="1:17" s="253" customFormat="1" ht="20.100000000000001" hidden="1" customHeight="1" x14ac:dyDescent="0.25">
      <c r="A195" s="253" t="str">
        <f t="shared" si="28"/>
        <v>1.26</v>
      </c>
      <c r="B195" s="609" t="str">
        <f>IF(LEFT(F195,1)="B",VLOOKUP(A195,COPY!$A$2:$AC$1000,4,FALSE),"")</f>
        <v/>
      </c>
      <c r="C195" s="586"/>
      <c r="D195" s="553"/>
      <c r="E195" s="553"/>
      <c r="F195" s="557" t="str">
        <f>IF(LEN(A195)&gt;2,LEFT(VLOOKUP(A195,COPY!$A$2:$AC$1000,29,FALSE),6),"")</f>
        <v>0</v>
      </c>
      <c r="G195" s="558">
        <f>_xlfn.IFNA(IF(TEXT(F195,0)="Terima","",VLOOKUP(A195,COPY!$A$2:$AC$1000,29,FALSE)),"")</f>
        <v>0</v>
      </c>
      <c r="H195" s="425"/>
      <c r="I195" s="559"/>
      <c r="J195" s="555"/>
      <c r="K195" s="608">
        <f>_xlfn.IFNA(IF(TEXT(F195,0)="Terima",0,VLOOKUP(A195,COPY!$A$2:$AC$1000,26,FALSE)),0)</f>
        <v>0</v>
      </c>
      <c r="L195" s="548">
        <f t="shared" si="35"/>
        <v>0</v>
      </c>
      <c r="M195" s="549">
        <f t="shared" si="36"/>
        <v>0</v>
      </c>
      <c r="O195" s="538">
        <f t="shared" si="37"/>
        <v>21622590</v>
      </c>
      <c r="P195" s="550"/>
      <c r="Q195" s="551"/>
    </row>
    <row r="196" spans="1:17" s="253" customFormat="1" ht="20.100000000000001" hidden="1" customHeight="1" x14ac:dyDescent="0.25">
      <c r="A196" s="253" t="str">
        <f t="shared" si="28"/>
        <v>1.27</v>
      </c>
      <c r="B196" s="609" t="str">
        <f>IF(LEFT(F196,1)="B",VLOOKUP(A196,COPY!$A$2:$AC$1000,4,FALSE),"")</f>
        <v/>
      </c>
      <c r="C196" s="586"/>
      <c r="D196" s="553"/>
      <c r="E196" s="553"/>
      <c r="F196" s="557" t="str">
        <f>IF(LEN(A196)&gt;2,LEFT(VLOOKUP(A196,COPY!$A$2:$AC$1000,29,FALSE),6),"")</f>
        <v>0</v>
      </c>
      <c r="G196" s="558">
        <f>_xlfn.IFNA(IF(TEXT(F196,0)="Terima","",VLOOKUP(A196,COPY!$A$2:$AC$1000,29,FALSE)),"")</f>
        <v>0</v>
      </c>
      <c r="H196" s="425"/>
      <c r="I196" s="559"/>
      <c r="J196" s="555"/>
      <c r="K196" s="608">
        <f>_xlfn.IFNA(IF(TEXT(F196,0)="Terima",0,VLOOKUP(A196,COPY!$A$2:$AC$1000,26,FALSE)),0)</f>
        <v>0</v>
      </c>
      <c r="L196" s="548">
        <f t="shared" si="35"/>
        <v>0</v>
      </c>
      <c r="M196" s="549">
        <f t="shared" si="36"/>
        <v>0</v>
      </c>
      <c r="O196" s="538">
        <f t="shared" si="37"/>
        <v>21622590</v>
      </c>
      <c r="P196" s="550"/>
      <c r="Q196" s="551"/>
    </row>
    <row r="197" spans="1:17" s="253" customFormat="1" ht="20.100000000000001" hidden="1" customHeight="1" x14ac:dyDescent="0.25">
      <c r="A197" s="253" t="str">
        <f t="shared" si="28"/>
        <v>1.28</v>
      </c>
      <c r="B197" s="609" t="str">
        <f>IF(LEFT(F197,1)="B",VLOOKUP(A197,COPY!$A$2:$AC$1000,4,FALSE),"")</f>
        <v/>
      </c>
      <c r="C197" s="586"/>
      <c r="D197" s="553"/>
      <c r="E197" s="553"/>
      <c r="F197" s="557" t="str">
        <f>IF(LEN(A197)&gt;2,LEFT(VLOOKUP(A197,COPY!$A$2:$AC$1000,29,FALSE),6),"")</f>
        <v>0</v>
      </c>
      <c r="G197" s="558">
        <f>_xlfn.IFNA(IF(TEXT(F197,0)="Terima","",VLOOKUP(A197,COPY!$A$2:$AC$1000,29,FALSE)),"")</f>
        <v>0</v>
      </c>
      <c r="H197" s="425"/>
      <c r="I197" s="559"/>
      <c r="J197" s="555"/>
      <c r="K197" s="608">
        <f>_xlfn.IFNA(IF(TEXT(F197,0)="Terima",0,VLOOKUP(A197,COPY!$A$2:$AC$1000,26,FALSE)),0)</f>
        <v>0</v>
      </c>
      <c r="L197" s="548">
        <f t="shared" si="35"/>
        <v>0</v>
      </c>
      <c r="M197" s="549">
        <f t="shared" si="36"/>
        <v>0</v>
      </c>
      <c r="O197" s="538">
        <f t="shared" si="37"/>
        <v>21622590</v>
      </c>
      <c r="P197" s="550"/>
      <c r="Q197" s="551"/>
    </row>
    <row r="198" spans="1:17" s="253" customFormat="1" ht="20.100000000000001" hidden="1" customHeight="1" x14ac:dyDescent="0.25">
      <c r="A198" s="253" t="str">
        <f t="shared" si="28"/>
        <v>1.29</v>
      </c>
      <c r="B198" s="609" t="str">
        <f>IF(LEFT(F198,1)="B",VLOOKUP(A198,COPY!$A$2:$AC$1000,4,FALSE),"")</f>
        <v/>
      </c>
      <c r="C198" s="586"/>
      <c r="D198" s="553"/>
      <c r="E198" s="553"/>
      <c r="F198" s="557" t="str">
        <f>IF(LEN(A198)&gt;2,LEFT(VLOOKUP(A198,COPY!$A$2:$AC$1000,29,FALSE),6),"")</f>
        <v>0</v>
      </c>
      <c r="G198" s="558">
        <f>_xlfn.IFNA(IF(TEXT(F198,0)="Terima","",VLOOKUP(A198,COPY!$A$2:$AC$1000,29,FALSE)),"")</f>
        <v>0</v>
      </c>
      <c r="H198" s="425"/>
      <c r="I198" s="559"/>
      <c r="J198" s="555"/>
      <c r="K198" s="608">
        <f>_xlfn.IFNA(IF(TEXT(F198,0)="Terima",0,VLOOKUP(A198,COPY!$A$2:$AC$1000,26,FALSE)),0)</f>
        <v>0</v>
      </c>
      <c r="L198" s="548">
        <f t="shared" si="35"/>
        <v>0</v>
      </c>
      <c r="M198" s="549">
        <f t="shared" si="36"/>
        <v>0</v>
      </c>
      <c r="O198" s="538">
        <f t="shared" si="37"/>
        <v>21622590</v>
      </c>
      <c r="P198" s="550"/>
      <c r="Q198" s="551"/>
    </row>
    <row r="199" spans="1:17" s="253" customFormat="1" ht="20.100000000000001" hidden="1" customHeight="1" x14ac:dyDescent="0.25">
      <c r="A199" s="253" t="str">
        <f t="shared" si="28"/>
        <v>1.30</v>
      </c>
      <c r="B199" s="609" t="str">
        <f>IF(LEFT(F199,1)="B",VLOOKUP(A199,COPY!$A$2:$AC$1000,4,FALSE),"")</f>
        <v/>
      </c>
      <c r="C199" s="586"/>
      <c r="D199" s="553"/>
      <c r="E199" s="553"/>
      <c r="F199" s="557" t="str">
        <f>IF(LEN(A199)&gt;2,LEFT(VLOOKUP(A199,COPY!$A$2:$AC$1000,29,FALSE),6),"")</f>
        <v>0</v>
      </c>
      <c r="G199" s="558">
        <f>_xlfn.IFNA(IF(TEXT(F199,0)="Terima","",VLOOKUP(A199,COPY!$A$2:$AC$1000,29,FALSE)),"")</f>
        <v>0</v>
      </c>
      <c r="H199" s="425"/>
      <c r="I199" s="559"/>
      <c r="J199" s="555"/>
      <c r="K199" s="608">
        <f>_xlfn.IFNA(IF(TEXT(F199,0)="Terima",0,VLOOKUP(A199,COPY!$A$2:$AC$1000,26,FALSE)),0)</f>
        <v>0</v>
      </c>
      <c r="L199" s="548">
        <f t="shared" si="35"/>
        <v>0</v>
      </c>
      <c r="M199" s="549">
        <f t="shared" si="36"/>
        <v>0</v>
      </c>
      <c r="O199" s="538">
        <f t="shared" si="37"/>
        <v>21622590</v>
      </c>
      <c r="P199" s="550"/>
      <c r="Q199" s="551"/>
    </row>
    <row r="200" spans="1:17" s="253" customFormat="1" ht="20.100000000000001" hidden="1" customHeight="1" x14ac:dyDescent="0.25">
      <c r="A200" s="253" t="str">
        <f t="shared" si="28"/>
        <v>1.31</v>
      </c>
      <c r="B200" s="609" t="str">
        <f>IF(LEFT(F200,1)="B",VLOOKUP(A200,COPY!$A$2:$AC$1000,4,FALSE),"")</f>
        <v/>
      </c>
      <c r="C200" s="586"/>
      <c r="D200" s="553"/>
      <c r="E200" s="553"/>
      <c r="F200" s="557" t="str">
        <f>IF(LEN(A200)&gt;2,LEFT(VLOOKUP(A200,COPY!$A$2:$AC$1000,29,FALSE),6),"")</f>
        <v>0</v>
      </c>
      <c r="G200" s="558">
        <f>_xlfn.IFNA(IF(TEXT(F200,0)="Terima","",VLOOKUP(A200,COPY!$A$2:$AC$1000,29,FALSE)),"")</f>
        <v>0</v>
      </c>
      <c r="H200" s="425"/>
      <c r="I200" s="559"/>
      <c r="J200" s="555"/>
      <c r="K200" s="608">
        <f>_xlfn.IFNA(IF(TEXT(F200,0)="Terima",0,VLOOKUP(A200,COPY!$A$2:$AC$1000,26,FALSE)),0)</f>
        <v>0</v>
      </c>
      <c r="L200" s="548">
        <f t="shared" si="35"/>
        <v>0</v>
      </c>
      <c r="M200" s="549">
        <f t="shared" si="36"/>
        <v>0</v>
      </c>
      <c r="O200" s="538">
        <f t="shared" si="37"/>
        <v>21622590</v>
      </c>
      <c r="P200" s="550"/>
      <c r="Q200" s="551"/>
    </row>
    <row r="201" spans="1:17" s="253" customFormat="1" ht="20.100000000000001" hidden="1" customHeight="1" x14ac:dyDescent="0.25">
      <c r="A201" s="253" t="str">
        <f t="shared" si="28"/>
        <v>1.32</v>
      </c>
      <c r="B201" s="609" t="str">
        <f>IF(LEFT(F201,1)="B",VLOOKUP(A201,COPY!$A$2:$AC$1000,4,FALSE),"")</f>
        <v/>
      </c>
      <c r="C201" s="586"/>
      <c r="D201" s="553"/>
      <c r="E201" s="553"/>
      <c r="F201" s="557" t="str">
        <f>IF(LEN(A201)&gt;2,LEFT(VLOOKUP(A201,COPY!$A$2:$AC$1000,29,FALSE),6),"")</f>
        <v>0</v>
      </c>
      <c r="G201" s="558">
        <f>_xlfn.IFNA(IF(TEXT(F201,0)="Terima","",VLOOKUP(A201,COPY!$A$2:$AC$1000,29,FALSE)),"")</f>
        <v>0</v>
      </c>
      <c r="H201" s="425"/>
      <c r="I201" s="559"/>
      <c r="J201" s="555"/>
      <c r="K201" s="608">
        <f>_xlfn.IFNA(IF(TEXT(F201,0)="Terima",0,VLOOKUP(A201,COPY!$A$2:$AC$1000,26,FALSE)),0)</f>
        <v>0</v>
      </c>
      <c r="L201" s="548">
        <f t="shared" si="35"/>
        <v>0</v>
      </c>
      <c r="M201" s="549">
        <f t="shared" si="36"/>
        <v>0</v>
      </c>
      <c r="O201" s="538">
        <f t="shared" si="37"/>
        <v>21622590</v>
      </c>
      <c r="P201" s="550"/>
      <c r="Q201" s="551"/>
    </row>
    <row r="202" spans="1:17" s="253" customFormat="1" ht="20.100000000000001" hidden="1" customHeight="1" x14ac:dyDescent="0.25">
      <c r="A202" s="253" t="str">
        <f t="shared" si="28"/>
        <v>1.33</v>
      </c>
      <c r="B202" s="609" t="str">
        <f>IF(LEFT(F202,1)="B",VLOOKUP(A202,COPY!$A$2:$AC$1000,4,FALSE),"")</f>
        <v/>
      </c>
      <c r="C202" s="586"/>
      <c r="D202" s="553"/>
      <c r="E202" s="553"/>
      <c r="F202" s="557" t="str">
        <f>IF(LEN(A202)&gt;2,LEFT(VLOOKUP(A202,COPY!$A$2:$AC$1000,29,FALSE),6),"")</f>
        <v>0</v>
      </c>
      <c r="G202" s="558">
        <f>_xlfn.IFNA(IF(TEXT(F202,0)="Terima","",VLOOKUP(A202,COPY!$A$2:$AC$1000,29,FALSE)),"")</f>
        <v>0</v>
      </c>
      <c r="H202" s="425"/>
      <c r="I202" s="559"/>
      <c r="J202" s="555"/>
      <c r="K202" s="608">
        <f>_xlfn.IFNA(IF(TEXT(F202,0)="Terima",0,VLOOKUP(A202,COPY!$A$2:$AC$1000,26,FALSE)),0)</f>
        <v>0</v>
      </c>
      <c r="L202" s="548">
        <f t="shared" si="35"/>
        <v>0</v>
      </c>
      <c r="M202" s="549">
        <f t="shared" si="36"/>
        <v>0</v>
      </c>
      <c r="O202" s="538">
        <f t="shared" si="37"/>
        <v>21622590</v>
      </c>
      <c r="P202" s="550"/>
      <c r="Q202" s="551"/>
    </row>
    <row r="203" spans="1:17" s="253" customFormat="1" ht="20.100000000000001" hidden="1" customHeight="1" x14ac:dyDescent="0.25">
      <c r="A203" s="253" t="str">
        <f t="shared" si="28"/>
        <v>1.34</v>
      </c>
      <c r="B203" s="609" t="str">
        <f>IF(LEFT(F203,1)="B",VLOOKUP(A203,COPY!$A$2:$AC$1000,4,FALSE),"")</f>
        <v/>
      </c>
      <c r="C203" s="586"/>
      <c r="D203" s="553"/>
      <c r="E203" s="553"/>
      <c r="F203" s="557" t="str">
        <f>IF(LEN(A203)&gt;2,LEFT(VLOOKUP(A203,COPY!$A$2:$AC$1000,29,FALSE),6),"")</f>
        <v>0</v>
      </c>
      <c r="G203" s="558">
        <f>_xlfn.IFNA(IF(TEXT(F203,0)="Terima","",VLOOKUP(A203,COPY!$A$2:$AC$1000,29,FALSE)),"")</f>
        <v>0</v>
      </c>
      <c r="H203" s="425"/>
      <c r="I203" s="559"/>
      <c r="J203" s="555"/>
      <c r="K203" s="608">
        <f>_xlfn.IFNA(IF(TEXT(F203,0)="Terima",0,VLOOKUP(A203,COPY!$A$2:$AC$1000,26,FALSE)),0)</f>
        <v>0</v>
      </c>
      <c r="L203" s="548">
        <f t="shared" si="35"/>
        <v>0</v>
      </c>
      <c r="M203" s="549">
        <f t="shared" si="36"/>
        <v>0</v>
      </c>
      <c r="O203" s="538">
        <f t="shared" si="37"/>
        <v>21622590</v>
      </c>
      <c r="P203" s="550"/>
      <c r="Q203" s="551"/>
    </row>
    <row r="204" spans="1:17" s="253" customFormat="1" ht="20.100000000000001" hidden="1" customHeight="1" x14ac:dyDescent="0.25">
      <c r="A204" s="253" t="str">
        <f t="shared" si="28"/>
        <v>1.35</v>
      </c>
      <c r="B204" s="609" t="str">
        <f>IF(LEFT(F204,1)="B",VLOOKUP(A204,COPY!$A$2:$AC$1000,4,FALSE),"")</f>
        <v/>
      </c>
      <c r="C204" s="586"/>
      <c r="D204" s="553"/>
      <c r="E204" s="553"/>
      <c r="F204" s="557" t="str">
        <f>IF(LEN(A204)&gt;2,LEFT(VLOOKUP(A204,COPY!$A$2:$AC$1000,29,FALSE),6),"")</f>
        <v>0</v>
      </c>
      <c r="G204" s="558">
        <f>_xlfn.IFNA(IF(TEXT(F204,0)="Terima","",VLOOKUP(A204,COPY!$A$2:$AC$1000,29,FALSE)),"")</f>
        <v>0</v>
      </c>
      <c r="H204" s="425"/>
      <c r="I204" s="559"/>
      <c r="J204" s="555"/>
      <c r="K204" s="608">
        <f>_xlfn.IFNA(IF(TEXT(F204,0)="Terima",0,VLOOKUP(A204,COPY!$A$2:$AC$1000,26,FALSE)),0)</f>
        <v>0</v>
      </c>
      <c r="L204" s="548">
        <f t="shared" si="35"/>
        <v>0</v>
      </c>
      <c r="M204" s="549">
        <f t="shared" si="36"/>
        <v>0</v>
      </c>
      <c r="O204" s="538">
        <f t="shared" si="37"/>
        <v>21622590</v>
      </c>
      <c r="P204" s="550"/>
      <c r="Q204" s="551"/>
    </row>
    <row r="205" spans="1:17" s="253" customFormat="1" ht="20.100000000000001" hidden="1" customHeight="1" x14ac:dyDescent="0.25">
      <c r="A205" s="253" t="str">
        <f t="shared" si="28"/>
        <v>1.36</v>
      </c>
      <c r="B205" s="609" t="str">
        <f>IF(LEFT(F205,1)="B",VLOOKUP(A205,COPY!$A$2:$AC$1000,4,FALSE),"")</f>
        <v/>
      </c>
      <c r="C205" s="586"/>
      <c r="D205" s="553"/>
      <c r="E205" s="553"/>
      <c r="F205" s="557" t="str">
        <f>IF(LEN(A205)&gt;2,LEFT(VLOOKUP(A205,COPY!$A$2:$AC$1000,29,FALSE),6),"")</f>
        <v>0</v>
      </c>
      <c r="G205" s="558">
        <f>_xlfn.IFNA(IF(TEXT(F205,0)="Terima","",VLOOKUP(A205,COPY!$A$2:$AC$1000,29,FALSE)),"")</f>
        <v>0</v>
      </c>
      <c r="H205" s="425"/>
      <c r="I205" s="559"/>
      <c r="J205" s="555"/>
      <c r="K205" s="608">
        <f>_xlfn.IFNA(IF(TEXT(F205,0)="Terima",0,VLOOKUP(A205,COPY!$A$2:$AC$1000,26,FALSE)),0)</f>
        <v>0</v>
      </c>
      <c r="L205" s="548">
        <f t="shared" si="35"/>
        <v>0</v>
      </c>
      <c r="M205" s="549">
        <f t="shared" si="36"/>
        <v>0</v>
      </c>
      <c r="O205" s="538">
        <f t="shared" si="37"/>
        <v>21622590</v>
      </c>
      <c r="P205" s="550"/>
      <c r="Q205" s="551"/>
    </row>
    <row r="206" spans="1:17" s="253" customFormat="1" ht="20.100000000000001" hidden="1" customHeight="1" x14ac:dyDescent="0.25">
      <c r="A206" s="253" t="str">
        <f t="shared" si="28"/>
        <v>1.37</v>
      </c>
      <c r="B206" s="609" t="str">
        <f>IF(LEFT(F206,1)="B",VLOOKUP(A206,COPY!$A$2:$AC$1000,4,FALSE),"")</f>
        <v/>
      </c>
      <c r="C206" s="586"/>
      <c r="D206" s="553"/>
      <c r="E206" s="553"/>
      <c r="F206" s="557" t="str">
        <f>IF(LEN(A206)&gt;2,LEFT(VLOOKUP(A206,COPY!$A$2:$AC$1000,29,FALSE),6),"")</f>
        <v>0</v>
      </c>
      <c r="G206" s="558">
        <f>_xlfn.IFNA(IF(TEXT(F206,0)="Terima","",VLOOKUP(A206,COPY!$A$2:$AC$1000,29,FALSE)),"")</f>
        <v>0</v>
      </c>
      <c r="H206" s="425"/>
      <c r="I206" s="559"/>
      <c r="J206" s="555"/>
      <c r="K206" s="608">
        <f>_xlfn.IFNA(IF(TEXT(F206,0)="Terima",0,VLOOKUP(A206,COPY!$A$2:$AC$1000,26,FALSE)),0)</f>
        <v>0</v>
      </c>
      <c r="L206" s="548">
        <f t="shared" si="35"/>
        <v>0</v>
      </c>
      <c r="M206" s="549">
        <f t="shared" si="36"/>
        <v>0</v>
      </c>
      <c r="O206" s="538">
        <f t="shared" si="37"/>
        <v>21622590</v>
      </c>
      <c r="P206" s="550"/>
      <c r="Q206" s="551"/>
    </row>
    <row r="207" spans="1:17" s="253" customFormat="1" ht="20.100000000000001" hidden="1" customHeight="1" x14ac:dyDescent="0.25">
      <c r="A207" s="253" t="str">
        <f t="shared" si="28"/>
        <v>1.38</v>
      </c>
      <c r="B207" s="609" t="str">
        <f>IF(LEFT(F207,1)="B",VLOOKUP(A207,COPY!$A$2:$AC$1000,4,FALSE),"")</f>
        <v/>
      </c>
      <c r="C207" s="586"/>
      <c r="D207" s="553"/>
      <c r="E207" s="553"/>
      <c r="F207" s="557" t="str">
        <f>IF(LEN(A207)&gt;2,LEFT(VLOOKUP(A207,COPY!$A$2:$AC$1000,29,FALSE),6),"")</f>
        <v>Terima</v>
      </c>
      <c r="G207" s="558" t="str">
        <f>_xlfn.IFNA(IF(TEXT(F207,0)="Terima","",VLOOKUP(A207,COPY!$A$2:$AC$1000,29,FALSE)),"")</f>
        <v/>
      </c>
      <c r="H207" s="425"/>
      <c r="I207" s="559"/>
      <c r="J207" s="555"/>
      <c r="K207" s="608">
        <f>_xlfn.IFNA(IF(TEXT(F207,0)="Terima",0,VLOOKUP(A207,COPY!$A$2:$AC$1000,26,FALSE)),0)</f>
        <v>0</v>
      </c>
      <c r="L207" s="548">
        <f t="shared" si="35"/>
        <v>0</v>
      </c>
      <c r="M207" s="549">
        <f t="shared" si="36"/>
        <v>0</v>
      </c>
      <c r="O207" s="538">
        <f t="shared" si="37"/>
        <v>21622590</v>
      </c>
      <c r="P207" s="550"/>
      <c r="Q207" s="551"/>
    </row>
    <row r="208" spans="1:17" s="253" customFormat="1" ht="20.100000000000001" hidden="1" customHeight="1" x14ac:dyDescent="0.25">
      <c r="A208" s="253" t="str">
        <f t="shared" si="28"/>
        <v>1.39</v>
      </c>
      <c r="B208" s="609" t="str">
        <f>IF(LEFT(F208,1)="B",VLOOKUP(A208,COPY!$A$2:$AC$1000,4,FALSE),"")</f>
        <v/>
      </c>
      <c r="C208" s="586"/>
      <c r="D208" s="553"/>
      <c r="E208" s="553"/>
      <c r="F208" s="557" t="str">
        <f>IF(LEN(A208)&gt;2,LEFT(VLOOKUP(A208,COPY!$A$2:$AC$1000,29,FALSE),6),"")</f>
        <v>0</v>
      </c>
      <c r="G208" s="558">
        <f>_xlfn.IFNA(IF(TEXT(F208,0)="Terima","",VLOOKUP(A208,COPY!$A$2:$AC$1000,29,FALSE)),"")</f>
        <v>0</v>
      </c>
      <c r="H208" s="425"/>
      <c r="I208" s="559"/>
      <c r="J208" s="555"/>
      <c r="K208" s="608">
        <f>_xlfn.IFNA(IF(TEXT(F208,0)="Terima",0,VLOOKUP(A208,COPY!$A$2:$AC$1000,26,FALSE)),0)</f>
        <v>0</v>
      </c>
      <c r="L208" s="548">
        <f t="shared" si="35"/>
        <v>0</v>
      </c>
      <c r="M208" s="549">
        <f t="shared" si="36"/>
        <v>0</v>
      </c>
      <c r="O208" s="538">
        <f t="shared" si="37"/>
        <v>21622590</v>
      </c>
      <c r="P208" s="550"/>
      <c r="Q208" s="551"/>
    </row>
    <row r="209" spans="1:17" s="253" customFormat="1" ht="20.100000000000001" hidden="1" customHeight="1" x14ac:dyDescent="0.25">
      <c r="A209" s="253" t="str">
        <f t="shared" si="28"/>
        <v>1.40</v>
      </c>
      <c r="B209" s="609" t="str">
        <f>IF(LEFT(F209,1)="B",VLOOKUP(A209,COPY!$A$2:$AC$1000,4,FALSE),"")</f>
        <v/>
      </c>
      <c r="C209" s="586"/>
      <c r="D209" s="553"/>
      <c r="E209" s="553"/>
      <c r="F209" s="557" t="str">
        <f>IF(LEN(A209)&gt;2,LEFT(VLOOKUP(A209,COPY!$A$2:$AC$1000,29,FALSE),6),"")</f>
        <v>0</v>
      </c>
      <c r="G209" s="558">
        <f>_xlfn.IFNA(IF(TEXT(F209,0)="Terima","",VLOOKUP(A209,COPY!$A$2:$AC$1000,29,FALSE)),"")</f>
        <v>0</v>
      </c>
      <c r="H209" s="425"/>
      <c r="I209" s="559"/>
      <c r="J209" s="555"/>
      <c r="K209" s="608">
        <f>_xlfn.IFNA(IF(TEXT(F209,0)="Terima",0,VLOOKUP(A209,COPY!$A$2:$AC$1000,26,FALSE)),0)</f>
        <v>0</v>
      </c>
      <c r="L209" s="548">
        <f t="shared" si="35"/>
        <v>0</v>
      </c>
      <c r="M209" s="549">
        <f t="shared" si="36"/>
        <v>0</v>
      </c>
      <c r="O209" s="538">
        <f t="shared" si="37"/>
        <v>21622590</v>
      </c>
      <c r="P209" s="550"/>
      <c r="Q209" s="551"/>
    </row>
    <row r="210" spans="1:17" s="253" customFormat="1" ht="20.100000000000001" hidden="1" customHeight="1" x14ac:dyDescent="0.25">
      <c r="A210" s="253" t="str">
        <f t="shared" si="28"/>
        <v>1.41</v>
      </c>
      <c r="B210" s="609" t="str">
        <f>IF(LEFT(F210,1)="B",VLOOKUP(A210,COPY!$A$2:$AC$1000,4,FALSE),"")</f>
        <v/>
      </c>
      <c r="C210" s="586"/>
      <c r="D210" s="553"/>
      <c r="E210" s="553"/>
      <c r="F210" s="557" t="str">
        <f>IF(LEN(A210)&gt;2,LEFT(VLOOKUP(A210,COPY!$A$2:$AC$1000,29,FALSE),6),"")</f>
        <v>0</v>
      </c>
      <c r="G210" s="558">
        <f>_xlfn.IFNA(IF(TEXT(F210,0)="Terima","",VLOOKUP(A210,COPY!$A$2:$AC$1000,29,FALSE)),"")</f>
        <v>0</v>
      </c>
      <c r="H210" s="425"/>
      <c r="I210" s="559"/>
      <c r="J210" s="555"/>
      <c r="K210" s="608">
        <f>_xlfn.IFNA(IF(TEXT(F210,0)="Terima",0,VLOOKUP(A210,COPY!$A$2:$AC$1000,26,FALSE)),0)</f>
        <v>0</v>
      </c>
      <c r="L210" s="548">
        <f t="shared" si="35"/>
        <v>0</v>
      </c>
      <c r="M210" s="549">
        <f t="shared" si="36"/>
        <v>0</v>
      </c>
      <c r="O210" s="538">
        <f t="shared" si="37"/>
        <v>21622590</v>
      </c>
      <c r="P210" s="550"/>
      <c r="Q210" s="551"/>
    </row>
    <row r="211" spans="1:17" s="253" customFormat="1" ht="20.100000000000001" hidden="1" customHeight="1" x14ac:dyDescent="0.25">
      <c r="A211" s="253" t="str">
        <f t="shared" si="28"/>
        <v>1.42</v>
      </c>
      <c r="B211" s="609" t="str">
        <f>IF(LEFT(F211,1)="B",VLOOKUP(A211,COPY!$A$2:$AC$1000,4,FALSE),"")</f>
        <v/>
      </c>
      <c r="C211" s="586"/>
      <c r="D211" s="553"/>
      <c r="E211" s="553"/>
      <c r="F211" s="557" t="str">
        <f>IF(LEN(A211)&gt;2,LEFT(VLOOKUP(A211,COPY!$A$2:$AC$1000,29,FALSE),6),"")</f>
        <v>0</v>
      </c>
      <c r="G211" s="558">
        <f>_xlfn.IFNA(IF(TEXT(F211,0)="Terima","",VLOOKUP(A211,COPY!$A$2:$AC$1000,29,FALSE)),"")</f>
        <v>0</v>
      </c>
      <c r="H211" s="425"/>
      <c r="I211" s="559"/>
      <c r="J211" s="555"/>
      <c r="K211" s="608">
        <f>_xlfn.IFNA(IF(TEXT(F211,0)="Terima",0,VLOOKUP(A211,COPY!$A$2:$AC$1000,26,FALSE)),0)</f>
        <v>0</v>
      </c>
      <c r="L211" s="548">
        <f t="shared" si="35"/>
        <v>0</v>
      </c>
      <c r="M211" s="549">
        <f t="shared" si="36"/>
        <v>0</v>
      </c>
      <c r="O211" s="538">
        <f t="shared" si="37"/>
        <v>21622590</v>
      </c>
      <c r="P211" s="550"/>
      <c r="Q211" s="551"/>
    </row>
    <row r="212" spans="1:17" s="253" customFormat="1" ht="20.100000000000001" hidden="1" customHeight="1" x14ac:dyDescent="0.25">
      <c r="A212" s="253" t="str">
        <f t="shared" si="28"/>
        <v>1.43</v>
      </c>
      <c r="B212" s="609" t="str">
        <f>IF(LEFT(F212,1)="B",VLOOKUP(A212,COPY!$A$2:$AC$1000,4,FALSE),"")</f>
        <v/>
      </c>
      <c r="C212" s="586"/>
      <c r="D212" s="553"/>
      <c r="E212" s="553"/>
      <c r="F212" s="557" t="str">
        <f>IF(LEN(A212)&gt;2,LEFT(VLOOKUP(A212,COPY!$A$2:$AC$1000,29,FALSE),6),"")</f>
        <v>0</v>
      </c>
      <c r="G212" s="558">
        <f>_xlfn.IFNA(IF(TEXT(F212,0)="Terima","",VLOOKUP(A212,COPY!$A$2:$AC$1000,29,FALSE)),"")</f>
        <v>0</v>
      </c>
      <c r="H212" s="425"/>
      <c r="I212" s="559"/>
      <c r="J212" s="555"/>
      <c r="K212" s="608">
        <f>_xlfn.IFNA(IF(TEXT(F212,0)="Terima",0,VLOOKUP(A212,COPY!$A$2:$AC$1000,26,FALSE)),0)</f>
        <v>0</v>
      </c>
      <c r="L212" s="548">
        <f t="shared" si="35"/>
        <v>0</v>
      </c>
      <c r="M212" s="549">
        <f t="shared" si="36"/>
        <v>0</v>
      </c>
      <c r="O212" s="538">
        <f t="shared" si="37"/>
        <v>21622590</v>
      </c>
      <c r="P212" s="550"/>
      <c r="Q212" s="551"/>
    </row>
    <row r="213" spans="1:17" s="253" customFormat="1" ht="20.100000000000001" hidden="1" customHeight="1" x14ac:dyDescent="0.25">
      <c r="A213" s="253" t="str">
        <f t="shared" si="28"/>
        <v>1.44</v>
      </c>
      <c r="B213" s="609" t="str">
        <f>IF(LEFT(F213,1)="B",VLOOKUP(A213,COPY!$A$2:$AC$1000,4,FALSE),"")</f>
        <v/>
      </c>
      <c r="C213" s="586"/>
      <c r="D213" s="553"/>
      <c r="E213" s="553"/>
      <c r="F213" s="557" t="str">
        <f>IF(LEN(A213)&gt;2,LEFT(VLOOKUP(A213,COPY!$A$2:$AC$1000,29,FALSE),6),"")</f>
        <v>0</v>
      </c>
      <c r="G213" s="558">
        <f>_xlfn.IFNA(IF(TEXT(F213,0)="Terima","",VLOOKUP(A213,COPY!$A$2:$AC$1000,29,FALSE)),"")</f>
        <v>0</v>
      </c>
      <c r="H213" s="425"/>
      <c r="I213" s="559"/>
      <c r="J213" s="555"/>
      <c r="K213" s="608">
        <f>_xlfn.IFNA(IF(TEXT(F213,0)="Terima",0,VLOOKUP(A213,COPY!$A$2:$AC$1000,26,FALSE)),0)</f>
        <v>0</v>
      </c>
      <c r="L213" s="548">
        <f t="shared" si="35"/>
        <v>0</v>
      </c>
      <c r="M213" s="549">
        <f t="shared" si="36"/>
        <v>0</v>
      </c>
      <c r="O213" s="538">
        <f t="shared" si="37"/>
        <v>21622590</v>
      </c>
      <c r="P213" s="550"/>
      <c r="Q213" s="551"/>
    </row>
    <row r="214" spans="1:17" s="253" customFormat="1" ht="20.100000000000001" hidden="1" customHeight="1" x14ac:dyDescent="0.25">
      <c r="A214" s="253" t="str">
        <f t="shared" si="28"/>
        <v>1.45</v>
      </c>
      <c r="B214" s="609" t="str">
        <f>IF(LEFT(F214,1)="B",VLOOKUP(A214,COPY!$A$2:$AC$1000,4,FALSE),"")</f>
        <v/>
      </c>
      <c r="C214" s="586"/>
      <c r="D214" s="553"/>
      <c r="E214" s="553"/>
      <c r="F214" s="557" t="str">
        <f>IF(LEN(A214)&gt;2,LEFT(VLOOKUP(A214,COPY!$A$2:$AC$1000,29,FALSE),6),"")</f>
        <v>0</v>
      </c>
      <c r="G214" s="558">
        <f>_xlfn.IFNA(IF(TEXT(F214,0)="Terima","",VLOOKUP(A214,COPY!$A$2:$AC$1000,29,FALSE)),"")</f>
        <v>0</v>
      </c>
      <c r="H214" s="425"/>
      <c r="I214" s="559"/>
      <c r="J214" s="555"/>
      <c r="K214" s="608">
        <f>_xlfn.IFNA(IF(TEXT(F214,0)="Terima",0,VLOOKUP(A214,COPY!$A$2:$AC$1000,26,FALSE)),0)</f>
        <v>0</v>
      </c>
      <c r="L214" s="548">
        <f t="shared" si="35"/>
        <v>0</v>
      </c>
      <c r="M214" s="549">
        <f t="shared" si="36"/>
        <v>0</v>
      </c>
      <c r="O214" s="538">
        <f t="shared" si="37"/>
        <v>21622590</v>
      </c>
      <c r="P214" s="550"/>
      <c r="Q214" s="551"/>
    </row>
    <row r="215" spans="1:17" s="253" customFormat="1" ht="20.100000000000001" hidden="1" customHeight="1" x14ac:dyDescent="0.25">
      <c r="A215" s="253" t="str">
        <f t="shared" si="28"/>
        <v>1.46</v>
      </c>
      <c r="B215" s="609" t="str">
        <f>IF(LEFT(F215,1)="B",VLOOKUP(A215,COPY!$A$2:$AC$1000,4,FALSE),"")</f>
        <v/>
      </c>
      <c r="C215" s="586"/>
      <c r="D215" s="553"/>
      <c r="E215" s="553"/>
      <c r="F215" s="557" t="str">
        <f>IF(LEN(A215)&gt;2,LEFT(VLOOKUP(A215,COPY!$A$2:$AC$1000,29,FALSE),6),"")</f>
        <v>0</v>
      </c>
      <c r="G215" s="558">
        <f>_xlfn.IFNA(IF(TEXT(F215,0)="Terima","",VLOOKUP(A215,COPY!$A$2:$AC$1000,29,FALSE)),"")</f>
        <v>0</v>
      </c>
      <c r="H215" s="425"/>
      <c r="I215" s="559"/>
      <c r="J215" s="555"/>
      <c r="K215" s="608">
        <f>_xlfn.IFNA(IF(TEXT(F215,0)="Terima",0,VLOOKUP(A215,COPY!$A$2:$AC$1000,26,FALSE)),0)</f>
        <v>0</v>
      </c>
      <c r="L215" s="548">
        <f t="shared" si="35"/>
        <v>0</v>
      </c>
      <c r="M215" s="549">
        <f t="shared" si="36"/>
        <v>0</v>
      </c>
      <c r="O215" s="538">
        <f t="shared" si="37"/>
        <v>21622590</v>
      </c>
      <c r="P215" s="550"/>
      <c r="Q215" s="551"/>
    </row>
    <row r="216" spans="1:17" s="253" customFormat="1" ht="20.100000000000001" hidden="1" customHeight="1" x14ac:dyDescent="0.25">
      <c r="A216" s="253" t="str">
        <f t="shared" si="28"/>
        <v>1.47</v>
      </c>
      <c r="B216" s="609" t="str">
        <f>IF(LEFT(F216,1)="B",VLOOKUP(A216,COPY!$A$2:$AC$1000,4,FALSE),"")</f>
        <v/>
      </c>
      <c r="C216" s="586"/>
      <c r="D216" s="553"/>
      <c r="E216" s="553"/>
      <c r="F216" s="557" t="str">
        <f>IF(LEN(A216)&gt;2,LEFT(VLOOKUP(A216,COPY!$A$2:$AC$1000,29,FALSE),6),"")</f>
        <v>0</v>
      </c>
      <c r="G216" s="558">
        <f>_xlfn.IFNA(IF(TEXT(F216,0)="Terima","",VLOOKUP(A216,COPY!$A$2:$AC$1000,29,FALSE)),"")</f>
        <v>0</v>
      </c>
      <c r="H216" s="425"/>
      <c r="I216" s="559"/>
      <c r="J216" s="555"/>
      <c r="K216" s="608">
        <f>_xlfn.IFNA(IF(TEXT(F216,0)="Terima",0,VLOOKUP(A216,COPY!$A$2:$AC$1000,26,FALSE)),0)</f>
        <v>0</v>
      </c>
      <c r="L216" s="548">
        <f t="shared" si="35"/>
        <v>0</v>
      </c>
      <c r="M216" s="549">
        <f t="shared" si="36"/>
        <v>0</v>
      </c>
      <c r="O216" s="538">
        <f t="shared" si="37"/>
        <v>21622590</v>
      </c>
      <c r="P216" s="550"/>
      <c r="Q216" s="551"/>
    </row>
    <row r="217" spans="1:17" s="253" customFormat="1" ht="20.100000000000001" hidden="1" customHeight="1" x14ac:dyDescent="0.25">
      <c r="A217" s="253" t="str">
        <f t="shared" si="28"/>
        <v>1.48</v>
      </c>
      <c r="B217" s="609" t="str">
        <f>IF(LEFT(F217,1)="B",VLOOKUP(A217,COPY!$A$2:$AC$1000,4,FALSE),"")</f>
        <v/>
      </c>
      <c r="C217" s="586"/>
      <c r="D217" s="553"/>
      <c r="E217" s="553"/>
      <c r="F217" s="557" t="str">
        <f>IF(LEN(A217)&gt;2,LEFT(VLOOKUP(A217,COPY!$A$2:$AC$1000,29,FALSE),6),"")</f>
        <v>0</v>
      </c>
      <c r="G217" s="558">
        <f>_xlfn.IFNA(IF(TEXT(F217,0)="Terima","",VLOOKUP(A217,COPY!$A$2:$AC$1000,29,FALSE)),"")</f>
        <v>0</v>
      </c>
      <c r="H217" s="425"/>
      <c r="I217" s="559"/>
      <c r="J217" s="555"/>
      <c r="K217" s="608">
        <f>_xlfn.IFNA(IF(TEXT(F217,0)="Terima",0,VLOOKUP(A217,COPY!$A$2:$AC$1000,26,FALSE)),0)</f>
        <v>0</v>
      </c>
      <c r="L217" s="548">
        <f t="shared" si="35"/>
        <v>0</v>
      </c>
      <c r="M217" s="549">
        <f t="shared" si="36"/>
        <v>0</v>
      </c>
      <c r="O217" s="538">
        <f t="shared" si="37"/>
        <v>21622590</v>
      </c>
      <c r="P217" s="550"/>
      <c r="Q217" s="551"/>
    </row>
    <row r="218" spans="1:17" s="253" customFormat="1" ht="20.100000000000001" hidden="1" customHeight="1" x14ac:dyDescent="0.25">
      <c r="A218" s="253" t="str">
        <f t="shared" si="28"/>
        <v>1.49</v>
      </c>
      <c r="B218" s="609" t="str">
        <f>IF(LEFT(F218,1)="B",VLOOKUP(A218,COPY!$A$2:$AC$1000,4,FALSE),"")</f>
        <v/>
      </c>
      <c r="C218" s="586"/>
      <c r="D218" s="553"/>
      <c r="E218" s="553"/>
      <c r="F218" s="557" t="str">
        <f>IF(LEN(A218)&gt;2,LEFT(VLOOKUP(A218,COPY!$A$2:$AC$1000,29,FALSE),6),"")</f>
        <v>0</v>
      </c>
      <c r="G218" s="558">
        <f>_xlfn.IFNA(IF(TEXT(F218,0)="Terima","",VLOOKUP(A218,COPY!$A$2:$AC$1000,29,FALSE)),"")</f>
        <v>0</v>
      </c>
      <c r="H218" s="425"/>
      <c r="I218" s="559"/>
      <c r="J218" s="555"/>
      <c r="K218" s="608">
        <f>_xlfn.IFNA(IF(TEXT(F218,0)="Terima",0,VLOOKUP(A218,COPY!$A$2:$AC$1000,26,FALSE)),0)</f>
        <v>0</v>
      </c>
      <c r="L218" s="548">
        <f t="shared" si="35"/>
        <v>0</v>
      </c>
      <c r="M218" s="549">
        <f t="shared" si="36"/>
        <v>0</v>
      </c>
      <c r="O218" s="538">
        <f t="shared" si="37"/>
        <v>21622590</v>
      </c>
      <c r="P218" s="550"/>
      <c r="Q218" s="551"/>
    </row>
    <row r="219" spans="1:17" s="253" customFormat="1" ht="20.100000000000001" hidden="1" customHeight="1" x14ac:dyDescent="0.25">
      <c r="A219" s="253" t="str">
        <f t="shared" si="28"/>
        <v>1.50</v>
      </c>
      <c r="B219" s="609" t="str">
        <f>IF(LEFT(F219,1)="B",VLOOKUP(A219,COPY!$A$2:$AC$1000,4,FALSE),"")</f>
        <v/>
      </c>
      <c r="C219" s="586"/>
      <c r="D219" s="553"/>
      <c r="E219" s="553"/>
      <c r="F219" s="557" t="str">
        <f>IF(LEN(A219)&gt;2,LEFT(VLOOKUP(A219,COPY!$A$2:$AC$1000,29,FALSE),6),"")</f>
        <v>0</v>
      </c>
      <c r="G219" s="558">
        <f>_xlfn.IFNA(IF(TEXT(F219,0)="Terima","",VLOOKUP(A219,COPY!$A$2:$AC$1000,29,FALSE)),"")</f>
        <v>0</v>
      </c>
      <c r="H219" s="425"/>
      <c r="I219" s="559"/>
      <c r="J219" s="555"/>
      <c r="K219" s="608">
        <f>_xlfn.IFNA(IF(TEXT(F219,0)="Terima",0,VLOOKUP(A219,COPY!$A$2:$AC$1000,26,FALSE)),0)</f>
        <v>0</v>
      </c>
      <c r="L219" s="548">
        <f t="shared" si="35"/>
        <v>0</v>
      </c>
      <c r="M219" s="549">
        <f t="shared" si="36"/>
        <v>0</v>
      </c>
      <c r="O219" s="538">
        <f t="shared" si="37"/>
        <v>21622590</v>
      </c>
      <c r="P219" s="550"/>
      <c r="Q219" s="551"/>
    </row>
    <row r="220" spans="1:17" s="253" customFormat="1" ht="20.100000000000001" hidden="1" customHeight="1" x14ac:dyDescent="0.25">
      <c r="A220" s="253" t="str">
        <f t="shared" si="28"/>
        <v>1.51</v>
      </c>
      <c r="B220" s="609" t="str">
        <f>IF(LEFT(F220,1)="B",VLOOKUP(A220,COPY!$A$2:$AC$1000,4,FALSE),"")</f>
        <v/>
      </c>
      <c r="C220" s="586"/>
      <c r="D220" s="553"/>
      <c r="E220" s="553"/>
      <c r="F220" s="557" t="str">
        <f>IF(LEN(A220)&gt;2,LEFT(VLOOKUP(A220,COPY!$A$2:$AC$1000,29,FALSE),6),"")</f>
        <v>0</v>
      </c>
      <c r="G220" s="558">
        <f>_xlfn.IFNA(IF(TEXT(F220,0)="Terima","",VLOOKUP(A220,COPY!$A$2:$AC$1000,29,FALSE)),"")</f>
        <v>0</v>
      </c>
      <c r="H220" s="425"/>
      <c r="I220" s="559"/>
      <c r="J220" s="555"/>
      <c r="K220" s="608">
        <f>_xlfn.IFNA(IF(TEXT(F220,0)="Terima",0,VLOOKUP(A220,COPY!$A$2:$AC$1000,26,FALSE)),0)</f>
        <v>0</v>
      </c>
      <c r="L220" s="548">
        <f t="shared" si="35"/>
        <v>0</v>
      </c>
      <c r="M220" s="549">
        <f t="shared" si="36"/>
        <v>0</v>
      </c>
      <c r="O220" s="538">
        <f t="shared" si="37"/>
        <v>21622590</v>
      </c>
      <c r="P220" s="550"/>
      <c r="Q220" s="551"/>
    </row>
    <row r="221" spans="1:17" s="253" customFormat="1" ht="20.100000000000001" hidden="1" customHeight="1" x14ac:dyDescent="0.25">
      <c r="A221" s="253" t="str">
        <f t="shared" si="28"/>
        <v>1.52</v>
      </c>
      <c r="B221" s="609" t="str">
        <f>IF(LEFT(F221,1)="B",VLOOKUP(A221,COPY!$A$2:$AC$1000,4,FALSE),"")</f>
        <v/>
      </c>
      <c r="C221" s="586"/>
      <c r="D221" s="553"/>
      <c r="E221" s="553"/>
      <c r="F221" s="557" t="str">
        <f>IF(LEN(A221)&gt;2,LEFT(VLOOKUP(A221,COPY!$A$2:$AC$1000,29,FALSE),6),"")</f>
        <v>0</v>
      </c>
      <c r="G221" s="558">
        <f>_xlfn.IFNA(IF(TEXT(F221,0)="Terima","",VLOOKUP(A221,COPY!$A$2:$AC$1000,29,FALSE)),"")</f>
        <v>0</v>
      </c>
      <c r="H221" s="425"/>
      <c r="I221" s="559"/>
      <c r="J221" s="555"/>
      <c r="K221" s="608">
        <f>_xlfn.IFNA(IF(TEXT(F221,0)="Terima",0,VLOOKUP(A221,COPY!$A$2:$AC$1000,26,FALSE)),0)</f>
        <v>0</v>
      </c>
      <c r="L221" s="548">
        <f t="shared" si="35"/>
        <v>0</v>
      </c>
      <c r="M221" s="549">
        <f t="shared" si="36"/>
        <v>0</v>
      </c>
      <c r="O221" s="538">
        <f t="shared" si="37"/>
        <v>21622590</v>
      </c>
      <c r="P221" s="550"/>
      <c r="Q221" s="551"/>
    </row>
    <row r="222" spans="1:17" s="253" customFormat="1" ht="20.100000000000001" hidden="1" customHeight="1" x14ac:dyDescent="0.25">
      <c r="A222" s="253" t="str">
        <f t="shared" si="28"/>
        <v>1.53</v>
      </c>
      <c r="B222" s="609" t="str">
        <f>IF(LEFT(F222,1)="B",VLOOKUP(A222,COPY!$A$2:$AC$1000,4,FALSE),"")</f>
        <v/>
      </c>
      <c r="C222" s="586"/>
      <c r="D222" s="553"/>
      <c r="E222" s="553"/>
      <c r="F222" s="557" t="str">
        <f>IF(LEN(A222)&gt;2,LEFT(VLOOKUP(A222,COPY!$A$2:$AC$1000,29,FALSE),6),"")</f>
        <v>0</v>
      </c>
      <c r="G222" s="558">
        <f>_xlfn.IFNA(IF(TEXT(F222,0)="Terima","",VLOOKUP(A222,COPY!$A$2:$AC$1000,29,FALSE)),"")</f>
        <v>0</v>
      </c>
      <c r="H222" s="425"/>
      <c r="I222" s="559"/>
      <c r="J222" s="555"/>
      <c r="K222" s="608">
        <f>_xlfn.IFNA(IF(TEXT(F222,0)="Terima",0,VLOOKUP(A222,COPY!$A$2:$AC$1000,26,FALSE)),0)</f>
        <v>0</v>
      </c>
      <c r="L222" s="548">
        <f t="shared" si="35"/>
        <v>0</v>
      </c>
      <c r="M222" s="549">
        <f t="shared" si="36"/>
        <v>0</v>
      </c>
      <c r="O222" s="538">
        <f t="shared" si="37"/>
        <v>21622590</v>
      </c>
      <c r="P222" s="550"/>
      <c r="Q222" s="551"/>
    </row>
    <row r="223" spans="1:17" s="253" customFormat="1" ht="20.100000000000001" hidden="1" customHeight="1" x14ac:dyDescent="0.25">
      <c r="A223" s="253" t="str">
        <f t="shared" si="28"/>
        <v>1.54</v>
      </c>
      <c r="B223" s="609" t="str">
        <f>IF(LEFT(F223,1)="B",VLOOKUP(A223,COPY!$A$2:$AC$1000,4,FALSE),"")</f>
        <v/>
      </c>
      <c r="C223" s="586"/>
      <c r="D223" s="553"/>
      <c r="E223" s="553"/>
      <c r="F223" s="557" t="str">
        <f>IF(LEN(A223)&gt;2,LEFT(VLOOKUP(A223,COPY!$A$2:$AC$1000,29,FALSE),6),"")</f>
        <v>0</v>
      </c>
      <c r="G223" s="558">
        <f>_xlfn.IFNA(IF(TEXT(F223,0)="Terima","",VLOOKUP(A223,COPY!$A$2:$AC$1000,29,FALSE)),"")</f>
        <v>0</v>
      </c>
      <c r="H223" s="425"/>
      <c r="I223" s="559"/>
      <c r="J223" s="555"/>
      <c r="K223" s="608">
        <f>_xlfn.IFNA(IF(TEXT(F223,0)="Terima",0,VLOOKUP(A223,COPY!$A$2:$AC$1000,26,FALSE)),0)</f>
        <v>0</v>
      </c>
      <c r="L223" s="548">
        <f t="shared" si="35"/>
        <v>0</v>
      </c>
      <c r="M223" s="549">
        <f t="shared" si="36"/>
        <v>0</v>
      </c>
      <c r="O223" s="538">
        <f t="shared" si="37"/>
        <v>21622590</v>
      </c>
      <c r="P223" s="550"/>
      <c r="Q223" s="551"/>
    </row>
    <row r="224" spans="1:17" s="253" customFormat="1" ht="20.100000000000001" hidden="1" customHeight="1" x14ac:dyDescent="0.25">
      <c r="A224" s="253" t="str">
        <f t="shared" si="28"/>
        <v>1.55</v>
      </c>
      <c r="B224" s="609" t="str">
        <f>IF(LEFT(F224,1)="B",VLOOKUP(A224,COPY!$A$2:$AC$1000,4,FALSE),"")</f>
        <v/>
      </c>
      <c r="C224" s="586"/>
      <c r="D224" s="553"/>
      <c r="E224" s="553"/>
      <c r="F224" s="557" t="str">
        <f>IF(LEN(A224)&gt;2,LEFT(VLOOKUP(A224,COPY!$A$2:$AC$1000,29,FALSE),6),"")</f>
        <v>0</v>
      </c>
      <c r="G224" s="558">
        <f>_xlfn.IFNA(IF(TEXT(F224,0)="Terima","",VLOOKUP(A224,COPY!$A$2:$AC$1000,29,FALSE)),"")</f>
        <v>0</v>
      </c>
      <c r="H224" s="425"/>
      <c r="I224" s="559"/>
      <c r="J224" s="555"/>
      <c r="K224" s="608">
        <f>_xlfn.IFNA(IF(TEXT(F224,0)="Terima",0,VLOOKUP(A224,COPY!$A$2:$AC$1000,26,FALSE)),0)</f>
        <v>0</v>
      </c>
      <c r="L224" s="548">
        <f t="shared" si="35"/>
        <v>0</v>
      </c>
      <c r="M224" s="549">
        <f t="shared" si="36"/>
        <v>0</v>
      </c>
      <c r="O224" s="538">
        <f t="shared" si="37"/>
        <v>21622590</v>
      </c>
      <c r="P224" s="550"/>
      <c r="Q224" s="551"/>
    </row>
    <row r="225" spans="1:17" s="253" customFormat="1" ht="20.100000000000001" hidden="1" customHeight="1" x14ac:dyDescent="0.25">
      <c r="A225" s="253" t="str">
        <f t="shared" si="28"/>
        <v>1.56</v>
      </c>
      <c r="B225" s="609" t="str">
        <f>IF(LEFT(F225,1)="B",VLOOKUP(A225,COPY!$A$2:$AC$1000,4,FALSE),"")</f>
        <v/>
      </c>
      <c r="C225" s="586"/>
      <c r="D225" s="553"/>
      <c r="E225" s="553"/>
      <c r="F225" s="557" t="str">
        <f>IF(LEN(A225)&gt;2,LEFT(VLOOKUP(A225,COPY!$A$2:$AC$1000,29,FALSE),6),"")</f>
        <v>0</v>
      </c>
      <c r="G225" s="558">
        <f>_xlfn.IFNA(IF(TEXT(F225,0)="Terima","",VLOOKUP(A225,COPY!$A$2:$AC$1000,29,FALSE)),"")</f>
        <v>0</v>
      </c>
      <c r="H225" s="425"/>
      <c r="I225" s="559"/>
      <c r="J225" s="555"/>
      <c r="K225" s="608">
        <f>_xlfn.IFNA(IF(TEXT(F225,0)="Terima",0,VLOOKUP(A225,COPY!$A$2:$AC$1000,26,FALSE)),0)</f>
        <v>0</v>
      </c>
      <c r="L225" s="548">
        <f t="shared" si="35"/>
        <v>0</v>
      </c>
      <c r="M225" s="549">
        <f t="shared" si="36"/>
        <v>0</v>
      </c>
      <c r="O225" s="538">
        <f t="shared" si="37"/>
        <v>21622590</v>
      </c>
      <c r="P225" s="550"/>
      <c r="Q225" s="551"/>
    </row>
    <row r="226" spans="1:17" s="253" customFormat="1" ht="20.100000000000001" hidden="1" customHeight="1" x14ac:dyDescent="0.25">
      <c r="A226" s="253" t="str">
        <f t="shared" si="28"/>
        <v>1.57</v>
      </c>
      <c r="B226" s="609" t="str">
        <f>IF(LEFT(F226,1)="B",VLOOKUP(A226,COPY!$A$2:$AC$1000,4,FALSE),"")</f>
        <v/>
      </c>
      <c r="C226" s="586"/>
      <c r="D226" s="553"/>
      <c r="E226" s="553"/>
      <c r="F226" s="557" t="str">
        <f>IF(LEN(A226)&gt;2,LEFT(VLOOKUP(A226,COPY!$A$2:$AC$1000,29,FALSE),6),"")</f>
        <v>0</v>
      </c>
      <c r="G226" s="558">
        <f>_xlfn.IFNA(IF(TEXT(F226,0)="Terima","",VLOOKUP(A226,COPY!$A$2:$AC$1000,29,FALSE)),"")</f>
        <v>0</v>
      </c>
      <c r="H226" s="425"/>
      <c r="I226" s="559"/>
      <c r="J226" s="555"/>
      <c r="K226" s="608">
        <f>_xlfn.IFNA(IF(TEXT(F226,0)="Terima",0,VLOOKUP(A226,COPY!$A$2:$AC$1000,26,FALSE)),0)</f>
        <v>0</v>
      </c>
      <c r="L226" s="548">
        <f t="shared" si="35"/>
        <v>0</v>
      </c>
      <c r="M226" s="549">
        <f t="shared" si="36"/>
        <v>0</v>
      </c>
      <c r="O226" s="538">
        <f t="shared" si="37"/>
        <v>21622590</v>
      </c>
      <c r="P226" s="550"/>
      <c r="Q226" s="551"/>
    </row>
    <row r="227" spans="1:17" s="253" customFormat="1" ht="20.100000000000001" hidden="1" customHeight="1" x14ac:dyDescent="0.25">
      <c r="A227" s="253" t="str">
        <f t="shared" si="28"/>
        <v>1.58</v>
      </c>
      <c r="B227" s="609" t="str">
        <f>IF(LEFT(F227,1)="B",VLOOKUP(A227,COPY!$A$2:$AC$1000,4,FALSE),"")</f>
        <v/>
      </c>
      <c r="C227" s="586"/>
      <c r="D227" s="553"/>
      <c r="E227" s="553"/>
      <c r="F227" s="557" t="str">
        <f>IF(LEN(A227)&gt;2,LEFT(VLOOKUP(A227,COPY!$A$2:$AC$1000,29,FALSE),6),"")</f>
        <v>0</v>
      </c>
      <c r="G227" s="558">
        <f>_xlfn.IFNA(IF(TEXT(F227,0)="Terima","",VLOOKUP(A227,COPY!$A$2:$AC$1000,29,FALSE)),"")</f>
        <v>0</v>
      </c>
      <c r="H227" s="425"/>
      <c r="I227" s="559"/>
      <c r="J227" s="555"/>
      <c r="K227" s="608">
        <f>_xlfn.IFNA(IF(TEXT(F227,0)="Terima",0,VLOOKUP(A227,COPY!$A$2:$AC$1000,26,FALSE)),0)</f>
        <v>0</v>
      </c>
      <c r="L227" s="548">
        <f t="shared" si="35"/>
        <v>0</v>
      </c>
      <c r="M227" s="549">
        <f t="shared" si="36"/>
        <v>0</v>
      </c>
      <c r="O227" s="538">
        <f t="shared" si="37"/>
        <v>21622590</v>
      </c>
      <c r="P227" s="550"/>
      <c r="Q227" s="551"/>
    </row>
    <row r="228" spans="1:17" s="253" customFormat="1" ht="20.100000000000001" hidden="1" customHeight="1" x14ac:dyDescent="0.25">
      <c r="A228" s="253" t="str">
        <f t="shared" si="28"/>
        <v>1.59</v>
      </c>
      <c r="B228" s="609" t="str">
        <f>IF(LEFT(F228,1)="B",VLOOKUP(A228,COPY!$A$2:$AC$1000,4,FALSE),"")</f>
        <v/>
      </c>
      <c r="C228" s="586"/>
      <c r="D228" s="553"/>
      <c r="E228" s="553"/>
      <c r="F228" s="557" t="str">
        <f>IF(LEN(A228)&gt;2,LEFT(VLOOKUP(A228,COPY!$A$2:$AC$1000,29,FALSE),6),"")</f>
        <v>0</v>
      </c>
      <c r="G228" s="558">
        <f>_xlfn.IFNA(IF(TEXT(F228,0)="Terima","",VLOOKUP(A228,COPY!$A$2:$AC$1000,29,FALSE)),"")</f>
        <v>0</v>
      </c>
      <c r="H228" s="425"/>
      <c r="I228" s="559"/>
      <c r="J228" s="555"/>
      <c r="K228" s="608">
        <f>_xlfn.IFNA(IF(TEXT(F228,0)="Terima",0,VLOOKUP(A228,COPY!$A$2:$AC$1000,26,FALSE)),0)</f>
        <v>0</v>
      </c>
      <c r="L228" s="548">
        <f t="shared" si="35"/>
        <v>0</v>
      </c>
      <c r="M228" s="549">
        <f t="shared" si="36"/>
        <v>0</v>
      </c>
      <c r="O228" s="538">
        <f t="shared" si="37"/>
        <v>21622590</v>
      </c>
      <c r="P228" s="550"/>
      <c r="Q228" s="551"/>
    </row>
    <row r="229" spans="1:17" s="253" customFormat="1" ht="20.100000000000001" hidden="1" customHeight="1" x14ac:dyDescent="0.25">
      <c r="A229" s="253" t="str">
        <f t="shared" si="28"/>
        <v>1.60</v>
      </c>
      <c r="B229" s="609" t="str">
        <f>IF(LEFT(F229,1)="B",VLOOKUP(A229,COPY!$A$2:$AC$1000,4,FALSE),"")</f>
        <v/>
      </c>
      <c r="C229" s="586"/>
      <c r="D229" s="553"/>
      <c r="E229" s="553"/>
      <c r="F229" s="557" t="str">
        <f>IF(LEN(A229)&gt;2,LEFT(VLOOKUP(A229,COPY!$A$2:$AC$1000,29,FALSE),6),"")</f>
        <v>0</v>
      </c>
      <c r="G229" s="558">
        <f>_xlfn.IFNA(IF(TEXT(F229,0)="Terima","",VLOOKUP(A229,COPY!$A$2:$AC$1000,29,FALSE)),"")</f>
        <v>0</v>
      </c>
      <c r="H229" s="425"/>
      <c r="I229" s="559"/>
      <c r="J229" s="555"/>
      <c r="K229" s="608">
        <f>_xlfn.IFNA(IF(TEXT(F229,0)="Terima",0,VLOOKUP(A229,COPY!$A$2:$AC$1000,26,FALSE)),0)</f>
        <v>0</v>
      </c>
      <c r="L229" s="548">
        <f t="shared" si="35"/>
        <v>0</v>
      </c>
      <c r="M229" s="549">
        <f t="shared" si="36"/>
        <v>0</v>
      </c>
      <c r="O229" s="538">
        <f t="shared" si="37"/>
        <v>21622590</v>
      </c>
      <c r="P229" s="550"/>
      <c r="Q229" s="551"/>
    </row>
    <row r="230" spans="1:17" s="253" customFormat="1" ht="20.100000000000001" hidden="1" customHeight="1" x14ac:dyDescent="0.25">
      <c r="A230" s="253" t="str">
        <f t="shared" si="28"/>
        <v>1.61</v>
      </c>
      <c r="B230" s="609" t="str">
        <f>IF(LEFT(F230,1)="B",VLOOKUP(A230,COPY!$A$2:$AC$1000,4,FALSE),"")</f>
        <v/>
      </c>
      <c r="C230" s="586"/>
      <c r="D230" s="553"/>
      <c r="E230" s="553"/>
      <c r="F230" s="557" t="str">
        <f>IF(LEN(A230)&gt;2,LEFT(VLOOKUP(A230,COPY!$A$2:$AC$1000,29,FALSE),6),"")</f>
        <v>0</v>
      </c>
      <c r="G230" s="558">
        <f>_xlfn.IFNA(IF(TEXT(F230,0)="Terima","",VLOOKUP(A230,COPY!$A$2:$AC$1000,29,FALSE)),"")</f>
        <v>0</v>
      </c>
      <c r="H230" s="425"/>
      <c r="I230" s="559"/>
      <c r="J230" s="555"/>
      <c r="K230" s="608">
        <f>_xlfn.IFNA(IF(TEXT(F230,0)="Terima",0,VLOOKUP(A230,COPY!$A$2:$AC$1000,26,FALSE)),0)</f>
        <v>0</v>
      </c>
      <c r="L230" s="548">
        <f t="shared" si="35"/>
        <v>0</v>
      </c>
      <c r="M230" s="549">
        <f t="shared" si="36"/>
        <v>0</v>
      </c>
      <c r="O230" s="538">
        <f t="shared" si="37"/>
        <v>21622590</v>
      </c>
      <c r="P230" s="550"/>
      <c r="Q230" s="551"/>
    </row>
    <row r="231" spans="1:17" s="253" customFormat="1" ht="20.100000000000001" hidden="1" customHeight="1" x14ac:dyDescent="0.25">
      <c r="A231" s="253" t="str">
        <f t="shared" si="28"/>
        <v>1.62</v>
      </c>
      <c r="B231" s="609" t="str">
        <f>IF(LEFT(F231,1)="B",VLOOKUP(A231,COPY!$A$2:$AC$1000,4,FALSE),"")</f>
        <v/>
      </c>
      <c r="C231" s="586"/>
      <c r="D231" s="553"/>
      <c r="E231" s="553"/>
      <c r="F231" s="557" t="str">
        <f>IF(LEN(A231)&gt;2,LEFT(VLOOKUP(A231,COPY!$A$2:$AC$1000,29,FALSE),6),"")</f>
        <v>0</v>
      </c>
      <c r="G231" s="558">
        <f>_xlfn.IFNA(IF(TEXT(F231,0)="Terima","",VLOOKUP(A231,COPY!$A$2:$AC$1000,29,FALSE)),"")</f>
        <v>0</v>
      </c>
      <c r="H231" s="425"/>
      <c r="I231" s="559"/>
      <c r="J231" s="555"/>
      <c r="K231" s="608">
        <f>_xlfn.IFNA(IF(TEXT(F231,0)="Terima",0,VLOOKUP(A231,COPY!$A$2:$AC$1000,26,FALSE)),0)</f>
        <v>0</v>
      </c>
      <c r="L231" s="548">
        <f t="shared" si="35"/>
        <v>0</v>
      </c>
      <c r="M231" s="549">
        <f t="shared" si="36"/>
        <v>0</v>
      </c>
      <c r="O231" s="538">
        <f t="shared" si="37"/>
        <v>21622590</v>
      </c>
      <c r="P231" s="550"/>
      <c r="Q231" s="551"/>
    </row>
    <row r="232" spans="1:17" s="253" customFormat="1" ht="20.100000000000001" hidden="1" customHeight="1" x14ac:dyDescent="0.25">
      <c r="A232" s="253" t="str">
        <f t="shared" si="28"/>
        <v>1.63</v>
      </c>
      <c r="B232" s="609" t="str">
        <f>IF(LEFT(F232,1)="B",VLOOKUP(A232,COPY!$A$2:$AC$1000,4,FALSE),"")</f>
        <v/>
      </c>
      <c r="C232" s="586"/>
      <c r="D232" s="553"/>
      <c r="E232" s="553"/>
      <c r="F232" s="557" t="str">
        <f>IF(LEN(A232)&gt;2,LEFT(VLOOKUP(A232,COPY!$A$2:$AC$1000,29,FALSE),6),"")</f>
        <v>0</v>
      </c>
      <c r="G232" s="558">
        <f>_xlfn.IFNA(IF(TEXT(F232,0)="Terima","",VLOOKUP(A232,COPY!$A$2:$AC$1000,29,FALSE)),"")</f>
        <v>0</v>
      </c>
      <c r="H232" s="425"/>
      <c r="I232" s="559"/>
      <c r="J232" s="555"/>
      <c r="K232" s="608">
        <f>_xlfn.IFNA(IF(TEXT(F232,0)="Terima",0,VLOOKUP(A232,COPY!$A$2:$AC$1000,26,FALSE)),0)</f>
        <v>0</v>
      </c>
      <c r="L232" s="548">
        <f t="shared" si="35"/>
        <v>0</v>
      </c>
      <c r="M232" s="549">
        <f t="shared" si="36"/>
        <v>0</v>
      </c>
      <c r="O232" s="538">
        <f t="shared" si="37"/>
        <v>21622590</v>
      </c>
      <c r="P232" s="550"/>
      <c r="Q232" s="551"/>
    </row>
    <row r="233" spans="1:17" s="253" customFormat="1" ht="20.100000000000001" hidden="1" customHeight="1" x14ac:dyDescent="0.25">
      <c r="A233" s="253" t="str">
        <f t="shared" si="28"/>
        <v>1.64</v>
      </c>
      <c r="B233" s="609" t="str">
        <f>IF(LEFT(F233,1)="B",VLOOKUP(A233,COPY!$A$2:$AC$1000,4,FALSE),"")</f>
        <v/>
      </c>
      <c r="C233" s="586"/>
      <c r="D233" s="553"/>
      <c r="E233" s="553"/>
      <c r="F233" s="557" t="str">
        <f>IF(LEN(A233)&gt;2,LEFT(VLOOKUP(A233,COPY!$A$2:$AC$1000,29,FALSE),6),"")</f>
        <v>0</v>
      </c>
      <c r="G233" s="558">
        <f>_xlfn.IFNA(IF(TEXT(F233,0)="Terima","",VLOOKUP(A233,COPY!$A$2:$AC$1000,29,FALSE)),"")</f>
        <v>0</v>
      </c>
      <c r="H233" s="425"/>
      <c r="I233" s="559"/>
      <c r="J233" s="555"/>
      <c r="K233" s="608">
        <f>_xlfn.IFNA(IF(TEXT(F233,0)="Terima",0,VLOOKUP(A233,COPY!$A$2:$AC$1000,26,FALSE)),0)</f>
        <v>0</v>
      </c>
      <c r="L233" s="548">
        <f t="shared" si="35"/>
        <v>0</v>
      </c>
      <c r="M233" s="549">
        <f t="shared" si="36"/>
        <v>0</v>
      </c>
      <c r="O233" s="538">
        <f t="shared" si="37"/>
        <v>21622590</v>
      </c>
      <c r="P233" s="550"/>
      <c r="Q233" s="551"/>
    </row>
    <row r="234" spans="1:17" s="253" customFormat="1" ht="20.100000000000001" hidden="1" customHeight="1" x14ac:dyDescent="0.25">
      <c r="A234" s="253" t="str">
        <f t="shared" si="28"/>
        <v>1.65</v>
      </c>
      <c r="B234" s="609" t="str">
        <f>IF(LEFT(F234,1)="B",VLOOKUP(A234,COPY!$A$2:$AC$1000,4,FALSE),"")</f>
        <v/>
      </c>
      <c r="C234" s="586"/>
      <c r="D234" s="553"/>
      <c r="E234" s="553"/>
      <c r="F234" s="557" t="str">
        <f>IF(LEN(A234)&gt;2,LEFT(VLOOKUP(A234,COPY!$A$2:$AC$1000,29,FALSE),6),"")</f>
        <v>0</v>
      </c>
      <c r="G234" s="558">
        <f>_xlfn.IFNA(IF(TEXT(F234,0)="Terima","",VLOOKUP(A234,COPY!$A$2:$AC$1000,29,FALSE)),"")</f>
        <v>0</v>
      </c>
      <c r="H234" s="425"/>
      <c r="I234" s="559"/>
      <c r="J234" s="555"/>
      <c r="K234" s="608">
        <f>_xlfn.IFNA(IF(TEXT(F234,0)="Terima",0,VLOOKUP(A234,COPY!$A$2:$AC$1000,26,FALSE)),0)</f>
        <v>0</v>
      </c>
      <c r="L234" s="548">
        <f t="shared" si="35"/>
        <v>0</v>
      </c>
      <c r="M234" s="549">
        <f t="shared" si="36"/>
        <v>0</v>
      </c>
      <c r="O234" s="538">
        <f t="shared" si="37"/>
        <v>21622590</v>
      </c>
      <c r="P234" s="550"/>
      <c r="Q234" s="551"/>
    </row>
    <row r="235" spans="1:17" s="253" customFormat="1" ht="20.100000000000001" hidden="1" customHeight="1" x14ac:dyDescent="0.25">
      <c r="A235" s="253" t="str">
        <f t="shared" ref="A235:A298" si="38">A80</f>
        <v>1.66</v>
      </c>
      <c r="B235" s="609" t="str">
        <f>IF(LEFT(F235,1)="B",VLOOKUP(A235,COPY!$A$2:$AC$1000,4,FALSE),"")</f>
        <v/>
      </c>
      <c r="C235" s="586"/>
      <c r="D235" s="553"/>
      <c r="E235" s="553"/>
      <c r="F235" s="557" t="str">
        <f>IF(LEN(A235)&gt;2,LEFT(VLOOKUP(A235,COPY!$A$2:$AC$1000,29,FALSE),6),"")</f>
        <v>0</v>
      </c>
      <c r="G235" s="558">
        <f>_xlfn.IFNA(IF(TEXT(F235,0)="Terima","",VLOOKUP(A235,COPY!$A$2:$AC$1000,29,FALSE)),"")</f>
        <v>0</v>
      </c>
      <c r="H235" s="425"/>
      <c r="I235" s="559"/>
      <c r="J235" s="555"/>
      <c r="K235" s="608">
        <f>_xlfn.IFNA(IF(TEXT(F235,0)="Terima",0,VLOOKUP(A235,COPY!$A$2:$AC$1000,26,FALSE)),0)</f>
        <v>0</v>
      </c>
      <c r="L235" s="548">
        <f t="shared" si="35"/>
        <v>0</v>
      </c>
      <c r="M235" s="549">
        <f t="shared" si="36"/>
        <v>0</v>
      </c>
      <c r="O235" s="538">
        <f t="shared" si="37"/>
        <v>21622590</v>
      </c>
      <c r="P235" s="550"/>
      <c r="Q235" s="551"/>
    </row>
    <row r="236" spans="1:17" s="253" customFormat="1" ht="20.100000000000001" hidden="1" customHeight="1" x14ac:dyDescent="0.25">
      <c r="A236" s="253" t="str">
        <f t="shared" si="38"/>
        <v>1.67</v>
      </c>
      <c r="B236" s="609" t="str">
        <f>IF(LEFT(F236,1)="B",VLOOKUP(A236,COPY!$A$2:$AC$1000,4,FALSE),"")</f>
        <v/>
      </c>
      <c r="C236" s="586"/>
      <c r="D236" s="553"/>
      <c r="E236" s="553"/>
      <c r="F236" s="557" t="str">
        <f>IF(LEN(A236)&gt;2,LEFT(VLOOKUP(A236,COPY!$A$2:$AC$1000,29,FALSE),6),"")</f>
        <v>0</v>
      </c>
      <c r="G236" s="558">
        <f>_xlfn.IFNA(IF(TEXT(F236,0)="Terima","",VLOOKUP(A236,COPY!$A$2:$AC$1000,29,FALSE)),"")</f>
        <v>0</v>
      </c>
      <c r="H236" s="425"/>
      <c r="I236" s="559"/>
      <c r="J236" s="555"/>
      <c r="K236" s="608">
        <f>_xlfn.IFNA(IF(TEXT(F236,0)="Terima",0,VLOOKUP(A236,COPY!$A$2:$AC$1000,26,FALSE)),0)</f>
        <v>0</v>
      </c>
      <c r="L236" s="548">
        <f t="shared" si="35"/>
        <v>0</v>
      </c>
      <c r="M236" s="549">
        <f t="shared" si="36"/>
        <v>0</v>
      </c>
      <c r="O236" s="538">
        <f t="shared" si="37"/>
        <v>21622590</v>
      </c>
      <c r="P236" s="550"/>
      <c r="Q236" s="551"/>
    </row>
    <row r="237" spans="1:17" s="253" customFormat="1" ht="20.100000000000001" hidden="1" customHeight="1" x14ac:dyDescent="0.25">
      <c r="A237" s="253" t="str">
        <f t="shared" si="38"/>
        <v>1.68</v>
      </c>
      <c r="B237" s="609" t="str">
        <f>IF(LEFT(F237,1)="B",VLOOKUP(A237,COPY!$A$2:$AC$1000,4,FALSE),"")</f>
        <v/>
      </c>
      <c r="C237" s="586"/>
      <c r="D237" s="553"/>
      <c r="E237" s="553"/>
      <c r="F237" s="557" t="str">
        <f>IF(LEN(A237)&gt;2,LEFT(VLOOKUP(A237,COPY!$A$2:$AC$1000,29,FALSE),6),"")</f>
        <v>0</v>
      </c>
      <c r="G237" s="558">
        <f>_xlfn.IFNA(IF(TEXT(F237,0)="Terima","",VLOOKUP(A237,COPY!$A$2:$AC$1000,29,FALSE)),"")</f>
        <v>0</v>
      </c>
      <c r="H237" s="425"/>
      <c r="I237" s="559"/>
      <c r="J237" s="555"/>
      <c r="K237" s="608">
        <f>_xlfn.IFNA(IF(TEXT(F237,0)="Terima",0,VLOOKUP(A237,COPY!$A$2:$AC$1000,26,FALSE)),0)</f>
        <v>0</v>
      </c>
      <c r="L237" s="548">
        <f t="shared" si="35"/>
        <v>0</v>
      </c>
      <c r="M237" s="549">
        <f t="shared" si="36"/>
        <v>0</v>
      </c>
      <c r="O237" s="538">
        <f t="shared" si="37"/>
        <v>21622590</v>
      </c>
      <c r="P237" s="550"/>
      <c r="Q237" s="551"/>
    </row>
    <row r="238" spans="1:17" s="253" customFormat="1" ht="20.100000000000001" hidden="1" customHeight="1" x14ac:dyDescent="0.25">
      <c r="A238" s="253" t="str">
        <f t="shared" si="38"/>
        <v>1.69</v>
      </c>
      <c r="B238" s="609" t="str">
        <f>IF(LEFT(F238,1)="B",VLOOKUP(A238,COPY!$A$2:$AC$1000,4,FALSE),"")</f>
        <v/>
      </c>
      <c r="C238" s="586"/>
      <c r="D238" s="553"/>
      <c r="E238" s="553"/>
      <c r="F238" s="557" t="str">
        <f>IF(LEN(A238)&gt;2,LEFT(VLOOKUP(A238,COPY!$A$2:$AC$1000,29,FALSE),6),"")</f>
        <v>0</v>
      </c>
      <c r="G238" s="558">
        <f>_xlfn.IFNA(IF(TEXT(F238,0)="Terima","",VLOOKUP(A238,COPY!$A$2:$AC$1000,29,FALSE)),"")</f>
        <v>0</v>
      </c>
      <c r="H238" s="425"/>
      <c r="I238" s="559"/>
      <c r="J238" s="555"/>
      <c r="K238" s="608">
        <f>_xlfn.IFNA(IF(TEXT(F238,0)="Terima",0,VLOOKUP(A238,COPY!$A$2:$AC$1000,26,FALSE)),0)</f>
        <v>0</v>
      </c>
      <c r="L238" s="548">
        <f t="shared" si="35"/>
        <v>0</v>
      </c>
      <c r="M238" s="549">
        <f t="shared" si="36"/>
        <v>0</v>
      </c>
      <c r="O238" s="538">
        <f t="shared" si="37"/>
        <v>21622590</v>
      </c>
      <c r="P238" s="550"/>
      <c r="Q238" s="551"/>
    </row>
    <row r="239" spans="1:17" s="253" customFormat="1" ht="20.100000000000001" hidden="1" customHeight="1" x14ac:dyDescent="0.25">
      <c r="A239" s="253" t="str">
        <f t="shared" si="38"/>
        <v>1.70</v>
      </c>
      <c r="B239" s="609" t="str">
        <f>IF(LEFT(F239,1)="B",VLOOKUP(A239,COPY!$A$2:$AC$1000,4,FALSE),"")</f>
        <v/>
      </c>
      <c r="C239" s="586"/>
      <c r="D239" s="553"/>
      <c r="E239" s="553"/>
      <c r="F239" s="557" t="str">
        <f>IF(LEN(A239)&gt;2,LEFT(VLOOKUP(A239,COPY!$A$2:$AC$1000,29,FALSE),6),"")</f>
        <v>0</v>
      </c>
      <c r="G239" s="558">
        <f>_xlfn.IFNA(IF(TEXT(F239,0)="Terima","",VLOOKUP(A239,COPY!$A$2:$AC$1000,29,FALSE)),"")</f>
        <v>0</v>
      </c>
      <c r="H239" s="425"/>
      <c r="I239" s="559"/>
      <c r="J239" s="555"/>
      <c r="K239" s="608">
        <f>_xlfn.IFNA(IF(TEXT(F239,0)="Terima",0,VLOOKUP(A239,COPY!$A$2:$AC$1000,26,FALSE)),0)</f>
        <v>0</v>
      </c>
      <c r="L239" s="548">
        <f t="shared" si="35"/>
        <v>0</v>
      </c>
      <c r="M239" s="549">
        <f t="shared" si="36"/>
        <v>0</v>
      </c>
      <c r="O239" s="538">
        <f t="shared" si="37"/>
        <v>21622590</v>
      </c>
      <c r="P239" s="550"/>
      <c r="Q239" s="551"/>
    </row>
    <row r="240" spans="1:17" s="253" customFormat="1" ht="20.100000000000001" hidden="1" customHeight="1" x14ac:dyDescent="0.25">
      <c r="A240" s="253" t="str">
        <f t="shared" si="38"/>
        <v>1.71</v>
      </c>
      <c r="B240" s="609" t="str">
        <f>IF(LEFT(F240,1)="B",VLOOKUP(A240,COPY!$A$2:$AC$1000,4,FALSE),"")</f>
        <v/>
      </c>
      <c r="C240" s="586"/>
      <c r="D240" s="553"/>
      <c r="E240" s="553"/>
      <c r="F240" s="557" t="str">
        <f>IF(LEN(A240)&gt;2,LEFT(VLOOKUP(A240,COPY!$A$2:$AC$1000,29,FALSE),6),"")</f>
        <v>0</v>
      </c>
      <c r="G240" s="558">
        <f>_xlfn.IFNA(IF(TEXT(F240,0)="Terima","",VLOOKUP(A240,COPY!$A$2:$AC$1000,29,FALSE)),"")</f>
        <v>0</v>
      </c>
      <c r="H240" s="425"/>
      <c r="I240" s="559"/>
      <c r="J240" s="555"/>
      <c r="K240" s="608">
        <f>_xlfn.IFNA(IF(TEXT(F240,0)="Terima",0,VLOOKUP(A240,COPY!$A$2:$AC$1000,26,FALSE)),0)</f>
        <v>0</v>
      </c>
      <c r="L240" s="548">
        <f t="shared" si="35"/>
        <v>0</v>
      </c>
      <c r="M240" s="549">
        <f t="shared" si="36"/>
        <v>0</v>
      </c>
      <c r="O240" s="538">
        <f t="shared" si="37"/>
        <v>21622590</v>
      </c>
      <c r="P240" s="550"/>
      <c r="Q240" s="551"/>
    </row>
    <row r="241" spans="1:17" s="253" customFormat="1" ht="20.100000000000001" hidden="1" customHeight="1" x14ac:dyDescent="0.25">
      <c r="A241" s="253" t="str">
        <f t="shared" si="38"/>
        <v>1.72</v>
      </c>
      <c r="B241" s="609" t="str">
        <f>IF(LEFT(F241,1)="B",VLOOKUP(A241,COPY!$A$2:$AC$1000,4,FALSE),"")</f>
        <v/>
      </c>
      <c r="C241" s="586"/>
      <c r="D241" s="553"/>
      <c r="E241" s="553"/>
      <c r="F241" s="557" t="str">
        <f>IF(LEN(A241)&gt;2,LEFT(VLOOKUP(A241,COPY!$A$2:$AC$1000,29,FALSE),6),"")</f>
        <v>0</v>
      </c>
      <c r="G241" s="558">
        <f>_xlfn.IFNA(IF(TEXT(F241,0)="Terima","",VLOOKUP(A241,COPY!$A$2:$AC$1000,29,FALSE)),"")</f>
        <v>0</v>
      </c>
      <c r="H241" s="425"/>
      <c r="I241" s="559"/>
      <c r="J241" s="555"/>
      <c r="K241" s="608">
        <f>_xlfn.IFNA(IF(TEXT(F241,0)="Terima",0,VLOOKUP(A241,COPY!$A$2:$AC$1000,26,FALSE)),0)</f>
        <v>0</v>
      </c>
      <c r="L241" s="548">
        <f t="shared" si="35"/>
        <v>0</v>
      </c>
      <c r="M241" s="549">
        <f t="shared" si="36"/>
        <v>0</v>
      </c>
      <c r="O241" s="538">
        <f t="shared" si="37"/>
        <v>21622590</v>
      </c>
      <c r="P241" s="550"/>
      <c r="Q241" s="551"/>
    </row>
    <row r="242" spans="1:17" s="253" customFormat="1" ht="20.100000000000001" hidden="1" customHeight="1" x14ac:dyDescent="0.25">
      <c r="A242" s="253" t="str">
        <f t="shared" si="38"/>
        <v>1.73</v>
      </c>
      <c r="B242" s="609" t="str">
        <f>IF(LEFT(F242,1)="B",VLOOKUP(A242,COPY!$A$2:$AC$1000,4,FALSE),"")</f>
        <v/>
      </c>
      <c r="C242" s="586"/>
      <c r="D242" s="553"/>
      <c r="E242" s="553"/>
      <c r="F242" s="557" t="str">
        <f>IF(LEN(A242)&gt;2,LEFT(VLOOKUP(A242,COPY!$A$2:$AC$1000,29,FALSE),6),"")</f>
        <v>0</v>
      </c>
      <c r="G242" s="558">
        <f>_xlfn.IFNA(IF(TEXT(F242,0)="Terima","",VLOOKUP(A242,COPY!$A$2:$AC$1000,29,FALSE)),"")</f>
        <v>0</v>
      </c>
      <c r="H242" s="425"/>
      <c r="I242" s="559"/>
      <c r="J242" s="555"/>
      <c r="K242" s="608">
        <f>_xlfn.IFNA(IF(TEXT(F242,0)="Terima",0,VLOOKUP(A242,COPY!$A$2:$AC$1000,26,FALSE)),0)</f>
        <v>0</v>
      </c>
      <c r="L242" s="548">
        <f t="shared" si="35"/>
        <v>0</v>
      </c>
      <c r="M242" s="549">
        <f t="shared" si="36"/>
        <v>0</v>
      </c>
      <c r="O242" s="538">
        <f t="shared" si="37"/>
        <v>21622590</v>
      </c>
      <c r="P242" s="550"/>
      <c r="Q242" s="551"/>
    </row>
    <row r="243" spans="1:17" s="253" customFormat="1" ht="20.100000000000001" hidden="1" customHeight="1" x14ac:dyDescent="0.25">
      <c r="A243" s="253" t="str">
        <f t="shared" si="38"/>
        <v>1.74</v>
      </c>
      <c r="B243" s="609" t="str">
        <f>IF(LEFT(F243,1)="B",VLOOKUP(A243,COPY!$A$2:$AC$1000,4,FALSE),"")</f>
        <v/>
      </c>
      <c r="C243" s="586"/>
      <c r="D243" s="553"/>
      <c r="E243" s="553"/>
      <c r="F243" s="557" t="str">
        <f>IF(LEN(A243)&gt;2,LEFT(VLOOKUP(A243,COPY!$A$2:$AC$1000,29,FALSE),6),"")</f>
        <v>0</v>
      </c>
      <c r="G243" s="558">
        <f>_xlfn.IFNA(IF(TEXT(F243,0)="Terima","",VLOOKUP(A243,COPY!$A$2:$AC$1000,29,FALSE)),"")</f>
        <v>0</v>
      </c>
      <c r="H243" s="425"/>
      <c r="I243" s="559"/>
      <c r="J243" s="555"/>
      <c r="K243" s="608">
        <f>_xlfn.IFNA(IF(TEXT(F243,0)="Terima",0,VLOOKUP(A243,COPY!$A$2:$AC$1000,26,FALSE)),0)</f>
        <v>0</v>
      </c>
      <c r="L243" s="548">
        <f t="shared" si="35"/>
        <v>0</v>
      </c>
      <c r="M243" s="549">
        <f t="shared" si="36"/>
        <v>0</v>
      </c>
      <c r="O243" s="538">
        <f t="shared" si="37"/>
        <v>21622590</v>
      </c>
      <c r="P243" s="550"/>
      <c r="Q243" s="551"/>
    </row>
    <row r="244" spans="1:17" s="253" customFormat="1" ht="20.100000000000001" hidden="1" customHeight="1" x14ac:dyDescent="0.25">
      <c r="A244" s="253" t="str">
        <f t="shared" si="38"/>
        <v>1.75</v>
      </c>
      <c r="B244" s="609" t="str">
        <f>IF(LEFT(F244,1)="B",VLOOKUP(A244,COPY!$A$2:$AC$1000,4,FALSE),"")</f>
        <v/>
      </c>
      <c r="C244" s="586"/>
      <c r="D244" s="553"/>
      <c r="E244" s="553"/>
      <c r="F244" s="557" t="str">
        <f>IF(LEN(A244)&gt;2,LEFT(VLOOKUP(A244,COPY!$A$2:$AC$1000,29,FALSE),6),"")</f>
        <v>0</v>
      </c>
      <c r="G244" s="558">
        <f>_xlfn.IFNA(IF(TEXT(F244,0)="Terima","",VLOOKUP(A244,COPY!$A$2:$AC$1000,29,FALSE)),"")</f>
        <v>0</v>
      </c>
      <c r="H244" s="425"/>
      <c r="I244" s="559"/>
      <c r="J244" s="555"/>
      <c r="K244" s="608">
        <f>_xlfn.IFNA(IF(TEXT(F244,0)="Terima",0,VLOOKUP(A244,COPY!$A$2:$AC$1000,26,FALSE)),0)</f>
        <v>0</v>
      </c>
      <c r="L244" s="548">
        <f t="shared" si="35"/>
        <v>0</v>
      </c>
      <c r="M244" s="549">
        <f t="shared" si="36"/>
        <v>0</v>
      </c>
      <c r="O244" s="538">
        <f t="shared" si="37"/>
        <v>21622590</v>
      </c>
      <c r="P244" s="550"/>
      <c r="Q244" s="551"/>
    </row>
    <row r="245" spans="1:17" s="253" customFormat="1" ht="20.100000000000001" hidden="1" customHeight="1" x14ac:dyDescent="0.25">
      <c r="A245" s="253" t="str">
        <f t="shared" si="38"/>
        <v>1.76</v>
      </c>
      <c r="B245" s="609" t="str">
        <f>IF(LEFT(F245,1)="B",VLOOKUP(A245,COPY!$A$2:$AC$1000,4,FALSE),"")</f>
        <v/>
      </c>
      <c r="C245" s="586"/>
      <c r="D245" s="553"/>
      <c r="E245" s="553"/>
      <c r="F245" s="557" t="str">
        <f>IF(LEN(A245)&gt;2,LEFT(VLOOKUP(A245,COPY!$A$2:$AC$1000,29,FALSE),6),"")</f>
        <v>0</v>
      </c>
      <c r="G245" s="558">
        <f>_xlfn.IFNA(IF(TEXT(F245,0)="Terima","",VLOOKUP(A245,COPY!$A$2:$AC$1000,29,FALSE)),"")</f>
        <v>0</v>
      </c>
      <c r="H245" s="425"/>
      <c r="I245" s="559"/>
      <c r="J245" s="555"/>
      <c r="K245" s="608">
        <f>_xlfn.IFNA(IF(TEXT(F245,0)="Terima",0,VLOOKUP(A245,COPY!$A$2:$AC$1000,26,FALSE)),0)</f>
        <v>0</v>
      </c>
      <c r="L245" s="548">
        <f t="shared" si="35"/>
        <v>0</v>
      </c>
      <c r="M245" s="549">
        <f t="shared" si="36"/>
        <v>0</v>
      </c>
      <c r="O245" s="538">
        <f t="shared" si="37"/>
        <v>21622590</v>
      </c>
      <c r="P245" s="550"/>
      <c r="Q245" s="551"/>
    </row>
    <row r="246" spans="1:17" s="253" customFormat="1" ht="20.100000000000001" hidden="1" customHeight="1" x14ac:dyDescent="0.25">
      <c r="A246" s="253" t="str">
        <f t="shared" si="38"/>
        <v>1.77</v>
      </c>
      <c r="B246" s="609" t="str">
        <f>IF(LEFT(F246,1)="B",VLOOKUP(A246,COPY!$A$2:$AC$1000,4,FALSE),"")</f>
        <v/>
      </c>
      <c r="C246" s="586"/>
      <c r="D246" s="553"/>
      <c r="E246" s="553"/>
      <c r="F246" s="557" t="str">
        <f>IF(LEN(A246)&gt;2,LEFT(VLOOKUP(A246,COPY!$A$2:$AC$1000,29,FALSE),6),"")</f>
        <v>0</v>
      </c>
      <c r="G246" s="558">
        <f>_xlfn.IFNA(IF(TEXT(F246,0)="Terima","",VLOOKUP(A246,COPY!$A$2:$AC$1000,29,FALSE)),"")</f>
        <v>0</v>
      </c>
      <c r="H246" s="425"/>
      <c r="I246" s="559"/>
      <c r="J246" s="555"/>
      <c r="K246" s="608">
        <f>_xlfn.IFNA(IF(TEXT(F246,0)="Terima",0,VLOOKUP(A246,COPY!$A$2:$AC$1000,26,FALSE)),0)</f>
        <v>0</v>
      </c>
      <c r="L246" s="548">
        <f t="shared" si="35"/>
        <v>0</v>
      </c>
      <c r="M246" s="549">
        <f t="shared" si="36"/>
        <v>0</v>
      </c>
      <c r="O246" s="538">
        <f t="shared" si="37"/>
        <v>21622590</v>
      </c>
      <c r="P246" s="550"/>
      <c r="Q246" s="551"/>
    </row>
    <row r="247" spans="1:17" s="253" customFormat="1" ht="20.100000000000001" hidden="1" customHeight="1" x14ac:dyDescent="0.25">
      <c r="A247" s="253" t="str">
        <f t="shared" si="38"/>
        <v>1.78</v>
      </c>
      <c r="B247" s="609" t="str">
        <f>IF(LEFT(F247,1)="B",VLOOKUP(A247,COPY!$A$2:$AC$1000,4,FALSE),"")</f>
        <v/>
      </c>
      <c r="C247" s="586"/>
      <c r="D247" s="553"/>
      <c r="E247" s="553"/>
      <c r="F247" s="557" t="str">
        <f>IF(LEN(A247)&gt;2,LEFT(VLOOKUP(A247,COPY!$A$2:$AC$1000,29,FALSE),6),"")</f>
        <v>0</v>
      </c>
      <c r="G247" s="558">
        <f>_xlfn.IFNA(IF(TEXT(F247,0)="Terima","",VLOOKUP(A247,COPY!$A$2:$AC$1000,29,FALSE)),"")</f>
        <v>0</v>
      </c>
      <c r="H247" s="425"/>
      <c r="I247" s="559"/>
      <c r="J247" s="555"/>
      <c r="K247" s="608">
        <f>_xlfn.IFNA(IF(TEXT(F247,0)="Terima",0,VLOOKUP(A247,COPY!$A$2:$AC$1000,26,FALSE)),0)</f>
        <v>0</v>
      </c>
      <c r="L247" s="548">
        <f t="shared" si="35"/>
        <v>0</v>
      </c>
      <c r="M247" s="549">
        <f t="shared" si="36"/>
        <v>0</v>
      </c>
      <c r="O247" s="538">
        <f t="shared" si="37"/>
        <v>21622590</v>
      </c>
      <c r="P247" s="550"/>
      <c r="Q247" s="551"/>
    </row>
    <row r="248" spans="1:17" s="253" customFormat="1" ht="20.100000000000001" hidden="1" customHeight="1" x14ac:dyDescent="0.25">
      <c r="A248" s="253" t="str">
        <f t="shared" si="38"/>
        <v>1.79</v>
      </c>
      <c r="B248" s="609" t="str">
        <f>IF(LEFT(F248,1)="B",VLOOKUP(A248,COPY!$A$2:$AC$1000,4,FALSE),"")</f>
        <v/>
      </c>
      <c r="C248" s="586"/>
      <c r="D248" s="553"/>
      <c r="E248" s="553"/>
      <c r="F248" s="557" t="str">
        <f>IF(LEN(A248)&gt;2,LEFT(VLOOKUP(A248,COPY!$A$2:$AC$1000,29,FALSE),6),"")</f>
        <v>0</v>
      </c>
      <c r="G248" s="558">
        <f>_xlfn.IFNA(IF(TEXT(F248,0)="Terima","",VLOOKUP(A248,COPY!$A$2:$AC$1000,29,FALSE)),"")</f>
        <v>0</v>
      </c>
      <c r="H248" s="425"/>
      <c r="I248" s="559"/>
      <c r="J248" s="555"/>
      <c r="K248" s="608">
        <f>_xlfn.IFNA(IF(TEXT(F248,0)="Terima",0,VLOOKUP(A248,COPY!$A$2:$AC$1000,26,FALSE)),0)</f>
        <v>0</v>
      </c>
      <c r="L248" s="548">
        <f t="shared" si="35"/>
        <v>0</v>
      </c>
      <c r="M248" s="549">
        <f t="shared" si="36"/>
        <v>0</v>
      </c>
      <c r="O248" s="538">
        <f t="shared" si="37"/>
        <v>21622590</v>
      </c>
      <c r="P248" s="550"/>
      <c r="Q248" s="551"/>
    </row>
    <row r="249" spans="1:17" s="253" customFormat="1" ht="20.100000000000001" hidden="1" customHeight="1" x14ac:dyDescent="0.25">
      <c r="A249" s="253" t="str">
        <f t="shared" si="38"/>
        <v>1.80</v>
      </c>
      <c r="B249" s="609" t="str">
        <f>IF(LEFT(F249,1)="B",VLOOKUP(A249,COPY!$A$2:$AC$1000,4,FALSE),"")</f>
        <v/>
      </c>
      <c r="C249" s="586"/>
      <c r="D249" s="553"/>
      <c r="E249" s="553"/>
      <c r="F249" s="557" t="str">
        <f>IF(LEN(A249)&gt;2,LEFT(VLOOKUP(A249,COPY!$A$2:$AC$1000,29,FALSE),6),"")</f>
        <v>0</v>
      </c>
      <c r="G249" s="558">
        <f>_xlfn.IFNA(IF(TEXT(F249,0)="Terima","",VLOOKUP(A249,COPY!$A$2:$AC$1000,29,FALSE)),"")</f>
        <v>0</v>
      </c>
      <c r="H249" s="425"/>
      <c r="I249" s="559"/>
      <c r="J249" s="555"/>
      <c r="K249" s="608">
        <f>_xlfn.IFNA(IF(TEXT(F249,0)="Terima",0,VLOOKUP(A249,COPY!$A$2:$AC$1000,26,FALSE)),0)</f>
        <v>0</v>
      </c>
      <c r="L249" s="548">
        <f t="shared" si="35"/>
        <v>0</v>
      </c>
      <c r="M249" s="549">
        <f t="shared" si="36"/>
        <v>0</v>
      </c>
      <c r="O249" s="538">
        <f t="shared" si="37"/>
        <v>21622590</v>
      </c>
      <c r="P249" s="550"/>
      <c r="Q249" s="551"/>
    </row>
    <row r="250" spans="1:17" s="253" customFormat="1" ht="20.100000000000001" hidden="1" customHeight="1" x14ac:dyDescent="0.25">
      <c r="A250" s="253" t="str">
        <f t="shared" si="38"/>
        <v>1.81</v>
      </c>
      <c r="B250" s="609" t="str">
        <f>IF(LEFT(F250,1)="B",VLOOKUP(A250,COPY!$A$2:$AC$1000,4,FALSE),"")</f>
        <v/>
      </c>
      <c r="C250" s="586"/>
      <c r="D250" s="553"/>
      <c r="E250" s="553"/>
      <c r="F250" s="557" t="str">
        <f>IF(LEN(A250)&gt;2,LEFT(VLOOKUP(A250,COPY!$A$2:$AC$1000,29,FALSE),6),"")</f>
        <v>0</v>
      </c>
      <c r="G250" s="558">
        <f>_xlfn.IFNA(IF(TEXT(F250,0)="Terima","",VLOOKUP(A250,COPY!$A$2:$AC$1000,29,FALSE)),"")</f>
        <v>0</v>
      </c>
      <c r="H250" s="425"/>
      <c r="I250" s="559"/>
      <c r="J250" s="555"/>
      <c r="K250" s="608">
        <f>_xlfn.IFNA(IF(TEXT(F250,0)="Terima",0,VLOOKUP(A250,COPY!$A$2:$AC$1000,26,FALSE)),0)</f>
        <v>0</v>
      </c>
      <c r="L250" s="548">
        <f t="shared" ref="L250:L313" si="39">IF(K250&gt;0,IF(O250&gt;=0,O250,IF(O250&lt;0,0,0)),0)</f>
        <v>0</v>
      </c>
      <c r="M250" s="549">
        <f t="shared" ref="M250:M313" si="40">IF(O250&lt;0,O250,IF(O250&gt;=0,0,0))</f>
        <v>0</v>
      </c>
      <c r="O250" s="538">
        <f t="shared" ref="O250:O313" si="41">IF(J250&gt;0,O249+J250,IF(K250&gt;0,O249-K250,O249))</f>
        <v>21622590</v>
      </c>
      <c r="P250" s="550"/>
      <c r="Q250" s="551"/>
    </row>
    <row r="251" spans="1:17" s="253" customFormat="1" ht="20.100000000000001" hidden="1" customHeight="1" x14ac:dyDescent="0.25">
      <c r="A251" s="253" t="str">
        <f t="shared" si="38"/>
        <v>1.82</v>
      </c>
      <c r="B251" s="609" t="str">
        <f>IF(LEFT(F251,1)="B",VLOOKUP(A251,COPY!$A$2:$AC$1000,4,FALSE),"")</f>
        <v/>
      </c>
      <c r="C251" s="586"/>
      <c r="D251" s="553"/>
      <c r="E251" s="553"/>
      <c r="F251" s="557" t="str">
        <f>IF(LEN(A251)&gt;2,LEFT(VLOOKUP(A251,COPY!$A$2:$AC$1000,29,FALSE),6),"")</f>
        <v>0</v>
      </c>
      <c r="G251" s="558">
        <f>_xlfn.IFNA(IF(TEXT(F251,0)="Terima","",VLOOKUP(A251,COPY!$A$2:$AC$1000,29,FALSE)),"")</f>
        <v>0</v>
      </c>
      <c r="H251" s="425"/>
      <c r="I251" s="559"/>
      <c r="J251" s="555"/>
      <c r="K251" s="608">
        <f>_xlfn.IFNA(IF(TEXT(F251,0)="Terima",0,VLOOKUP(A251,COPY!$A$2:$AC$1000,26,FALSE)),0)</f>
        <v>0</v>
      </c>
      <c r="L251" s="548">
        <f t="shared" si="39"/>
        <v>0</v>
      </c>
      <c r="M251" s="549">
        <f t="shared" si="40"/>
        <v>0</v>
      </c>
      <c r="O251" s="538">
        <f t="shared" si="41"/>
        <v>21622590</v>
      </c>
      <c r="P251" s="550"/>
      <c r="Q251" s="551"/>
    </row>
    <row r="252" spans="1:17" s="253" customFormat="1" ht="20.100000000000001" hidden="1" customHeight="1" x14ac:dyDescent="0.25">
      <c r="A252" s="253" t="str">
        <f t="shared" si="38"/>
        <v>1.83</v>
      </c>
      <c r="B252" s="609" t="str">
        <f>IF(LEFT(F252,1)="B",VLOOKUP(A252,COPY!$A$2:$AC$1000,4,FALSE),"")</f>
        <v/>
      </c>
      <c r="C252" s="586"/>
      <c r="D252" s="553"/>
      <c r="E252" s="553"/>
      <c r="F252" s="557" t="str">
        <f>IF(LEN(A252)&gt;2,LEFT(VLOOKUP(A252,COPY!$A$2:$AC$1000,29,FALSE),6),"")</f>
        <v>0</v>
      </c>
      <c r="G252" s="558">
        <f>_xlfn.IFNA(IF(TEXT(F252,0)="Terima","",VLOOKUP(A252,COPY!$A$2:$AC$1000,29,FALSE)),"")</f>
        <v>0</v>
      </c>
      <c r="H252" s="425"/>
      <c r="I252" s="559"/>
      <c r="J252" s="555"/>
      <c r="K252" s="608">
        <f>_xlfn.IFNA(IF(TEXT(F252,0)="Terima",0,VLOOKUP(A252,COPY!$A$2:$AC$1000,26,FALSE)),0)</f>
        <v>0</v>
      </c>
      <c r="L252" s="548">
        <f t="shared" si="39"/>
        <v>0</v>
      </c>
      <c r="M252" s="549">
        <f t="shared" si="40"/>
        <v>0</v>
      </c>
      <c r="O252" s="538">
        <f t="shared" si="41"/>
        <v>21622590</v>
      </c>
      <c r="P252" s="550"/>
      <c r="Q252" s="551"/>
    </row>
    <row r="253" spans="1:17" s="253" customFormat="1" ht="20.100000000000001" hidden="1" customHeight="1" x14ac:dyDescent="0.25">
      <c r="A253" s="253" t="str">
        <f t="shared" si="38"/>
        <v>1.84</v>
      </c>
      <c r="B253" s="609" t="str">
        <f>IF(LEFT(F253,1)="B",VLOOKUP(A253,COPY!$A$2:$AC$1000,4,FALSE),"")</f>
        <v/>
      </c>
      <c r="C253" s="586"/>
      <c r="D253" s="553"/>
      <c r="E253" s="553"/>
      <c r="F253" s="557" t="str">
        <f>IF(LEN(A253)&gt;2,LEFT(VLOOKUP(A253,COPY!$A$2:$AC$1000,29,FALSE),6),"")</f>
        <v>0</v>
      </c>
      <c r="G253" s="558">
        <f>_xlfn.IFNA(IF(TEXT(F253,0)="Terima","",VLOOKUP(A253,COPY!$A$2:$AC$1000,29,FALSE)),"")</f>
        <v>0</v>
      </c>
      <c r="H253" s="425"/>
      <c r="I253" s="559"/>
      <c r="J253" s="555"/>
      <c r="K253" s="608">
        <f>_xlfn.IFNA(IF(TEXT(F253,0)="Terima",0,VLOOKUP(A253,COPY!$A$2:$AC$1000,26,FALSE)),0)</f>
        <v>0</v>
      </c>
      <c r="L253" s="548">
        <f t="shared" si="39"/>
        <v>0</v>
      </c>
      <c r="M253" s="549">
        <f t="shared" si="40"/>
        <v>0</v>
      </c>
      <c r="O253" s="538">
        <f t="shared" si="41"/>
        <v>21622590</v>
      </c>
      <c r="P253" s="550"/>
      <c r="Q253" s="551"/>
    </row>
    <row r="254" spans="1:17" s="253" customFormat="1" ht="20.100000000000001" hidden="1" customHeight="1" x14ac:dyDescent="0.25">
      <c r="A254" s="253" t="str">
        <f t="shared" si="38"/>
        <v>1.85</v>
      </c>
      <c r="B254" s="609" t="str">
        <f>IF(LEFT(F254,1)="B",VLOOKUP(A254,COPY!$A$2:$AC$1000,4,FALSE),"")</f>
        <v/>
      </c>
      <c r="C254" s="586"/>
      <c r="D254" s="553"/>
      <c r="E254" s="553"/>
      <c r="F254" s="557" t="str">
        <f>IF(LEN(A254)&gt;2,LEFT(VLOOKUP(A254,COPY!$A$2:$AC$1000,29,FALSE),6),"")</f>
        <v>0</v>
      </c>
      <c r="G254" s="558">
        <f>_xlfn.IFNA(IF(TEXT(F254,0)="Terima","",VLOOKUP(A254,COPY!$A$2:$AC$1000,29,FALSE)),"")</f>
        <v>0</v>
      </c>
      <c r="H254" s="425"/>
      <c r="I254" s="559"/>
      <c r="J254" s="555"/>
      <c r="K254" s="608">
        <f>_xlfn.IFNA(IF(TEXT(F254,0)="Terima",0,VLOOKUP(A254,COPY!$A$2:$AC$1000,26,FALSE)),0)</f>
        <v>0</v>
      </c>
      <c r="L254" s="548">
        <f t="shared" si="39"/>
        <v>0</v>
      </c>
      <c r="M254" s="549">
        <f t="shared" si="40"/>
        <v>0</v>
      </c>
      <c r="O254" s="538">
        <f t="shared" si="41"/>
        <v>21622590</v>
      </c>
      <c r="P254" s="550"/>
      <c r="Q254" s="551"/>
    </row>
    <row r="255" spans="1:17" s="253" customFormat="1" ht="20.100000000000001" hidden="1" customHeight="1" x14ac:dyDescent="0.25">
      <c r="A255" s="253" t="str">
        <f t="shared" si="38"/>
        <v>1.86</v>
      </c>
      <c r="B255" s="609" t="str">
        <f>IF(LEFT(F255,1)="B",VLOOKUP(A255,COPY!$A$2:$AC$1000,4,FALSE),"")</f>
        <v/>
      </c>
      <c r="C255" s="586"/>
      <c r="D255" s="553"/>
      <c r="E255" s="553"/>
      <c r="F255" s="557" t="str">
        <f>IF(LEN(A255)&gt;2,LEFT(VLOOKUP(A255,COPY!$A$2:$AC$1000,29,FALSE),6),"")</f>
        <v>0</v>
      </c>
      <c r="G255" s="558">
        <f>_xlfn.IFNA(IF(TEXT(F255,0)="Terima","",VLOOKUP(A255,COPY!$A$2:$AC$1000,29,FALSE)),"")</f>
        <v>0</v>
      </c>
      <c r="H255" s="425"/>
      <c r="I255" s="559"/>
      <c r="J255" s="555"/>
      <c r="K255" s="608">
        <f>_xlfn.IFNA(IF(TEXT(F255,0)="Terima",0,VLOOKUP(A255,COPY!$A$2:$AC$1000,26,FALSE)),0)</f>
        <v>0</v>
      </c>
      <c r="L255" s="548">
        <f t="shared" si="39"/>
        <v>0</v>
      </c>
      <c r="M255" s="549">
        <f t="shared" si="40"/>
        <v>0</v>
      </c>
      <c r="O255" s="538">
        <f t="shared" si="41"/>
        <v>21622590</v>
      </c>
      <c r="P255" s="550"/>
      <c r="Q255" s="551"/>
    </row>
    <row r="256" spans="1:17" s="253" customFormat="1" ht="20.100000000000001" hidden="1" customHeight="1" x14ac:dyDescent="0.25">
      <c r="A256" s="253" t="str">
        <f t="shared" si="38"/>
        <v>1.87</v>
      </c>
      <c r="B256" s="609" t="str">
        <f>IF(LEFT(F256,1)="B",VLOOKUP(A256,COPY!$A$2:$AC$1000,4,FALSE),"")</f>
        <v/>
      </c>
      <c r="C256" s="586"/>
      <c r="D256" s="553"/>
      <c r="E256" s="553"/>
      <c r="F256" s="557" t="str">
        <f>IF(LEN(A256)&gt;2,LEFT(VLOOKUP(A256,COPY!$A$2:$AC$1000,29,FALSE),6),"")</f>
        <v>0</v>
      </c>
      <c r="G256" s="558">
        <f>_xlfn.IFNA(IF(TEXT(F256,0)="Terima","",VLOOKUP(A256,COPY!$A$2:$AC$1000,29,FALSE)),"")</f>
        <v>0</v>
      </c>
      <c r="H256" s="425"/>
      <c r="I256" s="559"/>
      <c r="J256" s="555"/>
      <c r="K256" s="608">
        <f>_xlfn.IFNA(IF(TEXT(F256,0)="Terima",0,VLOOKUP(A256,COPY!$A$2:$AC$1000,26,FALSE)),0)</f>
        <v>0</v>
      </c>
      <c r="L256" s="548">
        <f t="shared" si="39"/>
        <v>0</v>
      </c>
      <c r="M256" s="549">
        <f t="shared" si="40"/>
        <v>0</v>
      </c>
      <c r="O256" s="538">
        <f t="shared" si="41"/>
        <v>21622590</v>
      </c>
      <c r="P256" s="550"/>
      <c r="Q256" s="551"/>
    </row>
    <row r="257" spans="1:17" s="253" customFormat="1" ht="20.100000000000001" hidden="1" customHeight="1" x14ac:dyDescent="0.25">
      <c r="A257" s="253" t="str">
        <f t="shared" si="38"/>
        <v>1.88</v>
      </c>
      <c r="B257" s="609" t="str">
        <f>IF(LEFT(F257,1)="B",VLOOKUP(A257,COPY!$A$2:$AC$1000,4,FALSE),"")</f>
        <v/>
      </c>
      <c r="C257" s="586"/>
      <c r="D257" s="553"/>
      <c r="E257" s="553"/>
      <c r="F257" s="557" t="str">
        <f>IF(LEN(A257)&gt;2,LEFT(VLOOKUP(A257,COPY!$A$2:$AC$1000,29,FALSE),6),"")</f>
        <v>0</v>
      </c>
      <c r="G257" s="558">
        <f>_xlfn.IFNA(IF(TEXT(F257,0)="Terima","",VLOOKUP(A257,COPY!$A$2:$AC$1000,29,FALSE)),"")</f>
        <v>0</v>
      </c>
      <c r="H257" s="425"/>
      <c r="I257" s="559"/>
      <c r="J257" s="555"/>
      <c r="K257" s="608">
        <f>_xlfn.IFNA(IF(TEXT(F257,0)="Terima",0,VLOOKUP(A257,COPY!$A$2:$AC$1000,26,FALSE)),0)</f>
        <v>0</v>
      </c>
      <c r="L257" s="548">
        <f t="shared" si="39"/>
        <v>0</v>
      </c>
      <c r="M257" s="549">
        <f t="shared" si="40"/>
        <v>0</v>
      </c>
      <c r="O257" s="538">
        <f t="shared" si="41"/>
        <v>21622590</v>
      </c>
      <c r="P257" s="550"/>
      <c r="Q257" s="551"/>
    </row>
    <row r="258" spans="1:17" s="253" customFormat="1" ht="20.100000000000001" hidden="1" customHeight="1" x14ac:dyDescent="0.25">
      <c r="A258" s="253" t="str">
        <f t="shared" si="38"/>
        <v>1.89</v>
      </c>
      <c r="B258" s="609" t="str">
        <f>IF(LEFT(F258,1)="B",VLOOKUP(A258,COPY!$A$2:$AC$1000,4,FALSE),"")</f>
        <v/>
      </c>
      <c r="C258" s="586"/>
      <c r="D258" s="553"/>
      <c r="E258" s="553"/>
      <c r="F258" s="557" t="str">
        <f>IF(LEN(A258)&gt;2,LEFT(VLOOKUP(A258,COPY!$A$2:$AC$1000,29,FALSE),6),"")</f>
        <v>0</v>
      </c>
      <c r="G258" s="558">
        <f>_xlfn.IFNA(IF(TEXT(F258,0)="Terima","",VLOOKUP(A258,COPY!$A$2:$AC$1000,29,FALSE)),"")</f>
        <v>0</v>
      </c>
      <c r="H258" s="425"/>
      <c r="I258" s="559"/>
      <c r="J258" s="555"/>
      <c r="K258" s="608">
        <f>_xlfn.IFNA(IF(TEXT(F258,0)="Terima",0,VLOOKUP(A258,COPY!$A$2:$AC$1000,26,FALSE)),0)</f>
        <v>0</v>
      </c>
      <c r="L258" s="548">
        <f t="shared" si="39"/>
        <v>0</v>
      </c>
      <c r="M258" s="549">
        <f t="shared" si="40"/>
        <v>0</v>
      </c>
      <c r="O258" s="538">
        <f t="shared" si="41"/>
        <v>21622590</v>
      </c>
      <c r="P258" s="550"/>
      <c r="Q258" s="551"/>
    </row>
    <row r="259" spans="1:17" s="253" customFormat="1" ht="20.100000000000001" hidden="1" customHeight="1" x14ac:dyDescent="0.25">
      <c r="A259" s="253" t="str">
        <f t="shared" si="38"/>
        <v>1.90</v>
      </c>
      <c r="B259" s="609" t="str">
        <f>IF(LEFT(F259,1)="B",VLOOKUP(A259,COPY!$A$2:$AC$1000,4,FALSE),"")</f>
        <v/>
      </c>
      <c r="C259" s="586"/>
      <c r="D259" s="553"/>
      <c r="E259" s="553"/>
      <c r="F259" s="557" t="str">
        <f>IF(LEN(A259)&gt;2,LEFT(VLOOKUP(A259,COPY!$A$2:$AC$1000,29,FALSE),6),"")</f>
        <v>0</v>
      </c>
      <c r="G259" s="558">
        <f>_xlfn.IFNA(IF(TEXT(F259,0)="Terima","",VLOOKUP(A259,COPY!$A$2:$AC$1000,29,FALSE)),"")</f>
        <v>0</v>
      </c>
      <c r="H259" s="425"/>
      <c r="I259" s="559"/>
      <c r="J259" s="555"/>
      <c r="K259" s="608">
        <f>_xlfn.IFNA(IF(TEXT(F259,0)="Terima",0,VLOOKUP(A259,COPY!$A$2:$AC$1000,26,FALSE)),0)</f>
        <v>0</v>
      </c>
      <c r="L259" s="548">
        <f t="shared" si="39"/>
        <v>0</v>
      </c>
      <c r="M259" s="549">
        <f t="shared" si="40"/>
        <v>0</v>
      </c>
      <c r="O259" s="538">
        <f t="shared" si="41"/>
        <v>21622590</v>
      </c>
      <c r="P259" s="550"/>
      <c r="Q259" s="551"/>
    </row>
    <row r="260" spans="1:17" s="253" customFormat="1" ht="20.100000000000001" hidden="1" customHeight="1" x14ac:dyDescent="0.25">
      <c r="A260" s="253" t="str">
        <f t="shared" si="38"/>
        <v>1.91</v>
      </c>
      <c r="B260" s="609" t="str">
        <f>IF(LEFT(F260,1)="B",VLOOKUP(A260,COPY!$A$2:$AC$1000,4,FALSE),"")</f>
        <v/>
      </c>
      <c r="C260" s="586"/>
      <c r="D260" s="553"/>
      <c r="E260" s="553"/>
      <c r="F260" s="557" t="str">
        <f>IF(LEN(A260)&gt;2,LEFT(VLOOKUP(A260,COPY!$A$2:$AC$1000,29,FALSE),6),"")</f>
        <v>0</v>
      </c>
      <c r="G260" s="558">
        <f>_xlfn.IFNA(IF(TEXT(F260,0)="Terima","",VLOOKUP(A260,COPY!$A$2:$AC$1000,29,FALSE)),"")</f>
        <v>0</v>
      </c>
      <c r="H260" s="425"/>
      <c r="I260" s="559"/>
      <c r="J260" s="555"/>
      <c r="K260" s="608">
        <f>_xlfn.IFNA(IF(TEXT(F260,0)="Terima",0,VLOOKUP(A260,COPY!$A$2:$AC$1000,26,FALSE)),0)</f>
        <v>0</v>
      </c>
      <c r="L260" s="548">
        <f t="shared" si="39"/>
        <v>0</v>
      </c>
      <c r="M260" s="549">
        <f t="shared" si="40"/>
        <v>0</v>
      </c>
      <c r="O260" s="538">
        <f t="shared" si="41"/>
        <v>21622590</v>
      </c>
      <c r="P260" s="550"/>
      <c r="Q260" s="551"/>
    </row>
    <row r="261" spans="1:17" s="253" customFormat="1" ht="20.100000000000001" hidden="1" customHeight="1" x14ac:dyDescent="0.25">
      <c r="A261" s="253" t="str">
        <f t="shared" si="38"/>
        <v>1.92</v>
      </c>
      <c r="B261" s="609" t="str">
        <f>IF(LEFT(F261,1)="B",VLOOKUP(A261,COPY!$A$2:$AC$1000,4,FALSE),"")</f>
        <v/>
      </c>
      <c r="C261" s="586"/>
      <c r="D261" s="553"/>
      <c r="E261" s="553"/>
      <c r="F261" s="557" t="str">
        <f>IF(LEN(A261)&gt;2,LEFT(VLOOKUP(A261,COPY!$A$2:$AC$1000,29,FALSE),6),"")</f>
        <v>0</v>
      </c>
      <c r="G261" s="558">
        <f>_xlfn.IFNA(IF(TEXT(F261,0)="Terima","",VLOOKUP(A261,COPY!$A$2:$AC$1000,29,FALSE)),"")</f>
        <v>0</v>
      </c>
      <c r="H261" s="425"/>
      <c r="I261" s="559"/>
      <c r="J261" s="555"/>
      <c r="K261" s="608">
        <f>_xlfn.IFNA(IF(TEXT(F261,0)="Terima",0,VLOOKUP(A261,COPY!$A$2:$AC$1000,26,FALSE)),0)</f>
        <v>0</v>
      </c>
      <c r="L261" s="548">
        <f t="shared" si="39"/>
        <v>0</v>
      </c>
      <c r="M261" s="549">
        <f t="shared" si="40"/>
        <v>0</v>
      </c>
      <c r="O261" s="538">
        <f t="shared" si="41"/>
        <v>21622590</v>
      </c>
      <c r="P261" s="550"/>
      <c r="Q261" s="551"/>
    </row>
    <row r="262" spans="1:17" s="253" customFormat="1" ht="20.100000000000001" hidden="1" customHeight="1" x14ac:dyDescent="0.25">
      <c r="A262" s="253" t="str">
        <f t="shared" si="38"/>
        <v>1.93</v>
      </c>
      <c r="B262" s="609" t="str">
        <f>IF(LEFT(F262,1)="B",VLOOKUP(A262,COPY!$A$2:$AC$1000,4,FALSE),"")</f>
        <v/>
      </c>
      <c r="C262" s="586"/>
      <c r="D262" s="553"/>
      <c r="E262" s="553"/>
      <c r="F262" s="557" t="str">
        <f>IF(LEN(A262)&gt;2,LEFT(VLOOKUP(A262,COPY!$A$2:$AC$1000,29,FALSE),6),"")</f>
        <v>0</v>
      </c>
      <c r="G262" s="558">
        <f>_xlfn.IFNA(IF(TEXT(F262,0)="Terima","",VLOOKUP(A262,COPY!$A$2:$AC$1000,29,FALSE)),"")</f>
        <v>0</v>
      </c>
      <c r="H262" s="425"/>
      <c r="I262" s="559"/>
      <c r="J262" s="555"/>
      <c r="K262" s="608">
        <f>_xlfn.IFNA(IF(TEXT(F262,0)="Terima",0,VLOOKUP(A262,COPY!$A$2:$AC$1000,26,FALSE)),0)</f>
        <v>0</v>
      </c>
      <c r="L262" s="548">
        <f t="shared" si="39"/>
        <v>0</v>
      </c>
      <c r="M262" s="549">
        <f t="shared" si="40"/>
        <v>0</v>
      </c>
      <c r="O262" s="538">
        <f t="shared" si="41"/>
        <v>21622590</v>
      </c>
      <c r="P262" s="550"/>
      <c r="Q262" s="551"/>
    </row>
    <row r="263" spans="1:17" s="253" customFormat="1" ht="20.100000000000001" hidden="1" customHeight="1" x14ac:dyDescent="0.25">
      <c r="A263" s="253" t="str">
        <f t="shared" si="38"/>
        <v>1.94</v>
      </c>
      <c r="B263" s="609" t="str">
        <f>IF(LEFT(F263,1)="B",VLOOKUP(A263,COPY!$A$2:$AC$1000,4,FALSE),"")</f>
        <v/>
      </c>
      <c r="C263" s="586"/>
      <c r="D263" s="553"/>
      <c r="E263" s="553"/>
      <c r="F263" s="557" t="str">
        <f>IF(LEN(A263)&gt;2,LEFT(VLOOKUP(A263,COPY!$A$2:$AC$1000,29,FALSE),6),"")</f>
        <v>0</v>
      </c>
      <c r="G263" s="558">
        <f>_xlfn.IFNA(IF(TEXT(F263,0)="Terima","",VLOOKUP(A263,COPY!$A$2:$AC$1000,29,FALSE)),"")</f>
        <v>0</v>
      </c>
      <c r="H263" s="425"/>
      <c r="I263" s="559"/>
      <c r="J263" s="555"/>
      <c r="K263" s="608">
        <f>_xlfn.IFNA(IF(TEXT(F263,0)="Terima",0,VLOOKUP(A263,COPY!$A$2:$AC$1000,26,FALSE)),0)</f>
        <v>0</v>
      </c>
      <c r="L263" s="548">
        <f t="shared" si="39"/>
        <v>0</v>
      </c>
      <c r="M263" s="549">
        <f t="shared" si="40"/>
        <v>0</v>
      </c>
      <c r="O263" s="538">
        <f t="shared" si="41"/>
        <v>21622590</v>
      </c>
      <c r="P263" s="550"/>
      <c r="Q263" s="551"/>
    </row>
    <row r="264" spans="1:17" s="253" customFormat="1" ht="20.100000000000001" hidden="1" customHeight="1" x14ac:dyDescent="0.25">
      <c r="A264" s="253" t="str">
        <f t="shared" si="38"/>
        <v>1.95</v>
      </c>
      <c r="B264" s="609" t="str">
        <f>IF(LEFT(F264,1)="B",VLOOKUP(A264,COPY!$A$2:$AC$1000,4,FALSE),"")</f>
        <v/>
      </c>
      <c r="C264" s="586"/>
      <c r="D264" s="553"/>
      <c r="E264" s="553"/>
      <c r="F264" s="557" t="str">
        <f>IF(LEN(A264)&gt;2,LEFT(VLOOKUP(A264,COPY!$A$2:$AC$1000,29,FALSE),6),"")</f>
        <v>0</v>
      </c>
      <c r="G264" s="558">
        <f>_xlfn.IFNA(IF(TEXT(F264,0)="Terima","",VLOOKUP(A264,COPY!$A$2:$AC$1000,29,FALSE)),"")</f>
        <v>0</v>
      </c>
      <c r="H264" s="425"/>
      <c r="I264" s="559"/>
      <c r="J264" s="555"/>
      <c r="K264" s="608">
        <f>_xlfn.IFNA(IF(TEXT(F264,0)="Terima",0,VLOOKUP(A264,COPY!$A$2:$AC$1000,26,FALSE)),0)</f>
        <v>0</v>
      </c>
      <c r="L264" s="548">
        <f t="shared" si="39"/>
        <v>0</v>
      </c>
      <c r="M264" s="549">
        <f t="shared" si="40"/>
        <v>0</v>
      </c>
      <c r="O264" s="538">
        <f t="shared" si="41"/>
        <v>21622590</v>
      </c>
      <c r="P264" s="550"/>
      <c r="Q264" s="551"/>
    </row>
    <row r="265" spans="1:17" s="253" customFormat="1" ht="20.100000000000001" hidden="1" customHeight="1" x14ac:dyDescent="0.25">
      <c r="A265" s="253" t="str">
        <f t="shared" si="38"/>
        <v>1.96</v>
      </c>
      <c r="B265" s="609" t="str">
        <f>IF(LEFT(F265,1)="B",VLOOKUP(A265,COPY!$A$2:$AC$1000,4,FALSE),"")</f>
        <v/>
      </c>
      <c r="C265" s="586"/>
      <c r="D265" s="553"/>
      <c r="E265" s="553"/>
      <c r="F265" s="557" t="str">
        <f>IF(LEN(A265)&gt;2,LEFT(VLOOKUP(A265,COPY!$A$2:$AC$1000,29,FALSE),6),"")</f>
        <v>0</v>
      </c>
      <c r="G265" s="558">
        <f>_xlfn.IFNA(IF(TEXT(F265,0)="Terima","",VLOOKUP(A265,COPY!$A$2:$AC$1000,29,FALSE)),"")</f>
        <v>0</v>
      </c>
      <c r="H265" s="425"/>
      <c r="I265" s="559"/>
      <c r="J265" s="555"/>
      <c r="K265" s="608">
        <f>_xlfn.IFNA(IF(TEXT(F265,0)="Terima",0,VLOOKUP(A265,COPY!$A$2:$AC$1000,26,FALSE)),0)</f>
        <v>0</v>
      </c>
      <c r="L265" s="548">
        <f t="shared" si="39"/>
        <v>0</v>
      </c>
      <c r="M265" s="549">
        <f t="shared" si="40"/>
        <v>0</v>
      </c>
      <c r="O265" s="538">
        <f t="shared" si="41"/>
        <v>21622590</v>
      </c>
      <c r="P265" s="550"/>
      <c r="Q265" s="551"/>
    </row>
    <row r="266" spans="1:17" s="253" customFormat="1" ht="20.100000000000001" hidden="1" customHeight="1" x14ac:dyDescent="0.25">
      <c r="A266" s="253" t="str">
        <f t="shared" si="38"/>
        <v>1.97</v>
      </c>
      <c r="B266" s="609" t="str">
        <f>IF(LEFT(F266,1)="B",VLOOKUP(A266,COPY!$A$2:$AC$1000,4,FALSE),"")</f>
        <v/>
      </c>
      <c r="C266" s="586"/>
      <c r="D266" s="553"/>
      <c r="E266" s="553"/>
      <c r="F266" s="557" t="str">
        <f>IF(LEN(A266)&gt;2,LEFT(VLOOKUP(A266,COPY!$A$2:$AC$1000,29,FALSE),6),"")</f>
        <v>0</v>
      </c>
      <c r="G266" s="558">
        <f>_xlfn.IFNA(IF(TEXT(F266,0)="Terima","",VLOOKUP(A266,COPY!$A$2:$AC$1000,29,FALSE)),"")</f>
        <v>0</v>
      </c>
      <c r="H266" s="425"/>
      <c r="I266" s="559"/>
      <c r="J266" s="555"/>
      <c r="K266" s="608">
        <f>_xlfn.IFNA(IF(TEXT(F266,0)="Terima",0,VLOOKUP(A266,COPY!$A$2:$AC$1000,26,FALSE)),0)</f>
        <v>0</v>
      </c>
      <c r="L266" s="548">
        <f t="shared" si="39"/>
        <v>0</v>
      </c>
      <c r="M266" s="549">
        <f t="shared" si="40"/>
        <v>0</v>
      </c>
      <c r="O266" s="538">
        <f t="shared" si="41"/>
        <v>21622590</v>
      </c>
      <c r="P266" s="550"/>
      <c r="Q266" s="551"/>
    </row>
    <row r="267" spans="1:17" s="253" customFormat="1" ht="20.100000000000001" hidden="1" customHeight="1" x14ac:dyDescent="0.25">
      <c r="A267" s="253" t="str">
        <f t="shared" si="38"/>
        <v>1.98</v>
      </c>
      <c r="B267" s="609" t="str">
        <f>IF(LEFT(F267,1)="B",VLOOKUP(A267,COPY!$A$2:$AC$1000,4,FALSE),"")</f>
        <v/>
      </c>
      <c r="C267" s="586"/>
      <c r="D267" s="553"/>
      <c r="E267" s="553"/>
      <c r="F267" s="557" t="str">
        <f>IF(LEN(A267)&gt;2,LEFT(VLOOKUP(A267,COPY!$A$2:$AC$1000,29,FALSE),6),"")</f>
        <v>0</v>
      </c>
      <c r="G267" s="558">
        <f>_xlfn.IFNA(IF(TEXT(F267,0)="Terima","",VLOOKUP(A267,COPY!$A$2:$AC$1000,29,FALSE)),"")</f>
        <v>0</v>
      </c>
      <c r="H267" s="425"/>
      <c r="I267" s="559"/>
      <c r="J267" s="555"/>
      <c r="K267" s="608">
        <f>_xlfn.IFNA(IF(TEXT(F267,0)="Terima",0,VLOOKUP(A267,COPY!$A$2:$AC$1000,26,FALSE)),0)</f>
        <v>0</v>
      </c>
      <c r="L267" s="548">
        <f t="shared" si="39"/>
        <v>0</v>
      </c>
      <c r="M267" s="549">
        <f t="shared" si="40"/>
        <v>0</v>
      </c>
      <c r="O267" s="538">
        <f t="shared" si="41"/>
        <v>21622590</v>
      </c>
      <c r="P267" s="550"/>
      <c r="Q267" s="551"/>
    </row>
    <row r="268" spans="1:17" s="253" customFormat="1" ht="20.100000000000001" hidden="1" customHeight="1" x14ac:dyDescent="0.25">
      <c r="A268" s="253" t="str">
        <f t="shared" si="38"/>
        <v>1.99</v>
      </c>
      <c r="B268" s="609" t="str">
        <f>IF(LEFT(F268,1)="B",VLOOKUP(A268,COPY!$A$2:$AC$1000,4,FALSE),"")</f>
        <v/>
      </c>
      <c r="C268" s="586"/>
      <c r="D268" s="553"/>
      <c r="E268" s="553"/>
      <c r="F268" s="557" t="str">
        <f>IF(LEN(A268)&gt;2,LEFT(VLOOKUP(A268,COPY!$A$2:$AC$1000,29,FALSE),6),"")</f>
        <v>0</v>
      </c>
      <c r="G268" s="558">
        <f>_xlfn.IFNA(IF(TEXT(F268,0)="Terima","",VLOOKUP(A268,COPY!$A$2:$AC$1000,29,FALSE)),"")</f>
        <v>0</v>
      </c>
      <c r="H268" s="425"/>
      <c r="I268" s="559"/>
      <c r="J268" s="555"/>
      <c r="K268" s="608">
        <f>_xlfn.IFNA(IF(TEXT(F268,0)="Terima",0,VLOOKUP(A268,COPY!$A$2:$AC$1000,26,FALSE)),0)</f>
        <v>0</v>
      </c>
      <c r="L268" s="548">
        <f t="shared" si="39"/>
        <v>0</v>
      </c>
      <c r="M268" s="549">
        <f t="shared" si="40"/>
        <v>0</v>
      </c>
      <c r="O268" s="538">
        <f t="shared" si="41"/>
        <v>21622590</v>
      </c>
      <c r="P268" s="550"/>
      <c r="Q268" s="551"/>
    </row>
    <row r="269" spans="1:17" s="253" customFormat="1" ht="20.100000000000001" hidden="1" customHeight="1" x14ac:dyDescent="0.25">
      <c r="A269" s="253" t="str">
        <f t="shared" si="38"/>
        <v>1.100</v>
      </c>
      <c r="B269" s="609" t="str">
        <f>IF(LEFT(F269,1)="B",VLOOKUP(A269,COPY!$A$2:$AC$1000,4,FALSE),"")</f>
        <v/>
      </c>
      <c r="C269" s="586"/>
      <c r="D269" s="553"/>
      <c r="E269" s="553"/>
      <c r="F269" s="557" t="str">
        <f>IF(LEN(A269)&gt;2,LEFT(VLOOKUP(A269,COPY!$A$2:$AC$1000,29,FALSE),6),"")</f>
        <v>0</v>
      </c>
      <c r="G269" s="558">
        <f>_xlfn.IFNA(IF(TEXT(F269,0)="Terima","",VLOOKUP(A269,COPY!$A$2:$AC$1000,29,FALSE)),"")</f>
        <v>0</v>
      </c>
      <c r="H269" s="425"/>
      <c r="I269" s="559"/>
      <c r="J269" s="555"/>
      <c r="K269" s="608">
        <f>_xlfn.IFNA(IF(TEXT(F269,0)="Terima",0,VLOOKUP(A269,COPY!$A$2:$AC$1000,26,FALSE)),0)</f>
        <v>0</v>
      </c>
      <c r="L269" s="548">
        <f t="shared" si="39"/>
        <v>0</v>
      </c>
      <c r="M269" s="549">
        <f t="shared" si="40"/>
        <v>0</v>
      </c>
      <c r="O269" s="538">
        <f t="shared" si="41"/>
        <v>21622590</v>
      </c>
      <c r="P269" s="550"/>
      <c r="Q269" s="551"/>
    </row>
    <row r="270" spans="1:17" s="253" customFormat="1" ht="20.100000000000001" hidden="1" customHeight="1" x14ac:dyDescent="0.25">
      <c r="A270" s="253" t="str">
        <f t="shared" si="38"/>
        <v>1.101</v>
      </c>
      <c r="B270" s="609" t="str">
        <f>IF(LEFT(F270,1)="B",VLOOKUP(A270,COPY!$A$2:$AC$1000,4,FALSE),"")</f>
        <v/>
      </c>
      <c r="C270" s="586"/>
      <c r="D270" s="553"/>
      <c r="E270" s="553"/>
      <c r="F270" s="557" t="str">
        <f>IF(LEN(A270)&gt;2,LEFT(VLOOKUP(A270,COPY!$A$2:$AC$1000,29,FALSE),6),"")</f>
        <v>0</v>
      </c>
      <c r="G270" s="558">
        <f>_xlfn.IFNA(IF(TEXT(F270,0)="Terima","",VLOOKUP(A270,COPY!$A$2:$AC$1000,29,FALSE)),"")</f>
        <v>0</v>
      </c>
      <c r="H270" s="425"/>
      <c r="I270" s="559"/>
      <c r="J270" s="555"/>
      <c r="K270" s="608">
        <f>_xlfn.IFNA(IF(TEXT(F270,0)="Terima",0,VLOOKUP(A270,COPY!$A$2:$AC$1000,26,FALSE)),0)</f>
        <v>0</v>
      </c>
      <c r="L270" s="548">
        <f t="shared" si="39"/>
        <v>0</v>
      </c>
      <c r="M270" s="549">
        <f t="shared" si="40"/>
        <v>0</v>
      </c>
      <c r="O270" s="538">
        <f t="shared" si="41"/>
        <v>21622590</v>
      </c>
      <c r="P270" s="550"/>
      <c r="Q270" s="551"/>
    </row>
    <row r="271" spans="1:17" s="253" customFormat="1" ht="20.100000000000001" hidden="1" customHeight="1" x14ac:dyDescent="0.25">
      <c r="A271" s="253" t="str">
        <f t="shared" si="38"/>
        <v>1.102</v>
      </c>
      <c r="B271" s="609" t="str">
        <f>IF(LEFT(F271,1)="B",VLOOKUP(A271,COPY!$A$2:$AC$1000,4,FALSE),"")</f>
        <v/>
      </c>
      <c r="C271" s="586"/>
      <c r="D271" s="553"/>
      <c r="E271" s="553"/>
      <c r="F271" s="557" t="str">
        <f>IF(LEN(A271)&gt;2,LEFT(VLOOKUP(A271,COPY!$A$2:$AC$1000,29,FALSE),6),"")</f>
        <v>0</v>
      </c>
      <c r="G271" s="558">
        <f>_xlfn.IFNA(IF(TEXT(F271,0)="Terima","",VLOOKUP(A271,COPY!$A$2:$AC$1000,29,FALSE)),"")</f>
        <v>0</v>
      </c>
      <c r="H271" s="425"/>
      <c r="I271" s="559"/>
      <c r="J271" s="555"/>
      <c r="K271" s="608">
        <f>_xlfn.IFNA(IF(TEXT(F271,0)="Terima",0,VLOOKUP(A271,COPY!$A$2:$AC$1000,26,FALSE)),0)</f>
        <v>0</v>
      </c>
      <c r="L271" s="548">
        <f t="shared" si="39"/>
        <v>0</v>
      </c>
      <c r="M271" s="549">
        <f t="shared" si="40"/>
        <v>0</v>
      </c>
      <c r="O271" s="538">
        <f t="shared" si="41"/>
        <v>21622590</v>
      </c>
      <c r="P271" s="550"/>
      <c r="Q271" s="551"/>
    </row>
    <row r="272" spans="1:17" s="253" customFormat="1" ht="20.100000000000001" hidden="1" customHeight="1" x14ac:dyDescent="0.25">
      <c r="A272" s="253" t="str">
        <f t="shared" si="38"/>
        <v>1.103</v>
      </c>
      <c r="B272" s="609" t="str">
        <f>IF(LEFT(F272,1)="B",VLOOKUP(A272,COPY!$A$2:$AC$1000,4,FALSE),"")</f>
        <v/>
      </c>
      <c r="C272" s="586"/>
      <c r="D272" s="553"/>
      <c r="E272" s="553"/>
      <c r="F272" s="557" t="str">
        <f>IF(LEN(A272)&gt;2,LEFT(VLOOKUP(A272,COPY!$A$2:$AC$1000,29,FALSE),6),"")</f>
        <v>0</v>
      </c>
      <c r="G272" s="558">
        <f>_xlfn.IFNA(IF(TEXT(F272,0)="Terima","",VLOOKUP(A272,COPY!$A$2:$AC$1000,29,FALSE)),"")</f>
        <v>0</v>
      </c>
      <c r="H272" s="425"/>
      <c r="I272" s="559"/>
      <c r="J272" s="555"/>
      <c r="K272" s="608">
        <f>_xlfn.IFNA(IF(TEXT(F272,0)="Terima",0,VLOOKUP(A272,COPY!$A$2:$AC$1000,26,FALSE)),0)</f>
        <v>0</v>
      </c>
      <c r="L272" s="548">
        <f t="shared" si="39"/>
        <v>0</v>
      </c>
      <c r="M272" s="549">
        <f t="shared" si="40"/>
        <v>0</v>
      </c>
      <c r="O272" s="538">
        <f t="shared" si="41"/>
        <v>21622590</v>
      </c>
      <c r="P272" s="550"/>
      <c r="Q272" s="551"/>
    </row>
    <row r="273" spans="1:17" s="253" customFormat="1" ht="20.100000000000001" hidden="1" customHeight="1" x14ac:dyDescent="0.25">
      <c r="A273" s="253" t="str">
        <f t="shared" si="38"/>
        <v>1.104</v>
      </c>
      <c r="B273" s="609" t="str">
        <f>IF(LEFT(F273,1)="B",VLOOKUP(A273,COPY!$A$2:$AC$1000,4,FALSE),"")</f>
        <v/>
      </c>
      <c r="C273" s="586"/>
      <c r="D273" s="553"/>
      <c r="E273" s="553"/>
      <c r="F273" s="557" t="str">
        <f>IF(LEN(A273)&gt;2,LEFT(VLOOKUP(A273,COPY!$A$2:$AC$1000,29,FALSE),6),"")</f>
        <v>0</v>
      </c>
      <c r="G273" s="558">
        <f>_xlfn.IFNA(IF(TEXT(F273,0)="Terima","",VLOOKUP(A273,COPY!$A$2:$AC$1000,29,FALSE)),"")</f>
        <v>0</v>
      </c>
      <c r="H273" s="425"/>
      <c r="I273" s="559"/>
      <c r="J273" s="555"/>
      <c r="K273" s="608">
        <f>_xlfn.IFNA(IF(TEXT(F273,0)="Terima",0,VLOOKUP(A273,COPY!$A$2:$AC$1000,26,FALSE)),0)</f>
        <v>0</v>
      </c>
      <c r="L273" s="548">
        <f t="shared" si="39"/>
        <v>0</v>
      </c>
      <c r="M273" s="549">
        <f t="shared" si="40"/>
        <v>0</v>
      </c>
      <c r="O273" s="538">
        <f t="shared" si="41"/>
        <v>21622590</v>
      </c>
      <c r="P273" s="550"/>
      <c r="Q273" s="551"/>
    </row>
    <row r="274" spans="1:17" s="253" customFormat="1" ht="20.100000000000001" hidden="1" customHeight="1" x14ac:dyDescent="0.25">
      <c r="A274" s="253" t="str">
        <f t="shared" si="38"/>
        <v>1.105</v>
      </c>
      <c r="B274" s="609" t="str">
        <f>IF(LEFT(F274,1)="B",VLOOKUP(A274,COPY!$A$2:$AC$1000,4,FALSE),"")</f>
        <v/>
      </c>
      <c r="C274" s="586"/>
      <c r="D274" s="553"/>
      <c r="E274" s="553"/>
      <c r="F274" s="557" t="str">
        <f>IF(LEN(A274)&gt;2,LEFT(VLOOKUP(A274,COPY!$A$2:$AC$1000,29,FALSE),6),"")</f>
        <v>0</v>
      </c>
      <c r="G274" s="558">
        <f>_xlfn.IFNA(IF(TEXT(F274,0)="Terima","",VLOOKUP(A274,COPY!$A$2:$AC$1000,29,FALSE)),"")</f>
        <v>0</v>
      </c>
      <c r="H274" s="425"/>
      <c r="I274" s="559"/>
      <c r="J274" s="555"/>
      <c r="K274" s="608">
        <f>_xlfn.IFNA(IF(TEXT(F274,0)="Terima",0,VLOOKUP(A274,COPY!$A$2:$AC$1000,26,FALSE)),0)</f>
        <v>0</v>
      </c>
      <c r="L274" s="548">
        <f t="shared" si="39"/>
        <v>0</v>
      </c>
      <c r="M274" s="549">
        <f t="shared" si="40"/>
        <v>0</v>
      </c>
      <c r="O274" s="538">
        <f t="shared" si="41"/>
        <v>21622590</v>
      </c>
      <c r="P274" s="550"/>
      <c r="Q274" s="551"/>
    </row>
    <row r="275" spans="1:17" s="253" customFormat="1" ht="20.100000000000001" hidden="1" customHeight="1" x14ac:dyDescent="0.25">
      <c r="A275" s="253" t="str">
        <f t="shared" si="38"/>
        <v>1.106</v>
      </c>
      <c r="B275" s="609" t="str">
        <f>IF(LEFT(F275,1)="B",VLOOKUP(A275,COPY!$A$2:$AC$1000,4,FALSE),"")</f>
        <v/>
      </c>
      <c r="C275" s="586"/>
      <c r="D275" s="553"/>
      <c r="E275" s="553"/>
      <c r="F275" s="557" t="str">
        <f>IF(LEN(A275)&gt;2,LEFT(VLOOKUP(A275,COPY!$A$2:$AC$1000,29,FALSE),6),"")</f>
        <v>0</v>
      </c>
      <c r="G275" s="558">
        <f>_xlfn.IFNA(IF(TEXT(F275,0)="Terima","",VLOOKUP(A275,COPY!$A$2:$AC$1000,29,FALSE)),"")</f>
        <v>0</v>
      </c>
      <c r="H275" s="425"/>
      <c r="I275" s="559"/>
      <c r="J275" s="555"/>
      <c r="K275" s="608">
        <f>_xlfn.IFNA(IF(TEXT(F275,0)="Terima",0,VLOOKUP(A275,COPY!$A$2:$AC$1000,26,FALSE)),0)</f>
        <v>0</v>
      </c>
      <c r="L275" s="548">
        <f t="shared" si="39"/>
        <v>0</v>
      </c>
      <c r="M275" s="549">
        <f t="shared" si="40"/>
        <v>0</v>
      </c>
      <c r="O275" s="538">
        <f t="shared" si="41"/>
        <v>21622590</v>
      </c>
      <c r="P275" s="550"/>
      <c r="Q275" s="551"/>
    </row>
    <row r="276" spans="1:17" s="253" customFormat="1" ht="20.100000000000001" hidden="1" customHeight="1" x14ac:dyDescent="0.25">
      <c r="A276" s="253" t="str">
        <f t="shared" si="38"/>
        <v>1.107</v>
      </c>
      <c r="B276" s="609" t="str">
        <f>IF(LEFT(F276,1)="B",VLOOKUP(A276,COPY!$A$2:$AC$1000,4,FALSE),"")</f>
        <v/>
      </c>
      <c r="C276" s="586"/>
      <c r="D276" s="553"/>
      <c r="E276" s="553"/>
      <c r="F276" s="557" t="str">
        <f>IF(LEN(A276)&gt;2,LEFT(VLOOKUP(A276,COPY!$A$2:$AC$1000,29,FALSE),6),"")</f>
        <v>0</v>
      </c>
      <c r="G276" s="558">
        <f>_xlfn.IFNA(IF(TEXT(F276,0)="Terima","",VLOOKUP(A276,COPY!$A$2:$AC$1000,29,FALSE)),"")</f>
        <v>0</v>
      </c>
      <c r="H276" s="425"/>
      <c r="I276" s="559"/>
      <c r="J276" s="555"/>
      <c r="K276" s="608">
        <f>_xlfn.IFNA(IF(TEXT(F276,0)="Terima",0,VLOOKUP(A276,COPY!$A$2:$AC$1000,26,FALSE)),0)</f>
        <v>0</v>
      </c>
      <c r="L276" s="548">
        <f t="shared" si="39"/>
        <v>0</v>
      </c>
      <c r="M276" s="549">
        <f t="shared" si="40"/>
        <v>0</v>
      </c>
      <c r="O276" s="538">
        <f t="shared" si="41"/>
        <v>21622590</v>
      </c>
      <c r="P276" s="550"/>
      <c r="Q276" s="551"/>
    </row>
    <row r="277" spans="1:17" s="253" customFormat="1" ht="20.100000000000001" hidden="1" customHeight="1" x14ac:dyDescent="0.25">
      <c r="A277" s="253" t="str">
        <f t="shared" si="38"/>
        <v>1.108</v>
      </c>
      <c r="B277" s="609" t="str">
        <f>IF(LEFT(F277,1)="B",VLOOKUP(A277,COPY!$A$2:$AC$1000,4,FALSE),"")</f>
        <v/>
      </c>
      <c r="C277" s="586"/>
      <c r="D277" s="553"/>
      <c r="E277" s="553"/>
      <c r="F277" s="557" t="str">
        <f>IF(LEN(A277)&gt;2,LEFT(VLOOKUP(A277,COPY!$A$2:$AC$1000,29,FALSE),6),"")</f>
        <v>0</v>
      </c>
      <c r="G277" s="558">
        <f>_xlfn.IFNA(IF(TEXT(F277,0)="Terima","",VLOOKUP(A277,COPY!$A$2:$AC$1000,29,FALSE)),"")</f>
        <v>0</v>
      </c>
      <c r="H277" s="425"/>
      <c r="I277" s="559"/>
      <c r="J277" s="555"/>
      <c r="K277" s="608">
        <f>_xlfn.IFNA(IF(TEXT(F277,0)="Terima",0,VLOOKUP(A277,COPY!$A$2:$AC$1000,26,FALSE)),0)</f>
        <v>0</v>
      </c>
      <c r="L277" s="548">
        <f t="shared" si="39"/>
        <v>0</v>
      </c>
      <c r="M277" s="549">
        <f t="shared" si="40"/>
        <v>0</v>
      </c>
      <c r="O277" s="538">
        <f t="shared" si="41"/>
        <v>21622590</v>
      </c>
      <c r="P277" s="550"/>
      <c r="Q277" s="551"/>
    </row>
    <row r="278" spans="1:17" s="253" customFormat="1" ht="20.100000000000001" hidden="1" customHeight="1" x14ac:dyDescent="0.25">
      <c r="A278" s="253" t="str">
        <f t="shared" si="38"/>
        <v>1.109</v>
      </c>
      <c r="B278" s="609" t="str">
        <f>IF(LEFT(F278,1)="B",VLOOKUP(A278,COPY!$A$2:$AC$1000,4,FALSE),"")</f>
        <v/>
      </c>
      <c r="C278" s="586"/>
      <c r="D278" s="553"/>
      <c r="E278" s="553"/>
      <c r="F278" s="557" t="str">
        <f>IF(LEN(A278)&gt;2,LEFT(VLOOKUP(A278,COPY!$A$2:$AC$1000,29,FALSE),6),"")</f>
        <v>0</v>
      </c>
      <c r="G278" s="558">
        <f>_xlfn.IFNA(IF(TEXT(F278,0)="Terima","",VLOOKUP(A278,COPY!$A$2:$AC$1000,29,FALSE)),"")</f>
        <v>0</v>
      </c>
      <c r="H278" s="425"/>
      <c r="I278" s="559"/>
      <c r="J278" s="555"/>
      <c r="K278" s="608">
        <f>_xlfn.IFNA(IF(TEXT(F278,0)="Terima",0,VLOOKUP(A278,COPY!$A$2:$AC$1000,26,FALSE)),0)</f>
        <v>0</v>
      </c>
      <c r="L278" s="548">
        <f t="shared" si="39"/>
        <v>0</v>
      </c>
      <c r="M278" s="549">
        <f t="shared" si="40"/>
        <v>0</v>
      </c>
      <c r="O278" s="538">
        <f t="shared" si="41"/>
        <v>21622590</v>
      </c>
      <c r="P278" s="550"/>
      <c r="Q278" s="551"/>
    </row>
    <row r="279" spans="1:17" s="253" customFormat="1" ht="20.100000000000001" hidden="1" customHeight="1" x14ac:dyDescent="0.25">
      <c r="A279" s="253" t="str">
        <f t="shared" si="38"/>
        <v>1.</v>
      </c>
      <c r="B279" s="609" t="str">
        <f>IF(LEFT(F279,1)="B",VLOOKUP(A279,COPY!$A$2:$AC$1000,4,FALSE),"")</f>
        <v/>
      </c>
      <c r="C279" s="586"/>
      <c r="D279" s="553"/>
      <c r="E279" s="553"/>
      <c r="F279" s="557" t="str">
        <f>IF(LEN(A279)&gt;2,LEFT(VLOOKUP(A279,COPY!$A$2:$AC$1000,29,FALSE),6),"")</f>
        <v/>
      </c>
      <c r="G279" s="558" t="str">
        <f>_xlfn.IFNA(IF(TEXT(F279,0)="Terima","",VLOOKUP(A279,COPY!$A$2:$AC$1000,29,FALSE)),"")</f>
        <v/>
      </c>
      <c r="H279" s="425"/>
      <c r="I279" s="559"/>
      <c r="J279" s="555"/>
      <c r="K279" s="608">
        <f>_xlfn.IFNA(IF(TEXT(F279,0)="Terima",0,VLOOKUP(A279,COPY!$A$2:$AC$1000,26,FALSE)),0)</f>
        <v>0</v>
      </c>
      <c r="L279" s="548">
        <f t="shared" si="39"/>
        <v>0</v>
      </c>
      <c r="M279" s="549">
        <f t="shared" si="40"/>
        <v>0</v>
      </c>
      <c r="O279" s="538">
        <f t="shared" si="41"/>
        <v>21622590</v>
      </c>
      <c r="P279" s="550"/>
      <c r="Q279" s="551"/>
    </row>
    <row r="280" spans="1:17" s="253" customFormat="1" ht="20.100000000000001" hidden="1" customHeight="1" x14ac:dyDescent="0.25">
      <c r="A280" s="253" t="str">
        <f t="shared" si="38"/>
        <v/>
      </c>
      <c r="B280" s="609" t="str">
        <f>IF(LEFT(F280,1)="B",VLOOKUP(A280,COPY!$A$2:$AC$1000,4,FALSE),"")</f>
        <v/>
      </c>
      <c r="C280" s="586"/>
      <c r="D280" s="553"/>
      <c r="E280" s="553"/>
      <c r="F280" s="557" t="str">
        <f>IF(LEN(A280)&gt;2,LEFT(VLOOKUP(A280,COPY!$A$2:$AC$1000,29,FALSE),6),"")</f>
        <v/>
      </c>
      <c r="G280" s="558" t="str">
        <f>_xlfn.IFNA(IF(TEXT(F280,0)="Terima","",VLOOKUP(A280,COPY!$A$2:$AC$1000,29,FALSE)),"")</f>
        <v/>
      </c>
      <c r="H280" s="425"/>
      <c r="I280" s="559"/>
      <c r="J280" s="555"/>
      <c r="K280" s="608">
        <f>_xlfn.IFNA(IF(TEXT(F280,0)="Terima",0,VLOOKUP(A280,COPY!$A$2:$AC$1000,26,FALSE)),0)</f>
        <v>0</v>
      </c>
      <c r="L280" s="548">
        <f t="shared" si="39"/>
        <v>0</v>
      </c>
      <c r="M280" s="549">
        <f t="shared" si="40"/>
        <v>0</v>
      </c>
      <c r="O280" s="538">
        <f t="shared" si="41"/>
        <v>21622590</v>
      </c>
      <c r="P280" s="550"/>
      <c r="Q280" s="551"/>
    </row>
    <row r="281" spans="1:17" s="253" customFormat="1" ht="20.100000000000001" hidden="1" customHeight="1" x14ac:dyDescent="0.25">
      <c r="A281" s="253" t="str">
        <f t="shared" si="38"/>
        <v/>
      </c>
      <c r="B281" s="609" t="str">
        <f>IF(LEFT(F281,1)="B",VLOOKUP(A281,COPY!$A$2:$AC$1000,4,FALSE),"")</f>
        <v/>
      </c>
      <c r="C281" s="586"/>
      <c r="D281" s="553"/>
      <c r="E281" s="553"/>
      <c r="F281" s="557" t="str">
        <f>IF(LEN(A281)&gt;2,LEFT(VLOOKUP(A281,COPY!$A$2:$AC$1000,29,FALSE),6),"")</f>
        <v/>
      </c>
      <c r="G281" s="558" t="str">
        <f>_xlfn.IFNA(IF(TEXT(F281,0)="Terima","",VLOOKUP(A281,COPY!$A$2:$AC$1000,29,FALSE)),"")</f>
        <v/>
      </c>
      <c r="H281" s="425"/>
      <c r="I281" s="559"/>
      <c r="J281" s="555"/>
      <c r="K281" s="608">
        <f>_xlfn.IFNA(IF(TEXT(F281,0)="Terima",0,VLOOKUP(A281,COPY!$A$2:$AC$1000,26,FALSE)),0)</f>
        <v>0</v>
      </c>
      <c r="L281" s="548">
        <f t="shared" si="39"/>
        <v>0</v>
      </c>
      <c r="M281" s="549">
        <f t="shared" si="40"/>
        <v>0</v>
      </c>
      <c r="O281" s="538">
        <f t="shared" si="41"/>
        <v>21622590</v>
      </c>
      <c r="P281" s="550"/>
      <c r="Q281" s="551"/>
    </row>
    <row r="282" spans="1:17" s="253" customFormat="1" ht="20.100000000000001" hidden="1" customHeight="1" x14ac:dyDescent="0.25">
      <c r="A282" s="253" t="str">
        <f t="shared" si="38"/>
        <v/>
      </c>
      <c r="B282" s="609" t="str">
        <f>IF(LEFT(F282,1)="B",VLOOKUP(A282,COPY!$A$2:$AC$1000,4,FALSE),"")</f>
        <v/>
      </c>
      <c r="C282" s="586"/>
      <c r="D282" s="553"/>
      <c r="E282" s="553"/>
      <c r="F282" s="557" t="str">
        <f>IF(LEN(A282)&gt;2,LEFT(VLOOKUP(A282,COPY!$A$2:$AC$1000,29,FALSE),6),"")</f>
        <v/>
      </c>
      <c r="G282" s="558" t="str">
        <f>_xlfn.IFNA(IF(TEXT(F282,0)="Terima","",VLOOKUP(A282,COPY!$A$2:$AC$1000,29,FALSE)),"")</f>
        <v/>
      </c>
      <c r="H282" s="425"/>
      <c r="I282" s="559"/>
      <c r="J282" s="555"/>
      <c r="K282" s="608">
        <f>_xlfn.IFNA(IF(TEXT(F282,0)="Terima",0,VLOOKUP(A282,COPY!$A$2:$AC$1000,26,FALSE)),0)</f>
        <v>0</v>
      </c>
      <c r="L282" s="548">
        <f t="shared" si="39"/>
        <v>0</v>
      </c>
      <c r="M282" s="549">
        <f t="shared" si="40"/>
        <v>0</v>
      </c>
      <c r="O282" s="538">
        <f t="shared" si="41"/>
        <v>21622590</v>
      </c>
      <c r="P282" s="550"/>
      <c r="Q282" s="551"/>
    </row>
    <row r="283" spans="1:17" s="253" customFormat="1" ht="20.100000000000001" hidden="1" customHeight="1" x14ac:dyDescent="0.25">
      <c r="A283" s="253" t="str">
        <f t="shared" si="38"/>
        <v/>
      </c>
      <c r="B283" s="609" t="str">
        <f>IF(LEFT(F283,1)="B",VLOOKUP(A283,COPY!$A$2:$AC$1000,4,FALSE),"")</f>
        <v/>
      </c>
      <c r="C283" s="586"/>
      <c r="D283" s="553"/>
      <c r="E283" s="553"/>
      <c r="F283" s="557" t="str">
        <f>IF(LEN(A283)&gt;2,LEFT(VLOOKUP(A283,COPY!$A$2:$AC$1000,29,FALSE),6),"")</f>
        <v/>
      </c>
      <c r="G283" s="558" t="str">
        <f>_xlfn.IFNA(IF(TEXT(F283,0)="Terima","",VLOOKUP(A283,COPY!$A$2:$AC$1000,29,FALSE)),"")</f>
        <v/>
      </c>
      <c r="H283" s="425"/>
      <c r="I283" s="559"/>
      <c r="J283" s="555"/>
      <c r="K283" s="608">
        <f>_xlfn.IFNA(IF(TEXT(F283,0)="Terima",0,VLOOKUP(A283,COPY!$A$2:$AC$1000,26,FALSE)),0)</f>
        <v>0</v>
      </c>
      <c r="L283" s="548">
        <f t="shared" si="39"/>
        <v>0</v>
      </c>
      <c r="M283" s="549">
        <f t="shared" si="40"/>
        <v>0</v>
      </c>
      <c r="O283" s="538">
        <f t="shared" si="41"/>
        <v>21622590</v>
      </c>
      <c r="P283" s="550"/>
      <c r="Q283" s="551"/>
    </row>
    <row r="284" spans="1:17" s="253" customFormat="1" ht="20.100000000000001" hidden="1" customHeight="1" x14ac:dyDescent="0.25">
      <c r="A284" s="253" t="str">
        <f t="shared" si="38"/>
        <v/>
      </c>
      <c r="B284" s="609" t="str">
        <f>IF(LEFT(F284,1)="B",VLOOKUP(A284,COPY!$A$2:$AC$1000,4,FALSE),"")</f>
        <v/>
      </c>
      <c r="C284" s="586"/>
      <c r="D284" s="553"/>
      <c r="E284" s="553"/>
      <c r="F284" s="557" t="str">
        <f>IF(LEN(A284)&gt;2,LEFT(VLOOKUP(A284,COPY!$A$2:$AC$1000,29,FALSE),6),"")</f>
        <v/>
      </c>
      <c r="G284" s="558" t="str">
        <f>_xlfn.IFNA(IF(TEXT(F284,0)="Terima","",VLOOKUP(A284,COPY!$A$2:$AC$1000,29,FALSE)),"")</f>
        <v/>
      </c>
      <c r="H284" s="425"/>
      <c r="I284" s="559"/>
      <c r="J284" s="555"/>
      <c r="K284" s="608">
        <f>_xlfn.IFNA(IF(TEXT(F284,0)="Terima",0,VLOOKUP(A284,COPY!$A$2:$AC$1000,26,FALSE)),0)</f>
        <v>0</v>
      </c>
      <c r="L284" s="548">
        <f t="shared" si="39"/>
        <v>0</v>
      </c>
      <c r="M284" s="549">
        <f t="shared" si="40"/>
        <v>0</v>
      </c>
      <c r="O284" s="538">
        <f t="shared" si="41"/>
        <v>21622590</v>
      </c>
      <c r="P284" s="550"/>
      <c r="Q284" s="551"/>
    </row>
    <row r="285" spans="1:17" s="253" customFormat="1" ht="20.100000000000001" hidden="1" customHeight="1" x14ac:dyDescent="0.25">
      <c r="A285" s="253" t="str">
        <f t="shared" si="38"/>
        <v/>
      </c>
      <c r="B285" s="609" t="str">
        <f>IF(LEFT(F285,1)="B",VLOOKUP(A285,COPY!$A$2:$AC$1000,4,FALSE),"")</f>
        <v/>
      </c>
      <c r="C285" s="586"/>
      <c r="D285" s="553"/>
      <c r="E285" s="553"/>
      <c r="F285" s="557" t="str">
        <f>IF(LEN(A285)&gt;2,LEFT(VLOOKUP(A285,COPY!$A$2:$AC$1000,29,FALSE),6),"")</f>
        <v/>
      </c>
      <c r="G285" s="558" t="str">
        <f>_xlfn.IFNA(IF(TEXT(F285,0)="Terima","",VLOOKUP(A285,COPY!$A$2:$AC$1000,29,FALSE)),"")</f>
        <v/>
      </c>
      <c r="H285" s="425"/>
      <c r="I285" s="559"/>
      <c r="J285" s="555"/>
      <c r="K285" s="608">
        <f>_xlfn.IFNA(IF(TEXT(F285,0)="Terima",0,VLOOKUP(A285,COPY!$A$2:$AC$1000,26,FALSE)),0)</f>
        <v>0</v>
      </c>
      <c r="L285" s="548">
        <f t="shared" si="39"/>
        <v>0</v>
      </c>
      <c r="M285" s="549">
        <f t="shared" si="40"/>
        <v>0</v>
      </c>
      <c r="O285" s="538">
        <f t="shared" si="41"/>
        <v>21622590</v>
      </c>
      <c r="P285" s="550"/>
      <c r="Q285" s="551"/>
    </row>
    <row r="286" spans="1:17" s="253" customFormat="1" ht="20.100000000000001" hidden="1" customHeight="1" x14ac:dyDescent="0.25">
      <c r="A286" s="253" t="str">
        <f t="shared" si="38"/>
        <v/>
      </c>
      <c r="B286" s="609" t="str">
        <f>IF(LEFT(F286,1)="B",VLOOKUP(A286,COPY!$A$2:$AC$1000,4,FALSE),"")</f>
        <v/>
      </c>
      <c r="C286" s="586"/>
      <c r="D286" s="553"/>
      <c r="E286" s="553"/>
      <c r="F286" s="557" t="str">
        <f>IF(LEN(A286)&gt;2,LEFT(VLOOKUP(A286,COPY!$A$2:$AC$1000,29,FALSE),6),"")</f>
        <v/>
      </c>
      <c r="G286" s="558" t="str">
        <f>_xlfn.IFNA(IF(TEXT(F286,0)="Terima","",VLOOKUP(A286,COPY!$A$2:$AC$1000,29,FALSE)),"")</f>
        <v/>
      </c>
      <c r="H286" s="425"/>
      <c r="I286" s="559"/>
      <c r="J286" s="555"/>
      <c r="K286" s="608">
        <f>_xlfn.IFNA(IF(TEXT(F286,0)="Terima",0,VLOOKUP(A286,COPY!$A$2:$AC$1000,26,FALSE)),0)</f>
        <v>0</v>
      </c>
      <c r="L286" s="548">
        <f t="shared" si="39"/>
        <v>0</v>
      </c>
      <c r="M286" s="549">
        <f t="shared" si="40"/>
        <v>0</v>
      </c>
      <c r="O286" s="538">
        <f t="shared" si="41"/>
        <v>21622590</v>
      </c>
      <c r="P286" s="550"/>
      <c r="Q286" s="551"/>
    </row>
    <row r="287" spans="1:17" s="253" customFormat="1" ht="20.100000000000001" hidden="1" customHeight="1" x14ac:dyDescent="0.25">
      <c r="A287" s="253" t="str">
        <f t="shared" si="38"/>
        <v/>
      </c>
      <c r="B287" s="609" t="str">
        <f>IF(LEFT(F287,1)="B",VLOOKUP(A287,COPY!$A$2:$AC$1000,4,FALSE),"")</f>
        <v/>
      </c>
      <c r="C287" s="586"/>
      <c r="D287" s="553"/>
      <c r="E287" s="553"/>
      <c r="F287" s="557" t="str">
        <f>IF(LEN(A287)&gt;2,LEFT(VLOOKUP(A287,COPY!$A$2:$AC$1000,29,FALSE),6),"")</f>
        <v/>
      </c>
      <c r="G287" s="558" t="str">
        <f>_xlfn.IFNA(IF(TEXT(F287,0)="Terima","",VLOOKUP(A287,COPY!$A$2:$AC$1000,29,FALSE)),"")</f>
        <v/>
      </c>
      <c r="H287" s="425"/>
      <c r="I287" s="559"/>
      <c r="J287" s="555"/>
      <c r="K287" s="608">
        <f>_xlfn.IFNA(IF(TEXT(F287,0)="Terima",0,VLOOKUP(A287,COPY!$A$2:$AC$1000,26,FALSE)),0)</f>
        <v>0</v>
      </c>
      <c r="L287" s="548">
        <f t="shared" si="39"/>
        <v>0</v>
      </c>
      <c r="M287" s="549">
        <f t="shared" si="40"/>
        <v>0</v>
      </c>
      <c r="O287" s="538">
        <f t="shared" si="41"/>
        <v>21622590</v>
      </c>
      <c r="P287" s="550"/>
      <c r="Q287" s="551"/>
    </row>
    <row r="288" spans="1:17" s="253" customFormat="1" ht="20.100000000000001" hidden="1" customHeight="1" x14ac:dyDescent="0.25">
      <c r="A288" s="253" t="str">
        <f t="shared" si="38"/>
        <v/>
      </c>
      <c r="B288" s="609" t="str">
        <f>IF(LEFT(F288,1)="B",VLOOKUP(A288,COPY!$A$2:$AC$1000,4,FALSE),"")</f>
        <v/>
      </c>
      <c r="C288" s="586"/>
      <c r="D288" s="553"/>
      <c r="E288" s="553"/>
      <c r="F288" s="557" t="str">
        <f>IF(LEN(A288)&gt;2,LEFT(VLOOKUP(A288,COPY!$A$2:$AC$1000,29,FALSE),6),"")</f>
        <v/>
      </c>
      <c r="G288" s="558" t="str">
        <f>_xlfn.IFNA(IF(TEXT(F288,0)="Terima","",VLOOKUP(A288,COPY!$A$2:$AC$1000,29,FALSE)),"")</f>
        <v/>
      </c>
      <c r="H288" s="425"/>
      <c r="I288" s="559"/>
      <c r="J288" s="555"/>
      <c r="K288" s="608">
        <f>_xlfn.IFNA(IF(TEXT(F288,0)="Terima",0,VLOOKUP(A288,COPY!$A$2:$AC$1000,26,FALSE)),0)</f>
        <v>0</v>
      </c>
      <c r="L288" s="548">
        <f t="shared" si="39"/>
        <v>0</v>
      </c>
      <c r="M288" s="549">
        <f t="shared" si="40"/>
        <v>0</v>
      </c>
      <c r="O288" s="538">
        <f t="shared" si="41"/>
        <v>21622590</v>
      </c>
      <c r="P288" s="550"/>
      <c r="Q288" s="551"/>
    </row>
    <row r="289" spans="1:17" s="253" customFormat="1" ht="20.100000000000001" hidden="1" customHeight="1" x14ac:dyDescent="0.25">
      <c r="A289" s="253" t="str">
        <f t="shared" si="38"/>
        <v/>
      </c>
      <c r="B289" s="609" t="str">
        <f>IF(LEFT(F289,1)="B",VLOOKUP(A289,COPY!$A$2:$AC$1000,4,FALSE),"")</f>
        <v/>
      </c>
      <c r="C289" s="586"/>
      <c r="D289" s="553"/>
      <c r="E289" s="553"/>
      <c r="F289" s="557" t="str">
        <f>IF(LEN(A289)&gt;2,LEFT(VLOOKUP(A289,COPY!$A$2:$AC$1000,29,FALSE),6),"")</f>
        <v/>
      </c>
      <c r="G289" s="558" t="str">
        <f>_xlfn.IFNA(IF(TEXT(F289,0)="Terima","",VLOOKUP(A289,COPY!$A$2:$AC$1000,29,FALSE)),"")</f>
        <v/>
      </c>
      <c r="H289" s="425"/>
      <c r="I289" s="559"/>
      <c r="J289" s="555"/>
      <c r="K289" s="608">
        <f>_xlfn.IFNA(IF(TEXT(F289,0)="Terima",0,VLOOKUP(A289,COPY!$A$2:$AC$1000,26,FALSE)),0)</f>
        <v>0</v>
      </c>
      <c r="L289" s="548">
        <f t="shared" si="39"/>
        <v>0</v>
      </c>
      <c r="M289" s="549">
        <f t="shared" si="40"/>
        <v>0</v>
      </c>
      <c r="O289" s="538">
        <f t="shared" si="41"/>
        <v>21622590</v>
      </c>
      <c r="P289" s="550"/>
      <c r="Q289" s="551"/>
    </row>
    <row r="290" spans="1:17" s="253" customFormat="1" ht="20.100000000000001" hidden="1" customHeight="1" x14ac:dyDescent="0.25">
      <c r="A290" s="253" t="str">
        <f t="shared" si="38"/>
        <v/>
      </c>
      <c r="B290" s="609" t="str">
        <f>IF(LEFT(F290,1)="B",VLOOKUP(A290,COPY!$A$2:$AC$1000,4,FALSE),"")</f>
        <v/>
      </c>
      <c r="C290" s="586"/>
      <c r="D290" s="553"/>
      <c r="E290" s="553"/>
      <c r="F290" s="557" t="str">
        <f>IF(LEN(A290)&gt;2,LEFT(VLOOKUP(A290,COPY!$A$2:$AC$1000,29,FALSE),6),"")</f>
        <v/>
      </c>
      <c r="G290" s="558" t="str">
        <f>_xlfn.IFNA(IF(TEXT(F290,0)="Terima","",VLOOKUP(A290,COPY!$A$2:$AC$1000,29,FALSE)),"")</f>
        <v/>
      </c>
      <c r="H290" s="425"/>
      <c r="I290" s="559"/>
      <c r="J290" s="555"/>
      <c r="K290" s="608">
        <f>_xlfn.IFNA(IF(TEXT(F290,0)="Terima",0,VLOOKUP(A290,COPY!$A$2:$AC$1000,26,FALSE)),0)</f>
        <v>0</v>
      </c>
      <c r="L290" s="548">
        <f t="shared" si="39"/>
        <v>0</v>
      </c>
      <c r="M290" s="549">
        <f t="shared" si="40"/>
        <v>0</v>
      </c>
      <c r="O290" s="538">
        <f t="shared" si="41"/>
        <v>21622590</v>
      </c>
      <c r="P290" s="550"/>
      <c r="Q290" s="551"/>
    </row>
    <row r="291" spans="1:17" s="253" customFormat="1" ht="20.100000000000001" hidden="1" customHeight="1" x14ac:dyDescent="0.25">
      <c r="A291" s="253" t="str">
        <f t="shared" si="38"/>
        <v/>
      </c>
      <c r="B291" s="609" t="str">
        <f>IF(LEFT(F291,1)="B",VLOOKUP(A291,COPY!$A$2:$AC$1000,4,FALSE),"")</f>
        <v/>
      </c>
      <c r="C291" s="586"/>
      <c r="D291" s="553"/>
      <c r="E291" s="553"/>
      <c r="F291" s="557" t="str">
        <f>IF(LEN(A291)&gt;2,LEFT(VLOOKUP(A291,COPY!$A$2:$AC$1000,29,FALSE),6),"")</f>
        <v/>
      </c>
      <c r="G291" s="558" t="str">
        <f>_xlfn.IFNA(IF(TEXT(F291,0)="Terima","",VLOOKUP(A291,COPY!$A$2:$AC$1000,29,FALSE)),"")</f>
        <v/>
      </c>
      <c r="H291" s="425"/>
      <c r="I291" s="559"/>
      <c r="J291" s="555"/>
      <c r="K291" s="608">
        <f>_xlfn.IFNA(IF(TEXT(F291,0)="Terima",0,VLOOKUP(A291,COPY!$A$2:$AC$1000,26,FALSE)),0)</f>
        <v>0</v>
      </c>
      <c r="L291" s="548">
        <f t="shared" si="39"/>
        <v>0</v>
      </c>
      <c r="M291" s="549">
        <f t="shared" si="40"/>
        <v>0</v>
      </c>
      <c r="O291" s="538">
        <f t="shared" si="41"/>
        <v>21622590</v>
      </c>
      <c r="P291" s="550"/>
      <c r="Q291" s="551"/>
    </row>
    <row r="292" spans="1:17" s="253" customFormat="1" ht="20.100000000000001" hidden="1" customHeight="1" x14ac:dyDescent="0.25">
      <c r="A292" s="253" t="str">
        <f t="shared" si="38"/>
        <v/>
      </c>
      <c r="B292" s="609" t="str">
        <f>IF(LEFT(F292,1)="B",VLOOKUP(A292,COPY!$A$2:$AC$1000,4,FALSE),"")</f>
        <v/>
      </c>
      <c r="C292" s="586"/>
      <c r="D292" s="553"/>
      <c r="E292" s="553"/>
      <c r="F292" s="557" t="str">
        <f>IF(LEN(A292)&gt;2,LEFT(VLOOKUP(A292,COPY!$A$2:$AC$1000,29,FALSE),6),"")</f>
        <v/>
      </c>
      <c r="G292" s="558" t="str">
        <f>_xlfn.IFNA(IF(TEXT(F292,0)="Terima","",VLOOKUP(A292,COPY!$A$2:$AC$1000,29,FALSE)),"")</f>
        <v/>
      </c>
      <c r="H292" s="425"/>
      <c r="I292" s="559"/>
      <c r="J292" s="555"/>
      <c r="K292" s="608">
        <f>_xlfn.IFNA(IF(TEXT(F292,0)="Terima",0,VLOOKUP(A292,COPY!$A$2:$AC$1000,26,FALSE)),0)</f>
        <v>0</v>
      </c>
      <c r="L292" s="548">
        <f t="shared" si="39"/>
        <v>0</v>
      </c>
      <c r="M292" s="549">
        <f t="shared" si="40"/>
        <v>0</v>
      </c>
      <c r="O292" s="538">
        <f t="shared" si="41"/>
        <v>21622590</v>
      </c>
      <c r="P292" s="550"/>
      <c r="Q292" s="551"/>
    </row>
    <row r="293" spans="1:17" s="253" customFormat="1" ht="20.100000000000001" hidden="1" customHeight="1" x14ac:dyDescent="0.25">
      <c r="A293" s="253" t="str">
        <f t="shared" si="38"/>
        <v/>
      </c>
      <c r="B293" s="609" t="str">
        <f>IF(LEFT(F293,1)="B",VLOOKUP(A293,COPY!$A$2:$AC$1000,4,FALSE),"")</f>
        <v/>
      </c>
      <c r="C293" s="586"/>
      <c r="D293" s="553"/>
      <c r="E293" s="553"/>
      <c r="F293" s="557" t="str">
        <f>IF(LEN(A293)&gt;2,LEFT(VLOOKUP(A293,COPY!$A$2:$AC$1000,29,FALSE),6),"")</f>
        <v/>
      </c>
      <c r="G293" s="558" t="str">
        <f>_xlfn.IFNA(IF(TEXT(F293,0)="Terima","",VLOOKUP(A293,COPY!$A$2:$AC$1000,29,FALSE)),"")</f>
        <v/>
      </c>
      <c r="H293" s="425"/>
      <c r="I293" s="559"/>
      <c r="J293" s="555"/>
      <c r="K293" s="608">
        <f>_xlfn.IFNA(IF(TEXT(F293,0)="Terima",0,VLOOKUP(A293,COPY!$A$2:$AC$1000,26,FALSE)),0)</f>
        <v>0</v>
      </c>
      <c r="L293" s="548">
        <f t="shared" si="39"/>
        <v>0</v>
      </c>
      <c r="M293" s="549">
        <f t="shared" si="40"/>
        <v>0</v>
      </c>
      <c r="O293" s="538">
        <f t="shared" si="41"/>
        <v>21622590</v>
      </c>
      <c r="P293" s="550"/>
      <c r="Q293" s="551"/>
    </row>
    <row r="294" spans="1:17" s="253" customFormat="1" ht="20.100000000000001" hidden="1" customHeight="1" x14ac:dyDescent="0.25">
      <c r="A294" s="253" t="str">
        <f t="shared" si="38"/>
        <v/>
      </c>
      <c r="B294" s="609" t="str">
        <f>IF(LEFT(F294,1)="B",VLOOKUP(A294,COPY!$A$2:$AC$1000,4,FALSE),"")</f>
        <v/>
      </c>
      <c r="C294" s="586"/>
      <c r="D294" s="553"/>
      <c r="E294" s="553"/>
      <c r="F294" s="557" t="str">
        <f>IF(LEN(A294)&gt;2,LEFT(VLOOKUP(A294,COPY!$A$2:$AC$1000,29,FALSE),6),"")</f>
        <v/>
      </c>
      <c r="G294" s="558" t="str">
        <f>_xlfn.IFNA(IF(TEXT(F294,0)="Terima","",VLOOKUP(A294,COPY!$A$2:$AC$1000,29,FALSE)),"")</f>
        <v/>
      </c>
      <c r="H294" s="425"/>
      <c r="I294" s="559"/>
      <c r="J294" s="555"/>
      <c r="K294" s="608">
        <f>_xlfn.IFNA(IF(TEXT(F294,0)="Terima",0,VLOOKUP(A294,COPY!$A$2:$AC$1000,26,FALSE)),0)</f>
        <v>0</v>
      </c>
      <c r="L294" s="548">
        <f t="shared" si="39"/>
        <v>0</v>
      </c>
      <c r="M294" s="549">
        <f t="shared" si="40"/>
        <v>0</v>
      </c>
      <c r="O294" s="538">
        <f t="shared" si="41"/>
        <v>21622590</v>
      </c>
      <c r="P294" s="550"/>
      <c r="Q294" s="551"/>
    </row>
    <row r="295" spans="1:17" s="253" customFormat="1" ht="20.100000000000001" hidden="1" customHeight="1" x14ac:dyDescent="0.25">
      <c r="A295" s="253" t="str">
        <f t="shared" si="38"/>
        <v/>
      </c>
      <c r="B295" s="609" t="str">
        <f>IF(LEFT(F295,1)="B",VLOOKUP(A295,COPY!$A$2:$AC$1000,4,FALSE),"")</f>
        <v/>
      </c>
      <c r="C295" s="586"/>
      <c r="D295" s="553"/>
      <c r="E295" s="553"/>
      <c r="F295" s="557" t="str">
        <f>IF(LEN(A295)&gt;2,LEFT(VLOOKUP(A295,COPY!$A$2:$AC$1000,29,FALSE),6),"")</f>
        <v/>
      </c>
      <c r="G295" s="558" t="str">
        <f>_xlfn.IFNA(IF(TEXT(F295,0)="Terima","",VLOOKUP(A295,COPY!$A$2:$AC$1000,29,FALSE)),"")</f>
        <v/>
      </c>
      <c r="H295" s="425"/>
      <c r="I295" s="559"/>
      <c r="J295" s="555"/>
      <c r="K295" s="608">
        <f>_xlfn.IFNA(IF(TEXT(F295,0)="Terima",0,VLOOKUP(A295,COPY!$A$2:$AC$1000,26,FALSE)),0)</f>
        <v>0</v>
      </c>
      <c r="L295" s="548">
        <f t="shared" si="39"/>
        <v>0</v>
      </c>
      <c r="M295" s="549">
        <f t="shared" si="40"/>
        <v>0</v>
      </c>
      <c r="O295" s="538">
        <f t="shared" si="41"/>
        <v>21622590</v>
      </c>
      <c r="P295" s="550"/>
      <c r="Q295" s="551"/>
    </row>
    <row r="296" spans="1:17" s="253" customFormat="1" ht="20.100000000000001" hidden="1" customHeight="1" x14ac:dyDescent="0.25">
      <c r="A296" s="253" t="str">
        <f t="shared" si="38"/>
        <v/>
      </c>
      <c r="B296" s="609" t="str">
        <f>IF(LEFT(F296,1)="B",VLOOKUP(A296,COPY!$A$2:$AC$1000,4,FALSE),"")</f>
        <v/>
      </c>
      <c r="C296" s="586"/>
      <c r="D296" s="553"/>
      <c r="E296" s="553"/>
      <c r="F296" s="557" t="str">
        <f>IF(LEN(A296)&gt;2,LEFT(VLOOKUP(A296,COPY!$A$2:$AC$1000,29,FALSE),6),"")</f>
        <v/>
      </c>
      <c r="G296" s="558" t="str">
        <f>_xlfn.IFNA(IF(TEXT(F296,0)="Terima","",VLOOKUP(A296,COPY!$A$2:$AC$1000,29,FALSE)),"")</f>
        <v/>
      </c>
      <c r="H296" s="425"/>
      <c r="I296" s="559"/>
      <c r="J296" s="555"/>
      <c r="K296" s="608">
        <f>_xlfn.IFNA(IF(TEXT(F296,0)="Terima",0,VLOOKUP(A296,COPY!$A$2:$AC$1000,26,FALSE)),0)</f>
        <v>0</v>
      </c>
      <c r="L296" s="548">
        <f t="shared" si="39"/>
        <v>0</v>
      </c>
      <c r="M296" s="549">
        <f t="shared" si="40"/>
        <v>0</v>
      </c>
      <c r="O296" s="538">
        <f t="shared" si="41"/>
        <v>21622590</v>
      </c>
      <c r="P296" s="550"/>
      <c r="Q296" s="551"/>
    </row>
    <row r="297" spans="1:17" s="253" customFormat="1" ht="20.100000000000001" hidden="1" customHeight="1" x14ac:dyDescent="0.25">
      <c r="A297" s="253" t="str">
        <f t="shared" si="38"/>
        <v/>
      </c>
      <c r="B297" s="609" t="str">
        <f>IF(LEFT(F297,1)="B",VLOOKUP(A297,COPY!$A$2:$AC$1000,4,FALSE),"")</f>
        <v/>
      </c>
      <c r="C297" s="586"/>
      <c r="D297" s="553"/>
      <c r="E297" s="553"/>
      <c r="F297" s="557" t="str">
        <f>IF(LEN(A297)&gt;2,LEFT(VLOOKUP(A297,COPY!$A$2:$AC$1000,29,FALSE),6),"")</f>
        <v/>
      </c>
      <c r="G297" s="558" t="str">
        <f>_xlfn.IFNA(IF(TEXT(F297,0)="Terima","",VLOOKUP(A297,COPY!$A$2:$AC$1000,29,FALSE)),"")</f>
        <v/>
      </c>
      <c r="H297" s="425"/>
      <c r="I297" s="559"/>
      <c r="J297" s="555"/>
      <c r="K297" s="608">
        <f>_xlfn.IFNA(IF(TEXT(F297,0)="Terima",0,VLOOKUP(A297,COPY!$A$2:$AC$1000,26,FALSE)),0)</f>
        <v>0</v>
      </c>
      <c r="L297" s="548">
        <f t="shared" si="39"/>
        <v>0</v>
      </c>
      <c r="M297" s="549">
        <f t="shared" si="40"/>
        <v>0</v>
      </c>
      <c r="O297" s="538">
        <f t="shared" si="41"/>
        <v>21622590</v>
      </c>
      <c r="P297" s="550"/>
      <c r="Q297" s="551"/>
    </row>
    <row r="298" spans="1:17" s="253" customFormat="1" ht="20.100000000000001" hidden="1" customHeight="1" x14ac:dyDescent="0.25">
      <c r="A298" s="253" t="str">
        <f t="shared" si="38"/>
        <v/>
      </c>
      <c r="B298" s="609" t="str">
        <f>IF(LEFT(F298,1)="B",VLOOKUP(A298,COPY!$A$2:$AC$1000,4,FALSE),"")</f>
        <v/>
      </c>
      <c r="C298" s="586"/>
      <c r="D298" s="553"/>
      <c r="E298" s="553"/>
      <c r="F298" s="557" t="str">
        <f>IF(LEN(A298)&gt;2,LEFT(VLOOKUP(A298,COPY!$A$2:$AC$1000,29,FALSE),6),"")</f>
        <v/>
      </c>
      <c r="G298" s="558" t="str">
        <f>_xlfn.IFNA(IF(TEXT(F298,0)="Terima","",VLOOKUP(A298,COPY!$A$2:$AC$1000,29,FALSE)),"")</f>
        <v/>
      </c>
      <c r="H298" s="425"/>
      <c r="I298" s="559"/>
      <c r="J298" s="555"/>
      <c r="K298" s="608">
        <f>_xlfn.IFNA(IF(TEXT(F298,0)="Terima",0,VLOOKUP(A298,COPY!$A$2:$AC$1000,26,FALSE)),0)</f>
        <v>0</v>
      </c>
      <c r="L298" s="548">
        <f t="shared" si="39"/>
        <v>0</v>
      </c>
      <c r="M298" s="549">
        <f t="shared" si="40"/>
        <v>0</v>
      </c>
      <c r="O298" s="538">
        <f t="shared" si="41"/>
        <v>21622590</v>
      </c>
      <c r="P298" s="550"/>
      <c r="Q298" s="551"/>
    </row>
    <row r="299" spans="1:17" s="253" customFormat="1" ht="20.100000000000001" hidden="1" customHeight="1" x14ac:dyDescent="0.25">
      <c r="A299" s="253" t="str">
        <f t="shared" ref="A299:A322" si="42">A144</f>
        <v/>
      </c>
      <c r="B299" s="609" t="str">
        <f>IF(LEFT(F299,1)="B",VLOOKUP(A299,COPY!$A$2:$AC$1000,4,FALSE),"")</f>
        <v/>
      </c>
      <c r="C299" s="586"/>
      <c r="D299" s="553"/>
      <c r="E299" s="553"/>
      <c r="F299" s="557" t="str">
        <f>IF(LEN(A299)&gt;2,LEFT(VLOOKUP(A299,COPY!$A$2:$AC$1000,29,FALSE),6),"")</f>
        <v/>
      </c>
      <c r="G299" s="558" t="str">
        <f>_xlfn.IFNA(IF(TEXT(F299,0)="Terima","",VLOOKUP(A299,COPY!$A$2:$AC$1000,29,FALSE)),"")</f>
        <v/>
      </c>
      <c r="H299" s="425"/>
      <c r="I299" s="559"/>
      <c r="J299" s="555"/>
      <c r="K299" s="608">
        <f>_xlfn.IFNA(IF(TEXT(F299,0)="Terima",0,VLOOKUP(A299,COPY!$A$2:$AC$1000,26,FALSE)),0)</f>
        <v>0</v>
      </c>
      <c r="L299" s="548">
        <f t="shared" si="39"/>
        <v>0</v>
      </c>
      <c r="M299" s="549">
        <f t="shared" si="40"/>
        <v>0</v>
      </c>
      <c r="O299" s="538">
        <f t="shared" si="41"/>
        <v>21622590</v>
      </c>
      <c r="P299" s="550"/>
      <c r="Q299" s="551"/>
    </row>
    <row r="300" spans="1:17" s="253" customFormat="1" ht="20.100000000000001" hidden="1" customHeight="1" x14ac:dyDescent="0.25">
      <c r="A300" s="253" t="str">
        <f t="shared" si="42"/>
        <v/>
      </c>
      <c r="B300" s="609" t="str">
        <f>IF(LEFT(F300,1)="B",VLOOKUP(A300,COPY!$A$2:$AC$1000,4,FALSE),"")</f>
        <v/>
      </c>
      <c r="C300" s="586"/>
      <c r="D300" s="553"/>
      <c r="E300" s="553"/>
      <c r="F300" s="557" t="str">
        <f>IF(LEN(A300)&gt;2,LEFT(VLOOKUP(A300,COPY!$A$2:$AC$1000,29,FALSE),6),"")</f>
        <v/>
      </c>
      <c r="G300" s="558" t="str">
        <f>_xlfn.IFNA(IF(TEXT(F300,0)="Terima","",VLOOKUP(A300,COPY!$A$2:$AC$1000,29,FALSE)),"")</f>
        <v/>
      </c>
      <c r="H300" s="425"/>
      <c r="I300" s="559"/>
      <c r="J300" s="555"/>
      <c r="K300" s="608">
        <f>_xlfn.IFNA(IF(TEXT(F300,0)="Terima",0,VLOOKUP(A300,COPY!$A$2:$AC$1000,26,FALSE)),0)</f>
        <v>0</v>
      </c>
      <c r="L300" s="548">
        <f t="shared" si="39"/>
        <v>0</v>
      </c>
      <c r="M300" s="549">
        <f t="shared" si="40"/>
        <v>0</v>
      </c>
      <c r="O300" s="538">
        <f t="shared" si="41"/>
        <v>21622590</v>
      </c>
      <c r="P300" s="550"/>
      <c r="Q300" s="551"/>
    </row>
    <row r="301" spans="1:17" s="253" customFormat="1" ht="20.100000000000001" hidden="1" customHeight="1" x14ac:dyDescent="0.25">
      <c r="A301" s="253" t="str">
        <f t="shared" si="42"/>
        <v/>
      </c>
      <c r="B301" s="609" t="str">
        <f>IF(LEFT(F301,1)="B",VLOOKUP(A301,COPY!$A$2:$AC$1000,4,FALSE),"")</f>
        <v/>
      </c>
      <c r="C301" s="586"/>
      <c r="D301" s="553"/>
      <c r="E301" s="553"/>
      <c r="F301" s="557" t="str">
        <f>IF(LEN(A301)&gt;2,LEFT(VLOOKUP(A301,COPY!$A$2:$AC$1000,29,FALSE),6),"")</f>
        <v/>
      </c>
      <c r="G301" s="558" t="str">
        <f>_xlfn.IFNA(IF(TEXT(F301,0)="Terima","",VLOOKUP(A301,COPY!$A$2:$AC$1000,29,FALSE)),"")</f>
        <v/>
      </c>
      <c r="H301" s="425"/>
      <c r="I301" s="559"/>
      <c r="J301" s="555"/>
      <c r="K301" s="608">
        <f>_xlfn.IFNA(IF(TEXT(F301,0)="Terima",0,VLOOKUP(A301,COPY!$A$2:$AC$1000,26,FALSE)),0)</f>
        <v>0</v>
      </c>
      <c r="L301" s="548">
        <f t="shared" si="39"/>
        <v>0</v>
      </c>
      <c r="M301" s="549">
        <f t="shared" si="40"/>
        <v>0</v>
      </c>
      <c r="O301" s="538">
        <f t="shared" si="41"/>
        <v>21622590</v>
      </c>
      <c r="P301" s="550"/>
      <c r="Q301" s="551"/>
    </row>
    <row r="302" spans="1:17" s="253" customFormat="1" ht="20.100000000000001" hidden="1" customHeight="1" x14ac:dyDescent="0.25">
      <c r="A302" s="253" t="str">
        <f t="shared" si="42"/>
        <v/>
      </c>
      <c r="B302" s="609" t="str">
        <f>IF(LEFT(F302,1)="B",VLOOKUP(A302,COPY!$A$2:$AC$1000,4,FALSE),"")</f>
        <v/>
      </c>
      <c r="C302" s="586"/>
      <c r="D302" s="553"/>
      <c r="E302" s="553"/>
      <c r="F302" s="557" t="str">
        <f>IF(LEN(A302)&gt;2,LEFT(VLOOKUP(A302,COPY!$A$2:$AC$1000,29,FALSE),6),"")</f>
        <v/>
      </c>
      <c r="G302" s="558" t="str">
        <f>_xlfn.IFNA(IF(TEXT(F302,0)="Terima","",VLOOKUP(A302,COPY!$A$2:$AC$1000,29,FALSE)),"")</f>
        <v/>
      </c>
      <c r="H302" s="425"/>
      <c r="I302" s="559"/>
      <c r="J302" s="555"/>
      <c r="K302" s="608">
        <f>_xlfn.IFNA(IF(TEXT(F302,0)="Terima",0,VLOOKUP(A302,COPY!$A$2:$AC$1000,26,FALSE)),0)</f>
        <v>0</v>
      </c>
      <c r="L302" s="548">
        <f t="shared" si="39"/>
        <v>0</v>
      </c>
      <c r="M302" s="549">
        <f t="shared" si="40"/>
        <v>0</v>
      </c>
      <c r="O302" s="538">
        <f t="shared" si="41"/>
        <v>21622590</v>
      </c>
      <c r="P302" s="550"/>
      <c r="Q302" s="551"/>
    </row>
    <row r="303" spans="1:17" s="253" customFormat="1" ht="20.100000000000001" hidden="1" customHeight="1" x14ac:dyDescent="0.25">
      <c r="A303" s="253" t="str">
        <f t="shared" si="42"/>
        <v/>
      </c>
      <c r="B303" s="609" t="str">
        <f>IF(LEFT(F303,1)="B",VLOOKUP(A303,COPY!$A$2:$AC$1000,4,FALSE),"")</f>
        <v/>
      </c>
      <c r="C303" s="586"/>
      <c r="D303" s="553"/>
      <c r="E303" s="553"/>
      <c r="F303" s="557" t="str">
        <f>IF(LEN(A303)&gt;2,LEFT(VLOOKUP(A303,COPY!$A$2:$AC$1000,29,FALSE),6),"")</f>
        <v/>
      </c>
      <c r="G303" s="558" t="str">
        <f>_xlfn.IFNA(IF(TEXT(F303,0)="Terima","",VLOOKUP(A303,COPY!$A$2:$AC$1000,29,FALSE)),"")</f>
        <v/>
      </c>
      <c r="H303" s="425"/>
      <c r="I303" s="559"/>
      <c r="J303" s="555"/>
      <c r="K303" s="608">
        <f>_xlfn.IFNA(IF(TEXT(F303,0)="Terima",0,VLOOKUP(A303,COPY!$A$2:$AC$1000,26,FALSE)),0)</f>
        <v>0</v>
      </c>
      <c r="L303" s="548">
        <f t="shared" si="39"/>
        <v>0</v>
      </c>
      <c r="M303" s="549">
        <f t="shared" si="40"/>
        <v>0</v>
      </c>
      <c r="O303" s="538">
        <f t="shared" si="41"/>
        <v>21622590</v>
      </c>
      <c r="P303" s="550"/>
      <c r="Q303" s="551"/>
    </row>
    <row r="304" spans="1:17" s="253" customFormat="1" ht="20.100000000000001" hidden="1" customHeight="1" x14ac:dyDescent="0.25">
      <c r="A304" s="253" t="str">
        <f t="shared" si="42"/>
        <v/>
      </c>
      <c r="B304" s="609" t="str">
        <f>IF(LEFT(F304,1)="B",VLOOKUP(A304,COPY!$A$2:$AC$1000,4,FALSE),"")</f>
        <v/>
      </c>
      <c r="C304" s="586"/>
      <c r="D304" s="553"/>
      <c r="E304" s="553"/>
      <c r="F304" s="557" t="str">
        <f>IF(LEN(A304)&gt;2,LEFT(VLOOKUP(A304,COPY!$A$2:$AC$1000,29,FALSE),6),"")</f>
        <v/>
      </c>
      <c r="G304" s="558" t="str">
        <f>_xlfn.IFNA(IF(TEXT(F304,0)="Terima","",VLOOKUP(A304,COPY!$A$2:$AC$1000,29,FALSE)),"")</f>
        <v/>
      </c>
      <c r="H304" s="425"/>
      <c r="I304" s="559"/>
      <c r="J304" s="555"/>
      <c r="K304" s="608">
        <f>_xlfn.IFNA(IF(TEXT(F304,0)="Terima",0,VLOOKUP(A304,COPY!$A$2:$AC$1000,26,FALSE)),0)</f>
        <v>0</v>
      </c>
      <c r="L304" s="548">
        <f t="shared" si="39"/>
        <v>0</v>
      </c>
      <c r="M304" s="549">
        <f t="shared" si="40"/>
        <v>0</v>
      </c>
      <c r="O304" s="538">
        <f t="shared" si="41"/>
        <v>21622590</v>
      </c>
      <c r="P304" s="550"/>
      <c r="Q304" s="551"/>
    </row>
    <row r="305" spans="1:17" s="253" customFormat="1" ht="20.100000000000001" hidden="1" customHeight="1" x14ac:dyDescent="0.25">
      <c r="A305" s="253" t="str">
        <f t="shared" si="42"/>
        <v/>
      </c>
      <c r="B305" s="609" t="str">
        <f>IF(LEFT(F305,1)="B",VLOOKUP(A305,COPY!$A$2:$AC$1000,4,FALSE),"")</f>
        <v/>
      </c>
      <c r="C305" s="586"/>
      <c r="D305" s="553"/>
      <c r="E305" s="553"/>
      <c r="F305" s="557" t="str">
        <f>IF(LEN(A305)&gt;2,LEFT(VLOOKUP(A305,COPY!$A$2:$AC$1000,29,FALSE),6),"")</f>
        <v/>
      </c>
      <c r="G305" s="558" t="str">
        <f>_xlfn.IFNA(IF(TEXT(F305,0)="Terima","",VLOOKUP(A305,COPY!$A$2:$AC$1000,29,FALSE)),"")</f>
        <v/>
      </c>
      <c r="H305" s="425"/>
      <c r="I305" s="559"/>
      <c r="J305" s="555"/>
      <c r="K305" s="608">
        <f>_xlfn.IFNA(IF(TEXT(F305,0)="Terima",0,VLOOKUP(A305,COPY!$A$2:$AC$1000,26,FALSE)),0)</f>
        <v>0</v>
      </c>
      <c r="L305" s="548">
        <f t="shared" si="39"/>
        <v>0</v>
      </c>
      <c r="M305" s="549">
        <f t="shared" si="40"/>
        <v>0</v>
      </c>
      <c r="O305" s="538">
        <f t="shared" si="41"/>
        <v>21622590</v>
      </c>
      <c r="P305" s="550"/>
      <c r="Q305" s="551"/>
    </row>
    <row r="306" spans="1:17" s="253" customFormat="1" ht="20.100000000000001" hidden="1" customHeight="1" x14ac:dyDescent="0.25">
      <c r="A306" s="253" t="str">
        <f t="shared" si="42"/>
        <v/>
      </c>
      <c r="B306" s="609" t="str">
        <f>IF(LEFT(F306,1)="B",VLOOKUP(A306,COPY!$A$2:$AC$1000,4,FALSE),"")</f>
        <v/>
      </c>
      <c r="C306" s="586"/>
      <c r="D306" s="553"/>
      <c r="E306" s="553"/>
      <c r="F306" s="557" t="str">
        <f>IF(LEN(A306)&gt;2,LEFT(VLOOKUP(A306,COPY!$A$2:$AC$1000,29,FALSE),6),"")</f>
        <v/>
      </c>
      <c r="G306" s="558" t="str">
        <f>_xlfn.IFNA(IF(TEXT(F306,0)="Terima","",VLOOKUP(A306,COPY!$A$2:$AC$1000,29,FALSE)),"")</f>
        <v/>
      </c>
      <c r="H306" s="425"/>
      <c r="I306" s="559"/>
      <c r="J306" s="555"/>
      <c r="K306" s="608">
        <f>_xlfn.IFNA(IF(TEXT(F306,0)="Terima",0,VLOOKUP(A306,COPY!$A$2:$AC$1000,26,FALSE)),0)</f>
        <v>0</v>
      </c>
      <c r="L306" s="548">
        <f t="shared" si="39"/>
        <v>0</v>
      </c>
      <c r="M306" s="549">
        <f t="shared" si="40"/>
        <v>0</v>
      </c>
      <c r="O306" s="538">
        <f t="shared" si="41"/>
        <v>21622590</v>
      </c>
      <c r="P306" s="550"/>
      <c r="Q306" s="551"/>
    </row>
    <row r="307" spans="1:17" s="253" customFormat="1" ht="20.100000000000001" hidden="1" customHeight="1" x14ac:dyDescent="0.25">
      <c r="A307" s="253" t="str">
        <f t="shared" si="42"/>
        <v/>
      </c>
      <c r="B307" s="609" t="str">
        <f>IF(LEFT(F307,1)="B",VLOOKUP(A307,COPY!$A$2:$AC$1000,4,FALSE),"")</f>
        <v/>
      </c>
      <c r="C307" s="586"/>
      <c r="D307" s="553"/>
      <c r="E307" s="553"/>
      <c r="F307" s="557" t="str">
        <f>IF(LEN(A307)&gt;2,LEFT(VLOOKUP(A307,COPY!$A$2:$AC$1000,29,FALSE),6),"")</f>
        <v/>
      </c>
      <c r="G307" s="558" t="str">
        <f>_xlfn.IFNA(IF(TEXT(F307,0)="Terima","",VLOOKUP(A307,COPY!$A$2:$AC$1000,29,FALSE)),"")</f>
        <v/>
      </c>
      <c r="H307" s="425"/>
      <c r="I307" s="559"/>
      <c r="J307" s="555"/>
      <c r="K307" s="608">
        <f>_xlfn.IFNA(IF(TEXT(F307,0)="Terima",0,VLOOKUP(A307,COPY!$A$2:$AC$1000,26,FALSE)),0)</f>
        <v>0</v>
      </c>
      <c r="L307" s="548">
        <f t="shared" si="39"/>
        <v>0</v>
      </c>
      <c r="M307" s="549">
        <f t="shared" si="40"/>
        <v>0</v>
      </c>
      <c r="O307" s="538">
        <f t="shared" si="41"/>
        <v>21622590</v>
      </c>
      <c r="P307" s="550"/>
      <c r="Q307" s="551"/>
    </row>
    <row r="308" spans="1:17" s="253" customFormat="1" ht="20.100000000000001" hidden="1" customHeight="1" x14ac:dyDescent="0.25">
      <c r="A308" s="253" t="str">
        <f t="shared" si="42"/>
        <v/>
      </c>
      <c r="B308" s="609" t="str">
        <f>IF(LEFT(F308,1)="B",VLOOKUP(A308,COPY!$A$2:$AC$1000,4,FALSE),"")</f>
        <v/>
      </c>
      <c r="C308" s="586"/>
      <c r="D308" s="553"/>
      <c r="E308" s="553"/>
      <c r="F308" s="557" t="str">
        <f>IF(LEN(A308)&gt;2,LEFT(VLOOKUP(A308,COPY!$A$2:$AC$1000,29,FALSE),6),"")</f>
        <v/>
      </c>
      <c r="G308" s="558" t="str">
        <f>_xlfn.IFNA(IF(TEXT(F308,0)="Terima","",VLOOKUP(A308,COPY!$A$2:$AC$1000,29,FALSE)),"")</f>
        <v/>
      </c>
      <c r="H308" s="425"/>
      <c r="I308" s="559"/>
      <c r="J308" s="555"/>
      <c r="K308" s="608">
        <f>_xlfn.IFNA(IF(TEXT(F308,0)="Terima",0,VLOOKUP(A308,COPY!$A$2:$AC$1000,26,FALSE)),0)</f>
        <v>0</v>
      </c>
      <c r="L308" s="548">
        <f t="shared" si="39"/>
        <v>0</v>
      </c>
      <c r="M308" s="549">
        <f t="shared" si="40"/>
        <v>0</v>
      </c>
      <c r="O308" s="538">
        <f t="shared" si="41"/>
        <v>21622590</v>
      </c>
      <c r="P308" s="550"/>
      <c r="Q308" s="551"/>
    </row>
    <row r="309" spans="1:17" s="253" customFormat="1" ht="20.100000000000001" hidden="1" customHeight="1" x14ac:dyDescent="0.25">
      <c r="A309" s="253" t="str">
        <f t="shared" si="42"/>
        <v/>
      </c>
      <c r="B309" s="609" t="str">
        <f>IF(LEFT(F309,1)="B",VLOOKUP(A309,COPY!$A$2:$AC$1000,4,FALSE),"")</f>
        <v/>
      </c>
      <c r="C309" s="586"/>
      <c r="D309" s="553"/>
      <c r="E309" s="553"/>
      <c r="F309" s="557" t="str">
        <f>IF(LEN(A309)&gt;2,LEFT(VLOOKUP(A309,COPY!$A$2:$AC$1000,29,FALSE),6),"")</f>
        <v/>
      </c>
      <c r="G309" s="558" t="str">
        <f>_xlfn.IFNA(IF(TEXT(F309,0)="Terima","",VLOOKUP(A309,COPY!$A$2:$AC$1000,29,FALSE)),"")</f>
        <v/>
      </c>
      <c r="H309" s="425"/>
      <c r="I309" s="559"/>
      <c r="J309" s="555"/>
      <c r="K309" s="608">
        <f>_xlfn.IFNA(IF(TEXT(F309,0)="Terima",0,VLOOKUP(A309,COPY!$A$2:$AC$1000,26,FALSE)),0)</f>
        <v>0</v>
      </c>
      <c r="L309" s="548">
        <f t="shared" si="39"/>
        <v>0</v>
      </c>
      <c r="M309" s="549">
        <f t="shared" si="40"/>
        <v>0</v>
      </c>
      <c r="O309" s="538">
        <f t="shared" si="41"/>
        <v>21622590</v>
      </c>
      <c r="P309" s="550"/>
      <c r="Q309" s="551"/>
    </row>
    <row r="310" spans="1:17" s="253" customFormat="1" ht="20.100000000000001" hidden="1" customHeight="1" x14ac:dyDescent="0.25">
      <c r="A310" s="253" t="str">
        <f t="shared" si="42"/>
        <v/>
      </c>
      <c r="B310" s="609" t="str">
        <f>IF(LEFT(F310,1)="B",VLOOKUP(A310,COPY!$A$2:$AC$1000,4,FALSE),"")</f>
        <v/>
      </c>
      <c r="C310" s="586"/>
      <c r="D310" s="553"/>
      <c r="E310" s="553"/>
      <c r="F310" s="557" t="str">
        <f>IF(LEN(A310)&gt;2,LEFT(VLOOKUP(A310,COPY!$A$2:$AC$1000,29,FALSE),6),"")</f>
        <v/>
      </c>
      <c r="G310" s="558" t="str">
        <f>_xlfn.IFNA(IF(TEXT(F310,0)="Terima","",VLOOKUP(A310,COPY!$A$2:$AC$1000,29,FALSE)),"")</f>
        <v/>
      </c>
      <c r="H310" s="425"/>
      <c r="I310" s="559"/>
      <c r="J310" s="555"/>
      <c r="K310" s="608">
        <f>_xlfn.IFNA(IF(TEXT(F310,0)="Terima",0,VLOOKUP(A310,COPY!$A$2:$AC$1000,26,FALSE)),0)</f>
        <v>0</v>
      </c>
      <c r="L310" s="548">
        <f t="shared" si="39"/>
        <v>0</v>
      </c>
      <c r="M310" s="549">
        <f t="shared" si="40"/>
        <v>0</v>
      </c>
      <c r="O310" s="538">
        <f t="shared" si="41"/>
        <v>21622590</v>
      </c>
      <c r="P310" s="550"/>
      <c r="Q310" s="551"/>
    </row>
    <row r="311" spans="1:17" s="253" customFormat="1" ht="20.100000000000001" hidden="1" customHeight="1" x14ac:dyDescent="0.25">
      <c r="A311" s="253" t="str">
        <f t="shared" si="42"/>
        <v/>
      </c>
      <c r="B311" s="609" t="str">
        <f>IF(LEFT(F311,1)="B",VLOOKUP(A311,COPY!$A$2:$AC$1000,4,FALSE),"")</f>
        <v/>
      </c>
      <c r="C311" s="586"/>
      <c r="D311" s="553"/>
      <c r="E311" s="553"/>
      <c r="F311" s="557" t="str">
        <f>IF(LEN(A311)&gt;2,LEFT(VLOOKUP(A311,COPY!$A$2:$AC$1000,29,FALSE),6),"")</f>
        <v/>
      </c>
      <c r="G311" s="558" t="str">
        <f>_xlfn.IFNA(IF(TEXT(F311,0)="Terima","",VLOOKUP(A311,COPY!$A$2:$AC$1000,29,FALSE)),"")</f>
        <v/>
      </c>
      <c r="H311" s="425"/>
      <c r="I311" s="559"/>
      <c r="J311" s="555"/>
      <c r="K311" s="608">
        <f>_xlfn.IFNA(IF(TEXT(F311,0)="Terima",0,VLOOKUP(A311,COPY!$A$2:$AC$1000,26,FALSE)),0)</f>
        <v>0</v>
      </c>
      <c r="L311" s="548">
        <f t="shared" si="39"/>
        <v>0</v>
      </c>
      <c r="M311" s="549">
        <f t="shared" si="40"/>
        <v>0</v>
      </c>
      <c r="O311" s="538">
        <f t="shared" si="41"/>
        <v>21622590</v>
      </c>
      <c r="P311" s="550"/>
      <c r="Q311" s="551"/>
    </row>
    <row r="312" spans="1:17" s="253" customFormat="1" ht="20.100000000000001" hidden="1" customHeight="1" x14ac:dyDescent="0.25">
      <c r="A312" s="253" t="str">
        <f t="shared" si="42"/>
        <v/>
      </c>
      <c r="B312" s="609" t="str">
        <f>IF(LEFT(F312,1)="B",VLOOKUP(A312,COPY!$A$2:$AC$1000,4,FALSE),"")</f>
        <v/>
      </c>
      <c r="C312" s="586"/>
      <c r="D312" s="553"/>
      <c r="E312" s="553"/>
      <c r="F312" s="557" t="str">
        <f>IF(LEN(A312)&gt;2,LEFT(VLOOKUP(A312,COPY!$A$2:$AC$1000,29,FALSE),6),"")</f>
        <v/>
      </c>
      <c r="G312" s="558" t="str">
        <f>_xlfn.IFNA(IF(TEXT(F312,0)="Terima","",VLOOKUP(A312,COPY!$A$2:$AC$1000,29,FALSE)),"")</f>
        <v/>
      </c>
      <c r="H312" s="425"/>
      <c r="I312" s="559"/>
      <c r="J312" s="555"/>
      <c r="K312" s="608">
        <f>_xlfn.IFNA(IF(TEXT(F312,0)="Terima",0,VLOOKUP(A312,COPY!$A$2:$AC$1000,26,FALSE)),0)</f>
        <v>0</v>
      </c>
      <c r="L312" s="548">
        <f t="shared" si="39"/>
        <v>0</v>
      </c>
      <c r="M312" s="549">
        <f t="shared" si="40"/>
        <v>0</v>
      </c>
      <c r="O312" s="538">
        <f t="shared" si="41"/>
        <v>21622590</v>
      </c>
      <c r="P312" s="550"/>
      <c r="Q312" s="551"/>
    </row>
    <row r="313" spans="1:17" s="253" customFormat="1" ht="20.100000000000001" hidden="1" customHeight="1" x14ac:dyDescent="0.25">
      <c r="A313" s="253" t="str">
        <f t="shared" si="42"/>
        <v/>
      </c>
      <c r="B313" s="609" t="str">
        <f>IF(LEFT(F313,1)="B",VLOOKUP(A313,COPY!$A$2:$AC$1000,4,FALSE),"")</f>
        <v/>
      </c>
      <c r="C313" s="586"/>
      <c r="D313" s="553"/>
      <c r="E313" s="553"/>
      <c r="F313" s="557" t="str">
        <f>IF(LEN(A313)&gt;2,LEFT(VLOOKUP(A313,COPY!$A$2:$AC$1000,29,FALSE),6),"")</f>
        <v/>
      </c>
      <c r="G313" s="558" t="str">
        <f>_xlfn.IFNA(IF(TEXT(F313,0)="Terima","",VLOOKUP(A313,COPY!$A$2:$AC$1000,29,FALSE)),"")</f>
        <v/>
      </c>
      <c r="H313" s="425"/>
      <c r="I313" s="559"/>
      <c r="J313" s="555"/>
      <c r="K313" s="608">
        <f>_xlfn.IFNA(IF(TEXT(F313,0)="Terima",0,VLOOKUP(A313,COPY!$A$2:$AC$1000,26,FALSE)),0)</f>
        <v>0</v>
      </c>
      <c r="L313" s="548">
        <f t="shared" si="39"/>
        <v>0</v>
      </c>
      <c r="M313" s="549">
        <f t="shared" si="40"/>
        <v>0</v>
      </c>
      <c r="O313" s="538">
        <f t="shared" si="41"/>
        <v>21622590</v>
      </c>
      <c r="P313" s="550"/>
      <c r="Q313" s="551"/>
    </row>
    <row r="314" spans="1:17" s="253" customFormat="1" ht="20.100000000000001" hidden="1" customHeight="1" x14ac:dyDescent="0.25">
      <c r="A314" s="253" t="str">
        <f t="shared" si="42"/>
        <v/>
      </c>
      <c r="B314" s="609" t="str">
        <f>IF(LEFT(F314,1)="B",VLOOKUP(A314,COPY!$A$2:$AC$1000,4,FALSE),"")</f>
        <v/>
      </c>
      <c r="C314" s="586"/>
      <c r="D314" s="553"/>
      <c r="E314" s="553"/>
      <c r="F314" s="557" t="str">
        <f>IF(LEN(A314)&gt;2,LEFT(VLOOKUP(A314,COPY!$A$2:$AC$1000,29,FALSE),6),"")</f>
        <v/>
      </c>
      <c r="G314" s="558" t="str">
        <f>_xlfn.IFNA(IF(TEXT(F314,0)="Terima","",VLOOKUP(A314,COPY!$A$2:$AC$1000,29,FALSE)),"")</f>
        <v/>
      </c>
      <c r="H314" s="425"/>
      <c r="I314" s="559"/>
      <c r="J314" s="555"/>
      <c r="K314" s="608">
        <f>_xlfn.IFNA(IF(TEXT(F314,0)="Terima",0,VLOOKUP(A314,COPY!$A$2:$AC$1000,26,FALSE)),0)</f>
        <v>0</v>
      </c>
      <c r="L314" s="548">
        <f t="shared" ref="L314:L322" si="43">IF(K314&gt;0,IF(O314&gt;=0,O314,IF(O314&lt;0,0,0)),0)</f>
        <v>0</v>
      </c>
      <c r="M314" s="549">
        <f t="shared" ref="M314:M322" si="44">IF(O314&lt;0,O314,IF(O314&gt;=0,0,0))</f>
        <v>0</v>
      </c>
      <c r="O314" s="538">
        <f t="shared" ref="O314:O322" si="45">IF(J314&gt;0,O313+J314,IF(K314&gt;0,O313-K314,O313))</f>
        <v>21622590</v>
      </c>
      <c r="P314" s="550"/>
      <c r="Q314" s="551"/>
    </row>
    <row r="315" spans="1:17" s="253" customFormat="1" ht="20.100000000000001" hidden="1" customHeight="1" x14ac:dyDescent="0.25">
      <c r="A315" s="253" t="str">
        <f t="shared" si="42"/>
        <v/>
      </c>
      <c r="B315" s="609" t="str">
        <f>IF(LEFT(F315,1)="B",VLOOKUP(A315,COPY!$A$2:$AC$1000,4,FALSE),"")</f>
        <v/>
      </c>
      <c r="C315" s="586"/>
      <c r="D315" s="553"/>
      <c r="E315" s="553"/>
      <c r="F315" s="557" t="str">
        <f>IF(LEN(A315)&gt;2,LEFT(VLOOKUP(A315,COPY!$A$2:$AC$1000,29,FALSE),6),"")</f>
        <v/>
      </c>
      <c r="G315" s="558" t="str">
        <f>_xlfn.IFNA(IF(TEXT(F315,0)="Terima","",VLOOKUP(A315,COPY!$A$2:$AC$1000,29,FALSE)),"")</f>
        <v/>
      </c>
      <c r="H315" s="425"/>
      <c r="I315" s="559"/>
      <c r="J315" s="555"/>
      <c r="K315" s="608">
        <f>_xlfn.IFNA(IF(TEXT(F315,0)="Terima",0,VLOOKUP(A315,COPY!$A$2:$AC$1000,26,FALSE)),0)</f>
        <v>0</v>
      </c>
      <c r="L315" s="548">
        <f t="shared" si="43"/>
        <v>0</v>
      </c>
      <c r="M315" s="549">
        <f t="shared" si="44"/>
        <v>0</v>
      </c>
      <c r="O315" s="538">
        <f t="shared" si="45"/>
        <v>21622590</v>
      </c>
      <c r="P315" s="550"/>
      <c r="Q315" s="551"/>
    </row>
    <row r="316" spans="1:17" s="253" customFormat="1" ht="20.100000000000001" hidden="1" customHeight="1" x14ac:dyDescent="0.25">
      <c r="A316" s="253" t="str">
        <f t="shared" si="42"/>
        <v/>
      </c>
      <c r="B316" s="609" t="str">
        <f>IF(LEFT(F316,1)="B",VLOOKUP(A316,COPY!$A$2:$AC$1000,4,FALSE),"")</f>
        <v/>
      </c>
      <c r="C316" s="586"/>
      <c r="D316" s="553"/>
      <c r="E316" s="553"/>
      <c r="F316" s="557" t="str">
        <f>IF(LEN(A316)&gt;2,LEFT(VLOOKUP(A316,COPY!$A$2:$AC$1000,29,FALSE),6),"")</f>
        <v/>
      </c>
      <c r="G316" s="558" t="str">
        <f>_xlfn.IFNA(IF(TEXT(F316,0)="Terima","",VLOOKUP(A316,COPY!$A$2:$AC$1000,29,FALSE)),"")</f>
        <v/>
      </c>
      <c r="H316" s="425"/>
      <c r="I316" s="559"/>
      <c r="J316" s="555"/>
      <c r="K316" s="608">
        <f>_xlfn.IFNA(IF(TEXT(F316,0)="Terima",0,VLOOKUP(A316,COPY!$A$2:$AC$1000,26,FALSE)),0)</f>
        <v>0</v>
      </c>
      <c r="L316" s="548">
        <f t="shared" si="43"/>
        <v>0</v>
      </c>
      <c r="M316" s="549">
        <f t="shared" si="44"/>
        <v>0</v>
      </c>
      <c r="O316" s="538">
        <f t="shared" si="45"/>
        <v>21622590</v>
      </c>
      <c r="P316" s="550"/>
      <c r="Q316" s="551"/>
    </row>
    <row r="317" spans="1:17" s="253" customFormat="1" ht="20.100000000000001" hidden="1" customHeight="1" x14ac:dyDescent="0.25">
      <c r="A317" s="253" t="str">
        <f t="shared" si="42"/>
        <v/>
      </c>
      <c r="B317" s="609" t="str">
        <f>IF(LEFT(F317,1)="B",VLOOKUP(A317,COPY!$A$2:$AC$1000,4,FALSE),"")</f>
        <v/>
      </c>
      <c r="C317" s="586"/>
      <c r="D317" s="553"/>
      <c r="E317" s="553"/>
      <c r="F317" s="557" t="str">
        <f>IF(LEN(A317)&gt;2,LEFT(VLOOKUP(A317,COPY!$A$2:$AC$1000,29,FALSE),6),"")</f>
        <v/>
      </c>
      <c r="G317" s="558" t="str">
        <f>_xlfn.IFNA(IF(TEXT(F317,0)="Terima","",VLOOKUP(A317,COPY!$A$2:$AC$1000,29,FALSE)),"")</f>
        <v/>
      </c>
      <c r="H317" s="425"/>
      <c r="I317" s="559"/>
      <c r="J317" s="555"/>
      <c r="K317" s="608">
        <f>_xlfn.IFNA(IF(TEXT(F317,0)="Terima",0,VLOOKUP(A317,COPY!$A$2:$AC$1000,26,FALSE)),0)</f>
        <v>0</v>
      </c>
      <c r="L317" s="548">
        <f t="shared" si="43"/>
        <v>0</v>
      </c>
      <c r="M317" s="549">
        <f t="shared" si="44"/>
        <v>0</v>
      </c>
      <c r="O317" s="538">
        <f t="shared" si="45"/>
        <v>21622590</v>
      </c>
      <c r="P317" s="550"/>
      <c r="Q317" s="551"/>
    </row>
    <row r="318" spans="1:17" s="253" customFormat="1" ht="20.100000000000001" hidden="1" customHeight="1" x14ac:dyDescent="0.25">
      <c r="A318" s="253" t="str">
        <f t="shared" si="42"/>
        <v/>
      </c>
      <c r="B318" s="609" t="str">
        <f>IF(LEFT(F318,1)="B",VLOOKUP(A318,COPY!$A$2:$AC$1000,4,FALSE),"")</f>
        <v/>
      </c>
      <c r="C318" s="586"/>
      <c r="D318" s="553"/>
      <c r="E318" s="553"/>
      <c r="F318" s="557" t="str">
        <f>IF(LEN(A318)&gt;2,LEFT(VLOOKUP(A318,COPY!$A$2:$AC$1000,29,FALSE),6),"")</f>
        <v/>
      </c>
      <c r="G318" s="558" t="str">
        <f>_xlfn.IFNA(IF(TEXT(F318,0)="Terima","",VLOOKUP(A318,COPY!$A$2:$AC$1000,29,FALSE)),"")</f>
        <v/>
      </c>
      <c r="H318" s="425"/>
      <c r="I318" s="559"/>
      <c r="J318" s="555"/>
      <c r="K318" s="608">
        <f>_xlfn.IFNA(IF(TEXT(F318,0)="Terima",0,VLOOKUP(A318,COPY!$A$2:$AC$1000,26,FALSE)),0)</f>
        <v>0</v>
      </c>
      <c r="L318" s="548">
        <f t="shared" si="43"/>
        <v>0</v>
      </c>
      <c r="M318" s="549">
        <f t="shared" si="44"/>
        <v>0</v>
      </c>
      <c r="O318" s="538">
        <f t="shared" si="45"/>
        <v>21622590</v>
      </c>
      <c r="P318" s="550"/>
      <c r="Q318" s="551"/>
    </row>
    <row r="319" spans="1:17" s="253" customFormat="1" ht="20.100000000000001" hidden="1" customHeight="1" x14ac:dyDescent="0.25">
      <c r="A319" s="253" t="str">
        <f t="shared" si="42"/>
        <v/>
      </c>
      <c r="B319" s="609" t="str">
        <f>IF(LEFT(F319,1)="B",VLOOKUP(A319,COPY!$A$2:$AC$1000,4,FALSE),"")</f>
        <v/>
      </c>
      <c r="C319" s="586"/>
      <c r="D319" s="553"/>
      <c r="E319" s="553"/>
      <c r="F319" s="557" t="str">
        <f>IF(LEN(A319)&gt;2,LEFT(VLOOKUP(A319,COPY!$A$2:$AC$1000,29,FALSE),6),"")</f>
        <v/>
      </c>
      <c r="G319" s="558" t="str">
        <f>_xlfn.IFNA(IF(TEXT(F319,0)="Terima","",VLOOKUP(A319,COPY!$A$2:$AC$1000,29,FALSE)),"")</f>
        <v/>
      </c>
      <c r="H319" s="425"/>
      <c r="I319" s="559"/>
      <c r="J319" s="555"/>
      <c r="K319" s="608">
        <f>_xlfn.IFNA(IF(TEXT(F319,0)="Terima",0,VLOOKUP(A319,COPY!$A$2:$AC$1000,26,FALSE)),0)</f>
        <v>0</v>
      </c>
      <c r="L319" s="548">
        <f t="shared" si="43"/>
        <v>0</v>
      </c>
      <c r="M319" s="549">
        <f t="shared" si="44"/>
        <v>0</v>
      </c>
      <c r="O319" s="538">
        <f t="shared" si="45"/>
        <v>21622590</v>
      </c>
      <c r="P319" s="550"/>
      <c r="Q319" s="551"/>
    </row>
    <row r="320" spans="1:17" s="253" customFormat="1" ht="20.100000000000001" hidden="1" customHeight="1" x14ac:dyDescent="0.25">
      <c r="A320" s="253" t="str">
        <f t="shared" si="42"/>
        <v/>
      </c>
      <c r="B320" s="609" t="str">
        <f>IF(LEFT(F320,1)="B",VLOOKUP(A320,COPY!$A$2:$AC$1000,4,FALSE),"")</f>
        <v/>
      </c>
      <c r="C320" s="586"/>
      <c r="D320" s="553"/>
      <c r="E320" s="553"/>
      <c r="F320" s="557" t="str">
        <f>IF(LEN(A320)&gt;2,LEFT(VLOOKUP(A320,COPY!$A$2:$AC$1000,29,FALSE),6),"")</f>
        <v/>
      </c>
      <c r="G320" s="558" t="str">
        <f>_xlfn.IFNA(IF(TEXT(F320,0)="Terima","",VLOOKUP(A320,COPY!$A$2:$AC$1000,29,FALSE)),"")</f>
        <v/>
      </c>
      <c r="H320" s="425"/>
      <c r="I320" s="559"/>
      <c r="J320" s="555"/>
      <c r="K320" s="608">
        <f>_xlfn.IFNA(IF(TEXT(F320,0)="Terima",0,VLOOKUP(A320,COPY!$A$2:$AC$1000,26,FALSE)),0)</f>
        <v>0</v>
      </c>
      <c r="L320" s="548">
        <f t="shared" si="43"/>
        <v>0</v>
      </c>
      <c r="M320" s="549">
        <f t="shared" si="44"/>
        <v>0</v>
      </c>
      <c r="O320" s="538">
        <f t="shared" si="45"/>
        <v>21622590</v>
      </c>
      <c r="P320" s="550"/>
      <c r="Q320" s="551"/>
    </row>
    <row r="321" spans="1:17" s="253" customFormat="1" ht="20.100000000000001" hidden="1" customHeight="1" x14ac:dyDescent="0.25">
      <c r="A321" s="253" t="str">
        <f t="shared" si="42"/>
        <v/>
      </c>
      <c r="B321" s="609" t="str">
        <f>IF(LEFT(F321,1)="B",VLOOKUP(A321,COPY!$A$2:$AC$1000,4,FALSE),"")</f>
        <v/>
      </c>
      <c r="C321" s="586"/>
      <c r="D321" s="553"/>
      <c r="E321" s="553"/>
      <c r="F321" s="557" t="str">
        <f>IF(LEN(A321)&gt;2,LEFT(VLOOKUP(A321,COPY!$A$2:$AC$1000,29,FALSE),6),"")</f>
        <v/>
      </c>
      <c r="G321" s="558" t="str">
        <f>_xlfn.IFNA(IF(TEXT(F321,0)="Terima","",VLOOKUP(A321,COPY!$A$2:$AC$1000,29,FALSE)),"")</f>
        <v/>
      </c>
      <c r="H321" s="425"/>
      <c r="I321" s="559"/>
      <c r="J321" s="555"/>
      <c r="K321" s="608">
        <f>_xlfn.IFNA(IF(TEXT(F321,0)="Terima",0,VLOOKUP(A321,COPY!$A$2:$AC$1000,26,FALSE)),0)</f>
        <v>0</v>
      </c>
      <c r="L321" s="548">
        <f t="shared" si="43"/>
        <v>0</v>
      </c>
      <c r="M321" s="549">
        <f t="shared" si="44"/>
        <v>0</v>
      </c>
      <c r="O321" s="538">
        <f t="shared" si="45"/>
        <v>21622590</v>
      </c>
      <c r="P321" s="550"/>
      <c r="Q321" s="551"/>
    </row>
    <row r="322" spans="1:17" s="253" customFormat="1" ht="20.100000000000001" hidden="1" customHeight="1" x14ac:dyDescent="0.25">
      <c r="A322" s="253" t="str">
        <f t="shared" si="42"/>
        <v/>
      </c>
      <c r="B322" s="609" t="str">
        <f>IF(LEFT(F322,1)="B",VLOOKUP(A322,COPY!$A$2:$AC$1000,4,FALSE),"")</f>
        <v/>
      </c>
      <c r="C322" s="586"/>
      <c r="D322" s="553"/>
      <c r="E322" s="553"/>
      <c r="F322" s="557" t="str">
        <f>IF(LEN(A322)&gt;2,LEFT(VLOOKUP(A322,COPY!$A$2:$AC$1000,29,FALSE),6),"")</f>
        <v/>
      </c>
      <c r="G322" s="558" t="str">
        <f>_xlfn.IFNA(IF(TEXT(F322,0)="Terima","",VLOOKUP(A322,COPY!$A$2:$AC$1000,29,FALSE)),"")</f>
        <v/>
      </c>
      <c r="H322" s="425"/>
      <c r="I322" s="559"/>
      <c r="J322" s="555"/>
      <c r="K322" s="608">
        <f>_xlfn.IFNA(IF(TEXT(F322,0)="Terima",0,VLOOKUP(A322,COPY!$A$2:$AC$1000,26,FALSE)),0)</f>
        <v>0</v>
      </c>
      <c r="L322" s="548">
        <f t="shared" si="43"/>
        <v>0</v>
      </c>
      <c r="M322" s="549">
        <f t="shared" si="44"/>
        <v>0</v>
      </c>
      <c r="O322" s="538">
        <f t="shared" si="45"/>
        <v>21622590</v>
      </c>
      <c r="P322" s="550"/>
      <c r="Q322" s="551"/>
    </row>
    <row r="323" spans="1:17" s="253" customFormat="1" ht="20.100000000000001" customHeight="1" thickBot="1" x14ac:dyDescent="0.3">
      <c r="B323" s="560"/>
      <c r="C323" s="587"/>
      <c r="D323" s="561"/>
      <c r="E323" s="561"/>
      <c r="F323" s="561"/>
      <c r="G323" s="561">
        <f>_xlfn.IFNA(IF(TEXT(F323,0)="Terima","",VLOOKUP(A323,COPY!$A$2:$AC$1000,29,FALSE)),"")</f>
        <v>0</v>
      </c>
      <c r="H323" s="562"/>
      <c r="I323" s="563"/>
      <c r="J323" s="564"/>
      <c r="K323" s="565"/>
      <c r="L323" s="566"/>
      <c r="M323" s="567"/>
      <c r="P323" s="550"/>
      <c r="Q323" s="551"/>
    </row>
    <row r="324" spans="1:17" s="435" customFormat="1" ht="20.100000000000001" customHeight="1" thickBot="1" x14ac:dyDescent="0.3">
      <c r="B324" s="568"/>
      <c r="C324" s="701" t="s">
        <v>40</v>
      </c>
      <c r="D324" s="701"/>
      <c r="E324" s="701"/>
      <c r="F324" s="701"/>
      <c r="G324" s="702"/>
      <c r="H324" s="701"/>
      <c r="I324" s="701"/>
      <c r="J324" s="569">
        <f>SUM(J12:J323)</f>
        <v>84000000</v>
      </c>
      <c r="K324" s="570">
        <f>SUM(K12:K323)</f>
        <v>62377410</v>
      </c>
      <c r="L324" s="571">
        <f>IF(J324&gt;K324,J324-K324,0)</f>
        <v>21622590</v>
      </c>
      <c r="M324" s="572">
        <f>IF((J324-K324)&gt;0,,(J324-K324))</f>
        <v>0</v>
      </c>
      <c r="O324" s="573"/>
      <c r="P324" s="574"/>
      <c r="Q324" s="575"/>
    </row>
    <row r="325" spans="1:17" s="253" customFormat="1" ht="20.100000000000001" customHeight="1" x14ac:dyDescent="0.25">
      <c r="B325" s="576"/>
      <c r="C325" s="255"/>
      <c r="E325" s="450"/>
      <c r="I325" s="538"/>
      <c r="J325" s="577"/>
      <c r="K325" s="578"/>
      <c r="L325" s="579"/>
      <c r="M325" s="580"/>
      <c r="P325" s="550"/>
      <c r="Q325" s="551"/>
    </row>
    <row r="326" spans="1:17" s="253" customFormat="1" ht="20.100000000000001" customHeight="1" x14ac:dyDescent="0.25">
      <c r="B326" s="255"/>
      <c r="C326" s="255"/>
      <c r="E326" s="430"/>
      <c r="G326" s="430"/>
      <c r="K326" s="256" t="str">
        <f>'BKU 1'!$K$353</f>
        <v>NGANTANG</v>
      </c>
      <c r="L326" s="706">
        <f>'BKU 1'!$M$353</f>
        <v>45930</v>
      </c>
      <c r="M326" s="706"/>
      <c r="P326" s="550"/>
      <c r="Q326" s="551"/>
    </row>
    <row r="327" spans="1:17" s="253" customFormat="1" ht="20.100000000000001" customHeight="1" x14ac:dyDescent="0.25">
      <c r="B327" s="254"/>
      <c r="C327" s="255"/>
      <c r="D327" s="255" t="s">
        <v>43</v>
      </c>
      <c r="E327" s="488"/>
      <c r="G327" s="581"/>
      <c r="H327" s="610" t="s">
        <v>44</v>
      </c>
      <c r="I327" s="428"/>
      <c r="K327" s="704" t="str">
        <f>'BKU 1'!$L$354</f>
        <v>Dibuat Oleh ;</v>
      </c>
      <c r="L327" s="704"/>
      <c r="M327" s="580"/>
      <c r="P327" s="550"/>
      <c r="Q327" s="551"/>
    </row>
    <row r="328" spans="1:17" s="253" customFormat="1" ht="20.100000000000001" customHeight="1" x14ac:dyDescent="0.25">
      <c r="B328" s="254"/>
      <c r="C328" s="255"/>
      <c r="D328" s="255" t="str">
        <f>'BKU 1'!$C$355</f>
        <v>Kepala Sekolah SDN 1 SIDODADI</v>
      </c>
      <c r="E328" s="488"/>
      <c r="G328" s="581"/>
      <c r="H328" s="610" t="s">
        <v>45</v>
      </c>
      <c r="K328" s="704" t="str">
        <f>'BKU 1'!$L$355</f>
        <v>Bendahara Pembangunan</v>
      </c>
      <c r="L328" s="704"/>
      <c r="M328" s="580"/>
      <c r="P328" s="550"/>
      <c r="Q328" s="551"/>
    </row>
    <row r="329" spans="1:17" s="253" customFormat="1" ht="20.100000000000001" customHeight="1" x14ac:dyDescent="0.25">
      <c r="B329" s="254"/>
      <c r="C329" s="255"/>
      <c r="D329" s="255"/>
      <c r="E329" s="488"/>
      <c r="G329" s="581"/>
      <c r="H329" s="610"/>
      <c r="I329" s="444"/>
      <c r="J329" s="444"/>
      <c r="K329" s="704"/>
      <c r="L329" s="704"/>
      <c r="M329" s="580"/>
      <c r="P329" s="550"/>
      <c r="Q329" s="551"/>
    </row>
    <row r="330" spans="1:17" s="253" customFormat="1" ht="20.100000000000001" customHeight="1" x14ac:dyDescent="0.25">
      <c r="B330" s="254"/>
      <c r="C330" s="255"/>
      <c r="D330" s="255"/>
      <c r="E330" s="488"/>
      <c r="G330" s="581"/>
      <c r="H330" s="610"/>
      <c r="I330" s="444"/>
      <c r="J330" s="444"/>
      <c r="K330" s="704"/>
      <c r="L330" s="704"/>
      <c r="M330" s="580"/>
      <c r="P330" s="550"/>
      <c r="Q330" s="551"/>
    </row>
    <row r="331" spans="1:17" s="253" customFormat="1" ht="20.100000000000001" customHeight="1" x14ac:dyDescent="0.25">
      <c r="B331" s="254"/>
      <c r="C331" s="255"/>
      <c r="D331" s="255"/>
      <c r="E331" s="488"/>
      <c r="G331" s="581"/>
      <c r="H331" s="610"/>
      <c r="K331" s="704"/>
      <c r="L331" s="704"/>
      <c r="M331" s="580"/>
      <c r="P331" s="550"/>
      <c r="Q331" s="551"/>
    </row>
    <row r="332" spans="1:17" s="253" customFormat="1" ht="20.100000000000001" customHeight="1" x14ac:dyDescent="0.25">
      <c r="B332" s="254"/>
      <c r="C332" s="255"/>
      <c r="D332" s="255"/>
      <c r="E332" s="488"/>
      <c r="G332" s="581"/>
      <c r="H332" s="610"/>
      <c r="K332" s="704"/>
      <c r="L332" s="704"/>
      <c r="M332" s="580"/>
      <c r="P332" s="550"/>
      <c r="Q332" s="551"/>
    </row>
    <row r="333" spans="1:17" s="253" customFormat="1" ht="20.100000000000001" customHeight="1" x14ac:dyDescent="0.25">
      <c r="B333" s="516"/>
      <c r="C333" s="504"/>
      <c r="D333" s="504" t="str">
        <f>'BKU 1'!$C$360</f>
        <v>MELIA FITRIANI, S.Pd.SD</v>
      </c>
      <c r="E333" s="488"/>
      <c r="G333" s="582"/>
      <c r="H333" s="611" t="str">
        <f>'BKU 1'!H360</f>
        <v>HARTATIK</v>
      </c>
      <c r="K333" s="705" t="str">
        <f>'BKU 1'!$L$360</f>
        <v>ARIF NUR UDIN, S.Pd.SD</v>
      </c>
      <c r="L333" s="705"/>
      <c r="M333" s="580"/>
      <c r="P333" s="550"/>
      <c r="Q333" s="551"/>
    </row>
    <row r="334" spans="1:17" s="253" customFormat="1" ht="20.100000000000001" customHeight="1" x14ac:dyDescent="0.25">
      <c r="B334" s="254"/>
      <c r="C334" s="255"/>
      <c r="D334" s="255" t="str">
        <f>'BKU 1'!$C$361</f>
        <v>NIP. 19850619 200904 2 000</v>
      </c>
      <c r="E334" s="488"/>
      <c r="G334" s="581"/>
      <c r="H334" s="610">
        <f>'BKU 1'!$G$361</f>
        <v>0</v>
      </c>
      <c r="K334" s="704" t="str">
        <f>'BKU 1'!$L$361</f>
        <v>NIP. 19840719 200903 1 002</v>
      </c>
      <c r="L334" s="704"/>
      <c r="M334" s="580"/>
      <c r="P334" s="550"/>
      <c r="Q334" s="551"/>
    </row>
    <row r="335" spans="1:17" ht="14.25" x14ac:dyDescent="0.2">
      <c r="B335" s="277"/>
      <c r="C335" s="277"/>
      <c r="D335" s="276"/>
      <c r="E335" s="276"/>
      <c r="F335" s="276"/>
      <c r="G335" s="276"/>
      <c r="H335" s="276"/>
      <c r="I335" s="289"/>
      <c r="J335" s="290"/>
      <c r="K335" s="289"/>
      <c r="L335" s="291"/>
    </row>
  </sheetData>
  <mergeCells count="25">
    <mergeCell ref="L326:M326"/>
    <mergeCell ref="D7:G8"/>
    <mergeCell ref="AA4:AA5"/>
    <mergeCell ref="AB4:AF4"/>
    <mergeCell ref="AG4:AG5"/>
    <mergeCell ref="L10:M10"/>
    <mergeCell ref="AH4:AH5"/>
    <mergeCell ref="AB5:AC5"/>
    <mergeCell ref="AD5:AE5"/>
    <mergeCell ref="C1:L1"/>
    <mergeCell ref="C2:L2"/>
    <mergeCell ref="K327:L327"/>
    <mergeCell ref="K328:L328"/>
    <mergeCell ref="K334:L334"/>
    <mergeCell ref="K329:L329"/>
    <mergeCell ref="K330:L330"/>
    <mergeCell ref="K331:L331"/>
    <mergeCell ref="K332:L332"/>
    <mergeCell ref="K333:L333"/>
    <mergeCell ref="B10:B11"/>
    <mergeCell ref="H11:I11"/>
    <mergeCell ref="J10:K10"/>
    <mergeCell ref="D10:I10"/>
    <mergeCell ref="C324:I324"/>
    <mergeCell ref="C10:C11"/>
  </mergeCells>
  <pageMargins left="0.19685039370078741" right="0.19685039370078741" top="0.78740157480314965" bottom="0.78740157480314965" header="0.31496062992125984" footer="0.31496062992125984"/>
  <pageSetup paperSize="9" scale="69" fitToHeight="0" orientation="landscape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66917BB-DF20-486B-97D0-2DF4415389C0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711BEBAA-EBE7-4B6F-9FF4-72B95905C87B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1BCCB8A2-B495-4D39-AD7F-861F6A57AA34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7D8928D-3992-47B9-BF3C-22DD67E182A7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EB28D0B9-40CB-448A-85C1-5F4201195FF8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17659C48-7653-4210-BCBD-BA744CAC8C8E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AC7595BC-9FA5-4B1F-81E5-51751D39AC53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B10:M11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0D339-BF72-42A9-BDDA-DE29F2BE7A45}">
  <sheetPr codeName="Sheet13">
    <tabColor rgb="FFFFFF00"/>
    <pageSetUpPr fitToPage="1"/>
  </sheetPr>
  <dimension ref="A1:AC360"/>
  <sheetViews>
    <sheetView showZeros="0" view="pageBreakPreview" topLeftCell="A105" zoomScale="70" zoomScaleNormal="70" zoomScaleSheetLayoutView="70" workbookViewId="0">
      <selection activeCell="N102" sqref="N102"/>
    </sheetView>
  </sheetViews>
  <sheetFormatPr defaultColWidth="9.140625" defaultRowHeight="20.100000000000001" customHeight="1" x14ac:dyDescent="0.25"/>
  <cols>
    <col min="1" max="1" width="9.140625" style="253"/>
    <col min="2" max="2" width="13.7109375" style="446" customWidth="1"/>
    <col min="3" max="3" width="8.85546875" style="253" customWidth="1"/>
    <col min="4" max="4" width="7" style="253" customWidth="1"/>
    <col min="5" max="5" width="20" style="253" customWidth="1"/>
    <col min="6" max="6" width="19" style="447" customWidth="1"/>
    <col min="7" max="7" width="13.7109375" style="446" customWidth="1"/>
    <col min="8" max="8" width="11.85546875" style="253" customWidth="1"/>
    <col min="9" max="9" width="10" style="509" customWidth="1"/>
    <col min="10" max="10" width="10" style="255" customWidth="1"/>
    <col min="11" max="11" width="44" style="253" customWidth="1"/>
    <col min="12" max="12" width="10" style="255" customWidth="1"/>
    <col min="13" max="13" width="7.140625" style="255" customWidth="1"/>
    <col min="14" max="14" width="19" style="447" customWidth="1"/>
    <col min="15" max="15" width="42.42578125" style="253" customWidth="1"/>
    <col min="16" max="16" width="7.85546875" style="448" customWidth="1"/>
    <col min="17" max="17" width="18.85546875" style="253" customWidth="1"/>
    <col min="18" max="18" width="16.7109375" style="253" customWidth="1"/>
    <col min="19" max="19" width="16.7109375" style="449" customWidth="1"/>
    <col min="20" max="20" width="16.7109375" style="253" customWidth="1"/>
    <col min="21" max="21" width="20.7109375" style="253" customWidth="1"/>
    <col min="22" max="22" width="48" style="253" customWidth="1"/>
    <col min="23" max="23" width="14.5703125" style="253" customWidth="1"/>
    <col min="24" max="24" width="9.28515625" style="253" customWidth="1"/>
    <col min="25" max="16384" width="9.140625" style="253"/>
  </cols>
  <sheetData>
    <row r="1" spans="2:29" ht="20.100000000000001" hidden="1" customHeight="1" x14ac:dyDescent="0.25">
      <c r="E1" s="686">
        <f>'BKU 1'!E1</f>
        <v>2</v>
      </c>
      <c r="F1" s="253">
        <f>'BKU 1'!F1</f>
        <v>14</v>
      </c>
      <c r="G1" s="253"/>
      <c r="X1" s="394"/>
    </row>
    <row r="2" spans="2:29" ht="20.100000000000001" hidden="1" customHeight="1" x14ac:dyDescent="0.25">
      <c r="E2" s="686"/>
      <c r="F2" s="253"/>
      <c r="G2" s="253"/>
    </row>
    <row r="3" spans="2:29" ht="20.100000000000001" hidden="1" customHeight="1" x14ac:dyDescent="0.25">
      <c r="B3" s="253" t="s">
        <v>83</v>
      </c>
      <c r="E3" s="253" t="str">
        <f>'BKU 1'!E3</f>
        <v>SDN 1 SIDODADI</v>
      </c>
      <c r="F3" s="253"/>
      <c r="G3" s="253"/>
    </row>
    <row r="4" spans="2:29" ht="20.100000000000001" hidden="1" customHeight="1" x14ac:dyDescent="0.25">
      <c r="B4" s="253" t="s">
        <v>63</v>
      </c>
      <c r="E4" s="253" t="str">
        <f>'BKU 1'!E4</f>
        <v>NGANTANG</v>
      </c>
      <c r="F4" s="253"/>
      <c r="G4" s="253"/>
    </row>
    <row r="5" spans="2:29" ht="20.100000000000001" hidden="1" customHeight="1" x14ac:dyDescent="0.25">
      <c r="B5" s="253" t="s">
        <v>62</v>
      </c>
      <c r="E5" s="253" t="str">
        <f>'BKU 1'!E5</f>
        <v>Jl. Kawi No.36 Rt. 1 Rw. 1 Dusun Sekar, Rt / Rw : 1 / 1, Dusun : Sekar, Kelurahan : Sidodadi</v>
      </c>
      <c r="F5" s="253"/>
      <c r="G5" s="253"/>
    </row>
    <row r="6" spans="2:29" ht="20.100000000000001" hidden="1" customHeight="1" x14ac:dyDescent="0.25">
      <c r="B6" s="253" t="s">
        <v>84</v>
      </c>
      <c r="E6" s="253">
        <f>'BKU 1'!E6</f>
        <v>1</v>
      </c>
      <c r="F6" s="253"/>
      <c r="G6" s="253"/>
      <c r="N6" s="253"/>
      <c r="Q6" s="450"/>
      <c r="R6" s="451"/>
      <c r="S6" s="452"/>
      <c r="T6" s="451"/>
    </row>
    <row r="7" spans="2:29" ht="20.100000000000001" hidden="1" customHeight="1" x14ac:dyDescent="0.25">
      <c r="B7" s="253" t="s">
        <v>85</v>
      </c>
      <c r="E7" s="253" t="str">
        <f>'BKU 1'!E7</f>
        <v>PEMBANGUNAN TOILET BESERTA SANITASINYA</v>
      </c>
      <c r="F7" s="253"/>
      <c r="G7" s="253"/>
      <c r="N7" s="253"/>
      <c r="Q7" s="450"/>
      <c r="R7" s="451"/>
      <c r="S7" s="452"/>
      <c r="T7" s="451"/>
    </row>
    <row r="8" spans="2:29" ht="20.100000000000001" hidden="1" customHeight="1" x14ac:dyDescent="0.25">
      <c r="B8" s="253" t="s">
        <v>86</v>
      </c>
      <c r="E8" s="253" t="str">
        <f>'BKU 1'!E8</f>
        <v>MELIA FITRIANI, S.Pd.SD</v>
      </c>
      <c r="F8" s="253"/>
      <c r="G8" s="253"/>
      <c r="N8" s="253"/>
      <c r="Q8" s="450"/>
      <c r="R8" s="451"/>
      <c r="S8" s="452"/>
      <c r="T8" s="451"/>
    </row>
    <row r="9" spans="2:29" ht="20.100000000000001" hidden="1" customHeight="1" x14ac:dyDescent="0.25">
      <c r="B9" s="253" t="s">
        <v>87</v>
      </c>
      <c r="E9" s="253" t="str">
        <f>'BKU 1'!E9</f>
        <v>NIP. 19850619 200904 2 000</v>
      </c>
      <c r="F9" s="253"/>
      <c r="G9" s="253"/>
      <c r="N9" s="253"/>
      <c r="Q9" s="451"/>
      <c r="R9" s="451"/>
      <c r="S9" s="452"/>
      <c r="T9" s="451"/>
    </row>
    <row r="10" spans="2:29" ht="20.100000000000001" hidden="1" customHeight="1" x14ac:dyDescent="0.25">
      <c r="B10" s="253" t="s">
        <v>88</v>
      </c>
      <c r="E10" s="253" t="str">
        <f>'BKU 1'!E10</f>
        <v>HARTATIK</v>
      </c>
      <c r="F10" s="253"/>
      <c r="G10" s="253"/>
      <c r="N10" s="253"/>
    </row>
    <row r="11" spans="2:29" ht="20.100000000000001" hidden="1" customHeight="1" x14ac:dyDescent="0.25">
      <c r="B11" s="254" t="s">
        <v>87</v>
      </c>
      <c r="E11" s="253">
        <f>'BKU 1'!E11</f>
        <v>0</v>
      </c>
      <c r="F11" s="253"/>
      <c r="G11" s="253"/>
    </row>
    <row r="12" spans="2:29" ht="20.100000000000001" hidden="1" customHeight="1" x14ac:dyDescent="0.25">
      <c r="B12" s="253" t="s">
        <v>89</v>
      </c>
      <c r="E12" s="253" t="str">
        <f>'BKU 1'!E12</f>
        <v>ARIF NUR UDIN, S.Pd.SD</v>
      </c>
      <c r="F12" s="253"/>
      <c r="G12" s="253"/>
    </row>
    <row r="13" spans="2:29" ht="20.100000000000001" hidden="1" customHeight="1" x14ac:dyDescent="0.25">
      <c r="B13" s="253" t="s">
        <v>87</v>
      </c>
      <c r="E13" s="253" t="str">
        <f>'BKU 1'!E13</f>
        <v>NIP. 19840719 200903 1 002</v>
      </c>
      <c r="F13" s="253"/>
      <c r="G13" s="253"/>
    </row>
    <row r="14" spans="2:29" ht="20.100000000000001" hidden="1" customHeight="1" x14ac:dyDescent="0.25">
      <c r="B14" s="253" t="s">
        <v>90</v>
      </c>
      <c r="E14" s="253" t="str">
        <f>'BKU 1'!E14</f>
        <v>NUR ROHMAN, ST.</v>
      </c>
      <c r="F14" s="253"/>
      <c r="G14" s="253"/>
    </row>
    <row r="15" spans="2:29" ht="20.100000000000001" hidden="1" customHeight="1" thickBot="1" x14ac:dyDescent="0.3">
      <c r="B15" s="253" t="s">
        <v>91</v>
      </c>
      <c r="E15" s="253" t="str">
        <f>'BKU 1'!E15</f>
        <v>NUR ROHMAN, ST.</v>
      </c>
      <c r="F15" s="253"/>
      <c r="G15" s="253"/>
    </row>
    <row r="16" spans="2:29" ht="20.100000000000001" hidden="1" customHeight="1" x14ac:dyDescent="0.25">
      <c r="B16" s="253" t="s">
        <v>92</v>
      </c>
      <c r="E16" s="253" t="str">
        <f>'BKU 1'!E16</f>
        <v>MUSYYAYIN, ST.</v>
      </c>
      <c r="F16" s="253"/>
      <c r="G16" s="253"/>
      <c r="V16" s="690" t="s">
        <v>17</v>
      </c>
      <c r="W16" s="682" t="s">
        <v>100</v>
      </c>
      <c r="X16" s="683"/>
      <c r="Y16" s="683"/>
      <c r="Z16" s="683"/>
      <c r="AA16" s="684"/>
      <c r="AB16" s="685" t="s">
        <v>0</v>
      </c>
      <c r="AC16" s="679" t="s">
        <v>2</v>
      </c>
    </row>
    <row r="17" spans="1:29" ht="20.100000000000001" hidden="1" customHeight="1" thickBot="1" x14ac:dyDescent="0.3">
      <c r="B17" s="446" t="s">
        <v>80</v>
      </c>
      <c r="E17" s="253">
        <f>'BKU 1'!E17</f>
        <v>0</v>
      </c>
      <c r="V17" s="691"/>
      <c r="W17" s="681" t="s">
        <v>1</v>
      </c>
      <c r="X17" s="681"/>
      <c r="Y17" s="681" t="s">
        <v>101</v>
      </c>
      <c r="Z17" s="681"/>
      <c r="AA17" s="396" t="s">
        <v>102</v>
      </c>
      <c r="AB17" s="681"/>
      <c r="AC17" s="680"/>
    </row>
    <row r="18" spans="1:29" ht="20.100000000000001" hidden="1" customHeight="1" x14ac:dyDescent="0.25">
      <c r="B18" s="446" t="s">
        <v>432</v>
      </c>
      <c r="E18" s="253">
        <f>'BKU 1'!E18</f>
        <v>2600000</v>
      </c>
      <c r="F18" s="454">
        <f>'BKU 1'!F18</f>
        <v>1</v>
      </c>
    </row>
    <row r="19" spans="1:29" ht="20.100000000000001" hidden="1" customHeight="1" x14ac:dyDescent="0.25">
      <c r="B19" s="446" t="s">
        <v>433</v>
      </c>
      <c r="E19" s="253">
        <f>'BKU 1'!E19</f>
        <v>1950000</v>
      </c>
      <c r="F19" s="447">
        <f>'BKU 1'!F19</f>
        <v>134550000</v>
      </c>
    </row>
    <row r="21" spans="1:29" s="517" customFormat="1" ht="20.100000000000001" customHeight="1" x14ac:dyDescent="0.25">
      <c r="B21" s="518"/>
      <c r="C21" s="518"/>
      <c r="D21" s="693" t="s">
        <v>59</v>
      </c>
      <c r="E21" s="693"/>
      <c r="F21" s="693"/>
      <c r="G21" s="693"/>
      <c r="H21" s="693"/>
      <c r="I21" s="693"/>
      <c r="J21" s="693"/>
      <c r="K21" s="693"/>
      <c r="L21" s="519"/>
      <c r="M21" s="518"/>
      <c r="N21" s="518"/>
      <c r="P21" s="520"/>
      <c r="S21" s="521"/>
    </row>
    <row r="22" spans="1:29" s="522" customFormat="1" ht="20.100000000000001" customHeight="1" x14ac:dyDescent="0.25">
      <c r="B22" s="523"/>
      <c r="C22" s="523"/>
      <c r="D22" s="694" t="str">
        <f>$E$7</f>
        <v>PEMBANGUNAN TOILET BESERTA SANITASINYA</v>
      </c>
      <c r="E22" s="694"/>
      <c r="F22" s="694"/>
      <c r="G22" s="694"/>
      <c r="H22" s="694"/>
      <c r="I22" s="694"/>
      <c r="J22" s="694"/>
      <c r="K22" s="694"/>
      <c r="L22" s="524"/>
      <c r="M22" s="523"/>
      <c r="N22" s="523"/>
      <c r="P22" s="525"/>
      <c r="S22" s="526"/>
    </row>
    <row r="23" spans="1:29" ht="8.1" customHeight="1" x14ac:dyDescent="0.25"/>
    <row r="24" spans="1:29" ht="20.100000000000001" customHeight="1" x14ac:dyDescent="0.25">
      <c r="B24" s="446" t="s">
        <v>60</v>
      </c>
      <c r="C24" s="255" t="s">
        <v>49</v>
      </c>
      <c r="D24" s="255">
        <v>2</v>
      </c>
      <c r="E24" s="253">
        <f>IFERROR(VLOOKUP(D24,'Rekap Gaji'!$B$12:$P$24,14,FALSE),"-")</f>
        <v>0</v>
      </c>
    </row>
    <row r="25" spans="1:29" ht="20.100000000000001" customHeight="1" x14ac:dyDescent="0.25">
      <c r="B25" s="446" t="s">
        <v>61</v>
      </c>
      <c r="C25" s="255" t="s">
        <v>49</v>
      </c>
      <c r="D25" s="253" t="str">
        <f>$E$3</f>
        <v>SDN 1 SIDODADI</v>
      </c>
      <c r="G25" s="446" t="s">
        <v>63</v>
      </c>
      <c r="H25" s="255" t="s">
        <v>49</v>
      </c>
      <c r="I25" s="253" t="str">
        <f>$E$4</f>
        <v>NGANTANG</v>
      </c>
      <c r="K25" s="253" t="s">
        <v>93</v>
      </c>
      <c r="L25" s="255" t="s">
        <v>49</v>
      </c>
      <c r="M25" s="687">
        <f>HLOOKUP(D24,COPY!$AJ$3:$AN$4,2,FALSE)</f>
        <v>45931</v>
      </c>
      <c r="N25" s="687"/>
    </row>
    <row r="26" spans="1:29" ht="20.100000000000001" customHeight="1" x14ac:dyDescent="0.25">
      <c r="B26" s="446" t="s">
        <v>62</v>
      </c>
      <c r="C26" s="255" t="s">
        <v>49</v>
      </c>
      <c r="D26" s="695" t="str">
        <f>$E$5</f>
        <v>Jl. Kawi No.36 Rt. 1 Rw. 1 Dusun Sekar, Rt / Rw : 1 / 1, Dusun : Sekar, Kelurahan : Sidodadi</v>
      </c>
      <c r="E26" s="695"/>
      <c r="F26" s="695"/>
      <c r="G26" s="446" t="s">
        <v>66</v>
      </c>
      <c r="H26" s="255" t="s">
        <v>49</v>
      </c>
      <c r="I26" s="499" t="s">
        <v>68</v>
      </c>
      <c r="K26" s="253" t="s">
        <v>94</v>
      </c>
      <c r="L26" s="255" t="s">
        <v>49</v>
      </c>
      <c r="M26" s="687">
        <f>EOMONTH(M25,0)</f>
        <v>45961</v>
      </c>
      <c r="N26" s="687"/>
    </row>
    <row r="27" spans="1:29" ht="20.100000000000001" customHeight="1" x14ac:dyDescent="0.25">
      <c r="D27" s="695"/>
      <c r="E27" s="695"/>
      <c r="F27" s="695"/>
      <c r="G27" s="446" t="s">
        <v>67</v>
      </c>
      <c r="H27" s="255" t="s">
        <v>49</v>
      </c>
      <c r="I27" s="499" t="s">
        <v>69</v>
      </c>
    </row>
    <row r="28" spans="1:29" ht="8.1" customHeight="1" x14ac:dyDescent="0.25"/>
    <row r="29" spans="1:29" ht="20.100000000000001" customHeight="1" thickBot="1" x14ac:dyDescent="0.3">
      <c r="B29" s="455" t="s">
        <v>217</v>
      </c>
      <c r="G29" s="455" t="s">
        <v>65</v>
      </c>
    </row>
    <row r="30" spans="1:29" s="399" customFormat="1" ht="39.950000000000003" customHeight="1" thickBot="1" x14ac:dyDescent="0.3">
      <c r="B30" s="400" t="s">
        <v>0</v>
      </c>
      <c r="C30" s="692" t="s">
        <v>1</v>
      </c>
      <c r="D30" s="692"/>
      <c r="E30" s="692"/>
      <c r="F30" s="401" t="s">
        <v>5</v>
      </c>
      <c r="G30" s="402" t="s">
        <v>0</v>
      </c>
      <c r="H30" s="692" t="s">
        <v>1</v>
      </c>
      <c r="I30" s="692"/>
      <c r="J30" s="692"/>
      <c r="K30" s="692"/>
      <c r="L30" s="403" t="s">
        <v>3</v>
      </c>
      <c r="M30" s="403" t="s">
        <v>4</v>
      </c>
      <c r="N30" s="404" t="s">
        <v>5</v>
      </c>
      <c r="P30" s="405" t="s">
        <v>226</v>
      </c>
      <c r="Q30" s="399" t="s">
        <v>225</v>
      </c>
      <c r="R30" s="399" t="s">
        <v>224</v>
      </c>
      <c r="S30" s="406">
        <f>COUNTIF(COPY!$C$2:$C$1000,D24)</f>
        <v>78</v>
      </c>
    </row>
    <row r="31" spans="1:29" s="399" customFormat="1" ht="20.100000000000001" customHeight="1" thickTop="1" x14ac:dyDescent="0.25">
      <c r="B31" s="407">
        <f>M25</f>
        <v>45931</v>
      </c>
      <c r="C31" s="408" t="s">
        <v>252</v>
      </c>
      <c r="D31" s="409"/>
      <c r="E31" s="409"/>
      <c r="F31" s="410">
        <f>'BKU 1'!F348</f>
        <v>21622589.999999993</v>
      </c>
      <c r="G31" s="411"/>
      <c r="H31" s="412"/>
      <c r="I31" s="409"/>
      <c r="J31" s="409"/>
      <c r="K31" s="409"/>
      <c r="L31" s="413"/>
      <c r="M31" s="413"/>
      <c r="N31" s="414"/>
      <c r="P31" s="405"/>
      <c r="S31" s="406"/>
    </row>
    <row r="32" spans="1:29" ht="20.100000000000001" customHeight="1" x14ac:dyDescent="0.25">
      <c r="A32" s="470"/>
      <c r="B32" s="456">
        <f>IF(LEFT(C32,16)="Terima Pajak PPN",VLOOKUP(P32,COPY!$A$1:$AC$1000,21,FALSE),IF(LEFT(C32,16)="Terima Pajak PPH",VLOOKUP(P32,COPY!$A$1:$AC$1000,21,FALSE),IF(LEFT(C32,13)="Terima PPh 23",VLOOKUP(P32,COPY!$A$1:$AC$1000,21,FALSE),0)))</f>
        <v>0</v>
      </c>
      <c r="C32" s="457">
        <f>IFERROR(IF(LEFT(VLOOKUP(P32,COPY!$A$1:$AC$1000,29,FALSE),5)="Terim",VLOOKUP(P32,COPY!$A$1:$AC$1000,29,FALSE),0),0)</f>
        <v>0</v>
      </c>
      <c r="D32" s="457"/>
      <c r="E32" s="457"/>
      <c r="F32" s="458">
        <f>IFERROR(IF(LEFT(VLOOKUP(P32,COPY!$A$1:$AC$1000,29,FALSE),5)="Terim",VLOOKUP(P32,COPY!$A$1:$AC$1000,26,FALSE),0),0)</f>
        <v>0</v>
      </c>
      <c r="G32" s="459">
        <f>IFERROR(VLOOKUP(P32,COPY!$A$1:$L$1000,4,FALSE),0)</f>
        <v>45931</v>
      </c>
      <c r="H32" s="460" t="str">
        <f>IFERROR(VLOOKUP(P32,COPY!$A$1:$L$1000,2,FALSE),0)</f>
        <v>Beli</v>
      </c>
      <c r="I32" s="461">
        <f>IFERROR(VLOOKUP(P32,COPY!$A$1:$L$1000,10,FALSE),0)</f>
        <v>2</v>
      </c>
      <c r="J32" s="461" t="str">
        <f>IFERROR(VLOOKUP(P32,COPY!$A$1:$L$1000,8,FALSE),0)</f>
        <v>Pik Up</v>
      </c>
      <c r="K32" s="462" t="str">
        <f>IFERROR(VLOOKUP(P32,COPY!$A$1:$L$1000,7,FALSE),0)</f>
        <v>Pasir Cor L300</v>
      </c>
      <c r="L32" s="468" t="str">
        <f>IFERROR(VLOOKUP(P32,COPY!$A$1:$O$1000,15,FALSE),0)</f>
        <v>BKK.32</v>
      </c>
      <c r="M32" s="463" t="str">
        <f>IFERROR(VLOOKUP(P32,COPY!$A$1:$L$1000,12,FALSE),0)</f>
        <v>B</v>
      </c>
      <c r="N32" s="464">
        <f>IF(H32="Jasa",VLOOKUP('BKU 2'!K32,'Rekap Gaji'!$D$12:$I$26,6,FALSE),(IF(H32="Beli",VLOOKUP(P32,COPY!$A$1:$L$1000,11,FALSE),IF(H32="Bayar Ongkos",VLOOKUP(K32,'Rekap Gaji'!$D$12:$I$26,6,FALSE),0))))</f>
        <v>670000</v>
      </c>
      <c r="O32" s="465" t="str">
        <f>IF(LEFT(M32,15)="Bayar Pajak PPN",1,IF(LEFT(M32,15)="Bayar Pajak PPH",2,IF(LEFT(M32,21)="Bayar Pajak Final PPH",3," ")))</f>
        <v xml:space="preserve"> </v>
      </c>
      <c r="P32" s="466" t="str">
        <f t="shared" ref="P32:P95" si="0">IF(Q32&gt;0,$D$24&amp;"."&amp;Q32,"")</f>
        <v>2.1</v>
      </c>
      <c r="Q32" s="253">
        <f>IF(T32&lt;=0,T32+$S$30,0)</f>
        <v>1</v>
      </c>
      <c r="R32" s="253">
        <f>IF(T32&lt;=0,S32,0)</f>
        <v>1</v>
      </c>
      <c r="S32" s="449">
        <v>1</v>
      </c>
      <c r="T32" s="253">
        <f>S32-$S$30</f>
        <v>-77</v>
      </c>
      <c r="U32" s="457" t="str">
        <f t="shared" ref="U32:U95" si="1">IF(LEFT(C32,16)="terima Pajak PPN",1,IF(LEFT(C32,16)="terima Pajak PPH",2,IF(LEFT(C32,21)="Bayar Pajak Final PPH",3," ")))</f>
        <v xml:space="preserve"> </v>
      </c>
      <c r="X32" s="253">
        <f>IFERROR(HLOOKUP("qty",COPY!$C$1:$L$1000,2+(MOD(ROW()-32,SUMIF(COPY!$C$2:$C$1000,'BKU 2'!$D$24,COPY!$C$2:$C$1000))+1),FALSE),"-")</f>
        <v>26</v>
      </c>
    </row>
    <row r="33" spans="1:21" ht="20.100000000000001" customHeight="1" x14ac:dyDescent="0.25">
      <c r="A33" s="470"/>
      <c r="B33" s="456">
        <f>IF(LEFT(C33,16)="Terima Pajak PPN",VLOOKUP(P33,COPY!$A$1:$AC$1000,21,FALSE),IF(LEFT(C33,16)="Terima Pajak PPH",VLOOKUP(P33,COPY!$A$1:$AC$1000,21,FALSE),IF(LEFT(C33,13)="Terima PPh 23",VLOOKUP(P33,COPY!$A$1:$AC$1000,21,FALSE),0)))</f>
        <v>0</v>
      </c>
      <c r="C33" s="457">
        <f>IFERROR(IF(LEFT(VLOOKUP(P33,COPY!$A$1:$AC$1000,29,FALSE),5)="Terim",VLOOKUP(P33,COPY!$A$1:$AC$1000,29,FALSE),0),0)</f>
        <v>0</v>
      </c>
      <c r="D33" s="457"/>
      <c r="E33" s="457"/>
      <c r="F33" s="458">
        <f>IFERROR(IF(LEFT(VLOOKUP(P33,COPY!$A$1:$AC$1000,29,FALSE),5)="Terim",VLOOKUP(P33,COPY!$A$1:$AC$1000,26,FALSE),0),0)</f>
        <v>0</v>
      </c>
      <c r="G33" s="459" t="str">
        <f>IFERROR(VLOOKUP(P33,COPY!$A$1:$L$1000,4,FALSE),0)</f>
        <v/>
      </c>
      <c r="H33" s="457" t="str">
        <f>IFERROR(VLOOKUP(P33,COPY!$A$1:$L$1000,2,FALSE),0)</f>
        <v>Beli</v>
      </c>
      <c r="I33" s="510">
        <f>IFERROR(VLOOKUP(P33,COPY!$A$1:$L$1000,10,FALSE),0)</f>
        <v>2</v>
      </c>
      <c r="J33" s="467" t="str">
        <f>IFERROR(VLOOKUP(P33,COPY!$A$1:$L$1000,8,FALSE),0)</f>
        <v>Pik Up</v>
      </c>
      <c r="K33" s="457" t="str">
        <f>IFERROR(VLOOKUP(P33,COPY!$A$1:$L$1000,7,FALSE),0)</f>
        <v>Pasir Biasa L300</v>
      </c>
      <c r="L33" s="468" t="str">
        <f>IFERROR(VLOOKUP(P33,COPY!$A$1:$O$1000,15,FALSE),0)</f>
        <v/>
      </c>
      <c r="M33" s="468" t="str">
        <f>IFERROR(VLOOKUP(P33,COPY!$A$1:$L$1000,12,FALSE),0)</f>
        <v>B</v>
      </c>
      <c r="N33" s="469">
        <f>IF(H33="Jasa",VLOOKUP('BKU 2'!K33,'Rekap Gaji'!$D$12:$I$26,6,FALSE),(IF(H33="Beli",VLOOKUP(P33,COPY!$A$1:$L$1000,11,FALSE),IF(H33="Bayar Ongkos",VLOOKUP(K33,'Rekap Gaji'!$D$12:$I$26,6,FALSE),0))))</f>
        <v>460000</v>
      </c>
      <c r="O33" s="470"/>
      <c r="P33" s="466" t="str">
        <f t="shared" si="0"/>
        <v>2.2</v>
      </c>
      <c r="Q33" s="253">
        <f>IF(T33&lt;=0,T33+$S$30,0)</f>
        <v>2</v>
      </c>
      <c r="R33" s="253">
        <f>IF(T33&lt;=0,S33,0)</f>
        <v>2</v>
      </c>
      <c r="S33" s="449">
        <f>S32+1</f>
        <v>2</v>
      </c>
      <c r="T33" s="253">
        <f>S33-$S$30</f>
        <v>-76</v>
      </c>
      <c r="U33" s="457" t="str">
        <f t="shared" si="1"/>
        <v xml:space="preserve"> </v>
      </c>
    </row>
    <row r="34" spans="1:21" ht="20.100000000000001" customHeight="1" x14ac:dyDescent="0.25">
      <c r="A34" s="470"/>
      <c r="B34" s="456">
        <f>IF(LEFT(C34,16)="Terima Pajak PPN",VLOOKUP(P34,COPY!$A$1:$AC$1000,21,FALSE),IF(LEFT(C34,16)="Terima Pajak PPH",VLOOKUP(P34,COPY!$A$1:$AC$1000,21,FALSE),IF(LEFT(C34,13)="Terima PPh 23",VLOOKUP(P34,COPY!$A$1:$AC$1000,21,FALSE),0)))</f>
        <v>0</v>
      </c>
      <c r="C34" s="457">
        <f>IFERROR(IF(LEFT(VLOOKUP(P34,COPY!$A$1:$AC$1000,29,FALSE),5)="Terim",VLOOKUP(P34,COPY!$A$1:$AC$1000,29,FALSE),0),0)</f>
        <v>0</v>
      </c>
      <c r="D34" s="457"/>
      <c r="E34" s="457"/>
      <c r="F34" s="458">
        <f>IFERROR(IF(LEFT(VLOOKUP(P34,COPY!$A$1:$AC$1000,29,FALSE),5)="Terim",VLOOKUP(P34,COPY!$A$1:$AC$1000,26,FALSE),0),0)</f>
        <v>0</v>
      </c>
      <c r="G34" s="459" t="str">
        <f>IFERROR(VLOOKUP(P34,COPY!$A$1:$L$1000,4,FALSE),0)</f>
        <v/>
      </c>
      <c r="H34" s="457" t="str">
        <f>IFERROR(VLOOKUP(P34,COPY!$A$1:$L$1000,2,FALSE),0)</f>
        <v>Beli</v>
      </c>
      <c r="I34" s="510">
        <f>IFERROR(VLOOKUP(P34,COPY!$A$1:$L$1000,10,FALSE),0)</f>
        <v>10</v>
      </c>
      <c r="J34" s="467" t="str">
        <f>IFERROR(VLOOKUP(P34,COPY!$A$1:$L$1000,8,FALSE),0)</f>
        <v>Sak</v>
      </c>
      <c r="K34" s="457" t="str">
        <f>IFERROR(VLOOKUP(P34,COPY!$A$1:$L$1000,7,FALSE),0)</f>
        <v>Semen 3 Roda</v>
      </c>
      <c r="L34" s="468" t="str">
        <f>IFERROR(VLOOKUP(P34,COPY!$A$1:$O$1000,15,FALSE),0)</f>
        <v/>
      </c>
      <c r="M34" s="468" t="str">
        <f>IFERROR(VLOOKUP(P34,COPY!$A$1:$L$1000,12,FALSE),0)</f>
        <v>B</v>
      </c>
      <c r="N34" s="469">
        <f>IF(H34="Jasa",VLOOKUP('BKU 2'!K34,'Rekap Gaji'!$D$12:$I$26,6,FALSE),(IF(H34="Beli",VLOOKUP(P34,COPY!$A$1:$L$1000,11,FALSE),IF(H34="Bayar Ongkos",VLOOKUP(K34,'Rekap Gaji'!$D$12:$I$26,6,FALSE),0))))</f>
        <v>520000</v>
      </c>
      <c r="O34" s="470"/>
      <c r="P34" s="466" t="str">
        <f t="shared" si="0"/>
        <v>2.3</v>
      </c>
      <c r="Q34" s="253">
        <f t="shared" ref="Q34:Q97" si="2">IF(T34&lt;=0,T34+$S$30,0)</f>
        <v>3</v>
      </c>
      <c r="R34" s="253">
        <f t="shared" ref="R34:R97" si="3">IF(T34&lt;=0,S34,0)</f>
        <v>3</v>
      </c>
      <c r="S34" s="449">
        <f t="shared" ref="S34:S97" si="4">S33+1</f>
        <v>3</v>
      </c>
      <c r="T34" s="253">
        <f t="shared" ref="T34:T97" si="5">S34-$S$30</f>
        <v>-75</v>
      </c>
      <c r="U34" s="457" t="str">
        <f t="shared" si="1"/>
        <v xml:space="preserve"> </v>
      </c>
    </row>
    <row r="35" spans="1:21" ht="20.100000000000001" customHeight="1" x14ac:dyDescent="0.25">
      <c r="A35" s="470"/>
      <c r="B35" s="456">
        <f>IF(LEFT(C35,16)="Terima Pajak PPN",VLOOKUP(P35,COPY!$A$1:$AC$1000,21,FALSE),IF(LEFT(C35,16)="Terima Pajak PPH",VLOOKUP(P35,COPY!$A$1:$AC$1000,21,FALSE),IF(LEFT(C35,13)="Terima PPh 23",VLOOKUP(P35,COPY!$A$1:$AC$1000,21,FALSE),0)))</f>
        <v>0</v>
      </c>
      <c r="C35" s="457">
        <f>IFERROR(IF(LEFT(VLOOKUP(P35,COPY!$A$1:$AC$1000,29,FALSE),5)="Terim",VLOOKUP(P35,COPY!$A$1:$AC$1000,29,FALSE),0),0)</f>
        <v>0</v>
      </c>
      <c r="D35" s="457"/>
      <c r="E35" s="457"/>
      <c r="F35" s="458">
        <f>IFERROR(IF(LEFT(VLOOKUP(P35,COPY!$A$1:$AC$1000,29,FALSE),5)="Terim",VLOOKUP(P35,COPY!$A$1:$AC$1000,26,FALSE),0),0)</f>
        <v>0</v>
      </c>
      <c r="G35" s="459">
        <f>IFERROR(VLOOKUP(P35,COPY!$A$1:$L$1000,4,FALSE),0)</f>
        <v>45933</v>
      </c>
      <c r="H35" s="457" t="str">
        <f>IFERROR(VLOOKUP(P35,COPY!$A$1:$L$1000,2,FALSE),0)</f>
        <v>Beli</v>
      </c>
      <c r="I35" s="510">
        <f>IFERROR(VLOOKUP(P35,COPY!$A$1:$L$1000,10,FALSE),0)</f>
        <v>1</v>
      </c>
      <c r="J35" s="467" t="str">
        <f>IFERROR(VLOOKUP(P35,COPY!$A$1:$L$1000,8,FALSE),0)</f>
        <v>Pik Up</v>
      </c>
      <c r="K35" s="457" t="str">
        <f>IFERROR(VLOOKUP(P35,COPY!$A$1:$L$1000,7,FALSE),0)</f>
        <v>Pasir Cor L300</v>
      </c>
      <c r="L35" s="468" t="str">
        <f>IFERROR(VLOOKUP(P35,COPY!$A$1:$O$1000,15,FALSE),0)</f>
        <v>BKK.33</v>
      </c>
      <c r="M35" s="468" t="str">
        <f>IFERROR(VLOOKUP(P35,COPY!$A$1:$L$1000,12,FALSE),0)</f>
        <v>B</v>
      </c>
      <c r="N35" s="469">
        <f>IF(H35="Jasa",VLOOKUP('BKU 2'!K35,'Rekap Gaji'!$D$12:$I$26,6,FALSE),(IF(H35="Beli",VLOOKUP(P35,COPY!$A$1:$L$1000,11,FALSE),IF(H35="Bayar Ongkos",VLOOKUP(K35,'Rekap Gaji'!$D$12:$I$26,6,FALSE),0))))</f>
        <v>335000</v>
      </c>
      <c r="P35" s="466" t="str">
        <f t="shared" si="0"/>
        <v>2.4</v>
      </c>
      <c r="Q35" s="253">
        <f t="shared" si="2"/>
        <v>4</v>
      </c>
      <c r="R35" s="253">
        <f t="shared" si="3"/>
        <v>4</v>
      </c>
      <c r="S35" s="449">
        <f t="shared" si="4"/>
        <v>4</v>
      </c>
      <c r="T35" s="253">
        <f t="shared" si="5"/>
        <v>-74</v>
      </c>
      <c r="U35" s="457" t="str">
        <f t="shared" si="1"/>
        <v xml:space="preserve"> </v>
      </c>
    </row>
    <row r="36" spans="1:21" ht="20.100000000000001" customHeight="1" x14ac:dyDescent="0.25">
      <c r="A36" s="470"/>
      <c r="B36" s="456">
        <f>IF(LEFT(C36,16)="Terima Pajak PPN",VLOOKUP(P36,COPY!$A$1:$AC$1000,21,FALSE),IF(LEFT(C36,16)="Terima Pajak PPH",VLOOKUP(P36,COPY!$A$1:$AC$1000,21,FALSE),IF(LEFT(C36,13)="Terima PPh 23",VLOOKUP(P36,COPY!$A$1:$AC$1000,21,FALSE),0)))</f>
        <v>0</v>
      </c>
      <c r="C36" s="457">
        <f>IFERROR(IF(LEFT(VLOOKUP(P36,COPY!$A$1:$AC$1000,29,FALSE),5)="Terim",VLOOKUP(P36,COPY!$A$1:$AC$1000,29,FALSE),0),0)</f>
        <v>0</v>
      </c>
      <c r="D36" s="457"/>
      <c r="E36" s="457"/>
      <c r="F36" s="458">
        <f>IFERROR(IF(LEFT(VLOOKUP(P36,COPY!$A$1:$AC$1000,29,FALSE),5)="Terim",VLOOKUP(P36,COPY!$A$1:$AC$1000,26,FALSE),0),0)</f>
        <v>0</v>
      </c>
      <c r="G36" s="459" t="str">
        <f>IFERROR(VLOOKUP(P36,COPY!$A$1:$L$1000,4,FALSE),0)</f>
        <v/>
      </c>
      <c r="H36" s="457" t="str">
        <f>IFERROR(VLOOKUP(P36,COPY!$A$1:$L$1000,2,FALSE),0)</f>
        <v>Beli</v>
      </c>
      <c r="I36" s="510">
        <f>IFERROR(VLOOKUP(P36,COPY!$A$1:$L$1000,10,FALSE),0)</f>
        <v>5</v>
      </c>
      <c r="J36" s="467" t="str">
        <f>IFERROR(VLOOKUP(P36,COPY!$A$1:$L$1000,8,FALSE),0)</f>
        <v>Sak</v>
      </c>
      <c r="K36" s="457" t="str">
        <f>IFERROR(VLOOKUP(P36,COPY!$A$1:$L$1000,7,FALSE),0)</f>
        <v>Semen Gresik 40Kg</v>
      </c>
      <c r="L36" s="468" t="str">
        <f>IFERROR(VLOOKUP(P36,COPY!$A$1:$O$1000,15,FALSE),0)</f>
        <v/>
      </c>
      <c r="M36" s="468" t="str">
        <f>IFERROR(VLOOKUP(P36,COPY!$A$1:$L$1000,12,FALSE),0)</f>
        <v>B</v>
      </c>
      <c r="N36" s="469">
        <f>IF(H36="Jasa",VLOOKUP('BKU 2'!K36,'Rekap Gaji'!$D$12:$I$26,6,FALSE),(IF(H36="Beli",VLOOKUP(P36,COPY!$A$1:$L$1000,11,FALSE),IF(H36="Bayar Ongkos",VLOOKUP(K36,'Rekap Gaji'!$D$12:$I$26,6,FALSE),0))))</f>
        <v>290000</v>
      </c>
      <c r="P36" s="466" t="str">
        <f t="shared" si="0"/>
        <v>2.5</v>
      </c>
      <c r="Q36" s="253">
        <f t="shared" si="2"/>
        <v>5</v>
      </c>
      <c r="R36" s="253">
        <f t="shared" si="3"/>
        <v>5</v>
      </c>
      <c r="S36" s="449">
        <f t="shared" si="4"/>
        <v>5</v>
      </c>
      <c r="T36" s="253">
        <f t="shared" si="5"/>
        <v>-73</v>
      </c>
      <c r="U36" s="457" t="str">
        <f t="shared" si="1"/>
        <v xml:space="preserve"> </v>
      </c>
    </row>
    <row r="37" spans="1:21" ht="20.100000000000001" customHeight="1" x14ac:dyDescent="0.25">
      <c r="A37" s="470"/>
      <c r="B37" s="456">
        <f>IF(LEFT(C37,16)="Terima Pajak PPN",VLOOKUP(P37,COPY!$A$1:$AC$1000,21,FALSE),IF(LEFT(C37,16)="Terima Pajak PPH",VLOOKUP(P37,COPY!$A$1:$AC$1000,21,FALSE),IF(LEFT(C37,13)="Terima PPh 23",VLOOKUP(P37,COPY!$A$1:$AC$1000,21,FALSE),0)))</f>
        <v>0</v>
      </c>
      <c r="C37" s="457">
        <f>IFERROR(IF(LEFT(VLOOKUP(P37,COPY!$A$1:$AC$1000,29,FALSE),5)="Terim",VLOOKUP(P37,COPY!$A$1:$AC$1000,29,FALSE),0),0)</f>
        <v>0</v>
      </c>
      <c r="D37" s="457"/>
      <c r="E37" s="457"/>
      <c r="F37" s="458">
        <f>IFERROR(IF(LEFT(VLOOKUP(P37,COPY!$A$1:$AC$1000,29,FALSE),5)="Terim",VLOOKUP(P37,COPY!$A$1:$AC$1000,26,FALSE),0),0)</f>
        <v>0</v>
      </c>
      <c r="G37" s="459">
        <f>IFERROR(VLOOKUP(P37,COPY!$A$1:$L$1000,4,FALSE),0)</f>
        <v>45934</v>
      </c>
      <c r="H37" s="457" t="str">
        <f>IFERROR(VLOOKUP(P37,COPY!$A$1:$L$1000,2,FALSE),0)</f>
        <v>Bayar Ongkos</v>
      </c>
      <c r="I37" s="510">
        <f>IFERROR(VLOOKUP(P37,COPY!$A$1:$L$1000,10,FALSE),0)</f>
        <v>1</v>
      </c>
      <c r="J37" s="467">
        <f>IFERROR(VLOOKUP(P37,COPY!$A$1:$L$1000,8,FALSE),0)</f>
        <v>0</v>
      </c>
      <c r="K37" s="457" t="str">
        <f>IFERROR(VLOOKUP(P37,COPY!$A$1:$L$1000,7,FALSE),0)</f>
        <v>Pembayaran Pekerja Minggu Ke 5</v>
      </c>
      <c r="L37" s="468" t="str">
        <f>IFERROR(VLOOKUP(P37,COPY!$A$1:$O$1000,15,FALSE),0)</f>
        <v>BKK.34</v>
      </c>
      <c r="M37" s="468" t="str">
        <f>IFERROR(VLOOKUP(P37,COPY!$A$1:$L$1000,12,FALSE),0)</f>
        <v>A</v>
      </c>
      <c r="N37" s="469">
        <f>IF(H37="Jasa",VLOOKUP('BKU 2'!K37,'Rekap Gaji'!$D$12:$I$26,6,FALSE),(IF(H37="Beli",VLOOKUP(P37,COPY!$A$1:$L$1000,11,FALSE),IF(H37="Bayar Ongkos",VLOOKUP(K37,'Rekap Gaji'!$D$12:$I$26,6,FALSE),0))))</f>
        <v>5225000</v>
      </c>
      <c r="O37" s="470"/>
      <c r="P37" s="466" t="str">
        <f t="shared" si="0"/>
        <v>2.6</v>
      </c>
      <c r="Q37" s="253">
        <f t="shared" si="2"/>
        <v>6</v>
      </c>
      <c r="R37" s="253">
        <f t="shared" si="3"/>
        <v>6</v>
      </c>
      <c r="S37" s="449">
        <f t="shared" si="4"/>
        <v>6</v>
      </c>
      <c r="T37" s="253">
        <f t="shared" si="5"/>
        <v>-72</v>
      </c>
      <c r="U37" s="457" t="str">
        <f t="shared" si="1"/>
        <v xml:space="preserve"> </v>
      </c>
    </row>
    <row r="38" spans="1:21" ht="20.100000000000001" customHeight="1" x14ac:dyDescent="0.25">
      <c r="A38" s="470"/>
      <c r="B38" s="456">
        <f>IF(LEFT(C38,16)="Terima Pajak PPN",VLOOKUP(P38,COPY!$A$1:$AC$1000,21,FALSE),IF(LEFT(C38,16)="Terima Pajak PPH",VLOOKUP(P38,COPY!$A$1:$AC$1000,21,FALSE),IF(LEFT(C38,13)="Terima PPh 23",VLOOKUP(P38,COPY!$A$1:$AC$1000,21,FALSE),0)))</f>
        <v>0</v>
      </c>
      <c r="C38" s="457">
        <f>IFERROR(IF(LEFT(VLOOKUP(P38,COPY!$A$1:$AC$1000,29,FALSE),5)="Terim",VLOOKUP(P38,COPY!$A$1:$AC$1000,29,FALSE),0),0)</f>
        <v>0</v>
      </c>
      <c r="D38" s="457"/>
      <c r="E38" s="457"/>
      <c r="F38" s="458">
        <f>IFERROR(IF(LEFT(VLOOKUP(P38,COPY!$A$1:$AC$1000,29,FALSE),5)="Terim",VLOOKUP(P38,COPY!$A$1:$AC$1000,26,FALSE),0),0)</f>
        <v>0</v>
      </c>
      <c r="G38" s="459">
        <f>IFERROR(VLOOKUP(P38,COPY!$A$1:$L$1000,4,FALSE),0)</f>
        <v>45936</v>
      </c>
      <c r="H38" s="457" t="str">
        <f>IFERROR(VLOOKUP(P38,COPY!$A$1:$L$1000,2,FALSE),0)</f>
        <v>Beli</v>
      </c>
      <c r="I38" s="510">
        <f>IFERROR(VLOOKUP(P38,COPY!$A$1:$L$1000,10,FALSE),0)</f>
        <v>3</v>
      </c>
      <c r="J38" s="467" t="str">
        <f>IFERROR(VLOOKUP(P38,COPY!$A$1:$L$1000,8,FALSE),0)</f>
        <v>Pik Up</v>
      </c>
      <c r="K38" s="457" t="str">
        <f>IFERROR(VLOOKUP(P38,COPY!$A$1:$L$1000,7,FALSE),0)</f>
        <v>Pasir Cor L300</v>
      </c>
      <c r="L38" s="468" t="str">
        <f>IFERROR(VLOOKUP(P38,COPY!$A$1:$O$1000,15,FALSE),0)</f>
        <v>BKK.35</v>
      </c>
      <c r="M38" s="468" t="str">
        <f>IFERROR(VLOOKUP(P38,COPY!$A$1:$L$1000,12,FALSE),0)</f>
        <v>B</v>
      </c>
      <c r="N38" s="469">
        <f>IF(H38="Jasa",VLOOKUP('BKU 2'!K38,'Rekap Gaji'!$D$12:$I$26,6,FALSE),(IF(H38="Beli",VLOOKUP(P38,COPY!$A$1:$L$1000,11,FALSE),IF(H38="Bayar Ongkos",VLOOKUP(K38,'Rekap Gaji'!$D$12:$I$26,6,FALSE),0))))</f>
        <v>1005000</v>
      </c>
      <c r="P38" s="466" t="str">
        <f t="shared" si="0"/>
        <v>2.7</v>
      </c>
      <c r="Q38" s="253">
        <f t="shared" si="2"/>
        <v>7</v>
      </c>
      <c r="R38" s="253">
        <f t="shared" si="3"/>
        <v>7</v>
      </c>
      <c r="S38" s="449">
        <f t="shared" si="4"/>
        <v>7</v>
      </c>
      <c r="T38" s="253">
        <f t="shared" si="5"/>
        <v>-71</v>
      </c>
      <c r="U38" s="457" t="str">
        <f t="shared" si="1"/>
        <v xml:space="preserve"> </v>
      </c>
    </row>
    <row r="39" spans="1:21" ht="20.100000000000001" customHeight="1" x14ac:dyDescent="0.25">
      <c r="A39" s="470"/>
      <c r="B39" s="456">
        <f>IF(LEFT(C39,16)="Terima Pajak PPN",VLOOKUP(P39,COPY!$A$1:$AC$1000,21,FALSE),IF(LEFT(C39,16)="Terima Pajak PPH",VLOOKUP(P39,COPY!$A$1:$AC$1000,21,FALSE),IF(LEFT(C39,13)="Terima PPh 23",VLOOKUP(P39,COPY!$A$1:$AC$1000,21,FALSE),0)))</f>
        <v>0</v>
      </c>
      <c r="C39" s="457">
        <f>IFERROR(IF(LEFT(VLOOKUP(P39,COPY!$A$1:$AC$1000,29,FALSE),5)="Terim",VLOOKUP(P39,COPY!$A$1:$AC$1000,29,FALSE),0),0)</f>
        <v>0</v>
      </c>
      <c r="D39" s="457"/>
      <c r="E39" s="457"/>
      <c r="F39" s="458">
        <f>IFERROR(IF(LEFT(VLOOKUP(P39,COPY!$A$1:$AC$1000,29,FALSE),5)="Terim",VLOOKUP(P39,COPY!$A$1:$AC$1000,26,FALSE),0),0)</f>
        <v>0</v>
      </c>
      <c r="G39" s="459" t="str">
        <f>IFERROR(VLOOKUP(P39,COPY!$A$1:$L$1000,4,FALSE),0)</f>
        <v/>
      </c>
      <c r="H39" s="457" t="str">
        <f>IFERROR(VLOOKUP(P39,COPY!$A$1:$L$1000,2,FALSE),0)</f>
        <v>Beli</v>
      </c>
      <c r="I39" s="510">
        <f>IFERROR(VLOOKUP(P39,COPY!$A$1:$L$1000,10,FALSE),0)</f>
        <v>5</v>
      </c>
      <c r="J39" s="467" t="str">
        <f>IFERROR(VLOOKUP(P39,COPY!$A$1:$L$1000,8,FALSE),0)</f>
        <v>Sak</v>
      </c>
      <c r="K39" s="457" t="str">
        <f>IFERROR(VLOOKUP(P39,COPY!$A$1:$L$1000,7,FALSE),0)</f>
        <v>Semen Gresik 40Kg</v>
      </c>
      <c r="L39" s="468" t="str">
        <f>IFERROR(VLOOKUP(P39,COPY!$A$1:$O$1000,15,FALSE),0)</f>
        <v/>
      </c>
      <c r="M39" s="468" t="str">
        <f>IFERROR(VLOOKUP(P39,COPY!$A$1:$L$1000,12,FALSE),0)</f>
        <v>B</v>
      </c>
      <c r="N39" s="469">
        <f>IF(H39="Jasa",VLOOKUP('BKU 2'!K39,'Rekap Gaji'!$D$12:$I$26,6,FALSE),(IF(H39="Beli",VLOOKUP(P39,COPY!$A$1:$L$1000,11,FALSE),IF(H39="Bayar Ongkos",VLOOKUP(K39,'Rekap Gaji'!$D$12:$I$26,6,FALSE),0))))</f>
        <v>290000</v>
      </c>
      <c r="P39" s="466" t="str">
        <f t="shared" si="0"/>
        <v>2.8</v>
      </c>
      <c r="Q39" s="253">
        <f t="shared" si="2"/>
        <v>8</v>
      </c>
      <c r="R39" s="253">
        <f t="shared" si="3"/>
        <v>8</v>
      </c>
      <c r="S39" s="449">
        <f t="shared" si="4"/>
        <v>8</v>
      </c>
      <c r="T39" s="253">
        <f t="shared" si="5"/>
        <v>-70</v>
      </c>
      <c r="U39" s="457" t="str">
        <f t="shared" si="1"/>
        <v xml:space="preserve"> </v>
      </c>
    </row>
    <row r="40" spans="1:21" ht="20.100000000000001" customHeight="1" x14ac:dyDescent="0.25">
      <c r="A40" s="470"/>
      <c r="B40" s="456">
        <f>IF(LEFT(C40,16)="Terima Pajak PPN",VLOOKUP(P40,COPY!$A$1:$AC$1000,21,FALSE),IF(LEFT(C40,16)="Terima Pajak PPH",VLOOKUP(P40,COPY!$A$1:$AC$1000,21,FALSE),IF(LEFT(C40,13)="Terima PPh 23",VLOOKUP(P40,COPY!$A$1:$AC$1000,21,FALSE),0)))</f>
        <v>0</v>
      </c>
      <c r="C40" s="457">
        <f>IFERROR(IF(LEFT(VLOOKUP(P40,COPY!$A$1:$AC$1000,29,FALSE),5)="Terim",VLOOKUP(P40,COPY!$A$1:$AC$1000,29,FALSE),0),0)</f>
        <v>0</v>
      </c>
      <c r="D40" s="457"/>
      <c r="E40" s="457"/>
      <c r="F40" s="458">
        <f>IFERROR(IF(LEFT(VLOOKUP(P40,COPY!$A$1:$AC$1000,29,FALSE),5)="Terim",VLOOKUP(P40,COPY!$A$1:$AC$1000,26,FALSE),0),0)</f>
        <v>0</v>
      </c>
      <c r="G40" s="459" t="str">
        <f>IFERROR(VLOOKUP(P40,COPY!$A$1:$L$1000,4,FALSE),0)</f>
        <v/>
      </c>
      <c r="H40" s="457" t="str">
        <f>IFERROR(VLOOKUP(P40,COPY!$A$1:$L$1000,2,FALSE),0)</f>
        <v>Beli</v>
      </c>
      <c r="I40" s="510">
        <f>IFERROR(VLOOKUP(P40,COPY!$A$1:$L$1000,10,FALSE),0)</f>
        <v>8</v>
      </c>
      <c r="J40" s="467" t="str">
        <f>IFERROR(VLOOKUP(P40,COPY!$A$1:$L$1000,8,FALSE),0)</f>
        <v>Pcs</v>
      </c>
      <c r="K40" s="457" t="str">
        <f>IFERROR(VLOOKUP(P40,COPY!$A$1:$L$1000,7,FALSE),0)</f>
        <v>Lampu Philips Led Bulb 8W</v>
      </c>
      <c r="L40" s="468" t="str">
        <f>IFERROR(VLOOKUP(P40,COPY!$A$1:$O$1000,15,FALSE),0)</f>
        <v/>
      </c>
      <c r="M40" s="468" t="str">
        <f>IFERROR(VLOOKUP(P40,COPY!$A$1:$L$1000,12,FALSE),0)</f>
        <v>B</v>
      </c>
      <c r="N40" s="469">
        <f>IF(H40="Jasa",VLOOKUP('BKU 2'!K40,'Rekap Gaji'!$D$12:$I$26,6,FALSE),(IF(H40="Beli",VLOOKUP(P40,COPY!$A$1:$L$1000,11,FALSE),IF(H40="Bayar Ongkos",VLOOKUP(K40,'Rekap Gaji'!$D$12:$I$26,6,FALSE),0))))</f>
        <v>336000</v>
      </c>
      <c r="O40" s="470"/>
      <c r="P40" s="466" t="str">
        <f t="shared" si="0"/>
        <v>2.9</v>
      </c>
      <c r="Q40" s="253">
        <f t="shared" si="2"/>
        <v>9</v>
      </c>
      <c r="R40" s="253">
        <f t="shared" si="3"/>
        <v>9</v>
      </c>
      <c r="S40" s="449">
        <f t="shared" si="4"/>
        <v>9</v>
      </c>
      <c r="T40" s="253">
        <f t="shared" si="5"/>
        <v>-69</v>
      </c>
      <c r="U40" s="457" t="str">
        <f t="shared" si="1"/>
        <v xml:space="preserve"> </v>
      </c>
    </row>
    <row r="41" spans="1:21" ht="20.100000000000001" customHeight="1" x14ac:dyDescent="0.25">
      <c r="A41" s="470"/>
      <c r="B41" s="456">
        <f>IF(LEFT(C41,16)="Terima Pajak PPN",VLOOKUP(P41,COPY!$A$1:$AC$1000,21,FALSE),IF(LEFT(C41,16)="Terima Pajak PPH",VLOOKUP(P41,COPY!$A$1:$AC$1000,21,FALSE),IF(LEFT(C41,13)="Terima PPh 23",VLOOKUP(P41,COPY!$A$1:$AC$1000,21,FALSE),0)))</f>
        <v>0</v>
      </c>
      <c r="C41" s="457">
        <f>IFERROR(IF(LEFT(VLOOKUP(P41,COPY!$A$1:$AC$1000,29,FALSE),5)="Terim",VLOOKUP(P41,COPY!$A$1:$AC$1000,29,FALSE),0),0)</f>
        <v>0</v>
      </c>
      <c r="D41" s="457"/>
      <c r="E41" s="457"/>
      <c r="F41" s="458">
        <f>IFERROR(IF(LEFT(VLOOKUP(P41,COPY!$A$1:$AC$1000,29,FALSE),5)="Terim",VLOOKUP(P41,COPY!$A$1:$AC$1000,26,FALSE),0),0)</f>
        <v>0</v>
      </c>
      <c r="G41" s="459" t="str">
        <f>IFERROR(VLOOKUP(P41,COPY!$A$1:$L$1000,4,FALSE),0)</f>
        <v/>
      </c>
      <c r="H41" s="457" t="str">
        <f>IFERROR(VLOOKUP(P41,COPY!$A$1:$L$1000,2,FALSE),0)</f>
        <v>Beli</v>
      </c>
      <c r="I41" s="510">
        <f>IFERROR(VLOOKUP(P41,COPY!$A$1:$L$1000,10,FALSE),0)</f>
        <v>4</v>
      </c>
      <c r="J41" s="467" t="str">
        <f>IFERROR(VLOOKUP(P41,COPY!$A$1:$L$1000,8,FALSE),0)</f>
        <v>Pcs</v>
      </c>
      <c r="K41" s="457" t="str">
        <f>IFERROR(VLOOKUP(P41,COPY!$A$1:$L$1000,7,FALSE),0)</f>
        <v>Broco Saklar Seri Ib 6622U</v>
      </c>
      <c r="L41" s="468" t="str">
        <f>IFERROR(VLOOKUP(P41,COPY!$A$1:$O$1000,15,FALSE),0)</f>
        <v/>
      </c>
      <c r="M41" s="468" t="str">
        <f>IFERROR(VLOOKUP(P41,COPY!$A$1:$L$1000,12,FALSE),0)</f>
        <v>B</v>
      </c>
      <c r="N41" s="469">
        <f>IF(H41="Jasa",VLOOKUP('BKU 2'!K41,'Rekap Gaji'!$D$12:$I$26,6,FALSE),(IF(H41="Beli",VLOOKUP(P41,COPY!$A$1:$L$1000,11,FALSE),IF(H41="Bayar Ongkos",VLOOKUP(K41,'Rekap Gaji'!$D$12:$I$26,6,FALSE),0))))</f>
        <v>80000</v>
      </c>
      <c r="P41" s="466" t="str">
        <f t="shared" si="0"/>
        <v>2.10</v>
      </c>
      <c r="Q41" s="253">
        <f t="shared" si="2"/>
        <v>10</v>
      </c>
      <c r="R41" s="253">
        <f t="shared" si="3"/>
        <v>10</v>
      </c>
      <c r="S41" s="449">
        <f t="shared" si="4"/>
        <v>10</v>
      </c>
      <c r="T41" s="253">
        <f t="shared" si="5"/>
        <v>-68</v>
      </c>
      <c r="U41" s="457" t="str">
        <f t="shared" si="1"/>
        <v xml:space="preserve"> </v>
      </c>
    </row>
    <row r="42" spans="1:21" ht="20.100000000000001" customHeight="1" x14ac:dyDescent="0.25">
      <c r="A42" s="470"/>
      <c r="B42" s="456">
        <f>IF(LEFT(C42,16)="Terima Pajak PPN",VLOOKUP(P42,COPY!$A$1:$AC$1000,21,FALSE),IF(LEFT(C42,16)="Terima Pajak PPH",VLOOKUP(P42,COPY!$A$1:$AC$1000,21,FALSE),IF(LEFT(C42,13)="Terima PPh 23",VLOOKUP(P42,COPY!$A$1:$AC$1000,21,FALSE),0)))</f>
        <v>0</v>
      </c>
      <c r="C42" s="457">
        <f>IFERROR(IF(LEFT(VLOOKUP(P42,COPY!$A$1:$AC$1000,29,FALSE),5)="Terim",VLOOKUP(P42,COPY!$A$1:$AC$1000,29,FALSE),0),0)</f>
        <v>0</v>
      </c>
      <c r="D42" s="457"/>
      <c r="E42" s="457"/>
      <c r="F42" s="458">
        <f>IFERROR(IF(LEFT(VLOOKUP(P42,COPY!$A$1:$AC$1000,29,FALSE),5)="Terim",VLOOKUP(P42,COPY!$A$1:$AC$1000,26,FALSE),0),0)</f>
        <v>0</v>
      </c>
      <c r="G42" s="459" t="str">
        <f>IFERROR(VLOOKUP(P42,COPY!$A$1:$L$1000,4,FALSE),0)</f>
        <v/>
      </c>
      <c r="H42" s="457" t="str">
        <f>IFERROR(VLOOKUP(P42,COPY!$A$1:$L$1000,2,FALSE),0)</f>
        <v>Beli</v>
      </c>
      <c r="I42" s="510">
        <f>IFERROR(VLOOKUP(P42,COPY!$A$1:$L$1000,10,FALSE),0)</f>
        <v>8</v>
      </c>
      <c r="J42" s="467" t="str">
        <f>IFERROR(VLOOKUP(P42,COPY!$A$1:$L$1000,8,FALSE),0)</f>
        <v>Pcs</v>
      </c>
      <c r="K42" s="457" t="str">
        <f>IFERROR(VLOOKUP(P42,COPY!$A$1:$L$1000,7,FALSE),0)</f>
        <v>Fitting Plafon Kotak New Broco 1210</v>
      </c>
      <c r="L42" s="468" t="str">
        <f>IFERROR(VLOOKUP(P42,COPY!$A$1:$O$1000,15,FALSE),0)</f>
        <v/>
      </c>
      <c r="M42" s="468" t="str">
        <f>IFERROR(VLOOKUP(P42,COPY!$A$1:$L$1000,12,FALSE),0)</f>
        <v>B</v>
      </c>
      <c r="N42" s="469">
        <f>IF(H42="Jasa",VLOOKUP('BKU 2'!K42,'Rekap Gaji'!$D$12:$I$26,6,FALSE),(IF(H42="Beli",VLOOKUP(P42,COPY!$A$1:$L$1000,11,FALSE),IF(H42="Bayar Ongkos",VLOOKUP(K42,'Rekap Gaji'!$D$12:$I$26,6,FALSE),0))))</f>
        <v>120000</v>
      </c>
      <c r="O42" s="470"/>
      <c r="P42" s="466" t="str">
        <f t="shared" si="0"/>
        <v>2.11</v>
      </c>
      <c r="Q42" s="253">
        <f t="shared" si="2"/>
        <v>11</v>
      </c>
      <c r="R42" s="253">
        <f t="shared" si="3"/>
        <v>11</v>
      </c>
      <c r="S42" s="449">
        <f t="shared" si="4"/>
        <v>11</v>
      </c>
      <c r="T42" s="253">
        <f t="shared" si="5"/>
        <v>-67</v>
      </c>
      <c r="U42" s="457" t="str">
        <f t="shared" si="1"/>
        <v xml:space="preserve"> </v>
      </c>
    </row>
    <row r="43" spans="1:21" ht="20.100000000000001" customHeight="1" x14ac:dyDescent="0.25">
      <c r="A43" s="470"/>
      <c r="B43" s="456">
        <f>IF(LEFT(C43,16)="Terima Pajak PPN",VLOOKUP(P43,COPY!$A$1:$AC$1000,21,FALSE),IF(LEFT(C43,16)="Terima Pajak PPH",VLOOKUP(P43,COPY!$A$1:$AC$1000,21,FALSE),IF(LEFT(C43,13)="Terima PPh 23",VLOOKUP(P43,COPY!$A$1:$AC$1000,21,FALSE),0)))</f>
        <v>0</v>
      </c>
      <c r="C43" s="457">
        <f>IFERROR(IF(LEFT(VLOOKUP(P43,COPY!$A$1:$AC$1000,29,FALSE),5)="Terim",VLOOKUP(P43,COPY!$A$1:$AC$1000,29,FALSE),0),0)</f>
        <v>0</v>
      </c>
      <c r="D43" s="457"/>
      <c r="E43" s="457"/>
      <c r="F43" s="458">
        <f>IFERROR(IF(LEFT(VLOOKUP(P43,COPY!$A$1:$AC$1000,29,FALSE),5)="Terim",VLOOKUP(P43,COPY!$A$1:$AC$1000,26,FALSE),0),0)</f>
        <v>0</v>
      </c>
      <c r="G43" s="459" t="str">
        <f>IFERROR(VLOOKUP(P43,COPY!$A$1:$L$1000,4,FALSE),0)</f>
        <v/>
      </c>
      <c r="H43" s="457" t="str">
        <f>IFERROR(VLOOKUP(P43,COPY!$A$1:$L$1000,2,FALSE),0)</f>
        <v>Beli</v>
      </c>
      <c r="I43" s="510">
        <f>IFERROR(VLOOKUP(P43,COPY!$A$1:$L$1000,10,FALSE),0)</f>
        <v>10</v>
      </c>
      <c r="J43" s="467" t="str">
        <f>IFERROR(VLOOKUP(P43,COPY!$A$1:$L$1000,8,FALSE),0)</f>
        <v>Ljr</v>
      </c>
      <c r="K43" s="457" t="str">
        <f>IFERROR(VLOOKUP(P43,COPY!$A$1:$L$1000,7,FALSE),0)</f>
        <v>Pipa Listrik Nisso</v>
      </c>
      <c r="L43" s="468" t="str">
        <f>IFERROR(VLOOKUP(P43,COPY!$A$1:$O$1000,15,FALSE),0)</f>
        <v/>
      </c>
      <c r="M43" s="468" t="str">
        <f>IFERROR(VLOOKUP(P43,COPY!$A$1:$L$1000,12,FALSE),0)</f>
        <v>B</v>
      </c>
      <c r="N43" s="469">
        <f>IF(H43="Jasa",VLOOKUP('BKU 2'!K43,'Rekap Gaji'!$D$12:$I$26,6,FALSE),(IF(H43="Beli",VLOOKUP(P43,COPY!$A$1:$L$1000,11,FALSE),IF(H43="Bayar Ongkos",VLOOKUP(K43,'Rekap Gaji'!$D$12:$I$26,6,FALSE),0))))</f>
        <v>100000</v>
      </c>
      <c r="O43" s="470"/>
      <c r="P43" s="466" t="str">
        <f t="shared" si="0"/>
        <v>2.12</v>
      </c>
      <c r="Q43" s="253">
        <f t="shared" si="2"/>
        <v>12</v>
      </c>
      <c r="R43" s="253">
        <f t="shared" si="3"/>
        <v>12</v>
      </c>
      <c r="S43" s="449">
        <f t="shared" si="4"/>
        <v>12</v>
      </c>
      <c r="T43" s="253">
        <f t="shared" si="5"/>
        <v>-66</v>
      </c>
      <c r="U43" s="457" t="str">
        <f t="shared" si="1"/>
        <v xml:space="preserve"> </v>
      </c>
    </row>
    <row r="44" spans="1:21" ht="20.100000000000001" customHeight="1" x14ac:dyDescent="0.25">
      <c r="A44" s="470"/>
      <c r="B44" s="456">
        <f>IF(LEFT(C44,16)="Terima Pajak PPN",VLOOKUP(P44,COPY!$A$1:$AC$1000,21,FALSE),IF(LEFT(C44,16)="Terima Pajak PPH",VLOOKUP(P44,COPY!$A$1:$AC$1000,21,FALSE),IF(LEFT(C44,13)="Terima PPh 23",VLOOKUP(P44,COPY!$A$1:$AC$1000,21,FALSE),0)))</f>
        <v>0</v>
      </c>
      <c r="C44" s="457">
        <f>IFERROR(IF(LEFT(VLOOKUP(P44,COPY!$A$1:$AC$1000,29,FALSE),5)="Terim",VLOOKUP(P44,COPY!$A$1:$AC$1000,29,FALSE),0),0)</f>
        <v>0</v>
      </c>
      <c r="D44" s="457"/>
      <c r="E44" s="457"/>
      <c r="F44" s="458">
        <f>IFERROR(IF(LEFT(VLOOKUP(P44,COPY!$A$1:$AC$1000,29,FALSE),5)="Terim",VLOOKUP(P44,COPY!$A$1:$AC$1000,26,FALSE),0),0)</f>
        <v>0</v>
      </c>
      <c r="G44" s="459" t="str">
        <f>IFERROR(VLOOKUP(P44,COPY!$A$1:$L$1000,4,FALSE),0)</f>
        <v/>
      </c>
      <c r="H44" s="457" t="str">
        <f>IFERROR(VLOOKUP(P44,COPY!$A$1:$L$1000,2,FALSE),0)</f>
        <v>Beli</v>
      </c>
      <c r="I44" s="510">
        <f>IFERROR(VLOOKUP(P44,COPY!$A$1:$L$1000,10,FALSE),0)</f>
        <v>30</v>
      </c>
      <c r="J44" s="467" t="str">
        <f>IFERROR(VLOOKUP(P44,COPY!$A$1:$L$1000,8,FALSE),0)</f>
        <v>Pcs</v>
      </c>
      <c r="K44" s="457" t="str">
        <f>IFERROR(VLOOKUP(P44,COPY!$A$1:$L$1000,7,FALSE),0)</f>
        <v>Supreme 2 X 0.75 Nymhy</v>
      </c>
      <c r="L44" s="468" t="str">
        <f>IFERROR(VLOOKUP(P44,COPY!$A$1:$O$1000,15,FALSE),0)</f>
        <v/>
      </c>
      <c r="M44" s="468" t="str">
        <f>IFERROR(VLOOKUP(P44,COPY!$A$1:$L$1000,12,FALSE),0)</f>
        <v>B</v>
      </c>
      <c r="N44" s="469">
        <f>IF(H44="Jasa",VLOOKUP('BKU 2'!K44,'Rekap Gaji'!$D$12:$I$26,6,FALSE),(IF(H44="Beli",VLOOKUP(P44,COPY!$A$1:$L$1000,11,FALSE),IF(H44="Bayar Ongkos",VLOOKUP(K44,'Rekap Gaji'!$D$12:$I$26,6,FALSE),0))))</f>
        <v>270000</v>
      </c>
      <c r="O44" s="470"/>
      <c r="P44" s="466" t="str">
        <f t="shared" si="0"/>
        <v>2.13</v>
      </c>
      <c r="Q44" s="253">
        <f t="shared" si="2"/>
        <v>13</v>
      </c>
      <c r="R44" s="253">
        <f t="shared" si="3"/>
        <v>13</v>
      </c>
      <c r="S44" s="449">
        <f t="shared" si="4"/>
        <v>13</v>
      </c>
      <c r="T44" s="253">
        <f t="shared" si="5"/>
        <v>-65</v>
      </c>
      <c r="U44" s="457" t="str">
        <f t="shared" si="1"/>
        <v xml:space="preserve"> </v>
      </c>
    </row>
    <row r="45" spans="1:21" ht="20.100000000000001" customHeight="1" x14ac:dyDescent="0.25">
      <c r="A45" s="470"/>
      <c r="B45" s="456">
        <f>IF(LEFT(C45,16)="Terima Pajak PPN",VLOOKUP(P45,COPY!$A$1:$AC$1000,21,FALSE),IF(LEFT(C45,16)="Terima Pajak PPH",VLOOKUP(P45,COPY!$A$1:$AC$1000,21,FALSE),IF(LEFT(C45,13)="Terima PPh 23",VLOOKUP(P45,COPY!$A$1:$AC$1000,21,FALSE),0)))</f>
        <v>0</v>
      </c>
      <c r="C45" s="457">
        <f>IFERROR(IF(LEFT(VLOOKUP(P45,COPY!$A$1:$AC$1000,29,FALSE),5)="Terim",VLOOKUP(P45,COPY!$A$1:$AC$1000,29,FALSE),0),0)</f>
        <v>0</v>
      </c>
      <c r="D45" s="457"/>
      <c r="E45" s="457"/>
      <c r="F45" s="458">
        <f>IFERROR(IF(LEFT(VLOOKUP(P45,COPY!$A$1:$AC$1000,29,FALSE),5)="Terim",VLOOKUP(P45,COPY!$A$1:$AC$1000,26,FALSE),0),0)</f>
        <v>0</v>
      </c>
      <c r="G45" s="459" t="str">
        <f>IFERROR(VLOOKUP(P45,COPY!$A$1:$L$1000,4,FALSE),0)</f>
        <v/>
      </c>
      <c r="H45" s="457" t="str">
        <f>IFERROR(VLOOKUP(P45,COPY!$A$1:$L$1000,2,FALSE),0)</f>
        <v>Beli</v>
      </c>
      <c r="I45" s="510">
        <f>IFERROR(VLOOKUP(P45,COPY!$A$1:$L$1000,10,FALSE),0)</f>
        <v>4</v>
      </c>
      <c r="J45" s="467" t="str">
        <f>IFERROR(VLOOKUP(P45,COPY!$A$1:$L$1000,8,FALSE),0)</f>
        <v>m</v>
      </c>
      <c r="K45" s="457" t="str">
        <f>IFERROR(VLOOKUP(P45,COPY!$A$1:$L$1000,7,FALSE),0)</f>
        <v>Spiral Listrik</v>
      </c>
      <c r="L45" s="468" t="str">
        <f>IFERROR(VLOOKUP(P45,COPY!$A$1:$O$1000,15,FALSE),0)</f>
        <v/>
      </c>
      <c r="M45" s="468" t="str">
        <f>IFERROR(VLOOKUP(P45,COPY!$A$1:$L$1000,12,FALSE),0)</f>
        <v>B</v>
      </c>
      <c r="N45" s="469">
        <f>IF(H45="Jasa",VLOOKUP('BKU 2'!K45,'Rekap Gaji'!$D$12:$I$26,6,FALSE),(IF(H45="Beli",VLOOKUP(P45,COPY!$A$1:$L$1000,11,FALSE),IF(H45="Bayar Ongkos",VLOOKUP(K45,'Rekap Gaji'!$D$12:$I$26,6,FALSE),0))))</f>
        <v>20000</v>
      </c>
      <c r="P45" s="466" t="str">
        <f t="shared" si="0"/>
        <v>2.14</v>
      </c>
      <c r="Q45" s="253">
        <f t="shared" si="2"/>
        <v>14</v>
      </c>
      <c r="R45" s="253">
        <f t="shared" si="3"/>
        <v>14</v>
      </c>
      <c r="S45" s="449">
        <f t="shared" si="4"/>
        <v>14</v>
      </c>
      <c r="T45" s="253">
        <f t="shared" si="5"/>
        <v>-64</v>
      </c>
      <c r="U45" s="457" t="str">
        <f t="shared" si="1"/>
        <v xml:space="preserve"> </v>
      </c>
    </row>
    <row r="46" spans="1:21" ht="20.100000000000001" customHeight="1" x14ac:dyDescent="0.25">
      <c r="A46" s="470"/>
      <c r="B46" s="456">
        <f>IF(LEFT(C46,16)="Terima Pajak PPN",VLOOKUP(P46,COPY!$A$1:$AC$1000,21,FALSE),IF(LEFT(C46,16)="Terima Pajak PPH",VLOOKUP(P46,COPY!$A$1:$AC$1000,21,FALSE),IF(LEFT(C46,13)="Terima PPh 23",VLOOKUP(P46,COPY!$A$1:$AC$1000,21,FALSE),0)))</f>
        <v>0</v>
      </c>
      <c r="C46" s="457">
        <f>IFERROR(IF(LEFT(VLOOKUP(P46,COPY!$A$1:$AC$1000,29,FALSE),5)="Terim",VLOOKUP(P46,COPY!$A$1:$AC$1000,29,FALSE),0),0)</f>
        <v>0</v>
      </c>
      <c r="D46" s="457"/>
      <c r="E46" s="457"/>
      <c r="F46" s="458">
        <f>IFERROR(IF(LEFT(VLOOKUP(P46,COPY!$A$1:$AC$1000,29,FALSE),5)="Terim",VLOOKUP(P46,COPY!$A$1:$AC$1000,26,FALSE),0),0)</f>
        <v>0</v>
      </c>
      <c r="G46" s="459" t="str">
        <f>IFERROR(VLOOKUP(P46,COPY!$A$1:$L$1000,4,FALSE),0)</f>
        <v/>
      </c>
      <c r="H46" s="457" t="str">
        <f>IFERROR(VLOOKUP(P46,COPY!$A$1:$L$1000,2,FALSE),0)</f>
        <v>Beli</v>
      </c>
      <c r="I46" s="510">
        <f>IFERROR(VLOOKUP(P46,COPY!$A$1:$L$1000,10,FALSE),0)</f>
        <v>2</v>
      </c>
      <c r="J46" s="467" t="str">
        <f>IFERROR(VLOOKUP(P46,COPY!$A$1:$L$1000,8,FALSE),0)</f>
        <v>Pcs</v>
      </c>
      <c r="K46" s="457" t="str">
        <f>IFERROR(VLOOKUP(P46,COPY!$A$1:$L$1000,7,FALSE),0)</f>
        <v>Isolasi Kabel National</v>
      </c>
      <c r="L46" s="468" t="str">
        <f>IFERROR(VLOOKUP(P46,COPY!$A$1:$O$1000,15,FALSE),0)</f>
        <v/>
      </c>
      <c r="M46" s="468" t="str">
        <f>IFERROR(VLOOKUP(P46,COPY!$A$1:$L$1000,12,FALSE),0)</f>
        <v>B</v>
      </c>
      <c r="N46" s="469">
        <f>IF(H46="Jasa",VLOOKUP('BKU 2'!K46,'Rekap Gaji'!$D$12:$I$26,6,FALSE),(IF(H46="Beli",VLOOKUP(P46,COPY!$A$1:$L$1000,11,FALSE),IF(H46="Bayar Ongkos",VLOOKUP(K46,'Rekap Gaji'!$D$12:$I$26,6,FALSE),0))))</f>
        <v>20000</v>
      </c>
      <c r="O46" s="470"/>
      <c r="P46" s="466" t="str">
        <f t="shared" si="0"/>
        <v>2.15</v>
      </c>
      <c r="Q46" s="253">
        <f t="shared" si="2"/>
        <v>15</v>
      </c>
      <c r="R46" s="253">
        <f t="shared" si="3"/>
        <v>15</v>
      </c>
      <c r="S46" s="449">
        <f t="shared" si="4"/>
        <v>15</v>
      </c>
      <c r="T46" s="253">
        <f t="shared" si="5"/>
        <v>-63</v>
      </c>
      <c r="U46" s="457" t="str">
        <f t="shared" si="1"/>
        <v xml:space="preserve"> </v>
      </c>
    </row>
    <row r="47" spans="1:21" ht="20.100000000000001" customHeight="1" x14ac:dyDescent="0.25">
      <c r="A47" s="470"/>
      <c r="B47" s="456">
        <f>IF(LEFT(C47,16)="Terima Pajak PPN",VLOOKUP(P47,COPY!$A$1:$AC$1000,21,FALSE),IF(LEFT(C47,16)="Terima Pajak PPH",VLOOKUP(P47,COPY!$A$1:$AC$1000,21,FALSE),IF(LEFT(C47,13)="Terima PPh 23",VLOOKUP(P47,COPY!$A$1:$AC$1000,21,FALSE),0)))</f>
        <v>0</v>
      </c>
      <c r="C47" s="457">
        <f>IFERROR(IF(LEFT(VLOOKUP(P47,COPY!$A$1:$AC$1000,29,FALSE),5)="Terim",VLOOKUP(P47,COPY!$A$1:$AC$1000,29,FALSE),0),0)</f>
        <v>0</v>
      </c>
      <c r="D47" s="457"/>
      <c r="E47" s="457"/>
      <c r="F47" s="458">
        <f>IFERROR(IF(LEFT(VLOOKUP(P47,COPY!$A$1:$AC$1000,29,FALSE),5)="Terim",VLOOKUP(P47,COPY!$A$1:$AC$1000,26,FALSE),0),0)</f>
        <v>0</v>
      </c>
      <c r="G47" s="459" t="str">
        <f>IFERROR(VLOOKUP(P47,COPY!$A$1:$L$1000,4,FALSE),0)</f>
        <v/>
      </c>
      <c r="H47" s="457" t="str">
        <f>IFERROR(VLOOKUP(P47,COPY!$A$1:$L$1000,2,FALSE),0)</f>
        <v>Beli</v>
      </c>
      <c r="I47" s="510">
        <f>IFERROR(VLOOKUP(P47,COPY!$A$1:$L$1000,10,FALSE),0)</f>
        <v>1</v>
      </c>
      <c r="J47" s="467" t="str">
        <f>IFERROR(VLOOKUP(P47,COPY!$A$1:$L$1000,8,FALSE),0)</f>
        <v>Roll</v>
      </c>
      <c r="K47" s="457" t="str">
        <f>IFERROR(VLOOKUP(P47,COPY!$A$1:$L$1000,7,FALSE),0)</f>
        <v>Kabel Nyy 2 X 1.5</v>
      </c>
      <c r="L47" s="468" t="str">
        <f>IFERROR(VLOOKUP(P47,COPY!$A$1:$O$1000,15,FALSE),0)</f>
        <v/>
      </c>
      <c r="M47" s="468" t="str">
        <f>IFERROR(VLOOKUP(P47,COPY!$A$1:$L$1000,12,FALSE),0)</f>
        <v>B</v>
      </c>
      <c r="N47" s="469">
        <f>IF(H47="Jasa",VLOOKUP('BKU 2'!K47,'Rekap Gaji'!$D$12:$I$26,6,FALSE),(IF(H47="Beli",VLOOKUP(P47,COPY!$A$1:$L$1000,11,FALSE),IF(H47="Bayar Ongkos",VLOOKUP(K47,'Rekap Gaji'!$D$12:$I$26,6,FALSE),0))))</f>
        <v>405000</v>
      </c>
      <c r="P47" s="466" t="str">
        <f t="shared" si="0"/>
        <v>2.16</v>
      </c>
      <c r="Q47" s="253">
        <f t="shared" si="2"/>
        <v>16</v>
      </c>
      <c r="R47" s="253">
        <f t="shared" si="3"/>
        <v>16</v>
      </c>
      <c r="S47" s="449">
        <f t="shared" si="4"/>
        <v>16</v>
      </c>
      <c r="T47" s="253">
        <f t="shared" si="5"/>
        <v>-62</v>
      </c>
      <c r="U47" s="457" t="str">
        <f t="shared" si="1"/>
        <v xml:space="preserve"> </v>
      </c>
    </row>
    <row r="48" spans="1:21" ht="20.100000000000001" customHeight="1" x14ac:dyDescent="0.25">
      <c r="A48" s="470"/>
      <c r="B48" s="456">
        <f>IF(LEFT(C48,16)="Terima Pajak PPN",VLOOKUP(P48,COPY!$A$1:$AC$1000,21,FALSE),IF(LEFT(C48,16)="Terima Pajak PPH",VLOOKUP(P48,COPY!$A$1:$AC$1000,21,FALSE),IF(LEFT(C48,13)="Terima PPh 23",VLOOKUP(P48,COPY!$A$1:$AC$1000,21,FALSE),0)))</f>
        <v>0</v>
      </c>
      <c r="C48" s="457">
        <f>IFERROR(IF(LEFT(VLOOKUP(P48,COPY!$A$1:$AC$1000,29,FALSE),5)="Terim",VLOOKUP(P48,COPY!$A$1:$AC$1000,29,FALSE),0),0)</f>
        <v>0</v>
      </c>
      <c r="D48" s="457"/>
      <c r="E48" s="457"/>
      <c r="F48" s="458">
        <f>IFERROR(IF(LEFT(VLOOKUP(P48,COPY!$A$1:$AC$1000,29,FALSE),5)="Terim",VLOOKUP(P48,COPY!$A$1:$AC$1000,26,FALSE),0),0)</f>
        <v>0</v>
      </c>
      <c r="G48" s="459" t="str">
        <f>IFERROR(VLOOKUP(P48,COPY!$A$1:$L$1000,4,FALSE),0)</f>
        <v/>
      </c>
      <c r="H48" s="457" t="str">
        <f>IFERROR(VLOOKUP(P48,COPY!$A$1:$L$1000,2,FALSE),0)</f>
        <v>Beli</v>
      </c>
      <c r="I48" s="510">
        <f>IFERROR(VLOOKUP(P48,COPY!$A$1:$L$1000,10,FALSE),0)</f>
        <v>1</v>
      </c>
      <c r="J48" s="467" t="str">
        <f>IFERROR(VLOOKUP(P48,COPY!$A$1:$L$1000,8,FALSE),0)</f>
        <v>pak</v>
      </c>
      <c r="K48" s="457" t="str">
        <f>IFERROR(VLOOKUP(P48,COPY!$A$1:$L$1000,7,FALSE),0)</f>
        <v>Kabel Tis Besar</v>
      </c>
      <c r="L48" s="468" t="str">
        <f>IFERROR(VLOOKUP(P48,COPY!$A$1:$O$1000,15,FALSE),0)</f>
        <v/>
      </c>
      <c r="M48" s="468" t="str">
        <f>IFERROR(VLOOKUP(P48,COPY!$A$1:$L$1000,12,FALSE),0)</f>
        <v>B</v>
      </c>
      <c r="N48" s="469">
        <f>IF(H48="Jasa",VLOOKUP('BKU 2'!K48,'Rekap Gaji'!$D$12:$I$26,6,FALSE),(IF(H48="Beli",VLOOKUP(P48,COPY!$A$1:$L$1000,11,FALSE),IF(H48="Bayar Ongkos",VLOOKUP(K48,'Rekap Gaji'!$D$12:$I$26,6,FALSE),0))))</f>
        <v>17000</v>
      </c>
      <c r="P48" s="466" t="str">
        <f t="shared" si="0"/>
        <v>2.17</v>
      </c>
      <c r="Q48" s="253">
        <f t="shared" si="2"/>
        <v>17</v>
      </c>
      <c r="R48" s="253">
        <f t="shared" si="3"/>
        <v>17</v>
      </c>
      <c r="S48" s="449">
        <f t="shared" si="4"/>
        <v>17</v>
      </c>
      <c r="T48" s="253">
        <f t="shared" si="5"/>
        <v>-61</v>
      </c>
      <c r="U48" s="457" t="str">
        <f t="shared" si="1"/>
        <v xml:space="preserve"> </v>
      </c>
    </row>
    <row r="49" spans="1:21" ht="20.100000000000001" customHeight="1" x14ac:dyDescent="0.25">
      <c r="A49" s="470"/>
      <c r="B49" s="456">
        <f>IF(LEFT(C49,16)="Terima Pajak PPN",VLOOKUP(P49,COPY!$A$1:$AC$1000,21,FALSE),IF(LEFT(C49,16)="Terima Pajak PPH",VLOOKUP(P49,COPY!$A$1:$AC$1000,21,FALSE),IF(LEFT(C49,13)="Terima PPh 23",VLOOKUP(P49,COPY!$A$1:$AC$1000,21,FALSE),0)))</f>
        <v>0</v>
      </c>
      <c r="C49" s="457">
        <f>IFERROR(IF(LEFT(VLOOKUP(P49,COPY!$A$1:$AC$1000,29,FALSE),5)="Terim",VLOOKUP(P49,COPY!$A$1:$AC$1000,29,FALSE),0),0)</f>
        <v>0</v>
      </c>
      <c r="D49" s="457"/>
      <c r="E49" s="457"/>
      <c r="F49" s="458">
        <f>IFERROR(IF(LEFT(VLOOKUP(P49,COPY!$A$1:$AC$1000,29,FALSE),5)="Terim",VLOOKUP(P49,COPY!$A$1:$AC$1000,26,FALSE),0),0)</f>
        <v>0</v>
      </c>
      <c r="G49" s="459">
        <f>IFERROR(VLOOKUP(P49,COPY!$A$1:$L$1000,4,FALSE),0)</f>
        <v>45937</v>
      </c>
      <c r="H49" s="457" t="str">
        <f>IFERROR(VLOOKUP(P49,COPY!$A$1:$L$1000,2,FALSE),0)</f>
        <v>Beli</v>
      </c>
      <c r="I49" s="510">
        <f>IFERROR(VLOOKUP(P49,COPY!$A$1:$L$1000,10,FALSE),0)</f>
        <v>15</v>
      </c>
      <c r="J49" s="467" t="str">
        <f>IFERROR(VLOOKUP(P49,COPY!$A$1:$L$1000,8,FALSE),0)</f>
        <v>Dus</v>
      </c>
      <c r="K49" s="457" t="str">
        <f>IFERROR(VLOOKUP(P49,COPY!$A$1:$L$1000,7,FALSE),0)</f>
        <v>Keramik 25X25 Everst Platinum</v>
      </c>
      <c r="L49" s="468" t="str">
        <f>IFERROR(VLOOKUP(P49,COPY!$A$1:$O$1000,15,FALSE),0)</f>
        <v>BKK.36</v>
      </c>
      <c r="M49" s="468" t="str">
        <f>IFERROR(VLOOKUP(P49,COPY!$A$1:$L$1000,12,FALSE),0)</f>
        <v>B</v>
      </c>
      <c r="N49" s="469">
        <f>IF(H49="Jasa",VLOOKUP('BKU 2'!K49,'Rekap Gaji'!$D$12:$I$26,6,FALSE),(IF(H49="Beli",VLOOKUP(P49,COPY!$A$1:$L$1000,11,FALSE),IF(H49="Bayar Ongkos",VLOOKUP(K49,'Rekap Gaji'!$D$12:$I$26,6,FALSE),0))))</f>
        <v>975000</v>
      </c>
      <c r="P49" s="466" t="str">
        <f t="shared" si="0"/>
        <v>2.18</v>
      </c>
      <c r="Q49" s="253">
        <f t="shared" si="2"/>
        <v>18</v>
      </c>
      <c r="R49" s="253">
        <f t="shared" si="3"/>
        <v>18</v>
      </c>
      <c r="S49" s="449">
        <f t="shared" si="4"/>
        <v>18</v>
      </c>
      <c r="T49" s="253">
        <f t="shared" si="5"/>
        <v>-60</v>
      </c>
      <c r="U49" s="457" t="str">
        <f t="shared" si="1"/>
        <v xml:space="preserve"> </v>
      </c>
    </row>
    <row r="50" spans="1:21" ht="20.100000000000001" customHeight="1" x14ac:dyDescent="0.25">
      <c r="A50" s="470"/>
      <c r="B50" s="456">
        <f>IF(LEFT(C50,16)="Terima Pajak PPN",VLOOKUP(P50,COPY!$A$1:$AC$1000,21,FALSE),IF(LEFT(C50,16)="Terima Pajak PPH",VLOOKUP(P50,COPY!$A$1:$AC$1000,21,FALSE),IF(LEFT(C50,13)="Terima PPh 23",VLOOKUP(P50,COPY!$A$1:$AC$1000,21,FALSE),0)))</f>
        <v>0</v>
      </c>
      <c r="C50" s="457">
        <f>IFERROR(IF(LEFT(VLOOKUP(P50,COPY!$A$1:$AC$1000,29,FALSE),5)="Terim",VLOOKUP(P50,COPY!$A$1:$AC$1000,29,FALSE),0),0)</f>
        <v>0</v>
      </c>
      <c r="D50" s="457"/>
      <c r="E50" s="457"/>
      <c r="F50" s="458">
        <f>IFERROR(IF(LEFT(VLOOKUP(P50,COPY!$A$1:$AC$1000,29,FALSE),5)="Terim",VLOOKUP(P50,COPY!$A$1:$AC$1000,26,FALSE),0),0)</f>
        <v>0</v>
      </c>
      <c r="G50" s="459" t="str">
        <f>IFERROR(VLOOKUP(P50,COPY!$A$1:$L$1000,4,FALSE),0)</f>
        <v/>
      </c>
      <c r="H50" s="457" t="str">
        <f>IFERROR(VLOOKUP(P50,COPY!$A$1:$L$1000,2,FALSE),0)</f>
        <v>Beli</v>
      </c>
      <c r="I50" s="510">
        <f>IFERROR(VLOOKUP(P50,COPY!$A$1:$L$1000,10,FALSE),0)</f>
        <v>10</v>
      </c>
      <c r="J50" s="467" t="str">
        <f>IFERROR(VLOOKUP(P50,COPY!$A$1:$L$1000,8,FALSE),0)</f>
        <v>Dus</v>
      </c>
      <c r="K50" s="457" t="str">
        <f>IFERROR(VLOOKUP(P50,COPY!$A$1:$L$1000,7,FALSE),0)</f>
        <v>Keramik Dinding 25 X 40 Novana Perla</v>
      </c>
      <c r="L50" s="468" t="str">
        <f>IFERROR(VLOOKUP(P50,COPY!$A$1:$O$1000,15,FALSE),0)</f>
        <v/>
      </c>
      <c r="M50" s="468" t="str">
        <f>IFERROR(VLOOKUP(P50,COPY!$A$1:$L$1000,12,FALSE),0)</f>
        <v>B</v>
      </c>
      <c r="N50" s="469">
        <f>IF(H50="Jasa",VLOOKUP('BKU 2'!K50,'Rekap Gaji'!$D$12:$I$26,6,FALSE),(IF(H50="Beli",VLOOKUP(P50,COPY!$A$1:$L$1000,11,FALSE),IF(H50="Bayar Ongkos",VLOOKUP(K50,'Rekap Gaji'!$D$12:$I$26,6,FALSE),0))))</f>
        <v>750000</v>
      </c>
      <c r="P50" s="466" t="str">
        <f t="shared" si="0"/>
        <v>2.19</v>
      </c>
      <c r="Q50" s="253">
        <f t="shared" si="2"/>
        <v>19</v>
      </c>
      <c r="R50" s="253">
        <f t="shared" si="3"/>
        <v>19</v>
      </c>
      <c r="S50" s="449">
        <f t="shared" si="4"/>
        <v>19</v>
      </c>
      <c r="T50" s="253">
        <f t="shared" si="5"/>
        <v>-59</v>
      </c>
      <c r="U50" s="457" t="str">
        <f t="shared" si="1"/>
        <v xml:space="preserve"> </v>
      </c>
    </row>
    <row r="51" spans="1:21" ht="20.100000000000001" customHeight="1" x14ac:dyDescent="0.25">
      <c r="A51" s="470"/>
      <c r="B51" s="456">
        <f>IF(LEFT(C51,16)="Terima Pajak PPN",VLOOKUP(P51,COPY!$A$1:$AC$1000,21,FALSE),IF(LEFT(C51,16)="Terima Pajak PPH",VLOOKUP(P51,COPY!$A$1:$AC$1000,21,FALSE),IF(LEFT(C51,13)="Terima PPh 23",VLOOKUP(P51,COPY!$A$1:$AC$1000,21,FALSE),0)))</f>
        <v>0</v>
      </c>
      <c r="C51" s="457">
        <f>IFERROR(IF(LEFT(VLOOKUP(P51,COPY!$A$1:$AC$1000,29,FALSE),5)="Terim",VLOOKUP(P51,COPY!$A$1:$AC$1000,29,FALSE),0),0)</f>
        <v>0</v>
      </c>
      <c r="D51" s="457"/>
      <c r="E51" s="457"/>
      <c r="F51" s="458">
        <f>IFERROR(IF(LEFT(VLOOKUP(P51,COPY!$A$1:$AC$1000,29,FALSE),5)="Terim",VLOOKUP(P51,COPY!$A$1:$AC$1000,26,FALSE),0),0)</f>
        <v>0</v>
      </c>
      <c r="G51" s="459">
        <f>IFERROR(VLOOKUP(P51,COPY!$A$1:$L$1000,4,FALSE),0)</f>
        <v>45938</v>
      </c>
      <c r="H51" s="457" t="str">
        <f>IFERROR(VLOOKUP(P51,COPY!$A$1:$L$1000,2,FALSE),0)</f>
        <v>Beli</v>
      </c>
      <c r="I51" s="510">
        <f>IFERROR(VLOOKUP(P51,COPY!$A$1:$L$1000,10,FALSE),0)</f>
        <v>1</v>
      </c>
      <c r="J51" s="467" t="str">
        <f>IFERROR(VLOOKUP(P51,COPY!$A$1:$L$1000,8,FALSE),0)</f>
        <v>Pik Up</v>
      </c>
      <c r="K51" s="457" t="str">
        <f>IFERROR(VLOOKUP(P51,COPY!$A$1:$L$1000,7,FALSE),0)</f>
        <v>Pasir Cor L300</v>
      </c>
      <c r="L51" s="468" t="str">
        <f>IFERROR(VLOOKUP(P51,COPY!$A$1:$O$1000,15,FALSE),0)</f>
        <v>BKK.37</v>
      </c>
      <c r="M51" s="468" t="str">
        <f>IFERROR(VLOOKUP(P51,COPY!$A$1:$L$1000,12,FALSE),0)</f>
        <v>B</v>
      </c>
      <c r="N51" s="469">
        <f>IF(H51="Jasa",VLOOKUP('BKU 2'!K51,'Rekap Gaji'!$D$12:$I$26,6,FALSE),(IF(H51="Beli",VLOOKUP(P51,COPY!$A$1:$L$1000,11,FALSE),IF(H51="Bayar Ongkos",VLOOKUP(K51,'Rekap Gaji'!$D$12:$I$26,6,FALSE),0))))</f>
        <v>335000</v>
      </c>
      <c r="O51" s="470"/>
      <c r="P51" s="466" t="str">
        <f t="shared" si="0"/>
        <v>2.20</v>
      </c>
      <c r="Q51" s="253">
        <f t="shared" si="2"/>
        <v>20</v>
      </c>
      <c r="R51" s="253">
        <f t="shared" si="3"/>
        <v>20</v>
      </c>
      <c r="S51" s="449">
        <f t="shared" si="4"/>
        <v>20</v>
      </c>
      <c r="T51" s="253">
        <f t="shared" si="5"/>
        <v>-58</v>
      </c>
      <c r="U51" s="457" t="str">
        <f t="shared" si="1"/>
        <v xml:space="preserve"> </v>
      </c>
    </row>
    <row r="52" spans="1:21" ht="20.100000000000001" customHeight="1" x14ac:dyDescent="0.25">
      <c r="A52" s="470"/>
      <c r="B52" s="456">
        <f>IF(LEFT(C52,16)="Terima Pajak PPN",VLOOKUP(P52,COPY!$A$1:$AC$1000,21,FALSE),IF(LEFT(C52,16)="Terima Pajak PPH",VLOOKUP(P52,COPY!$A$1:$AC$1000,21,FALSE),IF(LEFT(C52,13)="Terima PPh 23",VLOOKUP(P52,COPY!$A$1:$AC$1000,21,FALSE),0)))</f>
        <v>0</v>
      </c>
      <c r="C52" s="457">
        <f>IFERROR(IF(LEFT(VLOOKUP(P52,COPY!$A$1:$AC$1000,29,FALSE),5)="Terim",VLOOKUP(P52,COPY!$A$1:$AC$1000,29,FALSE),0),0)</f>
        <v>0</v>
      </c>
      <c r="D52" s="457"/>
      <c r="E52" s="457"/>
      <c r="F52" s="458">
        <f>IFERROR(IF(LEFT(VLOOKUP(P52,COPY!$A$1:$AC$1000,29,FALSE),5)="Terim",VLOOKUP(P52,COPY!$A$1:$AC$1000,26,FALSE),0),0)</f>
        <v>0</v>
      </c>
      <c r="G52" s="459" t="str">
        <f>IFERROR(VLOOKUP(P52,COPY!$A$1:$L$1000,4,FALSE),0)</f>
        <v/>
      </c>
      <c r="H52" s="457" t="str">
        <f>IFERROR(VLOOKUP(P52,COPY!$A$1:$L$1000,2,FALSE),0)</f>
        <v>Beli</v>
      </c>
      <c r="I52" s="510">
        <f>IFERROR(VLOOKUP(P52,COPY!$A$1:$L$1000,10,FALSE),0)</f>
        <v>1000</v>
      </c>
      <c r="J52" s="467" t="str">
        <f>IFERROR(VLOOKUP(P52,COPY!$A$1:$L$1000,8,FALSE),0)</f>
        <v>Bji</v>
      </c>
      <c r="K52" s="457" t="str">
        <f>IFERROR(VLOOKUP(P52,COPY!$A$1:$L$1000,7,FALSE),0)</f>
        <v>Bata Merah Super</v>
      </c>
      <c r="L52" s="468" t="str">
        <f>IFERROR(VLOOKUP(P52,COPY!$A$1:$O$1000,15,FALSE),0)</f>
        <v/>
      </c>
      <c r="M52" s="468" t="str">
        <f>IFERROR(VLOOKUP(P52,COPY!$A$1:$L$1000,12,FALSE),0)</f>
        <v>B</v>
      </c>
      <c r="N52" s="469">
        <f>IF(H52="Jasa",VLOOKUP('BKU 2'!K52,'Rekap Gaji'!$D$12:$I$26,6,FALSE),(IF(H52="Beli",VLOOKUP(P52,COPY!$A$1:$L$1000,11,FALSE),IF(H52="Bayar Ongkos",VLOOKUP(K52,'Rekap Gaji'!$D$12:$I$26,6,FALSE),0))))</f>
        <v>550000</v>
      </c>
      <c r="P52" s="466" t="str">
        <f t="shared" si="0"/>
        <v>2.21</v>
      </c>
      <c r="Q52" s="253">
        <f t="shared" si="2"/>
        <v>21</v>
      </c>
      <c r="R52" s="253">
        <f t="shared" si="3"/>
        <v>21</v>
      </c>
      <c r="S52" s="449">
        <f t="shared" si="4"/>
        <v>21</v>
      </c>
      <c r="T52" s="253">
        <f t="shared" si="5"/>
        <v>-57</v>
      </c>
      <c r="U52" s="457" t="str">
        <f t="shared" si="1"/>
        <v xml:space="preserve"> </v>
      </c>
    </row>
    <row r="53" spans="1:21" ht="20.100000000000001" customHeight="1" x14ac:dyDescent="0.25">
      <c r="A53" s="470"/>
      <c r="B53" s="456">
        <f>IF(LEFT(C53,16)="Terima Pajak PPN",VLOOKUP(P53,COPY!$A$1:$AC$1000,21,FALSE),IF(LEFT(C53,16)="Terima Pajak PPH",VLOOKUP(P53,COPY!$A$1:$AC$1000,21,FALSE),IF(LEFT(C53,13)="Terima PPh 23",VLOOKUP(P53,COPY!$A$1:$AC$1000,21,FALSE),0)))</f>
        <v>0</v>
      </c>
      <c r="C53" s="457">
        <f>IFERROR(IF(LEFT(VLOOKUP(P53,COPY!$A$1:$AC$1000,29,FALSE),5)="Terim",VLOOKUP(P53,COPY!$A$1:$AC$1000,29,FALSE),0),0)</f>
        <v>0</v>
      </c>
      <c r="D53" s="457"/>
      <c r="E53" s="457"/>
      <c r="F53" s="458">
        <f>IFERROR(IF(LEFT(VLOOKUP(P53,COPY!$A$1:$AC$1000,29,FALSE),5)="Terim",VLOOKUP(P53,COPY!$A$1:$AC$1000,26,FALSE),0),0)</f>
        <v>0</v>
      </c>
      <c r="G53" s="459" t="str">
        <f>IFERROR(VLOOKUP(P53,COPY!$A$1:$L$1000,4,FALSE),0)</f>
        <v/>
      </c>
      <c r="H53" s="457" t="str">
        <f>IFERROR(VLOOKUP(P53,COPY!$A$1:$L$1000,2,FALSE),0)</f>
        <v>Beli</v>
      </c>
      <c r="I53" s="510">
        <f>IFERROR(VLOOKUP(P53,COPY!$A$1:$L$1000,10,FALSE),0)</f>
        <v>25</v>
      </c>
      <c r="J53" s="467" t="str">
        <f>IFERROR(VLOOKUP(P53,COPY!$A$1:$L$1000,8,FALSE),0)</f>
        <v>Dus</v>
      </c>
      <c r="K53" s="457" t="str">
        <f>IFERROR(VLOOKUP(P53,COPY!$A$1:$L$1000,7,FALSE),0)</f>
        <v>Keramik Dinding 25 X 40 Novana Perla</v>
      </c>
      <c r="L53" s="468" t="str">
        <f>IFERROR(VLOOKUP(P53,COPY!$A$1:$O$1000,15,FALSE),0)</f>
        <v/>
      </c>
      <c r="M53" s="468" t="str">
        <f>IFERROR(VLOOKUP(P53,COPY!$A$1:$L$1000,12,FALSE),0)</f>
        <v>B</v>
      </c>
      <c r="N53" s="469">
        <f>IF(H53="Jasa",VLOOKUP('BKU 2'!K53,'Rekap Gaji'!$D$12:$I$26,6,FALSE),(IF(H53="Beli",VLOOKUP(P53,COPY!$A$1:$L$1000,11,FALSE),IF(H53="Bayar Ongkos",VLOOKUP(K53,'Rekap Gaji'!$D$12:$I$26,6,FALSE),0))))</f>
        <v>1875000</v>
      </c>
      <c r="O53" s="470"/>
      <c r="P53" s="466" t="str">
        <f t="shared" si="0"/>
        <v>2.22</v>
      </c>
      <c r="Q53" s="253">
        <f t="shared" si="2"/>
        <v>22</v>
      </c>
      <c r="R53" s="253">
        <f t="shared" si="3"/>
        <v>22</v>
      </c>
      <c r="S53" s="449">
        <f t="shared" si="4"/>
        <v>22</v>
      </c>
      <c r="T53" s="253">
        <f t="shared" si="5"/>
        <v>-56</v>
      </c>
      <c r="U53" s="457" t="str">
        <f t="shared" si="1"/>
        <v xml:space="preserve"> </v>
      </c>
    </row>
    <row r="54" spans="1:21" ht="20.100000000000001" customHeight="1" x14ac:dyDescent="0.25">
      <c r="A54" s="470"/>
      <c r="B54" s="456">
        <f>IF(LEFT(C54,16)="Terima Pajak PPN",VLOOKUP(P54,COPY!$A$1:$AC$1000,21,FALSE),IF(LEFT(C54,16)="Terima Pajak PPH",VLOOKUP(P54,COPY!$A$1:$AC$1000,21,FALSE),IF(LEFT(C54,13)="Terima PPh 23",VLOOKUP(P54,COPY!$A$1:$AC$1000,21,FALSE),0)))</f>
        <v>0</v>
      </c>
      <c r="C54" s="457">
        <f>IFERROR(IF(LEFT(VLOOKUP(P54,COPY!$A$1:$AC$1000,29,FALSE),5)="Terim",VLOOKUP(P54,COPY!$A$1:$AC$1000,29,FALSE),0),0)</f>
        <v>0</v>
      </c>
      <c r="D54" s="457"/>
      <c r="E54" s="457"/>
      <c r="F54" s="458">
        <f>IFERROR(IF(LEFT(VLOOKUP(P54,COPY!$A$1:$AC$1000,29,FALSE),5)="Terim",VLOOKUP(P54,COPY!$A$1:$AC$1000,26,FALSE),0),0)</f>
        <v>0</v>
      </c>
      <c r="G54" s="459">
        <f>IFERROR(VLOOKUP(P54,COPY!$A$1:$L$1000,4,FALSE),0)</f>
        <v>45939</v>
      </c>
      <c r="H54" s="457" t="str">
        <f>IFERROR(VLOOKUP(P54,COPY!$A$1:$L$1000,2,FALSE),0)</f>
        <v>Beli</v>
      </c>
      <c r="I54" s="510">
        <f>IFERROR(VLOOKUP(P54,COPY!$A$1:$L$1000,10,FALSE),0)</f>
        <v>2</v>
      </c>
      <c r="J54" s="467" t="str">
        <f>IFERROR(VLOOKUP(P54,COPY!$A$1:$L$1000,8,FALSE),0)</f>
        <v>Pik Up</v>
      </c>
      <c r="K54" s="457" t="str">
        <f>IFERROR(VLOOKUP(P54,COPY!$A$1:$L$1000,7,FALSE),0)</f>
        <v>Pasir Cor L300</v>
      </c>
      <c r="L54" s="468" t="str">
        <f>IFERROR(VLOOKUP(P54,COPY!$A$1:$O$1000,15,FALSE),0)</f>
        <v>BKK.38</v>
      </c>
      <c r="M54" s="468" t="str">
        <f>IFERROR(VLOOKUP(P54,COPY!$A$1:$L$1000,12,FALSE),0)</f>
        <v>B</v>
      </c>
      <c r="N54" s="469">
        <f>IF(H54="Jasa",VLOOKUP('BKU 2'!K54,'Rekap Gaji'!$D$12:$I$26,6,FALSE),(IF(H54="Beli",VLOOKUP(P54,COPY!$A$1:$L$1000,11,FALSE),IF(H54="Bayar Ongkos",VLOOKUP(K54,'Rekap Gaji'!$D$12:$I$26,6,FALSE),0))))</f>
        <v>670000</v>
      </c>
      <c r="P54" s="466" t="str">
        <f t="shared" si="0"/>
        <v>2.23</v>
      </c>
      <c r="Q54" s="253">
        <f t="shared" si="2"/>
        <v>23</v>
      </c>
      <c r="R54" s="253">
        <f t="shared" si="3"/>
        <v>23</v>
      </c>
      <c r="S54" s="449">
        <f t="shared" si="4"/>
        <v>23</v>
      </c>
      <c r="T54" s="253">
        <f t="shared" si="5"/>
        <v>-55</v>
      </c>
      <c r="U54" s="457" t="str">
        <f t="shared" si="1"/>
        <v xml:space="preserve"> </v>
      </c>
    </row>
    <row r="55" spans="1:21" ht="20.100000000000001" customHeight="1" x14ac:dyDescent="0.25">
      <c r="A55" s="470"/>
      <c r="B55" s="456">
        <f>IF(LEFT(C55,16)="Terima Pajak PPN",VLOOKUP(P55,COPY!$A$1:$AC$1000,21,FALSE),IF(LEFT(C55,16)="Terima Pajak PPH",VLOOKUP(P55,COPY!$A$1:$AC$1000,21,FALSE),IF(LEFT(C55,13)="Terima PPh 23",VLOOKUP(P55,COPY!$A$1:$AC$1000,21,FALSE),0)))</f>
        <v>0</v>
      </c>
      <c r="C55" s="457">
        <f>IFERROR(IF(LEFT(VLOOKUP(P55,COPY!$A$1:$AC$1000,29,FALSE),5)="Terim",VLOOKUP(P55,COPY!$A$1:$AC$1000,29,FALSE),0),0)</f>
        <v>0</v>
      </c>
      <c r="D55" s="457"/>
      <c r="E55" s="457"/>
      <c r="F55" s="458">
        <f>IFERROR(IF(LEFT(VLOOKUP(P55,COPY!$A$1:$AC$1000,29,FALSE),5)="Terim",VLOOKUP(P55,COPY!$A$1:$AC$1000,26,FALSE),0),0)</f>
        <v>0</v>
      </c>
      <c r="G55" s="459" t="str">
        <f>IFERROR(VLOOKUP(P55,COPY!$A$1:$L$1000,4,FALSE),0)</f>
        <v/>
      </c>
      <c r="H55" s="457" t="str">
        <f>IFERROR(VLOOKUP(P55,COPY!$A$1:$L$1000,2,FALSE),0)</f>
        <v>Beli</v>
      </c>
      <c r="I55" s="510">
        <f>IFERROR(VLOOKUP(P55,COPY!$A$1:$L$1000,10,FALSE),0)</f>
        <v>5</v>
      </c>
      <c r="J55" s="467" t="str">
        <f>IFERROR(VLOOKUP(P55,COPY!$A$1:$L$1000,8,FALSE),0)</f>
        <v>Sak</v>
      </c>
      <c r="K55" s="457" t="str">
        <f>IFERROR(VLOOKUP(P55,COPY!$A$1:$L$1000,7,FALSE),0)</f>
        <v>Semen Gresik 40Kg</v>
      </c>
      <c r="L55" s="468" t="str">
        <f>IFERROR(VLOOKUP(P55,COPY!$A$1:$O$1000,15,FALSE),0)</f>
        <v/>
      </c>
      <c r="M55" s="468" t="str">
        <f>IFERROR(VLOOKUP(P55,COPY!$A$1:$L$1000,12,FALSE),0)</f>
        <v>B</v>
      </c>
      <c r="N55" s="469">
        <f>IF(H55="Jasa",VLOOKUP('BKU 2'!K55,'Rekap Gaji'!$D$12:$I$26,6,FALSE),(IF(H55="Beli",VLOOKUP(P55,COPY!$A$1:$L$1000,11,FALSE),IF(H55="Bayar Ongkos",VLOOKUP(K55,'Rekap Gaji'!$D$12:$I$26,6,FALSE),0))))</f>
        <v>290000</v>
      </c>
      <c r="P55" s="466" t="str">
        <f t="shared" si="0"/>
        <v>2.24</v>
      </c>
      <c r="Q55" s="253">
        <f t="shared" si="2"/>
        <v>24</v>
      </c>
      <c r="R55" s="253">
        <f t="shared" si="3"/>
        <v>24</v>
      </c>
      <c r="S55" s="449">
        <f t="shared" si="4"/>
        <v>24</v>
      </c>
      <c r="T55" s="253">
        <f t="shared" si="5"/>
        <v>-54</v>
      </c>
      <c r="U55" s="457" t="str">
        <f t="shared" si="1"/>
        <v xml:space="preserve"> </v>
      </c>
    </row>
    <row r="56" spans="1:21" ht="20.100000000000001" customHeight="1" x14ac:dyDescent="0.25">
      <c r="A56" s="470"/>
      <c r="B56" s="456">
        <f>IF(LEFT(C56,16)="Terima Pajak PPN",VLOOKUP(P56,COPY!$A$1:$AC$1000,21,FALSE),IF(LEFT(C56,16)="Terima Pajak PPH",VLOOKUP(P56,COPY!$A$1:$AC$1000,21,FALSE),IF(LEFT(C56,13)="Terima PPh 23",VLOOKUP(P56,COPY!$A$1:$AC$1000,21,FALSE),0)))</f>
        <v>0</v>
      </c>
      <c r="C56" s="457">
        <f>IFERROR(IF(LEFT(VLOOKUP(P56,COPY!$A$1:$AC$1000,29,FALSE),5)="Terim",VLOOKUP(P56,COPY!$A$1:$AC$1000,29,FALSE),0),0)</f>
        <v>0</v>
      </c>
      <c r="D56" s="457"/>
      <c r="E56" s="457"/>
      <c r="F56" s="458">
        <f>IFERROR(IF(LEFT(VLOOKUP(P56,COPY!$A$1:$AC$1000,29,FALSE),5)="Terim",VLOOKUP(P56,COPY!$A$1:$AC$1000,26,FALSE),0),0)</f>
        <v>0</v>
      </c>
      <c r="G56" s="459">
        <f>IFERROR(VLOOKUP(P56,COPY!$A$1:$L$1000,4,FALSE),0)</f>
        <v>45940</v>
      </c>
      <c r="H56" s="457" t="str">
        <f>IFERROR(VLOOKUP(P56,COPY!$A$1:$L$1000,2,FALSE),0)</f>
        <v>Beli</v>
      </c>
      <c r="I56" s="510">
        <f>IFERROR(VLOOKUP(P56,COPY!$A$1:$L$1000,10,FALSE),0)</f>
        <v>14</v>
      </c>
      <c r="J56" s="467" t="str">
        <f>IFERROR(VLOOKUP(P56,COPY!$A$1:$L$1000,8,FALSE),0)</f>
        <v>Bks</v>
      </c>
      <c r="K56" s="457" t="str">
        <f>IFERROR(VLOOKUP(P56,COPY!$A$1:$L$1000,7,FALSE),0)</f>
        <v>Kosumsi Rapat Peninjauan 75%</v>
      </c>
      <c r="L56" s="468" t="str">
        <f>IFERROR(VLOOKUP(P56,COPY!$A$1:$O$1000,15,FALSE),0)</f>
        <v>BKK.39</v>
      </c>
      <c r="M56" s="468" t="str">
        <f>IFERROR(VLOOKUP(P56,COPY!$A$1:$L$1000,12,FALSE),0)</f>
        <v>D</v>
      </c>
      <c r="N56" s="469">
        <f>IF(H56="Jasa",VLOOKUP('BKU 2'!K56,'Rekap Gaji'!$D$12:$I$26,6,FALSE),(IF(H56="Beli",VLOOKUP(P56,COPY!$A$1:$L$1000,11,FALSE),IF(H56="Bayar Ongkos",VLOOKUP(K56,'Rekap Gaji'!$D$12:$I$26,6,FALSE),0))))</f>
        <v>420000</v>
      </c>
      <c r="O56" s="470"/>
      <c r="P56" s="466" t="str">
        <f t="shared" si="0"/>
        <v>2.25</v>
      </c>
      <c r="Q56" s="253">
        <f t="shared" si="2"/>
        <v>25</v>
      </c>
      <c r="R56" s="253">
        <f t="shared" si="3"/>
        <v>25</v>
      </c>
      <c r="S56" s="449">
        <f t="shared" si="4"/>
        <v>25</v>
      </c>
      <c r="T56" s="253">
        <f t="shared" si="5"/>
        <v>-53</v>
      </c>
      <c r="U56" s="457" t="str">
        <f t="shared" si="1"/>
        <v xml:space="preserve"> </v>
      </c>
    </row>
    <row r="57" spans="1:21" ht="20.100000000000001" customHeight="1" x14ac:dyDescent="0.25">
      <c r="A57" s="470"/>
      <c r="B57" s="456">
        <f>IF(LEFT(C57,16)="Terima Pajak PPN",VLOOKUP(P57,COPY!$A$1:$AC$1000,21,FALSE),IF(LEFT(C57,16)="Terima Pajak PPH",VLOOKUP(P57,COPY!$A$1:$AC$1000,21,FALSE),IF(LEFT(C57,13)="Terima PPh 23",VLOOKUP(P57,COPY!$A$1:$AC$1000,21,FALSE),0)))</f>
        <v>0</v>
      </c>
      <c r="C57" s="457">
        <f>IFERROR(IF(LEFT(VLOOKUP(P57,COPY!$A$1:$AC$1000,29,FALSE),5)="Terim",VLOOKUP(P57,COPY!$A$1:$AC$1000,29,FALSE),0),0)</f>
        <v>0</v>
      </c>
      <c r="D57" s="457"/>
      <c r="E57" s="457"/>
      <c r="F57" s="458">
        <f>IFERROR(IF(LEFT(VLOOKUP(P57,COPY!$A$1:$AC$1000,29,FALSE),5)="Terim",VLOOKUP(P57,COPY!$A$1:$AC$1000,26,FALSE),0),0)</f>
        <v>0</v>
      </c>
      <c r="G57" s="459">
        <f>IFERROR(VLOOKUP(P57,COPY!$A$1:$L$1000,4,FALSE),0)</f>
        <v>45941</v>
      </c>
      <c r="H57" s="457" t="str">
        <f>IFERROR(VLOOKUP(P57,COPY!$A$1:$L$1000,2,FALSE),0)</f>
        <v>Beli</v>
      </c>
      <c r="I57" s="510">
        <f>IFERROR(VLOOKUP(P57,COPY!$A$1:$L$1000,10,FALSE),0)</f>
        <v>2</v>
      </c>
      <c r="J57" s="467" t="str">
        <f>IFERROR(VLOOKUP(P57,COPY!$A$1:$L$1000,8,FALSE),0)</f>
        <v>Pik Up</v>
      </c>
      <c r="K57" s="457" t="str">
        <f>IFERROR(VLOOKUP(P57,COPY!$A$1:$L$1000,7,FALSE),0)</f>
        <v>Pasir Biasa L300</v>
      </c>
      <c r="L57" s="468" t="str">
        <f>IFERROR(VLOOKUP(P57,COPY!$A$1:$O$1000,15,FALSE),0)</f>
        <v>BKK.40</v>
      </c>
      <c r="M57" s="468" t="str">
        <f>IFERROR(VLOOKUP(P57,COPY!$A$1:$L$1000,12,FALSE),0)</f>
        <v>B</v>
      </c>
      <c r="N57" s="469">
        <f>IF(H57="Jasa",VLOOKUP('BKU 2'!K57,'Rekap Gaji'!$D$12:$I$26,6,FALSE),(IF(H57="Beli",VLOOKUP(P57,COPY!$A$1:$L$1000,11,FALSE),IF(H57="Bayar Ongkos",VLOOKUP(K57,'Rekap Gaji'!$D$12:$I$26,6,FALSE),0))))</f>
        <v>460000</v>
      </c>
      <c r="O57" s="470"/>
      <c r="P57" s="466" t="str">
        <f t="shared" si="0"/>
        <v>2.26</v>
      </c>
      <c r="Q57" s="253">
        <f t="shared" si="2"/>
        <v>26</v>
      </c>
      <c r="R57" s="253">
        <f t="shared" si="3"/>
        <v>26</v>
      </c>
      <c r="S57" s="449">
        <f t="shared" si="4"/>
        <v>26</v>
      </c>
      <c r="T57" s="253">
        <f t="shared" si="5"/>
        <v>-52</v>
      </c>
      <c r="U57" s="457" t="str">
        <f t="shared" si="1"/>
        <v xml:space="preserve"> </v>
      </c>
    </row>
    <row r="58" spans="1:21" ht="20.100000000000001" customHeight="1" x14ac:dyDescent="0.25">
      <c r="A58" s="470"/>
      <c r="B58" s="456">
        <f>IF(LEFT(C58,16)="Terima Pajak PPN",VLOOKUP(P58,COPY!$A$1:$AC$1000,21,FALSE),IF(LEFT(C58,16)="Terima Pajak PPH",VLOOKUP(P58,COPY!$A$1:$AC$1000,21,FALSE),IF(LEFT(C58,13)="Terima PPh 23",VLOOKUP(P58,COPY!$A$1:$AC$1000,21,FALSE),0)))</f>
        <v>0</v>
      </c>
      <c r="C58" s="457">
        <f>IFERROR(IF(LEFT(VLOOKUP(P58,COPY!$A$1:$AC$1000,29,FALSE),5)="Terim",VLOOKUP(P58,COPY!$A$1:$AC$1000,29,FALSE),0),0)</f>
        <v>0</v>
      </c>
      <c r="D58" s="457"/>
      <c r="E58" s="457"/>
      <c r="F58" s="458">
        <f>IFERROR(IF(LEFT(VLOOKUP(P58,COPY!$A$1:$AC$1000,29,FALSE),5)="Terim",VLOOKUP(P58,COPY!$A$1:$AC$1000,26,FALSE),0),0)</f>
        <v>0</v>
      </c>
      <c r="G58" s="459" t="str">
        <f>IFERROR(VLOOKUP(P58,COPY!$A$1:$L$1000,4,FALSE),0)</f>
        <v/>
      </c>
      <c r="H58" s="457" t="str">
        <f>IFERROR(VLOOKUP(P58,COPY!$A$1:$L$1000,2,FALSE),0)</f>
        <v>Beli</v>
      </c>
      <c r="I58" s="510">
        <f>IFERROR(VLOOKUP(P58,COPY!$A$1:$L$1000,10,FALSE),0)</f>
        <v>1</v>
      </c>
      <c r="J58" s="467" t="str">
        <f>IFERROR(VLOOKUP(P58,COPY!$A$1:$L$1000,8,FALSE),0)</f>
        <v>Pik Up</v>
      </c>
      <c r="K58" s="457" t="str">
        <f>IFERROR(VLOOKUP(P58,COPY!$A$1:$L$1000,7,FALSE),0)</f>
        <v>Koral L300</v>
      </c>
      <c r="L58" s="468" t="str">
        <f>IFERROR(VLOOKUP(P58,COPY!$A$1:$O$1000,15,FALSE),0)</f>
        <v/>
      </c>
      <c r="M58" s="468" t="str">
        <f>IFERROR(VLOOKUP(P58,COPY!$A$1:$L$1000,12,FALSE),0)</f>
        <v>B</v>
      </c>
      <c r="N58" s="469">
        <f>IF(H58="Jasa",VLOOKUP('BKU 2'!K58,'Rekap Gaji'!$D$12:$I$26,6,FALSE),(IF(H58="Beli",VLOOKUP(P58,COPY!$A$1:$L$1000,11,FALSE),IF(H58="Bayar Ongkos",VLOOKUP(K58,'Rekap Gaji'!$D$12:$I$26,6,FALSE),0))))</f>
        <v>350000</v>
      </c>
      <c r="P58" s="466" t="str">
        <f t="shared" si="0"/>
        <v>2.27</v>
      </c>
      <c r="Q58" s="253">
        <f t="shared" si="2"/>
        <v>27</v>
      </c>
      <c r="R58" s="253">
        <f t="shared" si="3"/>
        <v>27</v>
      </c>
      <c r="S58" s="449">
        <f t="shared" si="4"/>
        <v>27</v>
      </c>
      <c r="T58" s="253">
        <f t="shared" si="5"/>
        <v>-51</v>
      </c>
      <c r="U58" s="457" t="str">
        <f t="shared" si="1"/>
        <v xml:space="preserve"> </v>
      </c>
    </row>
    <row r="59" spans="1:21" ht="20.100000000000001" customHeight="1" x14ac:dyDescent="0.25">
      <c r="A59" s="470"/>
      <c r="B59" s="456">
        <f>IF(LEFT(C59,16)="Terima Pajak PPN",VLOOKUP(P59,COPY!$A$1:$AC$1000,21,FALSE),IF(LEFT(C59,16)="Terima Pajak PPH",VLOOKUP(P59,COPY!$A$1:$AC$1000,21,FALSE),IF(LEFT(C59,13)="Terima PPh 23",VLOOKUP(P59,COPY!$A$1:$AC$1000,21,FALSE),0)))</f>
        <v>0</v>
      </c>
      <c r="C59" s="457">
        <f>IFERROR(IF(LEFT(VLOOKUP(P59,COPY!$A$1:$AC$1000,29,FALSE),5)="Terim",VLOOKUP(P59,COPY!$A$1:$AC$1000,29,FALSE),0),0)</f>
        <v>0</v>
      </c>
      <c r="D59" s="457"/>
      <c r="E59" s="457"/>
      <c r="F59" s="458">
        <f>IFERROR(IF(LEFT(VLOOKUP(P59,COPY!$A$1:$AC$1000,29,FALSE),5)="Terim",VLOOKUP(P59,COPY!$A$1:$AC$1000,26,FALSE),0),0)</f>
        <v>0</v>
      </c>
      <c r="G59" s="459" t="str">
        <f>IFERROR(VLOOKUP(P59,COPY!$A$1:$L$1000,4,FALSE),0)</f>
        <v/>
      </c>
      <c r="H59" s="457" t="str">
        <f>IFERROR(VLOOKUP(P59,COPY!$A$1:$L$1000,2,FALSE),0)</f>
        <v>Beli</v>
      </c>
      <c r="I59" s="510">
        <f>IFERROR(VLOOKUP(P59,COPY!$A$1:$L$1000,10,FALSE),0)</f>
        <v>15</v>
      </c>
      <c r="J59" s="467" t="str">
        <f>IFERROR(VLOOKUP(P59,COPY!$A$1:$L$1000,8,FALSE),0)</f>
        <v>Sak</v>
      </c>
      <c r="K59" s="457" t="str">
        <f>IFERROR(VLOOKUP(P59,COPY!$A$1:$L$1000,7,FALSE),0)</f>
        <v>Semen 3 Roda</v>
      </c>
      <c r="L59" s="468" t="str">
        <f>IFERROR(VLOOKUP(P59,COPY!$A$1:$O$1000,15,FALSE),0)</f>
        <v/>
      </c>
      <c r="M59" s="468" t="str">
        <f>IFERROR(VLOOKUP(P59,COPY!$A$1:$L$1000,12,FALSE),0)</f>
        <v>B</v>
      </c>
      <c r="N59" s="469">
        <f>IF(H59="Jasa",VLOOKUP('BKU 2'!K59,'Rekap Gaji'!$D$12:$I$26,6,FALSE),(IF(H59="Beli",VLOOKUP(P59,COPY!$A$1:$L$1000,11,FALSE),IF(H59="Bayar Ongkos",VLOOKUP(K59,'Rekap Gaji'!$D$12:$I$26,6,FALSE),0))))</f>
        <v>780000</v>
      </c>
      <c r="P59" s="466" t="str">
        <f t="shared" si="0"/>
        <v>2.28</v>
      </c>
      <c r="Q59" s="253">
        <f t="shared" si="2"/>
        <v>28</v>
      </c>
      <c r="R59" s="253">
        <f t="shared" si="3"/>
        <v>28</v>
      </c>
      <c r="S59" s="449">
        <f t="shared" si="4"/>
        <v>28</v>
      </c>
      <c r="T59" s="253">
        <f t="shared" si="5"/>
        <v>-50</v>
      </c>
      <c r="U59" s="457" t="str">
        <f t="shared" si="1"/>
        <v xml:space="preserve"> </v>
      </c>
    </row>
    <row r="60" spans="1:21" ht="20.100000000000001" customHeight="1" x14ac:dyDescent="0.25">
      <c r="A60" s="470"/>
      <c r="B60" s="456">
        <f>IF(LEFT(C60,16)="Terima Pajak PPN",VLOOKUP(P60,COPY!$A$1:$AC$1000,21,FALSE),IF(LEFT(C60,16)="Terima Pajak PPH",VLOOKUP(P60,COPY!$A$1:$AC$1000,21,FALSE),IF(LEFT(C60,13)="Terima PPh 23",VLOOKUP(P60,COPY!$A$1:$AC$1000,21,FALSE),0)))</f>
        <v>0</v>
      </c>
      <c r="C60" s="457">
        <f>IFERROR(IF(LEFT(VLOOKUP(P60,COPY!$A$1:$AC$1000,29,FALSE),5)="Terim",VLOOKUP(P60,COPY!$A$1:$AC$1000,29,FALSE),0),0)</f>
        <v>0</v>
      </c>
      <c r="D60" s="457"/>
      <c r="E60" s="457"/>
      <c r="F60" s="458">
        <f>IFERROR(IF(LEFT(VLOOKUP(P60,COPY!$A$1:$AC$1000,29,FALSE),5)="Terim",VLOOKUP(P60,COPY!$A$1:$AC$1000,26,FALSE),0),0)</f>
        <v>0</v>
      </c>
      <c r="G60" s="459" t="str">
        <f>IFERROR(VLOOKUP(P60,COPY!$A$1:$L$1000,4,FALSE),0)</f>
        <v/>
      </c>
      <c r="H60" s="457" t="str">
        <f>IFERROR(VLOOKUP(P60,COPY!$A$1:$L$1000,2,FALSE),0)</f>
        <v>Beli</v>
      </c>
      <c r="I60" s="510">
        <f>IFERROR(VLOOKUP(P60,COPY!$A$1:$L$1000,10,FALSE),0)</f>
        <v>8</v>
      </c>
      <c r="J60" s="467" t="str">
        <f>IFERROR(VLOOKUP(P60,COPY!$A$1:$L$1000,8,FALSE),0)</f>
        <v>Pcs</v>
      </c>
      <c r="K60" s="457" t="str">
        <f>IFERROR(VLOOKUP(P60,COPY!$A$1:$L$1000,7,FALSE),0)</f>
        <v>Avour Lantai PVC</v>
      </c>
      <c r="L60" s="468" t="str">
        <f>IFERROR(VLOOKUP(P60,COPY!$A$1:$O$1000,15,FALSE),0)</f>
        <v/>
      </c>
      <c r="M60" s="468" t="str">
        <f>IFERROR(VLOOKUP(P60,COPY!$A$1:$L$1000,12,FALSE),0)</f>
        <v>B</v>
      </c>
      <c r="N60" s="469">
        <f>IF(H60="Jasa",VLOOKUP('BKU 2'!K60,'Rekap Gaji'!$D$12:$I$26,6,FALSE),(IF(H60="Beli",VLOOKUP(P60,COPY!$A$1:$L$1000,11,FALSE),IF(H60="Bayar Ongkos",VLOOKUP(K60,'Rekap Gaji'!$D$12:$I$26,6,FALSE),0))))</f>
        <v>360000</v>
      </c>
      <c r="O60" s="470"/>
      <c r="P60" s="466" t="str">
        <f t="shared" si="0"/>
        <v>2.29</v>
      </c>
      <c r="Q60" s="253">
        <f t="shared" si="2"/>
        <v>29</v>
      </c>
      <c r="R60" s="253">
        <f t="shared" si="3"/>
        <v>29</v>
      </c>
      <c r="S60" s="449">
        <f t="shared" si="4"/>
        <v>29</v>
      </c>
      <c r="T60" s="253">
        <f t="shared" si="5"/>
        <v>-49</v>
      </c>
      <c r="U60" s="457" t="str">
        <f t="shared" si="1"/>
        <v xml:space="preserve"> </v>
      </c>
    </row>
    <row r="61" spans="1:21" ht="20.100000000000001" customHeight="1" x14ac:dyDescent="0.25">
      <c r="A61" s="470"/>
      <c r="B61" s="456">
        <f>IF(LEFT(C61,16)="Terima Pajak PPN",VLOOKUP(P61,COPY!$A$1:$AC$1000,21,FALSE),IF(LEFT(C61,16)="Terima Pajak PPH",VLOOKUP(P61,COPY!$A$1:$AC$1000,21,FALSE),IF(LEFT(C61,13)="Terima PPh 23",VLOOKUP(P61,COPY!$A$1:$AC$1000,21,FALSE),0)))</f>
        <v>0</v>
      </c>
      <c r="C61" s="457">
        <f>IFERROR(IF(LEFT(VLOOKUP(P61,COPY!$A$1:$AC$1000,29,FALSE),5)="Terim",VLOOKUP(P61,COPY!$A$1:$AC$1000,29,FALSE),0),0)</f>
        <v>0</v>
      </c>
      <c r="D61" s="457"/>
      <c r="E61" s="457"/>
      <c r="F61" s="458">
        <f>IFERROR(IF(LEFT(VLOOKUP(P61,COPY!$A$1:$AC$1000,29,FALSE),5)="Terim",VLOOKUP(P61,COPY!$A$1:$AC$1000,26,FALSE),0),0)</f>
        <v>0</v>
      </c>
      <c r="G61" s="459">
        <f>IFERROR(VLOOKUP(P61,COPY!$A$1:$L$1000,4,FALSE),0)</f>
        <v>45941</v>
      </c>
      <c r="H61" s="457" t="str">
        <f>IFERROR(VLOOKUP(P61,COPY!$A$1:$L$1000,2,FALSE),0)</f>
        <v>Bayar Ongkos</v>
      </c>
      <c r="I61" s="510">
        <f>IFERROR(VLOOKUP(P61,COPY!$A$1:$L$1000,10,FALSE),0)</f>
        <v>1</v>
      </c>
      <c r="J61" s="467">
        <f>IFERROR(VLOOKUP(P61,COPY!$A$1:$L$1000,8,FALSE),0)</f>
        <v>0</v>
      </c>
      <c r="K61" s="457" t="str">
        <f>IFERROR(VLOOKUP(P61,COPY!$A$1:$L$1000,7,FALSE),0)</f>
        <v>Pembayaran Pekerja Minggu Ke 6</v>
      </c>
      <c r="L61" s="468" t="str">
        <f>IFERROR(VLOOKUP(P61,COPY!$A$1:$O$1000,15,FALSE),0)</f>
        <v>BKK.41</v>
      </c>
      <c r="M61" s="468" t="str">
        <f>IFERROR(VLOOKUP(P61,COPY!$A$1:$L$1000,12,FALSE),0)</f>
        <v>A</v>
      </c>
      <c r="N61" s="469">
        <f>IF(H61="Jasa",VLOOKUP('BKU 2'!K61,'Rekap Gaji'!$D$12:$I$26,6,FALSE),(IF(H61="Beli",VLOOKUP(P61,COPY!$A$1:$L$1000,11,FALSE),IF(H61="Bayar Ongkos",VLOOKUP(K61,'Rekap Gaji'!$D$12:$I$26,6,FALSE),0))))</f>
        <v>5350000</v>
      </c>
      <c r="P61" s="466" t="str">
        <f t="shared" si="0"/>
        <v>2.30</v>
      </c>
      <c r="Q61" s="253">
        <f t="shared" si="2"/>
        <v>30</v>
      </c>
      <c r="R61" s="253">
        <f t="shared" si="3"/>
        <v>30</v>
      </c>
      <c r="S61" s="449">
        <f t="shared" si="4"/>
        <v>30</v>
      </c>
      <c r="T61" s="253">
        <f t="shared" si="5"/>
        <v>-48</v>
      </c>
      <c r="U61" s="457" t="str">
        <f t="shared" si="1"/>
        <v xml:space="preserve"> </v>
      </c>
    </row>
    <row r="62" spans="1:21" ht="20.100000000000001" customHeight="1" x14ac:dyDescent="0.25">
      <c r="A62" s="470"/>
      <c r="B62" s="456">
        <f>IF(LEFT(C62,16)="Terima Pajak PPN",VLOOKUP(P62,COPY!$A$1:$AC$1000,21,FALSE),IF(LEFT(C62,16)="Terima Pajak PPH",VLOOKUP(P62,COPY!$A$1:$AC$1000,21,FALSE),IF(LEFT(C62,13)="Terima PPh 23",VLOOKUP(P62,COPY!$A$1:$AC$1000,21,FALSE),0)))</f>
        <v>0</v>
      </c>
      <c r="C62" s="457">
        <f>IFERROR(IF(LEFT(VLOOKUP(P62,COPY!$A$1:$AC$1000,29,FALSE),5)="Terim",VLOOKUP(P62,COPY!$A$1:$AC$1000,29,FALSE),0),0)</f>
        <v>0</v>
      </c>
      <c r="D62" s="457"/>
      <c r="E62" s="457"/>
      <c r="F62" s="458">
        <f>IFERROR(IF(LEFT(VLOOKUP(P62,COPY!$A$1:$AC$1000,29,FALSE),5)="Terim",VLOOKUP(P62,COPY!$A$1:$AC$1000,26,FALSE),0),0)</f>
        <v>0</v>
      </c>
      <c r="G62" s="459">
        <f>IFERROR(VLOOKUP(P62,COPY!$A$1:$L$1000,4,FALSE),0)</f>
        <v>45943</v>
      </c>
      <c r="H62" s="457" t="str">
        <f>IFERROR(VLOOKUP(P62,COPY!$A$1:$L$1000,2,FALSE),0)</f>
        <v>Beli</v>
      </c>
      <c r="I62" s="510">
        <f>IFERROR(VLOOKUP(P62,COPY!$A$1:$L$1000,10,FALSE),0)</f>
        <v>1</v>
      </c>
      <c r="J62" s="467" t="str">
        <f>IFERROR(VLOOKUP(P62,COPY!$A$1:$L$1000,8,FALSE),0)</f>
        <v>Pik Up</v>
      </c>
      <c r="K62" s="457" t="str">
        <f>IFERROR(VLOOKUP(P62,COPY!$A$1:$L$1000,7,FALSE),0)</f>
        <v>Pasir Cor L300</v>
      </c>
      <c r="L62" s="468" t="str">
        <f>IFERROR(VLOOKUP(P62,COPY!$A$1:$O$1000,15,FALSE),0)</f>
        <v>BKK.42</v>
      </c>
      <c r="M62" s="468" t="str">
        <f>IFERROR(VLOOKUP(P62,COPY!$A$1:$L$1000,12,FALSE),0)</f>
        <v>B</v>
      </c>
      <c r="N62" s="469">
        <f>IF(H62="Jasa",VLOOKUP('BKU 2'!K62,'Rekap Gaji'!$D$12:$I$26,6,FALSE),(IF(H62="Beli",VLOOKUP(P62,COPY!$A$1:$L$1000,11,FALSE),IF(H62="Bayar Ongkos",VLOOKUP(K62,'Rekap Gaji'!$D$12:$I$26,6,FALSE),0))))</f>
        <v>335000</v>
      </c>
      <c r="O62" s="470"/>
      <c r="P62" s="466" t="str">
        <f t="shared" si="0"/>
        <v>2.31</v>
      </c>
      <c r="Q62" s="253">
        <f t="shared" si="2"/>
        <v>31</v>
      </c>
      <c r="R62" s="253">
        <f t="shared" si="3"/>
        <v>31</v>
      </c>
      <c r="S62" s="449">
        <f t="shared" si="4"/>
        <v>31</v>
      </c>
      <c r="T62" s="253">
        <f t="shared" si="5"/>
        <v>-47</v>
      </c>
      <c r="U62" s="457" t="str">
        <f t="shared" si="1"/>
        <v xml:space="preserve"> </v>
      </c>
    </row>
    <row r="63" spans="1:21" ht="20.100000000000001" customHeight="1" x14ac:dyDescent="0.25">
      <c r="A63" s="470"/>
      <c r="B63" s="456">
        <f>IF(LEFT(C63,16)="Terima Pajak PPN",VLOOKUP(P63,COPY!$A$1:$AC$1000,21,FALSE),IF(LEFT(C63,16)="Terima Pajak PPH",VLOOKUP(P63,COPY!$A$1:$AC$1000,21,FALSE),IF(LEFT(C63,13)="Terima PPh 23",VLOOKUP(P63,COPY!$A$1:$AC$1000,21,FALSE),0)))</f>
        <v>0</v>
      </c>
      <c r="C63" s="457">
        <f>IFERROR(IF(LEFT(VLOOKUP(P63,COPY!$A$1:$AC$1000,29,FALSE),5)="Terim",VLOOKUP(P63,COPY!$A$1:$AC$1000,29,FALSE),0),0)</f>
        <v>0</v>
      </c>
      <c r="D63" s="457"/>
      <c r="E63" s="457"/>
      <c r="F63" s="458">
        <f>IFERROR(IF(LEFT(VLOOKUP(P63,COPY!$A$1:$AC$1000,29,FALSE),5)="Terim",VLOOKUP(P63,COPY!$A$1:$AC$1000,26,FALSE),0),0)</f>
        <v>0</v>
      </c>
      <c r="G63" s="459" t="str">
        <f>IFERROR(VLOOKUP(P63,COPY!$A$1:$L$1000,4,FALSE),0)</f>
        <v/>
      </c>
      <c r="H63" s="457" t="str">
        <f>IFERROR(VLOOKUP(P63,COPY!$A$1:$L$1000,2,FALSE),0)</f>
        <v>Beli</v>
      </c>
      <c r="I63" s="510">
        <f>IFERROR(VLOOKUP(P63,COPY!$A$1:$L$1000,10,FALSE),0)</f>
        <v>1</v>
      </c>
      <c r="J63" s="467" t="str">
        <f>IFERROR(VLOOKUP(P63,COPY!$A$1:$L$1000,8,FALSE),0)</f>
        <v>Pik Up</v>
      </c>
      <c r="K63" s="457" t="str">
        <f>IFERROR(VLOOKUP(P63,COPY!$A$1:$L$1000,7,FALSE),0)</f>
        <v>Pasir Biasa L300</v>
      </c>
      <c r="L63" s="468" t="str">
        <f>IFERROR(VLOOKUP(P63,COPY!$A$1:$O$1000,15,FALSE),0)</f>
        <v/>
      </c>
      <c r="M63" s="468" t="str">
        <f>IFERROR(VLOOKUP(P63,COPY!$A$1:$L$1000,12,FALSE),0)</f>
        <v>B</v>
      </c>
      <c r="N63" s="469">
        <f>IF(H63="Jasa",VLOOKUP('BKU 2'!K63,'Rekap Gaji'!$D$12:$I$26,6,FALSE),(IF(H63="Beli",VLOOKUP(P63,COPY!$A$1:$L$1000,11,FALSE),IF(H63="Bayar Ongkos",VLOOKUP(K63,'Rekap Gaji'!$D$12:$I$26,6,FALSE),0))))</f>
        <v>230000</v>
      </c>
      <c r="O63" s="470"/>
      <c r="P63" s="466" t="str">
        <f t="shared" si="0"/>
        <v>2.32</v>
      </c>
      <c r="Q63" s="253">
        <f t="shared" si="2"/>
        <v>32</v>
      </c>
      <c r="R63" s="253">
        <f t="shared" si="3"/>
        <v>32</v>
      </c>
      <c r="S63" s="449">
        <f t="shared" si="4"/>
        <v>32</v>
      </c>
      <c r="T63" s="253">
        <f t="shared" si="5"/>
        <v>-46</v>
      </c>
      <c r="U63" s="457" t="str">
        <f t="shared" si="1"/>
        <v xml:space="preserve"> </v>
      </c>
    </row>
    <row r="64" spans="1:21" ht="20.100000000000001" customHeight="1" x14ac:dyDescent="0.25">
      <c r="A64" s="470"/>
      <c r="B64" s="456">
        <f>IF(LEFT(C64,16)="Terima Pajak PPN",VLOOKUP(P64,COPY!$A$1:$AC$1000,21,FALSE),IF(LEFT(C64,16)="Terima Pajak PPH",VLOOKUP(P64,COPY!$A$1:$AC$1000,21,FALSE),IF(LEFT(C64,13)="Terima PPh 23",VLOOKUP(P64,COPY!$A$1:$AC$1000,21,FALSE),0)))</f>
        <v>0</v>
      </c>
      <c r="C64" s="457">
        <f>IFERROR(IF(LEFT(VLOOKUP(P64,COPY!$A$1:$AC$1000,29,FALSE),5)="Terim",VLOOKUP(P64,COPY!$A$1:$AC$1000,29,FALSE),0),0)</f>
        <v>0</v>
      </c>
      <c r="D64" s="457"/>
      <c r="E64" s="457"/>
      <c r="F64" s="458">
        <f>IFERROR(IF(LEFT(VLOOKUP(P64,COPY!$A$1:$AC$1000,29,FALSE),5)="Terim",VLOOKUP(P64,COPY!$A$1:$AC$1000,26,FALSE),0),0)</f>
        <v>0</v>
      </c>
      <c r="G64" s="459" t="str">
        <f>IFERROR(VLOOKUP(P64,COPY!$A$1:$L$1000,4,FALSE),0)</f>
        <v/>
      </c>
      <c r="H64" s="457" t="str">
        <f>IFERROR(VLOOKUP(P64,COPY!$A$1:$L$1000,2,FALSE),0)</f>
        <v>Beli</v>
      </c>
      <c r="I64" s="510">
        <f>IFERROR(VLOOKUP(P64,COPY!$A$1:$L$1000,10,FALSE),0)</f>
        <v>1</v>
      </c>
      <c r="J64" s="467" t="str">
        <f>IFERROR(VLOOKUP(P64,COPY!$A$1:$L$1000,8,FALSE),0)</f>
        <v>Pik Up</v>
      </c>
      <c r="K64" s="457" t="str">
        <f>IFERROR(VLOOKUP(P64,COPY!$A$1:$L$1000,7,FALSE),0)</f>
        <v>Koral L300</v>
      </c>
      <c r="L64" s="468" t="str">
        <f>IFERROR(VLOOKUP(P64,COPY!$A$1:$O$1000,15,FALSE),0)</f>
        <v/>
      </c>
      <c r="M64" s="468" t="str">
        <f>IFERROR(VLOOKUP(P64,COPY!$A$1:$L$1000,12,FALSE),0)</f>
        <v>B</v>
      </c>
      <c r="N64" s="469">
        <f>IF(H64="Jasa",VLOOKUP('BKU 2'!K64,'Rekap Gaji'!$D$12:$I$26,6,FALSE),(IF(H64="Beli",VLOOKUP(P64,COPY!$A$1:$L$1000,11,FALSE),IF(H64="Bayar Ongkos",VLOOKUP(K64,'Rekap Gaji'!$D$12:$I$26,6,FALSE),0))))</f>
        <v>350000</v>
      </c>
      <c r="P64" s="466" t="str">
        <f t="shared" si="0"/>
        <v>2.33</v>
      </c>
      <c r="Q64" s="253">
        <f t="shared" si="2"/>
        <v>33</v>
      </c>
      <c r="R64" s="253">
        <f t="shared" si="3"/>
        <v>33</v>
      </c>
      <c r="S64" s="449">
        <f t="shared" si="4"/>
        <v>33</v>
      </c>
      <c r="T64" s="253">
        <f t="shared" si="5"/>
        <v>-45</v>
      </c>
      <c r="U64" s="457" t="str">
        <f t="shared" si="1"/>
        <v xml:space="preserve"> </v>
      </c>
    </row>
    <row r="65" spans="1:21" ht="20.100000000000001" customHeight="1" x14ac:dyDescent="0.25">
      <c r="A65" s="470"/>
      <c r="B65" s="456">
        <f>IF(LEFT(C65,16)="Terima Pajak PPN",VLOOKUP(P65,COPY!$A$1:$AC$1000,21,FALSE),IF(LEFT(C65,16)="Terima Pajak PPH",VLOOKUP(P65,COPY!$A$1:$AC$1000,21,FALSE),IF(LEFT(C65,13)="Terima PPh 23",VLOOKUP(P65,COPY!$A$1:$AC$1000,21,FALSE),0)))</f>
        <v>0</v>
      </c>
      <c r="C65" s="457">
        <f>IFERROR(IF(LEFT(VLOOKUP(P65,COPY!$A$1:$AC$1000,29,FALSE),5)="Terim",VLOOKUP(P65,COPY!$A$1:$AC$1000,29,FALSE),0),0)</f>
        <v>0</v>
      </c>
      <c r="D65" s="457"/>
      <c r="E65" s="457"/>
      <c r="F65" s="458">
        <f>IFERROR(IF(LEFT(VLOOKUP(P65,COPY!$A$1:$AC$1000,29,FALSE),5)="Terim",VLOOKUP(P65,COPY!$A$1:$AC$1000,26,FALSE),0),0)</f>
        <v>0</v>
      </c>
      <c r="G65" s="459" t="str">
        <f>IFERROR(VLOOKUP(P65,COPY!$A$1:$L$1000,4,FALSE),0)</f>
        <v/>
      </c>
      <c r="H65" s="457" t="str">
        <f>IFERROR(VLOOKUP(P65,COPY!$A$1:$L$1000,2,FALSE),0)</f>
        <v>Beli</v>
      </c>
      <c r="I65" s="510">
        <f>IFERROR(VLOOKUP(P65,COPY!$A$1:$L$1000,10,FALSE),0)</f>
        <v>15</v>
      </c>
      <c r="J65" s="467" t="str">
        <f>IFERROR(VLOOKUP(P65,COPY!$A$1:$L$1000,8,FALSE),0)</f>
        <v>Dus</v>
      </c>
      <c r="K65" s="457" t="str">
        <f>IFERROR(VLOOKUP(P65,COPY!$A$1:$L$1000,7,FALSE),0)</f>
        <v>Keramik Kia 30X30</v>
      </c>
      <c r="L65" s="468" t="str">
        <f>IFERROR(VLOOKUP(P65,COPY!$A$1:$O$1000,15,FALSE),0)</f>
        <v/>
      </c>
      <c r="M65" s="468" t="str">
        <f>IFERROR(VLOOKUP(P65,COPY!$A$1:$L$1000,12,FALSE),0)</f>
        <v>B</v>
      </c>
      <c r="N65" s="469">
        <f>IF(H65="Jasa",VLOOKUP('BKU 2'!K65,'Rekap Gaji'!$D$12:$I$26,6,FALSE),(IF(H65="Beli",VLOOKUP(P65,COPY!$A$1:$L$1000,11,FALSE),IF(H65="Bayar Ongkos",VLOOKUP(K65,'Rekap Gaji'!$D$12:$I$26,6,FALSE),0))))</f>
        <v>1050000</v>
      </c>
      <c r="P65" s="466" t="str">
        <f t="shared" si="0"/>
        <v>2.34</v>
      </c>
      <c r="Q65" s="253">
        <f t="shared" si="2"/>
        <v>34</v>
      </c>
      <c r="R65" s="253">
        <f t="shared" si="3"/>
        <v>34</v>
      </c>
      <c r="S65" s="449">
        <f t="shared" si="4"/>
        <v>34</v>
      </c>
      <c r="T65" s="253">
        <f t="shared" si="5"/>
        <v>-44</v>
      </c>
      <c r="U65" s="457" t="str">
        <f t="shared" si="1"/>
        <v xml:space="preserve"> </v>
      </c>
    </row>
    <row r="66" spans="1:21" ht="20.100000000000001" customHeight="1" x14ac:dyDescent="0.25">
      <c r="A66" s="470"/>
      <c r="B66" s="456">
        <f>IF(LEFT(C66,16)="Terima Pajak PPN",VLOOKUP(P66,COPY!$A$1:$AC$1000,21,FALSE),IF(LEFT(C66,16)="Terima Pajak PPH",VLOOKUP(P66,COPY!$A$1:$AC$1000,21,FALSE),IF(LEFT(C66,13)="Terima PPh 23",VLOOKUP(P66,COPY!$A$1:$AC$1000,21,FALSE),0)))</f>
        <v>0</v>
      </c>
      <c r="C66" s="457">
        <f>IFERROR(IF(LEFT(VLOOKUP(P66,COPY!$A$1:$AC$1000,29,FALSE),5)="Terim",VLOOKUP(P66,COPY!$A$1:$AC$1000,29,FALSE),0),0)</f>
        <v>0</v>
      </c>
      <c r="D66" s="457"/>
      <c r="E66" s="457"/>
      <c r="F66" s="458">
        <f>IFERROR(IF(LEFT(VLOOKUP(P66,COPY!$A$1:$AC$1000,29,FALSE),5)="Terim",VLOOKUP(P66,COPY!$A$1:$AC$1000,26,FALSE),0),0)</f>
        <v>0</v>
      </c>
      <c r="G66" s="459">
        <f>IFERROR(VLOOKUP(P66,COPY!$A$1:$L$1000,4,FALSE),0)</f>
        <v>45944</v>
      </c>
      <c r="H66" s="457" t="str">
        <f>IFERROR(VLOOKUP(P66,COPY!$A$1:$L$1000,2,FALSE),0)</f>
        <v>Beli</v>
      </c>
      <c r="I66" s="510">
        <f>IFERROR(VLOOKUP(P66,COPY!$A$1:$L$1000,10,FALSE),0)</f>
        <v>2</v>
      </c>
      <c r="J66" s="467" t="str">
        <f>IFERROR(VLOOKUP(P66,COPY!$A$1:$L$1000,8,FALSE),0)</f>
        <v>Sak</v>
      </c>
      <c r="K66" s="457" t="str">
        <f>IFERROR(VLOOKUP(P66,COPY!$A$1:$L$1000,7,FALSE),0)</f>
        <v>Semen Gresik 40Kg</v>
      </c>
      <c r="L66" s="468" t="str">
        <f>IFERROR(VLOOKUP(P66,COPY!$A$1:$O$1000,15,FALSE),0)</f>
        <v>BKK.43</v>
      </c>
      <c r="M66" s="468" t="str">
        <f>IFERROR(VLOOKUP(P66,COPY!$A$1:$L$1000,12,FALSE),0)</f>
        <v>B</v>
      </c>
      <c r="N66" s="469">
        <f>IF(H66="Jasa",VLOOKUP('BKU 2'!K66,'Rekap Gaji'!$D$12:$I$26,6,FALSE),(IF(H66="Beli",VLOOKUP(P66,COPY!$A$1:$L$1000,11,FALSE),IF(H66="Bayar Ongkos",VLOOKUP(K66,'Rekap Gaji'!$D$12:$I$26,6,FALSE),0))))</f>
        <v>116000</v>
      </c>
      <c r="P66" s="466" t="str">
        <f t="shared" si="0"/>
        <v>2.35</v>
      </c>
      <c r="Q66" s="253">
        <f t="shared" si="2"/>
        <v>35</v>
      </c>
      <c r="R66" s="253">
        <f t="shared" si="3"/>
        <v>35</v>
      </c>
      <c r="S66" s="449">
        <f t="shared" si="4"/>
        <v>35</v>
      </c>
      <c r="T66" s="253">
        <f t="shared" si="5"/>
        <v>-43</v>
      </c>
      <c r="U66" s="457" t="str">
        <f t="shared" si="1"/>
        <v xml:space="preserve"> </v>
      </c>
    </row>
    <row r="67" spans="1:21" ht="20.100000000000001" customHeight="1" x14ac:dyDescent="0.25">
      <c r="A67" s="470"/>
      <c r="B67" s="456">
        <f>IF(LEFT(C67,16)="Terima Pajak PPN",VLOOKUP(P67,COPY!$A$1:$AC$1000,21,FALSE),IF(LEFT(C67,16)="Terima Pajak PPH",VLOOKUP(P67,COPY!$A$1:$AC$1000,21,FALSE),IF(LEFT(C67,13)="Terima PPh 23",VLOOKUP(P67,COPY!$A$1:$AC$1000,21,FALSE),0)))</f>
        <v>0</v>
      </c>
      <c r="C67" s="457">
        <f>IFERROR(IF(LEFT(VLOOKUP(P67,COPY!$A$1:$AC$1000,29,FALSE),5)="Terim",VLOOKUP(P67,COPY!$A$1:$AC$1000,29,FALSE),0),0)</f>
        <v>0</v>
      </c>
      <c r="D67" s="457"/>
      <c r="E67" s="457"/>
      <c r="F67" s="458">
        <f>IFERROR(IF(LEFT(VLOOKUP(P67,COPY!$A$1:$AC$1000,29,FALSE),5)="Terim",VLOOKUP(P67,COPY!$A$1:$AC$1000,26,FALSE),0),0)</f>
        <v>0</v>
      </c>
      <c r="G67" s="459" t="str">
        <f>IFERROR(VLOOKUP(P67,COPY!$A$1:$L$1000,4,FALSE),0)</f>
        <v/>
      </c>
      <c r="H67" s="457" t="str">
        <f>IFERROR(VLOOKUP(P67,COPY!$A$1:$L$1000,2,FALSE),0)</f>
        <v>Beli</v>
      </c>
      <c r="I67" s="510">
        <f>IFERROR(VLOOKUP(P67,COPY!$A$1:$L$1000,10,FALSE),0)</f>
        <v>2</v>
      </c>
      <c r="J67" s="467" t="str">
        <f>IFERROR(VLOOKUP(P67,COPY!$A$1:$L$1000,8,FALSE),0)</f>
        <v>sak</v>
      </c>
      <c r="K67" s="457" t="str">
        <f>IFERROR(VLOOKUP(P67,COPY!$A$1:$L$1000,7,FALSE),0)</f>
        <v>Kalsium Omya No. 6</v>
      </c>
      <c r="L67" s="468" t="str">
        <f>IFERROR(VLOOKUP(P67,COPY!$A$1:$O$1000,15,FALSE),0)</f>
        <v/>
      </c>
      <c r="M67" s="468" t="str">
        <f>IFERROR(VLOOKUP(P67,COPY!$A$1:$L$1000,12,FALSE),0)</f>
        <v>B</v>
      </c>
      <c r="N67" s="469">
        <f>IF(H67="Jasa",VLOOKUP('BKU 2'!K67,'Rekap Gaji'!$D$12:$I$26,6,FALSE),(IF(H67="Beli",VLOOKUP(P67,COPY!$A$1:$L$1000,11,FALSE),IF(H67="Bayar Ongkos",VLOOKUP(K67,'Rekap Gaji'!$D$12:$I$26,6,FALSE),0))))</f>
        <v>88000</v>
      </c>
      <c r="P67" s="466" t="str">
        <f t="shared" si="0"/>
        <v>2.36</v>
      </c>
      <c r="Q67" s="253">
        <f t="shared" si="2"/>
        <v>36</v>
      </c>
      <c r="R67" s="253">
        <f t="shared" si="3"/>
        <v>36</v>
      </c>
      <c r="S67" s="449">
        <f t="shared" si="4"/>
        <v>36</v>
      </c>
      <c r="T67" s="253">
        <f t="shared" si="5"/>
        <v>-42</v>
      </c>
      <c r="U67" s="457" t="str">
        <f t="shared" si="1"/>
        <v xml:space="preserve"> </v>
      </c>
    </row>
    <row r="68" spans="1:21" ht="20.100000000000001" customHeight="1" x14ac:dyDescent="0.25">
      <c r="A68" s="470"/>
      <c r="B68" s="456">
        <f>IF(LEFT(C68,16)="Terima Pajak PPN",VLOOKUP(P68,COPY!$A$1:$AC$1000,21,FALSE),IF(LEFT(C68,16)="Terima Pajak PPH",VLOOKUP(P68,COPY!$A$1:$AC$1000,21,FALSE),IF(LEFT(C68,13)="Terima PPh 23",VLOOKUP(P68,COPY!$A$1:$AC$1000,21,FALSE),0)))</f>
        <v>0</v>
      </c>
      <c r="C68" s="457">
        <f>IFERROR(IF(LEFT(VLOOKUP(P68,COPY!$A$1:$AC$1000,29,FALSE),5)="Terim",VLOOKUP(P68,COPY!$A$1:$AC$1000,29,FALSE),0),0)</f>
        <v>0</v>
      </c>
      <c r="D68" s="457"/>
      <c r="E68" s="457"/>
      <c r="F68" s="458">
        <f>IFERROR(IF(LEFT(VLOOKUP(P68,COPY!$A$1:$AC$1000,29,FALSE),5)="Terim",VLOOKUP(P68,COPY!$A$1:$AC$1000,26,FALSE),0),0)</f>
        <v>0</v>
      </c>
      <c r="G68" s="459" t="str">
        <f>IFERROR(VLOOKUP(P68,COPY!$A$1:$L$1000,4,FALSE),0)</f>
        <v/>
      </c>
      <c r="H68" s="457" t="str">
        <f>IFERROR(VLOOKUP(P68,COPY!$A$1:$L$1000,2,FALSE),0)</f>
        <v>Beli</v>
      </c>
      <c r="I68" s="510">
        <f>IFERROR(VLOOKUP(P68,COPY!$A$1:$L$1000,10,FALSE),0)</f>
        <v>40</v>
      </c>
      <c r="J68" s="467" t="str">
        <f>IFERROR(VLOOKUP(P68,COPY!$A$1:$L$1000,8,FALSE),0)</f>
        <v>Pcs</v>
      </c>
      <c r="K68" s="457" t="str">
        <f>IFERROR(VLOOKUP(P68,COPY!$A$1:$L$1000,7,FALSE),0)</f>
        <v>Lem Rajawali Putih</v>
      </c>
      <c r="L68" s="468" t="str">
        <f>IFERROR(VLOOKUP(P68,COPY!$A$1:$O$1000,15,FALSE),0)</f>
        <v/>
      </c>
      <c r="M68" s="468" t="str">
        <f>IFERROR(VLOOKUP(P68,COPY!$A$1:$L$1000,12,FALSE),0)</f>
        <v>B</v>
      </c>
      <c r="N68" s="469">
        <f>IF(H68="Jasa",VLOOKUP('BKU 2'!K68,'Rekap Gaji'!$D$12:$I$26,6,FALSE),(IF(H68="Beli",VLOOKUP(P68,COPY!$A$1:$L$1000,11,FALSE),IF(H68="Bayar Ongkos",VLOOKUP(K68,'Rekap Gaji'!$D$12:$I$26,6,FALSE),0))))</f>
        <v>800000</v>
      </c>
      <c r="P68" s="466" t="str">
        <f t="shared" si="0"/>
        <v>2.37</v>
      </c>
      <c r="Q68" s="253">
        <f t="shared" si="2"/>
        <v>37</v>
      </c>
      <c r="R68" s="253">
        <f t="shared" si="3"/>
        <v>37</v>
      </c>
      <c r="S68" s="449">
        <f t="shared" si="4"/>
        <v>37</v>
      </c>
      <c r="T68" s="253">
        <f t="shared" si="5"/>
        <v>-41</v>
      </c>
      <c r="U68" s="457" t="str">
        <f t="shared" si="1"/>
        <v xml:space="preserve"> </v>
      </c>
    </row>
    <row r="69" spans="1:21" ht="20.100000000000001" customHeight="1" x14ac:dyDescent="0.25">
      <c r="A69" s="470"/>
      <c r="B69" s="456">
        <f>IF(LEFT(C69,16)="Terima Pajak PPN",VLOOKUP(P69,COPY!$A$1:$AC$1000,21,FALSE),IF(LEFT(C69,16)="Terima Pajak PPH",VLOOKUP(P69,COPY!$A$1:$AC$1000,21,FALSE),IF(LEFT(C69,13)="Terima PPh 23",VLOOKUP(P69,COPY!$A$1:$AC$1000,21,FALSE),0)))</f>
        <v>0</v>
      </c>
      <c r="C69" s="457">
        <f>IFERROR(IF(LEFT(VLOOKUP(P69,COPY!$A$1:$AC$1000,29,FALSE),5)="Terim",VLOOKUP(P69,COPY!$A$1:$AC$1000,29,FALSE),0),0)</f>
        <v>0</v>
      </c>
      <c r="D69" s="457"/>
      <c r="E69" s="457"/>
      <c r="F69" s="458">
        <f>IFERROR(IF(LEFT(VLOOKUP(P69,COPY!$A$1:$AC$1000,29,FALSE),5)="Terim",VLOOKUP(P69,COPY!$A$1:$AC$1000,26,FALSE),0),0)</f>
        <v>0</v>
      </c>
      <c r="G69" s="459">
        <f>IFERROR(VLOOKUP(P69,COPY!$A$1:$L$1000,4,FALSE),0)</f>
        <v>45945</v>
      </c>
      <c r="H69" s="457" t="str">
        <f>IFERROR(VLOOKUP(P69,COPY!$A$1:$L$1000,2,FALSE),0)</f>
        <v>Beli</v>
      </c>
      <c r="I69" s="510">
        <f>IFERROR(VLOOKUP(P69,COPY!$A$1:$L$1000,10,FALSE),0)</f>
        <v>10</v>
      </c>
      <c r="J69" s="467" t="str">
        <f>IFERROR(VLOOKUP(P69,COPY!$A$1:$L$1000,8,FALSE),0)</f>
        <v>Bji</v>
      </c>
      <c r="K69" s="457" t="str">
        <f>IFERROR(VLOOKUP(P69,COPY!$A$1:$L$1000,7,FALSE),0)</f>
        <v>Kain Lap</v>
      </c>
      <c r="L69" s="468" t="str">
        <f>IFERROR(VLOOKUP(P69,COPY!$A$1:$O$1000,15,FALSE),0)</f>
        <v>BKK.44</v>
      </c>
      <c r="M69" s="468" t="str">
        <f>IFERROR(VLOOKUP(P69,COPY!$A$1:$L$1000,12,FALSE),0)</f>
        <v>B</v>
      </c>
      <c r="N69" s="469">
        <f>IF(H69="Jasa",VLOOKUP('BKU 2'!K69,'Rekap Gaji'!$D$12:$I$26,6,FALSE),(IF(H69="Beli",VLOOKUP(P69,COPY!$A$1:$L$1000,11,FALSE),IF(H69="Bayar Ongkos",VLOOKUP(K69,'Rekap Gaji'!$D$12:$I$26,6,FALSE),0))))</f>
        <v>140000</v>
      </c>
      <c r="O69" s="470"/>
      <c r="P69" s="466" t="str">
        <f t="shared" si="0"/>
        <v>2.38</v>
      </c>
      <c r="Q69" s="253">
        <f t="shared" si="2"/>
        <v>38</v>
      </c>
      <c r="R69" s="253">
        <f t="shared" si="3"/>
        <v>38</v>
      </c>
      <c r="S69" s="449">
        <f t="shared" si="4"/>
        <v>38</v>
      </c>
      <c r="T69" s="253">
        <f t="shared" si="5"/>
        <v>-40</v>
      </c>
      <c r="U69" s="457" t="str">
        <f t="shared" si="1"/>
        <v xml:space="preserve"> </v>
      </c>
    </row>
    <row r="70" spans="1:21" ht="20.100000000000001" customHeight="1" x14ac:dyDescent="0.25">
      <c r="A70" s="470"/>
      <c r="B70" s="456">
        <f>IF(LEFT(C70,16)="Terima Pajak PPN",VLOOKUP(P70,COPY!$A$1:$AC$1000,21,FALSE),IF(LEFT(C70,16)="Terima Pajak PPH",VLOOKUP(P70,COPY!$A$1:$AC$1000,21,FALSE),IF(LEFT(C70,13)="Terima PPh 23",VLOOKUP(P70,COPY!$A$1:$AC$1000,21,FALSE),0)))</f>
        <v>0</v>
      </c>
      <c r="C70" s="457">
        <f>IFERROR(IF(LEFT(VLOOKUP(P70,COPY!$A$1:$AC$1000,29,FALSE),5)="Terim",VLOOKUP(P70,COPY!$A$1:$AC$1000,29,FALSE),0),0)</f>
        <v>0</v>
      </c>
      <c r="D70" s="457"/>
      <c r="E70" s="457"/>
      <c r="F70" s="458">
        <f>IFERROR(IF(LEFT(VLOOKUP(P70,COPY!$A$1:$AC$1000,29,FALSE),5)="Terim",VLOOKUP(P70,COPY!$A$1:$AC$1000,26,FALSE),0),0)</f>
        <v>0</v>
      </c>
      <c r="G70" s="459" t="str">
        <f>IFERROR(VLOOKUP(P70,COPY!$A$1:$L$1000,4,FALSE),0)</f>
        <v/>
      </c>
      <c r="H70" s="457" t="str">
        <f>IFERROR(VLOOKUP(P70,COPY!$A$1:$L$1000,2,FALSE),0)</f>
        <v>Beli</v>
      </c>
      <c r="I70" s="510">
        <f>IFERROR(VLOOKUP(P70,COPY!$A$1:$L$1000,10,FALSE),0)</f>
        <v>4</v>
      </c>
      <c r="J70" s="467" t="str">
        <f>IFERROR(VLOOKUP(P70,COPY!$A$1:$L$1000,8,FALSE),0)</f>
        <v>ltr</v>
      </c>
      <c r="K70" s="457" t="str">
        <f>IFERROR(VLOOKUP(P70,COPY!$A$1:$L$1000,7,FALSE),0)</f>
        <v>Hcl</v>
      </c>
      <c r="L70" s="468" t="str">
        <f>IFERROR(VLOOKUP(P70,COPY!$A$1:$O$1000,15,FALSE),0)</f>
        <v/>
      </c>
      <c r="M70" s="468" t="str">
        <f>IFERROR(VLOOKUP(P70,COPY!$A$1:$L$1000,12,FALSE),0)</f>
        <v>B</v>
      </c>
      <c r="N70" s="469">
        <f>IF(H70="Jasa",VLOOKUP('BKU 2'!K70,'Rekap Gaji'!$D$12:$I$26,6,FALSE),(IF(H70="Beli",VLOOKUP(P70,COPY!$A$1:$L$1000,11,FALSE),IF(H70="Bayar Ongkos",VLOOKUP(K70,'Rekap Gaji'!$D$12:$I$26,6,FALSE),0))))</f>
        <v>40000</v>
      </c>
      <c r="P70" s="466" t="str">
        <f t="shared" si="0"/>
        <v>2.39</v>
      </c>
      <c r="Q70" s="253">
        <f t="shared" si="2"/>
        <v>39</v>
      </c>
      <c r="R70" s="253">
        <f t="shared" si="3"/>
        <v>39</v>
      </c>
      <c r="S70" s="449">
        <f t="shared" si="4"/>
        <v>39</v>
      </c>
      <c r="T70" s="253">
        <f t="shared" si="5"/>
        <v>-39</v>
      </c>
      <c r="U70" s="457" t="str">
        <f t="shared" si="1"/>
        <v xml:space="preserve"> </v>
      </c>
    </row>
    <row r="71" spans="1:21" ht="20.100000000000001" customHeight="1" x14ac:dyDescent="0.25">
      <c r="A71" s="470"/>
      <c r="B71" s="456">
        <f>IF(LEFT(C71,16)="Terima Pajak PPN",VLOOKUP(P71,COPY!$A$1:$AC$1000,21,FALSE),IF(LEFT(C71,16)="Terima Pajak PPH",VLOOKUP(P71,COPY!$A$1:$AC$1000,21,FALSE),IF(LEFT(C71,13)="Terima PPh 23",VLOOKUP(P71,COPY!$A$1:$AC$1000,21,FALSE),0)))</f>
        <v>0</v>
      </c>
      <c r="C71" s="457">
        <f>IFERROR(IF(LEFT(VLOOKUP(P71,COPY!$A$1:$AC$1000,29,FALSE),5)="Terim",VLOOKUP(P71,COPY!$A$1:$AC$1000,29,FALSE),0),0)</f>
        <v>0</v>
      </c>
      <c r="D71" s="457"/>
      <c r="E71" s="457"/>
      <c r="F71" s="458">
        <f>IFERROR(IF(LEFT(VLOOKUP(P71,COPY!$A$1:$AC$1000,29,FALSE),5)="Terim",VLOOKUP(P71,COPY!$A$1:$AC$1000,26,FALSE),0),0)</f>
        <v>0</v>
      </c>
      <c r="G71" s="459" t="str">
        <f>IFERROR(VLOOKUP(P71,COPY!$A$1:$L$1000,4,FALSE),0)</f>
        <v/>
      </c>
      <c r="H71" s="457" t="str">
        <f>IFERROR(VLOOKUP(P71,COPY!$A$1:$L$1000,2,FALSE),0)</f>
        <v>Beli</v>
      </c>
      <c r="I71" s="510">
        <f>IFERROR(VLOOKUP(P71,COPY!$A$1:$L$1000,10,FALSE),0)</f>
        <v>1</v>
      </c>
      <c r="J71" s="467" t="str">
        <f>IFERROR(VLOOKUP(P71,COPY!$A$1:$L$1000,8,FALSE),0)</f>
        <v>Pail</v>
      </c>
      <c r="K71" s="457" t="str">
        <f>IFERROR(VLOOKUP(P71,COPY!$A$1:$L$1000,7,FALSE),0)</f>
        <v>Paragon Putih Eml 20Kg</v>
      </c>
      <c r="L71" s="468" t="str">
        <f>IFERROR(VLOOKUP(P71,COPY!$A$1:$O$1000,15,FALSE),0)</f>
        <v/>
      </c>
      <c r="M71" s="468" t="str">
        <f>IFERROR(VLOOKUP(P71,COPY!$A$1:$L$1000,12,FALSE),0)</f>
        <v>B</v>
      </c>
      <c r="N71" s="469">
        <f>IF(H71="Jasa",VLOOKUP('BKU 2'!K71,'Rekap Gaji'!$D$12:$I$26,6,FALSE),(IF(H71="Beli",VLOOKUP(P71,COPY!$A$1:$L$1000,11,FALSE),IF(H71="Bayar Ongkos",VLOOKUP(K71,'Rekap Gaji'!$D$12:$I$26,6,FALSE),0))))</f>
        <v>500000</v>
      </c>
      <c r="P71" s="466" t="str">
        <f t="shared" si="0"/>
        <v>2.40</v>
      </c>
      <c r="Q71" s="253">
        <f t="shared" si="2"/>
        <v>40</v>
      </c>
      <c r="R71" s="253">
        <f t="shared" si="3"/>
        <v>40</v>
      </c>
      <c r="S71" s="449">
        <f t="shared" si="4"/>
        <v>40</v>
      </c>
      <c r="T71" s="253">
        <f t="shared" si="5"/>
        <v>-38</v>
      </c>
      <c r="U71" s="457" t="str">
        <f t="shared" si="1"/>
        <v xml:space="preserve"> </v>
      </c>
    </row>
    <row r="72" spans="1:21" ht="20.100000000000001" customHeight="1" x14ac:dyDescent="0.25">
      <c r="A72" s="470"/>
      <c r="B72" s="456">
        <f>IF(LEFT(C72,16)="Terima Pajak PPN",VLOOKUP(P72,COPY!$A$1:$AC$1000,21,FALSE),IF(LEFT(C72,16)="Terima Pajak PPH",VLOOKUP(P72,COPY!$A$1:$AC$1000,21,FALSE),IF(LEFT(C72,13)="Terima PPh 23",VLOOKUP(P72,COPY!$A$1:$AC$1000,21,FALSE),0)))</f>
        <v>0</v>
      </c>
      <c r="C72" s="457">
        <f>IFERROR(IF(LEFT(VLOOKUP(P72,COPY!$A$1:$AC$1000,29,FALSE),5)="Terim",VLOOKUP(P72,COPY!$A$1:$AC$1000,29,FALSE),0),0)</f>
        <v>0</v>
      </c>
      <c r="D72" s="457"/>
      <c r="E72" s="457"/>
      <c r="F72" s="458">
        <f>IFERROR(IF(LEFT(VLOOKUP(P72,COPY!$A$1:$AC$1000,29,FALSE),5)="Terim",VLOOKUP(P72,COPY!$A$1:$AC$1000,26,FALSE),0),0)</f>
        <v>0</v>
      </c>
      <c r="G72" s="459" t="str">
        <f>IFERROR(VLOOKUP(P72,COPY!$A$1:$L$1000,4,FALSE),0)</f>
        <v/>
      </c>
      <c r="H72" s="457" t="str">
        <f>IFERROR(VLOOKUP(P72,COPY!$A$1:$L$1000,2,FALSE),0)</f>
        <v>Beli</v>
      </c>
      <c r="I72" s="510">
        <f>IFERROR(VLOOKUP(P72,COPY!$A$1:$L$1000,10,FALSE),0)</f>
        <v>1</v>
      </c>
      <c r="J72" s="467" t="str">
        <f>IFERROR(VLOOKUP(P72,COPY!$A$1:$L$1000,8,FALSE),0)</f>
        <v>Pail</v>
      </c>
      <c r="K72" s="457" t="str">
        <f>IFERROR(VLOOKUP(P72,COPY!$A$1:$L$1000,7,FALSE),0)</f>
        <v>Cat No Drop Hijau</v>
      </c>
      <c r="L72" s="468" t="str">
        <f>IFERROR(VLOOKUP(P72,COPY!$A$1:$O$1000,15,FALSE),0)</f>
        <v/>
      </c>
      <c r="M72" s="468" t="str">
        <f>IFERROR(VLOOKUP(P72,COPY!$A$1:$L$1000,12,FALSE),0)</f>
        <v>B</v>
      </c>
      <c r="N72" s="469">
        <f>IF(H72="Jasa",VLOOKUP('BKU 2'!K72,'Rekap Gaji'!$D$12:$I$26,6,FALSE),(IF(H72="Beli",VLOOKUP(P72,COPY!$A$1:$L$1000,11,FALSE),IF(H72="Bayar Ongkos",VLOOKUP(K72,'Rekap Gaji'!$D$12:$I$26,6,FALSE),0))))</f>
        <v>1125000</v>
      </c>
      <c r="O72" s="470"/>
      <c r="P72" s="466" t="str">
        <f t="shared" si="0"/>
        <v>2.41</v>
      </c>
      <c r="Q72" s="253">
        <f t="shared" si="2"/>
        <v>41</v>
      </c>
      <c r="R72" s="253">
        <f t="shared" si="3"/>
        <v>41</v>
      </c>
      <c r="S72" s="449">
        <f t="shared" si="4"/>
        <v>41</v>
      </c>
      <c r="T72" s="253">
        <f t="shared" si="5"/>
        <v>-37</v>
      </c>
      <c r="U72" s="457" t="str">
        <f t="shared" si="1"/>
        <v xml:space="preserve"> </v>
      </c>
    </row>
    <row r="73" spans="1:21" ht="20.100000000000001" customHeight="1" x14ac:dyDescent="0.25">
      <c r="A73" s="470"/>
      <c r="B73" s="456">
        <f>IF(LEFT(C73,16)="Terima Pajak PPN",VLOOKUP(P73,COPY!$A$1:$AC$1000,21,FALSE),IF(LEFT(C73,16)="Terima Pajak PPH",VLOOKUP(P73,COPY!$A$1:$AC$1000,21,FALSE),IF(LEFT(C73,13)="Terima PPh 23",VLOOKUP(P73,COPY!$A$1:$AC$1000,21,FALSE),0)))</f>
        <v>0</v>
      </c>
      <c r="C73" s="457">
        <f>IFERROR(IF(LEFT(VLOOKUP(P73,COPY!$A$1:$AC$1000,29,FALSE),5)="Terim",VLOOKUP(P73,COPY!$A$1:$AC$1000,29,FALSE),0),0)</f>
        <v>0</v>
      </c>
      <c r="D73" s="457"/>
      <c r="E73" s="457"/>
      <c r="F73" s="458">
        <f>IFERROR(IF(LEFT(VLOOKUP(P73,COPY!$A$1:$AC$1000,29,FALSE),5)="Terim",VLOOKUP(P73,COPY!$A$1:$AC$1000,26,FALSE),0),0)</f>
        <v>0</v>
      </c>
      <c r="G73" s="459">
        <f>IFERROR(VLOOKUP(P73,COPY!$A$1:$L$1000,4,FALSE),0)</f>
        <v>45946</v>
      </c>
      <c r="H73" s="457" t="str">
        <f>IFERROR(VLOOKUP(P73,COPY!$A$1:$L$1000,2,FALSE),0)</f>
        <v>Beli</v>
      </c>
      <c r="I73" s="510">
        <f>IFERROR(VLOOKUP(P73,COPY!$A$1:$L$1000,10,FALSE),0)</f>
        <v>10</v>
      </c>
      <c r="J73" s="467" t="str">
        <f>IFERROR(VLOOKUP(P73,COPY!$A$1:$L$1000,8,FALSE),0)</f>
        <v>Sak</v>
      </c>
      <c r="K73" s="457" t="str">
        <f>IFERROR(VLOOKUP(P73,COPY!$A$1:$L$1000,7,FALSE),0)</f>
        <v>Semen 3 Roda</v>
      </c>
      <c r="L73" s="468" t="str">
        <f>IFERROR(VLOOKUP(P73,COPY!$A$1:$O$1000,15,FALSE),0)</f>
        <v>BKK.45</v>
      </c>
      <c r="M73" s="468" t="str">
        <f>IFERROR(VLOOKUP(P73,COPY!$A$1:$L$1000,12,FALSE),0)</f>
        <v>B</v>
      </c>
      <c r="N73" s="469">
        <f>IF(H73="Jasa",VLOOKUP('BKU 2'!K73,'Rekap Gaji'!$D$12:$I$26,6,FALSE),(IF(H73="Beli",VLOOKUP(P73,COPY!$A$1:$L$1000,11,FALSE),IF(H73="Bayar Ongkos",VLOOKUP(K73,'Rekap Gaji'!$D$12:$I$26,6,FALSE),0))))</f>
        <v>520000</v>
      </c>
      <c r="O73" s="470"/>
      <c r="P73" s="466" t="str">
        <f t="shared" si="0"/>
        <v>2.42</v>
      </c>
      <c r="Q73" s="253">
        <f t="shared" si="2"/>
        <v>42</v>
      </c>
      <c r="R73" s="253">
        <f t="shared" si="3"/>
        <v>42</v>
      </c>
      <c r="S73" s="449">
        <f t="shared" si="4"/>
        <v>42</v>
      </c>
      <c r="T73" s="253">
        <f t="shared" si="5"/>
        <v>-36</v>
      </c>
      <c r="U73" s="457" t="str">
        <f t="shared" si="1"/>
        <v xml:space="preserve"> </v>
      </c>
    </row>
    <row r="74" spans="1:21" ht="20.100000000000001" customHeight="1" x14ac:dyDescent="0.25">
      <c r="A74" s="470"/>
      <c r="B74" s="456">
        <f>IF(LEFT(C74,16)="Terima Pajak PPN",VLOOKUP(P74,COPY!$A$1:$AC$1000,21,FALSE),IF(LEFT(C74,16)="Terima Pajak PPH",VLOOKUP(P74,COPY!$A$1:$AC$1000,21,FALSE),IF(LEFT(C74,13)="Terima PPh 23",VLOOKUP(P74,COPY!$A$1:$AC$1000,21,FALSE),0)))</f>
        <v>0</v>
      </c>
      <c r="C74" s="457">
        <f>IFERROR(IF(LEFT(VLOOKUP(P74,COPY!$A$1:$AC$1000,29,FALSE),5)="Terim",VLOOKUP(P74,COPY!$A$1:$AC$1000,29,FALSE),0),0)</f>
        <v>0</v>
      </c>
      <c r="D74" s="457"/>
      <c r="E74" s="457"/>
      <c r="F74" s="458">
        <f>IFERROR(IF(LEFT(VLOOKUP(P74,COPY!$A$1:$AC$1000,29,FALSE),5)="Terim",VLOOKUP(P74,COPY!$A$1:$AC$1000,26,FALSE),0),0)</f>
        <v>0</v>
      </c>
      <c r="G74" s="459" t="str">
        <f>IFERROR(VLOOKUP(P74,COPY!$A$1:$L$1000,4,FALSE),0)</f>
        <v/>
      </c>
      <c r="H74" s="457" t="str">
        <f>IFERROR(VLOOKUP(P74,COPY!$A$1:$L$1000,2,FALSE),0)</f>
        <v>Beli</v>
      </c>
      <c r="I74" s="510">
        <f>IFERROR(VLOOKUP(P74,COPY!$A$1:$L$1000,10,FALSE),0)</f>
        <v>48</v>
      </c>
      <c r="J74" s="467" t="str">
        <f>IFERROR(VLOOKUP(P74,COPY!$A$1:$L$1000,8,FALSE),0)</f>
        <v>Pcs</v>
      </c>
      <c r="K74" s="457" t="str">
        <f>IFERROR(VLOOKUP(P74,COPY!$A$1:$L$1000,7,FALSE),0)</f>
        <v>Lem Rajawali Putih</v>
      </c>
      <c r="L74" s="468" t="str">
        <f>IFERROR(VLOOKUP(P74,COPY!$A$1:$O$1000,15,FALSE),0)</f>
        <v/>
      </c>
      <c r="M74" s="468" t="str">
        <f>IFERROR(VLOOKUP(P74,COPY!$A$1:$L$1000,12,FALSE),0)</f>
        <v>B</v>
      </c>
      <c r="N74" s="469">
        <f>IF(H74="Jasa",VLOOKUP('BKU 2'!K74,'Rekap Gaji'!$D$12:$I$26,6,FALSE),(IF(H74="Beli",VLOOKUP(P74,COPY!$A$1:$L$1000,11,FALSE),IF(H74="Bayar Ongkos",VLOOKUP(K74,'Rekap Gaji'!$D$12:$I$26,6,FALSE),0))))</f>
        <v>960000</v>
      </c>
      <c r="O74" s="470"/>
      <c r="P74" s="466" t="str">
        <f t="shared" si="0"/>
        <v>2.43</v>
      </c>
      <c r="Q74" s="253">
        <f t="shared" si="2"/>
        <v>43</v>
      </c>
      <c r="R74" s="253">
        <f t="shared" si="3"/>
        <v>43</v>
      </c>
      <c r="S74" s="449">
        <f t="shared" si="4"/>
        <v>43</v>
      </c>
      <c r="T74" s="253">
        <f t="shared" si="5"/>
        <v>-35</v>
      </c>
      <c r="U74" s="457" t="str">
        <f t="shared" si="1"/>
        <v xml:space="preserve"> </v>
      </c>
    </row>
    <row r="75" spans="1:21" ht="20.100000000000001" customHeight="1" x14ac:dyDescent="0.25">
      <c r="A75" s="470"/>
      <c r="B75" s="456">
        <f>IF(LEFT(C75,16)="Terima Pajak PPN",VLOOKUP(P75,COPY!$A$1:$AC$1000,21,FALSE),IF(LEFT(C75,16)="Terima Pajak PPH",VLOOKUP(P75,COPY!$A$1:$AC$1000,21,FALSE),IF(LEFT(C75,13)="Terima PPh 23",VLOOKUP(P75,COPY!$A$1:$AC$1000,21,FALSE),0)))</f>
        <v>0</v>
      </c>
      <c r="C75" s="457">
        <f>IFERROR(IF(LEFT(VLOOKUP(P75,COPY!$A$1:$AC$1000,29,FALSE),5)="Terim",VLOOKUP(P75,COPY!$A$1:$AC$1000,29,FALSE),0),0)</f>
        <v>0</v>
      </c>
      <c r="D75" s="457"/>
      <c r="E75" s="457"/>
      <c r="F75" s="458">
        <f>IFERROR(IF(LEFT(VLOOKUP(P75,COPY!$A$1:$AC$1000,29,FALSE),5)="Terim",VLOOKUP(P75,COPY!$A$1:$AC$1000,26,FALSE),0),0)</f>
        <v>0</v>
      </c>
      <c r="G75" s="459" t="str">
        <f>IFERROR(VLOOKUP(P75,COPY!$A$1:$L$1000,4,FALSE),0)</f>
        <v/>
      </c>
      <c r="H75" s="457" t="str">
        <f>IFERROR(VLOOKUP(P75,COPY!$A$1:$L$1000,2,FALSE),0)</f>
        <v>Beli</v>
      </c>
      <c r="I75" s="510">
        <f>IFERROR(VLOOKUP(P75,COPY!$A$1:$L$1000,10,FALSE),0)</f>
        <v>4</v>
      </c>
      <c r="J75" s="467" t="str">
        <f>IFERROR(VLOOKUP(P75,COPY!$A$1:$L$1000,8,FALSE),0)</f>
        <v>Pcs</v>
      </c>
      <c r="K75" s="457" t="str">
        <f>IFERROR(VLOOKUP(P75,COPY!$A$1:$L$1000,7,FALSE),0)</f>
        <v>Kuas Nippon 5"</v>
      </c>
      <c r="L75" s="468" t="str">
        <f>IFERROR(VLOOKUP(P75,COPY!$A$1:$O$1000,15,FALSE),0)</f>
        <v/>
      </c>
      <c r="M75" s="468" t="str">
        <f>IFERROR(VLOOKUP(P75,COPY!$A$1:$L$1000,12,FALSE),0)</f>
        <v>B</v>
      </c>
      <c r="N75" s="469">
        <f>IF(H75="Jasa",VLOOKUP('BKU 2'!K75,'Rekap Gaji'!$D$12:$I$26,6,FALSE),(IF(H75="Beli",VLOOKUP(P75,COPY!$A$1:$L$1000,11,FALSE),IF(H75="Bayar Ongkos",VLOOKUP(K75,'Rekap Gaji'!$D$12:$I$26,6,FALSE),0))))</f>
        <v>92000</v>
      </c>
      <c r="O75" s="470"/>
      <c r="P75" s="466" t="str">
        <f t="shared" si="0"/>
        <v>2.44</v>
      </c>
      <c r="Q75" s="253">
        <f t="shared" si="2"/>
        <v>44</v>
      </c>
      <c r="R75" s="253">
        <f t="shared" si="3"/>
        <v>44</v>
      </c>
      <c r="S75" s="449">
        <f t="shared" si="4"/>
        <v>44</v>
      </c>
      <c r="T75" s="253">
        <f t="shared" si="5"/>
        <v>-34</v>
      </c>
      <c r="U75" s="457" t="str">
        <f t="shared" si="1"/>
        <v xml:space="preserve"> </v>
      </c>
    </row>
    <row r="76" spans="1:21" ht="20.100000000000001" customHeight="1" x14ac:dyDescent="0.25">
      <c r="A76" s="470"/>
      <c r="B76" s="456">
        <f>IF(LEFT(C76,16)="Terima Pajak PPN",VLOOKUP(P76,COPY!$A$1:$AC$1000,21,FALSE),IF(LEFT(C76,16)="Terima Pajak PPH",VLOOKUP(P76,COPY!$A$1:$AC$1000,21,FALSE),IF(LEFT(C76,13)="Terima PPh 23",VLOOKUP(P76,COPY!$A$1:$AC$1000,21,FALSE),0)))</f>
        <v>0</v>
      </c>
      <c r="C76" s="457">
        <f>IFERROR(IF(LEFT(VLOOKUP(P76,COPY!$A$1:$AC$1000,29,FALSE),5)="Terim",VLOOKUP(P76,COPY!$A$1:$AC$1000,29,FALSE),0),0)</f>
        <v>0</v>
      </c>
      <c r="D76" s="457"/>
      <c r="E76" s="457"/>
      <c r="F76" s="458">
        <f>IFERROR(IF(LEFT(VLOOKUP(P76,COPY!$A$1:$AC$1000,29,FALSE),5)="Terim",VLOOKUP(P76,COPY!$A$1:$AC$1000,26,FALSE),0),0)</f>
        <v>0</v>
      </c>
      <c r="G76" s="459" t="str">
        <f>IFERROR(VLOOKUP(P76,COPY!$A$1:$L$1000,4,FALSE),0)</f>
        <v/>
      </c>
      <c r="H76" s="457" t="str">
        <f>IFERROR(VLOOKUP(P76,COPY!$A$1:$L$1000,2,FALSE),0)</f>
        <v>Beli</v>
      </c>
      <c r="I76" s="510">
        <f>IFERROR(VLOOKUP(P76,COPY!$A$1:$L$1000,10,FALSE),0)</f>
        <v>2</v>
      </c>
      <c r="J76" s="467" t="str">
        <f>IFERROR(VLOOKUP(P76,COPY!$A$1:$L$1000,8,FALSE),0)</f>
        <v>Pcs</v>
      </c>
      <c r="K76" s="457" t="str">
        <f>IFERROR(VLOOKUP(P76,COPY!$A$1:$L$1000,7,FALSE),0)</f>
        <v>Kuas Nippon 6"</v>
      </c>
      <c r="L76" s="468" t="str">
        <f>IFERROR(VLOOKUP(P76,COPY!$A$1:$O$1000,15,FALSE),0)</f>
        <v/>
      </c>
      <c r="M76" s="468" t="str">
        <f>IFERROR(VLOOKUP(P76,COPY!$A$1:$L$1000,12,FALSE),0)</f>
        <v>B</v>
      </c>
      <c r="N76" s="471">
        <f>IF(H76="Jasa",VLOOKUP('BKU 2'!K76,'Rekap Gaji'!$D$12:$I$26,6,FALSE),(IF(H76="Beli",VLOOKUP(P76,COPY!$A$1:$L$1000,11,FALSE),IF(H76="Bayar Ongkos",VLOOKUP(K76,'Rekap Gaji'!$D$12:$I$26,6,FALSE),0))))</f>
        <v>56000</v>
      </c>
      <c r="O76" s="470"/>
      <c r="P76" s="466" t="str">
        <f t="shared" si="0"/>
        <v>2.45</v>
      </c>
      <c r="Q76" s="253">
        <f t="shared" si="2"/>
        <v>45</v>
      </c>
      <c r="R76" s="253">
        <f t="shared" si="3"/>
        <v>45</v>
      </c>
      <c r="S76" s="449">
        <f t="shared" si="4"/>
        <v>45</v>
      </c>
      <c r="T76" s="253">
        <f t="shared" si="5"/>
        <v>-33</v>
      </c>
      <c r="U76" s="457" t="str">
        <f t="shared" si="1"/>
        <v xml:space="preserve"> </v>
      </c>
    </row>
    <row r="77" spans="1:21" ht="20.100000000000001" customHeight="1" x14ac:dyDescent="0.25">
      <c r="A77" s="470"/>
      <c r="B77" s="456">
        <f>IF(LEFT(C77,16)="Terima Pajak PPN",VLOOKUP(P77,COPY!$A$1:$AC$1000,21,FALSE),IF(LEFT(C77,16)="Terima Pajak PPH",VLOOKUP(P77,COPY!$A$1:$AC$1000,21,FALSE),IF(LEFT(C77,13)="Terima PPh 23",VLOOKUP(P77,COPY!$A$1:$AC$1000,21,FALSE),0)))</f>
        <v>0</v>
      </c>
      <c r="C77" s="457">
        <f>IFERROR(IF(LEFT(VLOOKUP(P77,COPY!$A$1:$AC$1000,29,FALSE),5)="Terim",VLOOKUP(P77,COPY!$A$1:$AC$1000,29,FALSE),0),0)</f>
        <v>0</v>
      </c>
      <c r="D77" s="457"/>
      <c r="E77" s="457"/>
      <c r="F77" s="458">
        <f>IFERROR(IF(LEFT(VLOOKUP(P77,COPY!$A$1:$AC$1000,29,FALSE),5)="Terim",VLOOKUP(P77,COPY!$A$1:$AC$1000,26,FALSE),0),0)</f>
        <v>0</v>
      </c>
      <c r="G77" s="459" t="str">
        <f>IFERROR(VLOOKUP(P77,COPY!$A$1:$L$1000,4,FALSE),0)</f>
        <v/>
      </c>
      <c r="H77" s="457" t="str">
        <f>IFERROR(VLOOKUP(P77,COPY!$A$1:$L$1000,2,FALSE),0)</f>
        <v>Beli</v>
      </c>
      <c r="I77" s="510">
        <f>IFERROR(VLOOKUP(P77,COPY!$A$1:$L$1000,10,FALSE),0)</f>
        <v>10</v>
      </c>
      <c r="J77" s="467" t="str">
        <f>IFERROR(VLOOKUP(P77,COPY!$A$1:$L$1000,8,FALSE),0)</f>
        <v>m</v>
      </c>
      <c r="K77" s="457" t="str">
        <f>IFERROR(VLOOKUP(P77,COPY!$A$1:$L$1000,7,FALSE),0)</f>
        <v>Amplas No 100</v>
      </c>
      <c r="L77" s="468" t="str">
        <f>IFERROR(VLOOKUP(P77,COPY!$A$1:$O$1000,15,FALSE),0)</f>
        <v/>
      </c>
      <c r="M77" s="468" t="str">
        <f>IFERROR(VLOOKUP(P77,COPY!$A$1:$L$1000,12,FALSE),0)</f>
        <v>B</v>
      </c>
      <c r="N77" s="471">
        <f>IF(H77="Jasa",VLOOKUP('BKU 2'!K77,'Rekap Gaji'!$D$12:$I$26,6,FALSE),(IF(H77="Beli",VLOOKUP(P77,COPY!$A$1:$L$1000,11,FALSE),IF(H77="Bayar Ongkos",VLOOKUP(K77,'Rekap Gaji'!$D$12:$I$26,6,FALSE),0))))</f>
        <v>80000</v>
      </c>
      <c r="O77" s="470"/>
      <c r="P77" s="466" t="str">
        <f t="shared" si="0"/>
        <v>2.46</v>
      </c>
      <c r="Q77" s="253">
        <f t="shared" si="2"/>
        <v>46</v>
      </c>
      <c r="R77" s="253">
        <f t="shared" si="3"/>
        <v>46</v>
      </c>
      <c r="S77" s="449">
        <f t="shared" si="4"/>
        <v>46</v>
      </c>
      <c r="T77" s="253">
        <f t="shared" si="5"/>
        <v>-32</v>
      </c>
      <c r="U77" s="457" t="str">
        <f t="shared" si="1"/>
        <v xml:space="preserve"> </v>
      </c>
    </row>
    <row r="78" spans="1:21" ht="20.100000000000001" customHeight="1" x14ac:dyDescent="0.25">
      <c r="A78" s="470"/>
      <c r="B78" s="456">
        <f>IF(LEFT(C78,16)="Terima Pajak PPN",VLOOKUP(P78,COPY!$A$1:$AC$1000,21,FALSE),IF(LEFT(C78,16)="Terima Pajak PPH",VLOOKUP(P78,COPY!$A$1:$AC$1000,21,FALSE),IF(LEFT(C78,13)="Terima PPh 23",VLOOKUP(P78,COPY!$A$1:$AC$1000,21,FALSE),0)))</f>
        <v>0</v>
      </c>
      <c r="C78" s="457">
        <f>IFERROR(IF(LEFT(VLOOKUP(P78,COPY!$A$1:$AC$1000,29,FALSE),5)="Terim",VLOOKUP(P78,COPY!$A$1:$AC$1000,29,FALSE),0),0)</f>
        <v>0</v>
      </c>
      <c r="D78" s="457"/>
      <c r="E78" s="457"/>
      <c r="F78" s="458">
        <f>IFERROR(IF(LEFT(VLOOKUP(P78,COPY!$A$1:$AC$1000,29,FALSE),5)="Terim",VLOOKUP(P78,COPY!$A$1:$AC$1000,26,FALSE),0),0)</f>
        <v>0</v>
      </c>
      <c r="G78" s="459" t="str">
        <f>IFERROR(VLOOKUP(P78,COPY!$A$1:$L$1000,4,FALSE),0)</f>
        <v/>
      </c>
      <c r="H78" s="457" t="str">
        <f>IFERROR(VLOOKUP(P78,COPY!$A$1:$L$1000,2,FALSE),0)</f>
        <v>Beli</v>
      </c>
      <c r="I78" s="510">
        <f>IFERROR(VLOOKUP(P78,COPY!$A$1:$L$1000,10,FALSE),0)</f>
        <v>10</v>
      </c>
      <c r="J78" s="467" t="str">
        <f>IFERROR(VLOOKUP(P78,COPY!$A$1:$L$1000,8,FALSE),0)</f>
        <v>m</v>
      </c>
      <c r="K78" s="457" t="str">
        <f>IFERROR(VLOOKUP(P78,COPY!$A$1:$L$1000,7,FALSE),0)</f>
        <v>Amplas No 240</v>
      </c>
      <c r="L78" s="468" t="str">
        <f>IFERROR(VLOOKUP(P78,COPY!$A$1:$O$1000,15,FALSE),0)</f>
        <v/>
      </c>
      <c r="M78" s="468" t="str">
        <f>IFERROR(VLOOKUP(P78,COPY!$A$1:$L$1000,12,FALSE),0)</f>
        <v>B</v>
      </c>
      <c r="N78" s="471">
        <f>IF(H78="Jasa",VLOOKUP('BKU 2'!K78,'Rekap Gaji'!$D$12:$I$26,6,FALSE),(IF(H78="Beli",VLOOKUP(P78,COPY!$A$1:$L$1000,11,FALSE),IF(H78="Bayar Ongkos",VLOOKUP(K78,'Rekap Gaji'!$D$12:$I$26,6,FALSE),0))))</f>
        <v>80000</v>
      </c>
      <c r="P78" s="466" t="str">
        <f t="shared" si="0"/>
        <v>2.47</v>
      </c>
      <c r="Q78" s="253">
        <f t="shared" si="2"/>
        <v>47</v>
      </c>
      <c r="R78" s="253">
        <f t="shared" si="3"/>
        <v>47</v>
      </c>
      <c r="S78" s="449">
        <f t="shared" si="4"/>
        <v>47</v>
      </c>
      <c r="T78" s="253">
        <f t="shared" si="5"/>
        <v>-31</v>
      </c>
      <c r="U78" s="457" t="str">
        <f t="shared" si="1"/>
        <v xml:space="preserve"> </v>
      </c>
    </row>
    <row r="79" spans="1:21" ht="20.100000000000001" customHeight="1" x14ac:dyDescent="0.25">
      <c r="A79" s="470"/>
      <c r="B79" s="456">
        <f>IF(LEFT(C79,16)="Terima Pajak PPN",VLOOKUP(P79,COPY!$A$1:$AC$1000,21,FALSE),IF(LEFT(C79,16)="Terima Pajak PPH",VLOOKUP(P79,COPY!$A$1:$AC$1000,21,FALSE),IF(LEFT(C79,13)="Terima PPh 23",VLOOKUP(P79,COPY!$A$1:$AC$1000,21,FALSE),0)))</f>
        <v>0</v>
      </c>
      <c r="C79" s="457">
        <f>IFERROR(IF(LEFT(VLOOKUP(P79,COPY!$A$1:$AC$1000,29,FALSE),5)="Terim",VLOOKUP(P79,COPY!$A$1:$AC$1000,29,FALSE),0),0)</f>
        <v>0</v>
      </c>
      <c r="D79" s="457"/>
      <c r="E79" s="457"/>
      <c r="F79" s="458">
        <f>IFERROR(IF(LEFT(VLOOKUP(P79,COPY!$A$1:$AC$1000,29,FALSE),5)="Terim",VLOOKUP(P79,COPY!$A$1:$AC$1000,26,FALSE),0),0)</f>
        <v>0</v>
      </c>
      <c r="G79" s="459" t="str">
        <f>IFERROR(VLOOKUP(P79,COPY!$A$1:$L$1000,4,FALSE),0)</f>
        <v/>
      </c>
      <c r="H79" s="457" t="str">
        <f>IFERROR(VLOOKUP(P79,COPY!$A$1:$L$1000,2,FALSE),0)</f>
        <v>Beli</v>
      </c>
      <c r="I79" s="510">
        <f>IFERROR(VLOOKUP(P79,COPY!$A$1:$L$1000,10,FALSE),0)</f>
        <v>3</v>
      </c>
      <c r="J79" s="467" t="str">
        <f>IFERROR(VLOOKUP(P79,COPY!$A$1:$L$1000,8,FALSE),0)</f>
        <v>Pak</v>
      </c>
      <c r="K79" s="457" t="str">
        <f>IFERROR(VLOOKUP(P79,COPY!$A$1:$L$1000,7,FALSE),0)</f>
        <v>Serabut No Drop</v>
      </c>
      <c r="L79" s="468" t="str">
        <f>IFERROR(VLOOKUP(P79,COPY!$A$1:$O$1000,15,FALSE),0)</f>
        <v/>
      </c>
      <c r="M79" s="468" t="str">
        <f>IFERROR(VLOOKUP(P79,COPY!$A$1:$L$1000,12,FALSE),0)</f>
        <v>B</v>
      </c>
      <c r="N79" s="471">
        <f>IF(H79="Jasa",VLOOKUP('BKU 2'!K79,'Rekap Gaji'!$D$12:$I$26,6,FALSE),(IF(H79="Beli",VLOOKUP(P79,COPY!$A$1:$L$1000,11,FALSE),IF(H79="Bayar Ongkos",VLOOKUP(K79,'Rekap Gaji'!$D$12:$I$26,6,FALSE),0))))</f>
        <v>48000</v>
      </c>
      <c r="O79" s="470"/>
      <c r="P79" s="466" t="str">
        <f t="shared" si="0"/>
        <v>2.48</v>
      </c>
      <c r="Q79" s="253">
        <f t="shared" si="2"/>
        <v>48</v>
      </c>
      <c r="R79" s="253">
        <f t="shared" si="3"/>
        <v>48</v>
      </c>
      <c r="S79" s="449">
        <f t="shared" si="4"/>
        <v>48</v>
      </c>
      <c r="T79" s="253">
        <f t="shared" si="5"/>
        <v>-30</v>
      </c>
      <c r="U79" s="457" t="str">
        <f t="shared" si="1"/>
        <v xml:space="preserve"> </v>
      </c>
    </row>
    <row r="80" spans="1:21" ht="20.100000000000001" customHeight="1" x14ac:dyDescent="0.25">
      <c r="A80" s="470"/>
      <c r="B80" s="456">
        <f>IF(LEFT(C80,16)="Terima Pajak PPN",VLOOKUP(P80,COPY!$A$1:$AC$1000,21,FALSE),IF(LEFT(C80,16)="Terima Pajak PPH",VLOOKUP(P80,COPY!$A$1:$AC$1000,21,FALSE),IF(LEFT(C80,13)="Terima PPh 23",VLOOKUP(P80,COPY!$A$1:$AC$1000,21,FALSE),0)))</f>
        <v>0</v>
      </c>
      <c r="C80" s="457">
        <f>IFERROR(IF(LEFT(VLOOKUP(P80,COPY!$A$1:$AC$1000,29,FALSE),5)="Terim",VLOOKUP(P80,COPY!$A$1:$AC$1000,29,FALSE),0),0)</f>
        <v>0</v>
      </c>
      <c r="D80" s="457"/>
      <c r="E80" s="457"/>
      <c r="F80" s="458">
        <f>IFERROR(IF(LEFT(VLOOKUP(P80,COPY!$A$1:$AC$1000,29,FALSE),5)="Terim",VLOOKUP(P80,COPY!$A$1:$AC$1000,26,FALSE),0),0)</f>
        <v>0</v>
      </c>
      <c r="G80" s="459">
        <f>IFERROR(VLOOKUP(P80,COPY!$A$1:$L$1000,4,FALSE),0)</f>
        <v>45947</v>
      </c>
      <c r="H80" s="457" t="str">
        <f>IFERROR(VLOOKUP(P80,COPY!$A$1:$L$1000,2,FALSE),0)</f>
        <v>Beli</v>
      </c>
      <c r="I80" s="510">
        <f>IFERROR(VLOOKUP(P80,COPY!$A$1:$L$1000,10,FALSE),0)</f>
        <v>1</v>
      </c>
      <c r="J80" s="467" t="str">
        <f>IFERROR(VLOOKUP(P80,COPY!$A$1:$L$1000,8,FALSE),0)</f>
        <v>Gln</v>
      </c>
      <c r="K80" s="457" t="str">
        <f>IFERROR(VLOOKUP(P80,COPY!$A$1:$L$1000,7,FALSE),0)</f>
        <v>Cat Catylac Int Lime 45120</v>
      </c>
      <c r="L80" s="468" t="str">
        <f>IFERROR(VLOOKUP(P80,COPY!$A$1:$O$1000,15,FALSE),0)</f>
        <v>BKK.46</v>
      </c>
      <c r="M80" s="468" t="str">
        <f>IFERROR(VLOOKUP(P80,COPY!$A$1:$L$1000,12,FALSE),0)</f>
        <v>B</v>
      </c>
      <c r="N80" s="471">
        <f>IF(H80="Jasa",VLOOKUP('BKU 2'!K80,'Rekap Gaji'!$D$12:$I$26,6,FALSE),(IF(H80="Beli",VLOOKUP(P80,COPY!$A$1:$L$1000,11,FALSE),IF(H80="Bayar Ongkos",VLOOKUP(K80,'Rekap Gaji'!$D$12:$I$26,6,FALSE),0))))</f>
        <v>565000</v>
      </c>
      <c r="P80" s="466" t="str">
        <f t="shared" si="0"/>
        <v>2.49</v>
      </c>
      <c r="Q80" s="253">
        <f t="shared" si="2"/>
        <v>49</v>
      </c>
      <c r="R80" s="253">
        <f t="shared" si="3"/>
        <v>49</v>
      </c>
      <c r="S80" s="449">
        <f t="shared" si="4"/>
        <v>49</v>
      </c>
      <c r="T80" s="253">
        <f t="shared" si="5"/>
        <v>-29</v>
      </c>
      <c r="U80" s="457" t="str">
        <f t="shared" si="1"/>
        <v xml:space="preserve"> </v>
      </c>
    </row>
    <row r="81" spans="1:21" ht="20.100000000000001" customHeight="1" x14ac:dyDescent="0.25">
      <c r="A81" s="470"/>
      <c r="B81" s="456">
        <f>IF(LEFT(C81,16)="Terima Pajak PPN",VLOOKUP(P81,COPY!$A$1:$AC$1000,21,FALSE),IF(LEFT(C81,16)="Terima Pajak PPH",VLOOKUP(P81,COPY!$A$1:$AC$1000,21,FALSE),IF(LEFT(C81,13)="Terima PPh 23",VLOOKUP(P81,COPY!$A$1:$AC$1000,21,FALSE),0)))</f>
        <v>0</v>
      </c>
      <c r="C81" s="457">
        <f>IFERROR(IF(LEFT(VLOOKUP(P81,COPY!$A$1:$AC$1000,29,FALSE),5)="Terim",VLOOKUP(P81,COPY!$A$1:$AC$1000,29,FALSE),0),0)</f>
        <v>0</v>
      </c>
      <c r="D81" s="457"/>
      <c r="E81" s="457"/>
      <c r="F81" s="458">
        <f>IFERROR(IF(LEFT(VLOOKUP(P81,COPY!$A$1:$AC$1000,29,FALSE),5)="Terim",VLOOKUP(P81,COPY!$A$1:$AC$1000,26,FALSE),0),0)</f>
        <v>0</v>
      </c>
      <c r="G81" s="459">
        <f>IFERROR(VLOOKUP(P81,COPY!$A$1:$L$1000,4,FALSE),0)</f>
        <v>45948</v>
      </c>
      <c r="H81" s="457" t="str">
        <f>IFERROR(VLOOKUP(P81,COPY!$A$1:$L$1000,2,FALSE),0)</f>
        <v>Beli</v>
      </c>
      <c r="I81" s="510">
        <f>IFERROR(VLOOKUP(P81,COPY!$A$1:$L$1000,10,FALSE),0)</f>
        <v>2</v>
      </c>
      <c r="J81" s="467" t="str">
        <f>IFERROR(VLOOKUP(P81,COPY!$A$1:$L$1000,8,FALSE),0)</f>
        <v>Unit</v>
      </c>
      <c r="K81" s="457" t="str">
        <f>IFERROR(VLOOKUP(P81,COPY!$A$1:$L$1000,7,FALSE),0)</f>
        <v>Closet Duduk Komplit Volk</v>
      </c>
      <c r="L81" s="468" t="str">
        <f>IFERROR(VLOOKUP(P81,COPY!$A$1:$O$1000,15,FALSE),0)</f>
        <v>BKK.47</v>
      </c>
      <c r="M81" s="468" t="str">
        <f>IFERROR(VLOOKUP(P81,COPY!$A$1:$L$1000,12,FALSE),0)</f>
        <v>B</v>
      </c>
      <c r="N81" s="471">
        <f>IF(H81="Jasa",VLOOKUP('BKU 2'!K81,'Rekap Gaji'!$D$12:$I$26,6,FALSE),(IF(H81="Beli",VLOOKUP(P81,COPY!$A$1:$L$1000,11,FALSE),IF(H81="Bayar Ongkos",VLOOKUP(K81,'Rekap Gaji'!$D$12:$I$26,6,FALSE),0))))</f>
        <v>2200000</v>
      </c>
      <c r="O81" s="470"/>
      <c r="P81" s="466" t="str">
        <f t="shared" si="0"/>
        <v>2.50</v>
      </c>
      <c r="Q81" s="253">
        <f t="shared" si="2"/>
        <v>50</v>
      </c>
      <c r="R81" s="253">
        <f t="shared" si="3"/>
        <v>50</v>
      </c>
      <c r="S81" s="449">
        <f t="shared" si="4"/>
        <v>50</v>
      </c>
      <c r="T81" s="253">
        <f t="shared" si="5"/>
        <v>-28</v>
      </c>
      <c r="U81" s="457" t="str">
        <f t="shared" si="1"/>
        <v xml:space="preserve"> </v>
      </c>
    </row>
    <row r="82" spans="1:21" ht="20.100000000000001" customHeight="1" x14ac:dyDescent="0.25">
      <c r="A82" s="470"/>
      <c r="B82" s="456">
        <f>IF(LEFT(C82,16)="Terima Pajak PPN",VLOOKUP(P82,COPY!$A$1:$AC$1000,21,FALSE),IF(LEFT(C82,16)="Terima Pajak PPH",VLOOKUP(P82,COPY!$A$1:$AC$1000,21,FALSE),IF(LEFT(C82,13)="Terima PPh 23",VLOOKUP(P82,COPY!$A$1:$AC$1000,21,FALSE),0)))</f>
        <v>0</v>
      </c>
      <c r="C82" s="457">
        <f>IFERROR(IF(LEFT(VLOOKUP(P82,COPY!$A$1:$AC$1000,29,FALSE),5)="Terim",VLOOKUP(P82,COPY!$A$1:$AC$1000,29,FALSE),0),0)</f>
        <v>0</v>
      </c>
      <c r="D82" s="457"/>
      <c r="E82" s="457"/>
      <c r="F82" s="458">
        <f>IFERROR(IF(LEFT(VLOOKUP(P82,COPY!$A$1:$AC$1000,29,FALSE),5)="Terim",VLOOKUP(P82,COPY!$A$1:$AC$1000,26,FALSE),0),0)</f>
        <v>0</v>
      </c>
      <c r="G82" s="459">
        <f>IFERROR(VLOOKUP(P82,COPY!$A$1:$L$1000,4,FALSE),0)</f>
        <v>45948</v>
      </c>
      <c r="H82" s="457" t="str">
        <f>IFERROR(VLOOKUP(P82,COPY!$A$1:$L$1000,2,FALSE),0)</f>
        <v>Bayar Ongkos</v>
      </c>
      <c r="I82" s="510">
        <f>IFERROR(VLOOKUP(P82,COPY!$A$1:$L$1000,10,FALSE),0)</f>
        <v>1</v>
      </c>
      <c r="J82" s="467">
        <f>IFERROR(VLOOKUP(P82,COPY!$A$1:$L$1000,8,FALSE),0)</f>
        <v>0</v>
      </c>
      <c r="K82" s="457" t="str">
        <f>IFERROR(VLOOKUP(P82,COPY!$A$1:$L$1000,7,FALSE),0)</f>
        <v>Pembayaran Pekerja Minggu Ke 7</v>
      </c>
      <c r="L82" s="468" t="str">
        <f>IFERROR(VLOOKUP(P82,COPY!$A$1:$O$1000,15,FALSE),0)</f>
        <v>BKK.48</v>
      </c>
      <c r="M82" s="468" t="str">
        <f>IFERROR(VLOOKUP(P82,COPY!$A$1:$L$1000,12,FALSE),0)</f>
        <v>A</v>
      </c>
      <c r="N82" s="471">
        <f>IF(H82="Jasa",VLOOKUP('BKU 2'!K82,'Rekap Gaji'!$D$12:$I$26,6,FALSE),(IF(H82="Beli",VLOOKUP(P82,COPY!$A$1:$L$1000,11,FALSE),IF(H82="Bayar Ongkos",VLOOKUP(K82,'Rekap Gaji'!$D$12:$I$26,6,FALSE),0))))</f>
        <v>5110000</v>
      </c>
      <c r="O82" s="470"/>
      <c r="P82" s="466" t="str">
        <f t="shared" si="0"/>
        <v>2.51</v>
      </c>
      <c r="Q82" s="253">
        <f t="shared" si="2"/>
        <v>51</v>
      </c>
      <c r="R82" s="253">
        <f t="shared" si="3"/>
        <v>51</v>
      </c>
      <c r="S82" s="449">
        <f t="shared" si="4"/>
        <v>51</v>
      </c>
      <c r="T82" s="253">
        <f t="shared" si="5"/>
        <v>-27</v>
      </c>
      <c r="U82" s="457" t="str">
        <f t="shared" si="1"/>
        <v xml:space="preserve"> </v>
      </c>
    </row>
    <row r="83" spans="1:21" ht="20.100000000000001" customHeight="1" x14ac:dyDescent="0.25">
      <c r="A83" s="470"/>
      <c r="B83" s="456">
        <f>IF(LEFT(C83,16)="Terima Pajak PPN",VLOOKUP(P83,COPY!$A$1:$AC$1000,21,FALSE),IF(LEFT(C83,16)="Terima Pajak PPH",VLOOKUP(P83,COPY!$A$1:$AC$1000,21,FALSE),IF(LEFT(C83,13)="Terima PPh 23",VLOOKUP(P83,COPY!$A$1:$AC$1000,21,FALSE),0)))</f>
        <v>0</v>
      </c>
      <c r="C83" s="457">
        <f>IFERROR(IF(LEFT(VLOOKUP(P83,COPY!$A$1:$AC$1000,29,FALSE),5)="Terim",VLOOKUP(P83,COPY!$A$1:$AC$1000,29,FALSE),0),0)</f>
        <v>0</v>
      </c>
      <c r="D83" s="457"/>
      <c r="E83" s="457"/>
      <c r="F83" s="458">
        <f>IFERROR(IF(LEFT(VLOOKUP(P83,COPY!$A$1:$AC$1000,29,FALSE),5)="Terim",VLOOKUP(P83,COPY!$A$1:$AC$1000,26,FALSE),0),0)</f>
        <v>0</v>
      </c>
      <c r="G83" s="459">
        <f>IFERROR(VLOOKUP(P83,COPY!$A$1:$L$1000,4,FALSE),0)</f>
        <v>45950</v>
      </c>
      <c r="H83" s="457" t="str">
        <f>IFERROR(VLOOKUP(P83,COPY!$A$1:$L$1000,2,FALSE),0)</f>
        <v>Beli</v>
      </c>
      <c r="I83" s="510">
        <f>IFERROR(VLOOKUP(P83,COPY!$A$1:$L$1000,10,FALSE),0)</f>
        <v>2</v>
      </c>
      <c r="J83" s="467" t="str">
        <f>IFERROR(VLOOKUP(P83,COPY!$A$1:$L$1000,8,FALSE),0)</f>
        <v>Ljr</v>
      </c>
      <c r="K83" s="457" t="str">
        <f>IFERROR(VLOOKUP(P83,COPY!$A$1:$L$1000,7,FALSE),0)</f>
        <v>Tiang Engsel Pintu Lipat 8cm Alumunium</v>
      </c>
      <c r="L83" s="468" t="str">
        <f>IFERROR(VLOOKUP(P83,COPY!$A$1:$O$1000,15,FALSE),0)</f>
        <v>BKK.49</v>
      </c>
      <c r="M83" s="468" t="str">
        <f>IFERROR(VLOOKUP(P83,COPY!$A$1:$L$1000,12,FALSE),0)</f>
        <v>B</v>
      </c>
      <c r="N83" s="471">
        <f>IF(H83="Jasa",VLOOKUP('BKU 2'!K83,'Rekap Gaji'!$D$12:$I$26,6,FALSE),(IF(H83="Beli",VLOOKUP(P83,COPY!$A$1:$L$1000,11,FALSE),IF(H83="Bayar Ongkos",VLOOKUP(K83,'Rekap Gaji'!$D$12:$I$26,6,FALSE),0))))</f>
        <v>750000</v>
      </c>
      <c r="P83" s="466" t="str">
        <f t="shared" si="0"/>
        <v>2.52</v>
      </c>
      <c r="Q83" s="253">
        <f t="shared" si="2"/>
        <v>52</v>
      </c>
      <c r="R83" s="253">
        <f t="shared" si="3"/>
        <v>52</v>
      </c>
      <c r="S83" s="449">
        <f t="shared" si="4"/>
        <v>52</v>
      </c>
      <c r="T83" s="253">
        <f t="shared" si="5"/>
        <v>-26</v>
      </c>
      <c r="U83" s="457" t="str">
        <f t="shared" si="1"/>
        <v xml:space="preserve"> </v>
      </c>
    </row>
    <row r="84" spans="1:21" ht="20.100000000000001" customHeight="1" x14ac:dyDescent="0.25">
      <c r="A84" s="470"/>
      <c r="B84" s="456">
        <f>IF(LEFT(C84,16)="Terima Pajak PPN",VLOOKUP(P84,COPY!$A$1:$AC$1000,21,FALSE),IF(LEFT(C84,16)="Terima Pajak PPH",VLOOKUP(P84,COPY!$A$1:$AC$1000,21,FALSE),IF(LEFT(C84,13)="Terima PPh 23",VLOOKUP(P84,COPY!$A$1:$AC$1000,21,FALSE),0)))</f>
        <v>0</v>
      </c>
      <c r="C84" s="457">
        <f>IFERROR(IF(LEFT(VLOOKUP(P84,COPY!$A$1:$AC$1000,29,FALSE),5)="Terim",VLOOKUP(P84,COPY!$A$1:$AC$1000,29,FALSE),0),0)</f>
        <v>0</v>
      </c>
      <c r="D84" s="457"/>
      <c r="E84" s="457"/>
      <c r="F84" s="458">
        <f>IFERROR(IF(LEFT(VLOOKUP(P84,COPY!$A$1:$AC$1000,29,FALSE),5)="Terim",VLOOKUP(P84,COPY!$A$1:$AC$1000,26,FALSE),0),0)</f>
        <v>0</v>
      </c>
      <c r="G84" s="459" t="str">
        <f>IFERROR(VLOOKUP(P84,COPY!$A$1:$L$1000,4,FALSE),0)</f>
        <v/>
      </c>
      <c r="H84" s="457" t="str">
        <f>IFERROR(VLOOKUP(P84,COPY!$A$1:$L$1000,2,FALSE),0)</f>
        <v>Beli</v>
      </c>
      <c r="I84" s="510">
        <f>IFERROR(VLOOKUP(P84,COPY!$A$1:$L$1000,10,FALSE),0)</f>
        <v>4</v>
      </c>
      <c r="J84" s="467" t="str">
        <f>IFERROR(VLOOKUP(P84,COPY!$A$1:$L$1000,8,FALSE),0)</f>
        <v>Ljr</v>
      </c>
      <c r="K84" s="457" t="str">
        <f>IFERROR(VLOOKUP(P84,COPY!$A$1:$L$1000,7,FALSE),0)</f>
        <v>Alumunium Profil C 3"</v>
      </c>
      <c r="L84" s="468" t="str">
        <f>IFERROR(VLOOKUP(P84,COPY!$A$1:$O$1000,15,FALSE),0)</f>
        <v/>
      </c>
      <c r="M84" s="468" t="str">
        <f>IFERROR(VLOOKUP(P84,COPY!$A$1:$L$1000,12,FALSE),0)</f>
        <v>B</v>
      </c>
      <c r="N84" s="471">
        <f>IF(H84="Jasa",VLOOKUP('BKU 2'!K84,'Rekap Gaji'!$D$12:$I$26,6,FALSE),(IF(H84="Beli",VLOOKUP(P84,COPY!$A$1:$L$1000,11,FALSE),IF(H84="Bayar Ongkos",VLOOKUP(K84,'Rekap Gaji'!$D$12:$I$26,6,FALSE),0))))</f>
        <v>800000</v>
      </c>
      <c r="P84" s="466" t="str">
        <f t="shared" si="0"/>
        <v>2.53</v>
      </c>
      <c r="Q84" s="253">
        <f t="shared" si="2"/>
        <v>53</v>
      </c>
      <c r="R84" s="253">
        <f t="shared" si="3"/>
        <v>53</v>
      </c>
      <c r="S84" s="449">
        <f t="shared" si="4"/>
        <v>53</v>
      </c>
      <c r="T84" s="253">
        <f t="shared" si="5"/>
        <v>-25</v>
      </c>
      <c r="U84" s="457" t="str">
        <f t="shared" si="1"/>
        <v xml:space="preserve"> </v>
      </c>
    </row>
    <row r="85" spans="1:21" ht="20.100000000000001" customHeight="1" x14ac:dyDescent="0.25">
      <c r="A85" s="470"/>
      <c r="B85" s="456">
        <f>IF(LEFT(C85,16)="Terima Pajak PPN",VLOOKUP(P85,COPY!$A$1:$AC$1000,21,FALSE),IF(LEFT(C85,16)="Terima Pajak PPH",VLOOKUP(P85,COPY!$A$1:$AC$1000,21,FALSE),IF(LEFT(C85,13)="Terima PPh 23",VLOOKUP(P85,COPY!$A$1:$AC$1000,21,FALSE),0)))</f>
        <v>0</v>
      </c>
      <c r="C85" s="457">
        <f>IFERROR(IF(LEFT(VLOOKUP(P85,COPY!$A$1:$AC$1000,29,FALSE),5)="Terim",VLOOKUP(P85,COPY!$A$1:$AC$1000,29,FALSE),0),0)</f>
        <v>0</v>
      </c>
      <c r="D85" s="457"/>
      <c r="E85" s="457"/>
      <c r="F85" s="458">
        <f>IFERROR(IF(LEFT(VLOOKUP(P85,COPY!$A$1:$AC$1000,29,FALSE),5)="Terim",VLOOKUP(P85,COPY!$A$1:$AC$1000,26,FALSE),0),0)</f>
        <v>0</v>
      </c>
      <c r="G85" s="459">
        <f>IFERROR(VLOOKUP(P85,COPY!$A$1:$L$1000,4,FALSE),0)</f>
        <v>45951</v>
      </c>
      <c r="H85" s="457" t="str">
        <f>IFERROR(VLOOKUP(P85,COPY!$A$1:$L$1000,2,FALSE),0)</f>
        <v>Beli</v>
      </c>
      <c r="I85" s="510">
        <f>IFERROR(VLOOKUP(P85,COPY!$A$1:$L$1000,10,FALSE),0)</f>
        <v>1</v>
      </c>
      <c r="J85" s="467" t="str">
        <f>IFERROR(VLOOKUP(P85,COPY!$A$1:$L$1000,8,FALSE),0)</f>
        <v>Pcs</v>
      </c>
      <c r="K85" s="457" t="str">
        <f>IFERROR(VLOOKUP(P85,COPY!$A$1:$L$1000,7,FALSE),0)</f>
        <v>Stang Silent Plat</v>
      </c>
      <c r="L85" s="468" t="str">
        <f>IFERROR(VLOOKUP(P85,COPY!$A$1:$O$1000,15,FALSE),0)</f>
        <v>BKK.50</v>
      </c>
      <c r="M85" s="468" t="str">
        <f>IFERROR(VLOOKUP(P85,COPY!$A$1:$L$1000,12,FALSE),0)</f>
        <v>B</v>
      </c>
      <c r="N85" s="471">
        <f>IF(H85="Jasa",VLOOKUP('BKU 2'!K85,'Rekap Gaji'!$D$12:$I$26,6,FALSE),(IF(H85="Beli",VLOOKUP(P85,COPY!$A$1:$L$1000,11,FALSE),IF(H85="Bayar Ongkos",VLOOKUP(K85,'Rekap Gaji'!$D$12:$I$26,6,FALSE),0))))</f>
        <v>30000</v>
      </c>
      <c r="P85" s="466" t="str">
        <f t="shared" si="0"/>
        <v>2.54</v>
      </c>
      <c r="Q85" s="253">
        <f t="shared" si="2"/>
        <v>54</v>
      </c>
      <c r="R85" s="253">
        <f t="shared" si="3"/>
        <v>54</v>
      </c>
      <c r="S85" s="449">
        <f t="shared" si="4"/>
        <v>54</v>
      </c>
      <c r="T85" s="253">
        <f t="shared" si="5"/>
        <v>-24</v>
      </c>
      <c r="U85" s="457" t="str">
        <f t="shared" si="1"/>
        <v xml:space="preserve"> </v>
      </c>
    </row>
    <row r="86" spans="1:21" ht="20.100000000000001" customHeight="1" x14ac:dyDescent="0.25">
      <c r="A86" s="470"/>
      <c r="B86" s="456">
        <f>IF(LEFT(C86,16)="Terima Pajak PPN",VLOOKUP(P86,COPY!$A$1:$AC$1000,21,FALSE),IF(LEFT(C86,16)="Terima Pajak PPH",VLOOKUP(P86,COPY!$A$1:$AC$1000,21,FALSE),IF(LEFT(C86,13)="Terima PPh 23",VLOOKUP(P86,COPY!$A$1:$AC$1000,21,FALSE),0)))</f>
        <v>0</v>
      </c>
      <c r="C86" s="457">
        <f>IFERROR(IF(LEFT(VLOOKUP(P86,COPY!$A$1:$AC$1000,29,FALSE),5)="Terim",VLOOKUP(P86,COPY!$A$1:$AC$1000,29,FALSE),0),0)</f>
        <v>0</v>
      </c>
      <c r="D86" s="457"/>
      <c r="E86" s="457"/>
      <c r="F86" s="458">
        <f>IFERROR(IF(LEFT(VLOOKUP(P86,COPY!$A$1:$AC$1000,29,FALSE),5)="Terim",VLOOKUP(P86,COPY!$A$1:$AC$1000,26,FALSE),0),0)</f>
        <v>0</v>
      </c>
      <c r="G86" s="459" t="str">
        <f>IFERROR(VLOOKUP(P86,COPY!$A$1:$L$1000,4,FALSE),0)</f>
        <v/>
      </c>
      <c r="H86" s="457" t="str">
        <f>IFERROR(VLOOKUP(P86,COPY!$A$1:$L$1000,2,FALSE),0)</f>
        <v>Beli</v>
      </c>
      <c r="I86" s="510">
        <f>IFERROR(VLOOKUP(P86,COPY!$A$1:$L$1000,10,FALSE),0)</f>
        <v>2</v>
      </c>
      <c r="J86" s="467" t="str">
        <f>IFERROR(VLOOKUP(P86,COPY!$A$1:$L$1000,8,FALSE),0)</f>
        <v>Ljr</v>
      </c>
      <c r="K86" s="457" t="str">
        <f>IFERROR(VLOOKUP(P86,COPY!$A$1:$L$1000,7,FALSE),0)</f>
        <v>Spigot Indal</v>
      </c>
      <c r="L86" s="468" t="str">
        <f>IFERROR(VLOOKUP(P86,COPY!$A$1:$O$1000,15,FALSE),0)</f>
        <v/>
      </c>
      <c r="M86" s="468" t="str">
        <f>IFERROR(VLOOKUP(P86,COPY!$A$1:$L$1000,12,FALSE),0)</f>
        <v>B</v>
      </c>
      <c r="N86" s="471">
        <f>IF(H86="Jasa",VLOOKUP('BKU 2'!K86,'Rekap Gaji'!$D$12:$I$26,6,FALSE),(IF(H86="Beli",VLOOKUP(P86,COPY!$A$1:$L$1000,11,FALSE),IF(H86="Bayar Ongkos",VLOOKUP(K86,'Rekap Gaji'!$D$12:$I$26,6,FALSE),0))))</f>
        <v>152000</v>
      </c>
      <c r="O86" s="470"/>
      <c r="P86" s="466" t="str">
        <f t="shared" si="0"/>
        <v>2.55</v>
      </c>
      <c r="Q86" s="253">
        <f t="shared" si="2"/>
        <v>55</v>
      </c>
      <c r="R86" s="253">
        <f t="shared" si="3"/>
        <v>55</v>
      </c>
      <c r="S86" s="449">
        <f t="shared" si="4"/>
        <v>55</v>
      </c>
      <c r="T86" s="253">
        <f t="shared" si="5"/>
        <v>-23</v>
      </c>
      <c r="U86" s="457" t="str">
        <f t="shared" si="1"/>
        <v xml:space="preserve"> </v>
      </c>
    </row>
    <row r="87" spans="1:21" ht="20.100000000000001" customHeight="1" x14ac:dyDescent="0.25">
      <c r="A87" s="470"/>
      <c r="B87" s="456">
        <f>IF(LEFT(C87,16)="Terima Pajak PPN",VLOOKUP(P87,COPY!$A$1:$AC$1000,21,FALSE),IF(LEFT(C87,16)="Terima Pajak PPH",VLOOKUP(P87,COPY!$A$1:$AC$1000,21,FALSE),IF(LEFT(C87,13)="Terima PPh 23",VLOOKUP(P87,COPY!$A$1:$AC$1000,21,FALSE),0)))</f>
        <v>0</v>
      </c>
      <c r="C87" s="457">
        <f>IFERROR(IF(LEFT(VLOOKUP(P87,COPY!$A$1:$AC$1000,29,FALSE),5)="Terim",VLOOKUP(P87,COPY!$A$1:$AC$1000,29,FALSE),0),0)</f>
        <v>0</v>
      </c>
      <c r="D87" s="457"/>
      <c r="E87" s="457"/>
      <c r="F87" s="458">
        <f>IFERROR(IF(LEFT(VLOOKUP(P87,COPY!$A$1:$AC$1000,29,FALSE),5)="Terim",VLOOKUP(P87,COPY!$A$1:$AC$1000,26,FALSE),0),0)</f>
        <v>0</v>
      </c>
      <c r="G87" s="459" t="str">
        <f>IFERROR(VLOOKUP(P87,COPY!$A$1:$L$1000,4,FALSE),0)</f>
        <v/>
      </c>
      <c r="H87" s="457" t="str">
        <f>IFERROR(VLOOKUP(P87,COPY!$A$1:$L$1000,2,FALSE),0)</f>
        <v>Beli</v>
      </c>
      <c r="I87" s="510">
        <f>IFERROR(VLOOKUP(P87,COPY!$A$1:$L$1000,10,FALSE),0)</f>
        <v>4</v>
      </c>
      <c r="J87" s="467" t="str">
        <f>IFERROR(VLOOKUP(P87,COPY!$A$1:$L$1000,8,FALSE),0)</f>
        <v>Ljr</v>
      </c>
      <c r="K87" s="457" t="str">
        <f>IFERROR(VLOOKUP(P87,COPY!$A$1:$L$1000,7,FALSE),0)</f>
        <v>Tiang Engsel Pintu Lipat 8cm Alumunium</v>
      </c>
      <c r="L87" s="468" t="str">
        <f>IFERROR(VLOOKUP(P87,COPY!$A$1:$O$1000,15,FALSE),0)</f>
        <v/>
      </c>
      <c r="M87" s="468" t="str">
        <f>IFERROR(VLOOKUP(P87,COPY!$A$1:$L$1000,12,FALSE),0)</f>
        <v>B</v>
      </c>
      <c r="N87" s="471">
        <f>IF(H87="Jasa",VLOOKUP('BKU 2'!K87,'Rekap Gaji'!$D$12:$I$26,6,FALSE),(IF(H87="Beli",VLOOKUP(P87,COPY!$A$1:$L$1000,11,FALSE),IF(H87="Bayar Ongkos",VLOOKUP(K87,'Rekap Gaji'!$D$12:$I$26,6,FALSE),0))))</f>
        <v>1500000</v>
      </c>
      <c r="P87" s="466" t="str">
        <f t="shared" si="0"/>
        <v>2.56</v>
      </c>
      <c r="Q87" s="253">
        <f t="shared" si="2"/>
        <v>56</v>
      </c>
      <c r="R87" s="253">
        <f t="shared" si="3"/>
        <v>56</v>
      </c>
      <c r="S87" s="449">
        <f t="shared" si="4"/>
        <v>56</v>
      </c>
      <c r="T87" s="253">
        <f t="shared" si="5"/>
        <v>-22</v>
      </c>
      <c r="U87" s="457" t="str">
        <f t="shared" si="1"/>
        <v xml:space="preserve"> </v>
      </c>
    </row>
    <row r="88" spans="1:21" ht="20.100000000000001" customHeight="1" x14ac:dyDescent="0.25">
      <c r="A88" s="470"/>
      <c r="B88" s="456">
        <f>IF(LEFT(C88,16)="Terima Pajak PPN",VLOOKUP(P88,COPY!$A$1:$AC$1000,21,FALSE),IF(LEFT(C88,16)="Terima Pajak PPH",VLOOKUP(P88,COPY!$A$1:$AC$1000,21,FALSE),IF(LEFT(C88,13)="Terima PPh 23",VLOOKUP(P88,COPY!$A$1:$AC$1000,21,FALSE),0)))</f>
        <v>0</v>
      </c>
      <c r="C88" s="457">
        <f>IFERROR(IF(LEFT(VLOOKUP(P88,COPY!$A$1:$AC$1000,29,FALSE),5)="Terim",VLOOKUP(P88,COPY!$A$1:$AC$1000,29,FALSE),0),0)</f>
        <v>0</v>
      </c>
      <c r="D88" s="457"/>
      <c r="E88" s="457"/>
      <c r="F88" s="458">
        <f>IFERROR(IF(LEFT(VLOOKUP(P88,COPY!$A$1:$AC$1000,29,FALSE),5)="Terim",VLOOKUP(P88,COPY!$A$1:$AC$1000,26,FALSE),0),0)</f>
        <v>0</v>
      </c>
      <c r="G88" s="459">
        <f>IFERROR(VLOOKUP(P88,COPY!$A$1:$L$1000,4,FALSE),0)</f>
        <v>45952</v>
      </c>
      <c r="H88" s="457" t="str">
        <f>IFERROR(VLOOKUP(P88,COPY!$A$1:$L$1000,2,FALSE),0)</f>
        <v>Beli</v>
      </c>
      <c r="I88" s="510">
        <f>IFERROR(VLOOKUP(P88,COPY!$A$1:$L$1000,10,FALSE),0)</f>
        <v>2</v>
      </c>
      <c r="J88" s="467" t="str">
        <f>IFERROR(VLOOKUP(P88,COPY!$A$1:$L$1000,8,FALSE),0)</f>
        <v>Ljr</v>
      </c>
      <c r="K88" s="457" t="str">
        <f>IFERROR(VLOOKUP(P88,COPY!$A$1:$L$1000,7,FALSE),0)</f>
        <v>Alumunium Profil C 3"</v>
      </c>
      <c r="L88" s="468" t="str">
        <f>IFERROR(VLOOKUP(P88,COPY!$A$1:$O$1000,15,FALSE),0)</f>
        <v>BKK.51</v>
      </c>
      <c r="M88" s="468" t="str">
        <f>IFERROR(VLOOKUP(P88,COPY!$A$1:$L$1000,12,FALSE),0)</f>
        <v>B</v>
      </c>
      <c r="N88" s="471">
        <f>IF(H88="Jasa",VLOOKUP('BKU 2'!K88,'Rekap Gaji'!$D$12:$I$26,6,FALSE),(IF(H88="Beli",VLOOKUP(P88,COPY!$A$1:$L$1000,11,FALSE),IF(H88="Bayar Ongkos",VLOOKUP(K88,'Rekap Gaji'!$D$12:$I$26,6,FALSE),0))))</f>
        <v>400000</v>
      </c>
      <c r="P88" s="466" t="str">
        <f t="shared" si="0"/>
        <v>2.57</v>
      </c>
      <c r="Q88" s="253">
        <f t="shared" si="2"/>
        <v>57</v>
      </c>
      <c r="R88" s="253">
        <f t="shared" si="3"/>
        <v>57</v>
      </c>
      <c r="S88" s="449">
        <f t="shared" si="4"/>
        <v>57</v>
      </c>
      <c r="T88" s="253">
        <f t="shared" si="5"/>
        <v>-21</v>
      </c>
      <c r="U88" s="457" t="str">
        <f t="shared" si="1"/>
        <v xml:space="preserve"> </v>
      </c>
    </row>
    <row r="89" spans="1:21" ht="20.100000000000001" customHeight="1" x14ac:dyDescent="0.25">
      <c r="A89" s="470"/>
      <c r="B89" s="456">
        <f>IF(LEFT(C89,16)="Terima Pajak PPN",VLOOKUP(P89,COPY!$A$1:$AC$1000,21,FALSE),IF(LEFT(C89,16)="Terima Pajak PPH",VLOOKUP(P89,COPY!$A$1:$AC$1000,21,FALSE),IF(LEFT(C89,13)="Terima PPh 23",VLOOKUP(P89,COPY!$A$1:$AC$1000,21,FALSE),0)))</f>
        <v>0</v>
      </c>
      <c r="C89" s="457">
        <f>IFERROR(IF(LEFT(VLOOKUP(P89,COPY!$A$1:$AC$1000,29,FALSE),5)="Terim",VLOOKUP(P89,COPY!$A$1:$AC$1000,29,FALSE),0),0)</f>
        <v>0</v>
      </c>
      <c r="D89" s="457"/>
      <c r="E89" s="457"/>
      <c r="F89" s="458">
        <f>IFERROR(IF(LEFT(VLOOKUP(P89,COPY!$A$1:$AC$1000,29,FALSE),5)="Terim",VLOOKUP(P89,COPY!$A$1:$AC$1000,26,FALSE),0),0)</f>
        <v>0</v>
      </c>
      <c r="G89" s="459" t="str">
        <f>IFERROR(VLOOKUP(P89,COPY!$A$1:$L$1000,4,FALSE),0)</f>
        <v/>
      </c>
      <c r="H89" s="457" t="str">
        <f>IFERROR(VLOOKUP(P89,COPY!$A$1:$L$1000,2,FALSE),0)</f>
        <v>Beli</v>
      </c>
      <c r="I89" s="510">
        <f>IFERROR(VLOOKUP(P89,COPY!$A$1:$L$1000,10,FALSE),0)</f>
        <v>4</v>
      </c>
      <c r="J89" s="467" t="str">
        <f>IFERROR(VLOOKUP(P89,COPY!$A$1:$L$1000,8,FALSE),0)</f>
        <v>Lbr</v>
      </c>
      <c r="K89" s="457" t="str">
        <f>IFERROR(VLOOKUP(P89,COPY!$A$1:$L$1000,7,FALSE),0)</f>
        <v>ACP motif</v>
      </c>
      <c r="L89" s="468" t="str">
        <f>IFERROR(VLOOKUP(P89,COPY!$A$1:$O$1000,15,FALSE),0)</f>
        <v/>
      </c>
      <c r="M89" s="468" t="str">
        <f>IFERROR(VLOOKUP(P89,COPY!$A$1:$L$1000,12,FALSE),0)</f>
        <v>B</v>
      </c>
      <c r="N89" s="471">
        <f>IF(H89="Jasa",VLOOKUP('BKU 2'!K89,'Rekap Gaji'!$D$12:$I$26,6,FALSE),(IF(H89="Beli",VLOOKUP(P89,COPY!$A$1:$L$1000,11,FALSE),IF(H89="Bayar Ongkos",VLOOKUP(K89,'Rekap Gaji'!$D$12:$I$26,6,FALSE),0))))</f>
        <v>1000000</v>
      </c>
      <c r="P89" s="466" t="str">
        <f t="shared" si="0"/>
        <v>2.58</v>
      </c>
      <c r="Q89" s="253">
        <f t="shared" si="2"/>
        <v>58</v>
      </c>
      <c r="R89" s="253">
        <f t="shared" si="3"/>
        <v>58</v>
      </c>
      <c r="S89" s="449">
        <f t="shared" si="4"/>
        <v>58</v>
      </c>
      <c r="T89" s="253">
        <f t="shared" si="5"/>
        <v>-20</v>
      </c>
      <c r="U89" s="457" t="str">
        <f t="shared" si="1"/>
        <v xml:space="preserve"> </v>
      </c>
    </row>
    <row r="90" spans="1:21" ht="20.100000000000001" customHeight="1" x14ac:dyDescent="0.25">
      <c r="A90" s="470"/>
      <c r="B90" s="456">
        <f>IF(LEFT(C90,16)="Terima Pajak PPN",VLOOKUP(P90,COPY!$A$1:$AC$1000,21,FALSE),IF(LEFT(C90,16)="Terima Pajak PPH",VLOOKUP(P90,COPY!$A$1:$AC$1000,21,FALSE),IF(LEFT(C90,13)="Terima PPh 23",VLOOKUP(P90,COPY!$A$1:$AC$1000,21,FALSE),0)))</f>
        <v>0</v>
      </c>
      <c r="C90" s="457">
        <f>IFERROR(IF(LEFT(VLOOKUP(P90,COPY!$A$1:$AC$1000,29,FALSE),5)="Terim",VLOOKUP(P90,COPY!$A$1:$AC$1000,29,FALSE),0),0)</f>
        <v>0</v>
      </c>
      <c r="D90" s="457"/>
      <c r="E90" s="457"/>
      <c r="F90" s="458">
        <f>IFERROR(IF(LEFT(VLOOKUP(P90,COPY!$A$1:$AC$1000,29,FALSE),5)="Terim",VLOOKUP(P90,COPY!$A$1:$AC$1000,26,FALSE),0),0)</f>
        <v>0</v>
      </c>
      <c r="G90" s="459" t="str">
        <f>IFERROR(VLOOKUP(P90,COPY!$A$1:$L$1000,4,FALSE),0)</f>
        <v/>
      </c>
      <c r="H90" s="457" t="str">
        <f>IFERROR(VLOOKUP(P90,COPY!$A$1:$L$1000,2,FALSE),0)</f>
        <v>Beli</v>
      </c>
      <c r="I90" s="510">
        <f>IFERROR(VLOOKUP(P90,COPY!$A$1:$L$1000,10,FALSE),0)</f>
        <v>4</v>
      </c>
      <c r="J90" s="467" t="str">
        <f>IFERROR(VLOOKUP(P90,COPY!$A$1:$L$1000,8,FALSE),0)</f>
        <v>Ljr</v>
      </c>
      <c r="K90" s="457" t="str">
        <f>IFERROR(VLOOKUP(P90,COPY!$A$1:$L$1000,7,FALSE),0)</f>
        <v>Hollow Kadalan</v>
      </c>
      <c r="L90" s="468" t="str">
        <f>IFERROR(VLOOKUP(P90,COPY!$A$1:$O$1000,15,FALSE),0)</f>
        <v/>
      </c>
      <c r="M90" s="468" t="str">
        <f>IFERROR(VLOOKUP(P90,COPY!$A$1:$L$1000,12,FALSE),0)</f>
        <v>B</v>
      </c>
      <c r="N90" s="471">
        <f>IF(H90="Jasa",VLOOKUP('BKU 2'!K90,'Rekap Gaji'!$D$12:$I$26,6,FALSE),(IF(H90="Beli",VLOOKUP(P90,COPY!$A$1:$L$1000,11,FALSE),IF(H90="Bayar Ongkos",VLOOKUP(K90,'Rekap Gaji'!$D$12:$I$26,6,FALSE),0))))</f>
        <v>280000</v>
      </c>
      <c r="P90" s="466" t="str">
        <f t="shared" si="0"/>
        <v>2.59</v>
      </c>
      <c r="Q90" s="253">
        <f t="shared" si="2"/>
        <v>59</v>
      </c>
      <c r="R90" s="253">
        <f t="shared" si="3"/>
        <v>59</v>
      </c>
      <c r="S90" s="449">
        <f t="shared" si="4"/>
        <v>59</v>
      </c>
      <c r="T90" s="253">
        <f t="shared" si="5"/>
        <v>-19</v>
      </c>
      <c r="U90" s="457" t="str">
        <f t="shared" si="1"/>
        <v xml:space="preserve"> </v>
      </c>
    </row>
    <row r="91" spans="1:21" ht="20.100000000000001" customHeight="1" x14ac:dyDescent="0.25">
      <c r="A91" s="470"/>
      <c r="B91" s="456">
        <f>IF(LEFT(C91,16)="Terima Pajak PPN",VLOOKUP(P91,COPY!$A$1:$AC$1000,21,FALSE),IF(LEFT(C91,16)="Terima Pajak PPH",VLOOKUP(P91,COPY!$A$1:$AC$1000,21,FALSE),IF(LEFT(C91,13)="Terima PPh 23",VLOOKUP(P91,COPY!$A$1:$AC$1000,21,FALSE),0)))</f>
        <v>0</v>
      </c>
      <c r="C91" s="457">
        <f>IFERROR(IF(LEFT(VLOOKUP(P91,COPY!$A$1:$AC$1000,29,FALSE),5)="Terim",VLOOKUP(P91,COPY!$A$1:$AC$1000,29,FALSE),0),0)</f>
        <v>0</v>
      </c>
      <c r="D91" s="457"/>
      <c r="E91" s="457"/>
      <c r="F91" s="458">
        <f>IFERROR(IF(LEFT(VLOOKUP(P91,COPY!$A$1:$AC$1000,29,FALSE),5)="Terim",VLOOKUP(P91,COPY!$A$1:$AC$1000,26,FALSE),0),0)</f>
        <v>0</v>
      </c>
      <c r="G91" s="459">
        <f>IFERROR(VLOOKUP(P91,COPY!$A$1:$L$1000,4,FALSE),0)</f>
        <v>45953</v>
      </c>
      <c r="H91" s="457" t="str">
        <f>IFERROR(VLOOKUP(P91,COPY!$A$1:$L$1000,2,FALSE),0)</f>
        <v>Beli</v>
      </c>
      <c r="I91" s="510">
        <f>IFERROR(VLOOKUP(P91,COPY!$A$1:$L$1000,10,FALSE),0)</f>
        <v>1</v>
      </c>
      <c r="J91" s="467" t="str">
        <f>IFERROR(VLOOKUP(P91,COPY!$A$1:$L$1000,8,FALSE),0)</f>
        <v>Gln</v>
      </c>
      <c r="K91" s="457" t="str">
        <f>IFERROR(VLOOKUP(P91,COPY!$A$1:$L$1000,7,FALSE),0)</f>
        <v>Cat Catylac Int Lime 45120</v>
      </c>
      <c r="L91" s="468" t="str">
        <f>IFERROR(VLOOKUP(P91,COPY!$A$1:$O$1000,15,FALSE),0)</f>
        <v>BKK.52</v>
      </c>
      <c r="M91" s="468" t="str">
        <f>IFERROR(VLOOKUP(P91,COPY!$A$1:$L$1000,12,FALSE),0)</f>
        <v>B</v>
      </c>
      <c r="N91" s="471">
        <f>IF(H91="Jasa",VLOOKUP('BKU 2'!K91,'Rekap Gaji'!$D$12:$I$26,6,FALSE),(IF(H91="Beli",VLOOKUP(P91,COPY!$A$1:$L$1000,11,FALSE),IF(H91="Bayar Ongkos",VLOOKUP(K91,'Rekap Gaji'!$D$12:$I$26,6,FALSE),0))))</f>
        <v>565000</v>
      </c>
      <c r="O91" s="470"/>
      <c r="P91" s="466" t="str">
        <f t="shared" si="0"/>
        <v>2.60</v>
      </c>
      <c r="Q91" s="253">
        <f t="shared" si="2"/>
        <v>60</v>
      </c>
      <c r="R91" s="253">
        <f t="shared" si="3"/>
        <v>60</v>
      </c>
      <c r="S91" s="449">
        <f t="shared" si="4"/>
        <v>60</v>
      </c>
      <c r="T91" s="253">
        <f t="shared" si="5"/>
        <v>-18</v>
      </c>
      <c r="U91" s="457" t="str">
        <f t="shared" si="1"/>
        <v xml:space="preserve"> </v>
      </c>
    </row>
    <row r="92" spans="1:21" ht="20.100000000000001" customHeight="1" x14ac:dyDescent="0.25">
      <c r="A92" s="470"/>
      <c r="B92" s="456">
        <f>IF(LEFT(C92,16)="Terima Pajak PPN",VLOOKUP(P92,COPY!$A$1:$AC$1000,21,FALSE),IF(LEFT(C92,16)="Terima Pajak PPH",VLOOKUP(P92,COPY!$A$1:$AC$1000,21,FALSE),IF(LEFT(C92,13)="Terima PPh 23",VLOOKUP(P92,COPY!$A$1:$AC$1000,21,FALSE),0)))</f>
        <v>0</v>
      </c>
      <c r="C92" s="457">
        <f>IFERROR(IF(LEFT(VLOOKUP(P92,COPY!$A$1:$AC$1000,29,FALSE),5)="Terim",VLOOKUP(P92,COPY!$A$1:$AC$1000,29,FALSE),0),0)</f>
        <v>0</v>
      </c>
      <c r="D92" s="457"/>
      <c r="E92" s="457"/>
      <c r="F92" s="458">
        <f>IFERROR(IF(LEFT(VLOOKUP(P92,COPY!$A$1:$AC$1000,29,FALSE),5)="Terim",VLOOKUP(P92,COPY!$A$1:$AC$1000,26,FALSE),0),0)</f>
        <v>0</v>
      </c>
      <c r="G92" s="459" t="str">
        <f>IFERROR(VLOOKUP(P92,COPY!$A$1:$L$1000,4,FALSE),0)</f>
        <v/>
      </c>
      <c r="H92" s="457" t="str">
        <f>IFERROR(VLOOKUP(P92,COPY!$A$1:$L$1000,2,FALSE),0)</f>
        <v>Beli</v>
      </c>
      <c r="I92" s="510">
        <f>IFERROR(VLOOKUP(P92,COPY!$A$1:$L$1000,10,FALSE),0)</f>
        <v>5</v>
      </c>
      <c r="J92" s="467" t="str">
        <f>IFERROR(VLOOKUP(P92,COPY!$A$1:$L$1000,8,FALSE),0)</f>
        <v>Set</v>
      </c>
      <c r="K92" s="457" t="str">
        <f>IFERROR(VLOOKUP(P92,COPY!$A$1:$L$1000,7,FALSE),0)</f>
        <v>Handle Kotak Natural</v>
      </c>
      <c r="L92" s="468" t="str">
        <f>IFERROR(VLOOKUP(P92,COPY!$A$1:$O$1000,15,FALSE),0)</f>
        <v/>
      </c>
      <c r="M92" s="468" t="str">
        <f>IFERROR(VLOOKUP(P92,COPY!$A$1:$L$1000,12,FALSE),0)</f>
        <v>B</v>
      </c>
      <c r="N92" s="471">
        <f>IF(H92="Jasa",VLOOKUP('BKU 2'!K92,'Rekap Gaji'!$D$12:$I$26,6,FALSE),(IF(H92="Beli",VLOOKUP(P92,COPY!$A$1:$L$1000,11,FALSE),IF(H92="Bayar Ongkos",VLOOKUP(K92,'Rekap Gaji'!$D$12:$I$26,6,FALSE),0))))</f>
        <v>300000</v>
      </c>
      <c r="O92" s="470"/>
      <c r="P92" s="466" t="str">
        <f t="shared" si="0"/>
        <v>2.61</v>
      </c>
      <c r="Q92" s="253">
        <f t="shared" si="2"/>
        <v>61</v>
      </c>
      <c r="R92" s="253">
        <f t="shared" si="3"/>
        <v>61</v>
      </c>
      <c r="S92" s="449">
        <f t="shared" si="4"/>
        <v>61</v>
      </c>
      <c r="T92" s="253">
        <f t="shared" si="5"/>
        <v>-17</v>
      </c>
      <c r="U92" s="457" t="str">
        <f t="shared" si="1"/>
        <v xml:space="preserve"> </v>
      </c>
    </row>
    <row r="93" spans="1:21" ht="20.100000000000001" customHeight="1" x14ac:dyDescent="0.25">
      <c r="A93" s="470"/>
      <c r="B93" s="456">
        <f>IF(LEFT(C93,16)="Terima Pajak PPN",VLOOKUP(P93,COPY!$A$1:$AC$1000,21,FALSE),IF(LEFT(C93,16)="Terima Pajak PPH",VLOOKUP(P93,COPY!$A$1:$AC$1000,21,FALSE),IF(LEFT(C93,13)="Terima PPh 23",VLOOKUP(P93,COPY!$A$1:$AC$1000,21,FALSE),0)))</f>
        <v>0</v>
      </c>
      <c r="C93" s="457">
        <f>IFERROR(IF(LEFT(VLOOKUP(P93,COPY!$A$1:$AC$1000,29,FALSE),5)="Terim",VLOOKUP(P93,COPY!$A$1:$AC$1000,29,FALSE),0),0)</f>
        <v>0</v>
      </c>
      <c r="D93" s="457"/>
      <c r="E93" s="457"/>
      <c r="F93" s="458">
        <f>IFERROR(IF(LEFT(VLOOKUP(P93,COPY!$A$1:$AC$1000,29,FALSE),5)="Terim",VLOOKUP(P93,COPY!$A$1:$AC$1000,26,FALSE),0),0)</f>
        <v>0</v>
      </c>
      <c r="G93" s="459" t="str">
        <f>IFERROR(VLOOKUP(P93,COPY!$A$1:$L$1000,4,FALSE),0)</f>
        <v/>
      </c>
      <c r="H93" s="457" t="str">
        <f>IFERROR(VLOOKUP(P93,COPY!$A$1:$L$1000,2,FALSE),0)</f>
        <v>Beli</v>
      </c>
      <c r="I93" s="510">
        <f>IFERROR(VLOOKUP(P93,COPY!$A$1:$L$1000,10,FALSE),0)</f>
        <v>5</v>
      </c>
      <c r="J93" s="467" t="str">
        <f>IFERROR(VLOOKUP(P93,COPY!$A$1:$L$1000,8,FALSE),0)</f>
        <v>Set</v>
      </c>
      <c r="K93" s="457" t="str">
        <f>IFERROR(VLOOKUP(P93,COPY!$A$1:$L$1000,7,FALSE),0)</f>
        <v>Engsel Tebal  4"</v>
      </c>
      <c r="L93" s="468" t="str">
        <f>IFERROR(VLOOKUP(P93,COPY!$A$1:$O$1000,15,FALSE),0)</f>
        <v/>
      </c>
      <c r="M93" s="468" t="str">
        <f>IFERROR(VLOOKUP(P93,COPY!$A$1:$L$1000,12,FALSE),0)</f>
        <v>B</v>
      </c>
      <c r="N93" s="471">
        <f>IF(H93="Jasa",VLOOKUP('BKU 2'!K93,'Rekap Gaji'!$D$12:$I$26,6,FALSE),(IF(H93="Beli",VLOOKUP(P93,COPY!$A$1:$L$1000,11,FALSE),IF(H93="Bayar Ongkos",VLOOKUP(K93,'Rekap Gaji'!$D$12:$I$26,6,FALSE),0))))</f>
        <v>100000</v>
      </c>
      <c r="O93" s="470"/>
      <c r="P93" s="466" t="str">
        <f t="shared" si="0"/>
        <v>2.62</v>
      </c>
      <c r="Q93" s="253">
        <f t="shared" si="2"/>
        <v>62</v>
      </c>
      <c r="R93" s="253">
        <f t="shared" si="3"/>
        <v>62</v>
      </c>
      <c r="S93" s="449">
        <f t="shared" si="4"/>
        <v>62</v>
      </c>
      <c r="T93" s="253">
        <f t="shared" si="5"/>
        <v>-16</v>
      </c>
      <c r="U93" s="457" t="str">
        <f t="shared" si="1"/>
        <v xml:space="preserve"> </v>
      </c>
    </row>
    <row r="94" spans="1:21" ht="20.100000000000001" customHeight="1" x14ac:dyDescent="0.25">
      <c r="A94" s="470"/>
      <c r="B94" s="456">
        <f>IF(LEFT(C94,16)="Terima Pajak PPN",VLOOKUP(P94,COPY!$A$1:$AC$1000,21,FALSE),IF(LEFT(C94,16)="Terima Pajak PPH",VLOOKUP(P94,COPY!$A$1:$AC$1000,21,FALSE),IF(LEFT(C94,13)="Terima PPh 23",VLOOKUP(P94,COPY!$A$1:$AC$1000,21,FALSE),0)))</f>
        <v>0</v>
      </c>
      <c r="C94" s="457">
        <f>IFERROR(IF(LEFT(VLOOKUP(P94,COPY!$A$1:$AC$1000,29,FALSE),5)="Terim",VLOOKUP(P94,COPY!$A$1:$AC$1000,29,FALSE),0),0)</f>
        <v>0</v>
      </c>
      <c r="D94" s="457"/>
      <c r="E94" s="457"/>
      <c r="F94" s="458">
        <f>IFERROR(IF(LEFT(VLOOKUP(P94,COPY!$A$1:$AC$1000,29,FALSE),5)="Terim",VLOOKUP(P94,COPY!$A$1:$AC$1000,26,FALSE),0),0)</f>
        <v>0</v>
      </c>
      <c r="G94" s="459" t="str">
        <f>IFERROR(VLOOKUP(P94,COPY!$A$1:$L$1000,4,FALSE),0)</f>
        <v/>
      </c>
      <c r="H94" s="457" t="str">
        <f>IFERROR(VLOOKUP(P94,COPY!$A$1:$L$1000,2,FALSE),0)</f>
        <v>Beli</v>
      </c>
      <c r="I94" s="510">
        <f>IFERROR(VLOOKUP(P94,COPY!$A$1:$L$1000,10,FALSE),0)</f>
        <v>1</v>
      </c>
      <c r="J94" s="467" t="str">
        <f>IFERROR(VLOOKUP(P94,COPY!$A$1:$L$1000,8,FALSE),0)</f>
        <v>Pak</v>
      </c>
      <c r="K94" s="457" t="str">
        <f>IFERROR(VLOOKUP(P94,COPY!$A$1:$L$1000,7,FALSE),0)</f>
        <v>Fisher S10</v>
      </c>
      <c r="L94" s="468" t="str">
        <f>IFERROR(VLOOKUP(P94,COPY!$A$1:$O$1000,15,FALSE),0)</f>
        <v/>
      </c>
      <c r="M94" s="468" t="str">
        <f>IFERROR(VLOOKUP(P94,COPY!$A$1:$L$1000,12,FALSE),0)</f>
        <v>B</v>
      </c>
      <c r="N94" s="471">
        <f>IF(H94="Jasa",VLOOKUP('BKU 2'!K94,'Rekap Gaji'!$D$12:$I$26,6,FALSE),(IF(H94="Beli",VLOOKUP(P94,COPY!$A$1:$L$1000,11,FALSE),IF(H94="Bayar Ongkos",VLOOKUP(K94,'Rekap Gaji'!$D$12:$I$26,6,FALSE),0))))</f>
        <v>11000</v>
      </c>
      <c r="O94" s="470"/>
      <c r="P94" s="466" t="str">
        <f t="shared" si="0"/>
        <v>2.63</v>
      </c>
      <c r="Q94" s="253">
        <f t="shared" si="2"/>
        <v>63</v>
      </c>
      <c r="R94" s="253">
        <f t="shared" si="3"/>
        <v>63</v>
      </c>
      <c r="S94" s="449">
        <f t="shared" si="4"/>
        <v>63</v>
      </c>
      <c r="T94" s="253">
        <f t="shared" si="5"/>
        <v>-15</v>
      </c>
      <c r="U94" s="457" t="str">
        <f t="shared" si="1"/>
        <v xml:space="preserve"> </v>
      </c>
    </row>
    <row r="95" spans="1:21" ht="20.100000000000001" customHeight="1" x14ac:dyDescent="0.25">
      <c r="A95" s="470"/>
      <c r="B95" s="456">
        <f>IF(LEFT(C95,16)="Terima Pajak PPN",VLOOKUP(P95,COPY!$A$1:$AC$1000,21,FALSE),IF(LEFT(C95,16)="Terima Pajak PPH",VLOOKUP(P95,COPY!$A$1:$AC$1000,21,FALSE),IF(LEFT(C95,13)="Terima PPh 23",VLOOKUP(P95,COPY!$A$1:$AC$1000,21,FALSE),0)))</f>
        <v>0</v>
      </c>
      <c r="C95" s="457">
        <f>IFERROR(IF(LEFT(VLOOKUP(P95,COPY!$A$1:$AC$1000,29,FALSE),5)="Terim",VLOOKUP(P95,COPY!$A$1:$AC$1000,29,FALSE),0),0)</f>
        <v>0</v>
      </c>
      <c r="D95" s="457"/>
      <c r="E95" s="457"/>
      <c r="F95" s="458">
        <f>IFERROR(IF(LEFT(VLOOKUP(P95,COPY!$A$1:$AC$1000,29,FALSE),5)="Terim",VLOOKUP(P95,COPY!$A$1:$AC$1000,26,FALSE),0),0)</f>
        <v>0</v>
      </c>
      <c r="G95" s="459" t="str">
        <f>IFERROR(VLOOKUP(P95,COPY!$A$1:$L$1000,4,FALSE),0)</f>
        <v/>
      </c>
      <c r="H95" s="457" t="str">
        <f>IFERROR(VLOOKUP(P95,COPY!$A$1:$L$1000,2,FALSE),0)</f>
        <v>Beli</v>
      </c>
      <c r="I95" s="510">
        <f>IFERROR(VLOOKUP(P95,COPY!$A$1:$L$1000,10,FALSE),0)</f>
        <v>10</v>
      </c>
      <c r="J95" s="467" t="str">
        <f>IFERROR(VLOOKUP(P95,COPY!$A$1:$L$1000,8,FALSE),0)</f>
        <v>Pcs</v>
      </c>
      <c r="K95" s="457" t="str">
        <f>IFERROR(VLOOKUP(P95,COPY!$A$1:$L$1000,7,FALSE),0)</f>
        <v>Silen Clear Netral</v>
      </c>
      <c r="L95" s="468" t="str">
        <f>IFERROR(VLOOKUP(P95,COPY!$A$1:$O$1000,15,FALSE),0)</f>
        <v/>
      </c>
      <c r="M95" s="468" t="str">
        <f>IFERROR(VLOOKUP(P95,COPY!$A$1:$L$1000,12,FALSE),0)</f>
        <v>B</v>
      </c>
      <c r="N95" s="471">
        <f>IF(H95="Jasa",VLOOKUP('BKU 2'!K95,'Rekap Gaji'!$D$12:$I$26,6,FALSE),(IF(H95="Beli",VLOOKUP(P95,COPY!$A$1:$L$1000,11,FALSE),IF(H95="Bayar Ongkos",VLOOKUP(K95,'Rekap Gaji'!$D$12:$I$26,6,FALSE),0))))</f>
        <v>350000</v>
      </c>
      <c r="O95" s="470"/>
      <c r="P95" s="466" t="str">
        <f t="shared" si="0"/>
        <v>2.64</v>
      </c>
      <c r="Q95" s="253">
        <f t="shared" si="2"/>
        <v>64</v>
      </c>
      <c r="R95" s="253">
        <f t="shared" si="3"/>
        <v>64</v>
      </c>
      <c r="S95" s="449">
        <f t="shared" si="4"/>
        <v>64</v>
      </c>
      <c r="T95" s="253">
        <f t="shared" si="5"/>
        <v>-14</v>
      </c>
      <c r="U95" s="457" t="str">
        <f t="shared" si="1"/>
        <v xml:space="preserve"> </v>
      </c>
    </row>
    <row r="96" spans="1:21" ht="20.100000000000001" customHeight="1" x14ac:dyDescent="0.25">
      <c r="A96" s="470"/>
      <c r="B96" s="456">
        <f>IF(LEFT(C96,16)="Terima Pajak PPN",VLOOKUP(P96,COPY!$A$1:$AC$1000,21,FALSE),IF(LEFT(C96,16)="Terima Pajak PPH",VLOOKUP(P96,COPY!$A$1:$AC$1000,21,FALSE),IF(LEFT(C96,13)="Terima PPh 23",VLOOKUP(P96,COPY!$A$1:$AC$1000,21,FALSE),0)))</f>
        <v>0</v>
      </c>
      <c r="C96" s="457">
        <f>IFERROR(IF(LEFT(VLOOKUP(P96,COPY!$A$1:$AC$1000,29,FALSE),5)="Terim",VLOOKUP(P96,COPY!$A$1:$AC$1000,29,FALSE),0),0)</f>
        <v>0</v>
      </c>
      <c r="D96" s="457"/>
      <c r="E96" s="457"/>
      <c r="F96" s="458">
        <f>IFERROR(IF(LEFT(VLOOKUP(P96,COPY!$A$1:$AC$1000,29,FALSE),5)="Terim",VLOOKUP(P96,COPY!$A$1:$AC$1000,26,FALSE),0),0)</f>
        <v>0</v>
      </c>
      <c r="G96" s="459">
        <f>IFERROR(VLOOKUP(P96,COPY!$A$1:$L$1000,4,FALSE),0)</f>
        <v>45954</v>
      </c>
      <c r="H96" s="457" t="str">
        <f>IFERROR(VLOOKUP(P96,COPY!$A$1:$L$1000,2,FALSE),0)</f>
        <v>Beli</v>
      </c>
      <c r="I96" s="510">
        <f>IFERROR(VLOOKUP(P96,COPY!$A$1:$L$1000,10,FALSE),0)</f>
        <v>2</v>
      </c>
      <c r="J96" s="467" t="str">
        <f>IFERROR(VLOOKUP(P96,COPY!$A$1:$L$1000,8,FALSE),0)</f>
        <v>Unit</v>
      </c>
      <c r="K96" s="457" t="str">
        <f>IFERROR(VLOOKUP(P96,COPY!$A$1:$L$1000,7,FALSE),0)</f>
        <v>Urinoir Komplit Volk</v>
      </c>
      <c r="L96" s="468" t="str">
        <f>IFERROR(VLOOKUP(P96,COPY!$A$1:$O$1000,15,FALSE),0)</f>
        <v>BKK.53</v>
      </c>
      <c r="M96" s="468" t="str">
        <f>IFERROR(VLOOKUP(P96,COPY!$A$1:$L$1000,12,FALSE),0)</f>
        <v>B</v>
      </c>
      <c r="N96" s="471">
        <f>IF(H96="Jasa",VLOOKUP('BKU 2'!K96,'Rekap Gaji'!$D$12:$I$26,6,FALSE),(IF(H96="Beli",VLOOKUP(P96,COPY!$A$1:$L$1000,11,FALSE),IF(H96="Bayar Ongkos",VLOOKUP(K96,'Rekap Gaji'!$D$12:$I$26,6,FALSE),0))))</f>
        <v>1500000</v>
      </c>
      <c r="O96" s="470"/>
      <c r="P96" s="466" t="str">
        <f t="shared" ref="P96:P159" si="6">IF(Q96&gt;0,$D$24&amp;"."&amp;Q96,"")</f>
        <v>2.65</v>
      </c>
      <c r="Q96" s="253">
        <f t="shared" si="2"/>
        <v>65</v>
      </c>
      <c r="R96" s="253">
        <f t="shared" si="3"/>
        <v>65</v>
      </c>
      <c r="S96" s="449">
        <f t="shared" si="4"/>
        <v>65</v>
      </c>
      <c r="T96" s="253">
        <f t="shared" si="5"/>
        <v>-13</v>
      </c>
      <c r="U96" s="457" t="str">
        <f t="shared" ref="U96:U159" si="7">IF(LEFT(C96,16)="terima Pajak PPN",1,IF(LEFT(C96,16)="terima Pajak PPH",2,IF(LEFT(C96,21)="Bayar Pajak Final PPH",3," ")))</f>
        <v xml:space="preserve"> </v>
      </c>
    </row>
    <row r="97" spans="1:21" ht="20.100000000000001" customHeight="1" x14ac:dyDescent="0.25">
      <c r="A97" s="470"/>
      <c r="B97" s="456">
        <f>IF(LEFT(C97,16)="Terima Pajak PPN",VLOOKUP(P97,COPY!$A$1:$AC$1000,21,FALSE),IF(LEFT(C97,16)="Terima Pajak PPH",VLOOKUP(P97,COPY!$A$1:$AC$1000,21,FALSE),IF(LEFT(C97,13)="Terima PPh 23",VLOOKUP(P97,COPY!$A$1:$AC$1000,21,FALSE),0)))</f>
        <v>0</v>
      </c>
      <c r="C97" s="457">
        <f>IFERROR(IF(LEFT(VLOOKUP(P97,COPY!$A$1:$AC$1000,29,FALSE),5)="Terim",VLOOKUP(P97,COPY!$A$1:$AC$1000,29,FALSE),0),0)</f>
        <v>0</v>
      </c>
      <c r="D97" s="457"/>
      <c r="E97" s="457"/>
      <c r="F97" s="458">
        <f>IFERROR(IF(LEFT(VLOOKUP(P97,COPY!$A$1:$AC$1000,29,FALSE),5)="Terim",VLOOKUP(P97,COPY!$A$1:$AC$1000,26,FALSE),0),0)</f>
        <v>0</v>
      </c>
      <c r="G97" s="459" t="str">
        <f>IFERROR(VLOOKUP(P97,COPY!$A$1:$L$1000,4,FALSE),0)</f>
        <v/>
      </c>
      <c r="H97" s="457" t="str">
        <f>IFERROR(VLOOKUP(P97,COPY!$A$1:$L$1000,2,FALSE),0)</f>
        <v>Beli</v>
      </c>
      <c r="I97" s="510">
        <f>IFERROR(VLOOKUP(P97,COPY!$A$1:$L$1000,10,FALSE),0)</f>
        <v>1</v>
      </c>
      <c r="J97" s="467" t="str">
        <f>IFERROR(VLOOKUP(P97,COPY!$A$1:$L$1000,8,FALSE),0)</f>
        <v>Unit</v>
      </c>
      <c r="K97" s="457" t="str">
        <f>IFERROR(VLOOKUP(P97,COPY!$A$1:$L$1000,7,FALSE),0)</f>
        <v>Tandon Air Penyu 320L Biru</v>
      </c>
      <c r="L97" s="468" t="str">
        <f>IFERROR(VLOOKUP(P97,COPY!$A$1:$O$1000,15,FALSE),0)</f>
        <v/>
      </c>
      <c r="M97" s="468" t="str">
        <f>IFERROR(VLOOKUP(P97,COPY!$A$1:$L$1000,12,FALSE),0)</f>
        <v>B</v>
      </c>
      <c r="N97" s="471">
        <f>IF(H97="Jasa",VLOOKUP('BKU 2'!K97,'Rekap Gaji'!$D$12:$I$26,6,FALSE),(IF(H97="Beli",VLOOKUP(P97,COPY!$A$1:$L$1000,11,FALSE),IF(H97="Bayar Ongkos",VLOOKUP(K97,'Rekap Gaji'!$D$12:$I$26,6,FALSE),0))))</f>
        <v>570000</v>
      </c>
      <c r="O97" s="470"/>
      <c r="P97" s="466" t="str">
        <f t="shared" si="6"/>
        <v>2.66</v>
      </c>
      <c r="Q97" s="253">
        <f t="shared" si="2"/>
        <v>66</v>
      </c>
      <c r="R97" s="253">
        <f t="shared" si="3"/>
        <v>66</v>
      </c>
      <c r="S97" s="449">
        <f t="shared" si="4"/>
        <v>66</v>
      </c>
      <c r="T97" s="253">
        <f t="shared" si="5"/>
        <v>-12</v>
      </c>
      <c r="U97" s="457" t="str">
        <f t="shared" si="7"/>
        <v xml:space="preserve"> </v>
      </c>
    </row>
    <row r="98" spans="1:21" ht="20.100000000000001" customHeight="1" x14ac:dyDescent="0.25">
      <c r="A98" s="470"/>
      <c r="B98" s="456">
        <f>IF(LEFT(C98,16)="Terima Pajak PPN",VLOOKUP(P98,COPY!$A$1:$AC$1000,21,FALSE),IF(LEFT(C98,16)="Terima Pajak PPH",VLOOKUP(P98,COPY!$A$1:$AC$1000,21,FALSE),IF(LEFT(C98,13)="Terima PPh 23",VLOOKUP(P98,COPY!$A$1:$AC$1000,21,FALSE),0)))</f>
        <v>0</v>
      </c>
      <c r="C98" s="457">
        <f>IFERROR(IF(LEFT(VLOOKUP(P98,COPY!$A$1:$AC$1000,29,FALSE),5)="Terim",VLOOKUP(P98,COPY!$A$1:$AC$1000,29,FALSE),0),0)</f>
        <v>0</v>
      </c>
      <c r="D98" s="457"/>
      <c r="E98" s="457"/>
      <c r="F98" s="458">
        <f>IFERROR(IF(LEFT(VLOOKUP(P98,COPY!$A$1:$AC$1000,29,FALSE),5)="Terim",VLOOKUP(P98,COPY!$A$1:$AC$1000,26,FALSE),0),0)</f>
        <v>0</v>
      </c>
      <c r="G98" s="459">
        <f>IFERROR(VLOOKUP(P98,COPY!$A$1:$L$1000,4,FALSE),0)</f>
        <v>45955</v>
      </c>
      <c r="H98" s="457" t="str">
        <f>IFERROR(VLOOKUP(P98,COPY!$A$1:$L$1000,2,FALSE),0)</f>
        <v>Beli</v>
      </c>
      <c r="I98" s="510">
        <f>IFERROR(VLOOKUP(P98,COPY!$A$1:$L$1000,10,FALSE),0)</f>
        <v>6</v>
      </c>
      <c r="J98" s="467" t="str">
        <f>IFERROR(VLOOKUP(P98,COPY!$A$1:$L$1000,8,FALSE),0)</f>
        <v>Pcs</v>
      </c>
      <c r="K98" s="457" t="str">
        <f>IFERROR(VLOOKUP(P98,COPY!$A$1:$L$1000,7,FALSE),0)</f>
        <v>Kran Alinco 1/2" Kuningan</v>
      </c>
      <c r="L98" s="468" t="str">
        <f>IFERROR(VLOOKUP(P98,COPY!$A$1:$O$1000,15,FALSE),0)</f>
        <v>BKK.54</v>
      </c>
      <c r="M98" s="468" t="str">
        <f>IFERROR(VLOOKUP(P98,COPY!$A$1:$L$1000,12,FALSE),0)</f>
        <v>B</v>
      </c>
      <c r="N98" s="471">
        <f>IF(H98="Jasa",VLOOKUP('BKU 2'!K98,'Rekap Gaji'!$D$12:$I$26,6,FALSE),(IF(H98="Beli",VLOOKUP(P98,COPY!$A$1:$L$1000,11,FALSE),IF(H98="Bayar Ongkos",VLOOKUP(K98,'Rekap Gaji'!$D$12:$I$26,6,FALSE),0))))</f>
        <v>360000</v>
      </c>
      <c r="O98" s="470"/>
      <c r="P98" s="466" t="str">
        <f t="shared" si="6"/>
        <v>2.67</v>
      </c>
      <c r="Q98" s="253">
        <f t="shared" ref="Q98:Q161" si="8">IF(T98&lt;=0,T98+$S$30,0)</f>
        <v>67</v>
      </c>
      <c r="R98" s="253">
        <f t="shared" ref="R98:R161" si="9">IF(T98&lt;=0,S98,0)</f>
        <v>67</v>
      </c>
      <c r="S98" s="449">
        <f t="shared" ref="S98:S161" si="10">S97+1</f>
        <v>67</v>
      </c>
      <c r="T98" s="253">
        <f t="shared" ref="T98:T161" si="11">S98-$S$30</f>
        <v>-11</v>
      </c>
      <c r="U98" s="457" t="str">
        <f t="shared" si="7"/>
        <v xml:space="preserve"> </v>
      </c>
    </row>
    <row r="99" spans="1:21" ht="20.100000000000001" customHeight="1" x14ac:dyDescent="0.25">
      <c r="A99" s="470"/>
      <c r="B99" s="456">
        <f>IF(LEFT(C99,16)="Terima Pajak PPN",VLOOKUP(P99,COPY!$A$1:$AC$1000,21,FALSE),IF(LEFT(C99,16)="Terima Pajak PPH",VLOOKUP(P99,COPY!$A$1:$AC$1000,21,FALSE),IF(LEFT(C99,13)="Terima PPh 23",VLOOKUP(P99,COPY!$A$1:$AC$1000,21,FALSE),0)))</f>
        <v>0</v>
      </c>
      <c r="C99" s="457">
        <f>IFERROR(IF(LEFT(VLOOKUP(P99,COPY!$A$1:$AC$1000,29,FALSE),5)="Terim",VLOOKUP(P99,COPY!$A$1:$AC$1000,29,FALSE),0),0)</f>
        <v>0</v>
      </c>
      <c r="D99" s="457"/>
      <c r="E99" s="457"/>
      <c r="F99" s="458">
        <f>IFERROR(IF(LEFT(VLOOKUP(P99,COPY!$A$1:$AC$1000,29,FALSE),5)="Terim",VLOOKUP(P99,COPY!$A$1:$AC$1000,26,FALSE),0),0)</f>
        <v>0</v>
      </c>
      <c r="G99" s="459" t="str">
        <f>IFERROR(VLOOKUP(P99,COPY!$A$1:$L$1000,4,FALSE),0)</f>
        <v/>
      </c>
      <c r="H99" s="457" t="str">
        <f>IFERROR(VLOOKUP(P99,COPY!$A$1:$L$1000,2,FALSE),0)</f>
        <v>Beli</v>
      </c>
      <c r="I99" s="510">
        <f>IFERROR(VLOOKUP(P99,COPY!$A$1:$L$1000,10,FALSE),0)</f>
        <v>5</v>
      </c>
      <c r="J99" s="467" t="str">
        <f>IFERROR(VLOOKUP(P99,COPY!$A$1:$L$1000,8,FALSE),0)</f>
        <v>Pcs</v>
      </c>
      <c r="K99" s="457" t="str">
        <f>IFERROR(VLOOKUP(P99,COPY!$A$1:$L$1000,7,FALSE),0)</f>
        <v>Tba Imokito 12Mm X 10Mm</v>
      </c>
      <c r="L99" s="468" t="str">
        <f>IFERROR(VLOOKUP(P99,COPY!$A$1:$O$1000,15,FALSE),0)</f>
        <v/>
      </c>
      <c r="M99" s="468" t="str">
        <f>IFERROR(VLOOKUP(P99,COPY!$A$1:$L$1000,12,FALSE),0)</f>
        <v>B</v>
      </c>
      <c r="N99" s="471">
        <f>IF(H99="Jasa",VLOOKUP('BKU 2'!K99,'Rekap Gaji'!$D$12:$I$26,6,FALSE),(IF(H99="Beli",VLOOKUP(P99,COPY!$A$1:$L$1000,11,FALSE),IF(H99="Bayar Ongkos",VLOOKUP(K99,'Rekap Gaji'!$D$12:$I$26,6,FALSE),0))))</f>
        <v>20000</v>
      </c>
      <c r="O99" s="470"/>
      <c r="P99" s="466" t="str">
        <f t="shared" si="6"/>
        <v>2.68</v>
      </c>
      <c r="Q99" s="253">
        <f t="shared" si="8"/>
        <v>68</v>
      </c>
      <c r="R99" s="253">
        <f t="shared" si="9"/>
        <v>68</v>
      </c>
      <c r="S99" s="449">
        <f t="shared" si="10"/>
        <v>68</v>
      </c>
      <c r="T99" s="253">
        <f t="shared" si="11"/>
        <v>-10</v>
      </c>
      <c r="U99" s="457" t="str">
        <f t="shared" si="7"/>
        <v xml:space="preserve"> </v>
      </c>
    </row>
    <row r="100" spans="1:21" ht="20.100000000000001" customHeight="1" x14ac:dyDescent="0.25">
      <c r="A100" s="470"/>
      <c r="B100" s="456">
        <f>IF(LEFT(C100,16)="Terima Pajak PPN",VLOOKUP(P100,COPY!$A$1:$AC$1000,21,FALSE),IF(LEFT(C100,16)="Terima Pajak PPH",VLOOKUP(P100,COPY!$A$1:$AC$1000,21,FALSE),IF(LEFT(C100,13)="Terima PPh 23",VLOOKUP(P100,COPY!$A$1:$AC$1000,21,FALSE),0)))</f>
        <v>0</v>
      </c>
      <c r="C100" s="457">
        <f>IFERROR(IF(LEFT(VLOOKUP(P100,COPY!$A$1:$AC$1000,29,FALSE),5)="Terim",VLOOKUP(P100,COPY!$A$1:$AC$1000,29,FALSE),0),0)</f>
        <v>0</v>
      </c>
      <c r="D100" s="457"/>
      <c r="E100" s="457"/>
      <c r="F100" s="458">
        <f>IFERROR(IF(LEFT(VLOOKUP(P100,COPY!$A$1:$AC$1000,29,FALSE),5)="Terim",VLOOKUP(P100,COPY!$A$1:$AC$1000,26,FALSE),0),0)</f>
        <v>0</v>
      </c>
      <c r="G100" s="459" t="str">
        <f>IFERROR(VLOOKUP(P100,COPY!$A$1:$L$1000,4,FALSE),0)</f>
        <v/>
      </c>
      <c r="H100" s="457" t="str">
        <f>IFERROR(VLOOKUP(P100,COPY!$A$1:$L$1000,2,FALSE),0)</f>
        <v>Beli</v>
      </c>
      <c r="I100" s="510">
        <f>IFERROR(VLOOKUP(P100,COPY!$A$1:$L$1000,10,FALSE),0)</f>
        <v>3</v>
      </c>
      <c r="J100" s="467" t="str">
        <f>IFERROR(VLOOKUP(P100,COPY!$A$1:$L$1000,8,FALSE),0)</f>
        <v>Pcs</v>
      </c>
      <c r="K100" s="457" t="str">
        <f>IFERROR(VLOOKUP(P100,COPY!$A$1:$L$1000,7,FALSE),0)</f>
        <v>Kloset Ivory Emerald</v>
      </c>
      <c r="L100" s="468" t="str">
        <f>IFERROR(VLOOKUP(P100,COPY!$A$1:$O$1000,15,FALSE),0)</f>
        <v/>
      </c>
      <c r="M100" s="468" t="str">
        <f>IFERROR(VLOOKUP(P100,COPY!$A$1:$L$1000,12,FALSE),0)</f>
        <v>B</v>
      </c>
      <c r="N100" s="471">
        <f>IF(H100="Jasa",VLOOKUP('BKU 2'!K100,'Rekap Gaji'!$D$12:$I$26,6,FALSE),(IF(H100="Beli",VLOOKUP(P100,COPY!$A$1:$L$1000,11,FALSE),IF(H100="Bayar Ongkos",VLOOKUP(K100,'Rekap Gaji'!$D$12:$I$26,6,FALSE),0))))</f>
        <v>555000</v>
      </c>
      <c r="O100" s="470"/>
      <c r="P100" s="466" t="str">
        <f t="shared" si="6"/>
        <v>2.69</v>
      </c>
      <c r="Q100" s="253">
        <f t="shared" si="8"/>
        <v>69</v>
      </c>
      <c r="R100" s="253">
        <f t="shared" si="9"/>
        <v>69</v>
      </c>
      <c r="S100" s="449">
        <f t="shared" si="10"/>
        <v>69</v>
      </c>
      <c r="T100" s="253">
        <f t="shared" si="11"/>
        <v>-9</v>
      </c>
      <c r="U100" s="457" t="str">
        <f t="shared" si="7"/>
        <v xml:space="preserve"> </v>
      </c>
    </row>
    <row r="101" spans="1:21" ht="20.100000000000001" customHeight="1" x14ac:dyDescent="0.25">
      <c r="A101" s="470"/>
      <c r="B101" s="456">
        <f>IF(LEFT(C101,16)="Terima Pajak PPN",VLOOKUP(P101,COPY!$A$1:$AC$1000,21,FALSE),IF(LEFT(C101,16)="Terima Pajak PPH",VLOOKUP(P101,COPY!$A$1:$AC$1000,21,FALSE),IF(LEFT(C101,13)="Terima PPh 23",VLOOKUP(P101,COPY!$A$1:$AC$1000,21,FALSE),0)))</f>
        <v>0</v>
      </c>
      <c r="C101" s="457">
        <f>IFERROR(IF(LEFT(VLOOKUP(P101,COPY!$A$1:$AC$1000,29,FALSE),5)="Terim",VLOOKUP(P101,COPY!$A$1:$AC$1000,29,FALSE),0),0)</f>
        <v>0</v>
      </c>
      <c r="D101" s="457"/>
      <c r="E101" s="457"/>
      <c r="F101" s="458">
        <f>IFERROR(IF(LEFT(VLOOKUP(P101,COPY!$A$1:$AC$1000,29,FALSE),5)="Terim",VLOOKUP(P101,COPY!$A$1:$AC$1000,26,FALSE),0),0)</f>
        <v>0</v>
      </c>
      <c r="G101" s="459" t="str">
        <f>IFERROR(VLOOKUP(P101,COPY!$A$1:$L$1000,4,FALSE),0)</f>
        <v/>
      </c>
      <c r="H101" s="457" t="str">
        <f>IFERROR(VLOOKUP(P101,COPY!$A$1:$L$1000,2,FALSE),0)</f>
        <v>Beli</v>
      </c>
      <c r="I101" s="510">
        <f>IFERROR(VLOOKUP(P101,COPY!$A$1:$L$1000,10,FALSE),0)</f>
        <v>2</v>
      </c>
      <c r="J101" s="467" t="str">
        <f>IFERROR(VLOOKUP(P101,COPY!$A$1:$L$1000,8,FALSE),0)</f>
        <v>Unit</v>
      </c>
      <c r="K101" s="457" t="str">
        <f>IFERROR(VLOOKUP(P101,COPY!$A$1:$L$1000,7,FALSE),0)</f>
        <v>Wastafel Komplit Volk</v>
      </c>
      <c r="L101" s="468" t="str">
        <f>IFERROR(VLOOKUP(P101,COPY!$A$1:$O$1000,15,FALSE),0)</f>
        <v/>
      </c>
      <c r="M101" s="468" t="str">
        <f>IFERROR(VLOOKUP(P101,COPY!$A$1:$L$1000,12,FALSE),0)</f>
        <v>B</v>
      </c>
      <c r="N101" s="471">
        <f>IF(H101="Jasa",VLOOKUP('BKU 2'!K101,'Rekap Gaji'!$D$12:$I$26,6,FALSE),(IF(H101="Beli",VLOOKUP(P101,COPY!$A$1:$L$1000,11,FALSE),IF(H101="Bayar Ongkos",VLOOKUP(K101,'Rekap Gaji'!$D$12:$I$26,6,FALSE),0))))</f>
        <v>1300000</v>
      </c>
      <c r="O101" s="470"/>
      <c r="P101" s="466" t="str">
        <f t="shared" si="6"/>
        <v>2.70</v>
      </c>
      <c r="Q101" s="253">
        <f t="shared" si="8"/>
        <v>70</v>
      </c>
      <c r="R101" s="253">
        <f t="shared" si="9"/>
        <v>70</v>
      </c>
      <c r="S101" s="449">
        <f t="shared" si="10"/>
        <v>70</v>
      </c>
      <c r="T101" s="253">
        <f t="shared" si="11"/>
        <v>-8</v>
      </c>
      <c r="U101" s="457" t="str">
        <f t="shared" si="7"/>
        <v xml:space="preserve"> </v>
      </c>
    </row>
    <row r="102" spans="1:21" ht="20.100000000000001" customHeight="1" x14ac:dyDescent="0.25">
      <c r="A102" s="470"/>
      <c r="B102" s="456">
        <f>IF(LEFT(C102,16)="Terima Pajak PPN",VLOOKUP(P102,COPY!$A$1:$AC$1000,21,FALSE),IF(LEFT(C102,16)="Terima Pajak PPH",VLOOKUP(P102,COPY!$A$1:$AC$1000,21,FALSE),IF(LEFT(C102,13)="Terima PPh 23",VLOOKUP(P102,COPY!$A$1:$AC$1000,21,FALSE),0)))</f>
        <v>0</v>
      </c>
      <c r="C102" s="457">
        <f>IFERROR(IF(LEFT(VLOOKUP(P102,COPY!$A$1:$AC$1000,29,FALSE),5)="Terim",VLOOKUP(P102,COPY!$A$1:$AC$1000,29,FALSE),0),0)</f>
        <v>0</v>
      </c>
      <c r="D102" s="457"/>
      <c r="E102" s="457"/>
      <c r="F102" s="458">
        <f>IFERROR(IF(LEFT(VLOOKUP(P102,COPY!$A$1:$AC$1000,29,FALSE),5)="Terim",VLOOKUP(P102,COPY!$A$1:$AC$1000,26,FALSE),0),0)</f>
        <v>0</v>
      </c>
      <c r="G102" s="459">
        <f>IFERROR(VLOOKUP(P102,COPY!$A$1:$L$1000,4,FALSE),0)</f>
        <v>45955</v>
      </c>
      <c r="H102" s="457" t="str">
        <f>IFERROR(VLOOKUP(P102,COPY!$A$1:$L$1000,2,FALSE),0)</f>
        <v>Bayar Ongkos</v>
      </c>
      <c r="I102" s="510">
        <f>IFERROR(VLOOKUP(P102,COPY!$A$1:$L$1000,10,FALSE),0)</f>
        <v>1</v>
      </c>
      <c r="J102" s="467">
        <f>IFERROR(VLOOKUP(P102,COPY!$A$1:$L$1000,8,FALSE),0)</f>
        <v>0</v>
      </c>
      <c r="K102" s="457" t="str">
        <f>IFERROR(VLOOKUP(P102,COPY!$A$1:$L$1000,7,FALSE),0)</f>
        <v>Pembayaran Pekerja Minggu Ke 8</v>
      </c>
      <c r="L102" s="468" t="str">
        <f>IFERROR(VLOOKUP(P102,COPY!$A$1:$O$1000,15,FALSE),0)</f>
        <v>BKK.55</v>
      </c>
      <c r="M102" s="468" t="str">
        <f>IFERROR(VLOOKUP(P102,COPY!$A$1:$L$1000,12,FALSE),0)</f>
        <v>A</v>
      </c>
      <c r="N102" s="471">
        <f>IF(H102="Jasa",VLOOKUP('BKU 2'!K102,'Rekap Gaji'!$D$12:$I$26,6,FALSE),(IF(H102="Beli",VLOOKUP(P102,COPY!$A$1:$L$1000,11,FALSE),IF(H102="Bayar Ongkos",VLOOKUP(K102,'Rekap Gaji'!$D$12:$I$26,6,FALSE),0))))</f>
        <v>4265000</v>
      </c>
      <c r="O102" s="470"/>
      <c r="P102" s="466" t="str">
        <f t="shared" si="6"/>
        <v>2.71</v>
      </c>
      <c r="Q102" s="253">
        <f t="shared" si="8"/>
        <v>71</v>
      </c>
      <c r="R102" s="253">
        <f t="shared" si="9"/>
        <v>71</v>
      </c>
      <c r="S102" s="449">
        <f t="shared" si="10"/>
        <v>71</v>
      </c>
      <c r="T102" s="253">
        <f t="shared" si="11"/>
        <v>-7</v>
      </c>
      <c r="U102" s="457" t="str">
        <f t="shared" si="7"/>
        <v xml:space="preserve"> </v>
      </c>
    </row>
    <row r="103" spans="1:21" ht="20.100000000000001" customHeight="1" x14ac:dyDescent="0.25">
      <c r="A103" s="470"/>
      <c r="B103" s="456">
        <f>IF(LEFT(C103,16)="Terima Pajak PPN",VLOOKUP(P103,COPY!$A$1:$AC$1000,21,FALSE),IF(LEFT(C103,16)="Terima Pajak PPH",VLOOKUP(P103,COPY!$A$1:$AC$1000,21,FALSE),IF(LEFT(C103,13)="Terima PPh 23",VLOOKUP(P103,COPY!$A$1:$AC$1000,21,FALSE),0)))</f>
        <v>0</v>
      </c>
      <c r="C103" s="457">
        <f>IFERROR(IF(LEFT(VLOOKUP(P103,COPY!$A$1:$AC$1000,29,FALSE),5)="Terim",VLOOKUP(P103,COPY!$A$1:$AC$1000,29,FALSE),0),0)</f>
        <v>0</v>
      </c>
      <c r="D103" s="457"/>
      <c r="E103" s="457"/>
      <c r="F103" s="458">
        <f>IFERROR(IF(LEFT(VLOOKUP(P103,COPY!$A$1:$AC$1000,29,FALSE),5)="Terim",VLOOKUP(P103,COPY!$A$1:$AC$1000,26,FALSE),0),0)</f>
        <v>0</v>
      </c>
      <c r="G103" s="459">
        <f>IFERROR(VLOOKUP(P103,COPY!$A$1:$L$1000,4,FALSE),0)</f>
        <v>45961</v>
      </c>
      <c r="H103" s="457" t="str">
        <f>IFERROR(VLOOKUP(P103,COPY!$A$1:$L$1000,2,FALSE),0)</f>
        <v>Beli</v>
      </c>
      <c r="I103" s="510">
        <f>IFERROR(VLOOKUP(P103,COPY!$A$1:$L$1000,10,FALSE),0)</f>
        <v>15</v>
      </c>
      <c r="J103" s="467" t="str">
        <f>IFERROR(VLOOKUP(P103,COPY!$A$1:$L$1000,8,FALSE),0)</f>
        <v>Bks</v>
      </c>
      <c r="K103" s="457" t="str">
        <f>IFERROR(VLOOKUP(P103,COPY!$A$1:$L$1000,7,FALSE),0)</f>
        <v>Kosumsi Rapat Peninjauan 100%</v>
      </c>
      <c r="L103" s="468" t="str">
        <f>IFERROR(VLOOKUP(P103,COPY!$A$1:$O$1000,15,FALSE),0)</f>
        <v>BKK.56</v>
      </c>
      <c r="M103" s="468" t="str">
        <f>IFERROR(VLOOKUP(P103,COPY!$A$1:$L$1000,12,FALSE),0)</f>
        <v>D</v>
      </c>
      <c r="N103" s="471">
        <f>IF(H103="Jasa",VLOOKUP('BKU 2'!K103,'Rekap Gaji'!$D$12:$I$26,6,FALSE),(IF(H103="Beli",VLOOKUP(P103,COPY!$A$1:$L$1000,11,FALSE),IF(H103="Bayar Ongkos",VLOOKUP(K103,'Rekap Gaji'!$D$12:$I$26,6,FALSE),0))))</f>
        <v>450000</v>
      </c>
      <c r="O103" s="470"/>
      <c r="P103" s="466" t="str">
        <f t="shared" si="6"/>
        <v>2.72</v>
      </c>
      <c r="Q103" s="253">
        <f t="shared" si="8"/>
        <v>72</v>
      </c>
      <c r="R103" s="253">
        <f t="shared" si="9"/>
        <v>72</v>
      </c>
      <c r="S103" s="449">
        <f t="shared" si="10"/>
        <v>72</v>
      </c>
      <c r="T103" s="253">
        <f t="shared" si="11"/>
        <v>-6</v>
      </c>
      <c r="U103" s="457" t="str">
        <f t="shared" si="7"/>
        <v xml:space="preserve"> </v>
      </c>
    </row>
    <row r="104" spans="1:21" ht="20.100000000000001" customHeight="1" x14ac:dyDescent="0.25">
      <c r="A104" s="470"/>
      <c r="B104" s="456">
        <f>IF(LEFT(C104,16)="Terima Pajak PPN",VLOOKUP(P104,COPY!$A$1:$AC$1000,21,FALSE),IF(LEFT(C104,16)="Terima Pajak PPH",VLOOKUP(P104,COPY!$A$1:$AC$1000,21,FALSE),IF(LEFT(C104,13)="Terima PPh 23",VLOOKUP(P104,COPY!$A$1:$AC$1000,21,FALSE),0)))</f>
        <v>0</v>
      </c>
      <c r="C104" s="457">
        <f>IFERROR(IF(LEFT(VLOOKUP(P104,COPY!$A$1:$AC$1000,29,FALSE),5)="Terim",VLOOKUP(P104,COPY!$A$1:$AC$1000,29,FALSE),0),0)</f>
        <v>0</v>
      </c>
      <c r="D104" s="457"/>
      <c r="E104" s="457"/>
      <c r="F104" s="458">
        <f>IFERROR(IF(LEFT(VLOOKUP(P104,COPY!$A$1:$AC$1000,29,FALSE),5)="Terim",VLOOKUP(P104,COPY!$A$1:$AC$1000,26,FALSE),0),0)</f>
        <v>0</v>
      </c>
      <c r="G104" s="459" t="str">
        <f>IFERROR(VLOOKUP(P104,COPY!$A$1:$L$1000,4,FALSE),0)</f>
        <v/>
      </c>
      <c r="H104" s="457" t="str">
        <f>IFERROR(VLOOKUP(P104,COPY!$A$1:$L$1000,2,FALSE),0)</f>
        <v>Beli</v>
      </c>
      <c r="I104" s="510">
        <f>IFERROR(VLOOKUP(P104,COPY!$A$1:$L$1000,10,FALSE),0)</f>
        <v>2</v>
      </c>
      <c r="J104" s="467" t="str">
        <f>IFERROR(VLOOKUP(P104,COPY!$A$1:$L$1000,8,FALSE),0)</f>
        <v>Rim</v>
      </c>
      <c r="K104" s="457" t="str">
        <f>IFERROR(VLOOKUP(P104,COPY!$A$1:$L$1000,7,FALSE),0)</f>
        <v>Kertas Sidu A4 70 grm</v>
      </c>
      <c r="L104" s="468" t="str">
        <f>IFERROR(VLOOKUP(P104,COPY!$A$1:$O$1000,15,FALSE),0)</f>
        <v/>
      </c>
      <c r="M104" s="468" t="str">
        <f>IFERROR(VLOOKUP(P104,COPY!$A$1:$L$1000,12,FALSE),0)</f>
        <v>D</v>
      </c>
      <c r="N104" s="471">
        <f>IF(H104="Jasa",VLOOKUP('BKU 2'!K104,'Rekap Gaji'!$D$12:$I$26,6,FALSE),(IF(H104="Beli",VLOOKUP(P104,COPY!$A$1:$L$1000,11,FALSE),IF(H104="Bayar Ongkos",VLOOKUP(K104,'Rekap Gaji'!$D$12:$I$26,6,FALSE),0))))</f>
        <v>100000</v>
      </c>
      <c r="O104" s="470"/>
      <c r="P104" s="466" t="str">
        <f t="shared" si="6"/>
        <v>2.73</v>
      </c>
      <c r="Q104" s="253">
        <f t="shared" si="8"/>
        <v>73</v>
      </c>
      <c r="R104" s="253">
        <f t="shared" si="9"/>
        <v>73</v>
      </c>
      <c r="S104" s="449">
        <f t="shared" si="10"/>
        <v>73</v>
      </c>
      <c r="T104" s="253">
        <f t="shared" si="11"/>
        <v>-5</v>
      </c>
      <c r="U104" s="457" t="str">
        <f t="shared" si="7"/>
        <v xml:space="preserve"> </v>
      </c>
    </row>
    <row r="105" spans="1:21" ht="20.100000000000001" customHeight="1" x14ac:dyDescent="0.25">
      <c r="A105" s="470"/>
      <c r="B105" s="456">
        <f>IF(LEFT(C105,16)="Terima Pajak PPN",VLOOKUP(P105,COPY!$A$1:$AC$1000,21,FALSE),IF(LEFT(C105,16)="Terima Pajak PPH",VLOOKUP(P105,COPY!$A$1:$AC$1000,21,FALSE),IF(LEFT(C105,13)="Terima PPh 23",VLOOKUP(P105,COPY!$A$1:$AC$1000,21,FALSE),0)))</f>
        <v>0</v>
      </c>
      <c r="C105" s="457">
        <f>IFERROR(IF(LEFT(VLOOKUP(P105,COPY!$A$1:$AC$1000,29,FALSE),5)="Terim",VLOOKUP(P105,COPY!$A$1:$AC$1000,29,FALSE),0),0)</f>
        <v>0</v>
      </c>
      <c r="D105" s="457"/>
      <c r="E105" s="457"/>
      <c r="F105" s="458">
        <f>IFERROR(IF(LEFT(VLOOKUP(P105,COPY!$A$1:$AC$1000,29,FALSE),5)="Terim",VLOOKUP(P105,COPY!$A$1:$AC$1000,26,FALSE),0),0)</f>
        <v>0</v>
      </c>
      <c r="G105" s="459" t="str">
        <f>IFERROR(VLOOKUP(P105,COPY!$A$1:$L$1000,4,FALSE),0)</f>
        <v/>
      </c>
      <c r="H105" s="457" t="str">
        <f>IFERROR(VLOOKUP(P105,COPY!$A$1:$L$1000,2,FALSE),0)</f>
        <v>Beli</v>
      </c>
      <c r="I105" s="510">
        <f>IFERROR(VLOOKUP(P105,COPY!$A$1:$L$1000,10,FALSE),0)</f>
        <v>1</v>
      </c>
      <c r="J105" s="467" t="str">
        <f>IFERROR(VLOOKUP(P105,COPY!$A$1:$L$1000,8,FALSE),0)</f>
        <v>Pcs</v>
      </c>
      <c r="K105" s="457" t="str">
        <f>IFERROR(VLOOKUP(P105,COPY!$A$1:$L$1000,7,FALSE),0)</f>
        <v>Tinta Printer</v>
      </c>
      <c r="L105" s="468" t="str">
        <f>IFERROR(VLOOKUP(P105,COPY!$A$1:$O$1000,15,FALSE),0)</f>
        <v/>
      </c>
      <c r="M105" s="468" t="str">
        <f>IFERROR(VLOOKUP(P105,COPY!$A$1:$L$1000,12,FALSE),0)</f>
        <v>D</v>
      </c>
      <c r="N105" s="471">
        <f>IF(H105="Jasa",VLOOKUP('BKU 2'!K105,'Rekap Gaji'!$D$12:$I$26,6,FALSE),(IF(H105="Beli",VLOOKUP(P105,COPY!$A$1:$L$1000,11,FALSE),IF(H105="Bayar Ongkos",VLOOKUP(K105,'Rekap Gaji'!$D$12:$I$26,6,FALSE),0))))</f>
        <v>100000</v>
      </c>
      <c r="O105" s="470"/>
      <c r="P105" s="466" t="str">
        <f t="shared" si="6"/>
        <v>2.74</v>
      </c>
      <c r="Q105" s="253">
        <f t="shared" si="8"/>
        <v>74</v>
      </c>
      <c r="R105" s="253">
        <f t="shared" si="9"/>
        <v>74</v>
      </c>
      <c r="S105" s="449">
        <f t="shared" si="10"/>
        <v>74</v>
      </c>
      <c r="T105" s="253">
        <f t="shared" si="11"/>
        <v>-4</v>
      </c>
      <c r="U105" s="457" t="str">
        <f t="shared" si="7"/>
        <v xml:space="preserve"> </v>
      </c>
    </row>
    <row r="106" spans="1:21" ht="20.100000000000001" customHeight="1" x14ac:dyDescent="0.25">
      <c r="A106" s="470"/>
      <c r="B106" s="456">
        <f>IF(LEFT(C106,16)="Terima Pajak PPN",VLOOKUP(P106,COPY!$A$1:$AC$1000,21,FALSE),IF(LEFT(C106,16)="Terima Pajak PPH",VLOOKUP(P106,COPY!$A$1:$AC$1000,21,FALSE),IF(LEFT(C106,13)="Terima PPh 23",VLOOKUP(P106,COPY!$A$1:$AC$1000,21,FALSE),0)))</f>
        <v>0</v>
      </c>
      <c r="C106" s="457">
        <f>IFERROR(IF(LEFT(VLOOKUP(P106,COPY!$A$1:$AC$1000,29,FALSE),5)="Terim",VLOOKUP(P106,COPY!$A$1:$AC$1000,29,FALSE),0),0)</f>
        <v>0</v>
      </c>
      <c r="D106" s="457"/>
      <c r="E106" s="457"/>
      <c r="F106" s="458">
        <f>IFERROR(IF(LEFT(VLOOKUP(P106,COPY!$A$1:$AC$1000,29,FALSE),5)="Terim",VLOOKUP(P106,COPY!$A$1:$AC$1000,26,FALSE),0),0)</f>
        <v>0</v>
      </c>
      <c r="G106" s="459" t="str">
        <f>IFERROR(VLOOKUP(P106,COPY!$A$1:$L$1000,4,FALSE),0)</f>
        <v/>
      </c>
      <c r="H106" s="457" t="str">
        <f>IFERROR(VLOOKUP(P106,COPY!$A$1:$L$1000,2,FALSE),0)</f>
        <v>Beli</v>
      </c>
      <c r="I106" s="510">
        <f>IFERROR(VLOOKUP(P106,COPY!$A$1:$L$1000,10,FALSE),0)</f>
        <v>10</v>
      </c>
      <c r="J106" s="467" t="str">
        <f>IFERROR(VLOOKUP(P106,COPY!$A$1:$L$1000,8,FALSE),0)</f>
        <v>Pcs</v>
      </c>
      <c r="K106" s="457" t="str">
        <f>IFERROR(VLOOKUP(P106,COPY!$A$1:$L$1000,7,FALSE),0)</f>
        <v>Materai 10000</v>
      </c>
      <c r="L106" s="468" t="str">
        <f>IFERROR(VLOOKUP(P106,COPY!$A$1:$O$1000,15,FALSE),0)</f>
        <v/>
      </c>
      <c r="M106" s="468" t="str">
        <f>IFERROR(VLOOKUP(P106,COPY!$A$1:$L$1000,12,FALSE),0)</f>
        <v>D</v>
      </c>
      <c r="N106" s="471">
        <f>IF(H106="Jasa",VLOOKUP('BKU 2'!K106,'Rekap Gaji'!$D$12:$I$26,6,FALSE),(IF(H106="Beli",VLOOKUP(P106,COPY!$A$1:$L$1000,11,FALSE),IF(H106="Bayar Ongkos",VLOOKUP(K106,'Rekap Gaji'!$D$12:$I$26,6,FALSE),0))))</f>
        <v>120000</v>
      </c>
      <c r="O106" s="470"/>
      <c r="P106" s="466" t="str">
        <f t="shared" si="6"/>
        <v>2.75</v>
      </c>
      <c r="Q106" s="253">
        <f t="shared" si="8"/>
        <v>75</v>
      </c>
      <c r="R106" s="253">
        <f t="shared" si="9"/>
        <v>75</v>
      </c>
      <c r="S106" s="449">
        <f t="shared" si="10"/>
        <v>75</v>
      </c>
      <c r="T106" s="253">
        <f t="shared" si="11"/>
        <v>-3</v>
      </c>
      <c r="U106" s="457" t="str">
        <f t="shared" si="7"/>
        <v xml:space="preserve"> </v>
      </c>
    </row>
    <row r="107" spans="1:21" ht="20.100000000000001" customHeight="1" x14ac:dyDescent="0.25">
      <c r="A107" s="470"/>
      <c r="B107" s="456">
        <f>IF(LEFT(C107,16)="Terima Pajak PPN",VLOOKUP(P107,COPY!$A$1:$AC$1000,21,FALSE),IF(LEFT(C107,16)="Terima Pajak PPH",VLOOKUP(P107,COPY!$A$1:$AC$1000,21,FALSE),IF(LEFT(C107,13)="Terima PPh 23",VLOOKUP(P107,COPY!$A$1:$AC$1000,21,FALSE),0)))</f>
        <v>0</v>
      </c>
      <c r="C107" s="457">
        <f>IFERROR(IF(LEFT(VLOOKUP(P107,COPY!$A$1:$AC$1000,29,FALSE),5)="Terim",VLOOKUP(P107,COPY!$A$1:$AC$1000,29,FALSE),0),0)</f>
        <v>0</v>
      </c>
      <c r="D107" s="457"/>
      <c r="E107" s="457"/>
      <c r="F107" s="458">
        <f>IFERROR(IF(LEFT(VLOOKUP(P107,COPY!$A$1:$AC$1000,29,FALSE),5)="Terim",VLOOKUP(P107,COPY!$A$1:$AC$1000,26,FALSE),0),0)</f>
        <v>0</v>
      </c>
      <c r="G107" s="459" t="str">
        <f>IFERROR(VLOOKUP(P107,COPY!$A$1:$L$1000,4,FALSE),0)</f>
        <v/>
      </c>
      <c r="H107" s="457" t="str">
        <f>IFERROR(VLOOKUP(P107,COPY!$A$1:$L$1000,2,FALSE),0)</f>
        <v>Beli</v>
      </c>
      <c r="I107" s="510">
        <f>IFERROR(VLOOKUP(P107,COPY!$A$1:$L$1000,10,FALSE),0)</f>
        <v>2</v>
      </c>
      <c r="J107" s="467" t="str">
        <f>IFERROR(VLOOKUP(P107,COPY!$A$1:$L$1000,8,FALSE),0)</f>
        <v>Buku</v>
      </c>
      <c r="K107" s="457" t="str">
        <f>IFERROR(VLOOKUP(P107,COPY!$A$1:$L$1000,7,FALSE),0)</f>
        <v>Foto Copy</v>
      </c>
      <c r="L107" s="468" t="str">
        <f>IFERROR(VLOOKUP(P107,COPY!$A$1:$O$1000,15,FALSE),0)</f>
        <v/>
      </c>
      <c r="M107" s="468" t="str">
        <f>IFERROR(VLOOKUP(P107,COPY!$A$1:$L$1000,12,FALSE),0)</f>
        <v>D</v>
      </c>
      <c r="N107" s="471">
        <f>IF(H107="Jasa",VLOOKUP('BKU 2'!K107,'Rekap Gaji'!$D$12:$I$26,6,FALSE),(IF(H107="Beli",VLOOKUP(P107,COPY!$A$1:$L$1000,11,FALSE),IF(H107="Bayar Ongkos",VLOOKUP(K107,'Rekap Gaji'!$D$12:$I$26,6,FALSE),0))))</f>
        <v>100000</v>
      </c>
      <c r="O107" s="470"/>
      <c r="P107" s="466" t="str">
        <f t="shared" si="6"/>
        <v>2.76</v>
      </c>
      <c r="Q107" s="253">
        <f t="shared" si="8"/>
        <v>76</v>
      </c>
      <c r="R107" s="253">
        <f t="shared" si="9"/>
        <v>76</v>
      </c>
      <c r="S107" s="449">
        <f t="shared" si="10"/>
        <v>76</v>
      </c>
      <c r="T107" s="253">
        <f t="shared" si="11"/>
        <v>-2</v>
      </c>
      <c r="U107" s="457" t="str">
        <f t="shared" si="7"/>
        <v xml:space="preserve"> </v>
      </c>
    </row>
    <row r="108" spans="1:21" ht="20.100000000000001" customHeight="1" x14ac:dyDescent="0.25">
      <c r="A108" s="470"/>
      <c r="B108" s="456">
        <f>IF(LEFT(C108,16)="Terima Pajak PPN",VLOOKUP(P108,COPY!$A$1:$AC$1000,21,FALSE),IF(LEFT(C108,16)="Terima Pajak PPH",VLOOKUP(P108,COPY!$A$1:$AC$1000,21,FALSE),IF(LEFT(C108,13)="Terima PPh 23",VLOOKUP(P108,COPY!$A$1:$AC$1000,21,FALSE),0)))</f>
        <v>0</v>
      </c>
      <c r="C108" s="457">
        <f>IFERROR(IF(LEFT(VLOOKUP(P108,COPY!$A$1:$AC$1000,29,FALSE),5)="Terim",VLOOKUP(P108,COPY!$A$1:$AC$1000,29,FALSE),0),0)</f>
        <v>0</v>
      </c>
      <c r="D108" s="457"/>
      <c r="E108" s="457"/>
      <c r="F108" s="458">
        <f>IFERROR(IF(LEFT(VLOOKUP(P108,COPY!$A$1:$AC$1000,29,FALSE),5)="Terim",VLOOKUP(P108,COPY!$A$1:$AC$1000,26,FALSE),0),0)</f>
        <v>0</v>
      </c>
      <c r="G108" s="459" t="str">
        <f>IFERROR(VLOOKUP(P108,COPY!$A$1:$L$1000,4,FALSE),0)</f>
        <v/>
      </c>
      <c r="H108" s="457" t="str">
        <f>IFERROR(VLOOKUP(P108,COPY!$A$1:$L$1000,2,FALSE),0)</f>
        <v>Beli</v>
      </c>
      <c r="I108" s="510">
        <f>IFERROR(VLOOKUP(P108,COPY!$A$1:$L$1000,10,FALSE),0)</f>
        <v>1</v>
      </c>
      <c r="J108" s="467" t="str">
        <f>IFERROR(VLOOKUP(P108,COPY!$A$1:$L$1000,8,FALSE),0)</f>
        <v>Ls</v>
      </c>
      <c r="K108" s="457" t="str">
        <f>IFERROR(VLOOKUP(P108,COPY!$A$1:$L$1000,7,FALSE),0)</f>
        <v>Biaya Perjalanan Lain</v>
      </c>
      <c r="L108" s="468" t="str">
        <f>IFERROR(VLOOKUP(P108,COPY!$A$1:$O$1000,15,FALSE),0)</f>
        <v/>
      </c>
      <c r="M108" s="468" t="str">
        <f>IFERROR(VLOOKUP(P108,COPY!$A$1:$L$1000,12,FALSE),0)</f>
        <v>D</v>
      </c>
      <c r="N108" s="471">
        <f>IF(H108="Jasa",VLOOKUP('BKU 2'!K108,'Rekap Gaji'!$D$12:$I$26,6,FALSE),(IF(H108="Beli",VLOOKUP(P108,COPY!$A$1:$L$1000,11,FALSE),IF(H108="Bayar Ongkos",VLOOKUP(K108,'Rekap Gaji'!$D$12:$I$26,6,FALSE),0))))</f>
        <v>140000</v>
      </c>
      <c r="O108" s="470"/>
      <c r="P108" s="466" t="str">
        <f t="shared" si="6"/>
        <v>2.77</v>
      </c>
      <c r="Q108" s="253">
        <f t="shared" si="8"/>
        <v>77</v>
      </c>
      <c r="R108" s="253">
        <f t="shared" si="9"/>
        <v>77</v>
      </c>
      <c r="S108" s="449">
        <f t="shared" si="10"/>
        <v>77</v>
      </c>
      <c r="T108" s="253">
        <f t="shared" si="11"/>
        <v>-1</v>
      </c>
      <c r="U108" s="457" t="str">
        <f t="shared" si="7"/>
        <v xml:space="preserve"> </v>
      </c>
    </row>
    <row r="109" spans="1:21" ht="20.100000000000001" customHeight="1" x14ac:dyDescent="0.25">
      <c r="A109" s="470"/>
      <c r="B109" s="456">
        <f>IF(LEFT(C109,16)="Terima Pajak PPN",VLOOKUP(P109,COPY!$A$1:$AC$1000,21,FALSE),IF(LEFT(C109,16)="Terima Pajak PPH",VLOOKUP(P109,COPY!$A$1:$AC$1000,21,FALSE),IF(LEFT(C109,13)="Terima PPh 23",VLOOKUP(P109,COPY!$A$1:$AC$1000,21,FALSE),0)))</f>
        <v>0</v>
      </c>
      <c r="C109" s="457" t="str">
        <f>IFERROR(IF(LEFT(VLOOKUP(P109,COPY!$A$1:$AC$1000,29,FALSE),5)="Terim",VLOOKUP(P109,COPY!$A$1:$AC$1000,29,FALSE),0),0)</f>
        <v>Terima PPh Pasal 4 ayat 2 (3,5 %) BKK.57</v>
      </c>
      <c r="D109" s="457"/>
      <c r="E109" s="457"/>
      <c r="F109" s="458">
        <f>IFERROR(IF(LEFT(VLOOKUP(P109,COPY!$A$1:$AC$1000,29,FALSE),5)="Terim",VLOOKUP(P109,COPY!$A$1:$AC$1000,26,FALSE),0),0)</f>
        <v>119162.05000000002</v>
      </c>
      <c r="G109" s="459">
        <f>IFERROR(VLOOKUP(P109,COPY!$A$1:$L$1000,4,FALSE),0)</f>
        <v>45961</v>
      </c>
      <c r="H109" s="457" t="str">
        <f>IFERROR(VLOOKUP(P109,COPY!$A$1:$L$1000,2,FALSE),0)</f>
        <v>Jasa</v>
      </c>
      <c r="I109" s="510">
        <f>IFERROR(VLOOKUP(P109,COPY!$A$1:$L$1000,10,FALSE),0)</f>
        <v>1</v>
      </c>
      <c r="J109" s="467">
        <f>IFERROR(VLOOKUP(P109,COPY!$A$1:$L$1000,8,FALSE),0)</f>
        <v>0</v>
      </c>
      <c r="K109" s="457" t="str">
        <f>IFERROR(VLOOKUP(P109,COPY!$A$1:$L$1000,7,FALSE),0)</f>
        <v>Bayar Dana Pengawasan</v>
      </c>
      <c r="L109" s="468" t="str">
        <f>IFERROR(VLOOKUP(P109,COPY!$A$1:$O$1000,15,FALSE),0)</f>
        <v>BKK.57</v>
      </c>
      <c r="M109" s="468" t="str">
        <f>IFERROR(VLOOKUP(P109,COPY!$A$1:$L$1000,12,FALSE),0)</f>
        <v>A</v>
      </c>
      <c r="N109" s="471">
        <f>IF(H109="Jasa",VLOOKUP('BKU 2'!K109,'Rekap Gaji'!$D$12:$I$26,6,FALSE),(IF(H109="Beli",VLOOKUP(P109,COPY!$A$1:$L$1000,11,FALSE),IF(H109="Bayar Ongkos",VLOOKUP(K109,'Rekap Gaji'!$D$12:$I$26,6,FALSE),0))))</f>
        <v>3404630</v>
      </c>
      <c r="O109" s="470"/>
      <c r="P109" s="466" t="str">
        <f t="shared" si="6"/>
        <v>2.78</v>
      </c>
      <c r="Q109" s="253">
        <f t="shared" si="8"/>
        <v>78</v>
      </c>
      <c r="R109" s="253">
        <f t="shared" si="9"/>
        <v>78</v>
      </c>
      <c r="S109" s="449">
        <f t="shared" si="10"/>
        <v>78</v>
      </c>
      <c r="T109" s="253">
        <f t="shared" si="11"/>
        <v>0</v>
      </c>
      <c r="U109" s="457" t="str">
        <f t="shared" si="7"/>
        <v xml:space="preserve"> </v>
      </c>
    </row>
    <row r="110" spans="1:21" ht="20.100000000000001" hidden="1" customHeight="1" x14ac:dyDescent="0.25">
      <c r="A110" s="470"/>
      <c r="B110" s="456">
        <f>IF(LEFT(C110,16)="Terima Pajak PPN",VLOOKUP(P110,COPY!$A$1:$AC$1000,21,FALSE),IF(LEFT(C110,16)="Terima Pajak PPH",VLOOKUP(P110,COPY!$A$1:$AC$1000,21,FALSE),IF(LEFT(C110,13)="Terima PPh 23",VLOOKUP(P110,COPY!$A$1:$AC$1000,21,FALSE),0)))</f>
        <v>0</v>
      </c>
      <c r="C110" s="457">
        <f>IFERROR(IF(LEFT(VLOOKUP(P110,COPY!$A$1:$AC$1000,29,FALSE),5)="Terim",VLOOKUP(P110,COPY!$A$1:$AC$1000,29,FALSE),0),0)</f>
        <v>0</v>
      </c>
      <c r="D110" s="457"/>
      <c r="E110" s="457"/>
      <c r="F110" s="458">
        <f>IFERROR(IF(LEFT(VLOOKUP(P110,COPY!$A$1:$AC$1000,29,FALSE),5)="Terim",VLOOKUP(P110,COPY!$A$1:$AC$1000,26,FALSE),0),0)</f>
        <v>0</v>
      </c>
      <c r="G110" s="459">
        <f>IFERROR(VLOOKUP(P110,COPY!$A$1:$L$1000,4,FALSE),0)</f>
        <v>0</v>
      </c>
      <c r="H110" s="457">
        <f>IFERROR(VLOOKUP(P110,COPY!$A$1:$L$1000,2,FALSE),0)</f>
        <v>0</v>
      </c>
      <c r="I110" s="510">
        <f>IFERROR(VLOOKUP(P110,COPY!$A$1:$L$1000,10,FALSE),0)</f>
        <v>0</v>
      </c>
      <c r="J110" s="467">
        <f>IFERROR(VLOOKUP(P110,COPY!$A$1:$L$1000,8,FALSE),0)</f>
        <v>0</v>
      </c>
      <c r="K110" s="457">
        <f>IFERROR(VLOOKUP(P110,COPY!$A$1:$L$1000,7,FALSE),0)</f>
        <v>0</v>
      </c>
      <c r="L110" s="468">
        <f>IFERROR(VLOOKUP(P110,COPY!$A$1:$O$1000,15,FALSE),0)</f>
        <v>0</v>
      </c>
      <c r="M110" s="468">
        <f>IFERROR(VLOOKUP(P110,COPY!$A$1:$L$1000,12,FALSE),0)</f>
        <v>0</v>
      </c>
      <c r="N110" s="471">
        <f>IF(H110="Jasa",VLOOKUP('BKU 2'!K110,'Rekap Gaji'!$D$12:$I$26,6,FALSE),(IF(H110="Beli",VLOOKUP(P110,COPY!$A$1:$L$1000,11,FALSE),IF(H110="Bayar Ongkos",VLOOKUP(K110,'Rekap Gaji'!$D$12:$I$26,6,FALSE),0))))</f>
        <v>0</v>
      </c>
      <c r="O110" s="470"/>
      <c r="P110" s="466" t="str">
        <f t="shared" si="6"/>
        <v/>
      </c>
      <c r="Q110" s="253">
        <f t="shared" si="8"/>
        <v>0</v>
      </c>
      <c r="R110" s="253">
        <f t="shared" si="9"/>
        <v>0</v>
      </c>
      <c r="S110" s="449">
        <f t="shared" si="10"/>
        <v>79</v>
      </c>
      <c r="T110" s="253">
        <f t="shared" si="11"/>
        <v>1</v>
      </c>
      <c r="U110" s="457" t="str">
        <f t="shared" si="7"/>
        <v xml:space="preserve"> </v>
      </c>
    </row>
    <row r="111" spans="1:21" ht="20.100000000000001" hidden="1" customHeight="1" x14ac:dyDescent="0.25">
      <c r="A111" s="470"/>
      <c r="B111" s="456">
        <f>IF(LEFT(C111,16)="Terima Pajak PPN",VLOOKUP(P111,COPY!$A$1:$AC$1000,21,FALSE),IF(LEFT(C111,16)="Terima Pajak PPH",VLOOKUP(P111,COPY!$A$1:$AC$1000,21,FALSE),IF(LEFT(C111,13)="Terima PPh 23",VLOOKUP(P111,COPY!$A$1:$AC$1000,21,FALSE),0)))</f>
        <v>0</v>
      </c>
      <c r="C111" s="457">
        <f>IFERROR(IF(LEFT(VLOOKUP(P111,COPY!$A$1:$AC$1000,29,FALSE),5)="Terim",VLOOKUP(P111,COPY!$A$1:$AC$1000,29,FALSE),0),0)</f>
        <v>0</v>
      </c>
      <c r="D111" s="457"/>
      <c r="E111" s="457"/>
      <c r="F111" s="458">
        <f>IFERROR(IF(LEFT(VLOOKUP(P111,COPY!$A$1:$AC$1000,29,FALSE),5)="Terim",VLOOKUP(P111,COPY!$A$1:$AC$1000,26,FALSE),0),0)</f>
        <v>0</v>
      </c>
      <c r="G111" s="459">
        <f>IFERROR(VLOOKUP(P111,COPY!$A$1:$L$1000,4,FALSE),0)</f>
        <v>0</v>
      </c>
      <c r="H111" s="457">
        <f>IFERROR(VLOOKUP(P111,COPY!$A$1:$L$1000,2,FALSE),0)</f>
        <v>0</v>
      </c>
      <c r="I111" s="510">
        <f>IFERROR(VLOOKUP(P111,COPY!$A$1:$L$1000,10,FALSE),0)</f>
        <v>0</v>
      </c>
      <c r="J111" s="467">
        <f>IFERROR(VLOOKUP(P111,COPY!$A$1:$L$1000,8,FALSE),0)</f>
        <v>0</v>
      </c>
      <c r="K111" s="457">
        <f>IFERROR(VLOOKUP(P111,COPY!$A$1:$L$1000,7,FALSE),0)</f>
        <v>0</v>
      </c>
      <c r="L111" s="468">
        <f>IFERROR(VLOOKUP(P111,COPY!$A$1:$O$1000,15,FALSE),0)</f>
        <v>0</v>
      </c>
      <c r="M111" s="468">
        <f>IFERROR(VLOOKUP(P111,COPY!$A$1:$L$1000,12,FALSE),0)</f>
        <v>0</v>
      </c>
      <c r="N111" s="471">
        <f>IF(H111="Jasa",VLOOKUP('BKU 2'!K111,'Rekap Gaji'!$D$12:$I$26,6,FALSE),(IF(H111="Beli",VLOOKUP(P111,COPY!$A$1:$L$1000,11,FALSE),IF(H111="Bayar Ongkos",VLOOKUP(K111,'Rekap Gaji'!$D$12:$I$26,6,FALSE),0))))</f>
        <v>0</v>
      </c>
      <c r="O111" s="470"/>
      <c r="P111" s="466" t="str">
        <f t="shared" si="6"/>
        <v/>
      </c>
      <c r="Q111" s="253">
        <f t="shared" si="8"/>
        <v>0</v>
      </c>
      <c r="R111" s="253">
        <f t="shared" si="9"/>
        <v>0</v>
      </c>
      <c r="S111" s="449">
        <f t="shared" si="10"/>
        <v>80</v>
      </c>
      <c r="T111" s="253">
        <f t="shared" si="11"/>
        <v>2</v>
      </c>
      <c r="U111" s="457" t="str">
        <f t="shared" si="7"/>
        <v xml:space="preserve"> </v>
      </c>
    </row>
    <row r="112" spans="1:21" ht="20.100000000000001" hidden="1" customHeight="1" x14ac:dyDescent="0.25">
      <c r="A112" s="470"/>
      <c r="B112" s="456">
        <f>IF(LEFT(C112,16)="Terima Pajak PPN",VLOOKUP(P112,COPY!$A$1:$AC$1000,21,FALSE),IF(LEFT(C112,16)="Terima Pajak PPH",VLOOKUP(P112,COPY!$A$1:$AC$1000,21,FALSE),IF(LEFT(C112,13)="Terima PPh 23",VLOOKUP(P112,COPY!$A$1:$AC$1000,21,FALSE),0)))</f>
        <v>0</v>
      </c>
      <c r="C112" s="457">
        <f>IFERROR(IF(LEFT(VLOOKUP(P112,COPY!$A$1:$AC$1000,29,FALSE),5)="Terim",VLOOKUP(P112,COPY!$A$1:$AC$1000,29,FALSE),0),0)</f>
        <v>0</v>
      </c>
      <c r="D112" s="457"/>
      <c r="E112" s="457"/>
      <c r="F112" s="458">
        <f>IFERROR(IF(LEFT(VLOOKUP(P112,COPY!$A$1:$AC$1000,29,FALSE),5)="Terim",VLOOKUP(P112,COPY!$A$1:$AC$1000,26,FALSE),0),0)</f>
        <v>0</v>
      </c>
      <c r="G112" s="459">
        <f>IFERROR(VLOOKUP(P112,COPY!$A$1:$L$1000,4,FALSE),0)</f>
        <v>0</v>
      </c>
      <c r="H112" s="457">
        <f>IFERROR(VLOOKUP(P112,COPY!$A$1:$L$1000,2,FALSE),0)</f>
        <v>0</v>
      </c>
      <c r="I112" s="510">
        <f>IFERROR(VLOOKUP(P112,COPY!$A$1:$L$1000,10,FALSE),0)</f>
        <v>0</v>
      </c>
      <c r="J112" s="467">
        <f>IFERROR(VLOOKUP(P112,COPY!$A$1:$L$1000,8,FALSE),0)</f>
        <v>0</v>
      </c>
      <c r="K112" s="457">
        <f>IFERROR(VLOOKUP(P112,COPY!$A$1:$L$1000,7,FALSE),0)</f>
        <v>0</v>
      </c>
      <c r="L112" s="468">
        <f>IFERROR(VLOOKUP(P112,COPY!$A$1:$O$1000,15,FALSE),0)</f>
        <v>0</v>
      </c>
      <c r="M112" s="468">
        <f>IFERROR(VLOOKUP(P112,COPY!$A$1:$L$1000,12,FALSE),0)</f>
        <v>0</v>
      </c>
      <c r="N112" s="471">
        <f>IF(H112="Jasa",VLOOKUP('BKU 2'!K112,'Rekap Gaji'!$D$12:$I$26,6,FALSE),(IF(H112="Beli",VLOOKUP(P112,COPY!$A$1:$L$1000,11,FALSE),IF(H112="Bayar Ongkos",VLOOKUP(K112,'Rekap Gaji'!$D$12:$I$26,6,FALSE),0))))</f>
        <v>0</v>
      </c>
      <c r="O112" s="470"/>
      <c r="P112" s="466" t="str">
        <f t="shared" si="6"/>
        <v/>
      </c>
      <c r="Q112" s="253">
        <f t="shared" si="8"/>
        <v>0</v>
      </c>
      <c r="R112" s="253">
        <f t="shared" si="9"/>
        <v>0</v>
      </c>
      <c r="S112" s="449">
        <f t="shared" si="10"/>
        <v>81</v>
      </c>
      <c r="T112" s="253">
        <f t="shared" si="11"/>
        <v>3</v>
      </c>
      <c r="U112" s="457" t="str">
        <f t="shared" si="7"/>
        <v xml:space="preserve"> </v>
      </c>
    </row>
    <row r="113" spans="1:21" ht="20.100000000000001" hidden="1" customHeight="1" x14ac:dyDescent="0.25">
      <c r="A113" s="470"/>
      <c r="B113" s="456">
        <f>IF(LEFT(C113,16)="Terima Pajak PPN",VLOOKUP(P113,COPY!$A$1:$AC$1000,21,FALSE),IF(LEFT(C113,16)="Terima Pajak PPH",VLOOKUP(P113,COPY!$A$1:$AC$1000,21,FALSE),IF(LEFT(C113,13)="Terima PPh 23",VLOOKUP(P113,COPY!$A$1:$AC$1000,21,FALSE),0)))</f>
        <v>0</v>
      </c>
      <c r="C113" s="457">
        <f>IFERROR(IF(LEFT(VLOOKUP(P113,COPY!$A$1:$AC$1000,29,FALSE),5)="Terim",VLOOKUP(P113,COPY!$A$1:$AC$1000,29,FALSE),0),0)</f>
        <v>0</v>
      </c>
      <c r="D113" s="457"/>
      <c r="E113" s="457"/>
      <c r="F113" s="458">
        <f>IFERROR(IF(LEFT(VLOOKUP(P113,COPY!$A$1:$AC$1000,29,FALSE),5)="Terim",VLOOKUP(P113,COPY!$A$1:$AC$1000,26,FALSE),0),0)</f>
        <v>0</v>
      </c>
      <c r="G113" s="459">
        <f>IFERROR(VLOOKUP(P113,COPY!$A$1:$L$1000,4,FALSE),0)</f>
        <v>0</v>
      </c>
      <c r="H113" s="457">
        <f>IFERROR(VLOOKUP(P113,COPY!$A$1:$L$1000,2,FALSE),0)</f>
        <v>0</v>
      </c>
      <c r="I113" s="510">
        <f>IFERROR(VLOOKUP(P113,COPY!$A$1:$L$1000,10,FALSE),0)</f>
        <v>0</v>
      </c>
      <c r="J113" s="467">
        <f>IFERROR(VLOOKUP(P113,COPY!$A$1:$L$1000,8,FALSE),0)</f>
        <v>0</v>
      </c>
      <c r="K113" s="457">
        <f>IFERROR(VLOOKUP(P113,COPY!$A$1:$L$1000,7,FALSE),0)</f>
        <v>0</v>
      </c>
      <c r="L113" s="468">
        <f>IFERROR(VLOOKUP(P113,COPY!$A$1:$O$1000,15,FALSE),0)</f>
        <v>0</v>
      </c>
      <c r="M113" s="468">
        <f>IFERROR(VLOOKUP(P113,COPY!$A$1:$L$1000,12,FALSE),0)</f>
        <v>0</v>
      </c>
      <c r="N113" s="471">
        <f>IF(H113="Jasa",VLOOKUP('BKU 2'!K113,'Rekap Gaji'!$D$12:$I$26,6,FALSE),(IF(H113="Beli",VLOOKUP(P113,COPY!$A$1:$L$1000,11,FALSE),IF(H113="Bayar Ongkos",VLOOKUP(K113,'Rekap Gaji'!$D$12:$I$26,6,FALSE),0))))</f>
        <v>0</v>
      </c>
      <c r="O113" s="470"/>
      <c r="P113" s="466" t="str">
        <f t="shared" si="6"/>
        <v/>
      </c>
      <c r="Q113" s="253">
        <f t="shared" si="8"/>
        <v>0</v>
      </c>
      <c r="R113" s="253">
        <f t="shared" si="9"/>
        <v>0</v>
      </c>
      <c r="S113" s="449">
        <f t="shared" si="10"/>
        <v>82</v>
      </c>
      <c r="T113" s="253">
        <f t="shared" si="11"/>
        <v>4</v>
      </c>
      <c r="U113" s="457" t="str">
        <f t="shared" si="7"/>
        <v xml:space="preserve"> </v>
      </c>
    </row>
    <row r="114" spans="1:21" ht="20.100000000000001" hidden="1" customHeight="1" x14ac:dyDescent="0.25">
      <c r="A114" s="470"/>
      <c r="B114" s="456">
        <f>IF(LEFT(C114,16)="Terima Pajak PPN",VLOOKUP(P114,COPY!$A$1:$AC$1000,21,FALSE),IF(LEFT(C114,16)="Terima Pajak PPH",VLOOKUP(P114,COPY!$A$1:$AC$1000,21,FALSE),IF(LEFT(C114,13)="Terima PPh 23",VLOOKUP(P114,COPY!$A$1:$AC$1000,21,FALSE),0)))</f>
        <v>0</v>
      </c>
      <c r="C114" s="457">
        <f>IFERROR(IF(LEFT(VLOOKUP(P114,COPY!$A$1:$AC$1000,29,FALSE),5)="Terim",VLOOKUP(P114,COPY!$A$1:$AC$1000,29,FALSE),0),0)</f>
        <v>0</v>
      </c>
      <c r="D114" s="457"/>
      <c r="E114" s="457"/>
      <c r="F114" s="458">
        <f>IFERROR(IF(LEFT(VLOOKUP(P114,COPY!$A$1:$AC$1000,29,FALSE),5)="Terim",VLOOKUP(P114,COPY!$A$1:$AC$1000,26,FALSE),0),0)</f>
        <v>0</v>
      </c>
      <c r="G114" s="459">
        <f>IFERROR(VLOOKUP(P114,COPY!$A$1:$L$1000,4,FALSE),0)</f>
        <v>0</v>
      </c>
      <c r="H114" s="457">
        <f>IFERROR(VLOOKUP(P114,COPY!$A$1:$L$1000,2,FALSE),0)</f>
        <v>0</v>
      </c>
      <c r="I114" s="510">
        <f>IFERROR(VLOOKUP(P114,COPY!$A$1:$L$1000,10,FALSE),0)</f>
        <v>0</v>
      </c>
      <c r="J114" s="467">
        <f>IFERROR(VLOOKUP(P114,COPY!$A$1:$L$1000,8,FALSE),0)</f>
        <v>0</v>
      </c>
      <c r="K114" s="457">
        <f>IFERROR(VLOOKUP(P114,COPY!$A$1:$L$1000,7,FALSE),0)</f>
        <v>0</v>
      </c>
      <c r="L114" s="468">
        <f>IFERROR(VLOOKUP(P114,COPY!$A$1:$O$1000,15,FALSE),0)</f>
        <v>0</v>
      </c>
      <c r="M114" s="468">
        <f>IFERROR(VLOOKUP(P114,COPY!$A$1:$L$1000,12,FALSE),0)</f>
        <v>0</v>
      </c>
      <c r="N114" s="471">
        <f>IF(H114="Jasa",VLOOKUP('BKU 2'!K114,'Rekap Gaji'!$D$12:$I$26,6,FALSE),(IF(H114="Beli",VLOOKUP(P114,COPY!$A$1:$L$1000,11,FALSE),IF(H114="Bayar Ongkos",VLOOKUP(K114,'Rekap Gaji'!$D$12:$I$26,6,FALSE),0))))</f>
        <v>0</v>
      </c>
      <c r="O114" s="470"/>
      <c r="P114" s="466" t="str">
        <f t="shared" si="6"/>
        <v/>
      </c>
      <c r="Q114" s="253">
        <f t="shared" si="8"/>
        <v>0</v>
      </c>
      <c r="R114" s="253">
        <f t="shared" si="9"/>
        <v>0</v>
      </c>
      <c r="S114" s="449">
        <f t="shared" si="10"/>
        <v>83</v>
      </c>
      <c r="T114" s="253">
        <f t="shared" si="11"/>
        <v>5</v>
      </c>
      <c r="U114" s="457" t="str">
        <f t="shared" si="7"/>
        <v xml:space="preserve"> </v>
      </c>
    </row>
    <row r="115" spans="1:21" ht="20.100000000000001" hidden="1" customHeight="1" x14ac:dyDescent="0.25">
      <c r="A115" s="470"/>
      <c r="B115" s="456">
        <f>IF(LEFT(C115,16)="Terima Pajak PPN",VLOOKUP(P115,COPY!$A$1:$AC$1000,21,FALSE),IF(LEFT(C115,16)="Terima Pajak PPH",VLOOKUP(P115,COPY!$A$1:$AC$1000,21,FALSE),IF(LEFT(C115,13)="Terima PPh 23",VLOOKUP(P115,COPY!$A$1:$AC$1000,21,FALSE),0)))</f>
        <v>0</v>
      </c>
      <c r="C115" s="457">
        <f>IFERROR(IF(LEFT(VLOOKUP(P115,COPY!$A$1:$AC$1000,29,FALSE),5)="Terim",VLOOKUP(P115,COPY!$A$1:$AC$1000,29,FALSE),0),0)</f>
        <v>0</v>
      </c>
      <c r="D115" s="457"/>
      <c r="E115" s="457"/>
      <c r="F115" s="458">
        <f>IFERROR(IF(LEFT(VLOOKUP(P115,COPY!$A$1:$AC$1000,29,FALSE),5)="Terim",VLOOKUP(P115,COPY!$A$1:$AC$1000,26,FALSE),0),0)</f>
        <v>0</v>
      </c>
      <c r="G115" s="459">
        <f>IFERROR(VLOOKUP(P115,COPY!$A$1:$L$1000,4,FALSE),0)</f>
        <v>0</v>
      </c>
      <c r="H115" s="457">
        <f>IFERROR(VLOOKUP(P115,COPY!$A$1:$L$1000,2,FALSE),0)</f>
        <v>0</v>
      </c>
      <c r="I115" s="510">
        <f>IFERROR(VLOOKUP(P115,COPY!$A$1:$L$1000,10,FALSE),0)</f>
        <v>0</v>
      </c>
      <c r="J115" s="467">
        <f>IFERROR(VLOOKUP(P115,COPY!$A$1:$L$1000,8,FALSE),0)</f>
        <v>0</v>
      </c>
      <c r="K115" s="457">
        <f>IFERROR(VLOOKUP(P115,COPY!$A$1:$L$1000,7,FALSE),0)</f>
        <v>0</v>
      </c>
      <c r="L115" s="468">
        <f>IFERROR(VLOOKUP(P115,COPY!$A$1:$O$1000,15,FALSE),0)</f>
        <v>0</v>
      </c>
      <c r="M115" s="468">
        <f>IFERROR(VLOOKUP(P115,COPY!$A$1:$L$1000,12,FALSE),0)</f>
        <v>0</v>
      </c>
      <c r="N115" s="471">
        <f>IF(H115="Jasa",VLOOKUP('BKU 2'!K115,'Rekap Gaji'!$D$12:$I$26,6,FALSE),(IF(H115="Beli",VLOOKUP(P115,COPY!$A$1:$L$1000,11,FALSE),IF(H115="Bayar Ongkos",VLOOKUP(K115,'Rekap Gaji'!$D$12:$I$26,6,FALSE),0))))</f>
        <v>0</v>
      </c>
      <c r="O115" s="470"/>
      <c r="P115" s="466" t="str">
        <f t="shared" si="6"/>
        <v/>
      </c>
      <c r="Q115" s="253">
        <f t="shared" si="8"/>
        <v>0</v>
      </c>
      <c r="R115" s="253">
        <f t="shared" si="9"/>
        <v>0</v>
      </c>
      <c r="S115" s="449">
        <f t="shared" si="10"/>
        <v>84</v>
      </c>
      <c r="T115" s="253">
        <f t="shared" si="11"/>
        <v>6</v>
      </c>
      <c r="U115" s="457" t="str">
        <f t="shared" si="7"/>
        <v xml:space="preserve"> </v>
      </c>
    </row>
    <row r="116" spans="1:21" ht="20.100000000000001" hidden="1" customHeight="1" x14ac:dyDescent="0.25">
      <c r="A116" s="470"/>
      <c r="B116" s="456">
        <f>IF(LEFT(C116,16)="Terima Pajak PPN",VLOOKUP(P116,COPY!$A$1:$AC$1000,21,FALSE),IF(LEFT(C116,16)="Terima Pajak PPH",VLOOKUP(P116,COPY!$A$1:$AC$1000,21,FALSE),IF(LEFT(C116,13)="Terima PPh 23",VLOOKUP(P116,COPY!$A$1:$AC$1000,21,FALSE),0)))</f>
        <v>0</v>
      </c>
      <c r="C116" s="457">
        <f>IFERROR(IF(LEFT(VLOOKUP(P116,COPY!$A$1:$AC$1000,29,FALSE),5)="Terim",VLOOKUP(P116,COPY!$A$1:$AC$1000,29,FALSE),0),0)</f>
        <v>0</v>
      </c>
      <c r="D116" s="457"/>
      <c r="E116" s="457"/>
      <c r="F116" s="458">
        <f>IFERROR(IF(LEFT(VLOOKUP(P116,COPY!$A$1:$AC$1000,29,FALSE),5)="Terim",VLOOKUP(P116,COPY!$A$1:$AC$1000,26,FALSE),0),0)</f>
        <v>0</v>
      </c>
      <c r="G116" s="459">
        <f>IFERROR(VLOOKUP(P116,COPY!$A$1:$L$1000,4,FALSE),0)</f>
        <v>0</v>
      </c>
      <c r="H116" s="457">
        <f>IFERROR(VLOOKUP(P116,COPY!$A$1:$L$1000,2,FALSE),0)</f>
        <v>0</v>
      </c>
      <c r="I116" s="510">
        <f>IFERROR(VLOOKUP(P116,COPY!$A$1:$L$1000,10,FALSE),0)</f>
        <v>0</v>
      </c>
      <c r="J116" s="467">
        <f>IFERROR(VLOOKUP(P116,COPY!$A$1:$L$1000,8,FALSE),0)</f>
        <v>0</v>
      </c>
      <c r="K116" s="457">
        <f>IFERROR(VLOOKUP(P116,COPY!$A$1:$L$1000,7,FALSE),0)</f>
        <v>0</v>
      </c>
      <c r="L116" s="468">
        <f>IFERROR(VLOOKUP(P116,COPY!$A$1:$O$1000,15,FALSE),0)</f>
        <v>0</v>
      </c>
      <c r="M116" s="468">
        <f>IFERROR(VLOOKUP(P116,COPY!$A$1:$L$1000,12,FALSE),0)</f>
        <v>0</v>
      </c>
      <c r="N116" s="471">
        <f>IF(H116="Jasa",VLOOKUP('BKU 2'!K116,'Rekap Gaji'!$D$12:$I$26,6,FALSE),(IF(H116="Beli",VLOOKUP(P116,COPY!$A$1:$L$1000,11,FALSE),IF(H116="Bayar Ongkos",VLOOKUP(K116,'Rekap Gaji'!$D$12:$I$26,6,FALSE),0))))</f>
        <v>0</v>
      </c>
      <c r="O116" s="470"/>
      <c r="P116" s="466" t="str">
        <f t="shared" si="6"/>
        <v/>
      </c>
      <c r="Q116" s="253">
        <f t="shared" si="8"/>
        <v>0</v>
      </c>
      <c r="R116" s="253">
        <f t="shared" si="9"/>
        <v>0</v>
      </c>
      <c r="S116" s="449">
        <f t="shared" si="10"/>
        <v>85</v>
      </c>
      <c r="T116" s="253">
        <f t="shared" si="11"/>
        <v>7</v>
      </c>
      <c r="U116" s="457" t="str">
        <f t="shared" si="7"/>
        <v xml:space="preserve"> </v>
      </c>
    </row>
    <row r="117" spans="1:21" ht="20.100000000000001" hidden="1" customHeight="1" x14ac:dyDescent="0.25">
      <c r="A117" s="470"/>
      <c r="B117" s="456">
        <f>IF(LEFT(C117,16)="Terima Pajak PPN",VLOOKUP(P117,COPY!$A$1:$AC$1000,21,FALSE),IF(LEFT(C117,16)="Terima Pajak PPH",VLOOKUP(P117,COPY!$A$1:$AC$1000,21,FALSE),IF(LEFT(C117,13)="Terima PPh 23",VLOOKUP(P117,COPY!$A$1:$AC$1000,21,FALSE),0)))</f>
        <v>0</v>
      </c>
      <c r="C117" s="457">
        <f>IFERROR(IF(LEFT(VLOOKUP(P117,COPY!$A$1:$AC$1000,29,FALSE),5)="Terim",VLOOKUP(P117,COPY!$A$1:$AC$1000,29,FALSE),0),0)</f>
        <v>0</v>
      </c>
      <c r="D117" s="457"/>
      <c r="E117" s="457"/>
      <c r="F117" s="458">
        <f>IFERROR(IF(LEFT(VLOOKUP(P117,COPY!$A$1:$AC$1000,29,FALSE),5)="Terim",VLOOKUP(P117,COPY!$A$1:$AC$1000,26,FALSE),0),0)</f>
        <v>0</v>
      </c>
      <c r="G117" s="459">
        <f>IFERROR(VLOOKUP(P117,COPY!$A$1:$L$1000,4,FALSE),0)</f>
        <v>0</v>
      </c>
      <c r="H117" s="457">
        <f>IFERROR(VLOOKUP(P117,COPY!$A$1:$L$1000,2,FALSE),0)</f>
        <v>0</v>
      </c>
      <c r="I117" s="510">
        <f>IFERROR(VLOOKUP(P117,COPY!$A$1:$L$1000,10,FALSE),0)</f>
        <v>0</v>
      </c>
      <c r="J117" s="467">
        <f>IFERROR(VLOOKUP(P117,COPY!$A$1:$L$1000,8,FALSE),0)</f>
        <v>0</v>
      </c>
      <c r="K117" s="457">
        <f>IFERROR(VLOOKUP(P117,COPY!$A$1:$L$1000,7,FALSE),0)</f>
        <v>0</v>
      </c>
      <c r="L117" s="468">
        <f>IFERROR(VLOOKUP(P117,COPY!$A$1:$O$1000,15,FALSE),0)</f>
        <v>0</v>
      </c>
      <c r="M117" s="468">
        <f>IFERROR(VLOOKUP(P117,COPY!$A$1:$L$1000,12,FALSE),0)</f>
        <v>0</v>
      </c>
      <c r="N117" s="471">
        <f>IF(H117="Jasa",VLOOKUP('BKU 2'!K117,'Rekap Gaji'!$D$12:$I$26,6,FALSE),(IF(H117="Beli",VLOOKUP(P117,COPY!$A$1:$L$1000,11,FALSE),IF(H117="Bayar Ongkos",VLOOKUP(K117,'Rekap Gaji'!$D$12:$I$26,6,FALSE),0))))</f>
        <v>0</v>
      </c>
      <c r="O117" s="470"/>
      <c r="P117" s="466" t="str">
        <f t="shared" si="6"/>
        <v/>
      </c>
      <c r="Q117" s="253">
        <f t="shared" si="8"/>
        <v>0</v>
      </c>
      <c r="R117" s="253">
        <f t="shared" si="9"/>
        <v>0</v>
      </c>
      <c r="S117" s="449">
        <f t="shared" si="10"/>
        <v>86</v>
      </c>
      <c r="T117" s="253">
        <f t="shared" si="11"/>
        <v>8</v>
      </c>
      <c r="U117" s="457" t="str">
        <f t="shared" si="7"/>
        <v xml:space="preserve"> </v>
      </c>
    </row>
    <row r="118" spans="1:21" ht="20.100000000000001" hidden="1" customHeight="1" x14ac:dyDescent="0.25">
      <c r="A118" s="470"/>
      <c r="B118" s="456">
        <f>IF(LEFT(C118,16)="Terima Pajak PPN",VLOOKUP(P118,COPY!$A$1:$AC$1000,21,FALSE),IF(LEFT(C118,16)="Terima Pajak PPH",VLOOKUP(P118,COPY!$A$1:$AC$1000,21,FALSE),IF(LEFT(C118,13)="Terima PPh 23",VLOOKUP(P118,COPY!$A$1:$AC$1000,21,FALSE),0)))</f>
        <v>0</v>
      </c>
      <c r="C118" s="457">
        <f>IFERROR(IF(LEFT(VLOOKUP(P118,COPY!$A$1:$AC$1000,29,FALSE),5)="Terim",VLOOKUP(P118,COPY!$A$1:$AC$1000,29,FALSE),0),0)</f>
        <v>0</v>
      </c>
      <c r="D118" s="457"/>
      <c r="E118" s="457"/>
      <c r="F118" s="458">
        <f>IFERROR(IF(LEFT(VLOOKUP(P118,COPY!$A$1:$AC$1000,29,FALSE),5)="Terim",VLOOKUP(P118,COPY!$A$1:$AC$1000,26,FALSE),0),0)</f>
        <v>0</v>
      </c>
      <c r="G118" s="459">
        <f>IFERROR(VLOOKUP(P118,COPY!$A$1:$L$1000,4,FALSE),0)</f>
        <v>0</v>
      </c>
      <c r="H118" s="457">
        <f>IFERROR(VLOOKUP(P118,COPY!$A$1:$L$1000,2,FALSE),0)</f>
        <v>0</v>
      </c>
      <c r="I118" s="510">
        <f>IFERROR(VLOOKUP(P118,COPY!$A$1:$L$1000,10,FALSE),0)</f>
        <v>0</v>
      </c>
      <c r="J118" s="467">
        <f>IFERROR(VLOOKUP(P118,COPY!$A$1:$L$1000,8,FALSE),0)</f>
        <v>0</v>
      </c>
      <c r="K118" s="457">
        <f>IFERROR(VLOOKUP(P118,COPY!$A$1:$L$1000,7,FALSE),0)</f>
        <v>0</v>
      </c>
      <c r="L118" s="468">
        <f>IFERROR(VLOOKUP(P118,COPY!$A$1:$O$1000,15,FALSE),0)</f>
        <v>0</v>
      </c>
      <c r="M118" s="468">
        <f>IFERROR(VLOOKUP(P118,COPY!$A$1:$L$1000,12,FALSE),0)</f>
        <v>0</v>
      </c>
      <c r="N118" s="471">
        <f>IF(H118="Jasa",VLOOKUP('BKU 2'!K118,'Rekap Gaji'!$D$12:$I$26,6,FALSE),(IF(H118="Beli",VLOOKUP(P118,COPY!$A$1:$L$1000,11,FALSE),IF(H118="Bayar Ongkos",VLOOKUP(K118,'Rekap Gaji'!$D$12:$I$26,6,FALSE),0))))</f>
        <v>0</v>
      </c>
      <c r="O118" s="470"/>
      <c r="P118" s="466" t="str">
        <f t="shared" si="6"/>
        <v/>
      </c>
      <c r="Q118" s="253">
        <f t="shared" si="8"/>
        <v>0</v>
      </c>
      <c r="R118" s="253">
        <f t="shared" si="9"/>
        <v>0</v>
      </c>
      <c r="S118" s="449">
        <f t="shared" si="10"/>
        <v>87</v>
      </c>
      <c r="T118" s="253">
        <f t="shared" si="11"/>
        <v>9</v>
      </c>
      <c r="U118" s="457" t="str">
        <f t="shared" si="7"/>
        <v xml:space="preserve"> </v>
      </c>
    </row>
    <row r="119" spans="1:21" ht="20.100000000000001" hidden="1" customHeight="1" x14ac:dyDescent="0.25">
      <c r="A119" s="470"/>
      <c r="B119" s="456">
        <f>IF(LEFT(C119,16)="Terima Pajak PPN",VLOOKUP(P119,COPY!$A$1:$AC$1000,21,FALSE),IF(LEFT(C119,16)="Terima Pajak PPH",VLOOKUP(P119,COPY!$A$1:$AC$1000,21,FALSE),IF(LEFT(C119,13)="Terima PPh 23",VLOOKUP(P119,COPY!$A$1:$AC$1000,21,FALSE),0)))</f>
        <v>0</v>
      </c>
      <c r="C119" s="457">
        <f>IFERROR(IF(LEFT(VLOOKUP(P119,COPY!$A$1:$AC$1000,29,FALSE),5)="Terim",VLOOKUP(P119,COPY!$A$1:$AC$1000,29,FALSE),0),0)</f>
        <v>0</v>
      </c>
      <c r="D119" s="457"/>
      <c r="E119" s="457"/>
      <c r="F119" s="458">
        <f>IFERROR(IF(LEFT(VLOOKUP(P119,COPY!$A$1:$AC$1000,29,FALSE),5)="Terim",VLOOKUP(P119,COPY!$A$1:$AC$1000,26,FALSE),0),0)</f>
        <v>0</v>
      </c>
      <c r="G119" s="459">
        <f>IFERROR(VLOOKUP(P119,COPY!$A$1:$L$1000,4,FALSE),0)</f>
        <v>0</v>
      </c>
      <c r="H119" s="457">
        <f>IFERROR(VLOOKUP(P119,COPY!$A$1:$L$1000,2,FALSE),0)</f>
        <v>0</v>
      </c>
      <c r="I119" s="510">
        <f>IFERROR(VLOOKUP(P119,COPY!$A$1:$L$1000,10,FALSE),0)</f>
        <v>0</v>
      </c>
      <c r="J119" s="467">
        <f>IFERROR(VLOOKUP(P119,COPY!$A$1:$L$1000,8,FALSE),0)</f>
        <v>0</v>
      </c>
      <c r="K119" s="457">
        <f>IFERROR(VLOOKUP(P119,COPY!$A$1:$L$1000,7,FALSE),0)</f>
        <v>0</v>
      </c>
      <c r="L119" s="468">
        <f>IFERROR(VLOOKUP(P119,COPY!$A$1:$O$1000,15,FALSE),0)</f>
        <v>0</v>
      </c>
      <c r="M119" s="468">
        <f>IFERROR(VLOOKUP(P119,COPY!$A$1:$L$1000,12,FALSE),0)</f>
        <v>0</v>
      </c>
      <c r="N119" s="471">
        <f>IF(H119="Jasa",VLOOKUP('BKU 2'!K119,'Rekap Gaji'!$D$12:$I$26,6,FALSE),(IF(H119="Beli",VLOOKUP(P119,COPY!$A$1:$L$1000,11,FALSE),IF(H119="Bayar Ongkos",VLOOKUP(K119,'Rekap Gaji'!$D$12:$I$26,6,FALSE),0))))</f>
        <v>0</v>
      </c>
      <c r="O119" s="470"/>
      <c r="P119" s="466" t="str">
        <f t="shared" si="6"/>
        <v/>
      </c>
      <c r="Q119" s="253">
        <f t="shared" si="8"/>
        <v>0</v>
      </c>
      <c r="R119" s="253">
        <f t="shared" si="9"/>
        <v>0</v>
      </c>
      <c r="S119" s="449">
        <f t="shared" si="10"/>
        <v>88</v>
      </c>
      <c r="T119" s="253">
        <f t="shared" si="11"/>
        <v>10</v>
      </c>
      <c r="U119" s="457" t="str">
        <f t="shared" si="7"/>
        <v xml:space="preserve"> </v>
      </c>
    </row>
    <row r="120" spans="1:21" ht="20.100000000000001" hidden="1" customHeight="1" x14ac:dyDescent="0.25">
      <c r="A120" s="470"/>
      <c r="B120" s="456">
        <f>IF(LEFT(C120,16)="Terima Pajak PPN",VLOOKUP(P120,COPY!$A$1:$AC$1000,21,FALSE),IF(LEFT(C120,16)="Terima Pajak PPH",VLOOKUP(P120,COPY!$A$1:$AC$1000,21,FALSE),IF(LEFT(C120,13)="Terima PPh 23",VLOOKUP(P120,COPY!$A$1:$AC$1000,21,FALSE),0)))</f>
        <v>0</v>
      </c>
      <c r="C120" s="457">
        <f>IFERROR(IF(LEFT(VLOOKUP(P120,COPY!$A$1:$AC$1000,29,FALSE),5)="Terim",VLOOKUP(P120,COPY!$A$1:$AC$1000,29,FALSE),0),0)</f>
        <v>0</v>
      </c>
      <c r="D120" s="457"/>
      <c r="E120" s="457"/>
      <c r="F120" s="458">
        <f>IFERROR(IF(LEFT(VLOOKUP(P120,COPY!$A$1:$AC$1000,29,FALSE),5)="Terim",VLOOKUP(P120,COPY!$A$1:$AC$1000,26,FALSE),0),0)</f>
        <v>0</v>
      </c>
      <c r="G120" s="459">
        <f>IFERROR(VLOOKUP(P120,COPY!$A$1:$L$1000,4,FALSE),0)</f>
        <v>0</v>
      </c>
      <c r="H120" s="457">
        <f>IFERROR(VLOOKUP(P120,COPY!$A$1:$L$1000,2,FALSE),0)</f>
        <v>0</v>
      </c>
      <c r="I120" s="510">
        <f>IFERROR(VLOOKUP(P120,COPY!$A$1:$L$1000,10,FALSE),0)</f>
        <v>0</v>
      </c>
      <c r="J120" s="467">
        <f>IFERROR(VLOOKUP(P120,COPY!$A$1:$L$1000,8,FALSE),0)</f>
        <v>0</v>
      </c>
      <c r="K120" s="457">
        <f>IFERROR(VLOOKUP(P120,COPY!$A$1:$L$1000,7,FALSE),0)</f>
        <v>0</v>
      </c>
      <c r="L120" s="468">
        <f>IFERROR(VLOOKUP(P120,COPY!$A$1:$O$1000,15,FALSE),0)</f>
        <v>0</v>
      </c>
      <c r="M120" s="468">
        <f>IFERROR(VLOOKUP(P120,COPY!$A$1:$L$1000,12,FALSE),0)</f>
        <v>0</v>
      </c>
      <c r="N120" s="471">
        <f>IF(H120="Jasa",VLOOKUP('BKU 2'!K120,'Rekap Gaji'!$D$12:$I$26,6,FALSE),(IF(H120="Beli",VLOOKUP(P120,COPY!$A$1:$L$1000,11,FALSE),IF(H120="Bayar Ongkos",VLOOKUP(K120,'Rekap Gaji'!$D$12:$I$26,6,FALSE),0))))</f>
        <v>0</v>
      </c>
      <c r="O120" s="470"/>
      <c r="P120" s="466" t="str">
        <f t="shared" si="6"/>
        <v/>
      </c>
      <c r="Q120" s="253">
        <f t="shared" si="8"/>
        <v>0</v>
      </c>
      <c r="R120" s="253">
        <f t="shared" si="9"/>
        <v>0</v>
      </c>
      <c r="S120" s="449">
        <f t="shared" si="10"/>
        <v>89</v>
      </c>
      <c r="T120" s="253">
        <f t="shared" si="11"/>
        <v>11</v>
      </c>
      <c r="U120" s="457" t="str">
        <f t="shared" si="7"/>
        <v xml:space="preserve"> </v>
      </c>
    </row>
    <row r="121" spans="1:21" ht="20.100000000000001" hidden="1" customHeight="1" x14ac:dyDescent="0.25">
      <c r="A121" s="470"/>
      <c r="B121" s="456">
        <f>IF(LEFT(C121,16)="Terima Pajak PPN",VLOOKUP(P121,COPY!$A$1:$AC$1000,21,FALSE),IF(LEFT(C121,16)="Terima Pajak PPH",VLOOKUP(P121,COPY!$A$1:$AC$1000,21,FALSE),IF(LEFT(C121,13)="Terima PPh 23",VLOOKUP(P121,COPY!$A$1:$AC$1000,21,FALSE),0)))</f>
        <v>0</v>
      </c>
      <c r="C121" s="457">
        <f>IFERROR(IF(LEFT(VLOOKUP(P121,COPY!$A$1:$AC$1000,29,FALSE),5)="Terim",VLOOKUP(P121,COPY!$A$1:$AC$1000,29,FALSE),0),0)</f>
        <v>0</v>
      </c>
      <c r="D121" s="457"/>
      <c r="E121" s="457"/>
      <c r="F121" s="458">
        <f>IFERROR(IF(LEFT(VLOOKUP(P121,COPY!$A$1:$AC$1000,29,FALSE),5)="Terim",VLOOKUP(P121,COPY!$A$1:$AC$1000,26,FALSE),0),0)</f>
        <v>0</v>
      </c>
      <c r="G121" s="459">
        <f>IFERROR(VLOOKUP(P121,COPY!$A$1:$L$1000,4,FALSE),0)</f>
        <v>0</v>
      </c>
      <c r="H121" s="457">
        <f>IFERROR(VLOOKUP(P121,COPY!$A$1:$L$1000,2,FALSE),0)</f>
        <v>0</v>
      </c>
      <c r="I121" s="510">
        <f>IFERROR(VLOOKUP(P121,COPY!$A$1:$L$1000,10,FALSE),0)</f>
        <v>0</v>
      </c>
      <c r="J121" s="467">
        <f>IFERROR(VLOOKUP(P121,COPY!$A$1:$L$1000,8,FALSE),0)</f>
        <v>0</v>
      </c>
      <c r="K121" s="457">
        <f>IFERROR(VLOOKUP(P121,COPY!$A$1:$L$1000,7,FALSE),0)</f>
        <v>0</v>
      </c>
      <c r="L121" s="468">
        <f>IFERROR(VLOOKUP(P121,COPY!$A$1:$O$1000,15,FALSE),0)</f>
        <v>0</v>
      </c>
      <c r="M121" s="468">
        <f>IFERROR(VLOOKUP(P121,COPY!$A$1:$L$1000,12,FALSE),0)</f>
        <v>0</v>
      </c>
      <c r="N121" s="471">
        <f>IF(H121="Jasa",VLOOKUP('BKU 2'!K121,'Rekap Gaji'!$D$12:$I$26,6,FALSE),(IF(H121="Beli",VLOOKUP(P121,COPY!$A$1:$L$1000,11,FALSE),IF(H121="Bayar Ongkos",VLOOKUP(K121,'Rekap Gaji'!$D$12:$I$26,6,FALSE),0))))</f>
        <v>0</v>
      </c>
      <c r="O121" s="470"/>
      <c r="P121" s="466" t="str">
        <f t="shared" si="6"/>
        <v/>
      </c>
      <c r="Q121" s="253">
        <f t="shared" si="8"/>
        <v>0</v>
      </c>
      <c r="R121" s="253">
        <f t="shared" si="9"/>
        <v>0</v>
      </c>
      <c r="S121" s="449">
        <f t="shared" si="10"/>
        <v>90</v>
      </c>
      <c r="T121" s="253">
        <f t="shared" si="11"/>
        <v>12</v>
      </c>
      <c r="U121" s="457" t="str">
        <f t="shared" si="7"/>
        <v xml:space="preserve"> </v>
      </c>
    </row>
    <row r="122" spans="1:21" ht="20.100000000000001" hidden="1" customHeight="1" x14ac:dyDescent="0.25">
      <c r="A122" s="470"/>
      <c r="B122" s="456">
        <f>IF(LEFT(C122,16)="Terima Pajak PPN",VLOOKUP(P122,COPY!$A$1:$AC$1000,21,FALSE),IF(LEFT(C122,16)="Terima Pajak PPH",VLOOKUP(P122,COPY!$A$1:$AC$1000,21,FALSE),IF(LEFT(C122,13)="Terima PPh 23",VLOOKUP(P122,COPY!$A$1:$AC$1000,21,FALSE),0)))</f>
        <v>0</v>
      </c>
      <c r="C122" s="457">
        <f>IFERROR(IF(LEFT(VLOOKUP(P122,COPY!$A$1:$AC$1000,29,FALSE),5)="Terim",VLOOKUP(P122,COPY!$A$1:$AC$1000,29,FALSE),0),0)</f>
        <v>0</v>
      </c>
      <c r="D122" s="457"/>
      <c r="E122" s="457"/>
      <c r="F122" s="458">
        <f>IFERROR(IF(LEFT(VLOOKUP(P122,COPY!$A$1:$AC$1000,29,FALSE),5)="Terim",VLOOKUP(P122,COPY!$A$1:$AC$1000,26,FALSE),0),0)</f>
        <v>0</v>
      </c>
      <c r="G122" s="459">
        <f>IFERROR(VLOOKUP(P122,COPY!$A$1:$L$1000,4,FALSE),0)</f>
        <v>0</v>
      </c>
      <c r="H122" s="457">
        <f>IFERROR(VLOOKUP(P122,COPY!$A$1:$L$1000,2,FALSE),0)</f>
        <v>0</v>
      </c>
      <c r="I122" s="510">
        <f>IFERROR(VLOOKUP(P122,COPY!$A$1:$L$1000,10,FALSE),0)</f>
        <v>0</v>
      </c>
      <c r="J122" s="467">
        <f>IFERROR(VLOOKUP(P122,COPY!$A$1:$L$1000,8,FALSE),0)</f>
        <v>0</v>
      </c>
      <c r="K122" s="457">
        <f>IFERROR(VLOOKUP(P122,COPY!$A$1:$L$1000,7,FALSE),0)</f>
        <v>0</v>
      </c>
      <c r="L122" s="468">
        <f>IFERROR(VLOOKUP(P122,COPY!$A$1:$O$1000,15,FALSE),0)</f>
        <v>0</v>
      </c>
      <c r="M122" s="468">
        <f>IFERROR(VLOOKUP(P122,COPY!$A$1:$L$1000,12,FALSE),0)</f>
        <v>0</v>
      </c>
      <c r="N122" s="471">
        <f>IF(H122="Jasa",VLOOKUP('BKU 2'!K122,'Rekap Gaji'!$D$12:$I$26,6,FALSE),(IF(H122="Beli",VLOOKUP(P122,COPY!$A$1:$L$1000,11,FALSE),IF(H122="Bayar Ongkos",VLOOKUP(K122,'Rekap Gaji'!$D$12:$I$26,6,FALSE),0))))</f>
        <v>0</v>
      </c>
      <c r="O122" s="470"/>
      <c r="P122" s="466" t="str">
        <f t="shared" si="6"/>
        <v/>
      </c>
      <c r="Q122" s="253">
        <f t="shared" si="8"/>
        <v>0</v>
      </c>
      <c r="R122" s="253">
        <f t="shared" si="9"/>
        <v>0</v>
      </c>
      <c r="S122" s="449">
        <f t="shared" si="10"/>
        <v>91</v>
      </c>
      <c r="T122" s="253">
        <f t="shared" si="11"/>
        <v>13</v>
      </c>
      <c r="U122" s="457" t="str">
        <f t="shared" si="7"/>
        <v xml:space="preserve"> </v>
      </c>
    </row>
    <row r="123" spans="1:21" ht="20.100000000000001" hidden="1" customHeight="1" x14ac:dyDescent="0.25">
      <c r="A123" s="470"/>
      <c r="B123" s="456">
        <f>IF(LEFT(C123,16)="Terima Pajak PPN",VLOOKUP(P123,COPY!$A$1:$AC$1000,21,FALSE),IF(LEFT(C123,16)="Terima Pajak PPH",VLOOKUP(P123,COPY!$A$1:$AC$1000,21,FALSE),IF(LEFT(C123,13)="Terima PPh 23",VLOOKUP(P123,COPY!$A$1:$AC$1000,21,FALSE),0)))</f>
        <v>0</v>
      </c>
      <c r="C123" s="457">
        <f>IFERROR(IF(LEFT(VLOOKUP(P123,COPY!$A$1:$AC$1000,29,FALSE),5)="Terim",VLOOKUP(P123,COPY!$A$1:$AC$1000,29,FALSE),0),0)</f>
        <v>0</v>
      </c>
      <c r="D123" s="457"/>
      <c r="E123" s="457"/>
      <c r="F123" s="458">
        <f>IFERROR(IF(LEFT(VLOOKUP(P123,COPY!$A$1:$AC$1000,29,FALSE),5)="Terim",VLOOKUP(P123,COPY!$A$1:$AC$1000,26,FALSE),0),0)</f>
        <v>0</v>
      </c>
      <c r="G123" s="459">
        <f>IFERROR(VLOOKUP(P123,COPY!$A$1:$L$1000,4,FALSE),0)</f>
        <v>0</v>
      </c>
      <c r="H123" s="457">
        <f>IFERROR(VLOOKUP(P123,COPY!$A$1:$L$1000,2,FALSE),0)</f>
        <v>0</v>
      </c>
      <c r="I123" s="510">
        <f>IFERROR(VLOOKUP(P123,COPY!$A$1:$L$1000,10,FALSE),0)</f>
        <v>0</v>
      </c>
      <c r="J123" s="467">
        <f>IFERROR(VLOOKUP(P123,COPY!$A$1:$L$1000,8,FALSE),0)</f>
        <v>0</v>
      </c>
      <c r="K123" s="457">
        <f>IFERROR(VLOOKUP(P123,COPY!$A$1:$L$1000,7,FALSE),0)</f>
        <v>0</v>
      </c>
      <c r="L123" s="468">
        <f>IFERROR(VLOOKUP(P123,COPY!$A$1:$O$1000,15,FALSE),0)</f>
        <v>0</v>
      </c>
      <c r="M123" s="468">
        <f>IFERROR(VLOOKUP(P123,COPY!$A$1:$L$1000,12,FALSE),0)</f>
        <v>0</v>
      </c>
      <c r="N123" s="471">
        <f>IF(H123="Jasa",VLOOKUP('BKU 2'!K123,'Rekap Gaji'!$D$12:$I$26,6,FALSE),(IF(H123="Beli",VLOOKUP(P123,COPY!$A$1:$L$1000,11,FALSE),IF(H123="Bayar Ongkos",VLOOKUP(K123,'Rekap Gaji'!$D$12:$I$26,6,FALSE),0))))</f>
        <v>0</v>
      </c>
      <c r="O123" s="470"/>
      <c r="P123" s="466" t="str">
        <f t="shared" si="6"/>
        <v/>
      </c>
      <c r="Q123" s="253">
        <f t="shared" si="8"/>
        <v>0</v>
      </c>
      <c r="R123" s="253">
        <f t="shared" si="9"/>
        <v>0</v>
      </c>
      <c r="S123" s="449">
        <f t="shared" si="10"/>
        <v>92</v>
      </c>
      <c r="T123" s="253">
        <f t="shared" si="11"/>
        <v>14</v>
      </c>
      <c r="U123" s="457" t="str">
        <f t="shared" si="7"/>
        <v xml:space="preserve"> </v>
      </c>
    </row>
    <row r="124" spans="1:21" ht="20.100000000000001" hidden="1" customHeight="1" x14ac:dyDescent="0.25">
      <c r="A124" s="470"/>
      <c r="B124" s="456">
        <f>IF(LEFT(C124,16)="Terima Pajak PPN",VLOOKUP(P124,COPY!$A$1:$AC$1000,21,FALSE),IF(LEFT(C124,16)="Terima Pajak PPH",VLOOKUP(P124,COPY!$A$1:$AC$1000,21,FALSE),IF(LEFT(C124,13)="Terima PPh 23",VLOOKUP(P124,COPY!$A$1:$AC$1000,21,FALSE),0)))</f>
        <v>0</v>
      </c>
      <c r="C124" s="457">
        <f>IFERROR(IF(LEFT(VLOOKUP(P124,COPY!$A$1:$AC$1000,29,FALSE),5)="Terim",VLOOKUP(P124,COPY!$A$1:$AC$1000,29,FALSE),0),0)</f>
        <v>0</v>
      </c>
      <c r="D124" s="457"/>
      <c r="E124" s="457"/>
      <c r="F124" s="458">
        <f>IFERROR(IF(LEFT(VLOOKUP(P124,COPY!$A$1:$AC$1000,29,FALSE),5)="Terim",VLOOKUP(P124,COPY!$A$1:$AC$1000,26,FALSE),0),0)</f>
        <v>0</v>
      </c>
      <c r="G124" s="459">
        <f>IFERROR(VLOOKUP(P124,COPY!$A$1:$L$1000,4,FALSE),0)</f>
        <v>0</v>
      </c>
      <c r="H124" s="457">
        <f>IFERROR(VLOOKUP(P124,COPY!$A$1:$L$1000,2,FALSE),0)</f>
        <v>0</v>
      </c>
      <c r="I124" s="510">
        <f>IFERROR(VLOOKUP(P124,COPY!$A$1:$L$1000,10,FALSE),0)</f>
        <v>0</v>
      </c>
      <c r="J124" s="467">
        <f>IFERROR(VLOOKUP(P124,COPY!$A$1:$L$1000,8,FALSE),0)</f>
        <v>0</v>
      </c>
      <c r="K124" s="457">
        <f>IFERROR(VLOOKUP(P124,COPY!$A$1:$L$1000,7,FALSE),0)</f>
        <v>0</v>
      </c>
      <c r="L124" s="468">
        <f>IFERROR(VLOOKUP(P124,COPY!$A$1:$O$1000,15,FALSE),0)</f>
        <v>0</v>
      </c>
      <c r="M124" s="468">
        <f>IFERROR(VLOOKUP(P124,COPY!$A$1:$L$1000,12,FALSE),0)</f>
        <v>0</v>
      </c>
      <c r="N124" s="471">
        <f>IF(H124="Jasa",VLOOKUP('BKU 2'!K124,'Rekap Gaji'!$D$12:$I$26,6,FALSE),(IF(H124="Beli",VLOOKUP(P124,COPY!$A$1:$L$1000,11,FALSE),IF(H124="Bayar Ongkos",VLOOKUP(K124,'Rekap Gaji'!$D$12:$I$26,6,FALSE),0))))</f>
        <v>0</v>
      </c>
      <c r="O124" s="470"/>
      <c r="P124" s="466" t="str">
        <f t="shared" si="6"/>
        <v/>
      </c>
      <c r="Q124" s="253">
        <f t="shared" si="8"/>
        <v>0</v>
      </c>
      <c r="R124" s="253">
        <f t="shared" si="9"/>
        <v>0</v>
      </c>
      <c r="S124" s="449">
        <f t="shared" si="10"/>
        <v>93</v>
      </c>
      <c r="T124" s="253">
        <f t="shared" si="11"/>
        <v>15</v>
      </c>
      <c r="U124" s="457" t="str">
        <f t="shared" si="7"/>
        <v xml:space="preserve"> </v>
      </c>
    </row>
    <row r="125" spans="1:21" ht="20.100000000000001" hidden="1" customHeight="1" x14ac:dyDescent="0.25">
      <c r="A125" s="470"/>
      <c r="B125" s="456">
        <f>IF(LEFT(C125,16)="Terima Pajak PPN",VLOOKUP(P125,COPY!$A$1:$AC$1000,21,FALSE),IF(LEFT(C125,16)="Terima Pajak PPH",VLOOKUP(P125,COPY!$A$1:$AC$1000,21,FALSE),IF(LEFT(C125,13)="Terima PPh 23",VLOOKUP(P125,COPY!$A$1:$AC$1000,21,FALSE),0)))</f>
        <v>0</v>
      </c>
      <c r="C125" s="457">
        <f>IFERROR(IF(LEFT(VLOOKUP(P125,COPY!$A$1:$AC$1000,29,FALSE),5)="Terim",VLOOKUP(P125,COPY!$A$1:$AC$1000,29,FALSE),0),0)</f>
        <v>0</v>
      </c>
      <c r="D125" s="457"/>
      <c r="E125" s="457"/>
      <c r="F125" s="458">
        <f>IFERROR(IF(LEFT(VLOOKUP(P125,COPY!$A$1:$AC$1000,29,FALSE),5)="Terim",VLOOKUP(P125,COPY!$A$1:$AC$1000,26,FALSE),0),0)</f>
        <v>0</v>
      </c>
      <c r="G125" s="459">
        <f>IFERROR(VLOOKUP(P125,COPY!$A$1:$L$1000,4,FALSE),0)</f>
        <v>0</v>
      </c>
      <c r="H125" s="457">
        <f>IFERROR(VLOOKUP(P125,COPY!$A$1:$L$1000,2,FALSE),0)</f>
        <v>0</v>
      </c>
      <c r="I125" s="510">
        <f>IFERROR(VLOOKUP(P125,COPY!$A$1:$L$1000,10,FALSE),0)</f>
        <v>0</v>
      </c>
      <c r="J125" s="467">
        <f>IFERROR(VLOOKUP(P125,COPY!$A$1:$L$1000,8,FALSE),0)</f>
        <v>0</v>
      </c>
      <c r="K125" s="457">
        <f>IFERROR(VLOOKUP(P125,COPY!$A$1:$L$1000,7,FALSE),0)</f>
        <v>0</v>
      </c>
      <c r="L125" s="468">
        <f>IFERROR(VLOOKUP(P125,COPY!$A$1:$O$1000,15,FALSE),0)</f>
        <v>0</v>
      </c>
      <c r="M125" s="468">
        <f>IFERROR(VLOOKUP(P125,COPY!$A$1:$L$1000,12,FALSE),0)</f>
        <v>0</v>
      </c>
      <c r="N125" s="471">
        <f>IF(H125="Jasa",VLOOKUP('BKU 2'!K125,'Rekap Gaji'!$D$12:$I$26,6,FALSE),(IF(H125="Beli",VLOOKUP(P125,COPY!$A$1:$L$1000,11,FALSE),IF(H125="Bayar Ongkos",VLOOKUP(K125,'Rekap Gaji'!$D$12:$I$26,6,FALSE),0))))</f>
        <v>0</v>
      </c>
      <c r="O125" s="470"/>
      <c r="P125" s="466" t="str">
        <f t="shared" si="6"/>
        <v/>
      </c>
      <c r="Q125" s="253">
        <f t="shared" si="8"/>
        <v>0</v>
      </c>
      <c r="R125" s="253">
        <f t="shared" si="9"/>
        <v>0</v>
      </c>
      <c r="S125" s="449">
        <f t="shared" si="10"/>
        <v>94</v>
      </c>
      <c r="T125" s="253">
        <f t="shared" si="11"/>
        <v>16</v>
      </c>
      <c r="U125" s="457" t="str">
        <f t="shared" si="7"/>
        <v xml:space="preserve"> </v>
      </c>
    </row>
    <row r="126" spans="1:21" ht="20.100000000000001" hidden="1" customHeight="1" x14ac:dyDescent="0.25">
      <c r="A126" s="470"/>
      <c r="B126" s="456">
        <f>IF(LEFT(C126,16)="Terima Pajak PPN",VLOOKUP(P126,COPY!$A$1:$AC$1000,21,FALSE),IF(LEFT(C126,16)="Terima Pajak PPH",VLOOKUP(P126,COPY!$A$1:$AC$1000,21,FALSE),IF(LEFT(C126,13)="Terima PPh 23",VLOOKUP(P126,COPY!$A$1:$AC$1000,21,FALSE),0)))</f>
        <v>0</v>
      </c>
      <c r="C126" s="457">
        <f>IFERROR(IF(LEFT(VLOOKUP(P126,COPY!$A$1:$AC$1000,29,FALSE),5)="Terim",VLOOKUP(P126,COPY!$A$1:$AC$1000,29,FALSE),0),0)</f>
        <v>0</v>
      </c>
      <c r="D126" s="457"/>
      <c r="E126" s="457"/>
      <c r="F126" s="458">
        <f>IFERROR(IF(LEFT(VLOOKUP(P126,COPY!$A$1:$AC$1000,29,FALSE),5)="Terim",VLOOKUP(P126,COPY!$A$1:$AC$1000,26,FALSE),0),0)</f>
        <v>0</v>
      </c>
      <c r="G126" s="459">
        <f>IFERROR(VLOOKUP(P126,COPY!$A$1:$L$1000,4,FALSE),0)</f>
        <v>0</v>
      </c>
      <c r="H126" s="457">
        <f>IFERROR(VLOOKUP(P126,COPY!$A$1:$L$1000,2,FALSE),0)</f>
        <v>0</v>
      </c>
      <c r="I126" s="510">
        <f>IFERROR(VLOOKUP(P126,COPY!$A$1:$L$1000,10,FALSE),0)</f>
        <v>0</v>
      </c>
      <c r="J126" s="467">
        <f>IFERROR(VLOOKUP(P126,COPY!$A$1:$L$1000,8,FALSE),0)</f>
        <v>0</v>
      </c>
      <c r="K126" s="457">
        <f>IFERROR(VLOOKUP(P126,COPY!$A$1:$L$1000,7,FALSE),0)</f>
        <v>0</v>
      </c>
      <c r="L126" s="468">
        <f>IFERROR(VLOOKUP(P126,COPY!$A$1:$O$1000,15,FALSE),0)</f>
        <v>0</v>
      </c>
      <c r="M126" s="468">
        <f>IFERROR(VLOOKUP(P126,COPY!$A$1:$L$1000,12,FALSE),0)</f>
        <v>0</v>
      </c>
      <c r="N126" s="471">
        <f>IF(H126="Jasa",VLOOKUP('BKU 2'!K126,'Rekap Gaji'!$D$12:$I$26,6,FALSE),(IF(H126="Beli",VLOOKUP(P126,COPY!$A$1:$L$1000,11,FALSE),IF(H126="Bayar Ongkos",VLOOKUP(K126,'Rekap Gaji'!$D$12:$I$26,6,FALSE),0))))</f>
        <v>0</v>
      </c>
      <c r="O126" s="470"/>
      <c r="P126" s="466" t="str">
        <f t="shared" si="6"/>
        <v/>
      </c>
      <c r="Q126" s="253">
        <f t="shared" si="8"/>
        <v>0</v>
      </c>
      <c r="R126" s="253">
        <f t="shared" si="9"/>
        <v>0</v>
      </c>
      <c r="S126" s="449">
        <f t="shared" si="10"/>
        <v>95</v>
      </c>
      <c r="T126" s="253">
        <f t="shared" si="11"/>
        <v>17</v>
      </c>
      <c r="U126" s="457" t="str">
        <f t="shared" si="7"/>
        <v xml:space="preserve"> </v>
      </c>
    </row>
    <row r="127" spans="1:21" ht="20.100000000000001" hidden="1" customHeight="1" x14ac:dyDescent="0.25">
      <c r="A127" s="470"/>
      <c r="B127" s="456">
        <f>IF(LEFT(C127,16)="Terima Pajak PPN",VLOOKUP(P127,COPY!$A$1:$AC$1000,21,FALSE),IF(LEFT(C127,16)="Terima Pajak PPH",VLOOKUP(P127,COPY!$A$1:$AC$1000,21,FALSE),IF(LEFT(C127,13)="Terima PPh 23",VLOOKUP(P127,COPY!$A$1:$AC$1000,21,FALSE),0)))</f>
        <v>0</v>
      </c>
      <c r="C127" s="457">
        <f>IFERROR(IF(LEFT(VLOOKUP(P127,COPY!$A$1:$AC$1000,29,FALSE),5)="Terim",VLOOKUP(P127,COPY!$A$1:$AC$1000,29,FALSE),0),0)</f>
        <v>0</v>
      </c>
      <c r="D127" s="457"/>
      <c r="E127" s="457"/>
      <c r="F127" s="458">
        <f>IFERROR(IF(LEFT(VLOOKUP(P127,COPY!$A$1:$AC$1000,29,FALSE),5)="Terim",VLOOKUP(P127,COPY!$A$1:$AC$1000,26,FALSE),0),0)</f>
        <v>0</v>
      </c>
      <c r="G127" s="459">
        <f>IFERROR(VLOOKUP(P127,COPY!$A$1:$L$1000,4,FALSE),0)</f>
        <v>0</v>
      </c>
      <c r="H127" s="457">
        <f>IFERROR(VLOOKUP(P127,COPY!$A$1:$L$1000,2,FALSE),0)</f>
        <v>0</v>
      </c>
      <c r="I127" s="510">
        <f>IFERROR(VLOOKUP(P127,COPY!$A$1:$L$1000,10,FALSE),0)</f>
        <v>0</v>
      </c>
      <c r="J127" s="467">
        <f>IFERROR(VLOOKUP(P127,COPY!$A$1:$L$1000,8,FALSE),0)</f>
        <v>0</v>
      </c>
      <c r="K127" s="457">
        <f>IFERROR(VLOOKUP(P127,COPY!$A$1:$L$1000,7,FALSE),0)</f>
        <v>0</v>
      </c>
      <c r="L127" s="468">
        <f>IFERROR(VLOOKUP(P127,COPY!$A$1:$O$1000,15,FALSE),0)</f>
        <v>0</v>
      </c>
      <c r="M127" s="468">
        <f>IFERROR(VLOOKUP(P127,COPY!$A$1:$L$1000,12,FALSE),0)</f>
        <v>0</v>
      </c>
      <c r="N127" s="471">
        <f>IF(H127="Jasa",VLOOKUP('BKU 2'!K127,'Rekap Gaji'!$D$12:$I$26,6,FALSE),(IF(H127="Beli",VLOOKUP(P127,COPY!$A$1:$L$1000,11,FALSE),IF(H127="Bayar Ongkos",VLOOKUP(K127,'Rekap Gaji'!$D$12:$I$26,6,FALSE),0))))</f>
        <v>0</v>
      </c>
      <c r="O127" s="470"/>
      <c r="P127" s="466" t="str">
        <f t="shared" si="6"/>
        <v/>
      </c>
      <c r="Q127" s="253">
        <f t="shared" si="8"/>
        <v>0</v>
      </c>
      <c r="R127" s="253">
        <f t="shared" si="9"/>
        <v>0</v>
      </c>
      <c r="S127" s="449">
        <f t="shared" si="10"/>
        <v>96</v>
      </c>
      <c r="T127" s="253">
        <f t="shared" si="11"/>
        <v>18</v>
      </c>
      <c r="U127" s="457" t="str">
        <f t="shared" si="7"/>
        <v xml:space="preserve"> </v>
      </c>
    </row>
    <row r="128" spans="1:21" ht="20.100000000000001" hidden="1" customHeight="1" x14ac:dyDescent="0.25">
      <c r="A128" s="470"/>
      <c r="B128" s="456">
        <f>IF(LEFT(C128,16)="Terima Pajak PPN",VLOOKUP(P128,COPY!$A$1:$AC$1000,21,FALSE),IF(LEFT(C128,16)="Terima Pajak PPH",VLOOKUP(P128,COPY!$A$1:$AC$1000,21,FALSE),IF(LEFT(C128,13)="Terima PPh 23",VLOOKUP(P128,COPY!$A$1:$AC$1000,21,FALSE),0)))</f>
        <v>0</v>
      </c>
      <c r="C128" s="457">
        <f>IFERROR(IF(LEFT(VLOOKUP(P128,COPY!$A$1:$AC$1000,29,FALSE),5)="Terim",VLOOKUP(P128,COPY!$A$1:$AC$1000,29,FALSE),0),0)</f>
        <v>0</v>
      </c>
      <c r="D128" s="457"/>
      <c r="E128" s="457"/>
      <c r="F128" s="458">
        <f>IFERROR(IF(LEFT(VLOOKUP(P128,COPY!$A$1:$AC$1000,29,FALSE),5)="Terim",VLOOKUP(P128,COPY!$A$1:$AC$1000,26,FALSE),0),0)</f>
        <v>0</v>
      </c>
      <c r="G128" s="459">
        <f>IFERROR(VLOOKUP(P128,COPY!$A$1:$L$1000,4,FALSE),0)</f>
        <v>0</v>
      </c>
      <c r="H128" s="457">
        <f>IFERROR(VLOOKUP(P128,COPY!$A$1:$L$1000,2,FALSE),0)</f>
        <v>0</v>
      </c>
      <c r="I128" s="510">
        <f>IFERROR(VLOOKUP(P128,COPY!$A$1:$L$1000,10,FALSE),0)</f>
        <v>0</v>
      </c>
      <c r="J128" s="467">
        <f>IFERROR(VLOOKUP(P128,COPY!$A$1:$L$1000,8,FALSE),0)</f>
        <v>0</v>
      </c>
      <c r="K128" s="457">
        <f>IFERROR(VLOOKUP(P128,COPY!$A$1:$L$1000,7,FALSE),0)</f>
        <v>0</v>
      </c>
      <c r="L128" s="468">
        <f>IFERROR(VLOOKUP(P128,COPY!$A$1:$O$1000,15,FALSE),0)</f>
        <v>0</v>
      </c>
      <c r="M128" s="468">
        <f>IFERROR(VLOOKUP(P128,COPY!$A$1:$L$1000,12,FALSE),0)</f>
        <v>0</v>
      </c>
      <c r="N128" s="471">
        <f>IF(H128="Jasa",VLOOKUP('BKU 2'!K128,'Rekap Gaji'!$D$12:$I$26,6,FALSE),(IF(H128="Beli",VLOOKUP(P128,COPY!$A$1:$L$1000,11,FALSE),IF(H128="Bayar Ongkos",VLOOKUP(K128,'Rekap Gaji'!$D$12:$I$26,6,FALSE),0))))</f>
        <v>0</v>
      </c>
      <c r="O128" s="470"/>
      <c r="P128" s="466" t="str">
        <f t="shared" si="6"/>
        <v/>
      </c>
      <c r="Q128" s="253">
        <f t="shared" si="8"/>
        <v>0</v>
      </c>
      <c r="R128" s="253">
        <f t="shared" si="9"/>
        <v>0</v>
      </c>
      <c r="S128" s="449">
        <f t="shared" si="10"/>
        <v>97</v>
      </c>
      <c r="T128" s="253">
        <f t="shared" si="11"/>
        <v>19</v>
      </c>
      <c r="U128" s="457" t="str">
        <f t="shared" si="7"/>
        <v xml:space="preserve"> </v>
      </c>
    </row>
    <row r="129" spans="1:21" ht="20.100000000000001" hidden="1" customHeight="1" x14ac:dyDescent="0.25">
      <c r="A129" s="470"/>
      <c r="B129" s="456">
        <f>IF(LEFT(C129,16)="Terima Pajak PPN",VLOOKUP(P129,COPY!$A$1:$AC$1000,21,FALSE),IF(LEFT(C129,16)="Terima Pajak PPH",VLOOKUP(P129,COPY!$A$1:$AC$1000,21,FALSE),IF(LEFT(C129,13)="Terima PPh 23",VLOOKUP(P129,COPY!$A$1:$AC$1000,21,FALSE),0)))</f>
        <v>0</v>
      </c>
      <c r="C129" s="457">
        <f>IFERROR(IF(LEFT(VLOOKUP(P129,COPY!$A$1:$AC$1000,29,FALSE),5)="Terim",VLOOKUP(P129,COPY!$A$1:$AC$1000,29,FALSE),0),0)</f>
        <v>0</v>
      </c>
      <c r="D129" s="457"/>
      <c r="E129" s="457"/>
      <c r="F129" s="458">
        <f>IFERROR(IF(LEFT(VLOOKUP(P129,COPY!$A$1:$AC$1000,29,FALSE),5)="Terim",VLOOKUP(P129,COPY!$A$1:$AC$1000,26,FALSE),0),0)</f>
        <v>0</v>
      </c>
      <c r="G129" s="459">
        <f>IFERROR(VLOOKUP(P129,COPY!$A$1:$L$1000,4,FALSE),0)</f>
        <v>0</v>
      </c>
      <c r="H129" s="457">
        <f>IFERROR(VLOOKUP(P129,COPY!$A$1:$L$1000,2,FALSE),0)</f>
        <v>0</v>
      </c>
      <c r="I129" s="510">
        <f>IFERROR(VLOOKUP(P129,COPY!$A$1:$L$1000,10,FALSE),0)</f>
        <v>0</v>
      </c>
      <c r="J129" s="467">
        <f>IFERROR(VLOOKUP(P129,COPY!$A$1:$L$1000,8,FALSE),0)</f>
        <v>0</v>
      </c>
      <c r="K129" s="457">
        <f>IFERROR(VLOOKUP(P129,COPY!$A$1:$L$1000,7,FALSE),0)</f>
        <v>0</v>
      </c>
      <c r="L129" s="468">
        <f>IFERROR(VLOOKUP(P129,COPY!$A$1:$O$1000,15,FALSE),0)</f>
        <v>0</v>
      </c>
      <c r="M129" s="468">
        <f>IFERROR(VLOOKUP(P129,COPY!$A$1:$L$1000,12,FALSE),0)</f>
        <v>0</v>
      </c>
      <c r="N129" s="471">
        <f>IF(H129="Jasa",VLOOKUP('BKU 2'!K129,'Rekap Gaji'!$D$12:$I$26,6,FALSE),(IF(H129="Beli",VLOOKUP(P129,COPY!$A$1:$L$1000,11,FALSE),IF(H129="Bayar Ongkos",VLOOKUP(K129,'Rekap Gaji'!$D$12:$I$26,6,FALSE),0))))</f>
        <v>0</v>
      </c>
      <c r="O129" s="470"/>
      <c r="P129" s="466" t="str">
        <f t="shared" si="6"/>
        <v/>
      </c>
      <c r="Q129" s="253">
        <f t="shared" si="8"/>
        <v>0</v>
      </c>
      <c r="R129" s="253">
        <f t="shared" si="9"/>
        <v>0</v>
      </c>
      <c r="S129" s="449">
        <f t="shared" si="10"/>
        <v>98</v>
      </c>
      <c r="T129" s="253">
        <f t="shared" si="11"/>
        <v>20</v>
      </c>
      <c r="U129" s="457" t="str">
        <f t="shared" si="7"/>
        <v xml:space="preserve"> </v>
      </c>
    </row>
    <row r="130" spans="1:21" ht="20.100000000000001" hidden="1" customHeight="1" x14ac:dyDescent="0.25">
      <c r="A130" s="470"/>
      <c r="B130" s="456">
        <f>IF(LEFT(C130,16)="Terima Pajak PPN",VLOOKUP(P130,COPY!$A$1:$AC$1000,21,FALSE),IF(LEFT(C130,16)="Terima Pajak PPH",VLOOKUP(P130,COPY!$A$1:$AC$1000,21,FALSE),IF(LEFT(C130,13)="Terima PPh 23",VLOOKUP(P130,COPY!$A$1:$AC$1000,21,FALSE),0)))</f>
        <v>0</v>
      </c>
      <c r="C130" s="457">
        <f>IFERROR(IF(LEFT(VLOOKUP(P130,COPY!$A$1:$AC$1000,29,FALSE),5)="Terim",VLOOKUP(P130,COPY!$A$1:$AC$1000,29,FALSE),0),0)</f>
        <v>0</v>
      </c>
      <c r="D130" s="457"/>
      <c r="E130" s="457"/>
      <c r="F130" s="458">
        <f>IFERROR(IF(LEFT(VLOOKUP(P130,COPY!$A$1:$AC$1000,29,FALSE),5)="Terim",VLOOKUP(P130,COPY!$A$1:$AC$1000,26,FALSE),0),0)</f>
        <v>0</v>
      </c>
      <c r="G130" s="459">
        <f>IFERROR(VLOOKUP(P130,COPY!$A$1:$L$1000,4,FALSE),0)</f>
        <v>0</v>
      </c>
      <c r="H130" s="457">
        <f>IFERROR(VLOOKUP(P130,COPY!$A$1:$L$1000,2,FALSE),0)</f>
        <v>0</v>
      </c>
      <c r="I130" s="510">
        <f>IFERROR(VLOOKUP(P130,COPY!$A$1:$L$1000,10,FALSE),0)</f>
        <v>0</v>
      </c>
      <c r="J130" s="467">
        <f>IFERROR(VLOOKUP(P130,COPY!$A$1:$L$1000,8,FALSE),0)</f>
        <v>0</v>
      </c>
      <c r="K130" s="457">
        <f>IFERROR(VLOOKUP(P130,COPY!$A$1:$L$1000,7,FALSE),0)</f>
        <v>0</v>
      </c>
      <c r="L130" s="468">
        <f>IFERROR(VLOOKUP(P130,COPY!$A$1:$O$1000,15,FALSE),0)</f>
        <v>0</v>
      </c>
      <c r="M130" s="468">
        <f>IFERROR(VLOOKUP(P130,COPY!$A$1:$L$1000,12,FALSE),0)</f>
        <v>0</v>
      </c>
      <c r="N130" s="471">
        <f>IF(H130="Jasa",VLOOKUP('BKU 2'!K130,'Rekap Gaji'!$D$12:$I$26,6,FALSE),(IF(H130="Beli",VLOOKUP(P130,COPY!$A$1:$L$1000,11,FALSE),IF(H130="Bayar Ongkos",VLOOKUP(K130,'Rekap Gaji'!$D$12:$I$26,6,FALSE),0))))</f>
        <v>0</v>
      </c>
      <c r="O130" s="470"/>
      <c r="P130" s="466" t="str">
        <f t="shared" si="6"/>
        <v/>
      </c>
      <c r="Q130" s="253">
        <f t="shared" si="8"/>
        <v>0</v>
      </c>
      <c r="R130" s="253">
        <f t="shared" si="9"/>
        <v>0</v>
      </c>
      <c r="S130" s="449">
        <f t="shared" si="10"/>
        <v>99</v>
      </c>
      <c r="T130" s="253">
        <f t="shared" si="11"/>
        <v>21</v>
      </c>
      <c r="U130" s="457" t="str">
        <f t="shared" si="7"/>
        <v xml:space="preserve"> </v>
      </c>
    </row>
    <row r="131" spans="1:21" ht="20.100000000000001" hidden="1" customHeight="1" x14ac:dyDescent="0.25">
      <c r="A131" s="470"/>
      <c r="B131" s="456">
        <f>IF(LEFT(C131,16)="Terima Pajak PPN",VLOOKUP(P131,COPY!$A$1:$AC$1000,21,FALSE),IF(LEFT(C131,16)="Terima Pajak PPH",VLOOKUP(P131,COPY!$A$1:$AC$1000,21,FALSE),IF(LEFT(C131,13)="Terima PPh 23",VLOOKUP(P131,COPY!$A$1:$AC$1000,21,FALSE),0)))</f>
        <v>0</v>
      </c>
      <c r="C131" s="457">
        <f>IFERROR(IF(LEFT(VLOOKUP(P131,COPY!$A$1:$AC$1000,29,FALSE),5)="Terim",VLOOKUP(P131,COPY!$A$1:$AC$1000,29,FALSE),0),0)</f>
        <v>0</v>
      </c>
      <c r="D131" s="457"/>
      <c r="E131" s="457"/>
      <c r="F131" s="458">
        <f>IFERROR(IF(LEFT(VLOOKUP(P131,COPY!$A$1:$AC$1000,29,FALSE),5)="Terim",VLOOKUP(P131,COPY!$A$1:$AC$1000,26,FALSE),0),0)</f>
        <v>0</v>
      </c>
      <c r="G131" s="459">
        <f>IFERROR(VLOOKUP(P131,COPY!$A$1:$L$1000,4,FALSE),0)</f>
        <v>0</v>
      </c>
      <c r="H131" s="457">
        <f>IFERROR(VLOOKUP(P131,COPY!$A$1:$L$1000,2,FALSE),0)</f>
        <v>0</v>
      </c>
      <c r="I131" s="510">
        <f>IFERROR(VLOOKUP(P131,COPY!$A$1:$L$1000,10,FALSE),0)</f>
        <v>0</v>
      </c>
      <c r="J131" s="467">
        <f>IFERROR(VLOOKUP(P131,COPY!$A$1:$L$1000,8,FALSE),0)</f>
        <v>0</v>
      </c>
      <c r="K131" s="457">
        <f>IFERROR(VLOOKUP(P131,COPY!$A$1:$L$1000,7,FALSE),0)</f>
        <v>0</v>
      </c>
      <c r="L131" s="468">
        <f>IFERROR(VLOOKUP(P131,COPY!$A$1:$O$1000,15,FALSE),0)</f>
        <v>0</v>
      </c>
      <c r="M131" s="468">
        <f>IFERROR(VLOOKUP(P131,COPY!$A$1:$L$1000,12,FALSE),0)</f>
        <v>0</v>
      </c>
      <c r="N131" s="471">
        <f>IF(H131="Jasa",VLOOKUP('BKU 2'!K131,'Rekap Gaji'!$D$12:$I$26,6,FALSE),(IF(H131="Beli",VLOOKUP(P131,COPY!$A$1:$L$1000,11,FALSE),IF(H131="Bayar Ongkos",VLOOKUP(K131,'Rekap Gaji'!$D$12:$I$26,6,FALSE),0))))</f>
        <v>0</v>
      </c>
      <c r="O131" s="470"/>
      <c r="P131" s="466" t="str">
        <f t="shared" si="6"/>
        <v/>
      </c>
      <c r="Q131" s="253">
        <f t="shared" si="8"/>
        <v>0</v>
      </c>
      <c r="R131" s="253">
        <f t="shared" si="9"/>
        <v>0</v>
      </c>
      <c r="S131" s="449">
        <f t="shared" si="10"/>
        <v>100</v>
      </c>
      <c r="T131" s="253">
        <f t="shared" si="11"/>
        <v>22</v>
      </c>
      <c r="U131" s="457" t="str">
        <f t="shared" si="7"/>
        <v xml:space="preserve"> </v>
      </c>
    </row>
    <row r="132" spans="1:21" ht="20.100000000000001" hidden="1" customHeight="1" x14ac:dyDescent="0.25">
      <c r="A132" s="470"/>
      <c r="B132" s="456">
        <f>IF(LEFT(C132,16)="Terima Pajak PPN",VLOOKUP(P132,COPY!$A$1:$AC$1000,21,FALSE),IF(LEFT(C132,16)="Terima Pajak PPH",VLOOKUP(P132,COPY!$A$1:$AC$1000,21,FALSE),IF(LEFT(C132,13)="Terima PPh 23",VLOOKUP(P132,COPY!$A$1:$AC$1000,21,FALSE),0)))</f>
        <v>0</v>
      </c>
      <c r="C132" s="457">
        <f>IFERROR(IF(LEFT(VLOOKUP(P132,COPY!$A$1:$AC$1000,29,FALSE),5)="Terim",VLOOKUP(P132,COPY!$A$1:$AC$1000,29,FALSE),0),0)</f>
        <v>0</v>
      </c>
      <c r="D132" s="457"/>
      <c r="E132" s="457"/>
      <c r="F132" s="458">
        <f>IFERROR(IF(LEFT(VLOOKUP(P132,COPY!$A$1:$AC$1000,29,FALSE),5)="Terim",VLOOKUP(P132,COPY!$A$1:$AC$1000,26,FALSE),0),0)</f>
        <v>0</v>
      </c>
      <c r="G132" s="459">
        <f>IFERROR(VLOOKUP(P132,COPY!$A$1:$L$1000,4,FALSE),0)</f>
        <v>0</v>
      </c>
      <c r="H132" s="457">
        <f>IFERROR(VLOOKUP(P132,COPY!$A$1:$L$1000,2,FALSE),0)</f>
        <v>0</v>
      </c>
      <c r="I132" s="510">
        <f>IFERROR(VLOOKUP(P132,COPY!$A$1:$L$1000,10,FALSE),0)</f>
        <v>0</v>
      </c>
      <c r="J132" s="467">
        <f>IFERROR(VLOOKUP(P132,COPY!$A$1:$L$1000,8,FALSE),0)</f>
        <v>0</v>
      </c>
      <c r="K132" s="457">
        <f>IFERROR(VLOOKUP(P132,COPY!$A$1:$L$1000,7,FALSE),0)</f>
        <v>0</v>
      </c>
      <c r="L132" s="468">
        <f>IFERROR(VLOOKUP(P132,COPY!$A$1:$O$1000,15,FALSE),0)</f>
        <v>0</v>
      </c>
      <c r="M132" s="468">
        <f>IFERROR(VLOOKUP(P132,COPY!$A$1:$L$1000,12,FALSE),0)</f>
        <v>0</v>
      </c>
      <c r="N132" s="471">
        <f>IF(H132="Jasa",VLOOKUP('BKU 2'!K132,'Rekap Gaji'!$D$12:$I$26,6,FALSE),(IF(H132="Beli",VLOOKUP(P132,COPY!$A$1:$L$1000,11,FALSE),IF(H132="Bayar Ongkos",VLOOKUP(K132,'Rekap Gaji'!$D$12:$I$26,6,FALSE),0))))</f>
        <v>0</v>
      </c>
      <c r="O132" s="470"/>
      <c r="P132" s="466" t="str">
        <f t="shared" si="6"/>
        <v/>
      </c>
      <c r="Q132" s="253">
        <f t="shared" si="8"/>
        <v>0</v>
      </c>
      <c r="R132" s="253">
        <f t="shared" si="9"/>
        <v>0</v>
      </c>
      <c r="S132" s="449">
        <f t="shared" si="10"/>
        <v>101</v>
      </c>
      <c r="T132" s="253">
        <f t="shared" si="11"/>
        <v>23</v>
      </c>
      <c r="U132" s="457" t="str">
        <f t="shared" si="7"/>
        <v xml:space="preserve"> </v>
      </c>
    </row>
    <row r="133" spans="1:21" ht="20.100000000000001" hidden="1" customHeight="1" x14ac:dyDescent="0.25">
      <c r="A133" s="470"/>
      <c r="B133" s="456">
        <f>IF(LEFT(C133,16)="Terima Pajak PPN",VLOOKUP(P133,COPY!$A$1:$AC$1000,21,FALSE),IF(LEFT(C133,16)="Terima Pajak PPH",VLOOKUP(P133,COPY!$A$1:$AC$1000,21,FALSE),IF(LEFT(C133,13)="Terima PPh 23",VLOOKUP(P133,COPY!$A$1:$AC$1000,21,FALSE),0)))</f>
        <v>0</v>
      </c>
      <c r="C133" s="457">
        <f>IFERROR(IF(LEFT(VLOOKUP(P133,COPY!$A$1:$AC$1000,29,FALSE),5)="Terim",VLOOKUP(P133,COPY!$A$1:$AC$1000,29,FALSE),0),0)</f>
        <v>0</v>
      </c>
      <c r="D133" s="457"/>
      <c r="E133" s="457"/>
      <c r="F133" s="458">
        <f>IFERROR(IF(LEFT(VLOOKUP(P133,COPY!$A$1:$AC$1000,29,FALSE),5)="Terim",VLOOKUP(P133,COPY!$A$1:$AC$1000,26,FALSE),0),0)</f>
        <v>0</v>
      </c>
      <c r="G133" s="459">
        <f>IFERROR(VLOOKUP(P133,COPY!$A$1:$L$1000,4,FALSE),0)</f>
        <v>0</v>
      </c>
      <c r="H133" s="457">
        <f>IFERROR(VLOOKUP(P133,COPY!$A$1:$L$1000,2,FALSE),0)</f>
        <v>0</v>
      </c>
      <c r="I133" s="510">
        <f>IFERROR(VLOOKUP(P133,COPY!$A$1:$L$1000,10,FALSE),0)</f>
        <v>0</v>
      </c>
      <c r="J133" s="467">
        <f>IFERROR(VLOOKUP(P133,COPY!$A$1:$L$1000,8,FALSE),0)</f>
        <v>0</v>
      </c>
      <c r="K133" s="457">
        <f>IFERROR(VLOOKUP(P133,COPY!$A$1:$L$1000,7,FALSE),0)</f>
        <v>0</v>
      </c>
      <c r="L133" s="468">
        <f>IFERROR(VLOOKUP(P133,COPY!$A$1:$O$1000,15,FALSE),0)</f>
        <v>0</v>
      </c>
      <c r="M133" s="468">
        <f>IFERROR(VLOOKUP(P133,COPY!$A$1:$L$1000,12,FALSE),0)</f>
        <v>0</v>
      </c>
      <c r="N133" s="471">
        <f>IF(H133="Jasa",VLOOKUP('BKU 2'!K133,'Rekap Gaji'!$D$12:$I$26,6,FALSE),(IF(H133="Beli",VLOOKUP(P133,COPY!$A$1:$L$1000,11,FALSE),IF(H133="Bayar Ongkos",VLOOKUP(K133,'Rekap Gaji'!$D$12:$I$26,6,FALSE),0))))</f>
        <v>0</v>
      </c>
      <c r="O133" s="470"/>
      <c r="P133" s="466" t="str">
        <f t="shared" si="6"/>
        <v/>
      </c>
      <c r="Q133" s="253">
        <f t="shared" si="8"/>
        <v>0</v>
      </c>
      <c r="R133" s="253">
        <f t="shared" si="9"/>
        <v>0</v>
      </c>
      <c r="S133" s="449">
        <f t="shared" si="10"/>
        <v>102</v>
      </c>
      <c r="T133" s="253">
        <f t="shared" si="11"/>
        <v>24</v>
      </c>
      <c r="U133" s="457" t="str">
        <f t="shared" si="7"/>
        <v xml:space="preserve"> </v>
      </c>
    </row>
    <row r="134" spans="1:21" ht="20.100000000000001" hidden="1" customHeight="1" x14ac:dyDescent="0.25">
      <c r="A134" s="470"/>
      <c r="B134" s="456">
        <f>IF(LEFT(C134,16)="Terima Pajak PPN",VLOOKUP(P134,COPY!$A$1:$AC$1000,21,FALSE),IF(LEFT(C134,16)="Terima Pajak PPH",VLOOKUP(P134,COPY!$A$1:$AC$1000,21,FALSE),IF(LEFT(C134,13)="Terima PPh 23",VLOOKUP(P134,COPY!$A$1:$AC$1000,21,FALSE),0)))</f>
        <v>0</v>
      </c>
      <c r="C134" s="457">
        <f>IFERROR(IF(LEFT(VLOOKUP(P134,COPY!$A$1:$AC$1000,29,FALSE),5)="Terim",VLOOKUP(P134,COPY!$A$1:$AC$1000,29,FALSE),0),0)</f>
        <v>0</v>
      </c>
      <c r="D134" s="457"/>
      <c r="E134" s="457"/>
      <c r="F134" s="458">
        <f>IFERROR(IF(LEFT(VLOOKUP(P134,COPY!$A$1:$AC$1000,29,FALSE),5)="Terim",VLOOKUP(P134,COPY!$A$1:$AC$1000,26,FALSE),0),0)</f>
        <v>0</v>
      </c>
      <c r="G134" s="459">
        <f>IFERROR(VLOOKUP(P134,COPY!$A$1:$L$1000,4,FALSE),0)</f>
        <v>0</v>
      </c>
      <c r="H134" s="457">
        <f>IFERROR(VLOOKUP(P134,COPY!$A$1:$L$1000,2,FALSE),0)</f>
        <v>0</v>
      </c>
      <c r="I134" s="510">
        <f>IFERROR(VLOOKUP(P134,COPY!$A$1:$L$1000,10,FALSE),0)</f>
        <v>0</v>
      </c>
      <c r="J134" s="467">
        <f>IFERROR(VLOOKUP(P134,COPY!$A$1:$L$1000,8,FALSE),0)</f>
        <v>0</v>
      </c>
      <c r="K134" s="457">
        <f>IFERROR(VLOOKUP(P134,COPY!$A$1:$L$1000,7,FALSE),0)</f>
        <v>0</v>
      </c>
      <c r="L134" s="468">
        <f>IFERROR(VLOOKUP(P134,COPY!$A$1:$O$1000,15,FALSE),0)</f>
        <v>0</v>
      </c>
      <c r="M134" s="468">
        <f>IFERROR(VLOOKUP(P134,COPY!$A$1:$L$1000,12,FALSE),0)</f>
        <v>0</v>
      </c>
      <c r="N134" s="471">
        <f>IF(H134="Jasa",VLOOKUP('BKU 2'!K134,'Rekap Gaji'!$D$12:$I$26,6,FALSE),(IF(H134="Beli",VLOOKUP(P134,COPY!$A$1:$L$1000,11,FALSE),IF(H134="Bayar Ongkos",VLOOKUP(K134,'Rekap Gaji'!$D$12:$I$26,6,FALSE),0))))</f>
        <v>0</v>
      </c>
      <c r="O134" s="470"/>
      <c r="P134" s="466" t="str">
        <f t="shared" si="6"/>
        <v/>
      </c>
      <c r="Q134" s="253">
        <f t="shared" si="8"/>
        <v>0</v>
      </c>
      <c r="R134" s="253">
        <f t="shared" si="9"/>
        <v>0</v>
      </c>
      <c r="S134" s="449">
        <f t="shared" si="10"/>
        <v>103</v>
      </c>
      <c r="T134" s="253">
        <f t="shared" si="11"/>
        <v>25</v>
      </c>
      <c r="U134" s="457" t="str">
        <f t="shared" si="7"/>
        <v xml:space="preserve"> </v>
      </c>
    </row>
    <row r="135" spans="1:21" ht="20.100000000000001" hidden="1" customHeight="1" x14ac:dyDescent="0.25">
      <c r="A135" s="470"/>
      <c r="B135" s="456">
        <f>IF(LEFT(C135,16)="Terima Pajak PPN",VLOOKUP(P135,COPY!$A$1:$AC$1000,21,FALSE),IF(LEFT(C135,16)="Terima Pajak PPH",VLOOKUP(P135,COPY!$A$1:$AC$1000,21,FALSE),IF(LEFT(C135,13)="Terima PPh 23",VLOOKUP(P135,COPY!$A$1:$AC$1000,21,FALSE),0)))</f>
        <v>0</v>
      </c>
      <c r="C135" s="457">
        <f>IFERROR(IF(LEFT(VLOOKUP(P135,COPY!$A$1:$AC$1000,29,FALSE),5)="Terim",VLOOKUP(P135,COPY!$A$1:$AC$1000,29,FALSE),0),0)</f>
        <v>0</v>
      </c>
      <c r="D135" s="457"/>
      <c r="E135" s="457"/>
      <c r="F135" s="458">
        <f>IFERROR(IF(LEFT(VLOOKUP(P135,COPY!$A$1:$AC$1000,29,FALSE),5)="Terim",VLOOKUP(P135,COPY!$A$1:$AC$1000,26,FALSE),0),0)</f>
        <v>0</v>
      </c>
      <c r="G135" s="459">
        <f>IFERROR(VLOOKUP(P135,COPY!$A$1:$L$1000,4,FALSE),0)</f>
        <v>0</v>
      </c>
      <c r="H135" s="457">
        <f>IFERROR(VLOOKUP(P135,COPY!$A$1:$L$1000,2,FALSE),0)</f>
        <v>0</v>
      </c>
      <c r="I135" s="510">
        <f>IFERROR(VLOOKUP(P135,COPY!$A$1:$L$1000,10,FALSE),0)</f>
        <v>0</v>
      </c>
      <c r="J135" s="467">
        <f>IFERROR(VLOOKUP(P135,COPY!$A$1:$L$1000,8,FALSE),0)</f>
        <v>0</v>
      </c>
      <c r="K135" s="457">
        <f>IFERROR(VLOOKUP(P135,COPY!$A$1:$L$1000,7,FALSE),0)</f>
        <v>0</v>
      </c>
      <c r="L135" s="468">
        <f>IFERROR(VLOOKUP(P135,COPY!$A$1:$O$1000,15,FALSE),0)</f>
        <v>0</v>
      </c>
      <c r="M135" s="468">
        <f>IFERROR(VLOOKUP(P135,COPY!$A$1:$L$1000,12,FALSE),0)</f>
        <v>0</v>
      </c>
      <c r="N135" s="471">
        <f>IF(H135="Jasa",VLOOKUP('BKU 2'!K135,'Rekap Gaji'!$D$12:$I$26,6,FALSE),(IF(H135="Beli",VLOOKUP(P135,COPY!$A$1:$L$1000,11,FALSE),IF(H135="Bayar Ongkos",VLOOKUP(K135,'Rekap Gaji'!$D$12:$I$26,6,FALSE),0))))</f>
        <v>0</v>
      </c>
      <c r="O135" s="470"/>
      <c r="P135" s="466" t="str">
        <f t="shared" si="6"/>
        <v/>
      </c>
      <c r="Q135" s="253">
        <f t="shared" si="8"/>
        <v>0</v>
      </c>
      <c r="R135" s="253">
        <f t="shared" si="9"/>
        <v>0</v>
      </c>
      <c r="S135" s="449">
        <f t="shared" si="10"/>
        <v>104</v>
      </c>
      <c r="T135" s="253">
        <f t="shared" si="11"/>
        <v>26</v>
      </c>
      <c r="U135" s="457" t="str">
        <f t="shared" si="7"/>
        <v xml:space="preserve"> </v>
      </c>
    </row>
    <row r="136" spans="1:21" ht="20.100000000000001" hidden="1" customHeight="1" x14ac:dyDescent="0.25">
      <c r="A136" s="470"/>
      <c r="B136" s="456">
        <f>IF(LEFT(C136,16)="Terima Pajak PPN",VLOOKUP(P136,COPY!$A$1:$AC$1000,21,FALSE),IF(LEFT(C136,16)="Terima Pajak PPH",VLOOKUP(P136,COPY!$A$1:$AC$1000,21,FALSE),IF(LEFT(C136,13)="Terima PPh 23",VLOOKUP(P136,COPY!$A$1:$AC$1000,21,FALSE),0)))</f>
        <v>0</v>
      </c>
      <c r="C136" s="457">
        <f>IFERROR(IF(LEFT(VLOOKUP(P136,COPY!$A$1:$AC$1000,29,FALSE),5)="Terim",VLOOKUP(P136,COPY!$A$1:$AC$1000,29,FALSE),0),0)</f>
        <v>0</v>
      </c>
      <c r="D136" s="457"/>
      <c r="E136" s="457"/>
      <c r="F136" s="458">
        <f>IFERROR(IF(LEFT(VLOOKUP(P136,COPY!$A$1:$AC$1000,29,FALSE),5)="Terim",VLOOKUP(P136,COPY!$A$1:$AC$1000,26,FALSE),0),0)</f>
        <v>0</v>
      </c>
      <c r="G136" s="459">
        <f>IFERROR(VLOOKUP(P136,COPY!$A$1:$L$1000,4,FALSE),0)</f>
        <v>0</v>
      </c>
      <c r="H136" s="457">
        <f>IFERROR(VLOOKUP(P136,COPY!$A$1:$L$1000,2,FALSE),0)</f>
        <v>0</v>
      </c>
      <c r="I136" s="510">
        <f>IFERROR(VLOOKUP(P136,COPY!$A$1:$L$1000,10,FALSE),0)</f>
        <v>0</v>
      </c>
      <c r="J136" s="467">
        <f>IFERROR(VLOOKUP(P136,COPY!$A$1:$L$1000,8,FALSE),0)</f>
        <v>0</v>
      </c>
      <c r="K136" s="457">
        <f>IFERROR(VLOOKUP(P136,COPY!$A$1:$L$1000,7,FALSE),0)</f>
        <v>0</v>
      </c>
      <c r="L136" s="468">
        <f>IFERROR(VLOOKUP(P136,COPY!$A$1:$O$1000,15,FALSE),0)</f>
        <v>0</v>
      </c>
      <c r="M136" s="468">
        <f>IFERROR(VLOOKUP(P136,COPY!$A$1:$L$1000,12,FALSE),0)</f>
        <v>0</v>
      </c>
      <c r="N136" s="471">
        <f>IF(H136="Jasa",VLOOKUP('BKU 2'!K136,'Rekap Gaji'!$D$12:$I$26,6,FALSE),(IF(H136="Beli",VLOOKUP(P136,COPY!$A$1:$L$1000,11,FALSE),IF(H136="Bayar Ongkos",VLOOKUP(K136,'Rekap Gaji'!$D$12:$I$26,6,FALSE),0))))</f>
        <v>0</v>
      </c>
      <c r="O136" s="470"/>
      <c r="P136" s="466" t="str">
        <f t="shared" si="6"/>
        <v/>
      </c>
      <c r="Q136" s="253">
        <f t="shared" si="8"/>
        <v>0</v>
      </c>
      <c r="R136" s="253">
        <f t="shared" si="9"/>
        <v>0</v>
      </c>
      <c r="S136" s="449">
        <f t="shared" si="10"/>
        <v>105</v>
      </c>
      <c r="T136" s="253">
        <f t="shared" si="11"/>
        <v>27</v>
      </c>
      <c r="U136" s="457" t="str">
        <f t="shared" si="7"/>
        <v xml:space="preserve"> </v>
      </c>
    </row>
    <row r="137" spans="1:21" ht="20.100000000000001" hidden="1" customHeight="1" x14ac:dyDescent="0.25">
      <c r="A137" s="470"/>
      <c r="B137" s="456">
        <f>IF(LEFT(C137,16)="Terima Pajak PPN",VLOOKUP(P137,COPY!$A$1:$AC$1000,21,FALSE),IF(LEFT(C137,16)="Terima Pajak PPH",VLOOKUP(P137,COPY!$A$1:$AC$1000,21,FALSE),IF(LEFT(C137,13)="Terima PPh 23",VLOOKUP(P137,COPY!$A$1:$AC$1000,21,FALSE),0)))</f>
        <v>0</v>
      </c>
      <c r="C137" s="457">
        <f>IFERROR(IF(LEFT(VLOOKUP(P137,COPY!$A$1:$AC$1000,29,FALSE),5)="Terim",VLOOKUP(P137,COPY!$A$1:$AC$1000,29,FALSE),0),0)</f>
        <v>0</v>
      </c>
      <c r="D137" s="457"/>
      <c r="E137" s="457"/>
      <c r="F137" s="458">
        <f>IFERROR(IF(LEFT(VLOOKUP(P137,COPY!$A$1:$AC$1000,29,FALSE),5)="Terim",VLOOKUP(P137,COPY!$A$1:$AC$1000,26,FALSE),0),0)</f>
        <v>0</v>
      </c>
      <c r="G137" s="459">
        <f>IFERROR(VLOOKUP(P137,COPY!$A$1:$L$1000,4,FALSE),0)</f>
        <v>0</v>
      </c>
      <c r="H137" s="457">
        <f>IFERROR(VLOOKUP(P137,COPY!$A$1:$L$1000,2,FALSE),0)</f>
        <v>0</v>
      </c>
      <c r="I137" s="510">
        <f>IFERROR(VLOOKUP(P137,COPY!$A$1:$L$1000,10,FALSE),0)</f>
        <v>0</v>
      </c>
      <c r="J137" s="467">
        <f>IFERROR(VLOOKUP(P137,COPY!$A$1:$L$1000,8,FALSE),0)</f>
        <v>0</v>
      </c>
      <c r="K137" s="457">
        <f>IFERROR(VLOOKUP(P137,COPY!$A$1:$L$1000,7,FALSE),0)</f>
        <v>0</v>
      </c>
      <c r="L137" s="468">
        <f>IFERROR(VLOOKUP(P137,COPY!$A$1:$O$1000,15,FALSE),0)</f>
        <v>0</v>
      </c>
      <c r="M137" s="468">
        <f>IFERROR(VLOOKUP(P137,COPY!$A$1:$L$1000,12,FALSE),0)</f>
        <v>0</v>
      </c>
      <c r="N137" s="471">
        <f>IF(H137="Jasa",VLOOKUP('BKU 2'!K137,'Rekap Gaji'!$D$12:$I$26,6,FALSE),(IF(H137="Beli",VLOOKUP(P137,COPY!$A$1:$L$1000,11,FALSE),IF(H137="Bayar Ongkos",VLOOKUP(K137,'Rekap Gaji'!$D$12:$I$26,6,FALSE),0))))</f>
        <v>0</v>
      </c>
      <c r="O137" s="470"/>
      <c r="P137" s="466" t="str">
        <f t="shared" si="6"/>
        <v/>
      </c>
      <c r="Q137" s="253">
        <f t="shared" si="8"/>
        <v>0</v>
      </c>
      <c r="R137" s="253">
        <f t="shared" si="9"/>
        <v>0</v>
      </c>
      <c r="S137" s="449">
        <f t="shared" si="10"/>
        <v>106</v>
      </c>
      <c r="T137" s="253">
        <f t="shared" si="11"/>
        <v>28</v>
      </c>
      <c r="U137" s="457" t="str">
        <f t="shared" si="7"/>
        <v xml:space="preserve"> </v>
      </c>
    </row>
    <row r="138" spans="1:21" ht="20.100000000000001" hidden="1" customHeight="1" x14ac:dyDescent="0.25">
      <c r="A138" s="470"/>
      <c r="B138" s="456">
        <f>IF(LEFT(C138,16)="Terima Pajak PPN",VLOOKUP(P138,COPY!$A$1:$AC$1000,21,FALSE),IF(LEFT(C138,16)="Terima Pajak PPH",VLOOKUP(P138,COPY!$A$1:$AC$1000,21,FALSE),IF(LEFT(C138,13)="Terima PPh 23",VLOOKUP(P138,COPY!$A$1:$AC$1000,21,FALSE),0)))</f>
        <v>0</v>
      </c>
      <c r="C138" s="457">
        <f>IFERROR(IF(LEFT(VLOOKUP(P138,COPY!$A$1:$AC$1000,29,FALSE),5)="Terim",VLOOKUP(P138,COPY!$A$1:$AC$1000,29,FALSE),0),0)</f>
        <v>0</v>
      </c>
      <c r="D138" s="457"/>
      <c r="E138" s="457"/>
      <c r="F138" s="458">
        <f>IFERROR(IF(LEFT(VLOOKUP(P138,COPY!$A$1:$AC$1000,29,FALSE),5)="Terim",VLOOKUP(P138,COPY!$A$1:$AC$1000,26,FALSE),0),0)</f>
        <v>0</v>
      </c>
      <c r="G138" s="459">
        <f>IFERROR(VLOOKUP(P138,COPY!$A$1:$L$1000,4,FALSE),0)</f>
        <v>0</v>
      </c>
      <c r="H138" s="457">
        <f>IFERROR(VLOOKUP(P138,COPY!$A$1:$L$1000,2,FALSE),0)</f>
        <v>0</v>
      </c>
      <c r="I138" s="510">
        <f>IFERROR(VLOOKUP(P138,COPY!$A$1:$L$1000,10,FALSE),0)</f>
        <v>0</v>
      </c>
      <c r="J138" s="467">
        <f>IFERROR(VLOOKUP(P138,COPY!$A$1:$L$1000,8,FALSE),0)</f>
        <v>0</v>
      </c>
      <c r="K138" s="457">
        <f>IFERROR(VLOOKUP(P138,COPY!$A$1:$L$1000,7,FALSE),0)</f>
        <v>0</v>
      </c>
      <c r="L138" s="468">
        <f>IFERROR(VLOOKUP(P138,COPY!$A$1:$O$1000,15,FALSE),0)</f>
        <v>0</v>
      </c>
      <c r="M138" s="468">
        <f>IFERROR(VLOOKUP(P138,COPY!$A$1:$L$1000,12,FALSE),0)</f>
        <v>0</v>
      </c>
      <c r="N138" s="471">
        <f>IF(H138="Jasa",VLOOKUP('BKU 2'!K138,'Rekap Gaji'!$D$12:$I$26,6,FALSE),(IF(H138="Beli",VLOOKUP(P138,COPY!$A$1:$L$1000,11,FALSE),IF(H138="Bayar Ongkos",VLOOKUP(K138,'Rekap Gaji'!$D$12:$I$26,6,FALSE),0))))</f>
        <v>0</v>
      </c>
      <c r="O138" s="470"/>
      <c r="P138" s="466" t="str">
        <f t="shared" si="6"/>
        <v/>
      </c>
      <c r="Q138" s="253">
        <f t="shared" si="8"/>
        <v>0</v>
      </c>
      <c r="R138" s="253">
        <f t="shared" si="9"/>
        <v>0</v>
      </c>
      <c r="S138" s="449">
        <f t="shared" si="10"/>
        <v>107</v>
      </c>
      <c r="T138" s="253">
        <f t="shared" si="11"/>
        <v>29</v>
      </c>
      <c r="U138" s="457" t="str">
        <f t="shared" si="7"/>
        <v xml:space="preserve"> </v>
      </c>
    </row>
    <row r="139" spans="1:21" ht="20.100000000000001" hidden="1" customHeight="1" x14ac:dyDescent="0.25">
      <c r="A139" s="470"/>
      <c r="B139" s="456">
        <f>IF(LEFT(C139,16)="Terima Pajak PPN",VLOOKUP(P139,COPY!$A$1:$AC$1000,21,FALSE),IF(LEFT(C139,16)="Terima Pajak PPH",VLOOKUP(P139,COPY!$A$1:$AC$1000,21,FALSE),IF(LEFT(C139,13)="Terima PPh 23",VLOOKUP(P139,COPY!$A$1:$AC$1000,21,FALSE),0)))</f>
        <v>0</v>
      </c>
      <c r="C139" s="457">
        <f>IFERROR(IF(LEFT(VLOOKUP(P139,COPY!$A$1:$AC$1000,29,FALSE),5)="Terim",VLOOKUP(P139,COPY!$A$1:$AC$1000,29,FALSE),0),0)</f>
        <v>0</v>
      </c>
      <c r="D139" s="457"/>
      <c r="E139" s="457"/>
      <c r="F139" s="458">
        <f>IFERROR(IF(LEFT(VLOOKUP(P139,COPY!$A$1:$AC$1000,29,FALSE),5)="Terim",VLOOKUP(P139,COPY!$A$1:$AC$1000,26,FALSE),0),0)</f>
        <v>0</v>
      </c>
      <c r="G139" s="459">
        <f>IFERROR(VLOOKUP(P139,COPY!$A$1:$L$1000,4,FALSE),0)</f>
        <v>0</v>
      </c>
      <c r="H139" s="457">
        <f>IFERROR(VLOOKUP(P139,COPY!$A$1:$L$1000,2,FALSE),0)</f>
        <v>0</v>
      </c>
      <c r="I139" s="510">
        <f>IFERROR(VLOOKUP(P139,COPY!$A$1:$L$1000,10,FALSE),0)</f>
        <v>0</v>
      </c>
      <c r="J139" s="467">
        <f>IFERROR(VLOOKUP(P139,COPY!$A$1:$L$1000,8,FALSE),0)</f>
        <v>0</v>
      </c>
      <c r="K139" s="457">
        <f>IFERROR(VLOOKUP(P139,COPY!$A$1:$L$1000,7,FALSE),0)</f>
        <v>0</v>
      </c>
      <c r="L139" s="468">
        <f>IFERROR(VLOOKUP(P139,COPY!$A$1:$O$1000,15,FALSE),0)</f>
        <v>0</v>
      </c>
      <c r="M139" s="468">
        <f>IFERROR(VLOOKUP(P139,COPY!$A$1:$L$1000,12,FALSE),0)</f>
        <v>0</v>
      </c>
      <c r="N139" s="471">
        <f>IF(H139="Jasa",VLOOKUP('BKU 2'!K139,'Rekap Gaji'!$D$12:$I$26,6,FALSE),(IF(H139="Beli",VLOOKUP(P139,COPY!$A$1:$L$1000,11,FALSE),IF(H139="Bayar Ongkos",VLOOKUP(K139,'Rekap Gaji'!$D$12:$I$26,6,FALSE),0))))</f>
        <v>0</v>
      </c>
      <c r="O139" s="470"/>
      <c r="P139" s="466" t="str">
        <f t="shared" si="6"/>
        <v/>
      </c>
      <c r="Q139" s="253">
        <f t="shared" si="8"/>
        <v>0</v>
      </c>
      <c r="R139" s="253">
        <f t="shared" si="9"/>
        <v>0</v>
      </c>
      <c r="S139" s="449">
        <f t="shared" si="10"/>
        <v>108</v>
      </c>
      <c r="T139" s="253">
        <f t="shared" si="11"/>
        <v>30</v>
      </c>
      <c r="U139" s="457" t="str">
        <f t="shared" si="7"/>
        <v xml:space="preserve"> </v>
      </c>
    </row>
    <row r="140" spans="1:21" ht="20.100000000000001" hidden="1" customHeight="1" x14ac:dyDescent="0.25">
      <c r="A140" s="470"/>
      <c r="B140" s="456">
        <f>IF(LEFT(C140,16)="Terima Pajak PPN",VLOOKUP(P140,COPY!$A$1:$AC$1000,21,FALSE),IF(LEFT(C140,16)="Terima Pajak PPH",VLOOKUP(P140,COPY!$A$1:$AC$1000,21,FALSE),IF(LEFT(C140,13)="Terima PPh 23",VLOOKUP(P140,COPY!$A$1:$AC$1000,21,FALSE),0)))</f>
        <v>0</v>
      </c>
      <c r="C140" s="457">
        <f>IFERROR(IF(LEFT(VLOOKUP(P140,COPY!$A$1:$AC$1000,29,FALSE),5)="Terim",VLOOKUP(P140,COPY!$A$1:$AC$1000,29,FALSE),0),0)</f>
        <v>0</v>
      </c>
      <c r="D140" s="457"/>
      <c r="E140" s="457"/>
      <c r="F140" s="458">
        <f>IFERROR(IF(LEFT(VLOOKUP(P140,COPY!$A$1:$AC$1000,29,FALSE),5)="Terim",VLOOKUP(P140,COPY!$A$1:$AC$1000,26,FALSE),0),0)</f>
        <v>0</v>
      </c>
      <c r="G140" s="459">
        <f>IFERROR(VLOOKUP(P140,COPY!$A$1:$L$1000,4,FALSE),0)</f>
        <v>0</v>
      </c>
      <c r="H140" s="457">
        <f>IFERROR(VLOOKUP(P140,COPY!$A$1:$L$1000,2,FALSE),0)</f>
        <v>0</v>
      </c>
      <c r="I140" s="510">
        <f>IFERROR(VLOOKUP(P140,COPY!$A$1:$L$1000,10,FALSE),0)</f>
        <v>0</v>
      </c>
      <c r="J140" s="467">
        <f>IFERROR(VLOOKUP(P140,COPY!$A$1:$L$1000,8,FALSE),0)</f>
        <v>0</v>
      </c>
      <c r="K140" s="457">
        <f>IFERROR(VLOOKUP(P140,COPY!$A$1:$L$1000,7,FALSE),0)</f>
        <v>0</v>
      </c>
      <c r="L140" s="468">
        <f>IFERROR(VLOOKUP(P140,COPY!$A$1:$O$1000,15,FALSE),0)</f>
        <v>0</v>
      </c>
      <c r="M140" s="468">
        <f>IFERROR(VLOOKUP(P140,COPY!$A$1:$L$1000,12,FALSE),0)</f>
        <v>0</v>
      </c>
      <c r="N140" s="471">
        <f>IF(H140="Jasa",VLOOKUP('BKU 2'!K140,'Rekap Gaji'!$D$12:$I$26,6,FALSE),(IF(H140="Beli",VLOOKUP(P140,COPY!$A$1:$L$1000,11,FALSE),IF(H140="Bayar Ongkos",VLOOKUP(K140,'Rekap Gaji'!$D$12:$I$26,6,FALSE),0))))</f>
        <v>0</v>
      </c>
      <c r="O140" s="470"/>
      <c r="P140" s="466" t="str">
        <f t="shared" si="6"/>
        <v/>
      </c>
      <c r="Q140" s="253">
        <f t="shared" si="8"/>
        <v>0</v>
      </c>
      <c r="R140" s="253">
        <f t="shared" si="9"/>
        <v>0</v>
      </c>
      <c r="S140" s="449">
        <f t="shared" si="10"/>
        <v>109</v>
      </c>
      <c r="T140" s="253">
        <f t="shared" si="11"/>
        <v>31</v>
      </c>
      <c r="U140" s="457" t="str">
        <f t="shared" si="7"/>
        <v xml:space="preserve"> </v>
      </c>
    </row>
    <row r="141" spans="1:21" ht="20.100000000000001" hidden="1" customHeight="1" x14ac:dyDescent="0.25">
      <c r="A141" s="470"/>
      <c r="B141" s="456">
        <f>IF(LEFT(C141,16)="Terima Pajak PPN",VLOOKUP(P141,COPY!$A$1:$AC$1000,21,FALSE),IF(LEFT(C141,16)="Terima Pajak PPH",VLOOKUP(P141,COPY!$A$1:$AC$1000,21,FALSE),IF(LEFT(C141,13)="Terima PPh 23",VLOOKUP(P141,COPY!$A$1:$AC$1000,21,FALSE),0)))</f>
        <v>0</v>
      </c>
      <c r="C141" s="457">
        <f>IFERROR(IF(LEFT(VLOOKUP(P141,COPY!$A$1:$AC$1000,29,FALSE),5)="Terim",VLOOKUP(P141,COPY!$A$1:$AC$1000,29,FALSE),0),0)</f>
        <v>0</v>
      </c>
      <c r="D141" s="457"/>
      <c r="E141" s="457"/>
      <c r="F141" s="458">
        <f>IFERROR(IF(LEFT(VLOOKUP(P141,COPY!$A$1:$AC$1000,29,FALSE),5)="Terim",VLOOKUP(P141,COPY!$A$1:$AC$1000,26,FALSE),0),0)</f>
        <v>0</v>
      </c>
      <c r="G141" s="459">
        <f>IFERROR(VLOOKUP(P141,COPY!$A$1:$L$1000,4,FALSE),0)</f>
        <v>0</v>
      </c>
      <c r="H141" s="457">
        <f>IFERROR(VLOOKUP(P141,COPY!$A$1:$L$1000,2,FALSE),0)</f>
        <v>0</v>
      </c>
      <c r="I141" s="510">
        <f>IFERROR(VLOOKUP(P141,COPY!$A$1:$L$1000,10,FALSE),0)</f>
        <v>0</v>
      </c>
      <c r="J141" s="467">
        <f>IFERROR(VLOOKUP(P141,COPY!$A$1:$L$1000,8,FALSE),0)</f>
        <v>0</v>
      </c>
      <c r="K141" s="457">
        <f>IFERROR(VLOOKUP(P141,COPY!$A$1:$L$1000,7,FALSE),0)</f>
        <v>0</v>
      </c>
      <c r="L141" s="468">
        <f>IFERROR(VLOOKUP(P141,COPY!$A$1:$O$1000,15,FALSE),0)</f>
        <v>0</v>
      </c>
      <c r="M141" s="468">
        <f>IFERROR(VLOOKUP(P141,COPY!$A$1:$L$1000,12,FALSE),0)</f>
        <v>0</v>
      </c>
      <c r="N141" s="471">
        <f>IF(H141="Jasa",VLOOKUP('BKU 2'!K141,'Rekap Gaji'!$D$12:$I$26,6,FALSE),(IF(H141="Beli",VLOOKUP(P141,COPY!$A$1:$L$1000,11,FALSE),IF(H141="Bayar Ongkos",VLOOKUP(K141,'Rekap Gaji'!$D$12:$I$26,6,FALSE),0))))</f>
        <v>0</v>
      </c>
      <c r="O141" s="470"/>
      <c r="P141" s="466" t="str">
        <f t="shared" si="6"/>
        <v/>
      </c>
      <c r="Q141" s="253">
        <f t="shared" si="8"/>
        <v>0</v>
      </c>
      <c r="R141" s="253">
        <f t="shared" si="9"/>
        <v>0</v>
      </c>
      <c r="S141" s="449">
        <f t="shared" si="10"/>
        <v>110</v>
      </c>
      <c r="T141" s="253">
        <f t="shared" si="11"/>
        <v>32</v>
      </c>
      <c r="U141" s="457" t="str">
        <f t="shared" si="7"/>
        <v xml:space="preserve"> </v>
      </c>
    </row>
    <row r="142" spans="1:21" ht="20.100000000000001" hidden="1" customHeight="1" x14ac:dyDescent="0.25">
      <c r="A142" s="470"/>
      <c r="B142" s="456">
        <f>IF(LEFT(C142,16)="Terima Pajak PPN",VLOOKUP(P142,COPY!$A$1:$AC$1000,21,FALSE),IF(LEFT(C142,16)="Terima Pajak PPH",VLOOKUP(P142,COPY!$A$1:$AC$1000,21,FALSE),IF(LEFT(C142,13)="Terima PPh 23",VLOOKUP(P142,COPY!$A$1:$AC$1000,21,FALSE),0)))</f>
        <v>0</v>
      </c>
      <c r="C142" s="457">
        <f>IFERROR(IF(LEFT(VLOOKUP(P142,COPY!$A$1:$AC$1000,29,FALSE),5)="Terim",VLOOKUP(P142,COPY!$A$1:$AC$1000,29,FALSE),0),0)</f>
        <v>0</v>
      </c>
      <c r="D142" s="457"/>
      <c r="E142" s="457"/>
      <c r="F142" s="458">
        <f>IFERROR(IF(LEFT(VLOOKUP(P142,COPY!$A$1:$AC$1000,29,FALSE),5)="Terim",VLOOKUP(P142,COPY!$A$1:$AC$1000,26,FALSE),0),0)</f>
        <v>0</v>
      </c>
      <c r="G142" s="459">
        <f>IFERROR(VLOOKUP(P142,COPY!$A$1:$L$1000,4,FALSE),0)</f>
        <v>0</v>
      </c>
      <c r="H142" s="457">
        <f>IFERROR(VLOOKUP(P142,COPY!$A$1:$L$1000,2,FALSE),0)</f>
        <v>0</v>
      </c>
      <c r="I142" s="510">
        <f>IFERROR(VLOOKUP(P142,COPY!$A$1:$L$1000,10,FALSE),0)</f>
        <v>0</v>
      </c>
      <c r="J142" s="467">
        <f>IFERROR(VLOOKUP(P142,COPY!$A$1:$L$1000,8,FALSE),0)</f>
        <v>0</v>
      </c>
      <c r="K142" s="457">
        <f>IFERROR(VLOOKUP(P142,COPY!$A$1:$L$1000,7,FALSE),0)</f>
        <v>0</v>
      </c>
      <c r="L142" s="468">
        <f>IFERROR(VLOOKUP(P142,COPY!$A$1:$O$1000,15,FALSE),0)</f>
        <v>0</v>
      </c>
      <c r="M142" s="468">
        <f>IFERROR(VLOOKUP(P142,COPY!$A$1:$L$1000,12,FALSE),0)</f>
        <v>0</v>
      </c>
      <c r="N142" s="471">
        <f>IF(H142="Jasa",VLOOKUP('BKU 2'!K142,'Rekap Gaji'!$D$12:$I$26,6,FALSE),(IF(H142="Beli",VLOOKUP(P142,COPY!$A$1:$L$1000,11,FALSE),IF(H142="Bayar Ongkos",VLOOKUP(K142,'Rekap Gaji'!$D$12:$I$26,6,FALSE),0))))</f>
        <v>0</v>
      </c>
      <c r="O142" s="470"/>
      <c r="P142" s="466" t="str">
        <f t="shared" si="6"/>
        <v/>
      </c>
      <c r="Q142" s="253">
        <f t="shared" si="8"/>
        <v>0</v>
      </c>
      <c r="R142" s="253">
        <f t="shared" si="9"/>
        <v>0</v>
      </c>
      <c r="S142" s="449">
        <f t="shared" si="10"/>
        <v>111</v>
      </c>
      <c r="T142" s="253">
        <f t="shared" si="11"/>
        <v>33</v>
      </c>
      <c r="U142" s="457" t="str">
        <f t="shared" si="7"/>
        <v xml:space="preserve"> </v>
      </c>
    </row>
    <row r="143" spans="1:21" ht="20.100000000000001" hidden="1" customHeight="1" x14ac:dyDescent="0.25">
      <c r="A143" s="470"/>
      <c r="B143" s="456">
        <f>IF(LEFT(C143,16)="Terima Pajak PPN",VLOOKUP(P143,COPY!$A$1:$AC$1000,21,FALSE),IF(LEFT(C143,16)="Terima Pajak PPH",VLOOKUP(P143,COPY!$A$1:$AC$1000,21,FALSE),IF(LEFT(C143,13)="Terima PPh 23",VLOOKUP(P143,COPY!$A$1:$AC$1000,21,FALSE),0)))</f>
        <v>0</v>
      </c>
      <c r="C143" s="457">
        <f>IFERROR(IF(LEFT(VLOOKUP(P143,COPY!$A$1:$AC$1000,29,FALSE),5)="Terim",VLOOKUP(P143,COPY!$A$1:$AC$1000,29,FALSE),0),0)</f>
        <v>0</v>
      </c>
      <c r="D143" s="457"/>
      <c r="E143" s="457"/>
      <c r="F143" s="458">
        <f>IFERROR(IF(LEFT(VLOOKUP(P143,COPY!$A$1:$AC$1000,29,FALSE),5)="Terim",VLOOKUP(P143,COPY!$A$1:$AC$1000,26,FALSE),0),0)</f>
        <v>0</v>
      </c>
      <c r="G143" s="459">
        <f>IFERROR(VLOOKUP(P143,COPY!$A$1:$L$1000,4,FALSE),0)</f>
        <v>0</v>
      </c>
      <c r="H143" s="457">
        <f>IFERROR(VLOOKUP(P143,COPY!$A$1:$L$1000,2,FALSE),0)</f>
        <v>0</v>
      </c>
      <c r="I143" s="510">
        <f>IFERROR(VLOOKUP(P143,COPY!$A$1:$L$1000,10,FALSE),0)</f>
        <v>0</v>
      </c>
      <c r="J143" s="467">
        <f>IFERROR(VLOOKUP(P143,COPY!$A$1:$L$1000,8,FALSE),0)</f>
        <v>0</v>
      </c>
      <c r="K143" s="457">
        <f>IFERROR(VLOOKUP(P143,COPY!$A$1:$L$1000,7,FALSE),0)</f>
        <v>0</v>
      </c>
      <c r="L143" s="468">
        <f>IFERROR(VLOOKUP(P143,COPY!$A$1:$O$1000,15,FALSE),0)</f>
        <v>0</v>
      </c>
      <c r="M143" s="468">
        <f>IFERROR(VLOOKUP(P143,COPY!$A$1:$L$1000,12,FALSE),0)</f>
        <v>0</v>
      </c>
      <c r="N143" s="471">
        <f>IF(H143="Jasa",VLOOKUP('BKU 2'!K143,'Rekap Gaji'!$D$12:$I$26,6,FALSE),(IF(H143="Beli",VLOOKUP(P143,COPY!$A$1:$L$1000,11,FALSE),IF(H143="Bayar Ongkos",VLOOKUP(K143,'Rekap Gaji'!$D$12:$I$26,6,FALSE),0))))</f>
        <v>0</v>
      </c>
      <c r="O143" s="470"/>
      <c r="P143" s="466" t="str">
        <f t="shared" si="6"/>
        <v/>
      </c>
      <c r="Q143" s="253">
        <f t="shared" si="8"/>
        <v>0</v>
      </c>
      <c r="R143" s="253">
        <f t="shared" si="9"/>
        <v>0</v>
      </c>
      <c r="S143" s="449">
        <f t="shared" si="10"/>
        <v>112</v>
      </c>
      <c r="T143" s="253">
        <f t="shared" si="11"/>
        <v>34</v>
      </c>
      <c r="U143" s="457" t="str">
        <f t="shared" si="7"/>
        <v xml:space="preserve"> </v>
      </c>
    </row>
    <row r="144" spans="1:21" ht="20.100000000000001" hidden="1" customHeight="1" x14ac:dyDescent="0.25">
      <c r="A144" s="470"/>
      <c r="B144" s="456">
        <f>IF(LEFT(C144,16)="Terima Pajak PPN",VLOOKUP(P144,COPY!$A$1:$AC$1000,21,FALSE),IF(LEFT(C144,16)="Terima Pajak PPH",VLOOKUP(P144,COPY!$A$1:$AC$1000,21,FALSE),IF(LEFT(C144,13)="Terima PPh 23",VLOOKUP(P144,COPY!$A$1:$AC$1000,21,FALSE),0)))</f>
        <v>0</v>
      </c>
      <c r="C144" s="457">
        <f>IFERROR(IF(LEFT(VLOOKUP(P144,COPY!$A$1:$AC$1000,29,FALSE),5)="Terim",VLOOKUP(P144,COPY!$A$1:$AC$1000,29,FALSE),0),0)</f>
        <v>0</v>
      </c>
      <c r="D144" s="457"/>
      <c r="E144" s="457"/>
      <c r="F144" s="458">
        <f>IFERROR(IF(LEFT(VLOOKUP(P144,COPY!$A$1:$AC$1000,29,FALSE),5)="Terim",VLOOKUP(P144,COPY!$A$1:$AC$1000,26,FALSE),0),0)</f>
        <v>0</v>
      </c>
      <c r="G144" s="459">
        <f>IFERROR(VLOOKUP(P144,COPY!$A$1:$L$1000,4,FALSE),0)</f>
        <v>0</v>
      </c>
      <c r="H144" s="457">
        <f>IFERROR(VLOOKUP(P144,COPY!$A$1:$L$1000,2,FALSE),0)</f>
        <v>0</v>
      </c>
      <c r="I144" s="510">
        <f>IFERROR(VLOOKUP(P144,COPY!$A$1:$L$1000,10,FALSE),0)</f>
        <v>0</v>
      </c>
      <c r="J144" s="467">
        <f>IFERROR(VLOOKUP(P144,COPY!$A$1:$L$1000,8,FALSE),0)</f>
        <v>0</v>
      </c>
      <c r="K144" s="457">
        <f>IFERROR(VLOOKUP(P144,COPY!$A$1:$L$1000,7,FALSE),0)</f>
        <v>0</v>
      </c>
      <c r="L144" s="468">
        <f>IFERROR(VLOOKUP(P144,COPY!$A$1:$O$1000,15,FALSE),0)</f>
        <v>0</v>
      </c>
      <c r="M144" s="468">
        <f>IFERROR(VLOOKUP(P144,COPY!$A$1:$L$1000,12,FALSE),0)</f>
        <v>0</v>
      </c>
      <c r="N144" s="471">
        <f>IF(H144="Jasa",VLOOKUP('BKU 2'!K144,'Rekap Gaji'!$D$12:$I$26,6,FALSE),(IF(H144="Beli",VLOOKUP(P144,COPY!$A$1:$L$1000,11,FALSE),IF(H144="Bayar Ongkos",VLOOKUP(K144,'Rekap Gaji'!$D$12:$I$26,6,FALSE),0))))</f>
        <v>0</v>
      </c>
      <c r="O144" s="470"/>
      <c r="P144" s="466" t="str">
        <f t="shared" si="6"/>
        <v/>
      </c>
      <c r="Q144" s="253">
        <f t="shared" si="8"/>
        <v>0</v>
      </c>
      <c r="R144" s="253">
        <f t="shared" si="9"/>
        <v>0</v>
      </c>
      <c r="S144" s="449">
        <f t="shared" si="10"/>
        <v>113</v>
      </c>
      <c r="T144" s="253">
        <f t="shared" si="11"/>
        <v>35</v>
      </c>
      <c r="U144" s="457" t="str">
        <f t="shared" si="7"/>
        <v xml:space="preserve"> </v>
      </c>
    </row>
    <row r="145" spans="1:21" ht="20.100000000000001" hidden="1" customHeight="1" x14ac:dyDescent="0.25">
      <c r="A145" s="470"/>
      <c r="B145" s="456">
        <f>IF(LEFT(C145,16)="Terima Pajak PPN",VLOOKUP(P145,COPY!$A$1:$AC$1000,21,FALSE),IF(LEFT(C145,16)="Terima Pajak PPH",VLOOKUP(P145,COPY!$A$1:$AC$1000,21,FALSE),IF(LEFT(C145,13)="Terima PPh 23",VLOOKUP(P145,COPY!$A$1:$AC$1000,21,FALSE),0)))</f>
        <v>0</v>
      </c>
      <c r="C145" s="457">
        <f>IFERROR(IF(LEFT(VLOOKUP(P145,COPY!$A$1:$AC$1000,29,FALSE),5)="Terim",VLOOKUP(P145,COPY!$A$1:$AC$1000,29,FALSE),0),0)</f>
        <v>0</v>
      </c>
      <c r="D145" s="457"/>
      <c r="E145" s="457"/>
      <c r="F145" s="458">
        <f>IFERROR(IF(LEFT(VLOOKUP(P145,COPY!$A$1:$AC$1000,29,FALSE),5)="Terim",VLOOKUP(P145,COPY!$A$1:$AC$1000,26,FALSE),0),0)</f>
        <v>0</v>
      </c>
      <c r="G145" s="459">
        <f>IFERROR(VLOOKUP(P145,COPY!$A$1:$L$1000,4,FALSE),0)</f>
        <v>0</v>
      </c>
      <c r="H145" s="457">
        <f>IFERROR(VLOOKUP(P145,COPY!$A$1:$L$1000,2,FALSE),0)</f>
        <v>0</v>
      </c>
      <c r="I145" s="510">
        <f>IFERROR(VLOOKUP(P145,COPY!$A$1:$L$1000,10,FALSE),0)</f>
        <v>0</v>
      </c>
      <c r="J145" s="467">
        <f>IFERROR(VLOOKUP(P145,COPY!$A$1:$L$1000,8,FALSE),0)</f>
        <v>0</v>
      </c>
      <c r="K145" s="457">
        <f>IFERROR(VLOOKUP(P145,COPY!$A$1:$L$1000,7,FALSE),0)</f>
        <v>0</v>
      </c>
      <c r="L145" s="468">
        <f>IFERROR(VLOOKUP(P145,COPY!$A$1:$O$1000,15,FALSE),0)</f>
        <v>0</v>
      </c>
      <c r="M145" s="468">
        <f>IFERROR(VLOOKUP(P145,COPY!$A$1:$L$1000,12,FALSE),0)</f>
        <v>0</v>
      </c>
      <c r="N145" s="471">
        <f>IF(H145="Jasa",VLOOKUP('BKU 2'!K145,'Rekap Gaji'!$D$12:$I$26,6,FALSE),(IF(H145="Beli",VLOOKUP(P145,COPY!$A$1:$L$1000,11,FALSE),IF(H145="Bayar Ongkos",VLOOKUP(K145,'Rekap Gaji'!$D$12:$I$26,6,FALSE),0))))</f>
        <v>0</v>
      </c>
      <c r="O145" s="470"/>
      <c r="P145" s="466" t="str">
        <f t="shared" si="6"/>
        <v/>
      </c>
      <c r="Q145" s="253">
        <f t="shared" si="8"/>
        <v>0</v>
      </c>
      <c r="R145" s="253">
        <f t="shared" si="9"/>
        <v>0</v>
      </c>
      <c r="S145" s="449">
        <f t="shared" si="10"/>
        <v>114</v>
      </c>
      <c r="T145" s="253">
        <f t="shared" si="11"/>
        <v>36</v>
      </c>
      <c r="U145" s="457" t="str">
        <f t="shared" si="7"/>
        <v xml:space="preserve"> </v>
      </c>
    </row>
    <row r="146" spans="1:21" ht="20.100000000000001" hidden="1" customHeight="1" x14ac:dyDescent="0.25">
      <c r="A146" s="470"/>
      <c r="B146" s="456">
        <f>IF(LEFT(C146,16)="Terima Pajak PPN",VLOOKUP(P146,COPY!$A$1:$AC$1000,21,FALSE),IF(LEFT(C146,16)="Terima Pajak PPH",VLOOKUP(P146,COPY!$A$1:$AC$1000,21,FALSE),IF(LEFT(C146,13)="Terima PPh 23",VLOOKUP(P146,COPY!$A$1:$AC$1000,21,FALSE),0)))</f>
        <v>0</v>
      </c>
      <c r="C146" s="457">
        <f>IFERROR(IF(LEFT(VLOOKUP(P146,COPY!$A$1:$AC$1000,29,FALSE),5)="Terim",VLOOKUP(P146,COPY!$A$1:$AC$1000,29,FALSE),0),0)</f>
        <v>0</v>
      </c>
      <c r="D146" s="457"/>
      <c r="E146" s="457"/>
      <c r="F146" s="458">
        <f>IFERROR(IF(LEFT(VLOOKUP(P146,COPY!$A$1:$AC$1000,29,FALSE),5)="Terim",VLOOKUP(P146,COPY!$A$1:$AC$1000,26,FALSE),0),0)</f>
        <v>0</v>
      </c>
      <c r="G146" s="459">
        <f>IFERROR(VLOOKUP(P146,COPY!$A$1:$L$1000,4,FALSE),0)</f>
        <v>0</v>
      </c>
      <c r="H146" s="457">
        <f>IFERROR(VLOOKUP(P146,COPY!$A$1:$L$1000,2,FALSE),0)</f>
        <v>0</v>
      </c>
      <c r="I146" s="510">
        <f>IFERROR(VLOOKUP(P146,COPY!$A$1:$L$1000,10,FALSE),0)</f>
        <v>0</v>
      </c>
      <c r="J146" s="467">
        <f>IFERROR(VLOOKUP(P146,COPY!$A$1:$L$1000,8,FALSE),0)</f>
        <v>0</v>
      </c>
      <c r="K146" s="457">
        <f>IFERROR(VLOOKUP(P146,COPY!$A$1:$L$1000,7,FALSE),0)</f>
        <v>0</v>
      </c>
      <c r="L146" s="468">
        <f>IFERROR(VLOOKUP(P146,COPY!$A$1:$O$1000,15,FALSE),0)</f>
        <v>0</v>
      </c>
      <c r="M146" s="468">
        <f>IFERROR(VLOOKUP(P146,COPY!$A$1:$L$1000,12,FALSE),0)</f>
        <v>0</v>
      </c>
      <c r="N146" s="471">
        <f>IF(H146="Jasa",VLOOKUP('BKU 2'!K146,'Rekap Gaji'!$D$12:$I$26,6,FALSE),(IF(H146="Beli",VLOOKUP(P146,COPY!$A$1:$L$1000,11,FALSE),IF(H146="Bayar Ongkos",VLOOKUP(K146,'Rekap Gaji'!$D$12:$I$26,6,FALSE),0))))</f>
        <v>0</v>
      </c>
      <c r="O146" s="470"/>
      <c r="P146" s="466" t="str">
        <f t="shared" si="6"/>
        <v/>
      </c>
      <c r="Q146" s="253">
        <f t="shared" si="8"/>
        <v>0</v>
      </c>
      <c r="R146" s="253">
        <f t="shared" si="9"/>
        <v>0</v>
      </c>
      <c r="S146" s="449">
        <f t="shared" si="10"/>
        <v>115</v>
      </c>
      <c r="T146" s="253">
        <f t="shared" si="11"/>
        <v>37</v>
      </c>
      <c r="U146" s="457" t="str">
        <f t="shared" si="7"/>
        <v xml:space="preserve"> </v>
      </c>
    </row>
    <row r="147" spans="1:21" ht="20.100000000000001" hidden="1" customHeight="1" x14ac:dyDescent="0.25">
      <c r="A147" s="470"/>
      <c r="B147" s="456">
        <f>IF(LEFT(C147,16)="Terima Pajak PPN",VLOOKUP(P147,COPY!$A$1:$AC$1000,21,FALSE),IF(LEFT(C147,16)="Terima Pajak PPH",VLOOKUP(P147,COPY!$A$1:$AC$1000,21,FALSE),IF(LEFT(C147,13)="Terima PPh 23",VLOOKUP(P147,COPY!$A$1:$AC$1000,21,FALSE),0)))</f>
        <v>0</v>
      </c>
      <c r="C147" s="457">
        <f>IFERROR(IF(LEFT(VLOOKUP(P147,COPY!$A$1:$AC$1000,29,FALSE),5)="Terim",VLOOKUP(P147,COPY!$A$1:$AC$1000,29,FALSE),0),0)</f>
        <v>0</v>
      </c>
      <c r="D147" s="457"/>
      <c r="E147" s="457"/>
      <c r="F147" s="458">
        <f>IFERROR(IF(LEFT(VLOOKUP(P147,COPY!$A$1:$AC$1000,29,FALSE),5)="Terim",VLOOKUP(P147,COPY!$A$1:$AC$1000,26,FALSE),0),0)</f>
        <v>0</v>
      </c>
      <c r="G147" s="459">
        <f>IFERROR(VLOOKUP(P147,COPY!$A$1:$L$1000,4,FALSE),0)</f>
        <v>0</v>
      </c>
      <c r="H147" s="457">
        <f>IFERROR(VLOOKUP(P147,COPY!$A$1:$L$1000,2,FALSE),0)</f>
        <v>0</v>
      </c>
      <c r="I147" s="510">
        <f>IFERROR(VLOOKUP(P147,COPY!$A$1:$L$1000,10,FALSE),0)</f>
        <v>0</v>
      </c>
      <c r="J147" s="467">
        <f>IFERROR(VLOOKUP(P147,COPY!$A$1:$L$1000,8,FALSE),0)</f>
        <v>0</v>
      </c>
      <c r="K147" s="457">
        <f>IFERROR(VLOOKUP(P147,COPY!$A$1:$L$1000,7,FALSE),0)</f>
        <v>0</v>
      </c>
      <c r="L147" s="468">
        <f>IFERROR(VLOOKUP(P147,COPY!$A$1:$O$1000,15,FALSE),0)</f>
        <v>0</v>
      </c>
      <c r="M147" s="468">
        <f>IFERROR(VLOOKUP(P147,COPY!$A$1:$L$1000,12,FALSE),0)</f>
        <v>0</v>
      </c>
      <c r="N147" s="471">
        <f>IF(H147="Jasa",VLOOKUP('BKU 2'!K147,'Rekap Gaji'!$D$12:$I$26,6,FALSE),(IF(H147="Beli",VLOOKUP(P147,COPY!$A$1:$L$1000,11,FALSE),IF(H147="Bayar Ongkos",VLOOKUP(K147,'Rekap Gaji'!$D$12:$I$26,6,FALSE),0))))</f>
        <v>0</v>
      </c>
      <c r="O147" s="470"/>
      <c r="P147" s="466" t="str">
        <f t="shared" si="6"/>
        <v/>
      </c>
      <c r="Q147" s="253">
        <f t="shared" si="8"/>
        <v>0</v>
      </c>
      <c r="R147" s="253">
        <f t="shared" si="9"/>
        <v>0</v>
      </c>
      <c r="S147" s="449">
        <f t="shared" si="10"/>
        <v>116</v>
      </c>
      <c r="T147" s="253">
        <f t="shared" si="11"/>
        <v>38</v>
      </c>
      <c r="U147" s="457" t="str">
        <f t="shared" si="7"/>
        <v xml:space="preserve"> </v>
      </c>
    </row>
    <row r="148" spans="1:21" ht="20.100000000000001" hidden="1" customHeight="1" x14ac:dyDescent="0.25">
      <c r="A148" s="470"/>
      <c r="B148" s="456">
        <f>IF(LEFT(C148,16)="Terima Pajak PPN",VLOOKUP(P148,COPY!$A$1:$AC$1000,21,FALSE),IF(LEFT(C148,16)="Terima Pajak PPH",VLOOKUP(P148,COPY!$A$1:$AC$1000,21,FALSE),IF(LEFT(C148,13)="Terima PPh 23",VLOOKUP(P148,COPY!$A$1:$AC$1000,21,FALSE),0)))</f>
        <v>0</v>
      </c>
      <c r="C148" s="457">
        <f>IFERROR(IF(LEFT(VLOOKUP(P148,COPY!$A$1:$AC$1000,29,FALSE),5)="Terim",VLOOKUP(P148,COPY!$A$1:$AC$1000,29,FALSE),0),0)</f>
        <v>0</v>
      </c>
      <c r="D148" s="457"/>
      <c r="E148" s="457"/>
      <c r="F148" s="458">
        <f>IFERROR(IF(LEFT(VLOOKUP(P148,COPY!$A$1:$AC$1000,29,FALSE),5)="Terim",VLOOKUP(P148,COPY!$A$1:$AC$1000,26,FALSE),0),0)</f>
        <v>0</v>
      </c>
      <c r="G148" s="459">
        <f>IFERROR(VLOOKUP(P148,COPY!$A$1:$L$1000,4,FALSE),0)</f>
        <v>0</v>
      </c>
      <c r="H148" s="457">
        <f>IFERROR(VLOOKUP(P148,COPY!$A$1:$L$1000,2,FALSE),0)</f>
        <v>0</v>
      </c>
      <c r="I148" s="510">
        <f>IFERROR(VLOOKUP(P148,COPY!$A$1:$L$1000,10,FALSE),0)</f>
        <v>0</v>
      </c>
      <c r="J148" s="467">
        <f>IFERROR(VLOOKUP(P148,COPY!$A$1:$L$1000,8,FALSE),0)</f>
        <v>0</v>
      </c>
      <c r="K148" s="457">
        <f>IFERROR(VLOOKUP(P148,COPY!$A$1:$L$1000,7,FALSE),0)</f>
        <v>0</v>
      </c>
      <c r="L148" s="468">
        <f>IFERROR(VLOOKUP(P148,COPY!$A$1:$O$1000,15,FALSE),0)</f>
        <v>0</v>
      </c>
      <c r="M148" s="468">
        <f>IFERROR(VLOOKUP(P148,COPY!$A$1:$L$1000,12,FALSE),0)</f>
        <v>0</v>
      </c>
      <c r="N148" s="471">
        <f>IF(H148="Jasa",VLOOKUP('BKU 2'!K148,'Rekap Gaji'!$D$12:$I$26,6,FALSE),(IF(H148="Beli",VLOOKUP(P148,COPY!$A$1:$L$1000,11,FALSE),IF(H148="Bayar Ongkos",VLOOKUP(K148,'Rekap Gaji'!$D$12:$I$26,6,FALSE),0))))</f>
        <v>0</v>
      </c>
      <c r="O148" s="470"/>
      <c r="P148" s="466" t="str">
        <f t="shared" si="6"/>
        <v/>
      </c>
      <c r="Q148" s="253">
        <f t="shared" si="8"/>
        <v>0</v>
      </c>
      <c r="R148" s="253">
        <f t="shared" si="9"/>
        <v>0</v>
      </c>
      <c r="S148" s="449">
        <f t="shared" si="10"/>
        <v>117</v>
      </c>
      <c r="T148" s="253">
        <f t="shared" si="11"/>
        <v>39</v>
      </c>
      <c r="U148" s="457" t="str">
        <f t="shared" si="7"/>
        <v xml:space="preserve"> </v>
      </c>
    </row>
    <row r="149" spans="1:21" ht="20.100000000000001" hidden="1" customHeight="1" x14ac:dyDescent="0.25">
      <c r="A149" s="470"/>
      <c r="B149" s="456">
        <f>IF(LEFT(C149,16)="Terima Pajak PPN",VLOOKUP(P149,COPY!$A$1:$AC$1000,21,FALSE),IF(LEFT(C149,16)="Terima Pajak PPH",VLOOKUP(P149,COPY!$A$1:$AC$1000,21,FALSE),IF(LEFT(C149,13)="Terima PPh 23",VLOOKUP(P149,COPY!$A$1:$AC$1000,21,FALSE),0)))</f>
        <v>0</v>
      </c>
      <c r="C149" s="457">
        <f>IFERROR(IF(LEFT(VLOOKUP(P149,COPY!$A$1:$AC$1000,29,FALSE),5)="Terim",VLOOKUP(P149,COPY!$A$1:$AC$1000,29,FALSE),0),0)</f>
        <v>0</v>
      </c>
      <c r="D149" s="457"/>
      <c r="E149" s="457"/>
      <c r="F149" s="458">
        <f>IFERROR(IF(LEFT(VLOOKUP(P149,COPY!$A$1:$AC$1000,29,FALSE),5)="Terim",VLOOKUP(P149,COPY!$A$1:$AC$1000,26,FALSE),0),0)</f>
        <v>0</v>
      </c>
      <c r="G149" s="459">
        <f>IFERROR(VLOOKUP(P149,COPY!$A$1:$L$1000,4,FALSE),0)</f>
        <v>0</v>
      </c>
      <c r="H149" s="457">
        <f>IFERROR(VLOOKUP(P149,COPY!$A$1:$L$1000,2,FALSE),0)</f>
        <v>0</v>
      </c>
      <c r="I149" s="510">
        <f>IFERROR(VLOOKUP(P149,COPY!$A$1:$L$1000,10,FALSE),0)</f>
        <v>0</v>
      </c>
      <c r="J149" s="467">
        <f>IFERROR(VLOOKUP(P149,COPY!$A$1:$L$1000,8,FALSE),0)</f>
        <v>0</v>
      </c>
      <c r="K149" s="457">
        <f>IFERROR(VLOOKUP(P149,COPY!$A$1:$L$1000,7,FALSE),0)</f>
        <v>0</v>
      </c>
      <c r="L149" s="468">
        <f>IFERROR(VLOOKUP(P149,COPY!$A$1:$O$1000,15,FALSE),0)</f>
        <v>0</v>
      </c>
      <c r="M149" s="468">
        <f>IFERROR(VLOOKUP(P149,COPY!$A$1:$L$1000,12,FALSE),0)</f>
        <v>0</v>
      </c>
      <c r="N149" s="471">
        <f>IF(H149="Jasa",VLOOKUP('BKU 2'!K149,'Rekap Gaji'!$D$12:$I$26,6,FALSE),(IF(H149="Beli",VLOOKUP(P149,COPY!$A$1:$L$1000,11,FALSE),IF(H149="Bayar Ongkos",VLOOKUP(K149,'Rekap Gaji'!$D$12:$I$26,6,FALSE),0))))</f>
        <v>0</v>
      </c>
      <c r="O149" s="470"/>
      <c r="P149" s="466" t="str">
        <f t="shared" si="6"/>
        <v/>
      </c>
      <c r="Q149" s="253">
        <f t="shared" si="8"/>
        <v>0</v>
      </c>
      <c r="R149" s="253">
        <f t="shared" si="9"/>
        <v>0</v>
      </c>
      <c r="S149" s="449">
        <f t="shared" si="10"/>
        <v>118</v>
      </c>
      <c r="T149" s="253">
        <f t="shared" si="11"/>
        <v>40</v>
      </c>
      <c r="U149" s="457" t="str">
        <f t="shared" si="7"/>
        <v xml:space="preserve"> </v>
      </c>
    </row>
    <row r="150" spans="1:21" ht="20.100000000000001" hidden="1" customHeight="1" x14ac:dyDescent="0.25">
      <c r="A150" s="470"/>
      <c r="B150" s="456">
        <f>IF(LEFT(C150,16)="Terima Pajak PPN",VLOOKUP(P150,COPY!$A$1:$AC$1000,21,FALSE),IF(LEFT(C150,16)="Terima Pajak PPH",VLOOKUP(P150,COPY!$A$1:$AC$1000,21,FALSE),IF(LEFT(C150,13)="Terima PPh 23",VLOOKUP(P150,COPY!$A$1:$AC$1000,21,FALSE),0)))</f>
        <v>0</v>
      </c>
      <c r="C150" s="457">
        <f>IFERROR(IF(LEFT(VLOOKUP(P150,COPY!$A$1:$AC$1000,29,FALSE),5)="Terim",VLOOKUP(P150,COPY!$A$1:$AC$1000,29,FALSE),0),0)</f>
        <v>0</v>
      </c>
      <c r="D150" s="457"/>
      <c r="E150" s="457"/>
      <c r="F150" s="458">
        <f>IFERROR(IF(LEFT(VLOOKUP(P150,COPY!$A$1:$AC$1000,29,FALSE),5)="Terim",VLOOKUP(P150,COPY!$A$1:$AC$1000,26,FALSE),0),0)</f>
        <v>0</v>
      </c>
      <c r="G150" s="459">
        <f>IFERROR(VLOOKUP(P150,COPY!$A$1:$L$1000,4,FALSE),0)</f>
        <v>0</v>
      </c>
      <c r="H150" s="457">
        <f>IFERROR(VLOOKUP(P150,COPY!$A$1:$L$1000,2,FALSE),0)</f>
        <v>0</v>
      </c>
      <c r="I150" s="510">
        <f>IFERROR(VLOOKUP(P150,COPY!$A$1:$L$1000,10,FALSE),0)</f>
        <v>0</v>
      </c>
      <c r="J150" s="467">
        <f>IFERROR(VLOOKUP(P150,COPY!$A$1:$L$1000,8,FALSE),0)</f>
        <v>0</v>
      </c>
      <c r="K150" s="457">
        <f>IFERROR(VLOOKUP(P150,COPY!$A$1:$L$1000,7,FALSE),0)</f>
        <v>0</v>
      </c>
      <c r="L150" s="468">
        <f>IFERROR(VLOOKUP(P150,COPY!$A$1:$O$1000,15,FALSE),0)</f>
        <v>0</v>
      </c>
      <c r="M150" s="468">
        <f>IFERROR(VLOOKUP(P150,COPY!$A$1:$L$1000,12,FALSE),0)</f>
        <v>0</v>
      </c>
      <c r="N150" s="471">
        <f>IF(H150="Jasa",VLOOKUP('BKU 2'!K150,'Rekap Gaji'!$D$12:$I$26,6,FALSE),(IF(H150="Beli",VLOOKUP(P150,COPY!$A$1:$L$1000,11,FALSE),IF(H150="Bayar Ongkos",VLOOKUP(K150,'Rekap Gaji'!$D$12:$I$26,6,FALSE),0))))</f>
        <v>0</v>
      </c>
      <c r="O150" s="470"/>
      <c r="P150" s="466" t="str">
        <f t="shared" si="6"/>
        <v/>
      </c>
      <c r="Q150" s="253">
        <f t="shared" si="8"/>
        <v>0</v>
      </c>
      <c r="R150" s="253">
        <f t="shared" si="9"/>
        <v>0</v>
      </c>
      <c r="S150" s="449">
        <f t="shared" si="10"/>
        <v>119</v>
      </c>
      <c r="T150" s="253">
        <f t="shared" si="11"/>
        <v>41</v>
      </c>
      <c r="U150" s="457" t="str">
        <f t="shared" si="7"/>
        <v xml:space="preserve"> </v>
      </c>
    </row>
    <row r="151" spans="1:21" ht="20.100000000000001" hidden="1" customHeight="1" x14ac:dyDescent="0.25">
      <c r="A151" s="470"/>
      <c r="B151" s="456">
        <f>IF(LEFT(C151,16)="Terima Pajak PPN",VLOOKUP(P151,COPY!$A$1:$AC$1000,21,FALSE),IF(LEFT(C151,16)="Terima Pajak PPH",VLOOKUP(P151,COPY!$A$1:$AC$1000,21,FALSE),IF(LEFT(C151,13)="Terima PPh 23",VLOOKUP(P151,COPY!$A$1:$AC$1000,21,FALSE),0)))</f>
        <v>0</v>
      </c>
      <c r="C151" s="457">
        <f>IFERROR(IF(LEFT(VLOOKUP(P151,COPY!$A$1:$AC$1000,29,FALSE),5)="Terim",VLOOKUP(P151,COPY!$A$1:$AC$1000,29,FALSE),0),0)</f>
        <v>0</v>
      </c>
      <c r="D151" s="457"/>
      <c r="E151" s="457"/>
      <c r="F151" s="458">
        <f>IFERROR(IF(LEFT(VLOOKUP(P151,COPY!$A$1:$AC$1000,29,FALSE),5)="Terim",VLOOKUP(P151,COPY!$A$1:$AC$1000,26,FALSE),0),0)</f>
        <v>0</v>
      </c>
      <c r="G151" s="459">
        <f>IFERROR(VLOOKUP(P151,COPY!$A$1:$L$1000,4,FALSE),0)</f>
        <v>0</v>
      </c>
      <c r="H151" s="457">
        <f>IFERROR(VLOOKUP(P151,COPY!$A$1:$L$1000,2,FALSE),0)</f>
        <v>0</v>
      </c>
      <c r="I151" s="510">
        <f>IFERROR(VLOOKUP(P151,COPY!$A$1:$L$1000,10,FALSE),0)</f>
        <v>0</v>
      </c>
      <c r="J151" s="467">
        <f>IFERROR(VLOOKUP(P151,COPY!$A$1:$L$1000,8,FALSE),0)</f>
        <v>0</v>
      </c>
      <c r="K151" s="457">
        <f>IFERROR(VLOOKUP(P151,COPY!$A$1:$L$1000,7,FALSE),0)</f>
        <v>0</v>
      </c>
      <c r="L151" s="468">
        <f>IFERROR(VLOOKUP(P151,COPY!$A$1:$O$1000,15,FALSE),0)</f>
        <v>0</v>
      </c>
      <c r="M151" s="468">
        <f>IFERROR(VLOOKUP(P151,COPY!$A$1:$L$1000,12,FALSE),0)</f>
        <v>0</v>
      </c>
      <c r="N151" s="471">
        <f>IF(H151="Jasa",VLOOKUP('BKU 2'!K151,'Rekap Gaji'!$D$12:$I$26,6,FALSE),(IF(H151="Beli",VLOOKUP(P151,COPY!$A$1:$L$1000,11,FALSE),IF(H151="Bayar Ongkos",VLOOKUP(K151,'Rekap Gaji'!$D$12:$I$26,6,FALSE),0))))</f>
        <v>0</v>
      </c>
      <c r="O151" s="470"/>
      <c r="P151" s="466" t="str">
        <f t="shared" si="6"/>
        <v/>
      </c>
      <c r="Q151" s="253">
        <f t="shared" si="8"/>
        <v>0</v>
      </c>
      <c r="R151" s="253">
        <f t="shared" si="9"/>
        <v>0</v>
      </c>
      <c r="S151" s="449">
        <f t="shared" si="10"/>
        <v>120</v>
      </c>
      <c r="T151" s="253">
        <f t="shared" si="11"/>
        <v>42</v>
      </c>
      <c r="U151" s="457" t="str">
        <f t="shared" si="7"/>
        <v xml:space="preserve"> </v>
      </c>
    </row>
    <row r="152" spans="1:21" ht="20.100000000000001" hidden="1" customHeight="1" x14ac:dyDescent="0.25">
      <c r="A152" s="470"/>
      <c r="B152" s="456">
        <f>IF(LEFT(C152,16)="Terima Pajak PPN",VLOOKUP(P152,COPY!$A$1:$AC$1000,21,FALSE),IF(LEFT(C152,16)="Terima Pajak PPH",VLOOKUP(P152,COPY!$A$1:$AC$1000,21,FALSE),IF(LEFT(C152,13)="Terima PPh 23",VLOOKUP(P152,COPY!$A$1:$AC$1000,21,FALSE),0)))</f>
        <v>0</v>
      </c>
      <c r="C152" s="457">
        <f>IFERROR(IF(LEFT(VLOOKUP(P152,COPY!$A$1:$AC$1000,29,FALSE),5)="Terim",VLOOKUP(P152,COPY!$A$1:$AC$1000,29,FALSE),0),0)</f>
        <v>0</v>
      </c>
      <c r="D152" s="457"/>
      <c r="E152" s="457"/>
      <c r="F152" s="458">
        <f>IFERROR(IF(LEFT(VLOOKUP(P152,COPY!$A$1:$AC$1000,29,FALSE),5)="Terim",VLOOKUP(P152,COPY!$A$1:$AC$1000,26,FALSE),0),0)</f>
        <v>0</v>
      </c>
      <c r="G152" s="459">
        <f>IFERROR(VLOOKUP(P152,COPY!$A$1:$L$1000,4,FALSE),0)</f>
        <v>0</v>
      </c>
      <c r="H152" s="457">
        <f>IFERROR(VLOOKUP(P152,COPY!$A$1:$L$1000,2,FALSE),0)</f>
        <v>0</v>
      </c>
      <c r="I152" s="510">
        <f>IFERROR(VLOOKUP(P152,COPY!$A$1:$L$1000,10,FALSE),0)</f>
        <v>0</v>
      </c>
      <c r="J152" s="467">
        <f>IFERROR(VLOOKUP(P152,COPY!$A$1:$L$1000,8,FALSE),0)</f>
        <v>0</v>
      </c>
      <c r="K152" s="457">
        <f>IFERROR(VLOOKUP(P152,COPY!$A$1:$L$1000,7,FALSE),0)</f>
        <v>0</v>
      </c>
      <c r="L152" s="468">
        <f>IFERROR(VLOOKUP(P152,COPY!$A$1:$O$1000,15,FALSE),0)</f>
        <v>0</v>
      </c>
      <c r="M152" s="468">
        <f>IFERROR(VLOOKUP(P152,COPY!$A$1:$L$1000,12,FALSE),0)</f>
        <v>0</v>
      </c>
      <c r="N152" s="471">
        <f>IF(H152="Jasa",VLOOKUP('BKU 2'!K152,'Rekap Gaji'!$D$12:$I$26,6,FALSE),(IF(H152="Beli",VLOOKUP(P152,COPY!$A$1:$L$1000,11,FALSE),IF(H152="Bayar Ongkos",VLOOKUP(K152,'Rekap Gaji'!$D$12:$I$26,6,FALSE),0))))</f>
        <v>0</v>
      </c>
      <c r="O152" s="470"/>
      <c r="P152" s="466" t="str">
        <f t="shared" si="6"/>
        <v/>
      </c>
      <c r="Q152" s="253">
        <f t="shared" si="8"/>
        <v>0</v>
      </c>
      <c r="R152" s="253">
        <f t="shared" si="9"/>
        <v>0</v>
      </c>
      <c r="S152" s="449">
        <f t="shared" si="10"/>
        <v>121</v>
      </c>
      <c r="T152" s="253">
        <f t="shared" si="11"/>
        <v>43</v>
      </c>
      <c r="U152" s="457" t="str">
        <f t="shared" si="7"/>
        <v xml:space="preserve"> </v>
      </c>
    </row>
    <row r="153" spans="1:21" ht="20.100000000000001" hidden="1" customHeight="1" x14ac:dyDescent="0.25">
      <c r="A153" s="470"/>
      <c r="B153" s="456">
        <f>IF(LEFT(C153,16)="Terima Pajak PPN",VLOOKUP(P153,COPY!$A$1:$AC$1000,21,FALSE),IF(LEFT(C153,16)="Terima Pajak PPH",VLOOKUP(P153,COPY!$A$1:$AC$1000,21,FALSE),IF(LEFT(C153,13)="Terima PPh 23",VLOOKUP(P153,COPY!$A$1:$AC$1000,21,FALSE),0)))</f>
        <v>0</v>
      </c>
      <c r="C153" s="457">
        <f>IFERROR(IF(LEFT(VLOOKUP(P153,COPY!$A$1:$AC$1000,29,FALSE),5)="Terim",VLOOKUP(P153,COPY!$A$1:$AC$1000,29,FALSE),0),0)</f>
        <v>0</v>
      </c>
      <c r="D153" s="457"/>
      <c r="E153" s="457"/>
      <c r="F153" s="458">
        <f>IFERROR(IF(LEFT(VLOOKUP(P153,COPY!$A$1:$AC$1000,29,FALSE),5)="Terim",VLOOKUP(P153,COPY!$A$1:$AC$1000,26,FALSE),0),0)</f>
        <v>0</v>
      </c>
      <c r="G153" s="459">
        <f>IFERROR(VLOOKUP(P153,COPY!$A$1:$L$1000,4,FALSE),0)</f>
        <v>0</v>
      </c>
      <c r="H153" s="457">
        <f>IFERROR(VLOOKUP(P153,COPY!$A$1:$L$1000,2,FALSE),0)</f>
        <v>0</v>
      </c>
      <c r="I153" s="510">
        <f>IFERROR(VLOOKUP(P153,COPY!$A$1:$L$1000,10,FALSE),0)</f>
        <v>0</v>
      </c>
      <c r="J153" s="467">
        <f>IFERROR(VLOOKUP(P153,COPY!$A$1:$L$1000,8,FALSE),0)</f>
        <v>0</v>
      </c>
      <c r="K153" s="457">
        <f>IFERROR(VLOOKUP(P153,COPY!$A$1:$L$1000,7,FALSE),0)</f>
        <v>0</v>
      </c>
      <c r="L153" s="468">
        <f>IFERROR(VLOOKUP(P153,COPY!$A$1:$O$1000,15,FALSE),0)</f>
        <v>0</v>
      </c>
      <c r="M153" s="468">
        <f>IFERROR(VLOOKUP(P153,COPY!$A$1:$L$1000,12,FALSE),0)</f>
        <v>0</v>
      </c>
      <c r="N153" s="471">
        <f>IF(H153="Jasa",VLOOKUP('BKU 2'!K153,'Rekap Gaji'!$D$12:$I$26,6,FALSE),(IF(H153="Beli",VLOOKUP(P153,COPY!$A$1:$L$1000,11,FALSE),IF(H153="Bayar Ongkos",VLOOKUP(K153,'Rekap Gaji'!$D$12:$I$26,6,FALSE),0))))</f>
        <v>0</v>
      </c>
      <c r="O153" s="470"/>
      <c r="P153" s="466" t="str">
        <f t="shared" si="6"/>
        <v/>
      </c>
      <c r="Q153" s="253">
        <f t="shared" si="8"/>
        <v>0</v>
      </c>
      <c r="R153" s="253">
        <f t="shared" si="9"/>
        <v>0</v>
      </c>
      <c r="S153" s="449">
        <f t="shared" si="10"/>
        <v>122</v>
      </c>
      <c r="T153" s="253">
        <f t="shared" si="11"/>
        <v>44</v>
      </c>
      <c r="U153" s="457" t="str">
        <f t="shared" si="7"/>
        <v xml:space="preserve"> </v>
      </c>
    </row>
    <row r="154" spans="1:21" ht="20.100000000000001" hidden="1" customHeight="1" x14ac:dyDescent="0.25">
      <c r="A154" s="470"/>
      <c r="B154" s="456">
        <f>IF(LEFT(C154,16)="Terima Pajak PPN",VLOOKUP(P154,COPY!$A$1:$AC$1000,21,FALSE),IF(LEFT(C154,16)="Terima Pajak PPH",VLOOKUP(P154,COPY!$A$1:$AC$1000,21,FALSE),IF(LEFT(C154,13)="Terima PPh 23",VLOOKUP(P154,COPY!$A$1:$AC$1000,21,FALSE),0)))</f>
        <v>0</v>
      </c>
      <c r="C154" s="457">
        <f>IFERROR(IF(LEFT(VLOOKUP(P154,COPY!$A$1:$AC$1000,29,FALSE),5)="Terim",VLOOKUP(P154,COPY!$A$1:$AC$1000,29,FALSE),0),0)</f>
        <v>0</v>
      </c>
      <c r="D154" s="457"/>
      <c r="E154" s="457"/>
      <c r="F154" s="458">
        <f>IFERROR(IF(LEFT(VLOOKUP(P154,COPY!$A$1:$AC$1000,29,FALSE),5)="Terim",VLOOKUP(P154,COPY!$A$1:$AC$1000,26,FALSE),0),0)</f>
        <v>0</v>
      </c>
      <c r="G154" s="459">
        <f>IFERROR(VLOOKUP(P154,COPY!$A$1:$L$1000,4,FALSE),0)</f>
        <v>0</v>
      </c>
      <c r="H154" s="457">
        <f>IFERROR(VLOOKUP(P154,COPY!$A$1:$L$1000,2,FALSE),0)</f>
        <v>0</v>
      </c>
      <c r="I154" s="510">
        <f>IFERROR(VLOOKUP(P154,COPY!$A$1:$L$1000,10,FALSE),0)</f>
        <v>0</v>
      </c>
      <c r="J154" s="467">
        <f>IFERROR(VLOOKUP(P154,COPY!$A$1:$L$1000,8,FALSE),0)</f>
        <v>0</v>
      </c>
      <c r="K154" s="457">
        <f>IFERROR(VLOOKUP(P154,COPY!$A$1:$L$1000,7,FALSE),0)</f>
        <v>0</v>
      </c>
      <c r="L154" s="468">
        <f>IFERROR(VLOOKUP(P154,COPY!$A$1:$O$1000,15,FALSE),0)</f>
        <v>0</v>
      </c>
      <c r="M154" s="468">
        <f>IFERROR(VLOOKUP(P154,COPY!$A$1:$L$1000,12,FALSE),0)</f>
        <v>0</v>
      </c>
      <c r="N154" s="471">
        <f>IF(H154="Jasa",VLOOKUP('BKU 2'!K154,'Rekap Gaji'!$D$12:$I$26,6,FALSE),(IF(H154="Beli",VLOOKUP(P154,COPY!$A$1:$L$1000,11,FALSE),IF(H154="Bayar Ongkos",VLOOKUP(K154,'Rekap Gaji'!$D$12:$I$26,6,FALSE),0))))</f>
        <v>0</v>
      </c>
      <c r="O154" s="470"/>
      <c r="P154" s="466" t="str">
        <f t="shared" si="6"/>
        <v/>
      </c>
      <c r="Q154" s="253">
        <f t="shared" si="8"/>
        <v>0</v>
      </c>
      <c r="R154" s="253">
        <f t="shared" si="9"/>
        <v>0</v>
      </c>
      <c r="S154" s="449">
        <f t="shared" si="10"/>
        <v>123</v>
      </c>
      <c r="T154" s="253">
        <f t="shared" si="11"/>
        <v>45</v>
      </c>
      <c r="U154" s="457" t="str">
        <f t="shared" si="7"/>
        <v xml:space="preserve"> </v>
      </c>
    </row>
    <row r="155" spans="1:21" ht="20.100000000000001" hidden="1" customHeight="1" x14ac:dyDescent="0.25">
      <c r="A155" s="470"/>
      <c r="B155" s="456">
        <f>IF(LEFT(C155,16)="Terima Pajak PPN",VLOOKUP(P155,COPY!$A$1:$AC$1000,21,FALSE),IF(LEFT(C155,16)="Terima Pajak PPH",VLOOKUP(P155,COPY!$A$1:$AC$1000,21,FALSE),IF(LEFT(C155,13)="Terima PPh 23",VLOOKUP(P155,COPY!$A$1:$AC$1000,21,FALSE),0)))</f>
        <v>0</v>
      </c>
      <c r="C155" s="457">
        <f>IFERROR(IF(LEFT(VLOOKUP(P155,COPY!$A$1:$AC$1000,29,FALSE),5)="Terim",VLOOKUP(P155,COPY!$A$1:$AC$1000,29,FALSE),0),0)</f>
        <v>0</v>
      </c>
      <c r="D155" s="457"/>
      <c r="E155" s="457"/>
      <c r="F155" s="458">
        <f>IFERROR(IF(LEFT(VLOOKUP(P155,COPY!$A$1:$AC$1000,29,FALSE),5)="Terim",VLOOKUP(P155,COPY!$A$1:$AC$1000,26,FALSE),0),0)</f>
        <v>0</v>
      </c>
      <c r="G155" s="459">
        <f>IFERROR(VLOOKUP(P155,COPY!$A$1:$L$1000,4,FALSE),0)</f>
        <v>0</v>
      </c>
      <c r="H155" s="457">
        <f>IFERROR(VLOOKUP(P155,COPY!$A$1:$L$1000,2,FALSE),0)</f>
        <v>0</v>
      </c>
      <c r="I155" s="510">
        <f>IFERROR(VLOOKUP(P155,COPY!$A$1:$L$1000,10,FALSE),0)</f>
        <v>0</v>
      </c>
      <c r="J155" s="467">
        <f>IFERROR(VLOOKUP(P155,COPY!$A$1:$L$1000,8,FALSE),0)</f>
        <v>0</v>
      </c>
      <c r="K155" s="457">
        <f>IFERROR(VLOOKUP(P155,COPY!$A$1:$L$1000,7,FALSE),0)</f>
        <v>0</v>
      </c>
      <c r="L155" s="468">
        <f>IFERROR(VLOOKUP(P155,COPY!$A$1:$O$1000,15,FALSE),0)</f>
        <v>0</v>
      </c>
      <c r="M155" s="468">
        <f>IFERROR(VLOOKUP(P155,COPY!$A$1:$L$1000,12,FALSE),0)</f>
        <v>0</v>
      </c>
      <c r="N155" s="471">
        <f>IF(H155="Jasa",VLOOKUP('BKU 2'!K155,'Rekap Gaji'!$D$12:$I$26,6,FALSE),(IF(H155="Beli",VLOOKUP(P155,COPY!$A$1:$L$1000,11,FALSE),IF(H155="Bayar Ongkos",VLOOKUP(K155,'Rekap Gaji'!$D$12:$I$26,6,FALSE),0))))</f>
        <v>0</v>
      </c>
      <c r="O155" s="470"/>
      <c r="P155" s="466" t="str">
        <f t="shared" si="6"/>
        <v/>
      </c>
      <c r="Q155" s="253">
        <f t="shared" si="8"/>
        <v>0</v>
      </c>
      <c r="R155" s="253">
        <f t="shared" si="9"/>
        <v>0</v>
      </c>
      <c r="S155" s="449">
        <f t="shared" si="10"/>
        <v>124</v>
      </c>
      <c r="T155" s="253">
        <f t="shared" si="11"/>
        <v>46</v>
      </c>
      <c r="U155" s="457" t="str">
        <f t="shared" si="7"/>
        <v xml:space="preserve"> </v>
      </c>
    </row>
    <row r="156" spans="1:21" ht="20.100000000000001" hidden="1" customHeight="1" x14ac:dyDescent="0.25">
      <c r="A156" s="470"/>
      <c r="B156" s="456">
        <f>IF(LEFT(C156,16)="Terima Pajak PPN",VLOOKUP(P156,COPY!$A$1:$AC$1000,21,FALSE),IF(LEFT(C156,16)="Terima Pajak PPH",VLOOKUP(P156,COPY!$A$1:$AC$1000,21,FALSE),IF(LEFT(C156,13)="Terima PPh 23",VLOOKUP(P156,COPY!$A$1:$AC$1000,21,FALSE),0)))</f>
        <v>0</v>
      </c>
      <c r="C156" s="457">
        <f>IFERROR(IF(LEFT(VLOOKUP(P156,COPY!$A$1:$AC$1000,29,FALSE),5)="Terim",VLOOKUP(P156,COPY!$A$1:$AC$1000,29,FALSE),0),0)</f>
        <v>0</v>
      </c>
      <c r="D156" s="457"/>
      <c r="E156" s="457"/>
      <c r="F156" s="458">
        <f>IFERROR(IF(LEFT(VLOOKUP(P156,COPY!$A$1:$AC$1000,29,FALSE),5)="Terim",VLOOKUP(P156,COPY!$A$1:$AC$1000,26,FALSE),0),0)</f>
        <v>0</v>
      </c>
      <c r="G156" s="459">
        <f>IFERROR(VLOOKUP(P156,COPY!$A$1:$L$1000,4,FALSE),0)</f>
        <v>0</v>
      </c>
      <c r="H156" s="457">
        <f>IFERROR(VLOOKUP(P156,COPY!$A$1:$L$1000,2,FALSE),0)</f>
        <v>0</v>
      </c>
      <c r="I156" s="510">
        <f>IFERROR(VLOOKUP(P156,COPY!$A$1:$L$1000,10,FALSE),0)</f>
        <v>0</v>
      </c>
      <c r="J156" s="467">
        <f>IFERROR(VLOOKUP(P156,COPY!$A$1:$L$1000,8,FALSE),0)</f>
        <v>0</v>
      </c>
      <c r="K156" s="457">
        <f>IFERROR(VLOOKUP(P156,COPY!$A$1:$L$1000,7,FALSE),0)</f>
        <v>0</v>
      </c>
      <c r="L156" s="468">
        <f>IFERROR(VLOOKUP(P156,COPY!$A$1:$O$1000,15,FALSE),0)</f>
        <v>0</v>
      </c>
      <c r="M156" s="468">
        <f>IFERROR(VLOOKUP(P156,COPY!$A$1:$L$1000,12,FALSE),0)</f>
        <v>0</v>
      </c>
      <c r="N156" s="471">
        <f>IF(H156="Jasa",VLOOKUP('BKU 2'!K156,'Rekap Gaji'!$D$12:$I$26,6,FALSE),(IF(H156="Beli",VLOOKUP(P156,COPY!$A$1:$L$1000,11,FALSE),IF(H156="Bayar Ongkos",VLOOKUP(K156,'Rekap Gaji'!$D$12:$I$26,6,FALSE),0))))</f>
        <v>0</v>
      </c>
      <c r="O156" s="470"/>
      <c r="P156" s="466" t="str">
        <f t="shared" si="6"/>
        <v/>
      </c>
      <c r="Q156" s="253">
        <f t="shared" si="8"/>
        <v>0</v>
      </c>
      <c r="R156" s="253">
        <f t="shared" si="9"/>
        <v>0</v>
      </c>
      <c r="S156" s="449">
        <f t="shared" si="10"/>
        <v>125</v>
      </c>
      <c r="T156" s="253">
        <f t="shared" si="11"/>
        <v>47</v>
      </c>
      <c r="U156" s="457" t="str">
        <f t="shared" si="7"/>
        <v xml:space="preserve"> </v>
      </c>
    </row>
    <row r="157" spans="1:21" ht="20.100000000000001" hidden="1" customHeight="1" x14ac:dyDescent="0.25">
      <c r="A157" s="470"/>
      <c r="B157" s="456">
        <f>IF(LEFT(C157,16)="Terima Pajak PPN",VLOOKUP(P157,COPY!$A$1:$AC$1000,21,FALSE),IF(LEFT(C157,16)="Terima Pajak PPH",VLOOKUP(P157,COPY!$A$1:$AC$1000,21,FALSE),IF(LEFT(C157,13)="Terima PPh 23",VLOOKUP(P157,COPY!$A$1:$AC$1000,21,FALSE),0)))</f>
        <v>0</v>
      </c>
      <c r="C157" s="457">
        <f>IFERROR(IF(LEFT(VLOOKUP(P157,COPY!$A$1:$AC$1000,29,FALSE),5)="Terim",VLOOKUP(P157,COPY!$A$1:$AC$1000,29,FALSE),0),0)</f>
        <v>0</v>
      </c>
      <c r="D157" s="457"/>
      <c r="E157" s="457"/>
      <c r="F157" s="458">
        <f>IFERROR(IF(LEFT(VLOOKUP(P157,COPY!$A$1:$AC$1000,29,FALSE),5)="Terim",VLOOKUP(P157,COPY!$A$1:$AC$1000,26,FALSE),0),0)</f>
        <v>0</v>
      </c>
      <c r="G157" s="459">
        <f>IFERROR(VLOOKUP(P157,COPY!$A$1:$L$1000,4,FALSE),0)</f>
        <v>0</v>
      </c>
      <c r="H157" s="457">
        <f>IFERROR(VLOOKUP(P157,COPY!$A$1:$L$1000,2,FALSE),0)</f>
        <v>0</v>
      </c>
      <c r="I157" s="510">
        <f>IFERROR(VLOOKUP(P157,COPY!$A$1:$L$1000,10,FALSE),0)</f>
        <v>0</v>
      </c>
      <c r="J157" s="467">
        <f>IFERROR(VLOOKUP(P157,COPY!$A$1:$L$1000,8,FALSE),0)</f>
        <v>0</v>
      </c>
      <c r="K157" s="457">
        <f>IFERROR(VLOOKUP(P157,COPY!$A$1:$L$1000,7,FALSE),0)</f>
        <v>0</v>
      </c>
      <c r="L157" s="468">
        <f>IFERROR(VLOOKUP(P157,COPY!$A$1:$O$1000,15,FALSE),0)</f>
        <v>0</v>
      </c>
      <c r="M157" s="468">
        <f>IFERROR(VLOOKUP(P157,COPY!$A$1:$L$1000,12,FALSE),0)</f>
        <v>0</v>
      </c>
      <c r="N157" s="471">
        <f>IF(H157="Jasa",VLOOKUP('BKU 2'!K157,'Rekap Gaji'!$D$12:$I$26,6,FALSE),(IF(H157="Beli",VLOOKUP(P157,COPY!$A$1:$L$1000,11,FALSE),IF(H157="Bayar Ongkos",VLOOKUP(K157,'Rekap Gaji'!$D$12:$I$26,6,FALSE),0))))</f>
        <v>0</v>
      </c>
      <c r="O157" s="470"/>
      <c r="P157" s="466" t="str">
        <f t="shared" si="6"/>
        <v/>
      </c>
      <c r="Q157" s="253">
        <f t="shared" si="8"/>
        <v>0</v>
      </c>
      <c r="R157" s="253">
        <f t="shared" si="9"/>
        <v>0</v>
      </c>
      <c r="S157" s="449">
        <f t="shared" si="10"/>
        <v>126</v>
      </c>
      <c r="T157" s="253">
        <f t="shared" si="11"/>
        <v>48</v>
      </c>
      <c r="U157" s="457" t="str">
        <f t="shared" si="7"/>
        <v xml:space="preserve"> </v>
      </c>
    </row>
    <row r="158" spans="1:21" ht="20.100000000000001" hidden="1" customHeight="1" x14ac:dyDescent="0.25">
      <c r="A158" s="470"/>
      <c r="B158" s="456">
        <f>IF(LEFT(C158,16)="Terima Pajak PPN",VLOOKUP(P158,COPY!$A$1:$AC$1000,21,FALSE),IF(LEFT(C158,16)="Terima Pajak PPH",VLOOKUP(P158,COPY!$A$1:$AC$1000,21,FALSE),IF(LEFT(C158,13)="Terima PPh 23",VLOOKUP(P158,COPY!$A$1:$AC$1000,21,FALSE),0)))</f>
        <v>0</v>
      </c>
      <c r="C158" s="457">
        <f>IFERROR(IF(LEFT(VLOOKUP(P158,COPY!$A$1:$AC$1000,29,FALSE),5)="Terim",VLOOKUP(P158,COPY!$A$1:$AC$1000,29,FALSE),0),0)</f>
        <v>0</v>
      </c>
      <c r="D158" s="457"/>
      <c r="E158" s="457"/>
      <c r="F158" s="458">
        <f>IFERROR(IF(LEFT(VLOOKUP(P158,COPY!$A$1:$AC$1000,29,FALSE),5)="Terim",VLOOKUP(P158,COPY!$A$1:$AC$1000,26,FALSE),0),0)</f>
        <v>0</v>
      </c>
      <c r="G158" s="459">
        <f>IFERROR(VLOOKUP(P158,COPY!$A$1:$L$1000,4,FALSE),0)</f>
        <v>0</v>
      </c>
      <c r="H158" s="457">
        <f>IFERROR(VLOOKUP(P158,COPY!$A$1:$L$1000,2,FALSE),0)</f>
        <v>0</v>
      </c>
      <c r="I158" s="510">
        <f>IFERROR(VLOOKUP(P158,COPY!$A$1:$L$1000,10,FALSE),0)</f>
        <v>0</v>
      </c>
      <c r="J158" s="467">
        <f>IFERROR(VLOOKUP(P158,COPY!$A$1:$L$1000,8,FALSE),0)</f>
        <v>0</v>
      </c>
      <c r="K158" s="457">
        <f>IFERROR(VLOOKUP(P158,COPY!$A$1:$L$1000,7,FALSE),0)</f>
        <v>0</v>
      </c>
      <c r="L158" s="468">
        <f>IFERROR(VLOOKUP(P158,COPY!$A$1:$O$1000,15,FALSE),0)</f>
        <v>0</v>
      </c>
      <c r="M158" s="468">
        <f>IFERROR(VLOOKUP(P158,COPY!$A$1:$L$1000,12,FALSE),0)</f>
        <v>0</v>
      </c>
      <c r="N158" s="471">
        <f>IF(H158="Jasa",VLOOKUP('BKU 2'!K158,'Rekap Gaji'!$D$12:$I$26,6,FALSE),(IF(H158="Beli",VLOOKUP(P158,COPY!$A$1:$L$1000,11,FALSE),IF(H158="Bayar Ongkos",VLOOKUP(K158,'Rekap Gaji'!$D$12:$I$26,6,FALSE),0))))</f>
        <v>0</v>
      </c>
      <c r="O158" s="470"/>
      <c r="P158" s="466" t="str">
        <f t="shared" si="6"/>
        <v/>
      </c>
      <c r="Q158" s="253">
        <f t="shared" si="8"/>
        <v>0</v>
      </c>
      <c r="R158" s="253">
        <f t="shared" si="9"/>
        <v>0</v>
      </c>
      <c r="S158" s="449">
        <f t="shared" si="10"/>
        <v>127</v>
      </c>
      <c r="T158" s="253">
        <f t="shared" si="11"/>
        <v>49</v>
      </c>
      <c r="U158" s="457" t="str">
        <f t="shared" si="7"/>
        <v xml:space="preserve"> </v>
      </c>
    </row>
    <row r="159" spans="1:21" ht="20.100000000000001" hidden="1" customHeight="1" x14ac:dyDescent="0.25">
      <c r="A159" s="470"/>
      <c r="B159" s="456">
        <f>IF(LEFT(C159,16)="Terima Pajak PPN",VLOOKUP(P159,COPY!$A$1:$AC$1000,21,FALSE),IF(LEFT(C159,16)="Terima Pajak PPH",VLOOKUP(P159,COPY!$A$1:$AC$1000,21,FALSE),IF(LEFT(C159,13)="Terima PPh 23",VLOOKUP(P159,COPY!$A$1:$AC$1000,21,FALSE),0)))</f>
        <v>0</v>
      </c>
      <c r="C159" s="457">
        <f>IFERROR(IF(LEFT(VLOOKUP(P159,COPY!$A$1:$AC$1000,29,FALSE),5)="Terim",VLOOKUP(P159,COPY!$A$1:$AC$1000,29,FALSE),0),0)</f>
        <v>0</v>
      </c>
      <c r="D159" s="457"/>
      <c r="E159" s="457"/>
      <c r="F159" s="458">
        <f>IFERROR(IF(LEFT(VLOOKUP(P159,COPY!$A$1:$AC$1000,29,FALSE),5)="Terim",VLOOKUP(P159,COPY!$A$1:$AC$1000,26,FALSE),0),0)</f>
        <v>0</v>
      </c>
      <c r="G159" s="459">
        <f>IFERROR(VLOOKUP(P159,COPY!$A$1:$L$1000,4,FALSE),0)</f>
        <v>0</v>
      </c>
      <c r="H159" s="457">
        <f>IFERROR(VLOOKUP(P159,COPY!$A$1:$L$1000,2,FALSE),0)</f>
        <v>0</v>
      </c>
      <c r="I159" s="510">
        <f>IFERROR(VLOOKUP(P159,COPY!$A$1:$L$1000,10,FALSE),0)</f>
        <v>0</v>
      </c>
      <c r="J159" s="467">
        <f>IFERROR(VLOOKUP(P159,COPY!$A$1:$L$1000,8,FALSE),0)</f>
        <v>0</v>
      </c>
      <c r="K159" s="457">
        <f>IFERROR(VLOOKUP(P159,COPY!$A$1:$L$1000,7,FALSE),0)</f>
        <v>0</v>
      </c>
      <c r="L159" s="468">
        <f>IFERROR(VLOOKUP(P159,COPY!$A$1:$O$1000,15,FALSE),0)</f>
        <v>0</v>
      </c>
      <c r="M159" s="468">
        <f>IFERROR(VLOOKUP(P159,COPY!$A$1:$L$1000,12,FALSE),0)</f>
        <v>0</v>
      </c>
      <c r="N159" s="471">
        <f>IF(H159="Jasa",VLOOKUP('BKU 2'!K159,'Rekap Gaji'!$D$12:$I$26,6,FALSE),(IF(H159="Beli",VLOOKUP(P159,COPY!$A$1:$L$1000,11,FALSE),IF(H159="Bayar Ongkos",VLOOKUP(K159,'Rekap Gaji'!$D$12:$I$26,6,FALSE),0))))</f>
        <v>0</v>
      </c>
      <c r="O159" s="470"/>
      <c r="P159" s="466" t="str">
        <f t="shared" si="6"/>
        <v/>
      </c>
      <c r="Q159" s="253">
        <f t="shared" si="8"/>
        <v>0</v>
      </c>
      <c r="R159" s="253">
        <f t="shared" si="9"/>
        <v>0</v>
      </c>
      <c r="S159" s="449">
        <f t="shared" si="10"/>
        <v>128</v>
      </c>
      <c r="T159" s="253">
        <f t="shared" si="11"/>
        <v>50</v>
      </c>
      <c r="U159" s="457" t="str">
        <f t="shared" si="7"/>
        <v xml:space="preserve"> </v>
      </c>
    </row>
    <row r="160" spans="1:21" ht="20.100000000000001" hidden="1" customHeight="1" x14ac:dyDescent="0.25">
      <c r="A160" s="470"/>
      <c r="B160" s="456">
        <f>IF(LEFT(C160,16)="Terima Pajak PPN",VLOOKUP(P160,COPY!$A$1:$AC$1000,21,FALSE),IF(LEFT(C160,16)="Terima Pajak PPH",VLOOKUP(P160,COPY!$A$1:$AC$1000,21,FALSE),IF(LEFT(C160,13)="Terima PPh 23",VLOOKUP(P160,COPY!$A$1:$AC$1000,21,FALSE),0)))</f>
        <v>0</v>
      </c>
      <c r="C160" s="457">
        <f>IFERROR(IF(LEFT(VLOOKUP(P160,COPY!$A$1:$AC$1000,29,FALSE),5)="Terim",VLOOKUP(P160,COPY!$A$1:$AC$1000,29,FALSE),0),0)</f>
        <v>0</v>
      </c>
      <c r="D160" s="457"/>
      <c r="E160" s="457"/>
      <c r="F160" s="458">
        <f>IFERROR(IF(LEFT(VLOOKUP(P160,COPY!$A$1:$AC$1000,29,FALSE),5)="Terim",VLOOKUP(P160,COPY!$A$1:$AC$1000,26,FALSE),0),0)</f>
        <v>0</v>
      </c>
      <c r="G160" s="459">
        <f>IFERROR(VLOOKUP(P160,COPY!$A$1:$L$1000,4,FALSE),0)</f>
        <v>0</v>
      </c>
      <c r="H160" s="457">
        <f>IFERROR(VLOOKUP(P160,COPY!$A$1:$L$1000,2,FALSE),0)</f>
        <v>0</v>
      </c>
      <c r="I160" s="510">
        <f>IFERROR(VLOOKUP(P160,COPY!$A$1:$L$1000,10,FALSE),0)</f>
        <v>0</v>
      </c>
      <c r="J160" s="467">
        <f>IFERROR(VLOOKUP(P160,COPY!$A$1:$L$1000,8,FALSE),0)</f>
        <v>0</v>
      </c>
      <c r="K160" s="457">
        <f>IFERROR(VLOOKUP(P160,COPY!$A$1:$L$1000,7,FALSE),0)</f>
        <v>0</v>
      </c>
      <c r="L160" s="468">
        <f>IFERROR(VLOOKUP(P160,COPY!$A$1:$O$1000,15,FALSE),0)</f>
        <v>0</v>
      </c>
      <c r="M160" s="468">
        <f>IFERROR(VLOOKUP(P160,COPY!$A$1:$L$1000,12,FALSE),0)</f>
        <v>0</v>
      </c>
      <c r="N160" s="471">
        <f>IF(H160="Jasa",VLOOKUP('BKU 2'!K160,'Rekap Gaji'!$D$12:$I$26,6,FALSE),(IF(H160="Beli",VLOOKUP(P160,COPY!$A$1:$L$1000,11,FALSE),IF(H160="Bayar Ongkos",VLOOKUP(K160,'Rekap Gaji'!$D$12:$I$26,6,FALSE),0))))</f>
        <v>0</v>
      </c>
      <c r="O160" s="470"/>
      <c r="P160" s="466" t="str">
        <f t="shared" ref="P160:P184" si="12">IF(Q160&gt;0,$D$24&amp;"."&amp;Q160,"")</f>
        <v/>
      </c>
      <c r="Q160" s="253">
        <f t="shared" si="8"/>
        <v>0</v>
      </c>
      <c r="R160" s="253">
        <f t="shared" si="9"/>
        <v>0</v>
      </c>
      <c r="S160" s="449">
        <f t="shared" si="10"/>
        <v>129</v>
      </c>
      <c r="T160" s="253">
        <f t="shared" si="11"/>
        <v>51</v>
      </c>
      <c r="U160" s="457" t="str">
        <f t="shared" ref="U160:U185" si="13">IF(LEFT(C160,16)="terima Pajak PPN",1,IF(LEFT(C160,16)="terima Pajak PPH",2,IF(LEFT(C160,21)="Bayar Pajak Final PPH",3," ")))</f>
        <v xml:space="preserve"> </v>
      </c>
    </row>
    <row r="161" spans="1:21" ht="20.100000000000001" hidden="1" customHeight="1" x14ac:dyDescent="0.25">
      <c r="A161" s="470"/>
      <c r="B161" s="456">
        <f>IF(LEFT(C161,16)="Terima Pajak PPN",VLOOKUP(P161,COPY!$A$1:$AC$1000,21,FALSE),IF(LEFT(C161,16)="Terima Pajak PPH",VLOOKUP(P161,COPY!$A$1:$AC$1000,21,FALSE),IF(LEFT(C161,13)="Terima PPh 23",VLOOKUP(P161,COPY!$A$1:$AC$1000,21,FALSE),0)))</f>
        <v>0</v>
      </c>
      <c r="C161" s="457">
        <f>IFERROR(IF(LEFT(VLOOKUP(P161,COPY!$A$1:$AC$1000,29,FALSE),5)="Terim",VLOOKUP(P161,COPY!$A$1:$AC$1000,29,FALSE),0),0)</f>
        <v>0</v>
      </c>
      <c r="D161" s="457"/>
      <c r="E161" s="457"/>
      <c r="F161" s="458">
        <f>IFERROR(IF(LEFT(VLOOKUP(P161,COPY!$A$1:$AC$1000,29,FALSE),5)="Terim",VLOOKUP(P161,COPY!$A$1:$AC$1000,26,FALSE),0),0)</f>
        <v>0</v>
      </c>
      <c r="G161" s="459">
        <f>IFERROR(VLOOKUP(P161,COPY!$A$1:$L$1000,4,FALSE),0)</f>
        <v>0</v>
      </c>
      <c r="H161" s="457">
        <f>IFERROR(VLOOKUP(P161,COPY!$A$1:$L$1000,2,FALSE),0)</f>
        <v>0</v>
      </c>
      <c r="I161" s="510">
        <f>IFERROR(VLOOKUP(P161,COPY!$A$1:$L$1000,10,FALSE),0)</f>
        <v>0</v>
      </c>
      <c r="J161" s="467">
        <f>IFERROR(VLOOKUP(P161,COPY!$A$1:$L$1000,8,FALSE),0)</f>
        <v>0</v>
      </c>
      <c r="K161" s="457">
        <f>IFERROR(VLOOKUP(P161,COPY!$A$1:$L$1000,7,FALSE),0)</f>
        <v>0</v>
      </c>
      <c r="L161" s="468">
        <f>IFERROR(VLOOKUP(P161,COPY!$A$1:$O$1000,15,FALSE),0)</f>
        <v>0</v>
      </c>
      <c r="M161" s="468">
        <f>IFERROR(VLOOKUP(P161,COPY!$A$1:$L$1000,12,FALSE),0)</f>
        <v>0</v>
      </c>
      <c r="N161" s="471">
        <f>IF(H161="Jasa",VLOOKUP('BKU 2'!K161,'Rekap Gaji'!$D$12:$I$26,6,FALSE),(IF(H161="Beli",VLOOKUP(P161,COPY!$A$1:$L$1000,11,FALSE),IF(H161="Bayar Ongkos",VLOOKUP(K161,'Rekap Gaji'!$D$12:$I$26,6,FALSE),0))))</f>
        <v>0</v>
      </c>
      <c r="O161" s="470"/>
      <c r="P161" s="466" t="str">
        <f t="shared" si="12"/>
        <v/>
      </c>
      <c r="Q161" s="253">
        <f t="shared" si="8"/>
        <v>0</v>
      </c>
      <c r="R161" s="253">
        <f t="shared" si="9"/>
        <v>0</v>
      </c>
      <c r="S161" s="449">
        <f t="shared" si="10"/>
        <v>130</v>
      </c>
      <c r="T161" s="253">
        <f t="shared" si="11"/>
        <v>52</v>
      </c>
      <c r="U161" s="457" t="str">
        <f t="shared" si="13"/>
        <v xml:space="preserve"> </v>
      </c>
    </row>
    <row r="162" spans="1:21" ht="20.100000000000001" hidden="1" customHeight="1" x14ac:dyDescent="0.25">
      <c r="A162" s="470"/>
      <c r="B162" s="456">
        <f>IF(LEFT(C162,16)="Terima Pajak PPN",VLOOKUP(P162,COPY!$A$1:$AC$1000,21,FALSE),IF(LEFT(C162,16)="Terima Pajak PPH",VLOOKUP(P162,COPY!$A$1:$AC$1000,21,FALSE),IF(LEFT(C162,13)="Terima PPh 23",VLOOKUP(P162,COPY!$A$1:$AC$1000,21,FALSE),0)))</f>
        <v>0</v>
      </c>
      <c r="C162" s="457">
        <f>IFERROR(IF(LEFT(VLOOKUP(P162,COPY!$A$1:$AC$1000,29,FALSE),5)="Terim",VLOOKUP(P162,COPY!$A$1:$AC$1000,29,FALSE),0),0)</f>
        <v>0</v>
      </c>
      <c r="D162" s="457"/>
      <c r="E162" s="457"/>
      <c r="F162" s="458">
        <f>IFERROR(IF(LEFT(VLOOKUP(P162,COPY!$A$1:$AC$1000,29,FALSE),5)="Terim",VLOOKUP(P162,COPY!$A$1:$AC$1000,26,FALSE),0),0)</f>
        <v>0</v>
      </c>
      <c r="G162" s="459">
        <f>IFERROR(VLOOKUP(P162,COPY!$A$1:$L$1000,4,FALSE),0)</f>
        <v>0</v>
      </c>
      <c r="H162" s="457">
        <f>IFERROR(VLOOKUP(P162,COPY!$A$1:$L$1000,2,FALSE),0)</f>
        <v>0</v>
      </c>
      <c r="I162" s="510">
        <f>IFERROR(VLOOKUP(P162,COPY!$A$1:$L$1000,10,FALSE),0)</f>
        <v>0</v>
      </c>
      <c r="J162" s="467">
        <f>IFERROR(VLOOKUP(P162,COPY!$A$1:$L$1000,8,FALSE),0)</f>
        <v>0</v>
      </c>
      <c r="K162" s="457">
        <f>IFERROR(VLOOKUP(P162,COPY!$A$1:$L$1000,7,FALSE),0)</f>
        <v>0</v>
      </c>
      <c r="L162" s="468">
        <f>IFERROR(VLOOKUP(P162,COPY!$A$1:$O$1000,15,FALSE),0)</f>
        <v>0</v>
      </c>
      <c r="M162" s="468">
        <f>IFERROR(VLOOKUP(P162,COPY!$A$1:$L$1000,12,FALSE),0)</f>
        <v>0</v>
      </c>
      <c r="N162" s="471">
        <f>IF(H162="Jasa",VLOOKUP('BKU 2'!K162,'Rekap Gaji'!$D$12:$I$26,6,FALSE),(IF(H162="Beli",VLOOKUP(P162,COPY!$A$1:$L$1000,11,FALSE),IF(H162="Bayar Ongkos",VLOOKUP(K162,'Rekap Gaji'!$D$12:$I$26,6,FALSE),0))))</f>
        <v>0</v>
      </c>
      <c r="O162" s="470"/>
      <c r="P162" s="466" t="str">
        <f t="shared" si="12"/>
        <v/>
      </c>
      <c r="Q162" s="253">
        <f t="shared" ref="Q162:Q183" si="14">IF(T162&lt;=0,T162+$S$30,0)</f>
        <v>0</v>
      </c>
      <c r="R162" s="253">
        <f t="shared" ref="R162:R183" si="15">IF(T162&lt;=0,S162,0)</f>
        <v>0</v>
      </c>
      <c r="S162" s="449">
        <f t="shared" ref="S162:S183" si="16">S161+1</f>
        <v>131</v>
      </c>
      <c r="T162" s="253">
        <f t="shared" ref="T162:T183" si="17">S162-$S$30</f>
        <v>53</v>
      </c>
      <c r="U162" s="457" t="str">
        <f t="shared" si="13"/>
        <v xml:space="preserve"> </v>
      </c>
    </row>
    <row r="163" spans="1:21" ht="20.100000000000001" hidden="1" customHeight="1" x14ac:dyDescent="0.25">
      <c r="A163" s="470"/>
      <c r="B163" s="456">
        <f>IF(LEFT(C163,16)="Terima Pajak PPN",VLOOKUP(P163,COPY!$A$1:$AC$1000,21,FALSE),IF(LEFT(C163,16)="Terima Pajak PPH",VLOOKUP(P163,COPY!$A$1:$AC$1000,21,FALSE),IF(LEFT(C163,13)="Terima PPh 23",VLOOKUP(P163,COPY!$A$1:$AC$1000,21,FALSE),0)))</f>
        <v>0</v>
      </c>
      <c r="C163" s="457">
        <f>IFERROR(IF(LEFT(VLOOKUP(P163,COPY!$A$1:$AC$1000,29,FALSE),5)="Terim",VLOOKUP(P163,COPY!$A$1:$AC$1000,29,FALSE),0),0)</f>
        <v>0</v>
      </c>
      <c r="D163" s="457"/>
      <c r="E163" s="457"/>
      <c r="F163" s="458">
        <f>IFERROR(IF(LEFT(VLOOKUP(P163,COPY!$A$1:$AC$1000,29,FALSE),5)="Terim",VLOOKUP(P163,COPY!$A$1:$AC$1000,26,FALSE),0),0)</f>
        <v>0</v>
      </c>
      <c r="G163" s="459">
        <f>IFERROR(VLOOKUP(P163,COPY!$A$1:$L$1000,4,FALSE),0)</f>
        <v>0</v>
      </c>
      <c r="H163" s="457">
        <f>IFERROR(VLOOKUP(P163,COPY!$A$1:$L$1000,2,FALSE),0)</f>
        <v>0</v>
      </c>
      <c r="I163" s="510">
        <f>IFERROR(VLOOKUP(P163,COPY!$A$1:$L$1000,10,FALSE),0)</f>
        <v>0</v>
      </c>
      <c r="J163" s="467">
        <f>IFERROR(VLOOKUP(P163,COPY!$A$1:$L$1000,8,FALSE),0)</f>
        <v>0</v>
      </c>
      <c r="K163" s="457">
        <f>IFERROR(VLOOKUP(P163,COPY!$A$1:$L$1000,7,FALSE),0)</f>
        <v>0</v>
      </c>
      <c r="L163" s="468">
        <f>IFERROR(VLOOKUP(P163,COPY!$A$1:$O$1000,15,FALSE),0)</f>
        <v>0</v>
      </c>
      <c r="M163" s="468">
        <f>IFERROR(VLOOKUP(P163,COPY!$A$1:$L$1000,12,FALSE),0)</f>
        <v>0</v>
      </c>
      <c r="N163" s="471">
        <f>IF(H163="Jasa",VLOOKUP('BKU 2'!K163,'Rekap Gaji'!$D$12:$I$26,6,FALSE),(IF(H163="Beli",VLOOKUP(P163,COPY!$A$1:$L$1000,11,FALSE),IF(H163="Bayar Ongkos",VLOOKUP(K163,'Rekap Gaji'!$D$12:$I$26,6,FALSE),0))))</f>
        <v>0</v>
      </c>
      <c r="O163" s="470"/>
      <c r="P163" s="466" t="str">
        <f t="shared" si="12"/>
        <v/>
      </c>
      <c r="Q163" s="253">
        <f t="shared" si="14"/>
        <v>0</v>
      </c>
      <c r="R163" s="253">
        <f t="shared" si="15"/>
        <v>0</v>
      </c>
      <c r="S163" s="449">
        <f t="shared" si="16"/>
        <v>132</v>
      </c>
      <c r="T163" s="253">
        <f t="shared" si="17"/>
        <v>54</v>
      </c>
      <c r="U163" s="457" t="str">
        <f t="shared" si="13"/>
        <v xml:space="preserve"> </v>
      </c>
    </row>
    <row r="164" spans="1:21" ht="20.100000000000001" hidden="1" customHeight="1" x14ac:dyDescent="0.25">
      <c r="A164" s="470"/>
      <c r="B164" s="456">
        <f>IF(LEFT(C164,16)="Terima Pajak PPN",VLOOKUP(P164,COPY!$A$1:$AC$1000,21,FALSE),IF(LEFT(C164,16)="Terima Pajak PPH",VLOOKUP(P164,COPY!$A$1:$AC$1000,21,FALSE),IF(LEFT(C164,13)="Terima PPh 23",VLOOKUP(P164,COPY!$A$1:$AC$1000,21,FALSE),0)))</f>
        <v>0</v>
      </c>
      <c r="C164" s="457">
        <f>IFERROR(IF(LEFT(VLOOKUP(P164,COPY!$A$1:$AC$1000,29,FALSE),5)="Terim",VLOOKUP(P164,COPY!$A$1:$AC$1000,29,FALSE),0),0)</f>
        <v>0</v>
      </c>
      <c r="D164" s="457"/>
      <c r="E164" s="457"/>
      <c r="F164" s="458">
        <f>IFERROR(IF(LEFT(VLOOKUP(P164,COPY!$A$1:$AC$1000,29,FALSE),5)="Terim",VLOOKUP(P164,COPY!$A$1:$AC$1000,26,FALSE),0),0)</f>
        <v>0</v>
      </c>
      <c r="G164" s="459">
        <f>IFERROR(VLOOKUP(P164,COPY!$A$1:$L$1000,4,FALSE),0)</f>
        <v>0</v>
      </c>
      <c r="H164" s="457">
        <f>IFERROR(VLOOKUP(P164,COPY!$A$1:$L$1000,2,FALSE),0)</f>
        <v>0</v>
      </c>
      <c r="I164" s="510">
        <f>IFERROR(VLOOKUP(P164,COPY!$A$1:$L$1000,10,FALSE),0)</f>
        <v>0</v>
      </c>
      <c r="J164" s="467">
        <f>IFERROR(VLOOKUP(P164,COPY!$A$1:$L$1000,8,FALSE),0)</f>
        <v>0</v>
      </c>
      <c r="K164" s="457">
        <f>IFERROR(VLOOKUP(P164,COPY!$A$1:$L$1000,7,FALSE),0)</f>
        <v>0</v>
      </c>
      <c r="L164" s="468">
        <f>IFERROR(VLOOKUP(P164,COPY!$A$1:$O$1000,15,FALSE),0)</f>
        <v>0</v>
      </c>
      <c r="M164" s="468">
        <f>IFERROR(VLOOKUP(P164,COPY!$A$1:$L$1000,12,FALSE),0)</f>
        <v>0</v>
      </c>
      <c r="N164" s="471">
        <f>IF(H164="Jasa",VLOOKUP('BKU 2'!K164,'Rekap Gaji'!$D$12:$I$26,6,FALSE),(IF(H164="Beli",VLOOKUP(P164,COPY!$A$1:$L$1000,11,FALSE),IF(H164="Bayar Ongkos",VLOOKUP(K164,'Rekap Gaji'!$D$12:$I$26,6,FALSE),0))))</f>
        <v>0</v>
      </c>
      <c r="O164" s="470"/>
      <c r="P164" s="466" t="str">
        <f t="shared" si="12"/>
        <v/>
      </c>
      <c r="Q164" s="253">
        <f t="shared" si="14"/>
        <v>0</v>
      </c>
      <c r="R164" s="253">
        <f t="shared" si="15"/>
        <v>0</v>
      </c>
      <c r="S164" s="449">
        <f t="shared" si="16"/>
        <v>133</v>
      </c>
      <c r="T164" s="253">
        <f t="shared" si="17"/>
        <v>55</v>
      </c>
      <c r="U164" s="457" t="str">
        <f t="shared" si="13"/>
        <v xml:space="preserve"> </v>
      </c>
    </row>
    <row r="165" spans="1:21" ht="20.100000000000001" hidden="1" customHeight="1" x14ac:dyDescent="0.25">
      <c r="A165" s="470"/>
      <c r="B165" s="456">
        <f>IF(LEFT(C165,16)="Terima Pajak PPN",VLOOKUP(P165,COPY!$A$1:$AC$1000,21,FALSE),IF(LEFT(C165,16)="Terima Pajak PPH",VLOOKUP(P165,COPY!$A$1:$AC$1000,21,FALSE),IF(LEFT(C165,13)="Terima PPh 23",VLOOKUP(P165,COPY!$A$1:$AC$1000,21,FALSE),0)))</f>
        <v>0</v>
      </c>
      <c r="C165" s="457">
        <f>IFERROR(IF(LEFT(VLOOKUP(P165,COPY!$A$1:$AC$1000,29,FALSE),5)="Terim",VLOOKUP(P165,COPY!$A$1:$AC$1000,29,FALSE),0),0)</f>
        <v>0</v>
      </c>
      <c r="D165" s="457"/>
      <c r="E165" s="457"/>
      <c r="F165" s="458">
        <f>IFERROR(IF(LEFT(VLOOKUP(P165,COPY!$A$1:$AC$1000,29,FALSE),5)="Terim",VLOOKUP(P165,COPY!$A$1:$AC$1000,26,FALSE),0),0)</f>
        <v>0</v>
      </c>
      <c r="G165" s="459">
        <f>IFERROR(VLOOKUP(P165,COPY!$A$1:$L$1000,4,FALSE),0)</f>
        <v>0</v>
      </c>
      <c r="H165" s="457">
        <f>IFERROR(VLOOKUP(P165,COPY!$A$1:$L$1000,2,FALSE),0)</f>
        <v>0</v>
      </c>
      <c r="I165" s="510">
        <f>IFERROR(VLOOKUP(P165,COPY!$A$1:$L$1000,10,FALSE),0)</f>
        <v>0</v>
      </c>
      <c r="J165" s="467">
        <f>IFERROR(VLOOKUP(P165,COPY!$A$1:$L$1000,8,FALSE),0)</f>
        <v>0</v>
      </c>
      <c r="K165" s="457">
        <f>IFERROR(VLOOKUP(P165,COPY!$A$1:$L$1000,7,FALSE),0)</f>
        <v>0</v>
      </c>
      <c r="L165" s="468">
        <f>IFERROR(VLOOKUP(P165,COPY!$A$1:$O$1000,15,FALSE),0)</f>
        <v>0</v>
      </c>
      <c r="M165" s="468">
        <f>IFERROR(VLOOKUP(P165,COPY!$A$1:$L$1000,12,FALSE),0)</f>
        <v>0</v>
      </c>
      <c r="N165" s="471">
        <f>IF(H165="Jasa",VLOOKUP('BKU 2'!K165,'Rekap Gaji'!$D$12:$I$26,6,FALSE),(IF(H165="Beli",VLOOKUP(P165,COPY!$A$1:$L$1000,11,FALSE),IF(H165="Bayar Ongkos",VLOOKUP(K165,'Rekap Gaji'!$D$12:$I$26,6,FALSE),0))))</f>
        <v>0</v>
      </c>
      <c r="O165" s="470"/>
      <c r="P165" s="466" t="str">
        <f t="shared" si="12"/>
        <v/>
      </c>
      <c r="Q165" s="253">
        <f t="shared" si="14"/>
        <v>0</v>
      </c>
      <c r="R165" s="253">
        <f t="shared" si="15"/>
        <v>0</v>
      </c>
      <c r="S165" s="449">
        <f t="shared" si="16"/>
        <v>134</v>
      </c>
      <c r="T165" s="253">
        <f t="shared" si="17"/>
        <v>56</v>
      </c>
      <c r="U165" s="457" t="str">
        <f t="shared" si="13"/>
        <v xml:space="preserve"> </v>
      </c>
    </row>
    <row r="166" spans="1:21" ht="20.100000000000001" hidden="1" customHeight="1" x14ac:dyDescent="0.25">
      <c r="A166" s="470"/>
      <c r="B166" s="456">
        <f>IF(LEFT(C166,16)="Terima Pajak PPN",VLOOKUP(P166,COPY!$A$1:$AC$1000,21,FALSE),IF(LEFT(C166,16)="Terima Pajak PPH",VLOOKUP(P166,COPY!$A$1:$AC$1000,21,FALSE),IF(LEFT(C166,13)="Terima PPh 23",VLOOKUP(P166,COPY!$A$1:$AC$1000,21,FALSE),0)))</f>
        <v>0</v>
      </c>
      <c r="C166" s="457">
        <f>IFERROR(IF(LEFT(VLOOKUP(P166,COPY!$A$1:$AC$1000,29,FALSE),5)="Terim",VLOOKUP(P166,COPY!$A$1:$AC$1000,29,FALSE),0),0)</f>
        <v>0</v>
      </c>
      <c r="D166" s="457"/>
      <c r="E166" s="457"/>
      <c r="F166" s="458">
        <f>IFERROR(IF(LEFT(VLOOKUP(P166,COPY!$A$1:$AC$1000,29,FALSE),5)="Terim",VLOOKUP(P166,COPY!$A$1:$AC$1000,26,FALSE),0),0)</f>
        <v>0</v>
      </c>
      <c r="G166" s="459">
        <f>IFERROR(VLOOKUP(P166,COPY!$A$1:$L$1000,4,FALSE),0)</f>
        <v>0</v>
      </c>
      <c r="H166" s="457">
        <f>IFERROR(VLOOKUP(P166,COPY!$A$1:$L$1000,2,FALSE),0)</f>
        <v>0</v>
      </c>
      <c r="I166" s="510">
        <f>IFERROR(VLOOKUP(P166,COPY!$A$1:$L$1000,10,FALSE),0)</f>
        <v>0</v>
      </c>
      <c r="J166" s="467">
        <f>IFERROR(VLOOKUP(P166,COPY!$A$1:$L$1000,8,FALSE),0)</f>
        <v>0</v>
      </c>
      <c r="K166" s="457">
        <f>IFERROR(VLOOKUP(P166,COPY!$A$1:$L$1000,7,FALSE),0)</f>
        <v>0</v>
      </c>
      <c r="L166" s="468">
        <f>IFERROR(VLOOKUP(P166,COPY!$A$1:$O$1000,15,FALSE),0)</f>
        <v>0</v>
      </c>
      <c r="M166" s="468">
        <f>IFERROR(VLOOKUP(P166,COPY!$A$1:$L$1000,12,FALSE),0)</f>
        <v>0</v>
      </c>
      <c r="N166" s="471">
        <f>IF(H166="Jasa",VLOOKUP('BKU 2'!K166,'Rekap Gaji'!$D$12:$I$26,6,FALSE),(IF(H166="Beli",VLOOKUP(P166,COPY!$A$1:$L$1000,11,FALSE),IF(H166="Bayar Ongkos",VLOOKUP(K166,'Rekap Gaji'!$D$12:$I$26,6,FALSE),0))))</f>
        <v>0</v>
      </c>
      <c r="O166" s="470"/>
      <c r="P166" s="466" t="str">
        <f t="shared" si="12"/>
        <v/>
      </c>
      <c r="Q166" s="253">
        <f t="shared" si="14"/>
        <v>0</v>
      </c>
      <c r="R166" s="253">
        <f t="shared" si="15"/>
        <v>0</v>
      </c>
      <c r="S166" s="449">
        <f t="shared" si="16"/>
        <v>135</v>
      </c>
      <c r="T166" s="253">
        <f t="shared" si="17"/>
        <v>57</v>
      </c>
      <c r="U166" s="457" t="str">
        <f t="shared" si="13"/>
        <v xml:space="preserve"> </v>
      </c>
    </row>
    <row r="167" spans="1:21" ht="20.100000000000001" hidden="1" customHeight="1" x14ac:dyDescent="0.25">
      <c r="A167" s="470"/>
      <c r="B167" s="456">
        <f>IF(LEFT(C167,16)="Terima Pajak PPN",VLOOKUP(P167,COPY!$A$1:$AC$1000,21,FALSE),IF(LEFT(C167,16)="Terima Pajak PPH",VLOOKUP(P167,COPY!$A$1:$AC$1000,21,FALSE),IF(LEFT(C167,13)="Terima PPh 23",VLOOKUP(P167,COPY!$A$1:$AC$1000,21,FALSE),0)))</f>
        <v>0</v>
      </c>
      <c r="C167" s="457">
        <f>IFERROR(IF(LEFT(VLOOKUP(P167,COPY!$A$1:$AC$1000,29,FALSE),5)="Terim",VLOOKUP(P167,COPY!$A$1:$AC$1000,29,FALSE),0),0)</f>
        <v>0</v>
      </c>
      <c r="D167" s="457"/>
      <c r="E167" s="457"/>
      <c r="F167" s="458">
        <f>IFERROR(IF(LEFT(VLOOKUP(P167,COPY!$A$1:$AC$1000,29,FALSE),5)="Terim",VLOOKUP(P167,COPY!$A$1:$AC$1000,26,FALSE),0),0)</f>
        <v>0</v>
      </c>
      <c r="G167" s="459">
        <f>IFERROR(VLOOKUP(P167,COPY!$A$1:$L$1000,4,FALSE),0)</f>
        <v>0</v>
      </c>
      <c r="H167" s="457">
        <f>IFERROR(VLOOKUP(P167,COPY!$A$1:$L$1000,2,FALSE),0)</f>
        <v>0</v>
      </c>
      <c r="I167" s="510">
        <f>IFERROR(VLOOKUP(P167,COPY!$A$1:$L$1000,10,FALSE),0)</f>
        <v>0</v>
      </c>
      <c r="J167" s="467">
        <f>IFERROR(VLOOKUP(P167,COPY!$A$1:$L$1000,8,FALSE),0)</f>
        <v>0</v>
      </c>
      <c r="K167" s="457">
        <f>IFERROR(VLOOKUP(P167,COPY!$A$1:$L$1000,7,FALSE),0)</f>
        <v>0</v>
      </c>
      <c r="L167" s="468">
        <f>IFERROR(VLOOKUP(P167,COPY!$A$1:$O$1000,15,FALSE),0)</f>
        <v>0</v>
      </c>
      <c r="M167" s="468">
        <f>IFERROR(VLOOKUP(P167,COPY!$A$1:$L$1000,12,FALSE),0)</f>
        <v>0</v>
      </c>
      <c r="N167" s="471">
        <f>IF(H167="Jasa",VLOOKUP('BKU 2'!K167,'Rekap Gaji'!$D$12:$I$26,6,FALSE),(IF(H167="Beli",VLOOKUP(P167,COPY!$A$1:$L$1000,11,FALSE),IF(H167="Bayar Ongkos",VLOOKUP(K167,'Rekap Gaji'!$D$12:$I$26,6,FALSE),0))))</f>
        <v>0</v>
      </c>
      <c r="O167" s="470"/>
      <c r="P167" s="466" t="str">
        <f t="shared" si="12"/>
        <v/>
      </c>
      <c r="Q167" s="253">
        <f t="shared" si="14"/>
        <v>0</v>
      </c>
      <c r="R167" s="253">
        <f t="shared" si="15"/>
        <v>0</v>
      </c>
      <c r="S167" s="449">
        <f t="shared" si="16"/>
        <v>136</v>
      </c>
      <c r="T167" s="253">
        <f t="shared" si="17"/>
        <v>58</v>
      </c>
      <c r="U167" s="457" t="str">
        <f t="shared" si="13"/>
        <v xml:space="preserve"> </v>
      </c>
    </row>
    <row r="168" spans="1:21" ht="20.100000000000001" hidden="1" customHeight="1" x14ac:dyDescent="0.25">
      <c r="A168" s="470"/>
      <c r="B168" s="456">
        <f>IF(LEFT(C168,16)="Terima Pajak PPN",VLOOKUP(P168,COPY!$A$1:$AC$1000,21,FALSE),IF(LEFT(C168,16)="Terima Pajak PPH",VLOOKUP(P168,COPY!$A$1:$AC$1000,21,FALSE),IF(LEFT(C168,13)="Terima PPh 23",VLOOKUP(P168,COPY!$A$1:$AC$1000,21,FALSE),0)))</f>
        <v>0</v>
      </c>
      <c r="C168" s="457">
        <f>IFERROR(IF(LEFT(VLOOKUP(P168,COPY!$A$1:$AC$1000,29,FALSE),5)="Terim",VLOOKUP(P168,COPY!$A$1:$AC$1000,29,FALSE),0),0)</f>
        <v>0</v>
      </c>
      <c r="D168" s="457"/>
      <c r="E168" s="457"/>
      <c r="F168" s="458">
        <f>IFERROR(IF(LEFT(VLOOKUP(P168,COPY!$A$1:$AC$1000,29,FALSE),5)="Terim",VLOOKUP(P168,COPY!$A$1:$AC$1000,26,FALSE),0),0)</f>
        <v>0</v>
      </c>
      <c r="G168" s="459">
        <f>IFERROR(VLOOKUP(P168,COPY!$A$1:$L$1000,4,FALSE),0)</f>
        <v>0</v>
      </c>
      <c r="H168" s="457">
        <f>IFERROR(VLOOKUP(P168,COPY!$A$1:$L$1000,2,FALSE),0)</f>
        <v>0</v>
      </c>
      <c r="I168" s="510">
        <f>IFERROR(VLOOKUP(P168,COPY!$A$1:$L$1000,10,FALSE),0)</f>
        <v>0</v>
      </c>
      <c r="J168" s="467">
        <f>IFERROR(VLOOKUP(P168,COPY!$A$1:$L$1000,8,FALSE),0)</f>
        <v>0</v>
      </c>
      <c r="K168" s="457">
        <f>IFERROR(VLOOKUP(P168,COPY!$A$1:$L$1000,7,FALSE),0)</f>
        <v>0</v>
      </c>
      <c r="L168" s="468">
        <f>IFERROR(VLOOKUP(P168,COPY!$A$1:$O$1000,15,FALSE),0)</f>
        <v>0</v>
      </c>
      <c r="M168" s="468">
        <f>IFERROR(VLOOKUP(P168,COPY!$A$1:$L$1000,12,FALSE),0)</f>
        <v>0</v>
      </c>
      <c r="N168" s="471">
        <f>IF(H168="Jasa",VLOOKUP('BKU 2'!K168,'Rekap Gaji'!$D$12:$I$26,6,FALSE),(IF(H168="Beli",VLOOKUP(P168,COPY!$A$1:$L$1000,11,FALSE),IF(H168="Bayar Ongkos",VLOOKUP(K168,'Rekap Gaji'!$D$12:$I$26,6,FALSE),0))))</f>
        <v>0</v>
      </c>
      <c r="O168" s="470"/>
      <c r="P168" s="466" t="str">
        <f t="shared" si="12"/>
        <v/>
      </c>
      <c r="Q168" s="253">
        <f t="shared" si="14"/>
        <v>0</v>
      </c>
      <c r="R168" s="253">
        <f t="shared" si="15"/>
        <v>0</v>
      </c>
      <c r="S168" s="449">
        <f t="shared" si="16"/>
        <v>137</v>
      </c>
      <c r="T168" s="253">
        <f t="shared" si="17"/>
        <v>59</v>
      </c>
      <c r="U168" s="457" t="str">
        <f t="shared" si="13"/>
        <v xml:space="preserve"> </v>
      </c>
    </row>
    <row r="169" spans="1:21" ht="20.100000000000001" hidden="1" customHeight="1" x14ac:dyDescent="0.25">
      <c r="A169" s="470"/>
      <c r="B169" s="456">
        <f>IF(LEFT(C169,16)="Terima Pajak PPN",VLOOKUP(P169,COPY!$A$1:$AC$1000,21,FALSE),IF(LEFT(C169,16)="Terima Pajak PPH",VLOOKUP(P169,COPY!$A$1:$AC$1000,21,FALSE),IF(LEFT(C169,13)="Terima PPh 23",VLOOKUP(P169,COPY!$A$1:$AC$1000,21,FALSE),0)))</f>
        <v>0</v>
      </c>
      <c r="C169" s="457">
        <f>IFERROR(IF(LEFT(VLOOKUP(P169,COPY!$A$1:$AC$1000,29,FALSE),5)="Terim",VLOOKUP(P169,COPY!$A$1:$AC$1000,29,FALSE),0),0)</f>
        <v>0</v>
      </c>
      <c r="D169" s="457"/>
      <c r="E169" s="457"/>
      <c r="F169" s="458">
        <f>IFERROR(IF(LEFT(VLOOKUP(P169,COPY!$A$1:$AC$1000,29,FALSE),5)="Terim",VLOOKUP(P169,COPY!$A$1:$AC$1000,26,FALSE),0),0)</f>
        <v>0</v>
      </c>
      <c r="G169" s="459">
        <f>IFERROR(VLOOKUP(P169,COPY!$A$1:$L$1000,4,FALSE),0)</f>
        <v>0</v>
      </c>
      <c r="H169" s="457">
        <f>IFERROR(VLOOKUP(P169,COPY!$A$1:$L$1000,2,FALSE),0)</f>
        <v>0</v>
      </c>
      <c r="I169" s="510">
        <f>IFERROR(VLOOKUP(P169,COPY!$A$1:$L$1000,10,FALSE),0)</f>
        <v>0</v>
      </c>
      <c r="J169" s="467">
        <f>IFERROR(VLOOKUP(P169,COPY!$A$1:$L$1000,8,FALSE),0)</f>
        <v>0</v>
      </c>
      <c r="K169" s="457">
        <f>IFERROR(VLOOKUP(P169,COPY!$A$1:$L$1000,7,FALSE),0)</f>
        <v>0</v>
      </c>
      <c r="L169" s="468">
        <f>IFERROR(VLOOKUP(P169,COPY!$A$1:$O$1000,15,FALSE),0)</f>
        <v>0</v>
      </c>
      <c r="M169" s="468">
        <f>IFERROR(VLOOKUP(P169,COPY!$A$1:$L$1000,12,FALSE),0)</f>
        <v>0</v>
      </c>
      <c r="N169" s="471">
        <f>IF(H169="Jasa",VLOOKUP('BKU 2'!K169,'Rekap Gaji'!$D$12:$I$26,6,FALSE),(IF(H169="Beli",VLOOKUP(P169,COPY!$A$1:$L$1000,11,FALSE),IF(H169="Bayar Ongkos",VLOOKUP(K169,'Rekap Gaji'!$D$12:$I$26,6,FALSE),0))))</f>
        <v>0</v>
      </c>
      <c r="O169" s="470"/>
      <c r="P169" s="466" t="str">
        <f t="shared" si="12"/>
        <v/>
      </c>
      <c r="Q169" s="253">
        <f t="shared" si="14"/>
        <v>0</v>
      </c>
      <c r="R169" s="253">
        <f t="shared" si="15"/>
        <v>0</v>
      </c>
      <c r="S169" s="449">
        <f t="shared" si="16"/>
        <v>138</v>
      </c>
      <c r="T169" s="253">
        <f t="shared" si="17"/>
        <v>60</v>
      </c>
      <c r="U169" s="457" t="str">
        <f t="shared" si="13"/>
        <v xml:space="preserve"> </v>
      </c>
    </row>
    <row r="170" spans="1:21" ht="20.100000000000001" hidden="1" customHeight="1" x14ac:dyDescent="0.25">
      <c r="A170" s="470"/>
      <c r="B170" s="456">
        <f>IF(LEFT(C170,16)="Terima Pajak PPN",VLOOKUP(P170,COPY!$A$1:$AC$1000,21,FALSE),IF(LEFT(C170,16)="Terima Pajak PPH",VLOOKUP(P170,COPY!$A$1:$AC$1000,21,FALSE),IF(LEFT(C170,13)="Terima PPh 23",VLOOKUP(P170,COPY!$A$1:$AC$1000,21,FALSE),0)))</f>
        <v>0</v>
      </c>
      <c r="C170" s="457">
        <f>IFERROR(IF(LEFT(VLOOKUP(P170,COPY!$A$1:$AC$1000,29,FALSE),5)="Terim",VLOOKUP(P170,COPY!$A$1:$AC$1000,29,FALSE),0),0)</f>
        <v>0</v>
      </c>
      <c r="D170" s="457"/>
      <c r="E170" s="457"/>
      <c r="F170" s="458">
        <f>IFERROR(IF(LEFT(VLOOKUP(P170,COPY!$A$1:$AC$1000,29,FALSE),5)="Terim",VLOOKUP(P170,COPY!$A$1:$AC$1000,26,FALSE),0),0)</f>
        <v>0</v>
      </c>
      <c r="G170" s="459">
        <f>IFERROR(VLOOKUP(P170,COPY!$A$1:$L$1000,4,FALSE),0)</f>
        <v>0</v>
      </c>
      <c r="H170" s="457">
        <f>IFERROR(VLOOKUP(P170,COPY!$A$1:$L$1000,2,FALSE),0)</f>
        <v>0</v>
      </c>
      <c r="I170" s="510">
        <f>IFERROR(VLOOKUP(P170,COPY!$A$1:$L$1000,10,FALSE),0)</f>
        <v>0</v>
      </c>
      <c r="J170" s="467">
        <f>IFERROR(VLOOKUP(P170,COPY!$A$1:$L$1000,8,FALSE),0)</f>
        <v>0</v>
      </c>
      <c r="K170" s="457">
        <f>IFERROR(VLOOKUP(P170,COPY!$A$1:$L$1000,7,FALSE),0)</f>
        <v>0</v>
      </c>
      <c r="L170" s="468">
        <f>IFERROR(VLOOKUP(P170,COPY!$A$1:$O$1000,15,FALSE),0)</f>
        <v>0</v>
      </c>
      <c r="M170" s="468">
        <f>IFERROR(VLOOKUP(P170,COPY!$A$1:$L$1000,12,FALSE),0)</f>
        <v>0</v>
      </c>
      <c r="N170" s="471">
        <f>IF(H170="Jasa",VLOOKUP('BKU 2'!K170,'Rekap Gaji'!$D$12:$I$26,6,FALSE),(IF(H170="Beli",VLOOKUP(P170,COPY!$A$1:$L$1000,11,FALSE),IF(H170="Bayar Ongkos",VLOOKUP(K170,'Rekap Gaji'!$D$12:$I$26,6,FALSE),0))))</f>
        <v>0</v>
      </c>
      <c r="O170" s="470"/>
      <c r="P170" s="466" t="str">
        <f t="shared" si="12"/>
        <v/>
      </c>
      <c r="Q170" s="253">
        <f t="shared" si="14"/>
        <v>0</v>
      </c>
      <c r="R170" s="253">
        <f t="shared" si="15"/>
        <v>0</v>
      </c>
      <c r="S170" s="449">
        <f t="shared" si="16"/>
        <v>139</v>
      </c>
      <c r="T170" s="253">
        <f t="shared" si="17"/>
        <v>61</v>
      </c>
      <c r="U170" s="457" t="str">
        <f t="shared" si="13"/>
        <v xml:space="preserve"> </v>
      </c>
    </row>
    <row r="171" spans="1:21" ht="20.100000000000001" hidden="1" customHeight="1" x14ac:dyDescent="0.25">
      <c r="A171" s="470"/>
      <c r="B171" s="456">
        <f>IF(LEFT(C171,16)="Terima Pajak PPN",VLOOKUP(P171,COPY!$A$1:$AC$1000,21,FALSE),IF(LEFT(C171,16)="Terima Pajak PPH",VLOOKUP(P171,COPY!$A$1:$AC$1000,21,FALSE),IF(LEFT(C171,13)="Terima PPh 23",VLOOKUP(P171,COPY!$A$1:$AC$1000,21,FALSE),0)))</f>
        <v>0</v>
      </c>
      <c r="C171" s="457">
        <f>IFERROR(IF(LEFT(VLOOKUP(P171,COPY!$A$1:$AC$1000,29,FALSE),5)="Terim",VLOOKUP(P171,COPY!$A$1:$AC$1000,29,FALSE),0),0)</f>
        <v>0</v>
      </c>
      <c r="D171" s="457"/>
      <c r="E171" s="457"/>
      <c r="F171" s="458">
        <f>IFERROR(IF(LEFT(VLOOKUP(P171,COPY!$A$1:$AC$1000,29,FALSE),5)="Terim",VLOOKUP(P171,COPY!$A$1:$AC$1000,26,FALSE),0),0)</f>
        <v>0</v>
      </c>
      <c r="G171" s="459">
        <f>IFERROR(VLOOKUP(P171,COPY!$A$1:$L$1000,4,FALSE),0)</f>
        <v>0</v>
      </c>
      <c r="H171" s="457">
        <f>IFERROR(VLOOKUP(P171,COPY!$A$1:$L$1000,2,FALSE),0)</f>
        <v>0</v>
      </c>
      <c r="I171" s="510">
        <f>IFERROR(VLOOKUP(P171,COPY!$A$1:$L$1000,10,FALSE),0)</f>
        <v>0</v>
      </c>
      <c r="J171" s="467">
        <f>IFERROR(VLOOKUP(P171,COPY!$A$1:$L$1000,8,FALSE),0)</f>
        <v>0</v>
      </c>
      <c r="K171" s="457">
        <f>IFERROR(VLOOKUP(P171,COPY!$A$1:$L$1000,7,FALSE),0)</f>
        <v>0</v>
      </c>
      <c r="L171" s="468">
        <f>IFERROR(VLOOKUP(P171,COPY!$A$1:$O$1000,15,FALSE),0)</f>
        <v>0</v>
      </c>
      <c r="M171" s="468">
        <f>IFERROR(VLOOKUP(P171,COPY!$A$1:$L$1000,12,FALSE),0)</f>
        <v>0</v>
      </c>
      <c r="N171" s="471">
        <f>IF(H171="Jasa",VLOOKUP('BKU 2'!K171,'Rekap Gaji'!$D$12:$I$26,6,FALSE),(IF(H171="Beli",VLOOKUP(P171,COPY!$A$1:$L$1000,11,FALSE),IF(H171="Bayar Ongkos",VLOOKUP(K171,'Rekap Gaji'!$D$12:$I$26,6,FALSE),0))))</f>
        <v>0</v>
      </c>
      <c r="O171" s="470"/>
      <c r="P171" s="466" t="str">
        <f t="shared" si="12"/>
        <v/>
      </c>
      <c r="Q171" s="253">
        <f t="shared" si="14"/>
        <v>0</v>
      </c>
      <c r="R171" s="253">
        <f t="shared" si="15"/>
        <v>0</v>
      </c>
      <c r="S171" s="449">
        <f t="shared" si="16"/>
        <v>140</v>
      </c>
      <c r="T171" s="253">
        <f t="shared" si="17"/>
        <v>62</v>
      </c>
      <c r="U171" s="457" t="str">
        <f t="shared" si="13"/>
        <v xml:space="preserve"> </v>
      </c>
    </row>
    <row r="172" spans="1:21" ht="20.100000000000001" hidden="1" customHeight="1" x14ac:dyDescent="0.25">
      <c r="A172" s="470"/>
      <c r="B172" s="456">
        <f>IF(LEFT(C172,16)="Terima Pajak PPN",VLOOKUP(P172,COPY!$A$1:$AC$1000,21,FALSE),IF(LEFT(C172,16)="Terima Pajak PPH",VLOOKUP(P172,COPY!$A$1:$AC$1000,21,FALSE),IF(LEFT(C172,13)="Terima PPh 23",VLOOKUP(P172,COPY!$A$1:$AC$1000,21,FALSE),0)))</f>
        <v>0</v>
      </c>
      <c r="C172" s="457">
        <f>IFERROR(IF(LEFT(VLOOKUP(P172,COPY!$A$1:$AC$1000,29,FALSE),5)="Terim",VLOOKUP(P172,COPY!$A$1:$AC$1000,29,FALSE),0),0)</f>
        <v>0</v>
      </c>
      <c r="D172" s="457"/>
      <c r="E172" s="457"/>
      <c r="F172" s="458">
        <f>IFERROR(IF(LEFT(VLOOKUP(P172,COPY!$A$1:$AC$1000,29,FALSE),5)="Terim",VLOOKUP(P172,COPY!$A$1:$AC$1000,26,FALSE),0),0)</f>
        <v>0</v>
      </c>
      <c r="G172" s="459">
        <f>IFERROR(VLOOKUP(P172,COPY!$A$1:$L$1000,4,FALSE),0)</f>
        <v>0</v>
      </c>
      <c r="H172" s="457">
        <f>IFERROR(VLOOKUP(P172,COPY!$A$1:$L$1000,2,FALSE),0)</f>
        <v>0</v>
      </c>
      <c r="I172" s="510">
        <f>IFERROR(VLOOKUP(P172,COPY!$A$1:$L$1000,10,FALSE),0)</f>
        <v>0</v>
      </c>
      <c r="J172" s="467">
        <f>IFERROR(VLOOKUP(P172,COPY!$A$1:$L$1000,8,FALSE),0)</f>
        <v>0</v>
      </c>
      <c r="K172" s="457">
        <f>IFERROR(VLOOKUP(P172,COPY!$A$1:$L$1000,7,FALSE),0)</f>
        <v>0</v>
      </c>
      <c r="L172" s="468">
        <f>IFERROR(VLOOKUP(P172,COPY!$A$1:$O$1000,15,FALSE),0)</f>
        <v>0</v>
      </c>
      <c r="M172" s="468">
        <f>IFERROR(VLOOKUP(P172,COPY!$A$1:$L$1000,12,FALSE),0)</f>
        <v>0</v>
      </c>
      <c r="N172" s="471">
        <f>IF(H172="Jasa",VLOOKUP('BKU 2'!K172,'Rekap Gaji'!$D$12:$I$26,6,FALSE),(IF(H172="Beli",VLOOKUP(P172,COPY!$A$1:$L$1000,11,FALSE),IF(H172="Bayar Ongkos",VLOOKUP(K172,'Rekap Gaji'!$D$12:$I$26,6,FALSE),0))))</f>
        <v>0</v>
      </c>
      <c r="O172" s="470"/>
      <c r="P172" s="466" t="str">
        <f t="shared" si="12"/>
        <v/>
      </c>
      <c r="Q172" s="253">
        <f t="shared" si="14"/>
        <v>0</v>
      </c>
      <c r="R172" s="253">
        <f t="shared" si="15"/>
        <v>0</v>
      </c>
      <c r="S172" s="449">
        <f t="shared" si="16"/>
        <v>141</v>
      </c>
      <c r="T172" s="253">
        <f t="shared" si="17"/>
        <v>63</v>
      </c>
      <c r="U172" s="457" t="str">
        <f t="shared" si="13"/>
        <v xml:space="preserve"> </v>
      </c>
    </row>
    <row r="173" spans="1:21" ht="20.100000000000001" hidden="1" customHeight="1" x14ac:dyDescent="0.25">
      <c r="A173" s="470"/>
      <c r="B173" s="456">
        <f>IF(LEFT(C173,16)="Terima Pajak PPN",VLOOKUP(P173,COPY!$A$1:$AC$1000,21,FALSE),IF(LEFT(C173,16)="Terima Pajak PPH",VLOOKUP(P173,COPY!$A$1:$AC$1000,21,FALSE),IF(LEFT(C173,13)="Terima PPh 23",VLOOKUP(P173,COPY!$A$1:$AC$1000,21,FALSE),0)))</f>
        <v>0</v>
      </c>
      <c r="C173" s="457">
        <f>IFERROR(IF(LEFT(VLOOKUP(P173,COPY!$A$1:$AC$1000,29,FALSE),5)="Terim",VLOOKUP(P173,COPY!$A$1:$AC$1000,29,FALSE),0),0)</f>
        <v>0</v>
      </c>
      <c r="D173" s="457"/>
      <c r="E173" s="457"/>
      <c r="F173" s="458">
        <f>IFERROR(IF(LEFT(VLOOKUP(P173,COPY!$A$1:$AC$1000,29,FALSE),5)="Terim",VLOOKUP(P173,COPY!$A$1:$AC$1000,26,FALSE),0),0)</f>
        <v>0</v>
      </c>
      <c r="G173" s="459">
        <f>IFERROR(VLOOKUP(P173,COPY!$A$1:$L$1000,4,FALSE),0)</f>
        <v>0</v>
      </c>
      <c r="H173" s="457">
        <f>IFERROR(VLOOKUP(P173,COPY!$A$1:$L$1000,2,FALSE),0)</f>
        <v>0</v>
      </c>
      <c r="I173" s="510">
        <f>IFERROR(VLOOKUP(P173,COPY!$A$1:$L$1000,10,FALSE),0)</f>
        <v>0</v>
      </c>
      <c r="J173" s="467">
        <f>IFERROR(VLOOKUP(P173,COPY!$A$1:$L$1000,8,FALSE),0)</f>
        <v>0</v>
      </c>
      <c r="K173" s="457">
        <f>IFERROR(VLOOKUP(P173,COPY!$A$1:$L$1000,7,FALSE),0)</f>
        <v>0</v>
      </c>
      <c r="L173" s="468">
        <f>IFERROR(VLOOKUP(P173,COPY!$A$1:$O$1000,15,FALSE),0)</f>
        <v>0</v>
      </c>
      <c r="M173" s="468">
        <f>IFERROR(VLOOKUP(P173,COPY!$A$1:$L$1000,12,FALSE),0)</f>
        <v>0</v>
      </c>
      <c r="N173" s="471">
        <f>IF(H173="Jasa",VLOOKUP('BKU 2'!K173,'Rekap Gaji'!$D$12:$I$26,6,FALSE),(IF(H173="Beli",VLOOKUP(P173,COPY!$A$1:$L$1000,11,FALSE),IF(H173="Bayar Ongkos",VLOOKUP(K173,'Rekap Gaji'!$D$12:$I$26,6,FALSE),0))))</f>
        <v>0</v>
      </c>
      <c r="O173" s="470"/>
      <c r="P173" s="466" t="str">
        <f t="shared" si="12"/>
        <v/>
      </c>
      <c r="Q173" s="253">
        <f t="shared" si="14"/>
        <v>0</v>
      </c>
      <c r="R173" s="253">
        <f t="shared" si="15"/>
        <v>0</v>
      </c>
      <c r="S173" s="449">
        <f t="shared" si="16"/>
        <v>142</v>
      </c>
      <c r="T173" s="253">
        <f t="shared" si="17"/>
        <v>64</v>
      </c>
      <c r="U173" s="457" t="str">
        <f t="shared" si="13"/>
        <v xml:space="preserve"> </v>
      </c>
    </row>
    <row r="174" spans="1:21" ht="20.100000000000001" hidden="1" customHeight="1" x14ac:dyDescent="0.25">
      <c r="A174" s="470"/>
      <c r="B174" s="456">
        <f>IF(LEFT(C174,16)="Terima Pajak PPN",VLOOKUP(P174,COPY!$A$1:$AC$1000,21,FALSE),IF(LEFT(C174,16)="Terima Pajak PPH",VLOOKUP(P174,COPY!$A$1:$AC$1000,21,FALSE),IF(LEFT(C174,13)="Terima PPh 23",VLOOKUP(P174,COPY!$A$1:$AC$1000,21,FALSE),0)))</f>
        <v>0</v>
      </c>
      <c r="C174" s="457">
        <f>IFERROR(IF(LEFT(VLOOKUP(P174,COPY!$A$1:$AC$1000,29,FALSE),5)="Terim",VLOOKUP(P174,COPY!$A$1:$AC$1000,29,FALSE),0),0)</f>
        <v>0</v>
      </c>
      <c r="D174" s="457"/>
      <c r="E174" s="457"/>
      <c r="F174" s="458">
        <f>IFERROR(IF(LEFT(VLOOKUP(P174,COPY!$A$1:$AC$1000,29,FALSE),5)="Terim",VLOOKUP(P174,COPY!$A$1:$AC$1000,26,FALSE),0),0)</f>
        <v>0</v>
      </c>
      <c r="G174" s="459">
        <f>IFERROR(VLOOKUP(P174,COPY!$A$1:$L$1000,4,FALSE),0)</f>
        <v>0</v>
      </c>
      <c r="H174" s="457">
        <f>IFERROR(VLOOKUP(P174,COPY!$A$1:$L$1000,2,FALSE),0)</f>
        <v>0</v>
      </c>
      <c r="I174" s="510">
        <f>IFERROR(VLOOKUP(P174,COPY!$A$1:$L$1000,10,FALSE),0)</f>
        <v>0</v>
      </c>
      <c r="J174" s="467">
        <f>IFERROR(VLOOKUP(P174,COPY!$A$1:$L$1000,8,FALSE),0)</f>
        <v>0</v>
      </c>
      <c r="K174" s="457">
        <f>IFERROR(VLOOKUP(P174,COPY!$A$1:$L$1000,7,FALSE),0)</f>
        <v>0</v>
      </c>
      <c r="L174" s="468">
        <f>IFERROR(VLOOKUP(P174,COPY!$A$1:$O$1000,15,FALSE),0)</f>
        <v>0</v>
      </c>
      <c r="M174" s="468">
        <f>IFERROR(VLOOKUP(P174,COPY!$A$1:$L$1000,12,FALSE),0)</f>
        <v>0</v>
      </c>
      <c r="N174" s="471">
        <f>IF(H174="Jasa",VLOOKUP('BKU 2'!K174,'Rekap Gaji'!$D$12:$I$26,6,FALSE),(IF(H174="Beli",VLOOKUP(P174,COPY!$A$1:$L$1000,11,FALSE),IF(H174="Bayar Ongkos",VLOOKUP(K174,'Rekap Gaji'!$D$12:$I$26,6,FALSE),0))))</f>
        <v>0</v>
      </c>
      <c r="O174" s="470"/>
      <c r="P174" s="466" t="str">
        <f t="shared" si="12"/>
        <v/>
      </c>
      <c r="Q174" s="253">
        <f t="shared" si="14"/>
        <v>0</v>
      </c>
      <c r="R174" s="253">
        <f t="shared" si="15"/>
        <v>0</v>
      </c>
      <c r="S174" s="449">
        <f t="shared" si="16"/>
        <v>143</v>
      </c>
      <c r="T174" s="253">
        <f t="shared" si="17"/>
        <v>65</v>
      </c>
      <c r="U174" s="457" t="str">
        <f t="shared" si="13"/>
        <v xml:space="preserve"> </v>
      </c>
    </row>
    <row r="175" spans="1:21" ht="20.100000000000001" hidden="1" customHeight="1" x14ac:dyDescent="0.25">
      <c r="A175" s="470"/>
      <c r="B175" s="456">
        <f>IF(LEFT(C175,16)="Terima Pajak PPN",VLOOKUP(P175,COPY!$A$1:$AC$1000,21,FALSE),IF(LEFT(C175,16)="Terima Pajak PPH",VLOOKUP(P175,COPY!$A$1:$AC$1000,21,FALSE),IF(LEFT(C175,13)="Terima PPh 23",VLOOKUP(P175,COPY!$A$1:$AC$1000,21,FALSE),0)))</f>
        <v>0</v>
      </c>
      <c r="C175" s="457">
        <f>IFERROR(IF(LEFT(VLOOKUP(P175,COPY!$A$1:$AC$1000,29,FALSE),5)="Terim",VLOOKUP(P175,COPY!$A$1:$AC$1000,29,FALSE),0),0)</f>
        <v>0</v>
      </c>
      <c r="D175" s="457"/>
      <c r="E175" s="457"/>
      <c r="F175" s="458">
        <f>IFERROR(IF(LEFT(VLOOKUP(P175,COPY!$A$1:$AC$1000,29,FALSE),5)="Terim",VLOOKUP(P175,COPY!$A$1:$AC$1000,26,FALSE),0),0)</f>
        <v>0</v>
      </c>
      <c r="G175" s="459">
        <f>IFERROR(VLOOKUP(P175,COPY!$A$1:$L$1000,4,FALSE),0)</f>
        <v>0</v>
      </c>
      <c r="H175" s="457">
        <f>IFERROR(VLOOKUP(P175,COPY!$A$1:$L$1000,2,FALSE),0)</f>
        <v>0</v>
      </c>
      <c r="I175" s="510">
        <f>IFERROR(VLOOKUP(P175,COPY!$A$1:$L$1000,10,FALSE),0)</f>
        <v>0</v>
      </c>
      <c r="J175" s="467">
        <f>IFERROR(VLOOKUP(P175,COPY!$A$1:$L$1000,8,FALSE),0)</f>
        <v>0</v>
      </c>
      <c r="K175" s="457">
        <f>IFERROR(VLOOKUP(P175,COPY!$A$1:$L$1000,7,FALSE),0)</f>
        <v>0</v>
      </c>
      <c r="L175" s="468">
        <f>IFERROR(VLOOKUP(P175,COPY!$A$1:$O$1000,15,FALSE),0)</f>
        <v>0</v>
      </c>
      <c r="M175" s="468">
        <f>IFERROR(VLOOKUP(P175,COPY!$A$1:$L$1000,12,FALSE),0)</f>
        <v>0</v>
      </c>
      <c r="N175" s="471">
        <f>IF(H175="Jasa",VLOOKUP('BKU 2'!K175,'Rekap Gaji'!$D$12:$I$26,6,FALSE),(IF(H175="Beli",VLOOKUP(P175,COPY!$A$1:$L$1000,11,FALSE),IF(H175="Bayar Ongkos",VLOOKUP(K175,'Rekap Gaji'!$D$12:$I$26,6,FALSE),0))))</f>
        <v>0</v>
      </c>
      <c r="O175" s="470"/>
      <c r="P175" s="466" t="str">
        <f t="shared" si="12"/>
        <v/>
      </c>
      <c r="Q175" s="253">
        <f t="shared" si="14"/>
        <v>0</v>
      </c>
      <c r="R175" s="253">
        <f t="shared" si="15"/>
        <v>0</v>
      </c>
      <c r="S175" s="449">
        <f t="shared" si="16"/>
        <v>144</v>
      </c>
      <c r="T175" s="253">
        <f t="shared" si="17"/>
        <v>66</v>
      </c>
      <c r="U175" s="457" t="str">
        <f t="shared" si="13"/>
        <v xml:space="preserve"> </v>
      </c>
    </row>
    <row r="176" spans="1:21" ht="20.100000000000001" hidden="1" customHeight="1" x14ac:dyDescent="0.25">
      <c r="A176" s="470"/>
      <c r="B176" s="456">
        <f>IF(LEFT(C176,16)="Terima Pajak PPN",VLOOKUP(P176,COPY!$A$1:$AC$1000,21,FALSE),IF(LEFT(C176,16)="Terima Pajak PPH",VLOOKUP(P176,COPY!$A$1:$AC$1000,21,FALSE),IF(LEFT(C176,13)="Terima PPh 23",VLOOKUP(P176,COPY!$A$1:$AC$1000,21,FALSE),0)))</f>
        <v>0</v>
      </c>
      <c r="C176" s="457">
        <f>IFERROR(IF(LEFT(VLOOKUP(P176,COPY!$A$1:$AC$1000,29,FALSE),5)="Terim",VLOOKUP(P176,COPY!$A$1:$AC$1000,29,FALSE),0),0)</f>
        <v>0</v>
      </c>
      <c r="D176" s="457"/>
      <c r="E176" s="457"/>
      <c r="F176" s="458">
        <f>IFERROR(IF(LEFT(VLOOKUP(P176,COPY!$A$1:$AC$1000,29,FALSE),5)="Terim",VLOOKUP(P176,COPY!$A$1:$AC$1000,26,FALSE),0),0)</f>
        <v>0</v>
      </c>
      <c r="G176" s="459">
        <f>IFERROR(VLOOKUP(P176,COPY!$A$1:$L$1000,4,FALSE),0)</f>
        <v>0</v>
      </c>
      <c r="H176" s="457">
        <f>IFERROR(VLOOKUP(P176,COPY!$A$1:$L$1000,2,FALSE),0)</f>
        <v>0</v>
      </c>
      <c r="I176" s="510">
        <f>IFERROR(VLOOKUP(P176,COPY!$A$1:$L$1000,10,FALSE),0)</f>
        <v>0</v>
      </c>
      <c r="J176" s="467">
        <f>IFERROR(VLOOKUP(P176,COPY!$A$1:$L$1000,8,FALSE),0)</f>
        <v>0</v>
      </c>
      <c r="K176" s="457">
        <f>IFERROR(VLOOKUP(P176,COPY!$A$1:$L$1000,7,FALSE),0)</f>
        <v>0</v>
      </c>
      <c r="L176" s="468">
        <f>IFERROR(VLOOKUP(P176,COPY!$A$1:$O$1000,15,FALSE),0)</f>
        <v>0</v>
      </c>
      <c r="M176" s="468">
        <f>IFERROR(VLOOKUP(P176,COPY!$A$1:$L$1000,12,FALSE),0)</f>
        <v>0</v>
      </c>
      <c r="N176" s="471">
        <f>IF(H176="Jasa",VLOOKUP('BKU 2'!K176,'Rekap Gaji'!$D$12:$I$26,6,FALSE),(IF(H176="Beli",VLOOKUP(P176,COPY!$A$1:$L$1000,11,FALSE),IF(H176="Bayar Ongkos",VLOOKUP(K176,'Rekap Gaji'!$D$12:$I$26,6,FALSE),0))))</f>
        <v>0</v>
      </c>
      <c r="O176" s="470"/>
      <c r="P176" s="466" t="str">
        <f t="shared" si="12"/>
        <v/>
      </c>
      <c r="Q176" s="253">
        <f t="shared" si="14"/>
        <v>0</v>
      </c>
      <c r="R176" s="253">
        <f t="shared" si="15"/>
        <v>0</v>
      </c>
      <c r="S176" s="449">
        <f t="shared" si="16"/>
        <v>145</v>
      </c>
      <c r="T176" s="253">
        <f t="shared" si="17"/>
        <v>67</v>
      </c>
      <c r="U176" s="457" t="str">
        <f t="shared" si="13"/>
        <v xml:space="preserve"> </v>
      </c>
    </row>
    <row r="177" spans="1:21" ht="20.100000000000001" hidden="1" customHeight="1" x14ac:dyDescent="0.25">
      <c r="A177" s="470"/>
      <c r="B177" s="456">
        <f>IF(LEFT(C177,16)="Terima Pajak PPN",VLOOKUP(P177,COPY!$A$1:$AC$1000,21,FALSE),IF(LEFT(C177,16)="Terima Pajak PPH",VLOOKUP(P177,COPY!$A$1:$AC$1000,21,FALSE),IF(LEFT(C177,13)="Terima PPh 23",VLOOKUP(P177,COPY!$A$1:$AC$1000,21,FALSE),0)))</f>
        <v>0</v>
      </c>
      <c r="C177" s="457">
        <f>IFERROR(IF(LEFT(VLOOKUP(P177,COPY!$A$1:$AC$1000,29,FALSE),5)="Terim",VLOOKUP(P177,COPY!$A$1:$AC$1000,29,FALSE),0),0)</f>
        <v>0</v>
      </c>
      <c r="D177" s="457"/>
      <c r="E177" s="457"/>
      <c r="F177" s="458">
        <f>IFERROR(IF(LEFT(VLOOKUP(P177,COPY!$A$1:$AC$1000,29,FALSE),5)="Terim",VLOOKUP(P177,COPY!$A$1:$AC$1000,26,FALSE),0),0)</f>
        <v>0</v>
      </c>
      <c r="G177" s="459">
        <f>IFERROR(VLOOKUP(P177,COPY!$A$1:$L$1000,4,FALSE),0)</f>
        <v>0</v>
      </c>
      <c r="H177" s="457">
        <f>IFERROR(VLOOKUP(P177,COPY!$A$1:$L$1000,2,FALSE),0)</f>
        <v>0</v>
      </c>
      <c r="I177" s="510">
        <f>IFERROR(VLOOKUP(P177,COPY!$A$1:$L$1000,10,FALSE),0)</f>
        <v>0</v>
      </c>
      <c r="J177" s="467">
        <f>IFERROR(VLOOKUP(P177,COPY!$A$1:$L$1000,8,FALSE),0)</f>
        <v>0</v>
      </c>
      <c r="K177" s="457">
        <f>IFERROR(VLOOKUP(P177,COPY!$A$1:$L$1000,7,FALSE),0)</f>
        <v>0</v>
      </c>
      <c r="L177" s="468">
        <f>IFERROR(VLOOKUP(P177,COPY!$A$1:$O$1000,15,FALSE),0)</f>
        <v>0</v>
      </c>
      <c r="M177" s="468">
        <f>IFERROR(VLOOKUP(P177,COPY!$A$1:$L$1000,12,FALSE),0)</f>
        <v>0</v>
      </c>
      <c r="N177" s="471">
        <f>IF(H177="Jasa",VLOOKUP('BKU 2'!K177,'Rekap Gaji'!$D$12:$I$26,6,FALSE),(IF(H177="Beli",VLOOKUP(P177,COPY!$A$1:$L$1000,11,FALSE),IF(H177="Bayar Ongkos",VLOOKUP(K177,'Rekap Gaji'!$D$12:$I$26,6,FALSE),0))))</f>
        <v>0</v>
      </c>
      <c r="O177" s="470"/>
      <c r="P177" s="466" t="str">
        <f t="shared" si="12"/>
        <v/>
      </c>
      <c r="Q177" s="253">
        <f t="shared" si="14"/>
        <v>0</v>
      </c>
      <c r="R177" s="253">
        <f t="shared" si="15"/>
        <v>0</v>
      </c>
      <c r="S177" s="449">
        <f t="shared" si="16"/>
        <v>146</v>
      </c>
      <c r="T177" s="253">
        <f t="shared" si="17"/>
        <v>68</v>
      </c>
      <c r="U177" s="457" t="str">
        <f t="shared" si="13"/>
        <v xml:space="preserve"> </v>
      </c>
    </row>
    <row r="178" spans="1:21" ht="20.100000000000001" hidden="1" customHeight="1" x14ac:dyDescent="0.25">
      <c r="A178" s="470"/>
      <c r="B178" s="456">
        <f>IF(LEFT(C178,16)="Terima Pajak PPN",VLOOKUP(P178,COPY!$A$1:$AC$1000,21,FALSE),IF(LEFT(C178,16)="Terima Pajak PPH",VLOOKUP(P178,COPY!$A$1:$AC$1000,21,FALSE),IF(LEFT(C178,13)="Terima PPh 23",VLOOKUP(P178,COPY!$A$1:$AC$1000,21,FALSE),0)))</f>
        <v>0</v>
      </c>
      <c r="C178" s="457">
        <f>IFERROR(IF(LEFT(VLOOKUP(P178,COPY!$A$1:$AC$1000,29,FALSE),5)="Terim",VLOOKUP(P178,COPY!$A$1:$AC$1000,29,FALSE),0),0)</f>
        <v>0</v>
      </c>
      <c r="D178" s="457"/>
      <c r="E178" s="457"/>
      <c r="F178" s="458">
        <f>IFERROR(IF(LEFT(VLOOKUP(P178,COPY!$A$1:$AC$1000,29,FALSE),5)="Terim",VLOOKUP(P178,COPY!$A$1:$AC$1000,26,FALSE),0),0)</f>
        <v>0</v>
      </c>
      <c r="G178" s="459">
        <f>IFERROR(VLOOKUP(P178,COPY!$A$1:$L$1000,4,FALSE),0)</f>
        <v>0</v>
      </c>
      <c r="H178" s="457">
        <f>IFERROR(VLOOKUP(P178,COPY!$A$1:$L$1000,2,FALSE),0)</f>
        <v>0</v>
      </c>
      <c r="I178" s="510">
        <f>IFERROR(VLOOKUP(P178,COPY!$A$1:$L$1000,10,FALSE),0)</f>
        <v>0</v>
      </c>
      <c r="J178" s="467">
        <f>IFERROR(VLOOKUP(P178,COPY!$A$1:$L$1000,8,FALSE),0)</f>
        <v>0</v>
      </c>
      <c r="K178" s="457">
        <f>IFERROR(VLOOKUP(P178,COPY!$A$1:$L$1000,7,FALSE),0)</f>
        <v>0</v>
      </c>
      <c r="L178" s="468">
        <f>IFERROR(VLOOKUP(P178,COPY!$A$1:$O$1000,15,FALSE),0)</f>
        <v>0</v>
      </c>
      <c r="M178" s="468">
        <f>IFERROR(VLOOKUP(P178,COPY!$A$1:$L$1000,12,FALSE),0)</f>
        <v>0</v>
      </c>
      <c r="N178" s="471">
        <f>IF(H178="Jasa",VLOOKUP('BKU 2'!K178,'Rekap Gaji'!$D$12:$I$26,6,FALSE),(IF(H178="Beli",VLOOKUP(P178,COPY!$A$1:$L$1000,11,FALSE),IF(H178="Bayar Ongkos",VLOOKUP(K178,'Rekap Gaji'!$D$12:$I$26,6,FALSE),0))))</f>
        <v>0</v>
      </c>
      <c r="O178" s="470"/>
      <c r="P178" s="466" t="str">
        <f t="shared" si="12"/>
        <v/>
      </c>
      <c r="Q178" s="253">
        <f t="shared" si="14"/>
        <v>0</v>
      </c>
      <c r="R178" s="253">
        <f t="shared" si="15"/>
        <v>0</v>
      </c>
      <c r="S178" s="449">
        <f t="shared" si="16"/>
        <v>147</v>
      </c>
      <c r="T178" s="253">
        <f t="shared" si="17"/>
        <v>69</v>
      </c>
      <c r="U178" s="457" t="str">
        <f t="shared" si="13"/>
        <v xml:space="preserve"> </v>
      </c>
    </row>
    <row r="179" spans="1:21" ht="20.100000000000001" hidden="1" customHeight="1" x14ac:dyDescent="0.25">
      <c r="A179" s="470"/>
      <c r="B179" s="456">
        <f>IF(LEFT(C179,16)="Terima Pajak PPN",VLOOKUP(P179,COPY!$A$1:$AC$1000,21,FALSE),IF(LEFT(C179,16)="Terima Pajak PPH",VLOOKUP(P179,COPY!$A$1:$AC$1000,21,FALSE),IF(LEFT(C179,13)="Terima PPh 23",VLOOKUP(P179,COPY!$A$1:$AC$1000,21,FALSE),0)))</f>
        <v>0</v>
      </c>
      <c r="C179" s="457">
        <f>IFERROR(IF(LEFT(VLOOKUP(P179,COPY!$A$1:$AC$1000,29,FALSE),5)="Terim",VLOOKUP(P179,COPY!$A$1:$AC$1000,29,FALSE),0),0)</f>
        <v>0</v>
      </c>
      <c r="D179" s="457"/>
      <c r="E179" s="457"/>
      <c r="F179" s="458">
        <f>IFERROR(IF(LEFT(VLOOKUP(P179,COPY!$A$1:$AC$1000,29,FALSE),5)="Terim",VLOOKUP(P179,COPY!$A$1:$AC$1000,26,FALSE),0),0)</f>
        <v>0</v>
      </c>
      <c r="G179" s="459">
        <f>IFERROR(VLOOKUP(P179,COPY!$A$1:$L$1000,4,FALSE),0)</f>
        <v>0</v>
      </c>
      <c r="H179" s="457">
        <f>IFERROR(VLOOKUP(P179,COPY!$A$1:$L$1000,2,FALSE),0)</f>
        <v>0</v>
      </c>
      <c r="I179" s="510">
        <f>IFERROR(VLOOKUP(P179,COPY!$A$1:$L$1000,10,FALSE),0)</f>
        <v>0</v>
      </c>
      <c r="J179" s="467">
        <f>IFERROR(VLOOKUP(P179,COPY!$A$1:$L$1000,8,FALSE),0)</f>
        <v>0</v>
      </c>
      <c r="K179" s="457">
        <f>IFERROR(VLOOKUP(P179,COPY!$A$1:$L$1000,7,FALSE),0)</f>
        <v>0</v>
      </c>
      <c r="L179" s="468">
        <f>IFERROR(VLOOKUP(P179,COPY!$A$1:$O$1000,15,FALSE),0)</f>
        <v>0</v>
      </c>
      <c r="M179" s="468">
        <f>IFERROR(VLOOKUP(P179,COPY!$A$1:$L$1000,12,FALSE),0)</f>
        <v>0</v>
      </c>
      <c r="N179" s="471">
        <f>IF(H179="Jasa",VLOOKUP('BKU 2'!K179,'Rekap Gaji'!$D$12:$I$26,6,FALSE),(IF(H179="Beli",VLOOKUP(P179,COPY!$A$1:$L$1000,11,FALSE),IF(H179="Bayar Ongkos",VLOOKUP(K179,'Rekap Gaji'!$D$12:$I$26,6,FALSE),0))))</f>
        <v>0</v>
      </c>
      <c r="O179" s="470"/>
      <c r="P179" s="466" t="str">
        <f t="shared" si="12"/>
        <v/>
      </c>
      <c r="Q179" s="253">
        <f t="shared" si="14"/>
        <v>0</v>
      </c>
      <c r="R179" s="253">
        <f t="shared" si="15"/>
        <v>0</v>
      </c>
      <c r="S179" s="449">
        <f t="shared" si="16"/>
        <v>148</v>
      </c>
      <c r="T179" s="253">
        <f t="shared" si="17"/>
        <v>70</v>
      </c>
      <c r="U179" s="457" t="str">
        <f t="shared" si="13"/>
        <v xml:space="preserve"> </v>
      </c>
    </row>
    <row r="180" spans="1:21" ht="20.100000000000001" hidden="1" customHeight="1" x14ac:dyDescent="0.25">
      <c r="A180" s="470"/>
      <c r="B180" s="456">
        <f>IF(LEFT(C180,16)="Terima Pajak PPN",VLOOKUP(P180,COPY!$A$1:$AC$1000,21,FALSE),IF(LEFT(C180,16)="Terima Pajak PPH",VLOOKUP(P180,COPY!$A$1:$AC$1000,21,FALSE),IF(LEFT(C180,13)="Terima PPh 23",VLOOKUP(P180,COPY!$A$1:$AC$1000,21,FALSE),0)))</f>
        <v>0</v>
      </c>
      <c r="C180" s="457">
        <f>IFERROR(IF(LEFT(VLOOKUP(P180,COPY!$A$1:$AC$1000,29,FALSE),5)="Terim",VLOOKUP(P180,COPY!$A$1:$AC$1000,29,FALSE),0),0)</f>
        <v>0</v>
      </c>
      <c r="D180" s="457"/>
      <c r="E180" s="457"/>
      <c r="F180" s="458">
        <f>IFERROR(IF(LEFT(VLOOKUP(P180,COPY!$A$1:$AC$1000,29,FALSE),5)="Terim",VLOOKUP(P180,COPY!$A$1:$AC$1000,26,FALSE),0),0)</f>
        <v>0</v>
      </c>
      <c r="G180" s="459">
        <f>IFERROR(VLOOKUP(P180,COPY!$A$1:$L$1000,4,FALSE),0)</f>
        <v>0</v>
      </c>
      <c r="H180" s="457">
        <f>IFERROR(VLOOKUP(P180,COPY!$A$1:$L$1000,2,FALSE),0)</f>
        <v>0</v>
      </c>
      <c r="I180" s="510">
        <f>IFERROR(VLOOKUP(P180,COPY!$A$1:$L$1000,10,FALSE),0)</f>
        <v>0</v>
      </c>
      <c r="J180" s="467">
        <f>IFERROR(VLOOKUP(P180,COPY!$A$1:$L$1000,8,FALSE),0)</f>
        <v>0</v>
      </c>
      <c r="K180" s="457">
        <f>IFERROR(VLOOKUP(P180,COPY!$A$1:$L$1000,7,FALSE),0)</f>
        <v>0</v>
      </c>
      <c r="L180" s="468">
        <f>IFERROR(VLOOKUP(P180,COPY!$A$1:$O$1000,15,FALSE),0)</f>
        <v>0</v>
      </c>
      <c r="M180" s="468">
        <f>IFERROR(VLOOKUP(P180,COPY!$A$1:$L$1000,12,FALSE),0)</f>
        <v>0</v>
      </c>
      <c r="N180" s="471">
        <f>IF(H180="Jasa",VLOOKUP('BKU 2'!K180,'Rekap Gaji'!$D$12:$I$26,6,FALSE),(IF(H180="Beli",VLOOKUP(P180,COPY!$A$1:$L$1000,11,FALSE),IF(H180="Bayar Ongkos",VLOOKUP(K180,'Rekap Gaji'!$D$12:$I$26,6,FALSE),0))))</f>
        <v>0</v>
      </c>
      <c r="O180" s="470"/>
      <c r="P180" s="466" t="str">
        <f t="shared" si="12"/>
        <v/>
      </c>
      <c r="Q180" s="253">
        <f t="shared" si="14"/>
        <v>0</v>
      </c>
      <c r="R180" s="253">
        <f t="shared" si="15"/>
        <v>0</v>
      </c>
      <c r="S180" s="449">
        <f t="shared" si="16"/>
        <v>149</v>
      </c>
      <c r="T180" s="253">
        <f t="shared" si="17"/>
        <v>71</v>
      </c>
      <c r="U180" s="457" t="str">
        <f t="shared" si="13"/>
        <v xml:space="preserve"> </v>
      </c>
    </row>
    <row r="181" spans="1:21" ht="20.100000000000001" hidden="1" customHeight="1" x14ac:dyDescent="0.25">
      <c r="A181" s="470"/>
      <c r="B181" s="456">
        <f>IF(LEFT(C181,16)="Terima Pajak PPN",VLOOKUP(P181,COPY!$A$1:$AC$1000,21,FALSE),IF(LEFT(C181,16)="Terima Pajak PPH",VLOOKUP(P181,COPY!$A$1:$AC$1000,21,FALSE),IF(LEFT(C181,13)="Terima PPh 23",VLOOKUP(P181,COPY!$A$1:$AC$1000,21,FALSE),0)))</f>
        <v>0</v>
      </c>
      <c r="C181" s="457">
        <f>IFERROR(IF(LEFT(VLOOKUP(P181,COPY!$A$1:$AC$1000,29,FALSE),5)="Terim",VLOOKUP(P181,COPY!$A$1:$AC$1000,29,FALSE),0),0)</f>
        <v>0</v>
      </c>
      <c r="D181" s="457"/>
      <c r="E181" s="457"/>
      <c r="F181" s="458">
        <f>IFERROR(IF(LEFT(VLOOKUP(P181,COPY!$A$1:$AC$1000,29,FALSE),5)="Terim",VLOOKUP(P181,COPY!$A$1:$AC$1000,26,FALSE),0),0)</f>
        <v>0</v>
      </c>
      <c r="G181" s="459">
        <f>IFERROR(VLOOKUP(P181,COPY!$A$1:$L$1000,4,FALSE),0)</f>
        <v>0</v>
      </c>
      <c r="H181" s="457">
        <f>IFERROR(VLOOKUP(P181,COPY!$A$1:$L$1000,2,FALSE),0)</f>
        <v>0</v>
      </c>
      <c r="I181" s="510">
        <f>IFERROR(VLOOKUP(P181,COPY!$A$1:$L$1000,10,FALSE),0)</f>
        <v>0</v>
      </c>
      <c r="J181" s="467">
        <f>IFERROR(VLOOKUP(P181,COPY!$A$1:$L$1000,8,FALSE),0)</f>
        <v>0</v>
      </c>
      <c r="K181" s="457">
        <f>IFERROR(VLOOKUP(P181,COPY!$A$1:$L$1000,7,FALSE),0)</f>
        <v>0</v>
      </c>
      <c r="L181" s="468">
        <f>IFERROR(VLOOKUP(P181,COPY!$A$1:$O$1000,15,FALSE),0)</f>
        <v>0</v>
      </c>
      <c r="M181" s="468">
        <f>IFERROR(VLOOKUP(P181,COPY!$A$1:$L$1000,12,FALSE),0)</f>
        <v>0</v>
      </c>
      <c r="N181" s="471">
        <f>IF(H181="Jasa",VLOOKUP('BKU 2'!K181,'Rekap Gaji'!$D$12:$I$26,6,FALSE),(IF(H181="Beli",VLOOKUP(P181,COPY!$A$1:$L$1000,11,FALSE),IF(H181="Bayar Ongkos",VLOOKUP(K181,'Rekap Gaji'!$D$12:$I$26,6,FALSE),0))))</f>
        <v>0</v>
      </c>
      <c r="O181" s="470"/>
      <c r="P181" s="466" t="str">
        <f t="shared" si="12"/>
        <v/>
      </c>
      <c r="Q181" s="253">
        <f t="shared" si="14"/>
        <v>0</v>
      </c>
      <c r="R181" s="253">
        <f t="shared" si="15"/>
        <v>0</v>
      </c>
      <c r="S181" s="449">
        <f t="shared" si="16"/>
        <v>150</v>
      </c>
      <c r="T181" s="253">
        <f t="shared" si="17"/>
        <v>72</v>
      </c>
      <c r="U181" s="457" t="str">
        <f t="shared" si="13"/>
        <v xml:space="preserve"> </v>
      </c>
    </row>
    <row r="182" spans="1:21" ht="20.100000000000001" hidden="1" customHeight="1" x14ac:dyDescent="0.25">
      <c r="A182" s="470"/>
      <c r="B182" s="456">
        <f>IF(LEFT(C182,16)="Terima Pajak PPN",VLOOKUP(P182,COPY!$A$1:$AC$1000,21,FALSE),IF(LEFT(C182,16)="Terima Pajak PPH",VLOOKUP(P182,COPY!$A$1:$AC$1000,21,FALSE),IF(LEFT(C182,13)="Terima PPh 23",VLOOKUP(P182,COPY!$A$1:$AC$1000,21,FALSE),0)))</f>
        <v>0</v>
      </c>
      <c r="C182" s="457">
        <f>IFERROR(IF(LEFT(VLOOKUP(P182,COPY!$A$1:$AC$1000,29,FALSE),5)="Terim",VLOOKUP(P182,COPY!$A$1:$AC$1000,29,FALSE),0),0)</f>
        <v>0</v>
      </c>
      <c r="D182" s="457"/>
      <c r="E182" s="457"/>
      <c r="F182" s="458">
        <f>IFERROR(IF(LEFT(VLOOKUP(P182,COPY!$A$1:$AC$1000,29,FALSE),5)="Terim",VLOOKUP(P182,COPY!$A$1:$AC$1000,26,FALSE),0),0)</f>
        <v>0</v>
      </c>
      <c r="G182" s="459">
        <f>IFERROR(VLOOKUP(P182,COPY!$A$1:$L$1000,4,FALSE),0)</f>
        <v>0</v>
      </c>
      <c r="H182" s="457">
        <f>IFERROR(VLOOKUP(P182,COPY!$A$1:$L$1000,2,FALSE),0)</f>
        <v>0</v>
      </c>
      <c r="I182" s="510">
        <f>IFERROR(VLOOKUP(P182,COPY!$A$1:$L$1000,10,FALSE),0)</f>
        <v>0</v>
      </c>
      <c r="J182" s="467">
        <f>IFERROR(VLOOKUP(P182,COPY!$A$1:$L$1000,8,FALSE),0)</f>
        <v>0</v>
      </c>
      <c r="K182" s="457">
        <f>IFERROR(VLOOKUP(P182,COPY!$A$1:$L$1000,7,FALSE),0)</f>
        <v>0</v>
      </c>
      <c r="L182" s="468">
        <f>IFERROR(VLOOKUP(P182,COPY!$A$1:$O$1000,15,FALSE),0)</f>
        <v>0</v>
      </c>
      <c r="M182" s="468">
        <f>IFERROR(VLOOKUP(P182,COPY!$A$1:$L$1000,12,FALSE),0)</f>
        <v>0</v>
      </c>
      <c r="N182" s="471">
        <f>IF(H182="Jasa",VLOOKUP('BKU 2'!K182,'Rekap Gaji'!$D$12:$I$26,6,FALSE),(IF(H182="Beli",VLOOKUP(P182,COPY!$A$1:$L$1000,11,FALSE),IF(H182="Bayar Ongkos",VLOOKUP(K182,'Rekap Gaji'!$D$12:$I$26,6,FALSE),0))))</f>
        <v>0</v>
      </c>
      <c r="O182" s="470"/>
      <c r="P182" s="466" t="str">
        <f t="shared" si="12"/>
        <v/>
      </c>
      <c r="Q182" s="253">
        <f t="shared" si="14"/>
        <v>0</v>
      </c>
      <c r="R182" s="253">
        <f t="shared" si="15"/>
        <v>0</v>
      </c>
      <c r="S182" s="449">
        <f t="shared" si="16"/>
        <v>151</v>
      </c>
      <c r="T182" s="253">
        <f t="shared" si="17"/>
        <v>73</v>
      </c>
      <c r="U182" s="457" t="str">
        <f t="shared" si="13"/>
        <v xml:space="preserve"> </v>
      </c>
    </row>
    <row r="183" spans="1:21" ht="20.100000000000001" hidden="1" customHeight="1" x14ac:dyDescent="0.25">
      <c r="A183" s="470"/>
      <c r="B183" s="456">
        <f>IF(LEFT(C183,16)="Terima Pajak PPN",VLOOKUP(P183,COPY!$A$1:$AC$1000,21,FALSE),IF(LEFT(C183,16)="Terima Pajak PPH",VLOOKUP(P183,COPY!$A$1:$AC$1000,21,FALSE),IF(LEFT(C183,13)="Terima PPh 23",VLOOKUP(P183,COPY!$A$1:$AC$1000,21,FALSE),0)))</f>
        <v>0</v>
      </c>
      <c r="C183" s="457">
        <f>IFERROR(IF(LEFT(VLOOKUP(P183,COPY!$A$1:$AC$1000,29,FALSE),5)="Terim",VLOOKUP(P183,COPY!$A$1:$AC$1000,29,FALSE),0),0)</f>
        <v>0</v>
      </c>
      <c r="D183" s="457"/>
      <c r="E183" s="457"/>
      <c r="F183" s="458">
        <f>IFERROR(IF(LEFT(VLOOKUP(P183,COPY!$A$1:$AC$1000,29,FALSE),5)="Terim",VLOOKUP(P183,COPY!$A$1:$AC$1000,26,FALSE),0),0)</f>
        <v>0</v>
      </c>
      <c r="G183" s="459">
        <f>IFERROR(VLOOKUP(P183,COPY!$A$1:$L$1000,4,FALSE),0)</f>
        <v>0</v>
      </c>
      <c r="H183" s="457">
        <f>IFERROR(VLOOKUP(P183,COPY!$A$1:$L$1000,2,FALSE),0)</f>
        <v>0</v>
      </c>
      <c r="I183" s="510">
        <f>IFERROR(VLOOKUP(P183,COPY!$A$1:$L$1000,10,FALSE),0)</f>
        <v>0</v>
      </c>
      <c r="J183" s="467">
        <f>IFERROR(VLOOKUP(P183,COPY!$A$1:$L$1000,8,FALSE),0)</f>
        <v>0</v>
      </c>
      <c r="K183" s="457">
        <f>IFERROR(VLOOKUP(P183,COPY!$A$1:$L$1000,7,FALSE),0)</f>
        <v>0</v>
      </c>
      <c r="L183" s="468">
        <f>IFERROR(VLOOKUP(P183,COPY!$A$1:$O$1000,15,FALSE),0)</f>
        <v>0</v>
      </c>
      <c r="M183" s="468">
        <f>IFERROR(VLOOKUP(P183,COPY!$A$1:$L$1000,12,FALSE),0)</f>
        <v>0</v>
      </c>
      <c r="N183" s="471">
        <f>IF(H183="Jasa",VLOOKUP('BKU 2'!K183,'Rekap Gaji'!$D$12:$I$26,6,FALSE),(IF(H183="Beli",VLOOKUP(P183,COPY!$A$1:$L$1000,11,FALSE),IF(H183="Bayar Ongkos",VLOOKUP(K183,'Rekap Gaji'!$D$12:$I$26,6,FALSE),0))))</f>
        <v>0</v>
      </c>
      <c r="O183" s="470"/>
      <c r="P183" s="466" t="str">
        <f t="shared" si="12"/>
        <v/>
      </c>
      <c r="Q183" s="253">
        <f t="shared" si="14"/>
        <v>0</v>
      </c>
      <c r="R183" s="253">
        <f t="shared" si="15"/>
        <v>0</v>
      </c>
      <c r="S183" s="449">
        <f t="shared" si="16"/>
        <v>152</v>
      </c>
      <c r="T183" s="253">
        <f t="shared" si="17"/>
        <v>74</v>
      </c>
      <c r="U183" s="457" t="str">
        <f t="shared" si="13"/>
        <v xml:space="preserve"> </v>
      </c>
    </row>
    <row r="184" spans="1:21" ht="20.100000000000001" hidden="1" customHeight="1" x14ac:dyDescent="0.25">
      <c r="A184" s="470"/>
      <c r="B184" s="456">
        <f>IF(LEFT(C184,16)="Terima Pajak PPN",VLOOKUP(P184,COPY!$A$1:$AC$1000,21,FALSE),IF(LEFT(C184,16)="Terima Pajak PPH",VLOOKUP(P184,COPY!$A$1:$AC$1000,21,FALSE),IF(LEFT(C184,13)="Terima PPh 23",VLOOKUP(P184,COPY!$A$1:$AC$1000,21,FALSE),0)))</f>
        <v>0</v>
      </c>
      <c r="C184" s="457">
        <f>IFERROR(IF(LEFT(VLOOKUP(P184,COPY!$A$1:$AC$1000,29,FALSE),5)="Terim",VLOOKUP(P184,COPY!$A$1:$AC$1000,29,FALSE),0),0)</f>
        <v>0</v>
      </c>
      <c r="D184" s="457"/>
      <c r="E184" s="457"/>
      <c r="F184" s="458">
        <f>IFERROR(IF(LEFT(VLOOKUP(P184,COPY!$A$1:$AC$1000,29,FALSE),5)="Terim",VLOOKUP(P184,COPY!$A$1:$AC$1000,26,FALSE),0),0)</f>
        <v>0</v>
      </c>
      <c r="G184" s="459">
        <f>IFERROR(VLOOKUP(P184,COPY!$A$1:$L$1000,4,FALSE),0)</f>
        <v>0</v>
      </c>
      <c r="H184" s="457">
        <f>IFERROR(VLOOKUP(P184,COPY!$A$1:$L$1000,2,FALSE),0)</f>
        <v>0</v>
      </c>
      <c r="I184" s="510">
        <f>IFERROR(VLOOKUP(P184,COPY!$A$1:$L$1000,10,FALSE),0)</f>
        <v>0</v>
      </c>
      <c r="J184" s="467">
        <f>IFERROR(VLOOKUP(P184,COPY!$A$1:$L$1000,8,FALSE),0)</f>
        <v>0</v>
      </c>
      <c r="K184" s="457">
        <f>IFERROR(VLOOKUP(P184,COPY!$A$1:$L$1000,7,FALSE),0)</f>
        <v>0</v>
      </c>
      <c r="L184" s="468">
        <f>IFERROR(VLOOKUP(P184,COPY!$A$1:$O$1000,15,FALSE),0)</f>
        <v>0</v>
      </c>
      <c r="M184" s="468">
        <f>IFERROR(VLOOKUP(P184,COPY!$A$1:$L$1000,12,FALSE),0)</f>
        <v>0</v>
      </c>
      <c r="N184" s="471">
        <f>IF(H184="Jasa",VLOOKUP('BKU 2'!K184,'Rekap Gaji'!$D$12:$I$26,6,FALSE),(IF(H184="Beli",VLOOKUP(P184,COPY!$A$1:$L$1000,11,FALSE),IF(H184="Bayar Ongkos",VLOOKUP(K184,'Rekap Gaji'!$D$12:$I$26,6,FALSE),0))))</f>
        <v>0</v>
      </c>
      <c r="O184" s="470"/>
      <c r="P184" s="466" t="str">
        <f t="shared" si="12"/>
        <v/>
      </c>
      <c r="U184" s="457" t="str">
        <f t="shared" si="13"/>
        <v xml:space="preserve"> </v>
      </c>
    </row>
    <row r="185" spans="1:21" ht="20.100000000000001" customHeight="1" thickBot="1" x14ac:dyDescent="0.3">
      <c r="B185" s="456">
        <f>IF(LEFT(C185,16)="Terima Pajak PPN",VLOOKUP(P185,COPY!$A$1:$AC$1000,21,FALSE),IF(LEFT(C185,16)="Terima Pajak PPH",VLOOKUP(P185,COPY!$A$1:$AC$1000,21,FALSE),IF(LEFT(C185,13)="Terima PPh 23",VLOOKUP(P185,COPY!$A$1:$AC$1000,21,FALSE),0)))</f>
        <v>0</v>
      </c>
      <c r="C185" s="425"/>
      <c r="D185" s="425"/>
      <c r="E185" s="472"/>
      <c r="F185" s="473"/>
      <c r="G185" s="474"/>
      <c r="H185" s="475"/>
      <c r="I185" s="511"/>
      <c r="J185" s="500"/>
      <c r="K185" s="476"/>
      <c r="L185" s="468"/>
      <c r="M185" s="468"/>
      <c r="N185" s="477"/>
      <c r="U185" s="457" t="str">
        <f t="shared" si="13"/>
        <v xml:space="preserve"> </v>
      </c>
    </row>
    <row r="186" spans="1:21" ht="20.100000000000001" customHeight="1" thickBot="1" x14ac:dyDescent="0.3">
      <c r="B186" s="478"/>
      <c r="C186" s="479"/>
      <c r="D186" s="479"/>
      <c r="E186" s="480"/>
      <c r="F186" s="481"/>
      <c r="G186" s="478"/>
      <c r="H186" s="479"/>
      <c r="I186" s="512"/>
      <c r="J186" s="505"/>
      <c r="L186" s="501"/>
      <c r="M186" s="482"/>
      <c r="N186" s="483"/>
    </row>
    <row r="187" spans="1:21" ht="20.100000000000001" customHeight="1" x14ac:dyDescent="0.25">
      <c r="B187" s="484"/>
      <c r="F187" s="485"/>
      <c r="G187" s="484"/>
      <c r="I187" s="513"/>
      <c r="J187" s="515"/>
      <c r="K187" s="457"/>
      <c r="L187" s="502" t="str">
        <f>IF(LEFT(J187,15)="Bayar Pajak PPN",1,IF(LEFT(J187,15)="Bayar Pajak PPH",2," "))</f>
        <v xml:space="preserve"> </v>
      </c>
      <c r="M187" s="417"/>
      <c r="N187" s="486" t="s">
        <v>310</v>
      </c>
    </row>
    <row r="188" spans="1:21" ht="20.100000000000001" hidden="1" customHeight="1" x14ac:dyDescent="0.25">
      <c r="A188" s="470"/>
      <c r="B188" s="487"/>
      <c r="F188" s="488"/>
      <c r="G188" s="484"/>
      <c r="I188" s="513"/>
      <c r="J188" s="515">
        <f t="shared" ref="J188:J251" si="18">S188</f>
        <v>0</v>
      </c>
      <c r="K188" s="457"/>
      <c r="L188" s="502" t="str">
        <f>IF(LEFT(J188,15)="Bayar Pajak PPN",1,IF(LEFT(J188,15)="Bayar Pajak PPH",2,IF(LEFT(J188,21)="Bayar Pajak Final PPH",3," ")))</f>
        <v xml:space="preserve"> </v>
      </c>
      <c r="M188" s="467"/>
      <c r="N188" s="477">
        <f>IFERROR(VLOOKUP(P32,COPY!$A$1:$AC$1000,26,FALSE),0)</f>
        <v>0</v>
      </c>
      <c r="P188" s="448">
        <f>IFERROR(VLOOKUP(P32,COPY!$A$1:$AC$1000,29,FALSE),0)</f>
        <v>0</v>
      </c>
      <c r="S188" s="449">
        <f>IF(LEFT(P188,6)="Terima",REPLACE(P188,1,6,"Bayar"),P188)</f>
        <v>0</v>
      </c>
    </row>
    <row r="189" spans="1:21" ht="20.100000000000001" hidden="1" customHeight="1" x14ac:dyDescent="0.25">
      <c r="A189" s="470"/>
      <c r="B189" s="487"/>
      <c r="F189" s="488"/>
      <c r="G189" s="484"/>
      <c r="I189" s="513"/>
      <c r="J189" s="515">
        <f t="shared" si="18"/>
        <v>0</v>
      </c>
      <c r="K189" s="457"/>
      <c r="L189" s="502" t="str">
        <f>IF(LEFT(J189,15)="Bayar Pajak PPN",1,IF(LEFT(J189,15)="Bayar Pajak PPH",2,IF(LEFT(J189,21)="Bayar Pajak Final PPH",3," ")))</f>
        <v xml:space="preserve"> </v>
      </c>
      <c r="M189" s="467"/>
      <c r="N189" s="477">
        <f>IFERROR(VLOOKUP(P33,COPY!$A$1:$AC$1000,26,FALSE),0)</f>
        <v>0</v>
      </c>
      <c r="P189" s="448">
        <f>IFERROR(VLOOKUP(P33,COPY!$A$1:$AC$1000,29,FALSE),0)</f>
        <v>0</v>
      </c>
      <c r="S189" s="449">
        <f t="shared" ref="S189:S252" si="19">IF(LEFT(P189,6)="Terima",REPLACE(P189,1,6,"Bayar"),P189)</f>
        <v>0</v>
      </c>
    </row>
    <row r="190" spans="1:21" ht="20.100000000000001" hidden="1" customHeight="1" x14ac:dyDescent="0.25">
      <c r="A190" s="470"/>
      <c r="B190" s="487"/>
      <c r="F190" s="488"/>
      <c r="G190" s="484"/>
      <c r="I190" s="513"/>
      <c r="J190" s="515">
        <f t="shared" si="18"/>
        <v>0</v>
      </c>
      <c r="K190" s="457"/>
      <c r="L190" s="502" t="str">
        <f>IF(LEFT(J190,15)="Bayar Pajak PPN",1,IF(LEFT(J190,15)="Bayar Pajak PPH",2,IF(LEFT(J190,21)="Bayar Pajak Final PPH",3," ")))</f>
        <v xml:space="preserve"> </v>
      </c>
      <c r="M190" s="467"/>
      <c r="N190" s="477">
        <f>IFERROR(VLOOKUP(P34,COPY!$A$1:$AC$1000,26,FALSE),0)</f>
        <v>0</v>
      </c>
      <c r="P190" s="448">
        <f>IFERROR(VLOOKUP(P34,COPY!$A$1:$AC$1000,29,FALSE),0)</f>
        <v>0</v>
      </c>
      <c r="S190" s="449">
        <f t="shared" si="19"/>
        <v>0</v>
      </c>
    </row>
    <row r="191" spans="1:21" ht="20.100000000000001" hidden="1" customHeight="1" x14ac:dyDescent="0.25">
      <c r="A191" s="470"/>
      <c r="B191" s="487"/>
      <c r="F191" s="488"/>
      <c r="G191" s="484"/>
      <c r="I191" s="513"/>
      <c r="J191" s="515">
        <f t="shared" si="18"/>
        <v>0</v>
      </c>
      <c r="K191" s="457"/>
      <c r="L191" s="502" t="str">
        <f>IF(LEFT(J191,15)="Bayar Pajak PPN",1,IF(LEFT(J191,15)="Bayar Pajak PPH",2,IF(LEFT(J191,21)="Bayar Pajak Final PPH",3," ")))</f>
        <v xml:space="preserve"> </v>
      </c>
      <c r="M191" s="467"/>
      <c r="N191" s="477">
        <f>IFERROR(VLOOKUP(P35,COPY!$A$1:$AC$1000,26,FALSE),0)</f>
        <v>0</v>
      </c>
      <c r="P191" s="448">
        <f>IFERROR(VLOOKUP(P35,COPY!$A$1:$AC$1000,29,FALSE),0)</f>
        <v>0</v>
      </c>
      <c r="S191" s="449">
        <f t="shared" si="19"/>
        <v>0</v>
      </c>
    </row>
    <row r="192" spans="1:21" ht="20.100000000000001" hidden="1" customHeight="1" x14ac:dyDescent="0.25">
      <c r="A192" s="470"/>
      <c r="B192" s="487"/>
      <c r="F192" s="488"/>
      <c r="G192" s="484"/>
      <c r="I192" s="513"/>
      <c r="J192" s="515">
        <f t="shared" si="18"/>
        <v>0</v>
      </c>
      <c r="K192" s="457"/>
      <c r="L192" s="502" t="str">
        <f>IF(LEFT(J192,15)="Bayar Pajak PPN",1,IF(LEFT(J192,15)="Bayar Pajak PPH",2,IF(LEFT(J192,21)="Bayar Pajak Final PPH",3," ")))</f>
        <v xml:space="preserve"> </v>
      </c>
      <c r="M192" s="467"/>
      <c r="N192" s="477">
        <f>IFERROR(VLOOKUP(P36,COPY!$A$1:$AC$1000,26,FALSE),0)</f>
        <v>0</v>
      </c>
      <c r="P192" s="448">
        <f>IFERROR(VLOOKUP(P36,COPY!$A$1:$AC$1000,29,FALSE),0)</f>
        <v>0</v>
      </c>
      <c r="S192" s="449">
        <f t="shared" si="19"/>
        <v>0</v>
      </c>
    </row>
    <row r="193" spans="1:19" ht="20.100000000000001" hidden="1" customHeight="1" x14ac:dyDescent="0.25">
      <c r="A193" s="470"/>
      <c r="B193" s="487"/>
      <c r="F193" s="488"/>
      <c r="G193" s="484"/>
      <c r="I193" s="513"/>
      <c r="J193" s="515">
        <f t="shared" si="18"/>
        <v>0</v>
      </c>
      <c r="K193" s="457"/>
      <c r="L193" s="502" t="str">
        <f t="shared" ref="L193:L256" si="20">IF(LEFT(J193,15)="Bayar Pajak PPN",1,IF(LEFT(J193,15)="Bayar Pajak PPH",2,IF(LEFT(J193,21)="Bayar Pajak Final PPH",3," ")))</f>
        <v xml:space="preserve"> </v>
      </c>
      <c r="M193" s="467"/>
      <c r="N193" s="477">
        <f>IFERROR(VLOOKUP(P37,COPY!$A$1:$AC$1000,26,FALSE),0)</f>
        <v>0</v>
      </c>
      <c r="P193" s="448">
        <f>IFERROR(VLOOKUP(P37,COPY!$A$1:$AC$1000,29,FALSE),0)</f>
        <v>0</v>
      </c>
      <c r="S193" s="449">
        <f t="shared" si="19"/>
        <v>0</v>
      </c>
    </row>
    <row r="194" spans="1:19" ht="20.100000000000001" customHeight="1" x14ac:dyDescent="0.25">
      <c r="A194" s="470"/>
      <c r="B194" s="487"/>
      <c r="F194" s="488"/>
      <c r="G194" s="484"/>
      <c r="I194" s="513"/>
      <c r="J194" s="515" t="str">
        <f t="shared" si="18"/>
        <v>Bayar Pajak PPN (11 %) BKK.35</v>
      </c>
      <c r="K194" s="457"/>
      <c r="L194" s="502">
        <f t="shared" si="20"/>
        <v>1</v>
      </c>
      <c r="M194" s="467"/>
      <c r="N194" s="477">
        <f>IFERROR(VLOOKUP(P38,COPY!$A$1:$AC$1000,26,FALSE),0)</f>
        <v>292930</v>
      </c>
      <c r="P194" s="448" t="str">
        <f>IFERROR(VLOOKUP(P38,COPY!$A$1:$AC$1000,29,FALSE),0)</f>
        <v>Bayar Pajak PPN (11 %) BKK.35</v>
      </c>
      <c r="S194" s="449" t="str">
        <f t="shared" si="19"/>
        <v>Bayar Pajak PPN (11 %) BKK.35</v>
      </c>
    </row>
    <row r="195" spans="1:19" ht="20.100000000000001" customHeight="1" x14ac:dyDescent="0.25">
      <c r="A195" s="470"/>
      <c r="B195" s="487"/>
      <c r="F195" s="488"/>
      <c r="G195" s="484"/>
      <c r="I195" s="513"/>
      <c r="J195" s="515" t="str">
        <f t="shared" si="18"/>
        <v>Bayar Pajak PPH (1,5 %) BKK.35</v>
      </c>
      <c r="K195" s="457"/>
      <c r="L195" s="502">
        <f t="shared" si="20"/>
        <v>2</v>
      </c>
      <c r="M195" s="467"/>
      <c r="N195" s="477">
        <f>IFERROR(VLOOKUP(P39,COPY!$A$1:$AC$1000,26,FALSE),0)</f>
        <v>39945</v>
      </c>
      <c r="P195" s="448" t="str">
        <f>IFERROR(VLOOKUP(P39,COPY!$A$1:$AC$1000,29,FALSE),0)</f>
        <v>Bayar Pajak PPH (1,5 %) BKK.35</v>
      </c>
      <c r="S195" s="449" t="str">
        <f t="shared" si="19"/>
        <v>Bayar Pajak PPH (1,5 %) BKK.35</v>
      </c>
    </row>
    <row r="196" spans="1:19" ht="20.100000000000001" hidden="1" customHeight="1" x14ac:dyDescent="0.25">
      <c r="A196" s="470"/>
      <c r="B196" s="487"/>
      <c r="F196" s="488"/>
      <c r="G196" s="484"/>
      <c r="I196" s="513"/>
      <c r="J196" s="515">
        <f t="shared" si="18"/>
        <v>0</v>
      </c>
      <c r="K196" s="457"/>
      <c r="L196" s="502" t="str">
        <f t="shared" si="20"/>
        <v xml:space="preserve"> </v>
      </c>
      <c r="M196" s="467"/>
      <c r="N196" s="477">
        <f>IFERROR(VLOOKUP(P40,COPY!$A$1:$AC$1000,26,FALSE),0)</f>
        <v>0</v>
      </c>
      <c r="P196" s="448">
        <f>IFERROR(VLOOKUP(P40,COPY!$A$1:$AC$1000,29,FALSE),0)</f>
        <v>0</v>
      </c>
      <c r="S196" s="449">
        <f t="shared" si="19"/>
        <v>0</v>
      </c>
    </row>
    <row r="197" spans="1:19" ht="20.100000000000001" hidden="1" customHeight="1" x14ac:dyDescent="0.25">
      <c r="A197" s="470"/>
      <c r="B197" s="487"/>
      <c r="F197" s="488"/>
      <c r="G197" s="484"/>
      <c r="I197" s="513"/>
      <c r="J197" s="515">
        <f t="shared" si="18"/>
        <v>0</v>
      </c>
      <c r="K197" s="457"/>
      <c r="L197" s="502" t="str">
        <f t="shared" si="20"/>
        <v xml:space="preserve"> </v>
      </c>
      <c r="M197" s="467"/>
      <c r="N197" s="477">
        <f>IFERROR(VLOOKUP(P41,COPY!$A$1:$AC$1000,26,FALSE),0)</f>
        <v>0</v>
      </c>
      <c r="P197" s="448">
        <f>IFERROR(VLOOKUP(P41,COPY!$A$1:$AC$1000,29,FALSE),0)</f>
        <v>0</v>
      </c>
      <c r="S197" s="449">
        <f t="shared" si="19"/>
        <v>0</v>
      </c>
    </row>
    <row r="198" spans="1:19" ht="20.100000000000001" hidden="1" customHeight="1" x14ac:dyDescent="0.25">
      <c r="A198" s="470"/>
      <c r="B198" s="487"/>
      <c r="F198" s="488"/>
      <c r="G198" s="484"/>
      <c r="I198" s="513"/>
      <c r="J198" s="515">
        <f t="shared" si="18"/>
        <v>0</v>
      </c>
      <c r="K198" s="457"/>
      <c r="L198" s="502" t="str">
        <f t="shared" si="20"/>
        <v xml:space="preserve"> </v>
      </c>
      <c r="M198" s="467"/>
      <c r="N198" s="477">
        <f>IFERROR(VLOOKUP(P42,COPY!$A$1:$AC$1000,26,FALSE),0)</f>
        <v>0</v>
      </c>
      <c r="P198" s="448">
        <f>IFERROR(VLOOKUP(P42,COPY!$A$1:$AC$1000,29,FALSE),0)</f>
        <v>0</v>
      </c>
      <c r="S198" s="449">
        <f t="shared" si="19"/>
        <v>0</v>
      </c>
    </row>
    <row r="199" spans="1:19" ht="20.100000000000001" hidden="1" customHeight="1" x14ac:dyDescent="0.25">
      <c r="A199" s="470"/>
      <c r="B199" s="487"/>
      <c r="F199" s="488"/>
      <c r="G199" s="484"/>
      <c r="I199" s="513"/>
      <c r="J199" s="515">
        <f t="shared" si="18"/>
        <v>0</v>
      </c>
      <c r="K199" s="457"/>
      <c r="L199" s="502" t="str">
        <f t="shared" si="20"/>
        <v xml:space="preserve"> </v>
      </c>
      <c r="M199" s="467"/>
      <c r="N199" s="477">
        <f>IFERROR(VLOOKUP(P43,COPY!$A$1:$AC$1000,26,FALSE),0)</f>
        <v>0</v>
      </c>
      <c r="P199" s="448">
        <f>IFERROR(VLOOKUP(P43,COPY!$A$1:$AC$1000,29,FALSE),0)</f>
        <v>0</v>
      </c>
      <c r="S199" s="449">
        <f t="shared" si="19"/>
        <v>0</v>
      </c>
    </row>
    <row r="200" spans="1:19" ht="20.100000000000001" hidden="1" customHeight="1" x14ac:dyDescent="0.25">
      <c r="A200" s="470"/>
      <c r="B200" s="487"/>
      <c r="F200" s="488"/>
      <c r="G200" s="484"/>
      <c r="I200" s="513"/>
      <c r="J200" s="515">
        <f t="shared" si="18"/>
        <v>0</v>
      </c>
      <c r="K200" s="457"/>
      <c r="L200" s="502" t="str">
        <f t="shared" si="20"/>
        <v xml:space="preserve"> </v>
      </c>
      <c r="M200" s="467"/>
      <c r="N200" s="477">
        <f>IFERROR(VLOOKUP(P44,COPY!$A$1:$AC$1000,26,FALSE),0)</f>
        <v>0</v>
      </c>
      <c r="P200" s="448">
        <f>IFERROR(VLOOKUP(P44,COPY!$A$1:$AC$1000,29,FALSE),0)</f>
        <v>0</v>
      </c>
      <c r="S200" s="449">
        <f t="shared" si="19"/>
        <v>0</v>
      </c>
    </row>
    <row r="201" spans="1:19" ht="20.100000000000001" hidden="1" customHeight="1" x14ac:dyDescent="0.25">
      <c r="A201" s="470"/>
      <c r="B201" s="487"/>
      <c r="F201" s="488"/>
      <c r="G201" s="484"/>
      <c r="I201" s="513"/>
      <c r="J201" s="515">
        <f t="shared" si="18"/>
        <v>0</v>
      </c>
      <c r="K201" s="457"/>
      <c r="L201" s="502" t="str">
        <f t="shared" si="20"/>
        <v xml:space="preserve"> </v>
      </c>
      <c r="M201" s="467"/>
      <c r="N201" s="477">
        <f>IFERROR(VLOOKUP(P45,COPY!$A$1:$AC$1000,26,FALSE),0)</f>
        <v>0</v>
      </c>
      <c r="P201" s="448">
        <f>IFERROR(VLOOKUP(P45,COPY!$A$1:$AC$1000,29,FALSE),0)</f>
        <v>0</v>
      </c>
      <c r="S201" s="449">
        <f t="shared" si="19"/>
        <v>0</v>
      </c>
    </row>
    <row r="202" spans="1:19" ht="20.100000000000001" hidden="1" customHeight="1" x14ac:dyDescent="0.25">
      <c r="A202" s="470"/>
      <c r="B202" s="487"/>
      <c r="F202" s="488"/>
      <c r="G202" s="484"/>
      <c r="I202" s="513"/>
      <c r="J202" s="515">
        <f t="shared" si="18"/>
        <v>0</v>
      </c>
      <c r="K202" s="457"/>
      <c r="L202" s="502" t="str">
        <f t="shared" si="20"/>
        <v xml:space="preserve"> </v>
      </c>
      <c r="M202" s="467"/>
      <c r="N202" s="477">
        <f>IFERROR(VLOOKUP(P46,COPY!$A$1:$AC$1000,26,FALSE),0)</f>
        <v>0</v>
      </c>
      <c r="P202" s="448">
        <f>IFERROR(VLOOKUP(P46,COPY!$A$1:$AC$1000,29,FALSE),0)</f>
        <v>0</v>
      </c>
      <c r="S202" s="449">
        <f t="shared" si="19"/>
        <v>0</v>
      </c>
    </row>
    <row r="203" spans="1:19" ht="20.100000000000001" hidden="1" customHeight="1" x14ac:dyDescent="0.25">
      <c r="A203" s="470"/>
      <c r="B203" s="487"/>
      <c r="F203" s="488"/>
      <c r="G203" s="484"/>
      <c r="I203" s="513"/>
      <c r="J203" s="515">
        <f t="shared" si="18"/>
        <v>0</v>
      </c>
      <c r="K203" s="457"/>
      <c r="L203" s="502" t="str">
        <f t="shared" si="20"/>
        <v xml:space="preserve"> </v>
      </c>
      <c r="M203" s="467"/>
      <c r="N203" s="477">
        <f>IFERROR(VLOOKUP(P47,COPY!$A$1:$AC$1000,26,FALSE),0)</f>
        <v>0</v>
      </c>
      <c r="P203" s="448">
        <f>IFERROR(VLOOKUP(P47,COPY!$A$1:$AC$1000,29,FALSE),0)</f>
        <v>0</v>
      </c>
      <c r="S203" s="449">
        <f t="shared" si="19"/>
        <v>0</v>
      </c>
    </row>
    <row r="204" spans="1:19" ht="20.100000000000001" hidden="1" customHeight="1" x14ac:dyDescent="0.25">
      <c r="A204" s="470"/>
      <c r="B204" s="487"/>
      <c r="F204" s="488"/>
      <c r="G204" s="484"/>
      <c r="I204" s="513"/>
      <c r="J204" s="515">
        <f t="shared" si="18"/>
        <v>0</v>
      </c>
      <c r="K204" s="457"/>
      <c r="L204" s="502" t="str">
        <f t="shared" si="20"/>
        <v xml:space="preserve"> </v>
      </c>
      <c r="M204" s="467"/>
      <c r="N204" s="477">
        <f>IFERROR(VLOOKUP(P48,COPY!$A$1:$AC$1000,26,FALSE),0)</f>
        <v>0</v>
      </c>
      <c r="P204" s="448">
        <f>IFERROR(VLOOKUP(P48,COPY!$A$1:$AC$1000,29,FALSE),0)</f>
        <v>0</v>
      </c>
      <c r="S204" s="449">
        <f t="shared" si="19"/>
        <v>0</v>
      </c>
    </row>
    <row r="205" spans="1:19" ht="20.100000000000001" hidden="1" customHeight="1" x14ac:dyDescent="0.25">
      <c r="A205" s="470"/>
      <c r="B205" s="487"/>
      <c r="F205" s="488"/>
      <c r="G205" s="484"/>
      <c r="I205" s="513"/>
      <c r="J205" s="515">
        <f t="shared" si="18"/>
        <v>0</v>
      </c>
      <c r="K205" s="457"/>
      <c r="L205" s="502" t="str">
        <f t="shared" si="20"/>
        <v xml:space="preserve"> </v>
      </c>
      <c r="M205" s="467"/>
      <c r="N205" s="477">
        <f>IFERROR(VLOOKUP(P49,COPY!$A$1:$AC$1000,26,FALSE),0)</f>
        <v>0</v>
      </c>
      <c r="P205" s="448">
        <f>IFERROR(VLOOKUP(P49,COPY!$A$1:$AC$1000,29,FALSE),0)</f>
        <v>0</v>
      </c>
      <c r="S205" s="449">
        <f t="shared" si="19"/>
        <v>0</v>
      </c>
    </row>
    <row r="206" spans="1:19" ht="20.100000000000001" hidden="1" customHeight="1" x14ac:dyDescent="0.25">
      <c r="A206" s="470"/>
      <c r="B206" s="487"/>
      <c r="F206" s="488"/>
      <c r="G206" s="484"/>
      <c r="I206" s="513"/>
      <c r="J206" s="515">
        <f t="shared" si="18"/>
        <v>0</v>
      </c>
      <c r="K206" s="457"/>
      <c r="L206" s="502" t="str">
        <f t="shared" si="20"/>
        <v xml:space="preserve"> </v>
      </c>
      <c r="M206" s="467"/>
      <c r="N206" s="477">
        <f>IFERROR(VLOOKUP(P50,COPY!$A$1:$AC$1000,26,FALSE),0)</f>
        <v>0</v>
      </c>
      <c r="P206" s="448">
        <f>IFERROR(VLOOKUP(P50,COPY!$A$1:$AC$1000,29,FALSE),0)</f>
        <v>0</v>
      </c>
      <c r="S206" s="449">
        <f t="shared" si="19"/>
        <v>0</v>
      </c>
    </row>
    <row r="207" spans="1:19" ht="20.100000000000001" customHeight="1" x14ac:dyDescent="0.25">
      <c r="A207" s="470"/>
      <c r="B207" s="487"/>
      <c r="F207" s="488"/>
      <c r="G207" s="484"/>
      <c r="I207" s="513"/>
      <c r="J207" s="515" t="str">
        <f t="shared" si="18"/>
        <v>Bayar Pajak PPN (11 %) BKK.37</v>
      </c>
      <c r="K207" s="457"/>
      <c r="L207" s="502">
        <f t="shared" si="20"/>
        <v>1</v>
      </c>
      <c r="M207" s="467"/>
      <c r="N207" s="477">
        <f>IFERROR(VLOOKUP(P51,COPY!$A$1:$AC$1000,26,FALSE),0)</f>
        <v>303600</v>
      </c>
      <c r="P207" s="448" t="str">
        <f>IFERROR(VLOOKUP(P51,COPY!$A$1:$AC$1000,29,FALSE),0)</f>
        <v>Bayar Pajak PPN (11 %) BKK.37</v>
      </c>
      <c r="S207" s="449" t="str">
        <f t="shared" si="19"/>
        <v>Bayar Pajak PPN (11 %) BKK.37</v>
      </c>
    </row>
    <row r="208" spans="1:19" ht="20.100000000000001" customHeight="1" x14ac:dyDescent="0.25">
      <c r="A208" s="470"/>
      <c r="B208" s="487"/>
      <c r="F208" s="488"/>
      <c r="G208" s="484"/>
      <c r="I208" s="513"/>
      <c r="J208" s="515" t="str">
        <f t="shared" si="18"/>
        <v>Bayar Pajak PPH (1,5 %) BKK.37</v>
      </c>
      <c r="K208" s="457"/>
      <c r="L208" s="502">
        <f t="shared" si="20"/>
        <v>2</v>
      </c>
      <c r="M208" s="467"/>
      <c r="N208" s="477">
        <f>IFERROR(VLOOKUP(P52,COPY!$A$1:$AC$1000,26,FALSE),0)</f>
        <v>41400</v>
      </c>
      <c r="P208" s="448" t="str">
        <f>IFERROR(VLOOKUP(P52,COPY!$A$1:$AC$1000,29,FALSE),0)</f>
        <v>Bayar Pajak PPH (1,5 %) BKK.37</v>
      </c>
      <c r="S208" s="449" t="str">
        <f t="shared" si="19"/>
        <v>Bayar Pajak PPH (1,5 %) BKK.37</v>
      </c>
    </row>
    <row r="209" spans="1:19" ht="20.100000000000001" hidden="1" customHeight="1" x14ac:dyDescent="0.25">
      <c r="A209" s="470"/>
      <c r="B209" s="487"/>
      <c r="F209" s="488"/>
      <c r="G209" s="484"/>
      <c r="I209" s="513"/>
      <c r="J209" s="515">
        <f t="shared" si="18"/>
        <v>0</v>
      </c>
      <c r="K209" s="457"/>
      <c r="L209" s="502" t="str">
        <f t="shared" si="20"/>
        <v xml:space="preserve"> </v>
      </c>
      <c r="M209" s="467"/>
      <c r="N209" s="477">
        <f>IFERROR(VLOOKUP(P53,COPY!$A$1:$AC$1000,26,FALSE),0)</f>
        <v>0</v>
      </c>
      <c r="P209" s="448">
        <f>IFERROR(VLOOKUP(P53,COPY!$A$1:$AC$1000,29,FALSE),0)</f>
        <v>0</v>
      </c>
      <c r="S209" s="449">
        <f t="shared" si="19"/>
        <v>0</v>
      </c>
    </row>
    <row r="210" spans="1:19" ht="20.100000000000001" hidden="1" customHeight="1" x14ac:dyDescent="0.25">
      <c r="A210" s="470"/>
      <c r="B210" s="487"/>
      <c r="F210" s="488"/>
      <c r="G210" s="484"/>
      <c r="I210" s="513"/>
      <c r="J210" s="515">
        <f t="shared" si="18"/>
        <v>0</v>
      </c>
      <c r="K210" s="457"/>
      <c r="L210" s="502" t="str">
        <f t="shared" si="20"/>
        <v xml:space="preserve"> </v>
      </c>
      <c r="M210" s="467"/>
      <c r="N210" s="477">
        <f>IFERROR(VLOOKUP(P54,COPY!$A$1:$AC$1000,26,FALSE),0)</f>
        <v>0</v>
      </c>
      <c r="P210" s="448">
        <f>IFERROR(VLOOKUP(P54,COPY!$A$1:$AC$1000,29,FALSE),0)</f>
        <v>0</v>
      </c>
      <c r="S210" s="449">
        <f t="shared" si="19"/>
        <v>0</v>
      </c>
    </row>
    <row r="211" spans="1:19" ht="20.100000000000001" hidden="1" customHeight="1" x14ac:dyDescent="0.25">
      <c r="A211" s="470"/>
      <c r="B211" s="484"/>
      <c r="F211" s="488"/>
      <c r="G211" s="484"/>
      <c r="I211" s="513"/>
      <c r="J211" s="515">
        <f t="shared" si="18"/>
        <v>0</v>
      </c>
      <c r="K211" s="457"/>
      <c r="L211" s="502" t="str">
        <f t="shared" si="20"/>
        <v xml:space="preserve"> </v>
      </c>
      <c r="M211" s="467"/>
      <c r="N211" s="477">
        <f>IFERROR(VLOOKUP(P55,COPY!$A$1:$AC$1000,26,FALSE),0)</f>
        <v>0</v>
      </c>
      <c r="P211" s="448">
        <f>IFERROR(VLOOKUP(P55,COPY!$A$1:$AC$1000,29,FALSE),0)</f>
        <v>0</v>
      </c>
      <c r="S211" s="449">
        <f t="shared" si="19"/>
        <v>0</v>
      </c>
    </row>
    <row r="212" spans="1:19" ht="20.100000000000001" hidden="1" customHeight="1" x14ac:dyDescent="0.25">
      <c r="A212" s="470"/>
      <c r="B212" s="484"/>
      <c r="F212" s="488"/>
      <c r="G212" s="484"/>
      <c r="I212" s="513"/>
      <c r="J212" s="515">
        <f t="shared" si="18"/>
        <v>0</v>
      </c>
      <c r="K212" s="457"/>
      <c r="L212" s="502" t="str">
        <f t="shared" si="20"/>
        <v xml:space="preserve"> </v>
      </c>
      <c r="M212" s="467"/>
      <c r="N212" s="477">
        <f>IFERROR(VLOOKUP(P56,COPY!$A$1:$AC$1000,26,FALSE),0)</f>
        <v>0</v>
      </c>
      <c r="P212" s="448">
        <f>IFERROR(VLOOKUP(P56,COPY!$A$1:$AC$1000,29,FALSE),0)</f>
        <v>0</v>
      </c>
      <c r="S212" s="449">
        <f t="shared" si="19"/>
        <v>0</v>
      </c>
    </row>
    <row r="213" spans="1:19" ht="20.100000000000001" hidden="1" customHeight="1" x14ac:dyDescent="0.25">
      <c r="A213" s="470"/>
      <c r="B213" s="484"/>
      <c r="F213" s="488"/>
      <c r="G213" s="484"/>
      <c r="I213" s="513"/>
      <c r="J213" s="515">
        <f t="shared" si="18"/>
        <v>0</v>
      </c>
      <c r="K213" s="457"/>
      <c r="L213" s="502" t="str">
        <f t="shared" si="20"/>
        <v xml:space="preserve"> </v>
      </c>
      <c r="M213" s="467"/>
      <c r="N213" s="477">
        <f>IFERROR(VLOOKUP(P57,COPY!$A$1:$AC$1000,26,FALSE),0)</f>
        <v>0</v>
      </c>
      <c r="P213" s="448">
        <f>IFERROR(VLOOKUP(P57,COPY!$A$1:$AC$1000,29,FALSE),0)</f>
        <v>0</v>
      </c>
      <c r="S213" s="449">
        <f t="shared" si="19"/>
        <v>0</v>
      </c>
    </row>
    <row r="214" spans="1:19" ht="20.100000000000001" hidden="1" customHeight="1" x14ac:dyDescent="0.25">
      <c r="A214" s="470"/>
      <c r="B214" s="484"/>
      <c r="F214" s="488"/>
      <c r="G214" s="484"/>
      <c r="I214" s="513"/>
      <c r="J214" s="515">
        <f t="shared" si="18"/>
        <v>0</v>
      </c>
      <c r="K214" s="457"/>
      <c r="L214" s="502" t="str">
        <f t="shared" si="20"/>
        <v xml:space="preserve"> </v>
      </c>
      <c r="M214" s="467"/>
      <c r="N214" s="477">
        <f>IFERROR(VLOOKUP(P58,COPY!$A$1:$AC$1000,26,FALSE),0)</f>
        <v>0</v>
      </c>
      <c r="P214" s="448">
        <f>IFERROR(VLOOKUP(P58,COPY!$A$1:$AC$1000,29,FALSE),0)</f>
        <v>0</v>
      </c>
      <c r="S214" s="449">
        <f t="shared" si="19"/>
        <v>0</v>
      </c>
    </row>
    <row r="215" spans="1:19" ht="20.100000000000001" hidden="1" customHeight="1" x14ac:dyDescent="0.25">
      <c r="A215" s="470"/>
      <c r="B215" s="487"/>
      <c r="F215" s="488"/>
      <c r="G215" s="484"/>
      <c r="I215" s="513"/>
      <c r="J215" s="515">
        <f t="shared" si="18"/>
        <v>0</v>
      </c>
      <c r="K215" s="457"/>
      <c r="L215" s="502" t="str">
        <f t="shared" si="20"/>
        <v xml:space="preserve"> </v>
      </c>
      <c r="M215" s="467"/>
      <c r="N215" s="477">
        <f>IFERROR(VLOOKUP(P59,COPY!$A$1:$AC$1000,26,FALSE),0)</f>
        <v>0</v>
      </c>
      <c r="P215" s="448">
        <f>IFERROR(VLOOKUP(P59,COPY!$A$1:$AC$1000,29,FALSE),0)</f>
        <v>0</v>
      </c>
      <c r="S215" s="449">
        <f t="shared" si="19"/>
        <v>0</v>
      </c>
    </row>
    <row r="216" spans="1:19" ht="20.100000000000001" hidden="1" customHeight="1" x14ac:dyDescent="0.25">
      <c r="A216" s="470"/>
      <c r="B216" s="487"/>
      <c r="F216" s="488"/>
      <c r="G216" s="484"/>
      <c r="I216" s="513"/>
      <c r="J216" s="515">
        <f t="shared" si="18"/>
        <v>0</v>
      </c>
      <c r="K216" s="457"/>
      <c r="L216" s="502" t="str">
        <f t="shared" si="20"/>
        <v xml:space="preserve"> </v>
      </c>
      <c r="M216" s="467"/>
      <c r="N216" s="477">
        <f>IFERROR(VLOOKUP(P60,COPY!$A$1:$AC$1000,26,FALSE),0)</f>
        <v>0</v>
      </c>
      <c r="P216" s="448">
        <f>IFERROR(VLOOKUP(P60,COPY!$A$1:$AC$1000,29,FALSE),0)</f>
        <v>0</v>
      </c>
      <c r="S216" s="449">
        <f t="shared" si="19"/>
        <v>0</v>
      </c>
    </row>
    <row r="217" spans="1:19" ht="20.100000000000001" hidden="1" customHeight="1" x14ac:dyDescent="0.25">
      <c r="A217" s="470"/>
      <c r="B217" s="487"/>
      <c r="F217" s="488"/>
      <c r="G217" s="484"/>
      <c r="I217" s="513"/>
      <c r="J217" s="515">
        <f t="shared" si="18"/>
        <v>0</v>
      </c>
      <c r="K217" s="457"/>
      <c r="L217" s="502" t="str">
        <f t="shared" si="20"/>
        <v xml:space="preserve"> </v>
      </c>
      <c r="M217" s="467"/>
      <c r="N217" s="477">
        <f>IFERROR(VLOOKUP(P61,COPY!$A$1:$AC$1000,26,FALSE),0)</f>
        <v>0</v>
      </c>
      <c r="P217" s="448">
        <f>IFERROR(VLOOKUP(P61,COPY!$A$1:$AC$1000,29,FALSE),0)</f>
        <v>0</v>
      </c>
      <c r="S217" s="449">
        <f t="shared" si="19"/>
        <v>0</v>
      </c>
    </row>
    <row r="218" spans="1:19" ht="20.100000000000001" hidden="1" customHeight="1" x14ac:dyDescent="0.25">
      <c r="A218" s="470"/>
      <c r="B218" s="487"/>
      <c r="F218" s="488"/>
      <c r="G218" s="484"/>
      <c r="I218" s="513"/>
      <c r="J218" s="515">
        <f t="shared" si="18"/>
        <v>0</v>
      </c>
      <c r="K218" s="457"/>
      <c r="L218" s="502" t="str">
        <f t="shared" si="20"/>
        <v xml:space="preserve"> </v>
      </c>
      <c r="M218" s="467"/>
      <c r="N218" s="477">
        <f>IFERROR(VLOOKUP(P62,COPY!$A$1:$AC$1000,26,FALSE),0)</f>
        <v>0</v>
      </c>
      <c r="P218" s="448">
        <f>IFERROR(VLOOKUP(P62,COPY!$A$1:$AC$1000,29,FALSE),0)</f>
        <v>0</v>
      </c>
      <c r="S218" s="449">
        <f t="shared" si="19"/>
        <v>0</v>
      </c>
    </row>
    <row r="219" spans="1:19" ht="20.100000000000001" hidden="1" customHeight="1" x14ac:dyDescent="0.25">
      <c r="A219" s="470"/>
      <c r="B219" s="487"/>
      <c r="F219" s="488"/>
      <c r="G219" s="484"/>
      <c r="I219" s="513"/>
      <c r="J219" s="515">
        <f t="shared" si="18"/>
        <v>0</v>
      </c>
      <c r="K219" s="457"/>
      <c r="L219" s="502" t="str">
        <f t="shared" si="20"/>
        <v xml:space="preserve"> </v>
      </c>
      <c r="M219" s="467"/>
      <c r="N219" s="477">
        <f>IFERROR(VLOOKUP(P63,COPY!$A$1:$AC$1000,26,FALSE),0)</f>
        <v>0</v>
      </c>
      <c r="P219" s="448">
        <f>IFERROR(VLOOKUP(P63,COPY!$A$1:$AC$1000,29,FALSE),0)</f>
        <v>0</v>
      </c>
      <c r="S219" s="449">
        <f t="shared" si="19"/>
        <v>0</v>
      </c>
    </row>
    <row r="220" spans="1:19" ht="20.100000000000001" hidden="1" customHeight="1" x14ac:dyDescent="0.25">
      <c r="A220" s="470"/>
      <c r="B220" s="487"/>
      <c r="F220" s="488"/>
      <c r="G220" s="484"/>
      <c r="I220" s="513"/>
      <c r="J220" s="515">
        <f t="shared" si="18"/>
        <v>0</v>
      </c>
      <c r="K220" s="457"/>
      <c r="L220" s="502" t="str">
        <f t="shared" si="20"/>
        <v xml:space="preserve"> </v>
      </c>
      <c r="M220" s="467"/>
      <c r="N220" s="477">
        <f>IFERROR(VLOOKUP(P64,COPY!$A$1:$AC$1000,26,FALSE),0)</f>
        <v>0</v>
      </c>
      <c r="P220" s="448">
        <f>IFERROR(VLOOKUP(P64,COPY!$A$1:$AC$1000,29,FALSE),0)</f>
        <v>0</v>
      </c>
      <c r="S220" s="449">
        <f t="shared" si="19"/>
        <v>0</v>
      </c>
    </row>
    <row r="221" spans="1:19" ht="20.100000000000001" hidden="1" customHeight="1" x14ac:dyDescent="0.25">
      <c r="A221" s="470"/>
      <c r="B221" s="487"/>
      <c r="F221" s="488"/>
      <c r="G221" s="484"/>
      <c r="I221" s="513"/>
      <c r="J221" s="515">
        <f t="shared" si="18"/>
        <v>0</v>
      </c>
      <c r="K221" s="457"/>
      <c r="L221" s="502" t="str">
        <f t="shared" si="20"/>
        <v xml:space="preserve"> </v>
      </c>
      <c r="M221" s="467"/>
      <c r="N221" s="477">
        <f>IFERROR(VLOOKUP(P65,COPY!$A$1:$AC$1000,26,FALSE),0)</f>
        <v>0</v>
      </c>
      <c r="P221" s="448">
        <f>IFERROR(VLOOKUP(P65,COPY!$A$1:$AC$1000,29,FALSE),0)</f>
        <v>0</v>
      </c>
      <c r="S221" s="449">
        <f t="shared" si="19"/>
        <v>0</v>
      </c>
    </row>
    <row r="222" spans="1:19" ht="20.100000000000001" hidden="1" customHeight="1" x14ac:dyDescent="0.25">
      <c r="A222" s="470"/>
      <c r="B222" s="487"/>
      <c r="F222" s="488"/>
      <c r="G222" s="484"/>
      <c r="I222" s="513"/>
      <c r="J222" s="515">
        <f t="shared" si="18"/>
        <v>0</v>
      </c>
      <c r="K222" s="457"/>
      <c r="L222" s="502" t="str">
        <f t="shared" si="20"/>
        <v xml:space="preserve"> </v>
      </c>
      <c r="M222" s="467"/>
      <c r="N222" s="477">
        <f>IFERROR(VLOOKUP(P66,COPY!$A$1:$AC$1000,26,FALSE),0)</f>
        <v>0</v>
      </c>
      <c r="P222" s="448">
        <f>IFERROR(VLOOKUP(P66,COPY!$A$1:$AC$1000,29,FALSE),0)</f>
        <v>0</v>
      </c>
      <c r="S222" s="449">
        <f t="shared" si="19"/>
        <v>0</v>
      </c>
    </row>
    <row r="223" spans="1:19" ht="20.100000000000001" hidden="1" customHeight="1" x14ac:dyDescent="0.25">
      <c r="A223" s="470"/>
      <c r="B223" s="487"/>
      <c r="F223" s="488"/>
      <c r="G223" s="484"/>
      <c r="I223" s="513"/>
      <c r="J223" s="515">
        <f t="shared" si="18"/>
        <v>0</v>
      </c>
      <c r="K223" s="457"/>
      <c r="L223" s="502" t="str">
        <f t="shared" si="20"/>
        <v xml:space="preserve"> </v>
      </c>
      <c r="M223" s="467"/>
      <c r="N223" s="477">
        <f>IFERROR(VLOOKUP(P67,COPY!$A$1:$AC$1000,26,FALSE),0)</f>
        <v>0</v>
      </c>
      <c r="P223" s="448">
        <f>IFERROR(VLOOKUP(P67,COPY!$A$1:$AC$1000,29,FALSE),0)</f>
        <v>0</v>
      </c>
      <c r="S223" s="449">
        <f t="shared" si="19"/>
        <v>0</v>
      </c>
    </row>
    <row r="224" spans="1:19" ht="20.100000000000001" hidden="1" customHeight="1" x14ac:dyDescent="0.25">
      <c r="A224" s="470"/>
      <c r="B224" s="487"/>
      <c r="F224" s="488"/>
      <c r="G224" s="484"/>
      <c r="I224" s="513"/>
      <c r="J224" s="515">
        <f t="shared" si="18"/>
        <v>0</v>
      </c>
      <c r="K224" s="457"/>
      <c r="L224" s="502" t="str">
        <f t="shared" si="20"/>
        <v xml:space="preserve"> </v>
      </c>
      <c r="M224" s="467"/>
      <c r="N224" s="477">
        <f>IFERROR(VLOOKUP(P68,COPY!$A$1:$AC$1000,26,FALSE),0)</f>
        <v>0</v>
      </c>
      <c r="P224" s="448">
        <f>IFERROR(VLOOKUP(P68,COPY!$A$1:$AC$1000,29,FALSE),0)</f>
        <v>0</v>
      </c>
      <c r="S224" s="449">
        <f t="shared" si="19"/>
        <v>0</v>
      </c>
    </row>
    <row r="225" spans="1:19" ht="20.100000000000001" hidden="1" customHeight="1" x14ac:dyDescent="0.25">
      <c r="A225" s="470"/>
      <c r="B225" s="487"/>
      <c r="F225" s="488"/>
      <c r="G225" s="484"/>
      <c r="I225" s="513"/>
      <c r="J225" s="515">
        <f t="shared" si="18"/>
        <v>0</v>
      </c>
      <c r="K225" s="457"/>
      <c r="L225" s="502" t="str">
        <f t="shared" si="20"/>
        <v xml:space="preserve"> </v>
      </c>
      <c r="M225" s="467"/>
      <c r="N225" s="477">
        <f>IFERROR(VLOOKUP(P69,COPY!$A$1:$AC$1000,26,FALSE),0)</f>
        <v>0</v>
      </c>
      <c r="P225" s="448">
        <f>IFERROR(VLOOKUP(P69,COPY!$A$1:$AC$1000,29,FALSE),0)</f>
        <v>0</v>
      </c>
      <c r="S225" s="449">
        <f t="shared" si="19"/>
        <v>0</v>
      </c>
    </row>
    <row r="226" spans="1:19" ht="20.100000000000001" hidden="1" customHeight="1" x14ac:dyDescent="0.25">
      <c r="A226" s="470"/>
      <c r="B226" s="487"/>
      <c r="F226" s="488"/>
      <c r="G226" s="484"/>
      <c r="I226" s="513"/>
      <c r="J226" s="515">
        <f t="shared" si="18"/>
        <v>0</v>
      </c>
      <c r="K226" s="457"/>
      <c r="L226" s="502" t="str">
        <f t="shared" si="20"/>
        <v xml:space="preserve"> </v>
      </c>
      <c r="M226" s="467"/>
      <c r="N226" s="477">
        <f>IFERROR(VLOOKUP(P70,COPY!$A$1:$AC$1000,26,FALSE),0)</f>
        <v>0</v>
      </c>
      <c r="P226" s="448">
        <f>IFERROR(VLOOKUP(P70,COPY!$A$1:$AC$1000,29,FALSE),0)</f>
        <v>0</v>
      </c>
      <c r="S226" s="449">
        <f t="shared" si="19"/>
        <v>0</v>
      </c>
    </row>
    <row r="227" spans="1:19" ht="20.100000000000001" hidden="1" customHeight="1" x14ac:dyDescent="0.25">
      <c r="A227" s="470"/>
      <c r="B227" s="487"/>
      <c r="F227" s="488"/>
      <c r="G227" s="484"/>
      <c r="I227" s="513"/>
      <c r="J227" s="515">
        <f t="shared" si="18"/>
        <v>0</v>
      </c>
      <c r="K227" s="457"/>
      <c r="L227" s="502" t="str">
        <f t="shared" si="20"/>
        <v xml:space="preserve"> </v>
      </c>
      <c r="M227" s="467"/>
      <c r="N227" s="477">
        <f>IFERROR(VLOOKUP(P71,COPY!$A$1:$AC$1000,26,FALSE),0)</f>
        <v>0</v>
      </c>
      <c r="P227" s="448">
        <f>IFERROR(VLOOKUP(P71,COPY!$A$1:$AC$1000,29,FALSE),0)</f>
        <v>0</v>
      </c>
      <c r="S227" s="449">
        <f t="shared" si="19"/>
        <v>0</v>
      </c>
    </row>
    <row r="228" spans="1:19" ht="20.100000000000001" hidden="1" customHeight="1" x14ac:dyDescent="0.25">
      <c r="A228" s="470"/>
      <c r="B228" s="487"/>
      <c r="F228" s="488"/>
      <c r="G228" s="484"/>
      <c r="I228" s="513"/>
      <c r="J228" s="515">
        <f t="shared" si="18"/>
        <v>0</v>
      </c>
      <c r="K228" s="457"/>
      <c r="L228" s="502" t="str">
        <f t="shared" si="20"/>
        <v xml:space="preserve"> </v>
      </c>
      <c r="M228" s="467"/>
      <c r="N228" s="477">
        <f>IFERROR(VLOOKUP(P72,COPY!$A$1:$AC$1000,26,FALSE),0)</f>
        <v>0</v>
      </c>
      <c r="P228" s="448">
        <f>IFERROR(VLOOKUP(P72,COPY!$A$1:$AC$1000,29,FALSE),0)</f>
        <v>0</v>
      </c>
      <c r="S228" s="449">
        <f t="shared" si="19"/>
        <v>0</v>
      </c>
    </row>
    <row r="229" spans="1:19" ht="20.100000000000001" hidden="1" customHeight="1" x14ac:dyDescent="0.25">
      <c r="A229" s="470"/>
      <c r="B229" s="487"/>
      <c r="F229" s="488"/>
      <c r="G229" s="484"/>
      <c r="I229" s="513"/>
      <c r="J229" s="515">
        <f t="shared" si="18"/>
        <v>0</v>
      </c>
      <c r="K229" s="457"/>
      <c r="L229" s="502" t="str">
        <f t="shared" si="20"/>
        <v xml:space="preserve"> </v>
      </c>
      <c r="M229" s="467"/>
      <c r="N229" s="477">
        <f>IFERROR(VLOOKUP(P73,COPY!$A$1:$AC$1000,26,FALSE),0)</f>
        <v>0</v>
      </c>
      <c r="P229" s="448">
        <f>IFERROR(VLOOKUP(P73,COPY!$A$1:$AC$1000,29,FALSE),0)</f>
        <v>0</v>
      </c>
      <c r="S229" s="449">
        <f t="shared" si="19"/>
        <v>0</v>
      </c>
    </row>
    <row r="230" spans="1:19" ht="20.100000000000001" hidden="1" customHeight="1" x14ac:dyDescent="0.25">
      <c r="A230" s="470"/>
      <c r="B230" s="487"/>
      <c r="F230" s="488"/>
      <c r="G230" s="484"/>
      <c r="I230" s="513"/>
      <c r="J230" s="515">
        <f t="shared" si="18"/>
        <v>0</v>
      </c>
      <c r="K230" s="457"/>
      <c r="L230" s="502" t="str">
        <f t="shared" si="20"/>
        <v xml:space="preserve"> </v>
      </c>
      <c r="M230" s="467"/>
      <c r="N230" s="477">
        <f>IFERROR(VLOOKUP(P74,COPY!$A$1:$AC$1000,26,FALSE),0)</f>
        <v>0</v>
      </c>
      <c r="P230" s="448">
        <f>IFERROR(VLOOKUP(P74,COPY!$A$1:$AC$1000,29,FALSE),0)</f>
        <v>0</v>
      </c>
      <c r="S230" s="449">
        <f t="shared" si="19"/>
        <v>0</v>
      </c>
    </row>
    <row r="231" spans="1:19" ht="20.100000000000001" hidden="1" customHeight="1" x14ac:dyDescent="0.25">
      <c r="A231" s="470"/>
      <c r="B231" s="487"/>
      <c r="F231" s="488"/>
      <c r="G231" s="484"/>
      <c r="I231" s="513"/>
      <c r="J231" s="515">
        <f t="shared" si="18"/>
        <v>0</v>
      </c>
      <c r="K231" s="457"/>
      <c r="L231" s="502" t="str">
        <f t="shared" si="20"/>
        <v xml:space="preserve"> </v>
      </c>
      <c r="M231" s="467"/>
      <c r="N231" s="477">
        <f>IFERROR(VLOOKUP(P75,COPY!$A$1:$AC$1000,26,FALSE),0)</f>
        <v>0</v>
      </c>
      <c r="P231" s="448">
        <f>IFERROR(VLOOKUP(P75,COPY!$A$1:$AC$1000,29,FALSE),0)</f>
        <v>0</v>
      </c>
      <c r="S231" s="449">
        <f t="shared" si="19"/>
        <v>0</v>
      </c>
    </row>
    <row r="232" spans="1:19" ht="20.100000000000001" hidden="1" customHeight="1" x14ac:dyDescent="0.25">
      <c r="A232" s="470"/>
      <c r="B232" s="487"/>
      <c r="F232" s="488"/>
      <c r="G232" s="484"/>
      <c r="I232" s="513"/>
      <c r="J232" s="515">
        <f t="shared" si="18"/>
        <v>0</v>
      </c>
      <c r="K232" s="457"/>
      <c r="L232" s="502" t="str">
        <f t="shared" si="20"/>
        <v xml:space="preserve"> </v>
      </c>
      <c r="M232" s="467"/>
      <c r="N232" s="477">
        <f>IFERROR(VLOOKUP(P76,COPY!$A$1:$AC$1000,26,FALSE),0)</f>
        <v>0</v>
      </c>
      <c r="P232" s="448">
        <f>IFERROR(VLOOKUP(P76,COPY!$A$1:$AC$1000,29,FALSE),0)</f>
        <v>0</v>
      </c>
      <c r="S232" s="449">
        <f t="shared" si="19"/>
        <v>0</v>
      </c>
    </row>
    <row r="233" spans="1:19" ht="20.100000000000001" hidden="1" customHeight="1" x14ac:dyDescent="0.25">
      <c r="A233" s="470"/>
      <c r="B233" s="487"/>
      <c r="F233" s="488"/>
      <c r="G233" s="484"/>
      <c r="I233" s="513"/>
      <c r="J233" s="515">
        <f t="shared" si="18"/>
        <v>0</v>
      </c>
      <c r="K233" s="457"/>
      <c r="L233" s="502" t="str">
        <f t="shared" si="20"/>
        <v xml:space="preserve"> </v>
      </c>
      <c r="M233" s="467"/>
      <c r="N233" s="477">
        <f>IFERROR(VLOOKUP(P77,COPY!$A$1:$AC$1000,26,FALSE),0)</f>
        <v>0</v>
      </c>
      <c r="P233" s="448">
        <f>IFERROR(VLOOKUP(P77,COPY!$A$1:$AC$1000,29,FALSE),0)</f>
        <v>0</v>
      </c>
      <c r="S233" s="449">
        <f t="shared" si="19"/>
        <v>0</v>
      </c>
    </row>
    <row r="234" spans="1:19" ht="20.100000000000001" hidden="1" customHeight="1" x14ac:dyDescent="0.25">
      <c r="A234" s="470"/>
      <c r="B234" s="487"/>
      <c r="F234" s="488"/>
      <c r="G234" s="484"/>
      <c r="I234" s="513"/>
      <c r="J234" s="515">
        <f t="shared" si="18"/>
        <v>0</v>
      </c>
      <c r="K234" s="457"/>
      <c r="L234" s="502" t="str">
        <f t="shared" si="20"/>
        <v xml:space="preserve"> </v>
      </c>
      <c r="M234" s="467"/>
      <c r="N234" s="477">
        <f>IFERROR(VLOOKUP(P78,COPY!$A$1:$AC$1000,26,FALSE),0)</f>
        <v>0</v>
      </c>
      <c r="P234" s="448">
        <f>IFERROR(VLOOKUP(P78,COPY!$A$1:$AC$1000,29,FALSE),0)</f>
        <v>0</v>
      </c>
      <c r="S234" s="449">
        <f t="shared" si="19"/>
        <v>0</v>
      </c>
    </row>
    <row r="235" spans="1:19" ht="20.100000000000001" hidden="1" customHeight="1" x14ac:dyDescent="0.25">
      <c r="A235" s="470"/>
      <c r="B235" s="487"/>
      <c r="F235" s="488"/>
      <c r="G235" s="484"/>
      <c r="I235" s="513"/>
      <c r="J235" s="515">
        <f t="shared" si="18"/>
        <v>0</v>
      </c>
      <c r="K235" s="457"/>
      <c r="L235" s="502" t="str">
        <f t="shared" si="20"/>
        <v xml:space="preserve"> </v>
      </c>
      <c r="M235" s="467"/>
      <c r="N235" s="477">
        <f>IFERROR(VLOOKUP(P79,COPY!$A$1:$AC$1000,26,FALSE),0)</f>
        <v>0</v>
      </c>
      <c r="P235" s="448">
        <f>IFERROR(VLOOKUP(P79,COPY!$A$1:$AC$1000,29,FALSE),0)</f>
        <v>0</v>
      </c>
      <c r="S235" s="449">
        <f t="shared" si="19"/>
        <v>0</v>
      </c>
    </row>
    <row r="236" spans="1:19" ht="20.100000000000001" hidden="1" customHeight="1" x14ac:dyDescent="0.25">
      <c r="A236" s="470"/>
      <c r="B236" s="487"/>
      <c r="F236" s="488"/>
      <c r="G236" s="484"/>
      <c r="I236" s="513"/>
      <c r="J236" s="515">
        <f t="shared" si="18"/>
        <v>0</v>
      </c>
      <c r="K236" s="457"/>
      <c r="L236" s="502" t="str">
        <f t="shared" si="20"/>
        <v xml:space="preserve"> </v>
      </c>
      <c r="M236" s="467"/>
      <c r="N236" s="477">
        <f>IFERROR(VLOOKUP(P80,COPY!$A$1:$AC$1000,26,FALSE),0)</f>
        <v>0</v>
      </c>
      <c r="P236" s="448">
        <f>IFERROR(VLOOKUP(P80,COPY!$A$1:$AC$1000,29,FALSE),0)</f>
        <v>0</v>
      </c>
      <c r="S236" s="449">
        <f t="shared" si="19"/>
        <v>0</v>
      </c>
    </row>
    <row r="237" spans="1:19" ht="20.100000000000001" customHeight="1" x14ac:dyDescent="0.25">
      <c r="A237" s="470"/>
      <c r="B237" s="487"/>
      <c r="F237" s="488"/>
      <c r="G237" s="484"/>
      <c r="I237" s="513"/>
      <c r="J237" s="515" t="str">
        <f t="shared" si="18"/>
        <v>Bayar Pajak PPN (11 %) BKK.47</v>
      </c>
      <c r="K237" s="457"/>
      <c r="L237" s="502">
        <f t="shared" si="20"/>
        <v>1</v>
      </c>
      <c r="M237" s="467"/>
      <c r="N237" s="477">
        <f>IFERROR(VLOOKUP(P81,COPY!$A$1:$AC$1000,26,FALSE),0)</f>
        <v>242000</v>
      </c>
      <c r="P237" s="448" t="str">
        <f>IFERROR(VLOOKUP(P81,COPY!$A$1:$AC$1000,29,FALSE),0)</f>
        <v>Bayar Pajak PPN (11 %) BKK.47</v>
      </c>
      <c r="S237" s="449" t="str">
        <f t="shared" si="19"/>
        <v>Bayar Pajak PPN (11 %) BKK.47</v>
      </c>
    </row>
    <row r="238" spans="1:19" ht="20.100000000000001" customHeight="1" x14ac:dyDescent="0.25">
      <c r="A238" s="470"/>
      <c r="B238" s="487"/>
      <c r="F238" s="488"/>
      <c r="G238" s="484"/>
      <c r="I238" s="513"/>
      <c r="J238" s="515" t="str">
        <f t="shared" si="18"/>
        <v>Bayar Pajak PPH (1,5 %) BKK.47</v>
      </c>
      <c r="K238" s="457"/>
      <c r="L238" s="502">
        <f t="shared" si="20"/>
        <v>2</v>
      </c>
      <c r="M238" s="467"/>
      <c r="N238" s="477">
        <f>IFERROR(VLOOKUP(P82,COPY!$A$1:$AC$1000,26,FALSE),0)</f>
        <v>33000</v>
      </c>
      <c r="P238" s="448" t="str">
        <f>IFERROR(VLOOKUP(P82,COPY!$A$1:$AC$1000,29,FALSE),0)</f>
        <v>Bayar Pajak PPH (1,5 %) BKK.47</v>
      </c>
      <c r="S238" s="449" t="str">
        <f t="shared" si="19"/>
        <v>Bayar Pajak PPH (1,5 %) BKK.47</v>
      </c>
    </row>
    <row r="239" spans="1:19" ht="20.100000000000001" hidden="1" customHeight="1" x14ac:dyDescent="0.25">
      <c r="A239" s="470"/>
      <c r="B239" s="487"/>
      <c r="F239" s="488"/>
      <c r="G239" s="484"/>
      <c r="I239" s="513"/>
      <c r="J239" s="515">
        <f t="shared" si="18"/>
        <v>0</v>
      </c>
      <c r="K239" s="457"/>
      <c r="L239" s="502" t="str">
        <f t="shared" si="20"/>
        <v xml:space="preserve"> </v>
      </c>
      <c r="M239" s="467"/>
      <c r="N239" s="477">
        <f>IFERROR(VLOOKUP(P83,COPY!$A$1:$AC$1000,26,FALSE),0)</f>
        <v>0</v>
      </c>
      <c r="P239" s="448">
        <f>IFERROR(VLOOKUP(P83,COPY!$A$1:$AC$1000,29,FALSE),0)</f>
        <v>0</v>
      </c>
      <c r="S239" s="449">
        <f t="shared" si="19"/>
        <v>0</v>
      </c>
    </row>
    <row r="240" spans="1:19" ht="20.100000000000001" hidden="1" customHeight="1" x14ac:dyDescent="0.25">
      <c r="A240" s="470"/>
      <c r="B240" s="487"/>
      <c r="F240" s="488"/>
      <c r="G240" s="484"/>
      <c r="I240" s="513"/>
      <c r="J240" s="515">
        <f t="shared" si="18"/>
        <v>0</v>
      </c>
      <c r="K240" s="457"/>
      <c r="L240" s="502" t="str">
        <f t="shared" si="20"/>
        <v xml:space="preserve"> </v>
      </c>
      <c r="M240" s="467"/>
      <c r="N240" s="477">
        <f>IFERROR(VLOOKUP(P84,COPY!$A$1:$AC$1000,26,FALSE),0)</f>
        <v>0</v>
      </c>
      <c r="P240" s="448">
        <f>IFERROR(VLOOKUP(P84,COPY!$A$1:$AC$1000,29,FALSE),0)</f>
        <v>0</v>
      </c>
      <c r="S240" s="449">
        <f t="shared" si="19"/>
        <v>0</v>
      </c>
    </row>
    <row r="241" spans="1:19" ht="20.100000000000001" hidden="1" customHeight="1" x14ac:dyDescent="0.25">
      <c r="A241" s="470"/>
      <c r="B241" s="487"/>
      <c r="F241" s="488"/>
      <c r="G241" s="484"/>
      <c r="I241" s="513"/>
      <c r="J241" s="515">
        <f t="shared" si="18"/>
        <v>0</v>
      </c>
      <c r="K241" s="457"/>
      <c r="L241" s="502" t="str">
        <f t="shared" si="20"/>
        <v xml:space="preserve"> </v>
      </c>
      <c r="M241" s="467"/>
      <c r="N241" s="477">
        <f>IFERROR(VLOOKUP(P85,COPY!$A$1:$AC$1000,26,FALSE),0)</f>
        <v>0</v>
      </c>
      <c r="P241" s="448">
        <f>IFERROR(VLOOKUP(P85,COPY!$A$1:$AC$1000,29,FALSE),0)</f>
        <v>0</v>
      </c>
      <c r="S241" s="449">
        <f t="shared" si="19"/>
        <v>0</v>
      </c>
    </row>
    <row r="242" spans="1:19" ht="20.100000000000001" hidden="1" customHeight="1" x14ac:dyDescent="0.25">
      <c r="A242" s="470"/>
      <c r="B242" s="487"/>
      <c r="F242" s="488"/>
      <c r="G242" s="484"/>
      <c r="I242" s="513"/>
      <c r="J242" s="515">
        <f t="shared" si="18"/>
        <v>0</v>
      </c>
      <c r="K242" s="457"/>
      <c r="L242" s="502" t="str">
        <f t="shared" si="20"/>
        <v xml:space="preserve"> </v>
      </c>
      <c r="M242" s="467"/>
      <c r="N242" s="477">
        <f>IFERROR(VLOOKUP(P86,COPY!$A$1:$AC$1000,26,FALSE),0)</f>
        <v>0</v>
      </c>
      <c r="P242" s="448">
        <f>IFERROR(VLOOKUP(P86,COPY!$A$1:$AC$1000,29,FALSE),0)</f>
        <v>0</v>
      </c>
      <c r="S242" s="449">
        <f t="shared" si="19"/>
        <v>0</v>
      </c>
    </row>
    <row r="243" spans="1:19" ht="20.100000000000001" hidden="1" customHeight="1" x14ac:dyDescent="0.25">
      <c r="A243" s="470"/>
      <c r="B243" s="487"/>
      <c r="F243" s="488"/>
      <c r="G243" s="484"/>
      <c r="I243" s="513"/>
      <c r="J243" s="515">
        <f t="shared" si="18"/>
        <v>0</v>
      </c>
      <c r="K243" s="457"/>
      <c r="L243" s="502" t="str">
        <f t="shared" si="20"/>
        <v xml:space="preserve"> </v>
      </c>
      <c r="M243" s="467"/>
      <c r="N243" s="477">
        <f>IFERROR(VLOOKUP(P87,COPY!$A$1:$AC$1000,26,FALSE),0)</f>
        <v>0</v>
      </c>
      <c r="P243" s="448">
        <f>IFERROR(VLOOKUP(P87,COPY!$A$1:$AC$1000,29,FALSE),0)</f>
        <v>0</v>
      </c>
      <c r="S243" s="449">
        <f t="shared" si="19"/>
        <v>0</v>
      </c>
    </row>
    <row r="244" spans="1:19" ht="20.100000000000001" hidden="1" customHeight="1" x14ac:dyDescent="0.25">
      <c r="A244" s="470"/>
      <c r="B244" s="487"/>
      <c r="F244" s="488"/>
      <c r="G244" s="484"/>
      <c r="I244" s="513"/>
      <c r="J244" s="515">
        <f t="shared" si="18"/>
        <v>0</v>
      </c>
      <c r="K244" s="457"/>
      <c r="L244" s="502" t="str">
        <f t="shared" si="20"/>
        <v xml:space="preserve"> </v>
      </c>
      <c r="M244" s="467"/>
      <c r="N244" s="477">
        <f>IFERROR(VLOOKUP(P88,COPY!$A$1:$AC$1000,26,FALSE),0)</f>
        <v>0</v>
      </c>
      <c r="P244" s="448">
        <f>IFERROR(VLOOKUP(P88,COPY!$A$1:$AC$1000,29,FALSE),0)</f>
        <v>0</v>
      </c>
      <c r="S244" s="449">
        <f t="shared" si="19"/>
        <v>0</v>
      </c>
    </row>
    <row r="245" spans="1:19" ht="20.100000000000001" hidden="1" customHeight="1" x14ac:dyDescent="0.25">
      <c r="A245" s="470"/>
      <c r="B245" s="487"/>
      <c r="F245" s="488"/>
      <c r="G245" s="484"/>
      <c r="I245" s="513"/>
      <c r="J245" s="515">
        <f t="shared" si="18"/>
        <v>0</v>
      </c>
      <c r="K245" s="457"/>
      <c r="L245" s="502" t="str">
        <f t="shared" si="20"/>
        <v xml:space="preserve"> </v>
      </c>
      <c r="M245" s="467"/>
      <c r="N245" s="477">
        <f>IFERROR(VLOOKUP(P89,COPY!$A$1:$AC$1000,26,FALSE),0)</f>
        <v>0</v>
      </c>
      <c r="P245" s="448">
        <f>IFERROR(VLOOKUP(P89,COPY!$A$1:$AC$1000,29,FALSE),0)</f>
        <v>0</v>
      </c>
      <c r="S245" s="449">
        <f t="shared" si="19"/>
        <v>0</v>
      </c>
    </row>
    <row r="246" spans="1:19" ht="20.100000000000001" hidden="1" customHeight="1" x14ac:dyDescent="0.25">
      <c r="A246" s="470"/>
      <c r="B246" s="487"/>
      <c r="F246" s="488"/>
      <c r="G246" s="484"/>
      <c r="I246" s="513"/>
      <c r="J246" s="515">
        <f t="shared" si="18"/>
        <v>0</v>
      </c>
      <c r="K246" s="457"/>
      <c r="L246" s="502" t="str">
        <f t="shared" si="20"/>
        <v xml:space="preserve"> </v>
      </c>
      <c r="M246" s="467"/>
      <c r="N246" s="477">
        <f>IFERROR(VLOOKUP(P90,COPY!$A$1:$AC$1000,26,FALSE),0)</f>
        <v>0</v>
      </c>
      <c r="P246" s="448">
        <f>IFERROR(VLOOKUP(P90,COPY!$A$1:$AC$1000,29,FALSE),0)</f>
        <v>0</v>
      </c>
      <c r="S246" s="449">
        <f t="shared" si="19"/>
        <v>0</v>
      </c>
    </row>
    <row r="247" spans="1:19" ht="20.100000000000001" hidden="1" customHeight="1" x14ac:dyDescent="0.25">
      <c r="A247" s="470"/>
      <c r="B247" s="487"/>
      <c r="F247" s="488"/>
      <c r="G247" s="484"/>
      <c r="I247" s="513"/>
      <c r="J247" s="515">
        <f t="shared" si="18"/>
        <v>0</v>
      </c>
      <c r="K247" s="457"/>
      <c r="L247" s="502" t="str">
        <f t="shared" si="20"/>
        <v xml:space="preserve"> </v>
      </c>
      <c r="M247" s="467"/>
      <c r="N247" s="477">
        <f>IFERROR(VLOOKUP(P91,COPY!$A$1:$AC$1000,26,FALSE),0)</f>
        <v>0</v>
      </c>
      <c r="P247" s="448">
        <f>IFERROR(VLOOKUP(P91,COPY!$A$1:$AC$1000,29,FALSE),0)</f>
        <v>0</v>
      </c>
      <c r="S247" s="449">
        <f t="shared" si="19"/>
        <v>0</v>
      </c>
    </row>
    <row r="248" spans="1:19" ht="20.100000000000001" hidden="1" customHeight="1" x14ac:dyDescent="0.25">
      <c r="A248" s="470"/>
      <c r="B248" s="487"/>
      <c r="F248" s="488"/>
      <c r="G248" s="484"/>
      <c r="I248" s="513"/>
      <c r="J248" s="515">
        <f t="shared" si="18"/>
        <v>0</v>
      </c>
      <c r="K248" s="457"/>
      <c r="L248" s="502" t="str">
        <f t="shared" si="20"/>
        <v xml:space="preserve"> </v>
      </c>
      <c r="M248" s="467"/>
      <c r="N248" s="477">
        <f>IFERROR(VLOOKUP(P92,COPY!$A$1:$AC$1000,26,FALSE),0)</f>
        <v>0</v>
      </c>
      <c r="P248" s="448">
        <f>IFERROR(VLOOKUP(P92,COPY!$A$1:$AC$1000,29,FALSE),0)</f>
        <v>0</v>
      </c>
      <c r="S248" s="449">
        <f t="shared" si="19"/>
        <v>0</v>
      </c>
    </row>
    <row r="249" spans="1:19" ht="20.100000000000001" hidden="1" customHeight="1" x14ac:dyDescent="0.25">
      <c r="A249" s="470"/>
      <c r="B249" s="487"/>
      <c r="F249" s="488"/>
      <c r="G249" s="484"/>
      <c r="I249" s="513"/>
      <c r="J249" s="515">
        <f t="shared" si="18"/>
        <v>0</v>
      </c>
      <c r="K249" s="457"/>
      <c r="L249" s="502" t="str">
        <f t="shared" si="20"/>
        <v xml:space="preserve"> </v>
      </c>
      <c r="M249" s="467"/>
      <c r="N249" s="477">
        <f>IFERROR(VLOOKUP(P93,COPY!$A$1:$AC$1000,26,FALSE),0)</f>
        <v>0</v>
      </c>
      <c r="P249" s="448">
        <f>IFERROR(VLOOKUP(P93,COPY!$A$1:$AC$1000,29,FALSE),0)</f>
        <v>0</v>
      </c>
      <c r="S249" s="449">
        <f t="shared" si="19"/>
        <v>0</v>
      </c>
    </row>
    <row r="250" spans="1:19" ht="20.100000000000001" hidden="1" customHeight="1" x14ac:dyDescent="0.25">
      <c r="A250" s="470"/>
      <c r="B250" s="487"/>
      <c r="F250" s="488"/>
      <c r="G250" s="484"/>
      <c r="I250" s="513"/>
      <c r="J250" s="515">
        <f t="shared" si="18"/>
        <v>0</v>
      </c>
      <c r="K250" s="457"/>
      <c r="L250" s="502" t="str">
        <f t="shared" si="20"/>
        <v xml:space="preserve"> </v>
      </c>
      <c r="M250" s="467"/>
      <c r="N250" s="477">
        <f>IFERROR(VLOOKUP(P94,COPY!$A$1:$AC$1000,26,FALSE),0)</f>
        <v>0</v>
      </c>
      <c r="P250" s="448">
        <f>IFERROR(VLOOKUP(P94,COPY!$A$1:$AC$1000,29,FALSE),0)</f>
        <v>0</v>
      </c>
      <c r="S250" s="449">
        <f t="shared" si="19"/>
        <v>0</v>
      </c>
    </row>
    <row r="251" spans="1:19" ht="20.100000000000001" hidden="1" customHeight="1" x14ac:dyDescent="0.25">
      <c r="A251" s="470"/>
      <c r="B251" s="487"/>
      <c r="F251" s="488"/>
      <c r="G251" s="484"/>
      <c r="I251" s="513"/>
      <c r="J251" s="515">
        <f t="shared" si="18"/>
        <v>0</v>
      </c>
      <c r="K251" s="457"/>
      <c r="L251" s="502" t="str">
        <f t="shared" si="20"/>
        <v xml:space="preserve"> </v>
      </c>
      <c r="M251" s="467"/>
      <c r="N251" s="477">
        <f>IFERROR(VLOOKUP(P95,COPY!$A$1:$AC$1000,26,FALSE),0)</f>
        <v>0</v>
      </c>
      <c r="P251" s="448">
        <f>IFERROR(VLOOKUP(P95,COPY!$A$1:$AC$1000,29,FALSE),0)</f>
        <v>0</v>
      </c>
      <c r="S251" s="449">
        <f t="shared" si="19"/>
        <v>0</v>
      </c>
    </row>
    <row r="252" spans="1:19" ht="20.100000000000001" customHeight="1" x14ac:dyDescent="0.25">
      <c r="A252" s="470"/>
      <c r="B252" s="487"/>
      <c r="F252" s="488"/>
      <c r="G252" s="484"/>
      <c r="I252" s="513"/>
      <c r="J252" s="515" t="str">
        <f t="shared" ref="J252:J315" si="21">S252</f>
        <v>Bayar Pajak PPN (11 %) BKK.53</v>
      </c>
      <c r="K252" s="457"/>
      <c r="L252" s="502">
        <f t="shared" si="20"/>
        <v>1</v>
      </c>
      <c r="M252" s="467"/>
      <c r="N252" s="477">
        <f>IFERROR(VLOOKUP(P96,COPY!$A$1:$AC$1000,26,FALSE),0)</f>
        <v>227700</v>
      </c>
      <c r="P252" s="448" t="str">
        <f>IFERROR(VLOOKUP(P96,COPY!$A$1:$AC$1000,29,FALSE),0)</f>
        <v>Bayar Pajak PPN (11 %) BKK.53</v>
      </c>
      <c r="S252" s="449" t="str">
        <f t="shared" si="19"/>
        <v>Bayar Pajak PPN (11 %) BKK.53</v>
      </c>
    </row>
    <row r="253" spans="1:19" ht="20.100000000000001" customHeight="1" x14ac:dyDescent="0.25">
      <c r="A253" s="470"/>
      <c r="B253" s="487"/>
      <c r="F253" s="488"/>
      <c r="G253" s="484"/>
      <c r="I253" s="513"/>
      <c r="J253" s="515" t="str">
        <f t="shared" si="21"/>
        <v>Bayar Pajak PPH (1,5 %) BKK.53</v>
      </c>
      <c r="K253" s="457"/>
      <c r="L253" s="502">
        <f t="shared" si="20"/>
        <v>2</v>
      </c>
      <c r="M253" s="467"/>
      <c r="N253" s="477">
        <f>IFERROR(VLOOKUP(P97,COPY!$A$1:$AC$1000,26,FALSE),0)</f>
        <v>31050</v>
      </c>
      <c r="P253" s="448" t="str">
        <f>IFERROR(VLOOKUP(P97,COPY!$A$1:$AC$1000,29,FALSE),0)</f>
        <v>Bayar Pajak PPH (1,5 %) BKK.53</v>
      </c>
      <c r="S253" s="449" t="str">
        <f t="shared" ref="S253:S316" si="22">IF(LEFT(P253,6)="Terima",REPLACE(P253,1,6,"Bayar"),P253)</f>
        <v>Bayar Pajak PPH (1,5 %) BKK.53</v>
      </c>
    </row>
    <row r="254" spans="1:19" ht="20.100000000000001" customHeight="1" x14ac:dyDescent="0.25">
      <c r="A254" s="470"/>
      <c r="B254" s="487"/>
      <c r="F254" s="488"/>
      <c r="G254" s="484"/>
      <c r="I254" s="513"/>
      <c r="J254" s="515" t="str">
        <f t="shared" si="21"/>
        <v>Bayar Pajak PPN (11 %) BKK.54</v>
      </c>
      <c r="K254" s="457"/>
      <c r="L254" s="502">
        <f t="shared" si="20"/>
        <v>1</v>
      </c>
      <c r="M254" s="467"/>
      <c r="N254" s="477">
        <f>IFERROR(VLOOKUP(P98,COPY!$A$1:$AC$1000,26,FALSE),0)</f>
        <v>245850</v>
      </c>
      <c r="P254" s="448" t="str">
        <f>IFERROR(VLOOKUP(P98,COPY!$A$1:$AC$1000,29,FALSE),0)</f>
        <v>Bayar Pajak PPN (11 %) BKK.54</v>
      </c>
      <c r="S254" s="449" t="str">
        <f t="shared" si="22"/>
        <v>Bayar Pajak PPN (11 %) BKK.54</v>
      </c>
    </row>
    <row r="255" spans="1:19" ht="20.100000000000001" customHeight="1" x14ac:dyDescent="0.25">
      <c r="A255" s="470"/>
      <c r="B255" s="487"/>
      <c r="F255" s="488"/>
      <c r="G255" s="484"/>
      <c r="I255" s="513"/>
      <c r="J255" s="515" t="str">
        <f t="shared" si="21"/>
        <v>Bayar Pajak PPH (1,5 %) BKK.54</v>
      </c>
      <c r="K255" s="457"/>
      <c r="L255" s="502">
        <f t="shared" si="20"/>
        <v>2</v>
      </c>
      <c r="M255" s="467"/>
      <c r="N255" s="477">
        <f>IFERROR(VLOOKUP(P99,COPY!$A$1:$AC$1000,26,FALSE),0)</f>
        <v>33525</v>
      </c>
      <c r="P255" s="448" t="str">
        <f>IFERROR(VLOOKUP(P99,COPY!$A$1:$AC$1000,29,FALSE),0)</f>
        <v>Bayar Pajak PPH (1,5 %) BKK.54</v>
      </c>
      <c r="S255" s="449" t="str">
        <f t="shared" si="22"/>
        <v>Bayar Pajak PPH (1,5 %) BKK.54</v>
      </c>
    </row>
    <row r="256" spans="1:19" ht="20.100000000000001" hidden="1" customHeight="1" x14ac:dyDescent="0.25">
      <c r="A256" s="470"/>
      <c r="B256" s="487"/>
      <c r="F256" s="488"/>
      <c r="G256" s="484"/>
      <c r="I256" s="513"/>
      <c r="J256" s="515">
        <f t="shared" si="21"/>
        <v>0</v>
      </c>
      <c r="K256" s="457"/>
      <c r="L256" s="502" t="str">
        <f t="shared" si="20"/>
        <v xml:space="preserve"> </v>
      </c>
      <c r="M256" s="467"/>
      <c r="N256" s="477">
        <f>IFERROR(VLOOKUP(P100,COPY!$A$1:$AC$1000,26,FALSE),0)</f>
        <v>0</v>
      </c>
      <c r="P256" s="448">
        <f>IFERROR(VLOOKUP(P100,COPY!$A$1:$AC$1000,29,FALSE),0)</f>
        <v>0</v>
      </c>
      <c r="S256" s="449">
        <f t="shared" si="22"/>
        <v>0</v>
      </c>
    </row>
    <row r="257" spans="1:19" ht="20.100000000000001" hidden="1" customHeight="1" x14ac:dyDescent="0.25">
      <c r="A257" s="470"/>
      <c r="B257" s="487"/>
      <c r="F257" s="488"/>
      <c r="G257" s="484"/>
      <c r="I257" s="513"/>
      <c r="J257" s="515">
        <f t="shared" si="21"/>
        <v>0</v>
      </c>
      <c r="K257" s="457"/>
      <c r="L257" s="502" t="str">
        <f t="shared" ref="L257:L320" si="23">IF(LEFT(J257,15)="Bayar Pajak PPN",1,IF(LEFT(J257,15)="Bayar Pajak PPH",2,IF(LEFT(J257,21)="Bayar Pajak Final PPH",3," ")))</f>
        <v xml:space="preserve"> </v>
      </c>
      <c r="M257" s="467"/>
      <c r="N257" s="477">
        <f>IFERROR(VLOOKUP(P101,COPY!$A$1:$AC$1000,26,FALSE),0)</f>
        <v>0</v>
      </c>
      <c r="P257" s="448">
        <f>IFERROR(VLOOKUP(P101,COPY!$A$1:$AC$1000,29,FALSE),0)</f>
        <v>0</v>
      </c>
      <c r="S257" s="449">
        <f t="shared" si="22"/>
        <v>0</v>
      </c>
    </row>
    <row r="258" spans="1:19" ht="20.100000000000001" hidden="1" customHeight="1" x14ac:dyDescent="0.25">
      <c r="A258" s="470"/>
      <c r="B258" s="487"/>
      <c r="F258" s="488"/>
      <c r="G258" s="484"/>
      <c r="I258" s="513"/>
      <c r="J258" s="515">
        <f t="shared" si="21"/>
        <v>0</v>
      </c>
      <c r="K258" s="457"/>
      <c r="L258" s="502" t="str">
        <f t="shared" si="23"/>
        <v xml:space="preserve"> </v>
      </c>
      <c r="M258" s="467"/>
      <c r="N258" s="477">
        <f>IFERROR(VLOOKUP(P102,COPY!$A$1:$AC$1000,26,FALSE),0)</f>
        <v>0</v>
      </c>
      <c r="P258" s="448">
        <f>IFERROR(VLOOKUP(P102,COPY!$A$1:$AC$1000,29,FALSE),0)</f>
        <v>0</v>
      </c>
      <c r="S258" s="449">
        <f t="shared" si="22"/>
        <v>0</v>
      </c>
    </row>
    <row r="259" spans="1:19" ht="20.100000000000001" hidden="1" customHeight="1" x14ac:dyDescent="0.25">
      <c r="A259" s="470"/>
      <c r="B259" s="487"/>
      <c r="F259" s="488"/>
      <c r="G259" s="484"/>
      <c r="I259" s="513"/>
      <c r="J259" s="515">
        <f t="shared" si="21"/>
        <v>0</v>
      </c>
      <c r="K259" s="457"/>
      <c r="L259" s="502" t="str">
        <f t="shared" si="23"/>
        <v xml:space="preserve"> </v>
      </c>
      <c r="M259" s="467"/>
      <c r="N259" s="477">
        <f>IFERROR(VLOOKUP(P103,COPY!$A$1:$AC$1000,26,FALSE),0)</f>
        <v>0</v>
      </c>
      <c r="P259" s="448">
        <f>IFERROR(VLOOKUP(P103,COPY!$A$1:$AC$1000,29,FALSE),0)</f>
        <v>0</v>
      </c>
      <c r="S259" s="449">
        <f t="shared" si="22"/>
        <v>0</v>
      </c>
    </row>
    <row r="260" spans="1:19" ht="20.100000000000001" hidden="1" customHeight="1" x14ac:dyDescent="0.25">
      <c r="A260" s="470"/>
      <c r="B260" s="487"/>
      <c r="F260" s="488"/>
      <c r="G260" s="484"/>
      <c r="I260" s="513"/>
      <c r="J260" s="515">
        <f t="shared" si="21"/>
        <v>0</v>
      </c>
      <c r="K260" s="457"/>
      <c r="L260" s="502" t="str">
        <f t="shared" si="23"/>
        <v xml:space="preserve"> </v>
      </c>
      <c r="M260" s="467"/>
      <c r="N260" s="477">
        <f>IFERROR(VLOOKUP(P104,COPY!$A$1:$AC$1000,26,FALSE),0)</f>
        <v>0</v>
      </c>
      <c r="P260" s="448">
        <f>IFERROR(VLOOKUP(P104,COPY!$A$1:$AC$1000,29,FALSE),0)</f>
        <v>0</v>
      </c>
      <c r="S260" s="449">
        <f t="shared" si="22"/>
        <v>0</v>
      </c>
    </row>
    <row r="261" spans="1:19" ht="20.100000000000001" hidden="1" customHeight="1" x14ac:dyDescent="0.25">
      <c r="A261" s="470"/>
      <c r="B261" s="487"/>
      <c r="F261" s="488"/>
      <c r="G261" s="484"/>
      <c r="I261" s="513"/>
      <c r="J261" s="515">
        <f t="shared" si="21"/>
        <v>0</v>
      </c>
      <c r="K261" s="457"/>
      <c r="L261" s="502" t="str">
        <f t="shared" si="23"/>
        <v xml:space="preserve"> </v>
      </c>
      <c r="M261" s="467"/>
      <c r="N261" s="477">
        <f>IFERROR(VLOOKUP(P105,COPY!$A$1:$AC$1000,26,FALSE),0)</f>
        <v>0</v>
      </c>
      <c r="P261" s="448">
        <f>IFERROR(VLOOKUP(P105,COPY!$A$1:$AC$1000,29,FALSE),0)</f>
        <v>0</v>
      </c>
      <c r="S261" s="449">
        <f t="shared" si="22"/>
        <v>0</v>
      </c>
    </row>
    <row r="262" spans="1:19" ht="20.100000000000001" hidden="1" customHeight="1" x14ac:dyDescent="0.25">
      <c r="A262" s="470"/>
      <c r="B262" s="487"/>
      <c r="F262" s="488"/>
      <c r="G262" s="484"/>
      <c r="I262" s="513"/>
      <c r="J262" s="515">
        <f t="shared" si="21"/>
        <v>0</v>
      </c>
      <c r="K262" s="457"/>
      <c r="L262" s="502" t="str">
        <f t="shared" si="23"/>
        <v xml:space="preserve"> </v>
      </c>
      <c r="M262" s="467"/>
      <c r="N262" s="477">
        <f>IFERROR(VLOOKUP(P106,COPY!$A$1:$AC$1000,26,FALSE),0)</f>
        <v>0</v>
      </c>
      <c r="P262" s="448">
        <f>IFERROR(VLOOKUP(P106,COPY!$A$1:$AC$1000,29,FALSE),0)</f>
        <v>0</v>
      </c>
      <c r="S262" s="449">
        <f t="shared" si="22"/>
        <v>0</v>
      </c>
    </row>
    <row r="263" spans="1:19" ht="20.100000000000001" hidden="1" customHeight="1" x14ac:dyDescent="0.25">
      <c r="A263" s="470"/>
      <c r="B263" s="487"/>
      <c r="F263" s="488"/>
      <c r="G263" s="484"/>
      <c r="I263" s="513"/>
      <c r="J263" s="515">
        <f t="shared" si="21"/>
        <v>0</v>
      </c>
      <c r="K263" s="457"/>
      <c r="L263" s="502" t="str">
        <f t="shared" si="23"/>
        <v xml:space="preserve"> </v>
      </c>
      <c r="M263" s="467"/>
      <c r="N263" s="477">
        <f>IFERROR(VLOOKUP(P107,COPY!$A$1:$AC$1000,26,FALSE),0)</f>
        <v>0</v>
      </c>
      <c r="P263" s="448">
        <f>IFERROR(VLOOKUP(P107,COPY!$A$1:$AC$1000,29,FALSE),0)</f>
        <v>0</v>
      </c>
      <c r="S263" s="449">
        <f t="shared" si="22"/>
        <v>0</v>
      </c>
    </row>
    <row r="264" spans="1:19" ht="20.100000000000001" hidden="1" customHeight="1" x14ac:dyDescent="0.25">
      <c r="A264" s="470"/>
      <c r="B264" s="487"/>
      <c r="F264" s="488"/>
      <c r="G264" s="484"/>
      <c r="I264" s="513"/>
      <c r="J264" s="515">
        <f t="shared" si="21"/>
        <v>0</v>
      </c>
      <c r="K264" s="457"/>
      <c r="L264" s="502" t="str">
        <f t="shared" si="23"/>
        <v xml:space="preserve"> </v>
      </c>
      <c r="M264" s="467"/>
      <c r="N264" s="477">
        <f>IFERROR(VLOOKUP(P108,COPY!$A$1:$AC$1000,26,FALSE),0)</f>
        <v>0</v>
      </c>
      <c r="P264" s="448">
        <f>IFERROR(VLOOKUP(P108,COPY!$A$1:$AC$1000,29,FALSE),0)</f>
        <v>0</v>
      </c>
      <c r="S264" s="449">
        <f t="shared" si="22"/>
        <v>0</v>
      </c>
    </row>
    <row r="265" spans="1:19" ht="20.100000000000001" customHeight="1" thickBot="1" x14ac:dyDescent="0.3">
      <c r="A265" s="470"/>
      <c r="B265" s="487"/>
      <c r="F265" s="488"/>
      <c r="G265" s="484"/>
      <c r="I265" s="513"/>
      <c r="J265" s="515" t="str">
        <f t="shared" si="21"/>
        <v>Bayar PPh Pasal 4 ayat 2 (3,5 %) BKK.57</v>
      </c>
      <c r="K265" s="457"/>
      <c r="L265" s="502" t="str">
        <f t="shared" si="23"/>
        <v xml:space="preserve"> </v>
      </c>
      <c r="M265" s="467"/>
      <c r="N265" s="477">
        <f>IFERROR(VLOOKUP(P109,COPY!$A$1:$AC$1000,26,FALSE),0)</f>
        <v>119162.05000000002</v>
      </c>
      <c r="P265" s="448" t="str">
        <f>IFERROR(VLOOKUP(P109,COPY!$A$1:$AC$1000,29,FALSE),0)</f>
        <v>Terima PPh Pasal 4 ayat 2 (3,5 %) BKK.57</v>
      </c>
      <c r="S265" s="449" t="str">
        <f t="shared" si="22"/>
        <v>Bayar PPh Pasal 4 ayat 2 (3,5 %) BKK.57</v>
      </c>
    </row>
    <row r="266" spans="1:19" ht="20.100000000000001" hidden="1" customHeight="1" x14ac:dyDescent="0.25">
      <c r="A266" s="470"/>
      <c r="B266" s="487"/>
      <c r="F266" s="488"/>
      <c r="G266" s="484"/>
      <c r="I266" s="513"/>
      <c r="J266" s="515">
        <f t="shared" si="21"/>
        <v>0</v>
      </c>
      <c r="K266" s="457"/>
      <c r="L266" s="502" t="str">
        <f t="shared" si="23"/>
        <v xml:space="preserve"> </v>
      </c>
      <c r="M266" s="467"/>
      <c r="N266" s="477">
        <f>IFERROR(VLOOKUP(P110,COPY!$A$1:$AC$1000,26,FALSE),0)</f>
        <v>0</v>
      </c>
      <c r="P266" s="448">
        <f>IFERROR(VLOOKUP(P110,COPY!$A$1:$AC$1000,29,FALSE),0)</f>
        <v>0</v>
      </c>
      <c r="S266" s="449">
        <f t="shared" si="22"/>
        <v>0</v>
      </c>
    </row>
    <row r="267" spans="1:19" ht="20.100000000000001" hidden="1" customHeight="1" x14ac:dyDescent="0.25">
      <c r="A267" s="470"/>
      <c r="B267" s="487"/>
      <c r="F267" s="488"/>
      <c r="G267" s="484"/>
      <c r="I267" s="513"/>
      <c r="J267" s="515">
        <f t="shared" si="21"/>
        <v>0</v>
      </c>
      <c r="K267" s="457"/>
      <c r="L267" s="502" t="str">
        <f t="shared" si="23"/>
        <v xml:space="preserve"> </v>
      </c>
      <c r="M267" s="467"/>
      <c r="N267" s="477">
        <f>IFERROR(VLOOKUP(P111,COPY!$A$1:$AC$1000,26,FALSE),0)</f>
        <v>0</v>
      </c>
      <c r="P267" s="448">
        <f>IFERROR(VLOOKUP(P111,COPY!$A$1:$AC$1000,29,FALSE),0)</f>
        <v>0</v>
      </c>
      <c r="S267" s="449">
        <f t="shared" si="22"/>
        <v>0</v>
      </c>
    </row>
    <row r="268" spans="1:19" ht="20.100000000000001" hidden="1" customHeight="1" x14ac:dyDescent="0.25">
      <c r="A268" s="470"/>
      <c r="B268" s="487"/>
      <c r="F268" s="488"/>
      <c r="G268" s="484"/>
      <c r="I268" s="513"/>
      <c r="J268" s="515">
        <f t="shared" si="21"/>
        <v>0</v>
      </c>
      <c r="K268" s="457"/>
      <c r="L268" s="502" t="str">
        <f t="shared" si="23"/>
        <v xml:space="preserve"> </v>
      </c>
      <c r="M268" s="467"/>
      <c r="N268" s="477">
        <f>IFERROR(VLOOKUP(P112,COPY!$A$1:$AC$1000,26,FALSE),0)</f>
        <v>0</v>
      </c>
      <c r="P268" s="448">
        <f>IFERROR(VLOOKUP(P112,COPY!$A$1:$AC$1000,29,FALSE),0)</f>
        <v>0</v>
      </c>
      <c r="S268" s="449">
        <f t="shared" si="22"/>
        <v>0</v>
      </c>
    </row>
    <row r="269" spans="1:19" ht="20.100000000000001" hidden="1" customHeight="1" x14ac:dyDescent="0.25">
      <c r="A269" s="470"/>
      <c r="B269" s="487"/>
      <c r="F269" s="488"/>
      <c r="G269" s="484"/>
      <c r="I269" s="513"/>
      <c r="J269" s="515">
        <f t="shared" si="21"/>
        <v>0</v>
      </c>
      <c r="K269" s="457"/>
      <c r="L269" s="502" t="str">
        <f t="shared" si="23"/>
        <v xml:space="preserve"> </v>
      </c>
      <c r="M269" s="467"/>
      <c r="N269" s="477">
        <f>IFERROR(VLOOKUP(P113,COPY!$A$1:$AC$1000,26,FALSE),0)</f>
        <v>0</v>
      </c>
      <c r="P269" s="448">
        <f>IFERROR(VLOOKUP(P113,COPY!$A$1:$AC$1000,29,FALSE),0)</f>
        <v>0</v>
      </c>
      <c r="S269" s="449">
        <f t="shared" si="22"/>
        <v>0</v>
      </c>
    </row>
    <row r="270" spans="1:19" ht="20.100000000000001" hidden="1" customHeight="1" x14ac:dyDescent="0.25">
      <c r="A270" s="470"/>
      <c r="B270" s="487"/>
      <c r="F270" s="488"/>
      <c r="G270" s="484"/>
      <c r="I270" s="513"/>
      <c r="J270" s="515">
        <f t="shared" si="21"/>
        <v>0</v>
      </c>
      <c r="K270" s="457"/>
      <c r="L270" s="502" t="str">
        <f t="shared" si="23"/>
        <v xml:space="preserve"> </v>
      </c>
      <c r="M270" s="467"/>
      <c r="N270" s="477">
        <f>IFERROR(VLOOKUP(P114,COPY!$A$1:$AC$1000,26,FALSE),0)</f>
        <v>0</v>
      </c>
      <c r="P270" s="448">
        <f>IFERROR(VLOOKUP(P114,COPY!$A$1:$AC$1000,29,FALSE),0)</f>
        <v>0</v>
      </c>
      <c r="S270" s="449">
        <f t="shared" si="22"/>
        <v>0</v>
      </c>
    </row>
    <row r="271" spans="1:19" ht="20.100000000000001" hidden="1" customHeight="1" x14ac:dyDescent="0.25">
      <c r="A271" s="470"/>
      <c r="B271" s="487"/>
      <c r="F271" s="488"/>
      <c r="G271" s="484"/>
      <c r="I271" s="513"/>
      <c r="J271" s="515">
        <f t="shared" si="21"/>
        <v>0</v>
      </c>
      <c r="K271" s="457"/>
      <c r="L271" s="502" t="str">
        <f t="shared" si="23"/>
        <v xml:space="preserve"> </v>
      </c>
      <c r="M271" s="467"/>
      <c r="N271" s="477">
        <f>IFERROR(VLOOKUP(P115,COPY!$A$1:$AC$1000,26,FALSE),0)</f>
        <v>0</v>
      </c>
      <c r="P271" s="448">
        <f>IFERROR(VLOOKUP(P115,COPY!$A$1:$AC$1000,29,FALSE),0)</f>
        <v>0</v>
      </c>
      <c r="S271" s="449">
        <f t="shared" si="22"/>
        <v>0</v>
      </c>
    </row>
    <row r="272" spans="1:19" ht="20.100000000000001" hidden="1" customHeight="1" x14ac:dyDescent="0.25">
      <c r="A272" s="470"/>
      <c r="B272" s="487"/>
      <c r="F272" s="488"/>
      <c r="G272" s="484"/>
      <c r="I272" s="513"/>
      <c r="J272" s="515">
        <f t="shared" si="21"/>
        <v>0</v>
      </c>
      <c r="K272" s="457"/>
      <c r="L272" s="502" t="str">
        <f t="shared" si="23"/>
        <v xml:space="preserve"> </v>
      </c>
      <c r="M272" s="467"/>
      <c r="N272" s="477">
        <f>IFERROR(VLOOKUP(P116,COPY!$A$1:$AC$1000,26,FALSE),0)</f>
        <v>0</v>
      </c>
      <c r="P272" s="448">
        <f>IFERROR(VLOOKUP(P116,COPY!$A$1:$AC$1000,29,FALSE),0)</f>
        <v>0</v>
      </c>
      <c r="S272" s="449">
        <f t="shared" si="22"/>
        <v>0</v>
      </c>
    </row>
    <row r="273" spans="1:19" ht="20.100000000000001" hidden="1" customHeight="1" x14ac:dyDescent="0.25">
      <c r="A273" s="470"/>
      <c r="B273" s="487"/>
      <c r="F273" s="488"/>
      <c r="G273" s="484"/>
      <c r="I273" s="513"/>
      <c r="J273" s="515">
        <f t="shared" si="21"/>
        <v>0</v>
      </c>
      <c r="K273" s="457"/>
      <c r="L273" s="502" t="str">
        <f t="shared" si="23"/>
        <v xml:space="preserve"> </v>
      </c>
      <c r="M273" s="467"/>
      <c r="N273" s="477">
        <f>IFERROR(VLOOKUP(P117,COPY!$A$1:$AC$1000,26,FALSE),0)</f>
        <v>0</v>
      </c>
      <c r="P273" s="448">
        <f>IFERROR(VLOOKUP(P117,COPY!$A$1:$AC$1000,29,FALSE),0)</f>
        <v>0</v>
      </c>
      <c r="S273" s="449">
        <f t="shared" si="22"/>
        <v>0</v>
      </c>
    </row>
    <row r="274" spans="1:19" ht="20.100000000000001" hidden="1" customHeight="1" x14ac:dyDescent="0.25">
      <c r="A274" s="470"/>
      <c r="B274" s="487"/>
      <c r="F274" s="488"/>
      <c r="G274" s="484"/>
      <c r="I274" s="513"/>
      <c r="J274" s="515">
        <f t="shared" si="21"/>
        <v>0</v>
      </c>
      <c r="K274" s="457"/>
      <c r="L274" s="502" t="str">
        <f t="shared" si="23"/>
        <v xml:space="preserve"> </v>
      </c>
      <c r="M274" s="467"/>
      <c r="N274" s="477">
        <f>IFERROR(VLOOKUP(P118,COPY!$A$1:$AC$1000,26,FALSE),0)</f>
        <v>0</v>
      </c>
      <c r="P274" s="448">
        <f>IFERROR(VLOOKUP(P118,COPY!$A$1:$AC$1000,29,FALSE),0)</f>
        <v>0</v>
      </c>
      <c r="S274" s="449">
        <f t="shared" si="22"/>
        <v>0</v>
      </c>
    </row>
    <row r="275" spans="1:19" ht="20.100000000000001" hidden="1" customHeight="1" x14ac:dyDescent="0.25">
      <c r="A275" s="470"/>
      <c r="B275" s="487"/>
      <c r="F275" s="488"/>
      <c r="G275" s="484"/>
      <c r="I275" s="513"/>
      <c r="J275" s="515">
        <f t="shared" si="21"/>
        <v>0</v>
      </c>
      <c r="K275" s="457"/>
      <c r="L275" s="502" t="str">
        <f t="shared" si="23"/>
        <v xml:space="preserve"> </v>
      </c>
      <c r="M275" s="467"/>
      <c r="N275" s="477">
        <f>IFERROR(VLOOKUP(P119,COPY!$A$1:$AC$1000,26,FALSE),0)</f>
        <v>0</v>
      </c>
      <c r="P275" s="448">
        <f>IFERROR(VLOOKUP(P119,COPY!$A$1:$AC$1000,29,FALSE),0)</f>
        <v>0</v>
      </c>
      <c r="S275" s="449">
        <f t="shared" si="22"/>
        <v>0</v>
      </c>
    </row>
    <row r="276" spans="1:19" ht="20.100000000000001" hidden="1" customHeight="1" x14ac:dyDescent="0.25">
      <c r="A276" s="470"/>
      <c r="B276" s="487"/>
      <c r="F276" s="488"/>
      <c r="G276" s="484"/>
      <c r="I276" s="513"/>
      <c r="J276" s="515">
        <f t="shared" si="21"/>
        <v>0</v>
      </c>
      <c r="K276" s="457"/>
      <c r="L276" s="502" t="str">
        <f t="shared" si="23"/>
        <v xml:space="preserve"> </v>
      </c>
      <c r="M276" s="467"/>
      <c r="N276" s="477">
        <f>IFERROR(VLOOKUP(P120,COPY!$A$1:$AC$1000,26,FALSE),0)</f>
        <v>0</v>
      </c>
      <c r="P276" s="448">
        <f>IFERROR(VLOOKUP(P120,COPY!$A$1:$AC$1000,29,FALSE),0)</f>
        <v>0</v>
      </c>
      <c r="S276" s="449">
        <f t="shared" si="22"/>
        <v>0</v>
      </c>
    </row>
    <row r="277" spans="1:19" ht="20.100000000000001" hidden="1" customHeight="1" x14ac:dyDescent="0.25">
      <c r="A277" s="470"/>
      <c r="B277" s="487"/>
      <c r="F277" s="488"/>
      <c r="G277" s="484"/>
      <c r="I277" s="513"/>
      <c r="J277" s="515">
        <f t="shared" si="21"/>
        <v>0</v>
      </c>
      <c r="K277" s="457"/>
      <c r="L277" s="502" t="str">
        <f t="shared" si="23"/>
        <v xml:space="preserve"> </v>
      </c>
      <c r="M277" s="467"/>
      <c r="N277" s="477">
        <f>IFERROR(VLOOKUP(P121,COPY!$A$1:$AC$1000,26,FALSE),0)</f>
        <v>0</v>
      </c>
      <c r="P277" s="448">
        <f>IFERROR(VLOOKUP(P121,COPY!$A$1:$AC$1000,29,FALSE),0)</f>
        <v>0</v>
      </c>
      <c r="S277" s="449">
        <f t="shared" si="22"/>
        <v>0</v>
      </c>
    </row>
    <row r="278" spans="1:19" ht="20.100000000000001" hidden="1" customHeight="1" x14ac:dyDescent="0.25">
      <c r="A278" s="470"/>
      <c r="B278" s="487"/>
      <c r="F278" s="488"/>
      <c r="G278" s="484"/>
      <c r="I278" s="513"/>
      <c r="J278" s="515">
        <f t="shared" si="21"/>
        <v>0</v>
      </c>
      <c r="K278" s="457"/>
      <c r="L278" s="502" t="str">
        <f t="shared" si="23"/>
        <v xml:space="preserve"> </v>
      </c>
      <c r="M278" s="467"/>
      <c r="N278" s="477">
        <f>IFERROR(VLOOKUP(P122,COPY!$A$1:$AC$1000,26,FALSE),0)</f>
        <v>0</v>
      </c>
      <c r="P278" s="448">
        <f>IFERROR(VLOOKUP(P122,COPY!$A$1:$AC$1000,29,FALSE),0)</f>
        <v>0</v>
      </c>
      <c r="S278" s="449">
        <f t="shared" si="22"/>
        <v>0</v>
      </c>
    </row>
    <row r="279" spans="1:19" ht="20.100000000000001" hidden="1" customHeight="1" x14ac:dyDescent="0.25">
      <c r="A279" s="470"/>
      <c r="B279" s="487"/>
      <c r="F279" s="488"/>
      <c r="G279" s="484"/>
      <c r="I279" s="513"/>
      <c r="J279" s="515">
        <f t="shared" si="21"/>
        <v>0</v>
      </c>
      <c r="K279" s="457"/>
      <c r="L279" s="502" t="str">
        <f t="shared" si="23"/>
        <v xml:space="preserve"> </v>
      </c>
      <c r="M279" s="467"/>
      <c r="N279" s="477">
        <f>IFERROR(VLOOKUP(P123,COPY!$A$1:$AC$1000,26,FALSE),0)</f>
        <v>0</v>
      </c>
      <c r="P279" s="448">
        <f>IFERROR(VLOOKUP(P123,COPY!$A$1:$AC$1000,29,FALSE),0)</f>
        <v>0</v>
      </c>
      <c r="S279" s="449">
        <f t="shared" si="22"/>
        <v>0</v>
      </c>
    </row>
    <row r="280" spans="1:19" ht="20.100000000000001" hidden="1" customHeight="1" x14ac:dyDescent="0.25">
      <c r="A280" s="470"/>
      <c r="B280" s="487"/>
      <c r="F280" s="488"/>
      <c r="G280" s="484"/>
      <c r="I280" s="513"/>
      <c r="J280" s="515">
        <f t="shared" si="21"/>
        <v>0</v>
      </c>
      <c r="K280" s="457"/>
      <c r="L280" s="502" t="str">
        <f t="shared" si="23"/>
        <v xml:space="preserve"> </v>
      </c>
      <c r="M280" s="467"/>
      <c r="N280" s="477">
        <f>IFERROR(VLOOKUP(P124,COPY!$A$1:$AC$1000,26,FALSE),0)</f>
        <v>0</v>
      </c>
      <c r="P280" s="448">
        <f>IFERROR(VLOOKUP(P124,COPY!$A$1:$AC$1000,29,FALSE),0)</f>
        <v>0</v>
      </c>
      <c r="S280" s="449">
        <f t="shared" si="22"/>
        <v>0</v>
      </c>
    </row>
    <row r="281" spans="1:19" ht="20.100000000000001" hidden="1" customHeight="1" x14ac:dyDescent="0.25">
      <c r="A281" s="470"/>
      <c r="B281" s="487"/>
      <c r="F281" s="488"/>
      <c r="G281" s="484"/>
      <c r="I281" s="513"/>
      <c r="J281" s="515">
        <f t="shared" si="21"/>
        <v>0</v>
      </c>
      <c r="K281" s="457"/>
      <c r="L281" s="502" t="str">
        <f t="shared" si="23"/>
        <v xml:space="preserve"> </v>
      </c>
      <c r="M281" s="467"/>
      <c r="N281" s="477">
        <f>IFERROR(VLOOKUP(P125,COPY!$A$1:$AC$1000,26,FALSE),0)</f>
        <v>0</v>
      </c>
      <c r="P281" s="448">
        <f>IFERROR(VLOOKUP(P125,COPY!$A$1:$AC$1000,29,FALSE),0)</f>
        <v>0</v>
      </c>
      <c r="S281" s="449">
        <f t="shared" si="22"/>
        <v>0</v>
      </c>
    </row>
    <row r="282" spans="1:19" ht="20.100000000000001" hidden="1" customHeight="1" x14ac:dyDescent="0.25">
      <c r="A282" s="470"/>
      <c r="B282" s="487"/>
      <c r="F282" s="488"/>
      <c r="G282" s="484"/>
      <c r="I282" s="513"/>
      <c r="J282" s="515">
        <f t="shared" si="21"/>
        <v>0</v>
      </c>
      <c r="K282" s="457"/>
      <c r="L282" s="502" t="str">
        <f t="shared" si="23"/>
        <v xml:space="preserve"> </v>
      </c>
      <c r="M282" s="467"/>
      <c r="N282" s="477">
        <f>IFERROR(VLOOKUP(P126,COPY!$A$1:$AC$1000,26,FALSE),0)</f>
        <v>0</v>
      </c>
      <c r="P282" s="448">
        <f>IFERROR(VLOOKUP(P126,COPY!$A$1:$AC$1000,29,FALSE),0)</f>
        <v>0</v>
      </c>
      <c r="S282" s="449">
        <f t="shared" si="22"/>
        <v>0</v>
      </c>
    </row>
    <row r="283" spans="1:19" ht="20.100000000000001" hidden="1" customHeight="1" x14ac:dyDescent="0.25">
      <c r="A283" s="470"/>
      <c r="B283" s="487"/>
      <c r="F283" s="488"/>
      <c r="G283" s="484"/>
      <c r="I283" s="513"/>
      <c r="J283" s="515">
        <f t="shared" si="21"/>
        <v>0</v>
      </c>
      <c r="K283" s="457"/>
      <c r="L283" s="502" t="str">
        <f t="shared" si="23"/>
        <v xml:space="preserve"> </v>
      </c>
      <c r="M283" s="467"/>
      <c r="N283" s="477">
        <f>IFERROR(VLOOKUP(P127,COPY!$A$1:$AC$1000,26,FALSE),0)</f>
        <v>0</v>
      </c>
      <c r="P283" s="448">
        <f>IFERROR(VLOOKUP(P127,COPY!$A$1:$AC$1000,29,FALSE),0)</f>
        <v>0</v>
      </c>
      <c r="S283" s="449">
        <f t="shared" si="22"/>
        <v>0</v>
      </c>
    </row>
    <row r="284" spans="1:19" ht="20.100000000000001" hidden="1" customHeight="1" x14ac:dyDescent="0.25">
      <c r="A284" s="470"/>
      <c r="B284" s="487"/>
      <c r="F284" s="488"/>
      <c r="G284" s="484"/>
      <c r="I284" s="513"/>
      <c r="J284" s="515">
        <f t="shared" si="21"/>
        <v>0</v>
      </c>
      <c r="K284" s="457"/>
      <c r="L284" s="502" t="str">
        <f t="shared" si="23"/>
        <v xml:space="preserve"> </v>
      </c>
      <c r="M284" s="467"/>
      <c r="N284" s="477">
        <f>IFERROR(VLOOKUP(P128,COPY!$A$1:$AC$1000,26,FALSE),0)</f>
        <v>0</v>
      </c>
      <c r="P284" s="448">
        <f>IFERROR(VLOOKUP(P128,COPY!$A$1:$AC$1000,29,FALSE),0)</f>
        <v>0</v>
      </c>
      <c r="S284" s="449">
        <f t="shared" si="22"/>
        <v>0</v>
      </c>
    </row>
    <row r="285" spans="1:19" ht="20.100000000000001" hidden="1" customHeight="1" x14ac:dyDescent="0.25">
      <c r="A285" s="470"/>
      <c r="B285" s="487"/>
      <c r="F285" s="488"/>
      <c r="G285" s="484"/>
      <c r="I285" s="513"/>
      <c r="J285" s="515">
        <f t="shared" si="21"/>
        <v>0</v>
      </c>
      <c r="K285" s="457"/>
      <c r="L285" s="502" t="str">
        <f t="shared" si="23"/>
        <v xml:space="preserve"> </v>
      </c>
      <c r="M285" s="467"/>
      <c r="N285" s="477">
        <f>IFERROR(VLOOKUP(P129,COPY!$A$1:$AC$1000,26,FALSE),0)</f>
        <v>0</v>
      </c>
      <c r="P285" s="448">
        <f>IFERROR(VLOOKUP(P129,COPY!$A$1:$AC$1000,29,FALSE),0)</f>
        <v>0</v>
      </c>
      <c r="S285" s="449">
        <f t="shared" si="22"/>
        <v>0</v>
      </c>
    </row>
    <row r="286" spans="1:19" ht="20.100000000000001" hidden="1" customHeight="1" x14ac:dyDescent="0.25">
      <c r="A286" s="470"/>
      <c r="B286" s="487"/>
      <c r="F286" s="488"/>
      <c r="G286" s="484"/>
      <c r="I286" s="513"/>
      <c r="J286" s="515">
        <f t="shared" si="21"/>
        <v>0</v>
      </c>
      <c r="K286" s="457"/>
      <c r="L286" s="502" t="str">
        <f t="shared" si="23"/>
        <v xml:space="preserve"> </v>
      </c>
      <c r="M286" s="467"/>
      <c r="N286" s="477">
        <f>IFERROR(VLOOKUP(P130,COPY!$A$1:$AC$1000,26,FALSE),0)</f>
        <v>0</v>
      </c>
      <c r="P286" s="448">
        <f>IFERROR(VLOOKUP(P130,COPY!$A$1:$AC$1000,29,FALSE),0)</f>
        <v>0</v>
      </c>
      <c r="S286" s="449">
        <f t="shared" si="22"/>
        <v>0</v>
      </c>
    </row>
    <row r="287" spans="1:19" ht="20.100000000000001" hidden="1" customHeight="1" x14ac:dyDescent="0.25">
      <c r="A287" s="470"/>
      <c r="B287" s="487"/>
      <c r="F287" s="488"/>
      <c r="G287" s="484"/>
      <c r="I287" s="513"/>
      <c r="J287" s="515">
        <f t="shared" si="21"/>
        <v>0</v>
      </c>
      <c r="K287" s="457"/>
      <c r="L287" s="502" t="str">
        <f t="shared" si="23"/>
        <v xml:space="preserve"> </v>
      </c>
      <c r="M287" s="467"/>
      <c r="N287" s="477">
        <f>IFERROR(VLOOKUP(P131,COPY!$A$1:$AC$1000,26,FALSE),0)</f>
        <v>0</v>
      </c>
      <c r="P287" s="448">
        <f>IFERROR(VLOOKUP(P131,COPY!$A$1:$AC$1000,29,FALSE),0)</f>
        <v>0</v>
      </c>
      <c r="S287" s="449">
        <f t="shared" si="22"/>
        <v>0</v>
      </c>
    </row>
    <row r="288" spans="1:19" ht="20.100000000000001" hidden="1" customHeight="1" x14ac:dyDescent="0.25">
      <c r="A288" s="470"/>
      <c r="B288" s="487"/>
      <c r="F288" s="488"/>
      <c r="G288" s="484"/>
      <c r="I288" s="513"/>
      <c r="J288" s="515">
        <f t="shared" si="21"/>
        <v>0</v>
      </c>
      <c r="K288" s="457"/>
      <c r="L288" s="502" t="str">
        <f t="shared" si="23"/>
        <v xml:space="preserve"> </v>
      </c>
      <c r="M288" s="467"/>
      <c r="N288" s="477">
        <f>IFERROR(VLOOKUP(P132,COPY!$A$1:$AC$1000,26,FALSE),0)</f>
        <v>0</v>
      </c>
      <c r="P288" s="448">
        <f>IFERROR(VLOOKUP(P132,COPY!$A$1:$AC$1000,29,FALSE),0)</f>
        <v>0</v>
      </c>
      <c r="S288" s="449">
        <f t="shared" si="22"/>
        <v>0</v>
      </c>
    </row>
    <row r="289" spans="1:19" ht="20.100000000000001" hidden="1" customHeight="1" x14ac:dyDescent="0.25">
      <c r="A289" s="470"/>
      <c r="B289" s="487"/>
      <c r="F289" s="488"/>
      <c r="G289" s="484"/>
      <c r="I289" s="513"/>
      <c r="J289" s="515">
        <f t="shared" si="21"/>
        <v>0</v>
      </c>
      <c r="K289" s="457"/>
      <c r="L289" s="502" t="str">
        <f t="shared" si="23"/>
        <v xml:space="preserve"> </v>
      </c>
      <c r="M289" s="467"/>
      <c r="N289" s="477">
        <f>IFERROR(VLOOKUP(P133,COPY!$A$1:$AC$1000,26,FALSE),0)</f>
        <v>0</v>
      </c>
      <c r="P289" s="448">
        <f>IFERROR(VLOOKUP(P133,COPY!$A$1:$AC$1000,29,FALSE),0)</f>
        <v>0</v>
      </c>
      <c r="S289" s="449">
        <f t="shared" si="22"/>
        <v>0</v>
      </c>
    </row>
    <row r="290" spans="1:19" ht="20.100000000000001" hidden="1" customHeight="1" x14ac:dyDescent="0.25">
      <c r="A290" s="470"/>
      <c r="B290" s="487"/>
      <c r="F290" s="488"/>
      <c r="G290" s="484"/>
      <c r="I290" s="513"/>
      <c r="J290" s="515">
        <f t="shared" si="21"/>
        <v>0</v>
      </c>
      <c r="K290" s="457"/>
      <c r="L290" s="502" t="str">
        <f t="shared" si="23"/>
        <v xml:space="preserve"> </v>
      </c>
      <c r="M290" s="467"/>
      <c r="N290" s="477">
        <f>IFERROR(VLOOKUP(P134,COPY!$A$1:$AC$1000,26,FALSE),0)</f>
        <v>0</v>
      </c>
      <c r="P290" s="448">
        <f>IFERROR(VLOOKUP(P134,COPY!$A$1:$AC$1000,29,FALSE),0)</f>
        <v>0</v>
      </c>
      <c r="S290" s="449">
        <f t="shared" si="22"/>
        <v>0</v>
      </c>
    </row>
    <row r="291" spans="1:19" ht="20.100000000000001" hidden="1" customHeight="1" x14ac:dyDescent="0.25">
      <c r="A291" s="470"/>
      <c r="B291" s="487"/>
      <c r="F291" s="488"/>
      <c r="G291" s="484"/>
      <c r="I291" s="513"/>
      <c r="J291" s="515">
        <f t="shared" si="21"/>
        <v>0</v>
      </c>
      <c r="K291" s="457"/>
      <c r="L291" s="502" t="str">
        <f t="shared" si="23"/>
        <v xml:space="preserve"> </v>
      </c>
      <c r="M291" s="467"/>
      <c r="N291" s="477">
        <f>IFERROR(VLOOKUP(P135,COPY!$A$1:$AC$1000,26,FALSE),0)</f>
        <v>0</v>
      </c>
      <c r="P291" s="448">
        <f>IFERROR(VLOOKUP(P135,COPY!$A$1:$AC$1000,29,FALSE),0)</f>
        <v>0</v>
      </c>
      <c r="S291" s="449">
        <f t="shared" si="22"/>
        <v>0</v>
      </c>
    </row>
    <row r="292" spans="1:19" ht="20.100000000000001" hidden="1" customHeight="1" x14ac:dyDescent="0.25">
      <c r="A292" s="470"/>
      <c r="B292" s="487"/>
      <c r="F292" s="488"/>
      <c r="G292" s="484"/>
      <c r="I292" s="513"/>
      <c r="J292" s="515">
        <f t="shared" si="21"/>
        <v>0</v>
      </c>
      <c r="K292" s="457"/>
      <c r="L292" s="502" t="str">
        <f t="shared" si="23"/>
        <v xml:space="preserve"> </v>
      </c>
      <c r="M292" s="467"/>
      <c r="N292" s="477">
        <f>IFERROR(VLOOKUP(P136,COPY!$A$1:$AC$1000,26,FALSE),0)</f>
        <v>0</v>
      </c>
      <c r="P292" s="448">
        <f>IFERROR(VLOOKUP(P136,COPY!$A$1:$AC$1000,29,FALSE),0)</f>
        <v>0</v>
      </c>
      <c r="S292" s="449">
        <f t="shared" si="22"/>
        <v>0</v>
      </c>
    </row>
    <row r="293" spans="1:19" ht="20.100000000000001" hidden="1" customHeight="1" x14ac:dyDescent="0.25">
      <c r="A293" s="470"/>
      <c r="B293" s="487"/>
      <c r="F293" s="488"/>
      <c r="G293" s="484"/>
      <c r="I293" s="513"/>
      <c r="J293" s="515">
        <f t="shared" si="21"/>
        <v>0</v>
      </c>
      <c r="K293" s="457"/>
      <c r="L293" s="502" t="str">
        <f t="shared" si="23"/>
        <v xml:space="preserve"> </v>
      </c>
      <c r="M293" s="467"/>
      <c r="N293" s="477">
        <f>IFERROR(VLOOKUP(P137,COPY!$A$1:$AC$1000,26,FALSE),0)</f>
        <v>0</v>
      </c>
      <c r="P293" s="448">
        <f>IFERROR(VLOOKUP(P137,COPY!$A$1:$AC$1000,29,FALSE),0)</f>
        <v>0</v>
      </c>
      <c r="S293" s="449">
        <f t="shared" si="22"/>
        <v>0</v>
      </c>
    </row>
    <row r="294" spans="1:19" ht="20.100000000000001" hidden="1" customHeight="1" x14ac:dyDescent="0.25">
      <c r="A294" s="470"/>
      <c r="B294" s="487"/>
      <c r="F294" s="488"/>
      <c r="G294" s="484"/>
      <c r="I294" s="513"/>
      <c r="J294" s="515">
        <f t="shared" si="21"/>
        <v>0</v>
      </c>
      <c r="K294" s="457"/>
      <c r="L294" s="502" t="str">
        <f t="shared" si="23"/>
        <v xml:space="preserve"> </v>
      </c>
      <c r="M294" s="467"/>
      <c r="N294" s="477">
        <f>IFERROR(VLOOKUP(P138,COPY!$A$1:$AC$1000,26,FALSE),0)</f>
        <v>0</v>
      </c>
      <c r="P294" s="448">
        <f>IFERROR(VLOOKUP(P138,COPY!$A$1:$AC$1000,29,FALSE),0)</f>
        <v>0</v>
      </c>
      <c r="S294" s="449">
        <f t="shared" si="22"/>
        <v>0</v>
      </c>
    </row>
    <row r="295" spans="1:19" ht="20.100000000000001" hidden="1" customHeight="1" x14ac:dyDescent="0.25">
      <c r="A295" s="470"/>
      <c r="B295" s="487"/>
      <c r="F295" s="488"/>
      <c r="G295" s="484"/>
      <c r="I295" s="513"/>
      <c r="J295" s="515">
        <f t="shared" si="21"/>
        <v>0</v>
      </c>
      <c r="K295" s="457"/>
      <c r="L295" s="502" t="str">
        <f t="shared" si="23"/>
        <v xml:space="preserve"> </v>
      </c>
      <c r="M295" s="467"/>
      <c r="N295" s="477">
        <f>IFERROR(VLOOKUP(P139,COPY!$A$1:$AC$1000,26,FALSE),0)</f>
        <v>0</v>
      </c>
      <c r="P295" s="448">
        <f>IFERROR(VLOOKUP(P139,COPY!$A$1:$AC$1000,29,FALSE),0)</f>
        <v>0</v>
      </c>
      <c r="S295" s="449">
        <f t="shared" si="22"/>
        <v>0</v>
      </c>
    </row>
    <row r="296" spans="1:19" ht="20.100000000000001" hidden="1" customHeight="1" x14ac:dyDescent="0.25">
      <c r="A296" s="470"/>
      <c r="B296" s="487"/>
      <c r="F296" s="488"/>
      <c r="G296" s="484"/>
      <c r="I296" s="513"/>
      <c r="J296" s="515">
        <f t="shared" si="21"/>
        <v>0</v>
      </c>
      <c r="K296" s="457"/>
      <c r="L296" s="502" t="str">
        <f t="shared" si="23"/>
        <v xml:space="preserve"> </v>
      </c>
      <c r="M296" s="467"/>
      <c r="N296" s="477">
        <f>IFERROR(VLOOKUP(P140,COPY!$A$1:$AC$1000,26,FALSE),0)</f>
        <v>0</v>
      </c>
      <c r="P296" s="448">
        <f>IFERROR(VLOOKUP(P140,COPY!$A$1:$AC$1000,29,FALSE),0)</f>
        <v>0</v>
      </c>
      <c r="S296" s="449">
        <f t="shared" si="22"/>
        <v>0</v>
      </c>
    </row>
    <row r="297" spans="1:19" ht="20.100000000000001" hidden="1" customHeight="1" x14ac:dyDescent="0.25">
      <c r="A297" s="470"/>
      <c r="B297" s="487"/>
      <c r="F297" s="488"/>
      <c r="G297" s="484"/>
      <c r="I297" s="513"/>
      <c r="J297" s="515">
        <f t="shared" si="21"/>
        <v>0</v>
      </c>
      <c r="K297" s="457"/>
      <c r="L297" s="502" t="str">
        <f t="shared" si="23"/>
        <v xml:space="preserve"> </v>
      </c>
      <c r="M297" s="467"/>
      <c r="N297" s="477">
        <f>IFERROR(VLOOKUP(P141,COPY!$A$1:$AC$1000,26,FALSE),0)</f>
        <v>0</v>
      </c>
      <c r="P297" s="448">
        <f>IFERROR(VLOOKUP(P141,COPY!$A$1:$AC$1000,29,FALSE),0)</f>
        <v>0</v>
      </c>
      <c r="S297" s="449">
        <f t="shared" si="22"/>
        <v>0</v>
      </c>
    </row>
    <row r="298" spans="1:19" ht="20.100000000000001" hidden="1" customHeight="1" x14ac:dyDescent="0.25">
      <c r="A298" s="470"/>
      <c r="B298" s="487"/>
      <c r="F298" s="488"/>
      <c r="G298" s="484"/>
      <c r="I298" s="513"/>
      <c r="J298" s="515">
        <f t="shared" si="21"/>
        <v>0</v>
      </c>
      <c r="K298" s="457"/>
      <c r="L298" s="502" t="str">
        <f t="shared" si="23"/>
        <v xml:space="preserve"> </v>
      </c>
      <c r="M298" s="467"/>
      <c r="N298" s="477">
        <f>IFERROR(VLOOKUP(P142,COPY!$A$1:$AC$1000,26,FALSE),0)</f>
        <v>0</v>
      </c>
      <c r="P298" s="448">
        <f>IFERROR(VLOOKUP(P142,COPY!$A$1:$AC$1000,29,FALSE),0)</f>
        <v>0</v>
      </c>
      <c r="S298" s="449">
        <f t="shared" si="22"/>
        <v>0</v>
      </c>
    </row>
    <row r="299" spans="1:19" ht="20.100000000000001" hidden="1" customHeight="1" x14ac:dyDescent="0.25">
      <c r="A299" s="470"/>
      <c r="B299" s="487"/>
      <c r="F299" s="488"/>
      <c r="G299" s="484"/>
      <c r="I299" s="513"/>
      <c r="J299" s="515">
        <f t="shared" si="21"/>
        <v>0</v>
      </c>
      <c r="K299" s="457"/>
      <c r="L299" s="502" t="str">
        <f t="shared" si="23"/>
        <v xml:space="preserve"> </v>
      </c>
      <c r="M299" s="467"/>
      <c r="N299" s="477">
        <f>IFERROR(VLOOKUP(P143,COPY!$A$1:$AC$1000,26,FALSE),0)</f>
        <v>0</v>
      </c>
      <c r="P299" s="448">
        <f>IFERROR(VLOOKUP(P143,COPY!$A$1:$AC$1000,29,FALSE),0)</f>
        <v>0</v>
      </c>
      <c r="S299" s="449">
        <f t="shared" si="22"/>
        <v>0</v>
      </c>
    </row>
    <row r="300" spans="1:19" ht="20.100000000000001" hidden="1" customHeight="1" x14ac:dyDescent="0.25">
      <c r="A300" s="470"/>
      <c r="B300" s="487"/>
      <c r="F300" s="488"/>
      <c r="G300" s="484"/>
      <c r="I300" s="513"/>
      <c r="J300" s="515">
        <f t="shared" si="21"/>
        <v>0</v>
      </c>
      <c r="K300" s="457"/>
      <c r="L300" s="502" t="str">
        <f t="shared" si="23"/>
        <v xml:space="preserve"> </v>
      </c>
      <c r="M300" s="467"/>
      <c r="N300" s="477">
        <f>IFERROR(VLOOKUP(P144,COPY!$A$1:$AC$1000,26,FALSE),0)</f>
        <v>0</v>
      </c>
      <c r="P300" s="448">
        <f>IFERROR(VLOOKUP(P144,COPY!$A$1:$AC$1000,29,FALSE),0)</f>
        <v>0</v>
      </c>
      <c r="S300" s="449">
        <f t="shared" si="22"/>
        <v>0</v>
      </c>
    </row>
    <row r="301" spans="1:19" ht="20.100000000000001" hidden="1" customHeight="1" x14ac:dyDescent="0.25">
      <c r="A301" s="470"/>
      <c r="B301" s="487"/>
      <c r="F301" s="488"/>
      <c r="G301" s="484"/>
      <c r="I301" s="513"/>
      <c r="J301" s="515">
        <f t="shared" si="21"/>
        <v>0</v>
      </c>
      <c r="K301" s="457"/>
      <c r="L301" s="502" t="str">
        <f t="shared" si="23"/>
        <v xml:space="preserve"> </v>
      </c>
      <c r="M301" s="467"/>
      <c r="N301" s="477">
        <f>IFERROR(VLOOKUP(P145,COPY!$A$1:$AC$1000,26,FALSE),0)</f>
        <v>0</v>
      </c>
      <c r="P301" s="448">
        <f>IFERROR(VLOOKUP(P145,COPY!$A$1:$AC$1000,29,FALSE),0)</f>
        <v>0</v>
      </c>
      <c r="S301" s="449">
        <f t="shared" si="22"/>
        <v>0</v>
      </c>
    </row>
    <row r="302" spans="1:19" ht="20.100000000000001" hidden="1" customHeight="1" x14ac:dyDescent="0.25">
      <c r="A302" s="470"/>
      <c r="B302" s="487"/>
      <c r="F302" s="488"/>
      <c r="G302" s="484"/>
      <c r="I302" s="513"/>
      <c r="J302" s="515">
        <f t="shared" si="21"/>
        <v>0</v>
      </c>
      <c r="K302" s="457"/>
      <c r="L302" s="502" t="str">
        <f t="shared" si="23"/>
        <v xml:space="preserve"> </v>
      </c>
      <c r="M302" s="467"/>
      <c r="N302" s="477">
        <f>IFERROR(VLOOKUP(P146,COPY!$A$1:$AC$1000,26,FALSE),0)</f>
        <v>0</v>
      </c>
      <c r="P302" s="448">
        <f>IFERROR(VLOOKUP(P146,COPY!$A$1:$AC$1000,29,FALSE),0)</f>
        <v>0</v>
      </c>
      <c r="S302" s="449">
        <f t="shared" si="22"/>
        <v>0</v>
      </c>
    </row>
    <row r="303" spans="1:19" ht="20.100000000000001" hidden="1" customHeight="1" x14ac:dyDescent="0.25">
      <c r="A303" s="470"/>
      <c r="B303" s="487"/>
      <c r="F303" s="488"/>
      <c r="G303" s="484"/>
      <c r="I303" s="513"/>
      <c r="J303" s="515">
        <f t="shared" si="21"/>
        <v>0</v>
      </c>
      <c r="K303" s="457"/>
      <c r="L303" s="502" t="str">
        <f t="shared" si="23"/>
        <v xml:space="preserve"> </v>
      </c>
      <c r="M303" s="467"/>
      <c r="N303" s="477">
        <f>IFERROR(VLOOKUP(P147,COPY!$A$1:$AC$1000,26,FALSE),0)</f>
        <v>0</v>
      </c>
      <c r="P303" s="448">
        <f>IFERROR(VLOOKUP(P147,COPY!$A$1:$AC$1000,29,FALSE),0)</f>
        <v>0</v>
      </c>
      <c r="S303" s="449">
        <f t="shared" si="22"/>
        <v>0</v>
      </c>
    </row>
    <row r="304" spans="1:19" ht="20.100000000000001" hidden="1" customHeight="1" x14ac:dyDescent="0.25">
      <c r="A304" s="470"/>
      <c r="B304" s="487"/>
      <c r="F304" s="488"/>
      <c r="G304" s="484"/>
      <c r="I304" s="513"/>
      <c r="J304" s="515">
        <f t="shared" si="21"/>
        <v>0</v>
      </c>
      <c r="K304" s="457"/>
      <c r="L304" s="502" t="str">
        <f t="shared" si="23"/>
        <v xml:space="preserve"> </v>
      </c>
      <c r="M304" s="467"/>
      <c r="N304" s="477">
        <f>IFERROR(VLOOKUP(P148,COPY!$A$1:$AC$1000,26,FALSE),0)</f>
        <v>0</v>
      </c>
      <c r="P304" s="448">
        <f>IFERROR(VLOOKUP(P148,COPY!$A$1:$AC$1000,29,FALSE),0)</f>
        <v>0</v>
      </c>
      <c r="S304" s="449">
        <f t="shared" si="22"/>
        <v>0</v>
      </c>
    </row>
    <row r="305" spans="1:19" ht="20.100000000000001" hidden="1" customHeight="1" x14ac:dyDescent="0.25">
      <c r="A305" s="470"/>
      <c r="B305" s="487"/>
      <c r="F305" s="488"/>
      <c r="G305" s="484"/>
      <c r="I305" s="513"/>
      <c r="J305" s="515">
        <f t="shared" si="21"/>
        <v>0</v>
      </c>
      <c r="K305" s="457"/>
      <c r="L305" s="502" t="str">
        <f t="shared" si="23"/>
        <v xml:space="preserve"> </v>
      </c>
      <c r="M305" s="467"/>
      <c r="N305" s="477">
        <f>IFERROR(VLOOKUP(P149,COPY!$A$1:$AC$1000,26,FALSE),0)</f>
        <v>0</v>
      </c>
      <c r="P305" s="448">
        <f>IFERROR(VLOOKUP(P149,COPY!$A$1:$AC$1000,29,FALSE),0)</f>
        <v>0</v>
      </c>
      <c r="S305" s="449">
        <f t="shared" si="22"/>
        <v>0</v>
      </c>
    </row>
    <row r="306" spans="1:19" ht="20.100000000000001" hidden="1" customHeight="1" x14ac:dyDescent="0.25">
      <c r="A306" s="470"/>
      <c r="B306" s="487"/>
      <c r="F306" s="488"/>
      <c r="G306" s="484"/>
      <c r="I306" s="513"/>
      <c r="J306" s="515">
        <f t="shared" si="21"/>
        <v>0</v>
      </c>
      <c r="K306" s="457"/>
      <c r="L306" s="502" t="str">
        <f t="shared" si="23"/>
        <v xml:space="preserve"> </v>
      </c>
      <c r="M306" s="467"/>
      <c r="N306" s="477">
        <f>IFERROR(VLOOKUP(P150,COPY!$A$1:$AC$1000,26,FALSE),0)</f>
        <v>0</v>
      </c>
      <c r="P306" s="448">
        <f>IFERROR(VLOOKUP(P150,COPY!$A$1:$AC$1000,29,FALSE),0)</f>
        <v>0</v>
      </c>
      <c r="S306" s="449">
        <f t="shared" si="22"/>
        <v>0</v>
      </c>
    </row>
    <row r="307" spans="1:19" ht="20.100000000000001" hidden="1" customHeight="1" x14ac:dyDescent="0.25">
      <c r="A307" s="470"/>
      <c r="B307" s="487"/>
      <c r="F307" s="488"/>
      <c r="G307" s="484"/>
      <c r="I307" s="513"/>
      <c r="J307" s="515">
        <f t="shared" si="21"/>
        <v>0</v>
      </c>
      <c r="K307" s="457"/>
      <c r="L307" s="502" t="str">
        <f t="shared" si="23"/>
        <v xml:space="preserve"> </v>
      </c>
      <c r="M307" s="467"/>
      <c r="N307" s="477">
        <f>IFERROR(VLOOKUP(P151,COPY!$A$1:$AC$1000,26,FALSE),0)</f>
        <v>0</v>
      </c>
      <c r="P307" s="448">
        <f>IFERROR(VLOOKUP(P151,COPY!$A$1:$AC$1000,29,FALSE),0)</f>
        <v>0</v>
      </c>
      <c r="S307" s="449">
        <f t="shared" si="22"/>
        <v>0</v>
      </c>
    </row>
    <row r="308" spans="1:19" ht="20.100000000000001" hidden="1" customHeight="1" x14ac:dyDescent="0.25">
      <c r="A308" s="470"/>
      <c r="B308" s="487"/>
      <c r="F308" s="488"/>
      <c r="G308" s="484"/>
      <c r="I308" s="513"/>
      <c r="J308" s="515">
        <f t="shared" si="21"/>
        <v>0</v>
      </c>
      <c r="K308" s="457"/>
      <c r="L308" s="502" t="str">
        <f t="shared" si="23"/>
        <v xml:space="preserve"> </v>
      </c>
      <c r="M308" s="467"/>
      <c r="N308" s="477">
        <f>IFERROR(VLOOKUP(P152,COPY!$A$1:$AC$1000,26,FALSE),0)</f>
        <v>0</v>
      </c>
      <c r="P308" s="448">
        <f>IFERROR(VLOOKUP(P152,COPY!$A$1:$AC$1000,29,FALSE),0)</f>
        <v>0</v>
      </c>
      <c r="S308" s="449">
        <f t="shared" si="22"/>
        <v>0</v>
      </c>
    </row>
    <row r="309" spans="1:19" ht="20.100000000000001" hidden="1" customHeight="1" x14ac:dyDescent="0.25">
      <c r="A309" s="470"/>
      <c r="B309" s="487"/>
      <c r="F309" s="488"/>
      <c r="G309" s="484"/>
      <c r="I309" s="513"/>
      <c r="J309" s="515">
        <f t="shared" si="21"/>
        <v>0</v>
      </c>
      <c r="K309" s="457"/>
      <c r="L309" s="502" t="str">
        <f t="shared" si="23"/>
        <v xml:space="preserve"> </v>
      </c>
      <c r="M309" s="467"/>
      <c r="N309" s="477">
        <f>IFERROR(VLOOKUP(P153,COPY!$A$1:$AC$1000,26,FALSE),0)</f>
        <v>0</v>
      </c>
      <c r="P309" s="448">
        <f>IFERROR(VLOOKUP(P153,COPY!$A$1:$AC$1000,29,FALSE),0)</f>
        <v>0</v>
      </c>
      <c r="S309" s="449">
        <f t="shared" si="22"/>
        <v>0</v>
      </c>
    </row>
    <row r="310" spans="1:19" ht="20.100000000000001" hidden="1" customHeight="1" x14ac:dyDescent="0.25">
      <c r="A310" s="470"/>
      <c r="B310" s="487"/>
      <c r="F310" s="488"/>
      <c r="G310" s="484"/>
      <c r="I310" s="513"/>
      <c r="J310" s="515">
        <f t="shared" si="21"/>
        <v>0</v>
      </c>
      <c r="K310" s="457"/>
      <c r="L310" s="502" t="str">
        <f t="shared" si="23"/>
        <v xml:space="preserve"> </v>
      </c>
      <c r="M310" s="467"/>
      <c r="N310" s="477">
        <f>IFERROR(VLOOKUP(P154,COPY!$A$1:$AC$1000,26,FALSE),0)</f>
        <v>0</v>
      </c>
      <c r="P310" s="448">
        <f>IFERROR(VLOOKUP(P154,COPY!$A$1:$AC$1000,29,FALSE),0)</f>
        <v>0</v>
      </c>
      <c r="S310" s="449">
        <f t="shared" si="22"/>
        <v>0</v>
      </c>
    </row>
    <row r="311" spans="1:19" ht="20.100000000000001" hidden="1" customHeight="1" x14ac:dyDescent="0.25">
      <c r="A311" s="470"/>
      <c r="B311" s="487"/>
      <c r="F311" s="488"/>
      <c r="G311" s="484"/>
      <c r="I311" s="513"/>
      <c r="J311" s="515">
        <f t="shared" si="21"/>
        <v>0</v>
      </c>
      <c r="K311" s="457"/>
      <c r="L311" s="502" t="str">
        <f t="shared" si="23"/>
        <v xml:space="preserve"> </v>
      </c>
      <c r="M311" s="467"/>
      <c r="N311" s="477">
        <f>IFERROR(VLOOKUP(P155,COPY!$A$1:$AC$1000,26,FALSE),0)</f>
        <v>0</v>
      </c>
      <c r="P311" s="448">
        <f>IFERROR(VLOOKUP(P155,COPY!$A$1:$AC$1000,29,FALSE),0)</f>
        <v>0</v>
      </c>
      <c r="S311" s="449">
        <f t="shared" si="22"/>
        <v>0</v>
      </c>
    </row>
    <row r="312" spans="1:19" ht="20.100000000000001" hidden="1" customHeight="1" x14ac:dyDescent="0.25">
      <c r="A312" s="470"/>
      <c r="B312" s="487"/>
      <c r="F312" s="488"/>
      <c r="G312" s="484"/>
      <c r="I312" s="513"/>
      <c r="J312" s="515">
        <f t="shared" si="21"/>
        <v>0</v>
      </c>
      <c r="K312" s="457"/>
      <c r="L312" s="502" t="str">
        <f t="shared" si="23"/>
        <v xml:space="preserve"> </v>
      </c>
      <c r="M312" s="467"/>
      <c r="N312" s="477">
        <f>IFERROR(VLOOKUP(P156,COPY!$A$1:$AC$1000,26,FALSE),0)</f>
        <v>0</v>
      </c>
      <c r="P312" s="448">
        <f>IFERROR(VLOOKUP(P156,COPY!$A$1:$AC$1000,29,FALSE),0)</f>
        <v>0</v>
      </c>
      <c r="S312" s="449">
        <f t="shared" si="22"/>
        <v>0</v>
      </c>
    </row>
    <row r="313" spans="1:19" ht="20.100000000000001" hidden="1" customHeight="1" x14ac:dyDescent="0.25">
      <c r="A313" s="470"/>
      <c r="B313" s="487"/>
      <c r="F313" s="488"/>
      <c r="G313" s="484"/>
      <c r="I313" s="513"/>
      <c r="J313" s="515">
        <f t="shared" si="21"/>
        <v>0</v>
      </c>
      <c r="K313" s="457"/>
      <c r="L313" s="502" t="str">
        <f t="shared" si="23"/>
        <v xml:space="preserve"> </v>
      </c>
      <c r="M313" s="467"/>
      <c r="N313" s="477">
        <f>IFERROR(VLOOKUP(P157,COPY!$A$1:$AC$1000,26,FALSE),0)</f>
        <v>0</v>
      </c>
      <c r="P313" s="448">
        <f>IFERROR(VLOOKUP(P157,COPY!$A$1:$AC$1000,29,FALSE),0)</f>
        <v>0</v>
      </c>
      <c r="S313" s="449">
        <f t="shared" si="22"/>
        <v>0</v>
      </c>
    </row>
    <row r="314" spans="1:19" ht="20.100000000000001" hidden="1" customHeight="1" x14ac:dyDescent="0.25">
      <c r="A314" s="470"/>
      <c r="B314" s="487"/>
      <c r="F314" s="488"/>
      <c r="G314" s="484"/>
      <c r="I314" s="513"/>
      <c r="J314" s="515">
        <f t="shared" si="21"/>
        <v>0</v>
      </c>
      <c r="K314" s="457"/>
      <c r="L314" s="502" t="str">
        <f t="shared" si="23"/>
        <v xml:space="preserve"> </v>
      </c>
      <c r="M314" s="467"/>
      <c r="N314" s="477">
        <f>IFERROR(VLOOKUP(P158,COPY!$A$1:$AC$1000,26,FALSE),0)</f>
        <v>0</v>
      </c>
      <c r="P314" s="448">
        <f>IFERROR(VLOOKUP(P158,COPY!$A$1:$AC$1000,29,FALSE),0)</f>
        <v>0</v>
      </c>
      <c r="S314" s="449">
        <f t="shared" si="22"/>
        <v>0</v>
      </c>
    </row>
    <row r="315" spans="1:19" ht="20.100000000000001" hidden="1" customHeight="1" x14ac:dyDescent="0.25">
      <c r="A315" s="470"/>
      <c r="B315" s="487"/>
      <c r="F315" s="488"/>
      <c r="G315" s="484"/>
      <c r="I315" s="513"/>
      <c r="J315" s="515">
        <f t="shared" si="21"/>
        <v>0</v>
      </c>
      <c r="K315" s="457"/>
      <c r="L315" s="502" t="str">
        <f t="shared" si="23"/>
        <v xml:space="preserve"> </v>
      </c>
      <c r="M315" s="467"/>
      <c r="N315" s="477">
        <f>IFERROR(VLOOKUP(P159,COPY!$A$1:$AC$1000,26,FALSE),0)</f>
        <v>0</v>
      </c>
      <c r="P315" s="448">
        <f>IFERROR(VLOOKUP(P159,COPY!$A$1:$AC$1000,29,FALSE),0)</f>
        <v>0</v>
      </c>
      <c r="S315" s="449">
        <f t="shared" si="22"/>
        <v>0</v>
      </c>
    </row>
    <row r="316" spans="1:19" ht="20.100000000000001" hidden="1" customHeight="1" x14ac:dyDescent="0.25">
      <c r="A316" s="470"/>
      <c r="B316" s="487"/>
      <c r="F316" s="488"/>
      <c r="G316" s="484"/>
      <c r="I316" s="513"/>
      <c r="J316" s="515">
        <f t="shared" ref="J316:J339" si="24">S316</f>
        <v>0</v>
      </c>
      <c r="K316" s="457"/>
      <c r="L316" s="502" t="str">
        <f t="shared" si="23"/>
        <v xml:space="preserve"> </v>
      </c>
      <c r="M316" s="467"/>
      <c r="N316" s="477">
        <f>IFERROR(VLOOKUP(P160,COPY!$A$1:$AC$1000,26,FALSE),0)</f>
        <v>0</v>
      </c>
      <c r="P316" s="448">
        <f>IFERROR(VLOOKUP(P160,COPY!$A$1:$AC$1000,29,FALSE),0)</f>
        <v>0</v>
      </c>
      <c r="S316" s="449">
        <f t="shared" si="22"/>
        <v>0</v>
      </c>
    </row>
    <row r="317" spans="1:19" ht="20.100000000000001" hidden="1" customHeight="1" x14ac:dyDescent="0.25">
      <c r="A317" s="470"/>
      <c r="B317" s="487"/>
      <c r="F317" s="488"/>
      <c r="G317" s="484"/>
      <c r="I317" s="513"/>
      <c r="J317" s="515">
        <f t="shared" si="24"/>
        <v>0</v>
      </c>
      <c r="K317" s="457"/>
      <c r="L317" s="502" t="str">
        <f t="shared" si="23"/>
        <v xml:space="preserve"> </v>
      </c>
      <c r="M317" s="467"/>
      <c r="N317" s="477">
        <f>IFERROR(VLOOKUP(P161,COPY!$A$1:$AC$1000,26,FALSE),0)</f>
        <v>0</v>
      </c>
      <c r="P317" s="448">
        <f>IFERROR(VLOOKUP(P161,COPY!$A$1:$AC$1000,29,FALSE),0)</f>
        <v>0</v>
      </c>
      <c r="S317" s="449">
        <f t="shared" ref="S317:S340" si="25">IF(LEFT(P317,6)="Terima",REPLACE(P317,1,6,"Bayar"),P317)</f>
        <v>0</v>
      </c>
    </row>
    <row r="318" spans="1:19" ht="20.100000000000001" hidden="1" customHeight="1" x14ac:dyDescent="0.25">
      <c r="A318" s="470"/>
      <c r="B318" s="487"/>
      <c r="F318" s="488"/>
      <c r="G318" s="484"/>
      <c r="I318" s="513"/>
      <c r="J318" s="515">
        <f t="shared" si="24"/>
        <v>0</v>
      </c>
      <c r="K318" s="457"/>
      <c r="L318" s="502" t="str">
        <f t="shared" si="23"/>
        <v xml:space="preserve"> </v>
      </c>
      <c r="M318" s="467"/>
      <c r="N318" s="477">
        <f>IFERROR(VLOOKUP(P162,COPY!$A$1:$AC$1000,26,FALSE),0)</f>
        <v>0</v>
      </c>
      <c r="P318" s="448">
        <f>IFERROR(VLOOKUP(P162,COPY!$A$1:$AC$1000,29,FALSE),0)</f>
        <v>0</v>
      </c>
      <c r="S318" s="449">
        <f t="shared" si="25"/>
        <v>0</v>
      </c>
    </row>
    <row r="319" spans="1:19" ht="20.100000000000001" hidden="1" customHeight="1" x14ac:dyDescent="0.25">
      <c r="A319" s="470"/>
      <c r="B319" s="487"/>
      <c r="F319" s="488"/>
      <c r="G319" s="484"/>
      <c r="I319" s="513"/>
      <c r="J319" s="515">
        <f t="shared" si="24"/>
        <v>0</v>
      </c>
      <c r="K319" s="457"/>
      <c r="L319" s="502" t="str">
        <f t="shared" si="23"/>
        <v xml:space="preserve"> </v>
      </c>
      <c r="M319" s="467"/>
      <c r="N319" s="477">
        <f>IFERROR(VLOOKUP(P163,COPY!$A$1:$AC$1000,26,FALSE),0)</f>
        <v>0</v>
      </c>
      <c r="P319" s="448">
        <f>IFERROR(VLOOKUP(P163,COPY!$A$1:$AC$1000,29,FALSE),0)</f>
        <v>0</v>
      </c>
      <c r="S319" s="449">
        <f t="shared" si="25"/>
        <v>0</v>
      </c>
    </row>
    <row r="320" spans="1:19" ht="20.100000000000001" hidden="1" customHeight="1" x14ac:dyDescent="0.25">
      <c r="A320" s="470"/>
      <c r="B320" s="487"/>
      <c r="F320" s="488"/>
      <c r="G320" s="484"/>
      <c r="I320" s="513"/>
      <c r="J320" s="515">
        <f t="shared" si="24"/>
        <v>0</v>
      </c>
      <c r="K320" s="457"/>
      <c r="L320" s="502" t="str">
        <f t="shared" si="23"/>
        <v xml:space="preserve"> </v>
      </c>
      <c r="M320" s="467"/>
      <c r="N320" s="477">
        <f>IFERROR(VLOOKUP(P164,COPY!$A$1:$AC$1000,26,FALSE),0)</f>
        <v>0</v>
      </c>
      <c r="P320" s="448">
        <f>IFERROR(VLOOKUP(P164,COPY!$A$1:$AC$1000,29,FALSE),0)</f>
        <v>0</v>
      </c>
      <c r="S320" s="449">
        <f t="shared" si="25"/>
        <v>0</v>
      </c>
    </row>
    <row r="321" spans="1:19" ht="20.100000000000001" hidden="1" customHeight="1" x14ac:dyDescent="0.25">
      <c r="A321" s="470"/>
      <c r="B321" s="487"/>
      <c r="F321" s="488"/>
      <c r="G321" s="484"/>
      <c r="I321" s="513"/>
      <c r="J321" s="515">
        <f t="shared" si="24"/>
        <v>0</v>
      </c>
      <c r="K321" s="457"/>
      <c r="L321" s="502" t="str">
        <f t="shared" ref="L321:L340" si="26">IF(LEFT(J321,15)="Bayar Pajak PPN",1,IF(LEFT(J321,15)="Bayar Pajak PPH",2,IF(LEFT(J321,21)="Bayar Pajak Final PPH",3," ")))</f>
        <v xml:space="preserve"> </v>
      </c>
      <c r="M321" s="467"/>
      <c r="N321" s="477">
        <f>IFERROR(VLOOKUP(P165,COPY!$A$1:$AC$1000,26,FALSE),0)</f>
        <v>0</v>
      </c>
      <c r="P321" s="448">
        <f>IFERROR(VLOOKUP(P165,COPY!$A$1:$AC$1000,29,FALSE),0)</f>
        <v>0</v>
      </c>
      <c r="S321" s="449">
        <f t="shared" si="25"/>
        <v>0</v>
      </c>
    </row>
    <row r="322" spans="1:19" ht="20.100000000000001" hidden="1" customHeight="1" x14ac:dyDescent="0.25">
      <c r="A322" s="470"/>
      <c r="B322" s="487"/>
      <c r="F322" s="488"/>
      <c r="G322" s="484"/>
      <c r="I322" s="513"/>
      <c r="J322" s="515">
        <f t="shared" si="24"/>
        <v>0</v>
      </c>
      <c r="K322" s="457"/>
      <c r="L322" s="502" t="str">
        <f t="shared" si="26"/>
        <v xml:space="preserve"> </v>
      </c>
      <c r="M322" s="467"/>
      <c r="N322" s="477">
        <f>IFERROR(VLOOKUP(P166,COPY!$A$1:$AC$1000,26,FALSE),0)</f>
        <v>0</v>
      </c>
      <c r="P322" s="448">
        <f>IFERROR(VLOOKUP(P166,COPY!$A$1:$AC$1000,29,FALSE),0)</f>
        <v>0</v>
      </c>
      <c r="S322" s="449">
        <f t="shared" si="25"/>
        <v>0</v>
      </c>
    </row>
    <row r="323" spans="1:19" ht="20.100000000000001" hidden="1" customHeight="1" x14ac:dyDescent="0.25">
      <c r="A323" s="470"/>
      <c r="B323" s="487"/>
      <c r="F323" s="488"/>
      <c r="G323" s="484"/>
      <c r="I323" s="513"/>
      <c r="J323" s="515">
        <f t="shared" si="24"/>
        <v>0</v>
      </c>
      <c r="K323" s="457"/>
      <c r="L323" s="502" t="str">
        <f t="shared" si="26"/>
        <v xml:space="preserve"> </v>
      </c>
      <c r="M323" s="467"/>
      <c r="N323" s="477">
        <f>IFERROR(VLOOKUP(P167,COPY!$A$1:$AC$1000,26,FALSE),0)</f>
        <v>0</v>
      </c>
      <c r="P323" s="448">
        <f>IFERROR(VLOOKUP(P167,COPY!$A$1:$AC$1000,29,FALSE),0)</f>
        <v>0</v>
      </c>
      <c r="S323" s="449">
        <f t="shared" si="25"/>
        <v>0</v>
      </c>
    </row>
    <row r="324" spans="1:19" ht="20.100000000000001" hidden="1" customHeight="1" x14ac:dyDescent="0.25">
      <c r="A324" s="470"/>
      <c r="B324" s="487"/>
      <c r="F324" s="488"/>
      <c r="G324" s="484"/>
      <c r="I324" s="513"/>
      <c r="J324" s="515">
        <f t="shared" si="24"/>
        <v>0</v>
      </c>
      <c r="K324" s="457"/>
      <c r="L324" s="502" t="str">
        <f t="shared" si="26"/>
        <v xml:space="preserve"> </v>
      </c>
      <c r="M324" s="467"/>
      <c r="N324" s="477">
        <f>IFERROR(VLOOKUP(P168,COPY!$A$1:$AC$1000,26,FALSE),0)</f>
        <v>0</v>
      </c>
      <c r="P324" s="448">
        <f>IFERROR(VLOOKUP(P168,COPY!$A$1:$AC$1000,29,FALSE),0)</f>
        <v>0</v>
      </c>
      <c r="S324" s="449">
        <f t="shared" si="25"/>
        <v>0</v>
      </c>
    </row>
    <row r="325" spans="1:19" ht="20.100000000000001" hidden="1" customHeight="1" x14ac:dyDescent="0.25">
      <c r="A325" s="470"/>
      <c r="B325" s="487"/>
      <c r="F325" s="488"/>
      <c r="G325" s="484"/>
      <c r="I325" s="513"/>
      <c r="J325" s="515">
        <f t="shared" si="24"/>
        <v>0</v>
      </c>
      <c r="K325" s="457"/>
      <c r="L325" s="502" t="str">
        <f t="shared" si="26"/>
        <v xml:space="preserve"> </v>
      </c>
      <c r="M325" s="467"/>
      <c r="N325" s="477">
        <f>IFERROR(VLOOKUP(P169,COPY!$A$1:$AC$1000,26,FALSE),0)</f>
        <v>0</v>
      </c>
      <c r="P325" s="448">
        <f>IFERROR(VLOOKUP(P169,COPY!$A$1:$AC$1000,29,FALSE),0)</f>
        <v>0</v>
      </c>
      <c r="S325" s="449">
        <f t="shared" si="25"/>
        <v>0</v>
      </c>
    </row>
    <row r="326" spans="1:19" ht="20.100000000000001" hidden="1" customHeight="1" x14ac:dyDescent="0.25">
      <c r="A326" s="470"/>
      <c r="B326" s="487"/>
      <c r="F326" s="488"/>
      <c r="G326" s="484"/>
      <c r="I326" s="513"/>
      <c r="J326" s="515">
        <f t="shared" si="24"/>
        <v>0</v>
      </c>
      <c r="K326" s="457"/>
      <c r="L326" s="502" t="str">
        <f t="shared" si="26"/>
        <v xml:space="preserve"> </v>
      </c>
      <c r="M326" s="467"/>
      <c r="N326" s="477">
        <f>IFERROR(VLOOKUP(P170,COPY!$A$1:$AC$1000,26,FALSE),0)</f>
        <v>0</v>
      </c>
      <c r="P326" s="448">
        <f>IFERROR(VLOOKUP(P170,COPY!$A$1:$AC$1000,29,FALSE),0)</f>
        <v>0</v>
      </c>
      <c r="S326" s="449">
        <f t="shared" si="25"/>
        <v>0</v>
      </c>
    </row>
    <row r="327" spans="1:19" ht="20.100000000000001" hidden="1" customHeight="1" x14ac:dyDescent="0.25">
      <c r="A327" s="470"/>
      <c r="B327" s="487"/>
      <c r="F327" s="488"/>
      <c r="G327" s="484"/>
      <c r="I327" s="513"/>
      <c r="J327" s="515">
        <f t="shared" si="24"/>
        <v>0</v>
      </c>
      <c r="K327" s="457"/>
      <c r="L327" s="502" t="str">
        <f t="shared" si="26"/>
        <v xml:space="preserve"> </v>
      </c>
      <c r="M327" s="467"/>
      <c r="N327" s="477">
        <f>IFERROR(VLOOKUP(P171,COPY!$A$1:$AC$1000,26,FALSE),0)</f>
        <v>0</v>
      </c>
      <c r="P327" s="448">
        <f>IFERROR(VLOOKUP(P171,COPY!$A$1:$AC$1000,29,FALSE),0)</f>
        <v>0</v>
      </c>
      <c r="S327" s="449">
        <f t="shared" si="25"/>
        <v>0</v>
      </c>
    </row>
    <row r="328" spans="1:19" ht="20.100000000000001" hidden="1" customHeight="1" x14ac:dyDescent="0.25">
      <c r="A328" s="470"/>
      <c r="B328" s="487"/>
      <c r="F328" s="488"/>
      <c r="G328" s="484"/>
      <c r="I328" s="513"/>
      <c r="J328" s="515">
        <f t="shared" si="24"/>
        <v>0</v>
      </c>
      <c r="K328" s="457"/>
      <c r="L328" s="502" t="str">
        <f t="shared" si="26"/>
        <v xml:space="preserve"> </v>
      </c>
      <c r="M328" s="467"/>
      <c r="N328" s="477">
        <f>IFERROR(VLOOKUP(P172,COPY!$A$1:$AC$1000,26,FALSE),0)</f>
        <v>0</v>
      </c>
      <c r="P328" s="448">
        <f>IFERROR(VLOOKUP(P172,COPY!$A$1:$AC$1000,29,FALSE),0)</f>
        <v>0</v>
      </c>
      <c r="S328" s="449">
        <f t="shared" si="25"/>
        <v>0</v>
      </c>
    </row>
    <row r="329" spans="1:19" ht="20.100000000000001" hidden="1" customHeight="1" x14ac:dyDescent="0.25">
      <c r="A329" s="470"/>
      <c r="B329" s="487"/>
      <c r="F329" s="488"/>
      <c r="G329" s="484"/>
      <c r="I329" s="513"/>
      <c r="J329" s="515">
        <f t="shared" si="24"/>
        <v>0</v>
      </c>
      <c r="K329" s="457"/>
      <c r="L329" s="502" t="str">
        <f t="shared" si="26"/>
        <v xml:space="preserve"> </v>
      </c>
      <c r="M329" s="467"/>
      <c r="N329" s="477">
        <f>IFERROR(VLOOKUP(P173,COPY!$A$1:$AC$1000,26,FALSE),0)</f>
        <v>0</v>
      </c>
      <c r="P329" s="448">
        <f>IFERROR(VLOOKUP(P173,COPY!$A$1:$AC$1000,29,FALSE),0)</f>
        <v>0</v>
      </c>
      <c r="S329" s="449">
        <f t="shared" si="25"/>
        <v>0</v>
      </c>
    </row>
    <row r="330" spans="1:19" ht="20.100000000000001" hidden="1" customHeight="1" x14ac:dyDescent="0.25">
      <c r="A330" s="470"/>
      <c r="B330" s="487"/>
      <c r="F330" s="488"/>
      <c r="G330" s="484"/>
      <c r="I330" s="513"/>
      <c r="J330" s="515">
        <f t="shared" si="24"/>
        <v>0</v>
      </c>
      <c r="K330" s="457"/>
      <c r="L330" s="502" t="str">
        <f t="shared" si="26"/>
        <v xml:space="preserve"> </v>
      </c>
      <c r="M330" s="467"/>
      <c r="N330" s="477">
        <f>IFERROR(VLOOKUP(P174,COPY!$A$1:$AC$1000,26,FALSE),0)</f>
        <v>0</v>
      </c>
      <c r="P330" s="448">
        <f>IFERROR(VLOOKUP(P174,COPY!$A$1:$AC$1000,29,FALSE),0)</f>
        <v>0</v>
      </c>
      <c r="S330" s="449">
        <f t="shared" si="25"/>
        <v>0</v>
      </c>
    </row>
    <row r="331" spans="1:19" ht="20.100000000000001" hidden="1" customHeight="1" x14ac:dyDescent="0.25">
      <c r="A331" s="470"/>
      <c r="B331" s="487"/>
      <c r="F331" s="488"/>
      <c r="G331" s="484"/>
      <c r="I331" s="513"/>
      <c r="J331" s="515">
        <f t="shared" si="24"/>
        <v>0</v>
      </c>
      <c r="K331" s="457"/>
      <c r="L331" s="502" t="str">
        <f t="shared" si="26"/>
        <v xml:space="preserve"> </v>
      </c>
      <c r="M331" s="467"/>
      <c r="N331" s="477">
        <f>IFERROR(VLOOKUP(P175,COPY!$A$1:$AC$1000,26,FALSE),0)</f>
        <v>0</v>
      </c>
      <c r="P331" s="448">
        <f>IFERROR(VLOOKUP(P175,COPY!$A$1:$AC$1000,29,FALSE),0)</f>
        <v>0</v>
      </c>
      <c r="S331" s="449">
        <f t="shared" si="25"/>
        <v>0</v>
      </c>
    </row>
    <row r="332" spans="1:19" ht="20.100000000000001" hidden="1" customHeight="1" x14ac:dyDescent="0.25">
      <c r="A332" s="470"/>
      <c r="B332" s="487"/>
      <c r="F332" s="488"/>
      <c r="G332" s="484"/>
      <c r="I332" s="513"/>
      <c r="J332" s="515">
        <f t="shared" si="24"/>
        <v>0</v>
      </c>
      <c r="K332" s="457"/>
      <c r="L332" s="502" t="str">
        <f t="shared" si="26"/>
        <v xml:space="preserve"> </v>
      </c>
      <c r="M332" s="467"/>
      <c r="N332" s="477">
        <f>IFERROR(VLOOKUP(P176,COPY!$A$1:$AC$1000,26,FALSE),0)</f>
        <v>0</v>
      </c>
      <c r="P332" s="448">
        <f>IFERROR(VLOOKUP(P176,COPY!$A$1:$AC$1000,29,FALSE),0)</f>
        <v>0</v>
      </c>
      <c r="S332" s="449">
        <f t="shared" si="25"/>
        <v>0</v>
      </c>
    </row>
    <row r="333" spans="1:19" ht="20.100000000000001" hidden="1" customHeight="1" x14ac:dyDescent="0.25">
      <c r="A333" s="470"/>
      <c r="B333" s="487"/>
      <c r="F333" s="488"/>
      <c r="G333" s="484"/>
      <c r="I333" s="513"/>
      <c r="J333" s="515">
        <f t="shared" si="24"/>
        <v>0</v>
      </c>
      <c r="K333" s="457"/>
      <c r="L333" s="502" t="str">
        <f t="shared" si="26"/>
        <v xml:space="preserve"> </v>
      </c>
      <c r="M333" s="467"/>
      <c r="N333" s="477">
        <f>IFERROR(VLOOKUP(P177,COPY!$A$1:$AC$1000,26,FALSE),0)</f>
        <v>0</v>
      </c>
      <c r="P333" s="448">
        <f>IFERROR(VLOOKUP(P177,COPY!$A$1:$AC$1000,29,FALSE),0)</f>
        <v>0</v>
      </c>
      <c r="S333" s="449">
        <f t="shared" si="25"/>
        <v>0</v>
      </c>
    </row>
    <row r="334" spans="1:19" ht="20.100000000000001" hidden="1" customHeight="1" x14ac:dyDescent="0.25">
      <c r="A334" s="470"/>
      <c r="B334" s="487"/>
      <c r="F334" s="488"/>
      <c r="G334" s="484"/>
      <c r="I334" s="513"/>
      <c r="J334" s="515">
        <f t="shared" si="24"/>
        <v>0</v>
      </c>
      <c r="K334" s="457"/>
      <c r="L334" s="502" t="str">
        <f t="shared" si="26"/>
        <v xml:space="preserve"> </v>
      </c>
      <c r="M334" s="467"/>
      <c r="N334" s="477">
        <f>IFERROR(VLOOKUP(P178,COPY!$A$1:$AC$1000,26,FALSE),0)</f>
        <v>0</v>
      </c>
      <c r="P334" s="448">
        <f>IFERROR(VLOOKUP(P178,COPY!$A$1:$AC$1000,29,FALSE),0)</f>
        <v>0</v>
      </c>
      <c r="S334" s="449">
        <f t="shared" si="25"/>
        <v>0</v>
      </c>
    </row>
    <row r="335" spans="1:19" ht="20.100000000000001" hidden="1" customHeight="1" x14ac:dyDescent="0.25">
      <c r="A335" s="470"/>
      <c r="B335" s="487"/>
      <c r="F335" s="488"/>
      <c r="G335" s="484"/>
      <c r="I335" s="513"/>
      <c r="J335" s="515">
        <f t="shared" si="24"/>
        <v>0</v>
      </c>
      <c r="K335" s="457"/>
      <c r="L335" s="502" t="str">
        <f t="shared" si="26"/>
        <v xml:space="preserve"> </v>
      </c>
      <c r="M335" s="467"/>
      <c r="N335" s="477">
        <f>IFERROR(VLOOKUP(P179,COPY!$A$1:$AC$1000,26,FALSE),0)</f>
        <v>0</v>
      </c>
      <c r="P335" s="448">
        <f>IFERROR(VLOOKUP(P179,COPY!$A$1:$AC$1000,29,FALSE),0)</f>
        <v>0</v>
      </c>
      <c r="S335" s="449">
        <f t="shared" si="25"/>
        <v>0</v>
      </c>
    </row>
    <row r="336" spans="1:19" ht="20.100000000000001" hidden="1" customHeight="1" x14ac:dyDescent="0.25">
      <c r="A336" s="470"/>
      <c r="B336" s="487"/>
      <c r="F336" s="488"/>
      <c r="G336" s="484"/>
      <c r="I336" s="513"/>
      <c r="J336" s="515">
        <f t="shared" si="24"/>
        <v>0</v>
      </c>
      <c r="K336" s="457"/>
      <c r="L336" s="502" t="str">
        <f t="shared" si="26"/>
        <v xml:space="preserve"> </v>
      </c>
      <c r="M336" s="467"/>
      <c r="N336" s="477">
        <f>IFERROR(VLOOKUP(P180,COPY!$A$1:$AC$1000,26,FALSE),0)</f>
        <v>0</v>
      </c>
      <c r="P336" s="448">
        <f>IFERROR(VLOOKUP(P180,COPY!$A$1:$AC$1000,29,FALSE),0)</f>
        <v>0</v>
      </c>
      <c r="S336" s="449">
        <f t="shared" si="25"/>
        <v>0</v>
      </c>
    </row>
    <row r="337" spans="1:19" ht="20.100000000000001" hidden="1" customHeight="1" x14ac:dyDescent="0.25">
      <c r="A337" s="470"/>
      <c r="B337" s="487"/>
      <c r="F337" s="488"/>
      <c r="G337" s="484"/>
      <c r="I337" s="513"/>
      <c r="J337" s="515">
        <f t="shared" si="24"/>
        <v>0</v>
      </c>
      <c r="K337" s="457"/>
      <c r="L337" s="502" t="str">
        <f t="shared" si="26"/>
        <v xml:space="preserve"> </v>
      </c>
      <c r="M337" s="467"/>
      <c r="N337" s="477">
        <f>IFERROR(VLOOKUP(P181,COPY!$A$1:$AC$1000,26,FALSE),0)</f>
        <v>0</v>
      </c>
      <c r="P337" s="448">
        <f>IFERROR(VLOOKUP(P181,COPY!$A$1:$AC$1000,29,FALSE),0)</f>
        <v>0</v>
      </c>
      <c r="S337" s="449">
        <f t="shared" si="25"/>
        <v>0</v>
      </c>
    </row>
    <row r="338" spans="1:19" ht="20.100000000000001" hidden="1" customHeight="1" x14ac:dyDescent="0.25">
      <c r="A338" s="470"/>
      <c r="B338" s="487"/>
      <c r="F338" s="488"/>
      <c r="G338" s="484"/>
      <c r="I338" s="513"/>
      <c r="J338" s="515">
        <f t="shared" si="24"/>
        <v>0</v>
      </c>
      <c r="K338" s="457"/>
      <c r="L338" s="502" t="str">
        <f t="shared" si="26"/>
        <v xml:space="preserve"> </v>
      </c>
      <c r="M338" s="467"/>
      <c r="N338" s="477">
        <f>IFERROR(VLOOKUP(P182,COPY!$A$1:$AC$1000,26,FALSE),0)</f>
        <v>0</v>
      </c>
      <c r="P338" s="448">
        <f>IFERROR(VLOOKUP(P182,COPY!$A$1:$AC$1000,29,FALSE),0)</f>
        <v>0</v>
      </c>
      <c r="S338" s="449">
        <f t="shared" si="25"/>
        <v>0</v>
      </c>
    </row>
    <row r="339" spans="1:19" ht="20.100000000000001" hidden="1" customHeight="1" x14ac:dyDescent="0.25">
      <c r="A339" s="470"/>
      <c r="B339" s="487"/>
      <c r="F339" s="488"/>
      <c r="G339" s="484"/>
      <c r="I339" s="513"/>
      <c r="J339" s="515">
        <f t="shared" si="24"/>
        <v>0</v>
      </c>
      <c r="K339" s="457"/>
      <c r="L339" s="502" t="str">
        <f t="shared" si="26"/>
        <v xml:space="preserve"> </v>
      </c>
      <c r="M339" s="467"/>
      <c r="N339" s="477">
        <f>IFERROR(VLOOKUP(P183,COPY!$A$1:$AC$1000,26,FALSE),0)</f>
        <v>0</v>
      </c>
      <c r="P339" s="448">
        <f>IFERROR(VLOOKUP(P183,COPY!$A$1:$AC$1000,29,FALSE),0)</f>
        <v>0</v>
      </c>
      <c r="S339" s="449">
        <f t="shared" si="25"/>
        <v>0</v>
      </c>
    </row>
    <row r="340" spans="1:19" ht="20.100000000000001" hidden="1" customHeight="1" x14ac:dyDescent="0.25">
      <c r="A340" s="470"/>
      <c r="B340" s="487"/>
      <c r="F340" s="488"/>
      <c r="G340" s="484"/>
      <c r="I340" s="513"/>
      <c r="J340" s="515">
        <f>S340</f>
        <v>0</v>
      </c>
      <c r="K340" s="457"/>
      <c r="L340" s="502" t="str">
        <f t="shared" si="26"/>
        <v xml:space="preserve"> </v>
      </c>
      <c r="M340" s="467"/>
      <c r="N340" s="477">
        <f>IFERROR(VLOOKUP(P184,COPY!$A$1:$AC$1000,26,FALSE),0)</f>
        <v>0</v>
      </c>
      <c r="P340" s="448">
        <f>IFERROR(VLOOKUP(P184,COPY!$A$1:$AC$1000,29,FALSE),0)</f>
        <v>0</v>
      </c>
      <c r="S340" s="449">
        <f t="shared" si="25"/>
        <v>0</v>
      </c>
    </row>
    <row r="341" spans="1:19" ht="20.100000000000001" hidden="1" customHeight="1" thickBot="1" x14ac:dyDescent="0.3">
      <c r="B341" s="484"/>
      <c r="F341" s="488"/>
      <c r="G341" s="484"/>
      <c r="I341" s="513"/>
      <c r="J341" s="506"/>
      <c r="K341" s="425"/>
      <c r="L341" s="503" t="str">
        <f>IF(LEFT(J341,15)="Bayar Pajak PPN",1,IF(LEFT(J341,15)="Bayar Pajak PPH",2,IF(LEFT(J341,21)="Bayar Pajak Final PPH",3," ")))</f>
        <v xml:space="preserve"> </v>
      </c>
      <c r="M341" s="489"/>
      <c r="N341" s="490">
        <f>IFERROR(VLOOKUP(P185,COPY!$A$1:$AC$1000,26,FALSE),0)</f>
        <v>0</v>
      </c>
    </row>
    <row r="342" spans="1:19" ht="20.100000000000001" customHeight="1" thickBot="1" x14ac:dyDescent="0.3">
      <c r="B342" s="491"/>
      <c r="C342" s="492" t="s">
        <v>46</v>
      </c>
      <c r="D342" s="493"/>
      <c r="E342" s="493"/>
      <c r="F342" s="494">
        <f>SUM(F31:F341)</f>
        <v>21741752.049999993</v>
      </c>
      <c r="G342" s="495"/>
      <c r="H342" s="493"/>
      <c r="I342" s="514" t="s">
        <v>47</v>
      </c>
      <c r="J342" s="496"/>
      <c r="K342" s="493"/>
      <c r="L342" s="496"/>
      <c r="M342" s="496"/>
      <c r="N342" s="497">
        <f>SUM(N32:N341)</f>
        <v>58645792.049999997</v>
      </c>
    </row>
    <row r="344" spans="1:19" ht="20.100000000000001" customHeight="1" x14ac:dyDescent="0.25">
      <c r="B344" s="253"/>
      <c r="C344" s="253" t="str">
        <f>"Pada hari ini : "&amp;TEXT(M352,"dddd")&amp;" tanggal "&amp;TEXT(M352,"dd mmmm yyyy")&amp;"  Buku Kas Umum ditutup dengan keadaan/posisi buku sebagai berikut:"</f>
        <v>Pada hari ini : Jumat tanggal 31 Oktober 2025  Buku Kas Umum ditutup dengan keadaan/posisi buku sebagai berikut:</v>
      </c>
      <c r="F344" s="253"/>
      <c r="G344" s="253"/>
      <c r="H344" s="422"/>
      <c r="M344" s="253"/>
    </row>
    <row r="345" spans="1:19" ht="20.100000000000001" customHeight="1" x14ac:dyDescent="0.25">
      <c r="B345" s="253"/>
      <c r="C345" s="253" t="s">
        <v>48</v>
      </c>
      <c r="F345" s="423"/>
      <c r="G345" s="423"/>
      <c r="H345" s="422"/>
      <c r="K345" s="424" t="s">
        <v>50</v>
      </c>
      <c r="L345" s="489"/>
      <c r="M345" s="426"/>
      <c r="N345" s="498"/>
    </row>
    <row r="346" spans="1:19" ht="20.100000000000001" customHeight="1" x14ac:dyDescent="0.25">
      <c r="B346" s="253"/>
      <c r="C346" s="253" t="s">
        <v>51</v>
      </c>
      <c r="E346" s="427" t="s">
        <v>52</v>
      </c>
      <c r="F346" s="428">
        <f>'BUKU BANK'!I87</f>
        <v>748671</v>
      </c>
      <c r="G346" s="423"/>
      <c r="H346" s="422"/>
      <c r="K346" s="429" t="s">
        <v>53</v>
      </c>
      <c r="M346" s="430"/>
      <c r="N346" s="449"/>
    </row>
    <row r="347" spans="1:19" ht="20.100000000000001" customHeight="1" x14ac:dyDescent="0.25">
      <c r="B347" s="253"/>
      <c r="C347" s="427"/>
      <c r="E347" s="427" t="s">
        <v>54</v>
      </c>
      <c r="F347" s="431">
        <f>F342-N342</f>
        <v>-36904040</v>
      </c>
      <c r="G347" s="423"/>
      <c r="H347" s="422"/>
      <c r="K347" s="432" t="s">
        <v>512</v>
      </c>
      <c r="M347" s="433"/>
      <c r="N347" s="434" t="s">
        <v>55</v>
      </c>
    </row>
    <row r="348" spans="1:19" ht="20.100000000000001" customHeight="1" x14ac:dyDescent="0.25">
      <c r="B348" s="253"/>
      <c r="C348" s="435"/>
      <c r="E348" s="435" t="s">
        <v>2</v>
      </c>
      <c r="F348" s="436">
        <f>SUM(F346:F347)</f>
        <v>-36155369</v>
      </c>
      <c r="G348" s="437"/>
      <c r="H348" s="422"/>
      <c r="K348" s="432" t="s">
        <v>513</v>
      </c>
      <c r="M348" s="433"/>
      <c r="N348" s="434" t="s">
        <v>56</v>
      </c>
    </row>
    <row r="349" spans="1:19" ht="20.100000000000001" customHeight="1" x14ac:dyDescent="0.25">
      <c r="B349" s="253"/>
      <c r="F349" s="253"/>
      <c r="G349" s="253"/>
      <c r="H349" s="422"/>
      <c r="K349" s="432" t="s">
        <v>514</v>
      </c>
      <c r="M349" s="435"/>
      <c r="N349" s="438" t="s">
        <v>57</v>
      </c>
    </row>
    <row r="350" spans="1:19" ht="20.100000000000001" customHeight="1" x14ac:dyDescent="0.25">
      <c r="B350" s="253"/>
      <c r="F350" s="439"/>
      <c r="G350" s="253"/>
      <c r="H350" s="422"/>
      <c r="K350" s="440" t="s">
        <v>515</v>
      </c>
      <c r="L350" s="417"/>
      <c r="M350" s="441"/>
      <c r="N350" s="442" t="s">
        <v>58</v>
      </c>
    </row>
    <row r="351" spans="1:19" ht="20.100000000000001" customHeight="1" x14ac:dyDescent="0.25">
      <c r="B351" s="253"/>
      <c r="F351" s="439"/>
      <c r="G351" s="253"/>
      <c r="H351" s="422"/>
      <c r="M351" s="253"/>
    </row>
    <row r="352" spans="1:19" ht="20.100000000000001" customHeight="1" x14ac:dyDescent="0.25">
      <c r="B352" s="253"/>
      <c r="F352" s="439"/>
      <c r="G352" s="253"/>
      <c r="H352" s="439"/>
      <c r="K352" s="688" t="str">
        <f>$E$4</f>
        <v>NGANTANG</v>
      </c>
      <c r="L352" s="688"/>
      <c r="M352" s="689">
        <f>M26</f>
        <v>45961</v>
      </c>
      <c r="N352" s="689"/>
    </row>
    <row r="353" spans="2:13" ht="20.100000000000001" customHeight="1" x14ac:dyDescent="0.25">
      <c r="B353" s="253"/>
      <c r="C353" s="253" t="s">
        <v>43</v>
      </c>
      <c r="G353" s="439"/>
      <c r="H353" s="439" t="s">
        <v>44</v>
      </c>
      <c r="J353" s="507"/>
      <c r="L353" s="254" t="s">
        <v>215</v>
      </c>
      <c r="M353" s="253"/>
    </row>
    <row r="354" spans="2:13" ht="20.100000000000001" customHeight="1" x14ac:dyDescent="0.25">
      <c r="B354" s="253"/>
      <c r="C354" s="253" t="str">
        <f>"Kepala Sekolah "&amp;$E$3</f>
        <v>Kepala Sekolah SDN 1 SIDODADI</v>
      </c>
      <c r="D354" s="443"/>
      <c r="G354" s="439"/>
      <c r="H354" s="439" t="s">
        <v>45</v>
      </c>
      <c r="L354" s="254" t="s">
        <v>216</v>
      </c>
      <c r="M354" s="253"/>
    </row>
    <row r="355" spans="2:13" ht="20.100000000000001" customHeight="1" x14ac:dyDescent="0.25">
      <c r="B355" s="253"/>
      <c r="G355" s="439"/>
      <c r="H355" s="439"/>
      <c r="J355" s="508"/>
      <c r="K355" s="444"/>
      <c r="L355" s="254"/>
      <c r="M355" s="253"/>
    </row>
    <row r="356" spans="2:13" ht="20.100000000000001" customHeight="1" x14ac:dyDescent="0.25">
      <c r="B356" s="253"/>
      <c r="G356" s="439"/>
      <c r="H356" s="439"/>
      <c r="J356" s="508"/>
      <c r="K356" s="444"/>
      <c r="L356" s="254"/>
      <c r="M356" s="253"/>
    </row>
    <row r="357" spans="2:13" ht="20.100000000000001" customHeight="1" x14ac:dyDescent="0.25">
      <c r="B357" s="253"/>
      <c r="G357" s="439"/>
      <c r="H357" s="439"/>
      <c r="L357" s="254"/>
      <c r="M357" s="430"/>
    </row>
    <row r="358" spans="2:13" ht="20.100000000000001" customHeight="1" x14ac:dyDescent="0.25">
      <c r="B358" s="253"/>
      <c r="G358" s="439"/>
      <c r="H358" s="439"/>
      <c r="I358" s="512"/>
      <c r="L358" s="254"/>
      <c r="M358" s="430"/>
    </row>
    <row r="359" spans="2:13" ht="20.100000000000001" customHeight="1" x14ac:dyDescent="0.25">
      <c r="B359" s="253"/>
      <c r="C359" s="443" t="str">
        <f>$E$8</f>
        <v>MELIA FITRIANI, S.Pd.SD</v>
      </c>
      <c r="G359" s="445"/>
      <c r="H359" s="445" t="str">
        <f>$E$10</f>
        <v>HARTATIK</v>
      </c>
      <c r="L359" s="516" t="str">
        <f>$E$12</f>
        <v>ARIF NUR UDIN, S.Pd.SD</v>
      </c>
      <c r="M359" s="439"/>
    </row>
    <row r="360" spans="2:13" ht="20.100000000000001" customHeight="1" x14ac:dyDescent="0.25">
      <c r="B360" s="253"/>
      <c r="C360" s="253" t="str">
        <f>$E$9</f>
        <v>NIP. 19850619 200904 2 000</v>
      </c>
      <c r="G360" s="439"/>
      <c r="H360" s="439">
        <f>$E$11</f>
        <v>0</v>
      </c>
      <c r="L360" s="254" t="str">
        <f>$E$13</f>
        <v>NIP. 19840719 200903 1 002</v>
      </c>
      <c r="M360" s="439"/>
    </row>
  </sheetData>
  <mergeCells count="16">
    <mergeCell ref="D26:F27"/>
    <mergeCell ref="K352:L352"/>
    <mergeCell ref="M352:N352"/>
    <mergeCell ref="D21:K21"/>
    <mergeCell ref="D22:K22"/>
    <mergeCell ref="M25:N25"/>
    <mergeCell ref="M26:N26"/>
    <mergeCell ref="C30:E30"/>
    <mergeCell ref="H30:K30"/>
    <mergeCell ref="E1:E2"/>
    <mergeCell ref="V16:V17"/>
    <mergeCell ref="W16:AA16"/>
    <mergeCell ref="AB16:AB17"/>
    <mergeCell ref="AC16:AC17"/>
    <mergeCell ref="W17:X17"/>
    <mergeCell ref="Y17:Z17"/>
  </mergeCells>
  <conditionalFormatting sqref="B30:N30">
    <cfRule type="expression" dxfId="364" priority="1">
      <formula>$E$1=7</formula>
    </cfRule>
    <cfRule type="expression" dxfId="363" priority="2">
      <formula>$E$1=6</formula>
    </cfRule>
    <cfRule type="expression" dxfId="362" priority="3">
      <formula>$E$1=5</formula>
    </cfRule>
    <cfRule type="expression" dxfId="361" priority="4">
      <formula>$E$1=4</formula>
    </cfRule>
    <cfRule type="expression" dxfId="360" priority="5">
      <formula>$E$1=3</formula>
    </cfRule>
    <cfRule type="expression" dxfId="359" priority="6">
      <formula>$E$1=2</formula>
    </cfRule>
    <cfRule type="expression" dxfId="358" priority="7">
      <formula>$E$1=1</formula>
    </cfRule>
  </conditionalFormatting>
  <pageMargins left="0.31496062992125984" right="0.31496062992125984" top="1.1811023622047245" bottom="0.78740157480314965" header="0.31496062992125984" footer="0.31496062992125984"/>
  <pageSetup paperSize="9" scale="72" fitToHeight="0" orientation="landscape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02265-ACBC-4DFF-84E1-9513957E7415}">
  <sheetPr codeName="Sheet16">
    <tabColor rgb="FFFFC000"/>
    <pageSetUpPr autoPageBreaks="0" fitToPage="1"/>
  </sheetPr>
  <dimension ref="A1:AH334"/>
  <sheetViews>
    <sheetView showZeros="0" view="pageBreakPreview" topLeftCell="A82" zoomScale="85" zoomScaleNormal="100" zoomScaleSheetLayoutView="85" workbookViewId="0">
      <selection activeCell="N102" sqref="N102"/>
    </sheetView>
  </sheetViews>
  <sheetFormatPr defaultColWidth="9.140625" defaultRowHeight="12" x14ac:dyDescent="0.2"/>
  <cols>
    <col min="1" max="1" width="9.42578125" style="279" bestFit="1" customWidth="1"/>
    <col min="2" max="2" width="15.42578125" style="282" customWidth="1"/>
    <col min="3" max="3" width="8.85546875" style="288" customWidth="1"/>
    <col min="4" max="4" width="14.7109375" style="279" customWidth="1"/>
    <col min="5" max="5" width="8.42578125" style="283" customWidth="1"/>
    <col min="6" max="6" width="9.7109375" style="279" customWidth="1"/>
    <col min="7" max="7" width="46.7109375" style="279" bestFit="1" customWidth="1"/>
    <col min="8" max="8" width="2.7109375" style="279" customWidth="1"/>
    <col min="9" max="9" width="20.7109375" style="284" customWidth="1"/>
    <col min="10" max="10" width="20.7109375" style="285" customWidth="1"/>
    <col min="11" max="11" width="20.140625" style="286" customWidth="1"/>
    <col min="12" max="12" width="20.140625" style="287" customWidth="1"/>
    <col min="13" max="13" width="20.140625" style="278" customWidth="1"/>
    <col min="14" max="14" width="9.140625" style="279"/>
    <col min="15" max="15" width="27.5703125" style="279" bestFit="1" customWidth="1"/>
    <col min="16" max="16" width="22.42578125" style="280" bestFit="1" customWidth="1"/>
    <col min="17" max="17" width="27.140625" style="281" customWidth="1"/>
    <col min="18" max="18" width="9.28515625" style="279" bestFit="1" customWidth="1"/>
    <col min="19" max="16384" width="9.140625" style="279"/>
  </cols>
  <sheetData>
    <row r="1" spans="1:34" s="391" customFormat="1" ht="20.25" x14ac:dyDescent="0.25">
      <c r="B1" s="397"/>
      <c r="C1" s="693" t="s">
        <v>82</v>
      </c>
      <c r="D1" s="693"/>
      <c r="E1" s="693"/>
      <c r="F1" s="693"/>
      <c r="G1" s="693"/>
      <c r="H1" s="693"/>
      <c r="I1" s="693"/>
      <c r="J1" s="693"/>
      <c r="K1" s="693"/>
      <c r="L1" s="693"/>
      <c r="M1" s="588"/>
      <c r="P1" s="589"/>
      <c r="Q1" s="590"/>
      <c r="X1" s="394"/>
    </row>
    <row r="2" spans="1:34" s="391" customFormat="1" ht="18" x14ac:dyDescent="0.25">
      <c r="B2" s="398">
        <f>'BKU 1'!$B$22</f>
        <v>0</v>
      </c>
      <c r="C2" s="694" t="str">
        <f>'BKU 1'!$D$22</f>
        <v>PEMBANGUNAN TOILET BESERTA SANITASINYA</v>
      </c>
      <c r="D2" s="694"/>
      <c r="E2" s="694"/>
      <c r="F2" s="694"/>
      <c r="G2" s="694"/>
      <c r="H2" s="694"/>
      <c r="I2" s="694"/>
      <c r="J2" s="694"/>
      <c r="K2" s="694"/>
      <c r="L2" s="694"/>
      <c r="M2" s="588"/>
      <c r="P2" s="589"/>
      <c r="Q2" s="590"/>
    </row>
    <row r="3" spans="1:34" s="391" customFormat="1" ht="16.5" thickBot="1" x14ac:dyDescent="0.3">
      <c r="B3" s="591"/>
      <c r="C3" s="393"/>
      <c r="E3" s="395"/>
      <c r="I3" s="592"/>
      <c r="J3" s="593"/>
      <c r="K3" s="594"/>
      <c r="L3" s="595"/>
      <c r="M3" s="588"/>
      <c r="O3" s="391" t="s">
        <v>227</v>
      </c>
      <c r="P3" s="589" t="e">
        <f>COPY!AE2</f>
        <v>#REF!</v>
      </c>
      <c r="Q3" s="590">
        <f>COPY!AE3</f>
        <v>44468</v>
      </c>
    </row>
    <row r="4" spans="1:34" s="391" customFormat="1" ht="15.75" x14ac:dyDescent="0.25">
      <c r="B4" s="596" t="s">
        <v>60</v>
      </c>
      <c r="C4" s="393" t="s">
        <v>49</v>
      </c>
      <c r="D4" s="393">
        <v>2</v>
      </c>
      <c r="E4" s="391">
        <f>IFERROR(VLOOKUP(D4,'Rekap Gaji'!$B$12:$P$24,14,FALSE),"-")</f>
        <v>0</v>
      </c>
      <c r="F4" s="597"/>
      <c r="G4" s="392"/>
      <c r="I4" s="395"/>
      <c r="J4" s="593"/>
      <c r="K4" s="594"/>
      <c r="L4" s="595"/>
      <c r="M4" s="588"/>
      <c r="O4" s="391" t="s">
        <v>430</v>
      </c>
      <c r="P4" s="589" t="e">
        <f>COPY!AF2</f>
        <v>#REF!</v>
      </c>
      <c r="Q4" s="590">
        <f>COPY!AF3</f>
        <v>44524</v>
      </c>
      <c r="AA4" s="690" t="s">
        <v>17</v>
      </c>
      <c r="AB4" s="682" t="s">
        <v>100</v>
      </c>
      <c r="AC4" s="683"/>
      <c r="AD4" s="683"/>
      <c r="AE4" s="683"/>
      <c r="AF4" s="684"/>
      <c r="AG4" s="685" t="s">
        <v>0</v>
      </c>
      <c r="AH4" s="679" t="s">
        <v>2</v>
      </c>
    </row>
    <row r="5" spans="1:34" s="391" customFormat="1" ht="8.25" customHeight="1" thickBot="1" x14ac:dyDescent="0.3">
      <c r="B5" s="596"/>
      <c r="C5" s="393"/>
      <c r="F5" s="597"/>
      <c r="G5" s="392"/>
      <c r="I5" s="395"/>
      <c r="J5" s="593"/>
      <c r="K5" s="594"/>
      <c r="L5" s="595"/>
      <c r="M5" s="588"/>
      <c r="P5" s="589"/>
      <c r="Q5" s="590"/>
      <c r="AA5" s="691"/>
      <c r="AB5" s="681" t="s">
        <v>1</v>
      </c>
      <c r="AC5" s="681"/>
      <c r="AD5" s="681" t="s">
        <v>101</v>
      </c>
      <c r="AE5" s="681"/>
      <c r="AF5" s="396" t="s">
        <v>102</v>
      </c>
      <c r="AG5" s="681"/>
      <c r="AH5" s="680"/>
    </row>
    <row r="6" spans="1:34" s="391" customFormat="1" ht="15.75" x14ac:dyDescent="0.25">
      <c r="B6" s="596" t="s">
        <v>61</v>
      </c>
      <c r="C6" s="393" t="s">
        <v>49</v>
      </c>
      <c r="D6" s="391" t="str">
        <f>'BKU 1'!$D$25</f>
        <v>SDN 1 SIDODADI</v>
      </c>
      <c r="F6" s="597"/>
      <c r="I6" s="596" t="s">
        <v>63</v>
      </c>
      <c r="J6" s="393" t="s">
        <v>49</v>
      </c>
      <c r="K6" s="391" t="str">
        <f>'BKU 1'!$I$25</f>
        <v>NGANTANG</v>
      </c>
      <c r="L6" s="595"/>
      <c r="M6" s="588"/>
      <c r="P6" s="589"/>
      <c r="Q6" s="590"/>
    </row>
    <row r="7" spans="1:34" s="391" customFormat="1" ht="15.75" x14ac:dyDescent="0.25">
      <c r="A7" s="391" t="str">
        <f>IF(ROW()=0,1,"")</f>
        <v/>
      </c>
      <c r="B7" s="596" t="s">
        <v>62</v>
      </c>
      <c r="C7" s="393" t="s">
        <v>49</v>
      </c>
      <c r="D7" s="695" t="str">
        <f>'BKU 1'!$D$26</f>
        <v>Jl. Kawi No.36 Rt. 1 Rw. 1 Dusun Sekar, Rt / Rw : 1 / 1, Dusun : Sekar, Kelurahan : Sidodadi</v>
      </c>
      <c r="E7" s="695"/>
      <c r="F7" s="695"/>
      <c r="G7" s="695"/>
      <c r="I7" s="392" t="s">
        <v>66</v>
      </c>
      <c r="J7" s="393" t="s">
        <v>49</v>
      </c>
      <c r="K7" s="395" t="s">
        <v>68</v>
      </c>
      <c r="L7" s="595"/>
      <c r="M7" s="588"/>
      <c r="P7" s="589"/>
      <c r="Q7" s="590"/>
    </row>
    <row r="8" spans="1:34" s="391" customFormat="1" ht="15.75" x14ac:dyDescent="0.25">
      <c r="D8" s="695"/>
      <c r="E8" s="695"/>
      <c r="F8" s="695"/>
      <c r="G8" s="695"/>
      <c r="I8" s="392" t="s">
        <v>67</v>
      </c>
      <c r="J8" s="393" t="s">
        <v>49</v>
      </c>
      <c r="K8" s="395" t="s">
        <v>69</v>
      </c>
      <c r="L8" s="595"/>
      <c r="M8" s="588"/>
      <c r="P8" s="589"/>
      <c r="Q8" s="590"/>
    </row>
    <row r="9" spans="1:34" s="391" customFormat="1" ht="8.25" customHeight="1" thickBot="1" x14ac:dyDescent="0.3">
      <c r="B9" s="591"/>
      <c r="C9" s="393"/>
      <c r="F9" s="597"/>
      <c r="G9" s="392"/>
      <c r="I9" s="395"/>
      <c r="J9" s="593"/>
      <c r="K9" s="594"/>
      <c r="L9" s="595"/>
      <c r="M9" s="588"/>
      <c r="P9" s="589"/>
      <c r="Q9" s="590"/>
    </row>
    <row r="10" spans="1:34" s="399" customFormat="1" ht="26.1" customHeight="1" x14ac:dyDescent="0.25">
      <c r="A10" s="399">
        <f>COUNTIF(COPY!$C$2:$C$1000,D4)</f>
        <v>78</v>
      </c>
      <c r="B10" s="696" t="s">
        <v>0</v>
      </c>
      <c r="C10" s="703" t="s">
        <v>516</v>
      </c>
      <c r="D10" s="700" t="s">
        <v>1</v>
      </c>
      <c r="E10" s="700"/>
      <c r="F10" s="700"/>
      <c r="G10" s="700"/>
      <c r="H10" s="700"/>
      <c r="I10" s="700"/>
      <c r="J10" s="699" t="s">
        <v>257</v>
      </c>
      <c r="K10" s="699"/>
      <c r="L10" s="707" t="s">
        <v>70</v>
      </c>
      <c r="M10" s="708"/>
      <c r="P10" s="598"/>
      <c r="Q10" s="599"/>
    </row>
    <row r="11" spans="1:34" s="399" customFormat="1" ht="25.5" customHeight="1" thickBot="1" x14ac:dyDescent="0.3">
      <c r="B11" s="697"/>
      <c r="C11" s="698"/>
      <c r="D11" s="600" t="s">
        <v>253</v>
      </c>
      <c r="E11" s="600" t="s">
        <v>97</v>
      </c>
      <c r="F11" s="600" t="s">
        <v>254</v>
      </c>
      <c r="G11" s="601" t="s">
        <v>255</v>
      </c>
      <c r="H11" s="698" t="s">
        <v>256</v>
      </c>
      <c r="I11" s="698"/>
      <c r="J11" s="602" t="s">
        <v>64</v>
      </c>
      <c r="K11" s="603" t="s">
        <v>65</v>
      </c>
      <c r="L11" s="604" t="s">
        <v>258</v>
      </c>
      <c r="M11" s="605" t="s">
        <v>259</v>
      </c>
      <c r="P11" s="598"/>
      <c r="Q11" s="599"/>
    </row>
    <row r="12" spans="1:34" s="417" customFormat="1" ht="20.100000000000001" hidden="1" customHeight="1" x14ac:dyDescent="0.25">
      <c r="B12" s="583"/>
      <c r="C12" s="528"/>
      <c r="D12" s="529"/>
      <c r="E12" s="606"/>
      <c r="F12" s="530"/>
      <c r="G12" s="531"/>
      <c r="H12" s="532"/>
      <c r="I12" s="533"/>
      <c r="J12" s="534"/>
      <c r="K12" s="535"/>
      <c r="L12" s="536"/>
      <c r="M12" s="537"/>
      <c r="O12" s="538"/>
      <c r="P12" s="539"/>
      <c r="Q12" s="540"/>
    </row>
    <row r="13" spans="1:34" s="253" customFormat="1" ht="20.100000000000001" customHeight="1" x14ac:dyDescent="0.25">
      <c r="A13" s="253">
        <f>LEN(A14)</f>
        <v>4</v>
      </c>
      <c r="B13" s="584">
        <f>HLOOKUP(D4,COPY!$AJ$3:$AN$4,2,FALSE)</f>
        <v>45931</v>
      </c>
      <c r="C13" s="585"/>
      <c r="D13" s="542"/>
      <c r="E13" s="607"/>
      <c r="F13" s="542"/>
      <c r="G13" s="543" t="s">
        <v>252</v>
      </c>
      <c r="H13" s="544"/>
      <c r="I13" s="545"/>
      <c r="J13" s="546">
        <f>IF('BKT 1'!$L$324&gt;0,'BKT 1'!$L$324,0)</f>
        <v>21622590</v>
      </c>
      <c r="K13" s="547">
        <f>IF('BKT 1'!$M$324&lt;0,'BKT 1'!$M$324,0)</f>
        <v>0</v>
      </c>
      <c r="L13" s="548">
        <f>IF(J13&gt;0,J13,0)</f>
        <v>21622590</v>
      </c>
      <c r="M13" s="549">
        <f>IF(K13&lt;0,K13,0)</f>
        <v>0</v>
      </c>
      <c r="O13" s="538">
        <f>IF(L13&gt;0,L13-K13,IF(M13&lt;=0,M13-K13,0))</f>
        <v>21622590</v>
      </c>
      <c r="P13" s="550"/>
      <c r="Q13" s="551"/>
    </row>
    <row r="14" spans="1:34" s="253" customFormat="1" ht="20.100000000000001" hidden="1" customHeight="1" x14ac:dyDescent="0.25">
      <c r="A14" s="253" t="str">
        <f>D4&amp;".."&amp;D4</f>
        <v>2..2</v>
      </c>
      <c r="B14" s="584"/>
      <c r="C14" s="585"/>
      <c r="D14" s="542"/>
      <c r="E14" s="607"/>
      <c r="F14" s="542"/>
      <c r="G14" s="543">
        <f>'BKU 1'!C32</f>
        <v>0</v>
      </c>
      <c r="H14" s="544"/>
      <c r="I14" s="545"/>
      <c r="J14" s="546">
        <f>'BKU 1'!F32</f>
        <v>0</v>
      </c>
      <c r="K14" s="547"/>
      <c r="L14" s="548"/>
      <c r="M14" s="549"/>
      <c r="O14" s="538"/>
      <c r="P14" s="550"/>
      <c r="Q14" s="551"/>
    </row>
    <row r="15" spans="1:34" s="253" customFormat="1" ht="20.100000000000001" customHeight="1" x14ac:dyDescent="0.25">
      <c r="A15" s="253" t="str">
        <f>IF(LEN(A14)&gt;2,$D$4&amp;"."&amp;IF(ROW()-ROW($A$15)+1&lt;=$A$10,ROW()-ROW($A$15)+1,""),"")</f>
        <v>2.1</v>
      </c>
      <c r="B15" s="584">
        <f>IF(LEN(A15)&gt;2,VLOOKUP(A15,COPY!$A$2:$O$1000,4,FALSE),"")</f>
        <v>45931</v>
      </c>
      <c r="C15" s="585" t="str">
        <f>IF(LEN(A15)&gt;2,VLOOKUP(A15,COPY!$A$2:$O$1000,15,FALSE),"")</f>
        <v>BKK.32</v>
      </c>
      <c r="D15" s="542" t="str">
        <f>IF(LEN(A15)&gt;2,VLOOKUP(A15,COPY!$A$2:$O$1000,2,FALSE),"")</f>
        <v>Beli</v>
      </c>
      <c r="E15" s="607">
        <f>IF(LEN(A15)&gt;2,VLOOKUP(A15,COPY!$A$2:$O$1000,10,FALSE),"")</f>
        <v>2</v>
      </c>
      <c r="F15" s="542" t="str">
        <f>IF(LEN(A15)&gt;2,VLOOKUP(A15,COPY!$A$2:$O$1000,8,FALSE),"")</f>
        <v>Pik Up</v>
      </c>
      <c r="G15" s="543" t="str">
        <f>IF(LEN(A15)&gt;2,VLOOKUP(A15,COPY!$A$2:$O$1000,7,FALSE),"")</f>
        <v>Pasir Cor L300</v>
      </c>
      <c r="H15" s="544" t="str">
        <f t="shared" ref="H15:H78" si="0">IF(TEXT(D15,0)="Beli","@","")</f>
        <v>@</v>
      </c>
      <c r="I15" s="545">
        <f>IFERROR(IF(LEN(A15)&gt;2,VLOOKUP(A15,COPY!$A$2:$O$1000,13,FALSE),"")/E15,"")</f>
        <v>335000</v>
      </c>
      <c r="J15" s="546"/>
      <c r="K15" s="547">
        <f t="shared" ref="K15:K78" si="1">IF(E15="","",IF(E15=0,I15,IF(E15&gt;0,E15*I15,0)))</f>
        <v>670000</v>
      </c>
      <c r="L15" s="548">
        <f t="shared" ref="L15" si="2">IF(O15&gt;=0,O15,IF(O15&lt;0,0,0))</f>
        <v>20952590</v>
      </c>
      <c r="M15" s="549">
        <f t="shared" ref="M15:M78" si="3">IF(O15&lt;0,O15,IF(O15&gt;=0,0,0))</f>
        <v>0</v>
      </c>
      <c r="O15" s="538">
        <f>IF(E15="","",IF(L13&gt;0,L13-K15,IF(M13&lt;=0,M13-K15,0)))</f>
        <v>20952590</v>
      </c>
      <c r="P15" s="550"/>
      <c r="Q15" s="551"/>
    </row>
    <row r="16" spans="1:34" s="253" customFormat="1" ht="20.100000000000001" customHeight="1" x14ac:dyDescent="0.25">
      <c r="A16" s="253" t="str">
        <f t="shared" ref="A16:A79" si="4">IF(LEN(A15)&gt;2,$D$4&amp;"."&amp;IF(ROW()-ROW($A$15)+1&lt;=$A$10,ROW()-ROW($A$15)+1,""),"")</f>
        <v>2.2</v>
      </c>
      <c r="B16" s="584" t="str">
        <f>IF(LEN(A16)&gt;2,VLOOKUP(A16,COPY!$A$2:$O$1000,4,FALSE),"")</f>
        <v/>
      </c>
      <c r="C16" s="585" t="str">
        <f>IF(LEN(A16)&gt;2,VLOOKUP(A16,COPY!$A$2:$O$1000,15,FALSE),"")</f>
        <v/>
      </c>
      <c r="D16" s="542" t="str">
        <f>IF(LEN(A16)&gt;2,VLOOKUP(A16,COPY!$A$2:$O$1000,2,FALSE),"")</f>
        <v>Beli</v>
      </c>
      <c r="E16" s="607">
        <f>IF(LEN(A16)&gt;2,VLOOKUP(A16,COPY!$A$2:$O$1000,10,FALSE),"")</f>
        <v>2</v>
      </c>
      <c r="F16" s="542" t="str">
        <f>IF(LEN(A16)&gt;2,VLOOKUP(A16,COPY!$A$2:$O$1000,8,FALSE),"")</f>
        <v>Pik Up</v>
      </c>
      <c r="G16" s="543" t="str">
        <f>IF(LEN(A16)&gt;2,VLOOKUP(A16,COPY!$A$2:$O$1000,7,FALSE),"")</f>
        <v>Pasir Biasa L300</v>
      </c>
      <c r="H16" s="544" t="str">
        <f t="shared" si="0"/>
        <v>@</v>
      </c>
      <c r="I16" s="545">
        <f>IFERROR(IF(LEN(A16)&gt;2,VLOOKUP(A16,COPY!$A$2:$O$1000,13,FALSE),"")/E16,"")</f>
        <v>230000</v>
      </c>
      <c r="J16" s="546"/>
      <c r="K16" s="547">
        <f t="shared" si="1"/>
        <v>460000</v>
      </c>
      <c r="L16" s="548">
        <f t="shared" ref="L16:L79" si="5">IF(E16="","",IF(O16&gt;=0,O16,IF(O16&lt;0,0,0)))</f>
        <v>20492590</v>
      </c>
      <c r="M16" s="549">
        <f t="shared" si="3"/>
        <v>0</v>
      </c>
      <c r="O16" s="538">
        <f t="shared" ref="O16:O79" si="6">IF(E16="",O15,IF(L15&gt;0,L15-K16,IF(M15&lt;=0,M15-K16,0)))</f>
        <v>20492590</v>
      </c>
      <c r="P16" s="550"/>
      <c r="Q16" s="551"/>
    </row>
    <row r="17" spans="1:17" s="253" customFormat="1" ht="20.100000000000001" customHeight="1" x14ac:dyDescent="0.25">
      <c r="A17" s="253" t="str">
        <f t="shared" si="4"/>
        <v>2.3</v>
      </c>
      <c r="B17" s="584" t="str">
        <f>IF(LEN(A17)&gt;2,VLOOKUP(A17,COPY!$A$2:$O$1000,4,FALSE),"")</f>
        <v/>
      </c>
      <c r="C17" s="585" t="str">
        <f>IF(LEN(A17)&gt;2,VLOOKUP(A17,COPY!$A$2:$O$1000,15,FALSE),"")</f>
        <v/>
      </c>
      <c r="D17" s="542" t="str">
        <f>IF(LEN(A17)&gt;2,VLOOKUP(A17,COPY!$A$2:$O$1000,2,FALSE),"")</f>
        <v>Beli</v>
      </c>
      <c r="E17" s="607">
        <f>IF(LEN(A17)&gt;2,VLOOKUP(A17,COPY!$A$2:$O$1000,10,FALSE),"")</f>
        <v>10</v>
      </c>
      <c r="F17" s="542" t="str">
        <f>IF(LEN(A17)&gt;2,VLOOKUP(A17,COPY!$A$2:$O$1000,8,FALSE),"")</f>
        <v>Sak</v>
      </c>
      <c r="G17" s="543" t="str">
        <f>IF(LEN(A17)&gt;2,VLOOKUP(A17,COPY!$A$2:$O$1000,7,FALSE),"")</f>
        <v>Semen 3 Roda</v>
      </c>
      <c r="H17" s="544" t="str">
        <f t="shared" si="0"/>
        <v>@</v>
      </c>
      <c r="I17" s="545">
        <f>IFERROR(IF(LEN(A17)&gt;2,VLOOKUP(A17,COPY!$A$2:$O$1000,13,FALSE),"")/E17,"")</f>
        <v>52000</v>
      </c>
      <c r="J17" s="546"/>
      <c r="K17" s="547">
        <f t="shared" si="1"/>
        <v>520000</v>
      </c>
      <c r="L17" s="548">
        <f t="shared" si="5"/>
        <v>19972590</v>
      </c>
      <c r="M17" s="549">
        <f t="shared" si="3"/>
        <v>0</v>
      </c>
      <c r="O17" s="538">
        <f t="shared" si="6"/>
        <v>19972590</v>
      </c>
      <c r="P17" s="550"/>
      <c r="Q17" s="551"/>
    </row>
    <row r="18" spans="1:17" s="253" customFormat="1" ht="20.100000000000001" customHeight="1" x14ac:dyDescent="0.25">
      <c r="A18" s="253" t="str">
        <f t="shared" si="4"/>
        <v>2.4</v>
      </c>
      <c r="B18" s="584">
        <f>IF(LEN(A18)&gt;2,VLOOKUP(A18,COPY!$A$2:$O$1000,4,FALSE),"")</f>
        <v>45933</v>
      </c>
      <c r="C18" s="585" t="str">
        <f>IF(LEN(A18)&gt;2,VLOOKUP(A18,COPY!$A$2:$O$1000,15,FALSE),"")</f>
        <v>BKK.33</v>
      </c>
      <c r="D18" s="542" t="str">
        <f>IF(LEN(A18)&gt;2,VLOOKUP(A18,COPY!$A$2:$O$1000,2,FALSE),"")</f>
        <v>Beli</v>
      </c>
      <c r="E18" s="607">
        <f>IF(LEN(A18)&gt;2,VLOOKUP(A18,COPY!$A$2:$O$1000,10,FALSE),"")</f>
        <v>1</v>
      </c>
      <c r="F18" s="542" t="str">
        <f>IF(LEN(A18)&gt;2,VLOOKUP(A18,COPY!$A$2:$O$1000,8,FALSE),"")</f>
        <v>Pik Up</v>
      </c>
      <c r="G18" s="543" t="str">
        <f>IF(LEN(A18)&gt;2,VLOOKUP(A18,COPY!$A$2:$O$1000,7,FALSE),"")</f>
        <v>Pasir Cor L300</v>
      </c>
      <c r="H18" s="544" t="str">
        <f t="shared" si="0"/>
        <v>@</v>
      </c>
      <c r="I18" s="545">
        <f>IFERROR(IF(LEN(A18)&gt;2,VLOOKUP(A18,COPY!$A$2:$O$1000,13,FALSE),"")/E18,"")</f>
        <v>335000</v>
      </c>
      <c r="J18" s="546"/>
      <c r="K18" s="547">
        <f t="shared" si="1"/>
        <v>335000</v>
      </c>
      <c r="L18" s="548">
        <f t="shared" si="5"/>
        <v>19637590</v>
      </c>
      <c r="M18" s="549">
        <f t="shared" si="3"/>
        <v>0</v>
      </c>
      <c r="O18" s="538">
        <f t="shared" si="6"/>
        <v>19637590</v>
      </c>
      <c r="P18" s="550"/>
      <c r="Q18" s="551"/>
    </row>
    <row r="19" spans="1:17" s="253" customFormat="1" ht="20.100000000000001" customHeight="1" x14ac:dyDescent="0.25">
      <c r="A19" s="253" t="str">
        <f t="shared" si="4"/>
        <v>2.5</v>
      </c>
      <c r="B19" s="584" t="str">
        <f>IF(LEN(A19)&gt;2,VLOOKUP(A19,COPY!$A$2:$O$1000,4,FALSE),"")</f>
        <v/>
      </c>
      <c r="C19" s="585" t="str">
        <f>IF(LEN(A19)&gt;2,VLOOKUP(A19,COPY!$A$2:$O$1000,15,FALSE),"")</f>
        <v/>
      </c>
      <c r="D19" s="542" t="str">
        <f>IF(LEN(A19)&gt;2,VLOOKUP(A19,COPY!$A$2:$O$1000,2,FALSE),"")</f>
        <v>Beli</v>
      </c>
      <c r="E19" s="607">
        <f>IF(LEN(A19)&gt;2,VLOOKUP(A19,COPY!$A$2:$O$1000,10,FALSE),"")</f>
        <v>5</v>
      </c>
      <c r="F19" s="542" t="str">
        <f>IF(LEN(A19)&gt;2,VLOOKUP(A19,COPY!$A$2:$O$1000,8,FALSE),"")</f>
        <v>Sak</v>
      </c>
      <c r="G19" s="543" t="str">
        <f>IF(LEN(A19)&gt;2,VLOOKUP(A19,COPY!$A$2:$O$1000,7,FALSE),"")</f>
        <v>Semen Gresik 40Kg</v>
      </c>
      <c r="H19" s="544" t="str">
        <f t="shared" si="0"/>
        <v>@</v>
      </c>
      <c r="I19" s="545">
        <f>IFERROR(IF(LEN(A19)&gt;2,VLOOKUP(A19,COPY!$A$2:$O$1000,13,FALSE),"")/E19,"")</f>
        <v>58000</v>
      </c>
      <c r="J19" s="546"/>
      <c r="K19" s="547">
        <f t="shared" si="1"/>
        <v>290000</v>
      </c>
      <c r="L19" s="548">
        <f t="shared" si="5"/>
        <v>19347590</v>
      </c>
      <c r="M19" s="549">
        <f t="shared" si="3"/>
        <v>0</v>
      </c>
      <c r="O19" s="538">
        <f t="shared" si="6"/>
        <v>19347590</v>
      </c>
      <c r="P19" s="550"/>
      <c r="Q19" s="551"/>
    </row>
    <row r="20" spans="1:17" s="253" customFormat="1" ht="20.100000000000001" customHeight="1" x14ac:dyDescent="0.25">
      <c r="A20" s="253" t="str">
        <f t="shared" si="4"/>
        <v>2.6</v>
      </c>
      <c r="B20" s="584">
        <f>IF(LEN(A20)&gt;2,VLOOKUP(A20,COPY!$A$2:$O$1000,4,FALSE),"")</f>
        <v>45934</v>
      </c>
      <c r="C20" s="585" t="str">
        <f>IF(LEN(A20)&gt;2,VLOOKUP(A20,COPY!$A$2:$O$1000,15,FALSE),"")</f>
        <v>BKK.34</v>
      </c>
      <c r="D20" s="542" t="str">
        <f>IF(LEN(A20)&gt;2,VLOOKUP(A20,COPY!$A$2:$O$1000,2,FALSE),"")</f>
        <v>Bayar Ongkos</v>
      </c>
      <c r="E20" s="607">
        <f>IF(LEN(A20)&gt;2,VLOOKUP(A20,COPY!$A$2:$O$1000,10,FALSE),"")</f>
        <v>1</v>
      </c>
      <c r="F20" s="542">
        <f>IF(LEN(A20)&gt;2,VLOOKUP(A20,COPY!$A$2:$O$1000,8,FALSE),"")</f>
        <v>0</v>
      </c>
      <c r="G20" s="543" t="str">
        <f>IF(LEN(A20)&gt;2,VLOOKUP(A20,COPY!$A$2:$O$1000,7,FALSE),"")</f>
        <v>Pembayaran Pekerja Minggu Ke 5</v>
      </c>
      <c r="H20" s="544" t="str">
        <f t="shared" si="0"/>
        <v/>
      </c>
      <c r="I20" s="545">
        <f>IFERROR(IF(LEN(A20)&gt;2,VLOOKUP(A20,COPY!$A$2:$O$1000,13,FALSE),"")/E20,"")</f>
        <v>5225000</v>
      </c>
      <c r="J20" s="546"/>
      <c r="K20" s="547">
        <f t="shared" si="1"/>
        <v>5225000</v>
      </c>
      <c r="L20" s="548">
        <f t="shared" si="5"/>
        <v>14122590</v>
      </c>
      <c r="M20" s="549">
        <f t="shared" si="3"/>
        <v>0</v>
      </c>
      <c r="O20" s="538">
        <f t="shared" si="6"/>
        <v>14122590</v>
      </c>
      <c r="P20" s="550"/>
      <c r="Q20" s="551"/>
    </row>
    <row r="21" spans="1:17" s="253" customFormat="1" ht="20.100000000000001" customHeight="1" x14ac:dyDescent="0.25">
      <c r="A21" s="253" t="str">
        <f t="shared" si="4"/>
        <v>2.7</v>
      </c>
      <c r="B21" s="584">
        <f>IF(LEN(A21)&gt;2,VLOOKUP(A21,COPY!$A$2:$O$1000,4,FALSE),"")</f>
        <v>45936</v>
      </c>
      <c r="C21" s="585" t="str">
        <f>IF(LEN(A21)&gt;2,VLOOKUP(A21,COPY!$A$2:$O$1000,15,FALSE),"")</f>
        <v>BKK.35</v>
      </c>
      <c r="D21" s="542" t="str">
        <f>IF(LEN(A21)&gt;2,VLOOKUP(A21,COPY!$A$2:$O$1000,2,FALSE),"")</f>
        <v>Beli</v>
      </c>
      <c r="E21" s="607">
        <f>IF(LEN(A21)&gt;2,VLOOKUP(A21,COPY!$A$2:$O$1000,10,FALSE),"")</f>
        <v>3</v>
      </c>
      <c r="F21" s="542" t="str">
        <f>IF(LEN(A21)&gt;2,VLOOKUP(A21,COPY!$A$2:$O$1000,8,FALSE),"")</f>
        <v>Pik Up</v>
      </c>
      <c r="G21" s="543" t="str">
        <f>IF(LEN(A21)&gt;2,VLOOKUP(A21,COPY!$A$2:$O$1000,7,FALSE),"")</f>
        <v>Pasir Cor L300</v>
      </c>
      <c r="H21" s="544" t="str">
        <f t="shared" si="0"/>
        <v>@</v>
      </c>
      <c r="I21" s="545">
        <f>IFERROR(IF(LEN(A21)&gt;2,VLOOKUP(A21,COPY!$A$2:$O$1000,13,FALSE),"")/E21,"")</f>
        <v>335000</v>
      </c>
      <c r="J21" s="546"/>
      <c r="K21" s="547">
        <f t="shared" si="1"/>
        <v>1005000</v>
      </c>
      <c r="L21" s="548">
        <f t="shared" si="5"/>
        <v>13117590</v>
      </c>
      <c r="M21" s="549">
        <f t="shared" si="3"/>
        <v>0</v>
      </c>
      <c r="O21" s="538">
        <f t="shared" si="6"/>
        <v>13117590</v>
      </c>
      <c r="P21" s="550"/>
      <c r="Q21" s="551"/>
    </row>
    <row r="22" spans="1:17" s="253" customFormat="1" ht="20.100000000000001" customHeight="1" x14ac:dyDescent="0.25">
      <c r="A22" s="253" t="str">
        <f t="shared" si="4"/>
        <v>2.8</v>
      </c>
      <c r="B22" s="584" t="str">
        <f>IF(LEN(A22)&gt;2,VLOOKUP(A22,COPY!$A$2:$O$1000,4,FALSE),"")</f>
        <v/>
      </c>
      <c r="C22" s="585" t="str">
        <f>IF(LEN(A22)&gt;2,VLOOKUP(A22,COPY!$A$2:$O$1000,15,FALSE),"")</f>
        <v/>
      </c>
      <c r="D22" s="542" t="str">
        <f>IF(LEN(A22)&gt;2,VLOOKUP(A22,COPY!$A$2:$O$1000,2,FALSE),"")</f>
        <v>Beli</v>
      </c>
      <c r="E22" s="607">
        <f>IF(LEN(A22)&gt;2,VLOOKUP(A22,COPY!$A$2:$O$1000,10,FALSE),"")</f>
        <v>5</v>
      </c>
      <c r="F22" s="542" t="str">
        <f>IF(LEN(A22)&gt;2,VLOOKUP(A22,COPY!$A$2:$O$1000,8,FALSE),"")</f>
        <v>Sak</v>
      </c>
      <c r="G22" s="543" t="str">
        <f>IF(LEN(A22)&gt;2,VLOOKUP(A22,COPY!$A$2:$O$1000,7,FALSE),"")</f>
        <v>Semen Gresik 40Kg</v>
      </c>
      <c r="H22" s="544" t="str">
        <f t="shared" si="0"/>
        <v>@</v>
      </c>
      <c r="I22" s="545">
        <f>IFERROR(IF(LEN(A22)&gt;2,VLOOKUP(A22,COPY!$A$2:$O$1000,13,FALSE),"")/E22,"")</f>
        <v>58000</v>
      </c>
      <c r="J22" s="546"/>
      <c r="K22" s="547">
        <f t="shared" si="1"/>
        <v>290000</v>
      </c>
      <c r="L22" s="548">
        <f t="shared" si="5"/>
        <v>12827590</v>
      </c>
      <c r="M22" s="549">
        <f t="shared" si="3"/>
        <v>0</v>
      </c>
      <c r="O22" s="538">
        <f t="shared" si="6"/>
        <v>12827590</v>
      </c>
      <c r="P22" s="550"/>
      <c r="Q22" s="551"/>
    </row>
    <row r="23" spans="1:17" s="253" customFormat="1" ht="20.100000000000001" customHeight="1" x14ac:dyDescent="0.25">
      <c r="A23" s="253" t="str">
        <f t="shared" si="4"/>
        <v>2.9</v>
      </c>
      <c r="B23" s="584" t="str">
        <f>IF(LEN(A23)&gt;2,VLOOKUP(A23,COPY!$A$2:$O$1000,4,FALSE),"")</f>
        <v/>
      </c>
      <c r="C23" s="585" t="str">
        <f>IF(LEN(A23)&gt;2,VLOOKUP(A23,COPY!$A$2:$O$1000,15,FALSE),"")</f>
        <v/>
      </c>
      <c r="D23" s="542" t="str">
        <f>IF(LEN(A23)&gt;2,VLOOKUP(A23,COPY!$A$2:$O$1000,2,FALSE),"")</f>
        <v>Beli</v>
      </c>
      <c r="E23" s="607">
        <f>IF(LEN(A23)&gt;2,VLOOKUP(A23,COPY!$A$2:$O$1000,10,FALSE),"")</f>
        <v>8</v>
      </c>
      <c r="F23" s="542" t="str">
        <f>IF(LEN(A23)&gt;2,VLOOKUP(A23,COPY!$A$2:$O$1000,8,FALSE),"")</f>
        <v>Pcs</v>
      </c>
      <c r="G23" s="543" t="str">
        <f>IF(LEN(A23)&gt;2,VLOOKUP(A23,COPY!$A$2:$O$1000,7,FALSE),"")</f>
        <v>Lampu Philips Led Bulb 8W</v>
      </c>
      <c r="H23" s="544" t="str">
        <f t="shared" si="0"/>
        <v>@</v>
      </c>
      <c r="I23" s="545">
        <f>IFERROR(IF(LEN(A23)&gt;2,VLOOKUP(A23,COPY!$A$2:$O$1000,13,FALSE),"")/E23,"")</f>
        <v>42000</v>
      </c>
      <c r="J23" s="546"/>
      <c r="K23" s="547">
        <f t="shared" si="1"/>
        <v>336000</v>
      </c>
      <c r="L23" s="548">
        <f t="shared" si="5"/>
        <v>12491590</v>
      </c>
      <c r="M23" s="549">
        <f t="shared" si="3"/>
        <v>0</v>
      </c>
      <c r="O23" s="538">
        <f t="shared" si="6"/>
        <v>12491590</v>
      </c>
      <c r="P23" s="550"/>
      <c r="Q23" s="551"/>
    </row>
    <row r="24" spans="1:17" s="253" customFormat="1" ht="20.100000000000001" customHeight="1" x14ac:dyDescent="0.25">
      <c r="A24" s="253" t="str">
        <f t="shared" si="4"/>
        <v>2.10</v>
      </c>
      <c r="B24" s="584" t="str">
        <f>IF(LEN(A24)&gt;2,VLOOKUP(A24,COPY!$A$2:$O$1000,4,FALSE),"")</f>
        <v/>
      </c>
      <c r="C24" s="585" t="str">
        <f>IF(LEN(A24)&gt;2,VLOOKUP(A24,COPY!$A$2:$O$1000,15,FALSE),"")</f>
        <v/>
      </c>
      <c r="D24" s="542" t="str">
        <f>IF(LEN(A24)&gt;2,VLOOKUP(A24,COPY!$A$2:$O$1000,2,FALSE),"")</f>
        <v>Beli</v>
      </c>
      <c r="E24" s="607">
        <f>IF(LEN(A24)&gt;2,VLOOKUP(A24,COPY!$A$2:$O$1000,10,FALSE),"")</f>
        <v>4</v>
      </c>
      <c r="F24" s="542" t="str">
        <f>IF(LEN(A24)&gt;2,VLOOKUP(A24,COPY!$A$2:$O$1000,8,FALSE),"")</f>
        <v>Pcs</v>
      </c>
      <c r="G24" s="543" t="str">
        <f>IF(LEN(A24)&gt;2,VLOOKUP(A24,COPY!$A$2:$O$1000,7,FALSE),"")</f>
        <v>Broco Saklar Seri Ib 6622U</v>
      </c>
      <c r="H24" s="544" t="str">
        <f t="shared" si="0"/>
        <v>@</v>
      </c>
      <c r="I24" s="545">
        <f>IFERROR(IF(LEN(A24)&gt;2,VLOOKUP(A24,COPY!$A$2:$O$1000,13,FALSE),"")/E24,"")</f>
        <v>20000</v>
      </c>
      <c r="J24" s="546"/>
      <c r="K24" s="547">
        <f t="shared" si="1"/>
        <v>80000</v>
      </c>
      <c r="L24" s="548">
        <f t="shared" si="5"/>
        <v>12411590</v>
      </c>
      <c r="M24" s="549">
        <f t="shared" si="3"/>
        <v>0</v>
      </c>
      <c r="O24" s="538">
        <f t="shared" si="6"/>
        <v>12411590</v>
      </c>
      <c r="P24" s="550"/>
      <c r="Q24" s="551"/>
    </row>
    <row r="25" spans="1:17" s="253" customFormat="1" ht="20.100000000000001" customHeight="1" x14ac:dyDescent="0.25">
      <c r="A25" s="253" t="str">
        <f t="shared" si="4"/>
        <v>2.11</v>
      </c>
      <c r="B25" s="584" t="str">
        <f>IF(LEN(A25)&gt;2,VLOOKUP(A25,COPY!$A$2:$O$1000,4,FALSE),"")</f>
        <v/>
      </c>
      <c r="C25" s="585" t="str">
        <f>IF(LEN(A25)&gt;2,VLOOKUP(A25,COPY!$A$2:$O$1000,15,FALSE),"")</f>
        <v/>
      </c>
      <c r="D25" s="542" t="str">
        <f>IF(LEN(A25)&gt;2,VLOOKUP(A25,COPY!$A$2:$O$1000,2,FALSE),"")</f>
        <v>Beli</v>
      </c>
      <c r="E25" s="607">
        <f>IF(LEN(A25)&gt;2,VLOOKUP(A25,COPY!$A$2:$O$1000,10,FALSE),"")</f>
        <v>8</v>
      </c>
      <c r="F25" s="542" t="str">
        <f>IF(LEN(A25)&gt;2,VLOOKUP(A25,COPY!$A$2:$O$1000,8,FALSE),"")</f>
        <v>Pcs</v>
      </c>
      <c r="G25" s="543" t="str">
        <f>IF(LEN(A25)&gt;2,VLOOKUP(A25,COPY!$A$2:$O$1000,7,FALSE),"")</f>
        <v>Fitting Plafon Kotak New Broco 1210</v>
      </c>
      <c r="H25" s="544" t="str">
        <f t="shared" si="0"/>
        <v>@</v>
      </c>
      <c r="I25" s="545">
        <f>IFERROR(IF(LEN(A25)&gt;2,VLOOKUP(A25,COPY!$A$2:$O$1000,13,FALSE),"")/E25,"")</f>
        <v>15000</v>
      </c>
      <c r="J25" s="546"/>
      <c r="K25" s="547">
        <f t="shared" si="1"/>
        <v>120000</v>
      </c>
      <c r="L25" s="548">
        <f t="shared" si="5"/>
        <v>12291590</v>
      </c>
      <c r="M25" s="549">
        <f t="shared" si="3"/>
        <v>0</v>
      </c>
      <c r="O25" s="538">
        <f t="shared" si="6"/>
        <v>12291590</v>
      </c>
      <c r="P25" s="550"/>
      <c r="Q25" s="551"/>
    </row>
    <row r="26" spans="1:17" s="253" customFormat="1" ht="20.100000000000001" customHeight="1" x14ac:dyDescent="0.25">
      <c r="A26" s="253" t="str">
        <f t="shared" si="4"/>
        <v>2.12</v>
      </c>
      <c r="B26" s="584" t="str">
        <f>IF(LEN(A26)&gt;2,VLOOKUP(A26,COPY!$A$2:$O$1000,4,FALSE),"")</f>
        <v/>
      </c>
      <c r="C26" s="585" t="str">
        <f>IF(LEN(A26)&gt;2,VLOOKUP(A26,COPY!$A$2:$O$1000,15,FALSE),"")</f>
        <v/>
      </c>
      <c r="D26" s="542" t="str">
        <f>IF(LEN(A26)&gt;2,VLOOKUP(A26,COPY!$A$2:$O$1000,2,FALSE),"")</f>
        <v>Beli</v>
      </c>
      <c r="E26" s="607">
        <f>IF(LEN(A26)&gt;2,VLOOKUP(A26,COPY!$A$2:$O$1000,10,FALSE),"")</f>
        <v>10</v>
      </c>
      <c r="F26" s="542" t="str">
        <f>IF(LEN(A26)&gt;2,VLOOKUP(A26,COPY!$A$2:$O$1000,8,FALSE),"")</f>
        <v>Ljr</v>
      </c>
      <c r="G26" s="543" t="str">
        <f>IF(LEN(A26)&gt;2,VLOOKUP(A26,COPY!$A$2:$O$1000,7,FALSE),"")</f>
        <v>Pipa Listrik Nisso</v>
      </c>
      <c r="H26" s="544" t="str">
        <f t="shared" si="0"/>
        <v>@</v>
      </c>
      <c r="I26" s="545">
        <f>IFERROR(IF(LEN(A26)&gt;2,VLOOKUP(A26,COPY!$A$2:$O$1000,13,FALSE),"")/E26,"")</f>
        <v>10000</v>
      </c>
      <c r="J26" s="546"/>
      <c r="K26" s="547">
        <f t="shared" si="1"/>
        <v>100000</v>
      </c>
      <c r="L26" s="548">
        <f t="shared" si="5"/>
        <v>12191590</v>
      </c>
      <c r="M26" s="549">
        <f t="shared" si="3"/>
        <v>0</v>
      </c>
      <c r="O26" s="538">
        <f t="shared" si="6"/>
        <v>12191590</v>
      </c>
      <c r="P26" s="550"/>
      <c r="Q26" s="551"/>
    </row>
    <row r="27" spans="1:17" s="253" customFormat="1" ht="20.100000000000001" customHeight="1" x14ac:dyDescent="0.25">
      <c r="A27" s="253" t="str">
        <f t="shared" si="4"/>
        <v>2.13</v>
      </c>
      <c r="B27" s="584" t="str">
        <f>IF(LEN(A27)&gt;2,VLOOKUP(A27,COPY!$A$2:$O$1000,4,FALSE),"")</f>
        <v/>
      </c>
      <c r="C27" s="585" t="str">
        <f>IF(LEN(A27)&gt;2,VLOOKUP(A27,COPY!$A$2:$O$1000,15,FALSE),"")</f>
        <v/>
      </c>
      <c r="D27" s="542" t="str">
        <f>IF(LEN(A27)&gt;2,VLOOKUP(A27,COPY!$A$2:$O$1000,2,FALSE),"")</f>
        <v>Beli</v>
      </c>
      <c r="E27" s="607">
        <f>IF(LEN(A27)&gt;2,VLOOKUP(A27,COPY!$A$2:$O$1000,10,FALSE),"")</f>
        <v>30</v>
      </c>
      <c r="F27" s="542" t="str">
        <f>IF(LEN(A27)&gt;2,VLOOKUP(A27,COPY!$A$2:$O$1000,8,FALSE),"")</f>
        <v>Pcs</v>
      </c>
      <c r="G27" s="543" t="str">
        <f>IF(LEN(A27)&gt;2,VLOOKUP(A27,COPY!$A$2:$O$1000,7,FALSE),"")</f>
        <v>Supreme 2 X 0.75 Nymhy</v>
      </c>
      <c r="H27" s="544" t="str">
        <f t="shared" si="0"/>
        <v>@</v>
      </c>
      <c r="I27" s="545">
        <f>IFERROR(IF(LEN(A27)&gt;2,VLOOKUP(A27,COPY!$A$2:$O$1000,13,FALSE),"")/E27,"")</f>
        <v>9000</v>
      </c>
      <c r="J27" s="546"/>
      <c r="K27" s="547">
        <f t="shared" si="1"/>
        <v>270000</v>
      </c>
      <c r="L27" s="548">
        <f t="shared" si="5"/>
        <v>11921590</v>
      </c>
      <c r="M27" s="549">
        <f t="shared" si="3"/>
        <v>0</v>
      </c>
      <c r="O27" s="538">
        <f t="shared" si="6"/>
        <v>11921590</v>
      </c>
      <c r="P27" s="550"/>
      <c r="Q27" s="551"/>
    </row>
    <row r="28" spans="1:17" s="253" customFormat="1" ht="20.100000000000001" customHeight="1" x14ac:dyDescent="0.25">
      <c r="A28" s="253" t="str">
        <f t="shared" si="4"/>
        <v>2.14</v>
      </c>
      <c r="B28" s="584" t="str">
        <f>IF(LEN(A28)&gt;2,VLOOKUP(A28,COPY!$A$2:$O$1000,4,FALSE),"")</f>
        <v/>
      </c>
      <c r="C28" s="585" t="str">
        <f>IF(LEN(A28)&gt;2,VLOOKUP(A28,COPY!$A$2:$O$1000,15,FALSE),"")</f>
        <v/>
      </c>
      <c r="D28" s="542" t="str">
        <f>IF(LEN(A28)&gt;2,VLOOKUP(A28,COPY!$A$2:$O$1000,2,FALSE),"")</f>
        <v>Beli</v>
      </c>
      <c r="E28" s="607">
        <f>IF(LEN(A28)&gt;2,VLOOKUP(A28,COPY!$A$2:$O$1000,10,FALSE),"")</f>
        <v>4</v>
      </c>
      <c r="F28" s="542" t="str">
        <f>IF(LEN(A28)&gt;2,VLOOKUP(A28,COPY!$A$2:$O$1000,8,FALSE),"")</f>
        <v>m</v>
      </c>
      <c r="G28" s="543" t="str">
        <f>IF(LEN(A28)&gt;2,VLOOKUP(A28,COPY!$A$2:$O$1000,7,FALSE),"")</f>
        <v>Spiral Listrik</v>
      </c>
      <c r="H28" s="544" t="str">
        <f t="shared" si="0"/>
        <v>@</v>
      </c>
      <c r="I28" s="545">
        <f>IFERROR(IF(LEN(A28)&gt;2,VLOOKUP(A28,COPY!$A$2:$O$1000,13,FALSE),"")/E28,"")</f>
        <v>5000</v>
      </c>
      <c r="J28" s="546"/>
      <c r="K28" s="547">
        <f t="shared" si="1"/>
        <v>20000</v>
      </c>
      <c r="L28" s="548">
        <f t="shared" si="5"/>
        <v>11901590</v>
      </c>
      <c r="M28" s="549">
        <f t="shared" si="3"/>
        <v>0</v>
      </c>
      <c r="O28" s="538">
        <f t="shared" si="6"/>
        <v>11901590</v>
      </c>
      <c r="P28" s="550"/>
      <c r="Q28" s="551"/>
    </row>
    <row r="29" spans="1:17" s="253" customFormat="1" ht="20.100000000000001" customHeight="1" x14ac:dyDescent="0.25">
      <c r="A29" s="253" t="str">
        <f t="shared" si="4"/>
        <v>2.15</v>
      </c>
      <c r="B29" s="584" t="str">
        <f>IF(LEN(A29)&gt;2,VLOOKUP(A29,COPY!$A$2:$O$1000,4,FALSE),"")</f>
        <v/>
      </c>
      <c r="C29" s="585" t="str">
        <f>IF(LEN(A29)&gt;2,VLOOKUP(A29,COPY!$A$2:$O$1000,15,FALSE),"")</f>
        <v/>
      </c>
      <c r="D29" s="542" t="str">
        <f>IF(LEN(A29)&gt;2,VLOOKUP(A29,COPY!$A$2:$O$1000,2,FALSE),"")</f>
        <v>Beli</v>
      </c>
      <c r="E29" s="607">
        <f>IF(LEN(A29)&gt;2,VLOOKUP(A29,COPY!$A$2:$O$1000,10,FALSE),"")</f>
        <v>2</v>
      </c>
      <c r="F29" s="542" t="str">
        <f>IF(LEN(A29)&gt;2,VLOOKUP(A29,COPY!$A$2:$O$1000,8,FALSE),"")</f>
        <v>Pcs</v>
      </c>
      <c r="G29" s="543" t="str">
        <f>IF(LEN(A29)&gt;2,VLOOKUP(A29,COPY!$A$2:$O$1000,7,FALSE),"")</f>
        <v>Isolasi Kabel National</v>
      </c>
      <c r="H29" s="544" t="str">
        <f t="shared" si="0"/>
        <v>@</v>
      </c>
      <c r="I29" s="545">
        <f>IFERROR(IF(LEN(A29)&gt;2,VLOOKUP(A29,COPY!$A$2:$O$1000,13,FALSE),"")/E29,"")</f>
        <v>10000</v>
      </c>
      <c r="J29" s="546"/>
      <c r="K29" s="547">
        <f t="shared" si="1"/>
        <v>20000</v>
      </c>
      <c r="L29" s="548">
        <f t="shared" si="5"/>
        <v>11881590</v>
      </c>
      <c r="M29" s="549">
        <f t="shared" si="3"/>
        <v>0</v>
      </c>
      <c r="O29" s="538">
        <f t="shared" si="6"/>
        <v>11881590</v>
      </c>
      <c r="P29" s="550"/>
      <c r="Q29" s="551"/>
    </row>
    <row r="30" spans="1:17" s="253" customFormat="1" ht="20.100000000000001" customHeight="1" x14ac:dyDescent="0.25">
      <c r="A30" s="253" t="str">
        <f t="shared" si="4"/>
        <v>2.16</v>
      </c>
      <c r="B30" s="584" t="str">
        <f>IF(LEN(A30)&gt;2,VLOOKUP(A30,COPY!$A$2:$O$1000,4,FALSE),"")</f>
        <v/>
      </c>
      <c r="C30" s="585" t="str">
        <f>IF(LEN(A30)&gt;2,VLOOKUP(A30,COPY!$A$2:$O$1000,15,FALSE),"")</f>
        <v/>
      </c>
      <c r="D30" s="542" t="str">
        <f>IF(LEN(A30)&gt;2,VLOOKUP(A30,COPY!$A$2:$O$1000,2,FALSE),"")</f>
        <v>Beli</v>
      </c>
      <c r="E30" s="607">
        <f>IF(LEN(A30)&gt;2,VLOOKUP(A30,COPY!$A$2:$O$1000,10,FALSE),"")</f>
        <v>1</v>
      </c>
      <c r="F30" s="542" t="str">
        <f>IF(LEN(A30)&gt;2,VLOOKUP(A30,COPY!$A$2:$O$1000,8,FALSE),"")</f>
        <v>Roll</v>
      </c>
      <c r="G30" s="543" t="str">
        <f>IF(LEN(A30)&gt;2,VLOOKUP(A30,COPY!$A$2:$O$1000,7,FALSE),"")</f>
        <v>Kabel Nyy 2 X 1.5</v>
      </c>
      <c r="H30" s="544" t="str">
        <f t="shared" si="0"/>
        <v>@</v>
      </c>
      <c r="I30" s="545">
        <f>IFERROR(IF(LEN(A30)&gt;2,VLOOKUP(A30,COPY!$A$2:$O$1000,13,FALSE),"")/E30,"")</f>
        <v>405000</v>
      </c>
      <c r="J30" s="546"/>
      <c r="K30" s="547">
        <f t="shared" si="1"/>
        <v>405000</v>
      </c>
      <c r="L30" s="548">
        <f t="shared" si="5"/>
        <v>11476590</v>
      </c>
      <c r="M30" s="549">
        <f t="shared" si="3"/>
        <v>0</v>
      </c>
      <c r="O30" s="538">
        <f t="shared" si="6"/>
        <v>11476590</v>
      </c>
      <c r="P30" s="550"/>
      <c r="Q30" s="551"/>
    </row>
    <row r="31" spans="1:17" s="253" customFormat="1" ht="20.100000000000001" customHeight="1" x14ac:dyDescent="0.25">
      <c r="A31" s="253" t="str">
        <f t="shared" si="4"/>
        <v>2.17</v>
      </c>
      <c r="B31" s="584" t="str">
        <f>IF(LEN(A31)&gt;2,VLOOKUP(A31,COPY!$A$2:$O$1000,4,FALSE),"")</f>
        <v/>
      </c>
      <c r="C31" s="585" t="str">
        <f>IF(LEN(A31)&gt;2,VLOOKUP(A31,COPY!$A$2:$O$1000,15,FALSE),"")</f>
        <v/>
      </c>
      <c r="D31" s="542" t="str">
        <f>IF(LEN(A31)&gt;2,VLOOKUP(A31,COPY!$A$2:$O$1000,2,FALSE),"")</f>
        <v>Beli</v>
      </c>
      <c r="E31" s="607">
        <f>IF(LEN(A31)&gt;2,VLOOKUP(A31,COPY!$A$2:$O$1000,10,FALSE),"")</f>
        <v>1</v>
      </c>
      <c r="F31" s="542" t="str">
        <f>IF(LEN(A31)&gt;2,VLOOKUP(A31,COPY!$A$2:$O$1000,8,FALSE),"")</f>
        <v>pak</v>
      </c>
      <c r="G31" s="543" t="str">
        <f>IF(LEN(A31)&gt;2,VLOOKUP(A31,COPY!$A$2:$O$1000,7,FALSE),"")</f>
        <v>Kabel Tis Besar</v>
      </c>
      <c r="H31" s="544" t="str">
        <f t="shared" si="0"/>
        <v>@</v>
      </c>
      <c r="I31" s="545">
        <f>IFERROR(IF(LEN(A31)&gt;2,VLOOKUP(A31,COPY!$A$2:$O$1000,13,FALSE),"")/E31,"")</f>
        <v>17000</v>
      </c>
      <c r="J31" s="546"/>
      <c r="K31" s="547">
        <f t="shared" si="1"/>
        <v>17000</v>
      </c>
      <c r="L31" s="548">
        <f t="shared" si="5"/>
        <v>11459590</v>
      </c>
      <c r="M31" s="549">
        <f t="shared" si="3"/>
        <v>0</v>
      </c>
      <c r="O31" s="538">
        <f t="shared" si="6"/>
        <v>11459590</v>
      </c>
      <c r="P31" s="550"/>
      <c r="Q31" s="551"/>
    </row>
    <row r="32" spans="1:17" s="253" customFormat="1" ht="20.100000000000001" customHeight="1" x14ac:dyDescent="0.25">
      <c r="A32" s="253" t="str">
        <f t="shared" si="4"/>
        <v>2.18</v>
      </c>
      <c r="B32" s="584">
        <f>IF(LEN(A32)&gt;2,VLOOKUP(A32,COPY!$A$2:$O$1000,4,FALSE),"")</f>
        <v>45937</v>
      </c>
      <c r="C32" s="585" t="str">
        <f>IF(LEN(A32)&gt;2,VLOOKUP(A32,COPY!$A$2:$O$1000,15,FALSE),"")</f>
        <v>BKK.36</v>
      </c>
      <c r="D32" s="542" t="str">
        <f>IF(LEN(A32)&gt;2,VLOOKUP(A32,COPY!$A$2:$O$1000,2,FALSE),"")</f>
        <v>Beli</v>
      </c>
      <c r="E32" s="607">
        <f>IF(LEN(A32)&gt;2,VLOOKUP(A32,COPY!$A$2:$O$1000,10,FALSE),"")</f>
        <v>15</v>
      </c>
      <c r="F32" s="542" t="str">
        <f>IF(LEN(A32)&gt;2,VLOOKUP(A32,COPY!$A$2:$O$1000,8,FALSE),"")</f>
        <v>Dus</v>
      </c>
      <c r="G32" s="543" t="str">
        <f>IF(LEN(A32)&gt;2,VLOOKUP(A32,COPY!$A$2:$O$1000,7,FALSE),"")</f>
        <v>Keramik 25X25 Everst Platinum</v>
      </c>
      <c r="H32" s="544" t="str">
        <f t="shared" si="0"/>
        <v>@</v>
      </c>
      <c r="I32" s="545">
        <f>IFERROR(IF(LEN(A32)&gt;2,VLOOKUP(A32,COPY!$A$2:$O$1000,13,FALSE),"")/E32,"")</f>
        <v>65000</v>
      </c>
      <c r="J32" s="546"/>
      <c r="K32" s="547">
        <f t="shared" si="1"/>
        <v>975000</v>
      </c>
      <c r="L32" s="548">
        <f t="shared" si="5"/>
        <v>10484590</v>
      </c>
      <c r="M32" s="549">
        <f t="shared" si="3"/>
        <v>0</v>
      </c>
      <c r="O32" s="538">
        <f t="shared" si="6"/>
        <v>10484590</v>
      </c>
      <c r="P32" s="550"/>
      <c r="Q32" s="551"/>
    </row>
    <row r="33" spans="1:17" s="253" customFormat="1" ht="20.100000000000001" customHeight="1" x14ac:dyDescent="0.25">
      <c r="A33" s="253" t="str">
        <f t="shared" si="4"/>
        <v>2.19</v>
      </c>
      <c r="B33" s="584" t="str">
        <f>IF(LEN(A33)&gt;2,VLOOKUP(A33,COPY!$A$2:$O$1000,4,FALSE),"")</f>
        <v/>
      </c>
      <c r="C33" s="585" t="str">
        <f>IF(LEN(A33)&gt;2,VLOOKUP(A33,COPY!$A$2:$O$1000,15,FALSE),"")</f>
        <v/>
      </c>
      <c r="D33" s="542" t="str">
        <f>IF(LEN(A33)&gt;2,VLOOKUP(A33,COPY!$A$2:$O$1000,2,FALSE),"")</f>
        <v>Beli</v>
      </c>
      <c r="E33" s="607">
        <f>IF(LEN(A33)&gt;2,VLOOKUP(A33,COPY!$A$2:$O$1000,10,FALSE),"")</f>
        <v>10</v>
      </c>
      <c r="F33" s="542" t="str">
        <f>IF(LEN(A33)&gt;2,VLOOKUP(A33,COPY!$A$2:$O$1000,8,FALSE),"")</f>
        <v>Dus</v>
      </c>
      <c r="G33" s="543" t="str">
        <f>IF(LEN(A33)&gt;2,VLOOKUP(A33,COPY!$A$2:$O$1000,7,FALSE),"")</f>
        <v>Keramik Dinding 25 X 40 Novana Perla</v>
      </c>
      <c r="H33" s="544" t="str">
        <f t="shared" si="0"/>
        <v>@</v>
      </c>
      <c r="I33" s="545">
        <f>IFERROR(IF(LEN(A33)&gt;2,VLOOKUP(A33,COPY!$A$2:$O$1000,13,FALSE),"")/E33,"")</f>
        <v>75000</v>
      </c>
      <c r="J33" s="546"/>
      <c r="K33" s="547">
        <f t="shared" si="1"/>
        <v>750000</v>
      </c>
      <c r="L33" s="548">
        <f t="shared" si="5"/>
        <v>9734590</v>
      </c>
      <c r="M33" s="549">
        <f t="shared" si="3"/>
        <v>0</v>
      </c>
      <c r="O33" s="538">
        <f t="shared" si="6"/>
        <v>9734590</v>
      </c>
      <c r="P33" s="550"/>
      <c r="Q33" s="551"/>
    </row>
    <row r="34" spans="1:17" s="253" customFormat="1" ht="20.100000000000001" customHeight="1" x14ac:dyDescent="0.25">
      <c r="A34" s="253" t="str">
        <f t="shared" si="4"/>
        <v>2.20</v>
      </c>
      <c r="B34" s="584">
        <f>IF(LEN(A34)&gt;2,VLOOKUP(A34,COPY!$A$2:$O$1000,4,FALSE),"")</f>
        <v>45938</v>
      </c>
      <c r="C34" s="585" t="str">
        <f>IF(LEN(A34)&gt;2,VLOOKUP(A34,COPY!$A$2:$O$1000,15,FALSE),"")</f>
        <v>BKK.37</v>
      </c>
      <c r="D34" s="542" t="str">
        <f>IF(LEN(A34)&gt;2,VLOOKUP(A34,COPY!$A$2:$O$1000,2,FALSE),"")</f>
        <v>Beli</v>
      </c>
      <c r="E34" s="607">
        <f>IF(LEN(A34)&gt;2,VLOOKUP(A34,COPY!$A$2:$O$1000,10,FALSE),"")</f>
        <v>1</v>
      </c>
      <c r="F34" s="542" t="str">
        <f>IF(LEN(A34)&gt;2,VLOOKUP(A34,COPY!$A$2:$O$1000,8,FALSE),"")</f>
        <v>Pik Up</v>
      </c>
      <c r="G34" s="543" t="str">
        <f>IF(LEN(A34)&gt;2,VLOOKUP(A34,COPY!$A$2:$O$1000,7,FALSE),"")</f>
        <v>Pasir Cor L300</v>
      </c>
      <c r="H34" s="544" t="str">
        <f t="shared" si="0"/>
        <v>@</v>
      </c>
      <c r="I34" s="545">
        <f>IFERROR(IF(LEN(A34)&gt;2,VLOOKUP(A34,COPY!$A$2:$O$1000,13,FALSE),"")/E34,"")</f>
        <v>335000</v>
      </c>
      <c r="J34" s="546"/>
      <c r="K34" s="547">
        <f t="shared" si="1"/>
        <v>335000</v>
      </c>
      <c r="L34" s="548">
        <f t="shared" si="5"/>
        <v>9399590</v>
      </c>
      <c r="M34" s="549">
        <f t="shared" si="3"/>
        <v>0</v>
      </c>
      <c r="O34" s="538">
        <f t="shared" si="6"/>
        <v>9399590</v>
      </c>
      <c r="P34" s="550"/>
      <c r="Q34" s="551"/>
    </row>
    <row r="35" spans="1:17" s="253" customFormat="1" ht="20.100000000000001" customHeight="1" x14ac:dyDescent="0.25">
      <c r="A35" s="253" t="str">
        <f t="shared" si="4"/>
        <v>2.21</v>
      </c>
      <c r="B35" s="584" t="str">
        <f>IF(LEN(A35)&gt;2,VLOOKUP(A35,COPY!$A$2:$O$1000,4,FALSE),"")</f>
        <v/>
      </c>
      <c r="C35" s="585" t="str">
        <f>IF(LEN(A35)&gt;2,VLOOKUP(A35,COPY!$A$2:$O$1000,15,FALSE),"")</f>
        <v/>
      </c>
      <c r="D35" s="542" t="str">
        <f>IF(LEN(A35)&gt;2,VLOOKUP(A35,COPY!$A$2:$O$1000,2,FALSE),"")</f>
        <v>Beli</v>
      </c>
      <c r="E35" s="607">
        <f>IF(LEN(A35)&gt;2,VLOOKUP(A35,COPY!$A$2:$O$1000,10,FALSE),"")</f>
        <v>1000</v>
      </c>
      <c r="F35" s="542" t="str">
        <f>IF(LEN(A35)&gt;2,VLOOKUP(A35,COPY!$A$2:$O$1000,8,FALSE),"")</f>
        <v>Bji</v>
      </c>
      <c r="G35" s="543" t="str">
        <f>IF(LEN(A35)&gt;2,VLOOKUP(A35,COPY!$A$2:$O$1000,7,FALSE),"")</f>
        <v>Bata Merah Super</v>
      </c>
      <c r="H35" s="544" t="str">
        <f t="shared" si="0"/>
        <v>@</v>
      </c>
      <c r="I35" s="545">
        <f>IFERROR(IF(LEN(A35)&gt;2,VLOOKUP(A35,COPY!$A$2:$O$1000,13,FALSE),"")/E35,"")</f>
        <v>550</v>
      </c>
      <c r="J35" s="546"/>
      <c r="K35" s="547">
        <f t="shared" si="1"/>
        <v>550000</v>
      </c>
      <c r="L35" s="548">
        <f t="shared" si="5"/>
        <v>8849590</v>
      </c>
      <c r="M35" s="549">
        <f t="shared" si="3"/>
        <v>0</v>
      </c>
      <c r="O35" s="538">
        <f t="shared" si="6"/>
        <v>8849590</v>
      </c>
      <c r="P35" s="550"/>
      <c r="Q35" s="551"/>
    </row>
    <row r="36" spans="1:17" s="253" customFormat="1" ht="20.100000000000001" customHeight="1" x14ac:dyDescent="0.25">
      <c r="A36" s="253" t="str">
        <f t="shared" si="4"/>
        <v>2.22</v>
      </c>
      <c r="B36" s="584" t="str">
        <f>IF(LEN(A36)&gt;2,VLOOKUP(A36,COPY!$A$2:$O$1000,4,FALSE),"")</f>
        <v/>
      </c>
      <c r="C36" s="585" t="str">
        <f>IF(LEN(A36)&gt;2,VLOOKUP(A36,COPY!$A$2:$O$1000,15,FALSE),"")</f>
        <v/>
      </c>
      <c r="D36" s="542" t="str">
        <f>IF(LEN(A36)&gt;2,VLOOKUP(A36,COPY!$A$2:$O$1000,2,FALSE),"")</f>
        <v>Beli</v>
      </c>
      <c r="E36" s="607">
        <f>IF(LEN(A36)&gt;2,VLOOKUP(A36,COPY!$A$2:$O$1000,10,FALSE),"")</f>
        <v>25</v>
      </c>
      <c r="F36" s="542" t="str">
        <f>IF(LEN(A36)&gt;2,VLOOKUP(A36,COPY!$A$2:$O$1000,8,FALSE),"")</f>
        <v>Dus</v>
      </c>
      <c r="G36" s="543" t="str">
        <f>IF(LEN(A36)&gt;2,VLOOKUP(A36,COPY!$A$2:$O$1000,7,FALSE),"")</f>
        <v>Keramik Dinding 25 X 40 Novana Perla</v>
      </c>
      <c r="H36" s="544" t="str">
        <f t="shared" si="0"/>
        <v>@</v>
      </c>
      <c r="I36" s="545">
        <f>IFERROR(IF(LEN(A36)&gt;2,VLOOKUP(A36,COPY!$A$2:$O$1000,13,FALSE),"")/E36,"")</f>
        <v>75000</v>
      </c>
      <c r="J36" s="546"/>
      <c r="K36" s="547">
        <f t="shared" si="1"/>
        <v>1875000</v>
      </c>
      <c r="L36" s="548">
        <f t="shared" si="5"/>
        <v>6974590</v>
      </c>
      <c r="M36" s="549">
        <f t="shared" si="3"/>
        <v>0</v>
      </c>
      <c r="O36" s="538">
        <f t="shared" si="6"/>
        <v>6974590</v>
      </c>
      <c r="P36" s="550"/>
      <c r="Q36" s="551"/>
    </row>
    <row r="37" spans="1:17" s="253" customFormat="1" ht="20.100000000000001" customHeight="1" x14ac:dyDescent="0.25">
      <c r="A37" s="253" t="str">
        <f t="shared" si="4"/>
        <v>2.23</v>
      </c>
      <c r="B37" s="584">
        <f>IF(LEN(A37)&gt;2,VLOOKUP(A37,COPY!$A$2:$O$1000,4,FALSE),"")</f>
        <v>45939</v>
      </c>
      <c r="C37" s="585" t="str">
        <f>IF(LEN(A37)&gt;2,VLOOKUP(A37,COPY!$A$2:$O$1000,15,FALSE),"")</f>
        <v>BKK.38</v>
      </c>
      <c r="D37" s="542" t="str">
        <f>IF(LEN(A37)&gt;2,VLOOKUP(A37,COPY!$A$2:$O$1000,2,FALSE),"")</f>
        <v>Beli</v>
      </c>
      <c r="E37" s="607">
        <f>IF(LEN(A37)&gt;2,VLOOKUP(A37,COPY!$A$2:$O$1000,10,FALSE),"")</f>
        <v>2</v>
      </c>
      <c r="F37" s="542" t="str">
        <f>IF(LEN(A37)&gt;2,VLOOKUP(A37,COPY!$A$2:$O$1000,8,FALSE),"")</f>
        <v>Pik Up</v>
      </c>
      <c r="G37" s="543" t="str">
        <f>IF(LEN(A37)&gt;2,VLOOKUP(A37,COPY!$A$2:$O$1000,7,FALSE),"")</f>
        <v>Pasir Cor L300</v>
      </c>
      <c r="H37" s="544" t="str">
        <f t="shared" si="0"/>
        <v>@</v>
      </c>
      <c r="I37" s="545">
        <f>IFERROR(IF(LEN(A37)&gt;2,VLOOKUP(A37,COPY!$A$2:$O$1000,13,FALSE),"")/E37,"")</f>
        <v>335000</v>
      </c>
      <c r="J37" s="546"/>
      <c r="K37" s="547">
        <f t="shared" si="1"/>
        <v>670000</v>
      </c>
      <c r="L37" s="548">
        <f t="shared" si="5"/>
        <v>6304590</v>
      </c>
      <c r="M37" s="549">
        <f t="shared" si="3"/>
        <v>0</v>
      </c>
      <c r="O37" s="538">
        <f t="shared" si="6"/>
        <v>6304590</v>
      </c>
      <c r="P37" s="550"/>
      <c r="Q37" s="551"/>
    </row>
    <row r="38" spans="1:17" s="253" customFormat="1" ht="20.100000000000001" customHeight="1" x14ac:dyDescent="0.25">
      <c r="A38" s="253" t="str">
        <f t="shared" si="4"/>
        <v>2.24</v>
      </c>
      <c r="B38" s="584" t="str">
        <f>IF(LEN(A38)&gt;2,VLOOKUP(A38,COPY!$A$2:$O$1000,4,FALSE),"")</f>
        <v/>
      </c>
      <c r="C38" s="585" t="str">
        <f>IF(LEN(A38)&gt;2,VLOOKUP(A38,COPY!$A$2:$O$1000,15,FALSE),"")</f>
        <v/>
      </c>
      <c r="D38" s="542" t="str">
        <f>IF(LEN(A38)&gt;2,VLOOKUP(A38,COPY!$A$2:$O$1000,2,FALSE),"")</f>
        <v>Beli</v>
      </c>
      <c r="E38" s="607">
        <f>IF(LEN(A38)&gt;2,VLOOKUP(A38,COPY!$A$2:$O$1000,10,FALSE),"")</f>
        <v>5</v>
      </c>
      <c r="F38" s="542" t="str">
        <f>IF(LEN(A38)&gt;2,VLOOKUP(A38,COPY!$A$2:$O$1000,8,FALSE),"")</f>
        <v>Sak</v>
      </c>
      <c r="G38" s="543" t="str">
        <f>IF(LEN(A38)&gt;2,VLOOKUP(A38,COPY!$A$2:$O$1000,7,FALSE),"")</f>
        <v>Semen Gresik 40Kg</v>
      </c>
      <c r="H38" s="544" t="str">
        <f t="shared" si="0"/>
        <v>@</v>
      </c>
      <c r="I38" s="545">
        <f>IFERROR(IF(LEN(A38)&gt;2,VLOOKUP(A38,COPY!$A$2:$O$1000,13,FALSE),"")/E38,"")</f>
        <v>58000</v>
      </c>
      <c r="J38" s="546"/>
      <c r="K38" s="547">
        <f t="shared" si="1"/>
        <v>290000</v>
      </c>
      <c r="L38" s="548">
        <f t="shared" si="5"/>
        <v>6014590</v>
      </c>
      <c r="M38" s="549">
        <f t="shared" si="3"/>
        <v>0</v>
      </c>
      <c r="O38" s="538">
        <f t="shared" si="6"/>
        <v>6014590</v>
      </c>
      <c r="P38" s="550"/>
      <c r="Q38" s="551"/>
    </row>
    <row r="39" spans="1:17" s="253" customFormat="1" ht="20.100000000000001" customHeight="1" x14ac:dyDescent="0.25">
      <c r="A39" s="253" t="str">
        <f t="shared" si="4"/>
        <v>2.25</v>
      </c>
      <c r="B39" s="584">
        <f>IF(LEN(A39)&gt;2,VLOOKUP(A39,COPY!$A$2:$O$1000,4,FALSE),"")</f>
        <v>45940</v>
      </c>
      <c r="C39" s="585" t="str">
        <f>IF(LEN(A39)&gt;2,VLOOKUP(A39,COPY!$A$2:$O$1000,15,FALSE),"")</f>
        <v>BKK.39</v>
      </c>
      <c r="D39" s="542" t="str">
        <f>IF(LEN(A39)&gt;2,VLOOKUP(A39,COPY!$A$2:$O$1000,2,FALSE),"")</f>
        <v>Beli</v>
      </c>
      <c r="E39" s="607">
        <f>IF(LEN(A39)&gt;2,VLOOKUP(A39,COPY!$A$2:$O$1000,10,FALSE),"")</f>
        <v>14</v>
      </c>
      <c r="F39" s="542" t="str">
        <f>IF(LEN(A39)&gt;2,VLOOKUP(A39,COPY!$A$2:$O$1000,8,FALSE),"")</f>
        <v>Bks</v>
      </c>
      <c r="G39" s="543" t="str">
        <f>IF(LEN(A39)&gt;2,VLOOKUP(A39,COPY!$A$2:$O$1000,7,FALSE),"")</f>
        <v>Kosumsi Rapat Peninjauan 75%</v>
      </c>
      <c r="H39" s="544" t="str">
        <f t="shared" si="0"/>
        <v>@</v>
      </c>
      <c r="I39" s="545">
        <f>IFERROR(IF(LEN(A39)&gt;2,VLOOKUP(A39,COPY!$A$2:$O$1000,13,FALSE),"")/E39,"")</f>
        <v>30000</v>
      </c>
      <c r="J39" s="546"/>
      <c r="K39" s="547">
        <f t="shared" si="1"/>
        <v>420000</v>
      </c>
      <c r="L39" s="548">
        <f t="shared" si="5"/>
        <v>5594590</v>
      </c>
      <c r="M39" s="549">
        <f t="shared" si="3"/>
        <v>0</v>
      </c>
      <c r="O39" s="538">
        <f t="shared" si="6"/>
        <v>5594590</v>
      </c>
      <c r="P39" s="550"/>
      <c r="Q39" s="551"/>
    </row>
    <row r="40" spans="1:17" s="253" customFormat="1" ht="20.100000000000001" customHeight="1" x14ac:dyDescent="0.25">
      <c r="A40" s="253" t="str">
        <f t="shared" si="4"/>
        <v>2.26</v>
      </c>
      <c r="B40" s="584">
        <f>IF(LEN(A40)&gt;2,VLOOKUP(A40,COPY!$A$2:$O$1000,4,FALSE),"")</f>
        <v>45941</v>
      </c>
      <c r="C40" s="585" t="str">
        <f>IF(LEN(A40)&gt;2,VLOOKUP(A40,COPY!$A$2:$O$1000,15,FALSE),"")</f>
        <v>BKK.40</v>
      </c>
      <c r="D40" s="542" t="str">
        <f>IF(LEN(A40)&gt;2,VLOOKUP(A40,COPY!$A$2:$O$1000,2,FALSE),"")</f>
        <v>Beli</v>
      </c>
      <c r="E40" s="607">
        <f>IF(LEN(A40)&gt;2,VLOOKUP(A40,COPY!$A$2:$O$1000,10,FALSE),"")</f>
        <v>2</v>
      </c>
      <c r="F40" s="542" t="str">
        <f>IF(LEN(A40)&gt;2,VLOOKUP(A40,COPY!$A$2:$O$1000,8,FALSE),"")</f>
        <v>Pik Up</v>
      </c>
      <c r="G40" s="543" t="str">
        <f>IF(LEN(A40)&gt;2,VLOOKUP(A40,COPY!$A$2:$O$1000,7,FALSE),"")</f>
        <v>Pasir Biasa L300</v>
      </c>
      <c r="H40" s="544" t="str">
        <f t="shared" si="0"/>
        <v>@</v>
      </c>
      <c r="I40" s="545">
        <f>IFERROR(IF(LEN(A40)&gt;2,VLOOKUP(A40,COPY!$A$2:$O$1000,13,FALSE),"")/E40,"")</f>
        <v>230000</v>
      </c>
      <c r="J40" s="546"/>
      <c r="K40" s="547">
        <f t="shared" si="1"/>
        <v>460000</v>
      </c>
      <c r="L40" s="548">
        <f t="shared" si="5"/>
        <v>5134590</v>
      </c>
      <c r="M40" s="549">
        <f t="shared" si="3"/>
        <v>0</v>
      </c>
      <c r="O40" s="538">
        <f t="shared" si="6"/>
        <v>5134590</v>
      </c>
      <c r="P40" s="550"/>
      <c r="Q40" s="551"/>
    </row>
    <row r="41" spans="1:17" s="253" customFormat="1" ht="20.100000000000001" customHeight="1" x14ac:dyDescent="0.25">
      <c r="A41" s="253" t="str">
        <f t="shared" si="4"/>
        <v>2.27</v>
      </c>
      <c r="B41" s="584" t="str">
        <f>IF(LEN(A41)&gt;2,VLOOKUP(A41,COPY!$A$2:$O$1000,4,FALSE),"")</f>
        <v/>
      </c>
      <c r="C41" s="585" t="str">
        <f>IF(LEN(A41)&gt;2,VLOOKUP(A41,COPY!$A$2:$O$1000,15,FALSE),"")</f>
        <v/>
      </c>
      <c r="D41" s="542" t="str">
        <f>IF(LEN(A41)&gt;2,VLOOKUP(A41,COPY!$A$2:$O$1000,2,FALSE),"")</f>
        <v>Beli</v>
      </c>
      <c r="E41" s="607">
        <f>IF(LEN(A41)&gt;2,VLOOKUP(A41,COPY!$A$2:$O$1000,10,FALSE),"")</f>
        <v>1</v>
      </c>
      <c r="F41" s="542" t="str">
        <f>IF(LEN(A41)&gt;2,VLOOKUP(A41,COPY!$A$2:$O$1000,8,FALSE),"")</f>
        <v>Pik Up</v>
      </c>
      <c r="G41" s="543" t="str">
        <f>IF(LEN(A41)&gt;2,VLOOKUP(A41,COPY!$A$2:$O$1000,7,FALSE),"")</f>
        <v>Koral L300</v>
      </c>
      <c r="H41" s="544" t="str">
        <f t="shared" si="0"/>
        <v>@</v>
      </c>
      <c r="I41" s="545">
        <f>IFERROR(IF(LEN(A41)&gt;2,VLOOKUP(A41,COPY!$A$2:$O$1000,13,FALSE),"")/E41,"")</f>
        <v>350000</v>
      </c>
      <c r="J41" s="546"/>
      <c r="K41" s="547">
        <f t="shared" si="1"/>
        <v>350000</v>
      </c>
      <c r="L41" s="548">
        <f t="shared" si="5"/>
        <v>4784590</v>
      </c>
      <c r="M41" s="549">
        <f t="shared" si="3"/>
        <v>0</v>
      </c>
      <c r="O41" s="538">
        <f t="shared" si="6"/>
        <v>4784590</v>
      </c>
      <c r="P41" s="550"/>
      <c r="Q41" s="551"/>
    </row>
    <row r="42" spans="1:17" s="253" customFormat="1" ht="20.100000000000001" customHeight="1" x14ac:dyDescent="0.25">
      <c r="A42" s="253" t="str">
        <f t="shared" si="4"/>
        <v>2.28</v>
      </c>
      <c r="B42" s="584" t="str">
        <f>IF(LEN(A42)&gt;2,VLOOKUP(A42,COPY!$A$2:$O$1000,4,FALSE),"")</f>
        <v/>
      </c>
      <c r="C42" s="585" t="str">
        <f>IF(LEN(A42)&gt;2,VLOOKUP(A42,COPY!$A$2:$O$1000,15,FALSE),"")</f>
        <v/>
      </c>
      <c r="D42" s="542" t="str">
        <f>IF(LEN(A42)&gt;2,VLOOKUP(A42,COPY!$A$2:$O$1000,2,FALSE),"")</f>
        <v>Beli</v>
      </c>
      <c r="E42" s="607">
        <f>IF(LEN(A42)&gt;2,VLOOKUP(A42,COPY!$A$2:$O$1000,10,FALSE),"")</f>
        <v>15</v>
      </c>
      <c r="F42" s="542" t="str">
        <f>IF(LEN(A42)&gt;2,VLOOKUP(A42,COPY!$A$2:$O$1000,8,FALSE),"")</f>
        <v>Sak</v>
      </c>
      <c r="G42" s="543" t="str">
        <f>IF(LEN(A42)&gt;2,VLOOKUP(A42,COPY!$A$2:$O$1000,7,FALSE),"")</f>
        <v>Semen 3 Roda</v>
      </c>
      <c r="H42" s="544" t="str">
        <f t="shared" si="0"/>
        <v>@</v>
      </c>
      <c r="I42" s="545">
        <f>IFERROR(IF(LEN(A42)&gt;2,VLOOKUP(A42,COPY!$A$2:$O$1000,13,FALSE),"")/E42,"")</f>
        <v>52000</v>
      </c>
      <c r="J42" s="546"/>
      <c r="K42" s="547">
        <f t="shared" si="1"/>
        <v>780000</v>
      </c>
      <c r="L42" s="548">
        <f t="shared" si="5"/>
        <v>4004590</v>
      </c>
      <c r="M42" s="549">
        <f t="shared" si="3"/>
        <v>0</v>
      </c>
      <c r="O42" s="538">
        <f t="shared" si="6"/>
        <v>4004590</v>
      </c>
      <c r="P42" s="550"/>
      <c r="Q42" s="551"/>
    </row>
    <row r="43" spans="1:17" s="253" customFormat="1" ht="20.100000000000001" customHeight="1" x14ac:dyDescent="0.25">
      <c r="A43" s="253" t="str">
        <f t="shared" si="4"/>
        <v>2.29</v>
      </c>
      <c r="B43" s="584" t="str">
        <f>IF(LEN(A43)&gt;2,VLOOKUP(A43,COPY!$A$2:$O$1000,4,FALSE),"")</f>
        <v/>
      </c>
      <c r="C43" s="585" t="str">
        <f>IF(LEN(A43)&gt;2,VLOOKUP(A43,COPY!$A$2:$O$1000,15,FALSE),"")</f>
        <v/>
      </c>
      <c r="D43" s="542" t="str">
        <f>IF(LEN(A43)&gt;2,VLOOKUP(A43,COPY!$A$2:$O$1000,2,FALSE),"")</f>
        <v>Beli</v>
      </c>
      <c r="E43" s="607">
        <f>IF(LEN(A43)&gt;2,VLOOKUP(A43,COPY!$A$2:$O$1000,10,FALSE),"")</f>
        <v>8</v>
      </c>
      <c r="F43" s="542" t="str">
        <f>IF(LEN(A43)&gt;2,VLOOKUP(A43,COPY!$A$2:$O$1000,8,FALSE),"")</f>
        <v>Pcs</v>
      </c>
      <c r="G43" s="543" t="str">
        <f>IF(LEN(A43)&gt;2,VLOOKUP(A43,COPY!$A$2:$O$1000,7,FALSE),"")</f>
        <v>Avour Lantai PVC</v>
      </c>
      <c r="H43" s="544" t="str">
        <f t="shared" si="0"/>
        <v>@</v>
      </c>
      <c r="I43" s="545">
        <f>IFERROR(IF(LEN(A43)&gt;2,VLOOKUP(A43,COPY!$A$2:$O$1000,13,FALSE),"")/E43,"")</f>
        <v>45000</v>
      </c>
      <c r="J43" s="546"/>
      <c r="K43" s="547">
        <f t="shared" si="1"/>
        <v>360000</v>
      </c>
      <c r="L43" s="548">
        <f t="shared" si="5"/>
        <v>3644590</v>
      </c>
      <c r="M43" s="549">
        <f t="shared" si="3"/>
        <v>0</v>
      </c>
      <c r="O43" s="538">
        <f t="shared" si="6"/>
        <v>3644590</v>
      </c>
      <c r="P43" s="550"/>
      <c r="Q43" s="551"/>
    </row>
    <row r="44" spans="1:17" s="253" customFormat="1" ht="20.100000000000001" customHeight="1" x14ac:dyDescent="0.25">
      <c r="A44" s="253" t="str">
        <f t="shared" si="4"/>
        <v>2.30</v>
      </c>
      <c r="B44" s="584">
        <f>IF(LEN(A44)&gt;2,VLOOKUP(A44,COPY!$A$2:$O$1000,4,FALSE),"")</f>
        <v>45941</v>
      </c>
      <c r="C44" s="585" t="str">
        <f>IF(LEN(A44)&gt;2,VLOOKUP(A44,COPY!$A$2:$O$1000,15,FALSE),"")</f>
        <v>BKK.41</v>
      </c>
      <c r="D44" s="542" t="str">
        <f>IF(LEN(A44)&gt;2,VLOOKUP(A44,COPY!$A$2:$O$1000,2,FALSE),"")</f>
        <v>Bayar Ongkos</v>
      </c>
      <c r="E44" s="607">
        <f>IF(LEN(A44)&gt;2,VLOOKUP(A44,COPY!$A$2:$O$1000,10,FALSE),"")</f>
        <v>1</v>
      </c>
      <c r="F44" s="542">
        <f>IF(LEN(A44)&gt;2,VLOOKUP(A44,COPY!$A$2:$O$1000,8,FALSE),"")</f>
        <v>0</v>
      </c>
      <c r="G44" s="543" t="str">
        <f>IF(LEN(A44)&gt;2,VLOOKUP(A44,COPY!$A$2:$O$1000,7,FALSE),"")</f>
        <v>Pembayaran Pekerja Minggu Ke 6</v>
      </c>
      <c r="H44" s="544" t="str">
        <f t="shared" si="0"/>
        <v/>
      </c>
      <c r="I44" s="545">
        <f>IFERROR(IF(LEN(A44)&gt;2,VLOOKUP(A44,COPY!$A$2:$O$1000,13,FALSE),"")/E44,"")</f>
        <v>5350000</v>
      </c>
      <c r="J44" s="546"/>
      <c r="K44" s="547">
        <f t="shared" si="1"/>
        <v>5350000</v>
      </c>
      <c r="L44" s="548">
        <f t="shared" si="5"/>
        <v>0</v>
      </c>
      <c r="M44" s="549">
        <f t="shared" si="3"/>
        <v>-1705410</v>
      </c>
      <c r="O44" s="538">
        <f t="shared" si="6"/>
        <v>-1705410</v>
      </c>
      <c r="P44" s="550"/>
      <c r="Q44" s="551"/>
    </row>
    <row r="45" spans="1:17" s="253" customFormat="1" ht="20.100000000000001" customHeight="1" x14ac:dyDescent="0.25">
      <c r="A45" s="253" t="str">
        <f t="shared" si="4"/>
        <v>2.31</v>
      </c>
      <c r="B45" s="584">
        <f>IF(LEN(A45)&gt;2,VLOOKUP(A45,COPY!$A$2:$O$1000,4,FALSE),"")</f>
        <v>45943</v>
      </c>
      <c r="C45" s="585" t="str">
        <f>IF(LEN(A45)&gt;2,VLOOKUP(A45,COPY!$A$2:$O$1000,15,FALSE),"")</f>
        <v>BKK.42</v>
      </c>
      <c r="D45" s="542" t="str">
        <f>IF(LEN(A45)&gt;2,VLOOKUP(A45,COPY!$A$2:$O$1000,2,FALSE),"")</f>
        <v>Beli</v>
      </c>
      <c r="E45" s="607">
        <f>IF(LEN(A45)&gt;2,VLOOKUP(A45,COPY!$A$2:$O$1000,10,FALSE),"")</f>
        <v>1</v>
      </c>
      <c r="F45" s="542" t="str">
        <f>IF(LEN(A45)&gt;2,VLOOKUP(A45,COPY!$A$2:$O$1000,8,FALSE),"")</f>
        <v>Pik Up</v>
      </c>
      <c r="G45" s="543" t="str">
        <f>IF(LEN(A45)&gt;2,VLOOKUP(A45,COPY!$A$2:$O$1000,7,FALSE),"")</f>
        <v>Pasir Cor L300</v>
      </c>
      <c r="H45" s="544" t="str">
        <f t="shared" si="0"/>
        <v>@</v>
      </c>
      <c r="I45" s="545">
        <f>IFERROR(IF(LEN(A45)&gt;2,VLOOKUP(A45,COPY!$A$2:$O$1000,13,FALSE),"")/E45,"")</f>
        <v>335000</v>
      </c>
      <c r="J45" s="546"/>
      <c r="K45" s="547">
        <f t="shared" si="1"/>
        <v>335000</v>
      </c>
      <c r="L45" s="548">
        <f t="shared" si="5"/>
        <v>0</v>
      </c>
      <c r="M45" s="549">
        <f t="shared" si="3"/>
        <v>-2040410</v>
      </c>
      <c r="O45" s="538">
        <f t="shared" si="6"/>
        <v>-2040410</v>
      </c>
      <c r="P45" s="550"/>
      <c r="Q45" s="551"/>
    </row>
    <row r="46" spans="1:17" s="253" customFormat="1" ht="20.100000000000001" customHeight="1" x14ac:dyDescent="0.25">
      <c r="A46" s="253" t="str">
        <f t="shared" si="4"/>
        <v>2.32</v>
      </c>
      <c r="B46" s="584" t="str">
        <f>IF(LEN(A46)&gt;2,VLOOKUP(A46,COPY!$A$2:$O$1000,4,FALSE),"")</f>
        <v/>
      </c>
      <c r="C46" s="585" t="str">
        <f>IF(LEN(A46)&gt;2,VLOOKUP(A46,COPY!$A$2:$O$1000,15,FALSE),"")</f>
        <v/>
      </c>
      <c r="D46" s="542" t="str">
        <f>IF(LEN(A46)&gt;2,VLOOKUP(A46,COPY!$A$2:$O$1000,2,FALSE),"")</f>
        <v>Beli</v>
      </c>
      <c r="E46" s="607">
        <f>IF(LEN(A46)&gt;2,VLOOKUP(A46,COPY!$A$2:$O$1000,10,FALSE),"")</f>
        <v>1</v>
      </c>
      <c r="F46" s="542" t="str">
        <f>IF(LEN(A46)&gt;2,VLOOKUP(A46,COPY!$A$2:$O$1000,8,FALSE),"")</f>
        <v>Pik Up</v>
      </c>
      <c r="G46" s="543" t="str">
        <f>IF(LEN(A46)&gt;2,VLOOKUP(A46,COPY!$A$2:$O$1000,7,FALSE),"")</f>
        <v>Pasir Biasa L300</v>
      </c>
      <c r="H46" s="544" t="str">
        <f t="shared" si="0"/>
        <v>@</v>
      </c>
      <c r="I46" s="545">
        <f>IFERROR(IF(LEN(A46)&gt;2,VLOOKUP(A46,COPY!$A$2:$O$1000,13,FALSE),"")/E46,"")</f>
        <v>230000</v>
      </c>
      <c r="J46" s="546"/>
      <c r="K46" s="547">
        <f t="shared" si="1"/>
        <v>230000</v>
      </c>
      <c r="L46" s="548">
        <f t="shared" si="5"/>
        <v>0</v>
      </c>
      <c r="M46" s="549">
        <f t="shared" si="3"/>
        <v>-2270410</v>
      </c>
      <c r="O46" s="538">
        <f t="shared" si="6"/>
        <v>-2270410</v>
      </c>
      <c r="P46" s="550"/>
      <c r="Q46" s="551"/>
    </row>
    <row r="47" spans="1:17" s="253" customFormat="1" ht="20.100000000000001" customHeight="1" x14ac:dyDescent="0.25">
      <c r="A47" s="253" t="str">
        <f t="shared" si="4"/>
        <v>2.33</v>
      </c>
      <c r="B47" s="584" t="str">
        <f>IF(LEN(A47)&gt;2,VLOOKUP(A47,COPY!$A$2:$O$1000,4,FALSE),"")</f>
        <v/>
      </c>
      <c r="C47" s="585" t="str">
        <f>IF(LEN(A47)&gt;2,VLOOKUP(A47,COPY!$A$2:$O$1000,15,FALSE),"")</f>
        <v/>
      </c>
      <c r="D47" s="542" t="str">
        <f>IF(LEN(A47)&gt;2,VLOOKUP(A47,COPY!$A$2:$O$1000,2,FALSE),"")</f>
        <v>Beli</v>
      </c>
      <c r="E47" s="607">
        <f>IF(LEN(A47)&gt;2,VLOOKUP(A47,COPY!$A$2:$O$1000,10,FALSE),"")</f>
        <v>1</v>
      </c>
      <c r="F47" s="542" t="str">
        <f>IF(LEN(A47)&gt;2,VLOOKUP(A47,COPY!$A$2:$O$1000,8,FALSE),"")</f>
        <v>Pik Up</v>
      </c>
      <c r="G47" s="543" t="str">
        <f>IF(LEN(A47)&gt;2,VLOOKUP(A47,COPY!$A$2:$O$1000,7,FALSE),"")</f>
        <v>Koral L300</v>
      </c>
      <c r="H47" s="544" t="str">
        <f t="shared" si="0"/>
        <v>@</v>
      </c>
      <c r="I47" s="545">
        <f>IFERROR(IF(LEN(A47)&gt;2,VLOOKUP(A47,COPY!$A$2:$O$1000,13,FALSE),"")/E47,"")</f>
        <v>350000</v>
      </c>
      <c r="J47" s="546"/>
      <c r="K47" s="547">
        <f t="shared" si="1"/>
        <v>350000</v>
      </c>
      <c r="L47" s="548">
        <f t="shared" si="5"/>
        <v>0</v>
      </c>
      <c r="M47" s="549">
        <f t="shared" si="3"/>
        <v>-2620410</v>
      </c>
      <c r="O47" s="538">
        <f t="shared" si="6"/>
        <v>-2620410</v>
      </c>
      <c r="P47" s="550"/>
      <c r="Q47" s="551"/>
    </row>
    <row r="48" spans="1:17" s="253" customFormat="1" ht="20.100000000000001" customHeight="1" x14ac:dyDescent="0.25">
      <c r="A48" s="253" t="str">
        <f t="shared" si="4"/>
        <v>2.34</v>
      </c>
      <c r="B48" s="584" t="str">
        <f>IF(LEN(A48)&gt;2,VLOOKUP(A48,COPY!$A$2:$O$1000,4,FALSE),"")</f>
        <v/>
      </c>
      <c r="C48" s="585" t="str">
        <f>IF(LEN(A48)&gt;2,VLOOKUP(A48,COPY!$A$2:$O$1000,15,FALSE),"")</f>
        <v/>
      </c>
      <c r="D48" s="542" t="str">
        <f>IF(LEN(A48)&gt;2,VLOOKUP(A48,COPY!$A$2:$O$1000,2,FALSE),"")</f>
        <v>Beli</v>
      </c>
      <c r="E48" s="607">
        <f>IF(LEN(A48)&gt;2,VLOOKUP(A48,COPY!$A$2:$O$1000,10,FALSE),"")</f>
        <v>15</v>
      </c>
      <c r="F48" s="542" t="str">
        <f>IF(LEN(A48)&gt;2,VLOOKUP(A48,COPY!$A$2:$O$1000,8,FALSE),"")</f>
        <v>Dus</v>
      </c>
      <c r="G48" s="543" t="str">
        <f>IF(LEN(A48)&gt;2,VLOOKUP(A48,COPY!$A$2:$O$1000,7,FALSE),"")</f>
        <v>Keramik Kia 30X30</v>
      </c>
      <c r="H48" s="544" t="str">
        <f t="shared" si="0"/>
        <v>@</v>
      </c>
      <c r="I48" s="545">
        <f>IFERROR(IF(LEN(A48)&gt;2,VLOOKUP(A48,COPY!$A$2:$O$1000,13,FALSE),"")/E48,"")</f>
        <v>70000</v>
      </c>
      <c r="J48" s="546"/>
      <c r="K48" s="547">
        <f t="shared" si="1"/>
        <v>1050000</v>
      </c>
      <c r="L48" s="548">
        <f t="shared" si="5"/>
        <v>0</v>
      </c>
      <c r="M48" s="549">
        <f t="shared" si="3"/>
        <v>-3670410</v>
      </c>
      <c r="O48" s="538">
        <f t="shared" si="6"/>
        <v>-3670410</v>
      </c>
      <c r="P48" s="550"/>
      <c r="Q48" s="551"/>
    </row>
    <row r="49" spans="1:17" s="253" customFormat="1" ht="20.100000000000001" customHeight="1" x14ac:dyDescent="0.25">
      <c r="A49" s="253" t="str">
        <f t="shared" si="4"/>
        <v>2.35</v>
      </c>
      <c r="B49" s="584">
        <f>IF(LEN(A49)&gt;2,VLOOKUP(A49,COPY!$A$2:$O$1000,4,FALSE),"")</f>
        <v>45944</v>
      </c>
      <c r="C49" s="585" t="str">
        <f>IF(LEN(A49)&gt;2,VLOOKUP(A49,COPY!$A$2:$O$1000,15,FALSE),"")</f>
        <v>BKK.43</v>
      </c>
      <c r="D49" s="542" t="str">
        <f>IF(LEN(A49)&gt;2,VLOOKUP(A49,COPY!$A$2:$O$1000,2,FALSE),"")</f>
        <v>Beli</v>
      </c>
      <c r="E49" s="607">
        <f>IF(LEN(A49)&gt;2,VLOOKUP(A49,COPY!$A$2:$O$1000,10,FALSE),"")</f>
        <v>2</v>
      </c>
      <c r="F49" s="542" t="str">
        <f>IF(LEN(A49)&gt;2,VLOOKUP(A49,COPY!$A$2:$O$1000,8,FALSE),"")</f>
        <v>Sak</v>
      </c>
      <c r="G49" s="543" t="str">
        <f>IF(LEN(A49)&gt;2,VLOOKUP(A49,COPY!$A$2:$O$1000,7,FALSE),"")</f>
        <v>Semen Gresik 40Kg</v>
      </c>
      <c r="H49" s="544" t="str">
        <f t="shared" si="0"/>
        <v>@</v>
      </c>
      <c r="I49" s="545">
        <f>IFERROR(IF(LEN(A49)&gt;2,VLOOKUP(A49,COPY!$A$2:$O$1000,13,FALSE),"")/E49,"")</f>
        <v>58000</v>
      </c>
      <c r="J49" s="546"/>
      <c r="K49" s="547">
        <f t="shared" si="1"/>
        <v>116000</v>
      </c>
      <c r="L49" s="548">
        <f t="shared" si="5"/>
        <v>0</v>
      </c>
      <c r="M49" s="549">
        <f t="shared" si="3"/>
        <v>-3786410</v>
      </c>
      <c r="O49" s="538">
        <f t="shared" si="6"/>
        <v>-3786410</v>
      </c>
      <c r="P49" s="550"/>
      <c r="Q49" s="551"/>
    </row>
    <row r="50" spans="1:17" s="253" customFormat="1" ht="20.100000000000001" customHeight="1" x14ac:dyDescent="0.25">
      <c r="A50" s="253" t="str">
        <f t="shared" si="4"/>
        <v>2.36</v>
      </c>
      <c r="B50" s="584" t="str">
        <f>IF(LEN(A50)&gt;2,VLOOKUP(A50,COPY!$A$2:$O$1000,4,FALSE),"")</f>
        <v/>
      </c>
      <c r="C50" s="585" t="str">
        <f>IF(LEN(A50)&gt;2,VLOOKUP(A50,COPY!$A$2:$O$1000,15,FALSE),"")</f>
        <v/>
      </c>
      <c r="D50" s="542" t="str">
        <f>IF(LEN(A50)&gt;2,VLOOKUP(A50,COPY!$A$2:$O$1000,2,FALSE),"")</f>
        <v>Beli</v>
      </c>
      <c r="E50" s="607">
        <f>IF(LEN(A50)&gt;2,VLOOKUP(A50,COPY!$A$2:$O$1000,10,FALSE),"")</f>
        <v>2</v>
      </c>
      <c r="F50" s="542" t="str">
        <f>IF(LEN(A50)&gt;2,VLOOKUP(A50,COPY!$A$2:$O$1000,8,FALSE),"")</f>
        <v>sak</v>
      </c>
      <c r="G50" s="543" t="str">
        <f>IF(LEN(A50)&gt;2,VLOOKUP(A50,COPY!$A$2:$O$1000,7,FALSE),"")</f>
        <v>Kalsium Omya No. 6</v>
      </c>
      <c r="H50" s="544" t="str">
        <f t="shared" si="0"/>
        <v>@</v>
      </c>
      <c r="I50" s="545">
        <f>IFERROR(IF(LEN(A50)&gt;2,VLOOKUP(A50,COPY!$A$2:$O$1000,13,FALSE),"")/E50,"")</f>
        <v>44000</v>
      </c>
      <c r="J50" s="546"/>
      <c r="K50" s="547">
        <f t="shared" si="1"/>
        <v>88000</v>
      </c>
      <c r="L50" s="548">
        <f t="shared" si="5"/>
        <v>0</v>
      </c>
      <c r="M50" s="549">
        <f t="shared" si="3"/>
        <v>-3874410</v>
      </c>
      <c r="O50" s="538">
        <f t="shared" si="6"/>
        <v>-3874410</v>
      </c>
      <c r="P50" s="550"/>
      <c r="Q50" s="551"/>
    </row>
    <row r="51" spans="1:17" s="253" customFormat="1" ht="20.100000000000001" customHeight="1" x14ac:dyDescent="0.25">
      <c r="A51" s="253" t="str">
        <f t="shared" si="4"/>
        <v>2.37</v>
      </c>
      <c r="B51" s="584" t="str">
        <f>IF(LEN(A51)&gt;2,VLOOKUP(A51,COPY!$A$2:$O$1000,4,FALSE),"")</f>
        <v/>
      </c>
      <c r="C51" s="585" t="str">
        <f>IF(LEN(A51)&gt;2,VLOOKUP(A51,COPY!$A$2:$O$1000,15,FALSE),"")</f>
        <v/>
      </c>
      <c r="D51" s="542" t="str">
        <f>IF(LEN(A51)&gt;2,VLOOKUP(A51,COPY!$A$2:$O$1000,2,FALSE),"")</f>
        <v>Beli</v>
      </c>
      <c r="E51" s="607">
        <f>IF(LEN(A51)&gt;2,VLOOKUP(A51,COPY!$A$2:$O$1000,10,FALSE),"")</f>
        <v>40</v>
      </c>
      <c r="F51" s="542" t="str">
        <f>IF(LEN(A51)&gt;2,VLOOKUP(A51,COPY!$A$2:$O$1000,8,FALSE),"")</f>
        <v>Pcs</v>
      </c>
      <c r="G51" s="543" t="str">
        <f>IF(LEN(A51)&gt;2,VLOOKUP(A51,COPY!$A$2:$O$1000,7,FALSE),"")</f>
        <v>Lem Rajawali Putih</v>
      </c>
      <c r="H51" s="544" t="str">
        <f t="shared" si="0"/>
        <v>@</v>
      </c>
      <c r="I51" s="545">
        <f>IFERROR(IF(LEN(A51)&gt;2,VLOOKUP(A51,COPY!$A$2:$O$1000,13,FALSE),"")/E51,"")</f>
        <v>20000</v>
      </c>
      <c r="J51" s="546"/>
      <c r="K51" s="547">
        <f t="shared" si="1"/>
        <v>800000</v>
      </c>
      <c r="L51" s="548">
        <f t="shared" si="5"/>
        <v>0</v>
      </c>
      <c r="M51" s="549">
        <f t="shared" si="3"/>
        <v>-4674410</v>
      </c>
      <c r="O51" s="538">
        <f t="shared" si="6"/>
        <v>-4674410</v>
      </c>
      <c r="P51" s="550"/>
      <c r="Q51" s="551"/>
    </row>
    <row r="52" spans="1:17" s="253" customFormat="1" ht="20.100000000000001" customHeight="1" x14ac:dyDescent="0.25">
      <c r="A52" s="253" t="str">
        <f t="shared" si="4"/>
        <v>2.38</v>
      </c>
      <c r="B52" s="584">
        <f>IF(LEN(A52)&gt;2,VLOOKUP(A52,COPY!$A$2:$O$1000,4,FALSE),"")</f>
        <v>45945</v>
      </c>
      <c r="C52" s="585" t="str">
        <f>IF(LEN(A52)&gt;2,VLOOKUP(A52,COPY!$A$2:$O$1000,15,FALSE),"")</f>
        <v>BKK.44</v>
      </c>
      <c r="D52" s="542" t="str">
        <f>IF(LEN(A52)&gt;2,VLOOKUP(A52,COPY!$A$2:$O$1000,2,FALSE),"")</f>
        <v>Beli</v>
      </c>
      <c r="E52" s="607">
        <f>IF(LEN(A52)&gt;2,VLOOKUP(A52,COPY!$A$2:$O$1000,10,FALSE),"")</f>
        <v>10</v>
      </c>
      <c r="F52" s="542" t="str">
        <f>IF(LEN(A52)&gt;2,VLOOKUP(A52,COPY!$A$2:$O$1000,8,FALSE),"")</f>
        <v>Bji</v>
      </c>
      <c r="G52" s="543" t="str">
        <f>IF(LEN(A52)&gt;2,VLOOKUP(A52,COPY!$A$2:$O$1000,7,FALSE),"")</f>
        <v>Kain Lap</v>
      </c>
      <c r="H52" s="544" t="str">
        <f t="shared" si="0"/>
        <v>@</v>
      </c>
      <c r="I52" s="545">
        <f>IFERROR(IF(LEN(A52)&gt;2,VLOOKUP(A52,COPY!$A$2:$O$1000,13,FALSE),"")/E52,"")</f>
        <v>14000</v>
      </c>
      <c r="J52" s="546"/>
      <c r="K52" s="547">
        <f t="shared" si="1"/>
        <v>140000</v>
      </c>
      <c r="L52" s="548">
        <f t="shared" si="5"/>
        <v>0</v>
      </c>
      <c r="M52" s="549">
        <f t="shared" si="3"/>
        <v>-4814410</v>
      </c>
      <c r="O52" s="538">
        <f t="shared" si="6"/>
        <v>-4814410</v>
      </c>
      <c r="P52" s="550"/>
      <c r="Q52" s="551"/>
    </row>
    <row r="53" spans="1:17" s="253" customFormat="1" ht="20.100000000000001" customHeight="1" x14ac:dyDescent="0.25">
      <c r="A53" s="253" t="str">
        <f t="shared" si="4"/>
        <v>2.39</v>
      </c>
      <c r="B53" s="584" t="str">
        <f>IF(LEN(A53)&gt;2,VLOOKUP(A53,COPY!$A$2:$O$1000,4,FALSE),"")</f>
        <v/>
      </c>
      <c r="C53" s="585" t="str">
        <f>IF(LEN(A53)&gt;2,VLOOKUP(A53,COPY!$A$2:$O$1000,15,FALSE),"")</f>
        <v/>
      </c>
      <c r="D53" s="542" t="str">
        <f>IF(LEN(A53)&gt;2,VLOOKUP(A53,COPY!$A$2:$O$1000,2,FALSE),"")</f>
        <v>Beli</v>
      </c>
      <c r="E53" s="607">
        <f>IF(LEN(A53)&gt;2,VLOOKUP(A53,COPY!$A$2:$O$1000,10,FALSE),"")</f>
        <v>4</v>
      </c>
      <c r="F53" s="542" t="str">
        <f>IF(LEN(A53)&gt;2,VLOOKUP(A53,COPY!$A$2:$O$1000,8,FALSE),"")</f>
        <v>ltr</v>
      </c>
      <c r="G53" s="543" t="str">
        <f>IF(LEN(A53)&gt;2,VLOOKUP(A53,COPY!$A$2:$O$1000,7,FALSE),"")</f>
        <v>Hcl</v>
      </c>
      <c r="H53" s="544" t="str">
        <f t="shared" si="0"/>
        <v>@</v>
      </c>
      <c r="I53" s="545">
        <f>IFERROR(IF(LEN(A53)&gt;2,VLOOKUP(A53,COPY!$A$2:$O$1000,13,FALSE),"")/E53,"")</f>
        <v>10000</v>
      </c>
      <c r="J53" s="546"/>
      <c r="K53" s="547">
        <f t="shared" si="1"/>
        <v>40000</v>
      </c>
      <c r="L53" s="548">
        <f t="shared" si="5"/>
        <v>0</v>
      </c>
      <c r="M53" s="549">
        <f t="shared" si="3"/>
        <v>-4854410</v>
      </c>
      <c r="O53" s="538">
        <f t="shared" si="6"/>
        <v>-4854410</v>
      </c>
      <c r="P53" s="550"/>
      <c r="Q53" s="551"/>
    </row>
    <row r="54" spans="1:17" s="253" customFormat="1" ht="20.100000000000001" customHeight="1" x14ac:dyDescent="0.25">
      <c r="A54" s="253" t="str">
        <f t="shared" si="4"/>
        <v>2.40</v>
      </c>
      <c r="B54" s="584" t="str">
        <f>IF(LEN(A54)&gt;2,VLOOKUP(A54,COPY!$A$2:$O$1000,4,FALSE),"")</f>
        <v/>
      </c>
      <c r="C54" s="585" t="str">
        <f>IF(LEN(A54)&gt;2,VLOOKUP(A54,COPY!$A$2:$O$1000,15,FALSE),"")</f>
        <v/>
      </c>
      <c r="D54" s="542" t="str">
        <f>IF(LEN(A54)&gt;2,VLOOKUP(A54,COPY!$A$2:$O$1000,2,FALSE),"")</f>
        <v>Beli</v>
      </c>
      <c r="E54" s="607">
        <f>IF(LEN(A54)&gt;2,VLOOKUP(A54,COPY!$A$2:$O$1000,10,FALSE),"")</f>
        <v>1</v>
      </c>
      <c r="F54" s="542" t="str">
        <f>IF(LEN(A54)&gt;2,VLOOKUP(A54,COPY!$A$2:$O$1000,8,FALSE),"")</f>
        <v>Pail</v>
      </c>
      <c r="G54" s="543" t="str">
        <f>IF(LEN(A54)&gt;2,VLOOKUP(A54,COPY!$A$2:$O$1000,7,FALSE),"")</f>
        <v>Paragon Putih Eml 20Kg</v>
      </c>
      <c r="H54" s="544" t="str">
        <f t="shared" si="0"/>
        <v>@</v>
      </c>
      <c r="I54" s="545">
        <f>IFERROR(IF(LEN(A54)&gt;2,VLOOKUP(A54,COPY!$A$2:$O$1000,13,FALSE),"")/E54,"")</f>
        <v>500000</v>
      </c>
      <c r="J54" s="546"/>
      <c r="K54" s="547">
        <f t="shared" si="1"/>
        <v>500000</v>
      </c>
      <c r="L54" s="548">
        <f t="shared" si="5"/>
        <v>0</v>
      </c>
      <c r="M54" s="549">
        <f t="shared" si="3"/>
        <v>-5354410</v>
      </c>
      <c r="O54" s="538">
        <f t="shared" si="6"/>
        <v>-5354410</v>
      </c>
      <c r="P54" s="550"/>
      <c r="Q54" s="551"/>
    </row>
    <row r="55" spans="1:17" s="253" customFormat="1" ht="20.100000000000001" customHeight="1" x14ac:dyDescent="0.25">
      <c r="A55" s="253" t="str">
        <f t="shared" si="4"/>
        <v>2.41</v>
      </c>
      <c r="B55" s="584" t="str">
        <f>IF(LEN(A55)&gt;2,VLOOKUP(A55,COPY!$A$2:$O$1000,4,FALSE),"")</f>
        <v/>
      </c>
      <c r="C55" s="585" t="str">
        <f>IF(LEN(A55)&gt;2,VLOOKUP(A55,COPY!$A$2:$O$1000,15,FALSE),"")</f>
        <v/>
      </c>
      <c r="D55" s="542" t="str">
        <f>IF(LEN(A55)&gt;2,VLOOKUP(A55,COPY!$A$2:$O$1000,2,FALSE),"")</f>
        <v>Beli</v>
      </c>
      <c r="E55" s="607">
        <f>IF(LEN(A55)&gt;2,VLOOKUP(A55,COPY!$A$2:$O$1000,10,FALSE),"")</f>
        <v>1</v>
      </c>
      <c r="F55" s="542" t="str">
        <f>IF(LEN(A55)&gt;2,VLOOKUP(A55,COPY!$A$2:$O$1000,8,FALSE),"")</f>
        <v>Pail</v>
      </c>
      <c r="G55" s="543" t="str">
        <f>IF(LEN(A55)&gt;2,VLOOKUP(A55,COPY!$A$2:$O$1000,7,FALSE),"")</f>
        <v>Cat No Drop Hijau</v>
      </c>
      <c r="H55" s="544" t="str">
        <f t="shared" si="0"/>
        <v>@</v>
      </c>
      <c r="I55" s="545">
        <f>IFERROR(IF(LEN(A55)&gt;2,VLOOKUP(A55,COPY!$A$2:$O$1000,13,FALSE),"")/E55,"")</f>
        <v>1125000</v>
      </c>
      <c r="J55" s="546"/>
      <c r="K55" s="547">
        <f t="shared" si="1"/>
        <v>1125000</v>
      </c>
      <c r="L55" s="548">
        <f t="shared" si="5"/>
        <v>0</v>
      </c>
      <c r="M55" s="549">
        <f t="shared" si="3"/>
        <v>-6479410</v>
      </c>
      <c r="O55" s="538">
        <f t="shared" si="6"/>
        <v>-6479410</v>
      </c>
      <c r="P55" s="550"/>
      <c r="Q55" s="551"/>
    </row>
    <row r="56" spans="1:17" s="253" customFormat="1" ht="20.100000000000001" customHeight="1" x14ac:dyDescent="0.25">
      <c r="A56" s="253" t="str">
        <f t="shared" si="4"/>
        <v>2.42</v>
      </c>
      <c r="B56" s="584">
        <f>IF(LEN(A56)&gt;2,VLOOKUP(A56,COPY!$A$2:$O$1000,4,FALSE),"")</f>
        <v>45946</v>
      </c>
      <c r="C56" s="585" t="str">
        <f>IF(LEN(A56)&gt;2,VLOOKUP(A56,COPY!$A$2:$O$1000,15,FALSE),"")</f>
        <v>BKK.45</v>
      </c>
      <c r="D56" s="542" t="str">
        <f>IF(LEN(A56)&gt;2,VLOOKUP(A56,COPY!$A$2:$O$1000,2,FALSE),"")</f>
        <v>Beli</v>
      </c>
      <c r="E56" s="607">
        <f>IF(LEN(A56)&gt;2,VLOOKUP(A56,COPY!$A$2:$O$1000,10,FALSE),"")</f>
        <v>10</v>
      </c>
      <c r="F56" s="542" t="str">
        <f>IF(LEN(A56)&gt;2,VLOOKUP(A56,COPY!$A$2:$O$1000,8,FALSE),"")</f>
        <v>Sak</v>
      </c>
      <c r="G56" s="543" t="str">
        <f>IF(LEN(A56)&gt;2,VLOOKUP(A56,COPY!$A$2:$O$1000,7,FALSE),"")</f>
        <v>Semen 3 Roda</v>
      </c>
      <c r="H56" s="544" t="str">
        <f t="shared" si="0"/>
        <v>@</v>
      </c>
      <c r="I56" s="545">
        <f>IFERROR(IF(LEN(A56)&gt;2,VLOOKUP(A56,COPY!$A$2:$O$1000,13,FALSE),"")/E56,"")</f>
        <v>52000</v>
      </c>
      <c r="J56" s="546"/>
      <c r="K56" s="547">
        <f t="shared" si="1"/>
        <v>520000</v>
      </c>
      <c r="L56" s="548">
        <f t="shared" si="5"/>
        <v>0</v>
      </c>
      <c r="M56" s="549">
        <f t="shared" si="3"/>
        <v>-6999410</v>
      </c>
      <c r="O56" s="538">
        <f t="shared" si="6"/>
        <v>-6999410</v>
      </c>
      <c r="P56" s="550"/>
      <c r="Q56" s="551"/>
    </row>
    <row r="57" spans="1:17" s="253" customFormat="1" ht="20.100000000000001" customHeight="1" x14ac:dyDescent="0.25">
      <c r="A57" s="253" t="str">
        <f t="shared" si="4"/>
        <v>2.43</v>
      </c>
      <c r="B57" s="584" t="str">
        <f>IF(LEN(A57)&gt;2,VLOOKUP(A57,COPY!$A$2:$O$1000,4,FALSE),"")</f>
        <v/>
      </c>
      <c r="C57" s="585" t="str">
        <f>IF(LEN(A57)&gt;2,VLOOKUP(A57,COPY!$A$2:$O$1000,15,FALSE),"")</f>
        <v/>
      </c>
      <c r="D57" s="542" t="str">
        <f>IF(LEN(A57)&gt;2,VLOOKUP(A57,COPY!$A$2:$O$1000,2,FALSE),"")</f>
        <v>Beli</v>
      </c>
      <c r="E57" s="607">
        <f>IF(LEN(A57)&gt;2,VLOOKUP(A57,COPY!$A$2:$O$1000,10,FALSE),"")</f>
        <v>48</v>
      </c>
      <c r="F57" s="542" t="str">
        <f>IF(LEN(A57)&gt;2,VLOOKUP(A57,COPY!$A$2:$O$1000,8,FALSE),"")</f>
        <v>Pcs</v>
      </c>
      <c r="G57" s="543" t="str">
        <f>IF(LEN(A57)&gt;2,VLOOKUP(A57,COPY!$A$2:$O$1000,7,FALSE),"")</f>
        <v>Lem Rajawali Putih</v>
      </c>
      <c r="H57" s="544" t="str">
        <f t="shared" si="0"/>
        <v>@</v>
      </c>
      <c r="I57" s="545">
        <f>IFERROR(IF(LEN(A57)&gt;2,VLOOKUP(A57,COPY!$A$2:$O$1000,13,FALSE),"")/E57,"")</f>
        <v>20000</v>
      </c>
      <c r="J57" s="546"/>
      <c r="K57" s="547">
        <f t="shared" si="1"/>
        <v>960000</v>
      </c>
      <c r="L57" s="548">
        <f t="shared" si="5"/>
        <v>0</v>
      </c>
      <c r="M57" s="549">
        <f t="shared" si="3"/>
        <v>-7959410</v>
      </c>
      <c r="O57" s="538">
        <f t="shared" si="6"/>
        <v>-7959410</v>
      </c>
      <c r="P57" s="550"/>
      <c r="Q57" s="551"/>
    </row>
    <row r="58" spans="1:17" s="253" customFormat="1" ht="20.100000000000001" customHeight="1" x14ac:dyDescent="0.25">
      <c r="A58" s="253" t="str">
        <f t="shared" si="4"/>
        <v>2.44</v>
      </c>
      <c r="B58" s="584" t="str">
        <f>IF(LEN(A58)&gt;2,VLOOKUP(A58,COPY!$A$2:$O$1000,4,FALSE),"")</f>
        <v/>
      </c>
      <c r="C58" s="585" t="str">
        <f>IF(LEN(A58)&gt;2,VLOOKUP(A58,COPY!$A$2:$O$1000,15,FALSE),"")</f>
        <v/>
      </c>
      <c r="D58" s="542" t="str">
        <f>IF(LEN(A58)&gt;2,VLOOKUP(A58,COPY!$A$2:$O$1000,2,FALSE),"")</f>
        <v>Beli</v>
      </c>
      <c r="E58" s="607">
        <f>IF(LEN(A58)&gt;2,VLOOKUP(A58,COPY!$A$2:$O$1000,10,FALSE),"")</f>
        <v>4</v>
      </c>
      <c r="F58" s="542" t="str">
        <f>IF(LEN(A58)&gt;2,VLOOKUP(A58,COPY!$A$2:$O$1000,8,FALSE),"")</f>
        <v>Pcs</v>
      </c>
      <c r="G58" s="543" t="str">
        <f>IF(LEN(A58)&gt;2,VLOOKUP(A58,COPY!$A$2:$O$1000,7,FALSE),"")</f>
        <v>Kuas Nippon 5"</v>
      </c>
      <c r="H58" s="544" t="str">
        <f t="shared" si="0"/>
        <v>@</v>
      </c>
      <c r="I58" s="545">
        <f>IFERROR(IF(LEN(A58)&gt;2,VLOOKUP(A58,COPY!$A$2:$O$1000,13,FALSE),"")/E58,"")</f>
        <v>23000</v>
      </c>
      <c r="J58" s="546"/>
      <c r="K58" s="547">
        <f t="shared" si="1"/>
        <v>92000</v>
      </c>
      <c r="L58" s="548">
        <f t="shared" si="5"/>
        <v>0</v>
      </c>
      <c r="M58" s="549">
        <f t="shared" si="3"/>
        <v>-8051410</v>
      </c>
      <c r="O58" s="538">
        <f t="shared" si="6"/>
        <v>-8051410</v>
      </c>
      <c r="P58" s="550"/>
      <c r="Q58" s="551"/>
    </row>
    <row r="59" spans="1:17" s="253" customFormat="1" ht="20.100000000000001" customHeight="1" x14ac:dyDescent="0.25">
      <c r="A59" s="253" t="str">
        <f t="shared" si="4"/>
        <v>2.45</v>
      </c>
      <c r="B59" s="584" t="str">
        <f>IF(LEN(A59)&gt;2,VLOOKUP(A59,COPY!$A$2:$O$1000,4,FALSE),"")</f>
        <v/>
      </c>
      <c r="C59" s="585" t="str">
        <f>IF(LEN(A59)&gt;2,VLOOKUP(A59,COPY!$A$2:$O$1000,15,FALSE),"")</f>
        <v/>
      </c>
      <c r="D59" s="542" t="str">
        <f>IF(LEN(A59)&gt;2,VLOOKUP(A59,COPY!$A$2:$O$1000,2,FALSE),"")</f>
        <v>Beli</v>
      </c>
      <c r="E59" s="607">
        <f>IF(LEN(A59)&gt;2,VLOOKUP(A59,COPY!$A$2:$O$1000,10,FALSE),"")</f>
        <v>2</v>
      </c>
      <c r="F59" s="542" t="str">
        <f>IF(LEN(A59)&gt;2,VLOOKUP(A59,COPY!$A$2:$O$1000,8,FALSE),"")</f>
        <v>Pcs</v>
      </c>
      <c r="G59" s="543" t="str">
        <f>IF(LEN(A59)&gt;2,VLOOKUP(A59,COPY!$A$2:$O$1000,7,FALSE),"")</f>
        <v>Kuas Nippon 6"</v>
      </c>
      <c r="H59" s="544" t="str">
        <f t="shared" si="0"/>
        <v>@</v>
      </c>
      <c r="I59" s="545">
        <f>IFERROR(IF(LEN(A59)&gt;2,VLOOKUP(A59,COPY!$A$2:$O$1000,13,FALSE),"")/E59,"")</f>
        <v>28000</v>
      </c>
      <c r="J59" s="546"/>
      <c r="K59" s="547">
        <f t="shared" si="1"/>
        <v>56000</v>
      </c>
      <c r="L59" s="548">
        <f t="shared" si="5"/>
        <v>0</v>
      </c>
      <c r="M59" s="549">
        <f t="shared" si="3"/>
        <v>-8107410</v>
      </c>
      <c r="O59" s="538">
        <f t="shared" si="6"/>
        <v>-8107410</v>
      </c>
      <c r="P59" s="550"/>
      <c r="Q59" s="551"/>
    </row>
    <row r="60" spans="1:17" s="253" customFormat="1" ht="20.100000000000001" customHeight="1" x14ac:dyDescent="0.25">
      <c r="A60" s="253" t="str">
        <f t="shared" si="4"/>
        <v>2.46</v>
      </c>
      <c r="B60" s="584" t="str">
        <f>IF(LEN(A60)&gt;2,VLOOKUP(A60,COPY!$A$2:$O$1000,4,FALSE),"")</f>
        <v/>
      </c>
      <c r="C60" s="585" t="str">
        <f>IF(LEN(A60)&gt;2,VLOOKUP(A60,COPY!$A$2:$O$1000,15,FALSE),"")</f>
        <v/>
      </c>
      <c r="D60" s="542" t="str">
        <f>IF(LEN(A60)&gt;2,VLOOKUP(A60,COPY!$A$2:$O$1000,2,FALSE),"")</f>
        <v>Beli</v>
      </c>
      <c r="E60" s="607">
        <f>IF(LEN(A60)&gt;2,VLOOKUP(A60,COPY!$A$2:$O$1000,10,FALSE),"")</f>
        <v>10</v>
      </c>
      <c r="F60" s="542" t="str">
        <f>IF(LEN(A60)&gt;2,VLOOKUP(A60,COPY!$A$2:$O$1000,8,FALSE),"")</f>
        <v>m</v>
      </c>
      <c r="G60" s="543" t="str">
        <f>IF(LEN(A60)&gt;2,VLOOKUP(A60,COPY!$A$2:$O$1000,7,FALSE),"")</f>
        <v>Amplas No 100</v>
      </c>
      <c r="H60" s="544" t="str">
        <f t="shared" si="0"/>
        <v>@</v>
      </c>
      <c r="I60" s="545">
        <f>IFERROR(IF(LEN(A60)&gt;2,VLOOKUP(A60,COPY!$A$2:$O$1000,13,FALSE),"")/E60,"")</f>
        <v>8000</v>
      </c>
      <c r="J60" s="546"/>
      <c r="K60" s="547">
        <f t="shared" si="1"/>
        <v>80000</v>
      </c>
      <c r="L60" s="548">
        <f t="shared" si="5"/>
        <v>0</v>
      </c>
      <c r="M60" s="549">
        <f t="shared" si="3"/>
        <v>-8187410</v>
      </c>
      <c r="O60" s="538">
        <f t="shared" si="6"/>
        <v>-8187410</v>
      </c>
      <c r="P60" s="550"/>
      <c r="Q60" s="551"/>
    </row>
    <row r="61" spans="1:17" s="253" customFormat="1" ht="20.100000000000001" customHeight="1" x14ac:dyDescent="0.25">
      <c r="A61" s="253" t="str">
        <f t="shared" si="4"/>
        <v>2.47</v>
      </c>
      <c r="B61" s="584" t="str">
        <f>IF(LEN(A61)&gt;2,VLOOKUP(A61,COPY!$A$2:$O$1000,4,FALSE),"")</f>
        <v/>
      </c>
      <c r="C61" s="585" t="str">
        <f>IF(LEN(A61)&gt;2,VLOOKUP(A61,COPY!$A$2:$O$1000,15,FALSE),"")</f>
        <v/>
      </c>
      <c r="D61" s="542" t="str">
        <f>IF(LEN(A61)&gt;2,VLOOKUP(A61,COPY!$A$2:$O$1000,2,FALSE),"")</f>
        <v>Beli</v>
      </c>
      <c r="E61" s="607">
        <f>IF(LEN(A61)&gt;2,VLOOKUP(A61,COPY!$A$2:$O$1000,10,FALSE),"")</f>
        <v>10</v>
      </c>
      <c r="F61" s="542" t="str">
        <f>IF(LEN(A61)&gt;2,VLOOKUP(A61,COPY!$A$2:$O$1000,8,FALSE),"")</f>
        <v>m</v>
      </c>
      <c r="G61" s="543" t="str">
        <f>IF(LEN(A61)&gt;2,VLOOKUP(A61,COPY!$A$2:$O$1000,7,FALSE),"")</f>
        <v>Amplas No 240</v>
      </c>
      <c r="H61" s="544" t="str">
        <f t="shared" si="0"/>
        <v>@</v>
      </c>
      <c r="I61" s="545">
        <f>IFERROR(IF(LEN(A61)&gt;2,VLOOKUP(A61,COPY!$A$2:$O$1000,13,FALSE),"")/E61,"")</f>
        <v>8000</v>
      </c>
      <c r="J61" s="546"/>
      <c r="K61" s="547">
        <f t="shared" si="1"/>
        <v>80000</v>
      </c>
      <c r="L61" s="548">
        <f t="shared" si="5"/>
        <v>0</v>
      </c>
      <c r="M61" s="549">
        <f t="shared" si="3"/>
        <v>-8267410</v>
      </c>
      <c r="O61" s="538">
        <f t="shared" si="6"/>
        <v>-8267410</v>
      </c>
      <c r="P61" s="550"/>
      <c r="Q61" s="551"/>
    </row>
    <row r="62" spans="1:17" s="253" customFormat="1" ht="20.100000000000001" customHeight="1" x14ac:dyDescent="0.25">
      <c r="A62" s="253" t="str">
        <f t="shared" si="4"/>
        <v>2.48</v>
      </c>
      <c r="B62" s="584" t="str">
        <f>IF(LEN(A62)&gt;2,VLOOKUP(A62,COPY!$A$2:$O$1000,4,FALSE),"")</f>
        <v/>
      </c>
      <c r="C62" s="585" t="str">
        <f>IF(LEN(A62)&gt;2,VLOOKUP(A62,COPY!$A$2:$O$1000,15,FALSE),"")</f>
        <v/>
      </c>
      <c r="D62" s="542" t="str">
        <f>IF(LEN(A62)&gt;2,VLOOKUP(A62,COPY!$A$2:$O$1000,2,FALSE),"")</f>
        <v>Beli</v>
      </c>
      <c r="E62" s="607">
        <f>IF(LEN(A62)&gt;2,VLOOKUP(A62,COPY!$A$2:$O$1000,10,FALSE),"")</f>
        <v>3</v>
      </c>
      <c r="F62" s="542" t="str">
        <f>IF(LEN(A62)&gt;2,VLOOKUP(A62,COPY!$A$2:$O$1000,8,FALSE),"")</f>
        <v>Pak</v>
      </c>
      <c r="G62" s="543" t="str">
        <f>IF(LEN(A62)&gt;2,VLOOKUP(A62,COPY!$A$2:$O$1000,7,FALSE),"")</f>
        <v>Serabut No Drop</v>
      </c>
      <c r="H62" s="544" t="str">
        <f t="shared" si="0"/>
        <v>@</v>
      </c>
      <c r="I62" s="545">
        <f>IFERROR(IF(LEN(A62)&gt;2,VLOOKUP(A62,COPY!$A$2:$O$1000,13,FALSE),"")/E62,"")</f>
        <v>16000</v>
      </c>
      <c r="J62" s="546"/>
      <c r="K62" s="547">
        <f t="shared" si="1"/>
        <v>48000</v>
      </c>
      <c r="L62" s="548">
        <f t="shared" si="5"/>
        <v>0</v>
      </c>
      <c r="M62" s="549">
        <f t="shared" si="3"/>
        <v>-8315410</v>
      </c>
      <c r="O62" s="538">
        <f t="shared" si="6"/>
        <v>-8315410</v>
      </c>
      <c r="P62" s="550"/>
      <c r="Q62" s="551"/>
    </row>
    <row r="63" spans="1:17" s="253" customFormat="1" ht="20.100000000000001" customHeight="1" x14ac:dyDescent="0.25">
      <c r="A63" s="253" t="str">
        <f t="shared" si="4"/>
        <v>2.49</v>
      </c>
      <c r="B63" s="584">
        <f>IF(LEN(A63)&gt;2,VLOOKUP(A63,COPY!$A$2:$O$1000,4,FALSE),"")</f>
        <v>45947</v>
      </c>
      <c r="C63" s="585" t="str">
        <f>IF(LEN(A63)&gt;2,VLOOKUP(A63,COPY!$A$2:$O$1000,15,FALSE),"")</f>
        <v>BKK.46</v>
      </c>
      <c r="D63" s="542" t="str">
        <f>IF(LEN(A63)&gt;2,VLOOKUP(A63,COPY!$A$2:$O$1000,2,FALSE),"")</f>
        <v>Beli</v>
      </c>
      <c r="E63" s="607">
        <f>IF(LEN(A63)&gt;2,VLOOKUP(A63,COPY!$A$2:$O$1000,10,FALSE),"")</f>
        <v>1</v>
      </c>
      <c r="F63" s="542" t="str">
        <f>IF(LEN(A63)&gt;2,VLOOKUP(A63,COPY!$A$2:$O$1000,8,FALSE),"")</f>
        <v>Gln</v>
      </c>
      <c r="G63" s="543" t="str">
        <f>IF(LEN(A63)&gt;2,VLOOKUP(A63,COPY!$A$2:$O$1000,7,FALSE),"")</f>
        <v>Cat Catylac Int Lime 45120</v>
      </c>
      <c r="H63" s="544" t="str">
        <f t="shared" si="0"/>
        <v>@</v>
      </c>
      <c r="I63" s="545">
        <f>IFERROR(IF(LEN(A63)&gt;2,VLOOKUP(A63,COPY!$A$2:$O$1000,13,FALSE),"")/E63,"")</f>
        <v>565000</v>
      </c>
      <c r="J63" s="546"/>
      <c r="K63" s="547">
        <f t="shared" si="1"/>
        <v>565000</v>
      </c>
      <c r="L63" s="548">
        <f t="shared" si="5"/>
        <v>0</v>
      </c>
      <c r="M63" s="549">
        <f t="shared" si="3"/>
        <v>-8880410</v>
      </c>
      <c r="O63" s="538">
        <f t="shared" si="6"/>
        <v>-8880410</v>
      </c>
      <c r="P63" s="550"/>
      <c r="Q63" s="551"/>
    </row>
    <row r="64" spans="1:17" s="253" customFormat="1" ht="20.100000000000001" customHeight="1" x14ac:dyDescent="0.25">
      <c r="A64" s="253" t="str">
        <f t="shared" si="4"/>
        <v>2.50</v>
      </c>
      <c r="B64" s="584">
        <f>IF(LEN(A64)&gt;2,VLOOKUP(A64,COPY!$A$2:$O$1000,4,FALSE),"")</f>
        <v>45948</v>
      </c>
      <c r="C64" s="585" t="str">
        <f>IF(LEN(A64)&gt;2,VLOOKUP(A64,COPY!$A$2:$O$1000,15,FALSE),"")</f>
        <v>BKK.47</v>
      </c>
      <c r="D64" s="542" t="str">
        <f>IF(LEN(A64)&gt;2,VLOOKUP(A64,COPY!$A$2:$O$1000,2,FALSE),"")</f>
        <v>Beli</v>
      </c>
      <c r="E64" s="607">
        <f>IF(LEN(A64)&gt;2,VLOOKUP(A64,COPY!$A$2:$O$1000,10,FALSE),"")</f>
        <v>2</v>
      </c>
      <c r="F64" s="542" t="str">
        <f>IF(LEN(A64)&gt;2,VLOOKUP(A64,COPY!$A$2:$O$1000,8,FALSE),"")</f>
        <v>Unit</v>
      </c>
      <c r="G64" s="543" t="str">
        <f>IF(LEN(A64)&gt;2,VLOOKUP(A64,COPY!$A$2:$O$1000,7,FALSE),"")</f>
        <v>Closet Duduk Komplit Volk</v>
      </c>
      <c r="H64" s="544" t="str">
        <f t="shared" si="0"/>
        <v>@</v>
      </c>
      <c r="I64" s="545">
        <f>IFERROR(IF(LEN(A64)&gt;2,VLOOKUP(A64,COPY!$A$2:$O$1000,13,FALSE),"")/E64,"")</f>
        <v>1100000</v>
      </c>
      <c r="J64" s="546"/>
      <c r="K64" s="547">
        <f t="shared" si="1"/>
        <v>2200000</v>
      </c>
      <c r="L64" s="548">
        <f t="shared" si="5"/>
        <v>0</v>
      </c>
      <c r="M64" s="549">
        <f t="shared" si="3"/>
        <v>-11080410</v>
      </c>
      <c r="O64" s="538">
        <f t="shared" si="6"/>
        <v>-11080410</v>
      </c>
      <c r="P64" s="550"/>
      <c r="Q64" s="551"/>
    </row>
    <row r="65" spans="1:17" s="253" customFormat="1" ht="20.100000000000001" customHeight="1" x14ac:dyDescent="0.25">
      <c r="A65" s="253" t="str">
        <f t="shared" si="4"/>
        <v>2.51</v>
      </c>
      <c r="B65" s="584">
        <f>IF(LEN(A65)&gt;2,VLOOKUP(A65,COPY!$A$2:$O$1000,4,FALSE),"")</f>
        <v>45948</v>
      </c>
      <c r="C65" s="585" t="str">
        <f>IF(LEN(A65)&gt;2,VLOOKUP(A65,COPY!$A$2:$O$1000,15,FALSE),"")</f>
        <v>BKK.48</v>
      </c>
      <c r="D65" s="542" t="str">
        <f>IF(LEN(A65)&gt;2,VLOOKUP(A65,COPY!$A$2:$O$1000,2,FALSE),"")</f>
        <v>Bayar Ongkos</v>
      </c>
      <c r="E65" s="607">
        <f>IF(LEN(A65)&gt;2,VLOOKUP(A65,COPY!$A$2:$O$1000,10,FALSE),"")</f>
        <v>1</v>
      </c>
      <c r="F65" s="542">
        <f>IF(LEN(A65)&gt;2,VLOOKUP(A65,COPY!$A$2:$O$1000,8,FALSE),"")</f>
        <v>0</v>
      </c>
      <c r="G65" s="543" t="str">
        <f>IF(LEN(A65)&gt;2,VLOOKUP(A65,COPY!$A$2:$O$1000,7,FALSE),"")</f>
        <v>Pembayaran Pekerja Minggu Ke 7</v>
      </c>
      <c r="H65" s="544" t="str">
        <f t="shared" si="0"/>
        <v/>
      </c>
      <c r="I65" s="545">
        <f>IFERROR(IF(LEN(A65)&gt;2,VLOOKUP(A65,COPY!$A$2:$O$1000,13,FALSE),"")/E65,"")</f>
        <v>5110000</v>
      </c>
      <c r="J65" s="546"/>
      <c r="K65" s="547">
        <f t="shared" si="1"/>
        <v>5110000</v>
      </c>
      <c r="L65" s="548">
        <f t="shared" si="5"/>
        <v>0</v>
      </c>
      <c r="M65" s="549">
        <f t="shared" si="3"/>
        <v>-16190410</v>
      </c>
      <c r="O65" s="538">
        <f t="shared" si="6"/>
        <v>-16190410</v>
      </c>
      <c r="P65" s="550"/>
      <c r="Q65" s="551"/>
    </row>
    <row r="66" spans="1:17" s="253" customFormat="1" ht="20.100000000000001" customHeight="1" x14ac:dyDescent="0.25">
      <c r="A66" s="253" t="str">
        <f t="shared" si="4"/>
        <v>2.52</v>
      </c>
      <c r="B66" s="584">
        <f>IF(LEN(A66)&gt;2,VLOOKUP(A66,COPY!$A$2:$O$1000,4,FALSE),"")</f>
        <v>45950</v>
      </c>
      <c r="C66" s="585" t="str">
        <f>IF(LEN(A66)&gt;2,VLOOKUP(A66,COPY!$A$2:$O$1000,15,FALSE),"")</f>
        <v>BKK.49</v>
      </c>
      <c r="D66" s="542" t="str">
        <f>IF(LEN(A66)&gt;2,VLOOKUP(A66,COPY!$A$2:$O$1000,2,FALSE),"")</f>
        <v>Beli</v>
      </c>
      <c r="E66" s="607">
        <f>IF(LEN(A66)&gt;2,VLOOKUP(A66,COPY!$A$2:$O$1000,10,FALSE),"")</f>
        <v>2</v>
      </c>
      <c r="F66" s="542" t="str">
        <f>IF(LEN(A66)&gt;2,VLOOKUP(A66,COPY!$A$2:$O$1000,8,FALSE),"")</f>
        <v>Ljr</v>
      </c>
      <c r="G66" s="543" t="str">
        <f>IF(LEN(A66)&gt;2,VLOOKUP(A66,COPY!$A$2:$O$1000,7,FALSE),"")</f>
        <v>Tiang Engsel Pintu Lipat 8cm Alumunium</v>
      </c>
      <c r="H66" s="544" t="str">
        <f t="shared" si="0"/>
        <v>@</v>
      </c>
      <c r="I66" s="545">
        <f>IFERROR(IF(LEN(A66)&gt;2,VLOOKUP(A66,COPY!$A$2:$O$1000,13,FALSE),"")/E66,"")</f>
        <v>375000</v>
      </c>
      <c r="J66" s="546"/>
      <c r="K66" s="547">
        <f t="shared" si="1"/>
        <v>750000</v>
      </c>
      <c r="L66" s="548">
        <f t="shared" si="5"/>
        <v>0</v>
      </c>
      <c r="M66" s="549">
        <f t="shared" si="3"/>
        <v>-16940410</v>
      </c>
      <c r="O66" s="538">
        <f t="shared" si="6"/>
        <v>-16940410</v>
      </c>
      <c r="P66" s="550"/>
      <c r="Q66" s="551"/>
    </row>
    <row r="67" spans="1:17" s="253" customFormat="1" ht="20.100000000000001" customHeight="1" x14ac:dyDescent="0.25">
      <c r="A67" s="253" t="str">
        <f t="shared" si="4"/>
        <v>2.53</v>
      </c>
      <c r="B67" s="584" t="str">
        <f>IF(LEN(A67)&gt;2,VLOOKUP(A67,COPY!$A$2:$O$1000,4,FALSE),"")</f>
        <v/>
      </c>
      <c r="C67" s="585" t="str">
        <f>IF(LEN(A67)&gt;2,VLOOKUP(A67,COPY!$A$2:$O$1000,15,FALSE),"")</f>
        <v/>
      </c>
      <c r="D67" s="542" t="str">
        <f>IF(LEN(A67)&gt;2,VLOOKUP(A67,COPY!$A$2:$O$1000,2,FALSE),"")</f>
        <v>Beli</v>
      </c>
      <c r="E67" s="607">
        <f>IF(LEN(A67)&gt;2,VLOOKUP(A67,COPY!$A$2:$O$1000,10,FALSE),"")</f>
        <v>4</v>
      </c>
      <c r="F67" s="542" t="str">
        <f>IF(LEN(A67)&gt;2,VLOOKUP(A67,COPY!$A$2:$O$1000,8,FALSE),"")</f>
        <v>Ljr</v>
      </c>
      <c r="G67" s="543" t="str">
        <f>IF(LEN(A67)&gt;2,VLOOKUP(A67,COPY!$A$2:$O$1000,7,FALSE),"")</f>
        <v>Alumunium Profil C 3"</v>
      </c>
      <c r="H67" s="544" t="str">
        <f t="shared" si="0"/>
        <v>@</v>
      </c>
      <c r="I67" s="545">
        <f>IFERROR(IF(LEN(A67)&gt;2,VLOOKUP(A67,COPY!$A$2:$O$1000,13,FALSE),"")/E67,"")</f>
        <v>200000</v>
      </c>
      <c r="J67" s="546"/>
      <c r="K67" s="547">
        <f t="shared" si="1"/>
        <v>800000</v>
      </c>
      <c r="L67" s="548">
        <f t="shared" si="5"/>
        <v>0</v>
      </c>
      <c r="M67" s="549">
        <f t="shared" si="3"/>
        <v>-17740410</v>
      </c>
      <c r="O67" s="538">
        <f t="shared" si="6"/>
        <v>-17740410</v>
      </c>
      <c r="P67" s="550"/>
      <c r="Q67" s="551"/>
    </row>
    <row r="68" spans="1:17" s="253" customFormat="1" ht="20.100000000000001" customHeight="1" x14ac:dyDescent="0.25">
      <c r="A68" s="253" t="str">
        <f t="shared" si="4"/>
        <v>2.54</v>
      </c>
      <c r="B68" s="584">
        <f>IF(LEN(A68)&gt;2,VLOOKUP(A68,COPY!$A$2:$O$1000,4,FALSE),"")</f>
        <v>45951</v>
      </c>
      <c r="C68" s="585" t="str">
        <f>IF(LEN(A68)&gt;2,VLOOKUP(A68,COPY!$A$2:$O$1000,15,FALSE),"")</f>
        <v>BKK.50</v>
      </c>
      <c r="D68" s="542" t="str">
        <f>IF(LEN(A68)&gt;2,VLOOKUP(A68,COPY!$A$2:$O$1000,2,FALSE),"")</f>
        <v>Beli</v>
      </c>
      <c r="E68" s="607">
        <f>IF(LEN(A68)&gt;2,VLOOKUP(A68,COPY!$A$2:$O$1000,10,FALSE),"")</f>
        <v>1</v>
      </c>
      <c r="F68" s="542" t="str">
        <f>IF(LEN(A68)&gt;2,VLOOKUP(A68,COPY!$A$2:$O$1000,8,FALSE),"")</f>
        <v>Pcs</v>
      </c>
      <c r="G68" s="543" t="str">
        <f>IF(LEN(A68)&gt;2,VLOOKUP(A68,COPY!$A$2:$O$1000,7,FALSE),"")</f>
        <v>Stang Silent Plat</v>
      </c>
      <c r="H68" s="544" t="str">
        <f t="shared" si="0"/>
        <v>@</v>
      </c>
      <c r="I68" s="545">
        <f>IFERROR(IF(LEN(A68)&gt;2,VLOOKUP(A68,COPY!$A$2:$O$1000,13,FALSE),"")/E68,"")</f>
        <v>30000</v>
      </c>
      <c r="J68" s="546"/>
      <c r="K68" s="547">
        <f t="shared" si="1"/>
        <v>30000</v>
      </c>
      <c r="L68" s="548">
        <f t="shared" si="5"/>
        <v>0</v>
      </c>
      <c r="M68" s="549">
        <f t="shared" si="3"/>
        <v>-17770410</v>
      </c>
      <c r="O68" s="538">
        <f t="shared" si="6"/>
        <v>-17770410</v>
      </c>
      <c r="P68" s="550"/>
      <c r="Q68" s="551"/>
    </row>
    <row r="69" spans="1:17" s="253" customFormat="1" ht="20.100000000000001" customHeight="1" x14ac:dyDescent="0.25">
      <c r="A69" s="253" t="str">
        <f t="shared" si="4"/>
        <v>2.55</v>
      </c>
      <c r="B69" s="584" t="str">
        <f>IF(LEN(A69)&gt;2,VLOOKUP(A69,COPY!$A$2:$O$1000,4,FALSE),"")</f>
        <v/>
      </c>
      <c r="C69" s="585" t="str">
        <f>IF(LEN(A69)&gt;2,VLOOKUP(A69,COPY!$A$2:$O$1000,15,FALSE),"")</f>
        <v/>
      </c>
      <c r="D69" s="542" t="str">
        <f>IF(LEN(A69)&gt;2,VLOOKUP(A69,COPY!$A$2:$O$1000,2,FALSE),"")</f>
        <v>Beli</v>
      </c>
      <c r="E69" s="607">
        <f>IF(LEN(A69)&gt;2,VLOOKUP(A69,COPY!$A$2:$O$1000,10,FALSE),"")</f>
        <v>2</v>
      </c>
      <c r="F69" s="542" t="str">
        <f>IF(LEN(A69)&gt;2,VLOOKUP(A69,COPY!$A$2:$O$1000,8,FALSE),"")</f>
        <v>Ljr</v>
      </c>
      <c r="G69" s="543" t="str">
        <f>IF(LEN(A69)&gt;2,VLOOKUP(A69,COPY!$A$2:$O$1000,7,FALSE),"")</f>
        <v>Spigot Indal</v>
      </c>
      <c r="H69" s="544" t="str">
        <f t="shared" si="0"/>
        <v>@</v>
      </c>
      <c r="I69" s="545">
        <f>IFERROR(IF(LEN(A69)&gt;2,VLOOKUP(A69,COPY!$A$2:$O$1000,13,FALSE),"")/E69,"")</f>
        <v>76000</v>
      </c>
      <c r="J69" s="546"/>
      <c r="K69" s="547">
        <f t="shared" si="1"/>
        <v>152000</v>
      </c>
      <c r="L69" s="548">
        <f t="shared" si="5"/>
        <v>0</v>
      </c>
      <c r="M69" s="549">
        <f t="shared" si="3"/>
        <v>-17922410</v>
      </c>
      <c r="O69" s="538">
        <f t="shared" si="6"/>
        <v>-17922410</v>
      </c>
      <c r="P69" s="550"/>
      <c r="Q69" s="551"/>
    </row>
    <row r="70" spans="1:17" s="253" customFormat="1" ht="20.100000000000001" customHeight="1" x14ac:dyDescent="0.25">
      <c r="A70" s="253" t="str">
        <f t="shared" si="4"/>
        <v>2.56</v>
      </c>
      <c r="B70" s="584" t="str">
        <f>IF(LEN(A70)&gt;2,VLOOKUP(A70,COPY!$A$2:$O$1000,4,FALSE),"")</f>
        <v/>
      </c>
      <c r="C70" s="585" t="str">
        <f>IF(LEN(A70)&gt;2,VLOOKUP(A70,COPY!$A$2:$O$1000,15,FALSE),"")</f>
        <v/>
      </c>
      <c r="D70" s="542" t="str">
        <f>IF(LEN(A70)&gt;2,VLOOKUP(A70,COPY!$A$2:$O$1000,2,FALSE),"")</f>
        <v>Beli</v>
      </c>
      <c r="E70" s="607">
        <f>IF(LEN(A70)&gt;2,VLOOKUP(A70,COPY!$A$2:$O$1000,10,FALSE),"")</f>
        <v>4</v>
      </c>
      <c r="F70" s="542" t="str">
        <f>IF(LEN(A70)&gt;2,VLOOKUP(A70,COPY!$A$2:$O$1000,8,FALSE),"")</f>
        <v>Ljr</v>
      </c>
      <c r="G70" s="543" t="str">
        <f>IF(LEN(A70)&gt;2,VLOOKUP(A70,COPY!$A$2:$O$1000,7,FALSE),"")</f>
        <v>Tiang Engsel Pintu Lipat 8cm Alumunium</v>
      </c>
      <c r="H70" s="544" t="str">
        <f t="shared" si="0"/>
        <v>@</v>
      </c>
      <c r="I70" s="545">
        <f>IFERROR(IF(LEN(A70)&gt;2,VLOOKUP(A70,COPY!$A$2:$O$1000,13,FALSE),"")/E70,"")</f>
        <v>375000</v>
      </c>
      <c r="J70" s="546"/>
      <c r="K70" s="547">
        <f t="shared" si="1"/>
        <v>1500000</v>
      </c>
      <c r="L70" s="548">
        <f t="shared" si="5"/>
        <v>0</v>
      </c>
      <c r="M70" s="549">
        <f t="shared" si="3"/>
        <v>-19422410</v>
      </c>
      <c r="O70" s="538">
        <f t="shared" si="6"/>
        <v>-19422410</v>
      </c>
      <c r="P70" s="550"/>
      <c r="Q70" s="551"/>
    </row>
    <row r="71" spans="1:17" s="253" customFormat="1" ht="20.100000000000001" customHeight="1" x14ac:dyDescent="0.25">
      <c r="A71" s="253" t="str">
        <f t="shared" si="4"/>
        <v>2.57</v>
      </c>
      <c r="B71" s="584">
        <f>IF(LEN(A71)&gt;2,VLOOKUP(A71,COPY!$A$2:$O$1000,4,FALSE),"")</f>
        <v>45952</v>
      </c>
      <c r="C71" s="585" t="str">
        <f>IF(LEN(A71)&gt;2,VLOOKUP(A71,COPY!$A$2:$O$1000,15,FALSE),"")</f>
        <v>BKK.51</v>
      </c>
      <c r="D71" s="542" t="str">
        <f>IF(LEN(A71)&gt;2,VLOOKUP(A71,COPY!$A$2:$O$1000,2,FALSE),"")</f>
        <v>Beli</v>
      </c>
      <c r="E71" s="607">
        <f>IF(LEN(A71)&gt;2,VLOOKUP(A71,COPY!$A$2:$O$1000,10,FALSE),"")</f>
        <v>2</v>
      </c>
      <c r="F71" s="542" t="str">
        <f>IF(LEN(A71)&gt;2,VLOOKUP(A71,COPY!$A$2:$O$1000,8,FALSE),"")</f>
        <v>Ljr</v>
      </c>
      <c r="G71" s="543" t="str">
        <f>IF(LEN(A71)&gt;2,VLOOKUP(A71,COPY!$A$2:$O$1000,7,FALSE),"")</f>
        <v>Alumunium Profil C 3"</v>
      </c>
      <c r="H71" s="544" t="str">
        <f t="shared" si="0"/>
        <v>@</v>
      </c>
      <c r="I71" s="545">
        <f>IFERROR(IF(LEN(A71)&gt;2,VLOOKUP(A71,COPY!$A$2:$O$1000,13,FALSE),"")/E71,"")</f>
        <v>200000</v>
      </c>
      <c r="J71" s="546"/>
      <c r="K71" s="547">
        <f t="shared" si="1"/>
        <v>400000</v>
      </c>
      <c r="L71" s="548">
        <f t="shared" si="5"/>
        <v>0</v>
      </c>
      <c r="M71" s="549">
        <f t="shared" si="3"/>
        <v>-19822410</v>
      </c>
      <c r="O71" s="538">
        <f t="shared" si="6"/>
        <v>-19822410</v>
      </c>
      <c r="P71" s="550"/>
      <c r="Q71" s="551"/>
    </row>
    <row r="72" spans="1:17" s="253" customFormat="1" ht="20.100000000000001" customHeight="1" x14ac:dyDescent="0.25">
      <c r="A72" s="253" t="str">
        <f t="shared" si="4"/>
        <v>2.58</v>
      </c>
      <c r="B72" s="584" t="str">
        <f>IF(LEN(A72)&gt;2,VLOOKUP(A72,COPY!$A$2:$O$1000,4,FALSE),"")</f>
        <v/>
      </c>
      <c r="C72" s="585" t="str">
        <f>IF(LEN(A72)&gt;2,VLOOKUP(A72,COPY!$A$2:$O$1000,15,FALSE),"")</f>
        <v/>
      </c>
      <c r="D72" s="542" t="str">
        <f>IF(LEN(A72)&gt;2,VLOOKUP(A72,COPY!$A$2:$O$1000,2,FALSE),"")</f>
        <v>Beli</v>
      </c>
      <c r="E72" s="607">
        <f>IF(LEN(A72)&gt;2,VLOOKUP(A72,COPY!$A$2:$O$1000,10,FALSE),"")</f>
        <v>4</v>
      </c>
      <c r="F72" s="542" t="str">
        <f>IF(LEN(A72)&gt;2,VLOOKUP(A72,COPY!$A$2:$O$1000,8,FALSE),"")</f>
        <v>Lbr</v>
      </c>
      <c r="G72" s="543" t="str">
        <f>IF(LEN(A72)&gt;2,VLOOKUP(A72,COPY!$A$2:$O$1000,7,FALSE),"")</f>
        <v>ACP motif</v>
      </c>
      <c r="H72" s="544" t="str">
        <f t="shared" si="0"/>
        <v>@</v>
      </c>
      <c r="I72" s="545">
        <f>IFERROR(IF(LEN(A72)&gt;2,VLOOKUP(A72,COPY!$A$2:$O$1000,13,FALSE),"")/E72,"")</f>
        <v>250000</v>
      </c>
      <c r="J72" s="546"/>
      <c r="K72" s="547">
        <f t="shared" si="1"/>
        <v>1000000</v>
      </c>
      <c r="L72" s="548">
        <f t="shared" si="5"/>
        <v>0</v>
      </c>
      <c r="M72" s="549">
        <f t="shared" si="3"/>
        <v>-20822410</v>
      </c>
      <c r="O72" s="538">
        <f t="shared" si="6"/>
        <v>-20822410</v>
      </c>
      <c r="P72" s="550"/>
      <c r="Q72" s="551"/>
    </row>
    <row r="73" spans="1:17" s="253" customFormat="1" ht="20.100000000000001" customHeight="1" x14ac:dyDescent="0.25">
      <c r="A73" s="253" t="str">
        <f t="shared" si="4"/>
        <v>2.59</v>
      </c>
      <c r="B73" s="584" t="str">
        <f>IF(LEN(A73)&gt;2,VLOOKUP(A73,COPY!$A$2:$O$1000,4,FALSE),"")</f>
        <v/>
      </c>
      <c r="C73" s="585" t="str">
        <f>IF(LEN(A73)&gt;2,VLOOKUP(A73,COPY!$A$2:$O$1000,15,FALSE),"")</f>
        <v/>
      </c>
      <c r="D73" s="542" t="str">
        <f>IF(LEN(A73)&gt;2,VLOOKUP(A73,COPY!$A$2:$O$1000,2,FALSE),"")</f>
        <v>Beli</v>
      </c>
      <c r="E73" s="607">
        <f>IF(LEN(A73)&gt;2,VLOOKUP(A73,COPY!$A$2:$O$1000,10,FALSE),"")</f>
        <v>4</v>
      </c>
      <c r="F73" s="542" t="str">
        <f>IF(LEN(A73)&gt;2,VLOOKUP(A73,COPY!$A$2:$O$1000,8,FALSE),"")</f>
        <v>Ljr</v>
      </c>
      <c r="G73" s="543" t="str">
        <f>IF(LEN(A73)&gt;2,VLOOKUP(A73,COPY!$A$2:$O$1000,7,FALSE),"")</f>
        <v>Hollow Kadalan</v>
      </c>
      <c r="H73" s="544" t="str">
        <f t="shared" si="0"/>
        <v>@</v>
      </c>
      <c r="I73" s="545">
        <f>IFERROR(IF(LEN(A73)&gt;2,VLOOKUP(A73,COPY!$A$2:$O$1000,13,FALSE),"")/E73,"")</f>
        <v>70000</v>
      </c>
      <c r="J73" s="546"/>
      <c r="K73" s="547">
        <f t="shared" si="1"/>
        <v>280000</v>
      </c>
      <c r="L73" s="548">
        <f t="shared" si="5"/>
        <v>0</v>
      </c>
      <c r="M73" s="549">
        <f t="shared" si="3"/>
        <v>-21102410</v>
      </c>
      <c r="O73" s="538">
        <f t="shared" si="6"/>
        <v>-21102410</v>
      </c>
      <c r="P73" s="550"/>
      <c r="Q73" s="551"/>
    </row>
    <row r="74" spans="1:17" s="253" customFormat="1" ht="20.100000000000001" customHeight="1" x14ac:dyDescent="0.25">
      <c r="A74" s="253" t="str">
        <f t="shared" si="4"/>
        <v>2.60</v>
      </c>
      <c r="B74" s="584">
        <f>IF(LEN(A74)&gt;2,VLOOKUP(A74,COPY!$A$2:$O$1000,4,FALSE),"")</f>
        <v>45953</v>
      </c>
      <c r="C74" s="585" t="str">
        <f>IF(LEN(A74)&gt;2,VLOOKUP(A74,COPY!$A$2:$O$1000,15,FALSE),"")</f>
        <v>BKK.52</v>
      </c>
      <c r="D74" s="542" t="str">
        <f>IF(LEN(A74)&gt;2,VLOOKUP(A74,COPY!$A$2:$O$1000,2,FALSE),"")</f>
        <v>Beli</v>
      </c>
      <c r="E74" s="607">
        <f>IF(LEN(A74)&gt;2,VLOOKUP(A74,COPY!$A$2:$O$1000,10,FALSE),"")</f>
        <v>1</v>
      </c>
      <c r="F74" s="542" t="str">
        <f>IF(LEN(A74)&gt;2,VLOOKUP(A74,COPY!$A$2:$O$1000,8,FALSE),"")</f>
        <v>Gln</v>
      </c>
      <c r="G74" s="543" t="str">
        <f>IF(LEN(A74)&gt;2,VLOOKUP(A74,COPY!$A$2:$O$1000,7,FALSE),"")</f>
        <v>Cat Catylac Int Lime 45120</v>
      </c>
      <c r="H74" s="544" t="str">
        <f t="shared" si="0"/>
        <v>@</v>
      </c>
      <c r="I74" s="545">
        <f>IFERROR(IF(LEN(A74)&gt;2,VLOOKUP(A74,COPY!$A$2:$O$1000,13,FALSE),"")/E74,"")</f>
        <v>565000</v>
      </c>
      <c r="J74" s="546"/>
      <c r="K74" s="547">
        <f t="shared" si="1"/>
        <v>565000</v>
      </c>
      <c r="L74" s="548">
        <f t="shared" si="5"/>
        <v>0</v>
      </c>
      <c r="M74" s="549">
        <f t="shared" si="3"/>
        <v>-21667410</v>
      </c>
      <c r="O74" s="538">
        <f t="shared" si="6"/>
        <v>-21667410</v>
      </c>
      <c r="P74" s="550"/>
      <c r="Q74" s="551"/>
    </row>
    <row r="75" spans="1:17" s="253" customFormat="1" ht="20.100000000000001" customHeight="1" x14ac:dyDescent="0.25">
      <c r="A75" s="253" t="str">
        <f t="shared" si="4"/>
        <v>2.61</v>
      </c>
      <c r="B75" s="584" t="str">
        <f>IF(LEN(A75)&gt;2,VLOOKUP(A75,COPY!$A$2:$O$1000,4,FALSE),"")</f>
        <v/>
      </c>
      <c r="C75" s="585" t="str">
        <f>IF(LEN(A75)&gt;2,VLOOKUP(A75,COPY!$A$2:$O$1000,15,FALSE),"")</f>
        <v/>
      </c>
      <c r="D75" s="542" t="str">
        <f>IF(LEN(A75)&gt;2,VLOOKUP(A75,COPY!$A$2:$O$1000,2,FALSE),"")</f>
        <v>Beli</v>
      </c>
      <c r="E75" s="607">
        <f>IF(LEN(A75)&gt;2,VLOOKUP(A75,COPY!$A$2:$O$1000,10,FALSE),"")</f>
        <v>5</v>
      </c>
      <c r="F75" s="542" t="str">
        <f>IF(LEN(A75)&gt;2,VLOOKUP(A75,COPY!$A$2:$O$1000,8,FALSE),"")</f>
        <v>Set</v>
      </c>
      <c r="G75" s="543" t="str">
        <f>IF(LEN(A75)&gt;2,VLOOKUP(A75,COPY!$A$2:$O$1000,7,FALSE),"")</f>
        <v>Handle Kotak Natural</v>
      </c>
      <c r="H75" s="544" t="str">
        <f t="shared" si="0"/>
        <v>@</v>
      </c>
      <c r="I75" s="545">
        <f>IFERROR(IF(LEN(A75)&gt;2,VLOOKUP(A75,COPY!$A$2:$O$1000,13,FALSE),"")/E75,"")</f>
        <v>60000</v>
      </c>
      <c r="J75" s="546"/>
      <c r="K75" s="547">
        <f t="shared" si="1"/>
        <v>300000</v>
      </c>
      <c r="L75" s="548">
        <f t="shared" si="5"/>
        <v>0</v>
      </c>
      <c r="M75" s="549">
        <f t="shared" si="3"/>
        <v>-21967410</v>
      </c>
      <c r="O75" s="538">
        <f t="shared" si="6"/>
        <v>-21967410</v>
      </c>
      <c r="P75" s="550"/>
      <c r="Q75" s="551"/>
    </row>
    <row r="76" spans="1:17" s="253" customFormat="1" ht="20.100000000000001" customHeight="1" x14ac:dyDescent="0.25">
      <c r="A76" s="253" t="str">
        <f t="shared" si="4"/>
        <v>2.62</v>
      </c>
      <c r="B76" s="584" t="str">
        <f>IF(LEN(A76)&gt;2,VLOOKUP(A76,COPY!$A$2:$O$1000,4,FALSE),"")</f>
        <v/>
      </c>
      <c r="C76" s="585" t="str">
        <f>IF(LEN(A76)&gt;2,VLOOKUP(A76,COPY!$A$2:$O$1000,15,FALSE),"")</f>
        <v/>
      </c>
      <c r="D76" s="542" t="str">
        <f>IF(LEN(A76)&gt;2,VLOOKUP(A76,COPY!$A$2:$O$1000,2,FALSE),"")</f>
        <v>Beli</v>
      </c>
      <c r="E76" s="607">
        <f>IF(LEN(A76)&gt;2,VLOOKUP(A76,COPY!$A$2:$O$1000,10,FALSE),"")</f>
        <v>5</v>
      </c>
      <c r="F76" s="542" t="str">
        <f>IF(LEN(A76)&gt;2,VLOOKUP(A76,COPY!$A$2:$O$1000,8,FALSE),"")</f>
        <v>Set</v>
      </c>
      <c r="G76" s="543" t="str">
        <f>IF(LEN(A76)&gt;2,VLOOKUP(A76,COPY!$A$2:$O$1000,7,FALSE),"")</f>
        <v>Engsel Tebal  4"</v>
      </c>
      <c r="H76" s="544" t="str">
        <f t="shared" si="0"/>
        <v>@</v>
      </c>
      <c r="I76" s="545">
        <f>IFERROR(IF(LEN(A76)&gt;2,VLOOKUP(A76,COPY!$A$2:$O$1000,13,FALSE),"")/E76,"")</f>
        <v>20000</v>
      </c>
      <c r="J76" s="546"/>
      <c r="K76" s="547">
        <f t="shared" si="1"/>
        <v>100000</v>
      </c>
      <c r="L76" s="548">
        <f t="shared" si="5"/>
        <v>0</v>
      </c>
      <c r="M76" s="549">
        <f t="shared" si="3"/>
        <v>-22067410</v>
      </c>
      <c r="O76" s="538">
        <f t="shared" si="6"/>
        <v>-22067410</v>
      </c>
      <c r="P76" s="550"/>
      <c r="Q76" s="551"/>
    </row>
    <row r="77" spans="1:17" s="253" customFormat="1" ht="20.100000000000001" customHeight="1" x14ac:dyDescent="0.25">
      <c r="A77" s="253" t="str">
        <f t="shared" si="4"/>
        <v>2.63</v>
      </c>
      <c r="B77" s="584" t="str">
        <f>IF(LEN(A77)&gt;2,VLOOKUP(A77,COPY!$A$2:$O$1000,4,FALSE),"")</f>
        <v/>
      </c>
      <c r="C77" s="585" t="str">
        <f>IF(LEN(A77)&gt;2,VLOOKUP(A77,COPY!$A$2:$O$1000,15,FALSE),"")</f>
        <v/>
      </c>
      <c r="D77" s="542" t="str">
        <f>IF(LEN(A77)&gt;2,VLOOKUP(A77,COPY!$A$2:$O$1000,2,FALSE),"")</f>
        <v>Beli</v>
      </c>
      <c r="E77" s="607">
        <f>IF(LEN(A77)&gt;2,VLOOKUP(A77,COPY!$A$2:$O$1000,10,FALSE),"")</f>
        <v>1</v>
      </c>
      <c r="F77" s="542" t="str">
        <f>IF(LEN(A77)&gt;2,VLOOKUP(A77,COPY!$A$2:$O$1000,8,FALSE),"")</f>
        <v>Pak</v>
      </c>
      <c r="G77" s="543" t="str">
        <f>IF(LEN(A77)&gt;2,VLOOKUP(A77,COPY!$A$2:$O$1000,7,FALSE),"")</f>
        <v>Fisher S10</v>
      </c>
      <c r="H77" s="544" t="str">
        <f t="shared" si="0"/>
        <v>@</v>
      </c>
      <c r="I77" s="545">
        <f>IFERROR(IF(LEN(A77)&gt;2,VLOOKUP(A77,COPY!$A$2:$O$1000,13,FALSE),"")/E77,"")</f>
        <v>11000</v>
      </c>
      <c r="J77" s="546"/>
      <c r="K77" s="547">
        <f t="shared" si="1"/>
        <v>11000</v>
      </c>
      <c r="L77" s="548">
        <f t="shared" si="5"/>
        <v>0</v>
      </c>
      <c r="M77" s="549">
        <f t="shared" si="3"/>
        <v>-22078410</v>
      </c>
      <c r="O77" s="538">
        <f t="shared" si="6"/>
        <v>-22078410</v>
      </c>
      <c r="P77" s="550"/>
      <c r="Q77" s="551"/>
    </row>
    <row r="78" spans="1:17" s="253" customFormat="1" ht="20.100000000000001" customHeight="1" x14ac:dyDescent="0.25">
      <c r="A78" s="253" t="str">
        <f t="shared" si="4"/>
        <v>2.64</v>
      </c>
      <c r="B78" s="584" t="str">
        <f>IF(LEN(A78)&gt;2,VLOOKUP(A78,COPY!$A$2:$O$1000,4,FALSE),"")</f>
        <v/>
      </c>
      <c r="C78" s="585" t="str">
        <f>IF(LEN(A78)&gt;2,VLOOKUP(A78,COPY!$A$2:$O$1000,15,FALSE),"")</f>
        <v/>
      </c>
      <c r="D78" s="542" t="str">
        <f>IF(LEN(A78)&gt;2,VLOOKUP(A78,COPY!$A$2:$O$1000,2,FALSE),"")</f>
        <v>Beli</v>
      </c>
      <c r="E78" s="607">
        <f>IF(LEN(A78)&gt;2,VLOOKUP(A78,COPY!$A$2:$O$1000,10,FALSE),"")</f>
        <v>10</v>
      </c>
      <c r="F78" s="542" t="str">
        <f>IF(LEN(A78)&gt;2,VLOOKUP(A78,COPY!$A$2:$O$1000,8,FALSE),"")</f>
        <v>Pcs</v>
      </c>
      <c r="G78" s="543" t="str">
        <f>IF(LEN(A78)&gt;2,VLOOKUP(A78,COPY!$A$2:$O$1000,7,FALSE),"")</f>
        <v>Silen Clear Netral</v>
      </c>
      <c r="H78" s="544" t="str">
        <f t="shared" si="0"/>
        <v>@</v>
      </c>
      <c r="I78" s="545">
        <f>IFERROR(IF(LEN(A78)&gt;2,VLOOKUP(A78,COPY!$A$2:$O$1000,13,FALSE),"")/E78,"")</f>
        <v>35000</v>
      </c>
      <c r="J78" s="546"/>
      <c r="K78" s="547">
        <f t="shared" si="1"/>
        <v>350000</v>
      </c>
      <c r="L78" s="548">
        <f t="shared" si="5"/>
        <v>0</v>
      </c>
      <c r="M78" s="549">
        <f t="shared" si="3"/>
        <v>-22428410</v>
      </c>
      <c r="O78" s="538">
        <f t="shared" si="6"/>
        <v>-22428410</v>
      </c>
      <c r="P78" s="550"/>
      <c r="Q78" s="551"/>
    </row>
    <row r="79" spans="1:17" s="253" customFormat="1" ht="20.100000000000001" customHeight="1" x14ac:dyDescent="0.25">
      <c r="A79" s="253" t="str">
        <f t="shared" si="4"/>
        <v>2.65</v>
      </c>
      <c r="B79" s="584">
        <f>IF(LEN(A79)&gt;2,VLOOKUP(A79,COPY!$A$2:$O$1000,4,FALSE),"")</f>
        <v>45954</v>
      </c>
      <c r="C79" s="585" t="str">
        <f>IF(LEN(A79)&gt;2,VLOOKUP(A79,COPY!$A$2:$O$1000,15,FALSE),"")</f>
        <v>BKK.53</v>
      </c>
      <c r="D79" s="542" t="str">
        <f>IF(LEN(A79)&gt;2,VLOOKUP(A79,COPY!$A$2:$O$1000,2,FALSE),"")</f>
        <v>Beli</v>
      </c>
      <c r="E79" s="607">
        <f>IF(LEN(A79)&gt;2,VLOOKUP(A79,COPY!$A$2:$O$1000,10,FALSE),"")</f>
        <v>2</v>
      </c>
      <c r="F79" s="542" t="str">
        <f>IF(LEN(A79)&gt;2,VLOOKUP(A79,COPY!$A$2:$O$1000,8,FALSE),"")</f>
        <v>Unit</v>
      </c>
      <c r="G79" s="543" t="str">
        <f>IF(LEN(A79)&gt;2,VLOOKUP(A79,COPY!$A$2:$O$1000,7,FALSE),"")</f>
        <v>Urinoir Komplit Volk</v>
      </c>
      <c r="H79" s="544" t="str">
        <f t="shared" ref="H79:H142" si="7">IF(TEXT(D79,0)="Beli","@","")</f>
        <v>@</v>
      </c>
      <c r="I79" s="545">
        <f>IFERROR(IF(LEN(A79)&gt;2,VLOOKUP(A79,COPY!$A$2:$O$1000,13,FALSE),"")/E79,"")</f>
        <v>750000</v>
      </c>
      <c r="J79" s="546"/>
      <c r="K79" s="547">
        <f t="shared" ref="K79:K142" si="8">IF(E79="","",IF(E79=0,I79,IF(E79&gt;0,E79*I79,0)))</f>
        <v>1500000</v>
      </c>
      <c r="L79" s="548">
        <f t="shared" si="5"/>
        <v>0</v>
      </c>
      <c r="M79" s="549">
        <f t="shared" ref="M79:M142" si="9">IF(O79&lt;0,O79,IF(O79&gt;=0,0,0))</f>
        <v>-23928410</v>
      </c>
      <c r="O79" s="538">
        <f t="shared" si="6"/>
        <v>-23928410</v>
      </c>
      <c r="P79" s="550"/>
      <c r="Q79" s="551"/>
    </row>
    <row r="80" spans="1:17" s="253" customFormat="1" ht="20.100000000000001" customHeight="1" x14ac:dyDescent="0.25">
      <c r="A80" s="253" t="str">
        <f t="shared" ref="A80:A143" si="10">IF(LEN(A79)&gt;2,$D$4&amp;"."&amp;IF(ROW()-ROW($A$15)+1&lt;=$A$10,ROW()-ROW($A$15)+1,""),"")</f>
        <v>2.66</v>
      </c>
      <c r="B80" s="584" t="str">
        <f>IF(LEN(A80)&gt;2,VLOOKUP(A80,COPY!$A$2:$O$1000,4,FALSE),"")</f>
        <v/>
      </c>
      <c r="C80" s="585" t="str">
        <f>IF(LEN(A80)&gt;2,VLOOKUP(A80,COPY!$A$2:$O$1000,15,FALSE),"")</f>
        <v/>
      </c>
      <c r="D80" s="542" t="str">
        <f>IF(LEN(A80)&gt;2,VLOOKUP(A80,COPY!$A$2:$O$1000,2,FALSE),"")</f>
        <v>Beli</v>
      </c>
      <c r="E80" s="607">
        <f>IF(LEN(A80)&gt;2,VLOOKUP(A80,COPY!$A$2:$O$1000,10,FALSE),"")</f>
        <v>1</v>
      </c>
      <c r="F80" s="542" t="str">
        <f>IF(LEN(A80)&gt;2,VLOOKUP(A80,COPY!$A$2:$O$1000,8,FALSE),"")</f>
        <v>Unit</v>
      </c>
      <c r="G80" s="543" t="str">
        <f>IF(LEN(A80)&gt;2,VLOOKUP(A80,COPY!$A$2:$O$1000,7,FALSE),"")</f>
        <v>Tandon Air Penyu 320L Biru</v>
      </c>
      <c r="H80" s="544" t="str">
        <f t="shared" si="7"/>
        <v>@</v>
      </c>
      <c r="I80" s="545">
        <f>IFERROR(IF(LEN(A80)&gt;2,VLOOKUP(A80,COPY!$A$2:$O$1000,13,FALSE),"")/E80,"")</f>
        <v>570000</v>
      </c>
      <c r="J80" s="546"/>
      <c r="K80" s="547">
        <f t="shared" si="8"/>
        <v>570000</v>
      </c>
      <c r="L80" s="548">
        <f t="shared" ref="L80:L122" si="11">IF(E80="","",IF(O80&gt;=0,O80,IF(O80&lt;0,0,0)))</f>
        <v>0</v>
      </c>
      <c r="M80" s="549">
        <f t="shared" si="9"/>
        <v>-24498410</v>
      </c>
      <c r="O80" s="538">
        <f t="shared" ref="O80:O122" si="12">IF(E80="",O79,IF(L79&gt;0,L79-K80,IF(M79&lt;=0,M79-K80,0)))</f>
        <v>-24498410</v>
      </c>
      <c r="P80" s="550"/>
      <c r="Q80" s="551"/>
    </row>
    <row r="81" spans="1:17" s="253" customFormat="1" ht="20.100000000000001" customHeight="1" x14ac:dyDescent="0.25">
      <c r="A81" s="253" t="str">
        <f t="shared" si="10"/>
        <v>2.67</v>
      </c>
      <c r="B81" s="584">
        <f>IF(LEN(A81)&gt;2,VLOOKUP(A81,COPY!$A$2:$O$1000,4,FALSE),"")</f>
        <v>45955</v>
      </c>
      <c r="C81" s="585" t="str">
        <f>IF(LEN(A81)&gt;2,VLOOKUP(A81,COPY!$A$2:$O$1000,15,FALSE),"")</f>
        <v>BKK.54</v>
      </c>
      <c r="D81" s="542" t="str">
        <f>IF(LEN(A81)&gt;2,VLOOKUP(A81,COPY!$A$2:$O$1000,2,FALSE),"")</f>
        <v>Beli</v>
      </c>
      <c r="E81" s="607">
        <f>IF(LEN(A81)&gt;2,VLOOKUP(A81,COPY!$A$2:$O$1000,10,FALSE),"")</f>
        <v>6</v>
      </c>
      <c r="F81" s="542" t="str">
        <f>IF(LEN(A81)&gt;2,VLOOKUP(A81,COPY!$A$2:$O$1000,8,FALSE),"")</f>
        <v>Pcs</v>
      </c>
      <c r="G81" s="543" t="str">
        <f>IF(LEN(A81)&gt;2,VLOOKUP(A81,COPY!$A$2:$O$1000,7,FALSE),"")</f>
        <v>Kran Alinco 1/2" Kuningan</v>
      </c>
      <c r="H81" s="544" t="str">
        <f t="shared" si="7"/>
        <v>@</v>
      </c>
      <c r="I81" s="545">
        <f>IFERROR(IF(LEN(A81)&gt;2,VLOOKUP(A81,COPY!$A$2:$O$1000,13,FALSE),"")/E81,"")</f>
        <v>60000</v>
      </c>
      <c r="J81" s="546"/>
      <c r="K81" s="547">
        <f t="shared" si="8"/>
        <v>360000</v>
      </c>
      <c r="L81" s="548">
        <f t="shared" si="11"/>
        <v>0</v>
      </c>
      <c r="M81" s="549">
        <f t="shared" si="9"/>
        <v>-24858410</v>
      </c>
      <c r="O81" s="538">
        <f t="shared" si="12"/>
        <v>-24858410</v>
      </c>
      <c r="P81" s="550"/>
      <c r="Q81" s="551"/>
    </row>
    <row r="82" spans="1:17" s="253" customFormat="1" ht="20.100000000000001" customHeight="1" x14ac:dyDescent="0.25">
      <c r="A82" s="253" t="str">
        <f t="shared" si="10"/>
        <v>2.68</v>
      </c>
      <c r="B82" s="584" t="str">
        <f>IF(LEN(A82)&gt;2,VLOOKUP(A82,COPY!$A$2:$O$1000,4,FALSE),"")</f>
        <v/>
      </c>
      <c r="C82" s="585" t="str">
        <f>IF(LEN(A82)&gt;2,VLOOKUP(A82,COPY!$A$2:$O$1000,15,FALSE),"")</f>
        <v/>
      </c>
      <c r="D82" s="542" t="str">
        <f>IF(LEN(A82)&gt;2,VLOOKUP(A82,COPY!$A$2:$O$1000,2,FALSE),"")</f>
        <v>Beli</v>
      </c>
      <c r="E82" s="607">
        <f>IF(LEN(A82)&gt;2,VLOOKUP(A82,COPY!$A$2:$O$1000,10,FALSE),"")</f>
        <v>5</v>
      </c>
      <c r="F82" s="542" t="str">
        <f>IF(LEN(A82)&gt;2,VLOOKUP(A82,COPY!$A$2:$O$1000,8,FALSE),"")</f>
        <v>Pcs</v>
      </c>
      <c r="G82" s="543" t="str">
        <f>IF(LEN(A82)&gt;2,VLOOKUP(A82,COPY!$A$2:$O$1000,7,FALSE),"")</f>
        <v>Tba Imokito 12Mm X 10Mm</v>
      </c>
      <c r="H82" s="544" t="str">
        <f t="shared" si="7"/>
        <v>@</v>
      </c>
      <c r="I82" s="545">
        <f>IFERROR(IF(LEN(A82)&gt;2,VLOOKUP(A82,COPY!$A$2:$O$1000,13,FALSE),"")/E82,"")</f>
        <v>4000</v>
      </c>
      <c r="J82" s="546"/>
      <c r="K82" s="547">
        <f t="shared" si="8"/>
        <v>20000</v>
      </c>
      <c r="L82" s="548">
        <f t="shared" si="11"/>
        <v>0</v>
      </c>
      <c r="M82" s="549">
        <f t="shared" si="9"/>
        <v>-24878410</v>
      </c>
      <c r="O82" s="538">
        <f t="shared" si="12"/>
        <v>-24878410</v>
      </c>
      <c r="P82" s="550"/>
      <c r="Q82" s="551"/>
    </row>
    <row r="83" spans="1:17" s="253" customFormat="1" ht="20.100000000000001" customHeight="1" x14ac:dyDescent="0.25">
      <c r="A83" s="253" t="str">
        <f t="shared" si="10"/>
        <v>2.69</v>
      </c>
      <c r="B83" s="584" t="str">
        <f>IF(LEN(A83)&gt;2,VLOOKUP(A83,COPY!$A$2:$O$1000,4,FALSE),"")</f>
        <v/>
      </c>
      <c r="C83" s="585" t="str">
        <f>IF(LEN(A83)&gt;2,VLOOKUP(A83,COPY!$A$2:$O$1000,15,FALSE),"")</f>
        <v/>
      </c>
      <c r="D83" s="542" t="str">
        <f>IF(LEN(A83)&gt;2,VLOOKUP(A83,COPY!$A$2:$O$1000,2,FALSE),"")</f>
        <v>Beli</v>
      </c>
      <c r="E83" s="607">
        <f>IF(LEN(A83)&gt;2,VLOOKUP(A83,COPY!$A$2:$O$1000,10,FALSE),"")</f>
        <v>3</v>
      </c>
      <c r="F83" s="542" t="str">
        <f>IF(LEN(A83)&gt;2,VLOOKUP(A83,COPY!$A$2:$O$1000,8,FALSE),"")</f>
        <v>Pcs</v>
      </c>
      <c r="G83" s="543" t="str">
        <f>IF(LEN(A83)&gt;2,VLOOKUP(A83,COPY!$A$2:$O$1000,7,FALSE),"")</f>
        <v>Kloset Ivory Emerald</v>
      </c>
      <c r="H83" s="544" t="str">
        <f t="shared" si="7"/>
        <v>@</v>
      </c>
      <c r="I83" s="545">
        <f>IFERROR(IF(LEN(A83)&gt;2,VLOOKUP(A83,COPY!$A$2:$O$1000,13,FALSE),"")/E83,"")</f>
        <v>185000</v>
      </c>
      <c r="J83" s="546"/>
      <c r="K83" s="547">
        <f t="shared" si="8"/>
        <v>555000</v>
      </c>
      <c r="L83" s="548">
        <f t="shared" si="11"/>
        <v>0</v>
      </c>
      <c r="M83" s="549">
        <f t="shared" si="9"/>
        <v>-25433410</v>
      </c>
      <c r="O83" s="538">
        <f t="shared" si="12"/>
        <v>-25433410</v>
      </c>
      <c r="P83" s="550"/>
      <c r="Q83" s="551"/>
    </row>
    <row r="84" spans="1:17" s="253" customFormat="1" ht="20.100000000000001" customHeight="1" x14ac:dyDescent="0.25">
      <c r="A84" s="253" t="str">
        <f t="shared" si="10"/>
        <v>2.70</v>
      </c>
      <c r="B84" s="584" t="str">
        <f>IF(LEN(A84)&gt;2,VLOOKUP(A84,COPY!$A$2:$O$1000,4,FALSE),"")</f>
        <v/>
      </c>
      <c r="C84" s="585" t="str">
        <f>IF(LEN(A84)&gt;2,VLOOKUP(A84,COPY!$A$2:$O$1000,15,FALSE),"")</f>
        <v/>
      </c>
      <c r="D84" s="542" t="str">
        <f>IF(LEN(A84)&gt;2,VLOOKUP(A84,COPY!$A$2:$O$1000,2,FALSE),"")</f>
        <v>Beli</v>
      </c>
      <c r="E84" s="607">
        <f>IF(LEN(A84)&gt;2,VLOOKUP(A84,COPY!$A$2:$O$1000,10,FALSE),"")</f>
        <v>2</v>
      </c>
      <c r="F84" s="542" t="str">
        <f>IF(LEN(A84)&gt;2,VLOOKUP(A84,COPY!$A$2:$O$1000,8,FALSE),"")</f>
        <v>Unit</v>
      </c>
      <c r="G84" s="543" t="str">
        <f>IF(LEN(A84)&gt;2,VLOOKUP(A84,COPY!$A$2:$O$1000,7,FALSE),"")</f>
        <v>Wastafel Komplit Volk</v>
      </c>
      <c r="H84" s="544" t="str">
        <f t="shared" si="7"/>
        <v>@</v>
      </c>
      <c r="I84" s="545">
        <f>IFERROR(IF(LEN(A84)&gt;2,VLOOKUP(A84,COPY!$A$2:$O$1000,13,FALSE),"")/E84,"")</f>
        <v>650000</v>
      </c>
      <c r="J84" s="546"/>
      <c r="K84" s="547">
        <f t="shared" si="8"/>
        <v>1300000</v>
      </c>
      <c r="L84" s="548">
        <f t="shared" si="11"/>
        <v>0</v>
      </c>
      <c r="M84" s="549">
        <f t="shared" si="9"/>
        <v>-26733410</v>
      </c>
      <c r="O84" s="538">
        <f t="shared" si="12"/>
        <v>-26733410</v>
      </c>
      <c r="P84" s="550"/>
      <c r="Q84" s="551"/>
    </row>
    <row r="85" spans="1:17" s="253" customFormat="1" ht="20.100000000000001" customHeight="1" x14ac:dyDescent="0.25">
      <c r="A85" s="253" t="str">
        <f t="shared" si="10"/>
        <v>2.71</v>
      </c>
      <c r="B85" s="584">
        <f>IF(LEN(A85)&gt;2,VLOOKUP(A85,COPY!$A$2:$O$1000,4,FALSE),"")</f>
        <v>45955</v>
      </c>
      <c r="C85" s="585" t="str">
        <f>IF(LEN(A85)&gt;2,VLOOKUP(A85,COPY!$A$2:$O$1000,15,FALSE),"")</f>
        <v>BKK.55</v>
      </c>
      <c r="D85" s="542" t="str">
        <f>IF(LEN(A85)&gt;2,VLOOKUP(A85,COPY!$A$2:$O$1000,2,FALSE),"")</f>
        <v>Bayar Ongkos</v>
      </c>
      <c r="E85" s="607">
        <f>IF(LEN(A85)&gt;2,VLOOKUP(A85,COPY!$A$2:$O$1000,10,FALSE),"")</f>
        <v>1</v>
      </c>
      <c r="F85" s="542">
        <f>IF(LEN(A85)&gt;2,VLOOKUP(A85,COPY!$A$2:$O$1000,8,FALSE),"")</f>
        <v>0</v>
      </c>
      <c r="G85" s="543" t="str">
        <f>IF(LEN(A85)&gt;2,VLOOKUP(A85,COPY!$A$2:$O$1000,7,FALSE),"")</f>
        <v>Pembayaran Pekerja Minggu Ke 8</v>
      </c>
      <c r="H85" s="544" t="str">
        <f t="shared" si="7"/>
        <v/>
      </c>
      <c r="I85" s="545">
        <f>IFERROR(IF(LEN(A85)&gt;2,VLOOKUP(A85,COPY!$A$2:$O$1000,13,FALSE),"")/E85,"")</f>
        <v>4265000</v>
      </c>
      <c r="J85" s="546"/>
      <c r="K85" s="547">
        <f t="shared" si="8"/>
        <v>4265000</v>
      </c>
      <c r="L85" s="548">
        <f t="shared" si="11"/>
        <v>0</v>
      </c>
      <c r="M85" s="549">
        <f t="shared" si="9"/>
        <v>-30998410</v>
      </c>
      <c r="O85" s="538">
        <f t="shared" si="12"/>
        <v>-30998410</v>
      </c>
      <c r="P85" s="550"/>
      <c r="Q85" s="551"/>
    </row>
    <row r="86" spans="1:17" s="253" customFormat="1" ht="20.100000000000001" customHeight="1" x14ac:dyDescent="0.25">
      <c r="A86" s="253" t="str">
        <f t="shared" si="10"/>
        <v>2.72</v>
      </c>
      <c r="B86" s="584">
        <f>IF(LEN(A86)&gt;2,VLOOKUP(A86,COPY!$A$2:$O$1000,4,FALSE),"")</f>
        <v>45961</v>
      </c>
      <c r="C86" s="585" t="str">
        <f>IF(LEN(A86)&gt;2,VLOOKUP(A86,COPY!$A$2:$O$1000,15,FALSE),"")</f>
        <v>BKK.56</v>
      </c>
      <c r="D86" s="542" t="str">
        <f>IF(LEN(A86)&gt;2,VLOOKUP(A86,COPY!$A$2:$O$1000,2,FALSE),"")</f>
        <v>Beli</v>
      </c>
      <c r="E86" s="607">
        <f>IF(LEN(A86)&gt;2,VLOOKUP(A86,COPY!$A$2:$O$1000,10,FALSE),"")</f>
        <v>15</v>
      </c>
      <c r="F86" s="542" t="str">
        <f>IF(LEN(A86)&gt;2,VLOOKUP(A86,COPY!$A$2:$O$1000,8,FALSE),"")</f>
        <v>Bks</v>
      </c>
      <c r="G86" s="543" t="str">
        <f>IF(LEN(A86)&gt;2,VLOOKUP(A86,COPY!$A$2:$O$1000,7,FALSE),"")</f>
        <v>Kosumsi Rapat Peninjauan 100%</v>
      </c>
      <c r="H86" s="544" t="str">
        <f t="shared" si="7"/>
        <v>@</v>
      </c>
      <c r="I86" s="545">
        <f>IFERROR(IF(LEN(A86)&gt;2,VLOOKUP(A86,COPY!$A$2:$O$1000,13,FALSE),"")/E86,"")</f>
        <v>30000</v>
      </c>
      <c r="J86" s="546"/>
      <c r="K86" s="547">
        <f t="shared" si="8"/>
        <v>450000</v>
      </c>
      <c r="L86" s="548">
        <f t="shared" si="11"/>
        <v>0</v>
      </c>
      <c r="M86" s="549">
        <f t="shared" si="9"/>
        <v>-31448410</v>
      </c>
      <c r="O86" s="538">
        <f t="shared" si="12"/>
        <v>-31448410</v>
      </c>
      <c r="P86" s="550"/>
      <c r="Q86" s="551"/>
    </row>
    <row r="87" spans="1:17" s="253" customFormat="1" ht="20.100000000000001" customHeight="1" x14ac:dyDescent="0.25">
      <c r="A87" s="253" t="str">
        <f t="shared" si="10"/>
        <v>2.73</v>
      </c>
      <c r="B87" s="584" t="str">
        <f>IF(LEN(A87)&gt;2,VLOOKUP(A87,COPY!$A$2:$O$1000,4,FALSE),"")</f>
        <v/>
      </c>
      <c r="C87" s="585" t="str">
        <f>IF(LEN(A87)&gt;2,VLOOKUP(A87,COPY!$A$2:$O$1000,15,FALSE),"")</f>
        <v/>
      </c>
      <c r="D87" s="542" t="str">
        <f>IF(LEN(A87)&gt;2,VLOOKUP(A87,COPY!$A$2:$O$1000,2,FALSE),"")</f>
        <v>Beli</v>
      </c>
      <c r="E87" s="607">
        <f>IF(LEN(A87)&gt;2,VLOOKUP(A87,COPY!$A$2:$O$1000,10,FALSE),"")</f>
        <v>2</v>
      </c>
      <c r="F87" s="542" t="str">
        <f>IF(LEN(A87)&gt;2,VLOOKUP(A87,COPY!$A$2:$O$1000,8,FALSE),"")</f>
        <v>Rim</v>
      </c>
      <c r="G87" s="543" t="str">
        <f>IF(LEN(A87)&gt;2,VLOOKUP(A87,COPY!$A$2:$O$1000,7,FALSE),"")</f>
        <v>Kertas Sidu A4 70 grm</v>
      </c>
      <c r="H87" s="544" t="str">
        <f t="shared" si="7"/>
        <v>@</v>
      </c>
      <c r="I87" s="545">
        <f>IFERROR(IF(LEN(A87)&gt;2,VLOOKUP(A87,COPY!$A$2:$O$1000,13,FALSE),"")/E87,"")</f>
        <v>50000</v>
      </c>
      <c r="J87" s="546"/>
      <c r="K87" s="547">
        <f t="shared" si="8"/>
        <v>100000</v>
      </c>
      <c r="L87" s="548">
        <f t="shared" si="11"/>
        <v>0</v>
      </c>
      <c r="M87" s="549">
        <f t="shared" si="9"/>
        <v>-31548410</v>
      </c>
      <c r="O87" s="538">
        <f t="shared" si="12"/>
        <v>-31548410</v>
      </c>
      <c r="P87" s="550"/>
      <c r="Q87" s="551"/>
    </row>
    <row r="88" spans="1:17" s="253" customFormat="1" ht="20.100000000000001" customHeight="1" x14ac:dyDescent="0.25">
      <c r="A88" s="253" t="str">
        <f t="shared" si="10"/>
        <v>2.74</v>
      </c>
      <c r="B88" s="584" t="str">
        <f>IF(LEN(A88)&gt;2,VLOOKUP(A88,COPY!$A$2:$O$1000,4,FALSE),"")</f>
        <v/>
      </c>
      <c r="C88" s="585" t="str">
        <f>IF(LEN(A88)&gt;2,VLOOKUP(A88,COPY!$A$2:$O$1000,15,FALSE),"")</f>
        <v/>
      </c>
      <c r="D88" s="542" t="str">
        <f>IF(LEN(A88)&gt;2,VLOOKUP(A88,COPY!$A$2:$O$1000,2,FALSE),"")</f>
        <v>Beli</v>
      </c>
      <c r="E88" s="607">
        <f>IF(LEN(A88)&gt;2,VLOOKUP(A88,COPY!$A$2:$O$1000,10,FALSE),"")</f>
        <v>1</v>
      </c>
      <c r="F88" s="542" t="str">
        <f>IF(LEN(A88)&gt;2,VLOOKUP(A88,COPY!$A$2:$O$1000,8,FALSE),"")</f>
        <v>Pcs</v>
      </c>
      <c r="G88" s="543" t="str">
        <f>IF(LEN(A88)&gt;2,VLOOKUP(A88,COPY!$A$2:$O$1000,7,FALSE),"")</f>
        <v>Tinta Printer</v>
      </c>
      <c r="H88" s="544" t="str">
        <f t="shared" si="7"/>
        <v>@</v>
      </c>
      <c r="I88" s="545">
        <f>IFERROR(IF(LEN(A88)&gt;2,VLOOKUP(A88,COPY!$A$2:$O$1000,13,FALSE),"")/E88,"")</f>
        <v>100000</v>
      </c>
      <c r="J88" s="546"/>
      <c r="K88" s="547">
        <f t="shared" si="8"/>
        <v>100000</v>
      </c>
      <c r="L88" s="548">
        <f t="shared" si="11"/>
        <v>0</v>
      </c>
      <c r="M88" s="549">
        <f t="shared" si="9"/>
        <v>-31648410</v>
      </c>
      <c r="O88" s="538">
        <f t="shared" si="12"/>
        <v>-31648410</v>
      </c>
      <c r="P88" s="550"/>
      <c r="Q88" s="551"/>
    </row>
    <row r="89" spans="1:17" s="253" customFormat="1" ht="20.100000000000001" customHeight="1" x14ac:dyDescent="0.25">
      <c r="A89" s="253" t="str">
        <f t="shared" si="10"/>
        <v>2.75</v>
      </c>
      <c r="B89" s="584" t="str">
        <f>IF(LEN(A89)&gt;2,VLOOKUP(A89,COPY!$A$2:$O$1000,4,FALSE),"")</f>
        <v/>
      </c>
      <c r="C89" s="585" t="str">
        <f>IF(LEN(A89)&gt;2,VLOOKUP(A89,COPY!$A$2:$O$1000,15,FALSE),"")</f>
        <v/>
      </c>
      <c r="D89" s="542" t="str">
        <f>IF(LEN(A89)&gt;2,VLOOKUP(A89,COPY!$A$2:$O$1000,2,FALSE),"")</f>
        <v>Beli</v>
      </c>
      <c r="E89" s="607">
        <f>IF(LEN(A89)&gt;2,VLOOKUP(A89,COPY!$A$2:$O$1000,10,FALSE),"")</f>
        <v>10</v>
      </c>
      <c r="F89" s="542" t="str">
        <f>IF(LEN(A89)&gt;2,VLOOKUP(A89,COPY!$A$2:$O$1000,8,FALSE),"")</f>
        <v>Pcs</v>
      </c>
      <c r="G89" s="543" t="str">
        <f>IF(LEN(A89)&gt;2,VLOOKUP(A89,COPY!$A$2:$O$1000,7,FALSE),"")</f>
        <v>Materai 10000</v>
      </c>
      <c r="H89" s="544" t="str">
        <f t="shared" si="7"/>
        <v>@</v>
      </c>
      <c r="I89" s="545">
        <f>IFERROR(IF(LEN(A89)&gt;2,VLOOKUP(A89,COPY!$A$2:$O$1000,13,FALSE),"")/E89,"")</f>
        <v>12000</v>
      </c>
      <c r="J89" s="546"/>
      <c r="K89" s="547">
        <f t="shared" si="8"/>
        <v>120000</v>
      </c>
      <c r="L89" s="548">
        <f t="shared" si="11"/>
        <v>0</v>
      </c>
      <c r="M89" s="549">
        <f t="shared" si="9"/>
        <v>-31768410</v>
      </c>
      <c r="O89" s="538">
        <f t="shared" si="12"/>
        <v>-31768410</v>
      </c>
      <c r="P89" s="550"/>
      <c r="Q89" s="551"/>
    </row>
    <row r="90" spans="1:17" s="253" customFormat="1" ht="20.100000000000001" customHeight="1" x14ac:dyDescent="0.25">
      <c r="A90" s="253" t="str">
        <f t="shared" si="10"/>
        <v>2.76</v>
      </c>
      <c r="B90" s="584" t="str">
        <f>IF(LEN(A90)&gt;2,VLOOKUP(A90,COPY!$A$2:$O$1000,4,FALSE),"")</f>
        <v/>
      </c>
      <c r="C90" s="585" t="str">
        <f>IF(LEN(A90)&gt;2,VLOOKUP(A90,COPY!$A$2:$O$1000,15,FALSE),"")</f>
        <v/>
      </c>
      <c r="D90" s="542" t="str">
        <f>IF(LEN(A90)&gt;2,VLOOKUP(A90,COPY!$A$2:$O$1000,2,FALSE),"")</f>
        <v>Beli</v>
      </c>
      <c r="E90" s="607">
        <f>IF(LEN(A90)&gt;2,VLOOKUP(A90,COPY!$A$2:$O$1000,10,FALSE),"")</f>
        <v>2</v>
      </c>
      <c r="F90" s="542" t="str">
        <f>IF(LEN(A90)&gt;2,VLOOKUP(A90,COPY!$A$2:$O$1000,8,FALSE),"")</f>
        <v>Buku</v>
      </c>
      <c r="G90" s="543" t="str">
        <f>IF(LEN(A90)&gt;2,VLOOKUP(A90,COPY!$A$2:$O$1000,7,FALSE),"")</f>
        <v>Foto Copy</v>
      </c>
      <c r="H90" s="544" t="str">
        <f t="shared" si="7"/>
        <v>@</v>
      </c>
      <c r="I90" s="545">
        <f>IFERROR(IF(LEN(A90)&gt;2,VLOOKUP(A90,COPY!$A$2:$O$1000,13,FALSE),"")/E90,"")</f>
        <v>50000</v>
      </c>
      <c r="J90" s="546"/>
      <c r="K90" s="547">
        <f t="shared" si="8"/>
        <v>100000</v>
      </c>
      <c r="L90" s="548">
        <f t="shared" si="11"/>
        <v>0</v>
      </c>
      <c r="M90" s="549">
        <f t="shared" si="9"/>
        <v>-31868410</v>
      </c>
      <c r="O90" s="538">
        <f t="shared" si="12"/>
        <v>-31868410</v>
      </c>
      <c r="P90" s="550"/>
      <c r="Q90" s="551"/>
    </row>
    <row r="91" spans="1:17" s="253" customFormat="1" ht="20.100000000000001" customHeight="1" x14ac:dyDescent="0.25">
      <c r="A91" s="253" t="str">
        <f t="shared" si="10"/>
        <v>2.77</v>
      </c>
      <c r="B91" s="584" t="str">
        <f>IF(LEN(A91)&gt;2,VLOOKUP(A91,COPY!$A$2:$O$1000,4,FALSE),"")</f>
        <v/>
      </c>
      <c r="C91" s="585" t="str">
        <f>IF(LEN(A91)&gt;2,VLOOKUP(A91,COPY!$A$2:$O$1000,15,FALSE),"")</f>
        <v/>
      </c>
      <c r="D91" s="542" t="str">
        <f>IF(LEN(A91)&gt;2,VLOOKUP(A91,COPY!$A$2:$O$1000,2,FALSE),"")</f>
        <v>Beli</v>
      </c>
      <c r="E91" s="607">
        <f>IF(LEN(A91)&gt;2,VLOOKUP(A91,COPY!$A$2:$O$1000,10,FALSE),"")</f>
        <v>1</v>
      </c>
      <c r="F91" s="542" t="str">
        <f>IF(LEN(A91)&gt;2,VLOOKUP(A91,COPY!$A$2:$O$1000,8,FALSE),"")</f>
        <v>Ls</v>
      </c>
      <c r="G91" s="543" t="str">
        <f>IF(LEN(A91)&gt;2,VLOOKUP(A91,COPY!$A$2:$O$1000,7,FALSE),"")</f>
        <v>Biaya Perjalanan Lain</v>
      </c>
      <c r="H91" s="544" t="str">
        <f t="shared" si="7"/>
        <v>@</v>
      </c>
      <c r="I91" s="545">
        <f>IFERROR(IF(LEN(A91)&gt;2,VLOOKUP(A91,COPY!$A$2:$O$1000,13,FALSE),"")/E91,"")</f>
        <v>140000</v>
      </c>
      <c r="J91" s="546"/>
      <c r="K91" s="547">
        <f t="shared" si="8"/>
        <v>140000</v>
      </c>
      <c r="L91" s="548">
        <f t="shared" si="11"/>
        <v>0</v>
      </c>
      <c r="M91" s="549">
        <f t="shared" si="9"/>
        <v>-32008410</v>
      </c>
      <c r="O91" s="538">
        <f t="shared" si="12"/>
        <v>-32008410</v>
      </c>
      <c r="P91" s="550"/>
      <c r="Q91" s="551"/>
    </row>
    <row r="92" spans="1:17" s="253" customFormat="1" ht="20.100000000000001" customHeight="1" x14ac:dyDescent="0.25">
      <c r="A92" s="253" t="str">
        <f t="shared" si="10"/>
        <v>2.78</v>
      </c>
      <c r="B92" s="584">
        <f>IF(LEN(A92)&gt;2,VLOOKUP(A92,COPY!$A$2:$O$1000,4,FALSE),"")</f>
        <v>45961</v>
      </c>
      <c r="C92" s="585" t="str">
        <f>IF(LEN(A92)&gt;2,VLOOKUP(A92,COPY!$A$2:$O$1000,15,FALSE),"")</f>
        <v>BKK.57</v>
      </c>
      <c r="D92" s="542" t="str">
        <f>IF(LEN(A92)&gt;2,VLOOKUP(A92,COPY!$A$2:$O$1000,2,FALSE),"")</f>
        <v>Jasa</v>
      </c>
      <c r="E92" s="607">
        <f>IF(LEN(A92)&gt;2,VLOOKUP(A92,COPY!$A$2:$O$1000,10,FALSE),"")</f>
        <v>1</v>
      </c>
      <c r="F92" s="542">
        <f>IF(LEN(A92)&gt;2,VLOOKUP(A92,COPY!$A$2:$O$1000,8,FALSE),"")</f>
        <v>0</v>
      </c>
      <c r="G92" s="543" t="str">
        <f>IF(LEN(A92)&gt;2,VLOOKUP(A92,COPY!$A$2:$O$1000,7,FALSE),"")</f>
        <v>Bayar Dana Pengawasan</v>
      </c>
      <c r="H92" s="544" t="str">
        <f t="shared" si="7"/>
        <v/>
      </c>
      <c r="I92" s="545">
        <f>IFERROR(IF(LEN(A92)&gt;2,VLOOKUP(A92,COPY!$A$2:$O$1000,13,FALSE),"")/E92,"")</f>
        <v>3404630</v>
      </c>
      <c r="J92" s="546"/>
      <c r="K92" s="547">
        <f t="shared" si="8"/>
        <v>3404630</v>
      </c>
      <c r="L92" s="548">
        <f t="shared" si="11"/>
        <v>0</v>
      </c>
      <c r="M92" s="549">
        <f t="shared" si="9"/>
        <v>-35413040</v>
      </c>
      <c r="O92" s="538">
        <f t="shared" si="12"/>
        <v>-35413040</v>
      </c>
      <c r="P92" s="550"/>
      <c r="Q92" s="551"/>
    </row>
    <row r="93" spans="1:17" s="253" customFormat="1" ht="20.100000000000001" hidden="1" customHeight="1" x14ac:dyDescent="0.25">
      <c r="A93" s="253" t="str">
        <f t="shared" si="10"/>
        <v>2.</v>
      </c>
      <c r="B93" s="584" t="str">
        <f>IF(LEN(A93)&gt;2,VLOOKUP(A93,COPY!$A$2:$O$1000,4,FALSE),"")</f>
        <v/>
      </c>
      <c r="C93" s="585" t="str">
        <f>IF(LEN(A93)&gt;2,VLOOKUP(A93,COPY!$A$2:$O$1000,15,FALSE),"")</f>
        <v/>
      </c>
      <c r="D93" s="542" t="str">
        <f>IF(LEN(A93)&gt;2,VLOOKUP(A93,COPY!$A$2:$O$1000,2,FALSE),"")</f>
        <v/>
      </c>
      <c r="E93" s="607" t="str">
        <f>IF(LEN(A93)&gt;2,VLOOKUP(A93,COPY!$A$2:$O$1000,10,FALSE),"")</f>
        <v/>
      </c>
      <c r="F93" s="542" t="str">
        <f>IF(LEN(A93)&gt;2,VLOOKUP(A93,COPY!$A$2:$O$1000,8,FALSE),"")</f>
        <v/>
      </c>
      <c r="G93" s="543" t="str">
        <f>IF(LEN(A93)&gt;2,VLOOKUP(A93,COPY!$A$2:$O$1000,7,FALSE),"")</f>
        <v/>
      </c>
      <c r="H93" s="544" t="str">
        <f t="shared" si="7"/>
        <v/>
      </c>
      <c r="I93" s="545" t="str">
        <f>IFERROR(IF(LEN(A93)&gt;2,VLOOKUP(A93,COPY!$A$2:$O$1000,13,FALSE),"")/E93,"")</f>
        <v/>
      </c>
      <c r="J93" s="546"/>
      <c r="K93" s="547" t="str">
        <f t="shared" si="8"/>
        <v/>
      </c>
      <c r="L93" s="548" t="str">
        <f t="shared" si="11"/>
        <v/>
      </c>
      <c r="M93" s="549">
        <f t="shared" si="9"/>
        <v>-35413040</v>
      </c>
      <c r="O93" s="538">
        <f t="shared" si="12"/>
        <v>-35413040</v>
      </c>
      <c r="P93" s="550"/>
      <c r="Q93" s="551"/>
    </row>
    <row r="94" spans="1:17" s="253" customFormat="1" ht="20.100000000000001" hidden="1" customHeight="1" x14ac:dyDescent="0.25">
      <c r="A94" s="253" t="str">
        <f t="shared" si="10"/>
        <v/>
      </c>
      <c r="B94" s="584" t="str">
        <f>IF(LEN(A94)&gt;2,VLOOKUP(A94,COPY!$A$2:$O$1000,4,FALSE),"")</f>
        <v/>
      </c>
      <c r="C94" s="585" t="str">
        <f>IF(LEN(A94)&gt;2,VLOOKUP(A94,COPY!$A$2:$O$1000,15,FALSE),"")</f>
        <v/>
      </c>
      <c r="D94" s="542" t="str">
        <f>IF(LEN(A94)&gt;2,VLOOKUP(A94,COPY!$A$2:$O$1000,2,FALSE),"")</f>
        <v/>
      </c>
      <c r="E94" s="607" t="str">
        <f>IF(LEN(A94)&gt;2,VLOOKUP(A94,COPY!$A$2:$O$1000,10,FALSE),"")</f>
        <v/>
      </c>
      <c r="F94" s="542" t="str">
        <f>IF(LEN(A94)&gt;2,VLOOKUP(A94,COPY!$A$2:$O$1000,8,FALSE),"")</f>
        <v/>
      </c>
      <c r="G94" s="543" t="str">
        <f>IF(LEN(A94)&gt;2,VLOOKUP(A94,COPY!$A$2:$O$1000,7,FALSE),"")</f>
        <v/>
      </c>
      <c r="H94" s="544" t="str">
        <f t="shared" si="7"/>
        <v/>
      </c>
      <c r="I94" s="545" t="str">
        <f>IFERROR(IF(LEN(A94)&gt;2,VLOOKUP(A94,COPY!$A$2:$O$1000,13,FALSE),"")/E94,"")</f>
        <v/>
      </c>
      <c r="J94" s="546"/>
      <c r="K94" s="547" t="str">
        <f t="shared" si="8"/>
        <v/>
      </c>
      <c r="L94" s="548" t="str">
        <f t="shared" si="11"/>
        <v/>
      </c>
      <c r="M94" s="549">
        <f t="shared" si="9"/>
        <v>-35413040</v>
      </c>
      <c r="O94" s="538">
        <f t="shared" si="12"/>
        <v>-35413040</v>
      </c>
      <c r="P94" s="550"/>
      <c r="Q94" s="551"/>
    </row>
    <row r="95" spans="1:17" s="253" customFormat="1" ht="20.100000000000001" hidden="1" customHeight="1" x14ac:dyDescent="0.25">
      <c r="A95" s="253" t="str">
        <f t="shared" si="10"/>
        <v/>
      </c>
      <c r="B95" s="584" t="str">
        <f>IF(LEN(A95)&gt;2,VLOOKUP(A95,COPY!$A$2:$O$1000,4,FALSE),"")</f>
        <v/>
      </c>
      <c r="C95" s="585" t="str">
        <f>IF(LEN(A95)&gt;2,VLOOKUP(A95,COPY!$A$2:$O$1000,15,FALSE),"")</f>
        <v/>
      </c>
      <c r="D95" s="542" t="str">
        <f>IF(LEN(A95)&gt;2,VLOOKUP(A95,COPY!$A$2:$O$1000,2,FALSE),"")</f>
        <v/>
      </c>
      <c r="E95" s="607" t="str">
        <f>IF(LEN(A95)&gt;2,VLOOKUP(A95,COPY!$A$2:$O$1000,10,FALSE),"")</f>
        <v/>
      </c>
      <c r="F95" s="542" t="str">
        <f>IF(LEN(A95)&gt;2,VLOOKUP(A95,COPY!$A$2:$O$1000,8,FALSE),"")</f>
        <v/>
      </c>
      <c r="G95" s="543" t="str">
        <f>IF(LEN(A95)&gt;2,VLOOKUP(A95,COPY!$A$2:$O$1000,7,FALSE),"")</f>
        <v/>
      </c>
      <c r="H95" s="544" t="str">
        <f t="shared" si="7"/>
        <v/>
      </c>
      <c r="I95" s="545" t="str">
        <f>IFERROR(IF(LEN(A95)&gt;2,VLOOKUP(A95,COPY!$A$2:$O$1000,13,FALSE),"")/E95,"")</f>
        <v/>
      </c>
      <c r="J95" s="546"/>
      <c r="K95" s="547" t="str">
        <f t="shared" si="8"/>
        <v/>
      </c>
      <c r="L95" s="548" t="str">
        <f t="shared" si="11"/>
        <v/>
      </c>
      <c r="M95" s="549">
        <f t="shared" si="9"/>
        <v>-35413040</v>
      </c>
      <c r="O95" s="538">
        <f t="shared" si="12"/>
        <v>-35413040</v>
      </c>
      <c r="P95" s="550"/>
      <c r="Q95" s="551"/>
    </row>
    <row r="96" spans="1:17" s="253" customFormat="1" ht="20.100000000000001" hidden="1" customHeight="1" x14ac:dyDescent="0.25">
      <c r="A96" s="253" t="str">
        <f t="shared" si="10"/>
        <v/>
      </c>
      <c r="B96" s="584" t="str">
        <f>IF(LEN(A96)&gt;2,VLOOKUP(A96,COPY!$A$2:$O$1000,4,FALSE),"")</f>
        <v/>
      </c>
      <c r="C96" s="585" t="str">
        <f>IF(LEN(A96)&gt;2,VLOOKUP(A96,COPY!$A$2:$O$1000,15,FALSE),"")</f>
        <v/>
      </c>
      <c r="D96" s="542" t="str">
        <f>IF(LEN(A96)&gt;2,VLOOKUP(A96,COPY!$A$2:$O$1000,2,FALSE),"")</f>
        <v/>
      </c>
      <c r="E96" s="607" t="str">
        <f>IF(LEN(A96)&gt;2,VLOOKUP(A96,COPY!$A$2:$O$1000,10,FALSE),"")</f>
        <v/>
      </c>
      <c r="F96" s="542" t="str">
        <f>IF(LEN(A96)&gt;2,VLOOKUP(A96,COPY!$A$2:$O$1000,8,FALSE),"")</f>
        <v/>
      </c>
      <c r="G96" s="543" t="str">
        <f>IF(LEN(A96)&gt;2,VLOOKUP(A96,COPY!$A$2:$O$1000,7,FALSE),"")</f>
        <v/>
      </c>
      <c r="H96" s="544" t="str">
        <f t="shared" si="7"/>
        <v/>
      </c>
      <c r="I96" s="545" t="str">
        <f>IFERROR(IF(LEN(A96)&gt;2,VLOOKUP(A96,COPY!$A$2:$O$1000,13,FALSE),"")/E96,"")</f>
        <v/>
      </c>
      <c r="J96" s="546"/>
      <c r="K96" s="547" t="str">
        <f t="shared" si="8"/>
        <v/>
      </c>
      <c r="L96" s="548" t="str">
        <f t="shared" si="11"/>
        <v/>
      </c>
      <c r="M96" s="549">
        <f t="shared" si="9"/>
        <v>-35413040</v>
      </c>
      <c r="O96" s="538">
        <f t="shared" si="12"/>
        <v>-35413040</v>
      </c>
      <c r="P96" s="550"/>
      <c r="Q96" s="551"/>
    </row>
    <row r="97" spans="1:17" s="253" customFormat="1" ht="20.100000000000001" hidden="1" customHeight="1" x14ac:dyDescent="0.25">
      <c r="A97" s="253" t="str">
        <f t="shared" si="10"/>
        <v/>
      </c>
      <c r="B97" s="584" t="str">
        <f>IF(LEN(A97)&gt;2,VLOOKUP(A97,COPY!$A$2:$O$1000,4,FALSE),"")</f>
        <v/>
      </c>
      <c r="C97" s="585" t="str">
        <f>IF(LEN(A97)&gt;2,VLOOKUP(A97,COPY!$A$2:$O$1000,15,FALSE),"")</f>
        <v/>
      </c>
      <c r="D97" s="542" t="str">
        <f>IF(LEN(A97)&gt;2,VLOOKUP(A97,COPY!$A$2:$O$1000,2,FALSE),"")</f>
        <v/>
      </c>
      <c r="E97" s="607" t="str">
        <f>IF(LEN(A97)&gt;2,VLOOKUP(A97,COPY!$A$2:$O$1000,10,FALSE),"")</f>
        <v/>
      </c>
      <c r="F97" s="542" t="str">
        <f>IF(LEN(A97)&gt;2,VLOOKUP(A97,COPY!$A$2:$O$1000,8,FALSE),"")</f>
        <v/>
      </c>
      <c r="G97" s="543" t="str">
        <f>IF(LEN(A97)&gt;2,VLOOKUP(A97,COPY!$A$2:$O$1000,7,FALSE),"")</f>
        <v/>
      </c>
      <c r="H97" s="544" t="str">
        <f t="shared" si="7"/>
        <v/>
      </c>
      <c r="I97" s="545" t="str">
        <f>IFERROR(IF(LEN(A97)&gt;2,VLOOKUP(A97,COPY!$A$2:$O$1000,13,FALSE),"")/E97,"")</f>
        <v/>
      </c>
      <c r="J97" s="546"/>
      <c r="K97" s="547" t="str">
        <f t="shared" si="8"/>
        <v/>
      </c>
      <c r="L97" s="548" t="str">
        <f t="shared" si="11"/>
        <v/>
      </c>
      <c r="M97" s="549">
        <f t="shared" si="9"/>
        <v>-35413040</v>
      </c>
      <c r="O97" s="538">
        <f t="shared" si="12"/>
        <v>-35413040</v>
      </c>
      <c r="P97" s="550"/>
      <c r="Q97" s="551"/>
    </row>
    <row r="98" spans="1:17" s="253" customFormat="1" ht="20.100000000000001" hidden="1" customHeight="1" x14ac:dyDescent="0.25">
      <c r="A98" s="253" t="str">
        <f t="shared" si="10"/>
        <v/>
      </c>
      <c r="B98" s="584" t="str">
        <f>IF(LEN(A98)&gt;2,VLOOKUP(A98,COPY!$A$2:$O$1000,4,FALSE),"")</f>
        <v/>
      </c>
      <c r="C98" s="585" t="str">
        <f>IF(LEN(A98)&gt;2,VLOOKUP(A98,COPY!$A$2:$O$1000,15,FALSE),"")</f>
        <v/>
      </c>
      <c r="D98" s="542" t="str">
        <f>IF(LEN(A98)&gt;2,VLOOKUP(A98,COPY!$A$2:$O$1000,2,FALSE),"")</f>
        <v/>
      </c>
      <c r="E98" s="607" t="str">
        <f>IF(LEN(A98)&gt;2,VLOOKUP(A98,COPY!$A$2:$O$1000,10,FALSE),"")</f>
        <v/>
      </c>
      <c r="F98" s="542" t="str">
        <f>IF(LEN(A98)&gt;2,VLOOKUP(A98,COPY!$A$2:$O$1000,8,FALSE),"")</f>
        <v/>
      </c>
      <c r="G98" s="543" t="str">
        <f>IF(LEN(A98)&gt;2,VLOOKUP(A98,COPY!$A$2:$O$1000,7,FALSE),"")</f>
        <v/>
      </c>
      <c r="H98" s="544" t="str">
        <f t="shared" si="7"/>
        <v/>
      </c>
      <c r="I98" s="545" t="str">
        <f>IFERROR(IF(LEN(A98)&gt;2,VLOOKUP(A98,COPY!$A$2:$O$1000,13,FALSE),"")/E98,"")</f>
        <v/>
      </c>
      <c r="J98" s="546"/>
      <c r="K98" s="547" t="str">
        <f t="shared" si="8"/>
        <v/>
      </c>
      <c r="L98" s="548" t="str">
        <f t="shared" si="11"/>
        <v/>
      </c>
      <c r="M98" s="549">
        <f t="shared" si="9"/>
        <v>-35413040</v>
      </c>
      <c r="O98" s="538">
        <f t="shared" si="12"/>
        <v>-35413040</v>
      </c>
      <c r="P98" s="550"/>
      <c r="Q98" s="551"/>
    </row>
    <row r="99" spans="1:17" s="253" customFormat="1" ht="20.100000000000001" hidden="1" customHeight="1" x14ac:dyDescent="0.25">
      <c r="A99" s="253" t="str">
        <f t="shared" si="10"/>
        <v/>
      </c>
      <c r="B99" s="584" t="str">
        <f>IF(LEN(A99)&gt;2,VLOOKUP(A99,COPY!$A$2:$O$1000,4,FALSE),"")</f>
        <v/>
      </c>
      <c r="C99" s="585" t="str">
        <f>IF(LEN(A99)&gt;2,VLOOKUP(A99,COPY!$A$2:$O$1000,15,FALSE),"")</f>
        <v/>
      </c>
      <c r="D99" s="542" t="str">
        <f>IF(LEN(A99)&gt;2,VLOOKUP(A99,COPY!$A$2:$O$1000,2,FALSE),"")</f>
        <v/>
      </c>
      <c r="E99" s="607" t="str">
        <f>IF(LEN(A99)&gt;2,VLOOKUP(A99,COPY!$A$2:$O$1000,10,FALSE),"")</f>
        <v/>
      </c>
      <c r="F99" s="542" t="str">
        <f>IF(LEN(A99)&gt;2,VLOOKUP(A99,COPY!$A$2:$O$1000,8,FALSE),"")</f>
        <v/>
      </c>
      <c r="G99" s="543" t="str">
        <f>IF(LEN(A99)&gt;2,VLOOKUP(A99,COPY!$A$2:$O$1000,7,FALSE),"")</f>
        <v/>
      </c>
      <c r="H99" s="544" t="str">
        <f t="shared" si="7"/>
        <v/>
      </c>
      <c r="I99" s="545" t="str">
        <f>IFERROR(IF(LEN(A99)&gt;2,VLOOKUP(A99,COPY!$A$2:$O$1000,13,FALSE),"")/E99,"")</f>
        <v/>
      </c>
      <c r="J99" s="546"/>
      <c r="K99" s="547" t="str">
        <f t="shared" si="8"/>
        <v/>
      </c>
      <c r="L99" s="548" t="str">
        <f t="shared" si="11"/>
        <v/>
      </c>
      <c r="M99" s="549">
        <f t="shared" si="9"/>
        <v>-35413040</v>
      </c>
      <c r="O99" s="538">
        <f t="shared" si="12"/>
        <v>-35413040</v>
      </c>
      <c r="P99" s="550"/>
      <c r="Q99" s="551"/>
    </row>
    <row r="100" spans="1:17" s="253" customFormat="1" ht="20.100000000000001" hidden="1" customHeight="1" x14ac:dyDescent="0.25">
      <c r="A100" s="253" t="str">
        <f t="shared" si="10"/>
        <v/>
      </c>
      <c r="B100" s="584" t="str">
        <f>IF(LEN(A100)&gt;2,VLOOKUP(A100,COPY!$A$2:$O$1000,4,FALSE),"")</f>
        <v/>
      </c>
      <c r="C100" s="585" t="str">
        <f>IF(LEN(A100)&gt;2,VLOOKUP(A100,COPY!$A$2:$O$1000,15,FALSE),"")</f>
        <v/>
      </c>
      <c r="D100" s="542" t="str">
        <f>IF(LEN(A100)&gt;2,VLOOKUP(A100,COPY!$A$2:$O$1000,2,FALSE),"")</f>
        <v/>
      </c>
      <c r="E100" s="607" t="str">
        <f>IF(LEN(A100)&gt;2,VLOOKUP(A100,COPY!$A$2:$O$1000,10,FALSE),"")</f>
        <v/>
      </c>
      <c r="F100" s="542" t="str">
        <f>IF(LEN(A100)&gt;2,VLOOKUP(A100,COPY!$A$2:$O$1000,8,FALSE),"")</f>
        <v/>
      </c>
      <c r="G100" s="543" t="str">
        <f>IF(LEN(A100)&gt;2,VLOOKUP(A100,COPY!$A$2:$O$1000,7,FALSE),"")</f>
        <v/>
      </c>
      <c r="H100" s="544" t="str">
        <f t="shared" si="7"/>
        <v/>
      </c>
      <c r="I100" s="545" t="str">
        <f>IFERROR(IF(LEN(A100)&gt;2,VLOOKUP(A100,COPY!$A$2:$O$1000,13,FALSE),"")/E100,"")</f>
        <v/>
      </c>
      <c r="J100" s="546"/>
      <c r="K100" s="547" t="str">
        <f t="shared" si="8"/>
        <v/>
      </c>
      <c r="L100" s="548" t="str">
        <f t="shared" si="11"/>
        <v/>
      </c>
      <c r="M100" s="549">
        <f t="shared" si="9"/>
        <v>-35413040</v>
      </c>
      <c r="O100" s="538">
        <f t="shared" si="12"/>
        <v>-35413040</v>
      </c>
      <c r="P100" s="550"/>
      <c r="Q100" s="551"/>
    </row>
    <row r="101" spans="1:17" s="253" customFormat="1" ht="20.100000000000001" hidden="1" customHeight="1" x14ac:dyDescent="0.25">
      <c r="A101" s="253" t="str">
        <f t="shared" si="10"/>
        <v/>
      </c>
      <c r="B101" s="584" t="str">
        <f>IF(LEN(A101)&gt;2,VLOOKUP(A101,COPY!$A$2:$O$1000,4,FALSE),"")</f>
        <v/>
      </c>
      <c r="C101" s="585" t="str">
        <f>IF(LEN(A101)&gt;2,VLOOKUP(A101,COPY!$A$2:$O$1000,15,FALSE),"")</f>
        <v/>
      </c>
      <c r="D101" s="542" t="str">
        <f>IF(LEN(A101)&gt;2,VLOOKUP(A101,COPY!$A$2:$O$1000,2,FALSE),"")</f>
        <v/>
      </c>
      <c r="E101" s="607" t="str">
        <f>IF(LEN(A101)&gt;2,VLOOKUP(A101,COPY!$A$2:$O$1000,10,FALSE),"")</f>
        <v/>
      </c>
      <c r="F101" s="542" t="str">
        <f>IF(LEN(A101)&gt;2,VLOOKUP(A101,COPY!$A$2:$O$1000,8,FALSE),"")</f>
        <v/>
      </c>
      <c r="G101" s="543" t="str">
        <f>IF(LEN(A101)&gt;2,VLOOKUP(A101,COPY!$A$2:$O$1000,7,FALSE),"")</f>
        <v/>
      </c>
      <c r="H101" s="544" t="str">
        <f t="shared" si="7"/>
        <v/>
      </c>
      <c r="I101" s="545" t="str">
        <f>IFERROR(IF(LEN(A101)&gt;2,VLOOKUP(A101,COPY!$A$2:$O$1000,13,FALSE),"")/E101,"")</f>
        <v/>
      </c>
      <c r="J101" s="546"/>
      <c r="K101" s="547" t="str">
        <f t="shared" si="8"/>
        <v/>
      </c>
      <c r="L101" s="548" t="str">
        <f t="shared" si="11"/>
        <v/>
      </c>
      <c r="M101" s="549">
        <f t="shared" si="9"/>
        <v>-35413040</v>
      </c>
      <c r="O101" s="538">
        <f t="shared" si="12"/>
        <v>-35413040</v>
      </c>
      <c r="P101" s="550"/>
      <c r="Q101" s="551"/>
    </row>
    <row r="102" spans="1:17" s="253" customFormat="1" ht="20.100000000000001" hidden="1" customHeight="1" x14ac:dyDescent="0.25">
      <c r="A102" s="253" t="str">
        <f t="shared" si="10"/>
        <v/>
      </c>
      <c r="B102" s="584" t="str">
        <f>IF(LEN(A102)&gt;2,VLOOKUP(A102,COPY!$A$2:$O$1000,4,FALSE),"")</f>
        <v/>
      </c>
      <c r="C102" s="585" t="str">
        <f>IF(LEN(A102)&gt;2,VLOOKUP(A102,COPY!$A$2:$O$1000,15,FALSE),"")</f>
        <v/>
      </c>
      <c r="D102" s="542" t="str">
        <f>IF(LEN(A102)&gt;2,VLOOKUP(A102,COPY!$A$2:$O$1000,2,FALSE),"")</f>
        <v/>
      </c>
      <c r="E102" s="607" t="str">
        <f>IF(LEN(A102)&gt;2,VLOOKUP(A102,COPY!$A$2:$O$1000,10,FALSE),"")</f>
        <v/>
      </c>
      <c r="F102" s="542" t="str">
        <f>IF(LEN(A102)&gt;2,VLOOKUP(A102,COPY!$A$2:$O$1000,8,FALSE),"")</f>
        <v/>
      </c>
      <c r="G102" s="543" t="str">
        <f>IF(LEN(A102)&gt;2,VLOOKUP(A102,COPY!$A$2:$O$1000,7,FALSE),"")</f>
        <v/>
      </c>
      <c r="H102" s="544" t="str">
        <f t="shared" si="7"/>
        <v/>
      </c>
      <c r="I102" s="545" t="str">
        <f>IFERROR(IF(LEN(A102)&gt;2,VLOOKUP(A102,COPY!$A$2:$O$1000,13,FALSE),"")/E102,"")</f>
        <v/>
      </c>
      <c r="J102" s="546"/>
      <c r="K102" s="547" t="str">
        <f t="shared" si="8"/>
        <v/>
      </c>
      <c r="L102" s="548" t="str">
        <f t="shared" si="11"/>
        <v/>
      </c>
      <c r="M102" s="549">
        <f t="shared" si="9"/>
        <v>-35413040</v>
      </c>
      <c r="O102" s="538">
        <f t="shared" si="12"/>
        <v>-35413040</v>
      </c>
      <c r="P102" s="550"/>
      <c r="Q102" s="551"/>
    </row>
    <row r="103" spans="1:17" s="253" customFormat="1" ht="20.100000000000001" hidden="1" customHeight="1" x14ac:dyDescent="0.25">
      <c r="A103" s="253" t="str">
        <f t="shared" si="10"/>
        <v/>
      </c>
      <c r="B103" s="584" t="str">
        <f>IF(LEN(A103)&gt;2,VLOOKUP(A103,COPY!$A$2:$O$1000,4,FALSE),"")</f>
        <v/>
      </c>
      <c r="C103" s="585" t="str">
        <f>IF(LEN(A103)&gt;2,VLOOKUP(A103,COPY!$A$2:$O$1000,15,FALSE),"")</f>
        <v/>
      </c>
      <c r="D103" s="542" t="str">
        <f>IF(LEN(A103)&gt;2,VLOOKUP(A103,COPY!$A$2:$O$1000,2,FALSE),"")</f>
        <v/>
      </c>
      <c r="E103" s="607" t="str">
        <f>IF(LEN(A103)&gt;2,VLOOKUP(A103,COPY!$A$2:$O$1000,10,FALSE),"")</f>
        <v/>
      </c>
      <c r="F103" s="542" t="str">
        <f>IF(LEN(A103)&gt;2,VLOOKUP(A103,COPY!$A$2:$O$1000,8,FALSE),"")</f>
        <v/>
      </c>
      <c r="G103" s="543" t="str">
        <f>IF(LEN(A103)&gt;2,VLOOKUP(A103,COPY!$A$2:$O$1000,7,FALSE),"")</f>
        <v/>
      </c>
      <c r="H103" s="544" t="str">
        <f t="shared" si="7"/>
        <v/>
      </c>
      <c r="I103" s="545" t="str">
        <f>IFERROR(IF(LEN(A103)&gt;2,VLOOKUP(A103,COPY!$A$2:$O$1000,13,FALSE),"")/E103,"")</f>
        <v/>
      </c>
      <c r="J103" s="546"/>
      <c r="K103" s="547" t="str">
        <f t="shared" si="8"/>
        <v/>
      </c>
      <c r="L103" s="548" t="str">
        <f t="shared" si="11"/>
        <v/>
      </c>
      <c r="M103" s="549">
        <f t="shared" si="9"/>
        <v>-35413040</v>
      </c>
      <c r="O103" s="538">
        <f t="shared" si="12"/>
        <v>-35413040</v>
      </c>
      <c r="P103" s="550"/>
      <c r="Q103" s="551"/>
    </row>
    <row r="104" spans="1:17" s="253" customFormat="1" ht="20.100000000000001" hidden="1" customHeight="1" x14ac:dyDescent="0.25">
      <c r="A104" s="253" t="str">
        <f t="shared" si="10"/>
        <v/>
      </c>
      <c r="B104" s="584" t="str">
        <f>IF(LEN(A104)&gt;2,VLOOKUP(A104,COPY!$A$2:$O$1000,4,FALSE),"")</f>
        <v/>
      </c>
      <c r="C104" s="585" t="str">
        <f>IF(LEN(A104)&gt;2,VLOOKUP(A104,COPY!$A$2:$O$1000,15,FALSE),"")</f>
        <v/>
      </c>
      <c r="D104" s="542" t="str">
        <f>IF(LEN(A104)&gt;2,VLOOKUP(A104,COPY!$A$2:$O$1000,2,FALSE),"")</f>
        <v/>
      </c>
      <c r="E104" s="607" t="str">
        <f>IF(LEN(A104)&gt;2,VLOOKUP(A104,COPY!$A$2:$O$1000,10,FALSE),"")</f>
        <v/>
      </c>
      <c r="F104" s="542" t="str">
        <f>IF(LEN(A104)&gt;2,VLOOKUP(A104,COPY!$A$2:$O$1000,8,FALSE),"")</f>
        <v/>
      </c>
      <c r="G104" s="543" t="str">
        <f>IF(LEN(A104)&gt;2,VLOOKUP(A104,COPY!$A$2:$O$1000,7,FALSE),"")</f>
        <v/>
      </c>
      <c r="H104" s="544" t="str">
        <f t="shared" si="7"/>
        <v/>
      </c>
      <c r="I104" s="545" t="str">
        <f>IFERROR(IF(LEN(A104)&gt;2,VLOOKUP(A104,COPY!$A$2:$O$1000,13,FALSE),"")/E104,"")</f>
        <v/>
      </c>
      <c r="J104" s="546"/>
      <c r="K104" s="547" t="str">
        <f t="shared" si="8"/>
        <v/>
      </c>
      <c r="L104" s="548" t="str">
        <f t="shared" si="11"/>
        <v/>
      </c>
      <c r="M104" s="549">
        <f t="shared" si="9"/>
        <v>-35413040</v>
      </c>
      <c r="O104" s="538">
        <f t="shared" si="12"/>
        <v>-35413040</v>
      </c>
      <c r="P104" s="550"/>
      <c r="Q104" s="551"/>
    </row>
    <row r="105" spans="1:17" s="253" customFormat="1" ht="20.100000000000001" hidden="1" customHeight="1" x14ac:dyDescent="0.25">
      <c r="A105" s="253" t="str">
        <f t="shared" si="10"/>
        <v/>
      </c>
      <c r="B105" s="584" t="str">
        <f>IF(LEN(A105)&gt;2,VLOOKUP(A105,COPY!$A$2:$O$1000,4,FALSE),"")</f>
        <v/>
      </c>
      <c r="C105" s="585" t="str">
        <f>IF(LEN(A105)&gt;2,VLOOKUP(A105,COPY!$A$2:$O$1000,15,FALSE),"")</f>
        <v/>
      </c>
      <c r="D105" s="542" t="str">
        <f>IF(LEN(A105)&gt;2,VLOOKUP(A105,COPY!$A$2:$O$1000,2,FALSE),"")</f>
        <v/>
      </c>
      <c r="E105" s="607" t="str">
        <f>IF(LEN(A105)&gt;2,VLOOKUP(A105,COPY!$A$2:$O$1000,10,FALSE),"")</f>
        <v/>
      </c>
      <c r="F105" s="542" t="str">
        <f>IF(LEN(A105)&gt;2,VLOOKUP(A105,COPY!$A$2:$O$1000,8,FALSE),"")</f>
        <v/>
      </c>
      <c r="G105" s="543" t="str">
        <f>IF(LEN(A105)&gt;2,VLOOKUP(A105,COPY!$A$2:$O$1000,7,FALSE),"")</f>
        <v/>
      </c>
      <c r="H105" s="544" t="str">
        <f t="shared" si="7"/>
        <v/>
      </c>
      <c r="I105" s="545" t="str">
        <f>IFERROR(IF(LEN(A105)&gt;2,VLOOKUP(A105,COPY!$A$2:$O$1000,13,FALSE),"")/E105,"")</f>
        <v/>
      </c>
      <c r="J105" s="546"/>
      <c r="K105" s="547" t="str">
        <f t="shared" si="8"/>
        <v/>
      </c>
      <c r="L105" s="548" t="str">
        <f t="shared" si="11"/>
        <v/>
      </c>
      <c r="M105" s="549">
        <f t="shared" si="9"/>
        <v>-35413040</v>
      </c>
      <c r="O105" s="538">
        <f t="shared" si="12"/>
        <v>-35413040</v>
      </c>
      <c r="P105" s="550"/>
      <c r="Q105" s="551"/>
    </row>
    <row r="106" spans="1:17" s="253" customFormat="1" ht="20.100000000000001" hidden="1" customHeight="1" x14ac:dyDescent="0.25">
      <c r="A106" s="253" t="str">
        <f t="shared" si="10"/>
        <v/>
      </c>
      <c r="B106" s="584" t="str">
        <f>IF(LEN(A106)&gt;2,VLOOKUP(A106,COPY!$A$2:$O$1000,4,FALSE),"")</f>
        <v/>
      </c>
      <c r="C106" s="585" t="str">
        <f>IF(LEN(A106)&gt;2,VLOOKUP(A106,COPY!$A$2:$O$1000,15,FALSE),"")</f>
        <v/>
      </c>
      <c r="D106" s="542" t="str">
        <f>IF(LEN(A106)&gt;2,VLOOKUP(A106,COPY!$A$2:$O$1000,2,FALSE),"")</f>
        <v/>
      </c>
      <c r="E106" s="607" t="str">
        <f>IF(LEN(A106)&gt;2,VLOOKUP(A106,COPY!$A$2:$O$1000,10,FALSE),"")</f>
        <v/>
      </c>
      <c r="F106" s="542" t="str">
        <f>IF(LEN(A106)&gt;2,VLOOKUP(A106,COPY!$A$2:$O$1000,8,FALSE),"")</f>
        <v/>
      </c>
      <c r="G106" s="543" t="str">
        <f>IF(LEN(A106)&gt;2,VLOOKUP(A106,COPY!$A$2:$O$1000,7,FALSE),"")</f>
        <v/>
      </c>
      <c r="H106" s="544" t="str">
        <f t="shared" si="7"/>
        <v/>
      </c>
      <c r="I106" s="545" t="str">
        <f>IFERROR(IF(LEN(A106)&gt;2,VLOOKUP(A106,COPY!$A$2:$O$1000,13,FALSE),"")/E106,"")</f>
        <v/>
      </c>
      <c r="J106" s="546"/>
      <c r="K106" s="547" t="str">
        <f t="shared" si="8"/>
        <v/>
      </c>
      <c r="L106" s="548" t="str">
        <f t="shared" si="11"/>
        <v/>
      </c>
      <c r="M106" s="549">
        <f t="shared" si="9"/>
        <v>-35413040</v>
      </c>
      <c r="O106" s="538">
        <f t="shared" si="12"/>
        <v>-35413040</v>
      </c>
      <c r="P106" s="550"/>
      <c r="Q106" s="551"/>
    </row>
    <row r="107" spans="1:17" s="253" customFormat="1" ht="20.100000000000001" hidden="1" customHeight="1" x14ac:dyDescent="0.25">
      <c r="A107" s="253" t="str">
        <f t="shared" si="10"/>
        <v/>
      </c>
      <c r="B107" s="584" t="str">
        <f>IF(LEN(A107)&gt;2,VLOOKUP(A107,COPY!$A$2:$O$1000,4,FALSE),"")</f>
        <v/>
      </c>
      <c r="C107" s="585" t="str">
        <f>IF(LEN(A107)&gt;2,VLOOKUP(A107,COPY!$A$2:$O$1000,15,FALSE),"")</f>
        <v/>
      </c>
      <c r="D107" s="542" t="str">
        <f>IF(LEN(A107)&gt;2,VLOOKUP(A107,COPY!$A$2:$O$1000,2,FALSE),"")</f>
        <v/>
      </c>
      <c r="E107" s="607" t="str">
        <f>IF(LEN(A107)&gt;2,VLOOKUP(A107,COPY!$A$2:$O$1000,10,FALSE),"")</f>
        <v/>
      </c>
      <c r="F107" s="542" t="str">
        <f>IF(LEN(A107)&gt;2,VLOOKUP(A107,COPY!$A$2:$O$1000,8,FALSE),"")</f>
        <v/>
      </c>
      <c r="G107" s="543" t="str">
        <f>IF(LEN(A107)&gt;2,VLOOKUP(A107,COPY!$A$2:$O$1000,7,FALSE),"")</f>
        <v/>
      </c>
      <c r="H107" s="544" t="str">
        <f t="shared" si="7"/>
        <v/>
      </c>
      <c r="I107" s="545" t="str">
        <f>IFERROR(IF(LEN(A107)&gt;2,VLOOKUP(A107,COPY!$A$2:$O$1000,13,FALSE),"")/E107,"")</f>
        <v/>
      </c>
      <c r="J107" s="546"/>
      <c r="K107" s="547" t="str">
        <f t="shared" si="8"/>
        <v/>
      </c>
      <c r="L107" s="548" t="str">
        <f t="shared" si="11"/>
        <v/>
      </c>
      <c r="M107" s="549">
        <f t="shared" si="9"/>
        <v>-35413040</v>
      </c>
      <c r="O107" s="538">
        <f t="shared" si="12"/>
        <v>-35413040</v>
      </c>
      <c r="P107" s="550"/>
      <c r="Q107" s="551"/>
    </row>
    <row r="108" spans="1:17" s="253" customFormat="1" ht="20.100000000000001" hidden="1" customHeight="1" x14ac:dyDescent="0.25">
      <c r="A108" s="253" t="str">
        <f t="shared" si="10"/>
        <v/>
      </c>
      <c r="B108" s="584" t="str">
        <f>IF(LEN(A108)&gt;2,VLOOKUP(A108,COPY!$A$2:$O$1000,4,FALSE),"")</f>
        <v/>
      </c>
      <c r="C108" s="585" t="str">
        <f>IF(LEN(A108)&gt;2,VLOOKUP(A108,COPY!$A$2:$O$1000,15,FALSE),"")</f>
        <v/>
      </c>
      <c r="D108" s="542" t="str">
        <f>IF(LEN(A108)&gt;2,VLOOKUP(A108,COPY!$A$2:$O$1000,2,FALSE),"")</f>
        <v/>
      </c>
      <c r="E108" s="607" t="str">
        <f>IF(LEN(A108)&gt;2,VLOOKUP(A108,COPY!$A$2:$O$1000,10,FALSE),"")</f>
        <v/>
      </c>
      <c r="F108" s="542" t="str">
        <f>IF(LEN(A108)&gt;2,VLOOKUP(A108,COPY!$A$2:$O$1000,8,FALSE),"")</f>
        <v/>
      </c>
      <c r="G108" s="543" t="str">
        <f>IF(LEN(A108)&gt;2,VLOOKUP(A108,COPY!$A$2:$O$1000,7,FALSE),"")</f>
        <v/>
      </c>
      <c r="H108" s="544" t="str">
        <f t="shared" si="7"/>
        <v/>
      </c>
      <c r="I108" s="545" t="str">
        <f>IFERROR(IF(LEN(A108)&gt;2,VLOOKUP(A108,COPY!$A$2:$O$1000,13,FALSE),"")/E108,"")</f>
        <v/>
      </c>
      <c r="J108" s="546"/>
      <c r="K108" s="547" t="str">
        <f t="shared" si="8"/>
        <v/>
      </c>
      <c r="L108" s="548" t="str">
        <f t="shared" si="11"/>
        <v/>
      </c>
      <c r="M108" s="549">
        <f t="shared" si="9"/>
        <v>-35413040</v>
      </c>
      <c r="O108" s="538">
        <f t="shared" si="12"/>
        <v>-35413040</v>
      </c>
      <c r="P108" s="550"/>
      <c r="Q108" s="551"/>
    </row>
    <row r="109" spans="1:17" s="253" customFormat="1" ht="20.100000000000001" hidden="1" customHeight="1" x14ac:dyDescent="0.25">
      <c r="A109" s="253" t="str">
        <f t="shared" si="10"/>
        <v/>
      </c>
      <c r="B109" s="584" t="str">
        <f>IF(LEN(A109)&gt;2,VLOOKUP(A109,COPY!$A$2:$O$1000,4,FALSE),"")</f>
        <v/>
      </c>
      <c r="C109" s="585" t="str">
        <f>IF(LEN(A109)&gt;2,VLOOKUP(A109,COPY!$A$2:$O$1000,15,FALSE),"")</f>
        <v/>
      </c>
      <c r="D109" s="542" t="str">
        <f>IF(LEN(A109)&gt;2,VLOOKUP(A109,COPY!$A$2:$O$1000,2,FALSE),"")</f>
        <v/>
      </c>
      <c r="E109" s="607" t="str">
        <f>IF(LEN(A109)&gt;2,VLOOKUP(A109,COPY!$A$2:$O$1000,10,FALSE),"")</f>
        <v/>
      </c>
      <c r="F109" s="542" t="str">
        <f>IF(LEN(A109)&gt;2,VLOOKUP(A109,COPY!$A$2:$O$1000,8,FALSE),"")</f>
        <v/>
      </c>
      <c r="G109" s="543" t="str">
        <f>IF(LEN(A109)&gt;2,VLOOKUP(A109,COPY!$A$2:$O$1000,7,FALSE),"")</f>
        <v/>
      </c>
      <c r="H109" s="544" t="str">
        <f t="shared" si="7"/>
        <v/>
      </c>
      <c r="I109" s="545" t="str">
        <f>IFERROR(IF(LEN(A109)&gt;2,VLOOKUP(A109,COPY!$A$2:$O$1000,13,FALSE),"")/E109,"")</f>
        <v/>
      </c>
      <c r="J109" s="546"/>
      <c r="K109" s="547" t="str">
        <f t="shared" si="8"/>
        <v/>
      </c>
      <c r="L109" s="548" t="str">
        <f t="shared" si="11"/>
        <v/>
      </c>
      <c r="M109" s="549">
        <f t="shared" si="9"/>
        <v>-35413040</v>
      </c>
      <c r="O109" s="538">
        <f t="shared" si="12"/>
        <v>-35413040</v>
      </c>
      <c r="P109" s="550"/>
      <c r="Q109" s="551"/>
    </row>
    <row r="110" spans="1:17" s="253" customFormat="1" ht="20.100000000000001" hidden="1" customHeight="1" x14ac:dyDescent="0.25">
      <c r="A110" s="253" t="str">
        <f t="shared" si="10"/>
        <v/>
      </c>
      <c r="B110" s="584" t="str">
        <f>IF(LEN(A110)&gt;2,VLOOKUP(A110,COPY!$A$2:$O$1000,4,FALSE),"")</f>
        <v/>
      </c>
      <c r="C110" s="585" t="str">
        <f>IF(LEN(A110)&gt;2,VLOOKUP(A110,COPY!$A$2:$O$1000,15,FALSE),"")</f>
        <v/>
      </c>
      <c r="D110" s="542" t="str">
        <f>IF(LEN(A110)&gt;2,VLOOKUP(A110,COPY!$A$2:$O$1000,2,FALSE),"")</f>
        <v/>
      </c>
      <c r="E110" s="607" t="str">
        <f>IF(LEN(A110)&gt;2,VLOOKUP(A110,COPY!$A$2:$O$1000,10,FALSE),"")</f>
        <v/>
      </c>
      <c r="F110" s="542" t="str">
        <f>IF(LEN(A110)&gt;2,VLOOKUP(A110,COPY!$A$2:$O$1000,8,FALSE),"")</f>
        <v/>
      </c>
      <c r="G110" s="543" t="str">
        <f>IF(LEN(A110)&gt;2,VLOOKUP(A110,COPY!$A$2:$O$1000,7,FALSE),"")</f>
        <v/>
      </c>
      <c r="H110" s="544" t="str">
        <f t="shared" si="7"/>
        <v/>
      </c>
      <c r="I110" s="545" t="str">
        <f>IFERROR(IF(LEN(A110)&gt;2,VLOOKUP(A110,COPY!$A$2:$O$1000,13,FALSE),"")/E110,"")</f>
        <v/>
      </c>
      <c r="J110" s="546"/>
      <c r="K110" s="547" t="str">
        <f t="shared" si="8"/>
        <v/>
      </c>
      <c r="L110" s="548" t="str">
        <f t="shared" si="11"/>
        <v/>
      </c>
      <c r="M110" s="549">
        <f t="shared" si="9"/>
        <v>-35413040</v>
      </c>
      <c r="O110" s="538">
        <f t="shared" si="12"/>
        <v>-35413040</v>
      </c>
      <c r="P110" s="550"/>
      <c r="Q110" s="551"/>
    </row>
    <row r="111" spans="1:17" s="253" customFormat="1" ht="20.100000000000001" hidden="1" customHeight="1" x14ac:dyDescent="0.25">
      <c r="A111" s="253" t="str">
        <f t="shared" si="10"/>
        <v/>
      </c>
      <c r="B111" s="584" t="str">
        <f>IF(LEN(A111)&gt;2,VLOOKUP(A111,COPY!$A$2:$O$1000,4,FALSE),"")</f>
        <v/>
      </c>
      <c r="C111" s="585" t="str">
        <f>IF(LEN(A111)&gt;2,VLOOKUP(A111,COPY!$A$2:$O$1000,15,FALSE),"")</f>
        <v/>
      </c>
      <c r="D111" s="542" t="str">
        <f>IF(LEN(A111)&gt;2,VLOOKUP(A111,COPY!$A$2:$O$1000,2,FALSE),"")</f>
        <v/>
      </c>
      <c r="E111" s="607" t="str">
        <f>IF(LEN(A111)&gt;2,VLOOKUP(A111,COPY!$A$2:$O$1000,10,FALSE),"")</f>
        <v/>
      </c>
      <c r="F111" s="542" t="str">
        <f>IF(LEN(A111)&gt;2,VLOOKUP(A111,COPY!$A$2:$O$1000,8,FALSE),"")</f>
        <v/>
      </c>
      <c r="G111" s="543" t="str">
        <f>IF(LEN(A111)&gt;2,VLOOKUP(A111,COPY!$A$2:$O$1000,7,FALSE),"")</f>
        <v/>
      </c>
      <c r="H111" s="544" t="str">
        <f t="shared" si="7"/>
        <v/>
      </c>
      <c r="I111" s="545" t="str">
        <f>IFERROR(IF(LEN(A111)&gt;2,VLOOKUP(A111,COPY!$A$2:$O$1000,13,FALSE),"")/E111,"")</f>
        <v/>
      </c>
      <c r="J111" s="546"/>
      <c r="K111" s="547" t="str">
        <f t="shared" si="8"/>
        <v/>
      </c>
      <c r="L111" s="548" t="str">
        <f t="shared" si="11"/>
        <v/>
      </c>
      <c r="M111" s="549">
        <f t="shared" si="9"/>
        <v>-35413040</v>
      </c>
      <c r="O111" s="538">
        <f t="shared" si="12"/>
        <v>-35413040</v>
      </c>
      <c r="P111" s="550"/>
      <c r="Q111" s="551"/>
    </row>
    <row r="112" spans="1:17" s="253" customFormat="1" ht="20.100000000000001" hidden="1" customHeight="1" x14ac:dyDescent="0.25">
      <c r="A112" s="253" t="str">
        <f t="shared" si="10"/>
        <v/>
      </c>
      <c r="B112" s="584" t="str">
        <f>IF(LEN(A112)&gt;2,VLOOKUP(A112,COPY!$A$2:$O$1000,4,FALSE),"")</f>
        <v/>
      </c>
      <c r="C112" s="585" t="str">
        <f>IF(LEN(A112)&gt;2,VLOOKUP(A112,COPY!$A$2:$O$1000,15,FALSE),"")</f>
        <v/>
      </c>
      <c r="D112" s="542" t="str">
        <f>IF(LEN(A112)&gt;2,VLOOKUP(A112,COPY!$A$2:$O$1000,2,FALSE),"")</f>
        <v/>
      </c>
      <c r="E112" s="607" t="str">
        <f>IF(LEN(A112)&gt;2,VLOOKUP(A112,COPY!$A$2:$O$1000,10,FALSE),"")</f>
        <v/>
      </c>
      <c r="F112" s="542" t="str">
        <f>IF(LEN(A112)&gt;2,VLOOKUP(A112,COPY!$A$2:$O$1000,8,FALSE),"")</f>
        <v/>
      </c>
      <c r="G112" s="543" t="str">
        <f>IF(LEN(A112)&gt;2,VLOOKUP(A112,COPY!$A$2:$O$1000,7,FALSE),"")</f>
        <v/>
      </c>
      <c r="H112" s="544" t="str">
        <f t="shared" si="7"/>
        <v/>
      </c>
      <c r="I112" s="545" t="str">
        <f>IFERROR(IF(LEN(A112)&gt;2,VLOOKUP(A112,COPY!$A$2:$O$1000,13,FALSE),"")/E112,"")</f>
        <v/>
      </c>
      <c r="J112" s="546"/>
      <c r="K112" s="547" t="str">
        <f t="shared" si="8"/>
        <v/>
      </c>
      <c r="L112" s="548" t="str">
        <f t="shared" si="11"/>
        <v/>
      </c>
      <c r="M112" s="549">
        <f t="shared" si="9"/>
        <v>-35413040</v>
      </c>
      <c r="O112" s="538">
        <f t="shared" si="12"/>
        <v>-35413040</v>
      </c>
      <c r="P112" s="550"/>
      <c r="Q112" s="551"/>
    </row>
    <row r="113" spans="1:17" s="253" customFormat="1" ht="20.100000000000001" hidden="1" customHeight="1" x14ac:dyDescent="0.25">
      <c r="A113" s="253" t="str">
        <f t="shared" si="10"/>
        <v/>
      </c>
      <c r="B113" s="584" t="str">
        <f>IF(LEN(A113)&gt;2,VLOOKUP(A113,COPY!$A$2:$O$1000,4,FALSE),"")</f>
        <v/>
      </c>
      <c r="C113" s="585" t="str">
        <f>IF(LEN(A113)&gt;2,VLOOKUP(A113,COPY!$A$2:$O$1000,15,FALSE),"")</f>
        <v/>
      </c>
      <c r="D113" s="542" t="str">
        <f>IF(LEN(A113)&gt;2,VLOOKUP(A113,COPY!$A$2:$O$1000,2,FALSE),"")</f>
        <v/>
      </c>
      <c r="E113" s="607" t="str">
        <f>IF(LEN(A113)&gt;2,VLOOKUP(A113,COPY!$A$2:$O$1000,10,FALSE),"")</f>
        <v/>
      </c>
      <c r="F113" s="542" t="str">
        <f>IF(LEN(A113)&gt;2,VLOOKUP(A113,COPY!$A$2:$O$1000,8,FALSE),"")</f>
        <v/>
      </c>
      <c r="G113" s="543" t="str">
        <f>IF(LEN(A113)&gt;2,VLOOKUP(A113,COPY!$A$2:$O$1000,7,FALSE),"")</f>
        <v/>
      </c>
      <c r="H113" s="544" t="str">
        <f t="shared" si="7"/>
        <v/>
      </c>
      <c r="I113" s="545" t="str">
        <f>IFERROR(IF(LEN(A113)&gt;2,VLOOKUP(A113,COPY!$A$2:$O$1000,13,FALSE),"")/E113,"")</f>
        <v/>
      </c>
      <c r="J113" s="546"/>
      <c r="K113" s="547" t="str">
        <f t="shared" si="8"/>
        <v/>
      </c>
      <c r="L113" s="548" t="str">
        <f t="shared" si="11"/>
        <v/>
      </c>
      <c r="M113" s="549">
        <f t="shared" si="9"/>
        <v>-35413040</v>
      </c>
      <c r="O113" s="538">
        <f t="shared" si="12"/>
        <v>-35413040</v>
      </c>
      <c r="P113" s="550"/>
      <c r="Q113" s="551"/>
    </row>
    <row r="114" spans="1:17" s="253" customFormat="1" ht="20.100000000000001" hidden="1" customHeight="1" x14ac:dyDescent="0.25">
      <c r="A114" s="253" t="str">
        <f t="shared" si="10"/>
        <v/>
      </c>
      <c r="B114" s="584" t="str">
        <f>IF(LEN(A114)&gt;2,VLOOKUP(A114,COPY!$A$2:$O$1000,4,FALSE),"")</f>
        <v/>
      </c>
      <c r="C114" s="585" t="str">
        <f>IF(LEN(A114)&gt;2,VLOOKUP(A114,COPY!$A$2:$O$1000,15,FALSE),"")</f>
        <v/>
      </c>
      <c r="D114" s="542" t="str">
        <f>IF(LEN(A114)&gt;2,VLOOKUP(A114,COPY!$A$2:$O$1000,2,FALSE),"")</f>
        <v/>
      </c>
      <c r="E114" s="607" t="str">
        <f>IF(LEN(A114)&gt;2,VLOOKUP(A114,COPY!$A$2:$O$1000,10,FALSE),"")</f>
        <v/>
      </c>
      <c r="F114" s="542" t="str">
        <f>IF(LEN(A114)&gt;2,VLOOKUP(A114,COPY!$A$2:$O$1000,8,FALSE),"")</f>
        <v/>
      </c>
      <c r="G114" s="543" t="str">
        <f>IF(LEN(A114)&gt;2,VLOOKUP(A114,COPY!$A$2:$O$1000,7,FALSE),"")</f>
        <v/>
      </c>
      <c r="H114" s="544" t="str">
        <f t="shared" si="7"/>
        <v/>
      </c>
      <c r="I114" s="545" t="str">
        <f>IFERROR(IF(LEN(A114)&gt;2,VLOOKUP(A114,COPY!$A$2:$O$1000,13,FALSE),"")/E114,"")</f>
        <v/>
      </c>
      <c r="J114" s="546"/>
      <c r="K114" s="547" t="str">
        <f t="shared" si="8"/>
        <v/>
      </c>
      <c r="L114" s="548" t="str">
        <f t="shared" si="11"/>
        <v/>
      </c>
      <c r="M114" s="549">
        <f t="shared" si="9"/>
        <v>-35413040</v>
      </c>
      <c r="O114" s="538">
        <f t="shared" si="12"/>
        <v>-35413040</v>
      </c>
      <c r="P114" s="550"/>
      <c r="Q114" s="551"/>
    </row>
    <row r="115" spans="1:17" s="253" customFormat="1" ht="20.100000000000001" hidden="1" customHeight="1" x14ac:dyDescent="0.25">
      <c r="A115" s="253" t="str">
        <f t="shared" si="10"/>
        <v/>
      </c>
      <c r="B115" s="584" t="str">
        <f>IF(LEN(A115)&gt;2,VLOOKUP(A115,COPY!$A$2:$O$1000,4,FALSE),"")</f>
        <v/>
      </c>
      <c r="C115" s="585" t="str">
        <f>IF(LEN(A115)&gt;2,VLOOKUP(A115,COPY!$A$2:$O$1000,15,FALSE),"")</f>
        <v/>
      </c>
      <c r="D115" s="542" t="str">
        <f>IF(LEN(A115)&gt;2,VLOOKUP(A115,COPY!$A$2:$O$1000,2,FALSE),"")</f>
        <v/>
      </c>
      <c r="E115" s="607" t="str">
        <f>IF(LEN(A115)&gt;2,VLOOKUP(A115,COPY!$A$2:$O$1000,10,FALSE),"")</f>
        <v/>
      </c>
      <c r="F115" s="542" t="str">
        <f>IF(LEN(A115)&gt;2,VLOOKUP(A115,COPY!$A$2:$O$1000,8,FALSE),"")</f>
        <v/>
      </c>
      <c r="G115" s="543" t="str">
        <f>IF(LEN(A115)&gt;2,VLOOKUP(A115,COPY!$A$2:$O$1000,7,FALSE),"")</f>
        <v/>
      </c>
      <c r="H115" s="544" t="str">
        <f t="shared" si="7"/>
        <v/>
      </c>
      <c r="I115" s="545" t="str">
        <f>IFERROR(IF(LEN(A115)&gt;2,VLOOKUP(A115,COPY!$A$2:$O$1000,13,FALSE),"")/E115,"")</f>
        <v/>
      </c>
      <c r="J115" s="546"/>
      <c r="K115" s="547" t="str">
        <f t="shared" si="8"/>
        <v/>
      </c>
      <c r="L115" s="548" t="str">
        <f t="shared" si="11"/>
        <v/>
      </c>
      <c r="M115" s="549">
        <f t="shared" si="9"/>
        <v>-35413040</v>
      </c>
      <c r="O115" s="538">
        <f t="shared" si="12"/>
        <v>-35413040</v>
      </c>
      <c r="P115" s="550"/>
      <c r="Q115" s="551"/>
    </row>
    <row r="116" spans="1:17" s="253" customFormat="1" ht="20.100000000000001" hidden="1" customHeight="1" x14ac:dyDescent="0.25">
      <c r="A116" s="253" t="str">
        <f t="shared" si="10"/>
        <v/>
      </c>
      <c r="B116" s="584" t="str">
        <f>IF(LEN(A116)&gt;2,VLOOKUP(A116,COPY!$A$2:$O$1000,4,FALSE),"")</f>
        <v/>
      </c>
      <c r="C116" s="585" t="str">
        <f>IF(LEN(A116)&gt;2,VLOOKUP(A116,COPY!$A$2:$O$1000,15,FALSE),"")</f>
        <v/>
      </c>
      <c r="D116" s="542" t="str">
        <f>IF(LEN(A116)&gt;2,VLOOKUP(A116,COPY!$A$2:$O$1000,2,FALSE),"")</f>
        <v/>
      </c>
      <c r="E116" s="607" t="str">
        <f>IF(LEN(A116)&gt;2,VLOOKUP(A116,COPY!$A$2:$O$1000,10,FALSE),"")</f>
        <v/>
      </c>
      <c r="F116" s="542" t="str">
        <f>IF(LEN(A116)&gt;2,VLOOKUP(A116,COPY!$A$2:$O$1000,8,FALSE),"")</f>
        <v/>
      </c>
      <c r="G116" s="543" t="str">
        <f>IF(LEN(A116)&gt;2,VLOOKUP(A116,COPY!$A$2:$O$1000,7,FALSE),"")</f>
        <v/>
      </c>
      <c r="H116" s="544" t="str">
        <f t="shared" si="7"/>
        <v/>
      </c>
      <c r="I116" s="545" t="str">
        <f>IFERROR(IF(LEN(A116)&gt;2,VLOOKUP(A116,COPY!$A$2:$O$1000,13,FALSE),"")/E116,"")</f>
        <v/>
      </c>
      <c r="J116" s="546"/>
      <c r="K116" s="547" t="str">
        <f t="shared" si="8"/>
        <v/>
      </c>
      <c r="L116" s="548" t="str">
        <f t="shared" si="11"/>
        <v/>
      </c>
      <c r="M116" s="549">
        <f t="shared" si="9"/>
        <v>-35413040</v>
      </c>
      <c r="O116" s="538">
        <f t="shared" si="12"/>
        <v>-35413040</v>
      </c>
      <c r="P116" s="550"/>
      <c r="Q116" s="551"/>
    </row>
    <row r="117" spans="1:17" s="253" customFormat="1" ht="20.100000000000001" hidden="1" customHeight="1" x14ac:dyDescent="0.25">
      <c r="A117" s="253" t="str">
        <f t="shared" si="10"/>
        <v/>
      </c>
      <c r="B117" s="584" t="str">
        <f>IF(LEN(A117)&gt;2,VLOOKUP(A117,COPY!$A$2:$O$1000,4,FALSE),"")</f>
        <v/>
      </c>
      <c r="C117" s="585" t="str">
        <f>IF(LEN(A117)&gt;2,VLOOKUP(A117,COPY!$A$2:$O$1000,15,FALSE),"")</f>
        <v/>
      </c>
      <c r="D117" s="542" t="str">
        <f>IF(LEN(A117)&gt;2,VLOOKUP(A117,COPY!$A$2:$O$1000,2,FALSE),"")</f>
        <v/>
      </c>
      <c r="E117" s="607" t="str">
        <f>IF(LEN(A117)&gt;2,VLOOKUP(A117,COPY!$A$2:$O$1000,10,FALSE),"")</f>
        <v/>
      </c>
      <c r="F117" s="542" t="str">
        <f>IF(LEN(A117)&gt;2,VLOOKUP(A117,COPY!$A$2:$O$1000,8,FALSE),"")</f>
        <v/>
      </c>
      <c r="G117" s="543" t="str">
        <f>IF(LEN(A117)&gt;2,VLOOKUP(A117,COPY!$A$2:$O$1000,7,FALSE),"")</f>
        <v/>
      </c>
      <c r="H117" s="544" t="str">
        <f t="shared" si="7"/>
        <v/>
      </c>
      <c r="I117" s="545" t="str">
        <f>IFERROR(IF(LEN(A117)&gt;2,VLOOKUP(A117,COPY!$A$2:$O$1000,13,FALSE),"")/E117,"")</f>
        <v/>
      </c>
      <c r="J117" s="546"/>
      <c r="K117" s="547" t="str">
        <f t="shared" si="8"/>
        <v/>
      </c>
      <c r="L117" s="548" t="str">
        <f t="shared" si="11"/>
        <v/>
      </c>
      <c r="M117" s="549">
        <f t="shared" si="9"/>
        <v>-35413040</v>
      </c>
      <c r="O117" s="538">
        <f t="shared" si="12"/>
        <v>-35413040</v>
      </c>
      <c r="P117" s="550"/>
      <c r="Q117" s="551"/>
    </row>
    <row r="118" spans="1:17" s="253" customFormat="1" ht="20.100000000000001" hidden="1" customHeight="1" x14ac:dyDescent="0.25">
      <c r="A118" s="253" t="str">
        <f t="shared" si="10"/>
        <v/>
      </c>
      <c r="B118" s="584" t="str">
        <f>IF(LEN(A118)&gt;2,VLOOKUP(A118,COPY!$A$2:$O$1000,4,FALSE),"")</f>
        <v/>
      </c>
      <c r="C118" s="585" t="str">
        <f>IF(LEN(A118)&gt;2,VLOOKUP(A118,COPY!$A$2:$O$1000,15,FALSE),"")</f>
        <v/>
      </c>
      <c r="D118" s="542" t="str">
        <f>IF(LEN(A118)&gt;2,VLOOKUP(A118,COPY!$A$2:$O$1000,2,FALSE),"")</f>
        <v/>
      </c>
      <c r="E118" s="607" t="str">
        <f>IF(LEN(A118)&gt;2,VLOOKUP(A118,COPY!$A$2:$O$1000,10,FALSE),"")</f>
        <v/>
      </c>
      <c r="F118" s="542" t="str">
        <f>IF(LEN(A118)&gt;2,VLOOKUP(A118,COPY!$A$2:$O$1000,8,FALSE),"")</f>
        <v/>
      </c>
      <c r="G118" s="543" t="str">
        <f>IF(LEN(A118)&gt;2,VLOOKUP(A118,COPY!$A$2:$O$1000,7,FALSE),"")</f>
        <v/>
      </c>
      <c r="H118" s="544" t="str">
        <f t="shared" si="7"/>
        <v/>
      </c>
      <c r="I118" s="545" t="str">
        <f>IFERROR(IF(LEN(A118)&gt;2,VLOOKUP(A118,COPY!$A$2:$O$1000,13,FALSE),"")/E118,"")</f>
        <v/>
      </c>
      <c r="J118" s="546"/>
      <c r="K118" s="547" t="str">
        <f t="shared" si="8"/>
        <v/>
      </c>
      <c r="L118" s="548" t="str">
        <f t="shared" si="11"/>
        <v/>
      </c>
      <c r="M118" s="549">
        <f t="shared" si="9"/>
        <v>-35413040</v>
      </c>
      <c r="O118" s="538">
        <f t="shared" si="12"/>
        <v>-35413040</v>
      </c>
      <c r="P118" s="550"/>
      <c r="Q118" s="551"/>
    </row>
    <row r="119" spans="1:17" s="253" customFormat="1" ht="20.100000000000001" hidden="1" customHeight="1" x14ac:dyDescent="0.25">
      <c r="A119" s="253" t="str">
        <f t="shared" si="10"/>
        <v/>
      </c>
      <c r="B119" s="584" t="str">
        <f>IF(LEN(A119)&gt;2,VLOOKUP(A119,COPY!$A$2:$O$1000,4,FALSE),"")</f>
        <v/>
      </c>
      <c r="C119" s="585" t="str">
        <f>IF(LEN(A119)&gt;2,VLOOKUP(A119,COPY!$A$2:$O$1000,15,FALSE),"")</f>
        <v/>
      </c>
      <c r="D119" s="542" t="str">
        <f>IF(LEN(A119)&gt;2,VLOOKUP(A119,COPY!$A$2:$O$1000,2,FALSE),"")</f>
        <v/>
      </c>
      <c r="E119" s="607" t="str">
        <f>IF(LEN(A119)&gt;2,VLOOKUP(A119,COPY!$A$2:$O$1000,10,FALSE),"")</f>
        <v/>
      </c>
      <c r="F119" s="542" t="str">
        <f>IF(LEN(A119)&gt;2,VLOOKUP(A119,COPY!$A$2:$O$1000,8,FALSE),"")</f>
        <v/>
      </c>
      <c r="G119" s="543" t="str">
        <f>IF(LEN(A119)&gt;2,VLOOKUP(A119,COPY!$A$2:$O$1000,7,FALSE),"")</f>
        <v/>
      </c>
      <c r="H119" s="544" t="str">
        <f t="shared" si="7"/>
        <v/>
      </c>
      <c r="I119" s="545" t="str">
        <f>IFERROR(IF(LEN(A119)&gt;2,VLOOKUP(A119,COPY!$A$2:$O$1000,13,FALSE),"")/E119,"")</f>
        <v/>
      </c>
      <c r="J119" s="546"/>
      <c r="K119" s="547" t="str">
        <f t="shared" si="8"/>
        <v/>
      </c>
      <c r="L119" s="548" t="str">
        <f t="shared" si="11"/>
        <v/>
      </c>
      <c r="M119" s="549">
        <f t="shared" si="9"/>
        <v>-35413040</v>
      </c>
      <c r="O119" s="538">
        <f t="shared" si="12"/>
        <v>-35413040</v>
      </c>
      <c r="P119" s="550"/>
      <c r="Q119" s="551"/>
    </row>
    <row r="120" spans="1:17" s="253" customFormat="1" ht="20.100000000000001" hidden="1" customHeight="1" x14ac:dyDescent="0.25">
      <c r="A120" s="253" t="str">
        <f t="shared" si="10"/>
        <v/>
      </c>
      <c r="B120" s="584" t="str">
        <f>IF(LEN(A120)&gt;2,VLOOKUP(A120,COPY!$A$2:$O$1000,4,FALSE),"")</f>
        <v/>
      </c>
      <c r="C120" s="585" t="str">
        <f>IF(LEN(A120)&gt;2,VLOOKUP(A120,COPY!$A$2:$O$1000,15,FALSE),"")</f>
        <v/>
      </c>
      <c r="D120" s="542" t="str">
        <f>IF(LEN(A120)&gt;2,VLOOKUP(A120,COPY!$A$2:$O$1000,2,FALSE),"")</f>
        <v/>
      </c>
      <c r="E120" s="607" t="str">
        <f>IF(LEN(A120)&gt;2,VLOOKUP(A120,COPY!$A$2:$O$1000,10,FALSE),"")</f>
        <v/>
      </c>
      <c r="F120" s="542" t="str">
        <f>IF(LEN(A120)&gt;2,VLOOKUP(A120,COPY!$A$2:$O$1000,8,FALSE),"")</f>
        <v/>
      </c>
      <c r="G120" s="543" t="str">
        <f>IF(LEN(A120)&gt;2,VLOOKUP(A120,COPY!$A$2:$O$1000,7,FALSE),"")</f>
        <v/>
      </c>
      <c r="H120" s="544" t="str">
        <f t="shared" si="7"/>
        <v/>
      </c>
      <c r="I120" s="545" t="str">
        <f>IFERROR(IF(LEN(A120)&gt;2,VLOOKUP(A120,COPY!$A$2:$O$1000,13,FALSE),"")/E120,"")</f>
        <v/>
      </c>
      <c r="J120" s="546"/>
      <c r="K120" s="547" t="str">
        <f t="shared" si="8"/>
        <v/>
      </c>
      <c r="L120" s="548" t="str">
        <f t="shared" si="11"/>
        <v/>
      </c>
      <c r="M120" s="549">
        <f t="shared" si="9"/>
        <v>-35413040</v>
      </c>
      <c r="O120" s="538">
        <f t="shared" si="12"/>
        <v>-35413040</v>
      </c>
      <c r="P120" s="550"/>
      <c r="Q120" s="551"/>
    </row>
    <row r="121" spans="1:17" s="253" customFormat="1" ht="20.100000000000001" hidden="1" customHeight="1" x14ac:dyDescent="0.25">
      <c r="A121" s="253" t="str">
        <f t="shared" si="10"/>
        <v/>
      </c>
      <c r="B121" s="584" t="str">
        <f>IF(LEN(A121)&gt;2,VLOOKUP(A121,COPY!$A$2:$O$1000,4,FALSE),"")</f>
        <v/>
      </c>
      <c r="C121" s="585" t="str">
        <f>IF(LEN(A121)&gt;2,VLOOKUP(A121,COPY!$A$2:$O$1000,15,FALSE),"")</f>
        <v/>
      </c>
      <c r="D121" s="542" t="str">
        <f>IF(LEN(A121)&gt;2,VLOOKUP(A121,COPY!$A$2:$O$1000,2,FALSE),"")</f>
        <v/>
      </c>
      <c r="E121" s="607" t="str">
        <f>IF(LEN(A121)&gt;2,VLOOKUP(A121,COPY!$A$2:$O$1000,10,FALSE),"")</f>
        <v/>
      </c>
      <c r="F121" s="542" t="str">
        <f>IF(LEN(A121)&gt;2,VLOOKUP(A121,COPY!$A$2:$O$1000,8,FALSE),"")</f>
        <v/>
      </c>
      <c r="G121" s="543" t="str">
        <f>IF(LEN(A121)&gt;2,VLOOKUP(A121,COPY!$A$2:$O$1000,7,FALSE),"")</f>
        <v/>
      </c>
      <c r="H121" s="544" t="str">
        <f t="shared" si="7"/>
        <v/>
      </c>
      <c r="I121" s="545" t="str">
        <f>IFERROR(IF(LEN(A121)&gt;2,VLOOKUP(A121,COPY!$A$2:$O$1000,13,FALSE),"")/E121,"")</f>
        <v/>
      </c>
      <c r="J121" s="546"/>
      <c r="K121" s="547" t="str">
        <f t="shared" si="8"/>
        <v/>
      </c>
      <c r="L121" s="548" t="str">
        <f t="shared" si="11"/>
        <v/>
      </c>
      <c r="M121" s="549">
        <f t="shared" si="9"/>
        <v>-35413040</v>
      </c>
      <c r="O121" s="538">
        <f t="shared" si="12"/>
        <v>-35413040</v>
      </c>
      <c r="P121" s="550"/>
      <c r="Q121" s="551"/>
    </row>
    <row r="122" spans="1:17" s="253" customFormat="1" ht="20.100000000000001" hidden="1" customHeight="1" x14ac:dyDescent="0.25">
      <c r="A122" s="253" t="str">
        <f t="shared" si="10"/>
        <v/>
      </c>
      <c r="B122" s="584" t="str">
        <f>IF(LEN(A122)&gt;2,VLOOKUP(A122,COPY!$A$2:$O$1000,4,FALSE),"")</f>
        <v/>
      </c>
      <c r="C122" s="585" t="str">
        <f>IF(LEN(A122)&gt;2,VLOOKUP(A122,COPY!$A$2:$O$1000,15,FALSE),"")</f>
        <v/>
      </c>
      <c r="D122" s="542" t="str">
        <f>IF(LEN(A122)&gt;2,VLOOKUP(A122,COPY!$A$2:$O$1000,2,FALSE),"")</f>
        <v/>
      </c>
      <c r="E122" s="607" t="str">
        <f>IF(LEN(A122)&gt;2,VLOOKUP(A122,COPY!$A$2:$O$1000,10,FALSE),"")</f>
        <v/>
      </c>
      <c r="F122" s="542" t="str">
        <f>IF(LEN(A122)&gt;2,VLOOKUP(A122,COPY!$A$2:$O$1000,8,FALSE),"")</f>
        <v/>
      </c>
      <c r="G122" s="543" t="str">
        <f>IF(LEN(A122)&gt;2,VLOOKUP(A122,COPY!$A$2:$O$1000,7,FALSE),"")</f>
        <v/>
      </c>
      <c r="H122" s="544" t="str">
        <f t="shared" si="7"/>
        <v/>
      </c>
      <c r="I122" s="545" t="str">
        <f>IFERROR(IF(LEN(A122)&gt;2,VLOOKUP(A122,COPY!$A$2:$O$1000,13,FALSE),"")/E122,"")</f>
        <v/>
      </c>
      <c r="J122" s="546"/>
      <c r="K122" s="547" t="str">
        <f t="shared" si="8"/>
        <v/>
      </c>
      <c r="L122" s="548" t="str">
        <f t="shared" si="11"/>
        <v/>
      </c>
      <c r="M122" s="549">
        <f t="shared" si="9"/>
        <v>-35413040</v>
      </c>
      <c r="O122" s="538">
        <f t="shared" si="12"/>
        <v>-35413040</v>
      </c>
      <c r="P122" s="550"/>
      <c r="Q122" s="551"/>
    </row>
    <row r="123" spans="1:17" s="253" customFormat="1" ht="20.100000000000001" hidden="1" customHeight="1" x14ac:dyDescent="0.25">
      <c r="A123" s="253" t="str">
        <f t="shared" si="10"/>
        <v/>
      </c>
      <c r="B123" s="584" t="str">
        <f>IF(LEN(A123)&gt;2,VLOOKUP(A123,COPY!$A$2:$O$1000,4,FALSE),"")</f>
        <v/>
      </c>
      <c r="C123" s="585" t="str">
        <f>IF(LEN(A123)&gt;2,VLOOKUP(A123,COPY!$A$2:$O$1000,15,FALSE),"")</f>
        <v/>
      </c>
      <c r="D123" s="542" t="str">
        <f>IF(LEN(A123)&gt;2,VLOOKUP(A123,COPY!$A$2:$O$1000,2,FALSE),"")</f>
        <v/>
      </c>
      <c r="E123" s="607" t="str">
        <f>IF(LEN(A123)&gt;2,VLOOKUP(A123,COPY!$A$2:$O$1000,10,FALSE),"")</f>
        <v/>
      </c>
      <c r="F123" s="542" t="str">
        <f>IF(LEN(A123)&gt;2,VLOOKUP(A123,COPY!$A$2:$O$1000,8,FALSE),"")</f>
        <v/>
      </c>
      <c r="G123" s="543" t="str">
        <f>IF(LEN(A123)&gt;2,VLOOKUP(A123,COPY!$A$2:$O$1000,7,FALSE),"")</f>
        <v/>
      </c>
      <c r="H123" s="544" t="str">
        <f t="shared" si="7"/>
        <v/>
      </c>
      <c r="I123" s="545" t="str">
        <f>IFERROR(IF(LEN(A123)&gt;2,VLOOKUP(A123,COPY!$A$2:$O$1000,13,FALSE),"")/E123,"")</f>
        <v/>
      </c>
      <c r="J123" s="546"/>
      <c r="K123" s="547" t="str">
        <f t="shared" si="8"/>
        <v/>
      </c>
      <c r="L123" s="548" t="str">
        <f>IF(E123="","",IF(O123&gt;=0,O123,IF(O123&lt;0,0,0)))</f>
        <v/>
      </c>
      <c r="M123" s="549">
        <f t="shared" si="9"/>
        <v>-35413040</v>
      </c>
      <c r="O123" s="538">
        <f>IF(E123="",O122,IF(L122&gt;0,L122-K123,IF(M122&lt;=0,M122-K123,0)))</f>
        <v>-35413040</v>
      </c>
      <c r="P123" s="550"/>
      <c r="Q123" s="551"/>
    </row>
    <row r="124" spans="1:17" s="253" customFormat="1" ht="20.100000000000001" hidden="1" customHeight="1" x14ac:dyDescent="0.25">
      <c r="A124" s="253" t="str">
        <f t="shared" si="10"/>
        <v/>
      </c>
      <c r="B124" s="584" t="str">
        <f>IF(LEN(A124)&gt;2,VLOOKUP(A124,COPY!$A$2:$O$1000,4,FALSE),"")</f>
        <v/>
      </c>
      <c r="C124" s="585" t="str">
        <f>IF(LEN(A124)&gt;2,VLOOKUP(A124,COPY!$A$2:$O$1000,15,FALSE),"")</f>
        <v/>
      </c>
      <c r="D124" s="542" t="str">
        <f>IF(LEN(A124)&gt;2,VLOOKUP(A124,COPY!$A$2:$O$1000,2,FALSE),"")</f>
        <v/>
      </c>
      <c r="E124" s="607" t="str">
        <f>IF(LEN(A124)&gt;2,VLOOKUP(A124,COPY!$A$2:$O$1000,10,FALSE),"")</f>
        <v/>
      </c>
      <c r="F124" s="542" t="str">
        <f>IF(LEN(A124)&gt;2,VLOOKUP(A124,COPY!$A$2:$O$1000,8,FALSE),"")</f>
        <v/>
      </c>
      <c r="G124" s="543" t="str">
        <f>IF(LEN(A124)&gt;2,VLOOKUP(A124,COPY!$A$2:$O$1000,7,FALSE),"")</f>
        <v/>
      </c>
      <c r="H124" s="544" t="str">
        <f t="shared" si="7"/>
        <v/>
      </c>
      <c r="I124" s="545" t="str">
        <f>IFERROR(IF(LEN(A124)&gt;2,VLOOKUP(A124,COPY!$A$2:$O$1000,13,FALSE),"")/E124,"")</f>
        <v/>
      </c>
      <c r="J124" s="546"/>
      <c r="K124" s="547" t="str">
        <f t="shared" si="8"/>
        <v/>
      </c>
      <c r="L124" s="548" t="str">
        <f>IF(E124="","",IF(O124&gt;=0,O124,IF(O124&lt;0,0,0)))</f>
        <v/>
      </c>
      <c r="M124" s="549">
        <f t="shared" si="9"/>
        <v>-35413040</v>
      </c>
      <c r="O124" s="538">
        <f>IF(E124="",O123,IF(L123&gt;0,L123-K124,IF(M123&lt;=0,M123-K124,0)))</f>
        <v>-35413040</v>
      </c>
      <c r="P124" s="550"/>
      <c r="Q124" s="551"/>
    </row>
    <row r="125" spans="1:17" s="253" customFormat="1" ht="20.100000000000001" hidden="1" customHeight="1" x14ac:dyDescent="0.25">
      <c r="A125" s="253" t="str">
        <f t="shared" si="10"/>
        <v/>
      </c>
      <c r="B125" s="584" t="str">
        <f>IF(LEN(A125)&gt;2,VLOOKUP(A125,COPY!$A$2:$O$1000,4,FALSE),"")</f>
        <v/>
      </c>
      <c r="C125" s="585" t="str">
        <f>IF(LEN(A125)&gt;2,VLOOKUP(A125,COPY!$A$2:$O$1000,15,FALSE),"")</f>
        <v/>
      </c>
      <c r="D125" s="542" t="str">
        <f>IF(LEN(A125)&gt;2,VLOOKUP(A125,COPY!$A$2:$O$1000,2,FALSE),"")</f>
        <v/>
      </c>
      <c r="E125" s="607" t="str">
        <f>IF(LEN(A125)&gt;2,VLOOKUP(A125,COPY!$A$2:$O$1000,10,FALSE),"")</f>
        <v/>
      </c>
      <c r="F125" s="542" t="str">
        <f>IF(LEN(A125)&gt;2,VLOOKUP(A125,COPY!$A$2:$O$1000,8,FALSE),"")</f>
        <v/>
      </c>
      <c r="G125" s="543" t="str">
        <f>IF(LEN(A125)&gt;2,VLOOKUP(A125,COPY!$A$2:$O$1000,7,FALSE),"")</f>
        <v/>
      </c>
      <c r="H125" s="544" t="str">
        <f t="shared" si="7"/>
        <v/>
      </c>
      <c r="I125" s="545" t="str">
        <f>IFERROR(IF(LEN(A125)&gt;2,VLOOKUP(A125,COPY!$A$2:$O$1000,13,FALSE),"")/E125,"")</f>
        <v/>
      </c>
      <c r="J125" s="546"/>
      <c r="K125" s="547" t="str">
        <f t="shared" si="8"/>
        <v/>
      </c>
      <c r="L125" s="548" t="str">
        <f t="shared" ref="L125:L167" si="13">IF(E125="","",IF(O125&gt;=0,O125,IF(O125&lt;0,0,0)))</f>
        <v/>
      </c>
      <c r="M125" s="549">
        <f t="shared" si="9"/>
        <v>-35413040</v>
      </c>
      <c r="O125" s="538">
        <f t="shared" ref="O125:O169" si="14">IF(E125="",O124,IF(L124&gt;0,L124-K125,IF(M124&lt;=0,M124-K125,0)))</f>
        <v>-35413040</v>
      </c>
      <c r="P125" s="550"/>
      <c r="Q125" s="551"/>
    </row>
    <row r="126" spans="1:17" s="253" customFormat="1" ht="20.100000000000001" hidden="1" customHeight="1" x14ac:dyDescent="0.25">
      <c r="A126" s="253" t="str">
        <f t="shared" si="10"/>
        <v/>
      </c>
      <c r="B126" s="584" t="str">
        <f>IF(LEN(A126)&gt;2,VLOOKUP(A126,COPY!$A$2:$O$1000,4,FALSE),"")</f>
        <v/>
      </c>
      <c r="C126" s="585" t="str">
        <f>IF(LEN(A126)&gt;2,VLOOKUP(A126,COPY!$A$2:$O$1000,15,FALSE),"")</f>
        <v/>
      </c>
      <c r="D126" s="542" t="str">
        <f>IF(LEN(A126)&gt;2,VLOOKUP(A126,COPY!$A$2:$O$1000,2,FALSE),"")</f>
        <v/>
      </c>
      <c r="E126" s="607" t="str">
        <f>IF(LEN(A126)&gt;2,VLOOKUP(A126,COPY!$A$2:$O$1000,10,FALSE),"")</f>
        <v/>
      </c>
      <c r="F126" s="542" t="str">
        <f>IF(LEN(A126)&gt;2,VLOOKUP(A126,COPY!$A$2:$O$1000,8,FALSE),"")</f>
        <v/>
      </c>
      <c r="G126" s="543" t="str">
        <f>IF(LEN(A126)&gt;2,VLOOKUP(A126,COPY!$A$2:$O$1000,7,FALSE),"")</f>
        <v/>
      </c>
      <c r="H126" s="544" t="str">
        <f t="shared" si="7"/>
        <v/>
      </c>
      <c r="I126" s="545" t="str">
        <f>IFERROR(IF(LEN(A126)&gt;2,VLOOKUP(A126,COPY!$A$2:$O$1000,13,FALSE),"")/E126,"")</f>
        <v/>
      </c>
      <c r="J126" s="546"/>
      <c r="K126" s="547" t="str">
        <f t="shared" si="8"/>
        <v/>
      </c>
      <c r="L126" s="548" t="str">
        <f t="shared" si="13"/>
        <v/>
      </c>
      <c r="M126" s="549">
        <f t="shared" si="9"/>
        <v>-35413040</v>
      </c>
      <c r="O126" s="538">
        <f t="shared" si="14"/>
        <v>-35413040</v>
      </c>
      <c r="P126" s="550"/>
      <c r="Q126" s="551"/>
    </row>
    <row r="127" spans="1:17" s="253" customFormat="1" ht="20.100000000000001" hidden="1" customHeight="1" x14ac:dyDescent="0.25">
      <c r="A127" s="253" t="str">
        <f t="shared" si="10"/>
        <v/>
      </c>
      <c r="B127" s="584" t="str">
        <f>IF(LEN(A127)&gt;2,VLOOKUP(A127,COPY!$A$2:$O$1000,4,FALSE),"")</f>
        <v/>
      </c>
      <c r="C127" s="585" t="str">
        <f>IF(LEN(A127)&gt;2,VLOOKUP(A127,COPY!$A$2:$O$1000,15,FALSE),"")</f>
        <v/>
      </c>
      <c r="D127" s="542" t="str">
        <f>IF(LEN(A127)&gt;2,VLOOKUP(A127,COPY!$A$2:$O$1000,2,FALSE),"")</f>
        <v/>
      </c>
      <c r="E127" s="607" t="str">
        <f>IF(LEN(A127)&gt;2,VLOOKUP(A127,COPY!$A$2:$O$1000,10,FALSE),"")</f>
        <v/>
      </c>
      <c r="F127" s="542" t="str">
        <f>IF(LEN(A127)&gt;2,VLOOKUP(A127,COPY!$A$2:$O$1000,8,FALSE),"")</f>
        <v/>
      </c>
      <c r="G127" s="543" t="str">
        <f>IF(LEN(A127)&gt;2,VLOOKUP(A127,COPY!$A$2:$O$1000,7,FALSE),"")</f>
        <v/>
      </c>
      <c r="H127" s="544" t="str">
        <f t="shared" si="7"/>
        <v/>
      </c>
      <c r="I127" s="545" t="str">
        <f>IFERROR(IF(LEN(A127)&gt;2,VLOOKUP(A127,COPY!$A$2:$O$1000,13,FALSE),"")/E127,"")</f>
        <v/>
      </c>
      <c r="J127" s="546"/>
      <c r="K127" s="547" t="str">
        <f t="shared" si="8"/>
        <v/>
      </c>
      <c r="L127" s="548" t="str">
        <f t="shared" si="13"/>
        <v/>
      </c>
      <c r="M127" s="549">
        <f t="shared" si="9"/>
        <v>-35413040</v>
      </c>
      <c r="O127" s="538">
        <f t="shared" si="14"/>
        <v>-35413040</v>
      </c>
      <c r="P127" s="550"/>
      <c r="Q127" s="551"/>
    </row>
    <row r="128" spans="1:17" s="253" customFormat="1" ht="20.100000000000001" hidden="1" customHeight="1" x14ac:dyDescent="0.25">
      <c r="A128" s="253" t="str">
        <f t="shared" si="10"/>
        <v/>
      </c>
      <c r="B128" s="584" t="str">
        <f>IF(LEN(A128)&gt;2,VLOOKUP(A128,COPY!$A$2:$O$1000,4,FALSE),"")</f>
        <v/>
      </c>
      <c r="C128" s="585" t="str">
        <f>IF(LEN(A128)&gt;2,VLOOKUP(A128,COPY!$A$2:$O$1000,15,FALSE),"")</f>
        <v/>
      </c>
      <c r="D128" s="542" t="str">
        <f>IF(LEN(A128)&gt;2,VLOOKUP(A128,COPY!$A$2:$O$1000,2,FALSE),"")</f>
        <v/>
      </c>
      <c r="E128" s="607" t="str">
        <f>IF(LEN(A128)&gt;2,VLOOKUP(A128,COPY!$A$2:$O$1000,10,FALSE),"")</f>
        <v/>
      </c>
      <c r="F128" s="542" t="str">
        <f>IF(LEN(A128)&gt;2,VLOOKUP(A128,COPY!$A$2:$O$1000,8,FALSE),"")</f>
        <v/>
      </c>
      <c r="G128" s="543" t="str">
        <f>IF(LEN(A128)&gt;2,VLOOKUP(A128,COPY!$A$2:$O$1000,7,FALSE),"")</f>
        <v/>
      </c>
      <c r="H128" s="544" t="str">
        <f t="shared" si="7"/>
        <v/>
      </c>
      <c r="I128" s="545" t="str">
        <f>IFERROR(IF(LEN(A128)&gt;2,VLOOKUP(A128,COPY!$A$2:$O$1000,13,FALSE),"")/E128,"")</f>
        <v/>
      </c>
      <c r="J128" s="546"/>
      <c r="K128" s="547" t="str">
        <f t="shared" si="8"/>
        <v/>
      </c>
      <c r="L128" s="548" t="str">
        <f t="shared" si="13"/>
        <v/>
      </c>
      <c r="M128" s="549">
        <f t="shared" si="9"/>
        <v>-35413040</v>
      </c>
      <c r="O128" s="538">
        <f t="shared" si="14"/>
        <v>-35413040</v>
      </c>
      <c r="P128" s="550"/>
      <c r="Q128" s="551"/>
    </row>
    <row r="129" spans="1:17" s="253" customFormat="1" ht="20.100000000000001" hidden="1" customHeight="1" x14ac:dyDescent="0.25">
      <c r="A129" s="253" t="str">
        <f t="shared" si="10"/>
        <v/>
      </c>
      <c r="B129" s="584" t="str">
        <f>IF(LEN(A129)&gt;2,VLOOKUP(A129,COPY!$A$2:$O$1000,4,FALSE),"")</f>
        <v/>
      </c>
      <c r="C129" s="585" t="str">
        <f>IF(LEN(A129)&gt;2,VLOOKUP(A129,COPY!$A$2:$O$1000,15,FALSE),"")</f>
        <v/>
      </c>
      <c r="D129" s="542" t="str">
        <f>IF(LEN(A129)&gt;2,VLOOKUP(A129,COPY!$A$2:$O$1000,2,FALSE),"")</f>
        <v/>
      </c>
      <c r="E129" s="607" t="str">
        <f>IF(LEN(A129)&gt;2,VLOOKUP(A129,COPY!$A$2:$O$1000,10,FALSE),"")</f>
        <v/>
      </c>
      <c r="F129" s="542" t="str">
        <f>IF(LEN(A129)&gt;2,VLOOKUP(A129,COPY!$A$2:$O$1000,8,FALSE),"")</f>
        <v/>
      </c>
      <c r="G129" s="543" t="str">
        <f>IF(LEN(A129)&gt;2,VLOOKUP(A129,COPY!$A$2:$O$1000,7,FALSE),"")</f>
        <v/>
      </c>
      <c r="H129" s="544" t="str">
        <f t="shared" si="7"/>
        <v/>
      </c>
      <c r="I129" s="545" t="str">
        <f>IFERROR(IF(LEN(A129)&gt;2,VLOOKUP(A129,COPY!$A$2:$O$1000,13,FALSE),"")/E129,"")</f>
        <v/>
      </c>
      <c r="J129" s="546"/>
      <c r="K129" s="547" t="str">
        <f t="shared" si="8"/>
        <v/>
      </c>
      <c r="L129" s="548" t="str">
        <f t="shared" si="13"/>
        <v/>
      </c>
      <c r="M129" s="549">
        <f t="shared" si="9"/>
        <v>-35413040</v>
      </c>
      <c r="O129" s="538">
        <f t="shared" si="14"/>
        <v>-35413040</v>
      </c>
      <c r="P129" s="550"/>
      <c r="Q129" s="551"/>
    </row>
    <row r="130" spans="1:17" s="253" customFormat="1" ht="20.100000000000001" hidden="1" customHeight="1" x14ac:dyDescent="0.25">
      <c r="A130" s="253" t="str">
        <f t="shared" si="10"/>
        <v/>
      </c>
      <c r="B130" s="584" t="str">
        <f>IF(LEN(A130)&gt;2,VLOOKUP(A130,COPY!$A$2:$O$1000,4,FALSE),"")</f>
        <v/>
      </c>
      <c r="C130" s="585" t="str">
        <f>IF(LEN(A130)&gt;2,VLOOKUP(A130,COPY!$A$2:$O$1000,15,FALSE),"")</f>
        <v/>
      </c>
      <c r="D130" s="542" t="str">
        <f>IF(LEN(A130)&gt;2,VLOOKUP(A130,COPY!$A$2:$O$1000,2,FALSE),"")</f>
        <v/>
      </c>
      <c r="E130" s="607" t="str">
        <f>IF(LEN(A130)&gt;2,VLOOKUP(A130,COPY!$A$2:$O$1000,10,FALSE),"")</f>
        <v/>
      </c>
      <c r="F130" s="542" t="str">
        <f>IF(LEN(A130)&gt;2,VLOOKUP(A130,COPY!$A$2:$O$1000,8,FALSE),"")</f>
        <v/>
      </c>
      <c r="G130" s="543" t="str">
        <f>IF(LEN(A130)&gt;2,VLOOKUP(A130,COPY!$A$2:$O$1000,7,FALSE),"")</f>
        <v/>
      </c>
      <c r="H130" s="544" t="str">
        <f t="shared" si="7"/>
        <v/>
      </c>
      <c r="I130" s="545" t="str">
        <f>IFERROR(IF(LEN(A130)&gt;2,VLOOKUP(A130,COPY!$A$2:$O$1000,13,FALSE),"")/E130,"")</f>
        <v/>
      </c>
      <c r="J130" s="546"/>
      <c r="K130" s="547" t="str">
        <f t="shared" si="8"/>
        <v/>
      </c>
      <c r="L130" s="548" t="str">
        <f t="shared" si="13"/>
        <v/>
      </c>
      <c r="M130" s="549">
        <f t="shared" si="9"/>
        <v>-35413040</v>
      </c>
      <c r="O130" s="538">
        <f t="shared" si="14"/>
        <v>-35413040</v>
      </c>
      <c r="P130" s="550"/>
      <c r="Q130" s="551"/>
    </row>
    <row r="131" spans="1:17" s="253" customFormat="1" ht="20.100000000000001" hidden="1" customHeight="1" x14ac:dyDescent="0.25">
      <c r="A131" s="253" t="str">
        <f t="shared" si="10"/>
        <v/>
      </c>
      <c r="B131" s="584" t="str">
        <f>IF(LEN(A131)&gt;2,VLOOKUP(A131,COPY!$A$2:$O$1000,4,FALSE),"")</f>
        <v/>
      </c>
      <c r="C131" s="585" t="str">
        <f>IF(LEN(A131)&gt;2,VLOOKUP(A131,COPY!$A$2:$O$1000,15,FALSE),"")</f>
        <v/>
      </c>
      <c r="D131" s="542" t="str">
        <f>IF(LEN(A131)&gt;2,VLOOKUP(A131,COPY!$A$2:$O$1000,2,FALSE),"")</f>
        <v/>
      </c>
      <c r="E131" s="607" t="str">
        <f>IF(LEN(A131)&gt;2,VLOOKUP(A131,COPY!$A$2:$O$1000,10,FALSE),"")</f>
        <v/>
      </c>
      <c r="F131" s="542" t="str">
        <f>IF(LEN(A131)&gt;2,VLOOKUP(A131,COPY!$A$2:$O$1000,8,FALSE),"")</f>
        <v/>
      </c>
      <c r="G131" s="543" t="str">
        <f>IF(LEN(A131)&gt;2,VLOOKUP(A131,COPY!$A$2:$O$1000,7,FALSE),"")</f>
        <v/>
      </c>
      <c r="H131" s="544" t="str">
        <f t="shared" si="7"/>
        <v/>
      </c>
      <c r="I131" s="545" t="str">
        <f>IFERROR(IF(LEN(A131)&gt;2,VLOOKUP(A131,COPY!$A$2:$O$1000,13,FALSE),"")/E131,"")</f>
        <v/>
      </c>
      <c r="J131" s="546"/>
      <c r="K131" s="547" t="str">
        <f t="shared" si="8"/>
        <v/>
      </c>
      <c r="L131" s="548" t="str">
        <f t="shared" si="13"/>
        <v/>
      </c>
      <c r="M131" s="549">
        <f t="shared" si="9"/>
        <v>-35413040</v>
      </c>
      <c r="O131" s="538">
        <f t="shared" si="14"/>
        <v>-35413040</v>
      </c>
      <c r="P131" s="550"/>
      <c r="Q131" s="551"/>
    </row>
    <row r="132" spans="1:17" s="253" customFormat="1" ht="20.100000000000001" hidden="1" customHeight="1" x14ac:dyDescent="0.25">
      <c r="A132" s="253" t="str">
        <f t="shared" si="10"/>
        <v/>
      </c>
      <c r="B132" s="584" t="str">
        <f>IF(LEN(A132)&gt;2,VLOOKUP(A132,COPY!$A$2:$O$1000,4,FALSE),"")</f>
        <v/>
      </c>
      <c r="C132" s="585" t="str">
        <f>IF(LEN(A132)&gt;2,VLOOKUP(A132,COPY!$A$2:$O$1000,15,FALSE),"")</f>
        <v/>
      </c>
      <c r="D132" s="542" t="str">
        <f>IF(LEN(A132)&gt;2,VLOOKUP(A132,COPY!$A$2:$O$1000,2,FALSE),"")</f>
        <v/>
      </c>
      <c r="E132" s="607" t="str">
        <f>IF(LEN(A132)&gt;2,VLOOKUP(A132,COPY!$A$2:$O$1000,10,FALSE),"")</f>
        <v/>
      </c>
      <c r="F132" s="542" t="str">
        <f>IF(LEN(A132)&gt;2,VLOOKUP(A132,COPY!$A$2:$O$1000,8,FALSE),"")</f>
        <v/>
      </c>
      <c r="G132" s="543" t="str">
        <f>IF(LEN(A132)&gt;2,VLOOKUP(A132,COPY!$A$2:$O$1000,7,FALSE),"")</f>
        <v/>
      </c>
      <c r="H132" s="544" t="str">
        <f t="shared" si="7"/>
        <v/>
      </c>
      <c r="I132" s="545" t="str">
        <f>IFERROR(IF(LEN(A132)&gt;2,VLOOKUP(A132,COPY!$A$2:$O$1000,13,FALSE),"")/E132,"")</f>
        <v/>
      </c>
      <c r="J132" s="546"/>
      <c r="K132" s="547" t="str">
        <f t="shared" si="8"/>
        <v/>
      </c>
      <c r="L132" s="548" t="str">
        <f t="shared" si="13"/>
        <v/>
      </c>
      <c r="M132" s="549">
        <f t="shared" si="9"/>
        <v>-35413040</v>
      </c>
      <c r="O132" s="538">
        <f t="shared" si="14"/>
        <v>-35413040</v>
      </c>
      <c r="P132" s="550"/>
      <c r="Q132" s="551"/>
    </row>
    <row r="133" spans="1:17" s="253" customFormat="1" ht="20.100000000000001" hidden="1" customHeight="1" x14ac:dyDescent="0.25">
      <c r="A133" s="253" t="str">
        <f t="shared" si="10"/>
        <v/>
      </c>
      <c r="B133" s="584" t="str">
        <f>IF(LEN(A133)&gt;2,VLOOKUP(A133,COPY!$A$2:$O$1000,4,FALSE),"")</f>
        <v/>
      </c>
      <c r="C133" s="585" t="str">
        <f>IF(LEN(A133)&gt;2,VLOOKUP(A133,COPY!$A$2:$O$1000,15,FALSE),"")</f>
        <v/>
      </c>
      <c r="D133" s="542" t="str">
        <f>IF(LEN(A133)&gt;2,VLOOKUP(A133,COPY!$A$2:$O$1000,2,FALSE),"")</f>
        <v/>
      </c>
      <c r="E133" s="607" t="str">
        <f>IF(LEN(A133)&gt;2,VLOOKUP(A133,COPY!$A$2:$O$1000,10,FALSE),"")</f>
        <v/>
      </c>
      <c r="F133" s="542" t="str">
        <f>IF(LEN(A133)&gt;2,VLOOKUP(A133,COPY!$A$2:$O$1000,8,FALSE),"")</f>
        <v/>
      </c>
      <c r="G133" s="543" t="str">
        <f>IF(LEN(A133)&gt;2,VLOOKUP(A133,COPY!$A$2:$O$1000,7,FALSE),"")</f>
        <v/>
      </c>
      <c r="H133" s="544" t="str">
        <f t="shared" si="7"/>
        <v/>
      </c>
      <c r="I133" s="545" t="str">
        <f>IFERROR(IF(LEN(A133)&gt;2,VLOOKUP(A133,COPY!$A$2:$O$1000,13,FALSE),"")/E133,"")</f>
        <v/>
      </c>
      <c r="J133" s="546"/>
      <c r="K133" s="547" t="str">
        <f t="shared" si="8"/>
        <v/>
      </c>
      <c r="L133" s="548" t="str">
        <f t="shared" si="13"/>
        <v/>
      </c>
      <c r="M133" s="549">
        <f t="shared" si="9"/>
        <v>-35413040</v>
      </c>
      <c r="O133" s="538">
        <f t="shared" si="14"/>
        <v>-35413040</v>
      </c>
      <c r="P133" s="550"/>
      <c r="Q133" s="551"/>
    </row>
    <row r="134" spans="1:17" s="253" customFormat="1" ht="20.100000000000001" hidden="1" customHeight="1" x14ac:dyDescent="0.25">
      <c r="A134" s="253" t="str">
        <f t="shared" si="10"/>
        <v/>
      </c>
      <c r="B134" s="584" t="str">
        <f>IF(LEN(A134)&gt;2,VLOOKUP(A134,COPY!$A$2:$O$1000,4,FALSE),"")</f>
        <v/>
      </c>
      <c r="C134" s="585" t="str">
        <f>IF(LEN(A134)&gt;2,VLOOKUP(A134,COPY!$A$2:$O$1000,15,FALSE),"")</f>
        <v/>
      </c>
      <c r="D134" s="542" t="str">
        <f>IF(LEN(A134)&gt;2,VLOOKUP(A134,COPY!$A$2:$O$1000,2,FALSE),"")</f>
        <v/>
      </c>
      <c r="E134" s="607" t="str">
        <f>IF(LEN(A134)&gt;2,VLOOKUP(A134,COPY!$A$2:$O$1000,10,FALSE),"")</f>
        <v/>
      </c>
      <c r="F134" s="542" t="str">
        <f>IF(LEN(A134)&gt;2,VLOOKUP(A134,COPY!$A$2:$O$1000,8,FALSE),"")</f>
        <v/>
      </c>
      <c r="G134" s="543" t="str">
        <f>IF(LEN(A134)&gt;2,VLOOKUP(A134,COPY!$A$2:$O$1000,7,FALSE),"")</f>
        <v/>
      </c>
      <c r="H134" s="544" t="str">
        <f t="shared" si="7"/>
        <v/>
      </c>
      <c r="I134" s="545" t="str">
        <f>IFERROR(IF(LEN(A134)&gt;2,VLOOKUP(A134,COPY!$A$2:$O$1000,13,FALSE),"")/E134,"")</f>
        <v/>
      </c>
      <c r="J134" s="546"/>
      <c r="K134" s="547" t="str">
        <f t="shared" si="8"/>
        <v/>
      </c>
      <c r="L134" s="548" t="str">
        <f t="shared" si="13"/>
        <v/>
      </c>
      <c r="M134" s="549">
        <f t="shared" si="9"/>
        <v>-35413040</v>
      </c>
      <c r="O134" s="538">
        <f t="shared" si="14"/>
        <v>-35413040</v>
      </c>
      <c r="P134" s="550"/>
      <c r="Q134" s="551"/>
    </row>
    <row r="135" spans="1:17" s="253" customFormat="1" ht="20.100000000000001" hidden="1" customHeight="1" x14ac:dyDescent="0.25">
      <c r="A135" s="253" t="str">
        <f t="shared" si="10"/>
        <v/>
      </c>
      <c r="B135" s="584" t="str">
        <f>IF(LEN(A135)&gt;2,VLOOKUP(A135,COPY!$A$2:$O$1000,4,FALSE),"")</f>
        <v/>
      </c>
      <c r="C135" s="585" t="str">
        <f>IF(LEN(A135)&gt;2,VLOOKUP(A135,COPY!$A$2:$O$1000,15,FALSE),"")</f>
        <v/>
      </c>
      <c r="D135" s="542" t="str">
        <f>IF(LEN(A135)&gt;2,VLOOKUP(A135,COPY!$A$2:$O$1000,2,FALSE),"")</f>
        <v/>
      </c>
      <c r="E135" s="607" t="str">
        <f>IF(LEN(A135)&gt;2,VLOOKUP(A135,COPY!$A$2:$O$1000,10,FALSE),"")</f>
        <v/>
      </c>
      <c r="F135" s="542" t="str">
        <f>IF(LEN(A135)&gt;2,VLOOKUP(A135,COPY!$A$2:$O$1000,8,FALSE),"")</f>
        <v/>
      </c>
      <c r="G135" s="543" t="str">
        <f>IF(LEN(A135)&gt;2,VLOOKUP(A135,COPY!$A$2:$O$1000,7,FALSE),"")</f>
        <v/>
      </c>
      <c r="H135" s="544" t="str">
        <f t="shared" si="7"/>
        <v/>
      </c>
      <c r="I135" s="545" t="str">
        <f>IFERROR(IF(LEN(A135)&gt;2,VLOOKUP(A135,COPY!$A$2:$O$1000,13,FALSE),"")/E135,"")</f>
        <v/>
      </c>
      <c r="J135" s="546"/>
      <c r="K135" s="547" t="str">
        <f t="shared" si="8"/>
        <v/>
      </c>
      <c r="L135" s="548" t="str">
        <f t="shared" si="13"/>
        <v/>
      </c>
      <c r="M135" s="549">
        <f t="shared" si="9"/>
        <v>-35413040</v>
      </c>
      <c r="O135" s="538">
        <f t="shared" si="14"/>
        <v>-35413040</v>
      </c>
      <c r="P135" s="550"/>
      <c r="Q135" s="551"/>
    </row>
    <row r="136" spans="1:17" s="253" customFormat="1" ht="20.100000000000001" hidden="1" customHeight="1" x14ac:dyDescent="0.25">
      <c r="A136" s="253" t="str">
        <f t="shared" si="10"/>
        <v/>
      </c>
      <c r="B136" s="584" t="str">
        <f>IF(LEN(A136)&gt;2,VLOOKUP(A136,COPY!$A$2:$O$1000,4,FALSE),"")</f>
        <v/>
      </c>
      <c r="C136" s="585" t="str">
        <f>IF(LEN(A136)&gt;2,VLOOKUP(A136,COPY!$A$2:$O$1000,15,FALSE),"")</f>
        <v/>
      </c>
      <c r="D136" s="542" t="str">
        <f>IF(LEN(A136)&gt;2,VLOOKUP(A136,COPY!$A$2:$O$1000,2,FALSE),"")</f>
        <v/>
      </c>
      <c r="E136" s="607" t="str">
        <f>IF(LEN(A136)&gt;2,VLOOKUP(A136,COPY!$A$2:$O$1000,10,FALSE),"")</f>
        <v/>
      </c>
      <c r="F136" s="542" t="str">
        <f>IF(LEN(A136)&gt;2,VLOOKUP(A136,COPY!$A$2:$O$1000,8,FALSE),"")</f>
        <v/>
      </c>
      <c r="G136" s="543" t="str">
        <f>IF(LEN(A136)&gt;2,VLOOKUP(A136,COPY!$A$2:$O$1000,7,FALSE),"")</f>
        <v/>
      </c>
      <c r="H136" s="544" t="str">
        <f t="shared" si="7"/>
        <v/>
      </c>
      <c r="I136" s="545" t="str">
        <f>IFERROR(IF(LEN(A136)&gt;2,VLOOKUP(A136,COPY!$A$2:$O$1000,13,FALSE),"")/E136,"")</f>
        <v/>
      </c>
      <c r="J136" s="546"/>
      <c r="K136" s="547" t="str">
        <f t="shared" si="8"/>
        <v/>
      </c>
      <c r="L136" s="548" t="str">
        <f t="shared" si="13"/>
        <v/>
      </c>
      <c r="M136" s="549">
        <f t="shared" si="9"/>
        <v>-35413040</v>
      </c>
      <c r="O136" s="538">
        <f t="shared" si="14"/>
        <v>-35413040</v>
      </c>
      <c r="P136" s="550"/>
      <c r="Q136" s="551"/>
    </row>
    <row r="137" spans="1:17" s="253" customFormat="1" ht="20.100000000000001" hidden="1" customHeight="1" x14ac:dyDescent="0.25">
      <c r="A137" s="253" t="str">
        <f t="shared" si="10"/>
        <v/>
      </c>
      <c r="B137" s="584" t="str">
        <f>IF(LEN(A137)&gt;2,VLOOKUP(A137,COPY!$A$2:$O$1000,4,FALSE),"")</f>
        <v/>
      </c>
      <c r="C137" s="585" t="str">
        <f>IF(LEN(A137)&gt;2,VLOOKUP(A137,COPY!$A$2:$O$1000,15,FALSE),"")</f>
        <v/>
      </c>
      <c r="D137" s="542" t="str">
        <f>IF(LEN(A137)&gt;2,VLOOKUP(A137,COPY!$A$2:$O$1000,2,FALSE),"")</f>
        <v/>
      </c>
      <c r="E137" s="607" t="str">
        <f>IF(LEN(A137)&gt;2,VLOOKUP(A137,COPY!$A$2:$O$1000,10,FALSE),"")</f>
        <v/>
      </c>
      <c r="F137" s="542" t="str">
        <f>IF(LEN(A137)&gt;2,VLOOKUP(A137,COPY!$A$2:$O$1000,8,FALSE),"")</f>
        <v/>
      </c>
      <c r="G137" s="543" t="str">
        <f>IF(LEN(A137)&gt;2,VLOOKUP(A137,COPY!$A$2:$O$1000,7,FALSE),"")</f>
        <v/>
      </c>
      <c r="H137" s="544" t="str">
        <f t="shared" si="7"/>
        <v/>
      </c>
      <c r="I137" s="545" t="str">
        <f>IFERROR(IF(LEN(A137)&gt;2,VLOOKUP(A137,COPY!$A$2:$O$1000,13,FALSE),"")/E137,"")</f>
        <v/>
      </c>
      <c r="J137" s="546"/>
      <c r="K137" s="547" t="str">
        <f t="shared" si="8"/>
        <v/>
      </c>
      <c r="L137" s="548" t="str">
        <f t="shared" si="13"/>
        <v/>
      </c>
      <c r="M137" s="549">
        <f t="shared" si="9"/>
        <v>-35413040</v>
      </c>
      <c r="O137" s="538">
        <f t="shared" si="14"/>
        <v>-35413040</v>
      </c>
      <c r="P137" s="550"/>
      <c r="Q137" s="551"/>
    </row>
    <row r="138" spans="1:17" s="253" customFormat="1" ht="20.100000000000001" hidden="1" customHeight="1" x14ac:dyDescent="0.25">
      <c r="A138" s="253" t="str">
        <f t="shared" si="10"/>
        <v/>
      </c>
      <c r="B138" s="584" t="str">
        <f>IF(LEN(A138)&gt;2,VLOOKUP(A138,COPY!$A$2:$O$1000,4,FALSE),"")</f>
        <v/>
      </c>
      <c r="C138" s="585" t="str">
        <f>IF(LEN(A138)&gt;2,VLOOKUP(A138,COPY!$A$2:$O$1000,15,FALSE),"")</f>
        <v/>
      </c>
      <c r="D138" s="542" t="str">
        <f>IF(LEN(A138)&gt;2,VLOOKUP(A138,COPY!$A$2:$O$1000,2,FALSE),"")</f>
        <v/>
      </c>
      <c r="E138" s="607" t="str">
        <f>IF(LEN(A138)&gt;2,VLOOKUP(A138,COPY!$A$2:$O$1000,10,FALSE),"")</f>
        <v/>
      </c>
      <c r="F138" s="542" t="str">
        <f>IF(LEN(A138)&gt;2,VLOOKUP(A138,COPY!$A$2:$O$1000,8,FALSE),"")</f>
        <v/>
      </c>
      <c r="G138" s="543" t="str">
        <f>IF(LEN(A138)&gt;2,VLOOKUP(A138,COPY!$A$2:$O$1000,7,FALSE),"")</f>
        <v/>
      </c>
      <c r="H138" s="544" t="str">
        <f t="shared" si="7"/>
        <v/>
      </c>
      <c r="I138" s="545" t="str">
        <f>IFERROR(IF(LEN(A138)&gt;2,VLOOKUP(A138,COPY!$A$2:$O$1000,13,FALSE),"")/E138,"")</f>
        <v/>
      </c>
      <c r="J138" s="546"/>
      <c r="K138" s="547" t="str">
        <f t="shared" si="8"/>
        <v/>
      </c>
      <c r="L138" s="548" t="str">
        <f t="shared" si="13"/>
        <v/>
      </c>
      <c r="M138" s="549">
        <f t="shared" si="9"/>
        <v>-35413040</v>
      </c>
      <c r="O138" s="538">
        <f t="shared" si="14"/>
        <v>-35413040</v>
      </c>
      <c r="P138" s="550"/>
      <c r="Q138" s="551"/>
    </row>
    <row r="139" spans="1:17" s="253" customFormat="1" ht="20.100000000000001" hidden="1" customHeight="1" x14ac:dyDescent="0.25">
      <c r="A139" s="253" t="str">
        <f t="shared" si="10"/>
        <v/>
      </c>
      <c r="B139" s="584" t="str">
        <f>IF(LEN(A139)&gt;2,VLOOKUP(A139,COPY!$A$2:$O$1000,4,FALSE),"")</f>
        <v/>
      </c>
      <c r="C139" s="585" t="str">
        <f>IF(LEN(A139)&gt;2,VLOOKUP(A139,COPY!$A$2:$O$1000,15,FALSE),"")</f>
        <v/>
      </c>
      <c r="D139" s="542" t="str">
        <f>IF(LEN(A139)&gt;2,VLOOKUP(A139,COPY!$A$2:$O$1000,2,FALSE),"")</f>
        <v/>
      </c>
      <c r="E139" s="607" t="str">
        <f>IF(LEN(A139)&gt;2,VLOOKUP(A139,COPY!$A$2:$O$1000,10,FALSE),"")</f>
        <v/>
      </c>
      <c r="F139" s="542" t="str">
        <f>IF(LEN(A139)&gt;2,VLOOKUP(A139,COPY!$A$2:$O$1000,8,FALSE),"")</f>
        <v/>
      </c>
      <c r="G139" s="543" t="str">
        <f>IF(LEN(A139)&gt;2,VLOOKUP(A139,COPY!$A$2:$O$1000,7,FALSE),"")</f>
        <v/>
      </c>
      <c r="H139" s="544" t="str">
        <f t="shared" si="7"/>
        <v/>
      </c>
      <c r="I139" s="545" t="str">
        <f>IFERROR(IF(LEN(A139)&gt;2,VLOOKUP(A139,COPY!$A$2:$O$1000,13,FALSE),"")/E139,"")</f>
        <v/>
      </c>
      <c r="J139" s="546"/>
      <c r="K139" s="547" t="str">
        <f t="shared" si="8"/>
        <v/>
      </c>
      <c r="L139" s="548" t="str">
        <f t="shared" si="13"/>
        <v/>
      </c>
      <c r="M139" s="549">
        <f t="shared" si="9"/>
        <v>-35413040</v>
      </c>
      <c r="O139" s="538">
        <f t="shared" si="14"/>
        <v>-35413040</v>
      </c>
      <c r="P139" s="550"/>
      <c r="Q139" s="551"/>
    </row>
    <row r="140" spans="1:17" s="253" customFormat="1" ht="20.100000000000001" hidden="1" customHeight="1" x14ac:dyDescent="0.25">
      <c r="A140" s="253" t="str">
        <f t="shared" si="10"/>
        <v/>
      </c>
      <c r="B140" s="584" t="str">
        <f>IF(LEN(A140)&gt;2,VLOOKUP(A140,COPY!$A$2:$O$1000,4,FALSE),"")</f>
        <v/>
      </c>
      <c r="C140" s="585" t="str">
        <f>IF(LEN(A140)&gt;2,VLOOKUP(A140,COPY!$A$2:$O$1000,15,FALSE),"")</f>
        <v/>
      </c>
      <c r="D140" s="542" t="str">
        <f>IF(LEN(A140)&gt;2,VLOOKUP(A140,COPY!$A$2:$O$1000,2,FALSE),"")</f>
        <v/>
      </c>
      <c r="E140" s="607" t="str">
        <f>IF(LEN(A140)&gt;2,VLOOKUP(A140,COPY!$A$2:$O$1000,10,FALSE),"")</f>
        <v/>
      </c>
      <c r="F140" s="542" t="str">
        <f>IF(LEN(A140)&gt;2,VLOOKUP(A140,COPY!$A$2:$O$1000,8,FALSE),"")</f>
        <v/>
      </c>
      <c r="G140" s="543" t="str">
        <f>IF(LEN(A140)&gt;2,VLOOKUP(A140,COPY!$A$2:$O$1000,7,FALSE),"")</f>
        <v/>
      </c>
      <c r="H140" s="544" t="str">
        <f t="shared" si="7"/>
        <v/>
      </c>
      <c r="I140" s="545" t="str">
        <f>IFERROR(IF(LEN(A140)&gt;2,VLOOKUP(A140,COPY!$A$2:$O$1000,13,FALSE),"")/E140,"")</f>
        <v/>
      </c>
      <c r="J140" s="546"/>
      <c r="K140" s="547" t="str">
        <f t="shared" si="8"/>
        <v/>
      </c>
      <c r="L140" s="548" t="str">
        <f t="shared" si="13"/>
        <v/>
      </c>
      <c r="M140" s="549">
        <f t="shared" si="9"/>
        <v>-35413040</v>
      </c>
      <c r="O140" s="538">
        <f t="shared" si="14"/>
        <v>-35413040</v>
      </c>
      <c r="P140" s="550"/>
      <c r="Q140" s="551"/>
    </row>
    <row r="141" spans="1:17" s="253" customFormat="1" ht="20.100000000000001" hidden="1" customHeight="1" x14ac:dyDescent="0.25">
      <c r="A141" s="253" t="str">
        <f t="shared" si="10"/>
        <v/>
      </c>
      <c r="B141" s="584" t="str">
        <f>IF(LEN(A141)&gt;2,VLOOKUP(A141,COPY!$A$2:$O$1000,4,FALSE),"")</f>
        <v/>
      </c>
      <c r="C141" s="585" t="str">
        <f>IF(LEN(A141)&gt;2,VLOOKUP(A141,COPY!$A$2:$O$1000,15,FALSE),"")</f>
        <v/>
      </c>
      <c r="D141" s="542" t="str">
        <f>IF(LEN(A141)&gt;2,VLOOKUP(A141,COPY!$A$2:$O$1000,2,FALSE),"")</f>
        <v/>
      </c>
      <c r="E141" s="607" t="str">
        <f>IF(LEN(A141)&gt;2,VLOOKUP(A141,COPY!$A$2:$O$1000,10,FALSE),"")</f>
        <v/>
      </c>
      <c r="F141" s="542" t="str">
        <f>IF(LEN(A141)&gt;2,VLOOKUP(A141,COPY!$A$2:$O$1000,8,FALSE),"")</f>
        <v/>
      </c>
      <c r="G141" s="543" t="str">
        <f>IF(LEN(A141)&gt;2,VLOOKUP(A141,COPY!$A$2:$O$1000,7,FALSE),"")</f>
        <v/>
      </c>
      <c r="H141" s="544" t="str">
        <f t="shared" si="7"/>
        <v/>
      </c>
      <c r="I141" s="545" t="str">
        <f>IFERROR(IF(LEN(A141)&gt;2,VLOOKUP(A141,COPY!$A$2:$O$1000,13,FALSE),"")/E141,"")</f>
        <v/>
      </c>
      <c r="J141" s="546"/>
      <c r="K141" s="547" t="str">
        <f t="shared" si="8"/>
        <v/>
      </c>
      <c r="L141" s="548" t="str">
        <f t="shared" si="13"/>
        <v/>
      </c>
      <c r="M141" s="549">
        <f t="shared" si="9"/>
        <v>-35413040</v>
      </c>
      <c r="O141" s="538">
        <f t="shared" si="14"/>
        <v>-35413040</v>
      </c>
      <c r="P141" s="550"/>
      <c r="Q141" s="551"/>
    </row>
    <row r="142" spans="1:17" s="253" customFormat="1" ht="20.100000000000001" hidden="1" customHeight="1" x14ac:dyDescent="0.25">
      <c r="A142" s="253" t="str">
        <f t="shared" si="10"/>
        <v/>
      </c>
      <c r="B142" s="584" t="str">
        <f>IF(LEN(A142)&gt;2,VLOOKUP(A142,COPY!$A$2:$O$1000,4,FALSE),"")</f>
        <v/>
      </c>
      <c r="C142" s="585" t="str">
        <f>IF(LEN(A142)&gt;2,VLOOKUP(A142,COPY!$A$2:$O$1000,15,FALSE),"")</f>
        <v/>
      </c>
      <c r="D142" s="542" t="str">
        <f>IF(LEN(A142)&gt;2,VLOOKUP(A142,COPY!$A$2:$O$1000,2,FALSE),"")</f>
        <v/>
      </c>
      <c r="E142" s="607" t="str">
        <f>IF(LEN(A142)&gt;2,VLOOKUP(A142,COPY!$A$2:$O$1000,10,FALSE),"")</f>
        <v/>
      </c>
      <c r="F142" s="542" t="str">
        <f>IF(LEN(A142)&gt;2,VLOOKUP(A142,COPY!$A$2:$O$1000,8,FALSE),"")</f>
        <v/>
      </c>
      <c r="G142" s="543" t="str">
        <f>IF(LEN(A142)&gt;2,VLOOKUP(A142,COPY!$A$2:$O$1000,7,FALSE),"")</f>
        <v/>
      </c>
      <c r="H142" s="544" t="str">
        <f t="shared" si="7"/>
        <v/>
      </c>
      <c r="I142" s="545" t="str">
        <f>IFERROR(IF(LEN(A142)&gt;2,VLOOKUP(A142,COPY!$A$2:$O$1000,13,FALSE),"")/E142,"")</f>
        <v/>
      </c>
      <c r="J142" s="546"/>
      <c r="K142" s="547" t="str">
        <f t="shared" si="8"/>
        <v/>
      </c>
      <c r="L142" s="548" t="str">
        <f t="shared" si="13"/>
        <v/>
      </c>
      <c r="M142" s="549">
        <f t="shared" si="9"/>
        <v>-35413040</v>
      </c>
      <c r="O142" s="538">
        <f t="shared" si="14"/>
        <v>-35413040</v>
      </c>
      <c r="P142" s="550"/>
      <c r="Q142" s="551"/>
    </row>
    <row r="143" spans="1:17" s="253" customFormat="1" ht="20.100000000000001" hidden="1" customHeight="1" x14ac:dyDescent="0.25">
      <c r="A143" s="253" t="str">
        <f t="shared" si="10"/>
        <v/>
      </c>
      <c r="B143" s="584" t="str">
        <f>IF(LEN(A143)&gt;2,VLOOKUP(A143,COPY!$A$2:$O$1000,4,FALSE),"")</f>
        <v/>
      </c>
      <c r="C143" s="585" t="str">
        <f>IF(LEN(A143)&gt;2,VLOOKUP(A143,COPY!$A$2:$O$1000,15,FALSE),"")</f>
        <v/>
      </c>
      <c r="D143" s="542" t="str">
        <f>IF(LEN(A143)&gt;2,VLOOKUP(A143,COPY!$A$2:$O$1000,2,FALSE),"")</f>
        <v/>
      </c>
      <c r="E143" s="607" t="str">
        <f>IF(LEN(A143)&gt;2,VLOOKUP(A143,COPY!$A$2:$O$1000,10,FALSE),"")</f>
        <v/>
      </c>
      <c r="F143" s="542" t="str">
        <f>IF(LEN(A143)&gt;2,VLOOKUP(A143,COPY!$A$2:$O$1000,8,FALSE),"")</f>
        <v/>
      </c>
      <c r="G143" s="543" t="str">
        <f>IF(LEN(A143)&gt;2,VLOOKUP(A143,COPY!$A$2:$O$1000,7,FALSE),"")</f>
        <v/>
      </c>
      <c r="H143" s="544" t="str">
        <f t="shared" ref="H143:H167" si="15">IF(TEXT(D143,0)="Beli","@","")</f>
        <v/>
      </c>
      <c r="I143" s="545" t="str">
        <f>IFERROR(IF(LEN(A143)&gt;2,VLOOKUP(A143,COPY!$A$2:$O$1000,13,FALSE),"")/E143,"")</f>
        <v/>
      </c>
      <c r="J143" s="546"/>
      <c r="K143" s="547" t="str">
        <f t="shared" ref="K143:K167" si="16">IF(E143="","",IF(E143=0,I143,IF(E143&gt;0,E143*I143,0)))</f>
        <v/>
      </c>
      <c r="L143" s="548" t="str">
        <f t="shared" si="13"/>
        <v/>
      </c>
      <c r="M143" s="549">
        <f t="shared" ref="M143:M167" si="17">IF(O143&lt;0,O143,IF(O143&gt;=0,0,0))</f>
        <v>-35413040</v>
      </c>
      <c r="O143" s="538">
        <f t="shared" si="14"/>
        <v>-35413040</v>
      </c>
      <c r="P143" s="550"/>
      <c r="Q143" s="551"/>
    </row>
    <row r="144" spans="1:17" s="253" customFormat="1" ht="20.100000000000001" hidden="1" customHeight="1" x14ac:dyDescent="0.25">
      <c r="A144" s="253" t="str">
        <f t="shared" ref="A144:A169" si="18">IF(LEN(A143)&gt;2,$D$4&amp;"."&amp;IF(ROW()-ROW($A$15)+1&lt;=$A$10,ROW()-ROW($A$15)+1,""),"")</f>
        <v/>
      </c>
      <c r="B144" s="584" t="str">
        <f>IF(LEN(A144)&gt;2,VLOOKUP(A144,COPY!$A$2:$O$1000,4,FALSE),"")</f>
        <v/>
      </c>
      <c r="C144" s="585" t="str">
        <f>IF(LEN(A144)&gt;2,VLOOKUP(A144,COPY!$A$2:$O$1000,15,FALSE),"")</f>
        <v/>
      </c>
      <c r="D144" s="542" t="str">
        <f>IF(LEN(A144)&gt;2,VLOOKUP(A144,COPY!$A$2:$O$1000,2,FALSE),"")</f>
        <v/>
      </c>
      <c r="E144" s="607" t="str">
        <f>IF(LEN(A144)&gt;2,VLOOKUP(A144,COPY!$A$2:$O$1000,10,FALSE),"")</f>
        <v/>
      </c>
      <c r="F144" s="542" t="str">
        <f>IF(LEN(A144)&gt;2,VLOOKUP(A144,COPY!$A$2:$O$1000,8,FALSE),"")</f>
        <v/>
      </c>
      <c r="G144" s="543" t="str">
        <f>IF(LEN(A144)&gt;2,VLOOKUP(A144,COPY!$A$2:$O$1000,7,FALSE),"")</f>
        <v/>
      </c>
      <c r="H144" s="544" t="str">
        <f t="shared" si="15"/>
        <v/>
      </c>
      <c r="I144" s="545" t="str">
        <f>IFERROR(IF(LEN(A144)&gt;2,VLOOKUP(A144,COPY!$A$2:$O$1000,13,FALSE),"")/E144,"")</f>
        <v/>
      </c>
      <c r="J144" s="546"/>
      <c r="K144" s="547" t="str">
        <f t="shared" si="16"/>
        <v/>
      </c>
      <c r="L144" s="548" t="str">
        <f t="shared" si="13"/>
        <v/>
      </c>
      <c r="M144" s="549">
        <f t="shared" si="17"/>
        <v>-35413040</v>
      </c>
      <c r="O144" s="538">
        <f t="shared" si="14"/>
        <v>-35413040</v>
      </c>
      <c r="P144" s="550"/>
      <c r="Q144" s="551"/>
    </row>
    <row r="145" spans="1:17" s="253" customFormat="1" ht="20.100000000000001" hidden="1" customHeight="1" x14ac:dyDescent="0.25">
      <c r="A145" s="253" t="str">
        <f t="shared" si="18"/>
        <v/>
      </c>
      <c r="B145" s="584" t="str">
        <f>IF(LEN(A145)&gt;2,VLOOKUP(A145,COPY!$A$2:$O$1000,4,FALSE),"")</f>
        <v/>
      </c>
      <c r="C145" s="585" t="str">
        <f>IF(LEN(A145)&gt;2,VLOOKUP(A145,COPY!$A$2:$O$1000,15,FALSE),"")</f>
        <v/>
      </c>
      <c r="D145" s="542" t="str">
        <f>IF(LEN(A145)&gt;2,VLOOKUP(A145,COPY!$A$2:$O$1000,2,FALSE),"")</f>
        <v/>
      </c>
      <c r="E145" s="607" t="str">
        <f>IF(LEN(A145)&gt;2,VLOOKUP(A145,COPY!$A$2:$O$1000,10,FALSE),"")</f>
        <v/>
      </c>
      <c r="F145" s="542" t="str">
        <f>IF(LEN(A145)&gt;2,VLOOKUP(A145,COPY!$A$2:$O$1000,8,FALSE),"")</f>
        <v/>
      </c>
      <c r="G145" s="543" t="str">
        <f>IF(LEN(A145)&gt;2,VLOOKUP(A145,COPY!$A$2:$O$1000,7,FALSE),"")</f>
        <v/>
      </c>
      <c r="H145" s="544" t="str">
        <f t="shared" si="15"/>
        <v/>
      </c>
      <c r="I145" s="545" t="str">
        <f>IFERROR(IF(LEN(A145)&gt;2,VLOOKUP(A145,COPY!$A$2:$O$1000,13,FALSE),"")/E145,"")</f>
        <v/>
      </c>
      <c r="J145" s="546"/>
      <c r="K145" s="547" t="str">
        <f t="shared" si="16"/>
        <v/>
      </c>
      <c r="L145" s="548" t="str">
        <f t="shared" si="13"/>
        <v/>
      </c>
      <c r="M145" s="549">
        <f t="shared" si="17"/>
        <v>-35413040</v>
      </c>
      <c r="O145" s="538">
        <f t="shared" si="14"/>
        <v>-35413040</v>
      </c>
      <c r="P145" s="550"/>
      <c r="Q145" s="551"/>
    </row>
    <row r="146" spans="1:17" s="253" customFormat="1" ht="20.100000000000001" hidden="1" customHeight="1" x14ac:dyDescent="0.25">
      <c r="A146" s="253" t="str">
        <f t="shared" si="18"/>
        <v/>
      </c>
      <c r="B146" s="584" t="str">
        <f>IF(LEN(A146)&gt;2,VLOOKUP(A146,COPY!$A$2:$O$1000,4,FALSE),"")</f>
        <v/>
      </c>
      <c r="C146" s="585" t="str">
        <f>IF(LEN(A146)&gt;2,VLOOKUP(A146,COPY!$A$2:$O$1000,15,FALSE),"")</f>
        <v/>
      </c>
      <c r="D146" s="542" t="str">
        <f>IF(LEN(A146)&gt;2,VLOOKUP(A146,COPY!$A$2:$O$1000,2,FALSE),"")</f>
        <v/>
      </c>
      <c r="E146" s="607" t="str">
        <f>IF(LEN(A146)&gt;2,VLOOKUP(A146,COPY!$A$2:$O$1000,10,FALSE),"")</f>
        <v/>
      </c>
      <c r="F146" s="542" t="str">
        <f>IF(LEN(A146)&gt;2,VLOOKUP(A146,COPY!$A$2:$O$1000,8,FALSE),"")</f>
        <v/>
      </c>
      <c r="G146" s="543" t="str">
        <f>IF(LEN(A146)&gt;2,VLOOKUP(A146,COPY!$A$2:$O$1000,7,FALSE),"")</f>
        <v/>
      </c>
      <c r="H146" s="544" t="str">
        <f t="shared" si="15"/>
        <v/>
      </c>
      <c r="I146" s="545" t="str">
        <f>IFERROR(IF(LEN(A146)&gt;2,VLOOKUP(A146,COPY!$A$2:$O$1000,13,FALSE),"")/E146,"")</f>
        <v/>
      </c>
      <c r="J146" s="546"/>
      <c r="K146" s="547" t="str">
        <f t="shared" si="16"/>
        <v/>
      </c>
      <c r="L146" s="548" t="str">
        <f t="shared" si="13"/>
        <v/>
      </c>
      <c r="M146" s="549">
        <f t="shared" si="17"/>
        <v>-35413040</v>
      </c>
      <c r="O146" s="538">
        <f t="shared" si="14"/>
        <v>-35413040</v>
      </c>
      <c r="P146" s="550"/>
      <c r="Q146" s="551"/>
    </row>
    <row r="147" spans="1:17" s="253" customFormat="1" ht="20.100000000000001" hidden="1" customHeight="1" x14ac:dyDescent="0.25">
      <c r="A147" s="253" t="str">
        <f t="shared" si="18"/>
        <v/>
      </c>
      <c r="B147" s="584" t="str">
        <f>IF(LEN(A147)&gt;2,VLOOKUP(A147,COPY!$A$2:$O$1000,4,FALSE),"")</f>
        <v/>
      </c>
      <c r="C147" s="585" t="str">
        <f>IF(LEN(A147)&gt;2,VLOOKUP(A147,COPY!$A$2:$O$1000,15,FALSE),"")</f>
        <v/>
      </c>
      <c r="D147" s="542" t="str">
        <f>IF(LEN(A147)&gt;2,VLOOKUP(A147,COPY!$A$2:$O$1000,2,FALSE),"")</f>
        <v/>
      </c>
      <c r="E147" s="607" t="str">
        <f>IF(LEN(A147)&gt;2,VLOOKUP(A147,COPY!$A$2:$O$1000,10,FALSE),"")</f>
        <v/>
      </c>
      <c r="F147" s="542" t="str">
        <f>IF(LEN(A147)&gt;2,VLOOKUP(A147,COPY!$A$2:$O$1000,8,FALSE),"")</f>
        <v/>
      </c>
      <c r="G147" s="543" t="str">
        <f>IF(LEN(A147)&gt;2,VLOOKUP(A147,COPY!$A$2:$O$1000,7,FALSE),"")</f>
        <v/>
      </c>
      <c r="H147" s="544" t="str">
        <f t="shared" si="15"/>
        <v/>
      </c>
      <c r="I147" s="545" t="str">
        <f>IFERROR(IF(LEN(A147)&gt;2,VLOOKUP(A147,COPY!$A$2:$O$1000,13,FALSE),"")/E147,"")</f>
        <v/>
      </c>
      <c r="J147" s="546"/>
      <c r="K147" s="547" t="str">
        <f t="shared" si="16"/>
        <v/>
      </c>
      <c r="L147" s="548" t="str">
        <f t="shared" si="13"/>
        <v/>
      </c>
      <c r="M147" s="549">
        <f t="shared" si="17"/>
        <v>-35413040</v>
      </c>
      <c r="O147" s="538">
        <f t="shared" si="14"/>
        <v>-35413040</v>
      </c>
      <c r="P147" s="550"/>
      <c r="Q147" s="551"/>
    </row>
    <row r="148" spans="1:17" s="253" customFormat="1" ht="20.100000000000001" hidden="1" customHeight="1" x14ac:dyDescent="0.25">
      <c r="A148" s="253" t="str">
        <f t="shared" si="18"/>
        <v/>
      </c>
      <c r="B148" s="584" t="str">
        <f>IF(LEN(A148)&gt;2,VLOOKUP(A148,COPY!$A$2:$O$1000,4,FALSE),"")</f>
        <v/>
      </c>
      <c r="C148" s="585" t="str">
        <f>IF(LEN(A148)&gt;2,VLOOKUP(A148,COPY!$A$2:$O$1000,15,FALSE),"")</f>
        <v/>
      </c>
      <c r="D148" s="542" t="str">
        <f>IF(LEN(A148)&gt;2,VLOOKUP(A148,COPY!$A$2:$O$1000,2,FALSE),"")</f>
        <v/>
      </c>
      <c r="E148" s="607" t="str">
        <f>IF(LEN(A148)&gt;2,VLOOKUP(A148,COPY!$A$2:$O$1000,10,FALSE),"")</f>
        <v/>
      </c>
      <c r="F148" s="542" t="str">
        <f>IF(LEN(A148)&gt;2,VLOOKUP(A148,COPY!$A$2:$O$1000,8,FALSE),"")</f>
        <v/>
      </c>
      <c r="G148" s="543" t="str">
        <f>IF(LEN(A148)&gt;2,VLOOKUP(A148,COPY!$A$2:$O$1000,7,FALSE),"")</f>
        <v/>
      </c>
      <c r="H148" s="544" t="str">
        <f t="shared" si="15"/>
        <v/>
      </c>
      <c r="I148" s="545" t="str">
        <f>IFERROR(IF(LEN(A148)&gt;2,VLOOKUP(A148,COPY!$A$2:$O$1000,13,FALSE),"")/E148,"")</f>
        <v/>
      </c>
      <c r="J148" s="546"/>
      <c r="K148" s="547" t="str">
        <f t="shared" si="16"/>
        <v/>
      </c>
      <c r="L148" s="548" t="str">
        <f t="shared" si="13"/>
        <v/>
      </c>
      <c r="M148" s="549">
        <f t="shared" si="17"/>
        <v>-35413040</v>
      </c>
      <c r="O148" s="538">
        <f t="shared" si="14"/>
        <v>-35413040</v>
      </c>
      <c r="P148" s="550"/>
      <c r="Q148" s="551"/>
    </row>
    <row r="149" spans="1:17" s="253" customFormat="1" ht="20.100000000000001" hidden="1" customHeight="1" x14ac:dyDescent="0.25">
      <c r="A149" s="253" t="str">
        <f t="shared" si="18"/>
        <v/>
      </c>
      <c r="B149" s="584" t="str">
        <f>IF(LEN(A149)&gt;2,VLOOKUP(A149,COPY!$A$2:$O$1000,4,FALSE),"")</f>
        <v/>
      </c>
      <c r="C149" s="585" t="str">
        <f>IF(LEN(A149)&gt;2,VLOOKUP(A149,COPY!$A$2:$O$1000,15,FALSE),"")</f>
        <v/>
      </c>
      <c r="D149" s="542" t="str">
        <f>IF(LEN(A149)&gt;2,VLOOKUP(A149,COPY!$A$2:$O$1000,2,FALSE),"")</f>
        <v/>
      </c>
      <c r="E149" s="607" t="str">
        <f>IF(LEN(A149)&gt;2,VLOOKUP(A149,COPY!$A$2:$O$1000,10,FALSE),"")</f>
        <v/>
      </c>
      <c r="F149" s="542" t="str">
        <f>IF(LEN(A149)&gt;2,VLOOKUP(A149,COPY!$A$2:$O$1000,8,FALSE),"")</f>
        <v/>
      </c>
      <c r="G149" s="543" t="str">
        <f>IF(LEN(A149)&gt;2,VLOOKUP(A149,COPY!$A$2:$O$1000,7,FALSE),"")</f>
        <v/>
      </c>
      <c r="H149" s="544" t="str">
        <f t="shared" si="15"/>
        <v/>
      </c>
      <c r="I149" s="545" t="str">
        <f>IFERROR(IF(LEN(A149)&gt;2,VLOOKUP(A149,COPY!$A$2:$O$1000,13,FALSE),"")/E149,"")</f>
        <v/>
      </c>
      <c r="J149" s="546"/>
      <c r="K149" s="547" t="str">
        <f t="shared" si="16"/>
        <v/>
      </c>
      <c r="L149" s="548" t="str">
        <f t="shared" si="13"/>
        <v/>
      </c>
      <c r="M149" s="549">
        <f t="shared" si="17"/>
        <v>-35413040</v>
      </c>
      <c r="O149" s="538">
        <f t="shared" si="14"/>
        <v>-35413040</v>
      </c>
      <c r="P149" s="550"/>
      <c r="Q149" s="551"/>
    </row>
    <row r="150" spans="1:17" s="253" customFormat="1" ht="20.100000000000001" hidden="1" customHeight="1" x14ac:dyDescent="0.25">
      <c r="A150" s="253" t="str">
        <f t="shared" si="18"/>
        <v/>
      </c>
      <c r="B150" s="584" t="str">
        <f>IF(LEN(A150)&gt;2,VLOOKUP(A150,COPY!$A$2:$O$1000,4,FALSE),"")</f>
        <v/>
      </c>
      <c r="C150" s="585" t="str">
        <f>IF(LEN(A150)&gt;2,VLOOKUP(A150,COPY!$A$2:$O$1000,15,FALSE),"")</f>
        <v/>
      </c>
      <c r="D150" s="542" t="str">
        <f>IF(LEN(A150)&gt;2,VLOOKUP(A150,COPY!$A$2:$O$1000,2,FALSE),"")</f>
        <v/>
      </c>
      <c r="E150" s="607" t="str">
        <f>IF(LEN(A150)&gt;2,VLOOKUP(A150,COPY!$A$2:$O$1000,10,FALSE),"")</f>
        <v/>
      </c>
      <c r="F150" s="542" t="str">
        <f>IF(LEN(A150)&gt;2,VLOOKUP(A150,COPY!$A$2:$O$1000,8,FALSE),"")</f>
        <v/>
      </c>
      <c r="G150" s="543" t="str">
        <f>IF(LEN(A150)&gt;2,VLOOKUP(A150,COPY!$A$2:$O$1000,7,FALSE),"")</f>
        <v/>
      </c>
      <c r="H150" s="544" t="str">
        <f t="shared" si="15"/>
        <v/>
      </c>
      <c r="I150" s="545" t="str">
        <f>IFERROR(IF(LEN(A150)&gt;2,VLOOKUP(A150,COPY!$A$2:$O$1000,13,FALSE),"")/E150,"")</f>
        <v/>
      </c>
      <c r="J150" s="546"/>
      <c r="K150" s="547" t="str">
        <f t="shared" si="16"/>
        <v/>
      </c>
      <c r="L150" s="548" t="str">
        <f t="shared" si="13"/>
        <v/>
      </c>
      <c r="M150" s="549">
        <f t="shared" si="17"/>
        <v>-35413040</v>
      </c>
      <c r="O150" s="538">
        <f t="shared" si="14"/>
        <v>-35413040</v>
      </c>
      <c r="P150" s="550"/>
      <c r="Q150" s="551"/>
    </row>
    <row r="151" spans="1:17" s="253" customFormat="1" ht="20.100000000000001" hidden="1" customHeight="1" x14ac:dyDescent="0.25">
      <c r="A151" s="253" t="str">
        <f t="shared" si="18"/>
        <v/>
      </c>
      <c r="B151" s="584" t="str">
        <f>IF(LEN(A151)&gt;2,VLOOKUP(A151,COPY!$A$2:$O$1000,4,FALSE),"")</f>
        <v/>
      </c>
      <c r="C151" s="585" t="str">
        <f>IF(LEN(A151)&gt;2,VLOOKUP(A151,COPY!$A$2:$O$1000,15,FALSE),"")</f>
        <v/>
      </c>
      <c r="D151" s="542" t="str">
        <f>IF(LEN(A151)&gt;2,VLOOKUP(A151,COPY!$A$2:$O$1000,2,FALSE),"")</f>
        <v/>
      </c>
      <c r="E151" s="607" t="str">
        <f>IF(LEN(A151)&gt;2,VLOOKUP(A151,COPY!$A$2:$O$1000,10,FALSE),"")</f>
        <v/>
      </c>
      <c r="F151" s="542" t="str">
        <f>IF(LEN(A151)&gt;2,VLOOKUP(A151,COPY!$A$2:$O$1000,8,FALSE),"")</f>
        <v/>
      </c>
      <c r="G151" s="543" t="str">
        <f>IF(LEN(A151)&gt;2,VLOOKUP(A151,COPY!$A$2:$O$1000,7,FALSE),"")</f>
        <v/>
      </c>
      <c r="H151" s="544" t="str">
        <f t="shared" si="15"/>
        <v/>
      </c>
      <c r="I151" s="545" t="str">
        <f>IFERROR(IF(LEN(A151)&gt;2,VLOOKUP(A151,COPY!$A$2:$O$1000,13,FALSE),"")/E151,"")</f>
        <v/>
      </c>
      <c r="J151" s="546"/>
      <c r="K151" s="547" t="str">
        <f t="shared" si="16"/>
        <v/>
      </c>
      <c r="L151" s="548" t="str">
        <f t="shared" si="13"/>
        <v/>
      </c>
      <c r="M151" s="549">
        <f t="shared" si="17"/>
        <v>-35413040</v>
      </c>
      <c r="O151" s="538">
        <f t="shared" si="14"/>
        <v>-35413040</v>
      </c>
      <c r="P151" s="550"/>
      <c r="Q151" s="551"/>
    </row>
    <row r="152" spans="1:17" s="253" customFormat="1" ht="20.100000000000001" hidden="1" customHeight="1" x14ac:dyDescent="0.25">
      <c r="A152" s="253" t="str">
        <f t="shared" si="18"/>
        <v/>
      </c>
      <c r="B152" s="584" t="str">
        <f>IF(LEN(A152)&gt;2,VLOOKUP(A152,COPY!$A$2:$O$1000,4,FALSE),"")</f>
        <v/>
      </c>
      <c r="C152" s="585" t="str">
        <f>IF(LEN(A152)&gt;2,VLOOKUP(A152,COPY!$A$2:$O$1000,15,FALSE),"")</f>
        <v/>
      </c>
      <c r="D152" s="542" t="str">
        <f>IF(LEN(A152)&gt;2,VLOOKUP(A152,COPY!$A$2:$O$1000,2,FALSE),"")</f>
        <v/>
      </c>
      <c r="E152" s="607" t="str">
        <f>IF(LEN(A152)&gt;2,VLOOKUP(A152,COPY!$A$2:$O$1000,10,FALSE),"")</f>
        <v/>
      </c>
      <c r="F152" s="542" t="str">
        <f>IF(LEN(A152)&gt;2,VLOOKUP(A152,COPY!$A$2:$O$1000,8,FALSE),"")</f>
        <v/>
      </c>
      <c r="G152" s="543" t="str">
        <f>IF(LEN(A152)&gt;2,VLOOKUP(A152,COPY!$A$2:$O$1000,7,FALSE),"")</f>
        <v/>
      </c>
      <c r="H152" s="544" t="str">
        <f t="shared" si="15"/>
        <v/>
      </c>
      <c r="I152" s="545" t="str">
        <f>IFERROR(IF(LEN(A152)&gt;2,VLOOKUP(A152,COPY!$A$2:$O$1000,13,FALSE),"")/E152,"")</f>
        <v/>
      </c>
      <c r="J152" s="546"/>
      <c r="K152" s="547" t="str">
        <f t="shared" si="16"/>
        <v/>
      </c>
      <c r="L152" s="548" t="str">
        <f t="shared" si="13"/>
        <v/>
      </c>
      <c r="M152" s="549">
        <f t="shared" si="17"/>
        <v>-35413040</v>
      </c>
      <c r="O152" s="538">
        <f t="shared" si="14"/>
        <v>-35413040</v>
      </c>
      <c r="P152" s="550"/>
      <c r="Q152" s="551"/>
    </row>
    <row r="153" spans="1:17" s="253" customFormat="1" ht="20.100000000000001" hidden="1" customHeight="1" x14ac:dyDescent="0.25">
      <c r="A153" s="253" t="str">
        <f t="shared" si="18"/>
        <v/>
      </c>
      <c r="B153" s="584" t="str">
        <f>IF(LEN(A153)&gt;2,VLOOKUP(A153,COPY!$A$2:$O$1000,4,FALSE),"")</f>
        <v/>
      </c>
      <c r="C153" s="585" t="str">
        <f>IF(LEN(A153)&gt;2,VLOOKUP(A153,COPY!$A$2:$O$1000,15,FALSE),"")</f>
        <v/>
      </c>
      <c r="D153" s="542" t="str">
        <f>IF(LEN(A153)&gt;2,VLOOKUP(A153,COPY!$A$2:$O$1000,2,FALSE),"")</f>
        <v/>
      </c>
      <c r="E153" s="607" t="str">
        <f>IF(LEN(A153)&gt;2,VLOOKUP(A153,COPY!$A$2:$O$1000,10,FALSE),"")</f>
        <v/>
      </c>
      <c r="F153" s="542" t="str">
        <f>IF(LEN(A153)&gt;2,VLOOKUP(A153,COPY!$A$2:$O$1000,8,FALSE),"")</f>
        <v/>
      </c>
      <c r="G153" s="543" t="str">
        <f>IF(LEN(A153)&gt;2,VLOOKUP(A153,COPY!$A$2:$O$1000,7,FALSE),"")</f>
        <v/>
      </c>
      <c r="H153" s="544" t="str">
        <f t="shared" si="15"/>
        <v/>
      </c>
      <c r="I153" s="545" t="str">
        <f>IFERROR(IF(LEN(A153)&gt;2,VLOOKUP(A153,COPY!$A$2:$O$1000,13,FALSE),"")/E153,"")</f>
        <v/>
      </c>
      <c r="J153" s="546"/>
      <c r="K153" s="547" t="str">
        <f t="shared" si="16"/>
        <v/>
      </c>
      <c r="L153" s="548" t="str">
        <f t="shared" si="13"/>
        <v/>
      </c>
      <c r="M153" s="549">
        <f t="shared" si="17"/>
        <v>-35413040</v>
      </c>
      <c r="O153" s="538">
        <f t="shared" si="14"/>
        <v>-35413040</v>
      </c>
      <c r="P153" s="550"/>
      <c r="Q153" s="551"/>
    </row>
    <row r="154" spans="1:17" s="253" customFormat="1" ht="20.100000000000001" hidden="1" customHeight="1" x14ac:dyDescent="0.25">
      <c r="A154" s="253" t="str">
        <f t="shared" si="18"/>
        <v/>
      </c>
      <c r="B154" s="584" t="str">
        <f>IF(LEN(A154)&gt;2,VLOOKUP(A154,COPY!$A$2:$O$1000,4,FALSE),"")</f>
        <v/>
      </c>
      <c r="C154" s="585" t="str">
        <f>IF(LEN(A154)&gt;2,VLOOKUP(A154,COPY!$A$2:$O$1000,15,FALSE),"")</f>
        <v/>
      </c>
      <c r="D154" s="542" t="str">
        <f>IF(LEN(A154)&gt;2,VLOOKUP(A154,COPY!$A$2:$O$1000,2,FALSE),"")</f>
        <v/>
      </c>
      <c r="E154" s="607" t="str">
        <f>IF(LEN(A154)&gt;2,VLOOKUP(A154,COPY!$A$2:$O$1000,10,FALSE),"")</f>
        <v/>
      </c>
      <c r="F154" s="542" t="str">
        <f>IF(LEN(A154)&gt;2,VLOOKUP(A154,COPY!$A$2:$O$1000,8,FALSE),"")</f>
        <v/>
      </c>
      <c r="G154" s="543" t="str">
        <f>IF(LEN(A154)&gt;2,VLOOKUP(A154,COPY!$A$2:$O$1000,7,FALSE),"")</f>
        <v/>
      </c>
      <c r="H154" s="544" t="str">
        <f t="shared" si="15"/>
        <v/>
      </c>
      <c r="I154" s="545" t="str">
        <f>IFERROR(IF(LEN(A154)&gt;2,VLOOKUP(A154,COPY!$A$2:$O$1000,13,FALSE),"")/E154,"")</f>
        <v/>
      </c>
      <c r="J154" s="546"/>
      <c r="K154" s="547" t="str">
        <f t="shared" si="16"/>
        <v/>
      </c>
      <c r="L154" s="548" t="str">
        <f t="shared" si="13"/>
        <v/>
      </c>
      <c r="M154" s="549">
        <f t="shared" si="17"/>
        <v>-35413040</v>
      </c>
      <c r="O154" s="538">
        <f t="shared" si="14"/>
        <v>-35413040</v>
      </c>
      <c r="P154" s="550"/>
      <c r="Q154" s="551"/>
    </row>
    <row r="155" spans="1:17" s="253" customFormat="1" ht="20.100000000000001" hidden="1" customHeight="1" x14ac:dyDescent="0.25">
      <c r="A155" s="253" t="str">
        <f t="shared" si="18"/>
        <v/>
      </c>
      <c r="B155" s="584" t="str">
        <f>IF(LEN(A155)&gt;2,VLOOKUP(A155,COPY!$A$2:$O$1000,4,FALSE),"")</f>
        <v/>
      </c>
      <c r="C155" s="585" t="str">
        <f>IF(LEN(A155)&gt;2,VLOOKUP(A155,COPY!$A$2:$O$1000,15,FALSE),"")</f>
        <v/>
      </c>
      <c r="D155" s="542" t="str">
        <f>IF(LEN(A155)&gt;2,VLOOKUP(A155,COPY!$A$2:$O$1000,2,FALSE),"")</f>
        <v/>
      </c>
      <c r="E155" s="607" t="str">
        <f>IF(LEN(A155)&gt;2,VLOOKUP(A155,COPY!$A$2:$O$1000,10,FALSE),"")</f>
        <v/>
      </c>
      <c r="F155" s="542" t="str">
        <f>IF(LEN(A155)&gt;2,VLOOKUP(A155,COPY!$A$2:$O$1000,8,FALSE),"")</f>
        <v/>
      </c>
      <c r="G155" s="543" t="str">
        <f>IF(LEN(A155)&gt;2,VLOOKUP(A155,COPY!$A$2:$O$1000,7,FALSE),"")</f>
        <v/>
      </c>
      <c r="H155" s="544" t="str">
        <f t="shared" si="15"/>
        <v/>
      </c>
      <c r="I155" s="545" t="str">
        <f>IFERROR(IF(LEN(A155)&gt;2,VLOOKUP(A155,COPY!$A$2:$O$1000,13,FALSE),"")/E155,"")</f>
        <v/>
      </c>
      <c r="J155" s="546"/>
      <c r="K155" s="547" t="str">
        <f t="shared" si="16"/>
        <v/>
      </c>
      <c r="L155" s="548" t="str">
        <f t="shared" si="13"/>
        <v/>
      </c>
      <c r="M155" s="549">
        <f t="shared" si="17"/>
        <v>-35413040</v>
      </c>
      <c r="O155" s="538">
        <f t="shared" si="14"/>
        <v>-35413040</v>
      </c>
      <c r="P155" s="550"/>
      <c r="Q155" s="551"/>
    </row>
    <row r="156" spans="1:17" s="253" customFormat="1" ht="20.100000000000001" hidden="1" customHeight="1" x14ac:dyDescent="0.25">
      <c r="A156" s="253" t="str">
        <f t="shared" si="18"/>
        <v/>
      </c>
      <c r="B156" s="584" t="str">
        <f>IF(LEN(A156)&gt;2,VLOOKUP(A156,COPY!$A$2:$O$1000,4,FALSE),"")</f>
        <v/>
      </c>
      <c r="C156" s="585" t="str">
        <f>IF(LEN(A156)&gt;2,VLOOKUP(A156,COPY!$A$2:$O$1000,15,FALSE),"")</f>
        <v/>
      </c>
      <c r="D156" s="542" t="str">
        <f>IF(LEN(A156)&gt;2,VLOOKUP(A156,COPY!$A$2:$O$1000,2,FALSE),"")</f>
        <v/>
      </c>
      <c r="E156" s="607" t="str">
        <f>IF(LEN(A156)&gt;2,VLOOKUP(A156,COPY!$A$2:$O$1000,10,FALSE),"")</f>
        <v/>
      </c>
      <c r="F156" s="542" t="str">
        <f>IF(LEN(A156)&gt;2,VLOOKUP(A156,COPY!$A$2:$O$1000,8,FALSE),"")</f>
        <v/>
      </c>
      <c r="G156" s="543" t="str">
        <f>IF(LEN(A156)&gt;2,VLOOKUP(A156,COPY!$A$2:$O$1000,7,FALSE),"")</f>
        <v/>
      </c>
      <c r="H156" s="544" t="str">
        <f t="shared" si="15"/>
        <v/>
      </c>
      <c r="I156" s="545" t="str">
        <f>IFERROR(IF(LEN(A156)&gt;2,VLOOKUP(A156,COPY!$A$2:$O$1000,13,FALSE),"")/E156,"")</f>
        <v/>
      </c>
      <c r="J156" s="546"/>
      <c r="K156" s="547" t="str">
        <f t="shared" si="16"/>
        <v/>
      </c>
      <c r="L156" s="548" t="str">
        <f t="shared" si="13"/>
        <v/>
      </c>
      <c r="M156" s="549">
        <f t="shared" si="17"/>
        <v>-35413040</v>
      </c>
      <c r="O156" s="538">
        <f t="shared" si="14"/>
        <v>-35413040</v>
      </c>
      <c r="P156" s="550"/>
      <c r="Q156" s="551"/>
    </row>
    <row r="157" spans="1:17" s="253" customFormat="1" ht="20.100000000000001" hidden="1" customHeight="1" x14ac:dyDescent="0.25">
      <c r="A157" s="253" t="str">
        <f t="shared" si="18"/>
        <v/>
      </c>
      <c r="B157" s="584" t="str">
        <f>IF(LEN(A157)&gt;2,VLOOKUP(A157,COPY!$A$2:$O$1000,4,FALSE),"")</f>
        <v/>
      </c>
      <c r="C157" s="585" t="str">
        <f>IF(LEN(A157)&gt;2,VLOOKUP(A157,COPY!$A$2:$O$1000,15,FALSE),"")</f>
        <v/>
      </c>
      <c r="D157" s="542" t="str">
        <f>IF(LEN(A157)&gt;2,VLOOKUP(A157,COPY!$A$2:$O$1000,2,FALSE),"")</f>
        <v/>
      </c>
      <c r="E157" s="607" t="str">
        <f>IF(LEN(A157)&gt;2,VLOOKUP(A157,COPY!$A$2:$O$1000,10,FALSE),"")</f>
        <v/>
      </c>
      <c r="F157" s="542" t="str">
        <f>IF(LEN(A157)&gt;2,VLOOKUP(A157,COPY!$A$2:$O$1000,8,FALSE),"")</f>
        <v/>
      </c>
      <c r="G157" s="543" t="str">
        <f>IF(LEN(A157)&gt;2,VLOOKUP(A157,COPY!$A$2:$O$1000,7,FALSE),"")</f>
        <v/>
      </c>
      <c r="H157" s="544" t="str">
        <f t="shared" si="15"/>
        <v/>
      </c>
      <c r="I157" s="545" t="str">
        <f>IFERROR(IF(LEN(A157)&gt;2,VLOOKUP(A157,COPY!$A$2:$O$1000,13,FALSE),"")/E157,"")</f>
        <v/>
      </c>
      <c r="J157" s="546"/>
      <c r="K157" s="547" t="str">
        <f t="shared" si="16"/>
        <v/>
      </c>
      <c r="L157" s="548" t="str">
        <f t="shared" si="13"/>
        <v/>
      </c>
      <c r="M157" s="549">
        <f t="shared" si="17"/>
        <v>-35413040</v>
      </c>
      <c r="O157" s="538">
        <f t="shared" si="14"/>
        <v>-35413040</v>
      </c>
      <c r="P157" s="550"/>
      <c r="Q157" s="551"/>
    </row>
    <row r="158" spans="1:17" s="253" customFormat="1" ht="20.100000000000001" hidden="1" customHeight="1" x14ac:dyDescent="0.25">
      <c r="A158" s="253" t="str">
        <f t="shared" si="18"/>
        <v/>
      </c>
      <c r="B158" s="584" t="str">
        <f>IF(LEN(A158)&gt;2,VLOOKUP(A158,COPY!$A$2:$O$1000,4,FALSE),"")</f>
        <v/>
      </c>
      <c r="C158" s="585" t="str">
        <f>IF(LEN(A158)&gt;2,VLOOKUP(A158,COPY!$A$2:$O$1000,15,FALSE),"")</f>
        <v/>
      </c>
      <c r="D158" s="542" t="str">
        <f>IF(LEN(A158)&gt;2,VLOOKUP(A158,COPY!$A$2:$O$1000,2,FALSE),"")</f>
        <v/>
      </c>
      <c r="E158" s="607" t="str">
        <f>IF(LEN(A158)&gt;2,VLOOKUP(A158,COPY!$A$2:$O$1000,10,FALSE),"")</f>
        <v/>
      </c>
      <c r="F158" s="542" t="str">
        <f>IF(LEN(A158)&gt;2,VLOOKUP(A158,COPY!$A$2:$O$1000,8,FALSE),"")</f>
        <v/>
      </c>
      <c r="G158" s="543" t="str">
        <f>IF(LEN(A158)&gt;2,VLOOKUP(A158,COPY!$A$2:$O$1000,7,FALSE),"")</f>
        <v/>
      </c>
      <c r="H158" s="544" t="str">
        <f t="shared" si="15"/>
        <v/>
      </c>
      <c r="I158" s="545" t="str">
        <f>IFERROR(IF(LEN(A158)&gt;2,VLOOKUP(A158,COPY!$A$2:$O$1000,13,FALSE),"")/E158,"")</f>
        <v/>
      </c>
      <c r="J158" s="546"/>
      <c r="K158" s="547" t="str">
        <f t="shared" si="16"/>
        <v/>
      </c>
      <c r="L158" s="548" t="str">
        <f t="shared" si="13"/>
        <v/>
      </c>
      <c r="M158" s="549">
        <f t="shared" si="17"/>
        <v>-35413040</v>
      </c>
      <c r="O158" s="538">
        <f t="shared" si="14"/>
        <v>-35413040</v>
      </c>
      <c r="P158" s="550"/>
      <c r="Q158" s="551"/>
    </row>
    <row r="159" spans="1:17" s="253" customFormat="1" ht="20.100000000000001" hidden="1" customHeight="1" x14ac:dyDescent="0.25">
      <c r="A159" s="253" t="str">
        <f t="shared" si="18"/>
        <v/>
      </c>
      <c r="B159" s="584" t="str">
        <f>IF(LEN(A159)&gt;2,VLOOKUP(A159,COPY!$A$2:$O$1000,4,FALSE),"")</f>
        <v/>
      </c>
      <c r="C159" s="585" t="str">
        <f>IF(LEN(A159)&gt;2,VLOOKUP(A159,COPY!$A$2:$O$1000,15,FALSE),"")</f>
        <v/>
      </c>
      <c r="D159" s="542" t="str">
        <f>IF(LEN(A159)&gt;2,VLOOKUP(A159,COPY!$A$2:$O$1000,2,FALSE),"")</f>
        <v/>
      </c>
      <c r="E159" s="607" t="str">
        <f>IF(LEN(A159)&gt;2,VLOOKUP(A159,COPY!$A$2:$O$1000,10,FALSE),"")</f>
        <v/>
      </c>
      <c r="F159" s="542" t="str">
        <f>IF(LEN(A159)&gt;2,VLOOKUP(A159,COPY!$A$2:$O$1000,8,FALSE),"")</f>
        <v/>
      </c>
      <c r="G159" s="543" t="str">
        <f>IF(LEN(A159)&gt;2,VLOOKUP(A159,COPY!$A$2:$O$1000,7,FALSE),"")</f>
        <v/>
      </c>
      <c r="H159" s="544" t="str">
        <f t="shared" si="15"/>
        <v/>
      </c>
      <c r="I159" s="545" t="str">
        <f>IFERROR(IF(LEN(A159)&gt;2,VLOOKUP(A159,COPY!$A$2:$O$1000,13,FALSE),"")/E159,"")</f>
        <v/>
      </c>
      <c r="J159" s="546"/>
      <c r="K159" s="547" t="str">
        <f t="shared" si="16"/>
        <v/>
      </c>
      <c r="L159" s="548" t="str">
        <f t="shared" si="13"/>
        <v/>
      </c>
      <c r="M159" s="549">
        <f t="shared" si="17"/>
        <v>-35413040</v>
      </c>
      <c r="O159" s="538">
        <f t="shared" si="14"/>
        <v>-35413040</v>
      </c>
      <c r="P159" s="550"/>
      <c r="Q159" s="551"/>
    </row>
    <row r="160" spans="1:17" s="253" customFormat="1" ht="20.100000000000001" hidden="1" customHeight="1" x14ac:dyDescent="0.25">
      <c r="A160" s="253" t="str">
        <f t="shared" si="18"/>
        <v/>
      </c>
      <c r="B160" s="584" t="str">
        <f>IF(LEN(A160)&gt;2,VLOOKUP(A160,COPY!$A$2:$O$1000,4,FALSE),"")</f>
        <v/>
      </c>
      <c r="C160" s="585" t="str">
        <f>IF(LEN(A160)&gt;2,VLOOKUP(A160,COPY!$A$2:$O$1000,15,FALSE),"")</f>
        <v/>
      </c>
      <c r="D160" s="542" t="str">
        <f>IF(LEN(A160)&gt;2,VLOOKUP(A160,COPY!$A$2:$O$1000,2,FALSE),"")</f>
        <v/>
      </c>
      <c r="E160" s="607" t="str">
        <f>IF(LEN(A160)&gt;2,VLOOKUP(A160,COPY!$A$2:$O$1000,10,FALSE),"")</f>
        <v/>
      </c>
      <c r="F160" s="542" t="str">
        <f>IF(LEN(A160)&gt;2,VLOOKUP(A160,COPY!$A$2:$O$1000,8,FALSE),"")</f>
        <v/>
      </c>
      <c r="G160" s="543" t="str">
        <f>IF(LEN(A160)&gt;2,VLOOKUP(A160,COPY!$A$2:$O$1000,7,FALSE),"")</f>
        <v/>
      </c>
      <c r="H160" s="544" t="str">
        <f t="shared" si="15"/>
        <v/>
      </c>
      <c r="I160" s="545" t="str">
        <f>IFERROR(IF(LEN(A160)&gt;2,VLOOKUP(A160,COPY!$A$2:$O$1000,13,FALSE),"")/E160,"")</f>
        <v/>
      </c>
      <c r="J160" s="546"/>
      <c r="K160" s="547" t="str">
        <f t="shared" si="16"/>
        <v/>
      </c>
      <c r="L160" s="548" t="str">
        <f t="shared" si="13"/>
        <v/>
      </c>
      <c r="M160" s="549">
        <f t="shared" si="17"/>
        <v>-35413040</v>
      </c>
      <c r="O160" s="538">
        <f t="shared" si="14"/>
        <v>-35413040</v>
      </c>
      <c r="P160" s="550"/>
      <c r="Q160" s="551"/>
    </row>
    <row r="161" spans="1:17" s="253" customFormat="1" ht="20.100000000000001" hidden="1" customHeight="1" x14ac:dyDescent="0.25">
      <c r="A161" s="253" t="str">
        <f t="shared" si="18"/>
        <v/>
      </c>
      <c r="B161" s="584" t="str">
        <f>IF(LEN(A161)&gt;2,VLOOKUP(A161,COPY!$A$2:$O$1000,4,FALSE),"")</f>
        <v/>
      </c>
      <c r="C161" s="585" t="str">
        <f>IF(LEN(A161)&gt;2,VLOOKUP(A161,COPY!$A$2:$O$1000,15,FALSE),"")</f>
        <v/>
      </c>
      <c r="D161" s="542" t="str">
        <f>IF(LEN(A161)&gt;2,VLOOKUP(A161,COPY!$A$2:$O$1000,2,FALSE),"")</f>
        <v/>
      </c>
      <c r="E161" s="607" t="str">
        <f>IF(LEN(A161)&gt;2,VLOOKUP(A161,COPY!$A$2:$O$1000,10,FALSE),"")</f>
        <v/>
      </c>
      <c r="F161" s="542" t="str">
        <f>IF(LEN(A161)&gt;2,VLOOKUP(A161,COPY!$A$2:$O$1000,8,FALSE),"")</f>
        <v/>
      </c>
      <c r="G161" s="543" t="str">
        <f>IF(LEN(A161)&gt;2,VLOOKUP(A161,COPY!$A$2:$O$1000,7,FALSE),"")</f>
        <v/>
      </c>
      <c r="H161" s="544" t="str">
        <f t="shared" si="15"/>
        <v/>
      </c>
      <c r="I161" s="545" t="str">
        <f>IFERROR(IF(LEN(A161)&gt;2,VLOOKUP(A161,COPY!$A$2:$O$1000,13,FALSE),"")/E161,"")</f>
        <v/>
      </c>
      <c r="J161" s="546"/>
      <c r="K161" s="547" t="str">
        <f t="shared" si="16"/>
        <v/>
      </c>
      <c r="L161" s="548" t="str">
        <f t="shared" si="13"/>
        <v/>
      </c>
      <c r="M161" s="549">
        <f t="shared" si="17"/>
        <v>-35413040</v>
      </c>
      <c r="O161" s="538">
        <f t="shared" si="14"/>
        <v>-35413040</v>
      </c>
      <c r="P161" s="550"/>
      <c r="Q161" s="551"/>
    </row>
    <row r="162" spans="1:17" s="253" customFormat="1" ht="20.100000000000001" hidden="1" customHeight="1" x14ac:dyDescent="0.25">
      <c r="A162" s="253" t="str">
        <f t="shared" si="18"/>
        <v/>
      </c>
      <c r="B162" s="584" t="str">
        <f>IF(LEN(A162)&gt;2,VLOOKUP(A162,COPY!$A$2:$O$1000,4,FALSE),"")</f>
        <v/>
      </c>
      <c r="C162" s="585" t="str">
        <f>IF(LEN(A162)&gt;2,VLOOKUP(A162,COPY!$A$2:$O$1000,15,FALSE),"")</f>
        <v/>
      </c>
      <c r="D162" s="542" t="str">
        <f>IF(LEN(A162)&gt;2,VLOOKUP(A162,COPY!$A$2:$O$1000,2,FALSE),"")</f>
        <v/>
      </c>
      <c r="E162" s="607" t="str">
        <f>IF(LEN(A162)&gt;2,VLOOKUP(A162,COPY!$A$2:$O$1000,10,FALSE),"")</f>
        <v/>
      </c>
      <c r="F162" s="542" t="str">
        <f>IF(LEN(A162)&gt;2,VLOOKUP(A162,COPY!$A$2:$O$1000,8,FALSE),"")</f>
        <v/>
      </c>
      <c r="G162" s="543" t="str">
        <f>IF(LEN(A162)&gt;2,VLOOKUP(A162,COPY!$A$2:$O$1000,7,FALSE),"")</f>
        <v/>
      </c>
      <c r="H162" s="544" t="str">
        <f t="shared" si="15"/>
        <v/>
      </c>
      <c r="I162" s="545" t="str">
        <f>IFERROR(IF(LEN(A162)&gt;2,VLOOKUP(A162,COPY!$A$2:$O$1000,13,FALSE),"")/E162,"")</f>
        <v/>
      </c>
      <c r="J162" s="546"/>
      <c r="K162" s="547" t="str">
        <f t="shared" si="16"/>
        <v/>
      </c>
      <c r="L162" s="548" t="str">
        <f t="shared" si="13"/>
        <v/>
      </c>
      <c r="M162" s="549">
        <f t="shared" si="17"/>
        <v>-35413040</v>
      </c>
      <c r="O162" s="538">
        <f t="shared" si="14"/>
        <v>-35413040</v>
      </c>
      <c r="P162" s="550"/>
      <c r="Q162" s="551"/>
    </row>
    <row r="163" spans="1:17" s="253" customFormat="1" ht="20.100000000000001" hidden="1" customHeight="1" x14ac:dyDescent="0.25">
      <c r="A163" s="253" t="str">
        <f t="shared" si="18"/>
        <v/>
      </c>
      <c r="B163" s="584" t="str">
        <f>IF(LEN(A163)&gt;2,VLOOKUP(A163,COPY!$A$2:$O$1000,4,FALSE),"")</f>
        <v/>
      </c>
      <c r="C163" s="585" t="str">
        <f>IF(LEN(A163)&gt;2,VLOOKUP(A163,COPY!$A$2:$O$1000,15,FALSE),"")</f>
        <v/>
      </c>
      <c r="D163" s="542" t="str">
        <f>IF(LEN(A163)&gt;2,VLOOKUP(A163,COPY!$A$2:$O$1000,2,FALSE),"")</f>
        <v/>
      </c>
      <c r="E163" s="607" t="str">
        <f>IF(LEN(A163)&gt;2,VLOOKUP(A163,COPY!$A$2:$O$1000,10,FALSE),"")</f>
        <v/>
      </c>
      <c r="F163" s="542" t="str">
        <f>IF(LEN(A163)&gt;2,VLOOKUP(A163,COPY!$A$2:$O$1000,8,FALSE),"")</f>
        <v/>
      </c>
      <c r="G163" s="543" t="str">
        <f>IF(LEN(A163)&gt;2,VLOOKUP(A163,COPY!$A$2:$O$1000,7,FALSE),"")</f>
        <v/>
      </c>
      <c r="H163" s="544" t="str">
        <f t="shared" si="15"/>
        <v/>
      </c>
      <c r="I163" s="545" t="str">
        <f>IFERROR(IF(LEN(A163)&gt;2,VLOOKUP(A163,COPY!$A$2:$O$1000,13,FALSE),"")/E163,"")</f>
        <v/>
      </c>
      <c r="J163" s="546"/>
      <c r="K163" s="547" t="str">
        <f t="shared" si="16"/>
        <v/>
      </c>
      <c r="L163" s="548" t="str">
        <f t="shared" si="13"/>
        <v/>
      </c>
      <c r="M163" s="549">
        <f t="shared" si="17"/>
        <v>-35413040</v>
      </c>
      <c r="O163" s="538">
        <f t="shared" si="14"/>
        <v>-35413040</v>
      </c>
      <c r="P163" s="550"/>
      <c r="Q163" s="551"/>
    </row>
    <row r="164" spans="1:17" s="253" customFormat="1" ht="20.100000000000001" hidden="1" customHeight="1" x14ac:dyDescent="0.25">
      <c r="A164" s="253" t="str">
        <f t="shared" si="18"/>
        <v/>
      </c>
      <c r="B164" s="584" t="str">
        <f>IF(LEN(A164)&gt;2,VLOOKUP(A164,COPY!$A$2:$O$1000,4,FALSE),"")</f>
        <v/>
      </c>
      <c r="C164" s="585" t="str">
        <f>IF(LEN(A164)&gt;2,VLOOKUP(A164,COPY!$A$2:$O$1000,15,FALSE),"")</f>
        <v/>
      </c>
      <c r="D164" s="542" t="str">
        <f>IF(LEN(A164)&gt;2,VLOOKUP(A164,COPY!$A$2:$O$1000,2,FALSE),"")</f>
        <v/>
      </c>
      <c r="E164" s="607" t="str">
        <f>IF(LEN(A164)&gt;2,VLOOKUP(A164,COPY!$A$2:$O$1000,10,FALSE),"")</f>
        <v/>
      </c>
      <c r="F164" s="542" t="str">
        <f>IF(LEN(A164)&gt;2,VLOOKUP(A164,COPY!$A$2:$O$1000,8,FALSE),"")</f>
        <v/>
      </c>
      <c r="G164" s="543" t="str">
        <f>IF(LEN(A164)&gt;2,VLOOKUP(A164,COPY!$A$2:$O$1000,7,FALSE),"")</f>
        <v/>
      </c>
      <c r="H164" s="544" t="str">
        <f t="shared" si="15"/>
        <v/>
      </c>
      <c r="I164" s="545" t="str">
        <f>IFERROR(IF(LEN(A164)&gt;2,VLOOKUP(A164,COPY!$A$2:$O$1000,13,FALSE),"")/E164,"")</f>
        <v/>
      </c>
      <c r="J164" s="546"/>
      <c r="K164" s="547" t="str">
        <f t="shared" si="16"/>
        <v/>
      </c>
      <c r="L164" s="548" t="str">
        <f t="shared" si="13"/>
        <v/>
      </c>
      <c r="M164" s="549">
        <f t="shared" si="17"/>
        <v>-35413040</v>
      </c>
      <c r="O164" s="538">
        <f t="shared" si="14"/>
        <v>-35413040</v>
      </c>
      <c r="P164" s="550"/>
      <c r="Q164" s="551"/>
    </row>
    <row r="165" spans="1:17" s="253" customFormat="1" ht="20.100000000000001" hidden="1" customHeight="1" x14ac:dyDescent="0.25">
      <c r="A165" s="253" t="str">
        <f t="shared" si="18"/>
        <v/>
      </c>
      <c r="B165" s="584" t="str">
        <f>IF(LEN(A165)&gt;2,VLOOKUP(A165,COPY!$A$2:$O$1000,4,FALSE),"")</f>
        <v/>
      </c>
      <c r="C165" s="585" t="str">
        <f>IF(LEN(A165)&gt;2,VLOOKUP(A165,COPY!$A$2:$O$1000,15,FALSE),"")</f>
        <v/>
      </c>
      <c r="D165" s="542" t="str">
        <f>IF(LEN(A165)&gt;2,VLOOKUP(A165,COPY!$A$2:$O$1000,2,FALSE),"")</f>
        <v/>
      </c>
      <c r="E165" s="607" t="str">
        <f>IF(LEN(A165)&gt;2,VLOOKUP(A165,COPY!$A$2:$O$1000,10,FALSE),"")</f>
        <v/>
      </c>
      <c r="F165" s="542" t="str">
        <f>IF(LEN(A165)&gt;2,VLOOKUP(A165,COPY!$A$2:$O$1000,8,FALSE),"")</f>
        <v/>
      </c>
      <c r="G165" s="543" t="str">
        <f>IF(LEN(A165)&gt;2,VLOOKUP(A165,COPY!$A$2:$O$1000,7,FALSE),"")</f>
        <v/>
      </c>
      <c r="H165" s="544" t="str">
        <f t="shared" si="15"/>
        <v/>
      </c>
      <c r="I165" s="545" t="str">
        <f>IFERROR(IF(LEN(A165)&gt;2,VLOOKUP(A165,COPY!$A$2:$O$1000,13,FALSE),"")/E165,"")</f>
        <v/>
      </c>
      <c r="J165" s="546"/>
      <c r="K165" s="547" t="str">
        <f t="shared" si="16"/>
        <v/>
      </c>
      <c r="L165" s="548" t="str">
        <f t="shared" si="13"/>
        <v/>
      </c>
      <c r="M165" s="549">
        <f t="shared" si="17"/>
        <v>-35413040</v>
      </c>
      <c r="O165" s="538">
        <f t="shared" si="14"/>
        <v>-35413040</v>
      </c>
      <c r="P165" s="550"/>
      <c r="Q165" s="551"/>
    </row>
    <row r="166" spans="1:17" s="253" customFormat="1" ht="20.100000000000001" hidden="1" customHeight="1" x14ac:dyDescent="0.25">
      <c r="A166" s="253" t="str">
        <f t="shared" si="18"/>
        <v/>
      </c>
      <c r="B166" s="584" t="str">
        <f>IF(LEN(A166)&gt;2,VLOOKUP(A166,COPY!$A$2:$O$1000,4,FALSE),"")</f>
        <v/>
      </c>
      <c r="C166" s="585" t="str">
        <f>IF(LEN(A166)&gt;2,VLOOKUP(A166,COPY!$A$2:$O$1000,15,FALSE),"")</f>
        <v/>
      </c>
      <c r="D166" s="542" t="str">
        <f>IF(LEN(A166)&gt;2,VLOOKUP(A166,COPY!$A$2:$O$1000,2,FALSE),"")</f>
        <v/>
      </c>
      <c r="E166" s="607" t="str">
        <f>IF(LEN(A166)&gt;2,VLOOKUP(A166,COPY!$A$2:$O$1000,10,FALSE),"")</f>
        <v/>
      </c>
      <c r="F166" s="542" t="str">
        <f>IF(LEN(A166)&gt;2,VLOOKUP(A166,COPY!$A$2:$O$1000,8,FALSE),"")</f>
        <v/>
      </c>
      <c r="G166" s="543" t="str">
        <f>IF(LEN(A166)&gt;2,VLOOKUP(A166,COPY!$A$2:$O$1000,7,FALSE),"")</f>
        <v/>
      </c>
      <c r="H166" s="544" t="str">
        <f t="shared" si="15"/>
        <v/>
      </c>
      <c r="I166" s="545" t="str">
        <f>IFERROR(IF(LEN(A166)&gt;2,VLOOKUP(A166,COPY!$A$2:$O$1000,13,FALSE),"")/E166,"")</f>
        <v/>
      </c>
      <c r="J166" s="546"/>
      <c r="K166" s="547" t="str">
        <f t="shared" si="16"/>
        <v/>
      </c>
      <c r="L166" s="548" t="str">
        <f t="shared" si="13"/>
        <v/>
      </c>
      <c r="M166" s="549">
        <f t="shared" si="17"/>
        <v>-35413040</v>
      </c>
      <c r="O166" s="538">
        <f t="shared" si="14"/>
        <v>-35413040</v>
      </c>
      <c r="P166" s="550"/>
      <c r="Q166" s="551"/>
    </row>
    <row r="167" spans="1:17" s="253" customFormat="1" ht="20.100000000000001" hidden="1" customHeight="1" x14ac:dyDescent="0.25">
      <c r="A167" s="253" t="str">
        <f t="shared" si="18"/>
        <v/>
      </c>
      <c r="B167" s="584" t="str">
        <f>IF(LEN(A167)&gt;2,VLOOKUP(A167,COPY!$A$2:$O$1000,4,FALSE),"")</f>
        <v/>
      </c>
      <c r="C167" s="585" t="str">
        <f>IF(LEN(A167)&gt;2,VLOOKUP(A167,COPY!$A$2:$O$1000,15,FALSE),"")</f>
        <v/>
      </c>
      <c r="D167" s="542" t="str">
        <f>IF(LEN(A167)&gt;2,VLOOKUP(A167,COPY!$A$2:$O$1000,2,FALSE),"")</f>
        <v/>
      </c>
      <c r="E167" s="607" t="str">
        <f>IF(LEN(A167)&gt;2,VLOOKUP(A167,COPY!$A$2:$O$1000,10,FALSE),"")</f>
        <v/>
      </c>
      <c r="F167" s="542" t="str">
        <f>IF(LEN(A167)&gt;2,VLOOKUP(A167,COPY!$A$2:$O$1000,8,FALSE),"")</f>
        <v/>
      </c>
      <c r="G167" s="543" t="str">
        <f>IF(LEN(A167)&gt;2,VLOOKUP(A167,COPY!$A$2:$O$1000,7,FALSE),"")</f>
        <v/>
      </c>
      <c r="H167" s="544" t="str">
        <f t="shared" si="15"/>
        <v/>
      </c>
      <c r="I167" s="545" t="str">
        <f>IFERROR(IF(LEN(A167)&gt;2,VLOOKUP(A167,COPY!$A$2:$O$1000,13,FALSE),"")/E167,"")</f>
        <v/>
      </c>
      <c r="J167" s="546"/>
      <c r="K167" s="547" t="str">
        <f t="shared" si="16"/>
        <v/>
      </c>
      <c r="L167" s="548" t="str">
        <f t="shared" si="13"/>
        <v/>
      </c>
      <c r="M167" s="549">
        <f t="shared" si="17"/>
        <v>-35413040</v>
      </c>
      <c r="O167" s="538">
        <f t="shared" si="14"/>
        <v>-35413040</v>
      </c>
      <c r="P167" s="550"/>
      <c r="Q167" s="551"/>
    </row>
    <row r="168" spans="1:17" s="253" customFormat="1" ht="20.100000000000001" hidden="1" customHeight="1" x14ac:dyDescent="0.25">
      <c r="A168" s="253" t="str">
        <f t="shared" si="18"/>
        <v/>
      </c>
      <c r="B168" s="541"/>
      <c r="C168" s="585"/>
      <c r="D168" s="542"/>
      <c r="E168" s="542"/>
      <c r="F168" s="542"/>
      <c r="G168" s="543"/>
      <c r="H168" s="544"/>
      <c r="I168" s="545"/>
      <c r="J168" s="546"/>
      <c r="K168" s="547"/>
      <c r="L168" s="548"/>
      <c r="M168" s="549"/>
      <c r="O168" s="538">
        <f t="shared" si="14"/>
        <v>-35413040</v>
      </c>
      <c r="P168" s="550"/>
      <c r="Q168" s="551"/>
    </row>
    <row r="169" spans="1:17" s="253" customFormat="1" ht="20.100000000000001" customHeight="1" x14ac:dyDescent="0.25">
      <c r="A169" s="253" t="str">
        <f t="shared" si="18"/>
        <v/>
      </c>
      <c r="B169" s="552"/>
      <c r="C169" s="586"/>
      <c r="D169" s="553"/>
      <c r="E169" s="553"/>
      <c r="F169" s="554"/>
      <c r="G169" s="450" t="s">
        <v>310</v>
      </c>
      <c r="H169" s="457"/>
      <c r="I169" s="545"/>
      <c r="J169" s="555"/>
      <c r="K169" s="556"/>
      <c r="L169" s="548"/>
      <c r="M169" s="549"/>
      <c r="O169" s="538">
        <f t="shared" si="14"/>
        <v>-35413040</v>
      </c>
      <c r="P169" s="550"/>
      <c r="Q169" s="551"/>
    </row>
    <row r="170" spans="1:17" s="253" customFormat="1" ht="20.100000000000001" hidden="1" customHeight="1" x14ac:dyDescent="0.25">
      <c r="A170" s="253" t="str">
        <f>A15</f>
        <v>2.1</v>
      </c>
      <c r="B170" s="609" t="str">
        <f>IF(LEFT(F170,1)="B",VLOOKUP(A170,COPY!$A$2:$AC$1000,4,FALSE),"")</f>
        <v/>
      </c>
      <c r="C170" s="586"/>
      <c r="D170" s="553"/>
      <c r="E170" s="553"/>
      <c r="F170" s="557" t="str">
        <f>IF(LEN(A170)&gt;2,LEFT(VLOOKUP(A170,COPY!$A$2:$AC$1000,29,FALSE),6),"")</f>
        <v>0</v>
      </c>
      <c r="G170" s="558">
        <f>_xlfn.IFNA(IF(TEXT(F170,0)="Terima","",VLOOKUP(A170,COPY!$A$2:$AC$1000,29,FALSE)),"")</f>
        <v>0</v>
      </c>
      <c r="H170" s="425"/>
      <c r="I170" s="559"/>
      <c r="J170" s="555"/>
      <c r="K170" s="608">
        <f>_xlfn.IFNA(IF(TEXT(F170,0)="Terima",0,VLOOKUP(A170,COPY!$A$2:$AC$1000,26,FALSE)),0)</f>
        <v>0</v>
      </c>
      <c r="L170" s="548">
        <f t="shared" ref="L170:L233" si="19">IF(K170&gt;0,IF(O170&gt;=0,O170,IF(O170&lt;0,0,0)),0)</f>
        <v>0</v>
      </c>
      <c r="M170" s="549">
        <f t="shared" ref="M170:M233" si="20">IF(O170&lt;0,O170,IF(O170&gt;=0,0,0))</f>
        <v>-35413040</v>
      </c>
      <c r="O170" s="538">
        <f t="shared" ref="O170:O233" si="21">IF(J170&gt;0,O169+J170,IF(K170&gt;0,O169-K170,O169))</f>
        <v>-35413040</v>
      </c>
      <c r="P170" s="550"/>
      <c r="Q170" s="551"/>
    </row>
    <row r="171" spans="1:17" s="253" customFormat="1" ht="20.100000000000001" hidden="1" customHeight="1" x14ac:dyDescent="0.25">
      <c r="A171" s="253" t="str">
        <f t="shared" ref="A171:A234" si="22">A16</f>
        <v>2.2</v>
      </c>
      <c r="B171" s="609" t="str">
        <f>IF(LEFT(F171,1)="B",VLOOKUP(A171,COPY!$A$2:$AC$1000,4,FALSE),"")</f>
        <v/>
      </c>
      <c r="C171" s="586"/>
      <c r="D171" s="553"/>
      <c r="E171" s="553"/>
      <c r="F171" s="557" t="str">
        <f>IF(LEN(A171)&gt;2,LEFT(VLOOKUP(A171,COPY!$A$2:$AC$1000,29,FALSE),6),"")</f>
        <v>0</v>
      </c>
      <c r="G171" s="558">
        <f>_xlfn.IFNA(IF(TEXT(F171,0)="Terima","",VLOOKUP(A171,COPY!$A$2:$AC$1000,29,FALSE)),"")</f>
        <v>0</v>
      </c>
      <c r="H171" s="425"/>
      <c r="I171" s="559"/>
      <c r="J171" s="555"/>
      <c r="K171" s="608">
        <f>_xlfn.IFNA(IF(TEXT(F171,0)="Terima",0,VLOOKUP(A171,COPY!$A$2:$AC$1000,26,FALSE)),0)</f>
        <v>0</v>
      </c>
      <c r="L171" s="548">
        <f t="shared" si="19"/>
        <v>0</v>
      </c>
      <c r="M171" s="549">
        <f t="shared" si="20"/>
        <v>-35413040</v>
      </c>
      <c r="O171" s="538">
        <f t="shared" si="21"/>
        <v>-35413040</v>
      </c>
      <c r="P171" s="550"/>
      <c r="Q171" s="551"/>
    </row>
    <row r="172" spans="1:17" s="253" customFormat="1" ht="20.100000000000001" hidden="1" customHeight="1" x14ac:dyDescent="0.25">
      <c r="A172" s="253" t="str">
        <f t="shared" si="22"/>
        <v>2.3</v>
      </c>
      <c r="B172" s="609" t="str">
        <f>IF(LEFT(F172,1)="B",VLOOKUP(A172,COPY!$A$2:$AC$1000,4,FALSE),"")</f>
        <v/>
      </c>
      <c r="C172" s="586"/>
      <c r="D172" s="553"/>
      <c r="E172" s="553"/>
      <c r="F172" s="557" t="str">
        <f>IF(LEN(A172)&gt;2,LEFT(VLOOKUP(A172,COPY!$A$2:$AC$1000,29,FALSE),6),"")</f>
        <v>0</v>
      </c>
      <c r="G172" s="558">
        <f>_xlfn.IFNA(IF(TEXT(F172,0)="Terima","",VLOOKUP(A172,COPY!$A$2:$AC$1000,29,FALSE)),"")</f>
        <v>0</v>
      </c>
      <c r="H172" s="425"/>
      <c r="I172" s="559"/>
      <c r="J172" s="555"/>
      <c r="K172" s="608">
        <f>_xlfn.IFNA(IF(TEXT(F172,0)="Terima",0,VLOOKUP(A172,COPY!$A$2:$AC$1000,26,FALSE)),0)</f>
        <v>0</v>
      </c>
      <c r="L172" s="548">
        <f t="shared" si="19"/>
        <v>0</v>
      </c>
      <c r="M172" s="549">
        <f t="shared" si="20"/>
        <v>-35413040</v>
      </c>
      <c r="O172" s="538">
        <f t="shared" si="21"/>
        <v>-35413040</v>
      </c>
      <c r="P172" s="550"/>
      <c r="Q172" s="551"/>
    </row>
    <row r="173" spans="1:17" s="253" customFormat="1" ht="20.100000000000001" hidden="1" customHeight="1" x14ac:dyDescent="0.25">
      <c r="A173" s="253" t="str">
        <f t="shared" si="22"/>
        <v>2.4</v>
      </c>
      <c r="B173" s="609" t="str">
        <f>IF(LEFT(F173,1)="B",VLOOKUP(A173,COPY!$A$2:$AC$1000,4,FALSE),"")</f>
        <v/>
      </c>
      <c r="C173" s="586"/>
      <c r="D173" s="553"/>
      <c r="E173" s="553"/>
      <c r="F173" s="557" t="str">
        <f>IF(LEN(A173)&gt;2,LEFT(VLOOKUP(A173,COPY!$A$2:$AC$1000,29,FALSE),6),"")</f>
        <v>0</v>
      </c>
      <c r="G173" s="558">
        <f>_xlfn.IFNA(IF(TEXT(F173,0)="Terima","",VLOOKUP(A173,COPY!$A$2:$AC$1000,29,FALSE)),"")</f>
        <v>0</v>
      </c>
      <c r="H173" s="425"/>
      <c r="I173" s="559"/>
      <c r="J173" s="555"/>
      <c r="K173" s="608">
        <f>_xlfn.IFNA(IF(TEXT(F173,0)="Terima",0,VLOOKUP(A173,COPY!$A$2:$AC$1000,26,FALSE)),0)</f>
        <v>0</v>
      </c>
      <c r="L173" s="548">
        <f t="shared" si="19"/>
        <v>0</v>
      </c>
      <c r="M173" s="549">
        <f t="shared" si="20"/>
        <v>-35413040</v>
      </c>
      <c r="O173" s="538">
        <f t="shared" si="21"/>
        <v>-35413040</v>
      </c>
      <c r="P173" s="550"/>
      <c r="Q173" s="551"/>
    </row>
    <row r="174" spans="1:17" s="253" customFormat="1" ht="20.100000000000001" hidden="1" customHeight="1" x14ac:dyDescent="0.25">
      <c r="A174" s="253" t="str">
        <f t="shared" si="22"/>
        <v>2.5</v>
      </c>
      <c r="B174" s="609" t="str">
        <f>IF(LEFT(F174,1)="B",VLOOKUP(A174,COPY!$A$2:$AC$1000,4,FALSE),"")</f>
        <v/>
      </c>
      <c r="C174" s="586"/>
      <c r="D174" s="553"/>
      <c r="E174" s="553"/>
      <c r="F174" s="557" t="str">
        <f>IF(LEN(A174)&gt;2,LEFT(VLOOKUP(A174,COPY!$A$2:$AC$1000,29,FALSE),6),"")</f>
        <v>0</v>
      </c>
      <c r="G174" s="558">
        <f>_xlfn.IFNA(IF(TEXT(F174,0)="Terima","",VLOOKUP(A174,COPY!$A$2:$AC$1000,29,FALSE)),"")</f>
        <v>0</v>
      </c>
      <c r="H174" s="425"/>
      <c r="I174" s="559"/>
      <c r="J174" s="555"/>
      <c r="K174" s="608">
        <f>_xlfn.IFNA(IF(TEXT(F174,0)="Terima",0,VLOOKUP(A174,COPY!$A$2:$AC$1000,26,FALSE)),0)</f>
        <v>0</v>
      </c>
      <c r="L174" s="548">
        <f t="shared" si="19"/>
        <v>0</v>
      </c>
      <c r="M174" s="549">
        <f t="shared" si="20"/>
        <v>-35413040</v>
      </c>
      <c r="O174" s="538">
        <f t="shared" si="21"/>
        <v>-35413040</v>
      </c>
      <c r="P174" s="550"/>
      <c r="Q174" s="551"/>
    </row>
    <row r="175" spans="1:17" s="253" customFormat="1" ht="20.100000000000001" hidden="1" customHeight="1" x14ac:dyDescent="0.25">
      <c r="A175" s="253" t="str">
        <f t="shared" si="22"/>
        <v>2.6</v>
      </c>
      <c r="B175" s="609" t="str">
        <f>IF(LEFT(F175,1)="B",VLOOKUP(A175,COPY!$A$2:$AC$1000,4,FALSE),"")</f>
        <v/>
      </c>
      <c r="C175" s="586"/>
      <c r="D175" s="553"/>
      <c r="E175" s="553"/>
      <c r="F175" s="557" t="str">
        <f>IF(LEN(A175)&gt;2,LEFT(VLOOKUP(A175,COPY!$A$2:$AC$1000,29,FALSE),6),"")</f>
        <v>0</v>
      </c>
      <c r="G175" s="558">
        <f>_xlfn.IFNA(IF(TEXT(F175,0)="Terima","",VLOOKUP(A175,COPY!$A$2:$AC$1000,29,FALSE)),"")</f>
        <v>0</v>
      </c>
      <c r="H175" s="425"/>
      <c r="I175" s="559"/>
      <c r="J175" s="555"/>
      <c r="K175" s="608">
        <f>_xlfn.IFNA(IF(TEXT(F175,0)="Terima",0,VLOOKUP(A175,COPY!$A$2:$AC$1000,26,FALSE)),0)</f>
        <v>0</v>
      </c>
      <c r="L175" s="548">
        <f t="shared" si="19"/>
        <v>0</v>
      </c>
      <c r="M175" s="549">
        <f t="shared" si="20"/>
        <v>-35413040</v>
      </c>
      <c r="O175" s="538">
        <f t="shared" si="21"/>
        <v>-35413040</v>
      </c>
      <c r="P175" s="550"/>
      <c r="Q175" s="551"/>
    </row>
    <row r="176" spans="1:17" s="253" customFormat="1" ht="20.100000000000001" customHeight="1" x14ac:dyDescent="0.25">
      <c r="A176" s="253" t="str">
        <f t="shared" si="22"/>
        <v>2.7</v>
      </c>
      <c r="B176" s="609">
        <f>IF(LEFT(F176,1)="B",VLOOKUP(A176,COPY!$A$2:$AC$1000,4,FALSE),"")</f>
        <v>45936</v>
      </c>
      <c r="C176" s="586"/>
      <c r="D176" s="553"/>
      <c r="E176" s="553"/>
      <c r="F176" s="557" t="str">
        <f>IF(LEN(A176)&gt;2,LEFT(VLOOKUP(A176,COPY!$A$2:$AC$1000,29,FALSE),6),"")</f>
        <v xml:space="preserve">Bayar </v>
      </c>
      <c r="G176" s="558" t="str">
        <f>_xlfn.IFNA(IF(TEXT(F176,0)="Terima","",VLOOKUP(A176,COPY!$A$2:$AC$1000,29,FALSE)),"")</f>
        <v>Bayar Pajak PPN (11 %) BKK.35</v>
      </c>
      <c r="H176" s="425"/>
      <c r="I176" s="559"/>
      <c r="J176" s="555"/>
      <c r="K176" s="608">
        <f>_xlfn.IFNA(IF(TEXT(F176,0)="Terima",0,VLOOKUP(A176,COPY!$A$2:$AC$1000,26,FALSE)),0)</f>
        <v>292930</v>
      </c>
      <c r="L176" s="548">
        <f t="shared" si="19"/>
        <v>0</v>
      </c>
      <c r="M176" s="549">
        <f t="shared" si="20"/>
        <v>-35705970</v>
      </c>
      <c r="O176" s="538">
        <f t="shared" si="21"/>
        <v>-35705970</v>
      </c>
      <c r="P176" s="550"/>
      <c r="Q176" s="550"/>
    </row>
    <row r="177" spans="1:17" s="253" customFormat="1" ht="20.100000000000001" customHeight="1" x14ac:dyDescent="0.25">
      <c r="A177" s="253" t="str">
        <f t="shared" si="22"/>
        <v>2.8</v>
      </c>
      <c r="B177" s="609" t="str">
        <f>IF(LEFT(F177,1)="B",VLOOKUP(A177,COPY!$A$2:$AC$1000,4,FALSE),"")</f>
        <v/>
      </c>
      <c r="C177" s="586"/>
      <c r="D177" s="553"/>
      <c r="E177" s="553"/>
      <c r="F177" s="557" t="str">
        <f>IF(LEN(A177)&gt;2,LEFT(VLOOKUP(A177,COPY!$A$2:$AC$1000,29,FALSE),6),"")</f>
        <v xml:space="preserve">Bayar </v>
      </c>
      <c r="G177" s="558" t="str">
        <f>_xlfn.IFNA(IF(TEXT(F177,0)="Terima","",VLOOKUP(A177,COPY!$A$2:$AC$1000,29,FALSE)),"")</f>
        <v>Bayar Pajak PPH (1,5 %) BKK.35</v>
      </c>
      <c r="H177" s="425"/>
      <c r="I177" s="559"/>
      <c r="J177" s="555"/>
      <c r="K177" s="608">
        <f>_xlfn.IFNA(IF(TEXT(F177,0)="Terima",0,VLOOKUP(A177,COPY!$A$2:$AC$1000,26,FALSE)),0)</f>
        <v>39945</v>
      </c>
      <c r="L177" s="548">
        <f t="shared" si="19"/>
        <v>0</v>
      </c>
      <c r="M177" s="549">
        <f t="shared" si="20"/>
        <v>-35745915</v>
      </c>
      <c r="O177" s="538">
        <f t="shared" si="21"/>
        <v>-35745915</v>
      </c>
      <c r="P177" s="550"/>
      <c r="Q177" s="551"/>
    </row>
    <row r="178" spans="1:17" s="253" customFormat="1" ht="20.100000000000001" hidden="1" customHeight="1" x14ac:dyDescent="0.25">
      <c r="A178" s="253" t="str">
        <f t="shared" si="22"/>
        <v>2.9</v>
      </c>
      <c r="B178" s="609" t="str">
        <f>IF(LEFT(F178,1)="B",VLOOKUP(A178,COPY!$A$2:$AC$1000,4,FALSE),"")</f>
        <v/>
      </c>
      <c r="C178" s="586"/>
      <c r="D178" s="553"/>
      <c r="E178" s="553"/>
      <c r="F178" s="557" t="str">
        <f>IF(LEN(A178)&gt;2,LEFT(VLOOKUP(A178,COPY!$A$2:$AC$1000,29,FALSE),6),"")</f>
        <v>0</v>
      </c>
      <c r="G178" s="558">
        <f>_xlfn.IFNA(IF(TEXT(F178,0)="Terima","",VLOOKUP(A178,COPY!$A$2:$AC$1000,29,FALSE)),"")</f>
        <v>0</v>
      </c>
      <c r="H178" s="425"/>
      <c r="I178" s="559"/>
      <c r="J178" s="555"/>
      <c r="K178" s="608">
        <f>_xlfn.IFNA(IF(TEXT(F178,0)="Terima",0,VLOOKUP(A178,COPY!$A$2:$AC$1000,26,FALSE)),0)</f>
        <v>0</v>
      </c>
      <c r="L178" s="548">
        <f t="shared" si="19"/>
        <v>0</v>
      </c>
      <c r="M178" s="549">
        <f t="shared" si="20"/>
        <v>-35745915</v>
      </c>
      <c r="O178" s="538">
        <f t="shared" si="21"/>
        <v>-35745915</v>
      </c>
      <c r="P178" s="550"/>
      <c r="Q178" s="551"/>
    </row>
    <row r="179" spans="1:17" s="253" customFormat="1" ht="20.100000000000001" hidden="1" customHeight="1" x14ac:dyDescent="0.25">
      <c r="A179" s="253" t="str">
        <f t="shared" si="22"/>
        <v>2.10</v>
      </c>
      <c r="B179" s="609" t="str">
        <f>IF(LEFT(F179,1)="B",VLOOKUP(A179,COPY!$A$2:$AC$1000,4,FALSE),"")</f>
        <v/>
      </c>
      <c r="C179" s="586"/>
      <c r="D179" s="553"/>
      <c r="E179" s="553"/>
      <c r="F179" s="557" t="str">
        <f>IF(LEN(A179)&gt;2,LEFT(VLOOKUP(A179,COPY!$A$2:$AC$1000,29,FALSE),6),"")</f>
        <v>0</v>
      </c>
      <c r="G179" s="558">
        <f>_xlfn.IFNA(IF(TEXT(F179,0)="Terima","",VLOOKUP(A179,COPY!$A$2:$AC$1000,29,FALSE)),"")</f>
        <v>0</v>
      </c>
      <c r="H179" s="425"/>
      <c r="I179" s="559"/>
      <c r="J179" s="555"/>
      <c r="K179" s="608">
        <f>_xlfn.IFNA(IF(TEXT(F179,0)="Terima",0,VLOOKUP(A179,COPY!$A$2:$AC$1000,26,FALSE)),0)</f>
        <v>0</v>
      </c>
      <c r="L179" s="548">
        <f t="shared" si="19"/>
        <v>0</v>
      </c>
      <c r="M179" s="549">
        <f t="shared" si="20"/>
        <v>-35745915</v>
      </c>
      <c r="O179" s="538">
        <f t="shared" si="21"/>
        <v>-35745915</v>
      </c>
      <c r="P179" s="550"/>
      <c r="Q179" s="551"/>
    </row>
    <row r="180" spans="1:17" s="253" customFormat="1" ht="20.100000000000001" hidden="1" customHeight="1" x14ac:dyDescent="0.25">
      <c r="A180" s="253" t="str">
        <f t="shared" si="22"/>
        <v>2.11</v>
      </c>
      <c r="B180" s="609" t="str">
        <f>IF(LEFT(F180,1)="B",VLOOKUP(A180,COPY!$A$2:$AC$1000,4,FALSE),"")</f>
        <v/>
      </c>
      <c r="C180" s="586"/>
      <c r="D180" s="553"/>
      <c r="E180" s="553"/>
      <c r="F180" s="557" t="str">
        <f>IF(LEN(A180)&gt;2,LEFT(VLOOKUP(A180,COPY!$A$2:$AC$1000,29,FALSE),6),"")</f>
        <v>0</v>
      </c>
      <c r="G180" s="558">
        <f>_xlfn.IFNA(IF(TEXT(F180,0)="Terima","",VLOOKUP(A180,COPY!$A$2:$AC$1000,29,FALSE)),"")</f>
        <v>0</v>
      </c>
      <c r="H180" s="425"/>
      <c r="I180" s="559"/>
      <c r="J180" s="555"/>
      <c r="K180" s="608">
        <f>_xlfn.IFNA(IF(TEXT(F180,0)="Terima",0,VLOOKUP(A180,COPY!$A$2:$AC$1000,26,FALSE)),0)</f>
        <v>0</v>
      </c>
      <c r="L180" s="548">
        <f t="shared" si="19"/>
        <v>0</v>
      </c>
      <c r="M180" s="549">
        <f t="shared" si="20"/>
        <v>-35745915</v>
      </c>
      <c r="O180" s="538">
        <f t="shared" si="21"/>
        <v>-35745915</v>
      </c>
      <c r="P180" s="550"/>
      <c r="Q180" s="551"/>
    </row>
    <row r="181" spans="1:17" s="253" customFormat="1" ht="20.100000000000001" hidden="1" customHeight="1" x14ac:dyDescent="0.25">
      <c r="A181" s="253" t="str">
        <f t="shared" si="22"/>
        <v>2.12</v>
      </c>
      <c r="B181" s="609" t="str">
        <f>IF(LEFT(F181,1)="B",VLOOKUP(A181,COPY!$A$2:$AC$1000,4,FALSE),"")</f>
        <v/>
      </c>
      <c r="C181" s="586"/>
      <c r="D181" s="553"/>
      <c r="E181" s="553"/>
      <c r="F181" s="557" t="str">
        <f>IF(LEN(A181)&gt;2,LEFT(VLOOKUP(A181,COPY!$A$2:$AC$1000,29,FALSE),6),"")</f>
        <v>0</v>
      </c>
      <c r="G181" s="558">
        <f>_xlfn.IFNA(IF(TEXT(F181,0)="Terima","",VLOOKUP(A181,COPY!$A$2:$AC$1000,29,FALSE)),"")</f>
        <v>0</v>
      </c>
      <c r="H181" s="425"/>
      <c r="I181" s="559"/>
      <c r="J181" s="555"/>
      <c r="K181" s="608">
        <f>_xlfn.IFNA(IF(TEXT(F181,0)="Terima",0,VLOOKUP(A181,COPY!$A$2:$AC$1000,26,FALSE)),0)</f>
        <v>0</v>
      </c>
      <c r="L181" s="548">
        <f t="shared" si="19"/>
        <v>0</v>
      </c>
      <c r="M181" s="549">
        <f t="shared" si="20"/>
        <v>-35745915</v>
      </c>
      <c r="O181" s="538">
        <f t="shared" si="21"/>
        <v>-35745915</v>
      </c>
      <c r="P181" s="550"/>
      <c r="Q181" s="551"/>
    </row>
    <row r="182" spans="1:17" s="253" customFormat="1" ht="20.100000000000001" hidden="1" customHeight="1" x14ac:dyDescent="0.25">
      <c r="A182" s="253" t="str">
        <f t="shared" si="22"/>
        <v>2.13</v>
      </c>
      <c r="B182" s="609" t="str">
        <f>IF(LEFT(F182,1)="B",VLOOKUP(A182,COPY!$A$2:$AC$1000,4,FALSE),"")</f>
        <v/>
      </c>
      <c r="C182" s="586"/>
      <c r="D182" s="553"/>
      <c r="E182" s="553"/>
      <c r="F182" s="557" t="str">
        <f>IF(LEN(A182)&gt;2,LEFT(VLOOKUP(A182,COPY!$A$2:$AC$1000,29,FALSE),6),"")</f>
        <v>0</v>
      </c>
      <c r="G182" s="558">
        <f>_xlfn.IFNA(IF(TEXT(F182,0)="Terima","",VLOOKUP(A182,COPY!$A$2:$AC$1000,29,FALSE)),"")</f>
        <v>0</v>
      </c>
      <c r="H182" s="425"/>
      <c r="I182" s="559"/>
      <c r="J182" s="555"/>
      <c r="K182" s="608">
        <f>_xlfn.IFNA(IF(TEXT(F182,0)="Terima",0,VLOOKUP(A182,COPY!$A$2:$AC$1000,26,FALSE)),0)</f>
        <v>0</v>
      </c>
      <c r="L182" s="548">
        <f t="shared" si="19"/>
        <v>0</v>
      </c>
      <c r="M182" s="549">
        <f t="shared" si="20"/>
        <v>-35745915</v>
      </c>
      <c r="O182" s="538">
        <f t="shared" si="21"/>
        <v>-35745915</v>
      </c>
      <c r="P182" s="550"/>
      <c r="Q182" s="551"/>
    </row>
    <row r="183" spans="1:17" s="253" customFormat="1" ht="20.100000000000001" hidden="1" customHeight="1" x14ac:dyDescent="0.25">
      <c r="A183" s="253" t="str">
        <f t="shared" si="22"/>
        <v>2.14</v>
      </c>
      <c r="B183" s="609" t="str">
        <f>IF(LEFT(F183,1)="B",VLOOKUP(A183,COPY!$A$2:$AC$1000,4,FALSE),"")</f>
        <v/>
      </c>
      <c r="C183" s="586"/>
      <c r="D183" s="553"/>
      <c r="E183" s="553"/>
      <c r="F183" s="557" t="str">
        <f>IF(LEN(A183)&gt;2,LEFT(VLOOKUP(A183,COPY!$A$2:$AC$1000,29,FALSE),6),"")</f>
        <v>0</v>
      </c>
      <c r="G183" s="558">
        <f>_xlfn.IFNA(IF(TEXT(F183,0)="Terima","",VLOOKUP(A183,COPY!$A$2:$AC$1000,29,FALSE)),"")</f>
        <v>0</v>
      </c>
      <c r="H183" s="425"/>
      <c r="I183" s="559"/>
      <c r="J183" s="555"/>
      <c r="K183" s="608">
        <f>_xlfn.IFNA(IF(TEXT(F183,0)="Terima",0,VLOOKUP(A183,COPY!$A$2:$AC$1000,26,FALSE)),0)</f>
        <v>0</v>
      </c>
      <c r="L183" s="548">
        <f t="shared" si="19"/>
        <v>0</v>
      </c>
      <c r="M183" s="549">
        <f t="shared" si="20"/>
        <v>-35745915</v>
      </c>
      <c r="O183" s="538">
        <f t="shared" si="21"/>
        <v>-35745915</v>
      </c>
      <c r="P183" s="550"/>
      <c r="Q183" s="551"/>
    </row>
    <row r="184" spans="1:17" s="253" customFormat="1" ht="20.100000000000001" hidden="1" customHeight="1" x14ac:dyDescent="0.25">
      <c r="A184" s="253" t="str">
        <f t="shared" si="22"/>
        <v>2.15</v>
      </c>
      <c r="B184" s="609" t="str">
        <f>IF(LEFT(F184,1)="B",VLOOKUP(A184,COPY!$A$2:$AC$1000,4,FALSE),"")</f>
        <v/>
      </c>
      <c r="C184" s="586"/>
      <c r="D184" s="553"/>
      <c r="E184" s="553"/>
      <c r="F184" s="557" t="str">
        <f>IF(LEN(A184)&gt;2,LEFT(VLOOKUP(A184,COPY!$A$2:$AC$1000,29,FALSE),6),"")</f>
        <v>0</v>
      </c>
      <c r="G184" s="558">
        <f>_xlfn.IFNA(IF(TEXT(F184,0)="Terima","",VLOOKUP(A184,COPY!$A$2:$AC$1000,29,FALSE)),"")</f>
        <v>0</v>
      </c>
      <c r="H184" s="425"/>
      <c r="I184" s="559"/>
      <c r="J184" s="555"/>
      <c r="K184" s="608">
        <f>_xlfn.IFNA(IF(TEXT(F184,0)="Terima",0,VLOOKUP(A184,COPY!$A$2:$AC$1000,26,FALSE)),0)</f>
        <v>0</v>
      </c>
      <c r="L184" s="548">
        <f t="shared" si="19"/>
        <v>0</v>
      </c>
      <c r="M184" s="549">
        <f t="shared" si="20"/>
        <v>-35745915</v>
      </c>
      <c r="O184" s="538">
        <f t="shared" si="21"/>
        <v>-35745915</v>
      </c>
      <c r="P184" s="550"/>
      <c r="Q184" s="551"/>
    </row>
    <row r="185" spans="1:17" s="253" customFormat="1" ht="20.100000000000001" hidden="1" customHeight="1" x14ac:dyDescent="0.25">
      <c r="A185" s="253" t="str">
        <f t="shared" si="22"/>
        <v>2.16</v>
      </c>
      <c r="B185" s="609" t="str">
        <f>IF(LEFT(F185,1)="B",VLOOKUP(A185,COPY!$A$2:$AC$1000,4,FALSE),"")</f>
        <v/>
      </c>
      <c r="C185" s="586"/>
      <c r="D185" s="553"/>
      <c r="E185" s="553"/>
      <c r="F185" s="557" t="str">
        <f>IF(LEN(A185)&gt;2,LEFT(VLOOKUP(A185,COPY!$A$2:$AC$1000,29,FALSE),6),"")</f>
        <v>0</v>
      </c>
      <c r="G185" s="558">
        <f>_xlfn.IFNA(IF(TEXT(F185,0)="Terima","",VLOOKUP(A185,COPY!$A$2:$AC$1000,29,FALSE)),"")</f>
        <v>0</v>
      </c>
      <c r="H185" s="425"/>
      <c r="I185" s="559"/>
      <c r="J185" s="555"/>
      <c r="K185" s="608">
        <f>_xlfn.IFNA(IF(TEXT(F185,0)="Terima",0,VLOOKUP(A185,COPY!$A$2:$AC$1000,26,FALSE)),0)</f>
        <v>0</v>
      </c>
      <c r="L185" s="548">
        <f t="shared" si="19"/>
        <v>0</v>
      </c>
      <c r="M185" s="549">
        <f t="shared" si="20"/>
        <v>-35745915</v>
      </c>
      <c r="O185" s="538">
        <f t="shared" si="21"/>
        <v>-35745915</v>
      </c>
      <c r="P185" s="550"/>
      <c r="Q185" s="551"/>
    </row>
    <row r="186" spans="1:17" s="253" customFormat="1" ht="20.100000000000001" hidden="1" customHeight="1" x14ac:dyDescent="0.25">
      <c r="A186" s="253" t="str">
        <f t="shared" si="22"/>
        <v>2.17</v>
      </c>
      <c r="B186" s="609" t="str">
        <f>IF(LEFT(F186,1)="B",VLOOKUP(A186,COPY!$A$2:$AC$1000,4,FALSE),"")</f>
        <v/>
      </c>
      <c r="C186" s="586"/>
      <c r="D186" s="553"/>
      <c r="E186" s="553"/>
      <c r="F186" s="557" t="str">
        <f>IF(LEN(A186)&gt;2,LEFT(VLOOKUP(A186,COPY!$A$2:$AC$1000,29,FALSE),6),"")</f>
        <v>0</v>
      </c>
      <c r="G186" s="558">
        <f>_xlfn.IFNA(IF(TEXT(F186,0)="Terima","",VLOOKUP(A186,COPY!$A$2:$AC$1000,29,FALSE)),"")</f>
        <v>0</v>
      </c>
      <c r="H186" s="425"/>
      <c r="I186" s="559"/>
      <c r="J186" s="555"/>
      <c r="K186" s="608">
        <f>_xlfn.IFNA(IF(TEXT(F186,0)="Terima",0,VLOOKUP(A186,COPY!$A$2:$AC$1000,26,FALSE)),0)</f>
        <v>0</v>
      </c>
      <c r="L186" s="548">
        <f t="shared" si="19"/>
        <v>0</v>
      </c>
      <c r="M186" s="549">
        <f t="shared" si="20"/>
        <v>-35745915</v>
      </c>
      <c r="O186" s="538">
        <f t="shared" si="21"/>
        <v>-35745915</v>
      </c>
      <c r="P186" s="550"/>
      <c r="Q186" s="551"/>
    </row>
    <row r="187" spans="1:17" s="253" customFormat="1" ht="20.100000000000001" hidden="1" customHeight="1" x14ac:dyDescent="0.25">
      <c r="A187" s="253" t="str">
        <f t="shared" si="22"/>
        <v>2.18</v>
      </c>
      <c r="B187" s="609" t="str">
        <f>IF(LEFT(F187,1)="B",VLOOKUP(A187,COPY!$A$2:$AC$1000,4,FALSE),"")</f>
        <v/>
      </c>
      <c r="C187" s="586"/>
      <c r="D187" s="553"/>
      <c r="E187" s="553"/>
      <c r="F187" s="557" t="str">
        <f>IF(LEN(A187)&gt;2,LEFT(VLOOKUP(A187,COPY!$A$2:$AC$1000,29,FALSE),6),"")</f>
        <v>0</v>
      </c>
      <c r="G187" s="558">
        <f>_xlfn.IFNA(IF(TEXT(F187,0)="Terima","",VLOOKUP(A187,COPY!$A$2:$AC$1000,29,FALSE)),"")</f>
        <v>0</v>
      </c>
      <c r="H187" s="425"/>
      <c r="I187" s="559"/>
      <c r="J187" s="555"/>
      <c r="K187" s="608">
        <f>_xlfn.IFNA(IF(TEXT(F187,0)="Terima",0,VLOOKUP(A187,COPY!$A$2:$AC$1000,26,FALSE)),0)</f>
        <v>0</v>
      </c>
      <c r="L187" s="548">
        <f t="shared" si="19"/>
        <v>0</v>
      </c>
      <c r="M187" s="549">
        <f t="shared" si="20"/>
        <v>-35745915</v>
      </c>
      <c r="O187" s="538">
        <f t="shared" si="21"/>
        <v>-35745915</v>
      </c>
      <c r="P187" s="550"/>
      <c r="Q187" s="551"/>
    </row>
    <row r="188" spans="1:17" s="253" customFormat="1" ht="20.100000000000001" hidden="1" customHeight="1" x14ac:dyDescent="0.25">
      <c r="A188" s="253" t="str">
        <f t="shared" si="22"/>
        <v>2.19</v>
      </c>
      <c r="B188" s="609" t="str">
        <f>IF(LEFT(F188,1)="B",VLOOKUP(A188,COPY!$A$2:$AC$1000,4,FALSE),"")</f>
        <v/>
      </c>
      <c r="C188" s="586"/>
      <c r="D188" s="553"/>
      <c r="E188" s="553"/>
      <c r="F188" s="557" t="str">
        <f>IF(LEN(A188)&gt;2,LEFT(VLOOKUP(A188,COPY!$A$2:$AC$1000,29,FALSE),6),"")</f>
        <v>0</v>
      </c>
      <c r="G188" s="558">
        <f>_xlfn.IFNA(IF(TEXT(F188,0)="Terima","",VLOOKUP(A188,COPY!$A$2:$AC$1000,29,FALSE)),"")</f>
        <v>0</v>
      </c>
      <c r="H188" s="425"/>
      <c r="I188" s="559"/>
      <c r="J188" s="555"/>
      <c r="K188" s="608">
        <f>_xlfn.IFNA(IF(TEXT(F188,0)="Terima",0,VLOOKUP(A188,COPY!$A$2:$AC$1000,26,FALSE)),0)</f>
        <v>0</v>
      </c>
      <c r="L188" s="548">
        <f t="shared" si="19"/>
        <v>0</v>
      </c>
      <c r="M188" s="549">
        <f t="shared" si="20"/>
        <v>-35745915</v>
      </c>
      <c r="O188" s="538">
        <f t="shared" si="21"/>
        <v>-35745915</v>
      </c>
      <c r="P188" s="550"/>
      <c r="Q188" s="551"/>
    </row>
    <row r="189" spans="1:17" s="253" customFormat="1" ht="20.100000000000001" customHeight="1" x14ac:dyDescent="0.25">
      <c r="A189" s="253" t="str">
        <f t="shared" si="22"/>
        <v>2.20</v>
      </c>
      <c r="B189" s="609">
        <f>IF(LEFT(F189,1)="B",VLOOKUP(A189,COPY!$A$2:$AC$1000,4,FALSE),"")</f>
        <v>45938</v>
      </c>
      <c r="C189" s="586"/>
      <c r="D189" s="553"/>
      <c r="E189" s="553"/>
      <c r="F189" s="557" t="str">
        <f>IF(LEN(A189)&gt;2,LEFT(VLOOKUP(A189,COPY!$A$2:$AC$1000,29,FALSE),6),"")</f>
        <v xml:space="preserve">Bayar </v>
      </c>
      <c r="G189" s="558" t="str">
        <f>_xlfn.IFNA(IF(TEXT(F189,0)="Terima","",VLOOKUP(A189,COPY!$A$2:$AC$1000,29,FALSE)),"")</f>
        <v>Bayar Pajak PPN (11 %) BKK.37</v>
      </c>
      <c r="H189" s="425"/>
      <c r="I189" s="559"/>
      <c r="J189" s="555"/>
      <c r="K189" s="608">
        <f>_xlfn.IFNA(IF(TEXT(F189,0)="Terima",0,VLOOKUP(A189,COPY!$A$2:$AC$1000,26,FALSE)),0)</f>
        <v>303600</v>
      </c>
      <c r="L189" s="548">
        <f t="shared" si="19"/>
        <v>0</v>
      </c>
      <c r="M189" s="549">
        <f t="shared" si="20"/>
        <v>-36049515</v>
      </c>
      <c r="O189" s="538">
        <f t="shared" si="21"/>
        <v>-36049515</v>
      </c>
      <c r="P189" s="550"/>
      <c r="Q189" s="551"/>
    </row>
    <row r="190" spans="1:17" s="253" customFormat="1" ht="20.100000000000001" customHeight="1" x14ac:dyDescent="0.25">
      <c r="A190" s="253" t="str">
        <f t="shared" si="22"/>
        <v>2.21</v>
      </c>
      <c r="B190" s="609" t="str">
        <f>IF(LEFT(F190,1)="B",VLOOKUP(A190,COPY!$A$2:$AC$1000,4,FALSE),"")</f>
        <v/>
      </c>
      <c r="C190" s="586"/>
      <c r="D190" s="553"/>
      <c r="E190" s="553"/>
      <c r="F190" s="557" t="str">
        <f>IF(LEN(A190)&gt;2,LEFT(VLOOKUP(A190,COPY!$A$2:$AC$1000,29,FALSE),6),"")</f>
        <v xml:space="preserve">Bayar </v>
      </c>
      <c r="G190" s="558" t="str">
        <f>_xlfn.IFNA(IF(TEXT(F190,0)="Terima","",VLOOKUP(A190,COPY!$A$2:$AC$1000,29,FALSE)),"")</f>
        <v>Bayar Pajak PPH (1,5 %) BKK.37</v>
      </c>
      <c r="H190" s="425"/>
      <c r="I190" s="559"/>
      <c r="J190" s="555"/>
      <c r="K190" s="608">
        <f>_xlfn.IFNA(IF(TEXT(F190,0)="Terima",0,VLOOKUP(A190,COPY!$A$2:$AC$1000,26,FALSE)),0)</f>
        <v>41400</v>
      </c>
      <c r="L190" s="548">
        <f t="shared" si="19"/>
        <v>0</v>
      </c>
      <c r="M190" s="549">
        <f t="shared" si="20"/>
        <v>-36090915</v>
      </c>
      <c r="O190" s="538">
        <f t="shared" si="21"/>
        <v>-36090915</v>
      </c>
      <c r="P190" s="550"/>
      <c r="Q190" s="551"/>
    </row>
    <row r="191" spans="1:17" s="253" customFormat="1" ht="20.100000000000001" hidden="1" customHeight="1" x14ac:dyDescent="0.25">
      <c r="A191" s="253" t="str">
        <f t="shared" si="22"/>
        <v>2.22</v>
      </c>
      <c r="B191" s="609" t="str">
        <f>IF(LEFT(F191,1)="B",VLOOKUP(A191,COPY!$A$2:$AC$1000,4,FALSE),"")</f>
        <v/>
      </c>
      <c r="C191" s="586"/>
      <c r="D191" s="553"/>
      <c r="E191" s="553"/>
      <c r="F191" s="557" t="str">
        <f>IF(LEN(A191)&gt;2,LEFT(VLOOKUP(A191,COPY!$A$2:$AC$1000,29,FALSE),6),"")</f>
        <v>0</v>
      </c>
      <c r="G191" s="558">
        <f>_xlfn.IFNA(IF(TEXT(F191,0)="Terima","",VLOOKUP(A191,COPY!$A$2:$AC$1000,29,FALSE)),"")</f>
        <v>0</v>
      </c>
      <c r="H191" s="425"/>
      <c r="I191" s="559"/>
      <c r="J191" s="555"/>
      <c r="K191" s="608">
        <f>_xlfn.IFNA(IF(TEXT(F191,0)="Terima",0,VLOOKUP(A191,COPY!$A$2:$AC$1000,26,FALSE)),0)</f>
        <v>0</v>
      </c>
      <c r="L191" s="548">
        <f t="shared" si="19"/>
        <v>0</v>
      </c>
      <c r="M191" s="549">
        <f t="shared" si="20"/>
        <v>-36090915</v>
      </c>
      <c r="O191" s="538">
        <f t="shared" si="21"/>
        <v>-36090915</v>
      </c>
      <c r="P191" s="550"/>
      <c r="Q191" s="551"/>
    </row>
    <row r="192" spans="1:17" s="253" customFormat="1" ht="20.100000000000001" hidden="1" customHeight="1" x14ac:dyDescent="0.25">
      <c r="A192" s="253" t="str">
        <f t="shared" si="22"/>
        <v>2.23</v>
      </c>
      <c r="B192" s="609" t="str">
        <f>IF(LEFT(F192,1)="B",VLOOKUP(A192,COPY!$A$2:$AC$1000,4,FALSE),"")</f>
        <v/>
      </c>
      <c r="C192" s="586"/>
      <c r="D192" s="553"/>
      <c r="E192" s="553"/>
      <c r="F192" s="557" t="str">
        <f>IF(LEN(A192)&gt;2,LEFT(VLOOKUP(A192,COPY!$A$2:$AC$1000,29,FALSE),6),"")</f>
        <v>0</v>
      </c>
      <c r="G192" s="558">
        <f>_xlfn.IFNA(IF(TEXT(F192,0)="Terima","",VLOOKUP(A192,COPY!$A$2:$AC$1000,29,FALSE)),"")</f>
        <v>0</v>
      </c>
      <c r="H192" s="425"/>
      <c r="I192" s="559"/>
      <c r="J192" s="555"/>
      <c r="K192" s="608">
        <f>_xlfn.IFNA(IF(TEXT(F192,0)="Terima",0,VLOOKUP(A192,COPY!$A$2:$AC$1000,26,FALSE)),0)</f>
        <v>0</v>
      </c>
      <c r="L192" s="548">
        <f t="shared" si="19"/>
        <v>0</v>
      </c>
      <c r="M192" s="549">
        <f t="shared" si="20"/>
        <v>-36090915</v>
      </c>
      <c r="O192" s="538">
        <f t="shared" si="21"/>
        <v>-36090915</v>
      </c>
      <c r="P192" s="550"/>
      <c r="Q192" s="551"/>
    </row>
    <row r="193" spans="1:17" s="253" customFormat="1" ht="20.100000000000001" hidden="1" customHeight="1" x14ac:dyDescent="0.25">
      <c r="A193" s="253" t="str">
        <f t="shared" si="22"/>
        <v>2.24</v>
      </c>
      <c r="B193" s="609" t="str">
        <f>IF(LEFT(F193,1)="B",VLOOKUP(A193,COPY!$A$2:$AC$1000,4,FALSE),"")</f>
        <v/>
      </c>
      <c r="C193" s="586"/>
      <c r="D193" s="553"/>
      <c r="E193" s="553"/>
      <c r="F193" s="557" t="str">
        <f>IF(LEN(A193)&gt;2,LEFT(VLOOKUP(A193,COPY!$A$2:$AC$1000,29,FALSE),6),"")</f>
        <v>0</v>
      </c>
      <c r="G193" s="558">
        <f>_xlfn.IFNA(IF(TEXT(F193,0)="Terima","",VLOOKUP(A193,COPY!$A$2:$AC$1000,29,FALSE)),"")</f>
        <v>0</v>
      </c>
      <c r="H193" s="425"/>
      <c r="I193" s="559"/>
      <c r="J193" s="555"/>
      <c r="K193" s="608">
        <f>_xlfn.IFNA(IF(TEXT(F193,0)="Terima",0,VLOOKUP(A193,COPY!$A$2:$AC$1000,26,FALSE)),0)</f>
        <v>0</v>
      </c>
      <c r="L193" s="548">
        <f t="shared" si="19"/>
        <v>0</v>
      </c>
      <c r="M193" s="549">
        <f t="shared" si="20"/>
        <v>-36090915</v>
      </c>
      <c r="O193" s="538">
        <f t="shared" si="21"/>
        <v>-36090915</v>
      </c>
      <c r="P193" s="550"/>
      <c r="Q193" s="551"/>
    </row>
    <row r="194" spans="1:17" s="253" customFormat="1" ht="20.100000000000001" hidden="1" customHeight="1" x14ac:dyDescent="0.25">
      <c r="A194" s="253" t="str">
        <f t="shared" si="22"/>
        <v>2.25</v>
      </c>
      <c r="B194" s="609" t="str">
        <f>IF(LEFT(F194,1)="B",VLOOKUP(A194,COPY!$A$2:$AC$1000,4,FALSE),"")</f>
        <v/>
      </c>
      <c r="C194" s="586"/>
      <c r="D194" s="553"/>
      <c r="E194" s="553"/>
      <c r="F194" s="557" t="str">
        <f>IF(LEN(A194)&gt;2,LEFT(VLOOKUP(A194,COPY!$A$2:$AC$1000,29,FALSE),6),"")</f>
        <v>0</v>
      </c>
      <c r="G194" s="558">
        <f>_xlfn.IFNA(IF(TEXT(F194,0)="Terima","",VLOOKUP(A194,COPY!$A$2:$AC$1000,29,FALSE)),"")</f>
        <v>0</v>
      </c>
      <c r="H194" s="425"/>
      <c r="I194" s="559"/>
      <c r="J194" s="555"/>
      <c r="K194" s="608">
        <f>_xlfn.IFNA(IF(TEXT(F194,0)="Terima",0,VLOOKUP(A194,COPY!$A$2:$AC$1000,26,FALSE)),0)</f>
        <v>0</v>
      </c>
      <c r="L194" s="548">
        <f t="shared" si="19"/>
        <v>0</v>
      </c>
      <c r="M194" s="549">
        <f t="shared" si="20"/>
        <v>-36090915</v>
      </c>
      <c r="O194" s="538">
        <f t="shared" si="21"/>
        <v>-36090915</v>
      </c>
      <c r="P194" s="550"/>
      <c r="Q194" s="551"/>
    </row>
    <row r="195" spans="1:17" s="253" customFormat="1" ht="20.100000000000001" hidden="1" customHeight="1" x14ac:dyDescent="0.25">
      <c r="A195" s="253" t="str">
        <f t="shared" si="22"/>
        <v>2.26</v>
      </c>
      <c r="B195" s="609" t="str">
        <f>IF(LEFT(F195,1)="B",VLOOKUP(A195,COPY!$A$2:$AC$1000,4,FALSE),"")</f>
        <v/>
      </c>
      <c r="C195" s="586"/>
      <c r="D195" s="553"/>
      <c r="E195" s="553"/>
      <c r="F195" s="557" t="str">
        <f>IF(LEN(A195)&gt;2,LEFT(VLOOKUP(A195,COPY!$A$2:$AC$1000,29,FALSE),6),"")</f>
        <v>0</v>
      </c>
      <c r="G195" s="558">
        <f>_xlfn.IFNA(IF(TEXT(F195,0)="Terima","",VLOOKUP(A195,COPY!$A$2:$AC$1000,29,FALSE)),"")</f>
        <v>0</v>
      </c>
      <c r="H195" s="425"/>
      <c r="I195" s="559"/>
      <c r="J195" s="555"/>
      <c r="K195" s="608">
        <f>_xlfn.IFNA(IF(TEXT(F195,0)="Terima",0,VLOOKUP(A195,COPY!$A$2:$AC$1000,26,FALSE)),0)</f>
        <v>0</v>
      </c>
      <c r="L195" s="548">
        <f t="shared" si="19"/>
        <v>0</v>
      </c>
      <c r="M195" s="549">
        <f t="shared" si="20"/>
        <v>-36090915</v>
      </c>
      <c r="O195" s="538">
        <f t="shared" si="21"/>
        <v>-36090915</v>
      </c>
      <c r="P195" s="550"/>
      <c r="Q195" s="551"/>
    </row>
    <row r="196" spans="1:17" s="253" customFormat="1" ht="20.100000000000001" hidden="1" customHeight="1" x14ac:dyDescent="0.25">
      <c r="A196" s="253" t="str">
        <f t="shared" si="22"/>
        <v>2.27</v>
      </c>
      <c r="B196" s="609" t="str">
        <f>IF(LEFT(F196,1)="B",VLOOKUP(A196,COPY!$A$2:$AC$1000,4,FALSE),"")</f>
        <v/>
      </c>
      <c r="C196" s="586"/>
      <c r="D196" s="553"/>
      <c r="E196" s="553"/>
      <c r="F196" s="557" t="str">
        <f>IF(LEN(A196)&gt;2,LEFT(VLOOKUP(A196,COPY!$A$2:$AC$1000,29,FALSE),6),"")</f>
        <v>0</v>
      </c>
      <c r="G196" s="558">
        <f>_xlfn.IFNA(IF(TEXT(F196,0)="Terima","",VLOOKUP(A196,COPY!$A$2:$AC$1000,29,FALSE)),"")</f>
        <v>0</v>
      </c>
      <c r="H196" s="425"/>
      <c r="I196" s="559"/>
      <c r="J196" s="555"/>
      <c r="K196" s="608">
        <f>_xlfn.IFNA(IF(TEXT(F196,0)="Terima",0,VLOOKUP(A196,COPY!$A$2:$AC$1000,26,FALSE)),0)</f>
        <v>0</v>
      </c>
      <c r="L196" s="548">
        <f t="shared" si="19"/>
        <v>0</v>
      </c>
      <c r="M196" s="549">
        <f t="shared" si="20"/>
        <v>-36090915</v>
      </c>
      <c r="O196" s="538">
        <f t="shared" si="21"/>
        <v>-36090915</v>
      </c>
      <c r="P196" s="550"/>
      <c r="Q196" s="551"/>
    </row>
    <row r="197" spans="1:17" s="253" customFormat="1" ht="20.100000000000001" hidden="1" customHeight="1" x14ac:dyDescent="0.25">
      <c r="A197" s="253" t="str">
        <f t="shared" si="22"/>
        <v>2.28</v>
      </c>
      <c r="B197" s="609" t="str">
        <f>IF(LEFT(F197,1)="B",VLOOKUP(A197,COPY!$A$2:$AC$1000,4,FALSE),"")</f>
        <v/>
      </c>
      <c r="C197" s="586"/>
      <c r="D197" s="553"/>
      <c r="E197" s="553"/>
      <c r="F197" s="557" t="str">
        <f>IF(LEN(A197)&gt;2,LEFT(VLOOKUP(A197,COPY!$A$2:$AC$1000,29,FALSE),6),"")</f>
        <v>0</v>
      </c>
      <c r="G197" s="558">
        <f>_xlfn.IFNA(IF(TEXT(F197,0)="Terima","",VLOOKUP(A197,COPY!$A$2:$AC$1000,29,FALSE)),"")</f>
        <v>0</v>
      </c>
      <c r="H197" s="425"/>
      <c r="I197" s="559"/>
      <c r="J197" s="555"/>
      <c r="K197" s="608">
        <f>_xlfn.IFNA(IF(TEXT(F197,0)="Terima",0,VLOOKUP(A197,COPY!$A$2:$AC$1000,26,FALSE)),0)</f>
        <v>0</v>
      </c>
      <c r="L197" s="548">
        <f t="shared" si="19"/>
        <v>0</v>
      </c>
      <c r="M197" s="549">
        <f t="shared" si="20"/>
        <v>-36090915</v>
      </c>
      <c r="O197" s="538">
        <f t="shared" si="21"/>
        <v>-36090915</v>
      </c>
      <c r="P197" s="550"/>
      <c r="Q197" s="551"/>
    </row>
    <row r="198" spans="1:17" s="253" customFormat="1" ht="20.100000000000001" hidden="1" customHeight="1" x14ac:dyDescent="0.25">
      <c r="A198" s="253" t="str">
        <f t="shared" si="22"/>
        <v>2.29</v>
      </c>
      <c r="B198" s="609" t="str">
        <f>IF(LEFT(F198,1)="B",VLOOKUP(A198,COPY!$A$2:$AC$1000,4,FALSE),"")</f>
        <v/>
      </c>
      <c r="C198" s="586"/>
      <c r="D198" s="553"/>
      <c r="E198" s="553"/>
      <c r="F198" s="557" t="str">
        <f>IF(LEN(A198)&gt;2,LEFT(VLOOKUP(A198,COPY!$A$2:$AC$1000,29,FALSE),6),"")</f>
        <v>0</v>
      </c>
      <c r="G198" s="558">
        <f>_xlfn.IFNA(IF(TEXT(F198,0)="Terima","",VLOOKUP(A198,COPY!$A$2:$AC$1000,29,FALSE)),"")</f>
        <v>0</v>
      </c>
      <c r="H198" s="425"/>
      <c r="I198" s="559"/>
      <c r="J198" s="555"/>
      <c r="K198" s="608">
        <f>_xlfn.IFNA(IF(TEXT(F198,0)="Terima",0,VLOOKUP(A198,COPY!$A$2:$AC$1000,26,FALSE)),0)</f>
        <v>0</v>
      </c>
      <c r="L198" s="548">
        <f t="shared" si="19"/>
        <v>0</v>
      </c>
      <c r="M198" s="549">
        <f t="shared" si="20"/>
        <v>-36090915</v>
      </c>
      <c r="O198" s="538">
        <f t="shared" si="21"/>
        <v>-36090915</v>
      </c>
      <c r="P198" s="550"/>
      <c r="Q198" s="551"/>
    </row>
    <row r="199" spans="1:17" s="253" customFormat="1" ht="20.100000000000001" hidden="1" customHeight="1" x14ac:dyDescent="0.25">
      <c r="A199" s="253" t="str">
        <f t="shared" si="22"/>
        <v>2.30</v>
      </c>
      <c r="B199" s="609" t="str">
        <f>IF(LEFT(F199,1)="B",VLOOKUP(A199,COPY!$A$2:$AC$1000,4,FALSE),"")</f>
        <v/>
      </c>
      <c r="C199" s="586"/>
      <c r="D199" s="553"/>
      <c r="E199" s="553"/>
      <c r="F199" s="557" t="str">
        <f>IF(LEN(A199)&gt;2,LEFT(VLOOKUP(A199,COPY!$A$2:$AC$1000,29,FALSE),6),"")</f>
        <v>0</v>
      </c>
      <c r="G199" s="558">
        <f>_xlfn.IFNA(IF(TEXT(F199,0)="Terima","",VLOOKUP(A199,COPY!$A$2:$AC$1000,29,FALSE)),"")</f>
        <v>0</v>
      </c>
      <c r="H199" s="425"/>
      <c r="I199" s="559"/>
      <c r="J199" s="555"/>
      <c r="K199" s="608">
        <f>_xlfn.IFNA(IF(TEXT(F199,0)="Terima",0,VLOOKUP(A199,COPY!$A$2:$AC$1000,26,FALSE)),0)</f>
        <v>0</v>
      </c>
      <c r="L199" s="548">
        <f t="shared" si="19"/>
        <v>0</v>
      </c>
      <c r="M199" s="549">
        <f t="shared" si="20"/>
        <v>-36090915</v>
      </c>
      <c r="O199" s="538">
        <f t="shared" si="21"/>
        <v>-36090915</v>
      </c>
      <c r="P199" s="550"/>
      <c r="Q199" s="551"/>
    </row>
    <row r="200" spans="1:17" s="253" customFormat="1" ht="20.100000000000001" hidden="1" customHeight="1" x14ac:dyDescent="0.25">
      <c r="A200" s="253" t="str">
        <f t="shared" si="22"/>
        <v>2.31</v>
      </c>
      <c r="B200" s="609" t="str">
        <f>IF(LEFT(F200,1)="B",VLOOKUP(A200,COPY!$A$2:$AC$1000,4,FALSE),"")</f>
        <v/>
      </c>
      <c r="C200" s="586"/>
      <c r="D200" s="553"/>
      <c r="E200" s="553"/>
      <c r="F200" s="557" t="str">
        <f>IF(LEN(A200)&gt;2,LEFT(VLOOKUP(A200,COPY!$A$2:$AC$1000,29,FALSE),6),"")</f>
        <v>0</v>
      </c>
      <c r="G200" s="558">
        <f>_xlfn.IFNA(IF(TEXT(F200,0)="Terima","",VLOOKUP(A200,COPY!$A$2:$AC$1000,29,FALSE)),"")</f>
        <v>0</v>
      </c>
      <c r="H200" s="425"/>
      <c r="I200" s="559"/>
      <c r="J200" s="555"/>
      <c r="K200" s="608">
        <f>_xlfn.IFNA(IF(TEXT(F200,0)="Terima",0,VLOOKUP(A200,COPY!$A$2:$AC$1000,26,FALSE)),0)</f>
        <v>0</v>
      </c>
      <c r="L200" s="548">
        <f t="shared" si="19"/>
        <v>0</v>
      </c>
      <c r="M200" s="549">
        <f t="shared" si="20"/>
        <v>-36090915</v>
      </c>
      <c r="O200" s="538">
        <f t="shared" si="21"/>
        <v>-36090915</v>
      </c>
      <c r="P200" s="550"/>
      <c r="Q200" s="551"/>
    </row>
    <row r="201" spans="1:17" s="253" customFormat="1" ht="20.100000000000001" hidden="1" customHeight="1" x14ac:dyDescent="0.25">
      <c r="A201" s="253" t="str">
        <f t="shared" si="22"/>
        <v>2.32</v>
      </c>
      <c r="B201" s="609" t="str">
        <f>IF(LEFT(F201,1)="B",VLOOKUP(A201,COPY!$A$2:$AC$1000,4,FALSE),"")</f>
        <v/>
      </c>
      <c r="C201" s="586"/>
      <c r="D201" s="553"/>
      <c r="E201" s="553"/>
      <c r="F201" s="557" t="str">
        <f>IF(LEN(A201)&gt;2,LEFT(VLOOKUP(A201,COPY!$A$2:$AC$1000,29,FALSE),6),"")</f>
        <v>0</v>
      </c>
      <c r="G201" s="558">
        <f>_xlfn.IFNA(IF(TEXT(F201,0)="Terima","",VLOOKUP(A201,COPY!$A$2:$AC$1000,29,FALSE)),"")</f>
        <v>0</v>
      </c>
      <c r="H201" s="425"/>
      <c r="I201" s="559"/>
      <c r="J201" s="555"/>
      <c r="K201" s="608">
        <f>_xlfn.IFNA(IF(TEXT(F201,0)="Terima",0,VLOOKUP(A201,COPY!$A$2:$AC$1000,26,FALSE)),0)</f>
        <v>0</v>
      </c>
      <c r="L201" s="548">
        <f t="shared" si="19"/>
        <v>0</v>
      </c>
      <c r="M201" s="549">
        <f t="shared" si="20"/>
        <v>-36090915</v>
      </c>
      <c r="O201" s="538">
        <f t="shared" si="21"/>
        <v>-36090915</v>
      </c>
      <c r="P201" s="550"/>
      <c r="Q201" s="551"/>
    </row>
    <row r="202" spans="1:17" s="253" customFormat="1" ht="20.100000000000001" hidden="1" customHeight="1" x14ac:dyDescent="0.25">
      <c r="A202" s="253" t="str">
        <f t="shared" si="22"/>
        <v>2.33</v>
      </c>
      <c r="B202" s="609" t="str">
        <f>IF(LEFT(F202,1)="B",VLOOKUP(A202,COPY!$A$2:$AC$1000,4,FALSE),"")</f>
        <v/>
      </c>
      <c r="C202" s="586"/>
      <c r="D202" s="553"/>
      <c r="E202" s="553"/>
      <c r="F202" s="557" t="str">
        <f>IF(LEN(A202)&gt;2,LEFT(VLOOKUP(A202,COPY!$A$2:$AC$1000,29,FALSE),6),"")</f>
        <v>0</v>
      </c>
      <c r="G202" s="558">
        <f>_xlfn.IFNA(IF(TEXT(F202,0)="Terima","",VLOOKUP(A202,COPY!$A$2:$AC$1000,29,FALSE)),"")</f>
        <v>0</v>
      </c>
      <c r="H202" s="425"/>
      <c r="I202" s="559"/>
      <c r="J202" s="555"/>
      <c r="K202" s="608">
        <f>_xlfn.IFNA(IF(TEXT(F202,0)="Terima",0,VLOOKUP(A202,COPY!$A$2:$AC$1000,26,FALSE)),0)</f>
        <v>0</v>
      </c>
      <c r="L202" s="548">
        <f t="shared" si="19"/>
        <v>0</v>
      </c>
      <c r="M202" s="549">
        <f t="shared" si="20"/>
        <v>-36090915</v>
      </c>
      <c r="O202" s="538">
        <f t="shared" si="21"/>
        <v>-36090915</v>
      </c>
      <c r="P202" s="550"/>
      <c r="Q202" s="551"/>
    </row>
    <row r="203" spans="1:17" s="253" customFormat="1" ht="20.100000000000001" hidden="1" customHeight="1" x14ac:dyDescent="0.25">
      <c r="A203" s="253" t="str">
        <f t="shared" si="22"/>
        <v>2.34</v>
      </c>
      <c r="B203" s="609" t="str">
        <f>IF(LEFT(F203,1)="B",VLOOKUP(A203,COPY!$A$2:$AC$1000,4,FALSE),"")</f>
        <v/>
      </c>
      <c r="C203" s="586"/>
      <c r="D203" s="553"/>
      <c r="E203" s="553"/>
      <c r="F203" s="557" t="str">
        <f>IF(LEN(A203)&gt;2,LEFT(VLOOKUP(A203,COPY!$A$2:$AC$1000,29,FALSE),6),"")</f>
        <v>0</v>
      </c>
      <c r="G203" s="558">
        <f>_xlfn.IFNA(IF(TEXT(F203,0)="Terima","",VLOOKUP(A203,COPY!$A$2:$AC$1000,29,FALSE)),"")</f>
        <v>0</v>
      </c>
      <c r="H203" s="425"/>
      <c r="I203" s="559"/>
      <c r="J203" s="555"/>
      <c r="K203" s="608">
        <f>_xlfn.IFNA(IF(TEXT(F203,0)="Terima",0,VLOOKUP(A203,COPY!$A$2:$AC$1000,26,FALSE)),0)</f>
        <v>0</v>
      </c>
      <c r="L203" s="548">
        <f t="shared" si="19"/>
        <v>0</v>
      </c>
      <c r="M203" s="549">
        <f t="shared" si="20"/>
        <v>-36090915</v>
      </c>
      <c r="O203" s="538">
        <f t="shared" si="21"/>
        <v>-36090915</v>
      </c>
      <c r="P203" s="550"/>
      <c r="Q203" s="551"/>
    </row>
    <row r="204" spans="1:17" s="253" customFormat="1" ht="20.100000000000001" hidden="1" customHeight="1" x14ac:dyDescent="0.25">
      <c r="A204" s="253" t="str">
        <f t="shared" si="22"/>
        <v>2.35</v>
      </c>
      <c r="B204" s="609" t="str">
        <f>IF(LEFT(F204,1)="B",VLOOKUP(A204,COPY!$A$2:$AC$1000,4,FALSE),"")</f>
        <v/>
      </c>
      <c r="C204" s="586"/>
      <c r="D204" s="553"/>
      <c r="E204" s="553"/>
      <c r="F204" s="557" t="str">
        <f>IF(LEN(A204)&gt;2,LEFT(VLOOKUP(A204,COPY!$A$2:$AC$1000,29,FALSE),6),"")</f>
        <v>0</v>
      </c>
      <c r="G204" s="558">
        <f>_xlfn.IFNA(IF(TEXT(F204,0)="Terima","",VLOOKUP(A204,COPY!$A$2:$AC$1000,29,FALSE)),"")</f>
        <v>0</v>
      </c>
      <c r="H204" s="425"/>
      <c r="I204" s="559"/>
      <c r="J204" s="555"/>
      <c r="K204" s="608">
        <f>_xlfn.IFNA(IF(TEXT(F204,0)="Terima",0,VLOOKUP(A204,COPY!$A$2:$AC$1000,26,FALSE)),0)</f>
        <v>0</v>
      </c>
      <c r="L204" s="548">
        <f t="shared" si="19"/>
        <v>0</v>
      </c>
      <c r="M204" s="549">
        <f t="shared" si="20"/>
        <v>-36090915</v>
      </c>
      <c r="O204" s="538">
        <f t="shared" si="21"/>
        <v>-36090915</v>
      </c>
      <c r="P204" s="550"/>
      <c r="Q204" s="551"/>
    </row>
    <row r="205" spans="1:17" s="253" customFormat="1" ht="20.100000000000001" hidden="1" customHeight="1" x14ac:dyDescent="0.25">
      <c r="A205" s="253" t="str">
        <f t="shared" si="22"/>
        <v>2.36</v>
      </c>
      <c r="B205" s="609" t="str">
        <f>IF(LEFT(F205,1)="B",VLOOKUP(A205,COPY!$A$2:$AC$1000,4,FALSE),"")</f>
        <v/>
      </c>
      <c r="C205" s="586"/>
      <c r="D205" s="553"/>
      <c r="E205" s="553"/>
      <c r="F205" s="557" t="str">
        <f>IF(LEN(A205)&gt;2,LEFT(VLOOKUP(A205,COPY!$A$2:$AC$1000,29,FALSE),6),"")</f>
        <v>0</v>
      </c>
      <c r="G205" s="558">
        <f>_xlfn.IFNA(IF(TEXT(F205,0)="Terima","",VLOOKUP(A205,COPY!$A$2:$AC$1000,29,FALSE)),"")</f>
        <v>0</v>
      </c>
      <c r="H205" s="425"/>
      <c r="I205" s="559"/>
      <c r="J205" s="555"/>
      <c r="K205" s="608">
        <f>_xlfn.IFNA(IF(TEXT(F205,0)="Terima",0,VLOOKUP(A205,COPY!$A$2:$AC$1000,26,FALSE)),0)</f>
        <v>0</v>
      </c>
      <c r="L205" s="548">
        <f t="shared" si="19"/>
        <v>0</v>
      </c>
      <c r="M205" s="549">
        <f t="shared" si="20"/>
        <v>-36090915</v>
      </c>
      <c r="O205" s="538">
        <f t="shared" si="21"/>
        <v>-36090915</v>
      </c>
      <c r="P205" s="550"/>
      <c r="Q205" s="551"/>
    </row>
    <row r="206" spans="1:17" s="253" customFormat="1" ht="20.100000000000001" hidden="1" customHeight="1" x14ac:dyDescent="0.25">
      <c r="A206" s="253" t="str">
        <f t="shared" si="22"/>
        <v>2.37</v>
      </c>
      <c r="B206" s="609" t="str">
        <f>IF(LEFT(F206,1)="B",VLOOKUP(A206,COPY!$A$2:$AC$1000,4,FALSE),"")</f>
        <v/>
      </c>
      <c r="C206" s="586"/>
      <c r="D206" s="553"/>
      <c r="E206" s="553"/>
      <c r="F206" s="557" t="str">
        <f>IF(LEN(A206)&gt;2,LEFT(VLOOKUP(A206,COPY!$A$2:$AC$1000,29,FALSE),6),"")</f>
        <v>0</v>
      </c>
      <c r="G206" s="558">
        <f>_xlfn.IFNA(IF(TEXT(F206,0)="Terima","",VLOOKUP(A206,COPY!$A$2:$AC$1000,29,FALSE)),"")</f>
        <v>0</v>
      </c>
      <c r="H206" s="425"/>
      <c r="I206" s="559"/>
      <c r="J206" s="555"/>
      <c r="K206" s="608">
        <f>_xlfn.IFNA(IF(TEXT(F206,0)="Terima",0,VLOOKUP(A206,COPY!$A$2:$AC$1000,26,FALSE)),0)</f>
        <v>0</v>
      </c>
      <c r="L206" s="548">
        <f t="shared" si="19"/>
        <v>0</v>
      </c>
      <c r="M206" s="549">
        <f t="shared" si="20"/>
        <v>-36090915</v>
      </c>
      <c r="O206" s="538">
        <f t="shared" si="21"/>
        <v>-36090915</v>
      </c>
      <c r="P206" s="550"/>
      <c r="Q206" s="551"/>
    </row>
    <row r="207" spans="1:17" s="253" customFormat="1" ht="20.100000000000001" hidden="1" customHeight="1" x14ac:dyDescent="0.25">
      <c r="A207" s="253" t="str">
        <f t="shared" si="22"/>
        <v>2.38</v>
      </c>
      <c r="B207" s="609" t="str">
        <f>IF(LEFT(F207,1)="B",VLOOKUP(A207,COPY!$A$2:$AC$1000,4,FALSE),"")</f>
        <v/>
      </c>
      <c r="C207" s="586"/>
      <c r="D207" s="553"/>
      <c r="E207" s="553"/>
      <c r="F207" s="557" t="str">
        <f>IF(LEN(A207)&gt;2,LEFT(VLOOKUP(A207,COPY!$A$2:$AC$1000,29,FALSE),6),"")</f>
        <v>0</v>
      </c>
      <c r="G207" s="558">
        <f>_xlfn.IFNA(IF(TEXT(F207,0)="Terima","",VLOOKUP(A207,COPY!$A$2:$AC$1000,29,FALSE)),"")</f>
        <v>0</v>
      </c>
      <c r="H207" s="425"/>
      <c r="I207" s="559"/>
      <c r="J207" s="555"/>
      <c r="K207" s="608">
        <f>_xlfn.IFNA(IF(TEXT(F207,0)="Terima",0,VLOOKUP(A207,COPY!$A$2:$AC$1000,26,FALSE)),0)</f>
        <v>0</v>
      </c>
      <c r="L207" s="548">
        <f t="shared" si="19"/>
        <v>0</v>
      </c>
      <c r="M207" s="549">
        <f t="shared" si="20"/>
        <v>-36090915</v>
      </c>
      <c r="O207" s="538">
        <f t="shared" si="21"/>
        <v>-36090915</v>
      </c>
      <c r="P207" s="550"/>
      <c r="Q207" s="551"/>
    </row>
    <row r="208" spans="1:17" s="253" customFormat="1" ht="20.100000000000001" hidden="1" customHeight="1" x14ac:dyDescent="0.25">
      <c r="A208" s="253" t="str">
        <f t="shared" si="22"/>
        <v>2.39</v>
      </c>
      <c r="B208" s="609" t="str">
        <f>IF(LEFT(F208,1)="B",VLOOKUP(A208,COPY!$A$2:$AC$1000,4,FALSE),"")</f>
        <v/>
      </c>
      <c r="C208" s="586"/>
      <c r="D208" s="553"/>
      <c r="E208" s="553"/>
      <c r="F208" s="557" t="str">
        <f>IF(LEN(A208)&gt;2,LEFT(VLOOKUP(A208,COPY!$A$2:$AC$1000,29,FALSE),6),"")</f>
        <v>0</v>
      </c>
      <c r="G208" s="558">
        <f>_xlfn.IFNA(IF(TEXT(F208,0)="Terima","",VLOOKUP(A208,COPY!$A$2:$AC$1000,29,FALSE)),"")</f>
        <v>0</v>
      </c>
      <c r="H208" s="425"/>
      <c r="I208" s="559"/>
      <c r="J208" s="555"/>
      <c r="K208" s="608">
        <f>_xlfn.IFNA(IF(TEXT(F208,0)="Terima",0,VLOOKUP(A208,COPY!$A$2:$AC$1000,26,FALSE)),0)</f>
        <v>0</v>
      </c>
      <c r="L208" s="548">
        <f t="shared" si="19"/>
        <v>0</v>
      </c>
      <c r="M208" s="549">
        <f t="shared" si="20"/>
        <v>-36090915</v>
      </c>
      <c r="O208" s="538">
        <f t="shared" si="21"/>
        <v>-36090915</v>
      </c>
      <c r="P208" s="550"/>
      <c r="Q208" s="551"/>
    </row>
    <row r="209" spans="1:17" s="253" customFormat="1" ht="20.100000000000001" hidden="1" customHeight="1" x14ac:dyDescent="0.25">
      <c r="A209" s="253" t="str">
        <f t="shared" si="22"/>
        <v>2.40</v>
      </c>
      <c r="B209" s="609" t="str">
        <f>IF(LEFT(F209,1)="B",VLOOKUP(A209,COPY!$A$2:$AC$1000,4,FALSE),"")</f>
        <v/>
      </c>
      <c r="C209" s="586"/>
      <c r="D209" s="553"/>
      <c r="E209" s="553"/>
      <c r="F209" s="557" t="str">
        <f>IF(LEN(A209)&gt;2,LEFT(VLOOKUP(A209,COPY!$A$2:$AC$1000,29,FALSE),6),"")</f>
        <v>0</v>
      </c>
      <c r="G209" s="558">
        <f>_xlfn.IFNA(IF(TEXT(F209,0)="Terima","",VLOOKUP(A209,COPY!$A$2:$AC$1000,29,FALSE)),"")</f>
        <v>0</v>
      </c>
      <c r="H209" s="425"/>
      <c r="I209" s="559"/>
      <c r="J209" s="555"/>
      <c r="K209" s="608">
        <f>_xlfn.IFNA(IF(TEXT(F209,0)="Terima",0,VLOOKUP(A209,COPY!$A$2:$AC$1000,26,FALSE)),0)</f>
        <v>0</v>
      </c>
      <c r="L209" s="548">
        <f t="shared" si="19"/>
        <v>0</v>
      </c>
      <c r="M209" s="549">
        <f t="shared" si="20"/>
        <v>-36090915</v>
      </c>
      <c r="O209" s="538">
        <f t="shared" si="21"/>
        <v>-36090915</v>
      </c>
      <c r="P209" s="550"/>
      <c r="Q209" s="551"/>
    </row>
    <row r="210" spans="1:17" s="253" customFormat="1" ht="20.100000000000001" hidden="1" customHeight="1" x14ac:dyDescent="0.25">
      <c r="A210" s="253" t="str">
        <f t="shared" si="22"/>
        <v>2.41</v>
      </c>
      <c r="B210" s="609" t="str">
        <f>IF(LEFT(F210,1)="B",VLOOKUP(A210,COPY!$A$2:$AC$1000,4,FALSE),"")</f>
        <v/>
      </c>
      <c r="C210" s="586"/>
      <c r="D210" s="553"/>
      <c r="E210" s="553"/>
      <c r="F210" s="557" t="str">
        <f>IF(LEN(A210)&gt;2,LEFT(VLOOKUP(A210,COPY!$A$2:$AC$1000,29,FALSE),6),"")</f>
        <v>0</v>
      </c>
      <c r="G210" s="558">
        <f>_xlfn.IFNA(IF(TEXT(F210,0)="Terima","",VLOOKUP(A210,COPY!$A$2:$AC$1000,29,FALSE)),"")</f>
        <v>0</v>
      </c>
      <c r="H210" s="425"/>
      <c r="I210" s="559"/>
      <c r="J210" s="555"/>
      <c r="K210" s="608">
        <f>_xlfn.IFNA(IF(TEXT(F210,0)="Terima",0,VLOOKUP(A210,COPY!$A$2:$AC$1000,26,FALSE)),0)</f>
        <v>0</v>
      </c>
      <c r="L210" s="548">
        <f t="shared" si="19"/>
        <v>0</v>
      </c>
      <c r="M210" s="549">
        <f t="shared" si="20"/>
        <v>-36090915</v>
      </c>
      <c r="O210" s="538">
        <f t="shared" si="21"/>
        <v>-36090915</v>
      </c>
      <c r="P210" s="550"/>
      <c r="Q210" s="551"/>
    </row>
    <row r="211" spans="1:17" s="253" customFormat="1" ht="20.100000000000001" hidden="1" customHeight="1" x14ac:dyDescent="0.25">
      <c r="A211" s="253" t="str">
        <f t="shared" si="22"/>
        <v>2.42</v>
      </c>
      <c r="B211" s="609" t="str">
        <f>IF(LEFT(F211,1)="B",VLOOKUP(A211,COPY!$A$2:$AC$1000,4,FALSE),"")</f>
        <v/>
      </c>
      <c r="C211" s="586"/>
      <c r="D211" s="553"/>
      <c r="E211" s="553"/>
      <c r="F211" s="557" t="str">
        <f>IF(LEN(A211)&gt;2,LEFT(VLOOKUP(A211,COPY!$A$2:$AC$1000,29,FALSE),6),"")</f>
        <v>0</v>
      </c>
      <c r="G211" s="558">
        <f>_xlfn.IFNA(IF(TEXT(F211,0)="Terima","",VLOOKUP(A211,COPY!$A$2:$AC$1000,29,FALSE)),"")</f>
        <v>0</v>
      </c>
      <c r="H211" s="425"/>
      <c r="I211" s="559"/>
      <c r="J211" s="555"/>
      <c r="K211" s="608">
        <f>_xlfn.IFNA(IF(TEXT(F211,0)="Terima",0,VLOOKUP(A211,COPY!$A$2:$AC$1000,26,FALSE)),0)</f>
        <v>0</v>
      </c>
      <c r="L211" s="548">
        <f t="shared" si="19"/>
        <v>0</v>
      </c>
      <c r="M211" s="549">
        <f t="shared" si="20"/>
        <v>-36090915</v>
      </c>
      <c r="O211" s="538">
        <f t="shared" si="21"/>
        <v>-36090915</v>
      </c>
      <c r="P211" s="550"/>
      <c r="Q211" s="551"/>
    </row>
    <row r="212" spans="1:17" s="253" customFormat="1" ht="20.100000000000001" hidden="1" customHeight="1" x14ac:dyDescent="0.25">
      <c r="A212" s="253" t="str">
        <f t="shared" si="22"/>
        <v>2.43</v>
      </c>
      <c r="B212" s="609" t="str">
        <f>IF(LEFT(F212,1)="B",VLOOKUP(A212,COPY!$A$2:$AC$1000,4,FALSE),"")</f>
        <v/>
      </c>
      <c r="C212" s="586"/>
      <c r="D212" s="553"/>
      <c r="E212" s="553"/>
      <c r="F212" s="557" t="str">
        <f>IF(LEN(A212)&gt;2,LEFT(VLOOKUP(A212,COPY!$A$2:$AC$1000,29,FALSE),6),"")</f>
        <v>0</v>
      </c>
      <c r="G212" s="558">
        <f>_xlfn.IFNA(IF(TEXT(F212,0)="Terima","",VLOOKUP(A212,COPY!$A$2:$AC$1000,29,FALSE)),"")</f>
        <v>0</v>
      </c>
      <c r="H212" s="425"/>
      <c r="I212" s="559"/>
      <c r="J212" s="555"/>
      <c r="K212" s="608">
        <f>_xlfn.IFNA(IF(TEXT(F212,0)="Terima",0,VLOOKUP(A212,COPY!$A$2:$AC$1000,26,FALSE)),0)</f>
        <v>0</v>
      </c>
      <c r="L212" s="548">
        <f t="shared" si="19"/>
        <v>0</v>
      </c>
      <c r="M212" s="549">
        <f t="shared" si="20"/>
        <v>-36090915</v>
      </c>
      <c r="O212" s="538">
        <f t="shared" si="21"/>
        <v>-36090915</v>
      </c>
      <c r="P212" s="550"/>
      <c r="Q212" s="551"/>
    </row>
    <row r="213" spans="1:17" s="253" customFormat="1" ht="20.100000000000001" hidden="1" customHeight="1" x14ac:dyDescent="0.25">
      <c r="A213" s="253" t="str">
        <f t="shared" si="22"/>
        <v>2.44</v>
      </c>
      <c r="B213" s="609" t="str">
        <f>IF(LEFT(F213,1)="B",VLOOKUP(A213,COPY!$A$2:$AC$1000,4,FALSE),"")</f>
        <v/>
      </c>
      <c r="C213" s="586"/>
      <c r="D213" s="553"/>
      <c r="E213" s="553"/>
      <c r="F213" s="557" t="str">
        <f>IF(LEN(A213)&gt;2,LEFT(VLOOKUP(A213,COPY!$A$2:$AC$1000,29,FALSE),6),"")</f>
        <v>0</v>
      </c>
      <c r="G213" s="558">
        <f>_xlfn.IFNA(IF(TEXT(F213,0)="Terima","",VLOOKUP(A213,COPY!$A$2:$AC$1000,29,FALSE)),"")</f>
        <v>0</v>
      </c>
      <c r="H213" s="425"/>
      <c r="I213" s="559"/>
      <c r="J213" s="555"/>
      <c r="K213" s="608">
        <f>_xlfn.IFNA(IF(TEXT(F213,0)="Terima",0,VLOOKUP(A213,COPY!$A$2:$AC$1000,26,FALSE)),0)</f>
        <v>0</v>
      </c>
      <c r="L213" s="548">
        <f t="shared" si="19"/>
        <v>0</v>
      </c>
      <c r="M213" s="549">
        <f t="shared" si="20"/>
        <v>-36090915</v>
      </c>
      <c r="O213" s="538">
        <f t="shared" si="21"/>
        <v>-36090915</v>
      </c>
      <c r="P213" s="550"/>
      <c r="Q213" s="551"/>
    </row>
    <row r="214" spans="1:17" s="253" customFormat="1" ht="20.100000000000001" hidden="1" customHeight="1" x14ac:dyDescent="0.25">
      <c r="A214" s="253" t="str">
        <f t="shared" si="22"/>
        <v>2.45</v>
      </c>
      <c r="B214" s="609" t="str">
        <f>IF(LEFT(F214,1)="B",VLOOKUP(A214,COPY!$A$2:$AC$1000,4,FALSE),"")</f>
        <v/>
      </c>
      <c r="C214" s="586"/>
      <c r="D214" s="553"/>
      <c r="E214" s="553"/>
      <c r="F214" s="557" t="str">
        <f>IF(LEN(A214)&gt;2,LEFT(VLOOKUP(A214,COPY!$A$2:$AC$1000,29,FALSE),6),"")</f>
        <v>0</v>
      </c>
      <c r="G214" s="558">
        <f>_xlfn.IFNA(IF(TEXT(F214,0)="Terima","",VLOOKUP(A214,COPY!$A$2:$AC$1000,29,FALSE)),"")</f>
        <v>0</v>
      </c>
      <c r="H214" s="425"/>
      <c r="I214" s="559"/>
      <c r="J214" s="555"/>
      <c r="K214" s="608">
        <f>_xlfn.IFNA(IF(TEXT(F214,0)="Terima",0,VLOOKUP(A214,COPY!$A$2:$AC$1000,26,FALSE)),0)</f>
        <v>0</v>
      </c>
      <c r="L214" s="548">
        <f t="shared" si="19"/>
        <v>0</v>
      </c>
      <c r="M214" s="549">
        <f t="shared" si="20"/>
        <v>-36090915</v>
      </c>
      <c r="O214" s="538">
        <f t="shared" si="21"/>
        <v>-36090915</v>
      </c>
      <c r="P214" s="550"/>
      <c r="Q214" s="551"/>
    </row>
    <row r="215" spans="1:17" s="253" customFormat="1" ht="20.100000000000001" hidden="1" customHeight="1" x14ac:dyDescent="0.25">
      <c r="A215" s="253" t="str">
        <f t="shared" si="22"/>
        <v>2.46</v>
      </c>
      <c r="B215" s="609" t="str">
        <f>IF(LEFT(F215,1)="B",VLOOKUP(A215,COPY!$A$2:$AC$1000,4,FALSE),"")</f>
        <v/>
      </c>
      <c r="C215" s="586"/>
      <c r="D215" s="553"/>
      <c r="E215" s="553"/>
      <c r="F215" s="557" t="str">
        <f>IF(LEN(A215)&gt;2,LEFT(VLOOKUP(A215,COPY!$A$2:$AC$1000,29,FALSE),6),"")</f>
        <v>0</v>
      </c>
      <c r="G215" s="558">
        <f>_xlfn.IFNA(IF(TEXT(F215,0)="Terima","",VLOOKUP(A215,COPY!$A$2:$AC$1000,29,FALSE)),"")</f>
        <v>0</v>
      </c>
      <c r="H215" s="425"/>
      <c r="I215" s="559"/>
      <c r="J215" s="555"/>
      <c r="K215" s="608">
        <f>_xlfn.IFNA(IF(TEXT(F215,0)="Terima",0,VLOOKUP(A215,COPY!$A$2:$AC$1000,26,FALSE)),0)</f>
        <v>0</v>
      </c>
      <c r="L215" s="548">
        <f t="shared" si="19"/>
        <v>0</v>
      </c>
      <c r="M215" s="549">
        <f t="shared" si="20"/>
        <v>-36090915</v>
      </c>
      <c r="O215" s="538">
        <f t="shared" si="21"/>
        <v>-36090915</v>
      </c>
      <c r="P215" s="550"/>
      <c r="Q215" s="551"/>
    </row>
    <row r="216" spans="1:17" s="253" customFormat="1" ht="20.100000000000001" hidden="1" customHeight="1" x14ac:dyDescent="0.25">
      <c r="A216" s="253" t="str">
        <f t="shared" si="22"/>
        <v>2.47</v>
      </c>
      <c r="B216" s="609" t="str">
        <f>IF(LEFT(F216,1)="B",VLOOKUP(A216,COPY!$A$2:$AC$1000,4,FALSE),"")</f>
        <v/>
      </c>
      <c r="C216" s="586"/>
      <c r="D216" s="553"/>
      <c r="E216" s="553"/>
      <c r="F216" s="557" t="str">
        <f>IF(LEN(A216)&gt;2,LEFT(VLOOKUP(A216,COPY!$A$2:$AC$1000,29,FALSE),6),"")</f>
        <v>0</v>
      </c>
      <c r="G216" s="558">
        <f>_xlfn.IFNA(IF(TEXT(F216,0)="Terima","",VLOOKUP(A216,COPY!$A$2:$AC$1000,29,FALSE)),"")</f>
        <v>0</v>
      </c>
      <c r="H216" s="425"/>
      <c r="I216" s="559"/>
      <c r="J216" s="555"/>
      <c r="K216" s="608">
        <f>_xlfn.IFNA(IF(TEXT(F216,0)="Terima",0,VLOOKUP(A216,COPY!$A$2:$AC$1000,26,FALSE)),0)</f>
        <v>0</v>
      </c>
      <c r="L216" s="548">
        <f t="shared" si="19"/>
        <v>0</v>
      </c>
      <c r="M216" s="549">
        <f t="shared" si="20"/>
        <v>-36090915</v>
      </c>
      <c r="O216" s="538">
        <f t="shared" si="21"/>
        <v>-36090915</v>
      </c>
      <c r="P216" s="550"/>
      <c r="Q216" s="551"/>
    </row>
    <row r="217" spans="1:17" s="253" customFormat="1" ht="20.100000000000001" hidden="1" customHeight="1" x14ac:dyDescent="0.25">
      <c r="A217" s="253" t="str">
        <f t="shared" si="22"/>
        <v>2.48</v>
      </c>
      <c r="B217" s="609" t="str">
        <f>IF(LEFT(F217,1)="B",VLOOKUP(A217,COPY!$A$2:$AC$1000,4,FALSE),"")</f>
        <v/>
      </c>
      <c r="C217" s="586"/>
      <c r="D217" s="553"/>
      <c r="E217" s="553"/>
      <c r="F217" s="557" t="str">
        <f>IF(LEN(A217)&gt;2,LEFT(VLOOKUP(A217,COPY!$A$2:$AC$1000,29,FALSE),6),"")</f>
        <v>0</v>
      </c>
      <c r="G217" s="558">
        <f>_xlfn.IFNA(IF(TEXT(F217,0)="Terima","",VLOOKUP(A217,COPY!$A$2:$AC$1000,29,FALSE)),"")</f>
        <v>0</v>
      </c>
      <c r="H217" s="425"/>
      <c r="I217" s="559"/>
      <c r="J217" s="555"/>
      <c r="K217" s="608">
        <f>_xlfn.IFNA(IF(TEXT(F217,0)="Terima",0,VLOOKUP(A217,COPY!$A$2:$AC$1000,26,FALSE)),0)</f>
        <v>0</v>
      </c>
      <c r="L217" s="548">
        <f t="shared" si="19"/>
        <v>0</v>
      </c>
      <c r="M217" s="549">
        <f t="shared" si="20"/>
        <v>-36090915</v>
      </c>
      <c r="O217" s="538">
        <f t="shared" si="21"/>
        <v>-36090915</v>
      </c>
      <c r="P217" s="550"/>
      <c r="Q217" s="551"/>
    </row>
    <row r="218" spans="1:17" s="253" customFormat="1" ht="20.100000000000001" hidden="1" customHeight="1" x14ac:dyDescent="0.25">
      <c r="A218" s="253" t="str">
        <f t="shared" si="22"/>
        <v>2.49</v>
      </c>
      <c r="B218" s="609" t="str">
        <f>IF(LEFT(F218,1)="B",VLOOKUP(A218,COPY!$A$2:$AC$1000,4,FALSE),"")</f>
        <v/>
      </c>
      <c r="C218" s="586"/>
      <c r="D218" s="553"/>
      <c r="E218" s="553"/>
      <c r="F218" s="557" t="str">
        <f>IF(LEN(A218)&gt;2,LEFT(VLOOKUP(A218,COPY!$A$2:$AC$1000,29,FALSE),6),"")</f>
        <v>0</v>
      </c>
      <c r="G218" s="558">
        <f>_xlfn.IFNA(IF(TEXT(F218,0)="Terima","",VLOOKUP(A218,COPY!$A$2:$AC$1000,29,FALSE)),"")</f>
        <v>0</v>
      </c>
      <c r="H218" s="425"/>
      <c r="I218" s="559"/>
      <c r="J218" s="555"/>
      <c r="K218" s="608">
        <f>_xlfn.IFNA(IF(TEXT(F218,0)="Terima",0,VLOOKUP(A218,COPY!$A$2:$AC$1000,26,FALSE)),0)</f>
        <v>0</v>
      </c>
      <c r="L218" s="548">
        <f t="shared" si="19"/>
        <v>0</v>
      </c>
      <c r="M218" s="549">
        <f t="shared" si="20"/>
        <v>-36090915</v>
      </c>
      <c r="O218" s="538">
        <f t="shared" si="21"/>
        <v>-36090915</v>
      </c>
      <c r="P218" s="550"/>
      <c r="Q218" s="551"/>
    </row>
    <row r="219" spans="1:17" s="253" customFormat="1" ht="20.100000000000001" customHeight="1" x14ac:dyDescent="0.25">
      <c r="A219" s="253" t="str">
        <f t="shared" si="22"/>
        <v>2.50</v>
      </c>
      <c r="B219" s="609">
        <f>IF(LEFT(F219,1)="B",VLOOKUP(A219,COPY!$A$2:$AC$1000,4,FALSE),"")</f>
        <v>45948</v>
      </c>
      <c r="C219" s="586"/>
      <c r="D219" s="553"/>
      <c r="E219" s="553"/>
      <c r="F219" s="557" t="str">
        <f>IF(LEN(A219)&gt;2,LEFT(VLOOKUP(A219,COPY!$A$2:$AC$1000,29,FALSE),6),"")</f>
        <v xml:space="preserve">Bayar </v>
      </c>
      <c r="G219" s="558" t="str">
        <f>_xlfn.IFNA(IF(TEXT(F219,0)="Terima","",VLOOKUP(A219,COPY!$A$2:$AC$1000,29,FALSE)),"")</f>
        <v>Bayar Pajak PPN (11 %) BKK.47</v>
      </c>
      <c r="H219" s="425"/>
      <c r="I219" s="559"/>
      <c r="J219" s="555"/>
      <c r="K219" s="608">
        <f>_xlfn.IFNA(IF(TEXT(F219,0)="Terima",0,VLOOKUP(A219,COPY!$A$2:$AC$1000,26,FALSE)),0)</f>
        <v>242000</v>
      </c>
      <c r="L219" s="548">
        <f t="shared" si="19"/>
        <v>0</v>
      </c>
      <c r="M219" s="549">
        <f t="shared" si="20"/>
        <v>-36332915</v>
      </c>
      <c r="O219" s="538">
        <f t="shared" si="21"/>
        <v>-36332915</v>
      </c>
      <c r="P219" s="550"/>
      <c r="Q219" s="551"/>
    </row>
    <row r="220" spans="1:17" s="253" customFormat="1" ht="20.100000000000001" customHeight="1" x14ac:dyDescent="0.25">
      <c r="A220" s="253" t="str">
        <f t="shared" si="22"/>
        <v>2.51</v>
      </c>
      <c r="B220" s="609">
        <f>IF(LEFT(F220,1)="B",VLOOKUP(A220,COPY!$A$2:$AC$1000,4,FALSE),"")</f>
        <v>45948</v>
      </c>
      <c r="C220" s="586"/>
      <c r="D220" s="553"/>
      <c r="E220" s="553"/>
      <c r="F220" s="557" t="str">
        <f>IF(LEN(A220)&gt;2,LEFT(VLOOKUP(A220,COPY!$A$2:$AC$1000,29,FALSE),6),"")</f>
        <v xml:space="preserve">Bayar </v>
      </c>
      <c r="G220" s="558" t="str">
        <f>_xlfn.IFNA(IF(TEXT(F220,0)="Terima","",VLOOKUP(A220,COPY!$A$2:$AC$1000,29,FALSE)),"")</f>
        <v>Bayar Pajak PPH (1,5 %) BKK.47</v>
      </c>
      <c r="H220" s="425"/>
      <c r="I220" s="559"/>
      <c r="J220" s="555"/>
      <c r="K220" s="608">
        <f>_xlfn.IFNA(IF(TEXT(F220,0)="Terima",0,VLOOKUP(A220,COPY!$A$2:$AC$1000,26,FALSE)),0)</f>
        <v>33000</v>
      </c>
      <c r="L220" s="548">
        <f t="shared" si="19"/>
        <v>0</v>
      </c>
      <c r="M220" s="549">
        <f t="shared" si="20"/>
        <v>-36365915</v>
      </c>
      <c r="O220" s="538">
        <f t="shared" si="21"/>
        <v>-36365915</v>
      </c>
      <c r="P220" s="550"/>
      <c r="Q220" s="551"/>
    </row>
    <row r="221" spans="1:17" s="253" customFormat="1" ht="20.100000000000001" hidden="1" customHeight="1" x14ac:dyDescent="0.25">
      <c r="A221" s="253" t="str">
        <f t="shared" si="22"/>
        <v>2.52</v>
      </c>
      <c r="B221" s="609" t="str">
        <f>IF(LEFT(F221,1)="B",VLOOKUP(A221,COPY!$A$2:$AC$1000,4,FALSE),"")</f>
        <v/>
      </c>
      <c r="C221" s="586"/>
      <c r="D221" s="553"/>
      <c r="E221" s="553"/>
      <c r="F221" s="557" t="str">
        <f>IF(LEN(A221)&gt;2,LEFT(VLOOKUP(A221,COPY!$A$2:$AC$1000,29,FALSE),6),"")</f>
        <v>0</v>
      </c>
      <c r="G221" s="558">
        <f>_xlfn.IFNA(IF(TEXT(F221,0)="Terima","",VLOOKUP(A221,COPY!$A$2:$AC$1000,29,FALSE)),"")</f>
        <v>0</v>
      </c>
      <c r="H221" s="425"/>
      <c r="I221" s="559"/>
      <c r="J221" s="555"/>
      <c r="K221" s="608">
        <f>_xlfn.IFNA(IF(TEXT(F221,0)="Terima",0,VLOOKUP(A221,COPY!$A$2:$AC$1000,26,FALSE)),0)</f>
        <v>0</v>
      </c>
      <c r="L221" s="548">
        <f t="shared" si="19"/>
        <v>0</v>
      </c>
      <c r="M221" s="549">
        <f t="shared" si="20"/>
        <v>-36365915</v>
      </c>
      <c r="O221" s="538">
        <f t="shared" si="21"/>
        <v>-36365915</v>
      </c>
      <c r="P221" s="550"/>
      <c r="Q221" s="551"/>
    </row>
    <row r="222" spans="1:17" s="253" customFormat="1" ht="20.100000000000001" hidden="1" customHeight="1" x14ac:dyDescent="0.25">
      <c r="A222" s="253" t="str">
        <f t="shared" si="22"/>
        <v>2.53</v>
      </c>
      <c r="B222" s="609" t="str">
        <f>IF(LEFT(F222,1)="B",VLOOKUP(A222,COPY!$A$2:$AC$1000,4,FALSE),"")</f>
        <v/>
      </c>
      <c r="C222" s="586"/>
      <c r="D222" s="553"/>
      <c r="E222" s="553"/>
      <c r="F222" s="557" t="str">
        <f>IF(LEN(A222)&gt;2,LEFT(VLOOKUP(A222,COPY!$A$2:$AC$1000,29,FALSE),6),"")</f>
        <v>0</v>
      </c>
      <c r="G222" s="558">
        <f>_xlfn.IFNA(IF(TEXT(F222,0)="Terima","",VLOOKUP(A222,COPY!$A$2:$AC$1000,29,FALSE)),"")</f>
        <v>0</v>
      </c>
      <c r="H222" s="425"/>
      <c r="I222" s="559"/>
      <c r="J222" s="555"/>
      <c r="K222" s="608">
        <f>_xlfn.IFNA(IF(TEXT(F222,0)="Terima",0,VLOOKUP(A222,COPY!$A$2:$AC$1000,26,FALSE)),0)</f>
        <v>0</v>
      </c>
      <c r="L222" s="548">
        <f t="shared" si="19"/>
        <v>0</v>
      </c>
      <c r="M222" s="549">
        <f t="shared" si="20"/>
        <v>-36365915</v>
      </c>
      <c r="O222" s="538">
        <f t="shared" si="21"/>
        <v>-36365915</v>
      </c>
      <c r="P222" s="550"/>
      <c r="Q222" s="551"/>
    </row>
    <row r="223" spans="1:17" s="253" customFormat="1" ht="20.100000000000001" hidden="1" customHeight="1" x14ac:dyDescent="0.25">
      <c r="A223" s="253" t="str">
        <f t="shared" si="22"/>
        <v>2.54</v>
      </c>
      <c r="B223" s="609" t="str">
        <f>IF(LEFT(F223,1)="B",VLOOKUP(A223,COPY!$A$2:$AC$1000,4,FALSE),"")</f>
        <v/>
      </c>
      <c r="C223" s="586"/>
      <c r="D223" s="553"/>
      <c r="E223" s="553"/>
      <c r="F223" s="557" t="str">
        <f>IF(LEN(A223)&gt;2,LEFT(VLOOKUP(A223,COPY!$A$2:$AC$1000,29,FALSE),6),"")</f>
        <v>0</v>
      </c>
      <c r="G223" s="558">
        <f>_xlfn.IFNA(IF(TEXT(F223,0)="Terima","",VLOOKUP(A223,COPY!$A$2:$AC$1000,29,FALSE)),"")</f>
        <v>0</v>
      </c>
      <c r="H223" s="425"/>
      <c r="I223" s="559"/>
      <c r="J223" s="555"/>
      <c r="K223" s="608">
        <f>_xlfn.IFNA(IF(TEXT(F223,0)="Terima",0,VLOOKUP(A223,COPY!$A$2:$AC$1000,26,FALSE)),0)</f>
        <v>0</v>
      </c>
      <c r="L223" s="548">
        <f t="shared" si="19"/>
        <v>0</v>
      </c>
      <c r="M223" s="549">
        <f t="shared" si="20"/>
        <v>-36365915</v>
      </c>
      <c r="O223" s="538">
        <f t="shared" si="21"/>
        <v>-36365915</v>
      </c>
      <c r="P223" s="550"/>
      <c r="Q223" s="551"/>
    </row>
    <row r="224" spans="1:17" s="253" customFormat="1" ht="20.100000000000001" hidden="1" customHeight="1" x14ac:dyDescent="0.25">
      <c r="A224" s="253" t="str">
        <f t="shared" si="22"/>
        <v>2.55</v>
      </c>
      <c r="B224" s="609" t="str">
        <f>IF(LEFT(F224,1)="B",VLOOKUP(A224,COPY!$A$2:$AC$1000,4,FALSE),"")</f>
        <v/>
      </c>
      <c r="C224" s="586"/>
      <c r="D224" s="553"/>
      <c r="E224" s="553"/>
      <c r="F224" s="557" t="str">
        <f>IF(LEN(A224)&gt;2,LEFT(VLOOKUP(A224,COPY!$A$2:$AC$1000,29,FALSE),6),"")</f>
        <v>0</v>
      </c>
      <c r="G224" s="558">
        <f>_xlfn.IFNA(IF(TEXT(F224,0)="Terima","",VLOOKUP(A224,COPY!$A$2:$AC$1000,29,FALSE)),"")</f>
        <v>0</v>
      </c>
      <c r="H224" s="425"/>
      <c r="I224" s="559"/>
      <c r="J224" s="555"/>
      <c r="K224" s="608">
        <f>_xlfn.IFNA(IF(TEXT(F224,0)="Terima",0,VLOOKUP(A224,COPY!$A$2:$AC$1000,26,FALSE)),0)</f>
        <v>0</v>
      </c>
      <c r="L224" s="548">
        <f t="shared" si="19"/>
        <v>0</v>
      </c>
      <c r="M224" s="549">
        <f t="shared" si="20"/>
        <v>-36365915</v>
      </c>
      <c r="O224" s="538">
        <f t="shared" si="21"/>
        <v>-36365915</v>
      </c>
      <c r="P224" s="550"/>
      <c r="Q224" s="551"/>
    </row>
    <row r="225" spans="1:17" s="253" customFormat="1" ht="20.100000000000001" hidden="1" customHeight="1" x14ac:dyDescent="0.25">
      <c r="A225" s="253" t="str">
        <f t="shared" si="22"/>
        <v>2.56</v>
      </c>
      <c r="B225" s="609" t="str">
        <f>IF(LEFT(F225,1)="B",VLOOKUP(A225,COPY!$A$2:$AC$1000,4,FALSE),"")</f>
        <v/>
      </c>
      <c r="C225" s="586"/>
      <c r="D225" s="553"/>
      <c r="E225" s="553"/>
      <c r="F225" s="557" t="str">
        <f>IF(LEN(A225)&gt;2,LEFT(VLOOKUP(A225,COPY!$A$2:$AC$1000,29,FALSE),6),"")</f>
        <v>0</v>
      </c>
      <c r="G225" s="558">
        <f>_xlfn.IFNA(IF(TEXT(F225,0)="Terima","",VLOOKUP(A225,COPY!$A$2:$AC$1000,29,FALSE)),"")</f>
        <v>0</v>
      </c>
      <c r="H225" s="425"/>
      <c r="I225" s="559"/>
      <c r="J225" s="555"/>
      <c r="K225" s="608">
        <f>_xlfn.IFNA(IF(TEXT(F225,0)="Terima",0,VLOOKUP(A225,COPY!$A$2:$AC$1000,26,FALSE)),0)</f>
        <v>0</v>
      </c>
      <c r="L225" s="548">
        <f t="shared" si="19"/>
        <v>0</v>
      </c>
      <c r="M225" s="549">
        <f t="shared" si="20"/>
        <v>-36365915</v>
      </c>
      <c r="O225" s="538">
        <f t="shared" si="21"/>
        <v>-36365915</v>
      </c>
      <c r="P225" s="550"/>
      <c r="Q225" s="551"/>
    </row>
    <row r="226" spans="1:17" s="253" customFormat="1" ht="20.100000000000001" hidden="1" customHeight="1" x14ac:dyDescent="0.25">
      <c r="A226" s="253" t="str">
        <f t="shared" si="22"/>
        <v>2.57</v>
      </c>
      <c r="B226" s="609" t="str">
        <f>IF(LEFT(F226,1)="B",VLOOKUP(A226,COPY!$A$2:$AC$1000,4,FALSE),"")</f>
        <v/>
      </c>
      <c r="C226" s="586"/>
      <c r="D226" s="553"/>
      <c r="E226" s="553"/>
      <c r="F226" s="557" t="str">
        <f>IF(LEN(A226)&gt;2,LEFT(VLOOKUP(A226,COPY!$A$2:$AC$1000,29,FALSE),6),"")</f>
        <v>0</v>
      </c>
      <c r="G226" s="558">
        <f>_xlfn.IFNA(IF(TEXT(F226,0)="Terima","",VLOOKUP(A226,COPY!$A$2:$AC$1000,29,FALSE)),"")</f>
        <v>0</v>
      </c>
      <c r="H226" s="425"/>
      <c r="I226" s="559"/>
      <c r="J226" s="555"/>
      <c r="K226" s="608">
        <f>_xlfn.IFNA(IF(TEXT(F226,0)="Terima",0,VLOOKUP(A226,COPY!$A$2:$AC$1000,26,FALSE)),0)</f>
        <v>0</v>
      </c>
      <c r="L226" s="548">
        <f t="shared" si="19"/>
        <v>0</v>
      </c>
      <c r="M226" s="549">
        <f t="shared" si="20"/>
        <v>-36365915</v>
      </c>
      <c r="O226" s="538">
        <f t="shared" si="21"/>
        <v>-36365915</v>
      </c>
      <c r="P226" s="550"/>
      <c r="Q226" s="551"/>
    </row>
    <row r="227" spans="1:17" s="253" customFormat="1" ht="20.100000000000001" hidden="1" customHeight="1" x14ac:dyDescent="0.25">
      <c r="A227" s="253" t="str">
        <f t="shared" si="22"/>
        <v>2.58</v>
      </c>
      <c r="B227" s="609" t="str">
        <f>IF(LEFT(F227,1)="B",VLOOKUP(A227,COPY!$A$2:$AC$1000,4,FALSE),"")</f>
        <v/>
      </c>
      <c r="C227" s="586"/>
      <c r="D227" s="553"/>
      <c r="E227" s="553"/>
      <c r="F227" s="557" t="str">
        <f>IF(LEN(A227)&gt;2,LEFT(VLOOKUP(A227,COPY!$A$2:$AC$1000,29,FALSE),6),"")</f>
        <v>0</v>
      </c>
      <c r="G227" s="558">
        <f>_xlfn.IFNA(IF(TEXT(F227,0)="Terima","",VLOOKUP(A227,COPY!$A$2:$AC$1000,29,FALSE)),"")</f>
        <v>0</v>
      </c>
      <c r="H227" s="425"/>
      <c r="I227" s="559"/>
      <c r="J227" s="555"/>
      <c r="K227" s="608">
        <f>_xlfn.IFNA(IF(TEXT(F227,0)="Terima",0,VLOOKUP(A227,COPY!$A$2:$AC$1000,26,FALSE)),0)</f>
        <v>0</v>
      </c>
      <c r="L227" s="548">
        <f t="shared" si="19"/>
        <v>0</v>
      </c>
      <c r="M227" s="549">
        <f t="shared" si="20"/>
        <v>-36365915</v>
      </c>
      <c r="O227" s="538">
        <f t="shared" si="21"/>
        <v>-36365915</v>
      </c>
      <c r="P227" s="550"/>
      <c r="Q227" s="551"/>
    </row>
    <row r="228" spans="1:17" s="253" customFormat="1" ht="20.100000000000001" hidden="1" customHeight="1" x14ac:dyDescent="0.25">
      <c r="A228" s="253" t="str">
        <f t="shared" si="22"/>
        <v>2.59</v>
      </c>
      <c r="B228" s="609" t="str">
        <f>IF(LEFT(F228,1)="B",VLOOKUP(A228,COPY!$A$2:$AC$1000,4,FALSE),"")</f>
        <v/>
      </c>
      <c r="C228" s="586"/>
      <c r="D228" s="553"/>
      <c r="E228" s="553"/>
      <c r="F228" s="557" t="str">
        <f>IF(LEN(A228)&gt;2,LEFT(VLOOKUP(A228,COPY!$A$2:$AC$1000,29,FALSE),6),"")</f>
        <v>0</v>
      </c>
      <c r="G228" s="558">
        <f>_xlfn.IFNA(IF(TEXT(F228,0)="Terima","",VLOOKUP(A228,COPY!$A$2:$AC$1000,29,FALSE)),"")</f>
        <v>0</v>
      </c>
      <c r="H228" s="425"/>
      <c r="I228" s="559"/>
      <c r="J228" s="555"/>
      <c r="K228" s="608">
        <f>_xlfn.IFNA(IF(TEXT(F228,0)="Terima",0,VLOOKUP(A228,COPY!$A$2:$AC$1000,26,FALSE)),0)</f>
        <v>0</v>
      </c>
      <c r="L228" s="548">
        <f t="shared" si="19"/>
        <v>0</v>
      </c>
      <c r="M228" s="549">
        <f t="shared" si="20"/>
        <v>-36365915</v>
      </c>
      <c r="O228" s="538">
        <f t="shared" si="21"/>
        <v>-36365915</v>
      </c>
      <c r="P228" s="550"/>
      <c r="Q228" s="551"/>
    </row>
    <row r="229" spans="1:17" s="253" customFormat="1" ht="20.100000000000001" hidden="1" customHeight="1" x14ac:dyDescent="0.25">
      <c r="A229" s="253" t="str">
        <f t="shared" si="22"/>
        <v>2.60</v>
      </c>
      <c r="B229" s="609" t="str">
        <f>IF(LEFT(F229,1)="B",VLOOKUP(A229,COPY!$A$2:$AC$1000,4,FALSE),"")</f>
        <v/>
      </c>
      <c r="C229" s="586"/>
      <c r="D229" s="553"/>
      <c r="E229" s="553"/>
      <c r="F229" s="557" t="str">
        <f>IF(LEN(A229)&gt;2,LEFT(VLOOKUP(A229,COPY!$A$2:$AC$1000,29,FALSE),6),"")</f>
        <v>0</v>
      </c>
      <c r="G229" s="558">
        <f>_xlfn.IFNA(IF(TEXT(F229,0)="Terima","",VLOOKUP(A229,COPY!$A$2:$AC$1000,29,FALSE)),"")</f>
        <v>0</v>
      </c>
      <c r="H229" s="425"/>
      <c r="I229" s="559"/>
      <c r="J229" s="555"/>
      <c r="K229" s="608">
        <f>_xlfn.IFNA(IF(TEXT(F229,0)="Terima",0,VLOOKUP(A229,COPY!$A$2:$AC$1000,26,FALSE)),0)</f>
        <v>0</v>
      </c>
      <c r="L229" s="548">
        <f t="shared" si="19"/>
        <v>0</v>
      </c>
      <c r="M229" s="549">
        <f t="shared" si="20"/>
        <v>-36365915</v>
      </c>
      <c r="O229" s="538">
        <f t="shared" si="21"/>
        <v>-36365915</v>
      </c>
      <c r="P229" s="550"/>
      <c r="Q229" s="551"/>
    </row>
    <row r="230" spans="1:17" s="253" customFormat="1" ht="20.100000000000001" hidden="1" customHeight="1" x14ac:dyDescent="0.25">
      <c r="A230" s="253" t="str">
        <f t="shared" si="22"/>
        <v>2.61</v>
      </c>
      <c r="B230" s="609" t="str">
        <f>IF(LEFT(F230,1)="B",VLOOKUP(A230,COPY!$A$2:$AC$1000,4,FALSE),"")</f>
        <v/>
      </c>
      <c r="C230" s="586"/>
      <c r="D230" s="553"/>
      <c r="E230" s="553"/>
      <c r="F230" s="557" t="str">
        <f>IF(LEN(A230)&gt;2,LEFT(VLOOKUP(A230,COPY!$A$2:$AC$1000,29,FALSE),6),"")</f>
        <v>0</v>
      </c>
      <c r="G230" s="558">
        <f>_xlfn.IFNA(IF(TEXT(F230,0)="Terima","",VLOOKUP(A230,COPY!$A$2:$AC$1000,29,FALSE)),"")</f>
        <v>0</v>
      </c>
      <c r="H230" s="425"/>
      <c r="I230" s="559"/>
      <c r="J230" s="555"/>
      <c r="K230" s="608">
        <f>_xlfn.IFNA(IF(TEXT(F230,0)="Terima",0,VLOOKUP(A230,COPY!$A$2:$AC$1000,26,FALSE)),0)</f>
        <v>0</v>
      </c>
      <c r="L230" s="548">
        <f t="shared" si="19"/>
        <v>0</v>
      </c>
      <c r="M230" s="549">
        <f t="shared" si="20"/>
        <v>-36365915</v>
      </c>
      <c r="O230" s="538">
        <f t="shared" si="21"/>
        <v>-36365915</v>
      </c>
      <c r="P230" s="550"/>
      <c r="Q230" s="551"/>
    </row>
    <row r="231" spans="1:17" s="253" customFormat="1" ht="20.100000000000001" hidden="1" customHeight="1" x14ac:dyDescent="0.25">
      <c r="A231" s="253" t="str">
        <f t="shared" si="22"/>
        <v>2.62</v>
      </c>
      <c r="B231" s="609" t="str">
        <f>IF(LEFT(F231,1)="B",VLOOKUP(A231,COPY!$A$2:$AC$1000,4,FALSE),"")</f>
        <v/>
      </c>
      <c r="C231" s="586"/>
      <c r="D231" s="553"/>
      <c r="E231" s="553"/>
      <c r="F231" s="557" t="str">
        <f>IF(LEN(A231)&gt;2,LEFT(VLOOKUP(A231,COPY!$A$2:$AC$1000,29,FALSE),6),"")</f>
        <v>0</v>
      </c>
      <c r="G231" s="558">
        <f>_xlfn.IFNA(IF(TEXT(F231,0)="Terima","",VLOOKUP(A231,COPY!$A$2:$AC$1000,29,FALSE)),"")</f>
        <v>0</v>
      </c>
      <c r="H231" s="425"/>
      <c r="I231" s="559"/>
      <c r="J231" s="555"/>
      <c r="K231" s="608">
        <f>_xlfn.IFNA(IF(TEXT(F231,0)="Terima",0,VLOOKUP(A231,COPY!$A$2:$AC$1000,26,FALSE)),0)</f>
        <v>0</v>
      </c>
      <c r="L231" s="548">
        <f t="shared" si="19"/>
        <v>0</v>
      </c>
      <c r="M231" s="549">
        <f t="shared" si="20"/>
        <v>-36365915</v>
      </c>
      <c r="O231" s="538">
        <f t="shared" si="21"/>
        <v>-36365915</v>
      </c>
      <c r="P231" s="550"/>
      <c r="Q231" s="551"/>
    </row>
    <row r="232" spans="1:17" s="253" customFormat="1" ht="20.100000000000001" hidden="1" customHeight="1" x14ac:dyDescent="0.25">
      <c r="A232" s="253" t="str">
        <f t="shared" si="22"/>
        <v>2.63</v>
      </c>
      <c r="B232" s="609" t="str">
        <f>IF(LEFT(F232,1)="B",VLOOKUP(A232,COPY!$A$2:$AC$1000,4,FALSE),"")</f>
        <v/>
      </c>
      <c r="C232" s="586"/>
      <c r="D232" s="553"/>
      <c r="E232" s="553"/>
      <c r="F232" s="557" t="str">
        <f>IF(LEN(A232)&gt;2,LEFT(VLOOKUP(A232,COPY!$A$2:$AC$1000,29,FALSE),6),"")</f>
        <v>0</v>
      </c>
      <c r="G232" s="558">
        <f>_xlfn.IFNA(IF(TEXT(F232,0)="Terima","",VLOOKUP(A232,COPY!$A$2:$AC$1000,29,FALSE)),"")</f>
        <v>0</v>
      </c>
      <c r="H232" s="425"/>
      <c r="I232" s="559"/>
      <c r="J232" s="555"/>
      <c r="K232" s="608">
        <f>_xlfn.IFNA(IF(TEXT(F232,0)="Terima",0,VLOOKUP(A232,COPY!$A$2:$AC$1000,26,FALSE)),0)</f>
        <v>0</v>
      </c>
      <c r="L232" s="548">
        <f t="shared" si="19"/>
        <v>0</v>
      </c>
      <c r="M232" s="549">
        <f t="shared" si="20"/>
        <v>-36365915</v>
      </c>
      <c r="O232" s="538">
        <f t="shared" si="21"/>
        <v>-36365915</v>
      </c>
      <c r="P232" s="550"/>
      <c r="Q232" s="551"/>
    </row>
    <row r="233" spans="1:17" s="253" customFormat="1" ht="20.100000000000001" hidden="1" customHeight="1" x14ac:dyDescent="0.25">
      <c r="A233" s="253" t="str">
        <f t="shared" si="22"/>
        <v>2.64</v>
      </c>
      <c r="B233" s="609" t="str">
        <f>IF(LEFT(F233,1)="B",VLOOKUP(A233,COPY!$A$2:$AC$1000,4,FALSE),"")</f>
        <v/>
      </c>
      <c r="C233" s="586"/>
      <c r="D233" s="553"/>
      <c r="E233" s="553"/>
      <c r="F233" s="557" t="str">
        <f>IF(LEN(A233)&gt;2,LEFT(VLOOKUP(A233,COPY!$A$2:$AC$1000,29,FALSE),6),"")</f>
        <v>0</v>
      </c>
      <c r="G233" s="558">
        <f>_xlfn.IFNA(IF(TEXT(F233,0)="Terima","",VLOOKUP(A233,COPY!$A$2:$AC$1000,29,FALSE)),"")</f>
        <v>0</v>
      </c>
      <c r="H233" s="425"/>
      <c r="I233" s="559"/>
      <c r="J233" s="555"/>
      <c r="K233" s="608">
        <f>_xlfn.IFNA(IF(TEXT(F233,0)="Terima",0,VLOOKUP(A233,COPY!$A$2:$AC$1000,26,FALSE)),0)</f>
        <v>0</v>
      </c>
      <c r="L233" s="548">
        <f t="shared" si="19"/>
        <v>0</v>
      </c>
      <c r="M233" s="549">
        <f t="shared" si="20"/>
        <v>-36365915</v>
      </c>
      <c r="O233" s="538">
        <f t="shared" si="21"/>
        <v>-36365915</v>
      </c>
      <c r="P233" s="550"/>
      <c r="Q233" s="551"/>
    </row>
    <row r="234" spans="1:17" s="253" customFormat="1" ht="20.100000000000001" customHeight="1" x14ac:dyDescent="0.25">
      <c r="A234" s="253" t="str">
        <f t="shared" si="22"/>
        <v>2.65</v>
      </c>
      <c r="B234" s="609">
        <f>IF(LEFT(F234,1)="B",VLOOKUP(A234,COPY!$A$2:$AC$1000,4,FALSE),"")</f>
        <v>45954</v>
      </c>
      <c r="C234" s="586"/>
      <c r="D234" s="553"/>
      <c r="E234" s="553"/>
      <c r="F234" s="557" t="str">
        <f>IF(LEN(A234)&gt;2,LEFT(VLOOKUP(A234,COPY!$A$2:$AC$1000,29,FALSE),6),"")</f>
        <v xml:space="preserve">Bayar </v>
      </c>
      <c r="G234" s="558" t="str">
        <f>_xlfn.IFNA(IF(TEXT(F234,0)="Terima","",VLOOKUP(A234,COPY!$A$2:$AC$1000,29,FALSE)),"")</f>
        <v>Bayar Pajak PPN (11 %) BKK.53</v>
      </c>
      <c r="H234" s="425"/>
      <c r="I234" s="559"/>
      <c r="J234" s="555"/>
      <c r="K234" s="608">
        <f>_xlfn.IFNA(IF(TEXT(F234,0)="Terima",0,VLOOKUP(A234,COPY!$A$2:$AC$1000,26,FALSE)),0)</f>
        <v>227700</v>
      </c>
      <c r="L234" s="548">
        <f t="shared" ref="L234:L297" si="23">IF(K234&gt;0,IF(O234&gt;=0,O234,IF(O234&lt;0,0,0)),0)</f>
        <v>0</v>
      </c>
      <c r="M234" s="549">
        <f t="shared" ref="M234:M297" si="24">IF(O234&lt;0,O234,IF(O234&gt;=0,0,0))</f>
        <v>-36593615</v>
      </c>
      <c r="O234" s="538">
        <f t="shared" ref="O234:O297" si="25">IF(J234&gt;0,O233+J234,IF(K234&gt;0,O233-K234,O233))</f>
        <v>-36593615</v>
      </c>
      <c r="P234" s="550"/>
      <c r="Q234" s="551"/>
    </row>
    <row r="235" spans="1:17" s="253" customFormat="1" ht="20.100000000000001" customHeight="1" x14ac:dyDescent="0.25">
      <c r="A235" s="253" t="str">
        <f t="shared" ref="A235:A298" si="26">A80</f>
        <v>2.66</v>
      </c>
      <c r="B235" s="609" t="str">
        <f>IF(LEFT(F235,1)="B",VLOOKUP(A235,COPY!$A$2:$AC$1000,4,FALSE),"")</f>
        <v/>
      </c>
      <c r="C235" s="586"/>
      <c r="D235" s="553"/>
      <c r="E235" s="553"/>
      <c r="F235" s="557" t="str">
        <f>IF(LEN(A235)&gt;2,LEFT(VLOOKUP(A235,COPY!$A$2:$AC$1000,29,FALSE),6),"")</f>
        <v xml:space="preserve">Bayar </v>
      </c>
      <c r="G235" s="558" t="str">
        <f>_xlfn.IFNA(IF(TEXT(F235,0)="Terima","",VLOOKUP(A235,COPY!$A$2:$AC$1000,29,FALSE)),"")</f>
        <v>Bayar Pajak PPH (1,5 %) BKK.53</v>
      </c>
      <c r="H235" s="425"/>
      <c r="I235" s="559"/>
      <c r="J235" s="555"/>
      <c r="K235" s="608">
        <f>_xlfn.IFNA(IF(TEXT(F235,0)="Terima",0,VLOOKUP(A235,COPY!$A$2:$AC$1000,26,FALSE)),0)</f>
        <v>31050</v>
      </c>
      <c r="L235" s="548">
        <f t="shared" si="23"/>
        <v>0</v>
      </c>
      <c r="M235" s="549">
        <f t="shared" si="24"/>
        <v>-36624665</v>
      </c>
      <c r="O235" s="538">
        <f t="shared" si="25"/>
        <v>-36624665</v>
      </c>
      <c r="P235" s="550"/>
      <c r="Q235" s="551"/>
    </row>
    <row r="236" spans="1:17" s="253" customFormat="1" ht="20.100000000000001" customHeight="1" x14ac:dyDescent="0.25">
      <c r="A236" s="253" t="str">
        <f t="shared" si="26"/>
        <v>2.67</v>
      </c>
      <c r="B236" s="609">
        <f>IF(LEFT(F236,1)="B",VLOOKUP(A236,COPY!$A$2:$AC$1000,4,FALSE),"")</f>
        <v>45955</v>
      </c>
      <c r="C236" s="586"/>
      <c r="D236" s="553"/>
      <c r="E236" s="553"/>
      <c r="F236" s="557" t="str">
        <f>IF(LEN(A236)&gt;2,LEFT(VLOOKUP(A236,COPY!$A$2:$AC$1000,29,FALSE),6),"")</f>
        <v xml:space="preserve">Bayar </v>
      </c>
      <c r="G236" s="558" t="str">
        <f>_xlfn.IFNA(IF(TEXT(F236,0)="Terima","",VLOOKUP(A236,COPY!$A$2:$AC$1000,29,FALSE)),"")</f>
        <v>Bayar Pajak PPN (11 %) BKK.54</v>
      </c>
      <c r="H236" s="425"/>
      <c r="I236" s="559"/>
      <c r="J236" s="555"/>
      <c r="K236" s="608">
        <f>_xlfn.IFNA(IF(TEXT(F236,0)="Terima",0,VLOOKUP(A236,COPY!$A$2:$AC$1000,26,FALSE)),0)</f>
        <v>245850</v>
      </c>
      <c r="L236" s="548">
        <f t="shared" si="23"/>
        <v>0</v>
      </c>
      <c r="M236" s="549">
        <f t="shared" si="24"/>
        <v>-36870515</v>
      </c>
      <c r="O236" s="538">
        <f t="shared" si="25"/>
        <v>-36870515</v>
      </c>
      <c r="P236" s="550"/>
      <c r="Q236" s="551"/>
    </row>
    <row r="237" spans="1:17" s="253" customFormat="1" ht="20.100000000000001" customHeight="1" x14ac:dyDescent="0.25">
      <c r="A237" s="253" t="str">
        <f t="shared" si="26"/>
        <v>2.68</v>
      </c>
      <c r="B237" s="609" t="str">
        <f>IF(LEFT(F237,1)="B",VLOOKUP(A237,COPY!$A$2:$AC$1000,4,FALSE),"")</f>
        <v/>
      </c>
      <c r="C237" s="586"/>
      <c r="D237" s="553"/>
      <c r="E237" s="553"/>
      <c r="F237" s="557" t="str">
        <f>IF(LEN(A237)&gt;2,LEFT(VLOOKUP(A237,COPY!$A$2:$AC$1000,29,FALSE),6),"")</f>
        <v xml:space="preserve">Bayar </v>
      </c>
      <c r="G237" s="558" t="str">
        <f>_xlfn.IFNA(IF(TEXT(F237,0)="Terima","",VLOOKUP(A237,COPY!$A$2:$AC$1000,29,FALSE)),"")</f>
        <v>Bayar Pajak PPH (1,5 %) BKK.54</v>
      </c>
      <c r="H237" s="425"/>
      <c r="I237" s="559"/>
      <c r="J237" s="555"/>
      <c r="K237" s="608">
        <f>_xlfn.IFNA(IF(TEXT(F237,0)="Terima",0,VLOOKUP(A237,COPY!$A$2:$AC$1000,26,FALSE)),0)</f>
        <v>33525</v>
      </c>
      <c r="L237" s="548">
        <f t="shared" si="23"/>
        <v>0</v>
      </c>
      <c r="M237" s="549">
        <f t="shared" si="24"/>
        <v>-36904040</v>
      </c>
      <c r="O237" s="538">
        <f t="shared" si="25"/>
        <v>-36904040</v>
      </c>
      <c r="P237" s="550"/>
      <c r="Q237" s="551"/>
    </row>
    <row r="238" spans="1:17" s="253" customFormat="1" ht="20.100000000000001" hidden="1" customHeight="1" x14ac:dyDescent="0.25">
      <c r="A238" s="253" t="str">
        <f t="shared" si="26"/>
        <v>2.69</v>
      </c>
      <c r="B238" s="609" t="str">
        <f>IF(LEFT(F238,1)="B",VLOOKUP(A238,COPY!$A$2:$AC$1000,4,FALSE),"")</f>
        <v/>
      </c>
      <c r="C238" s="586"/>
      <c r="D238" s="553"/>
      <c r="E238" s="553"/>
      <c r="F238" s="557" t="str">
        <f>IF(LEN(A238)&gt;2,LEFT(VLOOKUP(A238,COPY!$A$2:$AC$1000,29,FALSE),6),"")</f>
        <v>0</v>
      </c>
      <c r="G238" s="558">
        <f>_xlfn.IFNA(IF(TEXT(F238,0)="Terima","",VLOOKUP(A238,COPY!$A$2:$AC$1000,29,FALSE)),"")</f>
        <v>0</v>
      </c>
      <c r="H238" s="425"/>
      <c r="I238" s="559"/>
      <c r="J238" s="555"/>
      <c r="K238" s="608">
        <f>_xlfn.IFNA(IF(TEXT(F238,0)="Terima",0,VLOOKUP(A238,COPY!$A$2:$AC$1000,26,FALSE)),0)</f>
        <v>0</v>
      </c>
      <c r="L238" s="548">
        <f t="shared" si="23"/>
        <v>0</v>
      </c>
      <c r="M238" s="549">
        <f t="shared" si="24"/>
        <v>-36904040</v>
      </c>
      <c r="O238" s="538">
        <f t="shared" si="25"/>
        <v>-36904040</v>
      </c>
      <c r="P238" s="550"/>
      <c r="Q238" s="551"/>
    </row>
    <row r="239" spans="1:17" s="253" customFormat="1" ht="20.100000000000001" hidden="1" customHeight="1" x14ac:dyDescent="0.25">
      <c r="A239" s="253" t="str">
        <f t="shared" si="26"/>
        <v>2.70</v>
      </c>
      <c r="B239" s="609" t="str">
        <f>IF(LEFT(F239,1)="B",VLOOKUP(A239,COPY!$A$2:$AC$1000,4,FALSE),"")</f>
        <v/>
      </c>
      <c r="C239" s="586"/>
      <c r="D239" s="553"/>
      <c r="E239" s="553"/>
      <c r="F239" s="557" t="str">
        <f>IF(LEN(A239)&gt;2,LEFT(VLOOKUP(A239,COPY!$A$2:$AC$1000,29,FALSE),6),"")</f>
        <v>0</v>
      </c>
      <c r="G239" s="558">
        <f>_xlfn.IFNA(IF(TEXT(F239,0)="Terima","",VLOOKUP(A239,COPY!$A$2:$AC$1000,29,FALSE)),"")</f>
        <v>0</v>
      </c>
      <c r="H239" s="425"/>
      <c r="I239" s="559"/>
      <c r="J239" s="555"/>
      <c r="K239" s="608">
        <f>_xlfn.IFNA(IF(TEXT(F239,0)="Terima",0,VLOOKUP(A239,COPY!$A$2:$AC$1000,26,FALSE)),0)</f>
        <v>0</v>
      </c>
      <c r="L239" s="548">
        <f t="shared" si="23"/>
        <v>0</v>
      </c>
      <c r="M239" s="549">
        <f t="shared" si="24"/>
        <v>-36904040</v>
      </c>
      <c r="O239" s="538">
        <f t="shared" si="25"/>
        <v>-36904040</v>
      </c>
      <c r="P239" s="550"/>
      <c r="Q239" s="551"/>
    </row>
    <row r="240" spans="1:17" s="253" customFormat="1" ht="20.100000000000001" hidden="1" customHeight="1" x14ac:dyDescent="0.25">
      <c r="A240" s="253" t="str">
        <f t="shared" si="26"/>
        <v>2.71</v>
      </c>
      <c r="B240" s="609" t="str">
        <f>IF(LEFT(F240,1)="B",VLOOKUP(A240,COPY!$A$2:$AC$1000,4,FALSE),"")</f>
        <v/>
      </c>
      <c r="C240" s="586"/>
      <c r="D240" s="553"/>
      <c r="E240" s="553"/>
      <c r="F240" s="557" t="str">
        <f>IF(LEN(A240)&gt;2,LEFT(VLOOKUP(A240,COPY!$A$2:$AC$1000,29,FALSE),6),"")</f>
        <v>0</v>
      </c>
      <c r="G240" s="558">
        <f>_xlfn.IFNA(IF(TEXT(F240,0)="Terima","",VLOOKUP(A240,COPY!$A$2:$AC$1000,29,FALSE)),"")</f>
        <v>0</v>
      </c>
      <c r="H240" s="425"/>
      <c r="I240" s="559"/>
      <c r="J240" s="555"/>
      <c r="K240" s="608">
        <f>_xlfn.IFNA(IF(TEXT(F240,0)="Terima",0,VLOOKUP(A240,COPY!$A$2:$AC$1000,26,FALSE)),0)</f>
        <v>0</v>
      </c>
      <c r="L240" s="548">
        <f t="shared" si="23"/>
        <v>0</v>
      </c>
      <c r="M240" s="549">
        <f t="shared" si="24"/>
        <v>-36904040</v>
      </c>
      <c r="O240" s="538">
        <f t="shared" si="25"/>
        <v>-36904040</v>
      </c>
      <c r="P240" s="550"/>
      <c r="Q240" s="551"/>
    </row>
    <row r="241" spans="1:17" s="253" customFormat="1" ht="20.100000000000001" hidden="1" customHeight="1" x14ac:dyDescent="0.25">
      <c r="A241" s="253" t="str">
        <f t="shared" si="26"/>
        <v>2.72</v>
      </c>
      <c r="B241" s="609" t="str">
        <f>IF(LEFT(F241,1)="B",VLOOKUP(A241,COPY!$A$2:$AC$1000,4,FALSE),"")</f>
        <v/>
      </c>
      <c r="C241" s="586"/>
      <c r="D241" s="553"/>
      <c r="E241" s="553"/>
      <c r="F241" s="557" t="str">
        <f>IF(LEN(A241)&gt;2,LEFT(VLOOKUP(A241,COPY!$A$2:$AC$1000,29,FALSE),6),"")</f>
        <v>0</v>
      </c>
      <c r="G241" s="558">
        <f>_xlfn.IFNA(IF(TEXT(F241,0)="Terima","",VLOOKUP(A241,COPY!$A$2:$AC$1000,29,FALSE)),"")</f>
        <v>0</v>
      </c>
      <c r="H241" s="425"/>
      <c r="I241" s="559"/>
      <c r="J241" s="555"/>
      <c r="K241" s="608">
        <f>_xlfn.IFNA(IF(TEXT(F241,0)="Terima",0,VLOOKUP(A241,COPY!$A$2:$AC$1000,26,FALSE)),0)</f>
        <v>0</v>
      </c>
      <c r="L241" s="548">
        <f t="shared" si="23"/>
        <v>0</v>
      </c>
      <c r="M241" s="549">
        <f t="shared" si="24"/>
        <v>-36904040</v>
      </c>
      <c r="O241" s="538">
        <f t="shared" si="25"/>
        <v>-36904040</v>
      </c>
      <c r="P241" s="550"/>
      <c r="Q241" s="551"/>
    </row>
    <row r="242" spans="1:17" s="253" customFormat="1" ht="20.100000000000001" hidden="1" customHeight="1" x14ac:dyDescent="0.25">
      <c r="A242" s="253" t="str">
        <f t="shared" si="26"/>
        <v>2.73</v>
      </c>
      <c r="B242" s="609" t="str">
        <f>IF(LEFT(F242,1)="B",VLOOKUP(A242,COPY!$A$2:$AC$1000,4,FALSE),"")</f>
        <v/>
      </c>
      <c r="C242" s="586"/>
      <c r="D242" s="553"/>
      <c r="E242" s="553"/>
      <c r="F242" s="557" t="str">
        <f>IF(LEN(A242)&gt;2,LEFT(VLOOKUP(A242,COPY!$A$2:$AC$1000,29,FALSE),6),"")</f>
        <v>0</v>
      </c>
      <c r="G242" s="558">
        <f>_xlfn.IFNA(IF(TEXT(F242,0)="Terima","",VLOOKUP(A242,COPY!$A$2:$AC$1000,29,FALSE)),"")</f>
        <v>0</v>
      </c>
      <c r="H242" s="425"/>
      <c r="I242" s="559"/>
      <c r="J242" s="555"/>
      <c r="K242" s="608">
        <f>_xlfn.IFNA(IF(TEXT(F242,0)="Terima",0,VLOOKUP(A242,COPY!$A$2:$AC$1000,26,FALSE)),0)</f>
        <v>0</v>
      </c>
      <c r="L242" s="548">
        <f t="shared" si="23"/>
        <v>0</v>
      </c>
      <c r="M242" s="549">
        <f t="shared" si="24"/>
        <v>-36904040</v>
      </c>
      <c r="O242" s="538">
        <f t="shared" si="25"/>
        <v>-36904040</v>
      </c>
      <c r="P242" s="550"/>
      <c r="Q242" s="551"/>
    </row>
    <row r="243" spans="1:17" s="253" customFormat="1" ht="20.100000000000001" hidden="1" customHeight="1" x14ac:dyDescent="0.25">
      <c r="A243" s="253" t="str">
        <f t="shared" si="26"/>
        <v>2.74</v>
      </c>
      <c r="B243" s="609" t="str">
        <f>IF(LEFT(F243,1)="B",VLOOKUP(A243,COPY!$A$2:$AC$1000,4,FALSE),"")</f>
        <v/>
      </c>
      <c r="C243" s="586"/>
      <c r="D243" s="553"/>
      <c r="E243" s="553"/>
      <c r="F243" s="557" t="str">
        <f>IF(LEN(A243)&gt;2,LEFT(VLOOKUP(A243,COPY!$A$2:$AC$1000,29,FALSE),6),"")</f>
        <v>0</v>
      </c>
      <c r="G243" s="558">
        <f>_xlfn.IFNA(IF(TEXT(F243,0)="Terima","",VLOOKUP(A243,COPY!$A$2:$AC$1000,29,FALSE)),"")</f>
        <v>0</v>
      </c>
      <c r="H243" s="425"/>
      <c r="I243" s="559"/>
      <c r="J243" s="555"/>
      <c r="K243" s="608">
        <f>_xlfn.IFNA(IF(TEXT(F243,0)="Terima",0,VLOOKUP(A243,COPY!$A$2:$AC$1000,26,FALSE)),0)</f>
        <v>0</v>
      </c>
      <c r="L243" s="548">
        <f t="shared" si="23"/>
        <v>0</v>
      </c>
      <c r="M243" s="549">
        <f t="shared" si="24"/>
        <v>-36904040</v>
      </c>
      <c r="O243" s="538">
        <f t="shared" si="25"/>
        <v>-36904040</v>
      </c>
      <c r="P243" s="550"/>
      <c r="Q243" s="551"/>
    </row>
    <row r="244" spans="1:17" s="253" customFormat="1" ht="20.100000000000001" hidden="1" customHeight="1" x14ac:dyDescent="0.25">
      <c r="A244" s="253" t="str">
        <f t="shared" si="26"/>
        <v>2.75</v>
      </c>
      <c r="B244" s="609" t="str">
        <f>IF(LEFT(F244,1)="B",VLOOKUP(A244,COPY!$A$2:$AC$1000,4,FALSE),"")</f>
        <v/>
      </c>
      <c r="C244" s="586"/>
      <c r="D244" s="553"/>
      <c r="E244" s="553"/>
      <c r="F244" s="557" t="str">
        <f>IF(LEN(A244)&gt;2,LEFT(VLOOKUP(A244,COPY!$A$2:$AC$1000,29,FALSE),6),"")</f>
        <v>0</v>
      </c>
      <c r="G244" s="558">
        <f>_xlfn.IFNA(IF(TEXT(F244,0)="Terima","",VLOOKUP(A244,COPY!$A$2:$AC$1000,29,FALSE)),"")</f>
        <v>0</v>
      </c>
      <c r="H244" s="425"/>
      <c r="I244" s="559"/>
      <c r="J244" s="555"/>
      <c r="K244" s="608">
        <f>_xlfn.IFNA(IF(TEXT(F244,0)="Terima",0,VLOOKUP(A244,COPY!$A$2:$AC$1000,26,FALSE)),0)</f>
        <v>0</v>
      </c>
      <c r="L244" s="548">
        <f t="shared" si="23"/>
        <v>0</v>
      </c>
      <c r="M244" s="549">
        <f t="shared" si="24"/>
        <v>-36904040</v>
      </c>
      <c r="O244" s="538">
        <f t="shared" si="25"/>
        <v>-36904040</v>
      </c>
      <c r="P244" s="550"/>
      <c r="Q244" s="551"/>
    </row>
    <row r="245" spans="1:17" s="253" customFormat="1" ht="20.100000000000001" hidden="1" customHeight="1" x14ac:dyDescent="0.25">
      <c r="A245" s="253" t="str">
        <f t="shared" si="26"/>
        <v>2.76</v>
      </c>
      <c r="B245" s="609" t="str">
        <f>IF(LEFT(F245,1)="B",VLOOKUP(A245,COPY!$A$2:$AC$1000,4,FALSE),"")</f>
        <v/>
      </c>
      <c r="C245" s="586"/>
      <c r="D245" s="553"/>
      <c r="E245" s="553"/>
      <c r="F245" s="557" t="str">
        <f>IF(LEN(A245)&gt;2,LEFT(VLOOKUP(A245,COPY!$A$2:$AC$1000,29,FALSE),6),"")</f>
        <v>0</v>
      </c>
      <c r="G245" s="558">
        <f>_xlfn.IFNA(IF(TEXT(F245,0)="Terima","",VLOOKUP(A245,COPY!$A$2:$AC$1000,29,FALSE)),"")</f>
        <v>0</v>
      </c>
      <c r="H245" s="425"/>
      <c r="I245" s="559"/>
      <c r="J245" s="555"/>
      <c r="K245" s="608">
        <f>_xlfn.IFNA(IF(TEXT(F245,0)="Terima",0,VLOOKUP(A245,COPY!$A$2:$AC$1000,26,FALSE)),0)</f>
        <v>0</v>
      </c>
      <c r="L245" s="548">
        <f t="shared" si="23"/>
        <v>0</v>
      </c>
      <c r="M245" s="549">
        <f t="shared" si="24"/>
        <v>-36904040</v>
      </c>
      <c r="O245" s="538">
        <f t="shared" si="25"/>
        <v>-36904040</v>
      </c>
      <c r="P245" s="550"/>
      <c r="Q245" s="551"/>
    </row>
    <row r="246" spans="1:17" s="253" customFormat="1" ht="20.100000000000001" hidden="1" customHeight="1" x14ac:dyDescent="0.25">
      <c r="A246" s="253" t="str">
        <f t="shared" si="26"/>
        <v>2.77</v>
      </c>
      <c r="B246" s="609" t="str">
        <f>IF(LEFT(F246,1)="B",VLOOKUP(A246,COPY!$A$2:$AC$1000,4,FALSE),"")</f>
        <v/>
      </c>
      <c r="C246" s="586"/>
      <c r="D246" s="553"/>
      <c r="E246" s="553"/>
      <c r="F246" s="557" t="str">
        <f>IF(LEN(A246)&gt;2,LEFT(VLOOKUP(A246,COPY!$A$2:$AC$1000,29,FALSE),6),"")</f>
        <v>0</v>
      </c>
      <c r="G246" s="558">
        <f>_xlfn.IFNA(IF(TEXT(F246,0)="Terima","",VLOOKUP(A246,COPY!$A$2:$AC$1000,29,FALSE)),"")</f>
        <v>0</v>
      </c>
      <c r="H246" s="425"/>
      <c r="I246" s="559"/>
      <c r="J246" s="555"/>
      <c r="K246" s="608">
        <f>_xlfn.IFNA(IF(TEXT(F246,0)="Terima",0,VLOOKUP(A246,COPY!$A$2:$AC$1000,26,FALSE)),0)</f>
        <v>0</v>
      </c>
      <c r="L246" s="548">
        <f t="shared" si="23"/>
        <v>0</v>
      </c>
      <c r="M246" s="549">
        <f t="shared" si="24"/>
        <v>-36904040</v>
      </c>
      <c r="O246" s="538">
        <f t="shared" si="25"/>
        <v>-36904040</v>
      </c>
      <c r="P246" s="550"/>
      <c r="Q246" s="551"/>
    </row>
    <row r="247" spans="1:17" s="253" customFormat="1" ht="20.100000000000001" hidden="1" customHeight="1" x14ac:dyDescent="0.25">
      <c r="A247" s="253" t="str">
        <f t="shared" si="26"/>
        <v>2.78</v>
      </c>
      <c r="B247" s="609" t="str">
        <f>IF(LEFT(F247,1)="B",VLOOKUP(A247,COPY!$A$2:$AC$1000,4,FALSE),"")</f>
        <v/>
      </c>
      <c r="C247" s="586"/>
      <c r="D247" s="553"/>
      <c r="E247" s="553"/>
      <c r="F247" s="557" t="str">
        <f>IF(LEN(A247)&gt;2,LEFT(VLOOKUP(A247,COPY!$A$2:$AC$1000,29,FALSE),6),"")</f>
        <v>Terima</v>
      </c>
      <c r="G247" s="558" t="str">
        <f>_xlfn.IFNA(IF(TEXT(F247,0)="Terima","",VLOOKUP(A247,COPY!$A$2:$AC$1000,29,FALSE)),"")</f>
        <v/>
      </c>
      <c r="H247" s="425"/>
      <c r="I247" s="559"/>
      <c r="J247" s="555"/>
      <c r="K247" s="608">
        <f>_xlfn.IFNA(IF(TEXT(F247,0)="Terima",0,VLOOKUP(A247,COPY!$A$2:$AC$1000,26,FALSE)),0)</f>
        <v>0</v>
      </c>
      <c r="L247" s="548">
        <f t="shared" si="23"/>
        <v>0</v>
      </c>
      <c r="M247" s="549">
        <f t="shared" si="24"/>
        <v>-36904040</v>
      </c>
      <c r="O247" s="538">
        <f t="shared" si="25"/>
        <v>-36904040</v>
      </c>
      <c r="P247" s="550"/>
      <c r="Q247" s="551"/>
    </row>
    <row r="248" spans="1:17" s="253" customFormat="1" ht="20.100000000000001" hidden="1" customHeight="1" x14ac:dyDescent="0.25">
      <c r="A248" s="253" t="str">
        <f t="shared" si="26"/>
        <v>2.</v>
      </c>
      <c r="B248" s="609" t="str">
        <f>IF(LEFT(F248,1)="B",VLOOKUP(A248,COPY!$A$2:$AC$1000,4,FALSE),"")</f>
        <v/>
      </c>
      <c r="C248" s="586"/>
      <c r="D248" s="553"/>
      <c r="E248" s="553"/>
      <c r="F248" s="557" t="str">
        <f>IF(LEN(A248)&gt;2,LEFT(VLOOKUP(A248,COPY!$A$2:$AC$1000,29,FALSE),6),"")</f>
        <v/>
      </c>
      <c r="G248" s="558" t="str">
        <f>_xlfn.IFNA(IF(TEXT(F248,0)="Terima","",VLOOKUP(A248,COPY!$A$2:$AC$1000,29,FALSE)),"")</f>
        <v/>
      </c>
      <c r="H248" s="425"/>
      <c r="I248" s="559"/>
      <c r="J248" s="555"/>
      <c r="K248" s="608">
        <f>_xlfn.IFNA(IF(TEXT(F248,0)="Terima",0,VLOOKUP(A248,COPY!$A$2:$AC$1000,26,FALSE)),0)</f>
        <v>0</v>
      </c>
      <c r="L248" s="548">
        <f t="shared" si="23"/>
        <v>0</v>
      </c>
      <c r="M248" s="549">
        <f t="shared" si="24"/>
        <v>-36904040</v>
      </c>
      <c r="O248" s="538">
        <f t="shared" si="25"/>
        <v>-36904040</v>
      </c>
      <c r="P248" s="550"/>
      <c r="Q248" s="551"/>
    </row>
    <row r="249" spans="1:17" s="253" customFormat="1" ht="20.100000000000001" hidden="1" customHeight="1" x14ac:dyDescent="0.25">
      <c r="A249" s="253" t="str">
        <f t="shared" si="26"/>
        <v/>
      </c>
      <c r="B249" s="609" t="str">
        <f>IF(LEFT(F249,1)="B",VLOOKUP(A249,COPY!$A$2:$AC$1000,4,FALSE),"")</f>
        <v/>
      </c>
      <c r="C249" s="586"/>
      <c r="D249" s="553"/>
      <c r="E249" s="553"/>
      <c r="F249" s="557" t="str">
        <f>IF(LEN(A249)&gt;2,LEFT(VLOOKUP(A249,COPY!$A$2:$AC$1000,29,FALSE),6),"")</f>
        <v/>
      </c>
      <c r="G249" s="558" t="str">
        <f>_xlfn.IFNA(IF(TEXT(F249,0)="Terima","",VLOOKUP(A249,COPY!$A$2:$AC$1000,29,FALSE)),"")</f>
        <v/>
      </c>
      <c r="H249" s="425"/>
      <c r="I249" s="559"/>
      <c r="J249" s="555"/>
      <c r="K249" s="608">
        <f>_xlfn.IFNA(IF(TEXT(F249,0)="Terima",0,VLOOKUP(A249,COPY!$A$2:$AC$1000,26,FALSE)),0)</f>
        <v>0</v>
      </c>
      <c r="L249" s="548">
        <f t="shared" si="23"/>
        <v>0</v>
      </c>
      <c r="M249" s="549">
        <f t="shared" si="24"/>
        <v>-36904040</v>
      </c>
      <c r="O249" s="538">
        <f t="shared" si="25"/>
        <v>-36904040</v>
      </c>
      <c r="P249" s="550"/>
      <c r="Q249" s="551"/>
    </row>
    <row r="250" spans="1:17" s="253" customFormat="1" ht="20.100000000000001" hidden="1" customHeight="1" x14ac:dyDescent="0.25">
      <c r="A250" s="253" t="str">
        <f t="shared" si="26"/>
        <v/>
      </c>
      <c r="B250" s="609" t="str">
        <f>IF(LEFT(F250,1)="B",VLOOKUP(A250,COPY!$A$2:$AC$1000,4,FALSE),"")</f>
        <v/>
      </c>
      <c r="C250" s="586"/>
      <c r="D250" s="553"/>
      <c r="E250" s="553"/>
      <c r="F250" s="557" t="str">
        <f>IF(LEN(A250)&gt;2,LEFT(VLOOKUP(A250,COPY!$A$2:$AC$1000,29,FALSE),6),"")</f>
        <v/>
      </c>
      <c r="G250" s="558" t="str">
        <f>_xlfn.IFNA(IF(TEXT(F250,0)="Terima","",VLOOKUP(A250,COPY!$A$2:$AC$1000,29,FALSE)),"")</f>
        <v/>
      </c>
      <c r="H250" s="425"/>
      <c r="I250" s="559"/>
      <c r="J250" s="555"/>
      <c r="K250" s="608">
        <f>_xlfn.IFNA(IF(TEXT(F250,0)="Terima",0,VLOOKUP(A250,COPY!$A$2:$AC$1000,26,FALSE)),0)</f>
        <v>0</v>
      </c>
      <c r="L250" s="548">
        <f t="shared" si="23"/>
        <v>0</v>
      </c>
      <c r="M250" s="549">
        <f t="shared" si="24"/>
        <v>-36904040</v>
      </c>
      <c r="O250" s="538">
        <f t="shared" si="25"/>
        <v>-36904040</v>
      </c>
      <c r="P250" s="550"/>
      <c r="Q250" s="551"/>
    </row>
    <row r="251" spans="1:17" s="253" customFormat="1" ht="20.100000000000001" hidden="1" customHeight="1" x14ac:dyDescent="0.25">
      <c r="A251" s="253" t="str">
        <f t="shared" si="26"/>
        <v/>
      </c>
      <c r="B251" s="609" t="str">
        <f>IF(LEFT(F251,1)="B",VLOOKUP(A251,COPY!$A$2:$AC$1000,4,FALSE),"")</f>
        <v/>
      </c>
      <c r="C251" s="586"/>
      <c r="D251" s="553"/>
      <c r="E251" s="553"/>
      <c r="F251" s="557" t="str">
        <f>IF(LEN(A251)&gt;2,LEFT(VLOOKUP(A251,COPY!$A$2:$AC$1000,29,FALSE),6),"")</f>
        <v/>
      </c>
      <c r="G251" s="558" t="str">
        <f>_xlfn.IFNA(IF(TEXT(F251,0)="Terima","",VLOOKUP(A251,COPY!$A$2:$AC$1000,29,FALSE)),"")</f>
        <v/>
      </c>
      <c r="H251" s="425"/>
      <c r="I251" s="559"/>
      <c r="J251" s="555"/>
      <c r="K251" s="608">
        <f>_xlfn.IFNA(IF(TEXT(F251,0)="Terima",0,VLOOKUP(A251,COPY!$A$2:$AC$1000,26,FALSE)),0)</f>
        <v>0</v>
      </c>
      <c r="L251" s="548">
        <f t="shared" si="23"/>
        <v>0</v>
      </c>
      <c r="M251" s="549">
        <f t="shared" si="24"/>
        <v>-36904040</v>
      </c>
      <c r="O251" s="538">
        <f t="shared" si="25"/>
        <v>-36904040</v>
      </c>
      <c r="P251" s="550"/>
      <c r="Q251" s="551"/>
    </row>
    <row r="252" spans="1:17" s="253" customFormat="1" ht="20.100000000000001" hidden="1" customHeight="1" x14ac:dyDescent="0.25">
      <c r="A252" s="253" t="str">
        <f t="shared" si="26"/>
        <v/>
      </c>
      <c r="B252" s="609" t="str">
        <f>IF(LEFT(F252,1)="B",VLOOKUP(A252,COPY!$A$2:$AC$1000,4,FALSE),"")</f>
        <v/>
      </c>
      <c r="C252" s="586"/>
      <c r="D252" s="553"/>
      <c r="E252" s="553"/>
      <c r="F252" s="557" t="str">
        <f>IF(LEN(A252)&gt;2,LEFT(VLOOKUP(A252,COPY!$A$2:$AC$1000,29,FALSE),6),"")</f>
        <v/>
      </c>
      <c r="G252" s="558" t="str">
        <f>_xlfn.IFNA(IF(TEXT(F252,0)="Terima","",VLOOKUP(A252,COPY!$A$2:$AC$1000,29,FALSE)),"")</f>
        <v/>
      </c>
      <c r="H252" s="425"/>
      <c r="I252" s="559"/>
      <c r="J252" s="555"/>
      <c r="K252" s="608">
        <f>_xlfn.IFNA(IF(TEXT(F252,0)="Terima",0,VLOOKUP(A252,COPY!$A$2:$AC$1000,26,FALSE)),0)</f>
        <v>0</v>
      </c>
      <c r="L252" s="548">
        <f t="shared" si="23"/>
        <v>0</v>
      </c>
      <c r="M252" s="549">
        <f t="shared" si="24"/>
        <v>-36904040</v>
      </c>
      <c r="O252" s="538">
        <f t="shared" si="25"/>
        <v>-36904040</v>
      </c>
      <c r="P252" s="550"/>
      <c r="Q252" s="551"/>
    </row>
    <row r="253" spans="1:17" s="253" customFormat="1" ht="20.100000000000001" hidden="1" customHeight="1" x14ac:dyDescent="0.25">
      <c r="A253" s="253" t="str">
        <f t="shared" si="26"/>
        <v/>
      </c>
      <c r="B253" s="609" t="str">
        <f>IF(LEFT(F253,1)="B",VLOOKUP(A253,COPY!$A$2:$AC$1000,4,FALSE),"")</f>
        <v/>
      </c>
      <c r="C253" s="586"/>
      <c r="D253" s="553"/>
      <c r="E253" s="553"/>
      <c r="F253" s="557" t="str">
        <f>IF(LEN(A253)&gt;2,LEFT(VLOOKUP(A253,COPY!$A$2:$AC$1000,29,FALSE),6),"")</f>
        <v/>
      </c>
      <c r="G253" s="558" t="str">
        <f>_xlfn.IFNA(IF(TEXT(F253,0)="Terima","",VLOOKUP(A253,COPY!$A$2:$AC$1000,29,FALSE)),"")</f>
        <v/>
      </c>
      <c r="H253" s="425"/>
      <c r="I253" s="559"/>
      <c r="J253" s="555"/>
      <c r="K253" s="608">
        <f>_xlfn.IFNA(IF(TEXT(F253,0)="Terima",0,VLOOKUP(A253,COPY!$A$2:$AC$1000,26,FALSE)),0)</f>
        <v>0</v>
      </c>
      <c r="L253" s="548">
        <f t="shared" si="23"/>
        <v>0</v>
      </c>
      <c r="M253" s="549">
        <f t="shared" si="24"/>
        <v>-36904040</v>
      </c>
      <c r="O253" s="538">
        <f t="shared" si="25"/>
        <v>-36904040</v>
      </c>
      <c r="P253" s="550"/>
      <c r="Q253" s="551"/>
    </row>
    <row r="254" spans="1:17" s="253" customFormat="1" ht="20.100000000000001" hidden="1" customHeight="1" x14ac:dyDescent="0.25">
      <c r="A254" s="253" t="str">
        <f t="shared" si="26"/>
        <v/>
      </c>
      <c r="B254" s="609" t="str">
        <f>IF(LEFT(F254,1)="B",VLOOKUP(A254,COPY!$A$2:$AC$1000,4,FALSE),"")</f>
        <v/>
      </c>
      <c r="C254" s="586"/>
      <c r="D254" s="553"/>
      <c r="E254" s="553"/>
      <c r="F254" s="557" t="str">
        <f>IF(LEN(A254)&gt;2,LEFT(VLOOKUP(A254,COPY!$A$2:$AC$1000,29,FALSE),6),"")</f>
        <v/>
      </c>
      <c r="G254" s="558" t="str">
        <f>_xlfn.IFNA(IF(TEXT(F254,0)="Terima","",VLOOKUP(A254,COPY!$A$2:$AC$1000,29,FALSE)),"")</f>
        <v/>
      </c>
      <c r="H254" s="425"/>
      <c r="I254" s="559"/>
      <c r="J254" s="555"/>
      <c r="K254" s="608">
        <f>_xlfn.IFNA(IF(TEXT(F254,0)="Terima",0,VLOOKUP(A254,COPY!$A$2:$AC$1000,26,FALSE)),0)</f>
        <v>0</v>
      </c>
      <c r="L254" s="548">
        <f t="shared" si="23"/>
        <v>0</v>
      </c>
      <c r="M254" s="549">
        <f t="shared" si="24"/>
        <v>-36904040</v>
      </c>
      <c r="O254" s="538">
        <f t="shared" si="25"/>
        <v>-36904040</v>
      </c>
      <c r="P254" s="550"/>
      <c r="Q254" s="551"/>
    </row>
    <row r="255" spans="1:17" s="253" customFormat="1" ht="20.100000000000001" hidden="1" customHeight="1" x14ac:dyDescent="0.25">
      <c r="A255" s="253" t="str">
        <f t="shared" si="26"/>
        <v/>
      </c>
      <c r="B255" s="609" t="str">
        <f>IF(LEFT(F255,1)="B",VLOOKUP(A255,COPY!$A$2:$AC$1000,4,FALSE),"")</f>
        <v/>
      </c>
      <c r="C255" s="586"/>
      <c r="D255" s="553"/>
      <c r="E255" s="553"/>
      <c r="F255" s="557" t="str">
        <f>IF(LEN(A255)&gt;2,LEFT(VLOOKUP(A255,COPY!$A$2:$AC$1000,29,FALSE),6),"")</f>
        <v/>
      </c>
      <c r="G255" s="558" t="str">
        <f>_xlfn.IFNA(IF(TEXT(F255,0)="Terima","",VLOOKUP(A255,COPY!$A$2:$AC$1000,29,FALSE)),"")</f>
        <v/>
      </c>
      <c r="H255" s="425"/>
      <c r="I255" s="559"/>
      <c r="J255" s="555"/>
      <c r="K255" s="608">
        <f>_xlfn.IFNA(IF(TEXT(F255,0)="Terima",0,VLOOKUP(A255,COPY!$A$2:$AC$1000,26,FALSE)),0)</f>
        <v>0</v>
      </c>
      <c r="L255" s="548">
        <f t="shared" si="23"/>
        <v>0</v>
      </c>
      <c r="M255" s="549">
        <f t="shared" si="24"/>
        <v>-36904040</v>
      </c>
      <c r="O255" s="538">
        <f t="shared" si="25"/>
        <v>-36904040</v>
      </c>
      <c r="P255" s="550"/>
      <c r="Q255" s="551"/>
    </row>
    <row r="256" spans="1:17" s="253" customFormat="1" ht="20.100000000000001" hidden="1" customHeight="1" x14ac:dyDescent="0.25">
      <c r="A256" s="253" t="str">
        <f t="shared" si="26"/>
        <v/>
      </c>
      <c r="B256" s="609" t="str">
        <f>IF(LEFT(F256,1)="B",VLOOKUP(A256,COPY!$A$2:$AC$1000,4,FALSE),"")</f>
        <v/>
      </c>
      <c r="C256" s="586"/>
      <c r="D256" s="553"/>
      <c r="E256" s="553"/>
      <c r="F256" s="557" t="str">
        <f>IF(LEN(A256)&gt;2,LEFT(VLOOKUP(A256,COPY!$A$2:$AC$1000,29,FALSE),6),"")</f>
        <v/>
      </c>
      <c r="G256" s="558" t="str">
        <f>_xlfn.IFNA(IF(TEXT(F256,0)="Terima","",VLOOKUP(A256,COPY!$A$2:$AC$1000,29,FALSE)),"")</f>
        <v/>
      </c>
      <c r="H256" s="425"/>
      <c r="I256" s="559"/>
      <c r="J256" s="555"/>
      <c r="K256" s="608">
        <f>_xlfn.IFNA(IF(TEXT(F256,0)="Terima",0,VLOOKUP(A256,COPY!$A$2:$AC$1000,26,FALSE)),0)</f>
        <v>0</v>
      </c>
      <c r="L256" s="548">
        <f t="shared" si="23"/>
        <v>0</v>
      </c>
      <c r="M256" s="549">
        <f t="shared" si="24"/>
        <v>-36904040</v>
      </c>
      <c r="O256" s="538">
        <f t="shared" si="25"/>
        <v>-36904040</v>
      </c>
      <c r="P256" s="550"/>
      <c r="Q256" s="551"/>
    </row>
    <row r="257" spans="1:17" s="253" customFormat="1" ht="20.100000000000001" hidden="1" customHeight="1" x14ac:dyDescent="0.25">
      <c r="A257" s="253" t="str">
        <f t="shared" si="26"/>
        <v/>
      </c>
      <c r="B257" s="609" t="str">
        <f>IF(LEFT(F257,1)="B",VLOOKUP(A257,COPY!$A$2:$AC$1000,4,FALSE),"")</f>
        <v/>
      </c>
      <c r="C257" s="586"/>
      <c r="D257" s="553"/>
      <c r="E257" s="553"/>
      <c r="F257" s="557" t="str">
        <f>IF(LEN(A257)&gt;2,LEFT(VLOOKUP(A257,COPY!$A$2:$AC$1000,29,FALSE),6),"")</f>
        <v/>
      </c>
      <c r="G257" s="558" t="str">
        <f>_xlfn.IFNA(IF(TEXT(F257,0)="Terima","",VLOOKUP(A257,COPY!$A$2:$AC$1000,29,FALSE)),"")</f>
        <v/>
      </c>
      <c r="H257" s="425"/>
      <c r="I257" s="559"/>
      <c r="J257" s="555"/>
      <c r="K257" s="608">
        <f>_xlfn.IFNA(IF(TEXT(F257,0)="Terima",0,VLOOKUP(A257,COPY!$A$2:$AC$1000,26,FALSE)),0)</f>
        <v>0</v>
      </c>
      <c r="L257" s="548">
        <f t="shared" si="23"/>
        <v>0</v>
      </c>
      <c r="M257" s="549">
        <f t="shared" si="24"/>
        <v>-36904040</v>
      </c>
      <c r="O257" s="538">
        <f t="shared" si="25"/>
        <v>-36904040</v>
      </c>
      <c r="P257" s="550"/>
      <c r="Q257" s="551"/>
    </row>
    <row r="258" spans="1:17" s="253" customFormat="1" ht="20.100000000000001" hidden="1" customHeight="1" x14ac:dyDescent="0.25">
      <c r="A258" s="253" t="str">
        <f t="shared" si="26"/>
        <v/>
      </c>
      <c r="B258" s="609" t="str">
        <f>IF(LEFT(F258,1)="B",VLOOKUP(A258,COPY!$A$2:$AC$1000,4,FALSE),"")</f>
        <v/>
      </c>
      <c r="C258" s="586"/>
      <c r="D258" s="553"/>
      <c r="E258" s="553"/>
      <c r="F258" s="557" t="str">
        <f>IF(LEN(A258)&gt;2,LEFT(VLOOKUP(A258,COPY!$A$2:$AC$1000,29,FALSE),6),"")</f>
        <v/>
      </c>
      <c r="G258" s="558" t="str">
        <f>_xlfn.IFNA(IF(TEXT(F258,0)="Terima","",VLOOKUP(A258,COPY!$A$2:$AC$1000,29,FALSE)),"")</f>
        <v/>
      </c>
      <c r="H258" s="425"/>
      <c r="I258" s="559"/>
      <c r="J258" s="555"/>
      <c r="K258" s="608">
        <f>_xlfn.IFNA(IF(TEXT(F258,0)="Terima",0,VLOOKUP(A258,COPY!$A$2:$AC$1000,26,FALSE)),0)</f>
        <v>0</v>
      </c>
      <c r="L258" s="548">
        <f t="shared" si="23"/>
        <v>0</v>
      </c>
      <c r="M258" s="549">
        <f t="shared" si="24"/>
        <v>-36904040</v>
      </c>
      <c r="O258" s="538">
        <f t="shared" si="25"/>
        <v>-36904040</v>
      </c>
      <c r="P258" s="550"/>
      <c r="Q258" s="551"/>
    </row>
    <row r="259" spans="1:17" s="253" customFormat="1" ht="20.100000000000001" hidden="1" customHeight="1" x14ac:dyDescent="0.25">
      <c r="A259" s="253" t="str">
        <f t="shared" si="26"/>
        <v/>
      </c>
      <c r="B259" s="609" t="str">
        <f>IF(LEFT(F259,1)="B",VLOOKUP(A259,COPY!$A$2:$AC$1000,4,FALSE),"")</f>
        <v/>
      </c>
      <c r="C259" s="586"/>
      <c r="D259" s="553"/>
      <c r="E259" s="553"/>
      <c r="F259" s="557" t="str">
        <f>IF(LEN(A259)&gt;2,LEFT(VLOOKUP(A259,COPY!$A$2:$AC$1000,29,FALSE),6),"")</f>
        <v/>
      </c>
      <c r="G259" s="558" t="str">
        <f>_xlfn.IFNA(IF(TEXT(F259,0)="Terima","",VLOOKUP(A259,COPY!$A$2:$AC$1000,29,FALSE)),"")</f>
        <v/>
      </c>
      <c r="H259" s="425"/>
      <c r="I259" s="559"/>
      <c r="J259" s="555"/>
      <c r="K259" s="608">
        <f>_xlfn.IFNA(IF(TEXT(F259,0)="Terima",0,VLOOKUP(A259,COPY!$A$2:$AC$1000,26,FALSE)),0)</f>
        <v>0</v>
      </c>
      <c r="L259" s="548">
        <f t="shared" si="23"/>
        <v>0</v>
      </c>
      <c r="M259" s="549">
        <f t="shared" si="24"/>
        <v>-36904040</v>
      </c>
      <c r="O259" s="538">
        <f t="shared" si="25"/>
        <v>-36904040</v>
      </c>
      <c r="P259" s="550"/>
      <c r="Q259" s="551"/>
    </row>
    <row r="260" spans="1:17" s="253" customFormat="1" ht="20.100000000000001" hidden="1" customHeight="1" x14ac:dyDescent="0.25">
      <c r="A260" s="253" t="str">
        <f t="shared" si="26"/>
        <v/>
      </c>
      <c r="B260" s="609" t="str">
        <f>IF(LEFT(F260,1)="B",VLOOKUP(A260,COPY!$A$2:$AC$1000,4,FALSE),"")</f>
        <v/>
      </c>
      <c r="C260" s="586"/>
      <c r="D260" s="553"/>
      <c r="E260" s="553"/>
      <c r="F260" s="557" t="str">
        <f>IF(LEN(A260)&gt;2,LEFT(VLOOKUP(A260,COPY!$A$2:$AC$1000,29,FALSE),6),"")</f>
        <v/>
      </c>
      <c r="G260" s="558" t="str">
        <f>_xlfn.IFNA(IF(TEXT(F260,0)="Terima","",VLOOKUP(A260,COPY!$A$2:$AC$1000,29,FALSE)),"")</f>
        <v/>
      </c>
      <c r="H260" s="425"/>
      <c r="I260" s="559"/>
      <c r="J260" s="555"/>
      <c r="K260" s="608">
        <f>_xlfn.IFNA(IF(TEXT(F260,0)="Terima",0,VLOOKUP(A260,COPY!$A$2:$AC$1000,26,FALSE)),0)</f>
        <v>0</v>
      </c>
      <c r="L260" s="548">
        <f t="shared" si="23"/>
        <v>0</v>
      </c>
      <c r="M260" s="549">
        <f t="shared" si="24"/>
        <v>-36904040</v>
      </c>
      <c r="O260" s="538">
        <f t="shared" si="25"/>
        <v>-36904040</v>
      </c>
      <c r="P260" s="550"/>
      <c r="Q260" s="551"/>
    </row>
    <row r="261" spans="1:17" s="253" customFormat="1" ht="20.100000000000001" hidden="1" customHeight="1" x14ac:dyDescent="0.25">
      <c r="A261" s="253" t="str">
        <f t="shared" si="26"/>
        <v/>
      </c>
      <c r="B261" s="609" t="str">
        <f>IF(LEFT(F261,1)="B",VLOOKUP(A261,COPY!$A$2:$AC$1000,4,FALSE),"")</f>
        <v/>
      </c>
      <c r="C261" s="586"/>
      <c r="D261" s="553"/>
      <c r="E261" s="553"/>
      <c r="F261" s="557" t="str">
        <f>IF(LEN(A261)&gt;2,LEFT(VLOOKUP(A261,COPY!$A$2:$AC$1000,29,FALSE),6),"")</f>
        <v/>
      </c>
      <c r="G261" s="558" t="str">
        <f>_xlfn.IFNA(IF(TEXT(F261,0)="Terima","",VLOOKUP(A261,COPY!$A$2:$AC$1000,29,FALSE)),"")</f>
        <v/>
      </c>
      <c r="H261" s="425"/>
      <c r="I261" s="559"/>
      <c r="J261" s="555"/>
      <c r="K261" s="608">
        <f>_xlfn.IFNA(IF(TEXT(F261,0)="Terima",0,VLOOKUP(A261,COPY!$A$2:$AC$1000,26,FALSE)),0)</f>
        <v>0</v>
      </c>
      <c r="L261" s="548">
        <f t="shared" si="23"/>
        <v>0</v>
      </c>
      <c r="M261" s="549">
        <f t="shared" si="24"/>
        <v>-36904040</v>
      </c>
      <c r="O261" s="538">
        <f t="shared" si="25"/>
        <v>-36904040</v>
      </c>
      <c r="P261" s="550"/>
      <c r="Q261" s="551"/>
    </row>
    <row r="262" spans="1:17" s="253" customFormat="1" ht="20.100000000000001" hidden="1" customHeight="1" x14ac:dyDescent="0.25">
      <c r="A262" s="253" t="str">
        <f t="shared" si="26"/>
        <v/>
      </c>
      <c r="B262" s="609" t="str">
        <f>IF(LEFT(F262,1)="B",VLOOKUP(A262,COPY!$A$2:$AC$1000,4,FALSE),"")</f>
        <v/>
      </c>
      <c r="C262" s="586"/>
      <c r="D262" s="553"/>
      <c r="E262" s="553"/>
      <c r="F262" s="557" t="str">
        <f>IF(LEN(A262)&gt;2,LEFT(VLOOKUP(A262,COPY!$A$2:$AC$1000,29,FALSE),6),"")</f>
        <v/>
      </c>
      <c r="G262" s="558" t="str">
        <f>_xlfn.IFNA(IF(TEXT(F262,0)="Terima","",VLOOKUP(A262,COPY!$A$2:$AC$1000,29,FALSE)),"")</f>
        <v/>
      </c>
      <c r="H262" s="425"/>
      <c r="I262" s="559"/>
      <c r="J262" s="555"/>
      <c r="K262" s="608">
        <f>_xlfn.IFNA(IF(TEXT(F262,0)="Terima",0,VLOOKUP(A262,COPY!$A$2:$AC$1000,26,FALSE)),0)</f>
        <v>0</v>
      </c>
      <c r="L262" s="548">
        <f t="shared" si="23"/>
        <v>0</v>
      </c>
      <c r="M262" s="549">
        <f t="shared" si="24"/>
        <v>-36904040</v>
      </c>
      <c r="O262" s="538">
        <f t="shared" si="25"/>
        <v>-36904040</v>
      </c>
      <c r="P262" s="550"/>
      <c r="Q262" s="551"/>
    </row>
    <row r="263" spans="1:17" s="253" customFormat="1" ht="20.100000000000001" hidden="1" customHeight="1" x14ac:dyDescent="0.25">
      <c r="A263" s="253" t="str">
        <f t="shared" si="26"/>
        <v/>
      </c>
      <c r="B263" s="609" t="str">
        <f>IF(LEFT(F263,1)="B",VLOOKUP(A263,COPY!$A$2:$AC$1000,4,FALSE),"")</f>
        <v/>
      </c>
      <c r="C263" s="586"/>
      <c r="D263" s="553"/>
      <c r="E263" s="553"/>
      <c r="F263" s="557" t="str">
        <f>IF(LEN(A263)&gt;2,LEFT(VLOOKUP(A263,COPY!$A$2:$AC$1000,29,FALSE),6),"")</f>
        <v/>
      </c>
      <c r="G263" s="558" t="str">
        <f>_xlfn.IFNA(IF(TEXT(F263,0)="Terima","",VLOOKUP(A263,COPY!$A$2:$AC$1000,29,FALSE)),"")</f>
        <v/>
      </c>
      <c r="H263" s="425"/>
      <c r="I263" s="559"/>
      <c r="J263" s="555"/>
      <c r="K263" s="608">
        <f>_xlfn.IFNA(IF(TEXT(F263,0)="Terima",0,VLOOKUP(A263,COPY!$A$2:$AC$1000,26,FALSE)),0)</f>
        <v>0</v>
      </c>
      <c r="L263" s="548">
        <f t="shared" si="23"/>
        <v>0</v>
      </c>
      <c r="M263" s="549">
        <f t="shared" si="24"/>
        <v>-36904040</v>
      </c>
      <c r="O263" s="538">
        <f t="shared" si="25"/>
        <v>-36904040</v>
      </c>
      <c r="P263" s="550"/>
      <c r="Q263" s="551"/>
    </row>
    <row r="264" spans="1:17" s="253" customFormat="1" ht="20.100000000000001" hidden="1" customHeight="1" x14ac:dyDescent="0.25">
      <c r="A264" s="253" t="str">
        <f t="shared" si="26"/>
        <v/>
      </c>
      <c r="B264" s="609" t="str">
        <f>IF(LEFT(F264,1)="B",VLOOKUP(A264,COPY!$A$2:$AC$1000,4,FALSE),"")</f>
        <v/>
      </c>
      <c r="C264" s="586"/>
      <c r="D264" s="553"/>
      <c r="E264" s="553"/>
      <c r="F264" s="557" t="str">
        <f>IF(LEN(A264)&gt;2,LEFT(VLOOKUP(A264,COPY!$A$2:$AC$1000,29,FALSE),6),"")</f>
        <v/>
      </c>
      <c r="G264" s="558" t="str">
        <f>_xlfn.IFNA(IF(TEXT(F264,0)="Terima","",VLOOKUP(A264,COPY!$A$2:$AC$1000,29,FALSE)),"")</f>
        <v/>
      </c>
      <c r="H264" s="425"/>
      <c r="I264" s="559"/>
      <c r="J264" s="555"/>
      <c r="K264" s="608">
        <f>_xlfn.IFNA(IF(TEXT(F264,0)="Terima",0,VLOOKUP(A264,COPY!$A$2:$AC$1000,26,FALSE)),0)</f>
        <v>0</v>
      </c>
      <c r="L264" s="548">
        <f t="shared" si="23"/>
        <v>0</v>
      </c>
      <c r="M264" s="549">
        <f t="shared" si="24"/>
        <v>-36904040</v>
      </c>
      <c r="O264" s="538">
        <f t="shared" si="25"/>
        <v>-36904040</v>
      </c>
      <c r="P264" s="550"/>
      <c r="Q264" s="551"/>
    </row>
    <row r="265" spans="1:17" s="253" customFormat="1" ht="20.100000000000001" hidden="1" customHeight="1" x14ac:dyDescent="0.25">
      <c r="A265" s="253" t="str">
        <f t="shared" si="26"/>
        <v/>
      </c>
      <c r="B265" s="609" t="str">
        <f>IF(LEFT(F265,1)="B",VLOOKUP(A265,COPY!$A$2:$AC$1000,4,FALSE),"")</f>
        <v/>
      </c>
      <c r="C265" s="586"/>
      <c r="D265" s="553"/>
      <c r="E265" s="553"/>
      <c r="F265" s="557" t="str">
        <f>IF(LEN(A265)&gt;2,LEFT(VLOOKUP(A265,COPY!$A$2:$AC$1000,29,FALSE),6),"")</f>
        <v/>
      </c>
      <c r="G265" s="558" t="str">
        <f>_xlfn.IFNA(IF(TEXT(F265,0)="Terima","",VLOOKUP(A265,COPY!$A$2:$AC$1000,29,FALSE)),"")</f>
        <v/>
      </c>
      <c r="H265" s="425"/>
      <c r="I265" s="559"/>
      <c r="J265" s="555"/>
      <c r="K265" s="608">
        <f>_xlfn.IFNA(IF(TEXT(F265,0)="Terima",0,VLOOKUP(A265,COPY!$A$2:$AC$1000,26,FALSE)),0)</f>
        <v>0</v>
      </c>
      <c r="L265" s="548">
        <f t="shared" si="23"/>
        <v>0</v>
      </c>
      <c r="M265" s="549">
        <f t="shared" si="24"/>
        <v>-36904040</v>
      </c>
      <c r="O265" s="538">
        <f t="shared" si="25"/>
        <v>-36904040</v>
      </c>
      <c r="P265" s="550"/>
      <c r="Q265" s="551"/>
    </row>
    <row r="266" spans="1:17" s="253" customFormat="1" ht="20.100000000000001" hidden="1" customHeight="1" x14ac:dyDescent="0.25">
      <c r="A266" s="253" t="str">
        <f t="shared" si="26"/>
        <v/>
      </c>
      <c r="B266" s="609" t="str">
        <f>IF(LEFT(F266,1)="B",VLOOKUP(A266,COPY!$A$2:$AC$1000,4,FALSE),"")</f>
        <v/>
      </c>
      <c r="C266" s="586"/>
      <c r="D266" s="553"/>
      <c r="E266" s="553"/>
      <c r="F266" s="557" t="str">
        <f>IF(LEN(A266)&gt;2,LEFT(VLOOKUP(A266,COPY!$A$2:$AC$1000,29,FALSE),6),"")</f>
        <v/>
      </c>
      <c r="G266" s="558" t="str">
        <f>_xlfn.IFNA(IF(TEXT(F266,0)="Terima","",VLOOKUP(A266,COPY!$A$2:$AC$1000,29,FALSE)),"")</f>
        <v/>
      </c>
      <c r="H266" s="425"/>
      <c r="I266" s="559"/>
      <c r="J266" s="555"/>
      <c r="K266" s="608">
        <f>_xlfn.IFNA(IF(TEXT(F266,0)="Terima",0,VLOOKUP(A266,COPY!$A$2:$AC$1000,26,FALSE)),0)</f>
        <v>0</v>
      </c>
      <c r="L266" s="548">
        <f t="shared" si="23"/>
        <v>0</v>
      </c>
      <c r="M266" s="549">
        <f t="shared" si="24"/>
        <v>-36904040</v>
      </c>
      <c r="O266" s="538">
        <f t="shared" si="25"/>
        <v>-36904040</v>
      </c>
      <c r="P266" s="550"/>
      <c r="Q266" s="551"/>
    </row>
    <row r="267" spans="1:17" s="253" customFormat="1" ht="20.100000000000001" hidden="1" customHeight="1" x14ac:dyDescent="0.25">
      <c r="A267" s="253" t="str">
        <f t="shared" si="26"/>
        <v/>
      </c>
      <c r="B267" s="609" t="str">
        <f>IF(LEFT(F267,1)="B",VLOOKUP(A267,COPY!$A$2:$AC$1000,4,FALSE),"")</f>
        <v/>
      </c>
      <c r="C267" s="586"/>
      <c r="D267" s="553"/>
      <c r="E267" s="553"/>
      <c r="F267" s="557" t="str">
        <f>IF(LEN(A267)&gt;2,LEFT(VLOOKUP(A267,COPY!$A$2:$AC$1000,29,FALSE),6),"")</f>
        <v/>
      </c>
      <c r="G267" s="558" t="str">
        <f>_xlfn.IFNA(IF(TEXT(F267,0)="Terima","",VLOOKUP(A267,COPY!$A$2:$AC$1000,29,FALSE)),"")</f>
        <v/>
      </c>
      <c r="H267" s="425"/>
      <c r="I267" s="559"/>
      <c r="J267" s="555"/>
      <c r="K267" s="608">
        <f>_xlfn.IFNA(IF(TEXT(F267,0)="Terima",0,VLOOKUP(A267,COPY!$A$2:$AC$1000,26,FALSE)),0)</f>
        <v>0</v>
      </c>
      <c r="L267" s="548">
        <f t="shared" si="23"/>
        <v>0</v>
      </c>
      <c r="M267" s="549">
        <f t="shared" si="24"/>
        <v>-36904040</v>
      </c>
      <c r="O267" s="538">
        <f t="shared" si="25"/>
        <v>-36904040</v>
      </c>
      <c r="P267" s="550"/>
      <c r="Q267" s="551"/>
    </row>
    <row r="268" spans="1:17" s="253" customFormat="1" ht="20.100000000000001" hidden="1" customHeight="1" x14ac:dyDescent="0.25">
      <c r="A268" s="253" t="str">
        <f t="shared" si="26"/>
        <v/>
      </c>
      <c r="B268" s="609" t="str">
        <f>IF(LEFT(F268,1)="B",VLOOKUP(A268,COPY!$A$2:$AC$1000,4,FALSE),"")</f>
        <v/>
      </c>
      <c r="C268" s="586"/>
      <c r="D268" s="553"/>
      <c r="E268" s="553"/>
      <c r="F268" s="557" t="str">
        <f>IF(LEN(A268)&gt;2,LEFT(VLOOKUP(A268,COPY!$A$2:$AC$1000,29,FALSE),6),"")</f>
        <v/>
      </c>
      <c r="G268" s="558" t="str">
        <f>_xlfn.IFNA(IF(TEXT(F268,0)="Terima","",VLOOKUP(A268,COPY!$A$2:$AC$1000,29,FALSE)),"")</f>
        <v/>
      </c>
      <c r="H268" s="425"/>
      <c r="I268" s="559"/>
      <c r="J268" s="555"/>
      <c r="K268" s="608">
        <f>_xlfn.IFNA(IF(TEXT(F268,0)="Terima",0,VLOOKUP(A268,COPY!$A$2:$AC$1000,26,FALSE)),0)</f>
        <v>0</v>
      </c>
      <c r="L268" s="548">
        <f t="shared" si="23"/>
        <v>0</v>
      </c>
      <c r="M268" s="549">
        <f t="shared" si="24"/>
        <v>-36904040</v>
      </c>
      <c r="O268" s="538">
        <f t="shared" si="25"/>
        <v>-36904040</v>
      </c>
      <c r="P268" s="550"/>
      <c r="Q268" s="551"/>
    </row>
    <row r="269" spans="1:17" s="253" customFormat="1" ht="20.100000000000001" hidden="1" customHeight="1" x14ac:dyDescent="0.25">
      <c r="A269" s="253" t="str">
        <f t="shared" si="26"/>
        <v/>
      </c>
      <c r="B269" s="609" t="str">
        <f>IF(LEFT(F269,1)="B",VLOOKUP(A269,COPY!$A$2:$AC$1000,4,FALSE),"")</f>
        <v/>
      </c>
      <c r="C269" s="586"/>
      <c r="D269" s="553"/>
      <c r="E269" s="553"/>
      <c r="F269" s="557" t="str">
        <f>IF(LEN(A269)&gt;2,LEFT(VLOOKUP(A269,COPY!$A$2:$AC$1000,29,FALSE),6),"")</f>
        <v/>
      </c>
      <c r="G269" s="558" t="str">
        <f>_xlfn.IFNA(IF(TEXT(F269,0)="Terima","",VLOOKUP(A269,COPY!$A$2:$AC$1000,29,FALSE)),"")</f>
        <v/>
      </c>
      <c r="H269" s="425"/>
      <c r="I269" s="559"/>
      <c r="J269" s="555"/>
      <c r="K269" s="608">
        <f>_xlfn.IFNA(IF(TEXT(F269,0)="Terima",0,VLOOKUP(A269,COPY!$A$2:$AC$1000,26,FALSE)),0)</f>
        <v>0</v>
      </c>
      <c r="L269" s="548">
        <f t="shared" si="23"/>
        <v>0</v>
      </c>
      <c r="M269" s="549">
        <f t="shared" si="24"/>
        <v>-36904040</v>
      </c>
      <c r="O269" s="538">
        <f t="shared" si="25"/>
        <v>-36904040</v>
      </c>
      <c r="P269" s="550"/>
      <c r="Q269" s="551"/>
    </row>
    <row r="270" spans="1:17" s="253" customFormat="1" ht="20.100000000000001" hidden="1" customHeight="1" x14ac:dyDescent="0.25">
      <c r="A270" s="253" t="str">
        <f t="shared" si="26"/>
        <v/>
      </c>
      <c r="B270" s="609" t="str">
        <f>IF(LEFT(F270,1)="B",VLOOKUP(A270,COPY!$A$2:$AC$1000,4,FALSE),"")</f>
        <v/>
      </c>
      <c r="C270" s="586"/>
      <c r="D270" s="553"/>
      <c r="E270" s="553"/>
      <c r="F270" s="557" t="str">
        <f>IF(LEN(A270)&gt;2,LEFT(VLOOKUP(A270,COPY!$A$2:$AC$1000,29,FALSE),6),"")</f>
        <v/>
      </c>
      <c r="G270" s="558" t="str">
        <f>_xlfn.IFNA(IF(TEXT(F270,0)="Terima","",VLOOKUP(A270,COPY!$A$2:$AC$1000,29,FALSE)),"")</f>
        <v/>
      </c>
      <c r="H270" s="425"/>
      <c r="I270" s="559"/>
      <c r="J270" s="555"/>
      <c r="K270" s="608">
        <f>_xlfn.IFNA(IF(TEXT(F270,0)="Terima",0,VLOOKUP(A270,COPY!$A$2:$AC$1000,26,FALSE)),0)</f>
        <v>0</v>
      </c>
      <c r="L270" s="548">
        <f t="shared" si="23"/>
        <v>0</v>
      </c>
      <c r="M270" s="549">
        <f t="shared" si="24"/>
        <v>-36904040</v>
      </c>
      <c r="O270" s="538">
        <f t="shared" si="25"/>
        <v>-36904040</v>
      </c>
      <c r="P270" s="550"/>
      <c r="Q270" s="551"/>
    </row>
    <row r="271" spans="1:17" s="253" customFormat="1" ht="20.100000000000001" hidden="1" customHeight="1" x14ac:dyDescent="0.25">
      <c r="A271" s="253" t="str">
        <f t="shared" si="26"/>
        <v/>
      </c>
      <c r="B271" s="609" t="str">
        <f>IF(LEFT(F271,1)="B",VLOOKUP(A271,COPY!$A$2:$AC$1000,4,FALSE),"")</f>
        <v/>
      </c>
      <c r="C271" s="586"/>
      <c r="D271" s="553"/>
      <c r="E271" s="553"/>
      <c r="F271" s="557" t="str">
        <f>IF(LEN(A271)&gt;2,LEFT(VLOOKUP(A271,COPY!$A$2:$AC$1000,29,FALSE),6),"")</f>
        <v/>
      </c>
      <c r="G271" s="558" t="str">
        <f>_xlfn.IFNA(IF(TEXT(F271,0)="Terima","",VLOOKUP(A271,COPY!$A$2:$AC$1000,29,FALSE)),"")</f>
        <v/>
      </c>
      <c r="H271" s="425"/>
      <c r="I271" s="559"/>
      <c r="J271" s="555"/>
      <c r="K271" s="608">
        <f>_xlfn.IFNA(IF(TEXT(F271,0)="Terima",0,VLOOKUP(A271,COPY!$A$2:$AC$1000,26,FALSE)),0)</f>
        <v>0</v>
      </c>
      <c r="L271" s="548">
        <f t="shared" si="23"/>
        <v>0</v>
      </c>
      <c r="M271" s="549">
        <f t="shared" si="24"/>
        <v>-36904040</v>
      </c>
      <c r="O271" s="538">
        <f t="shared" si="25"/>
        <v>-36904040</v>
      </c>
      <c r="P271" s="550"/>
      <c r="Q271" s="551"/>
    </row>
    <row r="272" spans="1:17" s="253" customFormat="1" ht="20.100000000000001" hidden="1" customHeight="1" x14ac:dyDescent="0.25">
      <c r="A272" s="253" t="str">
        <f t="shared" si="26"/>
        <v/>
      </c>
      <c r="B272" s="609" t="str">
        <f>IF(LEFT(F272,1)="B",VLOOKUP(A272,COPY!$A$2:$AC$1000,4,FALSE),"")</f>
        <v/>
      </c>
      <c r="C272" s="586"/>
      <c r="D272" s="553"/>
      <c r="E272" s="553"/>
      <c r="F272" s="557" t="str">
        <f>IF(LEN(A272)&gt;2,LEFT(VLOOKUP(A272,COPY!$A$2:$AC$1000,29,FALSE),6),"")</f>
        <v/>
      </c>
      <c r="G272" s="558" t="str">
        <f>_xlfn.IFNA(IF(TEXT(F272,0)="Terima","",VLOOKUP(A272,COPY!$A$2:$AC$1000,29,FALSE)),"")</f>
        <v/>
      </c>
      <c r="H272" s="425"/>
      <c r="I272" s="559"/>
      <c r="J272" s="555"/>
      <c r="K272" s="608">
        <f>_xlfn.IFNA(IF(TEXT(F272,0)="Terima",0,VLOOKUP(A272,COPY!$A$2:$AC$1000,26,FALSE)),0)</f>
        <v>0</v>
      </c>
      <c r="L272" s="548">
        <f t="shared" si="23"/>
        <v>0</v>
      </c>
      <c r="M272" s="549">
        <f t="shared" si="24"/>
        <v>-36904040</v>
      </c>
      <c r="O272" s="538">
        <f t="shared" si="25"/>
        <v>-36904040</v>
      </c>
      <c r="P272" s="550"/>
      <c r="Q272" s="551"/>
    </row>
    <row r="273" spans="1:17" s="253" customFormat="1" ht="20.100000000000001" hidden="1" customHeight="1" x14ac:dyDescent="0.25">
      <c r="A273" s="253" t="str">
        <f t="shared" si="26"/>
        <v/>
      </c>
      <c r="B273" s="609" t="str">
        <f>IF(LEFT(F273,1)="B",VLOOKUP(A273,COPY!$A$2:$AC$1000,4,FALSE),"")</f>
        <v/>
      </c>
      <c r="C273" s="586"/>
      <c r="D273" s="553"/>
      <c r="E273" s="553"/>
      <c r="F273" s="557" t="str">
        <f>IF(LEN(A273)&gt;2,LEFT(VLOOKUP(A273,COPY!$A$2:$AC$1000,29,FALSE),6),"")</f>
        <v/>
      </c>
      <c r="G273" s="558" t="str">
        <f>_xlfn.IFNA(IF(TEXT(F273,0)="Terima","",VLOOKUP(A273,COPY!$A$2:$AC$1000,29,FALSE)),"")</f>
        <v/>
      </c>
      <c r="H273" s="425"/>
      <c r="I273" s="559"/>
      <c r="J273" s="555"/>
      <c r="K273" s="608">
        <f>_xlfn.IFNA(IF(TEXT(F273,0)="Terima",0,VLOOKUP(A273,COPY!$A$2:$AC$1000,26,FALSE)),0)</f>
        <v>0</v>
      </c>
      <c r="L273" s="548">
        <f t="shared" si="23"/>
        <v>0</v>
      </c>
      <c r="M273" s="549">
        <f t="shared" si="24"/>
        <v>-36904040</v>
      </c>
      <c r="O273" s="538">
        <f t="shared" si="25"/>
        <v>-36904040</v>
      </c>
      <c r="P273" s="550"/>
      <c r="Q273" s="551"/>
    </row>
    <row r="274" spans="1:17" s="253" customFormat="1" ht="20.100000000000001" hidden="1" customHeight="1" x14ac:dyDescent="0.25">
      <c r="A274" s="253" t="str">
        <f t="shared" si="26"/>
        <v/>
      </c>
      <c r="B274" s="609" t="str">
        <f>IF(LEFT(F274,1)="B",VLOOKUP(A274,COPY!$A$2:$AC$1000,4,FALSE),"")</f>
        <v/>
      </c>
      <c r="C274" s="586"/>
      <c r="D274" s="553"/>
      <c r="E274" s="553"/>
      <c r="F274" s="557" t="str">
        <f>IF(LEN(A274)&gt;2,LEFT(VLOOKUP(A274,COPY!$A$2:$AC$1000,29,FALSE),6),"")</f>
        <v/>
      </c>
      <c r="G274" s="558" t="str">
        <f>_xlfn.IFNA(IF(TEXT(F274,0)="Terima","",VLOOKUP(A274,COPY!$A$2:$AC$1000,29,FALSE)),"")</f>
        <v/>
      </c>
      <c r="H274" s="425"/>
      <c r="I274" s="559"/>
      <c r="J274" s="555"/>
      <c r="K274" s="608">
        <f>_xlfn.IFNA(IF(TEXT(F274,0)="Terima",0,VLOOKUP(A274,COPY!$A$2:$AC$1000,26,FALSE)),0)</f>
        <v>0</v>
      </c>
      <c r="L274" s="548">
        <f t="shared" si="23"/>
        <v>0</v>
      </c>
      <c r="M274" s="549">
        <f t="shared" si="24"/>
        <v>-36904040</v>
      </c>
      <c r="O274" s="538">
        <f t="shared" si="25"/>
        <v>-36904040</v>
      </c>
      <c r="P274" s="550"/>
      <c r="Q274" s="551"/>
    </row>
    <row r="275" spans="1:17" s="253" customFormat="1" ht="20.100000000000001" hidden="1" customHeight="1" x14ac:dyDescent="0.25">
      <c r="A275" s="253" t="str">
        <f t="shared" si="26"/>
        <v/>
      </c>
      <c r="B275" s="609" t="str">
        <f>IF(LEFT(F275,1)="B",VLOOKUP(A275,COPY!$A$2:$AC$1000,4,FALSE),"")</f>
        <v/>
      </c>
      <c r="C275" s="586"/>
      <c r="D275" s="553"/>
      <c r="E275" s="553"/>
      <c r="F275" s="557" t="str">
        <f>IF(LEN(A275)&gt;2,LEFT(VLOOKUP(A275,COPY!$A$2:$AC$1000,29,FALSE),6),"")</f>
        <v/>
      </c>
      <c r="G275" s="558" t="str">
        <f>_xlfn.IFNA(IF(TEXT(F275,0)="Terima","",VLOOKUP(A275,COPY!$A$2:$AC$1000,29,FALSE)),"")</f>
        <v/>
      </c>
      <c r="H275" s="425"/>
      <c r="I275" s="559"/>
      <c r="J275" s="555"/>
      <c r="K275" s="608">
        <f>_xlfn.IFNA(IF(TEXT(F275,0)="Terima",0,VLOOKUP(A275,COPY!$A$2:$AC$1000,26,FALSE)),0)</f>
        <v>0</v>
      </c>
      <c r="L275" s="548">
        <f t="shared" si="23"/>
        <v>0</v>
      </c>
      <c r="M275" s="549">
        <f t="shared" si="24"/>
        <v>-36904040</v>
      </c>
      <c r="O275" s="538">
        <f t="shared" si="25"/>
        <v>-36904040</v>
      </c>
      <c r="P275" s="550"/>
      <c r="Q275" s="551"/>
    </row>
    <row r="276" spans="1:17" s="253" customFormat="1" ht="20.100000000000001" hidden="1" customHeight="1" x14ac:dyDescent="0.25">
      <c r="A276" s="253" t="str">
        <f t="shared" si="26"/>
        <v/>
      </c>
      <c r="B276" s="609" t="str">
        <f>IF(LEFT(F276,1)="B",VLOOKUP(A276,COPY!$A$2:$AC$1000,4,FALSE),"")</f>
        <v/>
      </c>
      <c r="C276" s="586"/>
      <c r="D276" s="553"/>
      <c r="E276" s="553"/>
      <c r="F276" s="557" t="str">
        <f>IF(LEN(A276)&gt;2,LEFT(VLOOKUP(A276,COPY!$A$2:$AC$1000,29,FALSE),6),"")</f>
        <v/>
      </c>
      <c r="G276" s="558" t="str">
        <f>_xlfn.IFNA(IF(TEXT(F276,0)="Terima","",VLOOKUP(A276,COPY!$A$2:$AC$1000,29,FALSE)),"")</f>
        <v/>
      </c>
      <c r="H276" s="425"/>
      <c r="I276" s="559"/>
      <c r="J276" s="555"/>
      <c r="K276" s="608">
        <f>_xlfn.IFNA(IF(TEXT(F276,0)="Terima",0,VLOOKUP(A276,COPY!$A$2:$AC$1000,26,FALSE)),0)</f>
        <v>0</v>
      </c>
      <c r="L276" s="548">
        <f t="shared" si="23"/>
        <v>0</v>
      </c>
      <c r="M276" s="549">
        <f t="shared" si="24"/>
        <v>-36904040</v>
      </c>
      <c r="O276" s="538">
        <f t="shared" si="25"/>
        <v>-36904040</v>
      </c>
      <c r="P276" s="550"/>
      <c r="Q276" s="551"/>
    </row>
    <row r="277" spans="1:17" s="253" customFormat="1" ht="20.100000000000001" hidden="1" customHeight="1" x14ac:dyDescent="0.25">
      <c r="A277" s="253" t="str">
        <f t="shared" si="26"/>
        <v/>
      </c>
      <c r="B277" s="609" t="str">
        <f>IF(LEFT(F277,1)="B",VLOOKUP(A277,COPY!$A$2:$AC$1000,4,FALSE),"")</f>
        <v/>
      </c>
      <c r="C277" s="586"/>
      <c r="D277" s="553"/>
      <c r="E277" s="553"/>
      <c r="F277" s="557" t="str">
        <f>IF(LEN(A277)&gt;2,LEFT(VLOOKUP(A277,COPY!$A$2:$AC$1000,29,FALSE),6),"")</f>
        <v/>
      </c>
      <c r="G277" s="558" t="str">
        <f>_xlfn.IFNA(IF(TEXT(F277,0)="Terima","",VLOOKUP(A277,COPY!$A$2:$AC$1000,29,FALSE)),"")</f>
        <v/>
      </c>
      <c r="H277" s="425"/>
      <c r="I277" s="559"/>
      <c r="J277" s="555"/>
      <c r="K277" s="608">
        <f>_xlfn.IFNA(IF(TEXT(F277,0)="Terima",0,VLOOKUP(A277,COPY!$A$2:$AC$1000,26,FALSE)),0)</f>
        <v>0</v>
      </c>
      <c r="L277" s="548">
        <f t="shared" si="23"/>
        <v>0</v>
      </c>
      <c r="M277" s="549">
        <f t="shared" si="24"/>
        <v>-36904040</v>
      </c>
      <c r="O277" s="538">
        <f t="shared" si="25"/>
        <v>-36904040</v>
      </c>
      <c r="P277" s="550"/>
      <c r="Q277" s="551"/>
    </row>
    <row r="278" spans="1:17" s="253" customFormat="1" ht="20.100000000000001" hidden="1" customHeight="1" x14ac:dyDescent="0.25">
      <c r="A278" s="253" t="str">
        <f t="shared" si="26"/>
        <v/>
      </c>
      <c r="B278" s="609" t="str">
        <f>IF(LEFT(F278,1)="B",VLOOKUP(A278,COPY!$A$2:$AC$1000,4,FALSE),"")</f>
        <v/>
      </c>
      <c r="C278" s="586"/>
      <c r="D278" s="553"/>
      <c r="E278" s="553"/>
      <c r="F278" s="557" t="str">
        <f>IF(LEN(A278)&gt;2,LEFT(VLOOKUP(A278,COPY!$A$2:$AC$1000,29,FALSE),6),"")</f>
        <v/>
      </c>
      <c r="G278" s="558" t="str">
        <f>_xlfn.IFNA(IF(TEXT(F278,0)="Terima","",VLOOKUP(A278,COPY!$A$2:$AC$1000,29,FALSE)),"")</f>
        <v/>
      </c>
      <c r="H278" s="425"/>
      <c r="I278" s="559"/>
      <c r="J278" s="555"/>
      <c r="K278" s="608">
        <f>_xlfn.IFNA(IF(TEXT(F278,0)="Terima",0,VLOOKUP(A278,COPY!$A$2:$AC$1000,26,FALSE)),0)</f>
        <v>0</v>
      </c>
      <c r="L278" s="548">
        <f t="shared" si="23"/>
        <v>0</v>
      </c>
      <c r="M278" s="549">
        <f t="shared" si="24"/>
        <v>-36904040</v>
      </c>
      <c r="O278" s="538">
        <f t="shared" si="25"/>
        <v>-36904040</v>
      </c>
      <c r="P278" s="550"/>
      <c r="Q278" s="551"/>
    </row>
    <row r="279" spans="1:17" s="253" customFormat="1" ht="20.100000000000001" hidden="1" customHeight="1" x14ac:dyDescent="0.25">
      <c r="A279" s="253" t="str">
        <f t="shared" si="26"/>
        <v/>
      </c>
      <c r="B279" s="609" t="str">
        <f>IF(LEFT(F279,1)="B",VLOOKUP(A279,COPY!$A$2:$AC$1000,4,FALSE),"")</f>
        <v/>
      </c>
      <c r="C279" s="586"/>
      <c r="D279" s="553"/>
      <c r="E279" s="553"/>
      <c r="F279" s="557" t="str">
        <f>IF(LEN(A279)&gt;2,LEFT(VLOOKUP(A279,COPY!$A$2:$AC$1000,29,FALSE),6),"")</f>
        <v/>
      </c>
      <c r="G279" s="558" t="str">
        <f>_xlfn.IFNA(IF(TEXT(F279,0)="Terima","",VLOOKUP(A279,COPY!$A$2:$AC$1000,29,FALSE)),"")</f>
        <v/>
      </c>
      <c r="H279" s="425"/>
      <c r="I279" s="559"/>
      <c r="J279" s="555"/>
      <c r="K279" s="608">
        <f>_xlfn.IFNA(IF(TEXT(F279,0)="Terima",0,VLOOKUP(A279,COPY!$A$2:$AC$1000,26,FALSE)),0)</f>
        <v>0</v>
      </c>
      <c r="L279" s="548">
        <f t="shared" si="23"/>
        <v>0</v>
      </c>
      <c r="M279" s="549">
        <f t="shared" si="24"/>
        <v>-36904040</v>
      </c>
      <c r="O279" s="538">
        <f t="shared" si="25"/>
        <v>-36904040</v>
      </c>
      <c r="P279" s="550"/>
      <c r="Q279" s="551"/>
    </row>
    <row r="280" spans="1:17" s="253" customFormat="1" ht="20.100000000000001" hidden="1" customHeight="1" x14ac:dyDescent="0.25">
      <c r="A280" s="253" t="str">
        <f t="shared" si="26"/>
        <v/>
      </c>
      <c r="B280" s="609" t="str">
        <f>IF(LEFT(F280,1)="B",VLOOKUP(A280,COPY!$A$2:$AC$1000,4,FALSE),"")</f>
        <v/>
      </c>
      <c r="C280" s="586"/>
      <c r="D280" s="553"/>
      <c r="E280" s="553"/>
      <c r="F280" s="557" t="str">
        <f>IF(LEN(A280)&gt;2,LEFT(VLOOKUP(A280,COPY!$A$2:$AC$1000,29,FALSE),6),"")</f>
        <v/>
      </c>
      <c r="G280" s="558" t="str">
        <f>_xlfn.IFNA(IF(TEXT(F280,0)="Terima","",VLOOKUP(A280,COPY!$A$2:$AC$1000,29,FALSE)),"")</f>
        <v/>
      </c>
      <c r="H280" s="425"/>
      <c r="I280" s="559"/>
      <c r="J280" s="555"/>
      <c r="K280" s="608">
        <f>_xlfn.IFNA(IF(TEXT(F280,0)="Terima",0,VLOOKUP(A280,COPY!$A$2:$AC$1000,26,FALSE)),0)</f>
        <v>0</v>
      </c>
      <c r="L280" s="548">
        <f t="shared" si="23"/>
        <v>0</v>
      </c>
      <c r="M280" s="549">
        <f t="shared" si="24"/>
        <v>-36904040</v>
      </c>
      <c r="O280" s="538">
        <f t="shared" si="25"/>
        <v>-36904040</v>
      </c>
      <c r="P280" s="550"/>
      <c r="Q280" s="551"/>
    </row>
    <row r="281" spans="1:17" s="253" customFormat="1" ht="20.100000000000001" hidden="1" customHeight="1" x14ac:dyDescent="0.25">
      <c r="A281" s="253" t="str">
        <f t="shared" si="26"/>
        <v/>
      </c>
      <c r="B281" s="609" t="str">
        <f>IF(LEFT(F281,1)="B",VLOOKUP(A281,COPY!$A$2:$AC$1000,4,FALSE),"")</f>
        <v/>
      </c>
      <c r="C281" s="586"/>
      <c r="D281" s="553"/>
      <c r="E281" s="553"/>
      <c r="F281" s="557" t="str">
        <f>IF(LEN(A281)&gt;2,LEFT(VLOOKUP(A281,COPY!$A$2:$AC$1000,29,FALSE),6),"")</f>
        <v/>
      </c>
      <c r="G281" s="558" t="str">
        <f>_xlfn.IFNA(IF(TEXT(F281,0)="Terima","",VLOOKUP(A281,COPY!$A$2:$AC$1000,29,FALSE)),"")</f>
        <v/>
      </c>
      <c r="H281" s="425"/>
      <c r="I281" s="559"/>
      <c r="J281" s="555"/>
      <c r="K281" s="608">
        <f>_xlfn.IFNA(IF(TEXT(F281,0)="Terima",0,VLOOKUP(A281,COPY!$A$2:$AC$1000,26,FALSE)),0)</f>
        <v>0</v>
      </c>
      <c r="L281" s="548">
        <f t="shared" si="23"/>
        <v>0</v>
      </c>
      <c r="M281" s="549">
        <f t="shared" si="24"/>
        <v>-36904040</v>
      </c>
      <c r="O281" s="538">
        <f t="shared" si="25"/>
        <v>-36904040</v>
      </c>
      <c r="P281" s="550"/>
      <c r="Q281" s="551"/>
    </row>
    <row r="282" spans="1:17" s="253" customFormat="1" ht="20.100000000000001" hidden="1" customHeight="1" x14ac:dyDescent="0.25">
      <c r="A282" s="253" t="str">
        <f t="shared" si="26"/>
        <v/>
      </c>
      <c r="B282" s="609" t="str">
        <f>IF(LEFT(F282,1)="B",VLOOKUP(A282,COPY!$A$2:$AC$1000,4,FALSE),"")</f>
        <v/>
      </c>
      <c r="C282" s="586"/>
      <c r="D282" s="553"/>
      <c r="E282" s="553"/>
      <c r="F282" s="557" t="str">
        <f>IF(LEN(A282)&gt;2,LEFT(VLOOKUP(A282,COPY!$A$2:$AC$1000,29,FALSE),6),"")</f>
        <v/>
      </c>
      <c r="G282" s="558" t="str">
        <f>_xlfn.IFNA(IF(TEXT(F282,0)="Terima","",VLOOKUP(A282,COPY!$A$2:$AC$1000,29,FALSE)),"")</f>
        <v/>
      </c>
      <c r="H282" s="425"/>
      <c r="I282" s="559"/>
      <c r="J282" s="555"/>
      <c r="K282" s="608">
        <f>_xlfn.IFNA(IF(TEXT(F282,0)="Terima",0,VLOOKUP(A282,COPY!$A$2:$AC$1000,26,FALSE)),0)</f>
        <v>0</v>
      </c>
      <c r="L282" s="548">
        <f t="shared" si="23"/>
        <v>0</v>
      </c>
      <c r="M282" s="549">
        <f t="shared" si="24"/>
        <v>-36904040</v>
      </c>
      <c r="O282" s="538">
        <f t="shared" si="25"/>
        <v>-36904040</v>
      </c>
      <c r="P282" s="550"/>
      <c r="Q282" s="551"/>
    </row>
    <row r="283" spans="1:17" s="253" customFormat="1" ht="20.100000000000001" hidden="1" customHeight="1" x14ac:dyDescent="0.25">
      <c r="A283" s="253" t="str">
        <f t="shared" si="26"/>
        <v/>
      </c>
      <c r="B283" s="609" t="str">
        <f>IF(LEFT(F283,1)="B",VLOOKUP(A283,COPY!$A$2:$AC$1000,4,FALSE),"")</f>
        <v/>
      </c>
      <c r="C283" s="586"/>
      <c r="D283" s="553"/>
      <c r="E283" s="553"/>
      <c r="F283" s="557" t="str">
        <f>IF(LEN(A283)&gt;2,LEFT(VLOOKUP(A283,COPY!$A$2:$AC$1000,29,FALSE),6),"")</f>
        <v/>
      </c>
      <c r="G283" s="558" t="str">
        <f>_xlfn.IFNA(IF(TEXT(F283,0)="Terima","",VLOOKUP(A283,COPY!$A$2:$AC$1000,29,FALSE)),"")</f>
        <v/>
      </c>
      <c r="H283" s="425"/>
      <c r="I283" s="559"/>
      <c r="J283" s="555"/>
      <c r="K283" s="608">
        <f>_xlfn.IFNA(IF(TEXT(F283,0)="Terima",0,VLOOKUP(A283,COPY!$A$2:$AC$1000,26,FALSE)),0)</f>
        <v>0</v>
      </c>
      <c r="L283" s="548">
        <f t="shared" si="23"/>
        <v>0</v>
      </c>
      <c r="M283" s="549">
        <f t="shared" si="24"/>
        <v>-36904040</v>
      </c>
      <c r="O283" s="538">
        <f t="shared" si="25"/>
        <v>-36904040</v>
      </c>
      <c r="P283" s="550"/>
      <c r="Q283" s="551"/>
    </row>
    <row r="284" spans="1:17" s="253" customFormat="1" ht="20.100000000000001" hidden="1" customHeight="1" x14ac:dyDescent="0.25">
      <c r="A284" s="253" t="str">
        <f t="shared" si="26"/>
        <v/>
      </c>
      <c r="B284" s="609" t="str">
        <f>IF(LEFT(F284,1)="B",VLOOKUP(A284,COPY!$A$2:$AC$1000,4,FALSE),"")</f>
        <v/>
      </c>
      <c r="C284" s="586"/>
      <c r="D284" s="553"/>
      <c r="E284" s="553"/>
      <c r="F284" s="557" t="str">
        <f>IF(LEN(A284)&gt;2,LEFT(VLOOKUP(A284,COPY!$A$2:$AC$1000,29,FALSE),6),"")</f>
        <v/>
      </c>
      <c r="G284" s="558" t="str">
        <f>_xlfn.IFNA(IF(TEXT(F284,0)="Terima","",VLOOKUP(A284,COPY!$A$2:$AC$1000,29,FALSE)),"")</f>
        <v/>
      </c>
      <c r="H284" s="425"/>
      <c r="I284" s="559"/>
      <c r="J284" s="555"/>
      <c r="K284" s="608">
        <f>_xlfn.IFNA(IF(TEXT(F284,0)="Terima",0,VLOOKUP(A284,COPY!$A$2:$AC$1000,26,FALSE)),0)</f>
        <v>0</v>
      </c>
      <c r="L284" s="548">
        <f t="shared" si="23"/>
        <v>0</v>
      </c>
      <c r="M284" s="549">
        <f t="shared" si="24"/>
        <v>-36904040</v>
      </c>
      <c r="O284" s="538">
        <f t="shared" si="25"/>
        <v>-36904040</v>
      </c>
      <c r="P284" s="550"/>
      <c r="Q284" s="551"/>
    </row>
    <row r="285" spans="1:17" s="253" customFormat="1" ht="20.100000000000001" hidden="1" customHeight="1" x14ac:dyDescent="0.25">
      <c r="A285" s="253" t="str">
        <f t="shared" si="26"/>
        <v/>
      </c>
      <c r="B285" s="609" t="str">
        <f>IF(LEFT(F285,1)="B",VLOOKUP(A285,COPY!$A$2:$AC$1000,4,FALSE),"")</f>
        <v/>
      </c>
      <c r="C285" s="586"/>
      <c r="D285" s="553"/>
      <c r="E285" s="553"/>
      <c r="F285" s="557" t="str">
        <f>IF(LEN(A285)&gt;2,LEFT(VLOOKUP(A285,COPY!$A$2:$AC$1000,29,FALSE),6),"")</f>
        <v/>
      </c>
      <c r="G285" s="558" t="str">
        <f>_xlfn.IFNA(IF(TEXT(F285,0)="Terima","",VLOOKUP(A285,COPY!$A$2:$AC$1000,29,FALSE)),"")</f>
        <v/>
      </c>
      <c r="H285" s="425"/>
      <c r="I285" s="559"/>
      <c r="J285" s="555"/>
      <c r="K285" s="608">
        <f>_xlfn.IFNA(IF(TEXT(F285,0)="Terima",0,VLOOKUP(A285,COPY!$A$2:$AC$1000,26,FALSE)),0)</f>
        <v>0</v>
      </c>
      <c r="L285" s="548">
        <f t="shared" si="23"/>
        <v>0</v>
      </c>
      <c r="M285" s="549">
        <f t="shared" si="24"/>
        <v>-36904040</v>
      </c>
      <c r="O285" s="538">
        <f t="shared" si="25"/>
        <v>-36904040</v>
      </c>
      <c r="P285" s="550"/>
      <c r="Q285" s="551"/>
    </row>
    <row r="286" spans="1:17" s="253" customFormat="1" ht="20.100000000000001" hidden="1" customHeight="1" x14ac:dyDescent="0.25">
      <c r="A286" s="253" t="str">
        <f t="shared" si="26"/>
        <v/>
      </c>
      <c r="B286" s="609" t="str">
        <f>IF(LEFT(F286,1)="B",VLOOKUP(A286,COPY!$A$2:$AC$1000,4,FALSE),"")</f>
        <v/>
      </c>
      <c r="C286" s="586"/>
      <c r="D286" s="553"/>
      <c r="E286" s="553"/>
      <c r="F286" s="557" t="str">
        <f>IF(LEN(A286)&gt;2,LEFT(VLOOKUP(A286,COPY!$A$2:$AC$1000,29,FALSE),6),"")</f>
        <v/>
      </c>
      <c r="G286" s="558" t="str">
        <f>_xlfn.IFNA(IF(TEXT(F286,0)="Terima","",VLOOKUP(A286,COPY!$A$2:$AC$1000,29,FALSE)),"")</f>
        <v/>
      </c>
      <c r="H286" s="425"/>
      <c r="I286" s="559"/>
      <c r="J286" s="555"/>
      <c r="K286" s="608">
        <f>_xlfn.IFNA(IF(TEXT(F286,0)="Terima",0,VLOOKUP(A286,COPY!$A$2:$AC$1000,26,FALSE)),0)</f>
        <v>0</v>
      </c>
      <c r="L286" s="548">
        <f t="shared" si="23"/>
        <v>0</v>
      </c>
      <c r="M286" s="549">
        <f t="shared" si="24"/>
        <v>-36904040</v>
      </c>
      <c r="O286" s="538">
        <f t="shared" si="25"/>
        <v>-36904040</v>
      </c>
      <c r="P286" s="550"/>
      <c r="Q286" s="551"/>
    </row>
    <row r="287" spans="1:17" s="253" customFormat="1" ht="20.100000000000001" hidden="1" customHeight="1" x14ac:dyDescent="0.25">
      <c r="A287" s="253" t="str">
        <f t="shared" si="26"/>
        <v/>
      </c>
      <c r="B287" s="609" t="str">
        <f>IF(LEFT(F287,1)="B",VLOOKUP(A287,COPY!$A$2:$AC$1000,4,FALSE),"")</f>
        <v/>
      </c>
      <c r="C287" s="586"/>
      <c r="D287" s="553"/>
      <c r="E287" s="553"/>
      <c r="F287" s="557" t="str">
        <f>IF(LEN(A287)&gt;2,LEFT(VLOOKUP(A287,COPY!$A$2:$AC$1000,29,FALSE),6),"")</f>
        <v/>
      </c>
      <c r="G287" s="558" t="str">
        <f>_xlfn.IFNA(IF(TEXT(F287,0)="Terima","",VLOOKUP(A287,COPY!$A$2:$AC$1000,29,FALSE)),"")</f>
        <v/>
      </c>
      <c r="H287" s="425"/>
      <c r="I287" s="559"/>
      <c r="J287" s="555"/>
      <c r="K287" s="608">
        <f>_xlfn.IFNA(IF(TEXT(F287,0)="Terima",0,VLOOKUP(A287,COPY!$A$2:$AC$1000,26,FALSE)),0)</f>
        <v>0</v>
      </c>
      <c r="L287" s="548">
        <f t="shared" si="23"/>
        <v>0</v>
      </c>
      <c r="M287" s="549">
        <f t="shared" si="24"/>
        <v>-36904040</v>
      </c>
      <c r="O287" s="538">
        <f t="shared" si="25"/>
        <v>-36904040</v>
      </c>
      <c r="P287" s="550"/>
      <c r="Q287" s="551"/>
    </row>
    <row r="288" spans="1:17" s="253" customFormat="1" ht="20.100000000000001" hidden="1" customHeight="1" x14ac:dyDescent="0.25">
      <c r="A288" s="253" t="str">
        <f t="shared" si="26"/>
        <v/>
      </c>
      <c r="B288" s="609" t="str">
        <f>IF(LEFT(F288,1)="B",VLOOKUP(A288,COPY!$A$2:$AC$1000,4,FALSE),"")</f>
        <v/>
      </c>
      <c r="C288" s="586"/>
      <c r="D288" s="553"/>
      <c r="E288" s="553"/>
      <c r="F288" s="557" t="str">
        <f>IF(LEN(A288)&gt;2,LEFT(VLOOKUP(A288,COPY!$A$2:$AC$1000,29,FALSE),6),"")</f>
        <v/>
      </c>
      <c r="G288" s="558" t="str">
        <f>_xlfn.IFNA(IF(TEXT(F288,0)="Terima","",VLOOKUP(A288,COPY!$A$2:$AC$1000,29,FALSE)),"")</f>
        <v/>
      </c>
      <c r="H288" s="425"/>
      <c r="I288" s="559"/>
      <c r="J288" s="555"/>
      <c r="K288" s="608">
        <f>_xlfn.IFNA(IF(TEXT(F288,0)="Terima",0,VLOOKUP(A288,COPY!$A$2:$AC$1000,26,FALSE)),0)</f>
        <v>0</v>
      </c>
      <c r="L288" s="548">
        <f t="shared" si="23"/>
        <v>0</v>
      </c>
      <c r="M288" s="549">
        <f t="shared" si="24"/>
        <v>-36904040</v>
      </c>
      <c r="O288" s="538">
        <f t="shared" si="25"/>
        <v>-36904040</v>
      </c>
      <c r="P288" s="550"/>
      <c r="Q288" s="551"/>
    </row>
    <row r="289" spans="1:17" s="253" customFormat="1" ht="20.100000000000001" hidden="1" customHeight="1" x14ac:dyDescent="0.25">
      <c r="A289" s="253" t="str">
        <f t="shared" si="26"/>
        <v/>
      </c>
      <c r="B289" s="609" t="str">
        <f>IF(LEFT(F289,1)="B",VLOOKUP(A289,COPY!$A$2:$AC$1000,4,FALSE),"")</f>
        <v/>
      </c>
      <c r="C289" s="586"/>
      <c r="D289" s="553"/>
      <c r="E289" s="553"/>
      <c r="F289" s="557" t="str">
        <f>IF(LEN(A289)&gt;2,LEFT(VLOOKUP(A289,COPY!$A$2:$AC$1000,29,FALSE),6),"")</f>
        <v/>
      </c>
      <c r="G289" s="558" t="str">
        <f>_xlfn.IFNA(IF(TEXT(F289,0)="Terima","",VLOOKUP(A289,COPY!$A$2:$AC$1000,29,FALSE)),"")</f>
        <v/>
      </c>
      <c r="H289" s="425"/>
      <c r="I289" s="559"/>
      <c r="J289" s="555"/>
      <c r="K289" s="608">
        <f>_xlfn.IFNA(IF(TEXT(F289,0)="Terima",0,VLOOKUP(A289,COPY!$A$2:$AC$1000,26,FALSE)),0)</f>
        <v>0</v>
      </c>
      <c r="L289" s="548">
        <f t="shared" si="23"/>
        <v>0</v>
      </c>
      <c r="M289" s="549">
        <f t="shared" si="24"/>
        <v>-36904040</v>
      </c>
      <c r="O289" s="538">
        <f t="shared" si="25"/>
        <v>-36904040</v>
      </c>
      <c r="P289" s="550"/>
      <c r="Q289" s="551"/>
    </row>
    <row r="290" spans="1:17" s="253" customFormat="1" ht="20.100000000000001" hidden="1" customHeight="1" x14ac:dyDescent="0.25">
      <c r="A290" s="253" t="str">
        <f t="shared" si="26"/>
        <v/>
      </c>
      <c r="B290" s="609" t="str">
        <f>IF(LEFT(F290,1)="B",VLOOKUP(A290,COPY!$A$2:$AC$1000,4,FALSE),"")</f>
        <v/>
      </c>
      <c r="C290" s="586"/>
      <c r="D290" s="553"/>
      <c r="E290" s="553"/>
      <c r="F290" s="557" t="str">
        <f>IF(LEN(A290)&gt;2,LEFT(VLOOKUP(A290,COPY!$A$2:$AC$1000,29,FALSE),6),"")</f>
        <v/>
      </c>
      <c r="G290" s="558" t="str">
        <f>_xlfn.IFNA(IF(TEXT(F290,0)="Terima","",VLOOKUP(A290,COPY!$A$2:$AC$1000,29,FALSE)),"")</f>
        <v/>
      </c>
      <c r="H290" s="425"/>
      <c r="I290" s="559"/>
      <c r="J290" s="555"/>
      <c r="K290" s="608">
        <f>_xlfn.IFNA(IF(TEXT(F290,0)="Terima",0,VLOOKUP(A290,COPY!$A$2:$AC$1000,26,FALSE)),0)</f>
        <v>0</v>
      </c>
      <c r="L290" s="548">
        <f t="shared" si="23"/>
        <v>0</v>
      </c>
      <c r="M290" s="549">
        <f t="shared" si="24"/>
        <v>-36904040</v>
      </c>
      <c r="O290" s="538">
        <f t="shared" si="25"/>
        <v>-36904040</v>
      </c>
      <c r="P290" s="550"/>
      <c r="Q290" s="551"/>
    </row>
    <row r="291" spans="1:17" s="253" customFormat="1" ht="20.100000000000001" hidden="1" customHeight="1" x14ac:dyDescent="0.25">
      <c r="A291" s="253" t="str">
        <f t="shared" si="26"/>
        <v/>
      </c>
      <c r="B291" s="609" t="str">
        <f>IF(LEFT(F291,1)="B",VLOOKUP(A291,COPY!$A$2:$AC$1000,4,FALSE),"")</f>
        <v/>
      </c>
      <c r="C291" s="586"/>
      <c r="D291" s="553"/>
      <c r="E291" s="553"/>
      <c r="F291" s="557" t="str">
        <f>IF(LEN(A291)&gt;2,LEFT(VLOOKUP(A291,COPY!$A$2:$AC$1000,29,FALSE),6),"")</f>
        <v/>
      </c>
      <c r="G291" s="558" t="str">
        <f>_xlfn.IFNA(IF(TEXT(F291,0)="Terima","",VLOOKUP(A291,COPY!$A$2:$AC$1000,29,FALSE)),"")</f>
        <v/>
      </c>
      <c r="H291" s="425"/>
      <c r="I291" s="559"/>
      <c r="J291" s="555"/>
      <c r="K291" s="608">
        <f>_xlfn.IFNA(IF(TEXT(F291,0)="Terima",0,VLOOKUP(A291,COPY!$A$2:$AC$1000,26,FALSE)),0)</f>
        <v>0</v>
      </c>
      <c r="L291" s="548">
        <f t="shared" si="23"/>
        <v>0</v>
      </c>
      <c r="M291" s="549">
        <f t="shared" si="24"/>
        <v>-36904040</v>
      </c>
      <c r="O291" s="538">
        <f t="shared" si="25"/>
        <v>-36904040</v>
      </c>
      <c r="P291" s="550"/>
      <c r="Q291" s="551"/>
    </row>
    <row r="292" spans="1:17" s="253" customFormat="1" ht="20.100000000000001" hidden="1" customHeight="1" x14ac:dyDescent="0.25">
      <c r="A292" s="253" t="str">
        <f t="shared" si="26"/>
        <v/>
      </c>
      <c r="B292" s="609" t="str">
        <f>IF(LEFT(F292,1)="B",VLOOKUP(A292,COPY!$A$2:$AC$1000,4,FALSE),"")</f>
        <v/>
      </c>
      <c r="C292" s="586"/>
      <c r="D292" s="553"/>
      <c r="E292" s="553"/>
      <c r="F292" s="557" t="str">
        <f>IF(LEN(A292)&gt;2,LEFT(VLOOKUP(A292,COPY!$A$2:$AC$1000,29,FALSE),6),"")</f>
        <v/>
      </c>
      <c r="G292" s="558" t="str">
        <f>_xlfn.IFNA(IF(TEXT(F292,0)="Terima","",VLOOKUP(A292,COPY!$A$2:$AC$1000,29,FALSE)),"")</f>
        <v/>
      </c>
      <c r="H292" s="425"/>
      <c r="I292" s="559"/>
      <c r="J292" s="555"/>
      <c r="K292" s="608">
        <f>_xlfn.IFNA(IF(TEXT(F292,0)="Terima",0,VLOOKUP(A292,COPY!$A$2:$AC$1000,26,FALSE)),0)</f>
        <v>0</v>
      </c>
      <c r="L292" s="548">
        <f t="shared" si="23"/>
        <v>0</v>
      </c>
      <c r="M292" s="549">
        <f t="shared" si="24"/>
        <v>-36904040</v>
      </c>
      <c r="O292" s="538">
        <f t="shared" si="25"/>
        <v>-36904040</v>
      </c>
      <c r="P292" s="550"/>
      <c r="Q292" s="551"/>
    </row>
    <row r="293" spans="1:17" s="253" customFormat="1" ht="20.100000000000001" hidden="1" customHeight="1" x14ac:dyDescent="0.25">
      <c r="A293" s="253" t="str">
        <f t="shared" si="26"/>
        <v/>
      </c>
      <c r="B293" s="609" t="str">
        <f>IF(LEFT(F293,1)="B",VLOOKUP(A293,COPY!$A$2:$AC$1000,4,FALSE),"")</f>
        <v/>
      </c>
      <c r="C293" s="586"/>
      <c r="D293" s="553"/>
      <c r="E293" s="553"/>
      <c r="F293" s="557" t="str">
        <f>IF(LEN(A293)&gt;2,LEFT(VLOOKUP(A293,COPY!$A$2:$AC$1000,29,FALSE),6),"")</f>
        <v/>
      </c>
      <c r="G293" s="558" t="str">
        <f>_xlfn.IFNA(IF(TEXT(F293,0)="Terima","",VLOOKUP(A293,COPY!$A$2:$AC$1000,29,FALSE)),"")</f>
        <v/>
      </c>
      <c r="H293" s="425"/>
      <c r="I293" s="559"/>
      <c r="J293" s="555"/>
      <c r="K293" s="608">
        <f>_xlfn.IFNA(IF(TEXT(F293,0)="Terima",0,VLOOKUP(A293,COPY!$A$2:$AC$1000,26,FALSE)),0)</f>
        <v>0</v>
      </c>
      <c r="L293" s="548">
        <f t="shared" si="23"/>
        <v>0</v>
      </c>
      <c r="M293" s="549">
        <f t="shared" si="24"/>
        <v>-36904040</v>
      </c>
      <c r="O293" s="538">
        <f t="shared" si="25"/>
        <v>-36904040</v>
      </c>
      <c r="P293" s="550"/>
      <c r="Q293" s="551"/>
    </row>
    <row r="294" spans="1:17" s="253" customFormat="1" ht="20.100000000000001" hidden="1" customHeight="1" x14ac:dyDescent="0.25">
      <c r="A294" s="253" t="str">
        <f t="shared" si="26"/>
        <v/>
      </c>
      <c r="B294" s="609" t="str">
        <f>IF(LEFT(F294,1)="B",VLOOKUP(A294,COPY!$A$2:$AC$1000,4,FALSE),"")</f>
        <v/>
      </c>
      <c r="C294" s="586"/>
      <c r="D294" s="553"/>
      <c r="E294" s="553"/>
      <c r="F294" s="557" t="str">
        <f>IF(LEN(A294)&gt;2,LEFT(VLOOKUP(A294,COPY!$A$2:$AC$1000,29,FALSE),6),"")</f>
        <v/>
      </c>
      <c r="G294" s="558" t="str">
        <f>_xlfn.IFNA(IF(TEXT(F294,0)="Terima","",VLOOKUP(A294,COPY!$A$2:$AC$1000,29,FALSE)),"")</f>
        <v/>
      </c>
      <c r="H294" s="425"/>
      <c r="I294" s="559"/>
      <c r="J294" s="555"/>
      <c r="K294" s="608">
        <f>_xlfn.IFNA(IF(TEXT(F294,0)="Terima",0,VLOOKUP(A294,COPY!$A$2:$AC$1000,26,FALSE)),0)</f>
        <v>0</v>
      </c>
      <c r="L294" s="548">
        <f t="shared" si="23"/>
        <v>0</v>
      </c>
      <c r="M294" s="549">
        <f t="shared" si="24"/>
        <v>-36904040</v>
      </c>
      <c r="O294" s="538">
        <f t="shared" si="25"/>
        <v>-36904040</v>
      </c>
      <c r="P294" s="550"/>
      <c r="Q294" s="551"/>
    </row>
    <row r="295" spans="1:17" s="253" customFormat="1" ht="20.100000000000001" hidden="1" customHeight="1" x14ac:dyDescent="0.25">
      <c r="A295" s="253" t="str">
        <f t="shared" si="26"/>
        <v/>
      </c>
      <c r="B295" s="609" t="str">
        <f>IF(LEFT(F295,1)="B",VLOOKUP(A295,COPY!$A$2:$AC$1000,4,FALSE),"")</f>
        <v/>
      </c>
      <c r="C295" s="586"/>
      <c r="D295" s="553"/>
      <c r="E295" s="553"/>
      <c r="F295" s="557" t="str">
        <f>IF(LEN(A295)&gt;2,LEFT(VLOOKUP(A295,COPY!$A$2:$AC$1000,29,FALSE),6),"")</f>
        <v/>
      </c>
      <c r="G295" s="558" t="str">
        <f>_xlfn.IFNA(IF(TEXT(F295,0)="Terima","",VLOOKUP(A295,COPY!$A$2:$AC$1000,29,FALSE)),"")</f>
        <v/>
      </c>
      <c r="H295" s="425"/>
      <c r="I295" s="559"/>
      <c r="J295" s="555"/>
      <c r="K295" s="608">
        <f>_xlfn.IFNA(IF(TEXT(F295,0)="Terima",0,VLOOKUP(A295,COPY!$A$2:$AC$1000,26,FALSE)),0)</f>
        <v>0</v>
      </c>
      <c r="L295" s="548">
        <f t="shared" si="23"/>
        <v>0</v>
      </c>
      <c r="M295" s="549">
        <f t="shared" si="24"/>
        <v>-36904040</v>
      </c>
      <c r="O295" s="538">
        <f t="shared" si="25"/>
        <v>-36904040</v>
      </c>
      <c r="P295" s="550"/>
      <c r="Q295" s="551"/>
    </row>
    <row r="296" spans="1:17" s="253" customFormat="1" ht="20.100000000000001" hidden="1" customHeight="1" x14ac:dyDescent="0.25">
      <c r="A296" s="253" t="str">
        <f t="shared" si="26"/>
        <v/>
      </c>
      <c r="B296" s="609" t="str">
        <f>IF(LEFT(F296,1)="B",VLOOKUP(A296,COPY!$A$2:$AC$1000,4,FALSE),"")</f>
        <v/>
      </c>
      <c r="C296" s="586"/>
      <c r="D296" s="553"/>
      <c r="E296" s="553"/>
      <c r="F296" s="557" t="str">
        <f>IF(LEN(A296)&gt;2,LEFT(VLOOKUP(A296,COPY!$A$2:$AC$1000,29,FALSE),6),"")</f>
        <v/>
      </c>
      <c r="G296" s="558" t="str">
        <f>_xlfn.IFNA(IF(TEXT(F296,0)="Terima","",VLOOKUP(A296,COPY!$A$2:$AC$1000,29,FALSE)),"")</f>
        <v/>
      </c>
      <c r="H296" s="425"/>
      <c r="I296" s="559"/>
      <c r="J296" s="555"/>
      <c r="K296" s="608">
        <f>_xlfn.IFNA(IF(TEXT(F296,0)="Terima",0,VLOOKUP(A296,COPY!$A$2:$AC$1000,26,FALSE)),0)</f>
        <v>0</v>
      </c>
      <c r="L296" s="548">
        <f t="shared" si="23"/>
        <v>0</v>
      </c>
      <c r="M296" s="549">
        <f t="shared" si="24"/>
        <v>-36904040</v>
      </c>
      <c r="O296" s="538">
        <f t="shared" si="25"/>
        <v>-36904040</v>
      </c>
      <c r="P296" s="550"/>
      <c r="Q296" s="551"/>
    </row>
    <row r="297" spans="1:17" s="253" customFormat="1" ht="20.100000000000001" hidden="1" customHeight="1" x14ac:dyDescent="0.25">
      <c r="A297" s="253" t="str">
        <f t="shared" si="26"/>
        <v/>
      </c>
      <c r="B297" s="609" t="str">
        <f>IF(LEFT(F297,1)="B",VLOOKUP(A297,COPY!$A$2:$AC$1000,4,FALSE),"")</f>
        <v/>
      </c>
      <c r="C297" s="586"/>
      <c r="D297" s="553"/>
      <c r="E297" s="553"/>
      <c r="F297" s="557" t="str">
        <f>IF(LEN(A297)&gt;2,LEFT(VLOOKUP(A297,COPY!$A$2:$AC$1000,29,FALSE),6),"")</f>
        <v/>
      </c>
      <c r="G297" s="558" t="str">
        <f>_xlfn.IFNA(IF(TEXT(F297,0)="Terima","",VLOOKUP(A297,COPY!$A$2:$AC$1000,29,FALSE)),"")</f>
        <v/>
      </c>
      <c r="H297" s="425"/>
      <c r="I297" s="559"/>
      <c r="J297" s="555"/>
      <c r="K297" s="608">
        <f>_xlfn.IFNA(IF(TEXT(F297,0)="Terima",0,VLOOKUP(A297,COPY!$A$2:$AC$1000,26,FALSE)),0)</f>
        <v>0</v>
      </c>
      <c r="L297" s="548">
        <f t="shared" si="23"/>
        <v>0</v>
      </c>
      <c r="M297" s="549">
        <f t="shared" si="24"/>
        <v>-36904040</v>
      </c>
      <c r="O297" s="538">
        <f t="shared" si="25"/>
        <v>-36904040</v>
      </c>
      <c r="P297" s="550"/>
      <c r="Q297" s="551"/>
    </row>
    <row r="298" spans="1:17" s="253" customFormat="1" ht="20.100000000000001" hidden="1" customHeight="1" x14ac:dyDescent="0.25">
      <c r="A298" s="253" t="str">
        <f t="shared" si="26"/>
        <v/>
      </c>
      <c r="B298" s="609" t="str">
        <f>IF(LEFT(F298,1)="B",VLOOKUP(A298,COPY!$A$2:$AC$1000,4,FALSE),"")</f>
        <v/>
      </c>
      <c r="C298" s="586"/>
      <c r="D298" s="553"/>
      <c r="E298" s="553"/>
      <c r="F298" s="557" t="str">
        <f>IF(LEN(A298)&gt;2,LEFT(VLOOKUP(A298,COPY!$A$2:$AC$1000,29,FALSE),6),"")</f>
        <v/>
      </c>
      <c r="G298" s="558" t="str">
        <f>_xlfn.IFNA(IF(TEXT(F298,0)="Terima","",VLOOKUP(A298,COPY!$A$2:$AC$1000,29,FALSE)),"")</f>
        <v/>
      </c>
      <c r="H298" s="425"/>
      <c r="I298" s="559"/>
      <c r="J298" s="555"/>
      <c r="K298" s="608">
        <f>_xlfn.IFNA(IF(TEXT(F298,0)="Terima",0,VLOOKUP(A298,COPY!$A$2:$AC$1000,26,FALSE)),0)</f>
        <v>0</v>
      </c>
      <c r="L298" s="548">
        <f t="shared" ref="L298:L322" si="27">IF(K298&gt;0,IF(O298&gt;=0,O298,IF(O298&lt;0,0,0)),0)</f>
        <v>0</v>
      </c>
      <c r="M298" s="549">
        <f t="shared" ref="M298:M322" si="28">IF(O298&lt;0,O298,IF(O298&gt;=0,0,0))</f>
        <v>-36904040</v>
      </c>
      <c r="O298" s="538">
        <f t="shared" ref="O298:O322" si="29">IF(J298&gt;0,O297+J298,IF(K298&gt;0,O297-K298,O297))</f>
        <v>-36904040</v>
      </c>
      <c r="P298" s="550"/>
      <c r="Q298" s="551"/>
    </row>
    <row r="299" spans="1:17" s="253" customFormat="1" ht="20.100000000000001" hidden="1" customHeight="1" x14ac:dyDescent="0.25">
      <c r="A299" s="253" t="str">
        <f t="shared" ref="A299:A322" si="30">A144</f>
        <v/>
      </c>
      <c r="B299" s="609" t="str">
        <f>IF(LEFT(F299,1)="B",VLOOKUP(A299,COPY!$A$2:$AC$1000,4,FALSE),"")</f>
        <v/>
      </c>
      <c r="C299" s="586"/>
      <c r="D299" s="553"/>
      <c r="E299" s="553"/>
      <c r="F299" s="557" t="str">
        <f>IF(LEN(A299)&gt;2,LEFT(VLOOKUP(A299,COPY!$A$2:$AC$1000,29,FALSE),6),"")</f>
        <v/>
      </c>
      <c r="G299" s="558" t="str">
        <f>_xlfn.IFNA(IF(TEXT(F299,0)="Terima","",VLOOKUP(A299,COPY!$A$2:$AC$1000,29,FALSE)),"")</f>
        <v/>
      </c>
      <c r="H299" s="425"/>
      <c r="I299" s="559"/>
      <c r="J299" s="555"/>
      <c r="K299" s="608">
        <f>_xlfn.IFNA(IF(TEXT(F299,0)="Terima",0,VLOOKUP(A299,COPY!$A$2:$AC$1000,26,FALSE)),0)</f>
        <v>0</v>
      </c>
      <c r="L299" s="548">
        <f t="shared" si="27"/>
        <v>0</v>
      </c>
      <c r="M299" s="549">
        <f t="shared" si="28"/>
        <v>-36904040</v>
      </c>
      <c r="O299" s="538">
        <f t="shared" si="29"/>
        <v>-36904040</v>
      </c>
      <c r="P299" s="550"/>
      <c r="Q299" s="551"/>
    </row>
    <row r="300" spans="1:17" s="253" customFormat="1" ht="20.100000000000001" hidden="1" customHeight="1" x14ac:dyDescent="0.25">
      <c r="A300" s="253" t="str">
        <f t="shared" si="30"/>
        <v/>
      </c>
      <c r="B300" s="609" t="str">
        <f>IF(LEFT(F300,1)="B",VLOOKUP(A300,COPY!$A$2:$AC$1000,4,FALSE),"")</f>
        <v/>
      </c>
      <c r="C300" s="586"/>
      <c r="D300" s="553"/>
      <c r="E300" s="553"/>
      <c r="F300" s="557" t="str">
        <f>IF(LEN(A300)&gt;2,LEFT(VLOOKUP(A300,COPY!$A$2:$AC$1000,29,FALSE),6),"")</f>
        <v/>
      </c>
      <c r="G300" s="558" t="str">
        <f>_xlfn.IFNA(IF(TEXT(F300,0)="Terima","",VLOOKUP(A300,COPY!$A$2:$AC$1000,29,FALSE)),"")</f>
        <v/>
      </c>
      <c r="H300" s="425"/>
      <c r="I300" s="559"/>
      <c r="J300" s="555"/>
      <c r="K300" s="608">
        <f>_xlfn.IFNA(IF(TEXT(F300,0)="Terima",0,VLOOKUP(A300,COPY!$A$2:$AC$1000,26,FALSE)),0)</f>
        <v>0</v>
      </c>
      <c r="L300" s="548">
        <f t="shared" si="27"/>
        <v>0</v>
      </c>
      <c r="M300" s="549">
        <f t="shared" si="28"/>
        <v>-36904040</v>
      </c>
      <c r="O300" s="538">
        <f t="shared" si="29"/>
        <v>-36904040</v>
      </c>
      <c r="P300" s="550"/>
      <c r="Q300" s="551"/>
    </row>
    <row r="301" spans="1:17" s="253" customFormat="1" ht="20.100000000000001" hidden="1" customHeight="1" x14ac:dyDescent="0.25">
      <c r="A301" s="253" t="str">
        <f t="shared" si="30"/>
        <v/>
      </c>
      <c r="B301" s="609" t="str">
        <f>IF(LEFT(F301,1)="B",VLOOKUP(A301,COPY!$A$2:$AC$1000,4,FALSE),"")</f>
        <v/>
      </c>
      <c r="C301" s="586"/>
      <c r="D301" s="553"/>
      <c r="E301" s="553"/>
      <c r="F301" s="557" t="str">
        <f>IF(LEN(A301)&gt;2,LEFT(VLOOKUP(A301,COPY!$A$2:$AC$1000,29,FALSE),6),"")</f>
        <v/>
      </c>
      <c r="G301" s="558" t="str">
        <f>_xlfn.IFNA(IF(TEXT(F301,0)="Terima","",VLOOKUP(A301,COPY!$A$2:$AC$1000,29,FALSE)),"")</f>
        <v/>
      </c>
      <c r="H301" s="425"/>
      <c r="I301" s="559"/>
      <c r="J301" s="555"/>
      <c r="K301" s="608">
        <f>_xlfn.IFNA(IF(TEXT(F301,0)="Terima",0,VLOOKUP(A301,COPY!$A$2:$AC$1000,26,FALSE)),0)</f>
        <v>0</v>
      </c>
      <c r="L301" s="548">
        <f t="shared" si="27"/>
        <v>0</v>
      </c>
      <c r="M301" s="549">
        <f t="shared" si="28"/>
        <v>-36904040</v>
      </c>
      <c r="O301" s="538">
        <f t="shared" si="29"/>
        <v>-36904040</v>
      </c>
      <c r="P301" s="550"/>
      <c r="Q301" s="551"/>
    </row>
    <row r="302" spans="1:17" s="253" customFormat="1" ht="20.100000000000001" hidden="1" customHeight="1" x14ac:dyDescent="0.25">
      <c r="A302" s="253" t="str">
        <f t="shared" si="30"/>
        <v/>
      </c>
      <c r="B302" s="609" t="str">
        <f>IF(LEFT(F302,1)="B",VLOOKUP(A302,COPY!$A$2:$AC$1000,4,FALSE),"")</f>
        <v/>
      </c>
      <c r="C302" s="586"/>
      <c r="D302" s="553"/>
      <c r="E302" s="553"/>
      <c r="F302" s="557" t="str">
        <f>IF(LEN(A302)&gt;2,LEFT(VLOOKUP(A302,COPY!$A$2:$AC$1000,29,FALSE),6),"")</f>
        <v/>
      </c>
      <c r="G302" s="558" t="str">
        <f>_xlfn.IFNA(IF(TEXT(F302,0)="Terima","",VLOOKUP(A302,COPY!$A$2:$AC$1000,29,FALSE)),"")</f>
        <v/>
      </c>
      <c r="H302" s="425"/>
      <c r="I302" s="559"/>
      <c r="J302" s="555"/>
      <c r="K302" s="608">
        <f>_xlfn.IFNA(IF(TEXT(F302,0)="Terima",0,VLOOKUP(A302,COPY!$A$2:$AC$1000,26,FALSE)),0)</f>
        <v>0</v>
      </c>
      <c r="L302" s="548">
        <f t="shared" si="27"/>
        <v>0</v>
      </c>
      <c r="M302" s="549">
        <f t="shared" si="28"/>
        <v>-36904040</v>
      </c>
      <c r="O302" s="538">
        <f t="shared" si="29"/>
        <v>-36904040</v>
      </c>
      <c r="P302" s="550"/>
      <c r="Q302" s="551"/>
    </row>
    <row r="303" spans="1:17" s="253" customFormat="1" ht="20.100000000000001" hidden="1" customHeight="1" x14ac:dyDescent="0.25">
      <c r="A303" s="253" t="str">
        <f t="shared" si="30"/>
        <v/>
      </c>
      <c r="B303" s="609" t="str">
        <f>IF(LEFT(F303,1)="B",VLOOKUP(A303,COPY!$A$2:$AC$1000,4,FALSE),"")</f>
        <v/>
      </c>
      <c r="C303" s="586"/>
      <c r="D303" s="553"/>
      <c r="E303" s="553"/>
      <c r="F303" s="557" t="str">
        <f>IF(LEN(A303)&gt;2,LEFT(VLOOKUP(A303,COPY!$A$2:$AC$1000,29,FALSE),6),"")</f>
        <v/>
      </c>
      <c r="G303" s="558" t="str">
        <f>_xlfn.IFNA(IF(TEXT(F303,0)="Terima","",VLOOKUP(A303,COPY!$A$2:$AC$1000,29,FALSE)),"")</f>
        <v/>
      </c>
      <c r="H303" s="425"/>
      <c r="I303" s="559"/>
      <c r="J303" s="555"/>
      <c r="K303" s="608">
        <f>_xlfn.IFNA(IF(TEXT(F303,0)="Terima",0,VLOOKUP(A303,COPY!$A$2:$AC$1000,26,FALSE)),0)</f>
        <v>0</v>
      </c>
      <c r="L303" s="548">
        <f t="shared" si="27"/>
        <v>0</v>
      </c>
      <c r="M303" s="549">
        <f t="shared" si="28"/>
        <v>-36904040</v>
      </c>
      <c r="O303" s="538">
        <f t="shared" si="29"/>
        <v>-36904040</v>
      </c>
      <c r="P303" s="550"/>
      <c r="Q303" s="551"/>
    </row>
    <row r="304" spans="1:17" s="253" customFormat="1" ht="20.100000000000001" hidden="1" customHeight="1" x14ac:dyDescent="0.25">
      <c r="A304" s="253" t="str">
        <f t="shared" si="30"/>
        <v/>
      </c>
      <c r="B304" s="609" t="str">
        <f>IF(LEFT(F304,1)="B",VLOOKUP(A304,COPY!$A$2:$AC$1000,4,FALSE),"")</f>
        <v/>
      </c>
      <c r="C304" s="586"/>
      <c r="D304" s="553"/>
      <c r="E304" s="553"/>
      <c r="F304" s="557" t="str">
        <f>IF(LEN(A304)&gt;2,LEFT(VLOOKUP(A304,COPY!$A$2:$AC$1000,29,FALSE),6),"")</f>
        <v/>
      </c>
      <c r="G304" s="558" t="str">
        <f>_xlfn.IFNA(IF(TEXT(F304,0)="Terima","",VLOOKUP(A304,COPY!$A$2:$AC$1000,29,FALSE)),"")</f>
        <v/>
      </c>
      <c r="H304" s="425"/>
      <c r="I304" s="559"/>
      <c r="J304" s="555"/>
      <c r="K304" s="608">
        <f>_xlfn.IFNA(IF(TEXT(F304,0)="Terima",0,VLOOKUP(A304,COPY!$A$2:$AC$1000,26,FALSE)),0)</f>
        <v>0</v>
      </c>
      <c r="L304" s="548">
        <f t="shared" si="27"/>
        <v>0</v>
      </c>
      <c r="M304" s="549">
        <f t="shared" si="28"/>
        <v>-36904040</v>
      </c>
      <c r="O304" s="538">
        <f t="shared" si="29"/>
        <v>-36904040</v>
      </c>
      <c r="P304" s="550"/>
      <c r="Q304" s="551"/>
    </row>
    <row r="305" spans="1:17" s="253" customFormat="1" ht="20.100000000000001" hidden="1" customHeight="1" x14ac:dyDescent="0.25">
      <c r="A305" s="253" t="str">
        <f t="shared" si="30"/>
        <v/>
      </c>
      <c r="B305" s="609" t="str">
        <f>IF(LEFT(F305,1)="B",VLOOKUP(A305,COPY!$A$2:$AC$1000,4,FALSE),"")</f>
        <v/>
      </c>
      <c r="C305" s="586"/>
      <c r="D305" s="553"/>
      <c r="E305" s="553"/>
      <c r="F305" s="557" t="str">
        <f>IF(LEN(A305)&gt;2,LEFT(VLOOKUP(A305,COPY!$A$2:$AC$1000,29,FALSE),6),"")</f>
        <v/>
      </c>
      <c r="G305" s="558" t="str">
        <f>_xlfn.IFNA(IF(TEXT(F305,0)="Terima","",VLOOKUP(A305,COPY!$A$2:$AC$1000,29,FALSE)),"")</f>
        <v/>
      </c>
      <c r="H305" s="425"/>
      <c r="I305" s="559"/>
      <c r="J305" s="555"/>
      <c r="K305" s="608">
        <f>_xlfn.IFNA(IF(TEXT(F305,0)="Terima",0,VLOOKUP(A305,COPY!$A$2:$AC$1000,26,FALSE)),0)</f>
        <v>0</v>
      </c>
      <c r="L305" s="548">
        <f t="shared" si="27"/>
        <v>0</v>
      </c>
      <c r="M305" s="549">
        <f t="shared" si="28"/>
        <v>-36904040</v>
      </c>
      <c r="O305" s="538">
        <f t="shared" si="29"/>
        <v>-36904040</v>
      </c>
      <c r="P305" s="550"/>
      <c r="Q305" s="551"/>
    </row>
    <row r="306" spans="1:17" s="253" customFormat="1" ht="20.100000000000001" hidden="1" customHeight="1" x14ac:dyDescent="0.25">
      <c r="A306" s="253" t="str">
        <f t="shared" si="30"/>
        <v/>
      </c>
      <c r="B306" s="609" t="str">
        <f>IF(LEFT(F306,1)="B",VLOOKUP(A306,COPY!$A$2:$AC$1000,4,FALSE),"")</f>
        <v/>
      </c>
      <c r="C306" s="586"/>
      <c r="D306" s="553"/>
      <c r="E306" s="553"/>
      <c r="F306" s="557" t="str">
        <f>IF(LEN(A306)&gt;2,LEFT(VLOOKUP(A306,COPY!$A$2:$AC$1000,29,FALSE),6),"")</f>
        <v/>
      </c>
      <c r="G306" s="558" t="str">
        <f>_xlfn.IFNA(IF(TEXT(F306,0)="Terima","",VLOOKUP(A306,COPY!$A$2:$AC$1000,29,FALSE)),"")</f>
        <v/>
      </c>
      <c r="H306" s="425"/>
      <c r="I306" s="559"/>
      <c r="J306" s="555"/>
      <c r="K306" s="608">
        <f>_xlfn.IFNA(IF(TEXT(F306,0)="Terima",0,VLOOKUP(A306,COPY!$A$2:$AC$1000,26,FALSE)),0)</f>
        <v>0</v>
      </c>
      <c r="L306" s="548">
        <f t="shared" si="27"/>
        <v>0</v>
      </c>
      <c r="M306" s="549">
        <f t="shared" si="28"/>
        <v>-36904040</v>
      </c>
      <c r="O306" s="538">
        <f t="shared" si="29"/>
        <v>-36904040</v>
      </c>
      <c r="P306" s="550"/>
      <c r="Q306" s="551"/>
    </row>
    <row r="307" spans="1:17" s="253" customFormat="1" ht="20.100000000000001" hidden="1" customHeight="1" x14ac:dyDescent="0.25">
      <c r="A307" s="253" t="str">
        <f t="shared" si="30"/>
        <v/>
      </c>
      <c r="B307" s="609" t="str">
        <f>IF(LEFT(F307,1)="B",VLOOKUP(A307,COPY!$A$2:$AC$1000,4,FALSE),"")</f>
        <v/>
      </c>
      <c r="C307" s="586"/>
      <c r="D307" s="553"/>
      <c r="E307" s="553"/>
      <c r="F307" s="557" t="str">
        <f>IF(LEN(A307)&gt;2,LEFT(VLOOKUP(A307,COPY!$A$2:$AC$1000,29,FALSE),6),"")</f>
        <v/>
      </c>
      <c r="G307" s="558" t="str">
        <f>_xlfn.IFNA(IF(TEXT(F307,0)="Terima","",VLOOKUP(A307,COPY!$A$2:$AC$1000,29,FALSE)),"")</f>
        <v/>
      </c>
      <c r="H307" s="425"/>
      <c r="I307" s="559"/>
      <c r="J307" s="555"/>
      <c r="K307" s="608">
        <f>_xlfn.IFNA(IF(TEXT(F307,0)="Terima",0,VLOOKUP(A307,COPY!$A$2:$AC$1000,26,FALSE)),0)</f>
        <v>0</v>
      </c>
      <c r="L307" s="548">
        <f t="shared" si="27"/>
        <v>0</v>
      </c>
      <c r="M307" s="549">
        <f t="shared" si="28"/>
        <v>-36904040</v>
      </c>
      <c r="O307" s="538">
        <f t="shared" si="29"/>
        <v>-36904040</v>
      </c>
      <c r="P307" s="550"/>
      <c r="Q307" s="551"/>
    </row>
    <row r="308" spans="1:17" s="253" customFormat="1" ht="20.100000000000001" hidden="1" customHeight="1" x14ac:dyDescent="0.25">
      <c r="A308" s="253" t="str">
        <f t="shared" si="30"/>
        <v/>
      </c>
      <c r="B308" s="609" t="str">
        <f>IF(LEFT(F308,1)="B",VLOOKUP(A308,COPY!$A$2:$AC$1000,4,FALSE),"")</f>
        <v/>
      </c>
      <c r="C308" s="586"/>
      <c r="D308" s="553"/>
      <c r="E308" s="553"/>
      <c r="F308" s="557" t="str">
        <f>IF(LEN(A308)&gt;2,LEFT(VLOOKUP(A308,COPY!$A$2:$AC$1000,29,FALSE),6),"")</f>
        <v/>
      </c>
      <c r="G308" s="558" t="str">
        <f>_xlfn.IFNA(IF(TEXT(F308,0)="Terima","",VLOOKUP(A308,COPY!$A$2:$AC$1000,29,FALSE)),"")</f>
        <v/>
      </c>
      <c r="H308" s="425"/>
      <c r="I308" s="559"/>
      <c r="J308" s="555"/>
      <c r="K308" s="608">
        <f>_xlfn.IFNA(IF(TEXT(F308,0)="Terima",0,VLOOKUP(A308,COPY!$A$2:$AC$1000,26,FALSE)),0)</f>
        <v>0</v>
      </c>
      <c r="L308" s="548">
        <f t="shared" si="27"/>
        <v>0</v>
      </c>
      <c r="M308" s="549">
        <f t="shared" si="28"/>
        <v>-36904040</v>
      </c>
      <c r="O308" s="538">
        <f t="shared" si="29"/>
        <v>-36904040</v>
      </c>
      <c r="P308" s="550"/>
      <c r="Q308" s="551"/>
    </row>
    <row r="309" spans="1:17" s="253" customFormat="1" ht="20.100000000000001" hidden="1" customHeight="1" x14ac:dyDescent="0.25">
      <c r="A309" s="253" t="str">
        <f t="shared" si="30"/>
        <v/>
      </c>
      <c r="B309" s="609" t="str">
        <f>IF(LEFT(F309,1)="B",VLOOKUP(A309,COPY!$A$2:$AC$1000,4,FALSE),"")</f>
        <v/>
      </c>
      <c r="C309" s="586"/>
      <c r="D309" s="553"/>
      <c r="E309" s="553"/>
      <c r="F309" s="557" t="str">
        <f>IF(LEN(A309)&gt;2,LEFT(VLOOKUP(A309,COPY!$A$2:$AC$1000,29,FALSE),6),"")</f>
        <v/>
      </c>
      <c r="G309" s="558" t="str">
        <f>_xlfn.IFNA(IF(TEXT(F309,0)="Terima","",VLOOKUP(A309,COPY!$A$2:$AC$1000,29,FALSE)),"")</f>
        <v/>
      </c>
      <c r="H309" s="425"/>
      <c r="I309" s="559"/>
      <c r="J309" s="555"/>
      <c r="K309" s="608">
        <f>_xlfn.IFNA(IF(TEXT(F309,0)="Terima",0,VLOOKUP(A309,COPY!$A$2:$AC$1000,26,FALSE)),0)</f>
        <v>0</v>
      </c>
      <c r="L309" s="548">
        <f t="shared" si="27"/>
        <v>0</v>
      </c>
      <c r="M309" s="549">
        <f t="shared" si="28"/>
        <v>-36904040</v>
      </c>
      <c r="O309" s="538">
        <f t="shared" si="29"/>
        <v>-36904040</v>
      </c>
      <c r="P309" s="550"/>
      <c r="Q309" s="551"/>
    </row>
    <row r="310" spans="1:17" s="253" customFormat="1" ht="20.100000000000001" hidden="1" customHeight="1" x14ac:dyDescent="0.25">
      <c r="A310" s="253" t="str">
        <f t="shared" si="30"/>
        <v/>
      </c>
      <c r="B310" s="609" t="str">
        <f>IF(LEFT(F310,1)="B",VLOOKUP(A310,COPY!$A$2:$AC$1000,4,FALSE),"")</f>
        <v/>
      </c>
      <c r="C310" s="586"/>
      <c r="D310" s="553"/>
      <c r="E310" s="553"/>
      <c r="F310" s="557" t="str">
        <f>IF(LEN(A310)&gt;2,LEFT(VLOOKUP(A310,COPY!$A$2:$AC$1000,29,FALSE),6),"")</f>
        <v/>
      </c>
      <c r="G310" s="558" t="str">
        <f>_xlfn.IFNA(IF(TEXT(F310,0)="Terima","",VLOOKUP(A310,COPY!$A$2:$AC$1000,29,FALSE)),"")</f>
        <v/>
      </c>
      <c r="H310" s="425"/>
      <c r="I310" s="559"/>
      <c r="J310" s="555"/>
      <c r="K310" s="608">
        <f>_xlfn.IFNA(IF(TEXT(F310,0)="Terima",0,VLOOKUP(A310,COPY!$A$2:$AC$1000,26,FALSE)),0)</f>
        <v>0</v>
      </c>
      <c r="L310" s="548">
        <f t="shared" si="27"/>
        <v>0</v>
      </c>
      <c r="M310" s="549">
        <f t="shared" si="28"/>
        <v>-36904040</v>
      </c>
      <c r="O310" s="538">
        <f t="shared" si="29"/>
        <v>-36904040</v>
      </c>
      <c r="P310" s="550"/>
      <c r="Q310" s="551"/>
    </row>
    <row r="311" spans="1:17" s="253" customFormat="1" ht="20.100000000000001" hidden="1" customHeight="1" x14ac:dyDescent="0.25">
      <c r="A311" s="253" t="str">
        <f t="shared" si="30"/>
        <v/>
      </c>
      <c r="B311" s="609" t="str">
        <f>IF(LEFT(F311,1)="B",VLOOKUP(A311,COPY!$A$2:$AC$1000,4,FALSE),"")</f>
        <v/>
      </c>
      <c r="C311" s="586"/>
      <c r="D311" s="553"/>
      <c r="E311" s="553"/>
      <c r="F311" s="557" t="str">
        <f>IF(LEN(A311)&gt;2,LEFT(VLOOKUP(A311,COPY!$A$2:$AC$1000,29,FALSE),6),"")</f>
        <v/>
      </c>
      <c r="G311" s="558" t="str">
        <f>_xlfn.IFNA(IF(TEXT(F311,0)="Terima","",VLOOKUP(A311,COPY!$A$2:$AC$1000,29,FALSE)),"")</f>
        <v/>
      </c>
      <c r="H311" s="425"/>
      <c r="I311" s="559"/>
      <c r="J311" s="555"/>
      <c r="K311" s="608">
        <f>_xlfn.IFNA(IF(TEXT(F311,0)="Terima",0,VLOOKUP(A311,COPY!$A$2:$AC$1000,26,FALSE)),0)</f>
        <v>0</v>
      </c>
      <c r="L311" s="548">
        <f t="shared" si="27"/>
        <v>0</v>
      </c>
      <c r="M311" s="549">
        <f t="shared" si="28"/>
        <v>-36904040</v>
      </c>
      <c r="O311" s="538">
        <f t="shared" si="29"/>
        <v>-36904040</v>
      </c>
      <c r="P311" s="550"/>
      <c r="Q311" s="551"/>
    </row>
    <row r="312" spans="1:17" s="253" customFormat="1" ht="20.100000000000001" hidden="1" customHeight="1" x14ac:dyDescent="0.25">
      <c r="A312" s="253" t="str">
        <f t="shared" si="30"/>
        <v/>
      </c>
      <c r="B312" s="609" t="str">
        <f>IF(LEFT(F312,1)="B",VLOOKUP(A312,COPY!$A$2:$AC$1000,4,FALSE),"")</f>
        <v/>
      </c>
      <c r="C312" s="586"/>
      <c r="D312" s="553"/>
      <c r="E312" s="553"/>
      <c r="F312" s="557" t="str">
        <f>IF(LEN(A312)&gt;2,LEFT(VLOOKUP(A312,COPY!$A$2:$AC$1000,29,FALSE),6),"")</f>
        <v/>
      </c>
      <c r="G312" s="558" t="str">
        <f>_xlfn.IFNA(IF(TEXT(F312,0)="Terima","",VLOOKUP(A312,COPY!$A$2:$AC$1000,29,FALSE)),"")</f>
        <v/>
      </c>
      <c r="H312" s="425"/>
      <c r="I312" s="559"/>
      <c r="J312" s="555"/>
      <c r="K312" s="608">
        <f>_xlfn.IFNA(IF(TEXT(F312,0)="Terima",0,VLOOKUP(A312,COPY!$A$2:$AC$1000,26,FALSE)),0)</f>
        <v>0</v>
      </c>
      <c r="L312" s="548">
        <f t="shared" si="27"/>
        <v>0</v>
      </c>
      <c r="M312" s="549">
        <f t="shared" si="28"/>
        <v>-36904040</v>
      </c>
      <c r="O312" s="538">
        <f t="shared" si="29"/>
        <v>-36904040</v>
      </c>
      <c r="P312" s="550"/>
      <c r="Q312" s="551"/>
    </row>
    <row r="313" spans="1:17" s="253" customFormat="1" ht="20.100000000000001" hidden="1" customHeight="1" x14ac:dyDescent="0.25">
      <c r="A313" s="253" t="str">
        <f t="shared" si="30"/>
        <v/>
      </c>
      <c r="B313" s="609" t="str">
        <f>IF(LEFT(F313,1)="B",VLOOKUP(A313,COPY!$A$2:$AC$1000,4,FALSE),"")</f>
        <v/>
      </c>
      <c r="C313" s="586"/>
      <c r="D313" s="553"/>
      <c r="E313" s="553"/>
      <c r="F313" s="557" t="str">
        <f>IF(LEN(A313)&gt;2,LEFT(VLOOKUP(A313,COPY!$A$2:$AC$1000,29,FALSE),6),"")</f>
        <v/>
      </c>
      <c r="G313" s="558" t="str">
        <f>_xlfn.IFNA(IF(TEXT(F313,0)="Terima","",VLOOKUP(A313,COPY!$A$2:$AC$1000,29,FALSE)),"")</f>
        <v/>
      </c>
      <c r="H313" s="425"/>
      <c r="I313" s="559"/>
      <c r="J313" s="555"/>
      <c r="K313" s="608">
        <f>_xlfn.IFNA(IF(TEXT(F313,0)="Terima",0,VLOOKUP(A313,COPY!$A$2:$AC$1000,26,FALSE)),0)</f>
        <v>0</v>
      </c>
      <c r="L313" s="548">
        <f t="shared" si="27"/>
        <v>0</v>
      </c>
      <c r="M313" s="549">
        <f t="shared" si="28"/>
        <v>-36904040</v>
      </c>
      <c r="O313" s="538">
        <f t="shared" si="29"/>
        <v>-36904040</v>
      </c>
      <c r="P313" s="550"/>
      <c r="Q313" s="551"/>
    </row>
    <row r="314" spans="1:17" s="253" customFormat="1" ht="20.100000000000001" hidden="1" customHeight="1" x14ac:dyDescent="0.25">
      <c r="A314" s="253" t="str">
        <f t="shared" si="30"/>
        <v/>
      </c>
      <c r="B314" s="609" t="str">
        <f>IF(LEFT(F314,1)="B",VLOOKUP(A314,COPY!$A$2:$AC$1000,4,FALSE),"")</f>
        <v/>
      </c>
      <c r="C314" s="586"/>
      <c r="D314" s="553"/>
      <c r="E314" s="553"/>
      <c r="F314" s="557" t="str">
        <f>IF(LEN(A314)&gt;2,LEFT(VLOOKUP(A314,COPY!$A$2:$AC$1000,29,FALSE),6),"")</f>
        <v/>
      </c>
      <c r="G314" s="558" t="str">
        <f>_xlfn.IFNA(IF(TEXT(F314,0)="Terima","",VLOOKUP(A314,COPY!$A$2:$AC$1000,29,FALSE)),"")</f>
        <v/>
      </c>
      <c r="H314" s="425"/>
      <c r="I314" s="559"/>
      <c r="J314" s="555"/>
      <c r="K314" s="608">
        <f>_xlfn.IFNA(IF(TEXT(F314,0)="Terima",0,VLOOKUP(A314,COPY!$A$2:$AC$1000,26,FALSE)),0)</f>
        <v>0</v>
      </c>
      <c r="L314" s="548">
        <f t="shared" si="27"/>
        <v>0</v>
      </c>
      <c r="M314" s="549">
        <f t="shared" si="28"/>
        <v>-36904040</v>
      </c>
      <c r="O314" s="538">
        <f t="shared" si="29"/>
        <v>-36904040</v>
      </c>
      <c r="P314" s="550"/>
      <c r="Q314" s="551"/>
    </row>
    <row r="315" spans="1:17" s="253" customFormat="1" ht="20.100000000000001" hidden="1" customHeight="1" x14ac:dyDescent="0.25">
      <c r="A315" s="253" t="str">
        <f t="shared" si="30"/>
        <v/>
      </c>
      <c r="B315" s="609" t="str">
        <f>IF(LEFT(F315,1)="B",VLOOKUP(A315,COPY!$A$2:$AC$1000,4,FALSE),"")</f>
        <v/>
      </c>
      <c r="C315" s="586"/>
      <c r="D315" s="553"/>
      <c r="E315" s="553"/>
      <c r="F315" s="557" t="str">
        <f>IF(LEN(A315)&gt;2,LEFT(VLOOKUP(A315,COPY!$A$2:$AC$1000,29,FALSE),6),"")</f>
        <v/>
      </c>
      <c r="G315" s="558" t="str">
        <f>_xlfn.IFNA(IF(TEXT(F315,0)="Terima","",VLOOKUP(A315,COPY!$A$2:$AC$1000,29,FALSE)),"")</f>
        <v/>
      </c>
      <c r="H315" s="425"/>
      <c r="I315" s="559"/>
      <c r="J315" s="555"/>
      <c r="K315" s="608">
        <f>_xlfn.IFNA(IF(TEXT(F315,0)="Terima",0,VLOOKUP(A315,COPY!$A$2:$AC$1000,26,FALSE)),0)</f>
        <v>0</v>
      </c>
      <c r="L315" s="548">
        <f t="shared" si="27"/>
        <v>0</v>
      </c>
      <c r="M315" s="549">
        <f t="shared" si="28"/>
        <v>-36904040</v>
      </c>
      <c r="O315" s="538">
        <f t="shared" si="29"/>
        <v>-36904040</v>
      </c>
      <c r="P315" s="550"/>
      <c r="Q315" s="551"/>
    </row>
    <row r="316" spans="1:17" s="253" customFormat="1" ht="20.100000000000001" hidden="1" customHeight="1" x14ac:dyDescent="0.25">
      <c r="A316" s="253" t="str">
        <f t="shared" si="30"/>
        <v/>
      </c>
      <c r="B316" s="609" t="str">
        <f>IF(LEFT(F316,1)="B",VLOOKUP(A316,COPY!$A$2:$AC$1000,4,FALSE),"")</f>
        <v/>
      </c>
      <c r="C316" s="586"/>
      <c r="D316" s="553"/>
      <c r="E316" s="553"/>
      <c r="F316" s="557" t="str">
        <f>IF(LEN(A316)&gt;2,LEFT(VLOOKUP(A316,COPY!$A$2:$AC$1000,29,FALSE),6),"")</f>
        <v/>
      </c>
      <c r="G316" s="558" t="str">
        <f>_xlfn.IFNA(IF(TEXT(F316,0)="Terima","",VLOOKUP(A316,COPY!$A$2:$AC$1000,29,FALSE)),"")</f>
        <v/>
      </c>
      <c r="H316" s="425"/>
      <c r="I316" s="559"/>
      <c r="J316" s="555"/>
      <c r="K316" s="608">
        <f>_xlfn.IFNA(IF(TEXT(F316,0)="Terima",0,VLOOKUP(A316,COPY!$A$2:$AC$1000,26,FALSE)),0)</f>
        <v>0</v>
      </c>
      <c r="L316" s="548">
        <f t="shared" si="27"/>
        <v>0</v>
      </c>
      <c r="M316" s="549">
        <f t="shared" si="28"/>
        <v>-36904040</v>
      </c>
      <c r="O316" s="538">
        <f t="shared" si="29"/>
        <v>-36904040</v>
      </c>
      <c r="P316" s="550"/>
      <c r="Q316" s="551"/>
    </row>
    <row r="317" spans="1:17" s="253" customFormat="1" ht="20.100000000000001" hidden="1" customHeight="1" x14ac:dyDescent="0.25">
      <c r="A317" s="253" t="str">
        <f t="shared" si="30"/>
        <v/>
      </c>
      <c r="B317" s="609" t="str">
        <f>IF(LEFT(F317,1)="B",VLOOKUP(A317,COPY!$A$2:$AC$1000,4,FALSE),"")</f>
        <v/>
      </c>
      <c r="C317" s="586"/>
      <c r="D317" s="553"/>
      <c r="E317" s="553"/>
      <c r="F317" s="557" t="str">
        <f>IF(LEN(A317)&gt;2,LEFT(VLOOKUP(A317,COPY!$A$2:$AC$1000,29,FALSE),6),"")</f>
        <v/>
      </c>
      <c r="G317" s="558" t="str">
        <f>_xlfn.IFNA(IF(TEXT(F317,0)="Terima","",VLOOKUP(A317,COPY!$A$2:$AC$1000,29,FALSE)),"")</f>
        <v/>
      </c>
      <c r="H317" s="425"/>
      <c r="I317" s="559"/>
      <c r="J317" s="555"/>
      <c r="K317" s="608">
        <f>_xlfn.IFNA(IF(TEXT(F317,0)="Terima",0,VLOOKUP(A317,COPY!$A$2:$AC$1000,26,FALSE)),0)</f>
        <v>0</v>
      </c>
      <c r="L317" s="548">
        <f t="shared" si="27"/>
        <v>0</v>
      </c>
      <c r="M317" s="549">
        <f t="shared" si="28"/>
        <v>-36904040</v>
      </c>
      <c r="O317" s="538">
        <f t="shared" si="29"/>
        <v>-36904040</v>
      </c>
      <c r="P317" s="550"/>
      <c r="Q317" s="551"/>
    </row>
    <row r="318" spans="1:17" s="253" customFormat="1" ht="20.100000000000001" hidden="1" customHeight="1" x14ac:dyDescent="0.25">
      <c r="A318" s="253" t="str">
        <f t="shared" si="30"/>
        <v/>
      </c>
      <c r="B318" s="609" t="str">
        <f>IF(LEFT(F318,1)="B",VLOOKUP(A318,COPY!$A$2:$AC$1000,4,FALSE),"")</f>
        <v/>
      </c>
      <c r="C318" s="586"/>
      <c r="D318" s="553"/>
      <c r="E318" s="553"/>
      <c r="F318" s="557" t="str">
        <f>IF(LEN(A318)&gt;2,LEFT(VLOOKUP(A318,COPY!$A$2:$AC$1000,29,FALSE),6),"")</f>
        <v/>
      </c>
      <c r="G318" s="558" t="str">
        <f>_xlfn.IFNA(IF(TEXT(F318,0)="Terima","",VLOOKUP(A318,COPY!$A$2:$AC$1000,29,FALSE)),"")</f>
        <v/>
      </c>
      <c r="H318" s="425"/>
      <c r="I318" s="559"/>
      <c r="J318" s="555"/>
      <c r="K318" s="608">
        <f>_xlfn.IFNA(IF(TEXT(F318,0)="Terima",0,VLOOKUP(A318,COPY!$A$2:$AC$1000,26,FALSE)),0)</f>
        <v>0</v>
      </c>
      <c r="L318" s="548">
        <f t="shared" si="27"/>
        <v>0</v>
      </c>
      <c r="M318" s="549">
        <f t="shared" si="28"/>
        <v>-36904040</v>
      </c>
      <c r="O318" s="538">
        <f t="shared" si="29"/>
        <v>-36904040</v>
      </c>
      <c r="P318" s="550"/>
      <c r="Q318" s="551"/>
    </row>
    <row r="319" spans="1:17" s="253" customFormat="1" ht="20.100000000000001" hidden="1" customHeight="1" x14ac:dyDescent="0.25">
      <c r="A319" s="253" t="str">
        <f t="shared" si="30"/>
        <v/>
      </c>
      <c r="B319" s="609" t="str">
        <f>IF(LEFT(F319,1)="B",VLOOKUP(A319,COPY!$A$2:$AC$1000,4,FALSE),"")</f>
        <v/>
      </c>
      <c r="C319" s="586"/>
      <c r="D319" s="553"/>
      <c r="E319" s="553"/>
      <c r="F319" s="557" t="str">
        <f>IF(LEN(A319)&gt;2,LEFT(VLOOKUP(A319,COPY!$A$2:$AC$1000,29,FALSE),6),"")</f>
        <v/>
      </c>
      <c r="G319" s="558" t="str">
        <f>_xlfn.IFNA(IF(TEXT(F319,0)="Terima","",VLOOKUP(A319,COPY!$A$2:$AC$1000,29,FALSE)),"")</f>
        <v/>
      </c>
      <c r="H319" s="425"/>
      <c r="I319" s="559"/>
      <c r="J319" s="555"/>
      <c r="K319" s="608">
        <f>_xlfn.IFNA(IF(TEXT(F319,0)="Terima",0,VLOOKUP(A319,COPY!$A$2:$AC$1000,26,FALSE)),0)</f>
        <v>0</v>
      </c>
      <c r="L319" s="548">
        <f t="shared" si="27"/>
        <v>0</v>
      </c>
      <c r="M319" s="549">
        <f t="shared" si="28"/>
        <v>-36904040</v>
      </c>
      <c r="O319" s="538">
        <f t="shared" si="29"/>
        <v>-36904040</v>
      </c>
      <c r="P319" s="550"/>
      <c r="Q319" s="551"/>
    </row>
    <row r="320" spans="1:17" s="253" customFormat="1" ht="20.100000000000001" hidden="1" customHeight="1" x14ac:dyDescent="0.25">
      <c r="A320" s="253" t="str">
        <f t="shared" si="30"/>
        <v/>
      </c>
      <c r="B320" s="609" t="str">
        <f>IF(LEFT(F320,1)="B",VLOOKUP(A320,COPY!$A$2:$AC$1000,4,FALSE),"")</f>
        <v/>
      </c>
      <c r="C320" s="586"/>
      <c r="D320" s="553"/>
      <c r="E320" s="553"/>
      <c r="F320" s="557" t="str">
        <f>IF(LEN(A320)&gt;2,LEFT(VLOOKUP(A320,COPY!$A$2:$AC$1000,29,FALSE),6),"")</f>
        <v/>
      </c>
      <c r="G320" s="558" t="str">
        <f>_xlfn.IFNA(IF(TEXT(F320,0)="Terima","",VLOOKUP(A320,COPY!$A$2:$AC$1000,29,FALSE)),"")</f>
        <v/>
      </c>
      <c r="H320" s="425"/>
      <c r="I320" s="559"/>
      <c r="J320" s="555"/>
      <c r="K320" s="608">
        <f>_xlfn.IFNA(IF(TEXT(F320,0)="Terima",0,VLOOKUP(A320,COPY!$A$2:$AC$1000,26,FALSE)),0)</f>
        <v>0</v>
      </c>
      <c r="L320" s="548">
        <f t="shared" si="27"/>
        <v>0</v>
      </c>
      <c r="M320" s="549">
        <f t="shared" si="28"/>
        <v>-36904040</v>
      </c>
      <c r="O320" s="538">
        <f t="shared" si="29"/>
        <v>-36904040</v>
      </c>
      <c r="P320" s="550"/>
      <c r="Q320" s="551"/>
    </row>
    <row r="321" spans="1:17" s="253" customFormat="1" ht="20.100000000000001" hidden="1" customHeight="1" x14ac:dyDescent="0.25">
      <c r="A321" s="253" t="str">
        <f t="shared" si="30"/>
        <v/>
      </c>
      <c r="B321" s="609" t="str">
        <f>IF(LEFT(F321,1)="B",VLOOKUP(A321,COPY!$A$2:$AC$1000,4,FALSE),"")</f>
        <v/>
      </c>
      <c r="C321" s="586"/>
      <c r="D321" s="553"/>
      <c r="E321" s="553"/>
      <c r="F321" s="557" t="str">
        <f>IF(LEN(A321)&gt;2,LEFT(VLOOKUP(A321,COPY!$A$2:$AC$1000,29,FALSE),6),"")</f>
        <v/>
      </c>
      <c r="G321" s="558" t="str">
        <f>_xlfn.IFNA(IF(TEXT(F321,0)="Terima","",VLOOKUP(A321,COPY!$A$2:$AC$1000,29,FALSE)),"")</f>
        <v/>
      </c>
      <c r="H321" s="425"/>
      <c r="I321" s="559"/>
      <c r="J321" s="555"/>
      <c r="K321" s="608">
        <f>_xlfn.IFNA(IF(TEXT(F321,0)="Terima",0,VLOOKUP(A321,COPY!$A$2:$AC$1000,26,FALSE)),0)</f>
        <v>0</v>
      </c>
      <c r="L321" s="548">
        <f t="shared" si="27"/>
        <v>0</v>
      </c>
      <c r="M321" s="549">
        <f t="shared" si="28"/>
        <v>-36904040</v>
      </c>
      <c r="O321" s="538">
        <f t="shared" si="29"/>
        <v>-36904040</v>
      </c>
      <c r="P321" s="550"/>
      <c r="Q321" s="551"/>
    </row>
    <row r="322" spans="1:17" s="253" customFormat="1" ht="20.100000000000001" hidden="1" customHeight="1" x14ac:dyDescent="0.25">
      <c r="A322" s="253" t="str">
        <f t="shared" si="30"/>
        <v/>
      </c>
      <c r="B322" s="609" t="str">
        <f>IF(LEFT(F322,1)="B",VLOOKUP(A322,COPY!$A$2:$AC$1000,4,FALSE),"")</f>
        <v/>
      </c>
      <c r="C322" s="586"/>
      <c r="D322" s="553"/>
      <c r="E322" s="553"/>
      <c r="F322" s="557" t="str">
        <f>IF(LEN(A322)&gt;2,LEFT(VLOOKUP(A322,COPY!$A$2:$AC$1000,29,FALSE),6),"")</f>
        <v/>
      </c>
      <c r="G322" s="558" t="str">
        <f>_xlfn.IFNA(IF(TEXT(F322,0)="Terima","",VLOOKUP(A322,COPY!$A$2:$AC$1000,29,FALSE)),"")</f>
        <v/>
      </c>
      <c r="H322" s="425"/>
      <c r="I322" s="559"/>
      <c r="J322" s="555"/>
      <c r="K322" s="608">
        <f>_xlfn.IFNA(IF(TEXT(F322,0)="Terima",0,VLOOKUP(A322,COPY!$A$2:$AC$1000,26,FALSE)),0)</f>
        <v>0</v>
      </c>
      <c r="L322" s="548">
        <f t="shared" si="27"/>
        <v>0</v>
      </c>
      <c r="M322" s="549">
        <f t="shared" si="28"/>
        <v>-36904040</v>
      </c>
      <c r="O322" s="538">
        <f t="shared" si="29"/>
        <v>-36904040</v>
      </c>
      <c r="P322" s="550"/>
      <c r="Q322" s="551"/>
    </row>
    <row r="323" spans="1:17" s="253" customFormat="1" ht="20.100000000000001" customHeight="1" thickBot="1" x14ac:dyDescent="0.3">
      <c r="B323" s="560"/>
      <c r="C323" s="587"/>
      <c r="D323" s="561"/>
      <c r="E323" s="561"/>
      <c r="F323" s="561"/>
      <c r="G323" s="561">
        <f>_xlfn.IFNA(IF(TEXT(F323,0)="Terima","",VLOOKUP(A323,COPY!$A$2:$AC$1000,29,FALSE)),"")</f>
        <v>0</v>
      </c>
      <c r="H323" s="562"/>
      <c r="I323" s="563"/>
      <c r="J323" s="564"/>
      <c r="K323" s="565"/>
      <c r="L323" s="566"/>
      <c r="M323" s="567"/>
      <c r="P323" s="550"/>
      <c r="Q323" s="551"/>
    </row>
    <row r="324" spans="1:17" s="435" customFormat="1" ht="20.100000000000001" customHeight="1" thickBot="1" x14ac:dyDescent="0.3">
      <c r="B324" s="568"/>
      <c r="C324" s="701" t="s">
        <v>40</v>
      </c>
      <c r="D324" s="701"/>
      <c r="E324" s="701"/>
      <c r="F324" s="701"/>
      <c r="G324" s="702"/>
      <c r="H324" s="701"/>
      <c r="I324" s="701"/>
      <c r="J324" s="569">
        <f>SUM(J12:J323)</f>
        <v>21622590</v>
      </c>
      <c r="K324" s="570">
        <f>SUM(K12:K323)</f>
        <v>58526630</v>
      </c>
      <c r="L324" s="571">
        <f>IF(K324&gt;0,0,(IF(K324&lt;J324,0,J324-K324)))</f>
        <v>0</v>
      </c>
      <c r="M324" s="572">
        <f>IF(K324&lt;J324,K324-J324,J324-K324)</f>
        <v>-36904040</v>
      </c>
      <c r="O324" s="573">
        <f>J324-K324</f>
        <v>-36904040</v>
      </c>
      <c r="P324" s="574"/>
      <c r="Q324" s="575"/>
    </row>
    <row r="325" spans="1:17" s="253" customFormat="1" ht="20.100000000000001" customHeight="1" x14ac:dyDescent="0.25">
      <c r="B325" s="576"/>
      <c r="C325" s="255"/>
      <c r="E325" s="450"/>
      <c r="I325" s="538"/>
      <c r="J325" s="577"/>
      <c r="K325" s="578"/>
      <c r="L325" s="579"/>
      <c r="M325" s="580"/>
      <c r="P325" s="550"/>
      <c r="Q325" s="551"/>
    </row>
    <row r="326" spans="1:17" s="253" customFormat="1" ht="20.100000000000001" customHeight="1" x14ac:dyDescent="0.25">
      <c r="B326" s="255"/>
      <c r="C326" s="255"/>
      <c r="E326" s="430"/>
      <c r="G326" s="430"/>
      <c r="K326" s="256" t="str">
        <f>'BKU 1'!$K$353</f>
        <v>NGANTANG</v>
      </c>
      <c r="L326" s="706">
        <f>'BKU 2'!M352</f>
        <v>45961</v>
      </c>
      <c r="M326" s="706"/>
      <c r="P326" s="550"/>
      <c r="Q326" s="551"/>
    </row>
    <row r="327" spans="1:17" s="253" customFormat="1" ht="20.100000000000001" customHeight="1" x14ac:dyDescent="0.25">
      <c r="B327" s="254"/>
      <c r="C327" s="255"/>
      <c r="D327" s="255" t="s">
        <v>43</v>
      </c>
      <c r="E327" s="488"/>
      <c r="G327" s="581"/>
      <c r="H327" s="610" t="s">
        <v>44</v>
      </c>
      <c r="I327" s="428"/>
      <c r="K327" s="704" t="str">
        <f>'BKU 1'!$L$354</f>
        <v>Dibuat Oleh ;</v>
      </c>
      <c r="L327" s="704"/>
      <c r="M327" s="580"/>
      <c r="P327" s="550"/>
      <c r="Q327" s="551"/>
    </row>
    <row r="328" spans="1:17" s="253" customFormat="1" ht="20.100000000000001" customHeight="1" x14ac:dyDescent="0.25">
      <c r="B328" s="254"/>
      <c r="C328" s="255"/>
      <c r="D328" s="255" t="str">
        <f>'BKU 1'!$C$355</f>
        <v>Kepala Sekolah SDN 1 SIDODADI</v>
      </c>
      <c r="E328" s="488"/>
      <c r="G328" s="581"/>
      <c r="H328" s="610" t="s">
        <v>45</v>
      </c>
      <c r="K328" s="704" t="str">
        <f>'BKU 1'!$L$355</f>
        <v>Bendahara Pembangunan</v>
      </c>
      <c r="L328" s="704"/>
      <c r="M328" s="580"/>
      <c r="P328" s="550"/>
      <c r="Q328" s="551"/>
    </row>
    <row r="329" spans="1:17" s="253" customFormat="1" ht="20.100000000000001" customHeight="1" x14ac:dyDescent="0.25">
      <c r="B329" s="254"/>
      <c r="C329" s="255"/>
      <c r="D329" s="255"/>
      <c r="E329" s="488"/>
      <c r="G329" s="581"/>
      <c r="H329" s="610"/>
      <c r="I329" s="444"/>
      <c r="J329" s="444"/>
      <c r="K329" s="704"/>
      <c r="L329" s="704"/>
      <c r="M329" s="580"/>
      <c r="P329" s="550"/>
      <c r="Q329" s="551"/>
    </row>
    <row r="330" spans="1:17" s="253" customFormat="1" ht="20.100000000000001" customHeight="1" x14ac:dyDescent="0.25">
      <c r="B330" s="254"/>
      <c r="C330" s="255"/>
      <c r="D330" s="255"/>
      <c r="E330" s="488"/>
      <c r="G330" s="581"/>
      <c r="H330" s="610"/>
      <c r="I330" s="444"/>
      <c r="J330" s="444"/>
      <c r="K330" s="704"/>
      <c r="L330" s="704"/>
      <c r="M330" s="580"/>
      <c r="P330" s="550"/>
      <c r="Q330" s="551"/>
    </row>
    <row r="331" spans="1:17" s="253" customFormat="1" ht="20.100000000000001" customHeight="1" x14ac:dyDescent="0.25">
      <c r="B331" s="254"/>
      <c r="C331" s="255"/>
      <c r="D331" s="255"/>
      <c r="E331" s="488"/>
      <c r="G331" s="581"/>
      <c r="H331" s="610"/>
      <c r="K331" s="704"/>
      <c r="L331" s="704"/>
      <c r="M331" s="580"/>
      <c r="P331" s="550"/>
      <c r="Q331" s="551"/>
    </row>
    <row r="332" spans="1:17" s="253" customFormat="1" ht="20.100000000000001" customHeight="1" x14ac:dyDescent="0.25">
      <c r="B332" s="254"/>
      <c r="C332" s="255"/>
      <c r="D332" s="255"/>
      <c r="E332" s="488"/>
      <c r="G332" s="581"/>
      <c r="H332" s="610"/>
      <c r="K332" s="704"/>
      <c r="L332" s="704"/>
      <c r="M332" s="580"/>
      <c r="P332" s="550"/>
      <c r="Q332" s="551"/>
    </row>
    <row r="333" spans="1:17" s="253" customFormat="1" ht="20.100000000000001" customHeight="1" x14ac:dyDescent="0.25">
      <c r="B333" s="516"/>
      <c r="C333" s="504"/>
      <c r="D333" s="504" t="str">
        <f>'BKU 1'!$C$360</f>
        <v>MELIA FITRIANI, S.Pd.SD</v>
      </c>
      <c r="E333" s="488"/>
      <c r="G333" s="582"/>
      <c r="H333" s="611" t="str">
        <f>'BKU 1'!H360</f>
        <v>HARTATIK</v>
      </c>
      <c r="K333" s="705" t="str">
        <f>'BKU 1'!$L$360</f>
        <v>ARIF NUR UDIN, S.Pd.SD</v>
      </c>
      <c r="L333" s="705"/>
      <c r="M333" s="580"/>
      <c r="P333" s="550"/>
      <c r="Q333" s="551"/>
    </row>
    <row r="334" spans="1:17" s="253" customFormat="1" ht="20.100000000000001" customHeight="1" x14ac:dyDescent="0.25">
      <c r="B334" s="254"/>
      <c r="C334" s="255"/>
      <c r="D334" s="255" t="str">
        <f>'BKU 1'!$C$361</f>
        <v>NIP. 19850619 200904 2 000</v>
      </c>
      <c r="E334" s="488"/>
      <c r="G334" s="581"/>
      <c r="H334" s="610">
        <f>'BKU 1'!$G$361</f>
        <v>0</v>
      </c>
      <c r="K334" s="704" t="str">
        <f>'BKU 1'!$L$361</f>
        <v>NIP. 19840719 200903 1 002</v>
      </c>
      <c r="L334" s="704"/>
      <c r="M334" s="580"/>
      <c r="P334" s="550"/>
      <c r="Q334" s="551"/>
    </row>
  </sheetData>
  <mergeCells count="25">
    <mergeCell ref="D7:G8"/>
    <mergeCell ref="K331:L331"/>
    <mergeCell ref="K332:L332"/>
    <mergeCell ref="K333:L333"/>
    <mergeCell ref="K334:L334"/>
    <mergeCell ref="C324:I324"/>
    <mergeCell ref="L326:M326"/>
    <mergeCell ref="K327:L327"/>
    <mergeCell ref="K328:L328"/>
    <mergeCell ref="K329:L329"/>
    <mergeCell ref="K330:L330"/>
    <mergeCell ref="B10:B11"/>
    <mergeCell ref="C10:C11"/>
    <mergeCell ref="D10:I10"/>
    <mergeCell ref="J10:K10"/>
    <mergeCell ref="L10:M10"/>
    <mergeCell ref="H11:I11"/>
    <mergeCell ref="AH4:AH5"/>
    <mergeCell ref="AB5:AC5"/>
    <mergeCell ref="AD5:AE5"/>
    <mergeCell ref="C1:L1"/>
    <mergeCell ref="C2:L2"/>
    <mergeCell ref="AA4:AA5"/>
    <mergeCell ref="AB4:AF4"/>
    <mergeCell ref="AG4:AG5"/>
  </mergeCells>
  <pageMargins left="0.19685039370078741" right="0.19685039370078741" top="0.59055118110236227" bottom="0.19685039370078741" header="0.31496062992125984" footer="0.31496062992125984"/>
  <pageSetup paperSize="9" scale="69" fitToHeight="0" orientation="landscape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16205C4-B673-4666-835C-A6F2670859BF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58BE77A1-E637-4700-9C83-21BAF6FE87E4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B905ECE4-7099-40A8-8E61-23FD16CA584C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40F0D443-0C38-42CE-90B7-5B99161A07C4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A86916B7-4654-4330-8EAC-5FF04BE9D680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9B99A780-FEDA-4AE4-A033-848EE3F48C5B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006D14EA-D729-4B90-91AA-01D652C689CE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B10:M11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79CA-7F21-4FB0-8468-E3C7A1EF77BB}">
  <sheetPr codeName="Sheet14">
    <tabColor rgb="FFFFFF00"/>
    <pageSetUpPr fitToPage="1"/>
  </sheetPr>
  <dimension ref="A1:AC361"/>
  <sheetViews>
    <sheetView showZeros="0" view="pageBreakPreview" topLeftCell="A22" zoomScale="70" zoomScaleNormal="70" zoomScaleSheetLayoutView="70" workbookViewId="0">
      <selection activeCell="N102" sqref="N102"/>
    </sheetView>
  </sheetViews>
  <sheetFormatPr defaultColWidth="9.140625" defaultRowHeight="20.100000000000001" customHeight="1" x14ac:dyDescent="0.25"/>
  <cols>
    <col min="1" max="1" width="9.140625" style="253"/>
    <col min="2" max="2" width="13.7109375" style="446" customWidth="1"/>
    <col min="3" max="3" width="8.85546875" style="253" customWidth="1"/>
    <col min="4" max="4" width="7" style="253" customWidth="1"/>
    <col min="5" max="5" width="20" style="253" customWidth="1"/>
    <col min="6" max="6" width="19" style="447" customWidth="1"/>
    <col min="7" max="7" width="13.7109375" style="446" customWidth="1"/>
    <col min="8" max="8" width="11.85546875" style="253" customWidth="1"/>
    <col min="9" max="9" width="10" style="509" customWidth="1"/>
    <col min="10" max="10" width="10" style="255" customWidth="1"/>
    <col min="11" max="11" width="44" style="253" customWidth="1"/>
    <col min="12" max="12" width="10" style="255" customWidth="1"/>
    <col min="13" max="13" width="7.140625" style="255" customWidth="1"/>
    <col min="14" max="14" width="19" style="447" customWidth="1"/>
    <col min="15" max="15" width="42.42578125" style="253" customWidth="1"/>
    <col min="16" max="16" width="7.85546875" style="448" customWidth="1"/>
    <col min="17" max="17" width="18.85546875" style="253" customWidth="1"/>
    <col min="18" max="18" width="16.7109375" style="253" customWidth="1"/>
    <col min="19" max="19" width="16.7109375" style="449" customWidth="1"/>
    <col min="20" max="20" width="16.7109375" style="253" customWidth="1"/>
    <col min="21" max="21" width="20.7109375" style="253" customWidth="1"/>
    <col min="22" max="22" width="48" style="253" customWidth="1"/>
    <col min="23" max="23" width="14.5703125" style="253" customWidth="1"/>
    <col min="24" max="24" width="9.28515625" style="253" customWidth="1"/>
    <col min="25" max="16384" width="9.140625" style="253"/>
  </cols>
  <sheetData>
    <row r="1" spans="2:29" ht="20.100000000000001" hidden="1" customHeight="1" x14ac:dyDescent="0.25">
      <c r="E1" s="686">
        <f>'BKU 1'!E1</f>
        <v>2</v>
      </c>
      <c r="F1" s="253">
        <f>'BKU 1'!F1</f>
        <v>14</v>
      </c>
      <c r="G1" s="253"/>
      <c r="X1" s="394"/>
    </row>
    <row r="2" spans="2:29" ht="20.100000000000001" hidden="1" customHeight="1" x14ac:dyDescent="0.25">
      <c r="E2" s="686"/>
      <c r="F2" s="253"/>
      <c r="G2" s="253"/>
    </row>
    <row r="3" spans="2:29" ht="20.100000000000001" hidden="1" customHeight="1" x14ac:dyDescent="0.25">
      <c r="B3" s="253" t="s">
        <v>83</v>
      </c>
      <c r="E3" s="253" t="str">
        <f>'BKU 1'!E3</f>
        <v>SDN 1 SIDODADI</v>
      </c>
      <c r="F3" s="253"/>
      <c r="G3" s="253"/>
    </row>
    <row r="4" spans="2:29" ht="20.100000000000001" hidden="1" customHeight="1" x14ac:dyDescent="0.25">
      <c r="B4" s="253" t="s">
        <v>63</v>
      </c>
      <c r="E4" s="253" t="str">
        <f>'BKU 1'!E4</f>
        <v>NGANTANG</v>
      </c>
      <c r="F4" s="253"/>
      <c r="G4" s="253"/>
    </row>
    <row r="5" spans="2:29" ht="20.100000000000001" hidden="1" customHeight="1" x14ac:dyDescent="0.25">
      <c r="B5" s="253" t="s">
        <v>62</v>
      </c>
      <c r="E5" s="253" t="str">
        <f>'BKU 1'!E5</f>
        <v>Jl. Kawi No.36 Rt. 1 Rw. 1 Dusun Sekar, Rt / Rw : 1 / 1, Dusun : Sekar, Kelurahan : Sidodadi</v>
      </c>
      <c r="F5" s="253"/>
      <c r="G5" s="253"/>
    </row>
    <row r="6" spans="2:29" ht="20.100000000000001" hidden="1" customHeight="1" x14ac:dyDescent="0.25">
      <c r="B6" s="253" t="s">
        <v>84</v>
      </c>
      <c r="E6" s="253">
        <f>'BKU 1'!E6</f>
        <v>1</v>
      </c>
      <c r="F6" s="253"/>
      <c r="G6" s="253"/>
      <c r="N6" s="253"/>
      <c r="Q6" s="450"/>
      <c r="R6" s="451"/>
      <c r="S6" s="452"/>
      <c r="T6" s="451"/>
    </row>
    <row r="7" spans="2:29" ht="20.100000000000001" hidden="1" customHeight="1" x14ac:dyDescent="0.25">
      <c r="B7" s="253" t="s">
        <v>85</v>
      </c>
      <c r="E7" s="253" t="str">
        <f>'BKU 1'!E7</f>
        <v>PEMBANGUNAN TOILET BESERTA SANITASINYA</v>
      </c>
      <c r="F7" s="253"/>
      <c r="G7" s="253"/>
      <c r="N7" s="253"/>
      <c r="Q7" s="450"/>
      <c r="R7" s="451"/>
      <c r="S7" s="452"/>
      <c r="T7" s="451"/>
    </row>
    <row r="8" spans="2:29" ht="20.100000000000001" hidden="1" customHeight="1" x14ac:dyDescent="0.25">
      <c r="B8" s="253" t="s">
        <v>86</v>
      </c>
      <c r="E8" s="253" t="str">
        <f>'BKU 1'!E8</f>
        <v>MELIA FITRIANI, S.Pd.SD</v>
      </c>
      <c r="F8" s="253"/>
      <c r="G8" s="253"/>
      <c r="N8" s="253"/>
      <c r="Q8" s="450"/>
      <c r="R8" s="451"/>
      <c r="S8" s="452"/>
      <c r="T8" s="451"/>
    </row>
    <row r="9" spans="2:29" ht="20.100000000000001" hidden="1" customHeight="1" x14ac:dyDescent="0.25">
      <c r="B9" s="253" t="s">
        <v>87</v>
      </c>
      <c r="E9" s="253" t="str">
        <f>'BKU 1'!E9</f>
        <v>NIP. 19850619 200904 2 000</v>
      </c>
      <c r="F9" s="253"/>
      <c r="G9" s="253"/>
      <c r="N9" s="253"/>
      <c r="Q9" s="451"/>
      <c r="R9" s="451"/>
      <c r="S9" s="452"/>
      <c r="T9" s="451"/>
    </row>
    <row r="10" spans="2:29" ht="20.100000000000001" hidden="1" customHeight="1" x14ac:dyDescent="0.25">
      <c r="B10" s="253" t="s">
        <v>88</v>
      </c>
      <c r="E10" s="253" t="str">
        <f>'BKU 1'!E10</f>
        <v>HARTATIK</v>
      </c>
      <c r="F10" s="253"/>
      <c r="G10" s="253"/>
      <c r="N10" s="253"/>
    </row>
    <row r="11" spans="2:29" ht="20.100000000000001" hidden="1" customHeight="1" x14ac:dyDescent="0.25">
      <c r="B11" s="254" t="s">
        <v>87</v>
      </c>
      <c r="E11" s="253">
        <f>'BKU 1'!E11</f>
        <v>0</v>
      </c>
      <c r="F11" s="253"/>
      <c r="G11" s="253"/>
    </row>
    <row r="12" spans="2:29" ht="20.100000000000001" hidden="1" customHeight="1" x14ac:dyDescent="0.25">
      <c r="B12" s="253" t="s">
        <v>89</v>
      </c>
      <c r="E12" s="253" t="str">
        <f>'BKU 1'!E12</f>
        <v>ARIF NUR UDIN, S.Pd.SD</v>
      </c>
      <c r="F12" s="253"/>
      <c r="G12" s="253"/>
    </row>
    <row r="13" spans="2:29" ht="20.100000000000001" hidden="1" customHeight="1" x14ac:dyDescent="0.25">
      <c r="B13" s="253" t="s">
        <v>87</v>
      </c>
      <c r="E13" s="253" t="str">
        <f>'BKU 1'!E13</f>
        <v>NIP. 19840719 200903 1 002</v>
      </c>
      <c r="F13" s="253"/>
      <c r="G13" s="253"/>
    </row>
    <row r="14" spans="2:29" ht="20.100000000000001" hidden="1" customHeight="1" x14ac:dyDescent="0.25">
      <c r="B14" s="253" t="s">
        <v>90</v>
      </c>
      <c r="E14" s="253" t="str">
        <f>'BKU 1'!E14</f>
        <v>NUR ROHMAN, ST.</v>
      </c>
      <c r="F14" s="253"/>
      <c r="G14" s="253"/>
    </row>
    <row r="15" spans="2:29" ht="20.100000000000001" hidden="1" customHeight="1" thickBot="1" x14ac:dyDescent="0.3">
      <c r="B15" s="253" t="s">
        <v>91</v>
      </c>
      <c r="E15" s="253" t="str">
        <f>'BKU 1'!E15</f>
        <v>NUR ROHMAN, ST.</v>
      </c>
      <c r="F15" s="253"/>
      <c r="G15" s="253"/>
    </row>
    <row r="16" spans="2:29" ht="20.100000000000001" hidden="1" customHeight="1" x14ac:dyDescent="0.25">
      <c r="B16" s="253" t="s">
        <v>92</v>
      </c>
      <c r="E16" s="253" t="str">
        <f>'BKU 1'!E16</f>
        <v>MUSYYAYIN, ST.</v>
      </c>
      <c r="F16" s="253"/>
      <c r="G16" s="253"/>
      <c r="V16" s="690" t="s">
        <v>17</v>
      </c>
      <c r="W16" s="682" t="s">
        <v>100</v>
      </c>
      <c r="X16" s="683"/>
      <c r="Y16" s="683"/>
      <c r="Z16" s="683"/>
      <c r="AA16" s="684"/>
      <c r="AB16" s="685" t="s">
        <v>0</v>
      </c>
      <c r="AC16" s="679" t="s">
        <v>2</v>
      </c>
    </row>
    <row r="17" spans="2:29" ht="20.100000000000001" hidden="1" customHeight="1" thickBot="1" x14ac:dyDescent="0.3">
      <c r="B17" s="446" t="s">
        <v>80</v>
      </c>
      <c r="E17" s="253">
        <f>'BKU 1'!E17</f>
        <v>0</v>
      </c>
      <c r="V17" s="691"/>
      <c r="W17" s="681" t="s">
        <v>1</v>
      </c>
      <c r="X17" s="681"/>
      <c r="Y17" s="681" t="s">
        <v>101</v>
      </c>
      <c r="Z17" s="681"/>
      <c r="AA17" s="396" t="s">
        <v>102</v>
      </c>
      <c r="AB17" s="681"/>
      <c r="AC17" s="680"/>
    </row>
    <row r="18" spans="2:29" ht="20.100000000000001" hidden="1" customHeight="1" x14ac:dyDescent="0.25">
      <c r="B18" s="446" t="s">
        <v>432</v>
      </c>
      <c r="E18" s="253">
        <f>'BKU 1'!E18</f>
        <v>2600000</v>
      </c>
      <c r="F18" s="454">
        <f>'BKU 1'!F18</f>
        <v>1</v>
      </c>
    </row>
    <row r="19" spans="2:29" ht="20.100000000000001" hidden="1" customHeight="1" x14ac:dyDescent="0.25">
      <c r="B19" s="446" t="s">
        <v>433</v>
      </c>
      <c r="E19" s="253">
        <f>'BKU 1'!E19</f>
        <v>1950000</v>
      </c>
      <c r="F19" s="447">
        <f>'BKU 1'!F19</f>
        <v>134550000</v>
      </c>
    </row>
    <row r="21" spans="2:29" s="517" customFormat="1" ht="20.100000000000001" customHeight="1" x14ac:dyDescent="0.25">
      <c r="B21" s="518"/>
      <c r="C21" s="518"/>
      <c r="D21" s="693" t="s">
        <v>59</v>
      </c>
      <c r="E21" s="693"/>
      <c r="F21" s="693"/>
      <c r="G21" s="693"/>
      <c r="H21" s="693"/>
      <c r="I21" s="693"/>
      <c r="J21" s="693"/>
      <c r="K21" s="693"/>
      <c r="L21" s="519"/>
      <c r="M21" s="518"/>
      <c r="N21" s="518"/>
      <c r="P21" s="520"/>
      <c r="S21" s="521"/>
    </row>
    <row r="22" spans="2:29" s="522" customFormat="1" ht="20.100000000000001" customHeight="1" x14ac:dyDescent="0.25">
      <c r="B22" s="523"/>
      <c r="C22" s="523"/>
      <c r="D22" s="694" t="str">
        <f>$E$7</f>
        <v>PEMBANGUNAN TOILET BESERTA SANITASINYA</v>
      </c>
      <c r="E22" s="694"/>
      <c r="F22" s="694"/>
      <c r="G22" s="694"/>
      <c r="H22" s="694"/>
      <c r="I22" s="694"/>
      <c r="J22" s="694"/>
      <c r="K22" s="694"/>
      <c r="L22" s="524"/>
      <c r="M22" s="523"/>
      <c r="N22" s="523"/>
      <c r="P22" s="525"/>
      <c r="S22" s="526"/>
    </row>
    <row r="23" spans="2:29" ht="8.1" customHeight="1" x14ac:dyDescent="0.25"/>
    <row r="24" spans="2:29" ht="20.100000000000001" customHeight="1" x14ac:dyDescent="0.25">
      <c r="B24" s="446" t="s">
        <v>60</v>
      </c>
      <c r="C24" s="255" t="s">
        <v>49</v>
      </c>
      <c r="D24" s="255">
        <v>3</v>
      </c>
      <c r="E24" s="253">
        <f>IFERROR(VLOOKUP(D24,'Rekap Gaji'!$B$12:$P$24,14,FALSE),"-")</f>
        <v>0</v>
      </c>
    </row>
    <row r="25" spans="2:29" ht="20.100000000000001" customHeight="1" x14ac:dyDescent="0.25">
      <c r="B25" s="446" t="s">
        <v>61</v>
      </c>
      <c r="C25" s="255" t="s">
        <v>49</v>
      </c>
      <c r="D25" s="253" t="str">
        <f>$E$3</f>
        <v>SDN 1 SIDODADI</v>
      </c>
      <c r="G25" s="446" t="s">
        <v>63</v>
      </c>
      <c r="H25" s="255" t="s">
        <v>49</v>
      </c>
      <c r="I25" s="253" t="str">
        <f>$E$4</f>
        <v>NGANTANG</v>
      </c>
      <c r="K25" s="253" t="s">
        <v>93</v>
      </c>
      <c r="L25" s="255" t="s">
        <v>49</v>
      </c>
      <c r="M25" s="687">
        <f>HLOOKUP(D24,COPY!$AJ$3:$AN$4,2,FALSE)</f>
        <v>45962</v>
      </c>
      <c r="N25" s="687"/>
    </row>
    <row r="26" spans="2:29" ht="20.100000000000001" customHeight="1" x14ac:dyDescent="0.25">
      <c r="B26" s="446" t="s">
        <v>62</v>
      </c>
      <c r="C26" s="255" t="s">
        <v>49</v>
      </c>
      <c r="D26" s="695" t="str">
        <f>$E$5</f>
        <v>Jl. Kawi No.36 Rt. 1 Rw. 1 Dusun Sekar, Rt / Rw : 1 / 1, Dusun : Sekar, Kelurahan : Sidodadi</v>
      </c>
      <c r="E26" s="695"/>
      <c r="F26" s="695"/>
      <c r="G26" s="446" t="s">
        <v>66</v>
      </c>
      <c r="H26" s="255" t="s">
        <v>49</v>
      </c>
      <c r="I26" s="499" t="s">
        <v>68</v>
      </c>
      <c r="K26" s="253" t="s">
        <v>94</v>
      </c>
      <c r="L26" s="255" t="s">
        <v>49</v>
      </c>
      <c r="M26" s="687">
        <f>EOMONTH(M25,0)</f>
        <v>45991</v>
      </c>
      <c r="N26" s="687"/>
    </row>
    <row r="27" spans="2:29" ht="20.100000000000001" customHeight="1" x14ac:dyDescent="0.25">
      <c r="D27" s="695"/>
      <c r="E27" s="695"/>
      <c r="F27" s="695"/>
      <c r="G27" s="446" t="s">
        <v>67</v>
      </c>
      <c r="H27" s="255" t="s">
        <v>49</v>
      </c>
      <c r="I27" s="499" t="s">
        <v>69</v>
      </c>
    </row>
    <row r="28" spans="2:29" ht="8.1" customHeight="1" x14ac:dyDescent="0.25"/>
    <row r="29" spans="2:29" ht="20.100000000000001" customHeight="1" thickBot="1" x14ac:dyDescent="0.3">
      <c r="B29" s="455" t="s">
        <v>217</v>
      </c>
      <c r="G29" s="455" t="s">
        <v>65</v>
      </c>
    </row>
    <row r="30" spans="2:29" s="399" customFormat="1" ht="39.950000000000003" customHeight="1" thickBot="1" x14ac:dyDescent="0.3">
      <c r="B30" s="400" t="s">
        <v>0</v>
      </c>
      <c r="C30" s="692" t="s">
        <v>1</v>
      </c>
      <c r="D30" s="692"/>
      <c r="E30" s="692"/>
      <c r="F30" s="401" t="s">
        <v>5</v>
      </c>
      <c r="G30" s="402" t="s">
        <v>0</v>
      </c>
      <c r="H30" s="692" t="s">
        <v>1</v>
      </c>
      <c r="I30" s="692"/>
      <c r="J30" s="692"/>
      <c r="K30" s="692"/>
      <c r="L30" s="403" t="s">
        <v>3</v>
      </c>
      <c r="M30" s="403" t="s">
        <v>4</v>
      </c>
      <c r="N30" s="404" t="s">
        <v>5</v>
      </c>
      <c r="P30" s="405" t="s">
        <v>226</v>
      </c>
      <c r="Q30" s="399" t="s">
        <v>225</v>
      </c>
      <c r="R30" s="399" t="s">
        <v>224</v>
      </c>
      <c r="S30" s="406">
        <f>COUNTIF(COPY!$C$2:$C$1000,D24)</f>
        <v>0</v>
      </c>
    </row>
    <row r="31" spans="2:29" s="399" customFormat="1" ht="20.100000000000001" customHeight="1" thickTop="1" x14ac:dyDescent="0.25">
      <c r="B31" s="407">
        <f>M25</f>
        <v>45962</v>
      </c>
      <c r="C31" s="408" t="s">
        <v>252</v>
      </c>
      <c r="D31" s="409"/>
      <c r="E31" s="409"/>
      <c r="F31" s="410">
        <f>'BKU 2'!F347</f>
        <v>-36904040</v>
      </c>
      <c r="G31" s="411"/>
      <c r="H31" s="412"/>
      <c r="I31" s="409"/>
      <c r="J31" s="409"/>
      <c r="K31" s="409"/>
      <c r="L31" s="413"/>
      <c r="M31" s="413"/>
      <c r="N31" s="414"/>
      <c r="P31" s="405"/>
      <c r="S31" s="406"/>
    </row>
    <row r="32" spans="2:29" s="399" customFormat="1" ht="20.100000000000001" customHeight="1" x14ac:dyDescent="0.25">
      <c r="B32" s="415"/>
      <c r="C32" s="416"/>
      <c r="D32" s="417"/>
      <c r="E32" s="417"/>
      <c r="F32" s="418"/>
      <c r="G32" s="419"/>
      <c r="H32" s="417"/>
      <c r="I32" s="417"/>
      <c r="J32" s="417"/>
      <c r="K32" s="417"/>
      <c r="L32" s="420"/>
      <c r="M32" s="420"/>
      <c r="N32" s="421"/>
      <c r="P32" s="405"/>
      <c r="S32" s="406"/>
    </row>
    <row r="33" spans="1:24" ht="20.100000000000001" hidden="1" customHeight="1" x14ac:dyDescent="0.25">
      <c r="A33" s="470" t="str">
        <f>P33</f>
        <v/>
      </c>
      <c r="B33" s="456">
        <f>IF(LEFT(C33,16)="Terima Pajak PPN",VLOOKUP(P33,COPY!$A$1:$AC$1000,21,FALSE),IF(LEFT(C33,16)="Terima Pajak PPH",VLOOKUP(P33,COPY!$A$1:$AC$1000,21,FALSE),IF(LEFT(C33,13)="Terima PPh 23",VLOOKUP(P33,COPY!$A$1:$AC$1000,21,FALSE),0)))</f>
        <v>0</v>
      </c>
      <c r="C33" s="457">
        <f>IFERROR(IF(LEFT(VLOOKUP(P33,COPY!$A$1:$AC$1000,29,FALSE),5)="Terim",VLOOKUP(P33,COPY!$A$1:$AC$1000,29,FALSE),0),0)</f>
        <v>0</v>
      </c>
      <c r="D33" s="457"/>
      <c r="E33" s="457"/>
      <c r="F33" s="458">
        <f>IFERROR(IF(LEFT(VLOOKUP(P33,COPY!$A$1:$AC$1000,29,FALSE),5)="Terim",VLOOKUP(P33,COPY!$A$1:$AC$1000,26,FALSE),0),0)</f>
        <v>0</v>
      </c>
      <c r="G33" s="459">
        <f>IFERROR(VLOOKUP(P33,COPY!$A$1:$L$1000,4,FALSE),0)</f>
        <v>0</v>
      </c>
      <c r="H33" s="460">
        <f>IFERROR(VLOOKUP(P33,COPY!$A$1:$L$1000,2,FALSE),0)</f>
        <v>0</v>
      </c>
      <c r="I33" s="461">
        <f>IFERROR(VLOOKUP(P33,COPY!$A$1:$L$1000,10,FALSE),0)</f>
        <v>0</v>
      </c>
      <c r="J33" s="461">
        <f>IFERROR(VLOOKUP(P33,COPY!$A$1:$L$1000,8,FALSE),0)</f>
        <v>0</v>
      </c>
      <c r="K33" s="462">
        <f>IFERROR(VLOOKUP(P33,COPY!$A$1:$L$1000,7,FALSE),0)</f>
        <v>0</v>
      </c>
      <c r="L33" s="468">
        <f>IFERROR(VLOOKUP(P33,COPY!$A$1:$O$1000,15,FALSE),0)</f>
        <v>0</v>
      </c>
      <c r="M33" s="463">
        <f>IFERROR(VLOOKUP(P33,COPY!$A$1:$L$1000,12,FALSE),0)</f>
        <v>0</v>
      </c>
      <c r="N33" s="464">
        <f>IF(H33="Jasa",VLOOKUP('BKU 3'!K33,'Rekap Gaji'!$D$12:$I$26,6,FALSE),(IF(H33="Beli",VLOOKUP(P33,COPY!$A$1:$L$1000,11,FALSE),IF(H33="Bayar Ongkos",VLOOKUP(K33,'Rekap Gaji'!$D$12:$I$26,6,FALSE),0))))</f>
        <v>0</v>
      </c>
      <c r="O33" s="465" t="str">
        <f>IF(LEFT(M33,15)="Bayar Pajak PPN",1,IF(LEFT(M33,15)="Bayar Pajak PPH",2,IF(LEFT(M33,21)="Bayar Pajak Final PPH",3," ")))</f>
        <v xml:space="preserve"> </v>
      </c>
      <c r="P33" s="466" t="str">
        <f t="shared" ref="P33:P96" si="0">IF(Q33&gt;0,$D$24&amp;"."&amp;Q33,"")</f>
        <v/>
      </c>
      <c r="Q33" s="253">
        <f>IF(T33&lt;=0,T33+$S$30,0)</f>
        <v>0</v>
      </c>
      <c r="R33" s="253">
        <f>IF(T33&lt;=0,S33,0)</f>
        <v>0</v>
      </c>
      <c r="S33" s="449">
        <v>1</v>
      </c>
      <c r="T33" s="253">
        <f>S33-$S$30</f>
        <v>1</v>
      </c>
      <c r="U33" s="457" t="str">
        <f t="shared" ref="U33:U96" si="1">IF(LEFT(C33,16)="terima Pajak PPN",1,IF(LEFT(C33,16)="terima Pajak PPH",2,IF(LEFT(C33,21)="Bayar Pajak Final PPH",3," ")))</f>
        <v xml:space="preserve"> </v>
      </c>
      <c r="X33" s="253" t="str">
        <f>IFERROR(HLOOKUP("qty",COPY!$C$1:$L$1000,2+(MOD(ROW()-32,SUMIF(COPY!$C$2:$C$1000,'BKU 3'!$D$24,COPY!$C$2:$C$1000))+1),FALSE),"-")</f>
        <v>-</v>
      </c>
    </row>
    <row r="34" spans="1:24" ht="20.100000000000001" hidden="1" customHeight="1" x14ac:dyDescent="0.25">
      <c r="A34" s="470" t="str">
        <f t="shared" ref="A34:A97" si="2">P34</f>
        <v/>
      </c>
      <c r="B34" s="456">
        <f>IF(LEFT(C34,16)="Terima Pajak PPN",VLOOKUP(P34,COPY!$A$1:$AC$1000,21,FALSE),IF(LEFT(C34,16)="Terima Pajak PPH",VLOOKUP(P34,COPY!$A$1:$AC$1000,21,FALSE),IF(LEFT(C34,13)="Terima PPh 23",VLOOKUP(P34,COPY!$A$1:$AC$1000,21,FALSE),0)))</f>
        <v>0</v>
      </c>
      <c r="C34" s="457">
        <f>IFERROR(IF(LEFT(VLOOKUP(P34,COPY!$A$1:$AC$1000,29,FALSE),5)="Terim",VLOOKUP(P34,COPY!$A$1:$AC$1000,29,FALSE),0),0)</f>
        <v>0</v>
      </c>
      <c r="D34" s="457"/>
      <c r="E34" s="457"/>
      <c r="F34" s="458">
        <f>IFERROR(IF(LEFT(VLOOKUP(P34,COPY!$A$1:$AC$1000,29,FALSE),5)="Terim",VLOOKUP(P34,COPY!$A$1:$AC$1000,26,FALSE),0),0)</f>
        <v>0</v>
      </c>
      <c r="G34" s="459">
        <f>IFERROR(VLOOKUP(P34,COPY!$A$1:$L$1000,4,FALSE),0)</f>
        <v>0</v>
      </c>
      <c r="H34" s="457">
        <f>IFERROR(VLOOKUP(P34,COPY!$A$1:$L$1000,2,FALSE),0)</f>
        <v>0</v>
      </c>
      <c r="I34" s="510">
        <f>IFERROR(VLOOKUP(P34,COPY!$A$1:$L$1000,10,FALSE),0)</f>
        <v>0</v>
      </c>
      <c r="J34" s="467">
        <f>IFERROR(VLOOKUP(P34,COPY!$A$1:$L$1000,8,FALSE),0)</f>
        <v>0</v>
      </c>
      <c r="K34" s="457">
        <f>IFERROR(VLOOKUP(P34,COPY!$A$1:$L$1000,7,FALSE),0)</f>
        <v>0</v>
      </c>
      <c r="L34" s="468">
        <f>IFERROR(VLOOKUP(P34,COPY!$A$1:$O$1000,15,FALSE),0)</f>
        <v>0</v>
      </c>
      <c r="M34" s="468">
        <f>IFERROR(VLOOKUP(P34,COPY!$A$1:$L$1000,12,FALSE),0)</f>
        <v>0</v>
      </c>
      <c r="N34" s="469">
        <f>IF(H34="Jasa",VLOOKUP('BKU 3'!K34,'Rekap Gaji'!$D$12:$I$26,6,FALSE),(IF(H34="Beli",VLOOKUP(P34,COPY!$A$1:$L$1000,11,FALSE),IF(H34="Bayar Ongkos",VLOOKUP(K34,'Rekap Gaji'!$D$12:$I$26,6,FALSE),0))))</f>
        <v>0</v>
      </c>
      <c r="O34" s="470"/>
      <c r="P34" s="466" t="str">
        <f t="shared" si="0"/>
        <v/>
      </c>
      <c r="Q34" s="253">
        <f>IF(T34&lt;=0,T34+$S$30,0)</f>
        <v>0</v>
      </c>
      <c r="R34" s="253">
        <f>IF(T34&lt;=0,S34,0)</f>
        <v>0</v>
      </c>
      <c r="S34" s="449">
        <f>S33+1</f>
        <v>2</v>
      </c>
      <c r="T34" s="253">
        <f>S34-$S$30</f>
        <v>2</v>
      </c>
      <c r="U34" s="457" t="str">
        <f t="shared" si="1"/>
        <v xml:space="preserve"> </v>
      </c>
    </row>
    <row r="35" spans="1:24" ht="20.100000000000001" hidden="1" customHeight="1" x14ac:dyDescent="0.25">
      <c r="A35" s="470" t="str">
        <f t="shared" si="2"/>
        <v/>
      </c>
      <c r="B35" s="456">
        <f>IF(LEFT(C35,16)="Terima Pajak PPN",VLOOKUP(P35,COPY!$A$1:$AC$1000,21,FALSE),IF(LEFT(C35,16)="Terima Pajak PPH",VLOOKUP(P35,COPY!$A$1:$AC$1000,21,FALSE),IF(LEFT(C35,13)="Terima PPh 23",VLOOKUP(P35,COPY!$A$1:$AC$1000,21,FALSE),0)))</f>
        <v>0</v>
      </c>
      <c r="C35" s="457">
        <f>IFERROR(IF(LEFT(VLOOKUP(P35,COPY!$A$1:$AC$1000,29,FALSE),5)="Terim",VLOOKUP(P35,COPY!$A$1:$AC$1000,29,FALSE),0),0)</f>
        <v>0</v>
      </c>
      <c r="D35" s="457"/>
      <c r="E35" s="457"/>
      <c r="F35" s="458">
        <f>IFERROR(IF(LEFT(VLOOKUP(P35,COPY!$A$1:$AC$1000,29,FALSE),5)="Terim",VLOOKUP(P35,COPY!$A$1:$AC$1000,26,FALSE),0),0)</f>
        <v>0</v>
      </c>
      <c r="G35" s="459">
        <f>IFERROR(VLOOKUP(P35,COPY!$A$1:$L$1000,4,FALSE),0)</f>
        <v>0</v>
      </c>
      <c r="H35" s="457">
        <f>IFERROR(VLOOKUP(P35,COPY!$A$1:$L$1000,2,FALSE),0)</f>
        <v>0</v>
      </c>
      <c r="I35" s="510">
        <f>IFERROR(VLOOKUP(P35,COPY!$A$1:$L$1000,10,FALSE),0)</f>
        <v>0</v>
      </c>
      <c r="J35" s="467">
        <f>IFERROR(VLOOKUP(P35,COPY!$A$1:$L$1000,8,FALSE),0)</f>
        <v>0</v>
      </c>
      <c r="K35" s="457">
        <f>IFERROR(VLOOKUP(P35,COPY!$A$1:$L$1000,7,FALSE),0)</f>
        <v>0</v>
      </c>
      <c r="L35" s="468">
        <f>IFERROR(VLOOKUP(P35,COPY!$A$1:$O$1000,15,FALSE),0)</f>
        <v>0</v>
      </c>
      <c r="M35" s="468">
        <f>IFERROR(VLOOKUP(P35,COPY!$A$1:$L$1000,12,FALSE),0)</f>
        <v>0</v>
      </c>
      <c r="N35" s="469">
        <f>IF(H35="Jasa",VLOOKUP('BKU 3'!K35,'Rekap Gaji'!$D$12:$I$26,6,FALSE),(IF(H35="Beli",VLOOKUP(P35,COPY!$A$1:$L$1000,11,FALSE),IF(H35="Bayar Ongkos",VLOOKUP(K35,'Rekap Gaji'!$D$12:$I$26,6,FALSE),0))))</f>
        <v>0</v>
      </c>
      <c r="O35" s="470"/>
      <c r="P35" s="466" t="str">
        <f t="shared" si="0"/>
        <v/>
      </c>
      <c r="Q35" s="253">
        <f t="shared" ref="Q35:Q98" si="3">IF(T35&lt;=0,T35+$S$30,0)</f>
        <v>0</v>
      </c>
      <c r="R35" s="253">
        <f t="shared" ref="R35:R98" si="4">IF(T35&lt;=0,S35,0)</f>
        <v>0</v>
      </c>
      <c r="S35" s="449">
        <f t="shared" ref="S35:S98" si="5">S34+1</f>
        <v>3</v>
      </c>
      <c r="T35" s="253">
        <f t="shared" ref="T35:T98" si="6">S35-$S$30</f>
        <v>3</v>
      </c>
      <c r="U35" s="457" t="str">
        <f t="shared" si="1"/>
        <v xml:space="preserve"> </v>
      </c>
    </row>
    <row r="36" spans="1:24" ht="20.100000000000001" hidden="1" customHeight="1" x14ac:dyDescent="0.25">
      <c r="A36" s="470" t="str">
        <f t="shared" si="2"/>
        <v/>
      </c>
      <c r="B36" s="456">
        <f>IF(LEFT(C36,16)="Terima Pajak PPN",VLOOKUP(P36,COPY!$A$1:$AC$1000,21,FALSE),IF(LEFT(C36,16)="Terima Pajak PPH",VLOOKUP(P36,COPY!$A$1:$AC$1000,21,FALSE),IF(LEFT(C36,13)="Terima PPh 23",VLOOKUP(P36,COPY!$A$1:$AC$1000,21,FALSE),0)))</f>
        <v>0</v>
      </c>
      <c r="C36" s="457">
        <f>IFERROR(IF(LEFT(VLOOKUP(P36,COPY!$A$1:$AC$1000,29,FALSE),5)="Terim",VLOOKUP(P36,COPY!$A$1:$AC$1000,29,FALSE),0),0)</f>
        <v>0</v>
      </c>
      <c r="D36" s="457"/>
      <c r="E36" s="457"/>
      <c r="F36" s="458">
        <f>IFERROR(IF(LEFT(VLOOKUP(P36,COPY!$A$1:$AC$1000,29,FALSE),5)="Terim",VLOOKUP(P36,COPY!$A$1:$AC$1000,26,FALSE),0),0)</f>
        <v>0</v>
      </c>
      <c r="G36" s="459">
        <f>IFERROR(VLOOKUP(P36,COPY!$A$1:$L$1000,4,FALSE),0)</f>
        <v>0</v>
      </c>
      <c r="H36" s="457">
        <f>IFERROR(VLOOKUP(P36,COPY!$A$1:$L$1000,2,FALSE),0)</f>
        <v>0</v>
      </c>
      <c r="I36" s="510">
        <f>IFERROR(VLOOKUP(P36,COPY!$A$1:$L$1000,10,FALSE),0)</f>
        <v>0</v>
      </c>
      <c r="J36" s="467">
        <f>IFERROR(VLOOKUP(P36,COPY!$A$1:$L$1000,8,FALSE),0)</f>
        <v>0</v>
      </c>
      <c r="K36" s="457">
        <f>IFERROR(VLOOKUP(P36,COPY!$A$1:$L$1000,7,FALSE),0)</f>
        <v>0</v>
      </c>
      <c r="L36" s="468">
        <f>IFERROR(VLOOKUP(P36,COPY!$A$1:$O$1000,15,FALSE),0)</f>
        <v>0</v>
      </c>
      <c r="M36" s="468">
        <f>IFERROR(VLOOKUP(P36,COPY!$A$1:$L$1000,12,FALSE),0)</f>
        <v>0</v>
      </c>
      <c r="N36" s="469">
        <f>IF(H36="Jasa",VLOOKUP('BKU 3'!K36,'Rekap Gaji'!$D$12:$I$26,6,FALSE),(IF(H36="Beli",VLOOKUP(P36,COPY!$A$1:$L$1000,11,FALSE),IF(H36="Bayar Ongkos",VLOOKUP(K36,'Rekap Gaji'!$D$12:$I$26,6,FALSE),0))))</f>
        <v>0</v>
      </c>
      <c r="P36" s="466" t="str">
        <f t="shared" si="0"/>
        <v/>
      </c>
      <c r="Q36" s="253">
        <f t="shared" si="3"/>
        <v>0</v>
      </c>
      <c r="R36" s="253">
        <f t="shared" si="4"/>
        <v>0</v>
      </c>
      <c r="S36" s="449">
        <f t="shared" si="5"/>
        <v>4</v>
      </c>
      <c r="T36" s="253">
        <f t="shared" si="6"/>
        <v>4</v>
      </c>
      <c r="U36" s="457" t="str">
        <f t="shared" si="1"/>
        <v xml:space="preserve"> </v>
      </c>
    </row>
    <row r="37" spans="1:24" ht="20.100000000000001" hidden="1" customHeight="1" x14ac:dyDescent="0.25">
      <c r="A37" s="470" t="str">
        <f t="shared" si="2"/>
        <v/>
      </c>
      <c r="B37" s="456">
        <f>IF(LEFT(C37,16)="Terima Pajak PPN",VLOOKUP(P37,COPY!$A$1:$AC$1000,21,FALSE),IF(LEFT(C37,16)="Terima Pajak PPH",VLOOKUP(P37,COPY!$A$1:$AC$1000,21,FALSE),IF(LEFT(C37,13)="Terima PPh 23",VLOOKUP(P37,COPY!$A$1:$AC$1000,21,FALSE),0)))</f>
        <v>0</v>
      </c>
      <c r="C37" s="457">
        <f>IFERROR(IF(LEFT(VLOOKUP(P37,COPY!$A$1:$AC$1000,29,FALSE),5)="Terim",VLOOKUP(P37,COPY!$A$1:$AC$1000,29,FALSE),0),0)</f>
        <v>0</v>
      </c>
      <c r="D37" s="457"/>
      <c r="E37" s="457"/>
      <c r="F37" s="458">
        <f>IFERROR(IF(LEFT(VLOOKUP(P37,COPY!$A$1:$AC$1000,29,FALSE),5)="Terim",VLOOKUP(P37,COPY!$A$1:$AC$1000,26,FALSE),0),0)</f>
        <v>0</v>
      </c>
      <c r="G37" s="459">
        <f>IFERROR(VLOOKUP(P37,COPY!$A$1:$L$1000,4,FALSE),0)</f>
        <v>0</v>
      </c>
      <c r="H37" s="457">
        <f>IFERROR(VLOOKUP(P37,COPY!$A$1:$L$1000,2,FALSE),0)</f>
        <v>0</v>
      </c>
      <c r="I37" s="510">
        <f>IFERROR(VLOOKUP(P37,COPY!$A$1:$L$1000,10,FALSE),0)</f>
        <v>0</v>
      </c>
      <c r="J37" s="467">
        <f>IFERROR(VLOOKUP(P37,COPY!$A$1:$L$1000,8,FALSE),0)</f>
        <v>0</v>
      </c>
      <c r="K37" s="457">
        <f>IFERROR(VLOOKUP(P37,COPY!$A$1:$L$1000,7,FALSE),0)</f>
        <v>0</v>
      </c>
      <c r="L37" s="468">
        <f>IFERROR(VLOOKUP(P37,COPY!$A$1:$O$1000,15,FALSE),0)</f>
        <v>0</v>
      </c>
      <c r="M37" s="468">
        <f>IFERROR(VLOOKUP(P37,COPY!$A$1:$L$1000,12,FALSE),0)</f>
        <v>0</v>
      </c>
      <c r="N37" s="469">
        <f>IF(H37="Jasa",VLOOKUP('BKU 3'!K37,'Rekap Gaji'!$D$12:$I$26,6,FALSE),(IF(H37="Beli",VLOOKUP(P37,COPY!$A$1:$L$1000,11,FALSE),IF(H37="Bayar Ongkos",VLOOKUP(K37,'Rekap Gaji'!$D$12:$I$26,6,FALSE),0))))</f>
        <v>0</v>
      </c>
      <c r="P37" s="466" t="str">
        <f t="shared" si="0"/>
        <v/>
      </c>
      <c r="Q37" s="253">
        <f t="shared" si="3"/>
        <v>0</v>
      </c>
      <c r="R37" s="253">
        <f t="shared" si="4"/>
        <v>0</v>
      </c>
      <c r="S37" s="449">
        <f t="shared" si="5"/>
        <v>5</v>
      </c>
      <c r="T37" s="253">
        <f t="shared" si="6"/>
        <v>5</v>
      </c>
      <c r="U37" s="457" t="str">
        <f t="shared" si="1"/>
        <v xml:space="preserve"> </v>
      </c>
    </row>
    <row r="38" spans="1:24" ht="20.100000000000001" hidden="1" customHeight="1" x14ac:dyDescent="0.25">
      <c r="A38" s="470" t="str">
        <f t="shared" si="2"/>
        <v/>
      </c>
      <c r="B38" s="456">
        <f>IF(LEFT(C38,16)="Terima Pajak PPN",VLOOKUP(P38,COPY!$A$1:$AC$1000,21,FALSE),IF(LEFT(C38,16)="Terima Pajak PPH",VLOOKUP(P38,COPY!$A$1:$AC$1000,21,FALSE),IF(LEFT(C38,13)="Terima PPh 23",VLOOKUP(P38,COPY!$A$1:$AC$1000,21,FALSE),0)))</f>
        <v>0</v>
      </c>
      <c r="C38" s="457">
        <f>IFERROR(IF(LEFT(VLOOKUP(P38,COPY!$A$1:$AC$1000,29,FALSE),5)="Terim",VLOOKUP(P38,COPY!$A$1:$AC$1000,29,FALSE),0),0)</f>
        <v>0</v>
      </c>
      <c r="D38" s="457"/>
      <c r="E38" s="457"/>
      <c r="F38" s="458">
        <f>IFERROR(IF(LEFT(VLOOKUP(P38,COPY!$A$1:$AC$1000,29,FALSE),5)="Terim",VLOOKUP(P38,COPY!$A$1:$AC$1000,26,FALSE),0),0)</f>
        <v>0</v>
      </c>
      <c r="G38" s="459">
        <f>IFERROR(VLOOKUP(P38,COPY!$A$1:$L$1000,4,FALSE),0)</f>
        <v>0</v>
      </c>
      <c r="H38" s="457">
        <f>IFERROR(VLOOKUP(P38,COPY!$A$1:$L$1000,2,FALSE),0)</f>
        <v>0</v>
      </c>
      <c r="I38" s="510">
        <f>IFERROR(VLOOKUP(P38,COPY!$A$1:$L$1000,10,FALSE),0)</f>
        <v>0</v>
      </c>
      <c r="J38" s="467">
        <f>IFERROR(VLOOKUP(P38,COPY!$A$1:$L$1000,8,FALSE),0)</f>
        <v>0</v>
      </c>
      <c r="K38" s="457">
        <f>IFERROR(VLOOKUP(P38,COPY!$A$1:$L$1000,7,FALSE),0)</f>
        <v>0</v>
      </c>
      <c r="L38" s="468">
        <f>IFERROR(VLOOKUP(P38,COPY!$A$1:$O$1000,15,FALSE),0)</f>
        <v>0</v>
      </c>
      <c r="M38" s="468">
        <f>IFERROR(VLOOKUP(P38,COPY!$A$1:$L$1000,12,FALSE),0)</f>
        <v>0</v>
      </c>
      <c r="N38" s="469">
        <f>IF(H38="Jasa",VLOOKUP('BKU 3'!K38,'Rekap Gaji'!$D$12:$I$26,6,FALSE),(IF(H38="Beli",VLOOKUP(P38,COPY!$A$1:$L$1000,11,FALSE),IF(H38="Bayar Ongkos",VLOOKUP(K38,'Rekap Gaji'!$D$12:$I$26,6,FALSE),0))))</f>
        <v>0</v>
      </c>
      <c r="O38" s="470"/>
      <c r="P38" s="466" t="str">
        <f t="shared" si="0"/>
        <v/>
      </c>
      <c r="Q38" s="253">
        <f t="shared" si="3"/>
        <v>0</v>
      </c>
      <c r="R38" s="253">
        <f t="shared" si="4"/>
        <v>0</v>
      </c>
      <c r="S38" s="449">
        <f t="shared" si="5"/>
        <v>6</v>
      </c>
      <c r="T38" s="253">
        <f t="shared" si="6"/>
        <v>6</v>
      </c>
      <c r="U38" s="457" t="str">
        <f t="shared" si="1"/>
        <v xml:space="preserve"> </v>
      </c>
    </row>
    <row r="39" spans="1:24" ht="20.100000000000001" hidden="1" customHeight="1" x14ac:dyDescent="0.25">
      <c r="A39" s="470" t="str">
        <f t="shared" si="2"/>
        <v/>
      </c>
      <c r="B39" s="456">
        <f>IF(LEFT(C39,16)="Terima Pajak PPN",VLOOKUP(P39,COPY!$A$1:$AC$1000,21,FALSE),IF(LEFT(C39,16)="Terima Pajak PPH",VLOOKUP(P39,COPY!$A$1:$AC$1000,21,FALSE),IF(LEFT(C39,13)="Terima PPh 23",VLOOKUP(P39,COPY!$A$1:$AC$1000,21,FALSE),0)))</f>
        <v>0</v>
      </c>
      <c r="C39" s="457">
        <f>IFERROR(IF(LEFT(VLOOKUP(P39,COPY!$A$1:$AC$1000,29,FALSE),5)="Terim",VLOOKUP(P39,COPY!$A$1:$AC$1000,29,FALSE),0),0)</f>
        <v>0</v>
      </c>
      <c r="D39" s="457"/>
      <c r="E39" s="457"/>
      <c r="F39" s="458">
        <f>IFERROR(IF(LEFT(VLOOKUP(P39,COPY!$A$1:$AC$1000,29,FALSE),5)="Terim",VLOOKUP(P39,COPY!$A$1:$AC$1000,26,FALSE),0),0)</f>
        <v>0</v>
      </c>
      <c r="G39" s="459">
        <f>IFERROR(VLOOKUP(P39,COPY!$A$1:$L$1000,4,FALSE),0)</f>
        <v>0</v>
      </c>
      <c r="H39" s="457">
        <f>IFERROR(VLOOKUP(P39,COPY!$A$1:$L$1000,2,FALSE),0)</f>
        <v>0</v>
      </c>
      <c r="I39" s="510">
        <f>IFERROR(VLOOKUP(P39,COPY!$A$1:$L$1000,10,FALSE),0)</f>
        <v>0</v>
      </c>
      <c r="J39" s="467">
        <f>IFERROR(VLOOKUP(P39,COPY!$A$1:$L$1000,8,FALSE),0)</f>
        <v>0</v>
      </c>
      <c r="K39" s="457">
        <f>IFERROR(VLOOKUP(P39,COPY!$A$1:$L$1000,7,FALSE),0)</f>
        <v>0</v>
      </c>
      <c r="L39" s="468">
        <f>IFERROR(VLOOKUP(P39,COPY!$A$1:$O$1000,15,FALSE),0)</f>
        <v>0</v>
      </c>
      <c r="M39" s="468">
        <f>IFERROR(VLOOKUP(P39,COPY!$A$1:$L$1000,12,FALSE),0)</f>
        <v>0</v>
      </c>
      <c r="N39" s="469">
        <f>IF(H39="Jasa",VLOOKUP('BKU 3'!K39,'Rekap Gaji'!$D$12:$I$26,6,FALSE),(IF(H39="Beli",VLOOKUP(P39,COPY!$A$1:$L$1000,11,FALSE),IF(H39="Bayar Ongkos",VLOOKUP(K39,'Rekap Gaji'!$D$12:$I$26,6,FALSE),0))))</f>
        <v>0</v>
      </c>
      <c r="P39" s="466" t="str">
        <f t="shared" si="0"/>
        <v/>
      </c>
      <c r="Q39" s="253">
        <f t="shared" si="3"/>
        <v>0</v>
      </c>
      <c r="R39" s="253">
        <f t="shared" si="4"/>
        <v>0</v>
      </c>
      <c r="S39" s="449">
        <f t="shared" si="5"/>
        <v>7</v>
      </c>
      <c r="T39" s="253">
        <f t="shared" si="6"/>
        <v>7</v>
      </c>
      <c r="U39" s="457" t="str">
        <f t="shared" si="1"/>
        <v xml:space="preserve"> </v>
      </c>
    </row>
    <row r="40" spans="1:24" ht="20.100000000000001" hidden="1" customHeight="1" x14ac:dyDescent="0.25">
      <c r="A40" s="470" t="str">
        <f t="shared" si="2"/>
        <v/>
      </c>
      <c r="B40" s="456">
        <f>IF(LEFT(C40,16)="Terima Pajak PPN",VLOOKUP(P40,COPY!$A$1:$AC$1000,21,FALSE),IF(LEFT(C40,16)="Terima Pajak PPH",VLOOKUP(P40,COPY!$A$1:$AC$1000,21,FALSE),IF(LEFT(C40,13)="Terima PPh 23",VLOOKUP(P40,COPY!$A$1:$AC$1000,21,FALSE),0)))</f>
        <v>0</v>
      </c>
      <c r="C40" s="457">
        <f>IFERROR(IF(LEFT(VLOOKUP(P40,COPY!$A$1:$AC$1000,29,FALSE),5)="Terim",VLOOKUP(P40,COPY!$A$1:$AC$1000,29,FALSE),0),0)</f>
        <v>0</v>
      </c>
      <c r="D40" s="457"/>
      <c r="E40" s="457"/>
      <c r="F40" s="458">
        <f>IFERROR(IF(LEFT(VLOOKUP(P40,COPY!$A$1:$AC$1000,29,FALSE),5)="Terim",VLOOKUP(P40,COPY!$A$1:$AC$1000,26,FALSE),0),0)</f>
        <v>0</v>
      </c>
      <c r="G40" s="459">
        <f>IFERROR(VLOOKUP(P40,COPY!$A$1:$L$1000,4,FALSE),0)</f>
        <v>0</v>
      </c>
      <c r="H40" s="457">
        <f>IFERROR(VLOOKUP(P40,COPY!$A$1:$L$1000,2,FALSE),0)</f>
        <v>0</v>
      </c>
      <c r="I40" s="510">
        <f>IFERROR(VLOOKUP(P40,COPY!$A$1:$L$1000,10,FALSE),0)</f>
        <v>0</v>
      </c>
      <c r="J40" s="467">
        <f>IFERROR(VLOOKUP(P40,COPY!$A$1:$L$1000,8,FALSE),0)</f>
        <v>0</v>
      </c>
      <c r="K40" s="457">
        <f>IFERROR(VLOOKUP(P40,COPY!$A$1:$L$1000,7,FALSE),0)</f>
        <v>0</v>
      </c>
      <c r="L40" s="468">
        <f>IFERROR(VLOOKUP(P40,COPY!$A$1:$O$1000,15,FALSE),0)</f>
        <v>0</v>
      </c>
      <c r="M40" s="468">
        <f>IFERROR(VLOOKUP(P40,COPY!$A$1:$L$1000,12,FALSE),0)</f>
        <v>0</v>
      </c>
      <c r="N40" s="469">
        <f>IF(H40="Jasa",VLOOKUP('BKU 3'!K40,'Rekap Gaji'!$D$12:$I$26,6,FALSE),(IF(H40="Beli",VLOOKUP(P40,COPY!$A$1:$L$1000,11,FALSE),IF(H40="Bayar Ongkos",VLOOKUP(K40,'Rekap Gaji'!$D$12:$I$26,6,FALSE),0))))</f>
        <v>0</v>
      </c>
      <c r="P40" s="466" t="str">
        <f t="shared" si="0"/>
        <v/>
      </c>
      <c r="Q40" s="253">
        <f t="shared" si="3"/>
        <v>0</v>
      </c>
      <c r="R40" s="253">
        <f t="shared" si="4"/>
        <v>0</v>
      </c>
      <c r="S40" s="449">
        <f t="shared" si="5"/>
        <v>8</v>
      </c>
      <c r="T40" s="253">
        <f t="shared" si="6"/>
        <v>8</v>
      </c>
      <c r="U40" s="457" t="str">
        <f t="shared" si="1"/>
        <v xml:space="preserve"> </v>
      </c>
    </row>
    <row r="41" spans="1:24" ht="20.100000000000001" hidden="1" customHeight="1" x14ac:dyDescent="0.25">
      <c r="A41" s="470" t="str">
        <f t="shared" si="2"/>
        <v/>
      </c>
      <c r="B41" s="456">
        <f>IF(LEFT(C41,16)="Terima Pajak PPN",VLOOKUP(P41,COPY!$A$1:$AC$1000,21,FALSE),IF(LEFT(C41,16)="Terima Pajak PPH",VLOOKUP(P41,COPY!$A$1:$AC$1000,21,FALSE),IF(LEFT(C41,13)="Terima PPh 23",VLOOKUP(P41,COPY!$A$1:$AC$1000,21,FALSE),0)))</f>
        <v>0</v>
      </c>
      <c r="C41" s="457">
        <f>IFERROR(IF(LEFT(VLOOKUP(P41,COPY!$A$1:$AC$1000,29,FALSE),5)="Terim",VLOOKUP(P41,COPY!$A$1:$AC$1000,29,FALSE),0),0)</f>
        <v>0</v>
      </c>
      <c r="D41" s="457"/>
      <c r="E41" s="457"/>
      <c r="F41" s="458">
        <f>IFERROR(IF(LEFT(VLOOKUP(P41,COPY!$A$1:$AC$1000,29,FALSE),5)="Terim",VLOOKUP(P41,COPY!$A$1:$AC$1000,26,FALSE),0),0)</f>
        <v>0</v>
      </c>
      <c r="G41" s="459">
        <f>IFERROR(VLOOKUP(P41,COPY!$A$1:$L$1000,4,FALSE),0)</f>
        <v>0</v>
      </c>
      <c r="H41" s="457">
        <f>IFERROR(VLOOKUP(P41,COPY!$A$1:$L$1000,2,FALSE),0)</f>
        <v>0</v>
      </c>
      <c r="I41" s="510">
        <f>IFERROR(VLOOKUP(P41,COPY!$A$1:$L$1000,10,FALSE),0)</f>
        <v>0</v>
      </c>
      <c r="J41" s="467">
        <f>IFERROR(VLOOKUP(P41,COPY!$A$1:$L$1000,8,FALSE),0)</f>
        <v>0</v>
      </c>
      <c r="K41" s="457">
        <f>IFERROR(VLOOKUP(P41,COPY!$A$1:$L$1000,7,FALSE),0)</f>
        <v>0</v>
      </c>
      <c r="L41" s="468">
        <f>IFERROR(VLOOKUP(P41,COPY!$A$1:$O$1000,15,FALSE),0)</f>
        <v>0</v>
      </c>
      <c r="M41" s="468">
        <f>IFERROR(VLOOKUP(P41,COPY!$A$1:$L$1000,12,FALSE),0)</f>
        <v>0</v>
      </c>
      <c r="N41" s="469">
        <f>IF(H41="Jasa",VLOOKUP('BKU 3'!K41,'Rekap Gaji'!$D$12:$I$26,6,FALSE),(IF(H41="Beli",VLOOKUP(P41,COPY!$A$1:$L$1000,11,FALSE),IF(H41="Bayar Ongkos",VLOOKUP(K41,'Rekap Gaji'!$D$12:$I$26,6,FALSE),0))))</f>
        <v>0</v>
      </c>
      <c r="O41" s="470"/>
      <c r="P41" s="466" t="str">
        <f t="shared" si="0"/>
        <v/>
      </c>
      <c r="Q41" s="253">
        <f t="shared" si="3"/>
        <v>0</v>
      </c>
      <c r="R41" s="253">
        <f t="shared" si="4"/>
        <v>0</v>
      </c>
      <c r="S41" s="449">
        <f t="shared" si="5"/>
        <v>9</v>
      </c>
      <c r="T41" s="253">
        <f t="shared" si="6"/>
        <v>9</v>
      </c>
      <c r="U41" s="457" t="str">
        <f t="shared" si="1"/>
        <v xml:space="preserve"> </v>
      </c>
    </row>
    <row r="42" spans="1:24" ht="20.100000000000001" hidden="1" customHeight="1" x14ac:dyDescent="0.25">
      <c r="A42" s="470" t="str">
        <f t="shared" si="2"/>
        <v/>
      </c>
      <c r="B42" s="456">
        <f>IF(LEFT(C42,16)="Terima Pajak PPN",VLOOKUP(P42,COPY!$A$1:$AC$1000,21,FALSE),IF(LEFT(C42,16)="Terima Pajak PPH",VLOOKUP(P42,COPY!$A$1:$AC$1000,21,FALSE),IF(LEFT(C42,13)="Terima PPh 23",VLOOKUP(P42,COPY!$A$1:$AC$1000,21,FALSE),0)))</f>
        <v>0</v>
      </c>
      <c r="C42" s="457">
        <f>IFERROR(IF(LEFT(VLOOKUP(P42,COPY!$A$1:$AC$1000,29,FALSE),5)="Terim",VLOOKUP(P42,COPY!$A$1:$AC$1000,29,FALSE),0),0)</f>
        <v>0</v>
      </c>
      <c r="D42" s="457"/>
      <c r="E42" s="457"/>
      <c r="F42" s="458">
        <f>IFERROR(IF(LEFT(VLOOKUP(P42,COPY!$A$1:$AC$1000,29,FALSE),5)="Terim",VLOOKUP(P42,COPY!$A$1:$AC$1000,26,FALSE),0),0)</f>
        <v>0</v>
      </c>
      <c r="G42" s="459">
        <f>IFERROR(VLOOKUP(P42,COPY!$A$1:$L$1000,4,FALSE),0)</f>
        <v>0</v>
      </c>
      <c r="H42" s="457">
        <f>IFERROR(VLOOKUP(P42,COPY!$A$1:$L$1000,2,FALSE),0)</f>
        <v>0</v>
      </c>
      <c r="I42" s="510">
        <f>IFERROR(VLOOKUP(P42,COPY!$A$1:$L$1000,10,FALSE),0)</f>
        <v>0</v>
      </c>
      <c r="J42" s="467">
        <f>IFERROR(VLOOKUP(P42,COPY!$A$1:$L$1000,8,FALSE),0)</f>
        <v>0</v>
      </c>
      <c r="K42" s="457">
        <f>IFERROR(VLOOKUP(P42,COPY!$A$1:$L$1000,7,FALSE),0)</f>
        <v>0</v>
      </c>
      <c r="L42" s="468">
        <f>IFERROR(VLOOKUP(P42,COPY!$A$1:$O$1000,15,FALSE),0)</f>
        <v>0</v>
      </c>
      <c r="M42" s="468">
        <f>IFERROR(VLOOKUP(P42,COPY!$A$1:$L$1000,12,FALSE),0)</f>
        <v>0</v>
      </c>
      <c r="N42" s="469">
        <f>IF(H42="Jasa",VLOOKUP('BKU 3'!K42,'Rekap Gaji'!$D$12:$I$26,6,FALSE),(IF(H42="Beli",VLOOKUP(P42,COPY!$A$1:$L$1000,11,FALSE),IF(H42="Bayar Ongkos",VLOOKUP(K42,'Rekap Gaji'!$D$12:$I$26,6,FALSE),0))))</f>
        <v>0</v>
      </c>
      <c r="P42" s="466" t="str">
        <f t="shared" si="0"/>
        <v/>
      </c>
      <c r="Q42" s="253">
        <f t="shared" si="3"/>
        <v>0</v>
      </c>
      <c r="R42" s="253">
        <f t="shared" si="4"/>
        <v>0</v>
      </c>
      <c r="S42" s="449">
        <f t="shared" si="5"/>
        <v>10</v>
      </c>
      <c r="T42" s="253">
        <f t="shared" si="6"/>
        <v>10</v>
      </c>
      <c r="U42" s="457" t="str">
        <f t="shared" si="1"/>
        <v xml:space="preserve"> </v>
      </c>
    </row>
    <row r="43" spans="1:24" ht="20.100000000000001" hidden="1" customHeight="1" x14ac:dyDescent="0.25">
      <c r="A43" s="470" t="str">
        <f t="shared" si="2"/>
        <v/>
      </c>
      <c r="B43" s="456">
        <f>IF(LEFT(C43,16)="Terima Pajak PPN",VLOOKUP(P43,COPY!$A$1:$AC$1000,21,FALSE),IF(LEFT(C43,16)="Terima Pajak PPH",VLOOKUP(P43,COPY!$A$1:$AC$1000,21,FALSE),IF(LEFT(C43,13)="Terima PPh 23",VLOOKUP(P43,COPY!$A$1:$AC$1000,21,FALSE),0)))</f>
        <v>0</v>
      </c>
      <c r="C43" s="457">
        <f>IFERROR(IF(LEFT(VLOOKUP(P43,COPY!$A$1:$AC$1000,29,FALSE),5)="Terim",VLOOKUP(P43,COPY!$A$1:$AC$1000,29,FALSE),0),0)</f>
        <v>0</v>
      </c>
      <c r="D43" s="457"/>
      <c r="E43" s="457"/>
      <c r="F43" s="458">
        <f>IFERROR(IF(LEFT(VLOOKUP(P43,COPY!$A$1:$AC$1000,29,FALSE),5)="Terim",VLOOKUP(P43,COPY!$A$1:$AC$1000,26,FALSE),0),0)</f>
        <v>0</v>
      </c>
      <c r="G43" s="459">
        <f>IFERROR(VLOOKUP(P43,COPY!$A$1:$L$1000,4,FALSE),0)</f>
        <v>0</v>
      </c>
      <c r="H43" s="457">
        <f>IFERROR(VLOOKUP(P43,COPY!$A$1:$L$1000,2,FALSE),0)</f>
        <v>0</v>
      </c>
      <c r="I43" s="510">
        <f>IFERROR(VLOOKUP(P43,COPY!$A$1:$L$1000,10,FALSE),0)</f>
        <v>0</v>
      </c>
      <c r="J43" s="467">
        <f>IFERROR(VLOOKUP(P43,COPY!$A$1:$L$1000,8,FALSE),0)</f>
        <v>0</v>
      </c>
      <c r="K43" s="457">
        <f>IFERROR(VLOOKUP(P43,COPY!$A$1:$L$1000,7,FALSE),0)</f>
        <v>0</v>
      </c>
      <c r="L43" s="468">
        <f>IFERROR(VLOOKUP(P43,COPY!$A$1:$O$1000,15,FALSE),0)</f>
        <v>0</v>
      </c>
      <c r="M43" s="468">
        <f>IFERROR(VLOOKUP(P43,COPY!$A$1:$L$1000,12,FALSE),0)</f>
        <v>0</v>
      </c>
      <c r="N43" s="469">
        <f>IF(H43="Jasa",VLOOKUP('BKU 3'!K43,'Rekap Gaji'!$D$12:$I$26,6,FALSE),(IF(H43="Beli",VLOOKUP(P43,COPY!$A$1:$L$1000,11,FALSE),IF(H43="Bayar Ongkos",VLOOKUP(K43,'Rekap Gaji'!$D$12:$I$26,6,FALSE),0))))</f>
        <v>0</v>
      </c>
      <c r="O43" s="470"/>
      <c r="P43" s="466" t="str">
        <f t="shared" si="0"/>
        <v/>
      </c>
      <c r="Q43" s="253">
        <f t="shared" si="3"/>
        <v>0</v>
      </c>
      <c r="R43" s="253">
        <f t="shared" si="4"/>
        <v>0</v>
      </c>
      <c r="S43" s="449">
        <f t="shared" si="5"/>
        <v>11</v>
      </c>
      <c r="T43" s="253">
        <f t="shared" si="6"/>
        <v>11</v>
      </c>
      <c r="U43" s="457" t="str">
        <f t="shared" si="1"/>
        <v xml:space="preserve"> </v>
      </c>
    </row>
    <row r="44" spans="1:24" ht="20.100000000000001" hidden="1" customHeight="1" x14ac:dyDescent="0.25">
      <c r="A44" s="470" t="str">
        <f t="shared" si="2"/>
        <v/>
      </c>
      <c r="B44" s="456">
        <f>IF(LEFT(C44,16)="Terima Pajak PPN",VLOOKUP(P44,COPY!$A$1:$AC$1000,21,FALSE),IF(LEFT(C44,16)="Terima Pajak PPH",VLOOKUP(P44,COPY!$A$1:$AC$1000,21,FALSE),IF(LEFT(C44,13)="Terima PPh 23",VLOOKUP(P44,COPY!$A$1:$AC$1000,21,FALSE),0)))</f>
        <v>0</v>
      </c>
      <c r="C44" s="457">
        <f>IFERROR(IF(LEFT(VLOOKUP(P44,COPY!$A$1:$AC$1000,29,FALSE),5)="Terim",VLOOKUP(P44,COPY!$A$1:$AC$1000,29,FALSE),0),0)</f>
        <v>0</v>
      </c>
      <c r="D44" s="457"/>
      <c r="E44" s="457"/>
      <c r="F44" s="458">
        <f>IFERROR(IF(LEFT(VLOOKUP(P44,COPY!$A$1:$AC$1000,29,FALSE),5)="Terim",VLOOKUP(P44,COPY!$A$1:$AC$1000,26,FALSE),0),0)</f>
        <v>0</v>
      </c>
      <c r="G44" s="459">
        <f>IFERROR(VLOOKUP(P44,COPY!$A$1:$L$1000,4,FALSE),0)</f>
        <v>0</v>
      </c>
      <c r="H44" s="457">
        <f>IFERROR(VLOOKUP(P44,COPY!$A$1:$L$1000,2,FALSE),0)</f>
        <v>0</v>
      </c>
      <c r="I44" s="510">
        <f>IFERROR(VLOOKUP(P44,COPY!$A$1:$L$1000,10,FALSE),0)</f>
        <v>0</v>
      </c>
      <c r="J44" s="467">
        <f>IFERROR(VLOOKUP(P44,COPY!$A$1:$L$1000,8,FALSE),0)</f>
        <v>0</v>
      </c>
      <c r="K44" s="457">
        <f>IFERROR(VLOOKUP(P44,COPY!$A$1:$L$1000,7,FALSE),0)</f>
        <v>0</v>
      </c>
      <c r="L44" s="468">
        <f>IFERROR(VLOOKUP(P44,COPY!$A$1:$O$1000,15,FALSE),0)</f>
        <v>0</v>
      </c>
      <c r="M44" s="468">
        <f>IFERROR(VLOOKUP(P44,COPY!$A$1:$L$1000,12,FALSE),0)</f>
        <v>0</v>
      </c>
      <c r="N44" s="469">
        <f>IF(H44="Jasa",VLOOKUP('BKU 3'!K44,'Rekap Gaji'!$D$12:$I$26,6,FALSE),(IF(H44="Beli",VLOOKUP(P44,COPY!$A$1:$L$1000,11,FALSE),IF(H44="Bayar Ongkos",VLOOKUP(K44,'Rekap Gaji'!$D$12:$I$26,6,FALSE),0))))</f>
        <v>0</v>
      </c>
      <c r="O44" s="470"/>
      <c r="P44" s="466" t="str">
        <f t="shared" si="0"/>
        <v/>
      </c>
      <c r="Q44" s="253">
        <f t="shared" si="3"/>
        <v>0</v>
      </c>
      <c r="R44" s="253">
        <f t="shared" si="4"/>
        <v>0</v>
      </c>
      <c r="S44" s="449">
        <f t="shared" si="5"/>
        <v>12</v>
      </c>
      <c r="T44" s="253">
        <f t="shared" si="6"/>
        <v>12</v>
      </c>
      <c r="U44" s="457" t="str">
        <f t="shared" si="1"/>
        <v xml:space="preserve"> </v>
      </c>
    </row>
    <row r="45" spans="1:24" ht="20.100000000000001" hidden="1" customHeight="1" x14ac:dyDescent="0.25">
      <c r="A45" s="470" t="str">
        <f t="shared" si="2"/>
        <v/>
      </c>
      <c r="B45" s="456">
        <f>IF(LEFT(C45,16)="Terima Pajak PPN",VLOOKUP(P45,COPY!$A$1:$AC$1000,21,FALSE),IF(LEFT(C45,16)="Terima Pajak PPH",VLOOKUP(P45,COPY!$A$1:$AC$1000,21,FALSE),IF(LEFT(C45,13)="Terima PPh 23",VLOOKUP(P45,COPY!$A$1:$AC$1000,21,FALSE),0)))</f>
        <v>0</v>
      </c>
      <c r="C45" s="457">
        <f>IFERROR(IF(LEFT(VLOOKUP(P45,COPY!$A$1:$AC$1000,29,FALSE),5)="Terim",VLOOKUP(P45,COPY!$A$1:$AC$1000,29,FALSE),0),0)</f>
        <v>0</v>
      </c>
      <c r="D45" s="457"/>
      <c r="E45" s="457"/>
      <c r="F45" s="458">
        <f>IFERROR(IF(LEFT(VLOOKUP(P45,COPY!$A$1:$AC$1000,29,FALSE),5)="Terim",VLOOKUP(P45,COPY!$A$1:$AC$1000,26,FALSE),0),0)</f>
        <v>0</v>
      </c>
      <c r="G45" s="459">
        <f>IFERROR(VLOOKUP(P45,COPY!$A$1:$L$1000,4,FALSE),0)</f>
        <v>0</v>
      </c>
      <c r="H45" s="457">
        <f>IFERROR(VLOOKUP(P45,COPY!$A$1:$L$1000,2,FALSE),0)</f>
        <v>0</v>
      </c>
      <c r="I45" s="510">
        <f>IFERROR(VLOOKUP(P45,COPY!$A$1:$L$1000,10,FALSE),0)</f>
        <v>0</v>
      </c>
      <c r="J45" s="467">
        <f>IFERROR(VLOOKUP(P45,COPY!$A$1:$L$1000,8,FALSE),0)</f>
        <v>0</v>
      </c>
      <c r="K45" s="457">
        <f>IFERROR(VLOOKUP(P45,COPY!$A$1:$L$1000,7,FALSE),0)</f>
        <v>0</v>
      </c>
      <c r="L45" s="468">
        <f>IFERROR(VLOOKUP(P45,COPY!$A$1:$O$1000,15,FALSE),0)</f>
        <v>0</v>
      </c>
      <c r="M45" s="468">
        <f>IFERROR(VLOOKUP(P45,COPY!$A$1:$L$1000,12,FALSE),0)</f>
        <v>0</v>
      </c>
      <c r="N45" s="469">
        <f>IF(H45="Jasa",VLOOKUP('BKU 3'!K45,'Rekap Gaji'!$D$12:$I$26,6,FALSE),(IF(H45="Beli",VLOOKUP(P45,COPY!$A$1:$L$1000,11,FALSE),IF(H45="Bayar Ongkos",VLOOKUP(K45,'Rekap Gaji'!$D$12:$I$26,6,FALSE),0))))</f>
        <v>0</v>
      </c>
      <c r="O45" s="470"/>
      <c r="P45" s="466" t="str">
        <f t="shared" si="0"/>
        <v/>
      </c>
      <c r="Q45" s="253">
        <f t="shared" si="3"/>
        <v>0</v>
      </c>
      <c r="R45" s="253">
        <f t="shared" si="4"/>
        <v>0</v>
      </c>
      <c r="S45" s="449">
        <f t="shared" si="5"/>
        <v>13</v>
      </c>
      <c r="T45" s="253">
        <f t="shared" si="6"/>
        <v>13</v>
      </c>
      <c r="U45" s="457" t="str">
        <f t="shared" si="1"/>
        <v xml:space="preserve"> </v>
      </c>
    </row>
    <row r="46" spans="1:24" ht="20.100000000000001" hidden="1" customHeight="1" x14ac:dyDescent="0.25">
      <c r="A46" s="470" t="str">
        <f t="shared" si="2"/>
        <v/>
      </c>
      <c r="B46" s="456">
        <f>IF(LEFT(C46,16)="Terima Pajak PPN",VLOOKUP(P46,COPY!$A$1:$AC$1000,21,FALSE),IF(LEFT(C46,16)="Terima Pajak PPH",VLOOKUP(P46,COPY!$A$1:$AC$1000,21,FALSE),IF(LEFT(C46,13)="Terima PPh 23",VLOOKUP(P46,COPY!$A$1:$AC$1000,21,FALSE),0)))</f>
        <v>0</v>
      </c>
      <c r="C46" s="457">
        <f>IFERROR(IF(LEFT(VLOOKUP(P46,COPY!$A$1:$AC$1000,29,FALSE),5)="Terim",VLOOKUP(P46,COPY!$A$1:$AC$1000,29,FALSE),0),0)</f>
        <v>0</v>
      </c>
      <c r="D46" s="457"/>
      <c r="E46" s="457"/>
      <c r="F46" s="458">
        <f>IFERROR(IF(LEFT(VLOOKUP(P46,COPY!$A$1:$AC$1000,29,FALSE),5)="Terim",VLOOKUP(P46,COPY!$A$1:$AC$1000,26,FALSE),0),0)</f>
        <v>0</v>
      </c>
      <c r="G46" s="459">
        <f>IFERROR(VLOOKUP(P46,COPY!$A$1:$L$1000,4,FALSE),0)</f>
        <v>0</v>
      </c>
      <c r="H46" s="457">
        <f>IFERROR(VLOOKUP(P46,COPY!$A$1:$L$1000,2,FALSE),0)</f>
        <v>0</v>
      </c>
      <c r="I46" s="510">
        <f>IFERROR(VLOOKUP(P46,COPY!$A$1:$L$1000,10,FALSE),0)</f>
        <v>0</v>
      </c>
      <c r="J46" s="467">
        <f>IFERROR(VLOOKUP(P46,COPY!$A$1:$L$1000,8,FALSE),0)</f>
        <v>0</v>
      </c>
      <c r="K46" s="457">
        <f>IFERROR(VLOOKUP(P46,COPY!$A$1:$L$1000,7,FALSE),0)</f>
        <v>0</v>
      </c>
      <c r="L46" s="468">
        <f>IFERROR(VLOOKUP(P46,COPY!$A$1:$O$1000,15,FALSE),0)</f>
        <v>0</v>
      </c>
      <c r="M46" s="468">
        <f>IFERROR(VLOOKUP(P46,COPY!$A$1:$L$1000,12,FALSE),0)</f>
        <v>0</v>
      </c>
      <c r="N46" s="469">
        <f>IF(H46="Jasa",VLOOKUP('BKU 3'!K46,'Rekap Gaji'!$D$12:$I$26,6,FALSE),(IF(H46="Beli",VLOOKUP(P46,COPY!$A$1:$L$1000,11,FALSE),IF(H46="Bayar Ongkos",VLOOKUP(K46,'Rekap Gaji'!$D$12:$I$26,6,FALSE),0))))</f>
        <v>0</v>
      </c>
      <c r="P46" s="466" t="str">
        <f t="shared" si="0"/>
        <v/>
      </c>
      <c r="Q46" s="253">
        <f t="shared" si="3"/>
        <v>0</v>
      </c>
      <c r="R46" s="253">
        <f t="shared" si="4"/>
        <v>0</v>
      </c>
      <c r="S46" s="449">
        <f t="shared" si="5"/>
        <v>14</v>
      </c>
      <c r="T46" s="253">
        <f t="shared" si="6"/>
        <v>14</v>
      </c>
      <c r="U46" s="457" t="str">
        <f t="shared" si="1"/>
        <v xml:space="preserve"> </v>
      </c>
    </row>
    <row r="47" spans="1:24" ht="20.100000000000001" hidden="1" customHeight="1" x14ac:dyDescent="0.25">
      <c r="A47" s="470" t="str">
        <f t="shared" si="2"/>
        <v/>
      </c>
      <c r="B47" s="456">
        <f>IF(LEFT(C47,16)="Terima Pajak PPN",VLOOKUP(P47,COPY!$A$1:$AC$1000,21,FALSE),IF(LEFT(C47,16)="Terima Pajak PPH",VLOOKUP(P47,COPY!$A$1:$AC$1000,21,FALSE),IF(LEFT(C47,13)="Terima PPh 23",VLOOKUP(P47,COPY!$A$1:$AC$1000,21,FALSE),0)))</f>
        <v>0</v>
      </c>
      <c r="C47" s="457">
        <f>IFERROR(IF(LEFT(VLOOKUP(P47,COPY!$A$1:$AC$1000,29,FALSE),5)="Terim",VLOOKUP(P47,COPY!$A$1:$AC$1000,29,FALSE),0),0)</f>
        <v>0</v>
      </c>
      <c r="D47" s="457"/>
      <c r="E47" s="457"/>
      <c r="F47" s="458">
        <f>IFERROR(IF(LEFT(VLOOKUP(P47,COPY!$A$1:$AC$1000,29,FALSE),5)="Terim",VLOOKUP(P47,COPY!$A$1:$AC$1000,26,FALSE),0),0)</f>
        <v>0</v>
      </c>
      <c r="G47" s="459">
        <f>IFERROR(VLOOKUP(P47,COPY!$A$1:$L$1000,4,FALSE),0)</f>
        <v>0</v>
      </c>
      <c r="H47" s="457">
        <f>IFERROR(VLOOKUP(P47,COPY!$A$1:$L$1000,2,FALSE),0)</f>
        <v>0</v>
      </c>
      <c r="I47" s="510">
        <f>IFERROR(VLOOKUP(P47,COPY!$A$1:$L$1000,10,FALSE),0)</f>
        <v>0</v>
      </c>
      <c r="J47" s="467">
        <f>IFERROR(VLOOKUP(P47,COPY!$A$1:$L$1000,8,FALSE),0)</f>
        <v>0</v>
      </c>
      <c r="K47" s="457">
        <f>IFERROR(VLOOKUP(P47,COPY!$A$1:$L$1000,7,FALSE),0)</f>
        <v>0</v>
      </c>
      <c r="L47" s="468">
        <f>IFERROR(VLOOKUP(P47,COPY!$A$1:$O$1000,15,FALSE),0)</f>
        <v>0</v>
      </c>
      <c r="M47" s="468">
        <f>IFERROR(VLOOKUP(P47,COPY!$A$1:$L$1000,12,FALSE),0)</f>
        <v>0</v>
      </c>
      <c r="N47" s="469">
        <f>IF(H47="Jasa",VLOOKUP('BKU 3'!K47,'Rekap Gaji'!$D$12:$I$26,6,FALSE),(IF(H47="Beli",VLOOKUP(P47,COPY!$A$1:$L$1000,11,FALSE),IF(H47="Bayar Ongkos",VLOOKUP(K47,'Rekap Gaji'!$D$12:$I$26,6,FALSE),0))))</f>
        <v>0</v>
      </c>
      <c r="O47" s="470"/>
      <c r="P47" s="466" t="str">
        <f t="shared" si="0"/>
        <v/>
      </c>
      <c r="Q47" s="253">
        <f t="shared" si="3"/>
        <v>0</v>
      </c>
      <c r="R47" s="253">
        <f t="shared" si="4"/>
        <v>0</v>
      </c>
      <c r="S47" s="449">
        <f t="shared" si="5"/>
        <v>15</v>
      </c>
      <c r="T47" s="253">
        <f t="shared" si="6"/>
        <v>15</v>
      </c>
      <c r="U47" s="457" t="str">
        <f t="shared" si="1"/>
        <v xml:space="preserve"> </v>
      </c>
    </row>
    <row r="48" spans="1:24" ht="20.100000000000001" hidden="1" customHeight="1" x14ac:dyDescent="0.25">
      <c r="A48" s="470" t="str">
        <f t="shared" si="2"/>
        <v/>
      </c>
      <c r="B48" s="456">
        <f>IF(LEFT(C48,16)="Terima Pajak PPN",VLOOKUP(P48,COPY!$A$1:$AC$1000,21,FALSE),IF(LEFT(C48,16)="Terima Pajak PPH",VLOOKUP(P48,COPY!$A$1:$AC$1000,21,FALSE),IF(LEFT(C48,13)="Terima PPh 23",VLOOKUP(P48,COPY!$A$1:$AC$1000,21,FALSE),0)))</f>
        <v>0</v>
      </c>
      <c r="C48" s="457">
        <f>IFERROR(IF(LEFT(VLOOKUP(P48,COPY!$A$1:$AC$1000,29,FALSE),5)="Terim",VLOOKUP(P48,COPY!$A$1:$AC$1000,29,FALSE),0),0)</f>
        <v>0</v>
      </c>
      <c r="D48" s="457"/>
      <c r="E48" s="457"/>
      <c r="F48" s="458">
        <f>IFERROR(IF(LEFT(VLOOKUP(P48,COPY!$A$1:$AC$1000,29,FALSE),5)="Terim",VLOOKUP(P48,COPY!$A$1:$AC$1000,26,FALSE),0),0)</f>
        <v>0</v>
      </c>
      <c r="G48" s="459">
        <f>IFERROR(VLOOKUP(P48,COPY!$A$1:$L$1000,4,FALSE),0)</f>
        <v>0</v>
      </c>
      <c r="H48" s="457">
        <f>IFERROR(VLOOKUP(P48,COPY!$A$1:$L$1000,2,FALSE),0)</f>
        <v>0</v>
      </c>
      <c r="I48" s="510">
        <f>IFERROR(VLOOKUP(P48,COPY!$A$1:$L$1000,10,FALSE),0)</f>
        <v>0</v>
      </c>
      <c r="J48" s="467">
        <f>IFERROR(VLOOKUP(P48,COPY!$A$1:$L$1000,8,FALSE),0)</f>
        <v>0</v>
      </c>
      <c r="K48" s="457">
        <f>IFERROR(VLOOKUP(P48,COPY!$A$1:$L$1000,7,FALSE),0)</f>
        <v>0</v>
      </c>
      <c r="L48" s="468">
        <f>IFERROR(VLOOKUP(P48,COPY!$A$1:$O$1000,15,FALSE),0)</f>
        <v>0</v>
      </c>
      <c r="M48" s="468">
        <f>IFERROR(VLOOKUP(P48,COPY!$A$1:$L$1000,12,FALSE),0)</f>
        <v>0</v>
      </c>
      <c r="N48" s="469">
        <f>IF(H48="Jasa",VLOOKUP('BKU 3'!K48,'Rekap Gaji'!$D$12:$I$26,6,FALSE),(IF(H48="Beli",VLOOKUP(P48,COPY!$A$1:$L$1000,11,FALSE),IF(H48="Bayar Ongkos",VLOOKUP(K48,'Rekap Gaji'!$D$12:$I$26,6,FALSE),0))))</f>
        <v>0</v>
      </c>
      <c r="P48" s="466" t="str">
        <f t="shared" si="0"/>
        <v/>
      </c>
      <c r="Q48" s="253">
        <f t="shared" si="3"/>
        <v>0</v>
      </c>
      <c r="R48" s="253">
        <f t="shared" si="4"/>
        <v>0</v>
      </c>
      <c r="S48" s="449">
        <f t="shared" si="5"/>
        <v>16</v>
      </c>
      <c r="T48" s="253">
        <f t="shared" si="6"/>
        <v>16</v>
      </c>
      <c r="U48" s="457" t="str">
        <f t="shared" si="1"/>
        <v xml:space="preserve"> </v>
      </c>
    </row>
    <row r="49" spans="1:21" ht="20.100000000000001" hidden="1" customHeight="1" x14ac:dyDescent="0.25">
      <c r="A49" s="470" t="str">
        <f t="shared" si="2"/>
        <v/>
      </c>
      <c r="B49" s="456">
        <f>IF(LEFT(C49,16)="Terima Pajak PPN",VLOOKUP(P49,COPY!$A$1:$AC$1000,21,FALSE),IF(LEFT(C49,16)="Terima Pajak PPH",VLOOKUP(P49,COPY!$A$1:$AC$1000,21,FALSE),IF(LEFT(C49,13)="Terima PPh 23",VLOOKUP(P49,COPY!$A$1:$AC$1000,21,FALSE),0)))</f>
        <v>0</v>
      </c>
      <c r="C49" s="457">
        <f>IFERROR(IF(LEFT(VLOOKUP(P49,COPY!$A$1:$AC$1000,29,FALSE),5)="Terim",VLOOKUP(P49,COPY!$A$1:$AC$1000,29,FALSE),0),0)</f>
        <v>0</v>
      </c>
      <c r="D49" s="457"/>
      <c r="E49" s="457"/>
      <c r="F49" s="458">
        <f>IFERROR(IF(LEFT(VLOOKUP(P49,COPY!$A$1:$AC$1000,29,FALSE),5)="Terim",VLOOKUP(P49,COPY!$A$1:$AC$1000,26,FALSE),0),0)</f>
        <v>0</v>
      </c>
      <c r="G49" s="459">
        <f>IFERROR(VLOOKUP(P49,COPY!$A$1:$L$1000,4,FALSE),0)</f>
        <v>0</v>
      </c>
      <c r="H49" s="457">
        <f>IFERROR(VLOOKUP(P49,COPY!$A$1:$L$1000,2,FALSE),0)</f>
        <v>0</v>
      </c>
      <c r="I49" s="510">
        <f>IFERROR(VLOOKUP(P49,COPY!$A$1:$L$1000,10,FALSE),0)</f>
        <v>0</v>
      </c>
      <c r="J49" s="467">
        <f>IFERROR(VLOOKUP(P49,COPY!$A$1:$L$1000,8,FALSE),0)</f>
        <v>0</v>
      </c>
      <c r="K49" s="457">
        <f>IFERROR(VLOOKUP(P49,COPY!$A$1:$L$1000,7,FALSE),0)</f>
        <v>0</v>
      </c>
      <c r="L49" s="468">
        <f>IFERROR(VLOOKUP(P49,COPY!$A$1:$O$1000,15,FALSE),0)</f>
        <v>0</v>
      </c>
      <c r="M49" s="468">
        <f>IFERROR(VLOOKUP(P49,COPY!$A$1:$L$1000,12,FALSE),0)</f>
        <v>0</v>
      </c>
      <c r="N49" s="469">
        <f>IF(H49="Jasa",VLOOKUP('BKU 3'!K49,'Rekap Gaji'!$D$12:$I$26,6,FALSE),(IF(H49="Beli",VLOOKUP(P49,COPY!$A$1:$L$1000,11,FALSE),IF(H49="Bayar Ongkos",VLOOKUP(K49,'Rekap Gaji'!$D$12:$I$26,6,FALSE),0))))</f>
        <v>0</v>
      </c>
      <c r="P49" s="466" t="str">
        <f t="shared" si="0"/>
        <v/>
      </c>
      <c r="Q49" s="253">
        <f t="shared" si="3"/>
        <v>0</v>
      </c>
      <c r="R49" s="253">
        <f t="shared" si="4"/>
        <v>0</v>
      </c>
      <c r="S49" s="449">
        <f t="shared" si="5"/>
        <v>17</v>
      </c>
      <c r="T49" s="253">
        <f t="shared" si="6"/>
        <v>17</v>
      </c>
      <c r="U49" s="457" t="str">
        <f t="shared" si="1"/>
        <v xml:space="preserve"> </v>
      </c>
    </row>
    <row r="50" spans="1:21" ht="20.100000000000001" hidden="1" customHeight="1" x14ac:dyDescent="0.25">
      <c r="A50" s="470" t="str">
        <f t="shared" si="2"/>
        <v/>
      </c>
      <c r="B50" s="456">
        <f>IF(LEFT(C50,16)="Terima Pajak PPN",VLOOKUP(P50,COPY!$A$1:$AC$1000,21,FALSE),IF(LEFT(C50,16)="Terima Pajak PPH",VLOOKUP(P50,COPY!$A$1:$AC$1000,21,FALSE),IF(LEFT(C50,13)="Terima PPh 23",VLOOKUP(P50,COPY!$A$1:$AC$1000,21,FALSE),0)))</f>
        <v>0</v>
      </c>
      <c r="C50" s="457">
        <f>IFERROR(IF(LEFT(VLOOKUP(P50,COPY!$A$1:$AC$1000,29,FALSE),5)="Terim",VLOOKUP(P50,COPY!$A$1:$AC$1000,29,FALSE),0),0)</f>
        <v>0</v>
      </c>
      <c r="D50" s="457"/>
      <c r="E50" s="457"/>
      <c r="F50" s="458">
        <f>IFERROR(IF(LEFT(VLOOKUP(P50,COPY!$A$1:$AC$1000,29,FALSE),5)="Terim",VLOOKUP(P50,COPY!$A$1:$AC$1000,26,FALSE),0),0)</f>
        <v>0</v>
      </c>
      <c r="G50" s="459">
        <f>IFERROR(VLOOKUP(P50,COPY!$A$1:$L$1000,4,FALSE),0)</f>
        <v>0</v>
      </c>
      <c r="H50" s="457">
        <f>IFERROR(VLOOKUP(P50,COPY!$A$1:$L$1000,2,FALSE),0)</f>
        <v>0</v>
      </c>
      <c r="I50" s="510">
        <f>IFERROR(VLOOKUP(P50,COPY!$A$1:$L$1000,10,FALSE),0)</f>
        <v>0</v>
      </c>
      <c r="J50" s="467">
        <f>IFERROR(VLOOKUP(P50,COPY!$A$1:$L$1000,8,FALSE),0)</f>
        <v>0</v>
      </c>
      <c r="K50" s="457">
        <f>IFERROR(VLOOKUP(P50,COPY!$A$1:$L$1000,7,FALSE),0)</f>
        <v>0</v>
      </c>
      <c r="L50" s="468">
        <f>IFERROR(VLOOKUP(P50,COPY!$A$1:$O$1000,15,FALSE),0)</f>
        <v>0</v>
      </c>
      <c r="M50" s="468">
        <f>IFERROR(VLOOKUP(P50,COPY!$A$1:$L$1000,12,FALSE),0)</f>
        <v>0</v>
      </c>
      <c r="N50" s="469">
        <f>IF(H50="Jasa",VLOOKUP('BKU 3'!K50,'Rekap Gaji'!$D$12:$I$26,6,FALSE),(IF(H50="Beli",VLOOKUP(P50,COPY!$A$1:$L$1000,11,FALSE),IF(H50="Bayar Ongkos",VLOOKUP(K50,'Rekap Gaji'!$D$12:$I$26,6,FALSE),0))))</f>
        <v>0</v>
      </c>
      <c r="P50" s="466" t="str">
        <f t="shared" si="0"/>
        <v/>
      </c>
      <c r="Q50" s="253">
        <f t="shared" si="3"/>
        <v>0</v>
      </c>
      <c r="R50" s="253">
        <f t="shared" si="4"/>
        <v>0</v>
      </c>
      <c r="S50" s="449">
        <f t="shared" si="5"/>
        <v>18</v>
      </c>
      <c r="T50" s="253">
        <f t="shared" si="6"/>
        <v>18</v>
      </c>
      <c r="U50" s="457" t="str">
        <f t="shared" si="1"/>
        <v xml:space="preserve"> </v>
      </c>
    </row>
    <row r="51" spans="1:21" ht="20.100000000000001" hidden="1" customHeight="1" x14ac:dyDescent="0.25">
      <c r="A51" s="470" t="str">
        <f t="shared" si="2"/>
        <v/>
      </c>
      <c r="B51" s="456">
        <f>IF(LEFT(C51,16)="Terima Pajak PPN",VLOOKUP(P51,COPY!$A$1:$AC$1000,21,FALSE),IF(LEFT(C51,16)="Terima Pajak PPH",VLOOKUP(P51,COPY!$A$1:$AC$1000,21,FALSE),IF(LEFT(C51,13)="Terima PPh 23",VLOOKUP(P51,COPY!$A$1:$AC$1000,21,FALSE),0)))</f>
        <v>0</v>
      </c>
      <c r="C51" s="457">
        <f>IFERROR(IF(LEFT(VLOOKUP(P51,COPY!$A$1:$AC$1000,29,FALSE),5)="Terim",VLOOKUP(P51,COPY!$A$1:$AC$1000,29,FALSE),0),0)</f>
        <v>0</v>
      </c>
      <c r="D51" s="457"/>
      <c r="E51" s="457"/>
      <c r="F51" s="458">
        <f>IFERROR(IF(LEFT(VLOOKUP(P51,COPY!$A$1:$AC$1000,29,FALSE),5)="Terim",VLOOKUP(P51,COPY!$A$1:$AC$1000,26,FALSE),0),0)</f>
        <v>0</v>
      </c>
      <c r="G51" s="459">
        <f>IFERROR(VLOOKUP(P51,COPY!$A$1:$L$1000,4,FALSE),0)</f>
        <v>0</v>
      </c>
      <c r="H51" s="457">
        <f>IFERROR(VLOOKUP(P51,COPY!$A$1:$L$1000,2,FALSE),0)</f>
        <v>0</v>
      </c>
      <c r="I51" s="510">
        <f>IFERROR(VLOOKUP(P51,COPY!$A$1:$L$1000,10,FALSE),0)</f>
        <v>0</v>
      </c>
      <c r="J51" s="467">
        <f>IFERROR(VLOOKUP(P51,COPY!$A$1:$L$1000,8,FALSE),0)</f>
        <v>0</v>
      </c>
      <c r="K51" s="457">
        <f>IFERROR(VLOOKUP(P51,COPY!$A$1:$L$1000,7,FALSE),0)</f>
        <v>0</v>
      </c>
      <c r="L51" s="468">
        <f>IFERROR(VLOOKUP(P51,COPY!$A$1:$O$1000,15,FALSE),0)</f>
        <v>0</v>
      </c>
      <c r="M51" s="468">
        <f>IFERROR(VLOOKUP(P51,COPY!$A$1:$L$1000,12,FALSE),0)</f>
        <v>0</v>
      </c>
      <c r="N51" s="469">
        <f>IF(H51="Jasa",VLOOKUP('BKU 3'!K51,'Rekap Gaji'!$D$12:$I$26,6,FALSE),(IF(H51="Beli",VLOOKUP(P51,COPY!$A$1:$L$1000,11,FALSE),IF(H51="Bayar Ongkos",VLOOKUP(K51,'Rekap Gaji'!$D$12:$I$26,6,FALSE),0))))</f>
        <v>0</v>
      </c>
      <c r="P51" s="466" t="str">
        <f t="shared" si="0"/>
        <v/>
      </c>
      <c r="Q51" s="253">
        <f t="shared" si="3"/>
        <v>0</v>
      </c>
      <c r="R51" s="253">
        <f t="shared" si="4"/>
        <v>0</v>
      </c>
      <c r="S51" s="449">
        <f t="shared" si="5"/>
        <v>19</v>
      </c>
      <c r="T51" s="253">
        <f t="shared" si="6"/>
        <v>19</v>
      </c>
      <c r="U51" s="457" t="str">
        <f t="shared" si="1"/>
        <v xml:space="preserve"> </v>
      </c>
    </row>
    <row r="52" spans="1:21" ht="20.100000000000001" hidden="1" customHeight="1" x14ac:dyDescent="0.25">
      <c r="A52" s="470" t="str">
        <f t="shared" si="2"/>
        <v/>
      </c>
      <c r="B52" s="456">
        <f>IF(LEFT(C52,16)="Terima Pajak PPN",VLOOKUP(P52,COPY!$A$1:$AC$1000,21,FALSE),IF(LEFT(C52,16)="Terima Pajak PPH",VLOOKUP(P52,COPY!$A$1:$AC$1000,21,FALSE),IF(LEFT(C52,13)="Terima PPh 23",VLOOKUP(P52,COPY!$A$1:$AC$1000,21,FALSE),0)))</f>
        <v>0</v>
      </c>
      <c r="C52" s="457">
        <f>IFERROR(IF(LEFT(VLOOKUP(P52,COPY!$A$1:$AC$1000,29,FALSE),5)="Terim",VLOOKUP(P52,COPY!$A$1:$AC$1000,29,FALSE),0),0)</f>
        <v>0</v>
      </c>
      <c r="D52" s="457"/>
      <c r="E52" s="457"/>
      <c r="F52" s="458">
        <f>IFERROR(IF(LEFT(VLOOKUP(P52,COPY!$A$1:$AC$1000,29,FALSE),5)="Terim",VLOOKUP(P52,COPY!$A$1:$AC$1000,26,FALSE),0),0)</f>
        <v>0</v>
      </c>
      <c r="G52" s="459">
        <f>IFERROR(VLOOKUP(P52,COPY!$A$1:$L$1000,4,FALSE),0)</f>
        <v>0</v>
      </c>
      <c r="H52" s="457">
        <f>IFERROR(VLOOKUP(P52,COPY!$A$1:$L$1000,2,FALSE),0)</f>
        <v>0</v>
      </c>
      <c r="I52" s="510">
        <f>IFERROR(VLOOKUP(P52,COPY!$A$1:$L$1000,10,FALSE),0)</f>
        <v>0</v>
      </c>
      <c r="J52" s="467">
        <f>IFERROR(VLOOKUP(P52,COPY!$A$1:$L$1000,8,FALSE),0)</f>
        <v>0</v>
      </c>
      <c r="K52" s="457">
        <f>IFERROR(VLOOKUP(P52,COPY!$A$1:$L$1000,7,FALSE),0)</f>
        <v>0</v>
      </c>
      <c r="L52" s="468">
        <f>IFERROR(VLOOKUP(P52,COPY!$A$1:$O$1000,15,FALSE),0)</f>
        <v>0</v>
      </c>
      <c r="M52" s="468">
        <f>IFERROR(VLOOKUP(P52,COPY!$A$1:$L$1000,12,FALSE),0)</f>
        <v>0</v>
      </c>
      <c r="N52" s="469">
        <f>IF(H52="Jasa",VLOOKUP('BKU 3'!K52,'Rekap Gaji'!$D$12:$I$26,6,FALSE),(IF(H52="Beli",VLOOKUP(P52,COPY!$A$1:$L$1000,11,FALSE),IF(H52="Bayar Ongkos",VLOOKUP(K52,'Rekap Gaji'!$D$12:$I$26,6,FALSE),0))))</f>
        <v>0</v>
      </c>
      <c r="O52" s="470"/>
      <c r="P52" s="466" t="str">
        <f t="shared" si="0"/>
        <v/>
      </c>
      <c r="Q52" s="253">
        <f t="shared" si="3"/>
        <v>0</v>
      </c>
      <c r="R52" s="253">
        <f t="shared" si="4"/>
        <v>0</v>
      </c>
      <c r="S52" s="449">
        <f t="shared" si="5"/>
        <v>20</v>
      </c>
      <c r="T52" s="253">
        <f t="shared" si="6"/>
        <v>20</v>
      </c>
      <c r="U52" s="457" t="str">
        <f t="shared" si="1"/>
        <v xml:space="preserve"> </v>
      </c>
    </row>
    <row r="53" spans="1:21" ht="20.100000000000001" hidden="1" customHeight="1" x14ac:dyDescent="0.25">
      <c r="A53" s="470" t="str">
        <f t="shared" si="2"/>
        <v/>
      </c>
      <c r="B53" s="456">
        <f>IF(LEFT(C53,16)="Terima Pajak PPN",VLOOKUP(P53,COPY!$A$1:$AC$1000,21,FALSE),IF(LEFT(C53,16)="Terima Pajak PPH",VLOOKUP(P53,COPY!$A$1:$AC$1000,21,FALSE),IF(LEFT(C53,13)="Terima PPh 23",VLOOKUP(P53,COPY!$A$1:$AC$1000,21,FALSE),0)))</f>
        <v>0</v>
      </c>
      <c r="C53" s="457">
        <f>IFERROR(IF(LEFT(VLOOKUP(P53,COPY!$A$1:$AC$1000,29,FALSE),5)="Terim",VLOOKUP(P53,COPY!$A$1:$AC$1000,29,FALSE),0),0)</f>
        <v>0</v>
      </c>
      <c r="D53" s="457"/>
      <c r="E53" s="457"/>
      <c r="F53" s="458">
        <f>IFERROR(IF(LEFT(VLOOKUP(P53,COPY!$A$1:$AC$1000,29,FALSE),5)="Terim",VLOOKUP(P53,COPY!$A$1:$AC$1000,26,FALSE),0),0)</f>
        <v>0</v>
      </c>
      <c r="G53" s="459">
        <f>IFERROR(VLOOKUP(P53,COPY!$A$1:$L$1000,4,FALSE),0)</f>
        <v>0</v>
      </c>
      <c r="H53" s="457">
        <f>IFERROR(VLOOKUP(P53,COPY!$A$1:$L$1000,2,FALSE),0)</f>
        <v>0</v>
      </c>
      <c r="I53" s="510">
        <f>IFERROR(VLOOKUP(P53,COPY!$A$1:$L$1000,10,FALSE),0)</f>
        <v>0</v>
      </c>
      <c r="J53" s="467">
        <f>IFERROR(VLOOKUP(P53,COPY!$A$1:$L$1000,8,FALSE),0)</f>
        <v>0</v>
      </c>
      <c r="K53" s="457">
        <f>IFERROR(VLOOKUP(P53,COPY!$A$1:$L$1000,7,FALSE),0)</f>
        <v>0</v>
      </c>
      <c r="L53" s="468">
        <f>IFERROR(VLOOKUP(P53,COPY!$A$1:$O$1000,15,FALSE),0)</f>
        <v>0</v>
      </c>
      <c r="M53" s="468">
        <f>IFERROR(VLOOKUP(P53,COPY!$A$1:$L$1000,12,FALSE),0)</f>
        <v>0</v>
      </c>
      <c r="N53" s="469">
        <f>IF(H53="Jasa",VLOOKUP('BKU 3'!K53,'Rekap Gaji'!$D$12:$I$26,6,FALSE),(IF(H53="Beli",VLOOKUP(P53,COPY!$A$1:$L$1000,11,FALSE),IF(H53="Bayar Ongkos",VLOOKUP(K53,'Rekap Gaji'!$D$12:$I$26,6,FALSE),0))))</f>
        <v>0</v>
      </c>
      <c r="P53" s="466" t="str">
        <f t="shared" si="0"/>
        <v/>
      </c>
      <c r="Q53" s="253">
        <f t="shared" si="3"/>
        <v>0</v>
      </c>
      <c r="R53" s="253">
        <f t="shared" si="4"/>
        <v>0</v>
      </c>
      <c r="S53" s="449">
        <f t="shared" si="5"/>
        <v>21</v>
      </c>
      <c r="T53" s="253">
        <f t="shared" si="6"/>
        <v>21</v>
      </c>
      <c r="U53" s="457" t="str">
        <f t="shared" si="1"/>
        <v xml:space="preserve"> </v>
      </c>
    </row>
    <row r="54" spans="1:21" ht="20.100000000000001" hidden="1" customHeight="1" x14ac:dyDescent="0.25">
      <c r="A54" s="470" t="str">
        <f t="shared" si="2"/>
        <v/>
      </c>
      <c r="B54" s="456">
        <f>IF(LEFT(C54,16)="Terima Pajak PPN",VLOOKUP(P54,COPY!$A$1:$AC$1000,21,FALSE),IF(LEFT(C54,16)="Terima Pajak PPH",VLOOKUP(P54,COPY!$A$1:$AC$1000,21,FALSE),IF(LEFT(C54,13)="Terima PPh 23",VLOOKUP(P54,COPY!$A$1:$AC$1000,21,FALSE),0)))</f>
        <v>0</v>
      </c>
      <c r="C54" s="457">
        <f>IFERROR(IF(LEFT(VLOOKUP(P54,COPY!$A$1:$AC$1000,29,FALSE),5)="Terim",VLOOKUP(P54,COPY!$A$1:$AC$1000,29,FALSE),0),0)</f>
        <v>0</v>
      </c>
      <c r="D54" s="457"/>
      <c r="E54" s="457"/>
      <c r="F54" s="458">
        <f>IFERROR(IF(LEFT(VLOOKUP(P54,COPY!$A$1:$AC$1000,29,FALSE),5)="Terim",VLOOKUP(P54,COPY!$A$1:$AC$1000,26,FALSE),0),0)</f>
        <v>0</v>
      </c>
      <c r="G54" s="459">
        <f>IFERROR(VLOOKUP(P54,COPY!$A$1:$L$1000,4,FALSE),0)</f>
        <v>0</v>
      </c>
      <c r="H54" s="457">
        <f>IFERROR(VLOOKUP(P54,COPY!$A$1:$L$1000,2,FALSE),0)</f>
        <v>0</v>
      </c>
      <c r="I54" s="510">
        <f>IFERROR(VLOOKUP(P54,COPY!$A$1:$L$1000,10,FALSE),0)</f>
        <v>0</v>
      </c>
      <c r="J54" s="467">
        <f>IFERROR(VLOOKUP(P54,COPY!$A$1:$L$1000,8,FALSE),0)</f>
        <v>0</v>
      </c>
      <c r="K54" s="457">
        <f>IFERROR(VLOOKUP(P54,COPY!$A$1:$L$1000,7,FALSE),0)</f>
        <v>0</v>
      </c>
      <c r="L54" s="468">
        <f>IFERROR(VLOOKUP(P54,COPY!$A$1:$O$1000,15,FALSE),0)</f>
        <v>0</v>
      </c>
      <c r="M54" s="468">
        <f>IFERROR(VLOOKUP(P54,COPY!$A$1:$L$1000,12,FALSE),0)</f>
        <v>0</v>
      </c>
      <c r="N54" s="469">
        <f>IF(H54="Jasa",VLOOKUP('BKU 3'!K54,'Rekap Gaji'!$D$12:$I$26,6,FALSE),(IF(H54="Beli",VLOOKUP(P54,COPY!$A$1:$L$1000,11,FALSE),IF(H54="Bayar Ongkos",VLOOKUP(K54,'Rekap Gaji'!$D$12:$I$26,6,FALSE),0))))</f>
        <v>0</v>
      </c>
      <c r="O54" s="470"/>
      <c r="P54" s="466" t="str">
        <f t="shared" si="0"/>
        <v/>
      </c>
      <c r="Q54" s="253">
        <f t="shared" si="3"/>
        <v>0</v>
      </c>
      <c r="R54" s="253">
        <f t="shared" si="4"/>
        <v>0</v>
      </c>
      <c r="S54" s="449">
        <f t="shared" si="5"/>
        <v>22</v>
      </c>
      <c r="T54" s="253">
        <f t="shared" si="6"/>
        <v>22</v>
      </c>
      <c r="U54" s="457" t="str">
        <f t="shared" si="1"/>
        <v xml:space="preserve"> </v>
      </c>
    </row>
    <row r="55" spans="1:21" ht="20.100000000000001" hidden="1" customHeight="1" x14ac:dyDescent="0.25">
      <c r="A55" s="470" t="str">
        <f t="shared" si="2"/>
        <v/>
      </c>
      <c r="B55" s="456">
        <f>IF(LEFT(C55,16)="Terima Pajak PPN",VLOOKUP(P55,COPY!$A$1:$AC$1000,21,FALSE),IF(LEFT(C55,16)="Terima Pajak PPH",VLOOKUP(P55,COPY!$A$1:$AC$1000,21,FALSE),IF(LEFT(C55,13)="Terima PPh 23",VLOOKUP(P55,COPY!$A$1:$AC$1000,21,FALSE),0)))</f>
        <v>0</v>
      </c>
      <c r="C55" s="457">
        <f>IFERROR(IF(LEFT(VLOOKUP(P55,COPY!$A$1:$AC$1000,29,FALSE),5)="Terim",VLOOKUP(P55,COPY!$A$1:$AC$1000,29,FALSE),0),0)</f>
        <v>0</v>
      </c>
      <c r="D55" s="457"/>
      <c r="E55" s="457"/>
      <c r="F55" s="458">
        <f>IFERROR(IF(LEFT(VLOOKUP(P55,COPY!$A$1:$AC$1000,29,FALSE),5)="Terim",VLOOKUP(P55,COPY!$A$1:$AC$1000,26,FALSE),0),0)</f>
        <v>0</v>
      </c>
      <c r="G55" s="459">
        <f>IFERROR(VLOOKUP(P55,COPY!$A$1:$L$1000,4,FALSE),0)</f>
        <v>0</v>
      </c>
      <c r="H55" s="457">
        <f>IFERROR(VLOOKUP(P55,COPY!$A$1:$L$1000,2,FALSE),0)</f>
        <v>0</v>
      </c>
      <c r="I55" s="510">
        <f>IFERROR(VLOOKUP(P55,COPY!$A$1:$L$1000,10,FALSE),0)</f>
        <v>0</v>
      </c>
      <c r="J55" s="467">
        <f>IFERROR(VLOOKUP(P55,COPY!$A$1:$L$1000,8,FALSE),0)</f>
        <v>0</v>
      </c>
      <c r="K55" s="457">
        <f>IFERROR(VLOOKUP(P55,COPY!$A$1:$L$1000,7,FALSE),0)</f>
        <v>0</v>
      </c>
      <c r="L55" s="468">
        <f>IFERROR(VLOOKUP(P55,COPY!$A$1:$O$1000,15,FALSE),0)</f>
        <v>0</v>
      </c>
      <c r="M55" s="468">
        <f>IFERROR(VLOOKUP(P55,COPY!$A$1:$L$1000,12,FALSE),0)</f>
        <v>0</v>
      </c>
      <c r="N55" s="469">
        <f>IF(H55="Jasa",VLOOKUP('BKU 3'!K55,'Rekap Gaji'!$D$12:$I$26,6,FALSE),(IF(H55="Beli",VLOOKUP(P55,COPY!$A$1:$L$1000,11,FALSE),IF(H55="Bayar Ongkos",VLOOKUP(K55,'Rekap Gaji'!$D$12:$I$26,6,FALSE),0))))</f>
        <v>0</v>
      </c>
      <c r="P55" s="466" t="str">
        <f t="shared" si="0"/>
        <v/>
      </c>
      <c r="Q55" s="253">
        <f t="shared" si="3"/>
        <v>0</v>
      </c>
      <c r="R55" s="253">
        <f t="shared" si="4"/>
        <v>0</v>
      </c>
      <c r="S55" s="449">
        <f t="shared" si="5"/>
        <v>23</v>
      </c>
      <c r="T55" s="253">
        <f t="shared" si="6"/>
        <v>23</v>
      </c>
      <c r="U55" s="457" t="str">
        <f t="shared" si="1"/>
        <v xml:space="preserve"> </v>
      </c>
    </row>
    <row r="56" spans="1:21" ht="20.100000000000001" hidden="1" customHeight="1" x14ac:dyDescent="0.25">
      <c r="A56" s="470" t="str">
        <f t="shared" si="2"/>
        <v/>
      </c>
      <c r="B56" s="456">
        <f>IF(LEFT(C56,16)="Terima Pajak PPN",VLOOKUP(P56,COPY!$A$1:$AC$1000,21,FALSE),IF(LEFT(C56,16)="Terima Pajak PPH",VLOOKUP(P56,COPY!$A$1:$AC$1000,21,FALSE),IF(LEFT(C56,13)="Terima PPh 23",VLOOKUP(P56,COPY!$A$1:$AC$1000,21,FALSE),0)))</f>
        <v>0</v>
      </c>
      <c r="C56" s="457">
        <f>IFERROR(IF(LEFT(VLOOKUP(P56,COPY!$A$1:$AC$1000,29,FALSE),5)="Terim",VLOOKUP(P56,COPY!$A$1:$AC$1000,29,FALSE),0),0)</f>
        <v>0</v>
      </c>
      <c r="D56" s="457"/>
      <c r="E56" s="457"/>
      <c r="F56" s="458">
        <f>IFERROR(IF(LEFT(VLOOKUP(P56,COPY!$A$1:$AC$1000,29,FALSE),5)="Terim",VLOOKUP(P56,COPY!$A$1:$AC$1000,26,FALSE),0),0)</f>
        <v>0</v>
      </c>
      <c r="G56" s="459">
        <f>IFERROR(VLOOKUP(P56,COPY!$A$1:$L$1000,4,FALSE),0)</f>
        <v>0</v>
      </c>
      <c r="H56" s="457">
        <f>IFERROR(VLOOKUP(P56,COPY!$A$1:$L$1000,2,FALSE),0)</f>
        <v>0</v>
      </c>
      <c r="I56" s="510">
        <f>IFERROR(VLOOKUP(P56,COPY!$A$1:$L$1000,10,FALSE),0)</f>
        <v>0</v>
      </c>
      <c r="J56" s="467">
        <f>IFERROR(VLOOKUP(P56,COPY!$A$1:$L$1000,8,FALSE),0)</f>
        <v>0</v>
      </c>
      <c r="K56" s="457">
        <f>IFERROR(VLOOKUP(P56,COPY!$A$1:$L$1000,7,FALSE),0)</f>
        <v>0</v>
      </c>
      <c r="L56" s="468">
        <f>IFERROR(VLOOKUP(P56,COPY!$A$1:$O$1000,15,FALSE),0)</f>
        <v>0</v>
      </c>
      <c r="M56" s="468">
        <f>IFERROR(VLOOKUP(P56,COPY!$A$1:$L$1000,12,FALSE),0)</f>
        <v>0</v>
      </c>
      <c r="N56" s="469">
        <f>IF(H56="Jasa",VLOOKUP('BKU 3'!K56,'Rekap Gaji'!$D$12:$I$26,6,FALSE),(IF(H56="Beli",VLOOKUP(P56,COPY!$A$1:$L$1000,11,FALSE),IF(H56="Bayar Ongkos",VLOOKUP(K56,'Rekap Gaji'!$D$12:$I$26,6,FALSE),0))))</f>
        <v>0</v>
      </c>
      <c r="P56" s="466" t="str">
        <f t="shared" si="0"/>
        <v/>
      </c>
      <c r="Q56" s="253">
        <f t="shared" si="3"/>
        <v>0</v>
      </c>
      <c r="R56" s="253">
        <f t="shared" si="4"/>
        <v>0</v>
      </c>
      <c r="S56" s="449">
        <f t="shared" si="5"/>
        <v>24</v>
      </c>
      <c r="T56" s="253">
        <f t="shared" si="6"/>
        <v>24</v>
      </c>
      <c r="U56" s="457" t="str">
        <f t="shared" si="1"/>
        <v xml:space="preserve"> </v>
      </c>
    </row>
    <row r="57" spans="1:21" ht="20.100000000000001" hidden="1" customHeight="1" x14ac:dyDescent="0.25">
      <c r="A57" s="470" t="str">
        <f t="shared" si="2"/>
        <v/>
      </c>
      <c r="B57" s="456">
        <f>IF(LEFT(C57,16)="Terima Pajak PPN",VLOOKUP(P57,COPY!$A$1:$AC$1000,21,FALSE),IF(LEFT(C57,16)="Terima Pajak PPH",VLOOKUP(P57,COPY!$A$1:$AC$1000,21,FALSE),IF(LEFT(C57,13)="Terima PPh 23",VLOOKUP(P57,COPY!$A$1:$AC$1000,21,FALSE),0)))</f>
        <v>0</v>
      </c>
      <c r="C57" s="457">
        <f>IFERROR(IF(LEFT(VLOOKUP(P57,COPY!$A$1:$AC$1000,29,FALSE),5)="Terim",VLOOKUP(P57,COPY!$A$1:$AC$1000,29,FALSE),0),0)</f>
        <v>0</v>
      </c>
      <c r="D57" s="457"/>
      <c r="E57" s="457"/>
      <c r="F57" s="458">
        <f>IFERROR(IF(LEFT(VLOOKUP(P57,COPY!$A$1:$AC$1000,29,FALSE),5)="Terim",VLOOKUP(P57,COPY!$A$1:$AC$1000,26,FALSE),0),0)</f>
        <v>0</v>
      </c>
      <c r="G57" s="459">
        <f>IFERROR(VLOOKUP(P57,COPY!$A$1:$L$1000,4,FALSE),0)</f>
        <v>0</v>
      </c>
      <c r="H57" s="457">
        <f>IFERROR(VLOOKUP(P57,COPY!$A$1:$L$1000,2,FALSE),0)</f>
        <v>0</v>
      </c>
      <c r="I57" s="510">
        <f>IFERROR(VLOOKUP(P57,COPY!$A$1:$L$1000,10,FALSE),0)</f>
        <v>0</v>
      </c>
      <c r="J57" s="467">
        <f>IFERROR(VLOOKUP(P57,COPY!$A$1:$L$1000,8,FALSE),0)</f>
        <v>0</v>
      </c>
      <c r="K57" s="457">
        <f>IFERROR(VLOOKUP(P57,COPY!$A$1:$L$1000,7,FALSE),0)</f>
        <v>0</v>
      </c>
      <c r="L57" s="468">
        <f>IFERROR(VLOOKUP(P57,COPY!$A$1:$O$1000,15,FALSE),0)</f>
        <v>0</v>
      </c>
      <c r="M57" s="468">
        <f>IFERROR(VLOOKUP(P57,COPY!$A$1:$L$1000,12,FALSE),0)</f>
        <v>0</v>
      </c>
      <c r="N57" s="469">
        <f>IF(H57="Jasa",VLOOKUP('BKU 3'!K57,'Rekap Gaji'!$D$12:$I$26,6,FALSE),(IF(H57="Beli",VLOOKUP(P57,COPY!$A$1:$L$1000,11,FALSE),IF(H57="Bayar Ongkos",VLOOKUP(K57,'Rekap Gaji'!$D$12:$I$26,6,FALSE),0))))</f>
        <v>0</v>
      </c>
      <c r="O57" s="470"/>
      <c r="P57" s="466" t="str">
        <f t="shared" si="0"/>
        <v/>
      </c>
      <c r="Q57" s="253">
        <f t="shared" si="3"/>
        <v>0</v>
      </c>
      <c r="R57" s="253">
        <f t="shared" si="4"/>
        <v>0</v>
      </c>
      <c r="S57" s="449">
        <f t="shared" si="5"/>
        <v>25</v>
      </c>
      <c r="T57" s="253">
        <f t="shared" si="6"/>
        <v>25</v>
      </c>
      <c r="U57" s="457" t="str">
        <f t="shared" si="1"/>
        <v xml:space="preserve"> </v>
      </c>
    </row>
    <row r="58" spans="1:21" ht="20.100000000000001" hidden="1" customHeight="1" x14ac:dyDescent="0.25">
      <c r="A58" s="470" t="str">
        <f t="shared" si="2"/>
        <v/>
      </c>
      <c r="B58" s="456">
        <f>IF(LEFT(C58,16)="Terima Pajak PPN",VLOOKUP(P58,COPY!$A$1:$AC$1000,21,FALSE),IF(LEFT(C58,16)="Terima Pajak PPH",VLOOKUP(P58,COPY!$A$1:$AC$1000,21,FALSE),IF(LEFT(C58,13)="Terima PPh 23",VLOOKUP(P58,COPY!$A$1:$AC$1000,21,FALSE),0)))</f>
        <v>0</v>
      </c>
      <c r="C58" s="457">
        <f>IFERROR(IF(LEFT(VLOOKUP(P58,COPY!$A$1:$AC$1000,29,FALSE),5)="Terim",VLOOKUP(P58,COPY!$A$1:$AC$1000,29,FALSE),0),0)</f>
        <v>0</v>
      </c>
      <c r="D58" s="457"/>
      <c r="E58" s="457"/>
      <c r="F58" s="458">
        <f>IFERROR(IF(LEFT(VLOOKUP(P58,COPY!$A$1:$AC$1000,29,FALSE),5)="Terim",VLOOKUP(P58,COPY!$A$1:$AC$1000,26,FALSE),0),0)</f>
        <v>0</v>
      </c>
      <c r="G58" s="459">
        <f>IFERROR(VLOOKUP(P58,COPY!$A$1:$L$1000,4,FALSE),0)</f>
        <v>0</v>
      </c>
      <c r="H58" s="457">
        <f>IFERROR(VLOOKUP(P58,COPY!$A$1:$L$1000,2,FALSE),0)</f>
        <v>0</v>
      </c>
      <c r="I58" s="510">
        <f>IFERROR(VLOOKUP(P58,COPY!$A$1:$L$1000,10,FALSE),0)</f>
        <v>0</v>
      </c>
      <c r="J58" s="467">
        <f>IFERROR(VLOOKUP(P58,COPY!$A$1:$L$1000,8,FALSE),0)</f>
        <v>0</v>
      </c>
      <c r="K58" s="457">
        <f>IFERROR(VLOOKUP(P58,COPY!$A$1:$L$1000,7,FALSE),0)</f>
        <v>0</v>
      </c>
      <c r="L58" s="468">
        <f>IFERROR(VLOOKUP(P58,COPY!$A$1:$O$1000,15,FALSE),0)</f>
        <v>0</v>
      </c>
      <c r="M58" s="468">
        <f>IFERROR(VLOOKUP(P58,COPY!$A$1:$L$1000,12,FALSE),0)</f>
        <v>0</v>
      </c>
      <c r="N58" s="469">
        <f>IF(H58="Jasa",VLOOKUP('BKU 3'!K58,'Rekap Gaji'!$D$12:$I$26,6,FALSE),(IF(H58="Beli",VLOOKUP(P58,COPY!$A$1:$L$1000,11,FALSE),IF(H58="Bayar Ongkos",VLOOKUP(K58,'Rekap Gaji'!$D$12:$I$26,6,FALSE),0))))</f>
        <v>0</v>
      </c>
      <c r="O58" s="470"/>
      <c r="P58" s="466" t="str">
        <f t="shared" si="0"/>
        <v/>
      </c>
      <c r="Q58" s="253">
        <f t="shared" si="3"/>
        <v>0</v>
      </c>
      <c r="R58" s="253">
        <f t="shared" si="4"/>
        <v>0</v>
      </c>
      <c r="S58" s="449">
        <f t="shared" si="5"/>
        <v>26</v>
      </c>
      <c r="T58" s="253">
        <f t="shared" si="6"/>
        <v>26</v>
      </c>
      <c r="U58" s="457" t="str">
        <f t="shared" si="1"/>
        <v xml:space="preserve"> </v>
      </c>
    </row>
    <row r="59" spans="1:21" ht="20.100000000000001" hidden="1" customHeight="1" x14ac:dyDescent="0.25">
      <c r="A59" s="470" t="str">
        <f t="shared" si="2"/>
        <v/>
      </c>
      <c r="B59" s="456">
        <f>IF(LEFT(C59,16)="Terima Pajak PPN",VLOOKUP(P59,COPY!$A$1:$AC$1000,21,FALSE),IF(LEFT(C59,16)="Terima Pajak PPH",VLOOKUP(P59,COPY!$A$1:$AC$1000,21,FALSE),IF(LEFT(C59,13)="Terima PPh 23",VLOOKUP(P59,COPY!$A$1:$AC$1000,21,FALSE),0)))</f>
        <v>0</v>
      </c>
      <c r="C59" s="457">
        <f>IFERROR(IF(LEFT(VLOOKUP(P59,COPY!$A$1:$AC$1000,29,FALSE),5)="Terim",VLOOKUP(P59,COPY!$A$1:$AC$1000,29,FALSE),0),0)</f>
        <v>0</v>
      </c>
      <c r="D59" s="457"/>
      <c r="E59" s="457"/>
      <c r="F59" s="458">
        <f>IFERROR(IF(LEFT(VLOOKUP(P59,COPY!$A$1:$AC$1000,29,FALSE),5)="Terim",VLOOKUP(P59,COPY!$A$1:$AC$1000,26,FALSE),0),0)</f>
        <v>0</v>
      </c>
      <c r="G59" s="459">
        <f>IFERROR(VLOOKUP(P59,COPY!$A$1:$L$1000,4,FALSE),0)</f>
        <v>0</v>
      </c>
      <c r="H59" s="457">
        <f>IFERROR(VLOOKUP(P59,COPY!$A$1:$L$1000,2,FALSE),0)</f>
        <v>0</v>
      </c>
      <c r="I59" s="510">
        <f>IFERROR(VLOOKUP(P59,COPY!$A$1:$L$1000,10,FALSE),0)</f>
        <v>0</v>
      </c>
      <c r="J59" s="467">
        <f>IFERROR(VLOOKUP(P59,COPY!$A$1:$L$1000,8,FALSE),0)</f>
        <v>0</v>
      </c>
      <c r="K59" s="457">
        <f>IFERROR(VLOOKUP(P59,COPY!$A$1:$L$1000,7,FALSE),0)</f>
        <v>0</v>
      </c>
      <c r="L59" s="468">
        <f>IFERROR(VLOOKUP(P59,COPY!$A$1:$O$1000,15,FALSE),0)</f>
        <v>0</v>
      </c>
      <c r="M59" s="468">
        <f>IFERROR(VLOOKUP(P59,COPY!$A$1:$L$1000,12,FALSE),0)</f>
        <v>0</v>
      </c>
      <c r="N59" s="469">
        <f>IF(H59="Jasa",VLOOKUP('BKU 3'!K59,'Rekap Gaji'!$D$12:$I$26,6,FALSE),(IF(H59="Beli",VLOOKUP(P59,COPY!$A$1:$L$1000,11,FALSE),IF(H59="Bayar Ongkos",VLOOKUP(K59,'Rekap Gaji'!$D$12:$I$26,6,FALSE),0))))</f>
        <v>0</v>
      </c>
      <c r="P59" s="466" t="str">
        <f t="shared" si="0"/>
        <v/>
      </c>
      <c r="Q59" s="253">
        <f t="shared" si="3"/>
        <v>0</v>
      </c>
      <c r="R59" s="253">
        <f t="shared" si="4"/>
        <v>0</v>
      </c>
      <c r="S59" s="449">
        <f t="shared" si="5"/>
        <v>27</v>
      </c>
      <c r="T59" s="253">
        <f t="shared" si="6"/>
        <v>27</v>
      </c>
      <c r="U59" s="457" t="str">
        <f t="shared" si="1"/>
        <v xml:space="preserve"> </v>
      </c>
    </row>
    <row r="60" spans="1:21" ht="20.100000000000001" hidden="1" customHeight="1" x14ac:dyDescent="0.25">
      <c r="A60" s="470" t="str">
        <f t="shared" si="2"/>
        <v/>
      </c>
      <c r="B60" s="456">
        <f>IF(LEFT(C60,16)="Terima Pajak PPN",VLOOKUP(P60,COPY!$A$1:$AC$1000,21,FALSE),IF(LEFT(C60,16)="Terima Pajak PPH",VLOOKUP(P60,COPY!$A$1:$AC$1000,21,FALSE),IF(LEFT(C60,13)="Terima PPh 23",VLOOKUP(P60,COPY!$A$1:$AC$1000,21,FALSE),0)))</f>
        <v>0</v>
      </c>
      <c r="C60" s="457">
        <f>IFERROR(IF(LEFT(VLOOKUP(P60,COPY!$A$1:$AC$1000,29,FALSE),5)="Terim",VLOOKUP(P60,COPY!$A$1:$AC$1000,29,FALSE),0),0)</f>
        <v>0</v>
      </c>
      <c r="D60" s="457"/>
      <c r="E60" s="457"/>
      <c r="F60" s="458">
        <f>IFERROR(IF(LEFT(VLOOKUP(P60,COPY!$A$1:$AC$1000,29,FALSE),5)="Terim",VLOOKUP(P60,COPY!$A$1:$AC$1000,26,FALSE),0),0)</f>
        <v>0</v>
      </c>
      <c r="G60" s="459">
        <f>IFERROR(VLOOKUP(P60,COPY!$A$1:$L$1000,4,FALSE),0)</f>
        <v>0</v>
      </c>
      <c r="H60" s="457">
        <f>IFERROR(VLOOKUP(P60,COPY!$A$1:$L$1000,2,FALSE),0)</f>
        <v>0</v>
      </c>
      <c r="I60" s="510">
        <f>IFERROR(VLOOKUP(P60,COPY!$A$1:$L$1000,10,FALSE),0)</f>
        <v>0</v>
      </c>
      <c r="J60" s="467">
        <f>IFERROR(VLOOKUP(P60,COPY!$A$1:$L$1000,8,FALSE),0)</f>
        <v>0</v>
      </c>
      <c r="K60" s="457">
        <f>IFERROR(VLOOKUP(P60,COPY!$A$1:$L$1000,7,FALSE),0)</f>
        <v>0</v>
      </c>
      <c r="L60" s="468">
        <f>IFERROR(VLOOKUP(P60,COPY!$A$1:$O$1000,15,FALSE),0)</f>
        <v>0</v>
      </c>
      <c r="M60" s="468">
        <f>IFERROR(VLOOKUP(P60,COPY!$A$1:$L$1000,12,FALSE),0)</f>
        <v>0</v>
      </c>
      <c r="N60" s="469">
        <f>IF(H60="Jasa",VLOOKUP('BKU 3'!K60,'Rekap Gaji'!$D$12:$I$26,6,FALSE),(IF(H60="Beli",VLOOKUP(P60,COPY!$A$1:$L$1000,11,FALSE),IF(H60="Bayar Ongkos",VLOOKUP(K60,'Rekap Gaji'!$D$12:$I$26,6,FALSE),0))))</f>
        <v>0</v>
      </c>
      <c r="P60" s="466" t="str">
        <f t="shared" si="0"/>
        <v/>
      </c>
      <c r="Q60" s="253">
        <f t="shared" si="3"/>
        <v>0</v>
      </c>
      <c r="R60" s="253">
        <f t="shared" si="4"/>
        <v>0</v>
      </c>
      <c r="S60" s="449">
        <f t="shared" si="5"/>
        <v>28</v>
      </c>
      <c r="T60" s="253">
        <f t="shared" si="6"/>
        <v>28</v>
      </c>
      <c r="U60" s="457" t="str">
        <f t="shared" si="1"/>
        <v xml:space="preserve"> </v>
      </c>
    </row>
    <row r="61" spans="1:21" ht="20.100000000000001" hidden="1" customHeight="1" x14ac:dyDescent="0.25">
      <c r="A61" s="470" t="str">
        <f t="shared" si="2"/>
        <v/>
      </c>
      <c r="B61" s="456">
        <f>IF(LEFT(C61,16)="Terima Pajak PPN",VLOOKUP(P61,COPY!$A$1:$AC$1000,21,FALSE),IF(LEFT(C61,16)="Terima Pajak PPH",VLOOKUP(P61,COPY!$A$1:$AC$1000,21,FALSE),IF(LEFT(C61,13)="Terima PPh 23",VLOOKUP(P61,COPY!$A$1:$AC$1000,21,FALSE),0)))</f>
        <v>0</v>
      </c>
      <c r="C61" s="457">
        <f>IFERROR(IF(LEFT(VLOOKUP(P61,COPY!$A$1:$AC$1000,29,FALSE),5)="Terim",VLOOKUP(P61,COPY!$A$1:$AC$1000,29,FALSE),0),0)</f>
        <v>0</v>
      </c>
      <c r="D61" s="457"/>
      <c r="E61" s="457"/>
      <c r="F61" s="458">
        <f>IFERROR(IF(LEFT(VLOOKUP(P61,COPY!$A$1:$AC$1000,29,FALSE),5)="Terim",VLOOKUP(P61,COPY!$A$1:$AC$1000,26,FALSE),0),0)</f>
        <v>0</v>
      </c>
      <c r="G61" s="459">
        <f>IFERROR(VLOOKUP(P61,COPY!$A$1:$L$1000,4,FALSE),0)</f>
        <v>0</v>
      </c>
      <c r="H61" s="457">
        <f>IFERROR(VLOOKUP(P61,COPY!$A$1:$L$1000,2,FALSE),0)</f>
        <v>0</v>
      </c>
      <c r="I61" s="510">
        <f>IFERROR(VLOOKUP(P61,COPY!$A$1:$L$1000,10,FALSE),0)</f>
        <v>0</v>
      </c>
      <c r="J61" s="467">
        <f>IFERROR(VLOOKUP(P61,COPY!$A$1:$L$1000,8,FALSE),0)</f>
        <v>0</v>
      </c>
      <c r="K61" s="457">
        <f>IFERROR(VLOOKUP(P61,COPY!$A$1:$L$1000,7,FALSE),0)</f>
        <v>0</v>
      </c>
      <c r="L61" s="468">
        <f>IFERROR(VLOOKUP(P61,COPY!$A$1:$O$1000,15,FALSE),0)</f>
        <v>0</v>
      </c>
      <c r="M61" s="468">
        <f>IFERROR(VLOOKUP(P61,COPY!$A$1:$L$1000,12,FALSE),0)</f>
        <v>0</v>
      </c>
      <c r="N61" s="469">
        <f>IF(H61="Jasa",VLOOKUP('BKU 3'!K61,'Rekap Gaji'!$D$12:$I$26,6,FALSE),(IF(H61="Beli",VLOOKUP(P61,COPY!$A$1:$L$1000,11,FALSE),IF(H61="Bayar Ongkos",VLOOKUP(K61,'Rekap Gaji'!$D$12:$I$26,6,FALSE),0))))</f>
        <v>0</v>
      </c>
      <c r="O61" s="470"/>
      <c r="P61" s="466" t="str">
        <f t="shared" si="0"/>
        <v/>
      </c>
      <c r="Q61" s="253">
        <f t="shared" si="3"/>
        <v>0</v>
      </c>
      <c r="R61" s="253">
        <f t="shared" si="4"/>
        <v>0</v>
      </c>
      <c r="S61" s="449">
        <f t="shared" si="5"/>
        <v>29</v>
      </c>
      <c r="T61" s="253">
        <f t="shared" si="6"/>
        <v>29</v>
      </c>
      <c r="U61" s="457" t="str">
        <f t="shared" si="1"/>
        <v xml:space="preserve"> </v>
      </c>
    </row>
    <row r="62" spans="1:21" ht="20.100000000000001" hidden="1" customHeight="1" x14ac:dyDescent="0.25">
      <c r="A62" s="470" t="str">
        <f t="shared" si="2"/>
        <v/>
      </c>
      <c r="B62" s="456">
        <f>IF(LEFT(C62,16)="Terima Pajak PPN",VLOOKUP(P62,COPY!$A$1:$AC$1000,21,FALSE),IF(LEFT(C62,16)="Terima Pajak PPH",VLOOKUP(P62,COPY!$A$1:$AC$1000,21,FALSE),IF(LEFT(C62,13)="Terima PPh 23",VLOOKUP(P62,COPY!$A$1:$AC$1000,21,FALSE),0)))</f>
        <v>0</v>
      </c>
      <c r="C62" s="457">
        <f>IFERROR(IF(LEFT(VLOOKUP(P62,COPY!$A$1:$AC$1000,29,FALSE),5)="Terim",VLOOKUP(P62,COPY!$A$1:$AC$1000,29,FALSE),0),0)</f>
        <v>0</v>
      </c>
      <c r="D62" s="457"/>
      <c r="E62" s="457"/>
      <c r="F62" s="458">
        <f>IFERROR(IF(LEFT(VLOOKUP(P62,COPY!$A$1:$AC$1000,29,FALSE),5)="Terim",VLOOKUP(P62,COPY!$A$1:$AC$1000,26,FALSE),0),0)</f>
        <v>0</v>
      </c>
      <c r="G62" s="459">
        <f>IFERROR(VLOOKUP(P62,COPY!$A$1:$L$1000,4,FALSE),0)</f>
        <v>0</v>
      </c>
      <c r="H62" s="457">
        <f>IFERROR(VLOOKUP(P62,COPY!$A$1:$L$1000,2,FALSE),0)</f>
        <v>0</v>
      </c>
      <c r="I62" s="510">
        <f>IFERROR(VLOOKUP(P62,COPY!$A$1:$L$1000,10,FALSE),0)</f>
        <v>0</v>
      </c>
      <c r="J62" s="467">
        <f>IFERROR(VLOOKUP(P62,COPY!$A$1:$L$1000,8,FALSE),0)</f>
        <v>0</v>
      </c>
      <c r="K62" s="457">
        <f>IFERROR(VLOOKUP(P62,COPY!$A$1:$L$1000,7,FALSE),0)</f>
        <v>0</v>
      </c>
      <c r="L62" s="468">
        <f>IFERROR(VLOOKUP(P62,COPY!$A$1:$O$1000,15,FALSE),0)</f>
        <v>0</v>
      </c>
      <c r="M62" s="468">
        <f>IFERROR(VLOOKUP(P62,COPY!$A$1:$L$1000,12,FALSE),0)</f>
        <v>0</v>
      </c>
      <c r="N62" s="469">
        <f>IF(H62="Jasa",VLOOKUP('BKU 3'!K62,'Rekap Gaji'!$D$12:$I$26,6,FALSE),(IF(H62="Beli",VLOOKUP(P62,COPY!$A$1:$L$1000,11,FALSE),IF(H62="Bayar Ongkos",VLOOKUP(K62,'Rekap Gaji'!$D$12:$I$26,6,FALSE),0))))</f>
        <v>0</v>
      </c>
      <c r="P62" s="466" t="str">
        <f t="shared" si="0"/>
        <v/>
      </c>
      <c r="Q62" s="253">
        <f t="shared" si="3"/>
        <v>0</v>
      </c>
      <c r="R62" s="253">
        <f t="shared" si="4"/>
        <v>0</v>
      </c>
      <c r="S62" s="449">
        <f t="shared" si="5"/>
        <v>30</v>
      </c>
      <c r="T62" s="253">
        <f t="shared" si="6"/>
        <v>30</v>
      </c>
      <c r="U62" s="457" t="str">
        <f t="shared" si="1"/>
        <v xml:space="preserve"> </v>
      </c>
    </row>
    <row r="63" spans="1:21" ht="20.100000000000001" hidden="1" customHeight="1" x14ac:dyDescent="0.25">
      <c r="A63" s="470" t="str">
        <f t="shared" si="2"/>
        <v/>
      </c>
      <c r="B63" s="456">
        <f>IF(LEFT(C63,16)="Terima Pajak PPN",VLOOKUP(P63,COPY!$A$1:$AC$1000,21,FALSE),IF(LEFT(C63,16)="Terima Pajak PPH",VLOOKUP(P63,COPY!$A$1:$AC$1000,21,FALSE),IF(LEFT(C63,13)="Terima PPh 23",VLOOKUP(P63,COPY!$A$1:$AC$1000,21,FALSE),0)))</f>
        <v>0</v>
      </c>
      <c r="C63" s="457">
        <f>IFERROR(IF(LEFT(VLOOKUP(P63,COPY!$A$1:$AC$1000,29,FALSE),5)="Terim",VLOOKUP(P63,COPY!$A$1:$AC$1000,29,FALSE),0),0)</f>
        <v>0</v>
      </c>
      <c r="D63" s="457"/>
      <c r="E63" s="457"/>
      <c r="F63" s="458">
        <f>IFERROR(IF(LEFT(VLOOKUP(P63,COPY!$A$1:$AC$1000,29,FALSE),5)="Terim",VLOOKUP(P63,COPY!$A$1:$AC$1000,26,FALSE),0),0)</f>
        <v>0</v>
      </c>
      <c r="G63" s="459">
        <f>IFERROR(VLOOKUP(P63,COPY!$A$1:$L$1000,4,FALSE),0)</f>
        <v>0</v>
      </c>
      <c r="H63" s="457">
        <f>IFERROR(VLOOKUP(P63,COPY!$A$1:$L$1000,2,FALSE),0)</f>
        <v>0</v>
      </c>
      <c r="I63" s="510">
        <f>IFERROR(VLOOKUP(P63,COPY!$A$1:$L$1000,10,FALSE),0)</f>
        <v>0</v>
      </c>
      <c r="J63" s="467">
        <f>IFERROR(VLOOKUP(P63,COPY!$A$1:$L$1000,8,FALSE),0)</f>
        <v>0</v>
      </c>
      <c r="K63" s="457">
        <f>IFERROR(VLOOKUP(P63,COPY!$A$1:$L$1000,7,FALSE),0)</f>
        <v>0</v>
      </c>
      <c r="L63" s="468">
        <f>IFERROR(VLOOKUP(P63,COPY!$A$1:$O$1000,15,FALSE),0)</f>
        <v>0</v>
      </c>
      <c r="M63" s="468">
        <f>IFERROR(VLOOKUP(P63,COPY!$A$1:$L$1000,12,FALSE),0)</f>
        <v>0</v>
      </c>
      <c r="N63" s="469">
        <f>IF(H63="Jasa",VLOOKUP('BKU 3'!K63,'Rekap Gaji'!$D$12:$I$26,6,FALSE),(IF(H63="Beli",VLOOKUP(P63,COPY!$A$1:$L$1000,11,FALSE),IF(H63="Bayar Ongkos",VLOOKUP(K63,'Rekap Gaji'!$D$12:$I$26,6,FALSE),0))))</f>
        <v>0</v>
      </c>
      <c r="O63" s="470"/>
      <c r="P63" s="466" t="str">
        <f t="shared" si="0"/>
        <v/>
      </c>
      <c r="Q63" s="253">
        <f t="shared" si="3"/>
        <v>0</v>
      </c>
      <c r="R63" s="253">
        <f t="shared" si="4"/>
        <v>0</v>
      </c>
      <c r="S63" s="449">
        <f t="shared" si="5"/>
        <v>31</v>
      </c>
      <c r="T63" s="253">
        <f t="shared" si="6"/>
        <v>31</v>
      </c>
      <c r="U63" s="457" t="str">
        <f t="shared" si="1"/>
        <v xml:space="preserve"> </v>
      </c>
    </row>
    <row r="64" spans="1:21" ht="20.100000000000001" hidden="1" customHeight="1" x14ac:dyDescent="0.25">
      <c r="A64" s="470" t="str">
        <f t="shared" si="2"/>
        <v/>
      </c>
      <c r="B64" s="456">
        <f>IF(LEFT(C64,16)="Terima Pajak PPN",VLOOKUP(P64,COPY!$A$1:$AC$1000,21,FALSE),IF(LEFT(C64,16)="Terima Pajak PPH",VLOOKUP(P64,COPY!$A$1:$AC$1000,21,FALSE),IF(LEFT(C64,13)="Terima PPh 23",VLOOKUP(P64,COPY!$A$1:$AC$1000,21,FALSE),0)))</f>
        <v>0</v>
      </c>
      <c r="C64" s="457">
        <f>IFERROR(IF(LEFT(VLOOKUP(P64,COPY!$A$1:$AC$1000,29,FALSE),5)="Terim",VLOOKUP(P64,COPY!$A$1:$AC$1000,29,FALSE),0),0)</f>
        <v>0</v>
      </c>
      <c r="D64" s="457"/>
      <c r="E64" s="457"/>
      <c r="F64" s="458">
        <f>IFERROR(IF(LEFT(VLOOKUP(P64,COPY!$A$1:$AC$1000,29,FALSE),5)="Terim",VLOOKUP(P64,COPY!$A$1:$AC$1000,26,FALSE),0),0)</f>
        <v>0</v>
      </c>
      <c r="G64" s="459">
        <f>IFERROR(VLOOKUP(P64,COPY!$A$1:$L$1000,4,FALSE),0)</f>
        <v>0</v>
      </c>
      <c r="H64" s="457">
        <f>IFERROR(VLOOKUP(P64,COPY!$A$1:$L$1000,2,FALSE),0)</f>
        <v>0</v>
      </c>
      <c r="I64" s="510">
        <f>IFERROR(VLOOKUP(P64,COPY!$A$1:$L$1000,10,FALSE),0)</f>
        <v>0</v>
      </c>
      <c r="J64" s="467">
        <f>IFERROR(VLOOKUP(P64,COPY!$A$1:$L$1000,8,FALSE),0)</f>
        <v>0</v>
      </c>
      <c r="K64" s="457">
        <f>IFERROR(VLOOKUP(P64,COPY!$A$1:$L$1000,7,FALSE),0)</f>
        <v>0</v>
      </c>
      <c r="L64" s="468">
        <f>IFERROR(VLOOKUP(P64,COPY!$A$1:$O$1000,15,FALSE),0)</f>
        <v>0</v>
      </c>
      <c r="M64" s="468">
        <f>IFERROR(VLOOKUP(P64,COPY!$A$1:$L$1000,12,FALSE),0)</f>
        <v>0</v>
      </c>
      <c r="N64" s="469">
        <f>IF(H64="Jasa",VLOOKUP('BKU 3'!K64,'Rekap Gaji'!$D$12:$I$26,6,FALSE),(IF(H64="Beli",VLOOKUP(P64,COPY!$A$1:$L$1000,11,FALSE),IF(H64="Bayar Ongkos",VLOOKUP(K64,'Rekap Gaji'!$D$12:$I$26,6,FALSE),0))))</f>
        <v>0</v>
      </c>
      <c r="O64" s="470"/>
      <c r="P64" s="466" t="str">
        <f t="shared" si="0"/>
        <v/>
      </c>
      <c r="Q64" s="253">
        <f t="shared" si="3"/>
        <v>0</v>
      </c>
      <c r="R64" s="253">
        <f t="shared" si="4"/>
        <v>0</v>
      </c>
      <c r="S64" s="449">
        <f t="shared" si="5"/>
        <v>32</v>
      </c>
      <c r="T64" s="253">
        <f t="shared" si="6"/>
        <v>32</v>
      </c>
      <c r="U64" s="457" t="str">
        <f t="shared" si="1"/>
        <v xml:space="preserve"> </v>
      </c>
    </row>
    <row r="65" spans="1:21" ht="20.100000000000001" hidden="1" customHeight="1" x14ac:dyDescent="0.25">
      <c r="A65" s="470" t="str">
        <f t="shared" si="2"/>
        <v/>
      </c>
      <c r="B65" s="456">
        <f>IF(LEFT(C65,16)="Terima Pajak PPN",VLOOKUP(P65,COPY!$A$1:$AC$1000,21,FALSE),IF(LEFT(C65,16)="Terima Pajak PPH",VLOOKUP(P65,COPY!$A$1:$AC$1000,21,FALSE),IF(LEFT(C65,13)="Terima PPh 23",VLOOKUP(P65,COPY!$A$1:$AC$1000,21,FALSE),0)))</f>
        <v>0</v>
      </c>
      <c r="C65" s="457">
        <f>IFERROR(IF(LEFT(VLOOKUP(P65,COPY!$A$1:$AC$1000,29,FALSE),5)="Terim",VLOOKUP(P65,COPY!$A$1:$AC$1000,29,FALSE),0),0)</f>
        <v>0</v>
      </c>
      <c r="D65" s="457"/>
      <c r="E65" s="457"/>
      <c r="F65" s="458">
        <f>IFERROR(IF(LEFT(VLOOKUP(P65,COPY!$A$1:$AC$1000,29,FALSE),5)="Terim",VLOOKUP(P65,COPY!$A$1:$AC$1000,26,FALSE),0),0)</f>
        <v>0</v>
      </c>
      <c r="G65" s="459">
        <f>IFERROR(VLOOKUP(P65,COPY!$A$1:$L$1000,4,FALSE),0)</f>
        <v>0</v>
      </c>
      <c r="H65" s="457">
        <f>IFERROR(VLOOKUP(P65,COPY!$A$1:$L$1000,2,FALSE),0)</f>
        <v>0</v>
      </c>
      <c r="I65" s="510">
        <f>IFERROR(VLOOKUP(P65,COPY!$A$1:$L$1000,10,FALSE),0)</f>
        <v>0</v>
      </c>
      <c r="J65" s="467">
        <f>IFERROR(VLOOKUP(P65,COPY!$A$1:$L$1000,8,FALSE),0)</f>
        <v>0</v>
      </c>
      <c r="K65" s="457">
        <f>IFERROR(VLOOKUP(P65,COPY!$A$1:$L$1000,7,FALSE),0)</f>
        <v>0</v>
      </c>
      <c r="L65" s="468">
        <f>IFERROR(VLOOKUP(P65,COPY!$A$1:$O$1000,15,FALSE),0)</f>
        <v>0</v>
      </c>
      <c r="M65" s="468">
        <f>IFERROR(VLOOKUP(P65,COPY!$A$1:$L$1000,12,FALSE),0)</f>
        <v>0</v>
      </c>
      <c r="N65" s="469">
        <f>IF(H65="Jasa",VLOOKUP('BKU 3'!K65,'Rekap Gaji'!$D$12:$I$26,6,FALSE),(IF(H65="Beli",VLOOKUP(P65,COPY!$A$1:$L$1000,11,FALSE),IF(H65="Bayar Ongkos",VLOOKUP(K65,'Rekap Gaji'!$D$12:$I$26,6,FALSE),0))))</f>
        <v>0</v>
      </c>
      <c r="P65" s="466" t="str">
        <f t="shared" si="0"/>
        <v/>
      </c>
      <c r="Q65" s="253">
        <f t="shared" si="3"/>
        <v>0</v>
      </c>
      <c r="R65" s="253">
        <f t="shared" si="4"/>
        <v>0</v>
      </c>
      <c r="S65" s="449">
        <f t="shared" si="5"/>
        <v>33</v>
      </c>
      <c r="T65" s="253">
        <f t="shared" si="6"/>
        <v>33</v>
      </c>
      <c r="U65" s="457" t="str">
        <f t="shared" si="1"/>
        <v xml:space="preserve"> </v>
      </c>
    </row>
    <row r="66" spans="1:21" ht="20.100000000000001" hidden="1" customHeight="1" x14ac:dyDescent="0.25">
      <c r="A66" s="470" t="str">
        <f t="shared" si="2"/>
        <v/>
      </c>
      <c r="B66" s="456">
        <f>IF(LEFT(C66,16)="Terima Pajak PPN",VLOOKUP(P66,COPY!$A$1:$AC$1000,21,FALSE),IF(LEFT(C66,16)="Terima Pajak PPH",VLOOKUP(P66,COPY!$A$1:$AC$1000,21,FALSE),IF(LEFT(C66,13)="Terima PPh 23",VLOOKUP(P66,COPY!$A$1:$AC$1000,21,FALSE),0)))</f>
        <v>0</v>
      </c>
      <c r="C66" s="457">
        <f>IFERROR(IF(LEFT(VLOOKUP(P66,COPY!$A$1:$AC$1000,29,FALSE),5)="Terim",VLOOKUP(P66,COPY!$A$1:$AC$1000,29,FALSE),0),0)</f>
        <v>0</v>
      </c>
      <c r="D66" s="457"/>
      <c r="E66" s="457"/>
      <c r="F66" s="458">
        <f>IFERROR(IF(LEFT(VLOOKUP(P66,COPY!$A$1:$AC$1000,29,FALSE),5)="Terim",VLOOKUP(P66,COPY!$A$1:$AC$1000,26,FALSE),0),0)</f>
        <v>0</v>
      </c>
      <c r="G66" s="459">
        <f>IFERROR(VLOOKUP(P66,COPY!$A$1:$L$1000,4,FALSE),0)</f>
        <v>0</v>
      </c>
      <c r="H66" s="457">
        <f>IFERROR(VLOOKUP(P66,COPY!$A$1:$L$1000,2,FALSE),0)</f>
        <v>0</v>
      </c>
      <c r="I66" s="510">
        <f>IFERROR(VLOOKUP(P66,COPY!$A$1:$L$1000,10,FALSE),0)</f>
        <v>0</v>
      </c>
      <c r="J66" s="467">
        <f>IFERROR(VLOOKUP(P66,COPY!$A$1:$L$1000,8,FALSE),0)</f>
        <v>0</v>
      </c>
      <c r="K66" s="457">
        <f>IFERROR(VLOOKUP(P66,COPY!$A$1:$L$1000,7,FALSE),0)</f>
        <v>0</v>
      </c>
      <c r="L66" s="468">
        <f>IFERROR(VLOOKUP(P66,COPY!$A$1:$O$1000,15,FALSE),0)</f>
        <v>0</v>
      </c>
      <c r="M66" s="468">
        <f>IFERROR(VLOOKUP(P66,COPY!$A$1:$L$1000,12,FALSE),0)</f>
        <v>0</v>
      </c>
      <c r="N66" s="469">
        <f>IF(H66="Jasa",VLOOKUP('BKU 3'!K66,'Rekap Gaji'!$D$12:$I$26,6,FALSE),(IF(H66="Beli",VLOOKUP(P66,COPY!$A$1:$L$1000,11,FALSE),IF(H66="Bayar Ongkos",VLOOKUP(K66,'Rekap Gaji'!$D$12:$I$26,6,FALSE),0))))</f>
        <v>0</v>
      </c>
      <c r="P66" s="466" t="str">
        <f t="shared" si="0"/>
        <v/>
      </c>
      <c r="Q66" s="253">
        <f t="shared" si="3"/>
        <v>0</v>
      </c>
      <c r="R66" s="253">
        <f t="shared" si="4"/>
        <v>0</v>
      </c>
      <c r="S66" s="449">
        <f t="shared" si="5"/>
        <v>34</v>
      </c>
      <c r="T66" s="253">
        <f t="shared" si="6"/>
        <v>34</v>
      </c>
      <c r="U66" s="457" t="str">
        <f t="shared" si="1"/>
        <v xml:space="preserve"> </v>
      </c>
    </row>
    <row r="67" spans="1:21" ht="20.100000000000001" hidden="1" customHeight="1" x14ac:dyDescent="0.25">
      <c r="A67" s="470" t="str">
        <f t="shared" si="2"/>
        <v/>
      </c>
      <c r="B67" s="456">
        <f>IF(LEFT(C67,16)="Terima Pajak PPN",VLOOKUP(P67,COPY!$A$1:$AC$1000,21,FALSE),IF(LEFT(C67,16)="Terima Pajak PPH",VLOOKUP(P67,COPY!$A$1:$AC$1000,21,FALSE),IF(LEFT(C67,13)="Terima PPh 23",VLOOKUP(P67,COPY!$A$1:$AC$1000,21,FALSE),0)))</f>
        <v>0</v>
      </c>
      <c r="C67" s="457">
        <f>IFERROR(IF(LEFT(VLOOKUP(P67,COPY!$A$1:$AC$1000,29,FALSE),5)="Terim",VLOOKUP(P67,COPY!$A$1:$AC$1000,29,FALSE),0),0)</f>
        <v>0</v>
      </c>
      <c r="D67" s="457"/>
      <c r="E67" s="457"/>
      <c r="F67" s="458">
        <f>IFERROR(IF(LEFT(VLOOKUP(P67,COPY!$A$1:$AC$1000,29,FALSE),5)="Terim",VLOOKUP(P67,COPY!$A$1:$AC$1000,26,FALSE),0),0)</f>
        <v>0</v>
      </c>
      <c r="G67" s="459">
        <f>IFERROR(VLOOKUP(P67,COPY!$A$1:$L$1000,4,FALSE),0)</f>
        <v>0</v>
      </c>
      <c r="H67" s="457">
        <f>IFERROR(VLOOKUP(P67,COPY!$A$1:$L$1000,2,FALSE),0)</f>
        <v>0</v>
      </c>
      <c r="I67" s="510">
        <f>IFERROR(VLOOKUP(P67,COPY!$A$1:$L$1000,10,FALSE),0)</f>
        <v>0</v>
      </c>
      <c r="J67" s="467">
        <f>IFERROR(VLOOKUP(P67,COPY!$A$1:$L$1000,8,FALSE),0)</f>
        <v>0</v>
      </c>
      <c r="K67" s="457">
        <f>IFERROR(VLOOKUP(P67,COPY!$A$1:$L$1000,7,FALSE),0)</f>
        <v>0</v>
      </c>
      <c r="L67" s="468">
        <f>IFERROR(VLOOKUP(P67,COPY!$A$1:$O$1000,15,FALSE),0)</f>
        <v>0</v>
      </c>
      <c r="M67" s="468">
        <f>IFERROR(VLOOKUP(P67,COPY!$A$1:$L$1000,12,FALSE),0)</f>
        <v>0</v>
      </c>
      <c r="N67" s="469">
        <f>IF(H67="Jasa",VLOOKUP('BKU 3'!K67,'Rekap Gaji'!$D$12:$I$26,6,FALSE),(IF(H67="Beli",VLOOKUP(P67,COPY!$A$1:$L$1000,11,FALSE),IF(H67="Bayar Ongkos",VLOOKUP(K67,'Rekap Gaji'!$D$12:$I$26,6,FALSE),0))))</f>
        <v>0</v>
      </c>
      <c r="P67" s="466" t="str">
        <f t="shared" si="0"/>
        <v/>
      </c>
      <c r="Q67" s="253">
        <f t="shared" si="3"/>
        <v>0</v>
      </c>
      <c r="R67" s="253">
        <f t="shared" si="4"/>
        <v>0</v>
      </c>
      <c r="S67" s="449">
        <f t="shared" si="5"/>
        <v>35</v>
      </c>
      <c r="T67" s="253">
        <f t="shared" si="6"/>
        <v>35</v>
      </c>
      <c r="U67" s="457" t="str">
        <f t="shared" si="1"/>
        <v xml:space="preserve"> </v>
      </c>
    </row>
    <row r="68" spans="1:21" ht="20.100000000000001" hidden="1" customHeight="1" x14ac:dyDescent="0.25">
      <c r="A68" s="470" t="str">
        <f t="shared" si="2"/>
        <v/>
      </c>
      <c r="B68" s="456">
        <f>IF(LEFT(C68,16)="Terima Pajak PPN",VLOOKUP(P68,COPY!$A$1:$AC$1000,21,FALSE),IF(LEFT(C68,16)="Terima Pajak PPH",VLOOKUP(P68,COPY!$A$1:$AC$1000,21,FALSE),IF(LEFT(C68,13)="Terima PPh 23",VLOOKUP(P68,COPY!$A$1:$AC$1000,21,FALSE),0)))</f>
        <v>0</v>
      </c>
      <c r="C68" s="457">
        <f>IFERROR(IF(LEFT(VLOOKUP(P68,COPY!$A$1:$AC$1000,29,FALSE),5)="Terim",VLOOKUP(P68,COPY!$A$1:$AC$1000,29,FALSE),0),0)</f>
        <v>0</v>
      </c>
      <c r="D68" s="457"/>
      <c r="E68" s="457"/>
      <c r="F68" s="458">
        <f>IFERROR(IF(LEFT(VLOOKUP(P68,COPY!$A$1:$AC$1000,29,FALSE),5)="Terim",VLOOKUP(P68,COPY!$A$1:$AC$1000,26,FALSE),0),0)</f>
        <v>0</v>
      </c>
      <c r="G68" s="459">
        <f>IFERROR(VLOOKUP(P68,COPY!$A$1:$L$1000,4,FALSE),0)</f>
        <v>0</v>
      </c>
      <c r="H68" s="457">
        <f>IFERROR(VLOOKUP(P68,COPY!$A$1:$L$1000,2,FALSE),0)</f>
        <v>0</v>
      </c>
      <c r="I68" s="510">
        <f>IFERROR(VLOOKUP(P68,COPY!$A$1:$L$1000,10,FALSE),0)</f>
        <v>0</v>
      </c>
      <c r="J68" s="467">
        <f>IFERROR(VLOOKUP(P68,COPY!$A$1:$L$1000,8,FALSE),0)</f>
        <v>0</v>
      </c>
      <c r="K68" s="457">
        <f>IFERROR(VLOOKUP(P68,COPY!$A$1:$L$1000,7,FALSE),0)</f>
        <v>0</v>
      </c>
      <c r="L68" s="468">
        <f>IFERROR(VLOOKUP(P68,COPY!$A$1:$O$1000,15,FALSE),0)</f>
        <v>0</v>
      </c>
      <c r="M68" s="468">
        <f>IFERROR(VLOOKUP(P68,COPY!$A$1:$L$1000,12,FALSE),0)</f>
        <v>0</v>
      </c>
      <c r="N68" s="469">
        <f>IF(H68="Jasa",VLOOKUP('BKU 3'!K68,'Rekap Gaji'!$D$12:$I$26,6,FALSE),(IF(H68="Beli",VLOOKUP(P68,COPY!$A$1:$L$1000,11,FALSE),IF(H68="Bayar Ongkos",VLOOKUP(K68,'Rekap Gaji'!$D$12:$I$26,6,FALSE),0))))</f>
        <v>0</v>
      </c>
      <c r="P68" s="466" t="str">
        <f t="shared" si="0"/>
        <v/>
      </c>
      <c r="Q68" s="253">
        <f t="shared" si="3"/>
        <v>0</v>
      </c>
      <c r="R68" s="253">
        <f t="shared" si="4"/>
        <v>0</v>
      </c>
      <c r="S68" s="449">
        <f t="shared" si="5"/>
        <v>36</v>
      </c>
      <c r="T68" s="253">
        <f t="shared" si="6"/>
        <v>36</v>
      </c>
      <c r="U68" s="457" t="str">
        <f t="shared" si="1"/>
        <v xml:space="preserve"> </v>
      </c>
    </row>
    <row r="69" spans="1:21" ht="20.100000000000001" hidden="1" customHeight="1" x14ac:dyDescent="0.25">
      <c r="A69" s="470" t="str">
        <f t="shared" si="2"/>
        <v/>
      </c>
      <c r="B69" s="456">
        <f>IF(LEFT(C69,16)="Terima Pajak PPN",VLOOKUP(P69,COPY!$A$1:$AC$1000,21,FALSE),IF(LEFT(C69,16)="Terima Pajak PPH",VLOOKUP(P69,COPY!$A$1:$AC$1000,21,FALSE),IF(LEFT(C69,13)="Terima PPh 23",VLOOKUP(P69,COPY!$A$1:$AC$1000,21,FALSE),0)))</f>
        <v>0</v>
      </c>
      <c r="C69" s="457">
        <f>IFERROR(IF(LEFT(VLOOKUP(P69,COPY!$A$1:$AC$1000,29,FALSE),5)="Terim",VLOOKUP(P69,COPY!$A$1:$AC$1000,29,FALSE),0),0)</f>
        <v>0</v>
      </c>
      <c r="D69" s="457"/>
      <c r="E69" s="457"/>
      <c r="F69" s="458">
        <f>IFERROR(IF(LEFT(VLOOKUP(P69,COPY!$A$1:$AC$1000,29,FALSE),5)="Terim",VLOOKUP(P69,COPY!$A$1:$AC$1000,26,FALSE),0),0)</f>
        <v>0</v>
      </c>
      <c r="G69" s="459">
        <f>IFERROR(VLOOKUP(P69,COPY!$A$1:$L$1000,4,FALSE),0)</f>
        <v>0</v>
      </c>
      <c r="H69" s="457">
        <f>IFERROR(VLOOKUP(P69,COPY!$A$1:$L$1000,2,FALSE),0)</f>
        <v>0</v>
      </c>
      <c r="I69" s="510">
        <f>IFERROR(VLOOKUP(P69,COPY!$A$1:$L$1000,10,FALSE),0)</f>
        <v>0</v>
      </c>
      <c r="J69" s="467">
        <f>IFERROR(VLOOKUP(P69,COPY!$A$1:$L$1000,8,FALSE),0)</f>
        <v>0</v>
      </c>
      <c r="K69" s="457">
        <f>IFERROR(VLOOKUP(P69,COPY!$A$1:$L$1000,7,FALSE),0)</f>
        <v>0</v>
      </c>
      <c r="L69" s="468">
        <f>IFERROR(VLOOKUP(P69,COPY!$A$1:$O$1000,15,FALSE),0)</f>
        <v>0</v>
      </c>
      <c r="M69" s="468">
        <f>IFERROR(VLOOKUP(P69,COPY!$A$1:$L$1000,12,FALSE),0)</f>
        <v>0</v>
      </c>
      <c r="N69" s="469">
        <f>IF(H69="Jasa",VLOOKUP('BKU 3'!K69,'Rekap Gaji'!$D$12:$I$26,6,FALSE),(IF(H69="Beli",VLOOKUP(P69,COPY!$A$1:$L$1000,11,FALSE),IF(H69="Bayar Ongkos",VLOOKUP(K69,'Rekap Gaji'!$D$12:$I$26,6,FALSE),0))))</f>
        <v>0</v>
      </c>
      <c r="P69" s="466" t="str">
        <f t="shared" si="0"/>
        <v/>
      </c>
      <c r="Q69" s="253">
        <f t="shared" si="3"/>
        <v>0</v>
      </c>
      <c r="R69" s="253">
        <f t="shared" si="4"/>
        <v>0</v>
      </c>
      <c r="S69" s="449">
        <f t="shared" si="5"/>
        <v>37</v>
      </c>
      <c r="T69" s="253">
        <f t="shared" si="6"/>
        <v>37</v>
      </c>
      <c r="U69" s="457" t="str">
        <f t="shared" si="1"/>
        <v xml:space="preserve"> </v>
      </c>
    </row>
    <row r="70" spans="1:21" ht="20.100000000000001" hidden="1" customHeight="1" x14ac:dyDescent="0.25">
      <c r="A70" s="470" t="str">
        <f t="shared" si="2"/>
        <v/>
      </c>
      <c r="B70" s="456">
        <f>IF(LEFT(C70,16)="Terima Pajak PPN",VLOOKUP(P70,COPY!$A$1:$AC$1000,21,FALSE),IF(LEFT(C70,16)="Terima Pajak PPH",VLOOKUP(P70,COPY!$A$1:$AC$1000,21,FALSE),IF(LEFT(C70,13)="Terima PPh 23",VLOOKUP(P70,COPY!$A$1:$AC$1000,21,FALSE),0)))</f>
        <v>0</v>
      </c>
      <c r="C70" s="457">
        <f>IFERROR(IF(LEFT(VLOOKUP(P70,COPY!$A$1:$AC$1000,29,FALSE),5)="Terim",VLOOKUP(P70,COPY!$A$1:$AC$1000,29,FALSE),0),0)</f>
        <v>0</v>
      </c>
      <c r="D70" s="457"/>
      <c r="E70" s="457"/>
      <c r="F70" s="458">
        <f>IFERROR(IF(LEFT(VLOOKUP(P70,COPY!$A$1:$AC$1000,29,FALSE),5)="Terim",VLOOKUP(P70,COPY!$A$1:$AC$1000,26,FALSE),0),0)</f>
        <v>0</v>
      </c>
      <c r="G70" s="459">
        <f>IFERROR(VLOOKUP(P70,COPY!$A$1:$L$1000,4,FALSE),0)</f>
        <v>0</v>
      </c>
      <c r="H70" s="457">
        <f>IFERROR(VLOOKUP(P70,COPY!$A$1:$L$1000,2,FALSE),0)</f>
        <v>0</v>
      </c>
      <c r="I70" s="510">
        <f>IFERROR(VLOOKUP(P70,COPY!$A$1:$L$1000,10,FALSE),0)</f>
        <v>0</v>
      </c>
      <c r="J70" s="467">
        <f>IFERROR(VLOOKUP(P70,COPY!$A$1:$L$1000,8,FALSE),0)</f>
        <v>0</v>
      </c>
      <c r="K70" s="457">
        <f>IFERROR(VLOOKUP(P70,COPY!$A$1:$L$1000,7,FALSE),0)</f>
        <v>0</v>
      </c>
      <c r="L70" s="468">
        <f>IFERROR(VLOOKUP(P70,COPY!$A$1:$O$1000,15,FALSE),0)</f>
        <v>0</v>
      </c>
      <c r="M70" s="468">
        <f>IFERROR(VLOOKUP(P70,COPY!$A$1:$L$1000,12,FALSE),0)</f>
        <v>0</v>
      </c>
      <c r="N70" s="469">
        <f>IF(H70="Jasa",VLOOKUP('BKU 3'!K70,'Rekap Gaji'!$D$12:$I$26,6,FALSE),(IF(H70="Beli",VLOOKUP(P70,COPY!$A$1:$L$1000,11,FALSE),IF(H70="Bayar Ongkos",VLOOKUP(K70,'Rekap Gaji'!$D$12:$I$26,6,FALSE),0))))</f>
        <v>0</v>
      </c>
      <c r="O70" s="470"/>
      <c r="P70" s="466" t="str">
        <f t="shared" si="0"/>
        <v/>
      </c>
      <c r="Q70" s="253">
        <f t="shared" si="3"/>
        <v>0</v>
      </c>
      <c r="R70" s="253">
        <f t="shared" si="4"/>
        <v>0</v>
      </c>
      <c r="S70" s="449">
        <f t="shared" si="5"/>
        <v>38</v>
      </c>
      <c r="T70" s="253">
        <f t="shared" si="6"/>
        <v>38</v>
      </c>
      <c r="U70" s="457" t="str">
        <f t="shared" si="1"/>
        <v xml:space="preserve"> </v>
      </c>
    </row>
    <row r="71" spans="1:21" ht="20.100000000000001" hidden="1" customHeight="1" x14ac:dyDescent="0.25">
      <c r="A71" s="470" t="str">
        <f t="shared" si="2"/>
        <v/>
      </c>
      <c r="B71" s="456">
        <f>IF(LEFT(C71,16)="Terima Pajak PPN",VLOOKUP(P71,COPY!$A$1:$AC$1000,21,FALSE),IF(LEFT(C71,16)="Terima Pajak PPH",VLOOKUP(P71,COPY!$A$1:$AC$1000,21,FALSE),IF(LEFT(C71,13)="Terima PPh 23",VLOOKUP(P71,COPY!$A$1:$AC$1000,21,FALSE),0)))</f>
        <v>0</v>
      </c>
      <c r="C71" s="457">
        <f>IFERROR(IF(LEFT(VLOOKUP(P71,COPY!$A$1:$AC$1000,29,FALSE),5)="Terim",VLOOKUP(P71,COPY!$A$1:$AC$1000,29,FALSE),0),0)</f>
        <v>0</v>
      </c>
      <c r="D71" s="457"/>
      <c r="E71" s="457"/>
      <c r="F71" s="458">
        <f>IFERROR(IF(LEFT(VLOOKUP(P71,COPY!$A$1:$AC$1000,29,FALSE),5)="Terim",VLOOKUP(P71,COPY!$A$1:$AC$1000,26,FALSE),0),0)</f>
        <v>0</v>
      </c>
      <c r="G71" s="459">
        <f>IFERROR(VLOOKUP(P71,COPY!$A$1:$L$1000,4,FALSE),0)</f>
        <v>0</v>
      </c>
      <c r="H71" s="457">
        <f>IFERROR(VLOOKUP(P71,COPY!$A$1:$L$1000,2,FALSE),0)</f>
        <v>0</v>
      </c>
      <c r="I71" s="510">
        <f>IFERROR(VLOOKUP(P71,COPY!$A$1:$L$1000,10,FALSE),0)</f>
        <v>0</v>
      </c>
      <c r="J71" s="467">
        <f>IFERROR(VLOOKUP(P71,COPY!$A$1:$L$1000,8,FALSE),0)</f>
        <v>0</v>
      </c>
      <c r="K71" s="457">
        <f>IFERROR(VLOOKUP(P71,COPY!$A$1:$L$1000,7,FALSE),0)</f>
        <v>0</v>
      </c>
      <c r="L71" s="468">
        <f>IFERROR(VLOOKUP(P71,COPY!$A$1:$O$1000,15,FALSE),0)</f>
        <v>0</v>
      </c>
      <c r="M71" s="468">
        <f>IFERROR(VLOOKUP(P71,COPY!$A$1:$L$1000,12,FALSE),0)</f>
        <v>0</v>
      </c>
      <c r="N71" s="469">
        <f>IF(H71="Jasa",VLOOKUP('BKU 3'!K71,'Rekap Gaji'!$D$12:$I$26,6,FALSE),(IF(H71="Beli",VLOOKUP(P71,COPY!$A$1:$L$1000,11,FALSE),IF(H71="Bayar Ongkos",VLOOKUP(K71,'Rekap Gaji'!$D$12:$I$26,6,FALSE),0))))</f>
        <v>0</v>
      </c>
      <c r="P71" s="466" t="str">
        <f t="shared" si="0"/>
        <v/>
      </c>
      <c r="Q71" s="253">
        <f t="shared" si="3"/>
        <v>0</v>
      </c>
      <c r="R71" s="253">
        <f t="shared" si="4"/>
        <v>0</v>
      </c>
      <c r="S71" s="449">
        <f t="shared" si="5"/>
        <v>39</v>
      </c>
      <c r="T71" s="253">
        <f t="shared" si="6"/>
        <v>39</v>
      </c>
      <c r="U71" s="457" t="str">
        <f t="shared" si="1"/>
        <v xml:space="preserve"> </v>
      </c>
    </row>
    <row r="72" spans="1:21" ht="20.100000000000001" hidden="1" customHeight="1" x14ac:dyDescent="0.25">
      <c r="A72" s="470" t="str">
        <f t="shared" si="2"/>
        <v/>
      </c>
      <c r="B72" s="456">
        <f>IF(LEFT(C72,16)="Terima Pajak PPN",VLOOKUP(P72,COPY!$A$1:$AC$1000,21,FALSE),IF(LEFT(C72,16)="Terima Pajak PPH",VLOOKUP(P72,COPY!$A$1:$AC$1000,21,FALSE),IF(LEFT(C72,13)="Terima PPh 23",VLOOKUP(P72,COPY!$A$1:$AC$1000,21,FALSE),0)))</f>
        <v>0</v>
      </c>
      <c r="C72" s="457">
        <f>IFERROR(IF(LEFT(VLOOKUP(P72,COPY!$A$1:$AC$1000,29,FALSE),5)="Terim",VLOOKUP(P72,COPY!$A$1:$AC$1000,29,FALSE),0),0)</f>
        <v>0</v>
      </c>
      <c r="D72" s="457"/>
      <c r="E72" s="457"/>
      <c r="F72" s="458">
        <f>IFERROR(IF(LEFT(VLOOKUP(P72,COPY!$A$1:$AC$1000,29,FALSE),5)="Terim",VLOOKUP(P72,COPY!$A$1:$AC$1000,26,FALSE),0),0)</f>
        <v>0</v>
      </c>
      <c r="G72" s="459">
        <f>IFERROR(VLOOKUP(P72,COPY!$A$1:$L$1000,4,FALSE),0)</f>
        <v>0</v>
      </c>
      <c r="H72" s="457">
        <f>IFERROR(VLOOKUP(P72,COPY!$A$1:$L$1000,2,FALSE),0)</f>
        <v>0</v>
      </c>
      <c r="I72" s="510">
        <f>IFERROR(VLOOKUP(P72,COPY!$A$1:$L$1000,10,FALSE),0)</f>
        <v>0</v>
      </c>
      <c r="J72" s="467">
        <f>IFERROR(VLOOKUP(P72,COPY!$A$1:$L$1000,8,FALSE),0)</f>
        <v>0</v>
      </c>
      <c r="K72" s="457">
        <f>IFERROR(VLOOKUP(P72,COPY!$A$1:$L$1000,7,FALSE),0)</f>
        <v>0</v>
      </c>
      <c r="L72" s="468">
        <f>IFERROR(VLOOKUP(P72,COPY!$A$1:$O$1000,15,FALSE),0)</f>
        <v>0</v>
      </c>
      <c r="M72" s="468">
        <f>IFERROR(VLOOKUP(P72,COPY!$A$1:$L$1000,12,FALSE),0)</f>
        <v>0</v>
      </c>
      <c r="N72" s="469">
        <f>IF(H72="Jasa",VLOOKUP('BKU 3'!K72,'Rekap Gaji'!$D$12:$I$26,6,FALSE),(IF(H72="Beli",VLOOKUP(P72,COPY!$A$1:$L$1000,11,FALSE),IF(H72="Bayar Ongkos",VLOOKUP(K72,'Rekap Gaji'!$D$12:$I$26,6,FALSE),0))))</f>
        <v>0</v>
      </c>
      <c r="P72" s="466" t="str">
        <f t="shared" si="0"/>
        <v/>
      </c>
      <c r="Q72" s="253">
        <f t="shared" si="3"/>
        <v>0</v>
      </c>
      <c r="R72" s="253">
        <f t="shared" si="4"/>
        <v>0</v>
      </c>
      <c r="S72" s="449">
        <f t="shared" si="5"/>
        <v>40</v>
      </c>
      <c r="T72" s="253">
        <f t="shared" si="6"/>
        <v>40</v>
      </c>
      <c r="U72" s="457" t="str">
        <f t="shared" si="1"/>
        <v xml:space="preserve"> </v>
      </c>
    </row>
    <row r="73" spans="1:21" ht="20.100000000000001" hidden="1" customHeight="1" x14ac:dyDescent="0.25">
      <c r="A73" s="470" t="str">
        <f t="shared" si="2"/>
        <v/>
      </c>
      <c r="B73" s="456">
        <f>IF(LEFT(C73,16)="Terima Pajak PPN",VLOOKUP(P73,COPY!$A$1:$AC$1000,21,FALSE),IF(LEFT(C73,16)="Terima Pajak PPH",VLOOKUP(P73,COPY!$A$1:$AC$1000,21,FALSE),IF(LEFT(C73,13)="Terima PPh 23",VLOOKUP(P73,COPY!$A$1:$AC$1000,21,FALSE),0)))</f>
        <v>0</v>
      </c>
      <c r="C73" s="457">
        <f>IFERROR(IF(LEFT(VLOOKUP(P73,COPY!$A$1:$AC$1000,29,FALSE),5)="Terim",VLOOKUP(P73,COPY!$A$1:$AC$1000,29,FALSE),0),0)</f>
        <v>0</v>
      </c>
      <c r="D73" s="457"/>
      <c r="E73" s="457"/>
      <c r="F73" s="458">
        <f>IFERROR(IF(LEFT(VLOOKUP(P73,COPY!$A$1:$AC$1000,29,FALSE),5)="Terim",VLOOKUP(P73,COPY!$A$1:$AC$1000,26,FALSE),0),0)</f>
        <v>0</v>
      </c>
      <c r="G73" s="459">
        <f>IFERROR(VLOOKUP(P73,COPY!$A$1:$L$1000,4,FALSE),0)</f>
        <v>0</v>
      </c>
      <c r="H73" s="457">
        <f>IFERROR(VLOOKUP(P73,COPY!$A$1:$L$1000,2,FALSE),0)</f>
        <v>0</v>
      </c>
      <c r="I73" s="510">
        <f>IFERROR(VLOOKUP(P73,COPY!$A$1:$L$1000,10,FALSE),0)</f>
        <v>0</v>
      </c>
      <c r="J73" s="467">
        <f>IFERROR(VLOOKUP(P73,COPY!$A$1:$L$1000,8,FALSE),0)</f>
        <v>0</v>
      </c>
      <c r="K73" s="457">
        <f>IFERROR(VLOOKUP(P73,COPY!$A$1:$L$1000,7,FALSE),0)</f>
        <v>0</v>
      </c>
      <c r="L73" s="468">
        <f>IFERROR(VLOOKUP(P73,COPY!$A$1:$O$1000,15,FALSE),0)</f>
        <v>0</v>
      </c>
      <c r="M73" s="468">
        <f>IFERROR(VLOOKUP(P73,COPY!$A$1:$L$1000,12,FALSE),0)</f>
        <v>0</v>
      </c>
      <c r="N73" s="469">
        <f>IF(H73="Jasa",VLOOKUP('BKU 3'!K73,'Rekap Gaji'!$D$12:$I$26,6,FALSE),(IF(H73="Beli",VLOOKUP(P73,COPY!$A$1:$L$1000,11,FALSE),IF(H73="Bayar Ongkos",VLOOKUP(K73,'Rekap Gaji'!$D$12:$I$26,6,FALSE),0))))</f>
        <v>0</v>
      </c>
      <c r="O73" s="470"/>
      <c r="P73" s="466" t="str">
        <f t="shared" si="0"/>
        <v/>
      </c>
      <c r="Q73" s="253">
        <f t="shared" si="3"/>
        <v>0</v>
      </c>
      <c r="R73" s="253">
        <f t="shared" si="4"/>
        <v>0</v>
      </c>
      <c r="S73" s="449">
        <f t="shared" si="5"/>
        <v>41</v>
      </c>
      <c r="T73" s="253">
        <f t="shared" si="6"/>
        <v>41</v>
      </c>
      <c r="U73" s="457" t="str">
        <f t="shared" si="1"/>
        <v xml:space="preserve"> </v>
      </c>
    </row>
    <row r="74" spans="1:21" ht="20.100000000000001" hidden="1" customHeight="1" x14ac:dyDescent="0.25">
      <c r="A74" s="470" t="str">
        <f t="shared" si="2"/>
        <v/>
      </c>
      <c r="B74" s="456">
        <f>IF(LEFT(C74,16)="Terima Pajak PPN",VLOOKUP(P74,COPY!$A$1:$AC$1000,21,FALSE),IF(LEFT(C74,16)="Terima Pajak PPH",VLOOKUP(P74,COPY!$A$1:$AC$1000,21,FALSE),IF(LEFT(C74,13)="Terima PPh 23",VLOOKUP(P74,COPY!$A$1:$AC$1000,21,FALSE),0)))</f>
        <v>0</v>
      </c>
      <c r="C74" s="457">
        <f>IFERROR(IF(LEFT(VLOOKUP(P74,COPY!$A$1:$AC$1000,29,FALSE),5)="Terim",VLOOKUP(P74,COPY!$A$1:$AC$1000,29,FALSE),0),0)</f>
        <v>0</v>
      </c>
      <c r="D74" s="457"/>
      <c r="E74" s="457"/>
      <c r="F74" s="458">
        <f>IFERROR(IF(LEFT(VLOOKUP(P74,COPY!$A$1:$AC$1000,29,FALSE),5)="Terim",VLOOKUP(P74,COPY!$A$1:$AC$1000,26,FALSE),0),0)</f>
        <v>0</v>
      </c>
      <c r="G74" s="459">
        <f>IFERROR(VLOOKUP(P74,COPY!$A$1:$L$1000,4,FALSE),0)</f>
        <v>0</v>
      </c>
      <c r="H74" s="457">
        <f>IFERROR(VLOOKUP(P74,COPY!$A$1:$L$1000,2,FALSE),0)</f>
        <v>0</v>
      </c>
      <c r="I74" s="510">
        <f>IFERROR(VLOOKUP(P74,COPY!$A$1:$L$1000,10,FALSE),0)</f>
        <v>0</v>
      </c>
      <c r="J74" s="467">
        <f>IFERROR(VLOOKUP(P74,COPY!$A$1:$L$1000,8,FALSE),0)</f>
        <v>0</v>
      </c>
      <c r="K74" s="457">
        <f>IFERROR(VLOOKUP(P74,COPY!$A$1:$L$1000,7,FALSE),0)</f>
        <v>0</v>
      </c>
      <c r="L74" s="468">
        <f>IFERROR(VLOOKUP(P74,COPY!$A$1:$O$1000,15,FALSE),0)</f>
        <v>0</v>
      </c>
      <c r="M74" s="468">
        <f>IFERROR(VLOOKUP(P74,COPY!$A$1:$L$1000,12,FALSE),0)</f>
        <v>0</v>
      </c>
      <c r="N74" s="469">
        <f>IF(H74="Jasa",VLOOKUP('BKU 3'!K74,'Rekap Gaji'!$D$12:$I$26,6,FALSE),(IF(H74="Beli",VLOOKUP(P74,COPY!$A$1:$L$1000,11,FALSE),IF(H74="Bayar Ongkos",VLOOKUP(K74,'Rekap Gaji'!$D$12:$I$26,6,FALSE),0))))</f>
        <v>0</v>
      </c>
      <c r="O74" s="470"/>
      <c r="P74" s="466" t="str">
        <f t="shared" si="0"/>
        <v/>
      </c>
      <c r="Q74" s="253">
        <f t="shared" si="3"/>
        <v>0</v>
      </c>
      <c r="R74" s="253">
        <f t="shared" si="4"/>
        <v>0</v>
      </c>
      <c r="S74" s="449">
        <f t="shared" si="5"/>
        <v>42</v>
      </c>
      <c r="T74" s="253">
        <f t="shared" si="6"/>
        <v>42</v>
      </c>
      <c r="U74" s="457" t="str">
        <f t="shared" si="1"/>
        <v xml:space="preserve"> </v>
      </c>
    </row>
    <row r="75" spans="1:21" ht="20.100000000000001" hidden="1" customHeight="1" x14ac:dyDescent="0.25">
      <c r="A75" s="470" t="str">
        <f t="shared" si="2"/>
        <v/>
      </c>
      <c r="B75" s="456">
        <f>IF(LEFT(C75,16)="Terima Pajak PPN",VLOOKUP(P75,COPY!$A$1:$AC$1000,21,FALSE),IF(LEFT(C75,16)="Terima Pajak PPH",VLOOKUP(P75,COPY!$A$1:$AC$1000,21,FALSE),IF(LEFT(C75,13)="Terima PPh 23",VLOOKUP(P75,COPY!$A$1:$AC$1000,21,FALSE),0)))</f>
        <v>0</v>
      </c>
      <c r="C75" s="457">
        <f>IFERROR(IF(LEFT(VLOOKUP(P75,COPY!$A$1:$AC$1000,29,FALSE),5)="Terim",VLOOKUP(P75,COPY!$A$1:$AC$1000,29,FALSE),0),0)</f>
        <v>0</v>
      </c>
      <c r="D75" s="457"/>
      <c r="E75" s="457"/>
      <c r="F75" s="458">
        <f>IFERROR(IF(LEFT(VLOOKUP(P75,COPY!$A$1:$AC$1000,29,FALSE),5)="Terim",VLOOKUP(P75,COPY!$A$1:$AC$1000,26,FALSE),0),0)</f>
        <v>0</v>
      </c>
      <c r="G75" s="459">
        <f>IFERROR(VLOOKUP(P75,COPY!$A$1:$L$1000,4,FALSE),0)</f>
        <v>0</v>
      </c>
      <c r="H75" s="457">
        <f>IFERROR(VLOOKUP(P75,COPY!$A$1:$L$1000,2,FALSE),0)</f>
        <v>0</v>
      </c>
      <c r="I75" s="510">
        <f>IFERROR(VLOOKUP(P75,COPY!$A$1:$L$1000,10,FALSE),0)</f>
        <v>0</v>
      </c>
      <c r="J75" s="467">
        <f>IFERROR(VLOOKUP(P75,COPY!$A$1:$L$1000,8,FALSE),0)</f>
        <v>0</v>
      </c>
      <c r="K75" s="457">
        <f>IFERROR(VLOOKUP(P75,COPY!$A$1:$L$1000,7,FALSE),0)</f>
        <v>0</v>
      </c>
      <c r="L75" s="468">
        <f>IFERROR(VLOOKUP(P75,COPY!$A$1:$O$1000,15,FALSE),0)</f>
        <v>0</v>
      </c>
      <c r="M75" s="468">
        <f>IFERROR(VLOOKUP(P75,COPY!$A$1:$L$1000,12,FALSE),0)</f>
        <v>0</v>
      </c>
      <c r="N75" s="469">
        <f>IF(H75="Jasa",VLOOKUP('BKU 3'!K75,'Rekap Gaji'!$D$12:$I$26,6,FALSE),(IF(H75="Beli",VLOOKUP(P75,COPY!$A$1:$L$1000,11,FALSE),IF(H75="Bayar Ongkos",VLOOKUP(K75,'Rekap Gaji'!$D$12:$I$26,6,FALSE),0))))</f>
        <v>0</v>
      </c>
      <c r="O75" s="470"/>
      <c r="P75" s="466" t="str">
        <f t="shared" si="0"/>
        <v/>
      </c>
      <c r="Q75" s="253">
        <f t="shared" si="3"/>
        <v>0</v>
      </c>
      <c r="R75" s="253">
        <f t="shared" si="4"/>
        <v>0</v>
      </c>
      <c r="S75" s="449">
        <f t="shared" si="5"/>
        <v>43</v>
      </c>
      <c r="T75" s="253">
        <f t="shared" si="6"/>
        <v>43</v>
      </c>
      <c r="U75" s="457" t="str">
        <f t="shared" si="1"/>
        <v xml:space="preserve"> </v>
      </c>
    </row>
    <row r="76" spans="1:21" ht="20.100000000000001" hidden="1" customHeight="1" x14ac:dyDescent="0.25">
      <c r="A76" s="470" t="str">
        <f t="shared" si="2"/>
        <v/>
      </c>
      <c r="B76" s="456">
        <f>IF(LEFT(C76,16)="Terima Pajak PPN",VLOOKUP(P76,COPY!$A$1:$AC$1000,21,FALSE),IF(LEFT(C76,16)="Terima Pajak PPH",VLOOKUP(P76,COPY!$A$1:$AC$1000,21,FALSE),IF(LEFT(C76,13)="Terima PPh 23",VLOOKUP(P76,COPY!$A$1:$AC$1000,21,FALSE),0)))</f>
        <v>0</v>
      </c>
      <c r="C76" s="457">
        <f>IFERROR(IF(LEFT(VLOOKUP(P76,COPY!$A$1:$AC$1000,29,FALSE),5)="Terim",VLOOKUP(P76,COPY!$A$1:$AC$1000,29,FALSE),0),0)</f>
        <v>0</v>
      </c>
      <c r="D76" s="457"/>
      <c r="E76" s="457"/>
      <c r="F76" s="458">
        <f>IFERROR(IF(LEFT(VLOOKUP(P76,COPY!$A$1:$AC$1000,29,FALSE),5)="Terim",VLOOKUP(P76,COPY!$A$1:$AC$1000,26,FALSE),0),0)</f>
        <v>0</v>
      </c>
      <c r="G76" s="459">
        <f>IFERROR(VLOOKUP(P76,COPY!$A$1:$L$1000,4,FALSE),0)</f>
        <v>0</v>
      </c>
      <c r="H76" s="457">
        <f>IFERROR(VLOOKUP(P76,COPY!$A$1:$L$1000,2,FALSE),0)</f>
        <v>0</v>
      </c>
      <c r="I76" s="510">
        <f>IFERROR(VLOOKUP(P76,COPY!$A$1:$L$1000,10,FALSE),0)</f>
        <v>0</v>
      </c>
      <c r="J76" s="467">
        <f>IFERROR(VLOOKUP(P76,COPY!$A$1:$L$1000,8,FALSE),0)</f>
        <v>0</v>
      </c>
      <c r="K76" s="457">
        <f>IFERROR(VLOOKUP(P76,COPY!$A$1:$L$1000,7,FALSE),0)</f>
        <v>0</v>
      </c>
      <c r="L76" s="468">
        <f>IFERROR(VLOOKUP(P76,COPY!$A$1:$O$1000,15,FALSE),0)</f>
        <v>0</v>
      </c>
      <c r="M76" s="468">
        <f>IFERROR(VLOOKUP(P76,COPY!$A$1:$L$1000,12,FALSE),0)</f>
        <v>0</v>
      </c>
      <c r="N76" s="469">
        <f>IF(H76="Jasa",VLOOKUP('BKU 3'!K76,'Rekap Gaji'!$D$12:$I$26,6,FALSE),(IF(H76="Beli",VLOOKUP(P76,COPY!$A$1:$L$1000,11,FALSE),IF(H76="Bayar Ongkos",VLOOKUP(K76,'Rekap Gaji'!$D$12:$I$26,6,FALSE),0))))</f>
        <v>0</v>
      </c>
      <c r="O76" s="470"/>
      <c r="P76" s="466" t="str">
        <f t="shared" si="0"/>
        <v/>
      </c>
      <c r="Q76" s="253">
        <f t="shared" si="3"/>
        <v>0</v>
      </c>
      <c r="R76" s="253">
        <f t="shared" si="4"/>
        <v>0</v>
      </c>
      <c r="S76" s="449">
        <f t="shared" si="5"/>
        <v>44</v>
      </c>
      <c r="T76" s="253">
        <f t="shared" si="6"/>
        <v>44</v>
      </c>
      <c r="U76" s="457" t="str">
        <f t="shared" si="1"/>
        <v xml:space="preserve"> </v>
      </c>
    </row>
    <row r="77" spans="1:21" ht="20.100000000000001" hidden="1" customHeight="1" x14ac:dyDescent="0.25">
      <c r="A77" s="470" t="str">
        <f t="shared" si="2"/>
        <v/>
      </c>
      <c r="B77" s="456">
        <f>IF(LEFT(C77,16)="Terima Pajak PPN",VLOOKUP(P77,COPY!$A$1:$AC$1000,21,FALSE),IF(LEFT(C77,16)="Terima Pajak PPH",VLOOKUP(P77,COPY!$A$1:$AC$1000,21,FALSE),IF(LEFT(C77,13)="Terima PPh 23",VLOOKUP(P77,COPY!$A$1:$AC$1000,21,FALSE),0)))</f>
        <v>0</v>
      </c>
      <c r="C77" s="457">
        <f>IFERROR(IF(LEFT(VLOOKUP(P77,COPY!$A$1:$AC$1000,29,FALSE),5)="Terim",VLOOKUP(P77,COPY!$A$1:$AC$1000,29,FALSE),0),0)</f>
        <v>0</v>
      </c>
      <c r="D77" s="457"/>
      <c r="E77" s="457"/>
      <c r="F77" s="458">
        <f>IFERROR(IF(LEFT(VLOOKUP(P77,COPY!$A$1:$AC$1000,29,FALSE),5)="Terim",VLOOKUP(P77,COPY!$A$1:$AC$1000,26,FALSE),0),0)</f>
        <v>0</v>
      </c>
      <c r="G77" s="459">
        <f>IFERROR(VLOOKUP(P77,COPY!$A$1:$L$1000,4,FALSE),0)</f>
        <v>0</v>
      </c>
      <c r="H77" s="457">
        <f>IFERROR(VLOOKUP(P77,COPY!$A$1:$L$1000,2,FALSE),0)</f>
        <v>0</v>
      </c>
      <c r="I77" s="510">
        <f>IFERROR(VLOOKUP(P77,COPY!$A$1:$L$1000,10,FALSE),0)</f>
        <v>0</v>
      </c>
      <c r="J77" s="467">
        <f>IFERROR(VLOOKUP(P77,COPY!$A$1:$L$1000,8,FALSE),0)</f>
        <v>0</v>
      </c>
      <c r="K77" s="457">
        <f>IFERROR(VLOOKUP(P77,COPY!$A$1:$L$1000,7,FALSE),0)</f>
        <v>0</v>
      </c>
      <c r="L77" s="468">
        <f>IFERROR(VLOOKUP(P77,COPY!$A$1:$O$1000,15,FALSE),0)</f>
        <v>0</v>
      </c>
      <c r="M77" s="468">
        <f>IFERROR(VLOOKUP(P77,COPY!$A$1:$L$1000,12,FALSE),0)</f>
        <v>0</v>
      </c>
      <c r="N77" s="471">
        <f>IF(H77="Jasa",VLOOKUP('BKU 3'!K77,'Rekap Gaji'!$D$12:$I$26,6,FALSE),(IF(H77="Beli",VLOOKUP(P77,COPY!$A$1:$L$1000,11,FALSE),IF(H77="Bayar Ongkos",VLOOKUP(K77,'Rekap Gaji'!$D$12:$I$26,6,FALSE),0))))</f>
        <v>0</v>
      </c>
      <c r="O77" s="470"/>
      <c r="P77" s="466" t="str">
        <f t="shared" si="0"/>
        <v/>
      </c>
      <c r="Q77" s="253">
        <f t="shared" si="3"/>
        <v>0</v>
      </c>
      <c r="R77" s="253">
        <f t="shared" si="4"/>
        <v>0</v>
      </c>
      <c r="S77" s="449">
        <f t="shared" si="5"/>
        <v>45</v>
      </c>
      <c r="T77" s="253">
        <f t="shared" si="6"/>
        <v>45</v>
      </c>
      <c r="U77" s="457" t="str">
        <f t="shared" si="1"/>
        <v xml:space="preserve"> </v>
      </c>
    </row>
    <row r="78" spans="1:21" ht="20.100000000000001" hidden="1" customHeight="1" x14ac:dyDescent="0.25">
      <c r="A78" s="470" t="str">
        <f t="shared" si="2"/>
        <v/>
      </c>
      <c r="B78" s="456">
        <f>IF(LEFT(C78,16)="Terima Pajak PPN",VLOOKUP(P78,COPY!$A$1:$AC$1000,21,FALSE),IF(LEFT(C78,16)="Terima Pajak PPH",VLOOKUP(P78,COPY!$A$1:$AC$1000,21,FALSE),IF(LEFT(C78,13)="Terima PPh 23",VLOOKUP(P78,COPY!$A$1:$AC$1000,21,FALSE),0)))</f>
        <v>0</v>
      </c>
      <c r="C78" s="457">
        <f>IFERROR(IF(LEFT(VLOOKUP(P78,COPY!$A$1:$AC$1000,29,FALSE),5)="Terim",VLOOKUP(P78,COPY!$A$1:$AC$1000,29,FALSE),0),0)</f>
        <v>0</v>
      </c>
      <c r="D78" s="457"/>
      <c r="E78" s="457"/>
      <c r="F78" s="458">
        <f>IFERROR(IF(LEFT(VLOOKUP(P78,COPY!$A$1:$AC$1000,29,FALSE),5)="Terim",VLOOKUP(P78,COPY!$A$1:$AC$1000,26,FALSE),0),0)</f>
        <v>0</v>
      </c>
      <c r="G78" s="459">
        <f>IFERROR(VLOOKUP(P78,COPY!$A$1:$L$1000,4,FALSE),0)</f>
        <v>0</v>
      </c>
      <c r="H78" s="457">
        <f>IFERROR(VLOOKUP(P78,COPY!$A$1:$L$1000,2,FALSE),0)</f>
        <v>0</v>
      </c>
      <c r="I78" s="510">
        <f>IFERROR(VLOOKUP(P78,COPY!$A$1:$L$1000,10,FALSE),0)</f>
        <v>0</v>
      </c>
      <c r="J78" s="467">
        <f>IFERROR(VLOOKUP(P78,COPY!$A$1:$L$1000,8,FALSE),0)</f>
        <v>0</v>
      </c>
      <c r="K78" s="457">
        <f>IFERROR(VLOOKUP(P78,COPY!$A$1:$L$1000,7,FALSE),0)</f>
        <v>0</v>
      </c>
      <c r="L78" s="468">
        <f>IFERROR(VLOOKUP(P78,COPY!$A$1:$O$1000,15,FALSE),0)</f>
        <v>0</v>
      </c>
      <c r="M78" s="468">
        <f>IFERROR(VLOOKUP(P78,COPY!$A$1:$L$1000,12,FALSE),0)</f>
        <v>0</v>
      </c>
      <c r="N78" s="471">
        <f>IF(H78="Jasa",VLOOKUP('BKU 3'!K78,'Rekap Gaji'!$D$12:$I$26,6,FALSE),(IF(H78="Beli",VLOOKUP(P78,COPY!$A$1:$L$1000,11,FALSE),IF(H78="Bayar Ongkos",VLOOKUP(K78,'Rekap Gaji'!$D$12:$I$26,6,FALSE),0))))</f>
        <v>0</v>
      </c>
      <c r="O78" s="470"/>
      <c r="P78" s="466" t="str">
        <f t="shared" si="0"/>
        <v/>
      </c>
      <c r="Q78" s="253">
        <f t="shared" si="3"/>
        <v>0</v>
      </c>
      <c r="R78" s="253">
        <f t="shared" si="4"/>
        <v>0</v>
      </c>
      <c r="S78" s="449">
        <f t="shared" si="5"/>
        <v>46</v>
      </c>
      <c r="T78" s="253">
        <f t="shared" si="6"/>
        <v>46</v>
      </c>
      <c r="U78" s="457" t="str">
        <f t="shared" si="1"/>
        <v xml:space="preserve"> </v>
      </c>
    </row>
    <row r="79" spans="1:21" ht="20.100000000000001" hidden="1" customHeight="1" x14ac:dyDescent="0.25">
      <c r="A79" s="470" t="str">
        <f t="shared" si="2"/>
        <v/>
      </c>
      <c r="B79" s="456">
        <f>IF(LEFT(C79,16)="Terima Pajak PPN",VLOOKUP(P79,COPY!$A$1:$AC$1000,21,FALSE),IF(LEFT(C79,16)="Terima Pajak PPH",VLOOKUP(P79,COPY!$A$1:$AC$1000,21,FALSE),IF(LEFT(C79,13)="Terima PPh 23",VLOOKUP(P79,COPY!$A$1:$AC$1000,21,FALSE),0)))</f>
        <v>0</v>
      </c>
      <c r="C79" s="457">
        <f>IFERROR(IF(LEFT(VLOOKUP(P79,COPY!$A$1:$AC$1000,29,FALSE),5)="Terim",VLOOKUP(P79,COPY!$A$1:$AC$1000,29,FALSE),0),0)</f>
        <v>0</v>
      </c>
      <c r="D79" s="457"/>
      <c r="E79" s="457"/>
      <c r="F79" s="458">
        <f>IFERROR(IF(LEFT(VLOOKUP(P79,COPY!$A$1:$AC$1000,29,FALSE),5)="Terim",VLOOKUP(P79,COPY!$A$1:$AC$1000,26,FALSE),0),0)</f>
        <v>0</v>
      </c>
      <c r="G79" s="459">
        <f>IFERROR(VLOOKUP(P79,COPY!$A$1:$L$1000,4,FALSE),0)</f>
        <v>0</v>
      </c>
      <c r="H79" s="457">
        <f>IFERROR(VLOOKUP(P79,COPY!$A$1:$L$1000,2,FALSE),0)</f>
        <v>0</v>
      </c>
      <c r="I79" s="510">
        <f>IFERROR(VLOOKUP(P79,COPY!$A$1:$L$1000,10,FALSE),0)</f>
        <v>0</v>
      </c>
      <c r="J79" s="467">
        <f>IFERROR(VLOOKUP(P79,COPY!$A$1:$L$1000,8,FALSE),0)</f>
        <v>0</v>
      </c>
      <c r="K79" s="457">
        <f>IFERROR(VLOOKUP(P79,COPY!$A$1:$L$1000,7,FALSE),0)</f>
        <v>0</v>
      </c>
      <c r="L79" s="468">
        <f>IFERROR(VLOOKUP(P79,COPY!$A$1:$O$1000,15,FALSE),0)</f>
        <v>0</v>
      </c>
      <c r="M79" s="468">
        <f>IFERROR(VLOOKUP(P79,COPY!$A$1:$L$1000,12,FALSE),0)</f>
        <v>0</v>
      </c>
      <c r="N79" s="471">
        <f>IF(H79="Jasa",VLOOKUP('BKU 3'!K79,'Rekap Gaji'!$D$12:$I$26,6,FALSE),(IF(H79="Beli",VLOOKUP(P79,COPY!$A$1:$L$1000,11,FALSE),IF(H79="Bayar Ongkos",VLOOKUP(K79,'Rekap Gaji'!$D$12:$I$26,6,FALSE),0))))</f>
        <v>0</v>
      </c>
      <c r="P79" s="466" t="str">
        <f t="shared" si="0"/>
        <v/>
      </c>
      <c r="Q79" s="253">
        <f t="shared" si="3"/>
        <v>0</v>
      </c>
      <c r="R79" s="253">
        <f t="shared" si="4"/>
        <v>0</v>
      </c>
      <c r="S79" s="449">
        <f t="shared" si="5"/>
        <v>47</v>
      </c>
      <c r="T79" s="253">
        <f t="shared" si="6"/>
        <v>47</v>
      </c>
      <c r="U79" s="457" t="str">
        <f t="shared" si="1"/>
        <v xml:space="preserve"> </v>
      </c>
    </row>
    <row r="80" spans="1:21" ht="20.100000000000001" hidden="1" customHeight="1" x14ac:dyDescent="0.25">
      <c r="A80" s="470" t="str">
        <f t="shared" si="2"/>
        <v/>
      </c>
      <c r="B80" s="456">
        <f>IF(LEFT(C80,16)="Terima Pajak PPN",VLOOKUP(P80,COPY!$A$1:$AC$1000,21,FALSE),IF(LEFT(C80,16)="Terima Pajak PPH",VLOOKUP(P80,COPY!$A$1:$AC$1000,21,FALSE),IF(LEFT(C80,13)="Terima PPh 23",VLOOKUP(P80,COPY!$A$1:$AC$1000,21,FALSE),0)))</f>
        <v>0</v>
      </c>
      <c r="C80" s="457">
        <f>IFERROR(IF(LEFT(VLOOKUP(P80,COPY!$A$1:$AC$1000,29,FALSE),5)="Terim",VLOOKUP(P80,COPY!$A$1:$AC$1000,29,FALSE),0),0)</f>
        <v>0</v>
      </c>
      <c r="D80" s="457"/>
      <c r="E80" s="457"/>
      <c r="F80" s="458">
        <f>IFERROR(IF(LEFT(VLOOKUP(P80,COPY!$A$1:$AC$1000,29,FALSE),5)="Terim",VLOOKUP(P80,COPY!$A$1:$AC$1000,26,FALSE),0),0)</f>
        <v>0</v>
      </c>
      <c r="G80" s="459">
        <f>IFERROR(VLOOKUP(P80,COPY!$A$1:$L$1000,4,FALSE),0)</f>
        <v>0</v>
      </c>
      <c r="H80" s="457">
        <f>IFERROR(VLOOKUP(P80,COPY!$A$1:$L$1000,2,FALSE),0)</f>
        <v>0</v>
      </c>
      <c r="I80" s="510">
        <f>IFERROR(VLOOKUP(P80,COPY!$A$1:$L$1000,10,FALSE),0)</f>
        <v>0</v>
      </c>
      <c r="J80" s="467">
        <f>IFERROR(VLOOKUP(P80,COPY!$A$1:$L$1000,8,FALSE),0)</f>
        <v>0</v>
      </c>
      <c r="K80" s="457">
        <f>IFERROR(VLOOKUP(P80,COPY!$A$1:$L$1000,7,FALSE),0)</f>
        <v>0</v>
      </c>
      <c r="L80" s="468">
        <f>IFERROR(VLOOKUP(P80,COPY!$A$1:$O$1000,15,FALSE),0)</f>
        <v>0</v>
      </c>
      <c r="M80" s="468">
        <f>IFERROR(VLOOKUP(P80,COPY!$A$1:$L$1000,12,FALSE),0)</f>
        <v>0</v>
      </c>
      <c r="N80" s="471">
        <f>IF(H80="Jasa",VLOOKUP('BKU 3'!K80,'Rekap Gaji'!$D$12:$I$26,6,FALSE),(IF(H80="Beli",VLOOKUP(P80,COPY!$A$1:$L$1000,11,FALSE),IF(H80="Bayar Ongkos",VLOOKUP(K80,'Rekap Gaji'!$D$12:$I$26,6,FALSE),0))))</f>
        <v>0</v>
      </c>
      <c r="O80" s="470"/>
      <c r="P80" s="466" t="str">
        <f t="shared" si="0"/>
        <v/>
      </c>
      <c r="Q80" s="253">
        <f t="shared" si="3"/>
        <v>0</v>
      </c>
      <c r="R80" s="253">
        <f t="shared" si="4"/>
        <v>0</v>
      </c>
      <c r="S80" s="449">
        <f t="shared" si="5"/>
        <v>48</v>
      </c>
      <c r="T80" s="253">
        <f t="shared" si="6"/>
        <v>48</v>
      </c>
      <c r="U80" s="457" t="str">
        <f t="shared" si="1"/>
        <v xml:space="preserve"> </v>
      </c>
    </row>
    <row r="81" spans="1:21" ht="20.100000000000001" hidden="1" customHeight="1" x14ac:dyDescent="0.25">
      <c r="A81" s="470" t="str">
        <f t="shared" si="2"/>
        <v/>
      </c>
      <c r="B81" s="456">
        <f>IF(LEFT(C81,16)="Terima Pajak PPN",VLOOKUP(P81,COPY!$A$1:$AC$1000,21,FALSE),IF(LEFT(C81,16)="Terima Pajak PPH",VLOOKUP(P81,COPY!$A$1:$AC$1000,21,FALSE),IF(LEFT(C81,13)="Terima PPh 23",VLOOKUP(P81,COPY!$A$1:$AC$1000,21,FALSE),0)))</f>
        <v>0</v>
      </c>
      <c r="C81" s="457">
        <f>IFERROR(IF(LEFT(VLOOKUP(P81,COPY!$A$1:$AC$1000,29,FALSE),5)="Terim",VLOOKUP(P81,COPY!$A$1:$AC$1000,29,FALSE),0),0)</f>
        <v>0</v>
      </c>
      <c r="D81" s="457"/>
      <c r="E81" s="457"/>
      <c r="F81" s="458">
        <f>IFERROR(IF(LEFT(VLOOKUP(P81,COPY!$A$1:$AC$1000,29,FALSE),5)="Terim",VLOOKUP(P81,COPY!$A$1:$AC$1000,26,FALSE),0),0)</f>
        <v>0</v>
      </c>
      <c r="G81" s="459">
        <f>IFERROR(VLOOKUP(P81,COPY!$A$1:$L$1000,4,FALSE),0)</f>
        <v>0</v>
      </c>
      <c r="H81" s="457">
        <f>IFERROR(VLOOKUP(P81,COPY!$A$1:$L$1000,2,FALSE),0)</f>
        <v>0</v>
      </c>
      <c r="I81" s="510">
        <f>IFERROR(VLOOKUP(P81,COPY!$A$1:$L$1000,10,FALSE),0)</f>
        <v>0</v>
      </c>
      <c r="J81" s="467">
        <f>IFERROR(VLOOKUP(P81,COPY!$A$1:$L$1000,8,FALSE),0)</f>
        <v>0</v>
      </c>
      <c r="K81" s="457">
        <f>IFERROR(VLOOKUP(P81,COPY!$A$1:$L$1000,7,FALSE),0)</f>
        <v>0</v>
      </c>
      <c r="L81" s="468">
        <f>IFERROR(VLOOKUP(P81,COPY!$A$1:$O$1000,15,FALSE),0)</f>
        <v>0</v>
      </c>
      <c r="M81" s="468">
        <f>IFERROR(VLOOKUP(P81,COPY!$A$1:$L$1000,12,FALSE),0)</f>
        <v>0</v>
      </c>
      <c r="N81" s="471">
        <f>IF(H81="Jasa",VLOOKUP('BKU 3'!K81,'Rekap Gaji'!$D$12:$I$26,6,FALSE),(IF(H81="Beli",VLOOKUP(P81,COPY!$A$1:$L$1000,11,FALSE),IF(H81="Bayar Ongkos",VLOOKUP(K81,'Rekap Gaji'!$D$12:$I$26,6,FALSE),0))))</f>
        <v>0</v>
      </c>
      <c r="P81" s="466" t="str">
        <f t="shared" si="0"/>
        <v/>
      </c>
      <c r="Q81" s="253">
        <f t="shared" si="3"/>
        <v>0</v>
      </c>
      <c r="R81" s="253">
        <f t="shared" si="4"/>
        <v>0</v>
      </c>
      <c r="S81" s="449">
        <f t="shared" si="5"/>
        <v>49</v>
      </c>
      <c r="T81" s="253">
        <f t="shared" si="6"/>
        <v>49</v>
      </c>
      <c r="U81" s="457" t="str">
        <f t="shared" si="1"/>
        <v xml:space="preserve"> </v>
      </c>
    </row>
    <row r="82" spans="1:21" ht="20.100000000000001" hidden="1" customHeight="1" x14ac:dyDescent="0.25">
      <c r="A82" s="470" t="str">
        <f t="shared" si="2"/>
        <v/>
      </c>
      <c r="B82" s="456">
        <f>IF(LEFT(C82,16)="Terima Pajak PPN",VLOOKUP(P82,COPY!$A$1:$AC$1000,21,FALSE),IF(LEFT(C82,16)="Terima Pajak PPH",VLOOKUP(P82,COPY!$A$1:$AC$1000,21,FALSE),IF(LEFT(C82,13)="Terima PPh 23",VLOOKUP(P82,COPY!$A$1:$AC$1000,21,FALSE),0)))</f>
        <v>0</v>
      </c>
      <c r="C82" s="457">
        <f>IFERROR(IF(LEFT(VLOOKUP(P82,COPY!$A$1:$AC$1000,29,FALSE),5)="Terim",VLOOKUP(P82,COPY!$A$1:$AC$1000,29,FALSE),0),0)</f>
        <v>0</v>
      </c>
      <c r="D82" s="457"/>
      <c r="E82" s="457"/>
      <c r="F82" s="458">
        <f>IFERROR(IF(LEFT(VLOOKUP(P82,COPY!$A$1:$AC$1000,29,FALSE),5)="Terim",VLOOKUP(P82,COPY!$A$1:$AC$1000,26,FALSE),0),0)</f>
        <v>0</v>
      </c>
      <c r="G82" s="459">
        <f>IFERROR(VLOOKUP(P82,COPY!$A$1:$L$1000,4,FALSE),0)</f>
        <v>0</v>
      </c>
      <c r="H82" s="457">
        <f>IFERROR(VLOOKUP(P82,COPY!$A$1:$L$1000,2,FALSE),0)</f>
        <v>0</v>
      </c>
      <c r="I82" s="510">
        <f>IFERROR(VLOOKUP(P82,COPY!$A$1:$L$1000,10,FALSE),0)</f>
        <v>0</v>
      </c>
      <c r="J82" s="467">
        <f>IFERROR(VLOOKUP(P82,COPY!$A$1:$L$1000,8,FALSE),0)</f>
        <v>0</v>
      </c>
      <c r="K82" s="457">
        <f>IFERROR(VLOOKUP(P82,COPY!$A$1:$L$1000,7,FALSE),0)</f>
        <v>0</v>
      </c>
      <c r="L82" s="468">
        <f>IFERROR(VLOOKUP(P82,COPY!$A$1:$O$1000,15,FALSE),0)</f>
        <v>0</v>
      </c>
      <c r="M82" s="468">
        <f>IFERROR(VLOOKUP(P82,COPY!$A$1:$L$1000,12,FALSE),0)</f>
        <v>0</v>
      </c>
      <c r="N82" s="471">
        <f>IF(H82="Jasa",VLOOKUP('BKU 3'!K82,'Rekap Gaji'!$D$12:$I$26,6,FALSE),(IF(H82="Beli",VLOOKUP(P82,COPY!$A$1:$L$1000,11,FALSE),IF(H82="Bayar Ongkos",VLOOKUP(K82,'Rekap Gaji'!$D$12:$I$26,6,FALSE),0))))</f>
        <v>0</v>
      </c>
      <c r="O82" s="470"/>
      <c r="P82" s="466" t="str">
        <f t="shared" si="0"/>
        <v/>
      </c>
      <c r="Q82" s="253">
        <f t="shared" si="3"/>
        <v>0</v>
      </c>
      <c r="R82" s="253">
        <f t="shared" si="4"/>
        <v>0</v>
      </c>
      <c r="S82" s="449">
        <f t="shared" si="5"/>
        <v>50</v>
      </c>
      <c r="T82" s="253">
        <f t="shared" si="6"/>
        <v>50</v>
      </c>
      <c r="U82" s="457" t="str">
        <f t="shared" si="1"/>
        <v xml:space="preserve"> </v>
      </c>
    </row>
    <row r="83" spans="1:21" ht="20.100000000000001" hidden="1" customHeight="1" x14ac:dyDescent="0.25">
      <c r="A83" s="470" t="str">
        <f t="shared" si="2"/>
        <v/>
      </c>
      <c r="B83" s="456">
        <f>IF(LEFT(C83,16)="Terima Pajak PPN",VLOOKUP(P83,COPY!$A$1:$AC$1000,21,FALSE),IF(LEFT(C83,16)="Terima Pajak PPH",VLOOKUP(P83,COPY!$A$1:$AC$1000,21,FALSE),IF(LEFT(C83,13)="Terima PPh 23",VLOOKUP(P83,COPY!$A$1:$AC$1000,21,FALSE),0)))</f>
        <v>0</v>
      </c>
      <c r="C83" s="457">
        <f>IFERROR(IF(LEFT(VLOOKUP(P83,COPY!$A$1:$AC$1000,29,FALSE),5)="Terim",VLOOKUP(P83,COPY!$A$1:$AC$1000,29,FALSE),0),0)</f>
        <v>0</v>
      </c>
      <c r="D83" s="457"/>
      <c r="E83" s="457"/>
      <c r="F83" s="458">
        <f>IFERROR(IF(LEFT(VLOOKUP(P83,COPY!$A$1:$AC$1000,29,FALSE),5)="Terim",VLOOKUP(P83,COPY!$A$1:$AC$1000,26,FALSE),0),0)</f>
        <v>0</v>
      </c>
      <c r="G83" s="459">
        <f>IFERROR(VLOOKUP(P83,COPY!$A$1:$L$1000,4,FALSE),0)</f>
        <v>0</v>
      </c>
      <c r="H83" s="457">
        <f>IFERROR(VLOOKUP(P83,COPY!$A$1:$L$1000,2,FALSE),0)</f>
        <v>0</v>
      </c>
      <c r="I83" s="510">
        <f>IFERROR(VLOOKUP(P83,COPY!$A$1:$L$1000,10,FALSE),0)</f>
        <v>0</v>
      </c>
      <c r="J83" s="467">
        <f>IFERROR(VLOOKUP(P83,COPY!$A$1:$L$1000,8,FALSE),0)</f>
        <v>0</v>
      </c>
      <c r="K83" s="457">
        <f>IFERROR(VLOOKUP(P83,COPY!$A$1:$L$1000,7,FALSE),0)</f>
        <v>0</v>
      </c>
      <c r="L83" s="468">
        <f>IFERROR(VLOOKUP(P83,COPY!$A$1:$O$1000,15,FALSE),0)</f>
        <v>0</v>
      </c>
      <c r="M83" s="468">
        <f>IFERROR(VLOOKUP(P83,COPY!$A$1:$L$1000,12,FALSE),0)</f>
        <v>0</v>
      </c>
      <c r="N83" s="471">
        <f>IF(H83="Jasa",VLOOKUP('BKU 3'!K83,'Rekap Gaji'!$D$12:$I$26,6,FALSE),(IF(H83="Beli",VLOOKUP(P83,COPY!$A$1:$L$1000,11,FALSE),IF(H83="Bayar Ongkos",VLOOKUP(K83,'Rekap Gaji'!$D$12:$I$26,6,FALSE),0))))</f>
        <v>0</v>
      </c>
      <c r="O83" s="470"/>
      <c r="P83" s="466" t="str">
        <f t="shared" si="0"/>
        <v/>
      </c>
      <c r="Q83" s="253">
        <f t="shared" si="3"/>
        <v>0</v>
      </c>
      <c r="R83" s="253">
        <f t="shared" si="4"/>
        <v>0</v>
      </c>
      <c r="S83" s="449">
        <f t="shared" si="5"/>
        <v>51</v>
      </c>
      <c r="T83" s="253">
        <f t="shared" si="6"/>
        <v>51</v>
      </c>
      <c r="U83" s="457" t="str">
        <f t="shared" si="1"/>
        <v xml:space="preserve"> </v>
      </c>
    </row>
    <row r="84" spans="1:21" ht="20.100000000000001" hidden="1" customHeight="1" x14ac:dyDescent="0.25">
      <c r="A84" s="470" t="str">
        <f t="shared" si="2"/>
        <v/>
      </c>
      <c r="B84" s="456">
        <f>IF(LEFT(C84,16)="Terima Pajak PPN",VLOOKUP(P84,COPY!$A$1:$AC$1000,21,FALSE),IF(LEFT(C84,16)="Terima Pajak PPH",VLOOKUP(P84,COPY!$A$1:$AC$1000,21,FALSE),IF(LEFT(C84,13)="Terima PPh 23",VLOOKUP(P84,COPY!$A$1:$AC$1000,21,FALSE),0)))</f>
        <v>0</v>
      </c>
      <c r="C84" s="457">
        <f>IFERROR(IF(LEFT(VLOOKUP(P84,COPY!$A$1:$AC$1000,29,FALSE),5)="Terim",VLOOKUP(P84,COPY!$A$1:$AC$1000,29,FALSE),0),0)</f>
        <v>0</v>
      </c>
      <c r="D84" s="457"/>
      <c r="E84" s="457"/>
      <c r="F84" s="458">
        <f>IFERROR(IF(LEFT(VLOOKUP(P84,COPY!$A$1:$AC$1000,29,FALSE),5)="Terim",VLOOKUP(P84,COPY!$A$1:$AC$1000,26,FALSE),0),0)</f>
        <v>0</v>
      </c>
      <c r="G84" s="459">
        <f>IFERROR(VLOOKUP(P84,COPY!$A$1:$L$1000,4,FALSE),0)</f>
        <v>0</v>
      </c>
      <c r="H84" s="457">
        <f>IFERROR(VLOOKUP(P84,COPY!$A$1:$L$1000,2,FALSE),0)</f>
        <v>0</v>
      </c>
      <c r="I84" s="510">
        <f>IFERROR(VLOOKUP(P84,COPY!$A$1:$L$1000,10,FALSE),0)</f>
        <v>0</v>
      </c>
      <c r="J84" s="467">
        <f>IFERROR(VLOOKUP(P84,COPY!$A$1:$L$1000,8,FALSE),0)</f>
        <v>0</v>
      </c>
      <c r="K84" s="457">
        <f>IFERROR(VLOOKUP(P84,COPY!$A$1:$L$1000,7,FALSE),0)</f>
        <v>0</v>
      </c>
      <c r="L84" s="468">
        <f>IFERROR(VLOOKUP(P84,COPY!$A$1:$O$1000,15,FALSE),0)</f>
        <v>0</v>
      </c>
      <c r="M84" s="468">
        <f>IFERROR(VLOOKUP(P84,COPY!$A$1:$L$1000,12,FALSE),0)</f>
        <v>0</v>
      </c>
      <c r="N84" s="471">
        <f>IF(H84="Jasa",VLOOKUP('BKU 3'!K84,'Rekap Gaji'!$D$12:$I$26,6,FALSE),(IF(H84="Beli",VLOOKUP(P84,COPY!$A$1:$L$1000,11,FALSE),IF(H84="Bayar Ongkos",VLOOKUP(K84,'Rekap Gaji'!$D$12:$I$26,6,FALSE),0))))</f>
        <v>0</v>
      </c>
      <c r="P84" s="466" t="str">
        <f t="shared" si="0"/>
        <v/>
      </c>
      <c r="Q84" s="253">
        <f t="shared" si="3"/>
        <v>0</v>
      </c>
      <c r="R84" s="253">
        <f t="shared" si="4"/>
        <v>0</v>
      </c>
      <c r="S84" s="449">
        <f t="shared" si="5"/>
        <v>52</v>
      </c>
      <c r="T84" s="253">
        <f t="shared" si="6"/>
        <v>52</v>
      </c>
      <c r="U84" s="457" t="str">
        <f t="shared" si="1"/>
        <v xml:space="preserve"> </v>
      </c>
    </row>
    <row r="85" spans="1:21" ht="20.100000000000001" hidden="1" customHeight="1" x14ac:dyDescent="0.25">
      <c r="A85" s="470" t="str">
        <f t="shared" si="2"/>
        <v/>
      </c>
      <c r="B85" s="456">
        <f>IF(LEFT(C85,16)="Terima Pajak PPN",VLOOKUP(P85,COPY!$A$1:$AC$1000,21,FALSE),IF(LEFT(C85,16)="Terima Pajak PPH",VLOOKUP(P85,COPY!$A$1:$AC$1000,21,FALSE),IF(LEFT(C85,13)="Terima PPh 23",VLOOKUP(P85,COPY!$A$1:$AC$1000,21,FALSE),0)))</f>
        <v>0</v>
      </c>
      <c r="C85" s="457">
        <f>IFERROR(IF(LEFT(VLOOKUP(P85,COPY!$A$1:$AC$1000,29,FALSE),5)="Terim",VLOOKUP(P85,COPY!$A$1:$AC$1000,29,FALSE),0),0)</f>
        <v>0</v>
      </c>
      <c r="D85" s="457"/>
      <c r="E85" s="457"/>
      <c r="F85" s="458">
        <f>IFERROR(IF(LEFT(VLOOKUP(P85,COPY!$A$1:$AC$1000,29,FALSE),5)="Terim",VLOOKUP(P85,COPY!$A$1:$AC$1000,26,FALSE),0),0)</f>
        <v>0</v>
      </c>
      <c r="G85" s="459">
        <f>IFERROR(VLOOKUP(P85,COPY!$A$1:$L$1000,4,FALSE),0)</f>
        <v>0</v>
      </c>
      <c r="H85" s="457">
        <f>IFERROR(VLOOKUP(P85,COPY!$A$1:$L$1000,2,FALSE),0)</f>
        <v>0</v>
      </c>
      <c r="I85" s="510">
        <f>IFERROR(VLOOKUP(P85,COPY!$A$1:$L$1000,10,FALSE),0)</f>
        <v>0</v>
      </c>
      <c r="J85" s="467">
        <f>IFERROR(VLOOKUP(P85,COPY!$A$1:$L$1000,8,FALSE),0)</f>
        <v>0</v>
      </c>
      <c r="K85" s="457">
        <f>IFERROR(VLOOKUP(P85,COPY!$A$1:$L$1000,7,FALSE),0)</f>
        <v>0</v>
      </c>
      <c r="L85" s="468">
        <f>IFERROR(VLOOKUP(P85,COPY!$A$1:$O$1000,15,FALSE),0)</f>
        <v>0</v>
      </c>
      <c r="M85" s="468">
        <f>IFERROR(VLOOKUP(P85,COPY!$A$1:$L$1000,12,FALSE),0)</f>
        <v>0</v>
      </c>
      <c r="N85" s="471">
        <f>IF(H85="Jasa",VLOOKUP('BKU 3'!K85,'Rekap Gaji'!$D$12:$I$26,6,FALSE),(IF(H85="Beli",VLOOKUP(P85,COPY!$A$1:$L$1000,11,FALSE),IF(H85="Bayar Ongkos",VLOOKUP(K85,'Rekap Gaji'!$D$12:$I$26,6,FALSE),0))))</f>
        <v>0</v>
      </c>
      <c r="P85" s="466" t="str">
        <f t="shared" si="0"/>
        <v/>
      </c>
      <c r="Q85" s="253">
        <f t="shared" si="3"/>
        <v>0</v>
      </c>
      <c r="R85" s="253">
        <f t="shared" si="4"/>
        <v>0</v>
      </c>
      <c r="S85" s="449">
        <f t="shared" si="5"/>
        <v>53</v>
      </c>
      <c r="T85" s="253">
        <f t="shared" si="6"/>
        <v>53</v>
      </c>
      <c r="U85" s="457" t="str">
        <f t="shared" si="1"/>
        <v xml:space="preserve"> </v>
      </c>
    </row>
    <row r="86" spans="1:21" ht="20.100000000000001" hidden="1" customHeight="1" x14ac:dyDescent="0.25">
      <c r="A86" s="470" t="str">
        <f t="shared" si="2"/>
        <v/>
      </c>
      <c r="B86" s="456">
        <f>IF(LEFT(C86,16)="Terima Pajak PPN",VLOOKUP(P86,COPY!$A$1:$AC$1000,21,FALSE),IF(LEFT(C86,16)="Terima Pajak PPH",VLOOKUP(P86,COPY!$A$1:$AC$1000,21,FALSE),IF(LEFT(C86,13)="Terima PPh 23",VLOOKUP(P86,COPY!$A$1:$AC$1000,21,FALSE),0)))</f>
        <v>0</v>
      </c>
      <c r="C86" s="457">
        <f>IFERROR(IF(LEFT(VLOOKUP(P86,COPY!$A$1:$AC$1000,29,FALSE),5)="Terim",VLOOKUP(P86,COPY!$A$1:$AC$1000,29,FALSE),0),0)</f>
        <v>0</v>
      </c>
      <c r="D86" s="457"/>
      <c r="E86" s="457"/>
      <c r="F86" s="458">
        <f>IFERROR(IF(LEFT(VLOOKUP(P86,COPY!$A$1:$AC$1000,29,FALSE),5)="Terim",VLOOKUP(P86,COPY!$A$1:$AC$1000,26,FALSE),0),0)</f>
        <v>0</v>
      </c>
      <c r="G86" s="459">
        <f>IFERROR(VLOOKUP(P86,COPY!$A$1:$L$1000,4,FALSE),0)</f>
        <v>0</v>
      </c>
      <c r="H86" s="457">
        <f>IFERROR(VLOOKUP(P86,COPY!$A$1:$L$1000,2,FALSE),0)</f>
        <v>0</v>
      </c>
      <c r="I86" s="510">
        <f>IFERROR(VLOOKUP(P86,COPY!$A$1:$L$1000,10,FALSE),0)</f>
        <v>0</v>
      </c>
      <c r="J86" s="467">
        <f>IFERROR(VLOOKUP(P86,COPY!$A$1:$L$1000,8,FALSE),0)</f>
        <v>0</v>
      </c>
      <c r="K86" s="457">
        <f>IFERROR(VLOOKUP(P86,COPY!$A$1:$L$1000,7,FALSE),0)</f>
        <v>0</v>
      </c>
      <c r="L86" s="468">
        <f>IFERROR(VLOOKUP(P86,COPY!$A$1:$O$1000,15,FALSE),0)</f>
        <v>0</v>
      </c>
      <c r="M86" s="468">
        <f>IFERROR(VLOOKUP(P86,COPY!$A$1:$L$1000,12,FALSE),0)</f>
        <v>0</v>
      </c>
      <c r="N86" s="471">
        <f>IF(H86="Jasa",VLOOKUP('BKU 3'!K86,'Rekap Gaji'!$D$12:$I$26,6,FALSE),(IF(H86="Beli",VLOOKUP(P86,COPY!$A$1:$L$1000,11,FALSE),IF(H86="Bayar Ongkos",VLOOKUP(K86,'Rekap Gaji'!$D$12:$I$26,6,FALSE),0))))</f>
        <v>0</v>
      </c>
      <c r="P86" s="466" t="str">
        <f t="shared" si="0"/>
        <v/>
      </c>
      <c r="Q86" s="253">
        <f t="shared" si="3"/>
        <v>0</v>
      </c>
      <c r="R86" s="253">
        <f t="shared" si="4"/>
        <v>0</v>
      </c>
      <c r="S86" s="449">
        <f t="shared" si="5"/>
        <v>54</v>
      </c>
      <c r="T86" s="253">
        <f t="shared" si="6"/>
        <v>54</v>
      </c>
      <c r="U86" s="457" t="str">
        <f t="shared" si="1"/>
        <v xml:space="preserve"> </v>
      </c>
    </row>
    <row r="87" spans="1:21" ht="20.100000000000001" hidden="1" customHeight="1" x14ac:dyDescent="0.25">
      <c r="A87" s="470" t="str">
        <f t="shared" si="2"/>
        <v/>
      </c>
      <c r="B87" s="456">
        <f>IF(LEFT(C87,16)="Terima Pajak PPN",VLOOKUP(P87,COPY!$A$1:$AC$1000,21,FALSE),IF(LEFT(C87,16)="Terima Pajak PPH",VLOOKUP(P87,COPY!$A$1:$AC$1000,21,FALSE),IF(LEFT(C87,13)="Terima PPh 23",VLOOKUP(P87,COPY!$A$1:$AC$1000,21,FALSE),0)))</f>
        <v>0</v>
      </c>
      <c r="C87" s="457">
        <f>IFERROR(IF(LEFT(VLOOKUP(P87,COPY!$A$1:$AC$1000,29,FALSE),5)="Terim",VLOOKUP(P87,COPY!$A$1:$AC$1000,29,FALSE),0),0)</f>
        <v>0</v>
      </c>
      <c r="D87" s="457"/>
      <c r="E87" s="457"/>
      <c r="F87" s="458">
        <f>IFERROR(IF(LEFT(VLOOKUP(P87,COPY!$A$1:$AC$1000,29,FALSE),5)="Terim",VLOOKUP(P87,COPY!$A$1:$AC$1000,26,FALSE),0),0)</f>
        <v>0</v>
      </c>
      <c r="G87" s="459">
        <f>IFERROR(VLOOKUP(P87,COPY!$A$1:$L$1000,4,FALSE),0)</f>
        <v>0</v>
      </c>
      <c r="H87" s="457">
        <f>IFERROR(VLOOKUP(P87,COPY!$A$1:$L$1000,2,FALSE),0)</f>
        <v>0</v>
      </c>
      <c r="I87" s="510">
        <f>IFERROR(VLOOKUP(P87,COPY!$A$1:$L$1000,10,FALSE),0)</f>
        <v>0</v>
      </c>
      <c r="J87" s="467">
        <f>IFERROR(VLOOKUP(P87,COPY!$A$1:$L$1000,8,FALSE),0)</f>
        <v>0</v>
      </c>
      <c r="K87" s="457">
        <f>IFERROR(VLOOKUP(P87,COPY!$A$1:$L$1000,7,FALSE),0)</f>
        <v>0</v>
      </c>
      <c r="L87" s="468">
        <f>IFERROR(VLOOKUP(P87,COPY!$A$1:$O$1000,15,FALSE),0)</f>
        <v>0</v>
      </c>
      <c r="M87" s="468">
        <f>IFERROR(VLOOKUP(P87,COPY!$A$1:$L$1000,12,FALSE),0)</f>
        <v>0</v>
      </c>
      <c r="N87" s="471">
        <f>IF(H87="Jasa",VLOOKUP('BKU 3'!K87,'Rekap Gaji'!$D$12:$I$26,6,FALSE),(IF(H87="Beli",VLOOKUP(P87,COPY!$A$1:$L$1000,11,FALSE),IF(H87="Bayar Ongkos",VLOOKUP(K87,'Rekap Gaji'!$D$12:$I$26,6,FALSE),0))))</f>
        <v>0</v>
      </c>
      <c r="O87" s="470"/>
      <c r="P87" s="466" t="str">
        <f t="shared" si="0"/>
        <v/>
      </c>
      <c r="Q87" s="253">
        <f t="shared" si="3"/>
        <v>0</v>
      </c>
      <c r="R87" s="253">
        <f t="shared" si="4"/>
        <v>0</v>
      </c>
      <c r="S87" s="449">
        <f t="shared" si="5"/>
        <v>55</v>
      </c>
      <c r="T87" s="253">
        <f t="shared" si="6"/>
        <v>55</v>
      </c>
      <c r="U87" s="457" t="str">
        <f t="shared" si="1"/>
        <v xml:space="preserve"> </v>
      </c>
    </row>
    <row r="88" spans="1:21" ht="20.100000000000001" hidden="1" customHeight="1" x14ac:dyDescent="0.25">
      <c r="A88" s="470" t="str">
        <f t="shared" si="2"/>
        <v/>
      </c>
      <c r="B88" s="456">
        <f>IF(LEFT(C88,16)="Terima Pajak PPN",VLOOKUP(P88,COPY!$A$1:$AC$1000,21,FALSE),IF(LEFT(C88,16)="Terima Pajak PPH",VLOOKUP(P88,COPY!$A$1:$AC$1000,21,FALSE),IF(LEFT(C88,13)="Terima PPh 23",VLOOKUP(P88,COPY!$A$1:$AC$1000,21,FALSE),0)))</f>
        <v>0</v>
      </c>
      <c r="C88" s="457">
        <f>IFERROR(IF(LEFT(VLOOKUP(P88,COPY!$A$1:$AC$1000,29,FALSE),5)="Terim",VLOOKUP(P88,COPY!$A$1:$AC$1000,29,FALSE),0),0)</f>
        <v>0</v>
      </c>
      <c r="D88" s="457"/>
      <c r="E88" s="457"/>
      <c r="F88" s="458">
        <f>IFERROR(IF(LEFT(VLOOKUP(P88,COPY!$A$1:$AC$1000,29,FALSE),5)="Terim",VLOOKUP(P88,COPY!$A$1:$AC$1000,26,FALSE),0),0)</f>
        <v>0</v>
      </c>
      <c r="G88" s="459">
        <f>IFERROR(VLOOKUP(P88,COPY!$A$1:$L$1000,4,FALSE),0)</f>
        <v>0</v>
      </c>
      <c r="H88" s="457">
        <f>IFERROR(VLOOKUP(P88,COPY!$A$1:$L$1000,2,FALSE),0)</f>
        <v>0</v>
      </c>
      <c r="I88" s="510">
        <f>IFERROR(VLOOKUP(P88,COPY!$A$1:$L$1000,10,FALSE),0)</f>
        <v>0</v>
      </c>
      <c r="J88" s="467">
        <f>IFERROR(VLOOKUP(P88,COPY!$A$1:$L$1000,8,FALSE),0)</f>
        <v>0</v>
      </c>
      <c r="K88" s="457">
        <f>IFERROR(VLOOKUP(P88,COPY!$A$1:$L$1000,7,FALSE),0)</f>
        <v>0</v>
      </c>
      <c r="L88" s="468">
        <f>IFERROR(VLOOKUP(P88,COPY!$A$1:$O$1000,15,FALSE),0)</f>
        <v>0</v>
      </c>
      <c r="M88" s="468">
        <f>IFERROR(VLOOKUP(P88,COPY!$A$1:$L$1000,12,FALSE),0)</f>
        <v>0</v>
      </c>
      <c r="N88" s="471">
        <f>IF(H88="Jasa",VLOOKUP('BKU 3'!K88,'Rekap Gaji'!$D$12:$I$26,6,FALSE),(IF(H88="Beli",VLOOKUP(P88,COPY!$A$1:$L$1000,11,FALSE),IF(H88="Bayar Ongkos",VLOOKUP(K88,'Rekap Gaji'!$D$12:$I$26,6,FALSE),0))))</f>
        <v>0</v>
      </c>
      <c r="P88" s="466" t="str">
        <f t="shared" si="0"/>
        <v/>
      </c>
      <c r="Q88" s="253">
        <f t="shared" si="3"/>
        <v>0</v>
      </c>
      <c r="R88" s="253">
        <f t="shared" si="4"/>
        <v>0</v>
      </c>
      <c r="S88" s="449">
        <f t="shared" si="5"/>
        <v>56</v>
      </c>
      <c r="T88" s="253">
        <f t="shared" si="6"/>
        <v>56</v>
      </c>
      <c r="U88" s="457" t="str">
        <f t="shared" si="1"/>
        <v xml:space="preserve"> </v>
      </c>
    </row>
    <row r="89" spans="1:21" ht="20.100000000000001" hidden="1" customHeight="1" x14ac:dyDescent="0.25">
      <c r="A89" s="470" t="str">
        <f t="shared" si="2"/>
        <v/>
      </c>
      <c r="B89" s="456">
        <f>IF(LEFT(C89,16)="Terima Pajak PPN",VLOOKUP(P89,COPY!$A$1:$AC$1000,21,FALSE),IF(LEFT(C89,16)="Terima Pajak PPH",VLOOKUP(P89,COPY!$A$1:$AC$1000,21,FALSE),IF(LEFT(C89,13)="Terima PPh 23",VLOOKUP(P89,COPY!$A$1:$AC$1000,21,FALSE),0)))</f>
        <v>0</v>
      </c>
      <c r="C89" s="457">
        <f>IFERROR(IF(LEFT(VLOOKUP(P89,COPY!$A$1:$AC$1000,29,FALSE),5)="Terim",VLOOKUP(P89,COPY!$A$1:$AC$1000,29,FALSE),0),0)</f>
        <v>0</v>
      </c>
      <c r="D89" s="457"/>
      <c r="E89" s="457"/>
      <c r="F89" s="458">
        <f>IFERROR(IF(LEFT(VLOOKUP(P89,COPY!$A$1:$AC$1000,29,FALSE),5)="Terim",VLOOKUP(P89,COPY!$A$1:$AC$1000,26,FALSE),0),0)</f>
        <v>0</v>
      </c>
      <c r="G89" s="459">
        <f>IFERROR(VLOOKUP(P89,COPY!$A$1:$L$1000,4,FALSE),0)</f>
        <v>0</v>
      </c>
      <c r="H89" s="457">
        <f>IFERROR(VLOOKUP(P89,COPY!$A$1:$L$1000,2,FALSE),0)</f>
        <v>0</v>
      </c>
      <c r="I89" s="510">
        <f>IFERROR(VLOOKUP(P89,COPY!$A$1:$L$1000,10,FALSE),0)</f>
        <v>0</v>
      </c>
      <c r="J89" s="467">
        <f>IFERROR(VLOOKUP(P89,COPY!$A$1:$L$1000,8,FALSE),0)</f>
        <v>0</v>
      </c>
      <c r="K89" s="457">
        <f>IFERROR(VLOOKUP(P89,COPY!$A$1:$L$1000,7,FALSE),0)</f>
        <v>0</v>
      </c>
      <c r="L89" s="468">
        <f>IFERROR(VLOOKUP(P89,COPY!$A$1:$O$1000,15,FALSE),0)</f>
        <v>0</v>
      </c>
      <c r="M89" s="468">
        <f>IFERROR(VLOOKUP(P89,COPY!$A$1:$L$1000,12,FALSE),0)</f>
        <v>0</v>
      </c>
      <c r="N89" s="471">
        <f>IF(H89="Jasa",VLOOKUP('BKU 3'!K89,'Rekap Gaji'!$D$12:$I$26,6,FALSE),(IF(H89="Beli",VLOOKUP(P89,COPY!$A$1:$L$1000,11,FALSE),IF(H89="Bayar Ongkos",VLOOKUP(K89,'Rekap Gaji'!$D$12:$I$26,6,FALSE),0))))</f>
        <v>0</v>
      </c>
      <c r="P89" s="466" t="str">
        <f t="shared" si="0"/>
        <v/>
      </c>
      <c r="Q89" s="253">
        <f t="shared" si="3"/>
        <v>0</v>
      </c>
      <c r="R89" s="253">
        <f t="shared" si="4"/>
        <v>0</v>
      </c>
      <c r="S89" s="449">
        <f t="shared" si="5"/>
        <v>57</v>
      </c>
      <c r="T89" s="253">
        <f t="shared" si="6"/>
        <v>57</v>
      </c>
      <c r="U89" s="457" t="str">
        <f t="shared" si="1"/>
        <v xml:space="preserve"> </v>
      </c>
    </row>
    <row r="90" spans="1:21" ht="20.100000000000001" hidden="1" customHeight="1" x14ac:dyDescent="0.25">
      <c r="A90" s="470" t="str">
        <f t="shared" si="2"/>
        <v/>
      </c>
      <c r="B90" s="456">
        <f>IF(LEFT(C90,16)="Terima Pajak PPN",VLOOKUP(P90,COPY!$A$1:$AC$1000,21,FALSE),IF(LEFT(C90,16)="Terima Pajak PPH",VLOOKUP(P90,COPY!$A$1:$AC$1000,21,FALSE),IF(LEFT(C90,13)="Terima PPh 23",VLOOKUP(P90,COPY!$A$1:$AC$1000,21,FALSE),0)))</f>
        <v>0</v>
      </c>
      <c r="C90" s="457">
        <f>IFERROR(IF(LEFT(VLOOKUP(P90,COPY!$A$1:$AC$1000,29,FALSE),5)="Terim",VLOOKUP(P90,COPY!$A$1:$AC$1000,29,FALSE),0),0)</f>
        <v>0</v>
      </c>
      <c r="D90" s="457"/>
      <c r="E90" s="457"/>
      <c r="F90" s="458">
        <f>IFERROR(IF(LEFT(VLOOKUP(P90,COPY!$A$1:$AC$1000,29,FALSE),5)="Terim",VLOOKUP(P90,COPY!$A$1:$AC$1000,26,FALSE),0),0)</f>
        <v>0</v>
      </c>
      <c r="G90" s="459">
        <f>IFERROR(VLOOKUP(P90,COPY!$A$1:$L$1000,4,FALSE),0)</f>
        <v>0</v>
      </c>
      <c r="H90" s="457">
        <f>IFERROR(VLOOKUP(P90,COPY!$A$1:$L$1000,2,FALSE),0)</f>
        <v>0</v>
      </c>
      <c r="I90" s="510">
        <f>IFERROR(VLOOKUP(P90,COPY!$A$1:$L$1000,10,FALSE),0)</f>
        <v>0</v>
      </c>
      <c r="J90" s="467">
        <f>IFERROR(VLOOKUP(P90,COPY!$A$1:$L$1000,8,FALSE),0)</f>
        <v>0</v>
      </c>
      <c r="K90" s="457">
        <f>IFERROR(VLOOKUP(P90,COPY!$A$1:$L$1000,7,FALSE),0)</f>
        <v>0</v>
      </c>
      <c r="L90" s="468">
        <f>IFERROR(VLOOKUP(P90,COPY!$A$1:$O$1000,15,FALSE),0)</f>
        <v>0</v>
      </c>
      <c r="M90" s="468">
        <f>IFERROR(VLOOKUP(P90,COPY!$A$1:$L$1000,12,FALSE),0)</f>
        <v>0</v>
      </c>
      <c r="N90" s="471">
        <f>IF(H90="Jasa",VLOOKUP('BKU 3'!K90,'Rekap Gaji'!$D$12:$I$26,6,FALSE),(IF(H90="Beli",VLOOKUP(P90,COPY!$A$1:$L$1000,11,FALSE),IF(H90="Bayar Ongkos",VLOOKUP(K90,'Rekap Gaji'!$D$12:$I$26,6,FALSE),0))))</f>
        <v>0</v>
      </c>
      <c r="P90" s="466" t="str">
        <f t="shared" si="0"/>
        <v/>
      </c>
      <c r="Q90" s="253">
        <f t="shared" si="3"/>
        <v>0</v>
      </c>
      <c r="R90" s="253">
        <f t="shared" si="4"/>
        <v>0</v>
      </c>
      <c r="S90" s="449">
        <f t="shared" si="5"/>
        <v>58</v>
      </c>
      <c r="T90" s="253">
        <f t="shared" si="6"/>
        <v>58</v>
      </c>
      <c r="U90" s="457" t="str">
        <f t="shared" si="1"/>
        <v xml:space="preserve"> </v>
      </c>
    </row>
    <row r="91" spans="1:21" ht="20.100000000000001" hidden="1" customHeight="1" x14ac:dyDescent="0.25">
      <c r="A91" s="470" t="str">
        <f t="shared" si="2"/>
        <v/>
      </c>
      <c r="B91" s="456">
        <f>IF(LEFT(C91,16)="Terima Pajak PPN",VLOOKUP(P91,COPY!$A$1:$AC$1000,21,FALSE),IF(LEFT(C91,16)="Terima Pajak PPH",VLOOKUP(P91,COPY!$A$1:$AC$1000,21,FALSE),IF(LEFT(C91,13)="Terima PPh 23",VLOOKUP(P91,COPY!$A$1:$AC$1000,21,FALSE),0)))</f>
        <v>0</v>
      </c>
      <c r="C91" s="457">
        <f>IFERROR(IF(LEFT(VLOOKUP(P91,COPY!$A$1:$AC$1000,29,FALSE),5)="Terim",VLOOKUP(P91,COPY!$A$1:$AC$1000,29,FALSE),0),0)</f>
        <v>0</v>
      </c>
      <c r="D91" s="457"/>
      <c r="E91" s="457"/>
      <c r="F91" s="458">
        <f>IFERROR(IF(LEFT(VLOOKUP(P91,COPY!$A$1:$AC$1000,29,FALSE),5)="Terim",VLOOKUP(P91,COPY!$A$1:$AC$1000,26,FALSE),0),0)</f>
        <v>0</v>
      </c>
      <c r="G91" s="459">
        <f>IFERROR(VLOOKUP(P91,COPY!$A$1:$L$1000,4,FALSE),0)</f>
        <v>0</v>
      </c>
      <c r="H91" s="457">
        <f>IFERROR(VLOOKUP(P91,COPY!$A$1:$L$1000,2,FALSE),0)</f>
        <v>0</v>
      </c>
      <c r="I91" s="510">
        <f>IFERROR(VLOOKUP(P91,COPY!$A$1:$L$1000,10,FALSE),0)</f>
        <v>0</v>
      </c>
      <c r="J91" s="467">
        <f>IFERROR(VLOOKUP(P91,COPY!$A$1:$L$1000,8,FALSE),0)</f>
        <v>0</v>
      </c>
      <c r="K91" s="457">
        <f>IFERROR(VLOOKUP(P91,COPY!$A$1:$L$1000,7,FALSE),0)</f>
        <v>0</v>
      </c>
      <c r="L91" s="468">
        <f>IFERROR(VLOOKUP(P91,COPY!$A$1:$O$1000,15,FALSE),0)</f>
        <v>0</v>
      </c>
      <c r="M91" s="468">
        <f>IFERROR(VLOOKUP(P91,COPY!$A$1:$L$1000,12,FALSE),0)</f>
        <v>0</v>
      </c>
      <c r="N91" s="471">
        <f>IF(H91="Jasa",VLOOKUP('BKU 3'!K91,'Rekap Gaji'!$D$12:$I$26,6,FALSE),(IF(H91="Beli",VLOOKUP(P91,COPY!$A$1:$L$1000,11,FALSE),IF(H91="Bayar Ongkos",VLOOKUP(K91,'Rekap Gaji'!$D$12:$I$26,6,FALSE),0))))</f>
        <v>0</v>
      </c>
      <c r="P91" s="466" t="str">
        <f t="shared" si="0"/>
        <v/>
      </c>
      <c r="Q91" s="253">
        <f t="shared" si="3"/>
        <v>0</v>
      </c>
      <c r="R91" s="253">
        <f t="shared" si="4"/>
        <v>0</v>
      </c>
      <c r="S91" s="449">
        <f t="shared" si="5"/>
        <v>59</v>
      </c>
      <c r="T91" s="253">
        <f t="shared" si="6"/>
        <v>59</v>
      </c>
      <c r="U91" s="457" t="str">
        <f t="shared" si="1"/>
        <v xml:space="preserve"> </v>
      </c>
    </row>
    <row r="92" spans="1:21" ht="20.100000000000001" hidden="1" customHeight="1" x14ac:dyDescent="0.25">
      <c r="A92" s="470" t="str">
        <f t="shared" si="2"/>
        <v/>
      </c>
      <c r="B92" s="456">
        <f>IF(LEFT(C92,16)="Terima Pajak PPN",VLOOKUP(P92,COPY!$A$1:$AC$1000,21,FALSE),IF(LEFT(C92,16)="Terima Pajak PPH",VLOOKUP(P92,COPY!$A$1:$AC$1000,21,FALSE),IF(LEFT(C92,13)="Terima PPh 23",VLOOKUP(P92,COPY!$A$1:$AC$1000,21,FALSE),0)))</f>
        <v>0</v>
      </c>
      <c r="C92" s="457">
        <f>IFERROR(IF(LEFT(VLOOKUP(P92,COPY!$A$1:$AC$1000,29,FALSE),5)="Terim",VLOOKUP(P92,COPY!$A$1:$AC$1000,29,FALSE),0),0)</f>
        <v>0</v>
      </c>
      <c r="D92" s="457"/>
      <c r="E92" s="457"/>
      <c r="F92" s="458">
        <f>IFERROR(IF(LEFT(VLOOKUP(P92,COPY!$A$1:$AC$1000,29,FALSE),5)="Terim",VLOOKUP(P92,COPY!$A$1:$AC$1000,26,FALSE),0),0)</f>
        <v>0</v>
      </c>
      <c r="G92" s="459">
        <f>IFERROR(VLOOKUP(P92,COPY!$A$1:$L$1000,4,FALSE),0)</f>
        <v>0</v>
      </c>
      <c r="H92" s="457">
        <f>IFERROR(VLOOKUP(P92,COPY!$A$1:$L$1000,2,FALSE),0)</f>
        <v>0</v>
      </c>
      <c r="I92" s="510">
        <f>IFERROR(VLOOKUP(P92,COPY!$A$1:$L$1000,10,FALSE),0)</f>
        <v>0</v>
      </c>
      <c r="J92" s="467">
        <f>IFERROR(VLOOKUP(P92,COPY!$A$1:$L$1000,8,FALSE),0)</f>
        <v>0</v>
      </c>
      <c r="K92" s="457">
        <f>IFERROR(VLOOKUP(P92,COPY!$A$1:$L$1000,7,FALSE),0)</f>
        <v>0</v>
      </c>
      <c r="L92" s="468">
        <f>IFERROR(VLOOKUP(P92,COPY!$A$1:$O$1000,15,FALSE),0)</f>
        <v>0</v>
      </c>
      <c r="M92" s="468">
        <f>IFERROR(VLOOKUP(P92,COPY!$A$1:$L$1000,12,FALSE),0)</f>
        <v>0</v>
      </c>
      <c r="N92" s="471">
        <f>IF(H92="Jasa",VLOOKUP('BKU 3'!K92,'Rekap Gaji'!$D$12:$I$26,6,FALSE),(IF(H92="Beli",VLOOKUP(P92,COPY!$A$1:$L$1000,11,FALSE),IF(H92="Bayar Ongkos",VLOOKUP(K92,'Rekap Gaji'!$D$12:$I$26,6,FALSE),0))))</f>
        <v>0</v>
      </c>
      <c r="O92" s="470"/>
      <c r="P92" s="466" t="str">
        <f t="shared" si="0"/>
        <v/>
      </c>
      <c r="Q92" s="253">
        <f t="shared" si="3"/>
        <v>0</v>
      </c>
      <c r="R92" s="253">
        <f t="shared" si="4"/>
        <v>0</v>
      </c>
      <c r="S92" s="449">
        <f t="shared" si="5"/>
        <v>60</v>
      </c>
      <c r="T92" s="253">
        <f t="shared" si="6"/>
        <v>60</v>
      </c>
      <c r="U92" s="457" t="str">
        <f t="shared" si="1"/>
        <v xml:space="preserve"> </v>
      </c>
    </row>
    <row r="93" spans="1:21" ht="20.100000000000001" hidden="1" customHeight="1" x14ac:dyDescent="0.25">
      <c r="A93" s="470" t="str">
        <f t="shared" si="2"/>
        <v/>
      </c>
      <c r="B93" s="456">
        <f>IF(LEFT(C93,16)="Terima Pajak PPN",VLOOKUP(P93,COPY!$A$1:$AC$1000,21,FALSE),IF(LEFT(C93,16)="Terima Pajak PPH",VLOOKUP(P93,COPY!$A$1:$AC$1000,21,FALSE),IF(LEFT(C93,13)="Terima PPh 23",VLOOKUP(P93,COPY!$A$1:$AC$1000,21,FALSE),0)))</f>
        <v>0</v>
      </c>
      <c r="C93" s="457">
        <f>IFERROR(IF(LEFT(VLOOKUP(P93,COPY!$A$1:$AC$1000,29,FALSE),5)="Terim",VLOOKUP(P93,COPY!$A$1:$AC$1000,29,FALSE),0),0)</f>
        <v>0</v>
      </c>
      <c r="D93" s="457"/>
      <c r="E93" s="457"/>
      <c r="F93" s="458">
        <f>IFERROR(IF(LEFT(VLOOKUP(P93,COPY!$A$1:$AC$1000,29,FALSE),5)="Terim",VLOOKUP(P93,COPY!$A$1:$AC$1000,26,FALSE),0),0)</f>
        <v>0</v>
      </c>
      <c r="G93" s="459">
        <f>IFERROR(VLOOKUP(P93,COPY!$A$1:$L$1000,4,FALSE),0)</f>
        <v>0</v>
      </c>
      <c r="H93" s="457">
        <f>IFERROR(VLOOKUP(P93,COPY!$A$1:$L$1000,2,FALSE),0)</f>
        <v>0</v>
      </c>
      <c r="I93" s="510">
        <f>IFERROR(VLOOKUP(P93,COPY!$A$1:$L$1000,10,FALSE),0)</f>
        <v>0</v>
      </c>
      <c r="J93" s="467">
        <f>IFERROR(VLOOKUP(P93,COPY!$A$1:$L$1000,8,FALSE),0)</f>
        <v>0</v>
      </c>
      <c r="K93" s="457">
        <f>IFERROR(VLOOKUP(P93,COPY!$A$1:$L$1000,7,FALSE),0)</f>
        <v>0</v>
      </c>
      <c r="L93" s="468">
        <f>IFERROR(VLOOKUP(P93,COPY!$A$1:$O$1000,15,FALSE),0)</f>
        <v>0</v>
      </c>
      <c r="M93" s="468">
        <f>IFERROR(VLOOKUP(P93,COPY!$A$1:$L$1000,12,FALSE),0)</f>
        <v>0</v>
      </c>
      <c r="N93" s="471">
        <f>IF(H93="Jasa",VLOOKUP('BKU 3'!K93,'Rekap Gaji'!$D$12:$I$26,6,FALSE),(IF(H93="Beli",VLOOKUP(P93,COPY!$A$1:$L$1000,11,FALSE),IF(H93="Bayar Ongkos",VLOOKUP(K93,'Rekap Gaji'!$D$12:$I$26,6,FALSE),0))))</f>
        <v>0</v>
      </c>
      <c r="O93" s="470"/>
      <c r="P93" s="466" t="str">
        <f t="shared" si="0"/>
        <v/>
      </c>
      <c r="Q93" s="253">
        <f t="shared" si="3"/>
        <v>0</v>
      </c>
      <c r="R93" s="253">
        <f t="shared" si="4"/>
        <v>0</v>
      </c>
      <c r="S93" s="449">
        <f t="shared" si="5"/>
        <v>61</v>
      </c>
      <c r="T93" s="253">
        <f t="shared" si="6"/>
        <v>61</v>
      </c>
      <c r="U93" s="457" t="str">
        <f t="shared" si="1"/>
        <v xml:space="preserve"> </v>
      </c>
    </row>
    <row r="94" spans="1:21" ht="20.100000000000001" hidden="1" customHeight="1" x14ac:dyDescent="0.25">
      <c r="A94" s="470" t="str">
        <f t="shared" si="2"/>
        <v/>
      </c>
      <c r="B94" s="456">
        <f>IF(LEFT(C94,16)="Terima Pajak PPN",VLOOKUP(P94,COPY!$A$1:$AC$1000,21,FALSE),IF(LEFT(C94,16)="Terima Pajak PPH",VLOOKUP(P94,COPY!$A$1:$AC$1000,21,FALSE),IF(LEFT(C94,13)="Terima PPh 23",VLOOKUP(P94,COPY!$A$1:$AC$1000,21,FALSE),0)))</f>
        <v>0</v>
      </c>
      <c r="C94" s="457">
        <f>IFERROR(IF(LEFT(VLOOKUP(P94,COPY!$A$1:$AC$1000,29,FALSE),5)="Terim",VLOOKUP(P94,COPY!$A$1:$AC$1000,29,FALSE),0),0)</f>
        <v>0</v>
      </c>
      <c r="D94" s="457"/>
      <c r="E94" s="457"/>
      <c r="F94" s="458">
        <f>IFERROR(IF(LEFT(VLOOKUP(P94,COPY!$A$1:$AC$1000,29,FALSE),5)="Terim",VLOOKUP(P94,COPY!$A$1:$AC$1000,26,FALSE),0),0)</f>
        <v>0</v>
      </c>
      <c r="G94" s="459">
        <f>IFERROR(VLOOKUP(P94,COPY!$A$1:$L$1000,4,FALSE),0)</f>
        <v>0</v>
      </c>
      <c r="H94" s="457">
        <f>IFERROR(VLOOKUP(P94,COPY!$A$1:$L$1000,2,FALSE),0)</f>
        <v>0</v>
      </c>
      <c r="I94" s="510">
        <f>IFERROR(VLOOKUP(P94,COPY!$A$1:$L$1000,10,FALSE),0)</f>
        <v>0</v>
      </c>
      <c r="J94" s="467">
        <f>IFERROR(VLOOKUP(P94,COPY!$A$1:$L$1000,8,FALSE),0)</f>
        <v>0</v>
      </c>
      <c r="K94" s="457">
        <f>IFERROR(VLOOKUP(P94,COPY!$A$1:$L$1000,7,FALSE),0)</f>
        <v>0</v>
      </c>
      <c r="L94" s="468">
        <f>IFERROR(VLOOKUP(P94,COPY!$A$1:$O$1000,15,FALSE),0)</f>
        <v>0</v>
      </c>
      <c r="M94" s="468">
        <f>IFERROR(VLOOKUP(P94,COPY!$A$1:$L$1000,12,FALSE),0)</f>
        <v>0</v>
      </c>
      <c r="N94" s="471">
        <f>IF(H94="Jasa",VLOOKUP('BKU 3'!K94,'Rekap Gaji'!$D$12:$I$26,6,FALSE),(IF(H94="Beli",VLOOKUP(P94,COPY!$A$1:$L$1000,11,FALSE),IF(H94="Bayar Ongkos",VLOOKUP(K94,'Rekap Gaji'!$D$12:$I$26,6,FALSE),0))))</f>
        <v>0</v>
      </c>
      <c r="O94" s="470"/>
      <c r="P94" s="466" t="str">
        <f t="shared" si="0"/>
        <v/>
      </c>
      <c r="Q94" s="253">
        <f t="shared" si="3"/>
        <v>0</v>
      </c>
      <c r="R94" s="253">
        <f t="shared" si="4"/>
        <v>0</v>
      </c>
      <c r="S94" s="449">
        <f t="shared" si="5"/>
        <v>62</v>
      </c>
      <c r="T94" s="253">
        <f t="shared" si="6"/>
        <v>62</v>
      </c>
      <c r="U94" s="457" t="str">
        <f t="shared" si="1"/>
        <v xml:space="preserve"> </v>
      </c>
    </row>
    <row r="95" spans="1:21" ht="20.100000000000001" hidden="1" customHeight="1" x14ac:dyDescent="0.25">
      <c r="A95" s="470" t="str">
        <f t="shared" si="2"/>
        <v/>
      </c>
      <c r="B95" s="456">
        <f>IF(LEFT(C95,16)="Terima Pajak PPN",VLOOKUP(P95,COPY!$A$1:$AC$1000,21,FALSE),IF(LEFT(C95,16)="Terima Pajak PPH",VLOOKUP(P95,COPY!$A$1:$AC$1000,21,FALSE),IF(LEFT(C95,13)="Terima PPh 23",VLOOKUP(P95,COPY!$A$1:$AC$1000,21,FALSE),0)))</f>
        <v>0</v>
      </c>
      <c r="C95" s="457">
        <f>IFERROR(IF(LEFT(VLOOKUP(P95,COPY!$A$1:$AC$1000,29,FALSE),5)="Terim",VLOOKUP(P95,COPY!$A$1:$AC$1000,29,FALSE),0),0)</f>
        <v>0</v>
      </c>
      <c r="D95" s="457"/>
      <c r="E95" s="457"/>
      <c r="F95" s="458">
        <f>IFERROR(IF(LEFT(VLOOKUP(P95,COPY!$A$1:$AC$1000,29,FALSE),5)="Terim",VLOOKUP(P95,COPY!$A$1:$AC$1000,26,FALSE),0),0)</f>
        <v>0</v>
      </c>
      <c r="G95" s="459">
        <f>IFERROR(VLOOKUP(P95,COPY!$A$1:$L$1000,4,FALSE),0)</f>
        <v>0</v>
      </c>
      <c r="H95" s="457">
        <f>IFERROR(VLOOKUP(P95,COPY!$A$1:$L$1000,2,FALSE),0)</f>
        <v>0</v>
      </c>
      <c r="I95" s="510">
        <f>IFERROR(VLOOKUP(P95,COPY!$A$1:$L$1000,10,FALSE),0)</f>
        <v>0</v>
      </c>
      <c r="J95" s="467">
        <f>IFERROR(VLOOKUP(P95,COPY!$A$1:$L$1000,8,FALSE),0)</f>
        <v>0</v>
      </c>
      <c r="K95" s="457">
        <f>IFERROR(VLOOKUP(P95,COPY!$A$1:$L$1000,7,FALSE),0)</f>
        <v>0</v>
      </c>
      <c r="L95" s="468">
        <f>IFERROR(VLOOKUP(P95,COPY!$A$1:$O$1000,15,FALSE),0)</f>
        <v>0</v>
      </c>
      <c r="M95" s="468">
        <f>IFERROR(VLOOKUP(P95,COPY!$A$1:$L$1000,12,FALSE),0)</f>
        <v>0</v>
      </c>
      <c r="N95" s="471">
        <f>IF(H95="Jasa",VLOOKUP('BKU 3'!K95,'Rekap Gaji'!$D$12:$I$26,6,FALSE),(IF(H95="Beli",VLOOKUP(P95,COPY!$A$1:$L$1000,11,FALSE),IF(H95="Bayar Ongkos",VLOOKUP(K95,'Rekap Gaji'!$D$12:$I$26,6,FALSE),0))))</f>
        <v>0</v>
      </c>
      <c r="O95" s="470"/>
      <c r="P95" s="466" t="str">
        <f t="shared" si="0"/>
        <v/>
      </c>
      <c r="Q95" s="253">
        <f t="shared" si="3"/>
        <v>0</v>
      </c>
      <c r="R95" s="253">
        <f t="shared" si="4"/>
        <v>0</v>
      </c>
      <c r="S95" s="449">
        <f t="shared" si="5"/>
        <v>63</v>
      </c>
      <c r="T95" s="253">
        <f t="shared" si="6"/>
        <v>63</v>
      </c>
      <c r="U95" s="457" t="str">
        <f t="shared" si="1"/>
        <v xml:space="preserve"> </v>
      </c>
    </row>
    <row r="96" spans="1:21" ht="20.100000000000001" hidden="1" customHeight="1" x14ac:dyDescent="0.25">
      <c r="A96" s="470" t="str">
        <f t="shared" si="2"/>
        <v/>
      </c>
      <c r="B96" s="456">
        <f>IF(LEFT(C96,16)="Terima Pajak PPN",VLOOKUP(P96,COPY!$A$1:$AC$1000,21,FALSE),IF(LEFT(C96,16)="Terima Pajak PPH",VLOOKUP(P96,COPY!$A$1:$AC$1000,21,FALSE),IF(LEFT(C96,13)="Terima PPh 23",VLOOKUP(P96,COPY!$A$1:$AC$1000,21,FALSE),0)))</f>
        <v>0</v>
      </c>
      <c r="C96" s="457">
        <f>IFERROR(IF(LEFT(VLOOKUP(P96,COPY!$A$1:$AC$1000,29,FALSE),5)="Terim",VLOOKUP(P96,COPY!$A$1:$AC$1000,29,FALSE),0),0)</f>
        <v>0</v>
      </c>
      <c r="D96" s="457"/>
      <c r="E96" s="457"/>
      <c r="F96" s="458">
        <f>IFERROR(IF(LEFT(VLOOKUP(P96,COPY!$A$1:$AC$1000,29,FALSE),5)="Terim",VLOOKUP(P96,COPY!$A$1:$AC$1000,26,FALSE),0),0)</f>
        <v>0</v>
      </c>
      <c r="G96" s="459">
        <f>IFERROR(VLOOKUP(P96,COPY!$A$1:$L$1000,4,FALSE),0)</f>
        <v>0</v>
      </c>
      <c r="H96" s="457">
        <f>IFERROR(VLOOKUP(P96,COPY!$A$1:$L$1000,2,FALSE),0)</f>
        <v>0</v>
      </c>
      <c r="I96" s="510">
        <f>IFERROR(VLOOKUP(P96,COPY!$A$1:$L$1000,10,FALSE),0)</f>
        <v>0</v>
      </c>
      <c r="J96" s="467">
        <f>IFERROR(VLOOKUP(P96,COPY!$A$1:$L$1000,8,FALSE),0)</f>
        <v>0</v>
      </c>
      <c r="K96" s="457">
        <f>IFERROR(VLOOKUP(P96,COPY!$A$1:$L$1000,7,FALSE),0)</f>
        <v>0</v>
      </c>
      <c r="L96" s="468">
        <f>IFERROR(VLOOKUP(P96,COPY!$A$1:$O$1000,15,FALSE),0)</f>
        <v>0</v>
      </c>
      <c r="M96" s="468">
        <f>IFERROR(VLOOKUP(P96,COPY!$A$1:$L$1000,12,FALSE),0)</f>
        <v>0</v>
      </c>
      <c r="N96" s="471">
        <f>IF(H96="Jasa",VLOOKUP('BKU 3'!K96,'Rekap Gaji'!$D$12:$I$26,6,FALSE),(IF(H96="Beli",VLOOKUP(P96,COPY!$A$1:$L$1000,11,FALSE),IF(H96="Bayar Ongkos",VLOOKUP(K96,'Rekap Gaji'!$D$12:$I$26,6,FALSE),0))))</f>
        <v>0</v>
      </c>
      <c r="O96" s="470"/>
      <c r="P96" s="466" t="str">
        <f t="shared" si="0"/>
        <v/>
      </c>
      <c r="Q96" s="253">
        <f t="shared" si="3"/>
        <v>0</v>
      </c>
      <c r="R96" s="253">
        <f t="shared" si="4"/>
        <v>0</v>
      </c>
      <c r="S96" s="449">
        <f t="shared" si="5"/>
        <v>64</v>
      </c>
      <c r="T96" s="253">
        <f t="shared" si="6"/>
        <v>64</v>
      </c>
      <c r="U96" s="457" t="str">
        <f t="shared" si="1"/>
        <v xml:space="preserve"> </v>
      </c>
    </row>
    <row r="97" spans="1:21" ht="20.100000000000001" hidden="1" customHeight="1" x14ac:dyDescent="0.25">
      <c r="A97" s="470" t="str">
        <f t="shared" si="2"/>
        <v/>
      </c>
      <c r="B97" s="456">
        <f>IF(LEFT(C97,16)="Terima Pajak PPN",VLOOKUP(P97,COPY!$A$1:$AC$1000,21,FALSE),IF(LEFT(C97,16)="Terima Pajak PPH",VLOOKUP(P97,COPY!$A$1:$AC$1000,21,FALSE),IF(LEFT(C97,13)="Terima PPh 23",VLOOKUP(P97,COPY!$A$1:$AC$1000,21,FALSE),0)))</f>
        <v>0</v>
      </c>
      <c r="C97" s="457">
        <f>IFERROR(IF(LEFT(VLOOKUP(P97,COPY!$A$1:$AC$1000,29,FALSE),5)="Terim",VLOOKUP(P97,COPY!$A$1:$AC$1000,29,FALSE),0),0)</f>
        <v>0</v>
      </c>
      <c r="D97" s="457"/>
      <c r="E97" s="457"/>
      <c r="F97" s="458">
        <f>IFERROR(IF(LEFT(VLOOKUP(P97,COPY!$A$1:$AC$1000,29,FALSE),5)="Terim",VLOOKUP(P97,COPY!$A$1:$AC$1000,26,FALSE),0),0)</f>
        <v>0</v>
      </c>
      <c r="G97" s="459">
        <f>IFERROR(VLOOKUP(P97,COPY!$A$1:$L$1000,4,FALSE),0)</f>
        <v>0</v>
      </c>
      <c r="H97" s="457">
        <f>IFERROR(VLOOKUP(P97,COPY!$A$1:$L$1000,2,FALSE),0)</f>
        <v>0</v>
      </c>
      <c r="I97" s="510">
        <f>IFERROR(VLOOKUP(P97,COPY!$A$1:$L$1000,10,FALSE),0)</f>
        <v>0</v>
      </c>
      <c r="J97" s="467">
        <f>IFERROR(VLOOKUP(P97,COPY!$A$1:$L$1000,8,FALSE),0)</f>
        <v>0</v>
      </c>
      <c r="K97" s="457">
        <f>IFERROR(VLOOKUP(P97,COPY!$A$1:$L$1000,7,FALSE),0)</f>
        <v>0</v>
      </c>
      <c r="L97" s="468">
        <f>IFERROR(VLOOKUP(P97,COPY!$A$1:$O$1000,15,FALSE),0)</f>
        <v>0</v>
      </c>
      <c r="M97" s="468">
        <f>IFERROR(VLOOKUP(P97,COPY!$A$1:$L$1000,12,FALSE),0)</f>
        <v>0</v>
      </c>
      <c r="N97" s="471">
        <f>IF(H97="Jasa",VLOOKUP('BKU 3'!K97,'Rekap Gaji'!$D$12:$I$26,6,FALSE),(IF(H97="Beli",VLOOKUP(P97,COPY!$A$1:$L$1000,11,FALSE),IF(H97="Bayar Ongkos",VLOOKUP(K97,'Rekap Gaji'!$D$12:$I$26,6,FALSE),0))))</f>
        <v>0</v>
      </c>
      <c r="O97" s="470"/>
      <c r="P97" s="466" t="str">
        <f t="shared" ref="P97:P160" si="7">IF(Q97&gt;0,$D$24&amp;"."&amp;Q97,"")</f>
        <v/>
      </c>
      <c r="Q97" s="253">
        <f t="shared" si="3"/>
        <v>0</v>
      </c>
      <c r="R97" s="253">
        <f t="shared" si="4"/>
        <v>0</v>
      </c>
      <c r="S97" s="449">
        <f t="shared" si="5"/>
        <v>65</v>
      </c>
      <c r="T97" s="253">
        <f t="shared" si="6"/>
        <v>65</v>
      </c>
      <c r="U97" s="457" t="str">
        <f t="shared" ref="U97:U160" si="8">IF(LEFT(C97,16)="terima Pajak PPN",1,IF(LEFT(C97,16)="terima Pajak PPH",2,IF(LEFT(C97,21)="Bayar Pajak Final PPH",3," ")))</f>
        <v xml:space="preserve"> </v>
      </c>
    </row>
    <row r="98" spans="1:21" ht="20.100000000000001" hidden="1" customHeight="1" x14ac:dyDescent="0.25">
      <c r="A98" s="470" t="str">
        <f t="shared" ref="A98:A161" si="9">P98</f>
        <v/>
      </c>
      <c r="B98" s="456">
        <f>IF(LEFT(C98,16)="Terima Pajak PPN",VLOOKUP(P98,COPY!$A$1:$AC$1000,21,FALSE),IF(LEFT(C98,16)="Terima Pajak PPH",VLOOKUP(P98,COPY!$A$1:$AC$1000,21,FALSE),IF(LEFT(C98,13)="Terima PPh 23",VLOOKUP(P98,COPY!$A$1:$AC$1000,21,FALSE),0)))</f>
        <v>0</v>
      </c>
      <c r="C98" s="457">
        <f>IFERROR(IF(LEFT(VLOOKUP(P98,COPY!$A$1:$AC$1000,29,FALSE),5)="Terim",VLOOKUP(P98,COPY!$A$1:$AC$1000,29,FALSE),0),0)</f>
        <v>0</v>
      </c>
      <c r="D98" s="457"/>
      <c r="E98" s="457"/>
      <c r="F98" s="458">
        <f>IFERROR(IF(LEFT(VLOOKUP(P98,COPY!$A$1:$AC$1000,29,FALSE),5)="Terim",VLOOKUP(P98,COPY!$A$1:$AC$1000,26,FALSE),0),0)</f>
        <v>0</v>
      </c>
      <c r="G98" s="459">
        <f>IFERROR(VLOOKUP(P98,COPY!$A$1:$L$1000,4,FALSE),0)</f>
        <v>0</v>
      </c>
      <c r="H98" s="457">
        <f>IFERROR(VLOOKUP(P98,COPY!$A$1:$L$1000,2,FALSE),0)</f>
        <v>0</v>
      </c>
      <c r="I98" s="510">
        <f>IFERROR(VLOOKUP(P98,COPY!$A$1:$L$1000,10,FALSE),0)</f>
        <v>0</v>
      </c>
      <c r="J98" s="467">
        <f>IFERROR(VLOOKUP(P98,COPY!$A$1:$L$1000,8,FALSE),0)</f>
        <v>0</v>
      </c>
      <c r="K98" s="457">
        <f>IFERROR(VLOOKUP(P98,COPY!$A$1:$L$1000,7,FALSE),0)</f>
        <v>0</v>
      </c>
      <c r="L98" s="468">
        <f>IFERROR(VLOOKUP(P98,COPY!$A$1:$O$1000,15,FALSE),0)</f>
        <v>0</v>
      </c>
      <c r="M98" s="468">
        <f>IFERROR(VLOOKUP(P98,COPY!$A$1:$L$1000,12,FALSE),0)</f>
        <v>0</v>
      </c>
      <c r="N98" s="471">
        <f>IF(H98="Jasa",VLOOKUP('BKU 3'!K98,'Rekap Gaji'!$D$12:$I$26,6,FALSE),(IF(H98="Beli",VLOOKUP(P98,COPY!$A$1:$L$1000,11,FALSE),IF(H98="Bayar Ongkos",VLOOKUP(K98,'Rekap Gaji'!$D$12:$I$26,6,FALSE),0))))</f>
        <v>0</v>
      </c>
      <c r="O98" s="470"/>
      <c r="P98" s="466" t="str">
        <f t="shared" si="7"/>
        <v/>
      </c>
      <c r="Q98" s="253">
        <f t="shared" si="3"/>
        <v>0</v>
      </c>
      <c r="R98" s="253">
        <f t="shared" si="4"/>
        <v>0</v>
      </c>
      <c r="S98" s="449">
        <f t="shared" si="5"/>
        <v>66</v>
      </c>
      <c r="T98" s="253">
        <f t="shared" si="6"/>
        <v>66</v>
      </c>
      <c r="U98" s="457" t="str">
        <f t="shared" si="8"/>
        <v xml:space="preserve"> </v>
      </c>
    </row>
    <row r="99" spans="1:21" ht="20.100000000000001" hidden="1" customHeight="1" x14ac:dyDescent="0.25">
      <c r="A99" s="470" t="str">
        <f t="shared" si="9"/>
        <v/>
      </c>
      <c r="B99" s="456">
        <f>IF(LEFT(C99,16)="Terima Pajak PPN",VLOOKUP(P99,COPY!$A$1:$AC$1000,21,FALSE),IF(LEFT(C99,16)="Terima Pajak PPH",VLOOKUP(P99,COPY!$A$1:$AC$1000,21,FALSE),IF(LEFT(C99,13)="Terima PPh 23",VLOOKUP(P99,COPY!$A$1:$AC$1000,21,FALSE),0)))</f>
        <v>0</v>
      </c>
      <c r="C99" s="457">
        <f>IFERROR(IF(LEFT(VLOOKUP(P99,COPY!$A$1:$AC$1000,29,FALSE),5)="Terim",VLOOKUP(P99,COPY!$A$1:$AC$1000,29,FALSE),0),0)</f>
        <v>0</v>
      </c>
      <c r="D99" s="457"/>
      <c r="E99" s="457"/>
      <c r="F99" s="458">
        <f>IFERROR(IF(LEFT(VLOOKUP(P99,COPY!$A$1:$AC$1000,29,FALSE),5)="Terim",VLOOKUP(P99,COPY!$A$1:$AC$1000,26,FALSE),0),0)</f>
        <v>0</v>
      </c>
      <c r="G99" s="459">
        <f>IFERROR(VLOOKUP(P99,COPY!$A$1:$L$1000,4,FALSE),0)</f>
        <v>0</v>
      </c>
      <c r="H99" s="457">
        <f>IFERROR(VLOOKUP(P99,COPY!$A$1:$L$1000,2,FALSE),0)</f>
        <v>0</v>
      </c>
      <c r="I99" s="510">
        <f>IFERROR(VLOOKUP(P99,COPY!$A$1:$L$1000,10,FALSE),0)</f>
        <v>0</v>
      </c>
      <c r="J99" s="467">
        <f>IFERROR(VLOOKUP(P99,COPY!$A$1:$L$1000,8,FALSE),0)</f>
        <v>0</v>
      </c>
      <c r="K99" s="457">
        <f>IFERROR(VLOOKUP(P99,COPY!$A$1:$L$1000,7,FALSE),0)</f>
        <v>0</v>
      </c>
      <c r="L99" s="468">
        <f>IFERROR(VLOOKUP(P99,COPY!$A$1:$O$1000,15,FALSE),0)</f>
        <v>0</v>
      </c>
      <c r="M99" s="468">
        <f>IFERROR(VLOOKUP(P99,COPY!$A$1:$L$1000,12,FALSE),0)</f>
        <v>0</v>
      </c>
      <c r="N99" s="471">
        <f>IF(H99="Jasa",VLOOKUP('BKU 3'!K99,'Rekap Gaji'!$D$12:$I$26,6,FALSE),(IF(H99="Beli",VLOOKUP(P99,COPY!$A$1:$L$1000,11,FALSE),IF(H99="Bayar Ongkos",VLOOKUP(K99,'Rekap Gaji'!$D$12:$I$26,6,FALSE),0))))</f>
        <v>0</v>
      </c>
      <c r="O99" s="470"/>
      <c r="P99" s="466" t="str">
        <f t="shared" si="7"/>
        <v/>
      </c>
      <c r="Q99" s="253">
        <f t="shared" ref="Q99:Q162" si="10">IF(T99&lt;=0,T99+$S$30,0)</f>
        <v>0</v>
      </c>
      <c r="R99" s="253">
        <f t="shared" ref="R99:R162" si="11">IF(T99&lt;=0,S99,0)</f>
        <v>0</v>
      </c>
      <c r="S99" s="449">
        <f t="shared" ref="S99:S162" si="12">S98+1</f>
        <v>67</v>
      </c>
      <c r="T99" s="253">
        <f t="shared" ref="T99:T162" si="13">S99-$S$30</f>
        <v>67</v>
      </c>
      <c r="U99" s="457" t="str">
        <f t="shared" si="8"/>
        <v xml:space="preserve"> </v>
      </c>
    </row>
    <row r="100" spans="1:21" ht="20.100000000000001" hidden="1" customHeight="1" x14ac:dyDescent="0.25">
      <c r="A100" s="470" t="str">
        <f t="shared" si="9"/>
        <v/>
      </c>
      <c r="B100" s="456">
        <f>IF(LEFT(C100,16)="Terima Pajak PPN",VLOOKUP(P100,COPY!$A$1:$AC$1000,21,FALSE),IF(LEFT(C100,16)="Terima Pajak PPH",VLOOKUP(P100,COPY!$A$1:$AC$1000,21,FALSE),IF(LEFT(C100,13)="Terima PPh 23",VLOOKUP(P100,COPY!$A$1:$AC$1000,21,FALSE),0)))</f>
        <v>0</v>
      </c>
      <c r="C100" s="457">
        <f>IFERROR(IF(LEFT(VLOOKUP(P100,COPY!$A$1:$AC$1000,29,FALSE),5)="Terim",VLOOKUP(P100,COPY!$A$1:$AC$1000,29,FALSE),0),0)</f>
        <v>0</v>
      </c>
      <c r="D100" s="457"/>
      <c r="E100" s="457"/>
      <c r="F100" s="458">
        <f>IFERROR(IF(LEFT(VLOOKUP(P100,COPY!$A$1:$AC$1000,29,FALSE),5)="Terim",VLOOKUP(P100,COPY!$A$1:$AC$1000,26,FALSE),0),0)</f>
        <v>0</v>
      </c>
      <c r="G100" s="459">
        <f>IFERROR(VLOOKUP(P100,COPY!$A$1:$L$1000,4,FALSE),0)</f>
        <v>0</v>
      </c>
      <c r="H100" s="457">
        <f>IFERROR(VLOOKUP(P100,COPY!$A$1:$L$1000,2,FALSE),0)</f>
        <v>0</v>
      </c>
      <c r="I100" s="510">
        <f>IFERROR(VLOOKUP(P100,COPY!$A$1:$L$1000,10,FALSE),0)</f>
        <v>0</v>
      </c>
      <c r="J100" s="467">
        <f>IFERROR(VLOOKUP(P100,COPY!$A$1:$L$1000,8,FALSE),0)</f>
        <v>0</v>
      </c>
      <c r="K100" s="457">
        <f>IFERROR(VLOOKUP(P100,COPY!$A$1:$L$1000,7,FALSE),0)</f>
        <v>0</v>
      </c>
      <c r="L100" s="468">
        <f>IFERROR(VLOOKUP(P100,COPY!$A$1:$O$1000,15,FALSE),0)</f>
        <v>0</v>
      </c>
      <c r="M100" s="468">
        <f>IFERROR(VLOOKUP(P100,COPY!$A$1:$L$1000,12,FALSE),0)</f>
        <v>0</v>
      </c>
      <c r="N100" s="471">
        <f>IF(H100="Jasa",VLOOKUP('BKU 3'!K100,'Rekap Gaji'!$D$12:$I$26,6,FALSE),(IF(H100="Beli",VLOOKUP(P100,COPY!$A$1:$L$1000,11,FALSE),IF(H100="Bayar Ongkos",VLOOKUP(K100,'Rekap Gaji'!$D$12:$I$26,6,FALSE),0))))</f>
        <v>0</v>
      </c>
      <c r="O100" s="470"/>
      <c r="P100" s="466" t="str">
        <f t="shared" si="7"/>
        <v/>
      </c>
      <c r="Q100" s="253">
        <f t="shared" si="10"/>
        <v>0</v>
      </c>
      <c r="R100" s="253">
        <f t="shared" si="11"/>
        <v>0</v>
      </c>
      <c r="S100" s="449">
        <f t="shared" si="12"/>
        <v>68</v>
      </c>
      <c r="T100" s="253">
        <f t="shared" si="13"/>
        <v>68</v>
      </c>
      <c r="U100" s="457" t="str">
        <f t="shared" si="8"/>
        <v xml:space="preserve"> </v>
      </c>
    </row>
    <row r="101" spans="1:21" ht="20.100000000000001" hidden="1" customHeight="1" x14ac:dyDescent="0.25">
      <c r="A101" s="470" t="str">
        <f t="shared" si="9"/>
        <v/>
      </c>
      <c r="B101" s="456">
        <f>IF(LEFT(C101,16)="Terima Pajak PPN",VLOOKUP(P101,COPY!$A$1:$AC$1000,21,FALSE),IF(LEFT(C101,16)="Terima Pajak PPH",VLOOKUP(P101,COPY!$A$1:$AC$1000,21,FALSE),IF(LEFT(C101,13)="Terima PPh 23",VLOOKUP(P101,COPY!$A$1:$AC$1000,21,FALSE),0)))</f>
        <v>0</v>
      </c>
      <c r="C101" s="457">
        <f>IFERROR(IF(LEFT(VLOOKUP(P101,COPY!$A$1:$AC$1000,29,FALSE),5)="Terim",VLOOKUP(P101,COPY!$A$1:$AC$1000,29,FALSE),0),0)</f>
        <v>0</v>
      </c>
      <c r="D101" s="457"/>
      <c r="E101" s="457"/>
      <c r="F101" s="458">
        <f>IFERROR(IF(LEFT(VLOOKUP(P101,COPY!$A$1:$AC$1000,29,FALSE),5)="Terim",VLOOKUP(P101,COPY!$A$1:$AC$1000,26,FALSE),0),0)</f>
        <v>0</v>
      </c>
      <c r="G101" s="459">
        <f>IFERROR(VLOOKUP(P101,COPY!$A$1:$L$1000,4,FALSE),0)</f>
        <v>0</v>
      </c>
      <c r="H101" s="457">
        <f>IFERROR(VLOOKUP(P101,COPY!$A$1:$L$1000,2,FALSE),0)</f>
        <v>0</v>
      </c>
      <c r="I101" s="510">
        <f>IFERROR(VLOOKUP(P101,COPY!$A$1:$L$1000,10,FALSE),0)</f>
        <v>0</v>
      </c>
      <c r="J101" s="467">
        <f>IFERROR(VLOOKUP(P101,COPY!$A$1:$L$1000,8,FALSE),0)</f>
        <v>0</v>
      </c>
      <c r="K101" s="457">
        <f>IFERROR(VLOOKUP(P101,COPY!$A$1:$L$1000,7,FALSE),0)</f>
        <v>0</v>
      </c>
      <c r="L101" s="468">
        <f>IFERROR(VLOOKUP(P101,COPY!$A$1:$O$1000,15,FALSE),0)</f>
        <v>0</v>
      </c>
      <c r="M101" s="468">
        <f>IFERROR(VLOOKUP(P101,COPY!$A$1:$L$1000,12,FALSE),0)</f>
        <v>0</v>
      </c>
      <c r="N101" s="471">
        <f>IF(H101="Jasa",VLOOKUP('BKU 3'!K101,'Rekap Gaji'!$D$12:$I$26,6,FALSE),(IF(H101="Beli",VLOOKUP(P101,COPY!$A$1:$L$1000,11,FALSE),IF(H101="Bayar Ongkos",VLOOKUP(K101,'Rekap Gaji'!$D$12:$I$26,6,FALSE),0))))</f>
        <v>0</v>
      </c>
      <c r="O101" s="470"/>
      <c r="P101" s="466" t="str">
        <f t="shared" si="7"/>
        <v/>
      </c>
      <c r="Q101" s="253">
        <f t="shared" si="10"/>
        <v>0</v>
      </c>
      <c r="R101" s="253">
        <f t="shared" si="11"/>
        <v>0</v>
      </c>
      <c r="S101" s="449">
        <f t="shared" si="12"/>
        <v>69</v>
      </c>
      <c r="T101" s="253">
        <f t="shared" si="13"/>
        <v>69</v>
      </c>
      <c r="U101" s="457" t="str">
        <f t="shared" si="8"/>
        <v xml:space="preserve"> </v>
      </c>
    </row>
    <row r="102" spans="1:21" ht="20.100000000000001" hidden="1" customHeight="1" x14ac:dyDescent="0.25">
      <c r="A102" s="470" t="str">
        <f t="shared" si="9"/>
        <v/>
      </c>
      <c r="B102" s="456">
        <f>IF(LEFT(C102,16)="Terima Pajak PPN",VLOOKUP(P102,COPY!$A$1:$AC$1000,21,FALSE),IF(LEFT(C102,16)="Terima Pajak PPH",VLOOKUP(P102,COPY!$A$1:$AC$1000,21,FALSE),IF(LEFT(C102,13)="Terima PPh 23",VLOOKUP(P102,COPY!$A$1:$AC$1000,21,FALSE),0)))</f>
        <v>0</v>
      </c>
      <c r="C102" s="457">
        <f>IFERROR(IF(LEFT(VLOOKUP(P102,COPY!$A$1:$AC$1000,29,FALSE),5)="Terim",VLOOKUP(P102,COPY!$A$1:$AC$1000,29,FALSE),0),0)</f>
        <v>0</v>
      </c>
      <c r="D102" s="457"/>
      <c r="E102" s="457"/>
      <c r="F102" s="458">
        <f>IFERROR(IF(LEFT(VLOOKUP(P102,COPY!$A$1:$AC$1000,29,FALSE),5)="Terim",VLOOKUP(P102,COPY!$A$1:$AC$1000,26,FALSE),0),0)</f>
        <v>0</v>
      </c>
      <c r="G102" s="459">
        <f>IFERROR(VLOOKUP(P102,COPY!$A$1:$L$1000,4,FALSE),0)</f>
        <v>0</v>
      </c>
      <c r="H102" s="457">
        <f>IFERROR(VLOOKUP(P102,COPY!$A$1:$L$1000,2,FALSE),0)</f>
        <v>0</v>
      </c>
      <c r="I102" s="510">
        <f>IFERROR(VLOOKUP(P102,COPY!$A$1:$L$1000,10,FALSE),0)</f>
        <v>0</v>
      </c>
      <c r="J102" s="467">
        <f>IFERROR(VLOOKUP(P102,COPY!$A$1:$L$1000,8,FALSE),0)</f>
        <v>0</v>
      </c>
      <c r="K102" s="457">
        <f>IFERROR(VLOOKUP(P102,COPY!$A$1:$L$1000,7,FALSE),0)</f>
        <v>0</v>
      </c>
      <c r="L102" s="468">
        <f>IFERROR(VLOOKUP(P102,COPY!$A$1:$O$1000,15,FALSE),0)</f>
        <v>0</v>
      </c>
      <c r="M102" s="468">
        <f>IFERROR(VLOOKUP(P102,COPY!$A$1:$L$1000,12,FALSE),0)</f>
        <v>0</v>
      </c>
      <c r="N102" s="471">
        <f>IF(H102="Jasa",VLOOKUP('BKU 3'!K102,'Rekap Gaji'!$D$12:$I$26,6,FALSE),(IF(H102="Beli",VLOOKUP(P102,COPY!$A$1:$L$1000,11,FALSE),IF(H102="Bayar Ongkos",VLOOKUP(K102,'Rekap Gaji'!$D$12:$I$26,6,FALSE),0))))</f>
        <v>0</v>
      </c>
      <c r="O102" s="470"/>
      <c r="P102" s="466" t="str">
        <f t="shared" si="7"/>
        <v/>
      </c>
      <c r="Q102" s="253">
        <f t="shared" si="10"/>
        <v>0</v>
      </c>
      <c r="R102" s="253">
        <f t="shared" si="11"/>
        <v>0</v>
      </c>
      <c r="S102" s="449">
        <f t="shared" si="12"/>
        <v>70</v>
      </c>
      <c r="T102" s="253">
        <f t="shared" si="13"/>
        <v>70</v>
      </c>
      <c r="U102" s="457" t="str">
        <f t="shared" si="8"/>
        <v xml:space="preserve"> </v>
      </c>
    </row>
    <row r="103" spans="1:21" ht="20.100000000000001" hidden="1" customHeight="1" x14ac:dyDescent="0.25">
      <c r="A103" s="470" t="str">
        <f t="shared" si="9"/>
        <v/>
      </c>
      <c r="B103" s="456">
        <f>IF(LEFT(C103,16)="Terima Pajak PPN",VLOOKUP(P103,COPY!$A$1:$AC$1000,21,FALSE),IF(LEFT(C103,16)="Terima Pajak PPH",VLOOKUP(P103,COPY!$A$1:$AC$1000,21,FALSE),IF(LEFT(C103,13)="Terima PPh 23",VLOOKUP(P103,COPY!$A$1:$AC$1000,21,FALSE),0)))</f>
        <v>0</v>
      </c>
      <c r="C103" s="457">
        <f>IFERROR(IF(LEFT(VLOOKUP(P103,COPY!$A$1:$AC$1000,29,FALSE),5)="Terim",VLOOKUP(P103,COPY!$A$1:$AC$1000,29,FALSE),0),0)</f>
        <v>0</v>
      </c>
      <c r="D103" s="457"/>
      <c r="E103" s="457"/>
      <c r="F103" s="458">
        <f>IFERROR(IF(LEFT(VLOOKUP(P103,COPY!$A$1:$AC$1000,29,FALSE),5)="Terim",VLOOKUP(P103,COPY!$A$1:$AC$1000,26,FALSE),0),0)</f>
        <v>0</v>
      </c>
      <c r="G103" s="459">
        <f>IFERROR(VLOOKUP(P103,COPY!$A$1:$L$1000,4,FALSE),0)</f>
        <v>0</v>
      </c>
      <c r="H103" s="457">
        <f>IFERROR(VLOOKUP(P103,COPY!$A$1:$L$1000,2,FALSE),0)</f>
        <v>0</v>
      </c>
      <c r="I103" s="510">
        <f>IFERROR(VLOOKUP(P103,COPY!$A$1:$L$1000,10,FALSE),0)</f>
        <v>0</v>
      </c>
      <c r="J103" s="467">
        <f>IFERROR(VLOOKUP(P103,COPY!$A$1:$L$1000,8,FALSE),0)</f>
        <v>0</v>
      </c>
      <c r="K103" s="457">
        <f>IFERROR(VLOOKUP(P103,COPY!$A$1:$L$1000,7,FALSE),0)</f>
        <v>0</v>
      </c>
      <c r="L103" s="468">
        <f>IFERROR(VLOOKUP(P103,COPY!$A$1:$O$1000,15,FALSE),0)</f>
        <v>0</v>
      </c>
      <c r="M103" s="468">
        <f>IFERROR(VLOOKUP(P103,COPY!$A$1:$L$1000,12,FALSE),0)</f>
        <v>0</v>
      </c>
      <c r="N103" s="471">
        <f>IF(H103="Jasa",VLOOKUP('BKU 3'!K103,'Rekap Gaji'!$D$12:$I$26,6,FALSE),(IF(H103="Beli",VLOOKUP(P103,COPY!$A$1:$L$1000,11,FALSE),IF(H103="Bayar Ongkos",VLOOKUP(K103,'Rekap Gaji'!$D$12:$I$26,6,FALSE),0))))</f>
        <v>0</v>
      </c>
      <c r="O103" s="470"/>
      <c r="P103" s="466" t="str">
        <f t="shared" si="7"/>
        <v/>
      </c>
      <c r="Q103" s="253">
        <f t="shared" si="10"/>
        <v>0</v>
      </c>
      <c r="R103" s="253">
        <f t="shared" si="11"/>
        <v>0</v>
      </c>
      <c r="S103" s="449">
        <f t="shared" si="12"/>
        <v>71</v>
      </c>
      <c r="T103" s="253">
        <f t="shared" si="13"/>
        <v>71</v>
      </c>
      <c r="U103" s="457" t="str">
        <f t="shared" si="8"/>
        <v xml:space="preserve"> </v>
      </c>
    </row>
    <row r="104" spans="1:21" ht="20.100000000000001" hidden="1" customHeight="1" x14ac:dyDescent="0.25">
      <c r="A104" s="470" t="str">
        <f t="shared" si="9"/>
        <v/>
      </c>
      <c r="B104" s="456">
        <f>IF(LEFT(C104,16)="Terima Pajak PPN",VLOOKUP(P104,COPY!$A$1:$AC$1000,21,FALSE),IF(LEFT(C104,16)="Terima Pajak PPH",VLOOKUP(P104,COPY!$A$1:$AC$1000,21,FALSE),IF(LEFT(C104,13)="Terima PPh 23",VLOOKUP(P104,COPY!$A$1:$AC$1000,21,FALSE),0)))</f>
        <v>0</v>
      </c>
      <c r="C104" s="457">
        <f>IFERROR(IF(LEFT(VLOOKUP(P104,COPY!$A$1:$AC$1000,29,FALSE),5)="Terim",VLOOKUP(P104,COPY!$A$1:$AC$1000,29,FALSE),0),0)</f>
        <v>0</v>
      </c>
      <c r="D104" s="457"/>
      <c r="E104" s="457"/>
      <c r="F104" s="458">
        <f>IFERROR(IF(LEFT(VLOOKUP(P104,COPY!$A$1:$AC$1000,29,FALSE),5)="Terim",VLOOKUP(P104,COPY!$A$1:$AC$1000,26,FALSE),0),0)</f>
        <v>0</v>
      </c>
      <c r="G104" s="459">
        <f>IFERROR(VLOOKUP(P104,COPY!$A$1:$L$1000,4,FALSE),0)</f>
        <v>0</v>
      </c>
      <c r="H104" s="457">
        <f>IFERROR(VLOOKUP(P104,COPY!$A$1:$L$1000,2,FALSE),0)</f>
        <v>0</v>
      </c>
      <c r="I104" s="510">
        <f>IFERROR(VLOOKUP(P104,COPY!$A$1:$L$1000,10,FALSE),0)</f>
        <v>0</v>
      </c>
      <c r="J104" s="467">
        <f>IFERROR(VLOOKUP(P104,COPY!$A$1:$L$1000,8,FALSE),0)</f>
        <v>0</v>
      </c>
      <c r="K104" s="457">
        <f>IFERROR(VLOOKUP(P104,COPY!$A$1:$L$1000,7,FALSE),0)</f>
        <v>0</v>
      </c>
      <c r="L104" s="468">
        <f>IFERROR(VLOOKUP(P104,COPY!$A$1:$O$1000,15,FALSE),0)</f>
        <v>0</v>
      </c>
      <c r="M104" s="468">
        <f>IFERROR(VLOOKUP(P104,COPY!$A$1:$L$1000,12,FALSE),0)</f>
        <v>0</v>
      </c>
      <c r="N104" s="471">
        <f>IF(H104="Jasa",VLOOKUP('BKU 3'!K104,'Rekap Gaji'!$D$12:$I$26,6,FALSE),(IF(H104="Beli",VLOOKUP(P104,COPY!$A$1:$L$1000,11,FALSE),IF(H104="Bayar Ongkos",VLOOKUP(K104,'Rekap Gaji'!$D$12:$I$26,6,FALSE),0))))</f>
        <v>0</v>
      </c>
      <c r="O104" s="470"/>
      <c r="P104" s="466" t="str">
        <f t="shared" si="7"/>
        <v/>
      </c>
      <c r="Q104" s="253">
        <f t="shared" si="10"/>
        <v>0</v>
      </c>
      <c r="R104" s="253">
        <f t="shared" si="11"/>
        <v>0</v>
      </c>
      <c r="S104" s="449">
        <f t="shared" si="12"/>
        <v>72</v>
      </c>
      <c r="T104" s="253">
        <f t="shared" si="13"/>
        <v>72</v>
      </c>
      <c r="U104" s="457" t="str">
        <f t="shared" si="8"/>
        <v xml:space="preserve"> </v>
      </c>
    </row>
    <row r="105" spans="1:21" ht="20.100000000000001" hidden="1" customHeight="1" x14ac:dyDescent="0.25">
      <c r="A105" s="470" t="str">
        <f t="shared" si="9"/>
        <v/>
      </c>
      <c r="B105" s="456">
        <f>IF(LEFT(C105,16)="Terima Pajak PPN",VLOOKUP(P105,COPY!$A$1:$AC$1000,21,FALSE),IF(LEFT(C105,16)="Terima Pajak PPH",VLOOKUP(P105,COPY!$A$1:$AC$1000,21,FALSE),IF(LEFT(C105,13)="Terima PPh 23",VLOOKUP(P105,COPY!$A$1:$AC$1000,21,FALSE),0)))</f>
        <v>0</v>
      </c>
      <c r="C105" s="457">
        <f>IFERROR(IF(LEFT(VLOOKUP(P105,COPY!$A$1:$AC$1000,29,FALSE),5)="Terim",VLOOKUP(P105,COPY!$A$1:$AC$1000,29,FALSE),0),0)</f>
        <v>0</v>
      </c>
      <c r="D105" s="457"/>
      <c r="E105" s="457"/>
      <c r="F105" s="458">
        <f>IFERROR(IF(LEFT(VLOOKUP(P105,COPY!$A$1:$AC$1000,29,FALSE),5)="Terim",VLOOKUP(P105,COPY!$A$1:$AC$1000,26,FALSE),0),0)</f>
        <v>0</v>
      </c>
      <c r="G105" s="459">
        <f>IFERROR(VLOOKUP(P105,COPY!$A$1:$L$1000,4,FALSE),0)</f>
        <v>0</v>
      </c>
      <c r="H105" s="457">
        <f>IFERROR(VLOOKUP(P105,COPY!$A$1:$L$1000,2,FALSE),0)</f>
        <v>0</v>
      </c>
      <c r="I105" s="510">
        <f>IFERROR(VLOOKUP(P105,COPY!$A$1:$L$1000,10,FALSE),0)</f>
        <v>0</v>
      </c>
      <c r="J105" s="467">
        <f>IFERROR(VLOOKUP(P105,COPY!$A$1:$L$1000,8,FALSE),0)</f>
        <v>0</v>
      </c>
      <c r="K105" s="457">
        <f>IFERROR(VLOOKUP(P105,COPY!$A$1:$L$1000,7,FALSE),0)</f>
        <v>0</v>
      </c>
      <c r="L105" s="468">
        <f>IFERROR(VLOOKUP(P105,COPY!$A$1:$O$1000,15,FALSE),0)</f>
        <v>0</v>
      </c>
      <c r="M105" s="468">
        <f>IFERROR(VLOOKUP(P105,COPY!$A$1:$L$1000,12,FALSE),0)</f>
        <v>0</v>
      </c>
      <c r="N105" s="471">
        <f>IF(H105="Jasa",VLOOKUP('BKU 3'!K105,'Rekap Gaji'!$D$12:$I$26,6,FALSE),(IF(H105="Beli",VLOOKUP(P105,COPY!$A$1:$L$1000,11,FALSE),IF(H105="Bayar Ongkos",VLOOKUP(K105,'Rekap Gaji'!$D$12:$I$26,6,FALSE),0))))</f>
        <v>0</v>
      </c>
      <c r="O105" s="470"/>
      <c r="P105" s="466" t="str">
        <f t="shared" si="7"/>
        <v/>
      </c>
      <c r="Q105" s="253">
        <f t="shared" si="10"/>
        <v>0</v>
      </c>
      <c r="R105" s="253">
        <f t="shared" si="11"/>
        <v>0</v>
      </c>
      <c r="S105" s="449">
        <f t="shared" si="12"/>
        <v>73</v>
      </c>
      <c r="T105" s="253">
        <f t="shared" si="13"/>
        <v>73</v>
      </c>
      <c r="U105" s="457" t="str">
        <f t="shared" si="8"/>
        <v xml:space="preserve"> </v>
      </c>
    </row>
    <row r="106" spans="1:21" ht="20.100000000000001" hidden="1" customHeight="1" x14ac:dyDescent="0.25">
      <c r="A106" s="470" t="str">
        <f t="shared" si="9"/>
        <v/>
      </c>
      <c r="B106" s="456">
        <f>IF(LEFT(C106,16)="Terima Pajak PPN",VLOOKUP(P106,COPY!$A$1:$AC$1000,21,FALSE),IF(LEFT(C106,16)="Terima Pajak PPH",VLOOKUP(P106,COPY!$A$1:$AC$1000,21,FALSE),IF(LEFT(C106,13)="Terima PPh 23",VLOOKUP(P106,COPY!$A$1:$AC$1000,21,FALSE),0)))</f>
        <v>0</v>
      </c>
      <c r="C106" s="457">
        <f>IFERROR(IF(LEFT(VLOOKUP(P106,COPY!$A$1:$AC$1000,29,FALSE),5)="Terim",VLOOKUP(P106,COPY!$A$1:$AC$1000,29,FALSE),0),0)</f>
        <v>0</v>
      </c>
      <c r="D106" s="457"/>
      <c r="E106" s="457"/>
      <c r="F106" s="458">
        <f>IFERROR(IF(LEFT(VLOOKUP(P106,COPY!$A$1:$AC$1000,29,FALSE),5)="Terim",VLOOKUP(P106,COPY!$A$1:$AC$1000,26,FALSE),0),0)</f>
        <v>0</v>
      </c>
      <c r="G106" s="459">
        <f>IFERROR(VLOOKUP(P106,COPY!$A$1:$L$1000,4,FALSE),0)</f>
        <v>0</v>
      </c>
      <c r="H106" s="457">
        <f>IFERROR(VLOOKUP(P106,COPY!$A$1:$L$1000,2,FALSE),0)</f>
        <v>0</v>
      </c>
      <c r="I106" s="510">
        <f>IFERROR(VLOOKUP(P106,COPY!$A$1:$L$1000,10,FALSE),0)</f>
        <v>0</v>
      </c>
      <c r="J106" s="467">
        <f>IFERROR(VLOOKUP(P106,COPY!$A$1:$L$1000,8,FALSE),0)</f>
        <v>0</v>
      </c>
      <c r="K106" s="457">
        <f>IFERROR(VLOOKUP(P106,COPY!$A$1:$L$1000,7,FALSE),0)</f>
        <v>0</v>
      </c>
      <c r="L106" s="468">
        <f>IFERROR(VLOOKUP(P106,COPY!$A$1:$O$1000,15,FALSE),0)</f>
        <v>0</v>
      </c>
      <c r="M106" s="468">
        <f>IFERROR(VLOOKUP(P106,COPY!$A$1:$L$1000,12,FALSE),0)</f>
        <v>0</v>
      </c>
      <c r="N106" s="471">
        <f>IF(H106="Jasa",VLOOKUP('BKU 3'!K106,'Rekap Gaji'!$D$12:$I$26,6,FALSE),(IF(H106="Beli",VLOOKUP(P106,COPY!$A$1:$L$1000,11,FALSE),IF(H106="Bayar Ongkos",VLOOKUP(K106,'Rekap Gaji'!$D$12:$I$26,6,FALSE),0))))</f>
        <v>0</v>
      </c>
      <c r="O106" s="470"/>
      <c r="P106" s="466" t="str">
        <f t="shared" si="7"/>
        <v/>
      </c>
      <c r="Q106" s="253">
        <f t="shared" si="10"/>
        <v>0</v>
      </c>
      <c r="R106" s="253">
        <f t="shared" si="11"/>
        <v>0</v>
      </c>
      <c r="S106" s="449">
        <f t="shared" si="12"/>
        <v>74</v>
      </c>
      <c r="T106" s="253">
        <f t="shared" si="13"/>
        <v>74</v>
      </c>
      <c r="U106" s="457" t="str">
        <f t="shared" si="8"/>
        <v xml:space="preserve"> </v>
      </c>
    </row>
    <row r="107" spans="1:21" ht="20.100000000000001" hidden="1" customHeight="1" x14ac:dyDescent="0.25">
      <c r="A107" s="470" t="str">
        <f t="shared" si="9"/>
        <v/>
      </c>
      <c r="B107" s="456">
        <f>IF(LEFT(C107,16)="Terima Pajak PPN",VLOOKUP(P107,COPY!$A$1:$AC$1000,21,FALSE),IF(LEFT(C107,16)="Terima Pajak PPH",VLOOKUP(P107,COPY!$A$1:$AC$1000,21,FALSE),IF(LEFT(C107,13)="Terima PPh 23",VLOOKUP(P107,COPY!$A$1:$AC$1000,21,FALSE),0)))</f>
        <v>0</v>
      </c>
      <c r="C107" s="457">
        <f>IFERROR(IF(LEFT(VLOOKUP(P107,COPY!$A$1:$AC$1000,29,FALSE),5)="Terim",VLOOKUP(P107,COPY!$A$1:$AC$1000,29,FALSE),0),0)</f>
        <v>0</v>
      </c>
      <c r="D107" s="457"/>
      <c r="E107" s="457"/>
      <c r="F107" s="458">
        <f>IFERROR(IF(LEFT(VLOOKUP(P107,COPY!$A$1:$AC$1000,29,FALSE),5)="Terim",VLOOKUP(P107,COPY!$A$1:$AC$1000,26,FALSE),0),0)</f>
        <v>0</v>
      </c>
      <c r="G107" s="459">
        <f>IFERROR(VLOOKUP(P107,COPY!$A$1:$L$1000,4,FALSE),0)</f>
        <v>0</v>
      </c>
      <c r="H107" s="457">
        <f>IFERROR(VLOOKUP(P107,COPY!$A$1:$L$1000,2,FALSE),0)</f>
        <v>0</v>
      </c>
      <c r="I107" s="510">
        <f>IFERROR(VLOOKUP(P107,COPY!$A$1:$L$1000,10,FALSE),0)</f>
        <v>0</v>
      </c>
      <c r="J107" s="467">
        <f>IFERROR(VLOOKUP(P107,COPY!$A$1:$L$1000,8,FALSE),0)</f>
        <v>0</v>
      </c>
      <c r="K107" s="457">
        <f>IFERROR(VLOOKUP(P107,COPY!$A$1:$L$1000,7,FALSE),0)</f>
        <v>0</v>
      </c>
      <c r="L107" s="468">
        <f>IFERROR(VLOOKUP(P107,COPY!$A$1:$O$1000,15,FALSE),0)</f>
        <v>0</v>
      </c>
      <c r="M107" s="468">
        <f>IFERROR(VLOOKUP(P107,COPY!$A$1:$L$1000,12,FALSE),0)</f>
        <v>0</v>
      </c>
      <c r="N107" s="471">
        <f>IF(H107="Jasa",VLOOKUP('BKU 3'!K107,'Rekap Gaji'!$D$12:$I$26,6,FALSE),(IF(H107="Beli",VLOOKUP(P107,COPY!$A$1:$L$1000,11,FALSE),IF(H107="Bayar Ongkos",VLOOKUP(K107,'Rekap Gaji'!$D$12:$I$26,6,FALSE),0))))</f>
        <v>0</v>
      </c>
      <c r="O107" s="470"/>
      <c r="P107" s="466" t="str">
        <f t="shared" si="7"/>
        <v/>
      </c>
      <c r="Q107" s="253">
        <f t="shared" si="10"/>
        <v>0</v>
      </c>
      <c r="R107" s="253">
        <f t="shared" si="11"/>
        <v>0</v>
      </c>
      <c r="S107" s="449">
        <f t="shared" si="12"/>
        <v>75</v>
      </c>
      <c r="T107" s="253">
        <f t="shared" si="13"/>
        <v>75</v>
      </c>
      <c r="U107" s="457" t="str">
        <f t="shared" si="8"/>
        <v xml:space="preserve"> </v>
      </c>
    </row>
    <row r="108" spans="1:21" ht="20.100000000000001" hidden="1" customHeight="1" x14ac:dyDescent="0.25">
      <c r="A108" s="470" t="str">
        <f t="shared" si="9"/>
        <v/>
      </c>
      <c r="B108" s="456">
        <f>IF(LEFT(C108,16)="Terima Pajak PPN",VLOOKUP(P108,COPY!$A$1:$AC$1000,21,FALSE),IF(LEFT(C108,16)="Terima Pajak PPH",VLOOKUP(P108,COPY!$A$1:$AC$1000,21,FALSE),IF(LEFT(C108,13)="Terima PPh 23",VLOOKUP(P108,COPY!$A$1:$AC$1000,21,FALSE),0)))</f>
        <v>0</v>
      </c>
      <c r="C108" s="457">
        <f>IFERROR(IF(LEFT(VLOOKUP(P108,COPY!$A$1:$AC$1000,29,FALSE),5)="Terim",VLOOKUP(P108,COPY!$A$1:$AC$1000,29,FALSE),0),0)</f>
        <v>0</v>
      </c>
      <c r="D108" s="457"/>
      <c r="E108" s="457"/>
      <c r="F108" s="458">
        <f>IFERROR(IF(LEFT(VLOOKUP(P108,COPY!$A$1:$AC$1000,29,FALSE),5)="Terim",VLOOKUP(P108,COPY!$A$1:$AC$1000,26,FALSE),0),0)</f>
        <v>0</v>
      </c>
      <c r="G108" s="459">
        <f>IFERROR(VLOOKUP(P108,COPY!$A$1:$L$1000,4,FALSE),0)</f>
        <v>0</v>
      </c>
      <c r="H108" s="457">
        <f>IFERROR(VLOOKUP(P108,COPY!$A$1:$L$1000,2,FALSE),0)</f>
        <v>0</v>
      </c>
      <c r="I108" s="510">
        <f>IFERROR(VLOOKUP(P108,COPY!$A$1:$L$1000,10,FALSE),0)</f>
        <v>0</v>
      </c>
      <c r="J108" s="467">
        <f>IFERROR(VLOOKUP(P108,COPY!$A$1:$L$1000,8,FALSE),0)</f>
        <v>0</v>
      </c>
      <c r="K108" s="457">
        <f>IFERROR(VLOOKUP(P108,COPY!$A$1:$L$1000,7,FALSE),0)</f>
        <v>0</v>
      </c>
      <c r="L108" s="468">
        <f>IFERROR(VLOOKUP(P108,COPY!$A$1:$O$1000,15,FALSE),0)</f>
        <v>0</v>
      </c>
      <c r="M108" s="468">
        <f>IFERROR(VLOOKUP(P108,COPY!$A$1:$L$1000,12,FALSE),0)</f>
        <v>0</v>
      </c>
      <c r="N108" s="471">
        <f>IF(H108="Jasa",VLOOKUP('BKU 3'!K108,'Rekap Gaji'!$D$12:$I$26,6,FALSE),(IF(H108="Beli",VLOOKUP(P108,COPY!$A$1:$L$1000,11,FALSE),IF(H108="Bayar Ongkos",VLOOKUP(K108,'Rekap Gaji'!$D$12:$I$26,6,FALSE),0))))</f>
        <v>0</v>
      </c>
      <c r="O108" s="470"/>
      <c r="P108" s="466" t="str">
        <f t="shared" si="7"/>
        <v/>
      </c>
      <c r="Q108" s="253">
        <f t="shared" si="10"/>
        <v>0</v>
      </c>
      <c r="R108" s="253">
        <f t="shared" si="11"/>
        <v>0</v>
      </c>
      <c r="S108" s="449">
        <f t="shared" si="12"/>
        <v>76</v>
      </c>
      <c r="T108" s="253">
        <f t="shared" si="13"/>
        <v>76</v>
      </c>
      <c r="U108" s="457" t="str">
        <f t="shared" si="8"/>
        <v xml:space="preserve"> </v>
      </c>
    </row>
    <row r="109" spans="1:21" ht="20.100000000000001" hidden="1" customHeight="1" x14ac:dyDescent="0.25">
      <c r="A109" s="470" t="str">
        <f t="shared" si="9"/>
        <v/>
      </c>
      <c r="B109" s="456">
        <f>IF(LEFT(C109,16)="Terima Pajak PPN",VLOOKUP(P109,COPY!$A$1:$AC$1000,21,FALSE),IF(LEFT(C109,16)="Terima Pajak PPH",VLOOKUP(P109,COPY!$A$1:$AC$1000,21,FALSE),IF(LEFT(C109,13)="Terima PPh 23",VLOOKUP(P109,COPY!$A$1:$AC$1000,21,FALSE),0)))</f>
        <v>0</v>
      </c>
      <c r="C109" s="457">
        <f>IFERROR(IF(LEFT(VLOOKUP(P109,COPY!$A$1:$AC$1000,29,FALSE),5)="Terim",VLOOKUP(P109,COPY!$A$1:$AC$1000,29,FALSE),0),0)</f>
        <v>0</v>
      </c>
      <c r="D109" s="457"/>
      <c r="E109" s="457"/>
      <c r="F109" s="458">
        <f>IFERROR(IF(LEFT(VLOOKUP(P109,COPY!$A$1:$AC$1000,29,FALSE),5)="Terim",VLOOKUP(P109,COPY!$A$1:$AC$1000,26,FALSE),0),0)</f>
        <v>0</v>
      </c>
      <c r="G109" s="459">
        <f>IFERROR(VLOOKUP(P109,COPY!$A$1:$L$1000,4,FALSE),0)</f>
        <v>0</v>
      </c>
      <c r="H109" s="457">
        <f>IFERROR(VLOOKUP(P109,COPY!$A$1:$L$1000,2,FALSE),0)</f>
        <v>0</v>
      </c>
      <c r="I109" s="510">
        <f>IFERROR(VLOOKUP(P109,COPY!$A$1:$L$1000,10,FALSE),0)</f>
        <v>0</v>
      </c>
      <c r="J109" s="467">
        <f>IFERROR(VLOOKUP(P109,COPY!$A$1:$L$1000,8,FALSE),0)</f>
        <v>0</v>
      </c>
      <c r="K109" s="457">
        <f>IFERROR(VLOOKUP(P109,COPY!$A$1:$L$1000,7,FALSE),0)</f>
        <v>0</v>
      </c>
      <c r="L109" s="468">
        <f>IFERROR(VLOOKUP(P109,COPY!$A$1:$O$1000,15,FALSE),0)</f>
        <v>0</v>
      </c>
      <c r="M109" s="468">
        <f>IFERROR(VLOOKUP(P109,COPY!$A$1:$L$1000,12,FALSE),0)</f>
        <v>0</v>
      </c>
      <c r="N109" s="471">
        <f>IF(H109="Jasa",VLOOKUP('BKU 3'!K109,'Rekap Gaji'!$D$12:$I$26,6,FALSE),(IF(H109="Beli",VLOOKUP(P109,COPY!$A$1:$L$1000,11,FALSE),IF(H109="Bayar Ongkos",VLOOKUP(K109,'Rekap Gaji'!$D$12:$I$26,6,FALSE),0))))</f>
        <v>0</v>
      </c>
      <c r="O109" s="470"/>
      <c r="P109" s="466" t="str">
        <f t="shared" si="7"/>
        <v/>
      </c>
      <c r="Q109" s="253">
        <f t="shared" si="10"/>
        <v>0</v>
      </c>
      <c r="R109" s="253">
        <f t="shared" si="11"/>
        <v>0</v>
      </c>
      <c r="S109" s="449">
        <f t="shared" si="12"/>
        <v>77</v>
      </c>
      <c r="T109" s="253">
        <f t="shared" si="13"/>
        <v>77</v>
      </c>
      <c r="U109" s="457" t="str">
        <f t="shared" si="8"/>
        <v xml:space="preserve"> </v>
      </c>
    </row>
    <row r="110" spans="1:21" ht="20.100000000000001" hidden="1" customHeight="1" x14ac:dyDescent="0.25">
      <c r="A110" s="470" t="str">
        <f t="shared" si="9"/>
        <v/>
      </c>
      <c r="B110" s="456">
        <f>IF(LEFT(C110,16)="Terima Pajak PPN",VLOOKUP(P110,COPY!$A$1:$AC$1000,21,FALSE),IF(LEFT(C110,16)="Terima Pajak PPH",VLOOKUP(P110,COPY!$A$1:$AC$1000,21,FALSE),IF(LEFT(C110,13)="Terima PPh 23",VLOOKUP(P110,COPY!$A$1:$AC$1000,21,FALSE),0)))</f>
        <v>0</v>
      </c>
      <c r="C110" s="457">
        <f>IFERROR(IF(LEFT(VLOOKUP(P110,COPY!$A$1:$AC$1000,29,FALSE),5)="Terim",VLOOKUP(P110,COPY!$A$1:$AC$1000,29,FALSE),0),0)</f>
        <v>0</v>
      </c>
      <c r="D110" s="457"/>
      <c r="E110" s="457"/>
      <c r="F110" s="458">
        <f>IFERROR(IF(LEFT(VLOOKUP(P110,COPY!$A$1:$AC$1000,29,FALSE),5)="Terim",VLOOKUP(P110,COPY!$A$1:$AC$1000,26,FALSE),0),0)</f>
        <v>0</v>
      </c>
      <c r="G110" s="459">
        <f>IFERROR(VLOOKUP(P110,COPY!$A$1:$L$1000,4,FALSE),0)</f>
        <v>0</v>
      </c>
      <c r="H110" s="457">
        <f>IFERROR(VLOOKUP(P110,COPY!$A$1:$L$1000,2,FALSE),0)</f>
        <v>0</v>
      </c>
      <c r="I110" s="510">
        <f>IFERROR(VLOOKUP(P110,COPY!$A$1:$L$1000,10,FALSE),0)</f>
        <v>0</v>
      </c>
      <c r="J110" s="467">
        <f>IFERROR(VLOOKUP(P110,COPY!$A$1:$L$1000,8,FALSE),0)</f>
        <v>0</v>
      </c>
      <c r="K110" s="457">
        <f>IFERROR(VLOOKUP(P110,COPY!$A$1:$L$1000,7,FALSE),0)</f>
        <v>0</v>
      </c>
      <c r="L110" s="468">
        <f>IFERROR(VLOOKUP(P110,COPY!$A$1:$O$1000,15,FALSE),0)</f>
        <v>0</v>
      </c>
      <c r="M110" s="468">
        <f>IFERROR(VLOOKUP(P110,COPY!$A$1:$L$1000,12,FALSE),0)</f>
        <v>0</v>
      </c>
      <c r="N110" s="471">
        <f>IF(H110="Jasa",VLOOKUP('BKU 3'!K110,'Rekap Gaji'!$D$12:$I$26,6,FALSE),(IF(H110="Beli",VLOOKUP(P110,COPY!$A$1:$L$1000,11,FALSE),IF(H110="Bayar Ongkos",VLOOKUP(K110,'Rekap Gaji'!$D$12:$I$26,6,FALSE),0))))</f>
        <v>0</v>
      </c>
      <c r="O110" s="470"/>
      <c r="P110" s="466" t="str">
        <f t="shared" si="7"/>
        <v/>
      </c>
      <c r="Q110" s="253">
        <f t="shared" si="10"/>
        <v>0</v>
      </c>
      <c r="R110" s="253">
        <f t="shared" si="11"/>
        <v>0</v>
      </c>
      <c r="S110" s="449">
        <f t="shared" si="12"/>
        <v>78</v>
      </c>
      <c r="T110" s="253">
        <f t="shared" si="13"/>
        <v>78</v>
      </c>
      <c r="U110" s="457" t="str">
        <f t="shared" si="8"/>
        <v xml:space="preserve"> </v>
      </c>
    </row>
    <row r="111" spans="1:21" ht="20.100000000000001" hidden="1" customHeight="1" x14ac:dyDescent="0.25">
      <c r="A111" s="470" t="str">
        <f t="shared" si="9"/>
        <v/>
      </c>
      <c r="B111" s="456">
        <f>IF(LEFT(C111,16)="Terima Pajak PPN",VLOOKUP(P111,COPY!$A$1:$AC$1000,21,FALSE),IF(LEFT(C111,16)="Terima Pajak PPH",VLOOKUP(P111,COPY!$A$1:$AC$1000,21,FALSE),IF(LEFT(C111,13)="Terima PPh 23",VLOOKUP(P111,COPY!$A$1:$AC$1000,21,FALSE),0)))</f>
        <v>0</v>
      </c>
      <c r="C111" s="457">
        <f>IFERROR(IF(LEFT(VLOOKUP(P111,COPY!$A$1:$AC$1000,29,FALSE),5)="Terim",VLOOKUP(P111,COPY!$A$1:$AC$1000,29,FALSE),0),0)</f>
        <v>0</v>
      </c>
      <c r="D111" s="457"/>
      <c r="E111" s="457"/>
      <c r="F111" s="458">
        <f>IFERROR(IF(LEFT(VLOOKUP(P111,COPY!$A$1:$AC$1000,29,FALSE),5)="Terim",VLOOKUP(P111,COPY!$A$1:$AC$1000,26,FALSE),0),0)</f>
        <v>0</v>
      </c>
      <c r="G111" s="459">
        <f>IFERROR(VLOOKUP(P111,COPY!$A$1:$L$1000,4,FALSE),0)</f>
        <v>0</v>
      </c>
      <c r="H111" s="457">
        <f>IFERROR(VLOOKUP(P111,COPY!$A$1:$L$1000,2,FALSE),0)</f>
        <v>0</v>
      </c>
      <c r="I111" s="510">
        <f>IFERROR(VLOOKUP(P111,COPY!$A$1:$L$1000,10,FALSE),0)</f>
        <v>0</v>
      </c>
      <c r="J111" s="467">
        <f>IFERROR(VLOOKUP(P111,COPY!$A$1:$L$1000,8,FALSE),0)</f>
        <v>0</v>
      </c>
      <c r="K111" s="457">
        <f>IFERROR(VLOOKUP(P111,COPY!$A$1:$L$1000,7,FALSE),0)</f>
        <v>0</v>
      </c>
      <c r="L111" s="468">
        <f>IFERROR(VLOOKUP(P111,COPY!$A$1:$O$1000,15,FALSE),0)</f>
        <v>0</v>
      </c>
      <c r="M111" s="468">
        <f>IFERROR(VLOOKUP(P111,COPY!$A$1:$L$1000,12,FALSE),0)</f>
        <v>0</v>
      </c>
      <c r="N111" s="471">
        <f>IF(H111="Jasa",VLOOKUP('BKU 3'!K111,'Rekap Gaji'!$D$12:$I$26,6,FALSE),(IF(H111="Beli",VLOOKUP(P111,COPY!$A$1:$L$1000,11,FALSE),IF(H111="Bayar Ongkos",VLOOKUP(K111,'Rekap Gaji'!$D$12:$I$26,6,FALSE),0))))</f>
        <v>0</v>
      </c>
      <c r="O111" s="470"/>
      <c r="P111" s="466" t="str">
        <f t="shared" si="7"/>
        <v/>
      </c>
      <c r="Q111" s="253">
        <f t="shared" si="10"/>
        <v>0</v>
      </c>
      <c r="R111" s="253">
        <f t="shared" si="11"/>
        <v>0</v>
      </c>
      <c r="S111" s="449">
        <f t="shared" si="12"/>
        <v>79</v>
      </c>
      <c r="T111" s="253">
        <f t="shared" si="13"/>
        <v>79</v>
      </c>
      <c r="U111" s="457" t="str">
        <f t="shared" si="8"/>
        <v xml:space="preserve"> </v>
      </c>
    </row>
    <row r="112" spans="1:21" ht="20.100000000000001" hidden="1" customHeight="1" x14ac:dyDescent="0.25">
      <c r="A112" s="470" t="str">
        <f t="shared" si="9"/>
        <v/>
      </c>
      <c r="B112" s="456">
        <f>IF(LEFT(C112,16)="Terima Pajak PPN",VLOOKUP(P112,COPY!$A$1:$AC$1000,21,FALSE),IF(LEFT(C112,16)="Terima Pajak PPH",VLOOKUP(P112,COPY!$A$1:$AC$1000,21,FALSE),IF(LEFT(C112,13)="Terima PPh 23",VLOOKUP(P112,COPY!$A$1:$AC$1000,21,FALSE),0)))</f>
        <v>0</v>
      </c>
      <c r="C112" s="457">
        <f>IFERROR(IF(LEFT(VLOOKUP(P112,COPY!$A$1:$AC$1000,29,FALSE),5)="Terim",VLOOKUP(P112,COPY!$A$1:$AC$1000,29,FALSE),0),0)</f>
        <v>0</v>
      </c>
      <c r="D112" s="457"/>
      <c r="E112" s="457"/>
      <c r="F112" s="458">
        <f>IFERROR(IF(LEFT(VLOOKUP(P112,COPY!$A$1:$AC$1000,29,FALSE),5)="Terim",VLOOKUP(P112,COPY!$A$1:$AC$1000,26,FALSE),0),0)</f>
        <v>0</v>
      </c>
      <c r="G112" s="459">
        <f>IFERROR(VLOOKUP(P112,COPY!$A$1:$L$1000,4,FALSE),0)</f>
        <v>0</v>
      </c>
      <c r="H112" s="457">
        <f>IFERROR(VLOOKUP(P112,COPY!$A$1:$L$1000,2,FALSE),0)</f>
        <v>0</v>
      </c>
      <c r="I112" s="510">
        <f>IFERROR(VLOOKUP(P112,COPY!$A$1:$L$1000,10,FALSE),0)</f>
        <v>0</v>
      </c>
      <c r="J112" s="467">
        <f>IFERROR(VLOOKUP(P112,COPY!$A$1:$L$1000,8,FALSE),0)</f>
        <v>0</v>
      </c>
      <c r="K112" s="457">
        <f>IFERROR(VLOOKUP(P112,COPY!$A$1:$L$1000,7,FALSE),0)</f>
        <v>0</v>
      </c>
      <c r="L112" s="468">
        <f>IFERROR(VLOOKUP(P112,COPY!$A$1:$O$1000,15,FALSE),0)</f>
        <v>0</v>
      </c>
      <c r="M112" s="468">
        <f>IFERROR(VLOOKUP(P112,COPY!$A$1:$L$1000,12,FALSE),0)</f>
        <v>0</v>
      </c>
      <c r="N112" s="471">
        <f>IF(H112="Jasa",VLOOKUP('BKU 3'!K112,'Rekap Gaji'!$D$12:$I$26,6,FALSE),(IF(H112="Beli",VLOOKUP(P112,COPY!$A$1:$L$1000,11,FALSE),IF(H112="Bayar Ongkos",VLOOKUP(K112,'Rekap Gaji'!$D$12:$I$26,6,FALSE),0))))</f>
        <v>0</v>
      </c>
      <c r="O112" s="470"/>
      <c r="P112" s="466" t="str">
        <f t="shared" si="7"/>
        <v/>
      </c>
      <c r="Q112" s="253">
        <f t="shared" si="10"/>
        <v>0</v>
      </c>
      <c r="R112" s="253">
        <f t="shared" si="11"/>
        <v>0</v>
      </c>
      <c r="S112" s="449">
        <f t="shared" si="12"/>
        <v>80</v>
      </c>
      <c r="T112" s="253">
        <f t="shared" si="13"/>
        <v>80</v>
      </c>
      <c r="U112" s="457" t="str">
        <f t="shared" si="8"/>
        <v xml:space="preserve"> </v>
      </c>
    </row>
    <row r="113" spans="1:21" ht="20.100000000000001" hidden="1" customHeight="1" x14ac:dyDescent="0.25">
      <c r="A113" s="470" t="str">
        <f t="shared" si="9"/>
        <v/>
      </c>
      <c r="B113" s="456">
        <f>IF(LEFT(C113,16)="Terima Pajak PPN",VLOOKUP(P113,COPY!$A$1:$AC$1000,21,FALSE),IF(LEFT(C113,16)="Terima Pajak PPH",VLOOKUP(P113,COPY!$A$1:$AC$1000,21,FALSE),IF(LEFT(C113,13)="Terima PPh 23",VLOOKUP(P113,COPY!$A$1:$AC$1000,21,FALSE),0)))</f>
        <v>0</v>
      </c>
      <c r="C113" s="457">
        <f>IFERROR(IF(LEFT(VLOOKUP(P113,COPY!$A$1:$AC$1000,29,FALSE),5)="Terim",VLOOKUP(P113,COPY!$A$1:$AC$1000,29,FALSE),0),0)</f>
        <v>0</v>
      </c>
      <c r="D113" s="457"/>
      <c r="E113" s="457"/>
      <c r="F113" s="458">
        <f>IFERROR(IF(LEFT(VLOOKUP(P113,COPY!$A$1:$AC$1000,29,FALSE),5)="Terim",VLOOKUP(P113,COPY!$A$1:$AC$1000,26,FALSE),0),0)</f>
        <v>0</v>
      </c>
      <c r="G113" s="459">
        <f>IFERROR(VLOOKUP(P113,COPY!$A$1:$L$1000,4,FALSE),0)</f>
        <v>0</v>
      </c>
      <c r="H113" s="457">
        <f>IFERROR(VLOOKUP(P113,COPY!$A$1:$L$1000,2,FALSE),0)</f>
        <v>0</v>
      </c>
      <c r="I113" s="510">
        <f>IFERROR(VLOOKUP(P113,COPY!$A$1:$L$1000,10,FALSE),0)</f>
        <v>0</v>
      </c>
      <c r="J113" s="467">
        <f>IFERROR(VLOOKUP(P113,COPY!$A$1:$L$1000,8,FALSE),0)</f>
        <v>0</v>
      </c>
      <c r="K113" s="457">
        <f>IFERROR(VLOOKUP(P113,COPY!$A$1:$L$1000,7,FALSE),0)</f>
        <v>0</v>
      </c>
      <c r="L113" s="468">
        <f>IFERROR(VLOOKUP(P113,COPY!$A$1:$O$1000,15,FALSE),0)</f>
        <v>0</v>
      </c>
      <c r="M113" s="468">
        <f>IFERROR(VLOOKUP(P113,COPY!$A$1:$L$1000,12,FALSE),0)</f>
        <v>0</v>
      </c>
      <c r="N113" s="471">
        <f>IF(H113="Jasa",VLOOKUP('BKU 3'!K113,'Rekap Gaji'!$D$12:$I$26,6,FALSE),(IF(H113="Beli",VLOOKUP(P113,COPY!$A$1:$L$1000,11,FALSE),IF(H113="Bayar Ongkos",VLOOKUP(K113,'Rekap Gaji'!$D$12:$I$26,6,FALSE),0))))</f>
        <v>0</v>
      </c>
      <c r="O113" s="470"/>
      <c r="P113" s="466" t="str">
        <f t="shared" si="7"/>
        <v/>
      </c>
      <c r="Q113" s="253">
        <f t="shared" si="10"/>
        <v>0</v>
      </c>
      <c r="R113" s="253">
        <f t="shared" si="11"/>
        <v>0</v>
      </c>
      <c r="S113" s="449">
        <f t="shared" si="12"/>
        <v>81</v>
      </c>
      <c r="T113" s="253">
        <f t="shared" si="13"/>
        <v>81</v>
      </c>
      <c r="U113" s="457" t="str">
        <f t="shared" si="8"/>
        <v xml:space="preserve"> </v>
      </c>
    </row>
    <row r="114" spans="1:21" ht="20.100000000000001" hidden="1" customHeight="1" x14ac:dyDescent="0.25">
      <c r="A114" s="470" t="str">
        <f t="shared" si="9"/>
        <v/>
      </c>
      <c r="B114" s="456">
        <f>IF(LEFT(C114,16)="Terima Pajak PPN",VLOOKUP(P114,COPY!$A$1:$AC$1000,21,FALSE),IF(LEFT(C114,16)="Terima Pajak PPH",VLOOKUP(P114,COPY!$A$1:$AC$1000,21,FALSE),IF(LEFT(C114,13)="Terima PPh 23",VLOOKUP(P114,COPY!$A$1:$AC$1000,21,FALSE),0)))</f>
        <v>0</v>
      </c>
      <c r="C114" s="457">
        <f>IFERROR(IF(LEFT(VLOOKUP(P114,COPY!$A$1:$AC$1000,29,FALSE),5)="Terim",VLOOKUP(P114,COPY!$A$1:$AC$1000,29,FALSE),0),0)</f>
        <v>0</v>
      </c>
      <c r="D114" s="457"/>
      <c r="E114" s="457"/>
      <c r="F114" s="458">
        <f>IFERROR(IF(LEFT(VLOOKUP(P114,COPY!$A$1:$AC$1000,29,FALSE),5)="Terim",VLOOKUP(P114,COPY!$A$1:$AC$1000,26,FALSE),0),0)</f>
        <v>0</v>
      </c>
      <c r="G114" s="459">
        <f>IFERROR(VLOOKUP(P114,COPY!$A$1:$L$1000,4,FALSE),0)</f>
        <v>0</v>
      </c>
      <c r="H114" s="457">
        <f>IFERROR(VLOOKUP(P114,COPY!$A$1:$L$1000,2,FALSE),0)</f>
        <v>0</v>
      </c>
      <c r="I114" s="510">
        <f>IFERROR(VLOOKUP(P114,COPY!$A$1:$L$1000,10,FALSE),0)</f>
        <v>0</v>
      </c>
      <c r="J114" s="467">
        <f>IFERROR(VLOOKUP(P114,COPY!$A$1:$L$1000,8,FALSE),0)</f>
        <v>0</v>
      </c>
      <c r="K114" s="457">
        <f>IFERROR(VLOOKUP(P114,COPY!$A$1:$L$1000,7,FALSE),0)</f>
        <v>0</v>
      </c>
      <c r="L114" s="468">
        <f>IFERROR(VLOOKUP(P114,COPY!$A$1:$O$1000,15,FALSE),0)</f>
        <v>0</v>
      </c>
      <c r="M114" s="468">
        <f>IFERROR(VLOOKUP(P114,COPY!$A$1:$L$1000,12,FALSE),0)</f>
        <v>0</v>
      </c>
      <c r="N114" s="471">
        <f>IF(H114="Jasa",VLOOKUP('BKU 3'!K114,'Rekap Gaji'!$D$12:$I$26,6,FALSE),(IF(H114="Beli",VLOOKUP(P114,COPY!$A$1:$L$1000,11,FALSE),IF(H114="Bayar Ongkos",VLOOKUP(K114,'Rekap Gaji'!$D$12:$I$26,6,FALSE),0))))</f>
        <v>0</v>
      </c>
      <c r="O114" s="470"/>
      <c r="P114" s="466" t="str">
        <f t="shared" si="7"/>
        <v/>
      </c>
      <c r="Q114" s="253">
        <f t="shared" si="10"/>
        <v>0</v>
      </c>
      <c r="R114" s="253">
        <f t="shared" si="11"/>
        <v>0</v>
      </c>
      <c r="S114" s="449">
        <f t="shared" si="12"/>
        <v>82</v>
      </c>
      <c r="T114" s="253">
        <f t="shared" si="13"/>
        <v>82</v>
      </c>
      <c r="U114" s="457" t="str">
        <f t="shared" si="8"/>
        <v xml:space="preserve"> </v>
      </c>
    </row>
    <row r="115" spans="1:21" ht="20.100000000000001" hidden="1" customHeight="1" x14ac:dyDescent="0.25">
      <c r="A115" s="470" t="str">
        <f t="shared" si="9"/>
        <v/>
      </c>
      <c r="B115" s="456">
        <f>IF(LEFT(C115,16)="Terima Pajak PPN",VLOOKUP(P115,COPY!$A$1:$AC$1000,21,FALSE),IF(LEFT(C115,16)="Terima Pajak PPH",VLOOKUP(P115,COPY!$A$1:$AC$1000,21,FALSE),IF(LEFT(C115,13)="Terima PPh 23",VLOOKUP(P115,COPY!$A$1:$AC$1000,21,FALSE),0)))</f>
        <v>0</v>
      </c>
      <c r="C115" s="457">
        <f>IFERROR(IF(LEFT(VLOOKUP(P115,COPY!$A$1:$AC$1000,29,FALSE),5)="Terim",VLOOKUP(P115,COPY!$A$1:$AC$1000,29,FALSE),0),0)</f>
        <v>0</v>
      </c>
      <c r="D115" s="457"/>
      <c r="E115" s="457"/>
      <c r="F115" s="458">
        <f>IFERROR(IF(LEFT(VLOOKUP(P115,COPY!$A$1:$AC$1000,29,FALSE),5)="Terim",VLOOKUP(P115,COPY!$A$1:$AC$1000,26,FALSE),0),0)</f>
        <v>0</v>
      </c>
      <c r="G115" s="459">
        <f>IFERROR(VLOOKUP(P115,COPY!$A$1:$L$1000,4,FALSE),0)</f>
        <v>0</v>
      </c>
      <c r="H115" s="457">
        <f>IFERROR(VLOOKUP(P115,COPY!$A$1:$L$1000,2,FALSE),0)</f>
        <v>0</v>
      </c>
      <c r="I115" s="510">
        <f>IFERROR(VLOOKUP(P115,COPY!$A$1:$L$1000,10,FALSE),0)</f>
        <v>0</v>
      </c>
      <c r="J115" s="467">
        <f>IFERROR(VLOOKUP(P115,COPY!$A$1:$L$1000,8,FALSE),0)</f>
        <v>0</v>
      </c>
      <c r="K115" s="457">
        <f>IFERROR(VLOOKUP(P115,COPY!$A$1:$L$1000,7,FALSE),0)</f>
        <v>0</v>
      </c>
      <c r="L115" s="468">
        <f>IFERROR(VLOOKUP(P115,COPY!$A$1:$O$1000,15,FALSE),0)</f>
        <v>0</v>
      </c>
      <c r="M115" s="468">
        <f>IFERROR(VLOOKUP(P115,COPY!$A$1:$L$1000,12,FALSE),0)</f>
        <v>0</v>
      </c>
      <c r="N115" s="471">
        <f>IF(H115="Jasa",VLOOKUP('BKU 3'!K115,'Rekap Gaji'!$D$12:$I$26,6,FALSE),(IF(H115="Beli",VLOOKUP(P115,COPY!$A$1:$L$1000,11,FALSE),IF(H115="Bayar Ongkos",VLOOKUP(K115,'Rekap Gaji'!$D$12:$I$26,6,FALSE),0))))</f>
        <v>0</v>
      </c>
      <c r="O115" s="470"/>
      <c r="P115" s="466" t="str">
        <f t="shared" si="7"/>
        <v/>
      </c>
      <c r="Q115" s="253">
        <f t="shared" si="10"/>
        <v>0</v>
      </c>
      <c r="R115" s="253">
        <f t="shared" si="11"/>
        <v>0</v>
      </c>
      <c r="S115" s="449">
        <f t="shared" si="12"/>
        <v>83</v>
      </c>
      <c r="T115" s="253">
        <f t="shared" si="13"/>
        <v>83</v>
      </c>
      <c r="U115" s="457" t="str">
        <f t="shared" si="8"/>
        <v xml:space="preserve"> </v>
      </c>
    </row>
    <row r="116" spans="1:21" ht="20.100000000000001" hidden="1" customHeight="1" x14ac:dyDescent="0.25">
      <c r="A116" s="470" t="str">
        <f t="shared" si="9"/>
        <v/>
      </c>
      <c r="B116" s="456">
        <f>IF(LEFT(C116,16)="Terima Pajak PPN",VLOOKUP(P116,COPY!$A$1:$AC$1000,21,FALSE),IF(LEFT(C116,16)="Terima Pajak PPH",VLOOKUP(P116,COPY!$A$1:$AC$1000,21,FALSE),IF(LEFT(C116,13)="Terima PPh 23",VLOOKUP(P116,COPY!$A$1:$AC$1000,21,FALSE),0)))</f>
        <v>0</v>
      </c>
      <c r="C116" s="457">
        <f>IFERROR(IF(LEFT(VLOOKUP(P116,COPY!$A$1:$AC$1000,29,FALSE),5)="Terim",VLOOKUP(P116,COPY!$A$1:$AC$1000,29,FALSE),0),0)</f>
        <v>0</v>
      </c>
      <c r="D116" s="457"/>
      <c r="E116" s="457"/>
      <c r="F116" s="458">
        <f>IFERROR(IF(LEFT(VLOOKUP(P116,COPY!$A$1:$AC$1000,29,FALSE),5)="Terim",VLOOKUP(P116,COPY!$A$1:$AC$1000,26,FALSE),0),0)</f>
        <v>0</v>
      </c>
      <c r="G116" s="459">
        <f>IFERROR(VLOOKUP(P116,COPY!$A$1:$L$1000,4,FALSE),0)</f>
        <v>0</v>
      </c>
      <c r="H116" s="457">
        <f>IFERROR(VLOOKUP(P116,COPY!$A$1:$L$1000,2,FALSE),0)</f>
        <v>0</v>
      </c>
      <c r="I116" s="510">
        <f>IFERROR(VLOOKUP(P116,COPY!$A$1:$L$1000,10,FALSE),0)</f>
        <v>0</v>
      </c>
      <c r="J116" s="467">
        <f>IFERROR(VLOOKUP(P116,COPY!$A$1:$L$1000,8,FALSE),0)</f>
        <v>0</v>
      </c>
      <c r="K116" s="457">
        <f>IFERROR(VLOOKUP(P116,COPY!$A$1:$L$1000,7,FALSE),0)</f>
        <v>0</v>
      </c>
      <c r="L116" s="468">
        <f>IFERROR(VLOOKUP(P116,COPY!$A$1:$O$1000,15,FALSE),0)</f>
        <v>0</v>
      </c>
      <c r="M116" s="468">
        <f>IFERROR(VLOOKUP(P116,COPY!$A$1:$L$1000,12,FALSE),0)</f>
        <v>0</v>
      </c>
      <c r="N116" s="471">
        <f>IF(H116="Jasa",VLOOKUP('BKU 3'!K116,'Rekap Gaji'!$D$12:$I$26,6,FALSE),(IF(H116="Beli",VLOOKUP(P116,COPY!$A$1:$L$1000,11,FALSE),IF(H116="Bayar Ongkos",VLOOKUP(K116,'Rekap Gaji'!$D$12:$I$26,6,FALSE),0))))</f>
        <v>0</v>
      </c>
      <c r="O116" s="470"/>
      <c r="P116" s="466" t="str">
        <f t="shared" si="7"/>
        <v/>
      </c>
      <c r="Q116" s="253">
        <f t="shared" si="10"/>
        <v>0</v>
      </c>
      <c r="R116" s="253">
        <f t="shared" si="11"/>
        <v>0</v>
      </c>
      <c r="S116" s="449">
        <f t="shared" si="12"/>
        <v>84</v>
      </c>
      <c r="T116" s="253">
        <f t="shared" si="13"/>
        <v>84</v>
      </c>
      <c r="U116" s="457" t="str">
        <f t="shared" si="8"/>
        <v xml:space="preserve"> </v>
      </c>
    </row>
    <row r="117" spans="1:21" ht="20.100000000000001" hidden="1" customHeight="1" x14ac:dyDescent="0.25">
      <c r="A117" s="470" t="str">
        <f t="shared" si="9"/>
        <v/>
      </c>
      <c r="B117" s="456">
        <f>IF(LEFT(C117,16)="Terima Pajak PPN",VLOOKUP(P117,COPY!$A$1:$AC$1000,21,FALSE),IF(LEFT(C117,16)="Terima Pajak PPH",VLOOKUP(P117,COPY!$A$1:$AC$1000,21,FALSE),IF(LEFT(C117,13)="Terima PPh 23",VLOOKUP(P117,COPY!$A$1:$AC$1000,21,FALSE),0)))</f>
        <v>0</v>
      </c>
      <c r="C117" s="457">
        <f>IFERROR(IF(LEFT(VLOOKUP(P117,COPY!$A$1:$AC$1000,29,FALSE),5)="Terim",VLOOKUP(P117,COPY!$A$1:$AC$1000,29,FALSE),0),0)</f>
        <v>0</v>
      </c>
      <c r="D117" s="457"/>
      <c r="E117" s="457"/>
      <c r="F117" s="458">
        <f>IFERROR(IF(LEFT(VLOOKUP(P117,COPY!$A$1:$AC$1000,29,FALSE),5)="Terim",VLOOKUP(P117,COPY!$A$1:$AC$1000,26,FALSE),0),0)</f>
        <v>0</v>
      </c>
      <c r="G117" s="459">
        <f>IFERROR(VLOOKUP(P117,COPY!$A$1:$L$1000,4,FALSE),0)</f>
        <v>0</v>
      </c>
      <c r="H117" s="457">
        <f>IFERROR(VLOOKUP(P117,COPY!$A$1:$L$1000,2,FALSE),0)</f>
        <v>0</v>
      </c>
      <c r="I117" s="510">
        <f>IFERROR(VLOOKUP(P117,COPY!$A$1:$L$1000,10,FALSE),0)</f>
        <v>0</v>
      </c>
      <c r="J117" s="467">
        <f>IFERROR(VLOOKUP(P117,COPY!$A$1:$L$1000,8,FALSE),0)</f>
        <v>0</v>
      </c>
      <c r="K117" s="457">
        <f>IFERROR(VLOOKUP(P117,COPY!$A$1:$L$1000,7,FALSE),0)</f>
        <v>0</v>
      </c>
      <c r="L117" s="468">
        <f>IFERROR(VLOOKUP(P117,COPY!$A$1:$O$1000,15,FALSE),0)</f>
        <v>0</v>
      </c>
      <c r="M117" s="468">
        <f>IFERROR(VLOOKUP(P117,COPY!$A$1:$L$1000,12,FALSE),0)</f>
        <v>0</v>
      </c>
      <c r="N117" s="471">
        <f>IF(H117="Jasa",VLOOKUP('BKU 3'!K117,'Rekap Gaji'!$D$12:$I$26,6,FALSE),(IF(H117="Beli",VLOOKUP(P117,COPY!$A$1:$L$1000,11,FALSE),IF(H117="Bayar Ongkos",VLOOKUP(K117,'Rekap Gaji'!$D$12:$I$26,6,FALSE),0))))</f>
        <v>0</v>
      </c>
      <c r="O117" s="470"/>
      <c r="P117" s="466" t="str">
        <f t="shared" si="7"/>
        <v/>
      </c>
      <c r="Q117" s="253">
        <f t="shared" si="10"/>
        <v>0</v>
      </c>
      <c r="R117" s="253">
        <f t="shared" si="11"/>
        <v>0</v>
      </c>
      <c r="S117" s="449">
        <f t="shared" si="12"/>
        <v>85</v>
      </c>
      <c r="T117" s="253">
        <f t="shared" si="13"/>
        <v>85</v>
      </c>
      <c r="U117" s="457" t="str">
        <f t="shared" si="8"/>
        <v xml:space="preserve"> </v>
      </c>
    </row>
    <row r="118" spans="1:21" ht="20.100000000000001" hidden="1" customHeight="1" x14ac:dyDescent="0.25">
      <c r="A118" s="470" t="str">
        <f t="shared" si="9"/>
        <v/>
      </c>
      <c r="B118" s="456">
        <f>IF(LEFT(C118,16)="Terima Pajak PPN",VLOOKUP(P118,COPY!$A$1:$AC$1000,21,FALSE),IF(LEFT(C118,16)="Terima Pajak PPH",VLOOKUP(P118,COPY!$A$1:$AC$1000,21,FALSE),IF(LEFT(C118,13)="Terima PPh 23",VLOOKUP(P118,COPY!$A$1:$AC$1000,21,FALSE),0)))</f>
        <v>0</v>
      </c>
      <c r="C118" s="457">
        <f>IFERROR(IF(LEFT(VLOOKUP(P118,COPY!$A$1:$AC$1000,29,FALSE),5)="Terim",VLOOKUP(P118,COPY!$A$1:$AC$1000,29,FALSE),0),0)</f>
        <v>0</v>
      </c>
      <c r="D118" s="457"/>
      <c r="E118" s="457"/>
      <c r="F118" s="458">
        <f>IFERROR(IF(LEFT(VLOOKUP(P118,COPY!$A$1:$AC$1000,29,FALSE),5)="Terim",VLOOKUP(P118,COPY!$A$1:$AC$1000,26,FALSE),0),0)</f>
        <v>0</v>
      </c>
      <c r="G118" s="459">
        <f>IFERROR(VLOOKUP(P118,COPY!$A$1:$L$1000,4,FALSE),0)</f>
        <v>0</v>
      </c>
      <c r="H118" s="457">
        <f>IFERROR(VLOOKUP(P118,COPY!$A$1:$L$1000,2,FALSE),0)</f>
        <v>0</v>
      </c>
      <c r="I118" s="510">
        <f>IFERROR(VLOOKUP(P118,COPY!$A$1:$L$1000,10,FALSE),0)</f>
        <v>0</v>
      </c>
      <c r="J118" s="467">
        <f>IFERROR(VLOOKUP(P118,COPY!$A$1:$L$1000,8,FALSE),0)</f>
        <v>0</v>
      </c>
      <c r="K118" s="457">
        <f>IFERROR(VLOOKUP(P118,COPY!$A$1:$L$1000,7,FALSE),0)</f>
        <v>0</v>
      </c>
      <c r="L118" s="468">
        <f>IFERROR(VLOOKUP(P118,COPY!$A$1:$O$1000,15,FALSE),0)</f>
        <v>0</v>
      </c>
      <c r="M118" s="468">
        <f>IFERROR(VLOOKUP(P118,COPY!$A$1:$L$1000,12,FALSE),0)</f>
        <v>0</v>
      </c>
      <c r="N118" s="471">
        <f>IF(H118="Jasa",VLOOKUP('BKU 3'!K118,'Rekap Gaji'!$D$12:$I$26,6,FALSE),(IF(H118="Beli",VLOOKUP(P118,COPY!$A$1:$L$1000,11,FALSE),IF(H118="Bayar Ongkos",VLOOKUP(K118,'Rekap Gaji'!$D$12:$I$26,6,FALSE),0))))</f>
        <v>0</v>
      </c>
      <c r="O118" s="470"/>
      <c r="P118" s="466" t="str">
        <f t="shared" si="7"/>
        <v/>
      </c>
      <c r="Q118" s="253">
        <f t="shared" si="10"/>
        <v>0</v>
      </c>
      <c r="R118" s="253">
        <f t="shared" si="11"/>
        <v>0</v>
      </c>
      <c r="S118" s="449">
        <f t="shared" si="12"/>
        <v>86</v>
      </c>
      <c r="T118" s="253">
        <f t="shared" si="13"/>
        <v>86</v>
      </c>
      <c r="U118" s="457" t="str">
        <f t="shared" si="8"/>
        <v xml:space="preserve"> </v>
      </c>
    </row>
    <row r="119" spans="1:21" ht="20.100000000000001" hidden="1" customHeight="1" x14ac:dyDescent="0.25">
      <c r="A119" s="470" t="str">
        <f t="shared" si="9"/>
        <v/>
      </c>
      <c r="B119" s="456">
        <f>IF(LEFT(C119,16)="Terima Pajak PPN",VLOOKUP(P119,COPY!$A$1:$AC$1000,21,FALSE),IF(LEFT(C119,16)="Terima Pajak PPH",VLOOKUP(P119,COPY!$A$1:$AC$1000,21,FALSE),IF(LEFT(C119,13)="Terima PPh 23",VLOOKUP(P119,COPY!$A$1:$AC$1000,21,FALSE),0)))</f>
        <v>0</v>
      </c>
      <c r="C119" s="457">
        <f>IFERROR(IF(LEFT(VLOOKUP(P119,COPY!$A$1:$AC$1000,29,FALSE),5)="Terim",VLOOKUP(P119,COPY!$A$1:$AC$1000,29,FALSE),0),0)</f>
        <v>0</v>
      </c>
      <c r="D119" s="457"/>
      <c r="E119" s="457"/>
      <c r="F119" s="458">
        <f>IFERROR(IF(LEFT(VLOOKUP(P119,COPY!$A$1:$AC$1000,29,FALSE),5)="Terim",VLOOKUP(P119,COPY!$A$1:$AC$1000,26,FALSE),0),0)</f>
        <v>0</v>
      </c>
      <c r="G119" s="459">
        <f>IFERROR(VLOOKUP(P119,COPY!$A$1:$L$1000,4,FALSE),0)</f>
        <v>0</v>
      </c>
      <c r="H119" s="457">
        <f>IFERROR(VLOOKUP(P119,COPY!$A$1:$L$1000,2,FALSE),0)</f>
        <v>0</v>
      </c>
      <c r="I119" s="510">
        <f>IFERROR(VLOOKUP(P119,COPY!$A$1:$L$1000,10,FALSE),0)</f>
        <v>0</v>
      </c>
      <c r="J119" s="467">
        <f>IFERROR(VLOOKUP(P119,COPY!$A$1:$L$1000,8,FALSE),0)</f>
        <v>0</v>
      </c>
      <c r="K119" s="457">
        <f>IFERROR(VLOOKUP(P119,COPY!$A$1:$L$1000,7,FALSE),0)</f>
        <v>0</v>
      </c>
      <c r="L119" s="468">
        <f>IFERROR(VLOOKUP(P119,COPY!$A$1:$O$1000,15,FALSE),0)</f>
        <v>0</v>
      </c>
      <c r="M119" s="468">
        <f>IFERROR(VLOOKUP(P119,COPY!$A$1:$L$1000,12,FALSE),0)</f>
        <v>0</v>
      </c>
      <c r="N119" s="471">
        <f>IF(H119="Jasa",VLOOKUP('BKU 3'!K119,'Rekap Gaji'!$D$12:$I$26,6,FALSE),(IF(H119="Beli",VLOOKUP(P119,COPY!$A$1:$L$1000,11,FALSE),IF(H119="Bayar Ongkos",VLOOKUP(K119,'Rekap Gaji'!$D$12:$I$26,6,FALSE),0))))</f>
        <v>0</v>
      </c>
      <c r="O119" s="470"/>
      <c r="P119" s="466" t="str">
        <f t="shared" si="7"/>
        <v/>
      </c>
      <c r="Q119" s="253">
        <f t="shared" si="10"/>
        <v>0</v>
      </c>
      <c r="R119" s="253">
        <f t="shared" si="11"/>
        <v>0</v>
      </c>
      <c r="S119" s="449">
        <f t="shared" si="12"/>
        <v>87</v>
      </c>
      <c r="T119" s="253">
        <f t="shared" si="13"/>
        <v>87</v>
      </c>
      <c r="U119" s="457" t="str">
        <f t="shared" si="8"/>
        <v xml:space="preserve"> </v>
      </c>
    </row>
    <row r="120" spans="1:21" ht="20.100000000000001" hidden="1" customHeight="1" x14ac:dyDescent="0.25">
      <c r="A120" s="470" t="str">
        <f t="shared" si="9"/>
        <v/>
      </c>
      <c r="B120" s="456">
        <f>IF(LEFT(C120,16)="Terima Pajak PPN",VLOOKUP(P120,COPY!$A$1:$AC$1000,21,FALSE),IF(LEFT(C120,16)="Terima Pajak PPH",VLOOKUP(P120,COPY!$A$1:$AC$1000,21,FALSE),IF(LEFT(C120,13)="Terima PPh 23",VLOOKUP(P120,COPY!$A$1:$AC$1000,21,FALSE),0)))</f>
        <v>0</v>
      </c>
      <c r="C120" s="457">
        <f>IFERROR(IF(LEFT(VLOOKUP(P120,COPY!$A$1:$AC$1000,29,FALSE),5)="Terim",VLOOKUP(P120,COPY!$A$1:$AC$1000,29,FALSE),0),0)</f>
        <v>0</v>
      </c>
      <c r="D120" s="457"/>
      <c r="E120" s="457"/>
      <c r="F120" s="458">
        <f>IFERROR(IF(LEFT(VLOOKUP(P120,COPY!$A$1:$AC$1000,29,FALSE),5)="Terim",VLOOKUP(P120,COPY!$A$1:$AC$1000,26,FALSE),0),0)</f>
        <v>0</v>
      </c>
      <c r="G120" s="459">
        <f>IFERROR(VLOOKUP(P120,COPY!$A$1:$L$1000,4,FALSE),0)</f>
        <v>0</v>
      </c>
      <c r="H120" s="457">
        <f>IFERROR(VLOOKUP(P120,COPY!$A$1:$L$1000,2,FALSE),0)</f>
        <v>0</v>
      </c>
      <c r="I120" s="510">
        <f>IFERROR(VLOOKUP(P120,COPY!$A$1:$L$1000,10,FALSE),0)</f>
        <v>0</v>
      </c>
      <c r="J120" s="467">
        <f>IFERROR(VLOOKUP(P120,COPY!$A$1:$L$1000,8,FALSE),0)</f>
        <v>0</v>
      </c>
      <c r="K120" s="457">
        <f>IFERROR(VLOOKUP(P120,COPY!$A$1:$L$1000,7,FALSE),0)</f>
        <v>0</v>
      </c>
      <c r="L120" s="468">
        <f>IFERROR(VLOOKUP(P120,COPY!$A$1:$O$1000,15,FALSE),0)</f>
        <v>0</v>
      </c>
      <c r="M120" s="468">
        <f>IFERROR(VLOOKUP(P120,COPY!$A$1:$L$1000,12,FALSE),0)</f>
        <v>0</v>
      </c>
      <c r="N120" s="471">
        <f>IF(H120="Jasa",VLOOKUP('BKU 3'!K120,'Rekap Gaji'!$D$12:$I$26,6,FALSE),(IF(H120="Beli",VLOOKUP(P120,COPY!$A$1:$L$1000,11,FALSE),IF(H120="Bayar Ongkos",VLOOKUP(K120,'Rekap Gaji'!$D$12:$I$26,6,FALSE),0))))</f>
        <v>0</v>
      </c>
      <c r="O120" s="470"/>
      <c r="P120" s="466" t="str">
        <f t="shared" si="7"/>
        <v/>
      </c>
      <c r="Q120" s="253">
        <f t="shared" si="10"/>
        <v>0</v>
      </c>
      <c r="R120" s="253">
        <f t="shared" si="11"/>
        <v>0</v>
      </c>
      <c r="S120" s="449">
        <f t="shared" si="12"/>
        <v>88</v>
      </c>
      <c r="T120" s="253">
        <f t="shared" si="13"/>
        <v>88</v>
      </c>
      <c r="U120" s="457" t="str">
        <f t="shared" si="8"/>
        <v xml:space="preserve"> </v>
      </c>
    </row>
    <row r="121" spans="1:21" ht="20.100000000000001" hidden="1" customHeight="1" x14ac:dyDescent="0.25">
      <c r="A121" s="470" t="str">
        <f t="shared" si="9"/>
        <v/>
      </c>
      <c r="B121" s="456">
        <f>IF(LEFT(C121,16)="Terima Pajak PPN",VLOOKUP(P121,COPY!$A$1:$AC$1000,21,FALSE),IF(LEFT(C121,16)="Terima Pajak PPH",VLOOKUP(P121,COPY!$A$1:$AC$1000,21,FALSE),IF(LEFT(C121,13)="Terima PPh 23",VLOOKUP(P121,COPY!$A$1:$AC$1000,21,FALSE),0)))</f>
        <v>0</v>
      </c>
      <c r="C121" s="457">
        <f>IFERROR(IF(LEFT(VLOOKUP(P121,COPY!$A$1:$AC$1000,29,FALSE),5)="Terim",VLOOKUP(P121,COPY!$A$1:$AC$1000,29,FALSE),0),0)</f>
        <v>0</v>
      </c>
      <c r="D121" s="457"/>
      <c r="E121" s="457"/>
      <c r="F121" s="458">
        <f>IFERROR(IF(LEFT(VLOOKUP(P121,COPY!$A$1:$AC$1000,29,FALSE),5)="Terim",VLOOKUP(P121,COPY!$A$1:$AC$1000,26,FALSE),0),0)</f>
        <v>0</v>
      </c>
      <c r="G121" s="459">
        <f>IFERROR(VLOOKUP(P121,COPY!$A$1:$L$1000,4,FALSE),0)</f>
        <v>0</v>
      </c>
      <c r="H121" s="457">
        <f>IFERROR(VLOOKUP(P121,COPY!$A$1:$L$1000,2,FALSE),0)</f>
        <v>0</v>
      </c>
      <c r="I121" s="510">
        <f>IFERROR(VLOOKUP(P121,COPY!$A$1:$L$1000,10,FALSE),0)</f>
        <v>0</v>
      </c>
      <c r="J121" s="467">
        <f>IFERROR(VLOOKUP(P121,COPY!$A$1:$L$1000,8,FALSE),0)</f>
        <v>0</v>
      </c>
      <c r="K121" s="457">
        <f>IFERROR(VLOOKUP(P121,COPY!$A$1:$L$1000,7,FALSE),0)</f>
        <v>0</v>
      </c>
      <c r="L121" s="468">
        <f>IFERROR(VLOOKUP(P121,COPY!$A$1:$O$1000,15,FALSE),0)</f>
        <v>0</v>
      </c>
      <c r="M121" s="468">
        <f>IFERROR(VLOOKUP(P121,COPY!$A$1:$L$1000,12,FALSE),0)</f>
        <v>0</v>
      </c>
      <c r="N121" s="471">
        <f>IF(H121="Jasa",VLOOKUP('BKU 3'!K121,'Rekap Gaji'!$D$12:$I$26,6,FALSE),(IF(H121="Beli",VLOOKUP(P121,COPY!$A$1:$L$1000,11,FALSE),IF(H121="Bayar Ongkos",VLOOKUP(K121,'Rekap Gaji'!$D$12:$I$26,6,FALSE),0))))</f>
        <v>0</v>
      </c>
      <c r="O121" s="470"/>
      <c r="P121" s="466" t="str">
        <f t="shared" si="7"/>
        <v/>
      </c>
      <c r="Q121" s="253">
        <f t="shared" si="10"/>
        <v>0</v>
      </c>
      <c r="R121" s="253">
        <f t="shared" si="11"/>
        <v>0</v>
      </c>
      <c r="S121" s="449">
        <f t="shared" si="12"/>
        <v>89</v>
      </c>
      <c r="T121" s="253">
        <f t="shared" si="13"/>
        <v>89</v>
      </c>
      <c r="U121" s="457" t="str">
        <f t="shared" si="8"/>
        <v xml:space="preserve"> </v>
      </c>
    </row>
    <row r="122" spans="1:21" ht="20.100000000000001" hidden="1" customHeight="1" x14ac:dyDescent="0.25">
      <c r="A122" s="470" t="str">
        <f t="shared" si="9"/>
        <v/>
      </c>
      <c r="B122" s="456">
        <f>IF(LEFT(C122,16)="Terima Pajak PPN",VLOOKUP(P122,COPY!$A$1:$AC$1000,21,FALSE),IF(LEFT(C122,16)="Terima Pajak PPH",VLOOKUP(P122,COPY!$A$1:$AC$1000,21,FALSE),IF(LEFT(C122,13)="Terima PPh 23",VLOOKUP(P122,COPY!$A$1:$AC$1000,21,FALSE),0)))</f>
        <v>0</v>
      </c>
      <c r="C122" s="457">
        <f>IFERROR(IF(LEFT(VLOOKUP(P122,COPY!$A$1:$AC$1000,29,FALSE),5)="Terim",VLOOKUP(P122,COPY!$A$1:$AC$1000,29,FALSE),0),0)</f>
        <v>0</v>
      </c>
      <c r="D122" s="457"/>
      <c r="E122" s="457"/>
      <c r="F122" s="458">
        <f>IFERROR(IF(LEFT(VLOOKUP(P122,COPY!$A$1:$AC$1000,29,FALSE),5)="Terim",VLOOKUP(P122,COPY!$A$1:$AC$1000,26,FALSE),0),0)</f>
        <v>0</v>
      </c>
      <c r="G122" s="459">
        <f>IFERROR(VLOOKUP(P122,COPY!$A$1:$L$1000,4,FALSE),0)</f>
        <v>0</v>
      </c>
      <c r="H122" s="457">
        <f>IFERROR(VLOOKUP(P122,COPY!$A$1:$L$1000,2,FALSE),0)</f>
        <v>0</v>
      </c>
      <c r="I122" s="510">
        <f>IFERROR(VLOOKUP(P122,COPY!$A$1:$L$1000,10,FALSE),0)</f>
        <v>0</v>
      </c>
      <c r="J122" s="467">
        <f>IFERROR(VLOOKUP(P122,COPY!$A$1:$L$1000,8,FALSE),0)</f>
        <v>0</v>
      </c>
      <c r="K122" s="457">
        <f>IFERROR(VLOOKUP(P122,COPY!$A$1:$L$1000,7,FALSE),0)</f>
        <v>0</v>
      </c>
      <c r="L122" s="468">
        <f>IFERROR(VLOOKUP(P122,COPY!$A$1:$O$1000,15,FALSE),0)</f>
        <v>0</v>
      </c>
      <c r="M122" s="468">
        <f>IFERROR(VLOOKUP(P122,COPY!$A$1:$L$1000,12,FALSE),0)</f>
        <v>0</v>
      </c>
      <c r="N122" s="471">
        <f>IF(H122="Jasa",VLOOKUP('BKU 3'!K122,'Rekap Gaji'!$D$12:$I$26,6,FALSE),(IF(H122="Beli",VLOOKUP(P122,COPY!$A$1:$L$1000,11,FALSE),IF(H122="Bayar Ongkos",VLOOKUP(K122,'Rekap Gaji'!$D$12:$I$26,6,FALSE),0))))</f>
        <v>0</v>
      </c>
      <c r="O122" s="470"/>
      <c r="P122" s="466" t="str">
        <f t="shared" si="7"/>
        <v/>
      </c>
      <c r="Q122" s="253">
        <f t="shared" si="10"/>
        <v>0</v>
      </c>
      <c r="R122" s="253">
        <f t="shared" si="11"/>
        <v>0</v>
      </c>
      <c r="S122" s="449">
        <f t="shared" si="12"/>
        <v>90</v>
      </c>
      <c r="T122" s="253">
        <f t="shared" si="13"/>
        <v>90</v>
      </c>
      <c r="U122" s="457" t="str">
        <f t="shared" si="8"/>
        <v xml:space="preserve"> </v>
      </c>
    </row>
    <row r="123" spans="1:21" ht="20.100000000000001" hidden="1" customHeight="1" x14ac:dyDescent="0.25">
      <c r="A123" s="470" t="str">
        <f t="shared" si="9"/>
        <v/>
      </c>
      <c r="B123" s="456">
        <f>IF(LEFT(C123,16)="Terima Pajak PPN",VLOOKUP(P123,COPY!$A$1:$AC$1000,21,FALSE),IF(LEFT(C123,16)="Terima Pajak PPH",VLOOKUP(P123,COPY!$A$1:$AC$1000,21,FALSE),IF(LEFT(C123,13)="Terima PPh 23",VLOOKUP(P123,COPY!$A$1:$AC$1000,21,FALSE),0)))</f>
        <v>0</v>
      </c>
      <c r="C123" s="457">
        <f>IFERROR(IF(LEFT(VLOOKUP(P123,COPY!$A$1:$AC$1000,29,FALSE),5)="Terim",VLOOKUP(P123,COPY!$A$1:$AC$1000,29,FALSE),0),0)</f>
        <v>0</v>
      </c>
      <c r="D123" s="457"/>
      <c r="E123" s="457"/>
      <c r="F123" s="458">
        <f>IFERROR(IF(LEFT(VLOOKUP(P123,COPY!$A$1:$AC$1000,29,FALSE),5)="Terim",VLOOKUP(P123,COPY!$A$1:$AC$1000,26,FALSE),0),0)</f>
        <v>0</v>
      </c>
      <c r="G123" s="459">
        <f>IFERROR(VLOOKUP(P123,COPY!$A$1:$L$1000,4,FALSE),0)</f>
        <v>0</v>
      </c>
      <c r="H123" s="457">
        <f>IFERROR(VLOOKUP(P123,COPY!$A$1:$L$1000,2,FALSE),0)</f>
        <v>0</v>
      </c>
      <c r="I123" s="510">
        <f>IFERROR(VLOOKUP(P123,COPY!$A$1:$L$1000,10,FALSE),0)</f>
        <v>0</v>
      </c>
      <c r="J123" s="467">
        <f>IFERROR(VLOOKUP(P123,COPY!$A$1:$L$1000,8,FALSE),0)</f>
        <v>0</v>
      </c>
      <c r="K123" s="457">
        <f>IFERROR(VLOOKUP(P123,COPY!$A$1:$L$1000,7,FALSE),0)</f>
        <v>0</v>
      </c>
      <c r="L123" s="468">
        <f>IFERROR(VLOOKUP(P123,COPY!$A$1:$O$1000,15,FALSE),0)</f>
        <v>0</v>
      </c>
      <c r="M123" s="468">
        <f>IFERROR(VLOOKUP(P123,COPY!$A$1:$L$1000,12,FALSE),0)</f>
        <v>0</v>
      </c>
      <c r="N123" s="471">
        <f>IF(H123="Jasa",VLOOKUP('BKU 3'!K123,'Rekap Gaji'!$D$12:$I$26,6,FALSE),(IF(H123="Beli",VLOOKUP(P123,COPY!$A$1:$L$1000,11,FALSE),IF(H123="Bayar Ongkos",VLOOKUP(K123,'Rekap Gaji'!$D$12:$I$26,6,FALSE),0))))</f>
        <v>0</v>
      </c>
      <c r="O123" s="470"/>
      <c r="P123" s="466" t="str">
        <f t="shared" si="7"/>
        <v/>
      </c>
      <c r="Q123" s="253">
        <f t="shared" si="10"/>
        <v>0</v>
      </c>
      <c r="R123" s="253">
        <f t="shared" si="11"/>
        <v>0</v>
      </c>
      <c r="S123" s="449">
        <f t="shared" si="12"/>
        <v>91</v>
      </c>
      <c r="T123" s="253">
        <f t="shared" si="13"/>
        <v>91</v>
      </c>
      <c r="U123" s="457" t="str">
        <f t="shared" si="8"/>
        <v xml:space="preserve"> </v>
      </c>
    </row>
    <row r="124" spans="1:21" ht="20.100000000000001" hidden="1" customHeight="1" x14ac:dyDescent="0.25">
      <c r="A124" s="470" t="str">
        <f t="shared" si="9"/>
        <v/>
      </c>
      <c r="B124" s="456">
        <f>IF(LEFT(C124,16)="Terima Pajak PPN",VLOOKUP(P124,COPY!$A$1:$AC$1000,21,FALSE),IF(LEFT(C124,16)="Terima Pajak PPH",VLOOKUP(P124,COPY!$A$1:$AC$1000,21,FALSE),IF(LEFT(C124,13)="Terima PPh 23",VLOOKUP(P124,COPY!$A$1:$AC$1000,21,FALSE),0)))</f>
        <v>0</v>
      </c>
      <c r="C124" s="457">
        <f>IFERROR(IF(LEFT(VLOOKUP(P124,COPY!$A$1:$AC$1000,29,FALSE),5)="Terim",VLOOKUP(P124,COPY!$A$1:$AC$1000,29,FALSE),0),0)</f>
        <v>0</v>
      </c>
      <c r="D124" s="457"/>
      <c r="E124" s="457"/>
      <c r="F124" s="458">
        <f>IFERROR(IF(LEFT(VLOOKUP(P124,COPY!$A$1:$AC$1000,29,FALSE),5)="Terim",VLOOKUP(P124,COPY!$A$1:$AC$1000,26,FALSE),0),0)</f>
        <v>0</v>
      </c>
      <c r="G124" s="459">
        <f>IFERROR(VLOOKUP(P124,COPY!$A$1:$L$1000,4,FALSE),0)</f>
        <v>0</v>
      </c>
      <c r="H124" s="457">
        <f>IFERROR(VLOOKUP(P124,COPY!$A$1:$L$1000,2,FALSE),0)</f>
        <v>0</v>
      </c>
      <c r="I124" s="510">
        <f>IFERROR(VLOOKUP(P124,COPY!$A$1:$L$1000,10,FALSE),0)</f>
        <v>0</v>
      </c>
      <c r="J124" s="467">
        <f>IFERROR(VLOOKUP(P124,COPY!$A$1:$L$1000,8,FALSE),0)</f>
        <v>0</v>
      </c>
      <c r="K124" s="457">
        <f>IFERROR(VLOOKUP(P124,COPY!$A$1:$L$1000,7,FALSE),0)</f>
        <v>0</v>
      </c>
      <c r="L124" s="468">
        <f>IFERROR(VLOOKUP(P124,COPY!$A$1:$O$1000,15,FALSE),0)</f>
        <v>0</v>
      </c>
      <c r="M124" s="468">
        <f>IFERROR(VLOOKUP(P124,COPY!$A$1:$L$1000,12,FALSE),0)</f>
        <v>0</v>
      </c>
      <c r="N124" s="471">
        <f>IF(H124="Jasa",VLOOKUP('BKU 3'!K124,'Rekap Gaji'!$D$12:$I$26,6,FALSE),(IF(H124="Beli",VLOOKUP(P124,COPY!$A$1:$L$1000,11,FALSE),IF(H124="Bayar Ongkos",VLOOKUP(K124,'Rekap Gaji'!$D$12:$I$26,6,FALSE),0))))</f>
        <v>0</v>
      </c>
      <c r="O124" s="470"/>
      <c r="P124" s="466" t="str">
        <f t="shared" si="7"/>
        <v/>
      </c>
      <c r="Q124" s="253">
        <f t="shared" si="10"/>
        <v>0</v>
      </c>
      <c r="R124" s="253">
        <f t="shared" si="11"/>
        <v>0</v>
      </c>
      <c r="S124" s="449">
        <f t="shared" si="12"/>
        <v>92</v>
      </c>
      <c r="T124" s="253">
        <f t="shared" si="13"/>
        <v>92</v>
      </c>
      <c r="U124" s="457" t="str">
        <f t="shared" si="8"/>
        <v xml:space="preserve"> </v>
      </c>
    </row>
    <row r="125" spans="1:21" ht="20.100000000000001" hidden="1" customHeight="1" x14ac:dyDescent="0.25">
      <c r="A125" s="470" t="str">
        <f t="shared" si="9"/>
        <v/>
      </c>
      <c r="B125" s="456">
        <f>IF(LEFT(C125,16)="Terima Pajak PPN",VLOOKUP(P125,COPY!$A$1:$AC$1000,21,FALSE),IF(LEFT(C125,16)="Terima Pajak PPH",VLOOKUP(P125,COPY!$A$1:$AC$1000,21,FALSE),IF(LEFT(C125,13)="Terima PPh 23",VLOOKUP(P125,COPY!$A$1:$AC$1000,21,FALSE),0)))</f>
        <v>0</v>
      </c>
      <c r="C125" s="457">
        <f>IFERROR(IF(LEFT(VLOOKUP(P125,COPY!$A$1:$AC$1000,29,FALSE),5)="Terim",VLOOKUP(P125,COPY!$A$1:$AC$1000,29,FALSE),0),0)</f>
        <v>0</v>
      </c>
      <c r="D125" s="457"/>
      <c r="E125" s="457"/>
      <c r="F125" s="458">
        <f>IFERROR(IF(LEFT(VLOOKUP(P125,COPY!$A$1:$AC$1000,29,FALSE),5)="Terim",VLOOKUP(P125,COPY!$A$1:$AC$1000,26,FALSE),0),0)</f>
        <v>0</v>
      </c>
      <c r="G125" s="459">
        <f>IFERROR(VLOOKUP(P125,COPY!$A$1:$L$1000,4,FALSE),0)</f>
        <v>0</v>
      </c>
      <c r="H125" s="457">
        <f>IFERROR(VLOOKUP(P125,COPY!$A$1:$L$1000,2,FALSE),0)</f>
        <v>0</v>
      </c>
      <c r="I125" s="510">
        <f>IFERROR(VLOOKUP(P125,COPY!$A$1:$L$1000,10,FALSE),0)</f>
        <v>0</v>
      </c>
      <c r="J125" s="467">
        <f>IFERROR(VLOOKUP(P125,COPY!$A$1:$L$1000,8,FALSE),0)</f>
        <v>0</v>
      </c>
      <c r="K125" s="457">
        <f>IFERROR(VLOOKUP(P125,COPY!$A$1:$L$1000,7,FALSE),0)</f>
        <v>0</v>
      </c>
      <c r="L125" s="468">
        <f>IFERROR(VLOOKUP(P125,COPY!$A$1:$O$1000,15,FALSE),0)</f>
        <v>0</v>
      </c>
      <c r="M125" s="468">
        <f>IFERROR(VLOOKUP(P125,COPY!$A$1:$L$1000,12,FALSE),0)</f>
        <v>0</v>
      </c>
      <c r="N125" s="471">
        <f>IF(H125="Jasa",VLOOKUP('BKU 3'!K125,'Rekap Gaji'!$D$12:$I$26,6,FALSE),(IF(H125="Beli",VLOOKUP(P125,COPY!$A$1:$L$1000,11,FALSE),IF(H125="Bayar Ongkos",VLOOKUP(K125,'Rekap Gaji'!$D$12:$I$26,6,FALSE),0))))</f>
        <v>0</v>
      </c>
      <c r="O125" s="470"/>
      <c r="P125" s="466" t="str">
        <f t="shared" si="7"/>
        <v/>
      </c>
      <c r="Q125" s="253">
        <f t="shared" si="10"/>
        <v>0</v>
      </c>
      <c r="R125" s="253">
        <f t="shared" si="11"/>
        <v>0</v>
      </c>
      <c r="S125" s="449">
        <f t="shared" si="12"/>
        <v>93</v>
      </c>
      <c r="T125" s="253">
        <f t="shared" si="13"/>
        <v>93</v>
      </c>
      <c r="U125" s="457" t="str">
        <f t="shared" si="8"/>
        <v xml:space="preserve"> </v>
      </c>
    </row>
    <row r="126" spans="1:21" ht="20.100000000000001" hidden="1" customHeight="1" x14ac:dyDescent="0.25">
      <c r="A126" s="470" t="str">
        <f t="shared" si="9"/>
        <v/>
      </c>
      <c r="B126" s="456">
        <f>IF(LEFT(C126,16)="Terima Pajak PPN",VLOOKUP(P126,COPY!$A$1:$AC$1000,21,FALSE),IF(LEFT(C126,16)="Terima Pajak PPH",VLOOKUP(P126,COPY!$A$1:$AC$1000,21,FALSE),IF(LEFT(C126,13)="Terima PPh 23",VLOOKUP(P126,COPY!$A$1:$AC$1000,21,FALSE),0)))</f>
        <v>0</v>
      </c>
      <c r="C126" s="457">
        <f>IFERROR(IF(LEFT(VLOOKUP(P126,COPY!$A$1:$AC$1000,29,FALSE),5)="Terim",VLOOKUP(P126,COPY!$A$1:$AC$1000,29,FALSE),0),0)</f>
        <v>0</v>
      </c>
      <c r="D126" s="457"/>
      <c r="E126" s="457"/>
      <c r="F126" s="458">
        <f>IFERROR(IF(LEFT(VLOOKUP(P126,COPY!$A$1:$AC$1000,29,FALSE),5)="Terim",VLOOKUP(P126,COPY!$A$1:$AC$1000,26,FALSE),0),0)</f>
        <v>0</v>
      </c>
      <c r="G126" s="459">
        <f>IFERROR(VLOOKUP(P126,COPY!$A$1:$L$1000,4,FALSE),0)</f>
        <v>0</v>
      </c>
      <c r="H126" s="457">
        <f>IFERROR(VLOOKUP(P126,COPY!$A$1:$L$1000,2,FALSE),0)</f>
        <v>0</v>
      </c>
      <c r="I126" s="510">
        <f>IFERROR(VLOOKUP(P126,COPY!$A$1:$L$1000,10,FALSE),0)</f>
        <v>0</v>
      </c>
      <c r="J126" s="467">
        <f>IFERROR(VLOOKUP(P126,COPY!$A$1:$L$1000,8,FALSE),0)</f>
        <v>0</v>
      </c>
      <c r="K126" s="457">
        <f>IFERROR(VLOOKUP(P126,COPY!$A$1:$L$1000,7,FALSE),0)</f>
        <v>0</v>
      </c>
      <c r="L126" s="468">
        <f>IFERROR(VLOOKUP(P126,COPY!$A$1:$O$1000,15,FALSE),0)</f>
        <v>0</v>
      </c>
      <c r="M126" s="468">
        <f>IFERROR(VLOOKUP(P126,COPY!$A$1:$L$1000,12,FALSE),0)</f>
        <v>0</v>
      </c>
      <c r="N126" s="471">
        <f>IF(H126="Jasa",VLOOKUP('BKU 3'!K126,'Rekap Gaji'!$D$12:$I$26,6,FALSE),(IF(H126="Beli",VLOOKUP(P126,COPY!$A$1:$L$1000,11,FALSE),IF(H126="Bayar Ongkos",VLOOKUP(K126,'Rekap Gaji'!$D$12:$I$26,6,FALSE),0))))</f>
        <v>0</v>
      </c>
      <c r="O126" s="470"/>
      <c r="P126" s="466" t="str">
        <f t="shared" si="7"/>
        <v/>
      </c>
      <c r="Q126" s="253">
        <f t="shared" si="10"/>
        <v>0</v>
      </c>
      <c r="R126" s="253">
        <f t="shared" si="11"/>
        <v>0</v>
      </c>
      <c r="S126" s="449">
        <f t="shared" si="12"/>
        <v>94</v>
      </c>
      <c r="T126" s="253">
        <f t="shared" si="13"/>
        <v>94</v>
      </c>
      <c r="U126" s="457" t="str">
        <f t="shared" si="8"/>
        <v xml:space="preserve"> </v>
      </c>
    </row>
    <row r="127" spans="1:21" ht="20.100000000000001" hidden="1" customHeight="1" x14ac:dyDescent="0.25">
      <c r="A127" s="470" t="str">
        <f t="shared" si="9"/>
        <v/>
      </c>
      <c r="B127" s="456">
        <f>IF(LEFT(C127,16)="Terima Pajak PPN",VLOOKUP(P127,COPY!$A$1:$AC$1000,21,FALSE),IF(LEFT(C127,16)="Terima Pajak PPH",VLOOKUP(P127,COPY!$A$1:$AC$1000,21,FALSE),IF(LEFT(C127,13)="Terima PPh 23",VLOOKUP(P127,COPY!$A$1:$AC$1000,21,FALSE),0)))</f>
        <v>0</v>
      </c>
      <c r="C127" s="457">
        <f>IFERROR(IF(LEFT(VLOOKUP(P127,COPY!$A$1:$AC$1000,29,FALSE),5)="Terim",VLOOKUP(P127,COPY!$A$1:$AC$1000,29,FALSE),0),0)</f>
        <v>0</v>
      </c>
      <c r="D127" s="457"/>
      <c r="E127" s="457"/>
      <c r="F127" s="458">
        <f>IFERROR(IF(LEFT(VLOOKUP(P127,COPY!$A$1:$AC$1000,29,FALSE),5)="Terim",VLOOKUP(P127,COPY!$A$1:$AC$1000,26,FALSE),0),0)</f>
        <v>0</v>
      </c>
      <c r="G127" s="459">
        <f>IFERROR(VLOOKUP(P127,COPY!$A$1:$L$1000,4,FALSE),0)</f>
        <v>0</v>
      </c>
      <c r="H127" s="457">
        <f>IFERROR(VLOOKUP(P127,COPY!$A$1:$L$1000,2,FALSE),0)</f>
        <v>0</v>
      </c>
      <c r="I127" s="510">
        <f>IFERROR(VLOOKUP(P127,COPY!$A$1:$L$1000,10,FALSE),0)</f>
        <v>0</v>
      </c>
      <c r="J127" s="467">
        <f>IFERROR(VLOOKUP(P127,COPY!$A$1:$L$1000,8,FALSE),0)</f>
        <v>0</v>
      </c>
      <c r="K127" s="457">
        <f>IFERROR(VLOOKUP(P127,COPY!$A$1:$L$1000,7,FALSE),0)</f>
        <v>0</v>
      </c>
      <c r="L127" s="468">
        <f>IFERROR(VLOOKUP(P127,COPY!$A$1:$O$1000,15,FALSE),0)</f>
        <v>0</v>
      </c>
      <c r="M127" s="468">
        <f>IFERROR(VLOOKUP(P127,COPY!$A$1:$L$1000,12,FALSE),0)</f>
        <v>0</v>
      </c>
      <c r="N127" s="471">
        <f>IF(H127="Jasa",VLOOKUP('BKU 3'!K127,'Rekap Gaji'!$D$12:$I$26,6,FALSE),(IF(H127="Beli",VLOOKUP(P127,COPY!$A$1:$L$1000,11,FALSE),IF(H127="Bayar Ongkos",VLOOKUP(K127,'Rekap Gaji'!$D$12:$I$26,6,FALSE),0))))</f>
        <v>0</v>
      </c>
      <c r="O127" s="470"/>
      <c r="P127" s="466" t="str">
        <f t="shared" si="7"/>
        <v/>
      </c>
      <c r="Q127" s="253">
        <f t="shared" si="10"/>
        <v>0</v>
      </c>
      <c r="R127" s="253">
        <f t="shared" si="11"/>
        <v>0</v>
      </c>
      <c r="S127" s="449">
        <f t="shared" si="12"/>
        <v>95</v>
      </c>
      <c r="T127" s="253">
        <f t="shared" si="13"/>
        <v>95</v>
      </c>
      <c r="U127" s="457" t="str">
        <f t="shared" si="8"/>
        <v xml:space="preserve"> </v>
      </c>
    </row>
    <row r="128" spans="1:21" ht="20.100000000000001" hidden="1" customHeight="1" x14ac:dyDescent="0.25">
      <c r="A128" s="470" t="str">
        <f t="shared" si="9"/>
        <v/>
      </c>
      <c r="B128" s="456">
        <f>IF(LEFT(C128,16)="Terima Pajak PPN",VLOOKUP(P128,COPY!$A$1:$AC$1000,21,FALSE),IF(LEFT(C128,16)="Terima Pajak PPH",VLOOKUP(P128,COPY!$A$1:$AC$1000,21,FALSE),IF(LEFT(C128,13)="Terima PPh 23",VLOOKUP(P128,COPY!$A$1:$AC$1000,21,FALSE),0)))</f>
        <v>0</v>
      </c>
      <c r="C128" s="457">
        <f>IFERROR(IF(LEFT(VLOOKUP(P128,COPY!$A$1:$AC$1000,29,FALSE),5)="Terim",VLOOKUP(P128,COPY!$A$1:$AC$1000,29,FALSE),0),0)</f>
        <v>0</v>
      </c>
      <c r="D128" s="457"/>
      <c r="E128" s="457"/>
      <c r="F128" s="458">
        <f>IFERROR(IF(LEFT(VLOOKUP(P128,COPY!$A$1:$AC$1000,29,FALSE),5)="Terim",VLOOKUP(P128,COPY!$A$1:$AC$1000,26,FALSE),0),0)</f>
        <v>0</v>
      </c>
      <c r="G128" s="459">
        <f>IFERROR(VLOOKUP(P128,COPY!$A$1:$L$1000,4,FALSE),0)</f>
        <v>0</v>
      </c>
      <c r="H128" s="457">
        <f>IFERROR(VLOOKUP(P128,COPY!$A$1:$L$1000,2,FALSE),0)</f>
        <v>0</v>
      </c>
      <c r="I128" s="510">
        <f>IFERROR(VLOOKUP(P128,COPY!$A$1:$L$1000,10,FALSE),0)</f>
        <v>0</v>
      </c>
      <c r="J128" s="467">
        <f>IFERROR(VLOOKUP(P128,COPY!$A$1:$L$1000,8,FALSE),0)</f>
        <v>0</v>
      </c>
      <c r="K128" s="457">
        <f>IFERROR(VLOOKUP(P128,COPY!$A$1:$L$1000,7,FALSE),0)</f>
        <v>0</v>
      </c>
      <c r="L128" s="468">
        <f>IFERROR(VLOOKUP(P128,COPY!$A$1:$O$1000,15,FALSE),0)</f>
        <v>0</v>
      </c>
      <c r="M128" s="468">
        <f>IFERROR(VLOOKUP(P128,COPY!$A$1:$L$1000,12,FALSE),0)</f>
        <v>0</v>
      </c>
      <c r="N128" s="471">
        <f>IF(H128="Jasa",VLOOKUP('BKU 3'!K128,'Rekap Gaji'!$D$12:$I$26,6,FALSE),(IF(H128="Beli",VLOOKUP(P128,COPY!$A$1:$L$1000,11,FALSE),IF(H128="Bayar Ongkos",VLOOKUP(K128,'Rekap Gaji'!$D$12:$I$26,6,FALSE),0))))</f>
        <v>0</v>
      </c>
      <c r="O128" s="470"/>
      <c r="P128" s="466" t="str">
        <f t="shared" si="7"/>
        <v/>
      </c>
      <c r="Q128" s="253">
        <f t="shared" si="10"/>
        <v>0</v>
      </c>
      <c r="R128" s="253">
        <f t="shared" si="11"/>
        <v>0</v>
      </c>
      <c r="S128" s="449">
        <f t="shared" si="12"/>
        <v>96</v>
      </c>
      <c r="T128" s="253">
        <f t="shared" si="13"/>
        <v>96</v>
      </c>
      <c r="U128" s="457" t="str">
        <f t="shared" si="8"/>
        <v xml:space="preserve"> </v>
      </c>
    </row>
    <row r="129" spans="1:21" ht="20.100000000000001" hidden="1" customHeight="1" x14ac:dyDescent="0.25">
      <c r="A129" s="470" t="str">
        <f t="shared" si="9"/>
        <v/>
      </c>
      <c r="B129" s="456">
        <f>IF(LEFT(C129,16)="Terima Pajak PPN",VLOOKUP(P129,COPY!$A$1:$AC$1000,21,FALSE),IF(LEFT(C129,16)="Terima Pajak PPH",VLOOKUP(P129,COPY!$A$1:$AC$1000,21,FALSE),IF(LEFT(C129,13)="Terima PPh 23",VLOOKUP(P129,COPY!$A$1:$AC$1000,21,FALSE),0)))</f>
        <v>0</v>
      </c>
      <c r="C129" s="457">
        <f>IFERROR(IF(LEFT(VLOOKUP(P129,COPY!$A$1:$AC$1000,29,FALSE),5)="Terim",VLOOKUP(P129,COPY!$A$1:$AC$1000,29,FALSE),0),0)</f>
        <v>0</v>
      </c>
      <c r="D129" s="457"/>
      <c r="E129" s="457"/>
      <c r="F129" s="458">
        <f>IFERROR(IF(LEFT(VLOOKUP(P129,COPY!$A$1:$AC$1000,29,FALSE),5)="Terim",VLOOKUP(P129,COPY!$A$1:$AC$1000,26,FALSE),0),0)</f>
        <v>0</v>
      </c>
      <c r="G129" s="459">
        <f>IFERROR(VLOOKUP(P129,COPY!$A$1:$L$1000,4,FALSE),0)</f>
        <v>0</v>
      </c>
      <c r="H129" s="457">
        <f>IFERROR(VLOOKUP(P129,COPY!$A$1:$L$1000,2,FALSE),0)</f>
        <v>0</v>
      </c>
      <c r="I129" s="510">
        <f>IFERROR(VLOOKUP(P129,COPY!$A$1:$L$1000,10,FALSE),0)</f>
        <v>0</v>
      </c>
      <c r="J129" s="467">
        <f>IFERROR(VLOOKUP(P129,COPY!$A$1:$L$1000,8,FALSE),0)</f>
        <v>0</v>
      </c>
      <c r="K129" s="457">
        <f>IFERROR(VLOOKUP(P129,COPY!$A$1:$L$1000,7,FALSE),0)</f>
        <v>0</v>
      </c>
      <c r="L129" s="468">
        <f>IFERROR(VLOOKUP(P129,COPY!$A$1:$O$1000,15,FALSE),0)</f>
        <v>0</v>
      </c>
      <c r="M129" s="468">
        <f>IFERROR(VLOOKUP(P129,COPY!$A$1:$L$1000,12,FALSE),0)</f>
        <v>0</v>
      </c>
      <c r="N129" s="471">
        <f>IF(H129="Jasa",VLOOKUP('BKU 3'!K129,'Rekap Gaji'!$D$12:$I$26,6,FALSE),(IF(H129="Beli",VLOOKUP(P129,COPY!$A$1:$L$1000,11,FALSE),IF(H129="Bayar Ongkos",VLOOKUP(K129,'Rekap Gaji'!$D$12:$I$26,6,FALSE),0))))</f>
        <v>0</v>
      </c>
      <c r="O129" s="470"/>
      <c r="P129" s="466" t="str">
        <f t="shared" si="7"/>
        <v/>
      </c>
      <c r="Q129" s="253">
        <f t="shared" si="10"/>
        <v>0</v>
      </c>
      <c r="R129" s="253">
        <f t="shared" si="11"/>
        <v>0</v>
      </c>
      <c r="S129" s="449">
        <f t="shared" si="12"/>
        <v>97</v>
      </c>
      <c r="T129" s="253">
        <f t="shared" si="13"/>
        <v>97</v>
      </c>
      <c r="U129" s="457" t="str">
        <f t="shared" si="8"/>
        <v xml:space="preserve"> </v>
      </c>
    </row>
    <row r="130" spans="1:21" ht="20.100000000000001" hidden="1" customHeight="1" x14ac:dyDescent="0.25">
      <c r="A130" s="470" t="str">
        <f t="shared" si="9"/>
        <v/>
      </c>
      <c r="B130" s="456">
        <f>IF(LEFT(C130,16)="Terima Pajak PPN",VLOOKUP(P130,COPY!$A$1:$AC$1000,21,FALSE),IF(LEFT(C130,16)="Terima Pajak PPH",VLOOKUP(P130,COPY!$A$1:$AC$1000,21,FALSE),IF(LEFT(C130,13)="Terima PPh 23",VLOOKUP(P130,COPY!$A$1:$AC$1000,21,FALSE),0)))</f>
        <v>0</v>
      </c>
      <c r="C130" s="457">
        <f>IFERROR(IF(LEFT(VLOOKUP(P130,COPY!$A$1:$AC$1000,29,FALSE),5)="Terim",VLOOKUP(P130,COPY!$A$1:$AC$1000,29,FALSE),0),0)</f>
        <v>0</v>
      </c>
      <c r="D130" s="457"/>
      <c r="E130" s="457"/>
      <c r="F130" s="458">
        <f>IFERROR(IF(LEFT(VLOOKUP(P130,COPY!$A$1:$AC$1000,29,FALSE),5)="Terim",VLOOKUP(P130,COPY!$A$1:$AC$1000,26,FALSE),0),0)</f>
        <v>0</v>
      </c>
      <c r="G130" s="459">
        <f>IFERROR(VLOOKUP(P130,COPY!$A$1:$L$1000,4,FALSE),0)</f>
        <v>0</v>
      </c>
      <c r="H130" s="457">
        <f>IFERROR(VLOOKUP(P130,COPY!$A$1:$L$1000,2,FALSE),0)</f>
        <v>0</v>
      </c>
      <c r="I130" s="510">
        <f>IFERROR(VLOOKUP(P130,COPY!$A$1:$L$1000,10,FALSE),0)</f>
        <v>0</v>
      </c>
      <c r="J130" s="467">
        <f>IFERROR(VLOOKUP(P130,COPY!$A$1:$L$1000,8,FALSE),0)</f>
        <v>0</v>
      </c>
      <c r="K130" s="457">
        <f>IFERROR(VLOOKUP(P130,COPY!$A$1:$L$1000,7,FALSE),0)</f>
        <v>0</v>
      </c>
      <c r="L130" s="468">
        <f>IFERROR(VLOOKUP(P130,COPY!$A$1:$O$1000,15,FALSE),0)</f>
        <v>0</v>
      </c>
      <c r="M130" s="468">
        <f>IFERROR(VLOOKUP(P130,COPY!$A$1:$L$1000,12,FALSE),0)</f>
        <v>0</v>
      </c>
      <c r="N130" s="471">
        <f>IF(H130="Jasa",VLOOKUP('BKU 3'!K130,'Rekap Gaji'!$D$12:$I$26,6,FALSE),(IF(H130="Beli",VLOOKUP(P130,COPY!$A$1:$L$1000,11,FALSE),IF(H130="Bayar Ongkos",VLOOKUP(K130,'Rekap Gaji'!$D$12:$I$26,6,FALSE),0))))</f>
        <v>0</v>
      </c>
      <c r="O130" s="470"/>
      <c r="P130" s="466" t="str">
        <f t="shared" si="7"/>
        <v/>
      </c>
      <c r="Q130" s="253">
        <f t="shared" si="10"/>
        <v>0</v>
      </c>
      <c r="R130" s="253">
        <f t="shared" si="11"/>
        <v>0</v>
      </c>
      <c r="S130" s="449">
        <f t="shared" si="12"/>
        <v>98</v>
      </c>
      <c r="T130" s="253">
        <f t="shared" si="13"/>
        <v>98</v>
      </c>
      <c r="U130" s="457" t="str">
        <f t="shared" si="8"/>
        <v xml:space="preserve"> </v>
      </c>
    </row>
    <row r="131" spans="1:21" ht="20.100000000000001" hidden="1" customHeight="1" x14ac:dyDescent="0.25">
      <c r="A131" s="470" t="str">
        <f t="shared" si="9"/>
        <v/>
      </c>
      <c r="B131" s="456">
        <f>IF(LEFT(C131,16)="Terima Pajak PPN",VLOOKUP(P131,COPY!$A$1:$AC$1000,21,FALSE),IF(LEFT(C131,16)="Terima Pajak PPH",VLOOKUP(P131,COPY!$A$1:$AC$1000,21,FALSE),IF(LEFT(C131,13)="Terima PPh 23",VLOOKUP(P131,COPY!$A$1:$AC$1000,21,FALSE),0)))</f>
        <v>0</v>
      </c>
      <c r="C131" s="457">
        <f>IFERROR(IF(LEFT(VLOOKUP(P131,COPY!$A$1:$AC$1000,29,FALSE),5)="Terim",VLOOKUP(P131,COPY!$A$1:$AC$1000,29,FALSE),0),0)</f>
        <v>0</v>
      </c>
      <c r="D131" s="457"/>
      <c r="E131" s="457"/>
      <c r="F131" s="458">
        <f>IFERROR(IF(LEFT(VLOOKUP(P131,COPY!$A$1:$AC$1000,29,FALSE),5)="Terim",VLOOKUP(P131,COPY!$A$1:$AC$1000,26,FALSE),0),0)</f>
        <v>0</v>
      </c>
      <c r="G131" s="459">
        <f>IFERROR(VLOOKUP(P131,COPY!$A$1:$L$1000,4,FALSE),0)</f>
        <v>0</v>
      </c>
      <c r="H131" s="457">
        <f>IFERROR(VLOOKUP(P131,COPY!$A$1:$L$1000,2,FALSE),0)</f>
        <v>0</v>
      </c>
      <c r="I131" s="510">
        <f>IFERROR(VLOOKUP(P131,COPY!$A$1:$L$1000,10,FALSE),0)</f>
        <v>0</v>
      </c>
      <c r="J131" s="467">
        <f>IFERROR(VLOOKUP(P131,COPY!$A$1:$L$1000,8,FALSE),0)</f>
        <v>0</v>
      </c>
      <c r="K131" s="457">
        <f>IFERROR(VLOOKUP(P131,COPY!$A$1:$L$1000,7,FALSE),0)</f>
        <v>0</v>
      </c>
      <c r="L131" s="468">
        <f>IFERROR(VLOOKUP(P131,COPY!$A$1:$O$1000,15,FALSE),0)</f>
        <v>0</v>
      </c>
      <c r="M131" s="468">
        <f>IFERROR(VLOOKUP(P131,COPY!$A$1:$L$1000,12,FALSE),0)</f>
        <v>0</v>
      </c>
      <c r="N131" s="471">
        <f>IF(H131="Jasa",VLOOKUP('BKU 3'!K131,'Rekap Gaji'!$D$12:$I$26,6,FALSE),(IF(H131="Beli",VLOOKUP(P131,COPY!$A$1:$L$1000,11,FALSE),IF(H131="Bayar Ongkos",VLOOKUP(K131,'Rekap Gaji'!$D$12:$I$26,6,FALSE),0))))</f>
        <v>0</v>
      </c>
      <c r="O131" s="470"/>
      <c r="P131" s="466" t="str">
        <f t="shared" si="7"/>
        <v/>
      </c>
      <c r="Q131" s="253">
        <f t="shared" si="10"/>
        <v>0</v>
      </c>
      <c r="R131" s="253">
        <f t="shared" si="11"/>
        <v>0</v>
      </c>
      <c r="S131" s="449">
        <f t="shared" si="12"/>
        <v>99</v>
      </c>
      <c r="T131" s="253">
        <f t="shared" si="13"/>
        <v>99</v>
      </c>
      <c r="U131" s="457" t="str">
        <f t="shared" si="8"/>
        <v xml:space="preserve"> </v>
      </c>
    </row>
    <row r="132" spans="1:21" ht="20.100000000000001" hidden="1" customHeight="1" x14ac:dyDescent="0.25">
      <c r="A132" s="470" t="str">
        <f t="shared" si="9"/>
        <v/>
      </c>
      <c r="B132" s="456">
        <f>IF(LEFT(C132,16)="Terima Pajak PPN",VLOOKUP(P132,COPY!$A$1:$AC$1000,21,FALSE),IF(LEFT(C132,16)="Terima Pajak PPH",VLOOKUP(P132,COPY!$A$1:$AC$1000,21,FALSE),IF(LEFT(C132,13)="Terima PPh 23",VLOOKUP(P132,COPY!$A$1:$AC$1000,21,FALSE),0)))</f>
        <v>0</v>
      </c>
      <c r="C132" s="457">
        <f>IFERROR(IF(LEFT(VLOOKUP(P132,COPY!$A$1:$AC$1000,29,FALSE),5)="Terim",VLOOKUP(P132,COPY!$A$1:$AC$1000,29,FALSE),0),0)</f>
        <v>0</v>
      </c>
      <c r="D132" s="457"/>
      <c r="E132" s="457"/>
      <c r="F132" s="458">
        <f>IFERROR(IF(LEFT(VLOOKUP(P132,COPY!$A$1:$AC$1000,29,FALSE),5)="Terim",VLOOKUP(P132,COPY!$A$1:$AC$1000,26,FALSE),0),0)</f>
        <v>0</v>
      </c>
      <c r="G132" s="459">
        <f>IFERROR(VLOOKUP(P132,COPY!$A$1:$L$1000,4,FALSE),0)</f>
        <v>0</v>
      </c>
      <c r="H132" s="457">
        <f>IFERROR(VLOOKUP(P132,COPY!$A$1:$L$1000,2,FALSE),0)</f>
        <v>0</v>
      </c>
      <c r="I132" s="510">
        <f>IFERROR(VLOOKUP(P132,COPY!$A$1:$L$1000,10,FALSE),0)</f>
        <v>0</v>
      </c>
      <c r="J132" s="467">
        <f>IFERROR(VLOOKUP(P132,COPY!$A$1:$L$1000,8,FALSE),0)</f>
        <v>0</v>
      </c>
      <c r="K132" s="457">
        <f>IFERROR(VLOOKUP(P132,COPY!$A$1:$L$1000,7,FALSE),0)</f>
        <v>0</v>
      </c>
      <c r="L132" s="468">
        <f>IFERROR(VLOOKUP(P132,COPY!$A$1:$O$1000,15,FALSE),0)</f>
        <v>0</v>
      </c>
      <c r="M132" s="468">
        <f>IFERROR(VLOOKUP(P132,COPY!$A$1:$L$1000,12,FALSE),0)</f>
        <v>0</v>
      </c>
      <c r="N132" s="471">
        <f>IF(H132="Jasa",VLOOKUP('BKU 3'!K132,'Rekap Gaji'!$D$12:$I$26,6,FALSE),(IF(H132="Beli",VLOOKUP(P132,COPY!$A$1:$L$1000,11,FALSE),IF(H132="Bayar Ongkos",VLOOKUP(K132,'Rekap Gaji'!$D$12:$I$26,6,FALSE),0))))</f>
        <v>0</v>
      </c>
      <c r="O132" s="470"/>
      <c r="P132" s="466" t="str">
        <f t="shared" si="7"/>
        <v/>
      </c>
      <c r="Q132" s="253">
        <f t="shared" si="10"/>
        <v>0</v>
      </c>
      <c r="R132" s="253">
        <f t="shared" si="11"/>
        <v>0</v>
      </c>
      <c r="S132" s="449">
        <f t="shared" si="12"/>
        <v>100</v>
      </c>
      <c r="T132" s="253">
        <f t="shared" si="13"/>
        <v>100</v>
      </c>
      <c r="U132" s="457" t="str">
        <f t="shared" si="8"/>
        <v xml:space="preserve"> </v>
      </c>
    </row>
    <row r="133" spans="1:21" ht="20.100000000000001" hidden="1" customHeight="1" x14ac:dyDescent="0.25">
      <c r="A133" s="470" t="str">
        <f t="shared" si="9"/>
        <v/>
      </c>
      <c r="B133" s="456">
        <f>IF(LEFT(C133,16)="Terima Pajak PPN",VLOOKUP(P133,COPY!$A$1:$AC$1000,21,FALSE),IF(LEFT(C133,16)="Terima Pajak PPH",VLOOKUP(P133,COPY!$A$1:$AC$1000,21,FALSE),IF(LEFT(C133,13)="Terima PPh 23",VLOOKUP(P133,COPY!$A$1:$AC$1000,21,FALSE),0)))</f>
        <v>0</v>
      </c>
      <c r="C133" s="457">
        <f>IFERROR(IF(LEFT(VLOOKUP(P133,COPY!$A$1:$AC$1000,29,FALSE),5)="Terim",VLOOKUP(P133,COPY!$A$1:$AC$1000,29,FALSE),0),0)</f>
        <v>0</v>
      </c>
      <c r="D133" s="457"/>
      <c r="E133" s="457"/>
      <c r="F133" s="458">
        <f>IFERROR(IF(LEFT(VLOOKUP(P133,COPY!$A$1:$AC$1000,29,FALSE),5)="Terim",VLOOKUP(P133,COPY!$A$1:$AC$1000,26,FALSE),0),0)</f>
        <v>0</v>
      </c>
      <c r="G133" s="459">
        <f>IFERROR(VLOOKUP(P133,COPY!$A$1:$L$1000,4,FALSE),0)</f>
        <v>0</v>
      </c>
      <c r="H133" s="457">
        <f>IFERROR(VLOOKUP(P133,COPY!$A$1:$L$1000,2,FALSE),0)</f>
        <v>0</v>
      </c>
      <c r="I133" s="510">
        <f>IFERROR(VLOOKUP(P133,COPY!$A$1:$L$1000,10,FALSE),0)</f>
        <v>0</v>
      </c>
      <c r="J133" s="467">
        <f>IFERROR(VLOOKUP(P133,COPY!$A$1:$L$1000,8,FALSE),0)</f>
        <v>0</v>
      </c>
      <c r="K133" s="457">
        <f>IFERROR(VLOOKUP(P133,COPY!$A$1:$L$1000,7,FALSE),0)</f>
        <v>0</v>
      </c>
      <c r="L133" s="468">
        <f>IFERROR(VLOOKUP(P133,COPY!$A$1:$O$1000,15,FALSE),0)</f>
        <v>0</v>
      </c>
      <c r="M133" s="468">
        <f>IFERROR(VLOOKUP(P133,COPY!$A$1:$L$1000,12,FALSE),0)</f>
        <v>0</v>
      </c>
      <c r="N133" s="471">
        <f>IF(H133="Jasa",VLOOKUP('BKU 3'!K133,'Rekap Gaji'!$D$12:$I$26,6,FALSE),(IF(H133="Beli",VLOOKUP(P133,COPY!$A$1:$L$1000,11,FALSE),IF(H133="Bayar Ongkos",VLOOKUP(K133,'Rekap Gaji'!$D$12:$I$26,6,FALSE),0))))</f>
        <v>0</v>
      </c>
      <c r="O133" s="470"/>
      <c r="P133" s="466" t="str">
        <f t="shared" si="7"/>
        <v/>
      </c>
      <c r="Q133" s="253">
        <f t="shared" si="10"/>
        <v>0</v>
      </c>
      <c r="R133" s="253">
        <f t="shared" si="11"/>
        <v>0</v>
      </c>
      <c r="S133" s="449">
        <f t="shared" si="12"/>
        <v>101</v>
      </c>
      <c r="T133" s="253">
        <f t="shared" si="13"/>
        <v>101</v>
      </c>
      <c r="U133" s="457" t="str">
        <f t="shared" si="8"/>
        <v xml:space="preserve"> </v>
      </c>
    </row>
    <row r="134" spans="1:21" ht="20.100000000000001" hidden="1" customHeight="1" x14ac:dyDescent="0.25">
      <c r="A134" s="470" t="str">
        <f t="shared" si="9"/>
        <v/>
      </c>
      <c r="B134" s="456">
        <f>IF(LEFT(C134,16)="Terima Pajak PPN",VLOOKUP(P134,COPY!$A$1:$AC$1000,21,FALSE),IF(LEFT(C134,16)="Terima Pajak PPH",VLOOKUP(P134,COPY!$A$1:$AC$1000,21,FALSE),IF(LEFT(C134,13)="Terima PPh 23",VLOOKUP(P134,COPY!$A$1:$AC$1000,21,FALSE),0)))</f>
        <v>0</v>
      </c>
      <c r="C134" s="457">
        <f>IFERROR(IF(LEFT(VLOOKUP(P134,COPY!$A$1:$AC$1000,29,FALSE),5)="Terim",VLOOKUP(P134,COPY!$A$1:$AC$1000,29,FALSE),0),0)</f>
        <v>0</v>
      </c>
      <c r="D134" s="457"/>
      <c r="E134" s="457"/>
      <c r="F134" s="458">
        <f>IFERROR(IF(LEFT(VLOOKUP(P134,COPY!$A$1:$AC$1000,29,FALSE),5)="Terim",VLOOKUP(P134,COPY!$A$1:$AC$1000,26,FALSE),0),0)</f>
        <v>0</v>
      </c>
      <c r="G134" s="459">
        <f>IFERROR(VLOOKUP(P134,COPY!$A$1:$L$1000,4,FALSE),0)</f>
        <v>0</v>
      </c>
      <c r="H134" s="457">
        <f>IFERROR(VLOOKUP(P134,COPY!$A$1:$L$1000,2,FALSE),0)</f>
        <v>0</v>
      </c>
      <c r="I134" s="510">
        <f>IFERROR(VLOOKUP(P134,COPY!$A$1:$L$1000,10,FALSE),0)</f>
        <v>0</v>
      </c>
      <c r="J134" s="467">
        <f>IFERROR(VLOOKUP(P134,COPY!$A$1:$L$1000,8,FALSE),0)</f>
        <v>0</v>
      </c>
      <c r="K134" s="457">
        <f>IFERROR(VLOOKUP(P134,COPY!$A$1:$L$1000,7,FALSE),0)</f>
        <v>0</v>
      </c>
      <c r="L134" s="468">
        <f>IFERROR(VLOOKUP(P134,COPY!$A$1:$O$1000,15,FALSE),0)</f>
        <v>0</v>
      </c>
      <c r="M134" s="468">
        <f>IFERROR(VLOOKUP(P134,COPY!$A$1:$L$1000,12,FALSE),0)</f>
        <v>0</v>
      </c>
      <c r="N134" s="471">
        <f>IF(H134="Jasa",VLOOKUP('BKU 3'!K134,'Rekap Gaji'!$D$12:$I$26,6,FALSE),(IF(H134="Beli",VLOOKUP(P134,COPY!$A$1:$L$1000,11,FALSE),IF(H134="Bayar Ongkos",VLOOKUP(K134,'Rekap Gaji'!$D$12:$I$26,6,FALSE),0))))</f>
        <v>0</v>
      </c>
      <c r="O134" s="470"/>
      <c r="P134" s="466" t="str">
        <f t="shared" si="7"/>
        <v/>
      </c>
      <c r="Q134" s="253">
        <f t="shared" si="10"/>
        <v>0</v>
      </c>
      <c r="R134" s="253">
        <f t="shared" si="11"/>
        <v>0</v>
      </c>
      <c r="S134" s="449">
        <f t="shared" si="12"/>
        <v>102</v>
      </c>
      <c r="T134" s="253">
        <f t="shared" si="13"/>
        <v>102</v>
      </c>
      <c r="U134" s="457" t="str">
        <f t="shared" si="8"/>
        <v xml:space="preserve"> </v>
      </c>
    </row>
    <row r="135" spans="1:21" ht="20.100000000000001" hidden="1" customHeight="1" x14ac:dyDescent="0.25">
      <c r="A135" s="470" t="str">
        <f t="shared" si="9"/>
        <v/>
      </c>
      <c r="B135" s="456">
        <f>IF(LEFT(C135,16)="Terima Pajak PPN",VLOOKUP(P135,COPY!$A$1:$AC$1000,21,FALSE),IF(LEFT(C135,16)="Terima Pajak PPH",VLOOKUP(P135,COPY!$A$1:$AC$1000,21,FALSE),IF(LEFT(C135,13)="Terima PPh 23",VLOOKUP(P135,COPY!$A$1:$AC$1000,21,FALSE),0)))</f>
        <v>0</v>
      </c>
      <c r="C135" s="457">
        <f>IFERROR(IF(LEFT(VLOOKUP(P135,COPY!$A$1:$AC$1000,29,FALSE),5)="Terim",VLOOKUP(P135,COPY!$A$1:$AC$1000,29,FALSE),0),0)</f>
        <v>0</v>
      </c>
      <c r="D135" s="457"/>
      <c r="E135" s="457"/>
      <c r="F135" s="458">
        <f>IFERROR(IF(LEFT(VLOOKUP(P135,COPY!$A$1:$AC$1000,29,FALSE),5)="Terim",VLOOKUP(P135,COPY!$A$1:$AC$1000,26,FALSE),0),0)</f>
        <v>0</v>
      </c>
      <c r="G135" s="459">
        <f>IFERROR(VLOOKUP(P135,COPY!$A$1:$L$1000,4,FALSE),0)</f>
        <v>0</v>
      </c>
      <c r="H135" s="457">
        <f>IFERROR(VLOOKUP(P135,COPY!$A$1:$L$1000,2,FALSE),0)</f>
        <v>0</v>
      </c>
      <c r="I135" s="510">
        <f>IFERROR(VLOOKUP(P135,COPY!$A$1:$L$1000,10,FALSE),0)</f>
        <v>0</v>
      </c>
      <c r="J135" s="467">
        <f>IFERROR(VLOOKUP(P135,COPY!$A$1:$L$1000,8,FALSE),0)</f>
        <v>0</v>
      </c>
      <c r="K135" s="457">
        <f>IFERROR(VLOOKUP(P135,COPY!$A$1:$L$1000,7,FALSE),0)</f>
        <v>0</v>
      </c>
      <c r="L135" s="468">
        <f>IFERROR(VLOOKUP(P135,COPY!$A$1:$O$1000,15,FALSE),0)</f>
        <v>0</v>
      </c>
      <c r="M135" s="468">
        <f>IFERROR(VLOOKUP(P135,COPY!$A$1:$L$1000,12,FALSE),0)</f>
        <v>0</v>
      </c>
      <c r="N135" s="471">
        <f>IF(H135="Jasa",VLOOKUP('BKU 3'!K135,'Rekap Gaji'!$D$12:$I$26,6,FALSE),(IF(H135="Beli",VLOOKUP(P135,COPY!$A$1:$L$1000,11,FALSE),IF(H135="Bayar Ongkos",VLOOKUP(K135,'Rekap Gaji'!$D$12:$I$26,6,FALSE),0))))</f>
        <v>0</v>
      </c>
      <c r="O135" s="470"/>
      <c r="P135" s="466" t="str">
        <f t="shared" si="7"/>
        <v/>
      </c>
      <c r="Q135" s="253">
        <f t="shared" si="10"/>
        <v>0</v>
      </c>
      <c r="R135" s="253">
        <f t="shared" si="11"/>
        <v>0</v>
      </c>
      <c r="S135" s="449">
        <f t="shared" si="12"/>
        <v>103</v>
      </c>
      <c r="T135" s="253">
        <f t="shared" si="13"/>
        <v>103</v>
      </c>
      <c r="U135" s="457" t="str">
        <f t="shared" si="8"/>
        <v xml:space="preserve"> </v>
      </c>
    </row>
    <row r="136" spans="1:21" ht="20.100000000000001" hidden="1" customHeight="1" x14ac:dyDescent="0.25">
      <c r="A136" s="470" t="str">
        <f t="shared" si="9"/>
        <v/>
      </c>
      <c r="B136" s="456">
        <f>IF(LEFT(C136,16)="Terima Pajak PPN",VLOOKUP(P136,COPY!$A$1:$AC$1000,21,FALSE),IF(LEFT(C136,16)="Terima Pajak PPH",VLOOKUP(P136,COPY!$A$1:$AC$1000,21,FALSE),IF(LEFT(C136,13)="Terima PPh 23",VLOOKUP(P136,COPY!$A$1:$AC$1000,21,FALSE),0)))</f>
        <v>0</v>
      </c>
      <c r="C136" s="457">
        <f>IFERROR(IF(LEFT(VLOOKUP(P136,COPY!$A$1:$AC$1000,29,FALSE),5)="Terim",VLOOKUP(P136,COPY!$A$1:$AC$1000,29,FALSE),0),0)</f>
        <v>0</v>
      </c>
      <c r="D136" s="457"/>
      <c r="E136" s="457"/>
      <c r="F136" s="458">
        <f>IFERROR(IF(LEFT(VLOOKUP(P136,COPY!$A$1:$AC$1000,29,FALSE),5)="Terim",VLOOKUP(P136,COPY!$A$1:$AC$1000,26,FALSE),0),0)</f>
        <v>0</v>
      </c>
      <c r="G136" s="459">
        <f>IFERROR(VLOOKUP(P136,COPY!$A$1:$L$1000,4,FALSE),0)</f>
        <v>0</v>
      </c>
      <c r="H136" s="457">
        <f>IFERROR(VLOOKUP(P136,COPY!$A$1:$L$1000,2,FALSE),0)</f>
        <v>0</v>
      </c>
      <c r="I136" s="510">
        <f>IFERROR(VLOOKUP(P136,COPY!$A$1:$L$1000,10,FALSE),0)</f>
        <v>0</v>
      </c>
      <c r="J136" s="467">
        <f>IFERROR(VLOOKUP(P136,COPY!$A$1:$L$1000,8,FALSE),0)</f>
        <v>0</v>
      </c>
      <c r="K136" s="457">
        <f>IFERROR(VLOOKUP(P136,COPY!$A$1:$L$1000,7,FALSE),0)</f>
        <v>0</v>
      </c>
      <c r="L136" s="468">
        <f>IFERROR(VLOOKUP(P136,COPY!$A$1:$O$1000,15,FALSE),0)</f>
        <v>0</v>
      </c>
      <c r="M136" s="468">
        <f>IFERROR(VLOOKUP(P136,COPY!$A$1:$L$1000,12,FALSE),0)</f>
        <v>0</v>
      </c>
      <c r="N136" s="471">
        <f>IF(H136="Jasa",VLOOKUP('BKU 3'!K136,'Rekap Gaji'!$D$12:$I$26,6,FALSE),(IF(H136="Beli",VLOOKUP(P136,COPY!$A$1:$L$1000,11,FALSE),IF(H136="Bayar Ongkos",VLOOKUP(K136,'Rekap Gaji'!$D$12:$I$26,6,FALSE),0))))</f>
        <v>0</v>
      </c>
      <c r="O136" s="470"/>
      <c r="P136" s="466" t="str">
        <f t="shared" si="7"/>
        <v/>
      </c>
      <c r="Q136" s="253">
        <f t="shared" si="10"/>
        <v>0</v>
      </c>
      <c r="R136" s="253">
        <f t="shared" si="11"/>
        <v>0</v>
      </c>
      <c r="S136" s="449">
        <f t="shared" si="12"/>
        <v>104</v>
      </c>
      <c r="T136" s="253">
        <f t="shared" si="13"/>
        <v>104</v>
      </c>
      <c r="U136" s="457" t="str">
        <f t="shared" si="8"/>
        <v xml:space="preserve"> </v>
      </c>
    </row>
    <row r="137" spans="1:21" ht="20.100000000000001" hidden="1" customHeight="1" x14ac:dyDescent="0.25">
      <c r="A137" s="470" t="str">
        <f t="shared" si="9"/>
        <v/>
      </c>
      <c r="B137" s="456">
        <f>IF(LEFT(C137,16)="Terima Pajak PPN",VLOOKUP(P137,COPY!$A$1:$AC$1000,21,FALSE),IF(LEFT(C137,16)="Terima Pajak PPH",VLOOKUP(P137,COPY!$A$1:$AC$1000,21,FALSE),IF(LEFT(C137,13)="Terima PPh 23",VLOOKUP(P137,COPY!$A$1:$AC$1000,21,FALSE),0)))</f>
        <v>0</v>
      </c>
      <c r="C137" s="457">
        <f>IFERROR(IF(LEFT(VLOOKUP(P137,COPY!$A$1:$AC$1000,29,FALSE),5)="Terim",VLOOKUP(P137,COPY!$A$1:$AC$1000,29,FALSE),0),0)</f>
        <v>0</v>
      </c>
      <c r="D137" s="457"/>
      <c r="E137" s="457"/>
      <c r="F137" s="458">
        <f>IFERROR(IF(LEFT(VLOOKUP(P137,COPY!$A$1:$AC$1000,29,FALSE),5)="Terim",VLOOKUP(P137,COPY!$A$1:$AC$1000,26,FALSE),0),0)</f>
        <v>0</v>
      </c>
      <c r="G137" s="459">
        <f>IFERROR(VLOOKUP(P137,COPY!$A$1:$L$1000,4,FALSE),0)</f>
        <v>0</v>
      </c>
      <c r="H137" s="457">
        <f>IFERROR(VLOOKUP(P137,COPY!$A$1:$L$1000,2,FALSE),0)</f>
        <v>0</v>
      </c>
      <c r="I137" s="510">
        <f>IFERROR(VLOOKUP(P137,COPY!$A$1:$L$1000,10,FALSE),0)</f>
        <v>0</v>
      </c>
      <c r="J137" s="467">
        <f>IFERROR(VLOOKUP(P137,COPY!$A$1:$L$1000,8,FALSE),0)</f>
        <v>0</v>
      </c>
      <c r="K137" s="457">
        <f>IFERROR(VLOOKUP(P137,COPY!$A$1:$L$1000,7,FALSE),0)</f>
        <v>0</v>
      </c>
      <c r="L137" s="468">
        <f>IFERROR(VLOOKUP(P137,COPY!$A$1:$O$1000,15,FALSE),0)</f>
        <v>0</v>
      </c>
      <c r="M137" s="468">
        <f>IFERROR(VLOOKUP(P137,COPY!$A$1:$L$1000,12,FALSE),0)</f>
        <v>0</v>
      </c>
      <c r="N137" s="471">
        <f>IF(H137="Jasa",VLOOKUP('BKU 3'!K137,'Rekap Gaji'!$D$12:$I$26,6,FALSE),(IF(H137="Beli",VLOOKUP(P137,COPY!$A$1:$L$1000,11,FALSE),IF(H137="Bayar Ongkos",VLOOKUP(K137,'Rekap Gaji'!$D$12:$I$26,6,FALSE),0))))</f>
        <v>0</v>
      </c>
      <c r="O137" s="470"/>
      <c r="P137" s="466" t="str">
        <f t="shared" si="7"/>
        <v/>
      </c>
      <c r="Q137" s="253">
        <f t="shared" si="10"/>
        <v>0</v>
      </c>
      <c r="R137" s="253">
        <f t="shared" si="11"/>
        <v>0</v>
      </c>
      <c r="S137" s="449">
        <f t="shared" si="12"/>
        <v>105</v>
      </c>
      <c r="T137" s="253">
        <f t="shared" si="13"/>
        <v>105</v>
      </c>
      <c r="U137" s="457" t="str">
        <f t="shared" si="8"/>
        <v xml:space="preserve"> </v>
      </c>
    </row>
    <row r="138" spans="1:21" ht="20.100000000000001" hidden="1" customHeight="1" x14ac:dyDescent="0.25">
      <c r="A138" s="470" t="str">
        <f t="shared" si="9"/>
        <v/>
      </c>
      <c r="B138" s="456">
        <f>IF(LEFT(C138,16)="Terima Pajak PPN",VLOOKUP(P138,COPY!$A$1:$AC$1000,21,FALSE),IF(LEFT(C138,16)="Terima Pajak PPH",VLOOKUP(P138,COPY!$A$1:$AC$1000,21,FALSE),IF(LEFT(C138,13)="Terima PPh 23",VLOOKUP(P138,COPY!$A$1:$AC$1000,21,FALSE),0)))</f>
        <v>0</v>
      </c>
      <c r="C138" s="457">
        <f>IFERROR(IF(LEFT(VLOOKUP(P138,COPY!$A$1:$AC$1000,29,FALSE),5)="Terim",VLOOKUP(P138,COPY!$A$1:$AC$1000,29,FALSE),0),0)</f>
        <v>0</v>
      </c>
      <c r="D138" s="457"/>
      <c r="E138" s="457"/>
      <c r="F138" s="458">
        <f>IFERROR(IF(LEFT(VLOOKUP(P138,COPY!$A$1:$AC$1000,29,FALSE),5)="Terim",VLOOKUP(P138,COPY!$A$1:$AC$1000,26,FALSE),0),0)</f>
        <v>0</v>
      </c>
      <c r="G138" s="459">
        <f>IFERROR(VLOOKUP(P138,COPY!$A$1:$L$1000,4,FALSE),0)</f>
        <v>0</v>
      </c>
      <c r="H138" s="457">
        <f>IFERROR(VLOOKUP(P138,COPY!$A$1:$L$1000,2,FALSE),0)</f>
        <v>0</v>
      </c>
      <c r="I138" s="510">
        <f>IFERROR(VLOOKUP(P138,COPY!$A$1:$L$1000,10,FALSE),0)</f>
        <v>0</v>
      </c>
      <c r="J138" s="467">
        <f>IFERROR(VLOOKUP(P138,COPY!$A$1:$L$1000,8,FALSE),0)</f>
        <v>0</v>
      </c>
      <c r="K138" s="457">
        <f>IFERROR(VLOOKUP(P138,COPY!$A$1:$L$1000,7,FALSE),0)</f>
        <v>0</v>
      </c>
      <c r="L138" s="468">
        <f>IFERROR(VLOOKUP(P138,COPY!$A$1:$O$1000,15,FALSE),0)</f>
        <v>0</v>
      </c>
      <c r="M138" s="468">
        <f>IFERROR(VLOOKUP(P138,COPY!$A$1:$L$1000,12,FALSE),0)</f>
        <v>0</v>
      </c>
      <c r="N138" s="471">
        <f>IF(H138="Jasa",VLOOKUP('BKU 3'!K138,'Rekap Gaji'!$D$12:$I$26,6,FALSE),(IF(H138="Beli",VLOOKUP(P138,COPY!$A$1:$L$1000,11,FALSE),IF(H138="Bayar Ongkos",VLOOKUP(K138,'Rekap Gaji'!$D$12:$I$26,6,FALSE),0))))</f>
        <v>0</v>
      </c>
      <c r="O138" s="470"/>
      <c r="P138" s="466" t="str">
        <f t="shared" si="7"/>
        <v/>
      </c>
      <c r="Q138" s="253">
        <f t="shared" si="10"/>
        <v>0</v>
      </c>
      <c r="R138" s="253">
        <f t="shared" si="11"/>
        <v>0</v>
      </c>
      <c r="S138" s="449">
        <f t="shared" si="12"/>
        <v>106</v>
      </c>
      <c r="T138" s="253">
        <f t="shared" si="13"/>
        <v>106</v>
      </c>
      <c r="U138" s="457" t="str">
        <f t="shared" si="8"/>
        <v xml:space="preserve"> </v>
      </c>
    </row>
    <row r="139" spans="1:21" ht="20.100000000000001" hidden="1" customHeight="1" x14ac:dyDescent="0.25">
      <c r="A139" s="470" t="str">
        <f t="shared" si="9"/>
        <v/>
      </c>
      <c r="B139" s="456">
        <f>IF(LEFT(C139,16)="Terima Pajak PPN",VLOOKUP(P139,COPY!$A$1:$AC$1000,21,FALSE),IF(LEFT(C139,16)="Terima Pajak PPH",VLOOKUP(P139,COPY!$A$1:$AC$1000,21,FALSE),IF(LEFT(C139,13)="Terima PPh 23",VLOOKUP(P139,COPY!$A$1:$AC$1000,21,FALSE),0)))</f>
        <v>0</v>
      </c>
      <c r="C139" s="457">
        <f>IFERROR(IF(LEFT(VLOOKUP(P139,COPY!$A$1:$AC$1000,29,FALSE),5)="Terim",VLOOKUP(P139,COPY!$A$1:$AC$1000,29,FALSE),0),0)</f>
        <v>0</v>
      </c>
      <c r="D139" s="457"/>
      <c r="E139" s="457"/>
      <c r="F139" s="458">
        <f>IFERROR(IF(LEFT(VLOOKUP(P139,COPY!$A$1:$AC$1000,29,FALSE),5)="Terim",VLOOKUP(P139,COPY!$A$1:$AC$1000,26,FALSE),0),0)</f>
        <v>0</v>
      </c>
      <c r="G139" s="459">
        <f>IFERROR(VLOOKUP(P139,COPY!$A$1:$L$1000,4,FALSE),0)</f>
        <v>0</v>
      </c>
      <c r="H139" s="457">
        <f>IFERROR(VLOOKUP(P139,COPY!$A$1:$L$1000,2,FALSE),0)</f>
        <v>0</v>
      </c>
      <c r="I139" s="510">
        <f>IFERROR(VLOOKUP(P139,COPY!$A$1:$L$1000,10,FALSE),0)</f>
        <v>0</v>
      </c>
      <c r="J139" s="467">
        <f>IFERROR(VLOOKUP(P139,COPY!$A$1:$L$1000,8,FALSE),0)</f>
        <v>0</v>
      </c>
      <c r="K139" s="457">
        <f>IFERROR(VLOOKUP(P139,COPY!$A$1:$L$1000,7,FALSE),0)</f>
        <v>0</v>
      </c>
      <c r="L139" s="468">
        <f>IFERROR(VLOOKUP(P139,COPY!$A$1:$O$1000,15,FALSE),0)</f>
        <v>0</v>
      </c>
      <c r="M139" s="468">
        <f>IFERROR(VLOOKUP(P139,COPY!$A$1:$L$1000,12,FALSE),0)</f>
        <v>0</v>
      </c>
      <c r="N139" s="471">
        <f>IF(H139="Jasa",VLOOKUP('BKU 3'!K139,'Rekap Gaji'!$D$12:$I$26,6,FALSE),(IF(H139="Beli",VLOOKUP(P139,COPY!$A$1:$L$1000,11,FALSE),IF(H139="Bayar Ongkos",VLOOKUP(K139,'Rekap Gaji'!$D$12:$I$26,6,FALSE),0))))</f>
        <v>0</v>
      </c>
      <c r="O139" s="470"/>
      <c r="P139" s="466" t="str">
        <f t="shared" si="7"/>
        <v/>
      </c>
      <c r="Q139" s="253">
        <f t="shared" si="10"/>
        <v>0</v>
      </c>
      <c r="R139" s="253">
        <f t="shared" si="11"/>
        <v>0</v>
      </c>
      <c r="S139" s="449">
        <f t="shared" si="12"/>
        <v>107</v>
      </c>
      <c r="T139" s="253">
        <f t="shared" si="13"/>
        <v>107</v>
      </c>
      <c r="U139" s="457" t="str">
        <f t="shared" si="8"/>
        <v xml:space="preserve"> </v>
      </c>
    </row>
    <row r="140" spans="1:21" ht="20.100000000000001" hidden="1" customHeight="1" x14ac:dyDescent="0.25">
      <c r="A140" s="470" t="str">
        <f t="shared" si="9"/>
        <v/>
      </c>
      <c r="B140" s="456">
        <f>IF(LEFT(C140,16)="Terima Pajak PPN",VLOOKUP(P140,COPY!$A$1:$AC$1000,21,FALSE),IF(LEFT(C140,16)="Terima Pajak PPH",VLOOKUP(P140,COPY!$A$1:$AC$1000,21,FALSE),IF(LEFT(C140,13)="Terima PPh 23",VLOOKUP(P140,COPY!$A$1:$AC$1000,21,FALSE),0)))</f>
        <v>0</v>
      </c>
      <c r="C140" s="457">
        <f>IFERROR(IF(LEFT(VLOOKUP(P140,COPY!$A$1:$AC$1000,29,FALSE),5)="Terim",VLOOKUP(P140,COPY!$A$1:$AC$1000,29,FALSE),0),0)</f>
        <v>0</v>
      </c>
      <c r="D140" s="457"/>
      <c r="E140" s="457"/>
      <c r="F140" s="458">
        <f>IFERROR(IF(LEFT(VLOOKUP(P140,COPY!$A$1:$AC$1000,29,FALSE),5)="Terim",VLOOKUP(P140,COPY!$A$1:$AC$1000,26,FALSE),0),0)</f>
        <v>0</v>
      </c>
      <c r="G140" s="459">
        <f>IFERROR(VLOOKUP(P140,COPY!$A$1:$L$1000,4,FALSE),0)</f>
        <v>0</v>
      </c>
      <c r="H140" s="457">
        <f>IFERROR(VLOOKUP(P140,COPY!$A$1:$L$1000,2,FALSE),0)</f>
        <v>0</v>
      </c>
      <c r="I140" s="510">
        <f>IFERROR(VLOOKUP(P140,COPY!$A$1:$L$1000,10,FALSE),0)</f>
        <v>0</v>
      </c>
      <c r="J140" s="467">
        <f>IFERROR(VLOOKUP(P140,COPY!$A$1:$L$1000,8,FALSE),0)</f>
        <v>0</v>
      </c>
      <c r="K140" s="457">
        <f>IFERROR(VLOOKUP(P140,COPY!$A$1:$L$1000,7,FALSE),0)</f>
        <v>0</v>
      </c>
      <c r="L140" s="468">
        <f>IFERROR(VLOOKUP(P140,COPY!$A$1:$O$1000,15,FALSE),0)</f>
        <v>0</v>
      </c>
      <c r="M140" s="468">
        <f>IFERROR(VLOOKUP(P140,COPY!$A$1:$L$1000,12,FALSE),0)</f>
        <v>0</v>
      </c>
      <c r="N140" s="471">
        <f>IF(H140="Jasa",VLOOKUP('BKU 3'!K140,'Rekap Gaji'!$D$12:$I$26,6,FALSE),(IF(H140="Beli",VLOOKUP(P140,COPY!$A$1:$L$1000,11,FALSE),IF(H140="Bayar Ongkos",VLOOKUP(K140,'Rekap Gaji'!$D$12:$I$26,6,FALSE),0))))</f>
        <v>0</v>
      </c>
      <c r="O140" s="470"/>
      <c r="P140" s="466" t="str">
        <f t="shared" si="7"/>
        <v/>
      </c>
      <c r="Q140" s="253">
        <f t="shared" si="10"/>
        <v>0</v>
      </c>
      <c r="R140" s="253">
        <f t="shared" si="11"/>
        <v>0</v>
      </c>
      <c r="S140" s="449">
        <f t="shared" si="12"/>
        <v>108</v>
      </c>
      <c r="T140" s="253">
        <f t="shared" si="13"/>
        <v>108</v>
      </c>
      <c r="U140" s="457" t="str">
        <f t="shared" si="8"/>
        <v xml:space="preserve"> </v>
      </c>
    </row>
    <row r="141" spans="1:21" ht="20.100000000000001" hidden="1" customHeight="1" x14ac:dyDescent="0.25">
      <c r="A141" s="470" t="str">
        <f t="shared" si="9"/>
        <v/>
      </c>
      <c r="B141" s="456">
        <f>IF(LEFT(C141,16)="Terima Pajak PPN",VLOOKUP(P141,COPY!$A$1:$AC$1000,21,FALSE),IF(LEFT(C141,16)="Terima Pajak PPH",VLOOKUP(P141,COPY!$A$1:$AC$1000,21,FALSE),IF(LEFT(C141,13)="Terima PPh 23",VLOOKUP(P141,COPY!$A$1:$AC$1000,21,FALSE),0)))</f>
        <v>0</v>
      </c>
      <c r="C141" s="457">
        <f>IFERROR(IF(LEFT(VLOOKUP(P141,COPY!$A$1:$AC$1000,29,FALSE),5)="Terim",VLOOKUP(P141,COPY!$A$1:$AC$1000,29,FALSE),0),0)</f>
        <v>0</v>
      </c>
      <c r="D141" s="457"/>
      <c r="E141" s="457"/>
      <c r="F141" s="458">
        <f>IFERROR(IF(LEFT(VLOOKUP(P141,COPY!$A$1:$AC$1000,29,FALSE),5)="Terim",VLOOKUP(P141,COPY!$A$1:$AC$1000,26,FALSE),0),0)</f>
        <v>0</v>
      </c>
      <c r="G141" s="459">
        <f>IFERROR(VLOOKUP(P141,COPY!$A$1:$L$1000,4,FALSE),0)</f>
        <v>0</v>
      </c>
      <c r="H141" s="457">
        <f>IFERROR(VLOOKUP(P141,COPY!$A$1:$L$1000,2,FALSE),0)</f>
        <v>0</v>
      </c>
      <c r="I141" s="510">
        <f>IFERROR(VLOOKUP(P141,COPY!$A$1:$L$1000,10,FALSE),0)</f>
        <v>0</v>
      </c>
      <c r="J141" s="467">
        <f>IFERROR(VLOOKUP(P141,COPY!$A$1:$L$1000,8,FALSE),0)</f>
        <v>0</v>
      </c>
      <c r="K141" s="457">
        <f>IFERROR(VLOOKUP(P141,COPY!$A$1:$L$1000,7,FALSE),0)</f>
        <v>0</v>
      </c>
      <c r="L141" s="468">
        <f>IFERROR(VLOOKUP(P141,COPY!$A$1:$O$1000,15,FALSE),0)</f>
        <v>0</v>
      </c>
      <c r="M141" s="468">
        <f>IFERROR(VLOOKUP(P141,COPY!$A$1:$L$1000,12,FALSE),0)</f>
        <v>0</v>
      </c>
      <c r="N141" s="471">
        <f>IF(H141="Jasa",VLOOKUP('BKU 3'!K141,'Rekap Gaji'!$D$12:$I$26,6,FALSE),(IF(H141="Beli",VLOOKUP(P141,COPY!$A$1:$L$1000,11,FALSE),IF(H141="Bayar Ongkos",VLOOKUP(K141,'Rekap Gaji'!$D$12:$I$26,6,FALSE),0))))</f>
        <v>0</v>
      </c>
      <c r="O141" s="470"/>
      <c r="P141" s="466" t="str">
        <f t="shared" si="7"/>
        <v/>
      </c>
      <c r="Q141" s="253">
        <f t="shared" si="10"/>
        <v>0</v>
      </c>
      <c r="R141" s="253">
        <f t="shared" si="11"/>
        <v>0</v>
      </c>
      <c r="S141" s="449">
        <f t="shared" si="12"/>
        <v>109</v>
      </c>
      <c r="T141" s="253">
        <f t="shared" si="13"/>
        <v>109</v>
      </c>
      <c r="U141" s="457" t="str">
        <f t="shared" si="8"/>
        <v xml:space="preserve"> </v>
      </c>
    </row>
    <row r="142" spans="1:21" ht="20.100000000000001" hidden="1" customHeight="1" x14ac:dyDescent="0.25">
      <c r="A142" s="470" t="str">
        <f t="shared" si="9"/>
        <v/>
      </c>
      <c r="B142" s="456">
        <f>IF(LEFT(C142,16)="Terima Pajak PPN",VLOOKUP(P142,COPY!$A$1:$AC$1000,21,FALSE),IF(LEFT(C142,16)="Terima Pajak PPH",VLOOKUP(P142,COPY!$A$1:$AC$1000,21,FALSE),IF(LEFT(C142,13)="Terima PPh 23",VLOOKUP(P142,COPY!$A$1:$AC$1000,21,FALSE),0)))</f>
        <v>0</v>
      </c>
      <c r="C142" s="457">
        <f>IFERROR(IF(LEFT(VLOOKUP(P142,COPY!$A$1:$AC$1000,29,FALSE),5)="Terim",VLOOKUP(P142,COPY!$A$1:$AC$1000,29,FALSE),0),0)</f>
        <v>0</v>
      </c>
      <c r="D142" s="457"/>
      <c r="E142" s="457"/>
      <c r="F142" s="458">
        <f>IFERROR(IF(LEFT(VLOOKUP(P142,COPY!$A$1:$AC$1000,29,FALSE),5)="Terim",VLOOKUP(P142,COPY!$A$1:$AC$1000,26,FALSE),0),0)</f>
        <v>0</v>
      </c>
      <c r="G142" s="459">
        <f>IFERROR(VLOOKUP(P142,COPY!$A$1:$L$1000,4,FALSE),0)</f>
        <v>0</v>
      </c>
      <c r="H142" s="457">
        <f>IFERROR(VLOOKUP(P142,COPY!$A$1:$L$1000,2,FALSE),0)</f>
        <v>0</v>
      </c>
      <c r="I142" s="510">
        <f>IFERROR(VLOOKUP(P142,COPY!$A$1:$L$1000,10,FALSE),0)</f>
        <v>0</v>
      </c>
      <c r="J142" s="467">
        <f>IFERROR(VLOOKUP(P142,COPY!$A$1:$L$1000,8,FALSE),0)</f>
        <v>0</v>
      </c>
      <c r="K142" s="457">
        <f>IFERROR(VLOOKUP(P142,COPY!$A$1:$L$1000,7,FALSE),0)</f>
        <v>0</v>
      </c>
      <c r="L142" s="468">
        <f>IFERROR(VLOOKUP(P142,COPY!$A$1:$O$1000,15,FALSE),0)</f>
        <v>0</v>
      </c>
      <c r="M142" s="468">
        <f>IFERROR(VLOOKUP(P142,COPY!$A$1:$L$1000,12,FALSE),0)</f>
        <v>0</v>
      </c>
      <c r="N142" s="471">
        <f>IF(H142="Jasa",VLOOKUP('BKU 3'!K142,'Rekap Gaji'!$D$12:$I$26,6,FALSE),(IF(H142="Beli",VLOOKUP(P142,COPY!$A$1:$L$1000,11,FALSE),IF(H142="Bayar Ongkos",VLOOKUP(K142,'Rekap Gaji'!$D$12:$I$26,6,FALSE),0))))</f>
        <v>0</v>
      </c>
      <c r="O142" s="470"/>
      <c r="P142" s="466" t="str">
        <f t="shared" si="7"/>
        <v/>
      </c>
      <c r="Q142" s="253">
        <f t="shared" si="10"/>
        <v>0</v>
      </c>
      <c r="R142" s="253">
        <f t="shared" si="11"/>
        <v>0</v>
      </c>
      <c r="S142" s="449">
        <f t="shared" si="12"/>
        <v>110</v>
      </c>
      <c r="T142" s="253">
        <f t="shared" si="13"/>
        <v>110</v>
      </c>
      <c r="U142" s="457" t="str">
        <f t="shared" si="8"/>
        <v xml:space="preserve"> </v>
      </c>
    </row>
    <row r="143" spans="1:21" ht="20.100000000000001" hidden="1" customHeight="1" x14ac:dyDescent="0.25">
      <c r="A143" s="470" t="str">
        <f t="shared" si="9"/>
        <v/>
      </c>
      <c r="B143" s="456">
        <f>IF(LEFT(C143,16)="Terima Pajak PPN",VLOOKUP(P143,COPY!$A$1:$AC$1000,21,FALSE),IF(LEFT(C143,16)="Terima Pajak PPH",VLOOKUP(P143,COPY!$A$1:$AC$1000,21,FALSE),IF(LEFT(C143,13)="Terima PPh 23",VLOOKUP(P143,COPY!$A$1:$AC$1000,21,FALSE),0)))</f>
        <v>0</v>
      </c>
      <c r="C143" s="457">
        <f>IFERROR(IF(LEFT(VLOOKUP(P143,COPY!$A$1:$AC$1000,29,FALSE),5)="Terim",VLOOKUP(P143,COPY!$A$1:$AC$1000,29,FALSE),0),0)</f>
        <v>0</v>
      </c>
      <c r="D143" s="457"/>
      <c r="E143" s="457"/>
      <c r="F143" s="458">
        <f>IFERROR(IF(LEFT(VLOOKUP(P143,COPY!$A$1:$AC$1000,29,FALSE),5)="Terim",VLOOKUP(P143,COPY!$A$1:$AC$1000,26,FALSE),0),0)</f>
        <v>0</v>
      </c>
      <c r="G143" s="459">
        <f>IFERROR(VLOOKUP(P143,COPY!$A$1:$L$1000,4,FALSE),0)</f>
        <v>0</v>
      </c>
      <c r="H143" s="457">
        <f>IFERROR(VLOOKUP(P143,COPY!$A$1:$L$1000,2,FALSE),0)</f>
        <v>0</v>
      </c>
      <c r="I143" s="510">
        <f>IFERROR(VLOOKUP(P143,COPY!$A$1:$L$1000,10,FALSE),0)</f>
        <v>0</v>
      </c>
      <c r="J143" s="467">
        <f>IFERROR(VLOOKUP(P143,COPY!$A$1:$L$1000,8,FALSE),0)</f>
        <v>0</v>
      </c>
      <c r="K143" s="457">
        <f>IFERROR(VLOOKUP(P143,COPY!$A$1:$L$1000,7,FALSE),0)</f>
        <v>0</v>
      </c>
      <c r="L143" s="468">
        <f>IFERROR(VLOOKUP(P143,COPY!$A$1:$O$1000,15,FALSE),0)</f>
        <v>0</v>
      </c>
      <c r="M143" s="468">
        <f>IFERROR(VLOOKUP(P143,COPY!$A$1:$L$1000,12,FALSE),0)</f>
        <v>0</v>
      </c>
      <c r="N143" s="471">
        <f>IF(H143="Jasa",VLOOKUP('BKU 3'!K143,'Rekap Gaji'!$D$12:$I$26,6,FALSE),(IF(H143="Beli",VLOOKUP(P143,COPY!$A$1:$L$1000,11,FALSE),IF(H143="Bayar Ongkos",VLOOKUP(K143,'Rekap Gaji'!$D$12:$I$26,6,FALSE),0))))</f>
        <v>0</v>
      </c>
      <c r="O143" s="470"/>
      <c r="P143" s="466" t="str">
        <f t="shared" si="7"/>
        <v/>
      </c>
      <c r="Q143" s="253">
        <f t="shared" si="10"/>
        <v>0</v>
      </c>
      <c r="R143" s="253">
        <f t="shared" si="11"/>
        <v>0</v>
      </c>
      <c r="S143" s="449">
        <f t="shared" si="12"/>
        <v>111</v>
      </c>
      <c r="T143" s="253">
        <f t="shared" si="13"/>
        <v>111</v>
      </c>
      <c r="U143" s="457" t="str">
        <f t="shared" si="8"/>
        <v xml:space="preserve"> </v>
      </c>
    </row>
    <row r="144" spans="1:21" ht="20.100000000000001" hidden="1" customHeight="1" x14ac:dyDescent="0.25">
      <c r="A144" s="470" t="str">
        <f t="shared" si="9"/>
        <v/>
      </c>
      <c r="B144" s="456">
        <f>IF(LEFT(C144,16)="Terima Pajak PPN",VLOOKUP(P144,COPY!$A$1:$AC$1000,21,FALSE),IF(LEFT(C144,16)="Terima Pajak PPH",VLOOKUP(P144,COPY!$A$1:$AC$1000,21,FALSE),IF(LEFT(C144,13)="Terima PPh 23",VLOOKUP(P144,COPY!$A$1:$AC$1000,21,FALSE),0)))</f>
        <v>0</v>
      </c>
      <c r="C144" s="457">
        <f>IFERROR(IF(LEFT(VLOOKUP(P144,COPY!$A$1:$AC$1000,29,FALSE),5)="Terim",VLOOKUP(P144,COPY!$A$1:$AC$1000,29,FALSE),0),0)</f>
        <v>0</v>
      </c>
      <c r="D144" s="457"/>
      <c r="E144" s="457"/>
      <c r="F144" s="458">
        <f>IFERROR(IF(LEFT(VLOOKUP(P144,COPY!$A$1:$AC$1000,29,FALSE),5)="Terim",VLOOKUP(P144,COPY!$A$1:$AC$1000,26,FALSE),0),0)</f>
        <v>0</v>
      </c>
      <c r="G144" s="459">
        <f>IFERROR(VLOOKUP(P144,COPY!$A$1:$L$1000,4,FALSE),0)</f>
        <v>0</v>
      </c>
      <c r="H144" s="457">
        <f>IFERROR(VLOOKUP(P144,COPY!$A$1:$L$1000,2,FALSE),0)</f>
        <v>0</v>
      </c>
      <c r="I144" s="510">
        <f>IFERROR(VLOOKUP(P144,COPY!$A$1:$L$1000,10,FALSE),0)</f>
        <v>0</v>
      </c>
      <c r="J144" s="467">
        <f>IFERROR(VLOOKUP(P144,COPY!$A$1:$L$1000,8,FALSE),0)</f>
        <v>0</v>
      </c>
      <c r="K144" s="457">
        <f>IFERROR(VLOOKUP(P144,COPY!$A$1:$L$1000,7,FALSE),0)</f>
        <v>0</v>
      </c>
      <c r="L144" s="468">
        <f>IFERROR(VLOOKUP(P144,COPY!$A$1:$O$1000,15,FALSE),0)</f>
        <v>0</v>
      </c>
      <c r="M144" s="468">
        <f>IFERROR(VLOOKUP(P144,COPY!$A$1:$L$1000,12,FALSE),0)</f>
        <v>0</v>
      </c>
      <c r="N144" s="471">
        <f>IF(H144="Jasa",VLOOKUP('BKU 3'!K144,'Rekap Gaji'!$D$12:$I$26,6,FALSE),(IF(H144="Beli",VLOOKUP(P144,COPY!$A$1:$L$1000,11,FALSE),IF(H144="Bayar Ongkos",VLOOKUP(K144,'Rekap Gaji'!$D$12:$I$26,6,FALSE),0))))</f>
        <v>0</v>
      </c>
      <c r="O144" s="470"/>
      <c r="P144" s="466" t="str">
        <f t="shared" si="7"/>
        <v/>
      </c>
      <c r="Q144" s="253">
        <f t="shared" si="10"/>
        <v>0</v>
      </c>
      <c r="R144" s="253">
        <f t="shared" si="11"/>
        <v>0</v>
      </c>
      <c r="S144" s="449">
        <f t="shared" si="12"/>
        <v>112</v>
      </c>
      <c r="T144" s="253">
        <f t="shared" si="13"/>
        <v>112</v>
      </c>
      <c r="U144" s="457" t="str">
        <f t="shared" si="8"/>
        <v xml:space="preserve"> </v>
      </c>
    </row>
    <row r="145" spans="1:21" ht="20.100000000000001" hidden="1" customHeight="1" x14ac:dyDescent="0.25">
      <c r="A145" s="470" t="str">
        <f t="shared" si="9"/>
        <v/>
      </c>
      <c r="B145" s="456">
        <f>IF(LEFT(C145,16)="Terima Pajak PPN",VLOOKUP(P145,COPY!$A$1:$AC$1000,21,FALSE),IF(LEFT(C145,16)="Terima Pajak PPH",VLOOKUP(P145,COPY!$A$1:$AC$1000,21,FALSE),IF(LEFT(C145,13)="Terima PPh 23",VLOOKUP(P145,COPY!$A$1:$AC$1000,21,FALSE),0)))</f>
        <v>0</v>
      </c>
      <c r="C145" s="457">
        <f>IFERROR(IF(LEFT(VLOOKUP(P145,COPY!$A$1:$AC$1000,29,FALSE),5)="Terim",VLOOKUP(P145,COPY!$A$1:$AC$1000,29,FALSE),0),0)</f>
        <v>0</v>
      </c>
      <c r="D145" s="457"/>
      <c r="E145" s="457"/>
      <c r="F145" s="458">
        <f>IFERROR(IF(LEFT(VLOOKUP(P145,COPY!$A$1:$AC$1000,29,FALSE),5)="Terim",VLOOKUP(P145,COPY!$A$1:$AC$1000,26,FALSE),0),0)</f>
        <v>0</v>
      </c>
      <c r="G145" s="459">
        <f>IFERROR(VLOOKUP(P145,COPY!$A$1:$L$1000,4,FALSE),0)</f>
        <v>0</v>
      </c>
      <c r="H145" s="457">
        <f>IFERROR(VLOOKUP(P145,COPY!$A$1:$L$1000,2,FALSE),0)</f>
        <v>0</v>
      </c>
      <c r="I145" s="510">
        <f>IFERROR(VLOOKUP(P145,COPY!$A$1:$L$1000,10,FALSE),0)</f>
        <v>0</v>
      </c>
      <c r="J145" s="467">
        <f>IFERROR(VLOOKUP(P145,COPY!$A$1:$L$1000,8,FALSE),0)</f>
        <v>0</v>
      </c>
      <c r="K145" s="457">
        <f>IFERROR(VLOOKUP(P145,COPY!$A$1:$L$1000,7,FALSE),0)</f>
        <v>0</v>
      </c>
      <c r="L145" s="468">
        <f>IFERROR(VLOOKUP(P145,COPY!$A$1:$O$1000,15,FALSE),0)</f>
        <v>0</v>
      </c>
      <c r="M145" s="468">
        <f>IFERROR(VLOOKUP(P145,COPY!$A$1:$L$1000,12,FALSE),0)</f>
        <v>0</v>
      </c>
      <c r="N145" s="471">
        <f>IF(H145="Jasa",VLOOKUP('BKU 3'!K145,'Rekap Gaji'!$D$12:$I$26,6,FALSE),(IF(H145="Beli",VLOOKUP(P145,COPY!$A$1:$L$1000,11,FALSE),IF(H145="Bayar Ongkos",VLOOKUP(K145,'Rekap Gaji'!$D$12:$I$26,6,FALSE),0))))</f>
        <v>0</v>
      </c>
      <c r="O145" s="470"/>
      <c r="P145" s="466" t="str">
        <f t="shared" si="7"/>
        <v/>
      </c>
      <c r="Q145" s="253">
        <f t="shared" si="10"/>
        <v>0</v>
      </c>
      <c r="R145" s="253">
        <f t="shared" si="11"/>
        <v>0</v>
      </c>
      <c r="S145" s="449">
        <f t="shared" si="12"/>
        <v>113</v>
      </c>
      <c r="T145" s="253">
        <f t="shared" si="13"/>
        <v>113</v>
      </c>
      <c r="U145" s="457" t="str">
        <f t="shared" si="8"/>
        <v xml:space="preserve"> </v>
      </c>
    </row>
    <row r="146" spans="1:21" ht="20.100000000000001" hidden="1" customHeight="1" x14ac:dyDescent="0.25">
      <c r="A146" s="470" t="str">
        <f t="shared" si="9"/>
        <v/>
      </c>
      <c r="B146" s="456">
        <f>IF(LEFT(C146,16)="Terima Pajak PPN",VLOOKUP(P146,COPY!$A$1:$AC$1000,21,FALSE),IF(LEFT(C146,16)="Terima Pajak PPH",VLOOKUP(P146,COPY!$A$1:$AC$1000,21,FALSE),IF(LEFT(C146,13)="Terima PPh 23",VLOOKUP(P146,COPY!$A$1:$AC$1000,21,FALSE),0)))</f>
        <v>0</v>
      </c>
      <c r="C146" s="457">
        <f>IFERROR(IF(LEFT(VLOOKUP(P146,COPY!$A$1:$AC$1000,29,FALSE),5)="Terim",VLOOKUP(P146,COPY!$A$1:$AC$1000,29,FALSE),0),0)</f>
        <v>0</v>
      </c>
      <c r="D146" s="457"/>
      <c r="E146" s="457"/>
      <c r="F146" s="458">
        <f>IFERROR(IF(LEFT(VLOOKUP(P146,COPY!$A$1:$AC$1000,29,FALSE),5)="Terim",VLOOKUP(P146,COPY!$A$1:$AC$1000,26,FALSE),0),0)</f>
        <v>0</v>
      </c>
      <c r="G146" s="459">
        <f>IFERROR(VLOOKUP(P146,COPY!$A$1:$L$1000,4,FALSE),0)</f>
        <v>0</v>
      </c>
      <c r="H146" s="457">
        <f>IFERROR(VLOOKUP(P146,COPY!$A$1:$L$1000,2,FALSE),0)</f>
        <v>0</v>
      </c>
      <c r="I146" s="510">
        <f>IFERROR(VLOOKUP(P146,COPY!$A$1:$L$1000,10,FALSE),0)</f>
        <v>0</v>
      </c>
      <c r="J146" s="467">
        <f>IFERROR(VLOOKUP(P146,COPY!$A$1:$L$1000,8,FALSE),0)</f>
        <v>0</v>
      </c>
      <c r="K146" s="457">
        <f>IFERROR(VLOOKUP(P146,COPY!$A$1:$L$1000,7,FALSE),0)</f>
        <v>0</v>
      </c>
      <c r="L146" s="468">
        <f>IFERROR(VLOOKUP(P146,COPY!$A$1:$O$1000,15,FALSE),0)</f>
        <v>0</v>
      </c>
      <c r="M146" s="468">
        <f>IFERROR(VLOOKUP(P146,COPY!$A$1:$L$1000,12,FALSE),0)</f>
        <v>0</v>
      </c>
      <c r="N146" s="471">
        <f>IF(H146="Jasa",VLOOKUP('BKU 3'!K146,'Rekap Gaji'!$D$12:$I$26,6,FALSE),(IF(H146="Beli",VLOOKUP(P146,COPY!$A$1:$L$1000,11,FALSE),IF(H146="Bayar Ongkos",VLOOKUP(K146,'Rekap Gaji'!$D$12:$I$26,6,FALSE),0))))</f>
        <v>0</v>
      </c>
      <c r="O146" s="470"/>
      <c r="P146" s="466" t="str">
        <f t="shared" si="7"/>
        <v/>
      </c>
      <c r="Q146" s="253">
        <f t="shared" si="10"/>
        <v>0</v>
      </c>
      <c r="R146" s="253">
        <f t="shared" si="11"/>
        <v>0</v>
      </c>
      <c r="S146" s="449">
        <f t="shared" si="12"/>
        <v>114</v>
      </c>
      <c r="T146" s="253">
        <f t="shared" si="13"/>
        <v>114</v>
      </c>
      <c r="U146" s="457" t="str">
        <f t="shared" si="8"/>
        <v xml:space="preserve"> </v>
      </c>
    </row>
    <row r="147" spans="1:21" ht="20.100000000000001" hidden="1" customHeight="1" x14ac:dyDescent="0.25">
      <c r="A147" s="470" t="str">
        <f t="shared" si="9"/>
        <v/>
      </c>
      <c r="B147" s="456">
        <f>IF(LEFT(C147,16)="Terima Pajak PPN",VLOOKUP(P147,COPY!$A$1:$AC$1000,21,FALSE),IF(LEFT(C147,16)="Terima Pajak PPH",VLOOKUP(P147,COPY!$A$1:$AC$1000,21,FALSE),IF(LEFT(C147,13)="Terima PPh 23",VLOOKUP(P147,COPY!$A$1:$AC$1000,21,FALSE),0)))</f>
        <v>0</v>
      </c>
      <c r="C147" s="457">
        <f>IFERROR(IF(LEFT(VLOOKUP(P147,COPY!$A$1:$AC$1000,29,FALSE),5)="Terim",VLOOKUP(P147,COPY!$A$1:$AC$1000,29,FALSE),0),0)</f>
        <v>0</v>
      </c>
      <c r="D147" s="457"/>
      <c r="E147" s="457"/>
      <c r="F147" s="458">
        <f>IFERROR(IF(LEFT(VLOOKUP(P147,COPY!$A$1:$AC$1000,29,FALSE),5)="Terim",VLOOKUP(P147,COPY!$A$1:$AC$1000,26,FALSE),0),0)</f>
        <v>0</v>
      </c>
      <c r="G147" s="459">
        <f>IFERROR(VLOOKUP(P147,COPY!$A$1:$L$1000,4,FALSE),0)</f>
        <v>0</v>
      </c>
      <c r="H147" s="457">
        <f>IFERROR(VLOOKUP(P147,COPY!$A$1:$L$1000,2,FALSE),0)</f>
        <v>0</v>
      </c>
      <c r="I147" s="510">
        <f>IFERROR(VLOOKUP(P147,COPY!$A$1:$L$1000,10,FALSE),0)</f>
        <v>0</v>
      </c>
      <c r="J147" s="467">
        <f>IFERROR(VLOOKUP(P147,COPY!$A$1:$L$1000,8,FALSE),0)</f>
        <v>0</v>
      </c>
      <c r="K147" s="457">
        <f>IFERROR(VLOOKUP(P147,COPY!$A$1:$L$1000,7,FALSE),0)</f>
        <v>0</v>
      </c>
      <c r="L147" s="468">
        <f>IFERROR(VLOOKUP(P147,COPY!$A$1:$O$1000,15,FALSE),0)</f>
        <v>0</v>
      </c>
      <c r="M147" s="468">
        <f>IFERROR(VLOOKUP(P147,COPY!$A$1:$L$1000,12,FALSE),0)</f>
        <v>0</v>
      </c>
      <c r="N147" s="471">
        <f>IF(H147="Jasa",VLOOKUP('BKU 3'!K147,'Rekap Gaji'!$D$12:$I$26,6,FALSE),(IF(H147="Beli",VLOOKUP(P147,COPY!$A$1:$L$1000,11,FALSE),IF(H147="Bayar Ongkos",VLOOKUP(K147,'Rekap Gaji'!$D$12:$I$26,6,FALSE),0))))</f>
        <v>0</v>
      </c>
      <c r="O147" s="470"/>
      <c r="P147" s="466" t="str">
        <f t="shared" si="7"/>
        <v/>
      </c>
      <c r="Q147" s="253">
        <f t="shared" si="10"/>
        <v>0</v>
      </c>
      <c r="R147" s="253">
        <f t="shared" si="11"/>
        <v>0</v>
      </c>
      <c r="S147" s="449">
        <f t="shared" si="12"/>
        <v>115</v>
      </c>
      <c r="T147" s="253">
        <f t="shared" si="13"/>
        <v>115</v>
      </c>
      <c r="U147" s="457" t="str">
        <f t="shared" si="8"/>
        <v xml:space="preserve"> </v>
      </c>
    </row>
    <row r="148" spans="1:21" ht="20.100000000000001" hidden="1" customHeight="1" x14ac:dyDescent="0.25">
      <c r="A148" s="470" t="str">
        <f t="shared" si="9"/>
        <v/>
      </c>
      <c r="B148" s="456">
        <f>IF(LEFT(C148,16)="Terima Pajak PPN",VLOOKUP(P148,COPY!$A$1:$AC$1000,21,FALSE),IF(LEFT(C148,16)="Terima Pajak PPH",VLOOKUP(P148,COPY!$A$1:$AC$1000,21,FALSE),IF(LEFT(C148,13)="Terima PPh 23",VLOOKUP(P148,COPY!$A$1:$AC$1000,21,FALSE),0)))</f>
        <v>0</v>
      </c>
      <c r="C148" s="457">
        <f>IFERROR(IF(LEFT(VLOOKUP(P148,COPY!$A$1:$AC$1000,29,FALSE),5)="Terim",VLOOKUP(P148,COPY!$A$1:$AC$1000,29,FALSE),0),0)</f>
        <v>0</v>
      </c>
      <c r="D148" s="457"/>
      <c r="E148" s="457"/>
      <c r="F148" s="458">
        <f>IFERROR(IF(LEFT(VLOOKUP(P148,COPY!$A$1:$AC$1000,29,FALSE),5)="Terim",VLOOKUP(P148,COPY!$A$1:$AC$1000,26,FALSE),0),0)</f>
        <v>0</v>
      </c>
      <c r="G148" s="459">
        <f>IFERROR(VLOOKUP(P148,COPY!$A$1:$L$1000,4,FALSE),0)</f>
        <v>0</v>
      </c>
      <c r="H148" s="457">
        <f>IFERROR(VLOOKUP(P148,COPY!$A$1:$L$1000,2,FALSE),0)</f>
        <v>0</v>
      </c>
      <c r="I148" s="510">
        <f>IFERROR(VLOOKUP(P148,COPY!$A$1:$L$1000,10,FALSE),0)</f>
        <v>0</v>
      </c>
      <c r="J148" s="467">
        <f>IFERROR(VLOOKUP(P148,COPY!$A$1:$L$1000,8,FALSE),0)</f>
        <v>0</v>
      </c>
      <c r="K148" s="457">
        <f>IFERROR(VLOOKUP(P148,COPY!$A$1:$L$1000,7,FALSE),0)</f>
        <v>0</v>
      </c>
      <c r="L148" s="468">
        <f>IFERROR(VLOOKUP(P148,COPY!$A$1:$O$1000,15,FALSE),0)</f>
        <v>0</v>
      </c>
      <c r="M148" s="468">
        <f>IFERROR(VLOOKUP(P148,COPY!$A$1:$L$1000,12,FALSE),0)</f>
        <v>0</v>
      </c>
      <c r="N148" s="471">
        <f>IF(H148="Jasa",VLOOKUP('BKU 3'!K148,'Rekap Gaji'!$D$12:$I$26,6,FALSE),(IF(H148="Beli",VLOOKUP(P148,COPY!$A$1:$L$1000,11,FALSE),IF(H148="Bayar Ongkos",VLOOKUP(K148,'Rekap Gaji'!$D$12:$I$26,6,FALSE),0))))</f>
        <v>0</v>
      </c>
      <c r="O148" s="470"/>
      <c r="P148" s="466" t="str">
        <f t="shared" si="7"/>
        <v/>
      </c>
      <c r="Q148" s="253">
        <f t="shared" si="10"/>
        <v>0</v>
      </c>
      <c r="R148" s="253">
        <f t="shared" si="11"/>
        <v>0</v>
      </c>
      <c r="S148" s="449">
        <f t="shared" si="12"/>
        <v>116</v>
      </c>
      <c r="T148" s="253">
        <f t="shared" si="13"/>
        <v>116</v>
      </c>
      <c r="U148" s="457" t="str">
        <f t="shared" si="8"/>
        <v xml:space="preserve"> </v>
      </c>
    </row>
    <row r="149" spans="1:21" ht="20.100000000000001" hidden="1" customHeight="1" x14ac:dyDescent="0.25">
      <c r="A149" s="470" t="str">
        <f t="shared" si="9"/>
        <v/>
      </c>
      <c r="B149" s="456">
        <f>IF(LEFT(C149,16)="Terima Pajak PPN",VLOOKUP(P149,COPY!$A$1:$AC$1000,21,FALSE),IF(LEFT(C149,16)="Terima Pajak PPH",VLOOKUP(P149,COPY!$A$1:$AC$1000,21,FALSE),IF(LEFT(C149,13)="Terima PPh 23",VLOOKUP(P149,COPY!$A$1:$AC$1000,21,FALSE),0)))</f>
        <v>0</v>
      </c>
      <c r="C149" s="457">
        <f>IFERROR(IF(LEFT(VLOOKUP(P149,COPY!$A$1:$AC$1000,29,FALSE),5)="Terim",VLOOKUP(P149,COPY!$A$1:$AC$1000,29,FALSE),0),0)</f>
        <v>0</v>
      </c>
      <c r="D149" s="457"/>
      <c r="E149" s="457"/>
      <c r="F149" s="458">
        <f>IFERROR(IF(LEFT(VLOOKUP(P149,COPY!$A$1:$AC$1000,29,FALSE),5)="Terim",VLOOKUP(P149,COPY!$A$1:$AC$1000,26,FALSE),0),0)</f>
        <v>0</v>
      </c>
      <c r="G149" s="459">
        <f>IFERROR(VLOOKUP(P149,COPY!$A$1:$L$1000,4,FALSE),0)</f>
        <v>0</v>
      </c>
      <c r="H149" s="457">
        <f>IFERROR(VLOOKUP(P149,COPY!$A$1:$L$1000,2,FALSE),0)</f>
        <v>0</v>
      </c>
      <c r="I149" s="510">
        <f>IFERROR(VLOOKUP(P149,COPY!$A$1:$L$1000,10,FALSE),0)</f>
        <v>0</v>
      </c>
      <c r="J149" s="467">
        <f>IFERROR(VLOOKUP(P149,COPY!$A$1:$L$1000,8,FALSE),0)</f>
        <v>0</v>
      </c>
      <c r="K149" s="457">
        <f>IFERROR(VLOOKUP(P149,COPY!$A$1:$L$1000,7,FALSE),0)</f>
        <v>0</v>
      </c>
      <c r="L149" s="468">
        <f>IFERROR(VLOOKUP(P149,COPY!$A$1:$O$1000,15,FALSE),0)</f>
        <v>0</v>
      </c>
      <c r="M149" s="468">
        <f>IFERROR(VLOOKUP(P149,COPY!$A$1:$L$1000,12,FALSE),0)</f>
        <v>0</v>
      </c>
      <c r="N149" s="471">
        <f>IF(H149="Jasa",VLOOKUP('BKU 3'!K149,'Rekap Gaji'!$D$12:$I$26,6,FALSE),(IF(H149="Beli",VLOOKUP(P149,COPY!$A$1:$L$1000,11,FALSE),IF(H149="Bayar Ongkos",VLOOKUP(K149,'Rekap Gaji'!$D$12:$I$26,6,FALSE),0))))</f>
        <v>0</v>
      </c>
      <c r="O149" s="470"/>
      <c r="P149" s="466" t="str">
        <f t="shared" si="7"/>
        <v/>
      </c>
      <c r="Q149" s="253">
        <f t="shared" si="10"/>
        <v>0</v>
      </c>
      <c r="R149" s="253">
        <f t="shared" si="11"/>
        <v>0</v>
      </c>
      <c r="S149" s="449">
        <f t="shared" si="12"/>
        <v>117</v>
      </c>
      <c r="T149" s="253">
        <f t="shared" si="13"/>
        <v>117</v>
      </c>
      <c r="U149" s="457" t="str">
        <f t="shared" si="8"/>
        <v xml:space="preserve"> </v>
      </c>
    </row>
    <row r="150" spans="1:21" ht="20.100000000000001" hidden="1" customHeight="1" x14ac:dyDescent="0.25">
      <c r="A150" s="470" t="str">
        <f t="shared" si="9"/>
        <v/>
      </c>
      <c r="B150" s="456">
        <f>IF(LEFT(C150,16)="Terima Pajak PPN",VLOOKUP(P150,COPY!$A$1:$AC$1000,21,FALSE),IF(LEFT(C150,16)="Terima Pajak PPH",VLOOKUP(P150,COPY!$A$1:$AC$1000,21,FALSE),IF(LEFT(C150,13)="Terima PPh 23",VLOOKUP(P150,COPY!$A$1:$AC$1000,21,FALSE),0)))</f>
        <v>0</v>
      </c>
      <c r="C150" s="457">
        <f>IFERROR(IF(LEFT(VLOOKUP(P150,COPY!$A$1:$AC$1000,29,FALSE),5)="Terim",VLOOKUP(P150,COPY!$A$1:$AC$1000,29,FALSE),0),0)</f>
        <v>0</v>
      </c>
      <c r="D150" s="457"/>
      <c r="E150" s="457"/>
      <c r="F150" s="458">
        <f>IFERROR(IF(LEFT(VLOOKUP(P150,COPY!$A$1:$AC$1000,29,FALSE),5)="Terim",VLOOKUP(P150,COPY!$A$1:$AC$1000,26,FALSE),0),0)</f>
        <v>0</v>
      </c>
      <c r="G150" s="459">
        <f>IFERROR(VLOOKUP(P150,COPY!$A$1:$L$1000,4,FALSE),0)</f>
        <v>0</v>
      </c>
      <c r="H150" s="457">
        <f>IFERROR(VLOOKUP(P150,COPY!$A$1:$L$1000,2,FALSE),0)</f>
        <v>0</v>
      </c>
      <c r="I150" s="510">
        <f>IFERROR(VLOOKUP(P150,COPY!$A$1:$L$1000,10,FALSE),0)</f>
        <v>0</v>
      </c>
      <c r="J150" s="467">
        <f>IFERROR(VLOOKUP(P150,COPY!$A$1:$L$1000,8,FALSE),0)</f>
        <v>0</v>
      </c>
      <c r="K150" s="457">
        <f>IFERROR(VLOOKUP(P150,COPY!$A$1:$L$1000,7,FALSE),0)</f>
        <v>0</v>
      </c>
      <c r="L150" s="468">
        <f>IFERROR(VLOOKUP(P150,COPY!$A$1:$O$1000,15,FALSE),0)</f>
        <v>0</v>
      </c>
      <c r="M150" s="468">
        <f>IFERROR(VLOOKUP(P150,COPY!$A$1:$L$1000,12,FALSE),0)</f>
        <v>0</v>
      </c>
      <c r="N150" s="471">
        <f>IF(H150="Jasa",VLOOKUP('BKU 3'!K150,'Rekap Gaji'!$D$12:$I$26,6,FALSE),(IF(H150="Beli",VLOOKUP(P150,COPY!$A$1:$L$1000,11,FALSE),IF(H150="Bayar Ongkos",VLOOKUP(K150,'Rekap Gaji'!$D$12:$I$26,6,FALSE),0))))</f>
        <v>0</v>
      </c>
      <c r="O150" s="470"/>
      <c r="P150" s="466" t="str">
        <f t="shared" si="7"/>
        <v/>
      </c>
      <c r="Q150" s="253">
        <f t="shared" si="10"/>
        <v>0</v>
      </c>
      <c r="R150" s="253">
        <f t="shared" si="11"/>
        <v>0</v>
      </c>
      <c r="S150" s="449">
        <f t="shared" si="12"/>
        <v>118</v>
      </c>
      <c r="T150" s="253">
        <f t="shared" si="13"/>
        <v>118</v>
      </c>
      <c r="U150" s="457" t="str">
        <f t="shared" si="8"/>
        <v xml:space="preserve"> </v>
      </c>
    </row>
    <row r="151" spans="1:21" ht="20.100000000000001" hidden="1" customHeight="1" x14ac:dyDescent="0.25">
      <c r="A151" s="470" t="str">
        <f t="shared" si="9"/>
        <v/>
      </c>
      <c r="B151" s="456">
        <f>IF(LEFT(C151,16)="Terima Pajak PPN",VLOOKUP(P151,COPY!$A$1:$AC$1000,21,FALSE),IF(LEFT(C151,16)="Terima Pajak PPH",VLOOKUP(P151,COPY!$A$1:$AC$1000,21,FALSE),IF(LEFT(C151,13)="Terima PPh 23",VLOOKUP(P151,COPY!$A$1:$AC$1000,21,FALSE),0)))</f>
        <v>0</v>
      </c>
      <c r="C151" s="457">
        <f>IFERROR(IF(LEFT(VLOOKUP(P151,COPY!$A$1:$AC$1000,29,FALSE),5)="Terim",VLOOKUP(P151,COPY!$A$1:$AC$1000,29,FALSE),0),0)</f>
        <v>0</v>
      </c>
      <c r="D151" s="457"/>
      <c r="E151" s="457"/>
      <c r="F151" s="458">
        <f>IFERROR(IF(LEFT(VLOOKUP(P151,COPY!$A$1:$AC$1000,29,FALSE),5)="Terim",VLOOKUP(P151,COPY!$A$1:$AC$1000,26,FALSE),0),0)</f>
        <v>0</v>
      </c>
      <c r="G151" s="459">
        <f>IFERROR(VLOOKUP(P151,COPY!$A$1:$L$1000,4,FALSE),0)</f>
        <v>0</v>
      </c>
      <c r="H151" s="457">
        <f>IFERROR(VLOOKUP(P151,COPY!$A$1:$L$1000,2,FALSE),0)</f>
        <v>0</v>
      </c>
      <c r="I151" s="510">
        <f>IFERROR(VLOOKUP(P151,COPY!$A$1:$L$1000,10,FALSE),0)</f>
        <v>0</v>
      </c>
      <c r="J151" s="467">
        <f>IFERROR(VLOOKUP(P151,COPY!$A$1:$L$1000,8,FALSE),0)</f>
        <v>0</v>
      </c>
      <c r="K151" s="457">
        <f>IFERROR(VLOOKUP(P151,COPY!$A$1:$L$1000,7,FALSE),0)</f>
        <v>0</v>
      </c>
      <c r="L151" s="468">
        <f>IFERROR(VLOOKUP(P151,COPY!$A$1:$O$1000,15,FALSE),0)</f>
        <v>0</v>
      </c>
      <c r="M151" s="468">
        <f>IFERROR(VLOOKUP(P151,COPY!$A$1:$L$1000,12,FALSE),0)</f>
        <v>0</v>
      </c>
      <c r="N151" s="471">
        <f>IF(H151="Jasa",VLOOKUP('BKU 3'!K151,'Rekap Gaji'!$D$12:$I$26,6,FALSE),(IF(H151="Beli",VLOOKUP(P151,COPY!$A$1:$L$1000,11,FALSE),IF(H151="Bayar Ongkos",VLOOKUP(K151,'Rekap Gaji'!$D$12:$I$26,6,FALSE),0))))</f>
        <v>0</v>
      </c>
      <c r="O151" s="470"/>
      <c r="P151" s="466" t="str">
        <f t="shared" si="7"/>
        <v/>
      </c>
      <c r="Q151" s="253">
        <f t="shared" si="10"/>
        <v>0</v>
      </c>
      <c r="R151" s="253">
        <f t="shared" si="11"/>
        <v>0</v>
      </c>
      <c r="S151" s="449">
        <f t="shared" si="12"/>
        <v>119</v>
      </c>
      <c r="T151" s="253">
        <f t="shared" si="13"/>
        <v>119</v>
      </c>
      <c r="U151" s="457" t="str">
        <f t="shared" si="8"/>
        <v xml:space="preserve"> </v>
      </c>
    </row>
    <row r="152" spans="1:21" ht="20.100000000000001" hidden="1" customHeight="1" x14ac:dyDescent="0.25">
      <c r="A152" s="470" t="str">
        <f t="shared" si="9"/>
        <v/>
      </c>
      <c r="B152" s="456">
        <f>IF(LEFT(C152,16)="Terima Pajak PPN",VLOOKUP(P152,COPY!$A$1:$AC$1000,21,FALSE),IF(LEFT(C152,16)="Terima Pajak PPH",VLOOKUP(P152,COPY!$A$1:$AC$1000,21,FALSE),IF(LEFT(C152,13)="Terima PPh 23",VLOOKUP(P152,COPY!$A$1:$AC$1000,21,FALSE),0)))</f>
        <v>0</v>
      </c>
      <c r="C152" s="457">
        <f>IFERROR(IF(LEFT(VLOOKUP(P152,COPY!$A$1:$AC$1000,29,FALSE),5)="Terim",VLOOKUP(P152,COPY!$A$1:$AC$1000,29,FALSE),0),0)</f>
        <v>0</v>
      </c>
      <c r="D152" s="457"/>
      <c r="E152" s="457"/>
      <c r="F152" s="458">
        <f>IFERROR(IF(LEFT(VLOOKUP(P152,COPY!$A$1:$AC$1000,29,FALSE),5)="Terim",VLOOKUP(P152,COPY!$A$1:$AC$1000,26,FALSE),0),0)</f>
        <v>0</v>
      </c>
      <c r="G152" s="459">
        <f>IFERROR(VLOOKUP(P152,COPY!$A$1:$L$1000,4,FALSE),0)</f>
        <v>0</v>
      </c>
      <c r="H152" s="457">
        <f>IFERROR(VLOOKUP(P152,COPY!$A$1:$L$1000,2,FALSE),0)</f>
        <v>0</v>
      </c>
      <c r="I152" s="510">
        <f>IFERROR(VLOOKUP(P152,COPY!$A$1:$L$1000,10,FALSE),0)</f>
        <v>0</v>
      </c>
      <c r="J152" s="467">
        <f>IFERROR(VLOOKUP(P152,COPY!$A$1:$L$1000,8,FALSE),0)</f>
        <v>0</v>
      </c>
      <c r="K152" s="457">
        <f>IFERROR(VLOOKUP(P152,COPY!$A$1:$L$1000,7,FALSE),0)</f>
        <v>0</v>
      </c>
      <c r="L152" s="468">
        <f>IFERROR(VLOOKUP(P152,COPY!$A$1:$O$1000,15,FALSE),0)</f>
        <v>0</v>
      </c>
      <c r="M152" s="468">
        <f>IFERROR(VLOOKUP(P152,COPY!$A$1:$L$1000,12,FALSE),0)</f>
        <v>0</v>
      </c>
      <c r="N152" s="471">
        <f>IF(H152="Jasa",VLOOKUP('BKU 3'!K152,'Rekap Gaji'!$D$12:$I$26,6,FALSE),(IF(H152="Beli",VLOOKUP(P152,COPY!$A$1:$L$1000,11,FALSE),IF(H152="Bayar Ongkos",VLOOKUP(K152,'Rekap Gaji'!$D$12:$I$26,6,FALSE),0))))</f>
        <v>0</v>
      </c>
      <c r="O152" s="470"/>
      <c r="P152" s="466" t="str">
        <f t="shared" si="7"/>
        <v/>
      </c>
      <c r="Q152" s="253">
        <f t="shared" si="10"/>
        <v>0</v>
      </c>
      <c r="R152" s="253">
        <f t="shared" si="11"/>
        <v>0</v>
      </c>
      <c r="S152" s="449">
        <f t="shared" si="12"/>
        <v>120</v>
      </c>
      <c r="T152" s="253">
        <f t="shared" si="13"/>
        <v>120</v>
      </c>
      <c r="U152" s="457" t="str">
        <f t="shared" si="8"/>
        <v xml:space="preserve"> </v>
      </c>
    </row>
    <row r="153" spans="1:21" ht="20.100000000000001" hidden="1" customHeight="1" x14ac:dyDescent="0.25">
      <c r="A153" s="470" t="str">
        <f t="shared" si="9"/>
        <v/>
      </c>
      <c r="B153" s="456">
        <f>IF(LEFT(C153,16)="Terima Pajak PPN",VLOOKUP(P153,COPY!$A$1:$AC$1000,21,FALSE),IF(LEFT(C153,16)="Terima Pajak PPH",VLOOKUP(P153,COPY!$A$1:$AC$1000,21,FALSE),IF(LEFT(C153,13)="Terima PPh 23",VLOOKUP(P153,COPY!$A$1:$AC$1000,21,FALSE),0)))</f>
        <v>0</v>
      </c>
      <c r="C153" s="457">
        <f>IFERROR(IF(LEFT(VLOOKUP(P153,COPY!$A$1:$AC$1000,29,FALSE),5)="Terim",VLOOKUP(P153,COPY!$A$1:$AC$1000,29,FALSE),0),0)</f>
        <v>0</v>
      </c>
      <c r="D153" s="457"/>
      <c r="E153" s="457"/>
      <c r="F153" s="458">
        <f>IFERROR(IF(LEFT(VLOOKUP(P153,COPY!$A$1:$AC$1000,29,FALSE),5)="Terim",VLOOKUP(P153,COPY!$A$1:$AC$1000,26,FALSE),0),0)</f>
        <v>0</v>
      </c>
      <c r="G153" s="459">
        <f>IFERROR(VLOOKUP(P153,COPY!$A$1:$L$1000,4,FALSE),0)</f>
        <v>0</v>
      </c>
      <c r="H153" s="457">
        <f>IFERROR(VLOOKUP(P153,COPY!$A$1:$L$1000,2,FALSE),0)</f>
        <v>0</v>
      </c>
      <c r="I153" s="510">
        <f>IFERROR(VLOOKUP(P153,COPY!$A$1:$L$1000,10,FALSE),0)</f>
        <v>0</v>
      </c>
      <c r="J153" s="467">
        <f>IFERROR(VLOOKUP(P153,COPY!$A$1:$L$1000,8,FALSE),0)</f>
        <v>0</v>
      </c>
      <c r="K153" s="457">
        <f>IFERROR(VLOOKUP(P153,COPY!$A$1:$L$1000,7,FALSE),0)</f>
        <v>0</v>
      </c>
      <c r="L153" s="468">
        <f>IFERROR(VLOOKUP(P153,COPY!$A$1:$O$1000,15,FALSE),0)</f>
        <v>0</v>
      </c>
      <c r="M153" s="468">
        <f>IFERROR(VLOOKUP(P153,COPY!$A$1:$L$1000,12,FALSE),0)</f>
        <v>0</v>
      </c>
      <c r="N153" s="471">
        <f>IF(H153="Jasa",VLOOKUP('BKU 3'!K153,'Rekap Gaji'!$D$12:$I$26,6,FALSE),(IF(H153="Beli",VLOOKUP(P153,COPY!$A$1:$L$1000,11,FALSE),IF(H153="Bayar Ongkos",VLOOKUP(K153,'Rekap Gaji'!$D$12:$I$26,6,FALSE),0))))</f>
        <v>0</v>
      </c>
      <c r="O153" s="470"/>
      <c r="P153" s="466" t="str">
        <f t="shared" si="7"/>
        <v/>
      </c>
      <c r="Q153" s="253">
        <f t="shared" si="10"/>
        <v>0</v>
      </c>
      <c r="R153" s="253">
        <f t="shared" si="11"/>
        <v>0</v>
      </c>
      <c r="S153" s="449">
        <f t="shared" si="12"/>
        <v>121</v>
      </c>
      <c r="T153" s="253">
        <f t="shared" si="13"/>
        <v>121</v>
      </c>
      <c r="U153" s="457" t="str">
        <f t="shared" si="8"/>
        <v xml:space="preserve"> </v>
      </c>
    </row>
    <row r="154" spans="1:21" ht="20.100000000000001" hidden="1" customHeight="1" x14ac:dyDescent="0.25">
      <c r="A154" s="470" t="str">
        <f t="shared" si="9"/>
        <v/>
      </c>
      <c r="B154" s="456">
        <f>IF(LEFT(C154,16)="Terima Pajak PPN",VLOOKUP(P154,COPY!$A$1:$AC$1000,21,FALSE),IF(LEFT(C154,16)="Terima Pajak PPH",VLOOKUP(P154,COPY!$A$1:$AC$1000,21,FALSE),IF(LEFT(C154,13)="Terima PPh 23",VLOOKUP(P154,COPY!$A$1:$AC$1000,21,FALSE),0)))</f>
        <v>0</v>
      </c>
      <c r="C154" s="457">
        <f>IFERROR(IF(LEFT(VLOOKUP(P154,COPY!$A$1:$AC$1000,29,FALSE),5)="Terim",VLOOKUP(P154,COPY!$A$1:$AC$1000,29,FALSE),0),0)</f>
        <v>0</v>
      </c>
      <c r="D154" s="457"/>
      <c r="E154" s="457"/>
      <c r="F154" s="458">
        <f>IFERROR(IF(LEFT(VLOOKUP(P154,COPY!$A$1:$AC$1000,29,FALSE),5)="Terim",VLOOKUP(P154,COPY!$A$1:$AC$1000,26,FALSE),0),0)</f>
        <v>0</v>
      </c>
      <c r="G154" s="459">
        <f>IFERROR(VLOOKUP(P154,COPY!$A$1:$L$1000,4,FALSE),0)</f>
        <v>0</v>
      </c>
      <c r="H154" s="457">
        <f>IFERROR(VLOOKUP(P154,COPY!$A$1:$L$1000,2,FALSE),0)</f>
        <v>0</v>
      </c>
      <c r="I154" s="510">
        <f>IFERROR(VLOOKUP(P154,COPY!$A$1:$L$1000,10,FALSE),0)</f>
        <v>0</v>
      </c>
      <c r="J154" s="467">
        <f>IFERROR(VLOOKUP(P154,COPY!$A$1:$L$1000,8,FALSE),0)</f>
        <v>0</v>
      </c>
      <c r="K154" s="457">
        <f>IFERROR(VLOOKUP(P154,COPY!$A$1:$L$1000,7,FALSE),0)</f>
        <v>0</v>
      </c>
      <c r="L154" s="468">
        <f>IFERROR(VLOOKUP(P154,COPY!$A$1:$O$1000,15,FALSE),0)</f>
        <v>0</v>
      </c>
      <c r="M154" s="468">
        <f>IFERROR(VLOOKUP(P154,COPY!$A$1:$L$1000,12,FALSE),0)</f>
        <v>0</v>
      </c>
      <c r="N154" s="471">
        <f>IF(H154="Jasa",VLOOKUP('BKU 3'!K154,'Rekap Gaji'!$D$12:$I$26,6,FALSE),(IF(H154="Beli",VLOOKUP(P154,COPY!$A$1:$L$1000,11,FALSE),IF(H154="Bayar Ongkos",VLOOKUP(K154,'Rekap Gaji'!$D$12:$I$26,6,FALSE),0))))</f>
        <v>0</v>
      </c>
      <c r="O154" s="470"/>
      <c r="P154" s="466" t="str">
        <f t="shared" si="7"/>
        <v/>
      </c>
      <c r="Q154" s="253">
        <f t="shared" si="10"/>
        <v>0</v>
      </c>
      <c r="R154" s="253">
        <f t="shared" si="11"/>
        <v>0</v>
      </c>
      <c r="S154" s="449">
        <f t="shared" si="12"/>
        <v>122</v>
      </c>
      <c r="T154" s="253">
        <f t="shared" si="13"/>
        <v>122</v>
      </c>
      <c r="U154" s="457" t="str">
        <f t="shared" si="8"/>
        <v xml:space="preserve"> </v>
      </c>
    </row>
    <row r="155" spans="1:21" ht="20.100000000000001" hidden="1" customHeight="1" x14ac:dyDescent="0.25">
      <c r="A155" s="470" t="str">
        <f t="shared" si="9"/>
        <v/>
      </c>
      <c r="B155" s="456">
        <f>IF(LEFT(C155,16)="Terima Pajak PPN",VLOOKUP(P155,COPY!$A$1:$AC$1000,21,FALSE),IF(LEFT(C155,16)="Terima Pajak PPH",VLOOKUP(P155,COPY!$A$1:$AC$1000,21,FALSE),IF(LEFT(C155,13)="Terima PPh 23",VLOOKUP(P155,COPY!$A$1:$AC$1000,21,FALSE),0)))</f>
        <v>0</v>
      </c>
      <c r="C155" s="457">
        <f>IFERROR(IF(LEFT(VLOOKUP(P155,COPY!$A$1:$AC$1000,29,FALSE),5)="Terim",VLOOKUP(P155,COPY!$A$1:$AC$1000,29,FALSE),0),0)</f>
        <v>0</v>
      </c>
      <c r="D155" s="457"/>
      <c r="E155" s="457"/>
      <c r="F155" s="458">
        <f>IFERROR(IF(LEFT(VLOOKUP(P155,COPY!$A$1:$AC$1000,29,FALSE),5)="Terim",VLOOKUP(P155,COPY!$A$1:$AC$1000,26,FALSE),0),0)</f>
        <v>0</v>
      </c>
      <c r="G155" s="459">
        <f>IFERROR(VLOOKUP(P155,COPY!$A$1:$L$1000,4,FALSE),0)</f>
        <v>0</v>
      </c>
      <c r="H155" s="457">
        <f>IFERROR(VLOOKUP(P155,COPY!$A$1:$L$1000,2,FALSE),0)</f>
        <v>0</v>
      </c>
      <c r="I155" s="510">
        <f>IFERROR(VLOOKUP(P155,COPY!$A$1:$L$1000,10,FALSE),0)</f>
        <v>0</v>
      </c>
      <c r="J155" s="467">
        <f>IFERROR(VLOOKUP(P155,COPY!$A$1:$L$1000,8,FALSE),0)</f>
        <v>0</v>
      </c>
      <c r="K155" s="457">
        <f>IFERROR(VLOOKUP(P155,COPY!$A$1:$L$1000,7,FALSE),0)</f>
        <v>0</v>
      </c>
      <c r="L155" s="468">
        <f>IFERROR(VLOOKUP(P155,COPY!$A$1:$O$1000,15,FALSE),0)</f>
        <v>0</v>
      </c>
      <c r="M155" s="468">
        <f>IFERROR(VLOOKUP(P155,COPY!$A$1:$L$1000,12,FALSE),0)</f>
        <v>0</v>
      </c>
      <c r="N155" s="471">
        <f>IF(H155="Jasa",VLOOKUP('BKU 3'!K155,'Rekap Gaji'!$D$12:$I$26,6,FALSE),(IF(H155="Beli",VLOOKUP(P155,COPY!$A$1:$L$1000,11,FALSE),IF(H155="Bayar Ongkos",VLOOKUP(K155,'Rekap Gaji'!$D$12:$I$26,6,FALSE),0))))</f>
        <v>0</v>
      </c>
      <c r="O155" s="470"/>
      <c r="P155" s="466" t="str">
        <f t="shared" si="7"/>
        <v/>
      </c>
      <c r="Q155" s="253">
        <f t="shared" si="10"/>
        <v>0</v>
      </c>
      <c r="R155" s="253">
        <f t="shared" si="11"/>
        <v>0</v>
      </c>
      <c r="S155" s="449">
        <f t="shared" si="12"/>
        <v>123</v>
      </c>
      <c r="T155" s="253">
        <f t="shared" si="13"/>
        <v>123</v>
      </c>
      <c r="U155" s="457" t="str">
        <f t="shared" si="8"/>
        <v xml:space="preserve"> </v>
      </c>
    </row>
    <row r="156" spans="1:21" ht="20.100000000000001" hidden="1" customHeight="1" x14ac:dyDescent="0.25">
      <c r="A156" s="470" t="str">
        <f t="shared" si="9"/>
        <v/>
      </c>
      <c r="B156" s="456">
        <f>IF(LEFT(C156,16)="Terima Pajak PPN",VLOOKUP(P156,COPY!$A$1:$AC$1000,21,FALSE),IF(LEFT(C156,16)="Terima Pajak PPH",VLOOKUP(P156,COPY!$A$1:$AC$1000,21,FALSE),IF(LEFT(C156,13)="Terima PPh 23",VLOOKUP(P156,COPY!$A$1:$AC$1000,21,FALSE),0)))</f>
        <v>0</v>
      </c>
      <c r="C156" s="457">
        <f>IFERROR(IF(LEFT(VLOOKUP(P156,COPY!$A$1:$AC$1000,29,FALSE),5)="Terim",VLOOKUP(P156,COPY!$A$1:$AC$1000,29,FALSE),0),0)</f>
        <v>0</v>
      </c>
      <c r="D156" s="457"/>
      <c r="E156" s="457"/>
      <c r="F156" s="458">
        <f>IFERROR(IF(LEFT(VLOOKUP(P156,COPY!$A$1:$AC$1000,29,FALSE),5)="Terim",VLOOKUP(P156,COPY!$A$1:$AC$1000,26,FALSE),0),0)</f>
        <v>0</v>
      </c>
      <c r="G156" s="459">
        <f>IFERROR(VLOOKUP(P156,COPY!$A$1:$L$1000,4,FALSE),0)</f>
        <v>0</v>
      </c>
      <c r="H156" s="457">
        <f>IFERROR(VLOOKUP(P156,COPY!$A$1:$L$1000,2,FALSE),0)</f>
        <v>0</v>
      </c>
      <c r="I156" s="510">
        <f>IFERROR(VLOOKUP(P156,COPY!$A$1:$L$1000,10,FALSE),0)</f>
        <v>0</v>
      </c>
      <c r="J156" s="467">
        <f>IFERROR(VLOOKUP(P156,COPY!$A$1:$L$1000,8,FALSE),0)</f>
        <v>0</v>
      </c>
      <c r="K156" s="457">
        <f>IFERROR(VLOOKUP(P156,COPY!$A$1:$L$1000,7,FALSE),0)</f>
        <v>0</v>
      </c>
      <c r="L156" s="468">
        <f>IFERROR(VLOOKUP(P156,COPY!$A$1:$O$1000,15,FALSE),0)</f>
        <v>0</v>
      </c>
      <c r="M156" s="468">
        <f>IFERROR(VLOOKUP(P156,COPY!$A$1:$L$1000,12,FALSE),0)</f>
        <v>0</v>
      </c>
      <c r="N156" s="471">
        <f>IF(H156="Jasa",VLOOKUP('BKU 3'!K156,'Rekap Gaji'!$D$12:$I$26,6,FALSE),(IF(H156="Beli",VLOOKUP(P156,COPY!$A$1:$L$1000,11,FALSE),IF(H156="Bayar Ongkos",VLOOKUP(K156,'Rekap Gaji'!$D$12:$I$26,6,FALSE),0))))</f>
        <v>0</v>
      </c>
      <c r="O156" s="470"/>
      <c r="P156" s="466" t="str">
        <f t="shared" si="7"/>
        <v/>
      </c>
      <c r="Q156" s="253">
        <f t="shared" si="10"/>
        <v>0</v>
      </c>
      <c r="R156" s="253">
        <f t="shared" si="11"/>
        <v>0</v>
      </c>
      <c r="S156" s="449">
        <f t="shared" si="12"/>
        <v>124</v>
      </c>
      <c r="T156" s="253">
        <f t="shared" si="13"/>
        <v>124</v>
      </c>
      <c r="U156" s="457" t="str">
        <f t="shared" si="8"/>
        <v xml:space="preserve"> </v>
      </c>
    </row>
    <row r="157" spans="1:21" ht="20.100000000000001" hidden="1" customHeight="1" x14ac:dyDescent="0.25">
      <c r="A157" s="470" t="str">
        <f t="shared" si="9"/>
        <v/>
      </c>
      <c r="B157" s="456">
        <f>IF(LEFT(C157,16)="Terima Pajak PPN",VLOOKUP(P157,COPY!$A$1:$AC$1000,21,FALSE),IF(LEFT(C157,16)="Terima Pajak PPH",VLOOKUP(P157,COPY!$A$1:$AC$1000,21,FALSE),IF(LEFT(C157,13)="Terima PPh 23",VLOOKUP(P157,COPY!$A$1:$AC$1000,21,FALSE),0)))</f>
        <v>0</v>
      </c>
      <c r="C157" s="457">
        <f>IFERROR(IF(LEFT(VLOOKUP(P157,COPY!$A$1:$AC$1000,29,FALSE),5)="Terim",VLOOKUP(P157,COPY!$A$1:$AC$1000,29,FALSE),0),0)</f>
        <v>0</v>
      </c>
      <c r="D157" s="457"/>
      <c r="E157" s="457"/>
      <c r="F157" s="458">
        <f>IFERROR(IF(LEFT(VLOOKUP(P157,COPY!$A$1:$AC$1000,29,FALSE),5)="Terim",VLOOKUP(P157,COPY!$A$1:$AC$1000,26,FALSE),0),0)</f>
        <v>0</v>
      </c>
      <c r="G157" s="459">
        <f>IFERROR(VLOOKUP(P157,COPY!$A$1:$L$1000,4,FALSE),0)</f>
        <v>0</v>
      </c>
      <c r="H157" s="457">
        <f>IFERROR(VLOOKUP(P157,COPY!$A$1:$L$1000,2,FALSE),0)</f>
        <v>0</v>
      </c>
      <c r="I157" s="510">
        <f>IFERROR(VLOOKUP(P157,COPY!$A$1:$L$1000,10,FALSE),0)</f>
        <v>0</v>
      </c>
      <c r="J157" s="467">
        <f>IFERROR(VLOOKUP(P157,COPY!$A$1:$L$1000,8,FALSE),0)</f>
        <v>0</v>
      </c>
      <c r="K157" s="457">
        <f>IFERROR(VLOOKUP(P157,COPY!$A$1:$L$1000,7,FALSE),0)</f>
        <v>0</v>
      </c>
      <c r="L157" s="468">
        <f>IFERROR(VLOOKUP(P157,COPY!$A$1:$O$1000,15,FALSE),0)</f>
        <v>0</v>
      </c>
      <c r="M157" s="468">
        <f>IFERROR(VLOOKUP(P157,COPY!$A$1:$L$1000,12,FALSE),0)</f>
        <v>0</v>
      </c>
      <c r="N157" s="471">
        <f>IF(H157="Jasa",VLOOKUP('BKU 3'!K157,'Rekap Gaji'!$D$12:$I$26,6,FALSE),(IF(H157="Beli",VLOOKUP(P157,COPY!$A$1:$L$1000,11,FALSE),IF(H157="Bayar Ongkos",VLOOKUP(K157,'Rekap Gaji'!$D$12:$I$26,6,FALSE),0))))</f>
        <v>0</v>
      </c>
      <c r="O157" s="470"/>
      <c r="P157" s="466" t="str">
        <f t="shared" si="7"/>
        <v/>
      </c>
      <c r="Q157" s="253">
        <f t="shared" si="10"/>
        <v>0</v>
      </c>
      <c r="R157" s="253">
        <f t="shared" si="11"/>
        <v>0</v>
      </c>
      <c r="S157" s="449">
        <f t="shared" si="12"/>
        <v>125</v>
      </c>
      <c r="T157" s="253">
        <f t="shared" si="13"/>
        <v>125</v>
      </c>
      <c r="U157" s="457" t="str">
        <f t="shared" si="8"/>
        <v xml:space="preserve"> </v>
      </c>
    </row>
    <row r="158" spans="1:21" ht="20.100000000000001" hidden="1" customHeight="1" x14ac:dyDescent="0.25">
      <c r="A158" s="470" t="str">
        <f t="shared" si="9"/>
        <v/>
      </c>
      <c r="B158" s="456">
        <f>IF(LEFT(C158,16)="Terima Pajak PPN",VLOOKUP(P158,COPY!$A$1:$AC$1000,21,FALSE),IF(LEFT(C158,16)="Terima Pajak PPH",VLOOKUP(P158,COPY!$A$1:$AC$1000,21,FALSE),IF(LEFT(C158,13)="Terima PPh 23",VLOOKUP(P158,COPY!$A$1:$AC$1000,21,FALSE),0)))</f>
        <v>0</v>
      </c>
      <c r="C158" s="457">
        <f>IFERROR(IF(LEFT(VLOOKUP(P158,COPY!$A$1:$AC$1000,29,FALSE),5)="Terim",VLOOKUP(P158,COPY!$A$1:$AC$1000,29,FALSE),0),0)</f>
        <v>0</v>
      </c>
      <c r="D158" s="457"/>
      <c r="E158" s="457"/>
      <c r="F158" s="458">
        <f>IFERROR(IF(LEFT(VLOOKUP(P158,COPY!$A$1:$AC$1000,29,FALSE),5)="Terim",VLOOKUP(P158,COPY!$A$1:$AC$1000,26,FALSE),0),0)</f>
        <v>0</v>
      </c>
      <c r="G158" s="459">
        <f>IFERROR(VLOOKUP(P158,COPY!$A$1:$L$1000,4,FALSE),0)</f>
        <v>0</v>
      </c>
      <c r="H158" s="457">
        <f>IFERROR(VLOOKUP(P158,COPY!$A$1:$L$1000,2,FALSE),0)</f>
        <v>0</v>
      </c>
      <c r="I158" s="510">
        <f>IFERROR(VLOOKUP(P158,COPY!$A$1:$L$1000,10,FALSE),0)</f>
        <v>0</v>
      </c>
      <c r="J158" s="467">
        <f>IFERROR(VLOOKUP(P158,COPY!$A$1:$L$1000,8,FALSE),0)</f>
        <v>0</v>
      </c>
      <c r="K158" s="457">
        <f>IFERROR(VLOOKUP(P158,COPY!$A$1:$L$1000,7,FALSE),0)</f>
        <v>0</v>
      </c>
      <c r="L158" s="468">
        <f>IFERROR(VLOOKUP(P158,COPY!$A$1:$O$1000,15,FALSE),0)</f>
        <v>0</v>
      </c>
      <c r="M158" s="468">
        <f>IFERROR(VLOOKUP(P158,COPY!$A$1:$L$1000,12,FALSE),0)</f>
        <v>0</v>
      </c>
      <c r="N158" s="471">
        <f>IF(H158="Jasa",VLOOKUP('BKU 3'!K158,'Rekap Gaji'!$D$12:$I$26,6,FALSE),(IF(H158="Beli",VLOOKUP(P158,COPY!$A$1:$L$1000,11,FALSE),IF(H158="Bayar Ongkos",VLOOKUP(K158,'Rekap Gaji'!$D$12:$I$26,6,FALSE),0))))</f>
        <v>0</v>
      </c>
      <c r="O158" s="470"/>
      <c r="P158" s="466" t="str">
        <f t="shared" si="7"/>
        <v/>
      </c>
      <c r="Q158" s="253">
        <f t="shared" si="10"/>
        <v>0</v>
      </c>
      <c r="R158" s="253">
        <f t="shared" si="11"/>
        <v>0</v>
      </c>
      <c r="S158" s="449">
        <f t="shared" si="12"/>
        <v>126</v>
      </c>
      <c r="T158" s="253">
        <f t="shared" si="13"/>
        <v>126</v>
      </c>
      <c r="U158" s="457" t="str">
        <f t="shared" si="8"/>
        <v xml:space="preserve"> </v>
      </c>
    </row>
    <row r="159" spans="1:21" ht="20.100000000000001" hidden="1" customHeight="1" x14ac:dyDescent="0.25">
      <c r="A159" s="470" t="str">
        <f t="shared" si="9"/>
        <v/>
      </c>
      <c r="B159" s="456">
        <f>IF(LEFT(C159,16)="Terima Pajak PPN",VLOOKUP(P159,COPY!$A$1:$AC$1000,21,FALSE),IF(LEFT(C159,16)="Terima Pajak PPH",VLOOKUP(P159,COPY!$A$1:$AC$1000,21,FALSE),IF(LEFT(C159,13)="Terima PPh 23",VLOOKUP(P159,COPY!$A$1:$AC$1000,21,FALSE),0)))</f>
        <v>0</v>
      </c>
      <c r="C159" s="457">
        <f>IFERROR(IF(LEFT(VLOOKUP(P159,COPY!$A$1:$AC$1000,29,FALSE),5)="Terim",VLOOKUP(P159,COPY!$A$1:$AC$1000,29,FALSE),0),0)</f>
        <v>0</v>
      </c>
      <c r="D159" s="457"/>
      <c r="E159" s="457"/>
      <c r="F159" s="458">
        <f>IFERROR(IF(LEFT(VLOOKUP(P159,COPY!$A$1:$AC$1000,29,FALSE),5)="Terim",VLOOKUP(P159,COPY!$A$1:$AC$1000,26,FALSE),0),0)</f>
        <v>0</v>
      </c>
      <c r="G159" s="459">
        <f>IFERROR(VLOOKUP(P159,COPY!$A$1:$L$1000,4,FALSE),0)</f>
        <v>0</v>
      </c>
      <c r="H159" s="457">
        <f>IFERROR(VLOOKUP(P159,COPY!$A$1:$L$1000,2,FALSE),0)</f>
        <v>0</v>
      </c>
      <c r="I159" s="510">
        <f>IFERROR(VLOOKUP(P159,COPY!$A$1:$L$1000,10,FALSE),0)</f>
        <v>0</v>
      </c>
      <c r="J159" s="467">
        <f>IFERROR(VLOOKUP(P159,COPY!$A$1:$L$1000,8,FALSE),0)</f>
        <v>0</v>
      </c>
      <c r="K159" s="457">
        <f>IFERROR(VLOOKUP(P159,COPY!$A$1:$L$1000,7,FALSE),0)</f>
        <v>0</v>
      </c>
      <c r="L159" s="468">
        <f>IFERROR(VLOOKUP(P159,COPY!$A$1:$O$1000,15,FALSE),0)</f>
        <v>0</v>
      </c>
      <c r="M159" s="468">
        <f>IFERROR(VLOOKUP(P159,COPY!$A$1:$L$1000,12,FALSE),0)</f>
        <v>0</v>
      </c>
      <c r="N159" s="471">
        <f>IF(H159="Jasa",VLOOKUP('BKU 3'!K159,'Rekap Gaji'!$D$12:$I$26,6,FALSE),(IF(H159="Beli",VLOOKUP(P159,COPY!$A$1:$L$1000,11,FALSE),IF(H159="Bayar Ongkos",VLOOKUP(K159,'Rekap Gaji'!$D$12:$I$26,6,FALSE),0))))</f>
        <v>0</v>
      </c>
      <c r="O159" s="470"/>
      <c r="P159" s="466" t="str">
        <f t="shared" si="7"/>
        <v/>
      </c>
      <c r="Q159" s="253">
        <f t="shared" si="10"/>
        <v>0</v>
      </c>
      <c r="R159" s="253">
        <f t="shared" si="11"/>
        <v>0</v>
      </c>
      <c r="S159" s="449">
        <f t="shared" si="12"/>
        <v>127</v>
      </c>
      <c r="T159" s="253">
        <f t="shared" si="13"/>
        <v>127</v>
      </c>
      <c r="U159" s="457" t="str">
        <f t="shared" si="8"/>
        <v xml:space="preserve"> </v>
      </c>
    </row>
    <row r="160" spans="1:21" ht="20.100000000000001" hidden="1" customHeight="1" x14ac:dyDescent="0.25">
      <c r="A160" s="470" t="str">
        <f t="shared" si="9"/>
        <v/>
      </c>
      <c r="B160" s="456">
        <f>IF(LEFT(C160,16)="Terima Pajak PPN",VLOOKUP(P160,COPY!$A$1:$AC$1000,21,FALSE),IF(LEFT(C160,16)="Terima Pajak PPH",VLOOKUP(P160,COPY!$A$1:$AC$1000,21,FALSE),IF(LEFT(C160,13)="Terima PPh 23",VLOOKUP(P160,COPY!$A$1:$AC$1000,21,FALSE),0)))</f>
        <v>0</v>
      </c>
      <c r="C160" s="457">
        <f>IFERROR(IF(LEFT(VLOOKUP(P160,COPY!$A$1:$AC$1000,29,FALSE),5)="Terim",VLOOKUP(P160,COPY!$A$1:$AC$1000,29,FALSE),0),0)</f>
        <v>0</v>
      </c>
      <c r="D160" s="457"/>
      <c r="E160" s="457"/>
      <c r="F160" s="458">
        <f>IFERROR(IF(LEFT(VLOOKUP(P160,COPY!$A$1:$AC$1000,29,FALSE),5)="Terim",VLOOKUP(P160,COPY!$A$1:$AC$1000,26,FALSE),0),0)</f>
        <v>0</v>
      </c>
      <c r="G160" s="459">
        <f>IFERROR(VLOOKUP(P160,COPY!$A$1:$L$1000,4,FALSE),0)</f>
        <v>0</v>
      </c>
      <c r="H160" s="457">
        <f>IFERROR(VLOOKUP(P160,COPY!$A$1:$L$1000,2,FALSE),0)</f>
        <v>0</v>
      </c>
      <c r="I160" s="510">
        <f>IFERROR(VLOOKUP(P160,COPY!$A$1:$L$1000,10,FALSE),0)</f>
        <v>0</v>
      </c>
      <c r="J160" s="467">
        <f>IFERROR(VLOOKUP(P160,COPY!$A$1:$L$1000,8,FALSE),0)</f>
        <v>0</v>
      </c>
      <c r="K160" s="457">
        <f>IFERROR(VLOOKUP(P160,COPY!$A$1:$L$1000,7,FALSE),0)</f>
        <v>0</v>
      </c>
      <c r="L160" s="468">
        <f>IFERROR(VLOOKUP(P160,COPY!$A$1:$O$1000,15,FALSE),0)</f>
        <v>0</v>
      </c>
      <c r="M160" s="468">
        <f>IFERROR(VLOOKUP(P160,COPY!$A$1:$L$1000,12,FALSE),0)</f>
        <v>0</v>
      </c>
      <c r="N160" s="471">
        <f>IF(H160="Jasa",VLOOKUP('BKU 3'!K160,'Rekap Gaji'!$D$12:$I$26,6,FALSE),(IF(H160="Beli",VLOOKUP(P160,COPY!$A$1:$L$1000,11,FALSE),IF(H160="Bayar Ongkos",VLOOKUP(K160,'Rekap Gaji'!$D$12:$I$26,6,FALSE),0))))</f>
        <v>0</v>
      </c>
      <c r="O160" s="470"/>
      <c r="P160" s="466" t="str">
        <f t="shared" si="7"/>
        <v/>
      </c>
      <c r="Q160" s="253">
        <f t="shared" si="10"/>
        <v>0</v>
      </c>
      <c r="R160" s="253">
        <f t="shared" si="11"/>
        <v>0</v>
      </c>
      <c r="S160" s="449">
        <f t="shared" si="12"/>
        <v>128</v>
      </c>
      <c r="T160" s="253">
        <f t="shared" si="13"/>
        <v>128</v>
      </c>
      <c r="U160" s="457" t="str">
        <f t="shared" si="8"/>
        <v xml:space="preserve"> </v>
      </c>
    </row>
    <row r="161" spans="1:21" ht="20.100000000000001" hidden="1" customHeight="1" x14ac:dyDescent="0.25">
      <c r="A161" s="470" t="str">
        <f t="shared" si="9"/>
        <v/>
      </c>
      <c r="B161" s="456">
        <f>IF(LEFT(C161,16)="Terima Pajak PPN",VLOOKUP(P161,COPY!$A$1:$AC$1000,21,FALSE),IF(LEFT(C161,16)="Terima Pajak PPH",VLOOKUP(P161,COPY!$A$1:$AC$1000,21,FALSE),IF(LEFT(C161,13)="Terima PPh 23",VLOOKUP(P161,COPY!$A$1:$AC$1000,21,FALSE),0)))</f>
        <v>0</v>
      </c>
      <c r="C161" s="457">
        <f>IFERROR(IF(LEFT(VLOOKUP(P161,COPY!$A$1:$AC$1000,29,FALSE),5)="Terim",VLOOKUP(P161,COPY!$A$1:$AC$1000,29,FALSE),0),0)</f>
        <v>0</v>
      </c>
      <c r="D161" s="457"/>
      <c r="E161" s="457"/>
      <c r="F161" s="458">
        <f>IFERROR(IF(LEFT(VLOOKUP(P161,COPY!$A$1:$AC$1000,29,FALSE),5)="Terim",VLOOKUP(P161,COPY!$A$1:$AC$1000,26,FALSE),0),0)</f>
        <v>0</v>
      </c>
      <c r="G161" s="459">
        <f>IFERROR(VLOOKUP(P161,COPY!$A$1:$L$1000,4,FALSE),0)</f>
        <v>0</v>
      </c>
      <c r="H161" s="457">
        <f>IFERROR(VLOOKUP(P161,COPY!$A$1:$L$1000,2,FALSE),0)</f>
        <v>0</v>
      </c>
      <c r="I161" s="510">
        <f>IFERROR(VLOOKUP(P161,COPY!$A$1:$L$1000,10,FALSE),0)</f>
        <v>0</v>
      </c>
      <c r="J161" s="467">
        <f>IFERROR(VLOOKUP(P161,COPY!$A$1:$L$1000,8,FALSE),0)</f>
        <v>0</v>
      </c>
      <c r="K161" s="457">
        <f>IFERROR(VLOOKUP(P161,COPY!$A$1:$L$1000,7,FALSE),0)</f>
        <v>0</v>
      </c>
      <c r="L161" s="468">
        <f>IFERROR(VLOOKUP(P161,COPY!$A$1:$O$1000,15,FALSE),0)</f>
        <v>0</v>
      </c>
      <c r="M161" s="468">
        <f>IFERROR(VLOOKUP(P161,COPY!$A$1:$L$1000,12,FALSE),0)</f>
        <v>0</v>
      </c>
      <c r="N161" s="471">
        <f>IF(H161="Jasa",VLOOKUP('BKU 3'!K161,'Rekap Gaji'!$D$12:$I$26,6,FALSE),(IF(H161="Beli",VLOOKUP(P161,COPY!$A$1:$L$1000,11,FALSE),IF(H161="Bayar Ongkos",VLOOKUP(K161,'Rekap Gaji'!$D$12:$I$26,6,FALSE),0))))</f>
        <v>0</v>
      </c>
      <c r="O161" s="470"/>
      <c r="P161" s="466" t="str">
        <f t="shared" ref="P161:P185" si="14">IF(Q161&gt;0,$D$24&amp;"."&amp;Q161,"")</f>
        <v/>
      </c>
      <c r="Q161" s="253">
        <f t="shared" si="10"/>
        <v>0</v>
      </c>
      <c r="R161" s="253">
        <f t="shared" si="11"/>
        <v>0</v>
      </c>
      <c r="S161" s="449">
        <f t="shared" si="12"/>
        <v>129</v>
      </c>
      <c r="T161" s="253">
        <f t="shared" si="13"/>
        <v>129</v>
      </c>
      <c r="U161" s="457" t="str">
        <f t="shared" ref="U161:U186" si="15">IF(LEFT(C161,16)="terima Pajak PPN",1,IF(LEFT(C161,16)="terima Pajak PPH",2,IF(LEFT(C161,21)="Bayar Pajak Final PPH",3," ")))</f>
        <v xml:space="preserve"> </v>
      </c>
    </row>
    <row r="162" spans="1:21" ht="20.100000000000001" hidden="1" customHeight="1" x14ac:dyDescent="0.25">
      <c r="A162" s="470" t="str">
        <f t="shared" ref="A162:A185" si="16">P162</f>
        <v/>
      </c>
      <c r="B162" s="456">
        <f>IF(LEFT(C162,16)="Terima Pajak PPN",VLOOKUP(P162,COPY!$A$1:$AC$1000,21,FALSE),IF(LEFT(C162,16)="Terima Pajak PPH",VLOOKUP(P162,COPY!$A$1:$AC$1000,21,FALSE),IF(LEFT(C162,13)="Terima PPh 23",VLOOKUP(P162,COPY!$A$1:$AC$1000,21,FALSE),0)))</f>
        <v>0</v>
      </c>
      <c r="C162" s="457">
        <f>IFERROR(IF(LEFT(VLOOKUP(P162,COPY!$A$1:$AC$1000,29,FALSE),5)="Terim",VLOOKUP(P162,COPY!$A$1:$AC$1000,29,FALSE),0),0)</f>
        <v>0</v>
      </c>
      <c r="D162" s="457"/>
      <c r="E162" s="457"/>
      <c r="F162" s="458">
        <f>IFERROR(IF(LEFT(VLOOKUP(P162,COPY!$A$1:$AC$1000,29,FALSE),5)="Terim",VLOOKUP(P162,COPY!$A$1:$AC$1000,26,FALSE),0),0)</f>
        <v>0</v>
      </c>
      <c r="G162" s="459">
        <f>IFERROR(VLOOKUP(P162,COPY!$A$1:$L$1000,4,FALSE),0)</f>
        <v>0</v>
      </c>
      <c r="H162" s="457">
        <f>IFERROR(VLOOKUP(P162,COPY!$A$1:$L$1000,2,FALSE),0)</f>
        <v>0</v>
      </c>
      <c r="I162" s="510">
        <f>IFERROR(VLOOKUP(P162,COPY!$A$1:$L$1000,10,FALSE),0)</f>
        <v>0</v>
      </c>
      <c r="J162" s="467">
        <f>IFERROR(VLOOKUP(P162,COPY!$A$1:$L$1000,8,FALSE),0)</f>
        <v>0</v>
      </c>
      <c r="K162" s="457">
        <f>IFERROR(VLOOKUP(P162,COPY!$A$1:$L$1000,7,FALSE),0)</f>
        <v>0</v>
      </c>
      <c r="L162" s="468">
        <f>IFERROR(VLOOKUP(P162,COPY!$A$1:$O$1000,15,FALSE),0)</f>
        <v>0</v>
      </c>
      <c r="M162" s="468">
        <f>IFERROR(VLOOKUP(P162,COPY!$A$1:$L$1000,12,FALSE),0)</f>
        <v>0</v>
      </c>
      <c r="N162" s="471">
        <f>IF(H162="Jasa",VLOOKUP('BKU 3'!K162,'Rekap Gaji'!$D$12:$I$26,6,FALSE),(IF(H162="Beli",VLOOKUP(P162,COPY!$A$1:$L$1000,11,FALSE),IF(H162="Bayar Ongkos",VLOOKUP(K162,'Rekap Gaji'!$D$12:$I$26,6,FALSE),0))))</f>
        <v>0</v>
      </c>
      <c r="O162" s="470"/>
      <c r="P162" s="466" t="str">
        <f t="shared" si="14"/>
        <v/>
      </c>
      <c r="Q162" s="253">
        <f t="shared" si="10"/>
        <v>0</v>
      </c>
      <c r="R162" s="253">
        <f t="shared" si="11"/>
        <v>0</v>
      </c>
      <c r="S162" s="449">
        <f t="shared" si="12"/>
        <v>130</v>
      </c>
      <c r="T162" s="253">
        <f t="shared" si="13"/>
        <v>130</v>
      </c>
      <c r="U162" s="457" t="str">
        <f t="shared" si="15"/>
        <v xml:space="preserve"> </v>
      </c>
    </row>
    <row r="163" spans="1:21" ht="20.100000000000001" hidden="1" customHeight="1" x14ac:dyDescent="0.25">
      <c r="A163" s="470" t="str">
        <f t="shared" si="16"/>
        <v/>
      </c>
      <c r="B163" s="456">
        <f>IF(LEFT(C163,16)="Terima Pajak PPN",VLOOKUP(P163,COPY!$A$1:$AC$1000,21,FALSE),IF(LEFT(C163,16)="Terima Pajak PPH",VLOOKUP(P163,COPY!$A$1:$AC$1000,21,FALSE),IF(LEFT(C163,13)="Terima PPh 23",VLOOKUP(P163,COPY!$A$1:$AC$1000,21,FALSE),0)))</f>
        <v>0</v>
      </c>
      <c r="C163" s="457">
        <f>IFERROR(IF(LEFT(VLOOKUP(P163,COPY!$A$1:$AC$1000,29,FALSE),5)="Terim",VLOOKUP(P163,COPY!$A$1:$AC$1000,29,FALSE),0),0)</f>
        <v>0</v>
      </c>
      <c r="D163" s="457"/>
      <c r="E163" s="457"/>
      <c r="F163" s="458">
        <f>IFERROR(IF(LEFT(VLOOKUP(P163,COPY!$A$1:$AC$1000,29,FALSE),5)="Terim",VLOOKUP(P163,COPY!$A$1:$AC$1000,26,FALSE),0),0)</f>
        <v>0</v>
      </c>
      <c r="G163" s="459">
        <f>IFERROR(VLOOKUP(P163,COPY!$A$1:$L$1000,4,FALSE),0)</f>
        <v>0</v>
      </c>
      <c r="H163" s="457">
        <f>IFERROR(VLOOKUP(P163,COPY!$A$1:$L$1000,2,FALSE),0)</f>
        <v>0</v>
      </c>
      <c r="I163" s="510">
        <f>IFERROR(VLOOKUP(P163,COPY!$A$1:$L$1000,10,FALSE),0)</f>
        <v>0</v>
      </c>
      <c r="J163" s="467">
        <f>IFERROR(VLOOKUP(P163,COPY!$A$1:$L$1000,8,FALSE),0)</f>
        <v>0</v>
      </c>
      <c r="K163" s="457">
        <f>IFERROR(VLOOKUP(P163,COPY!$A$1:$L$1000,7,FALSE),0)</f>
        <v>0</v>
      </c>
      <c r="L163" s="468">
        <f>IFERROR(VLOOKUP(P163,COPY!$A$1:$O$1000,15,FALSE),0)</f>
        <v>0</v>
      </c>
      <c r="M163" s="468">
        <f>IFERROR(VLOOKUP(P163,COPY!$A$1:$L$1000,12,FALSE),0)</f>
        <v>0</v>
      </c>
      <c r="N163" s="471">
        <f>IF(H163="Jasa",VLOOKUP('BKU 3'!K163,'Rekap Gaji'!$D$12:$I$26,6,FALSE),(IF(H163="Beli",VLOOKUP(P163,COPY!$A$1:$L$1000,11,FALSE),IF(H163="Bayar Ongkos",VLOOKUP(K163,'Rekap Gaji'!$D$12:$I$26,6,FALSE),0))))</f>
        <v>0</v>
      </c>
      <c r="O163" s="470"/>
      <c r="P163" s="466" t="str">
        <f t="shared" si="14"/>
        <v/>
      </c>
      <c r="Q163" s="253">
        <f t="shared" ref="Q163:Q184" si="17">IF(T163&lt;=0,T163+$S$30,0)</f>
        <v>0</v>
      </c>
      <c r="R163" s="253">
        <f t="shared" ref="R163:R184" si="18">IF(T163&lt;=0,S163,0)</f>
        <v>0</v>
      </c>
      <c r="S163" s="449">
        <f t="shared" ref="S163:S184" si="19">S162+1</f>
        <v>131</v>
      </c>
      <c r="T163" s="253">
        <f t="shared" ref="T163:T184" si="20">S163-$S$30</f>
        <v>131</v>
      </c>
      <c r="U163" s="457" t="str">
        <f t="shared" si="15"/>
        <v xml:space="preserve"> </v>
      </c>
    </row>
    <row r="164" spans="1:21" ht="20.100000000000001" hidden="1" customHeight="1" x14ac:dyDescent="0.25">
      <c r="A164" s="470" t="str">
        <f t="shared" si="16"/>
        <v/>
      </c>
      <c r="B164" s="456">
        <f>IF(LEFT(C164,16)="Terima Pajak PPN",VLOOKUP(P164,COPY!$A$1:$AC$1000,21,FALSE),IF(LEFT(C164,16)="Terima Pajak PPH",VLOOKUP(P164,COPY!$A$1:$AC$1000,21,FALSE),IF(LEFT(C164,13)="Terima PPh 23",VLOOKUP(P164,COPY!$A$1:$AC$1000,21,FALSE),0)))</f>
        <v>0</v>
      </c>
      <c r="C164" s="457">
        <f>IFERROR(IF(LEFT(VLOOKUP(P164,COPY!$A$1:$AC$1000,29,FALSE),5)="Terim",VLOOKUP(P164,COPY!$A$1:$AC$1000,29,FALSE),0),0)</f>
        <v>0</v>
      </c>
      <c r="D164" s="457"/>
      <c r="E164" s="457"/>
      <c r="F164" s="458">
        <f>IFERROR(IF(LEFT(VLOOKUP(P164,COPY!$A$1:$AC$1000,29,FALSE),5)="Terim",VLOOKUP(P164,COPY!$A$1:$AC$1000,26,FALSE),0),0)</f>
        <v>0</v>
      </c>
      <c r="G164" s="459">
        <f>IFERROR(VLOOKUP(P164,COPY!$A$1:$L$1000,4,FALSE),0)</f>
        <v>0</v>
      </c>
      <c r="H164" s="457">
        <f>IFERROR(VLOOKUP(P164,COPY!$A$1:$L$1000,2,FALSE),0)</f>
        <v>0</v>
      </c>
      <c r="I164" s="510">
        <f>IFERROR(VLOOKUP(P164,COPY!$A$1:$L$1000,10,FALSE),0)</f>
        <v>0</v>
      </c>
      <c r="J164" s="467">
        <f>IFERROR(VLOOKUP(P164,COPY!$A$1:$L$1000,8,FALSE),0)</f>
        <v>0</v>
      </c>
      <c r="K164" s="457">
        <f>IFERROR(VLOOKUP(P164,COPY!$A$1:$L$1000,7,FALSE),0)</f>
        <v>0</v>
      </c>
      <c r="L164" s="468">
        <f>IFERROR(VLOOKUP(P164,COPY!$A$1:$O$1000,15,FALSE),0)</f>
        <v>0</v>
      </c>
      <c r="M164" s="468">
        <f>IFERROR(VLOOKUP(P164,COPY!$A$1:$L$1000,12,FALSE),0)</f>
        <v>0</v>
      </c>
      <c r="N164" s="471">
        <f>IF(H164="Jasa",VLOOKUP('BKU 3'!K164,'Rekap Gaji'!$D$12:$I$26,6,FALSE),(IF(H164="Beli",VLOOKUP(P164,COPY!$A$1:$L$1000,11,FALSE),IF(H164="Bayar Ongkos",VLOOKUP(K164,'Rekap Gaji'!$D$12:$I$26,6,FALSE),0))))</f>
        <v>0</v>
      </c>
      <c r="O164" s="470"/>
      <c r="P164" s="466" t="str">
        <f t="shared" si="14"/>
        <v/>
      </c>
      <c r="Q164" s="253">
        <f t="shared" si="17"/>
        <v>0</v>
      </c>
      <c r="R164" s="253">
        <f t="shared" si="18"/>
        <v>0</v>
      </c>
      <c r="S164" s="449">
        <f t="shared" si="19"/>
        <v>132</v>
      </c>
      <c r="T164" s="253">
        <f t="shared" si="20"/>
        <v>132</v>
      </c>
      <c r="U164" s="457" t="str">
        <f t="shared" si="15"/>
        <v xml:space="preserve"> </v>
      </c>
    </row>
    <row r="165" spans="1:21" ht="20.100000000000001" hidden="1" customHeight="1" x14ac:dyDescent="0.25">
      <c r="A165" s="470" t="str">
        <f t="shared" si="16"/>
        <v/>
      </c>
      <c r="B165" s="456">
        <f>IF(LEFT(C165,16)="Terima Pajak PPN",VLOOKUP(P165,COPY!$A$1:$AC$1000,21,FALSE),IF(LEFT(C165,16)="Terima Pajak PPH",VLOOKUP(P165,COPY!$A$1:$AC$1000,21,FALSE),IF(LEFT(C165,13)="Terima PPh 23",VLOOKUP(P165,COPY!$A$1:$AC$1000,21,FALSE),0)))</f>
        <v>0</v>
      </c>
      <c r="C165" s="457">
        <f>IFERROR(IF(LEFT(VLOOKUP(P165,COPY!$A$1:$AC$1000,29,FALSE),5)="Terim",VLOOKUP(P165,COPY!$A$1:$AC$1000,29,FALSE),0),0)</f>
        <v>0</v>
      </c>
      <c r="D165" s="457"/>
      <c r="E165" s="457"/>
      <c r="F165" s="458">
        <f>IFERROR(IF(LEFT(VLOOKUP(P165,COPY!$A$1:$AC$1000,29,FALSE),5)="Terim",VLOOKUP(P165,COPY!$A$1:$AC$1000,26,FALSE),0),0)</f>
        <v>0</v>
      </c>
      <c r="G165" s="459">
        <f>IFERROR(VLOOKUP(P165,COPY!$A$1:$L$1000,4,FALSE),0)</f>
        <v>0</v>
      </c>
      <c r="H165" s="457">
        <f>IFERROR(VLOOKUP(P165,COPY!$A$1:$L$1000,2,FALSE),0)</f>
        <v>0</v>
      </c>
      <c r="I165" s="510">
        <f>IFERROR(VLOOKUP(P165,COPY!$A$1:$L$1000,10,FALSE),0)</f>
        <v>0</v>
      </c>
      <c r="J165" s="467">
        <f>IFERROR(VLOOKUP(P165,COPY!$A$1:$L$1000,8,FALSE),0)</f>
        <v>0</v>
      </c>
      <c r="K165" s="457">
        <f>IFERROR(VLOOKUP(P165,COPY!$A$1:$L$1000,7,FALSE),0)</f>
        <v>0</v>
      </c>
      <c r="L165" s="468">
        <f>IFERROR(VLOOKUP(P165,COPY!$A$1:$O$1000,15,FALSE),0)</f>
        <v>0</v>
      </c>
      <c r="M165" s="468">
        <f>IFERROR(VLOOKUP(P165,COPY!$A$1:$L$1000,12,FALSE),0)</f>
        <v>0</v>
      </c>
      <c r="N165" s="471">
        <f>IF(H165="Jasa",VLOOKUP('BKU 3'!K165,'Rekap Gaji'!$D$12:$I$26,6,FALSE),(IF(H165="Beli",VLOOKUP(P165,COPY!$A$1:$L$1000,11,FALSE),IF(H165="Bayar Ongkos",VLOOKUP(K165,'Rekap Gaji'!$D$12:$I$26,6,FALSE),0))))</f>
        <v>0</v>
      </c>
      <c r="O165" s="470"/>
      <c r="P165" s="466" t="str">
        <f t="shared" si="14"/>
        <v/>
      </c>
      <c r="Q165" s="253">
        <f t="shared" si="17"/>
        <v>0</v>
      </c>
      <c r="R165" s="253">
        <f t="shared" si="18"/>
        <v>0</v>
      </c>
      <c r="S165" s="449">
        <f t="shared" si="19"/>
        <v>133</v>
      </c>
      <c r="T165" s="253">
        <f t="shared" si="20"/>
        <v>133</v>
      </c>
      <c r="U165" s="457" t="str">
        <f t="shared" si="15"/>
        <v xml:space="preserve"> </v>
      </c>
    </row>
    <row r="166" spans="1:21" ht="20.100000000000001" hidden="1" customHeight="1" x14ac:dyDescent="0.25">
      <c r="A166" s="470" t="str">
        <f t="shared" si="16"/>
        <v/>
      </c>
      <c r="B166" s="456">
        <f>IF(LEFT(C166,16)="Terima Pajak PPN",VLOOKUP(P166,COPY!$A$1:$AC$1000,21,FALSE),IF(LEFT(C166,16)="Terima Pajak PPH",VLOOKUP(P166,COPY!$A$1:$AC$1000,21,FALSE),IF(LEFT(C166,13)="Terima PPh 23",VLOOKUP(P166,COPY!$A$1:$AC$1000,21,FALSE),0)))</f>
        <v>0</v>
      </c>
      <c r="C166" s="457">
        <f>IFERROR(IF(LEFT(VLOOKUP(P166,COPY!$A$1:$AC$1000,29,FALSE),5)="Terim",VLOOKUP(P166,COPY!$A$1:$AC$1000,29,FALSE),0),0)</f>
        <v>0</v>
      </c>
      <c r="D166" s="457"/>
      <c r="E166" s="457"/>
      <c r="F166" s="458">
        <f>IFERROR(IF(LEFT(VLOOKUP(P166,COPY!$A$1:$AC$1000,29,FALSE),5)="Terim",VLOOKUP(P166,COPY!$A$1:$AC$1000,26,FALSE),0),0)</f>
        <v>0</v>
      </c>
      <c r="G166" s="459">
        <f>IFERROR(VLOOKUP(P166,COPY!$A$1:$L$1000,4,FALSE),0)</f>
        <v>0</v>
      </c>
      <c r="H166" s="457">
        <f>IFERROR(VLOOKUP(P166,COPY!$A$1:$L$1000,2,FALSE),0)</f>
        <v>0</v>
      </c>
      <c r="I166" s="510">
        <f>IFERROR(VLOOKUP(P166,COPY!$A$1:$L$1000,10,FALSE),0)</f>
        <v>0</v>
      </c>
      <c r="J166" s="467">
        <f>IFERROR(VLOOKUP(P166,COPY!$A$1:$L$1000,8,FALSE),0)</f>
        <v>0</v>
      </c>
      <c r="K166" s="457">
        <f>IFERROR(VLOOKUP(P166,COPY!$A$1:$L$1000,7,FALSE),0)</f>
        <v>0</v>
      </c>
      <c r="L166" s="468">
        <f>IFERROR(VLOOKUP(P166,COPY!$A$1:$O$1000,15,FALSE),0)</f>
        <v>0</v>
      </c>
      <c r="M166" s="468">
        <f>IFERROR(VLOOKUP(P166,COPY!$A$1:$L$1000,12,FALSE),0)</f>
        <v>0</v>
      </c>
      <c r="N166" s="471">
        <f>IF(H166="Jasa",VLOOKUP('BKU 3'!K166,'Rekap Gaji'!$D$12:$I$26,6,FALSE),(IF(H166="Beli",VLOOKUP(P166,COPY!$A$1:$L$1000,11,FALSE),IF(H166="Bayar Ongkos",VLOOKUP(K166,'Rekap Gaji'!$D$12:$I$26,6,FALSE),0))))</f>
        <v>0</v>
      </c>
      <c r="O166" s="470"/>
      <c r="P166" s="466" t="str">
        <f t="shared" si="14"/>
        <v/>
      </c>
      <c r="Q166" s="253">
        <f t="shared" si="17"/>
        <v>0</v>
      </c>
      <c r="R166" s="253">
        <f t="shared" si="18"/>
        <v>0</v>
      </c>
      <c r="S166" s="449">
        <f t="shared" si="19"/>
        <v>134</v>
      </c>
      <c r="T166" s="253">
        <f t="shared" si="20"/>
        <v>134</v>
      </c>
      <c r="U166" s="457" t="str">
        <f t="shared" si="15"/>
        <v xml:space="preserve"> </v>
      </c>
    </row>
    <row r="167" spans="1:21" ht="20.100000000000001" hidden="1" customHeight="1" x14ac:dyDescent="0.25">
      <c r="A167" s="470" t="str">
        <f t="shared" si="16"/>
        <v/>
      </c>
      <c r="B167" s="456">
        <f>IF(LEFT(C167,16)="Terima Pajak PPN",VLOOKUP(P167,COPY!$A$1:$AC$1000,21,FALSE),IF(LEFT(C167,16)="Terima Pajak PPH",VLOOKUP(P167,COPY!$A$1:$AC$1000,21,FALSE),IF(LEFT(C167,13)="Terima PPh 23",VLOOKUP(P167,COPY!$A$1:$AC$1000,21,FALSE),0)))</f>
        <v>0</v>
      </c>
      <c r="C167" s="457">
        <f>IFERROR(IF(LEFT(VLOOKUP(P167,COPY!$A$1:$AC$1000,29,FALSE),5)="Terim",VLOOKUP(P167,COPY!$A$1:$AC$1000,29,FALSE),0),0)</f>
        <v>0</v>
      </c>
      <c r="D167" s="457"/>
      <c r="E167" s="457"/>
      <c r="F167" s="458">
        <f>IFERROR(IF(LEFT(VLOOKUP(P167,COPY!$A$1:$AC$1000,29,FALSE),5)="Terim",VLOOKUP(P167,COPY!$A$1:$AC$1000,26,FALSE),0),0)</f>
        <v>0</v>
      </c>
      <c r="G167" s="459">
        <f>IFERROR(VLOOKUP(P167,COPY!$A$1:$L$1000,4,FALSE),0)</f>
        <v>0</v>
      </c>
      <c r="H167" s="457">
        <f>IFERROR(VLOOKUP(P167,COPY!$A$1:$L$1000,2,FALSE),0)</f>
        <v>0</v>
      </c>
      <c r="I167" s="510">
        <f>IFERROR(VLOOKUP(P167,COPY!$A$1:$L$1000,10,FALSE),0)</f>
        <v>0</v>
      </c>
      <c r="J167" s="467">
        <f>IFERROR(VLOOKUP(P167,COPY!$A$1:$L$1000,8,FALSE),0)</f>
        <v>0</v>
      </c>
      <c r="K167" s="457">
        <f>IFERROR(VLOOKUP(P167,COPY!$A$1:$L$1000,7,FALSE),0)</f>
        <v>0</v>
      </c>
      <c r="L167" s="468">
        <f>IFERROR(VLOOKUP(P167,COPY!$A$1:$O$1000,15,FALSE),0)</f>
        <v>0</v>
      </c>
      <c r="M167" s="468">
        <f>IFERROR(VLOOKUP(P167,COPY!$A$1:$L$1000,12,FALSE),0)</f>
        <v>0</v>
      </c>
      <c r="N167" s="471">
        <f>IF(H167="Jasa",VLOOKUP('BKU 3'!K167,'Rekap Gaji'!$D$12:$I$26,6,FALSE),(IF(H167="Beli",VLOOKUP(P167,COPY!$A$1:$L$1000,11,FALSE),IF(H167="Bayar Ongkos",VLOOKUP(K167,'Rekap Gaji'!$D$12:$I$26,6,FALSE),0))))</f>
        <v>0</v>
      </c>
      <c r="O167" s="470"/>
      <c r="P167" s="466" t="str">
        <f t="shared" si="14"/>
        <v/>
      </c>
      <c r="Q167" s="253">
        <f t="shared" si="17"/>
        <v>0</v>
      </c>
      <c r="R167" s="253">
        <f t="shared" si="18"/>
        <v>0</v>
      </c>
      <c r="S167" s="449">
        <f t="shared" si="19"/>
        <v>135</v>
      </c>
      <c r="T167" s="253">
        <f t="shared" si="20"/>
        <v>135</v>
      </c>
      <c r="U167" s="457" t="str">
        <f t="shared" si="15"/>
        <v xml:space="preserve"> </v>
      </c>
    </row>
    <row r="168" spans="1:21" ht="20.100000000000001" hidden="1" customHeight="1" x14ac:dyDescent="0.25">
      <c r="A168" s="470" t="str">
        <f t="shared" si="16"/>
        <v/>
      </c>
      <c r="B168" s="456">
        <f>IF(LEFT(C168,16)="Terima Pajak PPN",VLOOKUP(P168,COPY!$A$1:$AC$1000,21,FALSE),IF(LEFT(C168,16)="Terima Pajak PPH",VLOOKUP(P168,COPY!$A$1:$AC$1000,21,FALSE),IF(LEFT(C168,13)="Terima PPh 23",VLOOKUP(P168,COPY!$A$1:$AC$1000,21,FALSE),0)))</f>
        <v>0</v>
      </c>
      <c r="C168" s="457">
        <f>IFERROR(IF(LEFT(VLOOKUP(P168,COPY!$A$1:$AC$1000,29,FALSE),5)="Terim",VLOOKUP(P168,COPY!$A$1:$AC$1000,29,FALSE),0),0)</f>
        <v>0</v>
      </c>
      <c r="D168" s="457"/>
      <c r="E168" s="457"/>
      <c r="F168" s="458">
        <f>IFERROR(IF(LEFT(VLOOKUP(P168,COPY!$A$1:$AC$1000,29,FALSE),5)="Terim",VLOOKUP(P168,COPY!$A$1:$AC$1000,26,FALSE),0),0)</f>
        <v>0</v>
      </c>
      <c r="G168" s="459">
        <f>IFERROR(VLOOKUP(P168,COPY!$A$1:$L$1000,4,FALSE),0)</f>
        <v>0</v>
      </c>
      <c r="H168" s="457">
        <f>IFERROR(VLOOKUP(P168,COPY!$A$1:$L$1000,2,FALSE),0)</f>
        <v>0</v>
      </c>
      <c r="I168" s="510">
        <f>IFERROR(VLOOKUP(P168,COPY!$A$1:$L$1000,10,FALSE),0)</f>
        <v>0</v>
      </c>
      <c r="J168" s="467">
        <f>IFERROR(VLOOKUP(P168,COPY!$A$1:$L$1000,8,FALSE),0)</f>
        <v>0</v>
      </c>
      <c r="K168" s="457">
        <f>IFERROR(VLOOKUP(P168,COPY!$A$1:$L$1000,7,FALSE),0)</f>
        <v>0</v>
      </c>
      <c r="L168" s="468">
        <f>IFERROR(VLOOKUP(P168,COPY!$A$1:$O$1000,15,FALSE),0)</f>
        <v>0</v>
      </c>
      <c r="M168" s="468">
        <f>IFERROR(VLOOKUP(P168,COPY!$A$1:$L$1000,12,FALSE),0)</f>
        <v>0</v>
      </c>
      <c r="N168" s="471">
        <f>IF(H168="Jasa",VLOOKUP('BKU 3'!K168,'Rekap Gaji'!$D$12:$I$26,6,FALSE),(IF(H168="Beli",VLOOKUP(P168,COPY!$A$1:$L$1000,11,FALSE),IF(H168="Bayar Ongkos",VLOOKUP(K168,'Rekap Gaji'!$D$12:$I$26,6,FALSE),0))))</f>
        <v>0</v>
      </c>
      <c r="O168" s="470"/>
      <c r="P168" s="466" t="str">
        <f t="shared" si="14"/>
        <v/>
      </c>
      <c r="Q168" s="253">
        <f t="shared" si="17"/>
        <v>0</v>
      </c>
      <c r="R168" s="253">
        <f t="shared" si="18"/>
        <v>0</v>
      </c>
      <c r="S168" s="449">
        <f t="shared" si="19"/>
        <v>136</v>
      </c>
      <c r="T168" s="253">
        <f t="shared" si="20"/>
        <v>136</v>
      </c>
      <c r="U168" s="457" t="str">
        <f t="shared" si="15"/>
        <v xml:space="preserve"> </v>
      </c>
    </row>
    <row r="169" spans="1:21" ht="20.100000000000001" hidden="1" customHeight="1" x14ac:dyDescent="0.25">
      <c r="A169" s="470" t="str">
        <f t="shared" si="16"/>
        <v/>
      </c>
      <c r="B169" s="456">
        <f>IF(LEFT(C169,16)="Terima Pajak PPN",VLOOKUP(P169,COPY!$A$1:$AC$1000,21,FALSE),IF(LEFT(C169,16)="Terima Pajak PPH",VLOOKUP(P169,COPY!$A$1:$AC$1000,21,FALSE),IF(LEFT(C169,13)="Terima PPh 23",VLOOKUP(P169,COPY!$A$1:$AC$1000,21,FALSE),0)))</f>
        <v>0</v>
      </c>
      <c r="C169" s="457">
        <f>IFERROR(IF(LEFT(VLOOKUP(P169,COPY!$A$1:$AC$1000,29,FALSE),5)="Terim",VLOOKUP(P169,COPY!$A$1:$AC$1000,29,FALSE),0),0)</f>
        <v>0</v>
      </c>
      <c r="D169" s="457"/>
      <c r="E169" s="457"/>
      <c r="F169" s="458">
        <f>IFERROR(IF(LEFT(VLOOKUP(P169,COPY!$A$1:$AC$1000,29,FALSE),5)="Terim",VLOOKUP(P169,COPY!$A$1:$AC$1000,26,FALSE),0),0)</f>
        <v>0</v>
      </c>
      <c r="G169" s="459">
        <f>IFERROR(VLOOKUP(P169,COPY!$A$1:$L$1000,4,FALSE),0)</f>
        <v>0</v>
      </c>
      <c r="H169" s="457">
        <f>IFERROR(VLOOKUP(P169,COPY!$A$1:$L$1000,2,FALSE),0)</f>
        <v>0</v>
      </c>
      <c r="I169" s="510">
        <f>IFERROR(VLOOKUP(P169,COPY!$A$1:$L$1000,10,FALSE),0)</f>
        <v>0</v>
      </c>
      <c r="J169" s="467">
        <f>IFERROR(VLOOKUP(P169,COPY!$A$1:$L$1000,8,FALSE),0)</f>
        <v>0</v>
      </c>
      <c r="K169" s="457">
        <f>IFERROR(VLOOKUP(P169,COPY!$A$1:$L$1000,7,FALSE),0)</f>
        <v>0</v>
      </c>
      <c r="L169" s="468">
        <f>IFERROR(VLOOKUP(P169,COPY!$A$1:$O$1000,15,FALSE),0)</f>
        <v>0</v>
      </c>
      <c r="M169" s="468">
        <f>IFERROR(VLOOKUP(P169,COPY!$A$1:$L$1000,12,FALSE),0)</f>
        <v>0</v>
      </c>
      <c r="N169" s="471">
        <f>IF(H169="Jasa",VLOOKUP('BKU 3'!K169,'Rekap Gaji'!$D$12:$I$26,6,FALSE),(IF(H169="Beli",VLOOKUP(P169,COPY!$A$1:$L$1000,11,FALSE),IF(H169="Bayar Ongkos",VLOOKUP(K169,'Rekap Gaji'!$D$12:$I$26,6,FALSE),0))))</f>
        <v>0</v>
      </c>
      <c r="O169" s="470"/>
      <c r="P169" s="466" t="str">
        <f t="shared" si="14"/>
        <v/>
      </c>
      <c r="Q169" s="253">
        <f t="shared" si="17"/>
        <v>0</v>
      </c>
      <c r="R169" s="253">
        <f t="shared" si="18"/>
        <v>0</v>
      </c>
      <c r="S169" s="449">
        <f t="shared" si="19"/>
        <v>137</v>
      </c>
      <c r="T169" s="253">
        <f t="shared" si="20"/>
        <v>137</v>
      </c>
      <c r="U169" s="457" t="str">
        <f t="shared" si="15"/>
        <v xml:space="preserve"> </v>
      </c>
    </row>
    <row r="170" spans="1:21" ht="20.100000000000001" hidden="1" customHeight="1" x14ac:dyDescent="0.25">
      <c r="A170" s="470" t="str">
        <f t="shared" si="16"/>
        <v/>
      </c>
      <c r="B170" s="456">
        <f>IF(LEFT(C170,16)="Terima Pajak PPN",VLOOKUP(P170,COPY!$A$1:$AC$1000,21,FALSE),IF(LEFT(C170,16)="Terima Pajak PPH",VLOOKUP(P170,COPY!$A$1:$AC$1000,21,FALSE),IF(LEFT(C170,13)="Terima PPh 23",VLOOKUP(P170,COPY!$A$1:$AC$1000,21,FALSE),0)))</f>
        <v>0</v>
      </c>
      <c r="C170" s="457">
        <f>IFERROR(IF(LEFT(VLOOKUP(P170,COPY!$A$1:$AC$1000,29,FALSE),5)="Terim",VLOOKUP(P170,COPY!$A$1:$AC$1000,29,FALSE),0),0)</f>
        <v>0</v>
      </c>
      <c r="D170" s="457"/>
      <c r="E170" s="457"/>
      <c r="F170" s="458">
        <f>IFERROR(IF(LEFT(VLOOKUP(P170,COPY!$A$1:$AC$1000,29,FALSE),5)="Terim",VLOOKUP(P170,COPY!$A$1:$AC$1000,26,FALSE),0),0)</f>
        <v>0</v>
      </c>
      <c r="G170" s="459">
        <f>IFERROR(VLOOKUP(P170,COPY!$A$1:$L$1000,4,FALSE),0)</f>
        <v>0</v>
      </c>
      <c r="H170" s="457">
        <f>IFERROR(VLOOKUP(P170,COPY!$A$1:$L$1000,2,FALSE),0)</f>
        <v>0</v>
      </c>
      <c r="I170" s="510">
        <f>IFERROR(VLOOKUP(P170,COPY!$A$1:$L$1000,10,FALSE),0)</f>
        <v>0</v>
      </c>
      <c r="J170" s="467">
        <f>IFERROR(VLOOKUP(P170,COPY!$A$1:$L$1000,8,FALSE),0)</f>
        <v>0</v>
      </c>
      <c r="K170" s="457">
        <f>IFERROR(VLOOKUP(P170,COPY!$A$1:$L$1000,7,FALSE),0)</f>
        <v>0</v>
      </c>
      <c r="L170" s="468">
        <f>IFERROR(VLOOKUP(P170,COPY!$A$1:$O$1000,15,FALSE),0)</f>
        <v>0</v>
      </c>
      <c r="M170" s="468">
        <f>IFERROR(VLOOKUP(P170,COPY!$A$1:$L$1000,12,FALSE),0)</f>
        <v>0</v>
      </c>
      <c r="N170" s="471">
        <f>IF(H170="Jasa",VLOOKUP('BKU 3'!K170,'Rekap Gaji'!$D$12:$I$26,6,FALSE),(IF(H170="Beli",VLOOKUP(P170,COPY!$A$1:$L$1000,11,FALSE),IF(H170="Bayar Ongkos",VLOOKUP(K170,'Rekap Gaji'!$D$12:$I$26,6,FALSE),0))))</f>
        <v>0</v>
      </c>
      <c r="O170" s="470"/>
      <c r="P170" s="466" t="str">
        <f t="shared" si="14"/>
        <v/>
      </c>
      <c r="Q170" s="253">
        <f t="shared" si="17"/>
        <v>0</v>
      </c>
      <c r="R170" s="253">
        <f t="shared" si="18"/>
        <v>0</v>
      </c>
      <c r="S170" s="449">
        <f t="shared" si="19"/>
        <v>138</v>
      </c>
      <c r="T170" s="253">
        <f t="shared" si="20"/>
        <v>138</v>
      </c>
      <c r="U170" s="457" t="str">
        <f t="shared" si="15"/>
        <v xml:space="preserve"> </v>
      </c>
    </row>
    <row r="171" spans="1:21" ht="20.100000000000001" hidden="1" customHeight="1" x14ac:dyDescent="0.25">
      <c r="A171" s="470" t="str">
        <f t="shared" si="16"/>
        <v/>
      </c>
      <c r="B171" s="456">
        <f>IF(LEFT(C171,16)="Terima Pajak PPN",VLOOKUP(P171,COPY!$A$1:$AC$1000,21,FALSE),IF(LEFT(C171,16)="Terima Pajak PPH",VLOOKUP(P171,COPY!$A$1:$AC$1000,21,FALSE),IF(LEFT(C171,13)="Terima PPh 23",VLOOKUP(P171,COPY!$A$1:$AC$1000,21,FALSE),0)))</f>
        <v>0</v>
      </c>
      <c r="C171" s="457">
        <f>IFERROR(IF(LEFT(VLOOKUP(P171,COPY!$A$1:$AC$1000,29,FALSE),5)="Terim",VLOOKUP(P171,COPY!$A$1:$AC$1000,29,FALSE),0),0)</f>
        <v>0</v>
      </c>
      <c r="D171" s="457"/>
      <c r="E171" s="457"/>
      <c r="F171" s="458">
        <f>IFERROR(IF(LEFT(VLOOKUP(P171,COPY!$A$1:$AC$1000,29,FALSE),5)="Terim",VLOOKUP(P171,COPY!$A$1:$AC$1000,26,FALSE),0),0)</f>
        <v>0</v>
      </c>
      <c r="G171" s="459">
        <f>IFERROR(VLOOKUP(P171,COPY!$A$1:$L$1000,4,FALSE),0)</f>
        <v>0</v>
      </c>
      <c r="H171" s="457">
        <f>IFERROR(VLOOKUP(P171,COPY!$A$1:$L$1000,2,FALSE),0)</f>
        <v>0</v>
      </c>
      <c r="I171" s="510">
        <f>IFERROR(VLOOKUP(P171,COPY!$A$1:$L$1000,10,FALSE),0)</f>
        <v>0</v>
      </c>
      <c r="J171" s="467">
        <f>IFERROR(VLOOKUP(P171,COPY!$A$1:$L$1000,8,FALSE),0)</f>
        <v>0</v>
      </c>
      <c r="K171" s="457">
        <f>IFERROR(VLOOKUP(P171,COPY!$A$1:$L$1000,7,FALSE),0)</f>
        <v>0</v>
      </c>
      <c r="L171" s="468">
        <f>IFERROR(VLOOKUP(P171,COPY!$A$1:$O$1000,15,FALSE),0)</f>
        <v>0</v>
      </c>
      <c r="M171" s="468">
        <f>IFERROR(VLOOKUP(P171,COPY!$A$1:$L$1000,12,FALSE),0)</f>
        <v>0</v>
      </c>
      <c r="N171" s="471">
        <f>IF(H171="Jasa",VLOOKUP('BKU 3'!K171,'Rekap Gaji'!$D$12:$I$26,6,FALSE),(IF(H171="Beli",VLOOKUP(P171,COPY!$A$1:$L$1000,11,FALSE),IF(H171="Bayar Ongkos",VLOOKUP(K171,'Rekap Gaji'!$D$12:$I$26,6,FALSE),0))))</f>
        <v>0</v>
      </c>
      <c r="O171" s="470"/>
      <c r="P171" s="466" t="str">
        <f t="shared" si="14"/>
        <v/>
      </c>
      <c r="Q171" s="253">
        <f t="shared" si="17"/>
        <v>0</v>
      </c>
      <c r="R171" s="253">
        <f t="shared" si="18"/>
        <v>0</v>
      </c>
      <c r="S171" s="449">
        <f t="shared" si="19"/>
        <v>139</v>
      </c>
      <c r="T171" s="253">
        <f t="shared" si="20"/>
        <v>139</v>
      </c>
      <c r="U171" s="457" t="str">
        <f t="shared" si="15"/>
        <v xml:space="preserve"> </v>
      </c>
    </row>
    <row r="172" spans="1:21" ht="20.100000000000001" hidden="1" customHeight="1" x14ac:dyDescent="0.25">
      <c r="A172" s="470" t="str">
        <f t="shared" si="16"/>
        <v/>
      </c>
      <c r="B172" s="456">
        <f>IF(LEFT(C172,16)="Terima Pajak PPN",VLOOKUP(P172,COPY!$A$1:$AC$1000,21,FALSE),IF(LEFT(C172,16)="Terima Pajak PPH",VLOOKUP(P172,COPY!$A$1:$AC$1000,21,FALSE),IF(LEFT(C172,13)="Terima PPh 23",VLOOKUP(P172,COPY!$A$1:$AC$1000,21,FALSE),0)))</f>
        <v>0</v>
      </c>
      <c r="C172" s="457">
        <f>IFERROR(IF(LEFT(VLOOKUP(P172,COPY!$A$1:$AC$1000,29,FALSE),5)="Terim",VLOOKUP(P172,COPY!$A$1:$AC$1000,29,FALSE),0),0)</f>
        <v>0</v>
      </c>
      <c r="D172" s="457"/>
      <c r="E172" s="457"/>
      <c r="F172" s="458">
        <f>IFERROR(IF(LEFT(VLOOKUP(P172,COPY!$A$1:$AC$1000,29,FALSE),5)="Terim",VLOOKUP(P172,COPY!$A$1:$AC$1000,26,FALSE),0),0)</f>
        <v>0</v>
      </c>
      <c r="G172" s="459">
        <f>IFERROR(VLOOKUP(P172,COPY!$A$1:$L$1000,4,FALSE),0)</f>
        <v>0</v>
      </c>
      <c r="H172" s="457">
        <f>IFERROR(VLOOKUP(P172,COPY!$A$1:$L$1000,2,FALSE),0)</f>
        <v>0</v>
      </c>
      <c r="I172" s="510">
        <f>IFERROR(VLOOKUP(P172,COPY!$A$1:$L$1000,10,FALSE),0)</f>
        <v>0</v>
      </c>
      <c r="J172" s="467">
        <f>IFERROR(VLOOKUP(P172,COPY!$A$1:$L$1000,8,FALSE),0)</f>
        <v>0</v>
      </c>
      <c r="K172" s="457">
        <f>IFERROR(VLOOKUP(P172,COPY!$A$1:$L$1000,7,FALSE),0)</f>
        <v>0</v>
      </c>
      <c r="L172" s="468">
        <f>IFERROR(VLOOKUP(P172,COPY!$A$1:$O$1000,15,FALSE),0)</f>
        <v>0</v>
      </c>
      <c r="M172" s="468">
        <f>IFERROR(VLOOKUP(P172,COPY!$A$1:$L$1000,12,FALSE),0)</f>
        <v>0</v>
      </c>
      <c r="N172" s="471">
        <f>IF(H172="Jasa",VLOOKUP('BKU 3'!K172,'Rekap Gaji'!$D$12:$I$26,6,FALSE),(IF(H172="Beli",VLOOKUP(P172,COPY!$A$1:$L$1000,11,FALSE),IF(H172="Bayar Ongkos",VLOOKUP(K172,'Rekap Gaji'!$D$12:$I$26,6,FALSE),0))))</f>
        <v>0</v>
      </c>
      <c r="O172" s="470"/>
      <c r="P172" s="466" t="str">
        <f t="shared" si="14"/>
        <v/>
      </c>
      <c r="Q172" s="253">
        <f t="shared" si="17"/>
        <v>0</v>
      </c>
      <c r="R172" s="253">
        <f t="shared" si="18"/>
        <v>0</v>
      </c>
      <c r="S172" s="449">
        <f t="shared" si="19"/>
        <v>140</v>
      </c>
      <c r="T172" s="253">
        <f t="shared" si="20"/>
        <v>140</v>
      </c>
      <c r="U172" s="457" t="str">
        <f t="shared" si="15"/>
        <v xml:space="preserve"> </v>
      </c>
    </row>
    <row r="173" spans="1:21" ht="20.100000000000001" hidden="1" customHeight="1" x14ac:dyDescent="0.25">
      <c r="A173" s="470" t="str">
        <f t="shared" si="16"/>
        <v/>
      </c>
      <c r="B173" s="456">
        <f>IF(LEFT(C173,16)="Terima Pajak PPN",VLOOKUP(P173,COPY!$A$1:$AC$1000,21,FALSE),IF(LEFT(C173,16)="Terima Pajak PPH",VLOOKUP(P173,COPY!$A$1:$AC$1000,21,FALSE),IF(LEFT(C173,13)="Terima PPh 23",VLOOKUP(P173,COPY!$A$1:$AC$1000,21,FALSE),0)))</f>
        <v>0</v>
      </c>
      <c r="C173" s="457">
        <f>IFERROR(IF(LEFT(VLOOKUP(P173,COPY!$A$1:$AC$1000,29,FALSE),5)="Terim",VLOOKUP(P173,COPY!$A$1:$AC$1000,29,FALSE),0),0)</f>
        <v>0</v>
      </c>
      <c r="D173" s="457"/>
      <c r="E173" s="457"/>
      <c r="F173" s="458">
        <f>IFERROR(IF(LEFT(VLOOKUP(P173,COPY!$A$1:$AC$1000,29,FALSE),5)="Terim",VLOOKUP(P173,COPY!$A$1:$AC$1000,26,FALSE),0),0)</f>
        <v>0</v>
      </c>
      <c r="G173" s="459">
        <f>IFERROR(VLOOKUP(P173,COPY!$A$1:$L$1000,4,FALSE),0)</f>
        <v>0</v>
      </c>
      <c r="H173" s="457">
        <f>IFERROR(VLOOKUP(P173,COPY!$A$1:$L$1000,2,FALSE),0)</f>
        <v>0</v>
      </c>
      <c r="I173" s="510">
        <f>IFERROR(VLOOKUP(P173,COPY!$A$1:$L$1000,10,FALSE),0)</f>
        <v>0</v>
      </c>
      <c r="J173" s="467">
        <f>IFERROR(VLOOKUP(P173,COPY!$A$1:$L$1000,8,FALSE),0)</f>
        <v>0</v>
      </c>
      <c r="K173" s="457">
        <f>IFERROR(VLOOKUP(P173,COPY!$A$1:$L$1000,7,FALSE),0)</f>
        <v>0</v>
      </c>
      <c r="L173" s="468">
        <f>IFERROR(VLOOKUP(P173,COPY!$A$1:$O$1000,15,FALSE),0)</f>
        <v>0</v>
      </c>
      <c r="M173" s="468">
        <f>IFERROR(VLOOKUP(P173,COPY!$A$1:$L$1000,12,FALSE),0)</f>
        <v>0</v>
      </c>
      <c r="N173" s="471">
        <f>IF(H173="Jasa",VLOOKUP('BKU 3'!K173,'Rekap Gaji'!$D$12:$I$26,6,FALSE),(IF(H173="Beli",VLOOKUP(P173,COPY!$A$1:$L$1000,11,FALSE),IF(H173="Bayar Ongkos",VLOOKUP(K173,'Rekap Gaji'!$D$12:$I$26,6,FALSE),0))))</f>
        <v>0</v>
      </c>
      <c r="O173" s="470"/>
      <c r="P173" s="466" t="str">
        <f t="shared" si="14"/>
        <v/>
      </c>
      <c r="Q173" s="253">
        <f t="shared" si="17"/>
        <v>0</v>
      </c>
      <c r="R173" s="253">
        <f t="shared" si="18"/>
        <v>0</v>
      </c>
      <c r="S173" s="449">
        <f t="shared" si="19"/>
        <v>141</v>
      </c>
      <c r="T173" s="253">
        <f t="shared" si="20"/>
        <v>141</v>
      </c>
      <c r="U173" s="457" t="str">
        <f t="shared" si="15"/>
        <v xml:space="preserve"> </v>
      </c>
    </row>
    <row r="174" spans="1:21" ht="20.100000000000001" hidden="1" customHeight="1" x14ac:dyDescent="0.25">
      <c r="A174" s="470" t="str">
        <f t="shared" si="16"/>
        <v/>
      </c>
      <c r="B174" s="456">
        <f>IF(LEFT(C174,16)="Terima Pajak PPN",VLOOKUP(P174,COPY!$A$1:$AC$1000,21,FALSE),IF(LEFT(C174,16)="Terima Pajak PPH",VLOOKUP(P174,COPY!$A$1:$AC$1000,21,FALSE),IF(LEFT(C174,13)="Terima PPh 23",VLOOKUP(P174,COPY!$A$1:$AC$1000,21,FALSE),0)))</f>
        <v>0</v>
      </c>
      <c r="C174" s="457">
        <f>IFERROR(IF(LEFT(VLOOKUP(P174,COPY!$A$1:$AC$1000,29,FALSE),5)="Terim",VLOOKUP(P174,COPY!$A$1:$AC$1000,29,FALSE),0),0)</f>
        <v>0</v>
      </c>
      <c r="D174" s="457"/>
      <c r="E174" s="457"/>
      <c r="F174" s="458">
        <f>IFERROR(IF(LEFT(VLOOKUP(P174,COPY!$A$1:$AC$1000,29,FALSE),5)="Terim",VLOOKUP(P174,COPY!$A$1:$AC$1000,26,FALSE),0),0)</f>
        <v>0</v>
      </c>
      <c r="G174" s="459">
        <f>IFERROR(VLOOKUP(P174,COPY!$A$1:$L$1000,4,FALSE),0)</f>
        <v>0</v>
      </c>
      <c r="H174" s="457">
        <f>IFERROR(VLOOKUP(P174,COPY!$A$1:$L$1000,2,FALSE),0)</f>
        <v>0</v>
      </c>
      <c r="I174" s="510">
        <f>IFERROR(VLOOKUP(P174,COPY!$A$1:$L$1000,10,FALSE),0)</f>
        <v>0</v>
      </c>
      <c r="J174" s="467">
        <f>IFERROR(VLOOKUP(P174,COPY!$A$1:$L$1000,8,FALSE),0)</f>
        <v>0</v>
      </c>
      <c r="K174" s="457">
        <f>IFERROR(VLOOKUP(P174,COPY!$A$1:$L$1000,7,FALSE),0)</f>
        <v>0</v>
      </c>
      <c r="L174" s="468">
        <f>IFERROR(VLOOKUP(P174,COPY!$A$1:$O$1000,15,FALSE),0)</f>
        <v>0</v>
      </c>
      <c r="M174" s="468">
        <f>IFERROR(VLOOKUP(P174,COPY!$A$1:$L$1000,12,FALSE),0)</f>
        <v>0</v>
      </c>
      <c r="N174" s="471">
        <f>IF(H174="Jasa",VLOOKUP('BKU 3'!K174,'Rekap Gaji'!$D$12:$I$26,6,FALSE),(IF(H174="Beli",VLOOKUP(P174,COPY!$A$1:$L$1000,11,FALSE),IF(H174="Bayar Ongkos",VLOOKUP(K174,'Rekap Gaji'!$D$12:$I$26,6,FALSE),0))))</f>
        <v>0</v>
      </c>
      <c r="O174" s="470"/>
      <c r="P174" s="466" t="str">
        <f t="shared" si="14"/>
        <v/>
      </c>
      <c r="Q174" s="253">
        <f t="shared" si="17"/>
        <v>0</v>
      </c>
      <c r="R174" s="253">
        <f t="shared" si="18"/>
        <v>0</v>
      </c>
      <c r="S174" s="449">
        <f t="shared" si="19"/>
        <v>142</v>
      </c>
      <c r="T174" s="253">
        <f t="shared" si="20"/>
        <v>142</v>
      </c>
      <c r="U174" s="457" t="str">
        <f t="shared" si="15"/>
        <v xml:space="preserve"> </v>
      </c>
    </row>
    <row r="175" spans="1:21" ht="20.100000000000001" hidden="1" customHeight="1" x14ac:dyDescent="0.25">
      <c r="A175" s="470" t="str">
        <f t="shared" si="16"/>
        <v/>
      </c>
      <c r="B175" s="456">
        <f>IF(LEFT(C175,16)="Terima Pajak PPN",VLOOKUP(P175,COPY!$A$1:$AC$1000,21,FALSE),IF(LEFT(C175,16)="Terima Pajak PPH",VLOOKUP(P175,COPY!$A$1:$AC$1000,21,FALSE),IF(LEFT(C175,13)="Terima PPh 23",VLOOKUP(P175,COPY!$A$1:$AC$1000,21,FALSE),0)))</f>
        <v>0</v>
      </c>
      <c r="C175" s="457">
        <f>IFERROR(IF(LEFT(VLOOKUP(P175,COPY!$A$1:$AC$1000,29,FALSE),5)="Terim",VLOOKUP(P175,COPY!$A$1:$AC$1000,29,FALSE),0),0)</f>
        <v>0</v>
      </c>
      <c r="D175" s="457"/>
      <c r="E175" s="457"/>
      <c r="F175" s="458">
        <f>IFERROR(IF(LEFT(VLOOKUP(P175,COPY!$A$1:$AC$1000,29,FALSE),5)="Terim",VLOOKUP(P175,COPY!$A$1:$AC$1000,26,FALSE),0),0)</f>
        <v>0</v>
      </c>
      <c r="G175" s="459">
        <f>IFERROR(VLOOKUP(P175,COPY!$A$1:$L$1000,4,FALSE),0)</f>
        <v>0</v>
      </c>
      <c r="H175" s="457">
        <f>IFERROR(VLOOKUP(P175,COPY!$A$1:$L$1000,2,FALSE),0)</f>
        <v>0</v>
      </c>
      <c r="I175" s="510">
        <f>IFERROR(VLOOKUP(P175,COPY!$A$1:$L$1000,10,FALSE),0)</f>
        <v>0</v>
      </c>
      <c r="J175" s="467">
        <f>IFERROR(VLOOKUP(P175,COPY!$A$1:$L$1000,8,FALSE),0)</f>
        <v>0</v>
      </c>
      <c r="K175" s="457">
        <f>IFERROR(VLOOKUP(P175,COPY!$A$1:$L$1000,7,FALSE),0)</f>
        <v>0</v>
      </c>
      <c r="L175" s="468">
        <f>IFERROR(VLOOKUP(P175,COPY!$A$1:$O$1000,15,FALSE),0)</f>
        <v>0</v>
      </c>
      <c r="M175" s="468">
        <f>IFERROR(VLOOKUP(P175,COPY!$A$1:$L$1000,12,FALSE),0)</f>
        <v>0</v>
      </c>
      <c r="N175" s="471">
        <f>IF(H175="Jasa",VLOOKUP('BKU 3'!K175,'Rekap Gaji'!$D$12:$I$26,6,FALSE),(IF(H175="Beli",VLOOKUP(P175,COPY!$A$1:$L$1000,11,FALSE),IF(H175="Bayar Ongkos",VLOOKUP(K175,'Rekap Gaji'!$D$12:$I$26,6,FALSE),0))))</f>
        <v>0</v>
      </c>
      <c r="O175" s="470"/>
      <c r="P175" s="466" t="str">
        <f t="shared" si="14"/>
        <v/>
      </c>
      <c r="Q175" s="253">
        <f t="shared" si="17"/>
        <v>0</v>
      </c>
      <c r="R175" s="253">
        <f t="shared" si="18"/>
        <v>0</v>
      </c>
      <c r="S175" s="449">
        <f t="shared" si="19"/>
        <v>143</v>
      </c>
      <c r="T175" s="253">
        <f t="shared" si="20"/>
        <v>143</v>
      </c>
      <c r="U175" s="457" t="str">
        <f t="shared" si="15"/>
        <v xml:space="preserve"> </v>
      </c>
    </row>
    <row r="176" spans="1:21" ht="20.100000000000001" hidden="1" customHeight="1" x14ac:dyDescent="0.25">
      <c r="A176" s="470" t="str">
        <f t="shared" si="16"/>
        <v/>
      </c>
      <c r="B176" s="456">
        <f>IF(LEFT(C176,16)="Terima Pajak PPN",VLOOKUP(P176,COPY!$A$1:$AC$1000,21,FALSE),IF(LEFT(C176,16)="Terima Pajak PPH",VLOOKUP(P176,COPY!$A$1:$AC$1000,21,FALSE),IF(LEFT(C176,13)="Terima PPh 23",VLOOKUP(P176,COPY!$A$1:$AC$1000,21,FALSE),0)))</f>
        <v>0</v>
      </c>
      <c r="C176" s="457">
        <f>IFERROR(IF(LEFT(VLOOKUP(P176,COPY!$A$1:$AC$1000,29,FALSE),5)="Terim",VLOOKUP(P176,COPY!$A$1:$AC$1000,29,FALSE),0),0)</f>
        <v>0</v>
      </c>
      <c r="D176" s="457"/>
      <c r="E176" s="457"/>
      <c r="F176" s="458">
        <f>IFERROR(IF(LEFT(VLOOKUP(P176,COPY!$A$1:$AC$1000,29,FALSE),5)="Terim",VLOOKUP(P176,COPY!$A$1:$AC$1000,26,FALSE),0),0)</f>
        <v>0</v>
      </c>
      <c r="G176" s="459">
        <f>IFERROR(VLOOKUP(P176,COPY!$A$1:$L$1000,4,FALSE),0)</f>
        <v>0</v>
      </c>
      <c r="H176" s="457">
        <f>IFERROR(VLOOKUP(P176,COPY!$A$1:$L$1000,2,FALSE),0)</f>
        <v>0</v>
      </c>
      <c r="I176" s="510">
        <f>IFERROR(VLOOKUP(P176,COPY!$A$1:$L$1000,10,FALSE),0)</f>
        <v>0</v>
      </c>
      <c r="J176" s="467">
        <f>IFERROR(VLOOKUP(P176,COPY!$A$1:$L$1000,8,FALSE),0)</f>
        <v>0</v>
      </c>
      <c r="K176" s="457">
        <f>IFERROR(VLOOKUP(P176,COPY!$A$1:$L$1000,7,FALSE),0)</f>
        <v>0</v>
      </c>
      <c r="L176" s="468">
        <f>IFERROR(VLOOKUP(P176,COPY!$A$1:$O$1000,15,FALSE),0)</f>
        <v>0</v>
      </c>
      <c r="M176" s="468">
        <f>IFERROR(VLOOKUP(P176,COPY!$A$1:$L$1000,12,FALSE),0)</f>
        <v>0</v>
      </c>
      <c r="N176" s="471">
        <f>IF(H176="Jasa",VLOOKUP('BKU 3'!K176,'Rekap Gaji'!$D$12:$I$26,6,FALSE),(IF(H176="Beli",VLOOKUP(P176,COPY!$A$1:$L$1000,11,FALSE),IF(H176="Bayar Ongkos",VLOOKUP(K176,'Rekap Gaji'!$D$12:$I$26,6,FALSE),0))))</f>
        <v>0</v>
      </c>
      <c r="O176" s="470"/>
      <c r="P176" s="466" t="str">
        <f t="shared" si="14"/>
        <v/>
      </c>
      <c r="Q176" s="253">
        <f t="shared" si="17"/>
        <v>0</v>
      </c>
      <c r="R176" s="253">
        <f t="shared" si="18"/>
        <v>0</v>
      </c>
      <c r="S176" s="449">
        <f t="shared" si="19"/>
        <v>144</v>
      </c>
      <c r="T176" s="253">
        <f t="shared" si="20"/>
        <v>144</v>
      </c>
      <c r="U176" s="457" t="str">
        <f t="shared" si="15"/>
        <v xml:space="preserve"> </v>
      </c>
    </row>
    <row r="177" spans="1:21" ht="20.100000000000001" hidden="1" customHeight="1" x14ac:dyDescent="0.25">
      <c r="A177" s="470" t="str">
        <f t="shared" si="16"/>
        <v/>
      </c>
      <c r="B177" s="456">
        <f>IF(LEFT(C177,16)="Terima Pajak PPN",VLOOKUP(P177,COPY!$A$1:$AC$1000,21,FALSE),IF(LEFT(C177,16)="Terima Pajak PPH",VLOOKUP(P177,COPY!$A$1:$AC$1000,21,FALSE),IF(LEFT(C177,13)="Terima PPh 23",VLOOKUP(P177,COPY!$A$1:$AC$1000,21,FALSE),0)))</f>
        <v>0</v>
      </c>
      <c r="C177" s="457">
        <f>IFERROR(IF(LEFT(VLOOKUP(P177,COPY!$A$1:$AC$1000,29,FALSE),5)="Terim",VLOOKUP(P177,COPY!$A$1:$AC$1000,29,FALSE),0),0)</f>
        <v>0</v>
      </c>
      <c r="D177" s="457"/>
      <c r="E177" s="457"/>
      <c r="F177" s="458">
        <f>IFERROR(IF(LEFT(VLOOKUP(P177,COPY!$A$1:$AC$1000,29,FALSE),5)="Terim",VLOOKUP(P177,COPY!$A$1:$AC$1000,26,FALSE),0),0)</f>
        <v>0</v>
      </c>
      <c r="G177" s="459">
        <f>IFERROR(VLOOKUP(P177,COPY!$A$1:$L$1000,4,FALSE),0)</f>
        <v>0</v>
      </c>
      <c r="H177" s="457">
        <f>IFERROR(VLOOKUP(P177,COPY!$A$1:$L$1000,2,FALSE),0)</f>
        <v>0</v>
      </c>
      <c r="I177" s="510">
        <f>IFERROR(VLOOKUP(P177,COPY!$A$1:$L$1000,10,FALSE),0)</f>
        <v>0</v>
      </c>
      <c r="J177" s="467">
        <f>IFERROR(VLOOKUP(P177,COPY!$A$1:$L$1000,8,FALSE),0)</f>
        <v>0</v>
      </c>
      <c r="K177" s="457">
        <f>IFERROR(VLOOKUP(P177,COPY!$A$1:$L$1000,7,FALSE),0)</f>
        <v>0</v>
      </c>
      <c r="L177" s="468">
        <f>IFERROR(VLOOKUP(P177,COPY!$A$1:$O$1000,15,FALSE),0)</f>
        <v>0</v>
      </c>
      <c r="M177" s="468">
        <f>IFERROR(VLOOKUP(P177,COPY!$A$1:$L$1000,12,FALSE),0)</f>
        <v>0</v>
      </c>
      <c r="N177" s="471">
        <f>IF(H177="Jasa",VLOOKUP('BKU 3'!K177,'Rekap Gaji'!$D$12:$I$26,6,FALSE),(IF(H177="Beli",VLOOKUP(P177,COPY!$A$1:$L$1000,11,FALSE),IF(H177="Bayar Ongkos",VLOOKUP(K177,'Rekap Gaji'!$D$12:$I$26,6,FALSE),0))))</f>
        <v>0</v>
      </c>
      <c r="O177" s="470"/>
      <c r="P177" s="466" t="str">
        <f t="shared" si="14"/>
        <v/>
      </c>
      <c r="Q177" s="253">
        <f t="shared" si="17"/>
        <v>0</v>
      </c>
      <c r="R177" s="253">
        <f t="shared" si="18"/>
        <v>0</v>
      </c>
      <c r="S177" s="449">
        <f t="shared" si="19"/>
        <v>145</v>
      </c>
      <c r="T177" s="253">
        <f t="shared" si="20"/>
        <v>145</v>
      </c>
      <c r="U177" s="457" t="str">
        <f t="shared" si="15"/>
        <v xml:space="preserve"> </v>
      </c>
    </row>
    <row r="178" spans="1:21" ht="20.100000000000001" hidden="1" customHeight="1" x14ac:dyDescent="0.25">
      <c r="A178" s="470" t="str">
        <f t="shared" si="16"/>
        <v/>
      </c>
      <c r="B178" s="456">
        <f>IF(LEFT(C178,16)="Terima Pajak PPN",VLOOKUP(P178,COPY!$A$1:$AC$1000,21,FALSE),IF(LEFT(C178,16)="Terima Pajak PPH",VLOOKUP(P178,COPY!$A$1:$AC$1000,21,FALSE),IF(LEFT(C178,13)="Terima PPh 23",VLOOKUP(P178,COPY!$A$1:$AC$1000,21,FALSE),0)))</f>
        <v>0</v>
      </c>
      <c r="C178" s="457">
        <f>IFERROR(IF(LEFT(VLOOKUP(P178,COPY!$A$1:$AC$1000,29,FALSE),5)="Terim",VLOOKUP(P178,COPY!$A$1:$AC$1000,29,FALSE),0),0)</f>
        <v>0</v>
      </c>
      <c r="D178" s="457"/>
      <c r="E178" s="457"/>
      <c r="F178" s="458">
        <f>IFERROR(IF(LEFT(VLOOKUP(P178,COPY!$A$1:$AC$1000,29,FALSE),5)="Terim",VLOOKUP(P178,COPY!$A$1:$AC$1000,26,FALSE),0),0)</f>
        <v>0</v>
      </c>
      <c r="G178" s="459">
        <f>IFERROR(VLOOKUP(P178,COPY!$A$1:$L$1000,4,FALSE),0)</f>
        <v>0</v>
      </c>
      <c r="H178" s="457">
        <f>IFERROR(VLOOKUP(P178,COPY!$A$1:$L$1000,2,FALSE),0)</f>
        <v>0</v>
      </c>
      <c r="I178" s="510">
        <f>IFERROR(VLOOKUP(P178,COPY!$A$1:$L$1000,10,FALSE),0)</f>
        <v>0</v>
      </c>
      <c r="J178" s="467">
        <f>IFERROR(VLOOKUP(P178,COPY!$A$1:$L$1000,8,FALSE),0)</f>
        <v>0</v>
      </c>
      <c r="K178" s="457">
        <f>IFERROR(VLOOKUP(P178,COPY!$A$1:$L$1000,7,FALSE),0)</f>
        <v>0</v>
      </c>
      <c r="L178" s="468">
        <f>IFERROR(VLOOKUP(P178,COPY!$A$1:$O$1000,15,FALSE),0)</f>
        <v>0</v>
      </c>
      <c r="M178" s="468">
        <f>IFERROR(VLOOKUP(P178,COPY!$A$1:$L$1000,12,FALSE),0)</f>
        <v>0</v>
      </c>
      <c r="N178" s="471">
        <f>IF(H178="Jasa",VLOOKUP('BKU 3'!K178,'Rekap Gaji'!$D$12:$I$26,6,FALSE),(IF(H178="Beli",VLOOKUP(P178,COPY!$A$1:$L$1000,11,FALSE),IF(H178="Bayar Ongkos",VLOOKUP(K178,'Rekap Gaji'!$D$12:$I$26,6,FALSE),0))))</f>
        <v>0</v>
      </c>
      <c r="O178" s="470"/>
      <c r="P178" s="466" t="str">
        <f t="shared" si="14"/>
        <v/>
      </c>
      <c r="Q178" s="253">
        <f t="shared" si="17"/>
        <v>0</v>
      </c>
      <c r="R178" s="253">
        <f t="shared" si="18"/>
        <v>0</v>
      </c>
      <c r="S178" s="449">
        <f t="shared" si="19"/>
        <v>146</v>
      </c>
      <c r="T178" s="253">
        <f t="shared" si="20"/>
        <v>146</v>
      </c>
      <c r="U178" s="457" t="str">
        <f t="shared" si="15"/>
        <v xml:space="preserve"> </v>
      </c>
    </row>
    <row r="179" spans="1:21" ht="20.100000000000001" hidden="1" customHeight="1" x14ac:dyDescent="0.25">
      <c r="A179" s="470" t="str">
        <f t="shared" si="16"/>
        <v/>
      </c>
      <c r="B179" s="456">
        <f>IF(LEFT(C179,16)="Terima Pajak PPN",VLOOKUP(P179,COPY!$A$1:$AC$1000,21,FALSE),IF(LEFT(C179,16)="Terima Pajak PPH",VLOOKUP(P179,COPY!$A$1:$AC$1000,21,FALSE),IF(LEFT(C179,13)="Terima PPh 23",VLOOKUP(P179,COPY!$A$1:$AC$1000,21,FALSE),0)))</f>
        <v>0</v>
      </c>
      <c r="C179" s="457">
        <f>IFERROR(IF(LEFT(VLOOKUP(P179,COPY!$A$1:$AC$1000,29,FALSE),5)="Terim",VLOOKUP(P179,COPY!$A$1:$AC$1000,29,FALSE),0),0)</f>
        <v>0</v>
      </c>
      <c r="D179" s="457"/>
      <c r="E179" s="457"/>
      <c r="F179" s="458">
        <f>IFERROR(IF(LEFT(VLOOKUP(P179,COPY!$A$1:$AC$1000,29,FALSE),5)="Terim",VLOOKUP(P179,COPY!$A$1:$AC$1000,26,FALSE),0),0)</f>
        <v>0</v>
      </c>
      <c r="G179" s="459">
        <f>IFERROR(VLOOKUP(P179,COPY!$A$1:$L$1000,4,FALSE),0)</f>
        <v>0</v>
      </c>
      <c r="H179" s="457">
        <f>IFERROR(VLOOKUP(P179,COPY!$A$1:$L$1000,2,FALSE),0)</f>
        <v>0</v>
      </c>
      <c r="I179" s="510">
        <f>IFERROR(VLOOKUP(P179,COPY!$A$1:$L$1000,10,FALSE),0)</f>
        <v>0</v>
      </c>
      <c r="J179" s="467">
        <f>IFERROR(VLOOKUP(P179,COPY!$A$1:$L$1000,8,FALSE),0)</f>
        <v>0</v>
      </c>
      <c r="K179" s="457">
        <f>IFERROR(VLOOKUP(P179,COPY!$A$1:$L$1000,7,FALSE),0)</f>
        <v>0</v>
      </c>
      <c r="L179" s="468">
        <f>IFERROR(VLOOKUP(P179,COPY!$A$1:$O$1000,15,FALSE),0)</f>
        <v>0</v>
      </c>
      <c r="M179" s="468">
        <f>IFERROR(VLOOKUP(P179,COPY!$A$1:$L$1000,12,FALSE),0)</f>
        <v>0</v>
      </c>
      <c r="N179" s="471">
        <f>IF(H179="Jasa",VLOOKUP('BKU 3'!K179,'Rekap Gaji'!$D$12:$I$26,6,FALSE),(IF(H179="Beli",VLOOKUP(P179,COPY!$A$1:$L$1000,11,FALSE),IF(H179="Bayar Ongkos",VLOOKUP(K179,'Rekap Gaji'!$D$12:$I$26,6,FALSE),0))))</f>
        <v>0</v>
      </c>
      <c r="O179" s="470"/>
      <c r="P179" s="466" t="str">
        <f t="shared" si="14"/>
        <v/>
      </c>
      <c r="Q179" s="253">
        <f t="shared" si="17"/>
        <v>0</v>
      </c>
      <c r="R179" s="253">
        <f t="shared" si="18"/>
        <v>0</v>
      </c>
      <c r="S179" s="449">
        <f t="shared" si="19"/>
        <v>147</v>
      </c>
      <c r="T179" s="253">
        <f t="shared" si="20"/>
        <v>147</v>
      </c>
      <c r="U179" s="457" t="str">
        <f t="shared" si="15"/>
        <v xml:space="preserve"> </v>
      </c>
    </row>
    <row r="180" spans="1:21" ht="20.100000000000001" hidden="1" customHeight="1" x14ac:dyDescent="0.25">
      <c r="A180" s="470" t="str">
        <f t="shared" si="16"/>
        <v/>
      </c>
      <c r="B180" s="456">
        <f>IF(LEFT(C180,16)="Terima Pajak PPN",VLOOKUP(P180,COPY!$A$1:$AC$1000,21,FALSE),IF(LEFT(C180,16)="Terima Pajak PPH",VLOOKUP(P180,COPY!$A$1:$AC$1000,21,FALSE),IF(LEFT(C180,13)="Terima PPh 23",VLOOKUP(P180,COPY!$A$1:$AC$1000,21,FALSE),0)))</f>
        <v>0</v>
      </c>
      <c r="C180" s="457">
        <f>IFERROR(IF(LEFT(VLOOKUP(P180,COPY!$A$1:$AC$1000,29,FALSE),5)="Terim",VLOOKUP(P180,COPY!$A$1:$AC$1000,29,FALSE),0),0)</f>
        <v>0</v>
      </c>
      <c r="D180" s="457"/>
      <c r="E180" s="457"/>
      <c r="F180" s="458">
        <f>IFERROR(IF(LEFT(VLOOKUP(P180,COPY!$A$1:$AC$1000,29,FALSE),5)="Terim",VLOOKUP(P180,COPY!$A$1:$AC$1000,26,FALSE),0),0)</f>
        <v>0</v>
      </c>
      <c r="G180" s="459">
        <f>IFERROR(VLOOKUP(P180,COPY!$A$1:$L$1000,4,FALSE),0)</f>
        <v>0</v>
      </c>
      <c r="H180" s="457">
        <f>IFERROR(VLOOKUP(P180,COPY!$A$1:$L$1000,2,FALSE),0)</f>
        <v>0</v>
      </c>
      <c r="I180" s="510">
        <f>IFERROR(VLOOKUP(P180,COPY!$A$1:$L$1000,10,FALSE),0)</f>
        <v>0</v>
      </c>
      <c r="J180" s="467">
        <f>IFERROR(VLOOKUP(P180,COPY!$A$1:$L$1000,8,FALSE),0)</f>
        <v>0</v>
      </c>
      <c r="K180" s="457">
        <f>IFERROR(VLOOKUP(P180,COPY!$A$1:$L$1000,7,FALSE),0)</f>
        <v>0</v>
      </c>
      <c r="L180" s="468">
        <f>IFERROR(VLOOKUP(P180,COPY!$A$1:$O$1000,15,FALSE),0)</f>
        <v>0</v>
      </c>
      <c r="M180" s="468">
        <f>IFERROR(VLOOKUP(P180,COPY!$A$1:$L$1000,12,FALSE),0)</f>
        <v>0</v>
      </c>
      <c r="N180" s="471">
        <f>IF(H180="Jasa",VLOOKUP('BKU 3'!K180,'Rekap Gaji'!$D$12:$I$26,6,FALSE),(IF(H180="Beli",VLOOKUP(P180,COPY!$A$1:$L$1000,11,FALSE),IF(H180="Bayar Ongkos",VLOOKUP(K180,'Rekap Gaji'!$D$12:$I$26,6,FALSE),0))))</f>
        <v>0</v>
      </c>
      <c r="O180" s="470"/>
      <c r="P180" s="466" t="str">
        <f t="shared" si="14"/>
        <v/>
      </c>
      <c r="Q180" s="253">
        <f t="shared" si="17"/>
        <v>0</v>
      </c>
      <c r="R180" s="253">
        <f t="shared" si="18"/>
        <v>0</v>
      </c>
      <c r="S180" s="449">
        <f t="shared" si="19"/>
        <v>148</v>
      </c>
      <c r="T180" s="253">
        <f t="shared" si="20"/>
        <v>148</v>
      </c>
      <c r="U180" s="457" t="str">
        <f t="shared" si="15"/>
        <v xml:space="preserve"> </v>
      </c>
    </row>
    <row r="181" spans="1:21" ht="20.100000000000001" hidden="1" customHeight="1" x14ac:dyDescent="0.25">
      <c r="A181" s="470" t="str">
        <f t="shared" si="16"/>
        <v/>
      </c>
      <c r="B181" s="456">
        <f>IF(LEFT(C181,16)="Terima Pajak PPN",VLOOKUP(P181,COPY!$A$1:$AC$1000,21,FALSE),IF(LEFT(C181,16)="Terima Pajak PPH",VLOOKUP(P181,COPY!$A$1:$AC$1000,21,FALSE),IF(LEFT(C181,13)="Terima PPh 23",VLOOKUP(P181,COPY!$A$1:$AC$1000,21,FALSE),0)))</f>
        <v>0</v>
      </c>
      <c r="C181" s="457">
        <f>IFERROR(IF(LEFT(VLOOKUP(P181,COPY!$A$1:$AC$1000,29,FALSE),5)="Terim",VLOOKUP(P181,COPY!$A$1:$AC$1000,29,FALSE),0),0)</f>
        <v>0</v>
      </c>
      <c r="D181" s="457"/>
      <c r="E181" s="457"/>
      <c r="F181" s="458">
        <f>IFERROR(IF(LEFT(VLOOKUP(P181,COPY!$A$1:$AC$1000,29,FALSE),5)="Terim",VLOOKUP(P181,COPY!$A$1:$AC$1000,26,FALSE),0),0)</f>
        <v>0</v>
      </c>
      <c r="G181" s="459">
        <f>IFERROR(VLOOKUP(P181,COPY!$A$1:$L$1000,4,FALSE),0)</f>
        <v>0</v>
      </c>
      <c r="H181" s="457">
        <f>IFERROR(VLOOKUP(P181,COPY!$A$1:$L$1000,2,FALSE),0)</f>
        <v>0</v>
      </c>
      <c r="I181" s="510">
        <f>IFERROR(VLOOKUP(P181,COPY!$A$1:$L$1000,10,FALSE),0)</f>
        <v>0</v>
      </c>
      <c r="J181" s="467">
        <f>IFERROR(VLOOKUP(P181,COPY!$A$1:$L$1000,8,FALSE),0)</f>
        <v>0</v>
      </c>
      <c r="K181" s="457">
        <f>IFERROR(VLOOKUP(P181,COPY!$A$1:$L$1000,7,FALSE),0)</f>
        <v>0</v>
      </c>
      <c r="L181" s="468">
        <f>IFERROR(VLOOKUP(P181,COPY!$A$1:$O$1000,15,FALSE),0)</f>
        <v>0</v>
      </c>
      <c r="M181" s="468">
        <f>IFERROR(VLOOKUP(P181,COPY!$A$1:$L$1000,12,FALSE),0)</f>
        <v>0</v>
      </c>
      <c r="N181" s="471">
        <f>IF(H181="Jasa",VLOOKUP('BKU 3'!K181,'Rekap Gaji'!$D$12:$I$26,6,FALSE),(IF(H181="Beli",VLOOKUP(P181,COPY!$A$1:$L$1000,11,FALSE),IF(H181="Bayar Ongkos",VLOOKUP(K181,'Rekap Gaji'!$D$12:$I$26,6,FALSE),0))))</f>
        <v>0</v>
      </c>
      <c r="O181" s="470"/>
      <c r="P181" s="466" t="str">
        <f t="shared" si="14"/>
        <v/>
      </c>
      <c r="Q181" s="253">
        <f t="shared" si="17"/>
        <v>0</v>
      </c>
      <c r="R181" s="253">
        <f t="shared" si="18"/>
        <v>0</v>
      </c>
      <c r="S181" s="449">
        <f t="shared" si="19"/>
        <v>149</v>
      </c>
      <c r="T181" s="253">
        <f t="shared" si="20"/>
        <v>149</v>
      </c>
      <c r="U181" s="457" t="str">
        <f t="shared" si="15"/>
        <v xml:space="preserve"> </v>
      </c>
    </row>
    <row r="182" spans="1:21" ht="20.100000000000001" hidden="1" customHeight="1" x14ac:dyDescent="0.25">
      <c r="A182" s="470" t="str">
        <f t="shared" si="16"/>
        <v/>
      </c>
      <c r="B182" s="456">
        <f>IF(LEFT(C182,16)="Terima Pajak PPN",VLOOKUP(P182,COPY!$A$1:$AC$1000,21,FALSE),IF(LEFT(C182,16)="Terima Pajak PPH",VLOOKUP(P182,COPY!$A$1:$AC$1000,21,FALSE),IF(LEFT(C182,13)="Terima PPh 23",VLOOKUP(P182,COPY!$A$1:$AC$1000,21,FALSE),0)))</f>
        <v>0</v>
      </c>
      <c r="C182" s="457">
        <f>IFERROR(IF(LEFT(VLOOKUP(P182,COPY!$A$1:$AC$1000,29,FALSE),5)="Terim",VLOOKUP(P182,COPY!$A$1:$AC$1000,29,FALSE),0),0)</f>
        <v>0</v>
      </c>
      <c r="D182" s="457"/>
      <c r="E182" s="457"/>
      <c r="F182" s="458">
        <f>IFERROR(IF(LEFT(VLOOKUP(P182,COPY!$A$1:$AC$1000,29,FALSE),5)="Terim",VLOOKUP(P182,COPY!$A$1:$AC$1000,26,FALSE),0),0)</f>
        <v>0</v>
      </c>
      <c r="G182" s="459">
        <f>IFERROR(VLOOKUP(P182,COPY!$A$1:$L$1000,4,FALSE),0)</f>
        <v>0</v>
      </c>
      <c r="H182" s="457">
        <f>IFERROR(VLOOKUP(P182,COPY!$A$1:$L$1000,2,FALSE),0)</f>
        <v>0</v>
      </c>
      <c r="I182" s="510">
        <f>IFERROR(VLOOKUP(P182,COPY!$A$1:$L$1000,10,FALSE),0)</f>
        <v>0</v>
      </c>
      <c r="J182" s="467">
        <f>IFERROR(VLOOKUP(P182,COPY!$A$1:$L$1000,8,FALSE),0)</f>
        <v>0</v>
      </c>
      <c r="K182" s="457">
        <f>IFERROR(VLOOKUP(P182,COPY!$A$1:$L$1000,7,FALSE),0)</f>
        <v>0</v>
      </c>
      <c r="L182" s="468">
        <f>IFERROR(VLOOKUP(P182,COPY!$A$1:$O$1000,15,FALSE),0)</f>
        <v>0</v>
      </c>
      <c r="M182" s="468">
        <f>IFERROR(VLOOKUP(P182,COPY!$A$1:$L$1000,12,FALSE),0)</f>
        <v>0</v>
      </c>
      <c r="N182" s="471">
        <f>IF(H182="Jasa",VLOOKUP('BKU 3'!K182,'Rekap Gaji'!$D$12:$I$26,6,FALSE),(IF(H182="Beli",VLOOKUP(P182,COPY!$A$1:$L$1000,11,FALSE),IF(H182="Bayar Ongkos",VLOOKUP(K182,'Rekap Gaji'!$D$12:$I$26,6,FALSE),0))))</f>
        <v>0</v>
      </c>
      <c r="O182" s="470"/>
      <c r="P182" s="466" t="str">
        <f t="shared" si="14"/>
        <v/>
      </c>
      <c r="Q182" s="253">
        <f t="shared" si="17"/>
        <v>0</v>
      </c>
      <c r="R182" s="253">
        <f t="shared" si="18"/>
        <v>0</v>
      </c>
      <c r="S182" s="449">
        <f t="shared" si="19"/>
        <v>150</v>
      </c>
      <c r="T182" s="253">
        <f t="shared" si="20"/>
        <v>150</v>
      </c>
      <c r="U182" s="457" t="str">
        <f t="shared" si="15"/>
        <v xml:space="preserve"> </v>
      </c>
    </row>
    <row r="183" spans="1:21" ht="20.100000000000001" hidden="1" customHeight="1" x14ac:dyDescent="0.25">
      <c r="A183" s="470" t="str">
        <f t="shared" si="16"/>
        <v/>
      </c>
      <c r="B183" s="456">
        <f>IF(LEFT(C183,16)="Terima Pajak PPN",VLOOKUP(P183,COPY!$A$1:$AC$1000,21,FALSE),IF(LEFT(C183,16)="Terima Pajak PPH",VLOOKUP(P183,COPY!$A$1:$AC$1000,21,FALSE),IF(LEFT(C183,13)="Terima PPh 23",VLOOKUP(P183,COPY!$A$1:$AC$1000,21,FALSE),0)))</f>
        <v>0</v>
      </c>
      <c r="C183" s="457">
        <f>IFERROR(IF(LEFT(VLOOKUP(P183,COPY!$A$1:$AC$1000,29,FALSE),5)="Terim",VLOOKUP(P183,COPY!$A$1:$AC$1000,29,FALSE),0),0)</f>
        <v>0</v>
      </c>
      <c r="D183" s="457"/>
      <c r="E183" s="457"/>
      <c r="F183" s="458">
        <f>IFERROR(IF(LEFT(VLOOKUP(P183,COPY!$A$1:$AC$1000,29,FALSE),5)="Terim",VLOOKUP(P183,COPY!$A$1:$AC$1000,26,FALSE),0),0)</f>
        <v>0</v>
      </c>
      <c r="G183" s="459">
        <f>IFERROR(VLOOKUP(P183,COPY!$A$1:$L$1000,4,FALSE),0)</f>
        <v>0</v>
      </c>
      <c r="H183" s="457">
        <f>IFERROR(VLOOKUP(P183,COPY!$A$1:$L$1000,2,FALSE),0)</f>
        <v>0</v>
      </c>
      <c r="I183" s="510">
        <f>IFERROR(VLOOKUP(P183,COPY!$A$1:$L$1000,10,FALSE),0)</f>
        <v>0</v>
      </c>
      <c r="J183" s="467">
        <f>IFERROR(VLOOKUP(P183,COPY!$A$1:$L$1000,8,FALSE),0)</f>
        <v>0</v>
      </c>
      <c r="K183" s="457">
        <f>IFERROR(VLOOKUP(P183,COPY!$A$1:$L$1000,7,FALSE),0)</f>
        <v>0</v>
      </c>
      <c r="L183" s="468">
        <f>IFERROR(VLOOKUP(P183,COPY!$A$1:$O$1000,15,FALSE),0)</f>
        <v>0</v>
      </c>
      <c r="M183" s="468">
        <f>IFERROR(VLOOKUP(P183,COPY!$A$1:$L$1000,12,FALSE),0)</f>
        <v>0</v>
      </c>
      <c r="N183" s="471">
        <f>IF(H183="Jasa",VLOOKUP('BKU 3'!K183,'Rekap Gaji'!$D$12:$I$26,6,FALSE),(IF(H183="Beli",VLOOKUP(P183,COPY!$A$1:$L$1000,11,FALSE),IF(H183="Bayar Ongkos",VLOOKUP(K183,'Rekap Gaji'!$D$12:$I$26,6,FALSE),0))))</f>
        <v>0</v>
      </c>
      <c r="O183" s="470"/>
      <c r="P183" s="466" t="str">
        <f t="shared" si="14"/>
        <v/>
      </c>
      <c r="Q183" s="253">
        <f t="shared" si="17"/>
        <v>0</v>
      </c>
      <c r="R183" s="253">
        <f t="shared" si="18"/>
        <v>0</v>
      </c>
      <c r="S183" s="449">
        <f t="shared" si="19"/>
        <v>151</v>
      </c>
      <c r="T183" s="253">
        <f t="shared" si="20"/>
        <v>151</v>
      </c>
      <c r="U183" s="457" t="str">
        <f t="shared" si="15"/>
        <v xml:space="preserve"> </v>
      </c>
    </row>
    <row r="184" spans="1:21" ht="20.100000000000001" hidden="1" customHeight="1" x14ac:dyDescent="0.25">
      <c r="A184" s="470" t="str">
        <f t="shared" si="16"/>
        <v/>
      </c>
      <c r="B184" s="456">
        <f>IF(LEFT(C184,16)="Terima Pajak PPN",VLOOKUP(P184,COPY!$A$1:$AC$1000,21,FALSE),IF(LEFT(C184,16)="Terima Pajak PPH",VLOOKUP(P184,COPY!$A$1:$AC$1000,21,FALSE),IF(LEFT(C184,13)="Terima PPh 23",VLOOKUP(P184,COPY!$A$1:$AC$1000,21,FALSE),0)))</f>
        <v>0</v>
      </c>
      <c r="C184" s="457">
        <f>IFERROR(IF(LEFT(VLOOKUP(P184,COPY!$A$1:$AC$1000,29,FALSE),5)="Terim",VLOOKUP(P184,COPY!$A$1:$AC$1000,29,FALSE),0),0)</f>
        <v>0</v>
      </c>
      <c r="D184" s="457"/>
      <c r="E184" s="457"/>
      <c r="F184" s="458">
        <f>IFERROR(IF(LEFT(VLOOKUP(P184,COPY!$A$1:$AC$1000,29,FALSE),5)="Terim",VLOOKUP(P184,COPY!$A$1:$AC$1000,26,FALSE),0),0)</f>
        <v>0</v>
      </c>
      <c r="G184" s="459">
        <f>IFERROR(VLOOKUP(P184,COPY!$A$1:$L$1000,4,FALSE),0)</f>
        <v>0</v>
      </c>
      <c r="H184" s="457">
        <f>IFERROR(VLOOKUP(P184,COPY!$A$1:$L$1000,2,FALSE),0)</f>
        <v>0</v>
      </c>
      <c r="I184" s="510">
        <f>IFERROR(VLOOKUP(P184,COPY!$A$1:$L$1000,10,FALSE),0)</f>
        <v>0</v>
      </c>
      <c r="J184" s="467">
        <f>IFERROR(VLOOKUP(P184,COPY!$A$1:$L$1000,8,FALSE),0)</f>
        <v>0</v>
      </c>
      <c r="K184" s="457">
        <f>IFERROR(VLOOKUP(P184,COPY!$A$1:$L$1000,7,FALSE),0)</f>
        <v>0</v>
      </c>
      <c r="L184" s="468">
        <f>IFERROR(VLOOKUP(P184,COPY!$A$1:$O$1000,15,FALSE),0)</f>
        <v>0</v>
      </c>
      <c r="M184" s="468">
        <f>IFERROR(VLOOKUP(P184,COPY!$A$1:$L$1000,12,FALSE),0)</f>
        <v>0</v>
      </c>
      <c r="N184" s="471">
        <f>IF(H184="Jasa",VLOOKUP('BKU 3'!K184,'Rekap Gaji'!$D$12:$I$26,6,FALSE),(IF(H184="Beli",VLOOKUP(P184,COPY!$A$1:$L$1000,11,FALSE),IF(H184="Bayar Ongkos",VLOOKUP(K184,'Rekap Gaji'!$D$12:$I$26,6,FALSE),0))))</f>
        <v>0</v>
      </c>
      <c r="O184" s="470"/>
      <c r="P184" s="466" t="str">
        <f t="shared" si="14"/>
        <v/>
      </c>
      <c r="Q184" s="253">
        <f t="shared" si="17"/>
        <v>0</v>
      </c>
      <c r="R184" s="253">
        <f t="shared" si="18"/>
        <v>0</v>
      </c>
      <c r="S184" s="449">
        <f t="shared" si="19"/>
        <v>152</v>
      </c>
      <c r="T184" s="253">
        <f t="shared" si="20"/>
        <v>152</v>
      </c>
      <c r="U184" s="457" t="str">
        <f t="shared" si="15"/>
        <v xml:space="preserve"> </v>
      </c>
    </row>
    <row r="185" spans="1:21" ht="20.100000000000001" hidden="1" customHeight="1" x14ac:dyDescent="0.25">
      <c r="A185" s="470" t="str">
        <f t="shared" si="16"/>
        <v/>
      </c>
      <c r="B185" s="456">
        <f>IF(LEFT(C185,16)="Terima Pajak PPN",VLOOKUP(P185,COPY!$A$1:$AC$1000,21,FALSE),IF(LEFT(C185,16)="Terima Pajak PPH",VLOOKUP(P185,COPY!$A$1:$AC$1000,21,FALSE),IF(LEFT(C185,13)="Terima PPh 23",VLOOKUP(P185,COPY!$A$1:$AC$1000,21,FALSE),0)))</f>
        <v>0</v>
      </c>
      <c r="C185" s="457">
        <f>IFERROR(IF(LEFT(VLOOKUP(P185,COPY!$A$1:$AC$1000,29,FALSE),5)="Terim",VLOOKUP(P185,COPY!$A$1:$AC$1000,29,FALSE),0),0)</f>
        <v>0</v>
      </c>
      <c r="D185" s="457"/>
      <c r="E185" s="457"/>
      <c r="F185" s="458">
        <f>IFERROR(IF(LEFT(VLOOKUP(P185,COPY!$A$1:$AC$1000,29,FALSE),5)="Terim",VLOOKUP(P185,COPY!$A$1:$AC$1000,26,FALSE),0),0)</f>
        <v>0</v>
      </c>
      <c r="G185" s="459">
        <f>IFERROR(VLOOKUP(P185,COPY!$A$1:$L$1000,4,FALSE),0)</f>
        <v>0</v>
      </c>
      <c r="H185" s="457">
        <f>IFERROR(VLOOKUP(P185,COPY!$A$1:$L$1000,2,FALSE),0)</f>
        <v>0</v>
      </c>
      <c r="I185" s="510">
        <f>IFERROR(VLOOKUP(P185,COPY!$A$1:$L$1000,10,FALSE),0)</f>
        <v>0</v>
      </c>
      <c r="J185" s="467">
        <f>IFERROR(VLOOKUP(P185,COPY!$A$1:$L$1000,8,FALSE),0)</f>
        <v>0</v>
      </c>
      <c r="K185" s="457">
        <f>IFERROR(VLOOKUP(P185,COPY!$A$1:$L$1000,7,FALSE),0)</f>
        <v>0</v>
      </c>
      <c r="L185" s="468">
        <f>IFERROR(VLOOKUP(P185,COPY!$A$1:$O$1000,15,FALSE),0)</f>
        <v>0</v>
      </c>
      <c r="M185" s="468">
        <f>IFERROR(VLOOKUP(P185,COPY!$A$1:$L$1000,12,FALSE),0)</f>
        <v>0</v>
      </c>
      <c r="N185" s="471">
        <f>IF(H185="Jasa",VLOOKUP('BKU 3'!K185,'Rekap Gaji'!$D$12:$I$26,6,FALSE),(IF(H185="Beli",VLOOKUP(P185,COPY!$A$1:$L$1000,11,FALSE),IF(H185="Bayar Ongkos",VLOOKUP(K185,'Rekap Gaji'!$D$12:$I$26,6,FALSE),0))))</f>
        <v>0</v>
      </c>
      <c r="O185" s="470"/>
      <c r="P185" s="466" t="str">
        <f t="shared" si="14"/>
        <v/>
      </c>
      <c r="U185" s="457" t="str">
        <f t="shared" si="15"/>
        <v xml:space="preserve"> </v>
      </c>
    </row>
    <row r="186" spans="1:21" ht="20.100000000000001" customHeight="1" thickBot="1" x14ac:dyDescent="0.3">
      <c r="B186" s="456">
        <f>IF(LEFT(C186,16)="Terima Pajak PPN",VLOOKUP(P186,COPY!$A$1:$AC$1000,21,FALSE),IF(LEFT(C186,16)="Terima Pajak PPH",VLOOKUP(P186,COPY!$A$1:$AC$1000,21,FALSE),IF(LEFT(C186,13)="Terima PPh 23",VLOOKUP(P186,COPY!$A$1:$AC$1000,21,FALSE),0)))</f>
        <v>0</v>
      </c>
      <c r="C186" s="425"/>
      <c r="D186" s="425"/>
      <c r="E186" s="472"/>
      <c r="F186" s="473"/>
      <c r="G186" s="474"/>
      <c r="H186" s="475"/>
      <c r="I186" s="511"/>
      <c r="J186" s="500"/>
      <c r="K186" s="476"/>
      <c r="L186" s="468"/>
      <c r="M186" s="468"/>
      <c r="N186" s="477"/>
      <c r="U186" s="457" t="str">
        <f t="shared" si="15"/>
        <v xml:space="preserve"> </v>
      </c>
    </row>
    <row r="187" spans="1:21" ht="20.100000000000001" customHeight="1" thickBot="1" x14ac:dyDescent="0.3">
      <c r="B187" s="478"/>
      <c r="C187" s="479"/>
      <c r="D187" s="479"/>
      <c r="E187" s="480"/>
      <c r="F187" s="481"/>
      <c r="G187" s="478"/>
      <c r="H187" s="479"/>
      <c r="I187" s="512"/>
      <c r="J187" s="505"/>
      <c r="L187" s="501"/>
      <c r="M187" s="482"/>
      <c r="N187" s="483"/>
    </row>
    <row r="188" spans="1:21" ht="20.100000000000001" customHeight="1" x14ac:dyDescent="0.25">
      <c r="B188" s="484"/>
      <c r="F188" s="485"/>
      <c r="G188" s="484"/>
      <c r="I188" s="513"/>
      <c r="J188" s="515"/>
      <c r="K188" s="457"/>
      <c r="L188" s="502" t="str">
        <f>IF(LEFT(J188,15)="Bayar Pajak PPN",1,IF(LEFT(J188,15)="Bayar Pajak PPH",2," "))</f>
        <v xml:space="preserve"> </v>
      </c>
      <c r="M188" s="417"/>
      <c r="N188" s="486" t="s">
        <v>310</v>
      </c>
    </row>
    <row r="189" spans="1:21" ht="20.100000000000001" hidden="1" customHeight="1" x14ac:dyDescent="0.25">
      <c r="A189" s="470" t="str">
        <f t="shared" ref="A189:A252" si="21">IF(P33="","",P33&amp;"."&amp;ROW()-188)</f>
        <v/>
      </c>
      <c r="B189" s="487"/>
      <c r="F189" s="488"/>
      <c r="G189" s="484"/>
      <c r="I189" s="513"/>
      <c r="J189" s="515">
        <f t="shared" ref="J189:J252" si="22">S189</f>
        <v>0</v>
      </c>
      <c r="K189" s="457"/>
      <c r="L189" s="502" t="str">
        <f>IF(LEFT(J189,15)="Bayar Pajak PPN",1,IF(LEFT(J189,15)="Bayar Pajak PPH",2,IF(LEFT(J189,21)="Bayar Pajak Final PPH",3," ")))</f>
        <v xml:space="preserve"> </v>
      </c>
      <c r="M189" s="467"/>
      <c r="N189" s="477">
        <f>IFERROR(VLOOKUP(P33,COPY!$A$1:$AC$1000,26,FALSE),0)</f>
        <v>0</v>
      </c>
      <c r="P189" s="448">
        <f>IFERROR(VLOOKUP(P33,COPY!$A$1:$AC$1000,29,FALSE),0)</f>
        <v>0</v>
      </c>
      <c r="S189" s="449">
        <f>IF(LEFT(P189,6)="Terima",REPLACE(P189,1,6,"Bayar"),P189)</f>
        <v>0</v>
      </c>
    </row>
    <row r="190" spans="1:21" ht="20.100000000000001" hidden="1" customHeight="1" x14ac:dyDescent="0.25">
      <c r="A190" s="470" t="str">
        <f t="shared" si="21"/>
        <v/>
      </c>
      <c r="B190" s="487"/>
      <c r="F190" s="488"/>
      <c r="G190" s="484"/>
      <c r="I190" s="513"/>
      <c r="J190" s="515">
        <f t="shared" si="22"/>
        <v>0</v>
      </c>
      <c r="K190" s="457"/>
      <c r="L190" s="502" t="str">
        <f>IF(LEFT(J190,15)="Bayar Pajak PPN",1,IF(LEFT(J190,15)="Bayar Pajak PPH",2,IF(LEFT(J190,21)="Bayar Pajak Final PPH",3," ")))</f>
        <v xml:space="preserve"> </v>
      </c>
      <c r="M190" s="467"/>
      <c r="N190" s="477">
        <f>IFERROR(VLOOKUP(P34,COPY!$A$1:$AC$1000,26,FALSE),0)</f>
        <v>0</v>
      </c>
      <c r="P190" s="448">
        <f>IFERROR(VLOOKUP(P34,COPY!$A$1:$AC$1000,29,FALSE),0)</f>
        <v>0</v>
      </c>
      <c r="S190" s="449">
        <f t="shared" ref="S190:S253" si="23">IF(LEFT(P190,6)="Terima",REPLACE(P190,1,6,"Bayar"),P190)</f>
        <v>0</v>
      </c>
    </row>
    <row r="191" spans="1:21" ht="20.100000000000001" hidden="1" customHeight="1" x14ac:dyDescent="0.25">
      <c r="A191" s="470" t="str">
        <f t="shared" si="21"/>
        <v/>
      </c>
      <c r="B191" s="487"/>
      <c r="F191" s="488"/>
      <c r="G191" s="484"/>
      <c r="I191" s="513"/>
      <c r="J191" s="515">
        <f t="shared" si="22"/>
        <v>0</v>
      </c>
      <c r="K191" s="457"/>
      <c r="L191" s="502" t="str">
        <f>IF(LEFT(J191,15)="Bayar Pajak PPN",1,IF(LEFT(J191,15)="Bayar Pajak PPH",2,IF(LEFT(J191,21)="Bayar Pajak Final PPH",3," ")))</f>
        <v xml:space="preserve"> </v>
      </c>
      <c r="M191" s="467"/>
      <c r="N191" s="477">
        <f>IFERROR(VLOOKUP(P35,COPY!$A$1:$AC$1000,26,FALSE),0)</f>
        <v>0</v>
      </c>
      <c r="P191" s="448">
        <f>IFERROR(VLOOKUP(P35,COPY!$A$1:$AC$1000,29,FALSE),0)</f>
        <v>0</v>
      </c>
      <c r="S191" s="449">
        <f t="shared" si="23"/>
        <v>0</v>
      </c>
    </row>
    <row r="192" spans="1:21" ht="20.100000000000001" hidden="1" customHeight="1" x14ac:dyDescent="0.25">
      <c r="A192" s="470" t="str">
        <f t="shared" si="21"/>
        <v/>
      </c>
      <c r="B192" s="487"/>
      <c r="F192" s="488"/>
      <c r="G192" s="484"/>
      <c r="I192" s="513"/>
      <c r="J192" s="515">
        <f t="shared" si="22"/>
        <v>0</v>
      </c>
      <c r="K192" s="457"/>
      <c r="L192" s="502" t="str">
        <f>IF(LEFT(J192,15)="Bayar Pajak PPN",1,IF(LEFT(J192,15)="Bayar Pajak PPH",2,IF(LEFT(J192,21)="Bayar Pajak Final PPH",3," ")))</f>
        <v xml:space="preserve"> </v>
      </c>
      <c r="M192" s="467"/>
      <c r="N192" s="477">
        <f>IFERROR(VLOOKUP(P36,COPY!$A$1:$AC$1000,26,FALSE),0)</f>
        <v>0</v>
      </c>
      <c r="P192" s="448">
        <f>IFERROR(VLOOKUP(P36,COPY!$A$1:$AC$1000,29,FALSE),0)</f>
        <v>0</v>
      </c>
      <c r="S192" s="449">
        <f t="shared" si="23"/>
        <v>0</v>
      </c>
    </row>
    <row r="193" spans="1:19" ht="20.100000000000001" hidden="1" customHeight="1" x14ac:dyDescent="0.25">
      <c r="A193" s="470" t="str">
        <f t="shared" si="21"/>
        <v/>
      </c>
      <c r="B193" s="487"/>
      <c r="F193" s="488"/>
      <c r="G193" s="484"/>
      <c r="I193" s="513"/>
      <c r="J193" s="515">
        <f t="shared" si="22"/>
        <v>0</v>
      </c>
      <c r="K193" s="457"/>
      <c r="L193" s="502" t="str">
        <f>IF(LEFT(J193,15)="Bayar Pajak PPN",1,IF(LEFT(J193,15)="Bayar Pajak PPH",2,IF(LEFT(J193,21)="Bayar Pajak Final PPH",3," ")))</f>
        <v xml:space="preserve"> </v>
      </c>
      <c r="M193" s="467"/>
      <c r="N193" s="477">
        <f>IFERROR(VLOOKUP(P37,COPY!$A$1:$AC$1000,26,FALSE),0)</f>
        <v>0</v>
      </c>
      <c r="P193" s="448">
        <f>IFERROR(VLOOKUP(P37,COPY!$A$1:$AC$1000,29,FALSE),0)</f>
        <v>0</v>
      </c>
      <c r="S193" s="449">
        <f t="shared" si="23"/>
        <v>0</v>
      </c>
    </row>
    <row r="194" spans="1:19" ht="20.100000000000001" hidden="1" customHeight="1" x14ac:dyDescent="0.25">
      <c r="A194" s="470" t="str">
        <f t="shared" si="21"/>
        <v/>
      </c>
      <c r="B194" s="487"/>
      <c r="F194" s="488"/>
      <c r="G194" s="484"/>
      <c r="I194" s="513"/>
      <c r="J194" s="515">
        <f t="shared" si="22"/>
        <v>0</v>
      </c>
      <c r="K194" s="457"/>
      <c r="L194" s="502" t="str">
        <f t="shared" ref="L194:L257" si="24">IF(LEFT(J194,15)="Bayar Pajak PPN",1,IF(LEFT(J194,15)="Bayar Pajak PPH",2,IF(LEFT(J194,21)="Bayar Pajak Final PPH",3," ")))</f>
        <v xml:space="preserve"> </v>
      </c>
      <c r="M194" s="467"/>
      <c r="N194" s="477">
        <f>IFERROR(VLOOKUP(P38,COPY!$A$1:$AC$1000,26,FALSE),0)</f>
        <v>0</v>
      </c>
      <c r="P194" s="448">
        <f>IFERROR(VLOOKUP(P38,COPY!$A$1:$AC$1000,29,FALSE),0)</f>
        <v>0</v>
      </c>
      <c r="S194" s="449">
        <f t="shared" si="23"/>
        <v>0</v>
      </c>
    </row>
    <row r="195" spans="1:19" ht="20.100000000000001" hidden="1" customHeight="1" x14ac:dyDescent="0.25">
      <c r="A195" s="470" t="str">
        <f t="shared" si="21"/>
        <v/>
      </c>
      <c r="B195" s="487"/>
      <c r="F195" s="488"/>
      <c r="G195" s="484"/>
      <c r="I195" s="513"/>
      <c r="J195" s="515">
        <f t="shared" si="22"/>
        <v>0</v>
      </c>
      <c r="K195" s="457"/>
      <c r="L195" s="502" t="str">
        <f t="shared" si="24"/>
        <v xml:space="preserve"> </v>
      </c>
      <c r="M195" s="467"/>
      <c r="N195" s="477">
        <f>IFERROR(VLOOKUP(P39,COPY!$A$1:$AC$1000,26,FALSE),0)</f>
        <v>0</v>
      </c>
      <c r="P195" s="448">
        <f>IFERROR(VLOOKUP(P39,COPY!$A$1:$AC$1000,29,FALSE),0)</f>
        <v>0</v>
      </c>
      <c r="S195" s="449">
        <f t="shared" si="23"/>
        <v>0</v>
      </c>
    </row>
    <row r="196" spans="1:19" ht="20.100000000000001" hidden="1" customHeight="1" x14ac:dyDescent="0.25">
      <c r="A196" s="470" t="str">
        <f t="shared" si="21"/>
        <v/>
      </c>
      <c r="B196" s="487"/>
      <c r="F196" s="488"/>
      <c r="G196" s="484"/>
      <c r="I196" s="513"/>
      <c r="J196" s="515">
        <f t="shared" si="22"/>
        <v>0</v>
      </c>
      <c r="K196" s="457"/>
      <c r="L196" s="502" t="str">
        <f t="shared" si="24"/>
        <v xml:space="preserve"> </v>
      </c>
      <c r="M196" s="467"/>
      <c r="N196" s="477">
        <f>IFERROR(VLOOKUP(P40,COPY!$A$1:$AC$1000,26,FALSE),0)</f>
        <v>0</v>
      </c>
      <c r="P196" s="448">
        <f>IFERROR(VLOOKUP(P40,COPY!$A$1:$AC$1000,29,FALSE),0)</f>
        <v>0</v>
      </c>
      <c r="S196" s="449">
        <f t="shared" si="23"/>
        <v>0</v>
      </c>
    </row>
    <row r="197" spans="1:19" ht="20.100000000000001" hidden="1" customHeight="1" x14ac:dyDescent="0.25">
      <c r="A197" s="470" t="str">
        <f t="shared" si="21"/>
        <v/>
      </c>
      <c r="B197" s="487"/>
      <c r="F197" s="488"/>
      <c r="G197" s="484"/>
      <c r="I197" s="513"/>
      <c r="J197" s="515">
        <f t="shared" si="22"/>
        <v>0</v>
      </c>
      <c r="K197" s="457"/>
      <c r="L197" s="502" t="str">
        <f t="shared" si="24"/>
        <v xml:space="preserve"> </v>
      </c>
      <c r="M197" s="467"/>
      <c r="N197" s="477">
        <f>IFERROR(VLOOKUP(P41,COPY!$A$1:$AC$1000,26,FALSE),0)</f>
        <v>0</v>
      </c>
      <c r="P197" s="448">
        <f>IFERROR(VLOOKUP(P41,COPY!$A$1:$AC$1000,29,FALSE),0)</f>
        <v>0</v>
      </c>
      <c r="S197" s="449">
        <f t="shared" si="23"/>
        <v>0</v>
      </c>
    </row>
    <row r="198" spans="1:19" ht="20.100000000000001" hidden="1" customHeight="1" x14ac:dyDescent="0.25">
      <c r="A198" s="470" t="str">
        <f t="shared" si="21"/>
        <v/>
      </c>
      <c r="B198" s="487"/>
      <c r="F198" s="488"/>
      <c r="G198" s="484"/>
      <c r="I198" s="513"/>
      <c r="J198" s="515">
        <f t="shared" si="22"/>
        <v>0</v>
      </c>
      <c r="K198" s="457"/>
      <c r="L198" s="502" t="str">
        <f t="shared" si="24"/>
        <v xml:space="preserve"> </v>
      </c>
      <c r="M198" s="467"/>
      <c r="N198" s="477">
        <f>IFERROR(VLOOKUP(P42,COPY!$A$1:$AC$1000,26,FALSE),0)</f>
        <v>0</v>
      </c>
      <c r="P198" s="448">
        <f>IFERROR(VLOOKUP(P42,COPY!$A$1:$AC$1000,29,FALSE),0)</f>
        <v>0</v>
      </c>
      <c r="S198" s="449">
        <f t="shared" si="23"/>
        <v>0</v>
      </c>
    </row>
    <row r="199" spans="1:19" ht="20.100000000000001" hidden="1" customHeight="1" x14ac:dyDescent="0.25">
      <c r="A199" s="470" t="str">
        <f t="shared" si="21"/>
        <v/>
      </c>
      <c r="B199" s="487"/>
      <c r="F199" s="488"/>
      <c r="G199" s="484"/>
      <c r="I199" s="513"/>
      <c r="J199" s="515">
        <f t="shared" si="22"/>
        <v>0</v>
      </c>
      <c r="K199" s="457"/>
      <c r="L199" s="502" t="str">
        <f t="shared" si="24"/>
        <v xml:space="preserve"> </v>
      </c>
      <c r="M199" s="467"/>
      <c r="N199" s="477">
        <f>IFERROR(VLOOKUP(P43,COPY!$A$1:$AC$1000,26,FALSE),0)</f>
        <v>0</v>
      </c>
      <c r="P199" s="448">
        <f>IFERROR(VLOOKUP(P43,COPY!$A$1:$AC$1000,29,FALSE),0)</f>
        <v>0</v>
      </c>
      <c r="S199" s="449">
        <f t="shared" si="23"/>
        <v>0</v>
      </c>
    </row>
    <row r="200" spans="1:19" ht="20.100000000000001" hidden="1" customHeight="1" x14ac:dyDescent="0.25">
      <c r="A200" s="470" t="str">
        <f t="shared" si="21"/>
        <v/>
      </c>
      <c r="B200" s="487"/>
      <c r="F200" s="488"/>
      <c r="G200" s="484"/>
      <c r="I200" s="513"/>
      <c r="J200" s="515">
        <f t="shared" si="22"/>
        <v>0</v>
      </c>
      <c r="K200" s="457"/>
      <c r="L200" s="502" t="str">
        <f t="shared" si="24"/>
        <v xml:space="preserve"> </v>
      </c>
      <c r="M200" s="467"/>
      <c r="N200" s="477">
        <f>IFERROR(VLOOKUP(P44,COPY!$A$1:$AC$1000,26,FALSE),0)</f>
        <v>0</v>
      </c>
      <c r="P200" s="448">
        <f>IFERROR(VLOOKUP(P44,COPY!$A$1:$AC$1000,29,FALSE),0)</f>
        <v>0</v>
      </c>
      <c r="S200" s="449">
        <f t="shared" si="23"/>
        <v>0</v>
      </c>
    </row>
    <row r="201" spans="1:19" ht="20.100000000000001" hidden="1" customHeight="1" x14ac:dyDescent="0.25">
      <c r="A201" s="470" t="str">
        <f t="shared" si="21"/>
        <v/>
      </c>
      <c r="B201" s="487"/>
      <c r="F201" s="488"/>
      <c r="G201" s="484"/>
      <c r="I201" s="513"/>
      <c r="J201" s="515">
        <f t="shared" si="22"/>
        <v>0</v>
      </c>
      <c r="K201" s="457"/>
      <c r="L201" s="502" t="str">
        <f t="shared" si="24"/>
        <v xml:space="preserve"> </v>
      </c>
      <c r="M201" s="467"/>
      <c r="N201" s="477">
        <f>IFERROR(VLOOKUP(P45,COPY!$A$1:$AC$1000,26,FALSE),0)</f>
        <v>0</v>
      </c>
      <c r="P201" s="448">
        <f>IFERROR(VLOOKUP(P45,COPY!$A$1:$AC$1000,29,FALSE),0)</f>
        <v>0</v>
      </c>
      <c r="S201" s="449">
        <f t="shared" si="23"/>
        <v>0</v>
      </c>
    </row>
    <row r="202" spans="1:19" ht="20.100000000000001" hidden="1" customHeight="1" x14ac:dyDescent="0.25">
      <c r="A202" s="470" t="str">
        <f t="shared" si="21"/>
        <v/>
      </c>
      <c r="B202" s="487"/>
      <c r="F202" s="488"/>
      <c r="G202" s="484"/>
      <c r="I202" s="513"/>
      <c r="J202" s="515">
        <f t="shared" si="22"/>
        <v>0</v>
      </c>
      <c r="K202" s="457"/>
      <c r="L202" s="502" t="str">
        <f t="shared" si="24"/>
        <v xml:space="preserve"> </v>
      </c>
      <c r="M202" s="467"/>
      <c r="N202" s="477">
        <f>IFERROR(VLOOKUP(P46,COPY!$A$1:$AC$1000,26,FALSE),0)</f>
        <v>0</v>
      </c>
      <c r="P202" s="448">
        <f>IFERROR(VLOOKUP(P46,COPY!$A$1:$AC$1000,29,FALSE),0)</f>
        <v>0</v>
      </c>
      <c r="S202" s="449">
        <f t="shared" si="23"/>
        <v>0</v>
      </c>
    </row>
    <row r="203" spans="1:19" ht="20.100000000000001" hidden="1" customHeight="1" x14ac:dyDescent="0.25">
      <c r="A203" s="470" t="str">
        <f t="shared" si="21"/>
        <v/>
      </c>
      <c r="B203" s="487"/>
      <c r="F203" s="488"/>
      <c r="G203" s="484"/>
      <c r="I203" s="513"/>
      <c r="J203" s="515">
        <f t="shared" si="22"/>
        <v>0</v>
      </c>
      <c r="K203" s="457"/>
      <c r="L203" s="502" t="str">
        <f t="shared" si="24"/>
        <v xml:space="preserve"> </v>
      </c>
      <c r="M203" s="467"/>
      <c r="N203" s="477">
        <f>IFERROR(VLOOKUP(P47,COPY!$A$1:$AC$1000,26,FALSE),0)</f>
        <v>0</v>
      </c>
      <c r="P203" s="448">
        <f>IFERROR(VLOOKUP(P47,COPY!$A$1:$AC$1000,29,FALSE),0)</f>
        <v>0</v>
      </c>
      <c r="S203" s="449">
        <f t="shared" si="23"/>
        <v>0</v>
      </c>
    </row>
    <row r="204" spans="1:19" ht="20.100000000000001" hidden="1" customHeight="1" x14ac:dyDescent="0.25">
      <c r="A204" s="470" t="str">
        <f t="shared" si="21"/>
        <v/>
      </c>
      <c r="B204" s="487"/>
      <c r="F204" s="488"/>
      <c r="G204" s="484"/>
      <c r="I204" s="513"/>
      <c r="J204" s="515">
        <f t="shared" si="22"/>
        <v>0</v>
      </c>
      <c r="K204" s="457"/>
      <c r="L204" s="502" t="str">
        <f t="shared" si="24"/>
        <v xml:space="preserve"> </v>
      </c>
      <c r="M204" s="467"/>
      <c r="N204" s="477">
        <f>IFERROR(VLOOKUP(P48,COPY!$A$1:$AC$1000,26,FALSE),0)</f>
        <v>0</v>
      </c>
      <c r="P204" s="448">
        <f>IFERROR(VLOOKUP(P48,COPY!$A$1:$AC$1000,29,FALSE),0)</f>
        <v>0</v>
      </c>
      <c r="S204" s="449">
        <f t="shared" si="23"/>
        <v>0</v>
      </c>
    </row>
    <row r="205" spans="1:19" ht="20.100000000000001" hidden="1" customHeight="1" x14ac:dyDescent="0.25">
      <c r="A205" s="470" t="str">
        <f t="shared" si="21"/>
        <v/>
      </c>
      <c r="B205" s="487"/>
      <c r="F205" s="488"/>
      <c r="G205" s="484"/>
      <c r="I205" s="513"/>
      <c r="J205" s="515">
        <f t="shared" si="22"/>
        <v>0</v>
      </c>
      <c r="K205" s="457"/>
      <c r="L205" s="502" t="str">
        <f t="shared" si="24"/>
        <v xml:space="preserve"> </v>
      </c>
      <c r="M205" s="467"/>
      <c r="N205" s="477">
        <f>IFERROR(VLOOKUP(P49,COPY!$A$1:$AC$1000,26,FALSE),0)</f>
        <v>0</v>
      </c>
      <c r="P205" s="448">
        <f>IFERROR(VLOOKUP(P49,COPY!$A$1:$AC$1000,29,FALSE),0)</f>
        <v>0</v>
      </c>
      <c r="S205" s="449">
        <f t="shared" si="23"/>
        <v>0</v>
      </c>
    </row>
    <row r="206" spans="1:19" ht="20.100000000000001" hidden="1" customHeight="1" x14ac:dyDescent="0.25">
      <c r="A206" s="470" t="str">
        <f t="shared" si="21"/>
        <v/>
      </c>
      <c r="B206" s="487"/>
      <c r="F206" s="488"/>
      <c r="G206" s="484"/>
      <c r="I206" s="513"/>
      <c r="J206" s="515">
        <f t="shared" si="22"/>
        <v>0</v>
      </c>
      <c r="K206" s="457"/>
      <c r="L206" s="502" t="str">
        <f t="shared" si="24"/>
        <v xml:space="preserve"> </v>
      </c>
      <c r="M206" s="467"/>
      <c r="N206" s="477">
        <f>IFERROR(VLOOKUP(P50,COPY!$A$1:$AC$1000,26,FALSE),0)</f>
        <v>0</v>
      </c>
      <c r="P206" s="448">
        <f>IFERROR(VLOOKUP(P50,COPY!$A$1:$AC$1000,29,FALSE),0)</f>
        <v>0</v>
      </c>
      <c r="S206" s="449">
        <f t="shared" si="23"/>
        <v>0</v>
      </c>
    </row>
    <row r="207" spans="1:19" ht="20.100000000000001" hidden="1" customHeight="1" x14ac:dyDescent="0.25">
      <c r="A207" s="470" t="str">
        <f t="shared" si="21"/>
        <v/>
      </c>
      <c r="B207" s="487"/>
      <c r="F207" s="488"/>
      <c r="G207" s="484"/>
      <c r="I207" s="513"/>
      <c r="J207" s="515">
        <f t="shared" si="22"/>
        <v>0</v>
      </c>
      <c r="K207" s="457"/>
      <c r="L207" s="502" t="str">
        <f t="shared" si="24"/>
        <v xml:space="preserve"> </v>
      </c>
      <c r="M207" s="467"/>
      <c r="N207" s="477">
        <f>IFERROR(VLOOKUP(P51,COPY!$A$1:$AC$1000,26,FALSE),0)</f>
        <v>0</v>
      </c>
      <c r="P207" s="448">
        <f>IFERROR(VLOOKUP(P51,COPY!$A$1:$AC$1000,29,FALSE),0)</f>
        <v>0</v>
      </c>
      <c r="S207" s="449">
        <f t="shared" si="23"/>
        <v>0</v>
      </c>
    </row>
    <row r="208" spans="1:19" ht="20.100000000000001" hidden="1" customHeight="1" x14ac:dyDescent="0.25">
      <c r="A208" s="470" t="str">
        <f t="shared" si="21"/>
        <v/>
      </c>
      <c r="B208" s="487"/>
      <c r="F208" s="488"/>
      <c r="G208" s="484"/>
      <c r="I208" s="513"/>
      <c r="J208" s="515">
        <f t="shared" si="22"/>
        <v>0</v>
      </c>
      <c r="K208" s="457"/>
      <c r="L208" s="502" t="str">
        <f t="shared" si="24"/>
        <v xml:space="preserve"> </v>
      </c>
      <c r="M208" s="467"/>
      <c r="N208" s="477">
        <f>IFERROR(VLOOKUP(P52,COPY!$A$1:$AC$1000,26,FALSE),0)</f>
        <v>0</v>
      </c>
      <c r="P208" s="448">
        <f>IFERROR(VLOOKUP(P52,COPY!$A$1:$AC$1000,29,FALSE),0)</f>
        <v>0</v>
      </c>
      <c r="S208" s="449">
        <f t="shared" si="23"/>
        <v>0</v>
      </c>
    </row>
    <row r="209" spans="1:19" ht="20.100000000000001" hidden="1" customHeight="1" x14ac:dyDescent="0.25">
      <c r="A209" s="470" t="str">
        <f t="shared" si="21"/>
        <v/>
      </c>
      <c r="B209" s="487"/>
      <c r="F209" s="488"/>
      <c r="G209" s="484"/>
      <c r="I209" s="513"/>
      <c r="J209" s="515">
        <f t="shared" si="22"/>
        <v>0</v>
      </c>
      <c r="K209" s="457"/>
      <c r="L209" s="502" t="str">
        <f t="shared" si="24"/>
        <v xml:space="preserve"> </v>
      </c>
      <c r="M209" s="467"/>
      <c r="N209" s="477">
        <f>IFERROR(VLOOKUP(P53,COPY!$A$1:$AC$1000,26,FALSE),0)</f>
        <v>0</v>
      </c>
      <c r="P209" s="448">
        <f>IFERROR(VLOOKUP(P53,COPY!$A$1:$AC$1000,29,FALSE),0)</f>
        <v>0</v>
      </c>
      <c r="S209" s="449">
        <f t="shared" si="23"/>
        <v>0</v>
      </c>
    </row>
    <row r="210" spans="1:19" ht="20.100000000000001" hidden="1" customHeight="1" x14ac:dyDescent="0.25">
      <c r="A210" s="470" t="str">
        <f t="shared" si="21"/>
        <v/>
      </c>
      <c r="B210" s="487"/>
      <c r="F210" s="488"/>
      <c r="G210" s="484"/>
      <c r="I210" s="513"/>
      <c r="J210" s="515">
        <f t="shared" si="22"/>
        <v>0</v>
      </c>
      <c r="K210" s="457"/>
      <c r="L210" s="502" t="str">
        <f t="shared" si="24"/>
        <v xml:space="preserve"> </v>
      </c>
      <c r="M210" s="467"/>
      <c r="N210" s="477">
        <f>IFERROR(VLOOKUP(P54,COPY!$A$1:$AC$1000,26,FALSE),0)</f>
        <v>0</v>
      </c>
      <c r="P210" s="448">
        <f>IFERROR(VLOOKUP(P54,COPY!$A$1:$AC$1000,29,FALSE),0)</f>
        <v>0</v>
      </c>
      <c r="S210" s="449">
        <f t="shared" si="23"/>
        <v>0</v>
      </c>
    </row>
    <row r="211" spans="1:19" ht="20.100000000000001" hidden="1" customHeight="1" x14ac:dyDescent="0.25">
      <c r="A211" s="470" t="str">
        <f t="shared" si="21"/>
        <v/>
      </c>
      <c r="B211" s="487"/>
      <c r="F211" s="488"/>
      <c r="G211" s="484"/>
      <c r="I211" s="513"/>
      <c r="J211" s="515">
        <f t="shared" si="22"/>
        <v>0</v>
      </c>
      <c r="K211" s="457"/>
      <c r="L211" s="502" t="str">
        <f t="shared" si="24"/>
        <v xml:space="preserve"> </v>
      </c>
      <c r="M211" s="467"/>
      <c r="N211" s="477">
        <f>IFERROR(VLOOKUP(P55,COPY!$A$1:$AC$1000,26,FALSE),0)</f>
        <v>0</v>
      </c>
      <c r="P211" s="448">
        <f>IFERROR(VLOOKUP(P55,COPY!$A$1:$AC$1000,29,FALSE),0)</f>
        <v>0</v>
      </c>
      <c r="S211" s="449">
        <f t="shared" si="23"/>
        <v>0</v>
      </c>
    </row>
    <row r="212" spans="1:19" ht="20.100000000000001" hidden="1" customHeight="1" x14ac:dyDescent="0.25">
      <c r="A212" s="470" t="str">
        <f t="shared" si="21"/>
        <v/>
      </c>
      <c r="B212" s="484"/>
      <c r="F212" s="488"/>
      <c r="G212" s="484"/>
      <c r="I212" s="513"/>
      <c r="J212" s="515">
        <f t="shared" si="22"/>
        <v>0</v>
      </c>
      <c r="K212" s="457"/>
      <c r="L212" s="502" t="str">
        <f t="shared" si="24"/>
        <v xml:space="preserve"> </v>
      </c>
      <c r="M212" s="467"/>
      <c r="N212" s="477">
        <f>IFERROR(VLOOKUP(P56,COPY!$A$1:$AC$1000,26,FALSE),0)</f>
        <v>0</v>
      </c>
      <c r="P212" s="448">
        <f>IFERROR(VLOOKUP(P56,COPY!$A$1:$AC$1000,29,FALSE),0)</f>
        <v>0</v>
      </c>
      <c r="S212" s="449">
        <f t="shared" si="23"/>
        <v>0</v>
      </c>
    </row>
    <row r="213" spans="1:19" ht="20.100000000000001" hidden="1" customHeight="1" x14ac:dyDescent="0.25">
      <c r="A213" s="470" t="str">
        <f t="shared" si="21"/>
        <v/>
      </c>
      <c r="B213" s="484"/>
      <c r="F213" s="488"/>
      <c r="G213" s="484"/>
      <c r="I213" s="513"/>
      <c r="J213" s="515">
        <f t="shared" si="22"/>
        <v>0</v>
      </c>
      <c r="K213" s="457"/>
      <c r="L213" s="502" t="str">
        <f t="shared" si="24"/>
        <v xml:space="preserve"> </v>
      </c>
      <c r="M213" s="467"/>
      <c r="N213" s="477">
        <f>IFERROR(VLOOKUP(P57,COPY!$A$1:$AC$1000,26,FALSE),0)</f>
        <v>0</v>
      </c>
      <c r="P213" s="448">
        <f>IFERROR(VLOOKUP(P57,COPY!$A$1:$AC$1000,29,FALSE),0)</f>
        <v>0</v>
      </c>
      <c r="S213" s="449">
        <f t="shared" si="23"/>
        <v>0</v>
      </c>
    </row>
    <row r="214" spans="1:19" ht="20.100000000000001" hidden="1" customHeight="1" x14ac:dyDescent="0.25">
      <c r="A214" s="470" t="str">
        <f t="shared" si="21"/>
        <v/>
      </c>
      <c r="B214" s="484"/>
      <c r="F214" s="488"/>
      <c r="G214" s="484"/>
      <c r="I214" s="513"/>
      <c r="J214" s="515">
        <f t="shared" si="22"/>
        <v>0</v>
      </c>
      <c r="K214" s="457"/>
      <c r="L214" s="502" t="str">
        <f t="shared" si="24"/>
        <v xml:space="preserve"> </v>
      </c>
      <c r="M214" s="467"/>
      <c r="N214" s="477">
        <f>IFERROR(VLOOKUP(P58,COPY!$A$1:$AC$1000,26,FALSE),0)</f>
        <v>0</v>
      </c>
      <c r="P214" s="448">
        <f>IFERROR(VLOOKUP(P58,COPY!$A$1:$AC$1000,29,FALSE),0)</f>
        <v>0</v>
      </c>
      <c r="S214" s="449">
        <f t="shared" si="23"/>
        <v>0</v>
      </c>
    </row>
    <row r="215" spans="1:19" ht="20.100000000000001" hidden="1" customHeight="1" x14ac:dyDescent="0.25">
      <c r="A215" s="470" t="str">
        <f t="shared" si="21"/>
        <v/>
      </c>
      <c r="B215" s="484"/>
      <c r="F215" s="488"/>
      <c r="G215" s="484"/>
      <c r="I215" s="513"/>
      <c r="J215" s="515">
        <f t="shared" si="22"/>
        <v>0</v>
      </c>
      <c r="K215" s="457"/>
      <c r="L215" s="502" t="str">
        <f t="shared" si="24"/>
        <v xml:space="preserve"> </v>
      </c>
      <c r="M215" s="467"/>
      <c r="N215" s="477">
        <f>IFERROR(VLOOKUP(P59,COPY!$A$1:$AC$1000,26,FALSE),0)</f>
        <v>0</v>
      </c>
      <c r="P215" s="448">
        <f>IFERROR(VLOOKUP(P59,COPY!$A$1:$AC$1000,29,FALSE),0)</f>
        <v>0</v>
      </c>
      <c r="S215" s="449">
        <f t="shared" si="23"/>
        <v>0</v>
      </c>
    </row>
    <row r="216" spans="1:19" ht="20.100000000000001" hidden="1" customHeight="1" x14ac:dyDescent="0.25">
      <c r="A216" s="470" t="str">
        <f t="shared" si="21"/>
        <v/>
      </c>
      <c r="B216" s="487"/>
      <c r="F216" s="488"/>
      <c r="G216" s="484"/>
      <c r="I216" s="513"/>
      <c r="J216" s="515">
        <f t="shared" si="22"/>
        <v>0</v>
      </c>
      <c r="K216" s="457"/>
      <c r="L216" s="502" t="str">
        <f t="shared" si="24"/>
        <v xml:space="preserve"> </v>
      </c>
      <c r="M216" s="467"/>
      <c r="N216" s="477">
        <f>IFERROR(VLOOKUP(P60,COPY!$A$1:$AC$1000,26,FALSE),0)</f>
        <v>0</v>
      </c>
      <c r="P216" s="448">
        <f>IFERROR(VLOOKUP(P60,COPY!$A$1:$AC$1000,29,FALSE),0)</f>
        <v>0</v>
      </c>
      <c r="S216" s="449">
        <f t="shared" si="23"/>
        <v>0</v>
      </c>
    </row>
    <row r="217" spans="1:19" ht="20.100000000000001" hidden="1" customHeight="1" x14ac:dyDescent="0.25">
      <c r="A217" s="470" t="str">
        <f t="shared" si="21"/>
        <v/>
      </c>
      <c r="B217" s="487"/>
      <c r="F217" s="488"/>
      <c r="G217" s="484"/>
      <c r="I217" s="513"/>
      <c r="J217" s="515">
        <f t="shared" si="22"/>
        <v>0</v>
      </c>
      <c r="K217" s="457"/>
      <c r="L217" s="502" t="str">
        <f t="shared" si="24"/>
        <v xml:space="preserve"> </v>
      </c>
      <c r="M217" s="467"/>
      <c r="N217" s="477">
        <f>IFERROR(VLOOKUP(P61,COPY!$A$1:$AC$1000,26,FALSE),0)</f>
        <v>0</v>
      </c>
      <c r="P217" s="448">
        <f>IFERROR(VLOOKUP(P61,COPY!$A$1:$AC$1000,29,FALSE),0)</f>
        <v>0</v>
      </c>
      <c r="S217" s="449">
        <f t="shared" si="23"/>
        <v>0</v>
      </c>
    </row>
    <row r="218" spans="1:19" ht="20.100000000000001" hidden="1" customHeight="1" x14ac:dyDescent="0.25">
      <c r="A218" s="470" t="str">
        <f t="shared" si="21"/>
        <v/>
      </c>
      <c r="B218" s="487"/>
      <c r="F218" s="488"/>
      <c r="G218" s="484"/>
      <c r="I218" s="513"/>
      <c r="J218" s="515">
        <f t="shared" si="22"/>
        <v>0</v>
      </c>
      <c r="K218" s="457"/>
      <c r="L218" s="502" t="str">
        <f t="shared" si="24"/>
        <v xml:space="preserve"> </v>
      </c>
      <c r="M218" s="467"/>
      <c r="N218" s="477">
        <f>IFERROR(VLOOKUP(P62,COPY!$A$1:$AC$1000,26,FALSE),0)</f>
        <v>0</v>
      </c>
      <c r="P218" s="448">
        <f>IFERROR(VLOOKUP(P62,COPY!$A$1:$AC$1000,29,FALSE),0)</f>
        <v>0</v>
      </c>
      <c r="S218" s="449">
        <f t="shared" si="23"/>
        <v>0</v>
      </c>
    </row>
    <row r="219" spans="1:19" ht="20.100000000000001" hidden="1" customHeight="1" x14ac:dyDescent="0.25">
      <c r="A219" s="470" t="str">
        <f t="shared" si="21"/>
        <v/>
      </c>
      <c r="B219" s="487"/>
      <c r="F219" s="488"/>
      <c r="G219" s="484"/>
      <c r="I219" s="513"/>
      <c r="J219" s="515">
        <f t="shared" si="22"/>
        <v>0</v>
      </c>
      <c r="K219" s="457"/>
      <c r="L219" s="502" t="str">
        <f t="shared" si="24"/>
        <v xml:space="preserve"> </v>
      </c>
      <c r="M219" s="467"/>
      <c r="N219" s="477">
        <f>IFERROR(VLOOKUP(P63,COPY!$A$1:$AC$1000,26,FALSE),0)</f>
        <v>0</v>
      </c>
      <c r="P219" s="448">
        <f>IFERROR(VLOOKUP(P63,COPY!$A$1:$AC$1000,29,FALSE),0)</f>
        <v>0</v>
      </c>
      <c r="S219" s="449">
        <f t="shared" si="23"/>
        <v>0</v>
      </c>
    </row>
    <row r="220" spans="1:19" ht="20.100000000000001" hidden="1" customHeight="1" x14ac:dyDescent="0.25">
      <c r="A220" s="470" t="str">
        <f t="shared" si="21"/>
        <v/>
      </c>
      <c r="B220" s="487"/>
      <c r="F220" s="488"/>
      <c r="G220" s="484"/>
      <c r="I220" s="513"/>
      <c r="J220" s="515">
        <f t="shared" si="22"/>
        <v>0</v>
      </c>
      <c r="K220" s="457"/>
      <c r="L220" s="502" t="str">
        <f t="shared" si="24"/>
        <v xml:space="preserve"> </v>
      </c>
      <c r="M220" s="467"/>
      <c r="N220" s="477">
        <f>IFERROR(VLOOKUP(P64,COPY!$A$1:$AC$1000,26,FALSE),0)</f>
        <v>0</v>
      </c>
      <c r="P220" s="448">
        <f>IFERROR(VLOOKUP(P64,COPY!$A$1:$AC$1000,29,FALSE),0)</f>
        <v>0</v>
      </c>
      <c r="S220" s="449">
        <f t="shared" si="23"/>
        <v>0</v>
      </c>
    </row>
    <row r="221" spans="1:19" ht="20.100000000000001" hidden="1" customHeight="1" x14ac:dyDescent="0.25">
      <c r="A221" s="470" t="str">
        <f t="shared" si="21"/>
        <v/>
      </c>
      <c r="B221" s="487"/>
      <c r="F221" s="488"/>
      <c r="G221" s="484"/>
      <c r="I221" s="513"/>
      <c r="J221" s="515">
        <f t="shared" si="22"/>
        <v>0</v>
      </c>
      <c r="K221" s="457"/>
      <c r="L221" s="502" t="str">
        <f t="shared" si="24"/>
        <v xml:space="preserve"> </v>
      </c>
      <c r="M221" s="467"/>
      <c r="N221" s="477">
        <f>IFERROR(VLOOKUP(P65,COPY!$A$1:$AC$1000,26,FALSE),0)</f>
        <v>0</v>
      </c>
      <c r="P221" s="448">
        <f>IFERROR(VLOOKUP(P65,COPY!$A$1:$AC$1000,29,FALSE),0)</f>
        <v>0</v>
      </c>
      <c r="S221" s="449">
        <f t="shared" si="23"/>
        <v>0</v>
      </c>
    </row>
    <row r="222" spans="1:19" ht="20.100000000000001" hidden="1" customHeight="1" x14ac:dyDescent="0.25">
      <c r="A222" s="470" t="str">
        <f t="shared" si="21"/>
        <v/>
      </c>
      <c r="B222" s="487"/>
      <c r="F222" s="488"/>
      <c r="G222" s="484"/>
      <c r="I222" s="513"/>
      <c r="J222" s="515">
        <f t="shared" si="22"/>
        <v>0</v>
      </c>
      <c r="K222" s="457"/>
      <c r="L222" s="502" t="str">
        <f t="shared" si="24"/>
        <v xml:space="preserve"> </v>
      </c>
      <c r="M222" s="467"/>
      <c r="N222" s="477">
        <f>IFERROR(VLOOKUP(P66,COPY!$A$1:$AC$1000,26,FALSE),0)</f>
        <v>0</v>
      </c>
      <c r="P222" s="448">
        <f>IFERROR(VLOOKUP(P66,COPY!$A$1:$AC$1000,29,FALSE),0)</f>
        <v>0</v>
      </c>
      <c r="S222" s="449">
        <f t="shared" si="23"/>
        <v>0</v>
      </c>
    </row>
    <row r="223" spans="1:19" ht="20.100000000000001" hidden="1" customHeight="1" x14ac:dyDescent="0.25">
      <c r="A223" s="470" t="str">
        <f t="shared" si="21"/>
        <v/>
      </c>
      <c r="B223" s="487"/>
      <c r="F223" s="488"/>
      <c r="G223" s="484"/>
      <c r="I223" s="513"/>
      <c r="J223" s="515">
        <f t="shared" si="22"/>
        <v>0</v>
      </c>
      <c r="K223" s="457"/>
      <c r="L223" s="502" t="str">
        <f t="shared" si="24"/>
        <v xml:space="preserve"> </v>
      </c>
      <c r="M223" s="467"/>
      <c r="N223" s="477">
        <f>IFERROR(VLOOKUP(P67,COPY!$A$1:$AC$1000,26,FALSE),0)</f>
        <v>0</v>
      </c>
      <c r="P223" s="448">
        <f>IFERROR(VLOOKUP(P67,COPY!$A$1:$AC$1000,29,FALSE),0)</f>
        <v>0</v>
      </c>
      <c r="S223" s="449">
        <f t="shared" si="23"/>
        <v>0</v>
      </c>
    </row>
    <row r="224" spans="1:19" ht="20.100000000000001" hidden="1" customHeight="1" x14ac:dyDescent="0.25">
      <c r="A224" s="470" t="str">
        <f t="shared" si="21"/>
        <v/>
      </c>
      <c r="B224" s="487"/>
      <c r="F224" s="488"/>
      <c r="G224" s="484"/>
      <c r="I224" s="513"/>
      <c r="J224" s="515">
        <f t="shared" si="22"/>
        <v>0</v>
      </c>
      <c r="K224" s="457"/>
      <c r="L224" s="502" t="str">
        <f t="shared" si="24"/>
        <v xml:space="preserve"> </v>
      </c>
      <c r="M224" s="467"/>
      <c r="N224" s="477">
        <f>IFERROR(VLOOKUP(P68,COPY!$A$1:$AC$1000,26,FALSE),0)</f>
        <v>0</v>
      </c>
      <c r="P224" s="448">
        <f>IFERROR(VLOOKUP(P68,COPY!$A$1:$AC$1000,29,FALSE),0)</f>
        <v>0</v>
      </c>
      <c r="S224" s="449">
        <f t="shared" si="23"/>
        <v>0</v>
      </c>
    </row>
    <row r="225" spans="1:19" ht="20.100000000000001" hidden="1" customHeight="1" x14ac:dyDescent="0.25">
      <c r="A225" s="470" t="str">
        <f t="shared" si="21"/>
        <v/>
      </c>
      <c r="B225" s="487"/>
      <c r="F225" s="488"/>
      <c r="G225" s="484"/>
      <c r="I225" s="513"/>
      <c r="J225" s="515">
        <f t="shared" si="22"/>
        <v>0</v>
      </c>
      <c r="K225" s="457"/>
      <c r="L225" s="502" t="str">
        <f t="shared" si="24"/>
        <v xml:space="preserve"> </v>
      </c>
      <c r="M225" s="467"/>
      <c r="N225" s="477">
        <f>IFERROR(VLOOKUP(P69,COPY!$A$1:$AC$1000,26,FALSE),0)</f>
        <v>0</v>
      </c>
      <c r="P225" s="448">
        <f>IFERROR(VLOOKUP(P69,COPY!$A$1:$AC$1000,29,FALSE),0)</f>
        <v>0</v>
      </c>
      <c r="S225" s="449">
        <f t="shared" si="23"/>
        <v>0</v>
      </c>
    </row>
    <row r="226" spans="1:19" ht="20.100000000000001" hidden="1" customHeight="1" x14ac:dyDescent="0.25">
      <c r="A226" s="470" t="str">
        <f t="shared" si="21"/>
        <v/>
      </c>
      <c r="B226" s="487"/>
      <c r="F226" s="488"/>
      <c r="G226" s="484"/>
      <c r="I226" s="513"/>
      <c r="J226" s="515">
        <f t="shared" si="22"/>
        <v>0</v>
      </c>
      <c r="K226" s="457"/>
      <c r="L226" s="502" t="str">
        <f t="shared" si="24"/>
        <v xml:space="preserve"> </v>
      </c>
      <c r="M226" s="467"/>
      <c r="N226" s="477">
        <f>IFERROR(VLOOKUP(P70,COPY!$A$1:$AC$1000,26,FALSE),0)</f>
        <v>0</v>
      </c>
      <c r="P226" s="448">
        <f>IFERROR(VLOOKUP(P70,COPY!$A$1:$AC$1000,29,FALSE),0)</f>
        <v>0</v>
      </c>
      <c r="S226" s="449">
        <f t="shared" si="23"/>
        <v>0</v>
      </c>
    </row>
    <row r="227" spans="1:19" ht="20.100000000000001" hidden="1" customHeight="1" x14ac:dyDescent="0.25">
      <c r="A227" s="470" t="str">
        <f t="shared" si="21"/>
        <v/>
      </c>
      <c r="B227" s="487"/>
      <c r="F227" s="488"/>
      <c r="G227" s="484"/>
      <c r="I227" s="513"/>
      <c r="J227" s="515">
        <f t="shared" si="22"/>
        <v>0</v>
      </c>
      <c r="K227" s="457"/>
      <c r="L227" s="502" t="str">
        <f t="shared" si="24"/>
        <v xml:space="preserve"> </v>
      </c>
      <c r="M227" s="467"/>
      <c r="N227" s="477">
        <f>IFERROR(VLOOKUP(P71,COPY!$A$1:$AC$1000,26,FALSE),0)</f>
        <v>0</v>
      </c>
      <c r="P227" s="448">
        <f>IFERROR(VLOOKUP(P71,COPY!$A$1:$AC$1000,29,FALSE),0)</f>
        <v>0</v>
      </c>
      <c r="S227" s="449">
        <f t="shared" si="23"/>
        <v>0</v>
      </c>
    </row>
    <row r="228" spans="1:19" ht="20.100000000000001" hidden="1" customHeight="1" x14ac:dyDescent="0.25">
      <c r="A228" s="470" t="str">
        <f t="shared" si="21"/>
        <v/>
      </c>
      <c r="B228" s="487"/>
      <c r="F228" s="488"/>
      <c r="G228" s="484"/>
      <c r="I228" s="513"/>
      <c r="J228" s="515">
        <f t="shared" si="22"/>
        <v>0</v>
      </c>
      <c r="K228" s="457"/>
      <c r="L228" s="502" t="str">
        <f t="shared" si="24"/>
        <v xml:space="preserve"> </v>
      </c>
      <c r="M228" s="467"/>
      <c r="N228" s="477">
        <f>IFERROR(VLOOKUP(P72,COPY!$A$1:$AC$1000,26,FALSE),0)</f>
        <v>0</v>
      </c>
      <c r="P228" s="448">
        <f>IFERROR(VLOOKUP(P72,COPY!$A$1:$AC$1000,29,FALSE),0)</f>
        <v>0</v>
      </c>
      <c r="S228" s="449">
        <f t="shared" si="23"/>
        <v>0</v>
      </c>
    </row>
    <row r="229" spans="1:19" ht="20.100000000000001" hidden="1" customHeight="1" x14ac:dyDescent="0.25">
      <c r="A229" s="470" t="str">
        <f t="shared" si="21"/>
        <v/>
      </c>
      <c r="B229" s="487"/>
      <c r="F229" s="488"/>
      <c r="G229" s="484"/>
      <c r="I229" s="513"/>
      <c r="J229" s="515">
        <f t="shared" si="22"/>
        <v>0</v>
      </c>
      <c r="K229" s="457"/>
      <c r="L229" s="502" t="str">
        <f t="shared" si="24"/>
        <v xml:space="preserve"> </v>
      </c>
      <c r="M229" s="467"/>
      <c r="N229" s="477">
        <f>IFERROR(VLOOKUP(P73,COPY!$A$1:$AC$1000,26,FALSE),0)</f>
        <v>0</v>
      </c>
      <c r="P229" s="448">
        <f>IFERROR(VLOOKUP(P73,COPY!$A$1:$AC$1000,29,FALSE),0)</f>
        <v>0</v>
      </c>
      <c r="S229" s="449">
        <f t="shared" si="23"/>
        <v>0</v>
      </c>
    </row>
    <row r="230" spans="1:19" ht="20.100000000000001" hidden="1" customHeight="1" x14ac:dyDescent="0.25">
      <c r="A230" s="470" t="str">
        <f t="shared" si="21"/>
        <v/>
      </c>
      <c r="B230" s="487"/>
      <c r="F230" s="488"/>
      <c r="G230" s="484"/>
      <c r="I230" s="513"/>
      <c r="J230" s="515">
        <f t="shared" si="22"/>
        <v>0</v>
      </c>
      <c r="K230" s="457"/>
      <c r="L230" s="502" t="str">
        <f t="shared" si="24"/>
        <v xml:space="preserve"> </v>
      </c>
      <c r="M230" s="467"/>
      <c r="N230" s="477">
        <f>IFERROR(VLOOKUP(P74,COPY!$A$1:$AC$1000,26,FALSE),0)</f>
        <v>0</v>
      </c>
      <c r="P230" s="448">
        <f>IFERROR(VLOOKUP(P74,COPY!$A$1:$AC$1000,29,FALSE),0)</f>
        <v>0</v>
      </c>
      <c r="S230" s="449">
        <f t="shared" si="23"/>
        <v>0</v>
      </c>
    </row>
    <row r="231" spans="1:19" ht="20.100000000000001" hidden="1" customHeight="1" x14ac:dyDescent="0.25">
      <c r="A231" s="470" t="str">
        <f t="shared" si="21"/>
        <v/>
      </c>
      <c r="B231" s="487"/>
      <c r="F231" s="488"/>
      <c r="G231" s="484"/>
      <c r="I231" s="513"/>
      <c r="J231" s="515">
        <f t="shared" si="22"/>
        <v>0</v>
      </c>
      <c r="K231" s="457"/>
      <c r="L231" s="502" t="str">
        <f t="shared" si="24"/>
        <v xml:space="preserve"> </v>
      </c>
      <c r="M231" s="467"/>
      <c r="N231" s="477">
        <f>IFERROR(VLOOKUP(P75,COPY!$A$1:$AC$1000,26,FALSE),0)</f>
        <v>0</v>
      </c>
      <c r="P231" s="448">
        <f>IFERROR(VLOOKUP(P75,COPY!$A$1:$AC$1000,29,FALSE),0)</f>
        <v>0</v>
      </c>
      <c r="S231" s="449">
        <f t="shared" si="23"/>
        <v>0</v>
      </c>
    </row>
    <row r="232" spans="1:19" ht="20.100000000000001" hidden="1" customHeight="1" x14ac:dyDescent="0.25">
      <c r="A232" s="470" t="str">
        <f t="shared" si="21"/>
        <v/>
      </c>
      <c r="B232" s="487"/>
      <c r="F232" s="488"/>
      <c r="G232" s="484"/>
      <c r="I232" s="513"/>
      <c r="J232" s="515">
        <f t="shared" si="22"/>
        <v>0</v>
      </c>
      <c r="K232" s="457"/>
      <c r="L232" s="502" t="str">
        <f t="shared" si="24"/>
        <v xml:space="preserve"> </v>
      </c>
      <c r="M232" s="467"/>
      <c r="N232" s="477">
        <f>IFERROR(VLOOKUP(P76,COPY!$A$1:$AC$1000,26,FALSE),0)</f>
        <v>0</v>
      </c>
      <c r="P232" s="448">
        <f>IFERROR(VLOOKUP(P76,COPY!$A$1:$AC$1000,29,FALSE),0)</f>
        <v>0</v>
      </c>
      <c r="S232" s="449">
        <f t="shared" si="23"/>
        <v>0</v>
      </c>
    </row>
    <row r="233" spans="1:19" ht="20.100000000000001" hidden="1" customHeight="1" x14ac:dyDescent="0.25">
      <c r="A233" s="470" t="str">
        <f t="shared" si="21"/>
        <v/>
      </c>
      <c r="B233" s="487"/>
      <c r="F233" s="488"/>
      <c r="G233" s="484"/>
      <c r="I233" s="513"/>
      <c r="J233" s="515">
        <f t="shared" si="22"/>
        <v>0</v>
      </c>
      <c r="K233" s="457"/>
      <c r="L233" s="502" t="str">
        <f t="shared" si="24"/>
        <v xml:space="preserve"> </v>
      </c>
      <c r="M233" s="467"/>
      <c r="N233" s="477">
        <f>IFERROR(VLOOKUP(P77,COPY!$A$1:$AC$1000,26,FALSE),0)</f>
        <v>0</v>
      </c>
      <c r="P233" s="448">
        <f>IFERROR(VLOOKUP(P77,COPY!$A$1:$AC$1000,29,FALSE),0)</f>
        <v>0</v>
      </c>
      <c r="S233" s="449">
        <f t="shared" si="23"/>
        <v>0</v>
      </c>
    </row>
    <row r="234" spans="1:19" ht="20.100000000000001" hidden="1" customHeight="1" x14ac:dyDescent="0.25">
      <c r="A234" s="470" t="str">
        <f t="shared" si="21"/>
        <v/>
      </c>
      <c r="B234" s="487"/>
      <c r="F234" s="488"/>
      <c r="G234" s="484"/>
      <c r="I234" s="513"/>
      <c r="J234" s="515">
        <f t="shared" si="22"/>
        <v>0</v>
      </c>
      <c r="K234" s="457"/>
      <c r="L234" s="502" t="str">
        <f t="shared" si="24"/>
        <v xml:space="preserve"> </v>
      </c>
      <c r="M234" s="467"/>
      <c r="N234" s="477">
        <f>IFERROR(VLOOKUP(P78,COPY!$A$1:$AC$1000,26,FALSE),0)</f>
        <v>0</v>
      </c>
      <c r="P234" s="448">
        <f>IFERROR(VLOOKUP(P78,COPY!$A$1:$AC$1000,29,FALSE),0)</f>
        <v>0</v>
      </c>
      <c r="S234" s="449">
        <f t="shared" si="23"/>
        <v>0</v>
      </c>
    </row>
    <row r="235" spans="1:19" ht="20.100000000000001" hidden="1" customHeight="1" x14ac:dyDescent="0.25">
      <c r="A235" s="470" t="str">
        <f t="shared" si="21"/>
        <v/>
      </c>
      <c r="B235" s="487"/>
      <c r="F235" s="488"/>
      <c r="G235" s="484"/>
      <c r="I235" s="513"/>
      <c r="J235" s="515">
        <f t="shared" si="22"/>
        <v>0</v>
      </c>
      <c r="K235" s="457"/>
      <c r="L235" s="502" t="str">
        <f t="shared" si="24"/>
        <v xml:space="preserve"> </v>
      </c>
      <c r="M235" s="467"/>
      <c r="N235" s="477">
        <f>IFERROR(VLOOKUP(P79,COPY!$A$1:$AC$1000,26,FALSE),0)</f>
        <v>0</v>
      </c>
      <c r="P235" s="448">
        <f>IFERROR(VLOOKUP(P79,COPY!$A$1:$AC$1000,29,FALSE),0)</f>
        <v>0</v>
      </c>
      <c r="S235" s="449">
        <f t="shared" si="23"/>
        <v>0</v>
      </c>
    </row>
    <row r="236" spans="1:19" ht="20.100000000000001" hidden="1" customHeight="1" x14ac:dyDescent="0.25">
      <c r="A236" s="470" t="str">
        <f t="shared" si="21"/>
        <v/>
      </c>
      <c r="B236" s="487"/>
      <c r="F236" s="488"/>
      <c r="G236" s="484"/>
      <c r="I236" s="513"/>
      <c r="J236" s="515">
        <f t="shared" si="22"/>
        <v>0</v>
      </c>
      <c r="K236" s="457"/>
      <c r="L236" s="502" t="str">
        <f t="shared" si="24"/>
        <v xml:space="preserve"> </v>
      </c>
      <c r="M236" s="467"/>
      <c r="N236" s="477">
        <f>IFERROR(VLOOKUP(P80,COPY!$A$1:$AC$1000,26,FALSE),0)</f>
        <v>0</v>
      </c>
      <c r="P236" s="448">
        <f>IFERROR(VLOOKUP(P80,COPY!$A$1:$AC$1000,29,FALSE),0)</f>
        <v>0</v>
      </c>
      <c r="S236" s="449">
        <f t="shared" si="23"/>
        <v>0</v>
      </c>
    </row>
    <row r="237" spans="1:19" ht="20.100000000000001" hidden="1" customHeight="1" x14ac:dyDescent="0.25">
      <c r="A237" s="470" t="str">
        <f t="shared" si="21"/>
        <v/>
      </c>
      <c r="B237" s="487"/>
      <c r="F237" s="488"/>
      <c r="G237" s="484"/>
      <c r="I237" s="513"/>
      <c r="J237" s="515">
        <f t="shared" si="22"/>
        <v>0</v>
      </c>
      <c r="K237" s="457"/>
      <c r="L237" s="502" t="str">
        <f t="shared" si="24"/>
        <v xml:space="preserve"> </v>
      </c>
      <c r="M237" s="467"/>
      <c r="N237" s="477">
        <f>IFERROR(VLOOKUP(P81,COPY!$A$1:$AC$1000,26,FALSE),0)</f>
        <v>0</v>
      </c>
      <c r="P237" s="448">
        <f>IFERROR(VLOOKUP(P81,COPY!$A$1:$AC$1000,29,FALSE),0)</f>
        <v>0</v>
      </c>
      <c r="S237" s="449">
        <f t="shared" si="23"/>
        <v>0</v>
      </c>
    </row>
    <row r="238" spans="1:19" ht="20.100000000000001" hidden="1" customHeight="1" x14ac:dyDescent="0.25">
      <c r="A238" s="470" t="str">
        <f t="shared" si="21"/>
        <v/>
      </c>
      <c r="B238" s="487"/>
      <c r="F238" s="488"/>
      <c r="G238" s="484"/>
      <c r="I238" s="513"/>
      <c r="J238" s="515">
        <f t="shared" si="22"/>
        <v>0</v>
      </c>
      <c r="K238" s="457"/>
      <c r="L238" s="502" t="str">
        <f t="shared" si="24"/>
        <v xml:space="preserve"> </v>
      </c>
      <c r="M238" s="467"/>
      <c r="N238" s="477">
        <f>IFERROR(VLOOKUP(P82,COPY!$A$1:$AC$1000,26,FALSE),0)</f>
        <v>0</v>
      </c>
      <c r="P238" s="448">
        <f>IFERROR(VLOOKUP(P82,COPY!$A$1:$AC$1000,29,FALSE),0)</f>
        <v>0</v>
      </c>
      <c r="S238" s="449">
        <f t="shared" si="23"/>
        <v>0</v>
      </c>
    </row>
    <row r="239" spans="1:19" ht="20.100000000000001" hidden="1" customHeight="1" x14ac:dyDescent="0.25">
      <c r="A239" s="470" t="str">
        <f t="shared" si="21"/>
        <v/>
      </c>
      <c r="B239" s="487"/>
      <c r="F239" s="488"/>
      <c r="G239" s="484"/>
      <c r="I239" s="513"/>
      <c r="J239" s="515">
        <f t="shared" si="22"/>
        <v>0</v>
      </c>
      <c r="K239" s="457"/>
      <c r="L239" s="502" t="str">
        <f t="shared" si="24"/>
        <v xml:space="preserve"> </v>
      </c>
      <c r="M239" s="467"/>
      <c r="N239" s="477">
        <f>IFERROR(VLOOKUP(P83,COPY!$A$1:$AC$1000,26,FALSE),0)</f>
        <v>0</v>
      </c>
      <c r="P239" s="448">
        <f>IFERROR(VLOOKUP(P83,COPY!$A$1:$AC$1000,29,FALSE),0)</f>
        <v>0</v>
      </c>
      <c r="S239" s="449">
        <f t="shared" si="23"/>
        <v>0</v>
      </c>
    </row>
    <row r="240" spans="1:19" ht="20.100000000000001" hidden="1" customHeight="1" x14ac:dyDescent="0.25">
      <c r="A240" s="470" t="str">
        <f t="shared" si="21"/>
        <v/>
      </c>
      <c r="B240" s="487"/>
      <c r="F240" s="488"/>
      <c r="G240" s="484"/>
      <c r="I240" s="513"/>
      <c r="J240" s="515">
        <f t="shared" si="22"/>
        <v>0</v>
      </c>
      <c r="K240" s="457"/>
      <c r="L240" s="502" t="str">
        <f t="shared" si="24"/>
        <v xml:space="preserve"> </v>
      </c>
      <c r="M240" s="467"/>
      <c r="N240" s="477">
        <f>IFERROR(VLOOKUP(P84,COPY!$A$1:$AC$1000,26,FALSE),0)</f>
        <v>0</v>
      </c>
      <c r="P240" s="448">
        <f>IFERROR(VLOOKUP(P84,COPY!$A$1:$AC$1000,29,FALSE),0)</f>
        <v>0</v>
      </c>
      <c r="S240" s="449">
        <f t="shared" si="23"/>
        <v>0</v>
      </c>
    </row>
    <row r="241" spans="1:19" ht="20.100000000000001" hidden="1" customHeight="1" x14ac:dyDescent="0.25">
      <c r="A241" s="470" t="str">
        <f t="shared" si="21"/>
        <v/>
      </c>
      <c r="B241" s="487"/>
      <c r="F241" s="488"/>
      <c r="G241" s="484"/>
      <c r="I241" s="513"/>
      <c r="J241" s="515">
        <f t="shared" si="22"/>
        <v>0</v>
      </c>
      <c r="K241" s="457"/>
      <c r="L241" s="502" t="str">
        <f t="shared" si="24"/>
        <v xml:space="preserve"> </v>
      </c>
      <c r="M241" s="467"/>
      <c r="N241" s="477">
        <f>IFERROR(VLOOKUP(P85,COPY!$A$1:$AC$1000,26,FALSE),0)</f>
        <v>0</v>
      </c>
      <c r="P241" s="448">
        <f>IFERROR(VLOOKUP(P85,COPY!$A$1:$AC$1000,29,FALSE),0)</f>
        <v>0</v>
      </c>
      <c r="S241" s="449">
        <f t="shared" si="23"/>
        <v>0</v>
      </c>
    </row>
    <row r="242" spans="1:19" ht="20.100000000000001" hidden="1" customHeight="1" x14ac:dyDescent="0.25">
      <c r="A242" s="470" t="str">
        <f t="shared" si="21"/>
        <v/>
      </c>
      <c r="B242" s="487"/>
      <c r="F242" s="488"/>
      <c r="G242" s="484"/>
      <c r="I242" s="513"/>
      <c r="J242" s="515">
        <f t="shared" si="22"/>
        <v>0</v>
      </c>
      <c r="K242" s="457"/>
      <c r="L242" s="502" t="str">
        <f t="shared" si="24"/>
        <v xml:space="preserve"> </v>
      </c>
      <c r="M242" s="467"/>
      <c r="N242" s="477">
        <f>IFERROR(VLOOKUP(P86,COPY!$A$1:$AC$1000,26,FALSE),0)</f>
        <v>0</v>
      </c>
      <c r="P242" s="448">
        <f>IFERROR(VLOOKUP(P86,COPY!$A$1:$AC$1000,29,FALSE),0)</f>
        <v>0</v>
      </c>
      <c r="S242" s="449">
        <f t="shared" si="23"/>
        <v>0</v>
      </c>
    </row>
    <row r="243" spans="1:19" ht="20.100000000000001" hidden="1" customHeight="1" x14ac:dyDescent="0.25">
      <c r="A243" s="470" t="str">
        <f t="shared" si="21"/>
        <v/>
      </c>
      <c r="B243" s="487"/>
      <c r="F243" s="488"/>
      <c r="G243" s="484"/>
      <c r="I243" s="513"/>
      <c r="J243" s="515">
        <f t="shared" si="22"/>
        <v>0</v>
      </c>
      <c r="K243" s="457"/>
      <c r="L243" s="502" t="str">
        <f t="shared" si="24"/>
        <v xml:space="preserve"> </v>
      </c>
      <c r="M243" s="467"/>
      <c r="N243" s="477">
        <f>IFERROR(VLOOKUP(P87,COPY!$A$1:$AC$1000,26,FALSE),0)</f>
        <v>0</v>
      </c>
      <c r="P243" s="448">
        <f>IFERROR(VLOOKUP(P87,COPY!$A$1:$AC$1000,29,FALSE),0)</f>
        <v>0</v>
      </c>
      <c r="S243" s="449">
        <f t="shared" si="23"/>
        <v>0</v>
      </c>
    </row>
    <row r="244" spans="1:19" ht="20.100000000000001" hidden="1" customHeight="1" x14ac:dyDescent="0.25">
      <c r="A244" s="470" t="str">
        <f t="shared" si="21"/>
        <v/>
      </c>
      <c r="B244" s="487"/>
      <c r="F244" s="488"/>
      <c r="G244" s="484"/>
      <c r="I244" s="513"/>
      <c r="J244" s="515">
        <f t="shared" si="22"/>
        <v>0</v>
      </c>
      <c r="K244" s="457"/>
      <c r="L244" s="502" t="str">
        <f t="shared" si="24"/>
        <v xml:space="preserve"> </v>
      </c>
      <c r="M244" s="467"/>
      <c r="N244" s="477">
        <f>IFERROR(VLOOKUP(P88,COPY!$A$1:$AC$1000,26,FALSE),0)</f>
        <v>0</v>
      </c>
      <c r="P244" s="448">
        <f>IFERROR(VLOOKUP(P88,COPY!$A$1:$AC$1000,29,FALSE),0)</f>
        <v>0</v>
      </c>
      <c r="S244" s="449">
        <f t="shared" si="23"/>
        <v>0</v>
      </c>
    </row>
    <row r="245" spans="1:19" ht="20.100000000000001" hidden="1" customHeight="1" x14ac:dyDescent="0.25">
      <c r="A245" s="470" t="str">
        <f t="shared" si="21"/>
        <v/>
      </c>
      <c r="B245" s="487"/>
      <c r="F245" s="488"/>
      <c r="G245" s="484"/>
      <c r="I245" s="513"/>
      <c r="J245" s="515">
        <f t="shared" si="22"/>
        <v>0</v>
      </c>
      <c r="K245" s="457"/>
      <c r="L245" s="502" t="str">
        <f t="shared" si="24"/>
        <v xml:space="preserve"> </v>
      </c>
      <c r="M245" s="467"/>
      <c r="N245" s="477">
        <f>IFERROR(VLOOKUP(P89,COPY!$A$1:$AC$1000,26,FALSE),0)</f>
        <v>0</v>
      </c>
      <c r="P245" s="448">
        <f>IFERROR(VLOOKUP(P89,COPY!$A$1:$AC$1000,29,FALSE),0)</f>
        <v>0</v>
      </c>
      <c r="S245" s="449">
        <f t="shared" si="23"/>
        <v>0</v>
      </c>
    </row>
    <row r="246" spans="1:19" ht="20.100000000000001" hidden="1" customHeight="1" x14ac:dyDescent="0.25">
      <c r="A246" s="470" t="str">
        <f t="shared" si="21"/>
        <v/>
      </c>
      <c r="B246" s="487"/>
      <c r="F246" s="488"/>
      <c r="G246" s="484"/>
      <c r="I246" s="513"/>
      <c r="J246" s="515">
        <f t="shared" si="22"/>
        <v>0</v>
      </c>
      <c r="K246" s="457"/>
      <c r="L246" s="502" t="str">
        <f t="shared" si="24"/>
        <v xml:space="preserve"> </v>
      </c>
      <c r="M246" s="467"/>
      <c r="N246" s="477">
        <f>IFERROR(VLOOKUP(P90,COPY!$A$1:$AC$1000,26,FALSE),0)</f>
        <v>0</v>
      </c>
      <c r="P246" s="448">
        <f>IFERROR(VLOOKUP(P90,COPY!$A$1:$AC$1000,29,FALSE),0)</f>
        <v>0</v>
      </c>
      <c r="S246" s="449">
        <f t="shared" si="23"/>
        <v>0</v>
      </c>
    </row>
    <row r="247" spans="1:19" ht="20.100000000000001" hidden="1" customHeight="1" x14ac:dyDescent="0.25">
      <c r="A247" s="470" t="str">
        <f t="shared" si="21"/>
        <v/>
      </c>
      <c r="B247" s="487"/>
      <c r="F247" s="488"/>
      <c r="G247" s="484"/>
      <c r="I247" s="513"/>
      <c r="J247" s="515">
        <f t="shared" si="22"/>
        <v>0</v>
      </c>
      <c r="K247" s="457"/>
      <c r="L247" s="502" t="str">
        <f t="shared" si="24"/>
        <v xml:space="preserve"> </v>
      </c>
      <c r="M247" s="467"/>
      <c r="N247" s="477">
        <f>IFERROR(VLOOKUP(P91,COPY!$A$1:$AC$1000,26,FALSE),0)</f>
        <v>0</v>
      </c>
      <c r="P247" s="448">
        <f>IFERROR(VLOOKUP(P91,COPY!$A$1:$AC$1000,29,FALSE),0)</f>
        <v>0</v>
      </c>
      <c r="S247" s="449">
        <f t="shared" si="23"/>
        <v>0</v>
      </c>
    </row>
    <row r="248" spans="1:19" ht="20.100000000000001" hidden="1" customHeight="1" x14ac:dyDescent="0.25">
      <c r="A248" s="470" t="str">
        <f t="shared" si="21"/>
        <v/>
      </c>
      <c r="B248" s="487"/>
      <c r="F248" s="488"/>
      <c r="G248" s="484"/>
      <c r="I248" s="513"/>
      <c r="J248" s="515">
        <f t="shared" si="22"/>
        <v>0</v>
      </c>
      <c r="K248" s="457"/>
      <c r="L248" s="502" t="str">
        <f t="shared" si="24"/>
        <v xml:space="preserve"> </v>
      </c>
      <c r="M248" s="467"/>
      <c r="N248" s="477">
        <f>IFERROR(VLOOKUP(P92,COPY!$A$1:$AC$1000,26,FALSE),0)</f>
        <v>0</v>
      </c>
      <c r="P248" s="448">
        <f>IFERROR(VLOOKUP(P92,COPY!$A$1:$AC$1000,29,FALSE),0)</f>
        <v>0</v>
      </c>
      <c r="S248" s="449">
        <f t="shared" si="23"/>
        <v>0</v>
      </c>
    </row>
    <row r="249" spans="1:19" ht="20.100000000000001" hidden="1" customHeight="1" x14ac:dyDescent="0.25">
      <c r="A249" s="470" t="str">
        <f t="shared" si="21"/>
        <v/>
      </c>
      <c r="B249" s="487"/>
      <c r="F249" s="488"/>
      <c r="G249" s="484"/>
      <c r="I249" s="513"/>
      <c r="J249" s="515">
        <f t="shared" si="22"/>
        <v>0</v>
      </c>
      <c r="K249" s="457"/>
      <c r="L249" s="502" t="str">
        <f t="shared" si="24"/>
        <v xml:space="preserve"> </v>
      </c>
      <c r="M249" s="467"/>
      <c r="N249" s="477">
        <f>IFERROR(VLOOKUP(P93,COPY!$A$1:$AC$1000,26,FALSE),0)</f>
        <v>0</v>
      </c>
      <c r="P249" s="448">
        <f>IFERROR(VLOOKUP(P93,COPY!$A$1:$AC$1000,29,FALSE),0)</f>
        <v>0</v>
      </c>
      <c r="S249" s="449">
        <f t="shared" si="23"/>
        <v>0</v>
      </c>
    </row>
    <row r="250" spans="1:19" ht="20.100000000000001" hidden="1" customHeight="1" x14ac:dyDescent="0.25">
      <c r="A250" s="470" t="str">
        <f t="shared" si="21"/>
        <v/>
      </c>
      <c r="B250" s="487"/>
      <c r="F250" s="488"/>
      <c r="G250" s="484"/>
      <c r="I250" s="513"/>
      <c r="J250" s="515">
        <f t="shared" si="22"/>
        <v>0</v>
      </c>
      <c r="K250" s="457"/>
      <c r="L250" s="502" t="str">
        <f t="shared" si="24"/>
        <v xml:space="preserve"> </v>
      </c>
      <c r="M250" s="467"/>
      <c r="N250" s="477">
        <f>IFERROR(VLOOKUP(P94,COPY!$A$1:$AC$1000,26,FALSE),0)</f>
        <v>0</v>
      </c>
      <c r="P250" s="448">
        <f>IFERROR(VLOOKUP(P94,COPY!$A$1:$AC$1000,29,FALSE),0)</f>
        <v>0</v>
      </c>
      <c r="S250" s="449">
        <f t="shared" si="23"/>
        <v>0</v>
      </c>
    </row>
    <row r="251" spans="1:19" ht="20.100000000000001" hidden="1" customHeight="1" x14ac:dyDescent="0.25">
      <c r="A251" s="470" t="str">
        <f t="shared" si="21"/>
        <v/>
      </c>
      <c r="B251" s="487"/>
      <c r="F251" s="488"/>
      <c r="G251" s="484"/>
      <c r="I251" s="513"/>
      <c r="J251" s="515">
        <f t="shared" si="22"/>
        <v>0</v>
      </c>
      <c r="K251" s="457"/>
      <c r="L251" s="502" t="str">
        <f t="shared" si="24"/>
        <v xml:space="preserve"> </v>
      </c>
      <c r="M251" s="467"/>
      <c r="N251" s="477">
        <f>IFERROR(VLOOKUP(P95,COPY!$A$1:$AC$1000,26,FALSE),0)</f>
        <v>0</v>
      </c>
      <c r="P251" s="448">
        <f>IFERROR(VLOOKUP(P95,COPY!$A$1:$AC$1000,29,FALSE),0)</f>
        <v>0</v>
      </c>
      <c r="S251" s="449">
        <f t="shared" si="23"/>
        <v>0</v>
      </c>
    </row>
    <row r="252" spans="1:19" ht="20.100000000000001" hidden="1" customHeight="1" x14ac:dyDescent="0.25">
      <c r="A252" s="470" t="str">
        <f t="shared" si="21"/>
        <v/>
      </c>
      <c r="B252" s="487"/>
      <c r="F252" s="488"/>
      <c r="G252" s="484"/>
      <c r="I252" s="513"/>
      <c r="J252" s="515">
        <f t="shared" si="22"/>
        <v>0</v>
      </c>
      <c r="K252" s="457"/>
      <c r="L252" s="502" t="str">
        <f t="shared" si="24"/>
        <v xml:space="preserve"> </v>
      </c>
      <c r="M252" s="467"/>
      <c r="N252" s="477">
        <f>IFERROR(VLOOKUP(P96,COPY!$A$1:$AC$1000,26,FALSE),0)</f>
        <v>0</v>
      </c>
      <c r="P252" s="448">
        <f>IFERROR(VLOOKUP(P96,COPY!$A$1:$AC$1000,29,FALSE),0)</f>
        <v>0</v>
      </c>
      <c r="S252" s="449">
        <f t="shared" si="23"/>
        <v>0</v>
      </c>
    </row>
    <row r="253" spans="1:19" ht="20.100000000000001" hidden="1" customHeight="1" x14ac:dyDescent="0.25">
      <c r="A253" s="470" t="str">
        <f t="shared" ref="A253:A316" si="25">IF(P97="","",P97&amp;"."&amp;ROW()-188)</f>
        <v/>
      </c>
      <c r="B253" s="487"/>
      <c r="F253" s="488"/>
      <c r="G253" s="484"/>
      <c r="I253" s="513"/>
      <c r="J253" s="515">
        <f t="shared" ref="J253:J316" si="26">S253</f>
        <v>0</v>
      </c>
      <c r="K253" s="457"/>
      <c r="L253" s="502" t="str">
        <f t="shared" si="24"/>
        <v xml:space="preserve"> </v>
      </c>
      <c r="M253" s="467"/>
      <c r="N253" s="477">
        <f>IFERROR(VLOOKUP(P97,COPY!$A$1:$AC$1000,26,FALSE),0)</f>
        <v>0</v>
      </c>
      <c r="P253" s="448">
        <f>IFERROR(VLOOKUP(P97,COPY!$A$1:$AC$1000,29,FALSE),0)</f>
        <v>0</v>
      </c>
      <c r="S253" s="449">
        <f t="shared" si="23"/>
        <v>0</v>
      </c>
    </row>
    <row r="254" spans="1:19" ht="20.100000000000001" hidden="1" customHeight="1" x14ac:dyDescent="0.25">
      <c r="A254" s="470" t="str">
        <f t="shared" si="25"/>
        <v/>
      </c>
      <c r="B254" s="487"/>
      <c r="F254" s="488"/>
      <c r="G254" s="484"/>
      <c r="I254" s="513"/>
      <c r="J254" s="515">
        <f t="shared" si="26"/>
        <v>0</v>
      </c>
      <c r="K254" s="457"/>
      <c r="L254" s="502" t="str">
        <f t="shared" si="24"/>
        <v xml:space="preserve"> </v>
      </c>
      <c r="M254" s="467"/>
      <c r="N254" s="477">
        <f>IFERROR(VLOOKUP(P98,COPY!$A$1:$AC$1000,26,FALSE),0)</f>
        <v>0</v>
      </c>
      <c r="P254" s="448">
        <f>IFERROR(VLOOKUP(P98,COPY!$A$1:$AC$1000,29,FALSE),0)</f>
        <v>0</v>
      </c>
      <c r="S254" s="449">
        <f t="shared" ref="S254:S317" si="27">IF(LEFT(P254,6)="Terima",REPLACE(P254,1,6,"Bayar"),P254)</f>
        <v>0</v>
      </c>
    </row>
    <row r="255" spans="1:19" ht="20.100000000000001" hidden="1" customHeight="1" x14ac:dyDescent="0.25">
      <c r="A255" s="470" t="str">
        <f t="shared" si="25"/>
        <v/>
      </c>
      <c r="B255" s="487"/>
      <c r="F255" s="488"/>
      <c r="G255" s="484"/>
      <c r="I255" s="513"/>
      <c r="J255" s="515">
        <f t="shared" si="26"/>
        <v>0</v>
      </c>
      <c r="K255" s="457"/>
      <c r="L255" s="502" t="str">
        <f t="shared" si="24"/>
        <v xml:space="preserve"> </v>
      </c>
      <c r="M255" s="467"/>
      <c r="N255" s="477">
        <f>IFERROR(VLOOKUP(P99,COPY!$A$1:$AC$1000,26,FALSE),0)</f>
        <v>0</v>
      </c>
      <c r="P255" s="448">
        <f>IFERROR(VLOOKUP(P99,COPY!$A$1:$AC$1000,29,FALSE),0)</f>
        <v>0</v>
      </c>
      <c r="S255" s="449">
        <f t="shared" si="27"/>
        <v>0</v>
      </c>
    </row>
    <row r="256" spans="1:19" ht="20.100000000000001" hidden="1" customHeight="1" x14ac:dyDescent="0.25">
      <c r="A256" s="470" t="str">
        <f t="shared" si="25"/>
        <v/>
      </c>
      <c r="B256" s="487"/>
      <c r="F256" s="488"/>
      <c r="G256" s="484"/>
      <c r="I256" s="513"/>
      <c r="J256" s="515">
        <f t="shared" si="26"/>
        <v>0</v>
      </c>
      <c r="K256" s="457"/>
      <c r="L256" s="502" t="str">
        <f t="shared" si="24"/>
        <v xml:space="preserve"> </v>
      </c>
      <c r="M256" s="467"/>
      <c r="N256" s="477">
        <f>IFERROR(VLOOKUP(P100,COPY!$A$1:$AC$1000,26,FALSE),0)</f>
        <v>0</v>
      </c>
      <c r="P256" s="448">
        <f>IFERROR(VLOOKUP(P100,COPY!$A$1:$AC$1000,29,FALSE),0)</f>
        <v>0</v>
      </c>
      <c r="S256" s="449">
        <f t="shared" si="27"/>
        <v>0</v>
      </c>
    </row>
    <row r="257" spans="1:19" ht="20.100000000000001" hidden="1" customHeight="1" x14ac:dyDescent="0.25">
      <c r="A257" s="470" t="str">
        <f t="shared" si="25"/>
        <v/>
      </c>
      <c r="B257" s="487"/>
      <c r="F257" s="488"/>
      <c r="G257" s="484"/>
      <c r="I257" s="513"/>
      <c r="J257" s="515">
        <f t="shared" si="26"/>
        <v>0</v>
      </c>
      <c r="K257" s="457"/>
      <c r="L257" s="502" t="str">
        <f t="shared" si="24"/>
        <v xml:space="preserve"> </v>
      </c>
      <c r="M257" s="467"/>
      <c r="N257" s="477">
        <f>IFERROR(VLOOKUP(P101,COPY!$A$1:$AC$1000,26,FALSE),0)</f>
        <v>0</v>
      </c>
      <c r="P257" s="448">
        <f>IFERROR(VLOOKUP(P101,COPY!$A$1:$AC$1000,29,FALSE),0)</f>
        <v>0</v>
      </c>
      <c r="S257" s="449">
        <f t="shared" si="27"/>
        <v>0</v>
      </c>
    </row>
    <row r="258" spans="1:19" ht="20.100000000000001" hidden="1" customHeight="1" x14ac:dyDescent="0.25">
      <c r="A258" s="470" t="str">
        <f t="shared" si="25"/>
        <v/>
      </c>
      <c r="B258" s="487"/>
      <c r="F258" s="488"/>
      <c r="G258" s="484"/>
      <c r="I258" s="513"/>
      <c r="J258" s="515">
        <f t="shared" si="26"/>
        <v>0</v>
      </c>
      <c r="K258" s="457"/>
      <c r="L258" s="502" t="str">
        <f t="shared" ref="L258:L321" si="28">IF(LEFT(J258,15)="Bayar Pajak PPN",1,IF(LEFT(J258,15)="Bayar Pajak PPH",2,IF(LEFT(J258,21)="Bayar Pajak Final PPH",3," ")))</f>
        <v xml:space="preserve"> </v>
      </c>
      <c r="M258" s="467"/>
      <c r="N258" s="477">
        <f>IFERROR(VLOOKUP(P102,COPY!$A$1:$AC$1000,26,FALSE),0)</f>
        <v>0</v>
      </c>
      <c r="P258" s="448">
        <f>IFERROR(VLOOKUP(P102,COPY!$A$1:$AC$1000,29,FALSE),0)</f>
        <v>0</v>
      </c>
      <c r="S258" s="449">
        <f t="shared" si="27"/>
        <v>0</v>
      </c>
    </row>
    <row r="259" spans="1:19" ht="20.100000000000001" hidden="1" customHeight="1" x14ac:dyDescent="0.25">
      <c r="A259" s="470" t="str">
        <f t="shared" si="25"/>
        <v/>
      </c>
      <c r="B259" s="487"/>
      <c r="F259" s="488"/>
      <c r="G259" s="484"/>
      <c r="I259" s="513"/>
      <c r="J259" s="515">
        <f t="shared" si="26"/>
        <v>0</v>
      </c>
      <c r="K259" s="457"/>
      <c r="L259" s="502" t="str">
        <f t="shared" si="28"/>
        <v xml:space="preserve"> </v>
      </c>
      <c r="M259" s="467"/>
      <c r="N259" s="477">
        <f>IFERROR(VLOOKUP(P103,COPY!$A$1:$AC$1000,26,FALSE),0)</f>
        <v>0</v>
      </c>
      <c r="P259" s="448">
        <f>IFERROR(VLOOKUP(P103,COPY!$A$1:$AC$1000,29,FALSE),0)</f>
        <v>0</v>
      </c>
      <c r="S259" s="449">
        <f t="shared" si="27"/>
        <v>0</v>
      </c>
    </row>
    <row r="260" spans="1:19" ht="20.100000000000001" hidden="1" customHeight="1" x14ac:dyDescent="0.25">
      <c r="A260" s="470" t="str">
        <f t="shared" si="25"/>
        <v/>
      </c>
      <c r="B260" s="487"/>
      <c r="F260" s="488"/>
      <c r="G260" s="484"/>
      <c r="I260" s="513"/>
      <c r="J260" s="515">
        <f t="shared" si="26"/>
        <v>0</v>
      </c>
      <c r="K260" s="457"/>
      <c r="L260" s="502" t="str">
        <f t="shared" si="28"/>
        <v xml:space="preserve"> </v>
      </c>
      <c r="M260" s="467"/>
      <c r="N260" s="477">
        <f>IFERROR(VLOOKUP(P104,COPY!$A$1:$AC$1000,26,FALSE),0)</f>
        <v>0</v>
      </c>
      <c r="P260" s="448">
        <f>IFERROR(VLOOKUP(P104,COPY!$A$1:$AC$1000,29,FALSE),0)</f>
        <v>0</v>
      </c>
      <c r="S260" s="449">
        <f t="shared" si="27"/>
        <v>0</v>
      </c>
    </row>
    <row r="261" spans="1:19" ht="20.100000000000001" hidden="1" customHeight="1" x14ac:dyDescent="0.25">
      <c r="A261" s="470" t="str">
        <f t="shared" si="25"/>
        <v/>
      </c>
      <c r="B261" s="487"/>
      <c r="F261" s="488"/>
      <c r="G261" s="484"/>
      <c r="I261" s="513"/>
      <c r="J261" s="515">
        <f t="shared" si="26"/>
        <v>0</v>
      </c>
      <c r="K261" s="457"/>
      <c r="L261" s="502" t="str">
        <f t="shared" si="28"/>
        <v xml:space="preserve"> </v>
      </c>
      <c r="M261" s="467"/>
      <c r="N261" s="477">
        <f>IFERROR(VLOOKUP(P105,COPY!$A$1:$AC$1000,26,FALSE),0)</f>
        <v>0</v>
      </c>
      <c r="P261" s="448">
        <f>IFERROR(VLOOKUP(P105,COPY!$A$1:$AC$1000,29,FALSE),0)</f>
        <v>0</v>
      </c>
      <c r="S261" s="449">
        <f t="shared" si="27"/>
        <v>0</v>
      </c>
    </row>
    <row r="262" spans="1:19" ht="20.100000000000001" hidden="1" customHeight="1" x14ac:dyDescent="0.25">
      <c r="A262" s="470" t="str">
        <f t="shared" si="25"/>
        <v/>
      </c>
      <c r="B262" s="487"/>
      <c r="F262" s="488"/>
      <c r="G262" s="484"/>
      <c r="I262" s="513"/>
      <c r="J262" s="515">
        <f t="shared" si="26"/>
        <v>0</v>
      </c>
      <c r="K262" s="457"/>
      <c r="L262" s="502" t="str">
        <f t="shared" si="28"/>
        <v xml:space="preserve"> </v>
      </c>
      <c r="M262" s="467"/>
      <c r="N262" s="477">
        <f>IFERROR(VLOOKUP(P106,COPY!$A$1:$AC$1000,26,FALSE),0)</f>
        <v>0</v>
      </c>
      <c r="P262" s="448">
        <f>IFERROR(VLOOKUP(P106,COPY!$A$1:$AC$1000,29,FALSE),0)</f>
        <v>0</v>
      </c>
      <c r="S262" s="449">
        <f t="shared" si="27"/>
        <v>0</v>
      </c>
    </row>
    <row r="263" spans="1:19" ht="20.100000000000001" hidden="1" customHeight="1" x14ac:dyDescent="0.25">
      <c r="A263" s="470" t="str">
        <f t="shared" si="25"/>
        <v/>
      </c>
      <c r="B263" s="487"/>
      <c r="F263" s="488"/>
      <c r="G263" s="484"/>
      <c r="I263" s="513"/>
      <c r="J263" s="515">
        <f t="shared" si="26"/>
        <v>0</v>
      </c>
      <c r="K263" s="457"/>
      <c r="L263" s="502" t="str">
        <f t="shared" si="28"/>
        <v xml:space="preserve"> </v>
      </c>
      <c r="M263" s="467"/>
      <c r="N263" s="477">
        <f>IFERROR(VLOOKUP(P107,COPY!$A$1:$AC$1000,26,FALSE),0)</f>
        <v>0</v>
      </c>
      <c r="P263" s="448">
        <f>IFERROR(VLOOKUP(P107,COPY!$A$1:$AC$1000,29,FALSE),0)</f>
        <v>0</v>
      </c>
      <c r="S263" s="449">
        <f t="shared" si="27"/>
        <v>0</v>
      </c>
    </row>
    <row r="264" spans="1:19" ht="20.100000000000001" hidden="1" customHeight="1" x14ac:dyDescent="0.25">
      <c r="A264" s="470" t="str">
        <f t="shared" si="25"/>
        <v/>
      </c>
      <c r="B264" s="487"/>
      <c r="F264" s="488"/>
      <c r="G264" s="484"/>
      <c r="I264" s="513"/>
      <c r="J264" s="515">
        <f t="shared" si="26"/>
        <v>0</v>
      </c>
      <c r="K264" s="457"/>
      <c r="L264" s="502" t="str">
        <f t="shared" si="28"/>
        <v xml:space="preserve"> </v>
      </c>
      <c r="M264" s="467"/>
      <c r="N264" s="477">
        <f>IFERROR(VLOOKUP(P108,COPY!$A$1:$AC$1000,26,FALSE),0)</f>
        <v>0</v>
      </c>
      <c r="P264" s="448">
        <f>IFERROR(VLOOKUP(P108,COPY!$A$1:$AC$1000,29,FALSE),0)</f>
        <v>0</v>
      </c>
      <c r="S264" s="449">
        <f t="shared" si="27"/>
        <v>0</v>
      </c>
    </row>
    <row r="265" spans="1:19" ht="20.100000000000001" hidden="1" customHeight="1" x14ac:dyDescent="0.25">
      <c r="A265" s="470" t="str">
        <f t="shared" si="25"/>
        <v/>
      </c>
      <c r="B265" s="487"/>
      <c r="F265" s="488"/>
      <c r="G265" s="484"/>
      <c r="I265" s="513"/>
      <c r="J265" s="515">
        <f t="shared" si="26"/>
        <v>0</v>
      </c>
      <c r="K265" s="457"/>
      <c r="L265" s="502" t="str">
        <f t="shared" si="28"/>
        <v xml:space="preserve"> </v>
      </c>
      <c r="M265" s="467"/>
      <c r="N265" s="477">
        <f>IFERROR(VLOOKUP(P109,COPY!$A$1:$AC$1000,26,FALSE),0)</f>
        <v>0</v>
      </c>
      <c r="P265" s="448">
        <f>IFERROR(VLOOKUP(P109,COPY!$A$1:$AC$1000,29,FALSE),0)</f>
        <v>0</v>
      </c>
      <c r="S265" s="449">
        <f t="shared" si="27"/>
        <v>0</v>
      </c>
    </row>
    <row r="266" spans="1:19" ht="20.100000000000001" hidden="1" customHeight="1" x14ac:dyDescent="0.25">
      <c r="A266" s="470" t="str">
        <f t="shared" si="25"/>
        <v/>
      </c>
      <c r="B266" s="487"/>
      <c r="F266" s="488"/>
      <c r="G266" s="484"/>
      <c r="I266" s="513"/>
      <c r="J266" s="515">
        <f t="shared" si="26"/>
        <v>0</v>
      </c>
      <c r="K266" s="457"/>
      <c r="L266" s="502" t="str">
        <f t="shared" si="28"/>
        <v xml:space="preserve"> </v>
      </c>
      <c r="M266" s="467"/>
      <c r="N266" s="477">
        <f>IFERROR(VLOOKUP(P110,COPY!$A$1:$AC$1000,26,FALSE),0)</f>
        <v>0</v>
      </c>
      <c r="P266" s="448">
        <f>IFERROR(VLOOKUP(P110,COPY!$A$1:$AC$1000,29,FALSE),0)</f>
        <v>0</v>
      </c>
      <c r="S266" s="449">
        <f t="shared" si="27"/>
        <v>0</v>
      </c>
    </row>
    <row r="267" spans="1:19" ht="20.100000000000001" hidden="1" customHeight="1" x14ac:dyDescent="0.25">
      <c r="A267" s="470" t="str">
        <f t="shared" si="25"/>
        <v/>
      </c>
      <c r="B267" s="487"/>
      <c r="F267" s="488"/>
      <c r="G267" s="484"/>
      <c r="I267" s="513"/>
      <c r="J267" s="515">
        <f t="shared" si="26"/>
        <v>0</v>
      </c>
      <c r="K267" s="457"/>
      <c r="L267" s="502" t="str">
        <f t="shared" si="28"/>
        <v xml:space="preserve"> </v>
      </c>
      <c r="M267" s="467"/>
      <c r="N267" s="477">
        <f>IFERROR(VLOOKUP(P111,COPY!$A$1:$AC$1000,26,FALSE),0)</f>
        <v>0</v>
      </c>
      <c r="P267" s="448">
        <f>IFERROR(VLOOKUP(P111,COPY!$A$1:$AC$1000,29,FALSE),0)</f>
        <v>0</v>
      </c>
      <c r="S267" s="449">
        <f t="shared" si="27"/>
        <v>0</v>
      </c>
    </row>
    <row r="268" spans="1:19" ht="20.100000000000001" hidden="1" customHeight="1" x14ac:dyDescent="0.25">
      <c r="A268" s="470" t="str">
        <f t="shared" si="25"/>
        <v/>
      </c>
      <c r="B268" s="487"/>
      <c r="F268" s="488"/>
      <c r="G268" s="484"/>
      <c r="I268" s="513"/>
      <c r="J268" s="515">
        <f t="shared" si="26"/>
        <v>0</v>
      </c>
      <c r="K268" s="457"/>
      <c r="L268" s="502" t="str">
        <f t="shared" si="28"/>
        <v xml:space="preserve"> </v>
      </c>
      <c r="M268" s="467"/>
      <c r="N268" s="477">
        <f>IFERROR(VLOOKUP(P112,COPY!$A$1:$AC$1000,26,FALSE),0)</f>
        <v>0</v>
      </c>
      <c r="P268" s="448">
        <f>IFERROR(VLOOKUP(P112,COPY!$A$1:$AC$1000,29,FALSE),0)</f>
        <v>0</v>
      </c>
      <c r="S268" s="449">
        <f t="shared" si="27"/>
        <v>0</v>
      </c>
    </row>
    <row r="269" spans="1:19" ht="20.100000000000001" hidden="1" customHeight="1" x14ac:dyDescent="0.25">
      <c r="A269" s="470" t="str">
        <f t="shared" si="25"/>
        <v/>
      </c>
      <c r="B269" s="487"/>
      <c r="F269" s="488"/>
      <c r="G269" s="484"/>
      <c r="I269" s="513"/>
      <c r="J269" s="515">
        <f t="shared" si="26"/>
        <v>0</v>
      </c>
      <c r="K269" s="457"/>
      <c r="L269" s="502" t="str">
        <f t="shared" si="28"/>
        <v xml:space="preserve"> </v>
      </c>
      <c r="M269" s="467"/>
      <c r="N269" s="477">
        <f>IFERROR(VLOOKUP(P113,COPY!$A$1:$AC$1000,26,FALSE),0)</f>
        <v>0</v>
      </c>
      <c r="P269" s="448">
        <f>IFERROR(VLOOKUP(P113,COPY!$A$1:$AC$1000,29,FALSE),0)</f>
        <v>0</v>
      </c>
      <c r="S269" s="449">
        <f t="shared" si="27"/>
        <v>0</v>
      </c>
    </row>
    <row r="270" spans="1:19" ht="20.100000000000001" hidden="1" customHeight="1" x14ac:dyDescent="0.25">
      <c r="A270" s="470" t="str">
        <f t="shared" si="25"/>
        <v/>
      </c>
      <c r="B270" s="487"/>
      <c r="F270" s="488"/>
      <c r="G270" s="484"/>
      <c r="I270" s="513"/>
      <c r="J270" s="515">
        <f t="shared" si="26"/>
        <v>0</v>
      </c>
      <c r="K270" s="457"/>
      <c r="L270" s="502" t="str">
        <f t="shared" si="28"/>
        <v xml:space="preserve"> </v>
      </c>
      <c r="M270" s="467"/>
      <c r="N270" s="477">
        <f>IFERROR(VLOOKUP(P114,COPY!$A$1:$AC$1000,26,FALSE),0)</f>
        <v>0</v>
      </c>
      <c r="P270" s="448">
        <f>IFERROR(VLOOKUP(P114,COPY!$A$1:$AC$1000,29,FALSE),0)</f>
        <v>0</v>
      </c>
      <c r="S270" s="449">
        <f t="shared" si="27"/>
        <v>0</v>
      </c>
    </row>
    <row r="271" spans="1:19" ht="20.100000000000001" hidden="1" customHeight="1" x14ac:dyDescent="0.25">
      <c r="A271" s="470" t="str">
        <f t="shared" si="25"/>
        <v/>
      </c>
      <c r="B271" s="487"/>
      <c r="F271" s="488"/>
      <c r="G271" s="484"/>
      <c r="I271" s="513"/>
      <c r="J271" s="515">
        <f t="shared" si="26"/>
        <v>0</v>
      </c>
      <c r="K271" s="457"/>
      <c r="L271" s="502" t="str">
        <f t="shared" si="28"/>
        <v xml:space="preserve"> </v>
      </c>
      <c r="M271" s="467"/>
      <c r="N271" s="477">
        <f>IFERROR(VLOOKUP(P115,COPY!$A$1:$AC$1000,26,FALSE),0)</f>
        <v>0</v>
      </c>
      <c r="P271" s="448">
        <f>IFERROR(VLOOKUP(P115,COPY!$A$1:$AC$1000,29,FALSE),0)</f>
        <v>0</v>
      </c>
      <c r="S271" s="449">
        <f t="shared" si="27"/>
        <v>0</v>
      </c>
    </row>
    <row r="272" spans="1:19" ht="20.100000000000001" hidden="1" customHeight="1" x14ac:dyDescent="0.25">
      <c r="A272" s="470" t="str">
        <f t="shared" si="25"/>
        <v/>
      </c>
      <c r="B272" s="487"/>
      <c r="F272" s="488"/>
      <c r="G272" s="484"/>
      <c r="I272" s="513"/>
      <c r="J272" s="515">
        <f t="shared" si="26"/>
        <v>0</v>
      </c>
      <c r="K272" s="457"/>
      <c r="L272" s="502" t="str">
        <f t="shared" si="28"/>
        <v xml:space="preserve"> </v>
      </c>
      <c r="M272" s="467"/>
      <c r="N272" s="477">
        <f>IFERROR(VLOOKUP(P116,COPY!$A$1:$AC$1000,26,FALSE),0)</f>
        <v>0</v>
      </c>
      <c r="P272" s="448">
        <f>IFERROR(VLOOKUP(P116,COPY!$A$1:$AC$1000,29,FALSE),0)</f>
        <v>0</v>
      </c>
      <c r="S272" s="449">
        <f t="shared" si="27"/>
        <v>0</v>
      </c>
    </row>
    <row r="273" spans="1:19" ht="20.100000000000001" hidden="1" customHeight="1" x14ac:dyDescent="0.25">
      <c r="A273" s="470" t="str">
        <f t="shared" si="25"/>
        <v/>
      </c>
      <c r="B273" s="487"/>
      <c r="F273" s="488"/>
      <c r="G273" s="484"/>
      <c r="I273" s="513"/>
      <c r="J273" s="515">
        <f t="shared" si="26"/>
        <v>0</v>
      </c>
      <c r="K273" s="457"/>
      <c r="L273" s="502" t="str">
        <f t="shared" si="28"/>
        <v xml:space="preserve"> </v>
      </c>
      <c r="M273" s="467"/>
      <c r="N273" s="477">
        <f>IFERROR(VLOOKUP(P117,COPY!$A$1:$AC$1000,26,FALSE),0)</f>
        <v>0</v>
      </c>
      <c r="P273" s="448">
        <f>IFERROR(VLOOKUP(P117,COPY!$A$1:$AC$1000,29,FALSE),0)</f>
        <v>0</v>
      </c>
      <c r="S273" s="449">
        <f t="shared" si="27"/>
        <v>0</v>
      </c>
    </row>
    <row r="274" spans="1:19" ht="20.100000000000001" hidden="1" customHeight="1" x14ac:dyDescent="0.25">
      <c r="A274" s="470" t="str">
        <f t="shared" si="25"/>
        <v/>
      </c>
      <c r="B274" s="487"/>
      <c r="F274" s="488"/>
      <c r="G274" s="484"/>
      <c r="I274" s="513"/>
      <c r="J274" s="515">
        <f t="shared" si="26"/>
        <v>0</v>
      </c>
      <c r="K274" s="457"/>
      <c r="L274" s="502" t="str">
        <f t="shared" si="28"/>
        <v xml:space="preserve"> </v>
      </c>
      <c r="M274" s="467"/>
      <c r="N274" s="477">
        <f>IFERROR(VLOOKUP(P118,COPY!$A$1:$AC$1000,26,FALSE),0)</f>
        <v>0</v>
      </c>
      <c r="P274" s="448">
        <f>IFERROR(VLOOKUP(P118,COPY!$A$1:$AC$1000,29,FALSE),0)</f>
        <v>0</v>
      </c>
      <c r="S274" s="449">
        <f t="shared" si="27"/>
        <v>0</v>
      </c>
    </row>
    <row r="275" spans="1:19" ht="20.100000000000001" hidden="1" customHeight="1" x14ac:dyDescent="0.25">
      <c r="A275" s="470" t="str">
        <f t="shared" si="25"/>
        <v/>
      </c>
      <c r="B275" s="487"/>
      <c r="F275" s="488"/>
      <c r="G275" s="484"/>
      <c r="I275" s="513"/>
      <c r="J275" s="515">
        <f t="shared" si="26"/>
        <v>0</v>
      </c>
      <c r="K275" s="457"/>
      <c r="L275" s="502" t="str">
        <f t="shared" si="28"/>
        <v xml:space="preserve"> </v>
      </c>
      <c r="M275" s="467"/>
      <c r="N275" s="477">
        <f>IFERROR(VLOOKUP(P119,COPY!$A$1:$AC$1000,26,FALSE),0)</f>
        <v>0</v>
      </c>
      <c r="P275" s="448">
        <f>IFERROR(VLOOKUP(P119,COPY!$A$1:$AC$1000,29,FALSE),0)</f>
        <v>0</v>
      </c>
      <c r="S275" s="449">
        <f t="shared" si="27"/>
        <v>0</v>
      </c>
    </row>
    <row r="276" spans="1:19" ht="20.100000000000001" hidden="1" customHeight="1" x14ac:dyDescent="0.25">
      <c r="A276" s="470" t="str">
        <f t="shared" si="25"/>
        <v/>
      </c>
      <c r="B276" s="487"/>
      <c r="F276" s="488"/>
      <c r="G276" s="484"/>
      <c r="I276" s="513"/>
      <c r="J276" s="515">
        <f t="shared" si="26"/>
        <v>0</v>
      </c>
      <c r="K276" s="457"/>
      <c r="L276" s="502" t="str">
        <f t="shared" si="28"/>
        <v xml:space="preserve"> </v>
      </c>
      <c r="M276" s="467"/>
      <c r="N276" s="477">
        <f>IFERROR(VLOOKUP(P120,COPY!$A$1:$AC$1000,26,FALSE),0)</f>
        <v>0</v>
      </c>
      <c r="P276" s="448">
        <f>IFERROR(VLOOKUP(P120,COPY!$A$1:$AC$1000,29,FALSE),0)</f>
        <v>0</v>
      </c>
      <c r="S276" s="449">
        <f t="shared" si="27"/>
        <v>0</v>
      </c>
    </row>
    <row r="277" spans="1:19" ht="20.100000000000001" hidden="1" customHeight="1" x14ac:dyDescent="0.25">
      <c r="A277" s="470" t="str">
        <f t="shared" si="25"/>
        <v/>
      </c>
      <c r="B277" s="487"/>
      <c r="F277" s="488"/>
      <c r="G277" s="484"/>
      <c r="I277" s="513"/>
      <c r="J277" s="515">
        <f t="shared" si="26"/>
        <v>0</v>
      </c>
      <c r="K277" s="457"/>
      <c r="L277" s="502" t="str">
        <f t="shared" si="28"/>
        <v xml:space="preserve"> </v>
      </c>
      <c r="M277" s="467"/>
      <c r="N277" s="477">
        <f>IFERROR(VLOOKUP(P121,COPY!$A$1:$AC$1000,26,FALSE),0)</f>
        <v>0</v>
      </c>
      <c r="P277" s="448">
        <f>IFERROR(VLOOKUP(P121,COPY!$A$1:$AC$1000,29,FALSE),0)</f>
        <v>0</v>
      </c>
      <c r="S277" s="449">
        <f t="shared" si="27"/>
        <v>0</v>
      </c>
    </row>
    <row r="278" spans="1:19" ht="20.100000000000001" hidden="1" customHeight="1" x14ac:dyDescent="0.25">
      <c r="A278" s="470" t="str">
        <f t="shared" si="25"/>
        <v/>
      </c>
      <c r="B278" s="487"/>
      <c r="F278" s="488"/>
      <c r="G278" s="484"/>
      <c r="I278" s="513"/>
      <c r="J278" s="515">
        <f t="shared" si="26"/>
        <v>0</v>
      </c>
      <c r="K278" s="457"/>
      <c r="L278" s="502" t="str">
        <f t="shared" si="28"/>
        <v xml:space="preserve"> </v>
      </c>
      <c r="M278" s="467"/>
      <c r="N278" s="477">
        <f>IFERROR(VLOOKUP(P122,COPY!$A$1:$AC$1000,26,FALSE),0)</f>
        <v>0</v>
      </c>
      <c r="P278" s="448">
        <f>IFERROR(VLOOKUP(P122,COPY!$A$1:$AC$1000,29,FALSE),0)</f>
        <v>0</v>
      </c>
      <c r="S278" s="449">
        <f t="shared" si="27"/>
        <v>0</v>
      </c>
    </row>
    <row r="279" spans="1:19" ht="20.100000000000001" hidden="1" customHeight="1" x14ac:dyDescent="0.25">
      <c r="A279" s="470" t="str">
        <f t="shared" si="25"/>
        <v/>
      </c>
      <c r="B279" s="487"/>
      <c r="F279" s="488"/>
      <c r="G279" s="484"/>
      <c r="I279" s="513"/>
      <c r="J279" s="515">
        <f t="shared" si="26"/>
        <v>0</v>
      </c>
      <c r="K279" s="457"/>
      <c r="L279" s="502" t="str">
        <f t="shared" si="28"/>
        <v xml:space="preserve"> </v>
      </c>
      <c r="M279" s="467"/>
      <c r="N279" s="477">
        <f>IFERROR(VLOOKUP(P123,COPY!$A$1:$AC$1000,26,FALSE),0)</f>
        <v>0</v>
      </c>
      <c r="P279" s="448">
        <f>IFERROR(VLOOKUP(P123,COPY!$A$1:$AC$1000,29,FALSE),0)</f>
        <v>0</v>
      </c>
      <c r="S279" s="449">
        <f t="shared" si="27"/>
        <v>0</v>
      </c>
    </row>
    <row r="280" spans="1:19" ht="20.100000000000001" hidden="1" customHeight="1" x14ac:dyDescent="0.25">
      <c r="A280" s="470" t="str">
        <f t="shared" si="25"/>
        <v/>
      </c>
      <c r="B280" s="487"/>
      <c r="F280" s="488"/>
      <c r="G280" s="484"/>
      <c r="I280" s="513"/>
      <c r="J280" s="515">
        <f t="shared" si="26"/>
        <v>0</v>
      </c>
      <c r="K280" s="457"/>
      <c r="L280" s="502" t="str">
        <f t="shared" si="28"/>
        <v xml:space="preserve"> </v>
      </c>
      <c r="M280" s="467"/>
      <c r="N280" s="477">
        <f>IFERROR(VLOOKUP(P124,COPY!$A$1:$AC$1000,26,FALSE),0)</f>
        <v>0</v>
      </c>
      <c r="P280" s="448">
        <f>IFERROR(VLOOKUP(P124,COPY!$A$1:$AC$1000,29,FALSE),0)</f>
        <v>0</v>
      </c>
      <c r="S280" s="449">
        <f t="shared" si="27"/>
        <v>0</v>
      </c>
    </row>
    <row r="281" spans="1:19" ht="20.100000000000001" hidden="1" customHeight="1" x14ac:dyDescent="0.25">
      <c r="A281" s="470" t="str">
        <f t="shared" si="25"/>
        <v/>
      </c>
      <c r="B281" s="487"/>
      <c r="F281" s="488"/>
      <c r="G281" s="484"/>
      <c r="I281" s="513"/>
      <c r="J281" s="515">
        <f t="shared" si="26"/>
        <v>0</v>
      </c>
      <c r="K281" s="457"/>
      <c r="L281" s="502" t="str">
        <f t="shared" si="28"/>
        <v xml:space="preserve"> </v>
      </c>
      <c r="M281" s="467"/>
      <c r="N281" s="477">
        <f>IFERROR(VLOOKUP(P125,COPY!$A$1:$AC$1000,26,FALSE),0)</f>
        <v>0</v>
      </c>
      <c r="P281" s="448">
        <f>IFERROR(VLOOKUP(P125,COPY!$A$1:$AC$1000,29,FALSE),0)</f>
        <v>0</v>
      </c>
      <c r="S281" s="449">
        <f t="shared" si="27"/>
        <v>0</v>
      </c>
    </row>
    <row r="282" spans="1:19" ht="20.100000000000001" hidden="1" customHeight="1" x14ac:dyDescent="0.25">
      <c r="A282" s="470" t="str">
        <f t="shared" si="25"/>
        <v/>
      </c>
      <c r="B282" s="487"/>
      <c r="F282" s="488"/>
      <c r="G282" s="484"/>
      <c r="I282" s="513"/>
      <c r="J282" s="515">
        <f t="shared" si="26"/>
        <v>0</v>
      </c>
      <c r="K282" s="457"/>
      <c r="L282" s="502" t="str">
        <f t="shared" si="28"/>
        <v xml:space="preserve"> </v>
      </c>
      <c r="M282" s="467"/>
      <c r="N282" s="477">
        <f>IFERROR(VLOOKUP(P126,COPY!$A$1:$AC$1000,26,FALSE),0)</f>
        <v>0</v>
      </c>
      <c r="P282" s="448">
        <f>IFERROR(VLOOKUP(P126,COPY!$A$1:$AC$1000,29,FALSE),0)</f>
        <v>0</v>
      </c>
      <c r="S282" s="449">
        <f t="shared" si="27"/>
        <v>0</v>
      </c>
    </row>
    <row r="283" spans="1:19" ht="20.100000000000001" hidden="1" customHeight="1" x14ac:dyDescent="0.25">
      <c r="A283" s="470" t="str">
        <f t="shared" si="25"/>
        <v/>
      </c>
      <c r="B283" s="487"/>
      <c r="F283" s="488"/>
      <c r="G283" s="484"/>
      <c r="I283" s="513"/>
      <c r="J283" s="515">
        <f t="shared" si="26"/>
        <v>0</v>
      </c>
      <c r="K283" s="457"/>
      <c r="L283" s="502" t="str">
        <f t="shared" si="28"/>
        <v xml:space="preserve"> </v>
      </c>
      <c r="M283" s="467"/>
      <c r="N283" s="477">
        <f>IFERROR(VLOOKUP(P127,COPY!$A$1:$AC$1000,26,FALSE),0)</f>
        <v>0</v>
      </c>
      <c r="P283" s="448">
        <f>IFERROR(VLOOKUP(P127,COPY!$A$1:$AC$1000,29,FALSE),0)</f>
        <v>0</v>
      </c>
      <c r="S283" s="449">
        <f t="shared" si="27"/>
        <v>0</v>
      </c>
    </row>
    <row r="284" spans="1:19" ht="20.100000000000001" hidden="1" customHeight="1" x14ac:dyDescent="0.25">
      <c r="A284" s="470" t="str">
        <f t="shared" si="25"/>
        <v/>
      </c>
      <c r="B284" s="487"/>
      <c r="F284" s="488"/>
      <c r="G284" s="484"/>
      <c r="I284" s="513"/>
      <c r="J284" s="515">
        <f t="shared" si="26"/>
        <v>0</v>
      </c>
      <c r="K284" s="457"/>
      <c r="L284" s="502" t="str">
        <f t="shared" si="28"/>
        <v xml:space="preserve"> </v>
      </c>
      <c r="M284" s="467"/>
      <c r="N284" s="477">
        <f>IFERROR(VLOOKUP(P128,COPY!$A$1:$AC$1000,26,FALSE),0)</f>
        <v>0</v>
      </c>
      <c r="P284" s="448">
        <f>IFERROR(VLOOKUP(P128,COPY!$A$1:$AC$1000,29,FALSE),0)</f>
        <v>0</v>
      </c>
      <c r="S284" s="449">
        <f t="shared" si="27"/>
        <v>0</v>
      </c>
    </row>
    <row r="285" spans="1:19" ht="20.100000000000001" hidden="1" customHeight="1" x14ac:dyDescent="0.25">
      <c r="A285" s="470" t="str">
        <f t="shared" si="25"/>
        <v/>
      </c>
      <c r="B285" s="487"/>
      <c r="F285" s="488"/>
      <c r="G285" s="484"/>
      <c r="I285" s="513"/>
      <c r="J285" s="515">
        <f t="shared" si="26"/>
        <v>0</v>
      </c>
      <c r="K285" s="457"/>
      <c r="L285" s="502" t="str">
        <f t="shared" si="28"/>
        <v xml:space="preserve"> </v>
      </c>
      <c r="M285" s="467"/>
      <c r="N285" s="477">
        <f>IFERROR(VLOOKUP(P129,COPY!$A$1:$AC$1000,26,FALSE),0)</f>
        <v>0</v>
      </c>
      <c r="P285" s="448">
        <f>IFERROR(VLOOKUP(P129,COPY!$A$1:$AC$1000,29,FALSE),0)</f>
        <v>0</v>
      </c>
      <c r="S285" s="449">
        <f t="shared" si="27"/>
        <v>0</v>
      </c>
    </row>
    <row r="286" spans="1:19" ht="20.100000000000001" hidden="1" customHeight="1" x14ac:dyDescent="0.25">
      <c r="A286" s="470" t="str">
        <f t="shared" si="25"/>
        <v/>
      </c>
      <c r="B286" s="487"/>
      <c r="F286" s="488"/>
      <c r="G286" s="484"/>
      <c r="I286" s="513"/>
      <c r="J286" s="515">
        <f t="shared" si="26"/>
        <v>0</v>
      </c>
      <c r="K286" s="457"/>
      <c r="L286" s="502" t="str">
        <f t="shared" si="28"/>
        <v xml:space="preserve"> </v>
      </c>
      <c r="M286" s="467"/>
      <c r="N286" s="477">
        <f>IFERROR(VLOOKUP(P130,COPY!$A$1:$AC$1000,26,FALSE),0)</f>
        <v>0</v>
      </c>
      <c r="P286" s="448">
        <f>IFERROR(VLOOKUP(P130,COPY!$A$1:$AC$1000,29,FALSE),0)</f>
        <v>0</v>
      </c>
      <c r="S286" s="449">
        <f t="shared" si="27"/>
        <v>0</v>
      </c>
    </row>
    <row r="287" spans="1:19" ht="20.100000000000001" hidden="1" customHeight="1" x14ac:dyDescent="0.25">
      <c r="A287" s="470" t="str">
        <f t="shared" si="25"/>
        <v/>
      </c>
      <c r="B287" s="487"/>
      <c r="F287" s="488"/>
      <c r="G287" s="484"/>
      <c r="I287" s="513"/>
      <c r="J287" s="515">
        <f t="shared" si="26"/>
        <v>0</v>
      </c>
      <c r="K287" s="457"/>
      <c r="L287" s="502" t="str">
        <f t="shared" si="28"/>
        <v xml:space="preserve"> </v>
      </c>
      <c r="M287" s="467"/>
      <c r="N287" s="477">
        <f>IFERROR(VLOOKUP(P131,COPY!$A$1:$AC$1000,26,FALSE),0)</f>
        <v>0</v>
      </c>
      <c r="P287" s="448">
        <f>IFERROR(VLOOKUP(P131,COPY!$A$1:$AC$1000,29,FALSE),0)</f>
        <v>0</v>
      </c>
      <c r="S287" s="449">
        <f t="shared" si="27"/>
        <v>0</v>
      </c>
    </row>
    <row r="288" spans="1:19" ht="20.100000000000001" hidden="1" customHeight="1" x14ac:dyDescent="0.25">
      <c r="A288" s="470" t="str">
        <f t="shared" si="25"/>
        <v/>
      </c>
      <c r="B288" s="487"/>
      <c r="F288" s="488"/>
      <c r="G288" s="484"/>
      <c r="I288" s="513"/>
      <c r="J288" s="515">
        <f t="shared" si="26"/>
        <v>0</v>
      </c>
      <c r="K288" s="457"/>
      <c r="L288" s="502" t="str">
        <f t="shared" si="28"/>
        <v xml:space="preserve"> </v>
      </c>
      <c r="M288" s="467"/>
      <c r="N288" s="477">
        <f>IFERROR(VLOOKUP(P132,COPY!$A$1:$AC$1000,26,FALSE),0)</f>
        <v>0</v>
      </c>
      <c r="P288" s="448">
        <f>IFERROR(VLOOKUP(P132,COPY!$A$1:$AC$1000,29,FALSE),0)</f>
        <v>0</v>
      </c>
      <c r="S288" s="449">
        <f t="shared" si="27"/>
        <v>0</v>
      </c>
    </row>
    <row r="289" spans="1:19" ht="20.100000000000001" hidden="1" customHeight="1" x14ac:dyDescent="0.25">
      <c r="A289" s="470" t="str">
        <f t="shared" si="25"/>
        <v/>
      </c>
      <c r="B289" s="487"/>
      <c r="F289" s="488"/>
      <c r="G289" s="484"/>
      <c r="I289" s="513"/>
      <c r="J289" s="515">
        <f t="shared" si="26"/>
        <v>0</v>
      </c>
      <c r="K289" s="457"/>
      <c r="L289" s="502" t="str">
        <f t="shared" si="28"/>
        <v xml:space="preserve"> </v>
      </c>
      <c r="M289" s="467"/>
      <c r="N289" s="477">
        <f>IFERROR(VLOOKUP(P133,COPY!$A$1:$AC$1000,26,FALSE),0)</f>
        <v>0</v>
      </c>
      <c r="P289" s="448">
        <f>IFERROR(VLOOKUP(P133,COPY!$A$1:$AC$1000,29,FALSE),0)</f>
        <v>0</v>
      </c>
      <c r="S289" s="449">
        <f t="shared" si="27"/>
        <v>0</v>
      </c>
    </row>
    <row r="290" spans="1:19" ht="20.100000000000001" hidden="1" customHeight="1" x14ac:dyDescent="0.25">
      <c r="A290" s="470" t="str">
        <f t="shared" si="25"/>
        <v/>
      </c>
      <c r="B290" s="487"/>
      <c r="F290" s="488"/>
      <c r="G290" s="484"/>
      <c r="I290" s="513"/>
      <c r="J290" s="515">
        <f t="shared" si="26"/>
        <v>0</v>
      </c>
      <c r="K290" s="457"/>
      <c r="L290" s="502" t="str">
        <f t="shared" si="28"/>
        <v xml:space="preserve"> </v>
      </c>
      <c r="M290" s="467"/>
      <c r="N290" s="477">
        <f>IFERROR(VLOOKUP(P134,COPY!$A$1:$AC$1000,26,FALSE),0)</f>
        <v>0</v>
      </c>
      <c r="P290" s="448">
        <f>IFERROR(VLOOKUP(P134,COPY!$A$1:$AC$1000,29,FALSE),0)</f>
        <v>0</v>
      </c>
      <c r="S290" s="449">
        <f t="shared" si="27"/>
        <v>0</v>
      </c>
    </row>
    <row r="291" spans="1:19" ht="20.100000000000001" hidden="1" customHeight="1" x14ac:dyDescent="0.25">
      <c r="A291" s="470" t="str">
        <f t="shared" si="25"/>
        <v/>
      </c>
      <c r="B291" s="487"/>
      <c r="F291" s="488"/>
      <c r="G291" s="484"/>
      <c r="I291" s="513"/>
      <c r="J291" s="515">
        <f t="shared" si="26"/>
        <v>0</v>
      </c>
      <c r="K291" s="457"/>
      <c r="L291" s="502" t="str">
        <f t="shared" si="28"/>
        <v xml:space="preserve"> </v>
      </c>
      <c r="M291" s="467"/>
      <c r="N291" s="477">
        <f>IFERROR(VLOOKUP(P135,COPY!$A$1:$AC$1000,26,FALSE),0)</f>
        <v>0</v>
      </c>
      <c r="P291" s="448">
        <f>IFERROR(VLOOKUP(P135,COPY!$A$1:$AC$1000,29,FALSE),0)</f>
        <v>0</v>
      </c>
      <c r="S291" s="449">
        <f t="shared" si="27"/>
        <v>0</v>
      </c>
    </row>
    <row r="292" spans="1:19" ht="20.100000000000001" hidden="1" customHeight="1" x14ac:dyDescent="0.25">
      <c r="A292" s="470" t="str">
        <f t="shared" si="25"/>
        <v/>
      </c>
      <c r="B292" s="487"/>
      <c r="F292" s="488"/>
      <c r="G292" s="484"/>
      <c r="I292" s="513"/>
      <c r="J292" s="515">
        <f t="shared" si="26"/>
        <v>0</v>
      </c>
      <c r="K292" s="457"/>
      <c r="L292" s="502" t="str">
        <f t="shared" si="28"/>
        <v xml:space="preserve"> </v>
      </c>
      <c r="M292" s="467"/>
      <c r="N292" s="477">
        <f>IFERROR(VLOOKUP(P136,COPY!$A$1:$AC$1000,26,FALSE),0)</f>
        <v>0</v>
      </c>
      <c r="P292" s="448">
        <f>IFERROR(VLOOKUP(P136,COPY!$A$1:$AC$1000,29,FALSE),0)</f>
        <v>0</v>
      </c>
      <c r="S292" s="449">
        <f t="shared" si="27"/>
        <v>0</v>
      </c>
    </row>
    <row r="293" spans="1:19" ht="20.100000000000001" hidden="1" customHeight="1" x14ac:dyDescent="0.25">
      <c r="A293" s="470" t="str">
        <f t="shared" si="25"/>
        <v/>
      </c>
      <c r="B293" s="487"/>
      <c r="F293" s="488"/>
      <c r="G293" s="484"/>
      <c r="I293" s="513"/>
      <c r="J293" s="515">
        <f t="shared" si="26"/>
        <v>0</v>
      </c>
      <c r="K293" s="457"/>
      <c r="L293" s="502" t="str">
        <f t="shared" si="28"/>
        <v xml:space="preserve"> </v>
      </c>
      <c r="M293" s="467"/>
      <c r="N293" s="477">
        <f>IFERROR(VLOOKUP(P137,COPY!$A$1:$AC$1000,26,FALSE),0)</f>
        <v>0</v>
      </c>
      <c r="P293" s="448">
        <f>IFERROR(VLOOKUP(P137,COPY!$A$1:$AC$1000,29,FALSE),0)</f>
        <v>0</v>
      </c>
      <c r="S293" s="449">
        <f t="shared" si="27"/>
        <v>0</v>
      </c>
    </row>
    <row r="294" spans="1:19" ht="20.100000000000001" hidden="1" customHeight="1" x14ac:dyDescent="0.25">
      <c r="A294" s="470" t="str">
        <f t="shared" si="25"/>
        <v/>
      </c>
      <c r="B294" s="487"/>
      <c r="F294" s="488"/>
      <c r="G294" s="484"/>
      <c r="I294" s="513"/>
      <c r="J294" s="515">
        <f t="shared" si="26"/>
        <v>0</v>
      </c>
      <c r="K294" s="457"/>
      <c r="L294" s="502" t="str">
        <f t="shared" si="28"/>
        <v xml:space="preserve"> </v>
      </c>
      <c r="M294" s="467"/>
      <c r="N294" s="477">
        <f>IFERROR(VLOOKUP(P138,COPY!$A$1:$AC$1000,26,FALSE),0)</f>
        <v>0</v>
      </c>
      <c r="P294" s="448">
        <f>IFERROR(VLOOKUP(P138,COPY!$A$1:$AC$1000,29,FALSE),0)</f>
        <v>0</v>
      </c>
      <c r="S294" s="449">
        <f t="shared" si="27"/>
        <v>0</v>
      </c>
    </row>
    <row r="295" spans="1:19" ht="20.100000000000001" hidden="1" customHeight="1" x14ac:dyDescent="0.25">
      <c r="A295" s="470" t="str">
        <f t="shared" si="25"/>
        <v/>
      </c>
      <c r="B295" s="487"/>
      <c r="F295" s="488"/>
      <c r="G295" s="484"/>
      <c r="I295" s="513"/>
      <c r="J295" s="515">
        <f t="shared" si="26"/>
        <v>0</v>
      </c>
      <c r="K295" s="457"/>
      <c r="L295" s="502" t="str">
        <f t="shared" si="28"/>
        <v xml:space="preserve"> </v>
      </c>
      <c r="M295" s="467"/>
      <c r="N295" s="477">
        <f>IFERROR(VLOOKUP(P139,COPY!$A$1:$AC$1000,26,FALSE),0)</f>
        <v>0</v>
      </c>
      <c r="P295" s="448">
        <f>IFERROR(VLOOKUP(P139,COPY!$A$1:$AC$1000,29,FALSE),0)</f>
        <v>0</v>
      </c>
      <c r="S295" s="449">
        <f t="shared" si="27"/>
        <v>0</v>
      </c>
    </row>
    <row r="296" spans="1:19" ht="20.100000000000001" hidden="1" customHeight="1" x14ac:dyDescent="0.25">
      <c r="A296" s="470" t="str">
        <f t="shared" si="25"/>
        <v/>
      </c>
      <c r="B296" s="487"/>
      <c r="F296" s="488"/>
      <c r="G296" s="484"/>
      <c r="I296" s="513"/>
      <c r="J296" s="515">
        <f t="shared" si="26"/>
        <v>0</v>
      </c>
      <c r="K296" s="457"/>
      <c r="L296" s="502" t="str">
        <f t="shared" si="28"/>
        <v xml:space="preserve"> </v>
      </c>
      <c r="M296" s="467"/>
      <c r="N296" s="477">
        <f>IFERROR(VLOOKUP(P140,COPY!$A$1:$AC$1000,26,FALSE),0)</f>
        <v>0</v>
      </c>
      <c r="P296" s="448">
        <f>IFERROR(VLOOKUP(P140,COPY!$A$1:$AC$1000,29,FALSE),0)</f>
        <v>0</v>
      </c>
      <c r="S296" s="449">
        <f t="shared" si="27"/>
        <v>0</v>
      </c>
    </row>
    <row r="297" spans="1:19" ht="20.100000000000001" hidden="1" customHeight="1" x14ac:dyDescent="0.25">
      <c r="A297" s="470" t="str">
        <f t="shared" si="25"/>
        <v/>
      </c>
      <c r="B297" s="487"/>
      <c r="F297" s="488"/>
      <c r="G297" s="484"/>
      <c r="I297" s="513"/>
      <c r="J297" s="515">
        <f t="shared" si="26"/>
        <v>0</v>
      </c>
      <c r="K297" s="457"/>
      <c r="L297" s="502" t="str">
        <f t="shared" si="28"/>
        <v xml:space="preserve"> </v>
      </c>
      <c r="M297" s="467"/>
      <c r="N297" s="477">
        <f>IFERROR(VLOOKUP(P141,COPY!$A$1:$AC$1000,26,FALSE),0)</f>
        <v>0</v>
      </c>
      <c r="P297" s="448">
        <f>IFERROR(VLOOKUP(P141,COPY!$A$1:$AC$1000,29,FALSE),0)</f>
        <v>0</v>
      </c>
      <c r="S297" s="449">
        <f t="shared" si="27"/>
        <v>0</v>
      </c>
    </row>
    <row r="298" spans="1:19" ht="20.100000000000001" hidden="1" customHeight="1" x14ac:dyDescent="0.25">
      <c r="A298" s="470" t="str">
        <f t="shared" si="25"/>
        <v/>
      </c>
      <c r="B298" s="487"/>
      <c r="F298" s="488"/>
      <c r="G298" s="484"/>
      <c r="I298" s="513"/>
      <c r="J298" s="515">
        <f t="shared" si="26"/>
        <v>0</v>
      </c>
      <c r="K298" s="457"/>
      <c r="L298" s="502" t="str">
        <f t="shared" si="28"/>
        <v xml:space="preserve"> </v>
      </c>
      <c r="M298" s="467"/>
      <c r="N298" s="477">
        <f>IFERROR(VLOOKUP(P142,COPY!$A$1:$AC$1000,26,FALSE),0)</f>
        <v>0</v>
      </c>
      <c r="P298" s="448">
        <f>IFERROR(VLOOKUP(P142,COPY!$A$1:$AC$1000,29,FALSE),0)</f>
        <v>0</v>
      </c>
      <c r="S298" s="449">
        <f t="shared" si="27"/>
        <v>0</v>
      </c>
    </row>
    <row r="299" spans="1:19" ht="20.100000000000001" hidden="1" customHeight="1" x14ac:dyDescent="0.25">
      <c r="A299" s="470" t="str">
        <f t="shared" si="25"/>
        <v/>
      </c>
      <c r="B299" s="487"/>
      <c r="F299" s="488"/>
      <c r="G299" s="484"/>
      <c r="I299" s="513"/>
      <c r="J299" s="515">
        <f t="shared" si="26"/>
        <v>0</v>
      </c>
      <c r="K299" s="457"/>
      <c r="L299" s="502" t="str">
        <f t="shared" si="28"/>
        <v xml:space="preserve"> </v>
      </c>
      <c r="M299" s="467"/>
      <c r="N299" s="477">
        <f>IFERROR(VLOOKUP(P143,COPY!$A$1:$AC$1000,26,FALSE),0)</f>
        <v>0</v>
      </c>
      <c r="P299" s="448">
        <f>IFERROR(VLOOKUP(P143,COPY!$A$1:$AC$1000,29,FALSE),0)</f>
        <v>0</v>
      </c>
      <c r="S299" s="449">
        <f t="shared" si="27"/>
        <v>0</v>
      </c>
    </row>
    <row r="300" spans="1:19" ht="20.100000000000001" hidden="1" customHeight="1" x14ac:dyDescent="0.25">
      <c r="A300" s="470" t="str">
        <f t="shared" si="25"/>
        <v/>
      </c>
      <c r="B300" s="487"/>
      <c r="F300" s="488"/>
      <c r="G300" s="484"/>
      <c r="I300" s="513"/>
      <c r="J300" s="515">
        <f t="shared" si="26"/>
        <v>0</v>
      </c>
      <c r="K300" s="457"/>
      <c r="L300" s="502" t="str">
        <f t="shared" si="28"/>
        <v xml:space="preserve"> </v>
      </c>
      <c r="M300" s="467"/>
      <c r="N300" s="477">
        <f>IFERROR(VLOOKUP(P144,COPY!$A$1:$AC$1000,26,FALSE),0)</f>
        <v>0</v>
      </c>
      <c r="P300" s="448">
        <f>IFERROR(VLOOKUP(P144,COPY!$A$1:$AC$1000,29,FALSE),0)</f>
        <v>0</v>
      </c>
      <c r="S300" s="449">
        <f t="shared" si="27"/>
        <v>0</v>
      </c>
    </row>
    <row r="301" spans="1:19" ht="20.100000000000001" hidden="1" customHeight="1" x14ac:dyDescent="0.25">
      <c r="A301" s="470" t="str">
        <f t="shared" si="25"/>
        <v/>
      </c>
      <c r="B301" s="487"/>
      <c r="F301" s="488"/>
      <c r="G301" s="484"/>
      <c r="I301" s="513"/>
      <c r="J301" s="515">
        <f t="shared" si="26"/>
        <v>0</v>
      </c>
      <c r="K301" s="457"/>
      <c r="L301" s="502" t="str">
        <f t="shared" si="28"/>
        <v xml:space="preserve"> </v>
      </c>
      <c r="M301" s="467"/>
      <c r="N301" s="477">
        <f>IFERROR(VLOOKUP(P145,COPY!$A$1:$AC$1000,26,FALSE),0)</f>
        <v>0</v>
      </c>
      <c r="P301" s="448">
        <f>IFERROR(VLOOKUP(P145,COPY!$A$1:$AC$1000,29,FALSE),0)</f>
        <v>0</v>
      </c>
      <c r="S301" s="449">
        <f t="shared" si="27"/>
        <v>0</v>
      </c>
    </row>
    <row r="302" spans="1:19" ht="20.100000000000001" hidden="1" customHeight="1" x14ac:dyDescent="0.25">
      <c r="A302" s="470" t="str">
        <f t="shared" si="25"/>
        <v/>
      </c>
      <c r="B302" s="487"/>
      <c r="F302" s="488"/>
      <c r="G302" s="484"/>
      <c r="I302" s="513"/>
      <c r="J302" s="515">
        <f t="shared" si="26"/>
        <v>0</v>
      </c>
      <c r="K302" s="457"/>
      <c r="L302" s="502" t="str">
        <f t="shared" si="28"/>
        <v xml:space="preserve"> </v>
      </c>
      <c r="M302" s="467"/>
      <c r="N302" s="477">
        <f>IFERROR(VLOOKUP(P146,COPY!$A$1:$AC$1000,26,FALSE),0)</f>
        <v>0</v>
      </c>
      <c r="P302" s="448">
        <f>IFERROR(VLOOKUP(P146,COPY!$A$1:$AC$1000,29,FALSE),0)</f>
        <v>0</v>
      </c>
      <c r="S302" s="449">
        <f t="shared" si="27"/>
        <v>0</v>
      </c>
    </row>
    <row r="303" spans="1:19" ht="20.100000000000001" hidden="1" customHeight="1" x14ac:dyDescent="0.25">
      <c r="A303" s="470" t="str">
        <f t="shared" si="25"/>
        <v/>
      </c>
      <c r="B303" s="487"/>
      <c r="F303" s="488"/>
      <c r="G303" s="484"/>
      <c r="I303" s="513"/>
      <c r="J303" s="515">
        <f t="shared" si="26"/>
        <v>0</v>
      </c>
      <c r="K303" s="457"/>
      <c r="L303" s="502" t="str">
        <f t="shared" si="28"/>
        <v xml:space="preserve"> </v>
      </c>
      <c r="M303" s="467"/>
      <c r="N303" s="477">
        <f>IFERROR(VLOOKUP(P147,COPY!$A$1:$AC$1000,26,FALSE),0)</f>
        <v>0</v>
      </c>
      <c r="P303" s="448">
        <f>IFERROR(VLOOKUP(P147,COPY!$A$1:$AC$1000,29,FALSE),0)</f>
        <v>0</v>
      </c>
      <c r="S303" s="449">
        <f t="shared" si="27"/>
        <v>0</v>
      </c>
    </row>
    <row r="304" spans="1:19" ht="20.100000000000001" hidden="1" customHeight="1" x14ac:dyDescent="0.25">
      <c r="A304" s="470" t="str">
        <f t="shared" si="25"/>
        <v/>
      </c>
      <c r="B304" s="487"/>
      <c r="F304" s="488"/>
      <c r="G304" s="484"/>
      <c r="I304" s="513"/>
      <c r="J304" s="515">
        <f t="shared" si="26"/>
        <v>0</v>
      </c>
      <c r="K304" s="457"/>
      <c r="L304" s="502" t="str">
        <f t="shared" si="28"/>
        <v xml:space="preserve"> </v>
      </c>
      <c r="M304" s="467"/>
      <c r="N304" s="477">
        <f>IFERROR(VLOOKUP(P148,COPY!$A$1:$AC$1000,26,FALSE),0)</f>
        <v>0</v>
      </c>
      <c r="P304" s="448">
        <f>IFERROR(VLOOKUP(P148,COPY!$A$1:$AC$1000,29,FALSE),0)</f>
        <v>0</v>
      </c>
      <c r="S304" s="449">
        <f t="shared" si="27"/>
        <v>0</v>
      </c>
    </row>
    <row r="305" spans="1:19" ht="20.100000000000001" hidden="1" customHeight="1" x14ac:dyDescent="0.25">
      <c r="A305" s="470" t="str">
        <f t="shared" si="25"/>
        <v/>
      </c>
      <c r="B305" s="487"/>
      <c r="F305" s="488"/>
      <c r="G305" s="484"/>
      <c r="I305" s="513"/>
      <c r="J305" s="515">
        <f t="shared" si="26"/>
        <v>0</v>
      </c>
      <c r="K305" s="457"/>
      <c r="L305" s="502" t="str">
        <f t="shared" si="28"/>
        <v xml:space="preserve"> </v>
      </c>
      <c r="M305" s="467"/>
      <c r="N305" s="477">
        <f>IFERROR(VLOOKUP(P149,COPY!$A$1:$AC$1000,26,FALSE),0)</f>
        <v>0</v>
      </c>
      <c r="P305" s="448">
        <f>IFERROR(VLOOKUP(P149,COPY!$A$1:$AC$1000,29,FALSE),0)</f>
        <v>0</v>
      </c>
      <c r="S305" s="449">
        <f t="shared" si="27"/>
        <v>0</v>
      </c>
    </row>
    <row r="306" spans="1:19" ht="20.100000000000001" hidden="1" customHeight="1" x14ac:dyDescent="0.25">
      <c r="A306" s="470" t="str">
        <f t="shared" si="25"/>
        <v/>
      </c>
      <c r="B306" s="487"/>
      <c r="F306" s="488"/>
      <c r="G306" s="484"/>
      <c r="I306" s="513"/>
      <c r="J306" s="515">
        <f t="shared" si="26"/>
        <v>0</v>
      </c>
      <c r="K306" s="457"/>
      <c r="L306" s="502" t="str">
        <f t="shared" si="28"/>
        <v xml:space="preserve"> </v>
      </c>
      <c r="M306" s="467"/>
      <c r="N306" s="477">
        <f>IFERROR(VLOOKUP(P150,COPY!$A$1:$AC$1000,26,FALSE),0)</f>
        <v>0</v>
      </c>
      <c r="P306" s="448">
        <f>IFERROR(VLOOKUP(P150,COPY!$A$1:$AC$1000,29,FALSE),0)</f>
        <v>0</v>
      </c>
      <c r="S306" s="449">
        <f t="shared" si="27"/>
        <v>0</v>
      </c>
    </row>
    <row r="307" spans="1:19" ht="20.100000000000001" hidden="1" customHeight="1" x14ac:dyDescent="0.25">
      <c r="A307" s="470" t="str">
        <f t="shared" si="25"/>
        <v/>
      </c>
      <c r="B307" s="487"/>
      <c r="F307" s="488"/>
      <c r="G307" s="484"/>
      <c r="I307" s="513"/>
      <c r="J307" s="515">
        <f t="shared" si="26"/>
        <v>0</v>
      </c>
      <c r="K307" s="457"/>
      <c r="L307" s="502" t="str">
        <f t="shared" si="28"/>
        <v xml:space="preserve"> </v>
      </c>
      <c r="M307" s="467"/>
      <c r="N307" s="477">
        <f>IFERROR(VLOOKUP(P151,COPY!$A$1:$AC$1000,26,FALSE),0)</f>
        <v>0</v>
      </c>
      <c r="P307" s="448">
        <f>IFERROR(VLOOKUP(P151,COPY!$A$1:$AC$1000,29,FALSE),0)</f>
        <v>0</v>
      </c>
      <c r="S307" s="449">
        <f t="shared" si="27"/>
        <v>0</v>
      </c>
    </row>
    <row r="308" spans="1:19" ht="20.100000000000001" hidden="1" customHeight="1" x14ac:dyDescent="0.25">
      <c r="A308" s="470" t="str">
        <f t="shared" si="25"/>
        <v/>
      </c>
      <c r="B308" s="487"/>
      <c r="F308" s="488"/>
      <c r="G308" s="484"/>
      <c r="I308" s="513"/>
      <c r="J308" s="515">
        <f t="shared" si="26"/>
        <v>0</v>
      </c>
      <c r="K308" s="457"/>
      <c r="L308" s="502" t="str">
        <f t="shared" si="28"/>
        <v xml:space="preserve"> </v>
      </c>
      <c r="M308" s="467"/>
      <c r="N308" s="477">
        <f>IFERROR(VLOOKUP(P152,COPY!$A$1:$AC$1000,26,FALSE),0)</f>
        <v>0</v>
      </c>
      <c r="P308" s="448">
        <f>IFERROR(VLOOKUP(P152,COPY!$A$1:$AC$1000,29,FALSE),0)</f>
        <v>0</v>
      </c>
      <c r="S308" s="449">
        <f t="shared" si="27"/>
        <v>0</v>
      </c>
    </row>
    <row r="309" spans="1:19" ht="20.100000000000001" hidden="1" customHeight="1" x14ac:dyDescent="0.25">
      <c r="A309" s="470" t="str">
        <f t="shared" si="25"/>
        <v/>
      </c>
      <c r="B309" s="487"/>
      <c r="F309" s="488"/>
      <c r="G309" s="484"/>
      <c r="I309" s="513"/>
      <c r="J309" s="515">
        <f t="shared" si="26"/>
        <v>0</v>
      </c>
      <c r="K309" s="457"/>
      <c r="L309" s="502" t="str">
        <f t="shared" si="28"/>
        <v xml:space="preserve"> </v>
      </c>
      <c r="M309" s="467"/>
      <c r="N309" s="477">
        <f>IFERROR(VLOOKUP(P153,COPY!$A$1:$AC$1000,26,FALSE),0)</f>
        <v>0</v>
      </c>
      <c r="P309" s="448">
        <f>IFERROR(VLOOKUP(P153,COPY!$A$1:$AC$1000,29,FALSE),0)</f>
        <v>0</v>
      </c>
      <c r="S309" s="449">
        <f t="shared" si="27"/>
        <v>0</v>
      </c>
    </row>
    <row r="310" spans="1:19" ht="20.100000000000001" hidden="1" customHeight="1" x14ac:dyDescent="0.25">
      <c r="A310" s="470" t="str">
        <f t="shared" si="25"/>
        <v/>
      </c>
      <c r="B310" s="487"/>
      <c r="F310" s="488"/>
      <c r="G310" s="484"/>
      <c r="I310" s="513"/>
      <c r="J310" s="515">
        <f t="shared" si="26"/>
        <v>0</v>
      </c>
      <c r="K310" s="457"/>
      <c r="L310" s="502" t="str">
        <f t="shared" si="28"/>
        <v xml:space="preserve"> </v>
      </c>
      <c r="M310" s="467"/>
      <c r="N310" s="477">
        <f>IFERROR(VLOOKUP(P154,COPY!$A$1:$AC$1000,26,FALSE),0)</f>
        <v>0</v>
      </c>
      <c r="P310" s="448">
        <f>IFERROR(VLOOKUP(P154,COPY!$A$1:$AC$1000,29,FALSE),0)</f>
        <v>0</v>
      </c>
      <c r="S310" s="449">
        <f t="shared" si="27"/>
        <v>0</v>
      </c>
    </row>
    <row r="311" spans="1:19" ht="20.100000000000001" hidden="1" customHeight="1" x14ac:dyDescent="0.25">
      <c r="A311" s="470" t="str">
        <f t="shared" si="25"/>
        <v/>
      </c>
      <c r="B311" s="487"/>
      <c r="F311" s="488"/>
      <c r="G311" s="484"/>
      <c r="I311" s="513"/>
      <c r="J311" s="515">
        <f t="shared" si="26"/>
        <v>0</v>
      </c>
      <c r="K311" s="457"/>
      <c r="L311" s="502" t="str">
        <f t="shared" si="28"/>
        <v xml:space="preserve"> </v>
      </c>
      <c r="M311" s="467"/>
      <c r="N311" s="477">
        <f>IFERROR(VLOOKUP(P155,COPY!$A$1:$AC$1000,26,FALSE),0)</f>
        <v>0</v>
      </c>
      <c r="P311" s="448">
        <f>IFERROR(VLOOKUP(P155,COPY!$A$1:$AC$1000,29,FALSE),0)</f>
        <v>0</v>
      </c>
      <c r="S311" s="449">
        <f t="shared" si="27"/>
        <v>0</v>
      </c>
    </row>
    <row r="312" spans="1:19" ht="20.100000000000001" hidden="1" customHeight="1" x14ac:dyDescent="0.25">
      <c r="A312" s="470" t="str">
        <f t="shared" si="25"/>
        <v/>
      </c>
      <c r="B312" s="487"/>
      <c r="F312" s="488"/>
      <c r="G312" s="484"/>
      <c r="I312" s="513"/>
      <c r="J312" s="515">
        <f t="shared" si="26"/>
        <v>0</v>
      </c>
      <c r="K312" s="457"/>
      <c r="L312" s="502" t="str">
        <f t="shared" si="28"/>
        <v xml:space="preserve"> </v>
      </c>
      <c r="M312" s="467"/>
      <c r="N312" s="477">
        <f>IFERROR(VLOOKUP(P156,COPY!$A$1:$AC$1000,26,FALSE),0)</f>
        <v>0</v>
      </c>
      <c r="P312" s="448">
        <f>IFERROR(VLOOKUP(P156,COPY!$A$1:$AC$1000,29,FALSE),0)</f>
        <v>0</v>
      </c>
      <c r="S312" s="449">
        <f t="shared" si="27"/>
        <v>0</v>
      </c>
    </row>
    <row r="313" spans="1:19" ht="20.100000000000001" hidden="1" customHeight="1" x14ac:dyDescent="0.25">
      <c r="A313" s="470" t="str">
        <f t="shared" si="25"/>
        <v/>
      </c>
      <c r="B313" s="487"/>
      <c r="F313" s="488"/>
      <c r="G313" s="484"/>
      <c r="I313" s="513"/>
      <c r="J313" s="515">
        <f t="shared" si="26"/>
        <v>0</v>
      </c>
      <c r="K313" s="457"/>
      <c r="L313" s="502" t="str">
        <f t="shared" si="28"/>
        <v xml:space="preserve"> </v>
      </c>
      <c r="M313" s="467"/>
      <c r="N313" s="477">
        <f>IFERROR(VLOOKUP(P157,COPY!$A$1:$AC$1000,26,FALSE),0)</f>
        <v>0</v>
      </c>
      <c r="P313" s="448">
        <f>IFERROR(VLOOKUP(P157,COPY!$A$1:$AC$1000,29,FALSE),0)</f>
        <v>0</v>
      </c>
      <c r="S313" s="449">
        <f t="shared" si="27"/>
        <v>0</v>
      </c>
    </row>
    <row r="314" spans="1:19" ht="20.100000000000001" hidden="1" customHeight="1" x14ac:dyDescent="0.25">
      <c r="A314" s="470" t="str">
        <f t="shared" si="25"/>
        <v/>
      </c>
      <c r="B314" s="487"/>
      <c r="F314" s="488"/>
      <c r="G314" s="484"/>
      <c r="I314" s="513"/>
      <c r="J314" s="515">
        <f t="shared" si="26"/>
        <v>0</v>
      </c>
      <c r="K314" s="457"/>
      <c r="L314" s="502" t="str">
        <f t="shared" si="28"/>
        <v xml:space="preserve"> </v>
      </c>
      <c r="M314" s="467"/>
      <c r="N314" s="477">
        <f>IFERROR(VLOOKUP(P158,COPY!$A$1:$AC$1000,26,FALSE),0)</f>
        <v>0</v>
      </c>
      <c r="P314" s="448">
        <f>IFERROR(VLOOKUP(P158,COPY!$A$1:$AC$1000,29,FALSE),0)</f>
        <v>0</v>
      </c>
      <c r="S314" s="449">
        <f t="shared" si="27"/>
        <v>0</v>
      </c>
    </row>
    <row r="315" spans="1:19" ht="20.100000000000001" hidden="1" customHeight="1" x14ac:dyDescent="0.25">
      <c r="A315" s="470" t="str">
        <f t="shared" si="25"/>
        <v/>
      </c>
      <c r="B315" s="487"/>
      <c r="F315" s="488"/>
      <c r="G315" s="484"/>
      <c r="I315" s="513"/>
      <c r="J315" s="515">
        <f t="shared" si="26"/>
        <v>0</v>
      </c>
      <c r="K315" s="457"/>
      <c r="L315" s="502" t="str">
        <f t="shared" si="28"/>
        <v xml:space="preserve"> </v>
      </c>
      <c r="M315" s="467"/>
      <c r="N315" s="477">
        <f>IFERROR(VLOOKUP(P159,COPY!$A$1:$AC$1000,26,FALSE),0)</f>
        <v>0</v>
      </c>
      <c r="P315" s="448">
        <f>IFERROR(VLOOKUP(P159,COPY!$A$1:$AC$1000,29,FALSE),0)</f>
        <v>0</v>
      </c>
      <c r="S315" s="449">
        <f t="shared" si="27"/>
        <v>0</v>
      </c>
    </row>
    <row r="316" spans="1:19" ht="20.100000000000001" hidden="1" customHeight="1" x14ac:dyDescent="0.25">
      <c r="A316" s="470" t="str">
        <f t="shared" si="25"/>
        <v/>
      </c>
      <c r="B316" s="487"/>
      <c r="F316" s="488"/>
      <c r="G316" s="484"/>
      <c r="I316" s="513"/>
      <c r="J316" s="515">
        <f t="shared" si="26"/>
        <v>0</v>
      </c>
      <c r="K316" s="457"/>
      <c r="L316" s="502" t="str">
        <f t="shared" si="28"/>
        <v xml:space="preserve"> </v>
      </c>
      <c r="M316" s="467"/>
      <c r="N316" s="477">
        <f>IFERROR(VLOOKUP(P160,COPY!$A$1:$AC$1000,26,FALSE),0)</f>
        <v>0</v>
      </c>
      <c r="P316" s="448">
        <f>IFERROR(VLOOKUP(P160,COPY!$A$1:$AC$1000,29,FALSE),0)</f>
        <v>0</v>
      </c>
      <c r="S316" s="449">
        <f t="shared" si="27"/>
        <v>0</v>
      </c>
    </row>
    <row r="317" spans="1:19" ht="20.100000000000001" hidden="1" customHeight="1" x14ac:dyDescent="0.25">
      <c r="A317" s="470" t="str">
        <f t="shared" ref="A317:A341" si="29">IF(P161="","",P161&amp;"."&amp;ROW()-188)</f>
        <v/>
      </c>
      <c r="B317" s="487"/>
      <c r="F317" s="488"/>
      <c r="G317" s="484"/>
      <c r="I317" s="513"/>
      <c r="J317" s="515">
        <f t="shared" ref="J317:J340" si="30">S317</f>
        <v>0</v>
      </c>
      <c r="K317" s="457"/>
      <c r="L317" s="502" t="str">
        <f t="shared" si="28"/>
        <v xml:space="preserve"> </v>
      </c>
      <c r="M317" s="467"/>
      <c r="N317" s="477">
        <f>IFERROR(VLOOKUP(P161,COPY!$A$1:$AC$1000,26,FALSE),0)</f>
        <v>0</v>
      </c>
      <c r="P317" s="448">
        <f>IFERROR(VLOOKUP(P161,COPY!$A$1:$AC$1000,29,FALSE),0)</f>
        <v>0</v>
      </c>
      <c r="S317" s="449">
        <f t="shared" si="27"/>
        <v>0</v>
      </c>
    </row>
    <row r="318" spans="1:19" ht="20.100000000000001" hidden="1" customHeight="1" x14ac:dyDescent="0.25">
      <c r="A318" s="470" t="str">
        <f t="shared" si="29"/>
        <v/>
      </c>
      <c r="B318" s="487"/>
      <c r="F318" s="488"/>
      <c r="G318" s="484"/>
      <c r="I318" s="513"/>
      <c r="J318" s="515">
        <f t="shared" si="30"/>
        <v>0</v>
      </c>
      <c r="K318" s="457"/>
      <c r="L318" s="502" t="str">
        <f t="shared" si="28"/>
        <v xml:space="preserve"> </v>
      </c>
      <c r="M318" s="467"/>
      <c r="N318" s="477">
        <f>IFERROR(VLOOKUP(P162,COPY!$A$1:$AC$1000,26,FALSE),0)</f>
        <v>0</v>
      </c>
      <c r="P318" s="448">
        <f>IFERROR(VLOOKUP(P162,COPY!$A$1:$AC$1000,29,FALSE),0)</f>
        <v>0</v>
      </c>
      <c r="S318" s="449">
        <f t="shared" ref="S318:S341" si="31">IF(LEFT(P318,6)="Terima",REPLACE(P318,1,6,"Bayar"),P318)</f>
        <v>0</v>
      </c>
    </row>
    <row r="319" spans="1:19" ht="20.100000000000001" hidden="1" customHeight="1" x14ac:dyDescent="0.25">
      <c r="A319" s="470" t="str">
        <f t="shared" si="29"/>
        <v/>
      </c>
      <c r="B319" s="487"/>
      <c r="F319" s="488"/>
      <c r="G319" s="484"/>
      <c r="I319" s="513"/>
      <c r="J319" s="515">
        <f t="shared" si="30"/>
        <v>0</v>
      </c>
      <c r="K319" s="457"/>
      <c r="L319" s="502" t="str">
        <f t="shared" si="28"/>
        <v xml:space="preserve"> </v>
      </c>
      <c r="M319" s="467"/>
      <c r="N319" s="477">
        <f>IFERROR(VLOOKUP(P163,COPY!$A$1:$AC$1000,26,FALSE),0)</f>
        <v>0</v>
      </c>
      <c r="P319" s="448">
        <f>IFERROR(VLOOKUP(P163,COPY!$A$1:$AC$1000,29,FALSE),0)</f>
        <v>0</v>
      </c>
      <c r="S319" s="449">
        <f t="shared" si="31"/>
        <v>0</v>
      </c>
    </row>
    <row r="320" spans="1:19" ht="20.100000000000001" hidden="1" customHeight="1" x14ac:dyDescent="0.25">
      <c r="A320" s="470" t="str">
        <f t="shared" si="29"/>
        <v/>
      </c>
      <c r="B320" s="487"/>
      <c r="F320" s="488"/>
      <c r="G320" s="484"/>
      <c r="I320" s="513"/>
      <c r="J320" s="515">
        <f t="shared" si="30"/>
        <v>0</v>
      </c>
      <c r="K320" s="457"/>
      <c r="L320" s="502" t="str">
        <f t="shared" si="28"/>
        <v xml:space="preserve"> </v>
      </c>
      <c r="M320" s="467"/>
      <c r="N320" s="477">
        <f>IFERROR(VLOOKUP(P164,COPY!$A$1:$AC$1000,26,FALSE),0)</f>
        <v>0</v>
      </c>
      <c r="P320" s="448">
        <f>IFERROR(VLOOKUP(P164,COPY!$A$1:$AC$1000,29,FALSE),0)</f>
        <v>0</v>
      </c>
      <c r="S320" s="449">
        <f t="shared" si="31"/>
        <v>0</v>
      </c>
    </row>
    <row r="321" spans="1:19" ht="20.100000000000001" hidden="1" customHeight="1" x14ac:dyDescent="0.25">
      <c r="A321" s="470" t="str">
        <f t="shared" si="29"/>
        <v/>
      </c>
      <c r="B321" s="487"/>
      <c r="F321" s="488"/>
      <c r="G321" s="484"/>
      <c r="I321" s="513"/>
      <c r="J321" s="515">
        <f t="shared" si="30"/>
        <v>0</v>
      </c>
      <c r="K321" s="457"/>
      <c r="L321" s="502" t="str">
        <f t="shared" si="28"/>
        <v xml:space="preserve"> </v>
      </c>
      <c r="M321" s="467"/>
      <c r="N321" s="477">
        <f>IFERROR(VLOOKUP(P165,COPY!$A$1:$AC$1000,26,FALSE),0)</f>
        <v>0</v>
      </c>
      <c r="P321" s="448">
        <f>IFERROR(VLOOKUP(P165,COPY!$A$1:$AC$1000,29,FALSE),0)</f>
        <v>0</v>
      </c>
      <c r="S321" s="449">
        <f t="shared" si="31"/>
        <v>0</v>
      </c>
    </row>
    <row r="322" spans="1:19" ht="20.100000000000001" hidden="1" customHeight="1" x14ac:dyDescent="0.25">
      <c r="A322" s="470" t="str">
        <f t="shared" si="29"/>
        <v/>
      </c>
      <c r="B322" s="487"/>
      <c r="F322" s="488"/>
      <c r="G322" s="484"/>
      <c r="I322" s="513"/>
      <c r="J322" s="515">
        <f t="shared" si="30"/>
        <v>0</v>
      </c>
      <c r="K322" s="457"/>
      <c r="L322" s="502" t="str">
        <f t="shared" ref="L322:L341" si="32">IF(LEFT(J322,15)="Bayar Pajak PPN",1,IF(LEFT(J322,15)="Bayar Pajak PPH",2,IF(LEFT(J322,21)="Bayar Pajak Final PPH",3," ")))</f>
        <v xml:space="preserve"> </v>
      </c>
      <c r="M322" s="467"/>
      <c r="N322" s="477">
        <f>IFERROR(VLOOKUP(P166,COPY!$A$1:$AC$1000,26,FALSE),0)</f>
        <v>0</v>
      </c>
      <c r="P322" s="448">
        <f>IFERROR(VLOOKUP(P166,COPY!$A$1:$AC$1000,29,FALSE),0)</f>
        <v>0</v>
      </c>
      <c r="S322" s="449">
        <f t="shared" si="31"/>
        <v>0</v>
      </c>
    </row>
    <row r="323" spans="1:19" ht="20.100000000000001" hidden="1" customHeight="1" x14ac:dyDescent="0.25">
      <c r="A323" s="470" t="str">
        <f t="shared" si="29"/>
        <v/>
      </c>
      <c r="B323" s="487"/>
      <c r="F323" s="488"/>
      <c r="G323" s="484"/>
      <c r="I323" s="513"/>
      <c r="J323" s="515">
        <f t="shared" si="30"/>
        <v>0</v>
      </c>
      <c r="K323" s="457"/>
      <c r="L323" s="502" t="str">
        <f t="shared" si="32"/>
        <v xml:space="preserve"> </v>
      </c>
      <c r="M323" s="467"/>
      <c r="N323" s="477">
        <f>IFERROR(VLOOKUP(P167,COPY!$A$1:$AC$1000,26,FALSE),0)</f>
        <v>0</v>
      </c>
      <c r="P323" s="448">
        <f>IFERROR(VLOOKUP(P167,COPY!$A$1:$AC$1000,29,FALSE),0)</f>
        <v>0</v>
      </c>
      <c r="S323" s="449">
        <f t="shared" si="31"/>
        <v>0</v>
      </c>
    </row>
    <row r="324" spans="1:19" ht="20.100000000000001" hidden="1" customHeight="1" x14ac:dyDescent="0.25">
      <c r="A324" s="470" t="str">
        <f t="shared" si="29"/>
        <v/>
      </c>
      <c r="B324" s="487"/>
      <c r="F324" s="488"/>
      <c r="G324" s="484"/>
      <c r="I324" s="513"/>
      <c r="J324" s="515">
        <f t="shared" si="30"/>
        <v>0</v>
      </c>
      <c r="K324" s="457"/>
      <c r="L324" s="502" t="str">
        <f t="shared" si="32"/>
        <v xml:space="preserve"> </v>
      </c>
      <c r="M324" s="467"/>
      <c r="N324" s="477">
        <f>IFERROR(VLOOKUP(P168,COPY!$A$1:$AC$1000,26,FALSE),0)</f>
        <v>0</v>
      </c>
      <c r="P324" s="448">
        <f>IFERROR(VLOOKUP(P168,COPY!$A$1:$AC$1000,29,FALSE),0)</f>
        <v>0</v>
      </c>
      <c r="S324" s="449">
        <f t="shared" si="31"/>
        <v>0</v>
      </c>
    </row>
    <row r="325" spans="1:19" ht="20.100000000000001" hidden="1" customHeight="1" x14ac:dyDescent="0.25">
      <c r="A325" s="470" t="str">
        <f t="shared" si="29"/>
        <v/>
      </c>
      <c r="B325" s="487"/>
      <c r="F325" s="488"/>
      <c r="G325" s="484"/>
      <c r="I325" s="513"/>
      <c r="J325" s="515">
        <f t="shared" si="30"/>
        <v>0</v>
      </c>
      <c r="K325" s="457"/>
      <c r="L325" s="502" t="str">
        <f t="shared" si="32"/>
        <v xml:space="preserve"> </v>
      </c>
      <c r="M325" s="467"/>
      <c r="N325" s="477">
        <f>IFERROR(VLOOKUP(P169,COPY!$A$1:$AC$1000,26,FALSE),0)</f>
        <v>0</v>
      </c>
      <c r="P325" s="448">
        <f>IFERROR(VLOOKUP(P169,COPY!$A$1:$AC$1000,29,FALSE),0)</f>
        <v>0</v>
      </c>
      <c r="S325" s="449">
        <f t="shared" si="31"/>
        <v>0</v>
      </c>
    </row>
    <row r="326" spans="1:19" ht="20.100000000000001" hidden="1" customHeight="1" x14ac:dyDescent="0.25">
      <c r="A326" s="470" t="str">
        <f t="shared" si="29"/>
        <v/>
      </c>
      <c r="B326" s="487"/>
      <c r="F326" s="488"/>
      <c r="G326" s="484"/>
      <c r="I326" s="513"/>
      <c r="J326" s="515">
        <f t="shared" si="30"/>
        <v>0</v>
      </c>
      <c r="K326" s="457"/>
      <c r="L326" s="502" t="str">
        <f t="shared" si="32"/>
        <v xml:space="preserve"> </v>
      </c>
      <c r="M326" s="467"/>
      <c r="N326" s="477">
        <f>IFERROR(VLOOKUP(P170,COPY!$A$1:$AC$1000,26,FALSE),0)</f>
        <v>0</v>
      </c>
      <c r="P326" s="448">
        <f>IFERROR(VLOOKUP(P170,COPY!$A$1:$AC$1000,29,FALSE),0)</f>
        <v>0</v>
      </c>
      <c r="S326" s="449">
        <f t="shared" si="31"/>
        <v>0</v>
      </c>
    </row>
    <row r="327" spans="1:19" ht="20.100000000000001" hidden="1" customHeight="1" x14ac:dyDescent="0.25">
      <c r="A327" s="470" t="str">
        <f t="shared" si="29"/>
        <v/>
      </c>
      <c r="B327" s="487"/>
      <c r="F327" s="488"/>
      <c r="G327" s="484"/>
      <c r="I327" s="513"/>
      <c r="J327" s="515">
        <f t="shared" si="30"/>
        <v>0</v>
      </c>
      <c r="K327" s="457"/>
      <c r="L327" s="502" t="str">
        <f t="shared" si="32"/>
        <v xml:space="preserve"> </v>
      </c>
      <c r="M327" s="467"/>
      <c r="N327" s="477">
        <f>IFERROR(VLOOKUP(P171,COPY!$A$1:$AC$1000,26,FALSE),0)</f>
        <v>0</v>
      </c>
      <c r="P327" s="448">
        <f>IFERROR(VLOOKUP(P171,COPY!$A$1:$AC$1000,29,FALSE),0)</f>
        <v>0</v>
      </c>
      <c r="S327" s="449">
        <f t="shared" si="31"/>
        <v>0</v>
      </c>
    </row>
    <row r="328" spans="1:19" ht="20.100000000000001" hidden="1" customHeight="1" x14ac:dyDescent="0.25">
      <c r="A328" s="470" t="str">
        <f t="shared" si="29"/>
        <v/>
      </c>
      <c r="B328" s="487"/>
      <c r="F328" s="488"/>
      <c r="G328" s="484"/>
      <c r="I328" s="513"/>
      <c r="J328" s="515">
        <f t="shared" si="30"/>
        <v>0</v>
      </c>
      <c r="K328" s="457"/>
      <c r="L328" s="502" t="str">
        <f t="shared" si="32"/>
        <v xml:space="preserve"> </v>
      </c>
      <c r="M328" s="467"/>
      <c r="N328" s="477">
        <f>IFERROR(VLOOKUP(P172,COPY!$A$1:$AC$1000,26,FALSE),0)</f>
        <v>0</v>
      </c>
      <c r="P328" s="448">
        <f>IFERROR(VLOOKUP(P172,COPY!$A$1:$AC$1000,29,FALSE),0)</f>
        <v>0</v>
      </c>
      <c r="S328" s="449">
        <f t="shared" si="31"/>
        <v>0</v>
      </c>
    </row>
    <row r="329" spans="1:19" ht="20.100000000000001" hidden="1" customHeight="1" x14ac:dyDescent="0.25">
      <c r="A329" s="470" t="str">
        <f t="shared" si="29"/>
        <v/>
      </c>
      <c r="B329" s="487"/>
      <c r="F329" s="488"/>
      <c r="G329" s="484"/>
      <c r="I329" s="513"/>
      <c r="J329" s="515">
        <f t="shared" si="30"/>
        <v>0</v>
      </c>
      <c r="K329" s="457"/>
      <c r="L329" s="502" t="str">
        <f t="shared" si="32"/>
        <v xml:space="preserve"> </v>
      </c>
      <c r="M329" s="467"/>
      <c r="N329" s="477">
        <f>IFERROR(VLOOKUP(P173,COPY!$A$1:$AC$1000,26,FALSE),0)</f>
        <v>0</v>
      </c>
      <c r="P329" s="448">
        <f>IFERROR(VLOOKUP(P173,COPY!$A$1:$AC$1000,29,FALSE),0)</f>
        <v>0</v>
      </c>
      <c r="S329" s="449">
        <f t="shared" si="31"/>
        <v>0</v>
      </c>
    </row>
    <row r="330" spans="1:19" ht="20.100000000000001" hidden="1" customHeight="1" x14ac:dyDescent="0.25">
      <c r="A330" s="470" t="str">
        <f t="shared" si="29"/>
        <v/>
      </c>
      <c r="B330" s="487"/>
      <c r="F330" s="488"/>
      <c r="G330" s="484"/>
      <c r="I330" s="513"/>
      <c r="J330" s="515">
        <f t="shared" si="30"/>
        <v>0</v>
      </c>
      <c r="K330" s="457"/>
      <c r="L330" s="502" t="str">
        <f t="shared" si="32"/>
        <v xml:space="preserve"> </v>
      </c>
      <c r="M330" s="467"/>
      <c r="N330" s="477">
        <f>IFERROR(VLOOKUP(P174,COPY!$A$1:$AC$1000,26,FALSE),0)</f>
        <v>0</v>
      </c>
      <c r="P330" s="448">
        <f>IFERROR(VLOOKUP(P174,COPY!$A$1:$AC$1000,29,FALSE),0)</f>
        <v>0</v>
      </c>
      <c r="S330" s="449">
        <f t="shared" si="31"/>
        <v>0</v>
      </c>
    </row>
    <row r="331" spans="1:19" ht="20.100000000000001" hidden="1" customHeight="1" x14ac:dyDescent="0.25">
      <c r="A331" s="470" t="str">
        <f t="shared" si="29"/>
        <v/>
      </c>
      <c r="B331" s="487"/>
      <c r="F331" s="488"/>
      <c r="G331" s="484"/>
      <c r="I331" s="513"/>
      <c r="J331" s="515">
        <f t="shared" si="30"/>
        <v>0</v>
      </c>
      <c r="K331" s="457"/>
      <c r="L331" s="502" t="str">
        <f t="shared" si="32"/>
        <v xml:space="preserve"> </v>
      </c>
      <c r="M331" s="467"/>
      <c r="N331" s="477">
        <f>IFERROR(VLOOKUP(P175,COPY!$A$1:$AC$1000,26,FALSE),0)</f>
        <v>0</v>
      </c>
      <c r="P331" s="448">
        <f>IFERROR(VLOOKUP(P175,COPY!$A$1:$AC$1000,29,FALSE),0)</f>
        <v>0</v>
      </c>
      <c r="S331" s="449">
        <f t="shared" si="31"/>
        <v>0</v>
      </c>
    </row>
    <row r="332" spans="1:19" ht="20.100000000000001" hidden="1" customHeight="1" x14ac:dyDescent="0.25">
      <c r="A332" s="470" t="str">
        <f t="shared" si="29"/>
        <v/>
      </c>
      <c r="B332" s="487"/>
      <c r="F332" s="488"/>
      <c r="G332" s="484"/>
      <c r="I332" s="513"/>
      <c r="J332" s="515">
        <f t="shared" si="30"/>
        <v>0</v>
      </c>
      <c r="K332" s="457"/>
      <c r="L332" s="502" t="str">
        <f t="shared" si="32"/>
        <v xml:space="preserve"> </v>
      </c>
      <c r="M332" s="467"/>
      <c r="N332" s="477">
        <f>IFERROR(VLOOKUP(P176,COPY!$A$1:$AC$1000,26,FALSE),0)</f>
        <v>0</v>
      </c>
      <c r="P332" s="448">
        <f>IFERROR(VLOOKUP(P176,COPY!$A$1:$AC$1000,29,FALSE),0)</f>
        <v>0</v>
      </c>
      <c r="S332" s="449">
        <f t="shared" si="31"/>
        <v>0</v>
      </c>
    </row>
    <row r="333" spans="1:19" ht="20.100000000000001" hidden="1" customHeight="1" x14ac:dyDescent="0.25">
      <c r="A333" s="470" t="str">
        <f t="shared" si="29"/>
        <v/>
      </c>
      <c r="B333" s="487"/>
      <c r="F333" s="488"/>
      <c r="G333" s="484"/>
      <c r="I333" s="513"/>
      <c r="J333" s="515">
        <f t="shared" si="30"/>
        <v>0</v>
      </c>
      <c r="K333" s="457"/>
      <c r="L333" s="502" t="str">
        <f t="shared" si="32"/>
        <v xml:space="preserve"> </v>
      </c>
      <c r="M333" s="467"/>
      <c r="N333" s="477">
        <f>IFERROR(VLOOKUP(P177,COPY!$A$1:$AC$1000,26,FALSE),0)</f>
        <v>0</v>
      </c>
      <c r="P333" s="448">
        <f>IFERROR(VLOOKUP(P177,COPY!$A$1:$AC$1000,29,FALSE),0)</f>
        <v>0</v>
      </c>
      <c r="S333" s="449">
        <f t="shared" si="31"/>
        <v>0</v>
      </c>
    </row>
    <row r="334" spans="1:19" ht="20.100000000000001" hidden="1" customHeight="1" x14ac:dyDescent="0.25">
      <c r="A334" s="470" t="str">
        <f t="shared" si="29"/>
        <v/>
      </c>
      <c r="B334" s="487"/>
      <c r="F334" s="488"/>
      <c r="G334" s="484"/>
      <c r="I334" s="513"/>
      <c r="J334" s="515">
        <f t="shared" si="30"/>
        <v>0</v>
      </c>
      <c r="K334" s="457"/>
      <c r="L334" s="502" t="str">
        <f t="shared" si="32"/>
        <v xml:space="preserve"> </v>
      </c>
      <c r="M334" s="467"/>
      <c r="N334" s="477">
        <f>IFERROR(VLOOKUP(P178,COPY!$A$1:$AC$1000,26,FALSE),0)</f>
        <v>0</v>
      </c>
      <c r="P334" s="448">
        <f>IFERROR(VLOOKUP(P178,COPY!$A$1:$AC$1000,29,FALSE),0)</f>
        <v>0</v>
      </c>
      <c r="S334" s="449">
        <f t="shared" si="31"/>
        <v>0</v>
      </c>
    </row>
    <row r="335" spans="1:19" ht="20.100000000000001" hidden="1" customHeight="1" x14ac:dyDescent="0.25">
      <c r="A335" s="470" t="str">
        <f t="shared" si="29"/>
        <v/>
      </c>
      <c r="B335" s="487"/>
      <c r="F335" s="488"/>
      <c r="G335" s="484"/>
      <c r="I335" s="513"/>
      <c r="J335" s="515">
        <f t="shared" si="30"/>
        <v>0</v>
      </c>
      <c r="K335" s="457"/>
      <c r="L335" s="502" t="str">
        <f t="shared" si="32"/>
        <v xml:space="preserve"> </v>
      </c>
      <c r="M335" s="467"/>
      <c r="N335" s="477">
        <f>IFERROR(VLOOKUP(P179,COPY!$A$1:$AC$1000,26,FALSE),0)</f>
        <v>0</v>
      </c>
      <c r="P335" s="448">
        <f>IFERROR(VLOOKUP(P179,COPY!$A$1:$AC$1000,29,FALSE),0)</f>
        <v>0</v>
      </c>
      <c r="S335" s="449">
        <f t="shared" si="31"/>
        <v>0</v>
      </c>
    </row>
    <row r="336" spans="1:19" ht="20.100000000000001" hidden="1" customHeight="1" x14ac:dyDescent="0.25">
      <c r="A336" s="470" t="str">
        <f t="shared" si="29"/>
        <v/>
      </c>
      <c r="B336" s="487"/>
      <c r="F336" s="488"/>
      <c r="G336" s="484"/>
      <c r="I336" s="513"/>
      <c r="J336" s="515">
        <f t="shared" si="30"/>
        <v>0</v>
      </c>
      <c r="K336" s="457"/>
      <c r="L336" s="502" t="str">
        <f t="shared" si="32"/>
        <v xml:space="preserve"> </v>
      </c>
      <c r="M336" s="467"/>
      <c r="N336" s="477">
        <f>IFERROR(VLOOKUP(P180,COPY!$A$1:$AC$1000,26,FALSE),0)</f>
        <v>0</v>
      </c>
      <c r="P336" s="448">
        <f>IFERROR(VLOOKUP(P180,COPY!$A$1:$AC$1000,29,FALSE),0)</f>
        <v>0</v>
      </c>
      <c r="S336" s="449">
        <f t="shared" si="31"/>
        <v>0</v>
      </c>
    </row>
    <row r="337" spans="1:19" ht="20.100000000000001" hidden="1" customHeight="1" x14ac:dyDescent="0.25">
      <c r="A337" s="470" t="str">
        <f t="shared" si="29"/>
        <v/>
      </c>
      <c r="B337" s="487"/>
      <c r="F337" s="488"/>
      <c r="G337" s="484"/>
      <c r="I337" s="513"/>
      <c r="J337" s="515">
        <f t="shared" si="30"/>
        <v>0</v>
      </c>
      <c r="K337" s="457"/>
      <c r="L337" s="502" t="str">
        <f t="shared" si="32"/>
        <v xml:space="preserve"> </v>
      </c>
      <c r="M337" s="467"/>
      <c r="N337" s="477">
        <f>IFERROR(VLOOKUP(P181,COPY!$A$1:$AC$1000,26,FALSE),0)</f>
        <v>0</v>
      </c>
      <c r="P337" s="448">
        <f>IFERROR(VLOOKUP(P181,COPY!$A$1:$AC$1000,29,FALSE),0)</f>
        <v>0</v>
      </c>
      <c r="S337" s="449">
        <f t="shared" si="31"/>
        <v>0</v>
      </c>
    </row>
    <row r="338" spans="1:19" ht="20.100000000000001" hidden="1" customHeight="1" x14ac:dyDescent="0.25">
      <c r="A338" s="470" t="str">
        <f t="shared" si="29"/>
        <v/>
      </c>
      <c r="B338" s="487"/>
      <c r="F338" s="488"/>
      <c r="G338" s="484"/>
      <c r="I338" s="513"/>
      <c r="J338" s="515">
        <f t="shared" si="30"/>
        <v>0</v>
      </c>
      <c r="K338" s="457"/>
      <c r="L338" s="502" t="str">
        <f t="shared" si="32"/>
        <v xml:space="preserve"> </v>
      </c>
      <c r="M338" s="467"/>
      <c r="N338" s="477">
        <f>IFERROR(VLOOKUP(P182,COPY!$A$1:$AC$1000,26,FALSE),0)</f>
        <v>0</v>
      </c>
      <c r="P338" s="448">
        <f>IFERROR(VLOOKUP(P182,COPY!$A$1:$AC$1000,29,FALSE),0)</f>
        <v>0</v>
      </c>
      <c r="S338" s="449">
        <f t="shared" si="31"/>
        <v>0</v>
      </c>
    </row>
    <row r="339" spans="1:19" ht="20.100000000000001" hidden="1" customHeight="1" x14ac:dyDescent="0.25">
      <c r="A339" s="470" t="str">
        <f t="shared" si="29"/>
        <v/>
      </c>
      <c r="B339" s="487"/>
      <c r="F339" s="488"/>
      <c r="G339" s="484"/>
      <c r="I339" s="513"/>
      <c r="J339" s="515">
        <f t="shared" si="30"/>
        <v>0</v>
      </c>
      <c r="K339" s="457"/>
      <c r="L339" s="502" t="str">
        <f t="shared" si="32"/>
        <v xml:space="preserve"> </v>
      </c>
      <c r="M339" s="467"/>
      <c r="N339" s="477">
        <f>IFERROR(VLOOKUP(P183,COPY!$A$1:$AC$1000,26,FALSE),0)</f>
        <v>0</v>
      </c>
      <c r="P339" s="448">
        <f>IFERROR(VLOOKUP(P183,COPY!$A$1:$AC$1000,29,FALSE),0)</f>
        <v>0</v>
      </c>
      <c r="S339" s="449">
        <f t="shared" si="31"/>
        <v>0</v>
      </c>
    </row>
    <row r="340" spans="1:19" ht="20.100000000000001" hidden="1" customHeight="1" x14ac:dyDescent="0.25">
      <c r="A340" s="470" t="str">
        <f t="shared" si="29"/>
        <v/>
      </c>
      <c r="B340" s="487"/>
      <c r="F340" s="488"/>
      <c r="G340" s="484"/>
      <c r="I340" s="513"/>
      <c r="J340" s="515">
        <f t="shared" si="30"/>
        <v>0</v>
      </c>
      <c r="K340" s="457"/>
      <c r="L340" s="502" t="str">
        <f t="shared" si="32"/>
        <v xml:space="preserve"> </v>
      </c>
      <c r="M340" s="467"/>
      <c r="N340" s="477">
        <f>IFERROR(VLOOKUP(P184,COPY!$A$1:$AC$1000,26,FALSE),0)</f>
        <v>0</v>
      </c>
      <c r="P340" s="448">
        <f>IFERROR(VLOOKUP(P184,COPY!$A$1:$AC$1000,29,FALSE),0)</f>
        <v>0</v>
      </c>
      <c r="S340" s="449">
        <f t="shared" si="31"/>
        <v>0</v>
      </c>
    </row>
    <row r="341" spans="1:19" ht="20.100000000000001" hidden="1" customHeight="1" x14ac:dyDescent="0.25">
      <c r="A341" s="470" t="str">
        <f t="shared" si="29"/>
        <v/>
      </c>
      <c r="B341" s="487"/>
      <c r="F341" s="488"/>
      <c r="G341" s="484"/>
      <c r="I341" s="513"/>
      <c r="J341" s="515">
        <f>S341</f>
        <v>0</v>
      </c>
      <c r="K341" s="457"/>
      <c r="L341" s="502" t="str">
        <f t="shared" si="32"/>
        <v xml:space="preserve"> </v>
      </c>
      <c r="M341" s="467"/>
      <c r="N341" s="477">
        <f>IFERROR(VLOOKUP(P185,COPY!$A$1:$AC$1000,26,FALSE),0)</f>
        <v>0</v>
      </c>
      <c r="P341" s="448">
        <f>IFERROR(VLOOKUP(P185,COPY!$A$1:$AC$1000,29,FALSE),0)</f>
        <v>0</v>
      </c>
      <c r="S341" s="449">
        <f t="shared" si="31"/>
        <v>0</v>
      </c>
    </row>
    <row r="342" spans="1:19" ht="20.100000000000001" customHeight="1" thickBot="1" x14ac:dyDescent="0.3">
      <c r="B342" s="484"/>
      <c r="F342" s="488"/>
      <c r="G342" s="484"/>
      <c r="I342" s="513"/>
      <c r="J342" s="506"/>
      <c r="K342" s="425"/>
      <c r="L342" s="503" t="str">
        <f>IF(LEFT(J342,15)="Bayar Pajak PPN",1,IF(LEFT(J342,15)="Bayar Pajak PPH",2,IF(LEFT(J342,21)="Bayar Pajak Final PPH",3," ")))</f>
        <v xml:space="preserve"> </v>
      </c>
      <c r="M342" s="489"/>
      <c r="N342" s="490">
        <f>IFERROR(VLOOKUP(P186,COPY!$A$1:$AC$1000,26,FALSE),0)</f>
        <v>0</v>
      </c>
    </row>
    <row r="343" spans="1:19" ht="20.100000000000001" customHeight="1" thickBot="1" x14ac:dyDescent="0.3">
      <c r="B343" s="491"/>
      <c r="C343" s="492" t="s">
        <v>46</v>
      </c>
      <c r="D343" s="493"/>
      <c r="E343" s="493"/>
      <c r="F343" s="494">
        <f>SUM(F31:F342)</f>
        <v>-36904040</v>
      </c>
      <c r="G343" s="495"/>
      <c r="H343" s="493"/>
      <c r="I343" s="514" t="s">
        <v>47</v>
      </c>
      <c r="J343" s="496"/>
      <c r="K343" s="493"/>
      <c r="L343" s="496"/>
      <c r="M343" s="496"/>
      <c r="N343" s="497">
        <f>SUM(N33:N342)</f>
        <v>0</v>
      </c>
    </row>
    <row r="345" spans="1:19" ht="20.100000000000001" customHeight="1" x14ac:dyDescent="0.25">
      <c r="B345" s="253"/>
      <c r="C345" s="253" t="str">
        <f>"Pada hari ini : "&amp;TEXT(M353,"dddd")&amp;" tanggal "&amp;TEXT(M353,"dd mmmm yyyy")&amp;"  Buku Kas Umum ditutup dengan keadaan/posisi buku sebagai berikut:"</f>
        <v>Pada hari ini : Minggu tanggal 30 November 2025  Buku Kas Umum ditutup dengan keadaan/posisi buku sebagai berikut:</v>
      </c>
      <c r="F345" s="253"/>
      <c r="G345" s="253"/>
      <c r="H345" s="422"/>
      <c r="M345" s="253"/>
    </row>
    <row r="346" spans="1:19" ht="20.100000000000001" customHeight="1" x14ac:dyDescent="0.25">
      <c r="B346" s="253"/>
      <c r="C346" s="253" t="s">
        <v>48</v>
      </c>
      <c r="F346" s="423"/>
      <c r="G346" s="423"/>
      <c r="H346" s="422"/>
      <c r="K346" s="424" t="s">
        <v>50</v>
      </c>
      <c r="L346" s="489"/>
      <c r="M346" s="426"/>
      <c r="N346" s="498"/>
    </row>
    <row r="347" spans="1:19" ht="20.100000000000001" customHeight="1" x14ac:dyDescent="0.25">
      <c r="B347" s="253"/>
      <c r="C347" s="253" t="s">
        <v>51</v>
      </c>
      <c r="E347" s="427" t="s">
        <v>52</v>
      </c>
      <c r="F347" s="428">
        <f>'BUKU BANK'!I120</f>
        <v>37069530</v>
      </c>
      <c r="G347" s="423"/>
      <c r="H347" s="422"/>
      <c r="K347" s="429" t="s">
        <v>53</v>
      </c>
      <c r="M347" s="430"/>
      <c r="N347" s="449"/>
    </row>
    <row r="348" spans="1:19" ht="20.100000000000001" customHeight="1" x14ac:dyDescent="0.25">
      <c r="B348" s="253"/>
      <c r="C348" s="427"/>
      <c r="E348" s="427" t="s">
        <v>54</v>
      </c>
      <c r="F348" s="431">
        <f>F343-N343</f>
        <v>-36904040</v>
      </c>
      <c r="G348" s="423"/>
      <c r="H348" s="422"/>
      <c r="K348" s="432" t="s">
        <v>512</v>
      </c>
      <c r="M348" s="433"/>
      <c r="N348" s="434" t="s">
        <v>55</v>
      </c>
    </row>
    <row r="349" spans="1:19" ht="20.100000000000001" customHeight="1" x14ac:dyDescent="0.25">
      <c r="B349" s="253"/>
      <c r="C349" s="435"/>
      <c r="E349" s="435" t="s">
        <v>2</v>
      </c>
      <c r="F349" s="436">
        <f>SUM(F347:F348)</f>
        <v>165490</v>
      </c>
      <c r="G349" s="437"/>
      <c r="H349" s="422"/>
      <c r="K349" s="432" t="s">
        <v>513</v>
      </c>
      <c r="M349" s="433"/>
      <c r="N349" s="434" t="s">
        <v>56</v>
      </c>
    </row>
    <row r="350" spans="1:19" ht="20.100000000000001" customHeight="1" x14ac:dyDescent="0.25">
      <c r="B350" s="253"/>
      <c r="F350" s="253"/>
      <c r="G350" s="253"/>
      <c r="H350" s="422"/>
      <c r="K350" s="432" t="s">
        <v>514</v>
      </c>
      <c r="M350" s="435"/>
      <c r="N350" s="438" t="s">
        <v>57</v>
      </c>
    </row>
    <row r="351" spans="1:19" ht="20.100000000000001" customHeight="1" x14ac:dyDescent="0.25">
      <c r="B351" s="253"/>
      <c r="F351" s="439"/>
      <c r="G351" s="253"/>
      <c r="H351" s="422"/>
      <c r="K351" s="440" t="s">
        <v>515</v>
      </c>
      <c r="L351" s="417"/>
      <c r="M351" s="441"/>
      <c r="N351" s="442" t="s">
        <v>58</v>
      </c>
    </row>
    <row r="352" spans="1:19" ht="20.100000000000001" customHeight="1" x14ac:dyDescent="0.25">
      <c r="B352" s="253"/>
      <c r="F352" s="439"/>
      <c r="G352" s="253"/>
      <c r="H352" s="422"/>
      <c r="M352" s="253"/>
    </row>
    <row r="353" spans="2:14" ht="20.100000000000001" customHeight="1" x14ac:dyDescent="0.25">
      <c r="B353" s="253"/>
      <c r="F353" s="439"/>
      <c r="G353" s="253"/>
      <c r="H353" s="439"/>
      <c r="K353" s="688" t="str">
        <f>$E$4</f>
        <v>NGANTANG</v>
      </c>
      <c r="L353" s="688"/>
      <c r="M353" s="689">
        <f>M26</f>
        <v>45991</v>
      </c>
      <c r="N353" s="689"/>
    </row>
    <row r="354" spans="2:14" ht="20.100000000000001" customHeight="1" x14ac:dyDescent="0.25">
      <c r="B354" s="253"/>
      <c r="C354" s="253" t="s">
        <v>43</v>
      </c>
      <c r="G354" s="439"/>
      <c r="H354" s="439" t="s">
        <v>44</v>
      </c>
      <c r="J354" s="507"/>
      <c r="L354" s="254" t="s">
        <v>215</v>
      </c>
      <c r="M354" s="253"/>
    </row>
    <row r="355" spans="2:14" ht="20.100000000000001" customHeight="1" x14ac:dyDescent="0.25">
      <c r="B355" s="253"/>
      <c r="C355" s="253" t="str">
        <f>"Kepala Sekolah "&amp;$E$3</f>
        <v>Kepala Sekolah SDN 1 SIDODADI</v>
      </c>
      <c r="D355" s="443"/>
      <c r="G355" s="439"/>
      <c r="H355" s="439" t="s">
        <v>45</v>
      </c>
      <c r="L355" s="254" t="s">
        <v>216</v>
      </c>
      <c r="M355" s="253"/>
    </row>
    <row r="356" spans="2:14" ht="20.100000000000001" customHeight="1" x14ac:dyDescent="0.25">
      <c r="B356" s="253"/>
      <c r="G356" s="439"/>
      <c r="H356" s="439"/>
      <c r="J356" s="508"/>
      <c r="K356" s="444"/>
      <c r="L356" s="254"/>
      <c r="M356" s="253"/>
    </row>
    <row r="357" spans="2:14" ht="20.100000000000001" customHeight="1" x14ac:dyDescent="0.25">
      <c r="B357" s="253"/>
      <c r="G357" s="439"/>
      <c r="H357" s="439"/>
      <c r="J357" s="508"/>
      <c r="K357" s="444"/>
      <c r="L357" s="254"/>
      <c r="M357" s="253"/>
    </row>
    <row r="358" spans="2:14" ht="20.100000000000001" customHeight="1" x14ac:dyDescent="0.25">
      <c r="B358" s="253"/>
      <c r="G358" s="439"/>
      <c r="H358" s="439"/>
      <c r="L358" s="254"/>
      <c r="M358" s="430"/>
    </row>
    <row r="359" spans="2:14" ht="20.100000000000001" customHeight="1" x14ac:dyDescent="0.25">
      <c r="B359" s="253"/>
      <c r="G359" s="439"/>
      <c r="H359" s="439"/>
      <c r="I359" s="512"/>
      <c r="L359" s="254"/>
      <c r="M359" s="430"/>
    </row>
    <row r="360" spans="2:14" ht="20.100000000000001" customHeight="1" x14ac:dyDescent="0.25">
      <c r="B360" s="253"/>
      <c r="C360" s="443" t="str">
        <f>$E$8</f>
        <v>MELIA FITRIANI, S.Pd.SD</v>
      </c>
      <c r="G360" s="445"/>
      <c r="H360" s="445" t="str">
        <f>$E$10</f>
        <v>HARTATIK</v>
      </c>
      <c r="L360" s="516" t="str">
        <f>$E$12</f>
        <v>ARIF NUR UDIN, S.Pd.SD</v>
      </c>
      <c r="M360" s="439"/>
    </row>
    <row r="361" spans="2:14" ht="20.100000000000001" customHeight="1" x14ac:dyDescent="0.25">
      <c r="B361" s="253"/>
      <c r="C361" s="253" t="str">
        <f>$E$9</f>
        <v>NIP. 19850619 200904 2 000</v>
      </c>
      <c r="G361" s="439"/>
      <c r="H361" s="439">
        <f>$E$11</f>
        <v>0</v>
      </c>
      <c r="L361" s="254" t="str">
        <f>$E$13</f>
        <v>NIP. 19840719 200903 1 002</v>
      </c>
      <c r="M361" s="439"/>
    </row>
  </sheetData>
  <mergeCells count="16">
    <mergeCell ref="D26:F27"/>
    <mergeCell ref="K353:L353"/>
    <mergeCell ref="M353:N353"/>
    <mergeCell ref="D21:K21"/>
    <mergeCell ref="D22:K22"/>
    <mergeCell ref="M25:N25"/>
    <mergeCell ref="M26:N26"/>
    <mergeCell ref="C30:E30"/>
    <mergeCell ref="H30:K30"/>
    <mergeCell ref="E1:E2"/>
    <mergeCell ref="V16:V17"/>
    <mergeCell ref="W16:AA16"/>
    <mergeCell ref="AB16:AB17"/>
    <mergeCell ref="AC16:AC17"/>
    <mergeCell ref="W17:X17"/>
    <mergeCell ref="Y17:Z17"/>
  </mergeCells>
  <conditionalFormatting sqref="B30:N30">
    <cfRule type="expression" dxfId="328" priority="1">
      <formula>$E$1=7</formula>
    </cfRule>
    <cfRule type="expression" dxfId="327" priority="2">
      <formula>$E$1=6</formula>
    </cfRule>
    <cfRule type="expression" dxfId="326" priority="3">
      <formula>$E$1=5</formula>
    </cfRule>
    <cfRule type="expression" dxfId="325" priority="4">
      <formula>$E$1=4</formula>
    </cfRule>
    <cfRule type="expression" dxfId="324" priority="5">
      <formula>$E$1=3</formula>
    </cfRule>
    <cfRule type="expression" dxfId="323" priority="6">
      <formula>$E$1=2</formula>
    </cfRule>
    <cfRule type="expression" dxfId="322" priority="7">
      <formula>$E$1=1</formula>
    </cfRule>
  </conditionalFormatting>
  <pageMargins left="0.31496062992125984" right="0.31496062992125984" top="0.98425196850393704" bottom="0.39370078740157483" header="0.31496062992125984" footer="0.31496062992125984"/>
  <pageSetup paperSize="9" scale="72" fitToHeight="0" orientation="landscape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4A5ED-DF61-48C2-BDD6-70EAEB7B907F}">
  <sheetPr codeName="Sheet17">
    <tabColor rgb="FFFFC000"/>
    <pageSetUpPr autoPageBreaks="0" fitToPage="1"/>
  </sheetPr>
  <dimension ref="A1:AH334"/>
  <sheetViews>
    <sheetView showZeros="0" view="pageBreakPreview" topLeftCell="A5" zoomScale="85" zoomScaleNormal="100" zoomScaleSheetLayoutView="85" workbookViewId="0">
      <selection activeCell="N102" sqref="N102"/>
    </sheetView>
  </sheetViews>
  <sheetFormatPr defaultColWidth="9.140625" defaultRowHeight="12" x14ac:dyDescent="0.2"/>
  <cols>
    <col min="1" max="1" width="9.42578125" style="279" bestFit="1" customWidth="1"/>
    <col min="2" max="2" width="15.42578125" style="282" customWidth="1"/>
    <col min="3" max="3" width="8.85546875" style="288" customWidth="1"/>
    <col min="4" max="4" width="14.7109375" style="279" customWidth="1"/>
    <col min="5" max="5" width="8.42578125" style="283" customWidth="1"/>
    <col min="6" max="6" width="9.7109375" style="279" customWidth="1"/>
    <col min="7" max="7" width="46.7109375" style="279" bestFit="1" customWidth="1"/>
    <col min="8" max="8" width="2.7109375" style="279" customWidth="1"/>
    <col min="9" max="9" width="20.7109375" style="284" customWidth="1"/>
    <col min="10" max="10" width="20.7109375" style="285" customWidth="1"/>
    <col min="11" max="11" width="20.140625" style="286" customWidth="1"/>
    <col min="12" max="12" width="20.140625" style="287" customWidth="1"/>
    <col min="13" max="13" width="20.140625" style="278" customWidth="1"/>
    <col min="14" max="14" width="9.140625" style="279"/>
    <col min="15" max="15" width="27.5703125" style="279" bestFit="1" customWidth="1"/>
    <col min="16" max="16" width="22.42578125" style="280" bestFit="1" customWidth="1"/>
    <col min="17" max="17" width="27.140625" style="281" customWidth="1"/>
    <col min="18" max="18" width="14.42578125" style="279" bestFit="1" customWidth="1"/>
    <col min="19" max="16384" width="9.140625" style="279"/>
  </cols>
  <sheetData>
    <row r="1" spans="1:34" s="391" customFormat="1" ht="20.25" x14ac:dyDescent="0.25">
      <c r="B1" s="397"/>
      <c r="C1" s="693" t="s">
        <v>82</v>
      </c>
      <c r="D1" s="693"/>
      <c r="E1" s="693"/>
      <c r="F1" s="693"/>
      <c r="G1" s="693"/>
      <c r="H1" s="693"/>
      <c r="I1" s="693"/>
      <c r="J1" s="693"/>
      <c r="K1" s="693"/>
      <c r="L1" s="693"/>
      <c r="M1" s="588"/>
      <c r="P1" s="589"/>
      <c r="Q1" s="590"/>
      <c r="X1" s="394"/>
    </row>
    <row r="2" spans="1:34" s="391" customFormat="1" ht="18" x14ac:dyDescent="0.25">
      <c r="B2" s="398">
        <f>'BKU 1'!$B$22</f>
        <v>0</v>
      </c>
      <c r="C2" s="694" t="str">
        <f>'BKU 1'!$D$22</f>
        <v>PEMBANGUNAN TOILET BESERTA SANITASINYA</v>
      </c>
      <c r="D2" s="694"/>
      <c r="E2" s="694"/>
      <c r="F2" s="694"/>
      <c r="G2" s="694"/>
      <c r="H2" s="694"/>
      <c r="I2" s="694"/>
      <c r="J2" s="694"/>
      <c r="K2" s="694"/>
      <c r="L2" s="694"/>
      <c r="M2" s="588"/>
      <c r="P2" s="589"/>
      <c r="Q2" s="590"/>
    </row>
    <row r="3" spans="1:34" s="391" customFormat="1" ht="16.5" thickBot="1" x14ac:dyDescent="0.3">
      <c r="B3" s="591"/>
      <c r="C3" s="393"/>
      <c r="E3" s="395"/>
      <c r="I3" s="592"/>
      <c r="J3" s="593"/>
      <c r="K3" s="594"/>
      <c r="L3" s="595"/>
      <c r="M3" s="588"/>
      <c r="O3" s="391" t="s">
        <v>227</v>
      </c>
      <c r="P3" s="589" t="e">
        <f>COPY!AE2</f>
        <v>#REF!</v>
      </c>
      <c r="Q3" s="590">
        <f>COPY!AE3</f>
        <v>44468</v>
      </c>
    </row>
    <row r="4" spans="1:34" s="391" customFormat="1" ht="15.75" x14ac:dyDescent="0.25">
      <c r="B4" s="596" t="s">
        <v>60</v>
      </c>
      <c r="C4" s="393" t="s">
        <v>49</v>
      </c>
      <c r="D4" s="393">
        <v>3</v>
      </c>
      <c r="E4" s="391">
        <f>IFERROR(VLOOKUP(D4,'Rekap Gaji'!$B$12:$P$24,14,FALSE),"-")</f>
        <v>0</v>
      </c>
      <c r="F4" s="597"/>
      <c r="G4" s="392"/>
      <c r="I4" s="395"/>
      <c r="J4" s="593"/>
      <c r="K4" s="594"/>
      <c r="L4" s="595"/>
      <c r="M4" s="588"/>
      <c r="O4" s="391" t="s">
        <v>430</v>
      </c>
      <c r="P4" s="589" t="e">
        <f>COPY!AF2</f>
        <v>#REF!</v>
      </c>
      <c r="Q4" s="590">
        <f>COPY!AF3</f>
        <v>44524</v>
      </c>
      <c r="AA4" s="690" t="s">
        <v>17</v>
      </c>
      <c r="AB4" s="682" t="s">
        <v>100</v>
      </c>
      <c r="AC4" s="683"/>
      <c r="AD4" s="683"/>
      <c r="AE4" s="683"/>
      <c r="AF4" s="684"/>
      <c r="AG4" s="685" t="s">
        <v>0</v>
      </c>
      <c r="AH4" s="679" t="s">
        <v>2</v>
      </c>
    </row>
    <row r="5" spans="1:34" s="391" customFormat="1" ht="8.25" customHeight="1" thickBot="1" x14ac:dyDescent="0.3">
      <c r="B5" s="596"/>
      <c r="C5" s="393"/>
      <c r="F5" s="597"/>
      <c r="G5" s="392"/>
      <c r="I5" s="395"/>
      <c r="J5" s="593"/>
      <c r="K5" s="594"/>
      <c r="L5" s="595"/>
      <c r="M5" s="588"/>
      <c r="P5" s="589"/>
      <c r="Q5" s="590"/>
      <c r="AA5" s="691"/>
      <c r="AB5" s="681" t="s">
        <v>1</v>
      </c>
      <c r="AC5" s="681"/>
      <c r="AD5" s="681" t="s">
        <v>101</v>
      </c>
      <c r="AE5" s="681"/>
      <c r="AF5" s="396" t="s">
        <v>102</v>
      </c>
      <c r="AG5" s="681"/>
      <c r="AH5" s="680"/>
    </row>
    <row r="6" spans="1:34" s="391" customFormat="1" ht="15.75" x14ac:dyDescent="0.25">
      <c r="B6" s="596" t="s">
        <v>61</v>
      </c>
      <c r="C6" s="393" t="s">
        <v>49</v>
      </c>
      <c r="D6" s="391" t="str">
        <f>'BKU 1'!$D$25</f>
        <v>SDN 1 SIDODADI</v>
      </c>
      <c r="F6" s="597"/>
      <c r="I6" s="596" t="s">
        <v>63</v>
      </c>
      <c r="J6" s="393" t="s">
        <v>49</v>
      </c>
      <c r="K6" s="391" t="str">
        <f>'BKU 1'!$I$25</f>
        <v>NGANTANG</v>
      </c>
      <c r="L6" s="595"/>
      <c r="M6" s="588"/>
      <c r="P6" s="589"/>
      <c r="Q6" s="590"/>
    </row>
    <row r="7" spans="1:34" s="391" customFormat="1" ht="15.75" x14ac:dyDescent="0.25">
      <c r="A7" s="391" t="str">
        <f>IF(ROW()=0,1,"")</f>
        <v/>
      </c>
      <c r="B7" s="596" t="s">
        <v>62</v>
      </c>
      <c r="C7" s="393" t="s">
        <v>49</v>
      </c>
      <c r="D7" s="695" t="str">
        <f>'BKU 1'!$D$26</f>
        <v>Jl. Kawi No.36 Rt. 1 Rw. 1 Dusun Sekar, Rt / Rw : 1 / 1, Dusun : Sekar, Kelurahan : Sidodadi</v>
      </c>
      <c r="E7" s="695"/>
      <c r="F7" s="695"/>
      <c r="G7" s="695"/>
      <c r="I7" s="392" t="s">
        <v>66</v>
      </c>
      <c r="J7" s="393" t="s">
        <v>49</v>
      </c>
      <c r="K7" s="395" t="s">
        <v>68</v>
      </c>
      <c r="L7" s="595"/>
      <c r="M7" s="588"/>
      <c r="P7" s="589"/>
      <c r="Q7" s="590"/>
    </row>
    <row r="8" spans="1:34" s="391" customFormat="1" ht="15.75" x14ac:dyDescent="0.25">
      <c r="D8" s="695"/>
      <c r="E8" s="695"/>
      <c r="F8" s="695"/>
      <c r="G8" s="695"/>
      <c r="I8" s="392" t="s">
        <v>67</v>
      </c>
      <c r="J8" s="393" t="s">
        <v>49</v>
      </c>
      <c r="K8" s="395" t="s">
        <v>69</v>
      </c>
      <c r="L8" s="595"/>
      <c r="M8" s="588"/>
      <c r="P8" s="589"/>
      <c r="Q8" s="590"/>
    </row>
    <row r="9" spans="1:34" s="391" customFormat="1" ht="8.25" customHeight="1" thickBot="1" x14ac:dyDescent="0.3">
      <c r="B9" s="591"/>
      <c r="C9" s="393"/>
      <c r="F9" s="597"/>
      <c r="G9" s="392"/>
      <c r="I9" s="395"/>
      <c r="J9" s="593"/>
      <c r="K9" s="594"/>
      <c r="L9" s="595"/>
      <c r="M9" s="588"/>
      <c r="P9" s="589"/>
      <c r="Q9" s="590"/>
    </row>
    <row r="10" spans="1:34" s="399" customFormat="1" ht="26.1" customHeight="1" x14ac:dyDescent="0.25">
      <c r="A10" s="399">
        <f>COUNTIF(COPY!$C$2:$C$1000,D4)</f>
        <v>0</v>
      </c>
      <c r="B10" s="696" t="s">
        <v>0</v>
      </c>
      <c r="C10" s="703" t="s">
        <v>516</v>
      </c>
      <c r="D10" s="700" t="s">
        <v>1</v>
      </c>
      <c r="E10" s="700"/>
      <c r="F10" s="700"/>
      <c r="G10" s="700"/>
      <c r="H10" s="700"/>
      <c r="I10" s="700"/>
      <c r="J10" s="699" t="s">
        <v>257</v>
      </c>
      <c r="K10" s="699"/>
      <c r="L10" s="707" t="s">
        <v>70</v>
      </c>
      <c r="M10" s="708"/>
      <c r="P10" s="598"/>
      <c r="Q10" s="599"/>
    </row>
    <row r="11" spans="1:34" s="399" customFormat="1" ht="25.5" customHeight="1" thickBot="1" x14ac:dyDescent="0.3">
      <c r="B11" s="697"/>
      <c r="C11" s="698"/>
      <c r="D11" s="600" t="s">
        <v>253</v>
      </c>
      <c r="E11" s="600" t="s">
        <v>97</v>
      </c>
      <c r="F11" s="600" t="s">
        <v>254</v>
      </c>
      <c r="G11" s="601" t="s">
        <v>255</v>
      </c>
      <c r="H11" s="698" t="s">
        <v>256</v>
      </c>
      <c r="I11" s="698"/>
      <c r="J11" s="602" t="s">
        <v>64</v>
      </c>
      <c r="K11" s="603" t="s">
        <v>65</v>
      </c>
      <c r="L11" s="604" t="s">
        <v>258</v>
      </c>
      <c r="M11" s="605" t="s">
        <v>259</v>
      </c>
      <c r="P11" s="598"/>
      <c r="Q11" s="599"/>
    </row>
    <row r="12" spans="1:34" s="417" customFormat="1" ht="20.100000000000001" hidden="1" customHeight="1" x14ac:dyDescent="0.25">
      <c r="B12" s="583"/>
      <c r="C12" s="528"/>
      <c r="D12" s="529"/>
      <c r="E12" s="606"/>
      <c r="F12" s="530"/>
      <c r="G12" s="531"/>
      <c r="H12" s="532"/>
      <c r="I12" s="533"/>
      <c r="J12" s="534"/>
      <c r="K12" s="535"/>
      <c r="L12" s="536"/>
      <c r="M12" s="537"/>
      <c r="O12" s="538"/>
      <c r="P12" s="539"/>
      <c r="Q12" s="540"/>
    </row>
    <row r="13" spans="1:34" s="253" customFormat="1" ht="20.100000000000001" customHeight="1" x14ac:dyDescent="0.25">
      <c r="A13" s="253">
        <f>LEN(A14)</f>
        <v>4</v>
      </c>
      <c r="B13" s="584">
        <f>HLOOKUP(D4,COPY!$AJ$3:$AN$4,2,FALSE)</f>
        <v>45962</v>
      </c>
      <c r="C13" s="585"/>
      <c r="D13" s="542"/>
      <c r="E13" s="607"/>
      <c r="F13" s="542"/>
      <c r="G13" s="543" t="s">
        <v>252</v>
      </c>
      <c r="H13" s="544"/>
      <c r="I13" s="545"/>
      <c r="J13" s="546">
        <f>IF('BKT 2'!$L$324&gt;0,'BKT 2'!$L$324,0)</f>
        <v>0</v>
      </c>
      <c r="K13" s="547">
        <f>IF('BKT 2'!$M$324&lt;0,'BKT 2'!$M$324,0)</f>
        <v>-36904040</v>
      </c>
      <c r="L13" s="548">
        <f>IF(J13&gt;0,J13,0)</f>
        <v>0</v>
      </c>
      <c r="M13" s="549">
        <f>IF(K13&lt;0,K13,0)</f>
        <v>-36904040</v>
      </c>
      <c r="O13" s="538">
        <f>IF(L13&gt;0,L13-K13,IF(M13&lt;=0,M13-K13,0))</f>
        <v>0</v>
      </c>
      <c r="P13" s="550"/>
      <c r="Q13" s="551"/>
    </row>
    <row r="14" spans="1:34" s="253" customFormat="1" ht="20.100000000000001" hidden="1" customHeight="1" x14ac:dyDescent="0.25">
      <c r="A14" s="253" t="str">
        <f>D4&amp;".."&amp;D4</f>
        <v>3..3</v>
      </c>
      <c r="B14" s="584"/>
      <c r="C14" s="585"/>
      <c r="D14" s="542"/>
      <c r="E14" s="607"/>
      <c r="F14" s="542"/>
      <c r="G14" s="543">
        <f>'BKU 1'!C32</f>
        <v>0</v>
      </c>
      <c r="H14" s="544"/>
      <c r="I14" s="545"/>
      <c r="J14" s="546">
        <f>'BKU 1'!F32</f>
        <v>0</v>
      </c>
      <c r="K14" s="547"/>
      <c r="L14" s="548"/>
      <c r="M14" s="549"/>
      <c r="O14" s="538"/>
      <c r="P14" s="550"/>
      <c r="Q14" s="551"/>
    </row>
    <row r="15" spans="1:34" s="253" customFormat="1" ht="20.100000000000001" hidden="1" customHeight="1" x14ac:dyDescent="0.25">
      <c r="A15" s="253" t="str">
        <f>IF(LEN(A14)&gt;2,$D$4&amp;"."&amp;IF(ROW()-ROW($A$15)+1&lt;=$A$10,ROW()-ROW($A$15)+1,""),"")</f>
        <v>3.</v>
      </c>
      <c r="B15" s="584" t="str">
        <f>IF(LEN(A15)&gt;2,VLOOKUP(A15,COPY!$A$2:$O$1000,4,FALSE),"")</f>
        <v/>
      </c>
      <c r="C15" s="585" t="str">
        <f>IF(LEN(A15)&gt;2,VLOOKUP(A15,COPY!$A$2:$O$1000,15,FALSE),"")</f>
        <v/>
      </c>
      <c r="D15" s="542" t="str">
        <f>IF(LEN(A15)&gt;2,VLOOKUP(A15,COPY!$A$2:$O$1000,2,FALSE),"")</f>
        <v/>
      </c>
      <c r="E15" s="607" t="str">
        <f>IF(LEN(A15)&gt;2,VLOOKUP(A15,COPY!$A$2:$O$1000,10,FALSE),"")</f>
        <v/>
      </c>
      <c r="F15" s="542" t="str">
        <f>IF(LEN(A15)&gt;2,VLOOKUP(A15,COPY!$A$2:$O$1000,8,FALSE),"")</f>
        <v/>
      </c>
      <c r="G15" s="543" t="str">
        <f>IF(LEN(A15)&gt;2,VLOOKUP(A15,COPY!$A$2:$O$1000,7,FALSE),"")</f>
        <v/>
      </c>
      <c r="H15" s="544" t="str">
        <f t="shared" ref="H15:H78" si="0">IF(TEXT(D15,0)="Beli","@","")</f>
        <v/>
      </c>
      <c r="I15" s="545" t="str">
        <f>IFERROR(IF(LEN(A15)&gt;2,VLOOKUP(A15,COPY!$A$2:$O$1000,13,FALSE),"")/E15,"")</f>
        <v/>
      </c>
      <c r="J15" s="546"/>
      <c r="K15" s="547" t="str">
        <f t="shared" ref="K15:K78" si="1">IF(E15="","",IF(E15=0,I15,IF(E15&gt;0,E15*I15,0)))</f>
        <v/>
      </c>
      <c r="L15" s="548" t="str">
        <f t="shared" ref="L15" si="2">IF(O15&gt;=0,O15,IF(O15&lt;0,0,0))</f>
        <v/>
      </c>
      <c r="M15" s="549">
        <f t="shared" ref="M15:M78" si="3">IF(O15&lt;0,O15,IF(O15&gt;=0,0,0))</f>
        <v>0</v>
      </c>
      <c r="O15" s="538" t="str">
        <f>IF(E15="","",IF(L13&gt;0,L13-K15,IF(M13&lt;=0,M13-K15,0)))</f>
        <v/>
      </c>
      <c r="P15" s="550"/>
      <c r="Q15" s="551"/>
    </row>
    <row r="16" spans="1:34" s="253" customFormat="1" ht="20.100000000000001" hidden="1" customHeight="1" x14ac:dyDescent="0.25">
      <c r="A16" s="253" t="str">
        <f t="shared" ref="A16:A79" si="4">IF(LEN(A15)&gt;2,$D$4&amp;"."&amp;IF(ROW()-ROW($A$15)+1&lt;=$A$10,ROW()-ROW($A$15)+1,""),"")</f>
        <v/>
      </c>
      <c r="B16" s="584" t="str">
        <f>IF(LEN(A16)&gt;2,VLOOKUP(A16,COPY!$A$2:$O$1000,4,FALSE),"")</f>
        <v/>
      </c>
      <c r="C16" s="585" t="str">
        <f>IF(LEN(A16)&gt;2,VLOOKUP(A16,COPY!$A$2:$O$1000,15,FALSE),"")</f>
        <v/>
      </c>
      <c r="D16" s="542" t="str">
        <f>IF(LEN(A16)&gt;2,VLOOKUP(A16,COPY!$A$2:$O$1000,2,FALSE),"")</f>
        <v/>
      </c>
      <c r="E16" s="607" t="str">
        <f>IF(LEN(A16)&gt;2,VLOOKUP(A16,COPY!$A$2:$O$1000,10,FALSE),"")</f>
        <v/>
      </c>
      <c r="F16" s="542" t="str">
        <f>IF(LEN(A16)&gt;2,VLOOKUP(A16,COPY!$A$2:$O$1000,8,FALSE),"")</f>
        <v/>
      </c>
      <c r="G16" s="543" t="str">
        <f>IF(LEN(A16)&gt;2,VLOOKUP(A16,COPY!$A$2:$O$1000,7,FALSE),"")</f>
        <v/>
      </c>
      <c r="H16" s="544" t="str">
        <f t="shared" si="0"/>
        <v/>
      </c>
      <c r="I16" s="545" t="str">
        <f>IFERROR(IF(LEN(A16)&gt;2,VLOOKUP(A16,COPY!$A$2:$O$1000,13,FALSE),"")/E16,"")</f>
        <v/>
      </c>
      <c r="J16" s="546"/>
      <c r="K16" s="547" t="str">
        <f t="shared" si="1"/>
        <v/>
      </c>
      <c r="L16" s="548" t="str">
        <f t="shared" ref="L16:L79" si="5">IF(E16="","",IF(O16&gt;=0,O16,IF(O16&lt;0,0,0)))</f>
        <v/>
      </c>
      <c r="M16" s="549">
        <f t="shared" si="3"/>
        <v>0</v>
      </c>
      <c r="O16" s="538" t="str">
        <f t="shared" ref="O16:O79" si="6">IF(E16="",O15,IF(L15&gt;0,L15-K16,IF(M15&lt;=0,M15-K16,0)))</f>
        <v/>
      </c>
      <c r="P16" s="550"/>
      <c r="Q16" s="551"/>
    </row>
    <row r="17" spans="1:17" s="253" customFormat="1" ht="20.100000000000001" hidden="1" customHeight="1" x14ac:dyDescent="0.25">
      <c r="A17" s="253" t="str">
        <f t="shared" si="4"/>
        <v/>
      </c>
      <c r="B17" s="584" t="str">
        <f>IF(LEN(A17)&gt;2,VLOOKUP(A17,COPY!$A$2:$O$1000,4,FALSE),"")</f>
        <v/>
      </c>
      <c r="C17" s="585" t="str">
        <f>IF(LEN(A17)&gt;2,VLOOKUP(A17,COPY!$A$2:$O$1000,15,FALSE),"")</f>
        <v/>
      </c>
      <c r="D17" s="542" t="str">
        <f>IF(LEN(A17)&gt;2,VLOOKUP(A17,COPY!$A$2:$O$1000,2,FALSE),"")</f>
        <v/>
      </c>
      <c r="E17" s="607" t="str">
        <f>IF(LEN(A17)&gt;2,VLOOKUP(A17,COPY!$A$2:$O$1000,10,FALSE),"")</f>
        <v/>
      </c>
      <c r="F17" s="542" t="str">
        <f>IF(LEN(A17)&gt;2,VLOOKUP(A17,COPY!$A$2:$O$1000,8,FALSE),"")</f>
        <v/>
      </c>
      <c r="G17" s="543" t="str">
        <f>IF(LEN(A17)&gt;2,VLOOKUP(A17,COPY!$A$2:$O$1000,7,FALSE),"")</f>
        <v/>
      </c>
      <c r="H17" s="544" t="str">
        <f t="shared" si="0"/>
        <v/>
      </c>
      <c r="I17" s="545" t="str">
        <f>IFERROR(IF(LEN(A17)&gt;2,VLOOKUP(A17,COPY!$A$2:$O$1000,13,FALSE),"")/E17,"")</f>
        <v/>
      </c>
      <c r="J17" s="546"/>
      <c r="K17" s="547" t="str">
        <f t="shared" si="1"/>
        <v/>
      </c>
      <c r="L17" s="548" t="str">
        <f t="shared" si="5"/>
        <v/>
      </c>
      <c r="M17" s="549">
        <f t="shared" si="3"/>
        <v>0</v>
      </c>
      <c r="O17" s="538" t="str">
        <f t="shared" si="6"/>
        <v/>
      </c>
      <c r="P17" s="550"/>
      <c r="Q17" s="551"/>
    </row>
    <row r="18" spans="1:17" s="253" customFormat="1" ht="20.100000000000001" hidden="1" customHeight="1" x14ac:dyDescent="0.25">
      <c r="A18" s="253" t="str">
        <f t="shared" si="4"/>
        <v/>
      </c>
      <c r="B18" s="584" t="str">
        <f>IF(LEN(A18)&gt;2,VLOOKUP(A18,COPY!$A$2:$O$1000,4,FALSE),"")</f>
        <v/>
      </c>
      <c r="C18" s="585" t="str">
        <f>IF(LEN(A18)&gt;2,VLOOKUP(A18,COPY!$A$2:$O$1000,15,FALSE),"")</f>
        <v/>
      </c>
      <c r="D18" s="542" t="str">
        <f>IF(LEN(A18)&gt;2,VLOOKUP(A18,COPY!$A$2:$O$1000,2,FALSE),"")</f>
        <v/>
      </c>
      <c r="E18" s="607" t="str">
        <f>IF(LEN(A18)&gt;2,VLOOKUP(A18,COPY!$A$2:$O$1000,10,FALSE),"")</f>
        <v/>
      </c>
      <c r="F18" s="542" t="str">
        <f>IF(LEN(A18)&gt;2,VLOOKUP(A18,COPY!$A$2:$O$1000,8,FALSE),"")</f>
        <v/>
      </c>
      <c r="G18" s="543" t="str">
        <f>IF(LEN(A18)&gt;2,VLOOKUP(A18,COPY!$A$2:$O$1000,7,FALSE),"")</f>
        <v/>
      </c>
      <c r="H18" s="544" t="str">
        <f t="shared" si="0"/>
        <v/>
      </c>
      <c r="I18" s="545" t="str">
        <f>IFERROR(IF(LEN(A18)&gt;2,VLOOKUP(A18,COPY!$A$2:$O$1000,13,FALSE),"")/E18,"")</f>
        <v/>
      </c>
      <c r="J18" s="546"/>
      <c r="K18" s="547" t="str">
        <f t="shared" si="1"/>
        <v/>
      </c>
      <c r="L18" s="548" t="str">
        <f t="shared" si="5"/>
        <v/>
      </c>
      <c r="M18" s="549">
        <f t="shared" si="3"/>
        <v>0</v>
      </c>
      <c r="O18" s="538" t="str">
        <f t="shared" si="6"/>
        <v/>
      </c>
      <c r="P18" s="550"/>
      <c r="Q18" s="551"/>
    </row>
    <row r="19" spans="1:17" s="253" customFormat="1" ht="20.100000000000001" hidden="1" customHeight="1" x14ac:dyDescent="0.25">
      <c r="A19" s="253" t="str">
        <f t="shared" si="4"/>
        <v/>
      </c>
      <c r="B19" s="584" t="str">
        <f>IF(LEN(A19)&gt;2,VLOOKUP(A19,COPY!$A$2:$O$1000,4,FALSE),"")</f>
        <v/>
      </c>
      <c r="C19" s="585" t="str">
        <f>IF(LEN(A19)&gt;2,VLOOKUP(A19,COPY!$A$2:$O$1000,15,FALSE),"")</f>
        <v/>
      </c>
      <c r="D19" s="542" t="str">
        <f>IF(LEN(A19)&gt;2,VLOOKUP(A19,COPY!$A$2:$O$1000,2,FALSE),"")</f>
        <v/>
      </c>
      <c r="E19" s="607" t="str">
        <f>IF(LEN(A19)&gt;2,VLOOKUP(A19,COPY!$A$2:$O$1000,10,FALSE),"")</f>
        <v/>
      </c>
      <c r="F19" s="542" t="str">
        <f>IF(LEN(A19)&gt;2,VLOOKUP(A19,COPY!$A$2:$O$1000,8,FALSE),"")</f>
        <v/>
      </c>
      <c r="G19" s="543" t="str">
        <f>IF(LEN(A19)&gt;2,VLOOKUP(A19,COPY!$A$2:$O$1000,7,FALSE),"")</f>
        <v/>
      </c>
      <c r="H19" s="544" t="str">
        <f t="shared" si="0"/>
        <v/>
      </c>
      <c r="I19" s="545" t="str">
        <f>IFERROR(IF(LEN(A19)&gt;2,VLOOKUP(A19,COPY!$A$2:$O$1000,13,FALSE),"")/E19,"")</f>
        <v/>
      </c>
      <c r="J19" s="546"/>
      <c r="K19" s="547" t="str">
        <f t="shared" si="1"/>
        <v/>
      </c>
      <c r="L19" s="548" t="str">
        <f t="shared" si="5"/>
        <v/>
      </c>
      <c r="M19" s="549">
        <f t="shared" si="3"/>
        <v>0</v>
      </c>
      <c r="O19" s="538" t="str">
        <f t="shared" si="6"/>
        <v/>
      </c>
      <c r="P19" s="550"/>
      <c r="Q19" s="551"/>
    </row>
    <row r="20" spans="1:17" s="253" customFormat="1" ht="20.100000000000001" hidden="1" customHeight="1" x14ac:dyDescent="0.25">
      <c r="A20" s="253" t="str">
        <f t="shared" si="4"/>
        <v/>
      </c>
      <c r="B20" s="584" t="str">
        <f>IF(LEN(A20)&gt;2,VLOOKUP(A20,COPY!$A$2:$O$1000,4,FALSE),"")</f>
        <v/>
      </c>
      <c r="C20" s="585" t="str">
        <f>IF(LEN(A20)&gt;2,VLOOKUP(A20,COPY!$A$2:$O$1000,15,FALSE),"")</f>
        <v/>
      </c>
      <c r="D20" s="542" t="str">
        <f>IF(LEN(A20)&gt;2,VLOOKUP(A20,COPY!$A$2:$O$1000,2,FALSE),"")</f>
        <v/>
      </c>
      <c r="E20" s="607" t="str">
        <f>IF(LEN(A20)&gt;2,VLOOKUP(A20,COPY!$A$2:$O$1000,10,FALSE),"")</f>
        <v/>
      </c>
      <c r="F20" s="542" t="str">
        <f>IF(LEN(A20)&gt;2,VLOOKUP(A20,COPY!$A$2:$O$1000,8,FALSE),"")</f>
        <v/>
      </c>
      <c r="G20" s="543" t="str">
        <f>IF(LEN(A20)&gt;2,VLOOKUP(A20,COPY!$A$2:$O$1000,7,FALSE),"")</f>
        <v/>
      </c>
      <c r="H20" s="544" t="str">
        <f t="shared" si="0"/>
        <v/>
      </c>
      <c r="I20" s="545" t="str">
        <f>IFERROR(IF(LEN(A20)&gt;2,VLOOKUP(A20,COPY!$A$2:$O$1000,13,FALSE),"")/E20,"")</f>
        <v/>
      </c>
      <c r="J20" s="546"/>
      <c r="K20" s="547" t="str">
        <f t="shared" si="1"/>
        <v/>
      </c>
      <c r="L20" s="548" t="str">
        <f t="shared" si="5"/>
        <v/>
      </c>
      <c r="M20" s="549">
        <f t="shared" si="3"/>
        <v>0</v>
      </c>
      <c r="O20" s="538" t="str">
        <f t="shared" si="6"/>
        <v/>
      </c>
      <c r="P20" s="550"/>
      <c r="Q20" s="551"/>
    </row>
    <row r="21" spans="1:17" s="253" customFormat="1" ht="20.100000000000001" hidden="1" customHeight="1" x14ac:dyDescent="0.25">
      <c r="A21" s="253" t="str">
        <f t="shared" si="4"/>
        <v/>
      </c>
      <c r="B21" s="584" t="str">
        <f>IF(LEN(A21)&gt;2,VLOOKUP(A21,COPY!$A$2:$O$1000,4,FALSE),"")</f>
        <v/>
      </c>
      <c r="C21" s="585" t="str">
        <f>IF(LEN(A21)&gt;2,VLOOKUP(A21,COPY!$A$2:$O$1000,15,FALSE),"")</f>
        <v/>
      </c>
      <c r="D21" s="542" t="str">
        <f>IF(LEN(A21)&gt;2,VLOOKUP(A21,COPY!$A$2:$O$1000,2,FALSE),"")</f>
        <v/>
      </c>
      <c r="E21" s="607" t="str">
        <f>IF(LEN(A21)&gt;2,VLOOKUP(A21,COPY!$A$2:$O$1000,10,FALSE),"")</f>
        <v/>
      </c>
      <c r="F21" s="542" t="str">
        <f>IF(LEN(A21)&gt;2,VLOOKUP(A21,COPY!$A$2:$O$1000,8,FALSE),"")</f>
        <v/>
      </c>
      <c r="G21" s="543" t="str">
        <f>IF(LEN(A21)&gt;2,VLOOKUP(A21,COPY!$A$2:$O$1000,7,FALSE),"")</f>
        <v/>
      </c>
      <c r="H21" s="544" t="str">
        <f t="shared" si="0"/>
        <v/>
      </c>
      <c r="I21" s="545" t="str">
        <f>IFERROR(IF(LEN(A21)&gt;2,VLOOKUP(A21,COPY!$A$2:$O$1000,13,FALSE),"")/E21,"")</f>
        <v/>
      </c>
      <c r="J21" s="546"/>
      <c r="K21" s="547" t="str">
        <f t="shared" si="1"/>
        <v/>
      </c>
      <c r="L21" s="548" t="str">
        <f t="shared" si="5"/>
        <v/>
      </c>
      <c r="M21" s="549">
        <f t="shared" si="3"/>
        <v>0</v>
      </c>
      <c r="O21" s="538" t="str">
        <f t="shared" si="6"/>
        <v/>
      </c>
      <c r="P21" s="550"/>
      <c r="Q21" s="551"/>
    </row>
    <row r="22" spans="1:17" s="253" customFormat="1" ht="20.100000000000001" hidden="1" customHeight="1" x14ac:dyDescent="0.25">
      <c r="A22" s="253" t="str">
        <f t="shared" si="4"/>
        <v/>
      </c>
      <c r="B22" s="584" t="str">
        <f>IF(LEN(A22)&gt;2,VLOOKUP(A22,COPY!$A$2:$O$1000,4,FALSE),"")</f>
        <v/>
      </c>
      <c r="C22" s="585" t="str">
        <f>IF(LEN(A22)&gt;2,VLOOKUP(A22,COPY!$A$2:$O$1000,15,FALSE),"")</f>
        <v/>
      </c>
      <c r="D22" s="542" t="str">
        <f>IF(LEN(A22)&gt;2,VLOOKUP(A22,COPY!$A$2:$O$1000,2,FALSE),"")</f>
        <v/>
      </c>
      <c r="E22" s="607" t="str">
        <f>IF(LEN(A22)&gt;2,VLOOKUP(A22,COPY!$A$2:$O$1000,10,FALSE),"")</f>
        <v/>
      </c>
      <c r="F22" s="542" t="str">
        <f>IF(LEN(A22)&gt;2,VLOOKUP(A22,COPY!$A$2:$O$1000,8,FALSE),"")</f>
        <v/>
      </c>
      <c r="G22" s="543" t="str">
        <f>IF(LEN(A22)&gt;2,VLOOKUP(A22,COPY!$A$2:$O$1000,7,FALSE),"")</f>
        <v/>
      </c>
      <c r="H22" s="544" t="str">
        <f t="shared" si="0"/>
        <v/>
      </c>
      <c r="I22" s="545" t="str">
        <f>IFERROR(IF(LEN(A22)&gt;2,VLOOKUP(A22,COPY!$A$2:$O$1000,13,FALSE),"")/E22,"")</f>
        <v/>
      </c>
      <c r="J22" s="546"/>
      <c r="K22" s="547" t="str">
        <f t="shared" si="1"/>
        <v/>
      </c>
      <c r="L22" s="548" t="str">
        <f t="shared" si="5"/>
        <v/>
      </c>
      <c r="M22" s="549">
        <f t="shared" si="3"/>
        <v>0</v>
      </c>
      <c r="O22" s="538" t="str">
        <f t="shared" si="6"/>
        <v/>
      </c>
      <c r="P22" s="550"/>
      <c r="Q22" s="551"/>
    </row>
    <row r="23" spans="1:17" s="253" customFormat="1" ht="20.100000000000001" hidden="1" customHeight="1" x14ac:dyDescent="0.25">
      <c r="A23" s="253" t="str">
        <f t="shared" si="4"/>
        <v/>
      </c>
      <c r="B23" s="584" t="str">
        <f>IF(LEN(A23)&gt;2,VLOOKUP(A23,COPY!$A$2:$O$1000,4,FALSE),"")</f>
        <v/>
      </c>
      <c r="C23" s="585" t="str">
        <f>IF(LEN(A23)&gt;2,VLOOKUP(A23,COPY!$A$2:$O$1000,15,FALSE),"")</f>
        <v/>
      </c>
      <c r="D23" s="542" t="str">
        <f>IF(LEN(A23)&gt;2,VLOOKUP(A23,COPY!$A$2:$O$1000,2,FALSE),"")</f>
        <v/>
      </c>
      <c r="E23" s="607" t="str">
        <f>IF(LEN(A23)&gt;2,VLOOKUP(A23,COPY!$A$2:$O$1000,10,FALSE),"")</f>
        <v/>
      </c>
      <c r="F23" s="542" t="str">
        <f>IF(LEN(A23)&gt;2,VLOOKUP(A23,COPY!$A$2:$O$1000,8,FALSE),"")</f>
        <v/>
      </c>
      <c r="G23" s="543" t="str">
        <f>IF(LEN(A23)&gt;2,VLOOKUP(A23,COPY!$A$2:$O$1000,7,FALSE),"")</f>
        <v/>
      </c>
      <c r="H23" s="544" t="str">
        <f t="shared" si="0"/>
        <v/>
      </c>
      <c r="I23" s="545" t="str">
        <f>IFERROR(IF(LEN(A23)&gt;2,VLOOKUP(A23,COPY!$A$2:$O$1000,13,FALSE),"")/E23,"")</f>
        <v/>
      </c>
      <c r="J23" s="546"/>
      <c r="K23" s="547" t="str">
        <f t="shared" si="1"/>
        <v/>
      </c>
      <c r="L23" s="548" t="str">
        <f t="shared" si="5"/>
        <v/>
      </c>
      <c r="M23" s="549">
        <f t="shared" si="3"/>
        <v>0</v>
      </c>
      <c r="O23" s="538" t="str">
        <f t="shared" si="6"/>
        <v/>
      </c>
      <c r="P23" s="550"/>
      <c r="Q23" s="551"/>
    </row>
    <row r="24" spans="1:17" s="253" customFormat="1" ht="20.100000000000001" hidden="1" customHeight="1" x14ac:dyDescent="0.25">
      <c r="A24" s="253" t="str">
        <f t="shared" si="4"/>
        <v/>
      </c>
      <c r="B24" s="584" t="str">
        <f>IF(LEN(A24)&gt;2,VLOOKUP(A24,COPY!$A$2:$O$1000,4,FALSE),"")</f>
        <v/>
      </c>
      <c r="C24" s="585" t="str">
        <f>IF(LEN(A24)&gt;2,VLOOKUP(A24,COPY!$A$2:$O$1000,15,FALSE),"")</f>
        <v/>
      </c>
      <c r="D24" s="542" t="str">
        <f>IF(LEN(A24)&gt;2,VLOOKUP(A24,COPY!$A$2:$O$1000,2,FALSE),"")</f>
        <v/>
      </c>
      <c r="E24" s="607" t="str">
        <f>IF(LEN(A24)&gt;2,VLOOKUP(A24,COPY!$A$2:$O$1000,10,FALSE),"")</f>
        <v/>
      </c>
      <c r="F24" s="542" t="str">
        <f>IF(LEN(A24)&gt;2,VLOOKUP(A24,COPY!$A$2:$O$1000,8,FALSE),"")</f>
        <v/>
      </c>
      <c r="G24" s="543" t="str">
        <f>IF(LEN(A24)&gt;2,VLOOKUP(A24,COPY!$A$2:$O$1000,7,FALSE),"")</f>
        <v/>
      </c>
      <c r="H24" s="544" t="str">
        <f t="shared" si="0"/>
        <v/>
      </c>
      <c r="I24" s="545" t="str">
        <f>IFERROR(IF(LEN(A24)&gt;2,VLOOKUP(A24,COPY!$A$2:$O$1000,13,FALSE),"")/E24,"")</f>
        <v/>
      </c>
      <c r="J24" s="546"/>
      <c r="K24" s="547" t="str">
        <f t="shared" si="1"/>
        <v/>
      </c>
      <c r="L24" s="548" t="str">
        <f t="shared" si="5"/>
        <v/>
      </c>
      <c r="M24" s="549">
        <f t="shared" si="3"/>
        <v>0</v>
      </c>
      <c r="O24" s="538" t="str">
        <f t="shared" si="6"/>
        <v/>
      </c>
      <c r="P24" s="550"/>
      <c r="Q24" s="551"/>
    </row>
    <row r="25" spans="1:17" s="253" customFormat="1" ht="20.100000000000001" hidden="1" customHeight="1" x14ac:dyDescent="0.25">
      <c r="A25" s="253" t="str">
        <f t="shared" si="4"/>
        <v/>
      </c>
      <c r="B25" s="584" t="str">
        <f>IF(LEN(A25)&gt;2,VLOOKUP(A25,COPY!$A$2:$O$1000,4,FALSE),"")</f>
        <v/>
      </c>
      <c r="C25" s="585" t="str">
        <f>IF(LEN(A25)&gt;2,VLOOKUP(A25,COPY!$A$2:$O$1000,15,FALSE),"")</f>
        <v/>
      </c>
      <c r="D25" s="542" t="str">
        <f>IF(LEN(A25)&gt;2,VLOOKUP(A25,COPY!$A$2:$O$1000,2,FALSE),"")</f>
        <v/>
      </c>
      <c r="E25" s="607" t="str">
        <f>IF(LEN(A25)&gt;2,VLOOKUP(A25,COPY!$A$2:$O$1000,10,FALSE),"")</f>
        <v/>
      </c>
      <c r="F25" s="542" t="str">
        <f>IF(LEN(A25)&gt;2,VLOOKUP(A25,COPY!$A$2:$O$1000,8,FALSE),"")</f>
        <v/>
      </c>
      <c r="G25" s="543" t="str">
        <f>IF(LEN(A25)&gt;2,VLOOKUP(A25,COPY!$A$2:$O$1000,7,FALSE),"")</f>
        <v/>
      </c>
      <c r="H25" s="544" t="str">
        <f t="shared" si="0"/>
        <v/>
      </c>
      <c r="I25" s="545" t="str">
        <f>IFERROR(IF(LEN(A25)&gt;2,VLOOKUP(A25,COPY!$A$2:$O$1000,13,FALSE),"")/E25,"")</f>
        <v/>
      </c>
      <c r="J25" s="546"/>
      <c r="K25" s="547" t="str">
        <f t="shared" si="1"/>
        <v/>
      </c>
      <c r="L25" s="548" t="str">
        <f t="shared" si="5"/>
        <v/>
      </c>
      <c r="M25" s="549">
        <f t="shared" si="3"/>
        <v>0</v>
      </c>
      <c r="O25" s="538" t="str">
        <f t="shared" si="6"/>
        <v/>
      </c>
      <c r="P25" s="550"/>
      <c r="Q25" s="551"/>
    </row>
    <row r="26" spans="1:17" s="253" customFormat="1" ht="20.100000000000001" hidden="1" customHeight="1" x14ac:dyDescent="0.25">
      <c r="A26" s="253" t="str">
        <f t="shared" si="4"/>
        <v/>
      </c>
      <c r="B26" s="584" t="str">
        <f>IF(LEN(A26)&gt;2,VLOOKUP(A26,COPY!$A$2:$O$1000,4,FALSE),"")</f>
        <v/>
      </c>
      <c r="C26" s="585" t="str">
        <f>IF(LEN(A26)&gt;2,VLOOKUP(A26,COPY!$A$2:$O$1000,15,FALSE),"")</f>
        <v/>
      </c>
      <c r="D26" s="542" t="str">
        <f>IF(LEN(A26)&gt;2,VLOOKUP(A26,COPY!$A$2:$O$1000,2,FALSE),"")</f>
        <v/>
      </c>
      <c r="E26" s="607" t="str">
        <f>IF(LEN(A26)&gt;2,VLOOKUP(A26,COPY!$A$2:$O$1000,10,FALSE),"")</f>
        <v/>
      </c>
      <c r="F26" s="542" t="str">
        <f>IF(LEN(A26)&gt;2,VLOOKUP(A26,COPY!$A$2:$O$1000,8,FALSE),"")</f>
        <v/>
      </c>
      <c r="G26" s="543" t="str">
        <f>IF(LEN(A26)&gt;2,VLOOKUP(A26,COPY!$A$2:$O$1000,7,FALSE),"")</f>
        <v/>
      </c>
      <c r="H26" s="544" t="str">
        <f t="shared" si="0"/>
        <v/>
      </c>
      <c r="I26" s="545" t="str">
        <f>IFERROR(IF(LEN(A26)&gt;2,VLOOKUP(A26,COPY!$A$2:$O$1000,13,FALSE),"")/E26,"")</f>
        <v/>
      </c>
      <c r="J26" s="546"/>
      <c r="K26" s="547" t="str">
        <f t="shared" si="1"/>
        <v/>
      </c>
      <c r="L26" s="548" t="str">
        <f t="shared" si="5"/>
        <v/>
      </c>
      <c r="M26" s="549">
        <f t="shared" si="3"/>
        <v>0</v>
      </c>
      <c r="O26" s="538" t="str">
        <f t="shared" si="6"/>
        <v/>
      </c>
      <c r="P26" s="550"/>
      <c r="Q26" s="551"/>
    </row>
    <row r="27" spans="1:17" s="253" customFormat="1" ht="20.100000000000001" hidden="1" customHeight="1" x14ac:dyDescent="0.25">
      <c r="A27" s="253" t="str">
        <f t="shared" si="4"/>
        <v/>
      </c>
      <c r="B27" s="584" t="str">
        <f>IF(LEN(A27)&gt;2,VLOOKUP(A27,COPY!$A$2:$O$1000,4,FALSE),"")</f>
        <v/>
      </c>
      <c r="C27" s="585" t="str">
        <f>IF(LEN(A27)&gt;2,VLOOKUP(A27,COPY!$A$2:$O$1000,15,FALSE),"")</f>
        <v/>
      </c>
      <c r="D27" s="542" t="str">
        <f>IF(LEN(A27)&gt;2,VLOOKUP(A27,COPY!$A$2:$O$1000,2,FALSE),"")</f>
        <v/>
      </c>
      <c r="E27" s="607" t="str">
        <f>IF(LEN(A27)&gt;2,VLOOKUP(A27,COPY!$A$2:$O$1000,10,FALSE),"")</f>
        <v/>
      </c>
      <c r="F27" s="542" t="str">
        <f>IF(LEN(A27)&gt;2,VLOOKUP(A27,COPY!$A$2:$O$1000,8,FALSE),"")</f>
        <v/>
      </c>
      <c r="G27" s="543" t="str">
        <f>IF(LEN(A27)&gt;2,VLOOKUP(A27,COPY!$A$2:$O$1000,7,FALSE),"")</f>
        <v/>
      </c>
      <c r="H27" s="544" t="str">
        <f t="shared" si="0"/>
        <v/>
      </c>
      <c r="I27" s="545" t="str">
        <f>IFERROR(IF(LEN(A27)&gt;2,VLOOKUP(A27,COPY!$A$2:$O$1000,13,FALSE),"")/E27,"")</f>
        <v/>
      </c>
      <c r="J27" s="546"/>
      <c r="K27" s="547" t="str">
        <f t="shared" si="1"/>
        <v/>
      </c>
      <c r="L27" s="548" t="str">
        <f t="shared" si="5"/>
        <v/>
      </c>
      <c r="M27" s="549">
        <f t="shared" si="3"/>
        <v>0</v>
      </c>
      <c r="O27" s="538" t="str">
        <f t="shared" si="6"/>
        <v/>
      </c>
      <c r="P27" s="550"/>
      <c r="Q27" s="551"/>
    </row>
    <row r="28" spans="1:17" s="253" customFormat="1" ht="20.100000000000001" hidden="1" customHeight="1" x14ac:dyDescent="0.25">
      <c r="A28" s="253" t="str">
        <f t="shared" si="4"/>
        <v/>
      </c>
      <c r="B28" s="584" t="str">
        <f>IF(LEN(A28)&gt;2,VLOOKUP(A28,COPY!$A$2:$O$1000,4,FALSE),"")</f>
        <v/>
      </c>
      <c r="C28" s="585" t="str">
        <f>IF(LEN(A28)&gt;2,VLOOKUP(A28,COPY!$A$2:$O$1000,15,FALSE),"")</f>
        <v/>
      </c>
      <c r="D28" s="542" t="str">
        <f>IF(LEN(A28)&gt;2,VLOOKUP(A28,COPY!$A$2:$O$1000,2,FALSE),"")</f>
        <v/>
      </c>
      <c r="E28" s="607" t="str">
        <f>IF(LEN(A28)&gt;2,VLOOKUP(A28,COPY!$A$2:$O$1000,10,FALSE),"")</f>
        <v/>
      </c>
      <c r="F28" s="542" t="str">
        <f>IF(LEN(A28)&gt;2,VLOOKUP(A28,COPY!$A$2:$O$1000,8,FALSE),"")</f>
        <v/>
      </c>
      <c r="G28" s="543" t="str">
        <f>IF(LEN(A28)&gt;2,VLOOKUP(A28,COPY!$A$2:$O$1000,7,FALSE),"")</f>
        <v/>
      </c>
      <c r="H28" s="544" t="str">
        <f t="shared" si="0"/>
        <v/>
      </c>
      <c r="I28" s="545" t="str">
        <f>IFERROR(IF(LEN(A28)&gt;2,VLOOKUP(A28,COPY!$A$2:$O$1000,13,FALSE),"")/E28,"")</f>
        <v/>
      </c>
      <c r="J28" s="546"/>
      <c r="K28" s="547" t="str">
        <f t="shared" si="1"/>
        <v/>
      </c>
      <c r="L28" s="548" t="str">
        <f t="shared" si="5"/>
        <v/>
      </c>
      <c r="M28" s="549">
        <f t="shared" si="3"/>
        <v>0</v>
      </c>
      <c r="O28" s="538" t="str">
        <f t="shared" si="6"/>
        <v/>
      </c>
      <c r="P28" s="550"/>
      <c r="Q28" s="551"/>
    </row>
    <row r="29" spans="1:17" s="253" customFormat="1" ht="20.100000000000001" hidden="1" customHeight="1" x14ac:dyDescent="0.25">
      <c r="A29" s="253" t="str">
        <f t="shared" si="4"/>
        <v/>
      </c>
      <c r="B29" s="584" t="str">
        <f>IF(LEN(A29)&gt;2,VLOOKUP(A29,COPY!$A$2:$O$1000,4,FALSE),"")</f>
        <v/>
      </c>
      <c r="C29" s="585" t="str">
        <f>IF(LEN(A29)&gt;2,VLOOKUP(A29,COPY!$A$2:$O$1000,15,FALSE),"")</f>
        <v/>
      </c>
      <c r="D29" s="542" t="str">
        <f>IF(LEN(A29)&gt;2,VLOOKUP(A29,COPY!$A$2:$O$1000,2,FALSE),"")</f>
        <v/>
      </c>
      <c r="E29" s="607" t="str">
        <f>IF(LEN(A29)&gt;2,VLOOKUP(A29,COPY!$A$2:$O$1000,10,FALSE),"")</f>
        <v/>
      </c>
      <c r="F29" s="542" t="str">
        <f>IF(LEN(A29)&gt;2,VLOOKUP(A29,COPY!$A$2:$O$1000,8,FALSE),"")</f>
        <v/>
      </c>
      <c r="G29" s="543" t="str">
        <f>IF(LEN(A29)&gt;2,VLOOKUP(A29,COPY!$A$2:$O$1000,7,FALSE),"")</f>
        <v/>
      </c>
      <c r="H29" s="544" t="str">
        <f t="shared" si="0"/>
        <v/>
      </c>
      <c r="I29" s="545" t="str">
        <f>IFERROR(IF(LEN(A29)&gt;2,VLOOKUP(A29,COPY!$A$2:$O$1000,13,FALSE),"")/E29,"")</f>
        <v/>
      </c>
      <c r="J29" s="546"/>
      <c r="K29" s="547" t="str">
        <f t="shared" si="1"/>
        <v/>
      </c>
      <c r="L29" s="548" t="str">
        <f t="shared" si="5"/>
        <v/>
      </c>
      <c r="M29" s="549">
        <f t="shared" si="3"/>
        <v>0</v>
      </c>
      <c r="O29" s="538" t="str">
        <f t="shared" si="6"/>
        <v/>
      </c>
      <c r="P29" s="550"/>
      <c r="Q29" s="551"/>
    </row>
    <row r="30" spans="1:17" s="253" customFormat="1" ht="20.100000000000001" hidden="1" customHeight="1" x14ac:dyDescent="0.25">
      <c r="A30" s="253" t="str">
        <f t="shared" si="4"/>
        <v/>
      </c>
      <c r="B30" s="584" t="str">
        <f>IF(LEN(A30)&gt;2,VLOOKUP(A30,COPY!$A$2:$O$1000,4,FALSE),"")</f>
        <v/>
      </c>
      <c r="C30" s="585" t="str">
        <f>IF(LEN(A30)&gt;2,VLOOKUP(A30,COPY!$A$2:$O$1000,15,FALSE),"")</f>
        <v/>
      </c>
      <c r="D30" s="542" t="str">
        <f>IF(LEN(A30)&gt;2,VLOOKUP(A30,COPY!$A$2:$O$1000,2,FALSE),"")</f>
        <v/>
      </c>
      <c r="E30" s="607" t="str">
        <f>IF(LEN(A30)&gt;2,VLOOKUP(A30,COPY!$A$2:$O$1000,10,FALSE),"")</f>
        <v/>
      </c>
      <c r="F30" s="542" t="str">
        <f>IF(LEN(A30)&gt;2,VLOOKUP(A30,COPY!$A$2:$O$1000,8,FALSE),"")</f>
        <v/>
      </c>
      <c r="G30" s="543" t="str">
        <f>IF(LEN(A30)&gt;2,VLOOKUP(A30,COPY!$A$2:$O$1000,7,FALSE),"")</f>
        <v/>
      </c>
      <c r="H30" s="544" t="str">
        <f t="shared" si="0"/>
        <v/>
      </c>
      <c r="I30" s="545" t="str">
        <f>IFERROR(IF(LEN(A30)&gt;2,VLOOKUP(A30,COPY!$A$2:$O$1000,13,FALSE),"")/E30,"")</f>
        <v/>
      </c>
      <c r="J30" s="546"/>
      <c r="K30" s="547" t="str">
        <f t="shared" si="1"/>
        <v/>
      </c>
      <c r="L30" s="548" t="str">
        <f t="shared" si="5"/>
        <v/>
      </c>
      <c r="M30" s="549">
        <f t="shared" si="3"/>
        <v>0</v>
      </c>
      <c r="O30" s="538" t="str">
        <f t="shared" si="6"/>
        <v/>
      </c>
      <c r="P30" s="550"/>
      <c r="Q30" s="551"/>
    </row>
    <row r="31" spans="1:17" s="253" customFormat="1" ht="20.100000000000001" hidden="1" customHeight="1" x14ac:dyDescent="0.25">
      <c r="A31" s="253" t="str">
        <f t="shared" si="4"/>
        <v/>
      </c>
      <c r="B31" s="584" t="str">
        <f>IF(LEN(A31)&gt;2,VLOOKUP(A31,COPY!$A$2:$O$1000,4,FALSE),"")</f>
        <v/>
      </c>
      <c r="C31" s="585" t="str">
        <f>IF(LEN(A31)&gt;2,VLOOKUP(A31,COPY!$A$2:$O$1000,15,FALSE),"")</f>
        <v/>
      </c>
      <c r="D31" s="542" t="str">
        <f>IF(LEN(A31)&gt;2,VLOOKUP(A31,COPY!$A$2:$O$1000,2,FALSE),"")</f>
        <v/>
      </c>
      <c r="E31" s="607" t="str">
        <f>IF(LEN(A31)&gt;2,VLOOKUP(A31,COPY!$A$2:$O$1000,10,FALSE),"")</f>
        <v/>
      </c>
      <c r="F31" s="542" t="str">
        <f>IF(LEN(A31)&gt;2,VLOOKUP(A31,COPY!$A$2:$O$1000,8,FALSE),"")</f>
        <v/>
      </c>
      <c r="G31" s="543" t="str">
        <f>IF(LEN(A31)&gt;2,VLOOKUP(A31,COPY!$A$2:$O$1000,7,FALSE),"")</f>
        <v/>
      </c>
      <c r="H31" s="544" t="str">
        <f t="shared" si="0"/>
        <v/>
      </c>
      <c r="I31" s="545" t="str">
        <f>IFERROR(IF(LEN(A31)&gt;2,VLOOKUP(A31,COPY!$A$2:$O$1000,13,FALSE),"")/E31,"")</f>
        <v/>
      </c>
      <c r="J31" s="546"/>
      <c r="K31" s="547" t="str">
        <f t="shared" si="1"/>
        <v/>
      </c>
      <c r="L31" s="548" t="str">
        <f t="shared" si="5"/>
        <v/>
      </c>
      <c r="M31" s="549">
        <f t="shared" si="3"/>
        <v>0</v>
      </c>
      <c r="O31" s="538" t="str">
        <f t="shared" si="6"/>
        <v/>
      </c>
      <c r="P31" s="550"/>
      <c r="Q31" s="551"/>
    </row>
    <row r="32" spans="1:17" s="253" customFormat="1" ht="20.100000000000001" hidden="1" customHeight="1" x14ac:dyDescent="0.25">
      <c r="A32" s="253" t="str">
        <f t="shared" si="4"/>
        <v/>
      </c>
      <c r="B32" s="584" t="str">
        <f>IF(LEN(A32)&gt;2,VLOOKUP(A32,COPY!$A$2:$O$1000,4,FALSE),"")</f>
        <v/>
      </c>
      <c r="C32" s="585" t="str">
        <f>IF(LEN(A32)&gt;2,VLOOKUP(A32,COPY!$A$2:$O$1000,15,FALSE),"")</f>
        <v/>
      </c>
      <c r="D32" s="542" t="str">
        <f>IF(LEN(A32)&gt;2,VLOOKUP(A32,COPY!$A$2:$O$1000,2,FALSE),"")</f>
        <v/>
      </c>
      <c r="E32" s="607" t="str">
        <f>IF(LEN(A32)&gt;2,VLOOKUP(A32,COPY!$A$2:$O$1000,10,FALSE),"")</f>
        <v/>
      </c>
      <c r="F32" s="542" t="str">
        <f>IF(LEN(A32)&gt;2,VLOOKUP(A32,COPY!$A$2:$O$1000,8,FALSE),"")</f>
        <v/>
      </c>
      <c r="G32" s="543" t="str">
        <f>IF(LEN(A32)&gt;2,VLOOKUP(A32,COPY!$A$2:$O$1000,7,FALSE),"")</f>
        <v/>
      </c>
      <c r="H32" s="544" t="str">
        <f t="shared" si="0"/>
        <v/>
      </c>
      <c r="I32" s="545" t="str">
        <f>IFERROR(IF(LEN(A32)&gt;2,VLOOKUP(A32,COPY!$A$2:$O$1000,13,FALSE),"")/E32,"")</f>
        <v/>
      </c>
      <c r="J32" s="546"/>
      <c r="K32" s="547" t="str">
        <f t="shared" si="1"/>
        <v/>
      </c>
      <c r="L32" s="548" t="str">
        <f t="shared" si="5"/>
        <v/>
      </c>
      <c r="M32" s="549">
        <f t="shared" si="3"/>
        <v>0</v>
      </c>
      <c r="O32" s="538" t="str">
        <f t="shared" si="6"/>
        <v/>
      </c>
      <c r="P32" s="550"/>
      <c r="Q32" s="551"/>
    </row>
    <row r="33" spans="1:17" s="253" customFormat="1" ht="20.100000000000001" hidden="1" customHeight="1" x14ac:dyDescent="0.25">
      <c r="A33" s="253" t="str">
        <f t="shared" si="4"/>
        <v/>
      </c>
      <c r="B33" s="584" t="str">
        <f>IF(LEN(A33)&gt;2,VLOOKUP(A33,COPY!$A$2:$O$1000,4,FALSE),"")</f>
        <v/>
      </c>
      <c r="C33" s="585" t="str">
        <f>IF(LEN(A33)&gt;2,VLOOKUP(A33,COPY!$A$2:$O$1000,15,FALSE),"")</f>
        <v/>
      </c>
      <c r="D33" s="542" t="str">
        <f>IF(LEN(A33)&gt;2,VLOOKUP(A33,COPY!$A$2:$O$1000,2,FALSE),"")</f>
        <v/>
      </c>
      <c r="E33" s="607" t="str">
        <f>IF(LEN(A33)&gt;2,VLOOKUP(A33,COPY!$A$2:$O$1000,10,FALSE),"")</f>
        <v/>
      </c>
      <c r="F33" s="542" t="str">
        <f>IF(LEN(A33)&gt;2,VLOOKUP(A33,COPY!$A$2:$O$1000,8,FALSE),"")</f>
        <v/>
      </c>
      <c r="G33" s="543" t="str">
        <f>IF(LEN(A33)&gt;2,VLOOKUP(A33,COPY!$A$2:$O$1000,7,FALSE),"")</f>
        <v/>
      </c>
      <c r="H33" s="544" t="str">
        <f t="shared" si="0"/>
        <v/>
      </c>
      <c r="I33" s="545" t="str">
        <f>IFERROR(IF(LEN(A33)&gt;2,VLOOKUP(A33,COPY!$A$2:$O$1000,13,FALSE),"")/E33,"")</f>
        <v/>
      </c>
      <c r="J33" s="546"/>
      <c r="K33" s="547" t="str">
        <f t="shared" si="1"/>
        <v/>
      </c>
      <c r="L33" s="548" t="str">
        <f t="shared" si="5"/>
        <v/>
      </c>
      <c r="M33" s="549">
        <f t="shared" si="3"/>
        <v>0</v>
      </c>
      <c r="O33" s="538" t="str">
        <f t="shared" si="6"/>
        <v/>
      </c>
      <c r="P33" s="550"/>
      <c r="Q33" s="551"/>
    </row>
    <row r="34" spans="1:17" s="253" customFormat="1" ht="20.100000000000001" hidden="1" customHeight="1" x14ac:dyDescent="0.25">
      <c r="A34" s="253" t="str">
        <f t="shared" si="4"/>
        <v/>
      </c>
      <c r="B34" s="584" t="str">
        <f>IF(LEN(A34)&gt;2,VLOOKUP(A34,COPY!$A$2:$O$1000,4,FALSE),"")</f>
        <v/>
      </c>
      <c r="C34" s="585" t="str">
        <f>IF(LEN(A34)&gt;2,VLOOKUP(A34,COPY!$A$2:$O$1000,15,FALSE),"")</f>
        <v/>
      </c>
      <c r="D34" s="542" t="str">
        <f>IF(LEN(A34)&gt;2,VLOOKUP(A34,COPY!$A$2:$O$1000,2,FALSE),"")</f>
        <v/>
      </c>
      <c r="E34" s="607" t="str">
        <f>IF(LEN(A34)&gt;2,VLOOKUP(A34,COPY!$A$2:$O$1000,10,FALSE),"")</f>
        <v/>
      </c>
      <c r="F34" s="542" t="str">
        <f>IF(LEN(A34)&gt;2,VLOOKUP(A34,COPY!$A$2:$O$1000,8,FALSE),"")</f>
        <v/>
      </c>
      <c r="G34" s="543" t="str">
        <f>IF(LEN(A34)&gt;2,VLOOKUP(A34,COPY!$A$2:$O$1000,7,FALSE),"")</f>
        <v/>
      </c>
      <c r="H34" s="544" t="str">
        <f t="shared" si="0"/>
        <v/>
      </c>
      <c r="I34" s="545" t="str">
        <f>IFERROR(IF(LEN(A34)&gt;2,VLOOKUP(A34,COPY!$A$2:$O$1000,13,FALSE),"")/E34,"")</f>
        <v/>
      </c>
      <c r="J34" s="546"/>
      <c r="K34" s="547" t="str">
        <f t="shared" si="1"/>
        <v/>
      </c>
      <c r="L34" s="548" t="str">
        <f t="shared" si="5"/>
        <v/>
      </c>
      <c r="M34" s="549">
        <f t="shared" si="3"/>
        <v>0</v>
      </c>
      <c r="O34" s="538" t="str">
        <f t="shared" si="6"/>
        <v/>
      </c>
      <c r="P34" s="550"/>
      <c r="Q34" s="551"/>
    </row>
    <row r="35" spans="1:17" s="253" customFormat="1" ht="20.100000000000001" hidden="1" customHeight="1" x14ac:dyDescent="0.25">
      <c r="A35" s="253" t="str">
        <f t="shared" si="4"/>
        <v/>
      </c>
      <c r="B35" s="584" t="str">
        <f>IF(LEN(A35)&gt;2,VLOOKUP(A35,COPY!$A$2:$O$1000,4,FALSE),"")</f>
        <v/>
      </c>
      <c r="C35" s="585" t="str">
        <f>IF(LEN(A35)&gt;2,VLOOKUP(A35,COPY!$A$2:$O$1000,15,FALSE),"")</f>
        <v/>
      </c>
      <c r="D35" s="542" t="str">
        <f>IF(LEN(A35)&gt;2,VLOOKUP(A35,COPY!$A$2:$O$1000,2,FALSE),"")</f>
        <v/>
      </c>
      <c r="E35" s="607" t="str">
        <f>IF(LEN(A35)&gt;2,VLOOKUP(A35,COPY!$A$2:$O$1000,10,FALSE),"")</f>
        <v/>
      </c>
      <c r="F35" s="542" t="str">
        <f>IF(LEN(A35)&gt;2,VLOOKUP(A35,COPY!$A$2:$O$1000,8,FALSE),"")</f>
        <v/>
      </c>
      <c r="G35" s="543" t="str">
        <f>IF(LEN(A35)&gt;2,VLOOKUP(A35,COPY!$A$2:$O$1000,7,FALSE),"")</f>
        <v/>
      </c>
      <c r="H35" s="544" t="str">
        <f t="shared" si="0"/>
        <v/>
      </c>
      <c r="I35" s="545" t="str">
        <f>IFERROR(IF(LEN(A35)&gt;2,VLOOKUP(A35,COPY!$A$2:$O$1000,13,FALSE),"")/E35,"")</f>
        <v/>
      </c>
      <c r="J35" s="546"/>
      <c r="K35" s="547" t="str">
        <f t="shared" si="1"/>
        <v/>
      </c>
      <c r="L35" s="548" t="str">
        <f t="shared" si="5"/>
        <v/>
      </c>
      <c r="M35" s="549">
        <f t="shared" si="3"/>
        <v>0</v>
      </c>
      <c r="O35" s="538" t="str">
        <f t="shared" si="6"/>
        <v/>
      </c>
      <c r="P35" s="550"/>
      <c r="Q35" s="551"/>
    </row>
    <row r="36" spans="1:17" s="253" customFormat="1" ht="20.100000000000001" hidden="1" customHeight="1" x14ac:dyDescent="0.25">
      <c r="A36" s="253" t="str">
        <f t="shared" si="4"/>
        <v/>
      </c>
      <c r="B36" s="584" t="str">
        <f>IF(LEN(A36)&gt;2,VLOOKUP(A36,COPY!$A$2:$O$1000,4,FALSE),"")</f>
        <v/>
      </c>
      <c r="C36" s="585" t="str">
        <f>IF(LEN(A36)&gt;2,VLOOKUP(A36,COPY!$A$2:$O$1000,15,FALSE),"")</f>
        <v/>
      </c>
      <c r="D36" s="542" t="str">
        <f>IF(LEN(A36)&gt;2,VLOOKUP(A36,COPY!$A$2:$O$1000,2,FALSE),"")</f>
        <v/>
      </c>
      <c r="E36" s="607" t="str">
        <f>IF(LEN(A36)&gt;2,VLOOKUP(A36,COPY!$A$2:$O$1000,10,FALSE),"")</f>
        <v/>
      </c>
      <c r="F36" s="542" t="str">
        <f>IF(LEN(A36)&gt;2,VLOOKUP(A36,COPY!$A$2:$O$1000,8,FALSE),"")</f>
        <v/>
      </c>
      <c r="G36" s="543" t="str">
        <f>IF(LEN(A36)&gt;2,VLOOKUP(A36,COPY!$A$2:$O$1000,7,FALSE),"")</f>
        <v/>
      </c>
      <c r="H36" s="544" t="str">
        <f t="shared" si="0"/>
        <v/>
      </c>
      <c r="I36" s="545" t="str">
        <f>IFERROR(IF(LEN(A36)&gt;2,VLOOKUP(A36,COPY!$A$2:$O$1000,13,FALSE),"")/E36,"")</f>
        <v/>
      </c>
      <c r="J36" s="546"/>
      <c r="K36" s="547" t="str">
        <f t="shared" si="1"/>
        <v/>
      </c>
      <c r="L36" s="548" t="str">
        <f t="shared" si="5"/>
        <v/>
      </c>
      <c r="M36" s="549">
        <f t="shared" si="3"/>
        <v>0</v>
      </c>
      <c r="O36" s="538" t="str">
        <f t="shared" si="6"/>
        <v/>
      </c>
      <c r="P36" s="550"/>
      <c r="Q36" s="551"/>
    </row>
    <row r="37" spans="1:17" s="253" customFormat="1" ht="20.100000000000001" hidden="1" customHeight="1" x14ac:dyDescent="0.25">
      <c r="A37" s="253" t="str">
        <f t="shared" si="4"/>
        <v/>
      </c>
      <c r="B37" s="584" t="str">
        <f>IF(LEN(A37)&gt;2,VLOOKUP(A37,COPY!$A$2:$O$1000,4,FALSE),"")</f>
        <v/>
      </c>
      <c r="C37" s="585" t="str">
        <f>IF(LEN(A37)&gt;2,VLOOKUP(A37,COPY!$A$2:$O$1000,15,FALSE),"")</f>
        <v/>
      </c>
      <c r="D37" s="542" t="str">
        <f>IF(LEN(A37)&gt;2,VLOOKUP(A37,COPY!$A$2:$O$1000,2,FALSE),"")</f>
        <v/>
      </c>
      <c r="E37" s="607" t="str">
        <f>IF(LEN(A37)&gt;2,VLOOKUP(A37,COPY!$A$2:$O$1000,10,FALSE),"")</f>
        <v/>
      </c>
      <c r="F37" s="542" t="str">
        <f>IF(LEN(A37)&gt;2,VLOOKUP(A37,COPY!$A$2:$O$1000,8,FALSE),"")</f>
        <v/>
      </c>
      <c r="G37" s="543" t="str">
        <f>IF(LEN(A37)&gt;2,VLOOKUP(A37,COPY!$A$2:$O$1000,7,FALSE),"")</f>
        <v/>
      </c>
      <c r="H37" s="544" t="str">
        <f t="shared" si="0"/>
        <v/>
      </c>
      <c r="I37" s="545" t="str">
        <f>IFERROR(IF(LEN(A37)&gt;2,VLOOKUP(A37,COPY!$A$2:$O$1000,13,FALSE),"")/E37,"")</f>
        <v/>
      </c>
      <c r="J37" s="546"/>
      <c r="K37" s="547" t="str">
        <f t="shared" si="1"/>
        <v/>
      </c>
      <c r="L37" s="548" t="str">
        <f t="shared" si="5"/>
        <v/>
      </c>
      <c r="M37" s="549">
        <f t="shared" si="3"/>
        <v>0</v>
      </c>
      <c r="O37" s="538" t="str">
        <f t="shared" si="6"/>
        <v/>
      </c>
      <c r="P37" s="550"/>
      <c r="Q37" s="551"/>
    </row>
    <row r="38" spans="1:17" s="253" customFormat="1" ht="20.100000000000001" hidden="1" customHeight="1" x14ac:dyDescent="0.25">
      <c r="A38" s="253" t="str">
        <f t="shared" si="4"/>
        <v/>
      </c>
      <c r="B38" s="584" t="str">
        <f>IF(LEN(A38)&gt;2,VLOOKUP(A38,COPY!$A$2:$O$1000,4,FALSE),"")</f>
        <v/>
      </c>
      <c r="C38" s="585" t="str">
        <f>IF(LEN(A38)&gt;2,VLOOKUP(A38,COPY!$A$2:$O$1000,15,FALSE),"")</f>
        <v/>
      </c>
      <c r="D38" s="542" t="str">
        <f>IF(LEN(A38)&gt;2,VLOOKUP(A38,COPY!$A$2:$O$1000,2,FALSE),"")</f>
        <v/>
      </c>
      <c r="E38" s="607" t="str">
        <f>IF(LEN(A38)&gt;2,VLOOKUP(A38,COPY!$A$2:$O$1000,10,FALSE),"")</f>
        <v/>
      </c>
      <c r="F38" s="542" t="str">
        <f>IF(LEN(A38)&gt;2,VLOOKUP(A38,COPY!$A$2:$O$1000,8,FALSE),"")</f>
        <v/>
      </c>
      <c r="G38" s="543" t="str">
        <f>IF(LEN(A38)&gt;2,VLOOKUP(A38,COPY!$A$2:$O$1000,7,FALSE),"")</f>
        <v/>
      </c>
      <c r="H38" s="544" t="str">
        <f t="shared" si="0"/>
        <v/>
      </c>
      <c r="I38" s="545" t="str">
        <f>IFERROR(IF(LEN(A38)&gt;2,VLOOKUP(A38,COPY!$A$2:$O$1000,13,FALSE),"")/E38,"")</f>
        <v/>
      </c>
      <c r="J38" s="546"/>
      <c r="K38" s="547" t="str">
        <f t="shared" si="1"/>
        <v/>
      </c>
      <c r="L38" s="548" t="str">
        <f t="shared" si="5"/>
        <v/>
      </c>
      <c r="M38" s="549">
        <f t="shared" si="3"/>
        <v>0</v>
      </c>
      <c r="O38" s="538" t="str">
        <f t="shared" si="6"/>
        <v/>
      </c>
      <c r="P38" s="550"/>
      <c r="Q38" s="551"/>
    </row>
    <row r="39" spans="1:17" s="253" customFormat="1" ht="20.100000000000001" hidden="1" customHeight="1" x14ac:dyDescent="0.25">
      <c r="A39" s="253" t="str">
        <f t="shared" si="4"/>
        <v/>
      </c>
      <c r="B39" s="584" t="str">
        <f>IF(LEN(A39)&gt;2,VLOOKUP(A39,COPY!$A$2:$O$1000,4,FALSE),"")</f>
        <v/>
      </c>
      <c r="C39" s="585" t="str">
        <f>IF(LEN(A39)&gt;2,VLOOKUP(A39,COPY!$A$2:$O$1000,15,FALSE),"")</f>
        <v/>
      </c>
      <c r="D39" s="542" t="str">
        <f>IF(LEN(A39)&gt;2,VLOOKUP(A39,COPY!$A$2:$O$1000,2,FALSE),"")</f>
        <v/>
      </c>
      <c r="E39" s="607" t="str">
        <f>IF(LEN(A39)&gt;2,VLOOKUP(A39,COPY!$A$2:$O$1000,10,FALSE),"")</f>
        <v/>
      </c>
      <c r="F39" s="542" t="str">
        <f>IF(LEN(A39)&gt;2,VLOOKUP(A39,COPY!$A$2:$O$1000,8,FALSE),"")</f>
        <v/>
      </c>
      <c r="G39" s="543" t="str">
        <f>IF(LEN(A39)&gt;2,VLOOKUP(A39,COPY!$A$2:$O$1000,7,FALSE),"")</f>
        <v/>
      </c>
      <c r="H39" s="544" t="str">
        <f t="shared" si="0"/>
        <v/>
      </c>
      <c r="I39" s="545" t="str">
        <f>IFERROR(IF(LEN(A39)&gt;2,VLOOKUP(A39,COPY!$A$2:$O$1000,13,FALSE),"")/E39,"")</f>
        <v/>
      </c>
      <c r="J39" s="546"/>
      <c r="K39" s="547" t="str">
        <f t="shared" si="1"/>
        <v/>
      </c>
      <c r="L39" s="548" t="str">
        <f t="shared" si="5"/>
        <v/>
      </c>
      <c r="M39" s="549">
        <f t="shared" si="3"/>
        <v>0</v>
      </c>
      <c r="O39" s="538" t="str">
        <f t="shared" si="6"/>
        <v/>
      </c>
      <c r="P39" s="550"/>
      <c r="Q39" s="551"/>
    </row>
    <row r="40" spans="1:17" s="253" customFormat="1" ht="20.100000000000001" hidden="1" customHeight="1" x14ac:dyDescent="0.25">
      <c r="A40" s="253" t="str">
        <f t="shared" si="4"/>
        <v/>
      </c>
      <c r="B40" s="584" t="str">
        <f>IF(LEN(A40)&gt;2,VLOOKUP(A40,COPY!$A$2:$O$1000,4,FALSE),"")</f>
        <v/>
      </c>
      <c r="C40" s="585" t="str">
        <f>IF(LEN(A40)&gt;2,VLOOKUP(A40,COPY!$A$2:$O$1000,15,FALSE),"")</f>
        <v/>
      </c>
      <c r="D40" s="542" t="str">
        <f>IF(LEN(A40)&gt;2,VLOOKUP(A40,COPY!$A$2:$O$1000,2,FALSE),"")</f>
        <v/>
      </c>
      <c r="E40" s="607" t="str">
        <f>IF(LEN(A40)&gt;2,VLOOKUP(A40,COPY!$A$2:$O$1000,10,FALSE),"")</f>
        <v/>
      </c>
      <c r="F40" s="542" t="str">
        <f>IF(LEN(A40)&gt;2,VLOOKUP(A40,COPY!$A$2:$O$1000,8,FALSE),"")</f>
        <v/>
      </c>
      <c r="G40" s="543" t="str">
        <f>IF(LEN(A40)&gt;2,VLOOKUP(A40,COPY!$A$2:$O$1000,7,FALSE),"")</f>
        <v/>
      </c>
      <c r="H40" s="544" t="str">
        <f t="shared" si="0"/>
        <v/>
      </c>
      <c r="I40" s="545" t="str">
        <f>IFERROR(IF(LEN(A40)&gt;2,VLOOKUP(A40,COPY!$A$2:$O$1000,13,FALSE),"")/E40,"")</f>
        <v/>
      </c>
      <c r="J40" s="546"/>
      <c r="K40" s="547" t="str">
        <f t="shared" si="1"/>
        <v/>
      </c>
      <c r="L40" s="548" t="str">
        <f t="shared" si="5"/>
        <v/>
      </c>
      <c r="M40" s="549">
        <f t="shared" si="3"/>
        <v>0</v>
      </c>
      <c r="O40" s="538" t="str">
        <f t="shared" si="6"/>
        <v/>
      </c>
      <c r="P40" s="550"/>
      <c r="Q40" s="551"/>
    </row>
    <row r="41" spans="1:17" s="253" customFormat="1" ht="20.100000000000001" hidden="1" customHeight="1" x14ac:dyDescent="0.25">
      <c r="A41" s="253" t="str">
        <f t="shared" si="4"/>
        <v/>
      </c>
      <c r="B41" s="584" t="str">
        <f>IF(LEN(A41)&gt;2,VLOOKUP(A41,COPY!$A$2:$O$1000,4,FALSE),"")</f>
        <v/>
      </c>
      <c r="C41" s="585" t="str">
        <f>IF(LEN(A41)&gt;2,VLOOKUP(A41,COPY!$A$2:$O$1000,15,FALSE),"")</f>
        <v/>
      </c>
      <c r="D41" s="542" t="str">
        <f>IF(LEN(A41)&gt;2,VLOOKUP(A41,COPY!$A$2:$O$1000,2,FALSE),"")</f>
        <v/>
      </c>
      <c r="E41" s="607" t="str">
        <f>IF(LEN(A41)&gt;2,VLOOKUP(A41,COPY!$A$2:$O$1000,10,FALSE),"")</f>
        <v/>
      </c>
      <c r="F41" s="542" t="str">
        <f>IF(LEN(A41)&gt;2,VLOOKUP(A41,COPY!$A$2:$O$1000,8,FALSE),"")</f>
        <v/>
      </c>
      <c r="G41" s="543" t="str">
        <f>IF(LEN(A41)&gt;2,VLOOKUP(A41,COPY!$A$2:$O$1000,7,FALSE),"")</f>
        <v/>
      </c>
      <c r="H41" s="544" t="str">
        <f t="shared" si="0"/>
        <v/>
      </c>
      <c r="I41" s="545" t="str">
        <f>IFERROR(IF(LEN(A41)&gt;2,VLOOKUP(A41,COPY!$A$2:$O$1000,13,FALSE),"")/E41,"")</f>
        <v/>
      </c>
      <c r="J41" s="546"/>
      <c r="K41" s="547" t="str">
        <f t="shared" si="1"/>
        <v/>
      </c>
      <c r="L41" s="548" t="str">
        <f t="shared" si="5"/>
        <v/>
      </c>
      <c r="M41" s="549">
        <f t="shared" si="3"/>
        <v>0</v>
      </c>
      <c r="O41" s="538" t="str">
        <f t="shared" si="6"/>
        <v/>
      </c>
      <c r="P41" s="550"/>
      <c r="Q41" s="551"/>
    </row>
    <row r="42" spans="1:17" s="253" customFormat="1" ht="20.100000000000001" hidden="1" customHeight="1" x14ac:dyDescent="0.25">
      <c r="A42" s="253" t="str">
        <f t="shared" si="4"/>
        <v/>
      </c>
      <c r="B42" s="584" t="str">
        <f>IF(LEN(A42)&gt;2,VLOOKUP(A42,COPY!$A$2:$O$1000,4,FALSE),"")</f>
        <v/>
      </c>
      <c r="C42" s="585" t="str">
        <f>IF(LEN(A42)&gt;2,VLOOKUP(A42,COPY!$A$2:$O$1000,15,FALSE),"")</f>
        <v/>
      </c>
      <c r="D42" s="542" t="str">
        <f>IF(LEN(A42)&gt;2,VLOOKUP(A42,COPY!$A$2:$O$1000,2,FALSE),"")</f>
        <v/>
      </c>
      <c r="E42" s="607" t="str">
        <f>IF(LEN(A42)&gt;2,VLOOKUP(A42,COPY!$A$2:$O$1000,10,FALSE),"")</f>
        <v/>
      </c>
      <c r="F42" s="542" t="str">
        <f>IF(LEN(A42)&gt;2,VLOOKUP(A42,COPY!$A$2:$O$1000,8,FALSE),"")</f>
        <v/>
      </c>
      <c r="G42" s="543" t="str">
        <f>IF(LEN(A42)&gt;2,VLOOKUP(A42,COPY!$A$2:$O$1000,7,FALSE),"")</f>
        <v/>
      </c>
      <c r="H42" s="544" t="str">
        <f t="shared" si="0"/>
        <v/>
      </c>
      <c r="I42" s="545" t="str">
        <f>IFERROR(IF(LEN(A42)&gt;2,VLOOKUP(A42,COPY!$A$2:$O$1000,13,FALSE),"")/E42,"")</f>
        <v/>
      </c>
      <c r="J42" s="546"/>
      <c r="K42" s="547" t="str">
        <f t="shared" si="1"/>
        <v/>
      </c>
      <c r="L42" s="548" t="str">
        <f t="shared" si="5"/>
        <v/>
      </c>
      <c r="M42" s="549">
        <f t="shared" si="3"/>
        <v>0</v>
      </c>
      <c r="O42" s="538" t="str">
        <f t="shared" si="6"/>
        <v/>
      </c>
      <c r="P42" s="550"/>
      <c r="Q42" s="551"/>
    </row>
    <row r="43" spans="1:17" s="253" customFormat="1" ht="20.100000000000001" hidden="1" customHeight="1" x14ac:dyDescent="0.25">
      <c r="A43" s="253" t="str">
        <f t="shared" si="4"/>
        <v/>
      </c>
      <c r="B43" s="584" t="str">
        <f>IF(LEN(A43)&gt;2,VLOOKUP(A43,COPY!$A$2:$O$1000,4,FALSE),"")</f>
        <v/>
      </c>
      <c r="C43" s="585" t="str">
        <f>IF(LEN(A43)&gt;2,VLOOKUP(A43,COPY!$A$2:$O$1000,15,FALSE),"")</f>
        <v/>
      </c>
      <c r="D43" s="542" t="str">
        <f>IF(LEN(A43)&gt;2,VLOOKUP(A43,COPY!$A$2:$O$1000,2,FALSE),"")</f>
        <v/>
      </c>
      <c r="E43" s="607" t="str">
        <f>IF(LEN(A43)&gt;2,VLOOKUP(A43,COPY!$A$2:$O$1000,10,FALSE),"")</f>
        <v/>
      </c>
      <c r="F43" s="542" t="str">
        <f>IF(LEN(A43)&gt;2,VLOOKUP(A43,COPY!$A$2:$O$1000,8,FALSE),"")</f>
        <v/>
      </c>
      <c r="G43" s="543" t="str">
        <f>IF(LEN(A43)&gt;2,VLOOKUP(A43,COPY!$A$2:$O$1000,7,FALSE),"")</f>
        <v/>
      </c>
      <c r="H43" s="544" t="str">
        <f t="shared" si="0"/>
        <v/>
      </c>
      <c r="I43" s="545" t="str">
        <f>IFERROR(IF(LEN(A43)&gt;2,VLOOKUP(A43,COPY!$A$2:$O$1000,13,FALSE),"")/E43,"")</f>
        <v/>
      </c>
      <c r="J43" s="546"/>
      <c r="K43" s="547" t="str">
        <f t="shared" si="1"/>
        <v/>
      </c>
      <c r="L43" s="548" t="str">
        <f t="shared" si="5"/>
        <v/>
      </c>
      <c r="M43" s="549">
        <f t="shared" si="3"/>
        <v>0</v>
      </c>
      <c r="O43" s="538" t="str">
        <f t="shared" si="6"/>
        <v/>
      </c>
      <c r="P43" s="550"/>
      <c r="Q43" s="551"/>
    </row>
    <row r="44" spans="1:17" s="253" customFormat="1" ht="20.100000000000001" hidden="1" customHeight="1" x14ac:dyDescent="0.25">
      <c r="A44" s="253" t="str">
        <f t="shared" si="4"/>
        <v/>
      </c>
      <c r="B44" s="584" t="str">
        <f>IF(LEN(A44)&gt;2,VLOOKUP(A44,COPY!$A$2:$O$1000,4,FALSE),"")</f>
        <v/>
      </c>
      <c r="C44" s="585" t="str">
        <f>IF(LEN(A44)&gt;2,VLOOKUP(A44,COPY!$A$2:$O$1000,15,FALSE),"")</f>
        <v/>
      </c>
      <c r="D44" s="542" t="str">
        <f>IF(LEN(A44)&gt;2,VLOOKUP(A44,COPY!$A$2:$O$1000,2,FALSE),"")</f>
        <v/>
      </c>
      <c r="E44" s="607" t="str">
        <f>IF(LEN(A44)&gt;2,VLOOKUP(A44,COPY!$A$2:$O$1000,10,FALSE),"")</f>
        <v/>
      </c>
      <c r="F44" s="542" t="str">
        <f>IF(LEN(A44)&gt;2,VLOOKUP(A44,COPY!$A$2:$O$1000,8,FALSE),"")</f>
        <v/>
      </c>
      <c r="G44" s="543" t="str">
        <f>IF(LEN(A44)&gt;2,VLOOKUP(A44,COPY!$A$2:$O$1000,7,FALSE),"")</f>
        <v/>
      </c>
      <c r="H44" s="544" t="str">
        <f t="shared" si="0"/>
        <v/>
      </c>
      <c r="I44" s="545" t="str">
        <f>IFERROR(IF(LEN(A44)&gt;2,VLOOKUP(A44,COPY!$A$2:$O$1000,13,FALSE),"")/E44,"")</f>
        <v/>
      </c>
      <c r="J44" s="546"/>
      <c r="K44" s="547" t="str">
        <f t="shared" si="1"/>
        <v/>
      </c>
      <c r="L44" s="548" t="str">
        <f t="shared" si="5"/>
        <v/>
      </c>
      <c r="M44" s="549">
        <f t="shared" si="3"/>
        <v>0</v>
      </c>
      <c r="O44" s="538" t="str">
        <f t="shared" si="6"/>
        <v/>
      </c>
      <c r="P44" s="550"/>
      <c r="Q44" s="551"/>
    </row>
    <row r="45" spans="1:17" s="253" customFormat="1" ht="20.100000000000001" hidden="1" customHeight="1" x14ac:dyDescent="0.25">
      <c r="A45" s="253" t="str">
        <f t="shared" si="4"/>
        <v/>
      </c>
      <c r="B45" s="584" t="str">
        <f>IF(LEN(A45)&gt;2,VLOOKUP(A45,COPY!$A$2:$O$1000,4,FALSE),"")</f>
        <v/>
      </c>
      <c r="C45" s="585" t="str">
        <f>IF(LEN(A45)&gt;2,VLOOKUP(A45,COPY!$A$2:$O$1000,15,FALSE),"")</f>
        <v/>
      </c>
      <c r="D45" s="542" t="str">
        <f>IF(LEN(A45)&gt;2,VLOOKUP(A45,COPY!$A$2:$O$1000,2,FALSE),"")</f>
        <v/>
      </c>
      <c r="E45" s="607" t="str">
        <f>IF(LEN(A45)&gt;2,VLOOKUP(A45,COPY!$A$2:$O$1000,10,FALSE),"")</f>
        <v/>
      </c>
      <c r="F45" s="542" t="str">
        <f>IF(LEN(A45)&gt;2,VLOOKUP(A45,COPY!$A$2:$O$1000,8,FALSE),"")</f>
        <v/>
      </c>
      <c r="G45" s="543" t="str">
        <f>IF(LEN(A45)&gt;2,VLOOKUP(A45,COPY!$A$2:$O$1000,7,FALSE),"")</f>
        <v/>
      </c>
      <c r="H45" s="544" t="str">
        <f t="shared" si="0"/>
        <v/>
      </c>
      <c r="I45" s="545" t="str">
        <f>IFERROR(IF(LEN(A45)&gt;2,VLOOKUP(A45,COPY!$A$2:$O$1000,13,FALSE),"")/E45,"")</f>
        <v/>
      </c>
      <c r="J45" s="546"/>
      <c r="K45" s="547" t="str">
        <f t="shared" si="1"/>
        <v/>
      </c>
      <c r="L45" s="548" t="str">
        <f t="shared" si="5"/>
        <v/>
      </c>
      <c r="M45" s="549">
        <f t="shared" si="3"/>
        <v>0</v>
      </c>
      <c r="O45" s="538" t="str">
        <f t="shared" si="6"/>
        <v/>
      </c>
      <c r="P45" s="550"/>
      <c r="Q45" s="551"/>
    </row>
    <row r="46" spans="1:17" s="253" customFormat="1" ht="20.100000000000001" hidden="1" customHeight="1" x14ac:dyDescent="0.25">
      <c r="A46" s="253" t="str">
        <f t="shared" si="4"/>
        <v/>
      </c>
      <c r="B46" s="584" t="str">
        <f>IF(LEN(A46)&gt;2,VLOOKUP(A46,COPY!$A$2:$O$1000,4,FALSE),"")</f>
        <v/>
      </c>
      <c r="C46" s="585" t="str">
        <f>IF(LEN(A46)&gt;2,VLOOKUP(A46,COPY!$A$2:$O$1000,15,FALSE),"")</f>
        <v/>
      </c>
      <c r="D46" s="542" t="str">
        <f>IF(LEN(A46)&gt;2,VLOOKUP(A46,COPY!$A$2:$O$1000,2,FALSE),"")</f>
        <v/>
      </c>
      <c r="E46" s="607" t="str">
        <f>IF(LEN(A46)&gt;2,VLOOKUP(A46,COPY!$A$2:$O$1000,10,FALSE),"")</f>
        <v/>
      </c>
      <c r="F46" s="542" t="str">
        <f>IF(LEN(A46)&gt;2,VLOOKUP(A46,COPY!$A$2:$O$1000,8,FALSE),"")</f>
        <v/>
      </c>
      <c r="G46" s="543" t="str">
        <f>IF(LEN(A46)&gt;2,VLOOKUP(A46,COPY!$A$2:$O$1000,7,FALSE),"")</f>
        <v/>
      </c>
      <c r="H46" s="544" t="str">
        <f t="shared" si="0"/>
        <v/>
      </c>
      <c r="I46" s="545" t="str">
        <f>IFERROR(IF(LEN(A46)&gt;2,VLOOKUP(A46,COPY!$A$2:$O$1000,13,FALSE),"")/E46,"")</f>
        <v/>
      </c>
      <c r="J46" s="546"/>
      <c r="K46" s="547" t="str">
        <f t="shared" si="1"/>
        <v/>
      </c>
      <c r="L46" s="548" t="str">
        <f t="shared" si="5"/>
        <v/>
      </c>
      <c r="M46" s="549">
        <f t="shared" si="3"/>
        <v>0</v>
      </c>
      <c r="O46" s="538" t="str">
        <f t="shared" si="6"/>
        <v/>
      </c>
      <c r="P46" s="550"/>
      <c r="Q46" s="551"/>
    </row>
    <row r="47" spans="1:17" s="253" customFormat="1" ht="20.100000000000001" hidden="1" customHeight="1" x14ac:dyDescent="0.25">
      <c r="A47" s="253" t="str">
        <f t="shared" si="4"/>
        <v/>
      </c>
      <c r="B47" s="584" t="str">
        <f>IF(LEN(A47)&gt;2,VLOOKUP(A47,COPY!$A$2:$O$1000,4,FALSE),"")</f>
        <v/>
      </c>
      <c r="C47" s="585" t="str">
        <f>IF(LEN(A47)&gt;2,VLOOKUP(A47,COPY!$A$2:$O$1000,15,FALSE),"")</f>
        <v/>
      </c>
      <c r="D47" s="542" t="str">
        <f>IF(LEN(A47)&gt;2,VLOOKUP(A47,COPY!$A$2:$O$1000,2,FALSE),"")</f>
        <v/>
      </c>
      <c r="E47" s="607" t="str">
        <f>IF(LEN(A47)&gt;2,VLOOKUP(A47,COPY!$A$2:$O$1000,10,FALSE),"")</f>
        <v/>
      </c>
      <c r="F47" s="542" t="str">
        <f>IF(LEN(A47)&gt;2,VLOOKUP(A47,COPY!$A$2:$O$1000,8,FALSE),"")</f>
        <v/>
      </c>
      <c r="G47" s="543" t="str">
        <f>IF(LEN(A47)&gt;2,VLOOKUP(A47,COPY!$A$2:$O$1000,7,FALSE),"")</f>
        <v/>
      </c>
      <c r="H47" s="544" t="str">
        <f t="shared" si="0"/>
        <v/>
      </c>
      <c r="I47" s="545" t="str">
        <f>IFERROR(IF(LEN(A47)&gt;2,VLOOKUP(A47,COPY!$A$2:$O$1000,13,FALSE),"")/E47,"")</f>
        <v/>
      </c>
      <c r="J47" s="546"/>
      <c r="K47" s="547" t="str">
        <f t="shared" si="1"/>
        <v/>
      </c>
      <c r="L47" s="548" t="str">
        <f t="shared" si="5"/>
        <v/>
      </c>
      <c r="M47" s="549">
        <f t="shared" si="3"/>
        <v>0</v>
      </c>
      <c r="O47" s="538" t="str">
        <f t="shared" si="6"/>
        <v/>
      </c>
      <c r="P47" s="550"/>
      <c r="Q47" s="551"/>
    </row>
    <row r="48" spans="1:17" s="253" customFormat="1" ht="20.100000000000001" hidden="1" customHeight="1" x14ac:dyDescent="0.25">
      <c r="A48" s="253" t="str">
        <f t="shared" si="4"/>
        <v/>
      </c>
      <c r="B48" s="584" t="str">
        <f>IF(LEN(A48)&gt;2,VLOOKUP(A48,COPY!$A$2:$O$1000,4,FALSE),"")</f>
        <v/>
      </c>
      <c r="C48" s="585" t="str">
        <f>IF(LEN(A48)&gt;2,VLOOKUP(A48,COPY!$A$2:$O$1000,15,FALSE),"")</f>
        <v/>
      </c>
      <c r="D48" s="542" t="str">
        <f>IF(LEN(A48)&gt;2,VLOOKUP(A48,COPY!$A$2:$O$1000,2,FALSE),"")</f>
        <v/>
      </c>
      <c r="E48" s="607" t="str">
        <f>IF(LEN(A48)&gt;2,VLOOKUP(A48,COPY!$A$2:$O$1000,10,FALSE),"")</f>
        <v/>
      </c>
      <c r="F48" s="542" t="str">
        <f>IF(LEN(A48)&gt;2,VLOOKUP(A48,COPY!$A$2:$O$1000,8,FALSE),"")</f>
        <v/>
      </c>
      <c r="G48" s="543" t="str">
        <f>IF(LEN(A48)&gt;2,VLOOKUP(A48,COPY!$A$2:$O$1000,7,FALSE),"")</f>
        <v/>
      </c>
      <c r="H48" s="544" t="str">
        <f t="shared" si="0"/>
        <v/>
      </c>
      <c r="I48" s="545" t="str">
        <f>IFERROR(IF(LEN(A48)&gt;2,VLOOKUP(A48,COPY!$A$2:$O$1000,13,FALSE),"")/E48,"")</f>
        <v/>
      </c>
      <c r="J48" s="546"/>
      <c r="K48" s="547" t="str">
        <f t="shared" si="1"/>
        <v/>
      </c>
      <c r="L48" s="548" t="str">
        <f t="shared" si="5"/>
        <v/>
      </c>
      <c r="M48" s="549">
        <f t="shared" si="3"/>
        <v>0</v>
      </c>
      <c r="O48" s="538" t="str">
        <f t="shared" si="6"/>
        <v/>
      </c>
      <c r="P48" s="550"/>
      <c r="Q48" s="551"/>
    </row>
    <row r="49" spans="1:17" s="253" customFormat="1" ht="20.100000000000001" hidden="1" customHeight="1" x14ac:dyDescent="0.25">
      <c r="A49" s="253" t="str">
        <f t="shared" si="4"/>
        <v/>
      </c>
      <c r="B49" s="584" t="str">
        <f>IF(LEN(A49)&gt;2,VLOOKUP(A49,COPY!$A$2:$O$1000,4,FALSE),"")</f>
        <v/>
      </c>
      <c r="C49" s="585" t="str">
        <f>IF(LEN(A49)&gt;2,VLOOKUP(A49,COPY!$A$2:$O$1000,15,FALSE),"")</f>
        <v/>
      </c>
      <c r="D49" s="542" t="str">
        <f>IF(LEN(A49)&gt;2,VLOOKUP(A49,COPY!$A$2:$O$1000,2,FALSE),"")</f>
        <v/>
      </c>
      <c r="E49" s="607" t="str">
        <f>IF(LEN(A49)&gt;2,VLOOKUP(A49,COPY!$A$2:$O$1000,10,FALSE),"")</f>
        <v/>
      </c>
      <c r="F49" s="542" t="str">
        <f>IF(LEN(A49)&gt;2,VLOOKUP(A49,COPY!$A$2:$O$1000,8,FALSE),"")</f>
        <v/>
      </c>
      <c r="G49" s="543" t="str">
        <f>IF(LEN(A49)&gt;2,VLOOKUP(A49,COPY!$A$2:$O$1000,7,FALSE),"")</f>
        <v/>
      </c>
      <c r="H49" s="544" t="str">
        <f t="shared" si="0"/>
        <v/>
      </c>
      <c r="I49" s="545" t="str">
        <f>IFERROR(IF(LEN(A49)&gt;2,VLOOKUP(A49,COPY!$A$2:$O$1000,13,FALSE),"")/E49,"")</f>
        <v/>
      </c>
      <c r="J49" s="546"/>
      <c r="K49" s="547" t="str">
        <f t="shared" si="1"/>
        <v/>
      </c>
      <c r="L49" s="548" t="str">
        <f t="shared" si="5"/>
        <v/>
      </c>
      <c r="M49" s="549">
        <f t="shared" si="3"/>
        <v>0</v>
      </c>
      <c r="O49" s="538" t="str">
        <f t="shared" si="6"/>
        <v/>
      </c>
      <c r="P49" s="550"/>
      <c r="Q49" s="551"/>
    </row>
    <row r="50" spans="1:17" s="253" customFormat="1" ht="20.100000000000001" hidden="1" customHeight="1" x14ac:dyDescent="0.25">
      <c r="A50" s="253" t="str">
        <f t="shared" si="4"/>
        <v/>
      </c>
      <c r="B50" s="584" t="str">
        <f>IF(LEN(A50)&gt;2,VLOOKUP(A50,COPY!$A$2:$O$1000,4,FALSE),"")</f>
        <v/>
      </c>
      <c r="C50" s="585" t="str">
        <f>IF(LEN(A50)&gt;2,VLOOKUP(A50,COPY!$A$2:$O$1000,15,FALSE),"")</f>
        <v/>
      </c>
      <c r="D50" s="542" t="str">
        <f>IF(LEN(A50)&gt;2,VLOOKUP(A50,COPY!$A$2:$O$1000,2,FALSE),"")</f>
        <v/>
      </c>
      <c r="E50" s="607" t="str">
        <f>IF(LEN(A50)&gt;2,VLOOKUP(A50,COPY!$A$2:$O$1000,10,FALSE),"")</f>
        <v/>
      </c>
      <c r="F50" s="542" t="str">
        <f>IF(LEN(A50)&gt;2,VLOOKUP(A50,COPY!$A$2:$O$1000,8,FALSE),"")</f>
        <v/>
      </c>
      <c r="G50" s="543" t="str">
        <f>IF(LEN(A50)&gt;2,VLOOKUP(A50,COPY!$A$2:$O$1000,7,FALSE),"")</f>
        <v/>
      </c>
      <c r="H50" s="544" t="str">
        <f t="shared" si="0"/>
        <v/>
      </c>
      <c r="I50" s="545" t="str">
        <f>IFERROR(IF(LEN(A50)&gt;2,VLOOKUP(A50,COPY!$A$2:$O$1000,13,FALSE),"")/E50,"")</f>
        <v/>
      </c>
      <c r="J50" s="546"/>
      <c r="K50" s="547" t="str">
        <f t="shared" si="1"/>
        <v/>
      </c>
      <c r="L50" s="548" t="str">
        <f t="shared" si="5"/>
        <v/>
      </c>
      <c r="M50" s="549">
        <f t="shared" si="3"/>
        <v>0</v>
      </c>
      <c r="O50" s="538" t="str">
        <f t="shared" si="6"/>
        <v/>
      </c>
      <c r="P50" s="550"/>
      <c r="Q50" s="551"/>
    </row>
    <row r="51" spans="1:17" s="253" customFormat="1" ht="20.100000000000001" hidden="1" customHeight="1" x14ac:dyDescent="0.25">
      <c r="A51" s="253" t="str">
        <f t="shared" si="4"/>
        <v/>
      </c>
      <c r="B51" s="584" t="str">
        <f>IF(LEN(A51)&gt;2,VLOOKUP(A51,COPY!$A$2:$O$1000,4,FALSE),"")</f>
        <v/>
      </c>
      <c r="C51" s="585" t="str">
        <f>IF(LEN(A51)&gt;2,VLOOKUP(A51,COPY!$A$2:$O$1000,15,FALSE),"")</f>
        <v/>
      </c>
      <c r="D51" s="542" t="str">
        <f>IF(LEN(A51)&gt;2,VLOOKUP(A51,COPY!$A$2:$O$1000,2,FALSE),"")</f>
        <v/>
      </c>
      <c r="E51" s="607" t="str">
        <f>IF(LEN(A51)&gt;2,VLOOKUP(A51,COPY!$A$2:$O$1000,10,FALSE),"")</f>
        <v/>
      </c>
      <c r="F51" s="542" t="str">
        <f>IF(LEN(A51)&gt;2,VLOOKUP(A51,COPY!$A$2:$O$1000,8,FALSE),"")</f>
        <v/>
      </c>
      <c r="G51" s="543" t="str">
        <f>IF(LEN(A51)&gt;2,VLOOKUP(A51,COPY!$A$2:$O$1000,7,FALSE),"")</f>
        <v/>
      </c>
      <c r="H51" s="544" t="str">
        <f t="shared" si="0"/>
        <v/>
      </c>
      <c r="I51" s="545" t="str">
        <f>IFERROR(IF(LEN(A51)&gt;2,VLOOKUP(A51,COPY!$A$2:$O$1000,13,FALSE),"")/E51,"")</f>
        <v/>
      </c>
      <c r="J51" s="546"/>
      <c r="K51" s="547" t="str">
        <f t="shared" si="1"/>
        <v/>
      </c>
      <c r="L51" s="548" t="str">
        <f t="shared" si="5"/>
        <v/>
      </c>
      <c r="M51" s="549">
        <f t="shared" si="3"/>
        <v>0</v>
      </c>
      <c r="O51" s="538" t="str">
        <f t="shared" si="6"/>
        <v/>
      </c>
      <c r="P51" s="550"/>
      <c r="Q51" s="551"/>
    </row>
    <row r="52" spans="1:17" s="253" customFormat="1" ht="20.100000000000001" hidden="1" customHeight="1" x14ac:dyDescent="0.25">
      <c r="A52" s="253" t="str">
        <f t="shared" si="4"/>
        <v/>
      </c>
      <c r="B52" s="584" t="str">
        <f>IF(LEN(A52)&gt;2,VLOOKUP(A52,COPY!$A$2:$O$1000,4,FALSE),"")</f>
        <v/>
      </c>
      <c r="C52" s="585" t="str">
        <f>IF(LEN(A52)&gt;2,VLOOKUP(A52,COPY!$A$2:$O$1000,15,FALSE),"")</f>
        <v/>
      </c>
      <c r="D52" s="542" t="str">
        <f>IF(LEN(A52)&gt;2,VLOOKUP(A52,COPY!$A$2:$O$1000,2,FALSE),"")</f>
        <v/>
      </c>
      <c r="E52" s="607" t="str">
        <f>IF(LEN(A52)&gt;2,VLOOKUP(A52,COPY!$A$2:$O$1000,10,FALSE),"")</f>
        <v/>
      </c>
      <c r="F52" s="542" t="str">
        <f>IF(LEN(A52)&gt;2,VLOOKUP(A52,COPY!$A$2:$O$1000,8,FALSE),"")</f>
        <v/>
      </c>
      <c r="G52" s="543" t="str">
        <f>IF(LEN(A52)&gt;2,VLOOKUP(A52,COPY!$A$2:$O$1000,7,FALSE),"")</f>
        <v/>
      </c>
      <c r="H52" s="544" t="str">
        <f t="shared" si="0"/>
        <v/>
      </c>
      <c r="I52" s="545" t="str">
        <f>IFERROR(IF(LEN(A52)&gt;2,VLOOKUP(A52,COPY!$A$2:$O$1000,13,FALSE),"")/E52,"")</f>
        <v/>
      </c>
      <c r="J52" s="546"/>
      <c r="K52" s="547" t="str">
        <f t="shared" si="1"/>
        <v/>
      </c>
      <c r="L52" s="548" t="str">
        <f t="shared" si="5"/>
        <v/>
      </c>
      <c r="M52" s="549">
        <f t="shared" si="3"/>
        <v>0</v>
      </c>
      <c r="O52" s="538" t="str">
        <f t="shared" si="6"/>
        <v/>
      </c>
      <c r="P52" s="550"/>
      <c r="Q52" s="551"/>
    </row>
    <row r="53" spans="1:17" s="253" customFormat="1" ht="20.100000000000001" hidden="1" customHeight="1" x14ac:dyDescent="0.25">
      <c r="A53" s="253" t="str">
        <f t="shared" si="4"/>
        <v/>
      </c>
      <c r="B53" s="584" t="str">
        <f>IF(LEN(A53)&gt;2,VLOOKUP(A53,COPY!$A$2:$O$1000,4,FALSE),"")</f>
        <v/>
      </c>
      <c r="C53" s="585" t="str">
        <f>IF(LEN(A53)&gt;2,VLOOKUP(A53,COPY!$A$2:$O$1000,15,FALSE),"")</f>
        <v/>
      </c>
      <c r="D53" s="542" t="str">
        <f>IF(LEN(A53)&gt;2,VLOOKUP(A53,COPY!$A$2:$O$1000,2,FALSE),"")</f>
        <v/>
      </c>
      <c r="E53" s="607" t="str">
        <f>IF(LEN(A53)&gt;2,VLOOKUP(A53,COPY!$A$2:$O$1000,10,FALSE),"")</f>
        <v/>
      </c>
      <c r="F53" s="542" t="str">
        <f>IF(LEN(A53)&gt;2,VLOOKUP(A53,COPY!$A$2:$O$1000,8,FALSE),"")</f>
        <v/>
      </c>
      <c r="G53" s="543" t="str">
        <f>IF(LEN(A53)&gt;2,VLOOKUP(A53,COPY!$A$2:$O$1000,7,FALSE),"")</f>
        <v/>
      </c>
      <c r="H53" s="544" t="str">
        <f t="shared" si="0"/>
        <v/>
      </c>
      <c r="I53" s="545" t="str">
        <f>IFERROR(IF(LEN(A53)&gt;2,VLOOKUP(A53,COPY!$A$2:$O$1000,13,FALSE),"")/E53,"")</f>
        <v/>
      </c>
      <c r="J53" s="546"/>
      <c r="K53" s="547" t="str">
        <f t="shared" si="1"/>
        <v/>
      </c>
      <c r="L53" s="548" t="str">
        <f t="shared" si="5"/>
        <v/>
      </c>
      <c r="M53" s="549">
        <f t="shared" si="3"/>
        <v>0</v>
      </c>
      <c r="O53" s="538" t="str">
        <f t="shared" si="6"/>
        <v/>
      </c>
      <c r="P53" s="550"/>
      <c r="Q53" s="551"/>
    </row>
    <row r="54" spans="1:17" s="253" customFormat="1" ht="20.100000000000001" hidden="1" customHeight="1" x14ac:dyDescent="0.25">
      <c r="A54" s="253" t="str">
        <f t="shared" si="4"/>
        <v/>
      </c>
      <c r="B54" s="584" t="str">
        <f>IF(LEN(A54)&gt;2,VLOOKUP(A54,COPY!$A$2:$O$1000,4,FALSE),"")</f>
        <v/>
      </c>
      <c r="C54" s="585" t="str">
        <f>IF(LEN(A54)&gt;2,VLOOKUP(A54,COPY!$A$2:$O$1000,15,FALSE),"")</f>
        <v/>
      </c>
      <c r="D54" s="542" t="str">
        <f>IF(LEN(A54)&gt;2,VLOOKUP(A54,COPY!$A$2:$O$1000,2,FALSE),"")</f>
        <v/>
      </c>
      <c r="E54" s="607" t="str">
        <f>IF(LEN(A54)&gt;2,VLOOKUP(A54,COPY!$A$2:$O$1000,10,FALSE),"")</f>
        <v/>
      </c>
      <c r="F54" s="542" t="str">
        <f>IF(LEN(A54)&gt;2,VLOOKUP(A54,COPY!$A$2:$O$1000,8,FALSE),"")</f>
        <v/>
      </c>
      <c r="G54" s="543" t="str">
        <f>IF(LEN(A54)&gt;2,VLOOKUP(A54,COPY!$A$2:$O$1000,7,FALSE),"")</f>
        <v/>
      </c>
      <c r="H54" s="544" t="str">
        <f t="shared" si="0"/>
        <v/>
      </c>
      <c r="I54" s="545" t="str">
        <f>IFERROR(IF(LEN(A54)&gt;2,VLOOKUP(A54,COPY!$A$2:$O$1000,13,FALSE),"")/E54,"")</f>
        <v/>
      </c>
      <c r="J54" s="546"/>
      <c r="K54" s="547" t="str">
        <f t="shared" si="1"/>
        <v/>
      </c>
      <c r="L54" s="548" t="str">
        <f t="shared" si="5"/>
        <v/>
      </c>
      <c r="M54" s="549">
        <f t="shared" si="3"/>
        <v>0</v>
      </c>
      <c r="O54" s="538" t="str">
        <f t="shared" si="6"/>
        <v/>
      </c>
      <c r="P54" s="550"/>
      <c r="Q54" s="551"/>
    </row>
    <row r="55" spans="1:17" s="253" customFormat="1" ht="20.100000000000001" hidden="1" customHeight="1" x14ac:dyDescent="0.25">
      <c r="A55" s="253" t="str">
        <f t="shared" si="4"/>
        <v/>
      </c>
      <c r="B55" s="584" t="str">
        <f>IF(LEN(A55)&gt;2,VLOOKUP(A55,COPY!$A$2:$O$1000,4,FALSE),"")</f>
        <v/>
      </c>
      <c r="C55" s="585" t="str">
        <f>IF(LEN(A55)&gt;2,VLOOKUP(A55,COPY!$A$2:$O$1000,15,FALSE),"")</f>
        <v/>
      </c>
      <c r="D55" s="542" t="str">
        <f>IF(LEN(A55)&gt;2,VLOOKUP(A55,COPY!$A$2:$O$1000,2,FALSE),"")</f>
        <v/>
      </c>
      <c r="E55" s="607" t="str">
        <f>IF(LEN(A55)&gt;2,VLOOKUP(A55,COPY!$A$2:$O$1000,10,FALSE),"")</f>
        <v/>
      </c>
      <c r="F55" s="542" t="str">
        <f>IF(LEN(A55)&gt;2,VLOOKUP(A55,COPY!$A$2:$O$1000,8,FALSE),"")</f>
        <v/>
      </c>
      <c r="G55" s="543" t="str">
        <f>IF(LEN(A55)&gt;2,VLOOKUP(A55,COPY!$A$2:$O$1000,7,FALSE),"")</f>
        <v/>
      </c>
      <c r="H55" s="544" t="str">
        <f t="shared" si="0"/>
        <v/>
      </c>
      <c r="I55" s="545" t="str">
        <f>IFERROR(IF(LEN(A55)&gt;2,VLOOKUP(A55,COPY!$A$2:$O$1000,13,FALSE),"")/E55,"")</f>
        <v/>
      </c>
      <c r="J55" s="546"/>
      <c r="K55" s="547" t="str">
        <f t="shared" si="1"/>
        <v/>
      </c>
      <c r="L55" s="548" t="str">
        <f t="shared" si="5"/>
        <v/>
      </c>
      <c r="M55" s="549">
        <f t="shared" si="3"/>
        <v>0</v>
      </c>
      <c r="O55" s="538" t="str">
        <f t="shared" si="6"/>
        <v/>
      </c>
      <c r="P55" s="550"/>
      <c r="Q55" s="551"/>
    </row>
    <row r="56" spans="1:17" s="253" customFormat="1" ht="20.100000000000001" hidden="1" customHeight="1" x14ac:dyDescent="0.25">
      <c r="A56" s="253" t="str">
        <f t="shared" si="4"/>
        <v/>
      </c>
      <c r="B56" s="584" t="str">
        <f>IF(LEN(A56)&gt;2,VLOOKUP(A56,COPY!$A$2:$O$1000,4,FALSE),"")</f>
        <v/>
      </c>
      <c r="C56" s="585" t="str">
        <f>IF(LEN(A56)&gt;2,VLOOKUP(A56,COPY!$A$2:$O$1000,15,FALSE),"")</f>
        <v/>
      </c>
      <c r="D56" s="542" t="str">
        <f>IF(LEN(A56)&gt;2,VLOOKUP(A56,COPY!$A$2:$O$1000,2,FALSE),"")</f>
        <v/>
      </c>
      <c r="E56" s="607" t="str">
        <f>IF(LEN(A56)&gt;2,VLOOKUP(A56,COPY!$A$2:$O$1000,10,FALSE),"")</f>
        <v/>
      </c>
      <c r="F56" s="542" t="str">
        <f>IF(LEN(A56)&gt;2,VLOOKUP(A56,COPY!$A$2:$O$1000,8,FALSE),"")</f>
        <v/>
      </c>
      <c r="G56" s="543" t="str">
        <f>IF(LEN(A56)&gt;2,VLOOKUP(A56,COPY!$A$2:$O$1000,7,FALSE),"")</f>
        <v/>
      </c>
      <c r="H56" s="544" t="str">
        <f t="shared" si="0"/>
        <v/>
      </c>
      <c r="I56" s="545" t="str">
        <f>IFERROR(IF(LEN(A56)&gt;2,VLOOKUP(A56,COPY!$A$2:$O$1000,13,FALSE),"")/E56,"")</f>
        <v/>
      </c>
      <c r="J56" s="546"/>
      <c r="K56" s="547" t="str">
        <f t="shared" si="1"/>
        <v/>
      </c>
      <c r="L56" s="548" t="str">
        <f t="shared" si="5"/>
        <v/>
      </c>
      <c r="M56" s="549">
        <f t="shared" si="3"/>
        <v>0</v>
      </c>
      <c r="O56" s="538" t="str">
        <f t="shared" si="6"/>
        <v/>
      </c>
      <c r="P56" s="550"/>
      <c r="Q56" s="551"/>
    </row>
    <row r="57" spans="1:17" s="253" customFormat="1" ht="20.100000000000001" hidden="1" customHeight="1" x14ac:dyDescent="0.25">
      <c r="A57" s="253" t="str">
        <f t="shared" si="4"/>
        <v/>
      </c>
      <c r="B57" s="584" t="str">
        <f>IF(LEN(A57)&gt;2,VLOOKUP(A57,COPY!$A$2:$O$1000,4,FALSE),"")</f>
        <v/>
      </c>
      <c r="C57" s="585" t="str">
        <f>IF(LEN(A57)&gt;2,VLOOKUP(A57,COPY!$A$2:$O$1000,15,FALSE),"")</f>
        <v/>
      </c>
      <c r="D57" s="542" t="str">
        <f>IF(LEN(A57)&gt;2,VLOOKUP(A57,COPY!$A$2:$O$1000,2,FALSE),"")</f>
        <v/>
      </c>
      <c r="E57" s="607" t="str">
        <f>IF(LEN(A57)&gt;2,VLOOKUP(A57,COPY!$A$2:$O$1000,10,FALSE),"")</f>
        <v/>
      </c>
      <c r="F57" s="542" t="str">
        <f>IF(LEN(A57)&gt;2,VLOOKUP(A57,COPY!$A$2:$O$1000,8,FALSE),"")</f>
        <v/>
      </c>
      <c r="G57" s="543" t="str">
        <f>IF(LEN(A57)&gt;2,VLOOKUP(A57,COPY!$A$2:$O$1000,7,FALSE),"")</f>
        <v/>
      </c>
      <c r="H57" s="544" t="str">
        <f t="shared" si="0"/>
        <v/>
      </c>
      <c r="I57" s="545" t="str">
        <f>IFERROR(IF(LEN(A57)&gt;2,VLOOKUP(A57,COPY!$A$2:$O$1000,13,FALSE),"")/E57,"")</f>
        <v/>
      </c>
      <c r="J57" s="546"/>
      <c r="K57" s="547" t="str">
        <f t="shared" si="1"/>
        <v/>
      </c>
      <c r="L57" s="548" t="str">
        <f t="shared" si="5"/>
        <v/>
      </c>
      <c r="M57" s="549">
        <f t="shared" si="3"/>
        <v>0</v>
      </c>
      <c r="O57" s="538" t="str">
        <f t="shared" si="6"/>
        <v/>
      </c>
      <c r="P57" s="550"/>
      <c r="Q57" s="551"/>
    </row>
    <row r="58" spans="1:17" s="253" customFormat="1" ht="20.100000000000001" hidden="1" customHeight="1" x14ac:dyDescent="0.25">
      <c r="A58" s="253" t="str">
        <f t="shared" si="4"/>
        <v/>
      </c>
      <c r="B58" s="584" t="str">
        <f>IF(LEN(A58)&gt;2,VLOOKUP(A58,COPY!$A$2:$O$1000,4,FALSE),"")</f>
        <v/>
      </c>
      <c r="C58" s="585" t="str">
        <f>IF(LEN(A58)&gt;2,VLOOKUP(A58,COPY!$A$2:$O$1000,15,FALSE),"")</f>
        <v/>
      </c>
      <c r="D58" s="542" t="str">
        <f>IF(LEN(A58)&gt;2,VLOOKUP(A58,COPY!$A$2:$O$1000,2,FALSE),"")</f>
        <v/>
      </c>
      <c r="E58" s="607" t="str">
        <f>IF(LEN(A58)&gt;2,VLOOKUP(A58,COPY!$A$2:$O$1000,10,FALSE),"")</f>
        <v/>
      </c>
      <c r="F58" s="542" t="str">
        <f>IF(LEN(A58)&gt;2,VLOOKUP(A58,COPY!$A$2:$O$1000,8,FALSE),"")</f>
        <v/>
      </c>
      <c r="G58" s="543" t="str">
        <f>IF(LEN(A58)&gt;2,VLOOKUP(A58,COPY!$A$2:$O$1000,7,FALSE),"")</f>
        <v/>
      </c>
      <c r="H58" s="544" t="str">
        <f t="shared" si="0"/>
        <v/>
      </c>
      <c r="I58" s="545" t="str">
        <f>IFERROR(IF(LEN(A58)&gt;2,VLOOKUP(A58,COPY!$A$2:$O$1000,13,FALSE),"")/E58,"")</f>
        <v/>
      </c>
      <c r="J58" s="546"/>
      <c r="K58" s="547" t="str">
        <f t="shared" si="1"/>
        <v/>
      </c>
      <c r="L58" s="548" t="str">
        <f t="shared" si="5"/>
        <v/>
      </c>
      <c r="M58" s="549">
        <f t="shared" si="3"/>
        <v>0</v>
      </c>
      <c r="O58" s="538" t="str">
        <f t="shared" si="6"/>
        <v/>
      </c>
      <c r="P58" s="550"/>
      <c r="Q58" s="551"/>
    </row>
    <row r="59" spans="1:17" s="253" customFormat="1" ht="20.100000000000001" hidden="1" customHeight="1" x14ac:dyDescent="0.25">
      <c r="A59" s="253" t="str">
        <f t="shared" si="4"/>
        <v/>
      </c>
      <c r="B59" s="584" t="str">
        <f>IF(LEN(A59)&gt;2,VLOOKUP(A59,COPY!$A$2:$O$1000,4,FALSE),"")</f>
        <v/>
      </c>
      <c r="C59" s="585" t="str">
        <f>IF(LEN(A59)&gt;2,VLOOKUP(A59,COPY!$A$2:$O$1000,15,FALSE),"")</f>
        <v/>
      </c>
      <c r="D59" s="542" t="str">
        <f>IF(LEN(A59)&gt;2,VLOOKUP(A59,COPY!$A$2:$O$1000,2,FALSE),"")</f>
        <v/>
      </c>
      <c r="E59" s="607" t="str">
        <f>IF(LEN(A59)&gt;2,VLOOKUP(A59,COPY!$A$2:$O$1000,10,FALSE),"")</f>
        <v/>
      </c>
      <c r="F59" s="542" t="str">
        <f>IF(LEN(A59)&gt;2,VLOOKUP(A59,COPY!$A$2:$O$1000,8,FALSE),"")</f>
        <v/>
      </c>
      <c r="G59" s="543" t="str">
        <f>IF(LEN(A59)&gt;2,VLOOKUP(A59,COPY!$A$2:$O$1000,7,FALSE),"")</f>
        <v/>
      </c>
      <c r="H59" s="544" t="str">
        <f t="shared" si="0"/>
        <v/>
      </c>
      <c r="I59" s="545" t="str">
        <f>IFERROR(IF(LEN(A59)&gt;2,VLOOKUP(A59,COPY!$A$2:$O$1000,13,FALSE),"")/E59,"")</f>
        <v/>
      </c>
      <c r="J59" s="546"/>
      <c r="K59" s="547" t="str">
        <f t="shared" si="1"/>
        <v/>
      </c>
      <c r="L59" s="548" t="str">
        <f t="shared" si="5"/>
        <v/>
      </c>
      <c r="M59" s="549">
        <f t="shared" si="3"/>
        <v>0</v>
      </c>
      <c r="O59" s="538" t="str">
        <f t="shared" si="6"/>
        <v/>
      </c>
      <c r="P59" s="550"/>
      <c r="Q59" s="551"/>
    </row>
    <row r="60" spans="1:17" s="253" customFormat="1" ht="20.100000000000001" hidden="1" customHeight="1" x14ac:dyDescent="0.25">
      <c r="A60" s="253" t="str">
        <f t="shared" si="4"/>
        <v/>
      </c>
      <c r="B60" s="584" t="str">
        <f>IF(LEN(A60)&gt;2,VLOOKUP(A60,COPY!$A$2:$O$1000,4,FALSE),"")</f>
        <v/>
      </c>
      <c r="C60" s="585" t="str">
        <f>IF(LEN(A60)&gt;2,VLOOKUP(A60,COPY!$A$2:$O$1000,15,FALSE),"")</f>
        <v/>
      </c>
      <c r="D60" s="542" t="str">
        <f>IF(LEN(A60)&gt;2,VLOOKUP(A60,COPY!$A$2:$O$1000,2,FALSE),"")</f>
        <v/>
      </c>
      <c r="E60" s="607" t="str">
        <f>IF(LEN(A60)&gt;2,VLOOKUP(A60,COPY!$A$2:$O$1000,10,FALSE),"")</f>
        <v/>
      </c>
      <c r="F60" s="542" t="str">
        <f>IF(LEN(A60)&gt;2,VLOOKUP(A60,COPY!$A$2:$O$1000,8,FALSE),"")</f>
        <v/>
      </c>
      <c r="G60" s="543" t="str">
        <f>IF(LEN(A60)&gt;2,VLOOKUP(A60,COPY!$A$2:$O$1000,7,FALSE),"")</f>
        <v/>
      </c>
      <c r="H60" s="544" t="str">
        <f t="shared" si="0"/>
        <v/>
      </c>
      <c r="I60" s="545" t="str">
        <f>IFERROR(IF(LEN(A60)&gt;2,VLOOKUP(A60,COPY!$A$2:$O$1000,13,FALSE),"")/E60,"")</f>
        <v/>
      </c>
      <c r="J60" s="546"/>
      <c r="K60" s="547" t="str">
        <f t="shared" si="1"/>
        <v/>
      </c>
      <c r="L60" s="548" t="str">
        <f t="shared" si="5"/>
        <v/>
      </c>
      <c r="M60" s="549">
        <f t="shared" si="3"/>
        <v>0</v>
      </c>
      <c r="O60" s="538" t="str">
        <f t="shared" si="6"/>
        <v/>
      </c>
      <c r="P60" s="550"/>
      <c r="Q60" s="551"/>
    </row>
    <row r="61" spans="1:17" s="253" customFormat="1" ht="20.100000000000001" hidden="1" customHeight="1" x14ac:dyDescent="0.25">
      <c r="A61" s="253" t="str">
        <f t="shared" si="4"/>
        <v/>
      </c>
      <c r="B61" s="584" t="str">
        <f>IF(LEN(A61)&gt;2,VLOOKUP(A61,COPY!$A$2:$O$1000,4,FALSE),"")</f>
        <v/>
      </c>
      <c r="C61" s="585" t="str">
        <f>IF(LEN(A61)&gt;2,VLOOKUP(A61,COPY!$A$2:$O$1000,15,FALSE),"")</f>
        <v/>
      </c>
      <c r="D61" s="542" t="str">
        <f>IF(LEN(A61)&gt;2,VLOOKUP(A61,COPY!$A$2:$O$1000,2,FALSE),"")</f>
        <v/>
      </c>
      <c r="E61" s="607" t="str">
        <f>IF(LEN(A61)&gt;2,VLOOKUP(A61,COPY!$A$2:$O$1000,10,FALSE),"")</f>
        <v/>
      </c>
      <c r="F61" s="542" t="str">
        <f>IF(LEN(A61)&gt;2,VLOOKUP(A61,COPY!$A$2:$O$1000,8,FALSE),"")</f>
        <v/>
      </c>
      <c r="G61" s="543" t="str">
        <f>IF(LEN(A61)&gt;2,VLOOKUP(A61,COPY!$A$2:$O$1000,7,FALSE),"")</f>
        <v/>
      </c>
      <c r="H61" s="544" t="str">
        <f t="shared" si="0"/>
        <v/>
      </c>
      <c r="I61" s="545" t="str">
        <f>IFERROR(IF(LEN(A61)&gt;2,VLOOKUP(A61,COPY!$A$2:$O$1000,13,FALSE),"")/E61,"")</f>
        <v/>
      </c>
      <c r="J61" s="546"/>
      <c r="K61" s="547" t="str">
        <f t="shared" si="1"/>
        <v/>
      </c>
      <c r="L61" s="548" t="str">
        <f t="shared" si="5"/>
        <v/>
      </c>
      <c r="M61" s="549">
        <f t="shared" si="3"/>
        <v>0</v>
      </c>
      <c r="O61" s="538" t="str">
        <f t="shared" si="6"/>
        <v/>
      </c>
      <c r="P61" s="550"/>
      <c r="Q61" s="551"/>
    </row>
    <row r="62" spans="1:17" s="253" customFormat="1" ht="20.100000000000001" hidden="1" customHeight="1" x14ac:dyDescent="0.25">
      <c r="A62" s="253" t="str">
        <f t="shared" si="4"/>
        <v/>
      </c>
      <c r="B62" s="584" t="str">
        <f>IF(LEN(A62)&gt;2,VLOOKUP(A62,COPY!$A$2:$O$1000,4,FALSE),"")</f>
        <v/>
      </c>
      <c r="C62" s="585" t="str">
        <f>IF(LEN(A62)&gt;2,VLOOKUP(A62,COPY!$A$2:$O$1000,15,FALSE),"")</f>
        <v/>
      </c>
      <c r="D62" s="542" t="str">
        <f>IF(LEN(A62)&gt;2,VLOOKUP(A62,COPY!$A$2:$O$1000,2,FALSE),"")</f>
        <v/>
      </c>
      <c r="E62" s="607" t="str">
        <f>IF(LEN(A62)&gt;2,VLOOKUP(A62,COPY!$A$2:$O$1000,10,FALSE),"")</f>
        <v/>
      </c>
      <c r="F62" s="542" t="str">
        <f>IF(LEN(A62)&gt;2,VLOOKUP(A62,COPY!$A$2:$O$1000,8,FALSE),"")</f>
        <v/>
      </c>
      <c r="G62" s="543" t="str">
        <f>IF(LEN(A62)&gt;2,VLOOKUP(A62,COPY!$A$2:$O$1000,7,FALSE),"")</f>
        <v/>
      </c>
      <c r="H62" s="544" t="str">
        <f t="shared" si="0"/>
        <v/>
      </c>
      <c r="I62" s="545" t="str">
        <f>IFERROR(IF(LEN(A62)&gt;2,VLOOKUP(A62,COPY!$A$2:$O$1000,13,FALSE),"")/E62,"")</f>
        <v/>
      </c>
      <c r="J62" s="546"/>
      <c r="K62" s="547" t="str">
        <f t="shared" si="1"/>
        <v/>
      </c>
      <c r="L62" s="548" t="str">
        <f t="shared" si="5"/>
        <v/>
      </c>
      <c r="M62" s="549">
        <f t="shared" si="3"/>
        <v>0</v>
      </c>
      <c r="O62" s="538" t="str">
        <f t="shared" si="6"/>
        <v/>
      </c>
      <c r="P62" s="550"/>
      <c r="Q62" s="551"/>
    </row>
    <row r="63" spans="1:17" s="253" customFormat="1" ht="20.100000000000001" hidden="1" customHeight="1" x14ac:dyDescent="0.25">
      <c r="A63" s="253" t="str">
        <f t="shared" si="4"/>
        <v/>
      </c>
      <c r="B63" s="584" t="str">
        <f>IF(LEN(A63)&gt;2,VLOOKUP(A63,COPY!$A$2:$O$1000,4,FALSE),"")</f>
        <v/>
      </c>
      <c r="C63" s="585" t="str">
        <f>IF(LEN(A63)&gt;2,VLOOKUP(A63,COPY!$A$2:$O$1000,15,FALSE),"")</f>
        <v/>
      </c>
      <c r="D63" s="542" t="str">
        <f>IF(LEN(A63)&gt;2,VLOOKUP(A63,COPY!$A$2:$O$1000,2,FALSE),"")</f>
        <v/>
      </c>
      <c r="E63" s="607" t="str">
        <f>IF(LEN(A63)&gt;2,VLOOKUP(A63,COPY!$A$2:$O$1000,10,FALSE),"")</f>
        <v/>
      </c>
      <c r="F63" s="542" t="str">
        <f>IF(LEN(A63)&gt;2,VLOOKUP(A63,COPY!$A$2:$O$1000,8,FALSE),"")</f>
        <v/>
      </c>
      <c r="G63" s="543" t="str">
        <f>IF(LEN(A63)&gt;2,VLOOKUP(A63,COPY!$A$2:$O$1000,7,FALSE),"")</f>
        <v/>
      </c>
      <c r="H63" s="544" t="str">
        <f t="shared" si="0"/>
        <v/>
      </c>
      <c r="I63" s="545" t="str">
        <f>IFERROR(IF(LEN(A63)&gt;2,VLOOKUP(A63,COPY!$A$2:$O$1000,13,FALSE),"")/E63,"")</f>
        <v/>
      </c>
      <c r="J63" s="546"/>
      <c r="K63" s="547" t="str">
        <f t="shared" si="1"/>
        <v/>
      </c>
      <c r="L63" s="548" t="str">
        <f t="shared" si="5"/>
        <v/>
      </c>
      <c r="M63" s="549">
        <f t="shared" si="3"/>
        <v>0</v>
      </c>
      <c r="O63" s="538" t="str">
        <f t="shared" si="6"/>
        <v/>
      </c>
      <c r="P63" s="550"/>
      <c r="Q63" s="551"/>
    </row>
    <row r="64" spans="1:17" s="253" customFormat="1" ht="20.100000000000001" hidden="1" customHeight="1" x14ac:dyDescent="0.25">
      <c r="A64" s="253" t="str">
        <f t="shared" si="4"/>
        <v/>
      </c>
      <c r="B64" s="584" t="str">
        <f>IF(LEN(A64)&gt;2,VLOOKUP(A64,COPY!$A$2:$O$1000,4,FALSE),"")</f>
        <v/>
      </c>
      <c r="C64" s="585" t="str">
        <f>IF(LEN(A64)&gt;2,VLOOKUP(A64,COPY!$A$2:$O$1000,15,FALSE),"")</f>
        <v/>
      </c>
      <c r="D64" s="542" t="str">
        <f>IF(LEN(A64)&gt;2,VLOOKUP(A64,COPY!$A$2:$O$1000,2,FALSE),"")</f>
        <v/>
      </c>
      <c r="E64" s="607" t="str">
        <f>IF(LEN(A64)&gt;2,VLOOKUP(A64,COPY!$A$2:$O$1000,10,FALSE),"")</f>
        <v/>
      </c>
      <c r="F64" s="542" t="str">
        <f>IF(LEN(A64)&gt;2,VLOOKUP(A64,COPY!$A$2:$O$1000,8,FALSE),"")</f>
        <v/>
      </c>
      <c r="G64" s="543" t="str">
        <f>IF(LEN(A64)&gt;2,VLOOKUP(A64,COPY!$A$2:$O$1000,7,FALSE),"")</f>
        <v/>
      </c>
      <c r="H64" s="544" t="str">
        <f t="shared" si="0"/>
        <v/>
      </c>
      <c r="I64" s="545" t="str">
        <f>IFERROR(IF(LEN(A64)&gt;2,VLOOKUP(A64,COPY!$A$2:$O$1000,13,FALSE),"")/E64,"")</f>
        <v/>
      </c>
      <c r="J64" s="546"/>
      <c r="K64" s="547" t="str">
        <f t="shared" si="1"/>
        <v/>
      </c>
      <c r="L64" s="548" t="str">
        <f t="shared" si="5"/>
        <v/>
      </c>
      <c r="M64" s="549">
        <f t="shared" si="3"/>
        <v>0</v>
      </c>
      <c r="O64" s="538" t="str">
        <f t="shared" si="6"/>
        <v/>
      </c>
      <c r="P64" s="550"/>
      <c r="Q64" s="551"/>
    </row>
    <row r="65" spans="1:17" s="253" customFormat="1" ht="20.100000000000001" hidden="1" customHeight="1" x14ac:dyDescent="0.25">
      <c r="A65" s="253" t="str">
        <f t="shared" si="4"/>
        <v/>
      </c>
      <c r="B65" s="584" t="str">
        <f>IF(LEN(A65)&gt;2,VLOOKUP(A65,COPY!$A$2:$O$1000,4,FALSE),"")</f>
        <v/>
      </c>
      <c r="C65" s="585" t="str">
        <f>IF(LEN(A65)&gt;2,VLOOKUP(A65,COPY!$A$2:$O$1000,15,FALSE),"")</f>
        <v/>
      </c>
      <c r="D65" s="542" t="str">
        <f>IF(LEN(A65)&gt;2,VLOOKUP(A65,COPY!$A$2:$O$1000,2,FALSE),"")</f>
        <v/>
      </c>
      <c r="E65" s="607" t="str">
        <f>IF(LEN(A65)&gt;2,VLOOKUP(A65,COPY!$A$2:$O$1000,10,FALSE),"")</f>
        <v/>
      </c>
      <c r="F65" s="542" t="str">
        <f>IF(LEN(A65)&gt;2,VLOOKUP(A65,COPY!$A$2:$O$1000,8,FALSE),"")</f>
        <v/>
      </c>
      <c r="G65" s="543" t="str">
        <f>IF(LEN(A65)&gt;2,VLOOKUP(A65,COPY!$A$2:$O$1000,7,FALSE),"")</f>
        <v/>
      </c>
      <c r="H65" s="544" t="str">
        <f t="shared" si="0"/>
        <v/>
      </c>
      <c r="I65" s="545" t="str">
        <f>IFERROR(IF(LEN(A65)&gt;2,VLOOKUP(A65,COPY!$A$2:$O$1000,13,FALSE),"")/E65,"")</f>
        <v/>
      </c>
      <c r="J65" s="546"/>
      <c r="K65" s="547" t="str">
        <f t="shared" si="1"/>
        <v/>
      </c>
      <c r="L65" s="548" t="str">
        <f t="shared" si="5"/>
        <v/>
      </c>
      <c r="M65" s="549">
        <f t="shared" si="3"/>
        <v>0</v>
      </c>
      <c r="O65" s="538" t="str">
        <f t="shared" si="6"/>
        <v/>
      </c>
      <c r="P65" s="550"/>
      <c r="Q65" s="551"/>
    </row>
    <row r="66" spans="1:17" s="253" customFormat="1" ht="20.100000000000001" hidden="1" customHeight="1" x14ac:dyDescent="0.25">
      <c r="A66" s="253" t="str">
        <f t="shared" si="4"/>
        <v/>
      </c>
      <c r="B66" s="584" t="str">
        <f>IF(LEN(A66)&gt;2,VLOOKUP(A66,COPY!$A$2:$O$1000,4,FALSE),"")</f>
        <v/>
      </c>
      <c r="C66" s="585" t="str">
        <f>IF(LEN(A66)&gt;2,VLOOKUP(A66,COPY!$A$2:$O$1000,15,FALSE),"")</f>
        <v/>
      </c>
      <c r="D66" s="542" t="str">
        <f>IF(LEN(A66)&gt;2,VLOOKUP(A66,COPY!$A$2:$O$1000,2,FALSE),"")</f>
        <v/>
      </c>
      <c r="E66" s="607" t="str">
        <f>IF(LEN(A66)&gt;2,VLOOKUP(A66,COPY!$A$2:$O$1000,10,FALSE),"")</f>
        <v/>
      </c>
      <c r="F66" s="542" t="str">
        <f>IF(LEN(A66)&gt;2,VLOOKUP(A66,COPY!$A$2:$O$1000,8,FALSE),"")</f>
        <v/>
      </c>
      <c r="G66" s="543" t="str">
        <f>IF(LEN(A66)&gt;2,VLOOKUP(A66,COPY!$A$2:$O$1000,7,FALSE),"")</f>
        <v/>
      </c>
      <c r="H66" s="544" t="str">
        <f t="shared" si="0"/>
        <v/>
      </c>
      <c r="I66" s="545" t="str">
        <f>IFERROR(IF(LEN(A66)&gt;2,VLOOKUP(A66,COPY!$A$2:$O$1000,13,FALSE),"")/E66,"")</f>
        <v/>
      </c>
      <c r="J66" s="546"/>
      <c r="K66" s="547" t="str">
        <f t="shared" si="1"/>
        <v/>
      </c>
      <c r="L66" s="548" t="str">
        <f t="shared" si="5"/>
        <v/>
      </c>
      <c r="M66" s="549">
        <f t="shared" si="3"/>
        <v>0</v>
      </c>
      <c r="O66" s="538" t="str">
        <f t="shared" si="6"/>
        <v/>
      </c>
      <c r="P66" s="550"/>
      <c r="Q66" s="551"/>
    </row>
    <row r="67" spans="1:17" s="253" customFormat="1" ht="20.100000000000001" hidden="1" customHeight="1" x14ac:dyDescent="0.25">
      <c r="A67" s="253" t="str">
        <f t="shared" si="4"/>
        <v/>
      </c>
      <c r="B67" s="584" t="str">
        <f>IF(LEN(A67)&gt;2,VLOOKUP(A67,COPY!$A$2:$O$1000,4,FALSE),"")</f>
        <v/>
      </c>
      <c r="C67" s="585" t="str">
        <f>IF(LEN(A67)&gt;2,VLOOKUP(A67,COPY!$A$2:$O$1000,15,FALSE),"")</f>
        <v/>
      </c>
      <c r="D67" s="542" t="str">
        <f>IF(LEN(A67)&gt;2,VLOOKUP(A67,COPY!$A$2:$O$1000,2,FALSE),"")</f>
        <v/>
      </c>
      <c r="E67" s="607" t="str">
        <f>IF(LEN(A67)&gt;2,VLOOKUP(A67,COPY!$A$2:$O$1000,10,FALSE),"")</f>
        <v/>
      </c>
      <c r="F67" s="542" t="str">
        <f>IF(LEN(A67)&gt;2,VLOOKUP(A67,COPY!$A$2:$O$1000,8,FALSE),"")</f>
        <v/>
      </c>
      <c r="G67" s="543" t="str">
        <f>IF(LEN(A67)&gt;2,VLOOKUP(A67,COPY!$A$2:$O$1000,7,FALSE),"")</f>
        <v/>
      </c>
      <c r="H67" s="544" t="str">
        <f t="shared" si="0"/>
        <v/>
      </c>
      <c r="I67" s="545" t="str">
        <f>IFERROR(IF(LEN(A67)&gt;2,VLOOKUP(A67,COPY!$A$2:$O$1000,13,FALSE),"")/E67,"")</f>
        <v/>
      </c>
      <c r="J67" s="546"/>
      <c r="K67" s="547" t="str">
        <f t="shared" si="1"/>
        <v/>
      </c>
      <c r="L67" s="548" t="str">
        <f t="shared" si="5"/>
        <v/>
      </c>
      <c r="M67" s="549">
        <f t="shared" si="3"/>
        <v>0</v>
      </c>
      <c r="O67" s="538" t="str">
        <f t="shared" si="6"/>
        <v/>
      </c>
      <c r="P67" s="550"/>
      <c r="Q67" s="551"/>
    </row>
    <row r="68" spans="1:17" s="253" customFormat="1" ht="20.100000000000001" hidden="1" customHeight="1" x14ac:dyDescent="0.25">
      <c r="A68" s="253" t="str">
        <f t="shared" si="4"/>
        <v/>
      </c>
      <c r="B68" s="584" t="str">
        <f>IF(LEN(A68)&gt;2,VLOOKUP(A68,COPY!$A$2:$O$1000,4,FALSE),"")</f>
        <v/>
      </c>
      <c r="C68" s="585" t="str">
        <f>IF(LEN(A68)&gt;2,VLOOKUP(A68,COPY!$A$2:$O$1000,15,FALSE),"")</f>
        <v/>
      </c>
      <c r="D68" s="542" t="str">
        <f>IF(LEN(A68)&gt;2,VLOOKUP(A68,COPY!$A$2:$O$1000,2,FALSE),"")</f>
        <v/>
      </c>
      <c r="E68" s="607" t="str">
        <f>IF(LEN(A68)&gt;2,VLOOKUP(A68,COPY!$A$2:$O$1000,10,FALSE),"")</f>
        <v/>
      </c>
      <c r="F68" s="542" t="str">
        <f>IF(LEN(A68)&gt;2,VLOOKUP(A68,COPY!$A$2:$O$1000,8,FALSE),"")</f>
        <v/>
      </c>
      <c r="G68" s="543" t="str">
        <f>IF(LEN(A68)&gt;2,VLOOKUP(A68,COPY!$A$2:$O$1000,7,FALSE),"")</f>
        <v/>
      </c>
      <c r="H68" s="544" t="str">
        <f t="shared" si="0"/>
        <v/>
      </c>
      <c r="I68" s="545" t="str">
        <f>IFERROR(IF(LEN(A68)&gt;2,VLOOKUP(A68,COPY!$A$2:$O$1000,13,FALSE),"")/E68,"")</f>
        <v/>
      </c>
      <c r="J68" s="546"/>
      <c r="K68" s="547" t="str">
        <f t="shared" si="1"/>
        <v/>
      </c>
      <c r="L68" s="548" t="str">
        <f t="shared" si="5"/>
        <v/>
      </c>
      <c r="M68" s="549">
        <f t="shared" si="3"/>
        <v>0</v>
      </c>
      <c r="O68" s="538" t="str">
        <f t="shared" si="6"/>
        <v/>
      </c>
      <c r="P68" s="550"/>
      <c r="Q68" s="551"/>
    </row>
    <row r="69" spans="1:17" s="253" customFormat="1" ht="20.100000000000001" hidden="1" customHeight="1" x14ac:dyDescent="0.25">
      <c r="A69" s="253" t="str">
        <f t="shared" si="4"/>
        <v/>
      </c>
      <c r="B69" s="584" t="str">
        <f>IF(LEN(A69)&gt;2,VLOOKUP(A69,COPY!$A$2:$O$1000,4,FALSE),"")</f>
        <v/>
      </c>
      <c r="C69" s="585" t="str">
        <f>IF(LEN(A69)&gt;2,VLOOKUP(A69,COPY!$A$2:$O$1000,15,FALSE),"")</f>
        <v/>
      </c>
      <c r="D69" s="542" t="str">
        <f>IF(LEN(A69)&gt;2,VLOOKUP(A69,COPY!$A$2:$O$1000,2,FALSE),"")</f>
        <v/>
      </c>
      <c r="E69" s="607" t="str">
        <f>IF(LEN(A69)&gt;2,VLOOKUP(A69,COPY!$A$2:$O$1000,10,FALSE),"")</f>
        <v/>
      </c>
      <c r="F69" s="542" t="str">
        <f>IF(LEN(A69)&gt;2,VLOOKUP(A69,COPY!$A$2:$O$1000,8,FALSE),"")</f>
        <v/>
      </c>
      <c r="G69" s="543" t="str">
        <f>IF(LEN(A69)&gt;2,VLOOKUP(A69,COPY!$A$2:$O$1000,7,FALSE),"")</f>
        <v/>
      </c>
      <c r="H69" s="544" t="str">
        <f t="shared" si="0"/>
        <v/>
      </c>
      <c r="I69" s="545" t="str">
        <f>IFERROR(IF(LEN(A69)&gt;2,VLOOKUP(A69,COPY!$A$2:$O$1000,13,FALSE),"")/E69,"")</f>
        <v/>
      </c>
      <c r="J69" s="546"/>
      <c r="K69" s="547" t="str">
        <f t="shared" si="1"/>
        <v/>
      </c>
      <c r="L69" s="548" t="str">
        <f t="shared" si="5"/>
        <v/>
      </c>
      <c r="M69" s="549">
        <f t="shared" si="3"/>
        <v>0</v>
      </c>
      <c r="O69" s="538" t="str">
        <f t="shared" si="6"/>
        <v/>
      </c>
      <c r="P69" s="550"/>
      <c r="Q69" s="551"/>
    </row>
    <row r="70" spans="1:17" s="253" customFormat="1" ht="20.100000000000001" hidden="1" customHeight="1" x14ac:dyDescent="0.25">
      <c r="A70" s="253" t="str">
        <f t="shared" si="4"/>
        <v/>
      </c>
      <c r="B70" s="584" t="str">
        <f>IF(LEN(A70)&gt;2,VLOOKUP(A70,COPY!$A$2:$O$1000,4,FALSE),"")</f>
        <v/>
      </c>
      <c r="C70" s="585" t="str">
        <f>IF(LEN(A70)&gt;2,VLOOKUP(A70,COPY!$A$2:$O$1000,15,FALSE),"")</f>
        <v/>
      </c>
      <c r="D70" s="542" t="str">
        <f>IF(LEN(A70)&gt;2,VLOOKUP(A70,COPY!$A$2:$O$1000,2,FALSE),"")</f>
        <v/>
      </c>
      <c r="E70" s="607" t="str">
        <f>IF(LEN(A70)&gt;2,VLOOKUP(A70,COPY!$A$2:$O$1000,10,FALSE),"")</f>
        <v/>
      </c>
      <c r="F70" s="542" t="str">
        <f>IF(LEN(A70)&gt;2,VLOOKUP(A70,COPY!$A$2:$O$1000,8,FALSE),"")</f>
        <v/>
      </c>
      <c r="G70" s="543" t="str">
        <f>IF(LEN(A70)&gt;2,VLOOKUP(A70,COPY!$A$2:$O$1000,7,FALSE),"")</f>
        <v/>
      </c>
      <c r="H70" s="544" t="str">
        <f t="shared" si="0"/>
        <v/>
      </c>
      <c r="I70" s="545" t="str">
        <f>IFERROR(IF(LEN(A70)&gt;2,VLOOKUP(A70,COPY!$A$2:$O$1000,13,FALSE),"")/E70,"")</f>
        <v/>
      </c>
      <c r="J70" s="546"/>
      <c r="K70" s="547" t="str">
        <f t="shared" si="1"/>
        <v/>
      </c>
      <c r="L70" s="548" t="str">
        <f t="shared" si="5"/>
        <v/>
      </c>
      <c r="M70" s="549">
        <f t="shared" si="3"/>
        <v>0</v>
      </c>
      <c r="O70" s="538" t="str">
        <f t="shared" si="6"/>
        <v/>
      </c>
      <c r="P70" s="550"/>
      <c r="Q70" s="551"/>
    </row>
    <row r="71" spans="1:17" s="253" customFormat="1" ht="20.100000000000001" hidden="1" customHeight="1" x14ac:dyDescent="0.25">
      <c r="A71" s="253" t="str">
        <f t="shared" si="4"/>
        <v/>
      </c>
      <c r="B71" s="584" t="str">
        <f>IF(LEN(A71)&gt;2,VLOOKUP(A71,COPY!$A$2:$O$1000,4,FALSE),"")</f>
        <v/>
      </c>
      <c r="C71" s="585" t="str">
        <f>IF(LEN(A71)&gt;2,VLOOKUP(A71,COPY!$A$2:$O$1000,15,FALSE),"")</f>
        <v/>
      </c>
      <c r="D71" s="542" t="str">
        <f>IF(LEN(A71)&gt;2,VLOOKUP(A71,COPY!$A$2:$O$1000,2,FALSE),"")</f>
        <v/>
      </c>
      <c r="E71" s="607" t="str">
        <f>IF(LEN(A71)&gt;2,VLOOKUP(A71,COPY!$A$2:$O$1000,10,FALSE),"")</f>
        <v/>
      </c>
      <c r="F71" s="542" t="str">
        <f>IF(LEN(A71)&gt;2,VLOOKUP(A71,COPY!$A$2:$O$1000,8,FALSE),"")</f>
        <v/>
      </c>
      <c r="G71" s="543" t="str">
        <f>IF(LEN(A71)&gt;2,VLOOKUP(A71,COPY!$A$2:$O$1000,7,FALSE),"")</f>
        <v/>
      </c>
      <c r="H71" s="544" t="str">
        <f t="shared" si="0"/>
        <v/>
      </c>
      <c r="I71" s="545" t="str">
        <f>IFERROR(IF(LEN(A71)&gt;2,VLOOKUP(A71,COPY!$A$2:$O$1000,13,FALSE),"")/E71,"")</f>
        <v/>
      </c>
      <c r="J71" s="546"/>
      <c r="K71" s="547" t="str">
        <f t="shared" si="1"/>
        <v/>
      </c>
      <c r="L71" s="548" t="str">
        <f t="shared" si="5"/>
        <v/>
      </c>
      <c r="M71" s="549">
        <f t="shared" si="3"/>
        <v>0</v>
      </c>
      <c r="O71" s="538" t="str">
        <f t="shared" si="6"/>
        <v/>
      </c>
      <c r="P71" s="550"/>
      <c r="Q71" s="551"/>
    </row>
    <row r="72" spans="1:17" s="253" customFormat="1" ht="20.100000000000001" hidden="1" customHeight="1" x14ac:dyDescent="0.25">
      <c r="A72" s="253" t="str">
        <f t="shared" si="4"/>
        <v/>
      </c>
      <c r="B72" s="584" t="str">
        <f>IF(LEN(A72)&gt;2,VLOOKUP(A72,COPY!$A$2:$O$1000,4,FALSE),"")</f>
        <v/>
      </c>
      <c r="C72" s="585" t="str">
        <f>IF(LEN(A72)&gt;2,VLOOKUP(A72,COPY!$A$2:$O$1000,15,FALSE),"")</f>
        <v/>
      </c>
      <c r="D72" s="542" t="str">
        <f>IF(LEN(A72)&gt;2,VLOOKUP(A72,COPY!$A$2:$O$1000,2,FALSE),"")</f>
        <v/>
      </c>
      <c r="E72" s="607" t="str">
        <f>IF(LEN(A72)&gt;2,VLOOKUP(A72,COPY!$A$2:$O$1000,10,FALSE),"")</f>
        <v/>
      </c>
      <c r="F72" s="542" t="str">
        <f>IF(LEN(A72)&gt;2,VLOOKUP(A72,COPY!$A$2:$O$1000,8,FALSE),"")</f>
        <v/>
      </c>
      <c r="G72" s="543" t="str">
        <f>IF(LEN(A72)&gt;2,VLOOKUP(A72,COPY!$A$2:$O$1000,7,FALSE),"")</f>
        <v/>
      </c>
      <c r="H72" s="544" t="str">
        <f t="shared" si="0"/>
        <v/>
      </c>
      <c r="I72" s="545" t="str">
        <f>IFERROR(IF(LEN(A72)&gt;2,VLOOKUP(A72,COPY!$A$2:$O$1000,13,FALSE),"")/E72,"")</f>
        <v/>
      </c>
      <c r="J72" s="546"/>
      <c r="K72" s="547" t="str">
        <f t="shared" si="1"/>
        <v/>
      </c>
      <c r="L72" s="548" t="str">
        <f t="shared" si="5"/>
        <v/>
      </c>
      <c r="M72" s="549">
        <f t="shared" si="3"/>
        <v>0</v>
      </c>
      <c r="O72" s="538" t="str">
        <f t="shared" si="6"/>
        <v/>
      </c>
      <c r="P72" s="550"/>
      <c r="Q72" s="551"/>
    </row>
    <row r="73" spans="1:17" s="253" customFormat="1" ht="20.100000000000001" hidden="1" customHeight="1" x14ac:dyDescent="0.25">
      <c r="A73" s="253" t="str">
        <f t="shared" si="4"/>
        <v/>
      </c>
      <c r="B73" s="584" t="str">
        <f>IF(LEN(A73)&gt;2,VLOOKUP(A73,COPY!$A$2:$O$1000,4,FALSE),"")</f>
        <v/>
      </c>
      <c r="C73" s="585" t="str">
        <f>IF(LEN(A73)&gt;2,VLOOKUP(A73,COPY!$A$2:$O$1000,15,FALSE),"")</f>
        <v/>
      </c>
      <c r="D73" s="542" t="str">
        <f>IF(LEN(A73)&gt;2,VLOOKUP(A73,COPY!$A$2:$O$1000,2,FALSE),"")</f>
        <v/>
      </c>
      <c r="E73" s="607" t="str">
        <f>IF(LEN(A73)&gt;2,VLOOKUP(A73,COPY!$A$2:$O$1000,10,FALSE),"")</f>
        <v/>
      </c>
      <c r="F73" s="542" t="str">
        <f>IF(LEN(A73)&gt;2,VLOOKUP(A73,COPY!$A$2:$O$1000,8,FALSE),"")</f>
        <v/>
      </c>
      <c r="G73" s="543" t="str">
        <f>IF(LEN(A73)&gt;2,VLOOKUP(A73,COPY!$A$2:$O$1000,7,FALSE),"")</f>
        <v/>
      </c>
      <c r="H73" s="544" t="str">
        <f t="shared" si="0"/>
        <v/>
      </c>
      <c r="I73" s="545" t="str">
        <f>IFERROR(IF(LEN(A73)&gt;2,VLOOKUP(A73,COPY!$A$2:$O$1000,13,FALSE),"")/E73,"")</f>
        <v/>
      </c>
      <c r="J73" s="546"/>
      <c r="K73" s="547" t="str">
        <f t="shared" si="1"/>
        <v/>
      </c>
      <c r="L73" s="548" t="str">
        <f t="shared" si="5"/>
        <v/>
      </c>
      <c r="M73" s="549">
        <f t="shared" si="3"/>
        <v>0</v>
      </c>
      <c r="O73" s="538" t="str">
        <f t="shared" si="6"/>
        <v/>
      </c>
      <c r="P73" s="550"/>
      <c r="Q73" s="551"/>
    </row>
    <row r="74" spans="1:17" s="253" customFormat="1" ht="20.100000000000001" hidden="1" customHeight="1" x14ac:dyDescent="0.25">
      <c r="A74" s="253" t="str">
        <f t="shared" si="4"/>
        <v/>
      </c>
      <c r="B74" s="584" t="str">
        <f>IF(LEN(A74)&gt;2,VLOOKUP(A74,COPY!$A$2:$O$1000,4,FALSE),"")</f>
        <v/>
      </c>
      <c r="C74" s="585" t="str">
        <f>IF(LEN(A74)&gt;2,VLOOKUP(A74,COPY!$A$2:$O$1000,15,FALSE),"")</f>
        <v/>
      </c>
      <c r="D74" s="542" t="str">
        <f>IF(LEN(A74)&gt;2,VLOOKUP(A74,COPY!$A$2:$O$1000,2,FALSE),"")</f>
        <v/>
      </c>
      <c r="E74" s="607" t="str">
        <f>IF(LEN(A74)&gt;2,VLOOKUP(A74,COPY!$A$2:$O$1000,10,FALSE),"")</f>
        <v/>
      </c>
      <c r="F74" s="542" t="str">
        <f>IF(LEN(A74)&gt;2,VLOOKUP(A74,COPY!$A$2:$O$1000,8,FALSE),"")</f>
        <v/>
      </c>
      <c r="G74" s="543" t="str">
        <f>IF(LEN(A74)&gt;2,VLOOKUP(A74,COPY!$A$2:$O$1000,7,FALSE),"")</f>
        <v/>
      </c>
      <c r="H74" s="544" t="str">
        <f t="shared" si="0"/>
        <v/>
      </c>
      <c r="I74" s="545" t="str">
        <f>IFERROR(IF(LEN(A74)&gt;2,VLOOKUP(A74,COPY!$A$2:$O$1000,13,FALSE),"")/E74,"")</f>
        <v/>
      </c>
      <c r="J74" s="546"/>
      <c r="K74" s="547" t="str">
        <f t="shared" si="1"/>
        <v/>
      </c>
      <c r="L74" s="548" t="str">
        <f t="shared" si="5"/>
        <v/>
      </c>
      <c r="M74" s="549">
        <f t="shared" si="3"/>
        <v>0</v>
      </c>
      <c r="O74" s="538" t="str">
        <f t="shared" si="6"/>
        <v/>
      </c>
      <c r="P74" s="550"/>
      <c r="Q74" s="551"/>
    </row>
    <row r="75" spans="1:17" s="253" customFormat="1" ht="20.100000000000001" hidden="1" customHeight="1" x14ac:dyDescent="0.25">
      <c r="A75" s="253" t="str">
        <f t="shared" si="4"/>
        <v/>
      </c>
      <c r="B75" s="584" t="str">
        <f>IF(LEN(A75)&gt;2,VLOOKUP(A75,COPY!$A$2:$O$1000,4,FALSE),"")</f>
        <v/>
      </c>
      <c r="C75" s="585" t="str">
        <f>IF(LEN(A75)&gt;2,VLOOKUP(A75,COPY!$A$2:$O$1000,15,FALSE),"")</f>
        <v/>
      </c>
      <c r="D75" s="542" t="str">
        <f>IF(LEN(A75)&gt;2,VLOOKUP(A75,COPY!$A$2:$O$1000,2,FALSE),"")</f>
        <v/>
      </c>
      <c r="E75" s="607" t="str">
        <f>IF(LEN(A75)&gt;2,VLOOKUP(A75,COPY!$A$2:$O$1000,10,FALSE),"")</f>
        <v/>
      </c>
      <c r="F75" s="542" t="str">
        <f>IF(LEN(A75)&gt;2,VLOOKUP(A75,COPY!$A$2:$O$1000,8,FALSE),"")</f>
        <v/>
      </c>
      <c r="G75" s="543" t="str">
        <f>IF(LEN(A75)&gt;2,VLOOKUP(A75,COPY!$A$2:$O$1000,7,FALSE),"")</f>
        <v/>
      </c>
      <c r="H75" s="544" t="str">
        <f t="shared" si="0"/>
        <v/>
      </c>
      <c r="I75" s="545" t="str">
        <f>IFERROR(IF(LEN(A75)&gt;2,VLOOKUP(A75,COPY!$A$2:$O$1000,13,FALSE),"")/E75,"")</f>
        <v/>
      </c>
      <c r="J75" s="546"/>
      <c r="K75" s="547" t="str">
        <f t="shared" si="1"/>
        <v/>
      </c>
      <c r="L75" s="548" t="str">
        <f t="shared" si="5"/>
        <v/>
      </c>
      <c r="M75" s="549">
        <f t="shared" si="3"/>
        <v>0</v>
      </c>
      <c r="O75" s="538" t="str">
        <f t="shared" si="6"/>
        <v/>
      </c>
      <c r="P75" s="550"/>
      <c r="Q75" s="551"/>
    </row>
    <row r="76" spans="1:17" s="253" customFormat="1" ht="20.100000000000001" hidden="1" customHeight="1" x14ac:dyDescent="0.25">
      <c r="A76" s="253" t="str">
        <f t="shared" si="4"/>
        <v/>
      </c>
      <c r="B76" s="584" t="str">
        <f>IF(LEN(A76)&gt;2,VLOOKUP(A76,COPY!$A$2:$O$1000,4,FALSE),"")</f>
        <v/>
      </c>
      <c r="C76" s="585" t="str">
        <f>IF(LEN(A76)&gt;2,VLOOKUP(A76,COPY!$A$2:$O$1000,15,FALSE),"")</f>
        <v/>
      </c>
      <c r="D76" s="542" t="str">
        <f>IF(LEN(A76)&gt;2,VLOOKUP(A76,COPY!$A$2:$O$1000,2,FALSE),"")</f>
        <v/>
      </c>
      <c r="E76" s="607" t="str">
        <f>IF(LEN(A76)&gt;2,VLOOKUP(A76,COPY!$A$2:$O$1000,10,FALSE),"")</f>
        <v/>
      </c>
      <c r="F76" s="542" t="str">
        <f>IF(LEN(A76)&gt;2,VLOOKUP(A76,COPY!$A$2:$O$1000,8,FALSE),"")</f>
        <v/>
      </c>
      <c r="G76" s="543" t="str">
        <f>IF(LEN(A76)&gt;2,VLOOKUP(A76,COPY!$A$2:$O$1000,7,FALSE),"")</f>
        <v/>
      </c>
      <c r="H76" s="544" t="str">
        <f t="shared" si="0"/>
        <v/>
      </c>
      <c r="I76" s="545" t="str">
        <f>IFERROR(IF(LEN(A76)&gt;2,VLOOKUP(A76,COPY!$A$2:$O$1000,13,FALSE),"")/E76,"")</f>
        <v/>
      </c>
      <c r="J76" s="546"/>
      <c r="K76" s="547" t="str">
        <f t="shared" si="1"/>
        <v/>
      </c>
      <c r="L76" s="548" t="str">
        <f t="shared" si="5"/>
        <v/>
      </c>
      <c r="M76" s="549">
        <f t="shared" si="3"/>
        <v>0</v>
      </c>
      <c r="O76" s="538" t="str">
        <f t="shared" si="6"/>
        <v/>
      </c>
      <c r="P76" s="550"/>
      <c r="Q76" s="551"/>
    </row>
    <row r="77" spans="1:17" s="253" customFormat="1" ht="20.100000000000001" hidden="1" customHeight="1" x14ac:dyDescent="0.25">
      <c r="A77" s="253" t="str">
        <f t="shared" si="4"/>
        <v/>
      </c>
      <c r="B77" s="584" t="str">
        <f>IF(LEN(A77)&gt;2,VLOOKUP(A77,COPY!$A$2:$O$1000,4,FALSE),"")</f>
        <v/>
      </c>
      <c r="C77" s="585" t="str">
        <f>IF(LEN(A77)&gt;2,VLOOKUP(A77,COPY!$A$2:$O$1000,15,FALSE),"")</f>
        <v/>
      </c>
      <c r="D77" s="542" t="str">
        <f>IF(LEN(A77)&gt;2,VLOOKUP(A77,COPY!$A$2:$O$1000,2,FALSE),"")</f>
        <v/>
      </c>
      <c r="E77" s="607" t="str">
        <f>IF(LEN(A77)&gt;2,VLOOKUP(A77,COPY!$A$2:$O$1000,10,FALSE),"")</f>
        <v/>
      </c>
      <c r="F77" s="542" t="str">
        <f>IF(LEN(A77)&gt;2,VLOOKUP(A77,COPY!$A$2:$O$1000,8,FALSE),"")</f>
        <v/>
      </c>
      <c r="G77" s="543" t="str">
        <f>IF(LEN(A77)&gt;2,VLOOKUP(A77,COPY!$A$2:$O$1000,7,FALSE),"")</f>
        <v/>
      </c>
      <c r="H77" s="544" t="str">
        <f t="shared" si="0"/>
        <v/>
      </c>
      <c r="I77" s="545" t="str">
        <f>IFERROR(IF(LEN(A77)&gt;2,VLOOKUP(A77,COPY!$A$2:$O$1000,13,FALSE),"")/E77,"")</f>
        <v/>
      </c>
      <c r="J77" s="546"/>
      <c r="K77" s="547" t="str">
        <f t="shared" si="1"/>
        <v/>
      </c>
      <c r="L77" s="548" t="str">
        <f t="shared" si="5"/>
        <v/>
      </c>
      <c r="M77" s="549">
        <f t="shared" si="3"/>
        <v>0</v>
      </c>
      <c r="O77" s="538" t="str">
        <f t="shared" si="6"/>
        <v/>
      </c>
      <c r="P77" s="550"/>
      <c r="Q77" s="551"/>
    </row>
    <row r="78" spans="1:17" s="253" customFormat="1" ht="20.100000000000001" hidden="1" customHeight="1" x14ac:dyDescent="0.25">
      <c r="A78" s="253" t="str">
        <f t="shared" si="4"/>
        <v/>
      </c>
      <c r="B78" s="584" t="str">
        <f>IF(LEN(A78)&gt;2,VLOOKUP(A78,COPY!$A$2:$O$1000,4,FALSE),"")</f>
        <v/>
      </c>
      <c r="C78" s="585" t="str">
        <f>IF(LEN(A78)&gt;2,VLOOKUP(A78,COPY!$A$2:$O$1000,15,FALSE),"")</f>
        <v/>
      </c>
      <c r="D78" s="542" t="str">
        <f>IF(LEN(A78)&gt;2,VLOOKUP(A78,COPY!$A$2:$O$1000,2,FALSE),"")</f>
        <v/>
      </c>
      <c r="E78" s="607" t="str">
        <f>IF(LEN(A78)&gt;2,VLOOKUP(A78,COPY!$A$2:$O$1000,10,FALSE),"")</f>
        <v/>
      </c>
      <c r="F78" s="542" t="str">
        <f>IF(LEN(A78)&gt;2,VLOOKUP(A78,COPY!$A$2:$O$1000,8,FALSE),"")</f>
        <v/>
      </c>
      <c r="G78" s="543" t="str">
        <f>IF(LEN(A78)&gt;2,VLOOKUP(A78,COPY!$A$2:$O$1000,7,FALSE),"")</f>
        <v/>
      </c>
      <c r="H78" s="544" t="str">
        <f t="shared" si="0"/>
        <v/>
      </c>
      <c r="I78" s="545" t="str">
        <f>IFERROR(IF(LEN(A78)&gt;2,VLOOKUP(A78,COPY!$A$2:$O$1000,13,FALSE),"")/E78,"")</f>
        <v/>
      </c>
      <c r="J78" s="546"/>
      <c r="K78" s="547" t="str">
        <f t="shared" si="1"/>
        <v/>
      </c>
      <c r="L78" s="548" t="str">
        <f t="shared" si="5"/>
        <v/>
      </c>
      <c r="M78" s="549">
        <f t="shared" si="3"/>
        <v>0</v>
      </c>
      <c r="O78" s="538" t="str">
        <f t="shared" si="6"/>
        <v/>
      </c>
      <c r="P78" s="550"/>
      <c r="Q78" s="551"/>
    </row>
    <row r="79" spans="1:17" s="253" customFormat="1" ht="20.100000000000001" hidden="1" customHeight="1" x14ac:dyDescent="0.25">
      <c r="A79" s="253" t="str">
        <f t="shared" si="4"/>
        <v/>
      </c>
      <c r="B79" s="584" t="str">
        <f>IF(LEN(A79)&gt;2,VLOOKUP(A79,COPY!$A$2:$O$1000,4,FALSE),"")</f>
        <v/>
      </c>
      <c r="C79" s="585" t="str">
        <f>IF(LEN(A79)&gt;2,VLOOKUP(A79,COPY!$A$2:$O$1000,15,FALSE),"")</f>
        <v/>
      </c>
      <c r="D79" s="542" t="str">
        <f>IF(LEN(A79)&gt;2,VLOOKUP(A79,COPY!$A$2:$O$1000,2,FALSE),"")</f>
        <v/>
      </c>
      <c r="E79" s="607" t="str">
        <f>IF(LEN(A79)&gt;2,VLOOKUP(A79,COPY!$A$2:$O$1000,10,FALSE),"")</f>
        <v/>
      </c>
      <c r="F79" s="542" t="str">
        <f>IF(LEN(A79)&gt;2,VLOOKUP(A79,COPY!$A$2:$O$1000,8,FALSE),"")</f>
        <v/>
      </c>
      <c r="G79" s="543" t="str">
        <f>IF(LEN(A79)&gt;2,VLOOKUP(A79,COPY!$A$2:$O$1000,7,FALSE),"")</f>
        <v/>
      </c>
      <c r="H79" s="544" t="str">
        <f t="shared" ref="H79:H142" si="7">IF(TEXT(D79,0)="Beli","@","")</f>
        <v/>
      </c>
      <c r="I79" s="545" t="str">
        <f>IFERROR(IF(LEN(A79)&gt;2,VLOOKUP(A79,COPY!$A$2:$O$1000,13,FALSE),"")/E79,"")</f>
        <v/>
      </c>
      <c r="J79" s="546"/>
      <c r="K79" s="547" t="str">
        <f t="shared" ref="K79:K142" si="8">IF(E79="","",IF(E79=0,I79,IF(E79&gt;0,E79*I79,0)))</f>
        <v/>
      </c>
      <c r="L79" s="548" t="str">
        <f t="shared" si="5"/>
        <v/>
      </c>
      <c r="M79" s="549">
        <f t="shared" ref="M79:M142" si="9">IF(O79&lt;0,O79,IF(O79&gt;=0,0,0))</f>
        <v>0</v>
      </c>
      <c r="O79" s="538" t="str">
        <f t="shared" si="6"/>
        <v/>
      </c>
      <c r="P79" s="550"/>
      <c r="Q79" s="551"/>
    </row>
    <row r="80" spans="1:17" s="253" customFormat="1" ht="20.100000000000001" hidden="1" customHeight="1" x14ac:dyDescent="0.25">
      <c r="A80" s="253" t="str">
        <f t="shared" ref="A80:A143" si="10">IF(LEN(A79)&gt;2,$D$4&amp;"."&amp;IF(ROW()-ROW($A$15)+1&lt;=$A$10,ROW()-ROW($A$15)+1,""),"")</f>
        <v/>
      </c>
      <c r="B80" s="584" t="str">
        <f>IF(LEN(A80)&gt;2,VLOOKUP(A80,COPY!$A$2:$O$1000,4,FALSE),"")</f>
        <v/>
      </c>
      <c r="C80" s="585" t="str">
        <f>IF(LEN(A80)&gt;2,VLOOKUP(A80,COPY!$A$2:$O$1000,15,FALSE),"")</f>
        <v/>
      </c>
      <c r="D80" s="542" t="str">
        <f>IF(LEN(A80)&gt;2,VLOOKUP(A80,COPY!$A$2:$O$1000,2,FALSE),"")</f>
        <v/>
      </c>
      <c r="E80" s="607" t="str">
        <f>IF(LEN(A80)&gt;2,VLOOKUP(A80,COPY!$A$2:$O$1000,10,FALSE),"")</f>
        <v/>
      </c>
      <c r="F80" s="542" t="str">
        <f>IF(LEN(A80)&gt;2,VLOOKUP(A80,COPY!$A$2:$O$1000,8,FALSE),"")</f>
        <v/>
      </c>
      <c r="G80" s="543" t="str">
        <f>IF(LEN(A80)&gt;2,VLOOKUP(A80,COPY!$A$2:$O$1000,7,FALSE),"")</f>
        <v/>
      </c>
      <c r="H80" s="544" t="str">
        <f t="shared" si="7"/>
        <v/>
      </c>
      <c r="I80" s="545" t="str">
        <f>IFERROR(IF(LEN(A80)&gt;2,VLOOKUP(A80,COPY!$A$2:$O$1000,13,FALSE),"")/E80,"")</f>
        <v/>
      </c>
      <c r="J80" s="546"/>
      <c r="K80" s="547" t="str">
        <f t="shared" si="8"/>
        <v/>
      </c>
      <c r="L80" s="548" t="str">
        <f t="shared" ref="L80:L122" si="11">IF(E80="","",IF(O80&gt;=0,O80,IF(O80&lt;0,0,0)))</f>
        <v/>
      </c>
      <c r="M80" s="549">
        <f t="shared" si="9"/>
        <v>0</v>
      </c>
      <c r="O80" s="538" t="str">
        <f t="shared" ref="O80:O122" si="12">IF(E80="",O79,IF(L79&gt;0,L79-K80,IF(M79&lt;=0,M79-K80,0)))</f>
        <v/>
      </c>
      <c r="P80" s="550"/>
      <c r="Q80" s="551"/>
    </row>
    <row r="81" spans="1:17" s="253" customFormat="1" ht="20.100000000000001" hidden="1" customHeight="1" x14ac:dyDescent="0.25">
      <c r="A81" s="253" t="str">
        <f t="shared" si="10"/>
        <v/>
      </c>
      <c r="B81" s="584" t="str">
        <f>IF(LEN(A81)&gt;2,VLOOKUP(A81,COPY!$A$2:$O$1000,4,FALSE),"")</f>
        <v/>
      </c>
      <c r="C81" s="585" t="str">
        <f>IF(LEN(A81)&gt;2,VLOOKUP(A81,COPY!$A$2:$O$1000,15,FALSE),"")</f>
        <v/>
      </c>
      <c r="D81" s="542" t="str">
        <f>IF(LEN(A81)&gt;2,VLOOKUP(A81,COPY!$A$2:$O$1000,2,FALSE),"")</f>
        <v/>
      </c>
      <c r="E81" s="607" t="str">
        <f>IF(LEN(A81)&gt;2,VLOOKUP(A81,COPY!$A$2:$O$1000,10,FALSE),"")</f>
        <v/>
      </c>
      <c r="F81" s="542" t="str">
        <f>IF(LEN(A81)&gt;2,VLOOKUP(A81,COPY!$A$2:$O$1000,8,FALSE),"")</f>
        <v/>
      </c>
      <c r="G81" s="543" t="str">
        <f>IF(LEN(A81)&gt;2,VLOOKUP(A81,COPY!$A$2:$O$1000,7,FALSE),"")</f>
        <v/>
      </c>
      <c r="H81" s="544" t="str">
        <f t="shared" si="7"/>
        <v/>
      </c>
      <c r="I81" s="545" t="str">
        <f>IFERROR(IF(LEN(A81)&gt;2,VLOOKUP(A81,COPY!$A$2:$O$1000,13,FALSE),"")/E81,"")</f>
        <v/>
      </c>
      <c r="J81" s="546"/>
      <c r="K81" s="547" t="str">
        <f t="shared" si="8"/>
        <v/>
      </c>
      <c r="L81" s="548" t="str">
        <f t="shared" si="11"/>
        <v/>
      </c>
      <c r="M81" s="549">
        <f t="shared" si="9"/>
        <v>0</v>
      </c>
      <c r="O81" s="538" t="str">
        <f t="shared" si="12"/>
        <v/>
      </c>
      <c r="P81" s="550"/>
      <c r="Q81" s="551"/>
    </row>
    <row r="82" spans="1:17" s="253" customFormat="1" ht="20.100000000000001" hidden="1" customHeight="1" x14ac:dyDescent="0.25">
      <c r="A82" s="253" t="str">
        <f t="shared" si="10"/>
        <v/>
      </c>
      <c r="B82" s="584" t="str">
        <f>IF(LEN(A82)&gt;2,VLOOKUP(A82,COPY!$A$2:$O$1000,4,FALSE),"")</f>
        <v/>
      </c>
      <c r="C82" s="585" t="str">
        <f>IF(LEN(A82)&gt;2,VLOOKUP(A82,COPY!$A$2:$O$1000,15,FALSE),"")</f>
        <v/>
      </c>
      <c r="D82" s="542" t="str">
        <f>IF(LEN(A82)&gt;2,VLOOKUP(A82,COPY!$A$2:$O$1000,2,FALSE),"")</f>
        <v/>
      </c>
      <c r="E82" s="607" t="str">
        <f>IF(LEN(A82)&gt;2,VLOOKUP(A82,COPY!$A$2:$O$1000,10,FALSE),"")</f>
        <v/>
      </c>
      <c r="F82" s="542" t="str">
        <f>IF(LEN(A82)&gt;2,VLOOKUP(A82,COPY!$A$2:$O$1000,8,FALSE),"")</f>
        <v/>
      </c>
      <c r="G82" s="543" t="str">
        <f>IF(LEN(A82)&gt;2,VLOOKUP(A82,COPY!$A$2:$O$1000,7,FALSE),"")</f>
        <v/>
      </c>
      <c r="H82" s="544" t="str">
        <f t="shared" si="7"/>
        <v/>
      </c>
      <c r="I82" s="545" t="str">
        <f>IFERROR(IF(LEN(A82)&gt;2,VLOOKUP(A82,COPY!$A$2:$O$1000,13,FALSE),"")/E82,"")</f>
        <v/>
      </c>
      <c r="J82" s="546"/>
      <c r="K82" s="547" t="str">
        <f t="shared" si="8"/>
        <v/>
      </c>
      <c r="L82" s="548" t="str">
        <f t="shared" si="11"/>
        <v/>
      </c>
      <c r="M82" s="549">
        <f t="shared" si="9"/>
        <v>0</v>
      </c>
      <c r="O82" s="538" t="str">
        <f t="shared" si="12"/>
        <v/>
      </c>
      <c r="P82" s="550"/>
      <c r="Q82" s="551"/>
    </row>
    <row r="83" spans="1:17" s="253" customFormat="1" ht="20.100000000000001" hidden="1" customHeight="1" x14ac:dyDescent="0.25">
      <c r="A83" s="253" t="str">
        <f t="shared" si="10"/>
        <v/>
      </c>
      <c r="B83" s="584" t="str">
        <f>IF(LEN(A83)&gt;2,VLOOKUP(A83,COPY!$A$2:$O$1000,4,FALSE),"")</f>
        <v/>
      </c>
      <c r="C83" s="585" t="str">
        <f>IF(LEN(A83)&gt;2,VLOOKUP(A83,COPY!$A$2:$O$1000,15,FALSE),"")</f>
        <v/>
      </c>
      <c r="D83" s="542" t="str">
        <f>IF(LEN(A83)&gt;2,VLOOKUP(A83,COPY!$A$2:$O$1000,2,FALSE),"")</f>
        <v/>
      </c>
      <c r="E83" s="607" t="str">
        <f>IF(LEN(A83)&gt;2,VLOOKUP(A83,COPY!$A$2:$O$1000,10,FALSE),"")</f>
        <v/>
      </c>
      <c r="F83" s="542" t="str">
        <f>IF(LEN(A83)&gt;2,VLOOKUP(A83,COPY!$A$2:$O$1000,8,FALSE),"")</f>
        <v/>
      </c>
      <c r="G83" s="543" t="str">
        <f>IF(LEN(A83)&gt;2,VLOOKUP(A83,COPY!$A$2:$O$1000,7,FALSE),"")</f>
        <v/>
      </c>
      <c r="H83" s="544" t="str">
        <f t="shared" si="7"/>
        <v/>
      </c>
      <c r="I83" s="545" t="str">
        <f>IFERROR(IF(LEN(A83)&gt;2,VLOOKUP(A83,COPY!$A$2:$O$1000,13,FALSE),"")/E83,"")</f>
        <v/>
      </c>
      <c r="J83" s="546"/>
      <c r="K83" s="547" t="str">
        <f t="shared" si="8"/>
        <v/>
      </c>
      <c r="L83" s="548" t="str">
        <f t="shared" si="11"/>
        <v/>
      </c>
      <c r="M83" s="549">
        <f t="shared" si="9"/>
        <v>0</v>
      </c>
      <c r="O83" s="538" t="str">
        <f t="shared" si="12"/>
        <v/>
      </c>
      <c r="P83" s="550"/>
      <c r="Q83" s="551"/>
    </row>
    <row r="84" spans="1:17" s="253" customFormat="1" ht="20.100000000000001" hidden="1" customHeight="1" x14ac:dyDescent="0.25">
      <c r="A84" s="253" t="str">
        <f t="shared" si="10"/>
        <v/>
      </c>
      <c r="B84" s="584" t="str">
        <f>IF(LEN(A84)&gt;2,VLOOKUP(A84,COPY!$A$2:$O$1000,4,FALSE),"")</f>
        <v/>
      </c>
      <c r="C84" s="585" t="str">
        <f>IF(LEN(A84)&gt;2,VLOOKUP(A84,COPY!$A$2:$O$1000,15,FALSE),"")</f>
        <v/>
      </c>
      <c r="D84" s="542" t="str">
        <f>IF(LEN(A84)&gt;2,VLOOKUP(A84,COPY!$A$2:$O$1000,2,FALSE),"")</f>
        <v/>
      </c>
      <c r="E84" s="607" t="str">
        <f>IF(LEN(A84)&gt;2,VLOOKUP(A84,COPY!$A$2:$O$1000,10,FALSE),"")</f>
        <v/>
      </c>
      <c r="F84" s="542" t="str">
        <f>IF(LEN(A84)&gt;2,VLOOKUP(A84,COPY!$A$2:$O$1000,8,FALSE),"")</f>
        <v/>
      </c>
      <c r="G84" s="543" t="str">
        <f>IF(LEN(A84)&gt;2,VLOOKUP(A84,COPY!$A$2:$O$1000,7,FALSE),"")</f>
        <v/>
      </c>
      <c r="H84" s="544" t="str">
        <f t="shared" si="7"/>
        <v/>
      </c>
      <c r="I84" s="545" t="str">
        <f>IFERROR(IF(LEN(A84)&gt;2,VLOOKUP(A84,COPY!$A$2:$O$1000,13,FALSE),"")/E84,"")</f>
        <v/>
      </c>
      <c r="J84" s="546"/>
      <c r="K84" s="547" t="str">
        <f t="shared" si="8"/>
        <v/>
      </c>
      <c r="L84" s="548" t="str">
        <f t="shared" si="11"/>
        <v/>
      </c>
      <c r="M84" s="549">
        <f t="shared" si="9"/>
        <v>0</v>
      </c>
      <c r="O84" s="538" t="str">
        <f t="shared" si="12"/>
        <v/>
      </c>
      <c r="P84" s="550"/>
      <c r="Q84" s="551"/>
    </row>
    <row r="85" spans="1:17" s="253" customFormat="1" ht="20.100000000000001" hidden="1" customHeight="1" x14ac:dyDescent="0.25">
      <c r="A85" s="253" t="str">
        <f t="shared" si="10"/>
        <v/>
      </c>
      <c r="B85" s="584" t="str">
        <f>IF(LEN(A85)&gt;2,VLOOKUP(A85,COPY!$A$2:$O$1000,4,FALSE),"")</f>
        <v/>
      </c>
      <c r="C85" s="585" t="str">
        <f>IF(LEN(A85)&gt;2,VLOOKUP(A85,COPY!$A$2:$O$1000,15,FALSE),"")</f>
        <v/>
      </c>
      <c r="D85" s="542" t="str">
        <f>IF(LEN(A85)&gt;2,VLOOKUP(A85,COPY!$A$2:$O$1000,2,FALSE),"")</f>
        <v/>
      </c>
      <c r="E85" s="607" t="str">
        <f>IF(LEN(A85)&gt;2,VLOOKUP(A85,COPY!$A$2:$O$1000,10,FALSE),"")</f>
        <v/>
      </c>
      <c r="F85" s="542" t="str">
        <f>IF(LEN(A85)&gt;2,VLOOKUP(A85,COPY!$A$2:$O$1000,8,FALSE),"")</f>
        <v/>
      </c>
      <c r="G85" s="543" t="str">
        <f>IF(LEN(A85)&gt;2,VLOOKUP(A85,COPY!$A$2:$O$1000,7,FALSE),"")</f>
        <v/>
      </c>
      <c r="H85" s="544" t="str">
        <f t="shared" si="7"/>
        <v/>
      </c>
      <c r="I85" s="545" t="str">
        <f>IFERROR(IF(LEN(A85)&gt;2,VLOOKUP(A85,COPY!$A$2:$O$1000,13,FALSE),"")/E85,"")</f>
        <v/>
      </c>
      <c r="J85" s="546"/>
      <c r="K85" s="547" t="str">
        <f t="shared" si="8"/>
        <v/>
      </c>
      <c r="L85" s="548" t="str">
        <f t="shared" si="11"/>
        <v/>
      </c>
      <c r="M85" s="549">
        <f t="shared" si="9"/>
        <v>0</v>
      </c>
      <c r="O85" s="538" t="str">
        <f t="shared" si="12"/>
        <v/>
      </c>
      <c r="P85" s="550"/>
      <c r="Q85" s="551"/>
    </row>
    <row r="86" spans="1:17" s="253" customFormat="1" ht="20.100000000000001" hidden="1" customHeight="1" x14ac:dyDescent="0.25">
      <c r="A86" s="253" t="str">
        <f t="shared" si="10"/>
        <v/>
      </c>
      <c r="B86" s="584" t="str">
        <f>IF(LEN(A86)&gt;2,VLOOKUP(A86,COPY!$A$2:$O$1000,4,FALSE),"")</f>
        <v/>
      </c>
      <c r="C86" s="585" t="str">
        <f>IF(LEN(A86)&gt;2,VLOOKUP(A86,COPY!$A$2:$O$1000,15,FALSE),"")</f>
        <v/>
      </c>
      <c r="D86" s="542" t="str">
        <f>IF(LEN(A86)&gt;2,VLOOKUP(A86,COPY!$A$2:$O$1000,2,FALSE),"")</f>
        <v/>
      </c>
      <c r="E86" s="607" t="str">
        <f>IF(LEN(A86)&gt;2,VLOOKUP(A86,COPY!$A$2:$O$1000,10,FALSE),"")</f>
        <v/>
      </c>
      <c r="F86" s="542" t="str">
        <f>IF(LEN(A86)&gt;2,VLOOKUP(A86,COPY!$A$2:$O$1000,8,FALSE),"")</f>
        <v/>
      </c>
      <c r="G86" s="543" t="str">
        <f>IF(LEN(A86)&gt;2,VLOOKUP(A86,COPY!$A$2:$O$1000,7,FALSE),"")</f>
        <v/>
      </c>
      <c r="H86" s="544" t="str">
        <f t="shared" si="7"/>
        <v/>
      </c>
      <c r="I86" s="545" t="str">
        <f>IFERROR(IF(LEN(A86)&gt;2,VLOOKUP(A86,COPY!$A$2:$O$1000,13,FALSE),"")/E86,"")</f>
        <v/>
      </c>
      <c r="J86" s="546"/>
      <c r="K86" s="547" t="str">
        <f t="shared" si="8"/>
        <v/>
      </c>
      <c r="L86" s="548" t="str">
        <f t="shared" si="11"/>
        <v/>
      </c>
      <c r="M86" s="549">
        <f t="shared" si="9"/>
        <v>0</v>
      </c>
      <c r="O86" s="538" t="str">
        <f t="shared" si="12"/>
        <v/>
      </c>
      <c r="P86" s="550"/>
      <c r="Q86" s="551"/>
    </row>
    <row r="87" spans="1:17" s="253" customFormat="1" ht="20.100000000000001" hidden="1" customHeight="1" x14ac:dyDescent="0.25">
      <c r="A87" s="253" t="str">
        <f t="shared" si="10"/>
        <v/>
      </c>
      <c r="B87" s="584" t="str">
        <f>IF(LEN(A87)&gt;2,VLOOKUP(A87,COPY!$A$2:$O$1000,4,FALSE),"")</f>
        <v/>
      </c>
      <c r="C87" s="585" t="str">
        <f>IF(LEN(A87)&gt;2,VLOOKUP(A87,COPY!$A$2:$O$1000,15,FALSE),"")</f>
        <v/>
      </c>
      <c r="D87" s="542" t="str">
        <f>IF(LEN(A87)&gt;2,VLOOKUP(A87,COPY!$A$2:$O$1000,2,FALSE),"")</f>
        <v/>
      </c>
      <c r="E87" s="607" t="str">
        <f>IF(LEN(A87)&gt;2,VLOOKUP(A87,COPY!$A$2:$O$1000,10,FALSE),"")</f>
        <v/>
      </c>
      <c r="F87" s="542" t="str">
        <f>IF(LEN(A87)&gt;2,VLOOKUP(A87,COPY!$A$2:$O$1000,8,FALSE),"")</f>
        <v/>
      </c>
      <c r="G87" s="543" t="str">
        <f>IF(LEN(A87)&gt;2,VLOOKUP(A87,COPY!$A$2:$O$1000,7,FALSE),"")</f>
        <v/>
      </c>
      <c r="H87" s="544" t="str">
        <f t="shared" si="7"/>
        <v/>
      </c>
      <c r="I87" s="545" t="str">
        <f>IFERROR(IF(LEN(A87)&gt;2,VLOOKUP(A87,COPY!$A$2:$O$1000,13,FALSE),"")/E87,"")</f>
        <v/>
      </c>
      <c r="J87" s="546"/>
      <c r="K87" s="547" t="str">
        <f t="shared" si="8"/>
        <v/>
      </c>
      <c r="L87" s="548" t="str">
        <f t="shared" si="11"/>
        <v/>
      </c>
      <c r="M87" s="549">
        <f t="shared" si="9"/>
        <v>0</v>
      </c>
      <c r="O87" s="538" t="str">
        <f t="shared" si="12"/>
        <v/>
      </c>
      <c r="P87" s="550"/>
      <c r="Q87" s="551"/>
    </row>
    <row r="88" spans="1:17" s="253" customFormat="1" ht="20.100000000000001" hidden="1" customHeight="1" x14ac:dyDescent="0.25">
      <c r="A88" s="253" t="str">
        <f t="shared" si="10"/>
        <v/>
      </c>
      <c r="B88" s="584" t="str">
        <f>IF(LEN(A88)&gt;2,VLOOKUP(A88,COPY!$A$2:$O$1000,4,FALSE),"")</f>
        <v/>
      </c>
      <c r="C88" s="585" t="str">
        <f>IF(LEN(A88)&gt;2,VLOOKUP(A88,COPY!$A$2:$O$1000,15,FALSE),"")</f>
        <v/>
      </c>
      <c r="D88" s="542" t="str">
        <f>IF(LEN(A88)&gt;2,VLOOKUP(A88,COPY!$A$2:$O$1000,2,FALSE),"")</f>
        <v/>
      </c>
      <c r="E88" s="607" t="str">
        <f>IF(LEN(A88)&gt;2,VLOOKUP(A88,COPY!$A$2:$O$1000,10,FALSE),"")</f>
        <v/>
      </c>
      <c r="F88" s="542" t="str">
        <f>IF(LEN(A88)&gt;2,VLOOKUP(A88,COPY!$A$2:$O$1000,8,FALSE),"")</f>
        <v/>
      </c>
      <c r="G88" s="543" t="str">
        <f>IF(LEN(A88)&gt;2,VLOOKUP(A88,COPY!$A$2:$O$1000,7,FALSE),"")</f>
        <v/>
      </c>
      <c r="H88" s="544" t="str">
        <f t="shared" si="7"/>
        <v/>
      </c>
      <c r="I88" s="545" t="str">
        <f>IFERROR(IF(LEN(A88)&gt;2,VLOOKUP(A88,COPY!$A$2:$O$1000,13,FALSE),"")/E88,"")</f>
        <v/>
      </c>
      <c r="J88" s="546"/>
      <c r="K88" s="547" t="str">
        <f t="shared" si="8"/>
        <v/>
      </c>
      <c r="L88" s="548" t="str">
        <f t="shared" si="11"/>
        <v/>
      </c>
      <c r="M88" s="549">
        <f t="shared" si="9"/>
        <v>0</v>
      </c>
      <c r="O88" s="538" t="str">
        <f t="shared" si="12"/>
        <v/>
      </c>
      <c r="P88" s="550"/>
      <c r="Q88" s="551"/>
    </row>
    <row r="89" spans="1:17" s="253" customFormat="1" ht="20.100000000000001" hidden="1" customHeight="1" x14ac:dyDescent="0.25">
      <c r="A89" s="253" t="str">
        <f t="shared" si="10"/>
        <v/>
      </c>
      <c r="B89" s="584" t="str">
        <f>IF(LEN(A89)&gt;2,VLOOKUP(A89,COPY!$A$2:$O$1000,4,FALSE),"")</f>
        <v/>
      </c>
      <c r="C89" s="585" t="str">
        <f>IF(LEN(A89)&gt;2,VLOOKUP(A89,COPY!$A$2:$O$1000,15,FALSE),"")</f>
        <v/>
      </c>
      <c r="D89" s="542" t="str">
        <f>IF(LEN(A89)&gt;2,VLOOKUP(A89,COPY!$A$2:$O$1000,2,FALSE),"")</f>
        <v/>
      </c>
      <c r="E89" s="607" t="str">
        <f>IF(LEN(A89)&gt;2,VLOOKUP(A89,COPY!$A$2:$O$1000,10,FALSE),"")</f>
        <v/>
      </c>
      <c r="F89" s="542" t="str">
        <f>IF(LEN(A89)&gt;2,VLOOKUP(A89,COPY!$A$2:$O$1000,8,FALSE),"")</f>
        <v/>
      </c>
      <c r="G89" s="543" t="str">
        <f>IF(LEN(A89)&gt;2,VLOOKUP(A89,COPY!$A$2:$O$1000,7,FALSE),"")</f>
        <v/>
      </c>
      <c r="H89" s="544" t="str">
        <f t="shared" si="7"/>
        <v/>
      </c>
      <c r="I89" s="545" t="str">
        <f>IFERROR(IF(LEN(A89)&gt;2,VLOOKUP(A89,COPY!$A$2:$O$1000,13,FALSE),"")/E89,"")</f>
        <v/>
      </c>
      <c r="J89" s="546"/>
      <c r="K89" s="547" t="str">
        <f t="shared" si="8"/>
        <v/>
      </c>
      <c r="L89" s="548" t="str">
        <f t="shared" si="11"/>
        <v/>
      </c>
      <c r="M89" s="549">
        <f t="shared" si="9"/>
        <v>0</v>
      </c>
      <c r="O89" s="538" t="str">
        <f t="shared" si="12"/>
        <v/>
      </c>
      <c r="P89" s="550"/>
      <c r="Q89" s="551"/>
    </row>
    <row r="90" spans="1:17" s="253" customFormat="1" ht="20.100000000000001" hidden="1" customHeight="1" x14ac:dyDescent="0.25">
      <c r="A90" s="253" t="str">
        <f t="shared" si="10"/>
        <v/>
      </c>
      <c r="B90" s="584" t="str">
        <f>IF(LEN(A90)&gt;2,VLOOKUP(A90,COPY!$A$2:$O$1000,4,FALSE),"")</f>
        <v/>
      </c>
      <c r="C90" s="585" t="str">
        <f>IF(LEN(A90)&gt;2,VLOOKUP(A90,COPY!$A$2:$O$1000,15,FALSE),"")</f>
        <v/>
      </c>
      <c r="D90" s="542" t="str">
        <f>IF(LEN(A90)&gt;2,VLOOKUP(A90,COPY!$A$2:$O$1000,2,FALSE),"")</f>
        <v/>
      </c>
      <c r="E90" s="607" t="str">
        <f>IF(LEN(A90)&gt;2,VLOOKUP(A90,COPY!$A$2:$O$1000,10,FALSE),"")</f>
        <v/>
      </c>
      <c r="F90" s="542" t="str">
        <f>IF(LEN(A90)&gt;2,VLOOKUP(A90,COPY!$A$2:$O$1000,8,FALSE),"")</f>
        <v/>
      </c>
      <c r="G90" s="543" t="str">
        <f>IF(LEN(A90)&gt;2,VLOOKUP(A90,COPY!$A$2:$O$1000,7,FALSE),"")</f>
        <v/>
      </c>
      <c r="H90" s="544" t="str">
        <f t="shared" si="7"/>
        <v/>
      </c>
      <c r="I90" s="545" t="str">
        <f>IFERROR(IF(LEN(A90)&gt;2,VLOOKUP(A90,COPY!$A$2:$O$1000,13,FALSE),"")/E90,"")</f>
        <v/>
      </c>
      <c r="J90" s="546"/>
      <c r="K90" s="547" t="str">
        <f t="shared" si="8"/>
        <v/>
      </c>
      <c r="L90" s="548" t="str">
        <f t="shared" si="11"/>
        <v/>
      </c>
      <c r="M90" s="549">
        <f t="shared" si="9"/>
        <v>0</v>
      </c>
      <c r="O90" s="538" t="str">
        <f t="shared" si="12"/>
        <v/>
      </c>
      <c r="P90" s="550"/>
      <c r="Q90" s="551"/>
    </row>
    <row r="91" spans="1:17" s="253" customFormat="1" ht="20.100000000000001" hidden="1" customHeight="1" x14ac:dyDescent="0.25">
      <c r="A91" s="253" t="str">
        <f t="shared" si="10"/>
        <v/>
      </c>
      <c r="B91" s="584" t="str">
        <f>IF(LEN(A91)&gt;2,VLOOKUP(A91,COPY!$A$2:$O$1000,4,FALSE),"")</f>
        <v/>
      </c>
      <c r="C91" s="585" t="str">
        <f>IF(LEN(A91)&gt;2,VLOOKUP(A91,COPY!$A$2:$O$1000,15,FALSE),"")</f>
        <v/>
      </c>
      <c r="D91" s="542" t="str">
        <f>IF(LEN(A91)&gt;2,VLOOKUP(A91,COPY!$A$2:$O$1000,2,FALSE),"")</f>
        <v/>
      </c>
      <c r="E91" s="607" t="str">
        <f>IF(LEN(A91)&gt;2,VLOOKUP(A91,COPY!$A$2:$O$1000,10,FALSE),"")</f>
        <v/>
      </c>
      <c r="F91" s="542" t="str">
        <f>IF(LEN(A91)&gt;2,VLOOKUP(A91,COPY!$A$2:$O$1000,8,FALSE),"")</f>
        <v/>
      </c>
      <c r="G91" s="543" t="str">
        <f>IF(LEN(A91)&gt;2,VLOOKUP(A91,COPY!$A$2:$O$1000,7,FALSE),"")</f>
        <v/>
      </c>
      <c r="H91" s="544" t="str">
        <f t="shared" si="7"/>
        <v/>
      </c>
      <c r="I91" s="545" t="str">
        <f>IFERROR(IF(LEN(A91)&gt;2,VLOOKUP(A91,COPY!$A$2:$O$1000,13,FALSE),"")/E91,"")</f>
        <v/>
      </c>
      <c r="J91" s="546"/>
      <c r="K91" s="547" t="str">
        <f t="shared" si="8"/>
        <v/>
      </c>
      <c r="L91" s="548" t="str">
        <f t="shared" si="11"/>
        <v/>
      </c>
      <c r="M91" s="549">
        <f t="shared" si="9"/>
        <v>0</v>
      </c>
      <c r="O91" s="538" t="str">
        <f t="shared" si="12"/>
        <v/>
      </c>
      <c r="P91" s="550"/>
      <c r="Q91" s="551"/>
    </row>
    <row r="92" spans="1:17" s="253" customFormat="1" ht="20.100000000000001" hidden="1" customHeight="1" x14ac:dyDescent="0.25">
      <c r="A92" s="253" t="str">
        <f t="shared" si="10"/>
        <v/>
      </c>
      <c r="B92" s="584" t="str">
        <f>IF(LEN(A92)&gt;2,VLOOKUP(A92,COPY!$A$2:$O$1000,4,FALSE),"")</f>
        <v/>
      </c>
      <c r="C92" s="585" t="str">
        <f>IF(LEN(A92)&gt;2,VLOOKUP(A92,COPY!$A$2:$O$1000,15,FALSE),"")</f>
        <v/>
      </c>
      <c r="D92" s="542" t="str">
        <f>IF(LEN(A92)&gt;2,VLOOKUP(A92,COPY!$A$2:$O$1000,2,FALSE),"")</f>
        <v/>
      </c>
      <c r="E92" s="607" t="str">
        <f>IF(LEN(A92)&gt;2,VLOOKUP(A92,COPY!$A$2:$O$1000,10,FALSE),"")</f>
        <v/>
      </c>
      <c r="F92" s="542" t="str">
        <f>IF(LEN(A92)&gt;2,VLOOKUP(A92,COPY!$A$2:$O$1000,8,FALSE),"")</f>
        <v/>
      </c>
      <c r="G92" s="543" t="str">
        <f>IF(LEN(A92)&gt;2,VLOOKUP(A92,COPY!$A$2:$O$1000,7,FALSE),"")</f>
        <v/>
      </c>
      <c r="H92" s="544" t="str">
        <f t="shared" si="7"/>
        <v/>
      </c>
      <c r="I92" s="545" t="str">
        <f>IFERROR(IF(LEN(A92)&gt;2,VLOOKUP(A92,COPY!$A$2:$O$1000,13,FALSE),"")/E92,"")</f>
        <v/>
      </c>
      <c r="J92" s="546"/>
      <c r="K92" s="547" t="str">
        <f t="shared" si="8"/>
        <v/>
      </c>
      <c r="L92" s="548" t="str">
        <f t="shared" si="11"/>
        <v/>
      </c>
      <c r="M92" s="549">
        <f t="shared" si="9"/>
        <v>0</v>
      </c>
      <c r="O92" s="538" t="str">
        <f t="shared" si="12"/>
        <v/>
      </c>
      <c r="P92" s="550"/>
      <c r="Q92" s="551"/>
    </row>
    <row r="93" spans="1:17" s="253" customFormat="1" ht="20.100000000000001" hidden="1" customHeight="1" x14ac:dyDescent="0.25">
      <c r="A93" s="253" t="str">
        <f t="shared" si="10"/>
        <v/>
      </c>
      <c r="B93" s="584" t="str">
        <f>IF(LEN(A93)&gt;2,VLOOKUP(A93,COPY!$A$2:$O$1000,4,FALSE),"")</f>
        <v/>
      </c>
      <c r="C93" s="585" t="str">
        <f>IF(LEN(A93)&gt;2,VLOOKUP(A93,COPY!$A$2:$O$1000,15,FALSE),"")</f>
        <v/>
      </c>
      <c r="D93" s="542" t="str">
        <f>IF(LEN(A93)&gt;2,VLOOKUP(A93,COPY!$A$2:$O$1000,2,FALSE),"")</f>
        <v/>
      </c>
      <c r="E93" s="607" t="str">
        <f>IF(LEN(A93)&gt;2,VLOOKUP(A93,COPY!$A$2:$O$1000,10,FALSE),"")</f>
        <v/>
      </c>
      <c r="F93" s="542" t="str">
        <f>IF(LEN(A93)&gt;2,VLOOKUP(A93,COPY!$A$2:$O$1000,8,FALSE),"")</f>
        <v/>
      </c>
      <c r="G93" s="543" t="str">
        <f>IF(LEN(A93)&gt;2,VLOOKUP(A93,COPY!$A$2:$O$1000,7,FALSE),"")</f>
        <v/>
      </c>
      <c r="H93" s="544" t="str">
        <f t="shared" si="7"/>
        <v/>
      </c>
      <c r="I93" s="545" t="str">
        <f>IFERROR(IF(LEN(A93)&gt;2,VLOOKUP(A93,COPY!$A$2:$O$1000,13,FALSE),"")/E93,"")</f>
        <v/>
      </c>
      <c r="J93" s="546"/>
      <c r="K93" s="547" t="str">
        <f t="shared" si="8"/>
        <v/>
      </c>
      <c r="L93" s="548" t="str">
        <f t="shared" si="11"/>
        <v/>
      </c>
      <c r="M93" s="549">
        <f t="shared" si="9"/>
        <v>0</v>
      </c>
      <c r="O93" s="538" t="str">
        <f t="shared" si="12"/>
        <v/>
      </c>
      <c r="P93" s="550"/>
      <c r="Q93" s="551"/>
    </row>
    <row r="94" spans="1:17" s="253" customFormat="1" ht="20.100000000000001" hidden="1" customHeight="1" x14ac:dyDescent="0.25">
      <c r="A94" s="253" t="str">
        <f t="shared" si="10"/>
        <v/>
      </c>
      <c r="B94" s="584" t="str">
        <f>IF(LEN(A94)&gt;2,VLOOKUP(A94,COPY!$A$2:$O$1000,4,FALSE),"")</f>
        <v/>
      </c>
      <c r="C94" s="585" t="str">
        <f>IF(LEN(A94)&gt;2,VLOOKUP(A94,COPY!$A$2:$O$1000,15,FALSE),"")</f>
        <v/>
      </c>
      <c r="D94" s="542" t="str">
        <f>IF(LEN(A94)&gt;2,VLOOKUP(A94,COPY!$A$2:$O$1000,2,FALSE),"")</f>
        <v/>
      </c>
      <c r="E94" s="607" t="str">
        <f>IF(LEN(A94)&gt;2,VLOOKUP(A94,COPY!$A$2:$O$1000,10,FALSE),"")</f>
        <v/>
      </c>
      <c r="F94" s="542" t="str">
        <f>IF(LEN(A94)&gt;2,VLOOKUP(A94,COPY!$A$2:$O$1000,8,FALSE),"")</f>
        <v/>
      </c>
      <c r="G94" s="543" t="str">
        <f>IF(LEN(A94)&gt;2,VLOOKUP(A94,COPY!$A$2:$O$1000,7,FALSE),"")</f>
        <v/>
      </c>
      <c r="H94" s="544" t="str">
        <f t="shared" si="7"/>
        <v/>
      </c>
      <c r="I94" s="545" t="str">
        <f>IFERROR(IF(LEN(A94)&gt;2,VLOOKUP(A94,COPY!$A$2:$O$1000,13,FALSE),"")/E94,"")</f>
        <v/>
      </c>
      <c r="J94" s="546"/>
      <c r="K94" s="547" t="str">
        <f t="shared" si="8"/>
        <v/>
      </c>
      <c r="L94" s="548" t="str">
        <f t="shared" si="11"/>
        <v/>
      </c>
      <c r="M94" s="549">
        <f t="shared" si="9"/>
        <v>0</v>
      </c>
      <c r="O94" s="538" t="str">
        <f t="shared" si="12"/>
        <v/>
      </c>
      <c r="P94" s="550"/>
      <c r="Q94" s="551"/>
    </row>
    <row r="95" spans="1:17" s="253" customFormat="1" ht="20.100000000000001" hidden="1" customHeight="1" x14ac:dyDescent="0.25">
      <c r="A95" s="253" t="str">
        <f t="shared" si="10"/>
        <v/>
      </c>
      <c r="B95" s="584" t="str">
        <f>IF(LEN(A95)&gt;2,VLOOKUP(A95,COPY!$A$2:$O$1000,4,FALSE),"")</f>
        <v/>
      </c>
      <c r="C95" s="585" t="str">
        <f>IF(LEN(A95)&gt;2,VLOOKUP(A95,COPY!$A$2:$O$1000,15,FALSE),"")</f>
        <v/>
      </c>
      <c r="D95" s="542" t="str">
        <f>IF(LEN(A95)&gt;2,VLOOKUP(A95,COPY!$A$2:$O$1000,2,FALSE),"")</f>
        <v/>
      </c>
      <c r="E95" s="607" t="str">
        <f>IF(LEN(A95)&gt;2,VLOOKUP(A95,COPY!$A$2:$O$1000,10,FALSE),"")</f>
        <v/>
      </c>
      <c r="F95" s="542" t="str">
        <f>IF(LEN(A95)&gt;2,VLOOKUP(A95,COPY!$A$2:$O$1000,8,FALSE),"")</f>
        <v/>
      </c>
      <c r="G95" s="543" t="str">
        <f>IF(LEN(A95)&gt;2,VLOOKUP(A95,COPY!$A$2:$O$1000,7,FALSE),"")</f>
        <v/>
      </c>
      <c r="H95" s="544" t="str">
        <f t="shared" si="7"/>
        <v/>
      </c>
      <c r="I95" s="545" t="str">
        <f>IFERROR(IF(LEN(A95)&gt;2,VLOOKUP(A95,COPY!$A$2:$O$1000,13,FALSE),"")/E95,"")</f>
        <v/>
      </c>
      <c r="J95" s="546"/>
      <c r="K95" s="547" t="str">
        <f t="shared" si="8"/>
        <v/>
      </c>
      <c r="L95" s="548" t="str">
        <f t="shared" si="11"/>
        <v/>
      </c>
      <c r="M95" s="549">
        <f t="shared" si="9"/>
        <v>0</v>
      </c>
      <c r="O95" s="538" t="str">
        <f t="shared" si="12"/>
        <v/>
      </c>
      <c r="P95" s="550"/>
      <c r="Q95" s="551"/>
    </row>
    <row r="96" spans="1:17" s="253" customFormat="1" ht="20.100000000000001" hidden="1" customHeight="1" x14ac:dyDescent="0.25">
      <c r="A96" s="253" t="str">
        <f t="shared" si="10"/>
        <v/>
      </c>
      <c r="B96" s="584" t="str">
        <f>IF(LEN(A96)&gt;2,VLOOKUP(A96,COPY!$A$2:$O$1000,4,FALSE),"")</f>
        <v/>
      </c>
      <c r="C96" s="585" t="str">
        <f>IF(LEN(A96)&gt;2,VLOOKUP(A96,COPY!$A$2:$O$1000,15,FALSE),"")</f>
        <v/>
      </c>
      <c r="D96" s="542" t="str">
        <f>IF(LEN(A96)&gt;2,VLOOKUP(A96,COPY!$A$2:$O$1000,2,FALSE),"")</f>
        <v/>
      </c>
      <c r="E96" s="607" t="str">
        <f>IF(LEN(A96)&gt;2,VLOOKUP(A96,COPY!$A$2:$O$1000,10,FALSE),"")</f>
        <v/>
      </c>
      <c r="F96" s="542" t="str">
        <f>IF(LEN(A96)&gt;2,VLOOKUP(A96,COPY!$A$2:$O$1000,8,FALSE),"")</f>
        <v/>
      </c>
      <c r="G96" s="543" t="str">
        <f>IF(LEN(A96)&gt;2,VLOOKUP(A96,COPY!$A$2:$O$1000,7,FALSE),"")</f>
        <v/>
      </c>
      <c r="H96" s="544" t="str">
        <f t="shared" si="7"/>
        <v/>
      </c>
      <c r="I96" s="545" t="str">
        <f>IFERROR(IF(LEN(A96)&gt;2,VLOOKUP(A96,COPY!$A$2:$O$1000,13,FALSE),"")/E96,"")</f>
        <v/>
      </c>
      <c r="J96" s="546"/>
      <c r="K96" s="547" t="str">
        <f t="shared" si="8"/>
        <v/>
      </c>
      <c r="L96" s="548" t="str">
        <f t="shared" si="11"/>
        <v/>
      </c>
      <c r="M96" s="549">
        <f t="shared" si="9"/>
        <v>0</v>
      </c>
      <c r="O96" s="538" t="str">
        <f t="shared" si="12"/>
        <v/>
      </c>
      <c r="P96" s="550"/>
      <c r="Q96" s="551"/>
    </row>
    <row r="97" spans="1:17" s="253" customFormat="1" ht="20.100000000000001" hidden="1" customHeight="1" x14ac:dyDescent="0.25">
      <c r="A97" s="253" t="str">
        <f t="shared" si="10"/>
        <v/>
      </c>
      <c r="B97" s="584" t="str">
        <f>IF(LEN(A97)&gt;2,VLOOKUP(A97,COPY!$A$2:$O$1000,4,FALSE),"")</f>
        <v/>
      </c>
      <c r="C97" s="585" t="str">
        <f>IF(LEN(A97)&gt;2,VLOOKUP(A97,COPY!$A$2:$O$1000,15,FALSE),"")</f>
        <v/>
      </c>
      <c r="D97" s="542" t="str">
        <f>IF(LEN(A97)&gt;2,VLOOKUP(A97,COPY!$A$2:$O$1000,2,FALSE),"")</f>
        <v/>
      </c>
      <c r="E97" s="607" t="str">
        <f>IF(LEN(A97)&gt;2,VLOOKUP(A97,COPY!$A$2:$O$1000,10,FALSE),"")</f>
        <v/>
      </c>
      <c r="F97" s="542" t="str">
        <f>IF(LEN(A97)&gt;2,VLOOKUP(A97,COPY!$A$2:$O$1000,8,FALSE),"")</f>
        <v/>
      </c>
      <c r="G97" s="543" t="str">
        <f>IF(LEN(A97)&gt;2,VLOOKUP(A97,COPY!$A$2:$O$1000,7,FALSE),"")</f>
        <v/>
      </c>
      <c r="H97" s="544" t="str">
        <f t="shared" si="7"/>
        <v/>
      </c>
      <c r="I97" s="545" t="str">
        <f>IFERROR(IF(LEN(A97)&gt;2,VLOOKUP(A97,COPY!$A$2:$O$1000,13,FALSE),"")/E97,"")</f>
        <v/>
      </c>
      <c r="J97" s="546"/>
      <c r="K97" s="547" t="str">
        <f t="shared" si="8"/>
        <v/>
      </c>
      <c r="L97" s="548" t="str">
        <f t="shared" si="11"/>
        <v/>
      </c>
      <c r="M97" s="549">
        <f t="shared" si="9"/>
        <v>0</v>
      </c>
      <c r="O97" s="538" t="str">
        <f t="shared" si="12"/>
        <v/>
      </c>
      <c r="P97" s="550"/>
      <c r="Q97" s="551"/>
    </row>
    <row r="98" spans="1:17" s="253" customFormat="1" ht="20.100000000000001" hidden="1" customHeight="1" x14ac:dyDescent="0.25">
      <c r="A98" s="253" t="str">
        <f t="shared" si="10"/>
        <v/>
      </c>
      <c r="B98" s="584" t="str">
        <f>IF(LEN(A98)&gt;2,VLOOKUP(A98,COPY!$A$2:$O$1000,4,FALSE),"")</f>
        <v/>
      </c>
      <c r="C98" s="585" t="str">
        <f>IF(LEN(A98)&gt;2,VLOOKUP(A98,COPY!$A$2:$O$1000,15,FALSE),"")</f>
        <v/>
      </c>
      <c r="D98" s="542" t="str">
        <f>IF(LEN(A98)&gt;2,VLOOKUP(A98,COPY!$A$2:$O$1000,2,FALSE),"")</f>
        <v/>
      </c>
      <c r="E98" s="607" t="str">
        <f>IF(LEN(A98)&gt;2,VLOOKUP(A98,COPY!$A$2:$O$1000,10,FALSE),"")</f>
        <v/>
      </c>
      <c r="F98" s="542" t="str">
        <f>IF(LEN(A98)&gt;2,VLOOKUP(A98,COPY!$A$2:$O$1000,8,FALSE),"")</f>
        <v/>
      </c>
      <c r="G98" s="543" t="str">
        <f>IF(LEN(A98)&gt;2,VLOOKUP(A98,COPY!$A$2:$O$1000,7,FALSE),"")</f>
        <v/>
      </c>
      <c r="H98" s="544" t="str">
        <f t="shared" si="7"/>
        <v/>
      </c>
      <c r="I98" s="545" t="str">
        <f>IFERROR(IF(LEN(A98)&gt;2,VLOOKUP(A98,COPY!$A$2:$O$1000,13,FALSE),"")/E98,"")</f>
        <v/>
      </c>
      <c r="J98" s="546"/>
      <c r="K98" s="547" t="str">
        <f t="shared" si="8"/>
        <v/>
      </c>
      <c r="L98" s="548" t="str">
        <f t="shared" si="11"/>
        <v/>
      </c>
      <c r="M98" s="549">
        <f t="shared" si="9"/>
        <v>0</v>
      </c>
      <c r="O98" s="538" t="str">
        <f t="shared" si="12"/>
        <v/>
      </c>
      <c r="P98" s="550"/>
      <c r="Q98" s="551"/>
    </row>
    <row r="99" spans="1:17" s="253" customFormat="1" ht="20.100000000000001" hidden="1" customHeight="1" x14ac:dyDescent="0.25">
      <c r="A99" s="253" t="str">
        <f t="shared" si="10"/>
        <v/>
      </c>
      <c r="B99" s="584" t="str">
        <f>IF(LEN(A99)&gt;2,VLOOKUP(A99,COPY!$A$2:$O$1000,4,FALSE),"")</f>
        <v/>
      </c>
      <c r="C99" s="585" t="str">
        <f>IF(LEN(A99)&gt;2,VLOOKUP(A99,COPY!$A$2:$O$1000,15,FALSE),"")</f>
        <v/>
      </c>
      <c r="D99" s="542" t="str">
        <f>IF(LEN(A99)&gt;2,VLOOKUP(A99,COPY!$A$2:$O$1000,2,FALSE),"")</f>
        <v/>
      </c>
      <c r="E99" s="607" t="str">
        <f>IF(LEN(A99)&gt;2,VLOOKUP(A99,COPY!$A$2:$O$1000,10,FALSE),"")</f>
        <v/>
      </c>
      <c r="F99" s="542" t="str">
        <f>IF(LEN(A99)&gt;2,VLOOKUP(A99,COPY!$A$2:$O$1000,8,FALSE),"")</f>
        <v/>
      </c>
      <c r="G99" s="543" t="str">
        <f>IF(LEN(A99)&gt;2,VLOOKUP(A99,COPY!$A$2:$O$1000,7,FALSE),"")</f>
        <v/>
      </c>
      <c r="H99" s="544" t="str">
        <f t="shared" si="7"/>
        <v/>
      </c>
      <c r="I99" s="545" t="str">
        <f>IFERROR(IF(LEN(A99)&gt;2,VLOOKUP(A99,COPY!$A$2:$O$1000,13,FALSE),"")/E99,"")</f>
        <v/>
      </c>
      <c r="J99" s="546"/>
      <c r="K99" s="547" t="str">
        <f t="shared" si="8"/>
        <v/>
      </c>
      <c r="L99" s="548" t="str">
        <f t="shared" si="11"/>
        <v/>
      </c>
      <c r="M99" s="549">
        <f t="shared" si="9"/>
        <v>0</v>
      </c>
      <c r="O99" s="538" t="str">
        <f t="shared" si="12"/>
        <v/>
      </c>
      <c r="P99" s="550"/>
      <c r="Q99" s="551"/>
    </row>
    <row r="100" spans="1:17" s="253" customFormat="1" ht="20.100000000000001" hidden="1" customHeight="1" x14ac:dyDescent="0.25">
      <c r="A100" s="253" t="str">
        <f t="shared" si="10"/>
        <v/>
      </c>
      <c r="B100" s="584" t="str">
        <f>IF(LEN(A100)&gt;2,VLOOKUP(A100,COPY!$A$2:$O$1000,4,FALSE),"")</f>
        <v/>
      </c>
      <c r="C100" s="585" t="str">
        <f>IF(LEN(A100)&gt;2,VLOOKUP(A100,COPY!$A$2:$O$1000,15,FALSE),"")</f>
        <v/>
      </c>
      <c r="D100" s="542" t="str">
        <f>IF(LEN(A100)&gt;2,VLOOKUP(A100,COPY!$A$2:$O$1000,2,FALSE),"")</f>
        <v/>
      </c>
      <c r="E100" s="607" t="str">
        <f>IF(LEN(A100)&gt;2,VLOOKUP(A100,COPY!$A$2:$O$1000,10,FALSE),"")</f>
        <v/>
      </c>
      <c r="F100" s="542" t="str">
        <f>IF(LEN(A100)&gt;2,VLOOKUP(A100,COPY!$A$2:$O$1000,8,FALSE),"")</f>
        <v/>
      </c>
      <c r="G100" s="543" t="str">
        <f>IF(LEN(A100)&gt;2,VLOOKUP(A100,COPY!$A$2:$O$1000,7,FALSE),"")</f>
        <v/>
      </c>
      <c r="H100" s="544" t="str">
        <f t="shared" si="7"/>
        <v/>
      </c>
      <c r="I100" s="545" t="str">
        <f>IFERROR(IF(LEN(A100)&gt;2,VLOOKUP(A100,COPY!$A$2:$O$1000,13,FALSE),"")/E100,"")</f>
        <v/>
      </c>
      <c r="J100" s="546"/>
      <c r="K100" s="547" t="str">
        <f t="shared" si="8"/>
        <v/>
      </c>
      <c r="L100" s="548" t="str">
        <f t="shared" si="11"/>
        <v/>
      </c>
      <c r="M100" s="549">
        <f t="shared" si="9"/>
        <v>0</v>
      </c>
      <c r="O100" s="538" t="str">
        <f t="shared" si="12"/>
        <v/>
      </c>
      <c r="P100" s="550"/>
      <c r="Q100" s="551"/>
    </row>
    <row r="101" spans="1:17" s="253" customFormat="1" ht="20.100000000000001" hidden="1" customHeight="1" x14ac:dyDescent="0.25">
      <c r="A101" s="253" t="str">
        <f t="shared" si="10"/>
        <v/>
      </c>
      <c r="B101" s="584" t="str">
        <f>IF(LEN(A101)&gt;2,VLOOKUP(A101,COPY!$A$2:$O$1000,4,FALSE),"")</f>
        <v/>
      </c>
      <c r="C101" s="585" t="str">
        <f>IF(LEN(A101)&gt;2,VLOOKUP(A101,COPY!$A$2:$O$1000,15,FALSE),"")</f>
        <v/>
      </c>
      <c r="D101" s="542" t="str">
        <f>IF(LEN(A101)&gt;2,VLOOKUP(A101,COPY!$A$2:$O$1000,2,FALSE),"")</f>
        <v/>
      </c>
      <c r="E101" s="607" t="str">
        <f>IF(LEN(A101)&gt;2,VLOOKUP(A101,COPY!$A$2:$O$1000,10,FALSE),"")</f>
        <v/>
      </c>
      <c r="F101" s="542" t="str">
        <f>IF(LEN(A101)&gt;2,VLOOKUP(A101,COPY!$A$2:$O$1000,8,FALSE),"")</f>
        <v/>
      </c>
      <c r="G101" s="543" t="str">
        <f>IF(LEN(A101)&gt;2,VLOOKUP(A101,COPY!$A$2:$O$1000,7,FALSE),"")</f>
        <v/>
      </c>
      <c r="H101" s="544" t="str">
        <f t="shared" si="7"/>
        <v/>
      </c>
      <c r="I101" s="545" t="str">
        <f>IFERROR(IF(LEN(A101)&gt;2,VLOOKUP(A101,COPY!$A$2:$O$1000,13,FALSE),"")/E101,"")</f>
        <v/>
      </c>
      <c r="J101" s="546"/>
      <c r="K101" s="547" t="str">
        <f t="shared" si="8"/>
        <v/>
      </c>
      <c r="L101" s="548" t="str">
        <f t="shared" si="11"/>
        <v/>
      </c>
      <c r="M101" s="549">
        <f t="shared" si="9"/>
        <v>0</v>
      </c>
      <c r="O101" s="538" t="str">
        <f t="shared" si="12"/>
        <v/>
      </c>
      <c r="P101" s="550"/>
      <c r="Q101" s="551"/>
    </row>
    <row r="102" spans="1:17" s="253" customFormat="1" ht="20.100000000000001" hidden="1" customHeight="1" x14ac:dyDescent="0.25">
      <c r="A102" s="253" t="str">
        <f t="shared" si="10"/>
        <v/>
      </c>
      <c r="B102" s="584" t="str">
        <f>IF(LEN(A102)&gt;2,VLOOKUP(A102,COPY!$A$2:$O$1000,4,FALSE),"")</f>
        <v/>
      </c>
      <c r="C102" s="585" t="str">
        <f>IF(LEN(A102)&gt;2,VLOOKUP(A102,COPY!$A$2:$O$1000,15,FALSE),"")</f>
        <v/>
      </c>
      <c r="D102" s="542" t="str">
        <f>IF(LEN(A102)&gt;2,VLOOKUP(A102,COPY!$A$2:$O$1000,2,FALSE),"")</f>
        <v/>
      </c>
      <c r="E102" s="607" t="str">
        <f>IF(LEN(A102)&gt;2,VLOOKUP(A102,COPY!$A$2:$O$1000,10,FALSE),"")</f>
        <v/>
      </c>
      <c r="F102" s="542" t="str">
        <f>IF(LEN(A102)&gt;2,VLOOKUP(A102,COPY!$A$2:$O$1000,8,FALSE),"")</f>
        <v/>
      </c>
      <c r="G102" s="543" t="str">
        <f>IF(LEN(A102)&gt;2,VLOOKUP(A102,COPY!$A$2:$O$1000,7,FALSE),"")</f>
        <v/>
      </c>
      <c r="H102" s="544" t="str">
        <f t="shared" si="7"/>
        <v/>
      </c>
      <c r="I102" s="545" t="str">
        <f>IFERROR(IF(LEN(A102)&gt;2,VLOOKUP(A102,COPY!$A$2:$O$1000,13,FALSE),"")/E102,"")</f>
        <v/>
      </c>
      <c r="J102" s="546"/>
      <c r="K102" s="547" t="str">
        <f t="shared" si="8"/>
        <v/>
      </c>
      <c r="L102" s="548" t="str">
        <f t="shared" si="11"/>
        <v/>
      </c>
      <c r="M102" s="549">
        <f t="shared" si="9"/>
        <v>0</v>
      </c>
      <c r="O102" s="538" t="str">
        <f t="shared" si="12"/>
        <v/>
      </c>
      <c r="P102" s="550"/>
      <c r="Q102" s="551"/>
    </row>
    <row r="103" spans="1:17" s="253" customFormat="1" ht="20.100000000000001" hidden="1" customHeight="1" x14ac:dyDescent="0.25">
      <c r="A103" s="253" t="str">
        <f t="shared" si="10"/>
        <v/>
      </c>
      <c r="B103" s="584" t="str">
        <f>IF(LEN(A103)&gt;2,VLOOKUP(A103,COPY!$A$2:$O$1000,4,FALSE),"")</f>
        <v/>
      </c>
      <c r="C103" s="585" t="str">
        <f>IF(LEN(A103)&gt;2,VLOOKUP(A103,COPY!$A$2:$O$1000,15,FALSE),"")</f>
        <v/>
      </c>
      <c r="D103" s="542" t="str">
        <f>IF(LEN(A103)&gt;2,VLOOKUP(A103,COPY!$A$2:$O$1000,2,FALSE),"")</f>
        <v/>
      </c>
      <c r="E103" s="607" t="str">
        <f>IF(LEN(A103)&gt;2,VLOOKUP(A103,COPY!$A$2:$O$1000,10,FALSE),"")</f>
        <v/>
      </c>
      <c r="F103" s="542" t="str">
        <f>IF(LEN(A103)&gt;2,VLOOKUP(A103,COPY!$A$2:$O$1000,8,FALSE),"")</f>
        <v/>
      </c>
      <c r="G103" s="543" t="str">
        <f>IF(LEN(A103)&gt;2,VLOOKUP(A103,COPY!$A$2:$O$1000,7,FALSE),"")</f>
        <v/>
      </c>
      <c r="H103" s="544" t="str">
        <f t="shared" si="7"/>
        <v/>
      </c>
      <c r="I103" s="545" t="str">
        <f>IFERROR(IF(LEN(A103)&gt;2,VLOOKUP(A103,COPY!$A$2:$O$1000,13,FALSE),"")/E103,"")</f>
        <v/>
      </c>
      <c r="J103" s="546"/>
      <c r="K103" s="547" t="str">
        <f t="shared" si="8"/>
        <v/>
      </c>
      <c r="L103" s="548" t="str">
        <f t="shared" si="11"/>
        <v/>
      </c>
      <c r="M103" s="549">
        <f t="shared" si="9"/>
        <v>0</v>
      </c>
      <c r="O103" s="538" t="str">
        <f t="shared" si="12"/>
        <v/>
      </c>
      <c r="P103" s="550"/>
      <c r="Q103" s="551"/>
    </row>
    <row r="104" spans="1:17" s="253" customFormat="1" ht="20.100000000000001" hidden="1" customHeight="1" x14ac:dyDescent="0.25">
      <c r="A104" s="253" t="str">
        <f t="shared" si="10"/>
        <v/>
      </c>
      <c r="B104" s="584" t="str">
        <f>IF(LEN(A104)&gt;2,VLOOKUP(A104,COPY!$A$2:$O$1000,4,FALSE),"")</f>
        <v/>
      </c>
      <c r="C104" s="585" t="str">
        <f>IF(LEN(A104)&gt;2,VLOOKUP(A104,COPY!$A$2:$O$1000,15,FALSE),"")</f>
        <v/>
      </c>
      <c r="D104" s="542" t="str">
        <f>IF(LEN(A104)&gt;2,VLOOKUP(A104,COPY!$A$2:$O$1000,2,FALSE),"")</f>
        <v/>
      </c>
      <c r="E104" s="607" t="str">
        <f>IF(LEN(A104)&gt;2,VLOOKUP(A104,COPY!$A$2:$O$1000,10,FALSE),"")</f>
        <v/>
      </c>
      <c r="F104" s="542" t="str">
        <f>IF(LEN(A104)&gt;2,VLOOKUP(A104,COPY!$A$2:$O$1000,8,FALSE),"")</f>
        <v/>
      </c>
      <c r="G104" s="543" t="str">
        <f>IF(LEN(A104)&gt;2,VLOOKUP(A104,COPY!$A$2:$O$1000,7,FALSE),"")</f>
        <v/>
      </c>
      <c r="H104" s="544" t="str">
        <f t="shared" si="7"/>
        <v/>
      </c>
      <c r="I104" s="545" t="str">
        <f>IFERROR(IF(LEN(A104)&gt;2,VLOOKUP(A104,COPY!$A$2:$O$1000,13,FALSE),"")/E104,"")</f>
        <v/>
      </c>
      <c r="J104" s="546"/>
      <c r="K104" s="547" t="str">
        <f t="shared" si="8"/>
        <v/>
      </c>
      <c r="L104" s="548" t="str">
        <f t="shared" si="11"/>
        <v/>
      </c>
      <c r="M104" s="549">
        <f t="shared" si="9"/>
        <v>0</v>
      </c>
      <c r="O104" s="538" t="str">
        <f t="shared" si="12"/>
        <v/>
      </c>
      <c r="P104" s="550"/>
      <c r="Q104" s="551"/>
    </row>
    <row r="105" spans="1:17" s="253" customFormat="1" ht="20.100000000000001" hidden="1" customHeight="1" x14ac:dyDescent="0.25">
      <c r="A105" s="253" t="str">
        <f t="shared" si="10"/>
        <v/>
      </c>
      <c r="B105" s="584" t="str">
        <f>IF(LEN(A105)&gt;2,VLOOKUP(A105,COPY!$A$2:$O$1000,4,FALSE),"")</f>
        <v/>
      </c>
      <c r="C105" s="585" t="str">
        <f>IF(LEN(A105)&gt;2,VLOOKUP(A105,COPY!$A$2:$O$1000,15,FALSE),"")</f>
        <v/>
      </c>
      <c r="D105" s="542" t="str">
        <f>IF(LEN(A105)&gt;2,VLOOKUP(A105,COPY!$A$2:$O$1000,2,FALSE),"")</f>
        <v/>
      </c>
      <c r="E105" s="607" t="str">
        <f>IF(LEN(A105)&gt;2,VLOOKUP(A105,COPY!$A$2:$O$1000,10,FALSE),"")</f>
        <v/>
      </c>
      <c r="F105" s="542" t="str">
        <f>IF(LEN(A105)&gt;2,VLOOKUP(A105,COPY!$A$2:$O$1000,8,FALSE),"")</f>
        <v/>
      </c>
      <c r="G105" s="543" t="str">
        <f>IF(LEN(A105)&gt;2,VLOOKUP(A105,COPY!$A$2:$O$1000,7,FALSE),"")</f>
        <v/>
      </c>
      <c r="H105" s="544" t="str">
        <f t="shared" si="7"/>
        <v/>
      </c>
      <c r="I105" s="545" t="str">
        <f>IFERROR(IF(LEN(A105)&gt;2,VLOOKUP(A105,COPY!$A$2:$O$1000,13,FALSE),"")/E105,"")</f>
        <v/>
      </c>
      <c r="J105" s="546"/>
      <c r="K105" s="547" t="str">
        <f t="shared" si="8"/>
        <v/>
      </c>
      <c r="L105" s="548" t="str">
        <f t="shared" si="11"/>
        <v/>
      </c>
      <c r="M105" s="549">
        <f t="shared" si="9"/>
        <v>0</v>
      </c>
      <c r="O105" s="538" t="str">
        <f t="shared" si="12"/>
        <v/>
      </c>
      <c r="P105" s="550"/>
      <c r="Q105" s="551"/>
    </row>
    <row r="106" spans="1:17" s="253" customFormat="1" ht="20.100000000000001" hidden="1" customHeight="1" x14ac:dyDescent="0.25">
      <c r="A106" s="253" t="str">
        <f t="shared" si="10"/>
        <v/>
      </c>
      <c r="B106" s="584" t="str">
        <f>IF(LEN(A106)&gt;2,VLOOKUP(A106,COPY!$A$2:$O$1000,4,FALSE),"")</f>
        <v/>
      </c>
      <c r="C106" s="585" t="str">
        <f>IF(LEN(A106)&gt;2,VLOOKUP(A106,COPY!$A$2:$O$1000,15,FALSE),"")</f>
        <v/>
      </c>
      <c r="D106" s="542" t="str">
        <f>IF(LEN(A106)&gt;2,VLOOKUP(A106,COPY!$A$2:$O$1000,2,FALSE),"")</f>
        <v/>
      </c>
      <c r="E106" s="607" t="str">
        <f>IF(LEN(A106)&gt;2,VLOOKUP(A106,COPY!$A$2:$O$1000,10,FALSE),"")</f>
        <v/>
      </c>
      <c r="F106" s="542" t="str">
        <f>IF(LEN(A106)&gt;2,VLOOKUP(A106,COPY!$A$2:$O$1000,8,FALSE),"")</f>
        <v/>
      </c>
      <c r="G106" s="543" t="str">
        <f>IF(LEN(A106)&gt;2,VLOOKUP(A106,COPY!$A$2:$O$1000,7,FALSE),"")</f>
        <v/>
      </c>
      <c r="H106" s="544" t="str">
        <f t="shared" si="7"/>
        <v/>
      </c>
      <c r="I106" s="545" t="str">
        <f>IFERROR(IF(LEN(A106)&gt;2,VLOOKUP(A106,COPY!$A$2:$O$1000,13,FALSE),"")/E106,"")</f>
        <v/>
      </c>
      <c r="J106" s="546"/>
      <c r="K106" s="547" t="str">
        <f t="shared" si="8"/>
        <v/>
      </c>
      <c r="L106" s="548" t="str">
        <f t="shared" si="11"/>
        <v/>
      </c>
      <c r="M106" s="549">
        <f t="shared" si="9"/>
        <v>0</v>
      </c>
      <c r="O106" s="538" t="str">
        <f t="shared" si="12"/>
        <v/>
      </c>
      <c r="P106" s="550"/>
      <c r="Q106" s="551"/>
    </row>
    <row r="107" spans="1:17" s="253" customFormat="1" ht="20.100000000000001" hidden="1" customHeight="1" x14ac:dyDescent="0.25">
      <c r="A107" s="253" t="str">
        <f t="shared" si="10"/>
        <v/>
      </c>
      <c r="B107" s="584" t="str">
        <f>IF(LEN(A107)&gt;2,VLOOKUP(A107,COPY!$A$2:$O$1000,4,FALSE),"")</f>
        <v/>
      </c>
      <c r="C107" s="585" t="str">
        <f>IF(LEN(A107)&gt;2,VLOOKUP(A107,COPY!$A$2:$O$1000,15,FALSE),"")</f>
        <v/>
      </c>
      <c r="D107" s="542" t="str">
        <f>IF(LEN(A107)&gt;2,VLOOKUP(A107,COPY!$A$2:$O$1000,2,FALSE),"")</f>
        <v/>
      </c>
      <c r="E107" s="607" t="str">
        <f>IF(LEN(A107)&gt;2,VLOOKUP(A107,COPY!$A$2:$O$1000,10,FALSE),"")</f>
        <v/>
      </c>
      <c r="F107" s="542" t="str">
        <f>IF(LEN(A107)&gt;2,VLOOKUP(A107,COPY!$A$2:$O$1000,8,FALSE),"")</f>
        <v/>
      </c>
      <c r="G107" s="543" t="str">
        <f>IF(LEN(A107)&gt;2,VLOOKUP(A107,COPY!$A$2:$O$1000,7,FALSE),"")</f>
        <v/>
      </c>
      <c r="H107" s="544" t="str">
        <f t="shared" si="7"/>
        <v/>
      </c>
      <c r="I107" s="545" t="str">
        <f>IFERROR(IF(LEN(A107)&gt;2,VLOOKUP(A107,COPY!$A$2:$O$1000,13,FALSE),"")/E107,"")</f>
        <v/>
      </c>
      <c r="J107" s="546"/>
      <c r="K107" s="547" t="str">
        <f t="shared" si="8"/>
        <v/>
      </c>
      <c r="L107" s="548" t="str">
        <f t="shared" si="11"/>
        <v/>
      </c>
      <c r="M107" s="549">
        <f t="shared" si="9"/>
        <v>0</v>
      </c>
      <c r="O107" s="538" t="str">
        <f t="shared" si="12"/>
        <v/>
      </c>
      <c r="P107" s="550"/>
      <c r="Q107" s="551"/>
    </row>
    <row r="108" spans="1:17" s="253" customFormat="1" ht="20.100000000000001" hidden="1" customHeight="1" x14ac:dyDescent="0.25">
      <c r="A108" s="253" t="str">
        <f t="shared" si="10"/>
        <v/>
      </c>
      <c r="B108" s="584" t="str">
        <f>IF(LEN(A108)&gt;2,VLOOKUP(A108,COPY!$A$2:$O$1000,4,FALSE),"")</f>
        <v/>
      </c>
      <c r="C108" s="585" t="str">
        <f>IF(LEN(A108)&gt;2,VLOOKUP(A108,COPY!$A$2:$O$1000,15,FALSE),"")</f>
        <v/>
      </c>
      <c r="D108" s="542" t="str">
        <f>IF(LEN(A108)&gt;2,VLOOKUP(A108,COPY!$A$2:$O$1000,2,FALSE),"")</f>
        <v/>
      </c>
      <c r="E108" s="607" t="str">
        <f>IF(LEN(A108)&gt;2,VLOOKUP(A108,COPY!$A$2:$O$1000,10,FALSE),"")</f>
        <v/>
      </c>
      <c r="F108" s="542" t="str">
        <f>IF(LEN(A108)&gt;2,VLOOKUP(A108,COPY!$A$2:$O$1000,8,FALSE),"")</f>
        <v/>
      </c>
      <c r="G108" s="543" t="str">
        <f>IF(LEN(A108)&gt;2,VLOOKUP(A108,COPY!$A$2:$O$1000,7,FALSE),"")</f>
        <v/>
      </c>
      <c r="H108" s="544" t="str">
        <f t="shared" si="7"/>
        <v/>
      </c>
      <c r="I108" s="545" t="str">
        <f>IFERROR(IF(LEN(A108)&gt;2,VLOOKUP(A108,COPY!$A$2:$O$1000,13,FALSE),"")/E108,"")</f>
        <v/>
      </c>
      <c r="J108" s="546"/>
      <c r="K108" s="547" t="str">
        <f t="shared" si="8"/>
        <v/>
      </c>
      <c r="L108" s="548" t="str">
        <f t="shared" si="11"/>
        <v/>
      </c>
      <c r="M108" s="549">
        <f t="shared" si="9"/>
        <v>0</v>
      </c>
      <c r="O108" s="538" t="str">
        <f t="shared" si="12"/>
        <v/>
      </c>
      <c r="P108" s="550"/>
      <c r="Q108" s="551"/>
    </row>
    <row r="109" spans="1:17" s="253" customFormat="1" ht="20.100000000000001" hidden="1" customHeight="1" x14ac:dyDescent="0.25">
      <c r="A109" s="253" t="str">
        <f t="shared" si="10"/>
        <v/>
      </c>
      <c r="B109" s="584" t="str">
        <f>IF(LEN(A109)&gt;2,VLOOKUP(A109,COPY!$A$2:$O$1000,4,FALSE),"")</f>
        <v/>
      </c>
      <c r="C109" s="585" t="str">
        <f>IF(LEN(A109)&gt;2,VLOOKUP(A109,COPY!$A$2:$O$1000,15,FALSE),"")</f>
        <v/>
      </c>
      <c r="D109" s="542" t="str">
        <f>IF(LEN(A109)&gt;2,VLOOKUP(A109,COPY!$A$2:$O$1000,2,FALSE),"")</f>
        <v/>
      </c>
      <c r="E109" s="607" t="str">
        <f>IF(LEN(A109)&gt;2,VLOOKUP(A109,COPY!$A$2:$O$1000,10,FALSE),"")</f>
        <v/>
      </c>
      <c r="F109" s="542" t="str">
        <f>IF(LEN(A109)&gt;2,VLOOKUP(A109,COPY!$A$2:$O$1000,8,FALSE),"")</f>
        <v/>
      </c>
      <c r="G109" s="543" t="str">
        <f>IF(LEN(A109)&gt;2,VLOOKUP(A109,COPY!$A$2:$O$1000,7,FALSE),"")</f>
        <v/>
      </c>
      <c r="H109" s="544" t="str">
        <f t="shared" si="7"/>
        <v/>
      </c>
      <c r="I109" s="545" t="str">
        <f>IFERROR(IF(LEN(A109)&gt;2,VLOOKUP(A109,COPY!$A$2:$O$1000,13,FALSE),"")/E109,"")</f>
        <v/>
      </c>
      <c r="J109" s="546"/>
      <c r="K109" s="547" t="str">
        <f t="shared" si="8"/>
        <v/>
      </c>
      <c r="L109" s="548" t="str">
        <f t="shared" si="11"/>
        <v/>
      </c>
      <c r="M109" s="549">
        <f t="shared" si="9"/>
        <v>0</v>
      </c>
      <c r="O109" s="538" t="str">
        <f t="shared" si="12"/>
        <v/>
      </c>
      <c r="P109" s="550"/>
      <c r="Q109" s="551"/>
    </row>
    <row r="110" spans="1:17" s="253" customFormat="1" ht="20.100000000000001" hidden="1" customHeight="1" x14ac:dyDescent="0.25">
      <c r="A110" s="253" t="str">
        <f t="shared" si="10"/>
        <v/>
      </c>
      <c r="B110" s="584" t="str">
        <f>IF(LEN(A110)&gt;2,VLOOKUP(A110,COPY!$A$2:$O$1000,4,FALSE),"")</f>
        <v/>
      </c>
      <c r="C110" s="585" t="str">
        <f>IF(LEN(A110)&gt;2,VLOOKUP(A110,COPY!$A$2:$O$1000,15,FALSE),"")</f>
        <v/>
      </c>
      <c r="D110" s="542" t="str">
        <f>IF(LEN(A110)&gt;2,VLOOKUP(A110,COPY!$A$2:$O$1000,2,FALSE),"")</f>
        <v/>
      </c>
      <c r="E110" s="607" t="str">
        <f>IF(LEN(A110)&gt;2,VLOOKUP(A110,COPY!$A$2:$O$1000,10,FALSE),"")</f>
        <v/>
      </c>
      <c r="F110" s="542" t="str">
        <f>IF(LEN(A110)&gt;2,VLOOKUP(A110,COPY!$A$2:$O$1000,8,FALSE),"")</f>
        <v/>
      </c>
      <c r="G110" s="543" t="str">
        <f>IF(LEN(A110)&gt;2,VLOOKUP(A110,COPY!$A$2:$O$1000,7,FALSE),"")</f>
        <v/>
      </c>
      <c r="H110" s="544" t="str">
        <f t="shared" si="7"/>
        <v/>
      </c>
      <c r="I110" s="545" t="str">
        <f>IFERROR(IF(LEN(A110)&gt;2,VLOOKUP(A110,COPY!$A$2:$O$1000,13,FALSE),"")/E110,"")</f>
        <v/>
      </c>
      <c r="J110" s="546"/>
      <c r="K110" s="547" t="str">
        <f t="shared" si="8"/>
        <v/>
      </c>
      <c r="L110" s="548" t="str">
        <f t="shared" si="11"/>
        <v/>
      </c>
      <c r="M110" s="549">
        <f t="shared" si="9"/>
        <v>0</v>
      </c>
      <c r="O110" s="538" t="str">
        <f t="shared" si="12"/>
        <v/>
      </c>
      <c r="P110" s="550"/>
      <c r="Q110" s="551"/>
    </row>
    <row r="111" spans="1:17" s="253" customFormat="1" ht="20.100000000000001" hidden="1" customHeight="1" x14ac:dyDescent="0.25">
      <c r="A111" s="253" t="str">
        <f t="shared" si="10"/>
        <v/>
      </c>
      <c r="B111" s="584" t="str">
        <f>IF(LEN(A111)&gt;2,VLOOKUP(A111,COPY!$A$2:$O$1000,4,FALSE),"")</f>
        <v/>
      </c>
      <c r="C111" s="585" t="str">
        <f>IF(LEN(A111)&gt;2,VLOOKUP(A111,COPY!$A$2:$O$1000,15,FALSE),"")</f>
        <v/>
      </c>
      <c r="D111" s="542" t="str">
        <f>IF(LEN(A111)&gt;2,VLOOKUP(A111,COPY!$A$2:$O$1000,2,FALSE),"")</f>
        <v/>
      </c>
      <c r="E111" s="607" t="str">
        <f>IF(LEN(A111)&gt;2,VLOOKUP(A111,COPY!$A$2:$O$1000,10,FALSE),"")</f>
        <v/>
      </c>
      <c r="F111" s="542" t="str">
        <f>IF(LEN(A111)&gt;2,VLOOKUP(A111,COPY!$A$2:$O$1000,8,FALSE),"")</f>
        <v/>
      </c>
      <c r="G111" s="543" t="str">
        <f>IF(LEN(A111)&gt;2,VLOOKUP(A111,COPY!$A$2:$O$1000,7,FALSE),"")</f>
        <v/>
      </c>
      <c r="H111" s="544" t="str">
        <f t="shared" si="7"/>
        <v/>
      </c>
      <c r="I111" s="545" t="str">
        <f>IFERROR(IF(LEN(A111)&gt;2,VLOOKUP(A111,COPY!$A$2:$O$1000,13,FALSE),"")/E111,"")</f>
        <v/>
      </c>
      <c r="J111" s="546"/>
      <c r="K111" s="547" t="str">
        <f t="shared" si="8"/>
        <v/>
      </c>
      <c r="L111" s="548" t="str">
        <f t="shared" si="11"/>
        <v/>
      </c>
      <c r="M111" s="549">
        <f t="shared" si="9"/>
        <v>0</v>
      </c>
      <c r="O111" s="538" t="str">
        <f t="shared" si="12"/>
        <v/>
      </c>
      <c r="P111" s="550"/>
      <c r="Q111" s="551"/>
    </row>
    <row r="112" spans="1:17" s="253" customFormat="1" ht="20.100000000000001" hidden="1" customHeight="1" x14ac:dyDescent="0.25">
      <c r="A112" s="253" t="str">
        <f t="shared" si="10"/>
        <v/>
      </c>
      <c r="B112" s="584" t="str">
        <f>IF(LEN(A112)&gt;2,VLOOKUP(A112,COPY!$A$2:$O$1000,4,FALSE),"")</f>
        <v/>
      </c>
      <c r="C112" s="585" t="str">
        <f>IF(LEN(A112)&gt;2,VLOOKUP(A112,COPY!$A$2:$O$1000,15,FALSE),"")</f>
        <v/>
      </c>
      <c r="D112" s="542" t="str">
        <f>IF(LEN(A112)&gt;2,VLOOKUP(A112,COPY!$A$2:$O$1000,2,FALSE),"")</f>
        <v/>
      </c>
      <c r="E112" s="607" t="str">
        <f>IF(LEN(A112)&gt;2,VLOOKUP(A112,COPY!$A$2:$O$1000,10,FALSE),"")</f>
        <v/>
      </c>
      <c r="F112" s="542" t="str">
        <f>IF(LEN(A112)&gt;2,VLOOKUP(A112,COPY!$A$2:$O$1000,8,FALSE),"")</f>
        <v/>
      </c>
      <c r="G112" s="543" t="str">
        <f>IF(LEN(A112)&gt;2,VLOOKUP(A112,COPY!$A$2:$O$1000,7,FALSE),"")</f>
        <v/>
      </c>
      <c r="H112" s="544" t="str">
        <f t="shared" si="7"/>
        <v/>
      </c>
      <c r="I112" s="545" t="str">
        <f>IFERROR(IF(LEN(A112)&gt;2,VLOOKUP(A112,COPY!$A$2:$O$1000,13,FALSE),"")/E112,"")</f>
        <v/>
      </c>
      <c r="J112" s="546"/>
      <c r="K112" s="547" t="str">
        <f t="shared" si="8"/>
        <v/>
      </c>
      <c r="L112" s="548" t="str">
        <f t="shared" si="11"/>
        <v/>
      </c>
      <c r="M112" s="549">
        <f t="shared" si="9"/>
        <v>0</v>
      </c>
      <c r="O112" s="538" t="str">
        <f t="shared" si="12"/>
        <v/>
      </c>
      <c r="P112" s="550"/>
      <c r="Q112" s="551"/>
    </row>
    <row r="113" spans="1:17" s="253" customFormat="1" ht="20.100000000000001" hidden="1" customHeight="1" x14ac:dyDescent="0.25">
      <c r="A113" s="253" t="str">
        <f t="shared" si="10"/>
        <v/>
      </c>
      <c r="B113" s="584" t="str">
        <f>IF(LEN(A113)&gt;2,VLOOKUP(A113,COPY!$A$2:$O$1000,4,FALSE),"")</f>
        <v/>
      </c>
      <c r="C113" s="585" t="str">
        <f>IF(LEN(A113)&gt;2,VLOOKUP(A113,COPY!$A$2:$O$1000,15,FALSE),"")</f>
        <v/>
      </c>
      <c r="D113" s="542" t="str">
        <f>IF(LEN(A113)&gt;2,VLOOKUP(A113,COPY!$A$2:$O$1000,2,FALSE),"")</f>
        <v/>
      </c>
      <c r="E113" s="607" t="str">
        <f>IF(LEN(A113)&gt;2,VLOOKUP(A113,COPY!$A$2:$O$1000,10,FALSE),"")</f>
        <v/>
      </c>
      <c r="F113" s="542" t="str">
        <f>IF(LEN(A113)&gt;2,VLOOKUP(A113,COPY!$A$2:$O$1000,8,FALSE),"")</f>
        <v/>
      </c>
      <c r="G113" s="543" t="str">
        <f>IF(LEN(A113)&gt;2,VLOOKUP(A113,COPY!$A$2:$O$1000,7,FALSE),"")</f>
        <v/>
      </c>
      <c r="H113" s="544" t="str">
        <f t="shared" si="7"/>
        <v/>
      </c>
      <c r="I113" s="545" t="str">
        <f>IFERROR(IF(LEN(A113)&gt;2,VLOOKUP(A113,COPY!$A$2:$O$1000,13,FALSE),"")/E113,"")</f>
        <v/>
      </c>
      <c r="J113" s="546"/>
      <c r="K113" s="547" t="str">
        <f t="shared" si="8"/>
        <v/>
      </c>
      <c r="L113" s="548" t="str">
        <f t="shared" si="11"/>
        <v/>
      </c>
      <c r="M113" s="549">
        <f t="shared" si="9"/>
        <v>0</v>
      </c>
      <c r="O113" s="538" t="str">
        <f t="shared" si="12"/>
        <v/>
      </c>
      <c r="P113" s="550"/>
      <c r="Q113" s="551"/>
    </row>
    <row r="114" spans="1:17" s="253" customFormat="1" ht="20.100000000000001" hidden="1" customHeight="1" x14ac:dyDescent="0.25">
      <c r="A114" s="253" t="str">
        <f t="shared" si="10"/>
        <v/>
      </c>
      <c r="B114" s="584" t="str">
        <f>IF(LEN(A114)&gt;2,VLOOKUP(A114,COPY!$A$2:$O$1000,4,FALSE),"")</f>
        <v/>
      </c>
      <c r="C114" s="585" t="str">
        <f>IF(LEN(A114)&gt;2,VLOOKUP(A114,COPY!$A$2:$O$1000,15,FALSE),"")</f>
        <v/>
      </c>
      <c r="D114" s="542" t="str">
        <f>IF(LEN(A114)&gt;2,VLOOKUP(A114,COPY!$A$2:$O$1000,2,FALSE),"")</f>
        <v/>
      </c>
      <c r="E114" s="607" t="str">
        <f>IF(LEN(A114)&gt;2,VLOOKUP(A114,COPY!$A$2:$O$1000,10,FALSE),"")</f>
        <v/>
      </c>
      <c r="F114" s="542" t="str">
        <f>IF(LEN(A114)&gt;2,VLOOKUP(A114,COPY!$A$2:$O$1000,8,FALSE),"")</f>
        <v/>
      </c>
      <c r="G114" s="543" t="str">
        <f>IF(LEN(A114)&gt;2,VLOOKUP(A114,COPY!$A$2:$O$1000,7,FALSE),"")</f>
        <v/>
      </c>
      <c r="H114" s="544" t="str">
        <f t="shared" si="7"/>
        <v/>
      </c>
      <c r="I114" s="545" t="str">
        <f>IFERROR(IF(LEN(A114)&gt;2,VLOOKUP(A114,COPY!$A$2:$O$1000,13,FALSE),"")/E114,"")</f>
        <v/>
      </c>
      <c r="J114" s="546"/>
      <c r="K114" s="547" t="str">
        <f t="shared" si="8"/>
        <v/>
      </c>
      <c r="L114" s="548" t="str">
        <f t="shared" si="11"/>
        <v/>
      </c>
      <c r="M114" s="549">
        <f t="shared" si="9"/>
        <v>0</v>
      </c>
      <c r="O114" s="538" t="str">
        <f t="shared" si="12"/>
        <v/>
      </c>
      <c r="P114" s="550"/>
      <c r="Q114" s="551"/>
    </row>
    <row r="115" spans="1:17" s="253" customFormat="1" ht="20.100000000000001" hidden="1" customHeight="1" x14ac:dyDescent="0.25">
      <c r="A115" s="253" t="str">
        <f t="shared" si="10"/>
        <v/>
      </c>
      <c r="B115" s="584" t="str">
        <f>IF(LEN(A115)&gt;2,VLOOKUP(A115,COPY!$A$2:$O$1000,4,FALSE),"")</f>
        <v/>
      </c>
      <c r="C115" s="585" t="str">
        <f>IF(LEN(A115)&gt;2,VLOOKUP(A115,COPY!$A$2:$O$1000,15,FALSE),"")</f>
        <v/>
      </c>
      <c r="D115" s="542" t="str">
        <f>IF(LEN(A115)&gt;2,VLOOKUP(A115,COPY!$A$2:$O$1000,2,FALSE),"")</f>
        <v/>
      </c>
      <c r="E115" s="607" t="str">
        <f>IF(LEN(A115)&gt;2,VLOOKUP(A115,COPY!$A$2:$O$1000,10,FALSE),"")</f>
        <v/>
      </c>
      <c r="F115" s="542" t="str">
        <f>IF(LEN(A115)&gt;2,VLOOKUP(A115,COPY!$A$2:$O$1000,8,FALSE),"")</f>
        <v/>
      </c>
      <c r="G115" s="543" t="str">
        <f>IF(LEN(A115)&gt;2,VLOOKUP(A115,COPY!$A$2:$O$1000,7,FALSE),"")</f>
        <v/>
      </c>
      <c r="H115" s="544" t="str">
        <f t="shared" si="7"/>
        <v/>
      </c>
      <c r="I115" s="545" t="str">
        <f>IFERROR(IF(LEN(A115)&gt;2,VLOOKUP(A115,COPY!$A$2:$O$1000,13,FALSE),"")/E115,"")</f>
        <v/>
      </c>
      <c r="J115" s="546"/>
      <c r="K115" s="547" t="str">
        <f t="shared" si="8"/>
        <v/>
      </c>
      <c r="L115" s="548" t="str">
        <f t="shared" si="11"/>
        <v/>
      </c>
      <c r="M115" s="549">
        <f t="shared" si="9"/>
        <v>0</v>
      </c>
      <c r="O115" s="538" t="str">
        <f t="shared" si="12"/>
        <v/>
      </c>
      <c r="P115" s="550"/>
      <c r="Q115" s="551"/>
    </row>
    <row r="116" spans="1:17" s="253" customFormat="1" ht="20.100000000000001" hidden="1" customHeight="1" x14ac:dyDescent="0.25">
      <c r="A116" s="253" t="str">
        <f t="shared" si="10"/>
        <v/>
      </c>
      <c r="B116" s="584" t="str">
        <f>IF(LEN(A116)&gt;2,VLOOKUP(A116,COPY!$A$2:$O$1000,4,FALSE),"")</f>
        <v/>
      </c>
      <c r="C116" s="585" t="str">
        <f>IF(LEN(A116)&gt;2,VLOOKUP(A116,COPY!$A$2:$O$1000,15,FALSE),"")</f>
        <v/>
      </c>
      <c r="D116" s="542" t="str">
        <f>IF(LEN(A116)&gt;2,VLOOKUP(A116,COPY!$A$2:$O$1000,2,FALSE),"")</f>
        <v/>
      </c>
      <c r="E116" s="607" t="str">
        <f>IF(LEN(A116)&gt;2,VLOOKUP(A116,COPY!$A$2:$O$1000,10,FALSE),"")</f>
        <v/>
      </c>
      <c r="F116" s="542" t="str">
        <f>IF(LEN(A116)&gt;2,VLOOKUP(A116,COPY!$A$2:$O$1000,8,FALSE),"")</f>
        <v/>
      </c>
      <c r="G116" s="543" t="str">
        <f>IF(LEN(A116)&gt;2,VLOOKUP(A116,COPY!$A$2:$O$1000,7,FALSE),"")</f>
        <v/>
      </c>
      <c r="H116" s="544" t="str">
        <f t="shared" si="7"/>
        <v/>
      </c>
      <c r="I116" s="545" t="str">
        <f>IFERROR(IF(LEN(A116)&gt;2,VLOOKUP(A116,COPY!$A$2:$O$1000,13,FALSE),"")/E116,"")</f>
        <v/>
      </c>
      <c r="J116" s="546"/>
      <c r="K116" s="547" t="str">
        <f t="shared" si="8"/>
        <v/>
      </c>
      <c r="L116" s="548" t="str">
        <f t="shared" si="11"/>
        <v/>
      </c>
      <c r="M116" s="549">
        <f t="shared" si="9"/>
        <v>0</v>
      </c>
      <c r="O116" s="538" t="str">
        <f t="shared" si="12"/>
        <v/>
      </c>
      <c r="P116" s="550"/>
      <c r="Q116" s="551"/>
    </row>
    <row r="117" spans="1:17" s="253" customFormat="1" ht="20.100000000000001" hidden="1" customHeight="1" x14ac:dyDescent="0.25">
      <c r="A117" s="253" t="str">
        <f t="shared" si="10"/>
        <v/>
      </c>
      <c r="B117" s="584" t="str">
        <f>IF(LEN(A117)&gt;2,VLOOKUP(A117,COPY!$A$2:$O$1000,4,FALSE),"")</f>
        <v/>
      </c>
      <c r="C117" s="585" t="str">
        <f>IF(LEN(A117)&gt;2,VLOOKUP(A117,COPY!$A$2:$O$1000,15,FALSE),"")</f>
        <v/>
      </c>
      <c r="D117" s="542" t="str">
        <f>IF(LEN(A117)&gt;2,VLOOKUP(A117,COPY!$A$2:$O$1000,2,FALSE),"")</f>
        <v/>
      </c>
      <c r="E117" s="607" t="str">
        <f>IF(LEN(A117)&gt;2,VLOOKUP(A117,COPY!$A$2:$O$1000,10,FALSE),"")</f>
        <v/>
      </c>
      <c r="F117" s="542" t="str">
        <f>IF(LEN(A117)&gt;2,VLOOKUP(A117,COPY!$A$2:$O$1000,8,FALSE),"")</f>
        <v/>
      </c>
      <c r="G117" s="543" t="str">
        <f>IF(LEN(A117)&gt;2,VLOOKUP(A117,COPY!$A$2:$O$1000,7,FALSE),"")</f>
        <v/>
      </c>
      <c r="H117" s="544" t="str">
        <f t="shared" si="7"/>
        <v/>
      </c>
      <c r="I117" s="545" t="str">
        <f>IFERROR(IF(LEN(A117)&gt;2,VLOOKUP(A117,COPY!$A$2:$O$1000,13,FALSE),"")/E117,"")</f>
        <v/>
      </c>
      <c r="J117" s="546"/>
      <c r="K117" s="547" t="str">
        <f t="shared" si="8"/>
        <v/>
      </c>
      <c r="L117" s="548" t="str">
        <f t="shared" si="11"/>
        <v/>
      </c>
      <c r="M117" s="549">
        <f t="shared" si="9"/>
        <v>0</v>
      </c>
      <c r="O117" s="538" t="str">
        <f t="shared" si="12"/>
        <v/>
      </c>
      <c r="P117" s="550"/>
      <c r="Q117" s="551"/>
    </row>
    <row r="118" spans="1:17" s="253" customFormat="1" ht="20.100000000000001" hidden="1" customHeight="1" x14ac:dyDescent="0.25">
      <c r="A118" s="253" t="str">
        <f t="shared" si="10"/>
        <v/>
      </c>
      <c r="B118" s="584" t="str">
        <f>IF(LEN(A118)&gt;2,VLOOKUP(A118,COPY!$A$2:$O$1000,4,FALSE),"")</f>
        <v/>
      </c>
      <c r="C118" s="585" t="str">
        <f>IF(LEN(A118)&gt;2,VLOOKUP(A118,COPY!$A$2:$O$1000,15,FALSE),"")</f>
        <v/>
      </c>
      <c r="D118" s="542" t="str">
        <f>IF(LEN(A118)&gt;2,VLOOKUP(A118,COPY!$A$2:$O$1000,2,FALSE),"")</f>
        <v/>
      </c>
      <c r="E118" s="607" t="str">
        <f>IF(LEN(A118)&gt;2,VLOOKUP(A118,COPY!$A$2:$O$1000,10,FALSE),"")</f>
        <v/>
      </c>
      <c r="F118" s="542" t="str">
        <f>IF(LEN(A118)&gt;2,VLOOKUP(A118,COPY!$A$2:$O$1000,8,FALSE),"")</f>
        <v/>
      </c>
      <c r="G118" s="543" t="str">
        <f>IF(LEN(A118)&gt;2,VLOOKUP(A118,COPY!$A$2:$O$1000,7,FALSE),"")</f>
        <v/>
      </c>
      <c r="H118" s="544" t="str">
        <f t="shared" si="7"/>
        <v/>
      </c>
      <c r="I118" s="545" t="str">
        <f>IFERROR(IF(LEN(A118)&gt;2,VLOOKUP(A118,COPY!$A$2:$O$1000,13,FALSE),"")/E118,"")</f>
        <v/>
      </c>
      <c r="J118" s="546"/>
      <c r="K118" s="547" t="str">
        <f t="shared" si="8"/>
        <v/>
      </c>
      <c r="L118" s="548" t="str">
        <f t="shared" si="11"/>
        <v/>
      </c>
      <c r="M118" s="549">
        <f t="shared" si="9"/>
        <v>0</v>
      </c>
      <c r="O118" s="538" t="str">
        <f t="shared" si="12"/>
        <v/>
      </c>
      <c r="P118" s="550"/>
      <c r="Q118" s="551"/>
    </row>
    <row r="119" spans="1:17" s="253" customFormat="1" ht="20.100000000000001" hidden="1" customHeight="1" x14ac:dyDescent="0.25">
      <c r="A119" s="253" t="str">
        <f t="shared" si="10"/>
        <v/>
      </c>
      <c r="B119" s="584" t="str">
        <f>IF(LEN(A119)&gt;2,VLOOKUP(A119,COPY!$A$2:$O$1000,4,FALSE),"")</f>
        <v/>
      </c>
      <c r="C119" s="585" t="str">
        <f>IF(LEN(A119)&gt;2,VLOOKUP(A119,COPY!$A$2:$O$1000,15,FALSE),"")</f>
        <v/>
      </c>
      <c r="D119" s="542" t="str">
        <f>IF(LEN(A119)&gt;2,VLOOKUP(A119,COPY!$A$2:$O$1000,2,FALSE),"")</f>
        <v/>
      </c>
      <c r="E119" s="607" t="str">
        <f>IF(LEN(A119)&gt;2,VLOOKUP(A119,COPY!$A$2:$O$1000,10,FALSE),"")</f>
        <v/>
      </c>
      <c r="F119" s="542" t="str">
        <f>IF(LEN(A119)&gt;2,VLOOKUP(A119,COPY!$A$2:$O$1000,8,FALSE),"")</f>
        <v/>
      </c>
      <c r="G119" s="543" t="str">
        <f>IF(LEN(A119)&gt;2,VLOOKUP(A119,COPY!$A$2:$O$1000,7,FALSE),"")</f>
        <v/>
      </c>
      <c r="H119" s="544" t="str">
        <f t="shared" si="7"/>
        <v/>
      </c>
      <c r="I119" s="545" t="str">
        <f>IFERROR(IF(LEN(A119)&gt;2,VLOOKUP(A119,COPY!$A$2:$O$1000,13,FALSE),"")/E119,"")</f>
        <v/>
      </c>
      <c r="J119" s="546"/>
      <c r="K119" s="547" t="str">
        <f t="shared" si="8"/>
        <v/>
      </c>
      <c r="L119" s="548" t="str">
        <f t="shared" si="11"/>
        <v/>
      </c>
      <c r="M119" s="549">
        <f t="shared" si="9"/>
        <v>0</v>
      </c>
      <c r="O119" s="538" t="str">
        <f t="shared" si="12"/>
        <v/>
      </c>
      <c r="P119" s="550"/>
      <c r="Q119" s="551"/>
    </row>
    <row r="120" spans="1:17" s="253" customFormat="1" ht="20.100000000000001" hidden="1" customHeight="1" x14ac:dyDescent="0.25">
      <c r="A120" s="253" t="str">
        <f t="shared" si="10"/>
        <v/>
      </c>
      <c r="B120" s="584" t="str">
        <f>IF(LEN(A120)&gt;2,VLOOKUP(A120,COPY!$A$2:$O$1000,4,FALSE),"")</f>
        <v/>
      </c>
      <c r="C120" s="585" t="str">
        <f>IF(LEN(A120)&gt;2,VLOOKUP(A120,COPY!$A$2:$O$1000,15,FALSE),"")</f>
        <v/>
      </c>
      <c r="D120" s="542" t="str">
        <f>IF(LEN(A120)&gt;2,VLOOKUP(A120,COPY!$A$2:$O$1000,2,FALSE),"")</f>
        <v/>
      </c>
      <c r="E120" s="607" t="str">
        <f>IF(LEN(A120)&gt;2,VLOOKUP(A120,COPY!$A$2:$O$1000,10,FALSE),"")</f>
        <v/>
      </c>
      <c r="F120" s="542" t="str">
        <f>IF(LEN(A120)&gt;2,VLOOKUP(A120,COPY!$A$2:$O$1000,8,FALSE),"")</f>
        <v/>
      </c>
      <c r="G120" s="543" t="str">
        <f>IF(LEN(A120)&gt;2,VLOOKUP(A120,COPY!$A$2:$O$1000,7,FALSE),"")</f>
        <v/>
      </c>
      <c r="H120" s="544" t="str">
        <f t="shared" si="7"/>
        <v/>
      </c>
      <c r="I120" s="545" t="str">
        <f>IFERROR(IF(LEN(A120)&gt;2,VLOOKUP(A120,COPY!$A$2:$O$1000,13,FALSE),"")/E120,"")</f>
        <v/>
      </c>
      <c r="J120" s="546"/>
      <c r="K120" s="547" t="str">
        <f t="shared" si="8"/>
        <v/>
      </c>
      <c r="L120" s="548" t="str">
        <f t="shared" si="11"/>
        <v/>
      </c>
      <c r="M120" s="549">
        <f t="shared" si="9"/>
        <v>0</v>
      </c>
      <c r="O120" s="538" t="str">
        <f t="shared" si="12"/>
        <v/>
      </c>
      <c r="P120" s="550"/>
      <c r="Q120" s="551"/>
    </row>
    <row r="121" spans="1:17" s="253" customFormat="1" ht="20.100000000000001" hidden="1" customHeight="1" x14ac:dyDescent="0.25">
      <c r="A121" s="253" t="str">
        <f t="shared" si="10"/>
        <v/>
      </c>
      <c r="B121" s="584" t="str">
        <f>IF(LEN(A121)&gt;2,VLOOKUP(A121,COPY!$A$2:$O$1000,4,FALSE),"")</f>
        <v/>
      </c>
      <c r="C121" s="585" t="str">
        <f>IF(LEN(A121)&gt;2,VLOOKUP(A121,COPY!$A$2:$O$1000,15,FALSE),"")</f>
        <v/>
      </c>
      <c r="D121" s="542" t="str">
        <f>IF(LEN(A121)&gt;2,VLOOKUP(A121,COPY!$A$2:$O$1000,2,FALSE),"")</f>
        <v/>
      </c>
      <c r="E121" s="607" t="str">
        <f>IF(LEN(A121)&gt;2,VLOOKUP(A121,COPY!$A$2:$O$1000,10,FALSE),"")</f>
        <v/>
      </c>
      <c r="F121" s="542" t="str">
        <f>IF(LEN(A121)&gt;2,VLOOKUP(A121,COPY!$A$2:$O$1000,8,FALSE),"")</f>
        <v/>
      </c>
      <c r="G121" s="543" t="str">
        <f>IF(LEN(A121)&gt;2,VLOOKUP(A121,COPY!$A$2:$O$1000,7,FALSE),"")</f>
        <v/>
      </c>
      <c r="H121" s="544" t="str">
        <f t="shared" si="7"/>
        <v/>
      </c>
      <c r="I121" s="545" t="str">
        <f>IFERROR(IF(LEN(A121)&gt;2,VLOOKUP(A121,COPY!$A$2:$O$1000,13,FALSE),"")/E121,"")</f>
        <v/>
      </c>
      <c r="J121" s="546"/>
      <c r="K121" s="547" t="str">
        <f t="shared" si="8"/>
        <v/>
      </c>
      <c r="L121" s="548" t="str">
        <f t="shared" si="11"/>
        <v/>
      </c>
      <c r="M121" s="549">
        <f t="shared" si="9"/>
        <v>0</v>
      </c>
      <c r="O121" s="538" t="str">
        <f t="shared" si="12"/>
        <v/>
      </c>
      <c r="P121" s="550"/>
      <c r="Q121" s="551"/>
    </row>
    <row r="122" spans="1:17" s="253" customFormat="1" ht="20.100000000000001" hidden="1" customHeight="1" x14ac:dyDescent="0.25">
      <c r="A122" s="253" t="str">
        <f t="shared" si="10"/>
        <v/>
      </c>
      <c r="B122" s="584" t="str">
        <f>IF(LEN(A122)&gt;2,VLOOKUP(A122,COPY!$A$2:$O$1000,4,FALSE),"")</f>
        <v/>
      </c>
      <c r="C122" s="585" t="str">
        <f>IF(LEN(A122)&gt;2,VLOOKUP(A122,COPY!$A$2:$O$1000,15,FALSE),"")</f>
        <v/>
      </c>
      <c r="D122" s="542" t="str">
        <f>IF(LEN(A122)&gt;2,VLOOKUP(A122,COPY!$A$2:$O$1000,2,FALSE),"")</f>
        <v/>
      </c>
      <c r="E122" s="607" t="str">
        <f>IF(LEN(A122)&gt;2,VLOOKUP(A122,COPY!$A$2:$O$1000,10,FALSE),"")</f>
        <v/>
      </c>
      <c r="F122" s="542" t="str">
        <f>IF(LEN(A122)&gt;2,VLOOKUP(A122,COPY!$A$2:$O$1000,8,FALSE),"")</f>
        <v/>
      </c>
      <c r="G122" s="543" t="str">
        <f>IF(LEN(A122)&gt;2,VLOOKUP(A122,COPY!$A$2:$O$1000,7,FALSE),"")</f>
        <v/>
      </c>
      <c r="H122" s="544" t="str">
        <f t="shared" si="7"/>
        <v/>
      </c>
      <c r="I122" s="545" t="str">
        <f>IFERROR(IF(LEN(A122)&gt;2,VLOOKUP(A122,COPY!$A$2:$O$1000,13,FALSE),"")/E122,"")</f>
        <v/>
      </c>
      <c r="J122" s="546"/>
      <c r="K122" s="547" t="str">
        <f t="shared" si="8"/>
        <v/>
      </c>
      <c r="L122" s="548" t="str">
        <f t="shared" si="11"/>
        <v/>
      </c>
      <c r="M122" s="549">
        <f t="shared" si="9"/>
        <v>0</v>
      </c>
      <c r="O122" s="538" t="str">
        <f t="shared" si="12"/>
        <v/>
      </c>
      <c r="P122" s="550"/>
      <c r="Q122" s="551"/>
    </row>
    <row r="123" spans="1:17" s="253" customFormat="1" ht="20.100000000000001" hidden="1" customHeight="1" x14ac:dyDescent="0.25">
      <c r="A123" s="253" t="str">
        <f t="shared" si="10"/>
        <v/>
      </c>
      <c r="B123" s="584" t="str">
        <f>IF(LEN(A123)&gt;2,VLOOKUP(A123,COPY!$A$2:$O$1000,4,FALSE),"")</f>
        <v/>
      </c>
      <c r="C123" s="585" t="str">
        <f>IF(LEN(A123)&gt;2,VLOOKUP(A123,COPY!$A$2:$O$1000,15,FALSE),"")</f>
        <v/>
      </c>
      <c r="D123" s="542" t="str">
        <f>IF(LEN(A123)&gt;2,VLOOKUP(A123,COPY!$A$2:$O$1000,2,FALSE),"")</f>
        <v/>
      </c>
      <c r="E123" s="607" t="str">
        <f>IF(LEN(A123)&gt;2,VLOOKUP(A123,COPY!$A$2:$O$1000,10,FALSE),"")</f>
        <v/>
      </c>
      <c r="F123" s="542" t="str">
        <f>IF(LEN(A123)&gt;2,VLOOKUP(A123,COPY!$A$2:$O$1000,8,FALSE),"")</f>
        <v/>
      </c>
      <c r="G123" s="543" t="str">
        <f>IF(LEN(A123)&gt;2,VLOOKUP(A123,COPY!$A$2:$O$1000,7,FALSE),"")</f>
        <v/>
      </c>
      <c r="H123" s="544" t="str">
        <f t="shared" si="7"/>
        <v/>
      </c>
      <c r="I123" s="545" t="str">
        <f>IFERROR(IF(LEN(A123)&gt;2,VLOOKUP(A123,COPY!$A$2:$O$1000,13,FALSE),"")/E123,"")</f>
        <v/>
      </c>
      <c r="J123" s="546"/>
      <c r="K123" s="547" t="str">
        <f t="shared" si="8"/>
        <v/>
      </c>
      <c r="L123" s="548" t="str">
        <f>IF(E123="","",IF(O123&gt;=0,O123,IF(O123&lt;0,0,0)))</f>
        <v/>
      </c>
      <c r="M123" s="549">
        <f t="shared" si="9"/>
        <v>0</v>
      </c>
      <c r="O123" s="538" t="str">
        <f>IF(E123="",O122,IF(L122&gt;0,L122-K123,IF(M122&lt;=0,M122-K123,0)))</f>
        <v/>
      </c>
      <c r="P123" s="550"/>
      <c r="Q123" s="551"/>
    </row>
    <row r="124" spans="1:17" s="253" customFormat="1" ht="20.100000000000001" hidden="1" customHeight="1" x14ac:dyDescent="0.25">
      <c r="A124" s="253" t="str">
        <f t="shared" si="10"/>
        <v/>
      </c>
      <c r="B124" s="584" t="str">
        <f>IF(LEN(A124)&gt;2,VLOOKUP(A124,COPY!$A$2:$O$1000,4,FALSE),"")</f>
        <v/>
      </c>
      <c r="C124" s="585" t="str">
        <f>IF(LEN(A124)&gt;2,VLOOKUP(A124,COPY!$A$2:$O$1000,15,FALSE),"")</f>
        <v/>
      </c>
      <c r="D124" s="542" t="str">
        <f>IF(LEN(A124)&gt;2,VLOOKUP(A124,COPY!$A$2:$O$1000,2,FALSE),"")</f>
        <v/>
      </c>
      <c r="E124" s="607" t="str">
        <f>IF(LEN(A124)&gt;2,VLOOKUP(A124,COPY!$A$2:$O$1000,10,FALSE),"")</f>
        <v/>
      </c>
      <c r="F124" s="542" t="str">
        <f>IF(LEN(A124)&gt;2,VLOOKUP(A124,COPY!$A$2:$O$1000,8,FALSE),"")</f>
        <v/>
      </c>
      <c r="G124" s="543" t="str">
        <f>IF(LEN(A124)&gt;2,VLOOKUP(A124,COPY!$A$2:$O$1000,7,FALSE),"")</f>
        <v/>
      </c>
      <c r="H124" s="544" t="str">
        <f t="shared" si="7"/>
        <v/>
      </c>
      <c r="I124" s="545" t="str">
        <f>IFERROR(IF(LEN(A124)&gt;2,VLOOKUP(A124,COPY!$A$2:$O$1000,13,FALSE),"")/E124,"")</f>
        <v/>
      </c>
      <c r="J124" s="546"/>
      <c r="K124" s="547" t="str">
        <f t="shared" si="8"/>
        <v/>
      </c>
      <c r="L124" s="548" t="str">
        <f>IF(E124="","",IF(O124&gt;=0,O124,IF(O124&lt;0,0,0)))</f>
        <v/>
      </c>
      <c r="M124" s="549">
        <f t="shared" si="9"/>
        <v>0</v>
      </c>
      <c r="O124" s="538" t="str">
        <f>IF(E124="",O123,IF(L123&gt;0,L123-K124,IF(M123&lt;=0,M123-K124,0)))</f>
        <v/>
      </c>
      <c r="P124" s="550"/>
      <c r="Q124" s="551"/>
    </row>
    <row r="125" spans="1:17" s="253" customFormat="1" ht="20.100000000000001" hidden="1" customHeight="1" x14ac:dyDescent="0.25">
      <c r="A125" s="253" t="str">
        <f t="shared" si="10"/>
        <v/>
      </c>
      <c r="B125" s="584" t="str">
        <f>IF(LEN(A125)&gt;2,VLOOKUP(A125,COPY!$A$2:$O$1000,4,FALSE),"")</f>
        <v/>
      </c>
      <c r="C125" s="585" t="str">
        <f>IF(LEN(A125)&gt;2,VLOOKUP(A125,COPY!$A$2:$O$1000,15,FALSE),"")</f>
        <v/>
      </c>
      <c r="D125" s="542" t="str">
        <f>IF(LEN(A125)&gt;2,VLOOKUP(A125,COPY!$A$2:$O$1000,2,FALSE),"")</f>
        <v/>
      </c>
      <c r="E125" s="607" t="str">
        <f>IF(LEN(A125)&gt;2,VLOOKUP(A125,COPY!$A$2:$O$1000,10,FALSE),"")</f>
        <v/>
      </c>
      <c r="F125" s="542" t="str">
        <f>IF(LEN(A125)&gt;2,VLOOKUP(A125,COPY!$A$2:$O$1000,8,FALSE),"")</f>
        <v/>
      </c>
      <c r="G125" s="543" t="str">
        <f>IF(LEN(A125)&gt;2,VLOOKUP(A125,COPY!$A$2:$O$1000,7,FALSE),"")</f>
        <v/>
      </c>
      <c r="H125" s="544" t="str">
        <f t="shared" si="7"/>
        <v/>
      </c>
      <c r="I125" s="545" t="str">
        <f>IFERROR(IF(LEN(A125)&gt;2,VLOOKUP(A125,COPY!$A$2:$O$1000,13,FALSE),"")/E125,"")</f>
        <v/>
      </c>
      <c r="J125" s="546"/>
      <c r="K125" s="547" t="str">
        <f t="shared" si="8"/>
        <v/>
      </c>
      <c r="L125" s="548" t="str">
        <f t="shared" ref="L125:L167" si="13">IF(E125="","",IF(O125&gt;=0,O125,IF(O125&lt;0,0,0)))</f>
        <v/>
      </c>
      <c r="M125" s="549">
        <f t="shared" si="9"/>
        <v>0</v>
      </c>
      <c r="O125" s="538" t="str">
        <f t="shared" ref="O125:O169" si="14">IF(E125="",O124,IF(L124&gt;0,L124-K125,IF(M124&lt;=0,M124-K125,0)))</f>
        <v/>
      </c>
      <c r="P125" s="550"/>
      <c r="Q125" s="551"/>
    </row>
    <row r="126" spans="1:17" s="253" customFormat="1" ht="20.100000000000001" hidden="1" customHeight="1" x14ac:dyDescent="0.25">
      <c r="A126" s="253" t="str">
        <f t="shared" si="10"/>
        <v/>
      </c>
      <c r="B126" s="584" t="str">
        <f>IF(LEN(A126)&gt;2,VLOOKUP(A126,COPY!$A$2:$O$1000,4,FALSE),"")</f>
        <v/>
      </c>
      <c r="C126" s="585" t="str">
        <f>IF(LEN(A126)&gt;2,VLOOKUP(A126,COPY!$A$2:$O$1000,15,FALSE),"")</f>
        <v/>
      </c>
      <c r="D126" s="542" t="str">
        <f>IF(LEN(A126)&gt;2,VLOOKUP(A126,COPY!$A$2:$O$1000,2,FALSE),"")</f>
        <v/>
      </c>
      <c r="E126" s="607" t="str">
        <f>IF(LEN(A126)&gt;2,VLOOKUP(A126,COPY!$A$2:$O$1000,10,FALSE),"")</f>
        <v/>
      </c>
      <c r="F126" s="542" t="str">
        <f>IF(LEN(A126)&gt;2,VLOOKUP(A126,COPY!$A$2:$O$1000,8,FALSE),"")</f>
        <v/>
      </c>
      <c r="G126" s="543" t="str">
        <f>IF(LEN(A126)&gt;2,VLOOKUP(A126,COPY!$A$2:$O$1000,7,FALSE),"")</f>
        <v/>
      </c>
      <c r="H126" s="544" t="str">
        <f t="shared" si="7"/>
        <v/>
      </c>
      <c r="I126" s="545" t="str">
        <f>IFERROR(IF(LEN(A126)&gt;2,VLOOKUP(A126,COPY!$A$2:$O$1000,13,FALSE),"")/E126,"")</f>
        <v/>
      </c>
      <c r="J126" s="546"/>
      <c r="K126" s="547" t="str">
        <f t="shared" si="8"/>
        <v/>
      </c>
      <c r="L126" s="548" t="str">
        <f t="shared" si="13"/>
        <v/>
      </c>
      <c r="M126" s="549">
        <f t="shared" si="9"/>
        <v>0</v>
      </c>
      <c r="O126" s="538" t="str">
        <f t="shared" si="14"/>
        <v/>
      </c>
      <c r="P126" s="550"/>
      <c r="Q126" s="551"/>
    </row>
    <row r="127" spans="1:17" s="253" customFormat="1" ht="20.100000000000001" hidden="1" customHeight="1" x14ac:dyDescent="0.25">
      <c r="A127" s="253" t="str">
        <f t="shared" si="10"/>
        <v/>
      </c>
      <c r="B127" s="584" t="str">
        <f>IF(LEN(A127)&gt;2,VLOOKUP(A127,COPY!$A$2:$O$1000,4,FALSE),"")</f>
        <v/>
      </c>
      <c r="C127" s="585" t="str">
        <f>IF(LEN(A127)&gt;2,VLOOKUP(A127,COPY!$A$2:$O$1000,15,FALSE),"")</f>
        <v/>
      </c>
      <c r="D127" s="542" t="str">
        <f>IF(LEN(A127)&gt;2,VLOOKUP(A127,COPY!$A$2:$O$1000,2,FALSE),"")</f>
        <v/>
      </c>
      <c r="E127" s="607" t="str">
        <f>IF(LEN(A127)&gt;2,VLOOKUP(A127,COPY!$A$2:$O$1000,10,FALSE),"")</f>
        <v/>
      </c>
      <c r="F127" s="542" t="str">
        <f>IF(LEN(A127)&gt;2,VLOOKUP(A127,COPY!$A$2:$O$1000,8,FALSE),"")</f>
        <v/>
      </c>
      <c r="G127" s="543" t="str">
        <f>IF(LEN(A127)&gt;2,VLOOKUP(A127,COPY!$A$2:$O$1000,7,FALSE),"")</f>
        <v/>
      </c>
      <c r="H127" s="544" t="str">
        <f t="shared" si="7"/>
        <v/>
      </c>
      <c r="I127" s="545" t="str">
        <f>IFERROR(IF(LEN(A127)&gt;2,VLOOKUP(A127,COPY!$A$2:$O$1000,13,FALSE),"")/E127,"")</f>
        <v/>
      </c>
      <c r="J127" s="546"/>
      <c r="K127" s="547" t="str">
        <f t="shared" si="8"/>
        <v/>
      </c>
      <c r="L127" s="548" t="str">
        <f t="shared" si="13"/>
        <v/>
      </c>
      <c r="M127" s="549">
        <f t="shared" si="9"/>
        <v>0</v>
      </c>
      <c r="O127" s="538" t="str">
        <f t="shared" si="14"/>
        <v/>
      </c>
      <c r="P127" s="550"/>
      <c r="Q127" s="551"/>
    </row>
    <row r="128" spans="1:17" s="253" customFormat="1" ht="20.100000000000001" hidden="1" customHeight="1" x14ac:dyDescent="0.25">
      <c r="A128" s="253" t="str">
        <f t="shared" si="10"/>
        <v/>
      </c>
      <c r="B128" s="584" t="str">
        <f>IF(LEN(A128)&gt;2,VLOOKUP(A128,COPY!$A$2:$O$1000,4,FALSE),"")</f>
        <v/>
      </c>
      <c r="C128" s="585" t="str">
        <f>IF(LEN(A128)&gt;2,VLOOKUP(A128,COPY!$A$2:$O$1000,15,FALSE),"")</f>
        <v/>
      </c>
      <c r="D128" s="542" t="str">
        <f>IF(LEN(A128)&gt;2,VLOOKUP(A128,COPY!$A$2:$O$1000,2,FALSE),"")</f>
        <v/>
      </c>
      <c r="E128" s="607" t="str">
        <f>IF(LEN(A128)&gt;2,VLOOKUP(A128,COPY!$A$2:$O$1000,10,FALSE),"")</f>
        <v/>
      </c>
      <c r="F128" s="542" t="str">
        <f>IF(LEN(A128)&gt;2,VLOOKUP(A128,COPY!$A$2:$O$1000,8,FALSE),"")</f>
        <v/>
      </c>
      <c r="G128" s="543" t="str">
        <f>IF(LEN(A128)&gt;2,VLOOKUP(A128,COPY!$A$2:$O$1000,7,FALSE),"")</f>
        <v/>
      </c>
      <c r="H128" s="544" t="str">
        <f t="shared" si="7"/>
        <v/>
      </c>
      <c r="I128" s="545" t="str">
        <f>IFERROR(IF(LEN(A128)&gt;2,VLOOKUP(A128,COPY!$A$2:$O$1000,13,FALSE),"")/E128,"")</f>
        <v/>
      </c>
      <c r="J128" s="546"/>
      <c r="K128" s="547" t="str">
        <f t="shared" si="8"/>
        <v/>
      </c>
      <c r="L128" s="548" t="str">
        <f t="shared" si="13"/>
        <v/>
      </c>
      <c r="M128" s="549">
        <f t="shared" si="9"/>
        <v>0</v>
      </c>
      <c r="O128" s="538" t="str">
        <f t="shared" si="14"/>
        <v/>
      </c>
      <c r="P128" s="550"/>
      <c r="Q128" s="551"/>
    </row>
    <row r="129" spans="1:17" s="253" customFormat="1" ht="20.100000000000001" hidden="1" customHeight="1" x14ac:dyDescent="0.25">
      <c r="A129" s="253" t="str">
        <f t="shared" si="10"/>
        <v/>
      </c>
      <c r="B129" s="584" t="str">
        <f>IF(LEN(A129)&gt;2,VLOOKUP(A129,COPY!$A$2:$O$1000,4,FALSE),"")</f>
        <v/>
      </c>
      <c r="C129" s="585" t="str">
        <f>IF(LEN(A129)&gt;2,VLOOKUP(A129,COPY!$A$2:$O$1000,15,FALSE),"")</f>
        <v/>
      </c>
      <c r="D129" s="542" t="str">
        <f>IF(LEN(A129)&gt;2,VLOOKUP(A129,COPY!$A$2:$O$1000,2,FALSE),"")</f>
        <v/>
      </c>
      <c r="E129" s="607" t="str">
        <f>IF(LEN(A129)&gt;2,VLOOKUP(A129,COPY!$A$2:$O$1000,10,FALSE),"")</f>
        <v/>
      </c>
      <c r="F129" s="542" t="str">
        <f>IF(LEN(A129)&gt;2,VLOOKUP(A129,COPY!$A$2:$O$1000,8,FALSE),"")</f>
        <v/>
      </c>
      <c r="G129" s="543" t="str">
        <f>IF(LEN(A129)&gt;2,VLOOKUP(A129,COPY!$A$2:$O$1000,7,FALSE),"")</f>
        <v/>
      </c>
      <c r="H129" s="544" t="str">
        <f t="shared" si="7"/>
        <v/>
      </c>
      <c r="I129" s="545" t="str">
        <f>IFERROR(IF(LEN(A129)&gt;2,VLOOKUP(A129,COPY!$A$2:$O$1000,13,FALSE),"")/E129,"")</f>
        <v/>
      </c>
      <c r="J129" s="546"/>
      <c r="K129" s="547" t="str">
        <f t="shared" si="8"/>
        <v/>
      </c>
      <c r="L129" s="548" t="str">
        <f t="shared" si="13"/>
        <v/>
      </c>
      <c r="M129" s="549">
        <f t="shared" si="9"/>
        <v>0</v>
      </c>
      <c r="O129" s="538" t="str">
        <f t="shared" si="14"/>
        <v/>
      </c>
      <c r="P129" s="550"/>
      <c r="Q129" s="551"/>
    </row>
    <row r="130" spans="1:17" s="253" customFormat="1" ht="20.100000000000001" hidden="1" customHeight="1" x14ac:dyDescent="0.25">
      <c r="A130" s="253" t="str">
        <f t="shared" si="10"/>
        <v/>
      </c>
      <c r="B130" s="584" t="str">
        <f>IF(LEN(A130)&gt;2,VLOOKUP(A130,COPY!$A$2:$O$1000,4,FALSE),"")</f>
        <v/>
      </c>
      <c r="C130" s="585" t="str">
        <f>IF(LEN(A130)&gt;2,VLOOKUP(A130,COPY!$A$2:$O$1000,15,FALSE),"")</f>
        <v/>
      </c>
      <c r="D130" s="542" t="str">
        <f>IF(LEN(A130)&gt;2,VLOOKUP(A130,COPY!$A$2:$O$1000,2,FALSE),"")</f>
        <v/>
      </c>
      <c r="E130" s="607" t="str">
        <f>IF(LEN(A130)&gt;2,VLOOKUP(A130,COPY!$A$2:$O$1000,10,FALSE),"")</f>
        <v/>
      </c>
      <c r="F130" s="542" t="str">
        <f>IF(LEN(A130)&gt;2,VLOOKUP(A130,COPY!$A$2:$O$1000,8,FALSE),"")</f>
        <v/>
      </c>
      <c r="G130" s="543" t="str">
        <f>IF(LEN(A130)&gt;2,VLOOKUP(A130,COPY!$A$2:$O$1000,7,FALSE),"")</f>
        <v/>
      </c>
      <c r="H130" s="544" t="str">
        <f t="shared" si="7"/>
        <v/>
      </c>
      <c r="I130" s="545" t="str">
        <f>IFERROR(IF(LEN(A130)&gt;2,VLOOKUP(A130,COPY!$A$2:$O$1000,13,FALSE),"")/E130,"")</f>
        <v/>
      </c>
      <c r="J130" s="546"/>
      <c r="K130" s="547" t="str">
        <f t="shared" si="8"/>
        <v/>
      </c>
      <c r="L130" s="548" t="str">
        <f t="shared" si="13"/>
        <v/>
      </c>
      <c r="M130" s="549">
        <f t="shared" si="9"/>
        <v>0</v>
      </c>
      <c r="O130" s="538" t="str">
        <f t="shared" si="14"/>
        <v/>
      </c>
      <c r="P130" s="550"/>
      <c r="Q130" s="551"/>
    </row>
    <row r="131" spans="1:17" s="253" customFormat="1" ht="20.100000000000001" hidden="1" customHeight="1" x14ac:dyDescent="0.25">
      <c r="A131" s="253" t="str">
        <f t="shared" si="10"/>
        <v/>
      </c>
      <c r="B131" s="584" t="str">
        <f>IF(LEN(A131)&gt;2,VLOOKUP(A131,COPY!$A$2:$O$1000,4,FALSE),"")</f>
        <v/>
      </c>
      <c r="C131" s="585" t="str">
        <f>IF(LEN(A131)&gt;2,VLOOKUP(A131,COPY!$A$2:$O$1000,15,FALSE),"")</f>
        <v/>
      </c>
      <c r="D131" s="542" t="str">
        <f>IF(LEN(A131)&gt;2,VLOOKUP(A131,COPY!$A$2:$O$1000,2,FALSE),"")</f>
        <v/>
      </c>
      <c r="E131" s="607" t="str">
        <f>IF(LEN(A131)&gt;2,VLOOKUP(A131,COPY!$A$2:$O$1000,10,FALSE),"")</f>
        <v/>
      </c>
      <c r="F131" s="542" t="str">
        <f>IF(LEN(A131)&gt;2,VLOOKUP(A131,COPY!$A$2:$O$1000,8,FALSE),"")</f>
        <v/>
      </c>
      <c r="G131" s="543" t="str">
        <f>IF(LEN(A131)&gt;2,VLOOKUP(A131,COPY!$A$2:$O$1000,7,FALSE),"")</f>
        <v/>
      </c>
      <c r="H131" s="544" t="str">
        <f t="shared" si="7"/>
        <v/>
      </c>
      <c r="I131" s="545" t="str">
        <f>IFERROR(IF(LEN(A131)&gt;2,VLOOKUP(A131,COPY!$A$2:$O$1000,13,FALSE),"")/E131,"")</f>
        <v/>
      </c>
      <c r="J131" s="546"/>
      <c r="K131" s="547" t="str">
        <f t="shared" si="8"/>
        <v/>
      </c>
      <c r="L131" s="548" t="str">
        <f t="shared" si="13"/>
        <v/>
      </c>
      <c r="M131" s="549">
        <f t="shared" si="9"/>
        <v>0</v>
      </c>
      <c r="O131" s="538" t="str">
        <f t="shared" si="14"/>
        <v/>
      </c>
      <c r="P131" s="550"/>
      <c r="Q131" s="551"/>
    </row>
    <row r="132" spans="1:17" s="253" customFormat="1" ht="20.100000000000001" hidden="1" customHeight="1" x14ac:dyDescent="0.25">
      <c r="A132" s="253" t="str">
        <f t="shared" si="10"/>
        <v/>
      </c>
      <c r="B132" s="584" t="str">
        <f>IF(LEN(A132)&gt;2,VLOOKUP(A132,COPY!$A$2:$O$1000,4,FALSE),"")</f>
        <v/>
      </c>
      <c r="C132" s="585" t="str">
        <f>IF(LEN(A132)&gt;2,VLOOKUP(A132,COPY!$A$2:$O$1000,15,FALSE),"")</f>
        <v/>
      </c>
      <c r="D132" s="542" t="str">
        <f>IF(LEN(A132)&gt;2,VLOOKUP(A132,COPY!$A$2:$O$1000,2,FALSE),"")</f>
        <v/>
      </c>
      <c r="E132" s="607" t="str">
        <f>IF(LEN(A132)&gt;2,VLOOKUP(A132,COPY!$A$2:$O$1000,10,FALSE),"")</f>
        <v/>
      </c>
      <c r="F132" s="542" t="str">
        <f>IF(LEN(A132)&gt;2,VLOOKUP(A132,COPY!$A$2:$O$1000,8,FALSE),"")</f>
        <v/>
      </c>
      <c r="G132" s="543" t="str">
        <f>IF(LEN(A132)&gt;2,VLOOKUP(A132,COPY!$A$2:$O$1000,7,FALSE),"")</f>
        <v/>
      </c>
      <c r="H132" s="544" t="str">
        <f t="shared" si="7"/>
        <v/>
      </c>
      <c r="I132" s="545" t="str">
        <f>IFERROR(IF(LEN(A132)&gt;2,VLOOKUP(A132,COPY!$A$2:$O$1000,13,FALSE),"")/E132,"")</f>
        <v/>
      </c>
      <c r="J132" s="546"/>
      <c r="K132" s="547" t="str">
        <f t="shared" si="8"/>
        <v/>
      </c>
      <c r="L132" s="548" t="str">
        <f t="shared" si="13"/>
        <v/>
      </c>
      <c r="M132" s="549">
        <f t="shared" si="9"/>
        <v>0</v>
      </c>
      <c r="O132" s="538" t="str">
        <f t="shared" si="14"/>
        <v/>
      </c>
      <c r="P132" s="550"/>
      <c r="Q132" s="551"/>
    </row>
    <row r="133" spans="1:17" s="253" customFormat="1" ht="20.100000000000001" hidden="1" customHeight="1" x14ac:dyDescent="0.25">
      <c r="A133" s="253" t="str">
        <f t="shared" si="10"/>
        <v/>
      </c>
      <c r="B133" s="584" t="str">
        <f>IF(LEN(A133)&gt;2,VLOOKUP(A133,COPY!$A$2:$O$1000,4,FALSE),"")</f>
        <v/>
      </c>
      <c r="C133" s="585" t="str">
        <f>IF(LEN(A133)&gt;2,VLOOKUP(A133,COPY!$A$2:$O$1000,15,FALSE),"")</f>
        <v/>
      </c>
      <c r="D133" s="542" t="str">
        <f>IF(LEN(A133)&gt;2,VLOOKUP(A133,COPY!$A$2:$O$1000,2,FALSE),"")</f>
        <v/>
      </c>
      <c r="E133" s="607" t="str">
        <f>IF(LEN(A133)&gt;2,VLOOKUP(A133,COPY!$A$2:$O$1000,10,FALSE),"")</f>
        <v/>
      </c>
      <c r="F133" s="542" t="str">
        <f>IF(LEN(A133)&gt;2,VLOOKUP(A133,COPY!$A$2:$O$1000,8,FALSE),"")</f>
        <v/>
      </c>
      <c r="G133" s="543" t="str">
        <f>IF(LEN(A133)&gt;2,VLOOKUP(A133,COPY!$A$2:$O$1000,7,FALSE),"")</f>
        <v/>
      </c>
      <c r="H133" s="544" t="str">
        <f t="shared" si="7"/>
        <v/>
      </c>
      <c r="I133" s="545" t="str">
        <f>IFERROR(IF(LEN(A133)&gt;2,VLOOKUP(A133,COPY!$A$2:$O$1000,13,FALSE),"")/E133,"")</f>
        <v/>
      </c>
      <c r="J133" s="546"/>
      <c r="K133" s="547" t="str">
        <f t="shared" si="8"/>
        <v/>
      </c>
      <c r="L133" s="548" t="str">
        <f t="shared" si="13"/>
        <v/>
      </c>
      <c r="M133" s="549">
        <f t="shared" si="9"/>
        <v>0</v>
      </c>
      <c r="O133" s="538" t="str">
        <f t="shared" si="14"/>
        <v/>
      </c>
      <c r="P133" s="550"/>
      <c r="Q133" s="551"/>
    </row>
    <row r="134" spans="1:17" s="253" customFormat="1" ht="20.100000000000001" hidden="1" customHeight="1" x14ac:dyDescent="0.25">
      <c r="A134" s="253" t="str">
        <f t="shared" si="10"/>
        <v/>
      </c>
      <c r="B134" s="584" t="str">
        <f>IF(LEN(A134)&gt;2,VLOOKUP(A134,COPY!$A$2:$O$1000,4,FALSE),"")</f>
        <v/>
      </c>
      <c r="C134" s="585" t="str">
        <f>IF(LEN(A134)&gt;2,VLOOKUP(A134,COPY!$A$2:$O$1000,15,FALSE),"")</f>
        <v/>
      </c>
      <c r="D134" s="542" t="str">
        <f>IF(LEN(A134)&gt;2,VLOOKUP(A134,COPY!$A$2:$O$1000,2,FALSE),"")</f>
        <v/>
      </c>
      <c r="E134" s="607" t="str">
        <f>IF(LEN(A134)&gt;2,VLOOKUP(A134,COPY!$A$2:$O$1000,10,FALSE),"")</f>
        <v/>
      </c>
      <c r="F134" s="542" t="str">
        <f>IF(LEN(A134)&gt;2,VLOOKUP(A134,COPY!$A$2:$O$1000,8,FALSE),"")</f>
        <v/>
      </c>
      <c r="G134" s="543" t="str">
        <f>IF(LEN(A134)&gt;2,VLOOKUP(A134,COPY!$A$2:$O$1000,7,FALSE),"")</f>
        <v/>
      </c>
      <c r="H134" s="544" t="str">
        <f t="shared" si="7"/>
        <v/>
      </c>
      <c r="I134" s="545" t="str">
        <f>IFERROR(IF(LEN(A134)&gt;2,VLOOKUP(A134,COPY!$A$2:$O$1000,13,FALSE),"")/E134,"")</f>
        <v/>
      </c>
      <c r="J134" s="546"/>
      <c r="K134" s="547" t="str">
        <f t="shared" si="8"/>
        <v/>
      </c>
      <c r="L134" s="548" t="str">
        <f t="shared" si="13"/>
        <v/>
      </c>
      <c r="M134" s="549">
        <f t="shared" si="9"/>
        <v>0</v>
      </c>
      <c r="O134" s="538" t="str">
        <f t="shared" si="14"/>
        <v/>
      </c>
      <c r="P134" s="550"/>
      <c r="Q134" s="551"/>
    </row>
    <row r="135" spans="1:17" s="253" customFormat="1" ht="20.100000000000001" hidden="1" customHeight="1" x14ac:dyDescent="0.25">
      <c r="A135" s="253" t="str">
        <f t="shared" si="10"/>
        <v/>
      </c>
      <c r="B135" s="584" t="str">
        <f>IF(LEN(A135)&gt;2,VLOOKUP(A135,COPY!$A$2:$O$1000,4,FALSE),"")</f>
        <v/>
      </c>
      <c r="C135" s="585" t="str">
        <f>IF(LEN(A135)&gt;2,VLOOKUP(A135,COPY!$A$2:$O$1000,15,FALSE),"")</f>
        <v/>
      </c>
      <c r="D135" s="542" t="str">
        <f>IF(LEN(A135)&gt;2,VLOOKUP(A135,COPY!$A$2:$O$1000,2,FALSE),"")</f>
        <v/>
      </c>
      <c r="E135" s="607" t="str">
        <f>IF(LEN(A135)&gt;2,VLOOKUP(A135,COPY!$A$2:$O$1000,10,FALSE),"")</f>
        <v/>
      </c>
      <c r="F135" s="542" t="str">
        <f>IF(LEN(A135)&gt;2,VLOOKUP(A135,COPY!$A$2:$O$1000,8,FALSE),"")</f>
        <v/>
      </c>
      <c r="G135" s="543" t="str">
        <f>IF(LEN(A135)&gt;2,VLOOKUP(A135,COPY!$A$2:$O$1000,7,FALSE),"")</f>
        <v/>
      </c>
      <c r="H135" s="544" t="str">
        <f t="shared" si="7"/>
        <v/>
      </c>
      <c r="I135" s="545" t="str">
        <f>IFERROR(IF(LEN(A135)&gt;2,VLOOKUP(A135,COPY!$A$2:$O$1000,13,FALSE),"")/E135,"")</f>
        <v/>
      </c>
      <c r="J135" s="546"/>
      <c r="K135" s="547" t="str">
        <f t="shared" si="8"/>
        <v/>
      </c>
      <c r="L135" s="548" t="str">
        <f t="shared" si="13"/>
        <v/>
      </c>
      <c r="M135" s="549">
        <f t="shared" si="9"/>
        <v>0</v>
      </c>
      <c r="O135" s="538" t="str">
        <f t="shared" si="14"/>
        <v/>
      </c>
      <c r="P135" s="550"/>
      <c r="Q135" s="551"/>
    </row>
    <row r="136" spans="1:17" s="253" customFormat="1" ht="20.100000000000001" hidden="1" customHeight="1" x14ac:dyDescent="0.25">
      <c r="A136" s="253" t="str">
        <f t="shared" si="10"/>
        <v/>
      </c>
      <c r="B136" s="584" t="str">
        <f>IF(LEN(A136)&gt;2,VLOOKUP(A136,COPY!$A$2:$O$1000,4,FALSE),"")</f>
        <v/>
      </c>
      <c r="C136" s="585" t="str">
        <f>IF(LEN(A136)&gt;2,VLOOKUP(A136,COPY!$A$2:$O$1000,15,FALSE),"")</f>
        <v/>
      </c>
      <c r="D136" s="542" t="str">
        <f>IF(LEN(A136)&gt;2,VLOOKUP(A136,COPY!$A$2:$O$1000,2,FALSE),"")</f>
        <v/>
      </c>
      <c r="E136" s="607" t="str">
        <f>IF(LEN(A136)&gt;2,VLOOKUP(A136,COPY!$A$2:$O$1000,10,FALSE),"")</f>
        <v/>
      </c>
      <c r="F136" s="542" t="str">
        <f>IF(LEN(A136)&gt;2,VLOOKUP(A136,COPY!$A$2:$O$1000,8,FALSE),"")</f>
        <v/>
      </c>
      <c r="G136" s="543" t="str">
        <f>IF(LEN(A136)&gt;2,VLOOKUP(A136,COPY!$A$2:$O$1000,7,FALSE),"")</f>
        <v/>
      </c>
      <c r="H136" s="544" t="str">
        <f t="shared" si="7"/>
        <v/>
      </c>
      <c r="I136" s="545" t="str">
        <f>IFERROR(IF(LEN(A136)&gt;2,VLOOKUP(A136,COPY!$A$2:$O$1000,13,FALSE),"")/E136,"")</f>
        <v/>
      </c>
      <c r="J136" s="546"/>
      <c r="K136" s="547" t="str">
        <f t="shared" si="8"/>
        <v/>
      </c>
      <c r="L136" s="548" t="str">
        <f t="shared" si="13"/>
        <v/>
      </c>
      <c r="M136" s="549">
        <f t="shared" si="9"/>
        <v>0</v>
      </c>
      <c r="O136" s="538" t="str">
        <f t="shared" si="14"/>
        <v/>
      </c>
      <c r="P136" s="550"/>
      <c r="Q136" s="551"/>
    </row>
    <row r="137" spans="1:17" s="253" customFormat="1" ht="20.100000000000001" hidden="1" customHeight="1" x14ac:dyDescent="0.25">
      <c r="A137" s="253" t="str">
        <f t="shared" si="10"/>
        <v/>
      </c>
      <c r="B137" s="584" t="str">
        <f>IF(LEN(A137)&gt;2,VLOOKUP(A137,COPY!$A$2:$O$1000,4,FALSE),"")</f>
        <v/>
      </c>
      <c r="C137" s="585" t="str">
        <f>IF(LEN(A137)&gt;2,VLOOKUP(A137,COPY!$A$2:$O$1000,15,FALSE),"")</f>
        <v/>
      </c>
      <c r="D137" s="542" t="str">
        <f>IF(LEN(A137)&gt;2,VLOOKUP(A137,COPY!$A$2:$O$1000,2,FALSE),"")</f>
        <v/>
      </c>
      <c r="E137" s="607" t="str">
        <f>IF(LEN(A137)&gt;2,VLOOKUP(A137,COPY!$A$2:$O$1000,10,FALSE),"")</f>
        <v/>
      </c>
      <c r="F137" s="542" t="str">
        <f>IF(LEN(A137)&gt;2,VLOOKUP(A137,COPY!$A$2:$O$1000,8,FALSE),"")</f>
        <v/>
      </c>
      <c r="G137" s="543" t="str">
        <f>IF(LEN(A137)&gt;2,VLOOKUP(A137,COPY!$A$2:$O$1000,7,FALSE),"")</f>
        <v/>
      </c>
      <c r="H137" s="544" t="str">
        <f t="shared" si="7"/>
        <v/>
      </c>
      <c r="I137" s="545" t="str">
        <f>IFERROR(IF(LEN(A137)&gt;2,VLOOKUP(A137,COPY!$A$2:$O$1000,13,FALSE),"")/E137,"")</f>
        <v/>
      </c>
      <c r="J137" s="546"/>
      <c r="K137" s="547" t="str">
        <f t="shared" si="8"/>
        <v/>
      </c>
      <c r="L137" s="548" t="str">
        <f t="shared" si="13"/>
        <v/>
      </c>
      <c r="M137" s="549">
        <f t="shared" si="9"/>
        <v>0</v>
      </c>
      <c r="O137" s="538" t="str">
        <f t="shared" si="14"/>
        <v/>
      </c>
      <c r="P137" s="550"/>
      <c r="Q137" s="551"/>
    </row>
    <row r="138" spans="1:17" s="253" customFormat="1" ht="20.100000000000001" hidden="1" customHeight="1" x14ac:dyDescent="0.25">
      <c r="A138" s="253" t="str">
        <f t="shared" si="10"/>
        <v/>
      </c>
      <c r="B138" s="584" t="str">
        <f>IF(LEN(A138)&gt;2,VLOOKUP(A138,COPY!$A$2:$O$1000,4,FALSE),"")</f>
        <v/>
      </c>
      <c r="C138" s="585" t="str">
        <f>IF(LEN(A138)&gt;2,VLOOKUP(A138,COPY!$A$2:$O$1000,15,FALSE),"")</f>
        <v/>
      </c>
      <c r="D138" s="542" t="str">
        <f>IF(LEN(A138)&gt;2,VLOOKUP(A138,COPY!$A$2:$O$1000,2,FALSE),"")</f>
        <v/>
      </c>
      <c r="E138" s="607" t="str">
        <f>IF(LEN(A138)&gt;2,VLOOKUP(A138,COPY!$A$2:$O$1000,10,FALSE),"")</f>
        <v/>
      </c>
      <c r="F138" s="542" t="str">
        <f>IF(LEN(A138)&gt;2,VLOOKUP(A138,COPY!$A$2:$O$1000,8,FALSE),"")</f>
        <v/>
      </c>
      <c r="G138" s="543" t="str">
        <f>IF(LEN(A138)&gt;2,VLOOKUP(A138,COPY!$A$2:$O$1000,7,FALSE),"")</f>
        <v/>
      </c>
      <c r="H138" s="544" t="str">
        <f t="shared" si="7"/>
        <v/>
      </c>
      <c r="I138" s="545" t="str">
        <f>IFERROR(IF(LEN(A138)&gt;2,VLOOKUP(A138,COPY!$A$2:$O$1000,13,FALSE),"")/E138,"")</f>
        <v/>
      </c>
      <c r="J138" s="546"/>
      <c r="K138" s="547" t="str">
        <f t="shared" si="8"/>
        <v/>
      </c>
      <c r="L138" s="548" t="str">
        <f t="shared" si="13"/>
        <v/>
      </c>
      <c r="M138" s="549">
        <f t="shared" si="9"/>
        <v>0</v>
      </c>
      <c r="O138" s="538" t="str">
        <f t="shared" si="14"/>
        <v/>
      </c>
      <c r="P138" s="550"/>
      <c r="Q138" s="551"/>
    </row>
    <row r="139" spans="1:17" s="253" customFormat="1" ht="20.100000000000001" hidden="1" customHeight="1" x14ac:dyDescent="0.25">
      <c r="A139" s="253" t="str">
        <f t="shared" si="10"/>
        <v/>
      </c>
      <c r="B139" s="584" t="str">
        <f>IF(LEN(A139)&gt;2,VLOOKUP(A139,COPY!$A$2:$O$1000,4,FALSE),"")</f>
        <v/>
      </c>
      <c r="C139" s="585" t="str">
        <f>IF(LEN(A139)&gt;2,VLOOKUP(A139,COPY!$A$2:$O$1000,15,FALSE),"")</f>
        <v/>
      </c>
      <c r="D139" s="542" t="str">
        <f>IF(LEN(A139)&gt;2,VLOOKUP(A139,COPY!$A$2:$O$1000,2,FALSE),"")</f>
        <v/>
      </c>
      <c r="E139" s="607" t="str">
        <f>IF(LEN(A139)&gt;2,VLOOKUP(A139,COPY!$A$2:$O$1000,10,FALSE),"")</f>
        <v/>
      </c>
      <c r="F139" s="542" t="str">
        <f>IF(LEN(A139)&gt;2,VLOOKUP(A139,COPY!$A$2:$O$1000,8,FALSE),"")</f>
        <v/>
      </c>
      <c r="G139" s="543" t="str">
        <f>IF(LEN(A139)&gt;2,VLOOKUP(A139,COPY!$A$2:$O$1000,7,FALSE),"")</f>
        <v/>
      </c>
      <c r="H139" s="544" t="str">
        <f t="shared" si="7"/>
        <v/>
      </c>
      <c r="I139" s="545" t="str">
        <f>IFERROR(IF(LEN(A139)&gt;2,VLOOKUP(A139,COPY!$A$2:$O$1000,13,FALSE),"")/E139,"")</f>
        <v/>
      </c>
      <c r="J139" s="546"/>
      <c r="K139" s="547" t="str">
        <f t="shared" si="8"/>
        <v/>
      </c>
      <c r="L139" s="548" t="str">
        <f t="shared" si="13"/>
        <v/>
      </c>
      <c r="M139" s="549">
        <f t="shared" si="9"/>
        <v>0</v>
      </c>
      <c r="O139" s="538" t="str">
        <f t="shared" si="14"/>
        <v/>
      </c>
      <c r="P139" s="550"/>
      <c r="Q139" s="551"/>
    </row>
    <row r="140" spans="1:17" s="253" customFormat="1" ht="20.100000000000001" hidden="1" customHeight="1" x14ac:dyDescent="0.25">
      <c r="A140" s="253" t="str">
        <f t="shared" si="10"/>
        <v/>
      </c>
      <c r="B140" s="584" t="str">
        <f>IF(LEN(A140)&gt;2,VLOOKUP(A140,COPY!$A$2:$O$1000,4,FALSE),"")</f>
        <v/>
      </c>
      <c r="C140" s="585" t="str">
        <f>IF(LEN(A140)&gt;2,VLOOKUP(A140,COPY!$A$2:$O$1000,15,FALSE),"")</f>
        <v/>
      </c>
      <c r="D140" s="542" t="str">
        <f>IF(LEN(A140)&gt;2,VLOOKUP(A140,COPY!$A$2:$O$1000,2,FALSE),"")</f>
        <v/>
      </c>
      <c r="E140" s="607" t="str">
        <f>IF(LEN(A140)&gt;2,VLOOKUP(A140,COPY!$A$2:$O$1000,10,FALSE),"")</f>
        <v/>
      </c>
      <c r="F140" s="542" t="str">
        <f>IF(LEN(A140)&gt;2,VLOOKUP(A140,COPY!$A$2:$O$1000,8,FALSE),"")</f>
        <v/>
      </c>
      <c r="G140" s="543" t="str">
        <f>IF(LEN(A140)&gt;2,VLOOKUP(A140,COPY!$A$2:$O$1000,7,FALSE),"")</f>
        <v/>
      </c>
      <c r="H140" s="544" t="str">
        <f t="shared" si="7"/>
        <v/>
      </c>
      <c r="I140" s="545" t="str">
        <f>IFERROR(IF(LEN(A140)&gt;2,VLOOKUP(A140,COPY!$A$2:$O$1000,13,FALSE),"")/E140,"")</f>
        <v/>
      </c>
      <c r="J140" s="546"/>
      <c r="K140" s="547" t="str">
        <f t="shared" si="8"/>
        <v/>
      </c>
      <c r="L140" s="548" t="str">
        <f t="shared" si="13"/>
        <v/>
      </c>
      <c r="M140" s="549">
        <f t="shared" si="9"/>
        <v>0</v>
      </c>
      <c r="O140" s="538" t="str">
        <f t="shared" si="14"/>
        <v/>
      </c>
      <c r="P140" s="550"/>
      <c r="Q140" s="551"/>
    </row>
    <row r="141" spans="1:17" s="253" customFormat="1" ht="20.100000000000001" hidden="1" customHeight="1" x14ac:dyDescent="0.25">
      <c r="A141" s="253" t="str">
        <f t="shared" si="10"/>
        <v/>
      </c>
      <c r="B141" s="584" t="str">
        <f>IF(LEN(A141)&gt;2,VLOOKUP(A141,COPY!$A$2:$O$1000,4,FALSE),"")</f>
        <v/>
      </c>
      <c r="C141" s="585" t="str">
        <f>IF(LEN(A141)&gt;2,VLOOKUP(A141,COPY!$A$2:$O$1000,15,FALSE),"")</f>
        <v/>
      </c>
      <c r="D141" s="542" t="str">
        <f>IF(LEN(A141)&gt;2,VLOOKUP(A141,COPY!$A$2:$O$1000,2,FALSE),"")</f>
        <v/>
      </c>
      <c r="E141" s="607" t="str">
        <f>IF(LEN(A141)&gt;2,VLOOKUP(A141,COPY!$A$2:$O$1000,10,FALSE),"")</f>
        <v/>
      </c>
      <c r="F141" s="542" t="str">
        <f>IF(LEN(A141)&gt;2,VLOOKUP(A141,COPY!$A$2:$O$1000,8,FALSE),"")</f>
        <v/>
      </c>
      <c r="G141" s="543" t="str">
        <f>IF(LEN(A141)&gt;2,VLOOKUP(A141,COPY!$A$2:$O$1000,7,FALSE),"")</f>
        <v/>
      </c>
      <c r="H141" s="544" t="str">
        <f t="shared" si="7"/>
        <v/>
      </c>
      <c r="I141" s="545" t="str">
        <f>IFERROR(IF(LEN(A141)&gt;2,VLOOKUP(A141,COPY!$A$2:$O$1000,13,FALSE),"")/E141,"")</f>
        <v/>
      </c>
      <c r="J141" s="546"/>
      <c r="K141" s="547" t="str">
        <f t="shared" si="8"/>
        <v/>
      </c>
      <c r="L141" s="548" t="str">
        <f t="shared" si="13"/>
        <v/>
      </c>
      <c r="M141" s="549">
        <f t="shared" si="9"/>
        <v>0</v>
      </c>
      <c r="O141" s="538" t="str">
        <f t="shared" si="14"/>
        <v/>
      </c>
      <c r="P141" s="550"/>
      <c r="Q141" s="551"/>
    </row>
    <row r="142" spans="1:17" s="253" customFormat="1" ht="20.100000000000001" hidden="1" customHeight="1" x14ac:dyDescent="0.25">
      <c r="A142" s="253" t="str">
        <f t="shared" si="10"/>
        <v/>
      </c>
      <c r="B142" s="584" t="str">
        <f>IF(LEN(A142)&gt;2,VLOOKUP(A142,COPY!$A$2:$O$1000,4,FALSE),"")</f>
        <v/>
      </c>
      <c r="C142" s="585" t="str">
        <f>IF(LEN(A142)&gt;2,VLOOKUP(A142,COPY!$A$2:$O$1000,15,FALSE),"")</f>
        <v/>
      </c>
      <c r="D142" s="542" t="str">
        <f>IF(LEN(A142)&gt;2,VLOOKUP(A142,COPY!$A$2:$O$1000,2,FALSE),"")</f>
        <v/>
      </c>
      <c r="E142" s="607" t="str">
        <f>IF(LEN(A142)&gt;2,VLOOKUP(A142,COPY!$A$2:$O$1000,10,FALSE),"")</f>
        <v/>
      </c>
      <c r="F142" s="542" t="str">
        <f>IF(LEN(A142)&gt;2,VLOOKUP(A142,COPY!$A$2:$O$1000,8,FALSE),"")</f>
        <v/>
      </c>
      <c r="G142" s="543" t="str">
        <f>IF(LEN(A142)&gt;2,VLOOKUP(A142,COPY!$A$2:$O$1000,7,FALSE),"")</f>
        <v/>
      </c>
      <c r="H142" s="544" t="str">
        <f t="shared" si="7"/>
        <v/>
      </c>
      <c r="I142" s="545" t="str">
        <f>IFERROR(IF(LEN(A142)&gt;2,VLOOKUP(A142,COPY!$A$2:$O$1000,13,FALSE),"")/E142,"")</f>
        <v/>
      </c>
      <c r="J142" s="546"/>
      <c r="K142" s="547" t="str">
        <f t="shared" si="8"/>
        <v/>
      </c>
      <c r="L142" s="548" t="str">
        <f t="shared" si="13"/>
        <v/>
      </c>
      <c r="M142" s="549">
        <f t="shared" si="9"/>
        <v>0</v>
      </c>
      <c r="O142" s="538" t="str">
        <f t="shared" si="14"/>
        <v/>
      </c>
      <c r="P142" s="550"/>
      <c r="Q142" s="551"/>
    </row>
    <row r="143" spans="1:17" s="253" customFormat="1" ht="20.100000000000001" hidden="1" customHeight="1" x14ac:dyDescent="0.25">
      <c r="A143" s="253" t="str">
        <f t="shared" si="10"/>
        <v/>
      </c>
      <c r="B143" s="584" t="str">
        <f>IF(LEN(A143)&gt;2,VLOOKUP(A143,COPY!$A$2:$O$1000,4,FALSE),"")</f>
        <v/>
      </c>
      <c r="C143" s="585" t="str">
        <f>IF(LEN(A143)&gt;2,VLOOKUP(A143,COPY!$A$2:$O$1000,15,FALSE),"")</f>
        <v/>
      </c>
      <c r="D143" s="542" t="str">
        <f>IF(LEN(A143)&gt;2,VLOOKUP(A143,COPY!$A$2:$O$1000,2,FALSE),"")</f>
        <v/>
      </c>
      <c r="E143" s="607" t="str">
        <f>IF(LEN(A143)&gt;2,VLOOKUP(A143,COPY!$A$2:$O$1000,10,FALSE),"")</f>
        <v/>
      </c>
      <c r="F143" s="542" t="str">
        <f>IF(LEN(A143)&gt;2,VLOOKUP(A143,COPY!$A$2:$O$1000,8,FALSE),"")</f>
        <v/>
      </c>
      <c r="G143" s="543" t="str">
        <f>IF(LEN(A143)&gt;2,VLOOKUP(A143,COPY!$A$2:$O$1000,7,FALSE),"")</f>
        <v/>
      </c>
      <c r="H143" s="544" t="str">
        <f t="shared" ref="H143:H167" si="15">IF(TEXT(D143,0)="Beli","@","")</f>
        <v/>
      </c>
      <c r="I143" s="545" t="str">
        <f>IFERROR(IF(LEN(A143)&gt;2,VLOOKUP(A143,COPY!$A$2:$O$1000,13,FALSE),"")/E143,"")</f>
        <v/>
      </c>
      <c r="J143" s="546"/>
      <c r="K143" s="547" t="str">
        <f t="shared" ref="K143:K167" si="16">IF(E143="","",IF(E143=0,I143,IF(E143&gt;0,E143*I143,0)))</f>
        <v/>
      </c>
      <c r="L143" s="548" t="str">
        <f t="shared" si="13"/>
        <v/>
      </c>
      <c r="M143" s="549">
        <f t="shared" ref="M143:M167" si="17">IF(O143&lt;0,O143,IF(O143&gt;=0,0,0))</f>
        <v>0</v>
      </c>
      <c r="O143" s="538" t="str">
        <f t="shared" si="14"/>
        <v/>
      </c>
      <c r="P143" s="550"/>
      <c r="Q143" s="551"/>
    </row>
    <row r="144" spans="1:17" s="253" customFormat="1" ht="20.100000000000001" hidden="1" customHeight="1" x14ac:dyDescent="0.25">
      <c r="A144" s="253" t="str">
        <f t="shared" ref="A144:A169" si="18">IF(LEN(A143)&gt;2,$D$4&amp;"."&amp;IF(ROW()-ROW($A$15)+1&lt;=$A$10,ROW()-ROW($A$15)+1,""),"")</f>
        <v/>
      </c>
      <c r="B144" s="584" t="str">
        <f>IF(LEN(A144)&gt;2,VLOOKUP(A144,COPY!$A$2:$O$1000,4,FALSE),"")</f>
        <v/>
      </c>
      <c r="C144" s="585" t="str">
        <f>IF(LEN(A144)&gt;2,VLOOKUP(A144,COPY!$A$2:$O$1000,15,FALSE),"")</f>
        <v/>
      </c>
      <c r="D144" s="542" t="str">
        <f>IF(LEN(A144)&gt;2,VLOOKUP(A144,COPY!$A$2:$O$1000,2,FALSE),"")</f>
        <v/>
      </c>
      <c r="E144" s="607" t="str">
        <f>IF(LEN(A144)&gt;2,VLOOKUP(A144,COPY!$A$2:$O$1000,10,FALSE),"")</f>
        <v/>
      </c>
      <c r="F144" s="542" t="str">
        <f>IF(LEN(A144)&gt;2,VLOOKUP(A144,COPY!$A$2:$O$1000,8,FALSE),"")</f>
        <v/>
      </c>
      <c r="G144" s="543" t="str">
        <f>IF(LEN(A144)&gt;2,VLOOKUP(A144,COPY!$A$2:$O$1000,7,FALSE),"")</f>
        <v/>
      </c>
      <c r="H144" s="544" t="str">
        <f t="shared" si="15"/>
        <v/>
      </c>
      <c r="I144" s="545" t="str">
        <f>IFERROR(IF(LEN(A144)&gt;2,VLOOKUP(A144,COPY!$A$2:$O$1000,13,FALSE),"")/E144,"")</f>
        <v/>
      </c>
      <c r="J144" s="546"/>
      <c r="K144" s="547" t="str">
        <f t="shared" si="16"/>
        <v/>
      </c>
      <c r="L144" s="548" t="str">
        <f t="shared" si="13"/>
        <v/>
      </c>
      <c r="M144" s="549">
        <f t="shared" si="17"/>
        <v>0</v>
      </c>
      <c r="O144" s="538" t="str">
        <f t="shared" si="14"/>
        <v/>
      </c>
      <c r="P144" s="550"/>
      <c r="Q144" s="551"/>
    </row>
    <row r="145" spans="1:17" s="253" customFormat="1" ht="20.100000000000001" hidden="1" customHeight="1" x14ac:dyDescent="0.25">
      <c r="A145" s="253" t="str">
        <f t="shared" si="18"/>
        <v/>
      </c>
      <c r="B145" s="584" t="str">
        <f>IF(LEN(A145)&gt;2,VLOOKUP(A145,COPY!$A$2:$O$1000,4,FALSE),"")</f>
        <v/>
      </c>
      <c r="C145" s="585" t="str">
        <f>IF(LEN(A145)&gt;2,VLOOKUP(A145,COPY!$A$2:$O$1000,15,FALSE),"")</f>
        <v/>
      </c>
      <c r="D145" s="542" t="str">
        <f>IF(LEN(A145)&gt;2,VLOOKUP(A145,COPY!$A$2:$O$1000,2,FALSE),"")</f>
        <v/>
      </c>
      <c r="E145" s="607" t="str">
        <f>IF(LEN(A145)&gt;2,VLOOKUP(A145,COPY!$A$2:$O$1000,10,FALSE),"")</f>
        <v/>
      </c>
      <c r="F145" s="542" t="str">
        <f>IF(LEN(A145)&gt;2,VLOOKUP(A145,COPY!$A$2:$O$1000,8,FALSE),"")</f>
        <v/>
      </c>
      <c r="G145" s="543" t="str">
        <f>IF(LEN(A145)&gt;2,VLOOKUP(A145,COPY!$A$2:$O$1000,7,FALSE),"")</f>
        <v/>
      </c>
      <c r="H145" s="544" t="str">
        <f t="shared" si="15"/>
        <v/>
      </c>
      <c r="I145" s="545" t="str">
        <f>IFERROR(IF(LEN(A145)&gt;2,VLOOKUP(A145,COPY!$A$2:$O$1000,13,FALSE),"")/E145,"")</f>
        <v/>
      </c>
      <c r="J145" s="546"/>
      <c r="K145" s="547" t="str">
        <f t="shared" si="16"/>
        <v/>
      </c>
      <c r="L145" s="548" t="str">
        <f t="shared" si="13"/>
        <v/>
      </c>
      <c r="M145" s="549">
        <f t="shared" si="17"/>
        <v>0</v>
      </c>
      <c r="O145" s="538" t="str">
        <f t="shared" si="14"/>
        <v/>
      </c>
      <c r="P145" s="550"/>
      <c r="Q145" s="551"/>
    </row>
    <row r="146" spans="1:17" s="253" customFormat="1" ht="20.100000000000001" hidden="1" customHeight="1" x14ac:dyDescent="0.25">
      <c r="A146" s="253" t="str">
        <f t="shared" si="18"/>
        <v/>
      </c>
      <c r="B146" s="584" t="str">
        <f>IF(LEN(A146)&gt;2,VLOOKUP(A146,COPY!$A$2:$O$1000,4,FALSE),"")</f>
        <v/>
      </c>
      <c r="C146" s="585" t="str">
        <f>IF(LEN(A146)&gt;2,VLOOKUP(A146,COPY!$A$2:$O$1000,15,FALSE),"")</f>
        <v/>
      </c>
      <c r="D146" s="542" t="str">
        <f>IF(LEN(A146)&gt;2,VLOOKUP(A146,COPY!$A$2:$O$1000,2,FALSE),"")</f>
        <v/>
      </c>
      <c r="E146" s="607" t="str">
        <f>IF(LEN(A146)&gt;2,VLOOKUP(A146,COPY!$A$2:$O$1000,10,FALSE),"")</f>
        <v/>
      </c>
      <c r="F146" s="542" t="str">
        <f>IF(LEN(A146)&gt;2,VLOOKUP(A146,COPY!$A$2:$O$1000,8,FALSE),"")</f>
        <v/>
      </c>
      <c r="G146" s="543" t="str">
        <f>IF(LEN(A146)&gt;2,VLOOKUP(A146,COPY!$A$2:$O$1000,7,FALSE),"")</f>
        <v/>
      </c>
      <c r="H146" s="544" t="str">
        <f t="shared" si="15"/>
        <v/>
      </c>
      <c r="I146" s="545" t="str">
        <f>IFERROR(IF(LEN(A146)&gt;2,VLOOKUP(A146,COPY!$A$2:$O$1000,13,FALSE),"")/E146,"")</f>
        <v/>
      </c>
      <c r="J146" s="546"/>
      <c r="K146" s="547" t="str">
        <f t="shared" si="16"/>
        <v/>
      </c>
      <c r="L146" s="548" t="str">
        <f t="shared" si="13"/>
        <v/>
      </c>
      <c r="M146" s="549">
        <f t="shared" si="17"/>
        <v>0</v>
      </c>
      <c r="O146" s="538" t="str">
        <f t="shared" si="14"/>
        <v/>
      </c>
      <c r="P146" s="550"/>
      <c r="Q146" s="551"/>
    </row>
    <row r="147" spans="1:17" s="253" customFormat="1" ht="20.100000000000001" hidden="1" customHeight="1" x14ac:dyDescent="0.25">
      <c r="A147" s="253" t="str">
        <f t="shared" si="18"/>
        <v/>
      </c>
      <c r="B147" s="584" t="str">
        <f>IF(LEN(A147)&gt;2,VLOOKUP(A147,COPY!$A$2:$O$1000,4,FALSE),"")</f>
        <v/>
      </c>
      <c r="C147" s="585" t="str">
        <f>IF(LEN(A147)&gt;2,VLOOKUP(A147,COPY!$A$2:$O$1000,15,FALSE),"")</f>
        <v/>
      </c>
      <c r="D147" s="542" t="str">
        <f>IF(LEN(A147)&gt;2,VLOOKUP(A147,COPY!$A$2:$O$1000,2,FALSE),"")</f>
        <v/>
      </c>
      <c r="E147" s="607" t="str">
        <f>IF(LEN(A147)&gt;2,VLOOKUP(A147,COPY!$A$2:$O$1000,10,FALSE),"")</f>
        <v/>
      </c>
      <c r="F147" s="542" t="str">
        <f>IF(LEN(A147)&gt;2,VLOOKUP(A147,COPY!$A$2:$O$1000,8,FALSE),"")</f>
        <v/>
      </c>
      <c r="G147" s="543" t="str">
        <f>IF(LEN(A147)&gt;2,VLOOKUP(A147,COPY!$A$2:$O$1000,7,FALSE),"")</f>
        <v/>
      </c>
      <c r="H147" s="544" t="str">
        <f t="shared" si="15"/>
        <v/>
      </c>
      <c r="I147" s="545" t="str">
        <f>IFERROR(IF(LEN(A147)&gt;2,VLOOKUP(A147,COPY!$A$2:$O$1000,13,FALSE),"")/E147,"")</f>
        <v/>
      </c>
      <c r="J147" s="546"/>
      <c r="K147" s="547" t="str">
        <f t="shared" si="16"/>
        <v/>
      </c>
      <c r="L147" s="548" t="str">
        <f t="shared" si="13"/>
        <v/>
      </c>
      <c r="M147" s="549">
        <f t="shared" si="17"/>
        <v>0</v>
      </c>
      <c r="O147" s="538" t="str">
        <f t="shared" si="14"/>
        <v/>
      </c>
      <c r="P147" s="550"/>
      <c r="Q147" s="551"/>
    </row>
    <row r="148" spans="1:17" s="253" customFormat="1" ht="20.100000000000001" hidden="1" customHeight="1" x14ac:dyDescent="0.25">
      <c r="A148" s="253" t="str">
        <f t="shared" si="18"/>
        <v/>
      </c>
      <c r="B148" s="584" t="str">
        <f>IF(LEN(A148)&gt;2,VLOOKUP(A148,COPY!$A$2:$O$1000,4,FALSE),"")</f>
        <v/>
      </c>
      <c r="C148" s="585" t="str">
        <f>IF(LEN(A148)&gt;2,VLOOKUP(A148,COPY!$A$2:$O$1000,15,FALSE),"")</f>
        <v/>
      </c>
      <c r="D148" s="542" t="str">
        <f>IF(LEN(A148)&gt;2,VLOOKUP(A148,COPY!$A$2:$O$1000,2,FALSE),"")</f>
        <v/>
      </c>
      <c r="E148" s="607" t="str">
        <f>IF(LEN(A148)&gt;2,VLOOKUP(A148,COPY!$A$2:$O$1000,10,FALSE),"")</f>
        <v/>
      </c>
      <c r="F148" s="542" t="str">
        <f>IF(LEN(A148)&gt;2,VLOOKUP(A148,COPY!$A$2:$O$1000,8,FALSE),"")</f>
        <v/>
      </c>
      <c r="G148" s="543" t="str">
        <f>IF(LEN(A148)&gt;2,VLOOKUP(A148,COPY!$A$2:$O$1000,7,FALSE),"")</f>
        <v/>
      </c>
      <c r="H148" s="544" t="str">
        <f t="shared" si="15"/>
        <v/>
      </c>
      <c r="I148" s="545" t="str">
        <f>IFERROR(IF(LEN(A148)&gt;2,VLOOKUP(A148,COPY!$A$2:$O$1000,13,FALSE),"")/E148,"")</f>
        <v/>
      </c>
      <c r="J148" s="546"/>
      <c r="K148" s="547" t="str">
        <f t="shared" si="16"/>
        <v/>
      </c>
      <c r="L148" s="548" t="str">
        <f t="shared" si="13"/>
        <v/>
      </c>
      <c r="M148" s="549">
        <f t="shared" si="17"/>
        <v>0</v>
      </c>
      <c r="O148" s="538" t="str">
        <f t="shared" si="14"/>
        <v/>
      </c>
      <c r="P148" s="550"/>
      <c r="Q148" s="551"/>
    </row>
    <row r="149" spans="1:17" s="253" customFormat="1" ht="20.100000000000001" hidden="1" customHeight="1" x14ac:dyDescent="0.25">
      <c r="A149" s="253" t="str">
        <f t="shared" si="18"/>
        <v/>
      </c>
      <c r="B149" s="584" t="str">
        <f>IF(LEN(A149)&gt;2,VLOOKUP(A149,COPY!$A$2:$O$1000,4,FALSE),"")</f>
        <v/>
      </c>
      <c r="C149" s="585" t="str">
        <f>IF(LEN(A149)&gt;2,VLOOKUP(A149,COPY!$A$2:$O$1000,15,FALSE),"")</f>
        <v/>
      </c>
      <c r="D149" s="542" t="str">
        <f>IF(LEN(A149)&gt;2,VLOOKUP(A149,COPY!$A$2:$O$1000,2,FALSE),"")</f>
        <v/>
      </c>
      <c r="E149" s="607" t="str">
        <f>IF(LEN(A149)&gt;2,VLOOKUP(A149,COPY!$A$2:$O$1000,10,FALSE),"")</f>
        <v/>
      </c>
      <c r="F149" s="542" t="str">
        <f>IF(LEN(A149)&gt;2,VLOOKUP(A149,COPY!$A$2:$O$1000,8,FALSE),"")</f>
        <v/>
      </c>
      <c r="G149" s="543" t="str">
        <f>IF(LEN(A149)&gt;2,VLOOKUP(A149,COPY!$A$2:$O$1000,7,FALSE),"")</f>
        <v/>
      </c>
      <c r="H149" s="544" t="str">
        <f t="shared" si="15"/>
        <v/>
      </c>
      <c r="I149" s="545" t="str">
        <f>IFERROR(IF(LEN(A149)&gt;2,VLOOKUP(A149,COPY!$A$2:$O$1000,13,FALSE),"")/E149,"")</f>
        <v/>
      </c>
      <c r="J149" s="546"/>
      <c r="K149" s="547" t="str">
        <f t="shared" si="16"/>
        <v/>
      </c>
      <c r="L149" s="548" t="str">
        <f t="shared" si="13"/>
        <v/>
      </c>
      <c r="M149" s="549">
        <f t="shared" si="17"/>
        <v>0</v>
      </c>
      <c r="O149" s="538" t="str">
        <f t="shared" si="14"/>
        <v/>
      </c>
      <c r="P149" s="550"/>
      <c r="Q149" s="551"/>
    </row>
    <row r="150" spans="1:17" s="253" customFormat="1" ht="20.100000000000001" hidden="1" customHeight="1" x14ac:dyDescent="0.25">
      <c r="A150" s="253" t="str">
        <f t="shared" si="18"/>
        <v/>
      </c>
      <c r="B150" s="584" t="str">
        <f>IF(LEN(A150)&gt;2,VLOOKUP(A150,COPY!$A$2:$O$1000,4,FALSE),"")</f>
        <v/>
      </c>
      <c r="C150" s="585" t="str">
        <f>IF(LEN(A150)&gt;2,VLOOKUP(A150,COPY!$A$2:$O$1000,15,FALSE),"")</f>
        <v/>
      </c>
      <c r="D150" s="542" t="str">
        <f>IF(LEN(A150)&gt;2,VLOOKUP(A150,COPY!$A$2:$O$1000,2,FALSE),"")</f>
        <v/>
      </c>
      <c r="E150" s="607" t="str">
        <f>IF(LEN(A150)&gt;2,VLOOKUP(A150,COPY!$A$2:$O$1000,10,FALSE),"")</f>
        <v/>
      </c>
      <c r="F150" s="542" t="str">
        <f>IF(LEN(A150)&gt;2,VLOOKUP(A150,COPY!$A$2:$O$1000,8,FALSE),"")</f>
        <v/>
      </c>
      <c r="G150" s="543" t="str">
        <f>IF(LEN(A150)&gt;2,VLOOKUP(A150,COPY!$A$2:$O$1000,7,FALSE),"")</f>
        <v/>
      </c>
      <c r="H150" s="544" t="str">
        <f t="shared" si="15"/>
        <v/>
      </c>
      <c r="I150" s="545" t="str">
        <f>IFERROR(IF(LEN(A150)&gt;2,VLOOKUP(A150,COPY!$A$2:$O$1000,13,FALSE),"")/E150,"")</f>
        <v/>
      </c>
      <c r="J150" s="546"/>
      <c r="K150" s="547" t="str">
        <f t="shared" si="16"/>
        <v/>
      </c>
      <c r="L150" s="548" t="str">
        <f t="shared" si="13"/>
        <v/>
      </c>
      <c r="M150" s="549">
        <f t="shared" si="17"/>
        <v>0</v>
      </c>
      <c r="O150" s="538" t="str">
        <f t="shared" si="14"/>
        <v/>
      </c>
      <c r="P150" s="550"/>
      <c r="Q150" s="551"/>
    </row>
    <row r="151" spans="1:17" s="253" customFormat="1" ht="20.100000000000001" hidden="1" customHeight="1" x14ac:dyDescent="0.25">
      <c r="A151" s="253" t="str">
        <f t="shared" si="18"/>
        <v/>
      </c>
      <c r="B151" s="584" t="str">
        <f>IF(LEN(A151)&gt;2,VLOOKUP(A151,COPY!$A$2:$O$1000,4,FALSE),"")</f>
        <v/>
      </c>
      <c r="C151" s="585" t="str">
        <f>IF(LEN(A151)&gt;2,VLOOKUP(A151,COPY!$A$2:$O$1000,15,FALSE),"")</f>
        <v/>
      </c>
      <c r="D151" s="542" t="str">
        <f>IF(LEN(A151)&gt;2,VLOOKUP(A151,COPY!$A$2:$O$1000,2,FALSE),"")</f>
        <v/>
      </c>
      <c r="E151" s="607" t="str">
        <f>IF(LEN(A151)&gt;2,VLOOKUP(A151,COPY!$A$2:$O$1000,10,FALSE),"")</f>
        <v/>
      </c>
      <c r="F151" s="542" t="str">
        <f>IF(LEN(A151)&gt;2,VLOOKUP(A151,COPY!$A$2:$O$1000,8,FALSE),"")</f>
        <v/>
      </c>
      <c r="G151" s="543" t="str">
        <f>IF(LEN(A151)&gt;2,VLOOKUP(A151,COPY!$A$2:$O$1000,7,FALSE),"")</f>
        <v/>
      </c>
      <c r="H151" s="544" t="str">
        <f t="shared" si="15"/>
        <v/>
      </c>
      <c r="I151" s="545" t="str">
        <f>IFERROR(IF(LEN(A151)&gt;2,VLOOKUP(A151,COPY!$A$2:$O$1000,13,FALSE),"")/E151,"")</f>
        <v/>
      </c>
      <c r="J151" s="546"/>
      <c r="K151" s="547" t="str">
        <f t="shared" si="16"/>
        <v/>
      </c>
      <c r="L151" s="548" t="str">
        <f t="shared" si="13"/>
        <v/>
      </c>
      <c r="M151" s="549">
        <f t="shared" si="17"/>
        <v>0</v>
      </c>
      <c r="O151" s="538" t="str">
        <f t="shared" si="14"/>
        <v/>
      </c>
      <c r="P151" s="550"/>
      <c r="Q151" s="551"/>
    </row>
    <row r="152" spans="1:17" s="253" customFormat="1" ht="20.100000000000001" hidden="1" customHeight="1" x14ac:dyDescent="0.25">
      <c r="A152" s="253" t="str">
        <f t="shared" si="18"/>
        <v/>
      </c>
      <c r="B152" s="584" t="str">
        <f>IF(LEN(A152)&gt;2,VLOOKUP(A152,COPY!$A$2:$O$1000,4,FALSE),"")</f>
        <v/>
      </c>
      <c r="C152" s="585" t="str">
        <f>IF(LEN(A152)&gt;2,VLOOKUP(A152,COPY!$A$2:$O$1000,15,FALSE),"")</f>
        <v/>
      </c>
      <c r="D152" s="542" t="str">
        <f>IF(LEN(A152)&gt;2,VLOOKUP(A152,COPY!$A$2:$O$1000,2,FALSE),"")</f>
        <v/>
      </c>
      <c r="E152" s="607" t="str">
        <f>IF(LEN(A152)&gt;2,VLOOKUP(A152,COPY!$A$2:$O$1000,10,FALSE),"")</f>
        <v/>
      </c>
      <c r="F152" s="542" t="str">
        <f>IF(LEN(A152)&gt;2,VLOOKUP(A152,COPY!$A$2:$O$1000,8,FALSE),"")</f>
        <v/>
      </c>
      <c r="G152" s="543" t="str">
        <f>IF(LEN(A152)&gt;2,VLOOKUP(A152,COPY!$A$2:$O$1000,7,FALSE),"")</f>
        <v/>
      </c>
      <c r="H152" s="544" t="str">
        <f t="shared" si="15"/>
        <v/>
      </c>
      <c r="I152" s="545" t="str">
        <f>IFERROR(IF(LEN(A152)&gt;2,VLOOKUP(A152,COPY!$A$2:$O$1000,13,FALSE),"")/E152,"")</f>
        <v/>
      </c>
      <c r="J152" s="546"/>
      <c r="K152" s="547" t="str">
        <f t="shared" si="16"/>
        <v/>
      </c>
      <c r="L152" s="548" t="str">
        <f t="shared" si="13"/>
        <v/>
      </c>
      <c r="M152" s="549">
        <f t="shared" si="17"/>
        <v>0</v>
      </c>
      <c r="O152" s="538" t="str">
        <f t="shared" si="14"/>
        <v/>
      </c>
      <c r="P152" s="550"/>
      <c r="Q152" s="551"/>
    </row>
    <row r="153" spans="1:17" s="253" customFormat="1" ht="20.100000000000001" hidden="1" customHeight="1" x14ac:dyDescent="0.25">
      <c r="A153" s="253" t="str">
        <f t="shared" si="18"/>
        <v/>
      </c>
      <c r="B153" s="584" t="str">
        <f>IF(LEN(A153)&gt;2,VLOOKUP(A153,COPY!$A$2:$O$1000,4,FALSE),"")</f>
        <v/>
      </c>
      <c r="C153" s="585" t="str">
        <f>IF(LEN(A153)&gt;2,VLOOKUP(A153,COPY!$A$2:$O$1000,15,FALSE),"")</f>
        <v/>
      </c>
      <c r="D153" s="542" t="str">
        <f>IF(LEN(A153)&gt;2,VLOOKUP(A153,COPY!$A$2:$O$1000,2,FALSE),"")</f>
        <v/>
      </c>
      <c r="E153" s="607" t="str">
        <f>IF(LEN(A153)&gt;2,VLOOKUP(A153,COPY!$A$2:$O$1000,10,FALSE),"")</f>
        <v/>
      </c>
      <c r="F153" s="542" t="str">
        <f>IF(LEN(A153)&gt;2,VLOOKUP(A153,COPY!$A$2:$O$1000,8,FALSE),"")</f>
        <v/>
      </c>
      <c r="G153" s="543" t="str">
        <f>IF(LEN(A153)&gt;2,VLOOKUP(A153,COPY!$A$2:$O$1000,7,FALSE),"")</f>
        <v/>
      </c>
      <c r="H153" s="544" t="str">
        <f t="shared" si="15"/>
        <v/>
      </c>
      <c r="I153" s="545" t="str">
        <f>IFERROR(IF(LEN(A153)&gt;2,VLOOKUP(A153,COPY!$A$2:$O$1000,13,FALSE),"")/E153,"")</f>
        <v/>
      </c>
      <c r="J153" s="546"/>
      <c r="K153" s="547" t="str">
        <f t="shared" si="16"/>
        <v/>
      </c>
      <c r="L153" s="548" t="str">
        <f t="shared" si="13"/>
        <v/>
      </c>
      <c r="M153" s="549">
        <f t="shared" si="17"/>
        <v>0</v>
      </c>
      <c r="O153" s="538" t="str">
        <f t="shared" si="14"/>
        <v/>
      </c>
      <c r="P153" s="550"/>
      <c r="Q153" s="551"/>
    </row>
    <row r="154" spans="1:17" s="253" customFormat="1" ht="20.100000000000001" hidden="1" customHeight="1" x14ac:dyDescent="0.25">
      <c r="A154" s="253" t="str">
        <f t="shared" si="18"/>
        <v/>
      </c>
      <c r="B154" s="584" t="str">
        <f>IF(LEN(A154)&gt;2,VLOOKUP(A154,COPY!$A$2:$O$1000,4,FALSE),"")</f>
        <v/>
      </c>
      <c r="C154" s="585" t="str">
        <f>IF(LEN(A154)&gt;2,VLOOKUP(A154,COPY!$A$2:$O$1000,15,FALSE),"")</f>
        <v/>
      </c>
      <c r="D154" s="542" t="str">
        <f>IF(LEN(A154)&gt;2,VLOOKUP(A154,COPY!$A$2:$O$1000,2,FALSE),"")</f>
        <v/>
      </c>
      <c r="E154" s="607" t="str">
        <f>IF(LEN(A154)&gt;2,VLOOKUP(A154,COPY!$A$2:$O$1000,10,FALSE),"")</f>
        <v/>
      </c>
      <c r="F154" s="542" t="str">
        <f>IF(LEN(A154)&gt;2,VLOOKUP(A154,COPY!$A$2:$O$1000,8,FALSE),"")</f>
        <v/>
      </c>
      <c r="G154" s="543" t="str">
        <f>IF(LEN(A154)&gt;2,VLOOKUP(A154,COPY!$A$2:$O$1000,7,FALSE),"")</f>
        <v/>
      </c>
      <c r="H154" s="544" t="str">
        <f t="shared" si="15"/>
        <v/>
      </c>
      <c r="I154" s="545" t="str">
        <f>IFERROR(IF(LEN(A154)&gt;2,VLOOKUP(A154,COPY!$A$2:$O$1000,13,FALSE),"")/E154,"")</f>
        <v/>
      </c>
      <c r="J154" s="546"/>
      <c r="K154" s="547" t="str">
        <f t="shared" si="16"/>
        <v/>
      </c>
      <c r="L154" s="548" t="str">
        <f t="shared" si="13"/>
        <v/>
      </c>
      <c r="M154" s="549">
        <f t="shared" si="17"/>
        <v>0</v>
      </c>
      <c r="O154" s="538" t="str">
        <f t="shared" si="14"/>
        <v/>
      </c>
      <c r="P154" s="550"/>
      <c r="Q154" s="551"/>
    </row>
    <row r="155" spans="1:17" s="253" customFormat="1" ht="20.100000000000001" hidden="1" customHeight="1" x14ac:dyDescent="0.25">
      <c r="A155" s="253" t="str">
        <f t="shared" si="18"/>
        <v/>
      </c>
      <c r="B155" s="584" t="str">
        <f>IF(LEN(A155)&gt;2,VLOOKUP(A155,COPY!$A$2:$O$1000,4,FALSE),"")</f>
        <v/>
      </c>
      <c r="C155" s="585" t="str">
        <f>IF(LEN(A155)&gt;2,VLOOKUP(A155,COPY!$A$2:$O$1000,15,FALSE),"")</f>
        <v/>
      </c>
      <c r="D155" s="542" t="str">
        <f>IF(LEN(A155)&gt;2,VLOOKUP(A155,COPY!$A$2:$O$1000,2,FALSE),"")</f>
        <v/>
      </c>
      <c r="E155" s="607" t="str">
        <f>IF(LEN(A155)&gt;2,VLOOKUP(A155,COPY!$A$2:$O$1000,10,FALSE),"")</f>
        <v/>
      </c>
      <c r="F155" s="542" t="str">
        <f>IF(LEN(A155)&gt;2,VLOOKUP(A155,COPY!$A$2:$O$1000,8,FALSE),"")</f>
        <v/>
      </c>
      <c r="G155" s="543" t="str">
        <f>IF(LEN(A155)&gt;2,VLOOKUP(A155,COPY!$A$2:$O$1000,7,FALSE),"")</f>
        <v/>
      </c>
      <c r="H155" s="544" t="str">
        <f t="shared" si="15"/>
        <v/>
      </c>
      <c r="I155" s="545" t="str">
        <f>IFERROR(IF(LEN(A155)&gt;2,VLOOKUP(A155,COPY!$A$2:$O$1000,13,FALSE),"")/E155,"")</f>
        <v/>
      </c>
      <c r="J155" s="546"/>
      <c r="K155" s="547" t="str">
        <f t="shared" si="16"/>
        <v/>
      </c>
      <c r="L155" s="548" t="str">
        <f t="shared" si="13"/>
        <v/>
      </c>
      <c r="M155" s="549">
        <f t="shared" si="17"/>
        <v>0</v>
      </c>
      <c r="O155" s="538" t="str">
        <f t="shared" si="14"/>
        <v/>
      </c>
      <c r="P155" s="550"/>
      <c r="Q155" s="551"/>
    </row>
    <row r="156" spans="1:17" s="253" customFormat="1" ht="20.100000000000001" hidden="1" customHeight="1" x14ac:dyDescent="0.25">
      <c r="A156" s="253" t="str">
        <f t="shared" si="18"/>
        <v/>
      </c>
      <c r="B156" s="584" t="str">
        <f>IF(LEN(A156)&gt;2,VLOOKUP(A156,COPY!$A$2:$O$1000,4,FALSE),"")</f>
        <v/>
      </c>
      <c r="C156" s="585" t="str">
        <f>IF(LEN(A156)&gt;2,VLOOKUP(A156,COPY!$A$2:$O$1000,15,FALSE),"")</f>
        <v/>
      </c>
      <c r="D156" s="542" t="str">
        <f>IF(LEN(A156)&gt;2,VLOOKUP(A156,COPY!$A$2:$O$1000,2,FALSE),"")</f>
        <v/>
      </c>
      <c r="E156" s="607" t="str">
        <f>IF(LEN(A156)&gt;2,VLOOKUP(A156,COPY!$A$2:$O$1000,10,FALSE),"")</f>
        <v/>
      </c>
      <c r="F156" s="542" t="str">
        <f>IF(LEN(A156)&gt;2,VLOOKUP(A156,COPY!$A$2:$O$1000,8,FALSE),"")</f>
        <v/>
      </c>
      <c r="G156" s="543" t="str">
        <f>IF(LEN(A156)&gt;2,VLOOKUP(A156,COPY!$A$2:$O$1000,7,FALSE),"")</f>
        <v/>
      </c>
      <c r="H156" s="544" t="str">
        <f t="shared" si="15"/>
        <v/>
      </c>
      <c r="I156" s="545" t="str">
        <f>IFERROR(IF(LEN(A156)&gt;2,VLOOKUP(A156,COPY!$A$2:$O$1000,13,FALSE),"")/E156,"")</f>
        <v/>
      </c>
      <c r="J156" s="546"/>
      <c r="K156" s="547" t="str">
        <f t="shared" si="16"/>
        <v/>
      </c>
      <c r="L156" s="548" t="str">
        <f t="shared" si="13"/>
        <v/>
      </c>
      <c r="M156" s="549">
        <f t="shared" si="17"/>
        <v>0</v>
      </c>
      <c r="O156" s="538" t="str">
        <f t="shared" si="14"/>
        <v/>
      </c>
      <c r="P156" s="550"/>
      <c r="Q156" s="551"/>
    </row>
    <row r="157" spans="1:17" s="253" customFormat="1" ht="20.100000000000001" hidden="1" customHeight="1" x14ac:dyDescent="0.25">
      <c r="A157" s="253" t="str">
        <f t="shared" si="18"/>
        <v/>
      </c>
      <c r="B157" s="584" t="str">
        <f>IF(LEN(A157)&gt;2,VLOOKUP(A157,COPY!$A$2:$O$1000,4,FALSE),"")</f>
        <v/>
      </c>
      <c r="C157" s="585" t="str">
        <f>IF(LEN(A157)&gt;2,VLOOKUP(A157,COPY!$A$2:$O$1000,15,FALSE),"")</f>
        <v/>
      </c>
      <c r="D157" s="542" t="str">
        <f>IF(LEN(A157)&gt;2,VLOOKUP(A157,COPY!$A$2:$O$1000,2,FALSE),"")</f>
        <v/>
      </c>
      <c r="E157" s="607" t="str">
        <f>IF(LEN(A157)&gt;2,VLOOKUP(A157,COPY!$A$2:$O$1000,10,FALSE),"")</f>
        <v/>
      </c>
      <c r="F157" s="542" t="str">
        <f>IF(LEN(A157)&gt;2,VLOOKUP(A157,COPY!$A$2:$O$1000,8,FALSE),"")</f>
        <v/>
      </c>
      <c r="G157" s="543" t="str">
        <f>IF(LEN(A157)&gt;2,VLOOKUP(A157,COPY!$A$2:$O$1000,7,FALSE),"")</f>
        <v/>
      </c>
      <c r="H157" s="544" t="str">
        <f t="shared" si="15"/>
        <v/>
      </c>
      <c r="I157" s="545" t="str">
        <f>IFERROR(IF(LEN(A157)&gt;2,VLOOKUP(A157,COPY!$A$2:$O$1000,13,FALSE),"")/E157,"")</f>
        <v/>
      </c>
      <c r="J157" s="546"/>
      <c r="K157" s="547" t="str">
        <f t="shared" si="16"/>
        <v/>
      </c>
      <c r="L157" s="548" t="str">
        <f t="shared" si="13"/>
        <v/>
      </c>
      <c r="M157" s="549">
        <f t="shared" si="17"/>
        <v>0</v>
      </c>
      <c r="O157" s="538" t="str">
        <f t="shared" si="14"/>
        <v/>
      </c>
      <c r="P157" s="550"/>
      <c r="Q157" s="551"/>
    </row>
    <row r="158" spans="1:17" s="253" customFormat="1" ht="20.100000000000001" hidden="1" customHeight="1" x14ac:dyDescent="0.25">
      <c r="A158" s="253" t="str">
        <f t="shared" si="18"/>
        <v/>
      </c>
      <c r="B158" s="584" t="str">
        <f>IF(LEN(A158)&gt;2,VLOOKUP(A158,COPY!$A$2:$O$1000,4,FALSE),"")</f>
        <v/>
      </c>
      <c r="C158" s="585" t="str">
        <f>IF(LEN(A158)&gt;2,VLOOKUP(A158,COPY!$A$2:$O$1000,15,FALSE),"")</f>
        <v/>
      </c>
      <c r="D158" s="542" t="str">
        <f>IF(LEN(A158)&gt;2,VLOOKUP(A158,COPY!$A$2:$O$1000,2,FALSE),"")</f>
        <v/>
      </c>
      <c r="E158" s="607" t="str">
        <f>IF(LEN(A158)&gt;2,VLOOKUP(A158,COPY!$A$2:$O$1000,10,FALSE),"")</f>
        <v/>
      </c>
      <c r="F158" s="542" t="str">
        <f>IF(LEN(A158)&gt;2,VLOOKUP(A158,COPY!$A$2:$O$1000,8,FALSE),"")</f>
        <v/>
      </c>
      <c r="G158" s="543" t="str">
        <f>IF(LEN(A158)&gt;2,VLOOKUP(A158,COPY!$A$2:$O$1000,7,FALSE),"")</f>
        <v/>
      </c>
      <c r="H158" s="544" t="str">
        <f t="shared" si="15"/>
        <v/>
      </c>
      <c r="I158" s="545" t="str">
        <f>IFERROR(IF(LEN(A158)&gt;2,VLOOKUP(A158,COPY!$A$2:$O$1000,13,FALSE),"")/E158,"")</f>
        <v/>
      </c>
      <c r="J158" s="546"/>
      <c r="K158" s="547" t="str">
        <f t="shared" si="16"/>
        <v/>
      </c>
      <c r="L158" s="548" t="str">
        <f t="shared" si="13"/>
        <v/>
      </c>
      <c r="M158" s="549">
        <f t="shared" si="17"/>
        <v>0</v>
      </c>
      <c r="O158" s="538" t="str">
        <f t="shared" si="14"/>
        <v/>
      </c>
      <c r="P158" s="550"/>
      <c r="Q158" s="551"/>
    </row>
    <row r="159" spans="1:17" s="253" customFormat="1" ht="20.100000000000001" hidden="1" customHeight="1" x14ac:dyDescent="0.25">
      <c r="A159" s="253" t="str">
        <f t="shared" si="18"/>
        <v/>
      </c>
      <c r="B159" s="584" t="str">
        <f>IF(LEN(A159)&gt;2,VLOOKUP(A159,COPY!$A$2:$O$1000,4,FALSE),"")</f>
        <v/>
      </c>
      <c r="C159" s="585" t="str">
        <f>IF(LEN(A159)&gt;2,VLOOKUP(A159,COPY!$A$2:$O$1000,15,FALSE),"")</f>
        <v/>
      </c>
      <c r="D159" s="542" t="str">
        <f>IF(LEN(A159)&gt;2,VLOOKUP(A159,COPY!$A$2:$O$1000,2,FALSE),"")</f>
        <v/>
      </c>
      <c r="E159" s="607" t="str">
        <f>IF(LEN(A159)&gt;2,VLOOKUP(A159,COPY!$A$2:$O$1000,10,FALSE),"")</f>
        <v/>
      </c>
      <c r="F159" s="542" t="str">
        <f>IF(LEN(A159)&gt;2,VLOOKUP(A159,COPY!$A$2:$O$1000,8,FALSE),"")</f>
        <v/>
      </c>
      <c r="G159" s="543" t="str">
        <f>IF(LEN(A159)&gt;2,VLOOKUP(A159,COPY!$A$2:$O$1000,7,FALSE),"")</f>
        <v/>
      </c>
      <c r="H159" s="544" t="str">
        <f t="shared" si="15"/>
        <v/>
      </c>
      <c r="I159" s="545" t="str">
        <f>IFERROR(IF(LEN(A159)&gt;2,VLOOKUP(A159,COPY!$A$2:$O$1000,13,FALSE),"")/E159,"")</f>
        <v/>
      </c>
      <c r="J159" s="546"/>
      <c r="K159" s="547" t="str">
        <f t="shared" si="16"/>
        <v/>
      </c>
      <c r="L159" s="548" t="str">
        <f t="shared" si="13"/>
        <v/>
      </c>
      <c r="M159" s="549">
        <f t="shared" si="17"/>
        <v>0</v>
      </c>
      <c r="O159" s="538" t="str">
        <f t="shared" si="14"/>
        <v/>
      </c>
      <c r="P159" s="550"/>
      <c r="Q159" s="551"/>
    </row>
    <row r="160" spans="1:17" s="253" customFormat="1" ht="20.100000000000001" hidden="1" customHeight="1" x14ac:dyDescent="0.25">
      <c r="A160" s="253" t="str">
        <f t="shared" si="18"/>
        <v/>
      </c>
      <c r="B160" s="584" t="str">
        <f>IF(LEN(A160)&gt;2,VLOOKUP(A160,COPY!$A$2:$O$1000,4,FALSE),"")</f>
        <v/>
      </c>
      <c r="C160" s="585" t="str">
        <f>IF(LEN(A160)&gt;2,VLOOKUP(A160,COPY!$A$2:$O$1000,15,FALSE),"")</f>
        <v/>
      </c>
      <c r="D160" s="542" t="str">
        <f>IF(LEN(A160)&gt;2,VLOOKUP(A160,COPY!$A$2:$O$1000,2,FALSE),"")</f>
        <v/>
      </c>
      <c r="E160" s="607" t="str">
        <f>IF(LEN(A160)&gt;2,VLOOKUP(A160,COPY!$A$2:$O$1000,10,FALSE),"")</f>
        <v/>
      </c>
      <c r="F160" s="542" t="str">
        <f>IF(LEN(A160)&gt;2,VLOOKUP(A160,COPY!$A$2:$O$1000,8,FALSE),"")</f>
        <v/>
      </c>
      <c r="G160" s="543" t="str">
        <f>IF(LEN(A160)&gt;2,VLOOKUP(A160,COPY!$A$2:$O$1000,7,FALSE),"")</f>
        <v/>
      </c>
      <c r="H160" s="544" t="str">
        <f t="shared" si="15"/>
        <v/>
      </c>
      <c r="I160" s="545" t="str">
        <f>IFERROR(IF(LEN(A160)&gt;2,VLOOKUP(A160,COPY!$A$2:$O$1000,13,FALSE),"")/E160,"")</f>
        <v/>
      </c>
      <c r="J160" s="546"/>
      <c r="K160" s="547" t="str">
        <f t="shared" si="16"/>
        <v/>
      </c>
      <c r="L160" s="548" t="str">
        <f t="shared" si="13"/>
        <v/>
      </c>
      <c r="M160" s="549">
        <f t="shared" si="17"/>
        <v>0</v>
      </c>
      <c r="O160" s="538" t="str">
        <f t="shared" si="14"/>
        <v/>
      </c>
      <c r="P160" s="550"/>
      <c r="Q160" s="551"/>
    </row>
    <row r="161" spans="1:17" s="253" customFormat="1" ht="20.100000000000001" hidden="1" customHeight="1" x14ac:dyDescent="0.25">
      <c r="A161" s="253" t="str">
        <f t="shared" si="18"/>
        <v/>
      </c>
      <c r="B161" s="584" t="str">
        <f>IF(LEN(A161)&gt;2,VLOOKUP(A161,COPY!$A$2:$O$1000,4,FALSE),"")</f>
        <v/>
      </c>
      <c r="C161" s="585" t="str">
        <f>IF(LEN(A161)&gt;2,VLOOKUP(A161,COPY!$A$2:$O$1000,15,FALSE),"")</f>
        <v/>
      </c>
      <c r="D161" s="542" t="str">
        <f>IF(LEN(A161)&gt;2,VLOOKUP(A161,COPY!$A$2:$O$1000,2,FALSE),"")</f>
        <v/>
      </c>
      <c r="E161" s="607" t="str">
        <f>IF(LEN(A161)&gt;2,VLOOKUP(A161,COPY!$A$2:$O$1000,10,FALSE),"")</f>
        <v/>
      </c>
      <c r="F161" s="542" t="str">
        <f>IF(LEN(A161)&gt;2,VLOOKUP(A161,COPY!$A$2:$O$1000,8,FALSE),"")</f>
        <v/>
      </c>
      <c r="G161" s="543" t="str">
        <f>IF(LEN(A161)&gt;2,VLOOKUP(A161,COPY!$A$2:$O$1000,7,FALSE),"")</f>
        <v/>
      </c>
      <c r="H161" s="544" t="str">
        <f t="shared" si="15"/>
        <v/>
      </c>
      <c r="I161" s="545" t="str">
        <f>IFERROR(IF(LEN(A161)&gt;2,VLOOKUP(A161,COPY!$A$2:$O$1000,13,FALSE),"")/E161,"")</f>
        <v/>
      </c>
      <c r="J161" s="546"/>
      <c r="K161" s="547" t="str">
        <f t="shared" si="16"/>
        <v/>
      </c>
      <c r="L161" s="548" t="str">
        <f t="shared" si="13"/>
        <v/>
      </c>
      <c r="M161" s="549">
        <f t="shared" si="17"/>
        <v>0</v>
      </c>
      <c r="O161" s="538" t="str">
        <f t="shared" si="14"/>
        <v/>
      </c>
      <c r="P161" s="550"/>
      <c r="Q161" s="551"/>
    </row>
    <row r="162" spans="1:17" s="253" customFormat="1" ht="20.100000000000001" hidden="1" customHeight="1" x14ac:dyDescent="0.25">
      <c r="A162" s="253" t="str">
        <f t="shared" si="18"/>
        <v/>
      </c>
      <c r="B162" s="584" t="str">
        <f>IF(LEN(A162)&gt;2,VLOOKUP(A162,COPY!$A$2:$O$1000,4,FALSE),"")</f>
        <v/>
      </c>
      <c r="C162" s="585" t="str">
        <f>IF(LEN(A162)&gt;2,VLOOKUP(A162,COPY!$A$2:$O$1000,15,FALSE),"")</f>
        <v/>
      </c>
      <c r="D162" s="542" t="str">
        <f>IF(LEN(A162)&gt;2,VLOOKUP(A162,COPY!$A$2:$O$1000,2,FALSE),"")</f>
        <v/>
      </c>
      <c r="E162" s="607" t="str">
        <f>IF(LEN(A162)&gt;2,VLOOKUP(A162,COPY!$A$2:$O$1000,10,FALSE),"")</f>
        <v/>
      </c>
      <c r="F162" s="542" t="str">
        <f>IF(LEN(A162)&gt;2,VLOOKUP(A162,COPY!$A$2:$O$1000,8,FALSE),"")</f>
        <v/>
      </c>
      <c r="G162" s="543" t="str">
        <f>IF(LEN(A162)&gt;2,VLOOKUP(A162,COPY!$A$2:$O$1000,7,FALSE),"")</f>
        <v/>
      </c>
      <c r="H162" s="544" t="str">
        <f t="shared" si="15"/>
        <v/>
      </c>
      <c r="I162" s="545" t="str">
        <f>IFERROR(IF(LEN(A162)&gt;2,VLOOKUP(A162,COPY!$A$2:$O$1000,13,FALSE),"")/E162,"")</f>
        <v/>
      </c>
      <c r="J162" s="546"/>
      <c r="K162" s="547" t="str">
        <f t="shared" si="16"/>
        <v/>
      </c>
      <c r="L162" s="548" t="str">
        <f t="shared" si="13"/>
        <v/>
      </c>
      <c r="M162" s="549">
        <f t="shared" si="17"/>
        <v>0</v>
      </c>
      <c r="O162" s="538" t="str">
        <f t="shared" si="14"/>
        <v/>
      </c>
      <c r="P162" s="550"/>
      <c r="Q162" s="551"/>
    </row>
    <row r="163" spans="1:17" s="253" customFormat="1" ht="20.100000000000001" hidden="1" customHeight="1" x14ac:dyDescent="0.25">
      <c r="A163" s="253" t="str">
        <f t="shared" si="18"/>
        <v/>
      </c>
      <c r="B163" s="584" t="str">
        <f>IF(LEN(A163)&gt;2,VLOOKUP(A163,COPY!$A$2:$O$1000,4,FALSE),"")</f>
        <v/>
      </c>
      <c r="C163" s="585" t="str">
        <f>IF(LEN(A163)&gt;2,VLOOKUP(A163,COPY!$A$2:$O$1000,15,FALSE),"")</f>
        <v/>
      </c>
      <c r="D163" s="542" t="str">
        <f>IF(LEN(A163)&gt;2,VLOOKUP(A163,COPY!$A$2:$O$1000,2,FALSE),"")</f>
        <v/>
      </c>
      <c r="E163" s="607" t="str">
        <f>IF(LEN(A163)&gt;2,VLOOKUP(A163,COPY!$A$2:$O$1000,10,FALSE),"")</f>
        <v/>
      </c>
      <c r="F163" s="542" t="str">
        <f>IF(LEN(A163)&gt;2,VLOOKUP(A163,COPY!$A$2:$O$1000,8,FALSE),"")</f>
        <v/>
      </c>
      <c r="G163" s="543" t="str">
        <f>IF(LEN(A163)&gt;2,VLOOKUP(A163,COPY!$A$2:$O$1000,7,FALSE),"")</f>
        <v/>
      </c>
      <c r="H163" s="544" t="str">
        <f t="shared" si="15"/>
        <v/>
      </c>
      <c r="I163" s="545" t="str">
        <f>IFERROR(IF(LEN(A163)&gt;2,VLOOKUP(A163,COPY!$A$2:$O$1000,13,FALSE),"")/E163,"")</f>
        <v/>
      </c>
      <c r="J163" s="546"/>
      <c r="K163" s="547" t="str">
        <f t="shared" si="16"/>
        <v/>
      </c>
      <c r="L163" s="548" t="str">
        <f t="shared" si="13"/>
        <v/>
      </c>
      <c r="M163" s="549">
        <f t="shared" si="17"/>
        <v>0</v>
      </c>
      <c r="O163" s="538" t="str">
        <f t="shared" si="14"/>
        <v/>
      </c>
      <c r="P163" s="550"/>
      <c r="Q163" s="551"/>
    </row>
    <row r="164" spans="1:17" s="253" customFormat="1" ht="20.100000000000001" hidden="1" customHeight="1" x14ac:dyDescent="0.25">
      <c r="A164" s="253" t="str">
        <f t="shared" si="18"/>
        <v/>
      </c>
      <c r="B164" s="584" t="str">
        <f>IF(LEN(A164)&gt;2,VLOOKUP(A164,COPY!$A$2:$O$1000,4,FALSE),"")</f>
        <v/>
      </c>
      <c r="C164" s="585" t="str">
        <f>IF(LEN(A164)&gt;2,VLOOKUP(A164,COPY!$A$2:$O$1000,15,FALSE),"")</f>
        <v/>
      </c>
      <c r="D164" s="542" t="str">
        <f>IF(LEN(A164)&gt;2,VLOOKUP(A164,COPY!$A$2:$O$1000,2,FALSE),"")</f>
        <v/>
      </c>
      <c r="E164" s="607" t="str">
        <f>IF(LEN(A164)&gt;2,VLOOKUP(A164,COPY!$A$2:$O$1000,10,FALSE),"")</f>
        <v/>
      </c>
      <c r="F164" s="542" t="str">
        <f>IF(LEN(A164)&gt;2,VLOOKUP(A164,COPY!$A$2:$O$1000,8,FALSE),"")</f>
        <v/>
      </c>
      <c r="G164" s="543" t="str">
        <f>IF(LEN(A164)&gt;2,VLOOKUP(A164,COPY!$A$2:$O$1000,7,FALSE),"")</f>
        <v/>
      </c>
      <c r="H164" s="544" t="str">
        <f t="shared" si="15"/>
        <v/>
      </c>
      <c r="I164" s="545" t="str">
        <f>IFERROR(IF(LEN(A164)&gt;2,VLOOKUP(A164,COPY!$A$2:$O$1000,13,FALSE),"")/E164,"")</f>
        <v/>
      </c>
      <c r="J164" s="546"/>
      <c r="K164" s="547" t="str">
        <f t="shared" si="16"/>
        <v/>
      </c>
      <c r="L164" s="548" t="str">
        <f t="shared" si="13"/>
        <v/>
      </c>
      <c r="M164" s="549">
        <f t="shared" si="17"/>
        <v>0</v>
      </c>
      <c r="O164" s="538" t="str">
        <f t="shared" si="14"/>
        <v/>
      </c>
      <c r="P164" s="550"/>
      <c r="Q164" s="551"/>
    </row>
    <row r="165" spans="1:17" s="253" customFormat="1" ht="20.100000000000001" hidden="1" customHeight="1" x14ac:dyDescent="0.25">
      <c r="A165" s="253" t="str">
        <f t="shared" si="18"/>
        <v/>
      </c>
      <c r="B165" s="584" t="str">
        <f>IF(LEN(A165)&gt;2,VLOOKUP(A165,COPY!$A$2:$O$1000,4,FALSE),"")</f>
        <v/>
      </c>
      <c r="C165" s="585" t="str">
        <f>IF(LEN(A165)&gt;2,VLOOKUP(A165,COPY!$A$2:$O$1000,15,FALSE),"")</f>
        <v/>
      </c>
      <c r="D165" s="542" t="str">
        <f>IF(LEN(A165)&gt;2,VLOOKUP(A165,COPY!$A$2:$O$1000,2,FALSE),"")</f>
        <v/>
      </c>
      <c r="E165" s="607" t="str">
        <f>IF(LEN(A165)&gt;2,VLOOKUP(A165,COPY!$A$2:$O$1000,10,FALSE),"")</f>
        <v/>
      </c>
      <c r="F165" s="542" t="str">
        <f>IF(LEN(A165)&gt;2,VLOOKUP(A165,COPY!$A$2:$O$1000,8,FALSE),"")</f>
        <v/>
      </c>
      <c r="G165" s="543" t="str">
        <f>IF(LEN(A165)&gt;2,VLOOKUP(A165,COPY!$A$2:$O$1000,7,FALSE),"")</f>
        <v/>
      </c>
      <c r="H165" s="544" t="str">
        <f t="shared" si="15"/>
        <v/>
      </c>
      <c r="I165" s="545" t="str">
        <f>IFERROR(IF(LEN(A165)&gt;2,VLOOKUP(A165,COPY!$A$2:$O$1000,13,FALSE),"")/E165,"")</f>
        <v/>
      </c>
      <c r="J165" s="546"/>
      <c r="K165" s="547" t="str">
        <f t="shared" si="16"/>
        <v/>
      </c>
      <c r="L165" s="548" t="str">
        <f t="shared" si="13"/>
        <v/>
      </c>
      <c r="M165" s="549">
        <f t="shared" si="17"/>
        <v>0</v>
      </c>
      <c r="O165" s="538" t="str">
        <f t="shared" si="14"/>
        <v/>
      </c>
      <c r="P165" s="550"/>
      <c r="Q165" s="551"/>
    </row>
    <row r="166" spans="1:17" s="253" customFormat="1" ht="20.100000000000001" hidden="1" customHeight="1" x14ac:dyDescent="0.25">
      <c r="A166" s="253" t="str">
        <f t="shared" si="18"/>
        <v/>
      </c>
      <c r="B166" s="584" t="str">
        <f>IF(LEN(A166)&gt;2,VLOOKUP(A166,COPY!$A$2:$O$1000,4,FALSE),"")</f>
        <v/>
      </c>
      <c r="C166" s="585" t="str">
        <f>IF(LEN(A166)&gt;2,VLOOKUP(A166,COPY!$A$2:$O$1000,15,FALSE),"")</f>
        <v/>
      </c>
      <c r="D166" s="542" t="str">
        <f>IF(LEN(A166)&gt;2,VLOOKUP(A166,COPY!$A$2:$O$1000,2,FALSE),"")</f>
        <v/>
      </c>
      <c r="E166" s="607" t="str">
        <f>IF(LEN(A166)&gt;2,VLOOKUP(A166,COPY!$A$2:$O$1000,10,FALSE),"")</f>
        <v/>
      </c>
      <c r="F166" s="542" t="str">
        <f>IF(LEN(A166)&gt;2,VLOOKUP(A166,COPY!$A$2:$O$1000,8,FALSE),"")</f>
        <v/>
      </c>
      <c r="G166" s="543" t="str">
        <f>IF(LEN(A166)&gt;2,VLOOKUP(A166,COPY!$A$2:$O$1000,7,FALSE),"")</f>
        <v/>
      </c>
      <c r="H166" s="544" t="str">
        <f t="shared" si="15"/>
        <v/>
      </c>
      <c r="I166" s="545" t="str">
        <f>IFERROR(IF(LEN(A166)&gt;2,VLOOKUP(A166,COPY!$A$2:$O$1000,13,FALSE),"")/E166,"")</f>
        <v/>
      </c>
      <c r="J166" s="546"/>
      <c r="K166" s="547" t="str">
        <f t="shared" si="16"/>
        <v/>
      </c>
      <c r="L166" s="548" t="str">
        <f t="shared" si="13"/>
        <v/>
      </c>
      <c r="M166" s="549">
        <f t="shared" si="17"/>
        <v>0</v>
      </c>
      <c r="O166" s="538" t="str">
        <f t="shared" si="14"/>
        <v/>
      </c>
      <c r="P166" s="550"/>
      <c r="Q166" s="551"/>
    </row>
    <row r="167" spans="1:17" s="253" customFormat="1" ht="20.100000000000001" hidden="1" customHeight="1" x14ac:dyDescent="0.25">
      <c r="A167" s="253" t="str">
        <f t="shared" si="18"/>
        <v/>
      </c>
      <c r="B167" s="584" t="str">
        <f>IF(LEN(A167)&gt;2,VLOOKUP(A167,COPY!$A$2:$O$1000,4,FALSE),"")</f>
        <v/>
      </c>
      <c r="C167" s="585" t="str">
        <f>IF(LEN(A167)&gt;2,VLOOKUP(A167,COPY!$A$2:$O$1000,15,FALSE),"")</f>
        <v/>
      </c>
      <c r="D167" s="542" t="str">
        <f>IF(LEN(A167)&gt;2,VLOOKUP(A167,COPY!$A$2:$O$1000,2,FALSE),"")</f>
        <v/>
      </c>
      <c r="E167" s="607" t="str">
        <f>IF(LEN(A167)&gt;2,VLOOKUP(A167,COPY!$A$2:$O$1000,10,FALSE),"")</f>
        <v/>
      </c>
      <c r="F167" s="542" t="str">
        <f>IF(LEN(A167)&gt;2,VLOOKUP(A167,COPY!$A$2:$O$1000,8,FALSE),"")</f>
        <v/>
      </c>
      <c r="G167" s="543" t="str">
        <f>IF(LEN(A167)&gt;2,VLOOKUP(A167,COPY!$A$2:$O$1000,7,FALSE),"")</f>
        <v/>
      </c>
      <c r="H167" s="544" t="str">
        <f t="shared" si="15"/>
        <v/>
      </c>
      <c r="I167" s="545" t="str">
        <f>IFERROR(IF(LEN(A167)&gt;2,VLOOKUP(A167,COPY!$A$2:$O$1000,13,FALSE),"")/E167,"")</f>
        <v/>
      </c>
      <c r="J167" s="546"/>
      <c r="K167" s="547" t="str">
        <f t="shared" si="16"/>
        <v/>
      </c>
      <c r="L167" s="548" t="str">
        <f t="shared" si="13"/>
        <v/>
      </c>
      <c r="M167" s="549">
        <f t="shared" si="17"/>
        <v>0</v>
      </c>
      <c r="O167" s="538" t="str">
        <f t="shared" si="14"/>
        <v/>
      </c>
      <c r="P167" s="550"/>
      <c r="Q167" s="551"/>
    </row>
    <row r="168" spans="1:17" s="253" customFormat="1" ht="20.100000000000001" hidden="1" customHeight="1" x14ac:dyDescent="0.25">
      <c r="A168" s="253" t="str">
        <f t="shared" si="18"/>
        <v/>
      </c>
      <c r="B168" s="541"/>
      <c r="C168" s="585"/>
      <c r="D168" s="542"/>
      <c r="E168" s="542"/>
      <c r="F168" s="542"/>
      <c r="G168" s="543"/>
      <c r="H168" s="544"/>
      <c r="I168" s="545"/>
      <c r="J168" s="546"/>
      <c r="K168" s="547"/>
      <c r="L168" s="548"/>
      <c r="M168" s="549"/>
      <c r="O168" s="538" t="str">
        <f t="shared" si="14"/>
        <v/>
      </c>
      <c r="P168" s="550"/>
      <c r="Q168" s="551"/>
    </row>
    <row r="169" spans="1:17" s="253" customFormat="1" ht="20.100000000000001" customHeight="1" x14ac:dyDescent="0.25">
      <c r="A169" s="253" t="str">
        <f t="shared" si="18"/>
        <v/>
      </c>
      <c r="B169" s="552"/>
      <c r="C169" s="586"/>
      <c r="D169" s="553"/>
      <c r="E169" s="553"/>
      <c r="F169" s="554"/>
      <c r="G169" s="450" t="s">
        <v>310</v>
      </c>
      <c r="H169" s="457"/>
      <c r="I169" s="545"/>
      <c r="J169" s="555"/>
      <c r="K169" s="556"/>
      <c r="L169" s="548"/>
      <c r="M169" s="549"/>
      <c r="O169" s="538" t="str">
        <f t="shared" si="14"/>
        <v/>
      </c>
      <c r="P169" s="550"/>
      <c r="Q169" s="551"/>
    </row>
    <row r="170" spans="1:17" s="253" customFormat="1" ht="20.100000000000001" hidden="1" customHeight="1" x14ac:dyDescent="0.25">
      <c r="A170" s="253" t="str">
        <f>A15</f>
        <v>3.</v>
      </c>
      <c r="B170" s="609" t="str">
        <f>IF(LEFT(F170,1)="B",VLOOKUP(A170,COPY!$A$2:$AC$1000,4,FALSE),"")</f>
        <v/>
      </c>
      <c r="C170" s="586"/>
      <c r="D170" s="553"/>
      <c r="E170" s="553"/>
      <c r="F170" s="557" t="str">
        <f>IF(LEN(A170)&gt;2,LEFT(VLOOKUP(A170,COPY!$A$2:$AC$1000,29,FALSE),6),"")</f>
        <v/>
      </c>
      <c r="G170" s="558" t="str">
        <f>_xlfn.IFNA(IF(TEXT(F170,0)="Terima","",VLOOKUP(A170,COPY!$A$2:$AC$1000,29,FALSE)),"")</f>
        <v/>
      </c>
      <c r="H170" s="425"/>
      <c r="I170" s="559"/>
      <c r="J170" s="555"/>
      <c r="K170" s="608">
        <f>_xlfn.IFNA(IF(TEXT(F170,0)="Terima",0,VLOOKUP(A170,COPY!$A$2:$AC$1000,26,FALSE)),0)</f>
        <v>0</v>
      </c>
      <c r="L170" s="548">
        <f t="shared" ref="L170:L233" si="19">IF(K170&gt;0,IF(O170&gt;=0,O170,IF(O170&lt;0,0,0)),0)</f>
        <v>0</v>
      </c>
      <c r="M170" s="549">
        <f t="shared" ref="M170:M233" si="20">IF(O170&lt;0,O170,IF(O170&gt;=0,0,0))</f>
        <v>0</v>
      </c>
      <c r="O170" s="538" t="str">
        <f t="shared" ref="O170:O233" si="21">IF(J170&gt;0,O169+J170,IF(K170&gt;0,O169-K170,O169))</f>
        <v/>
      </c>
      <c r="P170" s="550"/>
      <c r="Q170" s="551"/>
    </row>
    <row r="171" spans="1:17" s="253" customFormat="1" ht="20.100000000000001" hidden="1" customHeight="1" x14ac:dyDescent="0.25">
      <c r="A171" s="253" t="str">
        <f t="shared" ref="A171:A234" si="22">A16</f>
        <v/>
      </c>
      <c r="B171" s="609" t="str">
        <f>IF(LEFT(F171,1)="B",VLOOKUP(A171,COPY!$A$2:$AC$1000,4,FALSE),"")</f>
        <v/>
      </c>
      <c r="C171" s="586"/>
      <c r="D171" s="553"/>
      <c r="E171" s="553"/>
      <c r="F171" s="557" t="str">
        <f>IF(LEN(A171)&gt;2,LEFT(VLOOKUP(A171,COPY!$A$2:$AC$1000,29,FALSE),6),"")</f>
        <v/>
      </c>
      <c r="G171" s="558" t="str">
        <f>_xlfn.IFNA(IF(TEXT(F171,0)="Terima","",VLOOKUP(A171,COPY!$A$2:$AC$1000,29,FALSE)),"")</f>
        <v/>
      </c>
      <c r="H171" s="425"/>
      <c r="I171" s="559"/>
      <c r="J171" s="555"/>
      <c r="K171" s="608">
        <f>_xlfn.IFNA(IF(TEXT(F171,0)="Terima",0,VLOOKUP(A171,COPY!$A$2:$AC$1000,26,FALSE)),0)</f>
        <v>0</v>
      </c>
      <c r="L171" s="548">
        <f t="shared" si="19"/>
        <v>0</v>
      </c>
      <c r="M171" s="549">
        <f t="shared" si="20"/>
        <v>0</v>
      </c>
      <c r="O171" s="538" t="str">
        <f t="shared" si="21"/>
        <v/>
      </c>
      <c r="P171" s="550"/>
      <c r="Q171" s="551"/>
    </row>
    <row r="172" spans="1:17" s="253" customFormat="1" ht="20.100000000000001" hidden="1" customHeight="1" x14ac:dyDescent="0.25">
      <c r="A172" s="253" t="str">
        <f t="shared" si="22"/>
        <v/>
      </c>
      <c r="B172" s="609" t="str">
        <f>IF(LEFT(F172,1)="B",VLOOKUP(A172,COPY!$A$2:$AC$1000,4,FALSE),"")</f>
        <v/>
      </c>
      <c r="C172" s="586"/>
      <c r="D172" s="553"/>
      <c r="E172" s="553"/>
      <c r="F172" s="557" t="str">
        <f>IF(LEN(A172)&gt;2,LEFT(VLOOKUP(A172,COPY!$A$2:$AC$1000,29,FALSE),6),"")</f>
        <v/>
      </c>
      <c r="G172" s="558" t="str">
        <f>_xlfn.IFNA(IF(TEXT(F172,0)="Terima","",VLOOKUP(A172,COPY!$A$2:$AC$1000,29,FALSE)),"")</f>
        <v/>
      </c>
      <c r="H172" s="425"/>
      <c r="I172" s="559"/>
      <c r="J172" s="555"/>
      <c r="K172" s="608">
        <f>_xlfn.IFNA(IF(TEXT(F172,0)="Terima",0,VLOOKUP(A172,COPY!$A$2:$AC$1000,26,FALSE)),0)</f>
        <v>0</v>
      </c>
      <c r="L172" s="548">
        <f t="shared" si="19"/>
        <v>0</v>
      </c>
      <c r="M172" s="549">
        <f t="shared" si="20"/>
        <v>0</v>
      </c>
      <c r="O172" s="538" t="str">
        <f t="shared" si="21"/>
        <v/>
      </c>
      <c r="P172" s="550"/>
      <c r="Q172" s="551"/>
    </row>
    <row r="173" spans="1:17" s="253" customFormat="1" ht="20.100000000000001" hidden="1" customHeight="1" x14ac:dyDescent="0.25">
      <c r="A173" s="253" t="str">
        <f t="shared" si="22"/>
        <v/>
      </c>
      <c r="B173" s="609" t="str">
        <f>IF(LEFT(F173,1)="B",VLOOKUP(A173,COPY!$A$2:$AC$1000,4,FALSE),"")</f>
        <v/>
      </c>
      <c r="C173" s="586"/>
      <c r="D173" s="553"/>
      <c r="E173" s="553"/>
      <c r="F173" s="557" t="str">
        <f>IF(LEN(A173)&gt;2,LEFT(VLOOKUP(A173,COPY!$A$2:$AC$1000,29,FALSE),6),"")</f>
        <v/>
      </c>
      <c r="G173" s="558" t="str">
        <f>_xlfn.IFNA(IF(TEXT(F173,0)="Terima","",VLOOKUP(A173,COPY!$A$2:$AC$1000,29,FALSE)),"")</f>
        <v/>
      </c>
      <c r="H173" s="425"/>
      <c r="I173" s="559"/>
      <c r="J173" s="555"/>
      <c r="K173" s="608">
        <f>_xlfn.IFNA(IF(TEXT(F173,0)="Terima",0,VLOOKUP(A173,COPY!$A$2:$AC$1000,26,FALSE)),0)</f>
        <v>0</v>
      </c>
      <c r="L173" s="548">
        <f t="shared" si="19"/>
        <v>0</v>
      </c>
      <c r="M173" s="549">
        <f t="shared" si="20"/>
        <v>0</v>
      </c>
      <c r="O173" s="538" t="str">
        <f t="shared" si="21"/>
        <v/>
      </c>
      <c r="P173" s="550"/>
      <c r="Q173" s="551"/>
    </row>
    <row r="174" spans="1:17" s="253" customFormat="1" ht="20.100000000000001" hidden="1" customHeight="1" x14ac:dyDescent="0.25">
      <c r="A174" s="253" t="str">
        <f t="shared" si="22"/>
        <v/>
      </c>
      <c r="B174" s="609" t="str">
        <f>IF(LEFT(F174,1)="B",VLOOKUP(A174,COPY!$A$2:$AC$1000,4,FALSE),"")</f>
        <v/>
      </c>
      <c r="C174" s="586"/>
      <c r="D174" s="553"/>
      <c r="E174" s="553"/>
      <c r="F174" s="557" t="str">
        <f>IF(LEN(A174)&gt;2,LEFT(VLOOKUP(A174,COPY!$A$2:$AC$1000,29,FALSE),6),"")</f>
        <v/>
      </c>
      <c r="G174" s="558" t="str">
        <f>_xlfn.IFNA(IF(TEXT(F174,0)="Terima","",VLOOKUP(A174,COPY!$A$2:$AC$1000,29,FALSE)),"")</f>
        <v/>
      </c>
      <c r="H174" s="425"/>
      <c r="I174" s="559"/>
      <c r="J174" s="555"/>
      <c r="K174" s="608">
        <f>_xlfn.IFNA(IF(TEXT(F174,0)="Terima",0,VLOOKUP(A174,COPY!$A$2:$AC$1000,26,FALSE)),0)</f>
        <v>0</v>
      </c>
      <c r="L174" s="548">
        <f t="shared" si="19"/>
        <v>0</v>
      </c>
      <c r="M174" s="549">
        <f t="shared" si="20"/>
        <v>0</v>
      </c>
      <c r="O174" s="538" t="str">
        <f t="shared" si="21"/>
        <v/>
      </c>
      <c r="P174" s="550"/>
      <c r="Q174" s="551"/>
    </row>
    <row r="175" spans="1:17" s="253" customFormat="1" ht="20.100000000000001" hidden="1" customHeight="1" x14ac:dyDescent="0.25">
      <c r="A175" s="253" t="str">
        <f t="shared" si="22"/>
        <v/>
      </c>
      <c r="B175" s="609" t="str">
        <f>IF(LEFT(F175,1)="B",VLOOKUP(A175,COPY!$A$2:$AC$1000,4,FALSE),"")</f>
        <v/>
      </c>
      <c r="C175" s="586"/>
      <c r="D175" s="553"/>
      <c r="E175" s="553"/>
      <c r="F175" s="557" t="str">
        <f>IF(LEN(A175)&gt;2,LEFT(VLOOKUP(A175,COPY!$A$2:$AC$1000,29,FALSE),6),"")</f>
        <v/>
      </c>
      <c r="G175" s="558" t="str">
        <f>_xlfn.IFNA(IF(TEXT(F175,0)="Terima","",VLOOKUP(A175,COPY!$A$2:$AC$1000,29,FALSE)),"")</f>
        <v/>
      </c>
      <c r="H175" s="425"/>
      <c r="I175" s="559"/>
      <c r="J175" s="555"/>
      <c r="K175" s="608">
        <f>_xlfn.IFNA(IF(TEXT(F175,0)="Terima",0,VLOOKUP(A175,COPY!$A$2:$AC$1000,26,FALSE)),0)</f>
        <v>0</v>
      </c>
      <c r="L175" s="548">
        <f t="shared" si="19"/>
        <v>0</v>
      </c>
      <c r="M175" s="549">
        <f t="shared" si="20"/>
        <v>0</v>
      </c>
      <c r="O175" s="538" t="str">
        <f t="shared" si="21"/>
        <v/>
      </c>
      <c r="P175" s="550"/>
      <c r="Q175" s="551"/>
    </row>
    <row r="176" spans="1:17" s="253" customFormat="1" ht="20.100000000000001" hidden="1" customHeight="1" x14ac:dyDescent="0.25">
      <c r="A176" s="253" t="str">
        <f t="shared" si="22"/>
        <v/>
      </c>
      <c r="B176" s="609" t="str">
        <f>IF(LEFT(F176,1)="B",VLOOKUP(A176,COPY!$A$2:$AC$1000,4,FALSE),"")</f>
        <v/>
      </c>
      <c r="C176" s="586"/>
      <c r="D176" s="553"/>
      <c r="E176" s="553"/>
      <c r="F176" s="557" t="str">
        <f>IF(LEN(A176)&gt;2,LEFT(VLOOKUP(A176,COPY!$A$2:$AC$1000,29,FALSE),6),"")</f>
        <v/>
      </c>
      <c r="G176" s="558" t="str">
        <f>_xlfn.IFNA(IF(TEXT(F176,0)="Terima","",VLOOKUP(A176,COPY!$A$2:$AC$1000,29,FALSE)),"")</f>
        <v/>
      </c>
      <c r="H176" s="425"/>
      <c r="I176" s="559"/>
      <c r="J176" s="555"/>
      <c r="K176" s="608">
        <f>_xlfn.IFNA(IF(TEXT(F176,0)="Terima",0,VLOOKUP(A176,COPY!$A$2:$AC$1000,26,FALSE)),0)</f>
        <v>0</v>
      </c>
      <c r="L176" s="548">
        <f t="shared" si="19"/>
        <v>0</v>
      </c>
      <c r="M176" s="549">
        <f t="shared" si="20"/>
        <v>0</v>
      </c>
      <c r="O176" s="538" t="str">
        <f t="shared" si="21"/>
        <v/>
      </c>
      <c r="P176" s="550"/>
      <c r="Q176" s="550"/>
    </row>
    <row r="177" spans="1:17" s="253" customFormat="1" ht="20.100000000000001" hidden="1" customHeight="1" x14ac:dyDescent="0.25">
      <c r="A177" s="253" t="str">
        <f t="shared" si="22"/>
        <v/>
      </c>
      <c r="B177" s="609" t="str">
        <f>IF(LEFT(F177,1)="B",VLOOKUP(A177,COPY!$A$2:$AC$1000,4,FALSE),"")</f>
        <v/>
      </c>
      <c r="C177" s="586"/>
      <c r="D177" s="553"/>
      <c r="E177" s="553"/>
      <c r="F177" s="557" t="str">
        <f>IF(LEN(A177)&gt;2,LEFT(VLOOKUP(A177,COPY!$A$2:$AC$1000,29,FALSE),6),"")</f>
        <v/>
      </c>
      <c r="G177" s="558" t="str">
        <f>_xlfn.IFNA(IF(TEXT(F177,0)="Terima","",VLOOKUP(A177,COPY!$A$2:$AC$1000,29,FALSE)),"")</f>
        <v/>
      </c>
      <c r="H177" s="425"/>
      <c r="I177" s="559"/>
      <c r="J177" s="555"/>
      <c r="K177" s="608">
        <f>_xlfn.IFNA(IF(TEXT(F177,0)="Terima",0,VLOOKUP(A177,COPY!$A$2:$AC$1000,26,FALSE)),0)</f>
        <v>0</v>
      </c>
      <c r="L177" s="548">
        <f t="shared" si="19"/>
        <v>0</v>
      </c>
      <c r="M177" s="549">
        <f t="shared" si="20"/>
        <v>0</v>
      </c>
      <c r="O177" s="538" t="str">
        <f t="shared" si="21"/>
        <v/>
      </c>
      <c r="P177" s="550"/>
      <c r="Q177" s="551"/>
    </row>
    <row r="178" spans="1:17" s="253" customFormat="1" ht="20.100000000000001" hidden="1" customHeight="1" x14ac:dyDescent="0.25">
      <c r="A178" s="253" t="str">
        <f t="shared" si="22"/>
        <v/>
      </c>
      <c r="B178" s="609" t="str">
        <f>IF(LEFT(F178,1)="B",VLOOKUP(A178,COPY!$A$2:$AC$1000,4,FALSE),"")</f>
        <v/>
      </c>
      <c r="C178" s="586"/>
      <c r="D178" s="553"/>
      <c r="E178" s="553"/>
      <c r="F178" s="557" t="str">
        <f>IF(LEN(A178)&gt;2,LEFT(VLOOKUP(A178,COPY!$A$2:$AC$1000,29,FALSE),6),"")</f>
        <v/>
      </c>
      <c r="G178" s="558" t="str">
        <f>_xlfn.IFNA(IF(TEXT(F178,0)="Terima","",VLOOKUP(A178,COPY!$A$2:$AC$1000,29,FALSE)),"")</f>
        <v/>
      </c>
      <c r="H178" s="425"/>
      <c r="I178" s="559"/>
      <c r="J178" s="555"/>
      <c r="K178" s="608">
        <f>_xlfn.IFNA(IF(TEXT(F178,0)="Terima",0,VLOOKUP(A178,COPY!$A$2:$AC$1000,26,FALSE)),0)</f>
        <v>0</v>
      </c>
      <c r="L178" s="548">
        <f t="shared" si="19"/>
        <v>0</v>
      </c>
      <c r="M178" s="549">
        <f t="shared" si="20"/>
        <v>0</v>
      </c>
      <c r="O178" s="538" t="str">
        <f t="shared" si="21"/>
        <v/>
      </c>
      <c r="P178" s="550"/>
      <c r="Q178" s="551"/>
    </row>
    <row r="179" spans="1:17" s="253" customFormat="1" ht="20.100000000000001" hidden="1" customHeight="1" x14ac:dyDescent="0.25">
      <c r="A179" s="253" t="str">
        <f t="shared" si="22"/>
        <v/>
      </c>
      <c r="B179" s="609" t="str">
        <f>IF(LEFT(F179,1)="B",VLOOKUP(A179,COPY!$A$2:$AC$1000,4,FALSE),"")</f>
        <v/>
      </c>
      <c r="C179" s="586"/>
      <c r="D179" s="553"/>
      <c r="E179" s="553"/>
      <c r="F179" s="557" t="str">
        <f>IF(LEN(A179)&gt;2,LEFT(VLOOKUP(A179,COPY!$A$2:$AC$1000,29,FALSE),6),"")</f>
        <v/>
      </c>
      <c r="G179" s="558" t="str">
        <f>_xlfn.IFNA(IF(TEXT(F179,0)="Terima","",VLOOKUP(A179,COPY!$A$2:$AC$1000,29,FALSE)),"")</f>
        <v/>
      </c>
      <c r="H179" s="425"/>
      <c r="I179" s="559"/>
      <c r="J179" s="555"/>
      <c r="K179" s="608">
        <f>_xlfn.IFNA(IF(TEXT(F179,0)="Terima",0,VLOOKUP(A179,COPY!$A$2:$AC$1000,26,FALSE)),0)</f>
        <v>0</v>
      </c>
      <c r="L179" s="548">
        <f t="shared" si="19"/>
        <v>0</v>
      </c>
      <c r="M179" s="549">
        <f t="shared" si="20"/>
        <v>0</v>
      </c>
      <c r="O179" s="538" t="str">
        <f t="shared" si="21"/>
        <v/>
      </c>
      <c r="P179" s="550"/>
      <c r="Q179" s="551"/>
    </row>
    <row r="180" spans="1:17" s="253" customFormat="1" ht="20.100000000000001" hidden="1" customHeight="1" x14ac:dyDescent="0.25">
      <c r="A180" s="253" t="str">
        <f t="shared" si="22"/>
        <v/>
      </c>
      <c r="B180" s="609" t="str">
        <f>IF(LEFT(F180,1)="B",VLOOKUP(A180,COPY!$A$2:$AC$1000,4,FALSE),"")</f>
        <v/>
      </c>
      <c r="C180" s="586"/>
      <c r="D180" s="553"/>
      <c r="E180" s="553"/>
      <c r="F180" s="557" t="str">
        <f>IF(LEN(A180)&gt;2,LEFT(VLOOKUP(A180,COPY!$A$2:$AC$1000,29,FALSE),6),"")</f>
        <v/>
      </c>
      <c r="G180" s="558" t="str">
        <f>_xlfn.IFNA(IF(TEXT(F180,0)="Terima","",VLOOKUP(A180,COPY!$A$2:$AC$1000,29,FALSE)),"")</f>
        <v/>
      </c>
      <c r="H180" s="425"/>
      <c r="I180" s="559"/>
      <c r="J180" s="555"/>
      <c r="K180" s="608">
        <f>_xlfn.IFNA(IF(TEXT(F180,0)="Terima",0,VLOOKUP(A180,COPY!$A$2:$AC$1000,26,FALSE)),0)</f>
        <v>0</v>
      </c>
      <c r="L180" s="548">
        <f t="shared" si="19"/>
        <v>0</v>
      </c>
      <c r="M180" s="549">
        <f t="shared" si="20"/>
        <v>0</v>
      </c>
      <c r="O180" s="538" t="str">
        <f t="shared" si="21"/>
        <v/>
      </c>
      <c r="P180" s="550"/>
      <c r="Q180" s="551"/>
    </row>
    <row r="181" spans="1:17" s="253" customFormat="1" ht="20.100000000000001" hidden="1" customHeight="1" x14ac:dyDescent="0.25">
      <c r="A181" s="253" t="str">
        <f t="shared" si="22"/>
        <v/>
      </c>
      <c r="B181" s="609" t="str">
        <f>IF(LEFT(F181,1)="B",VLOOKUP(A181,COPY!$A$2:$AC$1000,4,FALSE),"")</f>
        <v/>
      </c>
      <c r="C181" s="586"/>
      <c r="D181" s="553"/>
      <c r="E181" s="553"/>
      <c r="F181" s="557" t="str">
        <f>IF(LEN(A181)&gt;2,LEFT(VLOOKUP(A181,COPY!$A$2:$AC$1000,29,FALSE),6),"")</f>
        <v/>
      </c>
      <c r="G181" s="558" t="str">
        <f>_xlfn.IFNA(IF(TEXT(F181,0)="Terima","",VLOOKUP(A181,COPY!$A$2:$AC$1000,29,FALSE)),"")</f>
        <v/>
      </c>
      <c r="H181" s="425"/>
      <c r="I181" s="559"/>
      <c r="J181" s="555"/>
      <c r="K181" s="608">
        <f>_xlfn.IFNA(IF(TEXT(F181,0)="Terima",0,VLOOKUP(A181,COPY!$A$2:$AC$1000,26,FALSE)),0)</f>
        <v>0</v>
      </c>
      <c r="L181" s="548">
        <f t="shared" si="19"/>
        <v>0</v>
      </c>
      <c r="M181" s="549">
        <f t="shared" si="20"/>
        <v>0</v>
      </c>
      <c r="O181" s="538" t="str">
        <f t="shared" si="21"/>
        <v/>
      </c>
      <c r="P181" s="550"/>
      <c r="Q181" s="551"/>
    </row>
    <row r="182" spans="1:17" s="253" customFormat="1" ht="20.100000000000001" hidden="1" customHeight="1" x14ac:dyDescent="0.25">
      <c r="A182" s="253" t="str">
        <f t="shared" si="22"/>
        <v/>
      </c>
      <c r="B182" s="609" t="str">
        <f>IF(LEFT(F182,1)="B",VLOOKUP(A182,COPY!$A$2:$AC$1000,4,FALSE),"")</f>
        <v/>
      </c>
      <c r="C182" s="586"/>
      <c r="D182" s="553"/>
      <c r="E182" s="553"/>
      <c r="F182" s="557" t="str">
        <f>IF(LEN(A182)&gt;2,LEFT(VLOOKUP(A182,COPY!$A$2:$AC$1000,29,FALSE),6),"")</f>
        <v/>
      </c>
      <c r="G182" s="558" t="str">
        <f>_xlfn.IFNA(IF(TEXT(F182,0)="Terima","",VLOOKUP(A182,COPY!$A$2:$AC$1000,29,FALSE)),"")</f>
        <v/>
      </c>
      <c r="H182" s="425"/>
      <c r="I182" s="559"/>
      <c r="J182" s="555"/>
      <c r="K182" s="608">
        <f>_xlfn.IFNA(IF(TEXT(F182,0)="Terima",0,VLOOKUP(A182,COPY!$A$2:$AC$1000,26,FALSE)),0)</f>
        <v>0</v>
      </c>
      <c r="L182" s="548">
        <f t="shared" si="19"/>
        <v>0</v>
      </c>
      <c r="M182" s="549">
        <f t="shared" si="20"/>
        <v>0</v>
      </c>
      <c r="O182" s="538" t="str">
        <f t="shared" si="21"/>
        <v/>
      </c>
      <c r="P182" s="550"/>
      <c r="Q182" s="551"/>
    </row>
    <row r="183" spans="1:17" s="253" customFormat="1" ht="20.100000000000001" hidden="1" customHeight="1" x14ac:dyDescent="0.25">
      <c r="A183" s="253" t="str">
        <f t="shared" si="22"/>
        <v/>
      </c>
      <c r="B183" s="609" t="str">
        <f>IF(LEFT(F183,1)="B",VLOOKUP(A183,COPY!$A$2:$AC$1000,4,FALSE),"")</f>
        <v/>
      </c>
      <c r="C183" s="586"/>
      <c r="D183" s="553"/>
      <c r="E183" s="553"/>
      <c r="F183" s="557" t="str">
        <f>IF(LEN(A183)&gt;2,LEFT(VLOOKUP(A183,COPY!$A$2:$AC$1000,29,FALSE),6),"")</f>
        <v/>
      </c>
      <c r="G183" s="558" t="str">
        <f>_xlfn.IFNA(IF(TEXT(F183,0)="Terima","",VLOOKUP(A183,COPY!$A$2:$AC$1000,29,FALSE)),"")</f>
        <v/>
      </c>
      <c r="H183" s="425"/>
      <c r="I183" s="559"/>
      <c r="J183" s="555"/>
      <c r="K183" s="608">
        <f>_xlfn.IFNA(IF(TEXT(F183,0)="Terima",0,VLOOKUP(A183,COPY!$A$2:$AC$1000,26,FALSE)),0)</f>
        <v>0</v>
      </c>
      <c r="L183" s="548">
        <f t="shared" si="19"/>
        <v>0</v>
      </c>
      <c r="M183" s="549">
        <f t="shared" si="20"/>
        <v>0</v>
      </c>
      <c r="O183" s="538" t="str">
        <f t="shared" si="21"/>
        <v/>
      </c>
      <c r="P183" s="550"/>
      <c r="Q183" s="551"/>
    </row>
    <row r="184" spans="1:17" s="253" customFormat="1" ht="20.100000000000001" hidden="1" customHeight="1" x14ac:dyDescent="0.25">
      <c r="A184" s="253" t="str">
        <f t="shared" si="22"/>
        <v/>
      </c>
      <c r="B184" s="609" t="str">
        <f>IF(LEFT(F184,1)="B",VLOOKUP(A184,COPY!$A$2:$AC$1000,4,FALSE),"")</f>
        <v/>
      </c>
      <c r="C184" s="586"/>
      <c r="D184" s="553"/>
      <c r="E184" s="553"/>
      <c r="F184" s="557" t="str">
        <f>IF(LEN(A184)&gt;2,LEFT(VLOOKUP(A184,COPY!$A$2:$AC$1000,29,FALSE),6),"")</f>
        <v/>
      </c>
      <c r="G184" s="558" t="str">
        <f>_xlfn.IFNA(IF(TEXT(F184,0)="Terima","",VLOOKUP(A184,COPY!$A$2:$AC$1000,29,FALSE)),"")</f>
        <v/>
      </c>
      <c r="H184" s="425"/>
      <c r="I184" s="559"/>
      <c r="J184" s="555"/>
      <c r="K184" s="608">
        <f>_xlfn.IFNA(IF(TEXT(F184,0)="Terima",0,VLOOKUP(A184,COPY!$A$2:$AC$1000,26,FALSE)),0)</f>
        <v>0</v>
      </c>
      <c r="L184" s="548">
        <f t="shared" si="19"/>
        <v>0</v>
      </c>
      <c r="M184" s="549">
        <f t="shared" si="20"/>
        <v>0</v>
      </c>
      <c r="O184" s="538" t="str">
        <f t="shared" si="21"/>
        <v/>
      </c>
      <c r="P184" s="550"/>
      <c r="Q184" s="551"/>
    </row>
    <row r="185" spans="1:17" s="253" customFormat="1" ht="20.100000000000001" hidden="1" customHeight="1" x14ac:dyDescent="0.25">
      <c r="A185" s="253" t="str">
        <f t="shared" si="22"/>
        <v/>
      </c>
      <c r="B185" s="609" t="str">
        <f>IF(LEFT(F185,1)="B",VLOOKUP(A185,COPY!$A$2:$AC$1000,4,FALSE),"")</f>
        <v/>
      </c>
      <c r="C185" s="586"/>
      <c r="D185" s="553"/>
      <c r="E185" s="553"/>
      <c r="F185" s="557" t="str">
        <f>IF(LEN(A185)&gt;2,LEFT(VLOOKUP(A185,COPY!$A$2:$AC$1000,29,FALSE),6),"")</f>
        <v/>
      </c>
      <c r="G185" s="558" t="str">
        <f>_xlfn.IFNA(IF(TEXT(F185,0)="Terima","",VLOOKUP(A185,COPY!$A$2:$AC$1000,29,FALSE)),"")</f>
        <v/>
      </c>
      <c r="H185" s="425"/>
      <c r="I185" s="559"/>
      <c r="J185" s="555"/>
      <c r="K185" s="608">
        <f>_xlfn.IFNA(IF(TEXT(F185,0)="Terima",0,VLOOKUP(A185,COPY!$A$2:$AC$1000,26,FALSE)),0)</f>
        <v>0</v>
      </c>
      <c r="L185" s="548">
        <f t="shared" si="19"/>
        <v>0</v>
      </c>
      <c r="M185" s="549">
        <f t="shared" si="20"/>
        <v>0</v>
      </c>
      <c r="O185" s="538" t="str">
        <f t="shared" si="21"/>
        <v/>
      </c>
      <c r="P185" s="550"/>
      <c r="Q185" s="551"/>
    </row>
    <row r="186" spans="1:17" s="253" customFormat="1" ht="20.100000000000001" hidden="1" customHeight="1" x14ac:dyDescent="0.25">
      <c r="A186" s="253" t="str">
        <f t="shared" si="22"/>
        <v/>
      </c>
      <c r="B186" s="609" t="str">
        <f>IF(LEFT(F186,1)="B",VLOOKUP(A186,COPY!$A$2:$AC$1000,4,FALSE),"")</f>
        <v/>
      </c>
      <c r="C186" s="586"/>
      <c r="D186" s="553"/>
      <c r="E186" s="553"/>
      <c r="F186" s="557" t="str">
        <f>IF(LEN(A186)&gt;2,LEFT(VLOOKUP(A186,COPY!$A$2:$AC$1000,29,FALSE),6),"")</f>
        <v/>
      </c>
      <c r="G186" s="558" t="str">
        <f>_xlfn.IFNA(IF(TEXT(F186,0)="Terima","",VLOOKUP(A186,COPY!$A$2:$AC$1000,29,FALSE)),"")</f>
        <v/>
      </c>
      <c r="H186" s="425"/>
      <c r="I186" s="559"/>
      <c r="J186" s="555"/>
      <c r="K186" s="608">
        <f>_xlfn.IFNA(IF(TEXT(F186,0)="Terima",0,VLOOKUP(A186,COPY!$A$2:$AC$1000,26,FALSE)),0)</f>
        <v>0</v>
      </c>
      <c r="L186" s="548">
        <f t="shared" si="19"/>
        <v>0</v>
      </c>
      <c r="M186" s="549">
        <f t="shared" si="20"/>
        <v>0</v>
      </c>
      <c r="O186" s="538" t="str">
        <f t="shared" si="21"/>
        <v/>
      </c>
      <c r="P186" s="550"/>
      <c r="Q186" s="551"/>
    </row>
    <row r="187" spans="1:17" s="253" customFormat="1" ht="20.100000000000001" hidden="1" customHeight="1" x14ac:dyDescent="0.25">
      <c r="A187" s="253" t="str">
        <f t="shared" si="22"/>
        <v/>
      </c>
      <c r="B187" s="609" t="str">
        <f>IF(LEFT(F187,1)="B",VLOOKUP(A187,COPY!$A$2:$AC$1000,4,FALSE),"")</f>
        <v/>
      </c>
      <c r="C187" s="586"/>
      <c r="D187" s="553"/>
      <c r="E187" s="553"/>
      <c r="F187" s="557" t="str">
        <f>IF(LEN(A187)&gt;2,LEFT(VLOOKUP(A187,COPY!$A$2:$AC$1000,29,FALSE),6),"")</f>
        <v/>
      </c>
      <c r="G187" s="558" t="str">
        <f>_xlfn.IFNA(IF(TEXT(F187,0)="Terima","",VLOOKUP(A187,COPY!$A$2:$AC$1000,29,FALSE)),"")</f>
        <v/>
      </c>
      <c r="H187" s="425"/>
      <c r="I187" s="559"/>
      <c r="J187" s="555"/>
      <c r="K187" s="608">
        <f>_xlfn.IFNA(IF(TEXT(F187,0)="Terima",0,VLOOKUP(A187,COPY!$A$2:$AC$1000,26,FALSE)),0)</f>
        <v>0</v>
      </c>
      <c r="L187" s="548">
        <f t="shared" si="19"/>
        <v>0</v>
      </c>
      <c r="M187" s="549">
        <f t="shared" si="20"/>
        <v>0</v>
      </c>
      <c r="O187" s="538" t="str">
        <f t="shared" si="21"/>
        <v/>
      </c>
      <c r="P187" s="550"/>
      <c r="Q187" s="551"/>
    </row>
    <row r="188" spans="1:17" s="253" customFormat="1" ht="20.100000000000001" hidden="1" customHeight="1" x14ac:dyDescent="0.25">
      <c r="A188" s="253" t="str">
        <f t="shared" si="22"/>
        <v/>
      </c>
      <c r="B188" s="609" t="str">
        <f>IF(LEFT(F188,1)="B",VLOOKUP(A188,COPY!$A$2:$AC$1000,4,FALSE),"")</f>
        <v/>
      </c>
      <c r="C188" s="586"/>
      <c r="D188" s="553"/>
      <c r="E188" s="553"/>
      <c r="F188" s="557" t="str">
        <f>IF(LEN(A188)&gt;2,LEFT(VLOOKUP(A188,COPY!$A$2:$AC$1000,29,FALSE),6),"")</f>
        <v/>
      </c>
      <c r="G188" s="558" t="str">
        <f>_xlfn.IFNA(IF(TEXT(F188,0)="Terima","",VLOOKUP(A188,COPY!$A$2:$AC$1000,29,FALSE)),"")</f>
        <v/>
      </c>
      <c r="H188" s="425"/>
      <c r="I188" s="559"/>
      <c r="J188" s="555"/>
      <c r="K188" s="608">
        <f>_xlfn.IFNA(IF(TEXT(F188,0)="Terima",0,VLOOKUP(A188,COPY!$A$2:$AC$1000,26,FALSE)),0)</f>
        <v>0</v>
      </c>
      <c r="L188" s="548">
        <f t="shared" si="19"/>
        <v>0</v>
      </c>
      <c r="M188" s="549">
        <f t="shared" si="20"/>
        <v>0</v>
      </c>
      <c r="O188" s="538" t="str">
        <f t="shared" si="21"/>
        <v/>
      </c>
      <c r="P188" s="550"/>
      <c r="Q188" s="551"/>
    </row>
    <row r="189" spans="1:17" s="253" customFormat="1" ht="20.100000000000001" hidden="1" customHeight="1" x14ac:dyDescent="0.25">
      <c r="A189" s="253" t="str">
        <f t="shared" si="22"/>
        <v/>
      </c>
      <c r="B189" s="609" t="str">
        <f>IF(LEFT(F189,1)="B",VLOOKUP(A189,COPY!$A$2:$AC$1000,4,FALSE),"")</f>
        <v/>
      </c>
      <c r="C189" s="586"/>
      <c r="D189" s="553"/>
      <c r="E189" s="553"/>
      <c r="F189" s="557" t="str">
        <f>IF(LEN(A189)&gt;2,LEFT(VLOOKUP(A189,COPY!$A$2:$AC$1000,29,FALSE),6),"")</f>
        <v/>
      </c>
      <c r="G189" s="558" t="str">
        <f>_xlfn.IFNA(IF(TEXT(F189,0)="Terima","",VLOOKUP(A189,COPY!$A$2:$AC$1000,29,FALSE)),"")</f>
        <v/>
      </c>
      <c r="H189" s="425"/>
      <c r="I189" s="559"/>
      <c r="J189" s="555"/>
      <c r="K189" s="608">
        <f>_xlfn.IFNA(IF(TEXT(F189,0)="Terima",0,VLOOKUP(A189,COPY!$A$2:$AC$1000,26,FALSE)),0)</f>
        <v>0</v>
      </c>
      <c r="L189" s="548">
        <f t="shared" si="19"/>
        <v>0</v>
      </c>
      <c r="M189" s="549">
        <f t="shared" si="20"/>
        <v>0</v>
      </c>
      <c r="O189" s="538" t="str">
        <f t="shared" si="21"/>
        <v/>
      </c>
      <c r="P189" s="550"/>
      <c r="Q189" s="551"/>
    </row>
    <row r="190" spans="1:17" s="253" customFormat="1" ht="20.100000000000001" hidden="1" customHeight="1" x14ac:dyDescent="0.25">
      <c r="A190" s="253" t="str">
        <f t="shared" si="22"/>
        <v/>
      </c>
      <c r="B190" s="609" t="str">
        <f>IF(LEFT(F190,1)="B",VLOOKUP(A190,COPY!$A$2:$AC$1000,4,FALSE),"")</f>
        <v/>
      </c>
      <c r="C190" s="586"/>
      <c r="D190" s="553"/>
      <c r="E190" s="553"/>
      <c r="F190" s="557" t="str">
        <f>IF(LEN(A190)&gt;2,LEFT(VLOOKUP(A190,COPY!$A$2:$AC$1000,29,FALSE),6),"")</f>
        <v/>
      </c>
      <c r="G190" s="558" t="str">
        <f>_xlfn.IFNA(IF(TEXT(F190,0)="Terima","",VLOOKUP(A190,COPY!$A$2:$AC$1000,29,FALSE)),"")</f>
        <v/>
      </c>
      <c r="H190" s="425"/>
      <c r="I190" s="559"/>
      <c r="J190" s="555"/>
      <c r="K190" s="608">
        <f>_xlfn.IFNA(IF(TEXT(F190,0)="Terima",0,VLOOKUP(A190,COPY!$A$2:$AC$1000,26,FALSE)),0)</f>
        <v>0</v>
      </c>
      <c r="L190" s="548">
        <f t="shared" si="19"/>
        <v>0</v>
      </c>
      <c r="M190" s="549">
        <f t="shared" si="20"/>
        <v>0</v>
      </c>
      <c r="O190" s="538" t="str">
        <f t="shared" si="21"/>
        <v/>
      </c>
      <c r="P190" s="550"/>
      <c r="Q190" s="551"/>
    </row>
    <row r="191" spans="1:17" s="253" customFormat="1" ht="20.100000000000001" hidden="1" customHeight="1" x14ac:dyDescent="0.25">
      <c r="A191" s="253" t="str">
        <f t="shared" si="22"/>
        <v/>
      </c>
      <c r="B191" s="609" t="str">
        <f>IF(LEFT(F191,1)="B",VLOOKUP(A191,COPY!$A$2:$AC$1000,4,FALSE),"")</f>
        <v/>
      </c>
      <c r="C191" s="586"/>
      <c r="D191" s="553"/>
      <c r="E191" s="553"/>
      <c r="F191" s="557" t="str">
        <f>IF(LEN(A191)&gt;2,LEFT(VLOOKUP(A191,COPY!$A$2:$AC$1000,29,FALSE),6),"")</f>
        <v/>
      </c>
      <c r="G191" s="558" t="str">
        <f>_xlfn.IFNA(IF(TEXT(F191,0)="Terima","",VLOOKUP(A191,COPY!$A$2:$AC$1000,29,FALSE)),"")</f>
        <v/>
      </c>
      <c r="H191" s="425"/>
      <c r="I191" s="559"/>
      <c r="J191" s="555"/>
      <c r="K191" s="608">
        <f>_xlfn.IFNA(IF(TEXT(F191,0)="Terima",0,VLOOKUP(A191,COPY!$A$2:$AC$1000,26,FALSE)),0)</f>
        <v>0</v>
      </c>
      <c r="L191" s="548">
        <f t="shared" si="19"/>
        <v>0</v>
      </c>
      <c r="M191" s="549">
        <f t="shared" si="20"/>
        <v>0</v>
      </c>
      <c r="O191" s="538" t="str">
        <f t="shared" si="21"/>
        <v/>
      </c>
      <c r="P191" s="550"/>
      <c r="Q191" s="551"/>
    </row>
    <row r="192" spans="1:17" s="253" customFormat="1" ht="20.100000000000001" hidden="1" customHeight="1" x14ac:dyDescent="0.25">
      <c r="A192" s="253" t="str">
        <f t="shared" si="22"/>
        <v/>
      </c>
      <c r="B192" s="609" t="str">
        <f>IF(LEFT(F192,1)="B",VLOOKUP(A192,COPY!$A$2:$AC$1000,4,FALSE),"")</f>
        <v/>
      </c>
      <c r="C192" s="586"/>
      <c r="D192" s="553"/>
      <c r="E192" s="553"/>
      <c r="F192" s="557" t="str">
        <f>IF(LEN(A192)&gt;2,LEFT(VLOOKUP(A192,COPY!$A$2:$AC$1000,29,FALSE),6),"")</f>
        <v/>
      </c>
      <c r="G192" s="558" t="str">
        <f>_xlfn.IFNA(IF(TEXT(F192,0)="Terima","",VLOOKUP(A192,COPY!$A$2:$AC$1000,29,FALSE)),"")</f>
        <v/>
      </c>
      <c r="H192" s="425"/>
      <c r="I192" s="559"/>
      <c r="J192" s="555"/>
      <c r="K192" s="608">
        <f>_xlfn.IFNA(IF(TEXT(F192,0)="Terima",0,VLOOKUP(A192,COPY!$A$2:$AC$1000,26,FALSE)),0)</f>
        <v>0</v>
      </c>
      <c r="L192" s="548">
        <f t="shared" si="19"/>
        <v>0</v>
      </c>
      <c r="M192" s="549">
        <f t="shared" si="20"/>
        <v>0</v>
      </c>
      <c r="O192" s="538" t="str">
        <f t="shared" si="21"/>
        <v/>
      </c>
      <c r="P192" s="550"/>
      <c r="Q192" s="551"/>
    </row>
    <row r="193" spans="1:17" s="253" customFormat="1" ht="20.100000000000001" hidden="1" customHeight="1" x14ac:dyDescent="0.25">
      <c r="A193" s="253" t="str">
        <f t="shared" si="22"/>
        <v/>
      </c>
      <c r="B193" s="609" t="str">
        <f>IF(LEFT(F193,1)="B",VLOOKUP(A193,COPY!$A$2:$AC$1000,4,FALSE),"")</f>
        <v/>
      </c>
      <c r="C193" s="586"/>
      <c r="D193" s="553"/>
      <c r="E193" s="553"/>
      <c r="F193" s="557" t="str">
        <f>IF(LEN(A193)&gt;2,LEFT(VLOOKUP(A193,COPY!$A$2:$AC$1000,29,FALSE),6),"")</f>
        <v/>
      </c>
      <c r="G193" s="558" t="str">
        <f>_xlfn.IFNA(IF(TEXT(F193,0)="Terima","",VLOOKUP(A193,COPY!$A$2:$AC$1000,29,FALSE)),"")</f>
        <v/>
      </c>
      <c r="H193" s="425"/>
      <c r="I193" s="559"/>
      <c r="J193" s="555"/>
      <c r="K193" s="608">
        <f>_xlfn.IFNA(IF(TEXT(F193,0)="Terima",0,VLOOKUP(A193,COPY!$A$2:$AC$1000,26,FALSE)),0)</f>
        <v>0</v>
      </c>
      <c r="L193" s="548">
        <f t="shared" si="19"/>
        <v>0</v>
      </c>
      <c r="M193" s="549">
        <f t="shared" si="20"/>
        <v>0</v>
      </c>
      <c r="O193" s="538" t="str">
        <f t="shared" si="21"/>
        <v/>
      </c>
      <c r="P193" s="550"/>
      <c r="Q193" s="551"/>
    </row>
    <row r="194" spans="1:17" s="253" customFormat="1" ht="20.100000000000001" hidden="1" customHeight="1" x14ac:dyDescent="0.25">
      <c r="A194" s="253" t="str">
        <f t="shared" si="22"/>
        <v/>
      </c>
      <c r="B194" s="609" t="str">
        <f>IF(LEFT(F194,1)="B",VLOOKUP(A194,COPY!$A$2:$AC$1000,4,FALSE),"")</f>
        <v/>
      </c>
      <c r="C194" s="586"/>
      <c r="D194" s="553"/>
      <c r="E194" s="553"/>
      <c r="F194" s="557" t="str">
        <f>IF(LEN(A194)&gt;2,LEFT(VLOOKUP(A194,COPY!$A$2:$AC$1000,29,FALSE),6),"")</f>
        <v/>
      </c>
      <c r="G194" s="558" t="str">
        <f>_xlfn.IFNA(IF(TEXT(F194,0)="Terima","",VLOOKUP(A194,COPY!$A$2:$AC$1000,29,FALSE)),"")</f>
        <v/>
      </c>
      <c r="H194" s="425"/>
      <c r="I194" s="559"/>
      <c r="J194" s="555"/>
      <c r="K194" s="608">
        <f>_xlfn.IFNA(IF(TEXT(F194,0)="Terima",0,VLOOKUP(A194,COPY!$A$2:$AC$1000,26,FALSE)),0)</f>
        <v>0</v>
      </c>
      <c r="L194" s="548">
        <f t="shared" si="19"/>
        <v>0</v>
      </c>
      <c r="M194" s="549">
        <f t="shared" si="20"/>
        <v>0</v>
      </c>
      <c r="O194" s="538" t="str">
        <f t="shared" si="21"/>
        <v/>
      </c>
      <c r="P194" s="550"/>
      <c r="Q194" s="551"/>
    </row>
    <row r="195" spans="1:17" s="253" customFormat="1" ht="20.100000000000001" hidden="1" customHeight="1" x14ac:dyDescent="0.25">
      <c r="A195" s="253" t="str">
        <f t="shared" si="22"/>
        <v/>
      </c>
      <c r="B195" s="609" t="str">
        <f>IF(LEFT(F195,1)="B",VLOOKUP(A195,COPY!$A$2:$AC$1000,4,FALSE),"")</f>
        <v/>
      </c>
      <c r="C195" s="586"/>
      <c r="D195" s="553"/>
      <c r="E195" s="553"/>
      <c r="F195" s="557" t="str">
        <f>IF(LEN(A195)&gt;2,LEFT(VLOOKUP(A195,COPY!$A$2:$AC$1000,29,FALSE),6),"")</f>
        <v/>
      </c>
      <c r="G195" s="558" t="str">
        <f>_xlfn.IFNA(IF(TEXT(F195,0)="Terima","",VLOOKUP(A195,COPY!$A$2:$AC$1000,29,FALSE)),"")</f>
        <v/>
      </c>
      <c r="H195" s="425"/>
      <c r="I195" s="559"/>
      <c r="J195" s="555"/>
      <c r="K195" s="608">
        <f>_xlfn.IFNA(IF(TEXT(F195,0)="Terima",0,VLOOKUP(A195,COPY!$A$2:$AC$1000,26,FALSE)),0)</f>
        <v>0</v>
      </c>
      <c r="L195" s="548">
        <f t="shared" si="19"/>
        <v>0</v>
      </c>
      <c r="M195" s="549">
        <f t="shared" si="20"/>
        <v>0</v>
      </c>
      <c r="O195" s="538" t="str">
        <f t="shared" si="21"/>
        <v/>
      </c>
      <c r="P195" s="550"/>
      <c r="Q195" s="551"/>
    </row>
    <row r="196" spans="1:17" s="253" customFormat="1" ht="20.100000000000001" hidden="1" customHeight="1" x14ac:dyDescent="0.25">
      <c r="A196" s="253" t="str">
        <f t="shared" si="22"/>
        <v/>
      </c>
      <c r="B196" s="609" t="str">
        <f>IF(LEFT(F196,1)="B",VLOOKUP(A196,COPY!$A$2:$AC$1000,4,FALSE),"")</f>
        <v/>
      </c>
      <c r="C196" s="586"/>
      <c r="D196" s="553"/>
      <c r="E196" s="553"/>
      <c r="F196" s="557" t="str">
        <f>IF(LEN(A196)&gt;2,LEFT(VLOOKUP(A196,COPY!$A$2:$AC$1000,29,FALSE),6),"")</f>
        <v/>
      </c>
      <c r="G196" s="558" t="str">
        <f>_xlfn.IFNA(IF(TEXT(F196,0)="Terima","",VLOOKUP(A196,COPY!$A$2:$AC$1000,29,FALSE)),"")</f>
        <v/>
      </c>
      <c r="H196" s="425"/>
      <c r="I196" s="559"/>
      <c r="J196" s="555"/>
      <c r="K196" s="608">
        <f>_xlfn.IFNA(IF(TEXT(F196,0)="Terima",0,VLOOKUP(A196,COPY!$A$2:$AC$1000,26,FALSE)),0)</f>
        <v>0</v>
      </c>
      <c r="L196" s="548">
        <f t="shared" si="19"/>
        <v>0</v>
      </c>
      <c r="M196" s="549">
        <f t="shared" si="20"/>
        <v>0</v>
      </c>
      <c r="O196" s="538" t="str">
        <f t="shared" si="21"/>
        <v/>
      </c>
      <c r="P196" s="550"/>
      <c r="Q196" s="551"/>
    </row>
    <row r="197" spans="1:17" s="253" customFormat="1" ht="20.100000000000001" hidden="1" customHeight="1" x14ac:dyDescent="0.25">
      <c r="A197" s="253" t="str">
        <f t="shared" si="22"/>
        <v/>
      </c>
      <c r="B197" s="609" t="str">
        <f>IF(LEFT(F197,1)="B",VLOOKUP(A197,COPY!$A$2:$AC$1000,4,FALSE),"")</f>
        <v/>
      </c>
      <c r="C197" s="586"/>
      <c r="D197" s="553"/>
      <c r="E197" s="553"/>
      <c r="F197" s="557" t="str">
        <f>IF(LEN(A197)&gt;2,LEFT(VLOOKUP(A197,COPY!$A$2:$AC$1000,29,FALSE),6),"")</f>
        <v/>
      </c>
      <c r="G197" s="558" t="str">
        <f>_xlfn.IFNA(IF(TEXT(F197,0)="Terima","",VLOOKUP(A197,COPY!$A$2:$AC$1000,29,FALSE)),"")</f>
        <v/>
      </c>
      <c r="H197" s="425"/>
      <c r="I197" s="559"/>
      <c r="J197" s="555"/>
      <c r="K197" s="608">
        <f>_xlfn.IFNA(IF(TEXT(F197,0)="Terima",0,VLOOKUP(A197,COPY!$A$2:$AC$1000,26,FALSE)),0)</f>
        <v>0</v>
      </c>
      <c r="L197" s="548">
        <f t="shared" si="19"/>
        <v>0</v>
      </c>
      <c r="M197" s="549">
        <f t="shared" si="20"/>
        <v>0</v>
      </c>
      <c r="O197" s="538" t="str">
        <f t="shared" si="21"/>
        <v/>
      </c>
      <c r="P197" s="550"/>
      <c r="Q197" s="551"/>
    </row>
    <row r="198" spans="1:17" s="253" customFormat="1" ht="20.100000000000001" hidden="1" customHeight="1" x14ac:dyDescent="0.25">
      <c r="A198" s="253" t="str">
        <f t="shared" si="22"/>
        <v/>
      </c>
      <c r="B198" s="609" t="str">
        <f>IF(LEFT(F198,1)="B",VLOOKUP(A198,COPY!$A$2:$AC$1000,4,FALSE),"")</f>
        <v/>
      </c>
      <c r="C198" s="586"/>
      <c r="D198" s="553"/>
      <c r="E198" s="553"/>
      <c r="F198" s="557" t="str">
        <f>IF(LEN(A198)&gt;2,LEFT(VLOOKUP(A198,COPY!$A$2:$AC$1000,29,FALSE),6),"")</f>
        <v/>
      </c>
      <c r="G198" s="558" t="str">
        <f>_xlfn.IFNA(IF(TEXT(F198,0)="Terima","",VLOOKUP(A198,COPY!$A$2:$AC$1000,29,FALSE)),"")</f>
        <v/>
      </c>
      <c r="H198" s="425"/>
      <c r="I198" s="559"/>
      <c r="J198" s="555"/>
      <c r="K198" s="608">
        <f>_xlfn.IFNA(IF(TEXT(F198,0)="Terima",0,VLOOKUP(A198,COPY!$A$2:$AC$1000,26,FALSE)),0)</f>
        <v>0</v>
      </c>
      <c r="L198" s="548">
        <f t="shared" si="19"/>
        <v>0</v>
      </c>
      <c r="M198" s="549">
        <f t="shared" si="20"/>
        <v>0</v>
      </c>
      <c r="O198" s="538" t="str">
        <f t="shared" si="21"/>
        <v/>
      </c>
      <c r="P198" s="550"/>
      <c r="Q198" s="551"/>
    </row>
    <row r="199" spans="1:17" s="253" customFormat="1" ht="20.100000000000001" hidden="1" customHeight="1" x14ac:dyDescent="0.25">
      <c r="A199" s="253" t="str">
        <f t="shared" si="22"/>
        <v/>
      </c>
      <c r="B199" s="609" t="str">
        <f>IF(LEFT(F199,1)="B",VLOOKUP(A199,COPY!$A$2:$AC$1000,4,FALSE),"")</f>
        <v/>
      </c>
      <c r="C199" s="586"/>
      <c r="D199" s="553"/>
      <c r="E199" s="553"/>
      <c r="F199" s="557" t="str">
        <f>IF(LEN(A199)&gt;2,LEFT(VLOOKUP(A199,COPY!$A$2:$AC$1000,29,FALSE),6),"")</f>
        <v/>
      </c>
      <c r="G199" s="558" t="str">
        <f>_xlfn.IFNA(IF(TEXT(F199,0)="Terima","",VLOOKUP(A199,COPY!$A$2:$AC$1000,29,FALSE)),"")</f>
        <v/>
      </c>
      <c r="H199" s="425"/>
      <c r="I199" s="559"/>
      <c r="J199" s="555"/>
      <c r="K199" s="608">
        <f>_xlfn.IFNA(IF(TEXT(F199,0)="Terima",0,VLOOKUP(A199,COPY!$A$2:$AC$1000,26,FALSE)),0)</f>
        <v>0</v>
      </c>
      <c r="L199" s="548">
        <f t="shared" si="19"/>
        <v>0</v>
      </c>
      <c r="M199" s="549">
        <f t="shared" si="20"/>
        <v>0</v>
      </c>
      <c r="O199" s="538" t="str">
        <f t="shared" si="21"/>
        <v/>
      </c>
      <c r="P199" s="550"/>
      <c r="Q199" s="551"/>
    </row>
    <row r="200" spans="1:17" s="253" customFormat="1" ht="20.100000000000001" hidden="1" customHeight="1" x14ac:dyDescent="0.25">
      <c r="A200" s="253" t="str">
        <f t="shared" si="22"/>
        <v/>
      </c>
      <c r="B200" s="609" t="str">
        <f>IF(LEFT(F200,1)="B",VLOOKUP(A200,COPY!$A$2:$AC$1000,4,FALSE),"")</f>
        <v/>
      </c>
      <c r="C200" s="586"/>
      <c r="D200" s="553"/>
      <c r="E200" s="553"/>
      <c r="F200" s="557" t="str">
        <f>IF(LEN(A200)&gt;2,LEFT(VLOOKUP(A200,COPY!$A$2:$AC$1000,29,FALSE),6),"")</f>
        <v/>
      </c>
      <c r="G200" s="558" t="str">
        <f>_xlfn.IFNA(IF(TEXT(F200,0)="Terima","",VLOOKUP(A200,COPY!$A$2:$AC$1000,29,FALSE)),"")</f>
        <v/>
      </c>
      <c r="H200" s="425"/>
      <c r="I200" s="559"/>
      <c r="J200" s="555"/>
      <c r="K200" s="608">
        <f>_xlfn.IFNA(IF(TEXT(F200,0)="Terima",0,VLOOKUP(A200,COPY!$A$2:$AC$1000,26,FALSE)),0)</f>
        <v>0</v>
      </c>
      <c r="L200" s="548">
        <f t="shared" si="19"/>
        <v>0</v>
      </c>
      <c r="M200" s="549">
        <f t="shared" si="20"/>
        <v>0</v>
      </c>
      <c r="O200" s="538" t="str">
        <f t="shared" si="21"/>
        <v/>
      </c>
      <c r="P200" s="550"/>
      <c r="Q200" s="551"/>
    </row>
    <row r="201" spans="1:17" s="253" customFormat="1" ht="20.100000000000001" hidden="1" customHeight="1" x14ac:dyDescent="0.25">
      <c r="A201" s="253" t="str">
        <f t="shared" si="22"/>
        <v/>
      </c>
      <c r="B201" s="609" t="str">
        <f>IF(LEFT(F201,1)="B",VLOOKUP(A201,COPY!$A$2:$AC$1000,4,FALSE),"")</f>
        <v/>
      </c>
      <c r="C201" s="586"/>
      <c r="D201" s="553"/>
      <c r="E201" s="553"/>
      <c r="F201" s="557" t="str">
        <f>IF(LEN(A201)&gt;2,LEFT(VLOOKUP(A201,COPY!$A$2:$AC$1000,29,FALSE),6),"")</f>
        <v/>
      </c>
      <c r="G201" s="558" t="str">
        <f>_xlfn.IFNA(IF(TEXT(F201,0)="Terima","",VLOOKUP(A201,COPY!$A$2:$AC$1000,29,FALSE)),"")</f>
        <v/>
      </c>
      <c r="H201" s="425"/>
      <c r="I201" s="559"/>
      <c r="J201" s="555"/>
      <c r="K201" s="608">
        <f>_xlfn.IFNA(IF(TEXT(F201,0)="Terima",0,VLOOKUP(A201,COPY!$A$2:$AC$1000,26,FALSE)),0)</f>
        <v>0</v>
      </c>
      <c r="L201" s="548">
        <f t="shared" si="19"/>
        <v>0</v>
      </c>
      <c r="M201" s="549">
        <f t="shared" si="20"/>
        <v>0</v>
      </c>
      <c r="O201" s="538" t="str">
        <f t="shared" si="21"/>
        <v/>
      </c>
      <c r="P201" s="550"/>
      <c r="Q201" s="551"/>
    </row>
    <row r="202" spans="1:17" s="253" customFormat="1" ht="20.100000000000001" hidden="1" customHeight="1" x14ac:dyDescent="0.25">
      <c r="A202" s="253" t="str">
        <f t="shared" si="22"/>
        <v/>
      </c>
      <c r="B202" s="609" t="str">
        <f>IF(LEFT(F202,1)="B",VLOOKUP(A202,COPY!$A$2:$AC$1000,4,FALSE),"")</f>
        <v/>
      </c>
      <c r="C202" s="586"/>
      <c r="D202" s="553"/>
      <c r="E202" s="553"/>
      <c r="F202" s="557" t="str">
        <f>IF(LEN(A202)&gt;2,LEFT(VLOOKUP(A202,COPY!$A$2:$AC$1000,29,FALSE),6),"")</f>
        <v/>
      </c>
      <c r="G202" s="558" t="str">
        <f>_xlfn.IFNA(IF(TEXT(F202,0)="Terima","",VLOOKUP(A202,COPY!$A$2:$AC$1000,29,FALSE)),"")</f>
        <v/>
      </c>
      <c r="H202" s="425"/>
      <c r="I202" s="559"/>
      <c r="J202" s="555"/>
      <c r="K202" s="608">
        <f>_xlfn.IFNA(IF(TEXT(F202,0)="Terima",0,VLOOKUP(A202,COPY!$A$2:$AC$1000,26,FALSE)),0)</f>
        <v>0</v>
      </c>
      <c r="L202" s="548">
        <f t="shared" si="19"/>
        <v>0</v>
      </c>
      <c r="M202" s="549">
        <f t="shared" si="20"/>
        <v>0</v>
      </c>
      <c r="O202" s="538" t="str">
        <f t="shared" si="21"/>
        <v/>
      </c>
      <c r="P202" s="550"/>
      <c r="Q202" s="551"/>
    </row>
    <row r="203" spans="1:17" s="253" customFormat="1" ht="20.100000000000001" hidden="1" customHeight="1" x14ac:dyDescent="0.25">
      <c r="A203" s="253" t="str">
        <f t="shared" si="22"/>
        <v/>
      </c>
      <c r="B203" s="609" t="str">
        <f>IF(LEFT(F203,1)="B",VLOOKUP(A203,COPY!$A$2:$AC$1000,4,FALSE),"")</f>
        <v/>
      </c>
      <c r="C203" s="586"/>
      <c r="D203" s="553"/>
      <c r="E203" s="553"/>
      <c r="F203" s="557" t="str">
        <f>IF(LEN(A203)&gt;2,LEFT(VLOOKUP(A203,COPY!$A$2:$AC$1000,29,FALSE),6),"")</f>
        <v/>
      </c>
      <c r="G203" s="558" t="str">
        <f>_xlfn.IFNA(IF(TEXT(F203,0)="Terima","",VLOOKUP(A203,COPY!$A$2:$AC$1000,29,FALSE)),"")</f>
        <v/>
      </c>
      <c r="H203" s="425"/>
      <c r="I203" s="559"/>
      <c r="J203" s="555"/>
      <c r="K203" s="608">
        <f>_xlfn.IFNA(IF(TEXT(F203,0)="Terima",0,VLOOKUP(A203,COPY!$A$2:$AC$1000,26,FALSE)),0)</f>
        <v>0</v>
      </c>
      <c r="L203" s="548">
        <f t="shared" si="19"/>
        <v>0</v>
      </c>
      <c r="M203" s="549">
        <f t="shared" si="20"/>
        <v>0</v>
      </c>
      <c r="O203" s="538" t="str">
        <f t="shared" si="21"/>
        <v/>
      </c>
      <c r="P203" s="550"/>
      <c r="Q203" s="551"/>
    </row>
    <row r="204" spans="1:17" s="253" customFormat="1" ht="20.100000000000001" hidden="1" customHeight="1" x14ac:dyDescent="0.25">
      <c r="A204" s="253" t="str">
        <f t="shared" si="22"/>
        <v/>
      </c>
      <c r="B204" s="609" t="str">
        <f>IF(LEFT(F204,1)="B",VLOOKUP(A204,COPY!$A$2:$AC$1000,4,FALSE),"")</f>
        <v/>
      </c>
      <c r="C204" s="586"/>
      <c r="D204" s="553"/>
      <c r="E204" s="553"/>
      <c r="F204" s="557" t="str">
        <f>IF(LEN(A204)&gt;2,LEFT(VLOOKUP(A204,COPY!$A$2:$AC$1000,29,FALSE),6),"")</f>
        <v/>
      </c>
      <c r="G204" s="558" t="str">
        <f>_xlfn.IFNA(IF(TEXT(F204,0)="Terima","",VLOOKUP(A204,COPY!$A$2:$AC$1000,29,FALSE)),"")</f>
        <v/>
      </c>
      <c r="H204" s="425"/>
      <c r="I204" s="559"/>
      <c r="J204" s="555"/>
      <c r="K204" s="608">
        <f>_xlfn.IFNA(IF(TEXT(F204,0)="Terima",0,VLOOKUP(A204,COPY!$A$2:$AC$1000,26,FALSE)),0)</f>
        <v>0</v>
      </c>
      <c r="L204" s="548">
        <f t="shared" si="19"/>
        <v>0</v>
      </c>
      <c r="M204" s="549">
        <f t="shared" si="20"/>
        <v>0</v>
      </c>
      <c r="O204" s="538" t="str">
        <f t="shared" si="21"/>
        <v/>
      </c>
      <c r="P204" s="550"/>
      <c r="Q204" s="551"/>
    </row>
    <row r="205" spans="1:17" s="253" customFormat="1" ht="20.100000000000001" hidden="1" customHeight="1" x14ac:dyDescent="0.25">
      <c r="A205" s="253" t="str">
        <f t="shared" si="22"/>
        <v/>
      </c>
      <c r="B205" s="609" t="str">
        <f>IF(LEFT(F205,1)="B",VLOOKUP(A205,COPY!$A$2:$AC$1000,4,FALSE),"")</f>
        <v/>
      </c>
      <c r="C205" s="586"/>
      <c r="D205" s="553"/>
      <c r="E205" s="553"/>
      <c r="F205" s="557" t="str">
        <f>IF(LEN(A205)&gt;2,LEFT(VLOOKUP(A205,COPY!$A$2:$AC$1000,29,FALSE),6),"")</f>
        <v/>
      </c>
      <c r="G205" s="558" t="str">
        <f>_xlfn.IFNA(IF(TEXT(F205,0)="Terima","",VLOOKUP(A205,COPY!$A$2:$AC$1000,29,FALSE)),"")</f>
        <v/>
      </c>
      <c r="H205" s="425"/>
      <c r="I205" s="559"/>
      <c r="J205" s="555"/>
      <c r="K205" s="608">
        <f>_xlfn.IFNA(IF(TEXT(F205,0)="Terima",0,VLOOKUP(A205,COPY!$A$2:$AC$1000,26,FALSE)),0)</f>
        <v>0</v>
      </c>
      <c r="L205" s="548">
        <f t="shared" si="19"/>
        <v>0</v>
      </c>
      <c r="M205" s="549">
        <f t="shared" si="20"/>
        <v>0</v>
      </c>
      <c r="O205" s="538" t="str">
        <f t="shared" si="21"/>
        <v/>
      </c>
      <c r="P205" s="550"/>
      <c r="Q205" s="551"/>
    </row>
    <row r="206" spans="1:17" s="253" customFormat="1" ht="20.100000000000001" hidden="1" customHeight="1" x14ac:dyDescent="0.25">
      <c r="A206" s="253" t="str">
        <f t="shared" si="22"/>
        <v/>
      </c>
      <c r="B206" s="609" t="str">
        <f>IF(LEFT(F206,1)="B",VLOOKUP(A206,COPY!$A$2:$AC$1000,4,FALSE),"")</f>
        <v/>
      </c>
      <c r="C206" s="586"/>
      <c r="D206" s="553"/>
      <c r="E206" s="553"/>
      <c r="F206" s="557" t="str">
        <f>IF(LEN(A206)&gt;2,LEFT(VLOOKUP(A206,COPY!$A$2:$AC$1000,29,FALSE),6),"")</f>
        <v/>
      </c>
      <c r="G206" s="558" t="str">
        <f>_xlfn.IFNA(IF(TEXT(F206,0)="Terima","",VLOOKUP(A206,COPY!$A$2:$AC$1000,29,FALSE)),"")</f>
        <v/>
      </c>
      <c r="H206" s="425"/>
      <c r="I206" s="559"/>
      <c r="J206" s="555"/>
      <c r="K206" s="608">
        <f>_xlfn.IFNA(IF(TEXT(F206,0)="Terima",0,VLOOKUP(A206,COPY!$A$2:$AC$1000,26,FALSE)),0)</f>
        <v>0</v>
      </c>
      <c r="L206" s="548">
        <f t="shared" si="19"/>
        <v>0</v>
      </c>
      <c r="M206" s="549">
        <f t="shared" si="20"/>
        <v>0</v>
      </c>
      <c r="O206" s="538" t="str">
        <f t="shared" si="21"/>
        <v/>
      </c>
      <c r="P206" s="550"/>
      <c r="Q206" s="551"/>
    </row>
    <row r="207" spans="1:17" s="253" customFormat="1" ht="20.100000000000001" hidden="1" customHeight="1" x14ac:dyDescent="0.25">
      <c r="A207" s="253" t="str">
        <f t="shared" si="22"/>
        <v/>
      </c>
      <c r="B207" s="609" t="str">
        <f>IF(LEFT(F207,1)="B",VLOOKUP(A207,COPY!$A$2:$AC$1000,4,FALSE),"")</f>
        <v/>
      </c>
      <c r="C207" s="586"/>
      <c r="D207" s="553"/>
      <c r="E207" s="553"/>
      <c r="F207" s="557" t="str">
        <f>IF(LEN(A207)&gt;2,LEFT(VLOOKUP(A207,COPY!$A$2:$AC$1000,29,FALSE),6),"")</f>
        <v/>
      </c>
      <c r="G207" s="558" t="str">
        <f>_xlfn.IFNA(IF(TEXT(F207,0)="Terima","",VLOOKUP(A207,COPY!$A$2:$AC$1000,29,FALSE)),"")</f>
        <v/>
      </c>
      <c r="H207" s="425"/>
      <c r="I207" s="559"/>
      <c r="J207" s="555"/>
      <c r="K207" s="608">
        <f>_xlfn.IFNA(IF(TEXT(F207,0)="Terima",0,VLOOKUP(A207,COPY!$A$2:$AC$1000,26,FALSE)),0)</f>
        <v>0</v>
      </c>
      <c r="L207" s="548">
        <f t="shared" si="19"/>
        <v>0</v>
      </c>
      <c r="M207" s="549">
        <f t="shared" si="20"/>
        <v>0</v>
      </c>
      <c r="O207" s="538" t="str">
        <f t="shared" si="21"/>
        <v/>
      </c>
      <c r="P207" s="550"/>
      <c r="Q207" s="551"/>
    </row>
    <row r="208" spans="1:17" s="253" customFormat="1" ht="20.100000000000001" hidden="1" customHeight="1" x14ac:dyDescent="0.25">
      <c r="A208" s="253" t="str">
        <f t="shared" si="22"/>
        <v/>
      </c>
      <c r="B208" s="609" t="str">
        <f>IF(LEFT(F208,1)="B",VLOOKUP(A208,COPY!$A$2:$AC$1000,4,FALSE),"")</f>
        <v/>
      </c>
      <c r="C208" s="586"/>
      <c r="D208" s="553"/>
      <c r="E208" s="553"/>
      <c r="F208" s="557" t="str">
        <f>IF(LEN(A208)&gt;2,LEFT(VLOOKUP(A208,COPY!$A$2:$AC$1000,29,FALSE),6),"")</f>
        <v/>
      </c>
      <c r="G208" s="558" t="str">
        <f>_xlfn.IFNA(IF(TEXT(F208,0)="Terima","",VLOOKUP(A208,COPY!$A$2:$AC$1000,29,FALSE)),"")</f>
        <v/>
      </c>
      <c r="H208" s="425"/>
      <c r="I208" s="559"/>
      <c r="J208" s="555"/>
      <c r="K208" s="608">
        <f>_xlfn.IFNA(IF(TEXT(F208,0)="Terima",0,VLOOKUP(A208,COPY!$A$2:$AC$1000,26,FALSE)),0)</f>
        <v>0</v>
      </c>
      <c r="L208" s="548">
        <f t="shared" si="19"/>
        <v>0</v>
      </c>
      <c r="M208" s="549">
        <f t="shared" si="20"/>
        <v>0</v>
      </c>
      <c r="O208" s="538" t="str">
        <f t="shared" si="21"/>
        <v/>
      </c>
      <c r="P208" s="550"/>
      <c r="Q208" s="551"/>
    </row>
    <row r="209" spans="1:17" s="253" customFormat="1" ht="20.100000000000001" hidden="1" customHeight="1" x14ac:dyDescent="0.25">
      <c r="A209" s="253" t="str">
        <f t="shared" si="22"/>
        <v/>
      </c>
      <c r="B209" s="609" t="str">
        <f>IF(LEFT(F209,1)="B",VLOOKUP(A209,COPY!$A$2:$AC$1000,4,FALSE),"")</f>
        <v/>
      </c>
      <c r="C209" s="586"/>
      <c r="D209" s="553"/>
      <c r="E209" s="553"/>
      <c r="F209" s="557" t="str">
        <f>IF(LEN(A209)&gt;2,LEFT(VLOOKUP(A209,COPY!$A$2:$AC$1000,29,FALSE),6),"")</f>
        <v/>
      </c>
      <c r="G209" s="558" t="str">
        <f>_xlfn.IFNA(IF(TEXT(F209,0)="Terima","",VLOOKUP(A209,COPY!$A$2:$AC$1000,29,FALSE)),"")</f>
        <v/>
      </c>
      <c r="H209" s="425"/>
      <c r="I209" s="559"/>
      <c r="J209" s="555"/>
      <c r="K209" s="608">
        <f>_xlfn.IFNA(IF(TEXT(F209,0)="Terima",0,VLOOKUP(A209,COPY!$A$2:$AC$1000,26,FALSE)),0)</f>
        <v>0</v>
      </c>
      <c r="L209" s="548">
        <f t="shared" si="19"/>
        <v>0</v>
      </c>
      <c r="M209" s="549">
        <f t="shared" si="20"/>
        <v>0</v>
      </c>
      <c r="O209" s="538" t="str">
        <f t="shared" si="21"/>
        <v/>
      </c>
      <c r="P209" s="550"/>
      <c r="Q209" s="551"/>
    </row>
    <row r="210" spans="1:17" s="253" customFormat="1" ht="20.100000000000001" hidden="1" customHeight="1" x14ac:dyDescent="0.25">
      <c r="A210" s="253" t="str">
        <f t="shared" si="22"/>
        <v/>
      </c>
      <c r="B210" s="609" t="str">
        <f>IF(LEFT(F210,1)="B",VLOOKUP(A210,COPY!$A$2:$AC$1000,4,FALSE),"")</f>
        <v/>
      </c>
      <c r="C210" s="586"/>
      <c r="D210" s="553"/>
      <c r="E210" s="553"/>
      <c r="F210" s="557" t="str">
        <f>IF(LEN(A210)&gt;2,LEFT(VLOOKUP(A210,COPY!$A$2:$AC$1000,29,FALSE),6),"")</f>
        <v/>
      </c>
      <c r="G210" s="558" t="str">
        <f>_xlfn.IFNA(IF(TEXT(F210,0)="Terima","",VLOOKUP(A210,COPY!$A$2:$AC$1000,29,FALSE)),"")</f>
        <v/>
      </c>
      <c r="H210" s="425"/>
      <c r="I210" s="559"/>
      <c r="J210" s="555"/>
      <c r="K210" s="608">
        <f>_xlfn.IFNA(IF(TEXT(F210,0)="Terima",0,VLOOKUP(A210,COPY!$A$2:$AC$1000,26,FALSE)),0)</f>
        <v>0</v>
      </c>
      <c r="L210" s="548">
        <f t="shared" si="19"/>
        <v>0</v>
      </c>
      <c r="M210" s="549">
        <f t="shared" si="20"/>
        <v>0</v>
      </c>
      <c r="O210" s="538" t="str">
        <f t="shared" si="21"/>
        <v/>
      </c>
      <c r="P210" s="550"/>
      <c r="Q210" s="551"/>
    </row>
    <row r="211" spans="1:17" s="253" customFormat="1" ht="20.100000000000001" hidden="1" customHeight="1" x14ac:dyDescent="0.25">
      <c r="A211" s="253" t="str">
        <f t="shared" si="22"/>
        <v/>
      </c>
      <c r="B211" s="609" t="str">
        <f>IF(LEFT(F211,1)="B",VLOOKUP(A211,COPY!$A$2:$AC$1000,4,FALSE),"")</f>
        <v/>
      </c>
      <c r="C211" s="586"/>
      <c r="D211" s="553"/>
      <c r="E211" s="553"/>
      <c r="F211" s="557" t="str">
        <f>IF(LEN(A211)&gt;2,LEFT(VLOOKUP(A211,COPY!$A$2:$AC$1000,29,FALSE),6),"")</f>
        <v/>
      </c>
      <c r="G211" s="558" t="str">
        <f>_xlfn.IFNA(IF(TEXT(F211,0)="Terima","",VLOOKUP(A211,COPY!$A$2:$AC$1000,29,FALSE)),"")</f>
        <v/>
      </c>
      <c r="H211" s="425"/>
      <c r="I211" s="559"/>
      <c r="J211" s="555"/>
      <c r="K211" s="608">
        <f>_xlfn.IFNA(IF(TEXT(F211,0)="Terima",0,VLOOKUP(A211,COPY!$A$2:$AC$1000,26,FALSE)),0)</f>
        <v>0</v>
      </c>
      <c r="L211" s="548">
        <f t="shared" si="19"/>
        <v>0</v>
      </c>
      <c r="M211" s="549">
        <f t="shared" si="20"/>
        <v>0</v>
      </c>
      <c r="O211" s="538" t="str">
        <f t="shared" si="21"/>
        <v/>
      </c>
      <c r="P211" s="550"/>
      <c r="Q211" s="551"/>
    </row>
    <row r="212" spans="1:17" s="253" customFormat="1" ht="20.100000000000001" hidden="1" customHeight="1" x14ac:dyDescent="0.25">
      <c r="A212" s="253" t="str">
        <f t="shared" si="22"/>
        <v/>
      </c>
      <c r="B212" s="609" t="str">
        <f>IF(LEFT(F212,1)="B",VLOOKUP(A212,COPY!$A$2:$AC$1000,4,FALSE),"")</f>
        <v/>
      </c>
      <c r="C212" s="586"/>
      <c r="D212" s="553"/>
      <c r="E212" s="553"/>
      <c r="F212" s="557" t="str">
        <f>IF(LEN(A212)&gt;2,LEFT(VLOOKUP(A212,COPY!$A$2:$AC$1000,29,FALSE),6),"")</f>
        <v/>
      </c>
      <c r="G212" s="558" t="str">
        <f>_xlfn.IFNA(IF(TEXT(F212,0)="Terima","",VLOOKUP(A212,COPY!$A$2:$AC$1000,29,FALSE)),"")</f>
        <v/>
      </c>
      <c r="H212" s="425"/>
      <c r="I212" s="559"/>
      <c r="J212" s="555"/>
      <c r="K212" s="608">
        <f>_xlfn.IFNA(IF(TEXT(F212,0)="Terima",0,VLOOKUP(A212,COPY!$A$2:$AC$1000,26,FALSE)),0)</f>
        <v>0</v>
      </c>
      <c r="L212" s="548">
        <f t="shared" si="19"/>
        <v>0</v>
      </c>
      <c r="M212" s="549">
        <f t="shared" si="20"/>
        <v>0</v>
      </c>
      <c r="O212" s="538" t="str">
        <f t="shared" si="21"/>
        <v/>
      </c>
      <c r="P212" s="550"/>
      <c r="Q212" s="551"/>
    </row>
    <row r="213" spans="1:17" s="253" customFormat="1" ht="20.100000000000001" hidden="1" customHeight="1" x14ac:dyDescent="0.25">
      <c r="A213" s="253" t="str">
        <f t="shared" si="22"/>
        <v/>
      </c>
      <c r="B213" s="609" t="str">
        <f>IF(LEFT(F213,1)="B",VLOOKUP(A213,COPY!$A$2:$AC$1000,4,FALSE),"")</f>
        <v/>
      </c>
      <c r="C213" s="586"/>
      <c r="D213" s="553"/>
      <c r="E213" s="553"/>
      <c r="F213" s="557" t="str">
        <f>IF(LEN(A213)&gt;2,LEFT(VLOOKUP(A213,COPY!$A$2:$AC$1000,29,FALSE),6),"")</f>
        <v/>
      </c>
      <c r="G213" s="558" t="str">
        <f>_xlfn.IFNA(IF(TEXT(F213,0)="Terima","",VLOOKUP(A213,COPY!$A$2:$AC$1000,29,FALSE)),"")</f>
        <v/>
      </c>
      <c r="H213" s="425"/>
      <c r="I213" s="559"/>
      <c r="J213" s="555"/>
      <c r="K213" s="608">
        <f>_xlfn.IFNA(IF(TEXT(F213,0)="Terima",0,VLOOKUP(A213,COPY!$A$2:$AC$1000,26,FALSE)),0)</f>
        <v>0</v>
      </c>
      <c r="L213" s="548">
        <f t="shared" si="19"/>
        <v>0</v>
      </c>
      <c r="M213" s="549">
        <f t="shared" si="20"/>
        <v>0</v>
      </c>
      <c r="O213" s="538" t="str">
        <f t="shared" si="21"/>
        <v/>
      </c>
      <c r="P213" s="550"/>
      <c r="Q213" s="551"/>
    </row>
    <row r="214" spans="1:17" s="253" customFormat="1" ht="20.100000000000001" hidden="1" customHeight="1" x14ac:dyDescent="0.25">
      <c r="A214" s="253" t="str">
        <f t="shared" si="22"/>
        <v/>
      </c>
      <c r="B214" s="609" t="str">
        <f>IF(LEFT(F214,1)="B",VLOOKUP(A214,COPY!$A$2:$AC$1000,4,FALSE),"")</f>
        <v/>
      </c>
      <c r="C214" s="586"/>
      <c r="D214" s="553"/>
      <c r="E214" s="553"/>
      <c r="F214" s="557" t="str">
        <f>IF(LEN(A214)&gt;2,LEFT(VLOOKUP(A214,COPY!$A$2:$AC$1000,29,FALSE),6),"")</f>
        <v/>
      </c>
      <c r="G214" s="558" t="str">
        <f>_xlfn.IFNA(IF(TEXT(F214,0)="Terima","",VLOOKUP(A214,COPY!$A$2:$AC$1000,29,FALSE)),"")</f>
        <v/>
      </c>
      <c r="H214" s="425"/>
      <c r="I214" s="559"/>
      <c r="J214" s="555"/>
      <c r="K214" s="608">
        <f>_xlfn.IFNA(IF(TEXT(F214,0)="Terima",0,VLOOKUP(A214,COPY!$A$2:$AC$1000,26,FALSE)),0)</f>
        <v>0</v>
      </c>
      <c r="L214" s="548">
        <f t="shared" si="19"/>
        <v>0</v>
      </c>
      <c r="M214" s="549">
        <f t="shared" si="20"/>
        <v>0</v>
      </c>
      <c r="O214" s="538" t="str">
        <f t="shared" si="21"/>
        <v/>
      </c>
      <c r="P214" s="550"/>
      <c r="Q214" s="551"/>
    </row>
    <row r="215" spans="1:17" s="253" customFormat="1" ht="20.100000000000001" hidden="1" customHeight="1" x14ac:dyDescent="0.25">
      <c r="A215" s="253" t="str">
        <f t="shared" si="22"/>
        <v/>
      </c>
      <c r="B215" s="609" t="str">
        <f>IF(LEFT(F215,1)="B",VLOOKUP(A215,COPY!$A$2:$AC$1000,4,FALSE),"")</f>
        <v/>
      </c>
      <c r="C215" s="586"/>
      <c r="D215" s="553"/>
      <c r="E215" s="553"/>
      <c r="F215" s="557" t="str">
        <f>IF(LEN(A215)&gt;2,LEFT(VLOOKUP(A215,COPY!$A$2:$AC$1000,29,FALSE),6),"")</f>
        <v/>
      </c>
      <c r="G215" s="558" t="str">
        <f>_xlfn.IFNA(IF(TEXT(F215,0)="Terima","",VLOOKUP(A215,COPY!$A$2:$AC$1000,29,FALSE)),"")</f>
        <v/>
      </c>
      <c r="H215" s="425"/>
      <c r="I215" s="559"/>
      <c r="J215" s="555"/>
      <c r="K215" s="608">
        <f>_xlfn.IFNA(IF(TEXT(F215,0)="Terima",0,VLOOKUP(A215,COPY!$A$2:$AC$1000,26,FALSE)),0)</f>
        <v>0</v>
      </c>
      <c r="L215" s="548">
        <f t="shared" si="19"/>
        <v>0</v>
      </c>
      <c r="M215" s="549">
        <f t="shared" si="20"/>
        <v>0</v>
      </c>
      <c r="O215" s="538" t="str">
        <f t="shared" si="21"/>
        <v/>
      </c>
      <c r="P215" s="550"/>
      <c r="Q215" s="551"/>
    </row>
    <row r="216" spans="1:17" s="253" customFormat="1" ht="20.100000000000001" hidden="1" customHeight="1" x14ac:dyDescent="0.25">
      <c r="A216" s="253" t="str">
        <f t="shared" si="22"/>
        <v/>
      </c>
      <c r="B216" s="609" t="str">
        <f>IF(LEFT(F216,1)="B",VLOOKUP(A216,COPY!$A$2:$AC$1000,4,FALSE),"")</f>
        <v/>
      </c>
      <c r="C216" s="586"/>
      <c r="D216" s="553"/>
      <c r="E216" s="553"/>
      <c r="F216" s="557" t="str">
        <f>IF(LEN(A216)&gt;2,LEFT(VLOOKUP(A216,COPY!$A$2:$AC$1000,29,FALSE),6),"")</f>
        <v/>
      </c>
      <c r="G216" s="558" t="str">
        <f>_xlfn.IFNA(IF(TEXT(F216,0)="Terima","",VLOOKUP(A216,COPY!$A$2:$AC$1000,29,FALSE)),"")</f>
        <v/>
      </c>
      <c r="H216" s="425"/>
      <c r="I216" s="559"/>
      <c r="J216" s="555"/>
      <c r="K216" s="608">
        <f>_xlfn.IFNA(IF(TEXT(F216,0)="Terima",0,VLOOKUP(A216,COPY!$A$2:$AC$1000,26,FALSE)),0)</f>
        <v>0</v>
      </c>
      <c r="L216" s="548">
        <f t="shared" si="19"/>
        <v>0</v>
      </c>
      <c r="M216" s="549">
        <f t="shared" si="20"/>
        <v>0</v>
      </c>
      <c r="O216" s="538" t="str">
        <f t="shared" si="21"/>
        <v/>
      </c>
      <c r="P216" s="550"/>
      <c r="Q216" s="551"/>
    </row>
    <row r="217" spans="1:17" s="253" customFormat="1" ht="20.100000000000001" hidden="1" customHeight="1" x14ac:dyDescent="0.25">
      <c r="A217" s="253" t="str">
        <f t="shared" si="22"/>
        <v/>
      </c>
      <c r="B217" s="609" t="str">
        <f>IF(LEFT(F217,1)="B",VLOOKUP(A217,COPY!$A$2:$AC$1000,4,FALSE),"")</f>
        <v/>
      </c>
      <c r="C217" s="586"/>
      <c r="D217" s="553"/>
      <c r="E217" s="553"/>
      <c r="F217" s="557" t="str">
        <f>IF(LEN(A217)&gt;2,LEFT(VLOOKUP(A217,COPY!$A$2:$AC$1000,29,FALSE),6),"")</f>
        <v/>
      </c>
      <c r="G217" s="558" t="str">
        <f>_xlfn.IFNA(IF(TEXT(F217,0)="Terima","",VLOOKUP(A217,COPY!$A$2:$AC$1000,29,FALSE)),"")</f>
        <v/>
      </c>
      <c r="H217" s="425"/>
      <c r="I217" s="559"/>
      <c r="J217" s="555"/>
      <c r="K217" s="608">
        <f>_xlfn.IFNA(IF(TEXT(F217,0)="Terima",0,VLOOKUP(A217,COPY!$A$2:$AC$1000,26,FALSE)),0)</f>
        <v>0</v>
      </c>
      <c r="L217" s="548">
        <f t="shared" si="19"/>
        <v>0</v>
      </c>
      <c r="M217" s="549">
        <f t="shared" si="20"/>
        <v>0</v>
      </c>
      <c r="O217" s="538" t="str">
        <f t="shared" si="21"/>
        <v/>
      </c>
      <c r="P217" s="550"/>
      <c r="Q217" s="551"/>
    </row>
    <row r="218" spans="1:17" s="253" customFormat="1" ht="20.100000000000001" hidden="1" customHeight="1" x14ac:dyDescent="0.25">
      <c r="A218" s="253" t="str">
        <f t="shared" si="22"/>
        <v/>
      </c>
      <c r="B218" s="609" t="str">
        <f>IF(LEFT(F218,1)="B",VLOOKUP(A218,COPY!$A$2:$AC$1000,4,FALSE),"")</f>
        <v/>
      </c>
      <c r="C218" s="586"/>
      <c r="D218" s="553"/>
      <c r="E218" s="553"/>
      <c r="F218" s="557" t="str">
        <f>IF(LEN(A218)&gt;2,LEFT(VLOOKUP(A218,COPY!$A$2:$AC$1000,29,FALSE),6),"")</f>
        <v/>
      </c>
      <c r="G218" s="558" t="str">
        <f>_xlfn.IFNA(IF(TEXT(F218,0)="Terima","",VLOOKUP(A218,COPY!$A$2:$AC$1000,29,FALSE)),"")</f>
        <v/>
      </c>
      <c r="H218" s="425"/>
      <c r="I218" s="559"/>
      <c r="J218" s="555"/>
      <c r="K218" s="608">
        <f>_xlfn.IFNA(IF(TEXT(F218,0)="Terima",0,VLOOKUP(A218,COPY!$A$2:$AC$1000,26,FALSE)),0)</f>
        <v>0</v>
      </c>
      <c r="L218" s="548">
        <f t="shared" si="19"/>
        <v>0</v>
      </c>
      <c r="M218" s="549">
        <f t="shared" si="20"/>
        <v>0</v>
      </c>
      <c r="O218" s="538" t="str">
        <f t="shared" si="21"/>
        <v/>
      </c>
      <c r="P218" s="550"/>
      <c r="Q218" s="551"/>
    </row>
    <row r="219" spans="1:17" s="253" customFormat="1" ht="20.100000000000001" hidden="1" customHeight="1" x14ac:dyDescent="0.25">
      <c r="A219" s="253" t="str">
        <f t="shared" si="22"/>
        <v/>
      </c>
      <c r="B219" s="609" t="str">
        <f>IF(LEFT(F219,1)="B",VLOOKUP(A219,COPY!$A$2:$AC$1000,4,FALSE),"")</f>
        <v/>
      </c>
      <c r="C219" s="586"/>
      <c r="D219" s="553"/>
      <c r="E219" s="553"/>
      <c r="F219" s="557" t="str">
        <f>IF(LEN(A219)&gt;2,LEFT(VLOOKUP(A219,COPY!$A$2:$AC$1000,29,FALSE),6),"")</f>
        <v/>
      </c>
      <c r="G219" s="558" t="str">
        <f>_xlfn.IFNA(IF(TEXT(F219,0)="Terima","",VLOOKUP(A219,COPY!$A$2:$AC$1000,29,FALSE)),"")</f>
        <v/>
      </c>
      <c r="H219" s="425"/>
      <c r="I219" s="559"/>
      <c r="J219" s="555"/>
      <c r="K219" s="608">
        <f>_xlfn.IFNA(IF(TEXT(F219,0)="Terima",0,VLOOKUP(A219,COPY!$A$2:$AC$1000,26,FALSE)),0)</f>
        <v>0</v>
      </c>
      <c r="L219" s="548">
        <f t="shared" si="19"/>
        <v>0</v>
      </c>
      <c r="M219" s="549">
        <f t="shared" si="20"/>
        <v>0</v>
      </c>
      <c r="O219" s="538" t="str">
        <f t="shared" si="21"/>
        <v/>
      </c>
      <c r="P219" s="550"/>
      <c r="Q219" s="551"/>
    </row>
    <row r="220" spans="1:17" s="253" customFormat="1" ht="20.100000000000001" hidden="1" customHeight="1" x14ac:dyDescent="0.25">
      <c r="A220" s="253" t="str">
        <f t="shared" si="22"/>
        <v/>
      </c>
      <c r="B220" s="609" t="str">
        <f>IF(LEFT(F220,1)="B",VLOOKUP(A220,COPY!$A$2:$AC$1000,4,FALSE),"")</f>
        <v/>
      </c>
      <c r="C220" s="586"/>
      <c r="D220" s="553"/>
      <c r="E220" s="553"/>
      <c r="F220" s="557" t="str">
        <f>IF(LEN(A220)&gt;2,LEFT(VLOOKUP(A220,COPY!$A$2:$AC$1000,29,FALSE),6),"")</f>
        <v/>
      </c>
      <c r="G220" s="558" t="str">
        <f>_xlfn.IFNA(IF(TEXT(F220,0)="Terima","",VLOOKUP(A220,COPY!$A$2:$AC$1000,29,FALSE)),"")</f>
        <v/>
      </c>
      <c r="H220" s="425"/>
      <c r="I220" s="559"/>
      <c r="J220" s="555"/>
      <c r="K220" s="608">
        <f>_xlfn.IFNA(IF(TEXT(F220,0)="Terima",0,VLOOKUP(A220,COPY!$A$2:$AC$1000,26,FALSE)),0)</f>
        <v>0</v>
      </c>
      <c r="L220" s="548">
        <f t="shared" si="19"/>
        <v>0</v>
      </c>
      <c r="M220" s="549">
        <f t="shared" si="20"/>
        <v>0</v>
      </c>
      <c r="O220" s="538" t="str">
        <f t="shared" si="21"/>
        <v/>
      </c>
      <c r="P220" s="550"/>
      <c r="Q220" s="551"/>
    </row>
    <row r="221" spans="1:17" s="253" customFormat="1" ht="20.100000000000001" hidden="1" customHeight="1" x14ac:dyDescent="0.25">
      <c r="A221" s="253" t="str">
        <f t="shared" si="22"/>
        <v/>
      </c>
      <c r="B221" s="609" t="str">
        <f>IF(LEFT(F221,1)="B",VLOOKUP(A221,COPY!$A$2:$AC$1000,4,FALSE),"")</f>
        <v/>
      </c>
      <c r="C221" s="586"/>
      <c r="D221" s="553"/>
      <c r="E221" s="553"/>
      <c r="F221" s="557" t="str">
        <f>IF(LEN(A221)&gt;2,LEFT(VLOOKUP(A221,COPY!$A$2:$AC$1000,29,FALSE),6),"")</f>
        <v/>
      </c>
      <c r="G221" s="558" t="str">
        <f>_xlfn.IFNA(IF(TEXT(F221,0)="Terima","",VLOOKUP(A221,COPY!$A$2:$AC$1000,29,FALSE)),"")</f>
        <v/>
      </c>
      <c r="H221" s="425"/>
      <c r="I221" s="559"/>
      <c r="J221" s="555"/>
      <c r="K221" s="608">
        <f>_xlfn.IFNA(IF(TEXT(F221,0)="Terima",0,VLOOKUP(A221,COPY!$A$2:$AC$1000,26,FALSE)),0)</f>
        <v>0</v>
      </c>
      <c r="L221" s="548">
        <f t="shared" si="19"/>
        <v>0</v>
      </c>
      <c r="M221" s="549">
        <f t="shared" si="20"/>
        <v>0</v>
      </c>
      <c r="O221" s="538" t="str">
        <f t="shared" si="21"/>
        <v/>
      </c>
      <c r="P221" s="550"/>
      <c r="Q221" s="551"/>
    </row>
    <row r="222" spans="1:17" s="253" customFormat="1" ht="20.100000000000001" hidden="1" customHeight="1" x14ac:dyDescent="0.25">
      <c r="A222" s="253" t="str">
        <f t="shared" si="22"/>
        <v/>
      </c>
      <c r="B222" s="609" t="str">
        <f>IF(LEFT(F222,1)="B",VLOOKUP(A222,COPY!$A$2:$AC$1000,4,FALSE),"")</f>
        <v/>
      </c>
      <c r="C222" s="586"/>
      <c r="D222" s="553"/>
      <c r="E222" s="553"/>
      <c r="F222" s="557" t="str">
        <f>IF(LEN(A222)&gt;2,LEFT(VLOOKUP(A222,COPY!$A$2:$AC$1000,29,FALSE),6),"")</f>
        <v/>
      </c>
      <c r="G222" s="558" t="str">
        <f>_xlfn.IFNA(IF(TEXT(F222,0)="Terima","",VLOOKUP(A222,COPY!$A$2:$AC$1000,29,FALSE)),"")</f>
        <v/>
      </c>
      <c r="H222" s="425"/>
      <c r="I222" s="559"/>
      <c r="J222" s="555"/>
      <c r="K222" s="608">
        <f>_xlfn.IFNA(IF(TEXT(F222,0)="Terima",0,VLOOKUP(A222,COPY!$A$2:$AC$1000,26,FALSE)),0)</f>
        <v>0</v>
      </c>
      <c r="L222" s="548">
        <f t="shared" si="19"/>
        <v>0</v>
      </c>
      <c r="M222" s="549">
        <f t="shared" si="20"/>
        <v>0</v>
      </c>
      <c r="O222" s="538" t="str">
        <f t="shared" si="21"/>
        <v/>
      </c>
      <c r="P222" s="550"/>
      <c r="Q222" s="551"/>
    </row>
    <row r="223" spans="1:17" s="253" customFormat="1" ht="20.100000000000001" hidden="1" customHeight="1" x14ac:dyDescent="0.25">
      <c r="A223" s="253" t="str">
        <f t="shared" si="22"/>
        <v/>
      </c>
      <c r="B223" s="609" t="str">
        <f>IF(LEFT(F223,1)="B",VLOOKUP(A223,COPY!$A$2:$AC$1000,4,FALSE),"")</f>
        <v/>
      </c>
      <c r="C223" s="586"/>
      <c r="D223" s="553"/>
      <c r="E223" s="553"/>
      <c r="F223" s="557" t="str">
        <f>IF(LEN(A223)&gt;2,LEFT(VLOOKUP(A223,COPY!$A$2:$AC$1000,29,FALSE),6),"")</f>
        <v/>
      </c>
      <c r="G223" s="558" t="str">
        <f>_xlfn.IFNA(IF(TEXT(F223,0)="Terima","",VLOOKUP(A223,COPY!$A$2:$AC$1000,29,FALSE)),"")</f>
        <v/>
      </c>
      <c r="H223" s="425"/>
      <c r="I223" s="559"/>
      <c r="J223" s="555"/>
      <c r="K223" s="608">
        <f>_xlfn.IFNA(IF(TEXT(F223,0)="Terima",0,VLOOKUP(A223,COPY!$A$2:$AC$1000,26,FALSE)),0)</f>
        <v>0</v>
      </c>
      <c r="L223" s="548">
        <f t="shared" si="19"/>
        <v>0</v>
      </c>
      <c r="M223" s="549">
        <f t="shared" si="20"/>
        <v>0</v>
      </c>
      <c r="O223" s="538" t="str">
        <f t="shared" si="21"/>
        <v/>
      </c>
      <c r="P223" s="550"/>
      <c r="Q223" s="551"/>
    </row>
    <row r="224" spans="1:17" s="253" customFormat="1" ht="20.100000000000001" hidden="1" customHeight="1" x14ac:dyDescent="0.25">
      <c r="A224" s="253" t="str">
        <f t="shared" si="22"/>
        <v/>
      </c>
      <c r="B224" s="609" t="str">
        <f>IF(LEFT(F224,1)="B",VLOOKUP(A224,COPY!$A$2:$AC$1000,4,FALSE),"")</f>
        <v/>
      </c>
      <c r="C224" s="586"/>
      <c r="D224" s="553"/>
      <c r="E224" s="553"/>
      <c r="F224" s="557" t="str">
        <f>IF(LEN(A224)&gt;2,LEFT(VLOOKUP(A224,COPY!$A$2:$AC$1000,29,FALSE),6),"")</f>
        <v/>
      </c>
      <c r="G224" s="558" t="str">
        <f>_xlfn.IFNA(IF(TEXT(F224,0)="Terima","",VLOOKUP(A224,COPY!$A$2:$AC$1000,29,FALSE)),"")</f>
        <v/>
      </c>
      <c r="H224" s="425"/>
      <c r="I224" s="559"/>
      <c r="J224" s="555"/>
      <c r="K224" s="608">
        <f>_xlfn.IFNA(IF(TEXT(F224,0)="Terima",0,VLOOKUP(A224,COPY!$A$2:$AC$1000,26,FALSE)),0)</f>
        <v>0</v>
      </c>
      <c r="L224" s="548">
        <f t="shared" si="19"/>
        <v>0</v>
      </c>
      <c r="M224" s="549">
        <f t="shared" si="20"/>
        <v>0</v>
      </c>
      <c r="O224" s="538" t="str">
        <f t="shared" si="21"/>
        <v/>
      </c>
      <c r="P224" s="550"/>
      <c r="Q224" s="551"/>
    </row>
    <row r="225" spans="1:17" s="253" customFormat="1" ht="20.100000000000001" hidden="1" customHeight="1" x14ac:dyDescent="0.25">
      <c r="A225" s="253" t="str">
        <f t="shared" si="22"/>
        <v/>
      </c>
      <c r="B225" s="609" t="str">
        <f>IF(LEFT(F225,1)="B",VLOOKUP(A225,COPY!$A$2:$AC$1000,4,FALSE),"")</f>
        <v/>
      </c>
      <c r="C225" s="586"/>
      <c r="D225" s="553"/>
      <c r="E225" s="553"/>
      <c r="F225" s="557" t="str">
        <f>IF(LEN(A225)&gt;2,LEFT(VLOOKUP(A225,COPY!$A$2:$AC$1000,29,FALSE),6),"")</f>
        <v/>
      </c>
      <c r="G225" s="558" t="str">
        <f>_xlfn.IFNA(IF(TEXT(F225,0)="Terima","",VLOOKUP(A225,COPY!$A$2:$AC$1000,29,FALSE)),"")</f>
        <v/>
      </c>
      <c r="H225" s="425"/>
      <c r="I225" s="559"/>
      <c r="J225" s="555"/>
      <c r="K225" s="608">
        <f>_xlfn.IFNA(IF(TEXT(F225,0)="Terima",0,VLOOKUP(A225,COPY!$A$2:$AC$1000,26,FALSE)),0)</f>
        <v>0</v>
      </c>
      <c r="L225" s="548">
        <f t="shared" si="19"/>
        <v>0</v>
      </c>
      <c r="M225" s="549">
        <f t="shared" si="20"/>
        <v>0</v>
      </c>
      <c r="O225" s="538" t="str">
        <f t="shared" si="21"/>
        <v/>
      </c>
      <c r="P225" s="550"/>
      <c r="Q225" s="551"/>
    </row>
    <row r="226" spans="1:17" s="253" customFormat="1" ht="20.100000000000001" hidden="1" customHeight="1" x14ac:dyDescent="0.25">
      <c r="A226" s="253" t="str">
        <f t="shared" si="22"/>
        <v/>
      </c>
      <c r="B226" s="609" t="str">
        <f>IF(LEFT(F226,1)="B",VLOOKUP(A226,COPY!$A$2:$AC$1000,4,FALSE),"")</f>
        <v/>
      </c>
      <c r="C226" s="586"/>
      <c r="D226" s="553"/>
      <c r="E226" s="553"/>
      <c r="F226" s="557" t="str">
        <f>IF(LEN(A226)&gt;2,LEFT(VLOOKUP(A226,COPY!$A$2:$AC$1000,29,FALSE),6),"")</f>
        <v/>
      </c>
      <c r="G226" s="558" t="str">
        <f>_xlfn.IFNA(IF(TEXT(F226,0)="Terima","",VLOOKUP(A226,COPY!$A$2:$AC$1000,29,FALSE)),"")</f>
        <v/>
      </c>
      <c r="H226" s="425"/>
      <c r="I226" s="559"/>
      <c r="J226" s="555"/>
      <c r="K226" s="608">
        <f>_xlfn.IFNA(IF(TEXT(F226,0)="Terima",0,VLOOKUP(A226,COPY!$A$2:$AC$1000,26,FALSE)),0)</f>
        <v>0</v>
      </c>
      <c r="L226" s="548">
        <f t="shared" si="19"/>
        <v>0</v>
      </c>
      <c r="M226" s="549">
        <f t="shared" si="20"/>
        <v>0</v>
      </c>
      <c r="O226" s="538" t="str">
        <f t="shared" si="21"/>
        <v/>
      </c>
      <c r="P226" s="550"/>
      <c r="Q226" s="551"/>
    </row>
    <row r="227" spans="1:17" s="253" customFormat="1" ht="20.100000000000001" hidden="1" customHeight="1" x14ac:dyDescent="0.25">
      <c r="A227" s="253" t="str">
        <f t="shared" si="22"/>
        <v/>
      </c>
      <c r="B227" s="609" t="str">
        <f>IF(LEFT(F227,1)="B",VLOOKUP(A227,COPY!$A$2:$AC$1000,4,FALSE),"")</f>
        <v/>
      </c>
      <c r="C227" s="586"/>
      <c r="D227" s="553"/>
      <c r="E227" s="553"/>
      <c r="F227" s="557" t="str">
        <f>IF(LEN(A227)&gt;2,LEFT(VLOOKUP(A227,COPY!$A$2:$AC$1000,29,FALSE),6),"")</f>
        <v/>
      </c>
      <c r="G227" s="558" t="str">
        <f>_xlfn.IFNA(IF(TEXT(F227,0)="Terima","",VLOOKUP(A227,COPY!$A$2:$AC$1000,29,FALSE)),"")</f>
        <v/>
      </c>
      <c r="H227" s="425"/>
      <c r="I227" s="559"/>
      <c r="J227" s="555"/>
      <c r="K227" s="608">
        <f>_xlfn.IFNA(IF(TEXT(F227,0)="Terima",0,VLOOKUP(A227,COPY!$A$2:$AC$1000,26,FALSE)),0)</f>
        <v>0</v>
      </c>
      <c r="L227" s="548">
        <f t="shared" si="19"/>
        <v>0</v>
      </c>
      <c r="M227" s="549">
        <f t="shared" si="20"/>
        <v>0</v>
      </c>
      <c r="O227" s="538" t="str">
        <f t="shared" si="21"/>
        <v/>
      </c>
      <c r="P227" s="550"/>
      <c r="Q227" s="551"/>
    </row>
    <row r="228" spans="1:17" s="253" customFormat="1" ht="20.100000000000001" hidden="1" customHeight="1" x14ac:dyDescent="0.25">
      <c r="A228" s="253" t="str">
        <f t="shared" si="22"/>
        <v/>
      </c>
      <c r="B228" s="609" t="str">
        <f>IF(LEFT(F228,1)="B",VLOOKUP(A228,COPY!$A$2:$AC$1000,4,FALSE),"")</f>
        <v/>
      </c>
      <c r="C228" s="586"/>
      <c r="D228" s="553"/>
      <c r="E228" s="553"/>
      <c r="F228" s="557" t="str">
        <f>IF(LEN(A228)&gt;2,LEFT(VLOOKUP(A228,COPY!$A$2:$AC$1000,29,FALSE),6),"")</f>
        <v/>
      </c>
      <c r="G228" s="558" t="str">
        <f>_xlfn.IFNA(IF(TEXT(F228,0)="Terima","",VLOOKUP(A228,COPY!$A$2:$AC$1000,29,FALSE)),"")</f>
        <v/>
      </c>
      <c r="H228" s="425"/>
      <c r="I228" s="559"/>
      <c r="J228" s="555"/>
      <c r="K228" s="608">
        <f>_xlfn.IFNA(IF(TEXT(F228,0)="Terima",0,VLOOKUP(A228,COPY!$A$2:$AC$1000,26,FALSE)),0)</f>
        <v>0</v>
      </c>
      <c r="L228" s="548">
        <f t="shared" si="19"/>
        <v>0</v>
      </c>
      <c r="M228" s="549">
        <f t="shared" si="20"/>
        <v>0</v>
      </c>
      <c r="O228" s="538" t="str">
        <f t="shared" si="21"/>
        <v/>
      </c>
      <c r="P228" s="550"/>
      <c r="Q228" s="551"/>
    </row>
    <row r="229" spans="1:17" s="253" customFormat="1" ht="20.100000000000001" hidden="1" customHeight="1" x14ac:dyDescent="0.25">
      <c r="A229" s="253" t="str">
        <f t="shared" si="22"/>
        <v/>
      </c>
      <c r="B229" s="609" t="str">
        <f>IF(LEFT(F229,1)="B",VLOOKUP(A229,COPY!$A$2:$AC$1000,4,FALSE),"")</f>
        <v/>
      </c>
      <c r="C229" s="586"/>
      <c r="D229" s="553"/>
      <c r="E229" s="553"/>
      <c r="F229" s="557" t="str">
        <f>IF(LEN(A229)&gt;2,LEFT(VLOOKUP(A229,COPY!$A$2:$AC$1000,29,FALSE),6),"")</f>
        <v/>
      </c>
      <c r="G229" s="558" t="str">
        <f>_xlfn.IFNA(IF(TEXT(F229,0)="Terima","",VLOOKUP(A229,COPY!$A$2:$AC$1000,29,FALSE)),"")</f>
        <v/>
      </c>
      <c r="H229" s="425"/>
      <c r="I229" s="559"/>
      <c r="J229" s="555"/>
      <c r="K229" s="608">
        <f>_xlfn.IFNA(IF(TEXT(F229,0)="Terima",0,VLOOKUP(A229,COPY!$A$2:$AC$1000,26,FALSE)),0)</f>
        <v>0</v>
      </c>
      <c r="L229" s="548">
        <f t="shared" si="19"/>
        <v>0</v>
      </c>
      <c r="M229" s="549">
        <f t="shared" si="20"/>
        <v>0</v>
      </c>
      <c r="O229" s="538" t="str">
        <f t="shared" si="21"/>
        <v/>
      </c>
      <c r="P229" s="550"/>
      <c r="Q229" s="551"/>
    </row>
    <row r="230" spans="1:17" s="253" customFormat="1" ht="20.100000000000001" hidden="1" customHeight="1" x14ac:dyDescent="0.25">
      <c r="A230" s="253" t="str">
        <f t="shared" si="22"/>
        <v/>
      </c>
      <c r="B230" s="609" t="str">
        <f>IF(LEFT(F230,1)="B",VLOOKUP(A230,COPY!$A$2:$AC$1000,4,FALSE),"")</f>
        <v/>
      </c>
      <c r="C230" s="586"/>
      <c r="D230" s="553"/>
      <c r="E230" s="553"/>
      <c r="F230" s="557" t="str">
        <f>IF(LEN(A230)&gt;2,LEFT(VLOOKUP(A230,COPY!$A$2:$AC$1000,29,FALSE),6),"")</f>
        <v/>
      </c>
      <c r="G230" s="558" t="str">
        <f>_xlfn.IFNA(IF(TEXT(F230,0)="Terima","",VLOOKUP(A230,COPY!$A$2:$AC$1000,29,FALSE)),"")</f>
        <v/>
      </c>
      <c r="H230" s="425"/>
      <c r="I230" s="559"/>
      <c r="J230" s="555"/>
      <c r="K230" s="608">
        <f>_xlfn.IFNA(IF(TEXT(F230,0)="Terima",0,VLOOKUP(A230,COPY!$A$2:$AC$1000,26,FALSE)),0)</f>
        <v>0</v>
      </c>
      <c r="L230" s="548">
        <f t="shared" si="19"/>
        <v>0</v>
      </c>
      <c r="M230" s="549">
        <f t="shared" si="20"/>
        <v>0</v>
      </c>
      <c r="O230" s="538" t="str">
        <f t="shared" si="21"/>
        <v/>
      </c>
      <c r="P230" s="550"/>
      <c r="Q230" s="551"/>
    </row>
    <row r="231" spans="1:17" s="253" customFormat="1" ht="20.100000000000001" hidden="1" customHeight="1" x14ac:dyDescent="0.25">
      <c r="A231" s="253" t="str">
        <f t="shared" si="22"/>
        <v/>
      </c>
      <c r="B231" s="609" t="str">
        <f>IF(LEFT(F231,1)="B",VLOOKUP(A231,COPY!$A$2:$AC$1000,4,FALSE),"")</f>
        <v/>
      </c>
      <c r="C231" s="586"/>
      <c r="D231" s="553"/>
      <c r="E231" s="553"/>
      <c r="F231" s="557" t="str">
        <f>IF(LEN(A231)&gt;2,LEFT(VLOOKUP(A231,COPY!$A$2:$AC$1000,29,FALSE),6),"")</f>
        <v/>
      </c>
      <c r="G231" s="558" t="str">
        <f>_xlfn.IFNA(IF(TEXT(F231,0)="Terima","",VLOOKUP(A231,COPY!$A$2:$AC$1000,29,FALSE)),"")</f>
        <v/>
      </c>
      <c r="H231" s="425"/>
      <c r="I231" s="559"/>
      <c r="J231" s="555"/>
      <c r="K231" s="608">
        <f>_xlfn.IFNA(IF(TEXT(F231,0)="Terima",0,VLOOKUP(A231,COPY!$A$2:$AC$1000,26,FALSE)),0)</f>
        <v>0</v>
      </c>
      <c r="L231" s="548">
        <f t="shared" si="19"/>
        <v>0</v>
      </c>
      <c r="M231" s="549">
        <f t="shared" si="20"/>
        <v>0</v>
      </c>
      <c r="O231" s="538" t="str">
        <f t="shared" si="21"/>
        <v/>
      </c>
      <c r="P231" s="550"/>
      <c r="Q231" s="551"/>
    </row>
    <row r="232" spans="1:17" s="253" customFormat="1" ht="20.100000000000001" hidden="1" customHeight="1" x14ac:dyDescent="0.25">
      <c r="A232" s="253" t="str">
        <f t="shared" si="22"/>
        <v/>
      </c>
      <c r="B232" s="609" t="str">
        <f>IF(LEFT(F232,1)="B",VLOOKUP(A232,COPY!$A$2:$AC$1000,4,FALSE),"")</f>
        <v/>
      </c>
      <c r="C232" s="586"/>
      <c r="D232" s="553"/>
      <c r="E232" s="553"/>
      <c r="F232" s="557" t="str">
        <f>IF(LEN(A232)&gt;2,LEFT(VLOOKUP(A232,COPY!$A$2:$AC$1000,29,FALSE),6),"")</f>
        <v/>
      </c>
      <c r="G232" s="558" t="str">
        <f>_xlfn.IFNA(IF(TEXT(F232,0)="Terima","",VLOOKUP(A232,COPY!$A$2:$AC$1000,29,FALSE)),"")</f>
        <v/>
      </c>
      <c r="H232" s="425"/>
      <c r="I232" s="559"/>
      <c r="J232" s="555"/>
      <c r="K232" s="608">
        <f>_xlfn.IFNA(IF(TEXT(F232,0)="Terima",0,VLOOKUP(A232,COPY!$A$2:$AC$1000,26,FALSE)),0)</f>
        <v>0</v>
      </c>
      <c r="L232" s="548">
        <f t="shared" si="19"/>
        <v>0</v>
      </c>
      <c r="M232" s="549">
        <f t="shared" si="20"/>
        <v>0</v>
      </c>
      <c r="O232" s="538" t="str">
        <f t="shared" si="21"/>
        <v/>
      </c>
      <c r="P232" s="550"/>
      <c r="Q232" s="551"/>
    </row>
    <row r="233" spans="1:17" s="253" customFormat="1" ht="20.100000000000001" hidden="1" customHeight="1" x14ac:dyDescent="0.25">
      <c r="A233" s="253" t="str">
        <f t="shared" si="22"/>
        <v/>
      </c>
      <c r="B233" s="609" t="str">
        <f>IF(LEFT(F233,1)="B",VLOOKUP(A233,COPY!$A$2:$AC$1000,4,FALSE),"")</f>
        <v/>
      </c>
      <c r="C233" s="586"/>
      <c r="D233" s="553"/>
      <c r="E233" s="553"/>
      <c r="F233" s="557" t="str">
        <f>IF(LEN(A233)&gt;2,LEFT(VLOOKUP(A233,COPY!$A$2:$AC$1000,29,FALSE),6),"")</f>
        <v/>
      </c>
      <c r="G233" s="558" t="str">
        <f>_xlfn.IFNA(IF(TEXT(F233,0)="Terima","",VLOOKUP(A233,COPY!$A$2:$AC$1000,29,FALSE)),"")</f>
        <v/>
      </c>
      <c r="H233" s="425"/>
      <c r="I233" s="559"/>
      <c r="J233" s="555"/>
      <c r="K233" s="608">
        <f>_xlfn.IFNA(IF(TEXT(F233,0)="Terima",0,VLOOKUP(A233,COPY!$A$2:$AC$1000,26,FALSE)),0)</f>
        <v>0</v>
      </c>
      <c r="L233" s="548">
        <f t="shared" si="19"/>
        <v>0</v>
      </c>
      <c r="M233" s="549">
        <f t="shared" si="20"/>
        <v>0</v>
      </c>
      <c r="O233" s="538" t="str">
        <f t="shared" si="21"/>
        <v/>
      </c>
      <c r="P233" s="550"/>
      <c r="Q233" s="551"/>
    </row>
    <row r="234" spans="1:17" s="253" customFormat="1" ht="20.100000000000001" hidden="1" customHeight="1" x14ac:dyDescent="0.25">
      <c r="A234" s="253" t="str">
        <f t="shared" si="22"/>
        <v/>
      </c>
      <c r="B234" s="609" t="str">
        <f>IF(LEFT(F234,1)="B",VLOOKUP(A234,COPY!$A$2:$AC$1000,4,FALSE),"")</f>
        <v/>
      </c>
      <c r="C234" s="586"/>
      <c r="D234" s="553"/>
      <c r="E234" s="553"/>
      <c r="F234" s="557" t="str">
        <f>IF(LEN(A234)&gt;2,LEFT(VLOOKUP(A234,COPY!$A$2:$AC$1000,29,FALSE),6),"")</f>
        <v/>
      </c>
      <c r="G234" s="558" t="str">
        <f>_xlfn.IFNA(IF(TEXT(F234,0)="Terima","",VLOOKUP(A234,COPY!$A$2:$AC$1000,29,FALSE)),"")</f>
        <v/>
      </c>
      <c r="H234" s="425"/>
      <c r="I234" s="559"/>
      <c r="J234" s="555"/>
      <c r="K234" s="608">
        <f>_xlfn.IFNA(IF(TEXT(F234,0)="Terima",0,VLOOKUP(A234,COPY!$A$2:$AC$1000,26,FALSE)),0)</f>
        <v>0</v>
      </c>
      <c r="L234" s="548">
        <f t="shared" ref="L234:L297" si="23">IF(K234&gt;0,IF(O234&gt;=0,O234,IF(O234&lt;0,0,0)),0)</f>
        <v>0</v>
      </c>
      <c r="M234" s="549">
        <f t="shared" ref="M234:M297" si="24">IF(O234&lt;0,O234,IF(O234&gt;=0,0,0))</f>
        <v>0</v>
      </c>
      <c r="O234" s="538" t="str">
        <f t="shared" ref="O234:O297" si="25">IF(J234&gt;0,O233+J234,IF(K234&gt;0,O233-K234,O233))</f>
        <v/>
      </c>
      <c r="P234" s="550"/>
      <c r="Q234" s="551"/>
    </row>
    <row r="235" spans="1:17" s="253" customFormat="1" ht="20.100000000000001" hidden="1" customHeight="1" x14ac:dyDescent="0.25">
      <c r="A235" s="253" t="str">
        <f t="shared" ref="A235:A298" si="26">A80</f>
        <v/>
      </c>
      <c r="B235" s="609" t="str">
        <f>IF(LEFT(F235,1)="B",VLOOKUP(A235,COPY!$A$2:$AC$1000,4,FALSE),"")</f>
        <v/>
      </c>
      <c r="C235" s="586"/>
      <c r="D235" s="553"/>
      <c r="E235" s="553"/>
      <c r="F235" s="557" t="str">
        <f>IF(LEN(A235)&gt;2,LEFT(VLOOKUP(A235,COPY!$A$2:$AC$1000,29,FALSE),6),"")</f>
        <v/>
      </c>
      <c r="G235" s="558" t="str">
        <f>_xlfn.IFNA(IF(TEXT(F235,0)="Terima","",VLOOKUP(A235,COPY!$A$2:$AC$1000,29,FALSE)),"")</f>
        <v/>
      </c>
      <c r="H235" s="425"/>
      <c r="I235" s="559"/>
      <c r="J235" s="555"/>
      <c r="K235" s="608">
        <f>_xlfn.IFNA(IF(TEXT(F235,0)="Terima",0,VLOOKUP(A235,COPY!$A$2:$AC$1000,26,FALSE)),0)</f>
        <v>0</v>
      </c>
      <c r="L235" s="548">
        <f t="shared" si="23"/>
        <v>0</v>
      </c>
      <c r="M235" s="549">
        <f t="shared" si="24"/>
        <v>0</v>
      </c>
      <c r="O235" s="538" t="str">
        <f t="shared" si="25"/>
        <v/>
      </c>
      <c r="P235" s="550"/>
      <c r="Q235" s="551"/>
    </row>
    <row r="236" spans="1:17" s="253" customFormat="1" ht="20.100000000000001" hidden="1" customHeight="1" x14ac:dyDescent="0.25">
      <c r="A236" s="253" t="str">
        <f t="shared" si="26"/>
        <v/>
      </c>
      <c r="B236" s="609" t="str">
        <f>IF(LEFT(F236,1)="B",VLOOKUP(A236,COPY!$A$2:$AC$1000,4,FALSE),"")</f>
        <v/>
      </c>
      <c r="C236" s="586"/>
      <c r="D236" s="553"/>
      <c r="E236" s="553"/>
      <c r="F236" s="557" t="str">
        <f>IF(LEN(A236)&gt;2,LEFT(VLOOKUP(A236,COPY!$A$2:$AC$1000,29,FALSE),6),"")</f>
        <v/>
      </c>
      <c r="G236" s="558" t="str">
        <f>_xlfn.IFNA(IF(TEXT(F236,0)="Terima","",VLOOKUP(A236,COPY!$A$2:$AC$1000,29,FALSE)),"")</f>
        <v/>
      </c>
      <c r="H236" s="425"/>
      <c r="I236" s="559"/>
      <c r="J236" s="555"/>
      <c r="K236" s="608">
        <f>_xlfn.IFNA(IF(TEXT(F236,0)="Terima",0,VLOOKUP(A236,COPY!$A$2:$AC$1000,26,FALSE)),0)</f>
        <v>0</v>
      </c>
      <c r="L236" s="548">
        <f t="shared" si="23"/>
        <v>0</v>
      </c>
      <c r="M236" s="549">
        <f t="shared" si="24"/>
        <v>0</v>
      </c>
      <c r="O236" s="538" t="str">
        <f t="shared" si="25"/>
        <v/>
      </c>
      <c r="P236" s="550"/>
      <c r="Q236" s="551"/>
    </row>
    <row r="237" spans="1:17" s="253" customFormat="1" ht="20.100000000000001" hidden="1" customHeight="1" x14ac:dyDescent="0.25">
      <c r="A237" s="253" t="str">
        <f t="shared" si="26"/>
        <v/>
      </c>
      <c r="B237" s="609" t="str">
        <f>IF(LEFT(F237,1)="B",VLOOKUP(A237,COPY!$A$2:$AC$1000,4,FALSE),"")</f>
        <v/>
      </c>
      <c r="C237" s="586"/>
      <c r="D237" s="553"/>
      <c r="E237" s="553"/>
      <c r="F237" s="557" t="str">
        <f>IF(LEN(A237)&gt;2,LEFT(VLOOKUP(A237,COPY!$A$2:$AC$1000,29,FALSE),6),"")</f>
        <v/>
      </c>
      <c r="G237" s="558" t="str">
        <f>_xlfn.IFNA(IF(TEXT(F237,0)="Terima","",VLOOKUP(A237,COPY!$A$2:$AC$1000,29,FALSE)),"")</f>
        <v/>
      </c>
      <c r="H237" s="425"/>
      <c r="I237" s="559"/>
      <c r="J237" s="555"/>
      <c r="K237" s="608">
        <f>_xlfn.IFNA(IF(TEXT(F237,0)="Terima",0,VLOOKUP(A237,COPY!$A$2:$AC$1000,26,FALSE)),0)</f>
        <v>0</v>
      </c>
      <c r="L237" s="548">
        <f t="shared" si="23"/>
        <v>0</v>
      </c>
      <c r="M237" s="549">
        <f t="shared" si="24"/>
        <v>0</v>
      </c>
      <c r="O237" s="538" t="str">
        <f t="shared" si="25"/>
        <v/>
      </c>
      <c r="P237" s="550"/>
      <c r="Q237" s="551"/>
    </row>
    <row r="238" spans="1:17" s="253" customFormat="1" ht="20.100000000000001" hidden="1" customHeight="1" x14ac:dyDescent="0.25">
      <c r="A238" s="253" t="str">
        <f t="shared" si="26"/>
        <v/>
      </c>
      <c r="B238" s="609" t="str">
        <f>IF(LEFT(F238,1)="B",VLOOKUP(A238,COPY!$A$2:$AC$1000,4,FALSE),"")</f>
        <v/>
      </c>
      <c r="C238" s="586"/>
      <c r="D238" s="553"/>
      <c r="E238" s="553"/>
      <c r="F238" s="557" t="str">
        <f>IF(LEN(A238)&gt;2,LEFT(VLOOKUP(A238,COPY!$A$2:$AC$1000,29,FALSE),6),"")</f>
        <v/>
      </c>
      <c r="G238" s="558" t="str">
        <f>_xlfn.IFNA(IF(TEXT(F238,0)="Terima","",VLOOKUP(A238,COPY!$A$2:$AC$1000,29,FALSE)),"")</f>
        <v/>
      </c>
      <c r="H238" s="425"/>
      <c r="I238" s="559"/>
      <c r="J238" s="555"/>
      <c r="K238" s="608">
        <f>_xlfn.IFNA(IF(TEXT(F238,0)="Terima",0,VLOOKUP(A238,COPY!$A$2:$AC$1000,26,FALSE)),0)</f>
        <v>0</v>
      </c>
      <c r="L238" s="548">
        <f t="shared" si="23"/>
        <v>0</v>
      </c>
      <c r="M238" s="549">
        <f t="shared" si="24"/>
        <v>0</v>
      </c>
      <c r="O238" s="538" t="str">
        <f t="shared" si="25"/>
        <v/>
      </c>
      <c r="P238" s="550"/>
      <c r="Q238" s="551"/>
    </row>
    <row r="239" spans="1:17" s="253" customFormat="1" ht="20.100000000000001" hidden="1" customHeight="1" x14ac:dyDescent="0.25">
      <c r="A239" s="253" t="str">
        <f t="shared" si="26"/>
        <v/>
      </c>
      <c r="B239" s="609" t="str">
        <f>IF(LEFT(F239,1)="B",VLOOKUP(A239,COPY!$A$2:$AC$1000,4,FALSE),"")</f>
        <v/>
      </c>
      <c r="C239" s="586"/>
      <c r="D239" s="553"/>
      <c r="E239" s="553"/>
      <c r="F239" s="557" t="str">
        <f>IF(LEN(A239)&gt;2,LEFT(VLOOKUP(A239,COPY!$A$2:$AC$1000,29,FALSE),6),"")</f>
        <v/>
      </c>
      <c r="G239" s="558" t="str">
        <f>_xlfn.IFNA(IF(TEXT(F239,0)="Terima","",VLOOKUP(A239,COPY!$A$2:$AC$1000,29,FALSE)),"")</f>
        <v/>
      </c>
      <c r="H239" s="425"/>
      <c r="I239" s="559"/>
      <c r="J239" s="555"/>
      <c r="K239" s="608">
        <f>_xlfn.IFNA(IF(TEXT(F239,0)="Terima",0,VLOOKUP(A239,COPY!$A$2:$AC$1000,26,FALSE)),0)</f>
        <v>0</v>
      </c>
      <c r="L239" s="548">
        <f t="shared" si="23"/>
        <v>0</v>
      </c>
      <c r="M239" s="549">
        <f t="shared" si="24"/>
        <v>0</v>
      </c>
      <c r="O239" s="538" t="str">
        <f t="shared" si="25"/>
        <v/>
      </c>
      <c r="P239" s="550"/>
      <c r="Q239" s="551"/>
    </row>
    <row r="240" spans="1:17" s="253" customFormat="1" ht="20.100000000000001" hidden="1" customHeight="1" x14ac:dyDescent="0.25">
      <c r="A240" s="253" t="str">
        <f t="shared" si="26"/>
        <v/>
      </c>
      <c r="B240" s="609" t="str">
        <f>IF(LEFT(F240,1)="B",VLOOKUP(A240,COPY!$A$2:$AC$1000,4,FALSE),"")</f>
        <v/>
      </c>
      <c r="C240" s="586"/>
      <c r="D240" s="553"/>
      <c r="E240" s="553"/>
      <c r="F240" s="557" t="str">
        <f>IF(LEN(A240)&gt;2,LEFT(VLOOKUP(A240,COPY!$A$2:$AC$1000,29,FALSE),6),"")</f>
        <v/>
      </c>
      <c r="G240" s="558" t="str">
        <f>_xlfn.IFNA(IF(TEXT(F240,0)="Terima","",VLOOKUP(A240,COPY!$A$2:$AC$1000,29,FALSE)),"")</f>
        <v/>
      </c>
      <c r="H240" s="425"/>
      <c r="I240" s="559"/>
      <c r="J240" s="555"/>
      <c r="K240" s="608">
        <f>_xlfn.IFNA(IF(TEXT(F240,0)="Terima",0,VLOOKUP(A240,COPY!$A$2:$AC$1000,26,FALSE)),0)</f>
        <v>0</v>
      </c>
      <c r="L240" s="548">
        <f t="shared" si="23"/>
        <v>0</v>
      </c>
      <c r="M240" s="549">
        <f t="shared" si="24"/>
        <v>0</v>
      </c>
      <c r="O240" s="538" t="str">
        <f t="shared" si="25"/>
        <v/>
      </c>
      <c r="P240" s="550"/>
      <c r="Q240" s="551"/>
    </row>
    <row r="241" spans="1:17" s="253" customFormat="1" ht="20.100000000000001" hidden="1" customHeight="1" x14ac:dyDescent="0.25">
      <c r="A241" s="253" t="str">
        <f t="shared" si="26"/>
        <v/>
      </c>
      <c r="B241" s="609" t="str">
        <f>IF(LEFT(F241,1)="B",VLOOKUP(A241,COPY!$A$2:$AC$1000,4,FALSE),"")</f>
        <v/>
      </c>
      <c r="C241" s="586"/>
      <c r="D241" s="553"/>
      <c r="E241" s="553"/>
      <c r="F241" s="557" t="str">
        <f>IF(LEN(A241)&gt;2,LEFT(VLOOKUP(A241,COPY!$A$2:$AC$1000,29,FALSE),6),"")</f>
        <v/>
      </c>
      <c r="G241" s="558" t="str">
        <f>_xlfn.IFNA(IF(TEXT(F241,0)="Terima","",VLOOKUP(A241,COPY!$A$2:$AC$1000,29,FALSE)),"")</f>
        <v/>
      </c>
      <c r="H241" s="425"/>
      <c r="I241" s="559"/>
      <c r="J241" s="555"/>
      <c r="K241" s="608">
        <f>_xlfn.IFNA(IF(TEXT(F241,0)="Terima",0,VLOOKUP(A241,COPY!$A$2:$AC$1000,26,FALSE)),0)</f>
        <v>0</v>
      </c>
      <c r="L241" s="548">
        <f t="shared" si="23"/>
        <v>0</v>
      </c>
      <c r="M241" s="549">
        <f t="shared" si="24"/>
        <v>0</v>
      </c>
      <c r="O241" s="538" t="str">
        <f t="shared" si="25"/>
        <v/>
      </c>
      <c r="P241" s="550"/>
      <c r="Q241" s="551"/>
    </row>
    <row r="242" spans="1:17" s="253" customFormat="1" ht="20.100000000000001" hidden="1" customHeight="1" x14ac:dyDescent="0.25">
      <c r="A242" s="253" t="str">
        <f t="shared" si="26"/>
        <v/>
      </c>
      <c r="B242" s="609" t="str">
        <f>IF(LEFT(F242,1)="B",VLOOKUP(A242,COPY!$A$2:$AC$1000,4,FALSE),"")</f>
        <v/>
      </c>
      <c r="C242" s="586"/>
      <c r="D242" s="553"/>
      <c r="E242" s="553"/>
      <c r="F242" s="557" t="str">
        <f>IF(LEN(A242)&gt;2,LEFT(VLOOKUP(A242,COPY!$A$2:$AC$1000,29,FALSE),6),"")</f>
        <v/>
      </c>
      <c r="G242" s="558" t="str">
        <f>_xlfn.IFNA(IF(TEXT(F242,0)="Terima","",VLOOKUP(A242,COPY!$A$2:$AC$1000,29,FALSE)),"")</f>
        <v/>
      </c>
      <c r="H242" s="425"/>
      <c r="I242" s="559"/>
      <c r="J242" s="555"/>
      <c r="K242" s="608">
        <f>_xlfn.IFNA(IF(TEXT(F242,0)="Terima",0,VLOOKUP(A242,COPY!$A$2:$AC$1000,26,FALSE)),0)</f>
        <v>0</v>
      </c>
      <c r="L242" s="548">
        <f t="shared" si="23"/>
        <v>0</v>
      </c>
      <c r="M242" s="549">
        <f t="shared" si="24"/>
        <v>0</v>
      </c>
      <c r="O242" s="538" t="str">
        <f t="shared" si="25"/>
        <v/>
      </c>
      <c r="P242" s="550"/>
      <c r="Q242" s="551"/>
    </row>
    <row r="243" spans="1:17" s="253" customFormat="1" ht="20.100000000000001" hidden="1" customHeight="1" x14ac:dyDescent="0.25">
      <c r="A243" s="253" t="str">
        <f t="shared" si="26"/>
        <v/>
      </c>
      <c r="B243" s="609" t="str">
        <f>IF(LEFT(F243,1)="B",VLOOKUP(A243,COPY!$A$2:$AC$1000,4,FALSE),"")</f>
        <v/>
      </c>
      <c r="C243" s="586"/>
      <c r="D243" s="553"/>
      <c r="E243" s="553"/>
      <c r="F243" s="557" t="str">
        <f>IF(LEN(A243)&gt;2,LEFT(VLOOKUP(A243,COPY!$A$2:$AC$1000,29,FALSE),6),"")</f>
        <v/>
      </c>
      <c r="G243" s="558" t="str">
        <f>_xlfn.IFNA(IF(TEXT(F243,0)="Terima","",VLOOKUP(A243,COPY!$A$2:$AC$1000,29,FALSE)),"")</f>
        <v/>
      </c>
      <c r="H243" s="425"/>
      <c r="I243" s="559"/>
      <c r="J243" s="555"/>
      <c r="K243" s="608">
        <f>_xlfn.IFNA(IF(TEXT(F243,0)="Terima",0,VLOOKUP(A243,COPY!$A$2:$AC$1000,26,FALSE)),0)</f>
        <v>0</v>
      </c>
      <c r="L243" s="548">
        <f t="shared" si="23"/>
        <v>0</v>
      </c>
      <c r="M243" s="549">
        <f t="shared" si="24"/>
        <v>0</v>
      </c>
      <c r="O243" s="538" t="str">
        <f t="shared" si="25"/>
        <v/>
      </c>
      <c r="P243" s="550"/>
      <c r="Q243" s="551"/>
    </row>
    <row r="244" spans="1:17" s="253" customFormat="1" ht="20.100000000000001" hidden="1" customHeight="1" x14ac:dyDescent="0.25">
      <c r="A244" s="253" t="str">
        <f t="shared" si="26"/>
        <v/>
      </c>
      <c r="B244" s="609" t="str">
        <f>IF(LEFT(F244,1)="B",VLOOKUP(A244,COPY!$A$2:$AC$1000,4,FALSE),"")</f>
        <v/>
      </c>
      <c r="C244" s="586"/>
      <c r="D244" s="553"/>
      <c r="E244" s="553"/>
      <c r="F244" s="557" t="str">
        <f>IF(LEN(A244)&gt;2,LEFT(VLOOKUP(A244,COPY!$A$2:$AC$1000,29,FALSE),6),"")</f>
        <v/>
      </c>
      <c r="G244" s="558" t="str">
        <f>_xlfn.IFNA(IF(TEXT(F244,0)="Terima","",VLOOKUP(A244,COPY!$A$2:$AC$1000,29,FALSE)),"")</f>
        <v/>
      </c>
      <c r="H244" s="425"/>
      <c r="I244" s="559"/>
      <c r="J244" s="555"/>
      <c r="K244" s="608">
        <f>_xlfn.IFNA(IF(TEXT(F244,0)="Terima",0,VLOOKUP(A244,COPY!$A$2:$AC$1000,26,FALSE)),0)</f>
        <v>0</v>
      </c>
      <c r="L244" s="548">
        <f t="shared" si="23"/>
        <v>0</v>
      </c>
      <c r="M244" s="549">
        <f t="shared" si="24"/>
        <v>0</v>
      </c>
      <c r="O244" s="538" t="str">
        <f t="shared" si="25"/>
        <v/>
      </c>
      <c r="P244" s="550"/>
      <c r="Q244" s="551"/>
    </row>
    <row r="245" spans="1:17" s="253" customFormat="1" ht="20.100000000000001" hidden="1" customHeight="1" x14ac:dyDescent="0.25">
      <c r="A245" s="253" t="str">
        <f t="shared" si="26"/>
        <v/>
      </c>
      <c r="B245" s="609" t="str">
        <f>IF(LEFT(F245,1)="B",VLOOKUP(A245,COPY!$A$2:$AC$1000,4,FALSE),"")</f>
        <v/>
      </c>
      <c r="C245" s="586"/>
      <c r="D245" s="553"/>
      <c r="E245" s="553"/>
      <c r="F245" s="557" t="str">
        <f>IF(LEN(A245)&gt;2,LEFT(VLOOKUP(A245,COPY!$A$2:$AC$1000,29,FALSE),6),"")</f>
        <v/>
      </c>
      <c r="G245" s="558" t="str">
        <f>_xlfn.IFNA(IF(TEXT(F245,0)="Terima","",VLOOKUP(A245,COPY!$A$2:$AC$1000,29,FALSE)),"")</f>
        <v/>
      </c>
      <c r="H245" s="425"/>
      <c r="I245" s="559"/>
      <c r="J245" s="555"/>
      <c r="K245" s="608">
        <f>_xlfn.IFNA(IF(TEXT(F245,0)="Terima",0,VLOOKUP(A245,COPY!$A$2:$AC$1000,26,FALSE)),0)</f>
        <v>0</v>
      </c>
      <c r="L245" s="548">
        <f t="shared" si="23"/>
        <v>0</v>
      </c>
      <c r="M245" s="549">
        <f t="shared" si="24"/>
        <v>0</v>
      </c>
      <c r="O245" s="538" t="str">
        <f t="shared" si="25"/>
        <v/>
      </c>
      <c r="P245" s="550"/>
      <c r="Q245" s="551"/>
    </row>
    <row r="246" spans="1:17" s="253" customFormat="1" ht="20.100000000000001" hidden="1" customHeight="1" x14ac:dyDescent="0.25">
      <c r="A246" s="253" t="str">
        <f t="shared" si="26"/>
        <v/>
      </c>
      <c r="B246" s="609" t="str">
        <f>IF(LEFT(F246,1)="B",VLOOKUP(A246,COPY!$A$2:$AC$1000,4,FALSE),"")</f>
        <v/>
      </c>
      <c r="C246" s="586"/>
      <c r="D246" s="553"/>
      <c r="E246" s="553"/>
      <c r="F246" s="557" t="str">
        <f>IF(LEN(A246)&gt;2,LEFT(VLOOKUP(A246,COPY!$A$2:$AC$1000,29,FALSE),6),"")</f>
        <v/>
      </c>
      <c r="G246" s="558" t="str">
        <f>_xlfn.IFNA(IF(TEXT(F246,0)="Terima","",VLOOKUP(A246,COPY!$A$2:$AC$1000,29,FALSE)),"")</f>
        <v/>
      </c>
      <c r="H246" s="425"/>
      <c r="I246" s="559"/>
      <c r="J246" s="555"/>
      <c r="K246" s="608">
        <f>_xlfn.IFNA(IF(TEXT(F246,0)="Terima",0,VLOOKUP(A246,COPY!$A$2:$AC$1000,26,FALSE)),0)</f>
        <v>0</v>
      </c>
      <c r="L246" s="548">
        <f t="shared" si="23"/>
        <v>0</v>
      </c>
      <c r="M246" s="549">
        <f t="shared" si="24"/>
        <v>0</v>
      </c>
      <c r="O246" s="538" t="str">
        <f t="shared" si="25"/>
        <v/>
      </c>
      <c r="P246" s="550"/>
      <c r="Q246" s="551"/>
    </row>
    <row r="247" spans="1:17" s="253" customFormat="1" ht="20.100000000000001" hidden="1" customHeight="1" x14ac:dyDescent="0.25">
      <c r="A247" s="253" t="str">
        <f t="shared" si="26"/>
        <v/>
      </c>
      <c r="B247" s="609" t="str">
        <f>IF(LEFT(F247,1)="B",VLOOKUP(A247,COPY!$A$2:$AC$1000,4,FALSE),"")</f>
        <v/>
      </c>
      <c r="C247" s="586"/>
      <c r="D247" s="553"/>
      <c r="E247" s="553"/>
      <c r="F247" s="557" t="str">
        <f>IF(LEN(A247)&gt;2,LEFT(VLOOKUP(A247,COPY!$A$2:$AC$1000,29,FALSE),6),"")</f>
        <v/>
      </c>
      <c r="G247" s="558" t="str">
        <f>_xlfn.IFNA(IF(TEXT(F247,0)="Terima","",VLOOKUP(A247,COPY!$A$2:$AC$1000,29,FALSE)),"")</f>
        <v/>
      </c>
      <c r="H247" s="425"/>
      <c r="I247" s="559"/>
      <c r="J247" s="555"/>
      <c r="K247" s="608">
        <f>_xlfn.IFNA(IF(TEXT(F247,0)="Terima",0,VLOOKUP(A247,COPY!$A$2:$AC$1000,26,FALSE)),0)</f>
        <v>0</v>
      </c>
      <c r="L247" s="548">
        <f t="shared" si="23"/>
        <v>0</v>
      </c>
      <c r="M247" s="549">
        <f t="shared" si="24"/>
        <v>0</v>
      </c>
      <c r="O247" s="538" t="str">
        <f t="shared" si="25"/>
        <v/>
      </c>
      <c r="P247" s="550"/>
      <c r="Q247" s="551"/>
    </row>
    <row r="248" spans="1:17" s="253" customFormat="1" ht="20.100000000000001" hidden="1" customHeight="1" x14ac:dyDescent="0.25">
      <c r="A248" s="253" t="str">
        <f t="shared" si="26"/>
        <v/>
      </c>
      <c r="B248" s="609" t="str">
        <f>IF(LEFT(F248,1)="B",VLOOKUP(A248,COPY!$A$2:$AC$1000,4,FALSE),"")</f>
        <v/>
      </c>
      <c r="C248" s="586"/>
      <c r="D248" s="553"/>
      <c r="E248" s="553"/>
      <c r="F248" s="557" t="str">
        <f>IF(LEN(A248)&gt;2,LEFT(VLOOKUP(A248,COPY!$A$2:$AC$1000,29,FALSE),6),"")</f>
        <v/>
      </c>
      <c r="G248" s="558" t="str">
        <f>_xlfn.IFNA(IF(TEXT(F248,0)="Terima","",VLOOKUP(A248,COPY!$A$2:$AC$1000,29,FALSE)),"")</f>
        <v/>
      </c>
      <c r="H248" s="425"/>
      <c r="I248" s="559"/>
      <c r="J248" s="555"/>
      <c r="K248" s="608">
        <f>_xlfn.IFNA(IF(TEXT(F248,0)="Terima",0,VLOOKUP(A248,COPY!$A$2:$AC$1000,26,FALSE)),0)</f>
        <v>0</v>
      </c>
      <c r="L248" s="548">
        <f t="shared" si="23"/>
        <v>0</v>
      </c>
      <c r="M248" s="549">
        <f t="shared" si="24"/>
        <v>0</v>
      </c>
      <c r="O248" s="538" t="str">
        <f t="shared" si="25"/>
        <v/>
      </c>
      <c r="P248" s="550"/>
      <c r="Q248" s="551"/>
    </row>
    <row r="249" spans="1:17" s="253" customFormat="1" ht="20.100000000000001" hidden="1" customHeight="1" x14ac:dyDescent="0.25">
      <c r="A249" s="253" t="str">
        <f t="shared" si="26"/>
        <v/>
      </c>
      <c r="B249" s="609" t="str">
        <f>IF(LEFT(F249,1)="B",VLOOKUP(A249,COPY!$A$2:$AC$1000,4,FALSE),"")</f>
        <v/>
      </c>
      <c r="C249" s="586"/>
      <c r="D249" s="553"/>
      <c r="E249" s="553"/>
      <c r="F249" s="557" t="str">
        <f>IF(LEN(A249)&gt;2,LEFT(VLOOKUP(A249,COPY!$A$2:$AC$1000,29,FALSE),6),"")</f>
        <v/>
      </c>
      <c r="G249" s="558" t="str">
        <f>_xlfn.IFNA(IF(TEXT(F249,0)="Terima","",VLOOKUP(A249,COPY!$A$2:$AC$1000,29,FALSE)),"")</f>
        <v/>
      </c>
      <c r="H249" s="425"/>
      <c r="I249" s="559"/>
      <c r="J249" s="555"/>
      <c r="K249" s="608">
        <f>_xlfn.IFNA(IF(TEXT(F249,0)="Terima",0,VLOOKUP(A249,COPY!$A$2:$AC$1000,26,FALSE)),0)</f>
        <v>0</v>
      </c>
      <c r="L249" s="548">
        <f t="shared" si="23"/>
        <v>0</v>
      </c>
      <c r="M249" s="549">
        <f t="shared" si="24"/>
        <v>0</v>
      </c>
      <c r="O249" s="538" t="str">
        <f t="shared" si="25"/>
        <v/>
      </c>
      <c r="P249" s="550"/>
      <c r="Q249" s="551"/>
    </row>
    <row r="250" spans="1:17" s="253" customFormat="1" ht="20.100000000000001" hidden="1" customHeight="1" x14ac:dyDescent="0.25">
      <c r="A250" s="253" t="str">
        <f t="shared" si="26"/>
        <v/>
      </c>
      <c r="B250" s="609" t="str">
        <f>IF(LEFT(F250,1)="B",VLOOKUP(A250,COPY!$A$2:$AC$1000,4,FALSE),"")</f>
        <v/>
      </c>
      <c r="C250" s="586"/>
      <c r="D250" s="553"/>
      <c r="E250" s="553"/>
      <c r="F250" s="557" t="str">
        <f>IF(LEN(A250)&gt;2,LEFT(VLOOKUP(A250,COPY!$A$2:$AC$1000,29,FALSE),6),"")</f>
        <v/>
      </c>
      <c r="G250" s="558" t="str">
        <f>_xlfn.IFNA(IF(TEXT(F250,0)="Terima","",VLOOKUP(A250,COPY!$A$2:$AC$1000,29,FALSE)),"")</f>
        <v/>
      </c>
      <c r="H250" s="425"/>
      <c r="I250" s="559"/>
      <c r="J250" s="555"/>
      <c r="K250" s="608">
        <f>_xlfn.IFNA(IF(TEXT(F250,0)="Terima",0,VLOOKUP(A250,COPY!$A$2:$AC$1000,26,FALSE)),0)</f>
        <v>0</v>
      </c>
      <c r="L250" s="548">
        <f t="shared" si="23"/>
        <v>0</v>
      </c>
      <c r="M250" s="549">
        <f t="shared" si="24"/>
        <v>0</v>
      </c>
      <c r="O250" s="538" t="str">
        <f t="shared" si="25"/>
        <v/>
      </c>
      <c r="P250" s="550"/>
      <c r="Q250" s="551"/>
    </row>
    <row r="251" spans="1:17" s="253" customFormat="1" ht="20.100000000000001" hidden="1" customHeight="1" x14ac:dyDescent="0.25">
      <c r="A251" s="253" t="str">
        <f t="shared" si="26"/>
        <v/>
      </c>
      <c r="B251" s="609" t="str">
        <f>IF(LEFT(F251,1)="B",VLOOKUP(A251,COPY!$A$2:$AC$1000,4,FALSE),"")</f>
        <v/>
      </c>
      <c r="C251" s="586"/>
      <c r="D251" s="553"/>
      <c r="E251" s="553"/>
      <c r="F251" s="557" t="str">
        <f>IF(LEN(A251)&gt;2,LEFT(VLOOKUP(A251,COPY!$A$2:$AC$1000,29,FALSE),6),"")</f>
        <v/>
      </c>
      <c r="G251" s="558" t="str">
        <f>_xlfn.IFNA(IF(TEXT(F251,0)="Terima","",VLOOKUP(A251,COPY!$A$2:$AC$1000,29,FALSE)),"")</f>
        <v/>
      </c>
      <c r="H251" s="425"/>
      <c r="I251" s="559"/>
      <c r="J251" s="555"/>
      <c r="K251" s="608">
        <f>_xlfn.IFNA(IF(TEXT(F251,0)="Terima",0,VLOOKUP(A251,COPY!$A$2:$AC$1000,26,FALSE)),0)</f>
        <v>0</v>
      </c>
      <c r="L251" s="548">
        <f t="shared" si="23"/>
        <v>0</v>
      </c>
      <c r="M251" s="549">
        <f t="shared" si="24"/>
        <v>0</v>
      </c>
      <c r="O251" s="538" t="str">
        <f t="shared" si="25"/>
        <v/>
      </c>
      <c r="P251" s="550"/>
      <c r="Q251" s="551"/>
    </row>
    <row r="252" spans="1:17" s="253" customFormat="1" ht="20.100000000000001" hidden="1" customHeight="1" x14ac:dyDescent="0.25">
      <c r="A252" s="253" t="str">
        <f t="shared" si="26"/>
        <v/>
      </c>
      <c r="B252" s="609" t="str">
        <f>IF(LEFT(F252,1)="B",VLOOKUP(A252,COPY!$A$2:$AC$1000,4,FALSE),"")</f>
        <v/>
      </c>
      <c r="C252" s="586"/>
      <c r="D252" s="553"/>
      <c r="E252" s="553"/>
      <c r="F252" s="557" t="str">
        <f>IF(LEN(A252)&gt;2,LEFT(VLOOKUP(A252,COPY!$A$2:$AC$1000,29,FALSE),6),"")</f>
        <v/>
      </c>
      <c r="G252" s="558" t="str">
        <f>_xlfn.IFNA(IF(TEXT(F252,0)="Terima","",VLOOKUP(A252,COPY!$A$2:$AC$1000,29,FALSE)),"")</f>
        <v/>
      </c>
      <c r="H252" s="425"/>
      <c r="I252" s="559"/>
      <c r="J252" s="555"/>
      <c r="K252" s="608">
        <f>_xlfn.IFNA(IF(TEXT(F252,0)="Terima",0,VLOOKUP(A252,COPY!$A$2:$AC$1000,26,FALSE)),0)</f>
        <v>0</v>
      </c>
      <c r="L252" s="548">
        <f t="shared" si="23"/>
        <v>0</v>
      </c>
      <c r="M252" s="549">
        <f t="shared" si="24"/>
        <v>0</v>
      </c>
      <c r="O252" s="538" t="str">
        <f t="shared" si="25"/>
        <v/>
      </c>
      <c r="P252" s="550"/>
      <c r="Q252" s="551"/>
    </row>
    <row r="253" spans="1:17" s="253" customFormat="1" ht="20.100000000000001" hidden="1" customHeight="1" x14ac:dyDescent="0.25">
      <c r="A253" s="253" t="str">
        <f t="shared" si="26"/>
        <v/>
      </c>
      <c r="B253" s="609" t="str">
        <f>IF(LEFT(F253,1)="B",VLOOKUP(A253,COPY!$A$2:$AC$1000,4,FALSE),"")</f>
        <v/>
      </c>
      <c r="C253" s="586"/>
      <c r="D253" s="553"/>
      <c r="E253" s="553"/>
      <c r="F253" s="557" t="str">
        <f>IF(LEN(A253)&gt;2,LEFT(VLOOKUP(A253,COPY!$A$2:$AC$1000,29,FALSE),6),"")</f>
        <v/>
      </c>
      <c r="G253" s="558" t="str">
        <f>_xlfn.IFNA(IF(TEXT(F253,0)="Terima","",VLOOKUP(A253,COPY!$A$2:$AC$1000,29,FALSE)),"")</f>
        <v/>
      </c>
      <c r="H253" s="425"/>
      <c r="I253" s="559"/>
      <c r="J253" s="555"/>
      <c r="K253" s="608">
        <f>_xlfn.IFNA(IF(TEXT(F253,0)="Terima",0,VLOOKUP(A253,COPY!$A$2:$AC$1000,26,FALSE)),0)</f>
        <v>0</v>
      </c>
      <c r="L253" s="548">
        <f t="shared" si="23"/>
        <v>0</v>
      </c>
      <c r="M253" s="549">
        <f t="shared" si="24"/>
        <v>0</v>
      </c>
      <c r="O253" s="538" t="str">
        <f t="shared" si="25"/>
        <v/>
      </c>
      <c r="P253" s="550"/>
      <c r="Q253" s="551"/>
    </row>
    <row r="254" spans="1:17" s="253" customFormat="1" ht="20.100000000000001" hidden="1" customHeight="1" x14ac:dyDescent="0.25">
      <c r="A254" s="253" t="str">
        <f t="shared" si="26"/>
        <v/>
      </c>
      <c r="B254" s="609" t="str">
        <f>IF(LEFT(F254,1)="B",VLOOKUP(A254,COPY!$A$2:$AC$1000,4,FALSE),"")</f>
        <v/>
      </c>
      <c r="C254" s="586"/>
      <c r="D254" s="553"/>
      <c r="E254" s="553"/>
      <c r="F254" s="557" t="str">
        <f>IF(LEN(A254)&gt;2,LEFT(VLOOKUP(A254,COPY!$A$2:$AC$1000,29,FALSE),6),"")</f>
        <v/>
      </c>
      <c r="G254" s="558" t="str">
        <f>_xlfn.IFNA(IF(TEXT(F254,0)="Terima","",VLOOKUP(A254,COPY!$A$2:$AC$1000,29,FALSE)),"")</f>
        <v/>
      </c>
      <c r="H254" s="425"/>
      <c r="I254" s="559"/>
      <c r="J254" s="555"/>
      <c r="K254" s="608">
        <f>_xlfn.IFNA(IF(TEXT(F254,0)="Terima",0,VLOOKUP(A254,COPY!$A$2:$AC$1000,26,FALSE)),0)</f>
        <v>0</v>
      </c>
      <c r="L254" s="548">
        <f t="shared" si="23"/>
        <v>0</v>
      </c>
      <c r="M254" s="549">
        <f t="shared" si="24"/>
        <v>0</v>
      </c>
      <c r="O254" s="538" t="str">
        <f t="shared" si="25"/>
        <v/>
      </c>
      <c r="P254" s="550"/>
      <c r="Q254" s="551"/>
    </row>
    <row r="255" spans="1:17" s="253" customFormat="1" ht="20.100000000000001" hidden="1" customHeight="1" x14ac:dyDescent="0.25">
      <c r="A255" s="253" t="str">
        <f t="shared" si="26"/>
        <v/>
      </c>
      <c r="B255" s="609" t="str">
        <f>IF(LEFT(F255,1)="B",VLOOKUP(A255,COPY!$A$2:$AC$1000,4,FALSE),"")</f>
        <v/>
      </c>
      <c r="C255" s="586"/>
      <c r="D255" s="553"/>
      <c r="E255" s="553"/>
      <c r="F255" s="557" t="str">
        <f>IF(LEN(A255)&gt;2,LEFT(VLOOKUP(A255,COPY!$A$2:$AC$1000,29,FALSE),6),"")</f>
        <v/>
      </c>
      <c r="G255" s="558" t="str">
        <f>_xlfn.IFNA(IF(TEXT(F255,0)="Terima","",VLOOKUP(A255,COPY!$A$2:$AC$1000,29,FALSE)),"")</f>
        <v/>
      </c>
      <c r="H255" s="425"/>
      <c r="I255" s="559"/>
      <c r="J255" s="555"/>
      <c r="K255" s="608">
        <f>_xlfn.IFNA(IF(TEXT(F255,0)="Terima",0,VLOOKUP(A255,COPY!$A$2:$AC$1000,26,FALSE)),0)</f>
        <v>0</v>
      </c>
      <c r="L255" s="548">
        <f t="shared" si="23"/>
        <v>0</v>
      </c>
      <c r="M255" s="549">
        <f t="shared" si="24"/>
        <v>0</v>
      </c>
      <c r="O255" s="538" t="str">
        <f t="shared" si="25"/>
        <v/>
      </c>
      <c r="P255" s="550"/>
      <c r="Q255" s="551"/>
    </row>
    <row r="256" spans="1:17" s="253" customFormat="1" ht="20.100000000000001" hidden="1" customHeight="1" x14ac:dyDescent="0.25">
      <c r="A256" s="253" t="str">
        <f t="shared" si="26"/>
        <v/>
      </c>
      <c r="B256" s="609" t="str">
        <f>IF(LEFT(F256,1)="B",VLOOKUP(A256,COPY!$A$2:$AC$1000,4,FALSE),"")</f>
        <v/>
      </c>
      <c r="C256" s="586"/>
      <c r="D256" s="553"/>
      <c r="E256" s="553"/>
      <c r="F256" s="557" t="str">
        <f>IF(LEN(A256)&gt;2,LEFT(VLOOKUP(A256,COPY!$A$2:$AC$1000,29,FALSE),6),"")</f>
        <v/>
      </c>
      <c r="G256" s="558" t="str">
        <f>_xlfn.IFNA(IF(TEXT(F256,0)="Terima","",VLOOKUP(A256,COPY!$A$2:$AC$1000,29,FALSE)),"")</f>
        <v/>
      </c>
      <c r="H256" s="425"/>
      <c r="I256" s="559"/>
      <c r="J256" s="555"/>
      <c r="K256" s="608">
        <f>_xlfn.IFNA(IF(TEXT(F256,0)="Terima",0,VLOOKUP(A256,COPY!$A$2:$AC$1000,26,FALSE)),0)</f>
        <v>0</v>
      </c>
      <c r="L256" s="548">
        <f t="shared" si="23"/>
        <v>0</v>
      </c>
      <c r="M256" s="549">
        <f t="shared" si="24"/>
        <v>0</v>
      </c>
      <c r="O256" s="538" t="str">
        <f t="shared" si="25"/>
        <v/>
      </c>
      <c r="P256" s="550"/>
      <c r="Q256" s="551"/>
    </row>
    <row r="257" spans="1:17" s="253" customFormat="1" ht="20.100000000000001" hidden="1" customHeight="1" x14ac:dyDescent="0.25">
      <c r="A257" s="253" t="str">
        <f t="shared" si="26"/>
        <v/>
      </c>
      <c r="B257" s="609" t="str">
        <f>IF(LEFT(F257,1)="B",VLOOKUP(A257,COPY!$A$2:$AC$1000,4,FALSE),"")</f>
        <v/>
      </c>
      <c r="C257" s="586"/>
      <c r="D257" s="553"/>
      <c r="E257" s="553"/>
      <c r="F257" s="557" t="str">
        <f>IF(LEN(A257)&gt;2,LEFT(VLOOKUP(A257,COPY!$A$2:$AC$1000,29,FALSE),6),"")</f>
        <v/>
      </c>
      <c r="G257" s="558" t="str">
        <f>_xlfn.IFNA(IF(TEXT(F257,0)="Terima","",VLOOKUP(A257,COPY!$A$2:$AC$1000,29,FALSE)),"")</f>
        <v/>
      </c>
      <c r="H257" s="425"/>
      <c r="I257" s="559"/>
      <c r="J257" s="555"/>
      <c r="K257" s="608">
        <f>_xlfn.IFNA(IF(TEXT(F257,0)="Terima",0,VLOOKUP(A257,COPY!$A$2:$AC$1000,26,FALSE)),0)</f>
        <v>0</v>
      </c>
      <c r="L257" s="548">
        <f t="shared" si="23"/>
        <v>0</v>
      </c>
      <c r="M257" s="549">
        <f t="shared" si="24"/>
        <v>0</v>
      </c>
      <c r="O257" s="538" t="str">
        <f t="shared" si="25"/>
        <v/>
      </c>
      <c r="P257" s="550"/>
      <c r="Q257" s="551"/>
    </row>
    <row r="258" spans="1:17" s="253" customFormat="1" ht="20.100000000000001" hidden="1" customHeight="1" x14ac:dyDescent="0.25">
      <c r="A258" s="253" t="str">
        <f t="shared" si="26"/>
        <v/>
      </c>
      <c r="B258" s="609" t="str">
        <f>IF(LEFT(F258,1)="B",VLOOKUP(A258,COPY!$A$2:$AC$1000,4,FALSE),"")</f>
        <v/>
      </c>
      <c r="C258" s="586"/>
      <c r="D258" s="553"/>
      <c r="E258" s="553"/>
      <c r="F258" s="557" t="str">
        <f>IF(LEN(A258)&gt;2,LEFT(VLOOKUP(A258,COPY!$A$2:$AC$1000,29,FALSE),6),"")</f>
        <v/>
      </c>
      <c r="G258" s="558" t="str">
        <f>_xlfn.IFNA(IF(TEXT(F258,0)="Terima","",VLOOKUP(A258,COPY!$A$2:$AC$1000,29,FALSE)),"")</f>
        <v/>
      </c>
      <c r="H258" s="425"/>
      <c r="I258" s="559"/>
      <c r="J258" s="555"/>
      <c r="K258" s="608">
        <f>_xlfn.IFNA(IF(TEXT(F258,0)="Terima",0,VLOOKUP(A258,COPY!$A$2:$AC$1000,26,FALSE)),0)</f>
        <v>0</v>
      </c>
      <c r="L258" s="548">
        <f t="shared" si="23"/>
        <v>0</v>
      </c>
      <c r="M258" s="549">
        <f t="shared" si="24"/>
        <v>0</v>
      </c>
      <c r="O258" s="538" t="str">
        <f t="shared" si="25"/>
        <v/>
      </c>
      <c r="P258" s="550"/>
      <c r="Q258" s="551"/>
    </row>
    <row r="259" spans="1:17" s="253" customFormat="1" ht="20.100000000000001" hidden="1" customHeight="1" x14ac:dyDescent="0.25">
      <c r="A259" s="253" t="str">
        <f t="shared" si="26"/>
        <v/>
      </c>
      <c r="B259" s="609" t="str">
        <f>IF(LEFT(F259,1)="B",VLOOKUP(A259,COPY!$A$2:$AC$1000,4,FALSE),"")</f>
        <v/>
      </c>
      <c r="C259" s="586"/>
      <c r="D259" s="553"/>
      <c r="E259" s="553"/>
      <c r="F259" s="557" t="str">
        <f>IF(LEN(A259)&gt;2,LEFT(VLOOKUP(A259,COPY!$A$2:$AC$1000,29,FALSE),6),"")</f>
        <v/>
      </c>
      <c r="G259" s="558" t="str">
        <f>_xlfn.IFNA(IF(TEXT(F259,0)="Terima","",VLOOKUP(A259,COPY!$A$2:$AC$1000,29,FALSE)),"")</f>
        <v/>
      </c>
      <c r="H259" s="425"/>
      <c r="I259" s="559"/>
      <c r="J259" s="555"/>
      <c r="K259" s="608">
        <f>_xlfn.IFNA(IF(TEXT(F259,0)="Terima",0,VLOOKUP(A259,COPY!$A$2:$AC$1000,26,FALSE)),0)</f>
        <v>0</v>
      </c>
      <c r="L259" s="548">
        <f t="shared" si="23"/>
        <v>0</v>
      </c>
      <c r="M259" s="549">
        <f t="shared" si="24"/>
        <v>0</v>
      </c>
      <c r="O259" s="538" t="str">
        <f t="shared" si="25"/>
        <v/>
      </c>
      <c r="P259" s="550"/>
      <c r="Q259" s="551"/>
    </row>
    <row r="260" spans="1:17" s="253" customFormat="1" ht="20.100000000000001" hidden="1" customHeight="1" x14ac:dyDescent="0.25">
      <c r="A260" s="253" t="str">
        <f t="shared" si="26"/>
        <v/>
      </c>
      <c r="B260" s="609" t="str">
        <f>IF(LEFT(F260,1)="B",VLOOKUP(A260,COPY!$A$2:$AC$1000,4,FALSE),"")</f>
        <v/>
      </c>
      <c r="C260" s="586"/>
      <c r="D260" s="553"/>
      <c r="E260" s="553"/>
      <c r="F260" s="557" t="str">
        <f>IF(LEN(A260)&gt;2,LEFT(VLOOKUP(A260,COPY!$A$2:$AC$1000,29,FALSE),6),"")</f>
        <v/>
      </c>
      <c r="G260" s="558" t="str">
        <f>_xlfn.IFNA(IF(TEXT(F260,0)="Terima","",VLOOKUP(A260,COPY!$A$2:$AC$1000,29,FALSE)),"")</f>
        <v/>
      </c>
      <c r="H260" s="425"/>
      <c r="I260" s="559"/>
      <c r="J260" s="555"/>
      <c r="K260" s="608">
        <f>_xlfn.IFNA(IF(TEXT(F260,0)="Terima",0,VLOOKUP(A260,COPY!$A$2:$AC$1000,26,FALSE)),0)</f>
        <v>0</v>
      </c>
      <c r="L260" s="548">
        <f t="shared" si="23"/>
        <v>0</v>
      </c>
      <c r="M260" s="549">
        <f t="shared" si="24"/>
        <v>0</v>
      </c>
      <c r="O260" s="538" t="str">
        <f t="shared" si="25"/>
        <v/>
      </c>
      <c r="P260" s="550"/>
      <c r="Q260" s="551"/>
    </row>
    <row r="261" spans="1:17" s="253" customFormat="1" ht="20.100000000000001" hidden="1" customHeight="1" x14ac:dyDescent="0.25">
      <c r="A261" s="253" t="str">
        <f t="shared" si="26"/>
        <v/>
      </c>
      <c r="B261" s="609" t="str">
        <f>IF(LEFT(F261,1)="B",VLOOKUP(A261,COPY!$A$2:$AC$1000,4,FALSE),"")</f>
        <v/>
      </c>
      <c r="C261" s="586"/>
      <c r="D261" s="553"/>
      <c r="E261" s="553"/>
      <c r="F261" s="557" t="str">
        <f>IF(LEN(A261)&gt;2,LEFT(VLOOKUP(A261,COPY!$A$2:$AC$1000,29,FALSE),6),"")</f>
        <v/>
      </c>
      <c r="G261" s="558" t="str">
        <f>_xlfn.IFNA(IF(TEXT(F261,0)="Terima","",VLOOKUP(A261,COPY!$A$2:$AC$1000,29,FALSE)),"")</f>
        <v/>
      </c>
      <c r="H261" s="425"/>
      <c r="I261" s="559"/>
      <c r="J261" s="555"/>
      <c r="K261" s="608">
        <f>_xlfn.IFNA(IF(TEXT(F261,0)="Terima",0,VLOOKUP(A261,COPY!$A$2:$AC$1000,26,FALSE)),0)</f>
        <v>0</v>
      </c>
      <c r="L261" s="548">
        <f t="shared" si="23"/>
        <v>0</v>
      </c>
      <c r="M261" s="549">
        <f t="shared" si="24"/>
        <v>0</v>
      </c>
      <c r="O261" s="538" t="str">
        <f t="shared" si="25"/>
        <v/>
      </c>
      <c r="P261" s="550"/>
      <c r="Q261" s="551"/>
    </row>
    <row r="262" spans="1:17" s="253" customFormat="1" ht="20.100000000000001" hidden="1" customHeight="1" x14ac:dyDescent="0.25">
      <c r="A262" s="253" t="str">
        <f t="shared" si="26"/>
        <v/>
      </c>
      <c r="B262" s="609" t="str">
        <f>IF(LEFT(F262,1)="B",VLOOKUP(A262,COPY!$A$2:$AC$1000,4,FALSE),"")</f>
        <v/>
      </c>
      <c r="C262" s="586"/>
      <c r="D262" s="553"/>
      <c r="E262" s="553"/>
      <c r="F262" s="557" t="str">
        <f>IF(LEN(A262)&gt;2,LEFT(VLOOKUP(A262,COPY!$A$2:$AC$1000,29,FALSE),6),"")</f>
        <v/>
      </c>
      <c r="G262" s="558" t="str">
        <f>_xlfn.IFNA(IF(TEXT(F262,0)="Terima","",VLOOKUP(A262,COPY!$A$2:$AC$1000,29,FALSE)),"")</f>
        <v/>
      </c>
      <c r="H262" s="425"/>
      <c r="I262" s="559"/>
      <c r="J262" s="555"/>
      <c r="K262" s="608">
        <f>_xlfn.IFNA(IF(TEXT(F262,0)="Terima",0,VLOOKUP(A262,COPY!$A$2:$AC$1000,26,FALSE)),0)</f>
        <v>0</v>
      </c>
      <c r="L262" s="548">
        <f t="shared" si="23"/>
        <v>0</v>
      </c>
      <c r="M262" s="549">
        <f t="shared" si="24"/>
        <v>0</v>
      </c>
      <c r="O262" s="538" t="str">
        <f t="shared" si="25"/>
        <v/>
      </c>
      <c r="P262" s="550"/>
      <c r="Q262" s="551"/>
    </row>
    <row r="263" spans="1:17" s="253" customFormat="1" ht="20.100000000000001" hidden="1" customHeight="1" x14ac:dyDescent="0.25">
      <c r="A263" s="253" t="str">
        <f t="shared" si="26"/>
        <v/>
      </c>
      <c r="B263" s="609" t="str">
        <f>IF(LEFT(F263,1)="B",VLOOKUP(A263,COPY!$A$2:$AC$1000,4,FALSE),"")</f>
        <v/>
      </c>
      <c r="C263" s="586"/>
      <c r="D263" s="553"/>
      <c r="E263" s="553"/>
      <c r="F263" s="557" t="str">
        <f>IF(LEN(A263)&gt;2,LEFT(VLOOKUP(A263,COPY!$A$2:$AC$1000,29,FALSE),6),"")</f>
        <v/>
      </c>
      <c r="G263" s="558" t="str">
        <f>_xlfn.IFNA(IF(TEXT(F263,0)="Terima","",VLOOKUP(A263,COPY!$A$2:$AC$1000,29,FALSE)),"")</f>
        <v/>
      </c>
      <c r="H263" s="425"/>
      <c r="I263" s="559"/>
      <c r="J263" s="555"/>
      <c r="K263" s="608">
        <f>_xlfn.IFNA(IF(TEXT(F263,0)="Terima",0,VLOOKUP(A263,COPY!$A$2:$AC$1000,26,FALSE)),0)</f>
        <v>0</v>
      </c>
      <c r="L263" s="548">
        <f t="shared" si="23"/>
        <v>0</v>
      </c>
      <c r="M263" s="549">
        <f t="shared" si="24"/>
        <v>0</v>
      </c>
      <c r="O263" s="538" t="str">
        <f t="shared" si="25"/>
        <v/>
      </c>
      <c r="P263" s="550"/>
      <c r="Q263" s="551"/>
    </row>
    <row r="264" spans="1:17" s="253" customFormat="1" ht="20.100000000000001" hidden="1" customHeight="1" x14ac:dyDescent="0.25">
      <c r="A264" s="253" t="str">
        <f t="shared" si="26"/>
        <v/>
      </c>
      <c r="B264" s="609" t="str">
        <f>IF(LEFT(F264,1)="B",VLOOKUP(A264,COPY!$A$2:$AC$1000,4,FALSE),"")</f>
        <v/>
      </c>
      <c r="C264" s="586"/>
      <c r="D264" s="553"/>
      <c r="E264" s="553"/>
      <c r="F264" s="557" t="str">
        <f>IF(LEN(A264)&gt;2,LEFT(VLOOKUP(A264,COPY!$A$2:$AC$1000,29,FALSE),6),"")</f>
        <v/>
      </c>
      <c r="G264" s="558" t="str">
        <f>_xlfn.IFNA(IF(TEXT(F264,0)="Terima","",VLOOKUP(A264,COPY!$A$2:$AC$1000,29,FALSE)),"")</f>
        <v/>
      </c>
      <c r="H264" s="425"/>
      <c r="I264" s="559"/>
      <c r="J264" s="555"/>
      <c r="K264" s="608">
        <f>_xlfn.IFNA(IF(TEXT(F264,0)="Terima",0,VLOOKUP(A264,COPY!$A$2:$AC$1000,26,FALSE)),0)</f>
        <v>0</v>
      </c>
      <c r="L264" s="548">
        <f t="shared" si="23"/>
        <v>0</v>
      </c>
      <c r="M264" s="549">
        <f t="shared" si="24"/>
        <v>0</v>
      </c>
      <c r="O264" s="538" t="str">
        <f t="shared" si="25"/>
        <v/>
      </c>
      <c r="P264" s="550"/>
      <c r="Q264" s="551"/>
    </row>
    <row r="265" spans="1:17" s="253" customFormat="1" ht="20.100000000000001" hidden="1" customHeight="1" x14ac:dyDescent="0.25">
      <c r="A265" s="253" t="str">
        <f t="shared" si="26"/>
        <v/>
      </c>
      <c r="B265" s="609" t="str">
        <f>IF(LEFT(F265,1)="B",VLOOKUP(A265,COPY!$A$2:$AC$1000,4,FALSE),"")</f>
        <v/>
      </c>
      <c r="C265" s="586"/>
      <c r="D265" s="553"/>
      <c r="E265" s="553"/>
      <c r="F265" s="557" t="str">
        <f>IF(LEN(A265)&gt;2,LEFT(VLOOKUP(A265,COPY!$A$2:$AC$1000,29,FALSE),6),"")</f>
        <v/>
      </c>
      <c r="G265" s="558" t="str">
        <f>_xlfn.IFNA(IF(TEXT(F265,0)="Terima","",VLOOKUP(A265,COPY!$A$2:$AC$1000,29,FALSE)),"")</f>
        <v/>
      </c>
      <c r="H265" s="425"/>
      <c r="I265" s="559"/>
      <c r="J265" s="555"/>
      <c r="K265" s="608">
        <f>_xlfn.IFNA(IF(TEXT(F265,0)="Terima",0,VLOOKUP(A265,COPY!$A$2:$AC$1000,26,FALSE)),0)</f>
        <v>0</v>
      </c>
      <c r="L265" s="548">
        <f t="shared" si="23"/>
        <v>0</v>
      </c>
      <c r="M265" s="549">
        <f t="shared" si="24"/>
        <v>0</v>
      </c>
      <c r="O265" s="538" t="str">
        <f t="shared" si="25"/>
        <v/>
      </c>
      <c r="P265" s="550"/>
      <c r="Q265" s="551"/>
    </row>
    <row r="266" spans="1:17" s="253" customFormat="1" ht="20.100000000000001" hidden="1" customHeight="1" x14ac:dyDescent="0.25">
      <c r="A266" s="253" t="str">
        <f t="shared" si="26"/>
        <v/>
      </c>
      <c r="B266" s="609" t="str">
        <f>IF(LEFT(F266,1)="B",VLOOKUP(A266,COPY!$A$2:$AC$1000,4,FALSE),"")</f>
        <v/>
      </c>
      <c r="C266" s="586"/>
      <c r="D266" s="553"/>
      <c r="E266" s="553"/>
      <c r="F266" s="557" t="str">
        <f>IF(LEN(A266)&gt;2,LEFT(VLOOKUP(A266,COPY!$A$2:$AC$1000,29,FALSE),6),"")</f>
        <v/>
      </c>
      <c r="G266" s="558" t="str">
        <f>_xlfn.IFNA(IF(TEXT(F266,0)="Terima","",VLOOKUP(A266,COPY!$A$2:$AC$1000,29,FALSE)),"")</f>
        <v/>
      </c>
      <c r="H266" s="425"/>
      <c r="I266" s="559"/>
      <c r="J266" s="555"/>
      <c r="K266" s="608">
        <f>_xlfn.IFNA(IF(TEXT(F266,0)="Terima",0,VLOOKUP(A266,COPY!$A$2:$AC$1000,26,FALSE)),0)</f>
        <v>0</v>
      </c>
      <c r="L266" s="548">
        <f t="shared" si="23"/>
        <v>0</v>
      </c>
      <c r="M266" s="549">
        <f t="shared" si="24"/>
        <v>0</v>
      </c>
      <c r="O266" s="538" t="str">
        <f t="shared" si="25"/>
        <v/>
      </c>
      <c r="P266" s="550"/>
      <c r="Q266" s="551"/>
    </row>
    <row r="267" spans="1:17" s="253" customFormat="1" ht="20.100000000000001" hidden="1" customHeight="1" x14ac:dyDescent="0.25">
      <c r="A267" s="253" t="str">
        <f t="shared" si="26"/>
        <v/>
      </c>
      <c r="B267" s="609" t="str">
        <f>IF(LEFT(F267,1)="B",VLOOKUP(A267,COPY!$A$2:$AC$1000,4,FALSE),"")</f>
        <v/>
      </c>
      <c r="C267" s="586"/>
      <c r="D267" s="553"/>
      <c r="E267" s="553"/>
      <c r="F267" s="557" t="str">
        <f>IF(LEN(A267)&gt;2,LEFT(VLOOKUP(A267,COPY!$A$2:$AC$1000,29,FALSE),6),"")</f>
        <v/>
      </c>
      <c r="G267" s="558" t="str">
        <f>_xlfn.IFNA(IF(TEXT(F267,0)="Terima","",VLOOKUP(A267,COPY!$A$2:$AC$1000,29,FALSE)),"")</f>
        <v/>
      </c>
      <c r="H267" s="425"/>
      <c r="I267" s="559"/>
      <c r="J267" s="555"/>
      <c r="K267" s="608">
        <f>_xlfn.IFNA(IF(TEXT(F267,0)="Terima",0,VLOOKUP(A267,COPY!$A$2:$AC$1000,26,FALSE)),0)</f>
        <v>0</v>
      </c>
      <c r="L267" s="548">
        <f t="shared" si="23"/>
        <v>0</v>
      </c>
      <c r="M267" s="549">
        <f t="shared" si="24"/>
        <v>0</v>
      </c>
      <c r="O267" s="538" t="str">
        <f t="shared" si="25"/>
        <v/>
      </c>
      <c r="P267" s="550"/>
      <c r="Q267" s="551"/>
    </row>
    <row r="268" spans="1:17" s="253" customFormat="1" ht="20.100000000000001" hidden="1" customHeight="1" x14ac:dyDescent="0.25">
      <c r="A268" s="253" t="str">
        <f t="shared" si="26"/>
        <v/>
      </c>
      <c r="B268" s="609" t="str">
        <f>IF(LEFT(F268,1)="B",VLOOKUP(A268,COPY!$A$2:$AC$1000,4,FALSE),"")</f>
        <v/>
      </c>
      <c r="C268" s="586"/>
      <c r="D268" s="553"/>
      <c r="E268" s="553"/>
      <c r="F268" s="557" t="str">
        <f>IF(LEN(A268)&gt;2,LEFT(VLOOKUP(A268,COPY!$A$2:$AC$1000,29,FALSE),6),"")</f>
        <v/>
      </c>
      <c r="G268" s="558" t="str">
        <f>_xlfn.IFNA(IF(TEXT(F268,0)="Terima","",VLOOKUP(A268,COPY!$A$2:$AC$1000,29,FALSE)),"")</f>
        <v/>
      </c>
      <c r="H268" s="425"/>
      <c r="I268" s="559"/>
      <c r="J268" s="555"/>
      <c r="K268" s="608">
        <f>_xlfn.IFNA(IF(TEXT(F268,0)="Terima",0,VLOOKUP(A268,COPY!$A$2:$AC$1000,26,FALSE)),0)</f>
        <v>0</v>
      </c>
      <c r="L268" s="548">
        <f t="shared" si="23"/>
        <v>0</v>
      </c>
      <c r="M268" s="549">
        <f t="shared" si="24"/>
        <v>0</v>
      </c>
      <c r="O268" s="538" t="str">
        <f t="shared" si="25"/>
        <v/>
      </c>
      <c r="P268" s="550"/>
      <c r="Q268" s="551"/>
    </row>
    <row r="269" spans="1:17" s="253" customFormat="1" ht="20.100000000000001" hidden="1" customHeight="1" x14ac:dyDescent="0.25">
      <c r="A269" s="253" t="str">
        <f t="shared" si="26"/>
        <v/>
      </c>
      <c r="B269" s="609" t="str">
        <f>IF(LEFT(F269,1)="B",VLOOKUP(A269,COPY!$A$2:$AC$1000,4,FALSE),"")</f>
        <v/>
      </c>
      <c r="C269" s="586"/>
      <c r="D269" s="553"/>
      <c r="E269" s="553"/>
      <c r="F269" s="557" t="str">
        <f>IF(LEN(A269)&gt;2,LEFT(VLOOKUP(A269,COPY!$A$2:$AC$1000,29,FALSE),6),"")</f>
        <v/>
      </c>
      <c r="G269" s="558" t="str">
        <f>_xlfn.IFNA(IF(TEXT(F269,0)="Terima","",VLOOKUP(A269,COPY!$A$2:$AC$1000,29,FALSE)),"")</f>
        <v/>
      </c>
      <c r="H269" s="425"/>
      <c r="I269" s="559"/>
      <c r="J269" s="555"/>
      <c r="K269" s="608">
        <f>_xlfn.IFNA(IF(TEXT(F269,0)="Terima",0,VLOOKUP(A269,COPY!$A$2:$AC$1000,26,FALSE)),0)</f>
        <v>0</v>
      </c>
      <c r="L269" s="548">
        <f t="shared" si="23"/>
        <v>0</v>
      </c>
      <c r="M269" s="549">
        <f t="shared" si="24"/>
        <v>0</v>
      </c>
      <c r="O269" s="538" t="str">
        <f t="shared" si="25"/>
        <v/>
      </c>
      <c r="P269" s="550"/>
      <c r="Q269" s="551"/>
    </row>
    <row r="270" spans="1:17" s="253" customFormat="1" ht="20.100000000000001" hidden="1" customHeight="1" x14ac:dyDescent="0.25">
      <c r="A270" s="253" t="str">
        <f t="shared" si="26"/>
        <v/>
      </c>
      <c r="B270" s="609" t="str">
        <f>IF(LEFT(F270,1)="B",VLOOKUP(A270,COPY!$A$2:$AC$1000,4,FALSE),"")</f>
        <v/>
      </c>
      <c r="C270" s="586"/>
      <c r="D270" s="553"/>
      <c r="E270" s="553"/>
      <c r="F270" s="557" t="str">
        <f>IF(LEN(A270)&gt;2,LEFT(VLOOKUP(A270,COPY!$A$2:$AC$1000,29,FALSE),6),"")</f>
        <v/>
      </c>
      <c r="G270" s="558" t="str">
        <f>_xlfn.IFNA(IF(TEXT(F270,0)="Terima","",VLOOKUP(A270,COPY!$A$2:$AC$1000,29,FALSE)),"")</f>
        <v/>
      </c>
      <c r="H270" s="425"/>
      <c r="I270" s="559"/>
      <c r="J270" s="555"/>
      <c r="K270" s="608">
        <f>_xlfn.IFNA(IF(TEXT(F270,0)="Terima",0,VLOOKUP(A270,COPY!$A$2:$AC$1000,26,FALSE)),0)</f>
        <v>0</v>
      </c>
      <c r="L270" s="548">
        <f t="shared" si="23"/>
        <v>0</v>
      </c>
      <c r="M270" s="549">
        <f t="shared" si="24"/>
        <v>0</v>
      </c>
      <c r="O270" s="538" t="str">
        <f t="shared" si="25"/>
        <v/>
      </c>
      <c r="P270" s="550"/>
      <c r="Q270" s="551"/>
    </row>
    <row r="271" spans="1:17" s="253" customFormat="1" ht="20.100000000000001" hidden="1" customHeight="1" x14ac:dyDescent="0.25">
      <c r="A271" s="253" t="str">
        <f t="shared" si="26"/>
        <v/>
      </c>
      <c r="B271" s="609" t="str">
        <f>IF(LEFT(F271,1)="B",VLOOKUP(A271,COPY!$A$2:$AC$1000,4,FALSE),"")</f>
        <v/>
      </c>
      <c r="C271" s="586"/>
      <c r="D271" s="553"/>
      <c r="E271" s="553"/>
      <c r="F271" s="557" t="str">
        <f>IF(LEN(A271)&gt;2,LEFT(VLOOKUP(A271,COPY!$A$2:$AC$1000,29,FALSE),6),"")</f>
        <v/>
      </c>
      <c r="G271" s="558" t="str">
        <f>_xlfn.IFNA(IF(TEXT(F271,0)="Terima","",VLOOKUP(A271,COPY!$A$2:$AC$1000,29,FALSE)),"")</f>
        <v/>
      </c>
      <c r="H271" s="425"/>
      <c r="I271" s="559"/>
      <c r="J271" s="555"/>
      <c r="K271" s="608">
        <f>_xlfn.IFNA(IF(TEXT(F271,0)="Terima",0,VLOOKUP(A271,COPY!$A$2:$AC$1000,26,FALSE)),0)</f>
        <v>0</v>
      </c>
      <c r="L271" s="548">
        <f t="shared" si="23"/>
        <v>0</v>
      </c>
      <c r="M271" s="549">
        <f t="shared" si="24"/>
        <v>0</v>
      </c>
      <c r="O271" s="538" t="str">
        <f t="shared" si="25"/>
        <v/>
      </c>
      <c r="P271" s="550"/>
      <c r="Q271" s="551"/>
    </row>
    <row r="272" spans="1:17" s="253" customFormat="1" ht="20.100000000000001" hidden="1" customHeight="1" x14ac:dyDescent="0.25">
      <c r="A272" s="253" t="str">
        <f t="shared" si="26"/>
        <v/>
      </c>
      <c r="B272" s="609" t="str">
        <f>IF(LEFT(F272,1)="B",VLOOKUP(A272,COPY!$A$2:$AC$1000,4,FALSE),"")</f>
        <v/>
      </c>
      <c r="C272" s="586"/>
      <c r="D272" s="553"/>
      <c r="E272" s="553"/>
      <c r="F272" s="557" t="str">
        <f>IF(LEN(A272)&gt;2,LEFT(VLOOKUP(A272,COPY!$A$2:$AC$1000,29,FALSE),6),"")</f>
        <v/>
      </c>
      <c r="G272" s="558" t="str">
        <f>_xlfn.IFNA(IF(TEXT(F272,0)="Terima","",VLOOKUP(A272,COPY!$A$2:$AC$1000,29,FALSE)),"")</f>
        <v/>
      </c>
      <c r="H272" s="425"/>
      <c r="I272" s="559"/>
      <c r="J272" s="555"/>
      <c r="K272" s="608">
        <f>_xlfn.IFNA(IF(TEXT(F272,0)="Terima",0,VLOOKUP(A272,COPY!$A$2:$AC$1000,26,FALSE)),0)</f>
        <v>0</v>
      </c>
      <c r="L272" s="548">
        <f t="shared" si="23"/>
        <v>0</v>
      </c>
      <c r="M272" s="549">
        <f t="shared" si="24"/>
        <v>0</v>
      </c>
      <c r="O272" s="538" t="str">
        <f t="shared" si="25"/>
        <v/>
      </c>
      <c r="P272" s="550"/>
      <c r="Q272" s="551"/>
    </row>
    <row r="273" spans="1:17" s="253" customFormat="1" ht="20.100000000000001" hidden="1" customHeight="1" x14ac:dyDescent="0.25">
      <c r="A273" s="253" t="str">
        <f t="shared" si="26"/>
        <v/>
      </c>
      <c r="B273" s="609" t="str">
        <f>IF(LEFT(F273,1)="B",VLOOKUP(A273,COPY!$A$2:$AC$1000,4,FALSE),"")</f>
        <v/>
      </c>
      <c r="C273" s="586"/>
      <c r="D273" s="553"/>
      <c r="E273" s="553"/>
      <c r="F273" s="557" t="str">
        <f>IF(LEN(A273)&gt;2,LEFT(VLOOKUP(A273,COPY!$A$2:$AC$1000,29,FALSE),6),"")</f>
        <v/>
      </c>
      <c r="G273" s="558" t="str">
        <f>_xlfn.IFNA(IF(TEXT(F273,0)="Terima","",VLOOKUP(A273,COPY!$A$2:$AC$1000,29,FALSE)),"")</f>
        <v/>
      </c>
      <c r="H273" s="425"/>
      <c r="I273" s="559"/>
      <c r="J273" s="555"/>
      <c r="K273" s="608">
        <f>_xlfn.IFNA(IF(TEXT(F273,0)="Terima",0,VLOOKUP(A273,COPY!$A$2:$AC$1000,26,FALSE)),0)</f>
        <v>0</v>
      </c>
      <c r="L273" s="548">
        <f t="shared" si="23"/>
        <v>0</v>
      </c>
      <c r="M273" s="549">
        <f t="shared" si="24"/>
        <v>0</v>
      </c>
      <c r="O273" s="538" t="str">
        <f t="shared" si="25"/>
        <v/>
      </c>
      <c r="P273" s="550"/>
      <c r="Q273" s="551"/>
    </row>
    <row r="274" spans="1:17" s="253" customFormat="1" ht="20.100000000000001" hidden="1" customHeight="1" x14ac:dyDescent="0.25">
      <c r="A274" s="253" t="str">
        <f t="shared" si="26"/>
        <v/>
      </c>
      <c r="B274" s="609" t="str">
        <f>IF(LEFT(F274,1)="B",VLOOKUP(A274,COPY!$A$2:$AC$1000,4,FALSE),"")</f>
        <v/>
      </c>
      <c r="C274" s="586"/>
      <c r="D274" s="553"/>
      <c r="E274" s="553"/>
      <c r="F274" s="557" t="str">
        <f>IF(LEN(A274)&gt;2,LEFT(VLOOKUP(A274,COPY!$A$2:$AC$1000,29,FALSE),6),"")</f>
        <v/>
      </c>
      <c r="G274" s="558" t="str">
        <f>_xlfn.IFNA(IF(TEXT(F274,0)="Terima","",VLOOKUP(A274,COPY!$A$2:$AC$1000,29,FALSE)),"")</f>
        <v/>
      </c>
      <c r="H274" s="425"/>
      <c r="I274" s="559"/>
      <c r="J274" s="555"/>
      <c r="K274" s="608">
        <f>_xlfn.IFNA(IF(TEXT(F274,0)="Terima",0,VLOOKUP(A274,COPY!$A$2:$AC$1000,26,FALSE)),0)</f>
        <v>0</v>
      </c>
      <c r="L274" s="548">
        <f t="shared" si="23"/>
        <v>0</v>
      </c>
      <c r="M274" s="549">
        <f t="shared" si="24"/>
        <v>0</v>
      </c>
      <c r="O274" s="538" t="str">
        <f t="shared" si="25"/>
        <v/>
      </c>
      <c r="P274" s="550"/>
      <c r="Q274" s="551"/>
    </row>
    <row r="275" spans="1:17" s="253" customFormat="1" ht="20.100000000000001" hidden="1" customHeight="1" x14ac:dyDescent="0.25">
      <c r="A275" s="253" t="str">
        <f t="shared" si="26"/>
        <v/>
      </c>
      <c r="B275" s="609" t="str">
        <f>IF(LEFT(F275,1)="B",VLOOKUP(A275,COPY!$A$2:$AC$1000,4,FALSE),"")</f>
        <v/>
      </c>
      <c r="C275" s="586"/>
      <c r="D275" s="553"/>
      <c r="E275" s="553"/>
      <c r="F275" s="557" t="str">
        <f>IF(LEN(A275)&gt;2,LEFT(VLOOKUP(A275,COPY!$A$2:$AC$1000,29,FALSE),6),"")</f>
        <v/>
      </c>
      <c r="G275" s="558" t="str">
        <f>_xlfn.IFNA(IF(TEXT(F275,0)="Terima","",VLOOKUP(A275,COPY!$A$2:$AC$1000,29,FALSE)),"")</f>
        <v/>
      </c>
      <c r="H275" s="425"/>
      <c r="I275" s="559"/>
      <c r="J275" s="555"/>
      <c r="K275" s="608">
        <f>_xlfn.IFNA(IF(TEXT(F275,0)="Terima",0,VLOOKUP(A275,COPY!$A$2:$AC$1000,26,FALSE)),0)</f>
        <v>0</v>
      </c>
      <c r="L275" s="548">
        <f t="shared" si="23"/>
        <v>0</v>
      </c>
      <c r="M275" s="549">
        <f t="shared" si="24"/>
        <v>0</v>
      </c>
      <c r="O275" s="538" t="str">
        <f t="shared" si="25"/>
        <v/>
      </c>
      <c r="P275" s="550"/>
      <c r="Q275" s="551"/>
    </row>
    <row r="276" spans="1:17" s="253" customFormat="1" ht="20.100000000000001" hidden="1" customHeight="1" x14ac:dyDescent="0.25">
      <c r="A276" s="253" t="str">
        <f t="shared" si="26"/>
        <v/>
      </c>
      <c r="B276" s="609" t="str">
        <f>IF(LEFT(F276,1)="B",VLOOKUP(A276,COPY!$A$2:$AC$1000,4,FALSE),"")</f>
        <v/>
      </c>
      <c r="C276" s="586"/>
      <c r="D276" s="553"/>
      <c r="E276" s="553"/>
      <c r="F276" s="557" t="str">
        <f>IF(LEN(A276)&gt;2,LEFT(VLOOKUP(A276,COPY!$A$2:$AC$1000,29,FALSE),6),"")</f>
        <v/>
      </c>
      <c r="G276" s="558" t="str">
        <f>_xlfn.IFNA(IF(TEXT(F276,0)="Terima","",VLOOKUP(A276,COPY!$A$2:$AC$1000,29,FALSE)),"")</f>
        <v/>
      </c>
      <c r="H276" s="425"/>
      <c r="I276" s="559"/>
      <c r="J276" s="555"/>
      <c r="K276" s="608">
        <f>_xlfn.IFNA(IF(TEXT(F276,0)="Terima",0,VLOOKUP(A276,COPY!$A$2:$AC$1000,26,FALSE)),0)</f>
        <v>0</v>
      </c>
      <c r="L276" s="548">
        <f t="shared" si="23"/>
        <v>0</v>
      </c>
      <c r="M276" s="549">
        <f t="shared" si="24"/>
        <v>0</v>
      </c>
      <c r="O276" s="538" t="str">
        <f t="shared" si="25"/>
        <v/>
      </c>
      <c r="P276" s="550"/>
      <c r="Q276" s="551"/>
    </row>
    <row r="277" spans="1:17" s="253" customFormat="1" ht="20.100000000000001" hidden="1" customHeight="1" x14ac:dyDescent="0.25">
      <c r="A277" s="253" t="str">
        <f t="shared" si="26"/>
        <v/>
      </c>
      <c r="B277" s="609" t="str">
        <f>IF(LEFT(F277,1)="B",VLOOKUP(A277,COPY!$A$2:$AC$1000,4,FALSE),"")</f>
        <v/>
      </c>
      <c r="C277" s="586"/>
      <c r="D277" s="553"/>
      <c r="E277" s="553"/>
      <c r="F277" s="557" t="str">
        <f>IF(LEN(A277)&gt;2,LEFT(VLOOKUP(A277,COPY!$A$2:$AC$1000,29,FALSE),6),"")</f>
        <v/>
      </c>
      <c r="G277" s="558" t="str">
        <f>_xlfn.IFNA(IF(TEXT(F277,0)="Terima","",VLOOKUP(A277,COPY!$A$2:$AC$1000,29,FALSE)),"")</f>
        <v/>
      </c>
      <c r="H277" s="425"/>
      <c r="I277" s="559"/>
      <c r="J277" s="555"/>
      <c r="K277" s="608">
        <f>_xlfn.IFNA(IF(TEXT(F277,0)="Terima",0,VLOOKUP(A277,COPY!$A$2:$AC$1000,26,FALSE)),0)</f>
        <v>0</v>
      </c>
      <c r="L277" s="548">
        <f t="shared" si="23"/>
        <v>0</v>
      </c>
      <c r="M277" s="549">
        <f t="shared" si="24"/>
        <v>0</v>
      </c>
      <c r="O277" s="538" t="str">
        <f t="shared" si="25"/>
        <v/>
      </c>
      <c r="P277" s="550"/>
      <c r="Q277" s="551"/>
    </row>
    <row r="278" spans="1:17" s="253" customFormat="1" ht="20.100000000000001" hidden="1" customHeight="1" x14ac:dyDescent="0.25">
      <c r="A278" s="253" t="str">
        <f t="shared" si="26"/>
        <v/>
      </c>
      <c r="B278" s="609" t="str">
        <f>IF(LEFT(F278,1)="B",VLOOKUP(A278,COPY!$A$2:$AC$1000,4,FALSE),"")</f>
        <v/>
      </c>
      <c r="C278" s="586"/>
      <c r="D278" s="553"/>
      <c r="E278" s="553"/>
      <c r="F278" s="557" t="str">
        <f>IF(LEN(A278)&gt;2,LEFT(VLOOKUP(A278,COPY!$A$2:$AC$1000,29,FALSE),6),"")</f>
        <v/>
      </c>
      <c r="G278" s="558" t="str">
        <f>_xlfn.IFNA(IF(TEXT(F278,0)="Terima","",VLOOKUP(A278,COPY!$A$2:$AC$1000,29,FALSE)),"")</f>
        <v/>
      </c>
      <c r="H278" s="425"/>
      <c r="I278" s="559"/>
      <c r="J278" s="555"/>
      <c r="K278" s="608">
        <f>_xlfn.IFNA(IF(TEXT(F278,0)="Terima",0,VLOOKUP(A278,COPY!$A$2:$AC$1000,26,FALSE)),0)</f>
        <v>0</v>
      </c>
      <c r="L278" s="548">
        <f t="shared" si="23"/>
        <v>0</v>
      </c>
      <c r="M278" s="549">
        <f t="shared" si="24"/>
        <v>0</v>
      </c>
      <c r="O278" s="538" t="str">
        <f t="shared" si="25"/>
        <v/>
      </c>
      <c r="P278" s="550"/>
      <c r="Q278" s="551"/>
    </row>
    <row r="279" spans="1:17" s="253" customFormat="1" ht="20.100000000000001" hidden="1" customHeight="1" x14ac:dyDescent="0.25">
      <c r="A279" s="253" t="str">
        <f t="shared" si="26"/>
        <v/>
      </c>
      <c r="B279" s="609" t="str">
        <f>IF(LEFT(F279,1)="B",VLOOKUP(A279,COPY!$A$2:$AC$1000,4,FALSE),"")</f>
        <v/>
      </c>
      <c r="C279" s="586"/>
      <c r="D279" s="553"/>
      <c r="E279" s="553"/>
      <c r="F279" s="557" t="str">
        <f>IF(LEN(A279)&gt;2,LEFT(VLOOKUP(A279,COPY!$A$2:$AC$1000,29,FALSE),6),"")</f>
        <v/>
      </c>
      <c r="G279" s="558" t="str">
        <f>_xlfn.IFNA(IF(TEXT(F279,0)="Terima","",VLOOKUP(A279,COPY!$A$2:$AC$1000,29,FALSE)),"")</f>
        <v/>
      </c>
      <c r="H279" s="425"/>
      <c r="I279" s="559"/>
      <c r="J279" s="555"/>
      <c r="K279" s="608">
        <f>_xlfn.IFNA(IF(TEXT(F279,0)="Terima",0,VLOOKUP(A279,COPY!$A$2:$AC$1000,26,FALSE)),0)</f>
        <v>0</v>
      </c>
      <c r="L279" s="548">
        <f t="shared" si="23"/>
        <v>0</v>
      </c>
      <c r="M279" s="549">
        <f t="shared" si="24"/>
        <v>0</v>
      </c>
      <c r="O279" s="538" t="str">
        <f t="shared" si="25"/>
        <v/>
      </c>
      <c r="P279" s="550"/>
      <c r="Q279" s="551"/>
    </row>
    <row r="280" spans="1:17" s="253" customFormat="1" ht="20.100000000000001" hidden="1" customHeight="1" x14ac:dyDescent="0.25">
      <c r="A280" s="253" t="str">
        <f t="shared" si="26"/>
        <v/>
      </c>
      <c r="B280" s="609" t="str">
        <f>IF(LEFT(F280,1)="B",VLOOKUP(A280,COPY!$A$2:$AC$1000,4,FALSE),"")</f>
        <v/>
      </c>
      <c r="C280" s="586"/>
      <c r="D280" s="553"/>
      <c r="E280" s="553"/>
      <c r="F280" s="557" t="str">
        <f>IF(LEN(A280)&gt;2,LEFT(VLOOKUP(A280,COPY!$A$2:$AC$1000,29,FALSE),6),"")</f>
        <v/>
      </c>
      <c r="G280" s="558" t="str">
        <f>_xlfn.IFNA(IF(TEXT(F280,0)="Terima","",VLOOKUP(A280,COPY!$A$2:$AC$1000,29,FALSE)),"")</f>
        <v/>
      </c>
      <c r="H280" s="425"/>
      <c r="I280" s="559"/>
      <c r="J280" s="555"/>
      <c r="K280" s="608">
        <f>_xlfn.IFNA(IF(TEXT(F280,0)="Terima",0,VLOOKUP(A280,COPY!$A$2:$AC$1000,26,FALSE)),0)</f>
        <v>0</v>
      </c>
      <c r="L280" s="548">
        <f t="shared" si="23"/>
        <v>0</v>
      </c>
      <c r="M280" s="549">
        <f t="shared" si="24"/>
        <v>0</v>
      </c>
      <c r="O280" s="538" t="str">
        <f t="shared" si="25"/>
        <v/>
      </c>
      <c r="P280" s="550"/>
      <c r="Q280" s="551"/>
    </row>
    <row r="281" spans="1:17" s="253" customFormat="1" ht="20.100000000000001" hidden="1" customHeight="1" x14ac:dyDescent="0.25">
      <c r="A281" s="253" t="str">
        <f t="shared" si="26"/>
        <v/>
      </c>
      <c r="B281" s="609" t="str">
        <f>IF(LEFT(F281,1)="B",VLOOKUP(A281,COPY!$A$2:$AC$1000,4,FALSE),"")</f>
        <v/>
      </c>
      <c r="C281" s="586"/>
      <c r="D281" s="553"/>
      <c r="E281" s="553"/>
      <c r="F281" s="557" t="str">
        <f>IF(LEN(A281)&gt;2,LEFT(VLOOKUP(A281,COPY!$A$2:$AC$1000,29,FALSE),6),"")</f>
        <v/>
      </c>
      <c r="G281" s="558" t="str">
        <f>_xlfn.IFNA(IF(TEXT(F281,0)="Terima","",VLOOKUP(A281,COPY!$A$2:$AC$1000,29,FALSE)),"")</f>
        <v/>
      </c>
      <c r="H281" s="425"/>
      <c r="I281" s="559"/>
      <c r="J281" s="555"/>
      <c r="K281" s="608">
        <f>_xlfn.IFNA(IF(TEXT(F281,0)="Terima",0,VLOOKUP(A281,COPY!$A$2:$AC$1000,26,FALSE)),0)</f>
        <v>0</v>
      </c>
      <c r="L281" s="548">
        <f t="shared" si="23"/>
        <v>0</v>
      </c>
      <c r="M281" s="549">
        <f t="shared" si="24"/>
        <v>0</v>
      </c>
      <c r="O281" s="538" t="str">
        <f t="shared" si="25"/>
        <v/>
      </c>
      <c r="P281" s="550"/>
      <c r="Q281" s="551"/>
    </row>
    <row r="282" spans="1:17" s="253" customFormat="1" ht="20.100000000000001" hidden="1" customHeight="1" x14ac:dyDescent="0.25">
      <c r="A282" s="253" t="str">
        <f t="shared" si="26"/>
        <v/>
      </c>
      <c r="B282" s="609" t="str">
        <f>IF(LEFT(F282,1)="B",VLOOKUP(A282,COPY!$A$2:$AC$1000,4,FALSE),"")</f>
        <v/>
      </c>
      <c r="C282" s="586"/>
      <c r="D282" s="553"/>
      <c r="E282" s="553"/>
      <c r="F282" s="557" t="str">
        <f>IF(LEN(A282)&gt;2,LEFT(VLOOKUP(A282,COPY!$A$2:$AC$1000,29,FALSE),6),"")</f>
        <v/>
      </c>
      <c r="G282" s="558" t="str">
        <f>_xlfn.IFNA(IF(TEXT(F282,0)="Terima","",VLOOKUP(A282,COPY!$A$2:$AC$1000,29,FALSE)),"")</f>
        <v/>
      </c>
      <c r="H282" s="425"/>
      <c r="I282" s="559"/>
      <c r="J282" s="555"/>
      <c r="K282" s="608">
        <f>_xlfn.IFNA(IF(TEXT(F282,0)="Terima",0,VLOOKUP(A282,COPY!$A$2:$AC$1000,26,FALSE)),0)</f>
        <v>0</v>
      </c>
      <c r="L282" s="548">
        <f t="shared" si="23"/>
        <v>0</v>
      </c>
      <c r="M282" s="549">
        <f t="shared" si="24"/>
        <v>0</v>
      </c>
      <c r="O282" s="538" t="str">
        <f t="shared" si="25"/>
        <v/>
      </c>
      <c r="P282" s="550"/>
      <c r="Q282" s="551"/>
    </row>
    <row r="283" spans="1:17" s="253" customFormat="1" ht="20.100000000000001" hidden="1" customHeight="1" x14ac:dyDescent="0.25">
      <c r="A283" s="253" t="str">
        <f t="shared" si="26"/>
        <v/>
      </c>
      <c r="B283" s="609" t="str">
        <f>IF(LEFT(F283,1)="B",VLOOKUP(A283,COPY!$A$2:$AC$1000,4,FALSE),"")</f>
        <v/>
      </c>
      <c r="C283" s="586"/>
      <c r="D283" s="553"/>
      <c r="E283" s="553"/>
      <c r="F283" s="557" t="str">
        <f>IF(LEN(A283)&gt;2,LEFT(VLOOKUP(A283,COPY!$A$2:$AC$1000,29,FALSE),6),"")</f>
        <v/>
      </c>
      <c r="G283" s="558" t="str">
        <f>_xlfn.IFNA(IF(TEXT(F283,0)="Terima","",VLOOKUP(A283,COPY!$A$2:$AC$1000,29,FALSE)),"")</f>
        <v/>
      </c>
      <c r="H283" s="425"/>
      <c r="I283" s="559"/>
      <c r="J283" s="555"/>
      <c r="K283" s="608">
        <f>_xlfn.IFNA(IF(TEXT(F283,0)="Terima",0,VLOOKUP(A283,COPY!$A$2:$AC$1000,26,FALSE)),0)</f>
        <v>0</v>
      </c>
      <c r="L283" s="548">
        <f t="shared" si="23"/>
        <v>0</v>
      </c>
      <c r="M283" s="549">
        <f t="shared" si="24"/>
        <v>0</v>
      </c>
      <c r="O283" s="538" t="str">
        <f t="shared" si="25"/>
        <v/>
      </c>
      <c r="P283" s="550"/>
      <c r="Q283" s="551"/>
    </row>
    <row r="284" spans="1:17" s="253" customFormat="1" ht="20.100000000000001" hidden="1" customHeight="1" x14ac:dyDescent="0.25">
      <c r="A284" s="253" t="str">
        <f t="shared" si="26"/>
        <v/>
      </c>
      <c r="B284" s="609" t="str">
        <f>IF(LEFT(F284,1)="B",VLOOKUP(A284,COPY!$A$2:$AC$1000,4,FALSE),"")</f>
        <v/>
      </c>
      <c r="C284" s="586"/>
      <c r="D284" s="553"/>
      <c r="E284" s="553"/>
      <c r="F284" s="557" t="str">
        <f>IF(LEN(A284)&gt;2,LEFT(VLOOKUP(A284,COPY!$A$2:$AC$1000,29,FALSE),6),"")</f>
        <v/>
      </c>
      <c r="G284" s="558" t="str">
        <f>_xlfn.IFNA(IF(TEXT(F284,0)="Terima","",VLOOKUP(A284,COPY!$A$2:$AC$1000,29,FALSE)),"")</f>
        <v/>
      </c>
      <c r="H284" s="425"/>
      <c r="I284" s="559"/>
      <c r="J284" s="555"/>
      <c r="K284" s="608">
        <f>_xlfn.IFNA(IF(TEXT(F284,0)="Terima",0,VLOOKUP(A284,COPY!$A$2:$AC$1000,26,FALSE)),0)</f>
        <v>0</v>
      </c>
      <c r="L284" s="548">
        <f t="shared" si="23"/>
        <v>0</v>
      </c>
      <c r="M284" s="549">
        <f t="shared" si="24"/>
        <v>0</v>
      </c>
      <c r="O284" s="538" t="str">
        <f t="shared" si="25"/>
        <v/>
      </c>
      <c r="P284" s="550"/>
      <c r="Q284" s="551"/>
    </row>
    <row r="285" spans="1:17" s="253" customFormat="1" ht="20.100000000000001" hidden="1" customHeight="1" x14ac:dyDescent="0.25">
      <c r="A285" s="253" t="str">
        <f t="shared" si="26"/>
        <v/>
      </c>
      <c r="B285" s="609" t="str">
        <f>IF(LEFT(F285,1)="B",VLOOKUP(A285,COPY!$A$2:$AC$1000,4,FALSE),"")</f>
        <v/>
      </c>
      <c r="C285" s="586"/>
      <c r="D285" s="553"/>
      <c r="E285" s="553"/>
      <c r="F285" s="557" t="str">
        <f>IF(LEN(A285)&gt;2,LEFT(VLOOKUP(A285,COPY!$A$2:$AC$1000,29,FALSE),6),"")</f>
        <v/>
      </c>
      <c r="G285" s="558" t="str">
        <f>_xlfn.IFNA(IF(TEXT(F285,0)="Terima","",VLOOKUP(A285,COPY!$A$2:$AC$1000,29,FALSE)),"")</f>
        <v/>
      </c>
      <c r="H285" s="425"/>
      <c r="I285" s="559"/>
      <c r="J285" s="555"/>
      <c r="K285" s="608">
        <f>_xlfn.IFNA(IF(TEXT(F285,0)="Terima",0,VLOOKUP(A285,COPY!$A$2:$AC$1000,26,FALSE)),0)</f>
        <v>0</v>
      </c>
      <c r="L285" s="548">
        <f t="shared" si="23"/>
        <v>0</v>
      </c>
      <c r="M285" s="549">
        <f t="shared" si="24"/>
        <v>0</v>
      </c>
      <c r="O285" s="538" t="str">
        <f t="shared" si="25"/>
        <v/>
      </c>
      <c r="P285" s="550"/>
      <c r="Q285" s="551"/>
    </row>
    <row r="286" spans="1:17" s="253" customFormat="1" ht="20.100000000000001" hidden="1" customHeight="1" x14ac:dyDescent="0.25">
      <c r="A286" s="253" t="str">
        <f t="shared" si="26"/>
        <v/>
      </c>
      <c r="B286" s="609" t="str">
        <f>IF(LEFT(F286,1)="B",VLOOKUP(A286,COPY!$A$2:$AC$1000,4,FALSE),"")</f>
        <v/>
      </c>
      <c r="C286" s="586"/>
      <c r="D286" s="553"/>
      <c r="E286" s="553"/>
      <c r="F286" s="557" t="str">
        <f>IF(LEN(A286)&gt;2,LEFT(VLOOKUP(A286,COPY!$A$2:$AC$1000,29,FALSE),6),"")</f>
        <v/>
      </c>
      <c r="G286" s="558" t="str">
        <f>_xlfn.IFNA(IF(TEXT(F286,0)="Terima","",VLOOKUP(A286,COPY!$A$2:$AC$1000,29,FALSE)),"")</f>
        <v/>
      </c>
      <c r="H286" s="425"/>
      <c r="I286" s="559"/>
      <c r="J286" s="555"/>
      <c r="K286" s="608">
        <f>_xlfn.IFNA(IF(TEXT(F286,0)="Terima",0,VLOOKUP(A286,COPY!$A$2:$AC$1000,26,FALSE)),0)</f>
        <v>0</v>
      </c>
      <c r="L286" s="548">
        <f t="shared" si="23"/>
        <v>0</v>
      </c>
      <c r="M286" s="549">
        <f t="shared" si="24"/>
        <v>0</v>
      </c>
      <c r="O286" s="538" t="str">
        <f t="shared" si="25"/>
        <v/>
      </c>
      <c r="P286" s="550"/>
      <c r="Q286" s="551"/>
    </row>
    <row r="287" spans="1:17" s="253" customFormat="1" ht="20.100000000000001" hidden="1" customHeight="1" x14ac:dyDescent="0.25">
      <c r="A287" s="253" t="str">
        <f t="shared" si="26"/>
        <v/>
      </c>
      <c r="B287" s="609" t="str">
        <f>IF(LEFT(F287,1)="B",VLOOKUP(A287,COPY!$A$2:$AC$1000,4,FALSE),"")</f>
        <v/>
      </c>
      <c r="C287" s="586"/>
      <c r="D287" s="553"/>
      <c r="E287" s="553"/>
      <c r="F287" s="557" t="str">
        <f>IF(LEN(A287)&gt;2,LEFT(VLOOKUP(A287,COPY!$A$2:$AC$1000,29,FALSE),6),"")</f>
        <v/>
      </c>
      <c r="G287" s="558" t="str">
        <f>_xlfn.IFNA(IF(TEXT(F287,0)="Terima","",VLOOKUP(A287,COPY!$A$2:$AC$1000,29,FALSE)),"")</f>
        <v/>
      </c>
      <c r="H287" s="425"/>
      <c r="I287" s="559"/>
      <c r="J287" s="555"/>
      <c r="K287" s="608">
        <f>_xlfn.IFNA(IF(TEXT(F287,0)="Terima",0,VLOOKUP(A287,COPY!$A$2:$AC$1000,26,FALSE)),0)</f>
        <v>0</v>
      </c>
      <c r="L287" s="548">
        <f t="shared" si="23"/>
        <v>0</v>
      </c>
      <c r="M287" s="549">
        <f t="shared" si="24"/>
        <v>0</v>
      </c>
      <c r="O287" s="538" t="str">
        <f t="shared" si="25"/>
        <v/>
      </c>
      <c r="P287" s="550"/>
      <c r="Q287" s="551"/>
    </row>
    <row r="288" spans="1:17" s="253" customFormat="1" ht="20.100000000000001" hidden="1" customHeight="1" x14ac:dyDescent="0.25">
      <c r="A288" s="253" t="str">
        <f t="shared" si="26"/>
        <v/>
      </c>
      <c r="B288" s="609" t="str">
        <f>IF(LEFT(F288,1)="B",VLOOKUP(A288,COPY!$A$2:$AC$1000,4,FALSE),"")</f>
        <v/>
      </c>
      <c r="C288" s="586"/>
      <c r="D288" s="553"/>
      <c r="E288" s="553"/>
      <c r="F288" s="557" t="str">
        <f>IF(LEN(A288)&gt;2,LEFT(VLOOKUP(A288,COPY!$A$2:$AC$1000,29,FALSE),6),"")</f>
        <v/>
      </c>
      <c r="G288" s="558" t="str">
        <f>_xlfn.IFNA(IF(TEXT(F288,0)="Terima","",VLOOKUP(A288,COPY!$A$2:$AC$1000,29,FALSE)),"")</f>
        <v/>
      </c>
      <c r="H288" s="425"/>
      <c r="I288" s="559"/>
      <c r="J288" s="555"/>
      <c r="K288" s="608">
        <f>_xlfn.IFNA(IF(TEXT(F288,0)="Terima",0,VLOOKUP(A288,COPY!$A$2:$AC$1000,26,FALSE)),0)</f>
        <v>0</v>
      </c>
      <c r="L288" s="548">
        <f t="shared" si="23"/>
        <v>0</v>
      </c>
      <c r="M288" s="549">
        <f t="shared" si="24"/>
        <v>0</v>
      </c>
      <c r="O288" s="538" t="str">
        <f t="shared" si="25"/>
        <v/>
      </c>
      <c r="P288" s="550"/>
      <c r="Q288" s="551"/>
    </row>
    <row r="289" spans="1:17" s="253" customFormat="1" ht="20.100000000000001" hidden="1" customHeight="1" x14ac:dyDescent="0.25">
      <c r="A289" s="253" t="str">
        <f t="shared" si="26"/>
        <v/>
      </c>
      <c r="B289" s="609" t="str">
        <f>IF(LEFT(F289,1)="B",VLOOKUP(A289,COPY!$A$2:$AC$1000,4,FALSE),"")</f>
        <v/>
      </c>
      <c r="C289" s="586"/>
      <c r="D289" s="553"/>
      <c r="E289" s="553"/>
      <c r="F289" s="557" t="str">
        <f>IF(LEN(A289)&gt;2,LEFT(VLOOKUP(A289,COPY!$A$2:$AC$1000,29,FALSE),6),"")</f>
        <v/>
      </c>
      <c r="G289" s="558" t="str">
        <f>_xlfn.IFNA(IF(TEXT(F289,0)="Terima","",VLOOKUP(A289,COPY!$A$2:$AC$1000,29,FALSE)),"")</f>
        <v/>
      </c>
      <c r="H289" s="425"/>
      <c r="I289" s="559"/>
      <c r="J289" s="555"/>
      <c r="K289" s="608">
        <f>_xlfn.IFNA(IF(TEXT(F289,0)="Terima",0,VLOOKUP(A289,COPY!$A$2:$AC$1000,26,FALSE)),0)</f>
        <v>0</v>
      </c>
      <c r="L289" s="548">
        <f t="shared" si="23"/>
        <v>0</v>
      </c>
      <c r="M289" s="549">
        <f t="shared" si="24"/>
        <v>0</v>
      </c>
      <c r="O289" s="538" t="str">
        <f t="shared" si="25"/>
        <v/>
      </c>
      <c r="P289" s="550"/>
      <c r="Q289" s="551"/>
    </row>
    <row r="290" spans="1:17" s="253" customFormat="1" ht="20.100000000000001" hidden="1" customHeight="1" x14ac:dyDescent="0.25">
      <c r="A290" s="253" t="str">
        <f t="shared" si="26"/>
        <v/>
      </c>
      <c r="B290" s="609" t="str">
        <f>IF(LEFT(F290,1)="B",VLOOKUP(A290,COPY!$A$2:$AC$1000,4,FALSE),"")</f>
        <v/>
      </c>
      <c r="C290" s="586"/>
      <c r="D290" s="553"/>
      <c r="E290" s="553"/>
      <c r="F290" s="557" t="str">
        <f>IF(LEN(A290)&gt;2,LEFT(VLOOKUP(A290,COPY!$A$2:$AC$1000,29,FALSE),6),"")</f>
        <v/>
      </c>
      <c r="G290" s="558" t="str">
        <f>_xlfn.IFNA(IF(TEXT(F290,0)="Terima","",VLOOKUP(A290,COPY!$A$2:$AC$1000,29,FALSE)),"")</f>
        <v/>
      </c>
      <c r="H290" s="425"/>
      <c r="I290" s="559"/>
      <c r="J290" s="555"/>
      <c r="K290" s="608">
        <f>_xlfn.IFNA(IF(TEXT(F290,0)="Terima",0,VLOOKUP(A290,COPY!$A$2:$AC$1000,26,FALSE)),0)</f>
        <v>0</v>
      </c>
      <c r="L290" s="548">
        <f t="shared" si="23"/>
        <v>0</v>
      </c>
      <c r="M290" s="549">
        <f t="shared" si="24"/>
        <v>0</v>
      </c>
      <c r="O290" s="538" t="str">
        <f t="shared" si="25"/>
        <v/>
      </c>
      <c r="P290" s="550"/>
      <c r="Q290" s="551"/>
    </row>
    <row r="291" spans="1:17" s="253" customFormat="1" ht="20.100000000000001" hidden="1" customHeight="1" x14ac:dyDescent="0.25">
      <c r="A291" s="253" t="str">
        <f t="shared" si="26"/>
        <v/>
      </c>
      <c r="B291" s="609" t="str">
        <f>IF(LEFT(F291,1)="B",VLOOKUP(A291,COPY!$A$2:$AC$1000,4,FALSE),"")</f>
        <v/>
      </c>
      <c r="C291" s="586"/>
      <c r="D291" s="553"/>
      <c r="E291" s="553"/>
      <c r="F291" s="557" t="str">
        <f>IF(LEN(A291)&gt;2,LEFT(VLOOKUP(A291,COPY!$A$2:$AC$1000,29,FALSE),6),"")</f>
        <v/>
      </c>
      <c r="G291" s="558" t="str">
        <f>_xlfn.IFNA(IF(TEXT(F291,0)="Terima","",VLOOKUP(A291,COPY!$A$2:$AC$1000,29,FALSE)),"")</f>
        <v/>
      </c>
      <c r="H291" s="425"/>
      <c r="I291" s="559"/>
      <c r="J291" s="555"/>
      <c r="K291" s="608">
        <f>_xlfn.IFNA(IF(TEXT(F291,0)="Terima",0,VLOOKUP(A291,COPY!$A$2:$AC$1000,26,FALSE)),0)</f>
        <v>0</v>
      </c>
      <c r="L291" s="548">
        <f t="shared" si="23"/>
        <v>0</v>
      </c>
      <c r="M291" s="549">
        <f t="shared" si="24"/>
        <v>0</v>
      </c>
      <c r="O291" s="538" t="str">
        <f t="shared" si="25"/>
        <v/>
      </c>
      <c r="P291" s="550"/>
      <c r="Q291" s="551"/>
    </row>
    <row r="292" spans="1:17" s="253" customFormat="1" ht="20.100000000000001" hidden="1" customHeight="1" x14ac:dyDescent="0.25">
      <c r="A292" s="253" t="str">
        <f t="shared" si="26"/>
        <v/>
      </c>
      <c r="B292" s="609" t="str">
        <f>IF(LEFT(F292,1)="B",VLOOKUP(A292,COPY!$A$2:$AC$1000,4,FALSE),"")</f>
        <v/>
      </c>
      <c r="C292" s="586"/>
      <c r="D292" s="553"/>
      <c r="E292" s="553"/>
      <c r="F292" s="557" t="str">
        <f>IF(LEN(A292)&gt;2,LEFT(VLOOKUP(A292,COPY!$A$2:$AC$1000,29,FALSE),6),"")</f>
        <v/>
      </c>
      <c r="G292" s="558" t="str">
        <f>_xlfn.IFNA(IF(TEXT(F292,0)="Terima","",VLOOKUP(A292,COPY!$A$2:$AC$1000,29,FALSE)),"")</f>
        <v/>
      </c>
      <c r="H292" s="425"/>
      <c r="I292" s="559"/>
      <c r="J292" s="555"/>
      <c r="K292" s="608">
        <f>_xlfn.IFNA(IF(TEXT(F292,0)="Terima",0,VLOOKUP(A292,COPY!$A$2:$AC$1000,26,FALSE)),0)</f>
        <v>0</v>
      </c>
      <c r="L292" s="548">
        <f t="shared" si="23"/>
        <v>0</v>
      </c>
      <c r="M292" s="549">
        <f t="shared" si="24"/>
        <v>0</v>
      </c>
      <c r="O292" s="538" t="str">
        <f t="shared" si="25"/>
        <v/>
      </c>
      <c r="P292" s="550"/>
      <c r="Q292" s="551"/>
    </row>
    <row r="293" spans="1:17" s="253" customFormat="1" ht="20.100000000000001" hidden="1" customHeight="1" x14ac:dyDescent="0.25">
      <c r="A293" s="253" t="str">
        <f t="shared" si="26"/>
        <v/>
      </c>
      <c r="B293" s="609" t="str">
        <f>IF(LEFT(F293,1)="B",VLOOKUP(A293,COPY!$A$2:$AC$1000,4,FALSE),"")</f>
        <v/>
      </c>
      <c r="C293" s="586"/>
      <c r="D293" s="553"/>
      <c r="E293" s="553"/>
      <c r="F293" s="557" t="str">
        <f>IF(LEN(A293)&gt;2,LEFT(VLOOKUP(A293,COPY!$A$2:$AC$1000,29,FALSE),6),"")</f>
        <v/>
      </c>
      <c r="G293" s="558" t="str">
        <f>_xlfn.IFNA(IF(TEXT(F293,0)="Terima","",VLOOKUP(A293,COPY!$A$2:$AC$1000,29,FALSE)),"")</f>
        <v/>
      </c>
      <c r="H293" s="425"/>
      <c r="I293" s="559"/>
      <c r="J293" s="555"/>
      <c r="K293" s="608">
        <f>_xlfn.IFNA(IF(TEXT(F293,0)="Terima",0,VLOOKUP(A293,COPY!$A$2:$AC$1000,26,FALSE)),0)</f>
        <v>0</v>
      </c>
      <c r="L293" s="548">
        <f t="shared" si="23"/>
        <v>0</v>
      </c>
      <c r="M293" s="549">
        <f t="shared" si="24"/>
        <v>0</v>
      </c>
      <c r="O293" s="538" t="str">
        <f t="shared" si="25"/>
        <v/>
      </c>
      <c r="P293" s="550"/>
      <c r="Q293" s="551"/>
    </row>
    <row r="294" spans="1:17" s="253" customFormat="1" ht="20.100000000000001" hidden="1" customHeight="1" x14ac:dyDescent="0.25">
      <c r="A294" s="253" t="str">
        <f t="shared" si="26"/>
        <v/>
      </c>
      <c r="B294" s="609" t="str">
        <f>IF(LEFT(F294,1)="B",VLOOKUP(A294,COPY!$A$2:$AC$1000,4,FALSE),"")</f>
        <v/>
      </c>
      <c r="C294" s="586"/>
      <c r="D294" s="553"/>
      <c r="E294" s="553"/>
      <c r="F294" s="557" t="str">
        <f>IF(LEN(A294)&gt;2,LEFT(VLOOKUP(A294,COPY!$A$2:$AC$1000,29,FALSE),6),"")</f>
        <v/>
      </c>
      <c r="G294" s="558" t="str">
        <f>_xlfn.IFNA(IF(TEXT(F294,0)="Terima","",VLOOKUP(A294,COPY!$A$2:$AC$1000,29,FALSE)),"")</f>
        <v/>
      </c>
      <c r="H294" s="425"/>
      <c r="I294" s="559"/>
      <c r="J294" s="555"/>
      <c r="K294" s="608">
        <f>_xlfn.IFNA(IF(TEXT(F294,0)="Terima",0,VLOOKUP(A294,COPY!$A$2:$AC$1000,26,FALSE)),0)</f>
        <v>0</v>
      </c>
      <c r="L294" s="548">
        <f t="shared" si="23"/>
        <v>0</v>
      </c>
      <c r="M294" s="549">
        <f t="shared" si="24"/>
        <v>0</v>
      </c>
      <c r="O294" s="538" t="str">
        <f t="shared" si="25"/>
        <v/>
      </c>
      <c r="P294" s="550"/>
      <c r="Q294" s="551"/>
    </row>
    <row r="295" spans="1:17" s="253" customFormat="1" ht="20.100000000000001" hidden="1" customHeight="1" x14ac:dyDescent="0.25">
      <c r="A295" s="253" t="str">
        <f t="shared" si="26"/>
        <v/>
      </c>
      <c r="B295" s="609" t="str">
        <f>IF(LEFT(F295,1)="B",VLOOKUP(A295,COPY!$A$2:$AC$1000,4,FALSE),"")</f>
        <v/>
      </c>
      <c r="C295" s="586"/>
      <c r="D295" s="553"/>
      <c r="E295" s="553"/>
      <c r="F295" s="557" t="str">
        <f>IF(LEN(A295)&gt;2,LEFT(VLOOKUP(A295,COPY!$A$2:$AC$1000,29,FALSE),6),"")</f>
        <v/>
      </c>
      <c r="G295" s="558" t="str">
        <f>_xlfn.IFNA(IF(TEXT(F295,0)="Terima","",VLOOKUP(A295,COPY!$A$2:$AC$1000,29,FALSE)),"")</f>
        <v/>
      </c>
      <c r="H295" s="425"/>
      <c r="I295" s="559"/>
      <c r="J295" s="555"/>
      <c r="K295" s="608">
        <f>_xlfn.IFNA(IF(TEXT(F295,0)="Terima",0,VLOOKUP(A295,COPY!$A$2:$AC$1000,26,FALSE)),0)</f>
        <v>0</v>
      </c>
      <c r="L295" s="548">
        <f t="shared" si="23"/>
        <v>0</v>
      </c>
      <c r="M295" s="549">
        <f t="shared" si="24"/>
        <v>0</v>
      </c>
      <c r="O295" s="538" t="str">
        <f t="shared" si="25"/>
        <v/>
      </c>
      <c r="P295" s="550"/>
      <c r="Q295" s="551"/>
    </row>
    <row r="296" spans="1:17" s="253" customFormat="1" ht="20.100000000000001" hidden="1" customHeight="1" x14ac:dyDescent="0.25">
      <c r="A296" s="253" t="str">
        <f t="shared" si="26"/>
        <v/>
      </c>
      <c r="B296" s="609" t="str">
        <f>IF(LEFT(F296,1)="B",VLOOKUP(A296,COPY!$A$2:$AC$1000,4,FALSE),"")</f>
        <v/>
      </c>
      <c r="C296" s="586"/>
      <c r="D296" s="553"/>
      <c r="E296" s="553"/>
      <c r="F296" s="557" t="str">
        <f>IF(LEN(A296)&gt;2,LEFT(VLOOKUP(A296,COPY!$A$2:$AC$1000,29,FALSE),6),"")</f>
        <v/>
      </c>
      <c r="G296" s="558" t="str">
        <f>_xlfn.IFNA(IF(TEXT(F296,0)="Terima","",VLOOKUP(A296,COPY!$A$2:$AC$1000,29,FALSE)),"")</f>
        <v/>
      </c>
      <c r="H296" s="425"/>
      <c r="I296" s="559"/>
      <c r="J296" s="555"/>
      <c r="K296" s="608">
        <f>_xlfn.IFNA(IF(TEXT(F296,0)="Terima",0,VLOOKUP(A296,COPY!$A$2:$AC$1000,26,FALSE)),0)</f>
        <v>0</v>
      </c>
      <c r="L296" s="548">
        <f t="shared" si="23"/>
        <v>0</v>
      </c>
      <c r="M296" s="549">
        <f t="shared" si="24"/>
        <v>0</v>
      </c>
      <c r="O296" s="538" t="str">
        <f t="shared" si="25"/>
        <v/>
      </c>
      <c r="P296" s="550"/>
      <c r="Q296" s="551"/>
    </row>
    <row r="297" spans="1:17" s="253" customFormat="1" ht="20.100000000000001" hidden="1" customHeight="1" x14ac:dyDescent="0.25">
      <c r="A297" s="253" t="str">
        <f t="shared" si="26"/>
        <v/>
      </c>
      <c r="B297" s="609" t="str">
        <f>IF(LEFT(F297,1)="B",VLOOKUP(A297,COPY!$A$2:$AC$1000,4,FALSE),"")</f>
        <v/>
      </c>
      <c r="C297" s="586"/>
      <c r="D297" s="553"/>
      <c r="E297" s="553"/>
      <c r="F297" s="557" t="str">
        <f>IF(LEN(A297)&gt;2,LEFT(VLOOKUP(A297,COPY!$A$2:$AC$1000,29,FALSE),6),"")</f>
        <v/>
      </c>
      <c r="G297" s="558" t="str">
        <f>_xlfn.IFNA(IF(TEXT(F297,0)="Terima","",VLOOKUP(A297,COPY!$A$2:$AC$1000,29,FALSE)),"")</f>
        <v/>
      </c>
      <c r="H297" s="425"/>
      <c r="I297" s="559"/>
      <c r="J297" s="555"/>
      <c r="K297" s="608">
        <f>_xlfn.IFNA(IF(TEXT(F297,0)="Terima",0,VLOOKUP(A297,COPY!$A$2:$AC$1000,26,FALSE)),0)</f>
        <v>0</v>
      </c>
      <c r="L297" s="548">
        <f t="shared" si="23"/>
        <v>0</v>
      </c>
      <c r="M297" s="549">
        <f t="shared" si="24"/>
        <v>0</v>
      </c>
      <c r="O297" s="538" t="str">
        <f t="shared" si="25"/>
        <v/>
      </c>
      <c r="P297" s="550"/>
      <c r="Q297" s="551"/>
    </row>
    <row r="298" spans="1:17" s="253" customFormat="1" ht="20.100000000000001" hidden="1" customHeight="1" x14ac:dyDescent="0.25">
      <c r="A298" s="253" t="str">
        <f t="shared" si="26"/>
        <v/>
      </c>
      <c r="B298" s="609" t="str">
        <f>IF(LEFT(F298,1)="B",VLOOKUP(A298,COPY!$A$2:$AC$1000,4,FALSE),"")</f>
        <v/>
      </c>
      <c r="C298" s="586"/>
      <c r="D298" s="553"/>
      <c r="E298" s="553"/>
      <c r="F298" s="557" t="str">
        <f>IF(LEN(A298)&gt;2,LEFT(VLOOKUP(A298,COPY!$A$2:$AC$1000,29,FALSE),6),"")</f>
        <v/>
      </c>
      <c r="G298" s="558" t="str">
        <f>_xlfn.IFNA(IF(TEXT(F298,0)="Terima","",VLOOKUP(A298,COPY!$A$2:$AC$1000,29,FALSE)),"")</f>
        <v/>
      </c>
      <c r="H298" s="425"/>
      <c r="I298" s="559"/>
      <c r="J298" s="555"/>
      <c r="K298" s="608">
        <f>_xlfn.IFNA(IF(TEXT(F298,0)="Terima",0,VLOOKUP(A298,COPY!$A$2:$AC$1000,26,FALSE)),0)</f>
        <v>0</v>
      </c>
      <c r="L298" s="548">
        <f t="shared" ref="L298:L322" si="27">IF(K298&gt;0,IF(O298&gt;=0,O298,IF(O298&lt;0,0,0)),0)</f>
        <v>0</v>
      </c>
      <c r="M298" s="549">
        <f t="shared" ref="M298:M322" si="28">IF(O298&lt;0,O298,IF(O298&gt;=0,0,0))</f>
        <v>0</v>
      </c>
      <c r="O298" s="538" t="str">
        <f t="shared" ref="O298:O322" si="29">IF(J298&gt;0,O297+J298,IF(K298&gt;0,O297-K298,O297))</f>
        <v/>
      </c>
      <c r="P298" s="550"/>
      <c r="Q298" s="551"/>
    </row>
    <row r="299" spans="1:17" s="253" customFormat="1" ht="20.100000000000001" hidden="1" customHeight="1" x14ac:dyDescent="0.25">
      <c r="A299" s="253" t="str">
        <f t="shared" ref="A299:A322" si="30">A144</f>
        <v/>
      </c>
      <c r="B299" s="609" t="str">
        <f>IF(LEFT(F299,1)="B",VLOOKUP(A299,COPY!$A$2:$AC$1000,4,FALSE),"")</f>
        <v/>
      </c>
      <c r="C299" s="586"/>
      <c r="D299" s="553"/>
      <c r="E299" s="553"/>
      <c r="F299" s="557" t="str">
        <f>IF(LEN(A299)&gt;2,LEFT(VLOOKUP(A299,COPY!$A$2:$AC$1000,29,FALSE),6),"")</f>
        <v/>
      </c>
      <c r="G299" s="558" t="str">
        <f>_xlfn.IFNA(IF(TEXT(F299,0)="Terima","",VLOOKUP(A299,COPY!$A$2:$AC$1000,29,FALSE)),"")</f>
        <v/>
      </c>
      <c r="H299" s="425"/>
      <c r="I299" s="559"/>
      <c r="J299" s="555"/>
      <c r="K299" s="608">
        <f>_xlfn.IFNA(IF(TEXT(F299,0)="Terima",0,VLOOKUP(A299,COPY!$A$2:$AC$1000,26,FALSE)),0)</f>
        <v>0</v>
      </c>
      <c r="L299" s="548">
        <f t="shared" si="27"/>
        <v>0</v>
      </c>
      <c r="M299" s="549">
        <f t="shared" si="28"/>
        <v>0</v>
      </c>
      <c r="O299" s="538" t="str">
        <f t="shared" si="29"/>
        <v/>
      </c>
      <c r="P299" s="550"/>
      <c r="Q299" s="551"/>
    </row>
    <row r="300" spans="1:17" s="253" customFormat="1" ht="20.100000000000001" hidden="1" customHeight="1" x14ac:dyDescent="0.25">
      <c r="A300" s="253" t="str">
        <f t="shared" si="30"/>
        <v/>
      </c>
      <c r="B300" s="609" t="str">
        <f>IF(LEFT(F300,1)="B",VLOOKUP(A300,COPY!$A$2:$AC$1000,4,FALSE),"")</f>
        <v/>
      </c>
      <c r="C300" s="586"/>
      <c r="D300" s="553"/>
      <c r="E300" s="553"/>
      <c r="F300" s="557" t="str">
        <f>IF(LEN(A300)&gt;2,LEFT(VLOOKUP(A300,COPY!$A$2:$AC$1000,29,FALSE),6),"")</f>
        <v/>
      </c>
      <c r="G300" s="558" t="str">
        <f>_xlfn.IFNA(IF(TEXT(F300,0)="Terima","",VLOOKUP(A300,COPY!$A$2:$AC$1000,29,FALSE)),"")</f>
        <v/>
      </c>
      <c r="H300" s="425"/>
      <c r="I300" s="559"/>
      <c r="J300" s="555"/>
      <c r="K300" s="608">
        <f>_xlfn.IFNA(IF(TEXT(F300,0)="Terima",0,VLOOKUP(A300,COPY!$A$2:$AC$1000,26,FALSE)),0)</f>
        <v>0</v>
      </c>
      <c r="L300" s="548">
        <f t="shared" si="27"/>
        <v>0</v>
      </c>
      <c r="M300" s="549">
        <f t="shared" si="28"/>
        <v>0</v>
      </c>
      <c r="O300" s="538" t="str">
        <f t="shared" si="29"/>
        <v/>
      </c>
      <c r="P300" s="550"/>
      <c r="Q300" s="551"/>
    </row>
    <row r="301" spans="1:17" s="253" customFormat="1" ht="20.100000000000001" hidden="1" customHeight="1" x14ac:dyDescent="0.25">
      <c r="A301" s="253" t="str">
        <f t="shared" si="30"/>
        <v/>
      </c>
      <c r="B301" s="609" t="str">
        <f>IF(LEFT(F301,1)="B",VLOOKUP(A301,COPY!$A$2:$AC$1000,4,FALSE),"")</f>
        <v/>
      </c>
      <c r="C301" s="586"/>
      <c r="D301" s="553"/>
      <c r="E301" s="553"/>
      <c r="F301" s="557" t="str">
        <f>IF(LEN(A301)&gt;2,LEFT(VLOOKUP(A301,COPY!$A$2:$AC$1000,29,FALSE),6),"")</f>
        <v/>
      </c>
      <c r="G301" s="558" t="str">
        <f>_xlfn.IFNA(IF(TEXT(F301,0)="Terima","",VLOOKUP(A301,COPY!$A$2:$AC$1000,29,FALSE)),"")</f>
        <v/>
      </c>
      <c r="H301" s="425"/>
      <c r="I301" s="559"/>
      <c r="J301" s="555"/>
      <c r="K301" s="608">
        <f>_xlfn.IFNA(IF(TEXT(F301,0)="Terima",0,VLOOKUP(A301,COPY!$A$2:$AC$1000,26,FALSE)),0)</f>
        <v>0</v>
      </c>
      <c r="L301" s="548">
        <f t="shared" si="27"/>
        <v>0</v>
      </c>
      <c r="M301" s="549">
        <f t="shared" si="28"/>
        <v>0</v>
      </c>
      <c r="O301" s="538" t="str">
        <f t="shared" si="29"/>
        <v/>
      </c>
      <c r="P301" s="550"/>
      <c r="Q301" s="551"/>
    </row>
    <row r="302" spans="1:17" s="253" customFormat="1" ht="20.100000000000001" hidden="1" customHeight="1" x14ac:dyDescent="0.25">
      <c r="A302" s="253" t="str">
        <f t="shared" si="30"/>
        <v/>
      </c>
      <c r="B302" s="609" t="str">
        <f>IF(LEFT(F302,1)="B",VLOOKUP(A302,COPY!$A$2:$AC$1000,4,FALSE),"")</f>
        <v/>
      </c>
      <c r="C302" s="586"/>
      <c r="D302" s="553"/>
      <c r="E302" s="553"/>
      <c r="F302" s="557" t="str">
        <f>IF(LEN(A302)&gt;2,LEFT(VLOOKUP(A302,COPY!$A$2:$AC$1000,29,FALSE),6),"")</f>
        <v/>
      </c>
      <c r="G302" s="558" t="str">
        <f>_xlfn.IFNA(IF(TEXT(F302,0)="Terima","",VLOOKUP(A302,COPY!$A$2:$AC$1000,29,FALSE)),"")</f>
        <v/>
      </c>
      <c r="H302" s="425"/>
      <c r="I302" s="559"/>
      <c r="J302" s="555"/>
      <c r="K302" s="608">
        <f>_xlfn.IFNA(IF(TEXT(F302,0)="Terima",0,VLOOKUP(A302,COPY!$A$2:$AC$1000,26,FALSE)),0)</f>
        <v>0</v>
      </c>
      <c r="L302" s="548">
        <f t="shared" si="27"/>
        <v>0</v>
      </c>
      <c r="M302" s="549">
        <f t="shared" si="28"/>
        <v>0</v>
      </c>
      <c r="O302" s="538" t="str">
        <f t="shared" si="29"/>
        <v/>
      </c>
      <c r="P302" s="550"/>
      <c r="Q302" s="551"/>
    </row>
    <row r="303" spans="1:17" s="253" customFormat="1" ht="20.100000000000001" hidden="1" customHeight="1" x14ac:dyDescent="0.25">
      <c r="A303" s="253" t="str">
        <f t="shared" si="30"/>
        <v/>
      </c>
      <c r="B303" s="609" t="str">
        <f>IF(LEFT(F303,1)="B",VLOOKUP(A303,COPY!$A$2:$AC$1000,4,FALSE),"")</f>
        <v/>
      </c>
      <c r="C303" s="586"/>
      <c r="D303" s="553"/>
      <c r="E303" s="553"/>
      <c r="F303" s="557" t="str">
        <f>IF(LEN(A303)&gt;2,LEFT(VLOOKUP(A303,COPY!$A$2:$AC$1000,29,FALSE),6),"")</f>
        <v/>
      </c>
      <c r="G303" s="558" t="str">
        <f>_xlfn.IFNA(IF(TEXT(F303,0)="Terima","",VLOOKUP(A303,COPY!$A$2:$AC$1000,29,FALSE)),"")</f>
        <v/>
      </c>
      <c r="H303" s="425"/>
      <c r="I303" s="559"/>
      <c r="J303" s="555"/>
      <c r="K303" s="608">
        <f>_xlfn.IFNA(IF(TEXT(F303,0)="Terima",0,VLOOKUP(A303,COPY!$A$2:$AC$1000,26,FALSE)),0)</f>
        <v>0</v>
      </c>
      <c r="L303" s="548">
        <f t="shared" si="27"/>
        <v>0</v>
      </c>
      <c r="M303" s="549">
        <f t="shared" si="28"/>
        <v>0</v>
      </c>
      <c r="O303" s="538" t="str">
        <f t="shared" si="29"/>
        <v/>
      </c>
      <c r="P303" s="550"/>
      <c r="Q303" s="551"/>
    </row>
    <row r="304" spans="1:17" s="253" customFormat="1" ht="20.100000000000001" hidden="1" customHeight="1" x14ac:dyDescent="0.25">
      <c r="A304" s="253" t="str">
        <f t="shared" si="30"/>
        <v/>
      </c>
      <c r="B304" s="609" t="str">
        <f>IF(LEFT(F304,1)="B",VLOOKUP(A304,COPY!$A$2:$AC$1000,4,FALSE),"")</f>
        <v/>
      </c>
      <c r="C304" s="586"/>
      <c r="D304" s="553"/>
      <c r="E304" s="553"/>
      <c r="F304" s="557" t="str">
        <f>IF(LEN(A304)&gt;2,LEFT(VLOOKUP(A304,COPY!$A$2:$AC$1000,29,FALSE),6),"")</f>
        <v/>
      </c>
      <c r="G304" s="558" t="str">
        <f>_xlfn.IFNA(IF(TEXT(F304,0)="Terima","",VLOOKUP(A304,COPY!$A$2:$AC$1000,29,FALSE)),"")</f>
        <v/>
      </c>
      <c r="H304" s="425"/>
      <c r="I304" s="559"/>
      <c r="J304" s="555"/>
      <c r="K304" s="608">
        <f>_xlfn.IFNA(IF(TEXT(F304,0)="Terima",0,VLOOKUP(A304,COPY!$A$2:$AC$1000,26,FALSE)),0)</f>
        <v>0</v>
      </c>
      <c r="L304" s="548">
        <f t="shared" si="27"/>
        <v>0</v>
      </c>
      <c r="M304" s="549">
        <f t="shared" si="28"/>
        <v>0</v>
      </c>
      <c r="O304" s="538" t="str">
        <f t="shared" si="29"/>
        <v/>
      </c>
      <c r="P304" s="550"/>
      <c r="Q304" s="551"/>
    </row>
    <row r="305" spans="1:17" s="253" customFormat="1" ht="20.100000000000001" hidden="1" customHeight="1" x14ac:dyDescent="0.25">
      <c r="A305" s="253" t="str">
        <f t="shared" si="30"/>
        <v/>
      </c>
      <c r="B305" s="609" t="str">
        <f>IF(LEFT(F305,1)="B",VLOOKUP(A305,COPY!$A$2:$AC$1000,4,FALSE),"")</f>
        <v/>
      </c>
      <c r="C305" s="586"/>
      <c r="D305" s="553"/>
      <c r="E305" s="553"/>
      <c r="F305" s="557" t="str">
        <f>IF(LEN(A305)&gt;2,LEFT(VLOOKUP(A305,COPY!$A$2:$AC$1000,29,FALSE),6),"")</f>
        <v/>
      </c>
      <c r="G305" s="558" t="str">
        <f>_xlfn.IFNA(IF(TEXT(F305,0)="Terima","",VLOOKUP(A305,COPY!$A$2:$AC$1000,29,FALSE)),"")</f>
        <v/>
      </c>
      <c r="H305" s="425"/>
      <c r="I305" s="559"/>
      <c r="J305" s="555"/>
      <c r="K305" s="608">
        <f>_xlfn.IFNA(IF(TEXT(F305,0)="Terima",0,VLOOKUP(A305,COPY!$A$2:$AC$1000,26,FALSE)),0)</f>
        <v>0</v>
      </c>
      <c r="L305" s="548">
        <f t="shared" si="27"/>
        <v>0</v>
      </c>
      <c r="M305" s="549">
        <f t="shared" si="28"/>
        <v>0</v>
      </c>
      <c r="O305" s="538" t="str">
        <f t="shared" si="29"/>
        <v/>
      </c>
      <c r="P305" s="550"/>
      <c r="Q305" s="551"/>
    </row>
    <row r="306" spans="1:17" s="253" customFormat="1" ht="20.100000000000001" hidden="1" customHeight="1" x14ac:dyDescent="0.25">
      <c r="A306" s="253" t="str">
        <f t="shared" si="30"/>
        <v/>
      </c>
      <c r="B306" s="609" t="str">
        <f>IF(LEFT(F306,1)="B",VLOOKUP(A306,COPY!$A$2:$AC$1000,4,FALSE),"")</f>
        <v/>
      </c>
      <c r="C306" s="586"/>
      <c r="D306" s="553"/>
      <c r="E306" s="553"/>
      <c r="F306" s="557" t="str">
        <f>IF(LEN(A306)&gt;2,LEFT(VLOOKUP(A306,COPY!$A$2:$AC$1000,29,FALSE),6),"")</f>
        <v/>
      </c>
      <c r="G306" s="558" t="str">
        <f>_xlfn.IFNA(IF(TEXT(F306,0)="Terima","",VLOOKUP(A306,COPY!$A$2:$AC$1000,29,FALSE)),"")</f>
        <v/>
      </c>
      <c r="H306" s="425"/>
      <c r="I306" s="559"/>
      <c r="J306" s="555"/>
      <c r="K306" s="608">
        <f>_xlfn.IFNA(IF(TEXT(F306,0)="Terima",0,VLOOKUP(A306,COPY!$A$2:$AC$1000,26,FALSE)),0)</f>
        <v>0</v>
      </c>
      <c r="L306" s="548">
        <f t="shared" si="27"/>
        <v>0</v>
      </c>
      <c r="M306" s="549">
        <f t="shared" si="28"/>
        <v>0</v>
      </c>
      <c r="O306" s="538" t="str">
        <f t="shared" si="29"/>
        <v/>
      </c>
      <c r="P306" s="550"/>
      <c r="Q306" s="551"/>
    </row>
    <row r="307" spans="1:17" s="253" customFormat="1" ht="20.100000000000001" hidden="1" customHeight="1" x14ac:dyDescent="0.25">
      <c r="A307" s="253" t="str">
        <f t="shared" si="30"/>
        <v/>
      </c>
      <c r="B307" s="609" t="str">
        <f>IF(LEFT(F307,1)="B",VLOOKUP(A307,COPY!$A$2:$AC$1000,4,FALSE),"")</f>
        <v/>
      </c>
      <c r="C307" s="586"/>
      <c r="D307" s="553"/>
      <c r="E307" s="553"/>
      <c r="F307" s="557" t="str">
        <f>IF(LEN(A307)&gt;2,LEFT(VLOOKUP(A307,COPY!$A$2:$AC$1000,29,FALSE),6),"")</f>
        <v/>
      </c>
      <c r="G307" s="558" t="str">
        <f>_xlfn.IFNA(IF(TEXT(F307,0)="Terima","",VLOOKUP(A307,COPY!$A$2:$AC$1000,29,FALSE)),"")</f>
        <v/>
      </c>
      <c r="H307" s="425"/>
      <c r="I307" s="559"/>
      <c r="J307" s="555"/>
      <c r="K307" s="608">
        <f>_xlfn.IFNA(IF(TEXT(F307,0)="Terima",0,VLOOKUP(A307,COPY!$A$2:$AC$1000,26,FALSE)),0)</f>
        <v>0</v>
      </c>
      <c r="L307" s="548">
        <f t="shared" si="27"/>
        <v>0</v>
      </c>
      <c r="M307" s="549">
        <f t="shared" si="28"/>
        <v>0</v>
      </c>
      <c r="O307" s="538" t="str">
        <f t="shared" si="29"/>
        <v/>
      </c>
      <c r="P307" s="550"/>
      <c r="Q307" s="551"/>
    </row>
    <row r="308" spans="1:17" s="253" customFormat="1" ht="20.100000000000001" hidden="1" customHeight="1" x14ac:dyDescent="0.25">
      <c r="A308" s="253" t="str">
        <f t="shared" si="30"/>
        <v/>
      </c>
      <c r="B308" s="609" t="str">
        <f>IF(LEFT(F308,1)="B",VLOOKUP(A308,COPY!$A$2:$AC$1000,4,FALSE),"")</f>
        <v/>
      </c>
      <c r="C308" s="586"/>
      <c r="D308" s="553"/>
      <c r="E308" s="553"/>
      <c r="F308" s="557" t="str">
        <f>IF(LEN(A308)&gt;2,LEFT(VLOOKUP(A308,COPY!$A$2:$AC$1000,29,FALSE),6),"")</f>
        <v/>
      </c>
      <c r="G308" s="558" t="str">
        <f>_xlfn.IFNA(IF(TEXT(F308,0)="Terima","",VLOOKUP(A308,COPY!$A$2:$AC$1000,29,FALSE)),"")</f>
        <v/>
      </c>
      <c r="H308" s="425"/>
      <c r="I308" s="559"/>
      <c r="J308" s="555"/>
      <c r="K308" s="608">
        <f>_xlfn.IFNA(IF(TEXT(F308,0)="Terima",0,VLOOKUP(A308,COPY!$A$2:$AC$1000,26,FALSE)),0)</f>
        <v>0</v>
      </c>
      <c r="L308" s="548">
        <f t="shared" si="27"/>
        <v>0</v>
      </c>
      <c r="M308" s="549">
        <f t="shared" si="28"/>
        <v>0</v>
      </c>
      <c r="O308" s="538" t="str">
        <f t="shared" si="29"/>
        <v/>
      </c>
      <c r="P308" s="550"/>
      <c r="Q308" s="551"/>
    </row>
    <row r="309" spans="1:17" s="253" customFormat="1" ht="20.100000000000001" hidden="1" customHeight="1" x14ac:dyDescent="0.25">
      <c r="A309" s="253" t="str">
        <f t="shared" si="30"/>
        <v/>
      </c>
      <c r="B309" s="609" t="str">
        <f>IF(LEFT(F309,1)="B",VLOOKUP(A309,COPY!$A$2:$AC$1000,4,FALSE),"")</f>
        <v/>
      </c>
      <c r="C309" s="586"/>
      <c r="D309" s="553"/>
      <c r="E309" s="553"/>
      <c r="F309" s="557" t="str">
        <f>IF(LEN(A309)&gt;2,LEFT(VLOOKUP(A309,COPY!$A$2:$AC$1000,29,FALSE),6),"")</f>
        <v/>
      </c>
      <c r="G309" s="558" t="str">
        <f>_xlfn.IFNA(IF(TEXT(F309,0)="Terima","",VLOOKUP(A309,COPY!$A$2:$AC$1000,29,FALSE)),"")</f>
        <v/>
      </c>
      <c r="H309" s="425"/>
      <c r="I309" s="559"/>
      <c r="J309" s="555"/>
      <c r="K309" s="608">
        <f>_xlfn.IFNA(IF(TEXT(F309,0)="Terima",0,VLOOKUP(A309,COPY!$A$2:$AC$1000,26,FALSE)),0)</f>
        <v>0</v>
      </c>
      <c r="L309" s="548">
        <f t="shared" si="27"/>
        <v>0</v>
      </c>
      <c r="M309" s="549">
        <f t="shared" si="28"/>
        <v>0</v>
      </c>
      <c r="O309" s="538" t="str">
        <f t="shared" si="29"/>
        <v/>
      </c>
      <c r="P309" s="550"/>
      <c r="Q309" s="551"/>
    </row>
    <row r="310" spans="1:17" s="253" customFormat="1" ht="20.100000000000001" hidden="1" customHeight="1" x14ac:dyDescent="0.25">
      <c r="A310" s="253" t="str">
        <f t="shared" si="30"/>
        <v/>
      </c>
      <c r="B310" s="609" t="str">
        <f>IF(LEFT(F310,1)="B",VLOOKUP(A310,COPY!$A$2:$AC$1000,4,FALSE),"")</f>
        <v/>
      </c>
      <c r="C310" s="586"/>
      <c r="D310" s="553"/>
      <c r="E310" s="553"/>
      <c r="F310" s="557" t="str">
        <f>IF(LEN(A310)&gt;2,LEFT(VLOOKUP(A310,COPY!$A$2:$AC$1000,29,FALSE),6),"")</f>
        <v/>
      </c>
      <c r="G310" s="558" t="str">
        <f>_xlfn.IFNA(IF(TEXT(F310,0)="Terima","",VLOOKUP(A310,COPY!$A$2:$AC$1000,29,FALSE)),"")</f>
        <v/>
      </c>
      <c r="H310" s="425"/>
      <c r="I310" s="559"/>
      <c r="J310" s="555"/>
      <c r="K310" s="608">
        <f>_xlfn.IFNA(IF(TEXT(F310,0)="Terima",0,VLOOKUP(A310,COPY!$A$2:$AC$1000,26,FALSE)),0)</f>
        <v>0</v>
      </c>
      <c r="L310" s="548">
        <f t="shared" si="27"/>
        <v>0</v>
      </c>
      <c r="M310" s="549">
        <f t="shared" si="28"/>
        <v>0</v>
      </c>
      <c r="O310" s="538" t="str">
        <f t="shared" si="29"/>
        <v/>
      </c>
      <c r="P310" s="550"/>
      <c r="Q310" s="551"/>
    </row>
    <row r="311" spans="1:17" s="253" customFormat="1" ht="20.100000000000001" hidden="1" customHeight="1" x14ac:dyDescent="0.25">
      <c r="A311" s="253" t="str">
        <f t="shared" si="30"/>
        <v/>
      </c>
      <c r="B311" s="609" t="str">
        <f>IF(LEFT(F311,1)="B",VLOOKUP(A311,COPY!$A$2:$AC$1000,4,FALSE),"")</f>
        <v/>
      </c>
      <c r="C311" s="586"/>
      <c r="D311" s="553"/>
      <c r="E311" s="553"/>
      <c r="F311" s="557" t="str">
        <f>IF(LEN(A311)&gt;2,LEFT(VLOOKUP(A311,COPY!$A$2:$AC$1000,29,FALSE),6),"")</f>
        <v/>
      </c>
      <c r="G311" s="558" t="str">
        <f>_xlfn.IFNA(IF(TEXT(F311,0)="Terima","",VLOOKUP(A311,COPY!$A$2:$AC$1000,29,FALSE)),"")</f>
        <v/>
      </c>
      <c r="H311" s="425"/>
      <c r="I311" s="559"/>
      <c r="J311" s="555"/>
      <c r="K311" s="608">
        <f>_xlfn.IFNA(IF(TEXT(F311,0)="Terima",0,VLOOKUP(A311,COPY!$A$2:$AC$1000,26,FALSE)),0)</f>
        <v>0</v>
      </c>
      <c r="L311" s="548">
        <f t="shared" si="27"/>
        <v>0</v>
      </c>
      <c r="M311" s="549">
        <f t="shared" si="28"/>
        <v>0</v>
      </c>
      <c r="O311" s="538" t="str">
        <f t="shared" si="29"/>
        <v/>
      </c>
      <c r="P311" s="550"/>
      <c r="Q311" s="551"/>
    </row>
    <row r="312" spans="1:17" s="253" customFormat="1" ht="20.100000000000001" hidden="1" customHeight="1" x14ac:dyDescent="0.25">
      <c r="A312" s="253" t="str">
        <f t="shared" si="30"/>
        <v/>
      </c>
      <c r="B312" s="609" t="str">
        <f>IF(LEFT(F312,1)="B",VLOOKUP(A312,COPY!$A$2:$AC$1000,4,FALSE),"")</f>
        <v/>
      </c>
      <c r="C312" s="586"/>
      <c r="D312" s="553"/>
      <c r="E312" s="553"/>
      <c r="F312" s="557" t="str">
        <f>IF(LEN(A312)&gt;2,LEFT(VLOOKUP(A312,COPY!$A$2:$AC$1000,29,FALSE),6),"")</f>
        <v/>
      </c>
      <c r="G312" s="558" t="str">
        <f>_xlfn.IFNA(IF(TEXT(F312,0)="Terima","",VLOOKUP(A312,COPY!$A$2:$AC$1000,29,FALSE)),"")</f>
        <v/>
      </c>
      <c r="H312" s="425"/>
      <c r="I312" s="559"/>
      <c r="J312" s="555"/>
      <c r="K312" s="608">
        <f>_xlfn.IFNA(IF(TEXT(F312,0)="Terima",0,VLOOKUP(A312,COPY!$A$2:$AC$1000,26,FALSE)),0)</f>
        <v>0</v>
      </c>
      <c r="L312" s="548">
        <f t="shared" si="27"/>
        <v>0</v>
      </c>
      <c r="M312" s="549">
        <f t="shared" si="28"/>
        <v>0</v>
      </c>
      <c r="O312" s="538" t="str">
        <f t="shared" si="29"/>
        <v/>
      </c>
      <c r="P312" s="550"/>
      <c r="Q312" s="551"/>
    </row>
    <row r="313" spans="1:17" s="253" customFormat="1" ht="20.100000000000001" hidden="1" customHeight="1" x14ac:dyDescent="0.25">
      <c r="A313" s="253" t="str">
        <f t="shared" si="30"/>
        <v/>
      </c>
      <c r="B313" s="609" t="str">
        <f>IF(LEFT(F313,1)="B",VLOOKUP(A313,COPY!$A$2:$AC$1000,4,FALSE),"")</f>
        <v/>
      </c>
      <c r="C313" s="586"/>
      <c r="D313" s="553"/>
      <c r="E313" s="553"/>
      <c r="F313" s="557" t="str">
        <f>IF(LEN(A313)&gt;2,LEFT(VLOOKUP(A313,COPY!$A$2:$AC$1000,29,FALSE),6),"")</f>
        <v/>
      </c>
      <c r="G313" s="558" t="str">
        <f>_xlfn.IFNA(IF(TEXT(F313,0)="Terima","",VLOOKUP(A313,COPY!$A$2:$AC$1000,29,FALSE)),"")</f>
        <v/>
      </c>
      <c r="H313" s="425"/>
      <c r="I313" s="559"/>
      <c r="J313" s="555"/>
      <c r="K313" s="608">
        <f>_xlfn.IFNA(IF(TEXT(F313,0)="Terima",0,VLOOKUP(A313,COPY!$A$2:$AC$1000,26,FALSE)),0)</f>
        <v>0</v>
      </c>
      <c r="L313" s="548">
        <f t="shared" si="27"/>
        <v>0</v>
      </c>
      <c r="M313" s="549">
        <f t="shared" si="28"/>
        <v>0</v>
      </c>
      <c r="O313" s="538" t="str">
        <f t="shared" si="29"/>
        <v/>
      </c>
      <c r="P313" s="550"/>
      <c r="Q313" s="551"/>
    </row>
    <row r="314" spans="1:17" s="253" customFormat="1" ht="20.100000000000001" hidden="1" customHeight="1" x14ac:dyDescent="0.25">
      <c r="A314" s="253" t="str">
        <f t="shared" si="30"/>
        <v/>
      </c>
      <c r="B314" s="609" t="str">
        <f>IF(LEFT(F314,1)="B",VLOOKUP(A314,COPY!$A$2:$AC$1000,4,FALSE),"")</f>
        <v/>
      </c>
      <c r="C314" s="586"/>
      <c r="D314" s="553"/>
      <c r="E314" s="553"/>
      <c r="F314" s="557" t="str">
        <f>IF(LEN(A314)&gt;2,LEFT(VLOOKUP(A314,COPY!$A$2:$AC$1000,29,FALSE),6),"")</f>
        <v/>
      </c>
      <c r="G314" s="558" t="str">
        <f>_xlfn.IFNA(IF(TEXT(F314,0)="Terima","",VLOOKUP(A314,COPY!$A$2:$AC$1000,29,FALSE)),"")</f>
        <v/>
      </c>
      <c r="H314" s="425"/>
      <c r="I314" s="559"/>
      <c r="J314" s="555"/>
      <c r="K314" s="608">
        <f>_xlfn.IFNA(IF(TEXT(F314,0)="Terima",0,VLOOKUP(A314,COPY!$A$2:$AC$1000,26,FALSE)),0)</f>
        <v>0</v>
      </c>
      <c r="L314" s="548">
        <f t="shared" si="27"/>
        <v>0</v>
      </c>
      <c r="M314" s="549">
        <f t="shared" si="28"/>
        <v>0</v>
      </c>
      <c r="O314" s="538" t="str">
        <f t="shared" si="29"/>
        <v/>
      </c>
      <c r="P314" s="550"/>
      <c r="Q314" s="551"/>
    </row>
    <row r="315" spans="1:17" s="253" customFormat="1" ht="20.100000000000001" hidden="1" customHeight="1" x14ac:dyDescent="0.25">
      <c r="A315" s="253" t="str">
        <f t="shared" si="30"/>
        <v/>
      </c>
      <c r="B315" s="609" t="str">
        <f>IF(LEFT(F315,1)="B",VLOOKUP(A315,COPY!$A$2:$AC$1000,4,FALSE),"")</f>
        <v/>
      </c>
      <c r="C315" s="586"/>
      <c r="D315" s="553"/>
      <c r="E315" s="553"/>
      <c r="F315" s="557" t="str">
        <f>IF(LEN(A315)&gt;2,LEFT(VLOOKUP(A315,COPY!$A$2:$AC$1000,29,FALSE),6),"")</f>
        <v/>
      </c>
      <c r="G315" s="558" t="str">
        <f>_xlfn.IFNA(IF(TEXT(F315,0)="Terima","",VLOOKUP(A315,COPY!$A$2:$AC$1000,29,FALSE)),"")</f>
        <v/>
      </c>
      <c r="H315" s="425"/>
      <c r="I315" s="559"/>
      <c r="J315" s="555"/>
      <c r="K315" s="608">
        <f>_xlfn.IFNA(IF(TEXT(F315,0)="Terima",0,VLOOKUP(A315,COPY!$A$2:$AC$1000,26,FALSE)),0)</f>
        <v>0</v>
      </c>
      <c r="L315" s="548">
        <f t="shared" si="27"/>
        <v>0</v>
      </c>
      <c r="M315" s="549">
        <f t="shared" si="28"/>
        <v>0</v>
      </c>
      <c r="O315" s="538" t="str">
        <f t="shared" si="29"/>
        <v/>
      </c>
      <c r="P315" s="550"/>
      <c r="Q315" s="551"/>
    </row>
    <row r="316" spans="1:17" s="253" customFormat="1" ht="20.100000000000001" hidden="1" customHeight="1" x14ac:dyDescent="0.25">
      <c r="A316" s="253" t="str">
        <f t="shared" si="30"/>
        <v/>
      </c>
      <c r="B316" s="609" t="str">
        <f>IF(LEFT(F316,1)="B",VLOOKUP(A316,COPY!$A$2:$AC$1000,4,FALSE),"")</f>
        <v/>
      </c>
      <c r="C316" s="586"/>
      <c r="D316" s="553"/>
      <c r="E316" s="553"/>
      <c r="F316" s="557" t="str">
        <f>IF(LEN(A316)&gt;2,LEFT(VLOOKUP(A316,COPY!$A$2:$AC$1000,29,FALSE),6),"")</f>
        <v/>
      </c>
      <c r="G316" s="558" t="str">
        <f>_xlfn.IFNA(IF(TEXT(F316,0)="Terima","",VLOOKUP(A316,COPY!$A$2:$AC$1000,29,FALSE)),"")</f>
        <v/>
      </c>
      <c r="H316" s="425"/>
      <c r="I316" s="559"/>
      <c r="J316" s="555"/>
      <c r="K316" s="608">
        <f>_xlfn.IFNA(IF(TEXT(F316,0)="Terima",0,VLOOKUP(A316,COPY!$A$2:$AC$1000,26,FALSE)),0)</f>
        <v>0</v>
      </c>
      <c r="L316" s="548">
        <f t="shared" si="27"/>
        <v>0</v>
      </c>
      <c r="M316" s="549">
        <f t="shared" si="28"/>
        <v>0</v>
      </c>
      <c r="O316" s="538" t="str">
        <f t="shared" si="29"/>
        <v/>
      </c>
      <c r="P316" s="550"/>
      <c r="Q316" s="551"/>
    </row>
    <row r="317" spans="1:17" s="253" customFormat="1" ht="20.100000000000001" hidden="1" customHeight="1" x14ac:dyDescent="0.25">
      <c r="A317" s="253" t="str">
        <f t="shared" si="30"/>
        <v/>
      </c>
      <c r="B317" s="609" t="str">
        <f>IF(LEFT(F317,1)="B",VLOOKUP(A317,COPY!$A$2:$AC$1000,4,FALSE),"")</f>
        <v/>
      </c>
      <c r="C317" s="586"/>
      <c r="D317" s="553"/>
      <c r="E317" s="553"/>
      <c r="F317" s="557" t="str">
        <f>IF(LEN(A317)&gt;2,LEFT(VLOOKUP(A317,COPY!$A$2:$AC$1000,29,FALSE),6),"")</f>
        <v/>
      </c>
      <c r="G317" s="558" t="str">
        <f>_xlfn.IFNA(IF(TEXT(F317,0)="Terima","",VLOOKUP(A317,COPY!$A$2:$AC$1000,29,FALSE)),"")</f>
        <v/>
      </c>
      <c r="H317" s="425"/>
      <c r="I317" s="559"/>
      <c r="J317" s="555"/>
      <c r="K317" s="608">
        <f>_xlfn.IFNA(IF(TEXT(F317,0)="Terima",0,VLOOKUP(A317,COPY!$A$2:$AC$1000,26,FALSE)),0)</f>
        <v>0</v>
      </c>
      <c r="L317" s="548">
        <f t="shared" si="27"/>
        <v>0</v>
      </c>
      <c r="M317" s="549">
        <f t="shared" si="28"/>
        <v>0</v>
      </c>
      <c r="O317" s="538" t="str">
        <f t="shared" si="29"/>
        <v/>
      </c>
      <c r="P317" s="550"/>
      <c r="Q317" s="551"/>
    </row>
    <row r="318" spans="1:17" s="253" customFormat="1" ht="20.100000000000001" hidden="1" customHeight="1" x14ac:dyDescent="0.25">
      <c r="A318" s="253" t="str">
        <f t="shared" si="30"/>
        <v/>
      </c>
      <c r="B318" s="609" t="str">
        <f>IF(LEFT(F318,1)="B",VLOOKUP(A318,COPY!$A$2:$AC$1000,4,FALSE),"")</f>
        <v/>
      </c>
      <c r="C318" s="586"/>
      <c r="D318" s="553"/>
      <c r="E318" s="553"/>
      <c r="F318" s="557" t="str">
        <f>IF(LEN(A318)&gt;2,LEFT(VLOOKUP(A318,COPY!$A$2:$AC$1000,29,FALSE),6),"")</f>
        <v/>
      </c>
      <c r="G318" s="558" t="str">
        <f>_xlfn.IFNA(IF(TEXT(F318,0)="Terima","",VLOOKUP(A318,COPY!$A$2:$AC$1000,29,FALSE)),"")</f>
        <v/>
      </c>
      <c r="H318" s="425"/>
      <c r="I318" s="559"/>
      <c r="J318" s="555"/>
      <c r="K318" s="608">
        <f>_xlfn.IFNA(IF(TEXT(F318,0)="Terima",0,VLOOKUP(A318,COPY!$A$2:$AC$1000,26,FALSE)),0)</f>
        <v>0</v>
      </c>
      <c r="L318" s="548">
        <f t="shared" si="27"/>
        <v>0</v>
      </c>
      <c r="M318" s="549">
        <f t="shared" si="28"/>
        <v>0</v>
      </c>
      <c r="O318" s="538" t="str">
        <f t="shared" si="29"/>
        <v/>
      </c>
      <c r="P318" s="550"/>
      <c r="Q318" s="551"/>
    </row>
    <row r="319" spans="1:17" s="253" customFormat="1" ht="20.100000000000001" hidden="1" customHeight="1" x14ac:dyDescent="0.25">
      <c r="A319" s="253" t="str">
        <f t="shared" si="30"/>
        <v/>
      </c>
      <c r="B319" s="609" t="str">
        <f>IF(LEFT(F319,1)="B",VLOOKUP(A319,COPY!$A$2:$AC$1000,4,FALSE),"")</f>
        <v/>
      </c>
      <c r="C319" s="586"/>
      <c r="D319" s="553"/>
      <c r="E319" s="553"/>
      <c r="F319" s="557" t="str">
        <f>IF(LEN(A319)&gt;2,LEFT(VLOOKUP(A319,COPY!$A$2:$AC$1000,29,FALSE),6),"")</f>
        <v/>
      </c>
      <c r="G319" s="558" t="str">
        <f>_xlfn.IFNA(IF(TEXT(F319,0)="Terima","",VLOOKUP(A319,COPY!$A$2:$AC$1000,29,FALSE)),"")</f>
        <v/>
      </c>
      <c r="H319" s="425"/>
      <c r="I319" s="559"/>
      <c r="J319" s="555"/>
      <c r="K319" s="608">
        <f>_xlfn.IFNA(IF(TEXT(F319,0)="Terima",0,VLOOKUP(A319,COPY!$A$2:$AC$1000,26,FALSE)),0)</f>
        <v>0</v>
      </c>
      <c r="L319" s="548">
        <f t="shared" si="27"/>
        <v>0</v>
      </c>
      <c r="M319" s="549">
        <f t="shared" si="28"/>
        <v>0</v>
      </c>
      <c r="O319" s="538" t="str">
        <f t="shared" si="29"/>
        <v/>
      </c>
      <c r="P319" s="550"/>
      <c r="Q319" s="551"/>
    </row>
    <row r="320" spans="1:17" s="253" customFormat="1" ht="20.100000000000001" hidden="1" customHeight="1" x14ac:dyDescent="0.25">
      <c r="A320" s="253" t="str">
        <f t="shared" si="30"/>
        <v/>
      </c>
      <c r="B320" s="609" t="str">
        <f>IF(LEFT(F320,1)="B",VLOOKUP(A320,COPY!$A$2:$AC$1000,4,FALSE),"")</f>
        <v/>
      </c>
      <c r="C320" s="586"/>
      <c r="D320" s="553"/>
      <c r="E320" s="553"/>
      <c r="F320" s="557" t="str">
        <f>IF(LEN(A320)&gt;2,LEFT(VLOOKUP(A320,COPY!$A$2:$AC$1000,29,FALSE),6),"")</f>
        <v/>
      </c>
      <c r="G320" s="558" t="str">
        <f>_xlfn.IFNA(IF(TEXT(F320,0)="Terima","",VLOOKUP(A320,COPY!$A$2:$AC$1000,29,FALSE)),"")</f>
        <v/>
      </c>
      <c r="H320" s="425"/>
      <c r="I320" s="559"/>
      <c r="J320" s="555"/>
      <c r="K320" s="608">
        <f>_xlfn.IFNA(IF(TEXT(F320,0)="Terima",0,VLOOKUP(A320,COPY!$A$2:$AC$1000,26,FALSE)),0)</f>
        <v>0</v>
      </c>
      <c r="L320" s="548">
        <f t="shared" si="27"/>
        <v>0</v>
      </c>
      <c r="M320" s="549">
        <f t="shared" si="28"/>
        <v>0</v>
      </c>
      <c r="O320" s="538" t="str">
        <f t="shared" si="29"/>
        <v/>
      </c>
      <c r="P320" s="550"/>
      <c r="Q320" s="551"/>
    </row>
    <row r="321" spans="1:18" s="253" customFormat="1" ht="20.100000000000001" hidden="1" customHeight="1" x14ac:dyDescent="0.25">
      <c r="A321" s="253" t="str">
        <f t="shared" si="30"/>
        <v/>
      </c>
      <c r="B321" s="609" t="str">
        <f>IF(LEFT(F321,1)="B",VLOOKUP(A321,COPY!$A$2:$AC$1000,4,FALSE),"")</f>
        <v/>
      </c>
      <c r="C321" s="586"/>
      <c r="D321" s="553"/>
      <c r="E321" s="553"/>
      <c r="F321" s="557" t="str">
        <f>IF(LEN(A321)&gt;2,LEFT(VLOOKUP(A321,COPY!$A$2:$AC$1000,29,FALSE),6),"")</f>
        <v/>
      </c>
      <c r="G321" s="558" t="str">
        <f>_xlfn.IFNA(IF(TEXT(F321,0)="Terima","",VLOOKUP(A321,COPY!$A$2:$AC$1000,29,FALSE)),"")</f>
        <v/>
      </c>
      <c r="H321" s="425"/>
      <c r="I321" s="559"/>
      <c r="J321" s="555"/>
      <c r="K321" s="608">
        <f>_xlfn.IFNA(IF(TEXT(F321,0)="Terima",0,VLOOKUP(A321,COPY!$A$2:$AC$1000,26,FALSE)),0)</f>
        <v>0</v>
      </c>
      <c r="L321" s="548">
        <f t="shared" si="27"/>
        <v>0</v>
      </c>
      <c r="M321" s="549">
        <f t="shared" si="28"/>
        <v>0</v>
      </c>
      <c r="O321" s="538" t="str">
        <f t="shared" si="29"/>
        <v/>
      </c>
      <c r="P321" s="550"/>
      <c r="Q321" s="551"/>
    </row>
    <row r="322" spans="1:18" s="253" customFormat="1" ht="20.100000000000001" hidden="1" customHeight="1" x14ac:dyDescent="0.25">
      <c r="A322" s="253" t="str">
        <f t="shared" si="30"/>
        <v/>
      </c>
      <c r="B322" s="609" t="str">
        <f>IF(LEFT(F322,1)="B",VLOOKUP(A322,COPY!$A$2:$AC$1000,4,FALSE),"")</f>
        <v/>
      </c>
      <c r="C322" s="586"/>
      <c r="D322" s="553"/>
      <c r="E322" s="553"/>
      <c r="F322" s="557" t="str">
        <f>IF(LEN(A322)&gt;2,LEFT(VLOOKUP(A322,COPY!$A$2:$AC$1000,29,FALSE),6),"")</f>
        <v/>
      </c>
      <c r="G322" s="558" t="str">
        <f>_xlfn.IFNA(IF(TEXT(F322,0)="Terima","",VLOOKUP(A322,COPY!$A$2:$AC$1000,29,FALSE)),"")</f>
        <v/>
      </c>
      <c r="H322" s="425"/>
      <c r="I322" s="559"/>
      <c r="J322" s="555"/>
      <c r="K322" s="608">
        <f>_xlfn.IFNA(IF(TEXT(F322,0)="Terima",0,VLOOKUP(A322,COPY!$A$2:$AC$1000,26,FALSE)),0)</f>
        <v>0</v>
      </c>
      <c r="L322" s="548">
        <f t="shared" si="27"/>
        <v>0</v>
      </c>
      <c r="M322" s="549">
        <f t="shared" si="28"/>
        <v>0</v>
      </c>
      <c r="O322" s="538" t="str">
        <f t="shared" si="29"/>
        <v/>
      </c>
      <c r="P322" s="550"/>
      <c r="Q322" s="551"/>
    </row>
    <row r="323" spans="1:18" s="253" customFormat="1" ht="20.100000000000001" customHeight="1" thickBot="1" x14ac:dyDescent="0.3">
      <c r="B323" s="560"/>
      <c r="C323" s="587"/>
      <c r="D323" s="561"/>
      <c r="E323" s="561"/>
      <c r="F323" s="561"/>
      <c r="G323" s="561">
        <f>_xlfn.IFNA(IF(TEXT(F323,0)="Terima","",VLOOKUP(A323,COPY!$A$2:$AC$1000,29,FALSE)),"")</f>
        <v>0</v>
      </c>
      <c r="H323" s="562"/>
      <c r="I323" s="563"/>
      <c r="J323" s="564"/>
      <c r="K323" s="565"/>
      <c r="L323" s="566"/>
      <c r="M323" s="567"/>
      <c r="P323" s="550"/>
      <c r="Q323" s="551"/>
    </row>
    <row r="324" spans="1:18" s="435" customFormat="1" ht="20.100000000000001" customHeight="1" thickBot="1" x14ac:dyDescent="0.3">
      <c r="B324" s="568"/>
      <c r="C324" s="701" t="s">
        <v>40</v>
      </c>
      <c r="D324" s="701"/>
      <c r="E324" s="701"/>
      <c r="F324" s="701"/>
      <c r="G324" s="702"/>
      <c r="H324" s="701"/>
      <c r="I324" s="701"/>
      <c r="J324" s="569">
        <f>SUM(J12:J323)</f>
        <v>0</v>
      </c>
      <c r="K324" s="570">
        <f>SUM(K12:K323)</f>
        <v>-36904040</v>
      </c>
      <c r="L324" s="571">
        <f>IF(K324&gt;0,0,(IF(K324&lt;J324,0,J324-K324)))</f>
        <v>0</v>
      </c>
      <c r="M324" s="572">
        <f>IF(K324&lt;J324,K324-J324,J324-K324)</f>
        <v>-36904040</v>
      </c>
      <c r="O324" s="573">
        <f>J324-K324</f>
        <v>36904040</v>
      </c>
      <c r="P324" s="574"/>
      <c r="Q324" s="575"/>
      <c r="R324" s="573">
        <f>-K324</f>
        <v>36904040</v>
      </c>
    </row>
    <row r="325" spans="1:18" s="253" customFormat="1" ht="20.100000000000001" customHeight="1" x14ac:dyDescent="0.25">
      <c r="B325" s="576"/>
      <c r="C325" s="255"/>
      <c r="E325" s="450"/>
      <c r="I325" s="538"/>
      <c r="J325" s="577"/>
      <c r="K325" s="578"/>
      <c r="L325" s="579"/>
      <c r="M325" s="580"/>
      <c r="P325" s="550"/>
      <c r="Q325" s="551"/>
    </row>
    <row r="326" spans="1:18" s="253" customFormat="1" ht="20.100000000000001" customHeight="1" x14ac:dyDescent="0.25">
      <c r="B326" s="255"/>
      <c r="C326" s="255"/>
      <c r="E326" s="430"/>
      <c r="G326" s="430"/>
      <c r="K326" s="256" t="str">
        <f>'BKU 1'!$K$353</f>
        <v>NGANTANG</v>
      </c>
      <c r="L326" s="706">
        <f>'BKU 3'!M353</f>
        <v>45991</v>
      </c>
      <c r="M326" s="706"/>
      <c r="P326" s="550"/>
      <c r="Q326" s="551"/>
    </row>
    <row r="327" spans="1:18" s="253" customFormat="1" ht="20.100000000000001" customHeight="1" x14ac:dyDescent="0.25">
      <c r="B327" s="254"/>
      <c r="C327" s="255"/>
      <c r="D327" s="255" t="s">
        <v>43</v>
      </c>
      <c r="E327" s="488"/>
      <c r="G327" s="581"/>
      <c r="H327" s="610" t="s">
        <v>44</v>
      </c>
      <c r="I327" s="428"/>
      <c r="K327" s="704" t="str">
        <f>'BKU 1'!$L$354</f>
        <v>Dibuat Oleh ;</v>
      </c>
      <c r="L327" s="704"/>
      <c r="M327" s="580"/>
      <c r="P327" s="550"/>
      <c r="Q327" s="551"/>
    </row>
    <row r="328" spans="1:18" s="253" customFormat="1" ht="20.100000000000001" customHeight="1" x14ac:dyDescent="0.25">
      <c r="B328" s="254"/>
      <c r="C328" s="255"/>
      <c r="D328" s="255" t="str">
        <f>'BKU 1'!$C$355</f>
        <v>Kepala Sekolah SDN 1 SIDODADI</v>
      </c>
      <c r="E328" s="488"/>
      <c r="G328" s="581"/>
      <c r="H328" s="610" t="s">
        <v>45</v>
      </c>
      <c r="K328" s="704" t="str">
        <f>'BKU 1'!$L$355</f>
        <v>Bendahara Pembangunan</v>
      </c>
      <c r="L328" s="704"/>
      <c r="M328" s="580"/>
      <c r="O328" s="253">
        <f>VALUE(J324)</f>
        <v>0</v>
      </c>
      <c r="P328" s="253">
        <f>VALUE(K324)</f>
        <v>-36904040</v>
      </c>
      <c r="Q328" s="551" t="b">
        <f>P328&gt;O328</f>
        <v>0</v>
      </c>
    </row>
    <row r="329" spans="1:18" s="253" customFormat="1" ht="20.100000000000001" customHeight="1" x14ac:dyDescent="0.25">
      <c r="B329" s="254"/>
      <c r="C329" s="255"/>
      <c r="D329" s="255"/>
      <c r="E329" s="488"/>
      <c r="G329" s="581"/>
      <c r="H329" s="610"/>
      <c r="I329" s="444"/>
      <c r="J329" s="444"/>
      <c r="K329" s="704"/>
      <c r="L329" s="704"/>
      <c r="M329" s="580"/>
      <c r="P329" s="550"/>
      <c r="Q329" s="551"/>
    </row>
    <row r="330" spans="1:18" s="253" customFormat="1" ht="20.100000000000001" customHeight="1" x14ac:dyDescent="0.25">
      <c r="B330" s="254"/>
      <c r="C330" s="255"/>
      <c r="D330" s="255"/>
      <c r="E330" s="488"/>
      <c r="G330" s="581"/>
      <c r="H330" s="610"/>
      <c r="I330" s="444"/>
      <c r="J330" s="444"/>
      <c r="K330" s="704"/>
      <c r="L330" s="704"/>
      <c r="M330" s="580"/>
      <c r="P330" s="550"/>
      <c r="Q330" s="551"/>
    </row>
    <row r="331" spans="1:18" s="253" customFormat="1" ht="20.100000000000001" customHeight="1" x14ac:dyDescent="0.25">
      <c r="B331" s="254"/>
      <c r="C331" s="255"/>
      <c r="D331" s="255"/>
      <c r="E331" s="488"/>
      <c r="G331" s="581"/>
      <c r="H331" s="610"/>
      <c r="K331" s="704"/>
      <c r="L331" s="704"/>
      <c r="M331" s="580"/>
      <c r="P331" s="550"/>
      <c r="Q331" s="551"/>
    </row>
    <row r="332" spans="1:18" s="253" customFormat="1" ht="20.100000000000001" customHeight="1" x14ac:dyDescent="0.25">
      <c r="B332" s="254"/>
      <c r="C332" s="255"/>
      <c r="D332" s="255"/>
      <c r="E332" s="488"/>
      <c r="G332" s="581"/>
      <c r="H332" s="610"/>
      <c r="K332" s="704"/>
      <c r="L332" s="704"/>
      <c r="M332" s="580"/>
      <c r="P332" s="550"/>
      <c r="Q332" s="551"/>
    </row>
    <row r="333" spans="1:18" s="253" customFormat="1" ht="20.100000000000001" customHeight="1" x14ac:dyDescent="0.25">
      <c r="B333" s="516"/>
      <c r="C333" s="504"/>
      <c r="D333" s="504" t="str">
        <f>'BKU 1'!$C$360</f>
        <v>MELIA FITRIANI, S.Pd.SD</v>
      </c>
      <c r="E333" s="488"/>
      <c r="G333" s="582"/>
      <c r="H333" s="611" t="str">
        <f>'BKU 1'!H360</f>
        <v>HARTATIK</v>
      </c>
      <c r="K333" s="705" t="str">
        <f>'BKU 1'!$L$360</f>
        <v>ARIF NUR UDIN, S.Pd.SD</v>
      </c>
      <c r="L333" s="705"/>
      <c r="M333" s="580"/>
      <c r="P333" s="550"/>
      <c r="Q333" s="551"/>
    </row>
    <row r="334" spans="1:18" s="253" customFormat="1" ht="20.100000000000001" customHeight="1" x14ac:dyDescent="0.25">
      <c r="B334" s="254"/>
      <c r="C334" s="255"/>
      <c r="D334" s="255" t="str">
        <f>'BKU 1'!$C$361</f>
        <v>NIP. 19850619 200904 2 000</v>
      </c>
      <c r="E334" s="488"/>
      <c r="G334" s="581"/>
      <c r="H334" s="610">
        <f>'BKU 1'!$G$361</f>
        <v>0</v>
      </c>
      <c r="K334" s="704" t="str">
        <f>'BKU 1'!$L$361</f>
        <v>NIP. 19840719 200903 1 002</v>
      </c>
      <c r="L334" s="704"/>
      <c r="M334" s="580"/>
      <c r="P334" s="550"/>
      <c r="Q334" s="551"/>
    </row>
  </sheetData>
  <mergeCells count="25">
    <mergeCell ref="K331:L331"/>
    <mergeCell ref="K332:L332"/>
    <mergeCell ref="K333:L333"/>
    <mergeCell ref="K334:L334"/>
    <mergeCell ref="D7:G8"/>
    <mergeCell ref="C324:I324"/>
    <mergeCell ref="L326:M326"/>
    <mergeCell ref="K327:L327"/>
    <mergeCell ref="K328:L328"/>
    <mergeCell ref="K329:L329"/>
    <mergeCell ref="K330:L330"/>
    <mergeCell ref="B10:B11"/>
    <mergeCell ref="C10:C11"/>
    <mergeCell ref="D10:I10"/>
    <mergeCell ref="J10:K10"/>
    <mergeCell ref="L10:M10"/>
    <mergeCell ref="H11:I11"/>
    <mergeCell ref="AH4:AH5"/>
    <mergeCell ref="AB5:AC5"/>
    <mergeCell ref="AD5:AE5"/>
    <mergeCell ref="C1:L1"/>
    <mergeCell ref="C2:L2"/>
    <mergeCell ref="AA4:AA5"/>
    <mergeCell ref="AB4:AF4"/>
    <mergeCell ref="AG4:AG5"/>
  </mergeCells>
  <pageMargins left="0.19685039370078741" right="0.19685039370078741" top="0.78740157480314965" bottom="0.78740157480314965" header="0.31496062992125984" footer="0.31496062992125984"/>
  <pageSetup paperSize="9" scale="69" fitToHeight="0" orientation="landscape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9449B15-6B4E-41CA-A124-263D4A0E4B64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D1EDC668-2A87-42A3-AB4E-F11B8689935A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794060B2-9321-402E-B506-D67044DB6F15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36150C66-0D01-4C7E-8E6D-563DD8106936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E63DEE0B-47A3-4B37-82A4-F4658CA72F53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3C934544-C079-4FE6-8420-8A102AC0AD4D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3DD94465-9869-4F62-B66C-BC78509FA809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B10:M11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20906-0955-4AFE-BED8-3C963A8B2FF3}">
  <sheetPr codeName="Sheet15">
    <tabColor rgb="FFFFFF00"/>
    <pageSetUpPr fitToPage="1"/>
  </sheetPr>
  <dimension ref="A1:AC361"/>
  <sheetViews>
    <sheetView showZeros="0" view="pageBreakPreview" topLeftCell="A27" zoomScale="70" zoomScaleNormal="70" zoomScaleSheetLayoutView="70" workbookViewId="0">
      <selection activeCell="N102" sqref="N102"/>
    </sheetView>
  </sheetViews>
  <sheetFormatPr defaultColWidth="9.140625" defaultRowHeight="20.100000000000001" customHeight="1" x14ac:dyDescent="0.25"/>
  <cols>
    <col min="1" max="1" width="9.140625" style="253"/>
    <col min="2" max="2" width="13.7109375" style="446" customWidth="1"/>
    <col min="3" max="3" width="8.85546875" style="253" customWidth="1"/>
    <col min="4" max="4" width="7" style="253" customWidth="1"/>
    <col min="5" max="5" width="20" style="253" customWidth="1"/>
    <col min="6" max="6" width="19" style="447" customWidth="1"/>
    <col min="7" max="7" width="13.7109375" style="446" customWidth="1"/>
    <col min="8" max="8" width="11.85546875" style="253" customWidth="1"/>
    <col min="9" max="9" width="10" style="509" customWidth="1"/>
    <col min="10" max="10" width="10" style="255" customWidth="1"/>
    <col min="11" max="11" width="44" style="253" customWidth="1"/>
    <col min="12" max="12" width="10" style="255" customWidth="1"/>
    <col min="13" max="13" width="7.140625" style="255" customWidth="1"/>
    <col min="14" max="14" width="19" style="447" customWidth="1"/>
    <col min="15" max="15" width="42.42578125" style="253" customWidth="1"/>
    <col min="16" max="16" width="7.85546875" style="448" customWidth="1"/>
    <col min="17" max="17" width="18.85546875" style="253" customWidth="1"/>
    <col min="18" max="18" width="16.7109375" style="253" customWidth="1"/>
    <col min="19" max="19" width="16.7109375" style="449" customWidth="1"/>
    <col min="20" max="20" width="16.7109375" style="253" customWidth="1"/>
    <col min="21" max="21" width="20.7109375" style="253" customWidth="1"/>
    <col min="22" max="22" width="48" style="253" customWidth="1"/>
    <col min="23" max="23" width="14.5703125" style="253" customWidth="1"/>
    <col min="24" max="24" width="9.28515625" style="253" customWidth="1"/>
    <col min="25" max="16384" width="9.140625" style="253"/>
  </cols>
  <sheetData>
    <row r="1" spans="2:29" ht="20.100000000000001" hidden="1" customHeight="1" x14ac:dyDescent="0.25">
      <c r="E1" s="686">
        <f>'BKU 1'!E1</f>
        <v>2</v>
      </c>
      <c r="F1" s="253">
        <f>'BKU 1'!F1</f>
        <v>14</v>
      </c>
      <c r="G1" s="253"/>
      <c r="X1" s="394"/>
    </row>
    <row r="2" spans="2:29" ht="20.100000000000001" hidden="1" customHeight="1" x14ac:dyDescent="0.25">
      <c r="E2" s="686"/>
      <c r="F2" s="253"/>
      <c r="G2" s="253"/>
    </row>
    <row r="3" spans="2:29" ht="20.100000000000001" hidden="1" customHeight="1" x14ac:dyDescent="0.25">
      <c r="B3" s="253" t="s">
        <v>83</v>
      </c>
      <c r="E3" s="253" t="str">
        <f>'BKU 1'!E3</f>
        <v>SDN 1 SIDODADI</v>
      </c>
      <c r="F3" s="253"/>
      <c r="G3" s="253"/>
    </row>
    <row r="4" spans="2:29" ht="20.100000000000001" hidden="1" customHeight="1" x14ac:dyDescent="0.25">
      <c r="B4" s="253" t="s">
        <v>63</v>
      </c>
      <c r="E4" s="253" t="str">
        <f>'BKU 1'!E4</f>
        <v>NGANTANG</v>
      </c>
      <c r="F4" s="253"/>
      <c r="G4" s="253"/>
    </row>
    <row r="5" spans="2:29" ht="20.100000000000001" hidden="1" customHeight="1" x14ac:dyDescent="0.25">
      <c r="B5" s="253" t="s">
        <v>62</v>
      </c>
      <c r="E5" s="253" t="str">
        <f>'BKU 1'!E5</f>
        <v>Jl. Kawi No.36 Rt. 1 Rw. 1 Dusun Sekar, Rt / Rw : 1 / 1, Dusun : Sekar, Kelurahan : Sidodadi</v>
      </c>
      <c r="F5" s="253"/>
      <c r="G5" s="253"/>
    </row>
    <row r="6" spans="2:29" ht="20.100000000000001" hidden="1" customHeight="1" x14ac:dyDescent="0.25">
      <c r="B6" s="253" t="s">
        <v>84</v>
      </c>
      <c r="E6" s="253">
        <f>'BKU 1'!E6</f>
        <v>1</v>
      </c>
      <c r="F6" s="253"/>
      <c r="G6" s="253"/>
      <c r="N6" s="253"/>
      <c r="Q6" s="450"/>
      <c r="R6" s="451"/>
      <c r="S6" s="452"/>
      <c r="T6" s="451"/>
    </row>
    <row r="7" spans="2:29" ht="20.100000000000001" hidden="1" customHeight="1" x14ac:dyDescent="0.25">
      <c r="B7" s="253" t="s">
        <v>85</v>
      </c>
      <c r="E7" s="253" t="str">
        <f>'BKU 1'!E7</f>
        <v>PEMBANGUNAN TOILET BESERTA SANITASINYA</v>
      </c>
      <c r="F7" s="253"/>
      <c r="G7" s="253"/>
      <c r="N7" s="253"/>
      <c r="Q7" s="450"/>
      <c r="R7" s="451"/>
      <c r="S7" s="452"/>
      <c r="T7" s="451"/>
    </row>
    <row r="8" spans="2:29" ht="20.100000000000001" hidden="1" customHeight="1" x14ac:dyDescent="0.25">
      <c r="B8" s="253" t="s">
        <v>86</v>
      </c>
      <c r="E8" s="253" t="str">
        <f>'BKU 1'!E8</f>
        <v>MELIA FITRIANI, S.Pd.SD</v>
      </c>
      <c r="F8" s="253"/>
      <c r="G8" s="253"/>
      <c r="N8" s="253"/>
      <c r="Q8" s="450"/>
      <c r="R8" s="451"/>
      <c r="S8" s="452"/>
      <c r="T8" s="451"/>
    </row>
    <row r="9" spans="2:29" ht="20.100000000000001" hidden="1" customHeight="1" x14ac:dyDescent="0.25">
      <c r="B9" s="253" t="s">
        <v>87</v>
      </c>
      <c r="E9" s="253" t="str">
        <f>'BKU 1'!E9</f>
        <v>NIP. 19850619 200904 2 000</v>
      </c>
      <c r="F9" s="253"/>
      <c r="G9" s="253"/>
      <c r="N9" s="253"/>
      <c r="Q9" s="451"/>
      <c r="R9" s="451"/>
      <c r="S9" s="452"/>
      <c r="T9" s="451"/>
    </row>
    <row r="10" spans="2:29" ht="20.100000000000001" hidden="1" customHeight="1" x14ac:dyDescent="0.25">
      <c r="B10" s="253" t="s">
        <v>88</v>
      </c>
      <c r="E10" s="253" t="str">
        <f>'BKU 1'!E10</f>
        <v>HARTATIK</v>
      </c>
      <c r="F10" s="253"/>
      <c r="G10" s="253"/>
      <c r="N10" s="253"/>
    </row>
    <row r="11" spans="2:29" ht="20.100000000000001" hidden="1" customHeight="1" x14ac:dyDescent="0.25">
      <c r="B11" s="254" t="s">
        <v>87</v>
      </c>
      <c r="E11" s="253">
        <f>'BKU 1'!E11</f>
        <v>0</v>
      </c>
      <c r="F11" s="253"/>
      <c r="G11" s="253"/>
    </row>
    <row r="12" spans="2:29" ht="20.100000000000001" hidden="1" customHeight="1" x14ac:dyDescent="0.25">
      <c r="B12" s="253" t="s">
        <v>89</v>
      </c>
      <c r="E12" s="253" t="str">
        <f>'BKU 1'!E12</f>
        <v>ARIF NUR UDIN, S.Pd.SD</v>
      </c>
      <c r="F12" s="253"/>
      <c r="G12" s="253"/>
    </row>
    <row r="13" spans="2:29" ht="20.100000000000001" hidden="1" customHeight="1" x14ac:dyDescent="0.25">
      <c r="B13" s="253" t="s">
        <v>87</v>
      </c>
      <c r="E13" s="253" t="str">
        <f>'BKU 1'!E13</f>
        <v>NIP. 19840719 200903 1 002</v>
      </c>
      <c r="F13" s="253"/>
      <c r="G13" s="253"/>
    </row>
    <row r="14" spans="2:29" ht="20.100000000000001" hidden="1" customHeight="1" x14ac:dyDescent="0.25">
      <c r="B14" s="253" t="s">
        <v>90</v>
      </c>
      <c r="E14" s="253" t="str">
        <f>'BKU 1'!E14</f>
        <v>NUR ROHMAN, ST.</v>
      </c>
      <c r="F14" s="253"/>
      <c r="G14" s="253"/>
    </row>
    <row r="15" spans="2:29" ht="20.100000000000001" hidden="1" customHeight="1" thickBot="1" x14ac:dyDescent="0.3">
      <c r="B15" s="253" t="s">
        <v>91</v>
      </c>
      <c r="E15" s="253" t="str">
        <f>'BKU 1'!E15</f>
        <v>NUR ROHMAN, ST.</v>
      </c>
      <c r="F15" s="253"/>
      <c r="G15" s="253"/>
    </row>
    <row r="16" spans="2:29" ht="20.100000000000001" hidden="1" customHeight="1" x14ac:dyDescent="0.25">
      <c r="B16" s="253" t="s">
        <v>92</v>
      </c>
      <c r="E16" s="253" t="str">
        <f>'BKU 1'!E16</f>
        <v>MUSYYAYIN, ST.</v>
      </c>
      <c r="F16" s="253"/>
      <c r="G16" s="253"/>
      <c r="V16" s="690" t="s">
        <v>17</v>
      </c>
      <c r="W16" s="682" t="s">
        <v>100</v>
      </c>
      <c r="X16" s="683"/>
      <c r="Y16" s="683"/>
      <c r="Z16" s="683"/>
      <c r="AA16" s="684"/>
      <c r="AB16" s="685" t="s">
        <v>0</v>
      </c>
      <c r="AC16" s="679" t="s">
        <v>2</v>
      </c>
    </row>
    <row r="17" spans="2:29" ht="20.100000000000001" hidden="1" customHeight="1" thickBot="1" x14ac:dyDescent="0.3">
      <c r="B17" s="446" t="s">
        <v>80</v>
      </c>
      <c r="E17" s="253">
        <f>'BKU 1'!E17</f>
        <v>0</v>
      </c>
      <c r="V17" s="691"/>
      <c r="W17" s="681" t="s">
        <v>1</v>
      </c>
      <c r="X17" s="681"/>
      <c r="Y17" s="681" t="s">
        <v>101</v>
      </c>
      <c r="Z17" s="681"/>
      <c r="AA17" s="396" t="s">
        <v>102</v>
      </c>
      <c r="AB17" s="681"/>
      <c r="AC17" s="680"/>
    </row>
    <row r="18" spans="2:29" ht="20.100000000000001" hidden="1" customHeight="1" x14ac:dyDescent="0.25">
      <c r="B18" s="446" t="s">
        <v>432</v>
      </c>
      <c r="E18" s="253">
        <f>'BKU 1'!E18</f>
        <v>2600000</v>
      </c>
      <c r="F18" s="454">
        <f>'BKU 1'!F18</f>
        <v>1</v>
      </c>
    </row>
    <row r="19" spans="2:29" ht="20.100000000000001" hidden="1" customHeight="1" x14ac:dyDescent="0.25">
      <c r="B19" s="446" t="s">
        <v>433</v>
      </c>
      <c r="E19" s="253">
        <f>'BKU 1'!E19</f>
        <v>1950000</v>
      </c>
      <c r="F19" s="447">
        <f>'BKU 1'!F19</f>
        <v>134550000</v>
      </c>
    </row>
    <row r="21" spans="2:29" s="517" customFormat="1" ht="20.100000000000001" customHeight="1" x14ac:dyDescent="0.25">
      <c r="B21" s="518"/>
      <c r="C21" s="518"/>
      <c r="D21" s="693" t="s">
        <v>59</v>
      </c>
      <c r="E21" s="693"/>
      <c r="F21" s="693"/>
      <c r="G21" s="693"/>
      <c r="H21" s="693"/>
      <c r="I21" s="693"/>
      <c r="J21" s="693"/>
      <c r="K21" s="693"/>
      <c r="L21" s="519"/>
      <c r="M21" s="518"/>
      <c r="N21" s="518"/>
      <c r="P21" s="520"/>
      <c r="S21" s="521"/>
    </row>
    <row r="22" spans="2:29" s="522" customFormat="1" ht="20.100000000000001" customHeight="1" x14ac:dyDescent="0.25">
      <c r="B22" s="523"/>
      <c r="C22" s="523"/>
      <c r="D22" s="694" t="str">
        <f>$E$7</f>
        <v>PEMBANGUNAN TOILET BESERTA SANITASINYA</v>
      </c>
      <c r="E22" s="694"/>
      <c r="F22" s="694"/>
      <c r="G22" s="694"/>
      <c r="H22" s="694"/>
      <c r="I22" s="694"/>
      <c r="J22" s="694"/>
      <c r="K22" s="694"/>
      <c r="L22" s="524"/>
      <c r="M22" s="523"/>
      <c r="N22" s="523"/>
      <c r="P22" s="525"/>
      <c r="S22" s="526"/>
    </row>
    <row r="23" spans="2:29" ht="8.1" customHeight="1" x14ac:dyDescent="0.25"/>
    <row r="24" spans="2:29" ht="20.100000000000001" customHeight="1" x14ac:dyDescent="0.25">
      <c r="B24" s="446" t="s">
        <v>60</v>
      </c>
      <c r="C24" s="255" t="s">
        <v>49</v>
      </c>
      <c r="D24" s="255">
        <v>4</v>
      </c>
      <c r="E24" s="253">
        <f>IFERROR(VLOOKUP(D24,'Rekap Gaji'!$B$12:$P$24,14,FALSE),"-")</f>
        <v>0</v>
      </c>
    </row>
    <row r="25" spans="2:29" ht="20.100000000000001" customHeight="1" x14ac:dyDescent="0.25">
      <c r="B25" s="446" t="s">
        <v>61</v>
      </c>
      <c r="C25" s="255" t="s">
        <v>49</v>
      </c>
      <c r="D25" s="253" t="str">
        <f>$E$3</f>
        <v>SDN 1 SIDODADI</v>
      </c>
      <c r="G25" s="446" t="s">
        <v>63</v>
      </c>
      <c r="H25" s="255" t="s">
        <v>49</v>
      </c>
      <c r="I25" s="253" t="str">
        <f>$E$4</f>
        <v>NGANTANG</v>
      </c>
      <c r="K25" s="253" t="s">
        <v>93</v>
      </c>
      <c r="L25" s="255" t="s">
        <v>49</v>
      </c>
      <c r="M25" s="687">
        <f>HLOOKUP(D24,COPY!$AJ$3:$AN$4,2,FALSE)</f>
        <v>45992</v>
      </c>
      <c r="N25" s="687"/>
    </row>
    <row r="26" spans="2:29" ht="20.100000000000001" customHeight="1" x14ac:dyDescent="0.25">
      <c r="B26" s="446" t="s">
        <v>62</v>
      </c>
      <c r="C26" s="255" t="s">
        <v>49</v>
      </c>
      <c r="D26" s="695" t="str">
        <f>$E$5</f>
        <v>Jl. Kawi No.36 Rt. 1 Rw. 1 Dusun Sekar, Rt / Rw : 1 / 1, Dusun : Sekar, Kelurahan : Sidodadi</v>
      </c>
      <c r="E26" s="695"/>
      <c r="F26" s="695"/>
      <c r="G26" s="446" t="s">
        <v>66</v>
      </c>
      <c r="H26" s="255" t="s">
        <v>49</v>
      </c>
      <c r="I26" s="499" t="s">
        <v>68</v>
      </c>
      <c r="K26" s="253" t="s">
        <v>94</v>
      </c>
      <c r="L26" s="255" t="s">
        <v>49</v>
      </c>
      <c r="M26" s="687">
        <f>EOMONTH(M25,0)</f>
        <v>46022</v>
      </c>
      <c r="N26" s="687"/>
    </row>
    <row r="27" spans="2:29" ht="20.100000000000001" customHeight="1" x14ac:dyDescent="0.25">
      <c r="D27" s="695"/>
      <c r="E27" s="695"/>
      <c r="F27" s="695"/>
      <c r="G27" s="446" t="s">
        <v>67</v>
      </c>
      <c r="H27" s="255" t="s">
        <v>49</v>
      </c>
      <c r="I27" s="499" t="s">
        <v>69</v>
      </c>
    </row>
    <row r="28" spans="2:29" ht="8.1" customHeight="1" x14ac:dyDescent="0.25"/>
    <row r="29" spans="2:29" ht="20.100000000000001" customHeight="1" thickBot="1" x14ac:dyDescent="0.3">
      <c r="B29" s="455" t="s">
        <v>217</v>
      </c>
      <c r="G29" s="455" t="s">
        <v>65</v>
      </c>
    </row>
    <row r="30" spans="2:29" s="399" customFormat="1" ht="39.950000000000003" customHeight="1" thickBot="1" x14ac:dyDescent="0.3">
      <c r="B30" s="400" t="s">
        <v>0</v>
      </c>
      <c r="C30" s="692" t="s">
        <v>1</v>
      </c>
      <c r="D30" s="692"/>
      <c r="E30" s="692"/>
      <c r="F30" s="401" t="s">
        <v>5</v>
      </c>
      <c r="G30" s="402" t="s">
        <v>0</v>
      </c>
      <c r="H30" s="692" t="s">
        <v>1</v>
      </c>
      <c r="I30" s="692"/>
      <c r="J30" s="692"/>
      <c r="K30" s="692"/>
      <c r="L30" s="403" t="s">
        <v>3</v>
      </c>
      <c r="M30" s="403" t="s">
        <v>4</v>
      </c>
      <c r="N30" s="404" t="s">
        <v>5</v>
      </c>
      <c r="P30" s="405" t="s">
        <v>226</v>
      </c>
      <c r="Q30" s="399" t="s">
        <v>225</v>
      </c>
      <c r="R30" s="399" t="s">
        <v>224</v>
      </c>
      <c r="S30" s="406">
        <f>COUNTIF(COPY!$C$2:$C$1000,D24)</f>
        <v>0</v>
      </c>
    </row>
    <row r="31" spans="2:29" s="399" customFormat="1" ht="20.100000000000001" customHeight="1" thickTop="1" x14ac:dyDescent="0.25">
      <c r="B31" s="407">
        <f>M25</f>
        <v>45992</v>
      </c>
      <c r="C31" s="408" t="s">
        <v>252</v>
      </c>
      <c r="D31" s="409"/>
      <c r="E31" s="409"/>
      <c r="F31" s="410">
        <f>'BKU 3'!F348</f>
        <v>-36904040</v>
      </c>
      <c r="G31" s="411"/>
      <c r="H31" s="412"/>
      <c r="I31" s="409"/>
      <c r="J31" s="409"/>
      <c r="K31" s="409"/>
      <c r="L31" s="413"/>
      <c r="M31" s="413"/>
      <c r="N31" s="414"/>
      <c r="P31" s="405"/>
      <c r="S31" s="406"/>
    </row>
    <row r="32" spans="2:29" s="399" customFormat="1" ht="20.100000000000001" customHeight="1" x14ac:dyDescent="0.25">
      <c r="B32" s="415">
        <v>46007</v>
      </c>
      <c r="C32" s="416" t="s">
        <v>557</v>
      </c>
      <c r="D32" s="417"/>
      <c r="E32" s="417"/>
      <c r="F32" s="418">
        <v>37069530</v>
      </c>
      <c r="G32" s="419"/>
      <c r="H32" s="417"/>
      <c r="I32" s="417"/>
      <c r="J32" s="417"/>
      <c r="K32" s="417"/>
      <c r="L32" s="420"/>
      <c r="M32" s="420"/>
      <c r="N32" s="421"/>
      <c r="P32" s="405"/>
      <c r="S32" s="406"/>
    </row>
    <row r="33" spans="1:24" ht="20.100000000000001" hidden="1" customHeight="1" x14ac:dyDescent="0.25">
      <c r="A33" s="470" t="str">
        <f>P33</f>
        <v/>
      </c>
      <c r="B33" s="456">
        <f>IF(LEFT(C33,16)="Terima Pajak PPN",VLOOKUP(P33,COPY!$A$1:$AC$1000,21,FALSE),IF(LEFT(C33,16)="Terima Pajak PPH",VLOOKUP(P33,COPY!$A$1:$AC$1000,21,FALSE),IF(LEFT(C33,13)="Terima PPh 23",VLOOKUP(P33,COPY!$A$1:$AC$1000,21,FALSE),0)))</f>
        <v>0</v>
      </c>
      <c r="C33" s="457">
        <f>IFERROR(IF(LEFT(VLOOKUP(P33,COPY!$A$1:$AC$1000,29,FALSE),5)="Terim",VLOOKUP(P33,COPY!$A$1:$AC$1000,29,FALSE),0),0)</f>
        <v>0</v>
      </c>
      <c r="D33" s="457"/>
      <c r="E33" s="457"/>
      <c r="F33" s="458">
        <f>IFERROR(IF(LEFT(VLOOKUP(P33,COPY!$A$1:$AC$1000,29,FALSE),5)="Terim",VLOOKUP(P33,COPY!$A$1:$AC$1000,26,FALSE),0),0)</f>
        <v>0</v>
      </c>
      <c r="G33" s="459">
        <f>IFERROR(VLOOKUP(P33,COPY!$A$1:$L$1000,4,FALSE),0)</f>
        <v>0</v>
      </c>
      <c r="H33" s="460">
        <f>IFERROR(VLOOKUP(P33,COPY!$A$1:$L$1000,2,FALSE),0)</f>
        <v>0</v>
      </c>
      <c r="I33" s="461">
        <f>IFERROR(VLOOKUP(P33,COPY!$A$1:$L$1000,10,FALSE),0)</f>
        <v>0</v>
      </c>
      <c r="J33" s="461">
        <f>IFERROR(VLOOKUP(P33,COPY!$A$1:$L$1000,8,FALSE),0)</f>
        <v>0</v>
      </c>
      <c r="K33" s="462">
        <f>IFERROR(VLOOKUP(P33,COPY!$A$1:$L$1000,7,FALSE),0)</f>
        <v>0</v>
      </c>
      <c r="L33" s="468">
        <f>IFERROR(VLOOKUP(P33,COPY!$A$1:$O$1000,15,FALSE),0)</f>
        <v>0</v>
      </c>
      <c r="M33" s="463">
        <f>IFERROR(VLOOKUP(P33,COPY!$A$1:$L$1000,12,FALSE),0)</f>
        <v>0</v>
      </c>
      <c r="N33" s="464">
        <f>IF(H33="Jasa",VLOOKUP('BKU 4'!K33,'Rekap Gaji'!$D$12:$I$26,6,FALSE),(IF(H33="Beli",VLOOKUP(P33,COPY!$A$1:$L$1000,11,FALSE),IF(H33="Bayar Ongkos",VLOOKUP(K33,'Rekap Gaji'!$D$12:$I$26,6,FALSE),0))))</f>
        <v>0</v>
      </c>
      <c r="O33" s="465" t="str">
        <f>IF(LEFT(M33,15)="Bayar Pajak PPN",1,IF(LEFT(M33,15)="Bayar Pajak PPH",2,IF(LEFT(M33,21)="Bayar Pajak Final PPH",3," ")))</f>
        <v xml:space="preserve"> </v>
      </c>
      <c r="P33" s="466" t="str">
        <f t="shared" ref="P33:P96" si="0">IF(Q33&gt;0,$D$24&amp;"."&amp;Q33,"")</f>
        <v/>
      </c>
      <c r="Q33" s="253">
        <f>IF(T33&lt;=0,T33+$S$30,0)</f>
        <v>0</v>
      </c>
      <c r="R33" s="253">
        <f>IF(T33&lt;=0,S33,0)</f>
        <v>0</v>
      </c>
      <c r="S33" s="449">
        <v>1</v>
      </c>
      <c r="T33" s="253">
        <f>S33-$S$30</f>
        <v>1</v>
      </c>
      <c r="U33" s="457" t="str">
        <f t="shared" ref="U33:U96" si="1">IF(LEFT(C33,16)="terima Pajak PPN",1,IF(LEFT(C33,16)="terima Pajak PPH",2,IF(LEFT(C33,21)="Bayar Pajak Final PPH",3," ")))</f>
        <v xml:space="preserve"> </v>
      </c>
      <c r="X33" s="253" t="str">
        <f>IFERROR(HLOOKUP("qty",COPY!$C$1:$L$1000,2+(MOD(ROW()-32,SUMIF(COPY!$C$2:$C$1000,'BKU 4'!$D$24,COPY!$C$2:$C$1000))+1),FALSE),"-")</f>
        <v>-</v>
      </c>
    </row>
    <row r="34" spans="1:24" ht="20.100000000000001" hidden="1" customHeight="1" x14ac:dyDescent="0.25">
      <c r="A34" s="470" t="str">
        <f t="shared" ref="A34:A97" si="2">P34</f>
        <v/>
      </c>
      <c r="B34" s="456">
        <f>IF(LEFT(C34,16)="Terima Pajak PPN",VLOOKUP(P34,COPY!$A$1:$AC$1000,21,FALSE),IF(LEFT(C34,16)="Terima Pajak PPH",VLOOKUP(P34,COPY!$A$1:$AC$1000,21,FALSE),IF(LEFT(C34,13)="Terima PPh 23",VLOOKUP(P34,COPY!$A$1:$AC$1000,21,FALSE),0)))</f>
        <v>0</v>
      </c>
      <c r="C34" s="457">
        <f>IFERROR(IF(LEFT(VLOOKUP(P34,COPY!$A$1:$AC$1000,29,FALSE),5)="Terim",VLOOKUP(P34,COPY!$A$1:$AC$1000,29,FALSE),0),0)</f>
        <v>0</v>
      </c>
      <c r="D34" s="457"/>
      <c r="E34" s="457"/>
      <c r="F34" s="458">
        <f>IFERROR(IF(LEFT(VLOOKUP(P34,COPY!$A$1:$AC$1000,29,FALSE),5)="Terim",VLOOKUP(P34,COPY!$A$1:$AC$1000,26,FALSE),0),0)</f>
        <v>0</v>
      </c>
      <c r="G34" s="459">
        <f>IFERROR(VLOOKUP(P34,COPY!$A$1:$L$1000,4,FALSE),0)</f>
        <v>0</v>
      </c>
      <c r="H34" s="457">
        <f>IFERROR(VLOOKUP(P34,COPY!$A$1:$L$1000,2,FALSE),0)</f>
        <v>0</v>
      </c>
      <c r="I34" s="510">
        <f>IFERROR(VLOOKUP(P34,COPY!$A$1:$L$1000,10,FALSE),0)</f>
        <v>0</v>
      </c>
      <c r="J34" s="467">
        <f>IFERROR(VLOOKUP(P34,COPY!$A$1:$L$1000,8,FALSE),0)</f>
        <v>0</v>
      </c>
      <c r="K34" s="457">
        <f>IFERROR(VLOOKUP(P34,COPY!$A$1:$L$1000,7,FALSE),0)</f>
        <v>0</v>
      </c>
      <c r="L34" s="468">
        <f>IFERROR(VLOOKUP(P34,COPY!$A$1:$O$1000,15,FALSE),0)</f>
        <v>0</v>
      </c>
      <c r="M34" s="468">
        <f>IFERROR(VLOOKUP(P34,COPY!$A$1:$L$1000,12,FALSE),0)</f>
        <v>0</v>
      </c>
      <c r="N34" s="469">
        <f>IF(H34="Jasa",VLOOKUP('BKU 4'!K34,'Rekap Gaji'!$D$12:$I$26,6,FALSE),(IF(H34="Beli",VLOOKUP(P34,COPY!$A$1:$L$1000,11,FALSE),IF(H34="Bayar Ongkos",VLOOKUP(K34,'Rekap Gaji'!$D$12:$I$26,6,FALSE),0))))</f>
        <v>0</v>
      </c>
      <c r="O34" s="470"/>
      <c r="P34" s="466" t="str">
        <f t="shared" si="0"/>
        <v/>
      </c>
      <c r="Q34" s="253">
        <f>IF(T34&lt;=0,T34+$S$30,0)</f>
        <v>0</v>
      </c>
      <c r="R34" s="253">
        <f>IF(T34&lt;=0,S34,0)</f>
        <v>0</v>
      </c>
      <c r="S34" s="449">
        <f>S33+1</f>
        <v>2</v>
      </c>
      <c r="T34" s="253">
        <f>S34-$S$30</f>
        <v>2</v>
      </c>
      <c r="U34" s="457" t="str">
        <f t="shared" si="1"/>
        <v xml:space="preserve"> </v>
      </c>
    </row>
    <row r="35" spans="1:24" ht="20.100000000000001" hidden="1" customHeight="1" x14ac:dyDescent="0.25">
      <c r="A35" s="470" t="str">
        <f t="shared" si="2"/>
        <v/>
      </c>
      <c r="B35" s="456">
        <f>IF(LEFT(C35,16)="Terima Pajak PPN",VLOOKUP(P35,COPY!$A$1:$AC$1000,21,FALSE),IF(LEFT(C35,16)="Terima Pajak PPH",VLOOKUP(P35,COPY!$A$1:$AC$1000,21,FALSE),IF(LEFT(C35,13)="Terima PPh 23",VLOOKUP(P35,COPY!$A$1:$AC$1000,21,FALSE),0)))</f>
        <v>0</v>
      </c>
      <c r="C35" s="457">
        <f>IFERROR(IF(LEFT(VLOOKUP(P35,COPY!$A$1:$AC$1000,29,FALSE),5)="Terim",VLOOKUP(P35,COPY!$A$1:$AC$1000,29,FALSE),0),0)</f>
        <v>0</v>
      </c>
      <c r="D35" s="457"/>
      <c r="E35" s="457"/>
      <c r="F35" s="458">
        <f>IFERROR(IF(LEFT(VLOOKUP(P35,COPY!$A$1:$AC$1000,29,FALSE),5)="Terim",VLOOKUP(P35,COPY!$A$1:$AC$1000,26,FALSE),0),0)</f>
        <v>0</v>
      </c>
      <c r="G35" s="459">
        <f>IFERROR(VLOOKUP(P35,COPY!$A$1:$L$1000,4,FALSE),0)</f>
        <v>0</v>
      </c>
      <c r="H35" s="457">
        <f>IFERROR(VLOOKUP(P35,COPY!$A$1:$L$1000,2,FALSE),0)</f>
        <v>0</v>
      </c>
      <c r="I35" s="510">
        <f>IFERROR(VLOOKUP(P35,COPY!$A$1:$L$1000,10,FALSE),0)</f>
        <v>0</v>
      </c>
      <c r="J35" s="467">
        <f>IFERROR(VLOOKUP(P35,COPY!$A$1:$L$1000,8,FALSE),0)</f>
        <v>0</v>
      </c>
      <c r="K35" s="457">
        <f>IFERROR(VLOOKUP(P35,COPY!$A$1:$L$1000,7,FALSE),0)</f>
        <v>0</v>
      </c>
      <c r="L35" s="468">
        <f>IFERROR(VLOOKUP(P35,COPY!$A$1:$O$1000,15,FALSE),0)</f>
        <v>0</v>
      </c>
      <c r="M35" s="468">
        <f>IFERROR(VLOOKUP(P35,COPY!$A$1:$L$1000,12,FALSE),0)</f>
        <v>0</v>
      </c>
      <c r="N35" s="469">
        <f>IF(H35="Jasa",VLOOKUP('BKU 4'!K35,'Rekap Gaji'!$D$12:$I$26,6,FALSE),(IF(H35="Beli",VLOOKUP(P35,COPY!$A$1:$L$1000,11,FALSE),IF(H35="Bayar Ongkos",VLOOKUP(K35,'Rekap Gaji'!$D$12:$I$26,6,FALSE),0))))</f>
        <v>0</v>
      </c>
      <c r="O35" s="470"/>
      <c r="P35" s="466" t="str">
        <f t="shared" si="0"/>
        <v/>
      </c>
      <c r="Q35" s="253">
        <f t="shared" ref="Q35:Q98" si="3">IF(T35&lt;=0,T35+$S$30,0)</f>
        <v>0</v>
      </c>
      <c r="R35" s="253">
        <f t="shared" ref="R35:R98" si="4">IF(T35&lt;=0,S35,0)</f>
        <v>0</v>
      </c>
      <c r="S35" s="449">
        <f t="shared" ref="S35:S98" si="5">S34+1</f>
        <v>3</v>
      </c>
      <c r="T35" s="253">
        <f t="shared" ref="T35:T98" si="6">S35-$S$30</f>
        <v>3</v>
      </c>
      <c r="U35" s="457" t="str">
        <f t="shared" si="1"/>
        <v xml:space="preserve"> </v>
      </c>
    </row>
    <row r="36" spans="1:24" ht="20.100000000000001" hidden="1" customHeight="1" x14ac:dyDescent="0.25">
      <c r="A36" s="470" t="str">
        <f t="shared" si="2"/>
        <v/>
      </c>
      <c r="B36" s="456">
        <f>IF(LEFT(C36,16)="Terima Pajak PPN",VLOOKUP(P36,COPY!$A$1:$AC$1000,21,FALSE),IF(LEFT(C36,16)="Terima Pajak PPH",VLOOKUP(P36,COPY!$A$1:$AC$1000,21,FALSE),IF(LEFT(C36,13)="Terima PPh 23",VLOOKUP(P36,COPY!$A$1:$AC$1000,21,FALSE),0)))</f>
        <v>0</v>
      </c>
      <c r="C36" s="457">
        <f>IFERROR(IF(LEFT(VLOOKUP(P36,COPY!$A$1:$AC$1000,29,FALSE),5)="Terim",VLOOKUP(P36,COPY!$A$1:$AC$1000,29,FALSE),0),0)</f>
        <v>0</v>
      </c>
      <c r="D36" s="457"/>
      <c r="E36" s="457"/>
      <c r="F36" s="458">
        <f>IFERROR(IF(LEFT(VLOOKUP(P36,COPY!$A$1:$AC$1000,29,FALSE),5)="Terim",VLOOKUP(P36,COPY!$A$1:$AC$1000,26,FALSE),0),0)</f>
        <v>0</v>
      </c>
      <c r="G36" s="459">
        <f>IFERROR(VLOOKUP(P36,COPY!$A$1:$L$1000,4,FALSE),0)</f>
        <v>0</v>
      </c>
      <c r="H36" s="457">
        <f>IFERROR(VLOOKUP(P36,COPY!$A$1:$L$1000,2,FALSE),0)</f>
        <v>0</v>
      </c>
      <c r="I36" s="510">
        <f>IFERROR(VLOOKUP(P36,COPY!$A$1:$L$1000,10,FALSE),0)</f>
        <v>0</v>
      </c>
      <c r="J36" s="467">
        <f>IFERROR(VLOOKUP(P36,COPY!$A$1:$L$1000,8,FALSE),0)</f>
        <v>0</v>
      </c>
      <c r="K36" s="457">
        <f>IFERROR(VLOOKUP(P36,COPY!$A$1:$L$1000,7,FALSE),0)</f>
        <v>0</v>
      </c>
      <c r="L36" s="468">
        <f>IFERROR(VLOOKUP(P36,COPY!$A$1:$O$1000,15,FALSE),0)</f>
        <v>0</v>
      </c>
      <c r="M36" s="468">
        <f>IFERROR(VLOOKUP(P36,COPY!$A$1:$L$1000,12,FALSE),0)</f>
        <v>0</v>
      </c>
      <c r="N36" s="469">
        <f>IF(H36="Jasa",VLOOKUP('BKU 4'!K36,'Rekap Gaji'!$D$12:$I$26,6,FALSE),(IF(H36="Beli",VLOOKUP(P36,COPY!$A$1:$L$1000,11,FALSE),IF(H36="Bayar Ongkos",VLOOKUP(K36,'Rekap Gaji'!$D$12:$I$26,6,FALSE),0))))</f>
        <v>0</v>
      </c>
      <c r="P36" s="466" t="str">
        <f t="shared" si="0"/>
        <v/>
      </c>
      <c r="Q36" s="253">
        <f t="shared" si="3"/>
        <v>0</v>
      </c>
      <c r="R36" s="253">
        <f t="shared" si="4"/>
        <v>0</v>
      </c>
      <c r="S36" s="449">
        <f t="shared" si="5"/>
        <v>4</v>
      </c>
      <c r="T36" s="253">
        <f t="shared" si="6"/>
        <v>4</v>
      </c>
      <c r="U36" s="457" t="str">
        <f t="shared" si="1"/>
        <v xml:space="preserve"> </v>
      </c>
    </row>
    <row r="37" spans="1:24" ht="20.100000000000001" hidden="1" customHeight="1" x14ac:dyDescent="0.25">
      <c r="A37" s="470" t="str">
        <f t="shared" si="2"/>
        <v/>
      </c>
      <c r="B37" s="456">
        <f>IF(LEFT(C37,16)="Terima Pajak PPN",VLOOKUP(P37,COPY!$A$1:$AC$1000,21,FALSE),IF(LEFT(C37,16)="Terima Pajak PPH",VLOOKUP(P37,COPY!$A$1:$AC$1000,21,FALSE),IF(LEFT(C37,13)="Terima PPh 23",VLOOKUP(P37,COPY!$A$1:$AC$1000,21,FALSE),0)))</f>
        <v>0</v>
      </c>
      <c r="C37" s="457">
        <f>IFERROR(IF(LEFT(VLOOKUP(P37,COPY!$A$1:$AC$1000,29,FALSE),5)="Terim",VLOOKUP(P37,COPY!$A$1:$AC$1000,29,FALSE),0),0)</f>
        <v>0</v>
      </c>
      <c r="D37" s="457"/>
      <c r="E37" s="457"/>
      <c r="F37" s="458">
        <f>IFERROR(IF(LEFT(VLOOKUP(P37,COPY!$A$1:$AC$1000,29,FALSE),5)="Terim",VLOOKUP(P37,COPY!$A$1:$AC$1000,26,FALSE),0),0)</f>
        <v>0</v>
      </c>
      <c r="G37" s="459">
        <f>IFERROR(VLOOKUP(P37,COPY!$A$1:$L$1000,4,FALSE),0)</f>
        <v>0</v>
      </c>
      <c r="H37" s="457">
        <f>IFERROR(VLOOKUP(P37,COPY!$A$1:$L$1000,2,FALSE),0)</f>
        <v>0</v>
      </c>
      <c r="I37" s="510">
        <f>IFERROR(VLOOKUP(P37,COPY!$A$1:$L$1000,10,FALSE),0)</f>
        <v>0</v>
      </c>
      <c r="J37" s="467">
        <f>IFERROR(VLOOKUP(P37,COPY!$A$1:$L$1000,8,FALSE),0)</f>
        <v>0</v>
      </c>
      <c r="K37" s="457">
        <f>IFERROR(VLOOKUP(P37,COPY!$A$1:$L$1000,7,FALSE),0)</f>
        <v>0</v>
      </c>
      <c r="L37" s="468">
        <f>IFERROR(VLOOKUP(P37,COPY!$A$1:$O$1000,15,FALSE),0)</f>
        <v>0</v>
      </c>
      <c r="M37" s="468">
        <f>IFERROR(VLOOKUP(P37,COPY!$A$1:$L$1000,12,FALSE),0)</f>
        <v>0</v>
      </c>
      <c r="N37" s="469">
        <f>IF(H37="Jasa",VLOOKUP('BKU 4'!K37,'Rekap Gaji'!$D$12:$I$26,6,FALSE),(IF(H37="Beli",VLOOKUP(P37,COPY!$A$1:$L$1000,11,FALSE),IF(H37="Bayar Ongkos",VLOOKUP(K37,'Rekap Gaji'!$D$12:$I$26,6,FALSE),0))))</f>
        <v>0</v>
      </c>
      <c r="P37" s="466" t="str">
        <f t="shared" si="0"/>
        <v/>
      </c>
      <c r="Q37" s="253">
        <f t="shared" si="3"/>
        <v>0</v>
      </c>
      <c r="R37" s="253">
        <f t="shared" si="4"/>
        <v>0</v>
      </c>
      <c r="S37" s="449">
        <f t="shared" si="5"/>
        <v>5</v>
      </c>
      <c r="T37" s="253">
        <f t="shared" si="6"/>
        <v>5</v>
      </c>
      <c r="U37" s="457" t="str">
        <f t="shared" si="1"/>
        <v xml:space="preserve"> </v>
      </c>
    </row>
    <row r="38" spans="1:24" ht="20.100000000000001" hidden="1" customHeight="1" x14ac:dyDescent="0.25">
      <c r="A38" s="470" t="str">
        <f t="shared" si="2"/>
        <v/>
      </c>
      <c r="B38" s="456">
        <f>IF(LEFT(C38,16)="Terima Pajak PPN",VLOOKUP(P38,COPY!$A$1:$AC$1000,21,FALSE),IF(LEFT(C38,16)="Terima Pajak PPH",VLOOKUP(P38,COPY!$A$1:$AC$1000,21,FALSE),IF(LEFT(C38,13)="Terima PPh 23",VLOOKUP(P38,COPY!$A$1:$AC$1000,21,FALSE),0)))</f>
        <v>0</v>
      </c>
      <c r="C38" s="457">
        <f>IFERROR(IF(LEFT(VLOOKUP(P38,COPY!$A$1:$AC$1000,29,FALSE),5)="Terim",VLOOKUP(P38,COPY!$A$1:$AC$1000,29,FALSE),0),0)</f>
        <v>0</v>
      </c>
      <c r="D38" s="457"/>
      <c r="E38" s="457"/>
      <c r="F38" s="458">
        <f>IFERROR(IF(LEFT(VLOOKUP(P38,COPY!$A$1:$AC$1000,29,FALSE),5)="Terim",VLOOKUP(P38,COPY!$A$1:$AC$1000,26,FALSE),0),0)</f>
        <v>0</v>
      </c>
      <c r="G38" s="459">
        <f>IFERROR(VLOOKUP(P38,COPY!$A$1:$L$1000,4,FALSE),0)</f>
        <v>0</v>
      </c>
      <c r="H38" s="457">
        <f>IFERROR(VLOOKUP(P38,COPY!$A$1:$L$1000,2,FALSE),0)</f>
        <v>0</v>
      </c>
      <c r="I38" s="510">
        <f>IFERROR(VLOOKUP(P38,COPY!$A$1:$L$1000,10,FALSE),0)</f>
        <v>0</v>
      </c>
      <c r="J38" s="467">
        <f>IFERROR(VLOOKUP(P38,COPY!$A$1:$L$1000,8,FALSE),0)</f>
        <v>0</v>
      </c>
      <c r="K38" s="457">
        <f>IFERROR(VLOOKUP(P38,COPY!$A$1:$L$1000,7,FALSE),0)</f>
        <v>0</v>
      </c>
      <c r="L38" s="468">
        <f>IFERROR(VLOOKUP(P38,COPY!$A$1:$O$1000,15,FALSE),0)</f>
        <v>0</v>
      </c>
      <c r="M38" s="468">
        <f>IFERROR(VLOOKUP(P38,COPY!$A$1:$L$1000,12,FALSE),0)</f>
        <v>0</v>
      </c>
      <c r="N38" s="469">
        <f>IF(H38="Jasa",VLOOKUP('BKU 4'!K38,'Rekap Gaji'!$D$12:$I$26,6,FALSE),(IF(H38="Beli",VLOOKUP(P38,COPY!$A$1:$L$1000,11,FALSE),IF(H38="Bayar Ongkos",VLOOKUP(K38,'Rekap Gaji'!$D$12:$I$26,6,FALSE),0))))</f>
        <v>0</v>
      </c>
      <c r="O38" s="470"/>
      <c r="P38" s="466" t="str">
        <f t="shared" si="0"/>
        <v/>
      </c>
      <c r="Q38" s="253">
        <f t="shared" si="3"/>
        <v>0</v>
      </c>
      <c r="R38" s="253">
        <f t="shared" si="4"/>
        <v>0</v>
      </c>
      <c r="S38" s="449">
        <f t="shared" si="5"/>
        <v>6</v>
      </c>
      <c r="T38" s="253">
        <f t="shared" si="6"/>
        <v>6</v>
      </c>
      <c r="U38" s="457" t="str">
        <f t="shared" si="1"/>
        <v xml:space="preserve"> </v>
      </c>
    </row>
    <row r="39" spans="1:24" ht="20.100000000000001" hidden="1" customHeight="1" x14ac:dyDescent="0.25">
      <c r="A39" s="470" t="str">
        <f t="shared" si="2"/>
        <v/>
      </c>
      <c r="B39" s="456">
        <f>IF(LEFT(C39,16)="Terima Pajak PPN",VLOOKUP(P39,COPY!$A$1:$AC$1000,21,FALSE),IF(LEFT(C39,16)="Terima Pajak PPH",VLOOKUP(P39,COPY!$A$1:$AC$1000,21,FALSE),IF(LEFT(C39,13)="Terima PPh 23",VLOOKUP(P39,COPY!$A$1:$AC$1000,21,FALSE),0)))</f>
        <v>0</v>
      </c>
      <c r="C39" s="457">
        <f>IFERROR(IF(LEFT(VLOOKUP(P39,COPY!$A$1:$AC$1000,29,FALSE),5)="Terim",VLOOKUP(P39,COPY!$A$1:$AC$1000,29,FALSE),0),0)</f>
        <v>0</v>
      </c>
      <c r="D39" s="457"/>
      <c r="E39" s="457"/>
      <c r="F39" s="458">
        <f>IFERROR(IF(LEFT(VLOOKUP(P39,COPY!$A$1:$AC$1000,29,FALSE),5)="Terim",VLOOKUP(P39,COPY!$A$1:$AC$1000,26,FALSE),0),0)</f>
        <v>0</v>
      </c>
      <c r="G39" s="459">
        <f>IFERROR(VLOOKUP(P39,COPY!$A$1:$L$1000,4,FALSE),0)</f>
        <v>0</v>
      </c>
      <c r="H39" s="457">
        <f>IFERROR(VLOOKUP(P39,COPY!$A$1:$L$1000,2,FALSE),0)</f>
        <v>0</v>
      </c>
      <c r="I39" s="510">
        <f>IFERROR(VLOOKUP(P39,COPY!$A$1:$L$1000,10,FALSE),0)</f>
        <v>0</v>
      </c>
      <c r="J39" s="467">
        <f>IFERROR(VLOOKUP(P39,COPY!$A$1:$L$1000,8,FALSE),0)</f>
        <v>0</v>
      </c>
      <c r="K39" s="457">
        <f>IFERROR(VLOOKUP(P39,COPY!$A$1:$L$1000,7,FALSE),0)</f>
        <v>0</v>
      </c>
      <c r="L39" s="468">
        <f>IFERROR(VLOOKUP(P39,COPY!$A$1:$O$1000,15,FALSE),0)</f>
        <v>0</v>
      </c>
      <c r="M39" s="468">
        <f>IFERROR(VLOOKUP(P39,COPY!$A$1:$L$1000,12,FALSE),0)</f>
        <v>0</v>
      </c>
      <c r="N39" s="469">
        <f>IF(H39="Jasa",VLOOKUP('BKU 4'!K39,'Rekap Gaji'!$D$12:$I$26,6,FALSE),(IF(H39="Beli",VLOOKUP(P39,COPY!$A$1:$L$1000,11,FALSE),IF(H39="Bayar Ongkos",VLOOKUP(K39,'Rekap Gaji'!$D$12:$I$26,6,FALSE),0))))</f>
        <v>0</v>
      </c>
      <c r="P39" s="466" t="str">
        <f t="shared" si="0"/>
        <v/>
      </c>
      <c r="Q39" s="253">
        <f t="shared" si="3"/>
        <v>0</v>
      </c>
      <c r="R39" s="253">
        <f t="shared" si="4"/>
        <v>0</v>
      </c>
      <c r="S39" s="449">
        <f t="shared" si="5"/>
        <v>7</v>
      </c>
      <c r="T39" s="253">
        <f t="shared" si="6"/>
        <v>7</v>
      </c>
      <c r="U39" s="457" t="str">
        <f t="shared" si="1"/>
        <v xml:space="preserve"> </v>
      </c>
    </row>
    <row r="40" spans="1:24" ht="20.100000000000001" hidden="1" customHeight="1" x14ac:dyDescent="0.25">
      <c r="A40" s="470" t="str">
        <f t="shared" si="2"/>
        <v/>
      </c>
      <c r="B40" s="456">
        <f>IF(LEFT(C40,16)="Terima Pajak PPN",VLOOKUP(P40,COPY!$A$1:$AC$1000,21,FALSE),IF(LEFT(C40,16)="Terima Pajak PPH",VLOOKUP(P40,COPY!$A$1:$AC$1000,21,FALSE),IF(LEFT(C40,13)="Terima PPh 23",VLOOKUP(P40,COPY!$A$1:$AC$1000,21,FALSE),0)))</f>
        <v>0</v>
      </c>
      <c r="C40" s="457">
        <f>IFERROR(IF(LEFT(VLOOKUP(P40,COPY!$A$1:$AC$1000,29,FALSE),5)="Terim",VLOOKUP(P40,COPY!$A$1:$AC$1000,29,FALSE),0),0)</f>
        <v>0</v>
      </c>
      <c r="D40" s="457"/>
      <c r="E40" s="457"/>
      <c r="F40" s="458">
        <f>IFERROR(IF(LEFT(VLOOKUP(P40,COPY!$A$1:$AC$1000,29,FALSE),5)="Terim",VLOOKUP(P40,COPY!$A$1:$AC$1000,26,FALSE),0),0)</f>
        <v>0</v>
      </c>
      <c r="G40" s="459">
        <f>IFERROR(VLOOKUP(P40,COPY!$A$1:$L$1000,4,FALSE),0)</f>
        <v>0</v>
      </c>
      <c r="H40" s="457">
        <f>IFERROR(VLOOKUP(P40,COPY!$A$1:$L$1000,2,FALSE),0)</f>
        <v>0</v>
      </c>
      <c r="I40" s="510">
        <f>IFERROR(VLOOKUP(P40,COPY!$A$1:$L$1000,10,FALSE),0)</f>
        <v>0</v>
      </c>
      <c r="J40" s="467">
        <f>IFERROR(VLOOKUP(P40,COPY!$A$1:$L$1000,8,FALSE),0)</f>
        <v>0</v>
      </c>
      <c r="K40" s="457">
        <f>IFERROR(VLOOKUP(P40,COPY!$A$1:$L$1000,7,FALSE),0)</f>
        <v>0</v>
      </c>
      <c r="L40" s="468">
        <f>IFERROR(VLOOKUP(P40,COPY!$A$1:$O$1000,15,FALSE),0)</f>
        <v>0</v>
      </c>
      <c r="M40" s="468">
        <f>IFERROR(VLOOKUP(P40,COPY!$A$1:$L$1000,12,FALSE),0)</f>
        <v>0</v>
      </c>
      <c r="N40" s="469">
        <f>IF(H40="Jasa",VLOOKUP('BKU 4'!K40,'Rekap Gaji'!$D$12:$I$26,6,FALSE),(IF(H40="Beli",VLOOKUP(P40,COPY!$A$1:$L$1000,11,FALSE),IF(H40="Bayar Ongkos",VLOOKUP(K40,'Rekap Gaji'!$D$12:$I$26,6,FALSE),0))))</f>
        <v>0</v>
      </c>
      <c r="P40" s="466" t="str">
        <f t="shared" si="0"/>
        <v/>
      </c>
      <c r="Q40" s="253">
        <f t="shared" si="3"/>
        <v>0</v>
      </c>
      <c r="R40" s="253">
        <f t="shared" si="4"/>
        <v>0</v>
      </c>
      <c r="S40" s="449">
        <f t="shared" si="5"/>
        <v>8</v>
      </c>
      <c r="T40" s="253">
        <f t="shared" si="6"/>
        <v>8</v>
      </c>
      <c r="U40" s="457" t="str">
        <f t="shared" si="1"/>
        <v xml:space="preserve"> </v>
      </c>
    </row>
    <row r="41" spans="1:24" ht="20.100000000000001" hidden="1" customHeight="1" x14ac:dyDescent="0.25">
      <c r="A41" s="470" t="str">
        <f t="shared" si="2"/>
        <v/>
      </c>
      <c r="B41" s="456">
        <f>IF(LEFT(C41,16)="Terima Pajak PPN",VLOOKUP(P41,COPY!$A$1:$AC$1000,21,FALSE),IF(LEFT(C41,16)="Terima Pajak PPH",VLOOKUP(P41,COPY!$A$1:$AC$1000,21,FALSE),IF(LEFT(C41,13)="Terima PPh 23",VLOOKUP(P41,COPY!$A$1:$AC$1000,21,FALSE),0)))</f>
        <v>0</v>
      </c>
      <c r="C41" s="457">
        <f>IFERROR(IF(LEFT(VLOOKUP(P41,COPY!$A$1:$AC$1000,29,FALSE),5)="Terim",VLOOKUP(P41,COPY!$A$1:$AC$1000,29,FALSE),0),0)</f>
        <v>0</v>
      </c>
      <c r="D41" s="457"/>
      <c r="E41" s="457"/>
      <c r="F41" s="458">
        <f>IFERROR(IF(LEFT(VLOOKUP(P41,COPY!$A$1:$AC$1000,29,FALSE),5)="Terim",VLOOKUP(P41,COPY!$A$1:$AC$1000,26,FALSE),0),0)</f>
        <v>0</v>
      </c>
      <c r="G41" s="459">
        <f>IFERROR(VLOOKUP(P41,COPY!$A$1:$L$1000,4,FALSE),0)</f>
        <v>0</v>
      </c>
      <c r="H41" s="457">
        <f>IFERROR(VLOOKUP(P41,COPY!$A$1:$L$1000,2,FALSE),0)</f>
        <v>0</v>
      </c>
      <c r="I41" s="510">
        <f>IFERROR(VLOOKUP(P41,COPY!$A$1:$L$1000,10,FALSE),0)</f>
        <v>0</v>
      </c>
      <c r="J41" s="467">
        <f>IFERROR(VLOOKUP(P41,COPY!$A$1:$L$1000,8,FALSE),0)</f>
        <v>0</v>
      </c>
      <c r="K41" s="457">
        <f>IFERROR(VLOOKUP(P41,COPY!$A$1:$L$1000,7,FALSE),0)</f>
        <v>0</v>
      </c>
      <c r="L41" s="468">
        <f>IFERROR(VLOOKUP(P41,COPY!$A$1:$O$1000,15,FALSE),0)</f>
        <v>0</v>
      </c>
      <c r="M41" s="468">
        <f>IFERROR(VLOOKUP(P41,COPY!$A$1:$L$1000,12,FALSE),0)</f>
        <v>0</v>
      </c>
      <c r="N41" s="469">
        <f>IF(H41="Jasa",VLOOKUP('BKU 4'!K41,'Rekap Gaji'!$D$12:$I$26,6,FALSE),(IF(H41="Beli",VLOOKUP(P41,COPY!$A$1:$L$1000,11,FALSE),IF(H41="Bayar Ongkos",VLOOKUP(K41,'Rekap Gaji'!$D$12:$I$26,6,FALSE),0))))</f>
        <v>0</v>
      </c>
      <c r="O41" s="470"/>
      <c r="P41" s="466" t="str">
        <f t="shared" si="0"/>
        <v/>
      </c>
      <c r="Q41" s="253">
        <f t="shared" si="3"/>
        <v>0</v>
      </c>
      <c r="R41" s="253">
        <f t="shared" si="4"/>
        <v>0</v>
      </c>
      <c r="S41" s="449">
        <f t="shared" si="5"/>
        <v>9</v>
      </c>
      <c r="T41" s="253">
        <f t="shared" si="6"/>
        <v>9</v>
      </c>
      <c r="U41" s="457" t="str">
        <f t="shared" si="1"/>
        <v xml:space="preserve"> </v>
      </c>
    </row>
    <row r="42" spans="1:24" ht="20.100000000000001" hidden="1" customHeight="1" x14ac:dyDescent="0.25">
      <c r="A42" s="470" t="str">
        <f t="shared" si="2"/>
        <v/>
      </c>
      <c r="B42" s="456">
        <f>IF(LEFT(C42,16)="Terima Pajak PPN",VLOOKUP(P42,COPY!$A$1:$AC$1000,21,FALSE),IF(LEFT(C42,16)="Terima Pajak PPH",VLOOKUP(P42,COPY!$A$1:$AC$1000,21,FALSE),IF(LEFT(C42,13)="Terima PPh 23",VLOOKUP(P42,COPY!$A$1:$AC$1000,21,FALSE),0)))</f>
        <v>0</v>
      </c>
      <c r="C42" s="457">
        <f>IFERROR(IF(LEFT(VLOOKUP(P42,COPY!$A$1:$AC$1000,29,FALSE),5)="Terim",VLOOKUP(P42,COPY!$A$1:$AC$1000,29,FALSE),0),0)</f>
        <v>0</v>
      </c>
      <c r="D42" s="457"/>
      <c r="E42" s="457"/>
      <c r="F42" s="458">
        <f>IFERROR(IF(LEFT(VLOOKUP(P42,COPY!$A$1:$AC$1000,29,FALSE),5)="Terim",VLOOKUP(P42,COPY!$A$1:$AC$1000,26,FALSE),0),0)</f>
        <v>0</v>
      </c>
      <c r="G42" s="459">
        <f>IFERROR(VLOOKUP(P42,COPY!$A$1:$L$1000,4,FALSE),0)</f>
        <v>0</v>
      </c>
      <c r="H42" s="457">
        <f>IFERROR(VLOOKUP(P42,COPY!$A$1:$L$1000,2,FALSE),0)</f>
        <v>0</v>
      </c>
      <c r="I42" s="510">
        <f>IFERROR(VLOOKUP(P42,COPY!$A$1:$L$1000,10,FALSE),0)</f>
        <v>0</v>
      </c>
      <c r="J42" s="467">
        <f>IFERROR(VLOOKUP(P42,COPY!$A$1:$L$1000,8,FALSE),0)</f>
        <v>0</v>
      </c>
      <c r="K42" s="457">
        <f>IFERROR(VLOOKUP(P42,COPY!$A$1:$L$1000,7,FALSE),0)</f>
        <v>0</v>
      </c>
      <c r="L42" s="468">
        <f>IFERROR(VLOOKUP(P42,COPY!$A$1:$O$1000,15,FALSE),0)</f>
        <v>0</v>
      </c>
      <c r="M42" s="468">
        <f>IFERROR(VLOOKUP(P42,COPY!$A$1:$L$1000,12,FALSE),0)</f>
        <v>0</v>
      </c>
      <c r="N42" s="469">
        <f>IF(H42="Jasa",VLOOKUP('BKU 4'!K42,'Rekap Gaji'!$D$12:$I$26,6,FALSE),(IF(H42="Beli",VLOOKUP(P42,COPY!$A$1:$L$1000,11,FALSE),IF(H42="Bayar Ongkos",VLOOKUP(K42,'Rekap Gaji'!$D$12:$I$26,6,FALSE),0))))</f>
        <v>0</v>
      </c>
      <c r="P42" s="466" t="str">
        <f t="shared" si="0"/>
        <v/>
      </c>
      <c r="Q42" s="253">
        <f t="shared" si="3"/>
        <v>0</v>
      </c>
      <c r="R42" s="253">
        <f t="shared" si="4"/>
        <v>0</v>
      </c>
      <c r="S42" s="449">
        <f t="shared" si="5"/>
        <v>10</v>
      </c>
      <c r="T42" s="253">
        <f t="shared" si="6"/>
        <v>10</v>
      </c>
      <c r="U42" s="457" t="str">
        <f t="shared" si="1"/>
        <v xml:space="preserve"> </v>
      </c>
    </row>
    <row r="43" spans="1:24" ht="20.100000000000001" hidden="1" customHeight="1" x14ac:dyDescent="0.25">
      <c r="A43" s="470" t="str">
        <f t="shared" si="2"/>
        <v/>
      </c>
      <c r="B43" s="456">
        <f>IF(LEFT(C43,16)="Terima Pajak PPN",VLOOKUP(P43,COPY!$A$1:$AC$1000,21,FALSE),IF(LEFT(C43,16)="Terima Pajak PPH",VLOOKUP(P43,COPY!$A$1:$AC$1000,21,FALSE),IF(LEFT(C43,13)="Terima PPh 23",VLOOKUP(P43,COPY!$A$1:$AC$1000,21,FALSE),0)))</f>
        <v>0</v>
      </c>
      <c r="C43" s="457">
        <f>IFERROR(IF(LEFT(VLOOKUP(P43,COPY!$A$1:$AC$1000,29,FALSE),5)="Terim",VLOOKUP(P43,COPY!$A$1:$AC$1000,29,FALSE),0),0)</f>
        <v>0</v>
      </c>
      <c r="D43" s="457"/>
      <c r="E43" s="457"/>
      <c r="F43" s="458">
        <f>IFERROR(IF(LEFT(VLOOKUP(P43,COPY!$A$1:$AC$1000,29,FALSE),5)="Terim",VLOOKUP(P43,COPY!$A$1:$AC$1000,26,FALSE),0),0)</f>
        <v>0</v>
      </c>
      <c r="G43" s="459">
        <f>IFERROR(VLOOKUP(P43,COPY!$A$1:$L$1000,4,FALSE),0)</f>
        <v>0</v>
      </c>
      <c r="H43" s="457">
        <f>IFERROR(VLOOKUP(P43,COPY!$A$1:$L$1000,2,FALSE),0)</f>
        <v>0</v>
      </c>
      <c r="I43" s="510">
        <f>IFERROR(VLOOKUP(P43,COPY!$A$1:$L$1000,10,FALSE),0)</f>
        <v>0</v>
      </c>
      <c r="J43" s="467">
        <f>IFERROR(VLOOKUP(P43,COPY!$A$1:$L$1000,8,FALSE),0)</f>
        <v>0</v>
      </c>
      <c r="K43" s="457">
        <f>IFERROR(VLOOKUP(P43,COPY!$A$1:$L$1000,7,FALSE),0)</f>
        <v>0</v>
      </c>
      <c r="L43" s="468">
        <f>IFERROR(VLOOKUP(P43,COPY!$A$1:$O$1000,15,FALSE),0)</f>
        <v>0</v>
      </c>
      <c r="M43" s="468">
        <f>IFERROR(VLOOKUP(P43,COPY!$A$1:$L$1000,12,FALSE),0)</f>
        <v>0</v>
      </c>
      <c r="N43" s="469">
        <f>IF(H43="Jasa",VLOOKUP('BKU 4'!K43,'Rekap Gaji'!$D$12:$I$26,6,FALSE),(IF(H43="Beli",VLOOKUP(P43,COPY!$A$1:$L$1000,11,FALSE),IF(H43="Bayar Ongkos",VLOOKUP(K43,'Rekap Gaji'!$D$12:$I$26,6,FALSE),0))))</f>
        <v>0</v>
      </c>
      <c r="O43" s="470"/>
      <c r="P43" s="466" t="str">
        <f t="shared" si="0"/>
        <v/>
      </c>
      <c r="Q43" s="253">
        <f t="shared" si="3"/>
        <v>0</v>
      </c>
      <c r="R43" s="253">
        <f t="shared" si="4"/>
        <v>0</v>
      </c>
      <c r="S43" s="449">
        <f t="shared" si="5"/>
        <v>11</v>
      </c>
      <c r="T43" s="253">
        <f t="shared" si="6"/>
        <v>11</v>
      </c>
      <c r="U43" s="457" t="str">
        <f t="shared" si="1"/>
        <v xml:space="preserve"> </v>
      </c>
    </row>
    <row r="44" spans="1:24" ht="20.100000000000001" hidden="1" customHeight="1" x14ac:dyDescent="0.25">
      <c r="A44" s="470" t="str">
        <f t="shared" si="2"/>
        <v/>
      </c>
      <c r="B44" s="456">
        <f>IF(LEFT(C44,16)="Terima Pajak PPN",VLOOKUP(P44,COPY!$A$1:$AC$1000,21,FALSE),IF(LEFT(C44,16)="Terima Pajak PPH",VLOOKUP(P44,COPY!$A$1:$AC$1000,21,FALSE),IF(LEFT(C44,13)="Terima PPh 23",VLOOKUP(P44,COPY!$A$1:$AC$1000,21,FALSE),0)))</f>
        <v>0</v>
      </c>
      <c r="C44" s="457">
        <f>IFERROR(IF(LEFT(VLOOKUP(P44,COPY!$A$1:$AC$1000,29,FALSE),5)="Terim",VLOOKUP(P44,COPY!$A$1:$AC$1000,29,FALSE),0),0)</f>
        <v>0</v>
      </c>
      <c r="D44" s="457"/>
      <c r="E44" s="457"/>
      <c r="F44" s="458">
        <f>IFERROR(IF(LEFT(VLOOKUP(P44,COPY!$A$1:$AC$1000,29,FALSE),5)="Terim",VLOOKUP(P44,COPY!$A$1:$AC$1000,26,FALSE),0),0)</f>
        <v>0</v>
      </c>
      <c r="G44" s="459">
        <f>IFERROR(VLOOKUP(P44,COPY!$A$1:$L$1000,4,FALSE),0)</f>
        <v>0</v>
      </c>
      <c r="H44" s="457">
        <f>IFERROR(VLOOKUP(P44,COPY!$A$1:$L$1000,2,FALSE),0)</f>
        <v>0</v>
      </c>
      <c r="I44" s="510">
        <f>IFERROR(VLOOKUP(P44,COPY!$A$1:$L$1000,10,FALSE),0)</f>
        <v>0</v>
      </c>
      <c r="J44" s="467">
        <f>IFERROR(VLOOKUP(P44,COPY!$A$1:$L$1000,8,FALSE),0)</f>
        <v>0</v>
      </c>
      <c r="K44" s="457">
        <f>IFERROR(VLOOKUP(P44,COPY!$A$1:$L$1000,7,FALSE),0)</f>
        <v>0</v>
      </c>
      <c r="L44" s="468">
        <f>IFERROR(VLOOKUP(P44,COPY!$A$1:$O$1000,15,FALSE),0)</f>
        <v>0</v>
      </c>
      <c r="M44" s="468">
        <f>IFERROR(VLOOKUP(P44,COPY!$A$1:$L$1000,12,FALSE),0)</f>
        <v>0</v>
      </c>
      <c r="N44" s="469">
        <f>IF(H44="Jasa",VLOOKUP('BKU 4'!K44,'Rekap Gaji'!$D$12:$I$26,6,FALSE),(IF(H44="Beli",VLOOKUP(P44,COPY!$A$1:$L$1000,11,FALSE),IF(H44="Bayar Ongkos",VLOOKUP(K44,'Rekap Gaji'!$D$12:$I$26,6,FALSE),0))))</f>
        <v>0</v>
      </c>
      <c r="O44" s="470"/>
      <c r="P44" s="466" t="str">
        <f t="shared" si="0"/>
        <v/>
      </c>
      <c r="Q44" s="253">
        <f t="shared" si="3"/>
        <v>0</v>
      </c>
      <c r="R44" s="253">
        <f t="shared" si="4"/>
        <v>0</v>
      </c>
      <c r="S44" s="449">
        <f t="shared" si="5"/>
        <v>12</v>
      </c>
      <c r="T44" s="253">
        <f t="shared" si="6"/>
        <v>12</v>
      </c>
      <c r="U44" s="457" t="str">
        <f t="shared" si="1"/>
        <v xml:space="preserve"> </v>
      </c>
    </row>
    <row r="45" spans="1:24" ht="20.100000000000001" hidden="1" customHeight="1" x14ac:dyDescent="0.25">
      <c r="A45" s="470" t="str">
        <f t="shared" si="2"/>
        <v/>
      </c>
      <c r="B45" s="456">
        <f>IF(LEFT(C45,16)="Terima Pajak PPN",VLOOKUP(P45,COPY!$A$1:$AC$1000,21,FALSE),IF(LEFT(C45,16)="Terima Pajak PPH",VLOOKUP(P45,COPY!$A$1:$AC$1000,21,FALSE),IF(LEFT(C45,13)="Terima PPh 23",VLOOKUP(P45,COPY!$A$1:$AC$1000,21,FALSE),0)))</f>
        <v>0</v>
      </c>
      <c r="C45" s="457">
        <f>IFERROR(IF(LEFT(VLOOKUP(P45,COPY!$A$1:$AC$1000,29,FALSE),5)="Terim",VLOOKUP(P45,COPY!$A$1:$AC$1000,29,FALSE),0),0)</f>
        <v>0</v>
      </c>
      <c r="D45" s="457"/>
      <c r="E45" s="457"/>
      <c r="F45" s="458">
        <f>IFERROR(IF(LEFT(VLOOKUP(P45,COPY!$A$1:$AC$1000,29,FALSE),5)="Terim",VLOOKUP(P45,COPY!$A$1:$AC$1000,26,FALSE),0),0)</f>
        <v>0</v>
      </c>
      <c r="G45" s="459">
        <f>IFERROR(VLOOKUP(P45,COPY!$A$1:$L$1000,4,FALSE),0)</f>
        <v>0</v>
      </c>
      <c r="H45" s="457">
        <f>IFERROR(VLOOKUP(P45,COPY!$A$1:$L$1000,2,FALSE),0)</f>
        <v>0</v>
      </c>
      <c r="I45" s="510">
        <f>IFERROR(VLOOKUP(P45,COPY!$A$1:$L$1000,10,FALSE),0)</f>
        <v>0</v>
      </c>
      <c r="J45" s="467">
        <f>IFERROR(VLOOKUP(P45,COPY!$A$1:$L$1000,8,FALSE),0)</f>
        <v>0</v>
      </c>
      <c r="K45" s="457">
        <f>IFERROR(VLOOKUP(P45,COPY!$A$1:$L$1000,7,FALSE),0)</f>
        <v>0</v>
      </c>
      <c r="L45" s="468">
        <f>IFERROR(VLOOKUP(P45,COPY!$A$1:$O$1000,15,FALSE),0)</f>
        <v>0</v>
      </c>
      <c r="M45" s="468">
        <f>IFERROR(VLOOKUP(P45,COPY!$A$1:$L$1000,12,FALSE),0)</f>
        <v>0</v>
      </c>
      <c r="N45" s="469">
        <f>IF(H45="Jasa",VLOOKUP('BKU 4'!K45,'Rekap Gaji'!$D$12:$I$26,6,FALSE),(IF(H45="Beli",VLOOKUP(P45,COPY!$A$1:$L$1000,11,FALSE),IF(H45="Bayar Ongkos",VLOOKUP(K45,'Rekap Gaji'!$D$12:$I$26,6,FALSE),0))))</f>
        <v>0</v>
      </c>
      <c r="O45" s="470"/>
      <c r="P45" s="466" t="str">
        <f t="shared" si="0"/>
        <v/>
      </c>
      <c r="Q45" s="253">
        <f t="shared" si="3"/>
        <v>0</v>
      </c>
      <c r="R45" s="253">
        <f t="shared" si="4"/>
        <v>0</v>
      </c>
      <c r="S45" s="449">
        <f t="shared" si="5"/>
        <v>13</v>
      </c>
      <c r="T45" s="253">
        <f t="shared" si="6"/>
        <v>13</v>
      </c>
      <c r="U45" s="457" t="str">
        <f t="shared" si="1"/>
        <v xml:space="preserve"> </v>
      </c>
    </row>
    <row r="46" spans="1:24" ht="20.100000000000001" hidden="1" customHeight="1" x14ac:dyDescent="0.25">
      <c r="A46" s="470" t="str">
        <f t="shared" si="2"/>
        <v/>
      </c>
      <c r="B46" s="456">
        <f>IF(LEFT(C46,16)="Terima Pajak PPN",VLOOKUP(P46,COPY!$A$1:$AC$1000,21,FALSE),IF(LEFT(C46,16)="Terima Pajak PPH",VLOOKUP(P46,COPY!$A$1:$AC$1000,21,FALSE),IF(LEFT(C46,13)="Terima PPh 23",VLOOKUP(P46,COPY!$A$1:$AC$1000,21,FALSE),0)))</f>
        <v>0</v>
      </c>
      <c r="C46" s="457">
        <f>IFERROR(IF(LEFT(VLOOKUP(P46,COPY!$A$1:$AC$1000,29,FALSE),5)="Terim",VLOOKUP(P46,COPY!$A$1:$AC$1000,29,FALSE),0),0)</f>
        <v>0</v>
      </c>
      <c r="D46" s="457"/>
      <c r="E46" s="457"/>
      <c r="F46" s="458">
        <f>IFERROR(IF(LEFT(VLOOKUP(P46,COPY!$A$1:$AC$1000,29,FALSE),5)="Terim",VLOOKUP(P46,COPY!$A$1:$AC$1000,26,FALSE),0),0)</f>
        <v>0</v>
      </c>
      <c r="G46" s="459">
        <f>IFERROR(VLOOKUP(P46,COPY!$A$1:$L$1000,4,FALSE),0)</f>
        <v>0</v>
      </c>
      <c r="H46" s="457">
        <f>IFERROR(VLOOKUP(P46,COPY!$A$1:$L$1000,2,FALSE),0)</f>
        <v>0</v>
      </c>
      <c r="I46" s="510">
        <f>IFERROR(VLOOKUP(P46,COPY!$A$1:$L$1000,10,FALSE),0)</f>
        <v>0</v>
      </c>
      <c r="J46" s="467">
        <f>IFERROR(VLOOKUP(P46,COPY!$A$1:$L$1000,8,FALSE),0)</f>
        <v>0</v>
      </c>
      <c r="K46" s="457">
        <f>IFERROR(VLOOKUP(P46,COPY!$A$1:$L$1000,7,FALSE),0)</f>
        <v>0</v>
      </c>
      <c r="L46" s="468">
        <f>IFERROR(VLOOKUP(P46,COPY!$A$1:$O$1000,15,FALSE),0)</f>
        <v>0</v>
      </c>
      <c r="M46" s="468">
        <f>IFERROR(VLOOKUP(P46,COPY!$A$1:$L$1000,12,FALSE),0)</f>
        <v>0</v>
      </c>
      <c r="N46" s="469">
        <f>IF(H46="Jasa",VLOOKUP('BKU 4'!K46,'Rekap Gaji'!$D$12:$I$26,6,FALSE),(IF(H46="Beli",VLOOKUP(P46,COPY!$A$1:$L$1000,11,FALSE),IF(H46="Bayar Ongkos",VLOOKUP(K46,'Rekap Gaji'!$D$12:$I$26,6,FALSE),0))))</f>
        <v>0</v>
      </c>
      <c r="P46" s="466" t="str">
        <f t="shared" si="0"/>
        <v/>
      </c>
      <c r="Q46" s="253">
        <f t="shared" si="3"/>
        <v>0</v>
      </c>
      <c r="R46" s="253">
        <f t="shared" si="4"/>
        <v>0</v>
      </c>
      <c r="S46" s="449">
        <f t="shared" si="5"/>
        <v>14</v>
      </c>
      <c r="T46" s="253">
        <f t="shared" si="6"/>
        <v>14</v>
      </c>
      <c r="U46" s="457" t="str">
        <f t="shared" si="1"/>
        <v xml:space="preserve"> </v>
      </c>
    </row>
    <row r="47" spans="1:24" ht="20.100000000000001" hidden="1" customHeight="1" x14ac:dyDescent="0.25">
      <c r="A47" s="470" t="str">
        <f t="shared" si="2"/>
        <v/>
      </c>
      <c r="B47" s="456">
        <f>IF(LEFT(C47,16)="Terima Pajak PPN",VLOOKUP(P47,COPY!$A$1:$AC$1000,21,FALSE),IF(LEFT(C47,16)="Terima Pajak PPH",VLOOKUP(P47,COPY!$A$1:$AC$1000,21,FALSE),IF(LEFT(C47,13)="Terima PPh 23",VLOOKUP(P47,COPY!$A$1:$AC$1000,21,FALSE),0)))</f>
        <v>0</v>
      </c>
      <c r="C47" s="457">
        <f>IFERROR(IF(LEFT(VLOOKUP(P47,COPY!$A$1:$AC$1000,29,FALSE),5)="Terim",VLOOKUP(P47,COPY!$A$1:$AC$1000,29,FALSE),0),0)</f>
        <v>0</v>
      </c>
      <c r="D47" s="457"/>
      <c r="E47" s="457"/>
      <c r="F47" s="458">
        <f>IFERROR(IF(LEFT(VLOOKUP(P47,COPY!$A$1:$AC$1000,29,FALSE),5)="Terim",VLOOKUP(P47,COPY!$A$1:$AC$1000,26,FALSE),0),0)</f>
        <v>0</v>
      </c>
      <c r="G47" s="459">
        <f>IFERROR(VLOOKUP(P47,COPY!$A$1:$L$1000,4,FALSE),0)</f>
        <v>0</v>
      </c>
      <c r="H47" s="457">
        <f>IFERROR(VLOOKUP(P47,COPY!$A$1:$L$1000,2,FALSE),0)</f>
        <v>0</v>
      </c>
      <c r="I47" s="510">
        <f>IFERROR(VLOOKUP(P47,COPY!$A$1:$L$1000,10,FALSE),0)</f>
        <v>0</v>
      </c>
      <c r="J47" s="467">
        <f>IFERROR(VLOOKUP(P47,COPY!$A$1:$L$1000,8,FALSE),0)</f>
        <v>0</v>
      </c>
      <c r="K47" s="457">
        <f>IFERROR(VLOOKUP(P47,COPY!$A$1:$L$1000,7,FALSE),0)</f>
        <v>0</v>
      </c>
      <c r="L47" s="468">
        <f>IFERROR(VLOOKUP(P47,COPY!$A$1:$O$1000,15,FALSE),0)</f>
        <v>0</v>
      </c>
      <c r="M47" s="468">
        <f>IFERROR(VLOOKUP(P47,COPY!$A$1:$L$1000,12,FALSE),0)</f>
        <v>0</v>
      </c>
      <c r="N47" s="469">
        <f>IF(H47="Jasa",VLOOKUP('BKU 4'!K47,'Rekap Gaji'!$D$12:$I$26,6,FALSE),(IF(H47="Beli",VLOOKUP(P47,COPY!$A$1:$L$1000,11,FALSE),IF(H47="Bayar Ongkos",VLOOKUP(K47,'Rekap Gaji'!$D$12:$I$26,6,FALSE),0))))</f>
        <v>0</v>
      </c>
      <c r="O47" s="470"/>
      <c r="P47" s="466" t="str">
        <f t="shared" si="0"/>
        <v/>
      </c>
      <c r="Q47" s="253">
        <f t="shared" si="3"/>
        <v>0</v>
      </c>
      <c r="R47" s="253">
        <f t="shared" si="4"/>
        <v>0</v>
      </c>
      <c r="S47" s="449">
        <f t="shared" si="5"/>
        <v>15</v>
      </c>
      <c r="T47" s="253">
        <f t="shared" si="6"/>
        <v>15</v>
      </c>
      <c r="U47" s="457" t="str">
        <f t="shared" si="1"/>
        <v xml:space="preserve"> </v>
      </c>
    </row>
    <row r="48" spans="1:24" ht="20.100000000000001" hidden="1" customHeight="1" x14ac:dyDescent="0.25">
      <c r="A48" s="470" t="str">
        <f t="shared" si="2"/>
        <v/>
      </c>
      <c r="B48" s="456">
        <f>IF(LEFT(C48,16)="Terima Pajak PPN",VLOOKUP(P48,COPY!$A$1:$AC$1000,21,FALSE),IF(LEFT(C48,16)="Terima Pajak PPH",VLOOKUP(P48,COPY!$A$1:$AC$1000,21,FALSE),IF(LEFT(C48,13)="Terima PPh 23",VLOOKUP(P48,COPY!$A$1:$AC$1000,21,FALSE),0)))</f>
        <v>0</v>
      </c>
      <c r="C48" s="457">
        <f>IFERROR(IF(LEFT(VLOOKUP(P48,COPY!$A$1:$AC$1000,29,FALSE),5)="Terim",VLOOKUP(P48,COPY!$A$1:$AC$1000,29,FALSE),0),0)</f>
        <v>0</v>
      </c>
      <c r="D48" s="457"/>
      <c r="E48" s="457"/>
      <c r="F48" s="458">
        <f>IFERROR(IF(LEFT(VLOOKUP(P48,COPY!$A$1:$AC$1000,29,FALSE),5)="Terim",VLOOKUP(P48,COPY!$A$1:$AC$1000,26,FALSE),0),0)</f>
        <v>0</v>
      </c>
      <c r="G48" s="459">
        <f>IFERROR(VLOOKUP(P48,COPY!$A$1:$L$1000,4,FALSE),0)</f>
        <v>0</v>
      </c>
      <c r="H48" s="457">
        <f>IFERROR(VLOOKUP(P48,COPY!$A$1:$L$1000,2,FALSE),0)</f>
        <v>0</v>
      </c>
      <c r="I48" s="510">
        <f>IFERROR(VLOOKUP(P48,COPY!$A$1:$L$1000,10,FALSE),0)</f>
        <v>0</v>
      </c>
      <c r="J48" s="467">
        <f>IFERROR(VLOOKUP(P48,COPY!$A$1:$L$1000,8,FALSE),0)</f>
        <v>0</v>
      </c>
      <c r="K48" s="457">
        <f>IFERROR(VLOOKUP(P48,COPY!$A$1:$L$1000,7,FALSE),0)</f>
        <v>0</v>
      </c>
      <c r="L48" s="468">
        <f>IFERROR(VLOOKUP(P48,COPY!$A$1:$O$1000,15,FALSE),0)</f>
        <v>0</v>
      </c>
      <c r="M48" s="468">
        <f>IFERROR(VLOOKUP(P48,COPY!$A$1:$L$1000,12,FALSE),0)</f>
        <v>0</v>
      </c>
      <c r="N48" s="469">
        <f>IF(H48="Jasa",VLOOKUP('BKU 4'!K48,'Rekap Gaji'!$D$12:$I$26,6,FALSE),(IF(H48="Beli",VLOOKUP(P48,COPY!$A$1:$L$1000,11,FALSE),IF(H48="Bayar Ongkos",VLOOKUP(K48,'Rekap Gaji'!$D$12:$I$26,6,FALSE),0))))</f>
        <v>0</v>
      </c>
      <c r="P48" s="466" t="str">
        <f t="shared" si="0"/>
        <v/>
      </c>
      <c r="Q48" s="253">
        <f t="shared" si="3"/>
        <v>0</v>
      </c>
      <c r="R48" s="253">
        <f t="shared" si="4"/>
        <v>0</v>
      </c>
      <c r="S48" s="449">
        <f t="shared" si="5"/>
        <v>16</v>
      </c>
      <c r="T48" s="253">
        <f t="shared" si="6"/>
        <v>16</v>
      </c>
      <c r="U48" s="457" t="str">
        <f t="shared" si="1"/>
        <v xml:space="preserve"> </v>
      </c>
    </row>
    <row r="49" spans="1:21" ht="20.100000000000001" hidden="1" customHeight="1" x14ac:dyDescent="0.25">
      <c r="A49" s="470" t="str">
        <f t="shared" si="2"/>
        <v/>
      </c>
      <c r="B49" s="456">
        <f>IF(LEFT(C49,16)="Terima Pajak PPN",VLOOKUP(P49,COPY!$A$1:$AC$1000,21,FALSE),IF(LEFT(C49,16)="Terima Pajak PPH",VLOOKUP(P49,COPY!$A$1:$AC$1000,21,FALSE),IF(LEFT(C49,13)="Terima PPh 23",VLOOKUP(P49,COPY!$A$1:$AC$1000,21,FALSE),0)))</f>
        <v>0</v>
      </c>
      <c r="C49" s="457">
        <f>IFERROR(IF(LEFT(VLOOKUP(P49,COPY!$A$1:$AC$1000,29,FALSE),5)="Terim",VLOOKUP(P49,COPY!$A$1:$AC$1000,29,FALSE),0),0)</f>
        <v>0</v>
      </c>
      <c r="D49" s="457"/>
      <c r="E49" s="457"/>
      <c r="F49" s="458">
        <f>IFERROR(IF(LEFT(VLOOKUP(P49,COPY!$A$1:$AC$1000,29,FALSE),5)="Terim",VLOOKUP(P49,COPY!$A$1:$AC$1000,26,FALSE),0),0)</f>
        <v>0</v>
      </c>
      <c r="G49" s="459">
        <f>IFERROR(VLOOKUP(P49,COPY!$A$1:$L$1000,4,FALSE),0)</f>
        <v>0</v>
      </c>
      <c r="H49" s="457">
        <f>IFERROR(VLOOKUP(P49,COPY!$A$1:$L$1000,2,FALSE),0)</f>
        <v>0</v>
      </c>
      <c r="I49" s="510">
        <f>IFERROR(VLOOKUP(P49,COPY!$A$1:$L$1000,10,FALSE),0)</f>
        <v>0</v>
      </c>
      <c r="J49" s="467">
        <f>IFERROR(VLOOKUP(P49,COPY!$A$1:$L$1000,8,FALSE),0)</f>
        <v>0</v>
      </c>
      <c r="K49" s="457">
        <f>IFERROR(VLOOKUP(P49,COPY!$A$1:$L$1000,7,FALSE),0)</f>
        <v>0</v>
      </c>
      <c r="L49" s="468">
        <f>IFERROR(VLOOKUP(P49,COPY!$A$1:$O$1000,15,FALSE),0)</f>
        <v>0</v>
      </c>
      <c r="M49" s="468">
        <f>IFERROR(VLOOKUP(P49,COPY!$A$1:$L$1000,12,FALSE),0)</f>
        <v>0</v>
      </c>
      <c r="N49" s="469">
        <f>IF(H49="Jasa",VLOOKUP('BKU 4'!K49,'Rekap Gaji'!$D$12:$I$26,6,FALSE),(IF(H49="Beli",VLOOKUP(P49,COPY!$A$1:$L$1000,11,FALSE),IF(H49="Bayar Ongkos",VLOOKUP(K49,'Rekap Gaji'!$D$12:$I$26,6,FALSE),0))))</f>
        <v>0</v>
      </c>
      <c r="P49" s="466" t="str">
        <f t="shared" si="0"/>
        <v/>
      </c>
      <c r="Q49" s="253">
        <f t="shared" si="3"/>
        <v>0</v>
      </c>
      <c r="R49" s="253">
        <f t="shared" si="4"/>
        <v>0</v>
      </c>
      <c r="S49" s="449">
        <f t="shared" si="5"/>
        <v>17</v>
      </c>
      <c r="T49" s="253">
        <f t="shared" si="6"/>
        <v>17</v>
      </c>
      <c r="U49" s="457" t="str">
        <f t="shared" si="1"/>
        <v xml:space="preserve"> </v>
      </c>
    </row>
    <row r="50" spans="1:21" ht="20.100000000000001" hidden="1" customHeight="1" x14ac:dyDescent="0.25">
      <c r="A50" s="470" t="str">
        <f t="shared" si="2"/>
        <v/>
      </c>
      <c r="B50" s="456">
        <f>IF(LEFT(C50,16)="Terima Pajak PPN",VLOOKUP(P50,COPY!$A$1:$AC$1000,21,FALSE),IF(LEFT(C50,16)="Terima Pajak PPH",VLOOKUP(P50,COPY!$A$1:$AC$1000,21,FALSE),IF(LEFT(C50,13)="Terima PPh 23",VLOOKUP(P50,COPY!$A$1:$AC$1000,21,FALSE),0)))</f>
        <v>0</v>
      </c>
      <c r="C50" s="457">
        <f>IFERROR(IF(LEFT(VLOOKUP(P50,COPY!$A$1:$AC$1000,29,FALSE),5)="Terim",VLOOKUP(P50,COPY!$A$1:$AC$1000,29,FALSE),0),0)</f>
        <v>0</v>
      </c>
      <c r="D50" s="457"/>
      <c r="E50" s="457"/>
      <c r="F50" s="458">
        <f>IFERROR(IF(LEFT(VLOOKUP(P50,COPY!$A$1:$AC$1000,29,FALSE),5)="Terim",VLOOKUP(P50,COPY!$A$1:$AC$1000,26,FALSE),0),0)</f>
        <v>0</v>
      </c>
      <c r="G50" s="459">
        <f>IFERROR(VLOOKUP(P50,COPY!$A$1:$L$1000,4,FALSE),0)</f>
        <v>0</v>
      </c>
      <c r="H50" s="457">
        <f>IFERROR(VLOOKUP(P50,COPY!$A$1:$L$1000,2,FALSE),0)</f>
        <v>0</v>
      </c>
      <c r="I50" s="510">
        <f>IFERROR(VLOOKUP(P50,COPY!$A$1:$L$1000,10,FALSE),0)</f>
        <v>0</v>
      </c>
      <c r="J50" s="467">
        <f>IFERROR(VLOOKUP(P50,COPY!$A$1:$L$1000,8,FALSE),0)</f>
        <v>0</v>
      </c>
      <c r="K50" s="457">
        <f>IFERROR(VLOOKUP(P50,COPY!$A$1:$L$1000,7,FALSE),0)</f>
        <v>0</v>
      </c>
      <c r="L50" s="468">
        <f>IFERROR(VLOOKUP(P50,COPY!$A$1:$O$1000,15,FALSE),0)</f>
        <v>0</v>
      </c>
      <c r="M50" s="468">
        <f>IFERROR(VLOOKUP(P50,COPY!$A$1:$L$1000,12,FALSE),0)</f>
        <v>0</v>
      </c>
      <c r="N50" s="469">
        <f>IF(H50="Jasa",VLOOKUP('BKU 4'!K50,'Rekap Gaji'!$D$12:$I$26,6,FALSE),(IF(H50="Beli",VLOOKUP(P50,COPY!$A$1:$L$1000,11,FALSE),IF(H50="Bayar Ongkos",VLOOKUP(K50,'Rekap Gaji'!$D$12:$I$26,6,FALSE),0))))</f>
        <v>0</v>
      </c>
      <c r="P50" s="466" t="str">
        <f t="shared" si="0"/>
        <v/>
      </c>
      <c r="Q50" s="253">
        <f t="shared" si="3"/>
        <v>0</v>
      </c>
      <c r="R50" s="253">
        <f t="shared" si="4"/>
        <v>0</v>
      </c>
      <c r="S50" s="449">
        <f t="shared" si="5"/>
        <v>18</v>
      </c>
      <c r="T50" s="253">
        <f t="shared" si="6"/>
        <v>18</v>
      </c>
      <c r="U50" s="457" t="str">
        <f t="shared" si="1"/>
        <v xml:space="preserve"> </v>
      </c>
    </row>
    <row r="51" spans="1:21" ht="20.100000000000001" hidden="1" customHeight="1" x14ac:dyDescent="0.25">
      <c r="A51" s="470" t="str">
        <f t="shared" si="2"/>
        <v/>
      </c>
      <c r="B51" s="456">
        <f>IF(LEFT(C51,16)="Terima Pajak PPN",VLOOKUP(P51,COPY!$A$1:$AC$1000,21,FALSE),IF(LEFT(C51,16)="Terima Pajak PPH",VLOOKUP(P51,COPY!$A$1:$AC$1000,21,FALSE),IF(LEFT(C51,13)="Terima PPh 23",VLOOKUP(P51,COPY!$A$1:$AC$1000,21,FALSE),0)))</f>
        <v>0</v>
      </c>
      <c r="C51" s="457">
        <f>IFERROR(IF(LEFT(VLOOKUP(P51,COPY!$A$1:$AC$1000,29,FALSE),5)="Terim",VLOOKUP(P51,COPY!$A$1:$AC$1000,29,FALSE),0),0)</f>
        <v>0</v>
      </c>
      <c r="D51" s="457"/>
      <c r="E51" s="457"/>
      <c r="F51" s="458">
        <f>IFERROR(IF(LEFT(VLOOKUP(P51,COPY!$A$1:$AC$1000,29,FALSE),5)="Terim",VLOOKUP(P51,COPY!$A$1:$AC$1000,26,FALSE),0),0)</f>
        <v>0</v>
      </c>
      <c r="G51" s="459">
        <f>IFERROR(VLOOKUP(P51,COPY!$A$1:$L$1000,4,FALSE),0)</f>
        <v>0</v>
      </c>
      <c r="H51" s="457">
        <f>IFERROR(VLOOKUP(P51,COPY!$A$1:$L$1000,2,FALSE),0)</f>
        <v>0</v>
      </c>
      <c r="I51" s="510">
        <f>IFERROR(VLOOKUP(P51,COPY!$A$1:$L$1000,10,FALSE),0)</f>
        <v>0</v>
      </c>
      <c r="J51" s="467">
        <f>IFERROR(VLOOKUP(P51,COPY!$A$1:$L$1000,8,FALSE),0)</f>
        <v>0</v>
      </c>
      <c r="K51" s="457">
        <f>IFERROR(VLOOKUP(P51,COPY!$A$1:$L$1000,7,FALSE),0)</f>
        <v>0</v>
      </c>
      <c r="L51" s="468">
        <f>IFERROR(VLOOKUP(P51,COPY!$A$1:$O$1000,15,FALSE),0)</f>
        <v>0</v>
      </c>
      <c r="M51" s="468">
        <f>IFERROR(VLOOKUP(P51,COPY!$A$1:$L$1000,12,FALSE),0)</f>
        <v>0</v>
      </c>
      <c r="N51" s="469">
        <f>IF(H51="Jasa",VLOOKUP('BKU 4'!K51,'Rekap Gaji'!$D$12:$I$26,6,FALSE),(IF(H51="Beli",VLOOKUP(P51,COPY!$A$1:$L$1000,11,FALSE),IF(H51="Bayar Ongkos",VLOOKUP(K51,'Rekap Gaji'!$D$12:$I$26,6,FALSE),0))))</f>
        <v>0</v>
      </c>
      <c r="P51" s="466" t="str">
        <f t="shared" si="0"/>
        <v/>
      </c>
      <c r="Q51" s="253">
        <f t="shared" si="3"/>
        <v>0</v>
      </c>
      <c r="R51" s="253">
        <f t="shared" si="4"/>
        <v>0</v>
      </c>
      <c r="S51" s="449">
        <f t="shared" si="5"/>
        <v>19</v>
      </c>
      <c r="T51" s="253">
        <f t="shared" si="6"/>
        <v>19</v>
      </c>
      <c r="U51" s="457" t="str">
        <f t="shared" si="1"/>
        <v xml:space="preserve"> </v>
      </c>
    </row>
    <row r="52" spans="1:21" ht="20.100000000000001" hidden="1" customHeight="1" x14ac:dyDescent="0.25">
      <c r="A52" s="470" t="str">
        <f t="shared" si="2"/>
        <v/>
      </c>
      <c r="B52" s="456">
        <f>IF(LEFT(C52,16)="Terima Pajak PPN",VLOOKUP(P52,COPY!$A$1:$AC$1000,21,FALSE),IF(LEFT(C52,16)="Terima Pajak PPH",VLOOKUP(P52,COPY!$A$1:$AC$1000,21,FALSE),IF(LEFT(C52,13)="Terima PPh 23",VLOOKUP(P52,COPY!$A$1:$AC$1000,21,FALSE),0)))</f>
        <v>0</v>
      </c>
      <c r="C52" s="457">
        <f>IFERROR(IF(LEFT(VLOOKUP(P52,COPY!$A$1:$AC$1000,29,FALSE),5)="Terim",VLOOKUP(P52,COPY!$A$1:$AC$1000,29,FALSE),0),0)</f>
        <v>0</v>
      </c>
      <c r="D52" s="457"/>
      <c r="E52" s="457"/>
      <c r="F52" s="458">
        <f>IFERROR(IF(LEFT(VLOOKUP(P52,COPY!$A$1:$AC$1000,29,FALSE),5)="Terim",VLOOKUP(P52,COPY!$A$1:$AC$1000,26,FALSE),0),0)</f>
        <v>0</v>
      </c>
      <c r="G52" s="459">
        <f>IFERROR(VLOOKUP(P52,COPY!$A$1:$L$1000,4,FALSE),0)</f>
        <v>0</v>
      </c>
      <c r="H52" s="457">
        <f>IFERROR(VLOOKUP(P52,COPY!$A$1:$L$1000,2,FALSE),0)</f>
        <v>0</v>
      </c>
      <c r="I52" s="510">
        <f>IFERROR(VLOOKUP(P52,COPY!$A$1:$L$1000,10,FALSE),0)</f>
        <v>0</v>
      </c>
      <c r="J52" s="467">
        <f>IFERROR(VLOOKUP(P52,COPY!$A$1:$L$1000,8,FALSE),0)</f>
        <v>0</v>
      </c>
      <c r="K52" s="457">
        <f>IFERROR(VLOOKUP(P52,COPY!$A$1:$L$1000,7,FALSE),0)</f>
        <v>0</v>
      </c>
      <c r="L52" s="468">
        <f>IFERROR(VLOOKUP(P52,COPY!$A$1:$O$1000,15,FALSE),0)</f>
        <v>0</v>
      </c>
      <c r="M52" s="468">
        <f>IFERROR(VLOOKUP(P52,COPY!$A$1:$L$1000,12,FALSE),0)</f>
        <v>0</v>
      </c>
      <c r="N52" s="469">
        <f>IF(H52="Jasa",VLOOKUP('BKU 4'!K52,'Rekap Gaji'!$D$12:$I$26,6,FALSE),(IF(H52="Beli",VLOOKUP(P52,COPY!$A$1:$L$1000,11,FALSE),IF(H52="Bayar Ongkos",VLOOKUP(K52,'Rekap Gaji'!$D$12:$I$26,6,FALSE),0))))</f>
        <v>0</v>
      </c>
      <c r="O52" s="470"/>
      <c r="P52" s="466" t="str">
        <f t="shared" si="0"/>
        <v/>
      </c>
      <c r="Q52" s="253">
        <f t="shared" si="3"/>
        <v>0</v>
      </c>
      <c r="R52" s="253">
        <f t="shared" si="4"/>
        <v>0</v>
      </c>
      <c r="S52" s="449">
        <f t="shared" si="5"/>
        <v>20</v>
      </c>
      <c r="T52" s="253">
        <f t="shared" si="6"/>
        <v>20</v>
      </c>
      <c r="U52" s="457" t="str">
        <f t="shared" si="1"/>
        <v xml:space="preserve"> </v>
      </c>
    </row>
    <row r="53" spans="1:21" ht="20.100000000000001" hidden="1" customHeight="1" x14ac:dyDescent="0.25">
      <c r="A53" s="470" t="str">
        <f t="shared" si="2"/>
        <v/>
      </c>
      <c r="B53" s="456">
        <f>IF(LEFT(C53,16)="Terima Pajak PPN",VLOOKUP(P53,COPY!$A$1:$AC$1000,21,FALSE),IF(LEFT(C53,16)="Terima Pajak PPH",VLOOKUP(P53,COPY!$A$1:$AC$1000,21,FALSE),IF(LEFT(C53,13)="Terima PPh 23",VLOOKUP(P53,COPY!$A$1:$AC$1000,21,FALSE),0)))</f>
        <v>0</v>
      </c>
      <c r="C53" s="457">
        <f>IFERROR(IF(LEFT(VLOOKUP(P53,COPY!$A$1:$AC$1000,29,FALSE),5)="Terim",VLOOKUP(P53,COPY!$A$1:$AC$1000,29,FALSE),0),0)</f>
        <v>0</v>
      </c>
      <c r="D53" s="457"/>
      <c r="E53" s="457"/>
      <c r="F53" s="458">
        <f>IFERROR(IF(LEFT(VLOOKUP(P53,COPY!$A$1:$AC$1000,29,FALSE),5)="Terim",VLOOKUP(P53,COPY!$A$1:$AC$1000,26,FALSE),0),0)</f>
        <v>0</v>
      </c>
      <c r="G53" s="459">
        <f>IFERROR(VLOOKUP(P53,COPY!$A$1:$L$1000,4,FALSE),0)</f>
        <v>0</v>
      </c>
      <c r="H53" s="457">
        <f>IFERROR(VLOOKUP(P53,COPY!$A$1:$L$1000,2,FALSE),0)</f>
        <v>0</v>
      </c>
      <c r="I53" s="510">
        <f>IFERROR(VLOOKUP(P53,COPY!$A$1:$L$1000,10,FALSE),0)</f>
        <v>0</v>
      </c>
      <c r="J53" s="467">
        <f>IFERROR(VLOOKUP(P53,COPY!$A$1:$L$1000,8,FALSE),0)</f>
        <v>0</v>
      </c>
      <c r="K53" s="457">
        <f>IFERROR(VLOOKUP(P53,COPY!$A$1:$L$1000,7,FALSE),0)</f>
        <v>0</v>
      </c>
      <c r="L53" s="468">
        <f>IFERROR(VLOOKUP(P53,COPY!$A$1:$O$1000,15,FALSE),0)</f>
        <v>0</v>
      </c>
      <c r="M53" s="468">
        <f>IFERROR(VLOOKUP(P53,COPY!$A$1:$L$1000,12,FALSE),0)</f>
        <v>0</v>
      </c>
      <c r="N53" s="469">
        <f>IF(H53="Jasa",VLOOKUP('BKU 4'!K53,'Rekap Gaji'!$D$12:$I$26,6,FALSE),(IF(H53="Beli",VLOOKUP(P53,COPY!$A$1:$L$1000,11,FALSE),IF(H53="Bayar Ongkos",VLOOKUP(K53,'Rekap Gaji'!$D$12:$I$26,6,FALSE),0))))</f>
        <v>0</v>
      </c>
      <c r="P53" s="466" t="str">
        <f t="shared" si="0"/>
        <v/>
      </c>
      <c r="Q53" s="253">
        <f t="shared" si="3"/>
        <v>0</v>
      </c>
      <c r="R53" s="253">
        <f t="shared" si="4"/>
        <v>0</v>
      </c>
      <c r="S53" s="449">
        <f t="shared" si="5"/>
        <v>21</v>
      </c>
      <c r="T53" s="253">
        <f t="shared" si="6"/>
        <v>21</v>
      </c>
      <c r="U53" s="457" t="str">
        <f t="shared" si="1"/>
        <v xml:space="preserve"> </v>
      </c>
    </row>
    <row r="54" spans="1:21" ht="20.100000000000001" hidden="1" customHeight="1" x14ac:dyDescent="0.25">
      <c r="A54" s="470" t="str">
        <f t="shared" si="2"/>
        <v/>
      </c>
      <c r="B54" s="456">
        <f>IF(LEFT(C54,16)="Terima Pajak PPN",VLOOKUP(P54,COPY!$A$1:$AC$1000,21,FALSE),IF(LEFT(C54,16)="Terima Pajak PPH",VLOOKUP(P54,COPY!$A$1:$AC$1000,21,FALSE),IF(LEFT(C54,13)="Terima PPh 23",VLOOKUP(P54,COPY!$A$1:$AC$1000,21,FALSE),0)))</f>
        <v>0</v>
      </c>
      <c r="C54" s="457">
        <f>IFERROR(IF(LEFT(VLOOKUP(P54,COPY!$A$1:$AC$1000,29,FALSE),5)="Terim",VLOOKUP(P54,COPY!$A$1:$AC$1000,29,FALSE),0),0)</f>
        <v>0</v>
      </c>
      <c r="D54" s="457"/>
      <c r="E54" s="457"/>
      <c r="F54" s="458">
        <f>IFERROR(IF(LEFT(VLOOKUP(P54,COPY!$A$1:$AC$1000,29,FALSE),5)="Terim",VLOOKUP(P54,COPY!$A$1:$AC$1000,26,FALSE),0),0)</f>
        <v>0</v>
      </c>
      <c r="G54" s="459">
        <f>IFERROR(VLOOKUP(P54,COPY!$A$1:$L$1000,4,FALSE),0)</f>
        <v>0</v>
      </c>
      <c r="H54" s="457">
        <f>IFERROR(VLOOKUP(P54,COPY!$A$1:$L$1000,2,FALSE),0)</f>
        <v>0</v>
      </c>
      <c r="I54" s="510">
        <f>IFERROR(VLOOKUP(P54,COPY!$A$1:$L$1000,10,FALSE),0)</f>
        <v>0</v>
      </c>
      <c r="J54" s="467">
        <f>IFERROR(VLOOKUP(P54,COPY!$A$1:$L$1000,8,FALSE),0)</f>
        <v>0</v>
      </c>
      <c r="K54" s="457">
        <f>IFERROR(VLOOKUP(P54,COPY!$A$1:$L$1000,7,FALSE),0)</f>
        <v>0</v>
      </c>
      <c r="L54" s="468">
        <f>IFERROR(VLOOKUP(P54,COPY!$A$1:$O$1000,15,FALSE),0)</f>
        <v>0</v>
      </c>
      <c r="M54" s="468">
        <f>IFERROR(VLOOKUP(P54,COPY!$A$1:$L$1000,12,FALSE),0)</f>
        <v>0</v>
      </c>
      <c r="N54" s="469">
        <f>IF(H54="Jasa",VLOOKUP('BKU 4'!K54,'Rekap Gaji'!$D$12:$I$26,6,FALSE),(IF(H54="Beli",VLOOKUP(P54,COPY!$A$1:$L$1000,11,FALSE),IF(H54="Bayar Ongkos",VLOOKUP(K54,'Rekap Gaji'!$D$12:$I$26,6,FALSE),0))))</f>
        <v>0</v>
      </c>
      <c r="O54" s="470"/>
      <c r="P54" s="466" t="str">
        <f t="shared" si="0"/>
        <v/>
      </c>
      <c r="Q54" s="253">
        <f t="shared" si="3"/>
        <v>0</v>
      </c>
      <c r="R54" s="253">
        <f t="shared" si="4"/>
        <v>0</v>
      </c>
      <c r="S54" s="449">
        <f t="shared" si="5"/>
        <v>22</v>
      </c>
      <c r="T54" s="253">
        <f t="shared" si="6"/>
        <v>22</v>
      </c>
      <c r="U54" s="457" t="str">
        <f t="shared" si="1"/>
        <v xml:space="preserve"> </v>
      </c>
    </row>
    <row r="55" spans="1:21" ht="20.100000000000001" hidden="1" customHeight="1" x14ac:dyDescent="0.25">
      <c r="A55" s="470" t="str">
        <f t="shared" si="2"/>
        <v/>
      </c>
      <c r="B55" s="456">
        <f>IF(LEFT(C55,16)="Terima Pajak PPN",VLOOKUP(P55,COPY!$A$1:$AC$1000,21,FALSE),IF(LEFT(C55,16)="Terima Pajak PPH",VLOOKUP(P55,COPY!$A$1:$AC$1000,21,FALSE),IF(LEFT(C55,13)="Terima PPh 23",VLOOKUP(P55,COPY!$A$1:$AC$1000,21,FALSE),0)))</f>
        <v>0</v>
      </c>
      <c r="C55" s="457">
        <f>IFERROR(IF(LEFT(VLOOKUP(P55,COPY!$A$1:$AC$1000,29,FALSE),5)="Terim",VLOOKUP(P55,COPY!$A$1:$AC$1000,29,FALSE),0),0)</f>
        <v>0</v>
      </c>
      <c r="D55" s="457"/>
      <c r="E55" s="457"/>
      <c r="F55" s="458">
        <f>IFERROR(IF(LEFT(VLOOKUP(P55,COPY!$A$1:$AC$1000,29,FALSE),5)="Terim",VLOOKUP(P55,COPY!$A$1:$AC$1000,26,FALSE),0),0)</f>
        <v>0</v>
      </c>
      <c r="G55" s="459">
        <f>IFERROR(VLOOKUP(P55,COPY!$A$1:$L$1000,4,FALSE),0)</f>
        <v>0</v>
      </c>
      <c r="H55" s="457">
        <f>IFERROR(VLOOKUP(P55,COPY!$A$1:$L$1000,2,FALSE),0)</f>
        <v>0</v>
      </c>
      <c r="I55" s="510">
        <f>IFERROR(VLOOKUP(P55,COPY!$A$1:$L$1000,10,FALSE),0)</f>
        <v>0</v>
      </c>
      <c r="J55" s="467">
        <f>IFERROR(VLOOKUP(P55,COPY!$A$1:$L$1000,8,FALSE),0)</f>
        <v>0</v>
      </c>
      <c r="K55" s="457">
        <f>IFERROR(VLOOKUP(P55,COPY!$A$1:$L$1000,7,FALSE),0)</f>
        <v>0</v>
      </c>
      <c r="L55" s="468">
        <f>IFERROR(VLOOKUP(P55,COPY!$A$1:$O$1000,15,FALSE),0)</f>
        <v>0</v>
      </c>
      <c r="M55" s="468">
        <f>IFERROR(VLOOKUP(P55,COPY!$A$1:$L$1000,12,FALSE),0)</f>
        <v>0</v>
      </c>
      <c r="N55" s="469">
        <f>IF(H55="Jasa",VLOOKUP('BKU 4'!K55,'Rekap Gaji'!$D$12:$I$26,6,FALSE),(IF(H55="Beli",VLOOKUP(P55,COPY!$A$1:$L$1000,11,FALSE),IF(H55="Bayar Ongkos",VLOOKUP(K55,'Rekap Gaji'!$D$12:$I$26,6,FALSE),0))))</f>
        <v>0</v>
      </c>
      <c r="P55" s="466" t="str">
        <f t="shared" si="0"/>
        <v/>
      </c>
      <c r="Q55" s="253">
        <f t="shared" si="3"/>
        <v>0</v>
      </c>
      <c r="R55" s="253">
        <f t="shared" si="4"/>
        <v>0</v>
      </c>
      <c r="S55" s="449">
        <f t="shared" si="5"/>
        <v>23</v>
      </c>
      <c r="T55" s="253">
        <f t="shared" si="6"/>
        <v>23</v>
      </c>
      <c r="U55" s="457" t="str">
        <f t="shared" si="1"/>
        <v xml:space="preserve"> </v>
      </c>
    </row>
    <row r="56" spans="1:21" ht="20.100000000000001" hidden="1" customHeight="1" x14ac:dyDescent="0.25">
      <c r="A56" s="470" t="str">
        <f t="shared" si="2"/>
        <v/>
      </c>
      <c r="B56" s="456">
        <f>IF(LEFT(C56,16)="Terima Pajak PPN",VLOOKUP(P56,COPY!$A$1:$AC$1000,21,FALSE),IF(LEFT(C56,16)="Terima Pajak PPH",VLOOKUP(P56,COPY!$A$1:$AC$1000,21,FALSE),IF(LEFT(C56,13)="Terima PPh 23",VLOOKUP(P56,COPY!$A$1:$AC$1000,21,FALSE),0)))</f>
        <v>0</v>
      </c>
      <c r="C56" s="457">
        <f>IFERROR(IF(LEFT(VLOOKUP(P56,COPY!$A$1:$AC$1000,29,FALSE),5)="Terim",VLOOKUP(P56,COPY!$A$1:$AC$1000,29,FALSE),0),0)</f>
        <v>0</v>
      </c>
      <c r="D56" s="457"/>
      <c r="E56" s="457"/>
      <c r="F56" s="458">
        <f>IFERROR(IF(LEFT(VLOOKUP(P56,COPY!$A$1:$AC$1000,29,FALSE),5)="Terim",VLOOKUP(P56,COPY!$A$1:$AC$1000,26,FALSE),0),0)</f>
        <v>0</v>
      </c>
      <c r="G56" s="459">
        <f>IFERROR(VLOOKUP(P56,COPY!$A$1:$L$1000,4,FALSE),0)</f>
        <v>0</v>
      </c>
      <c r="H56" s="457">
        <f>IFERROR(VLOOKUP(P56,COPY!$A$1:$L$1000,2,FALSE),0)</f>
        <v>0</v>
      </c>
      <c r="I56" s="510">
        <f>IFERROR(VLOOKUP(P56,COPY!$A$1:$L$1000,10,FALSE),0)</f>
        <v>0</v>
      </c>
      <c r="J56" s="467">
        <f>IFERROR(VLOOKUP(P56,COPY!$A$1:$L$1000,8,FALSE),0)</f>
        <v>0</v>
      </c>
      <c r="K56" s="457">
        <f>IFERROR(VLOOKUP(P56,COPY!$A$1:$L$1000,7,FALSE),0)</f>
        <v>0</v>
      </c>
      <c r="L56" s="468">
        <f>IFERROR(VLOOKUP(P56,COPY!$A$1:$O$1000,15,FALSE),0)</f>
        <v>0</v>
      </c>
      <c r="M56" s="468">
        <f>IFERROR(VLOOKUP(P56,COPY!$A$1:$L$1000,12,FALSE),0)</f>
        <v>0</v>
      </c>
      <c r="N56" s="469">
        <f>IF(H56="Jasa",VLOOKUP('BKU 4'!K56,'Rekap Gaji'!$D$12:$I$26,6,FALSE),(IF(H56="Beli",VLOOKUP(P56,COPY!$A$1:$L$1000,11,FALSE),IF(H56="Bayar Ongkos",VLOOKUP(K56,'Rekap Gaji'!$D$12:$I$26,6,FALSE),0))))</f>
        <v>0</v>
      </c>
      <c r="P56" s="466" t="str">
        <f t="shared" si="0"/>
        <v/>
      </c>
      <c r="Q56" s="253">
        <f t="shared" si="3"/>
        <v>0</v>
      </c>
      <c r="R56" s="253">
        <f t="shared" si="4"/>
        <v>0</v>
      </c>
      <c r="S56" s="449">
        <f t="shared" si="5"/>
        <v>24</v>
      </c>
      <c r="T56" s="253">
        <f t="shared" si="6"/>
        <v>24</v>
      </c>
      <c r="U56" s="457" t="str">
        <f t="shared" si="1"/>
        <v xml:space="preserve"> </v>
      </c>
    </row>
    <row r="57" spans="1:21" ht="20.100000000000001" hidden="1" customHeight="1" x14ac:dyDescent="0.25">
      <c r="A57" s="470" t="str">
        <f t="shared" si="2"/>
        <v/>
      </c>
      <c r="B57" s="456">
        <f>IF(LEFT(C57,16)="Terima Pajak PPN",VLOOKUP(P57,COPY!$A$1:$AC$1000,21,FALSE),IF(LEFT(C57,16)="Terima Pajak PPH",VLOOKUP(P57,COPY!$A$1:$AC$1000,21,FALSE),IF(LEFT(C57,13)="Terima PPh 23",VLOOKUP(P57,COPY!$A$1:$AC$1000,21,FALSE),0)))</f>
        <v>0</v>
      </c>
      <c r="C57" s="457">
        <f>IFERROR(IF(LEFT(VLOOKUP(P57,COPY!$A$1:$AC$1000,29,FALSE),5)="Terim",VLOOKUP(P57,COPY!$A$1:$AC$1000,29,FALSE),0),0)</f>
        <v>0</v>
      </c>
      <c r="D57" s="457"/>
      <c r="E57" s="457"/>
      <c r="F57" s="458">
        <f>IFERROR(IF(LEFT(VLOOKUP(P57,COPY!$A$1:$AC$1000,29,FALSE),5)="Terim",VLOOKUP(P57,COPY!$A$1:$AC$1000,26,FALSE),0),0)</f>
        <v>0</v>
      </c>
      <c r="G57" s="459">
        <f>IFERROR(VLOOKUP(P57,COPY!$A$1:$L$1000,4,FALSE),0)</f>
        <v>0</v>
      </c>
      <c r="H57" s="457">
        <f>IFERROR(VLOOKUP(P57,COPY!$A$1:$L$1000,2,FALSE),0)</f>
        <v>0</v>
      </c>
      <c r="I57" s="510">
        <f>IFERROR(VLOOKUP(P57,COPY!$A$1:$L$1000,10,FALSE),0)</f>
        <v>0</v>
      </c>
      <c r="J57" s="467">
        <f>IFERROR(VLOOKUP(P57,COPY!$A$1:$L$1000,8,FALSE),0)</f>
        <v>0</v>
      </c>
      <c r="K57" s="457">
        <f>IFERROR(VLOOKUP(P57,COPY!$A$1:$L$1000,7,FALSE),0)</f>
        <v>0</v>
      </c>
      <c r="L57" s="468">
        <f>IFERROR(VLOOKUP(P57,COPY!$A$1:$O$1000,15,FALSE),0)</f>
        <v>0</v>
      </c>
      <c r="M57" s="468">
        <f>IFERROR(VLOOKUP(P57,COPY!$A$1:$L$1000,12,FALSE),0)</f>
        <v>0</v>
      </c>
      <c r="N57" s="469">
        <f>IF(H57="Jasa",VLOOKUP('BKU 4'!K57,'Rekap Gaji'!$D$12:$I$26,6,FALSE),(IF(H57="Beli",VLOOKUP(P57,COPY!$A$1:$L$1000,11,FALSE),IF(H57="Bayar Ongkos",VLOOKUP(K57,'Rekap Gaji'!$D$12:$I$26,6,FALSE),0))))</f>
        <v>0</v>
      </c>
      <c r="O57" s="470"/>
      <c r="P57" s="466" t="str">
        <f t="shared" si="0"/>
        <v/>
      </c>
      <c r="Q57" s="253">
        <f t="shared" si="3"/>
        <v>0</v>
      </c>
      <c r="R57" s="253">
        <f t="shared" si="4"/>
        <v>0</v>
      </c>
      <c r="S57" s="449">
        <f t="shared" si="5"/>
        <v>25</v>
      </c>
      <c r="T57" s="253">
        <f t="shared" si="6"/>
        <v>25</v>
      </c>
      <c r="U57" s="457" t="str">
        <f t="shared" si="1"/>
        <v xml:space="preserve"> </v>
      </c>
    </row>
    <row r="58" spans="1:21" ht="20.100000000000001" hidden="1" customHeight="1" x14ac:dyDescent="0.25">
      <c r="A58" s="470" t="str">
        <f t="shared" si="2"/>
        <v/>
      </c>
      <c r="B58" s="456">
        <f>IF(LEFT(C58,16)="Terima Pajak PPN",VLOOKUP(P58,COPY!$A$1:$AC$1000,21,FALSE),IF(LEFT(C58,16)="Terima Pajak PPH",VLOOKUP(P58,COPY!$A$1:$AC$1000,21,FALSE),IF(LEFT(C58,13)="Terima PPh 23",VLOOKUP(P58,COPY!$A$1:$AC$1000,21,FALSE),0)))</f>
        <v>0</v>
      </c>
      <c r="C58" s="457">
        <f>IFERROR(IF(LEFT(VLOOKUP(P58,COPY!$A$1:$AC$1000,29,FALSE),5)="Terim",VLOOKUP(P58,COPY!$A$1:$AC$1000,29,FALSE),0),0)</f>
        <v>0</v>
      </c>
      <c r="D58" s="457"/>
      <c r="E58" s="457"/>
      <c r="F58" s="458">
        <f>IFERROR(IF(LEFT(VLOOKUP(P58,COPY!$A$1:$AC$1000,29,FALSE),5)="Terim",VLOOKUP(P58,COPY!$A$1:$AC$1000,26,FALSE),0),0)</f>
        <v>0</v>
      </c>
      <c r="G58" s="459">
        <f>IFERROR(VLOOKUP(P58,COPY!$A$1:$L$1000,4,FALSE),0)</f>
        <v>0</v>
      </c>
      <c r="H58" s="457">
        <f>IFERROR(VLOOKUP(P58,COPY!$A$1:$L$1000,2,FALSE),0)</f>
        <v>0</v>
      </c>
      <c r="I58" s="510">
        <f>IFERROR(VLOOKUP(P58,COPY!$A$1:$L$1000,10,FALSE),0)</f>
        <v>0</v>
      </c>
      <c r="J58" s="467">
        <f>IFERROR(VLOOKUP(P58,COPY!$A$1:$L$1000,8,FALSE),0)</f>
        <v>0</v>
      </c>
      <c r="K58" s="457">
        <f>IFERROR(VLOOKUP(P58,COPY!$A$1:$L$1000,7,FALSE),0)</f>
        <v>0</v>
      </c>
      <c r="L58" s="468">
        <f>IFERROR(VLOOKUP(P58,COPY!$A$1:$O$1000,15,FALSE),0)</f>
        <v>0</v>
      </c>
      <c r="M58" s="468">
        <f>IFERROR(VLOOKUP(P58,COPY!$A$1:$L$1000,12,FALSE),0)</f>
        <v>0</v>
      </c>
      <c r="N58" s="469">
        <f>IF(H58="Jasa",VLOOKUP('BKU 4'!K58,'Rekap Gaji'!$D$12:$I$26,6,FALSE),(IF(H58="Beli",VLOOKUP(P58,COPY!$A$1:$L$1000,11,FALSE),IF(H58="Bayar Ongkos",VLOOKUP(K58,'Rekap Gaji'!$D$12:$I$26,6,FALSE),0))))</f>
        <v>0</v>
      </c>
      <c r="O58" s="470"/>
      <c r="P58" s="466" t="str">
        <f t="shared" si="0"/>
        <v/>
      </c>
      <c r="Q58" s="253">
        <f t="shared" si="3"/>
        <v>0</v>
      </c>
      <c r="R58" s="253">
        <f t="shared" si="4"/>
        <v>0</v>
      </c>
      <c r="S58" s="449">
        <f t="shared" si="5"/>
        <v>26</v>
      </c>
      <c r="T58" s="253">
        <f t="shared" si="6"/>
        <v>26</v>
      </c>
      <c r="U58" s="457" t="str">
        <f t="shared" si="1"/>
        <v xml:space="preserve"> </v>
      </c>
    </row>
    <row r="59" spans="1:21" ht="20.100000000000001" hidden="1" customHeight="1" x14ac:dyDescent="0.25">
      <c r="A59" s="470" t="str">
        <f t="shared" si="2"/>
        <v/>
      </c>
      <c r="B59" s="456">
        <f>IF(LEFT(C59,16)="Terima Pajak PPN",VLOOKUP(P59,COPY!$A$1:$AC$1000,21,FALSE),IF(LEFT(C59,16)="Terima Pajak PPH",VLOOKUP(P59,COPY!$A$1:$AC$1000,21,FALSE),IF(LEFT(C59,13)="Terima PPh 23",VLOOKUP(P59,COPY!$A$1:$AC$1000,21,FALSE),0)))</f>
        <v>0</v>
      </c>
      <c r="C59" s="457">
        <f>IFERROR(IF(LEFT(VLOOKUP(P59,COPY!$A$1:$AC$1000,29,FALSE),5)="Terim",VLOOKUP(P59,COPY!$A$1:$AC$1000,29,FALSE),0),0)</f>
        <v>0</v>
      </c>
      <c r="D59" s="457"/>
      <c r="E59" s="457"/>
      <c r="F59" s="458">
        <f>IFERROR(IF(LEFT(VLOOKUP(P59,COPY!$A$1:$AC$1000,29,FALSE),5)="Terim",VLOOKUP(P59,COPY!$A$1:$AC$1000,26,FALSE),0),0)</f>
        <v>0</v>
      </c>
      <c r="G59" s="459">
        <f>IFERROR(VLOOKUP(P59,COPY!$A$1:$L$1000,4,FALSE),0)</f>
        <v>0</v>
      </c>
      <c r="H59" s="457">
        <f>IFERROR(VLOOKUP(P59,COPY!$A$1:$L$1000,2,FALSE),0)</f>
        <v>0</v>
      </c>
      <c r="I59" s="510">
        <f>IFERROR(VLOOKUP(P59,COPY!$A$1:$L$1000,10,FALSE),0)</f>
        <v>0</v>
      </c>
      <c r="J59" s="467">
        <f>IFERROR(VLOOKUP(P59,COPY!$A$1:$L$1000,8,FALSE),0)</f>
        <v>0</v>
      </c>
      <c r="K59" s="457">
        <f>IFERROR(VLOOKUP(P59,COPY!$A$1:$L$1000,7,FALSE),0)</f>
        <v>0</v>
      </c>
      <c r="L59" s="468">
        <f>IFERROR(VLOOKUP(P59,COPY!$A$1:$O$1000,15,FALSE),0)</f>
        <v>0</v>
      </c>
      <c r="M59" s="468">
        <f>IFERROR(VLOOKUP(P59,COPY!$A$1:$L$1000,12,FALSE),0)</f>
        <v>0</v>
      </c>
      <c r="N59" s="469">
        <f>IF(H59="Jasa",VLOOKUP('BKU 4'!K59,'Rekap Gaji'!$D$12:$I$26,6,FALSE),(IF(H59="Beli",VLOOKUP(P59,COPY!$A$1:$L$1000,11,FALSE),IF(H59="Bayar Ongkos",VLOOKUP(K59,'Rekap Gaji'!$D$12:$I$26,6,FALSE),0))))</f>
        <v>0</v>
      </c>
      <c r="P59" s="466" t="str">
        <f t="shared" si="0"/>
        <v/>
      </c>
      <c r="Q59" s="253">
        <f t="shared" si="3"/>
        <v>0</v>
      </c>
      <c r="R59" s="253">
        <f t="shared" si="4"/>
        <v>0</v>
      </c>
      <c r="S59" s="449">
        <f t="shared" si="5"/>
        <v>27</v>
      </c>
      <c r="T59" s="253">
        <f t="shared" si="6"/>
        <v>27</v>
      </c>
      <c r="U59" s="457" t="str">
        <f t="shared" si="1"/>
        <v xml:space="preserve"> </v>
      </c>
    </row>
    <row r="60" spans="1:21" ht="20.100000000000001" hidden="1" customHeight="1" x14ac:dyDescent="0.25">
      <c r="A60" s="470" t="str">
        <f t="shared" si="2"/>
        <v/>
      </c>
      <c r="B60" s="456">
        <f>IF(LEFT(C60,16)="Terima Pajak PPN",VLOOKUP(P60,COPY!$A$1:$AC$1000,21,FALSE),IF(LEFT(C60,16)="Terima Pajak PPH",VLOOKUP(P60,COPY!$A$1:$AC$1000,21,FALSE),IF(LEFT(C60,13)="Terima PPh 23",VLOOKUP(P60,COPY!$A$1:$AC$1000,21,FALSE),0)))</f>
        <v>0</v>
      </c>
      <c r="C60" s="457">
        <f>IFERROR(IF(LEFT(VLOOKUP(P60,COPY!$A$1:$AC$1000,29,FALSE),5)="Terim",VLOOKUP(P60,COPY!$A$1:$AC$1000,29,FALSE),0),0)</f>
        <v>0</v>
      </c>
      <c r="D60" s="457"/>
      <c r="E60" s="457"/>
      <c r="F60" s="458">
        <f>IFERROR(IF(LEFT(VLOOKUP(P60,COPY!$A$1:$AC$1000,29,FALSE),5)="Terim",VLOOKUP(P60,COPY!$A$1:$AC$1000,26,FALSE),0),0)</f>
        <v>0</v>
      </c>
      <c r="G60" s="459">
        <f>IFERROR(VLOOKUP(P60,COPY!$A$1:$L$1000,4,FALSE),0)</f>
        <v>0</v>
      </c>
      <c r="H60" s="457">
        <f>IFERROR(VLOOKUP(P60,COPY!$A$1:$L$1000,2,FALSE),0)</f>
        <v>0</v>
      </c>
      <c r="I60" s="510">
        <f>IFERROR(VLOOKUP(P60,COPY!$A$1:$L$1000,10,FALSE),0)</f>
        <v>0</v>
      </c>
      <c r="J60" s="467">
        <f>IFERROR(VLOOKUP(P60,COPY!$A$1:$L$1000,8,FALSE),0)</f>
        <v>0</v>
      </c>
      <c r="K60" s="457">
        <f>IFERROR(VLOOKUP(P60,COPY!$A$1:$L$1000,7,FALSE),0)</f>
        <v>0</v>
      </c>
      <c r="L60" s="468">
        <f>IFERROR(VLOOKUP(P60,COPY!$A$1:$O$1000,15,FALSE),0)</f>
        <v>0</v>
      </c>
      <c r="M60" s="468">
        <f>IFERROR(VLOOKUP(P60,COPY!$A$1:$L$1000,12,FALSE),0)</f>
        <v>0</v>
      </c>
      <c r="N60" s="469">
        <f>IF(H60="Jasa",VLOOKUP('BKU 4'!K60,'Rekap Gaji'!$D$12:$I$26,6,FALSE),(IF(H60="Beli",VLOOKUP(P60,COPY!$A$1:$L$1000,11,FALSE),IF(H60="Bayar Ongkos",VLOOKUP(K60,'Rekap Gaji'!$D$12:$I$26,6,FALSE),0))))</f>
        <v>0</v>
      </c>
      <c r="P60" s="466" t="str">
        <f t="shared" si="0"/>
        <v/>
      </c>
      <c r="Q60" s="253">
        <f t="shared" si="3"/>
        <v>0</v>
      </c>
      <c r="R60" s="253">
        <f t="shared" si="4"/>
        <v>0</v>
      </c>
      <c r="S60" s="449">
        <f t="shared" si="5"/>
        <v>28</v>
      </c>
      <c r="T60" s="253">
        <f t="shared" si="6"/>
        <v>28</v>
      </c>
      <c r="U60" s="457" t="str">
        <f t="shared" si="1"/>
        <v xml:space="preserve"> </v>
      </c>
    </row>
    <row r="61" spans="1:21" ht="20.100000000000001" hidden="1" customHeight="1" x14ac:dyDescent="0.25">
      <c r="A61" s="470" t="str">
        <f t="shared" si="2"/>
        <v/>
      </c>
      <c r="B61" s="456">
        <f>IF(LEFT(C61,16)="Terima Pajak PPN",VLOOKUP(P61,COPY!$A$1:$AC$1000,21,FALSE),IF(LEFT(C61,16)="Terima Pajak PPH",VLOOKUP(P61,COPY!$A$1:$AC$1000,21,FALSE),IF(LEFT(C61,13)="Terima PPh 23",VLOOKUP(P61,COPY!$A$1:$AC$1000,21,FALSE),0)))</f>
        <v>0</v>
      </c>
      <c r="C61" s="457">
        <f>IFERROR(IF(LEFT(VLOOKUP(P61,COPY!$A$1:$AC$1000,29,FALSE),5)="Terim",VLOOKUP(P61,COPY!$A$1:$AC$1000,29,FALSE),0),0)</f>
        <v>0</v>
      </c>
      <c r="D61" s="457"/>
      <c r="E61" s="457"/>
      <c r="F61" s="458">
        <f>IFERROR(IF(LEFT(VLOOKUP(P61,COPY!$A$1:$AC$1000,29,FALSE),5)="Terim",VLOOKUP(P61,COPY!$A$1:$AC$1000,26,FALSE),0),0)</f>
        <v>0</v>
      </c>
      <c r="G61" s="459">
        <f>IFERROR(VLOOKUP(P61,COPY!$A$1:$L$1000,4,FALSE),0)</f>
        <v>0</v>
      </c>
      <c r="H61" s="457">
        <f>IFERROR(VLOOKUP(P61,COPY!$A$1:$L$1000,2,FALSE),0)</f>
        <v>0</v>
      </c>
      <c r="I61" s="510">
        <f>IFERROR(VLOOKUP(P61,COPY!$A$1:$L$1000,10,FALSE),0)</f>
        <v>0</v>
      </c>
      <c r="J61" s="467">
        <f>IFERROR(VLOOKUP(P61,COPY!$A$1:$L$1000,8,FALSE),0)</f>
        <v>0</v>
      </c>
      <c r="K61" s="457">
        <f>IFERROR(VLOOKUP(P61,COPY!$A$1:$L$1000,7,FALSE),0)</f>
        <v>0</v>
      </c>
      <c r="L61" s="468">
        <f>IFERROR(VLOOKUP(P61,COPY!$A$1:$O$1000,15,FALSE),0)</f>
        <v>0</v>
      </c>
      <c r="M61" s="468">
        <f>IFERROR(VLOOKUP(P61,COPY!$A$1:$L$1000,12,FALSE),0)</f>
        <v>0</v>
      </c>
      <c r="N61" s="469">
        <f>IF(H61="Jasa",VLOOKUP('BKU 4'!K61,'Rekap Gaji'!$D$12:$I$26,6,FALSE),(IF(H61="Beli",VLOOKUP(P61,COPY!$A$1:$L$1000,11,FALSE),IF(H61="Bayar Ongkos",VLOOKUP(K61,'Rekap Gaji'!$D$12:$I$26,6,FALSE),0))))</f>
        <v>0</v>
      </c>
      <c r="O61" s="470"/>
      <c r="P61" s="466" t="str">
        <f t="shared" si="0"/>
        <v/>
      </c>
      <c r="Q61" s="253">
        <f t="shared" si="3"/>
        <v>0</v>
      </c>
      <c r="R61" s="253">
        <f t="shared" si="4"/>
        <v>0</v>
      </c>
      <c r="S61" s="449">
        <f t="shared" si="5"/>
        <v>29</v>
      </c>
      <c r="T61" s="253">
        <f t="shared" si="6"/>
        <v>29</v>
      </c>
      <c r="U61" s="457" t="str">
        <f t="shared" si="1"/>
        <v xml:space="preserve"> </v>
      </c>
    </row>
    <row r="62" spans="1:21" ht="20.100000000000001" hidden="1" customHeight="1" x14ac:dyDescent="0.25">
      <c r="A62" s="470" t="str">
        <f t="shared" si="2"/>
        <v/>
      </c>
      <c r="B62" s="456">
        <f>IF(LEFT(C62,16)="Terima Pajak PPN",VLOOKUP(P62,COPY!$A$1:$AC$1000,21,FALSE),IF(LEFT(C62,16)="Terima Pajak PPH",VLOOKUP(P62,COPY!$A$1:$AC$1000,21,FALSE),IF(LEFT(C62,13)="Terima PPh 23",VLOOKUP(P62,COPY!$A$1:$AC$1000,21,FALSE),0)))</f>
        <v>0</v>
      </c>
      <c r="C62" s="457">
        <f>IFERROR(IF(LEFT(VLOOKUP(P62,COPY!$A$1:$AC$1000,29,FALSE),5)="Terim",VLOOKUP(P62,COPY!$A$1:$AC$1000,29,FALSE),0),0)</f>
        <v>0</v>
      </c>
      <c r="D62" s="457"/>
      <c r="E62" s="457"/>
      <c r="F62" s="458">
        <f>IFERROR(IF(LEFT(VLOOKUP(P62,COPY!$A$1:$AC$1000,29,FALSE),5)="Terim",VLOOKUP(P62,COPY!$A$1:$AC$1000,26,FALSE),0),0)</f>
        <v>0</v>
      </c>
      <c r="G62" s="459">
        <f>IFERROR(VLOOKUP(P62,COPY!$A$1:$L$1000,4,FALSE),0)</f>
        <v>0</v>
      </c>
      <c r="H62" s="457">
        <f>IFERROR(VLOOKUP(P62,COPY!$A$1:$L$1000,2,FALSE),0)</f>
        <v>0</v>
      </c>
      <c r="I62" s="510">
        <f>IFERROR(VLOOKUP(P62,COPY!$A$1:$L$1000,10,FALSE),0)</f>
        <v>0</v>
      </c>
      <c r="J62" s="467">
        <f>IFERROR(VLOOKUP(P62,COPY!$A$1:$L$1000,8,FALSE),0)</f>
        <v>0</v>
      </c>
      <c r="K62" s="457">
        <f>IFERROR(VLOOKUP(P62,COPY!$A$1:$L$1000,7,FALSE),0)</f>
        <v>0</v>
      </c>
      <c r="L62" s="468">
        <f>IFERROR(VLOOKUP(P62,COPY!$A$1:$O$1000,15,FALSE),0)</f>
        <v>0</v>
      </c>
      <c r="M62" s="468">
        <f>IFERROR(VLOOKUP(P62,COPY!$A$1:$L$1000,12,FALSE),0)</f>
        <v>0</v>
      </c>
      <c r="N62" s="469">
        <f>IF(H62="Jasa",VLOOKUP('BKU 4'!K62,'Rekap Gaji'!$D$12:$I$26,6,FALSE),(IF(H62="Beli",VLOOKUP(P62,COPY!$A$1:$L$1000,11,FALSE),IF(H62="Bayar Ongkos",VLOOKUP(K62,'Rekap Gaji'!$D$12:$I$26,6,FALSE),0))))</f>
        <v>0</v>
      </c>
      <c r="P62" s="466" t="str">
        <f t="shared" si="0"/>
        <v/>
      </c>
      <c r="Q62" s="253">
        <f t="shared" si="3"/>
        <v>0</v>
      </c>
      <c r="R62" s="253">
        <f t="shared" si="4"/>
        <v>0</v>
      </c>
      <c r="S62" s="449">
        <f t="shared" si="5"/>
        <v>30</v>
      </c>
      <c r="T62" s="253">
        <f t="shared" si="6"/>
        <v>30</v>
      </c>
      <c r="U62" s="457" t="str">
        <f t="shared" si="1"/>
        <v xml:space="preserve"> </v>
      </c>
    </row>
    <row r="63" spans="1:21" ht="20.100000000000001" hidden="1" customHeight="1" x14ac:dyDescent="0.25">
      <c r="A63" s="470" t="str">
        <f t="shared" si="2"/>
        <v/>
      </c>
      <c r="B63" s="456">
        <f>IF(LEFT(C63,16)="Terima Pajak PPN",VLOOKUP(P63,COPY!$A$1:$AC$1000,21,FALSE),IF(LEFT(C63,16)="Terima Pajak PPH",VLOOKUP(P63,COPY!$A$1:$AC$1000,21,FALSE),IF(LEFT(C63,13)="Terima PPh 23",VLOOKUP(P63,COPY!$A$1:$AC$1000,21,FALSE),0)))</f>
        <v>0</v>
      </c>
      <c r="C63" s="457">
        <f>IFERROR(IF(LEFT(VLOOKUP(P63,COPY!$A$1:$AC$1000,29,FALSE),5)="Terim",VLOOKUP(P63,COPY!$A$1:$AC$1000,29,FALSE),0),0)</f>
        <v>0</v>
      </c>
      <c r="D63" s="457"/>
      <c r="E63" s="457"/>
      <c r="F63" s="458">
        <f>IFERROR(IF(LEFT(VLOOKUP(P63,COPY!$A$1:$AC$1000,29,FALSE),5)="Terim",VLOOKUP(P63,COPY!$A$1:$AC$1000,26,FALSE),0),0)</f>
        <v>0</v>
      </c>
      <c r="G63" s="459">
        <f>IFERROR(VLOOKUP(P63,COPY!$A$1:$L$1000,4,FALSE),0)</f>
        <v>0</v>
      </c>
      <c r="H63" s="457">
        <f>IFERROR(VLOOKUP(P63,COPY!$A$1:$L$1000,2,FALSE),0)</f>
        <v>0</v>
      </c>
      <c r="I63" s="510">
        <f>IFERROR(VLOOKUP(P63,COPY!$A$1:$L$1000,10,FALSE),0)</f>
        <v>0</v>
      </c>
      <c r="J63" s="467">
        <f>IFERROR(VLOOKUP(P63,COPY!$A$1:$L$1000,8,FALSE),0)</f>
        <v>0</v>
      </c>
      <c r="K63" s="457">
        <f>IFERROR(VLOOKUP(P63,COPY!$A$1:$L$1000,7,FALSE),0)</f>
        <v>0</v>
      </c>
      <c r="L63" s="468">
        <f>IFERROR(VLOOKUP(P63,COPY!$A$1:$O$1000,15,FALSE),0)</f>
        <v>0</v>
      </c>
      <c r="M63" s="468">
        <f>IFERROR(VLOOKUP(P63,COPY!$A$1:$L$1000,12,FALSE),0)</f>
        <v>0</v>
      </c>
      <c r="N63" s="469">
        <f>IF(H63="Jasa",VLOOKUP('BKU 4'!K63,'Rekap Gaji'!$D$12:$I$26,6,FALSE),(IF(H63="Beli",VLOOKUP(P63,COPY!$A$1:$L$1000,11,FALSE),IF(H63="Bayar Ongkos",VLOOKUP(K63,'Rekap Gaji'!$D$12:$I$26,6,FALSE),0))))</f>
        <v>0</v>
      </c>
      <c r="O63" s="470"/>
      <c r="P63" s="466" t="str">
        <f t="shared" si="0"/>
        <v/>
      </c>
      <c r="Q63" s="253">
        <f t="shared" si="3"/>
        <v>0</v>
      </c>
      <c r="R63" s="253">
        <f t="shared" si="4"/>
        <v>0</v>
      </c>
      <c r="S63" s="449">
        <f t="shared" si="5"/>
        <v>31</v>
      </c>
      <c r="T63" s="253">
        <f t="shared" si="6"/>
        <v>31</v>
      </c>
      <c r="U63" s="457" t="str">
        <f t="shared" si="1"/>
        <v xml:space="preserve"> </v>
      </c>
    </row>
    <row r="64" spans="1:21" ht="20.100000000000001" hidden="1" customHeight="1" x14ac:dyDescent="0.25">
      <c r="A64" s="470" t="str">
        <f t="shared" si="2"/>
        <v/>
      </c>
      <c r="B64" s="456">
        <f>IF(LEFT(C64,16)="Terima Pajak PPN",VLOOKUP(P64,COPY!$A$1:$AC$1000,21,FALSE),IF(LEFT(C64,16)="Terima Pajak PPH",VLOOKUP(P64,COPY!$A$1:$AC$1000,21,FALSE),IF(LEFT(C64,13)="Terima PPh 23",VLOOKUP(P64,COPY!$A$1:$AC$1000,21,FALSE),0)))</f>
        <v>0</v>
      </c>
      <c r="C64" s="457">
        <f>IFERROR(IF(LEFT(VLOOKUP(P64,COPY!$A$1:$AC$1000,29,FALSE),5)="Terim",VLOOKUP(P64,COPY!$A$1:$AC$1000,29,FALSE),0),0)</f>
        <v>0</v>
      </c>
      <c r="D64" s="457"/>
      <c r="E64" s="457"/>
      <c r="F64" s="458">
        <f>IFERROR(IF(LEFT(VLOOKUP(P64,COPY!$A$1:$AC$1000,29,FALSE),5)="Terim",VLOOKUP(P64,COPY!$A$1:$AC$1000,26,FALSE),0),0)</f>
        <v>0</v>
      </c>
      <c r="G64" s="459">
        <f>IFERROR(VLOOKUP(P64,COPY!$A$1:$L$1000,4,FALSE),0)</f>
        <v>0</v>
      </c>
      <c r="H64" s="457">
        <f>IFERROR(VLOOKUP(P64,COPY!$A$1:$L$1000,2,FALSE),0)</f>
        <v>0</v>
      </c>
      <c r="I64" s="510">
        <f>IFERROR(VLOOKUP(P64,COPY!$A$1:$L$1000,10,FALSE),0)</f>
        <v>0</v>
      </c>
      <c r="J64" s="467">
        <f>IFERROR(VLOOKUP(P64,COPY!$A$1:$L$1000,8,FALSE),0)</f>
        <v>0</v>
      </c>
      <c r="K64" s="457">
        <f>IFERROR(VLOOKUP(P64,COPY!$A$1:$L$1000,7,FALSE),0)</f>
        <v>0</v>
      </c>
      <c r="L64" s="468">
        <f>IFERROR(VLOOKUP(P64,COPY!$A$1:$O$1000,15,FALSE),0)</f>
        <v>0</v>
      </c>
      <c r="M64" s="468">
        <f>IFERROR(VLOOKUP(P64,COPY!$A$1:$L$1000,12,FALSE),0)</f>
        <v>0</v>
      </c>
      <c r="N64" s="469">
        <f>IF(H64="Jasa",VLOOKUP('BKU 4'!K64,'Rekap Gaji'!$D$12:$I$26,6,FALSE),(IF(H64="Beli",VLOOKUP(P64,COPY!$A$1:$L$1000,11,FALSE),IF(H64="Bayar Ongkos",VLOOKUP(K64,'Rekap Gaji'!$D$12:$I$26,6,FALSE),0))))</f>
        <v>0</v>
      </c>
      <c r="O64" s="470"/>
      <c r="P64" s="466" t="str">
        <f t="shared" si="0"/>
        <v/>
      </c>
      <c r="Q64" s="253">
        <f t="shared" si="3"/>
        <v>0</v>
      </c>
      <c r="R64" s="253">
        <f t="shared" si="4"/>
        <v>0</v>
      </c>
      <c r="S64" s="449">
        <f t="shared" si="5"/>
        <v>32</v>
      </c>
      <c r="T64" s="253">
        <f t="shared" si="6"/>
        <v>32</v>
      </c>
      <c r="U64" s="457" t="str">
        <f t="shared" si="1"/>
        <v xml:space="preserve"> </v>
      </c>
    </row>
    <row r="65" spans="1:21" ht="20.100000000000001" hidden="1" customHeight="1" x14ac:dyDescent="0.25">
      <c r="A65" s="470" t="str">
        <f t="shared" si="2"/>
        <v/>
      </c>
      <c r="B65" s="456">
        <f>IF(LEFT(C65,16)="Terima Pajak PPN",VLOOKUP(P65,COPY!$A$1:$AC$1000,21,FALSE),IF(LEFT(C65,16)="Terima Pajak PPH",VLOOKUP(P65,COPY!$A$1:$AC$1000,21,FALSE),IF(LEFT(C65,13)="Terima PPh 23",VLOOKUP(P65,COPY!$A$1:$AC$1000,21,FALSE),0)))</f>
        <v>0</v>
      </c>
      <c r="C65" s="457">
        <f>IFERROR(IF(LEFT(VLOOKUP(P65,COPY!$A$1:$AC$1000,29,FALSE),5)="Terim",VLOOKUP(P65,COPY!$A$1:$AC$1000,29,FALSE),0),0)</f>
        <v>0</v>
      </c>
      <c r="D65" s="457"/>
      <c r="E65" s="457"/>
      <c r="F65" s="458">
        <f>IFERROR(IF(LEFT(VLOOKUP(P65,COPY!$A$1:$AC$1000,29,FALSE),5)="Terim",VLOOKUP(P65,COPY!$A$1:$AC$1000,26,FALSE),0),0)</f>
        <v>0</v>
      </c>
      <c r="G65" s="459">
        <f>IFERROR(VLOOKUP(P65,COPY!$A$1:$L$1000,4,FALSE),0)</f>
        <v>0</v>
      </c>
      <c r="H65" s="457">
        <f>IFERROR(VLOOKUP(P65,COPY!$A$1:$L$1000,2,FALSE),0)</f>
        <v>0</v>
      </c>
      <c r="I65" s="510">
        <f>IFERROR(VLOOKUP(P65,COPY!$A$1:$L$1000,10,FALSE),0)</f>
        <v>0</v>
      </c>
      <c r="J65" s="467">
        <f>IFERROR(VLOOKUP(P65,COPY!$A$1:$L$1000,8,FALSE),0)</f>
        <v>0</v>
      </c>
      <c r="K65" s="457">
        <f>IFERROR(VLOOKUP(P65,COPY!$A$1:$L$1000,7,FALSE),0)</f>
        <v>0</v>
      </c>
      <c r="L65" s="468">
        <f>IFERROR(VLOOKUP(P65,COPY!$A$1:$O$1000,15,FALSE),0)</f>
        <v>0</v>
      </c>
      <c r="M65" s="468">
        <f>IFERROR(VLOOKUP(P65,COPY!$A$1:$L$1000,12,FALSE),0)</f>
        <v>0</v>
      </c>
      <c r="N65" s="469">
        <f>IF(H65="Jasa",VLOOKUP('BKU 4'!K65,'Rekap Gaji'!$D$12:$I$26,6,FALSE),(IF(H65="Beli",VLOOKUP(P65,COPY!$A$1:$L$1000,11,FALSE),IF(H65="Bayar Ongkos",VLOOKUP(K65,'Rekap Gaji'!$D$12:$I$26,6,FALSE),0))))</f>
        <v>0</v>
      </c>
      <c r="P65" s="466" t="str">
        <f t="shared" si="0"/>
        <v/>
      </c>
      <c r="Q65" s="253">
        <f t="shared" si="3"/>
        <v>0</v>
      </c>
      <c r="R65" s="253">
        <f t="shared" si="4"/>
        <v>0</v>
      </c>
      <c r="S65" s="449">
        <f t="shared" si="5"/>
        <v>33</v>
      </c>
      <c r="T65" s="253">
        <f t="shared" si="6"/>
        <v>33</v>
      </c>
      <c r="U65" s="457" t="str">
        <f t="shared" si="1"/>
        <v xml:space="preserve"> </v>
      </c>
    </row>
    <row r="66" spans="1:21" ht="20.100000000000001" hidden="1" customHeight="1" x14ac:dyDescent="0.25">
      <c r="A66" s="470" t="str">
        <f t="shared" si="2"/>
        <v/>
      </c>
      <c r="B66" s="456">
        <f>IF(LEFT(C66,16)="Terima Pajak PPN",VLOOKUP(P66,COPY!$A$1:$AC$1000,21,FALSE),IF(LEFT(C66,16)="Terima Pajak PPH",VLOOKUP(P66,COPY!$A$1:$AC$1000,21,FALSE),IF(LEFT(C66,13)="Terima PPh 23",VLOOKUP(P66,COPY!$A$1:$AC$1000,21,FALSE),0)))</f>
        <v>0</v>
      </c>
      <c r="C66" s="457">
        <f>IFERROR(IF(LEFT(VLOOKUP(P66,COPY!$A$1:$AC$1000,29,FALSE),5)="Terim",VLOOKUP(P66,COPY!$A$1:$AC$1000,29,FALSE),0),0)</f>
        <v>0</v>
      </c>
      <c r="D66" s="457"/>
      <c r="E66" s="457"/>
      <c r="F66" s="458">
        <f>IFERROR(IF(LEFT(VLOOKUP(P66,COPY!$A$1:$AC$1000,29,FALSE),5)="Terim",VLOOKUP(P66,COPY!$A$1:$AC$1000,26,FALSE),0),0)</f>
        <v>0</v>
      </c>
      <c r="G66" s="459">
        <f>IFERROR(VLOOKUP(P66,COPY!$A$1:$L$1000,4,FALSE),0)</f>
        <v>0</v>
      </c>
      <c r="H66" s="457">
        <f>IFERROR(VLOOKUP(P66,COPY!$A$1:$L$1000,2,FALSE),0)</f>
        <v>0</v>
      </c>
      <c r="I66" s="510">
        <f>IFERROR(VLOOKUP(P66,COPY!$A$1:$L$1000,10,FALSE),0)</f>
        <v>0</v>
      </c>
      <c r="J66" s="467">
        <f>IFERROR(VLOOKUP(P66,COPY!$A$1:$L$1000,8,FALSE),0)</f>
        <v>0</v>
      </c>
      <c r="K66" s="457">
        <f>IFERROR(VLOOKUP(P66,COPY!$A$1:$L$1000,7,FALSE),0)</f>
        <v>0</v>
      </c>
      <c r="L66" s="468">
        <f>IFERROR(VLOOKUP(P66,COPY!$A$1:$O$1000,15,FALSE),0)</f>
        <v>0</v>
      </c>
      <c r="M66" s="468">
        <f>IFERROR(VLOOKUP(P66,COPY!$A$1:$L$1000,12,FALSE),0)</f>
        <v>0</v>
      </c>
      <c r="N66" s="469">
        <f>IF(H66="Jasa",VLOOKUP('BKU 4'!K66,'Rekap Gaji'!$D$12:$I$26,6,FALSE),(IF(H66="Beli",VLOOKUP(P66,COPY!$A$1:$L$1000,11,FALSE),IF(H66="Bayar Ongkos",VLOOKUP(K66,'Rekap Gaji'!$D$12:$I$26,6,FALSE),0))))</f>
        <v>0</v>
      </c>
      <c r="P66" s="466" t="str">
        <f t="shared" si="0"/>
        <v/>
      </c>
      <c r="Q66" s="253">
        <f t="shared" si="3"/>
        <v>0</v>
      </c>
      <c r="R66" s="253">
        <f t="shared" si="4"/>
        <v>0</v>
      </c>
      <c r="S66" s="449">
        <f t="shared" si="5"/>
        <v>34</v>
      </c>
      <c r="T66" s="253">
        <f t="shared" si="6"/>
        <v>34</v>
      </c>
      <c r="U66" s="457" t="str">
        <f t="shared" si="1"/>
        <v xml:space="preserve"> </v>
      </c>
    </row>
    <row r="67" spans="1:21" ht="20.100000000000001" hidden="1" customHeight="1" x14ac:dyDescent="0.25">
      <c r="A67" s="470" t="str">
        <f t="shared" si="2"/>
        <v/>
      </c>
      <c r="B67" s="456">
        <f>IF(LEFT(C67,16)="Terima Pajak PPN",VLOOKUP(P67,COPY!$A$1:$AC$1000,21,FALSE),IF(LEFT(C67,16)="Terima Pajak PPH",VLOOKUP(P67,COPY!$A$1:$AC$1000,21,FALSE),IF(LEFT(C67,13)="Terima PPh 23",VLOOKUP(P67,COPY!$A$1:$AC$1000,21,FALSE),0)))</f>
        <v>0</v>
      </c>
      <c r="C67" s="457">
        <f>IFERROR(IF(LEFT(VLOOKUP(P67,COPY!$A$1:$AC$1000,29,FALSE),5)="Terim",VLOOKUP(P67,COPY!$A$1:$AC$1000,29,FALSE),0),0)</f>
        <v>0</v>
      </c>
      <c r="D67" s="457"/>
      <c r="E67" s="457"/>
      <c r="F67" s="458">
        <f>IFERROR(IF(LEFT(VLOOKUP(P67,COPY!$A$1:$AC$1000,29,FALSE),5)="Terim",VLOOKUP(P67,COPY!$A$1:$AC$1000,26,FALSE),0),0)</f>
        <v>0</v>
      </c>
      <c r="G67" s="459">
        <f>IFERROR(VLOOKUP(P67,COPY!$A$1:$L$1000,4,FALSE),0)</f>
        <v>0</v>
      </c>
      <c r="H67" s="457">
        <f>IFERROR(VLOOKUP(P67,COPY!$A$1:$L$1000,2,FALSE),0)</f>
        <v>0</v>
      </c>
      <c r="I67" s="510">
        <f>IFERROR(VLOOKUP(P67,COPY!$A$1:$L$1000,10,FALSE),0)</f>
        <v>0</v>
      </c>
      <c r="J67" s="467">
        <f>IFERROR(VLOOKUP(P67,COPY!$A$1:$L$1000,8,FALSE),0)</f>
        <v>0</v>
      </c>
      <c r="K67" s="457">
        <f>IFERROR(VLOOKUP(P67,COPY!$A$1:$L$1000,7,FALSE),0)</f>
        <v>0</v>
      </c>
      <c r="L67" s="468">
        <f>IFERROR(VLOOKUP(P67,COPY!$A$1:$O$1000,15,FALSE),0)</f>
        <v>0</v>
      </c>
      <c r="M67" s="468">
        <f>IFERROR(VLOOKUP(P67,COPY!$A$1:$L$1000,12,FALSE),0)</f>
        <v>0</v>
      </c>
      <c r="N67" s="469">
        <f>IF(H67="Jasa",VLOOKUP('BKU 4'!K67,'Rekap Gaji'!$D$12:$I$26,6,FALSE),(IF(H67="Beli",VLOOKUP(P67,COPY!$A$1:$L$1000,11,FALSE),IF(H67="Bayar Ongkos",VLOOKUP(K67,'Rekap Gaji'!$D$12:$I$26,6,FALSE),0))))</f>
        <v>0</v>
      </c>
      <c r="P67" s="466" t="str">
        <f t="shared" si="0"/>
        <v/>
      </c>
      <c r="Q67" s="253">
        <f t="shared" si="3"/>
        <v>0</v>
      </c>
      <c r="R67" s="253">
        <f t="shared" si="4"/>
        <v>0</v>
      </c>
      <c r="S67" s="449">
        <f t="shared" si="5"/>
        <v>35</v>
      </c>
      <c r="T67" s="253">
        <f t="shared" si="6"/>
        <v>35</v>
      </c>
      <c r="U67" s="457" t="str">
        <f t="shared" si="1"/>
        <v xml:space="preserve"> </v>
      </c>
    </row>
    <row r="68" spans="1:21" ht="20.100000000000001" hidden="1" customHeight="1" x14ac:dyDescent="0.25">
      <c r="A68" s="470" t="str">
        <f t="shared" si="2"/>
        <v/>
      </c>
      <c r="B68" s="456">
        <f>IF(LEFT(C68,16)="Terima Pajak PPN",VLOOKUP(P68,COPY!$A$1:$AC$1000,21,FALSE),IF(LEFT(C68,16)="Terima Pajak PPH",VLOOKUP(P68,COPY!$A$1:$AC$1000,21,FALSE),IF(LEFT(C68,13)="Terima PPh 23",VLOOKUP(P68,COPY!$A$1:$AC$1000,21,FALSE),0)))</f>
        <v>0</v>
      </c>
      <c r="C68" s="457">
        <f>IFERROR(IF(LEFT(VLOOKUP(P68,COPY!$A$1:$AC$1000,29,FALSE),5)="Terim",VLOOKUP(P68,COPY!$A$1:$AC$1000,29,FALSE),0),0)</f>
        <v>0</v>
      </c>
      <c r="D68" s="457"/>
      <c r="E68" s="457"/>
      <c r="F68" s="458">
        <f>IFERROR(IF(LEFT(VLOOKUP(P68,COPY!$A$1:$AC$1000,29,FALSE),5)="Terim",VLOOKUP(P68,COPY!$A$1:$AC$1000,26,FALSE),0),0)</f>
        <v>0</v>
      </c>
      <c r="G68" s="459">
        <f>IFERROR(VLOOKUP(P68,COPY!$A$1:$L$1000,4,FALSE),0)</f>
        <v>0</v>
      </c>
      <c r="H68" s="457">
        <f>IFERROR(VLOOKUP(P68,COPY!$A$1:$L$1000,2,FALSE),0)</f>
        <v>0</v>
      </c>
      <c r="I68" s="510">
        <f>IFERROR(VLOOKUP(P68,COPY!$A$1:$L$1000,10,FALSE),0)</f>
        <v>0</v>
      </c>
      <c r="J68" s="467">
        <f>IFERROR(VLOOKUP(P68,COPY!$A$1:$L$1000,8,FALSE),0)</f>
        <v>0</v>
      </c>
      <c r="K68" s="457">
        <f>IFERROR(VLOOKUP(P68,COPY!$A$1:$L$1000,7,FALSE),0)</f>
        <v>0</v>
      </c>
      <c r="L68" s="468">
        <f>IFERROR(VLOOKUP(P68,COPY!$A$1:$O$1000,15,FALSE),0)</f>
        <v>0</v>
      </c>
      <c r="M68" s="468">
        <f>IFERROR(VLOOKUP(P68,COPY!$A$1:$L$1000,12,FALSE),0)</f>
        <v>0</v>
      </c>
      <c r="N68" s="469">
        <f>IF(H68="Jasa",VLOOKUP('BKU 4'!K68,'Rekap Gaji'!$D$12:$I$26,6,FALSE),(IF(H68="Beli",VLOOKUP(P68,COPY!$A$1:$L$1000,11,FALSE),IF(H68="Bayar Ongkos",VLOOKUP(K68,'Rekap Gaji'!$D$12:$I$26,6,FALSE),0))))</f>
        <v>0</v>
      </c>
      <c r="P68" s="466" t="str">
        <f t="shared" si="0"/>
        <v/>
      </c>
      <c r="Q68" s="253">
        <f t="shared" si="3"/>
        <v>0</v>
      </c>
      <c r="R68" s="253">
        <f t="shared" si="4"/>
        <v>0</v>
      </c>
      <c r="S68" s="449">
        <f t="shared" si="5"/>
        <v>36</v>
      </c>
      <c r="T68" s="253">
        <f t="shared" si="6"/>
        <v>36</v>
      </c>
      <c r="U68" s="457" t="str">
        <f t="shared" si="1"/>
        <v xml:space="preserve"> </v>
      </c>
    </row>
    <row r="69" spans="1:21" ht="20.100000000000001" hidden="1" customHeight="1" x14ac:dyDescent="0.25">
      <c r="A69" s="470" t="str">
        <f t="shared" si="2"/>
        <v/>
      </c>
      <c r="B69" s="456">
        <f>IF(LEFT(C69,16)="Terima Pajak PPN",VLOOKUP(P69,COPY!$A$1:$AC$1000,21,FALSE),IF(LEFT(C69,16)="Terima Pajak PPH",VLOOKUP(P69,COPY!$A$1:$AC$1000,21,FALSE),IF(LEFT(C69,13)="Terima PPh 23",VLOOKUP(P69,COPY!$A$1:$AC$1000,21,FALSE),0)))</f>
        <v>0</v>
      </c>
      <c r="C69" s="457">
        <f>IFERROR(IF(LEFT(VLOOKUP(P69,COPY!$A$1:$AC$1000,29,FALSE),5)="Terim",VLOOKUP(P69,COPY!$A$1:$AC$1000,29,FALSE),0),0)</f>
        <v>0</v>
      </c>
      <c r="D69" s="457"/>
      <c r="E69" s="457"/>
      <c r="F69" s="458">
        <f>IFERROR(IF(LEFT(VLOOKUP(P69,COPY!$A$1:$AC$1000,29,FALSE),5)="Terim",VLOOKUP(P69,COPY!$A$1:$AC$1000,26,FALSE),0),0)</f>
        <v>0</v>
      </c>
      <c r="G69" s="459">
        <f>IFERROR(VLOOKUP(P69,COPY!$A$1:$L$1000,4,FALSE),0)</f>
        <v>0</v>
      </c>
      <c r="H69" s="457">
        <f>IFERROR(VLOOKUP(P69,COPY!$A$1:$L$1000,2,FALSE),0)</f>
        <v>0</v>
      </c>
      <c r="I69" s="510">
        <f>IFERROR(VLOOKUP(P69,COPY!$A$1:$L$1000,10,FALSE),0)</f>
        <v>0</v>
      </c>
      <c r="J69" s="467">
        <f>IFERROR(VLOOKUP(P69,COPY!$A$1:$L$1000,8,FALSE),0)</f>
        <v>0</v>
      </c>
      <c r="K69" s="457">
        <f>IFERROR(VLOOKUP(P69,COPY!$A$1:$L$1000,7,FALSE),0)</f>
        <v>0</v>
      </c>
      <c r="L69" s="468">
        <f>IFERROR(VLOOKUP(P69,COPY!$A$1:$O$1000,15,FALSE),0)</f>
        <v>0</v>
      </c>
      <c r="M69" s="468">
        <f>IFERROR(VLOOKUP(P69,COPY!$A$1:$L$1000,12,FALSE),0)</f>
        <v>0</v>
      </c>
      <c r="N69" s="469">
        <f>IF(H69="Jasa",VLOOKUP('BKU 4'!K69,'Rekap Gaji'!$D$12:$I$26,6,FALSE),(IF(H69="Beli",VLOOKUP(P69,COPY!$A$1:$L$1000,11,FALSE),IF(H69="Bayar Ongkos",VLOOKUP(K69,'Rekap Gaji'!$D$12:$I$26,6,FALSE),0))))</f>
        <v>0</v>
      </c>
      <c r="P69" s="466" t="str">
        <f t="shared" si="0"/>
        <v/>
      </c>
      <c r="Q69" s="253">
        <f t="shared" si="3"/>
        <v>0</v>
      </c>
      <c r="R69" s="253">
        <f t="shared" si="4"/>
        <v>0</v>
      </c>
      <c r="S69" s="449">
        <f t="shared" si="5"/>
        <v>37</v>
      </c>
      <c r="T69" s="253">
        <f t="shared" si="6"/>
        <v>37</v>
      </c>
      <c r="U69" s="457" t="str">
        <f t="shared" si="1"/>
        <v xml:space="preserve"> </v>
      </c>
    </row>
    <row r="70" spans="1:21" ht="20.100000000000001" hidden="1" customHeight="1" x14ac:dyDescent="0.25">
      <c r="A70" s="470" t="str">
        <f t="shared" si="2"/>
        <v/>
      </c>
      <c r="B70" s="456">
        <f>IF(LEFT(C70,16)="Terima Pajak PPN",VLOOKUP(P70,COPY!$A$1:$AC$1000,21,FALSE),IF(LEFT(C70,16)="Terima Pajak PPH",VLOOKUP(P70,COPY!$A$1:$AC$1000,21,FALSE),IF(LEFT(C70,13)="Terima PPh 23",VLOOKUP(P70,COPY!$A$1:$AC$1000,21,FALSE),0)))</f>
        <v>0</v>
      </c>
      <c r="C70" s="457">
        <f>IFERROR(IF(LEFT(VLOOKUP(P70,COPY!$A$1:$AC$1000,29,FALSE),5)="Terim",VLOOKUP(P70,COPY!$A$1:$AC$1000,29,FALSE),0),0)</f>
        <v>0</v>
      </c>
      <c r="D70" s="457"/>
      <c r="E70" s="457"/>
      <c r="F70" s="458">
        <f>IFERROR(IF(LEFT(VLOOKUP(P70,COPY!$A$1:$AC$1000,29,FALSE),5)="Terim",VLOOKUP(P70,COPY!$A$1:$AC$1000,26,FALSE),0),0)</f>
        <v>0</v>
      </c>
      <c r="G70" s="459">
        <f>IFERROR(VLOOKUP(P70,COPY!$A$1:$L$1000,4,FALSE),0)</f>
        <v>0</v>
      </c>
      <c r="H70" s="457">
        <f>IFERROR(VLOOKUP(P70,COPY!$A$1:$L$1000,2,FALSE),0)</f>
        <v>0</v>
      </c>
      <c r="I70" s="510">
        <f>IFERROR(VLOOKUP(P70,COPY!$A$1:$L$1000,10,FALSE),0)</f>
        <v>0</v>
      </c>
      <c r="J70" s="467">
        <f>IFERROR(VLOOKUP(P70,COPY!$A$1:$L$1000,8,FALSE),0)</f>
        <v>0</v>
      </c>
      <c r="K70" s="457">
        <f>IFERROR(VLOOKUP(P70,COPY!$A$1:$L$1000,7,FALSE),0)</f>
        <v>0</v>
      </c>
      <c r="L70" s="468">
        <f>IFERROR(VLOOKUP(P70,COPY!$A$1:$O$1000,15,FALSE),0)</f>
        <v>0</v>
      </c>
      <c r="M70" s="468">
        <f>IFERROR(VLOOKUP(P70,COPY!$A$1:$L$1000,12,FALSE),0)</f>
        <v>0</v>
      </c>
      <c r="N70" s="469">
        <f>IF(H70="Jasa",VLOOKUP('BKU 4'!K70,'Rekap Gaji'!$D$12:$I$26,6,FALSE),(IF(H70="Beli",VLOOKUP(P70,COPY!$A$1:$L$1000,11,FALSE),IF(H70="Bayar Ongkos",VLOOKUP(K70,'Rekap Gaji'!$D$12:$I$26,6,FALSE),0))))</f>
        <v>0</v>
      </c>
      <c r="O70" s="470"/>
      <c r="P70" s="466" t="str">
        <f t="shared" si="0"/>
        <v/>
      </c>
      <c r="Q70" s="253">
        <f t="shared" si="3"/>
        <v>0</v>
      </c>
      <c r="R70" s="253">
        <f t="shared" si="4"/>
        <v>0</v>
      </c>
      <c r="S70" s="449">
        <f t="shared" si="5"/>
        <v>38</v>
      </c>
      <c r="T70" s="253">
        <f t="shared" si="6"/>
        <v>38</v>
      </c>
      <c r="U70" s="457" t="str">
        <f t="shared" si="1"/>
        <v xml:space="preserve"> </v>
      </c>
    </row>
    <row r="71" spans="1:21" ht="20.100000000000001" hidden="1" customHeight="1" x14ac:dyDescent="0.25">
      <c r="A71" s="470" t="str">
        <f t="shared" si="2"/>
        <v/>
      </c>
      <c r="B71" s="456">
        <f>IF(LEFT(C71,16)="Terima Pajak PPN",VLOOKUP(P71,COPY!$A$1:$AC$1000,21,FALSE),IF(LEFT(C71,16)="Terima Pajak PPH",VLOOKUP(P71,COPY!$A$1:$AC$1000,21,FALSE),IF(LEFT(C71,13)="Terima PPh 23",VLOOKUP(P71,COPY!$A$1:$AC$1000,21,FALSE),0)))</f>
        <v>0</v>
      </c>
      <c r="C71" s="457">
        <f>IFERROR(IF(LEFT(VLOOKUP(P71,COPY!$A$1:$AC$1000,29,FALSE),5)="Terim",VLOOKUP(P71,COPY!$A$1:$AC$1000,29,FALSE),0),0)</f>
        <v>0</v>
      </c>
      <c r="D71" s="457"/>
      <c r="E71" s="457"/>
      <c r="F71" s="458">
        <f>IFERROR(IF(LEFT(VLOOKUP(P71,COPY!$A$1:$AC$1000,29,FALSE),5)="Terim",VLOOKUP(P71,COPY!$A$1:$AC$1000,26,FALSE),0),0)</f>
        <v>0</v>
      </c>
      <c r="G71" s="459">
        <f>IFERROR(VLOOKUP(P71,COPY!$A$1:$L$1000,4,FALSE),0)</f>
        <v>0</v>
      </c>
      <c r="H71" s="457">
        <f>IFERROR(VLOOKUP(P71,COPY!$A$1:$L$1000,2,FALSE),0)</f>
        <v>0</v>
      </c>
      <c r="I71" s="510">
        <f>IFERROR(VLOOKUP(P71,COPY!$A$1:$L$1000,10,FALSE),0)</f>
        <v>0</v>
      </c>
      <c r="J71" s="467">
        <f>IFERROR(VLOOKUP(P71,COPY!$A$1:$L$1000,8,FALSE),0)</f>
        <v>0</v>
      </c>
      <c r="K71" s="457">
        <f>IFERROR(VLOOKUP(P71,COPY!$A$1:$L$1000,7,FALSE),0)</f>
        <v>0</v>
      </c>
      <c r="L71" s="468">
        <f>IFERROR(VLOOKUP(P71,COPY!$A$1:$O$1000,15,FALSE),0)</f>
        <v>0</v>
      </c>
      <c r="M71" s="468">
        <f>IFERROR(VLOOKUP(P71,COPY!$A$1:$L$1000,12,FALSE),0)</f>
        <v>0</v>
      </c>
      <c r="N71" s="469">
        <f>IF(H71="Jasa",VLOOKUP('BKU 4'!K71,'Rekap Gaji'!$D$12:$I$26,6,FALSE),(IF(H71="Beli",VLOOKUP(P71,COPY!$A$1:$L$1000,11,FALSE),IF(H71="Bayar Ongkos",VLOOKUP(K71,'Rekap Gaji'!$D$12:$I$26,6,FALSE),0))))</f>
        <v>0</v>
      </c>
      <c r="P71" s="466" t="str">
        <f t="shared" si="0"/>
        <v/>
      </c>
      <c r="Q71" s="253">
        <f t="shared" si="3"/>
        <v>0</v>
      </c>
      <c r="R71" s="253">
        <f t="shared" si="4"/>
        <v>0</v>
      </c>
      <c r="S71" s="449">
        <f t="shared" si="5"/>
        <v>39</v>
      </c>
      <c r="T71" s="253">
        <f t="shared" si="6"/>
        <v>39</v>
      </c>
      <c r="U71" s="457" t="str">
        <f t="shared" si="1"/>
        <v xml:space="preserve"> </v>
      </c>
    </row>
    <row r="72" spans="1:21" ht="20.100000000000001" hidden="1" customHeight="1" x14ac:dyDescent="0.25">
      <c r="A72" s="470" t="str">
        <f t="shared" si="2"/>
        <v/>
      </c>
      <c r="B72" s="456">
        <f>IF(LEFT(C72,16)="Terima Pajak PPN",VLOOKUP(P72,COPY!$A$1:$AC$1000,21,FALSE),IF(LEFT(C72,16)="Terima Pajak PPH",VLOOKUP(P72,COPY!$A$1:$AC$1000,21,FALSE),IF(LEFT(C72,13)="Terima PPh 23",VLOOKUP(P72,COPY!$A$1:$AC$1000,21,FALSE),0)))</f>
        <v>0</v>
      </c>
      <c r="C72" s="457">
        <f>IFERROR(IF(LEFT(VLOOKUP(P72,COPY!$A$1:$AC$1000,29,FALSE),5)="Terim",VLOOKUP(P72,COPY!$A$1:$AC$1000,29,FALSE),0),0)</f>
        <v>0</v>
      </c>
      <c r="D72" s="457"/>
      <c r="E72" s="457"/>
      <c r="F72" s="458">
        <f>IFERROR(IF(LEFT(VLOOKUP(P72,COPY!$A$1:$AC$1000,29,FALSE),5)="Terim",VLOOKUP(P72,COPY!$A$1:$AC$1000,26,FALSE),0),0)</f>
        <v>0</v>
      </c>
      <c r="G72" s="459">
        <f>IFERROR(VLOOKUP(P72,COPY!$A$1:$L$1000,4,FALSE),0)</f>
        <v>0</v>
      </c>
      <c r="H72" s="457">
        <f>IFERROR(VLOOKUP(P72,COPY!$A$1:$L$1000,2,FALSE),0)</f>
        <v>0</v>
      </c>
      <c r="I72" s="510">
        <f>IFERROR(VLOOKUP(P72,COPY!$A$1:$L$1000,10,FALSE),0)</f>
        <v>0</v>
      </c>
      <c r="J72" s="467">
        <f>IFERROR(VLOOKUP(P72,COPY!$A$1:$L$1000,8,FALSE),0)</f>
        <v>0</v>
      </c>
      <c r="K72" s="457">
        <f>IFERROR(VLOOKUP(P72,COPY!$A$1:$L$1000,7,FALSE),0)</f>
        <v>0</v>
      </c>
      <c r="L72" s="468">
        <f>IFERROR(VLOOKUP(P72,COPY!$A$1:$O$1000,15,FALSE),0)</f>
        <v>0</v>
      </c>
      <c r="M72" s="468">
        <f>IFERROR(VLOOKUP(P72,COPY!$A$1:$L$1000,12,FALSE),0)</f>
        <v>0</v>
      </c>
      <c r="N72" s="469">
        <f>IF(H72="Jasa",VLOOKUP('BKU 4'!K72,'Rekap Gaji'!$D$12:$I$26,6,FALSE),(IF(H72="Beli",VLOOKUP(P72,COPY!$A$1:$L$1000,11,FALSE),IF(H72="Bayar Ongkos",VLOOKUP(K72,'Rekap Gaji'!$D$12:$I$26,6,FALSE),0))))</f>
        <v>0</v>
      </c>
      <c r="P72" s="466" t="str">
        <f t="shared" si="0"/>
        <v/>
      </c>
      <c r="Q72" s="253">
        <f t="shared" si="3"/>
        <v>0</v>
      </c>
      <c r="R72" s="253">
        <f t="shared" si="4"/>
        <v>0</v>
      </c>
      <c r="S72" s="449">
        <f t="shared" si="5"/>
        <v>40</v>
      </c>
      <c r="T72" s="253">
        <f t="shared" si="6"/>
        <v>40</v>
      </c>
      <c r="U72" s="457" t="str">
        <f t="shared" si="1"/>
        <v xml:space="preserve"> </v>
      </c>
    </row>
    <row r="73" spans="1:21" ht="20.100000000000001" hidden="1" customHeight="1" x14ac:dyDescent="0.25">
      <c r="A73" s="470" t="str">
        <f t="shared" si="2"/>
        <v/>
      </c>
      <c r="B73" s="456">
        <f>IF(LEFT(C73,16)="Terima Pajak PPN",VLOOKUP(P73,COPY!$A$1:$AC$1000,21,FALSE),IF(LEFT(C73,16)="Terima Pajak PPH",VLOOKUP(P73,COPY!$A$1:$AC$1000,21,FALSE),IF(LEFT(C73,13)="Terima PPh 23",VLOOKUP(P73,COPY!$A$1:$AC$1000,21,FALSE),0)))</f>
        <v>0</v>
      </c>
      <c r="C73" s="457">
        <f>IFERROR(IF(LEFT(VLOOKUP(P73,COPY!$A$1:$AC$1000,29,FALSE),5)="Terim",VLOOKUP(P73,COPY!$A$1:$AC$1000,29,FALSE),0),0)</f>
        <v>0</v>
      </c>
      <c r="D73" s="457"/>
      <c r="E73" s="457"/>
      <c r="F73" s="458">
        <f>IFERROR(IF(LEFT(VLOOKUP(P73,COPY!$A$1:$AC$1000,29,FALSE),5)="Terim",VLOOKUP(P73,COPY!$A$1:$AC$1000,26,FALSE),0),0)</f>
        <v>0</v>
      </c>
      <c r="G73" s="459">
        <f>IFERROR(VLOOKUP(P73,COPY!$A$1:$L$1000,4,FALSE),0)</f>
        <v>0</v>
      </c>
      <c r="H73" s="457">
        <f>IFERROR(VLOOKUP(P73,COPY!$A$1:$L$1000,2,FALSE),0)</f>
        <v>0</v>
      </c>
      <c r="I73" s="510">
        <f>IFERROR(VLOOKUP(P73,COPY!$A$1:$L$1000,10,FALSE),0)</f>
        <v>0</v>
      </c>
      <c r="J73" s="467">
        <f>IFERROR(VLOOKUP(P73,COPY!$A$1:$L$1000,8,FALSE),0)</f>
        <v>0</v>
      </c>
      <c r="K73" s="457">
        <f>IFERROR(VLOOKUP(P73,COPY!$A$1:$L$1000,7,FALSE),0)</f>
        <v>0</v>
      </c>
      <c r="L73" s="468">
        <f>IFERROR(VLOOKUP(P73,COPY!$A$1:$O$1000,15,FALSE),0)</f>
        <v>0</v>
      </c>
      <c r="M73" s="468">
        <f>IFERROR(VLOOKUP(P73,COPY!$A$1:$L$1000,12,FALSE),0)</f>
        <v>0</v>
      </c>
      <c r="N73" s="469">
        <f>IF(H73="Jasa",VLOOKUP('BKU 4'!K73,'Rekap Gaji'!$D$12:$I$26,6,FALSE),(IF(H73="Beli",VLOOKUP(P73,COPY!$A$1:$L$1000,11,FALSE),IF(H73="Bayar Ongkos",VLOOKUP(K73,'Rekap Gaji'!$D$12:$I$26,6,FALSE),0))))</f>
        <v>0</v>
      </c>
      <c r="O73" s="470"/>
      <c r="P73" s="466" t="str">
        <f t="shared" si="0"/>
        <v/>
      </c>
      <c r="Q73" s="253">
        <f t="shared" si="3"/>
        <v>0</v>
      </c>
      <c r="R73" s="253">
        <f t="shared" si="4"/>
        <v>0</v>
      </c>
      <c r="S73" s="449">
        <f t="shared" si="5"/>
        <v>41</v>
      </c>
      <c r="T73" s="253">
        <f t="shared" si="6"/>
        <v>41</v>
      </c>
      <c r="U73" s="457" t="str">
        <f t="shared" si="1"/>
        <v xml:space="preserve"> </v>
      </c>
    </row>
    <row r="74" spans="1:21" ht="20.100000000000001" hidden="1" customHeight="1" x14ac:dyDescent="0.25">
      <c r="A74" s="470" t="str">
        <f t="shared" si="2"/>
        <v/>
      </c>
      <c r="B74" s="456">
        <f>IF(LEFT(C74,16)="Terima Pajak PPN",VLOOKUP(P74,COPY!$A$1:$AC$1000,21,FALSE),IF(LEFT(C74,16)="Terima Pajak PPH",VLOOKUP(P74,COPY!$A$1:$AC$1000,21,FALSE),IF(LEFT(C74,13)="Terima PPh 23",VLOOKUP(P74,COPY!$A$1:$AC$1000,21,FALSE),0)))</f>
        <v>0</v>
      </c>
      <c r="C74" s="457">
        <f>IFERROR(IF(LEFT(VLOOKUP(P74,COPY!$A$1:$AC$1000,29,FALSE),5)="Terim",VLOOKUP(P74,COPY!$A$1:$AC$1000,29,FALSE),0),0)</f>
        <v>0</v>
      </c>
      <c r="D74" s="457"/>
      <c r="E74" s="457"/>
      <c r="F74" s="458">
        <f>IFERROR(IF(LEFT(VLOOKUP(P74,COPY!$A$1:$AC$1000,29,FALSE),5)="Terim",VLOOKUP(P74,COPY!$A$1:$AC$1000,26,FALSE),0),0)</f>
        <v>0</v>
      </c>
      <c r="G74" s="459">
        <f>IFERROR(VLOOKUP(P74,COPY!$A$1:$L$1000,4,FALSE),0)</f>
        <v>0</v>
      </c>
      <c r="H74" s="457">
        <f>IFERROR(VLOOKUP(P74,COPY!$A$1:$L$1000,2,FALSE),0)</f>
        <v>0</v>
      </c>
      <c r="I74" s="510">
        <f>IFERROR(VLOOKUP(P74,COPY!$A$1:$L$1000,10,FALSE),0)</f>
        <v>0</v>
      </c>
      <c r="J74" s="467">
        <f>IFERROR(VLOOKUP(P74,COPY!$A$1:$L$1000,8,FALSE),0)</f>
        <v>0</v>
      </c>
      <c r="K74" s="457">
        <f>IFERROR(VLOOKUP(P74,COPY!$A$1:$L$1000,7,FALSE),0)</f>
        <v>0</v>
      </c>
      <c r="L74" s="468">
        <f>IFERROR(VLOOKUP(P74,COPY!$A$1:$O$1000,15,FALSE),0)</f>
        <v>0</v>
      </c>
      <c r="M74" s="468">
        <f>IFERROR(VLOOKUP(P74,COPY!$A$1:$L$1000,12,FALSE),0)</f>
        <v>0</v>
      </c>
      <c r="N74" s="469">
        <f>IF(H74="Jasa",VLOOKUP('BKU 4'!K74,'Rekap Gaji'!$D$12:$I$26,6,FALSE),(IF(H74="Beli",VLOOKUP(P74,COPY!$A$1:$L$1000,11,FALSE),IF(H74="Bayar Ongkos",VLOOKUP(K74,'Rekap Gaji'!$D$12:$I$26,6,FALSE),0))))</f>
        <v>0</v>
      </c>
      <c r="O74" s="470"/>
      <c r="P74" s="466" t="str">
        <f t="shared" si="0"/>
        <v/>
      </c>
      <c r="Q74" s="253">
        <f t="shared" si="3"/>
        <v>0</v>
      </c>
      <c r="R74" s="253">
        <f t="shared" si="4"/>
        <v>0</v>
      </c>
      <c r="S74" s="449">
        <f t="shared" si="5"/>
        <v>42</v>
      </c>
      <c r="T74" s="253">
        <f t="shared" si="6"/>
        <v>42</v>
      </c>
      <c r="U74" s="457" t="str">
        <f t="shared" si="1"/>
        <v xml:space="preserve"> </v>
      </c>
    </row>
    <row r="75" spans="1:21" ht="20.100000000000001" hidden="1" customHeight="1" x14ac:dyDescent="0.25">
      <c r="A75" s="470" t="str">
        <f t="shared" si="2"/>
        <v/>
      </c>
      <c r="B75" s="456">
        <f>IF(LEFT(C75,16)="Terima Pajak PPN",VLOOKUP(P75,COPY!$A$1:$AC$1000,21,FALSE),IF(LEFT(C75,16)="Terima Pajak PPH",VLOOKUP(P75,COPY!$A$1:$AC$1000,21,FALSE),IF(LEFT(C75,13)="Terima PPh 23",VLOOKUP(P75,COPY!$A$1:$AC$1000,21,FALSE),0)))</f>
        <v>0</v>
      </c>
      <c r="C75" s="457">
        <f>IFERROR(IF(LEFT(VLOOKUP(P75,COPY!$A$1:$AC$1000,29,FALSE),5)="Terim",VLOOKUP(P75,COPY!$A$1:$AC$1000,29,FALSE),0),0)</f>
        <v>0</v>
      </c>
      <c r="D75" s="457"/>
      <c r="E75" s="457"/>
      <c r="F75" s="458">
        <f>IFERROR(IF(LEFT(VLOOKUP(P75,COPY!$A$1:$AC$1000,29,FALSE),5)="Terim",VLOOKUP(P75,COPY!$A$1:$AC$1000,26,FALSE),0),0)</f>
        <v>0</v>
      </c>
      <c r="G75" s="459">
        <f>IFERROR(VLOOKUP(P75,COPY!$A$1:$L$1000,4,FALSE),0)</f>
        <v>0</v>
      </c>
      <c r="H75" s="457">
        <f>IFERROR(VLOOKUP(P75,COPY!$A$1:$L$1000,2,FALSE),0)</f>
        <v>0</v>
      </c>
      <c r="I75" s="510">
        <f>IFERROR(VLOOKUP(P75,COPY!$A$1:$L$1000,10,FALSE),0)</f>
        <v>0</v>
      </c>
      <c r="J75" s="467">
        <f>IFERROR(VLOOKUP(P75,COPY!$A$1:$L$1000,8,FALSE),0)</f>
        <v>0</v>
      </c>
      <c r="K75" s="457">
        <f>IFERROR(VLOOKUP(P75,COPY!$A$1:$L$1000,7,FALSE),0)</f>
        <v>0</v>
      </c>
      <c r="L75" s="468">
        <f>IFERROR(VLOOKUP(P75,COPY!$A$1:$O$1000,15,FALSE),0)</f>
        <v>0</v>
      </c>
      <c r="M75" s="468">
        <f>IFERROR(VLOOKUP(P75,COPY!$A$1:$L$1000,12,FALSE),0)</f>
        <v>0</v>
      </c>
      <c r="N75" s="469">
        <f>IF(H75="Jasa",VLOOKUP('BKU 4'!K75,'Rekap Gaji'!$D$12:$I$26,6,FALSE),(IF(H75="Beli",VLOOKUP(P75,COPY!$A$1:$L$1000,11,FALSE),IF(H75="Bayar Ongkos",VLOOKUP(K75,'Rekap Gaji'!$D$12:$I$26,6,FALSE),0))))</f>
        <v>0</v>
      </c>
      <c r="O75" s="470"/>
      <c r="P75" s="466" t="str">
        <f t="shared" si="0"/>
        <v/>
      </c>
      <c r="Q75" s="253">
        <f t="shared" si="3"/>
        <v>0</v>
      </c>
      <c r="R75" s="253">
        <f t="shared" si="4"/>
        <v>0</v>
      </c>
      <c r="S75" s="449">
        <f t="shared" si="5"/>
        <v>43</v>
      </c>
      <c r="T75" s="253">
        <f t="shared" si="6"/>
        <v>43</v>
      </c>
      <c r="U75" s="457" t="str">
        <f t="shared" si="1"/>
        <v xml:space="preserve"> </v>
      </c>
    </row>
    <row r="76" spans="1:21" ht="20.100000000000001" hidden="1" customHeight="1" x14ac:dyDescent="0.25">
      <c r="A76" s="470" t="str">
        <f t="shared" si="2"/>
        <v/>
      </c>
      <c r="B76" s="456">
        <f>IF(LEFT(C76,16)="Terima Pajak PPN",VLOOKUP(P76,COPY!$A$1:$AC$1000,21,FALSE),IF(LEFT(C76,16)="Terima Pajak PPH",VLOOKUP(P76,COPY!$A$1:$AC$1000,21,FALSE),IF(LEFT(C76,13)="Terima PPh 23",VLOOKUP(P76,COPY!$A$1:$AC$1000,21,FALSE),0)))</f>
        <v>0</v>
      </c>
      <c r="C76" s="457">
        <f>IFERROR(IF(LEFT(VLOOKUP(P76,COPY!$A$1:$AC$1000,29,FALSE),5)="Terim",VLOOKUP(P76,COPY!$A$1:$AC$1000,29,FALSE),0),0)</f>
        <v>0</v>
      </c>
      <c r="D76" s="457"/>
      <c r="E76" s="457"/>
      <c r="F76" s="458">
        <f>IFERROR(IF(LEFT(VLOOKUP(P76,COPY!$A$1:$AC$1000,29,FALSE),5)="Terim",VLOOKUP(P76,COPY!$A$1:$AC$1000,26,FALSE),0),0)</f>
        <v>0</v>
      </c>
      <c r="G76" s="459">
        <f>IFERROR(VLOOKUP(P76,COPY!$A$1:$L$1000,4,FALSE),0)</f>
        <v>0</v>
      </c>
      <c r="H76" s="457">
        <f>IFERROR(VLOOKUP(P76,COPY!$A$1:$L$1000,2,FALSE),0)</f>
        <v>0</v>
      </c>
      <c r="I76" s="510">
        <f>IFERROR(VLOOKUP(P76,COPY!$A$1:$L$1000,10,FALSE),0)</f>
        <v>0</v>
      </c>
      <c r="J76" s="467">
        <f>IFERROR(VLOOKUP(P76,COPY!$A$1:$L$1000,8,FALSE),0)</f>
        <v>0</v>
      </c>
      <c r="K76" s="457">
        <f>IFERROR(VLOOKUP(P76,COPY!$A$1:$L$1000,7,FALSE),0)</f>
        <v>0</v>
      </c>
      <c r="L76" s="468">
        <f>IFERROR(VLOOKUP(P76,COPY!$A$1:$O$1000,15,FALSE),0)</f>
        <v>0</v>
      </c>
      <c r="M76" s="468">
        <f>IFERROR(VLOOKUP(P76,COPY!$A$1:$L$1000,12,FALSE),0)</f>
        <v>0</v>
      </c>
      <c r="N76" s="469">
        <f>IF(H76="Jasa",VLOOKUP('BKU 4'!K76,'Rekap Gaji'!$D$12:$I$26,6,FALSE),(IF(H76="Beli",VLOOKUP(P76,COPY!$A$1:$L$1000,11,FALSE),IF(H76="Bayar Ongkos",VLOOKUP(K76,'Rekap Gaji'!$D$12:$I$26,6,FALSE),0))))</f>
        <v>0</v>
      </c>
      <c r="O76" s="470"/>
      <c r="P76" s="466" t="str">
        <f t="shared" si="0"/>
        <v/>
      </c>
      <c r="Q76" s="253">
        <f t="shared" si="3"/>
        <v>0</v>
      </c>
      <c r="R76" s="253">
        <f t="shared" si="4"/>
        <v>0</v>
      </c>
      <c r="S76" s="449">
        <f t="shared" si="5"/>
        <v>44</v>
      </c>
      <c r="T76" s="253">
        <f t="shared" si="6"/>
        <v>44</v>
      </c>
      <c r="U76" s="457" t="str">
        <f t="shared" si="1"/>
        <v xml:space="preserve"> </v>
      </c>
    </row>
    <row r="77" spans="1:21" ht="20.100000000000001" hidden="1" customHeight="1" x14ac:dyDescent="0.25">
      <c r="A77" s="470" t="str">
        <f t="shared" si="2"/>
        <v/>
      </c>
      <c r="B77" s="456">
        <f>IF(LEFT(C77,16)="Terima Pajak PPN",VLOOKUP(P77,COPY!$A$1:$AC$1000,21,FALSE),IF(LEFT(C77,16)="Terima Pajak PPH",VLOOKUP(P77,COPY!$A$1:$AC$1000,21,FALSE),IF(LEFT(C77,13)="Terima PPh 23",VLOOKUP(P77,COPY!$A$1:$AC$1000,21,FALSE),0)))</f>
        <v>0</v>
      </c>
      <c r="C77" s="457">
        <f>IFERROR(IF(LEFT(VLOOKUP(P77,COPY!$A$1:$AC$1000,29,FALSE),5)="Terim",VLOOKUP(P77,COPY!$A$1:$AC$1000,29,FALSE),0),0)</f>
        <v>0</v>
      </c>
      <c r="D77" s="457"/>
      <c r="E77" s="457"/>
      <c r="F77" s="458">
        <f>IFERROR(IF(LEFT(VLOOKUP(P77,COPY!$A$1:$AC$1000,29,FALSE),5)="Terim",VLOOKUP(P77,COPY!$A$1:$AC$1000,26,FALSE),0),0)</f>
        <v>0</v>
      </c>
      <c r="G77" s="459">
        <f>IFERROR(VLOOKUP(P77,COPY!$A$1:$L$1000,4,FALSE),0)</f>
        <v>0</v>
      </c>
      <c r="H77" s="457">
        <f>IFERROR(VLOOKUP(P77,COPY!$A$1:$L$1000,2,FALSE),0)</f>
        <v>0</v>
      </c>
      <c r="I77" s="510">
        <f>IFERROR(VLOOKUP(P77,COPY!$A$1:$L$1000,10,FALSE),0)</f>
        <v>0</v>
      </c>
      <c r="J77" s="467">
        <f>IFERROR(VLOOKUP(P77,COPY!$A$1:$L$1000,8,FALSE),0)</f>
        <v>0</v>
      </c>
      <c r="K77" s="457">
        <f>IFERROR(VLOOKUP(P77,COPY!$A$1:$L$1000,7,FALSE),0)</f>
        <v>0</v>
      </c>
      <c r="L77" s="468">
        <f>IFERROR(VLOOKUP(P77,COPY!$A$1:$O$1000,15,FALSE),0)</f>
        <v>0</v>
      </c>
      <c r="M77" s="468">
        <f>IFERROR(VLOOKUP(P77,COPY!$A$1:$L$1000,12,FALSE),0)</f>
        <v>0</v>
      </c>
      <c r="N77" s="471">
        <f>IF(H77="Jasa",VLOOKUP('BKU 4'!K77,'Rekap Gaji'!$D$12:$I$26,6,FALSE),(IF(H77="Beli",VLOOKUP(P77,COPY!$A$1:$L$1000,11,FALSE),IF(H77="Bayar Ongkos",VLOOKUP(K77,'Rekap Gaji'!$D$12:$I$26,6,FALSE),0))))</f>
        <v>0</v>
      </c>
      <c r="O77" s="470"/>
      <c r="P77" s="466" t="str">
        <f t="shared" si="0"/>
        <v/>
      </c>
      <c r="Q77" s="253">
        <f t="shared" si="3"/>
        <v>0</v>
      </c>
      <c r="R77" s="253">
        <f t="shared" si="4"/>
        <v>0</v>
      </c>
      <c r="S77" s="449">
        <f t="shared" si="5"/>
        <v>45</v>
      </c>
      <c r="T77" s="253">
        <f t="shared" si="6"/>
        <v>45</v>
      </c>
      <c r="U77" s="457" t="str">
        <f t="shared" si="1"/>
        <v xml:space="preserve"> </v>
      </c>
    </row>
    <row r="78" spans="1:21" ht="20.100000000000001" hidden="1" customHeight="1" x14ac:dyDescent="0.25">
      <c r="A78" s="470" t="str">
        <f t="shared" si="2"/>
        <v/>
      </c>
      <c r="B78" s="456">
        <f>IF(LEFT(C78,16)="Terima Pajak PPN",VLOOKUP(P78,COPY!$A$1:$AC$1000,21,FALSE),IF(LEFT(C78,16)="Terima Pajak PPH",VLOOKUP(P78,COPY!$A$1:$AC$1000,21,FALSE),IF(LEFT(C78,13)="Terima PPh 23",VLOOKUP(P78,COPY!$A$1:$AC$1000,21,FALSE),0)))</f>
        <v>0</v>
      </c>
      <c r="C78" s="457">
        <f>IFERROR(IF(LEFT(VLOOKUP(P78,COPY!$A$1:$AC$1000,29,FALSE),5)="Terim",VLOOKUP(P78,COPY!$A$1:$AC$1000,29,FALSE),0),0)</f>
        <v>0</v>
      </c>
      <c r="D78" s="457"/>
      <c r="E78" s="457"/>
      <c r="F78" s="458">
        <f>IFERROR(IF(LEFT(VLOOKUP(P78,COPY!$A$1:$AC$1000,29,FALSE),5)="Terim",VLOOKUP(P78,COPY!$A$1:$AC$1000,26,FALSE),0),0)</f>
        <v>0</v>
      </c>
      <c r="G78" s="459">
        <f>IFERROR(VLOOKUP(P78,COPY!$A$1:$L$1000,4,FALSE),0)</f>
        <v>0</v>
      </c>
      <c r="H78" s="457">
        <f>IFERROR(VLOOKUP(P78,COPY!$A$1:$L$1000,2,FALSE),0)</f>
        <v>0</v>
      </c>
      <c r="I78" s="510">
        <f>IFERROR(VLOOKUP(P78,COPY!$A$1:$L$1000,10,FALSE),0)</f>
        <v>0</v>
      </c>
      <c r="J78" s="467">
        <f>IFERROR(VLOOKUP(P78,COPY!$A$1:$L$1000,8,FALSE),0)</f>
        <v>0</v>
      </c>
      <c r="K78" s="457">
        <f>IFERROR(VLOOKUP(P78,COPY!$A$1:$L$1000,7,FALSE),0)</f>
        <v>0</v>
      </c>
      <c r="L78" s="468">
        <f>IFERROR(VLOOKUP(P78,COPY!$A$1:$O$1000,15,FALSE),0)</f>
        <v>0</v>
      </c>
      <c r="M78" s="468">
        <f>IFERROR(VLOOKUP(P78,COPY!$A$1:$L$1000,12,FALSE),0)</f>
        <v>0</v>
      </c>
      <c r="N78" s="471">
        <f>IF(H78="Jasa",VLOOKUP('BKU 4'!K78,'Rekap Gaji'!$D$12:$I$26,6,FALSE),(IF(H78="Beli",VLOOKUP(P78,COPY!$A$1:$L$1000,11,FALSE),IF(H78="Bayar Ongkos",VLOOKUP(K78,'Rekap Gaji'!$D$12:$I$26,6,FALSE),0))))</f>
        <v>0</v>
      </c>
      <c r="O78" s="470"/>
      <c r="P78" s="466" t="str">
        <f t="shared" si="0"/>
        <v/>
      </c>
      <c r="Q78" s="253">
        <f t="shared" si="3"/>
        <v>0</v>
      </c>
      <c r="R78" s="253">
        <f t="shared" si="4"/>
        <v>0</v>
      </c>
      <c r="S78" s="449">
        <f t="shared" si="5"/>
        <v>46</v>
      </c>
      <c r="T78" s="253">
        <f t="shared" si="6"/>
        <v>46</v>
      </c>
      <c r="U78" s="457" t="str">
        <f t="shared" si="1"/>
        <v xml:space="preserve"> </v>
      </c>
    </row>
    <row r="79" spans="1:21" ht="20.100000000000001" hidden="1" customHeight="1" x14ac:dyDescent="0.25">
      <c r="A79" s="470" t="str">
        <f t="shared" si="2"/>
        <v/>
      </c>
      <c r="B79" s="456">
        <f>IF(LEFT(C79,16)="Terima Pajak PPN",VLOOKUP(P79,COPY!$A$1:$AC$1000,21,FALSE),IF(LEFT(C79,16)="Terima Pajak PPH",VLOOKUP(P79,COPY!$A$1:$AC$1000,21,FALSE),IF(LEFT(C79,13)="Terima PPh 23",VLOOKUP(P79,COPY!$A$1:$AC$1000,21,FALSE),0)))</f>
        <v>0</v>
      </c>
      <c r="C79" s="457">
        <f>IFERROR(IF(LEFT(VLOOKUP(P79,COPY!$A$1:$AC$1000,29,FALSE),5)="Terim",VLOOKUP(P79,COPY!$A$1:$AC$1000,29,FALSE),0),0)</f>
        <v>0</v>
      </c>
      <c r="D79" s="457"/>
      <c r="E79" s="457"/>
      <c r="F79" s="458">
        <f>IFERROR(IF(LEFT(VLOOKUP(P79,COPY!$A$1:$AC$1000,29,FALSE),5)="Terim",VLOOKUP(P79,COPY!$A$1:$AC$1000,26,FALSE),0),0)</f>
        <v>0</v>
      </c>
      <c r="G79" s="459">
        <f>IFERROR(VLOOKUP(P79,COPY!$A$1:$L$1000,4,FALSE),0)</f>
        <v>0</v>
      </c>
      <c r="H79" s="457">
        <f>IFERROR(VLOOKUP(P79,COPY!$A$1:$L$1000,2,FALSE),0)</f>
        <v>0</v>
      </c>
      <c r="I79" s="510">
        <f>IFERROR(VLOOKUP(P79,COPY!$A$1:$L$1000,10,FALSE),0)</f>
        <v>0</v>
      </c>
      <c r="J79" s="467">
        <f>IFERROR(VLOOKUP(P79,COPY!$A$1:$L$1000,8,FALSE),0)</f>
        <v>0</v>
      </c>
      <c r="K79" s="457">
        <f>IFERROR(VLOOKUP(P79,COPY!$A$1:$L$1000,7,FALSE),0)</f>
        <v>0</v>
      </c>
      <c r="L79" s="468">
        <f>IFERROR(VLOOKUP(P79,COPY!$A$1:$O$1000,15,FALSE),0)</f>
        <v>0</v>
      </c>
      <c r="M79" s="468">
        <f>IFERROR(VLOOKUP(P79,COPY!$A$1:$L$1000,12,FALSE),0)</f>
        <v>0</v>
      </c>
      <c r="N79" s="471">
        <f>IF(H79="Jasa",VLOOKUP('BKU 4'!K79,'Rekap Gaji'!$D$12:$I$26,6,FALSE),(IF(H79="Beli",VLOOKUP(P79,COPY!$A$1:$L$1000,11,FALSE),IF(H79="Bayar Ongkos",VLOOKUP(K79,'Rekap Gaji'!$D$12:$I$26,6,FALSE),0))))</f>
        <v>0</v>
      </c>
      <c r="P79" s="466" t="str">
        <f t="shared" si="0"/>
        <v/>
      </c>
      <c r="Q79" s="253">
        <f t="shared" si="3"/>
        <v>0</v>
      </c>
      <c r="R79" s="253">
        <f t="shared" si="4"/>
        <v>0</v>
      </c>
      <c r="S79" s="449">
        <f t="shared" si="5"/>
        <v>47</v>
      </c>
      <c r="T79" s="253">
        <f t="shared" si="6"/>
        <v>47</v>
      </c>
      <c r="U79" s="457" t="str">
        <f t="shared" si="1"/>
        <v xml:space="preserve"> </v>
      </c>
    </row>
    <row r="80" spans="1:21" ht="20.100000000000001" hidden="1" customHeight="1" x14ac:dyDescent="0.25">
      <c r="A80" s="470" t="str">
        <f t="shared" si="2"/>
        <v/>
      </c>
      <c r="B80" s="456">
        <f>IF(LEFT(C80,16)="Terima Pajak PPN",VLOOKUP(P80,COPY!$A$1:$AC$1000,21,FALSE),IF(LEFT(C80,16)="Terima Pajak PPH",VLOOKUP(P80,COPY!$A$1:$AC$1000,21,FALSE),IF(LEFT(C80,13)="Terima PPh 23",VLOOKUP(P80,COPY!$A$1:$AC$1000,21,FALSE),0)))</f>
        <v>0</v>
      </c>
      <c r="C80" s="457">
        <f>IFERROR(IF(LEFT(VLOOKUP(P80,COPY!$A$1:$AC$1000,29,FALSE),5)="Terim",VLOOKUP(P80,COPY!$A$1:$AC$1000,29,FALSE),0),0)</f>
        <v>0</v>
      </c>
      <c r="D80" s="457"/>
      <c r="E80" s="457"/>
      <c r="F80" s="458">
        <f>IFERROR(IF(LEFT(VLOOKUP(P80,COPY!$A$1:$AC$1000,29,FALSE),5)="Terim",VLOOKUP(P80,COPY!$A$1:$AC$1000,26,FALSE),0),0)</f>
        <v>0</v>
      </c>
      <c r="G80" s="459">
        <f>IFERROR(VLOOKUP(P80,COPY!$A$1:$L$1000,4,FALSE),0)</f>
        <v>0</v>
      </c>
      <c r="H80" s="457">
        <f>IFERROR(VLOOKUP(P80,COPY!$A$1:$L$1000,2,FALSE),0)</f>
        <v>0</v>
      </c>
      <c r="I80" s="510">
        <f>IFERROR(VLOOKUP(P80,COPY!$A$1:$L$1000,10,FALSE),0)</f>
        <v>0</v>
      </c>
      <c r="J80" s="467">
        <f>IFERROR(VLOOKUP(P80,COPY!$A$1:$L$1000,8,FALSE),0)</f>
        <v>0</v>
      </c>
      <c r="K80" s="457">
        <f>IFERROR(VLOOKUP(P80,COPY!$A$1:$L$1000,7,FALSE),0)</f>
        <v>0</v>
      </c>
      <c r="L80" s="468">
        <f>IFERROR(VLOOKUP(P80,COPY!$A$1:$O$1000,15,FALSE),0)</f>
        <v>0</v>
      </c>
      <c r="M80" s="468">
        <f>IFERROR(VLOOKUP(P80,COPY!$A$1:$L$1000,12,FALSE),0)</f>
        <v>0</v>
      </c>
      <c r="N80" s="471">
        <f>IF(H80="Jasa",VLOOKUP('BKU 4'!K80,'Rekap Gaji'!$D$12:$I$26,6,FALSE),(IF(H80="Beli",VLOOKUP(P80,COPY!$A$1:$L$1000,11,FALSE),IF(H80="Bayar Ongkos",VLOOKUP(K80,'Rekap Gaji'!$D$12:$I$26,6,FALSE),0))))</f>
        <v>0</v>
      </c>
      <c r="O80" s="470"/>
      <c r="P80" s="466" t="str">
        <f t="shared" si="0"/>
        <v/>
      </c>
      <c r="Q80" s="253">
        <f t="shared" si="3"/>
        <v>0</v>
      </c>
      <c r="R80" s="253">
        <f t="shared" si="4"/>
        <v>0</v>
      </c>
      <c r="S80" s="449">
        <f t="shared" si="5"/>
        <v>48</v>
      </c>
      <c r="T80" s="253">
        <f t="shared" si="6"/>
        <v>48</v>
      </c>
      <c r="U80" s="457" t="str">
        <f t="shared" si="1"/>
        <v xml:space="preserve"> </v>
      </c>
    </row>
    <row r="81" spans="1:21" ht="20.100000000000001" hidden="1" customHeight="1" x14ac:dyDescent="0.25">
      <c r="A81" s="470" t="str">
        <f t="shared" si="2"/>
        <v/>
      </c>
      <c r="B81" s="456">
        <f>IF(LEFT(C81,16)="Terima Pajak PPN",VLOOKUP(P81,COPY!$A$1:$AC$1000,21,FALSE),IF(LEFT(C81,16)="Terima Pajak PPH",VLOOKUP(P81,COPY!$A$1:$AC$1000,21,FALSE),IF(LEFT(C81,13)="Terima PPh 23",VLOOKUP(P81,COPY!$A$1:$AC$1000,21,FALSE),0)))</f>
        <v>0</v>
      </c>
      <c r="C81" s="457">
        <f>IFERROR(IF(LEFT(VLOOKUP(P81,COPY!$A$1:$AC$1000,29,FALSE),5)="Terim",VLOOKUP(P81,COPY!$A$1:$AC$1000,29,FALSE),0),0)</f>
        <v>0</v>
      </c>
      <c r="D81" s="457"/>
      <c r="E81" s="457"/>
      <c r="F81" s="458">
        <f>IFERROR(IF(LEFT(VLOOKUP(P81,COPY!$A$1:$AC$1000,29,FALSE),5)="Terim",VLOOKUP(P81,COPY!$A$1:$AC$1000,26,FALSE),0),0)</f>
        <v>0</v>
      </c>
      <c r="G81" s="459">
        <f>IFERROR(VLOOKUP(P81,COPY!$A$1:$L$1000,4,FALSE),0)</f>
        <v>0</v>
      </c>
      <c r="H81" s="457">
        <f>IFERROR(VLOOKUP(P81,COPY!$A$1:$L$1000,2,FALSE),0)</f>
        <v>0</v>
      </c>
      <c r="I81" s="510">
        <f>IFERROR(VLOOKUP(P81,COPY!$A$1:$L$1000,10,FALSE),0)</f>
        <v>0</v>
      </c>
      <c r="J81" s="467">
        <f>IFERROR(VLOOKUP(P81,COPY!$A$1:$L$1000,8,FALSE),0)</f>
        <v>0</v>
      </c>
      <c r="K81" s="457">
        <f>IFERROR(VLOOKUP(P81,COPY!$A$1:$L$1000,7,FALSE),0)</f>
        <v>0</v>
      </c>
      <c r="L81" s="468">
        <f>IFERROR(VLOOKUP(P81,COPY!$A$1:$O$1000,15,FALSE),0)</f>
        <v>0</v>
      </c>
      <c r="M81" s="468">
        <f>IFERROR(VLOOKUP(P81,COPY!$A$1:$L$1000,12,FALSE),0)</f>
        <v>0</v>
      </c>
      <c r="N81" s="471">
        <f>IF(H81="Jasa",VLOOKUP('BKU 4'!K81,'Rekap Gaji'!$D$12:$I$26,6,FALSE),(IF(H81="Beli",VLOOKUP(P81,COPY!$A$1:$L$1000,11,FALSE),IF(H81="Bayar Ongkos",VLOOKUP(K81,'Rekap Gaji'!$D$12:$I$26,6,FALSE),0))))</f>
        <v>0</v>
      </c>
      <c r="P81" s="466" t="str">
        <f t="shared" si="0"/>
        <v/>
      </c>
      <c r="Q81" s="253">
        <f t="shared" si="3"/>
        <v>0</v>
      </c>
      <c r="R81" s="253">
        <f t="shared" si="4"/>
        <v>0</v>
      </c>
      <c r="S81" s="449">
        <f t="shared" si="5"/>
        <v>49</v>
      </c>
      <c r="T81" s="253">
        <f t="shared" si="6"/>
        <v>49</v>
      </c>
      <c r="U81" s="457" t="str">
        <f t="shared" si="1"/>
        <v xml:space="preserve"> </v>
      </c>
    </row>
    <row r="82" spans="1:21" ht="20.100000000000001" hidden="1" customHeight="1" x14ac:dyDescent="0.25">
      <c r="A82" s="470" t="str">
        <f t="shared" si="2"/>
        <v/>
      </c>
      <c r="B82" s="456">
        <f>IF(LEFT(C82,16)="Terima Pajak PPN",VLOOKUP(P82,COPY!$A$1:$AC$1000,21,FALSE),IF(LEFT(C82,16)="Terima Pajak PPH",VLOOKUP(P82,COPY!$A$1:$AC$1000,21,FALSE),IF(LEFT(C82,13)="Terima PPh 23",VLOOKUP(P82,COPY!$A$1:$AC$1000,21,FALSE),0)))</f>
        <v>0</v>
      </c>
      <c r="C82" s="457">
        <f>IFERROR(IF(LEFT(VLOOKUP(P82,COPY!$A$1:$AC$1000,29,FALSE),5)="Terim",VLOOKUP(P82,COPY!$A$1:$AC$1000,29,FALSE),0),0)</f>
        <v>0</v>
      </c>
      <c r="D82" s="457"/>
      <c r="E82" s="457"/>
      <c r="F82" s="458">
        <f>IFERROR(IF(LEFT(VLOOKUP(P82,COPY!$A$1:$AC$1000,29,FALSE),5)="Terim",VLOOKUP(P82,COPY!$A$1:$AC$1000,26,FALSE),0),0)</f>
        <v>0</v>
      </c>
      <c r="G82" s="459">
        <f>IFERROR(VLOOKUP(P82,COPY!$A$1:$L$1000,4,FALSE),0)</f>
        <v>0</v>
      </c>
      <c r="H82" s="457">
        <f>IFERROR(VLOOKUP(P82,COPY!$A$1:$L$1000,2,FALSE),0)</f>
        <v>0</v>
      </c>
      <c r="I82" s="510">
        <f>IFERROR(VLOOKUP(P82,COPY!$A$1:$L$1000,10,FALSE),0)</f>
        <v>0</v>
      </c>
      <c r="J82" s="467">
        <f>IFERROR(VLOOKUP(P82,COPY!$A$1:$L$1000,8,FALSE),0)</f>
        <v>0</v>
      </c>
      <c r="K82" s="457">
        <f>IFERROR(VLOOKUP(P82,COPY!$A$1:$L$1000,7,FALSE),0)</f>
        <v>0</v>
      </c>
      <c r="L82" s="468">
        <f>IFERROR(VLOOKUP(P82,COPY!$A$1:$O$1000,15,FALSE),0)</f>
        <v>0</v>
      </c>
      <c r="M82" s="468">
        <f>IFERROR(VLOOKUP(P82,COPY!$A$1:$L$1000,12,FALSE),0)</f>
        <v>0</v>
      </c>
      <c r="N82" s="471">
        <f>IF(H82="Jasa",VLOOKUP('BKU 4'!K82,'Rekap Gaji'!$D$12:$I$26,6,FALSE),(IF(H82="Beli",VLOOKUP(P82,COPY!$A$1:$L$1000,11,FALSE),IF(H82="Bayar Ongkos",VLOOKUP(K82,'Rekap Gaji'!$D$12:$I$26,6,FALSE),0))))</f>
        <v>0</v>
      </c>
      <c r="O82" s="470"/>
      <c r="P82" s="466" t="str">
        <f t="shared" si="0"/>
        <v/>
      </c>
      <c r="Q82" s="253">
        <f t="shared" si="3"/>
        <v>0</v>
      </c>
      <c r="R82" s="253">
        <f t="shared" si="4"/>
        <v>0</v>
      </c>
      <c r="S82" s="449">
        <f t="shared" si="5"/>
        <v>50</v>
      </c>
      <c r="T82" s="253">
        <f t="shared" si="6"/>
        <v>50</v>
      </c>
      <c r="U82" s="457" t="str">
        <f t="shared" si="1"/>
        <v xml:space="preserve"> </v>
      </c>
    </row>
    <row r="83" spans="1:21" ht="20.100000000000001" hidden="1" customHeight="1" x14ac:dyDescent="0.25">
      <c r="A83" s="470" t="str">
        <f t="shared" si="2"/>
        <v/>
      </c>
      <c r="B83" s="456">
        <f>IF(LEFT(C83,16)="Terima Pajak PPN",VLOOKUP(P83,COPY!$A$1:$AC$1000,21,FALSE),IF(LEFT(C83,16)="Terima Pajak PPH",VLOOKUP(P83,COPY!$A$1:$AC$1000,21,FALSE),IF(LEFT(C83,13)="Terima PPh 23",VLOOKUP(P83,COPY!$A$1:$AC$1000,21,FALSE),0)))</f>
        <v>0</v>
      </c>
      <c r="C83" s="457">
        <f>IFERROR(IF(LEFT(VLOOKUP(P83,COPY!$A$1:$AC$1000,29,FALSE),5)="Terim",VLOOKUP(P83,COPY!$A$1:$AC$1000,29,FALSE),0),0)</f>
        <v>0</v>
      </c>
      <c r="D83" s="457"/>
      <c r="E83" s="457"/>
      <c r="F83" s="458">
        <f>IFERROR(IF(LEFT(VLOOKUP(P83,COPY!$A$1:$AC$1000,29,FALSE),5)="Terim",VLOOKUP(P83,COPY!$A$1:$AC$1000,26,FALSE),0),0)</f>
        <v>0</v>
      </c>
      <c r="G83" s="459">
        <f>IFERROR(VLOOKUP(P83,COPY!$A$1:$L$1000,4,FALSE),0)</f>
        <v>0</v>
      </c>
      <c r="H83" s="457">
        <f>IFERROR(VLOOKUP(P83,COPY!$A$1:$L$1000,2,FALSE),0)</f>
        <v>0</v>
      </c>
      <c r="I83" s="510">
        <f>IFERROR(VLOOKUP(P83,COPY!$A$1:$L$1000,10,FALSE),0)</f>
        <v>0</v>
      </c>
      <c r="J83" s="467">
        <f>IFERROR(VLOOKUP(P83,COPY!$A$1:$L$1000,8,FALSE),0)</f>
        <v>0</v>
      </c>
      <c r="K83" s="457">
        <f>IFERROR(VLOOKUP(P83,COPY!$A$1:$L$1000,7,FALSE),0)</f>
        <v>0</v>
      </c>
      <c r="L83" s="468">
        <f>IFERROR(VLOOKUP(P83,COPY!$A$1:$O$1000,15,FALSE),0)</f>
        <v>0</v>
      </c>
      <c r="M83" s="468">
        <f>IFERROR(VLOOKUP(P83,COPY!$A$1:$L$1000,12,FALSE),0)</f>
        <v>0</v>
      </c>
      <c r="N83" s="471">
        <f>IF(H83="Jasa",VLOOKUP('BKU 4'!K83,'Rekap Gaji'!$D$12:$I$26,6,FALSE),(IF(H83="Beli",VLOOKUP(P83,COPY!$A$1:$L$1000,11,FALSE),IF(H83="Bayar Ongkos",VLOOKUP(K83,'Rekap Gaji'!$D$12:$I$26,6,FALSE),0))))</f>
        <v>0</v>
      </c>
      <c r="O83" s="470"/>
      <c r="P83" s="466" t="str">
        <f t="shared" si="0"/>
        <v/>
      </c>
      <c r="Q83" s="253">
        <f t="shared" si="3"/>
        <v>0</v>
      </c>
      <c r="R83" s="253">
        <f t="shared" si="4"/>
        <v>0</v>
      </c>
      <c r="S83" s="449">
        <f t="shared" si="5"/>
        <v>51</v>
      </c>
      <c r="T83" s="253">
        <f t="shared" si="6"/>
        <v>51</v>
      </c>
      <c r="U83" s="457" t="str">
        <f t="shared" si="1"/>
        <v xml:space="preserve"> </v>
      </c>
    </row>
    <row r="84" spans="1:21" ht="20.100000000000001" hidden="1" customHeight="1" x14ac:dyDescent="0.25">
      <c r="A84" s="470" t="str">
        <f t="shared" si="2"/>
        <v/>
      </c>
      <c r="B84" s="456">
        <f>IF(LEFT(C84,16)="Terima Pajak PPN",VLOOKUP(P84,COPY!$A$1:$AC$1000,21,FALSE),IF(LEFT(C84,16)="Terima Pajak PPH",VLOOKUP(P84,COPY!$A$1:$AC$1000,21,FALSE),IF(LEFT(C84,13)="Terima PPh 23",VLOOKUP(P84,COPY!$A$1:$AC$1000,21,FALSE),0)))</f>
        <v>0</v>
      </c>
      <c r="C84" s="457">
        <f>IFERROR(IF(LEFT(VLOOKUP(P84,COPY!$A$1:$AC$1000,29,FALSE),5)="Terim",VLOOKUP(P84,COPY!$A$1:$AC$1000,29,FALSE),0),0)</f>
        <v>0</v>
      </c>
      <c r="D84" s="457"/>
      <c r="E84" s="457"/>
      <c r="F84" s="458">
        <f>IFERROR(IF(LEFT(VLOOKUP(P84,COPY!$A$1:$AC$1000,29,FALSE),5)="Terim",VLOOKUP(P84,COPY!$A$1:$AC$1000,26,FALSE),0),0)</f>
        <v>0</v>
      </c>
      <c r="G84" s="459">
        <f>IFERROR(VLOOKUP(P84,COPY!$A$1:$L$1000,4,FALSE),0)</f>
        <v>0</v>
      </c>
      <c r="H84" s="457">
        <f>IFERROR(VLOOKUP(P84,COPY!$A$1:$L$1000,2,FALSE),0)</f>
        <v>0</v>
      </c>
      <c r="I84" s="510">
        <f>IFERROR(VLOOKUP(P84,COPY!$A$1:$L$1000,10,FALSE),0)</f>
        <v>0</v>
      </c>
      <c r="J84" s="467">
        <f>IFERROR(VLOOKUP(P84,COPY!$A$1:$L$1000,8,FALSE),0)</f>
        <v>0</v>
      </c>
      <c r="K84" s="457">
        <f>IFERROR(VLOOKUP(P84,COPY!$A$1:$L$1000,7,FALSE),0)</f>
        <v>0</v>
      </c>
      <c r="L84" s="468">
        <f>IFERROR(VLOOKUP(P84,COPY!$A$1:$O$1000,15,FALSE),0)</f>
        <v>0</v>
      </c>
      <c r="M84" s="468">
        <f>IFERROR(VLOOKUP(P84,COPY!$A$1:$L$1000,12,FALSE),0)</f>
        <v>0</v>
      </c>
      <c r="N84" s="471">
        <f>IF(H84="Jasa",VLOOKUP('BKU 4'!K84,'Rekap Gaji'!$D$12:$I$26,6,FALSE),(IF(H84="Beli",VLOOKUP(P84,COPY!$A$1:$L$1000,11,FALSE),IF(H84="Bayar Ongkos",VLOOKUP(K84,'Rekap Gaji'!$D$12:$I$26,6,FALSE),0))))</f>
        <v>0</v>
      </c>
      <c r="P84" s="466" t="str">
        <f t="shared" si="0"/>
        <v/>
      </c>
      <c r="Q84" s="253">
        <f t="shared" si="3"/>
        <v>0</v>
      </c>
      <c r="R84" s="253">
        <f t="shared" si="4"/>
        <v>0</v>
      </c>
      <c r="S84" s="449">
        <f t="shared" si="5"/>
        <v>52</v>
      </c>
      <c r="T84" s="253">
        <f t="shared" si="6"/>
        <v>52</v>
      </c>
      <c r="U84" s="457" t="str">
        <f t="shared" si="1"/>
        <v xml:space="preserve"> </v>
      </c>
    </row>
    <row r="85" spans="1:21" ht="20.100000000000001" hidden="1" customHeight="1" x14ac:dyDescent="0.25">
      <c r="A85" s="470" t="str">
        <f t="shared" si="2"/>
        <v/>
      </c>
      <c r="B85" s="456">
        <f>IF(LEFT(C85,16)="Terima Pajak PPN",VLOOKUP(P85,COPY!$A$1:$AC$1000,21,FALSE),IF(LEFT(C85,16)="Terima Pajak PPH",VLOOKUP(P85,COPY!$A$1:$AC$1000,21,FALSE),IF(LEFT(C85,13)="Terima PPh 23",VLOOKUP(P85,COPY!$A$1:$AC$1000,21,FALSE),0)))</f>
        <v>0</v>
      </c>
      <c r="C85" s="457">
        <f>IFERROR(IF(LEFT(VLOOKUP(P85,COPY!$A$1:$AC$1000,29,FALSE),5)="Terim",VLOOKUP(P85,COPY!$A$1:$AC$1000,29,FALSE),0),0)</f>
        <v>0</v>
      </c>
      <c r="D85" s="457"/>
      <c r="E85" s="457"/>
      <c r="F85" s="458">
        <f>IFERROR(IF(LEFT(VLOOKUP(P85,COPY!$A$1:$AC$1000,29,FALSE),5)="Terim",VLOOKUP(P85,COPY!$A$1:$AC$1000,26,FALSE),0),0)</f>
        <v>0</v>
      </c>
      <c r="G85" s="459">
        <f>IFERROR(VLOOKUP(P85,COPY!$A$1:$L$1000,4,FALSE),0)</f>
        <v>0</v>
      </c>
      <c r="H85" s="457">
        <f>IFERROR(VLOOKUP(P85,COPY!$A$1:$L$1000,2,FALSE),0)</f>
        <v>0</v>
      </c>
      <c r="I85" s="510">
        <f>IFERROR(VLOOKUP(P85,COPY!$A$1:$L$1000,10,FALSE),0)</f>
        <v>0</v>
      </c>
      <c r="J85" s="467">
        <f>IFERROR(VLOOKUP(P85,COPY!$A$1:$L$1000,8,FALSE),0)</f>
        <v>0</v>
      </c>
      <c r="K85" s="457">
        <f>IFERROR(VLOOKUP(P85,COPY!$A$1:$L$1000,7,FALSE),0)</f>
        <v>0</v>
      </c>
      <c r="L85" s="468">
        <f>IFERROR(VLOOKUP(P85,COPY!$A$1:$O$1000,15,FALSE),0)</f>
        <v>0</v>
      </c>
      <c r="M85" s="468">
        <f>IFERROR(VLOOKUP(P85,COPY!$A$1:$L$1000,12,FALSE),0)</f>
        <v>0</v>
      </c>
      <c r="N85" s="471">
        <f>IF(H85="Jasa",VLOOKUP('BKU 4'!K85,'Rekap Gaji'!$D$12:$I$26,6,FALSE),(IF(H85="Beli",VLOOKUP(P85,COPY!$A$1:$L$1000,11,FALSE),IF(H85="Bayar Ongkos",VLOOKUP(K85,'Rekap Gaji'!$D$12:$I$26,6,FALSE),0))))</f>
        <v>0</v>
      </c>
      <c r="P85" s="466" t="str">
        <f t="shared" si="0"/>
        <v/>
      </c>
      <c r="Q85" s="253">
        <f t="shared" si="3"/>
        <v>0</v>
      </c>
      <c r="R85" s="253">
        <f t="shared" si="4"/>
        <v>0</v>
      </c>
      <c r="S85" s="449">
        <f t="shared" si="5"/>
        <v>53</v>
      </c>
      <c r="T85" s="253">
        <f t="shared" si="6"/>
        <v>53</v>
      </c>
      <c r="U85" s="457" t="str">
        <f t="shared" si="1"/>
        <v xml:space="preserve"> </v>
      </c>
    </row>
    <row r="86" spans="1:21" ht="20.100000000000001" hidden="1" customHeight="1" x14ac:dyDescent="0.25">
      <c r="A86" s="470" t="str">
        <f t="shared" si="2"/>
        <v/>
      </c>
      <c r="B86" s="456">
        <f>IF(LEFT(C86,16)="Terima Pajak PPN",VLOOKUP(P86,COPY!$A$1:$AC$1000,21,FALSE),IF(LEFT(C86,16)="Terima Pajak PPH",VLOOKUP(P86,COPY!$A$1:$AC$1000,21,FALSE),IF(LEFT(C86,13)="Terima PPh 23",VLOOKUP(P86,COPY!$A$1:$AC$1000,21,FALSE),0)))</f>
        <v>0</v>
      </c>
      <c r="C86" s="457">
        <f>IFERROR(IF(LEFT(VLOOKUP(P86,COPY!$A$1:$AC$1000,29,FALSE),5)="Terim",VLOOKUP(P86,COPY!$A$1:$AC$1000,29,FALSE),0),0)</f>
        <v>0</v>
      </c>
      <c r="D86" s="457"/>
      <c r="E86" s="457"/>
      <c r="F86" s="458">
        <f>IFERROR(IF(LEFT(VLOOKUP(P86,COPY!$A$1:$AC$1000,29,FALSE),5)="Terim",VLOOKUP(P86,COPY!$A$1:$AC$1000,26,FALSE),0),0)</f>
        <v>0</v>
      </c>
      <c r="G86" s="459">
        <f>IFERROR(VLOOKUP(P86,COPY!$A$1:$L$1000,4,FALSE),0)</f>
        <v>0</v>
      </c>
      <c r="H86" s="457">
        <f>IFERROR(VLOOKUP(P86,COPY!$A$1:$L$1000,2,FALSE),0)</f>
        <v>0</v>
      </c>
      <c r="I86" s="510">
        <f>IFERROR(VLOOKUP(P86,COPY!$A$1:$L$1000,10,FALSE),0)</f>
        <v>0</v>
      </c>
      <c r="J86" s="467">
        <f>IFERROR(VLOOKUP(P86,COPY!$A$1:$L$1000,8,FALSE),0)</f>
        <v>0</v>
      </c>
      <c r="K86" s="457">
        <f>IFERROR(VLOOKUP(P86,COPY!$A$1:$L$1000,7,FALSE),0)</f>
        <v>0</v>
      </c>
      <c r="L86" s="468">
        <f>IFERROR(VLOOKUP(P86,COPY!$A$1:$O$1000,15,FALSE),0)</f>
        <v>0</v>
      </c>
      <c r="M86" s="468">
        <f>IFERROR(VLOOKUP(P86,COPY!$A$1:$L$1000,12,FALSE),0)</f>
        <v>0</v>
      </c>
      <c r="N86" s="471">
        <f>IF(H86="Jasa",VLOOKUP('BKU 4'!K86,'Rekap Gaji'!$D$12:$I$26,6,FALSE),(IF(H86="Beli",VLOOKUP(P86,COPY!$A$1:$L$1000,11,FALSE),IF(H86="Bayar Ongkos",VLOOKUP(K86,'Rekap Gaji'!$D$12:$I$26,6,FALSE),0))))</f>
        <v>0</v>
      </c>
      <c r="P86" s="466" t="str">
        <f t="shared" si="0"/>
        <v/>
      </c>
      <c r="Q86" s="253">
        <f t="shared" si="3"/>
        <v>0</v>
      </c>
      <c r="R86" s="253">
        <f t="shared" si="4"/>
        <v>0</v>
      </c>
      <c r="S86" s="449">
        <f t="shared" si="5"/>
        <v>54</v>
      </c>
      <c r="T86" s="253">
        <f t="shared" si="6"/>
        <v>54</v>
      </c>
      <c r="U86" s="457" t="str">
        <f t="shared" si="1"/>
        <v xml:space="preserve"> </v>
      </c>
    </row>
    <row r="87" spans="1:21" ht="20.100000000000001" hidden="1" customHeight="1" x14ac:dyDescent="0.25">
      <c r="A87" s="470" t="str">
        <f t="shared" si="2"/>
        <v/>
      </c>
      <c r="B87" s="456">
        <f>IF(LEFT(C87,16)="Terima Pajak PPN",VLOOKUP(P87,COPY!$A$1:$AC$1000,21,FALSE),IF(LEFT(C87,16)="Terima Pajak PPH",VLOOKUP(P87,COPY!$A$1:$AC$1000,21,FALSE),IF(LEFT(C87,13)="Terima PPh 23",VLOOKUP(P87,COPY!$A$1:$AC$1000,21,FALSE),0)))</f>
        <v>0</v>
      </c>
      <c r="C87" s="457">
        <f>IFERROR(IF(LEFT(VLOOKUP(P87,COPY!$A$1:$AC$1000,29,FALSE),5)="Terim",VLOOKUP(P87,COPY!$A$1:$AC$1000,29,FALSE),0),0)</f>
        <v>0</v>
      </c>
      <c r="D87" s="457"/>
      <c r="E87" s="457"/>
      <c r="F87" s="458">
        <f>IFERROR(IF(LEFT(VLOOKUP(P87,COPY!$A$1:$AC$1000,29,FALSE),5)="Terim",VLOOKUP(P87,COPY!$A$1:$AC$1000,26,FALSE),0),0)</f>
        <v>0</v>
      </c>
      <c r="G87" s="459">
        <f>IFERROR(VLOOKUP(P87,COPY!$A$1:$L$1000,4,FALSE),0)</f>
        <v>0</v>
      </c>
      <c r="H87" s="457">
        <f>IFERROR(VLOOKUP(P87,COPY!$A$1:$L$1000,2,FALSE),0)</f>
        <v>0</v>
      </c>
      <c r="I87" s="510">
        <f>IFERROR(VLOOKUP(P87,COPY!$A$1:$L$1000,10,FALSE),0)</f>
        <v>0</v>
      </c>
      <c r="J87" s="467">
        <f>IFERROR(VLOOKUP(P87,COPY!$A$1:$L$1000,8,FALSE),0)</f>
        <v>0</v>
      </c>
      <c r="K87" s="457">
        <f>IFERROR(VLOOKUP(P87,COPY!$A$1:$L$1000,7,FALSE),0)</f>
        <v>0</v>
      </c>
      <c r="L87" s="468">
        <f>IFERROR(VLOOKUP(P87,COPY!$A$1:$O$1000,15,FALSE),0)</f>
        <v>0</v>
      </c>
      <c r="M87" s="468">
        <f>IFERROR(VLOOKUP(P87,COPY!$A$1:$L$1000,12,FALSE),0)</f>
        <v>0</v>
      </c>
      <c r="N87" s="471">
        <f>IF(H87="Jasa",VLOOKUP('BKU 4'!K87,'Rekap Gaji'!$D$12:$I$26,6,FALSE),(IF(H87="Beli",VLOOKUP(P87,COPY!$A$1:$L$1000,11,FALSE),IF(H87="Bayar Ongkos",VLOOKUP(K87,'Rekap Gaji'!$D$12:$I$26,6,FALSE),0))))</f>
        <v>0</v>
      </c>
      <c r="O87" s="470"/>
      <c r="P87" s="466" t="str">
        <f t="shared" si="0"/>
        <v/>
      </c>
      <c r="Q87" s="253">
        <f t="shared" si="3"/>
        <v>0</v>
      </c>
      <c r="R87" s="253">
        <f t="shared" si="4"/>
        <v>0</v>
      </c>
      <c r="S87" s="449">
        <f t="shared" si="5"/>
        <v>55</v>
      </c>
      <c r="T87" s="253">
        <f t="shared" si="6"/>
        <v>55</v>
      </c>
      <c r="U87" s="457" t="str">
        <f t="shared" si="1"/>
        <v xml:space="preserve"> </v>
      </c>
    </row>
    <row r="88" spans="1:21" ht="20.100000000000001" hidden="1" customHeight="1" x14ac:dyDescent="0.25">
      <c r="A88" s="470" t="str">
        <f t="shared" si="2"/>
        <v/>
      </c>
      <c r="B88" s="456">
        <f>IF(LEFT(C88,16)="Terima Pajak PPN",VLOOKUP(P88,COPY!$A$1:$AC$1000,21,FALSE),IF(LEFT(C88,16)="Terima Pajak PPH",VLOOKUP(P88,COPY!$A$1:$AC$1000,21,FALSE),IF(LEFT(C88,13)="Terima PPh 23",VLOOKUP(P88,COPY!$A$1:$AC$1000,21,FALSE),0)))</f>
        <v>0</v>
      </c>
      <c r="C88" s="457">
        <f>IFERROR(IF(LEFT(VLOOKUP(P88,COPY!$A$1:$AC$1000,29,FALSE),5)="Terim",VLOOKUP(P88,COPY!$A$1:$AC$1000,29,FALSE),0),0)</f>
        <v>0</v>
      </c>
      <c r="D88" s="457"/>
      <c r="E88" s="457"/>
      <c r="F88" s="458">
        <f>IFERROR(IF(LEFT(VLOOKUP(P88,COPY!$A$1:$AC$1000,29,FALSE),5)="Terim",VLOOKUP(P88,COPY!$A$1:$AC$1000,26,FALSE),0),0)</f>
        <v>0</v>
      </c>
      <c r="G88" s="459">
        <f>IFERROR(VLOOKUP(P88,COPY!$A$1:$L$1000,4,FALSE),0)</f>
        <v>0</v>
      </c>
      <c r="H88" s="457">
        <f>IFERROR(VLOOKUP(P88,COPY!$A$1:$L$1000,2,FALSE),0)</f>
        <v>0</v>
      </c>
      <c r="I88" s="510">
        <f>IFERROR(VLOOKUP(P88,COPY!$A$1:$L$1000,10,FALSE),0)</f>
        <v>0</v>
      </c>
      <c r="J88" s="467">
        <f>IFERROR(VLOOKUP(P88,COPY!$A$1:$L$1000,8,FALSE),0)</f>
        <v>0</v>
      </c>
      <c r="K88" s="457">
        <f>IFERROR(VLOOKUP(P88,COPY!$A$1:$L$1000,7,FALSE),0)</f>
        <v>0</v>
      </c>
      <c r="L88" s="468">
        <f>IFERROR(VLOOKUP(P88,COPY!$A$1:$O$1000,15,FALSE),0)</f>
        <v>0</v>
      </c>
      <c r="M88" s="468">
        <f>IFERROR(VLOOKUP(P88,COPY!$A$1:$L$1000,12,FALSE),0)</f>
        <v>0</v>
      </c>
      <c r="N88" s="471">
        <f>IF(H88="Jasa",VLOOKUP('BKU 4'!K88,'Rekap Gaji'!$D$12:$I$26,6,FALSE),(IF(H88="Beli",VLOOKUP(P88,COPY!$A$1:$L$1000,11,FALSE),IF(H88="Bayar Ongkos",VLOOKUP(K88,'Rekap Gaji'!$D$12:$I$26,6,FALSE),0))))</f>
        <v>0</v>
      </c>
      <c r="P88" s="466" t="str">
        <f t="shared" si="0"/>
        <v/>
      </c>
      <c r="Q88" s="253">
        <f t="shared" si="3"/>
        <v>0</v>
      </c>
      <c r="R88" s="253">
        <f t="shared" si="4"/>
        <v>0</v>
      </c>
      <c r="S88" s="449">
        <f t="shared" si="5"/>
        <v>56</v>
      </c>
      <c r="T88" s="253">
        <f t="shared" si="6"/>
        <v>56</v>
      </c>
      <c r="U88" s="457" t="str">
        <f t="shared" si="1"/>
        <v xml:space="preserve"> </v>
      </c>
    </row>
    <row r="89" spans="1:21" ht="20.100000000000001" hidden="1" customHeight="1" x14ac:dyDescent="0.25">
      <c r="A89" s="470" t="str">
        <f t="shared" si="2"/>
        <v/>
      </c>
      <c r="B89" s="456">
        <f>IF(LEFT(C89,16)="Terima Pajak PPN",VLOOKUP(P89,COPY!$A$1:$AC$1000,21,FALSE),IF(LEFT(C89,16)="Terima Pajak PPH",VLOOKUP(P89,COPY!$A$1:$AC$1000,21,FALSE),IF(LEFT(C89,13)="Terima PPh 23",VLOOKUP(P89,COPY!$A$1:$AC$1000,21,FALSE),0)))</f>
        <v>0</v>
      </c>
      <c r="C89" s="457">
        <f>IFERROR(IF(LEFT(VLOOKUP(P89,COPY!$A$1:$AC$1000,29,FALSE),5)="Terim",VLOOKUP(P89,COPY!$A$1:$AC$1000,29,FALSE),0),0)</f>
        <v>0</v>
      </c>
      <c r="D89" s="457"/>
      <c r="E89" s="457"/>
      <c r="F89" s="458">
        <f>IFERROR(IF(LEFT(VLOOKUP(P89,COPY!$A$1:$AC$1000,29,FALSE),5)="Terim",VLOOKUP(P89,COPY!$A$1:$AC$1000,26,FALSE),0),0)</f>
        <v>0</v>
      </c>
      <c r="G89" s="459">
        <f>IFERROR(VLOOKUP(P89,COPY!$A$1:$L$1000,4,FALSE),0)</f>
        <v>0</v>
      </c>
      <c r="H89" s="457">
        <f>IFERROR(VLOOKUP(P89,COPY!$A$1:$L$1000,2,FALSE),0)</f>
        <v>0</v>
      </c>
      <c r="I89" s="510">
        <f>IFERROR(VLOOKUP(P89,COPY!$A$1:$L$1000,10,FALSE),0)</f>
        <v>0</v>
      </c>
      <c r="J89" s="467">
        <f>IFERROR(VLOOKUP(P89,COPY!$A$1:$L$1000,8,FALSE),0)</f>
        <v>0</v>
      </c>
      <c r="K89" s="457">
        <f>IFERROR(VLOOKUP(P89,COPY!$A$1:$L$1000,7,FALSE),0)</f>
        <v>0</v>
      </c>
      <c r="L89" s="468">
        <f>IFERROR(VLOOKUP(P89,COPY!$A$1:$O$1000,15,FALSE),0)</f>
        <v>0</v>
      </c>
      <c r="M89" s="468">
        <f>IFERROR(VLOOKUP(P89,COPY!$A$1:$L$1000,12,FALSE),0)</f>
        <v>0</v>
      </c>
      <c r="N89" s="471">
        <f>IF(H89="Jasa",VLOOKUP('BKU 4'!K89,'Rekap Gaji'!$D$12:$I$26,6,FALSE),(IF(H89="Beli",VLOOKUP(P89,COPY!$A$1:$L$1000,11,FALSE),IF(H89="Bayar Ongkos",VLOOKUP(K89,'Rekap Gaji'!$D$12:$I$26,6,FALSE),0))))</f>
        <v>0</v>
      </c>
      <c r="P89" s="466" t="str">
        <f t="shared" si="0"/>
        <v/>
      </c>
      <c r="Q89" s="253">
        <f t="shared" si="3"/>
        <v>0</v>
      </c>
      <c r="R89" s="253">
        <f t="shared" si="4"/>
        <v>0</v>
      </c>
      <c r="S89" s="449">
        <f t="shared" si="5"/>
        <v>57</v>
      </c>
      <c r="T89" s="253">
        <f t="shared" si="6"/>
        <v>57</v>
      </c>
      <c r="U89" s="457" t="str">
        <f t="shared" si="1"/>
        <v xml:space="preserve"> </v>
      </c>
    </row>
    <row r="90" spans="1:21" ht="20.100000000000001" hidden="1" customHeight="1" x14ac:dyDescent="0.25">
      <c r="A90" s="470" t="str">
        <f t="shared" si="2"/>
        <v/>
      </c>
      <c r="B90" s="456">
        <f>IF(LEFT(C90,16)="Terima Pajak PPN",VLOOKUP(P90,COPY!$A$1:$AC$1000,21,FALSE),IF(LEFT(C90,16)="Terima Pajak PPH",VLOOKUP(P90,COPY!$A$1:$AC$1000,21,FALSE),IF(LEFT(C90,13)="Terima PPh 23",VLOOKUP(P90,COPY!$A$1:$AC$1000,21,FALSE),0)))</f>
        <v>0</v>
      </c>
      <c r="C90" s="457">
        <f>IFERROR(IF(LEFT(VLOOKUP(P90,COPY!$A$1:$AC$1000,29,FALSE),5)="Terim",VLOOKUP(P90,COPY!$A$1:$AC$1000,29,FALSE),0),0)</f>
        <v>0</v>
      </c>
      <c r="D90" s="457"/>
      <c r="E90" s="457"/>
      <c r="F90" s="458">
        <f>IFERROR(IF(LEFT(VLOOKUP(P90,COPY!$A$1:$AC$1000,29,FALSE),5)="Terim",VLOOKUP(P90,COPY!$A$1:$AC$1000,26,FALSE),0),0)</f>
        <v>0</v>
      </c>
      <c r="G90" s="459">
        <f>IFERROR(VLOOKUP(P90,COPY!$A$1:$L$1000,4,FALSE),0)</f>
        <v>0</v>
      </c>
      <c r="H90" s="457">
        <f>IFERROR(VLOOKUP(P90,COPY!$A$1:$L$1000,2,FALSE),0)</f>
        <v>0</v>
      </c>
      <c r="I90" s="510">
        <f>IFERROR(VLOOKUP(P90,COPY!$A$1:$L$1000,10,FALSE),0)</f>
        <v>0</v>
      </c>
      <c r="J90" s="467">
        <f>IFERROR(VLOOKUP(P90,COPY!$A$1:$L$1000,8,FALSE),0)</f>
        <v>0</v>
      </c>
      <c r="K90" s="457">
        <f>IFERROR(VLOOKUP(P90,COPY!$A$1:$L$1000,7,FALSE),0)</f>
        <v>0</v>
      </c>
      <c r="L90" s="468">
        <f>IFERROR(VLOOKUP(P90,COPY!$A$1:$O$1000,15,FALSE),0)</f>
        <v>0</v>
      </c>
      <c r="M90" s="468">
        <f>IFERROR(VLOOKUP(P90,COPY!$A$1:$L$1000,12,FALSE),0)</f>
        <v>0</v>
      </c>
      <c r="N90" s="471">
        <f>IF(H90="Jasa",VLOOKUP('BKU 4'!K90,'Rekap Gaji'!$D$12:$I$26,6,FALSE),(IF(H90="Beli",VLOOKUP(P90,COPY!$A$1:$L$1000,11,FALSE),IF(H90="Bayar Ongkos",VLOOKUP(K90,'Rekap Gaji'!$D$12:$I$26,6,FALSE),0))))</f>
        <v>0</v>
      </c>
      <c r="P90" s="466" t="str">
        <f t="shared" si="0"/>
        <v/>
      </c>
      <c r="Q90" s="253">
        <f t="shared" si="3"/>
        <v>0</v>
      </c>
      <c r="R90" s="253">
        <f t="shared" si="4"/>
        <v>0</v>
      </c>
      <c r="S90" s="449">
        <f t="shared" si="5"/>
        <v>58</v>
      </c>
      <c r="T90" s="253">
        <f t="shared" si="6"/>
        <v>58</v>
      </c>
      <c r="U90" s="457" t="str">
        <f t="shared" si="1"/>
        <v xml:space="preserve"> </v>
      </c>
    </row>
    <row r="91" spans="1:21" ht="20.100000000000001" hidden="1" customHeight="1" x14ac:dyDescent="0.25">
      <c r="A91" s="470" t="str">
        <f t="shared" si="2"/>
        <v/>
      </c>
      <c r="B91" s="456">
        <f>IF(LEFT(C91,16)="Terima Pajak PPN",VLOOKUP(P91,COPY!$A$1:$AC$1000,21,FALSE),IF(LEFT(C91,16)="Terima Pajak PPH",VLOOKUP(P91,COPY!$A$1:$AC$1000,21,FALSE),IF(LEFT(C91,13)="Terima PPh 23",VLOOKUP(P91,COPY!$A$1:$AC$1000,21,FALSE),0)))</f>
        <v>0</v>
      </c>
      <c r="C91" s="457">
        <f>IFERROR(IF(LEFT(VLOOKUP(P91,COPY!$A$1:$AC$1000,29,FALSE),5)="Terim",VLOOKUP(P91,COPY!$A$1:$AC$1000,29,FALSE),0),0)</f>
        <v>0</v>
      </c>
      <c r="D91" s="457"/>
      <c r="E91" s="457"/>
      <c r="F91" s="458">
        <f>IFERROR(IF(LEFT(VLOOKUP(P91,COPY!$A$1:$AC$1000,29,FALSE),5)="Terim",VLOOKUP(P91,COPY!$A$1:$AC$1000,26,FALSE),0),0)</f>
        <v>0</v>
      </c>
      <c r="G91" s="459">
        <f>IFERROR(VLOOKUP(P91,COPY!$A$1:$L$1000,4,FALSE),0)</f>
        <v>0</v>
      </c>
      <c r="H91" s="457">
        <f>IFERROR(VLOOKUP(P91,COPY!$A$1:$L$1000,2,FALSE),0)</f>
        <v>0</v>
      </c>
      <c r="I91" s="510">
        <f>IFERROR(VLOOKUP(P91,COPY!$A$1:$L$1000,10,FALSE),0)</f>
        <v>0</v>
      </c>
      <c r="J91" s="467">
        <f>IFERROR(VLOOKUP(P91,COPY!$A$1:$L$1000,8,FALSE),0)</f>
        <v>0</v>
      </c>
      <c r="K91" s="457">
        <f>IFERROR(VLOOKUP(P91,COPY!$A$1:$L$1000,7,FALSE),0)</f>
        <v>0</v>
      </c>
      <c r="L91" s="468">
        <f>IFERROR(VLOOKUP(P91,COPY!$A$1:$O$1000,15,FALSE),0)</f>
        <v>0</v>
      </c>
      <c r="M91" s="468">
        <f>IFERROR(VLOOKUP(P91,COPY!$A$1:$L$1000,12,FALSE),0)</f>
        <v>0</v>
      </c>
      <c r="N91" s="471">
        <f>IF(H91="Jasa",VLOOKUP('BKU 4'!K91,'Rekap Gaji'!$D$12:$I$26,6,FALSE),(IF(H91="Beli",VLOOKUP(P91,COPY!$A$1:$L$1000,11,FALSE),IF(H91="Bayar Ongkos",VLOOKUP(K91,'Rekap Gaji'!$D$12:$I$26,6,FALSE),0))))</f>
        <v>0</v>
      </c>
      <c r="P91" s="466" t="str">
        <f t="shared" si="0"/>
        <v/>
      </c>
      <c r="Q91" s="253">
        <f t="shared" si="3"/>
        <v>0</v>
      </c>
      <c r="R91" s="253">
        <f t="shared" si="4"/>
        <v>0</v>
      </c>
      <c r="S91" s="449">
        <f t="shared" si="5"/>
        <v>59</v>
      </c>
      <c r="T91" s="253">
        <f t="shared" si="6"/>
        <v>59</v>
      </c>
      <c r="U91" s="457" t="str">
        <f t="shared" si="1"/>
        <v xml:space="preserve"> </v>
      </c>
    </row>
    <row r="92" spans="1:21" ht="20.100000000000001" hidden="1" customHeight="1" x14ac:dyDescent="0.25">
      <c r="A92" s="470" t="str">
        <f t="shared" si="2"/>
        <v/>
      </c>
      <c r="B92" s="456">
        <f>IF(LEFT(C92,16)="Terima Pajak PPN",VLOOKUP(P92,COPY!$A$1:$AC$1000,21,FALSE),IF(LEFT(C92,16)="Terima Pajak PPH",VLOOKUP(P92,COPY!$A$1:$AC$1000,21,FALSE),IF(LEFT(C92,13)="Terima PPh 23",VLOOKUP(P92,COPY!$A$1:$AC$1000,21,FALSE),0)))</f>
        <v>0</v>
      </c>
      <c r="C92" s="457">
        <f>IFERROR(IF(LEFT(VLOOKUP(P92,COPY!$A$1:$AC$1000,29,FALSE),5)="Terim",VLOOKUP(P92,COPY!$A$1:$AC$1000,29,FALSE),0),0)</f>
        <v>0</v>
      </c>
      <c r="D92" s="457"/>
      <c r="E92" s="457"/>
      <c r="F92" s="458">
        <f>IFERROR(IF(LEFT(VLOOKUP(P92,COPY!$A$1:$AC$1000,29,FALSE),5)="Terim",VLOOKUP(P92,COPY!$A$1:$AC$1000,26,FALSE),0),0)</f>
        <v>0</v>
      </c>
      <c r="G92" s="459">
        <f>IFERROR(VLOOKUP(P92,COPY!$A$1:$L$1000,4,FALSE),0)</f>
        <v>0</v>
      </c>
      <c r="H92" s="457">
        <f>IFERROR(VLOOKUP(P92,COPY!$A$1:$L$1000,2,FALSE),0)</f>
        <v>0</v>
      </c>
      <c r="I92" s="510">
        <f>IFERROR(VLOOKUP(P92,COPY!$A$1:$L$1000,10,FALSE),0)</f>
        <v>0</v>
      </c>
      <c r="J92" s="467">
        <f>IFERROR(VLOOKUP(P92,COPY!$A$1:$L$1000,8,FALSE),0)</f>
        <v>0</v>
      </c>
      <c r="K92" s="457">
        <f>IFERROR(VLOOKUP(P92,COPY!$A$1:$L$1000,7,FALSE),0)</f>
        <v>0</v>
      </c>
      <c r="L92" s="468">
        <f>IFERROR(VLOOKUP(P92,COPY!$A$1:$O$1000,15,FALSE),0)</f>
        <v>0</v>
      </c>
      <c r="M92" s="468">
        <f>IFERROR(VLOOKUP(P92,COPY!$A$1:$L$1000,12,FALSE),0)</f>
        <v>0</v>
      </c>
      <c r="N92" s="471">
        <f>IF(H92="Jasa",VLOOKUP('BKU 4'!K92,'Rekap Gaji'!$D$12:$I$26,6,FALSE),(IF(H92="Beli",VLOOKUP(P92,COPY!$A$1:$L$1000,11,FALSE),IF(H92="Bayar Ongkos",VLOOKUP(K92,'Rekap Gaji'!$D$12:$I$26,6,FALSE),0))))</f>
        <v>0</v>
      </c>
      <c r="O92" s="470"/>
      <c r="P92" s="466" t="str">
        <f t="shared" si="0"/>
        <v/>
      </c>
      <c r="Q92" s="253">
        <f t="shared" si="3"/>
        <v>0</v>
      </c>
      <c r="R92" s="253">
        <f t="shared" si="4"/>
        <v>0</v>
      </c>
      <c r="S92" s="449">
        <f t="shared" si="5"/>
        <v>60</v>
      </c>
      <c r="T92" s="253">
        <f t="shared" si="6"/>
        <v>60</v>
      </c>
      <c r="U92" s="457" t="str">
        <f t="shared" si="1"/>
        <v xml:space="preserve"> </v>
      </c>
    </row>
    <row r="93" spans="1:21" ht="20.100000000000001" hidden="1" customHeight="1" x14ac:dyDescent="0.25">
      <c r="A93" s="470" t="str">
        <f t="shared" si="2"/>
        <v/>
      </c>
      <c r="B93" s="456">
        <f>IF(LEFT(C93,16)="Terima Pajak PPN",VLOOKUP(P93,COPY!$A$1:$AC$1000,21,FALSE),IF(LEFT(C93,16)="Terima Pajak PPH",VLOOKUP(P93,COPY!$A$1:$AC$1000,21,FALSE),IF(LEFT(C93,13)="Terima PPh 23",VLOOKUP(P93,COPY!$A$1:$AC$1000,21,FALSE),0)))</f>
        <v>0</v>
      </c>
      <c r="C93" s="457">
        <f>IFERROR(IF(LEFT(VLOOKUP(P93,COPY!$A$1:$AC$1000,29,FALSE),5)="Terim",VLOOKUP(P93,COPY!$A$1:$AC$1000,29,FALSE),0),0)</f>
        <v>0</v>
      </c>
      <c r="D93" s="457"/>
      <c r="E93" s="457"/>
      <c r="F93" s="458">
        <f>IFERROR(IF(LEFT(VLOOKUP(P93,COPY!$A$1:$AC$1000,29,FALSE),5)="Terim",VLOOKUP(P93,COPY!$A$1:$AC$1000,26,FALSE),0),0)</f>
        <v>0</v>
      </c>
      <c r="G93" s="459">
        <f>IFERROR(VLOOKUP(P93,COPY!$A$1:$L$1000,4,FALSE),0)</f>
        <v>0</v>
      </c>
      <c r="H93" s="457">
        <f>IFERROR(VLOOKUP(P93,COPY!$A$1:$L$1000,2,FALSE),0)</f>
        <v>0</v>
      </c>
      <c r="I93" s="510">
        <f>IFERROR(VLOOKUP(P93,COPY!$A$1:$L$1000,10,FALSE),0)</f>
        <v>0</v>
      </c>
      <c r="J93" s="467">
        <f>IFERROR(VLOOKUP(P93,COPY!$A$1:$L$1000,8,FALSE),0)</f>
        <v>0</v>
      </c>
      <c r="K93" s="457">
        <f>IFERROR(VLOOKUP(P93,COPY!$A$1:$L$1000,7,FALSE),0)</f>
        <v>0</v>
      </c>
      <c r="L93" s="468">
        <f>IFERROR(VLOOKUP(P93,COPY!$A$1:$O$1000,15,FALSE),0)</f>
        <v>0</v>
      </c>
      <c r="M93" s="468">
        <f>IFERROR(VLOOKUP(P93,COPY!$A$1:$L$1000,12,FALSE),0)</f>
        <v>0</v>
      </c>
      <c r="N93" s="471">
        <f>IF(H93="Jasa",VLOOKUP('BKU 4'!K93,'Rekap Gaji'!$D$12:$I$26,6,FALSE),(IF(H93="Beli",VLOOKUP(P93,COPY!$A$1:$L$1000,11,FALSE),IF(H93="Bayar Ongkos",VLOOKUP(K93,'Rekap Gaji'!$D$12:$I$26,6,FALSE),0))))</f>
        <v>0</v>
      </c>
      <c r="O93" s="470"/>
      <c r="P93" s="466" t="str">
        <f t="shared" si="0"/>
        <v/>
      </c>
      <c r="Q93" s="253">
        <f t="shared" si="3"/>
        <v>0</v>
      </c>
      <c r="R93" s="253">
        <f t="shared" si="4"/>
        <v>0</v>
      </c>
      <c r="S93" s="449">
        <f t="shared" si="5"/>
        <v>61</v>
      </c>
      <c r="T93" s="253">
        <f t="shared" si="6"/>
        <v>61</v>
      </c>
      <c r="U93" s="457" t="str">
        <f t="shared" si="1"/>
        <v xml:space="preserve"> </v>
      </c>
    </row>
    <row r="94" spans="1:21" ht="20.100000000000001" hidden="1" customHeight="1" x14ac:dyDescent="0.25">
      <c r="A94" s="470" t="str">
        <f t="shared" si="2"/>
        <v/>
      </c>
      <c r="B94" s="456">
        <f>IF(LEFT(C94,16)="Terima Pajak PPN",VLOOKUP(P94,COPY!$A$1:$AC$1000,21,FALSE),IF(LEFT(C94,16)="Terima Pajak PPH",VLOOKUP(P94,COPY!$A$1:$AC$1000,21,FALSE),IF(LEFT(C94,13)="Terima PPh 23",VLOOKUP(P94,COPY!$A$1:$AC$1000,21,FALSE),0)))</f>
        <v>0</v>
      </c>
      <c r="C94" s="457">
        <f>IFERROR(IF(LEFT(VLOOKUP(P94,COPY!$A$1:$AC$1000,29,FALSE),5)="Terim",VLOOKUP(P94,COPY!$A$1:$AC$1000,29,FALSE),0),0)</f>
        <v>0</v>
      </c>
      <c r="D94" s="457"/>
      <c r="E94" s="457"/>
      <c r="F94" s="458">
        <f>IFERROR(IF(LEFT(VLOOKUP(P94,COPY!$A$1:$AC$1000,29,FALSE),5)="Terim",VLOOKUP(P94,COPY!$A$1:$AC$1000,26,FALSE),0),0)</f>
        <v>0</v>
      </c>
      <c r="G94" s="459">
        <f>IFERROR(VLOOKUP(P94,COPY!$A$1:$L$1000,4,FALSE),0)</f>
        <v>0</v>
      </c>
      <c r="H94" s="457">
        <f>IFERROR(VLOOKUP(P94,COPY!$A$1:$L$1000,2,FALSE),0)</f>
        <v>0</v>
      </c>
      <c r="I94" s="510">
        <f>IFERROR(VLOOKUP(P94,COPY!$A$1:$L$1000,10,FALSE),0)</f>
        <v>0</v>
      </c>
      <c r="J94" s="467">
        <f>IFERROR(VLOOKUP(P94,COPY!$A$1:$L$1000,8,FALSE),0)</f>
        <v>0</v>
      </c>
      <c r="K94" s="457">
        <f>IFERROR(VLOOKUP(P94,COPY!$A$1:$L$1000,7,FALSE),0)</f>
        <v>0</v>
      </c>
      <c r="L94" s="468">
        <f>IFERROR(VLOOKUP(P94,COPY!$A$1:$O$1000,15,FALSE),0)</f>
        <v>0</v>
      </c>
      <c r="M94" s="468">
        <f>IFERROR(VLOOKUP(P94,COPY!$A$1:$L$1000,12,FALSE),0)</f>
        <v>0</v>
      </c>
      <c r="N94" s="471">
        <f>IF(H94="Jasa",VLOOKUP('BKU 4'!K94,'Rekap Gaji'!$D$12:$I$26,6,FALSE),(IF(H94="Beli",VLOOKUP(P94,COPY!$A$1:$L$1000,11,FALSE),IF(H94="Bayar Ongkos",VLOOKUP(K94,'Rekap Gaji'!$D$12:$I$26,6,FALSE),0))))</f>
        <v>0</v>
      </c>
      <c r="O94" s="470"/>
      <c r="P94" s="466" t="str">
        <f t="shared" si="0"/>
        <v/>
      </c>
      <c r="Q94" s="253">
        <f t="shared" si="3"/>
        <v>0</v>
      </c>
      <c r="R94" s="253">
        <f t="shared" si="4"/>
        <v>0</v>
      </c>
      <c r="S94" s="449">
        <f t="shared" si="5"/>
        <v>62</v>
      </c>
      <c r="T94" s="253">
        <f t="shared" si="6"/>
        <v>62</v>
      </c>
      <c r="U94" s="457" t="str">
        <f t="shared" si="1"/>
        <v xml:space="preserve"> </v>
      </c>
    </row>
    <row r="95" spans="1:21" ht="20.100000000000001" hidden="1" customHeight="1" x14ac:dyDescent="0.25">
      <c r="A95" s="470" t="str">
        <f t="shared" si="2"/>
        <v/>
      </c>
      <c r="B95" s="456">
        <f>IF(LEFT(C95,16)="Terima Pajak PPN",VLOOKUP(P95,COPY!$A$1:$AC$1000,21,FALSE),IF(LEFT(C95,16)="Terima Pajak PPH",VLOOKUP(P95,COPY!$A$1:$AC$1000,21,FALSE),IF(LEFT(C95,13)="Terima PPh 23",VLOOKUP(P95,COPY!$A$1:$AC$1000,21,FALSE),0)))</f>
        <v>0</v>
      </c>
      <c r="C95" s="457">
        <f>IFERROR(IF(LEFT(VLOOKUP(P95,COPY!$A$1:$AC$1000,29,FALSE),5)="Terim",VLOOKUP(P95,COPY!$A$1:$AC$1000,29,FALSE),0),0)</f>
        <v>0</v>
      </c>
      <c r="D95" s="457"/>
      <c r="E95" s="457"/>
      <c r="F95" s="458">
        <f>IFERROR(IF(LEFT(VLOOKUP(P95,COPY!$A$1:$AC$1000,29,FALSE),5)="Terim",VLOOKUP(P95,COPY!$A$1:$AC$1000,26,FALSE),0),0)</f>
        <v>0</v>
      </c>
      <c r="G95" s="459">
        <f>IFERROR(VLOOKUP(P95,COPY!$A$1:$L$1000,4,FALSE),0)</f>
        <v>0</v>
      </c>
      <c r="H95" s="457">
        <f>IFERROR(VLOOKUP(P95,COPY!$A$1:$L$1000,2,FALSE),0)</f>
        <v>0</v>
      </c>
      <c r="I95" s="510">
        <f>IFERROR(VLOOKUP(P95,COPY!$A$1:$L$1000,10,FALSE),0)</f>
        <v>0</v>
      </c>
      <c r="J95" s="467">
        <f>IFERROR(VLOOKUP(P95,COPY!$A$1:$L$1000,8,FALSE),0)</f>
        <v>0</v>
      </c>
      <c r="K95" s="457">
        <f>IFERROR(VLOOKUP(P95,COPY!$A$1:$L$1000,7,FALSE),0)</f>
        <v>0</v>
      </c>
      <c r="L95" s="468">
        <f>IFERROR(VLOOKUP(P95,COPY!$A$1:$O$1000,15,FALSE),0)</f>
        <v>0</v>
      </c>
      <c r="M95" s="468">
        <f>IFERROR(VLOOKUP(P95,COPY!$A$1:$L$1000,12,FALSE),0)</f>
        <v>0</v>
      </c>
      <c r="N95" s="471">
        <f>IF(H95="Jasa",VLOOKUP('BKU 4'!K95,'Rekap Gaji'!$D$12:$I$26,6,FALSE),(IF(H95="Beli",VLOOKUP(P95,COPY!$A$1:$L$1000,11,FALSE),IF(H95="Bayar Ongkos",VLOOKUP(K95,'Rekap Gaji'!$D$12:$I$26,6,FALSE),0))))</f>
        <v>0</v>
      </c>
      <c r="O95" s="470"/>
      <c r="P95" s="466" t="str">
        <f t="shared" si="0"/>
        <v/>
      </c>
      <c r="Q95" s="253">
        <f t="shared" si="3"/>
        <v>0</v>
      </c>
      <c r="R95" s="253">
        <f t="shared" si="4"/>
        <v>0</v>
      </c>
      <c r="S95" s="449">
        <f t="shared" si="5"/>
        <v>63</v>
      </c>
      <c r="T95" s="253">
        <f t="shared" si="6"/>
        <v>63</v>
      </c>
      <c r="U95" s="457" t="str">
        <f t="shared" si="1"/>
        <v xml:space="preserve"> </v>
      </c>
    </row>
    <row r="96" spans="1:21" ht="20.100000000000001" hidden="1" customHeight="1" x14ac:dyDescent="0.25">
      <c r="A96" s="470" t="str">
        <f t="shared" si="2"/>
        <v/>
      </c>
      <c r="B96" s="456">
        <f>IF(LEFT(C96,16)="Terima Pajak PPN",VLOOKUP(P96,COPY!$A$1:$AC$1000,21,FALSE),IF(LEFT(C96,16)="Terima Pajak PPH",VLOOKUP(P96,COPY!$A$1:$AC$1000,21,FALSE),IF(LEFT(C96,13)="Terima PPh 23",VLOOKUP(P96,COPY!$A$1:$AC$1000,21,FALSE),0)))</f>
        <v>0</v>
      </c>
      <c r="C96" s="457">
        <f>IFERROR(IF(LEFT(VLOOKUP(P96,COPY!$A$1:$AC$1000,29,FALSE),5)="Terim",VLOOKUP(P96,COPY!$A$1:$AC$1000,29,FALSE),0),0)</f>
        <v>0</v>
      </c>
      <c r="D96" s="457"/>
      <c r="E96" s="457"/>
      <c r="F96" s="458">
        <f>IFERROR(IF(LEFT(VLOOKUP(P96,COPY!$A$1:$AC$1000,29,FALSE),5)="Terim",VLOOKUP(P96,COPY!$A$1:$AC$1000,26,FALSE),0),0)</f>
        <v>0</v>
      </c>
      <c r="G96" s="459">
        <f>IFERROR(VLOOKUP(P96,COPY!$A$1:$L$1000,4,FALSE),0)</f>
        <v>0</v>
      </c>
      <c r="H96" s="457">
        <f>IFERROR(VLOOKUP(P96,COPY!$A$1:$L$1000,2,FALSE),0)</f>
        <v>0</v>
      </c>
      <c r="I96" s="510">
        <f>IFERROR(VLOOKUP(P96,COPY!$A$1:$L$1000,10,FALSE),0)</f>
        <v>0</v>
      </c>
      <c r="J96" s="467">
        <f>IFERROR(VLOOKUP(P96,COPY!$A$1:$L$1000,8,FALSE),0)</f>
        <v>0</v>
      </c>
      <c r="K96" s="457">
        <f>IFERROR(VLOOKUP(P96,COPY!$A$1:$L$1000,7,FALSE),0)</f>
        <v>0</v>
      </c>
      <c r="L96" s="468">
        <f>IFERROR(VLOOKUP(P96,COPY!$A$1:$O$1000,15,FALSE),0)</f>
        <v>0</v>
      </c>
      <c r="M96" s="468">
        <f>IFERROR(VLOOKUP(P96,COPY!$A$1:$L$1000,12,FALSE),0)</f>
        <v>0</v>
      </c>
      <c r="N96" s="471">
        <f>IF(H96="Jasa",VLOOKUP('BKU 4'!K96,'Rekap Gaji'!$D$12:$I$26,6,FALSE),(IF(H96="Beli",VLOOKUP(P96,COPY!$A$1:$L$1000,11,FALSE),IF(H96="Bayar Ongkos",VLOOKUP(K96,'Rekap Gaji'!$D$12:$I$26,6,FALSE),0))))</f>
        <v>0</v>
      </c>
      <c r="O96" s="470"/>
      <c r="P96" s="466" t="str">
        <f t="shared" si="0"/>
        <v/>
      </c>
      <c r="Q96" s="253">
        <f t="shared" si="3"/>
        <v>0</v>
      </c>
      <c r="R96" s="253">
        <f t="shared" si="4"/>
        <v>0</v>
      </c>
      <c r="S96" s="449">
        <f t="shared" si="5"/>
        <v>64</v>
      </c>
      <c r="T96" s="253">
        <f t="shared" si="6"/>
        <v>64</v>
      </c>
      <c r="U96" s="457" t="str">
        <f t="shared" si="1"/>
        <v xml:space="preserve"> </v>
      </c>
    </row>
    <row r="97" spans="1:21" ht="20.100000000000001" hidden="1" customHeight="1" x14ac:dyDescent="0.25">
      <c r="A97" s="470" t="str">
        <f t="shared" si="2"/>
        <v/>
      </c>
      <c r="B97" s="456">
        <f>IF(LEFT(C97,16)="Terima Pajak PPN",VLOOKUP(P97,COPY!$A$1:$AC$1000,21,FALSE),IF(LEFT(C97,16)="Terima Pajak PPH",VLOOKUP(P97,COPY!$A$1:$AC$1000,21,FALSE),IF(LEFT(C97,13)="Terima PPh 23",VLOOKUP(P97,COPY!$A$1:$AC$1000,21,FALSE),0)))</f>
        <v>0</v>
      </c>
      <c r="C97" s="457">
        <f>IFERROR(IF(LEFT(VLOOKUP(P97,COPY!$A$1:$AC$1000,29,FALSE),5)="Terim",VLOOKUP(P97,COPY!$A$1:$AC$1000,29,FALSE),0),0)</f>
        <v>0</v>
      </c>
      <c r="D97" s="457"/>
      <c r="E97" s="457"/>
      <c r="F97" s="458">
        <f>IFERROR(IF(LEFT(VLOOKUP(P97,COPY!$A$1:$AC$1000,29,FALSE),5)="Terim",VLOOKUP(P97,COPY!$A$1:$AC$1000,26,FALSE),0),0)</f>
        <v>0</v>
      </c>
      <c r="G97" s="459">
        <f>IFERROR(VLOOKUP(P97,COPY!$A$1:$L$1000,4,FALSE),0)</f>
        <v>0</v>
      </c>
      <c r="H97" s="457">
        <f>IFERROR(VLOOKUP(P97,COPY!$A$1:$L$1000,2,FALSE),0)</f>
        <v>0</v>
      </c>
      <c r="I97" s="510">
        <f>IFERROR(VLOOKUP(P97,COPY!$A$1:$L$1000,10,FALSE),0)</f>
        <v>0</v>
      </c>
      <c r="J97" s="467">
        <f>IFERROR(VLOOKUP(P97,COPY!$A$1:$L$1000,8,FALSE),0)</f>
        <v>0</v>
      </c>
      <c r="K97" s="457">
        <f>IFERROR(VLOOKUP(P97,COPY!$A$1:$L$1000,7,FALSE),0)</f>
        <v>0</v>
      </c>
      <c r="L97" s="468">
        <f>IFERROR(VLOOKUP(P97,COPY!$A$1:$O$1000,15,FALSE),0)</f>
        <v>0</v>
      </c>
      <c r="M97" s="468">
        <f>IFERROR(VLOOKUP(P97,COPY!$A$1:$L$1000,12,FALSE),0)</f>
        <v>0</v>
      </c>
      <c r="N97" s="471">
        <f>IF(H97="Jasa",VLOOKUP('BKU 4'!K97,'Rekap Gaji'!$D$12:$I$26,6,FALSE),(IF(H97="Beli",VLOOKUP(P97,COPY!$A$1:$L$1000,11,FALSE),IF(H97="Bayar Ongkos",VLOOKUP(K97,'Rekap Gaji'!$D$12:$I$26,6,FALSE),0))))</f>
        <v>0</v>
      </c>
      <c r="O97" s="470"/>
      <c r="P97" s="466" t="str">
        <f t="shared" ref="P97:P160" si="7">IF(Q97&gt;0,$D$24&amp;"."&amp;Q97,"")</f>
        <v/>
      </c>
      <c r="Q97" s="253">
        <f t="shared" si="3"/>
        <v>0</v>
      </c>
      <c r="R97" s="253">
        <f t="shared" si="4"/>
        <v>0</v>
      </c>
      <c r="S97" s="449">
        <f t="shared" si="5"/>
        <v>65</v>
      </c>
      <c r="T97" s="253">
        <f t="shared" si="6"/>
        <v>65</v>
      </c>
      <c r="U97" s="457" t="str">
        <f t="shared" ref="U97:U160" si="8">IF(LEFT(C97,16)="terima Pajak PPN",1,IF(LEFT(C97,16)="terima Pajak PPH",2,IF(LEFT(C97,21)="Bayar Pajak Final PPH",3," ")))</f>
        <v xml:space="preserve"> </v>
      </c>
    </row>
    <row r="98" spans="1:21" ht="20.100000000000001" hidden="1" customHeight="1" x14ac:dyDescent="0.25">
      <c r="A98" s="470" t="str">
        <f t="shared" ref="A98:A161" si="9">P98</f>
        <v/>
      </c>
      <c r="B98" s="456">
        <f>IF(LEFT(C98,16)="Terima Pajak PPN",VLOOKUP(P98,COPY!$A$1:$AC$1000,21,FALSE),IF(LEFT(C98,16)="Terima Pajak PPH",VLOOKUP(P98,COPY!$A$1:$AC$1000,21,FALSE),IF(LEFT(C98,13)="Terima PPh 23",VLOOKUP(P98,COPY!$A$1:$AC$1000,21,FALSE),0)))</f>
        <v>0</v>
      </c>
      <c r="C98" s="457">
        <f>IFERROR(IF(LEFT(VLOOKUP(P98,COPY!$A$1:$AC$1000,29,FALSE),5)="Terim",VLOOKUP(P98,COPY!$A$1:$AC$1000,29,FALSE),0),0)</f>
        <v>0</v>
      </c>
      <c r="D98" s="457"/>
      <c r="E98" s="457"/>
      <c r="F98" s="458">
        <f>IFERROR(IF(LEFT(VLOOKUP(P98,COPY!$A$1:$AC$1000,29,FALSE),5)="Terim",VLOOKUP(P98,COPY!$A$1:$AC$1000,26,FALSE),0),0)</f>
        <v>0</v>
      </c>
      <c r="G98" s="459">
        <f>IFERROR(VLOOKUP(P98,COPY!$A$1:$L$1000,4,FALSE),0)</f>
        <v>0</v>
      </c>
      <c r="H98" s="457">
        <f>IFERROR(VLOOKUP(P98,COPY!$A$1:$L$1000,2,FALSE),0)</f>
        <v>0</v>
      </c>
      <c r="I98" s="510">
        <f>IFERROR(VLOOKUP(P98,COPY!$A$1:$L$1000,10,FALSE),0)</f>
        <v>0</v>
      </c>
      <c r="J98" s="467">
        <f>IFERROR(VLOOKUP(P98,COPY!$A$1:$L$1000,8,FALSE),0)</f>
        <v>0</v>
      </c>
      <c r="K98" s="457">
        <f>IFERROR(VLOOKUP(P98,COPY!$A$1:$L$1000,7,FALSE),0)</f>
        <v>0</v>
      </c>
      <c r="L98" s="468">
        <f>IFERROR(VLOOKUP(P98,COPY!$A$1:$O$1000,15,FALSE),0)</f>
        <v>0</v>
      </c>
      <c r="M98" s="468">
        <f>IFERROR(VLOOKUP(P98,COPY!$A$1:$L$1000,12,FALSE),0)</f>
        <v>0</v>
      </c>
      <c r="N98" s="471">
        <f>IF(H98="Jasa",VLOOKUP('BKU 4'!K98,'Rekap Gaji'!$D$12:$I$26,6,FALSE),(IF(H98="Beli",VLOOKUP(P98,COPY!$A$1:$L$1000,11,FALSE),IF(H98="Bayar Ongkos",VLOOKUP(K98,'Rekap Gaji'!$D$12:$I$26,6,FALSE),0))))</f>
        <v>0</v>
      </c>
      <c r="O98" s="470"/>
      <c r="P98" s="466" t="str">
        <f t="shared" si="7"/>
        <v/>
      </c>
      <c r="Q98" s="253">
        <f t="shared" si="3"/>
        <v>0</v>
      </c>
      <c r="R98" s="253">
        <f t="shared" si="4"/>
        <v>0</v>
      </c>
      <c r="S98" s="449">
        <f t="shared" si="5"/>
        <v>66</v>
      </c>
      <c r="T98" s="253">
        <f t="shared" si="6"/>
        <v>66</v>
      </c>
      <c r="U98" s="457" t="str">
        <f t="shared" si="8"/>
        <v xml:space="preserve"> </v>
      </c>
    </row>
    <row r="99" spans="1:21" ht="20.100000000000001" hidden="1" customHeight="1" x14ac:dyDescent="0.25">
      <c r="A99" s="470" t="str">
        <f t="shared" si="9"/>
        <v/>
      </c>
      <c r="B99" s="456">
        <f>IF(LEFT(C99,16)="Terima Pajak PPN",VLOOKUP(P99,COPY!$A$1:$AC$1000,21,FALSE),IF(LEFT(C99,16)="Terima Pajak PPH",VLOOKUP(P99,COPY!$A$1:$AC$1000,21,FALSE),IF(LEFT(C99,13)="Terima PPh 23",VLOOKUP(P99,COPY!$A$1:$AC$1000,21,FALSE),0)))</f>
        <v>0</v>
      </c>
      <c r="C99" s="457">
        <f>IFERROR(IF(LEFT(VLOOKUP(P99,COPY!$A$1:$AC$1000,29,FALSE),5)="Terim",VLOOKUP(P99,COPY!$A$1:$AC$1000,29,FALSE),0),0)</f>
        <v>0</v>
      </c>
      <c r="D99" s="457"/>
      <c r="E99" s="457"/>
      <c r="F99" s="458">
        <f>IFERROR(IF(LEFT(VLOOKUP(P99,COPY!$A$1:$AC$1000,29,FALSE),5)="Terim",VLOOKUP(P99,COPY!$A$1:$AC$1000,26,FALSE),0),0)</f>
        <v>0</v>
      </c>
      <c r="G99" s="459">
        <f>IFERROR(VLOOKUP(P99,COPY!$A$1:$L$1000,4,FALSE),0)</f>
        <v>0</v>
      </c>
      <c r="H99" s="457">
        <f>IFERROR(VLOOKUP(P99,COPY!$A$1:$L$1000,2,FALSE),0)</f>
        <v>0</v>
      </c>
      <c r="I99" s="510">
        <f>IFERROR(VLOOKUP(P99,COPY!$A$1:$L$1000,10,FALSE),0)</f>
        <v>0</v>
      </c>
      <c r="J99" s="467">
        <f>IFERROR(VLOOKUP(P99,COPY!$A$1:$L$1000,8,FALSE),0)</f>
        <v>0</v>
      </c>
      <c r="K99" s="457">
        <f>IFERROR(VLOOKUP(P99,COPY!$A$1:$L$1000,7,FALSE),0)</f>
        <v>0</v>
      </c>
      <c r="L99" s="468">
        <f>IFERROR(VLOOKUP(P99,COPY!$A$1:$O$1000,15,FALSE),0)</f>
        <v>0</v>
      </c>
      <c r="M99" s="468">
        <f>IFERROR(VLOOKUP(P99,COPY!$A$1:$L$1000,12,FALSE),0)</f>
        <v>0</v>
      </c>
      <c r="N99" s="471">
        <f>IF(H99="Jasa",VLOOKUP('BKU 4'!K99,'Rekap Gaji'!$D$12:$I$26,6,FALSE),(IF(H99="Beli",VLOOKUP(P99,COPY!$A$1:$L$1000,11,FALSE),IF(H99="Bayar Ongkos",VLOOKUP(K99,'Rekap Gaji'!$D$12:$I$26,6,FALSE),0))))</f>
        <v>0</v>
      </c>
      <c r="O99" s="470"/>
      <c r="P99" s="466" t="str">
        <f t="shared" si="7"/>
        <v/>
      </c>
      <c r="Q99" s="253">
        <f t="shared" ref="Q99:Q162" si="10">IF(T99&lt;=0,T99+$S$30,0)</f>
        <v>0</v>
      </c>
      <c r="R99" s="253">
        <f t="shared" ref="R99:R162" si="11">IF(T99&lt;=0,S99,0)</f>
        <v>0</v>
      </c>
      <c r="S99" s="449">
        <f t="shared" ref="S99:S162" si="12">S98+1</f>
        <v>67</v>
      </c>
      <c r="T99" s="253">
        <f t="shared" ref="T99:T162" si="13">S99-$S$30</f>
        <v>67</v>
      </c>
      <c r="U99" s="457" t="str">
        <f t="shared" si="8"/>
        <v xml:space="preserve"> </v>
      </c>
    </row>
    <row r="100" spans="1:21" ht="20.100000000000001" hidden="1" customHeight="1" x14ac:dyDescent="0.25">
      <c r="A100" s="470" t="str">
        <f t="shared" si="9"/>
        <v/>
      </c>
      <c r="B100" s="456">
        <f>IF(LEFT(C100,16)="Terima Pajak PPN",VLOOKUP(P100,COPY!$A$1:$AC$1000,21,FALSE),IF(LEFT(C100,16)="Terima Pajak PPH",VLOOKUP(P100,COPY!$A$1:$AC$1000,21,FALSE),IF(LEFT(C100,13)="Terima PPh 23",VLOOKUP(P100,COPY!$A$1:$AC$1000,21,FALSE),0)))</f>
        <v>0</v>
      </c>
      <c r="C100" s="457">
        <f>IFERROR(IF(LEFT(VLOOKUP(P100,COPY!$A$1:$AC$1000,29,FALSE),5)="Terim",VLOOKUP(P100,COPY!$A$1:$AC$1000,29,FALSE),0),0)</f>
        <v>0</v>
      </c>
      <c r="D100" s="457"/>
      <c r="E100" s="457"/>
      <c r="F100" s="458">
        <f>IFERROR(IF(LEFT(VLOOKUP(P100,COPY!$A$1:$AC$1000,29,FALSE),5)="Terim",VLOOKUP(P100,COPY!$A$1:$AC$1000,26,FALSE),0),0)</f>
        <v>0</v>
      </c>
      <c r="G100" s="459">
        <f>IFERROR(VLOOKUP(P100,COPY!$A$1:$L$1000,4,FALSE),0)</f>
        <v>0</v>
      </c>
      <c r="H100" s="457">
        <f>IFERROR(VLOOKUP(P100,COPY!$A$1:$L$1000,2,FALSE),0)</f>
        <v>0</v>
      </c>
      <c r="I100" s="510">
        <f>IFERROR(VLOOKUP(P100,COPY!$A$1:$L$1000,10,FALSE),0)</f>
        <v>0</v>
      </c>
      <c r="J100" s="467">
        <f>IFERROR(VLOOKUP(P100,COPY!$A$1:$L$1000,8,FALSE),0)</f>
        <v>0</v>
      </c>
      <c r="K100" s="457">
        <f>IFERROR(VLOOKUP(P100,COPY!$A$1:$L$1000,7,FALSE),0)</f>
        <v>0</v>
      </c>
      <c r="L100" s="468">
        <f>IFERROR(VLOOKUP(P100,COPY!$A$1:$O$1000,15,FALSE),0)</f>
        <v>0</v>
      </c>
      <c r="M100" s="468">
        <f>IFERROR(VLOOKUP(P100,COPY!$A$1:$L$1000,12,FALSE),0)</f>
        <v>0</v>
      </c>
      <c r="N100" s="471">
        <f>IF(H100="Jasa",VLOOKUP('BKU 4'!K100,'Rekap Gaji'!$D$12:$I$26,6,FALSE),(IF(H100="Beli",VLOOKUP(P100,COPY!$A$1:$L$1000,11,FALSE),IF(H100="Bayar Ongkos",VLOOKUP(K100,'Rekap Gaji'!$D$12:$I$26,6,FALSE),0))))</f>
        <v>0</v>
      </c>
      <c r="O100" s="470"/>
      <c r="P100" s="466" t="str">
        <f t="shared" si="7"/>
        <v/>
      </c>
      <c r="Q100" s="253">
        <f t="shared" si="10"/>
        <v>0</v>
      </c>
      <c r="R100" s="253">
        <f t="shared" si="11"/>
        <v>0</v>
      </c>
      <c r="S100" s="449">
        <f t="shared" si="12"/>
        <v>68</v>
      </c>
      <c r="T100" s="253">
        <f t="shared" si="13"/>
        <v>68</v>
      </c>
      <c r="U100" s="457" t="str">
        <f t="shared" si="8"/>
        <v xml:space="preserve"> </v>
      </c>
    </row>
    <row r="101" spans="1:21" ht="20.100000000000001" hidden="1" customHeight="1" x14ac:dyDescent="0.25">
      <c r="A101" s="470" t="str">
        <f t="shared" si="9"/>
        <v/>
      </c>
      <c r="B101" s="456">
        <f>IF(LEFT(C101,16)="Terima Pajak PPN",VLOOKUP(P101,COPY!$A$1:$AC$1000,21,FALSE),IF(LEFT(C101,16)="Terima Pajak PPH",VLOOKUP(P101,COPY!$A$1:$AC$1000,21,FALSE),IF(LEFT(C101,13)="Terima PPh 23",VLOOKUP(P101,COPY!$A$1:$AC$1000,21,FALSE),0)))</f>
        <v>0</v>
      </c>
      <c r="C101" s="457">
        <f>IFERROR(IF(LEFT(VLOOKUP(P101,COPY!$A$1:$AC$1000,29,FALSE),5)="Terim",VLOOKUP(P101,COPY!$A$1:$AC$1000,29,FALSE),0),0)</f>
        <v>0</v>
      </c>
      <c r="D101" s="457"/>
      <c r="E101" s="457"/>
      <c r="F101" s="458">
        <f>IFERROR(IF(LEFT(VLOOKUP(P101,COPY!$A$1:$AC$1000,29,FALSE),5)="Terim",VLOOKUP(P101,COPY!$A$1:$AC$1000,26,FALSE),0),0)</f>
        <v>0</v>
      </c>
      <c r="G101" s="459">
        <f>IFERROR(VLOOKUP(P101,COPY!$A$1:$L$1000,4,FALSE),0)</f>
        <v>0</v>
      </c>
      <c r="H101" s="457">
        <f>IFERROR(VLOOKUP(P101,COPY!$A$1:$L$1000,2,FALSE),0)</f>
        <v>0</v>
      </c>
      <c r="I101" s="510">
        <f>IFERROR(VLOOKUP(P101,COPY!$A$1:$L$1000,10,FALSE),0)</f>
        <v>0</v>
      </c>
      <c r="J101" s="467">
        <f>IFERROR(VLOOKUP(P101,COPY!$A$1:$L$1000,8,FALSE),0)</f>
        <v>0</v>
      </c>
      <c r="K101" s="457">
        <f>IFERROR(VLOOKUP(P101,COPY!$A$1:$L$1000,7,FALSE),0)</f>
        <v>0</v>
      </c>
      <c r="L101" s="468">
        <f>IFERROR(VLOOKUP(P101,COPY!$A$1:$O$1000,15,FALSE),0)</f>
        <v>0</v>
      </c>
      <c r="M101" s="468">
        <f>IFERROR(VLOOKUP(P101,COPY!$A$1:$L$1000,12,FALSE),0)</f>
        <v>0</v>
      </c>
      <c r="N101" s="471">
        <f>IF(H101="Jasa",VLOOKUP('BKU 4'!K101,'Rekap Gaji'!$D$12:$I$26,6,FALSE),(IF(H101="Beli",VLOOKUP(P101,COPY!$A$1:$L$1000,11,FALSE),IF(H101="Bayar Ongkos",VLOOKUP(K101,'Rekap Gaji'!$D$12:$I$26,6,FALSE),0))))</f>
        <v>0</v>
      </c>
      <c r="O101" s="470"/>
      <c r="P101" s="466" t="str">
        <f t="shared" si="7"/>
        <v/>
      </c>
      <c r="Q101" s="253">
        <f t="shared" si="10"/>
        <v>0</v>
      </c>
      <c r="R101" s="253">
        <f t="shared" si="11"/>
        <v>0</v>
      </c>
      <c r="S101" s="449">
        <f t="shared" si="12"/>
        <v>69</v>
      </c>
      <c r="T101" s="253">
        <f t="shared" si="13"/>
        <v>69</v>
      </c>
      <c r="U101" s="457" t="str">
        <f t="shared" si="8"/>
        <v xml:space="preserve"> </v>
      </c>
    </row>
    <row r="102" spans="1:21" ht="20.100000000000001" hidden="1" customHeight="1" x14ac:dyDescent="0.25">
      <c r="A102" s="470" t="str">
        <f t="shared" si="9"/>
        <v/>
      </c>
      <c r="B102" s="456">
        <f>IF(LEFT(C102,16)="Terima Pajak PPN",VLOOKUP(P102,COPY!$A$1:$AC$1000,21,FALSE),IF(LEFT(C102,16)="Terima Pajak PPH",VLOOKUP(P102,COPY!$A$1:$AC$1000,21,FALSE),IF(LEFT(C102,13)="Terima PPh 23",VLOOKUP(P102,COPY!$A$1:$AC$1000,21,FALSE),0)))</f>
        <v>0</v>
      </c>
      <c r="C102" s="457">
        <f>IFERROR(IF(LEFT(VLOOKUP(P102,COPY!$A$1:$AC$1000,29,FALSE),5)="Terim",VLOOKUP(P102,COPY!$A$1:$AC$1000,29,FALSE),0),0)</f>
        <v>0</v>
      </c>
      <c r="D102" s="457"/>
      <c r="E102" s="457"/>
      <c r="F102" s="458">
        <f>IFERROR(IF(LEFT(VLOOKUP(P102,COPY!$A$1:$AC$1000,29,FALSE),5)="Terim",VLOOKUP(P102,COPY!$A$1:$AC$1000,26,FALSE),0),0)</f>
        <v>0</v>
      </c>
      <c r="G102" s="459">
        <f>IFERROR(VLOOKUP(P102,COPY!$A$1:$L$1000,4,FALSE),0)</f>
        <v>0</v>
      </c>
      <c r="H102" s="457">
        <f>IFERROR(VLOOKUP(P102,COPY!$A$1:$L$1000,2,FALSE),0)</f>
        <v>0</v>
      </c>
      <c r="I102" s="510">
        <f>IFERROR(VLOOKUP(P102,COPY!$A$1:$L$1000,10,FALSE),0)</f>
        <v>0</v>
      </c>
      <c r="J102" s="467">
        <f>IFERROR(VLOOKUP(P102,COPY!$A$1:$L$1000,8,FALSE),0)</f>
        <v>0</v>
      </c>
      <c r="K102" s="457">
        <f>IFERROR(VLOOKUP(P102,COPY!$A$1:$L$1000,7,FALSE),0)</f>
        <v>0</v>
      </c>
      <c r="L102" s="468">
        <f>IFERROR(VLOOKUP(P102,COPY!$A$1:$O$1000,15,FALSE),0)</f>
        <v>0</v>
      </c>
      <c r="M102" s="468">
        <f>IFERROR(VLOOKUP(P102,COPY!$A$1:$L$1000,12,FALSE),0)</f>
        <v>0</v>
      </c>
      <c r="N102" s="471">
        <f>IF(H102="Jasa",VLOOKUP('BKU 4'!K102,'Rekap Gaji'!$D$12:$I$26,6,FALSE),(IF(H102="Beli",VLOOKUP(P102,COPY!$A$1:$L$1000,11,FALSE),IF(H102="Bayar Ongkos",VLOOKUP(K102,'Rekap Gaji'!$D$12:$I$26,6,FALSE),0))))</f>
        <v>0</v>
      </c>
      <c r="O102" s="470"/>
      <c r="P102" s="466" t="str">
        <f t="shared" si="7"/>
        <v/>
      </c>
      <c r="Q102" s="253">
        <f t="shared" si="10"/>
        <v>0</v>
      </c>
      <c r="R102" s="253">
        <f t="shared" si="11"/>
        <v>0</v>
      </c>
      <c r="S102" s="449">
        <f t="shared" si="12"/>
        <v>70</v>
      </c>
      <c r="T102" s="253">
        <f t="shared" si="13"/>
        <v>70</v>
      </c>
      <c r="U102" s="457" t="str">
        <f t="shared" si="8"/>
        <v xml:space="preserve"> </v>
      </c>
    </row>
    <row r="103" spans="1:21" ht="20.100000000000001" hidden="1" customHeight="1" x14ac:dyDescent="0.25">
      <c r="A103" s="470" t="str">
        <f t="shared" si="9"/>
        <v/>
      </c>
      <c r="B103" s="456">
        <f>IF(LEFT(C103,16)="Terima Pajak PPN",VLOOKUP(P103,COPY!$A$1:$AC$1000,21,FALSE),IF(LEFT(C103,16)="Terima Pajak PPH",VLOOKUP(P103,COPY!$A$1:$AC$1000,21,FALSE),IF(LEFT(C103,13)="Terima PPh 23",VLOOKUP(P103,COPY!$A$1:$AC$1000,21,FALSE),0)))</f>
        <v>0</v>
      </c>
      <c r="C103" s="457">
        <f>IFERROR(IF(LEFT(VLOOKUP(P103,COPY!$A$1:$AC$1000,29,FALSE),5)="Terim",VLOOKUP(P103,COPY!$A$1:$AC$1000,29,FALSE),0),0)</f>
        <v>0</v>
      </c>
      <c r="D103" s="457"/>
      <c r="E103" s="457"/>
      <c r="F103" s="458">
        <f>IFERROR(IF(LEFT(VLOOKUP(P103,COPY!$A$1:$AC$1000,29,FALSE),5)="Terim",VLOOKUP(P103,COPY!$A$1:$AC$1000,26,FALSE),0),0)</f>
        <v>0</v>
      </c>
      <c r="G103" s="459">
        <f>IFERROR(VLOOKUP(P103,COPY!$A$1:$L$1000,4,FALSE),0)</f>
        <v>0</v>
      </c>
      <c r="H103" s="457">
        <f>IFERROR(VLOOKUP(P103,COPY!$A$1:$L$1000,2,FALSE),0)</f>
        <v>0</v>
      </c>
      <c r="I103" s="510">
        <f>IFERROR(VLOOKUP(P103,COPY!$A$1:$L$1000,10,FALSE),0)</f>
        <v>0</v>
      </c>
      <c r="J103" s="467">
        <f>IFERROR(VLOOKUP(P103,COPY!$A$1:$L$1000,8,FALSE),0)</f>
        <v>0</v>
      </c>
      <c r="K103" s="457">
        <f>IFERROR(VLOOKUP(P103,COPY!$A$1:$L$1000,7,FALSE),0)</f>
        <v>0</v>
      </c>
      <c r="L103" s="468">
        <f>IFERROR(VLOOKUP(P103,COPY!$A$1:$O$1000,15,FALSE),0)</f>
        <v>0</v>
      </c>
      <c r="M103" s="468">
        <f>IFERROR(VLOOKUP(P103,COPY!$A$1:$L$1000,12,FALSE),0)</f>
        <v>0</v>
      </c>
      <c r="N103" s="471">
        <f>IF(H103="Jasa",VLOOKUP('BKU 4'!K103,'Rekap Gaji'!$D$12:$I$26,6,FALSE),(IF(H103="Beli",VLOOKUP(P103,COPY!$A$1:$L$1000,11,FALSE),IF(H103="Bayar Ongkos",VLOOKUP(K103,'Rekap Gaji'!$D$12:$I$26,6,FALSE),0))))</f>
        <v>0</v>
      </c>
      <c r="O103" s="470"/>
      <c r="P103" s="466" t="str">
        <f t="shared" si="7"/>
        <v/>
      </c>
      <c r="Q103" s="253">
        <f t="shared" si="10"/>
        <v>0</v>
      </c>
      <c r="R103" s="253">
        <f t="shared" si="11"/>
        <v>0</v>
      </c>
      <c r="S103" s="449">
        <f t="shared" si="12"/>
        <v>71</v>
      </c>
      <c r="T103" s="253">
        <f t="shared" si="13"/>
        <v>71</v>
      </c>
      <c r="U103" s="457" t="str">
        <f t="shared" si="8"/>
        <v xml:space="preserve"> </v>
      </c>
    </row>
    <row r="104" spans="1:21" ht="20.100000000000001" hidden="1" customHeight="1" x14ac:dyDescent="0.25">
      <c r="A104" s="470" t="str">
        <f t="shared" si="9"/>
        <v/>
      </c>
      <c r="B104" s="456">
        <f>IF(LEFT(C104,16)="Terima Pajak PPN",VLOOKUP(P104,COPY!$A$1:$AC$1000,21,FALSE),IF(LEFT(C104,16)="Terima Pajak PPH",VLOOKUP(P104,COPY!$A$1:$AC$1000,21,FALSE),IF(LEFT(C104,13)="Terima PPh 23",VLOOKUP(P104,COPY!$A$1:$AC$1000,21,FALSE),0)))</f>
        <v>0</v>
      </c>
      <c r="C104" s="457">
        <f>IFERROR(IF(LEFT(VLOOKUP(P104,COPY!$A$1:$AC$1000,29,FALSE),5)="Terim",VLOOKUP(P104,COPY!$A$1:$AC$1000,29,FALSE),0),0)</f>
        <v>0</v>
      </c>
      <c r="D104" s="457"/>
      <c r="E104" s="457"/>
      <c r="F104" s="458">
        <f>IFERROR(IF(LEFT(VLOOKUP(P104,COPY!$A$1:$AC$1000,29,FALSE),5)="Terim",VLOOKUP(P104,COPY!$A$1:$AC$1000,26,FALSE),0),0)</f>
        <v>0</v>
      </c>
      <c r="G104" s="459">
        <f>IFERROR(VLOOKUP(P104,COPY!$A$1:$L$1000,4,FALSE),0)</f>
        <v>0</v>
      </c>
      <c r="H104" s="457">
        <f>IFERROR(VLOOKUP(P104,COPY!$A$1:$L$1000,2,FALSE),0)</f>
        <v>0</v>
      </c>
      <c r="I104" s="510">
        <f>IFERROR(VLOOKUP(P104,COPY!$A$1:$L$1000,10,FALSE),0)</f>
        <v>0</v>
      </c>
      <c r="J104" s="467">
        <f>IFERROR(VLOOKUP(P104,COPY!$A$1:$L$1000,8,FALSE),0)</f>
        <v>0</v>
      </c>
      <c r="K104" s="457">
        <f>IFERROR(VLOOKUP(P104,COPY!$A$1:$L$1000,7,FALSE),0)</f>
        <v>0</v>
      </c>
      <c r="L104" s="468">
        <f>IFERROR(VLOOKUP(P104,COPY!$A$1:$O$1000,15,FALSE),0)</f>
        <v>0</v>
      </c>
      <c r="M104" s="468">
        <f>IFERROR(VLOOKUP(P104,COPY!$A$1:$L$1000,12,FALSE),0)</f>
        <v>0</v>
      </c>
      <c r="N104" s="471">
        <f>IF(H104="Jasa",VLOOKUP('BKU 4'!K104,'Rekap Gaji'!$D$12:$I$26,6,FALSE),(IF(H104="Beli",VLOOKUP(P104,COPY!$A$1:$L$1000,11,FALSE),IF(H104="Bayar Ongkos",VLOOKUP(K104,'Rekap Gaji'!$D$12:$I$26,6,FALSE),0))))</f>
        <v>0</v>
      </c>
      <c r="O104" s="470"/>
      <c r="P104" s="466" t="str">
        <f t="shared" si="7"/>
        <v/>
      </c>
      <c r="Q104" s="253">
        <f t="shared" si="10"/>
        <v>0</v>
      </c>
      <c r="R104" s="253">
        <f t="shared" si="11"/>
        <v>0</v>
      </c>
      <c r="S104" s="449">
        <f t="shared" si="12"/>
        <v>72</v>
      </c>
      <c r="T104" s="253">
        <f t="shared" si="13"/>
        <v>72</v>
      </c>
      <c r="U104" s="457" t="str">
        <f t="shared" si="8"/>
        <v xml:space="preserve"> </v>
      </c>
    </row>
    <row r="105" spans="1:21" ht="20.100000000000001" hidden="1" customHeight="1" x14ac:dyDescent="0.25">
      <c r="A105" s="470" t="str">
        <f t="shared" si="9"/>
        <v/>
      </c>
      <c r="B105" s="456">
        <f>IF(LEFT(C105,16)="Terima Pajak PPN",VLOOKUP(P105,COPY!$A$1:$AC$1000,21,FALSE),IF(LEFT(C105,16)="Terima Pajak PPH",VLOOKUP(P105,COPY!$A$1:$AC$1000,21,FALSE),IF(LEFT(C105,13)="Terima PPh 23",VLOOKUP(P105,COPY!$A$1:$AC$1000,21,FALSE),0)))</f>
        <v>0</v>
      </c>
      <c r="C105" s="457">
        <f>IFERROR(IF(LEFT(VLOOKUP(P105,COPY!$A$1:$AC$1000,29,FALSE),5)="Terim",VLOOKUP(P105,COPY!$A$1:$AC$1000,29,FALSE),0),0)</f>
        <v>0</v>
      </c>
      <c r="D105" s="457"/>
      <c r="E105" s="457"/>
      <c r="F105" s="458">
        <f>IFERROR(IF(LEFT(VLOOKUP(P105,COPY!$A$1:$AC$1000,29,FALSE),5)="Terim",VLOOKUP(P105,COPY!$A$1:$AC$1000,26,FALSE),0),0)</f>
        <v>0</v>
      </c>
      <c r="G105" s="459">
        <f>IFERROR(VLOOKUP(P105,COPY!$A$1:$L$1000,4,FALSE),0)</f>
        <v>0</v>
      </c>
      <c r="H105" s="457">
        <f>IFERROR(VLOOKUP(P105,COPY!$A$1:$L$1000,2,FALSE),0)</f>
        <v>0</v>
      </c>
      <c r="I105" s="510">
        <f>IFERROR(VLOOKUP(P105,COPY!$A$1:$L$1000,10,FALSE),0)</f>
        <v>0</v>
      </c>
      <c r="J105" s="467">
        <f>IFERROR(VLOOKUP(P105,COPY!$A$1:$L$1000,8,FALSE),0)</f>
        <v>0</v>
      </c>
      <c r="K105" s="457">
        <f>IFERROR(VLOOKUP(P105,COPY!$A$1:$L$1000,7,FALSE),0)</f>
        <v>0</v>
      </c>
      <c r="L105" s="468">
        <f>IFERROR(VLOOKUP(P105,COPY!$A$1:$O$1000,15,FALSE),0)</f>
        <v>0</v>
      </c>
      <c r="M105" s="468">
        <f>IFERROR(VLOOKUP(P105,COPY!$A$1:$L$1000,12,FALSE),0)</f>
        <v>0</v>
      </c>
      <c r="N105" s="471">
        <f>IF(H105="Jasa",VLOOKUP('BKU 4'!K105,'Rekap Gaji'!$D$12:$I$26,6,FALSE),(IF(H105="Beli",VLOOKUP(P105,COPY!$A$1:$L$1000,11,FALSE),IF(H105="Bayar Ongkos",VLOOKUP(K105,'Rekap Gaji'!$D$12:$I$26,6,FALSE),0))))</f>
        <v>0</v>
      </c>
      <c r="O105" s="470"/>
      <c r="P105" s="466" t="str">
        <f t="shared" si="7"/>
        <v/>
      </c>
      <c r="Q105" s="253">
        <f t="shared" si="10"/>
        <v>0</v>
      </c>
      <c r="R105" s="253">
        <f t="shared" si="11"/>
        <v>0</v>
      </c>
      <c r="S105" s="449">
        <f t="shared" si="12"/>
        <v>73</v>
      </c>
      <c r="T105" s="253">
        <f t="shared" si="13"/>
        <v>73</v>
      </c>
      <c r="U105" s="457" t="str">
        <f t="shared" si="8"/>
        <v xml:space="preserve"> </v>
      </c>
    </row>
    <row r="106" spans="1:21" ht="20.100000000000001" hidden="1" customHeight="1" x14ac:dyDescent="0.25">
      <c r="A106" s="470" t="str">
        <f t="shared" si="9"/>
        <v/>
      </c>
      <c r="B106" s="456">
        <f>IF(LEFT(C106,16)="Terima Pajak PPN",VLOOKUP(P106,COPY!$A$1:$AC$1000,21,FALSE),IF(LEFT(C106,16)="Terima Pajak PPH",VLOOKUP(P106,COPY!$A$1:$AC$1000,21,FALSE),IF(LEFT(C106,13)="Terima PPh 23",VLOOKUP(P106,COPY!$A$1:$AC$1000,21,FALSE),0)))</f>
        <v>0</v>
      </c>
      <c r="C106" s="457">
        <f>IFERROR(IF(LEFT(VLOOKUP(P106,COPY!$A$1:$AC$1000,29,FALSE),5)="Terim",VLOOKUP(P106,COPY!$A$1:$AC$1000,29,FALSE),0),0)</f>
        <v>0</v>
      </c>
      <c r="D106" s="457"/>
      <c r="E106" s="457"/>
      <c r="F106" s="458">
        <f>IFERROR(IF(LEFT(VLOOKUP(P106,COPY!$A$1:$AC$1000,29,FALSE),5)="Terim",VLOOKUP(P106,COPY!$A$1:$AC$1000,26,FALSE),0),0)</f>
        <v>0</v>
      </c>
      <c r="G106" s="459">
        <f>IFERROR(VLOOKUP(P106,COPY!$A$1:$L$1000,4,FALSE),0)</f>
        <v>0</v>
      </c>
      <c r="H106" s="457">
        <f>IFERROR(VLOOKUP(P106,COPY!$A$1:$L$1000,2,FALSE),0)</f>
        <v>0</v>
      </c>
      <c r="I106" s="510">
        <f>IFERROR(VLOOKUP(P106,COPY!$A$1:$L$1000,10,FALSE),0)</f>
        <v>0</v>
      </c>
      <c r="J106" s="467">
        <f>IFERROR(VLOOKUP(P106,COPY!$A$1:$L$1000,8,FALSE),0)</f>
        <v>0</v>
      </c>
      <c r="K106" s="457">
        <f>IFERROR(VLOOKUP(P106,COPY!$A$1:$L$1000,7,FALSE),0)</f>
        <v>0</v>
      </c>
      <c r="L106" s="468">
        <f>IFERROR(VLOOKUP(P106,COPY!$A$1:$O$1000,15,FALSE),0)</f>
        <v>0</v>
      </c>
      <c r="M106" s="468">
        <f>IFERROR(VLOOKUP(P106,COPY!$A$1:$L$1000,12,FALSE),0)</f>
        <v>0</v>
      </c>
      <c r="N106" s="471">
        <f>IF(H106="Jasa",VLOOKUP('BKU 4'!K106,'Rekap Gaji'!$D$12:$I$26,6,FALSE),(IF(H106="Beli",VLOOKUP(P106,COPY!$A$1:$L$1000,11,FALSE),IF(H106="Bayar Ongkos",VLOOKUP(K106,'Rekap Gaji'!$D$12:$I$26,6,FALSE),0))))</f>
        <v>0</v>
      </c>
      <c r="O106" s="470"/>
      <c r="P106" s="466" t="str">
        <f t="shared" si="7"/>
        <v/>
      </c>
      <c r="Q106" s="253">
        <f t="shared" si="10"/>
        <v>0</v>
      </c>
      <c r="R106" s="253">
        <f t="shared" si="11"/>
        <v>0</v>
      </c>
      <c r="S106" s="449">
        <f t="shared" si="12"/>
        <v>74</v>
      </c>
      <c r="T106" s="253">
        <f t="shared" si="13"/>
        <v>74</v>
      </c>
      <c r="U106" s="457" t="str">
        <f t="shared" si="8"/>
        <v xml:space="preserve"> </v>
      </c>
    </row>
    <row r="107" spans="1:21" ht="20.100000000000001" hidden="1" customHeight="1" x14ac:dyDescent="0.25">
      <c r="A107" s="470" t="str">
        <f t="shared" si="9"/>
        <v/>
      </c>
      <c r="B107" s="456">
        <f>IF(LEFT(C107,16)="Terima Pajak PPN",VLOOKUP(P107,COPY!$A$1:$AC$1000,21,FALSE),IF(LEFT(C107,16)="Terima Pajak PPH",VLOOKUP(P107,COPY!$A$1:$AC$1000,21,FALSE),IF(LEFT(C107,13)="Terima PPh 23",VLOOKUP(P107,COPY!$A$1:$AC$1000,21,FALSE),0)))</f>
        <v>0</v>
      </c>
      <c r="C107" s="457">
        <f>IFERROR(IF(LEFT(VLOOKUP(P107,COPY!$A$1:$AC$1000,29,FALSE),5)="Terim",VLOOKUP(P107,COPY!$A$1:$AC$1000,29,FALSE),0),0)</f>
        <v>0</v>
      </c>
      <c r="D107" s="457"/>
      <c r="E107" s="457"/>
      <c r="F107" s="458">
        <f>IFERROR(IF(LEFT(VLOOKUP(P107,COPY!$A$1:$AC$1000,29,FALSE),5)="Terim",VLOOKUP(P107,COPY!$A$1:$AC$1000,26,FALSE),0),0)</f>
        <v>0</v>
      </c>
      <c r="G107" s="459">
        <f>IFERROR(VLOOKUP(P107,COPY!$A$1:$L$1000,4,FALSE),0)</f>
        <v>0</v>
      </c>
      <c r="H107" s="457">
        <f>IFERROR(VLOOKUP(P107,COPY!$A$1:$L$1000,2,FALSE),0)</f>
        <v>0</v>
      </c>
      <c r="I107" s="510">
        <f>IFERROR(VLOOKUP(P107,COPY!$A$1:$L$1000,10,FALSE),0)</f>
        <v>0</v>
      </c>
      <c r="J107" s="467">
        <f>IFERROR(VLOOKUP(P107,COPY!$A$1:$L$1000,8,FALSE),0)</f>
        <v>0</v>
      </c>
      <c r="K107" s="457">
        <f>IFERROR(VLOOKUP(P107,COPY!$A$1:$L$1000,7,FALSE),0)</f>
        <v>0</v>
      </c>
      <c r="L107" s="468">
        <f>IFERROR(VLOOKUP(P107,COPY!$A$1:$O$1000,15,FALSE),0)</f>
        <v>0</v>
      </c>
      <c r="M107" s="468">
        <f>IFERROR(VLOOKUP(P107,COPY!$A$1:$L$1000,12,FALSE),0)</f>
        <v>0</v>
      </c>
      <c r="N107" s="471">
        <f>IF(H107="Jasa",VLOOKUP('BKU 4'!K107,'Rekap Gaji'!$D$12:$I$26,6,FALSE),(IF(H107="Beli",VLOOKUP(P107,COPY!$A$1:$L$1000,11,FALSE),IF(H107="Bayar Ongkos",VLOOKUP(K107,'Rekap Gaji'!$D$12:$I$26,6,FALSE),0))))</f>
        <v>0</v>
      </c>
      <c r="O107" s="470"/>
      <c r="P107" s="466" t="str">
        <f t="shared" si="7"/>
        <v/>
      </c>
      <c r="Q107" s="253">
        <f t="shared" si="10"/>
        <v>0</v>
      </c>
      <c r="R107" s="253">
        <f t="shared" si="11"/>
        <v>0</v>
      </c>
      <c r="S107" s="449">
        <f t="shared" si="12"/>
        <v>75</v>
      </c>
      <c r="T107" s="253">
        <f t="shared" si="13"/>
        <v>75</v>
      </c>
      <c r="U107" s="457" t="str">
        <f t="shared" si="8"/>
        <v xml:space="preserve"> </v>
      </c>
    </row>
    <row r="108" spans="1:21" ht="20.100000000000001" hidden="1" customHeight="1" x14ac:dyDescent="0.25">
      <c r="A108" s="470" t="str">
        <f t="shared" si="9"/>
        <v/>
      </c>
      <c r="B108" s="456">
        <f>IF(LEFT(C108,16)="Terima Pajak PPN",VLOOKUP(P108,COPY!$A$1:$AC$1000,21,FALSE),IF(LEFT(C108,16)="Terima Pajak PPH",VLOOKUP(P108,COPY!$A$1:$AC$1000,21,FALSE),IF(LEFT(C108,13)="Terima PPh 23",VLOOKUP(P108,COPY!$A$1:$AC$1000,21,FALSE),0)))</f>
        <v>0</v>
      </c>
      <c r="C108" s="457">
        <f>IFERROR(IF(LEFT(VLOOKUP(P108,COPY!$A$1:$AC$1000,29,FALSE),5)="Terim",VLOOKUP(P108,COPY!$A$1:$AC$1000,29,FALSE),0),0)</f>
        <v>0</v>
      </c>
      <c r="D108" s="457"/>
      <c r="E108" s="457"/>
      <c r="F108" s="458">
        <f>IFERROR(IF(LEFT(VLOOKUP(P108,COPY!$A$1:$AC$1000,29,FALSE),5)="Terim",VLOOKUP(P108,COPY!$A$1:$AC$1000,26,FALSE),0),0)</f>
        <v>0</v>
      </c>
      <c r="G108" s="459">
        <f>IFERROR(VLOOKUP(P108,COPY!$A$1:$L$1000,4,FALSE),0)</f>
        <v>0</v>
      </c>
      <c r="H108" s="457">
        <f>IFERROR(VLOOKUP(P108,COPY!$A$1:$L$1000,2,FALSE),0)</f>
        <v>0</v>
      </c>
      <c r="I108" s="510">
        <f>IFERROR(VLOOKUP(P108,COPY!$A$1:$L$1000,10,FALSE),0)</f>
        <v>0</v>
      </c>
      <c r="J108" s="467">
        <f>IFERROR(VLOOKUP(P108,COPY!$A$1:$L$1000,8,FALSE),0)</f>
        <v>0</v>
      </c>
      <c r="K108" s="457">
        <f>IFERROR(VLOOKUP(P108,COPY!$A$1:$L$1000,7,FALSE),0)</f>
        <v>0</v>
      </c>
      <c r="L108" s="468">
        <f>IFERROR(VLOOKUP(P108,COPY!$A$1:$O$1000,15,FALSE),0)</f>
        <v>0</v>
      </c>
      <c r="M108" s="468">
        <f>IFERROR(VLOOKUP(P108,COPY!$A$1:$L$1000,12,FALSE),0)</f>
        <v>0</v>
      </c>
      <c r="N108" s="471">
        <f>IF(H108="Jasa",VLOOKUP('BKU 4'!K108,'Rekap Gaji'!$D$12:$I$26,6,FALSE),(IF(H108="Beli",VLOOKUP(P108,COPY!$A$1:$L$1000,11,FALSE),IF(H108="Bayar Ongkos",VLOOKUP(K108,'Rekap Gaji'!$D$12:$I$26,6,FALSE),0))))</f>
        <v>0</v>
      </c>
      <c r="O108" s="470"/>
      <c r="P108" s="466" t="str">
        <f t="shared" si="7"/>
        <v/>
      </c>
      <c r="Q108" s="253">
        <f t="shared" si="10"/>
        <v>0</v>
      </c>
      <c r="R108" s="253">
        <f t="shared" si="11"/>
        <v>0</v>
      </c>
      <c r="S108" s="449">
        <f t="shared" si="12"/>
        <v>76</v>
      </c>
      <c r="T108" s="253">
        <f t="shared" si="13"/>
        <v>76</v>
      </c>
      <c r="U108" s="457" t="str">
        <f t="shared" si="8"/>
        <v xml:space="preserve"> </v>
      </c>
    </row>
    <row r="109" spans="1:21" ht="20.100000000000001" hidden="1" customHeight="1" x14ac:dyDescent="0.25">
      <c r="A109" s="470" t="str">
        <f t="shared" si="9"/>
        <v/>
      </c>
      <c r="B109" s="456">
        <f>IF(LEFT(C109,16)="Terima Pajak PPN",VLOOKUP(P109,COPY!$A$1:$AC$1000,21,FALSE),IF(LEFT(C109,16)="Terima Pajak PPH",VLOOKUP(P109,COPY!$A$1:$AC$1000,21,FALSE),IF(LEFT(C109,13)="Terima PPh 23",VLOOKUP(P109,COPY!$A$1:$AC$1000,21,FALSE),0)))</f>
        <v>0</v>
      </c>
      <c r="C109" s="457">
        <f>IFERROR(IF(LEFT(VLOOKUP(P109,COPY!$A$1:$AC$1000,29,FALSE),5)="Terim",VLOOKUP(P109,COPY!$A$1:$AC$1000,29,FALSE),0),0)</f>
        <v>0</v>
      </c>
      <c r="D109" s="457"/>
      <c r="E109" s="457"/>
      <c r="F109" s="458">
        <f>IFERROR(IF(LEFT(VLOOKUP(P109,COPY!$A$1:$AC$1000,29,FALSE),5)="Terim",VLOOKUP(P109,COPY!$A$1:$AC$1000,26,FALSE),0),0)</f>
        <v>0</v>
      </c>
      <c r="G109" s="459">
        <f>IFERROR(VLOOKUP(P109,COPY!$A$1:$L$1000,4,FALSE),0)</f>
        <v>0</v>
      </c>
      <c r="H109" s="457">
        <f>IFERROR(VLOOKUP(P109,COPY!$A$1:$L$1000,2,FALSE),0)</f>
        <v>0</v>
      </c>
      <c r="I109" s="510">
        <f>IFERROR(VLOOKUP(P109,COPY!$A$1:$L$1000,10,FALSE),0)</f>
        <v>0</v>
      </c>
      <c r="J109" s="467">
        <f>IFERROR(VLOOKUP(P109,COPY!$A$1:$L$1000,8,FALSE),0)</f>
        <v>0</v>
      </c>
      <c r="K109" s="457">
        <f>IFERROR(VLOOKUP(P109,COPY!$A$1:$L$1000,7,FALSE),0)</f>
        <v>0</v>
      </c>
      <c r="L109" s="468">
        <f>IFERROR(VLOOKUP(P109,COPY!$A$1:$O$1000,15,FALSE),0)</f>
        <v>0</v>
      </c>
      <c r="M109" s="468">
        <f>IFERROR(VLOOKUP(P109,COPY!$A$1:$L$1000,12,FALSE),0)</f>
        <v>0</v>
      </c>
      <c r="N109" s="471">
        <f>IF(H109="Jasa",VLOOKUP('BKU 4'!K109,'Rekap Gaji'!$D$12:$I$26,6,FALSE),(IF(H109="Beli",VLOOKUP(P109,COPY!$A$1:$L$1000,11,FALSE),IF(H109="Bayar Ongkos",VLOOKUP(K109,'Rekap Gaji'!$D$12:$I$26,6,FALSE),0))))</f>
        <v>0</v>
      </c>
      <c r="O109" s="470"/>
      <c r="P109" s="466" t="str">
        <f t="shared" si="7"/>
        <v/>
      </c>
      <c r="Q109" s="253">
        <f t="shared" si="10"/>
        <v>0</v>
      </c>
      <c r="R109" s="253">
        <f t="shared" si="11"/>
        <v>0</v>
      </c>
      <c r="S109" s="449">
        <f t="shared" si="12"/>
        <v>77</v>
      </c>
      <c r="T109" s="253">
        <f t="shared" si="13"/>
        <v>77</v>
      </c>
      <c r="U109" s="457" t="str">
        <f t="shared" si="8"/>
        <v xml:space="preserve"> </v>
      </c>
    </row>
    <row r="110" spans="1:21" ht="20.100000000000001" hidden="1" customHeight="1" x14ac:dyDescent="0.25">
      <c r="A110" s="470" t="str">
        <f t="shared" si="9"/>
        <v/>
      </c>
      <c r="B110" s="456">
        <f>IF(LEFT(C110,16)="Terima Pajak PPN",VLOOKUP(P110,COPY!$A$1:$AC$1000,21,FALSE),IF(LEFT(C110,16)="Terima Pajak PPH",VLOOKUP(P110,COPY!$A$1:$AC$1000,21,FALSE),IF(LEFT(C110,13)="Terima PPh 23",VLOOKUP(P110,COPY!$A$1:$AC$1000,21,FALSE),0)))</f>
        <v>0</v>
      </c>
      <c r="C110" s="457">
        <f>IFERROR(IF(LEFT(VLOOKUP(P110,COPY!$A$1:$AC$1000,29,FALSE),5)="Terim",VLOOKUP(P110,COPY!$A$1:$AC$1000,29,FALSE),0),0)</f>
        <v>0</v>
      </c>
      <c r="D110" s="457"/>
      <c r="E110" s="457"/>
      <c r="F110" s="458">
        <f>IFERROR(IF(LEFT(VLOOKUP(P110,COPY!$A$1:$AC$1000,29,FALSE),5)="Terim",VLOOKUP(P110,COPY!$A$1:$AC$1000,26,FALSE),0),0)</f>
        <v>0</v>
      </c>
      <c r="G110" s="459">
        <f>IFERROR(VLOOKUP(P110,COPY!$A$1:$L$1000,4,FALSE),0)</f>
        <v>0</v>
      </c>
      <c r="H110" s="457">
        <f>IFERROR(VLOOKUP(P110,COPY!$A$1:$L$1000,2,FALSE),0)</f>
        <v>0</v>
      </c>
      <c r="I110" s="510">
        <f>IFERROR(VLOOKUP(P110,COPY!$A$1:$L$1000,10,FALSE),0)</f>
        <v>0</v>
      </c>
      <c r="J110" s="467">
        <f>IFERROR(VLOOKUP(P110,COPY!$A$1:$L$1000,8,FALSE),0)</f>
        <v>0</v>
      </c>
      <c r="K110" s="457">
        <f>IFERROR(VLOOKUP(P110,COPY!$A$1:$L$1000,7,FALSE),0)</f>
        <v>0</v>
      </c>
      <c r="L110" s="468">
        <f>IFERROR(VLOOKUP(P110,COPY!$A$1:$O$1000,15,FALSE),0)</f>
        <v>0</v>
      </c>
      <c r="M110" s="468">
        <f>IFERROR(VLOOKUP(P110,COPY!$A$1:$L$1000,12,FALSE),0)</f>
        <v>0</v>
      </c>
      <c r="N110" s="471">
        <f>IF(H110="Jasa",VLOOKUP('BKU 4'!K110,'Rekap Gaji'!$D$12:$I$26,6,FALSE),(IF(H110="Beli",VLOOKUP(P110,COPY!$A$1:$L$1000,11,FALSE),IF(H110="Bayar Ongkos",VLOOKUP(K110,'Rekap Gaji'!$D$12:$I$26,6,FALSE),0))))</f>
        <v>0</v>
      </c>
      <c r="O110" s="470"/>
      <c r="P110" s="466" t="str">
        <f t="shared" si="7"/>
        <v/>
      </c>
      <c r="Q110" s="253">
        <f t="shared" si="10"/>
        <v>0</v>
      </c>
      <c r="R110" s="253">
        <f t="shared" si="11"/>
        <v>0</v>
      </c>
      <c r="S110" s="449">
        <f t="shared" si="12"/>
        <v>78</v>
      </c>
      <c r="T110" s="253">
        <f t="shared" si="13"/>
        <v>78</v>
      </c>
      <c r="U110" s="457" t="str">
        <f t="shared" si="8"/>
        <v xml:space="preserve"> </v>
      </c>
    </row>
    <row r="111" spans="1:21" ht="20.100000000000001" hidden="1" customHeight="1" x14ac:dyDescent="0.25">
      <c r="A111" s="470" t="str">
        <f t="shared" si="9"/>
        <v/>
      </c>
      <c r="B111" s="456">
        <f>IF(LEFT(C111,16)="Terima Pajak PPN",VLOOKUP(P111,COPY!$A$1:$AC$1000,21,FALSE),IF(LEFT(C111,16)="Terima Pajak PPH",VLOOKUP(P111,COPY!$A$1:$AC$1000,21,FALSE),IF(LEFT(C111,13)="Terima PPh 23",VLOOKUP(P111,COPY!$A$1:$AC$1000,21,FALSE),0)))</f>
        <v>0</v>
      </c>
      <c r="C111" s="457">
        <f>IFERROR(IF(LEFT(VLOOKUP(P111,COPY!$A$1:$AC$1000,29,FALSE),5)="Terim",VLOOKUP(P111,COPY!$A$1:$AC$1000,29,FALSE),0),0)</f>
        <v>0</v>
      </c>
      <c r="D111" s="457"/>
      <c r="E111" s="457"/>
      <c r="F111" s="458">
        <f>IFERROR(IF(LEFT(VLOOKUP(P111,COPY!$A$1:$AC$1000,29,FALSE),5)="Terim",VLOOKUP(P111,COPY!$A$1:$AC$1000,26,FALSE),0),0)</f>
        <v>0</v>
      </c>
      <c r="G111" s="459">
        <f>IFERROR(VLOOKUP(P111,COPY!$A$1:$L$1000,4,FALSE),0)</f>
        <v>0</v>
      </c>
      <c r="H111" s="457">
        <f>IFERROR(VLOOKUP(P111,COPY!$A$1:$L$1000,2,FALSE),0)</f>
        <v>0</v>
      </c>
      <c r="I111" s="510">
        <f>IFERROR(VLOOKUP(P111,COPY!$A$1:$L$1000,10,FALSE),0)</f>
        <v>0</v>
      </c>
      <c r="J111" s="467">
        <f>IFERROR(VLOOKUP(P111,COPY!$A$1:$L$1000,8,FALSE),0)</f>
        <v>0</v>
      </c>
      <c r="K111" s="457">
        <f>IFERROR(VLOOKUP(P111,COPY!$A$1:$L$1000,7,FALSE),0)</f>
        <v>0</v>
      </c>
      <c r="L111" s="468">
        <f>IFERROR(VLOOKUP(P111,COPY!$A$1:$O$1000,15,FALSE),0)</f>
        <v>0</v>
      </c>
      <c r="M111" s="468">
        <f>IFERROR(VLOOKUP(P111,COPY!$A$1:$L$1000,12,FALSE),0)</f>
        <v>0</v>
      </c>
      <c r="N111" s="471">
        <f>IF(H111="Jasa",VLOOKUP('BKU 4'!K111,'Rekap Gaji'!$D$12:$I$26,6,FALSE),(IF(H111="Beli",VLOOKUP(P111,COPY!$A$1:$L$1000,11,FALSE),IF(H111="Bayar Ongkos",VLOOKUP(K111,'Rekap Gaji'!$D$12:$I$26,6,FALSE),0))))</f>
        <v>0</v>
      </c>
      <c r="O111" s="470"/>
      <c r="P111" s="466" t="str">
        <f t="shared" si="7"/>
        <v/>
      </c>
      <c r="Q111" s="253">
        <f t="shared" si="10"/>
        <v>0</v>
      </c>
      <c r="R111" s="253">
        <f t="shared" si="11"/>
        <v>0</v>
      </c>
      <c r="S111" s="449">
        <f t="shared" si="12"/>
        <v>79</v>
      </c>
      <c r="T111" s="253">
        <f t="shared" si="13"/>
        <v>79</v>
      </c>
      <c r="U111" s="457" t="str">
        <f t="shared" si="8"/>
        <v xml:space="preserve"> </v>
      </c>
    </row>
    <row r="112" spans="1:21" ht="20.100000000000001" hidden="1" customHeight="1" x14ac:dyDescent="0.25">
      <c r="A112" s="470" t="str">
        <f t="shared" si="9"/>
        <v/>
      </c>
      <c r="B112" s="456">
        <f>IF(LEFT(C112,16)="Terima Pajak PPN",VLOOKUP(P112,COPY!$A$1:$AC$1000,21,FALSE),IF(LEFT(C112,16)="Terima Pajak PPH",VLOOKUP(P112,COPY!$A$1:$AC$1000,21,FALSE),IF(LEFT(C112,13)="Terima PPh 23",VLOOKUP(P112,COPY!$A$1:$AC$1000,21,FALSE),0)))</f>
        <v>0</v>
      </c>
      <c r="C112" s="457">
        <f>IFERROR(IF(LEFT(VLOOKUP(P112,COPY!$A$1:$AC$1000,29,FALSE),5)="Terim",VLOOKUP(P112,COPY!$A$1:$AC$1000,29,FALSE),0),0)</f>
        <v>0</v>
      </c>
      <c r="D112" s="457"/>
      <c r="E112" s="457"/>
      <c r="F112" s="458">
        <f>IFERROR(IF(LEFT(VLOOKUP(P112,COPY!$A$1:$AC$1000,29,FALSE),5)="Terim",VLOOKUP(P112,COPY!$A$1:$AC$1000,26,FALSE),0),0)</f>
        <v>0</v>
      </c>
      <c r="G112" s="459">
        <f>IFERROR(VLOOKUP(P112,COPY!$A$1:$L$1000,4,FALSE),0)</f>
        <v>0</v>
      </c>
      <c r="H112" s="457">
        <f>IFERROR(VLOOKUP(P112,COPY!$A$1:$L$1000,2,FALSE),0)</f>
        <v>0</v>
      </c>
      <c r="I112" s="510">
        <f>IFERROR(VLOOKUP(P112,COPY!$A$1:$L$1000,10,FALSE),0)</f>
        <v>0</v>
      </c>
      <c r="J112" s="467">
        <f>IFERROR(VLOOKUP(P112,COPY!$A$1:$L$1000,8,FALSE),0)</f>
        <v>0</v>
      </c>
      <c r="K112" s="457">
        <f>IFERROR(VLOOKUP(P112,COPY!$A$1:$L$1000,7,FALSE),0)</f>
        <v>0</v>
      </c>
      <c r="L112" s="468">
        <f>IFERROR(VLOOKUP(P112,COPY!$A$1:$O$1000,15,FALSE),0)</f>
        <v>0</v>
      </c>
      <c r="M112" s="468">
        <f>IFERROR(VLOOKUP(P112,COPY!$A$1:$L$1000,12,FALSE),0)</f>
        <v>0</v>
      </c>
      <c r="N112" s="471">
        <f>IF(H112="Jasa",VLOOKUP('BKU 4'!K112,'Rekap Gaji'!$D$12:$I$26,6,FALSE),(IF(H112="Beli",VLOOKUP(P112,COPY!$A$1:$L$1000,11,FALSE),IF(H112="Bayar Ongkos",VLOOKUP(K112,'Rekap Gaji'!$D$12:$I$26,6,FALSE),0))))</f>
        <v>0</v>
      </c>
      <c r="O112" s="470"/>
      <c r="P112" s="466" t="str">
        <f t="shared" si="7"/>
        <v/>
      </c>
      <c r="Q112" s="253">
        <f t="shared" si="10"/>
        <v>0</v>
      </c>
      <c r="R112" s="253">
        <f t="shared" si="11"/>
        <v>0</v>
      </c>
      <c r="S112" s="449">
        <f t="shared" si="12"/>
        <v>80</v>
      </c>
      <c r="T112" s="253">
        <f t="shared" si="13"/>
        <v>80</v>
      </c>
      <c r="U112" s="457" t="str">
        <f t="shared" si="8"/>
        <v xml:space="preserve"> </v>
      </c>
    </row>
    <row r="113" spans="1:21" ht="20.100000000000001" hidden="1" customHeight="1" x14ac:dyDescent="0.25">
      <c r="A113" s="470" t="str">
        <f t="shared" si="9"/>
        <v/>
      </c>
      <c r="B113" s="456">
        <f>IF(LEFT(C113,16)="Terima Pajak PPN",VLOOKUP(P113,COPY!$A$1:$AC$1000,21,FALSE),IF(LEFT(C113,16)="Terima Pajak PPH",VLOOKUP(P113,COPY!$A$1:$AC$1000,21,FALSE),IF(LEFT(C113,13)="Terima PPh 23",VLOOKUP(P113,COPY!$A$1:$AC$1000,21,FALSE),0)))</f>
        <v>0</v>
      </c>
      <c r="C113" s="457">
        <f>IFERROR(IF(LEFT(VLOOKUP(P113,COPY!$A$1:$AC$1000,29,FALSE),5)="Terim",VLOOKUP(P113,COPY!$A$1:$AC$1000,29,FALSE),0),0)</f>
        <v>0</v>
      </c>
      <c r="D113" s="457"/>
      <c r="E113" s="457"/>
      <c r="F113" s="458">
        <f>IFERROR(IF(LEFT(VLOOKUP(P113,COPY!$A$1:$AC$1000,29,FALSE),5)="Terim",VLOOKUP(P113,COPY!$A$1:$AC$1000,26,FALSE),0),0)</f>
        <v>0</v>
      </c>
      <c r="G113" s="459">
        <f>IFERROR(VLOOKUP(P113,COPY!$A$1:$L$1000,4,FALSE),0)</f>
        <v>0</v>
      </c>
      <c r="H113" s="457">
        <f>IFERROR(VLOOKUP(P113,COPY!$A$1:$L$1000,2,FALSE),0)</f>
        <v>0</v>
      </c>
      <c r="I113" s="510">
        <f>IFERROR(VLOOKUP(P113,COPY!$A$1:$L$1000,10,FALSE),0)</f>
        <v>0</v>
      </c>
      <c r="J113" s="467">
        <f>IFERROR(VLOOKUP(P113,COPY!$A$1:$L$1000,8,FALSE),0)</f>
        <v>0</v>
      </c>
      <c r="K113" s="457">
        <f>IFERROR(VLOOKUP(P113,COPY!$A$1:$L$1000,7,FALSE),0)</f>
        <v>0</v>
      </c>
      <c r="L113" s="468">
        <f>IFERROR(VLOOKUP(P113,COPY!$A$1:$O$1000,15,FALSE),0)</f>
        <v>0</v>
      </c>
      <c r="M113" s="468">
        <f>IFERROR(VLOOKUP(P113,COPY!$A$1:$L$1000,12,FALSE),0)</f>
        <v>0</v>
      </c>
      <c r="N113" s="471">
        <f>IF(H113="Jasa",VLOOKUP('BKU 4'!K113,'Rekap Gaji'!$D$12:$I$26,6,FALSE),(IF(H113="Beli",VLOOKUP(P113,COPY!$A$1:$L$1000,11,FALSE),IF(H113="Bayar Ongkos",VLOOKUP(K113,'Rekap Gaji'!$D$12:$I$26,6,FALSE),0))))</f>
        <v>0</v>
      </c>
      <c r="O113" s="470"/>
      <c r="P113" s="466" t="str">
        <f t="shared" si="7"/>
        <v/>
      </c>
      <c r="Q113" s="253">
        <f t="shared" si="10"/>
        <v>0</v>
      </c>
      <c r="R113" s="253">
        <f t="shared" si="11"/>
        <v>0</v>
      </c>
      <c r="S113" s="449">
        <f t="shared" si="12"/>
        <v>81</v>
      </c>
      <c r="T113" s="253">
        <f t="shared" si="13"/>
        <v>81</v>
      </c>
      <c r="U113" s="457" t="str">
        <f t="shared" si="8"/>
        <v xml:space="preserve"> </v>
      </c>
    </row>
    <row r="114" spans="1:21" ht="20.100000000000001" hidden="1" customHeight="1" x14ac:dyDescent="0.25">
      <c r="A114" s="470" t="str">
        <f t="shared" si="9"/>
        <v/>
      </c>
      <c r="B114" s="456">
        <f>IF(LEFT(C114,16)="Terima Pajak PPN",VLOOKUP(P114,COPY!$A$1:$AC$1000,21,FALSE),IF(LEFT(C114,16)="Terima Pajak PPH",VLOOKUP(P114,COPY!$A$1:$AC$1000,21,FALSE),IF(LEFT(C114,13)="Terima PPh 23",VLOOKUP(P114,COPY!$A$1:$AC$1000,21,FALSE),0)))</f>
        <v>0</v>
      </c>
      <c r="C114" s="457">
        <f>IFERROR(IF(LEFT(VLOOKUP(P114,COPY!$A$1:$AC$1000,29,FALSE),5)="Terim",VLOOKUP(P114,COPY!$A$1:$AC$1000,29,FALSE),0),0)</f>
        <v>0</v>
      </c>
      <c r="D114" s="457"/>
      <c r="E114" s="457"/>
      <c r="F114" s="458">
        <f>IFERROR(IF(LEFT(VLOOKUP(P114,COPY!$A$1:$AC$1000,29,FALSE),5)="Terim",VLOOKUP(P114,COPY!$A$1:$AC$1000,26,FALSE),0),0)</f>
        <v>0</v>
      </c>
      <c r="G114" s="459">
        <f>IFERROR(VLOOKUP(P114,COPY!$A$1:$L$1000,4,FALSE),0)</f>
        <v>0</v>
      </c>
      <c r="H114" s="457">
        <f>IFERROR(VLOOKUP(P114,COPY!$A$1:$L$1000,2,FALSE),0)</f>
        <v>0</v>
      </c>
      <c r="I114" s="510">
        <f>IFERROR(VLOOKUP(P114,COPY!$A$1:$L$1000,10,FALSE),0)</f>
        <v>0</v>
      </c>
      <c r="J114" s="467">
        <f>IFERROR(VLOOKUP(P114,COPY!$A$1:$L$1000,8,FALSE),0)</f>
        <v>0</v>
      </c>
      <c r="K114" s="457">
        <f>IFERROR(VLOOKUP(P114,COPY!$A$1:$L$1000,7,FALSE),0)</f>
        <v>0</v>
      </c>
      <c r="L114" s="468">
        <f>IFERROR(VLOOKUP(P114,COPY!$A$1:$O$1000,15,FALSE),0)</f>
        <v>0</v>
      </c>
      <c r="M114" s="468">
        <f>IFERROR(VLOOKUP(P114,COPY!$A$1:$L$1000,12,FALSE),0)</f>
        <v>0</v>
      </c>
      <c r="N114" s="471">
        <f>IF(H114="Jasa",VLOOKUP('BKU 4'!K114,'Rekap Gaji'!$D$12:$I$26,6,FALSE),(IF(H114="Beli",VLOOKUP(P114,COPY!$A$1:$L$1000,11,FALSE),IF(H114="Bayar Ongkos",VLOOKUP(K114,'Rekap Gaji'!$D$12:$I$26,6,FALSE),0))))</f>
        <v>0</v>
      </c>
      <c r="O114" s="470"/>
      <c r="P114" s="466" t="str">
        <f t="shared" si="7"/>
        <v/>
      </c>
      <c r="Q114" s="253">
        <f t="shared" si="10"/>
        <v>0</v>
      </c>
      <c r="R114" s="253">
        <f t="shared" si="11"/>
        <v>0</v>
      </c>
      <c r="S114" s="449">
        <f t="shared" si="12"/>
        <v>82</v>
      </c>
      <c r="T114" s="253">
        <f t="shared" si="13"/>
        <v>82</v>
      </c>
      <c r="U114" s="457" t="str">
        <f t="shared" si="8"/>
        <v xml:space="preserve"> </v>
      </c>
    </row>
    <row r="115" spans="1:21" ht="20.100000000000001" hidden="1" customHeight="1" x14ac:dyDescent="0.25">
      <c r="A115" s="470" t="str">
        <f t="shared" si="9"/>
        <v/>
      </c>
      <c r="B115" s="456">
        <f>IF(LEFT(C115,16)="Terima Pajak PPN",VLOOKUP(P115,COPY!$A$1:$AC$1000,21,FALSE),IF(LEFT(C115,16)="Terima Pajak PPH",VLOOKUP(P115,COPY!$A$1:$AC$1000,21,FALSE),IF(LEFT(C115,13)="Terima PPh 23",VLOOKUP(P115,COPY!$A$1:$AC$1000,21,FALSE),0)))</f>
        <v>0</v>
      </c>
      <c r="C115" s="457">
        <f>IFERROR(IF(LEFT(VLOOKUP(P115,COPY!$A$1:$AC$1000,29,FALSE),5)="Terim",VLOOKUP(P115,COPY!$A$1:$AC$1000,29,FALSE),0),0)</f>
        <v>0</v>
      </c>
      <c r="D115" s="457"/>
      <c r="E115" s="457"/>
      <c r="F115" s="458">
        <f>IFERROR(IF(LEFT(VLOOKUP(P115,COPY!$A$1:$AC$1000,29,FALSE),5)="Terim",VLOOKUP(P115,COPY!$A$1:$AC$1000,26,FALSE),0),0)</f>
        <v>0</v>
      </c>
      <c r="G115" s="459">
        <f>IFERROR(VLOOKUP(P115,COPY!$A$1:$L$1000,4,FALSE),0)</f>
        <v>0</v>
      </c>
      <c r="H115" s="457">
        <f>IFERROR(VLOOKUP(P115,COPY!$A$1:$L$1000,2,FALSE),0)</f>
        <v>0</v>
      </c>
      <c r="I115" s="510">
        <f>IFERROR(VLOOKUP(P115,COPY!$A$1:$L$1000,10,FALSE),0)</f>
        <v>0</v>
      </c>
      <c r="J115" s="467">
        <f>IFERROR(VLOOKUP(P115,COPY!$A$1:$L$1000,8,FALSE),0)</f>
        <v>0</v>
      </c>
      <c r="K115" s="457">
        <f>IFERROR(VLOOKUP(P115,COPY!$A$1:$L$1000,7,FALSE),0)</f>
        <v>0</v>
      </c>
      <c r="L115" s="468">
        <f>IFERROR(VLOOKUP(P115,COPY!$A$1:$O$1000,15,FALSE),0)</f>
        <v>0</v>
      </c>
      <c r="M115" s="468">
        <f>IFERROR(VLOOKUP(P115,COPY!$A$1:$L$1000,12,FALSE),0)</f>
        <v>0</v>
      </c>
      <c r="N115" s="471">
        <f>IF(H115="Jasa",VLOOKUP('BKU 4'!K115,'Rekap Gaji'!$D$12:$I$26,6,FALSE),(IF(H115="Beli",VLOOKUP(P115,COPY!$A$1:$L$1000,11,FALSE),IF(H115="Bayar Ongkos",VLOOKUP(K115,'Rekap Gaji'!$D$12:$I$26,6,FALSE),0))))</f>
        <v>0</v>
      </c>
      <c r="O115" s="470"/>
      <c r="P115" s="466" t="str">
        <f t="shared" si="7"/>
        <v/>
      </c>
      <c r="Q115" s="253">
        <f t="shared" si="10"/>
        <v>0</v>
      </c>
      <c r="R115" s="253">
        <f t="shared" si="11"/>
        <v>0</v>
      </c>
      <c r="S115" s="449">
        <f t="shared" si="12"/>
        <v>83</v>
      </c>
      <c r="T115" s="253">
        <f t="shared" si="13"/>
        <v>83</v>
      </c>
      <c r="U115" s="457" t="str">
        <f t="shared" si="8"/>
        <v xml:space="preserve"> </v>
      </c>
    </row>
    <row r="116" spans="1:21" ht="20.100000000000001" hidden="1" customHeight="1" x14ac:dyDescent="0.25">
      <c r="A116" s="470" t="str">
        <f t="shared" si="9"/>
        <v/>
      </c>
      <c r="B116" s="456">
        <f>IF(LEFT(C116,16)="Terima Pajak PPN",VLOOKUP(P116,COPY!$A$1:$AC$1000,21,FALSE),IF(LEFT(C116,16)="Terima Pajak PPH",VLOOKUP(P116,COPY!$A$1:$AC$1000,21,FALSE),IF(LEFT(C116,13)="Terima PPh 23",VLOOKUP(P116,COPY!$A$1:$AC$1000,21,FALSE),0)))</f>
        <v>0</v>
      </c>
      <c r="C116" s="457">
        <f>IFERROR(IF(LEFT(VLOOKUP(P116,COPY!$A$1:$AC$1000,29,FALSE),5)="Terim",VLOOKUP(P116,COPY!$A$1:$AC$1000,29,FALSE),0),0)</f>
        <v>0</v>
      </c>
      <c r="D116" s="457"/>
      <c r="E116" s="457"/>
      <c r="F116" s="458">
        <f>IFERROR(IF(LEFT(VLOOKUP(P116,COPY!$A$1:$AC$1000,29,FALSE),5)="Terim",VLOOKUP(P116,COPY!$A$1:$AC$1000,26,FALSE),0),0)</f>
        <v>0</v>
      </c>
      <c r="G116" s="459">
        <f>IFERROR(VLOOKUP(P116,COPY!$A$1:$L$1000,4,FALSE),0)</f>
        <v>0</v>
      </c>
      <c r="H116" s="457">
        <f>IFERROR(VLOOKUP(P116,COPY!$A$1:$L$1000,2,FALSE),0)</f>
        <v>0</v>
      </c>
      <c r="I116" s="510">
        <f>IFERROR(VLOOKUP(P116,COPY!$A$1:$L$1000,10,FALSE),0)</f>
        <v>0</v>
      </c>
      <c r="J116" s="467">
        <f>IFERROR(VLOOKUP(P116,COPY!$A$1:$L$1000,8,FALSE),0)</f>
        <v>0</v>
      </c>
      <c r="K116" s="457">
        <f>IFERROR(VLOOKUP(P116,COPY!$A$1:$L$1000,7,FALSE),0)</f>
        <v>0</v>
      </c>
      <c r="L116" s="468">
        <f>IFERROR(VLOOKUP(P116,COPY!$A$1:$O$1000,15,FALSE),0)</f>
        <v>0</v>
      </c>
      <c r="M116" s="468">
        <f>IFERROR(VLOOKUP(P116,COPY!$A$1:$L$1000,12,FALSE),0)</f>
        <v>0</v>
      </c>
      <c r="N116" s="471">
        <f>IF(H116="Jasa",VLOOKUP('BKU 4'!K116,'Rekap Gaji'!$D$12:$I$26,6,FALSE),(IF(H116="Beli",VLOOKUP(P116,COPY!$A$1:$L$1000,11,FALSE),IF(H116="Bayar Ongkos",VLOOKUP(K116,'Rekap Gaji'!$D$12:$I$26,6,FALSE),0))))</f>
        <v>0</v>
      </c>
      <c r="O116" s="470"/>
      <c r="P116" s="466" t="str">
        <f t="shared" si="7"/>
        <v/>
      </c>
      <c r="Q116" s="253">
        <f t="shared" si="10"/>
        <v>0</v>
      </c>
      <c r="R116" s="253">
        <f t="shared" si="11"/>
        <v>0</v>
      </c>
      <c r="S116" s="449">
        <f t="shared" si="12"/>
        <v>84</v>
      </c>
      <c r="T116" s="253">
        <f t="shared" si="13"/>
        <v>84</v>
      </c>
      <c r="U116" s="457" t="str">
        <f t="shared" si="8"/>
        <v xml:space="preserve"> </v>
      </c>
    </row>
    <row r="117" spans="1:21" ht="20.100000000000001" hidden="1" customHeight="1" x14ac:dyDescent="0.25">
      <c r="A117" s="470" t="str">
        <f t="shared" si="9"/>
        <v/>
      </c>
      <c r="B117" s="456">
        <f>IF(LEFT(C117,16)="Terima Pajak PPN",VLOOKUP(P117,COPY!$A$1:$AC$1000,21,FALSE),IF(LEFT(C117,16)="Terima Pajak PPH",VLOOKUP(P117,COPY!$A$1:$AC$1000,21,FALSE),IF(LEFT(C117,13)="Terima PPh 23",VLOOKUP(P117,COPY!$A$1:$AC$1000,21,FALSE),0)))</f>
        <v>0</v>
      </c>
      <c r="C117" s="457">
        <f>IFERROR(IF(LEFT(VLOOKUP(P117,COPY!$A$1:$AC$1000,29,FALSE),5)="Terim",VLOOKUP(P117,COPY!$A$1:$AC$1000,29,FALSE),0),0)</f>
        <v>0</v>
      </c>
      <c r="D117" s="457"/>
      <c r="E117" s="457"/>
      <c r="F117" s="458">
        <f>IFERROR(IF(LEFT(VLOOKUP(P117,COPY!$A$1:$AC$1000,29,FALSE),5)="Terim",VLOOKUP(P117,COPY!$A$1:$AC$1000,26,FALSE),0),0)</f>
        <v>0</v>
      </c>
      <c r="G117" s="459">
        <f>IFERROR(VLOOKUP(P117,COPY!$A$1:$L$1000,4,FALSE),0)</f>
        <v>0</v>
      </c>
      <c r="H117" s="457">
        <f>IFERROR(VLOOKUP(P117,COPY!$A$1:$L$1000,2,FALSE),0)</f>
        <v>0</v>
      </c>
      <c r="I117" s="510">
        <f>IFERROR(VLOOKUP(P117,COPY!$A$1:$L$1000,10,FALSE),0)</f>
        <v>0</v>
      </c>
      <c r="J117" s="467">
        <f>IFERROR(VLOOKUP(P117,COPY!$A$1:$L$1000,8,FALSE),0)</f>
        <v>0</v>
      </c>
      <c r="K117" s="457">
        <f>IFERROR(VLOOKUP(P117,COPY!$A$1:$L$1000,7,FALSE),0)</f>
        <v>0</v>
      </c>
      <c r="L117" s="468">
        <f>IFERROR(VLOOKUP(P117,COPY!$A$1:$O$1000,15,FALSE),0)</f>
        <v>0</v>
      </c>
      <c r="M117" s="468">
        <f>IFERROR(VLOOKUP(P117,COPY!$A$1:$L$1000,12,FALSE),0)</f>
        <v>0</v>
      </c>
      <c r="N117" s="471">
        <f>IF(H117="Jasa",VLOOKUP('BKU 4'!K117,'Rekap Gaji'!$D$12:$I$26,6,FALSE),(IF(H117="Beli",VLOOKUP(P117,COPY!$A$1:$L$1000,11,FALSE),IF(H117="Bayar Ongkos",VLOOKUP(K117,'Rekap Gaji'!$D$12:$I$26,6,FALSE),0))))</f>
        <v>0</v>
      </c>
      <c r="O117" s="470"/>
      <c r="P117" s="466" t="str">
        <f t="shared" si="7"/>
        <v/>
      </c>
      <c r="Q117" s="253">
        <f t="shared" si="10"/>
        <v>0</v>
      </c>
      <c r="R117" s="253">
        <f t="shared" si="11"/>
        <v>0</v>
      </c>
      <c r="S117" s="449">
        <f t="shared" si="12"/>
        <v>85</v>
      </c>
      <c r="T117" s="253">
        <f t="shared" si="13"/>
        <v>85</v>
      </c>
      <c r="U117" s="457" t="str">
        <f t="shared" si="8"/>
        <v xml:space="preserve"> </v>
      </c>
    </row>
    <row r="118" spans="1:21" ht="20.100000000000001" hidden="1" customHeight="1" x14ac:dyDescent="0.25">
      <c r="A118" s="470" t="str">
        <f t="shared" si="9"/>
        <v/>
      </c>
      <c r="B118" s="456">
        <f>IF(LEFT(C118,16)="Terima Pajak PPN",VLOOKUP(P118,COPY!$A$1:$AC$1000,21,FALSE),IF(LEFT(C118,16)="Terima Pajak PPH",VLOOKUP(P118,COPY!$A$1:$AC$1000,21,FALSE),IF(LEFT(C118,13)="Terima PPh 23",VLOOKUP(P118,COPY!$A$1:$AC$1000,21,FALSE),0)))</f>
        <v>0</v>
      </c>
      <c r="C118" s="457">
        <f>IFERROR(IF(LEFT(VLOOKUP(P118,COPY!$A$1:$AC$1000,29,FALSE),5)="Terim",VLOOKUP(P118,COPY!$A$1:$AC$1000,29,FALSE),0),0)</f>
        <v>0</v>
      </c>
      <c r="D118" s="457"/>
      <c r="E118" s="457"/>
      <c r="F118" s="458">
        <f>IFERROR(IF(LEFT(VLOOKUP(P118,COPY!$A$1:$AC$1000,29,FALSE),5)="Terim",VLOOKUP(P118,COPY!$A$1:$AC$1000,26,FALSE),0),0)</f>
        <v>0</v>
      </c>
      <c r="G118" s="459">
        <f>IFERROR(VLOOKUP(P118,COPY!$A$1:$L$1000,4,FALSE),0)</f>
        <v>0</v>
      </c>
      <c r="H118" s="457">
        <f>IFERROR(VLOOKUP(P118,COPY!$A$1:$L$1000,2,FALSE),0)</f>
        <v>0</v>
      </c>
      <c r="I118" s="510">
        <f>IFERROR(VLOOKUP(P118,COPY!$A$1:$L$1000,10,FALSE),0)</f>
        <v>0</v>
      </c>
      <c r="J118" s="467">
        <f>IFERROR(VLOOKUP(P118,COPY!$A$1:$L$1000,8,FALSE),0)</f>
        <v>0</v>
      </c>
      <c r="K118" s="457">
        <f>IFERROR(VLOOKUP(P118,COPY!$A$1:$L$1000,7,FALSE),0)</f>
        <v>0</v>
      </c>
      <c r="L118" s="468">
        <f>IFERROR(VLOOKUP(P118,COPY!$A$1:$O$1000,15,FALSE),0)</f>
        <v>0</v>
      </c>
      <c r="M118" s="468">
        <f>IFERROR(VLOOKUP(P118,COPY!$A$1:$L$1000,12,FALSE),0)</f>
        <v>0</v>
      </c>
      <c r="N118" s="471">
        <f>IF(H118="Jasa",VLOOKUP('BKU 4'!K118,'Rekap Gaji'!$D$12:$I$26,6,FALSE),(IF(H118="Beli",VLOOKUP(P118,COPY!$A$1:$L$1000,11,FALSE),IF(H118="Bayar Ongkos",VLOOKUP(K118,'Rekap Gaji'!$D$12:$I$26,6,FALSE),0))))</f>
        <v>0</v>
      </c>
      <c r="O118" s="470"/>
      <c r="P118" s="466" t="str">
        <f t="shared" si="7"/>
        <v/>
      </c>
      <c r="Q118" s="253">
        <f t="shared" si="10"/>
        <v>0</v>
      </c>
      <c r="R118" s="253">
        <f t="shared" si="11"/>
        <v>0</v>
      </c>
      <c r="S118" s="449">
        <f t="shared" si="12"/>
        <v>86</v>
      </c>
      <c r="T118" s="253">
        <f t="shared" si="13"/>
        <v>86</v>
      </c>
      <c r="U118" s="457" t="str">
        <f t="shared" si="8"/>
        <v xml:space="preserve"> </v>
      </c>
    </row>
    <row r="119" spans="1:21" ht="20.100000000000001" hidden="1" customHeight="1" x14ac:dyDescent="0.25">
      <c r="A119" s="470" t="str">
        <f t="shared" si="9"/>
        <v/>
      </c>
      <c r="B119" s="456">
        <f>IF(LEFT(C119,16)="Terima Pajak PPN",VLOOKUP(P119,COPY!$A$1:$AC$1000,21,FALSE),IF(LEFT(C119,16)="Terima Pajak PPH",VLOOKUP(P119,COPY!$A$1:$AC$1000,21,FALSE),IF(LEFT(C119,13)="Terima PPh 23",VLOOKUP(P119,COPY!$A$1:$AC$1000,21,FALSE),0)))</f>
        <v>0</v>
      </c>
      <c r="C119" s="457">
        <f>IFERROR(IF(LEFT(VLOOKUP(P119,COPY!$A$1:$AC$1000,29,FALSE),5)="Terim",VLOOKUP(P119,COPY!$A$1:$AC$1000,29,FALSE),0),0)</f>
        <v>0</v>
      </c>
      <c r="D119" s="457"/>
      <c r="E119" s="457"/>
      <c r="F119" s="458">
        <f>IFERROR(IF(LEFT(VLOOKUP(P119,COPY!$A$1:$AC$1000,29,FALSE),5)="Terim",VLOOKUP(P119,COPY!$A$1:$AC$1000,26,FALSE),0),0)</f>
        <v>0</v>
      </c>
      <c r="G119" s="459">
        <f>IFERROR(VLOOKUP(P119,COPY!$A$1:$L$1000,4,FALSE),0)</f>
        <v>0</v>
      </c>
      <c r="H119" s="457">
        <f>IFERROR(VLOOKUP(P119,COPY!$A$1:$L$1000,2,FALSE),0)</f>
        <v>0</v>
      </c>
      <c r="I119" s="510">
        <f>IFERROR(VLOOKUP(P119,COPY!$A$1:$L$1000,10,FALSE),0)</f>
        <v>0</v>
      </c>
      <c r="J119" s="467">
        <f>IFERROR(VLOOKUP(P119,COPY!$A$1:$L$1000,8,FALSE),0)</f>
        <v>0</v>
      </c>
      <c r="K119" s="457">
        <f>IFERROR(VLOOKUP(P119,COPY!$A$1:$L$1000,7,FALSE),0)</f>
        <v>0</v>
      </c>
      <c r="L119" s="468">
        <f>IFERROR(VLOOKUP(P119,COPY!$A$1:$O$1000,15,FALSE),0)</f>
        <v>0</v>
      </c>
      <c r="M119" s="468">
        <f>IFERROR(VLOOKUP(P119,COPY!$A$1:$L$1000,12,FALSE),0)</f>
        <v>0</v>
      </c>
      <c r="N119" s="471">
        <f>IF(H119="Jasa",VLOOKUP('BKU 4'!K119,'Rekap Gaji'!$D$12:$I$26,6,FALSE),(IF(H119="Beli",VLOOKUP(P119,COPY!$A$1:$L$1000,11,FALSE),IF(H119="Bayar Ongkos",VLOOKUP(K119,'Rekap Gaji'!$D$12:$I$26,6,FALSE),0))))</f>
        <v>0</v>
      </c>
      <c r="O119" s="470"/>
      <c r="P119" s="466" t="str">
        <f t="shared" si="7"/>
        <v/>
      </c>
      <c r="Q119" s="253">
        <f t="shared" si="10"/>
        <v>0</v>
      </c>
      <c r="R119" s="253">
        <f t="shared" si="11"/>
        <v>0</v>
      </c>
      <c r="S119" s="449">
        <f t="shared" si="12"/>
        <v>87</v>
      </c>
      <c r="T119" s="253">
        <f t="shared" si="13"/>
        <v>87</v>
      </c>
      <c r="U119" s="457" t="str">
        <f t="shared" si="8"/>
        <v xml:space="preserve"> </v>
      </c>
    </row>
    <row r="120" spans="1:21" ht="20.100000000000001" hidden="1" customHeight="1" x14ac:dyDescent="0.25">
      <c r="A120" s="470" t="str">
        <f t="shared" si="9"/>
        <v/>
      </c>
      <c r="B120" s="456">
        <f>IF(LEFT(C120,16)="Terima Pajak PPN",VLOOKUP(P120,COPY!$A$1:$AC$1000,21,FALSE),IF(LEFT(C120,16)="Terima Pajak PPH",VLOOKUP(P120,COPY!$A$1:$AC$1000,21,FALSE),IF(LEFT(C120,13)="Terima PPh 23",VLOOKUP(P120,COPY!$A$1:$AC$1000,21,FALSE),0)))</f>
        <v>0</v>
      </c>
      <c r="C120" s="457">
        <f>IFERROR(IF(LEFT(VLOOKUP(P120,COPY!$A$1:$AC$1000,29,FALSE),5)="Terim",VLOOKUP(P120,COPY!$A$1:$AC$1000,29,FALSE),0),0)</f>
        <v>0</v>
      </c>
      <c r="D120" s="457"/>
      <c r="E120" s="457"/>
      <c r="F120" s="458">
        <f>IFERROR(IF(LEFT(VLOOKUP(P120,COPY!$A$1:$AC$1000,29,FALSE),5)="Terim",VLOOKUP(P120,COPY!$A$1:$AC$1000,26,FALSE),0),0)</f>
        <v>0</v>
      </c>
      <c r="G120" s="459">
        <f>IFERROR(VLOOKUP(P120,COPY!$A$1:$L$1000,4,FALSE),0)</f>
        <v>0</v>
      </c>
      <c r="H120" s="457">
        <f>IFERROR(VLOOKUP(P120,COPY!$A$1:$L$1000,2,FALSE),0)</f>
        <v>0</v>
      </c>
      <c r="I120" s="510">
        <f>IFERROR(VLOOKUP(P120,COPY!$A$1:$L$1000,10,FALSE),0)</f>
        <v>0</v>
      </c>
      <c r="J120" s="467">
        <f>IFERROR(VLOOKUP(P120,COPY!$A$1:$L$1000,8,FALSE),0)</f>
        <v>0</v>
      </c>
      <c r="K120" s="457">
        <f>IFERROR(VLOOKUP(P120,COPY!$A$1:$L$1000,7,FALSE),0)</f>
        <v>0</v>
      </c>
      <c r="L120" s="468">
        <f>IFERROR(VLOOKUP(P120,COPY!$A$1:$O$1000,15,FALSE),0)</f>
        <v>0</v>
      </c>
      <c r="M120" s="468">
        <f>IFERROR(VLOOKUP(P120,COPY!$A$1:$L$1000,12,FALSE),0)</f>
        <v>0</v>
      </c>
      <c r="N120" s="471">
        <f>IF(H120="Jasa",VLOOKUP('BKU 4'!K120,'Rekap Gaji'!$D$12:$I$26,6,FALSE),(IF(H120="Beli",VLOOKUP(P120,COPY!$A$1:$L$1000,11,FALSE),IF(H120="Bayar Ongkos",VLOOKUP(K120,'Rekap Gaji'!$D$12:$I$26,6,FALSE),0))))</f>
        <v>0</v>
      </c>
      <c r="O120" s="470"/>
      <c r="P120" s="466" t="str">
        <f t="shared" si="7"/>
        <v/>
      </c>
      <c r="Q120" s="253">
        <f t="shared" si="10"/>
        <v>0</v>
      </c>
      <c r="R120" s="253">
        <f t="shared" si="11"/>
        <v>0</v>
      </c>
      <c r="S120" s="449">
        <f t="shared" si="12"/>
        <v>88</v>
      </c>
      <c r="T120" s="253">
        <f t="shared" si="13"/>
        <v>88</v>
      </c>
      <c r="U120" s="457" t="str">
        <f t="shared" si="8"/>
        <v xml:space="preserve"> </v>
      </c>
    </row>
    <row r="121" spans="1:21" ht="20.100000000000001" hidden="1" customHeight="1" x14ac:dyDescent="0.25">
      <c r="A121" s="470" t="str">
        <f t="shared" si="9"/>
        <v/>
      </c>
      <c r="B121" s="456">
        <f>IF(LEFT(C121,16)="Terima Pajak PPN",VLOOKUP(P121,COPY!$A$1:$AC$1000,21,FALSE),IF(LEFT(C121,16)="Terima Pajak PPH",VLOOKUP(P121,COPY!$A$1:$AC$1000,21,FALSE),IF(LEFT(C121,13)="Terima PPh 23",VLOOKUP(P121,COPY!$A$1:$AC$1000,21,FALSE),0)))</f>
        <v>0</v>
      </c>
      <c r="C121" s="457">
        <f>IFERROR(IF(LEFT(VLOOKUP(P121,COPY!$A$1:$AC$1000,29,FALSE),5)="Terim",VLOOKUP(P121,COPY!$A$1:$AC$1000,29,FALSE),0),0)</f>
        <v>0</v>
      </c>
      <c r="D121" s="457"/>
      <c r="E121" s="457"/>
      <c r="F121" s="458">
        <f>IFERROR(IF(LEFT(VLOOKUP(P121,COPY!$A$1:$AC$1000,29,FALSE),5)="Terim",VLOOKUP(P121,COPY!$A$1:$AC$1000,26,FALSE),0),0)</f>
        <v>0</v>
      </c>
      <c r="G121" s="459">
        <f>IFERROR(VLOOKUP(P121,COPY!$A$1:$L$1000,4,FALSE),0)</f>
        <v>0</v>
      </c>
      <c r="H121" s="457">
        <f>IFERROR(VLOOKUP(P121,COPY!$A$1:$L$1000,2,FALSE),0)</f>
        <v>0</v>
      </c>
      <c r="I121" s="510">
        <f>IFERROR(VLOOKUP(P121,COPY!$A$1:$L$1000,10,FALSE),0)</f>
        <v>0</v>
      </c>
      <c r="J121" s="467">
        <f>IFERROR(VLOOKUP(P121,COPY!$A$1:$L$1000,8,FALSE),0)</f>
        <v>0</v>
      </c>
      <c r="K121" s="457">
        <f>IFERROR(VLOOKUP(P121,COPY!$A$1:$L$1000,7,FALSE),0)</f>
        <v>0</v>
      </c>
      <c r="L121" s="468">
        <f>IFERROR(VLOOKUP(P121,COPY!$A$1:$O$1000,15,FALSE),0)</f>
        <v>0</v>
      </c>
      <c r="M121" s="468">
        <f>IFERROR(VLOOKUP(P121,COPY!$A$1:$L$1000,12,FALSE),0)</f>
        <v>0</v>
      </c>
      <c r="N121" s="471">
        <f>IF(H121="Jasa",VLOOKUP('BKU 4'!K121,'Rekap Gaji'!$D$12:$I$26,6,FALSE),(IF(H121="Beli",VLOOKUP(P121,COPY!$A$1:$L$1000,11,FALSE),IF(H121="Bayar Ongkos",VLOOKUP(K121,'Rekap Gaji'!$D$12:$I$26,6,FALSE),0))))</f>
        <v>0</v>
      </c>
      <c r="O121" s="470"/>
      <c r="P121" s="466" t="str">
        <f t="shared" si="7"/>
        <v/>
      </c>
      <c r="Q121" s="253">
        <f t="shared" si="10"/>
        <v>0</v>
      </c>
      <c r="R121" s="253">
        <f t="shared" si="11"/>
        <v>0</v>
      </c>
      <c r="S121" s="449">
        <f t="shared" si="12"/>
        <v>89</v>
      </c>
      <c r="T121" s="253">
        <f t="shared" si="13"/>
        <v>89</v>
      </c>
      <c r="U121" s="457" t="str">
        <f t="shared" si="8"/>
        <v xml:space="preserve"> </v>
      </c>
    </row>
    <row r="122" spans="1:21" ht="20.100000000000001" hidden="1" customHeight="1" x14ac:dyDescent="0.25">
      <c r="A122" s="470" t="str">
        <f t="shared" si="9"/>
        <v/>
      </c>
      <c r="B122" s="456">
        <f>IF(LEFT(C122,16)="Terima Pajak PPN",VLOOKUP(P122,COPY!$A$1:$AC$1000,21,FALSE),IF(LEFT(C122,16)="Terima Pajak PPH",VLOOKUP(P122,COPY!$A$1:$AC$1000,21,FALSE),IF(LEFT(C122,13)="Terima PPh 23",VLOOKUP(P122,COPY!$A$1:$AC$1000,21,FALSE),0)))</f>
        <v>0</v>
      </c>
      <c r="C122" s="457">
        <f>IFERROR(IF(LEFT(VLOOKUP(P122,COPY!$A$1:$AC$1000,29,FALSE),5)="Terim",VLOOKUP(P122,COPY!$A$1:$AC$1000,29,FALSE),0),0)</f>
        <v>0</v>
      </c>
      <c r="D122" s="457"/>
      <c r="E122" s="457"/>
      <c r="F122" s="458">
        <f>IFERROR(IF(LEFT(VLOOKUP(P122,COPY!$A$1:$AC$1000,29,FALSE),5)="Terim",VLOOKUP(P122,COPY!$A$1:$AC$1000,26,FALSE),0),0)</f>
        <v>0</v>
      </c>
      <c r="G122" s="459">
        <f>IFERROR(VLOOKUP(P122,COPY!$A$1:$L$1000,4,FALSE),0)</f>
        <v>0</v>
      </c>
      <c r="H122" s="457">
        <f>IFERROR(VLOOKUP(P122,COPY!$A$1:$L$1000,2,FALSE),0)</f>
        <v>0</v>
      </c>
      <c r="I122" s="510">
        <f>IFERROR(VLOOKUP(P122,COPY!$A$1:$L$1000,10,FALSE),0)</f>
        <v>0</v>
      </c>
      <c r="J122" s="467">
        <f>IFERROR(VLOOKUP(P122,COPY!$A$1:$L$1000,8,FALSE),0)</f>
        <v>0</v>
      </c>
      <c r="K122" s="457">
        <f>IFERROR(VLOOKUP(P122,COPY!$A$1:$L$1000,7,FALSE),0)</f>
        <v>0</v>
      </c>
      <c r="L122" s="468">
        <f>IFERROR(VLOOKUP(P122,COPY!$A$1:$O$1000,15,FALSE),0)</f>
        <v>0</v>
      </c>
      <c r="M122" s="468">
        <f>IFERROR(VLOOKUP(P122,COPY!$A$1:$L$1000,12,FALSE),0)</f>
        <v>0</v>
      </c>
      <c r="N122" s="471">
        <f>IF(H122="Jasa",VLOOKUP('BKU 4'!K122,'Rekap Gaji'!$D$12:$I$26,6,FALSE),(IF(H122="Beli",VLOOKUP(P122,COPY!$A$1:$L$1000,11,FALSE),IF(H122="Bayar Ongkos",VLOOKUP(K122,'Rekap Gaji'!$D$12:$I$26,6,FALSE),0))))</f>
        <v>0</v>
      </c>
      <c r="O122" s="470"/>
      <c r="P122" s="466" t="str">
        <f t="shared" si="7"/>
        <v/>
      </c>
      <c r="Q122" s="253">
        <f t="shared" si="10"/>
        <v>0</v>
      </c>
      <c r="R122" s="253">
        <f t="shared" si="11"/>
        <v>0</v>
      </c>
      <c r="S122" s="449">
        <f t="shared" si="12"/>
        <v>90</v>
      </c>
      <c r="T122" s="253">
        <f t="shared" si="13"/>
        <v>90</v>
      </c>
      <c r="U122" s="457" t="str">
        <f t="shared" si="8"/>
        <v xml:space="preserve"> </v>
      </c>
    </row>
    <row r="123" spans="1:21" ht="20.100000000000001" hidden="1" customHeight="1" x14ac:dyDescent="0.25">
      <c r="A123" s="470" t="str">
        <f t="shared" si="9"/>
        <v/>
      </c>
      <c r="B123" s="456">
        <f>IF(LEFT(C123,16)="Terima Pajak PPN",VLOOKUP(P123,COPY!$A$1:$AC$1000,21,FALSE),IF(LEFT(C123,16)="Terima Pajak PPH",VLOOKUP(P123,COPY!$A$1:$AC$1000,21,FALSE),IF(LEFT(C123,13)="Terima PPh 23",VLOOKUP(P123,COPY!$A$1:$AC$1000,21,FALSE),0)))</f>
        <v>0</v>
      </c>
      <c r="C123" s="457">
        <f>IFERROR(IF(LEFT(VLOOKUP(P123,COPY!$A$1:$AC$1000,29,FALSE),5)="Terim",VLOOKUP(P123,COPY!$A$1:$AC$1000,29,FALSE),0),0)</f>
        <v>0</v>
      </c>
      <c r="D123" s="457"/>
      <c r="E123" s="457"/>
      <c r="F123" s="458">
        <f>IFERROR(IF(LEFT(VLOOKUP(P123,COPY!$A$1:$AC$1000,29,FALSE),5)="Terim",VLOOKUP(P123,COPY!$A$1:$AC$1000,26,FALSE),0),0)</f>
        <v>0</v>
      </c>
      <c r="G123" s="459">
        <f>IFERROR(VLOOKUP(P123,COPY!$A$1:$L$1000,4,FALSE),0)</f>
        <v>0</v>
      </c>
      <c r="H123" s="457">
        <f>IFERROR(VLOOKUP(P123,COPY!$A$1:$L$1000,2,FALSE),0)</f>
        <v>0</v>
      </c>
      <c r="I123" s="510">
        <f>IFERROR(VLOOKUP(P123,COPY!$A$1:$L$1000,10,FALSE),0)</f>
        <v>0</v>
      </c>
      <c r="J123" s="467">
        <f>IFERROR(VLOOKUP(P123,COPY!$A$1:$L$1000,8,FALSE),0)</f>
        <v>0</v>
      </c>
      <c r="K123" s="457">
        <f>IFERROR(VLOOKUP(P123,COPY!$A$1:$L$1000,7,FALSE),0)</f>
        <v>0</v>
      </c>
      <c r="L123" s="468">
        <f>IFERROR(VLOOKUP(P123,COPY!$A$1:$O$1000,15,FALSE),0)</f>
        <v>0</v>
      </c>
      <c r="M123" s="468">
        <f>IFERROR(VLOOKUP(P123,COPY!$A$1:$L$1000,12,FALSE),0)</f>
        <v>0</v>
      </c>
      <c r="N123" s="471">
        <f>IF(H123="Jasa",VLOOKUP('BKU 4'!K123,'Rekap Gaji'!$D$12:$I$26,6,FALSE),(IF(H123="Beli",VLOOKUP(P123,COPY!$A$1:$L$1000,11,FALSE),IF(H123="Bayar Ongkos",VLOOKUP(K123,'Rekap Gaji'!$D$12:$I$26,6,FALSE),0))))</f>
        <v>0</v>
      </c>
      <c r="O123" s="470"/>
      <c r="P123" s="466" t="str">
        <f t="shared" si="7"/>
        <v/>
      </c>
      <c r="Q123" s="253">
        <f t="shared" si="10"/>
        <v>0</v>
      </c>
      <c r="R123" s="253">
        <f t="shared" si="11"/>
        <v>0</v>
      </c>
      <c r="S123" s="449">
        <f t="shared" si="12"/>
        <v>91</v>
      </c>
      <c r="T123" s="253">
        <f t="shared" si="13"/>
        <v>91</v>
      </c>
      <c r="U123" s="457" t="str">
        <f t="shared" si="8"/>
        <v xml:space="preserve"> </v>
      </c>
    </row>
    <row r="124" spans="1:21" ht="20.100000000000001" hidden="1" customHeight="1" x14ac:dyDescent="0.25">
      <c r="A124" s="470" t="str">
        <f t="shared" si="9"/>
        <v/>
      </c>
      <c r="B124" s="456">
        <f>IF(LEFT(C124,16)="Terima Pajak PPN",VLOOKUP(P124,COPY!$A$1:$AC$1000,21,FALSE),IF(LEFT(C124,16)="Terima Pajak PPH",VLOOKUP(P124,COPY!$A$1:$AC$1000,21,FALSE),IF(LEFT(C124,13)="Terima PPh 23",VLOOKUP(P124,COPY!$A$1:$AC$1000,21,FALSE),0)))</f>
        <v>0</v>
      </c>
      <c r="C124" s="457">
        <f>IFERROR(IF(LEFT(VLOOKUP(P124,COPY!$A$1:$AC$1000,29,FALSE),5)="Terim",VLOOKUP(P124,COPY!$A$1:$AC$1000,29,FALSE),0),0)</f>
        <v>0</v>
      </c>
      <c r="D124" s="457"/>
      <c r="E124" s="457"/>
      <c r="F124" s="458">
        <f>IFERROR(IF(LEFT(VLOOKUP(P124,COPY!$A$1:$AC$1000,29,FALSE),5)="Terim",VLOOKUP(P124,COPY!$A$1:$AC$1000,26,FALSE),0),0)</f>
        <v>0</v>
      </c>
      <c r="G124" s="459">
        <f>IFERROR(VLOOKUP(P124,COPY!$A$1:$L$1000,4,FALSE),0)</f>
        <v>0</v>
      </c>
      <c r="H124" s="457">
        <f>IFERROR(VLOOKUP(P124,COPY!$A$1:$L$1000,2,FALSE),0)</f>
        <v>0</v>
      </c>
      <c r="I124" s="510">
        <f>IFERROR(VLOOKUP(P124,COPY!$A$1:$L$1000,10,FALSE),0)</f>
        <v>0</v>
      </c>
      <c r="J124" s="467">
        <f>IFERROR(VLOOKUP(P124,COPY!$A$1:$L$1000,8,FALSE),0)</f>
        <v>0</v>
      </c>
      <c r="K124" s="457">
        <f>IFERROR(VLOOKUP(P124,COPY!$A$1:$L$1000,7,FALSE),0)</f>
        <v>0</v>
      </c>
      <c r="L124" s="468">
        <f>IFERROR(VLOOKUP(P124,COPY!$A$1:$O$1000,15,FALSE),0)</f>
        <v>0</v>
      </c>
      <c r="M124" s="468">
        <f>IFERROR(VLOOKUP(P124,COPY!$A$1:$L$1000,12,FALSE),0)</f>
        <v>0</v>
      </c>
      <c r="N124" s="471">
        <f>IF(H124="Jasa",VLOOKUP('BKU 4'!K124,'Rekap Gaji'!$D$12:$I$26,6,FALSE),(IF(H124="Beli",VLOOKUP(P124,COPY!$A$1:$L$1000,11,FALSE),IF(H124="Bayar Ongkos",VLOOKUP(K124,'Rekap Gaji'!$D$12:$I$26,6,FALSE),0))))</f>
        <v>0</v>
      </c>
      <c r="O124" s="470"/>
      <c r="P124" s="466" t="str">
        <f t="shared" si="7"/>
        <v/>
      </c>
      <c r="Q124" s="253">
        <f t="shared" si="10"/>
        <v>0</v>
      </c>
      <c r="R124" s="253">
        <f t="shared" si="11"/>
        <v>0</v>
      </c>
      <c r="S124" s="449">
        <f t="shared" si="12"/>
        <v>92</v>
      </c>
      <c r="T124" s="253">
        <f t="shared" si="13"/>
        <v>92</v>
      </c>
      <c r="U124" s="457" t="str">
        <f t="shared" si="8"/>
        <v xml:space="preserve"> </v>
      </c>
    </row>
    <row r="125" spans="1:21" ht="20.100000000000001" hidden="1" customHeight="1" x14ac:dyDescent="0.25">
      <c r="A125" s="470" t="str">
        <f t="shared" si="9"/>
        <v/>
      </c>
      <c r="B125" s="456">
        <f>IF(LEFT(C125,16)="Terima Pajak PPN",VLOOKUP(P125,COPY!$A$1:$AC$1000,21,FALSE),IF(LEFT(C125,16)="Terima Pajak PPH",VLOOKUP(P125,COPY!$A$1:$AC$1000,21,FALSE),IF(LEFT(C125,13)="Terima PPh 23",VLOOKUP(P125,COPY!$A$1:$AC$1000,21,FALSE),0)))</f>
        <v>0</v>
      </c>
      <c r="C125" s="457">
        <f>IFERROR(IF(LEFT(VLOOKUP(P125,COPY!$A$1:$AC$1000,29,FALSE),5)="Terim",VLOOKUP(P125,COPY!$A$1:$AC$1000,29,FALSE),0),0)</f>
        <v>0</v>
      </c>
      <c r="D125" s="457"/>
      <c r="E125" s="457"/>
      <c r="F125" s="458">
        <f>IFERROR(IF(LEFT(VLOOKUP(P125,COPY!$A$1:$AC$1000,29,FALSE),5)="Terim",VLOOKUP(P125,COPY!$A$1:$AC$1000,26,FALSE),0),0)</f>
        <v>0</v>
      </c>
      <c r="G125" s="459">
        <f>IFERROR(VLOOKUP(P125,COPY!$A$1:$L$1000,4,FALSE),0)</f>
        <v>0</v>
      </c>
      <c r="H125" s="457">
        <f>IFERROR(VLOOKUP(P125,COPY!$A$1:$L$1000,2,FALSE),0)</f>
        <v>0</v>
      </c>
      <c r="I125" s="510">
        <f>IFERROR(VLOOKUP(P125,COPY!$A$1:$L$1000,10,FALSE),0)</f>
        <v>0</v>
      </c>
      <c r="J125" s="467">
        <f>IFERROR(VLOOKUP(P125,COPY!$A$1:$L$1000,8,FALSE),0)</f>
        <v>0</v>
      </c>
      <c r="K125" s="457">
        <f>IFERROR(VLOOKUP(P125,COPY!$A$1:$L$1000,7,FALSE),0)</f>
        <v>0</v>
      </c>
      <c r="L125" s="468">
        <f>IFERROR(VLOOKUP(P125,COPY!$A$1:$O$1000,15,FALSE),0)</f>
        <v>0</v>
      </c>
      <c r="M125" s="468">
        <f>IFERROR(VLOOKUP(P125,COPY!$A$1:$L$1000,12,FALSE),0)</f>
        <v>0</v>
      </c>
      <c r="N125" s="471">
        <f>IF(H125="Jasa",VLOOKUP('BKU 4'!K125,'Rekap Gaji'!$D$12:$I$26,6,FALSE),(IF(H125="Beli",VLOOKUP(P125,COPY!$A$1:$L$1000,11,FALSE),IF(H125="Bayar Ongkos",VLOOKUP(K125,'Rekap Gaji'!$D$12:$I$26,6,FALSE),0))))</f>
        <v>0</v>
      </c>
      <c r="O125" s="470"/>
      <c r="P125" s="466" t="str">
        <f t="shared" si="7"/>
        <v/>
      </c>
      <c r="Q125" s="253">
        <f t="shared" si="10"/>
        <v>0</v>
      </c>
      <c r="R125" s="253">
        <f t="shared" si="11"/>
        <v>0</v>
      </c>
      <c r="S125" s="449">
        <f t="shared" si="12"/>
        <v>93</v>
      </c>
      <c r="T125" s="253">
        <f t="shared" si="13"/>
        <v>93</v>
      </c>
      <c r="U125" s="457" t="str">
        <f t="shared" si="8"/>
        <v xml:space="preserve"> </v>
      </c>
    </row>
    <row r="126" spans="1:21" ht="20.100000000000001" hidden="1" customHeight="1" x14ac:dyDescent="0.25">
      <c r="A126" s="470" t="str">
        <f t="shared" si="9"/>
        <v/>
      </c>
      <c r="B126" s="456">
        <f>IF(LEFT(C126,16)="Terima Pajak PPN",VLOOKUP(P126,COPY!$A$1:$AC$1000,21,FALSE),IF(LEFT(C126,16)="Terima Pajak PPH",VLOOKUP(P126,COPY!$A$1:$AC$1000,21,FALSE),IF(LEFT(C126,13)="Terima PPh 23",VLOOKUP(P126,COPY!$A$1:$AC$1000,21,FALSE),0)))</f>
        <v>0</v>
      </c>
      <c r="C126" s="457">
        <f>IFERROR(IF(LEFT(VLOOKUP(P126,COPY!$A$1:$AC$1000,29,FALSE),5)="Terim",VLOOKUP(P126,COPY!$A$1:$AC$1000,29,FALSE),0),0)</f>
        <v>0</v>
      </c>
      <c r="D126" s="457"/>
      <c r="E126" s="457"/>
      <c r="F126" s="458">
        <f>IFERROR(IF(LEFT(VLOOKUP(P126,COPY!$A$1:$AC$1000,29,FALSE),5)="Terim",VLOOKUP(P126,COPY!$A$1:$AC$1000,26,FALSE),0),0)</f>
        <v>0</v>
      </c>
      <c r="G126" s="459">
        <f>IFERROR(VLOOKUP(P126,COPY!$A$1:$L$1000,4,FALSE),0)</f>
        <v>0</v>
      </c>
      <c r="H126" s="457">
        <f>IFERROR(VLOOKUP(P126,COPY!$A$1:$L$1000,2,FALSE),0)</f>
        <v>0</v>
      </c>
      <c r="I126" s="510">
        <f>IFERROR(VLOOKUP(P126,COPY!$A$1:$L$1000,10,FALSE),0)</f>
        <v>0</v>
      </c>
      <c r="J126" s="467">
        <f>IFERROR(VLOOKUP(P126,COPY!$A$1:$L$1000,8,FALSE),0)</f>
        <v>0</v>
      </c>
      <c r="K126" s="457">
        <f>IFERROR(VLOOKUP(P126,COPY!$A$1:$L$1000,7,FALSE),0)</f>
        <v>0</v>
      </c>
      <c r="L126" s="468">
        <f>IFERROR(VLOOKUP(P126,COPY!$A$1:$O$1000,15,FALSE),0)</f>
        <v>0</v>
      </c>
      <c r="M126" s="468">
        <f>IFERROR(VLOOKUP(P126,COPY!$A$1:$L$1000,12,FALSE),0)</f>
        <v>0</v>
      </c>
      <c r="N126" s="471">
        <f>IF(H126="Jasa",VLOOKUP('BKU 4'!K126,'Rekap Gaji'!$D$12:$I$26,6,FALSE),(IF(H126="Beli",VLOOKUP(P126,COPY!$A$1:$L$1000,11,FALSE),IF(H126="Bayar Ongkos",VLOOKUP(K126,'Rekap Gaji'!$D$12:$I$26,6,FALSE),0))))</f>
        <v>0</v>
      </c>
      <c r="O126" s="470"/>
      <c r="P126" s="466" t="str">
        <f t="shared" si="7"/>
        <v/>
      </c>
      <c r="Q126" s="253">
        <f t="shared" si="10"/>
        <v>0</v>
      </c>
      <c r="R126" s="253">
        <f t="shared" si="11"/>
        <v>0</v>
      </c>
      <c r="S126" s="449">
        <f t="shared" si="12"/>
        <v>94</v>
      </c>
      <c r="T126" s="253">
        <f t="shared" si="13"/>
        <v>94</v>
      </c>
      <c r="U126" s="457" t="str">
        <f t="shared" si="8"/>
        <v xml:space="preserve"> </v>
      </c>
    </row>
    <row r="127" spans="1:21" ht="20.100000000000001" hidden="1" customHeight="1" x14ac:dyDescent="0.25">
      <c r="A127" s="470" t="str">
        <f t="shared" si="9"/>
        <v/>
      </c>
      <c r="B127" s="456">
        <f>IF(LEFT(C127,16)="Terima Pajak PPN",VLOOKUP(P127,COPY!$A$1:$AC$1000,21,FALSE),IF(LEFT(C127,16)="Terima Pajak PPH",VLOOKUP(P127,COPY!$A$1:$AC$1000,21,FALSE),IF(LEFT(C127,13)="Terima PPh 23",VLOOKUP(P127,COPY!$A$1:$AC$1000,21,FALSE),0)))</f>
        <v>0</v>
      </c>
      <c r="C127" s="457">
        <f>IFERROR(IF(LEFT(VLOOKUP(P127,COPY!$A$1:$AC$1000,29,FALSE),5)="Terim",VLOOKUP(P127,COPY!$A$1:$AC$1000,29,FALSE),0),0)</f>
        <v>0</v>
      </c>
      <c r="D127" s="457"/>
      <c r="E127" s="457"/>
      <c r="F127" s="458">
        <f>IFERROR(IF(LEFT(VLOOKUP(P127,COPY!$A$1:$AC$1000,29,FALSE),5)="Terim",VLOOKUP(P127,COPY!$A$1:$AC$1000,26,FALSE),0),0)</f>
        <v>0</v>
      </c>
      <c r="G127" s="459">
        <f>IFERROR(VLOOKUP(P127,COPY!$A$1:$L$1000,4,FALSE),0)</f>
        <v>0</v>
      </c>
      <c r="H127" s="457">
        <f>IFERROR(VLOOKUP(P127,COPY!$A$1:$L$1000,2,FALSE),0)</f>
        <v>0</v>
      </c>
      <c r="I127" s="510">
        <f>IFERROR(VLOOKUP(P127,COPY!$A$1:$L$1000,10,FALSE),0)</f>
        <v>0</v>
      </c>
      <c r="J127" s="467">
        <f>IFERROR(VLOOKUP(P127,COPY!$A$1:$L$1000,8,FALSE),0)</f>
        <v>0</v>
      </c>
      <c r="K127" s="457">
        <f>IFERROR(VLOOKUP(P127,COPY!$A$1:$L$1000,7,FALSE),0)</f>
        <v>0</v>
      </c>
      <c r="L127" s="468">
        <f>IFERROR(VLOOKUP(P127,COPY!$A$1:$O$1000,15,FALSE),0)</f>
        <v>0</v>
      </c>
      <c r="M127" s="468">
        <f>IFERROR(VLOOKUP(P127,COPY!$A$1:$L$1000,12,FALSE),0)</f>
        <v>0</v>
      </c>
      <c r="N127" s="471">
        <f>IF(H127="Jasa",VLOOKUP('BKU 4'!K127,'Rekap Gaji'!$D$12:$I$26,6,FALSE),(IF(H127="Beli",VLOOKUP(P127,COPY!$A$1:$L$1000,11,FALSE),IF(H127="Bayar Ongkos",VLOOKUP(K127,'Rekap Gaji'!$D$12:$I$26,6,FALSE),0))))</f>
        <v>0</v>
      </c>
      <c r="O127" s="470"/>
      <c r="P127" s="466" t="str">
        <f t="shared" si="7"/>
        <v/>
      </c>
      <c r="Q127" s="253">
        <f t="shared" si="10"/>
        <v>0</v>
      </c>
      <c r="R127" s="253">
        <f t="shared" si="11"/>
        <v>0</v>
      </c>
      <c r="S127" s="449">
        <f t="shared" si="12"/>
        <v>95</v>
      </c>
      <c r="T127" s="253">
        <f t="shared" si="13"/>
        <v>95</v>
      </c>
      <c r="U127" s="457" t="str">
        <f t="shared" si="8"/>
        <v xml:space="preserve"> </v>
      </c>
    </row>
    <row r="128" spans="1:21" ht="20.100000000000001" hidden="1" customHeight="1" x14ac:dyDescent="0.25">
      <c r="A128" s="470" t="str">
        <f t="shared" si="9"/>
        <v/>
      </c>
      <c r="B128" s="456">
        <f>IF(LEFT(C128,16)="Terima Pajak PPN",VLOOKUP(P128,COPY!$A$1:$AC$1000,21,FALSE),IF(LEFT(C128,16)="Terima Pajak PPH",VLOOKUP(P128,COPY!$A$1:$AC$1000,21,FALSE),IF(LEFT(C128,13)="Terima PPh 23",VLOOKUP(P128,COPY!$A$1:$AC$1000,21,FALSE),0)))</f>
        <v>0</v>
      </c>
      <c r="C128" s="457">
        <f>IFERROR(IF(LEFT(VLOOKUP(P128,COPY!$A$1:$AC$1000,29,FALSE),5)="Terim",VLOOKUP(P128,COPY!$A$1:$AC$1000,29,FALSE),0),0)</f>
        <v>0</v>
      </c>
      <c r="D128" s="457"/>
      <c r="E128" s="457"/>
      <c r="F128" s="458">
        <f>IFERROR(IF(LEFT(VLOOKUP(P128,COPY!$A$1:$AC$1000,29,FALSE),5)="Terim",VLOOKUP(P128,COPY!$A$1:$AC$1000,26,FALSE),0),0)</f>
        <v>0</v>
      </c>
      <c r="G128" s="459">
        <f>IFERROR(VLOOKUP(P128,COPY!$A$1:$L$1000,4,FALSE),0)</f>
        <v>0</v>
      </c>
      <c r="H128" s="457">
        <f>IFERROR(VLOOKUP(P128,COPY!$A$1:$L$1000,2,FALSE),0)</f>
        <v>0</v>
      </c>
      <c r="I128" s="510">
        <f>IFERROR(VLOOKUP(P128,COPY!$A$1:$L$1000,10,FALSE),0)</f>
        <v>0</v>
      </c>
      <c r="J128" s="467">
        <f>IFERROR(VLOOKUP(P128,COPY!$A$1:$L$1000,8,FALSE),0)</f>
        <v>0</v>
      </c>
      <c r="K128" s="457">
        <f>IFERROR(VLOOKUP(P128,COPY!$A$1:$L$1000,7,FALSE),0)</f>
        <v>0</v>
      </c>
      <c r="L128" s="468">
        <f>IFERROR(VLOOKUP(P128,COPY!$A$1:$O$1000,15,FALSE),0)</f>
        <v>0</v>
      </c>
      <c r="M128" s="468">
        <f>IFERROR(VLOOKUP(P128,COPY!$A$1:$L$1000,12,FALSE),0)</f>
        <v>0</v>
      </c>
      <c r="N128" s="471">
        <f>IF(H128="Jasa",VLOOKUP('BKU 4'!K128,'Rekap Gaji'!$D$12:$I$26,6,FALSE),(IF(H128="Beli",VLOOKUP(P128,COPY!$A$1:$L$1000,11,FALSE),IF(H128="Bayar Ongkos",VLOOKUP(K128,'Rekap Gaji'!$D$12:$I$26,6,FALSE),0))))</f>
        <v>0</v>
      </c>
      <c r="O128" s="470"/>
      <c r="P128" s="466" t="str">
        <f t="shared" si="7"/>
        <v/>
      </c>
      <c r="Q128" s="253">
        <f t="shared" si="10"/>
        <v>0</v>
      </c>
      <c r="R128" s="253">
        <f t="shared" si="11"/>
        <v>0</v>
      </c>
      <c r="S128" s="449">
        <f t="shared" si="12"/>
        <v>96</v>
      </c>
      <c r="T128" s="253">
        <f t="shared" si="13"/>
        <v>96</v>
      </c>
      <c r="U128" s="457" t="str">
        <f t="shared" si="8"/>
        <v xml:space="preserve"> </v>
      </c>
    </row>
    <row r="129" spans="1:21" ht="20.100000000000001" hidden="1" customHeight="1" x14ac:dyDescent="0.25">
      <c r="A129" s="470" t="str">
        <f t="shared" si="9"/>
        <v/>
      </c>
      <c r="B129" s="456">
        <f>IF(LEFT(C129,16)="Terima Pajak PPN",VLOOKUP(P129,COPY!$A$1:$AC$1000,21,FALSE),IF(LEFT(C129,16)="Terima Pajak PPH",VLOOKUP(P129,COPY!$A$1:$AC$1000,21,FALSE),IF(LEFT(C129,13)="Terima PPh 23",VLOOKUP(P129,COPY!$A$1:$AC$1000,21,FALSE),0)))</f>
        <v>0</v>
      </c>
      <c r="C129" s="457">
        <f>IFERROR(IF(LEFT(VLOOKUP(P129,COPY!$A$1:$AC$1000,29,FALSE),5)="Terim",VLOOKUP(P129,COPY!$A$1:$AC$1000,29,FALSE),0),0)</f>
        <v>0</v>
      </c>
      <c r="D129" s="457"/>
      <c r="E129" s="457"/>
      <c r="F129" s="458">
        <f>IFERROR(IF(LEFT(VLOOKUP(P129,COPY!$A$1:$AC$1000,29,FALSE),5)="Terim",VLOOKUP(P129,COPY!$A$1:$AC$1000,26,FALSE),0),0)</f>
        <v>0</v>
      </c>
      <c r="G129" s="459">
        <f>IFERROR(VLOOKUP(P129,COPY!$A$1:$L$1000,4,FALSE),0)</f>
        <v>0</v>
      </c>
      <c r="H129" s="457">
        <f>IFERROR(VLOOKUP(P129,COPY!$A$1:$L$1000,2,FALSE),0)</f>
        <v>0</v>
      </c>
      <c r="I129" s="510">
        <f>IFERROR(VLOOKUP(P129,COPY!$A$1:$L$1000,10,FALSE),0)</f>
        <v>0</v>
      </c>
      <c r="J129" s="467">
        <f>IFERROR(VLOOKUP(P129,COPY!$A$1:$L$1000,8,FALSE),0)</f>
        <v>0</v>
      </c>
      <c r="K129" s="457">
        <f>IFERROR(VLOOKUP(P129,COPY!$A$1:$L$1000,7,FALSE),0)</f>
        <v>0</v>
      </c>
      <c r="L129" s="468">
        <f>IFERROR(VLOOKUP(P129,COPY!$A$1:$O$1000,15,FALSE),0)</f>
        <v>0</v>
      </c>
      <c r="M129" s="468">
        <f>IFERROR(VLOOKUP(P129,COPY!$A$1:$L$1000,12,FALSE),0)</f>
        <v>0</v>
      </c>
      <c r="N129" s="471">
        <f>IF(H129="Jasa",VLOOKUP('BKU 4'!K129,'Rekap Gaji'!$D$12:$I$26,6,FALSE),(IF(H129="Beli",VLOOKUP(P129,COPY!$A$1:$L$1000,11,FALSE),IF(H129="Bayar Ongkos",VLOOKUP(K129,'Rekap Gaji'!$D$12:$I$26,6,FALSE),0))))</f>
        <v>0</v>
      </c>
      <c r="O129" s="470"/>
      <c r="P129" s="466" t="str">
        <f t="shared" si="7"/>
        <v/>
      </c>
      <c r="Q129" s="253">
        <f t="shared" si="10"/>
        <v>0</v>
      </c>
      <c r="R129" s="253">
        <f t="shared" si="11"/>
        <v>0</v>
      </c>
      <c r="S129" s="449">
        <f t="shared" si="12"/>
        <v>97</v>
      </c>
      <c r="T129" s="253">
        <f t="shared" si="13"/>
        <v>97</v>
      </c>
      <c r="U129" s="457" t="str">
        <f t="shared" si="8"/>
        <v xml:space="preserve"> </v>
      </c>
    </row>
    <row r="130" spans="1:21" ht="20.100000000000001" hidden="1" customHeight="1" x14ac:dyDescent="0.25">
      <c r="A130" s="470" t="str">
        <f t="shared" si="9"/>
        <v/>
      </c>
      <c r="B130" s="456">
        <f>IF(LEFT(C130,16)="Terima Pajak PPN",VLOOKUP(P130,COPY!$A$1:$AC$1000,21,FALSE),IF(LEFT(C130,16)="Terima Pajak PPH",VLOOKUP(P130,COPY!$A$1:$AC$1000,21,FALSE),IF(LEFT(C130,13)="Terima PPh 23",VLOOKUP(P130,COPY!$A$1:$AC$1000,21,FALSE),0)))</f>
        <v>0</v>
      </c>
      <c r="C130" s="457">
        <f>IFERROR(IF(LEFT(VLOOKUP(P130,COPY!$A$1:$AC$1000,29,FALSE),5)="Terim",VLOOKUP(P130,COPY!$A$1:$AC$1000,29,FALSE),0),0)</f>
        <v>0</v>
      </c>
      <c r="D130" s="457"/>
      <c r="E130" s="457"/>
      <c r="F130" s="458">
        <f>IFERROR(IF(LEFT(VLOOKUP(P130,COPY!$A$1:$AC$1000,29,FALSE),5)="Terim",VLOOKUP(P130,COPY!$A$1:$AC$1000,26,FALSE),0),0)</f>
        <v>0</v>
      </c>
      <c r="G130" s="459">
        <f>IFERROR(VLOOKUP(P130,COPY!$A$1:$L$1000,4,FALSE),0)</f>
        <v>0</v>
      </c>
      <c r="H130" s="457">
        <f>IFERROR(VLOOKUP(P130,COPY!$A$1:$L$1000,2,FALSE),0)</f>
        <v>0</v>
      </c>
      <c r="I130" s="510">
        <f>IFERROR(VLOOKUP(P130,COPY!$A$1:$L$1000,10,FALSE),0)</f>
        <v>0</v>
      </c>
      <c r="J130" s="467">
        <f>IFERROR(VLOOKUP(P130,COPY!$A$1:$L$1000,8,FALSE),0)</f>
        <v>0</v>
      </c>
      <c r="K130" s="457">
        <f>IFERROR(VLOOKUP(P130,COPY!$A$1:$L$1000,7,FALSE),0)</f>
        <v>0</v>
      </c>
      <c r="L130" s="468">
        <f>IFERROR(VLOOKUP(P130,COPY!$A$1:$O$1000,15,FALSE),0)</f>
        <v>0</v>
      </c>
      <c r="M130" s="468">
        <f>IFERROR(VLOOKUP(P130,COPY!$A$1:$L$1000,12,FALSE),0)</f>
        <v>0</v>
      </c>
      <c r="N130" s="471">
        <f>IF(H130="Jasa",VLOOKUP('BKU 4'!K130,'Rekap Gaji'!$D$12:$I$26,6,FALSE),(IF(H130="Beli",VLOOKUP(P130,COPY!$A$1:$L$1000,11,FALSE),IF(H130="Bayar Ongkos",VLOOKUP(K130,'Rekap Gaji'!$D$12:$I$26,6,FALSE),0))))</f>
        <v>0</v>
      </c>
      <c r="O130" s="470"/>
      <c r="P130" s="466" t="str">
        <f t="shared" si="7"/>
        <v/>
      </c>
      <c r="Q130" s="253">
        <f t="shared" si="10"/>
        <v>0</v>
      </c>
      <c r="R130" s="253">
        <f t="shared" si="11"/>
        <v>0</v>
      </c>
      <c r="S130" s="449">
        <f t="shared" si="12"/>
        <v>98</v>
      </c>
      <c r="T130" s="253">
        <f t="shared" si="13"/>
        <v>98</v>
      </c>
      <c r="U130" s="457" t="str">
        <f t="shared" si="8"/>
        <v xml:space="preserve"> </v>
      </c>
    </row>
    <row r="131" spans="1:21" ht="20.100000000000001" hidden="1" customHeight="1" x14ac:dyDescent="0.25">
      <c r="A131" s="470" t="str">
        <f t="shared" si="9"/>
        <v/>
      </c>
      <c r="B131" s="456">
        <f>IF(LEFT(C131,16)="Terima Pajak PPN",VLOOKUP(P131,COPY!$A$1:$AC$1000,21,FALSE),IF(LEFT(C131,16)="Terima Pajak PPH",VLOOKUP(P131,COPY!$A$1:$AC$1000,21,FALSE),IF(LEFT(C131,13)="Terima PPh 23",VLOOKUP(P131,COPY!$A$1:$AC$1000,21,FALSE),0)))</f>
        <v>0</v>
      </c>
      <c r="C131" s="457">
        <f>IFERROR(IF(LEFT(VLOOKUP(P131,COPY!$A$1:$AC$1000,29,FALSE),5)="Terim",VLOOKUP(P131,COPY!$A$1:$AC$1000,29,FALSE),0),0)</f>
        <v>0</v>
      </c>
      <c r="D131" s="457"/>
      <c r="E131" s="457"/>
      <c r="F131" s="458">
        <f>IFERROR(IF(LEFT(VLOOKUP(P131,COPY!$A$1:$AC$1000,29,FALSE),5)="Terim",VLOOKUP(P131,COPY!$A$1:$AC$1000,26,FALSE),0),0)</f>
        <v>0</v>
      </c>
      <c r="G131" s="459">
        <f>IFERROR(VLOOKUP(P131,COPY!$A$1:$L$1000,4,FALSE),0)</f>
        <v>0</v>
      </c>
      <c r="H131" s="457">
        <f>IFERROR(VLOOKUP(P131,COPY!$A$1:$L$1000,2,FALSE),0)</f>
        <v>0</v>
      </c>
      <c r="I131" s="510">
        <f>IFERROR(VLOOKUP(P131,COPY!$A$1:$L$1000,10,FALSE),0)</f>
        <v>0</v>
      </c>
      <c r="J131" s="467">
        <f>IFERROR(VLOOKUP(P131,COPY!$A$1:$L$1000,8,FALSE),0)</f>
        <v>0</v>
      </c>
      <c r="K131" s="457">
        <f>IFERROR(VLOOKUP(P131,COPY!$A$1:$L$1000,7,FALSE),0)</f>
        <v>0</v>
      </c>
      <c r="L131" s="468">
        <f>IFERROR(VLOOKUP(P131,COPY!$A$1:$O$1000,15,FALSE),0)</f>
        <v>0</v>
      </c>
      <c r="M131" s="468">
        <f>IFERROR(VLOOKUP(P131,COPY!$A$1:$L$1000,12,FALSE),0)</f>
        <v>0</v>
      </c>
      <c r="N131" s="471">
        <f>IF(H131="Jasa",VLOOKUP('BKU 4'!K131,'Rekap Gaji'!$D$12:$I$26,6,FALSE),(IF(H131="Beli",VLOOKUP(P131,COPY!$A$1:$L$1000,11,FALSE),IF(H131="Bayar Ongkos",VLOOKUP(K131,'Rekap Gaji'!$D$12:$I$26,6,FALSE),0))))</f>
        <v>0</v>
      </c>
      <c r="O131" s="470"/>
      <c r="P131" s="466" t="str">
        <f t="shared" si="7"/>
        <v/>
      </c>
      <c r="Q131" s="253">
        <f t="shared" si="10"/>
        <v>0</v>
      </c>
      <c r="R131" s="253">
        <f t="shared" si="11"/>
        <v>0</v>
      </c>
      <c r="S131" s="449">
        <f t="shared" si="12"/>
        <v>99</v>
      </c>
      <c r="T131" s="253">
        <f t="shared" si="13"/>
        <v>99</v>
      </c>
      <c r="U131" s="457" t="str">
        <f t="shared" si="8"/>
        <v xml:space="preserve"> </v>
      </c>
    </row>
    <row r="132" spans="1:21" ht="20.100000000000001" hidden="1" customHeight="1" x14ac:dyDescent="0.25">
      <c r="A132" s="470" t="str">
        <f t="shared" si="9"/>
        <v/>
      </c>
      <c r="B132" s="456">
        <f>IF(LEFT(C132,16)="Terima Pajak PPN",VLOOKUP(P132,COPY!$A$1:$AC$1000,21,FALSE),IF(LEFT(C132,16)="Terima Pajak PPH",VLOOKUP(P132,COPY!$A$1:$AC$1000,21,FALSE),IF(LEFT(C132,13)="Terima PPh 23",VLOOKUP(P132,COPY!$A$1:$AC$1000,21,FALSE),0)))</f>
        <v>0</v>
      </c>
      <c r="C132" s="457">
        <f>IFERROR(IF(LEFT(VLOOKUP(P132,COPY!$A$1:$AC$1000,29,FALSE),5)="Terim",VLOOKUP(P132,COPY!$A$1:$AC$1000,29,FALSE),0),0)</f>
        <v>0</v>
      </c>
      <c r="D132" s="457"/>
      <c r="E132" s="457"/>
      <c r="F132" s="458">
        <f>IFERROR(IF(LEFT(VLOOKUP(P132,COPY!$A$1:$AC$1000,29,FALSE),5)="Terim",VLOOKUP(P132,COPY!$A$1:$AC$1000,26,FALSE),0),0)</f>
        <v>0</v>
      </c>
      <c r="G132" s="459">
        <f>IFERROR(VLOOKUP(P132,COPY!$A$1:$L$1000,4,FALSE),0)</f>
        <v>0</v>
      </c>
      <c r="H132" s="457">
        <f>IFERROR(VLOOKUP(P132,COPY!$A$1:$L$1000,2,FALSE),0)</f>
        <v>0</v>
      </c>
      <c r="I132" s="510">
        <f>IFERROR(VLOOKUP(P132,COPY!$A$1:$L$1000,10,FALSE),0)</f>
        <v>0</v>
      </c>
      <c r="J132" s="467">
        <f>IFERROR(VLOOKUP(P132,COPY!$A$1:$L$1000,8,FALSE),0)</f>
        <v>0</v>
      </c>
      <c r="K132" s="457">
        <f>IFERROR(VLOOKUP(P132,COPY!$A$1:$L$1000,7,FALSE),0)</f>
        <v>0</v>
      </c>
      <c r="L132" s="468">
        <f>IFERROR(VLOOKUP(P132,COPY!$A$1:$O$1000,15,FALSE),0)</f>
        <v>0</v>
      </c>
      <c r="M132" s="468">
        <f>IFERROR(VLOOKUP(P132,COPY!$A$1:$L$1000,12,FALSE),0)</f>
        <v>0</v>
      </c>
      <c r="N132" s="471">
        <f>IF(H132="Jasa",VLOOKUP('BKU 4'!K132,'Rekap Gaji'!$D$12:$I$26,6,FALSE),(IF(H132="Beli",VLOOKUP(P132,COPY!$A$1:$L$1000,11,FALSE),IF(H132="Bayar Ongkos",VLOOKUP(K132,'Rekap Gaji'!$D$12:$I$26,6,FALSE),0))))</f>
        <v>0</v>
      </c>
      <c r="O132" s="470"/>
      <c r="P132" s="466" t="str">
        <f t="shared" si="7"/>
        <v/>
      </c>
      <c r="Q132" s="253">
        <f t="shared" si="10"/>
        <v>0</v>
      </c>
      <c r="R132" s="253">
        <f t="shared" si="11"/>
        <v>0</v>
      </c>
      <c r="S132" s="449">
        <f t="shared" si="12"/>
        <v>100</v>
      </c>
      <c r="T132" s="253">
        <f t="shared" si="13"/>
        <v>100</v>
      </c>
      <c r="U132" s="457" t="str">
        <f t="shared" si="8"/>
        <v xml:space="preserve"> </v>
      </c>
    </row>
    <row r="133" spans="1:21" ht="20.100000000000001" hidden="1" customHeight="1" x14ac:dyDescent="0.25">
      <c r="A133" s="470" t="str">
        <f t="shared" si="9"/>
        <v/>
      </c>
      <c r="B133" s="456">
        <f>IF(LEFT(C133,16)="Terima Pajak PPN",VLOOKUP(P133,COPY!$A$1:$AC$1000,21,FALSE),IF(LEFT(C133,16)="Terima Pajak PPH",VLOOKUP(P133,COPY!$A$1:$AC$1000,21,FALSE),IF(LEFT(C133,13)="Terima PPh 23",VLOOKUP(P133,COPY!$A$1:$AC$1000,21,FALSE),0)))</f>
        <v>0</v>
      </c>
      <c r="C133" s="457">
        <f>IFERROR(IF(LEFT(VLOOKUP(P133,COPY!$A$1:$AC$1000,29,FALSE),5)="Terim",VLOOKUP(P133,COPY!$A$1:$AC$1000,29,FALSE),0),0)</f>
        <v>0</v>
      </c>
      <c r="D133" s="457"/>
      <c r="E133" s="457"/>
      <c r="F133" s="458">
        <f>IFERROR(IF(LEFT(VLOOKUP(P133,COPY!$A$1:$AC$1000,29,FALSE),5)="Terim",VLOOKUP(P133,COPY!$A$1:$AC$1000,26,FALSE),0),0)</f>
        <v>0</v>
      </c>
      <c r="G133" s="459">
        <f>IFERROR(VLOOKUP(P133,COPY!$A$1:$L$1000,4,FALSE),0)</f>
        <v>0</v>
      </c>
      <c r="H133" s="457">
        <f>IFERROR(VLOOKUP(P133,COPY!$A$1:$L$1000,2,FALSE),0)</f>
        <v>0</v>
      </c>
      <c r="I133" s="510">
        <f>IFERROR(VLOOKUP(P133,COPY!$A$1:$L$1000,10,FALSE),0)</f>
        <v>0</v>
      </c>
      <c r="J133" s="467">
        <f>IFERROR(VLOOKUP(P133,COPY!$A$1:$L$1000,8,FALSE),0)</f>
        <v>0</v>
      </c>
      <c r="K133" s="457">
        <f>IFERROR(VLOOKUP(P133,COPY!$A$1:$L$1000,7,FALSE),0)</f>
        <v>0</v>
      </c>
      <c r="L133" s="468">
        <f>IFERROR(VLOOKUP(P133,COPY!$A$1:$O$1000,15,FALSE),0)</f>
        <v>0</v>
      </c>
      <c r="M133" s="468">
        <f>IFERROR(VLOOKUP(P133,COPY!$A$1:$L$1000,12,FALSE),0)</f>
        <v>0</v>
      </c>
      <c r="N133" s="471">
        <f>IF(H133="Jasa",VLOOKUP('BKU 4'!K133,'Rekap Gaji'!$D$12:$I$26,6,FALSE),(IF(H133="Beli",VLOOKUP(P133,COPY!$A$1:$L$1000,11,FALSE),IF(H133="Bayar Ongkos",VLOOKUP(K133,'Rekap Gaji'!$D$12:$I$26,6,FALSE),0))))</f>
        <v>0</v>
      </c>
      <c r="O133" s="470"/>
      <c r="P133" s="466" t="str">
        <f t="shared" si="7"/>
        <v/>
      </c>
      <c r="Q133" s="253">
        <f t="shared" si="10"/>
        <v>0</v>
      </c>
      <c r="R133" s="253">
        <f t="shared" si="11"/>
        <v>0</v>
      </c>
      <c r="S133" s="449">
        <f t="shared" si="12"/>
        <v>101</v>
      </c>
      <c r="T133" s="253">
        <f t="shared" si="13"/>
        <v>101</v>
      </c>
      <c r="U133" s="457" t="str">
        <f t="shared" si="8"/>
        <v xml:space="preserve"> </v>
      </c>
    </row>
    <row r="134" spans="1:21" ht="20.100000000000001" hidden="1" customHeight="1" x14ac:dyDescent="0.25">
      <c r="A134" s="470" t="str">
        <f t="shared" si="9"/>
        <v/>
      </c>
      <c r="B134" s="456">
        <f>IF(LEFT(C134,16)="Terima Pajak PPN",VLOOKUP(P134,COPY!$A$1:$AC$1000,21,FALSE),IF(LEFT(C134,16)="Terima Pajak PPH",VLOOKUP(P134,COPY!$A$1:$AC$1000,21,FALSE),IF(LEFT(C134,13)="Terima PPh 23",VLOOKUP(P134,COPY!$A$1:$AC$1000,21,FALSE),0)))</f>
        <v>0</v>
      </c>
      <c r="C134" s="457">
        <f>IFERROR(IF(LEFT(VLOOKUP(P134,COPY!$A$1:$AC$1000,29,FALSE),5)="Terim",VLOOKUP(P134,COPY!$A$1:$AC$1000,29,FALSE),0),0)</f>
        <v>0</v>
      </c>
      <c r="D134" s="457"/>
      <c r="E134" s="457"/>
      <c r="F134" s="458">
        <f>IFERROR(IF(LEFT(VLOOKUP(P134,COPY!$A$1:$AC$1000,29,FALSE),5)="Terim",VLOOKUP(P134,COPY!$A$1:$AC$1000,26,FALSE),0),0)</f>
        <v>0</v>
      </c>
      <c r="G134" s="459">
        <f>IFERROR(VLOOKUP(P134,COPY!$A$1:$L$1000,4,FALSE),0)</f>
        <v>0</v>
      </c>
      <c r="H134" s="457">
        <f>IFERROR(VLOOKUP(P134,COPY!$A$1:$L$1000,2,FALSE),0)</f>
        <v>0</v>
      </c>
      <c r="I134" s="510">
        <f>IFERROR(VLOOKUP(P134,COPY!$A$1:$L$1000,10,FALSE),0)</f>
        <v>0</v>
      </c>
      <c r="J134" s="467">
        <f>IFERROR(VLOOKUP(P134,COPY!$A$1:$L$1000,8,FALSE),0)</f>
        <v>0</v>
      </c>
      <c r="K134" s="457">
        <f>IFERROR(VLOOKUP(P134,COPY!$A$1:$L$1000,7,FALSE),0)</f>
        <v>0</v>
      </c>
      <c r="L134" s="468">
        <f>IFERROR(VLOOKUP(P134,COPY!$A$1:$O$1000,15,FALSE),0)</f>
        <v>0</v>
      </c>
      <c r="M134" s="468">
        <f>IFERROR(VLOOKUP(P134,COPY!$A$1:$L$1000,12,FALSE),0)</f>
        <v>0</v>
      </c>
      <c r="N134" s="471">
        <f>IF(H134="Jasa",VLOOKUP('BKU 4'!K134,'Rekap Gaji'!$D$12:$I$26,6,FALSE),(IF(H134="Beli",VLOOKUP(P134,COPY!$A$1:$L$1000,11,FALSE),IF(H134="Bayar Ongkos",VLOOKUP(K134,'Rekap Gaji'!$D$12:$I$26,6,FALSE),0))))</f>
        <v>0</v>
      </c>
      <c r="O134" s="470"/>
      <c r="P134" s="466" t="str">
        <f t="shared" si="7"/>
        <v/>
      </c>
      <c r="Q134" s="253">
        <f t="shared" si="10"/>
        <v>0</v>
      </c>
      <c r="R134" s="253">
        <f t="shared" si="11"/>
        <v>0</v>
      </c>
      <c r="S134" s="449">
        <f t="shared" si="12"/>
        <v>102</v>
      </c>
      <c r="T134" s="253">
        <f t="shared" si="13"/>
        <v>102</v>
      </c>
      <c r="U134" s="457" t="str">
        <f t="shared" si="8"/>
        <v xml:space="preserve"> </v>
      </c>
    </row>
    <row r="135" spans="1:21" ht="20.100000000000001" hidden="1" customHeight="1" x14ac:dyDescent="0.25">
      <c r="A135" s="470" t="str">
        <f t="shared" si="9"/>
        <v/>
      </c>
      <c r="B135" s="456">
        <f>IF(LEFT(C135,16)="Terima Pajak PPN",VLOOKUP(P135,COPY!$A$1:$AC$1000,21,FALSE),IF(LEFT(C135,16)="Terima Pajak PPH",VLOOKUP(P135,COPY!$A$1:$AC$1000,21,FALSE),IF(LEFT(C135,13)="Terima PPh 23",VLOOKUP(P135,COPY!$A$1:$AC$1000,21,FALSE),0)))</f>
        <v>0</v>
      </c>
      <c r="C135" s="457">
        <f>IFERROR(IF(LEFT(VLOOKUP(P135,COPY!$A$1:$AC$1000,29,FALSE),5)="Terim",VLOOKUP(P135,COPY!$A$1:$AC$1000,29,FALSE),0),0)</f>
        <v>0</v>
      </c>
      <c r="D135" s="457"/>
      <c r="E135" s="457"/>
      <c r="F135" s="458">
        <f>IFERROR(IF(LEFT(VLOOKUP(P135,COPY!$A$1:$AC$1000,29,FALSE),5)="Terim",VLOOKUP(P135,COPY!$A$1:$AC$1000,26,FALSE),0),0)</f>
        <v>0</v>
      </c>
      <c r="G135" s="459">
        <f>IFERROR(VLOOKUP(P135,COPY!$A$1:$L$1000,4,FALSE),0)</f>
        <v>0</v>
      </c>
      <c r="H135" s="457">
        <f>IFERROR(VLOOKUP(P135,COPY!$A$1:$L$1000,2,FALSE),0)</f>
        <v>0</v>
      </c>
      <c r="I135" s="510">
        <f>IFERROR(VLOOKUP(P135,COPY!$A$1:$L$1000,10,FALSE),0)</f>
        <v>0</v>
      </c>
      <c r="J135" s="467">
        <f>IFERROR(VLOOKUP(P135,COPY!$A$1:$L$1000,8,FALSE),0)</f>
        <v>0</v>
      </c>
      <c r="K135" s="457">
        <f>IFERROR(VLOOKUP(P135,COPY!$A$1:$L$1000,7,FALSE),0)</f>
        <v>0</v>
      </c>
      <c r="L135" s="468">
        <f>IFERROR(VLOOKUP(P135,COPY!$A$1:$O$1000,15,FALSE),0)</f>
        <v>0</v>
      </c>
      <c r="M135" s="468">
        <f>IFERROR(VLOOKUP(P135,COPY!$A$1:$L$1000,12,FALSE),0)</f>
        <v>0</v>
      </c>
      <c r="N135" s="471">
        <f>IF(H135="Jasa",VLOOKUP('BKU 4'!K135,'Rekap Gaji'!$D$12:$I$26,6,FALSE),(IF(H135="Beli",VLOOKUP(P135,COPY!$A$1:$L$1000,11,FALSE),IF(H135="Bayar Ongkos",VLOOKUP(K135,'Rekap Gaji'!$D$12:$I$26,6,FALSE),0))))</f>
        <v>0</v>
      </c>
      <c r="O135" s="470"/>
      <c r="P135" s="466" t="str">
        <f t="shared" si="7"/>
        <v/>
      </c>
      <c r="Q135" s="253">
        <f t="shared" si="10"/>
        <v>0</v>
      </c>
      <c r="R135" s="253">
        <f t="shared" si="11"/>
        <v>0</v>
      </c>
      <c r="S135" s="449">
        <f t="shared" si="12"/>
        <v>103</v>
      </c>
      <c r="T135" s="253">
        <f t="shared" si="13"/>
        <v>103</v>
      </c>
      <c r="U135" s="457" t="str">
        <f t="shared" si="8"/>
        <v xml:space="preserve"> </v>
      </c>
    </row>
    <row r="136" spans="1:21" ht="20.100000000000001" hidden="1" customHeight="1" x14ac:dyDescent="0.25">
      <c r="A136" s="470" t="str">
        <f t="shared" si="9"/>
        <v/>
      </c>
      <c r="B136" s="456">
        <f>IF(LEFT(C136,16)="Terima Pajak PPN",VLOOKUP(P136,COPY!$A$1:$AC$1000,21,FALSE),IF(LEFT(C136,16)="Terima Pajak PPH",VLOOKUP(P136,COPY!$A$1:$AC$1000,21,FALSE),IF(LEFT(C136,13)="Terima PPh 23",VLOOKUP(P136,COPY!$A$1:$AC$1000,21,FALSE),0)))</f>
        <v>0</v>
      </c>
      <c r="C136" s="457">
        <f>IFERROR(IF(LEFT(VLOOKUP(P136,COPY!$A$1:$AC$1000,29,FALSE),5)="Terim",VLOOKUP(P136,COPY!$A$1:$AC$1000,29,FALSE),0),0)</f>
        <v>0</v>
      </c>
      <c r="D136" s="457"/>
      <c r="E136" s="457"/>
      <c r="F136" s="458">
        <f>IFERROR(IF(LEFT(VLOOKUP(P136,COPY!$A$1:$AC$1000,29,FALSE),5)="Terim",VLOOKUP(P136,COPY!$A$1:$AC$1000,26,FALSE),0),0)</f>
        <v>0</v>
      </c>
      <c r="G136" s="459">
        <f>IFERROR(VLOOKUP(P136,COPY!$A$1:$L$1000,4,FALSE),0)</f>
        <v>0</v>
      </c>
      <c r="H136" s="457">
        <f>IFERROR(VLOOKUP(P136,COPY!$A$1:$L$1000,2,FALSE),0)</f>
        <v>0</v>
      </c>
      <c r="I136" s="510">
        <f>IFERROR(VLOOKUP(P136,COPY!$A$1:$L$1000,10,FALSE),0)</f>
        <v>0</v>
      </c>
      <c r="J136" s="467">
        <f>IFERROR(VLOOKUP(P136,COPY!$A$1:$L$1000,8,FALSE),0)</f>
        <v>0</v>
      </c>
      <c r="K136" s="457">
        <f>IFERROR(VLOOKUP(P136,COPY!$A$1:$L$1000,7,FALSE),0)</f>
        <v>0</v>
      </c>
      <c r="L136" s="468">
        <f>IFERROR(VLOOKUP(P136,COPY!$A$1:$O$1000,15,FALSE),0)</f>
        <v>0</v>
      </c>
      <c r="M136" s="468">
        <f>IFERROR(VLOOKUP(P136,COPY!$A$1:$L$1000,12,FALSE),0)</f>
        <v>0</v>
      </c>
      <c r="N136" s="471">
        <f>IF(H136="Jasa",VLOOKUP('BKU 4'!K136,'Rekap Gaji'!$D$12:$I$26,6,FALSE),(IF(H136="Beli",VLOOKUP(P136,COPY!$A$1:$L$1000,11,FALSE),IF(H136="Bayar Ongkos",VLOOKUP(K136,'Rekap Gaji'!$D$12:$I$26,6,FALSE),0))))</f>
        <v>0</v>
      </c>
      <c r="O136" s="470"/>
      <c r="P136" s="466" t="str">
        <f t="shared" si="7"/>
        <v/>
      </c>
      <c r="Q136" s="253">
        <f t="shared" si="10"/>
        <v>0</v>
      </c>
      <c r="R136" s="253">
        <f t="shared" si="11"/>
        <v>0</v>
      </c>
      <c r="S136" s="449">
        <f t="shared" si="12"/>
        <v>104</v>
      </c>
      <c r="T136" s="253">
        <f t="shared" si="13"/>
        <v>104</v>
      </c>
      <c r="U136" s="457" t="str">
        <f t="shared" si="8"/>
        <v xml:space="preserve"> </v>
      </c>
    </row>
    <row r="137" spans="1:21" ht="20.100000000000001" hidden="1" customHeight="1" x14ac:dyDescent="0.25">
      <c r="A137" s="470" t="str">
        <f t="shared" si="9"/>
        <v/>
      </c>
      <c r="B137" s="456">
        <f>IF(LEFT(C137,16)="Terima Pajak PPN",VLOOKUP(P137,COPY!$A$1:$AC$1000,21,FALSE),IF(LEFT(C137,16)="Terima Pajak PPH",VLOOKUP(P137,COPY!$A$1:$AC$1000,21,FALSE),IF(LEFT(C137,13)="Terima PPh 23",VLOOKUP(P137,COPY!$A$1:$AC$1000,21,FALSE),0)))</f>
        <v>0</v>
      </c>
      <c r="C137" s="457">
        <f>IFERROR(IF(LEFT(VLOOKUP(P137,COPY!$A$1:$AC$1000,29,FALSE),5)="Terim",VLOOKUP(P137,COPY!$A$1:$AC$1000,29,FALSE),0),0)</f>
        <v>0</v>
      </c>
      <c r="D137" s="457"/>
      <c r="E137" s="457"/>
      <c r="F137" s="458">
        <f>IFERROR(IF(LEFT(VLOOKUP(P137,COPY!$A$1:$AC$1000,29,FALSE),5)="Terim",VLOOKUP(P137,COPY!$A$1:$AC$1000,26,FALSE),0),0)</f>
        <v>0</v>
      </c>
      <c r="G137" s="459">
        <f>IFERROR(VLOOKUP(P137,COPY!$A$1:$L$1000,4,FALSE),0)</f>
        <v>0</v>
      </c>
      <c r="H137" s="457">
        <f>IFERROR(VLOOKUP(P137,COPY!$A$1:$L$1000,2,FALSE),0)</f>
        <v>0</v>
      </c>
      <c r="I137" s="510">
        <f>IFERROR(VLOOKUP(P137,COPY!$A$1:$L$1000,10,FALSE),0)</f>
        <v>0</v>
      </c>
      <c r="J137" s="467">
        <f>IFERROR(VLOOKUP(P137,COPY!$A$1:$L$1000,8,FALSE),0)</f>
        <v>0</v>
      </c>
      <c r="K137" s="457">
        <f>IFERROR(VLOOKUP(P137,COPY!$A$1:$L$1000,7,FALSE),0)</f>
        <v>0</v>
      </c>
      <c r="L137" s="468">
        <f>IFERROR(VLOOKUP(P137,COPY!$A$1:$O$1000,15,FALSE),0)</f>
        <v>0</v>
      </c>
      <c r="M137" s="468">
        <f>IFERROR(VLOOKUP(P137,COPY!$A$1:$L$1000,12,FALSE),0)</f>
        <v>0</v>
      </c>
      <c r="N137" s="471">
        <f>IF(H137="Jasa",VLOOKUP('BKU 4'!K137,'Rekap Gaji'!$D$12:$I$26,6,FALSE),(IF(H137="Beli",VLOOKUP(P137,COPY!$A$1:$L$1000,11,FALSE),IF(H137="Bayar Ongkos",VLOOKUP(K137,'Rekap Gaji'!$D$12:$I$26,6,FALSE),0))))</f>
        <v>0</v>
      </c>
      <c r="O137" s="470"/>
      <c r="P137" s="466" t="str">
        <f t="shared" si="7"/>
        <v/>
      </c>
      <c r="Q137" s="253">
        <f t="shared" si="10"/>
        <v>0</v>
      </c>
      <c r="R137" s="253">
        <f t="shared" si="11"/>
        <v>0</v>
      </c>
      <c r="S137" s="449">
        <f t="shared" si="12"/>
        <v>105</v>
      </c>
      <c r="T137" s="253">
        <f t="shared" si="13"/>
        <v>105</v>
      </c>
      <c r="U137" s="457" t="str">
        <f t="shared" si="8"/>
        <v xml:space="preserve"> </v>
      </c>
    </row>
    <row r="138" spans="1:21" ht="20.100000000000001" hidden="1" customHeight="1" x14ac:dyDescent="0.25">
      <c r="A138" s="470" t="str">
        <f t="shared" si="9"/>
        <v/>
      </c>
      <c r="B138" s="456">
        <f>IF(LEFT(C138,16)="Terima Pajak PPN",VLOOKUP(P138,COPY!$A$1:$AC$1000,21,FALSE),IF(LEFT(C138,16)="Terima Pajak PPH",VLOOKUP(P138,COPY!$A$1:$AC$1000,21,FALSE),IF(LEFT(C138,13)="Terima PPh 23",VLOOKUP(P138,COPY!$A$1:$AC$1000,21,FALSE),0)))</f>
        <v>0</v>
      </c>
      <c r="C138" s="457">
        <f>IFERROR(IF(LEFT(VLOOKUP(P138,COPY!$A$1:$AC$1000,29,FALSE),5)="Terim",VLOOKUP(P138,COPY!$A$1:$AC$1000,29,FALSE),0),0)</f>
        <v>0</v>
      </c>
      <c r="D138" s="457"/>
      <c r="E138" s="457"/>
      <c r="F138" s="458">
        <f>IFERROR(IF(LEFT(VLOOKUP(P138,COPY!$A$1:$AC$1000,29,FALSE),5)="Terim",VLOOKUP(P138,COPY!$A$1:$AC$1000,26,FALSE),0),0)</f>
        <v>0</v>
      </c>
      <c r="G138" s="459">
        <f>IFERROR(VLOOKUP(P138,COPY!$A$1:$L$1000,4,FALSE),0)</f>
        <v>0</v>
      </c>
      <c r="H138" s="457">
        <f>IFERROR(VLOOKUP(P138,COPY!$A$1:$L$1000,2,FALSE),0)</f>
        <v>0</v>
      </c>
      <c r="I138" s="510">
        <f>IFERROR(VLOOKUP(P138,COPY!$A$1:$L$1000,10,FALSE),0)</f>
        <v>0</v>
      </c>
      <c r="J138" s="467">
        <f>IFERROR(VLOOKUP(P138,COPY!$A$1:$L$1000,8,FALSE),0)</f>
        <v>0</v>
      </c>
      <c r="K138" s="457">
        <f>IFERROR(VLOOKUP(P138,COPY!$A$1:$L$1000,7,FALSE),0)</f>
        <v>0</v>
      </c>
      <c r="L138" s="468">
        <f>IFERROR(VLOOKUP(P138,COPY!$A$1:$O$1000,15,FALSE),0)</f>
        <v>0</v>
      </c>
      <c r="M138" s="468">
        <f>IFERROR(VLOOKUP(P138,COPY!$A$1:$L$1000,12,FALSE),0)</f>
        <v>0</v>
      </c>
      <c r="N138" s="471">
        <f>IF(H138="Jasa",VLOOKUP('BKU 4'!K138,'Rekap Gaji'!$D$12:$I$26,6,FALSE),(IF(H138="Beli",VLOOKUP(P138,COPY!$A$1:$L$1000,11,FALSE),IF(H138="Bayar Ongkos",VLOOKUP(K138,'Rekap Gaji'!$D$12:$I$26,6,FALSE),0))))</f>
        <v>0</v>
      </c>
      <c r="O138" s="470"/>
      <c r="P138" s="466" t="str">
        <f t="shared" si="7"/>
        <v/>
      </c>
      <c r="Q138" s="253">
        <f t="shared" si="10"/>
        <v>0</v>
      </c>
      <c r="R138" s="253">
        <f t="shared" si="11"/>
        <v>0</v>
      </c>
      <c r="S138" s="449">
        <f t="shared" si="12"/>
        <v>106</v>
      </c>
      <c r="T138" s="253">
        <f t="shared" si="13"/>
        <v>106</v>
      </c>
      <c r="U138" s="457" t="str">
        <f t="shared" si="8"/>
        <v xml:space="preserve"> </v>
      </c>
    </row>
    <row r="139" spans="1:21" ht="20.100000000000001" hidden="1" customHeight="1" x14ac:dyDescent="0.25">
      <c r="A139" s="470" t="str">
        <f t="shared" si="9"/>
        <v/>
      </c>
      <c r="B139" s="456">
        <f>IF(LEFT(C139,16)="Terima Pajak PPN",VLOOKUP(P139,COPY!$A$1:$AC$1000,21,FALSE),IF(LEFT(C139,16)="Terima Pajak PPH",VLOOKUP(P139,COPY!$A$1:$AC$1000,21,FALSE),IF(LEFT(C139,13)="Terima PPh 23",VLOOKUP(P139,COPY!$A$1:$AC$1000,21,FALSE),0)))</f>
        <v>0</v>
      </c>
      <c r="C139" s="457">
        <f>IFERROR(IF(LEFT(VLOOKUP(P139,COPY!$A$1:$AC$1000,29,FALSE),5)="Terim",VLOOKUP(P139,COPY!$A$1:$AC$1000,29,FALSE),0),0)</f>
        <v>0</v>
      </c>
      <c r="D139" s="457"/>
      <c r="E139" s="457"/>
      <c r="F139" s="458">
        <f>IFERROR(IF(LEFT(VLOOKUP(P139,COPY!$A$1:$AC$1000,29,FALSE),5)="Terim",VLOOKUP(P139,COPY!$A$1:$AC$1000,26,FALSE),0),0)</f>
        <v>0</v>
      </c>
      <c r="G139" s="459">
        <f>IFERROR(VLOOKUP(P139,COPY!$A$1:$L$1000,4,FALSE),0)</f>
        <v>0</v>
      </c>
      <c r="H139" s="457">
        <f>IFERROR(VLOOKUP(P139,COPY!$A$1:$L$1000,2,FALSE),0)</f>
        <v>0</v>
      </c>
      <c r="I139" s="510">
        <f>IFERROR(VLOOKUP(P139,COPY!$A$1:$L$1000,10,FALSE),0)</f>
        <v>0</v>
      </c>
      <c r="J139" s="467">
        <f>IFERROR(VLOOKUP(P139,COPY!$A$1:$L$1000,8,FALSE),0)</f>
        <v>0</v>
      </c>
      <c r="K139" s="457">
        <f>IFERROR(VLOOKUP(P139,COPY!$A$1:$L$1000,7,FALSE),0)</f>
        <v>0</v>
      </c>
      <c r="L139" s="468">
        <f>IFERROR(VLOOKUP(P139,COPY!$A$1:$O$1000,15,FALSE),0)</f>
        <v>0</v>
      </c>
      <c r="M139" s="468">
        <f>IFERROR(VLOOKUP(P139,COPY!$A$1:$L$1000,12,FALSE),0)</f>
        <v>0</v>
      </c>
      <c r="N139" s="471">
        <f>IF(H139="Jasa",VLOOKUP('BKU 4'!K139,'Rekap Gaji'!$D$12:$I$26,6,FALSE),(IF(H139="Beli",VLOOKUP(P139,COPY!$A$1:$L$1000,11,FALSE),IF(H139="Bayar Ongkos",VLOOKUP(K139,'Rekap Gaji'!$D$12:$I$26,6,FALSE),0))))</f>
        <v>0</v>
      </c>
      <c r="O139" s="470"/>
      <c r="P139" s="466" t="str">
        <f t="shared" si="7"/>
        <v/>
      </c>
      <c r="Q139" s="253">
        <f t="shared" si="10"/>
        <v>0</v>
      </c>
      <c r="R139" s="253">
        <f t="shared" si="11"/>
        <v>0</v>
      </c>
      <c r="S139" s="449">
        <f t="shared" si="12"/>
        <v>107</v>
      </c>
      <c r="T139" s="253">
        <f t="shared" si="13"/>
        <v>107</v>
      </c>
      <c r="U139" s="457" t="str">
        <f t="shared" si="8"/>
        <v xml:space="preserve"> </v>
      </c>
    </row>
    <row r="140" spans="1:21" ht="20.100000000000001" hidden="1" customHeight="1" x14ac:dyDescent="0.25">
      <c r="A140" s="470" t="str">
        <f t="shared" si="9"/>
        <v/>
      </c>
      <c r="B140" s="456">
        <f>IF(LEFT(C140,16)="Terima Pajak PPN",VLOOKUP(P140,COPY!$A$1:$AC$1000,21,FALSE),IF(LEFT(C140,16)="Terima Pajak PPH",VLOOKUP(P140,COPY!$A$1:$AC$1000,21,FALSE),IF(LEFT(C140,13)="Terima PPh 23",VLOOKUP(P140,COPY!$A$1:$AC$1000,21,FALSE),0)))</f>
        <v>0</v>
      </c>
      <c r="C140" s="457">
        <f>IFERROR(IF(LEFT(VLOOKUP(P140,COPY!$A$1:$AC$1000,29,FALSE),5)="Terim",VLOOKUP(P140,COPY!$A$1:$AC$1000,29,FALSE),0),0)</f>
        <v>0</v>
      </c>
      <c r="D140" s="457"/>
      <c r="E140" s="457"/>
      <c r="F140" s="458">
        <f>IFERROR(IF(LEFT(VLOOKUP(P140,COPY!$A$1:$AC$1000,29,FALSE),5)="Terim",VLOOKUP(P140,COPY!$A$1:$AC$1000,26,FALSE),0),0)</f>
        <v>0</v>
      </c>
      <c r="G140" s="459">
        <f>IFERROR(VLOOKUP(P140,COPY!$A$1:$L$1000,4,FALSE),0)</f>
        <v>0</v>
      </c>
      <c r="H140" s="457">
        <f>IFERROR(VLOOKUP(P140,COPY!$A$1:$L$1000,2,FALSE),0)</f>
        <v>0</v>
      </c>
      <c r="I140" s="510">
        <f>IFERROR(VLOOKUP(P140,COPY!$A$1:$L$1000,10,FALSE),0)</f>
        <v>0</v>
      </c>
      <c r="J140" s="467">
        <f>IFERROR(VLOOKUP(P140,COPY!$A$1:$L$1000,8,FALSE),0)</f>
        <v>0</v>
      </c>
      <c r="K140" s="457">
        <f>IFERROR(VLOOKUP(P140,COPY!$A$1:$L$1000,7,FALSE),0)</f>
        <v>0</v>
      </c>
      <c r="L140" s="468">
        <f>IFERROR(VLOOKUP(P140,COPY!$A$1:$O$1000,15,FALSE),0)</f>
        <v>0</v>
      </c>
      <c r="M140" s="468">
        <f>IFERROR(VLOOKUP(P140,COPY!$A$1:$L$1000,12,FALSE),0)</f>
        <v>0</v>
      </c>
      <c r="N140" s="471">
        <f>IF(H140="Jasa",VLOOKUP('BKU 4'!K140,'Rekap Gaji'!$D$12:$I$26,6,FALSE),(IF(H140="Beli",VLOOKUP(P140,COPY!$A$1:$L$1000,11,FALSE),IF(H140="Bayar Ongkos",VLOOKUP(K140,'Rekap Gaji'!$D$12:$I$26,6,FALSE),0))))</f>
        <v>0</v>
      </c>
      <c r="O140" s="470"/>
      <c r="P140" s="466" t="str">
        <f t="shared" si="7"/>
        <v/>
      </c>
      <c r="Q140" s="253">
        <f t="shared" si="10"/>
        <v>0</v>
      </c>
      <c r="R140" s="253">
        <f t="shared" si="11"/>
        <v>0</v>
      </c>
      <c r="S140" s="449">
        <f t="shared" si="12"/>
        <v>108</v>
      </c>
      <c r="T140" s="253">
        <f t="shared" si="13"/>
        <v>108</v>
      </c>
      <c r="U140" s="457" t="str">
        <f t="shared" si="8"/>
        <v xml:space="preserve"> </v>
      </c>
    </row>
    <row r="141" spans="1:21" ht="20.100000000000001" hidden="1" customHeight="1" x14ac:dyDescent="0.25">
      <c r="A141" s="470" t="str">
        <f t="shared" si="9"/>
        <v/>
      </c>
      <c r="B141" s="456">
        <f>IF(LEFT(C141,16)="Terima Pajak PPN",VLOOKUP(P141,COPY!$A$1:$AC$1000,21,FALSE),IF(LEFT(C141,16)="Terima Pajak PPH",VLOOKUP(P141,COPY!$A$1:$AC$1000,21,FALSE),IF(LEFT(C141,13)="Terima PPh 23",VLOOKUP(P141,COPY!$A$1:$AC$1000,21,FALSE),0)))</f>
        <v>0</v>
      </c>
      <c r="C141" s="457">
        <f>IFERROR(IF(LEFT(VLOOKUP(P141,COPY!$A$1:$AC$1000,29,FALSE),5)="Terim",VLOOKUP(P141,COPY!$A$1:$AC$1000,29,FALSE),0),0)</f>
        <v>0</v>
      </c>
      <c r="D141" s="457"/>
      <c r="E141" s="457"/>
      <c r="F141" s="458">
        <f>IFERROR(IF(LEFT(VLOOKUP(P141,COPY!$A$1:$AC$1000,29,FALSE),5)="Terim",VLOOKUP(P141,COPY!$A$1:$AC$1000,26,FALSE),0),0)</f>
        <v>0</v>
      </c>
      <c r="G141" s="459">
        <f>IFERROR(VLOOKUP(P141,COPY!$A$1:$L$1000,4,FALSE),0)</f>
        <v>0</v>
      </c>
      <c r="H141" s="457">
        <f>IFERROR(VLOOKUP(P141,COPY!$A$1:$L$1000,2,FALSE),0)</f>
        <v>0</v>
      </c>
      <c r="I141" s="510">
        <f>IFERROR(VLOOKUP(P141,COPY!$A$1:$L$1000,10,FALSE),0)</f>
        <v>0</v>
      </c>
      <c r="J141" s="467">
        <f>IFERROR(VLOOKUP(P141,COPY!$A$1:$L$1000,8,FALSE),0)</f>
        <v>0</v>
      </c>
      <c r="K141" s="457">
        <f>IFERROR(VLOOKUP(P141,COPY!$A$1:$L$1000,7,FALSE),0)</f>
        <v>0</v>
      </c>
      <c r="L141" s="468">
        <f>IFERROR(VLOOKUP(P141,COPY!$A$1:$O$1000,15,FALSE),0)</f>
        <v>0</v>
      </c>
      <c r="M141" s="468">
        <f>IFERROR(VLOOKUP(P141,COPY!$A$1:$L$1000,12,FALSE),0)</f>
        <v>0</v>
      </c>
      <c r="N141" s="471">
        <f>IF(H141="Jasa",VLOOKUP('BKU 4'!K141,'Rekap Gaji'!$D$12:$I$26,6,FALSE),(IF(H141="Beli",VLOOKUP(P141,COPY!$A$1:$L$1000,11,FALSE),IF(H141="Bayar Ongkos",VLOOKUP(K141,'Rekap Gaji'!$D$12:$I$26,6,FALSE),0))))</f>
        <v>0</v>
      </c>
      <c r="O141" s="470"/>
      <c r="P141" s="466" t="str">
        <f t="shared" si="7"/>
        <v/>
      </c>
      <c r="Q141" s="253">
        <f t="shared" si="10"/>
        <v>0</v>
      </c>
      <c r="R141" s="253">
        <f t="shared" si="11"/>
        <v>0</v>
      </c>
      <c r="S141" s="449">
        <f t="shared" si="12"/>
        <v>109</v>
      </c>
      <c r="T141" s="253">
        <f t="shared" si="13"/>
        <v>109</v>
      </c>
      <c r="U141" s="457" t="str">
        <f t="shared" si="8"/>
        <v xml:space="preserve"> </v>
      </c>
    </row>
    <row r="142" spans="1:21" ht="20.100000000000001" hidden="1" customHeight="1" x14ac:dyDescent="0.25">
      <c r="A142" s="470" t="str">
        <f t="shared" si="9"/>
        <v/>
      </c>
      <c r="B142" s="456">
        <f>IF(LEFT(C142,16)="Terima Pajak PPN",VLOOKUP(P142,COPY!$A$1:$AC$1000,21,FALSE),IF(LEFT(C142,16)="Terima Pajak PPH",VLOOKUP(P142,COPY!$A$1:$AC$1000,21,FALSE),IF(LEFT(C142,13)="Terima PPh 23",VLOOKUP(P142,COPY!$A$1:$AC$1000,21,FALSE),0)))</f>
        <v>0</v>
      </c>
      <c r="C142" s="457">
        <f>IFERROR(IF(LEFT(VLOOKUP(P142,COPY!$A$1:$AC$1000,29,FALSE),5)="Terim",VLOOKUP(P142,COPY!$A$1:$AC$1000,29,FALSE),0),0)</f>
        <v>0</v>
      </c>
      <c r="D142" s="457"/>
      <c r="E142" s="457"/>
      <c r="F142" s="458">
        <f>IFERROR(IF(LEFT(VLOOKUP(P142,COPY!$A$1:$AC$1000,29,FALSE),5)="Terim",VLOOKUP(P142,COPY!$A$1:$AC$1000,26,FALSE),0),0)</f>
        <v>0</v>
      </c>
      <c r="G142" s="459">
        <f>IFERROR(VLOOKUP(P142,COPY!$A$1:$L$1000,4,FALSE),0)</f>
        <v>0</v>
      </c>
      <c r="H142" s="457">
        <f>IFERROR(VLOOKUP(P142,COPY!$A$1:$L$1000,2,FALSE),0)</f>
        <v>0</v>
      </c>
      <c r="I142" s="510">
        <f>IFERROR(VLOOKUP(P142,COPY!$A$1:$L$1000,10,FALSE),0)</f>
        <v>0</v>
      </c>
      <c r="J142" s="467">
        <f>IFERROR(VLOOKUP(P142,COPY!$A$1:$L$1000,8,FALSE),0)</f>
        <v>0</v>
      </c>
      <c r="K142" s="457">
        <f>IFERROR(VLOOKUP(P142,COPY!$A$1:$L$1000,7,FALSE),0)</f>
        <v>0</v>
      </c>
      <c r="L142" s="468">
        <f>IFERROR(VLOOKUP(P142,COPY!$A$1:$O$1000,15,FALSE),0)</f>
        <v>0</v>
      </c>
      <c r="M142" s="468">
        <f>IFERROR(VLOOKUP(P142,COPY!$A$1:$L$1000,12,FALSE),0)</f>
        <v>0</v>
      </c>
      <c r="N142" s="471">
        <f>IF(H142="Jasa",VLOOKUP('BKU 4'!K142,'Rekap Gaji'!$D$12:$I$26,6,FALSE),(IF(H142="Beli",VLOOKUP(P142,COPY!$A$1:$L$1000,11,FALSE),IF(H142="Bayar Ongkos",VLOOKUP(K142,'Rekap Gaji'!$D$12:$I$26,6,FALSE),0))))</f>
        <v>0</v>
      </c>
      <c r="O142" s="470"/>
      <c r="P142" s="466" t="str">
        <f t="shared" si="7"/>
        <v/>
      </c>
      <c r="Q142" s="253">
        <f t="shared" si="10"/>
        <v>0</v>
      </c>
      <c r="R142" s="253">
        <f t="shared" si="11"/>
        <v>0</v>
      </c>
      <c r="S142" s="449">
        <f t="shared" si="12"/>
        <v>110</v>
      </c>
      <c r="T142" s="253">
        <f t="shared" si="13"/>
        <v>110</v>
      </c>
      <c r="U142" s="457" t="str">
        <f t="shared" si="8"/>
        <v xml:space="preserve"> </v>
      </c>
    </row>
    <row r="143" spans="1:21" ht="20.100000000000001" hidden="1" customHeight="1" x14ac:dyDescent="0.25">
      <c r="A143" s="470" t="str">
        <f t="shared" si="9"/>
        <v/>
      </c>
      <c r="B143" s="456">
        <f>IF(LEFT(C143,16)="Terima Pajak PPN",VLOOKUP(P143,COPY!$A$1:$AC$1000,21,FALSE),IF(LEFT(C143,16)="Terima Pajak PPH",VLOOKUP(P143,COPY!$A$1:$AC$1000,21,FALSE),IF(LEFT(C143,13)="Terima PPh 23",VLOOKUP(P143,COPY!$A$1:$AC$1000,21,FALSE),0)))</f>
        <v>0</v>
      </c>
      <c r="C143" s="457">
        <f>IFERROR(IF(LEFT(VLOOKUP(P143,COPY!$A$1:$AC$1000,29,FALSE),5)="Terim",VLOOKUP(P143,COPY!$A$1:$AC$1000,29,FALSE),0),0)</f>
        <v>0</v>
      </c>
      <c r="D143" s="457"/>
      <c r="E143" s="457"/>
      <c r="F143" s="458">
        <f>IFERROR(IF(LEFT(VLOOKUP(P143,COPY!$A$1:$AC$1000,29,FALSE),5)="Terim",VLOOKUP(P143,COPY!$A$1:$AC$1000,26,FALSE),0),0)</f>
        <v>0</v>
      </c>
      <c r="G143" s="459">
        <f>IFERROR(VLOOKUP(P143,COPY!$A$1:$L$1000,4,FALSE),0)</f>
        <v>0</v>
      </c>
      <c r="H143" s="457">
        <f>IFERROR(VLOOKUP(P143,COPY!$A$1:$L$1000,2,FALSE),0)</f>
        <v>0</v>
      </c>
      <c r="I143" s="510">
        <f>IFERROR(VLOOKUP(P143,COPY!$A$1:$L$1000,10,FALSE),0)</f>
        <v>0</v>
      </c>
      <c r="J143" s="467">
        <f>IFERROR(VLOOKUP(P143,COPY!$A$1:$L$1000,8,FALSE),0)</f>
        <v>0</v>
      </c>
      <c r="K143" s="457">
        <f>IFERROR(VLOOKUP(P143,COPY!$A$1:$L$1000,7,FALSE),0)</f>
        <v>0</v>
      </c>
      <c r="L143" s="468">
        <f>IFERROR(VLOOKUP(P143,COPY!$A$1:$O$1000,15,FALSE),0)</f>
        <v>0</v>
      </c>
      <c r="M143" s="468">
        <f>IFERROR(VLOOKUP(P143,COPY!$A$1:$L$1000,12,FALSE),0)</f>
        <v>0</v>
      </c>
      <c r="N143" s="471">
        <f>IF(H143="Jasa",VLOOKUP('BKU 4'!K143,'Rekap Gaji'!$D$12:$I$26,6,FALSE),(IF(H143="Beli",VLOOKUP(P143,COPY!$A$1:$L$1000,11,FALSE),IF(H143="Bayar Ongkos",VLOOKUP(K143,'Rekap Gaji'!$D$12:$I$26,6,FALSE),0))))</f>
        <v>0</v>
      </c>
      <c r="O143" s="470"/>
      <c r="P143" s="466" t="str">
        <f t="shared" si="7"/>
        <v/>
      </c>
      <c r="Q143" s="253">
        <f t="shared" si="10"/>
        <v>0</v>
      </c>
      <c r="R143" s="253">
        <f t="shared" si="11"/>
        <v>0</v>
      </c>
      <c r="S143" s="449">
        <f t="shared" si="12"/>
        <v>111</v>
      </c>
      <c r="T143" s="253">
        <f t="shared" si="13"/>
        <v>111</v>
      </c>
      <c r="U143" s="457" t="str">
        <f t="shared" si="8"/>
        <v xml:space="preserve"> </v>
      </c>
    </row>
    <row r="144" spans="1:21" ht="20.100000000000001" hidden="1" customHeight="1" x14ac:dyDescent="0.25">
      <c r="A144" s="470" t="str">
        <f t="shared" si="9"/>
        <v/>
      </c>
      <c r="B144" s="456">
        <f>IF(LEFT(C144,16)="Terima Pajak PPN",VLOOKUP(P144,COPY!$A$1:$AC$1000,21,FALSE),IF(LEFT(C144,16)="Terima Pajak PPH",VLOOKUP(P144,COPY!$A$1:$AC$1000,21,FALSE),IF(LEFT(C144,13)="Terima PPh 23",VLOOKUP(P144,COPY!$A$1:$AC$1000,21,FALSE),0)))</f>
        <v>0</v>
      </c>
      <c r="C144" s="457">
        <f>IFERROR(IF(LEFT(VLOOKUP(P144,COPY!$A$1:$AC$1000,29,FALSE),5)="Terim",VLOOKUP(P144,COPY!$A$1:$AC$1000,29,FALSE),0),0)</f>
        <v>0</v>
      </c>
      <c r="D144" s="457"/>
      <c r="E144" s="457"/>
      <c r="F144" s="458">
        <f>IFERROR(IF(LEFT(VLOOKUP(P144,COPY!$A$1:$AC$1000,29,FALSE),5)="Terim",VLOOKUP(P144,COPY!$A$1:$AC$1000,26,FALSE),0),0)</f>
        <v>0</v>
      </c>
      <c r="G144" s="459">
        <f>IFERROR(VLOOKUP(P144,COPY!$A$1:$L$1000,4,FALSE),0)</f>
        <v>0</v>
      </c>
      <c r="H144" s="457">
        <f>IFERROR(VLOOKUP(P144,COPY!$A$1:$L$1000,2,FALSE),0)</f>
        <v>0</v>
      </c>
      <c r="I144" s="510">
        <f>IFERROR(VLOOKUP(P144,COPY!$A$1:$L$1000,10,FALSE),0)</f>
        <v>0</v>
      </c>
      <c r="J144" s="467">
        <f>IFERROR(VLOOKUP(P144,COPY!$A$1:$L$1000,8,FALSE),0)</f>
        <v>0</v>
      </c>
      <c r="K144" s="457">
        <f>IFERROR(VLOOKUP(P144,COPY!$A$1:$L$1000,7,FALSE),0)</f>
        <v>0</v>
      </c>
      <c r="L144" s="468">
        <f>IFERROR(VLOOKUP(P144,COPY!$A$1:$O$1000,15,FALSE),0)</f>
        <v>0</v>
      </c>
      <c r="M144" s="468">
        <f>IFERROR(VLOOKUP(P144,COPY!$A$1:$L$1000,12,FALSE),0)</f>
        <v>0</v>
      </c>
      <c r="N144" s="471">
        <f>IF(H144="Jasa",VLOOKUP('BKU 4'!K144,'Rekap Gaji'!$D$12:$I$26,6,FALSE),(IF(H144="Beli",VLOOKUP(P144,COPY!$A$1:$L$1000,11,FALSE),IF(H144="Bayar Ongkos",VLOOKUP(K144,'Rekap Gaji'!$D$12:$I$26,6,FALSE),0))))</f>
        <v>0</v>
      </c>
      <c r="O144" s="470"/>
      <c r="P144" s="466" t="str">
        <f t="shared" si="7"/>
        <v/>
      </c>
      <c r="Q144" s="253">
        <f t="shared" si="10"/>
        <v>0</v>
      </c>
      <c r="R144" s="253">
        <f t="shared" si="11"/>
        <v>0</v>
      </c>
      <c r="S144" s="449">
        <f t="shared" si="12"/>
        <v>112</v>
      </c>
      <c r="T144" s="253">
        <f t="shared" si="13"/>
        <v>112</v>
      </c>
      <c r="U144" s="457" t="str">
        <f t="shared" si="8"/>
        <v xml:space="preserve"> </v>
      </c>
    </row>
    <row r="145" spans="1:21" ht="20.100000000000001" hidden="1" customHeight="1" x14ac:dyDescent="0.25">
      <c r="A145" s="470" t="str">
        <f t="shared" si="9"/>
        <v/>
      </c>
      <c r="B145" s="456">
        <f>IF(LEFT(C145,16)="Terima Pajak PPN",VLOOKUP(P145,COPY!$A$1:$AC$1000,21,FALSE),IF(LEFT(C145,16)="Terima Pajak PPH",VLOOKUP(P145,COPY!$A$1:$AC$1000,21,FALSE),IF(LEFT(C145,13)="Terima PPh 23",VLOOKUP(P145,COPY!$A$1:$AC$1000,21,FALSE),0)))</f>
        <v>0</v>
      </c>
      <c r="C145" s="457">
        <f>IFERROR(IF(LEFT(VLOOKUP(P145,COPY!$A$1:$AC$1000,29,FALSE),5)="Terim",VLOOKUP(P145,COPY!$A$1:$AC$1000,29,FALSE),0),0)</f>
        <v>0</v>
      </c>
      <c r="D145" s="457"/>
      <c r="E145" s="457"/>
      <c r="F145" s="458">
        <f>IFERROR(IF(LEFT(VLOOKUP(P145,COPY!$A$1:$AC$1000,29,FALSE),5)="Terim",VLOOKUP(P145,COPY!$A$1:$AC$1000,26,FALSE),0),0)</f>
        <v>0</v>
      </c>
      <c r="G145" s="459">
        <f>IFERROR(VLOOKUP(P145,COPY!$A$1:$L$1000,4,FALSE),0)</f>
        <v>0</v>
      </c>
      <c r="H145" s="457">
        <f>IFERROR(VLOOKUP(P145,COPY!$A$1:$L$1000,2,FALSE),0)</f>
        <v>0</v>
      </c>
      <c r="I145" s="510">
        <f>IFERROR(VLOOKUP(P145,COPY!$A$1:$L$1000,10,FALSE),0)</f>
        <v>0</v>
      </c>
      <c r="J145" s="467">
        <f>IFERROR(VLOOKUP(P145,COPY!$A$1:$L$1000,8,FALSE),0)</f>
        <v>0</v>
      </c>
      <c r="K145" s="457">
        <f>IFERROR(VLOOKUP(P145,COPY!$A$1:$L$1000,7,FALSE),0)</f>
        <v>0</v>
      </c>
      <c r="L145" s="468">
        <f>IFERROR(VLOOKUP(P145,COPY!$A$1:$O$1000,15,FALSE),0)</f>
        <v>0</v>
      </c>
      <c r="M145" s="468">
        <f>IFERROR(VLOOKUP(P145,COPY!$A$1:$L$1000,12,FALSE),0)</f>
        <v>0</v>
      </c>
      <c r="N145" s="471">
        <f>IF(H145="Jasa",VLOOKUP('BKU 4'!K145,'Rekap Gaji'!$D$12:$I$26,6,FALSE),(IF(H145="Beli",VLOOKUP(P145,COPY!$A$1:$L$1000,11,FALSE),IF(H145="Bayar Ongkos",VLOOKUP(K145,'Rekap Gaji'!$D$12:$I$26,6,FALSE),0))))</f>
        <v>0</v>
      </c>
      <c r="O145" s="470"/>
      <c r="P145" s="466" t="str">
        <f t="shared" si="7"/>
        <v/>
      </c>
      <c r="Q145" s="253">
        <f t="shared" si="10"/>
        <v>0</v>
      </c>
      <c r="R145" s="253">
        <f t="shared" si="11"/>
        <v>0</v>
      </c>
      <c r="S145" s="449">
        <f t="shared" si="12"/>
        <v>113</v>
      </c>
      <c r="T145" s="253">
        <f t="shared" si="13"/>
        <v>113</v>
      </c>
      <c r="U145" s="457" t="str">
        <f t="shared" si="8"/>
        <v xml:space="preserve"> </v>
      </c>
    </row>
    <row r="146" spans="1:21" ht="20.100000000000001" hidden="1" customHeight="1" x14ac:dyDescent="0.25">
      <c r="A146" s="470" t="str">
        <f t="shared" si="9"/>
        <v/>
      </c>
      <c r="B146" s="456">
        <f>IF(LEFT(C146,16)="Terima Pajak PPN",VLOOKUP(P146,COPY!$A$1:$AC$1000,21,FALSE),IF(LEFT(C146,16)="Terima Pajak PPH",VLOOKUP(P146,COPY!$A$1:$AC$1000,21,FALSE),IF(LEFT(C146,13)="Terima PPh 23",VLOOKUP(P146,COPY!$A$1:$AC$1000,21,FALSE),0)))</f>
        <v>0</v>
      </c>
      <c r="C146" s="457">
        <f>IFERROR(IF(LEFT(VLOOKUP(P146,COPY!$A$1:$AC$1000,29,FALSE),5)="Terim",VLOOKUP(P146,COPY!$A$1:$AC$1000,29,FALSE),0),0)</f>
        <v>0</v>
      </c>
      <c r="D146" s="457"/>
      <c r="E146" s="457"/>
      <c r="F146" s="458">
        <f>IFERROR(IF(LEFT(VLOOKUP(P146,COPY!$A$1:$AC$1000,29,FALSE),5)="Terim",VLOOKUP(P146,COPY!$A$1:$AC$1000,26,FALSE),0),0)</f>
        <v>0</v>
      </c>
      <c r="G146" s="459">
        <f>IFERROR(VLOOKUP(P146,COPY!$A$1:$L$1000,4,FALSE),0)</f>
        <v>0</v>
      </c>
      <c r="H146" s="457">
        <f>IFERROR(VLOOKUP(P146,COPY!$A$1:$L$1000,2,FALSE),0)</f>
        <v>0</v>
      </c>
      <c r="I146" s="510">
        <f>IFERROR(VLOOKUP(P146,COPY!$A$1:$L$1000,10,FALSE),0)</f>
        <v>0</v>
      </c>
      <c r="J146" s="467">
        <f>IFERROR(VLOOKUP(P146,COPY!$A$1:$L$1000,8,FALSE),0)</f>
        <v>0</v>
      </c>
      <c r="K146" s="457">
        <f>IFERROR(VLOOKUP(P146,COPY!$A$1:$L$1000,7,FALSE),0)</f>
        <v>0</v>
      </c>
      <c r="L146" s="468">
        <f>IFERROR(VLOOKUP(P146,COPY!$A$1:$O$1000,15,FALSE),0)</f>
        <v>0</v>
      </c>
      <c r="M146" s="468">
        <f>IFERROR(VLOOKUP(P146,COPY!$A$1:$L$1000,12,FALSE),0)</f>
        <v>0</v>
      </c>
      <c r="N146" s="471">
        <f>IF(H146="Jasa",VLOOKUP('BKU 4'!K146,'Rekap Gaji'!$D$12:$I$26,6,FALSE),(IF(H146="Beli",VLOOKUP(P146,COPY!$A$1:$L$1000,11,FALSE),IF(H146="Bayar Ongkos",VLOOKUP(K146,'Rekap Gaji'!$D$12:$I$26,6,FALSE),0))))</f>
        <v>0</v>
      </c>
      <c r="O146" s="470"/>
      <c r="P146" s="466" t="str">
        <f t="shared" si="7"/>
        <v/>
      </c>
      <c r="Q146" s="253">
        <f t="shared" si="10"/>
        <v>0</v>
      </c>
      <c r="R146" s="253">
        <f t="shared" si="11"/>
        <v>0</v>
      </c>
      <c r="S146" s="449">
        <f t="shared" si="12"/>
        <v>114</v>
      </c>
      <c r="T146" s="253">
        <f t="shared" si="13"/>
        <v>114</v>
      </c>
      <c r="U146" s="457" t="str">
        <f t="shared" si="8"/>
        <v xml:space="preserve"> </v>
      </c>
    </row>
    <row r="147" spans="1:21" ht="20.100000000000001" hidden="1" customHeight="1" x14ac:dyDescent="0.25">
      <c r="A147" s="470" t="str">
        <f t="shared" si="9"/>
        <v/>
      </c>
      <c r="B147" s="456">
        <f>IF(LEFT(C147,16)="Terima Pajak PPN",VLOOKUP(P147,COPY!$A$1:$AC$1000,21,FALSE),IF(LEFT(C147,16)="Terima Pajak PPH",VLOOKUP(P147,COPY!$A$1:$AC$1000,21,FALSE),IF(LEFT(C147,13)="Terima PPh 23",VLOOKUP(P147,COPY!$A$1:$AC$1000,21,FALSE),0)))</f>
        <v>0</v>
      </c>
      <c r="C147" s="457">
        <f>IFERROR(IF(LEFT(VLOOKUP(P147,COPY!$A$1:$AC$1000,29,FALSE),5)="Terim",VLOOKUP(P147,COPY!$A$1:$AC$1000,29,FALSE),0),0)</f>
        <v>0</v>
      </c>
      <c r="D147" s="457"/>
      <c r="E147" s="457"/>
      <c r="F147" s="458">
        <f>IFERROR(IF(LEFT(VLOOKUP(P147,COPY!$A$1:$AC$1000,29,FALSE),5)="Terim",VLOOKUP(P147,COPY!$A$1:$AC$1000,26,FALSE),0),0)</f>
        <v>0</v>
      </c>
      <c r="G147" s="459">
        <f>IFERROR(VLOOKUP(P147,COPY!$A$1:$L$1000,4,FALSE),0)</f>
        <v>0</v>
      </c>
      <c r="H147" s="457">
        <f>IFERROR(VLOOKUP(P147,COPY!$A$1:$L$1000,2,FALSE),0)</f>
        <v>0</v>
      </c>
      <c r="I147" s="510">
        <f>IFERROR(VLOOKUP(P147,COPY!$A$1:$L$1000,10,FALSE),0)</f>
        <v>0</v>
      </c>
      <c r="J147" s="467">
        <f>IFERROR(VLOOKUP(P147,COPY!$A$1:$L$1000,8,FALSE),0)</f>
        <v>0</v>
      </c>
      <c r="K147" s="457">
        <f>IFERROR(VLOOKUP(P147,COPY!$A$1:$L$1000,7,FALSE),0)</f>
        <v>0</v>
      </c>
      <c r="L147" s="468">
        <f>IFERROR(VLOOKUP(P147,COPY!$A$1:$O$1000,15,FALSE),0)</f>
        <v>0</v>
      </c>
      <c r="M147" s="468">
        <f>IFERROR(VLOOKUP(P147,COPY!$A$1:$L$1000,12,FALSE),0)</f>
        <v>0</v>
      </c>
      <c r="N147" s="471">
        <f>IF(H147="Jasa",VLOOKUP('BKU 4'!K147,'Rekap Gaji'!$D$12:$I$26,6,FALSE),(IF(H147="Beli",VLOOKUP(P147,COPY!$A$1:$L$1000,11,FALSE),IF(H147="Bayar Ongkos",VLOOKUP(K147,'Rekap Gaji'!$D$12:$I$26,6,FALSE),0))))</f>
        <v>0</v>
      </c>
      <c r="O147" s="470"/>
      <c r="P147" s="466" t="str">
        <f t="shared" si="7"/>
        <v/>
      </c>
      <c r="Q147" s="253">
        <f t="shared" si="10"/>
        <v>0</v>
      </c>
      <c r="R147" s="253">
        <f t="shared" si="11"/>
        <v>0</v>
      </c>
      <c r="S147" s="449">
        <f t="shared" si="12"/>
        <v>115</v>
      </c>
      <c r="T147" s="253">
        <f t="shared" si="13"/>
        <v>115</v>
      </c>
      <c r="U147" s="457" t="str">
        <f t="shared" si="8"/>
        <v xml:space="preserve"> </v>
      </c>
    </row>
    <row r="148" spans="1:21" ht="20.100000000000001" hidden="1" customHeight="1" x14ac:dyDescent="0.25">
      <c r="A148" s="470" t="str">
        <f t="shared" si="9"/>
        <v/>
      </c>
      <c r="B148" s="456">
        <f>IF(LEFT(C148,16)="Terima Pajak PPN",VLOOKUP(P148,COPY!$A$1:$AC$1000,21,FALSE),IF(LEFT(C148,16)="Terima Pajak PPH",VLOOKUP(P148,COPY!$A$1:$AC$1000,21,FALSE),IF(LEFT(C148,13)="Terima PPh 23",VLOOKUP(P148,COPY!$A$1:$AC$1000,21,FALSE),0)))</f>
        <v>0</v>
      </c>
      <c r="C148" s="457">
        <f>IFERROR(IF(LEFT(VLOOKUP(P148,COPY!$A$1:$AC$1000,29,FALSE),5)="Terim",VLOOKUP(P148,COPY!$A$1:$AC$1000,29,FALSE),0),0)</f>
        <v>0</v>
      </c>
      <c r="D148" s="457"/>
      <c r="E148" s="457"/>
      <c r="F148" s="458">
        <f>IFERROR(IF(LEFT(VLOOKUP(P148,COPY!$A$1:$AC$1000,29,FALSE),5)="Terim",VLOOKUP(P148,COPY!$A$1:$AC$1000,26,FALSE),0),0)</f>
        <v>0</v>
      </c>
      <c r="G148" s="459">
        <f>IFERROR(VLOOKUP(P148,COPY!$A$1:$L$1000,4,FALSE),0)</f>
        <v>0</v>
      </c>
      <c r="H148" s="457">
        <f>IFERROR(VLOOKUP(P148,COPY!$A$1:$L$1000,2,FALSE),0)</f>
        <v>0</v>
      </c>
      <c r="I148" s="510">
        <f>IFERROR(VLOOKUP(P148,COPY!$A$1:$L$1000,10,FALSE),0)</f>
        <v>0</v>
      </c>
      <c r="J148" s="467">
        <f>IFERROR(VLOOKUP(P148,COPY!$A$1:$L$1000,8,FALSE),0)</f>
        <v>0</v>
      </c>
      <c r="K148" s="457">
        <f>IFERROR(VLOOKUP(P148,COPY!$A$1:$L$1000,7,FALSE),0)</f>
        <v>0</v>
      </c>
      <c r="L148" s="468">
        <f>IFERROR(VLOOKUP(P148,COPY!$A$1:$O$1000,15,FALSE),0)</f>
        <v>0</v>
      </c>
      <c r="M148" s="468">
        <f>IFERROR(VLOOKUP(P148,COPY!$A$1:$L$1000,12,FALSE),0)</f>
        <v>0</v>
      </c>
      <c r="N148" s="471">
        <f>IF(H148="Jasa",VLOOKUP('BKU 4'!K148,'Rekap Gaji'!$D$12:$I$26,6,FALSE),(IF(H148="Beli",VLOOKUP(P148,COPY!$A$1:$L$1000,11,FALSE),IF(H148="Bayar Ongkos",VLOOKUP(K148,'Rekap Gaji'!$D$12:$I$26,6,FALSE),0))))</f>
        <v>0</v>
      </c>
      <c r="O148" s="470"/>
      <c r="P148" s="466" t="str">
        <f t="shared" si="7"/>
        <v/>
      </c>
      <c r="Q148" s="253">
        <f t="shared" si="10"/>
        <v>0</v>
      </c>
      <c r="R148" s="253">
        <f t="shared" si="11"/>
        <v>0</v>
      </c>
      <c r="S148" s="449">
        <f t="shared" si="12"/>
        <v>116</v>
      </c>
      <c r="T148" s="253">
        <f t="shared" si="13"/>
        <v>116</v>
      </c>
      <c r="U148" s="457" t="str">
        <f t="shared" si="8"/>
        <v xml:space="preserve"> </v>
      </c>
    </row>
    <row r="149" spans="1:21" ht="20.100000000000001" hidden="1" customHeight="1" x14ac:dyDescent="0.25">
      <c r="A149" s="470" t="str">
        <f t="shared" si="9"/>
        <v/>
      </c>
      <c r="B149" s="456">
        <f>IF(LEFT(C149,16)="Terima Pajak PPN",VLOOKUP(P149,COPY!$A$1:$AC$1000,21,FALSE),IF(LEFT(C149,16)="Terima Pajak PPH",VLOOKUP(P149,COPY!$A$1:$AC$1000,21,FALSE),IF(LEFT(C149,13)="Terima PPh 23",VLOOKUP(P149,COPY!$A$1:$AC$1000,21,FALSE),0)))</f>
        <v>0</v>
      </c>
      <c r="C149" s="457">
        <f>IFERROR(IF(LEFT(VLOOKUP(P149,COPY!$A$1:$AC$1000,29,FALSE),5)="Terim",VLOOKUP(P149,COPY!$A$1:$AC$1000,29,FALSE),0),0)</f>
        <v>0</v>
      </c>
      <c r="D149" s="457"/>
      <c r="E149" s="457"/>
      <c r="F149" s="458">
        <f>IFERROR(IF(LEFT(VLOOKUP(P149,COPY!$A$1:$AC$1000,29,FALSE),5)="Terim",VLOOKUP(P149,COPY!$A$1:$AC$1000,26,FALSE),0),0)</f>
        <v>0</v>
      </c>
      <c r="G149" s="459">
        <f>IFERROR(VLOOKUP(P149,COPY!$A$1:$L$1000,4,FALSE),0)</f>
        <v>0</v>
      </c>
      <c r="H149" s="457">
        <f>IFERROR(VLOOKUP(P149,COPY!$A$1:$L$1000,2,FALSE),0)</f>
        <v>0</v>
      </c>
      <c r="I149" s="510">
        <f>IFERROR(VLOOKUP(P149,COPY!$A$1:$L$1000,10,FALSE),0)</f>
        <v>0</v>
      </c>
      <c r="J149" s="467">
        <f>IFERROR(VLOOKUP(P149,COPY!$A$1:$L$1000,8,FALSE),0)</f>
        <v>0</v>
      </c>
      <c r="K149" s="457">
        <f>IFERROR(VLOOKUP(P149,COPY!$A$1:$L$1000,7,FALSE),0)</f>
        <v>0</v>
      </c>
      <c r="L149" s="468">
        <f>IFERROR(VLOOKUP(P149,COPY!$A$1:$O$1000,15,FALSE),0)</f>
        <v>0</v>
      </c>
      <c r="M149" s="468">
        <f>IFERROR(VLOOKUP(P149,COPY!$A$1:$L$1000,12,FALSE),0)</f>
        <v>0</v>
      </c>
      <c r="N149" s="471">
        <f>IF(H149="Jasa",VLOOKUP('BKU 4'!K149,'Rekap Gaji'!$D$12:$I$26,6,FALSE),(IF(H149="Beli",VLOOKUP(P149,COPY!$A$1:$L$1000,11,FALSE),IF(H149="Bayar Ongkos",VLOOKUP(K149,'Rekap Gaji'!$D$12:$I$26,6,FALSE),0))))</f>
        <v>0</v>
      </c>
      <c r="O149" s="470"/>
      <c r="P149" s="466" t="str">
        <f t="shared" si="7"/>
        <v/>
      </c>
      <c r="Q149" s="253">
        <f t="shared" si="10"/>
        <v>0</v>
      </c>
      <c r="R149" s="253">
        <f t="shared" si="11"/>
        <v>0</v>
      </c>
      <c r="S149" s="449">
        <f t="shared" si="12"/>
        <v>117</v>
      </c>
      <c r="T149" s="253">
        <f t="shared" si="13"/>
        <v>117</v>
      </c>
      <c r="U149" s="457" t="str">
        <f t="shared" si="8"/>
        <v xml:space="preserve"> </v>
      </c>
    </row>
    <row r="150" spans="1:21" ht="20.100000000000001" hidden="1" customHeight="1" x14ac:dyDescent="0.25">
      <c r="A150" s="470" t="str">
        <f t="shared" si="9"/>
        <v/>
      </c>
      <c r="B150" s="456">
        <f>IF(LEFT(C150,16)="Terima Pajak PPN",VLOOKUP(P150,COPY!$A$1:$AC$1000,21,FALSE),IF(LEFT(C150,16)="Terima Pajak PPH",VLOOKUP(P150,COPY!$A$1:$AC$1000,21,FALSE),IF(LEFT(C150,13)="Terima PPh 23",VLOOKUP(P150,COPY!$A$1:$AC$1000,21,FALSE),0)))</f>
        <v>0</v>
      </c>
      <c r="C150" s="457">
        <f>IFERROR(IF(LEFT(VLOOKUP(P150,COPY!$A$1:$AC$1000,29,FALSE),5)="Terim",VLOOKUP(P150,COPY!$A$1:$AC$1000,29,FALSE),0),0)</f>
        <v>0</v>
      </c>
      <c r="D150" s="457"/>
      <c r="E150" s="457"/>
      <c r="F150" s="458">
        <f>IFERROR(IF(LEFT(VLOOKUP(P150,COPY!$A$1:$AC$1000,29,FALSE),5)="Terim",VLOOKUP(P150,COPY!$A$1:$AC$1000,26,FALSE),0),0)</f>
        <v>0</v>
      </c>
      <c r="G150" s="459">
        <f>IFERROR(VLOOKUP(P150,COPY!$A$1:$L$1000,4,FALSE),0)</f>
        <v>0</v>
      </c>
      <c r="H150" s="457">
        <f>IFERROR(VLOOKUP(P150,COPY!$A$1:$L$1000,2,FALSE),0)</f>
        <v>0</v>
      </c>
      <c r="I150" s="510">
        <f>IFERROR(VLOOKUP(P150,COPY!$A$1:$L$1000,10,FALSE),0)</f>
        <v>0</v>
      </c>
      <c r="J150" s="467">
        <f>IFERROR(VLOOKUP(P150,COPY!$A$1:$L$1000,8,FALSE),0)</f>
        <v>0</v>
      </c>
      <c r="K150" s="457">
        <f>IFERROR(VLOOKUP(P150,COPY!$A$1:$L$1000,7,FALSE),0)</f>
        <v>0</v>
      </c>
      <c r="L150" s="468">
        <f>IFERROR(VLOOKUP(P150,COPY!$A$1:$O$1000,15,FALSE),0)</f>
        <v>0</v>
      </c>
      <c r="M150" s="468">
        <f>IFERROR(VLOOKUP(P150,COPY!$A$1:$L$1000,12,FALSE),0)</f>
        <v>0</v>
      </c>
      <c r="N150" s="471">
        <f>IF(H150="Jasa",VLOOKUP('BKU 4'!K150,'Rekap Gaji'!$D$12:$I$26,6,FALSE),(IF(H150="Beli",VLOOKUP(P150,COPY!$A$1:$L$1000,11,FALSE),IF(H150="Bayar Ongkos",VLOOKUP(K150,'Rekap Gaji'!$D$12:$I$26,6,FALSE),0))))</f>
        <v>0</v>
      </c>
      <c r="O150" s="470"/>
      <c r="P150" s="466" t="str">
        <f t="shared" si="7"/>
        <v/>
      </c>
      <c r="Q150" s="253">
        <f t="shared" si="10"/>
        <v>0</v>
      </c>
      <c r="R150" s="253">
        <f t="shared" si="11"/>
        <v>0</v>
      </c>
      <c r="S150" s="449">
        <f t="shared" si="12"/>
        <v>118</v>
      </c>
      <c r="T150" s="253">
        <f t="shared" si="13"/>
        <v>118</v>
      </c>
      <c r="U150" s="457" t="str">
        <f t="shared" si="8"/>
        <v xml:space="preserve"> </v>
      </c>
    </row>
    <row r="151" spans="1:21" ht="20.100000000000001" hidden="1" customHeight="1" x14ac:dyDescent="0.25">
      <c r="A151" s="470" t="str">
        <f t="shared" si="9"/>
        <v/>
      </c>
      <c r="B151" s="456">
        <f>IF(LEFT(C151,16)="Terima Pajak PPN",VLOOKUP(P151,COPY!$A$1:$AC$1000,21,FALSE),IF(LEFT(C151,16)="Terima Pajak PPH",VLOOKUP(P151,COPY!$A$1:$AC$1000,21,FALSE),IF(LEFT(C151,13)="Terima PPh 23",VLOOKUP(P151,COPY!$A$1:$AC$1000,21,FALSE),0)))</f>
        <v>0</v>
      </c>
      <c r="C151" s="457">
        <f>IFERROR(IF(LEFT(VLOOKUP(P151,COPY!$A$1:$AC$1000,29,FALSE),5)="Terim",VLOOKUP(P151,COPY!$A$1:$AC$1000,29,FALSE),0),0)</f>
        <v>0</v>
      </c>
      <c r="D151" s="457"/>
      <c r="E151" s="457"/>
      <c r="F151" s="458">
        <f>IFERROR(IF(LEFT(VLOOKUP(P151,COPY!$A$1:$AC$1000,29,FALSE),5)="Terim",VLOOKUP(P151,COPY!$A$1:$AC$1000,26,FALSE),0),0)</f>
        <v>0</v>
      </c>
      <c r="G151" s="459">
        <f>IFERROR(VLOOKUP(P151,COPY!$A$1:$L$1000,4,FALSE),0)</f>
        <v>0</v>
      </c>
      <c r="H151" s="457">
        <f>IFERROR(VLOOKUP(P151,COPY!$A$1:$L$1000,2,FALSE),0)</f>
        <v>0</v>
      </c>
      <c r="I151" s="510">
        <f>IFERROR(VLOOKUP(P151,COPY!$A$1:$L$1000,10,FALSE),0)</f>
        <v>0</v>
      </c>
      <c r="J151" s="467">
        <f>IFERROR(VLOOKUP(P151,COPY!$A$1:$L$1000,8,FALSE),0)</f>
        <v>0</v>
      </c>
      <c r="K151" s="457">
        <f>IFERROR(VLOOKUP(P151,COPY!$A$1:$L$1000,7,FALSE),0)</f>
        <v>0</v>
      </c>
      <c r="L151" s="468">
        <f>IFERROR(VLOOKUP(P151,COPY!$A$1:$O$1000,15,FALSE),0)</f>
        <v>0</v>
      </c>
      <c r="M151" s="468">
        <f>IFERROR(VLOOKUP(P151,COPY!$A$1:$L$1000,12,FALSE),0)</f>
        <v>0</v>
      </c>
      <c r="N151" s="471">
        <f>IF(H151="Jasa",VLOOKUP('BKU 4'!K151,'Rekap Gaji'!$D$12:$I$26,6,FALSE),(IF(H151="Beli",VLOOKUP(P151,COPY!$A$1:$L$1000,11,FALSE),IF(H151="Bayar Ongkos",VLOOKUP(K151,'Rekap Gaji'!$D$12:$I$26,6,FALSE),0))))</f>
        <v>0</v>
      </c>
      <c r="O151" s="470"/>
      <c r="P151" s="466" t="str">
        <f t="shared" si="7"/>
        <v/>
      </c>
      <c r="Q151" s="253">
        <f t="shared" si="10"/>
        <v>0</v>
      </c>
      <c r="R151" s="253">
        <f t="shared" si="11"/>
        <v>0</v>
      </c>
      <c r="S151" s="449">
        <f t="shared" si="12"/>
        <v>119</v>
      </c>
      <c r="T151" s="253">
        <f t="shared" si="13"/>
        <v>119</v>
      </c>
      <c r="U151" s="457" t="str">
        <f t="shared" si="8"/>
        <v xml:space="preserve"> </v>
      </c>
    </row>
    <row r="152" spans="1:21" ht="20.100000000000001" hidden="1" customHeight="1" x14ac:dyDescent="0.25">
      <c r="A152" s="470" t="str">
        <f t="shared" si="9"/>
        <v/>
      </c>
      <c r="B152" s="456">
        <f>IF(LEFT(C152,16)="Terima Pajak PPN",VLOOKUP(P152,COPY!$A$1:$AC$1000,21,FALSE),IF(LEFT(C152,16)="Terima Pajak PPH",VLOOKUP(P152,COPY!$A$1:$AC$1000,21,FALSE),IF(LEFT(C152,13)="Terima PPh 23",VLOOKUP(P152,COPY!$A$1:$AC$1000,21,FALSE),0)))</f>
        <v>0</v>
      </c>
      <c r="C152" s="457">
        <f>IFERROR(IF(LEFT(VLOOKUP(P152,COPY!$A$1:$AC$1000,29,FALSE),5)="Terim",VLOOKUP(P152,COPY!$A$1:$AC$1000,29,FALSE),0),0)</f>
        <v>0</v>
      </c>
      <c r="D152" s="457"/>
      <c r="E152" s="457"/>
      <c r="F152" s="458">
        <f>IFERROR(IF(LEFT(VLOOKUP(P152,COPY!$A$1:$AC$1000,29,FALSE),5)="Terim",VLOOKUP(P152,COPY!$A$1:$AC$1000,26,FALSE),0),0)</f>
        <v>0</v>
      </c>
      <c r="G152" s="459">
        <f>IFERROR(VLOOKUP(P152,COPY!$A$1:$L$1000,4,FALSE),0)</f>
        <v>0</v>
      </c>
      <c r="H152" s="457">
        <f>IFERROR(VLOOKUP(P152,COPY!$A$1:$L$1000,2,FALSE),0)</f>
        <v>0</v>
      </c>
      <c r="I152" s="510">
        <f>IFERROR(VLOOKUP(P152,COPY!$A$1:$L$1000,10,FALSE),0)</f>
        <v>0</v>
      </c>
      <c r="J152" s="467">
        <f>IFERROR(VLOOKUP(P152,COPY!$A$1:$L$1000,8,FALSE),0)</f>
        <v>0</v>
      </c>
      <c r="K152" s="457">
        <f>IFERROR(VLOOKUP(P152,COPY!$A$1:$L$1000,7,FALSE),0)</f>
        <v>0</v>
      </c>
      <c r="L152" s="468">
        <f>IFERROR(VLOOKUP(P152,COPY!$A$1:$O$1000,15,FALSE),0)</f>
        <v>0</v>
      </c>
      <c r="M152" s="468">
        <f>IFERROR(VLOOKUP(P152,COPY!$A$1:$L$1000,12,FALSE),0)</f>
        <v>0</v>
      </c>
      <c r="N152" s="471">
        <f>IF(H152="Jasa",VLOOKUP('BKU 4'!K152,'Rekap Gaji'!$D$12:$I$26,6,FALSE),(IF(H152="Beli",VLOOKUP(P152,COPY!$A$1:$L$1000,11,FALSE),IF(H152="Bayar Ongkos",VLOOKUP(K152,'Rekap Gaji'!$D$12:$I$26,6,FALSE),0))))</f>
        <v>0</v>
      </c>
      <c r="O152" s="470"/>
      <c r="P152" s="466" t="str">
        <f t="shared" si="7"/>
        <v/>
      </c>
      <c r="Q152" s="253">
        <f t="shared" si="10"/>
        <v>0</v>
      </c>
      <c r="R152" s="253">
        <f t="shared" si="11"/>
        <v>0</v>
      </c>
      <c r="S152" s="449">
        <f t="shared" si="12"/>
        <v>120</v>
      </c>
      <c r="T152" s="253">
        <f t="shared" si="13"/>
        <v>120</v>
      </c>
      <c r="U152" s="457" t="str">
        <f t="shared" si="8"/>
        <v xml:space="preserve"> </v>
      </c>
    </row>
    <row r="153" spans="1:21" ht="20.100000000000001" hidden="1" customHeight="1" x14ac:dyDescent="0.25">
      <c r="A153" s="470" t="str">
        <f t="shared" si="9"/>
        <v/>
      </c>
      <c r="B153" s="456">
        <f>IF(LEFT(C153,16)="Terima Pajak PPN",VLOOKUP(P153,COPY!$A$1:$AC$1000,21,FALSE),IF(LEFT(C153,16)="Terima Pajak PPH",VLOOKUP(P153,COPY!$A$1:$AC$1000,21,FALSE),IF(LEFT(C153,13)="Terima PPh 23",VLOOKUP(P153,COPY!$A$1:$AC$1000,21,FALSE),0)))</f>
        <v>0</v>
      </c>
      <c r="C153" s="457">
        <f>IFERROR(IF(LEFT(VLOOKUP(P153,COPY!$A$1:$AC$1000,29,FALSE),5)="Terim",VLOOKUP(P153,COPY!$A$1:$AC$1000,29,FALSE),0),0)</f>
        <v>0</v>
      </c>
      <c r="D153" s="457"/>
      <c r="E153" s="457"/>
      <c r="F153" s="458">
        <f>IFERROR(IF(LEFT(VLOOKUP(P153,COPY!$A$1:$AC$1000,29,FALSE),5)="Terim",VLOOKUP(P153,COPY!$A$1:$AC$1000,26,FALSE),0),0)</f>
        <v>0</v>
      </c>
      <c r="G153" s="459">
        <f>IFERROR(VLOOKUP(P153,COPY!$A$1:$L$1000,4,FALSE),0)</f>
        <v>0</v>
      </c>
      <c r="H153" s="457">
        <f>IFERROR(VLOOKUP(P153,COPY!$A$1:$L$1000,2,FALSE),0)</f>
        <v>0</v>
      </c>
      <c r="I153" s="510">
        <f>IFERROR(VLOOKUP(P153,COPY!$A$1:$L$1000,10,FALSE),0)</f>
        <v>0</v>
      </c>
      <c r="J153" s="467">
        <f>IFERROR(VLOOKUP(P153,COPY!$A$1:$L$1000,8,FALSE),0)</f>
        <v>0</v>
      </c>
      <c r="K153" s="457">
        <f>IFERROR(VLOOKUP(P153,COPY!$A$1:$L$1000,7,FALSE),0)</f>
        <v>0</v>
      </c>
      <c r="L153" s="468">
        <f>IFERROR(VLOOKUP(P153,COPY!$A$1:$O$1000,15,FALSE),0)</f>
        <v>0</v>
      </c>
      <c r="M153" s="468">
        <f>IFERROR(VLOOKUP(P153,COPY!$A$1:$L$1000,12,FALSE),0)</f>
        <v>0</v>
      </c>
      <c r="N153" s="471">
        <f>IF(H153="Jasa",VLOOKUP('BKU 4'!K153,'Rekap Gaji'!$D$12:$I$26,6,FALSE),(IF(H153="Beli",VLOOKUP(P153,COPY!$A$1:$L$1000,11,FALSE),IF(H153="Bayar Ongkos",VLOOKUP(K153,'Rekap Gaji'!$D$12:$I$26,6,FALSE),0))))</f>
        <v>0</v>
      </c>
      <c r="O153" s="470"/>
      <c r="P153" s="466" t="str">
        <f t="shared" si="7"/>
        <v/>
      </c>
      <c r="Q153" s="253">
        <f t="shared" si="10"/>
        <v>0</v>
      </c>
      <c r="R153" s="253">
        <f t="shared" si="11"/>
        <v>0</v>
      </c>
      <c r="S153" s="449">
        <f t="shared" si="12"/>
        <v>121</v>
      </c>
      <c r="T153" s="253">
        <f t="shared" si="13"/>
        <v>121</v>
      </c>
      <c r="U153" s="457" t="str">
        <f t="shared" si="8"/>
        <v xml:space="preserve"> </v>
      </c>
    </row>
    <row r="154" spans="1:21" ht="20.100000000000001" hidden="1" customHeight="1" x14ac:dyDescent="0.25">
      <c r="A154" s="470" t="str">
        <f t="shared" si="9"/>
        <v/>
      </c>
      <c r="B154" s="456">
        <f>IF(LEFT(C154,16)="Terima Pajak PPN",VLOOKUP(P154,COPY!$A$1:$AC$1000,21,FALSE),IF(LEFT(C154,16)="Terima Pajak PPH",VLOOKUP(P154,COPY!$A$1:$AC$1000,21,FALSE),IF(LEFT(C154,13)="Terima PPh 23",VLOOKUP(P154,COPY!$A$1:$AC$1000,21,FALSE),0)))</f>
        <v>0</v>
      </c>
      <c r="C154" s="457">
        <f>IFERROR(IF(LEFT(VLOOKUP(P154,COPY!$A$1:$AC$1000,29,FALSE),5)="Terim",VLOOKUP(P154,COPY!$A$1:$AC$1000,29,FALSE),0),0)</f>
        <v>0</v>
      </c>
      <c r="D154" s="457"/>
      <c r="E154" s="457"/>
      <c r="F154" s="458">
        <f>IFERROR(IF(LEFT(VLOOKUP(P154,COPY!$A$1:$AC$1000,29,FALSE),5)="Terim",VLOOKUP(P154,COPY!$A$1:$AC$1000,26,FALSE),0),0)</f>
        <v>0</v>
      </c>
      <c r="G154" s="459">
        <f>IFERROR(VLOOKUP(P154,COPY!$A$1:$L$1000,4,FALSE),0)</f>
        <v>0</v>
      </c>
      <c r="H154" s="457">
        <f>IFERROR(VLOOKUP(P154,COPY!$A$1:$L$1000,2,FALSE),0)</f>
        <v>0</v>
      </c>
      <c r="I154" s="510">
        <f>IFERROR(VLOOKUP(P154,COPY!$A$1:$L$1000,10,FALSE),0)</f>
        <v>0</v>
      </c>
      <c r="J154" s="467">
        <f>IFERROR(VLOOKUP(P154,COPY!$A$1:$L$1000,8,FALSE),0)</f>
        <v>0</v>
      </c>
      <c r="K154" s="457">
        <f>IFERROR(VLOOKUP(P154,COPY!$A$1:$L$1000,7,FALSE),0)</f>
        <v>0</v>
      </c>
      <c r="L154" s="468">
        <f>IFERROR(VLOOKUP(P154,COPY!$A$1:$O$1000,15,FALSE),0)</f>
        <v>0</v>
      </c>
      <c r="M154" s="468">
        <f>IFERROR(VLOOKUP(P154,COPY!$A$1:$L$1000,12,FALSE),0)</f>
        <v>0</v>
      </c>
      <c r="N154" s="471">
        <f>IF(H154="Jasa",VLOOKUP('BKU 4'!K154,'Rekap Gaji'!$D$12:$I$26,6,FALSE),(IF(H154="Beli",VLOOKUP(P154,COPY!$A$1:$L$1000,11,FALSE),IF(H154="Bayar Ongkos",VLOOKUP(K154,'Rekap Gaji'!$D$12:$I$26,6,FALSE),0))))</f>
        <v>0</v>
      </c>
      <c r="O154" s="470"/>
      <c r="P154" s="466" t="str">
        <f t="shared" si="7"/>
        <v/>
      </c>
      <c r="Q154" s="253">
        <f t="shared" si="10"/>
        <v>0</v>
      </c>
      <c r="R154" s="253">
        <f t="shared" si="11"/>
        <v>0</v>
      </c>
      <c r="S154" s="449">
        <f t="shared" si="12"/>
        <v>122</v>
      </c>
      <c r="T154" s="253">
        <f t="shared" si="13"/>
        <v>122</v>
      </c>
      <c r="U154" s="457" t="str">
        <f t="shared" si="8"/>
        <v xml:space="preserve"> </v>
      </c>
    </row>
    <row r="155" spans="1:21" ht="20.100000000000001" hidden="1" customHeight="1" x14ac:dyDescent="0.25">
      <c r="A155" s="470" t="str">
        <f t="shared" si="9"/>
        <v/>
      </c>
      <c r="B155" s="456">
        <f>IF(LEFT(C155,16)="Terima Pajak PPN",VLOOKUP(P155,COPY!$A$1:$AC$1000,21,FALSE),IF(LEFT(C155,16)="Terima Pajak PPH",VLOOKUP(P155,COPY!$A$1:$AC$1000,21,FALSE),IF(LEFT(C155,13)="Terima PPh 23",VLOOKUP(P155,COPY!$A$1:$AC$1000,21,FALSE),0)))</f>
        <v>0</v>
      </c>
      <c r="C155" s="457">
        <f>IFERROR(IF(LEFT(VLOOKUP(P155,COPY!$A$1:$AC$1000,29,FALSE),5)="Terim",VLOOKUP(P155,COPY!$A$1:$AC$1000,29,FALSE),0),0)</f>
        <v>0</v>
      </c>
      <c r="D155" s="457"/>
      <c r="E155" s="457"/>
      <c r="F155" s="458">
        <f>IFERROR(IF(LEFT(VLOOKUP(P155,COPY!$A$1:$AC$1000,29,FALSE),5)="Terim",VLOOKUP(P155,COPY!$A$1:$AC$1000,26,FALSE),0),0)</f>
        <v>0</v>
      </c>
      <c r="G155" s="459">
        <f>IFERROR(VLOOKUP(P155,COPY!$A$1:$L$1000,4,FALSE),0)</f>
        <v>0</v>
      </c>
      <c r="H155" s="457">
        <f>IFERROR(VLOOKUP(P155,COPY!$A$1:$L$1000,2,FALSE),0)</f>
        <v>0</v>
      </c>
      <c r="I155" s="510">
        <f>IFERROR(VLOOKUP(P155,COPY!$A$1:$L$1000,10,FALSE),0)</f>
        <v>0</v>
      </c>
      <c r="J155" s="467">
        <f>IFERROR(VLOOKUP(P155,COPY!$A$1:$L$1000,8,FALSE),0)</f>
        <v>0</v>
      </c>
      <c r="K155" s="457">
        <f>IFERROR(VLOOKUP(P155,COPY!$A$1:$L$1000,7,FALSE),0)</f>
        <v>0</v>
      </c>
      <c r="L155" s="468">
        <f>IFERROR(VLOOKUP(P155,COPY!$A$1:$O$1000,15,FALSE),0)</f>
        <v>0</v>
      </c>
      <c r="M155" s="468">
        <f>IFERROR(VLOOKUP(P155,COPY!$A$1:$L$1000,12,FALSE),0)</f>
        <v>0</v>
      </c>
      <c r="N155" s="471">
        <f>IF(H155="Jasa",VLOOKUP('BKU 4'!K155,'Rekap Gaji'!$D$12:$I$26,6,FALSE),(IF(H155="Beli",VLOOKUP(P155,COPY!$A$1:$L$1000,11,FALSE),IF(H155="Bayar Ongkos",VLOOKUP(K155,'Rekap Gaji'!$D$12:$I$26,6,FALSE),0))))</f>
        <v>0</v>
      </c>
      <c r="O155" s="470"/>
      <c r="P155" s="466" t="str">
        <f t="shared" si="7"/>
        <v/>
      </c>
      <c r="Q155" s="253">
        <f t="shared" si="10"/>
        <v>0</v>
      </c>
      <c r="R155" s="253">
        <f t="shared" si="11"/>
        <v>0</v>
      </c>
      <c r="S155" s="449">
        <f t="shared" si="12"/>
        <v>123</v>
      </c>
      <c r="T155" s="253">
        <f t="shared" si="13"/>
        <v>123</v>
      </c>
      <c r="U155" s="457" t="str">
        <f t="shared" si="8"/>
        <v xml:space="preserve"> </v>
      </c>
    </row>
    <row r="156" spans="1:21" ht="20.100000000000001" hidden="1" customHeight="1" x14ac:dyDescent="0.25">
      <c r="A156" s="470" t="str">
        <f t="shared" si="9"/>
        <v/>
      </c>
      <c r="B156" s="456">
        <f>IF(LEFT(C156,16)="Terima Pajak PPN",VLOOKUP(P156,COPY!$A$1:$AC$1000,21,FALSE),IF(LEFT(C156,16)="Terima Pajak PPH",VLOOKUP(P156,COPY!$A$1:$AC$1000,21,FALSE),IF(LEFT(C156,13)="Terima PPh 23",VLOOKUP(P156,COPY!$A$1:$AC$1000,21,FALSE),0)))</f>
        <v>0</v>
      </c>
      <c r="C156" s="457">
        <f>IFERROR(IF(LEFT(VLOOKUP(P156,COPY!$A$1:$AC$1000,29,FALSE),5)="Terim",VLOOKUP(P156,COPY!$A$1:$AC$1000,29,FALSE),0),0)</f>
        <v>0</v>
      </c>
      <c r="D156" s="457"/>
      <c r="E156" s="457"/>
      <c r="F156" s="458">
        <f>IFERROR(IF(LEFT(VLOOKUP(P156,COPY!$A$1:$AC$1000,29,FALSE),5)="Terim",VLOOKUP(P156,COPY!$A$1:$AC$1000,26,FALSE),0),0)</f>
        <v>0</v>
      </c>
      <c r="G156" s="459">
        <f>IFERROR(VLOOKUP(P156,COPY!$A$1:$L$1000,4,FALSE),0)</f>
        <v>0</v>
      </c>
      <c r="H156" s="457">
        <f>IFERROR(VLOOKUP(P156,COPY!$A$1:$L$1000,2,FALSE),0)</f>
        <v>0</v>
      </c>
      <c r="I156" s="510">
        <f>IFERROR(VLOOKUP(P156,COPY!$A$1:$L$1000,10,FALSE),0)</f>
        <v>0</v>
      </c>
      <c r="J156" s="467">
        <f>IFERROR(VLOOKUP(P156,COPY!$A$1:$L$1000,8,FALSE),0)</f>
        <v>0</v>
      </c>
      <c r="K156" s="457">
        <f>IFERROR(VLOOKUP(P156,COPY!$A$1:$L$1000,7,FALSE),0)</f>
        <v>0</v>
      </c>
      <c r="L156" s="468">
        <f>IFERROR(VLOOKUP(P156,COPY!$A$1:$O$1000,15,FALSE),0)</f>
        <v>0</v>
      </c>
      <c r="M156" s="468">
        <f>IFERROR(VLOOKUP(P156,COPY!$A$1:$L$1000,12,FALSE),0)</f>
        <v>0</v>
      </c>
      <c r="N156" s="471">
        <f>IF(H156="Jasa",VLOOKUP('BKU 4'!K156,'Rekap Gaji'!$D$12:$I$26,6,FALSE),(IF(H156="Beli",VLOOKUP(P156,COPY!$A$1:$L$1000,11,FALSE),IF(H156="Bayar Ongkos",VLOOKUP(K156,'Rekap Gaji'!$D$12:$I$26,6,FALSE),0))))</f>
        <v>0</v>
      </c>
      <c r="O156" s="470"/>
      <c r="P156" s="466" t="str">
        <f t="shared" si="7"/>
        <v/>
      </c>
      <c r="Q156" s="253">
        <f t="shared" si="10"/>
        <v>0</v>
      </c>
      <c r="R156" s="253">
        <f t="shared" si="11"/>
        <v>0</v>
      </c>
      <c r="S156" s="449">
        <f t="shared" si="12"/>
        <v>124</v>
      </c>
      <c r="T156" s="253">
        <f t="shared" si="13"/>
        <v>124</v>
      </c>
      <c r="U156" s="457" t="str">
        <f t="shared" si="8"/>
        <v xml:space="preserve"> </v>
      </c>
    </row>
    <row r="157" spans="1:21" ht="20.100000000000001" hidden="1" customHeight="1" x14ac:dyDescent="0.25">
      <c r="A157" s="470" t="str">
        <f t="shared" si="9"/>
        <v/>
      </c>
      <c r="B157" s="456">
        <f>IF(LEFT(C157,16)="Terima Pajak PPN",VLOOKUP(P157,COPY!$A$1:$AC$1000,21,FALSE),IF(LEFT(C157,16)="Terima Pajak PPH",VLOOKUP(P157,COPY!$A$1:$AC$1000,21,FALSE),IF(LEFT(C157,13)="Terima PPh 23",VLOOKUP(P157,COPY!$A$1:$AC$1000,21,FALSE),0)))</f>
        <v>0</v>
      </c>
      <c r="C157" s="457">
        <f>IFERROR(IF(LEFT(VLOOKUP(P157,COPY!$A$1:$AC$1000,29,FALSE),5)="Terim",VLOOKUP(P157,COPY!$A$1:$AC$1000,29,FALSE),0),0)</f>
        <v>0</v>
      </c>
      <c r="D157" s="457"/>
      <c r="E157" s="457"/>
      <c r="F157" s="458">
        <f>IFERROR(IF(LEFT(VLOOKUP(P157,COPY!$A$1:$AC$1000,29,FALSE),5)="Terim",VLOOKUP(P157,COPY!$A$1:$AC$1000,26,FALSE),0),0)</f>
        <v>0</v>
      </c>
      <c r="G157" s="459">
        <f>IFERROR(VLOOKUP(P157,COPY!$A$1:$L$1000,4,FALSE),0)</f>
        <v>0</v>
      </c>
      <c r="H157" s="457">
        <f>IFERROR(VLOOKUP(P157,COPY!$A$1:$L$1000,2,FALSE),0)</f>
        <v>0</v>
      </c>
      <c r="I157" s="510">
        <f>IFERROR(VLOOKUP(P157,COPY!$A$1:$L$1000,10,FALSE),0)</f>
        <v>0</v>
      </c>
      <c r="J157" s="467">
        <f>IFERROR(VLOOKUP(P157,COPY!$A$1:$L$1000,8,FALSE),0)</f>
        <v>0</v>
      </c>
      <c r="K157" s="457">
        <f>IFERROR(VLOOKUP(P157,COPY!$A$1:$L$1000,7,FALSE),0)</f>
        <v>0</v>
      </c>
      <c r="L157" s="468">
        <f>IFERROR(VLOOKUP(P157,COPY!$A$1:$O$1000,15,FALSE),0)</f>
        <v>0</v>
      </c>
      <c r="M157" s="468">
        <f>IFERROR(VLOOKUP(P157,COPY!$A$1:$L$1000,12,FALSE),0)</f>
        <v>0</v>
      </c>
      <c r="N157" s="471">
        <f>IF(H157="Jasa",VLOOKUP('BKU 4'!K157,'Rekap Gaji'!$D$12:$I$26,6,FALSE),(IF(H157="Beli",VLOOKUP(P157,COPY!$A$1:$L$1000,11,FALSE),IF(H157="Bayar Ongkos",VLOOKUP(K157,'Rekap Gaji'!$D$12:$I$26,6,FALSE),0))))</f>
        <v>0</v>
      </c>
      <c r="O157" s="470"/>
      <c r="P157" s="466" t="str">
        <f t="shared" si="7"/>
        <v/>
      </c>
      <c r="Q157" s="253">
        <f t="shared" si="10"/>
        <v>0</v>
      </c>
      <c r="R157" s="253">
        <f t="shared" si="11"/>
        <v>0</v>
      </c>
      <c r="S157" s="449">
        <f t="shared" si="12"/>
        <v>125</v>
      </c>
      <c r="T157" s="253">
        <f t="shared" si="13"/>
        <v>125</v>
      </c>
      <c r="U157" s="457" t="str">
        <f t="shared" si="8"/>
        <v xml:space="preserve"> </v>
      </c>
    </row>
    <row r="158" spans="1:21" ht="20.100000000000001" hidden="1" customHeight="1" x14ac:dyDescent="0.25">
      <c r="A158" s="470" t="str">
        <f t="shared" si="9"/>
        <v/>
      </c>
      <c r="B158" s="456">
        <f>IF(LEFT(C158,16)="Terima Pajak PPN",VLOOKUP(P158,COPY!$A$1:$AC$1000,21,FALSE),IF(LEFT(C158,16)="Terima Pajak PPH",VLOOKUP(P158,COPY!$A$1:$AC$1000,21,FALSE),IF(LEFT(C158,13)="Terima PPh 23",VLOOKUP(P158,COPY!$A$1:$AC$1000,21,FALSE),0)))</f>
        <v>0</v>
      </c>
      <c r="C158" s="457">
        <f>IFERROR(IF(LEFT(VLOOKUP(P158,COPY!$A$1:$AC$1000,29,FALSE),5)="Terim",VLOOKUP(P158,COPY!$A$1:$AC$1000,29,FALSE),0),0)</f>
        <v>0</v>
      </c>
      <c r="D158" s="457"/>
      <c r="E158" s="457"/>
      <c r="F158" s="458">
        <f>IFERROR(IF(LEFT(VLOOKUP(P158,COPY!$A$1:$AC$1000,29,FALSE),5)="Terim",VLOOKUP(P158,COPY!$A$1:$AC$1000,26,FALSE),0),0)</f>
        <v>0</v>
      </c>
      <c r="G158" s="459">
        <f>IFERROR(VLOOKUP(P158,COPY!$A$1:$L$1000,4,FALSE),0)</f>
        <v>0</v>
      </c>
      <c r="H158" s="457">
        <f>IFERROR(VLOOKUP(P158,COPY!$A$1:$L$1000,2,FALSE),0)</f>
        <v>0</v>
      </c>
      <c r="I158" s="510">
        <f>IFERROR(VLOOKUP(P158,COPY!$A$1:$L$1000,10,FALSE),0)</f>
        <v>0</v>
      </c>
      <c r="J158" s="467">
        <f>IFERROR(VLOOKUP(P158,COPY!$A$1:$L$1000,8,FALSE),0)</f>
        <v>0</v>
      </c>
      <c r="K158" s="457">
        <f>IFERROR(VLOOKUP(P158,COPY!$A$1:$L$1000,7,FALSE),0)</f>
        <v>0</v>
      </c>
      <c r="L158" s="468">
        <f>IFERROR(VLOOKUP(P158,COPY!$A$1:$O$1000,15,FALSE),0)</f>
        <v>0</v>
      </c>
      <c r="M158" s="468">
        <f>IFERROR(VLOOKUP(P158,COPY!$A$1:$L$1000,12,FALSE),0)</f>
        <v>0</v>
      </c>
      <c r="N158" s="471">
        <f>IF(H158="Jasa",VLOOKUP('BKU 4'!K158,'Rekap Gaji'!$D$12:$I$26,6,FALSE),(IF(H158="Beli",VLOOKUP(P158,COPY!$A$1:$L$1000,11,FALSE),IF(H158="Bayar Ongkos",VLOOKUP(K158,'Rekap Gaji'!$D$12:$I$26,6,FALSE),0))))</f>
        <v>0</v>
      </c>
      <c r="O158" s="470"/>
      <c r="P158" s="466" t="str">
        <f t="shared" si="7"/>
        <v/>
      </c>
      <c r="Q158" s="253">
        <f t="shared" si="10"/>
        <v>0</v>
      </c>
      <c r="R158" s="253">
        <f t="shared" si="11"/>
        <v>0</v>
      </c>
      <c r="S158" s="449">
        <f t="shared" si="12"/>
        <v>126</v>
      </c>
      <c r="T158" s="253">
        <f t="shared" si="13"/>
        <v>126</v>
      </c>
      <c r="U158" s="457" t="str">
        <f t="shared" si="8"/>
        <v xml:space="preserve"> </v>
      </c>
    </row>
    <row r="159" spans="1:21" ht="20.100000000000001" hidden="1" customHeight="1" x14ac:dyDescent="0.25">
      <c r="A159" s="470" t="str">
        <f t="shared" si="9"/>
        <v/>
      </c>
      <c r="B159" s="456">
        <f>IF(LEFT(C159,16)="Terima Pajak PPN",VLOOKUP(P159,COPY!$A$1:$AC$1000,21,FALSE),IF(LEFT(C159,16)="Terima Pajak PPH",VLOOKUP(P159,COPY!$A$1:$AC$1000,21,FALSE),IF(LEFT(C159,13)="Terima PPh 23",VLOOKUP(P159,COPY!$A$1:$AC$1000,21,FALSE),0)))</f>
        <v>0</v>
      </c>
      <c r="C159" s="457">
        <f>IFERROR(IF(LEFT(VLOOKUP(P159,COPY!$A$1:$AC$1000,29,FALSE),5)="Terim",VLOOKUP(P159,COPY!$A$1:$AC$1000,29,FALSE),0),0)</f>
        <v>0</v>
      </c>
      <c r="D159" s="457"/>
      <c r="E159" s="457"/>
      <c r="F159" s="458">
        <f>IFERROR(IF(LEFT(VLOOKUP(P159,COPY!$A$1:$AC$1000,29,FALSE),5)="Terim",VLOOKUP(P159,COPY!$A$1:$AC$1000,26,FALSE),0),0)</f>
        <v>0</v>
      </c>
      <c r="G159" s="459">
        <f>IFERROR(VLOOKUP(P159,COPY!$A$1:$L$1000,4,FALSE),0)</f>
        <v>0</v>
      </c>
      <c r="H159" s="457">
        <f>IFERROR(VLOOKUP(P159,COPY!$A$1:$L$1000,2,FALSE),0)</f>
        <v>0</v>
      </c>
      <c r="I159" s="510">
        <f>IFERROR(VLOOKUP(P159,COPY!$A$1:$L$1000,10,FALSE),0)</f>
        <v>0</v>
      </c>
      <c r="J159" s="467">
        <f>IFERROR(VLOOKUP(P159,COPY!$A$1:$L$1000,8,FALSE),0)</f>
        <v>0</v>
      </c>
      <c r="K159" s="457">
        <f>IFERROR(VLOOKUP(P159,COPY!$A$1:$L$1000,7,FALSE),0)</f>
        <v>0</v>
      </c>
      <c r="L159" s="468">
        <f>IFERROR(VLOOKUP(P159,COPY!$A$1:$O$1000,15,FALSE),0)</f>
        <v>0</v>
      </c>
      <c r="M159" s="468">
        <f>IFERROR(VLOOKUP(P159,COPY!$A$1:$L$1000,12,FALSE),0)</f>
        <v>0</v>
      </c>
      <c r="N159" s="471">
        <f>IF(H159="Jasa",VLOOKUP('BKU 4'!K159,'Rekap Gaji'!$D$12:$I$26,6,FALSE),(IF(H159="Beli",VLOOKUP(P159,COPY!$A$1:$L$1000,11,FALSE),IF(H159="Bayar Ongkos",VLOOKUP(K159,'Rekap Gaji'!$D$12:$I$26,6,FALSE),0))))</f>
        <v>0</v>
      </c>
      <c r="O159" s="470"/>
      <c r="P159" s="466" t="str">
        <f t="shared" si="7"/>
        <v/>
      </c>
      <c r="Q159" s="253">
        <f t="shared" si="10"/>
        <v>0</v>
      </c>
      <c r="R159" s="253">
        <f t="shared" si="11"/>
        <v>0</v>
      </c>
      <c r="S159" s="449">
        <f t="shared" si="12"/>
        <v>127</v>
      </c>
      <c r="T159" s="253">
        <f t="shared" si="13"/>
        <v>127</v>
      </c>
      <c r="U159" s="457" t="str">
        <f t="shared" si="8"/>
        <v xml:space="preserve"> </v>
      </c>
    </row>
    <row r="160" spans="1:21" ht="20.100000000000001" hidden="1" customHeight="1" x14ac:dyDescent="0.25">
      <c r="A160" s="470" t="str">
        <f t="shared" si="9"/>
        <v/>
      </c>
      <c r="B160" s="456">
        <f>IF(LEFT(C160,16)="Terima Pajak PPN",VLOOKUP(P160,COPY!$A$1:$AC$1000,21,FALSE),IF(LEFT(C160,16)="Terima Pajak PPH",VLOOKUP(P160,COPY!$A$1:$AC$1000,21,FALSE),IF(LEFT(C160,13)="Terima PPh 23",VLOOKUP(P160,COPY!$A$1:$AC$1000,21,FALSE),0)))</f>
        <v>0</v>
      </c>
      <c r="C160" s="457">
        <f>IFERROR(IF(LEFT(VLOOKUP(P160,COPY!$A$1:$AC$1000,29,FALSE),5)="Terim",VLOOKUP(P160,COPY!$A$1:$AC$1000,29,FALSE),0),0)</f>
        <v>0</v>
      </c>
      <c r="D160" s="457"/>
      <c r="E160" s="457"/>
      <c r="F160" s="458">
        <f>IFERROR(IF(LEFT(VLOOKUP(P160,COPY!$A$1:$AC$1000,29,FALSE),5)="Terim",VLOOKUP(P160,COPY!$A$1:$AC$1000,26,FALSE),0),0)</f>
        <v>0</v>
      </c>
      <c r="G160" s="459">
        <f>IFERROR(VLOOKUP(P160,COPY!$A$1:$L$1000,4,FALSE),0)</f>
        <v>0</v>
      </c>
      <c r="H160" s="457">
        <f>IFERROR(VLOOKUP(P160,COPY!$A$1:$L$1000,2,FALSE),0)</f>
        <v>0</v>
      </c>
      <c r="I160" s="510">
        <f>IFERROR(VLOOKUP(P160,COPY!$A$1:$L$1000,10,FALSE),0)</f>
        <v>0</v>
      </c>
      <c r="J160" s="467">
        <f>IFERROR(VLOOKUP(P160,COPY!$A$1:$L$1000,8,FALSE),0)</f>
        <v>0</v>
      </c>
      <c r="K160" s="457">
        <f>IFERROR(VLOOKUP(P160,COPY!$A$1:$L$1000,7,FALSE),0)</f>
        <v>0</v>
      </c>
      <c r="L160" s="468">
        <f>IFERROR(VLOOKUP(P160,COPY!$A$1:$O$1000,15,FALSE),0)</f>
        <v>0</v>
      </c>
      <c r="M160" s="468">
        <f>IFERROR(VLOOKUP(P160,COPY!$A$1:$L$1000,12,FALSE),0)</f>
        <v>0</v>
      </c>
      <c r="N160" s="471">
        <f>IF(H160="Jasa",VLOOKUP('BKU 4'!K160,'Rekap Gaji'!$D$12:$I$26,6,FALSE),(IF(H160="Beli",VLOOKUP(P160,COPY!$A$1:$L$1000,11,FALSE),IF(H160="Bayar Ongkos",VLOOKUP(K160,'Rekap Gaji'!$D$12:$I$26,6,FALSE),0))))</f>
        <v>0</v>
      </c>
      <c r="O160" s="470"/>
      <c r="P160" s="466" t="str">
        <f t="shared" si="7"/>
        <v/>
      </c>
      <c r="Q160" s="253">
        <f t="shared" si="10"/>
        <v>0</v>
      </c>
      <c r="R160" s="253">
        <f t="shared" si="11"/>
        <v>0</v>
      </c>
      <c r="S160" s="449">
        <f t="shared" si="12"/>
        <v>128</v>
      </c>
      <c r="T160" s="253">
        <f t="shared" si="13"/>
        <v>128</v>
      </c>
      <c r="U160" s="457" t="str">
        <f t="shared" si="8"/>
        <v xml:space="preserve"> </v>
      </c>
    </row>
    <row r="161" spans="1:21" ht="20.100000000000001" hidden="1" customHeight="1" x14ac:dyDescent="0.25">
      <c r="A161" s="470" t="str">
        <f t="shared" si="9"/>
        <v/>
      </c>
      <c r="B161" s="456">
        <f>IF(LEFT(C161,16)="Terima Pajak PPN",VLOOKUP(P161,COPY!$A$1:$AC$1000,21,FALSE),IF(LEFT(C161,16)="Terima Pajak PPH",VLOOKUP(P161,COPY!$A$1:$AC$1000,21,FALSE),IF(LEFT(C161,13)="Terima PPh 23",VLOOKUP(P161,COPY!$A$1:$AC$1000,21,FALSE),0)))</f>
        <v>0</v>
      </c>
      <c r="C161" s="457">
        <f>IFERROR(IF(LEFT(VLOOKUP(P161,COPY!$A$1:$AC$1000,29,FALSE),5)="Terim",VLOOKUP(P161,COPY!$A$1:$AC$1000,29,FALSE),0),0)</f>
        <v>0</v>
      </c>
      <c r="D161" s="457"/>
      <c r="E161" s="457"/>
      <c r="F161" s="458">
        <f>IFERROR(IF(LEFT(VLOOKUP(P161,COPY!$A$1:$AC$1000,29,FALSE),5)="Terim",VLOOKUP(P161,COPY!$A$1:$AC$1000,26,FALSE),0),0)</f>
        <v>0</v>
      </c>
      <c r="G161" s="459">
        <f>IFERROR(VLOOKUP(P161,COPY!$A$1:$L$1000,4,FALSE),0)</f>
        <v>0</v>
      </c>
      <c r="H161" s="457">
        <f>IFERROR(VLOOKUP(P161,COPY!$A$1:$L$1000,2,FALSE),0)</f>
        <v>0</v>
      </c>
      <c r="I161" s="510">
        <f>IFERROR(VLOOKUP(P161,COPY!$A$1:$L$1000,10,FALSE),0)</f>
        <v>0</v>
      </c>
      <c r="J161" s="467">
        <f>IFERROR(VLOOKUP(P161,COPY!$A$1:$L$1000,8,FALSE),0)</f>
        <v>0</v>
      </c>
      <c r="K161" s="457">
        <f>IFERROR(VLOOKUP(P161,COPY!$A$1:$L$1000,7,FALSE),0)</f>
        <v>0</v>
      </c>
      <c r="L161" s="468">
        <f>IFERROR(VLOOKUP(P161,COPY!$A$1:$O$1000,15,FALSE),0)</f>
        <v>0</v>
      </c>
      <c r="M161" s="468">
        <f>IFERROR(VLOOKUP(P161,COPY!$A$1:$L$1000,12,FALSE),0)</f>
        <v>0</v>
      </c>
      <c r="N161" s="471">
        <f>IF(H161="Jasa",VLOOKUP('BKU 4'!K161,'Rekap Gaji'!$D$12:$I$26,6,FALSE),(IF(H161="Beli",VLOOKUP(P161,COPY!$A$1:$L$1000,11,FALSE),IF(H161="Bayar Ongkos",VLOOKUP(K161,'Rekap Gaji'!$D$12:$I$26,6,FALSE),0))))</f>
        <v>0</v>
      </c>
      <c r="O161" s="470"/>
      <c r="P161" s="466" t="str">
        <f t="shared" ref="P161:P185" si="14">IF(Q161&gt;0,$D$24&amp;"."&amp;Q161,"")</f>
        <v/>
      </c>
      <c r="Q161" s="253">
        <f t="shared" si="10"/>
        <v>0</v>
      </c>
      <c r="R161" s="253">
        <f t="shared" si="11"/>
        <v>0</v>
      </c>
      <c r="S161" s="449">
        <f t="shared" si="12"/>
        <v>129</v>
      </c>
      <c r="T161" s="253">
        <f t="shared" si="13"/>
        <v>129</v>
      </c>
      <c r="U161" s="457" t="str">
        <f t="shared" ref="U161:U186" si="15">IF(LEFT(C161,16)="terima Pajak PPN",1,IF(LEFT(C161,16)="terima Pajak PPH",2,IF(LEFT(C161,21)="Bayar Pajak Final PPH",3," ")))</f>
        <v xml:space="preserve"> </v>
      </c>
    </row>
    <row r="162" spans="1:21" ht="20.100000000000001" hidden="1" customHeight="1" x14ac:dyDescent="0.25">
      <c r="A162" s="470" t="str">
        <f t="shared" ref="A162:A185" si="16">P162</f>
        <v/>
      </c>
      <c r="B162" s="456">
        <f>IF(LEFT(C162,16)="Terima Pajak PPN",VLOOKUP(P162,COPY!$A$1:$AC$1000,21,FALSE),IF(LEFT(C162,16)="Terima Pajak PPH",VLOOKUP(P162,COPY!$A$1:$AC$1000,21,FALSE),IF(LEFT(C162,13)="Terima PPh 23",VLOOKUP(P162,COPY!$A$1:$AC$1000,21,FALSE),0)))</f>
        <v>0</v>
      </c>
      <c r="C162" s="457">
        <f>IFERROR(IF(LEFT(VLOOKUP(P162,COPY!$A$1:$AC$1000,29,FALSE),5)="Terim",VLOOKUP(P162,COPY!$A$1:$AC$1000,29,FALSE),0),0)</f>
        <v>0</v>
      </c>
      <c r="D162" s="457"/>
      <c r="E162" s="457"/>
      <c r="F162" s="458">
        <f>IFERROR(IF(LEFT(VLOOKUP(P162,COPY!$A$1:$AC$1000,29,FALSE),5)="Terim",VLOOKUP(P162,COPY!$A$1:$AC$1000,26,FALSE),0),0)</f>
        <v>0</v>
      </c>
      <c r="G162" s="459">
        <f>IFERROR(VLOOKUP(P162,COPY!$A$1:$L$1000,4,FALSE),0)</f>
        <v>0</v>
      </c>
      <c r="H162" s="457">
        <f>IFERROR(VLOOKUP(P162,COPY!$A$1:$L$1000,2,FALSE),0)</f>
        <v>0</v>
      </c>
      <c r="I162" s="510">
        <f>IFERROR(VLOOKUP(P162,COPY!$A$1:$L$1000,10,FALSE),0)</f>
        <v>0</v>
      </c>
      <c r="J162" s="467">
        <f>IFERROR(VLOOKUP(P162,COPY!$A$1:$L$1000,8,FALSE),0)</f>
        <v>0</v>
      </c>
      <c r="K162" s="457">
        <f>IFERROR(VLOOKUP(P162,COPY!$A$1:$L$1000,7,FALSE),0)</f>
        <v>0</v>
      </c>
      <c r="L162" s="468">
        <f>IFERROR(VLOOKUP(P162,COPY!$A$1:$O$1000,15,FALSE),0)</f>
        <v>0</v>
      </c>
      <c r="M162" s="468">
        <f>IFERROR(VLOOKUP(P162,COPY!$A$1:$L$1000,12,FALSE),0)</f>
        <v>0</v>
      </c>
      <c r="N162" s="471">
        <f>IF(H162="Jasa",VLOOKUP('BKU 4'!K162,'Rekap Gaji'!$D$12:$I$26,6,FALSE),(IF(H162="Beli",VLOOKUP(P162,COPY!$A$1:$L$1000,11,FALSE),IF(H162="Bayar Ongkos",VLOOKUP(K162,'Rekap Gaji'!$D$12:$I$26,6,FALSE),0))))</f>
        <v>0</v>
      </c>
      <c r="O162" s="470"/>
      <c r="P162" s="466" t="str">
        <f t="shared" si="14"/>
        <v/>
      </c>
      <c r="Q162" s="253">
        <f t="shared" si="10"/>
        <v>0</v>
      </c>
      <c r="R162" s="253">
        <f t="shared" si="11"/>
        <v>0</v>
      </c>
      <c r="S162" s="449">
        <f t="shared" si="12"/>
        <v>130</v>
      </c>
      <c r="T162" s="253">
        <f t="shared" si="13"/>
        <v>130</v>
      </c>
      <c r="U162" s="457" t="str">
        <f t="shared" si="15"/>
        <v xml:space="preserve"> </v>
      </c>
    </row>
    <row r="163" spans="1:21" ht="20.100000000000001" hidden="1" customHeight="1" x14ac:dyDescent="0.25">
      <c r="A163" s="470" t="str">
        <f t="shared" si="16"/>
        <v/>
      </c>
      <c r="B163" s="456">
        <f>IF(LEFT(C163,16)="Terima Pajak PPN",VLOOKUP(P163,COPY!$A$1:$AC$1000,21,FALSE),IF(LEFT(C163,16)="Terima Pajak PPH",VLOOKUP(P163,COPY!$A$1:$AC$1000,21,FALSE),IF(LEFT(C163,13)="Terima PPh 23",VLOOKUP(P163,COPY!$A$1:$AC$1000,21,FALSE),0)))</f>
        <v>0</v>
      </c>
      <c r="C163" s="457">
        <f>IFERROR(IF(LEFT(VLOOKUP(P163,COPY!$A$1:$AC$1000,29,FALSE),5)="Terim",VLOOKUP(P163,COPY!$A$1:$AC$1000,29,FALSE),0),0)</f>
        <v>0</v>
      </c>
      <c r="D163" s="457"/>
      <c r="E163" s="457"/>
      <c r="F163" s="458">
        <f>IFERROR(IF(LEFT(VLOOKUP(P163,COPY!$A$1:$AC$1000,29,FALSE),5)="Terim",VLOOKUP(P163,COPY!$A$1:$AC$1000,26,FALSE),0),0)</f>
        <v>0</v>
      </c>
      <c r="G163" s="459">
        <f>IFERROR(VLOOKUP(P163,COPY!$A$1:$L$1000,4,FALSE),0)</f>
        <v>0</v>
      </c>
      <c r="H163" s="457">
        <f>IFERROR(VLOOKUP(P163,COPY!$A$1:$L$1000,2,FALSE),0)</f>
        <v>0</v>
      </c>
      <c r="I163" s="510">
        <f>IFERROR(VLOOKUP(P163,COPY!$A$1:$L$1000,10,FALSE),0)</f>
        <v>0</v>
      </c>
      <c r="J163" s="467">
        <f>IFERROR(VLOOKUP(P163,COPY!$A$1:$L$1000,8,FALSE),0)</f>
        <v>0</v>
      </c>
      <c r="K163" s="457">
        <f>IFERROR(VLOOKUP(P163,COPY!$A$1:$L$1000,7,FALSE),0)</f>
        <v>0</v>
      </c>
      <c r="L163" s="468">
        <f>IFERROR(VLOOKUP(P163,COPY!$A$1:$O$1000,15,FALSE),0)</f>
        <v>0</v>
      </c>
      <c r="M163" s="468">
        <f>IFERROR(VLOOKUP(P163,COPY!$A$1:$L$1000,12,FALSE),0)</f>
        <v>0</v>
      </c>
      <c r="N163" s="471">
        <f>IF(H163="Jasa",VLOOKUP('BKU 4'!K163,'Rekap Gaji'!$D$12:$I$26,6,FALSE),(IF(H163="Beli",VLOOKUP(P163,COPY!$A$1:$L$1000,11,FALSE),IF(H163="Bayar Ongkos",VLOOKUP(K163,'Rekap Gaji'!$D$12:$I$26,6,FALSE),0))))</f>
        <v>0</v>
      </c>
      <c r="O163" s="470"/>
      <c r="P163" s="466" t="str">
        <f t="shared" si="14"/>
        <v/>
      </c>
      <c r="Q163" s="253">
        <f t="shared" ref="Q163:Q184" si="17">IF(T163&lt;=0,T163+$S$30,0)</f>
        <v>0</v>
      </c>
      <c r="R163" s="253">
        <f t="shared" ref="R163:R184" si="18">IF(T163&lt;=0,S163,0)</f>
        <v>0</v>
      </c>
      <c r="S163" s="449">
        <f t="shared" ref="S163:S184" si="19">S162+1</f>
        <v>131</v>
      </c>
      <c r="T163" s="253">
        <f t="shared" ref="T163:T184" si="20">S163-$S$30</f>
        <v>131</v>
      </c>
      <c r="U163" s="457" t="str">
        <f t="shared" si="15"/>
        <v xml:space="preserve"> </v>
      </c>
    </row>
    <row r="164" spans="1:21" ht="20.100000000000001" hidden="1" customHeight="1" x14ac:dyDescent="0.25">
      <c r="A164" s="470" t="str">
        <f t="shared" si="16"/>
        <v/>
      </c>
      <c r="B164" s="456">
        <f>IF(LEFT(C164,16)="Terima Pajak PPN",VLOOKUP(P164,COPY!$A$1:$AC$1000,21,FALSE),IF(LEFT(C164,16)="Terima Pajak PPH",VLOOKUP(P164,COPY!$A$1:$AC$1000,21,FALSE),IF(LEFT(C164,13)="Terima PPh 23",VLOOKUP(P164,COPY!$A$1:$AC$1000,21,FALSE),0)))</f>
        <v>0</v>
      </c>
      <c r="C164" s="457">
        <f>IFERROR(IF(LEFT(VLOOKUP(P164,COPY!$A$1:$AC$1000,29,FALSE),5)="Terim",VLOOKUP(P164,COPY!$A$1:$AC$1000,29,FALSE),0),0)</f>
        <v>0</v>
      </c>
      <c r="D164" s="457"/>
      <c r="E164" s="457"/>
      <c r="F164" s="458">
        <f>IFERROR(IF(LEFT(VLOOKUP(P164,COPY!$A$1:$AC$1000,29,FALSE),5)="Terim",VLOOKUP(P164,COPY!$A$1:$AC$1000,26,FALSE),0),0)</f>
        <v>0</v>
      </c>
      <c r="G164" s="459">
        <f>IFERROR(VLOOKUP(P164,COPY!$A$1:$L$1000,4,FALSE),0)</f>
        <v>0</v>
      </c>
      <c r="H164" s="457">
        <f>IFERROR(VLOOKUP(P164,COPY!$A$1:$L$1000,2,FALSE),0)</f>
        <v>0</v>
      </c>
      <c r="I164" s="510">
        <f>IFERROR(VLOOKUP(P164,COPY!$A$1:$L$1000,10,FALSE),0)</f>
        <v>0</v>
      </c>
      <c r="J164" s="467">
        <f>IFERROR(VLOOKUP(P164,COPY!$A$1:$L$1000,8,FALSE),0)</f>
        <v>0</v>
      </c>
      <c r="K164" s="457">
        <f>IFERROR(VLOOKUP(P164,COPY!$A$1:$L$1000,7,FALSE),0)</f>
        <v>0</v>
      </c>
      <c r="L164" s="468">
        <f>IFERROR(VLOOKUP(P164,COPY!$A$1:$O$1000,15,FALSE),0)</f>
        <v>0</v>
      </c>
      <c r="M164" s="468">
        <f>IFERROR(VLOOKUP(P164,COPY!$A$1:$L$1000,12,FALSE),0)</f>
        <v>0</v>
      </c>
      <c r="N164" s="471">
        <f>IF(H164="Jasa",VLOOKUP('BKU 4'!K164,'Rekap Gaji'!$D$12:$I$26,6,FALSE),(IF(H164="Beli",VLOOKUP(P164,COPY!$A$1:$L$1000,11,FALSE),IF(H164="Bayar Ongkos",VLOOKUP(K164,'Rekap Gaji'!$D$12:$I$26,6,FALSE),0))))</f>
        <v>0</v>
      </c>
      <c r="O164" s="470"/>
      <c r="P164" s="466" t="str">
        <f t="shared" si="14"/>
        <v/>
      </c>
      <c r="Q164" s="253">
        <f t="shared" si="17"/>
        <v>0</v>
      </c>
      <c r="R164" s="253">
        <f t="shared" si="18"/>
        <v>0</v>
      </c>
      <c r="S164" s="449">
        <f t="shared" si="19"/>
        <v>132</v>
      </c>
      <c r="T164" s="253">
        <f t="shared" si="20"/>
        <v>132</v>
      </c>
      <c r="U164" s="457" t="str">
        <f t="shared" si="15"/>
        <v xml:space="preserve"> </v>
      </c>
    </row>
    <row r="165" spans="1:21" ht="20.100000000000001" hidden="1" customHeight="1" x14ac:dyDescent="0.25">
      <c r="A165" s="470" t="str">
        <f t="shared" si="16"/>
        <v/>
      </c>
      <c r="B165" s="456">
        <f>IF(LEFT(C165,16)="Terima Pajak PPN",VLOOKUP(P165,COPY!$A$1:$AC$1000,21,FALSE),IF(LEFT(C165,16)="Terima Pajak PPH",VLOOKUP(P165,COPY!$A$1:$AC$1000,21,FALSE),IF(LEFT(C165,13)="Terima PPh 23",VLOOKUP(P165,COPY!$A$1:$AC$1000,21,FALSE),0)))</f>
        <v>0</v>
      </c>
      <c r="C165" s="457">
        <f>IFERROR(IF(LEFT(VLOOKUP(P165,COPY!$A$1:$AC$1000,29,FALSE),5)="Terim",VLOOKUP(P165,COPY!$A$1:$AC$1000,29,FALSE),0),0)</f>
        <v>0</v>
      </c>
      <c r="D165" s="457"/>
      <c r="E165" s="457"/>
      <c r="F165" s="458">
        <f>IFERROR(IF(LEFT(VLOOKUP(P165,COPY!$A$1:$AC$1000,29,FALSE),5)="Terim",VLOOKUP(P165,COPY!$A$1:$AC$1000,26,FALSE),0),0)</f>
        <v>0</v>
      </c>
      <c r="G165" s="459">
        <f>IFERROR(VLOOKUP(P165,COPY!$A$1:$L$1000,4,FALSE),0)</f>
        <v>0</v>
      </c>
      <c r="H165" s="457">
        <f>IFERROR(VLOOKUP(P165,COPY!$A$1:$L$1000,2,FALSE),0)</f>
        <v>0</v>
      </c>
      <c r="I165" s="510">
        <f>IFERROR(VLOOKUP(P165,COPY!$A$1:$L$1000,10,FALSE),0)</f>
        <v>0</v>
      </c>
      <c r="J165" s="467">
        <f>IFERROR(VLOOKUP(P165,COPY!$A$1:$L$1000,8,FALSE),0)</f>
        <v>0</v>
      </c>
      <c r="K165" s="457">
        <f>IFERROR(VLOOKUP(P165,COPY!$A$1:$L$1000,7,FALSE),0)</f>
        <v>0</v>
      </c>
      <c r="L165" s="468">
        <f>IFERROR(VLOOKUP(P165,COPY!$A$1:$O$1000,15,FALSE),0)</f>
        <v>0</v>
      </c>
      <c r="M165" s="468">
        <f>IFERROR(VLOOKUP(P165,COPY!$A$1:$L$1000,12,FALSE),0)</f>
        <v>0</v>
      </c>
      <c r="N165" s="471">
        <f>IF(H165="Jasa",VLOOKUP('BKU 4'!K165,'Rekap Gaji'!$D$12:$I$26,6,FALSE),(IF(H165="Beli",VLOOKUP(P165,COPY!$A$1:$L$1000,11,FALSE),IF(H165="Bayar Ongkos",VLOOKUP(K165,'Rekap Gaji'!$D$12:$I$26,6,FALSE),0))))</f>
        <v>0</v>
      </c>
      <c r="O165" s="470"/>
      <c r="P165" s="466" t="str">
        <f t="shared" si="14"/>
        <v/>
      </c>
      <c r="Q165" s="253">
        <f t="shared" si="17"/>
        <v>0</v>
      </c>
      <c r="R165" s="253">
        <f t="shared" si="18"/>
        <v>0</v>
      </c>
      <c r="S165" s="449">
        <f t="shared" si="19"/>
        <v>133</v>
      </c>
      <c r="T165" s="253">
        <f t="shared" si="20"/>
        <v>133</v>
      </c>
      <c r="U165" s="457" t="str">
        <f t="shared" si="15"/>
        <v xml:space="preserve"> </v>
      </c>
    </row>
    <row r="166" spans="1:21" ht="20.100000000000001" hidden="1" customHeight="1" x14ac:dyDescent="0.25">
      <c r="A166" s="470" t="str">
        <f t="shared" si="16"/>
        <v/>
      </c>
      <c r="B166" s="456">
        <f>IF(LEFT(C166,16)="Terima Pajak PPN",VLOOKUP(P166,COPY!$A$1:$AC$1000,21,FALSE),IF(LEFT(C166,16)="Terima Pajak PPH",VLOOKUP(P166,COPY!$A$1:$AC$1000,21,FALSE),IF(LEFT(C166,13)="Terima PPh 23",VLOOKUP(P166,COPY!$A$1:$AC$1000,21,FALSE),0)))</f>
        <v>0</v>
      </c>
      <c r="C166" s="457">
        <f>IFERROR(IF(LEFT(VLOOKUP(P166,COPY!$A$1:$AC$1000,29,FALSE),5)="Terim",VLOOKUP(P166,COPY!$A$1:$AC$1000,29,FALSE),0),0)</f>
        <v>0</v>
      </c>
      <c r="D166" s="457"/>
      <c r="E166" s="457"/>
      <c r="F166" s="458">
        <f>IFERROR(IF(LEFT(VLOOKUP(P166,COPY!$A$1:$AC$1000,29,FALSE),5)="Terim",VLOOKUP(P166,COPY!$A$1:$AC$1000,26,FALSE),0),0)</f>
        <v>0</v>
      </c>
      <c r="G166" s="459">
        <f>IFERROR(VLOOKUP(P166,COPY!$A$1:$L$1000,4,FALSE),0)</f>
        <v>0</v>
      </c>
      <c r="H166" s="457">
        <f>IFERROR(VLOOKUP(P166,COPY!$A$1:$L$1000,2,FALSE),0)</f>
        <v>0</v>
      </c>
      <c r="I166" s="510">
        <f>IFERROR(VLOOKUP(P166,COPY!$A$1:$L$1000,10,FALSE),0)</f>
        <v>0</v>
      </c>
      <c r="J166" s="467">
        <f>IFERROR(VLOOKUP(P166,COPY!$A$1:$L$1000,8,FALSE),0)</f>
        <v>0</v>
      </c>
      <c r="K166" s="457">
        <f>IFERROR(VLOOKUP(P166,COPY!$A$1:$L$1000,7,FALSE),0)</f>
        <v>0</v>
      </c>
      <c r="L166" s="468">
        <f>IFERROR(VLOOKUP(P166,COPY!$A$1:$O$1000,15,FALSE),0)</f>
        <v>0</v>
      </c>
      <c r="M166" s="468">
        <f>IFERROR(VLOOKUP(P166,COPY!$A$1:$L$1000,12,FALSE),0)</f>
        <v>0</v>
      </c>
      <c r="N166" s="471">
        <f>IF(H166="Jasa",VLOOKUP('BKU 4'!K166,'Rekap Gaji'!$D$12:$I$26,6,FALSE),(IF(H166="Beli",VLOOKUP(P166,COPY!$A$1:$L$1000,11,FALSE),IF(H166="Bayar Ongkos",VLOOKUP(K166,'Rekap Gaji'!$D$12:$I$26,6,FALSE),0))))</f>
        <v>0</v>
      </c>
      <c r="O166" s="470"/>
      <c r="P166" s="466" t="str">
        <f t="shared" si="14"/>
        <v/>
      </c>
      <c r="Q166" s="253">
        <f t="shared" si="17"/>
        <v>0</v>
      </c>
      <c r="R166" s="253">
        <f t="shared" si="18"/>
        <v>0</v>
      </c>
      <c r="S166" s="449">
        <f t="shared" si="19"/>
        <v>134</v>
      </c>
      <c r="T166" s="253">
        <f t="shared" si="20"/>
        <v>134</v>
      </c>
      <c r="U166" s="457" t="str">
        <f t="shared" si="15"/>
        <v xml:space="preserve"> </v>
      </c>
    </row>
    <row r="167" spans="1:21" ht="20.100000000000001" hidden="1" customHeight="1" x14ac:dyDescent="0.25">
      <c r="A167" s="470" t="str">
        <f t="shared" si="16"/>
        <v/>
      </c>
      <c r="B167" s="456">
        <f>IF(LEFT(C167,16)="Terima Pajak PPN",VLOOKUP(P167,COPY!$A$1:$AC$1000,21,FALSE),IF(LEFT(C167,16)="Terima Pajak PPH",VLOOKUP(P167,COPY!$A$1:$AC$1000,21,FALSE),IF(LEFT(C167,13)="Terima PPh 23",VLOOKUP(P167,COPY!$A$1:$AC$1000,21,FALSE),0)))</f>
        <v>0</v>
      </c>
      <c r="C167" s="457">
        <f>IFERROR(IF(LEFT(VLOOKUP(P167,COPY!$A$1:$AC$1000,29,FALSE),5)="Terim",VLOOKUP(P167,COPY!$A$1:$AC$1000,29,FALSE),0),0)</f>
        <v>0</v>
      </c>
      <c r="D167" s="457"/>
      <c r="E167" s="457"/>
      <c r="F167" s="458">
        <f>IFERROR(IF(LEFT(VLOOKUP(P167,COPY!$A$1:$AC$1000,29,FALSE),5)="Terim",VLOOKUP(P167,COPY!$A$1:$AC$1000,26,FALSE),0),0)</f>
        <v>0</v>
      </c>
      <c r="G167" s="459">
        <f>IFERROR(VLOOKUP(P167,COPY!$A$1:$L$1000,4,FALSE),0)</f>
        <v>0</v>
      </c>
      <c r="H167" s="457">
        <f>IFERROR(VLOOKUP(P167,COPY!$A$1:$L$1000,2,FALSE),0)</f>
        <v>0</v>
      </c>
      <c r="I167" s="510">
        <f>IFERROR(VLOOKUP(P167,COPY!$A$1:$L$1000,10,FALSE),0)</f>
        <v>0</v>
      </c>
      <c r="J167" s="467">
        <f>IFERROR(VLOOKUP(P167,COPY!$A$1:$L$1000,8,FALSE),0)</f>
        <v>0</v>
      </c>
      <c r="K167" s="457">
        <f>IFERROR(VLOOKUP(P167,COPY!$A$1:$L$1000,7,FALSE),0)</f>
        <v>0</v>
      </c>
      <c r="L167" s="468">
        <f>IFERROR(VLOOKUP(P167,COPY!$A$1:$O$1000,15,FALSE),0)</f>
        <v>0</v>
      </c>
      <c r="M167" s="468">
        <f>IFERROR(VLOOKUP(P167,COPY!$A$1:$L$1000,12,FALSE),0)</f>
        <v>0</v>
      </c>
      <c r="N167" s="471">
        <f>IF(H167="Jasa",VLOOKUP('BKU 4'!K167,'Rekap Gaji'!$D$12:$I$26,6,FALSE),(IF(H167="Beli",VLOOKUP(P167,COPY!$A$1:$L$1000,11,FALSE),IF(H167="Bayar Ongkos",VLOOKUP(K167,'Rekap Gaji'!$D$12:$I$26,6,FALSE),0))))</f>
        <v>0</v>
      </c>
      <c r="O167" s="470"/>
      <c r="P167" s="466" t="str">
        <f t="shared" si="14"/>
        <v/>
      </c>
      <c r="Q167" s="253">
        <f t="shared" si="17"/>
        <v>0</v>
      </c>
      <c r="R167" s="253">
        <f t="shared" si="18"/>
        <v>0</v>
      </c>
      <c r="S167" s="449">
        <f t="shared" si="19"/>
        <v>135</v>
      </c>
      <c r="T167" s="253">
        <f t="shared" si="20"/>
        <v>135</v>
      </c>
      <c r="U167" s="457" t="str">
        <f t="shared" si="15"/>
        <v xml:space="preserve"> </v>
      </c>
    </row>
    <row r="168" spans="1:21" ht="20.100000000000001" hidden="1" customHeight="1" x14ac:dyDescent="0.25">
      <c r="A168" s="470" t="str">
        <f t="shared" si="16"/>
        <v/>
      </c>
      <c r="B168" s="456">
        <f>IF(LEFT(C168,16)="Terima Pajak PPN",VLOOKUP(P168,COPY!$A$1:$AC$1000,21,FALSE),IF(LEFT(C168,16)="Terima Pajak PPH",VLOOKUP(P168,COPY!$A$1:$AC$1000,21,FALSE),IF(LEFT(C168,13)="Terima PPh 23",VLOOKUP(P168,COPY!$A$1:$AC$1000,21,FALSE),0)))</f>
        <v>0</v>
      </c>
      <c r="C168" s="457">
        <f>IFERROR(IF(LEFT(VLOOKUP(P168,COPY!$A$1:$AC$1000,29,FALSE),5)="Terim",VLOOKUP(P168,COPY!$A$1:$AC$1000,29,FALSE),0),0)</f>
        <v>0</v>
      </c>
      <c r="D168" s="457"/>
      <c r="E168" s="457"/>
      <c r="F168" s="458">
        <f>IFERROR(IF(LEFT(VLOOKUP(P168,COPY!$A$1:$AC$1000,29,FALSE),5)="Terim",VLOOKUP(P168,COPY!$A$1:$AC$1000,26,FALSE),0),0)</f>
        <v>0</v>
      </c>
      <c r="G168" s="459">
        <f>IFERROR(VLOOKUP(P168,COPY!$A$1:$L$1000,4,FALSE),0)</f>
        <v>0</v>
      </c>
      <c r="H168" s="457">
        <f>IFERROR(VLOOKUP(P168,COPY!$A$1:$L$1000,2,FALSE),0)</f>
        <v>0</v>
      </c>
      <c r="I168" s="510">
        <f>IFERROR(VLOOKUP(P168,COPY!$A$1:$L$1000,10,FALSE),0)</f>
        <v>0</v>
      </c>
      <c r="J168" s="467">
        <f>IFERROR(VLOOKUP(P168,COPY!$A$1:$L$1000,8,FALSE),0)</f>
        <v>0</v>
      </c>
      <c r="K168" s="457">
        <f>IFERROR(VLOOKUP(P168,COPY!$A$1:$L$1000,7,FALSE),0)</f>
        <v>0</v>
      </c>
      <c r="L168" s="468">
        <f>IFERROR(VLOOKUP(P168,COPY!$A$1:$O$1000,15,FALSE),0)</f>
        <v>0</v>
      </c>
      <c r="M168" s="468">
        <f>IFERROR(VLOOKUP(P168,COPY!$A$1:$L$1000,12,FALSE),0)</f>
        <v>0</v>
      </c>
      <c r="N168" s="471">
        <f>IF(H168="Jasa",VLOOKUP('BKU 4'!K168,'Rekap Gaji'!$D$12:$I$26,6,FALSE),(IF(H168="Beli",VLOOKUP(P168,COPY!$A$1:$L$1000,11,FALSE),IF(H168="Bayar Ongkos",VLOOKUP(K168,'Rekap Gaji'!$D$12:$I$26,6,FALSE),0))))</f>
        <v>0</v>
      </c>
      <c r="O168" s="470"/>
      <c r="P168" s="466" t="str">
        <f t="shared" si="14"/>
        <v/>
      </c>
      <c r="Q168" s="253">
        <f t="shared" si="17"/>
        <v>0</v>
      </c>
      <c r="R168" s="253">
        <f t="shared" si="18"/>
        <v>0</v>
      </c>
      <c r="S168" s="449">
        <f t="shared" si="19"/>
        <v>136</v>
      </c>
      <c r="T168" s="253">
        <f t="shared" si="20"/>
        <v>136</v>
      </c>
      <c r="U168" s="457" t="str">
        <f t="shared" si="15"/>
        <v xml:space="preserve"> </v>
      </c>
    </row>
    <row r="169" spans="1:21" ht="20.100000000000001" hidden="1" customHeight="1" x14ac:dyDescent="0.25">
      <c r="A169" s="470" t="str">
        <f t="shared" si="16"/>
        <v/>
      </c>
      <c r="B169" s="456">
        <f>IF(LEFT(C169,16)="Terima Pajak PPN",VLOOKUP(P169,COPY!$A$1:$AC$1000,21,FALSE),IF(LEFT(C169,16)="Terima Pajak PPH",VLOOKUP(P169,COPY!$A$1:$AC$1000,21,FALSE),IF(LEFT(C169,13)="Terima PPh 23",VLOOKUP(P169,COPY!$A$1:$AC$1000,21,FALSE),0)))</f>
        <v>0</v>
      </c>
      <c r="C169" s="457">
        <f>IFERROR(IF(LEFT(VLOOKUP(P169,COPY!$A$1:$AC$1000,29,FALSE),5)="Terim",VLOOKUP(P169,COPY!$A$1:$AC$1000,29,FALSE),0),0)</f>
        <v>0</v>
      </c>
      <c r="D169" s="457"/>
      <c r="E169" s="457"/>
      <c r="F169" s="458">
        <f>IFERROR(IF(LEFT(VLOOKUP(P169,COPY!$A$1:$AC$1000,29,FALSE),5)="Terim",VLOOKUP(P169,COPY!$A$1:$AC$1000,26,FALSE),0),0)</f>
        <v>0</v>
      </c>
      <c r="G169" s="459">
        <f>IFERROR(VLOOKUP(P169,COPY!$A$1:$L$1000,4,FALSE),0)</f>
        <v>0</v>
      </c>
      <c r="H169" s="457">
        <f>IFERROR(VLOOKUP(P169,COPY!$A$1:$L$1000,2,FALSE),0)</f>
        <v>0</v>
      </c>
      <c r="I169" s="510">
        <f>IFERROR(VLOOKUP(P169,COPY!$A$1:$L$1000,10,FALSE),0)</f>
        <v>0</v>
      </c>
      <c r="J169" s="467">
        <f>IFERROR(VLOOKUP(P169,COPY!$A$1:$L$1000,8,FALSE),0)</f>
        <v>0</v>
      </c>
      <c r="K169" s="457">
        <f>IFERROR(VLOOKUP(P169,COPY!$A$1:$L$1000,7,FALSE),0)</f>
        <v>0</v>
      </c>
      <c r="L169" s="468">
        <f>IFERROR(VLOOKUP(P169,COPY!$A$1:$O$1000,15,FALSE),0)</f>
        <v>0</v>
      </c>
      <c r="M169" s="468">
        <f>IFERROR(VLOOKUP(P169,COPY!$A$1:$L$1000,12,FALSE),0)</f>
        <v>0</v>
      </c>
      <c r="N169" s="471">
        <f>IF(H169="Jasa",VLOOKUP('BKU 4'!K169,'Rekap Gaji'!$D$12:$I$26,6,FALSE),(IF(H169="Beli",VLOOKUP(P169,COPY!$A$1:$L$1000,11,FALSE),IF(H169="Bayar Ongkos",VLOOKUP(K169,'Rekap Gaji'!$D$12:$I$26,6,FALSE),0))))</f>
        <v>0</v>
      </c>
      <c r="O169" s="470"/>
      <c r="P169" s="466" t="str">
        <f t="shared" si="14"/>
        <v/>
      </c>
      <c r="Q169" s="253">
        <f t="shared" si="17"/>
        <v>0</v>
      </c>
      <c r="R169" s="253">
        <f t="shared" si="18"/>
        <v>0</v>
      </c>
      <c r="S169" s="449">
        <f t="shared" si="19"/>
        <v>137</v>
      </c>
      <c r="T169" s="253">
        <f t="shared" si="20"/>
        <v>137</v>
      </c>
      <c r="U169" s="457" t="str">
        <f t="shared" si="15"/>
        <v xml:space="preserve"> </v>
      </c>
    </row>
    <row r="170" spans="1:21" ht="20.100000000000001" hidden="1" customHeight="1" x14ac:dyDescent="0.25">
      <c r="A170" s="470" t="str">
        <f t="shared" si="16"/>
        <v/>
      </c>
      <c r="B170" s="456">
        <f>IF(LEFT(C170,16)="Terima Pajak PPN",VLOOKUP(P170,COPY!$A$1:$AC$1000,21,FALSE),IF(LEFT(C170,16)="Terima Pajak PPH",VLOOKUP(P170,COPY!$A$1:$AC$1000,21,FALSE),IF(LEFT(C170,13)="Terima PPh 23",VLOOKUP(P170,COPY!$A$1:$AC$1000,21,FALSE),0)))</f>
        <v>0</v>
      </c>
      <c r="C170" s="457">
        <f>IFERROR(IF(LEFT(VLOOKUP(P170,COPY!$A$1:$AC$1000,29,FALSE),5)="Terim",VLOOKUP(P170,COPY!$A$1:$AC$1000,29,FALSE),0),0)</f>
        <v>0</v>
      </c>
      <c r="D170" s="457"/>
      <c r="E170" s="457"/>
      <c r="F170" s="458">
        <f>IFERROR(IF(LEFT(VLOOKUP(P170,COPY!$A$1:$AC$1000,29,FALSE),5)="Terim",VLOOKUP(P170,COPY!$A$1:$AC$1000,26,FALSE),0),0)</f>
        <v>0</v>
      </c>
      <c r="G170" s="459">
        <f>IFERROR(VLOOKUP(P170,COPY!$A$1:$L$1000,4,FALSE),0)</f>
        <v>0</v>
      </c>
      <c r="H170" s="457">
        <f>IFERROR(VLOOKUP(P170,COPY!$A$1:$L$1000,2,FALSE),0)</f>
        <v>0</v>
      </c>
      <c r="I170" s="510">
        <f>IFERROR(VLOOKUP(P170,COPY!$A$1:$L$1000,10,FALSE),0)</f>
        <v>0</v>
      </c>
      <c r="J170" s="467">
        <f>IFERROR(VLOOKUP(P170,COPY!$A$1:$L$1000,8,FALSE),0)</f>
        <v>0</v>
      </c>
      <c r="K170" s="457">
        <f>IFERROR(VLOOKUP(P170,COPY!$A$1:$L$1000,7,FALSE),0)</f>
        <v>0</v>
      </c>
      <c r="L170" s="468">
        <f>IFERROR(VLOOKUP(P170,COPY!$A$1:$O$1000,15,FALSE),0)</f>
        <v>0</v>
      </c>
      <c r="M170" s="468">
        <f>IFERROR(VLOOKUP(P170,COPY!$A$1:$L$1000,12,FALSE),0)</f>
        <v>0</v>
      </c>
      <c r="N170" s="471">
        <f>IF(H170="Jasa",VLOOKUP('BKU 4'!K170,'Rekap Gaji'!$D$12:$I$26,6,FALSE),(IF(H170="Beli",VLOOKUP(P170,COPY!$A$1:$L$1000,11,FALSE),IF(H170="Bayar Ongkos",VLOOKUP(K170,'Rekap Gaji'!$D$12:$I$26,6,FALSE),0))))</f>
        <v>0</v>
      </c>
      <c r="O170" s="470"/>
      <c r="P170" s="466" t="str">
        <f t="shared" si="14"/>
        <v/>
      </c>
      <c r="Q170" s="253">
        <f t="shared" si="17"/>
        <v>0</v>
      </c>
      <c r="R170" s="253">
        <f t="shared" si="18"/>
        <v>0</v>
      </c>
      <c r="S170" s="449">
        <f t="shared" si="19"/>
        <v>138</v>
      </c>
      <c r="T170" s="253">
        <f t="shared" si="20"/>
        <v>138</v>
      </c>
      <c r="U170" s="457" t="str">
        <f t="shared" si="15"/>
        <v xml:space="preserve"> </v>
      </c>
    </row>
    <row r="171" spans="1:21" ht="20.100000000000001" hidden="1" customHeight="1" x14ac:dyDescent="0.25">
      <c r="A171" s="470" t="str">
        <f t="shared" si="16"/>
        <v/>
      </c>
      <c r="B171" s="456">
        <f>IF(LEFT(C171,16)="Terima Pajak PPN",VLOOKUP(P171,COPY!$A$1:$AC$1000,21,FALSE),IF(LEFT(C171,16)="Terima Pajak PPH",VLOOKUP(P171,COPY!$A$1:$AC$1000,21,FALSE),IF(LEFT(C171,13)="Terima PPh 23",VLOOKUP(P171,COPY!$A$1:$AC$1000,21,FALSE),0)))</f>
        <v>0</v>
      </c>
      <c r="C171" s="457">
        <f>IFERROR(IF(LEFT(VLOOKUP(P171,COPY!$A$1:$AC$1000,29,FALSE),5)="Terim",VLOOKUP(P171,COPY!$A$1:$AC$1000,29,FALSE),0),0)</f>
        <v>0</v>
      </c>
      <c r="D171" s="457"/>
      <c r="E171" s="457"/>
      <c r="F171" s="458">
        <f>IFERROR(IF(LEFT(VLOOKUP(P171,COPY!$A$1:$AC$1000,29,FALSE),5)="Terim",VLOOKUP(P171,COPY!$A$1:$AC$1000,26,FALSE),0),0)</f>
        <v>0</v>
      </c>
      <c r="G171" s="459">
        <f>IFERROR(VLOOKUP(P171,COPY!$A$1:$L$1000,4,FALSE),0)</f>
        <v>0</v>
      </c>
      <c r="H171" s="457">
        <f>IFERROR(VLOOKUP(P171,COPY!$A$1:$L$1000,2,FALSE),0)</f>
        <v>0</v>
      </c>
      <c r="I171" s="510">
        <f>IFERROR(VLOOKUP(P171,COPY!$A$1:$L$1000,10,FALSE),0)</f>
        <v>0</v>
      </c>
      <c r="J171" s="467">
        <f>IFERROR(VLOOKUP(P171,COPY!$A$1:$L$1000,8,FALSE),0)</f>
        <v>0</v>
      </c>
      <c r="K171" s="457">
        <f>IFERROR(VLOOKUP(P171,COPY!$A$1:$L$1000,7,FALSE),0)</f>
        <v>0</v>
      </c>
      <c r="L171" s="468">
        <f>IFERROR(VLOOKUP(P171,COPY!$A$1:$O$1000,15,FALSE),0)</f>
        <v>0</v>
      </c>
      <c r="M171" s="468">
        <f>IFERROR(VLOOKUP(P171,COPY!$A$1:$L$1000,12,FALSE),0)</f>
        <v>0</v>
      </c>
      <c r="N171" s="471">
        <f>IF(H171="Jasa",VLOOKUP('BKU 4'!K171,'Rekap Gaji'!$D$12:$I$26,6,FALSE),(IF(H171="Beli",VLOOKUP(P171,COPY!$A$1:$L$1000,11,FALSE),IF(H171="Bayar Ongkos",VLOOKUP(K171,'Rekap Gaji'!$D$12:$I$26,6,FALSE),0))))</f>
        <v>0</v>
      </c>
      <c r="O171" s="470"/>
      <c r="P171" s="466" t="str">
        <f t="shared" si="14"/>
        <v/>
      </c>
      <c r="Q171" s="253">
        <f t="shared" si="17"/>
        <v>0</v>
      </c>
      <c r="R171" s="253">
        <f t="shared" si="18"/>
        <v>0</v>
      </c>
      <c r="S171" s="449">
        <f t="shared" si="19"/>
        <v>139</v>
      </c>
      <c r="T171" s="253">
        <f t="shared" si="20"/>
        <v>139</v>
      </c>
      <c r="U171" s="457" t="str">
        <f t="shared" si="15"/>
        <v xml:space="preserve"> </v>
      </c>
    </row>
    <row r="172" spans="1:21" ht="20.100000000000001" hidden="1" customHeight="1" x14ac:dyDescent="0.25">
      <c r="A172" s="470" t="str">
        <f t="shared" si="16"/>
        <v/>
      </c>
      <c r="B172" s="456">
        <f>IF(LEFT(C172,16)="Terima Pajak PPN",VLOOKUP(P172,COPY!$A$1:$AC$1000,21,FALSE),IF(LEFT(C172,16)="Terima Pajak PPH",VLOOKUP(P172,COPY!$A$1:$AC$1000,21,FALSE),IF(LEFT(C172,13)="Terima PPh 23",VLOOKUP(P172,COPY!$A$1:$AC$1000,21,FALSE),0)))</f>
        <v>0</v>
      </c>
      <c r="C172" s="457">
        <f>IFERROR(IF(LEFT(VLOOKUP(P172,COPY!$A$1:$AC$1000,29,FALSE),5)="Terim",VLOOKUP(P172,COPY!$A$1:$AC$1000,29,FALSE),0),0)</f>
        <v>0</v>
      </c>
      <c r="D172" s="457"/>
      <c r="E172" s="457"/>
      <c r="F172" s="458">
        <f>IFERROR(IF(LEFT(VLOOKUP(P172,COPY!$A$1:$AC$1000,29,FALSE),5)="Terim",VLOOKUP(P172,COPY!$A$1:$AC$1000,26,FALSE),0),0)</f>
        <v>0</v>
      </c>
      <c r="G172" s="459">
        <f>IFERROR(VLOOKUP(P172,COPY!$A$1:$L$1000,4,FALSE),0)</f>
        <v>0</v>
      </c>
      <c r="H172" s="457">
        <f>IFERROR(VLOOKUP(P172,COPY!$A$1:$L$1000,2,FALSE),0)</f>
        <v>0</v>
      </c>
      <c r="I172" s="510">
        <f>IFERROR(VLOOKUP(P172,COPY!$A$1:$L$1000,10,FALSE),0)</f>
        <v>0</v>
      </c>
      <c r="J172" s="467">
        <f>IFERROR(VLOOKUP(P172,COPY!$A$1:$L$1000,8,FALSE),0)</f>
        <v>0</v>
      </c>
      <c r="K172" s="457">
        <f>IFERROR(VLOOKUP(P172,COPY!$A$1:$L$1000,7,FALSE),0)</f>
        <v>0</v>
      </c>
      <c r="L172" s="468">
        <f>IFERROR(VLOOKUP(P172,COPY!$A$1:$O$1000,15,FALSE),0)</f>
        <v>0</v>
      </c>
      <c r="M172" s="468">
        <f>IFERROR(VLOOKUP(P172,COPY!$A$1:$L$1000,12,FALSE),0)</f>
        <v>0</v>
      </c>
      <c r="N172" s="471">
        <f>IF(H172="Jasa",VLOOKUP('BKU 4'!K172,'Rekap Gaji'!$D$12:$I$26,6,FALSE),(IF(H172="Beli",VLOOKUP(P172,COPY!$A$1:$L$1000,11,FALSE),IF(H172="Bayar Ongkos",VLOOKUP(K172,'Rekap Gaji'!$D$12:$I$26,6,FALSE),0))))</f>
        <v>0</v>
      </c>
      <c r="O172" s="470"/>
      <c r="P172" s="466" t="str">
        <f t="shared" si="14"/>
        <v/>
      </c>
      <c r="Q172" s="253">
        <f t="shared" si="17"/>
        <v>0</v>
      </c>
      <c r="R172" s="253">
        <f t="shared" si="18"/>
        <v>0</v>
      </c>
      <c r="S172" s="449">
        <f t="shared" si="19"/>
        <v>140</v>
      </c>
      <c r="T172" s="253">
        <f t="shared" si="20"/>
        <v>140</v>
      </c>
      <c r="U172" s="457" t="str">
        <f t="shared" si="15"/>
        <v xml:space="preserve"> </v>
      </c>
    </row>
    <row r="173" spans="1:21" ht="20.100000000000001" hidden="1" customHeight="1" x14ac:dyDescent="0.25">
      <c r="A173" s="470" t="str">
        <f t="shared" si="16"/>
        <v/>
      </c>
      <c r="B173" s="456">
        <f>IF(LEFT(C173,16)="Terima Pajak PPN",VLOOKUP(P173,COPY!$A$1:$AC$1000,21,FALSE),IF(LEFT(C173,16)="Terima Pajak PPH",VLOOKUP(P173,COPY!$A$1:$AC$1000,21,FALSE),IF(LEFT(C173,13)="Terima PPh 23",VLOOKUP(P173,COPY!$A$1:$AC$1000,21,FALSE),0)))</f>
        <v>0</v>
      </c>
      <c r="C173" s="457">
        <f>IFERROR(IF(LEFT(VLOOKUP(P173,COPY!$A$1:$AC$1000,29,FALSE),5)="Terim",VLOOKUP(P173,COPY!$A$1:$AC$1000,29,FALSE),0),0)</f>
        <v>0</v>
      </c>
      <c r="D173" s="457"/>
      <c r="E173" s="457"/>
      <c r="F173" s="458">
        <f>IFERROR(IF(LEFT(VLOOKUP(P173,COPY!$A$1:$AC$1000,29,FALSE),5)="Terim",VLOOKUP(P173,COPY!$A$1:$AC$1000,26,FALSE),0),0)</f>
        <v>0</v>
      </c>
      <c r="G173" s="459">
        <f>IFERROR(VLOOKUP(P173,COPY!$A$1:$L$1000,4,FALSE),0)</f>
        <v>0</v>
      </c>
      <c r="H173" s="457">
        <f>IFERROR(VLOOKUP(P173,COPY!$A$1:$L$1000,2,FALSE),0)</f>
        <v>0</v>
      </c>
      <c r="I173" s="510">
        <f>IFERROR(VLOOKUP(P173,COPY!$A$1:$L$1000,10,FALSE),0)</f>
        <v>0</v>
      </c>
      <c r="J173" s="467">
        <f>IFERROR(VLOOKUP(P173,COPY!$A$1:$L$1000,8,FALSE),0)</f>
        <v>0</v>
      </c>
      <c r="K173" s="457">
        <f>IFERROR(VLOOKUP(P173,COPY!$A$1:$L$1000,7,FALSE),0)</f>
        <v>0</v>
      </c>
      <c r="L173" s="468">
        <f>IFERROR(VLOOKUP(P173,COPY!$A$1:$O$1000,15,FALSE),0)</f>
        <v>0</v>
      </c>
      <c r="M173" s="468">
        <f>IFERROR(VLOOKUP(P173,COPY!$A$1:$L$1000,12,FALSE),0)</f>
        <v>0</v>
      </c>
      <c r="N173" s="471">
        <f>IF(H173="Jasa",VLOOKUP('BKU 4'!K173,'Rekap Gaji'!$D$12:$I$26,6,FALSE),(IF(H173="Beli",VLOOKUP(P173,COPY!$A$1:$L$1000,11,FALSE),IF(H173="Bayar Ongkos",VLOOKUP(K173,'Rekap Gaji'!$D$12:$I$26,6,FALSE),0))))</f>
        <v>0</v>
      </c>
      <c r="O173" s="470"/>
      <c r="P173" s="466" t="str">
        <f t="shared" si="14"/>
        <v/>
      </c>
      <c r="Q173" s="253">
        <f t="shared" si="17"/>
        <v>0</v>
      </c>
      <c r="R173" s="253">
        <f t="shared" si="18"/>
        <v>0</v>
      </c>
      <c r="S173" s="449">
        <f t="shared" si="19"/>
        <v>141</v>
      </c>
      <c r="T173" s="253">
        <f t="shared" si="20"/>
        <v>141</v>
      </c>
      <c r="U173" s="457" t="str">
        <f t="shared" si="15"/>
        <v xml:space="preserve"> </v>
      </c>
    </row>
    <row r="174" spans="1:21" ht="20.100000000000001" hidden="1" customHeight="1" x14ac:dyDescent="0.25">
      <c r="A174" s="470" t="str">
        <f t="shared" si="16"/>
        <v/>
      </c>
      <c r="B174" s="456">
        <f>IF(LEFT(C174,16)="Terima Pajak PPN",VLOOKUP(P174,COPY!$A$1:$AC$1000,21,FALSE),IF(LEFT(C174,16)="Terima Pajak PPH",VLOOKUP(P174,COPY!$A$1:$AC$1000,21,FALSE),IF(LEFT(C174,13)="Terima PPh 23",VLOOKUP(P174,COPY!$A$1:$AC$1000,21,FALSE),0)))</f>
        <v>0</v>
      </c>
      <c r="C174" s="457">
        <f>IFERROR(IF(LEFT(VLOOKUP(P174,COPY!$A$1:$AC$1000,29,FALSE),5)="Terim",VLOOKUP(P174,COPY!$A$1:$AC$1000,29,FALSE),0),0)</f>
        <v>0</v>
      </c>
      <c r="D174" s="457"/>
      <c r="E174" s="457"/>
      <c r="F174" s="458">
        <f>IFERROR(IF(LEFT(VLOOKUP(P174,COPY!$A$1:$AC$1000,29,FALSE),5)="Terim",VLOOKUP(P174,COPY!$A$1:$AC$1000,26,FALSE),0),0)</f>
        <v>0</v>
      </c>
      <c r="G174" s="459">
        <f>IFERROR(VLOOKUP(P174,COPY!$A$1:$L$1000,4,FALSE),0)</f>
        <v>0</v>
      </c>
      <c r="H174" s="457">
        <f>IFERROR(VLOOKUP(P174,COPY!$A$1:$L$1000,2,FALSE),0)</f>
        <v>0</v>
      </c>
      <c r="I174" s="510">
        <f>IFERROR(VLOOKUP(P174,COPY!$A$1:$L$1000,10,FALSE),0)</f>
        <v>0</v>
      </c>
      <c r="J174" s="467">
        <f>IFERROR(VLOOKUP(P174,COPY!$A$1:$L$1000,8,FALSE),0)</f>
        <v>0</v>
      </c>
      <c r="K174" s="457">
        <f>IFERROR(VLOOKUP(P174,COPY!$A$1:$L$1000,7,FALSE),0)</f>
        <v>0</v>
      </c>
      <c r="L174" s="468">
        <f>IFERROR(VLOOKUP(P174,COPY!$A$1:$O$1000,15,FALSE),0)</f>
        <v>0</v>
      </c>
      <c r="M174" s="468">
        <f>IFERROR(VLOOKUP(P174,COPY!$A$1:$L$1000,12,FALSE),0)</f>
        <v>0</v>
      </c>
      <c r="N174" s="471">
        <f>IF(H174="Jasa",VLOOKUP('BKU 4'!K174,'Rekap Gaji'!$D$12:$I$26,6,FALSE),(IF(H174="Beli",VLOOKUP(P174,COPY!$A$1:$L$1000,11,FALSE),IF(H174="Bayar Ongkos",VLOOKUP(K174,'Rekap Gaji'!$D$12:$I$26,6,FALSE),0))))</f>
        <v>0</v>
      </c>
      <c r="O174" s="470"/>
      <c r="P174" s="466" t="str">
        <f t="shared" si="14"/>
        <v/>
      </c>
      <c r="Q174" s="253">
        <f t="shared" si="17"/>
        <v>0</v>
      </c>
      <c r="R174" s="253">
        <f t="shared" si="18"/>
        <v>0</v>
      </c>
      <c r="S174" s="449">
        <f t="shared" si="19"/>
        <v>142</v>
      </c>
      <c r="T174" s="253">
        <f t="shared" si="20"/>
        <v>142</v>
      </c>
      <c r="U174" s="457" t="str">
        <f t="shared" si="15"/>
        <v xml:space="preserve"> </v>
      </c>
    </row>
    <row r="175" spans="1:21" ht="20.100000000000001" hidden="1" customHeight="1" x14ac:dyDescent="0.25">
      <c r="A175" s="470" t="str">
        <f t="shared" si="16"/>
        <v/>
      </c>
      <c r="B175" s="456">
        <f>IF(LEFT(C175,16)="Terima Pajak PPN",VLOOKUP(P175,COPY!$A$1:$AC$1000,21,FALSE),IF(LEFT(C175,16)="Terima Pajak PPH",VLOOKUP(P175,COPY!$A$1:$AC$1000,21,FALSE),IF(LEFT(C175,13)="Terima PPh 23",VLOOKUP(P175,COPY!$A$1:$AC$1000,21,FALSE),0)))</f>
        <v>0</v>
      </c>
      <c r="C175" s="457">
        <f>IFERROR(IF(LEFT(VLOOKUP(P175,COPY!$A$1:$AC$1000,29,FALSE),5)="Terim",VLOOKUP(P175,COPY!$A$1:$AC$1000,29,FALSE),0),0)</f>
        <v>0</v>
      </c>
      <c r="D175" s="457"/>
      <c r="E175" s="457"/>
      <c r="F175" s="458">
        <f>IFERROR(IF(LEFT(VLOOKUP(P175,COPY!$A$1:$AC$1000,29,FALSE),5)="Terim",VLOOKUP(P175,COPY!$A$1:$AC$1000,26,FALSE),0),0)</f>
        <v>0</v>
      </c>
      <c r="G175" s="459">
        <f>IFERROR(VLOOKUP(P175,COPY!$A$1:$L$1000,4,FALSE),0)</f>
        <v>0</v>
      </c>
      <c r="H175" s="457">
        <f>IFERROR(VLOOKUP(P175,COPY!$A$1:$L$1000,2,FALSE),0)</f>
        <v>0</v>
      </c>
      <c r="I175" s="510">
        <f>IFERROR(VLOOKUP(P175,COPY!$A$1:$L$1000,10,FALSE),0)</f>
        <v>0</v>
      </c>
      <c r="J175" s="467">
        <f>IFERROR(VLOOKUP(P175,COPY!$A$1:$L$1000,8,FALSE),0)</f>
        <v>0</v>
      </c>
      <c r="K175" s="457">
        <f>IFERROR(VLOOKUP(P175,COPY!$A$1:$L$1000,7,FALSE),0)</f>
        <v>0</v>
      </c>
      <c r="L175" s="468">
        <f>IFERROR(VLOOKUP(P175,COPY!$A$1:$O$1000,15,FALSE),0)</f>
        <v>0</v>
      </c>
      <c r="M175" s="468">
        <f>IFERROR(VLOOKUP(P175,COPY!$A$1:$L$1000,12,FALSE),0)</f>
        <v>0</v>
      </c>
      <c r="N175" s="471">
        <f>IF(H175="Jasa",VLOOKUP('BKU 4'!K175,'Rekap Gaji'!$D$12:$I$26,6,FALSE),(IF(H175="Beli",VLOOKUP(P175,COPY!$A$1:$L$1000,11,FALSE),IF(H175="Bayar Ongkos",VLOOKUP(K175,'Rekap Gaji'!$D$12:$I$26,6,FALSE),0))))</f>
        <v>0</v>
      </c>
      <c r="O175" s="470"/>
      <c r="P175" s="466" t="str">
        <f t="shared" si="14"/>
        <v/>
      </c>
      <c r="Q175" s="253">
        <f t="shared" si="17"/>
        <v>0</v>
      </c>
      <c r="R175" s="253">
        <f t="shared" si="18"/>
        <v>0</v>
      </c>
      <c r="S175" s="449">
        <f t="shared" si="19"/>
        <v>143</v>
      </c>
      <c r="T175" s="253">
        <f t="shared" si="20"/>
        <v>143</v>
      </c>
      <c r="U175" s="457" t="str">
        <f t="shared" si="15"/>
        <v xml:space="preserve"> </v>
      </c>
    </row>
    <row r="176" spans="1:21" ht="20.100000000000001" hidden="1" customHeight="1" x14ac:dyDescent="0.25">
      <c r="A176" s="470" t="str">
        <f t="shared" si="16"/>
        <v/>
      </c>
      <c r="B176" s="456">
        <f>IF(LEFT(C176,16)="Terima Pajak PPN",VLOOKUP(P176,COPY!$A$1:$AC$1000,21,FALSE),IF(LEFT(C176,16)="Terima Pajak PPH",VLOOKUP(P176,COPY!$A$1:$AC$1000,21,FALSE),IF(LEFT(C176,13)="Terima PPh 23",VLOOKUP(P176,COPY!$A$1:$AC$1000,21,FALSE),0)))</f>
        <v>0</v>
      </c>
      <c r="C176" s="457">
        <f>IFERROR(IF(LEFT(VLOOKUP(P176,COPY!$A$1:$AC$1000,29,FALSE),5)="Terim",VLOOKUP(P176,COPY!$A$1:$AC$1000,29,FALSE),0),0)</f>
        <v>0</v>
      </c>
      <c r="D176" s="457"/>
      <c r="E176" s="457"/>
      <c r="F176" s="458">
        <f>IFERROR(IF(LEFT(VLOOKUP(P176,COPY!$A$1:$AC$1000,29,FALSE),5)="Terim",VLOOKUP(P176,COPY!$A$1:$AC$1000,26,FALSE),0),0)</f>
        <v>0</v>
      </c>
      <c r="G176" s="459">
        <f>IFERROR(VLOOKUP(P176,COPY!$A$1:$L$1000,4,FALSE),0)</f>
        <v>0</v>
      </c>
      <c r="H176" s="457">
        <f>IFERROR(VLOOKUP(P176,COPY!$A$1:$L$1000,2,FALSE),0)</f>
        <v>0</v>
      </c>
      <c r="I176" s="510">
        <f>IFERROR(VLOOKUP(P176,COPY!$A$1:$L$1000,10,FALSE),0)</f>
        <v>0</v>
      </c>
      <c r="J176" s="467">
        <f>IFERROR(VLOOKUP(P176,COPY!$A$1:$L$1000,8,FALSE),0)</f>
        <v>0</v>
      </c>
      <c r="K176" s="457">
        <f>IFERROR(VLOOKUP(P176,COPY!$A$1:$L$1000,7,FALSE),0)</f>
        <v>0</v>
      </c>
      <c r="L176" s="468">
        <f>IFERROR(VLOOKUP(P176,COPY!$A$1:$O$1000,15,FALSE),0)</f>
        <v>0</v>
      </c>
      <c r="M176" s="468">
        <f>IFERROR(VLOOKUP(P176,COPY!$A$1:$L$1000,12,FALSE),0)</f>
        <v>0</v>
      </c>
      <c r="N176" s="471">
        <f>IF(H176="Jasa",VLOOKUP('BKU 4'!K176,'Rekap Gaji'!$D$12:$I$26,6,FALSE),(IF(H176="Beli",VLOOKUP(P176,COPY!$A$1:$L$1000,11,FALSE),IF(H176="Bayar Ongkos",VLOOKUP(K176,'Rekap Gaji'!$D$12:$I$26,6,FALSE),0))))</f>
        <v>0</v>
      </c>
      <c r="O176" s="470"/>
      <c r="P176" s="466" t="str">
        <f t="shared" si="14"/>
        <v/>
      </c>
      <c r="Q176" s="253">
        <f t="shared" si="17"/>
        <v>0</v>
      </c>
      <c r="R176" s="253">
        <f t="shared" si="18"/>
        <v>0</v>
      </c>
      <c r="S176" s="449">
        <f t="shared" si="19"/>
        <v>144</v>
      </c>
      <c r="T176" s="253">
        <f t="shared" si="20"/>
        <v>144</v>
      </c>
      <c r="U176" s="457" t="str">
        <f t="shared" si="15"/>
        <v xml:space="preserve"> </v>
      </c>
    </row>
    <row r="177" spans="1:21" ht="20.100000000000001" hidden="1" customHeight="1" x14ac:dyDescent="0.25">
      <c r="A177" s="470" t="str">
        <f t="shared" si="16"/>
        <v/>
      </c>
      <c r="B177" s="456">
        <f>IF(LEFT(C177,16)="Terima Pajak PPN",VLOOKUP(P177,COPY!$A$1:$AC$1000,21,FALSE),IF(LEFT(C177,16)="Terima Pajak PPH",VLOOKUP(P177,COPY!$A$1:$AC$1000,21,FALSE),IF(LEFT(C177,13)="Terima PPh 23",VLOOKUP(P177,COPY!$A$1:$AC$1000,21,FALSE),0)))</f>
        <v>0</v>
      </c>
      <c r="C177" s="457">
        <f>IFERROR(IF(LEFT(VLOOKUP(P177,COPY!$A$1:$AC$1000,29,FALSE),5)="Terim",VLOOKUP(P177,COPY!$A$1:$AC$1000,29,FALSE),0),0)</f>
        <v>0</v>
      </c>
      <c r="D177" s="457"/>
      <c r="E177" s="457"/>
      <c r="F177" s="458">
        <f>IFERROR(IF(LEFT(VLOOKUP(P177,COPY!$A$1:$AC$1000,29,FALSE),5)="Terim",VLOOKUP(P177,COPY!$A$1:$AC$1000,26,FALSE),0),0)</f>
        <v>0</v>
      </c>
      <c r="G177" s="459">
        <f>IFERROR(VLOOKUP(P177,COPY!$A$1:$L$1000,4,FALSE),0)</f>
        <v>0</v>
      </c>
      <c r="H177" s="457">
        <f>IFERROR(VLOOKUP(P177,COPY!$A$1:$L$1000,2,FALSE),0)</f>
        <v>0</v>
      </c>
      <c r="I177" s="510">
        <f>IFERROR(VLOOKUP(P177,COPY!$A$1:$L$1000,10,FALSE),0)</f>
        <v>0</v>
      </c>
      <c r="J177" s="467">
        <f>IFERROR(VLOOKUP(P177,COPY!$A$1:$L$1000,8,FALSE),0)</f>
        <v>0</v>
      </c>
      <c r="K177" s="457">
        <f>IFERROR(VLOOKUP(P177,COPY!$A$1:$L$1000,7,FALSE),0)</f>
        <v>0</v>
      </c>
      <c r="L177" s="468">
        <f>IFERROR(VLOOKUP(P177,COPY!$A$1:$O$1000,15,FALSE),0)</f>
        <v>0</v>
      </c>
      <c r="M177" s="468">
        <f>IFERROR(VLOOKUP(P177,COPY!$A$1:$L$1000,12,FALSE),0)</f>
        <v>0</v>
      </c>
      <c r="N177" s="471">
        <f>IF(H177="Jasa",VLOOKUP('BKU 4'!K177,'Rekap Gaji'!$D$12:$I$26,6,FALSE),(IF(H177="Beli",VLOOKUP(P177,COPY!$A$1:$L$1000,11,FALSE),IF(H177="Bayar Ongkos",VLOOKUP(K177,'Rekap Gaji'!$D$12:$I$26,6,FALSE),0))))</f>
        <v>0</v>
      </c>
      <c r="O177" s="470"/>
      <c r="P177" s="466" t="str">
        <f t="shared" si="14"/>
        <v/>
      </c>
      <c r="Q177" s="253">
        <f t="shared" si="17"/>
        <v>0</v>
      </c>
      <c r="R177" s="253">
        <f t="shared" si="18"/>
        <v>0</v>
      </c>
      <c r="S177" s="449">
        <f t="shared" si="19"/>
        <v>145</v>
      </c>
      <c r="T177" s="253">
        <f t="shared" si="20"/>
        <v>145</v>
      </c>
      <c r="U177" s="457" t="str">
        <f t="shared" si="15"/>
        <v xml:space="preserve"> </v>
      </c>
    </row>
    <row r="178" spans="1:21" ht="20.100000000000001" hidden="1" customHeight="1" x14ac:dyDescent="0.25">
      <c r="A178" s="470" t="str">
        <f t="shared" si="16"/>
        <v/>
      </c>
      <c r="B178" s="456">
        <f>IF(LEFT(C178,16)="Terima Pajak PPN",VLOOKUP(P178,COPY!$A$1:$AC$1000,21,FALSE),IF(LEFT(C178,16)="Terima Pajak PPH",VLOOKUP(P178,COPY!$A$1:$AC$1000,21,FALSE),IF(LEFT(C178,13)="Terima PPh 23",VLOOKUP(P178,COPY!$A$1:$AC$1000,21,FALSE),0)))</f>
        <v>0</v>
      </c>
      <c r="C178" s="457">
        <f>IFERROR(IF(LEFT(VLOOKUP(P178,COPY!$A$1:$AC$1000,29,FALSE),5)="Terim",VLOOKUP(P178,COPY!$A$1:$AC$1000,29,FALSE),0),0)</f>
        <v>0</v>
      </c>
      <c r="D178" s="457"/>
      <c r="E178" s="457"/>
      <c r="F178" s="458">
        <f>IFERROR(IF(LEFT(VLOOKUP(P178,COPY!$A$1:$AC$1000,29,FALSE),5)="Terim",VLOOKUP(P178,COPY!$A$1:$AC$1000,26,FALSE),0),0)</f>
        <v>0</v>
      </c>
      <c r="G178" s="459">
        <f>IFERROR(VLOOKUP(P178,COPY!$A$1:$L$1000,4,FALSE),0)</f>
        <v>0</v>
      </c>
      <c r="H178" s="457">
        <f>IFERROR(VLOOKUP(P178,COPY!$A$1:$L$1000,2,FALSE),0)</f>
        <v>0</v>
      </c>
      <c r="I178" s="510">
        <f>IFERROR(VLOOKUP(P178,COPY!$A$1:$L$1000,10,FALSE),0)</f>
        <v>0</v>
      </c>
      <c r="J178" s="467">
        <f>IFERROR(VLOOKUP(P178,COPY!$A$1:$L$1000,8,FALSE),0)</f>
        <v>0</v>
      </c>
      <c r="K178" s="457">
        <f>IFERROR(VLOOKUP(P178,COPY!$A$1:$L$1000,7,FALSE),0)</f>
        <v>0</v>
      </c>
      <c r="L178" s="468">
        <f>IFERROR(VLOOKUP(P178,COPY!$A$1:$O$1000,15,FALSE),0)</f>
        <v>0</v>
      </c>
      <c r="M178" s="468">
        <f>IFERROR(VLOOKUP(P178,COPY!$A$1:$L$1000,12,FALSE),0)</f>
        <v>0</v>
      </c>
      <c r="N178" s="471">
        <f>IF(H178="Jasa",VLOOKUP('BKU 4'!K178,'Rekap Gaji'!$D$12:$I$26,6,FALSE),(IF(H178="Beli",VLOOKUP(P178,COPY!$A$1:$L$1000,11,FALSE),IF(H178="Bayar Ongkos",VLOOKUP(K178,'Rekap Gaji'!$D$12:$I$26,6,FALSE),0))))</f>
        <v>0</v>
      </c>
      <c r="O178" s="470"/>
      <c r="P178" s="466" t="str">
        <f t="shared" si="14"/>
        <v/>
      </c>
      <c r="Q178" s="253">
        <f t="shared" si="17"/>
        <v>0</v>
      </c>
      <c r="R178" s="253">
        <f t="shared" si="18"/>
        <v>0</v>
      </c>
      <c r="S178" s="449">
        <f t="shared" si="19"/>
        <v>146</v>
      </c>
      <c r="T178" s="253">
        <f t="shared" si="20"/>
        <v>146</v>
      </c>
      <c r="U178" s="457" t="str">
        <f t="shared" si="15"/>
        <v xml:space="preserve"> </v>
      </c>
    </row>
    <row r="179" spans="1:21" ht="20.100000000000001" hidden="1" customHeight="1" x14ac:dyDescent="0.25">
      <c r="A179" s="470" t="str">
        <f t="shared" si="16"/>
        <v/>
      </c>
      <c r="B179" s="456">
        <f>IF(LEFT(C179,16)="Terima Pajak PPN",VLOOKUP(P179,COPY!$A$1:$AC$1000,21,FALSE),IF(LEFT(C179,16)="Terima Pajak PPH",VLOOKUP(P179,COPY!$A$1:$AC$1000,21,FALSE),IF(LEFT(C179,13)="Terima PPh 23",VLOOKUP(P179,COPY!$A$1:$AC$1000,21,FALSE),0)))</f>
        <v>0</v>
      </c>
      <c r="C179" s="457">
        <f>IFERROR(IF(LEFT(VLOOKUP(P179,COPY!$A$1:$AC$1000,29,FALSE),5)="Terim",VLOOKUP(P179,COPY!$A$1:$AC$1000,29,FALSE),0),0)</f>
        <v>0</v>
      </c>
      <c r="D179" s="457"/>
      <c r="E179" s="457"/>
      <c r="F179" s="458">
        <f>IFERROR(IF(LEFT(VLOOKUP(P179,COPY!$A$1:$AC$1000,29,FALSE),5)="Terim",VLOOKUP(P179,COPY!$A$1:$AC$1000,26,FALSE),0),0)</f>
        <v>0</v>
      </c>
      <c r="G179" s="459">
        <f>IFERROR(VLOOKUP(P179,COPY!$A$1:$L$1000,4,FALSE),0)</f>
        <v>0</v>
      </c>
      <c r="H179" s="457">
        <f>IFERROR(VLOOKUP(P179,COPY!$A$1:$L$1000,2,FALSE),0)</f>
        <v>0</v>
      </c>
      <c r="I179" s="510">
        <f>IFERROR(VLOOKUP(P179,COPY!$A$1:$L$1000,10,FALSE),0)</f>
        <v>0</v>
      </c>
      <c r="J179" s="467">
        <f>IFERROR(VLOOKUP(P179,COPY!$A$1:$L$1000,8,FALSE),0)</f>
        <v>0</v>
      </c>
      <c r="K179" s="457">
        <f>IFERROR(VLOOKUP(P179,COPY!$A$1:$L$1000,7,FALSE),0)</f>
        <v>0</v>
      </c>
      <c r="L179" s="468">
        <f>IFERROR(VLOOKUP(P179,COPY!$A$1:$O$1000,15,FALSE),0)</f>
        <v>0</v>
      </c>
      <c r="M179" s="468">
        <f>IFERROR(VLOOKUP(P179,COPY!$A$1:$L$1000,12,FALSE),0)</f>
        <v>0</v>
      </c>
      <c r="N179" s="471">
        <f>IF(H179="Jasa",VLOOKUP('BKU 4'!K179,'Rekap Gaji'!$D$12:$I$26,6,FALSE),(IF(H179="Beli",VLOOKUP(P179,COPY!$A$1:$L$1000,11,FALSE),IF(H179="Bayar Ongkos",VLOOKUP(K179,'Rekap Gaji'!$D$12:$I$26,6,FALSE),0))))</f>
        <v>0</v>
      </c>
      <c r="O179" s="470"/>
      <c r="P179" s="466" t="str">
        <f t="shared" si="14"/>
        <v/>
      </c>
      <c r="Q179" s="253">
        <f t="shared" si="17"/>
        <v>0</v>
      </c>
      <c r="R179" s="253">
        <f t="shared" si="18"/>
        <v>0</v>
      </c>
      <c r="S179" s="449">
        <f t="shared" si="19"/>
        <v>147</v>
      </c>
      <c r="T179" s="253">
        <f t="shared" si="20"/>
        <v>147</v>
      </c>
      <c r="U179" s="457" t="str">
        <f t="shared" si="15"/>
        <v xml:space="preserve"> </v>
      </c>
    </row>
    <row r="180" spans="1:21" ht="20.100000000000001" hidden="1" customHeight="1" x14ac:dyDescent="0.25">
      <c r="A180" s="470" t="str">
        <f t="shared" si="16"/>
        <v/>
      </c>
      <c r="B180" s="456">
        <f>IF(LEFT(C180,16)="Terima Pajak PPN",VLOOKUP(P180,COPY!$A$1:$AC$1000,21,FALSE),IF(LEFT(C180,16)="Terima Pajak PPH",VLOOKUP(P180,COPY!$A$1:$AC$1000,21,FALSE),IF(LEFT(C180,13)="Terima PPh 23",VLOOKUP(P180,COPY!$A$1:$AC$1000,21,FALSE),0)))</f>
        <v>0</v>
      </c>
      <c r="C180" s="457">
        <f>IFERROR(IF(LEFT(VLOOKUP(P180,COPY!$A$1:$AC$1000,29,FALSE),5)="Terim",VLOOKUP(P180,COPY!$A$1:$AC$1000,29,FALSE),0),0)</f>
        <v>0</v>
      </c>
      <c r="D180" s="457"/>
      <c r="E180" s="457"/>
      <c r="F180" s="458">
        <f>IFERROR(IF(LEFT(VLOOKUP(P180,COPY!$A$1:$AC$1000,29,FALSE),5)="Terim",VLOOKUP(P180,COPY!$A$1:$AC$1000,26,FALSE),0),0)</f>
        <v>0</v>
      </c>
      <c r="G180" s="459">
        <f>IFERROR(VLOOKUP(P180,COPY!$A$1:$L$1000,4,FALSE),0)</f>
        <v>0</v>
      </c>
      <c r="H180" s="457">
        <f>IFERROR(VLOOKUP(P180,COPY!$A$1:$L$1000,2,FALSE),0)</f>
        <v>0</v>
      </c>
      <c r="I180" s="510">
        <f>IFERROR(VLOOKUP(P180,COPY!$A$1:$L$1000,10,FALSE),0)</f>
        <v>0</v>
      </c>
      <c r="J180" s="467">
        <f>IFERROR(VLOOKUP(P180,COPY!$A$1:$L$1000,8,FALSE),0)</f>
        <v>0</v>
      </c>
      <c r="K180" s="457">
        <f>IFERROR(VLOOKUP(P180,COPY!$A$1:$L$1000,7,FALSE),0)</f>
        <v>0</v>
      </c>
      <c r="L180" s="468">
        <f>IFERROR(VLOOKUP(P180,COPY!$A$1:$O$1000,15,FALSE),0)</f>
        <v>0</v>
      </c>
      <c r="M180" s="468">
        <f>IFERROR(VLOOKUP(P180,COPY!$A$1:$L$1000,12,FALSE),0)</f>
        <v>0</v>
      </c>
      <c r="N180" s="471">
        <f>IF(H180="Jasa",VLOOKUP('BKU 4'!K180,'Rekap Gaji'!$D$12:$I$26,6,FALSE),(IF(H180="Beli",VLOOKUP(P180,COPY!$A$1:$L$1000,11,FALSE),IF(H180="Bayar Ongkos",VLOOKUP(K180,'Rekap Gaji'!$D$12:$I$26,6,FALSE),0))))</f>
        <v>0</v>
      </c>
      <c r="O180" s="470"/>
      <c r="P180" s="466" t="str">
        <f t="shared" si="14"/>
        <v/>
      </c>
      <c r="Q180" s="253">
        <f t="shared" si="17"/>
        <v>0</v>
      </c>
      <c r="R180" s="253">
        <f t="shared" si="18"/>
        <v>0</v>
      </c>
      <c r="S180" s="449">
        <f t="shared" si="19"/>
        <v>148</v>
      </c>
      <c r="T180" s="253">
        <f t="shared" si="20"/>
        <v>148</v>
      </c>
      <c r="U180" s="457" t="str">
        <f t="shared" si="15"/>
        <v xml:space="preserve"> </v>
      </c>
    </row>
    <row r="181" spans="1:21" ht="20.100000000000001" hidden="1" customHeight="1" x14ac:dyDescent="0.25">
      <c r="A181" s="470" t="str">
        <f t="shared" si="16"/>
        <v/>
      </c>
      <c r="B181" s="456">
        <f>IF(LEFT(C181,16)="Terima Pajak PPN",VLOOKUP(P181,COPY!$A$1:$AC$1000,21,FALSE),IF(LEFT(C181,16)="Terima Pajak PPH",VLOOKUP(P181,COPY!$A$1:$AC$1000,21,FALSE),IF(LEFT(C181,13)="Terima PPh 23",VLOOKUP(P181,COPY!$A$1:$AC$1000,21,FALSE),0)))</f>
        <v>0</v>
      </c>
      <c r="C181" s="457">
        <f>IFERROR(IF(LEFT(VLOOKUP(P181,COPY!$A$1:$AC$1000,29,FALSE),5)="Terim",VLOOKUP(P181,COPY!$A$1:$AC$1000,29,FALSE),0),0)</f>
        <v>0</v>
      </c>
      <c r="D181" s="457"/>
      <c r="E181" s="457"/>
      <c r="F181" s="458">
        <f>IFERROR(IF(LEFT(VLOOKUP(P181,COPY!$A$1:$AC$1000,29,FALSE),5)="Terim",VLOOKUP(P181,COPY!$A$1:$AC$1000,26,FALSE),0),0)</f>
        <v>0</v>
      </c>
      <c r="G181" s="459">
        <f>IFERROR(VLOOKUP(P181,COPY!$A$1:$L$1000,4,FALSE),0)</f>
        <v>0</v>
      </c>
      <c r="H181" s="457">
        <f>IFERROR(VLOOKUP(P181,COPY!$A$1:$L$1000,2,FALSE),0)</f>
        <v>0</v>
      </c>
      <c r="I181" s="510">
        <f>IFERROR(VLOOKUP(P181,COPY!$A$1:$L$1000,10,FALSE),0)</f>
        <v>0</v>
      </c>
      <c r="J181" s="467">
        <f>IFERROR(VLOOKUP(P181,COPY!$A$1:$L$1000,8,FALSE),0)</f>
        <v>0</v>
      </c>
      <c r="K181" s="457">
        <f>IFERROR(VLOOKUP(P181,COPY!$A$1:$L$1000,7,FALSE),0)</f>
        <v>0</v>
      </c>
      <c r="L181" s="468">
        <f>IFERROR(VLOOKUP(P181,COPY!$A$1:$O$1000,15,FALSE),0)</f>
        <v>0</v>
      </c>
      <c r="M181" s="468">
        <f>IFERROR(VLOOKUP(P181,COPY!$A$1:$L$1000,12,FALSE),0)</f>
        <v>0</v>
      </c>
      <c r="N181" s="471">
        <f>IF(H181="Jasa",VLOOKUP('BKU 4'!K181,'Rekap Gaji'!$D$12:$I$26,6,FALSE),(IF(H181="Beli",VLOOKUP(P181,COPY!$A$1:$L$1000,11,FALSE),IF(H181="Bayar Ongkos",VLOOKUP(K181,'Rekap Gaji'!$D$12:$I$26,6,FALSE),0))))</f>
        <v>0</v>
      </c>
      <c r="O181" s="470"/>
      <c r="P181" s="466" t="str">
        <f t="shared" si="14"/>
        <v/>
      </c>
      <c r="Q181" s="253">
        <f t="shared" si="17"/>
        <v>0</v>
      </c>
      <c r="R181" s="253">
        <f t="shared" si="18"/>
        <v>0</v>
      </c>
      <c r="S181" s="449">
        <f t="shared" si="19"/>
        <v>149</v>
      </c>
      <c r="T181" s="253">
        <f t="shared" si="20"/>
        <v>149</v>
      </c>
      <c r="U181" s="457" t="str">
        <f t="shared" si="15"/>
        <v xml:space="preserve"> </v>
      </c>
    </row>
    <row r="182" spans="1:21" ht="20.100000000000001" hidden="1" customHeight="1" x14ac:dyDescent="0.25">
      <c r="A182" s="470" t="str">
        <f t="shared" si="16"/>
        <v/>
      </c>
      <c r="B182" s="456">
        <f>IF(LEFT(C182,16)="Terima Pajak PPN",VLOOKUP(P182,COPY!$A$1:$AC$1000,21,FALSE),IF(LEFT(C182,16)="Terima Pajak PPH",VLOOKUP(P182,COPY!$A$1:$AC$1000,21,FALSE),IF(LEFT(C182,13)="Terima PPh 23",VLOOKUP(P182,COPY!$A$1:$AC$1000,21,FALSE),0)))</f>
        <v>0</v>
      </c>
      <c r="C182" s="457">
        <f>IFERROR(IF(LEFT(VLOOKUP(P182,COPY!$A$1:$AC$1000,29,FALSE),5)="Terim",VLOOKUP(P182,COPY!$A$1:$AC$1000,29,FALSE),0),0)</f>
        <v>0</v>
      </c>
      <c r="D182" s="457"/>
      <c r="E182" s="457"/>
      <c r="F182" s="458">
        <f>IFERROR(IF(LEFT(VLOOKUP(P182,COPY!$A$1:$AC$1000,29,FALSE),5)="Terim",VLOOKUP(P182,COPY!$A$1:$AC$1000,26,FALSE),0),0)</f>
        <v>0</v>
      </c>
      <c r="G182" s="459">
        <f>IFERROR(VLOOKUP(P182,COPY!$A$1:$L$1000,4,FALSE),0)</f>
        <v>0</v>
      </c>
      <c r="H182" s="457">
        <f>IFERROR(VLOOKUP(P182,COPY!$A$1:$L$1000,2,FALSE),0)</f>
        <v>0</v>
      </c>
      <c r="I182" s="510">
        <f>IFERROR(VLOOKUP(P182,COPY!$A$1:$L$1000,10,FALSE),0)</f>
        <v>0</v>
      </c>
      <c r="J182" s="467">
        <f>IFERROR(VLOOKUP(P182,COPY!$A$1:$L$1000,8,FALSE),0)</f>
        <v>0</v>
      </c>
      <c r="K182" s="457">
        <f>IFERROR(VLOOKUP(P182,COPY!$A$1:$L$1000,7,FALSE),0)</f>
        <v>0</v>
      </c>
      <c r="L182" s="468">
        <f>IFERROR(VLOOKUP(P182,COPY!$A$1:$O$1000,15,FALSE),0)</f>
        <v>0</v>
      </c>
      <c r="M182" s="468">
        <f>IFERROR(VLOOKUP(P182,COPY!$A$1:$L$1000,12,FALSE),0)</f>
        <v>0</v>
      </c>
      <c r="N182" s="471">
        <f>IF(H182="Jasa",VLOOKUP('BKU 4'!K182,'Rekap Gaji'!$D$12:$I$26,6,FALSE),(IF(H182="Beli",VLOOKUP(P182,COPY!$A$1:$L$1000,11,FALSE),IF(H182="Bayar Ongkos",VLOOKUP(K182,'Rekap Gaji'!$D$12:$I$26,6,FALSE),0))))</f>
        <v>0</v>
      </c>
      <c r="O182" s="470"/>
      <c r="P182" s="466" t="str">
        <f t="shared" si="14"/>
        <v/>
      </c>
      <c r="Q182" s="253">
        <f t="shared" si="17"/>
        <v>0</v>
      </c>
      <c r="R182" s="253">
        <f t="shared" si="18"/>
        <v>0</v>
      </c>
      <c r="S182" s="449">
        <f t="shared" si="19"/>
        <v>150</v>
      </c>
      <c r="T182" s="253">
        <f t="shared" si="20"/>
        <v>150</v>
      </c>
      <c r="U182" s="457" t="str">
        <f t="shared" si="15"/>
        <v xml:space="preserve"> </v>
      </c>
    </row>
    <row r="183" spans="1:21" ht="20.100000000000001" hidden="1" customHeight="1" x14ac:dyDescent="0.25">
      <c r="A183" s="470" t="str">
        <f t="shared" si="16"/>
        <v/>
      </c>
      <c r="B183" s="456">
        <f>IF(LEFT(C183,16)="Terima Pajak PPN",VLOOKUP(P183,COPY!$A$1:$AC$1000,21,FALSE),IF(LEFT(C183,16)="Terima Pajak PPH",VLOOKUP(P183,COPY!$A$1:$AC$1000,21,FALSE),IF(LEFT(C183,13)="Terima PPh 23",VLOOKUP(P183,COPY!$A$1:$AC$1000,21,FALSE),0)))</f>
        <v>0</v>
      </c>
      <c r="C183" s="457">
        <f>IFERROR(IF(LEFT(VLOOKUP(P183,COPY!$A$1:$AC$1000,29,FALSE),5)="Terim",VLOOKUP(P183,COPY!$A$1:$AC$1000,29,FALSE),0),0)</f>
        <v>0</v>
      </c>
      <c r="D183" s="457"/>
      <c r="E183" s="457"/>
      <c r="F183" s="458">
        <f>IFERROR(IF(LEFT(VLOOKUP(P183,COPY!$A$1:$AC$1000,29,FALSE),5)="Terim",VLOOKUP(P183,COPY!$A$1:$AC$1000,26,FALSE),0),0)</f>
        <v>0</v>
      </c>
      <c r="G183" s="459">
        <f>IFERROR(VLOOKUP(P183,COPY!$A$1:$L$1000,4,FALSE),0)</f>
        <v>0</v>
      </c>
      <c r="H183" s="457">
        <f>IFERROR(VLOOKUP(P183,COPY!$A$1:$L$1000,2,FALSE),0)</f>
        <v>0</v>
      </c>
      <c r="I183" s="510">
        <f>IFERROR(VLOOKUP(P183,COPY!$A$1:$L$1000,10,FALSE),0)</f>
        <v>0</v>
      </c>
      <c r="J183" s="467">
        <f>IFERROR(VLOOKUP(P183,COPY!$A$1:$L$1000,8,FALSE),0)</f>
        <v>0</v>
      </c>
      <c r="K183" s="457">
        <f>IFERROR(VLOOKUP(P183,COPY!$A$1:$L$1000,7,FALSE),0)</f>
        <v>0</v>
      </c>
      <c r="L183" s="468">
        <f>IFERROR(VLOOKUP(P183,COPY!$A$1:$O$1000,15,FALSE),0)</f>
        <v>0</v>
      </c>
      <c r="M183" s="468">
        <f>IFERROR(VLOOKUP(P183,COPY!$A$1:$L$1000,12,FALSE),0)</f>
        <v>0</v>
      </c>
      <c r="N183" s="471">
        <f>IF(H183="Jasa",VLOOKUP('BKU 4'!K183,'Rekap Gaji'!$D$12:$I$26,6,FALSE),(IF(H183="Beli",VLOOKUP(P183,COPY!$A$1:$L$1000,11,FALSE),IF(H183="Bayar Ongkos",VLOOKUP(K183,'Rekap Gaji'!$D$12:$I$26,6,FALSE),0))))</f>
        <v>0</v>
      </c>
      <c r="O183" s="470"/>
      <c r="P183" s="466" t="str">
        <f t="shared" si="14"/>
        <v/>
      </c>
      <c r="Q183" s="253">
        <f t="shared" si="17"/>
        <v>0</v>
      </c>
      <c r="R183" s="253">
        <f t="shared" si="18"/>
        <v>0</v>
      </c>
      <c r="S183" s="449">
        <f t="shared" si="19"/>
        <v>151</v>
      </c>
      <c r="T183" s="253">
        <f t="shared" si="20"/>
        <v>151</v>
      </c>
      <c r="U183" s="457" t="str">
        <f t="shared" si="15"/>
        <v xml:space="preserve"> </v>
      </c>
    </row>
    <row r="184" spans="1:21" ht="20.100000000000001" hidden="1" customHeight="1" x14ac:dyDescent="0.25">
      <c r="A184" s="470" t="str">
        <f t="shared" si="16"/>
        <v/>
      </c>
      <c r="B184" s="456">
        <f>IF(LEFT(C184,16)="Terima Pajak PPN",VLOOKUP(P184,COPY!$A$1:$AC$1000,21,FALSE),IF(LEFT(C184,16)="Terima Pajak PPH",VLOOKUP(P184,COPY!$A$1:$AC$1000,21,FALSE),IF(LEFT(C184,13)="Terima PPh 23",VLOOKUP(P184,COPY!$A$1:$AC$1000,21,FALSE),0)))</f>
        <v>0</v>
      </c>
      <c r="C184" s="457">
        <f>IFERROR(IF(LEFT(VLOOKUP(P184,COPY!$A$1:$AC$1000,29,FALSE),5)="Terim",VLOOKUP(P184,COPY!$A$1:$AC$1000,29,FALSE),0),0)</f>
        <v>0</v>
      </c>
      <c r="D184" s="457"/>
      <c r="E184" s="457"/>
      <c r="F184" s="458">
        <f>IFERROR(IF(LEFT(VLOOKUP(P184,COPY!$A$1:$AC$1000,29,FALSE),5)="Terim",VLOOKUP(P184,COPY!$A$1:$AC$1000,26,FALSE),0),0)</f>
        <v>0</v>
      </c>
      <c r="G184" s="459">
        <f>IFERROR(VLOOKUP(P184,COPY!$A$1:$L$1000,4,FALSE),0)</f>
        <v>0</v>
      </c>
      <c r="H184" s="457">
        <f>IFERROR(VLOOKUP(P184,COPY!$A$1:$L$1000,2,FALSE),0)</f>
        <v>0</v>
      </c>
      <c r="I184" s="510">
        <f>IFERROR(VLOOKUP(P184,COPY!$A$1:$L$1000,10,FALSE),0)</f>
        <v>0</v>
      </c>
      <c r="J184" s="467">
        <f>IFERROR(VLOOKUP(P184,COPY!$A$1:$L$1000,8,FALSE),0)</f>
        <v>0</v>
      </c>
      <c r="K184" s="457">
        <f>IFERROR(VLOOKUP(P184,COPY!$A$1:$L$1000,7,FALSE),0)</f>
        <v>0</v>
      </c>
      <c r="L184" s="468">
        <f>IFERROR(VLOOKUP(P184,COPY!$A$1:$O$1000,15,FALSE),0)</f>
        <v>0</v>
      </c>
      <c r="M184" s="468">
        <f>IFERROR(VLOOKUP(P184,COPY!$A$1:$L$1000,12,FALSE),0)</f>
        <v>0</v>
      </c>
      <c r="N184" s="471">
        <f>IF(H184="Jasa",VLOOKUP('BKU 4'!K184,'Rekap Gaji'!$D$12:$I$26,6,FALSE),(IF(H184="Beli",VLOOKUP(P184,COPY!$A$1:$L$1000,11,FALSE),IF(H184="Bayar Ongkos",VLOOKUP(K184,'Rekap Gaji'!$D$12:$I$26,6,FALSE),0))))</f>
        <v>0</v>
      </c>
      <c r="O184" s="470"/>
      <c r="P184" s="466" t="str">
        <f t="shared" si="14"/>
        <v/>
      </c>
      <c r="Q184" s="253">
        <f t="shared" si="17"/>
        <v>0</v>
      </c>
      <c r="R184" s="253">
        <f t="shared" si="18"/>
        <v>0</v>
      </c>
      <c r="S184" s="449">
        <f t="shared" si="19"/>
        <v>152</v>
      </c>
      <c r="T184" s="253">
        <f t="shared" si="20"/>
        <v>152</v>
      </c>
      <c r="U184" s="457" t="str">
        <f t="shared" si="15"/>
        <v xml:space="preserve"> </v>
      </c>
    </row>
    <row r="185" spans="1:21" ht="20.100000000000001" hidden="1" customHeight="1" x14ac:dyDescent="0.25">
      <c r="A185" s="470" t="str">
        <f t="shared" si="16"/>
        <v/>
      </c>
      <c r="B185" s="456">
        <f>IF(LEFT(C185,16)="Terima Pajak PPN",VLOOKUP(P185,COPY!$A$1:$AC$1000,21,FALSE),IF(LEFT(C185,16)="Terima Pajak PPH",VLOOKUP(P185,COPY!$A$1:$AC$1000,21,FALSE),IF(LEFT(C185,13)="Terima PPh 23",VLOOKUP(P185,COPY!$A$1:$AC$1000,21,FALSE),0)))</f>
        <v>0</v>
      </c>
      <c r="C185" s="457">
        <f>IFERROR(IF(LEFT(VLOOKUP(P185,COPY!$A$1:$AC$1000,29,FALSE),5)="Terim",VLOOKUP(P185,COPY!$A$1:$AC$1000,29,FALSE),0),0)</f>
        <v>0</v>
      </c>
      <c r="D185" s="457"/>
      <c r="E185" s="457"/>
      <c r="F185" s="458">
        <f>IFERROR(IF(LEFT(VLOOKUP(P185,COPY!$A$1:$AC$1000,29,FALSE),5)="Terim",VLOOKUP(P185,COPY!$A$1:$AC$1000,26,FALSE),0),0)</f>
        <v>0</v>
      </c>
      <c r="G185" s="459">
        <f>IFERROR(VLOOKUP(P185,COPY!$A$1:$L$1000,4,FALSE),0)</f>
        <v>0</v>
      </c>
      <c r="H185" s="457">
        <f>IFERROR(VLOOKUP(P185,COPY!$A$1:$L$1000,2,FALSE),0)</f>
        <v>0</v>
      </c>
      <c r="I185" s="510">
        <f>IFERROR(VLOOKUP(P185,COPY!$A$1:$L$1000,10,FALSE),0)</f>
        <v>0</v>
      </c>
      <c r="J185" s="467">
        <f>IFERROR(VLOOKUP(P185,COPY!$A$1:$L$1000,8,FALSE),0)</f>
        <v>0</v>
      </c>
      <c r="K185" s="457">
        <f>IFERROR(VLOOKUP(P185,COPY!$A$1:$L$1000,7,FALSE),0)</f>
        <v>0</v>
      </c>
      <c r="L185" s="468">
        <f>IFERROR(VLOOKUP(P185,COPY!$A$1:$O$1000,15,FALSE),0)</f>
        <v>0</v>
      </c>
      <c r="M185" s="468">
        <f>IFERROR(VLOOKUP(P185,COPY!$A$1:$L$1000,12,FALSE),0)</f>
        <v>0</v>
      </c>
      <c r="N185" s="471">
        <f>IF(H185="Jasa",VLOOKUP('BKU 4'!K185,'Rekap Gaji'!$D$12:$I$26,6,FALSE),(IF(H185="Beli",VLOOKUP(P185,COPY!$A$1:$L$1000,11,FALSE),IF(H185="Bayar Ongkos",VLOOKUP(K185,'Rekap Gaji'!$D$12:$I$26,6,FALSE),0))))</f>
        <v>0</v>
      </c>
      <c r="O185" s="470"/>
      <c r="P185" s="466" t="str">
        <f t="shared" si="14"/>
        <v/>
      </c>
      <c r="U185" s="457" t="str">
        <f t="shared" si="15"/>
        <v xml:space="preserve"> </v>
      </c>
    </row>
    <row r="186" spans="1:21" ht="20.100000000000001" customHeight="1" thickBot="1" x14ac:dyDescent="0.3">
      <c r="B186" s="456">
        <f>IF(LEFT(C186,16)="Terima Pajak PPN",VLOOKUP(P186,COPY!$A$1:$AC$1000,21,FALSE),IF(LEFT(C186,16)="Terima Pajak PPH",VLOOKUP(P186,COPY!$A$1:$AC$1000,21,FALSE),IF(LEFT(C186,13)="Terima PPh 23",VLOOKUP(P186,COPY!$A$1:$AC$1000,21,FALSE),0)))</f>
        <v>0</v>
      </c>
      <c r="C186" s="425"/>
      <c r="D186" s="425"/>
      <c r="E186" s="472"/>
      <c r="F186" s="473"/>
      <c r="G186" s="474"/>
      <c r="H186" s="475"/>
      <c r="I186" s="511"/>
      <c r="J186" s="500"/>
      <c r="K186" s="476"/>
      <c r="L186" s="468"/>
      <c r="M186" s="468"/>
      <c r="N186" s="477"/>
      <c r="U186" s="457" t="str">
        <f t="shared" si="15"/>
        <v xml:space="preserve"> </v>
      </c>
    </row>
    <row r="187" spans="1:21" ht="20.100000000000001" customHeight="1" thickBot="1" x14ac:dyDescent="0.3">
      <c r="B187" s="478"/>
      <c r="C187" s="479"/>
      <c r="D187" s="479"/>
      <c r="E187" s="480"/>
      <c r="F187" s="481"/>
      <c r="G187" s="478"/>
      <c r="H187" s="479"/>
      <c r="I187" s="512"/>
      <c r="J187" s="505"/>
      <c r="L187" s="501"/>
      <c r="M187" s="482"/>
      <c r="N187" s="483"/>
    </row>
    <row r="188" spans="1:21" ht="20.100000000000001" customHeight="1" x14ac:dyDescent="0.25">
      <c r="B188" s="484"/>
      <c r="F188" s="485"/>
      <c r="G188" s="484"/>
      <c r="I188" s="513"/>
      <c r="J188" s="515"/>
      <c r="K188" s="457"/>
      <c r="L188" s="502" t="str">
        <f>IF(LEFT(J188,15)="Bayar Pajak PPN",1,IF(LEFT(J188,15)="Bayar Pajak PPH",2," "))</f>
        <v xml:space="preserve"> </v>
      </c>
      <c r="M188" s="417"/>
      <c r="N188" s="486" t="s">
        <v>310</v>
      </c>
    </row>
    <row r="189" spans="1:21" ht="20.100000000000001" hidden="1" customHeight="1" x14ac:dyDescent="0.25">
      <c r="A189" s="470" t="str">
        <f t="shared" ref="A189:A252" si="21">IF(P33="","",P33&amp;"."&amp;ROW()-188)</f>
        <v/>
      </c>
      <c r="B189" s="487"/>
      <c r="F189" s="488"/>
      <c r="G189" s="484"/>
      <c r="I189" s="513"/>
      <c r="J189" s="515">
        <f t="shared" ref="J189:J252" si="22">S189</f>
        <v>0</v>
      </c>
      <c r="K189" s="457"/>
      <c r="L189" s="502" t="str">
        <f>IF(LEFT(J189,15)="Bayar Pajak PPN",1,IF(LEFT(J189,15)="Bayar Pajak PPH",2,IF(LEFT(J189,21)="Bayar Pajak Final PPH",3," ")))</f>
        <v xml:space="preserve"> </v>
      </c>
      <c r="M189" s="467"/>
      <c r="N189" s="477">
        <f>IFERROR(VLOOKUP(P33,COPY!$A$1:$AC$1000,26,FALSE),0)</f>
        <v>0</v>
      </c>
      <c r="P189" s="448">
        <f>IFERROR(VLOOKUP(P33,COPY!$A$1:$AC$1000,29,FALSE),0)</f>
        <v>0</v>
      </c>
      <c r="S189" s="449">
        <f>IF(LEFT(P189,6)="Terima",REPLACE(P189,1,6,"Bayar"),P189)</f>
        <v>0</v>
      </c>
    </row>
    <row r="190" spans="1:21" ht="20.100000000000001" hidden="1" customHeight="1" x14ac:dyDescent="0.25">
      <c r="A190" s="470" t="str">
        <f t="shared" si="21"/>
        <v/>
      </c>
      <c r="B190" s="487"/>
      <c r="F190" s="488"/>
      <c r="G190" s="484"/>
      <c r="I190" s="513"/>
      <c r="J190" s="515">
        <f t="shared" si="22"/>
        <v>0</v>
      </c>
      <c r="K190" s="457"/>
      <c r="L190" s="502" t="str">
        <f>IF(LEFT(J190,15)="Bayar Pajak PPN",1,IF(LEFT(J190,15)="Bayar Pajak PPH",2,IF(LEFT(J190,21)="Bayar Pajak Final PPH",3," ")))</f>
        <v xml:space="preserve"> </v>
      </c>
      <c r="M190" s="467"/>
      <c r="N190" s="477">
        <f>IFERROR(VLOOKUP(P34,COPY!$A$1:$AC$1000,26,FALSE),0)</f>
        <v>0</v>
      </c>
      <c r="P190" s="448">
        <f>IFERROR(VLOOKUP(P34,COPY!$A$1:$AC$1000,29,FALSE),0)</f>
        <v>0</v>
      </c>
      <c r="S190" s="449">
        <f t="shared" ref="S190:S253" si="23">IF(LEFT(P190,6)="Terima",REPLACE(P190,1,6,"Bayar"),P190)</f>
        <v>0</v>
      </c>
    </row>
    <row r="191" spans="1:21" ht="20.100000000000001" hidden="1" customHeight="1" x14ac:dyDescent="0.25">
      <c r="A191" s="470" t="str">
        <f t="shared" si="21"/>
        <v/>
      </c>
      <c r="B191" s="487"/>
      <c r="F191" s="488"/>
      <c r="G191" s="484"/>
      <c r="I191" s="513"/>
      <c r="J191" s="515">
        <f t="shared" si="22"/>
        <v>0</v>
      </c>
      <c r="K191" s="457"/>
      <c r="L191" s="502" t="str">
        <f>IF(LEFT(J191,15)="Bayar Pajak PPN",1,IF(LEFT(J191,15)="Bayar Pajak PPH",2,IF(LEFT(J191,21)="Bayar Pajak Final PPH",3," ")))</f>
        <v xml:space="preserve"> </v>
      </c>
      <c r="M191" s="467"/>
      <c r="N191" s="477">
        <f>IFERROR(VLOOKUP(P35,COPY!$A$1:$AC$1000,26,FALSE),0)</f>
        <v>0</v>
      </c>
      <c r="P191" s="448">
        <f>IFERROR(VLOOKUP(P35,COPY!$A$1:$AC$1000,29,FALSE),0)</f>
        <v>0</v>
      </c>
      <c r="S191" s="449">
        <f t="shared" si="23"/>
        <v>0</v>
      </c>
    </row>
    <row r="192" spans="1:21" ht="20.100000000000001" hidden="1" customHeight="1" x14ac:dyDescent="0.25">
      <c r="A192" s="470" t="str">
        <f t="shared" si="21"/>
        <v/>
      </c>
      <c r="B192" s="487"/>
      <c r="F192" s="488"/>
      <c r="G192" s="484"/>
      <c r="I192" s="513"/>
      <c r="J192" s="515">
        <f t="shared" si="22"/>
        <v>0</v>
      </c>
      <c r="K192" s="457"/>
      <c r="L192" s="502" t="str">
        <f>IF(LEFT(J192,15)="Bayar Pajak PPN",1,IF(LEFT(J192,15)="Bayar Pajak PPH",2,IF(LEFT(J192,21)="Bayar Pajak Final PPH",3," ")))</f>
        <v xml:space="preserve"> </v>
      </c>
      <c r="M192" s="467"/>
      <c r="N192" s="477">
        <f>IFERROR(VLOOKUP(P36,COPY!$A$1:$AC$1000,26,FALSE),0)</f>
        <v>0</v>
      </c>
      <c r="P192" s="448">
        <f>IFERROR(VLOOKUP(P36,COPY!$A$1:$AC$1000,29,FALSE),0)</f>
        <v>0</v>
      </c>
      <c r="S192" s="449">
        <f t="shared" si="23"/>
        <v>0</v>
      </c>
    </row>
    <row r="193" spans="1:19" ht="20.100000000000001" hidden="1" customHeight="1" x14ac:dyDescent="0.25">
      <c r="A193" s="470" t="str">
        <f t="shared" si="21"/>
        <v/>
      </c>
      <c r="B193" s="487"/>
      <c r="F193" s="488"/>
      <c r="G193" s="484"/>
      <c r="I193" s="513"/>
      <c r="J193" s="515">
        <f t="shared" si="22"/>
        <v>0</v>
      </c>
      <c r="K193" s="457"/>
      <c r="L193" s="502" t="str">
        <f>IF(LEFT(J193,15)="Bayar Pajak PPN",1,IF(LEFT(J193,15)="Bayar Pajak PPH",2,IF(LEFT(J193,21)="Bayar Pajak Final PPH",3," ")))</f>
        <v xml:space="preserve"> </v>
      </c>
      <c r="M193" s="467"/>
      <c r="N193" s="477">
        <f>IFERROR(VLOOKUP(P37,COPY!$A$1:$AC$1000,26,FALSE),0)</f>
        <v>0</v>
      </c>
      <c r="P193" s="448">
        <f>IFERROR(VLOOKUP(P37,COPY!$A$1:$AC$1000,29,FALSE),0)</f>
        <v>0</v>
      </c>
      <c r="S193" s="449">
        <f t="shared" si="23"/>
        <v>0</v>
      </c>
    </row>
    <row r="194" spans="1:19" ht="20.100000000000001" hidden="1" customHeight="1" x14ac:dyDescent="0.25">
      <c r="A194" s="470" t="str">
        <f t="shared" si="21"/>
        <v/>
      </c>
      <c r="B194" s="487"/>
      <c r="F194" s="488"/>
      <c r="G194" s="484"/>
      <c r="I194" s="513"/>
      <c r="J194" s="515">
        <f t="shared" si="22"/>
        <v>0</v>
      </c>
      <c r="K194" s="457"/>
      <c r="L194" s="502" t="str">
        <f t="shared" ref="L194:L257" si="24">IF(LEFT(J194,15)="Bayar Pajak PPN",1,IF(LEFT(J194,15)="Bayar Pajak PPH",2,IF(LEFT(J194,21)="Bayar Pajak Final PPH",3," ")))</f>
        <v xml:space="preserve"> </v>
      </c>
      <c r="M194" s="467"/>
      <c r="N194" s="477">
        <f>IFERROR(VLOOKUP(P38,COPY!$A$1:$AC$1000,26,FALSE),0)</f>
        <v>0</v>
      </c>
      <c r="P194" s="448">
        <f>IFERROR(VLOOKUP(P38,COPY!$A$1:$AC$1000,29,FALSE),0)</f>
        <v>0</v>
      </c>
      <c r="S194" s="449">
        <f t="shared" si="23"/>
        <v>0</v>
      </c>
    </row>
    <row r="195" spans="1:19" ht="20.100000000000001" hidden="1" customHeight="1" x14ac:dyDescent="0.25">
      <c r="A195" s="470" t="str">
        <f t="shared" si="21"/>
        <v/>
      </c>
      <c r="B195" s="487"/>
      <c r="F195" s="488"/>
      <c r="G195" s="484"/>
      <c r="I195" s="513"/>
      <c r="J195" s="515">
        <f t="shared" si="22"/>
        <v>0</v>
      </c>
      <c r="K195" s="457"/>
      <c r="L195" s="502" t="str">
        <f t="shared" si="24"/>
        <v xml:space="preserve"> </v>
      </c>
      <c r="M195" s="467"/>
      <c r="N195" s="477">
        <f>IFERROR(VLOOKUP(P39,COPY!$A$1:$AC$1000,26,FALSE),0)</f>
        <v>0</v>
      </c>
      <c r="P195" s="448">
        <f>IFERROR(VLOOKUP(P39,COPY!$A$1:$AC$1000,29,FALSE),0)</f>
        <v>0</v>
      </c>
      <c r="S195" s="449">
        <f t="shared" si="23"/>
        <v>0</v>
      </c>
    </row>
    <row r="196" spans="1:19" ht="20.100000000000001" hidden="1" customHeight="1" x14ac:dyDescent="0.25">
      <c r="A196" s="470" t="str">
        <f t="shared" si="21"/>
        <v/>
      </c>
      <c r="B196" s="487"/>
      <c r="F196" s="488"/>
      <c r="G196" s="484"/>
      <c r="I196" s="513"/>
      <c r="J196" s="515">
        <f t="shared" si="22"/>
        <v>0</v>
      </c>
      <c r="K196" s="457"/>
      <c r="L196" s="502" t="str">
        <f t="shared" si="24"/>
        <v xml:space="preserve"> </v>
      </c>
      <c r="M196" s="467"/>
      <c r="N196" s="477">
        <f>IFERROR(VLOOKUP(P40,COPY!$A$1:$AC$1000,26,FALSE),0)</f>
        <v>0</v>
      </c>
      <c r="P196" s="448">
        <f>IFERROR(VLOOKUP(P40,COPY!$A$1:$AC$1000,29,FALSE),0)</f>
        <v>0</v>
      </c>
      <c r="S196" s="449">
        <f t="shared" si="23"/>
        <v>0</v>
      </c>
    </row>
    <row r="197" spans="1:19" ht="20.100000000000001" hidden="1" customHeight="1" x14ac:dyDescent="0.25">
      <c r="A197" s="470" t="str">
        <f t="shared" si="21"/>
        <v/>
      </c>
      <c r="B197" s="487"/>
      <c r="F197" s="488"/>
      <c r="G197" s="484"/>
      <c r="I197" s="513"/>
      <c r="J197" s="515">
        <f t="shared" si="22"/>
        <v>0</v>
      </c>
      <c r="K197" s="457"/>
      <c r="L197" s="502" t="str">
        <f t="shared" si="24"/>
        <v xml:space="preserve"> </v>
      </c>
      <c r="M197" s="467"/>
      <c r="N197" s="477">
        <f>IFERROR(VLOOKUP(P41,COPY!$A$1:$AC$1000,26,FALSE),0)</f>
        <v>0</v>
      </c>
      <c r="P197" s="448">
        <f>IFERROR(VLOOKUP(P41,COPY!$A$1:$AC$1000,29,FALSE),0)</f>
        <v>0</v>
      </c>
      <c r="S197" s="449">
        <f t="shared" si="23"/>
        <v>0</v>
      </c>
    </row>
    <row r="198" spans="1:19" ht="20.100000000000001" hidden="1" customHeight="1" x14ac:dyDescent="0.25">
      <c r="A198" s="470" t="str">
        <f t="shared" si="21"/>
        <v/>
      </c>
      <c r="B198" s="487"/>
      <c r="F198" s="488"/>
      <c r="G198" s="484"/>
      <c r="I198" s="513"/>
      <c r="J198" s="515">
        <f t="shared" si="22"/>
        <v>0</v>
      </c>
      <c r="K198" s="457"/>
      <c r="L198" s="502" t="str">
        <f t="shared" si="24"/>
        <v xml:space="preserve"> </v>
      </c>
      <c r="M198" s="467"/>
      <c r="N198" s="477">
        <f>IFERROR(VLOOKUP(P42,COPY!$A$1:$AC$1000,26,FALSE),0)</f>
        <v>0</v>
      </c>
      <c r="P198" s="448">
        <f>IFERROR(VLOOKUP(P42,COPY!$A$1:$AC$1000,29,FALSE),0)</f>
        <v>0</v>
      </c>
      <c r="S198" s="449">
        <f t="shared" si="23"/>
        <v>0</v>
      </c>
    </row>
    <row r="199" spans="1:19" ht="20.100000000000001" hidden="1" customHeight="1" x14ac:dyDescent="0.25">
      <c r="A199" s="470" t="str">
        <f t="shared" si="21"/>
        <v/>
      </c>
      <c r="B199" s="487"/>
      <c r="F199" s="488"/>
      <c r="G199" s="484"/>
      <c r="I199" s="513"/>
      <c r="J199" s="515">
        <f t="shared" si="22"/>
        <v>0</v>
      </c>
      <c r="K199" s="457"/>
      <c r="L199" s="502" t="str">
        <f t="shared" si="24"/>
        <v xml:space="preserve"> </v>
      </c>
      <c r="M199" s="467"/>
      <c r="N199" s="477">
        <f>IFERROR(VLOOKUP(P43,COPY!$A$1:$AC$1000,26,FALSE),0)</f>
        <v>0</v>
      </c>
      <c r="P199" s="448">
        <f>IFERROR(VLOOKUP(P43,COPY!$A$1:$AC$1000,29,FALSE),0)</f>
        <v>0</v>
      </c>
      <c r="S199" s="449">
        <f t="shared" si="23"/>
        <v>0</v>
      </c>
    </row>
    <row r="200" spans="1:19" ht="20.100000000000001" hidden="1" customHeight="1" x14ac:dyDescent="0.25">
      <c r="A200" s="470" t="str">
        <f t="shared" si="21"/>
        <v/>
      </c>
      <c r="B200" s="487"/>
      <c r="F200" s="488"/>
      <c r="G200" s="484"/>
      <c r="I200" s="513"/>
      <c r="J200" s="515">
        <f t="shared" si="22"/>
        <v>0</v>
      </c>
      <c r="K200" s="457"/>
      <c r="L200" s="502" t="str">
        <f t="shared" si="24"/>
        <v xml:space="preserve"> </v>
      </c>
      <c r="M200" s="467"/>
      <c r="N200" s="477">
        <f>IFERROR(VLOOKUP(P44,COPY!$A$1:$AC$1000,26,FALSE),0)</f>
        <v>0</v>
      </c>
      <c r="P200" s="448">
        <f>IFERROR(VLOOKUP(P44,COPY!$A$1:$AC$1000,29,FALSE),0)</f>
        <v>0</v>
      </c>
      <c r="S200" s="449">
        <f t="shared" si="23"/>
        <v>0</v>
      </c>
    </row>
    <row r="201" spans="1:19" ht="20.100000000000001" hidden="1" customHeight="1" x14ac:dyDescent="0.25">
      <c r="A201" s="470" t="str">
        <f t="shared" si="21"/>
        <v/>
      </c>
      <c r="B201" s="487"/>
      <c r="F201" s="488"/>
      <c r="G201" s="484"/>
      <c r="I201" s="513"/>
      <c r="J201" s="515">
        <f t="shared" si="22"/>
        <v>0</v>
      </c>
      <c r="K201" s="457"/>
      <c r="L201" s="502" t="str">
        <f t="shared" si="24"/>
        <v xml:space="preserve"> </v>
      </c>
      <c r="M201" s="467"/>
      <c r="N201" s="477">
        <f>IFERROR(VLOOKUP(P45,COPY!$A$1:$AC$1000,26,FALSE),0)</f>
        <v>0</v>
      </c>
      <c r="P201" s="448">
        <f>IFERROR(VLOOKUP(P45,COPY!$A$1:$AC$1000,29,FALSE),0)</f>
        <v>0</v>
      </c>
      <c r="S201" s="449">
        <f t="shared" si="23"/>
        <v>0</v>
      </c>
    </row>
    <row r="202" spans="1:19" ht="20.100000000000001" hidden="1" customHeight="1" x14ac:dyDescent="0.25">
      <c r="A202" s="470" t="str">
        <f t="shared" si="21"/>
        <v/>
      </c>
      <c r="B202" s="487"/>
      <c r="F202" s="488"/>
      <c r="G202" s="484"/>
      <c r="I202" s="513"/>
      <c r="J202" s="515">
        <f t="shared" si="22"/>
        <v>0</v>
      </c>
      <c r="K202" s="457"/>
      <c r="L202" s="502" t="str">
        <f t="shared" si="24"/>
        <v xml:space="preserve"> </v>
      </c>
      <c r="M202" s="467"/>
      <c r="N202" s="477">
        <f>IFERROR(VLOOKUP(P46,COPY!$A$1:$AC$1000,26,FALSE),0)</f>
        <v>0</v>
      </c>
      <c r="P202" s="448">
        <f>IFERROR(VLOOKUP(P46,COPY!$A$1:$AC$1000,29,FALSE),0)</f>
        <v>0</v>
      </c>
      <c r="S202" s="449">
        <f t="shared" si="23"/>
        <v>0</v>
      </c>
    </row>
    <row r="203" spans="1:19" ht="20.100000000000001" hidden="1" customHeight="1" x14ac:dyDescent="0.25">
      <c r="A203" s="470" t="str">
        <f t="shared" si="21"/>
        <v/>
      </c>
      <c r="B203" s="487"/>
      <c r="F203" s="488"/>
      <c r="G203" s="484"/>
      <c r="I203" s="513"/>
      <c r="J203" s="515">
        <f t="shared" si="22"/>
        <v>0</v>
      </c>
      <c r="K203" s="457"/>
      <c r="L203" s="502" t="str">
        <f t="shared" si="24"/>
        <v xml:space="preserve"> </v>
      </c>
      <c r="M203" s="467"/>
      <c r="N203" s="477">
        <f>IFERROR(VLOOKUP(P47,COPY!$A$1:$AC$1000,26,FALSE),0)</f>
        <v>0</v>
      </c>
      <c r="P203" s="448">
        <f>IFERROR(VLOOKUP(P47,COPY!$A$1:$AC$1000,29,FALSE),0)</f>
        <v>0</v>
      </c>
      <c r="S203" s="449">
        <f t="shared" si="23"/>
        <v>0</v>
      </c>
    </row>
    <row r="204" spans="1:19" ht="20.100000000000001" hidden="1" customHeight="1" x14ac:dyDescent="0.25">
      <c r="A204" s="470" t="str">
        <f t="shared" si="21"/>
        <v/>
      </c>
      <c r="B204" s="487"/>
      <c r="F204" s="488"/>
      <c r="G204" s="484"/>
      <c r="I204" s="513"/>
      <c r="J204" s="515">
        <f t="shared" si="22"/>
        <v>0</v>
      </c>
      <c r="K204" s="457"/>
      <c r="L204" s="502" t="str">
        <f t="shared" si="24"/>
        <v xml:space="preserve"> </v>
      </c>
      <c r="M204" s="467"/>
      <c r="N204" s="477">
        <f>IFERROR(VLOOKUP(P48,COPY!$A$1:$AC$1000,26,FALSE),0)</f>
        <v>0</v>
      </c>
      <c r="P204" s="448">
        <f>IFERROR(VLOOKUP(P48,COPY!$A$1:$AC$1000,29,FALSE),0)</f>
        <v>0</v>
      </c>
      <c r="S204" s="449">
        <f t="shared" si="23"/>
        <v>0</v>
      </c>
    </row>
    <row r="205" spans="1:19" ht="20.100000000000001" hidden="1" customHeight="1" x14ac:dyDescent="0.25">
      <c r="A205" s="470" t="str">
        <f t="shared" si="21"/>
        <v/>
      </c>
      <c r="B205" s="487"/>
      <c r="F205" s="488"/>
      <c r="G205" s="484"/>
      <c r="I205" s="513"/>
      <c r="J205" s="515">
        <f t="shared" si="22"/>
        <v>0</v>
      </c>
      <c r="K205" s="457"/>
      <c r="L205" s="502" t="str">
        <f t="shared" si="24"/>
        <v xml:space="preserve"> </v>
      </c>
      <c r="M205" s="467"/>
      <c r="N205" s="477">
        <f>IFERROR(VLOOKUP(P49,COPY!$A$1:$AC$1000,26,FALSE),0)</f>
        <v>0</v>
      </c>
      <c r="P205" s="448">
        <f>IFERROR(VLOOKUP(P49,COPY!$A$1:$AC$1000,29,FALSE),0)</f>
        <v>0</v>
      </c>
      <c r="S205" s="449">
        <f t="shared" si="23"/>
        <v>0</v>
      </c>
    </row>
    <row r="206" spans="1:19" ht="20.100000000000001" hidden="1" customHeight="1" x14ac:dyDescent="0.25">
      <c r="A206" s="470" t="str">
        <f t="shared" si="21"/>
        <v/>
      </c>
      <c r="B206" s="487"/>
      <c r="F206" s="488"/>
      <c r="G206" s="484"/>
      <c r="I206" s="513"/>
      <c r="J206" s="515">
        <f t="shared" si="22"/>
        <v>0</v>
      </c>
      <c r="K206" s="457"/>
      <c r="L206" s="502" t="str">
        <f t="shared" si="24"/>
        <v xml:space="preserve"> </v>
      </c>
      <c r="M206" s="467"/>
      <c r="N206" s="477">
        <f>IFERROR(VLOOKUP(P50,COPY!$A$1:$AC$1000,26,FALSE),0)</f>
        <v>0</v>
      </c>
      <c r="P206" s="448">
        <f>IFERROR(VLOOKUP(P50,COPY!$A$1:$AC$1000,29,FALSE),0)</f>
        <v>0</v>
      </c>
      <c r="S206" s="449">
        <f t="shared" si="23"/>
        <v>0</v>
      </c>
    </row>
    <row r="207" spans="1:19" ht="20.100000000000001" hidden="1" customHeight="1" x14ac:dyDescent="0.25">
      <c r="A207" s="470" t="str">
        <f t="shared" si="21"/>
        <v/>
      </c>
      <c r="B207" s="487"/>
      <c r="F207" s="488"/>
      <c r="G207" s="484"/>
      <c r="I207" s="513"/>
      <c r="J207" s="515">
        <f t="shared" si="22"/>
        <v>0</v>
      </c>
      <c r="K207" s="457"/>
      <c r="L207" s="502" t="str">
        <f t="shared" si="24"/>
        <v xml:space="preserve"> </v>
      </c>
      <c r="M207" s="467"/>
      <c r="N207" s="477">
        <f>IFERROR(VLOOKUP(P51,COPY!$A$1:$AC$1000,26,FALSE),0)</f>
        <v>0</v>
      </c>
      <c r="P207" s="448">
        <f>IFERROR(VLOOKUP(P51,COPY!$A$1:$AC$1000,29,FALSE),0)</f>
        <v>0</v>
      </c>
      <c r="S207" s="449">
        <f t="shared" si="23"/>
        <v>0</v>
      </c>
    </row>
    <row r="208" spans="1:19" ht="20.100000000000001" hidden="1" customHeight="1" x14ac:dyDescent="0.25">
      <c r="A208" s="470" t="str">
        <f t="shared" si="21"/>
        <v/>
      </c>
      <c r="B208" s="487"/>
      <c r="F208" s="488"/>
      <c r="G208" s="484"/>
      <c r="I208" s="513"/>
      <c r="J208" s="515">
        <f t="shared" si="22"/>
        <v>0</v>
      </c>
      <c r="K208" s="457"/>
      <c r="L208" s="502" t="str">
        <f t="shared" si="24"/>
        <v xml:space="preserve"> </v>
      </c>
      <c r="M208" s="467"/>
      <c r="N208" s="477">
        <f>IFERROR(VLOOKUP(P52,COPY!$A$1:$AC$1000,26,FALSE),0)</f>
        <v>0</v>
      </c>
      <c r="P208" s="448">
        <f>IFERROR(VLOOKUP(P52,COPY!$A$1:$AC$1000,29,FALSE),0)</f>
        <v>0</v>
      </c>
      <c r="S208" s="449">
        <f t="shared" si="23"/>
        <v>0</v>
      </c>
    </row>
    <row r="209" spans="1:19" ht="20.100000000000001" hidden="1" customHeight="1" x14ac:dyDescent="0.25">
      <c r="A209" s="470" t="str">
        <f t="shared" si="21"/>
        <v/>
      </c>
      <c r="B209" s="487"/>
      <c r="F209" s="488"/>
      <c r="G209" s="484"/>
      <c r="I209" s="513"/>
      <c r="J209" s="515">
        <f t="shared" si="22"/>
        <v>0</v>
      </c>
      <c r="K209" s="457"/>
      <c r="L209" s="502" t="str">
        <f t="shared" si="24"/>
        <v xml:space="preserve"> </v>
      </c>
      <c r="M209" s="467"/>
      <c r="N209" s="477">
        <f>IFERROR(VLOOKUP(P53,COPY!$A$1:$AC$1000,26,FALSE),0)</f>
        <v>0</v>
      </c>
      <c r="P209" s="448">
        <f>IFERROR(VLOOKUP(P53,COPY!$A$1:$AC$1000,29,FALSE),0)</f>
        <v>0</v>
      </c>
      <c r="S209" s="449">
        <f t="shared" si="23"/>
        <v>0</v>
      </c>
    </row>
    <row r="210" spans="1:19" ht="20.100000000000001" hidden="1" customHeight="1" x14ac:dyDescent="0.25">
      <c r="A210" s="470" t="str">
        <f t="shared" si="21"/>
        <v/>
      </c>
      <c r="B210" s="487"/>
      <c r="F210" s="488"/>
      <c r="G210" s="484"/>
      <c r="I210" s="513"/>
      <c r="J210" s="515">
        <f t="shared" si="22"/>
        <v>0</v>
      </c>
      <c r="K210" s="457"/>
      <c r="L210" s="502" t="str">
        <f t="shared" si="24"/>
        <v xml:space="preserve"> </v>
      </c>
      <c r="M210" s="467"/>
      <c r="N210" s="477">
        <f>IFERROR(VLOOKUP(P54,COPY!$A$1:$AC$1000,26,FALSE),0)</f>
        <v>0</v>
      </c>
      <c r="P210" s="448">
        <f>IFERROR(VLOOKUP(P54,COPY!$A$1:$AC$1000,29,FALSE),0)</f>
        <v>0</v>
      </c>
      <c r="S210" s="449">
        <f t="shared" si="23"/>
        <v>0</v>
      </c>
    </row>
    <row r="211" spans="1:19" ht="20.100000000000001" hidden="1" customHeight="1" x14ac:dyDescent="0.25">
      <c r="A211" s="470" t="str">
        <f t="shared" si="21"/>
        <v/>
      </c>
      <c r="B211" s="487"/>
      <c r="F211" s="488"/>
      <c r="G211" s="484"/>
      <c r="I211" s="513"/>
      <c r="J211" s="515">
        <f t="shared" si="22"/>
        <v>0</v>
      </c>
      <c r="K211" s="457"/>
      <c r="L211" s="502" t="str">
        <f t="shared" si="24"/>
        <v xml:space="preserve"> </v>
      </c>
      <c r="M211" s="467"/>
      <c r="N211" s="477">
        <f>IFERROR(VLOOKUP(P55,COPY!$A$1:$AC$1000,26,FALSE),0)</f>
        <v>0</v>
      </c>
      <c r="P211" s="448">
        <f>IFERROR(VLOOKUP(P55,COPY!$A$1:$AC$1000,29,FALSE),0)</f>
        <v>0</v>
      </c>
      <c r="S211" s="449">
        <f t="shared" si="23"/>
        <v>0</v>
      </c>
    </row>
    <row r="212" spans="1:19" ht="20.100000000000001" hidden="1" customHeight="1" x14ac:dyDescent="0.25">
      <c r="A212" s="470" t="str">
        <f t="shared" si="21"/>
        <v/>
      </c>
      <c r="B212" s="484"/>
      <c r="F212" s="488"/>
      <c r="G212" s="484"/>
      <c r="I212" s="513"/>
      <c r="J212" s="515">
        <f t="shared" si="22"/>
        <v>0</v>
      </c>
      <c r="K212" s="457"/>
      <c r="L212" s="502" t="str">
        <f t="shared" si="24"/>
        <v xml:space="preserve"> </v>
      </c>
      <c r="M212" s="467"/>
      <c r="N212" s="477">
        <f>IFERROR(VLOOKUP(P56,COPY!$A$1:$AC$1000,26,FALSE),0)</f>
        <v>0</v>
      </c>
      <c r="P212" s="448">
        <f>IFERROR(VLOOKUP(P56,COPY!$A$1:$AC$1000,29,FALSE),0)</f>
        <v>0</v>
      </c>
      <c r="S212" s="449">
        <f t="shared" si="23"/>
        <v>0</v>
      </c>
    </row>
    <row r="213" spans="1:19" ht="20.100000000000001" hidden="1" customHeight="1" x14ac:dyDescent="0.25">
      <c r="A213" s="470" t="str">
        <f t="shared" si="21"/>
        <v/>
      </c>
      <c r="B213" s="484"/>
      <c r="F213" s="488"/>
      <c r="G213" s="484"/>
      <c r="I213" s="513"/>
      <c r="J213" s="515">
        <f t="shared" si="22"/>
        <v>0</v>
      </c>
      <c r="K213" s="457"/>
      <c r="L213" s="502" t="str">
        <f t="shared" si="24"/>
        <v xml:space="preserve"> </v>
      </c>
      <c r="M213" s="467"/>
      <c r="N213" s="477">
        <f>IFERROR(VLOOKUP(P57,COPY!$A$1:$AC$1000,26,FALSE),0)</f>
        <v>0</v>
      </c>
      <c r="P213" s="448">
        <f>IFERROR(VLOOKUP(P57,COPY!$A$1:$AC$1000,29,FALSE),0)</f>
        <v>0</v>
      </c>
      <c r="S213" s="449">
        <f t="shared" si="23"/>
        <v>0</v>
      </c>
    </row>
    <row r="214" spans="1:19" ht="20.100000000000001" hidden="1" customHeight="1" x14ac:dyDescent="0.25">
      <c r="A214" s="470" t="str">
        <f t="shared" si="21"/>
        <v/>
      </c>
      <c r="B214" s="484"/>
      <c r="F214" s="488"/>
      <c r="G214" s="484"/>
      <c r="I214" s="513"/>
      <c r="J214" s="515">
        <f t="shared" si="22"/>
        <v>0</v>
      </c>
      <c r="K214" s="457"/>
      <c r="L214" s="502" t="str">
        <f t="shared" si="24"/>
        <v xml:space="preserve"> </v>
      </c>
      <c r="M214" s="467"/>
      <c r="N214" s="477">
        <f>IFERROR(VLOOKUP(P58,COPY!$A$1:$AC$1000,26,FALSE),0)</f>
        <v>0</v>
      </c>
      <c r="P214" s="448">
        <f>IFERROR(VLOOKUP(P58,COPY!$A$1:$AC$1000,29,FALSE),0)</f>
        <v>0</v>
      </c>
      <c r="S214" s="449">
        <f t="shared" si="23"/>
        <v>0</v>
      </c>
    </row>
    <row r="215" spans="1:19" ht="20.100000000000001" hidden="1" customHeight="1" x14ac:dyDescent="0.25">
      <c r="A215" s="470" t="str">
        <f t="shared" si="21"/>
        <v/>
      </c>
      <c r="B215" s="484"/>
      <c r="F215" s="488"/>
      <c r="G215" s="484"/>
      <c r="I215" s="513"/>
      <c r="J215" s="515">
        <f t="shared" si="22"/>
        <v>0</v>
      </c>
      <c r="K215" s="457"/>
      <c r="L215" s="502" t="str">
        <f t="shared" si="24"/>
        <v xml:space="preserve"> </v>
      </c>
      <c r="M215" s="467"/>
      <c r="N215" s="477">
        <f>IFERROR(VLOOKUP(P59,COPY!$A$1:$AC$1000,26,FALSE),0)</f>
        <v>0</v>
      </c>
      <c r="P215" s="448">
        <f>IFERROR(VLOOKUP(P59,COPY!$A$1:$AC$1000,29,FALSE),0)</f>
        <v>0</v>
      </c>
      <c r="S215" s="449">
        <f t="shared" si="23"/>
        <v>0</v>
      </c>
    </row>
    <row r="216" spans="1:19" ht="20.100000000000001" hidden="1" customHeight="1" x14ac:dyDescent="0.25">
      <c r="A216" s="470" t="str">
        <f t="shared" si="21"/>
        <v/>
      </c>
      <c r="B216" s="487"/>
      <c r="F216" s="488"/>
      <c r="G216" s="484"/>
      <c r="I216" s="513"/>
      <c r="J216" s="515">
        <f t="shared" si="22"/>
        <v>0</v>
      </c>
      <c r="K216" s="457"/>
      <c r="L216" s="502" t="str">
        <f t="shared" si="24"/>
        <v xml:space="preserve"> </v>
      </c>
      <c r="M216" s="467"/>
      <c r="N216" s="477">
        <f>IFERROR(VLOOKUP(P60,COPY!$A$1:$AC$1000,26,FALSE),0)</f>
        <v>0</v>
      </c>
      <c r="P216" s="448">
        <f>IFERROR(VLOOKUP(P60,COPY!$A$1:$AC$1000,29,FALSE),0)</f>
        <v>0</v>
      </c>
      <c r="S216" s="449">
        <f t="shared" si="23"/>
        <v>0</v>
      </c>
    </row>
    <row r="217" spans="1:19" ht="20.100000000000001" hidden="1" customHeight="1" x14ac:dyDescent="0.25">
      <c r="A217" s="470" t="str">
        <f t="shared" si="21"/>
        <v/>
      </c>
      <c r="B217" s="487"/>
      <c r="F217" s="488"/>
      <c r="G217" s="484"/>
      <c r="I217" s="513"/>
      <c r="J217" s="515">
        <f t="shared" si="22"/>
        <v>0</v>
      </c>
      <c r="K217" s="457"/>
      <c r="L217" s="502" t="str">
        <f t="shared" si="24"/>
        <v xml:space="preserve"> </v>
      </c>
      <c r="M217" s="467"/>
      <c r="N217" s="477">
        <f>IFERROR(VLOOKUP(P61,COPY!$A$1:$AC$1000,26,FALSE),0)</f>
        <v>0</v>
      </c>
      <c r="P217" s="448">
        <f>IFERROR(VLOOKUP(P61,COPY!$A$1:$AC$1000,29,FALSE),0)</f>
        <v>0</v>
      </c>
      <c r="S217" s="449">
        <f t="shared" si="23"/>
        <v>0</v>
      </c>
    </row>
    <row r="218" spans="1:19" ht="20.100000000000001" hidden="1" customHeight="1" x14ac:dyDescent="0.25">
      <c r="A218" s="470" t="str">
        <f t="shared" si="21"/>
        <v/>
      </c>
      <c r="B218" s="487"/>
      <c r="F218" s="488"/>
      <c r="G218" s="484"/>
      <c r="I218" s="513"/>
      <c r="J218" s="515">
        <f t="shared" si="22"/>
        <v>0</v>
      </c>
      <c r="K218" s="457"/>
      <c r="L218" s="502" t="str">
        <f t="shared" si="24"/>
        <v xml:space="preserve"> </v>
      </c>
      <c r="M218" s="467"/>
      <c r="N218" s="477">
        <f>IFERROR(VLOOKUP(P62,COPY!$A$1:$AC$1000,26,FALSE),0)</f>
        <v>0</v>
      </c>
      <c r="P218" s="448">
        <f>IFERROR(VLOOKUP(P62,COPY!$A$1:$AC$1000,29,FALSE),0)</f>
        <v>0</v>
      </c>
      <c r="S218" s="449">
        <f t="shared" si="23"/>
        <v>0</v>
      </c>
    </row>
    <row r="219" spans="1:19" ht="20.100000000000001" hidden="1" customHeight="1" x14ac:dyDescent="0.25">
      <c r="A219" s="470" t="str">
        <f t="shared" si="21"/>
        <v/>
      </c>
      <c r="B219" s="487"/>
      <c r="F219" s="488"/>
      <c r="G219" s="484"/>
      <c r="I219" s="513"/>
      <c r="J219" s="515">
        <f t="shared" si="22"/>
        <v>0</v>
      </c>
      <c r="K219" s="457"/>
      <c r="L219" s="502" t="str">
        <f t="shared" si="24"/>
        <v xml:space="preserve"> </v>
      </c>
      <c r="M219" s="467"/>
      <c r="N219" s="477">
        <f>IFERROR(VLOOKUP(P63,COPY!$A$1:$AC$1000,26,FALSE),0)</f>
        <v>0</v>
      </c>
      <c r="P219" s="448">
        <f>IFERROR(VLOOKUP(P63,COPY!$A$1:$AC$1000,29,FALSE),0)</f>
        <v>0</v>
      </c>
      <c r="S219" s="449">
        <f t="shared" si="23"/>
        <v>0</v>
      </c>
    </row>
    <row r="220" spans="1:19" ht="20.100000000000001" hidden="1" customHeight="1" x14ac:dyDescent="0.25">
      <c r="A220" s="470" t="str">
        <f t="shared" si="21"/>
        <v/>
      </c>
      <c r="B220" s="487"/>
      <c r="F220" s="488"/>
      <c r="G220" s="484"/>
      <c r="I220" s="513"/>
      <c r="J220" s="515">
        <f t="shared" si="22"/>
        <v>0</v>
      </c>
      <c r="K220" s="457"/>
      <c r="L220" s="502" t="str">
        <f t="shared" si="24"/>
        <v xml:space="preserve"> </v>
      </c>
      <c r="M220" s="467"/>
      <c r="N220" s="477">
        <f>IFERROR(VLOOKUP(P64,COPY!$A$1:$AC$1000,26,FALSE),0)</f>
        <v>0</v>
      </c>
      <c r="P220" s="448">
        <f>IFERROR(VLOOKUP(P64,COPY!$A$1:$AC$1000,29,FALSE),0)</f>
        <v>0</v>
      </c>
      <c r="S220" s="449">
        <f t="shared" si="23"/>
        <v>0</v>
      </c>
    </row>
    <row r="221" spans="1:19" ht="20.100000000000001" hidden="1" customHeight="1" x14ac:dyDescent="0.25">
      <c r="A221" s="470" t="str">
        <f t="shared" si="21"/>
        <v/>
      </c>
      <c r="B221" s="487"/>
      <c r="F221" s="488"/>
      <c r="G221" s="484"/>
      <c r="I221" s="513"/>
      <c r="J221" s="515">
        <f t="shared" si="22"/>
        <v>0</v>
      </c>
      <c r="K221" s="457"/>
      <c r="L221" s="502" t="str">
        <f t="shared" si="24"/>
        <v xml:space="preserve"> </v>
      </c>
      <c r="M221" s="467"/>
      <c r="N221" s="477">
        <f>IFERROR(VLOOKUP(P65,COPY!$A$1:$AC$1000,26,FALSE),0)</f>
        <v>0</v>
      </c>
      <c r="P221" s="448">
        <f>IFERROR(VLOOKUP(P65,COPY!$A$1:$AC$1000,29,FALSE),0)</f>
        <v>0</v>
      </c>
      <c r="S221" s="449">
        <f t="shared" si="23"/>
        <v>0</v>
      </c>
    </row>
    <row r="222" spans="1:19" ht="20.100000000000001" hidden="1" customHeight="1" x14ac:dyDescent="0.25">
      <c r="A222" s="470" t="str">
        <f t="shared" si="21"/>
        <v/>
      </c>
      <c r="B222" s="487"/>
      <c r="F222" s="488"/>
      <c r="G222" s="484"/>
      <c r="I222" s="513"/>
      <c r="J222" s="515">
        <f t="shared" si="22"/>
        <v>0</v>
      </c>
      <c r="K222" s="457"/>
      <c r="L222" s="502" t="str">
        <f t="shared" si="24"/>
        <v xml:space="preserve"> </v>
      </c>
      <c r="M222" s="467"/>
      <c r="N222" s="477">
        <f>IFERROR(VLOOKUP(P66,COPY!$A$1:$AC$1000,26,FALSE),0)</f>
        <v>0</v>
      </c>
      <c r="P222" s="448">
        <f>IFERROR(VLOOKUP(P66,COPY!$A$1:$AC$1000,29,FALSE),0)</f>
        <v>0</v>
      </c>
      <c r="S222" s="449">
        <f t="shared" si="23"/>
        <v>0</v>
      </c>
    </row>
    <row r="223" spans="1:19" ht="20.100000000000001" hidden="1" customHeight="1" x14ac:dyDescent="0.25">
      <c r="A223" s="470" t="str">
        <f t="shared" si="21"/>
        <v/>
      </c>
      <c r="B223" s="487"/>
      <c r="F223" s="488"/>
      <c r="G223" s="484"/>
      <c r="I223" s="513"/>
      <c r="J223" s="515">
        <f t="shared" si="22"/>
        <v>0</v>
      </c>
      <c r="K223" s="457"/>
      <c r="L223" s="502" t="str">
        <f t="shared" si="24"/>
        <v xml:space="preserve"> </v>
      </c>
      <c r="M223" s="467"/>
      <c r="N223" s="477">
        <f>IFERROR(VLOOKUP(P67,COPY!$A$1:$AC$1000,26,FALSE),0)</f>
        <v>0</v>
      </c>
      <c r="P223" s="448">
        <f>IFERROR(VLOOKUP(P67,COPY!$A$1:$AC$1000,29,FALSE),0)</f>
        <v>0</v>
      </c>
      <c r="S223" s="449">
        <f t="shared" si="23"/>
        <v>0</v>
      </c>
    </row>
    <row r="224" spans="1:19" ht="20.100000000000001" hidden="1" customHeight="1" x14ac:dyDescent="0.25">
      <c r="A224" s="470" t="str">
        <f t="shared" si="21"/>
        <v/>
      </c>
      <c r="B224" s="487"/>
      <c r="F224" s="488"/>
      <c r="G224" s="484"/>
      <c r="I224" s="513"/>
      <c r="J224" s="515">
        <f t="shared" si="22"/>
        <v>0</v>
      </c>
      <c r="K224" s="457"/>
      <c r="L224" s="502" t="str">
        <f t="shared" si="24"/>
        <v xml:space="preserve"> </v>
      </c>
      <c r="M224" s="467"/>
      <c r="N224" s="477">
        <f>IFERROR(VLOOKUP(P68,COPY!$A$1:$AC$1000,26,FALSE),0)</f>
        <v>0</v>
      </c>
      <c r="P224" s="448">
        <f>IFERROR(VLOOKUP(P68,COPY!$A$1:$AC$1000,29,FALSE),0)</f>
        <v>0</v>
      </c>
      <c r="S224" s="449">
        <f t="shared" si="23"/>
        <v>0</v>
      </c>
    </row>
    <row r="225" spans="1:19" ht="20.100000000000001" hidden="1" customHeight="1" x14ac:dyDescent="0.25">
      <c r="A225" s="470" t="str">
        <f t="shared" si="21"/>
        <v/>
      </c>
      <c r="B225" s="487"/>
      <c r="F225" s="488"/>
      <c r="G225" s="484"/>
      <c r="I225" s="513"/>
      <c r="J225" s="515">
        <f t="shared" si="22"/>
        <v>0</v>
      </c>
      <c r="K225" s="457"/>
      <c r="L225" s="502" t="str">
        <f t="shared" si="24"/>
        <v xml:space="preserve"> </v>
      </c>
      <c r="M225" s="467"/>
      <c r="N225" s="477">
        <f>IFERROR(VLOOKUP(P69,COPY!$A$1:$AC$1000,26,FALSE),0)</f>
        <v>0</v>
      </c>
      <c r="P225" s="448">
        <f>IFERROR(VLOOKUP(P69,COPY!$A$1:$AC$1000,29,FALSE),0)</f>
        <v>0</v>
      </c>
      <c r="S225" s="449">
        <f t="shared" si="23"/>
        <v>0</v>
      </c>
    </row>
    <row r="226" spans="1:19" ht="20.100000000000001" hidden="1" customHeight="1" x14ac:dyDescent="0.25">
      <c r="A226" s="470" t="str">
        <f t="shared" si="21"/>
        <v/>
      </c>
      <c r="B226" s="487"/>
      <c r="F226" s="488"/>
      <c r="G226" s="484"/>
      <c r="I226" s="513"/>
      <c r="J226" s="515">
        <f t="shared" si="22"/>
        <v>0</v>
      </c>
      <c r="K226" s="457"/>
      <c r="L226" s="502" t="str">
        <f t="shared" si="24"/>
        <v xml:space="preserve"> </v>
      </c>
      <c r="M226" s="467"/>
      <c r="N226" s="477">
        <f>IFERROR(VLOOKUP(P70,COPY!$A$1:$AC$1000,26,FALSE),0)</f>
        <v>0</v>
      </c>
      <c r="P226" s="448">
        <f>IFERROR(VLOOKUP(P70,COPY!$A$1:$AC$1000,29,FALSE),0)</f>
        <v>0</v>
      </c>
      <c r="S226" s="449">
        <f t="shared" si="23"/>
        <v>0</v>
      </c>
    </row>
    <row r="227" spans="1:19" ht="20.100000000000001" hidden="1" customHeight="1" x14ac:dyDescent="0.25">
      <c r="A227" s="470" t="str">
        <f t="shared" si="21"/>
        <v/>
      </c>
      <c r="B227" s="487"/>
      <c r="F227" s="488"/>
      <c r="G227" s="484"/>
      <c r="I227" s="513"/>
      <c r="J227" s="515">
        <f t="shared" si="22"/>
        <v>0</v>
      </c>
      <c r="K227" s="457"/>
      <c r="L227" s="502" t="str">
        <f t="shared" si="24"/>
        <v xml:space="preserve"> </v>
      </c>
      <c r="M227" s="467"/>
      <c r="N227" s="477">
        <f>IFERROR(VLOOKUP(P71,COPY!$A$1:$AC$1000,26,FALSE),0)</f>
        <v>0</v>
      </c>
      <c r="P227" s="448">
        <f>IFERROR(VLOOKUP(P71,COPY!$A$1:$AC$1000,29,FALSE),0)</f>
        <v>0</v>
      </c>
      <c r="S227" s="449">
        <f t="shared" si="23"/>
        <v>0</v>
      </c>
    </row>
    <row r="228" spans="1:19" ht="20.100000000000001" hidden="1" customHeight="1" x14ac:dyDescent="0.25">
      <c r="A228" s="470" t="str">
        <f t="shared" si="21"/>
        <v/>
      </c>
      <c r="B228" s="487"/>
      <c r="F228" s="488"/>
      <c r="G228" s="484"/>
      <c r="I228" s="513"/>
      <c r="J228" s="515">
        <f t="shared" si="22"/>
        <v>0</v>
      </c>
      <c r="K228" s="457"/>
      <c r="L228" s="502" t="str">
        <f t="shared" si="24"/>
        <v xml:space="preserve"> </v>
      </c>
      <c r="M228" s="467"/>
      <c r="N228" s="477">
        <f>IFERROR(VLOOKUP(P72,COPY!$A$1:$AC$1000,26,FALSE),0)</f>
        <v>0</v>
      </c>
      <c r="P228" s="448">
        <f>IFERROR(VLOOKUP(P72,COPY!$A$1:$AC$1000,29,FALSE),0)</f>
        <v>0</v>
      </c>
      <c r="S228" s="449">
        <f t="shared" si="23"/>
        <v>0</v>
      </c>
    </row>
    <row r="229" spans="1:19" ht="20.100000000000001" hidden="1" customHeight="1" x14ac:dyDescent="0.25">
      <c r="A229" s="470" t="str">
        <f t="shared" si="21"/>
        <v/>
      </c>
      <c r="B229" s="487"/>
      <c r="F229" s="488"/>
      <c r="G229" s="484"/>
      <c r="I229" s="513"/>
      <c r="J229" s="515">
        <f t="shared" si="22"/>
        <v>0</v>
      </c>
      <c r="K229" s="457"/>
      <c r="L229" s="502" t="str">
        <f t="shared" si="24"/>
        <v xml:space="preserve"> </v>
      </c>
      <c r="M229" s="467"/>
      <c r="N229" s="477">
        <f>IFERROR(VLOOKUP(P73,COPY!$A$1:$AC$1000,26,FALSE),0)</f>
        <v>0</v>
      </c>
      <c r="P229" s="448">
        <f>IFERROR(VLOOKUP(P73,COPY!$A$1:$AC$1000,29,FALSE),0)</f>
        <v>0</v>
      </c>
      <c r="S229" s="449">
        <f t="shared" si="23"/>
        <v>0</v>
      </c>
    </row>
    <row r="230" spans="1:19" ht="20.100000000000001" hidden="1" customHeight="1" x14ac:dyDescent="0.25">
      <c r="A230" s="470" t="str">
        <f t="shared" si="21"/>
        <v/>
      </c>
      <c r="B230" s="487"/>
      <c r="F230" s="488"/>
      <c r="G230" s="484"/>
      <c r="I230" s="513"/>
      <c r="J230" s="515">
        <f t="shared" si="22"/>
        <v>0</v>
      </c>
      <c r="K230" s="457"/>
      <c r="L230" s="502" t="str">
        <f t="shared" si="24"/>
        <v xml:space="preserve"> </v>
      </c>
      <c r="M230" s="467"/>
      <c r="N230" s="477">
        <f>IFERROR(VLOOKUP(P74,COPY!$A$1:$AC$1000,26,FALSE),0)</f>
        <v>0</v>
      </c>
      <c r="P230" s="448">
        <f>IFERROR(VLOOKUP(P74,COPY!$A$1:$AC$1000,29,FALSE),0)</f>
        <v>0</v>
      </c>
      <c r="S230" s="449">
        <f t="shared" si="23"/>
        <v>0</v>
      </c>
    </row>
    <row r="231" spans="1:19" ht="20.100000000000001" hidden="1" customHeight="1" x14ac:dyDescent="0.25">
      <c r="A231" s="470" t="str">
        <f t="shared" si="21"/>
        <v/>
      </c>
      <c r="B231" s="487"/>
      <c r="F231" s="488"/>
      <c r="G231" s="484"/>
      <c r="I231" s="513"/>
      <c r="J231" s="515">
        <f t="shared" si="22"/>
        <v>0</v>
      </c>
      <c r="K231" s="457"/>
      <c r="L231" s="502" t="str">
        <f t="shared" si="24"/>
        <v xml:space="preserve"> </v>
      </c>
      <c r="M231" s="467"/>
      <c r="N231" s="477">
        <f>IFERROR(VLOOKUP(P75,COPY!$A$1:$AC$1000,26,FALSE),0)</f>
        <v>0</v>
      </c>
      <c r="P231" s="448">
        <f>IFERROR(VLOOKUP(P75,COPY!$A$1:$AC$1000,29,FALSE),0)</f>
        <v>0</v>
      </c>
      <c r="S231" s="449">
        <f t="shared" si="23"/>
        <v>0</v>
      </c>
    </row>
    <row r="232" spans="1:19" ht="20.100000000000001" hidden="1" customHeight="1" x14ac:dyDescent="0.25">
      <c r="A232" s="470" t="str">
        <f t="shared" si="21"/>
        <v/>
      </c>
      <c r="B232" s="487"/>
      <c r="F232" s="488"/>
      <c r="G232" s="484"/>
      <c r="I232" s="513"/>
      <c r="J232" s="515">
        <f t="shared" si="22"/>
        <v>0</v>
      </c>
      <c r="K232" s="457"/>
      <c r="L232" s="502" t="str">
        <f t="shared" si="24"/>
        <v xml:space="preserve"> </v>
      </c>
      <c r="M232" s="467"/>
      <c r="N232" s="477">
        <f>IFERROR(VLOOKUP(P76,COPY!$A$1:$AC$1000,26,FALSE),0)</f>
        <v>0</v>
      </c>
      <c r="P232" s="448">
        <f>IFERROR(VLOOKUP(P76,COPY!$A$1:$AC$1000,29,FALSE),0)</f>
        <v>0</v>
      </c>
      <c r="S232" s="449">
        <f t="shared" si="23"/>
        <v>0</v>
      </c>
    </row>
    <row r="233" spans="1:19" ht="20.100000000000001" hidden="1" customHeight="1" x14ac:dyDescent="0.25">
      <c r="A233" s="470" t="str">
        <f t="shared" si="21"/>
        <v/>
      </c>
      <c r="B233" s="487"/>
      <c r="F233" s="488"/>
      <c r="G233" s="484"/>
      <c r="I233" s="513"/>
      <c r="J233" s="515">
        <f t="shared" si="22"/>
        <v>0</v>
      </c>
      <c r="K233" s="457"/>
      <c r="L233" s="502" t="str">
        <f t="shared" si="24"/>
        <v xml:space="preserve"> </v>
      </c>
      <c r="M233" s="467"/>
      <c r="N233" s="477">
        <f>IFERROR(VLOOKUP(P77,COPY!$A$1:$AC$1000,26,FALSE),0)</f>
        <v>0</v>
      </c>
      <c r="P233" s="448">
        <f>IFERROR(VLOOKUP(P77,COPY!$A$1:$AC$1000,29,FALSE),0)</f>
        <v>0</v>
      </c>
      <c r="S233" s="449">
        <f t="shared" si="23"/>
        <v>0</v>
      </c>
    </row>
    <row r="234" spans="1:19" ht="20.100000000000001" hidden="1" customHeight="1" x14ac:dyDescent="0.25">
      <c r="A234" s="470" t="str">
        <f t="shared" si="21"/>
        <v/>
      </c>
      <c r="B234" s="487"/>
      <c r="F234" s="488"/>
      <c r="G234" s="484"/>
      <c r="I234" s="513"/>
      <c r="J234" s="515">
        <f t="shared" si="22"/>
        <v>0</v>
      </c>
      <c r="K234" s="457"/>
      <c r="L234" s="502" t="str">
        <f t="shared" si="24"/>
        <v xml:space="preserve"> </v>
      </c>
      <c r="M234" s="467"/>
      <c r="N234" s="477">
        <f>IFERROR(VLOOKUP(P78,COPY!$A$1:$AC$1000,26,FALSE),0)</f>
        <v>0</v>
      </c>
      <c r="P234" s="448">
        <f>IFERROR(VLOOKUP(P78,COPY!$A$1:$AC$1000,29,FALSE),0)</f>
        <v>0</v>
      </c>
      <c r="S234" s="449">
        <f t="shared" si="23"/>
        <v>0</v>
      </c>
    </row>
    <row r="235" spans="1:19" ht="20.100000000000001" hidden="1" customHeight="1" x14ac:dyDescent="0.25">
      <c r="A235" s="470" t="str">
        <f t="shared" si="21"/>
        <v/>
      </c>
      <c r="B235" s="487"/>
      <c r="F235" s="488"/>
      <c r="G235" s="484"/>
      <c r="I235" s="513"/>
      <c r="J235" s="515">
        <f t="shared" si="22"/>
        <v>0</v>
      </c>
      <c r="K235" s="457"/>
      <c r="L235" s="502" t="str">
        <f t="shared" si="24"/>
        <v xml:space="preserve"> </v>
      </c>
      <c r="M235" s="467"/>
      <c r="N235" s="477">
        <f>IFERROR(VLOOKUP(P79,COPY!$A$1:$AC$1000,26,FALSE),0)</f>
        <v>0</v>
      </c>
      <c r="P235" s="448">
        <f>IFERROR(VLOOKUP(P79,COPY!$A$1:$AC$1000,29,FALSE),0)</f>
        <v>0</v>
      </c>
      <c r="S235" s="449">
        <f t="shared" si="23"/>
        <v>0</v>
      </c>
    </row>
    <row r="236" spans="1:19" ht="20.100000000000001" hidden="1" customHeight="1" x14ac:dyDescent="0.25">
      <c r="A236" s="470" t="str">
        <f t="shared" si="21"/>
        <v/>
      </c>
      <c r="B236" s="487"/>
      <c r="F236" s="488"/>
      <c r="G236" s="484"/>
      <c r="I236" s="513"/>
      <c r="J236" s="515">
        <f t="shared" si="22"/>
        <v>0</v>
      </c>
      <c r="K236" s="457"/>
      <c r="L236" s="502" t="str">
        <f t="shared" si="24"/>
        <v xml:space="preserve"> </v>
      </c>
      <c r="M236" s="467"/>
      <c r="N236" s="477">
        <f>IFERROR(VLOOKUP(P80,COPY!$A$1:$AC$1000,26,FALSE),0)</f>
        <v>0</v>
      </c>
      <c r="P236" s="448">
        <f>IFERROR(VLOOKUP(P80,COPY!$A$1:$AC$1000,29,FALSE),0)</f>
        <v>0</v>
      </c>
      <c r="S236" s="449">
        <f t="shared" si="23"/>
        <v>0</v>
      </c>
    </row>
    <row r="237" spans="1:19" ht="20.100000000000001" hidden="1" customHeight="1" x14ac:dyDescent="0.25">
      <c r="A237" s="470" t="str">
        <f t="shared" si="21"/>
        <v/>
      </c>
      <c r="B237" s="487"/>
      <c r="F237" s="488"/>
      <c r="G237" s="484"/>
      <c r="I237" s="513"/>
      <c r="J237" s="515">
        <f t="shared" si="22"/>
        <v>0</v>
      </c>
      <c r="K237" s="457"/>
      <c r="L237" s="502" t="str">
        <f t="shared" si="24"/>
        <v xml:space="preserve"> </v>
      </c>
      <c r="M237" s="467"/>
      <c r="N237" s="477">
        <f>IFERROR(VLOOKUP(P81,COPY!$A$1:$AC$1000,26,FALSE),0)</f>
        <v>0</v>
      </c>
      <c r="P237" s="448">
        <f>IFERROR(VLOOKUP(P81,COPY!$A$1:$AC$1000,29,FALSE),0)</f>
        <v>0</v>
      </c>
      <c r="S237" s="449">
        <f t="shared" si="23"/>
        <v>0</v>
      </c>
    </row>
    <row r="238" spans="1:19" ht="20.100000000000001" hidden="1" customHeight="1" x14ac:dyDescent="0.25">
      <c r="A238" s="470" t="str">
        <f t="shared" si="21"/>
        <v/>
      </c>
      <c r="B238" s="487"/>
      <c r="F238" s="488"/>
      <c r="G238" s="484"/>
      <c r="I238" s="513"/>
      <c r="J238" s="515">
        <f t="shared" si="22"/>
        <v>0</v>
      </c>
      <c r="K238" s="457"/>
      <c r="L238" s="502" t="str">
        <f t="shared" si="24"/>
        <v xml:space="preserve"> </v>
      </c>
      <c r="M238" s="467"/>
      <c r="N238" s="477">
        <f>IFERROR(VLOOKUP(P82,COPY!$A$1:$AC$1000,26,FALSE),0)</f>
        <v>0</v>
      </c>
      <c r="P238" s="448">
        <f>IFERROR(VLOOKUP(P82,COPY!$A$1:$AC$1000,29,FALSE),0)</f>
        <v>0</v>
      </c>
      <c r="S238" s="449">
        <f t="shared" si="23"/>
        <v>0</v>
      </c>
    </row>
    <row r="239" spans="1:19" ht="20.100000000000001" hidden="1" customHeight="1" x14ac:dyDescent="0.25">
      <c r="A239" s="470" t="str">
        <f t="shared" si="21"/>
        <v/>
      </c>
      <c r="B239" s="487"/>
      <c r="F239" s="488"/>
      <c r="G239" s="484"/>
      <c r="I239" s="513"/>
      <c r="J239" s="515">
        <f t="shared" si="22"/>
        <v>0</v>
      </c>
      <c r="K239" s="457"/>
      <c r="L239" s="502" t="str">
        <f t="shared" si="24"/>
        <v xml:space="preserve"> </v>
      </c>
      <c r="M239" s="467"/>
      <c r="N239" s="477">
        <f>IFERROR(VLOOKUP(P83,COPY!$A$1:$AC$1000,26,FALSE),0)</f>
        <v>0</v>
      </c>
      <c r="P239" s="448">
        <f>IFERROR(VLOOKUP(P83,COPY!$A$1:$AC$1000,29,FALSE),0)</f>
        <v>0</v>
      </c>
      <c r="S239" s="449">
        <f t="shared" si="23"/>
        <v>0</v>
      </c>
    </row>
    <row r="240" spans="1:19" ht="20.100000000000001" hidden="1" customHeight="1" x14ac:dyDescent="0.25">
      <c r="A240" s="470" t="str">
        <f t="shared" si="21"/>
        <v/>
      </c>
      <c r="B240" s="487"/>
      <c r="F240" s="488"/>
      <c r="G240" s="484"/>
      <c r="I240" s="513"/>
      <c r="J240" s="515">
        <f t="shared" si="22"/>
        <v>0</v>
      </c>
      <c r="K240" s="457"/>
      <c r="L240" s="502" t="str">
        <f t="shared" si="24"/>
        <v xml:space="preserve"> </v>
      </c>
      <c r="M240" s="467"/>
      <c r="N240" s="477">
        <f>IFERROR(VLOOKUP(P84,COPY!$A$1:$AC$1000,26,FALSE),0)</f>
        <v>0</v>
      </c>
      <c r="P240" s="448">
        <f>IFERROR(VLOOKUP(P84,COPY!$A$1:$AC$1000,29,FALSE),0)</f>
        <v>0</v>
      </c>
      <c r="S240" s="449">
        <f t="shared" si="23"/>
        <v>0</v>
      </c>
    </row>
    <row r="241" spans="1:19" ht="20.100000000000001" hidden="1" customHeight="1" x14ac:dyDescent="0.25">
      <c r="A241" s="470" t="str">
        <f t="shared" si="21"/>
        <v/>
      </c>
      <c r="B241" s="487"/>
      <c r="F241" s="488"/>
      <c r="G241" s="484"/>
      <c r="I241" s="513"/>
      <c r="J241" s="515">
        <f t="shared" si="22"/>
        <v>0</v>
      </c>
      <c r="K241" s="457"/>
      <c r="L241" s="502" t="str">
        <f t="shared" si="24"/>
        <v xml:space="preserve"> </v>
      </c>
      <c r="M241" s="467"/>
      <c r="N241" s="477">
        <f>IFERROR(VLOOKUP(P85,COPY!$A$1:$AC$1000,26,FALSE),0)</f>
        <v>0</v>
      </c>
      <c r="P241" s="448">
        <f>IFERROR(VLOOKUP(P85,COPY!$A$1:$AC$1000,29,FALSE),0)</f>
        <v>0</v>
      </c>
      <c r="S241" s="449">
        <f t="shared" si="23"/>
        <v>0</v>
      </c>
    </row>
    <row r="242" spans="1:19" ht="20.100000000000001" hidden="1" customHeight="1" x14ac:dyDescent="0.25">
      <c r="A242" s="470" t="str">
        <f t="shared" si="21"/>
        <v/>
      </c>
      <c r="B242" s="487"/>
      <c r="F242" s="488"/>
      <c r="G242" s="484"/>
      <c r="I242" s="513"/>
      <c r="J242" s="515">
        <f t="shared" si="22"/>
        <v>0</v>
      </c>
      <c r="K242" s="457"/>
      <c r="L242" s="502" t="str">
        <f t="shared" si="24"/>
        <v xml:space="preserve"> </v>
      </c>
      <c r="M242" s="467"/>
      <c r="N242" s="477">
        <f>IFERROR(VLOOKUP(P86,COPY!$A$1:$AC$1000,26,FALSE),0)</f>
        <v>0</v>
      </c>
      <c r="P242" s="448">
        <f>IFERROR(VLOOKUP(P86,COPY!$A$1:$AC$1000,29,FALSE),0)</f>
        <v>0</v>
      </c>
      <c r="S242" s="449">
        <f t="shared" si="23"/>
        <v>0</v>
      </c>
    </row>
    <row r="243" spans="1:19" ht="20.100000000000001" hidden="1" customHeight="1" x14ac:dyDescent="0.25">
      <c r="A243" s="470" t="str">
        <f t="shared" si="21"/>
        <v/>
      </c>
      <c r="B243" s="487"/>
      <c r="F243" s="488"/>
      <c r="G243" s="484"/>
      <c r="I243" s="513"/>
      <c r="J243" s="515">
        <f t="shared" si="22"/>
        <v>0</v>
      </c>
      <c r="K243" s="457"/>
      <c r="L243" s="502" t="str">
        <f t="shared" si="24"/>
        <v xml:space="preserve"> </v>
      </c>
      <c r="M243" s="467"/>
      <c r="N243" s="477">
        <f>IFERROR(VLOOKUP(P87,COPY!$A$1:$AC$1000,26,FALSE),0)</f>
        <v>0</v>
      </c>
      <c r="P243" s="448">
        <f>IFERROR(VLOOKUP(P87,COPY!$A$1:$AC$1000,29,FALSE),0)</f>
        <v>0</v>
      </c>
      <c r="S243" s="449">
        <f t="shared" si="23"/>
        <v>0</v>
      </c>
    </row>
    <row r="244" spans="1:19" ht="20.100000000000001" hidden="1" customHeight="1" x14ac:dyDescent="0.25">
      <c r="A244" s="470" t="str">
        <f t="shared" si="21"/>
        <v/>
      </c>
      <c r="B244" s="487"/>
      <c r="F244" s="488"/>
      <c r="G244" s="484"/>
      <c r="I244" s="513"/>
      <c r="J244" s="515">
        <f t="shared" si="22"/>
        <v>0</v>
      </c>
      <c r="K244" s="457"/>
      <c r="L244" s="502" t="str">
        <f t="shared" si="24"/>
        <v xml:space="preserve"> </v>
      </c>
      <c r="M244" s="467"/>
      <c r="N244" s="477">
        <f>IFERROR(VLOOKUP(P88,COPY!$A$1:$AC$1000,26,FALSE),0)</f>
        <v>0</v>
      </c>
      <c r="P244" s="448">
        <f>IFERROR(VLOOKUP(P88,COPY!$A$1:$AC$1000,29,FALSE),0)</f>
        <v>0</v>
      </c>
      <c r="S244" s="449">
        <f t="shared" si="23"/>
        <v>0</v>
      </c>
    </row>
    <row r="245" spans="1:19" ht="20.100000000000001" hidden="1" customHeight="1" x14ac:dyDescent="0.25">
      <c r="A245" s="470" t="str">
        <f t="shared" si="21"/>
        <v/>
      </c>
      <c r="B245" s="487"/>
      <c r="F245" s="488"/>
      <c r="G245" s="484"/>
      <c r="I245" s="513"/>
      <c r="J245" s="515">
        <f t="shared" si="22"/>
        <v>0</v>
      </c>
      <c r="K245" s="457"/>
      <c r="L245" s="502" t="str">
        <f t="shared" si="24"/>
        <v xml:space="preserve"> </v>
      </c>
      <c r="M245" s="467"/>
      <c r="N245" s="477">
        <f>IFERROR(VLOOKUP(P89,COPY!$A$1:$AC$1000,26,FALSE),0)</f>
        <v>0</v>
      </c>
      <c r="P245" s="448">
        <f>IFERROR(VLOOKUP(P89,COPY!$A$1:$AC$1000,29,FALSE),0)</f>
        <v>0</v>
      </c>
      <c r="S245" s="449">
        <f t="shared" si="23"/>
        <v>0</v>
      </c>
    </row>
    <row r="246" spans="1:19" ht="20.100000000000001" hidden="1" customHeight="1" x14ac:dyDescent="0.25">
      <c r="A246" s="470" t="str">
        <f t="shared" si="21"/>
        <v/>
      </c>
      <c r="B246" s="487"/>
      <c r="F246" s="488"/>
      <c r="G246" s="484"/>
      <c r="I246" s="513"/>
      <c r="J246" s="515">
        <f t="shared" si="22"/>
        <v>0</v>
      </c>
      <c r="K246" s="457"/>
      <c r="L246" s="502" t="str">
        <f t="shared" si="24"/>
        <v xml:space="preserve"> </v>
      </c>
      <c r="M246" s="467"/>
      <c r="N246" s="477">
        <f>IFERROR(VLOOKUP(P90,COPY!$A$1:$AC$1000,26,FALSE),0)</f>
        <v>0</v>
      </c>
      <c r="P246" s="448">
        <f>IFERROR(VLOOKUP(P90,COPY!$A$1:$AC$1000,29,FALSE),0)</f>
        <v>0</v>
      </c>
      <c r="S246" s="449">
        <f t="shared" si="23"/>
        <v>0</v>
      </c>
    </row>
    <row r="247" spans="1:19" ht="20.100000000000001" hidden="1" customHeight="1" x14ac:dyDescent="0.25">
      <c r="A247" s="470" t="str">
        <f t="shared" si="21"/>
        <v/>
      </c>
      <c r="B247" s="487"/>
      <c r="F247" s="488"/>
      <c r="G247" s="484"/>
      <c r="I247" s="513"/>
      <c r="J247" s="515">
        <f t="shared" si="22"/>
        <v>0</v>
      </c>
      <c r="K247" s="457"/>
      <c r="L247" s="502" t="str">
        <f t="shared" si="24"/>
        <v xml:space="preserve"> </v>
      </c>
      <c r="M247" s="467"/>
      <c r="N247" s="477">
        <f>IFERROR(VLOOKUP(P91,COPY!$A$1:$AC$1000,26,FALSE),0)</f>
        <v>0</v>
      </c>
      <c r="P247" s="448">
        <f>IFERROR(VLOOKUP(P91,COPY!$A$1:$AC$1000,29,FALSE),0)</f>
        <v>0</v>
      </c>
      <c r="S247" s="449">
        <f t="shared" si="23"/>
        <v>0</v>
      </c>
    </row>
    <row r="248" spans="1:19" ht="20.100000000000001" hidden="1" customHeight="1" x14ac:dyDescent="0.25">
      <c r="A248" s="470" t="str">
        <f t="shared" si="21"/>
        <v/>
      </c>
      <c r="B248" s="487"/>
      <c r="F248" s="488"/>
      <c r="G248" s="484"/>
      <c r="I248" s="513"/>
      <c r="J248" s="515">
        <f t="shared" si="22"/>
        <v>0</v>
      </c>
      <c r="K248" s="457"/>
      <c r="L248" s="502" t="str">
        <f t="shared" si="24"/>
        <v xml:space="preserve"> </v>
      </c>
      <c r="M248" s="467"/>
      <c r="N248" s="477">
        <f>IFERROR(VLOOKUP(P92,COPY!$A$1:$AC$1000,26,FALSE),0)</f>
        <v>0</v>
      </c>
      <c r="P248" s="448">
        <f>IFERROR(VLOOKUP(P92,COPY!$A$1:$AC$1000,29,FALSE),0)</f>
        <v>0</v>
      </c>
      <c r="S248" s="449">
        <f t="shared" si="23"/>
        <v>0</v>
      </c>
    </row>
    <row r="249" spans="1:19" ht="20.100000000000001" hidden="1" customHeight="1" x14ac:dyDescent="0.25">
      <c r="A249" s="470" t="str">
        <f t="shared" si="21"/>
        <v/>
      </c>
      <c r="B249" s="487"/>
      <c r="F249" s="488"/>
      <c r="G249" s="484"/>
      <c r="I249" s="513"/>
      <c r="J249" s="515">
        <f t="shared" si="22"/>
        <v>0</v>
      </c>
      <c r="K249" s="457"/>
      <c r="L249" s="502" t="str">
        <f t="shared" si="24"/>
        <v xml:space="preserve"> </v>
      </c>
      <c r="M249" s="467"/>
      <c r="N249" s="477">
        <f>IFERROR(VLOOKUP(P93,COPY!$A$1:$AC$1000,26,FALSE),0)</f>
        <v>0</v>
      </c>
      <c r="P249" s="448">
        <f>IFERROR(VLOOKUP(P93,COPY!$A$1:$AC$1000,29,FALSE),0)</f>
        <v>0</v>
      </c>
      <c r="S249" s="449">
        <f t="shared" si="23"/>
        <v>0</v>
      </c>
    </row>
    <row r="250" spans="1:19" ht="20.100000000000001" hidden="1" customHeight="1" x14ac:dyDescent="0.25">
      <c r="A250" s="470" t="str">
        <f t="shared" si="21"/>
        <v/>
      </c>
      <c r="B250" s="487"/>
      <c r="F250" s="488"/>
      <c r="G250" s="484"/>
      <c r="I250" s="513"/>
      <c r="J250" s="515">
        <f t="shared" si="22"/>
        <v>0</v>
      </c>
      <c r="K250" s="457"/>
      <c r="L250" s="502" t="str">
        <f t="shared" si="24"/>
        <v xml:space="preserve"> </v>
      </c>
      <c r="M250" s="467"/>
      <c r="N250" s="477">
        <f>IFERROR(VLOOKUP(P94,COPY!$A$1:$AC$1000,26,FALSE),0)</f>
        <v>0</v>
      </c>
      <c r="P250" s="448">
        <f>IFERROR(VLOOKUP(P94,COPY!$A$1:$AC$1000,29,FALSE),0)</f>
        <v>0</v>
      </c>
      <c r="S250" s="449">
        <f t="shared" si="23"/>
        <v>0</v>
      </c>
    </row>
    <row r="251" spans="1:19" ht="20.100000000000001" hidden="1" customHeight="1" x14ac:dyDescent="0.25">
      <c r="A251" s="470" t="str">
        <f t="shared" si="21"/>
        <v/>
      </c>
      <c r="B251" s="487"/>
      <c r="F251" s="488"/>
      <c r="G251" s="484"/>
      <c r="I251" s="513"/>
      <c r="J251" s="515">
        <f t="shared" si="22"/>
        <v>0</v>
      </c>
      <c r="K251" s="457"/>
      <c r="L251" s="502" t="str">
        <f t="shared" si="24"/>
        <v xml:space="preserve"> </v>
      </c>
      <c r="M251" s="467"/>
      <c r="N251" s="477">
        <f>IFERROR(VLOOKUP(P95,COPY!$A$1:$AC$1000,26,FALSE),0)</f>
        <v>0</v>
      </c>
      <c r="P251" s="448">
        <f>IFERROR(VLOOKUP(P95,COPY!$A$1:$AC$1000,29,FALSE),0)</f>
        <v>0</v>
      </c>
      <c r="S251" s="449">
        <f t="shared" si="23"/>
        <v>0</v>
      </c>
    </row>
    <row r="252" spans="1:19" ht="20.100000000000001" hidden="1" customHeight="1" x14ac:dyDescent="0.25">
      <c r="A252" s="470" t="str">
        <f t="shared" si="21"/>
        <v/>
      </c>
      <c r="B252" s="487"/>
      <c r="F252" s="488"/>
      <c r="G252" s="484"/>
      <c r="I252" s="513"/>
      <c r="J252" s="515">
        <f t="shared" si="22"/>
        <v>0</v>
      </c>
      <c r="K252" s="457"/>
      <c r="L252" s="502" t="str">
        <f t="shared" si="24"/>
        <v xml:space="preserve"> </v>
      </c>
      <c r="M252" s="467"/>
      <c r="N252" s="477">
        <f>IFERROR(VLOOKUP(P96,COPY!$A$1:$AC$1000,26,FALSE),0)</f>
        <v>0</v>
      </c>
      <c r="P252" s="448">
        <f>IFERROR(VLOOKUP(P96,COPY!$A$1:$AC$1000,29,FALSE),0)</f>
        <v>0</v>
      </c>
      <c r="S252" s="449">
        <f t="shared" si="23"/>
        <v>0</v>
      </c>
    </row>
    <row r="253" spans="1:19" ht="20.100000000000001" hidden="1" customHeight="1" x14ac:dyDescent="0.25">
      <c r="A253" s="470" t="str">
        <f t="shared" ref="A253:A316" si="25">IF(P97="","",P97&amp;"."&amp;ROW()-188)</f>
        <v/>
      </c>
      <c r="B253" s="487"/>
      <c r="F253" s="488"/>
      <c r="G253" s="484"/>
      <c r="I253" s="513"/>
      <c r="J253" s="515">
        <f t="shared" ref="J253:J316" si="26">S253</f>
        <v>0</v>
      </c>
      <c r="K253" s="457"/>
      <c r="L253" s="502" t="str">
        <f t="shared" si="24"/>
        <v xml:space="preserve"> </v>
      </c>
      <c r="M253" s="467"/>
      <c r="N253" s="477">
        <f>IFERROR(VLOOKUP(P97,COPY!$A$1:$AC$1000,26,FALSE),0)</f>
        <v>0</v>
      </c>
      <c r="P253" s="448">
        <f>IFERROR(VLOOKUP(P97,COPY!$A$1:$AC$1000,29,FALSE),0)</f>
        <v>0</v>
      </c>
      <c r="S253" s="449">
        <f t="shared" si="23"/>
        <v>0</v>
      </c>
    </row>
    <row r="254" spans="1:19" ht="20.100000000000001" hidden="1" customHeight="1" x14ac:dyDescent="0.25">
      <c r="A254" s="470" t="str">
        <f t="shared" si="25"/>
        <v/>
      </c>
      <c r="B254" s="487"/>
      <c r="F254" s="488"/>
      <c r="G254" s="484"/>
      <c r="I254" s="513"/>
      <c r="J254" s="515">
        <f t="shared" si="26"/>
        <v>0</v>
      </c>
      <c r="K254" s="457"/>
      <c r="L254" s="502" t="str">
        <f t="shared" si="24"/>
        <v xml:space="preserve"> </v>
      </c>
      <c r="M254" s="467"/>
      <c r="N254" s="477">
        <f>IFERROR(VLOOKUP(P98,COPY!$A$1:$AC$1000,26,FALSE),0)</f>
        <v>0</v>
      </c>
      <c r="P254" s="448">
        <f>IFERROR(VLOOKUP(P98,COPY!$A$1:$AC$1000,29,FALSE),0)</f>
        <v>0</v>
      </c>
      <c r="S254" s="449">
        <f t="shared" ref="S254:S317" si="27">IF(LEFT(P254,6)="Terima",REPLACE(P254,1,6,"Bayar"),P254)</f>
        <v>0</v>
      </c>
    </row>
    <row r="255" spans="1:19" ht="20.100000000000001" hidden="1" customHeight="1" x14ac:dyDescent="0.25">
      <c r="A255" s="470" t="str">
        <f t="shared" si="25"/>
        <v/>
      </c>
      <c r="B255" s="487"/>
      <c r="F255" s="488"/>
      <c r="G255" s="484"/>
      <c r="I255" s="513"/>
      <c r="J255" s="515">
        <f t="shared" si="26"/>
        <v>0</v>
      </c>
      <c r="K255" s="457"/>
      <c r="L255" s="502" t="str">
        <f t="shared" si="24"/>
        <v xml:space="preserve"> </v>
      </c>
      <c r="M255" s="467"/>
      <c r="N255" s="477">
        <f>IFERROR(VLOOKUP(P99,COPY!$A$1:$AC$1000,26,FALSE),0)</f>
        <v>0</v>
      </c>
      <c r="P255" s="448">
        <f>IFERROR(VLOOKUP(P99,COPY!$A$1:$AC$1000,29,FALSE),0)</f>
        <v>0</v>
      </c>
      <c r="S255" s="449">
        <f t="shared" si="27"/>
        <v>0</v>
      </c>
    </row>
    <row r="256" spans="1:19" ht="20.100000000000001" hidden="1" customHeight="1" x14ac:dyDescent="0.25">
      <c r="A256" s="470" t="str">
        <f t="shared" si="25"/>
        <v/>
      </c>
      <c r="B256" s="487"/>
      <c r="F256" s="488"/>
      <c r="G256" s="484"/>
      <c r="I256" s="513"/>
      <c r="J256" s="515">
        <f t="shared" si="26"/>
        <v>0</v>
      </c>
      <c r="K256" s="457"/>
      <c r="L256" s="502" t="str">
        <f t="shared" si="24"/>
        <v xml:space="preserve"> </v>
      </c>
      <c r="M256" s="467"/>
      <c r="N256" s="477">
        <f>IFERROR(VLOOKUP(P100,COPY!$A$1:$AC$1000,26,FALSE),0)</f>
        <v>0</v>
      </c>
      <c r="P256" s="448">
        <f>IFERROR(VLOOKUP(P100,COPY!$A$1:$AC$1000,29,FALSE),0)</f>
        <v>0</v>
      </c>
      <c r="S256" s="449">
        <f t="shared" si="27"/>
        <v>0</v>
      </c>
    </row>
    <row r="257" spans="1:19" ht="20.100000000000001" hidden="1" customHeight="1" x14ac:dyDescent="0.25">
      <c r="A257" s="470" t="str">
        <f t="shared" si="25"/>
        <v/>
      </c>
      <c r="B257" s="487"/>
      <c r="F257" s="488"/>
      <c r="G257" s="484"/>
      <c r="I257" s="513"/>
      <c r="J257" s="515">
        <f t="shared" si="26"/>
        <v>0</v>
      </c>
      <c r="K257" s="457"/>
      <c r="L257" s="502" t="str">
        <f t="shared" si="24"/>
        <v xml:space="preserve"> </v>
      </c>
      <c r="M257" s="467"/>
      <c r="N257" s="477">
        <f>IFERROR(VLOOKUP(P101,COPY!$A$1:$AC$1000,26,FALSE),0)</f>
        <v>0</v>
      </c>
      <c r="P257" s="448">
        <f>IFERROR(VLOOKUP(P101,COPY!$A$1:$AC$1000,29,FALSE),0)</f>
        <v>0</v>
      </c>
      <c r="S257" s="449">
        <f t="shared" si="27"/>
        <v>0</v>
      </c>
    </row>
    <row r="258" spans="1:19" ht="20.100000000000001" hidden="1" customHeight="1" x14ac:dyDescent="0.25">
      <c r="A258" s="470" t="str">
        <f t="shared" si="25"/>
        <v/>
      </c>
      <c r="B258" s="487"/>
      <c r="F258" s="488"/>
      <c r="G258" s="484"/>
      <c r="I258" s="513"/>
      <c r="J258" s="515">
        <f t="shared" si="26"/>
        <v>0</v>
      </c>
      <c r="K258" s="457"/>
      <c r="L258" s="502" t="str">
        <f t="shared" ref="L258:L321" si="28">IF(LEFT(J258,15)="Bayar Pajak PPN",1,IF(LEFT(J258,15)="Bayar Pajak PPH",2,IF(LEFT(J258,21)="Bayar Pajak Final PPH",3," ")))</f>
        <v xml:space="preserve"> </v>
      </c>
      <c r="M258" s="467"/>
      <c r="N258" s="477">
        <f>IFERROR(VLOOKUP(P102,COPY!$A$1:$AC$1000,26,FALSE),0)</f>
        <v>0</v>
      </c>
      <c r="P258" s="448">
        <f>IFERROR(VLOOKUP(P102,COPY!$A$1:$AC$1000,29,FALSE),0)</f>
        <v>0</v>
      </c>
      <c r="S258" s="449">
        <f t="shared" si="27"/>
        <v>0</v>
      </c>
    </row>
    <row r="259" spans="1:19" ht="20.100000000000001" hidden="1" customHeight="1" x14ac:dyDescent="0.25">
      <c r="A259" s="470" t="str">
        <f t="shared" si="25"/>
        <v/>
      </c>
      <c r="B259" s="487"/>
      <c r="F259" s="488"/>
      <c r="G259" s="484"/>
      <c r="I259" s="513"/>
      <c r="J259" s="515">
        <f t="shared" si="26"/>
        <v>0</v>
      </c>
      <c r="K259" s="457"/>
      <c r="L259" s="502" t="str">
        <f t="shared" si="28"/>
        <v xml:space="preserve"> </v>
      </c>
      <c r="M259" s="467"/>
      <c r="N259" s="477">
        <f>IFERROR(VLOOKUP(P103,COPY!$A$1:$AC$1000,26,FALSE),0)</f>
        <v>0</v>
      </c>
      <c r="P259" s="448">
        <f>IFERROR(VLOOKUP(P103,COPY!$A$1:$AC$1000,29,FALSE),0)</f>
        <v>0</v>
      </c>
      <c r="S259" s="449">
        <f t="shared" si="27"/>
        <v>0</v>
      </c>
    </row>
    <row r="260" spans="1:19" ht="20.100000000000001" hidden="1" customHeight="1" x14ac:dyDescent="0.25">
      <c r="A260" s="470" t="str">
        <f t="shared" si="25"/>
        <v/>
      </c>
      <c r="B260" s="487"/>
      <c r="F260" s="488"/>
      <c r="G260" s="484"/>
      <c r="I260" s="513"/>
      <c r="J260" s="515">
        <f t="shared" si="26"/>
        <v>0</v>
      </c>
      <c r="K260" s="457"/>
      <c r="L260" s="502" t="str">
        <f t="shared" si="28"/>
        <v xml:space="preserve"> </v>
      </c>
      <c r="M260" s="467"/>
      <c r="N260" s="477">
        <f>IFERROR(VLOOKUP(P104,COPY!$A$1:$AC$1000,26,FALSE),0)</f>
        <v>0</v>
      </c>
      <c r="P260" s="448">
        <f>IFERROR(VLOOKUP(P104,COPY!$A$1:$AC$1000,29,FALSE),0)</f>
        <v>0</v>
      </c>
      <c r="S260" s="449">
        <f t="shared" si="27"/>
        <v>0</v>
      </c>
    </row>
    <row r="261" spans="1:19" ht="20.100000000000001" hidden="1" customHeight="1" x14ac:dyDescent="0.25">
      <c r="A261" s="470" t="str">
        <f t="shared" si="25"/>
        <v/>
      </c>
      <c r="B261" s="487"/>
      <c r="F261" s="488"/>
      <c r="G261" s="484"/>
      <c r="I261" s="513"/>
      <c r="J261" s="515">
        <f t="shared" si="26"/>
        <v>0</v>
      </c>
      <c r="K261" s="457"/>
      <c r="L261" s="502" t="str">
        <f t="shared" si="28"/>
        <v xml:space="preserve"> </v>
      </c>
      <c r="M261" s="467"/>
      <c r="N261" s="477">
        <f>IFERROR(VLOOKUP(P105,COPY!$A$1:$AC$1000,26,FALSE),0)</f>
        <v>0</v>
      </c>
      <c r="P261" s="448">
        <f>IFERROR(VLOOKUP(P105,COPY!$A$1:$AC$1000,29,FALSE),0)</f>
        <v>0</v>
      </c>
      <c r="S261" s="449">
        <f t="shared" si="27"/>
        <v>0</v>
      </c>
    </row>
    <row r="262" spans="1:19" ht="20.100000000000001" hidden="1" customHeight="1" x14ac:dyDescent="0.25">
      <c r="A262" s="470" t="str">
        <f t="shared" si="25"/>
        <v/>
      </c>
      <c r="B262" s="487"/>
      <c r="F262" s="488"/>
      <c r="G262" s="484"/>
      <c r="I262" s="513"/>
      <c r="J262" s="515">
        <f t="shared" si="26"/>
        <v>0</v>
      </c>
      <c r="K262" s="457"/>
      <c r="L262" s="502" t="str">
        <f t="shared" si="28"/>
        <v xml:space="preserve"> </v>
      </c>
      <c r="M262" s="467"/>
      <c r="N262" s="477">
        <f>IFERROR(VLOOKUP(P106,COPY!$A$1:$AC$1000,26,FALSE),0)</f>
        <v>0</v>
      </c>
      <c r="P262" s="448">
        <f>IFERROR(VLOOKUP(P106,COPY!$A$1:$AC$1000,29,FALSE),0)</f>
        <v>0</v>
      </c>
      <c r="S262" s="449">
        <f t="shared" si="27"/>
        <v>0</v>
      </c>
    </row>
    <row r="263" spans="1:19" ht="20.100000000000001" hidden="1" customHeight="1" x14ac:dyDescent="0.25">
      <c r="A263" s="470" t="str">
        <f t="shared" si="25"/>
        <v/>
      </c>
      <c r="B263" s="487"/>
      <c r="F263" s="488"/>
      <c r="G263" s="484"/>
      <c r="I263" s="513"/>
      <c r="J263" s="515">
        <f t="shared" si="26"/>
        <v>0</v>
      </c>
      <c r="K263" s="457"/>
      <c r="L263" s="502" t="str">
        <f t="shared" si="28"/>
        <v xml:space="preserve"> </v>
      </c>
      <c r="M263" s="467"/>
      <c r="N263" s="477">
        <f>IFERROR(VLOOKUP(P107,COPY!$A$1:$AC$1000,26,FALSE),0)</f>
        <v>0</v>
      </c>
      <c r="P263" s="448">
        <f>IFERROR(VLOOKUP(P107,COPY!$A$1:$AC$1000,29,FALSE),0)</f>
        <v>0</v>
      </c>
      <c r="S263" s="449">
        <f t="shared" si="27"/>
        <v>0</v>
      </c>
    </row>
    <row r="264" spans="1:19" ht="20.100000000000001" hidden="1" customHeight="1" x14ac:dyDescent="0.25">
      <c r="A264" s="470" t="str">
        <f t="shared" si="25"/>
        <v/>
      </c>
      <c r="B264" s="487"/>
      <c r="F264" s="488"/>
      <c r="G264" s="484"/>
      <c r="I264" s="513"/>
      <c r="J264" s="515">
        <f t="shared" si="26"/>
        <v>0</v>
      </c>
      <c r="K264" s="457"/>
      <c r="L264" s="502" t="str">
        <f t="shared" si="28"/>
        <v xml:space="preserve"> </v>
      </c>
      <c r="M264" s="467"/>
      <c r="N264" s="477">
        <f>IFERROR(VLOOKUP(P108,COPY!$A$1:$AC$1000,26,FALSE),0)</f>
        <v>0</v>
      </c>
      <c r="P264" s="448">
        <f>IFERROR(VLOOKUP(P108,COPY!$A$1:$AC$1000,29,FALSE),0)</f>
        <v>0</v>
      </c>
      <c r="S264" s="449">
        <f t="shared" si="27"/>
        <v>0</v>
      </c>
    </row>
    <row r="265" spans="1:19" ht="20.100000000000001" hidden="1" customHeight="1" x14ac:dyDescent="0.25">
      <c r="A265" s="470" t="str">
        <f t="shared" si="25"/>
        <v/>
      </c>
      <c r="B265" s="487"/>
      <c r="F265" s="488"/>
      <c r="G265" s="484"/>
      <c r="I265" s="513"/>
      <c r="J265" s="515">
        <f t="shared" si="26"/>
        <v>0</v>
      </c>
      <c r="K265" s="457"/>
      <c r="L265" s="502" t="str">
        <f t="shared" si="28"/>
        <v xml:space="preserve"> </v>
      </c>
      <c r="M265" s="467"/>
      <c r="N265" s="477">
        <f>IFERROR(VLOOKUP(P109,COPY!$A$1:$AC$1000,26,FALSE),0)</f>
        <v>0</v>
      </c>
      <c r="P265" s="448">
        <f>IFERROR(VLOOKUP(P109,COPY!$A$1:$AC$1000,29,FALSE),0)</f>
        <v>0</v>
      </c>
      <c r="S265" s="449">
        <f t="shared" si="27"/>
        <v>0</v>
      </c>
    </row>
    <row r="266" spans="1:19" ht="20.100000000000001" hidden="1" customHeight="1" x14ac:dyDescent="0.25">
      <c r="A266" s="470" t="str">
        <f t="shared" si="25"/>
        <v/>
      </c>
      <c r="B266" s="487"/>
      <c r="F266" s="488"/>
      <c r="G266" s="484"/>
      <c r="I266" s="513"/>
      <c r="J266" s="515">
        <f t="shared" si="26"/>
        <v>0</v>
      </c>
      <c r="K266" s="457"/>
      <c r="L266" s="502" t="str">
        <f t="shared" si="28"/>
        <v xml:space="preserve"> </v>
      </c>
      <c r="M266" s="467"/>
      <c r="N266" s="477">
        <f>IFERROR(VLOOKUP(P110,COPY!$A$1:$AC$1000,26,FALSE),0)</f>
        <v>0</v>
      </c>
      <c r="P266" s="448">
        <f>IFERROR(VLOOKUP(P110,COPY!$A$1:$AC$1000,29,FALSE),0)</f>
        <v>0</v>
      </c>
      <c r="S266" s="449">
        <f t="shared" si="27"/>
        <v>0</v>
      </c>
    </row>
    <row r="267" spans="1:19" ht="20.100000000000001" hidden="1" customHeight="1" x14ac:dyDescent="0.25">
      <c r="A267" s="470" t="str">
        <f t="shared" si="25"/>
        <v/>
      </c>
      <c r="B267" s="487"/>
      <c r="F267" s="488"/>
      <c r="G267" s="484"/>
      <c r="I267" s="513"/>
      <c r="J267" s="515">
        <f t="shared" si="26"/>
        <v>0</v>
      </c>
      <c r="K267" s="457"/>
      <c r="L267" s="502" t="str">
        <f t="shared" si="28"/>
        <v xml:space="preserve"> </v>
      </c>
      <c r="M267" s="467"/>
      <c r="N267" s="477">
        <f>IFERROR(VLOOKUP(P111,COPY!$A$1:$AC$1000,26,FALSE),0)</f>
        <v>0</v>
      </c>
      <c r="P267" s="448">
        <f>IFERROR(VLOOKUP(P111,COPY!$A$1:$AC$1000,29,FALSE),0)</f>
        <v>0</v>
      </c>
      <c r="S267" s="449">
        <f t="shared" si="27"/>
        <v>0</v>
      </c>
    </row>
    <row r="268" spans="1:19" ht="20.100000000000001" hidden="1" customHeight="1" x14ac:dyDescent="0.25">
      <c r="A268" s="470" t="str">
        <f t="shared" si="25"/>
        <v/>
      </c>
      <c r="B268" s="487"/>
      <c r="F268" s="488"/>
      <c r="G268" s="484"/>
      <c r="I268" s="513"/>
      <c r="J268" s="515">
        <f t="shared" si="26"/>
        <v>0</v>
      </c>
      <c r="K268" s="457"/>
      <c r="L268" s="502" t="str">
        <f t="shared" si="28"/>
        <v xml:space="preserve"> </v>
      </c>
      <c r="M268" s="467"/>
      <c r="N268" s="477">
        <f>IFERROR(VLOOKUP(P112,COPY!$A$1:$AC$1000,26,FALSE),0)</f>
        <v>0</v>
      </c>
      <c r="P268" s="448">
        <f>IFERROR(VLOOKUP(P112,COPY!$A$1:$AC$1000,29,FALSE),0)</f>
        <v>0</v>
      </c>
      <c r="S268" s="449">
        <f t="shared" si="27"/>
        <v>0</v>
      </c>
    </row>
    <row r="269" spans="1:19" ht="20.100000000000001" hidden="1" customHeight="1" x14ac:dyDescent="0.25">
      <c r="A269" s="470" t="str">
        <f t="shared" si="25"/>
        <v/>
      </c>
      <c r="B269" s="487"/>
      <c r="F269" s="488"/>
      <c r="G269" s="484"/>
      <c r="I269" s="513"/>
      <c r="J269" s="515">
        <f t="shared" si="26"/>
        <v>0</v>
      </c>
      <c r="K269" s="457"/>
      <c r="L269" s="502" t="str">
        <f t="shared" si="28"/>
        <v xml:space="preserve"> </v>
      </c>
      <c r="M269" s="467"/>
      <c r="N269" s="477">
        <f>IFERROR(VLOOKUP(P113,COPY!$A$1:$AC$1000,26,FALSE),0)</f>
        <v>0</v>
      </c>
      <c r="P269" s="448">
        <f>IFERROR(VLOOKUP(P113,COPY!$A$1:$AC$1000,29,FALSE),0)</f>
        <v>0</v>
      </c>
      <c r="S269" s="449">
        <f t="shared" si="27"/>
        <v>0</v>
      </c>
    </row>
    <row r="270" spans="1:19" ht="20.100000000000001" hidden="1" customHeight="1" x14ac:dyDescent="0.25">
      <c r="A270" s="470" t="str">
        <f t="shared" si="25"/>
        <v/>
      </c>
      <c r="B270" s="487"/>
      <c r="F270" s="488"/>
      <c r="G270" s="484"/>
      <c r="I270" s="513"/>
      <c r="J270" s="515">
        <f t="shared" si="26"/>
        <v>0</v>
      </c>
      <c r="K270" s="457"/>
      <c r="L270" s="502" t="str">
        <f t="shared" si="28"/>
        <v xml:space="preserve"> </v>
      </c>
      <c r="M270" s="467"/>
      <c r="N270" s="477">
        <f>IFERROR(VLOOKUP(P114,COPY!$A$1:$AC$1000,26,FALSE),0)</f>
        <v>0</v>
      </c>
      <c r="P270" s="448">
        <f>IFERROR(VLOOKUP(P114,COPY!$A$1:$AC$1000,29,FALSE),0)</f>
        <v>0</v>
      </c>
      <c r="S270" s="449">
        <f t="shared" si="27"/>
        <v>0</v>
      </c>
    </row>
    <row r="271" spans="1:19" ht="20.100000000000001" hidden="1" customHeight="1" x14ac:dyDescent="0.25">
      <c r="A271" s="470" t="str">
        <f t="shared" si="25"/>
        <v/>
      </c>
      <c r="B271" s="487"/>
      <c r="F271" s="488"/>
      <c r="G271" s="484"/>
      <c r="I271" s="513"/>
      <c r="J271" s="515">
        <f t="shared" si="26"/>
        <v>0</v>
      </c>
      <c r="K271" s="457"/>
      <c r="L271" s="502" t="str">
        <f t="shared" si="28"/>
        <v xml:space="preserve"> </v>
      </c>
      <c r="M271" s="467"/>
      <c r="N271" s="477">
        <f>IFERROR(VLOOKUP(P115,COPY!$A$1:$AC$1000,26,FALSE),0)</f>
        <v>0</v>
      </c>
      <c r="P271" s="448">
        <f>IFERROR(VLOOKUP(P115,COPY!$A$1:$AC$1000,29,FALSE),0)</f>
        <v>0</v>
      </c>
      <c r="S271" s="449">
        <f t="shared" si="27"/>
        <v>0</v>
      </c>
    </row>
    <row r="272" spans="1:19" ht="20.100000000000001" hidden="1" customHeight="1" x14ac:dyDescent="0.25">
      <c r="A272" s="470" t="str">
        <f t="shared" si="25"/>
        <v/>
      </c>
      <c r="B272" s="487"/>
      <c r="F272" s="488"/>
      <c r="G272" s="484"/>
      <c r="I272" s="513"/>
      <c r="J272" s="515">
        <f t="shared" si="26"/>
        <v>0</v>
      </c>
      <c r="K272" s="457"/>
      <c r="L272" s="502" t="str">
        <f t="shared" si="28"/>
        <v xml:space="preserve"> </v>
      </c>
      <c r="M272" s="467"/>
      <c r="N272" s="477">
        <f>IFERROR(VLOOKUP(P116,COPY!$A$1:$AC$1000,26,FALSE),0)</f>
        <v>0</v>
      </c>
      <c r="P272" s="448">
        <f>IFERROR(VLOOKUP(P116,COPY!$A$1:$AC$1000,29,FALSE),0)</f>
        <v>0</v>
      </c>
      <c r="S272" s="449">
        <f t="shared" si="27"/>
        <v>0</v>
      </c>
    </row>
    <row r="273" spans="1:19" ht="20.100000000000001" hidden="1" customHeight="1" x14ac:dyDescent="0.25">
      <c r="A273" s="470" t="str">
        <f t="shared" si="25"/>
        <v/>
      </c>
      <c r="B273" s="487"/>
      <c r="F273" s="488"/>
      <c r="G273" s="484"/>
      <c r="I273" s="513"/>
      <c r="J273" s="515">
        <f t="shared" si="26"/>
        <v>0</v>
      </c>
      <c r="K273" s="457"/>
      <c r="L273" s="502" t="str">
        <f t="shared" si="28"/>
        <v xml:space="preserve"> </v>
      </c>
      <c r="M273" s="467"/>
      <c r="N273" s="477">
        <f>IFERROR(VLOOKUP(P117,COPY!$A$1:$AC$1000,26,FALSE),0)</f>
        <v>0</v>
      </c>
      <c r="P273" s="448">
        <f>IFERROR(VLOOKUP(P117,COPY!$A$1:$AC$1000,29,FALSE),0)</f>
        <v>0</v>
      </c>
      <c r="S273" s="449">
        <f t="shared" si="27"/>
        <v>0</v>
      </c>
    </row>
    <row r="274" spans="1:19" ht="20.100000000000001" hidden="1" customHeight="1" x14ac:dyDescent="0.25">
      <c r="A274" s="470" t="str">
        <f t="shared" si="25"/>
        <v/>
      </c>
      <c r="B274" s="487"/>
      <c r="F274" s="488"/>
      <c r="G274" s="484"/>
      <c r="I274" s="513"/>
      <c r="J274" s="515">
        <f t="shared" si="26"/>
        <v>0</v>
      </c>
      <c r="K274" s="457"/>
      <c r="L274" s="502" t="str">
        <f t="shared" si="28"/>
        <v xml:space="preserve"> </v>
      </c>
      <c r="M274" s="467"/>
      <c r="N274" s="477">
        <f>IFERROR(VLOOKUP(P118,COPY!$A$1:$AC$1000,26,FALSE),0)</f>
        <v>0</v>
      </c>
      <c r="P274" s="448">
        <f>IFERROR(VLOOKUP(P118,COPY!$A$1:$AC$1000,29,FALSE),0)</f>
        <v>0</v>
      </c>
      <c r="S274" s="449">
        <f t="shared" si="27"/>
        <v>0</v>
      </c>
    </row>
    <row r="275" spans="1:19" ht="20.100000000000001" hidden="1" customHeight="1" x14ac:dyDescent="0.25">
      <c r="A275" s="470" t="str">
        <f t="shared" si="25"/>
        <v/>
      </c>
      <c r="B275" s="487"/>
      <c r="F275" s="488"/>
      <c r="G275" s="484"/>
      <c r="I275" s="513"/>
      <c r="J275" s="515">
        <f t="shared" si="26"/>
        <v>0</v>
      </c>
      <c r="K275" s="457"/>
      <c r="L275" s="502" t="str">
        <f t="shared" si="28"/>
        <v xml:space="preserve"> </v>
      </c>
      <c r="M275" s="467"/>
      <c r="N275" s="477">
        <f>IFERROR(VLOOKUP(P119,COPY!$A$1:$AC$1000,26,FALSE),0)</f>
        <v>0</v>
      </c>
      <c r="P275" s="448">
        <f>IFERROR(VLOOKUP(P119,COPY!$A$1:$AC$1000,29,FALSE),0)</f>
        <v>0</v>
      </c>
      <c r="S275" s="449">
        <f t="shared" si="27"/>
        <v>0</v>
      </c>
    </row>
    <row r="276" spans="1:19" ht="20.100000000000001" hidden="1" customHeight="1" x14ac:dyDescent="0.25">
      <c r="A276" s="470" t="str">
        <f t="shared" si="25"/>
        <v/>
      </c>
      <c r="B276" s="487"/>
      <c r="F276" s="488"/>
      <c r="G276" s="484"/>
      <c r="I276" s="513"/>
      <c r="J276" s="515">
        <f t="shared" si="26"/>
        <v>0</v>
      </c>
      <c r="K276" s="457"/>
      <c r="L276" s="502" t="str">
        <f t="shared" si="28"/>
        <v xml:space="preserve"> </v>
      </c>
      <c r="M276" s="467"/>
      <c r="N276" s="477">
        <f>IFERROR(VLOOKUP(P120,COPY!$A$1:$AC$1000,26,FALSE),0)</f>
        <v>0</v>
      </c>
      <c r="P276" s="448">
        <f>IFERROR(VLOOKUP(P120,COPY!$A$1:$AC$1000,29,FALSE),0)</f>
        <v>0</v>
      </c>
      <c r="S276" s="449">
        <f t="shared" si="27"/>
        <v>0</v>
      </c>
    </row>
    <row r="277" spans="1:19" ht="20.100000000000001" hidden="1" customHeight="1" x14ac:dyDescent="0.25">
      <c r="A277" s="470" t="str">
        <f t="shared" si="25"/>
        <v/>
      </c>
      <c r="B277" s="487"/>
      <c r="F277" s="488"/>
      <c r="G277" s="484"/>
      <c r="I277" s="513"/>
      <c r="J277" s="515">
        <f t="shared" si="26"/>
        <v>0</v>
      </c>
      <c r="K277" s="457"/>
      <c r="L277" s="502" t="str">
        <f t="shared" si="28"/>
        <v xml:space="preserve"> </v>
      </c>
      <c r="M277" s="467"/>
      <c r="N277" s="477">
        <f>IFERROR(VLOOKUP(P121,COPY!$A$1:$AC$1000,26,FALSE),0)</f>
        <v>0</v>
      </c>
      <c r="P277" s="448">
        <f>IFERROR(VLOOKUP(P121,COPY!$A$1:$AC$1000,29,FALSE),0)</f>
        <v>0</v>
      </c>
      <c r="S277" s="449">
        <f t="shared" si="27"/>
        <v>0</v>
      </c>
    </row>
    <row r="278" spans="1:19" ht="20.100000000000001" hidden="1" customHeight="1" x14ac:dyDescent="0.25">
      <c r="A278" s="470" t="str">
        <f t="shared" si="25"/>
        <v/>
      </c>
      <c r="B278" s="487"/>
      <c r="F278" s="488"/>
      <c r="G278" s="484"/>
      <c r="I278" s="513"/>
      <c r="J278" s="515">
        <f t="shared" si="26"/>
        <v>0</v>
      </c>
      <c r="K278" s="457"/>
      <c r="L278" s="502" t="str">
        <f t="shared" si="28"/>
        <v xml:space="preserve"> </v>
      </c>
      <c r="M278" s="467"/>
      <c r="N278" s="477">
        <f>IFERROR(VLOOKUP(P122,COPY!$A$1:$AC$1000,26,FALSE),0)</f>
        <v>0</v>
      </c>
      <c r="P278" s="448">
        <f>IFERROR(VLOOKUP(P122,COPY!$A$1:$AC$1000,29,FALSE),0)</f>
        <v>0</v>
      </c>
      <c r="S278" s="449">
        <f t="shared" si="27"/>
        <v>0</v>
      </c>
    </row>
    <row r="279" spans="1:19" ht="20.100000000000001" hidden="1" customHeight="1" x14ac:dyDescent="0.25">
      <c r="A279" s="470" t="str">
        <f t="shared" si="25"/>
        <v/>
      </c>
      <c r="B279" s="487"/>
      <c r="F279" s="488"/>
      <c r="G279" s="484"/>
      <c r="I279" s="513"/>
      <c r="J279" s="515">
        <f t="shared" si="26"/>
        <v>0</v>
      </c>
      <c r="K279" s="457"/>
      <c r="L279" s="502" t="str">
        <f t="shared" si="28"/>
        <v xml:space="preserve"> </v>
      </c>
      <c r="M279" s="467"/>
      <c r="N279" s="477">
        <f>IFERROR(VLOOKUP(P123,COPY!$A$1:$AC$1000,26,FALSE),0)</f>
        <v>0</v>
      </c>
      <c r="P279" s="448">
        <f>IFERROR(VLOOKUP(P123,COPY!$A$1:$AC$1000,29,FALSE),0)</f>
        <v>0</v>
      </c>
      <c r="S279" s="449">
        <f t="shared" si="27"/>
        <v>0</v>
      </c>
    </row>
    <row r="280" spans="1:19" ht="20.100000000000001" hidden="1" customHeight="1" x14ac:dyDescent="0.25">
      <c r="A280" s="470" t="str">
        <f t="shared" si="25"/>
        <v/>
      </c>
      <c r="B280" s="487"/>
      <c r="F280" s="488"/>
      <c r="G280" s="484"/>
      <c r="I280" s="513"/>
      <c r="J280" s="515">
        <f t="shared" si="26"/>
        <v>0</v>
      </c>
      <c r="K280" s="457"/>
      <c r="L280" s="502" t="str">
        <f t="shared" si="28"/>
        <v xml:space="preserve"> </v>
      </c>
      <c r="M280" s="467"/>
      <c r="N280" s="477">
        <f>IFERROR(VLOOKUP(P124,COPY!$A$1:$AC$1000,26,FALSE),0)</f>
        <v>0</v>
      </c>
      <c r="P280" s="448">
        <f>IFERROR(VLOOKUP(P124,COPY!$A$1:$AC$1000,29,FALSE),0)</f>
        <v>0</v>
      </c>
      <c r="S280" s="449">
        <f t="shared" si="27"/>
        <v>0</v>
      </c>
    </row>
    <row r="281" spans="1:19" ht="20.100000000000001" hidden="1" customHeight="1" x14ac:dyDescent="0.25">
      <c r="A281" s="470" t="str">
        <f t="shared" si="25"/>
        <v/>
      </c>
      <c r="B281" s="487"/>
      <c r="F281" s="488"/>
      <c r="G281" s="484"/>
      <c r="I281" s="513"/>
      <c r="J281" s="515">
        <f t="shared" si="26"/>
        <v>0</v>
      </c>
      <c r="K281" s="457"/>
      <c r="L281" s="502" t="str">
        <f t="shared" si="28"/>
        <v xml:space="preserve"> </v>
      </c>
      <c r="M281" s="467"/>
      <c r="N281" s="477">
        <f>IFERROR(VLOOKUP(P125,COPY!$A$1:$AC$1000,26,FALSE),0)</f>
        <v>0</v>
      </c>
      <c r="P281" s="448">
        <f>IFERROR(VLOOKUP(P125,COPY!$A$1:$AC$1000,29,FALSE),0)</f>
        <v>0</v>
      </c>
      <c r="S281" s="449">
        <f t="shared" si="27"/>
        <v>0</v>
      </c>
    </row>
    <row r="282" spans="1:19" ht="20.100000000000001" hidden="1" customHeight="1" x14ac:dyDescent="0.25">
      <c r="A282" s="470" t="str">
        <f t="shared" si="25"/>
        <v/>
      </c>
      <c r="B282" s="487"/>
      <c r="F282" s="488"/>
      <c r="G282" s="484"/>
      <c r="I282" s="513"/>
      <c r="J282" s="515">
        <f t="shared" si="26"/>
        <v>0</v>
      </c>
      <c r="K282" s="457"/>
      <c r="L282" s="502" t="str">
        <f t="shared" si="28"/>
        <v xml:space="preserve"> </v>
      </c>
      <c r="M282" s="467"/>
      <c r="N282" s="477">
        <f>IFERROR(VLOOKUP(P126,COPY!$A$1:$AC$1000,26,FALSE),0)</f>
        <v>0</v>
      </c>
      <c r="P282" s="448">
        <f>IFERROR(VLOOKUP(P126,COPY!$A$1:$AC$1000,29,FALSE),0)</f>
        <v>0</v>
      </c>
      <c r="S282" s="449">
        <f t="shared" si="27"/>
        <v>0</v>
      </c>
    </row>
    <row r="283" spans="1:19" ht="20.100000000000001" hidden="1" customHeight="1" x14ac:dyDescent="0.25">
      <c r="A283" s="470" t="str">
        <f t="shared" si="25"/>
        <v/>
      </c>
      <c r="B283" s="487"/>
      <c r="F283" s="488"/>
      <c r="G283" s="484"/>
      <c r="I283" s="513"/>
      <c r="J283" s="515">
        <f t="shared" si="26"/>
        <v>0</v>
      </c>
      <c r="K283" s="457"/>
      <c r="L283" s="502" t="str">
        <f t="shared" si="28"/>
        <v xml:space="preserve"> </v>
      </c>
      <c r="M283" s="467"/>
      <c r="N283" s="477">
        <f>IFERROR(VLOOKUP(P127,COPY!$A$1:$AC$1000,26,FALSE),0)</f>
        <v>0</v>
      </c>
      <c r="P283" s="448">
        <f>IFERROR(VLOOKUP(P127,COPY!$A$1:$AC$1000,29,FALSE),0)</f>
        <v>0</v>
      </c>
      <c r="S283" s="449">
        <f t="shared" si="27"/>
        <v>0</v>
      </c>
    </row>
    <row r="284" spans="1:19" ht="20.100000000000001" hidden="1" customHeight="1" x14ac:dyDescent="0.25">
      <c r="A284" s="470" t="str">
        <f t="shared" si="25"/>
        <v/>
      </c>
      <c r="B284" s="487"/>
      <c r="F284" s="488"/>
      <c r="G284" s="484"/>
      <c r="I284" s="513"/>
      <c r="J284" s="515">
        <f t="shared" si="26"/>
        <v>0</v>
      </c>
      <c r="K284" s="457"/>
      <c r="L284" s="502" t="str">
        <f t="shared" si="28"/>
        <v xml:space="preserve"> </v>
      </c>
      <c r="M284" s="467"/>
      <c r="N284" s="477">
        <f>IFERROR(VLOOKUP(P128,COPY!$A$1:$AC$1000,26,FALSE),0)</f>
        <v>0</v>
      </c>
      <c r="P284" s="448">
        <f>IFERROR(VLOOKUP(P128,COPY!$A$1:$AC$1000,29,FALSE),0)</f>
        <v>0</v>
      </c>
      <c r="S284" s="449">
        <f t="shared" si="27"/>
        <v>0</v>
      </c>
    </row>
    <row r="285" spans="1:19" ht="20.100000000000001" hidden="1" customHeight="1" x14ac:dyDescent="0.25">
      <c r="A285" s="470" t="str">
        <f t="shared" si="25"/>
        <v/>
      </c>
      <c r="B285" s="487"/>
      <c r="F285" s="488"/>
      <c r="G285" s="484"/>
      <c r="I285" s="513"/>
      <c r="J285" s="515">
        <f t="shared" si="26"/>
        <v>0</v>
      </c>
      <c r="K285" s="457"/>
      <c r="L285" s="502" t="str">
        <f t="shared" si="28"/>
        <v xml:space="preserve"> </v>
      </c>
      <c r="M285" s="467"/>
      <c r="N285" s="477">
        <f>IFERROR(VLOOKUP(P129,COPY!$A$1:$AC$1000,26,FALSE),0)</f>
        <v>0</v>
      </c>
      <c r="P285" s="448">
        <f>IFERROR(VLOOKUP(P129,COPY!$A$1:$AC$1000,29,FALSE),0)</f>
        <v>0</v>
      </c>
      <c r="S285" s="449">
        <f t="shared" si="27"/>
        <v>0</v>
      </c>
    </row>
    <row r="286" spans="1:19" ht="20.100000000000001" hidden="1" customHeight="1" x14ac:dyDescent="0.25">
      <c r="A286" s="470" t="str">
        <f t="shared" si="25"/>
        <v/>
      </c>
      <c r="B286" s="487"/>
      <c r="F286" s="488"/>
      <c r="G286" s="484"/>
      <c r="I286" s="513"/>
      <c r="J286" s="515">
        <f t="shared" si="26"/>
        <v>0</v>
      </c>
      <c r="K286" s="457"/>
      <c r="L286" s="502" t="str">
        <f t="shared" si="28"/>
        <v xml:space="preserve"> </v>
      </c>
      <c r="M286" s="467"/>
      <c r="N286" s="477">
        <f>IFERROR(VLOOKUP(P130,COPY!$A$1:$AC$1000,26,FALSE),0)</f>
        <v>0</v>
      </c>
      <c r="P286" s="448">
        <f>IFERROR(VLOOKUP(P130,COPY!$A$1:$AC$1000,29,FALSE),0)</f>
        <v>0</v>
      </c>
      <c r="S286" s="449">
        <f t="shared" si="27"/>
        <v>0</v>
      </c>
    </row>
    <row r="287" spans="1:19" ht="20.100000000000001" hidden="1" customHeight="1" x14ac:dyDescent="0.25">
      <c r="A287" s="470" t="str">
        <f t="shared" si="25"/>
        <v/>
      </c>
      <c r="B287" s="487"/>
      <c r="F287" s="488"/>
      <c r="G287" s="484"/>
      <c r="I287" s="513"/>
      <c r="J287" s="515">
        <f t="shared" si="26"/>
        <v>0</v>
      </c>
      <c r="K287" s="457"/>
      <c r="L287" s="502" t="str">
        <f t="shared" si="28"/>
        <v xml:space="preserve"> </v>
      </c>
      <c r="M287" s="467"/>
      <c r="N287" s="477">
        <f>IFERROR(VLOOKUP(P131,COPY!$A$1:$AC$1000,26,FALSE),0)</f>
        <v>0</v>
      </c>
      <c r="P287" s="448">
        <f>IFERROR(VLOOKUP(P131,COPY!$A$1:$AC$1000,29,FALSE),0)</f>
        <v>0</v>
      </c>
      <c r="S287" s="449">
        <f t="shared" si="27"/>
        <v>0</v>
      </c>
    </row>
    <row r="288" spans="1:19" ht="20.100000000000001" hidden="1" customHeight="1" x14ac:dyDescent="0.25">
      <c r="A288" s="470" t="str">
        <f t="shared" si="25"/>
        <v/>
      </c>
      <c r="B288" s="487"/>
      <c r="F288" s="488"/>
      <c r="G288" s="484"/>
      <c r="I288" s="513"/>
      <c r="J288" s="515">
        <f t="shared" si="26"/>
        <v>0</v>
      </c>
      <c r="K288" s="457"/>
      <c r="L288" s="502" t="str">
        <f t="shared" si="28"/>
        <v xml:space="preserve"> </v>
      </c>
      <c r="M288" s="467"/>
      <c r="N288" s="477">
        <f>IFERROR(VLOOKUP(P132,COPY!$A$1:$AC$1000,26,FALSE),0)</f>
        <v>0</v>
      </c>
      <c r="P288" s="448">
        <f>IFERROR(VLOOKUP(P132,COPY!$A$1:$AC$1000,29,FALSE),0)</f>
        <v>0</v>
      </c>
      <c r="S288" s="449">
        <f t="shared" si="27"/>
        <v>0</v>
      </c>
    </row>
    <row r="289" spans="1:19" ht="20.100000000000001" hidden="1" customHeight="1" x14ac:dyDescent="0.25">
      <c r="A289" s="470" t="str">
        <f t="shared" si="25"/>
        <v/>
      </c>
      <c r="B289" s="487"/>
      <c r="F289" s="488"/>
      <c r="G289" s="484"/>
      <c r="I289" s="513"/>
      <c r="J289" s="515">
        <f t="shared" si="26"/>
        <v>0</v>
      </c>
      <c r="K289" s="457"/>
      <c r="L289" s="502" t="str">
        <f t="shared" si="28"/>
        <v xml:space="preserve"> </v>
      </c>
      <c r="M289" s="467"/>
      <c r="N289" s="477">
        <f>IFERROR(VLOOKUP(P133,COPY!$A$1:$AC$1000,26,FALSE),0)</f>
        <v>0</v>
      </c>
      <c r="P289" s="448">
        <f>IFERROR(VLOOKUP(P133,COPY!$A$1:$AC$1000,29,FALSE),0)</f>
        <v>0</v>
      </c>
      <c r="S289" s="449">
        <f t="shared" si="27"/>
        <v>0</v>
      </c>
    </row>
    <row r="290" spans="1:19" ht="20.100000000000001" hidden="1" customHeight="1" x14ac:dyDescent="0.25">
      <c r="A290" s="470" t="str">
        <f t="shared" si="25"/>
        <v/>
      </c>
      <c r="B290" s="487"/>
      <c r="F290" s="488"/>
      <c r="G290" s="484"/>
      <c r="I290" s="513"/>
      <c r="J290" s="515">
        <f t="shared" si="26"/>
        <v>0</v>
      </c>
      <c r="K290" s="457"/>
      <c r="L290" s="502" t="str">
        <f t="shared" si="28"/>
        <v xml:space="preserve"> </v>
      </c>
      <c r="M290" s="467"/>
      <c r="N290" s="477">
        <f>IFERROR(VLOOKUP(P134,COPY!$A$1:$AC$1000,26,FALSE),0)</f>
        <v>0</v>
      </c>
      <c r="P290" s="448">
        <f>IFERROR(VLOOKUP(P134,COPY!$A$1:$AC$1000,29,FALSE),0)</f>
        <v>0</v>
      </c>
      <c r="S290" s="449">
        <f t="shared" si="27"/>
        <v>0</v>
      </c>
    </row>
    <row r="291" spans="1:19" ht="20.100000000000001" hidden="1" customHeight="1" x14ac:dyDescent="0.25">
      <c r="A291" s="470" t="str">
        <f t="shared" si="25"/>
        <v/>
      </c>
      <c r="B291" s="487"/>
      <c r="F291" s="488"/>
      <c r="G291" s="484"/>
      <c r="I291" s="513"/>
      <c r="J291" s="515">
        <f t="shared" si="26"/>
        <v>0</v>
      </c>
      <c r="K291" s="457"/>
      <c r="L291" s="502" t="str">
        <f t="shared" si="28"/>
        <v xml:space="preserve"> </v>
      </c>
      <c r="M291" s="467"/>
      <c r="N291" s="477">
        <f>IFERROR(VLOOKUP(P135,COPY!$A$1:$AC$1000,26,FALSE),0)</f>
        <v>0</v>
      </c>
      <c r="P291" s="448">
        <f>IFERROR(VLOOKUP(P135,COPY!$A$1:$AC$1000,29,FALSE),0)</f>
        <v>0</v>
      </c>
      <c r="S291" s="449">
        <f t="shared" si="27"/>
        <v>0</v>
      </c>
    </row>
    <row r="292" spans="1:19" ht="20.100000000000001" hidden="1" customHeight="1" x14ac:dyDescent="0.25">
      <c r="A292" s="470" t="str">
        <f t="shared" si="25"/>
        <v/>
      </c>
      <c r="B292" s="487"/>
      <c r="F292" s="488"/>
      <c r="G292" s="484"/>
      <c r="I292" s="513"/>
      <c r="J292" s="515">
        <f t="shared" si="26"/>
        <v>0</v>
      </c>
      <c r="K292" s="457"/>
      <c r="L292" s="502" t="str">
        <f t="shared" si="28"/>
        <v xml:space="preserve"> </v>
      </c>
      <c r="M292" s="467"/>
      <c r="N292" s="477">
        <f>IFERROR(VLOOKUP(P136,COPY!$A$1:$AC$1000,26,FALSE),0)</f>
        <v>0</v>
      </c>
      <c r="P292" s="448">
        <f>IFERROR(VLOOKUP(P136,COPY!$A$1:$AC$1000,29,FALSE),0)</f>
        <v>0</v>
      </c>
      <c r="S292" s="449">
        <f t="shared" si="27"/>
        <v>0</v>
      </c>
    </row>
    <row r="293" spans="1:19" ht="20.100000000000001" hidden="1" customHeight="1" x14ac:dyDescent="0.25">
      <c r="A293" s="470" t="str">
        <f t="shared" si="25"/>
        <v/>
      </c>
      <c r="B293" s="487"/>
      <c r="F293" s="488"/>
      <c r="G293" s="484"/>
      <c r="I293" s="513"/>
      <c r="J293" s="515">
        <f t="shared" si="26"/>
        <v>0</v>
      </c>
      <c r="K293" s="457"/>
      <c r="L293" s="502" t="str">
        <f t="shared" si="28"/>
        <v xml:space="preserve"> </v>
      </c>
      <c r="M293" s="467"/>
      <c r="N293" s="477">
        <f>IFERROR(VLOOKUP(P137,COPY!$A$1:$AC$1000,26,FALSE),0)</f>
        <v>0</v>
      </c>
      <c r="P293" s="448">
        <f>IFERROR(VLOOKUP(P137,COPY!$A$1:$AC$1000,29,FALSE),0)</f>
        <v>0</v>
      </c>
      <c r="S293" s="449">
        <f t="shared" si="27"/>
        <v>0</v>
      </c>
    </row>
    <row r="294" spans="1:19" ht="20.100000000000001" hidden="1" customHeight="1" x14ac:dyDescent="0.25">
      <c r="A294" s="470" t="str">
        <f t="shared" si="25"/>
        <v/>
      </c>
      <c r="B294" s="487"/>
      <c r="F294" s="488"/>
      <c r="G294" s="484"/>
      <c r="I294" s="513"/>
      <c r="J294" s="515">
        <f t="shared" si="26"/>
        <v>0</v>
      </c>
      <c r="K294" s="457"/>
      <c r="L294" s="502" t="str">
        <f t="shared" si="28"/>
        <v xml:space="preserve"> </v>
      </c>
      <c r="M294" s="467"/>
      <c r="N294" s="477">
        <f>IFERROR(VLOOKUP(P138,COPY!$A$1:$AC$1000,26,FALSE),0)</f>
        <v>0</v>
      </c>
      <c r="P294" s="448">
        <f>IFERROR(VLOOKUP(P138,COPY!$A$1:$AC$1000,29,FALSE),0)</f>
        <v>0</v>
      </c>
      <c r="S294" s="449">
        <f t="shared" si="27"/>
        <v>0</v>
      </c>
    </row>
    <row r="295" spans="1:19" ht="20.100000000000001" hidden="1" customHeight="1" x14ac:dyDescent="0.25">
      <c r="A295" s="470" t="str">
        <f t="shared" si="25"/>
        <v/>
      </c>
      <c r="B295" s="487"/>
      <c r="F295" s="488"/>
      <c r="G295" s="484"/>
      <c r="I295" s="513"/>
      <c r="J295" s="515">
        <f t="shared" si="26"/>
        <v>0</v>
      </c>
      <c r="K295" s="457"/>
      <c r="L295" s="502" t="str">
        <f t="shared" si="28"/>
        <v xml:space="preserve"> </v>
      </c>
      <c r="M295" s="467"/>
      <c r="N295" s="477">
        <f>IFERROR(VLOOKUP(P139,COPY!$A$1:$AC$1000,26,FALSE),0)</f>
        <v>0</v>
      </c>
      <c r="P295" s="448">
        <f>IFERROR(VLOOKUP(P139,COPY!$A$1:$AC$1000,29,FALSE),0)</f>
        <v>0</v>
      </c>
      <c r="S295" s="449">
        <f t="shared" si="27"/>
        <v>0</v>
      </c>
    </row>
    <row r="296" spans="1:19" ht="20.100000000000001" hidden="1" customHeight="1" x14ac:dyDescent="0.25">
      <c r="A296" s="470" t="str">
        <f t="shared" si="25"/>
        <v/>
      </c>
      <c r="B296" s="487"/>
      <c r="F296" s="488"/>
      <c r="G296" s="484"/>
      <c r="I296" s="513"/>
      <c r="J296" s="515">
        <f t="shared" si="26"/>
        <v>0</v>
      </c>
      <c r="K296" s="457"/>
      <c r="L296" s="502" t="str">
        <f t="shared" si="28"/>
        <v xml:space="preserve"> </v>
      </c>
      <c r="M296" s="467"/>
      <c r="N296" s="477">
        <f>IFERROR(VLOOKUP(P140,COPY!$A$1:$AC$1000,26,FALSE),0)</f>
        <v>0</v>
      </c>
      <c r="P296" s="448">
        <f>IFERROR(VLOOKUP(P140,COPY!$A$1:$AC$1000,29,FALSE),0)</f>
        <v>0</v>
      </c>
      <c r="S296" s="449">
        <f t="shared" si="27"/>
        <v>0</v>
      </c>
    </row>
    <row r="297" spans="1:19" ht="20.100000000000001" hidden="1" customHeight="1" x14ac:dyDescent="0.25">
      <c r="A297" s="470" t="str">
        <f t="shared" si="25"/>
        <v/>
      </c>
      <c r="B297" s="487"/>
      <c r="F297" s="488"/>
      <c r="G297" s="484"/>
      <c r="I297" s="513"/>
      <c r="J297" s="515">
        <f t="shared" si="26"/>
        <v>0</v>
      </c>
      <c r="K297" s="457"/>
      <c r="L297" s="502" t="str">
        <f t="shared" si="28"/>
        <v xml:space="preserve"> </v>
      </c>
      <c r="M297" s="467"/>
      <c r="N297" s="477">
        <f>IFERROR(VLOOKUP(P141,COPY!$A$1:$AC$1000,26,FALSE),0)</f>
        <v>0</v>
      </c>
      <c r="P297" s="448">
        <f>IFERROR(VLOOKUP(P141,COPY!$A$1:$AC$1000,29,FALSE),0)</f>
        <v>0</v>
      </c>
      <c r="S297" s="449">
        <f t="shared" si="27"/>
        <v>0</v>
      </c>
    </row>
    <row r="298" spans="1:19" ht="20.100000000000001" hidden="1" customHeight="1" x14ac:dyDescent="0.25">
      <c r="A298" s="470" t="str">
        <f t="shared" si="25"/>
        <v/>
      </c>
      <c r="B298" s="487"/>
      <c r="F298" s="488"/>
      <c r="G298" s="484"/>
      <c r="I298" s="513"/>
      <c r="J298" s="515">
        <f t="shared" si="26"/>
        <v>0</v>
      </c>
      <c r="K298" s="457"/>
      <c r="L298" s="502" t="str">
        <f t="shared" si="28"/>
        <v xml:space="preserve"> </v>
      </c>
      <c r="M298" s="467"/>
      <c r="N298" s="477">
        <f>IFERROR(VLOOKUP(P142,COPY!$A$1:$AC$1000,26,FALSE),0)</f>
        <v>0</v>
      </c>
      <c r="P298" s="448">
        <f>IFERROR(VLOOKUP(P142,COPY!$A$1:$AC$1000,29,FALSE),0)</f>
        <v>0</v>
      </c>
      <c r="S298" s="449">
        <f t="shared" si="27"/>
        <v>0</v>
      </c>
    </row>
    <row r="299" spans="1:19" ht="20.100000000000001" hidden="1" customHeight="1" x14ac:dyDescent="0.25">
      <c r="A299" s="470" t="str">
        <f t="shared" si="25"/>
        <v/>
      </c>
      <c r="B299" s="487"/>
      <c r="F299" s="488"/>
      <c r="G299" s="484"/>
      <c r="I299" s="513"/>
      <c r="J299" s="515">
        <f t="shared" si="26"/>
        <v>0</v>
      </c>
      <c r="K299" s="457"/>
      <c r="L299" s="502" t="str">
        <f t="shared" si="28"/>
        <v xml:space="preserve"> </v>
      </c>
      <c r="M299" s="467"/>
      <c r="N299" s="477">
        <f>IFERROR(VLOOKUP(P143,COPY!$A$1:$AC$1000,26,FALSE),0)</f>
        <v>0</v>
      </c>
      <c r="P299" s="448">
        <f>IFERROR(VLOOKUP(P143,COPY!$A$1:$AC$1000,29,FALSE),0)</f>
        <v>0</v>
      </c>
      <c r="S299" s="449">
        <f t="shared" si="27"/>
        <v>0</v>
      </c>
    </row>
    <row r="300" spans="1:19" ht="20.100000000000001" hidden="1" customHeight="1" x14ac:dyDescent="0.25">
      <c r="A300" s="470" t="str">
        <f t="shared" si="25"/>
        <v/>
      </c>
      <c r="B300" s="487"/>
      <c r="F300" s="488"/>
      <c r="G300" s="484"/>
      <c r="I300" s="513"/>
      <c r="J300" s="515">
        <f t="shared" si="26"/>
        <v>0</v>
      </c>
      <c r="K300" s="457"/>
      <c r="L300" s="502" t="str">
        <f t="shared" si="28"/>
        <v xml:space="preserve"> </v>
      </c>
      <c r="M300" s="467"/>
      <c r="N300" s="477">
        <f>IFERROR(VLOOKUP(P144,COPY!$A$1:$AC$1000,26,FALSE),0)</f>
        <v>0</v>
      </c>
      <c r="P300" s="448">
        <f>IFERROR(VLOOKUP(P144,COPY!$A$1:$AC$1000,29,FALSE),0)</f>
        <v>0</v>
      </c>
      <c r="S300" s="449">
        <f t="shared" si="27"/>
        <v>0</v>
      </c>
    </row>
    <row r="301" spans="1:19" ht="20.100000000000001" hidden="1" customHeight="1" x14ac:dyDescent="0.25">
      <c r="A301" s="470" t="str">
        <f t="shared" si="25"/>
        <v/>
      </c>
      <c r="B301" s="487"/>
      <c r="F301" s="488"/>
      <c r="G301" s="484"/>
      <c r="I301" s="513"/>
      <c r="J301" s="515">
        <f t="shared" si="26"/>
        <v>0</v>
      </c>
      <c r="K301" s="457"/>
      <c r="L301" s="502" t="str">
        <f t="shared" si="28"/>
        <v xml:space="preserve"> </v>
      </c>
      <c r="M301" s="467"/>
      <c r="N301" s="477">
        <f>IFERROR(VLOOKUP(P145,COPY!$A$1:$AC$1000,26,FALSE),0)</f>
        <v>0</v>
      </c>
      <c r="P301" s="448">
        <f>IFERROR(VLOOKUP(P145,COPY!$A$1:$AC$1000,29,FALSE),0)</f>
        <v>0</v>
      </c>
      <c r="S301" s="449">
        <f t="shared" si="27"/>
        <v>0</v>
      </c>
    </row>
    <row r="302" spans="1:19" ht="20.100000000000001" hidden="1" customHeight="1" x14ac:dyDescent="0.25">
      <c r="A302" s="470" t="str">
        <f t="shared" si="25"/>
        <v/>
      </c>
      <c r="B302" s="487"/>
      <c r="F302" s="488"/>
      <c r="G302" s="484"/>
      <c r="I302" s="513"/>
      <c r="J302" s="515">
        <f t="shared" si="26"/>
        <v>0</v>
      </c>
      <c r="K302" s="457"/>
      <c r="L302" s="502" t="str">
        <f t="shared" si="28"/>
        <v xml:space="preserve"> </v>
      </c>
      <c r="M302" s="467"/>
      <c r="N302" s="477">
        <f>IFERROR(VLOOKUP(P146,COPY!$A$1:$AC$1000,26,FALSE),0)</f>
        <v>0</v>
      </c>
      <c r="P302" s="448">
        <f>IFERROR(VLOOKUP(P146,COPY!$A$1:$AC$1000,29,FALSE),0)</f>
        <v>0</v>
      </c>
      <c r="S302" s="449">
        <f t="shared" si="27"/>
        <v>0</v>
      </c>
    </row>
    <row r="303" spans="1:19" ht="20.100000000000001" hidden="1" customHeight="1" x14ac:dyDescent="0.25">
      <c r="A303" s="470" t="str">
        <f t="shared" si="25"/>
        <v/>
      </c>
      <c r="B303" s="487"/>
      <c r="F303" s="488"/>
      <c r="G303" s="484"/>
      <c r="I303" s="513"/>
      <c r="J303" s="515">
        <f t="shared" si="26"/>
        <v>0</v>
      </c>
      <c r="K303" s="457"/>
      <c r="L303" s="502" t="str">
        <f t="shared" si="28"/>
        <v xml:space="preserve"> </v>
      </c>
      <c r="M303" s="467"/>
      <c r="N303" s="477">
        <f>IFERROR(VLOOKUP(P147,COPY!$A$1:$AC$1000,26,FALSE),0)</f>
        <v>0</v>
      </c>
      <c r="P303" s="448">
        <f>IFERROR(VLOOKUP(P147,COPY!$A$1:$AC$1000,29,FALSE),0)</f>
        <v>0</v>
      </c>
      <c r="S303" s="449">
        <f t="shared" si="27"/>
        <v>0</v>
      </c>
    </row>
    <row r="304" spans="1:19" ht="20.100000000000001" hidden="1" customHeight="1" x14ac:dyDescent="0.25">
      <c r="A304" s="470" t="str">
        <f t="shared" si="25"/>
        <v/>
      </c>
      <c r="B304" s="487"/>
      <c r="F304" s="488"/>
      <c r="G304" s="484"/>
      <c r="I304" s="513"/>
      <c r="J304" s="515">
        <f t="shared" si="26"/>
        <v>0</v>
      </c>
      <c r="K304" s="457"/>
      <c r="L304" s="502" t="str">
        <f t="shared" si="28"/>
        <v xml:space="preserve"> </v>
      </c>
      <c r="M304" s="467"/>
      <c r="N304" s="477">
        <f>IFERROR(VLOOKUP(P148,COPY!$A$1:$AC$1000,26,FALSE),0)</f>
        <v>0</v>
      </c>
      <c r="P304" s="448">
        <f>IFERROR(VLOOKUP(P148,COPY!$A$1:$AC$1000,29,FALSE),0)</f>
        <v>0</v>
      </c>
      <c r="S304" s="449">
        <f t="shared" si="27"/>
        <v>0</v>
      </c>
    </row>
    <row r="305" spans="1:19" ht="20.100000000000001" hidden="1" customHeight="1" x14ac:dyDescent="0.25">
      <c r="A305" s="470" t="str">
        <f t="shared" si="25"/>
        <v/>
      </c>
      <c r="B305" s="487"/>
      <c r="F305" s="488"/>
      <c r="G305" s="484"/>
      <c r="I305" s="513"/>
      <c r="J305" s="515">
        <f t="shared" si="26"/>
        <v>0</v>
      </c>
      <c r="K305" s="457"/>
      <c r="L305" s="502" t="str">
        <f t="shared" si="28"/>
        <v xml:space="preserve"> </v>
      </c>
      <c r="M305" s="467"/>
      <c r="N305" s="477">
        <f>IFERROR(VLOOKUP(P149,COPY!$A$1:$AC$1000,26,FALSE),0)</f>
        <v>0</v>
      </c>
      <c r="P305" s="448">
        <f>IFERROR(VLOOKUP(P149,COPY!$A$1:$AC$1000,29,FALSE),0)</f>
        <v>0</v>
      </c>
      <c r="S305" s="449">
        <f t="shared" si="27"/>
        <v>0</v>
      </c>
    </row>
    <row r="306" spans="1:19" ht="20.100000000000001" hidden="1" customHeight="1" x14ac:dyDescent="0.25">
      <c r="A306" s="470" t="str">
        <f t="shared" si="25"/>
        <v/>
      </c>
      <c r="B306" s="487"/>
      <c r="F306" s="488"/>
      <c r="G306" s="484"/>
      <c r="I306" s="513"/>
      <c r="J306" s="515">
        <f t="shared" si="26"/>
        <v>0</v>
      </c>
      <c r="K306" s="457"/>
      <c r="L306" s="502" t="str">
        <f t="shared" si="28"/>
        <v xml:space="preserve"> </v>
      </c>
      <c r="M306" s="467"/>
      <c r="N306" s="477">
        <f>IFERROR(VLOOKUP(P150,COPY!$A$1:$AC$1000,26,FALSE),0)</f>
        <v>0</v>
      </c>
      <c r="P306" s="448">
        <f>IFERROR(VLOOKUP(P150,COPY!$A$1:$AC$1000,29,FALSE),0)</f>
        <v>0</v>
      </c>
      <c r="S306" s="449">
        <f t="shared" si="27"/>
        <v>0</v>
      </c>
    </row>
    <row r="307" spans="1:19" ht="20.100000000000001" hidden="1" customHeight="1" x14ac:dyDescent="0.25">
      <c r="A307" s="470" t="str">
        <f t="shared" si="25"/>
        <v/>
      </c>
      <c r="B307" s="487"/>
      <c r="F307" s="488"/>
      <c r="G307" s="484"/>
      <c r="I307" s="513"/>
      <c r="J307" s="515">
        <f t="shared" si="26"/>
        <v>0</v>
      </c>
      <c r="K307" s="457"/>
      <c r="L307" s="502" t="str">
        <f t="shared" si="28"/>
        <v xml:space="preserve"> </v>
      </c>
      <c r="M307" s="467"/>
      <c r="N307" s="477">
        <f>IFERROR(VLOOKUP(P151,COPY!$A$1:$AC$1000,26,FALSE),0)</f>
        <v>0</v>
      </c>
      <c r="P307" s="448">
        <f>IFERROR(VLOOKUP(P151,COPY!$A$1:$AC$1000,29,FALSE),0)</f>
        <v>0</v>
      </c>
      <c r="S307" s="449">
        <f t="shared" si="27"/>
        <v>0</v>
      </c>
    </row>
    <row r="308" spans="1:19" ht="20.100000000000001" hidden="1" customHeight="1" x14ac:dyDescent="0.25">
      <c r="A308" s="470" t="str">
        <f t="shared" si="25"/>
        <v/>
      </c>
      <c r="B308" s="487"/>
      <c r="F308" s="488"/>
      <c r="G308" s="484"/>
      <c r="I308" s="513"/>
      <c r="J308" s="515">
        <f t="shared" si="26"/>
        <v>0</v>
      </c>
      <c r="K308" s="457"/>
      <c r="L308" s="502" t="str">
        <f t="shared" si="28"/>
        <v xml:space="preserve"> </v>
      </c>
      <c r="M308" s="467"/>
      <c r="N308" s="477">
        <f>IFERROR(VLOOKUP(P152,COPY!$A$1:$AC$1000,26,FALSE),0)</f>
        <v>0</v>
      </c>
      <c r="P308" s="448">
        <f>IFERROR(VLOOKUP(P152,COPY!$A$1:$AC$1000,29,FALSE),0)</f>
        <v>0</v>
      </c>
      <c r="S308" s="449">
        <f t="shared" si="27"/>
        <v>0</v>
      </c>
    </row>
    <row r="309" spans="1:19" ht="20.100000000000001" hidden="1" customHeight="1" x14ac:dyDescent="0.25">
      <c r="A309" s="470" t="str">
        <f t="shared" si="25"/>
        <v/>
      </c>
      <c r="B309" s="487"/>
      <c r="F309" s="488"/>
      <c r="G309" s="484"/>
      <c r="I309" s="513"/>
      <c r="J309" s="515">
        <f t="shared" si="26"/>
        <v>0</v>
      </c>
      <c r="K309" s="457"/>
      <c r="L309" s="502" t="str">
        <f t="shared" si="28"/>
        <v xml:space="preserve"> </v>
      </c>
      <c r="M309" s="467"/>
      <c r="N309" s="477">
        <f>IFERROR(VLOOKUP(P153,COPY!$A$1:$AC$1000,26,FALSE),0)</f>
        <v>0</v>
      </c>
      <c r="P309" s="448">
        <f>IFERROR(VLOOKUP(P153,COPY!$A$1:$AC$1000,29,FALSE),0)</f>
        <v>0</v>
      </c>
      <c r="S309" s="449">
        <f t="shared" si="27"/>
        <v>0</v>
      </c>
    </row>
    <row r="310" spans="1:19" ht="20.100000000000001" hidden="1" customHeight="1" x14ac:dyDescent="0.25">
      <c r="A310" s="470" t="str">
        <f t="shared" si="25"/>
        <v/>
      </c>
      <c r="B310" s="487"/>
      <c r="F310" s="488"/>
      <c r="G310" s="484"/>
      <c r="I310" s="513"/>
      <c r="J310" s="515">
        <f t="shared" si="26"/>
        <v>0</v>
      </c>
      <c r="K310" s="457"/>
      <c r="L310" s="502" t="str">
        <f t="shared" si="28"/>
        <v xml:space="preserve"> </v>
      </c>
      <c r="M310" s="467"/>
      <c r="N310" s="477">
        <f>IFERROR(VLOOKUP(P154,COPY!$A$1:$AC$1000,26,FALSE),0)</f>
        <v>0</v>
      </c>
      <c r="P310" s="448">
        <f>IFERROR(VLOOKUP(P154,COPY!$A$1:$AC$1000,29,FALSE),0)</f>
        <v>0</v>
      </c>
      <c r="S310" s="449">
        <f t="shared" si="27"/>
        <v>0</v>
      </c>
    </row>
    <row r="311" spans="1:19" ht="20.100000000000001" hidden="1" customHeight="1" x14ac:dyDescent="0.25">
      <c r="A311" s="470" t="str">
        <f t="shared" si="25"/>
        <v/>
      </c>
      <c r="B311" s="487"/>
      <c r="F311" s="488"/>
      <c r="G311" s="484"/>
      <c r="I311" s="513"/>
      <c r="J311" s="515">
        <f t="shared" si="26"/>
        <v>0</v>
      </c>
      <c r="K311" s="457"/>
      <c r="L311" s="502" t="str">
        <f t="shared" si="28"/>
        <v xml:space="preserve"> </v>
      </c>
      <c r="M311" s="467"/>
      <c r="N311" s="477">
        <f>IFERROR(VLOOKUP(P155,COPY!$A$1:$AC$1000,26,FALSE),0)</f>
        <v>0</v>
      </c>
      <c r="P311" s="448">
        <f>IFERROR(VLOOKUP(P155,COPY!$A$1:$AC$1000,29,FALSE),0)</f>
        <v>0</v>
      </c>
      <c r="S311" s="449">
        <f t="shared" si="27"/>
        <v>0</v>
      </c>
    </row>
    <row r="312" spans="1:19" ht="20.100000000000001" hidden="1" customHeight="1" x14ac:dyDescent="0.25">
      <c r="A312" s="470" t="str">
        <f t="shared" si="25"/>
        <v/>
      </c>
      <c r="B312" s="487"/>
      <c r="F312" s="488"/>
      <c r="G312" s="484"/>
      <c r="I312" s="513"/>
      <c r="J312" s="515">
        <f t="shared" si="26"/>
        <v>0</v>
      </c>
      <c r="K312" s="457"/>
      <c r="L312" s="502" t="str">
        <f t="shared" si="28"/>
        <v xml:space="preserve"> </v>
      </c>
      <c r="M312" s="467"/>
      <c r="N312" s="477">
        <f>IFERROR(VLOOKUP(P156,COPY!$A$1:$AC$1000,26,FALSE),0)</f>
        <v>0</v>
      </c>
      <c r="P312" s="448">
        <f>IFERROR(VLOOKUP(P156,COPY!$A$1:$AC$1000,29,FALSE),0)</f>
        <v>0</v>
      </c>
      <c r="S312" s="449">
        <f t="shared" si="27"/>
        <v>0</v>
      </c>
    </row>
    <row r="313" spans="1:19" ht="20.100000000000001" hidden="1" customHeight="1" x14ac:dyDescent="0.25">
      <c r="A313" s="470" t="str">
        <f t="shared" si="25"/>
        <v/>
      </c>
      <c r="B313" s="487"/>
      <c r="F313" s="488"/>
      <c r="G313" s="484"/>
      <c r="I313" s="513"/>
      <c r="J313" s="515">
        <f t="shared" si="26"/>
        <v>0</v>
      </c>
      <c r="K313" s="457"/>
      <c r="L313" s="502" t="str">
        <f t="shared" si="28"/>
        <v xml:space="preserve"> </v>
      </c>
      <c r="M313" s="467"/>
      <c r="N313" s="477">
        <f>IFERROR(VLOOKUP(P157,COPY!$A$1:$AC$1000,26,FALSE),0)</f>
        <v>0</v>
      </c>
      <c r="P313" s="448">
        <f>IFERROR(VLOOKUP(P157,COPY!$A$1:$AC$1000,29,FALSE),0)</f>
        <v>0</v>
      </c>
      <c r="S313" s="449">
        <f t="shared" si="27"/>
        <v>0</v>
      </c>
    </row>
    <row r="314" spans="1:19" ht="20.100000000000001" hidden="1" customHeight="1" x14ac:dyDescent="0.25">
      <c r="A314" s="470" t="str">
        <f t="shared" si="25"/>
        <v/>
      </c>
      <c r="B314" s="487"/>
      <c r="F314" s="488"/>
      <c r="G314" s="484"/>
      <c r="I314" s="513"/>
      <c r="J314" s="515">
        <f t="shared" si="26"/>
        <v>0</v>
      </c>
      <c r="K314" s="457"/>
      <c r="L314" s="502" t="str">
        <f t="shared" si="28"/>
        <v xml:space="preserve"> </v>
      </c>
      <c r="M314" s="467"/>
      <c r="N314" s="477">
        <f>IFERROR(VLOOKUP(P158,COPY!$A$1:$AC$1000,26,FALSE),0)</f>
        <v>0</v>
      </c>
      <c r="P314" s="448">
        <f>IFERROR(VLOOKUP(P158,COPY!$A$1:$AC$1000,29,FALSE),0)</f>
        <v>0</v>
      </c>
      <c r="S314" s="449">
        <f t="shared" si="27"/>
        <v>0</v>
      </c>
    </row>
    <row r="315" spans="1:19" ht="20.100000000000001" hidden="1" customHeight="1" x14ac:dyDescent="0.25">
      <c r="A315" s="470" t="str">
        <f t="shared" si="25"/>
        <v/>
      </c>
      <c r="B315" s="487"/>
      <c r="F315" s="488"/>
      <c r="G315" s="484"/>
      <c r="I315" s="513"/>
      <c r="J315" s="515">
        <f t="shared" si="26"/>
        <v>0</v>
      </c>
      <c r="K315" s="457"/>
      <c r="L315" s="502" t="str">
        <f t="shared" si="28"/>
        <v xml:space="preserve"> </v>
      </c>
      <c r="M315" s="467"/>
      <c r="N315" s="477">
        <f>IFERROR(VLOOKUP(P159,COPY!$A$1:$AC$1000,26,FALSE),0)</f>
        <v>0</v>
      </c>
      <c r="P315" s="448">
        <f>IFERROR(VLOOKUP(P159,COPY!$A$1:$AC$1000,29,FALSE),0)</f>
        <v>0</v>
      </c>
      <c r="S315" s="449">
        <f t="shared" si="27"/>
        <v>0</v>
      </c>
    </row>
    <row r="316" spans="1:19" ht="20.100000000000001" hidden="1" customHeight="1" x14ac:dyDescent="0.25">
      <c r="A316" s="470" t="str">
        <f t="shared" si="25"/>
        <v/>
      </c>
      <c r="B316" s="487"/>
      <c r="F316" s="488"/>
      <c r="G316" s="484"/>
      <c r="I316" s="513"/>
      <c r="J316" s="515">
        <f t="shared" si="26"/>
        <v>0</v>
      </c>
      <c r="K316" s="457"/>
      <c r="L316" s="502" t="str">
        <f t="shared" si="28"/>
        <v xml:space="preserve"> </v>
      </c>
      <c r="M316" s="467"/>
      <c r="N316" s="477">
        <f>IFERROR(VLOOKUP(P160,COPY!$A$1:$AC$1000,26,FALSE),0)</f>
        <v>0</v>
      </c>
      <c r="P316" s="448">
        <f>IFERROR(VLOOKUP(P160,COPY!$A$1:$AC$1000,29,FALSE),0)</f>
        <v>0</v>
      </c>
      <c r="S316" s="449">
        <f t="shared" si="27"/>
        <v>0</v>
      </c>
    </row>
    <row r="317" spans="1:19" ht="20.100000000000001" hidden="1" customHeight="1" x14ac:dyDescent="0.25">
      <c r="A317" s="470" t="str">
        <f t="shared" ref="A317:A341" si="29">IF(P161="","",P161&amp;"."&amp;ROW()-188)</f>
        <v/>
      </c>
      <c r="B317" s="487"/>
      <c r="F317" s="488"/>
      <c r="G317" s="484"/>
      <c r="I317" s="513"/>
      <c r="J317" s="515">
        <f t="shared" ref="J317:J340" si="30">S317</f>
        <v>0</v>
      </c>
      <c r="K317" s="457"/>
      <c r="L317" s="502" t="str">
        <f t="shared" si="28"/>
        <v xml:space="preserve"> </v>
      </c>
      <c r="M317" s="467"/>
      <c r="N317" s="477">
        <f>IFERROR(VLOOKUP(P161,COPY!$A$1:$AC$1000,26,FALSE),0)</f>
        <v>0</v>
      </c>
      <c r="P317" s="448">
        <f>IFERROR(VLOOKUP(P161,COPY!$A$1:$AC$1000,29,FALSE),0)</f>
        <v>0</v>
      </c>
      <c r="S317" s="449">
        <f t="shared" si="27"/>
        <v>0</v>
      </c>
    </row>
    <row r="318" spans="1:19" ht="20.100000000000001" hidden="1" customHeight="1" x14ac:dyDescent="0.25">
      <c r="A318" s="470" t="str">
        <f t="shared" si="29"/>
        <v/>
      </c>
      <c r="B318" s="487"/>
      <c r="F318" s="488"/>
      <c r="G318" s="484"/>
      <c r="I318" s="513"/>
      <c r="J318" s="515">
        <f t="shared" si="30"/>
        <v>0</v>
      </c>
      <c r="K318" s="457"/>
      <c r="L318" s="502" t="str">
        <f t="shared" si="28"/>
        <v xml:space="preserve"> </v>
      </c>
      <c r="M318" s="467"/>
      <c r="N318" s="477">
        <f>IFERROR(VLOOKUP(P162,COPY!$A$1:$AC$1000,26,FALSE),0)</f>
        <v>0</v>
      </c>
      <c r="P318" s="448">
        <f>IFERROR(VLOOKUP(P162,COPY!$A$1:$AC$1000,29,FALSE),0)</f>
        <v>0</v>
      </c>
      <c r="S318" s="449">
        <f t="shared" ref="S318:S341" si="31">IF(LEFT(P318,6)="Terima",REPLACE(P318,1,6,"Bayar"),P318)</f>
        <v>0</v>
      </c>
    </row>
    <row r="319" spans="1:19" ht="20.100000000000001" hidden="1" customHeight="1" x14ac:dyDescent="0.25">
      <c r="A319" s="470" t="str">
        <f t="shared" si="29"/>
        <v/>
      </c>
      <c r="B319" s="487"/>
      <c r="F319" s="488"/>
      <c r="G319" s="484"/>
      <c r="I319" s="513"/>
      <c r="J319" s="515">
        <f t="shared" si="30"/>
        <v>0</v>
      </c>
      <c r="K319" s="457"/>
      <c r="L319" s="502" t="str">
        <f t="shared" si="28"/>
        <v xml:space="preserve"> </v>
      </c>
      <c r="M319" s="467"/>
      <c r="N319" s="477">
        <f>IFERROR(VLOOKUP(P163,COPY!$A$1:$AC$1000,26,FALSE),0)</f>
        <v>0</v>
      </c>
      <c r="P319" s="448">
        <f>IFERROR(VLOOKUP(P163,COPY!$A$1:$AC$1000,29,FALSE),0)</f>
        <v>0</v>
      </c>
      <c r="S319" s="449">
        <f t="shared" si="31"/>
        <v>0</v>
      </c>
    </row>
    <row r="320" spans="1:19" ht="20.100000000000001" hidden="1" customHeight="1" x14ac:dyDescent="0.25">
      <c r="A320" s="470" t="str">
        <f t="shared" si="29"/>
        <v/>
      </c>
      <c r="B320" s="487"/>
      <c r="F320" s="488"/>
      <c r="G320" s="484"/>
      <c r="I320" s="513"/>
      <c r="J320" s="515">
        <f t="shared" si="30"/>
        <v>0</v>
      </c>
      <c r="K320" s="457"/>
      <c r="L320" s="502" t="str">
        <f t="shared" si="28"/>
        <v xml:space="preserve"> </v>
      </c>
      <c r="M320" s="467"/>
      <c r="N320" s="477">
        <f>IFERROR(VLOOKUP(P164,COPY!$A$1:$AC$1000,26,FALSE),0)</f>
        <v>0</v>
      </c>
      <c r="P320" s="448">
        <f>IFERROR(VLOOKUP(P164,COPY!$A$1:$AC$1000,29,FALSE),0)</f>
        <v>0</v>
      </c>
      <c r="S320" s="449">
        <f t="shared" si="31"/>
        <v>0</v>
      </c>
    </row>
    <row r="321" spans="1:19" ht="20.100000000000001" hidden="1" customHeight="1" x14ac:dyDescent="0.25">
      <c r="A321" s="470" t="str">
        <f t="shared" si="29"/>
        <v/>
      </c>
      <c r="B321" s="487"/>
      <c r="F321" s="488"/>
      <c r="G321" s="484"/>
      <c r="I321" s="513"/>
      <c r="J321" s="515">
        <f t="shared" si="30"/>
        <v>0</v>
      </c>
      <c r="K321" s="457"/>
      <c r="L321" s="502" t="str">
        <f t="shared" si="28"/>
        <v xml:space="preserve"> </v>
      </c>
      <c r="M321" s="467"/>
      <c r="N321" s="477">
        <f>IFERROR(VLOOKUP(P165,COPY!$A$1:$AC$1000,26,FALSE),0)</f>
        <v>0</v>
      </c>
      <c r="P321" s="448">
        <f>IFERROR(VLOOKUP(P165,COPY!$A$1:$AC$1000,29,FALSE),0)</f>
        <v>0</v>
      </c>
      <c r="S321" s="449">
        <f t="shared" si="31"/>
        <v>0</v>
      </c>
    </row>
    <row r="322" spans="1:19" ht="20.100000000000001" hidden="1" customHeight="1" x14ac:dyDescent="0.25">
      <c r="A322" s="470" t="str">
        <f t="shared" si="29"/>
        <v/>
      </c>
      <c r="B322" s="487"/>
      <c r="F322" s="488"/>
      <c r="G322" s="484"/>
      <c r="I322" s="513"/>
      <c r="J322" s="515">
        <f t="shared" si="30"/>
        <v>0</v>
      </c>
      <c r="K322" s="457"/>
      <c r="L322" s="502" t="str">
        <f t="shared" ref="L322:L341" si="32">IF(LEFT(J322,15)="Bayar Pajak PPN",1,IF(LEFT(J322,15)="Bayar Pajak PPH",2,IF(LEFT(J322,21)="Bayar Pajak Final PPH",3," ")))</f>
        <v xml:space="preserve"> </v>
      </c>
      <c r="M322" s="467"/>
      <c r="N322" s="477">
        <f>IFERROR(VLOOKUP(P166,COPY!$A$1:$AC$1000,26,FALSE),0)</f>
        <v>0</v>
      </c>
      <c r="P322" s="448">
        <f>IFERROR(VLOOKUP(P166,COPY!$A$1:$AC$1000,29,FALSE),0)</f>
        <v>0</v>
      </c>
      <c r="S322" s="449">
        <f t="shared" si="31"/>
        <v>0</v>
      </c>
    </row>
    <row r="323" spans="1:19" ht="20.100000000000001" hidden="1" customHeight="1" x14ac:dyDescent="0.25">
      <c r="A323" s="470" t="str">
        <f t="shared" si="29"/>
        <v/>
      </c>
      <c r="B323" s="487"/>
      <c r="F323" s="488"/>
      <c r="G323" s="484"/>
      <c r="I323" s="513"/>
      <c r="J323" s="515">
        <f t="shared" si="30"/>
        <v>0</v>
      </c>
      <c r="K323" s="457"/>
      <c r="L323" s="502" t="str">
        <f t="shared" si="32"/>
        <v xml:space="preserve"> </v>
      </c>
      <c r="M323" s="467"/>
      <c r="N323" s="477">
        <f>IFERROR(VLOOKUP(P167,COPY!$A$1:$AC$1000,26,FALSE),0)</f>
        <v>0</v>
      </c>
      <c r="P323" s="448">
        <f>IFERROR(VLOOKUP(P167,COPY!$A$1:$AC$1000,29,FALSE),0)</f>
        <v>0</v>
      </c>
      <c r="S323" s="449">
        <f t="shared" si="31"/>
        <v>0</v>
      </c>
    </row>
    <row r="324" spans="1:19" ht="20.100000000000001" hidden="1" customHeight="1" x14ac:dyDescent="0.25">
      <c r="A324" s="470" t="str">
        <f t="shared" si="29"/>
        <v/>
      </c>
      <c r="B324" s="487"/>
      <c r="F324" s="488"/>
      <c r="G324" s="484"/>
      <c r="I324" s="513"/>
      <c r="J324" s="515">
        <f t="shared" si="30"/>
        <v>0</v>
      </c>
      <c r="K324" s="457"/>
      <c r="L324" s="502" t="str">
        <f t="shared" si="32"/>
        <v xml:space="preserve"> </v>
      </c>
      <c r="M324" s="467"/>
      <c r="N324" s="477">
        <f>IFERROR(VLOOKUP(P168,COPY!$A$1:$AC$1000,26,FALSE),0)</f>
        <v>0</v>
      </c>
      <c r="P324" s="448">
        <f>IFERROR(VLOOKUP(P168,COPY!$A$1:$AC$1000,29,FALSE),0)</f>
        <v>0</v>
      </c>
      <c r="S324" s="449">
        <f t="shared" si="31"/>
        <v>0</v>
      </c>
    </row>
    <row r="325" spans="1:19" ht="20.100000000000001" hidden="1" customHeight="1" x14ac:dyDescent="0.25">
      <c r="A325" s="470" t="str">
        <f t="shared" si="29"/>
        <v/>
      </c>
      <c r="B325" s="487"/>
      <c r="F325" s="488"/>
      <c r="G325" s="484"/>
      <c r="I325" s="513"/>
      <c r="J325" s="515">
        <f t="shared" si="30"/>
        <v>0</v>
      </c>
      <c r="K325" s="457"/>
      <c r="L325" s="502" t="str">
        <f t="shared" si="32"/>
        <v xml:space="preserve"> </v>
      </c>
      <c r="M325" s="467"/>
      <c r="N325" s="477">
        <f>IFERROR(VLOOKUP(P169,COPY!$A$1:$AC$1000,26,FALSE),0)</f>
        <v>0</v>
      </c>
      <c r="P325" s="448">
        <f>IFERROR(VLOOKUP(P169,COPY!$A$1:$AC$1000,29,FALSE),0)</f>
        <v>0</v>
      </c>
      <c r="S325" s="449">
        <f t="shared" si="31"/>
        <v>0</v>
      </c>
    </row>
    <row r="326" spans="1:19" ht="20.100000000000001" hidden="1" customHeight="1" x14ac:dyDescent="0.25">
      <c r="A326" s="470" t="str">
        <f t="shared" si="29"/>
        <v/>
      </c>
      <c r="B326" s="487"/>
      <c r="F326" s="488"/>
      <c r="G326" s="484"/>
      <c r="I326" s="513"/>
      <c r="J326" s="515">
        <f t="shared" si="30"/>
        <v>0</v>
      </c>
      <c r="K326" s="457"/>
      <c r="L326" s="502" t="str">
        <f t="shared" si="32"/>
        <v xml:space="preserve"> </v>
      </c>
      <c r="M326" s="467"/>
      <c r="N326" s="477">
        <f>IFERROR(VLOOKUP(P170,COPY!$A$1:$AC$1000,26,FALSE),0)</f>
        <v>0</v>
      </c>
      <c r="P326" s="448">
        <f>IFERROR(VLOOKUP(P170,COPY!$A$1:$AC$1000,29,FALSE),0)</f>
        <v>0</v>
      </c>
      <c r="S326" s="449">
        <f t="shared" si="31"/>
        <v>0</v>
      </c>
    </row>
    <row r="327" spans="1:19" ht="20.100000000000001" hidden="1" customHeight="1" x14ac:dyDescent="0.25">
      <c r="A327" s="470" t="str">
        <f t="shared" si="29"/>
        <v/>
      </c>
      <c r="B327" s="487"/>
      <c r="F327" s="488"/>
      <c r="G327" s="484"/>
      <c r="I327" s="513"/>
      <c r="J327" s="515">
        <f t="shared" si="30"/>
        <v>0</v>
      </c>
      <c r="K327" s="457"/>
      <c r="L327" s="502" t="str">
        <f t="shared" si="32"/>
        <v xml:space="preserve"> </v>
      </c>
      <c r="M327" s="467"/>
      <c r="N327" s="477">
        <f>IFERROR(VLOOKUP(P171,COPY!$A$1:$AC$1000,26,FALSE),0)</f>
        <v>0</v>
      </c>
      <c r="P327" s="448">
        <f>IFERROR(VLOOKUP(P171,COPY!$A$1:$AC$1000,29,FALSE),0)</f>
        <v>0</v>
      </c>
      <c r="S327" s="449">
        <f t="shared" si="31"/>
        <v>0</v>
      </c>
    </row>
    <row r="328" spans="1:19" ht="20.100000000000001" hidden="1" customHeight="1" x14ac:dyDescent="0.25">
      <c r="A328" s="470" t="str">
        <f t="shared" si="29"/>
        <v/>
      </c>
      <c r="B328" s="487"/>
      <c r="F328" s="488"/>
      <c r="G328" s="484"/>
      <c r="I328" s="513"/>
      <c r="J328" s="515">
        <f t="shared" si="30"/>
        <v>0</v>
      </c>
      <c r="K328" s="457"/>
      <c r="L328" s="502" t="str">
        <f t="shared" si="32"/>
        <v xml:space="preserve"> </v>
      </c>
      <c r="M328" s="467"/>
      <c r="N328" s="477">
        <f>IFERROR(VLOOKUP(P172,COPY!$A$1:$AC$1000,26,FALSE),0)</f>
        <v>0</v>
      </c>
      <c r="P328" s="448">
        <f>IFERROR(VLOOKUP(P172,COPY!$A$1:$AC$1000,29,FALSE),0)</f>
        <v>0</v>
      </c>
      <c r="S328" s="449">
        <f t="shared" si="31"/>
        <v>0</v>
      </c>
    </row>
    <row r="329" spans="1:19" ht="20.100000000000001" hidden="1" customHeight="1" x14ac:dyDescent="0.25">
      <c r="A329" s="470" t="str">
        <f t="shared" si="29"/>
        <v/>
      </c>
      <c r="B329" s="487"/>
      <c r="F329" s="488"/>
      <c r="G329" s="484"/>
      <c r="I329" s="513"/>
      <c r="J329" s="515">
        <f t="shared" si="30"/>
        <v>0</v>
      </c>
      <c r="K329" s="457"/>
      <c r="L329" s="502" t="str">
        <f t="shared" si="32"/>
        <v xml:space="preserve"> </v>
      </c>
      <c r="M329" s="467"/>
      <c r="N329" s="477">
        <f>IFERROR(VLOOKUP(P173,COPY!$A$1:$AC$1000,26,FALSE),0)</f>
        <v>0</v>
      </c>
      <c r="P329" s="448">
        <f>IFERROR(VLOOKUP(P173,COPY!$A$1:$AC$1000,29,FALSE),0)</f>
        <v>0</v>
      </c>
      <c r="S329" s="449">
        <f t="shared" si="31"/>
        <v>0</v>
      </c>
    </row>
    <row r="330" spans="1:19" ht="20.100000000000001" hidden="1" customHeight="1" x14ac:dyDescent="0.25">
      <c r="A330" s="470" t="str">
        <f t="shared" si="29"/>
        <v/>
      </c>
      <c r="B330" s="487"/>
      <c r="F330" s="488"/>
      <c r="G330" s="484"/>
      <c r="I330" s="513"/>
      <c r="J330" s="515">
        <f t="shared" si="30"/>
        <v>0</v>
      </c>
      <c r="K330" s="457"/>
      <c r="L330" s="502" t="str">
        <f t="shared" si="32"/>
        <v xml:space="preserve"> </v>
      </c>
      <c r="M330" s="467"/>
      <c r="N330" s="477">
        <f>IFERROR(VLOOKUP(P174,COPY!$A$1:$AC$1000,26,FALSE),0)</f>
        <v>0</v>
      </c>
      <c r="P330" s="448">
        <f>IFERROR(VLOOKUP(P174,COPY!$A$1:$AC$1000,29,FALSE),0)</f>
        <v>0</v>
      </c>
      <c r="S330" s="449">
        <f t="shared" si="31"/>
        <v>0</v>
      </c>
    </row>
    <row r="331" spans="1:19" ht="20.100000000000001" hidden="1" customHeight="1" x14ac:dyDescent="0.25">
      <c r="A331" s="470" t="str">
        <f t="shared" si="29"/>
        <v/>
      </c>
      <c r="B331" s="487"/>
      <c r="F331" s="488"/>
      <c r="G331" s="484"/>
      <c r="I331" s="513"/>
      <c r="J331" s="515">
        <f t="shared" si="30"/>
        <v>0</v>
      </c>
      <c r="K331" s="457"/>
      <c r="L331" s="502" t="str">
        <f t="shared" si="32"/>
        <v xml:space="preserve"> </v>
      </c>
      <c r="M331" s="467"/>
      <c r="N331" s="477">
        <f>IFERROR(VLOOKUP(P175,COPY!$A$1:$AC$1000,26,FALSE),0)</f>
        <v>0</v>
      </c>
      <c r="P331" s="448">
        <f>IFERROR(VLOOKUP(P175,COPY!$A$1:$AC$1000,29,FALSE),0)</f>
        <v>0</v>
      </c>
      <c r="S331" s="449">
        <f t="shared" si="31"/>
        <v>0</v>
      </c>
    </row>
    <row r="332" spans="1:19" ht="20.100000000000001" hidden="1" customHeight="1" x14ac:dyDescent="0.25">
      <c r="A332" s="470" t="str">
        <f t="shared" si="29"/>
        <v/>
      </c>
      <c r="B332" s="487"/>
      <c r="F332" s="488"/>
      <c r="G332" s="484"/>
      <c r="I332" s="513"/>
      <c r="J332" s="515">
        <f t="shared" si="30"/>
        <v>0</v>
      </c>
      <c r="K332" s="457"/>
      <c r="L332" s="502" t="str">
        <f t="shared" si="32"/>
        <v xml:space="preserve"> </v>
      </c>
      <c r="M332" s="467"/>
      <c r="N332" s="477">
        <f>IFERROR(VLOOKUP(P176,COPY!$A$1:$AC$1000,26,FALSE),0)</f>
        <v>0</v>
      </c>
      <c r="P332" s="448">
        <f>IFERROR(VLOOKUP(P176,COPY!$A$1:$AC$1000,29,FALSE),0)</f>
        <v>0</v>
      </c>
      <c r="S332" s="449">
        <f t="shared" si="31"/>
        <v>0</v>
      </c>
    </row>
    <row r="333" spans="1:19" ht="20.100000000000001" hidden="1" customHeight="1" x14ac:dyDescent="0.25">
      <c r="A333" s="470" t="str">
        <f t="shared" si="29"/>
        <v/>
      </c>
      <c r="B333" s="487"/>
      <c r="F333" s="488"/>
      <c r="G333" s="484"/>
      <c r="I333" s="513"/>
      <c r="J333" s="515">
        <f t="shared" si="30"/>
        <v>0</v>
      </c>
      <c r="K333" s="457"/>
      <c r="L333" s="502" t="str">
        <f t="shared" si="32"/>
        <v xml:space="preserve"> </v>
      </c>
      <c r="M333" s="467"/>
      <c r="N333" s="477">
        <f>IFERROR(VLOOKUP(P177,COPY!$A$1:$AC$1000,26,FALSE),0)</f>
        <v>0</v>
      </c>
      <c r="P333" s="448">
        <f>IFERROR(VLOOKUP(P177,COPY!$A$1:$AC$1000,29,FALSE),0)</f>
        <v>0</v>
      </c>
      <c r="S333" s="449">
        <f t="shared" si="31"/>
        <v>0</v>
      </c>
    </row>
    <row r="334" spans="1:19" ht="20.100000000000001" hidden="1" customHeight="1" x14ac:dyDescent="0.25">
      <c r="A334" s="470" t="str">
        <f t="shared" si="29"/>
        <v/>
      </c>
      <c r="B334" s="487"/>
      <c r="F334" s="488"/>
      <c r="G334" s="484"/>
      <c r="I334" s="513"/>
      <c r="J334" s="515">
        <f t="shared" si="30"/>
        <v>0</v>
      </c>
      <c r="K334" s="457"/>
      <c r="L334" s="502" t="str">
        <f t="shared" si="32"/>
        <v xml:space="preserve"> </v>
      </c>
      <c r="M334" s="467"/>
      <c r="N334" s="477">
        <f>IFERROR(VLOOKUP(P178,COPY!$A$1:$AC$1000,26,FALSE),0)</f>
        <v>0</v>
      </c>
      <c r="P334" s="448">
        <f>IFERROR(VLOOKUP(P178,COPY!$A$1:$AC$1000,29,FALSE),0)</f>
        <v>0</v>
      </c>
      <c r="S334" s="449">
        <f t="shared" si="31"/>
        <v>0</v>
      </c>
    </row>
    <row r="335" spans="1:19" ht="20.100000000000001" hidden="1" customHeight="1" x14ac:dyDescent="0.25">
      <c r="A335" s="470" t="str">
        <f t="shared" si="29"/>
        <v/>
      </c>
      <c r="B335" s="487"/>
      <c r="F335" s="488"/>
      <c r="G335" s="484"/>
      <c r="I335" s="513"/>
      <c r="J335" s="515">
        <f t="shared" si="30"/>
        <v>0</v>
      </c>
      <c r="K335" s="457"/>
      <c r="L335" s="502" t="str">
        <f t="shared" si="32"/>
        <v xml:space="preserve"> </v>
      </c>
      <c r="M335" s="467"/>
      <c r="N335" s="477">
        <f>IFERROR(VLOOKUP(P179,COPY!$A$1:$AC$1000,26,FALSE),0)</f>
        <v>0</v>
      </c>
      <c r="P335" s="448">
        <f>IFERROR(VLOOKUP(P179,COPY!$A$1:$AC$1000,29,FALSE),0)</f>
        <v>0</v>
      </c>
      <c r="S335" s="449">
        <f t="shared" si="31"/>
        <v>0</v>
      </c>
    </row>
    <row r="336" spans="1:19" ht="20.100000000000001" hidden="1" customHeight="1" x14ac:dyDescent="0.25">
      <c r="A336" s="470" t="str">
        <f t="shared" si="29"/>
        <v/>
      </c>
      <c r="B336" s="487"/>
      <c r="F336" s="488"/>
      <c r="G336" s="484"/>
      <c r="I336" s="513"/>
      <c r="J336" s="515">
        <f t="shared" si="30"/>
        <v>0</v>
      </c>
      <c r="K336" s="457"/>
      <c r="L336" s="502" t="str">
        <f t="shared" si="32"/>
        <v xml:space="preserve"> </v>
      </c>
      <c r="M336" s="467"/>
      <c r="N336" s="477">
        <f>IFERROR(VLOOKUP(P180,COPY!$A$1:$AC$1000,26,FALSE),0)</f>
        <v>0</v>
      </c>
      <c r="P336" s="448">
        <f>IFERROR(VLOOKUP(P180,COPY!$A$1:$AC$1000,29,FALSE),0)</f>
        <v>0</v>
      </c>
      <c r="S336" s="449">
        <f t="shared" si="31"/>
        <v>0</v>
      </c>
    </row>
    <row r="337" spans="1:19" ht="20.100000000000001" hidden="1" customHeight="1" x14ac:dyDescent="0.25">
      <c r="A337" s="470" t="str">
        <f t="shared" si="29"/>
        <v/>
      </c>
      <c r="B337" s="487"/>
      <c r="F337" s="488"/>
      <c r="G337" s="484"/>
      <c r="I337" s="513"/>
      <c r="J337" s="515">
        <f t="shared" si="30"/>
        <v>0</v>
      </c>
      <c r="K337" s="457"/>
      <c r="L337" s="502" t="str">
        <f t="shared" si="32"/>
        <v xml:space="preserve"> </v>
      </c>
      <c r="M337" s="467"/>
      <c r="N337" s="477">
        <f>IFERROR(VLOOKUP(P181,COPY!$A$1:$AC$1000,26,FALSE),0)</f>
        <v>0</v>
      </c>
      <c r="P337" s="448">
        <f>IFERROR(VLOOKUP(P181,COPY!$A$1:$AC$1000,29,FALSE),0)</f>
        <v>0</v>
      </c>
      <c r="S337" s="449">
        <f t="shared" si="31"/>
        <v>0</v>
      </c>
    </row>
    <row r="338" spans="1:19" ht="20.100000000000001" hidden="1" customHeight="1" x14ac:dyDescent="0.25">
      <c r="A338" s="470" t="str">
        <f t="shared" si="29"/>
        <v/>
      </c>
      <c r="B338" s="487"/>
      <c r="F338" s="488"/>
      <c r="G338" s="484"/>
      <c r="I338" s="513"/>
      <c r="J338" s="515">
        <f t="shared" si="30"/>
        <v>0</v>
      </c>
      <c r="K338" s="457"/>
      <c r="L338" s="502" t="str">
        <f t="shared" si="32"/>
        <v xml:space="preserve"> </v>
      </c>
      <c r="M338" s="467"/>
      <c r="N338" s="477">
        <f>IFERROR(VLOOKUP(P182,COPY!$A$1:$AC$1000,26,FALSE),0)</f>
        <v>0</v>
      </c>
      <c r="P338" s="448">
        <f>IFERROR(VLOOKUP(P182,COPY!$A$1:$AC$1000,29,FALSE),0)</f>
        <v>0</v>
      </c>
      <c r="S338" s="449">
        <f t="shared" si="31"/>
        <v>0</v>
      </c>
    </row>
    <row r="339" spans="1:19" ht="20.100000000000001" hidden="1" customHeight="1" x14ac:dyDescent="0.25">
      <c r="A339" s="470" t="str">
        <f t="shared" si="29"/>
        <v/>
      </c>
      <c r="B339" s="487"/>
      <c r="F339" s="488"/>
      <c r="G339" s="484"/>
      <c r="I339" s="513"/>
      <c r="J339" s="515">
        <f t="shared" si="30"/>
        <v>0</v>
      </c>
      <c r="K339" s="457"/>
      <c r="L339" s="502" t="str">
        <f t="shared" si="32"/>
        <v xml:space="preserve"> </v>
      </c>
      <c r="M339" s="467"/>
      <c r="N339" s="477">
        <f>IFERROR(VLOOKUP(P183,COPY!$A$1:$AC$1000,26,FALSE),0)</f>
        <v>0</v>
      </c>
      <c r="P339" s="448">
        <f>IFERROR(VLOOKUP(P183,COPY!$A$1:$AC$1000,29,FALSE),0)</f>
        <v>0</v>
      </c>
      <c r="S339" s="449">
        <f t="shared" si="31"/>
        <v>0</v>
      </c>
    </row>
    <row r="340" spans="1:19" ht="20.100000000000001" hidden="1" customHeight="1" x14ac:dyDescent="0.25">
      <c r="A340" s="470" t="str">
        <f t="shared" si="29"/>
        <v/>
      </c>
      <c r="B340" s="487"/>
      <c r="F340" s="488"/>
      <c r="G340" s="484"/>
      <c r="I340" s="513"/>
      <c r="J340" s="515">
        <f t="shared" si="30"/>
        <v>0</v>
      </c>
      <c r="K340" s="457"/>
      <c r="L340" s="502" t="str">
        <f t="shared" si="32"/>
        <v xml:space="preserve"> </v>
      </c>
      <c r="M340" s="467"/>
      <c r="N340" s="477">
        <f>IFERROR(VLOOKUP(P184,COPY!$A$1:$AC$1000,26,FALSE),0)</f>
        <v>0</v>
      </c>
      <c r="P340" s="448">
        <f>IFERROR(VLOOKUP(P184,COPY!$A$1:$AC$1000,29,FALSE),0)</f>
        <v>0</v>
      </c>
      <c r="S340" s="449">
        <f t="shared" si="31"/>
        <v>0</v>
      </c>
    </row>
    <row r="341" spans="1:19" ht="20.100000000000001" hidden="1" customHeight="1" thickBot="1" x14ac:dyDescent="0.3">
      <c r="A341" s="470" t="str">
        <f t="shared" si="29"/>
        <v/>
      </c>
      <c r="B341" s="487"/>
      <c r="F341" s="488"/>
      <c r="G341" s="484"/>
      <c r="I341" s="513"/>
      <c r="J341" s="515">
        <f>S341</f>
        <v>0</v>
      </c>
      <c r="K341" s="457"/>
      <c r="L341" s="502" t="str">
        <f t="shared" si="32"/>
        <v xml:space="preserve"> </v>
      </c>
      <c r="M341" s="467"/>
      <c r="N341" s="477">
        <f>IFERROR(VLOOKUP(P185,COPY!$A$1:$AC$1000,26,FALSE),0)</f>
        <v>0</v>
      </c>
      <c r="P341" s="448">
        <f>IFERROR(VLOOKUP(P185,COPY!$A$1:$AC$1000,29,FALSE),0)</f>
        <v>0</v>
      </c>
      <c r="S341" s="449">
        <f t="shared" si="31"/>
        <v>0</v>
      </c>
    </row>
    <row r="342" spans="1:19" ht="20.100000000000001" customHeight="1" thickBot="1" x14ac:dyDescent="0.3">
      <c r="B342" s="484"/>
      <c r="F342" s="488"/>
      <c r="G342" s="484"/>
      <c r="I342" s="513"/>
      <c r="J342" s="506"/>
      <c r="K342" s="425"/>
      <c r="L342" s="503" t="str">
        <f>IF(LEFT(J342,15)="Bayar Pajak PPN",1,IF(LEFT(J342,15)="Bayar Pajak PPH",2,IF(LEFT(J342,21)="Bayar Pajak Final PPH",3," ")))</f>
        <v xml:space="preserve"> </v>
      </c>
      <c r="M342" s="489"/>
      <c r="N342" s="490">
        <f>IFERROR(VLOOKUP(P186,COPY!$A$1:$AC$1000,26,FALSE),0)</f>
        <v>0</v>
      </c>
    </row>
    <row r="343" spans="1:19" ht="20.100000000000001" customHeight="1" thickBot="1" x14ac:dyDescent="0.3">
      <c r="B343" s="491"/>
      <c r="C343" s="492" t="s">
        <v>46</v>
      </c>
      <c r="D343" s="493"/>
      <c r="E343" s="493"/>
      <c r="F343" s="494">
        <f>SUM(F31:F342)</f>
        <v>165490</v>
      </c>
      <c r="G343" s="495"/>
      <c r="H343" s="493"/>
      <c r="I343" s="514" t="s">
        <v>47</v>
      </c>
      <c r="J343" s="496"/>
      <c r="K343" s="493"/>
      <c r="L343" s="496"/>
      <c r="M343" s="496"/>
      <c r="N343" s="497">
        <f>SUM(N33:N342)</f>
        <v>0</v>
      </c>
    </row>
    <row r="345" spans="1:19" ht="20.100000000000001" customHeight="1" x14ac:dyDescent="0.25">
      <c r="B345" s="253"/>
      <c r="C345" s="253" t="str">
        <f>"Pada hari ini : "&amp;TEXT(M353,"dddd")&amp;" tanggal "&amp;TEXT(M353,"dd mmmm yyyy")&amp;"  Buku Kas Umum ditutup dengan keadaan/posisi buku sebagai berikut:"</f>
        <v>Pada hari ini : Rabu tanggal 31 Desember 2025  Buku Kas Umum ditutup dengan keadaan/posisi buku sebagai berikut:</v>
      </c>
      <c r="F345" s="253"/>
      <c r="G345" s="253"/>
      <c r="H345" s="422"/>
      <c r="M345" s="253"/>
    </row>
    <row r="346" spans="1:19" ht="20.100000000000001" customHeight="1" x14ac:dyDescent="0.25">
      <c r="B346" s="253"/>
      <c r="C346" s="253" t="s">
        <v>48</v>
      </c>
      <c r="F346" s="423"/>
      <c r="G346" s="423"/>
      <c r="H346" s="422"/>
      <c r="K346" s="424" t="s">
        <v>50</v>
      </c>
      <c r="L346" s="489"/>
      <c r="M346" s="426"/>
      <c r="N346" s="498"/>
    </row>
    <row r="347" spans="1:19" ht="20.100000000000001" customHeight="1" x14ac:dyDescent="0.25">
      <c r="B347" s="253"/>
      <c r="C347" s="253" t="s">
        <v>51</v>
      </c>
      <c r="E347" s="427" t="s">
        <v>52</v>
      </c>
      <c r="F347" s="428">
        <f>'BUKU BANK'!I153</f>
        <v>0</v>
      </c>
      <c r="G347" s="423"/>
      <c r="H347" s="422"/>
      <c r="K347" s="429" t="s">
        <v>53</v>
      </c>
      <c r="M347" s="430"/>
      <c r="N347" s="449"/>
    </row>
    <row r="348" spans="1:19" ht="20.100000000000001" customHeight="1" x14ac:dyDescent="0.25">
      <c r="B348" s="253"/>
      <c r="C348" s="427"/>
      <c r="E348" s="427" t="s">
        <v>54</v>
      </c>
      <c r="F348" s="431">
        <f>F343-N343</f>
        <v>165490</v>
      </c>
      <c r="G348" s="423"/>
      <c r="H348" s="422"/>
      <c r="K348" s="432" t="s">
        <v>512</v>
      </c>
      <c r="M348" s="433"/>
      <c r="N348" s="434" t="s">
        <v>55</v>
      </c>
    </row>
    <row r="349" spans="1:19" ht="20.100000000000001" customHeight="1" x14ac:dyDescent="0.25">
      <c r="B349" s="253"/>
      <c r="C349" s="435"/>
      <c r="E349" s="435" t="s">
        <v>2</v>
      </c>
      <c r="F349" s="436">
        <f>SUM(F347:F348)</f>
        <v>165490</v>
      </c>
      <c r="G349" s="437"/>
      <c r="H349" s="422"/>
      <c r="K349" s="432" t="s">
        <v>513</v>
      </c>
      <c r="M349" s="433"/>
      <c r="N349" s="434" t="s">
        <v>56</v>
      </c>
    </row>
    <row r="350" spans="1:19" ht="20.100000000000001" customHeight="1" x14ac:dyDescent="0.25">
      <c r="B350" s="253"/>
      <c r="F350" s="253"/>
      <c r="G350" s="253"/>
      <c r="H350" s="422"/>
      <c r="K350" s="432" t="s">
        <v>514</v>
      </c>
      <c r="M350" s="435"/>
      <c r="N350" s="438" t="s">
        <v>57</v>
      </c>
    </row>
    <row r="351" spans="1:19" ht="20.100000000000001" customHeight="1" x14ac:dyDescent="0.25">
      <c r="B351" s="253"/>
      <c r="F351" s="439"/>
      <c r="G351" s="253"/>
      <c r="H351" s="422"/>
      <c r="K351" s="440" t="s">
        <v>515</v>
      </c>
      <c r="L351" s="417"/>
      <c r="M351" s="441"/>
      <c r="N351" s="442" t="s">
        <v>58</v>
      </c>
    </row>
    <row r="352" spans="1:19" ht="20.100000000000001" customHeight="1" x14ac:dyDescent="0.25">
      <c r="B352" s="253"/>
      <c r="F352" s="439"/>
      <c r="G352" s="253"/>
      <c r="H352" s="422"/>
      <c r="M352" s="253"/>
    </row>
    <row r="353" spans="2:14" ht="20.100000000000001" customHeight="1" x14ac:dyDescent="0.25">
      <c r="B353" s="253"/>
      <c r="F353" s="439"/>
      <c r="G353" s="253"/>
      <c r="H353" s="439"/>
      <c r="K353" s="688" t="str">
        <f>$E$4</f>
        <v>NGANTANG</v>
      </c>
      <c r="L353" s="688"/>
      <c r="M353" s="689">
        <f>M26</f>
        <v>46022</v>
      </c>
      <c r="N353" s="689"/>
    </row>
    <row r="354" spans="2:14" ht="20.100000000000001" customHeight="1" x14ac:dyDescent="0.25">
      <c r="B354" s="253"/>
      <c r="C354" s="253" t="s">
        <v>43</v>
      </c>
      <c r="G354" s="439"/>
      <c r="H354" s="439" t="s">
        <v>44</v>
      </c>
      <c r="J354" s="507"/>
      <c r="L354" s="254" t="s">
        <v>215</v>
      </c>
      <c r="M354" s="253"/>
    </row>
    <row r="355" spans="2:14" ht="20.100000000000001" customHeight="1" x14ac:dyDescent="0.25">
      <c r="B355" s="253"/>
      <c r="C355" s="253" t="str">
        <f>"Kepala Sekolah "&amp;$E$3</f>
        <v>Kepala Sekolah SDN 1 SIDODADI</v>
      </c>
      <c r="D355" s="443"/>
      <c r="G355" s="439"/>
      <c r="H355" s="439" t="s">
        <v>45</v>
      </c>
      <c r="L355" s="254" t="s">
        <v>216</v>
      </c>
      <c r="M355" s="253"/>
    </row>
    <row r="356" spans="2:14" ht="20.100000000000001" customHeight="1" x14ac:dyDescent="0.25">
      <c r="B356" s="253"/>
      <c r="G356" s="439"/>
      <c r="H356" s="439"/>
      <c r="J356" s="508"/>
      <c r="K356" s="444"/>
      <c r="L356" s="254"/>
      <c r="M356" s="253"/>
    </row>
    <row r="357" spans="2:14" ht="20.100000000000001" customHeight="1" x14ac:dyDescent="0.25">
      <c r="B357" s="253"/>
      <c r="G357" s="439"/>
      <c r="H357" s="439"/>
      <c r="J357" s="508"/>
      <c r="K357" s="444"/>
      <c r="L357" s="254"/>
      <c r="M357" s="253"/>
    </row>
    <row r="358" spans="2:14" ht="20.100000000000001" customHeight="1" x14ac:dyDescent="0.25">
      <c r="B358" s="253"/>
      <c r="G358" s="439"/>
      <c r="H358" s="439"/>
      <c r="L358" s="254"/>
      <c r="M358" s="430"/>
    </row>
    <row r="359" spans="2:14" ht="20.100000000000001" customHeight="1" x14ac:dyDescent="0.25">
      <c r="B359" s="253"/>
      <c r="G359" s="439"/>
      <c r="H359" s="439"/>
      <c r="I359" s="512"/>
      <c r="L359" s="254"/>
      <c r="M359" s="430"/>
    </row>
    <row r="360" spans="2:14" ht="20.100000000000001" customHeight="1" x14ac:dyDescent="0.25">
      <c r="B360" s="253"/>
      <c r="C360" s="443" t="str">
        <f>$E$8</f>
        <v>MELIA FITRIANI, S.Pd.SD</v>
      </c>
      <c r="G360" s="445"/>
      <c r="H360" s="445" t="str">
        <f>$E$10</f>
        <v>HARTATIK</v>
      </c>
      <c r="L360" s="516" t="str">
        <f>$E$12</f>
        <v>ARIF NUR UDIN, S.Pd.SD</v>
      </c>
      <c r="M360" s="439"/>
    </row>
    <row r="361" spans="2:14" ht="20.100000000000001" customHeight="1" x14ac:dyDescent="0.25">
      <c r="B361" s="253"/>
      <c r="C361" s="253" t="str">
        <f>$E$9</f>
        <v>NIP. 19850619 200904 2 000</v>
      </c>
      <c r="G361" s="439"/>
      <c r="H361" s="439">
        <f>$E$11</f>
        <v>0</v>
      </c>
      <c r="L361" s="254" t="str">
        <f>$E$13</f>
        <v>NIP. 19840719 200903 1 002</v>
      </c>
      <c r="M361" s="439"/>
    </row>
  </sheetData>
  <mergeCells count="16">
    <mergeCell ref="D26:F27"/>
    <mergeCell ref="K353:L353"/>
    <mergeCell ref="M353:N353"/>
    <mergeCell ref="D21:K21"/>
    <mergeCell ref="D22:K22"/>
    <mergeCell ref="M25:N25"/>
    <mergeCell ref="M26:N26"/>
    <mergeCell ref="C30:E30"/>
    <mergeCell ref="H30:K30"/>
    <mergeCell ref="E1:E2"/>
    <mergeCell ref="V16:V17"/>
    <mergeCell ref="W16:AA16"/>
    <mergeCell ref="AB16:AB17"/>
    <mergeCell ref="AC16:AC17"/>
    <mergeCell ref="W17:X17"/>
    <mergeCell ref="Y17:Z17"/>
  </mergeCells>
  <conditionalFormatting sqref="B30:N30">
    <cfRule type="expression" dxfId="292" priority="1">
      <formula>$E$1=7</formula>
    </cfRule>
    <cfRule type="expression" dxfId="291" priority="2">
      <formula>$E$1=6</formula>
    </cfRule>
    <cfRule type="expression" dxfId="290" priority="3">
      <formula>$E$1=5</formula>
    </cfRule>
    <cfRule type="expression" dxfId="289" priority="4">
      <formula>$E$1=4</formula>
    </cfRule>
    <cfRule type="expression" dxfId="288" priority="5">
      <formula>$E$1=3</formula>
    </cfRule>
    <cfRule type="expression" dxfId="287" priority="6">
      <formula>$E$1=2</formula>
    </cfRule>
    <cfRule type="expression" dxfId="286" priority="7">
      <formula>$E$1=1</formula>
    </cfRule>
  </conditionalFormatting>
  <pageMargins left="0.31496062992125984" right="0.31496062992125984" top="0.98425196850393704" bottom="0.39370078740157483" header="0.31496062992125984" footer="0.31496062992125984"/>
  <pageSetup paperSize="9" scale="72" fitToHeight="0" orientation="landscape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BF2E-3405-4EFB-8643-08B8FAD5D3C1}">
  <sheetPr codeName="Sheet18">
    <tabColor rgb="FFFFC000"/>
    <pageSetUpPr autoPageBreaks="0" fitToPage="1"/>
  </sheetPr>
  <dimension ref="A1:AH334"/>
  <sheetViews>
    <sheetView showZeros="0" view="pageBreakPreview" topLeftCell="A4" zoomScale="85" zoomScaleNormal="100" zoomScaleSheetLayoutView="85" workbookViewId="0">
      <selection activeCell="N102" sqref="N102"/>
    </sheetView>
  </sheetViews>
  <sheetFormatPr defaultColWidth="9.140625" defaultRowHeight="12" x14ac:dyDescent="0.2"/>
  <cols>
    <col min="1" max="1" width="9.42578125" style="279" bestFit="1" customWidth="1"/>
    <col min="2" max="2" width="15.42578125" style="282" customWidth="1"/>
    <col min="3" max="3" width="8.85546875" style="288" customWidth="1"/>
    <col min="4" max="4" width="14.7109375" style="279" customWidth="1"/>
    <col min="5" max="5" width="8.42578125" style="283" customWidth="1"/>
    <col min="6" max="6" width="9.7109375" style="279" customWidth="1"/>
    <col min="7" max="7" width="46.7109375" style="279" bestFit="1" customWidth="1"/>
    <col min="8" max="8" width="2.7109375" style="279" customWidth="1"/>
    <col min="9" max="9" width="20.7109375" style="284" customWidth="1"/>
    <col min="10" max="10" width="20.7109375" style="285" customWidth="1"/>
    <col min="11" max="11" width="20.140625" style="286" customWidth="1"/>
    <col min="12" max="12" width="20.140625" style="287" customWidth="1"/>
    <col min="13" max="13" width="20.140625" style="278" customWidth="1"/>
    <col min="14" max="14" width="9.140625" style="279"/>
    <col min="15" max="15" width="27.5703125" style="279" bestFit="1" customWidth="1"/>
    <col min="16" max="16" width="22.42578125" style="280" bestFit="1" customWidth="1"/>
    <col min="17" max="17" width="27.140625" style="281" customWidth="1"/>
    <col min="18" max="18" width="9.28515625" style="279" bestFit="1" customWidth="1"/>
    <col min="19" max="16384" width="9.140625" style="279"/>
  </cols>
  <sheetData>
    <row r="1" spans="1:34" s="391" customFormat="1" ht="20.25" x14ac:dyDescent="0.25">
      <c r="B1" s="397"/>
      <c r="C1" s="693" t="s">
        <v>82</v>
      </c>
      <c r="D1" s="693"/>
      <c r="E1" s="693"/>
      <c r="F1" s="693"/>
      <c r="G1" s="693"/>
      <c r="H1" s="693"/>
      <c r="I1" s="693"/>
      <c r="J1" s="693"/>
      <c r="K1" s="693"/>
      <c r="L1" s="693"/>
      <c r="M1" s="588"/>
      <c r="P1" s="589"/>
      <c r="Q1" s="590"/>
      <c r="X1" s="394"/>
    </row>
    <row r="2" spans="1:34" s="391" customFormat="1" ht="18" x14ac:dyDescent="0.25">
      <c r="B2" s="398">
        <f>'BKU 1'!$B$22</f>
        <v>0</v>
      </c>
      <c r="C2" s="694" t="str">
        <f>'BKU 1'!$D$22</f>
        <v>PEMBANGUNAN TOILET BESERTA SANITASINYA</v>
      </c>
      <c r="D2" s="694"/>
      <c r="E2" s="694"/>
      <c r="F2" s="694"/>
      <c r="G2" s="694"/>
      <c r="H2" s="694"/>
      <c r="I2" s="694"/>
      <c r="J2" s="694"/>
      <c r="K2" s="694"/>
      <c r="L2" s="694"/>
      <c r="M2" s="588"/>
      <c r="P2" s="589"/>
      <c r="Q2" s="590"/>
    </row>
    <row r="3" spans="1:34" s="391" customFormat="1" ht="16.5" thickBot="1" x14ac:dyDescent="0.3">
      <c r="B3" s="591"/>
      <c r="C3" s="393"/>
      <c r="E3" s="395"/>
      <c r="I3" s="592"/>
      <c r="J3" s="593"/>
      <c r="K3" s="594"/>
      <c r="L3" s="595"/>
      <c r="M3" s="588"/>
      <c r="O3" s="391" t="s">
        <v>227</v>
      </c>
      <c r="P3" s="589" t="e">
        <f>COPY!AE2</f>
        <v>#REF!</v>
      </c>
      <c r="Q3" s="590">
        <f>COPY!AE3</f>
        <v>44468</v>
      </c>
    </row>
    <row r="4" spans="1:34" s="391" customFormat="1" ht="15.75" x14ac:dyDescent="0.25">
      <c r="B4" s="596" t="s">
        <v>60</v>
      </c>
      <c r="C4" s="393" t="s">
        <v>49</v>
      </c>
      <c r="D4" s="393">
        <v>4</v>
      </c>
      <c r="E4" s="391">
        <f>IFERROR(VLOOKUP(D4,'Rekap Gaji'!$B$12:$P$24,14,FALSE),"-")</f>
        <v>0</v>
      </c>
      <c r="F4" s="597"/>
      <c r="G4" s="392"/>
      <c r="I4" s="395"/>
      <c r="J4" s="593"/>
      <c r="K4" s="594"/>
      <c r="L4" s="595"/>
      <c r="M4" s="588"/>
      <c r="O4" s="391" t="s">
        <v>430</v>
      </c>
      <c r="P4" s="589" t="e">
        <f>COPY!AF2</f>
        <v>#REF!</v>
      </c>
      <c r="Q4" s="590">
        <f>COPY!AF3</f>
        <v>44524</v>
      </c>
      <c r="AA4" s="690" t="s">
        <v>17</v>
      </c>
      <c r="AB4" s="682" t="s">
        <v>100</v>
      </c>
      <c r="AC4" s="683"/>
      <c r="AD4" s="683"/>
      <c r="AE4" s="683"/>
      <c r="AF4" s="684"/>
      <c r="AG4" s="685" t="s">
        <v>0</v>
      </c>
      <c r="AH4" s="679" t="s">
        <v>2</v>
      </c>
    </row>
    <row r="5" spans="1:34" s="391" customFormat="1" ht="8.25" customHeight="1" thickBot="1" x14ac:dyDescent="0.3">
      <c r="B5" s="596"/>
      <c r="C5" s="393"/>
      <c r="F5" s="597"/>
      <c r="G5" s="392"/>
      <c r="I5" s="395"/>
      <c r="J5" s="593"/>
      <c r="K5" s="594"/>
      <c r="L5" s="595"/>
      <c r="M5" s="588"/>
      <c r="P5" s="589"/>
      <c r="Q5" s="590"/>
      <c r="AA5" s="691"/>
      <c r="AB5" s="681" t="s">
        <v>1</v>
      </c>
      <c r="AC5" s="681"/>
      <c r="AD5" s="681" t="s">
        <v>101</v>
      </c>
      <c r="AE5" s="681"/>
      <c r="AF5" s="396" t="s">
        <v>102</v>
      </c>
      <c r="AG5" s="681"/>
      <c r="AH5" s="680"/>
    </row>
    <row r="6" spans="1:34" s="391" customFormat="1" ht="15.75" x14ac:dyDescent="0.25">
      <c r="B6" s="596" t="s">
        <v>61</v>
      </c>
      <c r="C6" s="393" t="s">
        <v>49</v>
      </c>
      <c r="D6" s="391" t="str">
        <f>'BKU 1'!$D$25</f>
        <v>SDN 1 SIDODADI</v>
      </c>
      <c r="F6" s="597"/>
      <c r="I6" s="596" t="s">
        <v>63</v>
      </c>
      <c r="J6" s="393" t="s">
        <v>49</v>
      </c>
      <c r="K6" s="391" t="str">
        <f>'BKU 1'!$I$25</f>
        <v>NGANTANG</v>
      </c>
      <c r="L6" s="595"/>
      <c r="M6" s="588"/>
      <c r="P6" s="589"/>
      <c r="Q6" s="590"/>
    </row>
    <row r="7" spans="1:34" s="391" customFormat="1" ht="15.75" x14ac:dyDescent="0.25">
      <c r="A7" s="391" t="str">
        <f>IF(ROW()=0,1,"")</f>
        <v/>
      </c>
      <c r="B7" s="596" t="s">
        <v>62</v>
      </c>
      <c r="C7" s="393" t="s">
        <v>49</v>
      </c>
      <c r="D7" s="695" t="str">
        <f>'BKU 1'!$D$26</f>
        <v>Jl. Kawi No.36 Rt. 1 Rw. 1 Dusun Sekar, Rt / Rw : 1 / 1, Dusun : Sekar, Kelurahan : Sidodadi</v>
      </c>
      <c r="E7" s="695"/>
      <c r="F7" s="695"/>
      <c r="G7" s="695"/>
      <c r="I7" s="392" t="s">
        <v>66</v>
      </c>
      <c r="J7" s="393" t="s">
        <v>49</v>
      </c>
      <c r="K7" s="395" t="s">
        <v>68</v>
      </c>
      <c r="L7" s="595"/>
      <c r="M7" s="588"/>
      <c r="P7" s="589"/>
      <c r="Q7" s="590"/>
    </row>
    <row r="8" spans="1:34" s="391" customFormat="1" ht="15.75" x14ac:dyDescent="0.25">
      <c r="D8" s="695"/>
      <c r="E8" s="695"/>
      <c r="F8" s="695"/>
      <c r="G8" s="695"/>
      <c r="I8" s="392" t="s">
        <v>67</v>
      </c>
      <c r="J8" s="393" t="s">
        <v>49</v>
      </c>
      <c r="K8" s="395" t="s">
        <v>69</v>
      </c>
      <c r="L8" s="595"/>
      <c r="M8" s="588"/>
      <c r="P8" s="589"/>
      <c r="Q8" s="590"/>
    </row>
    <row r="9" spans="1:34" s="391" customFormat="1" ht="8.25" customHeight="1" thickBot="1" x14ac:dyDescent="0.3">
      <c r="B9" s="591"/>
      <c r="C9" s="393"/>
      <c r="F9" s="597"/>
      <c r="G9" s="392"/>
      <c r="I9" s="395"/>
      <c r="J9" s="593"/>
      <c r="K9" s="594"/>
      <c r="L9" s="595"/>
      <c r="M9" s="588"/>
      <c r="P9" s="589"/>
      <c r="Q9" s="590"/>
    </row>
    <row r="10" spans="1:34" s="399" customFormat="1" ht="26.1" customHeight="1" x14ac:dyDescent="0.25">
      <c r="A10" s="399">
        <f>COUNTIF(COPY!$C$2:$C$1000,D4)</f>
        <v>0</v>
      </c>
      <c r="B10" s="696" t="s">
        <v>0</v>
      </c>
      <c r="C10" s="703" t="s">
        <v>516</v>
      </c>
      <c r="D10" s="700" t="s">
        <v>1</v>
      </c>
      <c r="E10" s="700"/>
      <c r="F10" s="700"/>
      <c r="G10" s="700"/>
      <c r="H10" s="700"/>
      <c r="I10" s="700"/>
      <c r="J10" s="699" t="s">
        <v>257</v>
      </c>
      <c r="K10" s="699"/>
      <c r="L10" s="707" t="s">
        <v>70</v>
      </c>
      <c r="M10" s="708"/>
      <c r="P10" s="598"/>
      <c r="Q10" s="599"/>
    </row>
    <row r="11" spans="1:34" s="399" customFormat="1" ht="25.5" customHeight="1" thickBot="1" x14ac:dyDescent="0.3">
      <c r="B11" s="697"/>
      <c r="C11" s="698"/>
      <c r="D11" s="600" t="s">
        <v>253</v>
      </c>
      <c r="E11" s="600" t="s">
        <v>97</v>
      </c>
      <c r="F11" s="600" t="s">
        <v>254</v>
      </c>
      <c r="G11" s="601" t="s">
        <v>255</v>
      </c>
      <c r="H11" s="698" t="s">
        <v>256</v>
      </c>
      <c r="I11" s="698"/>
      <c r="J11" s="602" t="s">
        <v>64</v>
      </c>
      <c r="K11" s="603" t="s">
        <v>65</v>
      </c>
      <c r="L11" s="604" t="s">
        <v>258</v>
      </c>
      <c r="M11" s="605" t="s">
        <v>259</v>
      </c>
      <c r="P11" s="598"/>
      <c r="Q11" s="599"/>
    </row>
    <row r="12" spans="1:34" s="417" customFormat="1" ht="20.100000000000001" hidden="1" customHeight="1" x14ac:dyDescent="0.25">
      <c r="B12" s="583"/>
      <c r="C12" s="528"/>
      <c r="D12" s="529"/>
      <c r="E12" s="606"/>
      <c r="F12" s="530"/>
      <c r="G12" s="531"/>
      <c r="H12" s="532"/>
      <c r="I12" s="533"/>
      <c r="J12" s="534"/>
      <c r="K12" s="535"/>
      <c r="L12" s="536"/>
      <c r="M12" s="537"/>
      <c r="O12" s="538"/>
      <c r="P12" s="539"/>
      <c r="Q12" s="540"/>
    </row>
    <row r="13" spans="1:34" s="253" customFormat="1" ht="20.100000000000001" customHeight="1" x14ac:dyDescent="0.25">
      <c r="A13" s="253">
        <f>LEN(A14)</f>
        <v>4</v>
      </c>
      <c r="B13" s="584">
        <f>HLOOKUP(D4,COPY!$AJ$3:$AN$4,2,FALSE)</f>
        <v>45992</v>
      </c>
      <c r="C13" s="585"/>
      <c r="D13" s="542"/>
      <c r="E13" s="607"/>
      <c r="F13" s="542"/>
      <c r="G13" s="543" t="s">
        <v>252</v>
      </c>
      <c r="H13" s="544"/>
      <c r="I13" s="545"/>
      <c r="J13" s="546">
        <f>IF('BKT 3'!$L$324&gt;0,'BKT 3'!$L$324,0)</f>
        <v>0</v>
      </c>
      <c r="K13" s="547">
        <f>IF('BKT 3'!$M$324&lt;0,'BKT 3'!$M$324,0)</f>
        <v>-36904040</v>
      </c>
      <c r="L13" s="548">
        <f>IF(J13&gt;0,J13,0)</f>
        <v>0</v>
      </c>
      <c r="M13" s="549">
        <f>IF(K13&lt;0,K13,0)</f>
        <v>-36904040</v>
      </c>
      <c r="O13" s="538">
        <f>IF(L13&gt;0,L13-K13,IF(M13&lt;=0,M13-K13,0))</f>
        <v>0</v>
      </c>
      <c r="P13" s="550"/>
      <c r="Q13" s="551"/>
    </row>
    <row r="14" spans="1:34" s="253" customFormat="1" ht="20.100000000000001" customHeight="1" x14ac:dyDescent="0.25">
      <c r="A14" s="253" t="str">
        <f>D4&amp;".."&amp;D4</f>
        <v>4..4</v>
      </c>
      <c r="B14" s="584">
        <f>'BKU 4'!B32</f>
        <v>46007</v>
      </c>
      <c r="C14" s="585"/>
      <c r="D14" s="542"/>
      <c r="E14" s="607"/>
      <c r="F14" s="542"/>
      <c r="G14" s="543" t="str">
        <f>'BKU 4'!C32</f>
        <v>Pengambilan Ke2</v>
      </c>
      <c r="H14" s="544"/>
      <c r="I14" s="545"/>
      <c r="J14" s="546">
        <f>'BKU 4'!F32</f>
        <v>37069530</v>
      </c>
      <c r="K14" s="547"/>
      <c r="L14" s="548">
        <f>J14+M13</f>
        <v>165490</v>
      </c>
      <c r="M14" s="549"/>
      <c r="O14" s="538"/>
      <c r="P14" s="550"/>
      <c r="Q14" s="551"/>
    </row>
    <row r="15" spans="1:34" s="253" customFormat="1" ht="20.100000000000001" hidden="1" customHeight="1" x14ac:dyDescent="0.25">
      <c r="A15" s="253" t="str">
        <f>IF(LEN(A14)&gt;2,$D$4&amp;"."&amp;IF(ROW()-ROW($A$15)+1&lt;=$A$10,ROW()-ROW($A$15)+1,""),"")</f>
        <v>4.</v>
      </c>
      <c r="B15" s="584" t="str">
        <f>IF(LEN(A15)&gt;2,VLOOKUP(A15,COPY!$A$2:$O$1000,4,FALSE),"")</f>
        <v/>
      </c>
      <c r="C15" s="585" t="str">
        <f>IF(LEN(A15)&gt;2,VLOOKUP(A15,COPY!$A$2:$O$1000,15,FALSE),"")</f>
        <v/>
      </c>
      <c r="D15" s="542" t="str">
        <f>IF(LEN(A15)&gt;2,VLOOKUP(A15,COPY!$A$2:$O$1000,2,FALSE),"")</f>
        <v/>
      </c>
      <c r="E15" s="607" t="str">
        <f>IF(LEN(A15)&gt;2,VLOOKUP(A15,COPY!$A$2:$O$1000,10,FALSE),"")</f>
        <v/>
      </c>
      <c r="F15" s="542" t="str">
        <f>IF(LEN(A15)&gt;2,VLOOKUP(A15,COPY!$A$2:$O$1000,8,FALSE),"")</f>
        <v/>
      </c>
      <c r="G15" s="543" t="str">
        <f>IF(LEN(A15)&gt;2,VLOOKUP(A15,COPY!$A$2:$O$1000,7,FALSE),"")</f>
        <v/>
      </c>
      <c r="H15" s="544" t="str">
        <f t="shared" ref="H15:H78" si="0">IF(TEXT(D15,0)="Beli","@","")</f>
        <v/>
      </c>
      <c r="I15" s="545" t="str">
        <f>IFERROR(IF(LEN(A15)&gt;2,VLOOKUP(A15,COPY!$A$2:$O$1000,13,FALSE),"")/E15,"")</f>
        <v/>
      </c>
      <c r="J15" s="546"/>
      <c r="K15" s="547" t="str">
        <f t="shared" ref="K15:K78" si="1">IF(E15="","",IF(E15=0,I15,IF(E15&gt;0,E15*I15,0)))</f>
        <v/>
      </c>
      <c r="L15" s="548" t="str">
        <f t="shared" ref="L15" si="2">IF(O15&gt;=0,O15,IF(O15&lt;0,0,0))</f>
        <v/>
      </c>
      <c r="M15" s="549">
        <f t="shared" ref="M15:M78" si="3">IF(O15&lt;0,O15,IF(O15&gt;=0,0,0))</f>
        <v>0</v>
      </c>
      <c r="O15" s="538" t="str">
        <f>IF(E15="","",IF(L13&gt;0,L13-K15,IF(M13&lt;=0,M13-K15,0)))</f>
        <v/>
      </c>
      <c r="P15" s="550"/>
      <c r="Q15" s="551"/>
    </row>
    <row r="16" spans="1:34" s="253" customFormat="1" ht="20.100000000000001" hidden="1" customHeight="1" x14ac:dyDescent="0.25">
      <c r="A16" s="253" t="str">
        <f t="shared" ref="A16:A79" si="4">IF(LEN(A15)&gt;2,$D$4&amp;"."&amp;IF(ROW()-ROW($A$15)+1&lt;=$A$10,ROW()-ROW($A$15)+1,""),"")</f>
        <v/>
      </c>
      <c r="B16" s="584" t="str">
        <f>IF(LEN(A16)&gt;2,VLOOKUP(A16,COPY!$A$2:$O$1000,4,FALSE),"")</f>
        <v/>
      </c>
      <c r="C16" s="585" t="str">
        <f>IF(LEN(A16)&gt;2,VLOOKUP(A16,COPY!$A$2:$O$1000,15,FALSE),"")</f>
        <v/>
      </c>
      <c r="D16" s="542" t="str">
        <f>IF(LEN(A16)&gt;2,VLOOKUP(A16,COPY!$A$2:$O$1000,2,FALSE),"")</f>
        <v/>
      </c>
      <c r="E16" s="607" t="str">
        <f>IF(LEN(A16)&gt;2,VLOOKUP(A16,COPY!$A$2:$O$1000,10,FALSE),"")</f>
        <v/>
      </c>
      <c r="F16" s="542" t="str">
        <f>IF(LEN(A16)&gt;2,VLOOKUP(A16,COPY!$A$2:$O$1000,8,FALSE),"")</f>
        <v/>
      </c>
      <c r="G16" s="543" t="str">
        <f>IF(LEN(A16)&gt;2,VLOOKUP(A16,COPY!$A$2:$O$1000,7,FALSE),"")</f>
        <v/>
      </c>
      <c r="H16" s="544" t="str">
        <f t="shared" si="0"/>
        <v/>
      </c>
      <c r="I16" s="545" t="str">
        <f>IFERROR(IF(LEN(A16)&gt;2,VLOOKUP(A16,COPY!$A$2:$O$1000,13,FALSE),"")/E16,"")</f>
        <v/>
      </c>
      <c r="J16" s="546"/>
      <c r="K16" s="547" t="str">
        <f t="shared" si="1"/>
        <v/>
      </c>
      <c r="L16" s="548" t="str">
        <f t="shared" ref="L16:L79" si="5">IF(E16="","",IF(O16&gt;=0,O16,IF(O16&lt;0,0,0)))</f>
        <v/>
      </c>
      <c r="M16" s="549">
        <f t="shared" si="3"/>
        <v>0</v>
      </c>
      <c r="O16" s="538" t="str">
        <f t="shared" ref="O16:O79" si="6">IF(E16="",O15,IF(L15&gt;0,L15-K16,IF(M15&lt;=0,M15-K16,0)))</f>
        <v/>
      </c>
      <c r="P16" s="550"/>
      <c r="Q16" s="551"/>
    </row>
    <row r="17" spans="1:17" s="253" customFormat="1" ht="20.100000000000001" hidden="1" customHeight="1" x14ac:dyDescent="0.25">
      <c r="A17" s="253" t="str">
        <f t="shared" si="4"/>
        <v/>
      </c>
      <c r="B17" s="584" t="str">
        <f>IF(LEN(A17)&gt;2,VLOOKUP(A17,COPY!$A$2:$O$1000,4,FALSE),"")</f>
        <v/>
      </c>
      <c r="C17" s="585" t="str">
        <f>IF(LEN(A17)&gt;2,VLOOKUP(A17,COPY!$A$2:$O$1000,15,FALSE),"")</f>
        <v/>
      </c>
      <c r="D17" s="542" t="str">
        <f>IF(LEN(A17)&gt;2,VLOOKUP(A17,COPY!$A$2:$O$1000,2,FALSE),"")</f>
        <v/>
      </c>
      <c r="E17" s="607" t="str">
        <f>IF(LEN(A17)&gt;2,VLOOKUP(A17,COPY!$A$2:$O$1000,10,FALSE),"")</f>
        <v/>
      </c>
      <c r="F17" s="542" t="str">
        <f>IF(LEN(A17)&gt;2,VLOOKUP(A17,COPY!$A$2:$O$1000,8,FALSE),"")</f>
        <v/>
      </c>
      <c r="G17" s="543" t="str">
        <f>IF(LEN(A17)&gt;2,VLOOKUP(A17,COPY!$A$2:$O$1000,7,FALSE),"")</f>
        <v/>
      </c>
      <c r="H17" s="544" t="str">
        <f t="shared" si="0"/>
        <v/>
      </c>
      <c r="I17" s="545" t="str">
        <f>IFERROR(IF(LEN(A17)&gt;2,VLOOKUP(A17,COPY!$A$2:$O$1000,13,FALSE),"")/E17,"")</f>
        <v/>
      </c>
      <c r="J17" s="546"/>
      <c r="K17" s="547" t="str">
        <f t="shared" si="1"/>
        <v/>
      </c>
      <c r="L17" s="548" t="str">
        <f t="shared" si="5"/>
        <v/>
      </c>
      <c r="M17" s="549">
        <f t="shared" si="3"/>
        <v>0</v>
      </c>
      <c r="O17" s="538" t="str">
        <f t="shared" si="6"/>
        <v/>
      </c>
      <c r="P17" s="550"/>
      <c r="Q17" s="551"/>
    </row>
    <row r="18" spans="1:17" s="253" customFormat="1" ht="20.100000000000001" hidden="1" customHeight="1" x14ac:dyDescent="0.25">
      <c r="A18" s="253" t="str">
        <f t="shared" si="4"/>
        <v/>
      </c>
      <c r="B18" s="584" t="str">
        <f>IF(LEN(A18)&gt;2,VLOOKUP(A18,COPY!$A$2:$O$1000,4,FALSE),"")</f>
        <v/>
      </c>
      <c r="C18" s="585" t="str">
        <f>IF(LEN(A18)&gt;2,VLOOKUP(A18,COPY!$A$2:$O$1000,15,FALSE),"")</f>
        <v/>
      </c>
      <c r="D18" s="542" t="str">
        <f>IF(LEN(A18)&gt;2,VLOOKUP(A18,COPY!$A$2:$O$1000,2,FALSE),"")</f>
        <v/>
      </c>
      <c r="E18" s="607" t="str">
        <f>IF(LEN(A18)&gt;2,VLOOKUP(A18,COPY!$A$2:$O$1000,10,FALSE),"")</f>
        <v/>
      </c>
      <c r="F18" s="542" t="str">
        <f>IF(LEN(A18)&gt;2,VLOOKUP(A18,COPY!$A$2:$O$1000,8,FALSE),"")</f>
        <v/>
      </c>
      <c r="G18" s="543" t="str">
        <f>IF(LEN(A18)&gt;2,VLOOKUP(A18,COPY!$A$2:$O$1000,7,FALSE),"")</f>
        <v/>
      </c>
      <c r="H18" s="544" t="str">
        <f t="shared" si="0"/>
        <v/>
      </c>
      <c r="I18" s="545" t="str">
        <f>IFERROR(IF(LEN(A18)&gt;2,VLOOKUP(A18,COPY!$A$2:$O$1000,13,FALSE),"")/E18,"")</f>
        <v/>
      </c>
      <c r="J18" s="546"/>
      <c r="K18" s="547" t="str">
        <f t="shared" si="1"/>
        <v/>
      </c>
      <c r="L18" s="548" t="str">
        <f t="shared" si="5"/>
        <v/>
      </c>
      <c r="M18" s="549">
        <f t="shared" si="3"/>
        <v>0</v>
      </c>
      <c r="O18" s="538" t="str">
        <f t="shared" si="6"/>
        <v/>
      </c>
      <c r="P18" s="550"/>
      <c r="Q18" s="551"/>
    </row>
    <row r="19" spans="1:17" s="253" customFormat="1" ht="20.100000000000001" hidden="1" customHeight="1" x14ac:dyDescent="0.25">
      <c r="A19" s="253" t="str">
        <f t="shared" si="4"/>
        <v/>
      </c>
      <c r="B19" s="584" t="str">
        <f>IF(LEN(A19)&gt;2,VLOOKUP(A19,COPY!$A$2:$O$1000,4,FALSE),"")</f>
        <v/>
      </c>
      <c r="C19" s="585" t="str">
        <f>IF(LEN(A19)&gt;2,VLOOKUP(A19,COPY!$A$2:$O$1000,15,FALSE),"")</f>
        <v/>
      </c>
      <c r="D19" s="542" t="str">
        <f>IF(LEN(A19)&gt;2,VLOOKUP(A19,COPY!$A$2:$O$1000,2,FALSE),"")</f>
        <v/>
      </c>
      <c r="E19" s="607" t="str">
        <f>IF(LEN(A19)&gt;2,VLOOKUP(A19,COPY!$A$2:$O$1000,10,FALSE),"")</f>
        <v/>
      </c>
      <c r="F19" s="542" t="str">
        <f>IF(LEN(A19)&gt;2,VLOOKUP(A19,COPY!$A$2:$O$1000,8,FALSE),"")</f>
        <v/>
      </c>
      <c r="G19" s="543" t="str">
        <f>IF(LEN(A19)&gt;2,VLOOKUP(A19,COPY!$A$2:$O$1000,7,FALSE),"")</f>
        <v/>
      </c>
      <c r="H19" s="544" t="str">
        <f t="shared" si="0"/>
        <v/>
      </c>
      <c r="I19" s="545" t="str">
        <f>IFERROR(IF(LEN(A19)&gt;2,VLOOKUP(A19,COPY!$A$2:$O$1000,13,FALSE),"")/E19,"")</f>
        <v/>
      </c>
      <c r="J19" s="546"/>
      <c r="K19" s="547" t="str">
        <f t="shared" si="1"/>
        <v/>
      </c>
      <c r="L19" s="548" t="str">
        <f t="shared" si="5"/>
        <v/>
      </c>
      <c r="M19" s="549">
        <f t="shared" si="3"/>
        <v>0</v>
      </c>
      <c r="O19" s="538" t="str">
        <f t="shared" si="6"/>
        <v/>
      </c>
      <c r="P19" s="550"/>
      <c r="Q19" s="551"/>
    </row>
    <row r="20" spans="1:17" s="253" customFormat="1" ht="20.100000000000001" hidden="1" customHeight="1" x14ac:dyDescent="0.25">
      <c r="A20" s="253" t="str">
        <f t="shared" si="4"/>
        <v/>
      </c>
      <c r="B20" s="584" t="str">
        <f>IF(LEN(A20)&gt;2,VLOOKUP(A20,COPY!$A$2:$O$1000,4,FALSE),"")</f>
        <v/>
      </c>
      <c r="C20" s="585" t="str">
        <f>IF(LEN(A20)&gt;2,VLOOKUP(A20,COPY!$A$2:$O$1000,15,FALSE),"")</f>
        <v/>
      </c>
      <c r="D20" s="542" t="str">
        <f>IF(LEN(A20)&gt;2,VLOOKUP(A20,COPY!$A$2:$O$1000,2,FALSE),"")</f>
        <v/>
      </c>
      <c r="E20" s="607" t="str">
        <f>IF(LEN(A20)&gt;2,VLOOKUP(A20,COPY!$A$2:$O$1000,10,FALSE),"")</f>
        <v/>
      </c>
      <c r="F20" s="542" t="str">
        <f>IF(LEN(A20)&gt;2,VLOOKUP(A20,COPY!$A$2:$O$1000,8,FALSE),"")</f>
        <v/>
      </c>
      <c r="G20" s="543" t="str">
        <f>IF(LEN(A20)&gt;2,VLOOKUP(A20,COPY!$A$2:$O$1000,7,FALSE),"")</f>
        <v/>
      </c>
      <c r="H20" s="544" t="str">
        <f t="shared" si="0"/>
        <v/>
      </c>
      <c r="I20" s="545" t="str">
        <f>IFERROR(IF(LEN(A20)&gt;2,VLOOKUP(A20,COPY!$A$2:$O$1000,13,FALSE),"")/E20,"")</f>
        <v/>
      </c>
      <c r="J20" s="546"/>
      <c r="K20" s="547" t="str">
        <f t="shared" si="1"/>
        <v/>
      </c>
      <c r="L20" s="548" t="str">
        <f t="shared" si="5"/>
        <v/>
      </c>
      <c r="M20" s="549">
        <f t="shared" si="3"/>
        <v>0</v>
      </c>
      <c r="O20" s="538" t="str">
        <f t="shared" si="6"/>
        <v/>
      </c>
      <c r="P20" s="550"/>
      <c r="Q20" s="551"/>
    </row>
    <row r="21" spans="1:17" s="253" customFormat="1" ht="20.100000000000001" hidden="1" customHeight="1" x14ac:dyDescent="0.25">
      <c r="A21" s="253" t="str">
        <f t="shared" si="4"/>
        <v/>
      </c>
      <c r="B21" s="584" t="str">
        <f>IF(LEN(A21)&gt;2,VLOOKUP(A21,COPY!$A$2:$O$1000,4,FALSE),"")</f>
        <v/>
      </c>
      <c r="C21" s="585" t="str">
        <f>IF(LEN(A21)&gt;2,VLOOKUP(A21,COPY!$A$2:$O$1000,15,FALSE),"")</f>
        <v/>
      </c>
      <c r="D21" s="542" t="str">
        <f>IF(LEN(A21)&gt;2,VLOOKUP(A21,COPY!$A$2:$O$1000,2,FALSE),"")</f>
        <v/>
      </c>
      <c r="E21" s="607" t="str">
        <f>IF(LEN(A21)&gt;2,VLOOKUP(A21,COPY!$A$2:$O$1000,10,FALSE),"")</f>
        <v/>
      </c>
      <c r="F21" s="542" t="str">
        <f>IF(LEN(A21)&gt;2,VLOOKUP(A21,COPY!$A$2:$O$1000,8,FALSE),"")</f>
        <v/>
      </c>
      <c r="G21" s="543" t="str">
        <f>IF(LEN(A21)&gt;2,VLOOKUP(A21,COPY!$A$2:$O$1000,7,FALSE),"")</f>
        <v/>
      </c>
      <c r="H21" s="544" t="str">
        <f t="shared" si="0"/>
        <v/>
      </c>
      <c r="I21" s="545" t="str">
        <f>IFERROR(IF(LEN(A21)&gt;2,VLOOKUP(A21,COPY!$A$2:$O$1000,13,FALSE),"")/E21,"")</f>
        <v/>
      </c>
      <c r="J21" s="546"/>
      <c r="K21" s="547" t="str">
        <f t="shared" si="1"/>
        <v/>
      </c>
      <c r="L21" s="548" t="str">
        <f t="shared" si="5"/>
        <v/>
      </c>
      <c r="M21" s="549">
        <f t="shared" si="3"/>
        <v>0</v>
      </c>
      <c r="O21" s="538" t="str">
        <f t="shared" si="6"/>
        <v/>
      </c>
      <c r="P21" s="550"/>
      <c r="Q21" s="551"/>
    </row>
    <row r="22" spans="1:17" s="253" customFormat="1" ht="20.100000000000001" hidden="1" customHeight="1" x14ac:dyDescent="0.25">
      <c r="A22" s="253" t="str">
        <f t="shared" si="4"/>
        <v/>
      </c>
      <c r="B22" s="584" t="str">
        <f>IF(LEN(A22)&gt;2,VLOOKUP(A22,COPY!$A$2:$O$1000,4,FALSE),"")</f>
        <v/>
      </c>
      <c r="C22" s="585" t="str">
        <f>IF(LEN(A22)&gt;2,VLOOKUP(A22,COPY!$A$2:$O$1000,15,FALSE),"")</f>
        <v/>
      </c>
      <c r="D22" s="542" t="str">
        <f>IF(LEN(A22)&gt;2,VLOOKUP(A22,COPY!$A$2:$O$1000,2,FALSE),"")</f>
        <v/>
      </c>
      <c r="E22" s="607" t="str">
        <f>IF(LEN(A22)&gt;2,VLOOKUP(A22,COPY!$A$2:$O$1000,10,FALSE),"")</f>
        <v/>
      </c>
      <c r="F22" s="542" t="str">
        <f>IF(LEN(A22)&gt;2,VLOOKUP(A22,COPY!$A$2:$O$1000,8,FALSE),"")</f>
        <v/>
      </c>
      <c r="G22" s="543" t="str">
        <f>IF(LEN(A22)&gt;2,VLOOKUP(A22,COPY!$A$2:$O$1000,7,FALSE),"")</f>
        <v/>
      </c>
      <c r="H22" s="544" t="str">
        <f t="shared" si="0"/>
        <v/>
      </c>
      <c r="I22" s="545" t="str">
        <f>IFERROR(IF(LEN(A22)&gt;2,VLOOKUP(A22,COPY!$A$2:$O$1000,13,FALSE),"")/E22,"")</f>
        <v/>
      </c>
      <c r="J22" s="546"/>
      <c r="K22" s="547" t="str">
        <f t="shared" si="1"/>
        <v/>
      </c>
      <c r="L22" s="548" t="str">
        <f t="shared" si="5"/>
        <v/>
      </c>
      <c r="M22" s="549">
        <f t="shared" si="3"/>
        <v>0</v>
      </c>
      <c r="O22" s="538" t="str">
        <f t="shared" si="6"/>
        <v/>
      </c>
      <c r="P22" s="550"/>
      <c r="Q22" s="551"/>
    </row>
    <row r="23" spans="1:17" s="253" customFormat="1" ht="20.100000000000001" hidden="1" customHeight="1" x14ac:dyDescent="0.25">
      <c r="A23" s="253" t="str">
        <f t="shared" si="4"/>
        <v/>
      </c>
      <c r="B23" s="584" t="str">
        <f>IF(LEN(A23)&gt;2,VLOOKUP(A23,COPY!$A$2:$O$1000,4,FALSE),"")</f>
        <v/>
      </c>
      <c r="C23" s="585" t="str">
        <f>IF(LEN(A23)&gt;2,VLOOKUP(A23,COPY!$A$2:$O$1000,15,FALSE),"")</f>
        <v/>
      </c>
      <c r="D23" s="542" t="str">
        <f>IF(LEN(A23)&gt;2,VLOOKUP(A23,COPY!$A$2:$O$1000,2,FALSE),"")</f>
        <v/>
      </c>
      <c r="E23" s="607" t="str">
        <f>IF(LEN(A23)&gt;2,VLOOKUP(A23,COPY!$A$2:$O$1000,10,FALSE),"")</f>
        <v/>
      </c>
      <c r="F23" s="542" t="str">
        <f>IF(LEN(A23)&gt;2,VLOOKUP(A23,COPY!$A$2:$O$1000,8,FALSE),"")</f>
        <v/>
      </c>
      <c r="G23" s="543" t="str">
        <f>IF(LEN(A23)&gt;2,VLOOKUP(A23,COPY!$A$2:$O$1000,7,FALSE),"")</f>
        <v/>
      </c>
      <c r="H23" s="544" t="str">
        <f t="shared" si="0"/>
        <v/>
      </c>
      <c r="I23" s="545" t="str">
        <f>IFERROR(IF(LEN(A23)&gt;2,VLOOKUP(A23,COPY!$A$2:$O$1000,13,FALSE),"")/E23,"")</f>
        <v/>
      </c>
      <c r="J23" s="546"/>
      <c r="K23" s="547" t="str">
        <f t="shared" si="1"/>
        <v/>
      </c>
      <c r="L23" s="548" t="str">
        <f t="shared" si="5"/>
        <v/>
      </c>
      <c r="M23" s="549">
        <f t="shared" si="3"/>
        <v>0</v>
      </c>
      <c r="O23" s="538" t="str">
        <f t="shared" si="6"/>
        <v/>
      </c>
      <c r="P23" s="550"/>
      <c r="Q23" s="551"/>
    </row>
    <row r="24" spans="1:17" s="253" customFormat="1" ht="20.100000000000001" hidden="1" customHeight="1" x14ac:dyDescent="0.25">
      <c r="A24" s="253" t="str">
        <f t="shared" si="4"/>
        <v/>
      </c>
      <c r="B24" s="584" t="str">
        <f>IF(LEN(A24)&gt;2,VLOOKUP(A24,COPY!$A$2:$O$1000,4,FALSE),"")</f>
        <v/>
      </c>
      <c r="C24" s="585" t="str">
        <f>IF(LEN(A24)&gt;2,VLOOKUP(A24,COPY!$A$2:$O$1000,15,FALSE),"")</f>
        <v/>
      </c>
      <c r="D24" s="542" t="str">
        <f>IF(LEN(A24)&gt;2,VLOOKUP(A24,COPY!$A$2:$O$1000,2,FALSE),"")</f>
        <v/>
      </c>
      <c r="E24" s="607" t="str">
        <f>IF(LEN(A24)&gt;2,VLOOKUP(A24,COPY!$A$2:$O$1000,10,FALSE),"")</f>
        <v/>
      </c>
      <c r="F24" s="542" t="str">
        <f>IF(LEN(A24)&gt;2,VLOOKUP(A24,COPY!$A$2:$O$1000,8,FALSE),"")</f>
        <v/>
      </c>
      <c r="G24" s="543" t="str">
        <f>IF(LEN(A24)&gt;2,VLOOKUP(A24,COPY!$A$2:$O$1000,7,FALSE),"")</f>
        <v/>
      </c>
      <c r="H24" s="544" t="str">
        <f t="shared" si="0"/>
        <v/>
      </c>
      <c r="I24" s="545" t="str">
        <f>IFERROR(IF(LEN(A24)&gt;2,VLOOKUP(A24,COPY!$A$2:$O$1000,13,FALSE),"")/E24,"")</f>
        <v/>
      </c>
      <c r="J24" s="546"/>
      <c r="K24" s="547" t="str">
        <f t="shared" si="1"/>
        <v/>
      </c>
      <c r="L24" s="548" t="str">
        <f t="shared" si="5"/>
        <v/>
      </c>
      <c r="M24" s="549">
        <f t="shared" si="3"/>
        <v>0</v>
      </c>
      <c r="O24" s="538" t="str">
        <f t="shared" si="6"/>
        <v/>
      </c>
      <c r="P24" s="550"/>
      <c r="Q24" s="551"/>
    </row>
    <row r="25" spans="1:17" s="253" customFormat="1" ht="20.100000000000001" hidden="1" customHeight="1" x14ac:dyDescent="0.25">
      <c r="A25" s="253" t="str">
        <f t="shared" si="4"/>
        <v/>
      </c>
      <c r="B25" s="584" t="str">
        <f>IF(LEN(A25)&gt;2,VLOOKUP(A25,COPY!$A$2:$O$1000,4,FALSE),"")</f>
        <v/>
      </c>
      <c r="C25" s="585" t="str">
        <f>IF(LEN(A25)&gt;2,VLOOKUP(A25,COPY!$A$2:$O$1000,15,FALSE),"")</f>
        <v/>
      </c>
      <c r="D25" s="542" t="str">
        <f>IF(LEN(A25)&gt;2,VLOOKUP(A25,COPY!$A$2:$O$1000,2,FALSE),"")</f>
        <v/>
      </c>
      <c r="E25" s="607" t="str">
        <f>IF(LEN(A25)&gt;2,VLOOKUP(A25,COPY!$A$2:$O$1000,10,FALSE),"")</f>
        <v/>
      </c>
      <c r="F25" s="542" t="str">
        <f>IF(LEN(A25)&gt;2,VLOOKUP(A25,COPY!$A$2:$O$1000,8,FALSE),"")</f>
        <v/>
      </c>
      <c r="G25" s="543" t="str">
        <f>IF(LEN(A25)&gt;2,VLOOKUP(A25,COPY!$A$2:$O$1000,7,FALSE),"")</f>
        <v/>
      </c>
      <c r="H25" s="544" t="str">
        <f t="shared" si="0"/>
        <v/>
      </c>
      <c r="I25" s="545" t="str">
        <f>IFERROR(IF(LEN(A25)&gt;2,VLOOKUP(A25,COPY!$A$2:$O$1000,13,FALSE),"")/E25,"")</f>
        <v/>
      </c>
      <c r="J25" s="546"/>
      <c r="K25" s="547" t="str">
        <f t="shared" si="1"/>
        <v/>
      </c>
      <c r="L25" s="548" t="str">
        <f t="shared" si="5"/>
        <v/>
      </c>
      <c r="M25" s="549">
        <f t="shared" si="3"/>
        <v>0</v>
      </c>
      <c r="O25" s="538" t="str">
        <f t="shared" si="6"/>
        <v/>
      </c>
      <c r="P25" s="550"/>
      <c r="Q25" s="551"/>
    </row>
    <row r="26" spans="1:17" s="253" customFormat="1" ht="20.100000000000001" hidden="1" customHeight="1" x14ac:dyDescent="0.25">
      <c r="A26" s="253" t="str">
        <f t="shared" si="4"/>
        <v/>
      </c>
      <c r="B26" s="584" t="str">
        <f>IF(LEN(A26)&gt;2,VLOOKUP(A26,COPY!$A$2:$O$1000,4,FALSE),"")</f>
        <v/>
      </c>
      <c r="C26" s="585" t="str">
        <f>IF(LEN(A26)&gt;2,VLOOKUP(A26,COPY!$A$2:$O$1000,15,FALSE),"")</f>
        <v/>
      </c>
      <c r="D26" s="542" t="str">
        <f>IF(LEN(A26)&gt;2,VLOOKUP(A26,COPY!$A$2:$O$1000,2,FALSE),"")</f>
        <v/>
      </c>
      <c r="E26" s="607" t="str">
        <f>IF(LEN(A26)&gt;2,VLOOKUP(A26,COPY!$A$2:$O$1000,10,FALSE),"")</f>
        <v/>
      </c>
      <c r="F26" s="542" t="str">
        <f>IF(LEN(A26)&gt;2,VLOOKUP(A26,COPY!$A$2:$O$1000,8,FALSE),"")</f>
        <v/>
      </c>
      <c r="G26" s="543" t="str">
        <f>IF(LEN(A26)&gt;2,VLOOKUP(A26,COPY!$A$2:$O$1000,7,FALSE),"")</f>
        <v/>
      </c>
      <c r="H26" s="544" t="str">
        <f t="shared" si="0"/>
        <v/>
      </c>
      <c r="I26" s="545" t="str">
        <f>IFERROR(IF(LEN(A26)&gt;2,VLOOKUP(A26,COPY!$A$2:$O$1000,13,FALSE),"")/E26,"")</f>
        <v/>
      </c>
      <c r="J26" s="546"/>
      <c r="K26" s="547" t="str">
        <f t="shared" si="1"/>
        <v/>
      </c>
      <c r="L26" s="548" t="str">
        <f t="shared" si="5"/>
        <v/>
      </c>
      <c r="M26" s="549">
        <f t="shared" si="3"/>
        <v>0</v>
      </c>
      <c r="O26" s="538" t="str">
        <f t="shared" si="6"/>
        <v/>
      </c>
      <c r="P26" s="550"/>
      <c r="Q26" s="551"/>
    </row>
    <row r="27" spans="1:17" s="253" customFormat="1" ht="20.100000000000001" hidden="1" customHeight="1" x14ac:dyDescent="0.25">
      <c r="A27" s="253" t="str">
        <f t="shared" si="4"/>
        <v/>
      </c>
      <c r="B27" s="584" t="str">
        <f>IF(LEN(A27)&gt;2,VLOOKUP(A27,COPY!$A$2:$O$1000,4,FALSE),"")</f>
        <v/>
      </c>
      <c r="C27" s="585" t="str">
        <f>IF(LEN(A27)&gt;2,VLOOKUP(A27,COPY!$A$2:$O$1000,15,FALSE),"")</f>
        <v/>
      </c>
      <c r="D27" s="542" t="str">
        <f>IF(LEN(A27)&gt;2,VLOOKUP(A27,COPY!$A$2:$O$1000,2,FALSE),"")</f>
        <v/>
      </c>
      <c r="E27" s="607" t="str">
        <f>IF(LEN(A27)&gt;2,VLOOKUP(A27,COPY!$A$2:$O$1000,10,FALSE),"")</f>
        <v/>
      </c>
      <c r="F27" s="542" t="str">
        <f>IF(LEN(A27)&gt;2,VLOOKUP(A27,COPY!$A$2:$O$1000,8,FALSE),"")</f>
        <v/>
      </c>
      <c r="G27" s="543" t="str">
        <f>IF(LEN(A27)&gt;2,VLOOKUP(A27,COPY!$A$2:$O$1000,7,FALSE),"")</f>
        <v/>
      </c>
      <c r="H27" s="544" t="str">
        <f t="shared" si="0"/>
        <v/>
      </c>
      <c r="I27" s="545" t="str">
        <f>IFERROR(IF(LEN(A27)&gt;2,VLOOKUP(A27,COPY!$A$2:$O$1000,13,FALSE),"")/E27,"")</f>
        <v/>
      </c>
      <c r="J27" s="546"/>
      <c r="K27" s="547" t="str">
        <f t="shared" si="1"/>
        <v/>
      </c>
      <c r="L27" s="548" t="str">
        <f t="shared" si="5"/>
        <v/>
      </c>
      <c r="M27" s="549">
        <f t="shared" si="3"/>
        <v>0</v>
      </c>
      <c r="O27" s="538" t="str">
        <f t="shared" si="6"/>
        <v/>
      </c>
      <c r="P27" s="550"/>
      <c r="Q27" s="551"/>
    </row>
    <row r="28" spans="1:17" s="253" customFormat="1" ht="20.100000000000001" hidden="1" customHeight="1" x14ac:dyDescent="0.25">
      <c r="A28" s="253" t="str">
        <f t="shared" si="4"/>
        <v/>
      </c>
      <c r="B28" s="584" t="str">
        <f>IF(LEN(A28)&gt;2,VLOOKUP(A28,COPY!$A$2:$O$1000,4,FALSE),"")</f>
        <v/>
      </c>
      <c r="C28" s="585" t="str">
        <f>IF(LEN(A28)&gt;2,VLOOKUP(A28,COPY!$A$2:$O$1000,15,FALSE),"")</f>
        <v/>
      </c>
      <c r="D28" s="542" t="str">
        <f>IF(LEN(A28)&gt;2,VLOOKUP(A28,COPY!$A$2:$O$1000,2,FALSE),"")</f>
        <v/>
      </c>
      <c r="E28" s="607" t="str">
        <f>IF(LEN(A28)&gt;2,VLOOKUP(A28,COPY!$A$2:$O$1000,10,FALSE),"")</f>
        <v/>
      </c>
      <c r="F28" s="542" t="str">
        <f>IF(LEN(A28)&gt;2,VLOOKUP(A28,COPY!$A$2:$O$1000,8,FALSE),"")</f>
        <v/>
      </c>
      <c r="G28" s="543" t="str">
        <f>IF(LEN(A28)&gt;2,VLOOKUP(A28,COPY!$A$2:$O$1000,7,FALSE),"")</f>
        <v/>
      </c>
      <c r="H28" s="544" t="str">
        <f t="shared" si="0"/>
        <v/>
      </c>
      <c r="I28" s="545" t="str">
        <f>IFERROR(IF(LEN(A28)&gt;2,VLOOKUP(A28,COPY!$A$2:$O$1000,13,FALSE),"")/E28,"")</f>
        <v/>
      </c>
      <c r="J28" s="546"/>
      <c r="K28" s="547" t="str">
        <f t="shared" si="1"/>
        <v/>
      </c>
      <c r="L28" s="548" t="str">
        <f t="shared" si="5"/>
        <v/>
      </c>
      <c r="M28" s="549">
        <f t="shared" si="3"/>
        <v>0</v>
      </c>
      <c r="O28" s="538" t="str">
        <f t="shared" si="6"/>
        <v/>
      </c>
      <c r="P28" s="550"/>
      <c r="Q28" s="551"/>
    </row>
    <row r="29" spans="1:17" s="253" customFormat="1" ht="20.100000000000001" hidden="1" customHeight="1" x14ac:dyDescent="0.25">
      <c r="A29" s="253" t="str">
        <f t="shared" si="4"/>
        <v/>
      </c>
      <c r="B29" s="584" t="str">
        <f>IF(LEN(A29)&gt;2,VLOOKUP(A29,COPY!$A$2:$O$1000,4,FALSE),"")</f>
        <v/>
      </c>
      <c r="C29" s="585" t="str">
        <f>IF(LEN(A29)&gt;2,VLOOKUP(A29,COPY!$A$2:$O$1000,15,FALSE),"")</f>
        <v/>
      </c>
      <c r="D29" s="542" t="str">
        <f>IF(LEN(A29)&gt;2,VLOOKUP(A29,COPY!$A$2:$O$1000,2,FALSE),"")</f>
        <v/>
      </c>
      <c r="E29" s="607" t="str">
        <f>IF(LEN(A29)&gt;2,VLOOKUP(A29,COPY!$A$2:$O$1000,10,FALSE),"")</f>
        <v/>
      </c>
      <c r="F29" s="542" t="str">
        <f>IF(LEN(A29)&gt;2,VLOOKUP(A29,COPY!$A$2:$O$1000,8,FALSE),"")</f>
        <v/>
      </c>
      <c r="G29" s="543" t="str">
        <f>IF(LEN(A29)&gt;2,VLOOKUP(A29,COPY!$A$2:$O$1000,7,FALSE),"")</f>
        <v/>
      </c>
      <c r="H29" s="544" t="str">
        <f t="shared" si="0"/>
        <v/>
      </c>
      <c r="I29" s="545" t="str">
        <f>IFERROR(IF(LEN(A29)&gt;2,VLOOKUP(A29,COPY!$A$2:$O$1000,13,FALSE),"")/E29,"")</f>
        <v/>
      </c>
      <c r="J29" s="546"/>
      <c r="K29" s="547" t="str">
        <f t="shared" si="1"/>
        <v/>
      </c>
      <c r="L29" s="548" t="str">
        <f t="shared" si="5"/>
        <v/>
      </c>
      <c r="M29" s="549">
        <f t="shared" si="3"/>
        <v>0</v>
      </c>
      <c r="O29" s="538" t="str">
        <f t="shared" si="6"/>
        <v/>
      </c>
      <c r="P29" s="550"/>
      <c r="Q29" s="551"/>
    </row>
    <row r="30" spans="1:17" s="253" customFormat="1" ht="20.100000000000001" hidden="1" customHeight="1" x14ac:dyDescent="0.25">
      <c r="A30" s="253" t="str">
        <f t="shared" si="4"/>
        <v/>
      </c>
      <c r="B30" s="584" t="str">
        <f>IF(LEN(A30)&gt;2,VLOOKUP(A30,COPY!$A$2:$O$1000,4,FALSE),"")</f>
        <v/>
      </c>
      <c r="C30" s="585" t="str">
        <f>IF(LEN(A30)&gt;2,VLOOKUP(A30,COPY!$A$2:$O$1000,15,FALSE),"")</f>
        <v/>
      </c>
      <c r="D30" s="542" t="str">
        <f>IF(LEN(A30)&gt;2,VLOOKUP(A30,COPY!$A$2:$O$1000,2,FALSE),"")</f>
        <v/>
      </c>
      <c r="E30" s="607" t="str">
        <f>IF(LEN(A30)&gt;2,VLOOKUP(A30,COPY!$A$2:$O$1000,10,FALSE),"")</f>
        <v/>
      </c>
      <c r="F30" s="542" t="str">
        <f>IF(LEN(A30)&gt;2,VLOOKUP(A30,COPY!$A$2:$O$1000,8,FALSE),"")</f>
        <v/>
      </c>
      <c r="G30" s="543" t="str">
        <f>IF(LEN(A30)&gt;2,VLOOKUP(A30,COPY!$A$2:$O$1000,7,FALSE),"")</f>
        <v/>
      </c>
      <c r="H30" s="544" t="str">
        <f t="shared" si="0"/>
        <v/>
      </c>
      <c r="I30" s="545" t="str">
        <f>IFERROR(IF(LEN(A30)&gt;2,VLOOKUP(A30,COPY!$A$2:$O$1000,13,FALSE),"")/E30,"")</f>
        <v/>
      </c>
      <c r="J30" s="546"/>
      <c r="K30" s="547" t="str">
        <f t="shared" si="1"/>
        <v/>
      </c>
      <c r="L30" s="548" t="str">
        <f t="shared" si="5"/>
        <v/>
      </c>
      <c r="M30" s="549">
        <f t="shared" si="3"/>
        <v>0</v>
      </c>
      <c r="O30" s="538" t="str">
        <f t="shared" si="6"/>
        <v/>
      </c>
      <c r="P30" s="550"/>
      <c r="Q30" s="551"/>
    </row>
    <row r="31" spans="1:17" s="253" customFormat="1" ht="20.100000000000001" hidden="1" customHeight="1" x14ac:dyDescent="0.25">
      <c r="A31" s="253" t="str">
        <f t="shared" si="4"/>
        <v/>
      </c>
      <c r="B31" s="584" t="str">
        <f>IF(LEN(A31)&gt;2,VLOOKUP(A31,COPY!$A$2:$O$1000,4,FALSE),"")</f>
        <v/>
      </c>
      <c r="C31" s="585" t="str">
        <f>IF(LEN(A31)&gt;2,VLOOKUP(A31,COPY!$A$2:$O$1000,15,FALSE),"")</f>
        <v/>
      </c>
      <c r="D31" s="542" t="str">
        <f>IF(LEN(A31)&gt;2,VLOOKUP(A31,COPY!$A$2:$O$1000,2,FALSE),"")</f>
        <v/>
      </c>
      <c r="E31" s="607" t="str">
        <f>IF(LEN(A31)&gt;2,VLOOKUP(A31,COPY!$A$2:$O$1000,10,FALSE),"")</f>
        <v/>
      </c>
      <c r="F31" s="542" t="str">
        <f>IF(LEN(A31)&gt;2,VLOOKUP(A31,COPY!$A$2:$O$1000,8,FALSE),"")</f>
        <v/>
      </c>
      <c r="G31" s="543" t="str">
        <f>IF(LEN(A31)&gt;2,VLOOKUP(A31,COPY!$A$2:$O$1000,7,FALSE),"")</f>
        <v/>
      </c>
      <c r="H31" s="544" t="str">
        <f t="shared" si="0"/>
        <v/>
      </c>
      <c r="I31" s="545" t="str">
        <f>IFERROR(IF(LEN(A31)&gt;2,VLOOKUP(A31,COPY!$A$2:$O$1000,13,FALSE),"")/E31,"")</f>
        <v/>
      </c>
      <c r="J31" s="546"/>
      <c r="K31" s="547" t="str">
        <f t="shared" si="1"/>
        <v/>
      </c>
      <c r="L31" s="548" t="str">
        <f t="shared" si="5"/>
        <v/>
      </c>
      <c r="M31" s="549">
        <f t="shared" si="3"/>
        <v>0</v>
      </c>
      <c r="O31" s="538" t="str">
        <f t="shared" si="6"/>
        <v/>
      </c>
      <c r="P31" s="550"/>
      <c r="Q31" s="551"/>
    </row>
    <row r="32" spans="1:17" s="253" customFormat="1" ht="20.100000000000001" hidden="1" customHeight="1" x14ac:dyDescent="0.25">
      <c r="A32" s="253" t="str">
        <f t="shared" si="4"/>
        <v/>
      </c>
      <c r="B32" s="584" t="str">
        <f>IF(LEN(A32)&gt;2,VLOOKUP(A32,COPY!$A$2:$O$1000,4,FALSE),"")</f>
        <v/>
      </c>
      <c r="C32" s="585" t="str">
        <f>IF(LEN(A32)&gt;2,VLOOKUP(A32,COPY!$A$2:$O$1000,15,FALSE),"")</f>
        <v/>
      </c>
      <c r="D32" s="542" t="str">
        <f>IF(LEN(A32)&gt;2,VLOOKUP(A32,COPY!$A$2:$O$1000,2,FALSE),"")</f>
        <v/>
      </c>
      <c r="E32" s="607" t="str">
        <f>IF(LEN(A32)&gt;2,VLOOKUP(A32,COPY!$A$2:$O$1000,10,FALSE),"")</f>
        <v/>
      </c>
      <c r="F32" s="542" t="str">
        <f>IF(LEN(A32)&gt;2,VLOOKUP(A32,COPY!$A$2:$O$1000,8,FALSE),"")</f>
        <v/>
      </c>
      <c r="G32" s="543" t="str">
        <f>IF(LEN(A32)&gt;2,VLOOKUP(A32,COPY!$A$2:$O$1000,7,FALSE),"")</f>
        <v/>
      </c>
      <c r="H32" s="544" t="str">
        <f t="shared" si="0"/>
        <v/>
      </c>
      <c r="I32" s="545" t="str">
        <f>IFERROR(IF(LEN(A32)&gt;2,VLOOKUP(A32,COPY!$A$2:$O$1000,13,FALSE),"")/E32,"")</f>
        <v/>
      </c>
      <c r="J32" s="546"/>
      <c r="K32" s="547" t="str">
        <f t="shared" si="1"/>
        <v/>
      </c>
      <c r="L32" s="548" t="str">
        <f t="shared" si="5"/>
        <v/>
      </c>
      <c r="M32" s="549">
        <f t="shared" si="3"/>
        <v>0</v>
      </c>
      <c r="O32" s="538" t="str">
        <f t="shared" si="6"/>
        <v/>
      </c>
      <c r="P32" s="550"/>
      <c r="Q32" s="551"/>
    </row>
    <row r="33" spans="1:17" s="253" customFormat="1" ht="20.100000000000001" hidden="1" customHeight="1" x14ac:dyDescent="0.25">
      <c r="A33" s="253" t="str">
        <f t="shared" si="4"/>
        <v/>
      </c>
      <c r="B33" s="584" t="str">
        <f>IF(LEN(A33)&gt;2,VLOOKUP(A33,COPY!$A$2:$O$1000,4,FALSE),"")</f>
        <v/>
      </c>
      <c r="C33" s="585" t="str">
        <f>IF(LEN(A33)&gt;2,VLOOKUP(A33,COPY!$A$2:$O$1000,15,FALSE),"")</f>
        <v/>
      </c>
      <c r="D33" s="542" t="str">
        <f>IF(LEN(A33)&gt;2,VLOOKUP(A33,COPY!$A$2:$O$1000,2,FALSE),"")</f>
        <v/>
      </c>
      <c r="E33" s="607" t="str">
        <f>IF(LEN(A33)&gt;2,VLOOKUP(A33,COPY!$A$2:$O$1000,10,FALSE),"")</f>
        <v/>
      </c>
      <c r="F33" s="542" t="str">
        <f>IF(LEN(A33)&gt;2,VLOOKUP(A33,COPY!$A$2:$O$1000,8,FALSE),"")</f>
        <v/>
      </c>
      <c r="G33" s="543" t="str">
        <f>IF(LEN(A33)&gt;2,VLOOKUP(A33,COPY!$A$2:$O$1000,7,FALSE),"")</f>
        <v/>
      </c>
      <c r="H33" s="544" t="str">
        <f t="shared" si="0"/>
        <v/>
      </c>
      <c r="I33" s="545" t="str">
        <f>IFERROR(IF(LEN(A33)&gt;2,VLOOKUP(A33,COPY!$A$2:$O$1000,13,FALSE),"")/E33,"")</f>
        <v/>
      </c>
      <c r="J33" s="546"/>
      <c r="K33" s="547" t="str">
        <f t="shared" si="1"/>
        <v/>
      </c>
      <c r="L33" s="548" t="str">
        <f t="shared" si="5"/>
        <v/>
      </c>
      <c r="M33" s="549">
        <f t="shared" si="3"/>
        <v>0</v>
      </c>
      <c r="O33" s="538" t="str">
        <f t="shared" si="6"/>
        <v/>
      </c>
      <c r="P33" s="550"/>
      <c r="Q33" s="551"/>
    </row>
    <row r="34" spans="1:17" s="253" customFormat="1" ht="20.100000000000001" hidden="1" customHeight="1" x14ac:dyDescent="0.25">
      <c r="A34" s="253" t="str">
        <f t="shared" si="4"/>
        <v/>
      </c>
      <c r="B34" s="584" t="str">
        <f>IF(LEN(A34)&gt;2,VLOOKUP(A34,COPY!$A$2:$O$1000,4,FALSE),"")</f>
        <v/>
      </c>
      <c r="C34" s="585" t="str">
        <f>IF(LEN(A34)&gt;2,VLOOKUP(A34,COPY!$A$2:$O$1000,15,FALSE),"")</f>
        <v/>
      </c>
      <c r="D34" s="542" t="str">
        <f>IF(LEN(A34)&gt;2,VLOOKUP(A34,COPY!$A$2:$O$1000,2,FALSE),"")</f>
        <v/>
      </c>
      <c r="E34" s="607" t="str">
        <f>IF(LEN(A34)&gt;2,VLOOKUP(A34,COPY!$A$2:$O$1000,10,FALSE),"")</f>
        <v/>
      </c>
      <c r="F34" s="542" t="str">
        <f>IF(LEN(A34)&gt;2,VLOOKUP(A34,COPY!$A$2:$O$1000,8,FALSE),"")</f>
        <v/>
      </c>
      <c r="G34" s="543" t="str">
        <f>IF(LEN(A34)&gt;2,VLOOKUP(A34,COPY!$A$2:$O$1000,7,FALSE),"")</f>
        <v/>
      </c>
      <c r="H34" s="544" t="str">
        <f t="shared" si="0"/>
        <v/>
      </c>
      <c r="I34" s="545" t="str">
        <f>IFERROR(IF(LEN(A34)&gt;2,VLOOKUP(A34,COPY!$A$2:$O$1000,13,FALSE),"")/E34,"")</f>
        <v/>
      </c>
      <c r="J34" s="546"/>
      <c r="K34" s="547" t="str">
        <f t="shared" si="1"/>
        <v/>
      </c>
      <c r="L34" s="548" t="str">
        <f t="shared" si="5"/>
        <v/>
      </c>
      <c r="M34" s="549">
        <f t="shared" si="3"/>
        <v>0</v>
      </c>
      <c r="O34" s="538" t="str">
        <f t="shared" si="6"/>
        <v/>
      </c>
      <c r="P34" s="550"/>
      <c r="Q34" s="551"/>
    </row>
    <row r="35" spans="1:17" s="253" customFormat="1" ht="20.100000000000001" hidden="1" customHeight="1" x14ac:dyDescent="0.25">
      <c r="A35" s="253" t="str">
        <f t="shared" si="4"/>
        <v/>
      </c>
      <c r="B35" s="584" t="str">
        <f>IF(LEN(A35)&gt;2,VLOOKUP(A35,COPY!$A$2:$O$1000,4,FALSE),"")</f>
        <v/>
      </c>
      <c r="C35" s="585" t="str">
        <f>IF(LEN(A35)&gt;2,VLOOKUP(A35,COPY!$A$2:$O$1000,15,FALSE),"")</f>
        <v/>
      </c>
      <c r="D35" s="542" t="str">
        <f>IF(LEN(A35)&gt;2,VLOOKUP(A35,COPY!$A$2:$O$1000,2,FALSE),"")</f>
        <v/>
      </c>
      <c r="E35" s="607" t="str">
        <f>IF(LEN(A35)&gt;2,VLOOKUP(A35,COPY!$A$2:$O$1000,10,FALSE),"")</f>
        <v/>
      </c>
      <c r="F35" s="542" t="str">
        <f>IF(LEN(A35)&gt;2,VLOOKUP(A35,COPY!$A$2:$O$1000,8,FALSE),"")</f>
        <v/>
      </c>
      <c r="G35" s="543" t="str">
        <f>IF(LEN(A35)&gt;2,VLOOKUP(A35,COPY!$A$2:$O$1000,7,FALSE),"")</f>
        <v/>
      </c>
      <c r="H35" s="544" t="str">
        <f t="shared" si="0"/>
        <v/>
      </c>
      <c r="I35" s="545" t="str">
        <f>IFERROR(IF(LEN(A35)&gt;2,VLOOKUP(A35,COPY!$A$2:$O$1000,13,FALSE),"")/E35,"")</f>
        <v/>
      </c>
      <c r="J35" s="546"/>
      <c r="K35" s="547" t="str">
        <f t="shared" si="1"/>
        <v/>
      </c>
      <c r="L35" s="548" t="str">
        <f t="shared" si="5"/>
        <v/>
      </c>
      <c r="M35" s="549">
        <f t="shared" si="3"/>
        <v>0</v>
      </c>
      <c r="O35" s="538" t="str">
        <f t="shared" si="6"/>
        <v/>
      </c>
      <c r="P35" s="550"/>
      <c r="Q35" s="551"/>
    </row>
    <row r="36" spans="1:17" s="253" customFormat="1" ht="20.100000000000001" hidden="1" customHeight="1" x14ac:dyDescent="0.25">
      <c r="A36" s="253" t="str">
        <f t="shared" si="4"/>
        <v/>
      </c>
      <c r="B36" s="584" t="str">
        <f>IF(LEN(A36)&gt;2,VLOOKUP(A36,COPY!$A$2:$O$1000,4,FALSE),"")</f>
        <v/>
      </c>
      <c r="C36" s="585" t="str">
        <f>IF(LEN(A36)&gt;2,VLOOKUP(A36,COPY!$A$2:$O$1000,15,FALSE),"")</f>
        <v/>
      </c>
      <c r="D36" s="542" t="str">
        <f>IF(LEN(A36)&gt;2,VLOOKUP(A36,COPY!$A$2:$O$1000,2,FALSE),"")</f>
        <v/>
      </c>
      <c r="E36" s="607" t="str">
        <f>IF(LEN(A36)&gt;2,VLOOKUP(A36,COPY!$A$2:$O$1000,10,FALSE),"")</f>
        <v/>
      </c>
      <c r="F36" s="542" t="str">
        <f>IF(LEN(A36)&gt;2,VLOOKUP(A36,COPY!$A$2:$O$1000,8,FALSE),"")</f>
        <v/>
      </c>
      <c r="G36" s="543" t="str">
        <f>IF(LEN(A36)&gt;2,VLOOKUP(A36,COPY!$A$2:$O$1000,7,FALSE),"")</f>
        <v/>
      </c>
      <c r="H36" s="544" t="str">
        <f t="shared" si="0"/>
        <v/>
      </c>
      <c r="I36" s="545" t="str">
        <f>IFERROR(IF(LEN(A36)&gt;2,VLOOKUP(A36,COPY!$A$2:$O$1000,13,FALSE),"")/E36,"")</f>
        <v/>
      </c>
      <c r="J36" s="546"/>
      <c r="K36" s="547" t="str">
        <f t="shared" si="1"/>
        <v/>
      </c>
      <c r="L36" s="548" t="str">
        <f t="shared" si="5"/>
        <v/>
      </c>
      <c r="M36" s="549">
        <f t="shared" si="3"/>
        <v>0</v>
      </c>
      <c r="O36" s="538" t="str">
        <f t="shared" si="6"/>
        <v/>
      </c>
      <c r="P36" s="550"/>
      <c r="Q36" s="551"/>
    </row>
    <row r="37" spans="1:17" s="253" customFormat="1" ht="20.100000000000001" hidden="1" customHeight="1" x14ac:dyDescent="0.25">
      <c r="A37" s="253" t="str">
        <f t="shared" si="4"/>
        <v/>
      </c>
      <c r="B37" s="584" t="str">
        <f>IF(LEN(A37)&gt;2,VLOOKUP(A37,COPY!$A$2:$O$1000,4,FALSE),"")</f>
        <v/>
      </c>
      <c r="C37" s="585" t="str">
        <f>IF(LEN(A37)&gt;2,VLOOKUP(A37,COPY!$A$2:$O$1000,15,FALSE),"")</f>
        <v/>
      </c>
      <c r="D37" s="542" t="str">
        <f>IF(LEN(A37)&gt;2,VLOOKUP(A37,COPY!$A$2:$O$1000,2,FALSE),"")</f>
        <v/>
      </c>
      <c r="E37" s="607" t="str">
        <f>IF(LEN(A37)&gt;2,VLOOKUP(A37,COPY!$A$2:$O$1000,10,FALSE),"")</f>
        <v/>
      </c>
      <c r="F37" s="542" t="str">
        <f>IF(LEN(A37)&gt;2,VLOOKUP(A37,COPY!$A$2:$O$1000,8,FALSE),"")</f>
        <v/>
      </c>
      <c r="G37" s="543" t="str">
        <f>IF(LEN(A37)&gt;2,VLOOKUP(A37,COPY!$A$2:$O$1000,7,FALSE),"")</f>
        <v/>
      </c>
      <c r="H37" s="544" t="str">
        <f t="shared" si="0"/>
        <v/>
      </c>
      <c r="I37" s="545" t="str">
        <f>IFERROR(IF(LEN(A37)&gt;2,VLOOKUP(A37,COPY!$A$2:$O$1000,13,FALSE),"")/E37,"")</f>
        <v/>
      </c>
      <c r="J37" s="546"/>
      <c r="K37" s="547" t="str">
        <f t="shared" si="1"/>
        <v/>
      </c>
      <c r="L37" s="548" t="str">
        <f t="shared" si="5"/>
        <v/>
      </c>
      <c r="M37" s="549">
        <f t="shared" si="3"/>
        <v>0</v>
      </c>
      <c r="O37" s="538" t="str">
        <f t="shared" si="6"/>
        <v/>
      </c>
      <c r="P37" s="550"/>
      <c r="Q37" s="551"/>
    </row>
    <row r="38" spans="1:17" s="253" customFormat="1" ht="20.100000000000001" hidden="1" customHeight="1" x14ac:dyDescent="0.25">
      <c r="A38" s="253" t="str">
        <f t="shared" si="4"/>
        <v/>
      </c>
      <c r="B38" s="584" t="str">
        <f>IF(LEN(A38)&gt;2,VLOOKUP(A38,COPY!$A$2:$O$1000,4,FALSE),"")</f>
        <v/>
      </c>
      <c r="C38" s="585" t="str">
        <f>IF(LEN(A38)&gt;2,VLOOKUP(A38,COPY!$A$2:$O$1000,15,FALSE),"")</f>
        <v/>
      </c>
      <c r="D38" s="542" t="str">
        <f>IF(LEN(A38)&gt;2,VLOOKUP(A38,COPY!$A$2:$O$1000,2,FALSE),"")</f>
        <v/>
      </c>
      <c r="E38" s="607" t="str">
        <f>IF(LEN(A38)&gt;2,VLOOKUP(A38,COPY!$A$2:$O$1000,10,FALSE),"")</f>
        <v/>
      </c>
      <c r="F38" s="542" t="str">
        <f>IF(LEN(A38)&gt;2,VLOOKUP(A38,COPY!$A$2:$O$1000,8,FALSE),"")</f>
        <v/>
      </c>
      <c r="G38" s="543" t="str">
        <f>IF(LEN(A38)&gt;2,VLOOKUP(A38,COPY!$A$2:$O$1000,7,FALSE),"")</f>
        <v/>
      </c>
      <c r="H38" s="544" t="str">
        <f t="shared" si="0"/>
        <v/>
      </c>
      <c r="I38" s="545" t="str">
        <f>IFERROR(IF(LEN(A38)&gt;2,VLOOKUP(A38,COPY!$A$2:$O$1000,13,FALSE),"")/E38,"")</f>
        <v/>
      </c>
      <c r="J38" s="546"/>
      <c r="K38" s="547" t="str">
        <f t="shared" si="1"/>
        <v/>
      </c>
      <c r="L38" s="548" t="str">
        <f t="shared" si="5"/>
        <v/>
      </c>
      <c r="M38" s="549">
        <f t="shared" si="3"/>
        <v>0</v>
      </c>
      <c r="O38" s="538" t="str">
        <f t="shared" si="6"/>
        <v/>
      </c>
      <c r="P38" s="550"/>
      <c r="Q38" s="551"/>
    </row>
    <row r="39" spans="1:17" s="253" customFormat="1" ht="20.100000000000001" hidden="1" customHeight="1" x14ac:dyDescent="0.25">
      <c r="A39" s="253" t="str">
        <f t="shared" si="4"/>
        <v/>
      </c>
      <c r="B39" s="584" t="str">
        <f>IF(LEN(A39)&gt;2,VLOOKUP(A39,COPY!$A$2:$O$1000,4,FALSE),"")</f>
        <v/>
      </c>
      <c r="C39" s="585" t="str">
        <f>IF(LEN(A39)&gt;2,VLOOKUP(A39,COPY!$A$2:$O$1000,15,FALSE),"")</f>
        <v/>
      </c>
      <c r="D39" s="542" t="str">
        <f>IF(LEN(A39)&gt;2,VLOOKUP(A39,COPY!$A$2:$O$1000,2,FALSE),"")</f>
        <v/>
      </c>
      <c r="E39" s="607" t="str">
        <f>IF(LEN(A39)&gt;2,VLOOKUP(A39,COPY!$A$2:$O$1000,10,FALSE),"")</f>
        <v/>
      </c>
      <c r="F39" s="542" t="str">
        <f>IF(LEN(A39)&gt;2,VLOOKUP(A39,COPY!$A$2:$O$1000,8,FALSE),"")</f>
        <v/>
      </c>
      <c r="G39" s="543" t="str">
        <f>IF(LEN(A39)&gt;2,VLOOKUP(A39,COPY!$A$2:$O$1000,7,FALSE),"")</f>
        <v/>
      </c>
      <c r="H39" s="544" t="str">
        <f t="shared" si="0"/>
        <v/>
      </c>
      <c r="I39" s="545" t="str">
        <f>IFERROR(IF(LEN(A39)&gt;2,VLOOKUP(A39,COPY!$A$2:$O$1000,13,FALSE),"")/E39,"")</f>
        <v/>
      </c>
      <c r="J39" s="546"/>
      <c r="K39" s="547" t="str">
        <f t="shared" si="1"/>
        <v/>
      </c>
      <c r="L39" s="548" t="str">
        <f t="shared" si="5"/>
        <v/>
      </c>
      <c r="M39" s="549">
        <f t="shared" si="3"/>
        <v>0</v>
      </c>
      <c r="O39" s="538" t="str">
        <f t="shared" si="6"/>
        <v/>
      </c>
      <c r="P39" s="550"/>
      <c r="Q39" s="551"/>
    </row>
    <row r="40" spans="1:17" s="253" customFormat="1" ht="20.100000000000001" hidden="1" customHeight="1" x14ac:dyDescent="0.25">
      <c r="A40" s="253" t="str">
        <f t="shared" si="4"/>
        <v/>
      </c>
      <c r="B40" s="584" t="str">
        <f>IF(LEN(A40)&gt;2,VLOOKUP(A40,COPY!$A$2:$O$1000,4,FALSE),"")</f>
        <v/>
      </c>
      <c r="C40" s="585" t="str">
        <f>IF(LEN(A40)&gt;2,VLOOKUP(A40,COPY!$A$2:$O$1000,15,FALSE),"")</f>
        <v/>
      </c>
      <c r="D40" s="542" t="str">
        <f>IF(LEN(A40)&gt;2,VLOOKUP(A40,COPY!$A$2:$O$1000,2,FALSE),"")</f>
        <v/>
      </c>
      <c r="E40" s="607" t="str">
        <f>IF(LEN(A40)&gt;2,VLOOKUP(A40,COPY!$A$2:$O$1000,10,FALSE),"")</f>
        <v/>
      </c>
      <c r="F40" s="542" t="str">
        <f>IF(LEN(A40)&gt;2,VLOOKUP(A40,COPY!$A$2:$O$1000,8,FALSE),"")</f>
        <v/>
      </c>
      <c r="G40" s="543" t="str">
        <f>IF(LEN(A40)&gt;2,VLOOKUP(A40,COPY!$A$2:$O$1000,7,FALSE),"")</f>
        <v/>
      </c>
      <c r="H40" s="544" t="str">
        <f t="shared" si="0"/>
        <v/>
      </c>
      <c r="I40" s="545" t="str">
        <f>IFERROR(IF(LEN(A40)&gt;2,VLOOKUP(A40,COPY!$A$2:$O$1000,13,FALSE),"")/E40,"")</f>
        <v/>
      </c>
      <c r="J40" s="546"/>
      <c r="K40" s="547" t="str">
        <f t="shared" si="1"/>
        <v/>
      </c>
      <c r="L40" s="548" t="str">
        <f t="shared" si="5"/>
        <v/>
      </c>
      <c r="M40" s="549">
        <f t="shared" si="3"/>
        <v>0</v>
      </c>
      <c r="O40" s="538" t="str">
        <f t="shared" si="6"/>
        <v/>
      </c>
      <c r="P40" s="550"/>
      <c r="Q40" s="551"/>
    </row>
    <row r="41" spans="1:17" s="253" customFormat="1" ht="20.100000000000001" hidden="1" customHeight="1" x14ac:dyDescent="0.25">
      <c r="A41" s="253" t="str">
        <f t="shared" si="4"/>
        <v/>
      </c>
      <c r="B41" s="584" t="str">
        <f>IF(LEN(A41)&gt;2,VLOOKUP(A41,COPY!$A$2:$O$1000,4,FALSE),"")</f>
        <v/>
      </c>
      <c r="C41" s="585" t="str">
        <f>IF(LEN(A41)&gt;2,VLOOKUP(A41,COPY!$A$2:$O$1000,15,FALSE),"")</f>
        <v/>
      </c>
      <c r="D41" s="542" t="str">
        <f>IF(LEN(A41)&gt;2,VLOOKUP(A41,COPY!$A$2:$O$1000,2,FALSE),"")</f>
        <v/>
      </c>
      <c r="E41" s="607" t="str">
        <f>IF(LEN(A41)&gt;2,VLOOKUP(A41,COPY!$A$2:$O$1000,10,FALSE),"")</f>
        <v/>
      </c>
      <c r="F41" s="542" t="str">
        <f>IF(LEN(A41)&gt;2,VLOOKUP(A41,COPY!$A$2:$O$1000,8,FALSE),"")</f>
        <v/>
      </c>
      <c r="G41" s="543" t="str">
        <f>IF(LEN(A41)&gt;2,VLOOKUP(A41,COPY!$A$2:$O$1000,7,FALSE),"")</f>
        <v/>
      </c>
      <c r="H41" s="544" t="str">
        <f t="shared" si="0"/>
        <v/>
      </c>
      <c r="I41" s="545" t="str">
        <f>IFERROR(IF(LEN(A41)&gt;2,VLOOKUP(A41,COPY!$A$2:$O$1000,13,FALSE),"")/E41,"")</f>
        <v/>
      </c>
      <c r="J41" s="546"/>
      <c r="K41" s="547" t="str">
        <f t="shared" si="1"/>
        <v/>
      </c>
      <c r="L41" s="548" t="str">
        <f t="shared" si="5"/>
        <v/>
      </c>
      <c r="M41" s="549">
        <f t="shared" si="3"/>
        <v>0</v>
      </c>
      <c r="O41" s="538" t="str">
        <f t="shared" si="6"/>
        <v/>
      </c>
      <c r="P41" s="550"/>
      <c r="Q41" s="551"/>
    </row>
    <row r="42" spans="1:17" s="253" customFormat="1" ht="20.100000000000001" hidden="1" customHeight="1" x14ac:dyDescent="0.25">
      <c r="A42" s="253" t="str">
        <f t="shared" si="4"/>
        <v/>
      </c>
      <c r="B42" s="584" t="str">
        <f>IF(LEN(A42)&gt;2,VLOOKUP(A42,COPY!$A$2:$O$1000,4,FALSE),"")</f>
        <v/>
      </c>
      <c r="C42" s="585" t="str">
        <f>IF(LEN(A42)&gt;2,VLOOKUP(A42,COPY!$A$2:$O$1000,15,FALSE),"")</f>
        <v/>
      </c>
      <c r="D42" s="542" t="str">
        <f>IF(LEN(A42)&gt;2,VLOOKUP(A42,COPY!$A$2:$O$1000,2,FALSE),"")</f>
        <v/>
      </c>
      <c r="E42" s="607" t="str">
        <f>IF(LEN(A42)&gt;2,VLOOKUP(A42,COPY!$A$2:$O$1000,10,FALSE),"")</f>
        <v/>
      </c>
      <c r="F42" s="542" t="str">
        <f>IF(LEN(A42)&gt;2,VLOOKUP(A42,COPY!$A$2:$O$1000,8,FALSE),"")</f>
        <v/>
      </c>
      <c r="G42" s="543" t="str">
        <f>IF(LEN(A42)&gt;2,VLOOKUP(A42,COPY!$A$2:$O$1000,7,FALSE),"")</f>
        <v/>
      </c>
      <c r="H42" s="544" t="str">
        <f t="shared" si="0"/>
        <v/>
      </c>
      <c r="I42" s="545" t="str">
        <f>IFERROR(IF(LEN(A42)&gt;2,VLOOKUP(A42,COPY!$A$2:$O$1000,13,FALSE),"")/E42,"")</f>
        <v/>
      </c>
      <c r="J42" s="546"/>
      <c r="K42" s="547" t="str">
        <f t="shared" si="1"/>
        <v/>
      </c>
      <c r="L42" s="548" t="str">
        <f t="shared" si="5"/>
        <v/>
      </c>
      <c r="M42" s="549">
        <f t="shared" si="3"/>
        <v>0</v>
      </c>
      <c r="O42" s="538" t="str">
        <f t="shared" si="6"/>
        <v/>
      </c>
      <c r="P42" s="550"/>
      <c r="Q42" s="551"/>
    </row>
    <row r="43" spans="1:17" s="253" customFormat="1" ht="20.100000000000001" hidden="1" customHeight="1" x14ac:dyDescent="0.25">
      <c r="A43" s="253" t="str">
        <f t="shared" si="4"/>
        <v/>
      </c>
      <c r="B43" s="584" t="str">
        <f>IF(LEN(A43)&gt;2,VLOOKUP(A43,COPY!$A$2:$O$1000,4,FALSE),"")</f>
        <v/>
      </c>
      <c r="C43" s="585" t="str">
        <f>IF(LEN(A43)&gt;2,VLOOKUP(A43,COPY!$A$2:$O$1000,15,FALSE),"")</f>
        <v/>
      </c>
      <c r="D43" s="542" t="str">
        <f>IF(LEN(A43)&gt;2,VLOOKUP(A43,COPY!$A$2:$O$1000,2,FALSE),"")</f>
        <v/>
      </c>
      <c r="E43" s="607" t="str">
        <f>IF(LEN(A43)&gt;2,VLOOKUP(A43,COPY!$A$2:$O$1000,10,FALSE),"")</f>
        <v/>
      </c>
      <c r="F43" s="542" t="str">
        <f>IF(LEN(A43)&gt;2,VLOOKUP(A43,COPY!$A$2:$O$1000,8,FALSE),"")</f>
        <v/>
      </c>
      <c r="G43" s="543" t="str">
        <f>IF(LEN(A43)&gt;2,VLOOKUP(A43,COPY!$A$2:$O$1000,7,FALSE),"")</f>
        <v/>
      </c>
      <c r="H43" s="544" t="str">
        <f t="shared" si="0"/>
        <v/>
      </c>
      <c r="I43" s="545" t="str">
        <f>IFERROR(IF(LEN(A43)&gt;2,VLOOKUP(A43,COPY!$A$2:$O$1000,13,FALSE),"")/E43,"")</f>
        <v/>
      </c>
      <c r="J43" s="546"/>
      <c r="K43" s="547" t="str">
        <f t="shared" si="1"/>
        <v/>
      </c>
      <c r="L43" s="548" t="str">
        <f t="shared" si="5"/>
        <v/>
      </c>
      <c r="M43" s="549">
        <f t="shared" si="3"/>
        <v>0</v>
      </c>
      <c r="O43" s="538" t="str">
        <f t="shared" si="6"/>
        <v/>
      </c>
      <c r="P43" s="550"/>
      <c r="Q43" s="551"/>
    </row>
    <row r="44" spans="1:17" s="253" customFormat="1" ht="20.100000000000001" hidden="1" customHeight="1" x14ac:dyDescent="0.25">
      <c r="A44" s="253" t="str">
        <f t="shared" si="4"/>
        <v/>
      </c>
      <c r="B44" s="584" t="str">
        <f>IF(LEN(A44)&gt;2,VLOOKUP(A44,COPY!$A$2:$O$1000,4,FALSE),"")</f>
        <v/>
      </c>
      <c r="C44" s="585" t="str">
        <f>IF(LEN(A44)&gt;2,VLOOKUP(A44,COPY!$A$2:$O$1000,15,FALSE),"")</f>
        <v/>
      </c>
      <c r="D44" s="542" t="str">
        <f>IF(LEN(A44)&gt;2,VLOOKUP(A44,COPY!$A$2:$O$1000,2,FALSE),"")</f>
        <v/>
      </c>
      <c r="E44" s="607" t="str">
        <f>IF(LEN(A44)&gt;2,VLOOKUP(A44,COPY!$A$2:$O$1000,10,FALSE),"")</f>
        <v/>
      </c>
      <c r="F44" s="542" t="str">
        <f>IF(LEN(A44)&gt;2,VLOOKUP(A44,COPY!$A$2:$O$1000,8,FALSE),"")</f>
        <v/>
      </c>
      <c r="G44" s="543" t="str">
        <f>IF(LEN(A44)&gt;2,VLOOKUP(A44,COPY!$A$2:$O$1000,7,FALSE),"")</f>
        <v/>
      </c>
      <c r="H44" s="544" t="str">
        <f t="shared" si="0"/>
        <v/>
      </c>
      <c r="I44" s="545" t="str">
        <f>IFERROR(IF(LEN(A44)&gt;2,VLOOKUP(A44,COPY!$A$2:$O$1000,13,FALSE),"")/E44,"")</f>
        <v/>
      </c>
      <c r="J44" s="546"/>
      <c r="K44" s="547" t="str">
        <f t="shared" si="1"/>
        <v/>
      </c>
      <c r="L44" s="548" t="str">
        <f t="shared" si="5"/>
        <v/>
      </c>
      <c r="M44" s="549">
        <f t="shared" si="3"/>
        <v>0</v>
      </c>
      <c r="O44" s="538" t="str">
        <f t="shared" si="6"/>
        <v/>
      </c>
      <c r="P44" s="550"/>
      <c r="Q44" s="551"/>
    </row>
    <row r="45" spans="1:17" s="253" customFormat="1" ht="20.100000000000001" hidden="1" customHeight="1" x14ac:dyDescent="0.25">
      <c r="A45" s="253" t="str">
        <f t="shared" si="4"/>
        <v/>
      </c>
      <c r="B45" s="584" t="str">
        <f>IF(LEN(A45)&gt;2,VLOOKUP(A45,COPY!$A$2:$O$1000,4,FALSE),"")</f>
        <v/>
      </c>
      <c r="C45" s="585" t="str">
        <f>IF(LEN(A45)&gt;2,VLOOKUP(A45,COPY!$A$2:$O$1000,15,FALSE),"")</f>
        <v/>
      </c>
      <c r="D45" s="542" t="str">
        <f>IF(LEN(A45)&gt;2,VLOOKUP(A45,COPY!$A$2:$O$1000,2,FALSE),"")</f>
        <v/>
      </c>
      <c r="E45" s="607" t="str">
        <f>IF(LEN(A45)&gt;2,VLOOKUP(A45,COPY!$A$2:$O$1000,10,FALSE),"")</f>
        <v/>
      </c>
      <c r="F45" s="542" t="str">
        <f>IF(LEN(A45)&gt;2,VLOOKUP(A45,COPY!$A$2:$O$1000,8,FALSE),"")</f>
        <v/>
      </c>
      <c r="G45" s="543" t="str">
        <f>IF(LEN(A45)&gt;2,VLOOKUP(A45,COPY!$A$2:$O$1000,7,FALSE),"")</f>
        <v/>
      </c>
      <c r="H45" s="544" t="str">
        <f t="shared" si="0"/>
        <v/>
      </c>
      <c r="I45" s="545" t="str">
        <f>IFERROR(IF(LEN(A45)&gt;2,VLOOKUP(A45,COPY!$A$2:$O$1000,13,FALSE),"")/E45,"")</f>
        <v/>
      </c>
      <c r="J45" s="546"/>
      <c r="K45" s="547" t="str">
        <f t="shared" si="1"/>
        <v/>
      </c>
      <c r="L45" s="548" t="str">
        <f t="shared" si="5"/>
        <v/>
      </c>
      <c r="M45" s="549">
        <f t="shared" si="3"/>
        <v>0</v>
      </c>
      <c r="O45" s="538" t="str">
        <f t="shared" si="6"/>
        <v/>
      </c>
      <c r="P45" s="550"/>
      <c r="Q45" s="551"/>
    </row>
    <row r="46" spans="1:17" s="253" customFormat="1" ht="20.100000000000001" hidden="1" customHeight="1" x14ac:dyDescent="0.25">
      <c r="A46" s="253" t="str">
        <f t="shared" si="4"/>
        <v/>
      </c>
      <c r="B46" s="584" t="str">
        <f>IF(LEN(A46)&gt;2,VLOOKUP(A46,COPY!$A$2:$O$1000,4,FALSE),"")</f>
        <v/>
      </c>
      <c r="C46" s="585" t="str">
        <f>IF(LEN(A46)&gt;2,VLOOKUP(A46,COPY!$A$2:$O$1000,15,FALSE),"")</f>
        <v/>
      </c>
      <c r="D46" s="542" t="str">
        <f>IF(LEN(A46)&gt;2,VLOOKUP(A46,COPY!$A$2:$O$1000,2,FALSE),"")</f>
        <v/>
      </c>
      <c r="E46" s="607" t="str">
        <f>IF(LEN(A46)&gt;2,VLOOKUP(A46,COPY!$A$2:$O$1000,10,FALSE),"")</f>
        <v/>
      </c>
      <c r="F46" s="542" t="str">
        <f>IF(LEN(A46)&gt;2,VLOOKUP(A46,COPY!$A$2:$O$1000,8,FALSE),"")</f>
        <v/>
      </c>
      <c r="G46" s="543" t="str">
        <f>IF(LEN(A46)&gt;2,VLOOKUP(A46,COPY!$A$2:$O$1000,7,FALSE),"")</f>
        <v/>
      </c>
      <c r="H46" s="544" t="str">
        <f t="shared" si="0"/>
        <v/>
      </c>
      <c r="I46" s="545" t="str">
        <f>IFERROR(IF(LEN(A46)&gt;2,VLOOKUP(A46,COPY!$A$2:$O$1000,13,FALSE),"")/E46,"")</f>
        <v/>
      </c>
      <c r="J46" s="546"/>
      <c r="K46" s="547" t="str">
        <f t="shared" si="1"/>
        <v/>
      </c>
      <c r="L46" s="548" t="str">
        <f t="shared" si="5"/>
        <v/>
      </c>
      <c r="M46" s="549">
        <f t="shared" si="3"/>
        <v>0</v>
      </c>
      <c r="O46" s="538" t="str">
        <f t="shared" si="6"/>
        <v/>
      </c>
      <c r="P46" s="550"/>
      <c r="Q46" s="551"/>
    </row>
    <row r="47" spans="1:17" s="253" customFormat="1" ht="20.100000000000001" hidden="1" customHeight="1" x14ac:dyDescent="0.25">
      <c r="A47" s="253" t="str">
        <f t="shared" si="4"/>
        <v/>
      </c>
      <c r="B47" s="584" t="str">
        <f>IF(LEN(A47)&gt;2,VLOOKUP(A47,COPY!$A$2:$O$1000,4,FALSE),"")</f>
        <v/>
      </c>
      <c r="C47" s="585" t="str">
        <f>IF(LEN(A47)&gt;2,VLOOKUP(A47,COPY!$A$2:$O$1000,15,FALSE),"")</f>
        <v/>
      </c>
      <c r="D47" s="542" t="str">
        <f>IF(LEN(A47)&gt;2,VLOOKUP(A47,COPY!$A$2:$O$1000,2,FALSE),"")</f>
        <v/>
      </c>
      <c r="E47" s="607" t="str">
        <f>IF(LEN(A47)&gt;2,VLOOKUP(A47,COPY!$A$2:$O$1000,10,FALSE),"")</f>
        <v/>
      </c>
      <c r="F47" s="542" t="str">
        <f>IF(LEN(A47)&gt;2,VLOOKUP(A47,COPY!$A$2:$O$1000,8,FALSE),"")</f>
        <v/>
      </c>
      <c r="G47" s="543" t="str">
        <f>IF(LEN(A47)&gt;2,VLOOKUP(A47,COPY!$A$2:$O$1000,7,FALSE),"")</f>
        <v/>
      </c>
      <c r="H47" s="544" t="str">
        <f t="shared" si="0"/>
        <v/>
      </c>
      <c r="I47" s="545" t="str">
        <f>IFERROR(IF(LEN(A47)&gt;2,VLOOKUP(A47,COPY!$A$2:$O$1000,13,FALSE),"")/E47,"")</f>
        <v/>
      </c>
      <c r="J47" s="546"/>
      <c r="K47" s="547" t="str">
        <f t="shared" si="1"/>
        <v/>
      </c>
      <c r="L47" s="548" t="str">
        <f t="shared" si="5"/>
        <v/>
      </c>
      <c r="M47" s="549">
        <f t="shared" si="3"/>
        <v>0</v>
      </c>
      <c r="O47" s="538" t="str">
        <f t="shared" si="6"/>
        <v/>
      </c>
      <c r="P47" s="550"/>
      <c r="Q47" s="551"/>
    </row>
    <row r="48" spans="1:17" s="253" customFormat="1" ht="20.100000000000001" hidden="1" customHeight="1" x14ac:dyDescent="0.25">
      <c r="A48" s="253" t="str">
        <f t="shared" si="4"/>
        <v/>
      </c>
      <c r="B48" s="584" t="str">
        <f>IF(LEN(A48)&gt;2,VLOOKUP(A48,COPY!$A$2:$O$1000,4,FALSE),"")</f>
        <v/>
      </c>
      <c r="C48" s="585" t="str">
        <f>IF(LEN(A48)&gt;2,VLOOKUP(A48,COPY!$A$2:$O$1000,15,FALSE),"")</f>
        <v/>
      </c>
      <c r="D48" s="542" t="str">
        <f>IF(LEN(A48)&gt;2,VLOOKUP(A48,COPY!$A$2:$O$1000,2,FALSE),"")</f>
        <v/>
      </c>
      <c r="E48" s="607" t="str">
        <f>IF(LEN(A48)&gt;2,VLOOKUP(A48,COPY!$A$2:$O$1000,10,FALSE),"")</f>
        <v/>
      </c>
      <c r="F48" s="542" t="str">
        <f>IF(LEN(A48)&gt;2,VLOOKUP(A48,COPY!$A$2:$O$1000,8,FALSE),"")</f>
        <v/>
      </c>
      <c r="G48" s="543" t="str">
        <f>IF(LEN(A48)&gt;2,VLOOKUP(A48,COPY!$A$2:$O$1000,7,FALSE),"")</f>
        <v/>
      </c>
      <c r="H48" s="544" t="str">
        <f t="shared" si="0"/>
        <v/>
      </c>
      <c r="I48" s="545" t="str">
        <f>IFERROR(IF(LEN(A48)&gt;2,VLOOKUP(A48,COPY!$A$2:$O$1000,13,FALSE),"")/E48,"")</f>
        <v/>
      </c>
      <c r="J48" s="546"/>
      <c r="K48" s="547" t="str">
        <f t="shared" si="1"/>
        <v/>
      </c>
      <c r="L48" s="548" t="str">
        <f t="shared" si="5"/>
        <v/>
      </c>
      <c r="M48" s="549">
        <f t="shared" si="3"/>
        <v>0</v>
      </c>
      <c r="O48" s="538" t="str">
        <f t="shared" si="6"/>
        <v/>
      </c>
      <c r="P48" s="550"/>
      <c r="Q48" s="551"/>
    </row>
    <row r="49" spans="1:17" s="253" customFormat="1" ht="20.100000000000001" hidden="1" customHeight="1" x14ac:dyDescent="0.25">
      <c r="A49" s="253" t="str">
        <f t="shared" si="4"/>
        <v/>
      </c>
      <c r="B49" s="584" t="str">
        <f>IF(LEN(A49)&gt;2,VLOOKUP(A49,COPY!$A$2:$O$1000,4,FALSE),"")</f>
        <v/>
      </c>
      <c r="C49" s="585" t="str">
        <f>IF(LEN(A49)&gt;2,VLOOKUP(A49,COPY!$A$2:$O$1000,15,FALSE),"")</f>
        <v/>
      </c>
      <c r="D49" s="542" t="str">
        <f>IF(LEN(A49)&gt;2,VLOOKUP(A49,COPY!$A$2:$O$1000,2,FALSE),"")</f>
        <v/>
      </c>
      <c r="E49" s="607" t="str">
        <f>IF(LEN(A49)&gt;2,VLOOKUP(A49,COPY!$A$2:$O$1000,10,FALSE),"")</f>
        <v/>
      </c>
      <c r="F49" s="542" t="str">
        <f>IF(LEN(A49)&gt;2,VLOOKUP(A49,COPY!$A$2:$O$1000,8,FALSE),"")</f>
        <v/>
      </c>
      <c r="G49" s="543" t="str">
        <f>IF(LEN(A49)&gt;2,VLOOKUP(A49,COPY!$A$2:$O$1000,7,FALSE),"")</f>
        <v/>
      </c>
      <c r="H49" s="544" t="str">
        <f t="shared" si="0"/>
        <v/>
      </c>
      <c r="I49" s="545" t="str">
        <f>IFERROR(IF(LEN(A49)&gt;2,VLOOKUP(A49,COPY!$A$2:$O$1000,13,FALSE),"")/E49,"")</f>
        <v/>
      </c>
      <c r="J49" s="546"/>
      <c r="K49" s="547" t="str">
        <f t="shared" si="1"/>
        <v/>
      </c>
      <c r="L49" s="548" t="str">
        <f t="shared" si="5"/>
        <v/>
      </c>
      <c r="M49" s="549">
        <f t="shared" si="3"/>
        <v>0</v>
      </c>
      <c r="O49" s="538" t="str">
        <f t="shared" si="6"/>
        <v/>
      </c>
      <c r="P49" s="550"/>
      <c r="Q49" s="551"/>
    </row>
    <row r="50" spans="1:17" s="253" customFormat="1" ht="20.100000000000001" hidden="1" customHeight="1" x14ac:dyDescent="0.25">
      <c r="A50" s="253" t="str">
        <f t="shared" si="4"/>
        <v/>
      </c>
      <c r="B50" s="584" t="str">
        <f>IF(LEN(A50)&gt;2,VLOOKUP(A50,COPY!$A$2:$O$1000,4,FALSE),"")</f>
        <v/>
      </c>
      <c r="C50" s="585" t="str">
        <f>IF(LEN(A50)&gt;2,VLOOKUP(A50,COPY!$A$2:$O$1000,15,FALSE),"")</f>
        <v/>
      </c>
      <c r="D50" s="542" t="str">
        <f>IF(LEN(A50)&gt;2,VLOOKUP(A50,COPY!$A$2:$O$1000,2,FALSE),"")</f>
        <v/>
      </c>
      <c r="E50" s="607" t="str">
        <f>IF(LEN(A50)&gt;2,VLOOKUP(A50,COPY!$A$2:$O$1000,10,FALSE),"")</f>
        <v/>
      </c>
      <c r="F50" s="542" t="str">
        <f>IF(LEN(A50)&gt;2,VLOOKUP(A50,COPY!$A$2:$O$1000,8,FALSE),"")</f>
        <v/>
      </c>
      <c r="G50" s="543" t="str">
        <f>IF(LEN(A50)&gt;2,VLOOKUP(A50,COPY!$A$2:$O$1000,7,FALSE),"")</f>
        <v/>
      </c>
      <c r="H50" s="544" t="str">
        <f t="shared" si="0"/>
        <v/>
      </c>
      <c r="I50" s="545" t="str">
        <f>IFERROR(IF(LEN(A50)&gt;2,VLOOKUP(A50,COPY!$A$2:$O$1000,13,FALSE),"")/E50,"")</f>
        <v/>
      </c>
      <c r="J50" s="546"/>
      <c r="K50" s="547" t="str">
        <f t="shared" si="1"/>
        <v/>
      </c>
      <c r="L50" s="548" t="str">
        <f t="shared" si="5"/>
        <v/>
      </c>
      <c r="M50" s="549">
        <f t="shared" si="3"/>
        <v>0</v>
      </c>
      <c r="O50" s="538" t="str">
        <f t="shared" si="6"/>
        <v/>
      </c>
      <c r="P50" s="550"/>
      <c r="Q50" s="551"/>
    </row>
    <row r="51" spans="1:17" s="253" customFormat="1" ht="20.100000000000001" hidden="1" customHeight="1" x14ac:dyDescent="0.25">
      <c r="A51" s="253" t="str">
        <f t="shared" si="4"/>
        <v/>
      </c>
      <c r="B51" s="584" t="str">
        <f>IF(LEN(A51)&gt;2,VLOOKUP(A51,COPY!$A$2:$O$1000,4,FALSE),"")</f>
        <v/>
      </c>
      <c r="C51" s="585" t="str">
        <f>IF(LEN(A51)&gt;2,VLOOKUP(A51,COPY!$A$2:$O$1000,15,FALSE),"")</f>
        <v/>
      </c>
      <c r="D51" s="542" t="str">
        <f>IF(LEN(A51)&gt;2,VLOOKUP(A51,COPY!$A$2:$O$1000,2,FALSE),"")</f>
        <v/>
      </c>
      <c r="E51" s="607" t="str">
        <f>IF(LEN(A51)&gt;2,VLOOKUP(A51,COPY!$A$2:$O$1000,10,FALSE),"")</f>
        <v/>
      </c>
      <c r="F51" s="542" t="str">
        <f>IF(LEN(A51)&gt;2,VLOOKUP(A51,COPY!$A$2:$O$1000,8,FALSE),"")</f>
        <v/>
      </c>
      <c r="G51" s="543" t="str">
        <f>IF(LEN(A51)&gt;2,VLOOKUP(A51,COPY!$A$2:$O$1000,7,FALSE),"")</f>
        <v/>
      </c>
      <c r="H51" s="544" t="str">
        <f t="shared" si="0"/>
        <v/>
      </c>
      <c r="I51" s="545" t="str">
        <f>IFERROR(IF(LEN(A51)&gt;2,VLOOKUP(A51,COPY!$A$2:$O$1000,13,FALSE),"")/E51,"")</f>
        <v/>
      </c>
      <c r="J51" s="546"/>
      <c r="K51" s="547" t="str">
        <f t="shared" si="1"/>
        <v/>
      </c>
      <c r="L51" s="548" t="str">
        <f t="shared" si="5"/>
        <v/>
      </c>
      <c r="M51" s="549">
        <f t="shared" si="3"/>
        <v>0</v>
      </c>
      <c r="O51" s="538" t="str">
        <f t="shared" si="6"/>
        <v/>
      </c>
      <c r="P51" s="550"/>
      <c r="Q51" s="551"/>
    </row>
    <row r="52" spans="1:17" s="253" customFormat="1" ht="20.100000000000001" hidden="1" customHeight="1" x14ac:dyDescent="0.25">
      <c r="A52" s="253" t="str">
        <f t="shared" si="4"/>
        <v/>
      </c>
      <c r="B52" s="584" t="str">
        <f>IF(LEN(A52)&gt;2,VLOOKUP(A52,COPY!$A$2:$O$1000,4,FALSE),"")</f>
        <v/>
      </c>
      <c r="C52" s="585" t="str">
        <f>IF(LEN(A52)&gt;2,VLOOKUP(A52,COPY!$A$2:$O$1000,15,FALSE),"")</f>
        <v/>
      </c>
      <c r="D52" s="542" t="str">
        <f>IF(LEN(A52)&gt;2,VLOOKUP(A52,COPY!$A$2:$O$1000,2,FALSE),"")</f>
        <v/>
      </c>
      <c r="E52" s="607" t="str">
        <f>IF(LEN(A52)&gt;2,VLOOKUP(A52,COPY!$A$2:$O$1000,10,FALSE),"")</f>
        <v/>
      </c>
      <c r="F52" s="542" t="str">
        <f>IF(LEN(A52)&gt;2,VLOOKUP(A52,COPY!$A$2:$O$1000,8,FALSE),"")</f>
        <v/>
      </c>
      <c r="G52" s="543" t="str">
        <f>IF(LEN(A52)&gt;2,VLOOKUP(A52,COPY!$A$2:$O$1000,7,FALSE),"")</f>
        <v/>
      </c>
      <c r="H52" s="544" t="str">
        <f t="shared" si="0"/>
        <v/>
      </c>
      <c r="I52" s="545" t="str">
        <f>IFERROR(IF(LEN(A52)&gt;2,VLOOKUP(A52,COPY!$A$2:$O$1000,13,FALSE),"")/E52,"")</f>
        <v/>
      </c>
      <c r="J52" s="546"/>
      <c r="K52" s="547" t="str">
        <f t="shared" si="1"/>
        <v/>
      </c>
      <c r="L52" s="548" t="str">
        <f t="shared" si="5"/>
        <v/>
      </c>
      <c r="M52" s="549">
        <f t="shared" si="3"/>
        <v>0</v>
      </c>
      <c r="O52" s="538" t="str">
        <f t="shared" si="6"/>
        <v/>
      </c>
      <c r="P52" s="550"/>
      <c r="Q52" s="551"/>
    </row>
    <row r="53" spans="1:17" s="253" customFormat="1" ht="20.100000000000001" hidden="1" customHeight="1" x14ac:dyDescent="0.25">
      <c r="A53" s="253" t="str">
        <f t="shared" si="4"/>
        <v/>
      </c>
      <c r="B53" s="584" t="str">
        <f>IF(LEN(A53)&gt;2,VLOOKUP(A53,COPY!$A$2:$O$1000,4,FALSE),"")</f>
        <v/>
      </c>
      <c r="C53" s="585" t="str">
        <f>IF(LEN(A53)&gt;2,VLOOKUP(A53,COPY!$A$2:$O$1000,15,FALSE),"")</f>
        <v/>
      </c>
      <c r="D53" s="542" t="str">
        <f>IF(LEN(A53)&gt;2,VLOOKUP(A53,COPY!$A$2:$O$1000,2,FALSE),"")</f>
        <v/>
      </c>
      <c r="E53" s="607" t="str">
        <f>IF(LEN(A53)&gt;2,VLOOKUP(A53,COPY!$A$2:$O$1000,10,FALSE),"")</f>
        <v/>
      </c>
      <c r="F53" s="542" t="str">
        <f>IF(LEN(A53)&gt;2,VLOOKUP(A53,COPY!$A$2:$O$1000,8,FALSE),"")</f>
        <v/>
      </c>
      <c r="G53" s="543" t="str">
        <f>IF(LEN(A53)&gt;2,VLOOKUP(A53,COPY!$A$2:$O$1000,7,FALSE),"")</f>
        <v/>
      </c>
      <c r="H53" s="544" t="str">
        <f t="shared" si="0"/>
        <v/>
      </c>
      <c r="I53" s="545" t="str">
        <f>IFERROR(IF(LEN(A53)&gt;2,VLOOKUP(A53,COPY!$A$2:$O$1000,13,FALSE),"")/E53,"")</f>
        <v/>
      </c>
      <c r="J53" s="546"/>
      <c r="K53" s="547" t="str">
        <f t="shared" si="1"/>
        <v/>
      </c>
      <c r="L53" s="548" t="str">
        <f t="shared" si="5"/>
        <v/>
      </c>
      <c r="M53" s="549">
        <f t="shared" si="3"/>
        <v>0</v>
      </c>
      <c r="O53" s="538" t="str">
        <f t="shared" si="6"/>
        <v/>
      </c>
      <c r="P53" s="550"/>
      <c r="Q53" s="551"/>
    </row>
    <row r="54" spans="1:17" s="253" customFormat="1" ht="20.100000000000001" hidden="1" customHeight="1" x14ac:dyDescent="0.25">
      <c r="A54" s="253" t="str">
        <f t="shared" si="4"/>
        <v/>
      </c>
      <c r="B54" s="584" t="str">
        <f>IF(LEN(A54)&gt;2,VLOOKUP(A54,COPY!$A$2:$O$1000,4,FALSE),"")</f>
        <v/>
      </c>
      <c r="C54" s="585" t="str">
        <f>IF(LEN(A54)&gt;2,VLOOKUP(A54,COPY!$A$2:$O$1000,15,FALSE),"")</f>
        <v/>
      </c>
      <c r="D54" s="542" t="str">
        <f>IF(LEN(A54)&gt;2,VLOOKUP(A54,COPY!$A$2:$O$1000,2,FALSE),"")</f>
        <v/>
      </c>
      <c r="E54" s="607" t="str">
        <f>IF(LEN(A54)&gt;2,VLOOKUP(A54,COPY!$A$2:$O$1000,10,FALSE),"")</f>
        <v/>
      </c>
      <c r="F54" s="542" t="str">
        <f>IF(LEN(A54)&gt;2,VLOOKUP(A54,COPY!$A$2:$O$1000,8,FALSE),"")</f>
        <v/>
      </c>
      <c r="G54" s="543" t="str">
        <f>IF(LEN(A54)&gt;2,VLOOKUP(A54,COPY!$A$2:$O$1000,7,FALSE),"")</f>
        <v/>
      </c>
      <c r="H54" s="544" t="str">
        <f t="shared" si="0"/>
        <v/>
      </c>
      <c r="I54" s="545" t="str">
        <f>IFERROR(IF(LEN(A54)&gt;2,VLOOKUP(A54,COPY!$A$2:$O$1000,13,FALSE),"")/E54,"")</f>
        <v/>
      </c>
      <c r="J54" s="546"/>
      <c r="K54" s="547" t="str">
        <f t="shared" si="1"/>
        <v/>
      </c>
      <c r="L54" s="548" t="str">
        <f t="shared" si="5"/>
        <v/>
      </c>
      <c r="M54" s="549">
        <f t="shared" si="3"/>
        <v>0</v>
      </c>
      <c r="O54" s="538" t="str">
        <f t="shared" si="6"/>
        <v/>
      </c>
      <c r="P54" s="550"/>
      <c r="Q54" s="551"/>
    </row>
    <row r="55" spans="1:17" s="253" customFormat="1" ht="20.100000000000001" hidden="1" customHeight="1" x14ac:dyDescent="0.25">
      <c r="A55" s="253" t="str">
        <f t="shared" si="4"/>
        <v/>
      </c>
      <c r="B55" s="584" t="str">
        <f>IF(LEN(A55)&gt;2,VLOOKUP(A55,COPY!$A$2:$O$1000,4,FALSE),"")</f>
        <v/>
      </c>
      <c r="C55" s="585" t="str">
        <f>IF(LEN(A55)&gt;2,VLOOKUP(A55,COPY!$A$2:$O$1000,15,FALSE),"")</f>
        <v/>
      </c>
      <c r="D55" s="542" t="str">
        <f>IF(LEN(A55)&gt;2,VLOOKUP(A55,COPY!$A$2:$O$1000,2,FALSE),"")</f>
        <v/>
      </c>
      <c r="E55" s="607" t="str">
        <f>IF(LEN(A55)&gt;2,VLOOKUP(A55,COPY!$A$2:$O$1000,10,FALSE),"")</f>
        <v/>
      </c>
      <c r="F55" s="542" t="str">
        <f>IF(LEN(A55)&gt;2,VLOOKUP(A55,COPY!$A$2:$O$1000,8,FALSE),"")</f>
        <v/>
      </c>
      <c r="G55" s="543" t="str">
        <f>IF(LEN(A55)&gt;2,VLOOKUP(A55,COPY!$A$2:$O$1000,7,FALSE),"")</f>
        <v/>
      </c>
      <c r="H55" s="544" t="str">
        <f t="shared" si="0"/>
        <v/>
      </c>
      <c r="I55" s="545" t="str">
        <f>IFERROR(IF(LEN(A55)&gt;2,VLOOKUP(A55,COPY!$A$2:$O$1000,13,FALSE),"")/E55,"")</f>
        <v/>
      </c>
      <c r="J55" s="546"/>
      <c r="K55" s="547" t="str">
        <f t="shared" si="1"/>
        <v/>
      </c>
      <c r="L55" s="548" t="str">
        <f t="shared" si="5"/>
        <v/>
      </c>
      <c r="M55" s="549">
        <f t="shared" si="3"/>
        <v>0</v>
      </c>
      <c r="O55" s="538" t="str">
        <f t="shared" si="6"/>
        <v/>
      </c>
      <c r="P55" s="550"/>
      <c r="Q55" s="551"/>
    </row>
    <row r="56" spans="1:17" s="253" customFormat="1" ht="20.100000000000001" hidden="1" customHeight="1" x14ac:dyDescent="0.25">
      <c r="A56" s="253" t="str">
        <f t="shared" si="4"/>
        <v/>
      </c>
      <c r="B56" s="584" t="str">
        <f>IF(LEN(A56)&gt;2,VLOOKUP(A56,COPY!$A$2:$O$1000,4,FALSE),"")</f>
        <v/>
      </c>
      <c r="C56" s="585" t="str">
        <f>IF(LEN(A56)&gt;2,VLOOKUP(A56,COPY!$A$2:$O$1000,15,FALSE),"")</f>
        <v/>
      </c>
      <c r="D56" s="542" t="str">
        <f>IF(LEN(A56)&gt;2,VLOOKUP(A56,COPY!$A$2:$O$1000,2,FALSE),"")</f>
        <v/>
      </c>
      <c r="E56" s="607" t="str">
        <f>IF(LEN(A56)&gt;2,VLOOKUP(A56,COPY!$A$2:$O$1000,10,FALSE),"")</f>
        <v/>
      </c>
      <c r="F56" s="542" t="str">
        <f>IF(LEN(A56)&gt;2,VLOOKUP(A56,COPY!$A$2:$O$1000,8,FALSE),"")</f>
        <v/>
      </c>
      <c r="G56" s="543" t="str">
        <f>IF(LEN(A56)&gt;2,VLOOKUP(A56,COPY!$A$2:$O$1000,7,FALSE),"")</f>
        <v/>
      </c>
      <c r="H56" s="544" t="str">
        <f t="shared" si="0"/>
        <v/>
      </c>
      <c r="I56" s="545" t="str">
        <f>IFERROR(IF(LEN(A56)&gt;2,VLOOKUP(A56,COPY!$A$2:$O$1000,13,FALSE),"")/E56,"")</f>
        <v/>
      </c>
      <c r="J56" s="546"/>
      <c r="K56" s="547" t="str">
        <f t="shared" si="1"/>
        <v/>
      </c>
      <c r="L56" s="548" t="str">
        <f t="shared" si="5"/>
        <v/>
      </c>
      <c r="M56" s="549">
        <f t="shared" si="3"/>
        <v>0</v>
      </c>
      <c r="O56" s="538" t="str">
        <f t="shared" si="6"/>
        <v/>
      </c>
      <c r="P56" s="550"/>
      <c r="Q56" s="551"/>
    </row>
    <row r="57" spans="1:17" s="253" customFormat="1" ht="20.100000000000001" hidden="1" customHeight="1" x14ac:dyDescent="0.25">
      <c r="A57" s="253" t="str">
        <f t="shared" si="4"/>
        <v/>
      </c>
      <c r="B57" s="584" t="str">
        <f>IF(LEN(A57)&gt;2,VLOOKUP(A57,COPY!$A$2:$O$1000,4,FALSE),"")</f>
        <v/>
      </c>
      <c r="C57" s="585" t="str">
        <f>IF(LEN(A57)&gt;2,VLOOKUP(A57,COPY!$A$2:$O$1000,15,FALSE),"")</f>
        <v/>
      </c>
      <c r="D57" s="542" t="str">
        <f>IF(LEN(A57)&gt;2,VLOOKUP(A57,COPY!$A$2:$O$1000,2,FALSE),"")</f>
        <v/>
      </c>
      <c r="E57" s="607" t="str">
        <f>IF(LEN(A57)&gt;2,VLOOKUP(A57,COPY!$A$2:$O$1000,10,FALSE),"")</f>
        <v/>
      </c>
      <c r="F57" s="542" t="str">
        <f>IF(LEN(A57)&gt;2,VLOOKUP(A57,COPY!$A$2:$O$1000,8,FALSE),"")</f>
        <v/>
      </c>
      <c r="G57" s="543" t="str">
        <f>IF(LEN(A57)&gt;2,VLOOKUP(A57,COPY!$A$2:$O$1000,7,FALSE),"")</f>
        <v/>
      </c>
      <c r="H57" s="544" t="str">
        <f t="shared" si="0"/>
        <v/>
      </c>
      <c r="I57" s="545" t="str">
        <f>IFERROR(IF(LEN(A57)&gt;2,VLOOKUP(A57,COPY!$A$2:$O$1000,13,FALSE),"")/E57,"")</f>
        <v/>
      </c>
      <c r="J57" s="546"/>
      <c r="K57" s="547" t="str">
        <f t="shared" si="1"/>
        <v/>
      </c>
      <c r="L57" s="548" t="str">
        <f t="shared" si="5"/>
        <v/>
      </c>
      <c r="M57" s="549">
        <f t="shared" si="3"/>
        <v>0</v>
      </c>
      <c r="O57" s="538" t="str">
        <f t="shared" si="6"/>
        <v/>
      </c>
      <c r="P57" s="550"/>
      <c r="Q57" s="551"/>
    </row>
    <row r="58" spans="1:17" s="253" customFormat="1" ht="20.100000000000001" hidden="1" customHeight="1" x14ac:dyDescent="0.25">
      <c r="A58" s="253" t="str">
        <f t="shared" si="4"/>
        <v/>
      </c>
      <c r="B58" s="584" t="str">
        <f>IF(LEN(A58)&gt;2,VLOOKUP(A58,COPY!$A$2:$O$1000,4,FALSE),"")</f>
        <v/>
      </c>
      <c r="C58" s="585" t="str">
        <f>IF(LEN(A58)&gt;2,VLOOKUP(A58,COPY!$A$2:$O$1000,15,FALSE),"")</f>
        <v/>
      </c>
      <c r="D58" s="542" t="str">
        <f>IF(LEN(A58)&gt;2,VLOOKUP(A58,COPY!$A$2:$O$1000,2,FALSE),"")</f>
        <v/>
      </c>
      <c r="E58" s="607" t="str">
        <f>IF(LEN(A58)&gt;2,VLOOKUP(A58,COPY!$A$2:$O$1000,10,FALSE),"")</f>
        <v/>
      </c>
      <c r="F58" s="542" t="str">
        <f>IF(LEN(A58)&gt;2,VLOOKUP(A58,COPY!$A$2:$O$1000,8,FALSE),"")</f>
        <v/>
      </c>
      <c r="G58" s="543" t="str">
        <f>IF(LEN(A58)&gt;2,VLOOKUP(A58,COPY!$A$2:$O$1000,7,FALSE),"")</f>
        <v/>
      </c>
      <c r="H58" s="544" t="str">
        <f t="shared" si="0"/>
        <v/>
      </c>
      <c r="I58" s="545" t="str">
        <f>IFERROR(IF(LEN(A58)&gt;2,VLOOKUP(A58,COPY!$A$2:$O$1000,13,FALSE),"")/E58,"")</f>
        <v/>
      </c>
      <c r="J58" s="546"/>
      <c r="K58" s="547" t="str">
        <f t="shared" si="1"/>
        <v/>
      </c>
      <c r="L58" s="548" t="str">
        <f t="shared" si="5"/>
        <v/>
      </c>
      <c r="M58" s="549">
        <f t="shared" si="3"/>
        <v>0</v>
      </c>
      <c r="O58" s="538" t="str">
        <f t="shared" si="6"/>
        <v/>
      </c>
      <c r="P58" s="550"/>
      <c r="Q58" s="551"/>
    </row>
    <row r="59" spans="1:17" s="253" customFormat="1" ht="20.100000000000001" hidden="1" customHeight="1" x14ac:dyDescent="0.25">
      <c r="A59" s="253" t="str">
        <f t="shared" si="4"/>
        <v/>
      </c>
      <c r="B59" s="584" t="str">
        <f>IF(LEN(A59)&gt;2,VLOOKUP(A59,COPY!$A$2:$O$1000,4,FALSE),"")</f>
        <v/>
      </c>
      <c r="C59" s="585" t="str">
        <f>IF(LEN(A59)&gt;2,VLOOKUP(A59,COPY!$A$2:$O$1000,15,FALSE),"")</f>
        <v/>
      </c>
      <c r="D59" s="542" t="str">
        <f>IF(LEN(A59)&gt;2,VLOOKUP(A59,COPY!$A$2:$O$1000,2,FALSE),"")</f>
        <v/>
      </c>
      <c r="E59" s="607" t="str">
        <f>IF(LEN(A59)&gt;2,VLOOKUP(A59,COPY!$A$2:$O$1000,10,FALSE),"")</f>
        <v/>
      </c>
      <c r="F59" s="542" t="str">
        <f>IF(LEN(A59)&gt;2,VLOOKUP(A59,COPY!$A$2:$O$1000,8,FALSE),"")</f>
        <v/>
      </c>
      <c r="G59" s="543" t="str">
        <f>IF(LEN(A59)&gt;2,VLOOKUP(A59,COPY!$A$2:$O$1000,7,FALSE),"")</f>
        <v/>
      </c>
      <c r="H59" s="544" t="str">
        <f t="shared" si="0"/>
        <v/>
      </c>
      <c r="I59" s="545" t="str">
        <f>IFERROR(IF(LEN(A59)&gt;2,VLOOKUP(A59,COPY!$A$2:$O$1000,13,FALSE),"")/E59,"")</f>
        <v/>
      </c>
      <c r="J59" s="546"/>
      <c r="K59" s="547" t="str">
        <f t="shared" si="1"/>
        <v/>
      </c>
      <c r="L59" s="548" t="str">
        <f t="shared" si="5"/>
        <v/>
      </c>
      <c r="M59" s="549">
        <f t="shared" si="3"/>
        <v>0</v>
      </c>
      <c r="O59" s="538" t="str">
        <f t="shared" si="6"/>
        <v/>
      </c>
      <c r="P59" s="550"/>
      <c r="Q59" s="551"/>
    </row>
    <row r="60" spans="1:17" s="253" customFormat="1" ht="20.100000000000001" hidden="1" customHeight="1" x14ac:dyDescent="0.25">
      <c r="A60" s="253" t="str">
        <f t="shared" si="4"/>
        <v/>
      </c>
      <c r="B60" s="584" t="str">
        <f>IF(LEN(A60)&gt;2,VLOOKUP(A60,COPY!$A$2:$O$1000,4,FALSE),"")</f>
        <v/>
      </c>
      <c r="C60" s="585" t="str">
        <f>IF(LEN(A60)&gt;2,VLOOKUP(A60,COPY!$A$2:$O$1000,15,FALSE),"")</f>
        <v/>
      </c>
      <c r="D60" s="542" t="str">
        <f>IF(LEN(A60)&gt;2,VLOOKUP(A60,COPY!$A$2:$O$1000,2,FALSE),"")</f>
        <v/>
      </c>
      <c r="E60" s="607" t="str">
        <f>IF(LEN(A60)&gt;2,VLOOKUP(A60,COPY!$A$2:$O$1000,10,FALSE),"")</f>
        <v/>
      </c>
      <c r="F60" s="542" t="str">
        <f>IF(LEN(A60)&gt;2,VLOOKUP(A60,COPY!$A$2:$O$1000,8,FALSE),"")</f>
        <v/>
      </c>
      <c r="G60" s="543" t="str">
        <f>IF(LEN(A60)&gt;2,VLOOKUP(A60,COPY!$A$2:$O$1000,7,FALSE),"")</f>
        <v/>
      </c>
      <c r="H60" s="544" t="str">
        <f t="shared" si="0"/>
        <v/>
      </c>
      <c r="I60" s="545" t="str">
        <f>IFERROR(IF(LEN(A60)&gt;2,VLOOKUP(A60,COPY!$A$2:$O$1000,13,FALSE),"")/E60,"")</f>
        <v/>
      </c>
      <c r="J60" s="546"/>
      <c r="K60" s="547" t="str">
        <f t="shared" si="1"/>
        <v/>
      </c>
      <c r="L60" s="548" t="str">
        <f t="shared" si="5"/>
        <v/>
      </c>
      <c r="M60" s="549">
        <f t="shared" si="3"/>
        <v>0</v>
      </c>
      <c r="O60" s="538" t="str">
        <f t="shared" si="6"/>
        <v/>
      </c>
      <c r="P60" s="550"/>
      <c r="Q60" s="551"/>
    </row>
    <row r="61" spans="1:17" s="253" customFormat="1" ht="20.100000000000001" hidden="1" customHeight="1" x14ac:dyDescent="0.25">
      <c r="A61" s="253" t="str">
        <f t="shared" si="4"/>
        <v/>
      </c>
      <c r="B61" s="584" t="str">
        <f>IF(LEN(A61)&gt;2,VLOOKUP(A61,COPY!$A$2:$O$1000,4,FALSE),"")</f>
        <v/>
      </c>
      <c r="C61" s="585" t="str">
        <f>IF(LEN(A61)&gt;2,VLOOKUP(A61,COPY!$A$2:$O$1000,15,FALSE),"")</f>
        <v/>
      </c>
      <c r="D61" s="542" t="str">
        <f>IF(LEN(A61)&gt;2,VLOOKUP(A61,COPY!$A$2:$O$1000,2,FALSE),"")</f>
        <v/>
      </c>
      <c r="E61" s="607" t="str">
        <f>IF(LEN(A61)&gt;2,VLOOKUP(A61,COPY!$A$2:$O$1000,10,FALSE),"")</f>
        <v/>
      </c>
      <c r="F61" s="542" t="str">
        <f>IF(LEN(A61)&gt;2,VLOOKUP(A61,COPY!$A$2:$O$1000,8,FALSE),"")</f>
        <v/>
      </c>
      <c r="G61" s="543" t="str">
        <f>IF(LEN(A61)&gt;2,VLOOKUP(A61,COPY!$A$2:$O$1000,7,FALSE),"")</f>
        <v/>
      </c>
      <c r="H61" s="544" t="str">
        <f t="shared" si="0"/>
        <v/>
      </c>
      <c r="I61" s="545" t="str">
        <f>IFERROR(IF(LEN(A61)&gt;2,VLOOKUP(A61,COPY!$A$2:$O$1000,13,FALSE),"")/E61,"")</f>
        <v/>
      </c>
      <c r="J61" s="546"/>
      <c r="K61" s="547" t="str">
        <f t="shared" si="1"/>
        <v/>
      </c>
      <c r="L61" s="548" t="str">
        <f t="shared" si="5"/>
        <v/>
      </c>
      <c r="M61" s="549">
        <f t="shared" si="3"/>
        <v>0</v>
      </c>
      <c r="O61" s="538" t="str">
        <f t="shared" si="6"/>
        <v/>
      </c>
      <c r="P61" s="550"/>
      <c r="Q61" s="551"/>
    </row>
    <row r="62" spans="1:17" s="253" customFormat="1" ht="20.100000000000001" hidden="1" customHeight="1" x14ac:dyDescent="0.25">
      <c r="A62" s="253" t="str">
        <f t="shared" si="4"/>
        <v/>
      </c>
      <c r="B62" s="584" t="str">
        <f>IF(LEN(A62)&gt;2,VLOOKUP(A62,COPY!$A$2:$O$1000,4,FALSE),"")</f>
        <v/>
      </c>
      <c r="C62" s="585" t="str">
        <f>IF(LEN(A62)&gt;2,VLOOKUP(A62,COPY!$A$2:$O$1000,15,FALSE),"")</f>
        <v/>
      </c>
      <c r="D62" s="542" t="str">
        <f>IF(LEN(A62)&gt;2,VLOOKUP(A62,COPY!$A$2:$O$1000,2,FALSE),"")</f>
        <v/>
      </c>
      <c r="E62" s="607" t="str">
        <f>IF(LEN(A62)&gt;2,VLOOKUP(A62,COPY!$A$2:$O$1000,10,FALSE),"")</f>
        <v/>
      </c>
      <c r="F62" s="542" t="str">
        <f>IF(LEN(A62)&gt;2,VLOOKUP(A62,COPY!$A$2:$O$1000,8,FALSE),"")</f>
        <v/>
      </c>
      <c r="G62" s="543" t="str">
        <f>IF(LEN(A62)&gt;2,VLOOKUP(A62,COPY!$A$2:$O$1000,7,FALSE),"")</f>
        <v/>
      </c>
      <c r="H62" s="544" t="str">
        <f t="shared" si="0"/>
        <v/>
      </c>
      <c r="I62" s="545" t="str">
        <f>IFERROR(IF(LEN(A62)&gt;2,VLOOKUP(A62,COPY!$A$2:$O$1000,13,FALSE),"")/E62,"")</f>
        <v/>
      </c>
      <c r="J62" s="546"/>
      <c r="K62" s="547" t="str">
        <f t="shared" si="1"/>
        <v/>
      </c>
      <c r="L62" s="548" t="str">
        <f t="shared" si="5"/>
        <v/>
      </c>
      <c r="M62" s="549">
        <f t="shared" si="3"/>
        <v>0</v>
      </c>
      <c r="O62" s="538" t="str">
        <f t="shared" si="6"/>
        <v/>
      </c>
      <c r="P62" s="550"/>
      <c r="Q62" s="551"/>
    </row>
    <row r="63" spans="1:17" s="253" customFormat="1" ht="20.100000000000001" hidden="1" customHeight="1" x14ac:dyDescent="0.25">
      <c r="A63" s="253" t="str">
        <f t="shared" si="4"/>
        <v/>
      </c>
      <c r="B63" s="584" t="str">
        <f>IF(LEN(A63)&gt;2,VLOOKUP(A63,COPY!$A$2:$O$1000,4,FALSE),"")</f>
        <v/>
      </c>
      <c r="C63" s="585" t="str">
        <f>IF(LEN(A63)&gt;2,VLOOKUP(A63,COPY!$A$2:$O$1000,15,FALSE),"")</f>
        <v/>
      </c>
      <c r="D63" s="542" t="str">
        <f>IF(LEN(A63)&gt;2,VLOOKUP(A63,COPY!$A$2:$O$1000,2,FALSE),"")</f>
        <v/>
      </c>
      <c r="E63" s="607" t="str">
        <f>IF(LEN(A63)&gt;2,VLOOKUP(A63,COPY!$A$2:$O$1000,10,FALSE),"")</f>
        <v/>
      </c>
      <c r="F63" s="542" t="str">
        <f>IF(LEN(A63)&gt;2,VLOOKUP(A63,COPY!$A$2:$O$1000,8,FALSE),"")</f>
        <v/>
      </c>
      <c r="G63" s="543" t="str">
        <f>IF(LEN(A63)&gt;2,VLOOKUP(A63,COPY!$A$2:$O$1000,7,FALSE),"")</f>
        <v/>
      </c>
      <c r="H63" s="544" t="str">
        <f t="shared" si="0"/>
        <v/>
      </c>
      <c r="I63" s="545" t="str">
        <f>IFERROR(IF(LEN(A63)&gt;2,VLOOKUP(A63,COPY!$A$2:$O$1000,13,FALSE),"")/E63,"")</f>
        <v/>
      </c>
      <c r="J63" s="546"/>
      <c r="K63" s="547" t="str">
        <f t="shared" si="1"/>
        <v/>
      </c>
      <c r="L63" s="548" t="str">
        <f t="shared" si="5"/>
        <v/>
      </c>
      <c r="M63" s="549">
        <f t="shared" si="3"/>
        <v>0</v>
      </c>
      <c r="O63" s="538" t="str">
        <f t="shared" si="6"/>
        <v/>
      </c>
      <c r="P63" s="550"/>
      <c r="Q63" s="551"/>
    </row>
    <row r="64" spans="1:17" s="253" customFormat="1" ht="20.100000000000001" hidden="1" customHeight="1" x14ac:dyDescent="0.25">
      <c r="A64" s="253" t="str">
        <f t="shared" si="4"/>
        <v/>
      </c>
      <c r="B64" s="584" t="str">
        <f>IF(LEN(A64)&gt;2,VLOOKUP(A64,COPY!$A$2:$O$1000,4,FALSE),"")</f>
        <v/>
      </c>
      <c r="C64" s="585" t="str">
        <f>IF(LEN(A64)&gt;2,VLOOKUP(A64,COPY!$A$2:$O$1000,15,FALSE),"")</f>
        <v/>
      </c>
      <c r="D64" s="542" t="str">
        <f>IF(LEN(A64)&gt;2,VLOOKUP(A64,COPY!$A$2:$O$1000,2,FALSE),"")</f>
        <v/>
      </c>
      <c r="E64" s="607" t="str">
        <f>IF(LEN(A64)&gt;2,VLOOKUP(A64,COPY!$A$2:$O$1000,10,FALSE),"")</f>
        <v/>
      </c>
      <c r="F64" s="542" t="str">
        <f>IF(LEN(A64)&gt;2,VLOOKUP(A64,COPY!$A$2:$O$1000,8,FALSE),"")</f>
        <v/>
      </c>
      <c r="G64" s="543" t="str">
        <f>IF(LEN(A64)&gt;2,VLOOKUP(A64,COPY!$A$2:$O$1000,7,FALSE),"")</f>
        <v/>
      </c>
      <c r="H64" s="544" t="str">
        <f t="shared" si="0"/>
        <v/>
      </c>
      <c r="I64" s="545" t="str">
        <f>IFERROR(IF(LEN(A64)&gt;2,VLOOKUP(A64,COPY!$A$2:$O$1000,13,FALSE),"")/E64,"")</f>
        <v/>
      </c>
      <c r="J64" s="546"/>
      <c r="K64" s="547" t="str">
        <f t="shared" si="1"/>
        <v/>
      </c>
      <c r="L64" s="548" t="str">
        <f t="shared" si="5"/>
        <v/>
      </c>
      <c r="M64" s="549">
        <f t="shared" si="3"/>
        <v>0</v>
      </c>
      <c r="O64" s="538" t="str">
        <f t="shared" si="6"/>
        <v/>
      </c>
      <c r="P64" s="550"/>
      <c r="Q64" s="551"/>
    </row>
    <row r="65" spans="1:17" s="253" customFormat="1" ht="20.100000000000001" hidden="1" customHeight="1" x14ac:dyDescent="0.25">
      <c r="A65" s="253" t="str">
        <f t="shared" si="4"/>
        <v/>
      </c>
      <c r="B65" s="584" t="str">
        <f>IF(LEN(A65)&gt;2,VLOOKUP(A65,COPY!$A$2:$O$1000,4,FALSE),"")</f>
        <v/>
      </c>
      <c r="C65" s="585" t="str">
        <f>IF(LEN(A65)&gt;2,VLOOKUP(A65,COPY!$A$2:$O$1000,15,FALSE),"")</f>
        <v/>
      </c>
      <c r="D65" s="542" t="str">
        <f>IF(LEN(A65)&gt;2,VLOOKUP(A65,COPY!$A$2:$O$1000,2,FALSE),"")</f>
        <v/>
      </c>
      <c r="E65" s="607" t="str">
        <f>IF(LEN(A65)&gt;2,VLOOKUP(A65,COPY!$A$2:$O$1000,10,FALSE),"")</f>
        <v/>
      </c>
      <c r="F65" s="542" t="str">
        <f>IF(LEN(A65)&gt;2,VLOOKUP(A65,COPY!$A$2:$O$1000,8,FALSE),"")</f>
        <v/>
      </c>
      <c r="G65" s="543" t="str">
        <f>IF(LEN(A65)&gt;2,VLOOKUP(A65,COPY!$A$2:$O$1000,7,FALSE),"")</f>
        <v/>
      </c>
      <c r="H65" s="544" t="str">
        <f t="shared" si="0"/>
        <v/>
      </c>
      <c r="I65" s="545" t="str">
        <f>IFERROR(IF(LEN(A65)&gt;2,VLOOKUP(A65,COPY!$A$2:$O$1000,13,FALSE),"")/E65,"")</f>
        <v/>
      </c>
      <c r="J65" s="546"/>
      <c r="K65" s="547" t="str">
        <f t="shared" si="1"/>
        <v/>
      </c>
      <c r="L65" s="548" t="str">
        <f t="shared" si="5"/>
        <v/>
      </c>
      <c r="M65" s="549">
        <f t="shared" si="3"/>
        <v>0</v>
      </c>
      <c r="O65" s="538" t="str">
        <f t="shared" si="6"/>
        <v/>
      </c>
      <c r="P65" s="550"/>
      <c r="Q65" s="551"/>
    </row>
    <row r="66" spans="1:17" s="253" customFormat="1" ht="20.100000000000001" hidden="1" customHeight="1" x14ac:dyDescent="0.25">
      <c r="A66" s="253" t="str">
        <f t="shared" si="4"/>
        <v/>
      </c>
      <c r="B66" s="584" t="str">
        <f>IF(LEN(A66)&gt;2,VLOOKUP(A66,COPY!$A$2:$O$1000,4,FALSE),"")</f>
        <v/>
      </c>
      <c r="C66" s="585" t="str">
        <f>IF(LEN(A66)&gt;2,VLOOKUP(A66,COPY!$A$2:$O$1000,15,FALSE),"")</f>
        <v/>
      </c>
      <c r="D66" s="542" t="str">
        <f>IF(LEN(A66)&gt;2,VLOOKUP(A66,COPY!$A$2:$O$1000,2,FALSE),"")</f>
        <v/>
      </c>
      <c r="E66" s="607" t="str">
        <f>IF(LEN(A66)&gt;2,VLOOKUP(A66,COPY!$A$2:$O$1000,10,FALSE),"")</f>
        <v/>
      </c>
      <c r="F66" s="542" t="str">
        <f>IF(LEN(A66)&gt;2,VLOOKUP(A66,COPY!$A$2:$O$1000,8,FALSE),"")</f>
        <v/>
      </c>
      <c r="G66" s="543" t="str">
        <f>IF(LEN(A66)&gt;2,VLOOKUP(A66,COPY!$A$2:$O$1000,7,FALSE),"")</f>
        <v/>
      </c>
      <c r="H66" s="544" t="str">
        <f t="shared" si="0"/>
        <v/>
      </c>
      <c r="I66" s="545" t="str">
        <f>IFERROR(IF(LEN(A66)&gt;2,VLOOKUP(A66,COPY!$A$2:$O$1000,13,FALSE),"")/E66,"")</f>
        <v/>
      </c>
      <c r="J66" s="546"/>
      <c r="K66" s="547" t="str">
        <f t="shared" si="1"/>
        <v/>
      </c>
      <c r="L66" s="548" t="str">
        <f t="shared" si="5"/>
        <v/>
      </c>
      <c r="M66" s="549">
        <f t="shared" si="3"/>
        <v>0</v>
      </c>
      <c r="O66" s="538" t="str">
        <f t="shared" si="6"/>
        <v/>
      </c>
      <c r="P66" s="550"/>
      <c r="Q66" s="551"/>
    </row>
    <row r="67" spans="1:17" s="253" customFormat="1" ht="20.100000000000001" hidden="1" customHeight="1" x14ac:dyDescent="0.25">
      <c r="A67" s="253" t="str">
        <f t="shared" si="4"/>
        <v/>
      </c>
      <c r="B67" s="584" t="str">
        <f>IF(LEN(A67)&gt;2,VLOOKUP(A67,COPY!$A$2:$O$1000,4,FALSE),"")</f>
        <v/>
      </c>
      <c r="C67" s="585" t="str">
        <f>IF(LEN(A67)&gt;2,VLOOKUP(A67,COPY!$A$2:$O$1000,15,FALSE),"")</f>
        <v/>
      </c>
      <c r="D67" s="542" t="str">
        <f>IF(LEN(A67)&gt;2,VLOOKUP(A67,COPY!$A$2:$O$1000,2,FALSE),"")</f>
        <v/>
      </c>
      <c r="E67" s="607" t="str">
        <f>IF(LEN(A67)&gt;2,VLOOKUP(A67,COPY!$A$2:$O$1000,10,FALSE),"")</f>
        <v/>
      </c>
      <c r="F67" s="542" t="str">
        <f>IF(LEN(A67)&gt;2,VLOOKUP(A67,COPY!$A$2:$O$1000,8,FALSE),"")</f>
        <v/>
      </c>
      <c r="G67" s="543" t="str">
        <f>IF(LEN(A67)&gt;2,VLOOKUP(A67,COPY!$A$2:$O$1000,7,FALSE),"")</f>
        <v/>
      </c>
      <c r="H67" s="544" t="str">
        <f t="shared" si="0"/>
        <v/>
      </c>
      <c r="I67" s="545" t="str">
        <f>IFERROR(IF(LEN(A67)&gt;2,VLOOKUP(A67,COPY!$A$2:$O$1000,13,FALSE),"")/E67,"")</f>
        <v/>
      </c>
      <c r="J67" s="546"/>
      <c r="K67" s="547" t="str">
        <f t="shared" si="1"/>
        <v/>
      </c>
      <c r="L67" s="548" t="str">
        <f t="shared" si="5"/>
        <v/>
      </c>
      <c r="M67" s="549">
        <f t="shared" si="3"/>
        <v>0</v>
      </c>
      <c r="O67" s="538" t="str">
        <f t="shared" si="6"/>
        <v/>
      </c>
      <c r="P67" s="550"/>
      <c r="Q67" s="551"/>
    </row>
    <row r="68" spans="1:17" s="253" customFormat="1" ht="20.100000000000001" hidden="1" customHeight="1" x14ac:dyDescent="0.25">
      <c r="A68" s="253" t="str">
        <f t="shared" si="4"/>
        <v/>
      </c>
      <c r="B68" s="584" t="str">
        <f>IF(LEN(A68)&gt;2,VLOOKUP(A68,COPY!$A$2:$O$1000,4,FALSE),"")</f>
        <v/>
      </c>
      <c r="C68" s="585" t="str">
        <f>IF(LEN(A68)&gt;2,VLOOKUP(A68,COPY!$A$2:$O$1000,15,FALSE),"")</f>
        <v/>
      </c>
      <c r="D68" s="542" t="str">
        <f>IF(LEN(A68)&gt;2,VLOOKUP(A68,COPY!$A$2:$O$1000,2,FALSE),"")</f>
        <v/>
      </c>
      <c r="E68" s="607" t="str">
        <f>IF(LEN(A68)&gt;2,VLOOKUP(A68,COPY!$A$2:$O$1000,10,FALSE),"")</f>
        <v/>
      </c>
      <c r="F68" s="542" t="str">
        <f>IF(LEN(A68)&gt;2,VLOOKUP(A68,COPY!$A$2:$O$1000,8,FALSE),"")</f>
        <v/>
      </c>
      <c r="G68" s="543" t="str">
        <f>IF(LEN(A68)&gt;2,VLOOKUP(A68,COPY!$A$2:$O$1000,7,FALSE),"")</f>
        <v/>
      </c>
      <c r="H68" s="544" t="str">
        <f t="shared" si="0"/>
        <v/>
      </c>
      <c r="I68" s="545" t="str">
        <f>IFERROR(IF(LEN(A68)&gt;2,VLOOKUP(A68,COPY!$A$2:$O$1000,13,FALSE),"")/E68,"")</f>
        <v/>
      </c>
      <c r="J68" s="546"/>
      <c r="K68" s="547" t="str">
        <f t="shared" si="1"/>
        <v/>
      </c>
      <c r="L68" s="548" t="str">
        <f t="shared" si="5"/>
        <v/>
      </c>
      <c r="M68" s="549">
        <f t="shared" si="3"/>
        <v>0</v>
      </c>
      <c r="O68" s="538" t="str">
        <f t="shared" si="6"/>
        <v/>
      </c>
      <c r="P68" s="550"/>
      <c r="Q68" s="551"/>
    </row>
    <row r="69" spans="1:17" s="253" customFormat="1" ht="20.100000000000001" hidden="1" customHeight="1" x14ac:dyDescent="0.25">
      <c r="A69" s="253" t="str">
        <f t="shared" si="4"/>
        <v/>
      </c>
      <c r="B69" s="584" t="str">
        <f>IF(LEN(A69)&gt;2,VLOOKUP(A69,COPY!$A$2:$O$1000,4,FALSE),"")</f>
        <v/>
      </c>
      <c r="C69" s="585" t="str">
        <f>IF(LEN(A69)&gt;2,VLOOKUP(A69,COPY!$A$2:$O$1000,15,FALSE),"")</f>
        <v/>
      </c>
      <c r="D69" s="542" t="str">
        <f>IF(LEN(A69)&gt;2,VLOOKUP(A69,COPY!$A$2:$O$1000,2,FALSE),"")</f>
        <v/>
      </c>
      <c r="E69" s="607" t="str">
        <f>IF(LEN(A69)&gt;2,VLOOKUP(A69,COPY!$A$2:$O$1000,10,FALSE),"")</f>
        <v/>
      </c>
      <c r="F69" s="542" t="str">
        <f>IF(LEN(A69)&gt;2,VLOOKUP(A69,COPY!$A$2:$O$1000,8,FALSE),"")</f>
        <v/>
      </c>
      <c r="G69" s="543" t="str">
        <f>IF(LEN(A69)&gt;2,VLOOKUP(A69,COPY!$A$2:$O$1000,7,FALSE),"")</f>
        <v/>
      </c>
      <c r="H69" s="544" t="str">
        <f t="shared" si="0"/>
        <v/>
      </c>
      <c r="I69" s="545" t="str">
        <f>IFERROR(IF(LEN(A69)&gt;2,VLOOKUP(A69,COPY!$A$2:$O$1000,13,FALSE),"")/E69,"")</f>
        <v/>
      </c>
      <c r="J69" s="546"/>
      <c r="K69" s="547" t="str">
        <f t="shared" si="1"/>
        <v/>
      </c>
      <c r="L69" s="548" t="str">
        <f t="shared" si="5"/>
        <v/>
      </c>
      <c r="M69" s="549">
        <f t="shared" si="3"/>
        <v>0</v>
      </c>
      <c r="O69" s="538" t="str">
        <f t="shared" si="6"/>
        <v/>
      </c>
      <c r="P69" s="550"/>
      <c r="Q69" s="551"/>
    </row>
    <row r="70" spans="1:17" s="253" customFormat="1" ht="20.100000000000001" hidden="1" customHeight="1" x14ac:dyDescent="0.25">
      <c r="A70" s="253" t="str">
        <f t="shared" si="4"/>
        <v/>
      </c>
      <c r="B70" s="584" t="str">
        <f>IF(LEN(A70)&gt;2,VLOOKUP(A70,COPY!$A$2:$O$1000,4,FALSE),"")</f>
        <v/>
      </c>
      <c r="C70" s="585" t="str">
        <f>IF(LEN(A70)&gt;2,VLOOKUP(A70,COPY!$A$2:$O$1000,15,FALSE),"")</f>
        <v/>
      </c>
      <c r="D70" s="542" t="str">
        <f>IF(LEN(A70)&gt;2,VLOOKUP(A70,COPY!$A$2:$O$1000,2,FALSE),"")</f>
        <v/>
      </c>
      <c r="E70" s="607" t="str">
        <f>IF(LEN(A70)&gt;2,VLOOKUP(A70,COPY!$A$2:$O$1000,10,FALSE),"")</f>
        <v/>
      </c>
      <c r="F70" s="542" t="str">
        <f>IF(LEN(A70)&gt;2,VLOOKUP(A70,COPY!$A$2:$O$1000,8,FALSE),"")</f>
        <v/>
      </c>
      <c r="G70" s="543" t="str">
        <f>IF(LEN(A70)&gt;2,VLOOKUP(A70,COPY!$A$2:$O$1000,7,FALSE),"")</f>
        <v/>
      </c>
      <c r="H70" s="544" t="str">
        <f t="shared" si="0"/>
        <v/>
      </c>
      <c r="I70" s="545" t="str">
        <f>IFERROR(IF(LEN(A70)&gt;2,VLOOKUP(A70,COPY!$A$2:$O$1000,13,FALSE),"")/E70,"")</f>
        <v/>
      </c>
      <c r="J70" s="546"/>
      <c r="K70" s="547" t="str">
        <f t="shared" si="1"/>
        <v/>
      </c>
      <c r="L70" s="548" t="str">
        <f t="shared" si="5"/>
        <v/>
      </c>
      <c r="M70" s="549">
        <f t="shared" si="3"/>
        <v>0</v>
      </c>
      <c r="O70" s="538" t="str">
        <f t="shared" si="6"/>
        <v/>
      </c>
      <c r="P70" s="550"/>
      <c r="Q70" s="551"/>
    </row>
    <row r="71" spans="1:17" s="253" customFormat="1" ht="20.100000000000001" hidden="1" customHeight="1" x14ac:dyDescent="0.25">
      <c r="A71" s="253" t="str">
        <f t="shared" si="4"/>
        <v/>
      </c>
      <c r="B71" s="584" t="str">
        <f>IF(LEN(A71)&gt;2,VLOOKUP(A71,COPY!$A$2:$O$1000,4,FALSE),"")</f>
        <v/>
      </c>
      <c r="C71" s="585" t="str">
        <f>IF(LEN(A71)&gt;2,VLOOKUP(A71,COPY!$A$2:$O$1000,15,FALSE),"")</f>
        <v/>
      </c>
      <c r="D71" s="542" t="str">
        <f>IF(LEN(A71)&gt;2,VLOOKUP(A71,COPY!$A$2:$O$1000,2,FALSE),"")</f>
        <v/>
      </c>
      <c r="E71" s="607" t="str">
        <f>IF(LEN(A71)&gt;2,VLOOKUP(A71,COPY!$A$2:$O$1000,10,FALSE),"")</f>
        <v/>
      </c>
      <c r="F71" s="542" t="str">
        <f>IF(LEN(A71)&gt;2,VLOOKUP(A71,COPY!$A$2:$O$1000,8,FALSE),"")</f>
        <v/>
      </c>
      <c r="G71" s="543" t="str">
        <f>IF(LEN(A71)&gt;2,VLOOKUP(A71,COPY!$A$2:$O$1000,7,FALSE),"")</f>
        <v/>
      </c>
      <c r="H71" s="544" t="str">
        <f t="shared" si="0"/>
        <v/>
      </c>
      <c r="I71" s="545" t="str">
        <f>IFERROR(IF(LEN(A71)&gt;2,VLOOKUP(A71,COPY!$A$2:$O$1000,13,FALSE),"")/E71,"")</f>
        <v/>
      </c>
      <c r="J71" s="546"/>
      <c r="K71" s="547" t="str">
        <f t="shared" si="1"/>
        <v/>
      </c>
      <c r="L71" s="548" t="str">
        <f t="shared" si="5"/>
        <v/>
      </c>
      <c r="M71" s="549">
        <f t="shared" si="3"/>
        <v>0</v>
      </c>
      <c r="O71" s="538" t="str">
        <f t="shared" si="6"/>
        <v/>
      </c>
      <c r="P71" s="550"/>
      <c r="Q71" s="551"/>
    </row>
    <row r="72" spans="1:17" s="253" customFormat="1" ht="20.100000000000001" hidden="1" customHeight="1" x14ac:dyDescent="0.25">
      <c r="A72" s="253" t="str">
        <f t="shared" si="4"/>
        <v/>
      </c>
      <c r="B72" s="584" t="str">
        <f>IF(LEN(A72)&gt;2,VLOOKUP(A72,COPY!$A$2:$O$1000,4,FALSE),"")</f>
        <v/>
      </c>
      <c r="C72" s="585" t="str">
        <f>IF(LEN(A72)&gt;2,VLOOKUP(A72,COPY!$A$2:$O$1000,15,FALSE),"")</f>
        <v/>
      </c>
      <c r="D72" s="542" t="str">
        <f>IF(LEN(A72)&gt;2,VLOOKUP(A72,COPY!$A$2:$O$1000,2,FALSE),"")</f>
        <v/>
      </c>
      <c r="E72" s="607" t="str">
        <f>IF(LEN(A72)&gt;2,VLOOKUP(A72,COPY!$A$2:$O$1000,10,FALSE),"")</f>
        <v/>
      </c>
      <c r="F72" s="542" t="str">
        <f>IF(LEN(A72)&gt;2,VLOOKUP(A72,COPY!$A$2:$O$1000,8,FALSE),"")</f>
        <v/>
      </c>
      <c r="G72" s="543" t="str">
        <f>IF(LEN(A72)&gt;2,VLOOKUP(A72,COPY!$A$2:$O$1000,7,FALSE),"")</f>
        <v/>
      </c>
      <c r="H72" s="544" t="str">
        <f t="shared" si="0"/>
        <v/>
      </c>
      <c r="I72" s="545" t="str">
        <f>IFERROR(IF(LEN(A72)&gt;2,VLOOKUP(A72,COPY!$A$2:$O$1000,13,FALSE),"")/E72,"")</f>
        <v/>
      </c>
      <c r="J72" s="546"/>
      <c r="K72" s="547" t="str">
        <f t="shared" si="1"/>
        <v/>
      </c>
      <c r="L72" s="548" t="str">
        <f t="shared" si="5"/>
        <v/>
      </c>
      <c r="M72" s="549">
        <f t="shared" si="3"/>
        <v>0</v>
      </c>
      <c r="O72" s="538" t="str">
        <f t="shared" si="6"/>
        <v/>
      </c>
      <c r="P72" s="550"/>
      <c r="Q72" s="551"/>
    </row>
    <row r="73" spans="1:17" s="253" customFormat="1" ht="20.100000000000001" hidden="1" customHeight="1" x14ac:dyDescent="0.25">
      <c r="A73" s="253" t="str">
        <f t="shared" si="4"/>
        <v/>
      </c>
      <c r="B73" s="584" t="str">
        <f>IF(LEN(A73)&gt;2,VLOOKUP(A73,COPY!$A$2:$O$1000,4,FALSE),"")</f>
        <v/>
      </c>
      <c r="C73" s="585" t="str">
        <f>IF(LEN(A73)&gt;2,VLOOKUP(A73,COPY!$A$2:$O$1000,15,FALSE),"")</f>
        <v/>
      </c>
      <c r="D73" s="542" t="str">
        <f>IF(LEN(A73)&gt;2,VLOOKUP(A73,COPY!$A$2:$O$1000,2,FALSE),"")</f>
        <v/>
      </c>
      <c r="E73" s="607" t="str">
        <f>IF(LEN(A73)&gt;2,VLOOKUP(A73,COPY!$A$2:$O$1000,10,FALSE),"")</f>
        <v/>
      </c>
      <c r="F73" s="542" t="str">
        <f>IF(LEN(A73)&gt;2,VLOOKUP(A73,COPY!$A$2:$O$1000,8,FALSE),"")</f>
        <v/>
      </c>
      <c r="G73" s="543" t="str">
        <f>IF(LEN(A73)&gt;2,VLOOKUP(A73,COPY!$A$2:$O$1000,7,FALSE),"")</f>
        <v/>
      </c>
      <c r="H73" s="544" t="str">
        <f t="shared" si="0"/>
        <v/>
      </c>
      <c r="I73" s="545" t="str">
        <f>IFERROR(IF(LEN(A73)&gt;2,VLOOKUP(A73,COPY!$A$2:$O$1000,13,FALSE),"")/E73,"")</f>
        <v/>
      </c>
      <c r="J73" s="546"/>
      <c r="K73" s="547" t="str">
        <f t="shared" si="1"/>
        <v/>
      </c>
      <c r="L73" s="548" t="str">
        <f t="shared" si="5"/>
        <v/>
      </c>
      <c r="M73" s="549">
        <f t="shared" si="3"/>
        <v>0</v>
      </c>
      <c r="O73" s="538" t="str">
        <f t="shared" si="6"/>
        <v/>
      </c>
      <c r="P73" s="550"/>
      <c r="Q73" s="551"/>
    </row>
    <row r="74" spans="1:17" s="253" customFormat="1" ht="20.100000000000001" hidden="1" customHeight="1" x14ac:dyDescent="0.25">
      <c r="A74" s="253" t="str">
        <f t="shared" si="4"/>
        <v/>
      </c>
      <c r="B74" s="584" t="str">
        <f>IF(LEN(A74)&gt;2,VLOOKUP(A74,COPY!$A$2:$O$1000,4,FALSE),"")</f>
        <v/>
      </c>
      <c r="C74" s="585" t="str">
        <f>IF(LEN(A74)&gt;2,VLOOKUP(A74,COPY!$A$2:$O$1000,15,FALSE),"")</f>
        <v/>
      </c>
      <c r="D74" s="542" t="str">
        <f>IF(LEN(A74)&gt;2,VLOOKUP(A74,COPY!$A$2:$O$1000,2,FALSE),"")</f>
        <v/>
      </c>
      <c r="E74" s="607" t="str">
        <f>IF(LEN(A74)&gt;2,VLOOKUP(A74,COPY!$A$2:$O$1000,10,FALSE),"")</f>
        <v/>
      </c>
      <c r="F74" s="542" t="str">
        <f>IF(LEN(A74)&gt;2,VLOOKUP(A74,COPY!$A$2:$O$1000,8,FALSE),"")</f>
        <v/>
      </c>
      <c r="G74" s="543" t="str">
        <f>IF(LEN(A74)&gt;2,VLOOKUP(A74,COPY!$A$2:$O$1000,7,FALSE),"")</f>
        <v/>
      </c>
      <c r="H74" s="544" t="str">
        <f t="shared" si="0"/>
        <v/>
      </c>
      <c r="I74" s="545" t="str">
        <f>IFERROR(IF(LEN(A74)&gt;2,VLOOKUP(A74,COPY!$A$2:$O$1000,13,FALSE),"")/E74,"")</f>
        <v/>
      </c>
      <c r="J74" s="546"/>
      <c r="K74" s="547" t="str">
        <f t="shared" si="1"/>
        <v/>
      </c>
      <c r="L74" s="548" t="str">
        <f t="shared" si="5"/>
        <v/>
      </c>
      <c r="M74" s="549">
        <f t="shared" si="3"/>
        <v>0</v>
      </c>
      <c r="O74" s="538" t="str">
        <f t="shared" si="6"/>
        <v/>
      </c>
      <c r="P74" s="550"/>
      <c r="Q74" s="551"/>
    </row>
    <row r="75" spans="1:17" s="253" customFormat="1" ht="20.100000000000001" hidden="1" customHeight="1" x14ac:dyDescent="0.25">
      <c r="A75" s="253" t="str">
        <f t="shared" si="4"/>
        <v/>
      </c>
      <c r="B75" s="584" t="str">
        <f>IF(LEN(A75)&gt;2,VLOOKUP(A75,COPY!$A$2:$O$1000,4,FALSE),"")</f>
        <v/>
      </c>
      <c r="C75" s="585" t="str">
        <f>IF(LEN(A75)&gt;2,VLOOKUP(A75,COPY!$A$2:$O$1000,15,FALSE),"")</f>
        <v/>
      </c>
      <c r="D75" s="542" t="str">
        <f>IF(LEN(A75)&gt;2,VLOOKUP(A75,COPY!$A$2:$O$1000,2,FALSE),"")</f>
        <v/>
      </c>
      <c r="E75" s="607" t="str">
        <f>IF(LEN(A75)&gt;2,VLOOKUP(A75,COPY!$A$2:$O$1000,10,FALSE),"")</f>
        <v/>
      </c>
      <c r="F75" s="542" t="str">
        <f>IF(LEN(A75)&gt;2,VLOOKUP(A75,COPY!$A$2:$O$1000,8,FALSE),"")</f>
        <v/>
      </c>
      <c r="G75" s="543" t="str">
        <f>IF(LEN(A75)&gt;2,VLOOKUP(A75,COPY!$A$2:$O$1000,7,FALSE),"")</f>
        <v/>
      </c>
      <c r="H75" s="544" t="str">
        <f t="shared" si="0"/>
        <v/>
      </c>
      <c r="I75" s="545" t="str">
        <f>IFERROR(IF(LEN(A75)&gt;2,VLOOKUP(A75,COPY!$A$2:$O$1000,13,FALSE),"")/E75,"")</f>
        <v/>
      </c>
      <c r="J75" s="546"/>
      <c r="K75" s="547" t="str">
        <f t="shared" si="1"/>
        <v/>
      </c>
      <c r="L75" s="548" t="str">
        <f t="shared" si="5"/>
        <v/>
      </c>
      <c r="M75" s="549">
        <f t="shared" si="3"/>
        <v>0</v>
      </c>
      <c r="O75" s="538" t="str">
        <f t="shared" si="6"/>
        <v/>
      </c>
      <c r="P75" s="550"/>
      <c r="Q75" s="551"/>
    </row>
    <row r="76" spans="1:17" s="253" customFormat="1" ht="20.100000000000001" hidden="1" customHeight="1" x14ac:dyDescent="0.25">
      <c r="A76" s="253" t="str">
        <f t="shared" si="4"/>
        <v/>
      </c>
      <c r="B76" s="584" t="str">
        <f>IF(LEN(A76)&gt;2,VLOOKUP(A76,COPY!$A$2:$O$1000,4,FALSE),"")</f>
        <v/>
      </c>
      <c r="C76" s="585" t="str">
        <f>IF(LEN(A76)&gt;2,VLOOKUP(A76,COPY!$A$2:$O$1000,15,FALSE),"")</f>
        <v/>
      </c>
      <c r="D76" s="542" t="str">
        <f>IF(LEN(A76)&gt;2,VLOOKUP(A76,COPY!$A$2:$O$1000,2,FALSE),"")</f>
        <v/>
      </c>
      <c r="E76" s="607" t="str">
        <f>IF(LEN(A76)&gt;2,VLOOKUP(A76,COPY!$A$2:$O$1000,10,FALSE),"")</f>
        <v/>
      </c>
      <c r="F76" s="542" t="str">
        <f>IF(LEN(A76)&gt;2,VLOOKUP(A76,COPY!$A$2:$O$1000,8,FALSE),"")</f>
        <v/>
      </c>
      <c r="G76" s="543" t="str">
        <f>IF(LEN(A76)&gt;2,VLOOKUP(A76,COPY!$A$2:$O$1000,7,FALSE),"")</f>
        <v/>
      </c>
      <c r="H76" s="544" t="str">
        <f t="shared" si="0"/>
        <v/>
      </c>
      <c r="I76" s="545" t="str">
        <f>IFERROR(IF(LEN(A76)&gt;2,VLOOKUP(A76,COPY!$A$2:$O$1000,13,FALSE),"")/E76,"")</f>
        <v/>
      </c>
      <c r="J76" s="546"/>
      <c r="K76" s="547" t="str">
        <f t="shared" si="1"/>
        <v/>
      </c>
      <c r="L76" s="548" t="str">
        <f t="shared" si="5"/>
        <v/>
      </c>
      <c r="M76" s="549">
        <f t="shared" si="3"/>
        <v>0</v>
      </c>
      <c r="O76" s="538" t="str">
        <f t="shared" si="6"/>
        <v/>
      </c>
      <c r="P76" s="550"/>
      <c r="Q76" s="551"/>
    </row>
    <row r="77" spans="1:17" s="253" customFormat="1" ht="20.100000000000001" hidden="1" customHeight="1" x14ac:dyDescent="0.25">
      <c r="A77" s="253" t="str">
        <f t="shared" si="4"/>
        <v/>
      </c>
      <c r="B77" s="584" t="str">
        <f>IF(LEN(A77)&gt;2,VLOOKUP(A77,COPY!$A$2:$O$1000,4,FALSE),"")</f>
        <v/>
      </c>
      <c r="C77" s="585" t="str">
        <f>IF(LEN(A77)&gt;2,VLOOKUP(A77,COPY!$A$2:$O$1000,15,FALSE),"")</f>
        <v/>
      </c>
      <c r="D77" s="542" t="str">
        <f>IF(LEN(A77)&gt;2,VLOOKUP(A77,COPY!$A$2:$O$1000,2,FALSE),"")</f>
        <v/>
      </c>
      <c r="E77" s="607" t="str">
        <f>IF(LEN(A77)&gt;2,VLOOKUP(A77,COPY!$A$2:$O$1000,10,FALSE),"")</f>
        <v/>
      </c>
      <c r="F77" s="542" t="str">
        <f>IF(LEN(A77)&gt;2,VLOOKUP(A77,COPY!$A$2:$O$1000,8,FALSE),"")</f>
        <v/>
      </c>
      <c r="G77" s="543" t="str">
        <f>IF(LEN(A77)&gt;2,VLOOKUP(A77,COPY!$A$2:$O$1000,7,FALSE),"")</f>
        <v/>
      </c>
      <c r="H77" s="544" t="str">
        <f t="shared" si="0"/>
        <v/>
      </c>
      <c r="I77" s="545" t="str">
        <f>IFERROR(IF(LEN(A77)&gt;2,VLOOKUP(A77,COPY!$A$2:$O$1000,13,FALSE),"")/E77,"")</f>
        <v/>
      </c>
      <c r="J77" s="546"/>
      <c r="K77" s="547" t="str">
        <f t="shared" si="1"/>
        <v/>
      </c>
      <c r="L77" s="548" t="str">
        <f t="shared" si="5"/>
        <v/>
      </c>
      <c r="M77" s="549">
        <f t="shared" si="3"/>
        <v>0</v>
      </c>
      <c r="O77" s="538" t="str">
        <f t="shared" si="6"/>
        <v/>
      </c>
      <c r="P77" s="550"/>
      <c r="Q77" s="551"/>
    </row>
    <row r="78" spans="1:17" s="253" customFormat="1" ht="20.100000000000001" hidden="1" customHeight="1" x14ac:dyDescent="0.25">
      <c r="A78" s="253" t="str">
        <f t="shared" si="4"/>
        <v/>
      </c>
      <c r="B78" s="584" t="str">
        <f>IF(LEN(A78)&gt;2,VLOOKUP(A78,COPY!$A$2:$O$1000,4,FALSE),"")</f>
        <v/>
      </c>
      <c r="C78" s="585" t="str">
        <f>IF(LEN(A78)&gt;2,VLOOKUP(A78,COPY!$A$2:$O$1000,15,FALSE),"")</f>
        <v/>
      </c>
      <c r="D78" s="542" t="str">
        <f>IF(LEN(A78)&gt;2,VLOOKUP(A78,COPY!$A$2:$O$1000,2,FALSE),"")</f>
        <v/>
      </c>
      <c r="E78" s="607" t="str">
        <f>IF(LEN(A78)&gt;2,VLOOKUP(A78,COPY!$A$2:$O$1000,10,FALSE),"")</f>
        <v/>
      </c>
      <c r="F78" s="542" t="str">
        <f>IF(LEN(A78)&gt;2,VLOOKUP(A78,COPY!$A$2:$O$1000,8,FALSE),"")</f>
        <v/>
      </c>
      <c r="G78" s="543" t="str">
        <f>IF(LEN(A78)&gt;2,VLOOKUP(A78,COPY!$A$2:$O$1000,7,FALSE),"")</f>
        <v/>
      </c>
      <c r="H78" s="544" t="str">
        <f t="shared" si="0"/>
        <v/>
      </c>
      <c r="I78" s="545" t="str">
        <f>IFERROR(IF(LEN(A78)&gt;2,VLOOKUP(A78,COPY!$A$2:$O$1000,13,FALSE),"")/E78,"")</f>
        <v/>
      </c>
      <c r="J78" s="546"/>
      <c r="K78" s="547" t="str">
        <f t="shared" si="1"/>
        <v/>
      </c>
      <c r="L78" s="548" t="str">
        <f t="shared" si="5"/>
        <v/>
      </c>
      <c r="M78" s="549">
        <f t="shared" si="3"/>
        <v>0</v>
      </c>
      <c r="O78" s="538" t="str">
        <f t="shared" si="6"/>
        <v/>
      </c>
      <c r="P78" s="550"/>
      <c r="Q78" s="551"/>
    </row>
    <row r="79" spans="1:17" s="253" customFormat="1" ht="20.100000000000001" hidden="1" customHeight="1" x14ac:dyDescent="0.25">
      <c r="A79" s="253" t="str">
        <f t="shared" si="4"/>
        <v/>
      </c>
      <c r="B79" s="584" t="str">
        <f>IF(LEN(A79)&gt;2,VLOOKUP(A79,COPY!$A$2:$O$1000,4,FALSE),"")</f>
        <v/>
      </c>
      <c r="C79" s="585" t="str">
        <f>IF(LEN(A79)&gt;2,VLOOKUP(A79,COPY!$A$2:$O$1000,15,FALSE),"")</f>
        <v/>
      </c>
      <c r="D79" s="542" t="str">
        <f>IF(LEN(A79)&gt;2,VLOOKUP(A79,COPY!$A$2:$O$1000,2,FALSE),"")</f>
        <v/>
      </c>
      <c r="E79" s="607" t="str">
        <f>IF(LEN(A79)&gt;2,VLOOKUP(A79,COPY!$A$2:$O$1000,10,FALSE),"")</f>
        <v/>
      </c>
      <c r="F79" s="542" t="str">
        <f>IF(LEN(A79)&gt;2,VLOOKUP(A79,COPY!$A$2:$O$1000,8,FALSE),"")</f>
        <v/>
      </c>
      <c r="G79" s="543" t="str">
        <f>IF(LEN(A79)&gt;2,VLOOKUP(A79,COPY!$A$2:$O$1000,7,FALSE),"")</f>
        <v/>
      </c>
      <c r="H79" s="544" t="str">
        <f t="shared" ref="H79:H142" si="7">IF(TEXT(D79,0)="Beli","@","")</f>
        <v/>
      </c>
      <c r="I79" s="545" t="str">
        <f>IFERROR(IF(LEN(A79)&gt;2,VLOOKUP(A79,COPY!$A$2:$O$1000,13,FALSE),"")/E79,"")</f>
        <v/>
      </c>
      <c r="J79" s="546"/>
      <c r="K79" s="547" t="str">
        <f t="shared" ref="K79:K142" si="8">IF(E79="","",IF(E79=0,I79,IF(E79&gt;0,E79*I79,0)))</f>
        <v/>
      </c>
      <c r="L79" s="548" t="str">
        <f t="shared" si="5"/>
        <v/>
      </c>
      <c r="M79" s="549">
        <f t="shared" ref="M79:M142" si="9">IF(O79&lt;0,O79,IF(O79&gt;=0,0,0))</f>
        <v>0</v>
      </c>
      <c r="O79" s="538" t="str">
        <f t="shared" si="6"/>
        <v/>
      </c>
      <c r="P79" s="550"/>
      <c r="Q79" s="551"/>
    </row>
    <row r="80" spans="1:17" s="253" customFormat="1" ht="20.100000000000001" hidden="1" customHeight="1" x14ac:dyDescent="0.25">
      <c r="A80" s="253" t="str">
        <f t="shared" ref="A80:A143" si="10">IF(LEN(A79)&gt;2,$D$4&amp;"."&amp;IF(ROW()-ROW($A$15)+1&lt;=$A$10,ROW()-ROW($A$15)+1,""),"")</f>
        <v/>
      </c>
      <c r="B80" s="584" t="str">
        <f>IF(LEN(A80)&gt;2,VLOOKUP(A80,COPY!$A$2:$O$1000,4,FALSE),"")</f>
        <v/>
      </c>
      <c r="C80" s="585" t="str">
        <f>IF(LEN(A80)&gt;2,VLOOKUP(A80,COPY!$A$2:$O$1000,15,FALSE),"")</f>
        <v/>
      </c>
      <c r="D80" s="542" t="str">
        <f>IF(LEN(A80)&gt;2,VLOOKUP(A80,COPY!$A$2:$O$1000,2,FALSE),"")</f>
        <v/>
      </c>
      <c r="E80" s="607" t="str">
        <f>IF(LEN(A80)&gt;2,VLOOKUP(A80,COPY!$A$2:$O$1000,10,FALSE),"")</f>
        <v/>
      </c>
      <c r="F80" s="542" t="str">
        <f>IF(LEN(A80)&gt;2,VLOOKUP(A80,COPY!$A$2:$O$1000,8,FALSE),"")</f>
        <v/>
      </c>
      <c r="G80" s="543" t="str">
        <f>IF(LEN(A80)&gt;2,VLOOKUP(A80,COPY!$A$2:$O$1000,7,FALSE),"")</f>
        <v/>
      </c>
      <c r="H80" s="544" t="str">
        <f t="shared" si="7"/>
        <v/>
      </c>
      <c r="I80" s="545" t="str">
        <f>IFERROR(IF(LEN(A80)&gt;2,VLOOKUP(A80,COPY!$A$2:$O$1000,13,FALSE),"")/E80,"")</f>
        <v/>
      </c>
      <c r="J80" s="546"/>
      <c r="K80" s="547" t="str">
        <f t="shared" si="8"/>
        <v/>
      </c>
      <c r="L80" s="548" t="str">
        <f t="shared" ref="L80:L122" si="11">IF(E80="","",IF(O80&gt;=0,O80,IF(O80&lt;0,0,0)))</f>
        <v/>
      </c>
      <c r="M80" s="549">
        <f t="shared" si="9"/>
        <v>0</v>
      </c>
      <c r="O80" s="538" t="str">
        <f t="shared" ref="O80:O122" si="12">IF(E80="",O79,IF(L79&gt;0,L79-K80,IF(M79&lt;=0,M79-K80,0)))</f>
        <v/>
      </c>
      <c r="P80" s="550"/>
      <c r="Q80" s="551"/>
    </row>
    <row r="81" spans="1:17" s="253" customFormat="1" ht="20.100000000000001" hidden="1" customHeight="1" x14ac:dyDescent="0.25">
      <c r="A81" s="253" t="str">
        <f t="shared" si="10"/>
        <v/>
      </c>
      <c r="B81" s="584" t="str">
        <f>IF(LEN(A81)&gt;2,VLOOKUP(A81,COPY!$A$2:$O$1000,4,FALSE),"")</f>
        <v/>
      </c>
      <c r="C81" s="585" t="str">
        <f>IF(LEN(A81)&gt;2,VLOOKUP(A81,COPY!$A$2:$O$1000,15,FALSE),"")</f>
        <v/>
      </c>
      <c r="D81" s="542" t="str">
        <f>IF(LEN(A81)&gt;2,VLOOKUP(A81,COPY!$A$2:$O$1000,2,FALSE),"")</f>
        <v/>
      </c>
      <c r="E81" s="607" t="str">
        <f>IF(LEN(A81)&gt;2,VLOOKUP(A81,COPY!$A$2:$O$1000,10,FALSE),"")</f>
        <v/>
      </c>
      <c r="F81" s="542" t="str">
        <f>IF(LEN(A81)&gt;2,VLOOKUP(A81,COPY!$A$2:$O$1000,8,FALSE),"")</f>
        <v/>
      </c>
      <c r="G81" s="543" t="str">
        <f>IF(LEN(A81)&gt;2,VLOOKUP(A81,COPY!$A$2:$O$1000,7,FALSE),"")</f>
        <v/>
      </c>
      <c r="H81" s="544" t="str">
        <f t="shared" si="7"/>
        <v/>
      </c>
      <c r="I81" s="545" t="str">
        <f>IFERROR(IF(LEN(A81)&gt;2,VLOOKUP(A81,COPY!$A$2:$O$1000,13,FALSE),"")/E81,"")</f>
        <v/>
      </c>
      <c r="J81" s="546"/>
      <c r="K81" s="547" t="str">
        <f t="shared" si="8"/>
        <v/>
      </c>
      <c r="L81" s="548" t="str">
        <f t="shared" si="11"/>
        <v/>
      </c>
      <c r="M81" s="549">
        <f t="shared" si="9"/>
        <v>0</v>
      </c>
      <c r="O81" s="538" t="str">
        <f t="shared" si="12"/>
        <v/>
      </c>
      <c r="P81" s="550"/>
      <c r="Q81" s="551"/>
    </row>
    <row r="82" spans="1:17" s="253" customFormat="1" ht="20.100000000000001" hidden="1" customHeight="1" x14ac:dyDescent="0.25">
      <c r="A82" s="253" t="str">
        <f t="shared" si="10"/>
        <v/>
      </c>
      <c r="B82" s="584" t="str">
        <f>IF(LEN(A82)&gt;2,VLOOKUP(A82,COPY!$A$2:$O$1000,4,FALSE),"")</f>
        <v/>
      </c>
      <c r="C82" s="585" t="str">
        <f>IF(LEN(A82)&gt;2,VLOOKUP(A82,COPY!$A$2:$O$1000,15,FALSE),"")</f>
        <v/>
      </c>
      <c r="D82" s="542" t="str">
        <f>IF(LEN(A82)&gt;2,VLOOKUP(A82,COPY!$A$2:$O$1000,2,FALSE),"")</f>
        <v/>
      </c>
      <c r="E82" s="607" t="str">
        <f>IF(LEN(A82)&gt;2,VLOOKUP(A82,COPY!$A$2:$O$1000,10,FALSE),"")</f>
        <v/>
      </c>
      <c r="F82" s="542" t="str">
        <f>IF(LEN(A82)&gt;2,VLOOKUP(A82,COPY!$A$2:$O$1000,8,FALSE),"")</f>
        <v/>
      </c>
      <c r="G82" s="543" t="str">
        <f>IF(LEN(A82)&gt;2,VLOOKUP(A82,COPY!$A$2:$O$1000,7,FALSE),"")</f>
        <v/>
      </c>
      <c r="H82" s="544" t="str">
        <f t="shared" si="7"/>
        <v/>
      </c>
      <c r="I82" s="545" t="str">
        <f>IFERROR(IF(LEN(A82)&gt;2,VLOOKUP(A82,COPY!$A$2:$O$1000,13,FALSE),"")/E82,"")</f>
        <v/>
      </c>
      <c r="J82" s="546"/>
      <c r="K82" s="547" t="str">
        <f t="shared" si="8"/>
        <v/>
      </c>
      <c r="L82" s="548" t="str">
        <f t="shared" si="11"/>
        <v/>
      </c>
      <c r="M82" s="549">
        <f t="shared" si="9"/>
        <v>0</v>
      </c>
      <c r="O82" s="538" t="str">
        <f t="shared" si="12"/>
        <v/>
      </c>
      <c r="P82" s="550"/>
      <c r="Q82" s="551"/>
    </row>
    <row r="83" spans="1:17" s="253" customFormat="1" ht="20.100000000000001" hidden="1" customHeight="1" x14ac:dyDescent="0.25">
      <c r="A83" s="253" t="str">
        <f t="shared" si="10"/>
        <v/>
      </c>
      <c r="B83" s="584" t="str">
        <f>IF(LEN(A83)&gt;2,VLOOKUP(A83,COPY!$A$2:$O$1000,4,FALSE),"")</f>
        <v/>
      </c>
      <c r="C83" s="585" t="str">
        <f>IF(LEN(A83)&gt;2,VLOOKUP(A83,COPY!$A$2:$O$1000,15,FALSE),"")</f>
        <v/>
      </c>
      <c r="D83" s="542" t="str">
        <f>IF(LEN(A83)&gt;2,VLOOKUP(A83,COPY!$A$2:$O$1000,2,FALSE),"")</f>
        <v/>
      </c>
      <c r="E83" s="607" t="str">
        <f>IF(LEN(A83)&gt;2,VLOOKUP(A83,COPY!$A$2:$O$1000,10,FALSE),"")</f>
        <v/>
      </c>
      <c r="F83" s="542" t="str">
        <f>IF(LEN(A83)&gt;2,VLOOKUP(A83,COPY!$A$2:$O$1000,8,FALSE),"")</f>
        <v/>
      </c>
      <c r="G83" s="543" t="str">
        <f>IF(LEN(A83)&gt;2,VLOOKUP(A83,COPY!$A$2:$O$1000,7,FALSE),"")</f>
        <v/>
      </c>
      <c r="H83" s="544" t="str">
        <f t="shared" si="7"/>
        <v/>
      </c>
      <c r="I83" s="545" t="str">
        <f>IFERROR(IF(LEN(A83)&gt;2,VLOOKUP(A83,COPY!$A$2:$O$1000,13,FALSE),"")/E83,"")</f>
        <v/>
      </c>
      <c r="J83" s="546"/>
      <c r="K83" s="547" t="str">
        <f t="shared" si="8"/>
        <v/>
      </c>
      <c r="L83" s="548" t="str">
        <f t="shared" si="11"/>
        <v/>
      </c>
      <c r="M83" s="549">
        <f t="shared" si="9"/>
        <v>0</v>
      </c>
      <c r="O83" s="538" t="str">
        <f t="shared" si="12"/>
        <v/>
      </c>
      <c r="P83" s="550"/>
      <c r="Q83" s="551"/>
    </row>
    <row r="84" spans="1:17" s="253" customFormat="1" ht="20.100000000000001" hidden="1" customHeight="1" x14ac:dyDescent="0.25">
      <c r="A84" s="253" t="str">
        <f t="shared" si="10"/>
        <v/>
      </c>
      <c r="B84" s="584" t="str">
        <f>IF(LEN(A84)&gt;2,VLOOKUP(A84,COPY!$A$2:$O$1000,4,FALSE),"")</f>
        <v/>
      </c>
      <c r="C84" s="585" t="str">
        <f>IF(LEN(A84)&gt;2,VLOOKUP(A84,COPY!$A$2:$O$1000,15,FALSE),"")</f>
        <v/>
      </c>
      <c r="D84" s="542" t="str">
        <f>IF(LEN(A84)&gt;2,VLOOKUP(A84,COPY!$A$2:$O$1000,2,FALSE),"")</f>
        <v/>
      </c>
      <c r="E84" s="607" t="str">
        <f>IF(LEN(A84)&gt;2,VLOOKUP(A84,COPY!$A$2:$O$1000,10,FALSE),"")</f>
        <v/>
      </c>
      <c r="F84" s="542" t="str">
        <f>IF(LEN(A84)&gt;2,VLOOKUP(A84,COPY!$A$2:$O$1000,8,FALSE),"")</f>
        <v/>
      </c>
      <c r="G84" s="543" t="str">
        <f>IF(LEN(A84)&gt;2,VLOOKUP(A84,COPY!$A$2:$O$1000,7,FALSE),"")</f>
        <v/>
      </c>
      <c r="H84" s="544" t="str">
        <f t="shared" si="7"/>
        <v/>
      </c>
      <c r="I84" s="545" t="str">
        <f>IFERROR(IF(LEN(A84)&gt;2,VLOOKUP(A84,COPY!$A$2:$O$1000,13,FALSE),"")/E84,"")</f>
        <v/>
      </c>
      <c r="J84" s="546"/>
      <c r="K84" s="547" t="str">
        <f t="shared" si="8"/>
        <v/>
      </c>
      <c r="L84" s="548" t="str">
        <f t="shared" si="11"/>
        <v/>
      </c>
      <c r="M84" s="549">
        <f t="shared" si="9"/>
        <v>0</v>
      </c>
      <c r="O84" s="538" t="str">
        <f t="shared" si="12"/>
        <v/>
      </c>
      <c r="P84" s="550"/>
      <c r="Q84" s="551"/>
    </row>
    <row r="85" spans="1:17" s="253" customFormat="1" ht="20.100000000000001" hidden="1" customHeight="1" x14ac:dyDescent="0.25">
      <c r="A85" s="253" t="str">
        <f t="shared" si="10"/>
        <v/>
      </c>
      <c r="B85" s="584" t="str">
        <f>IF(LEN(A85)&gt;2,VLOOKUP(A85,COPY!$A$2:$O$1000,4,FALSE),"")</f>
        <v/>
      </c>
      <c r="C85" s="585" t="str">
        <f>IF(LEN(A85)&gt;2,VLOOKUP(A85,COPY!$A$2:$O$1000,15,FALSE),"")</f>
        <v/>
      </c>
      <c r="D85" s="542" t="str">
        <f>IF(LEN(A85)&gt;2,VLOOKUP(A85,COPY!$A$2:$O$1000,2,FALSE),"")</f>
        <v/>
      </c>
      <c r="E85" s="607" t="str">
        <f>IF(LEN(A85)&gt;2,VLOOKUP(A85,COPY!$A$2:$O$1000,10,FALSE),"")</f>
        <v/>
      </c>
      <c r="F85" s="542" t="str">
        <f>IF(LEN(A85)&gt;2,VLOOKUP(A85,COPY!$A$2:$O$1000,8,FALSE),"")</f>
        <v/>
      </c>
      <c r="G85" s="543" t="str">
        <f>IF(LEN(A85)&gt;2,VLOOKUP(A85,COPY!$A$2:$O$1000,7,FALSE),"")</f>
        <v/>
      </c>
      <c r="H85" s="544" t="str">
        <f t="shared" si="7"/>
        <v/>
      </c>
      <c r="I85" s="545" t="str">
        <f>IFERROR(IF(LEN(A85)&gt;2,VLOOKUP(A85,COPY!$A$2:$O$1000,13,FALSE),"")/E85,"")</f>
        <v/>
      </c>
      <c r="J85" s="546"/>
      <c r="K85" s="547" t="str">
        <f t="shared" si="8"/>
        <v/>
      </c>
      <c r="L85" s="548" t="str">
        <f t="shared" si="11"/>
        <v/>
      </c>
      <c r="M85" s="549">
        <f t="shared" si="9"/>
        <v>0</v>
      </c>
      <c r="O85" s="538" t="str">
        <f t="shared" si="12"/>
        <v/>
      </c>
      <c r="P85" s="550"/>
      <c r="Q85" s="551"/>
    </row>
    <row r="86" spans="1:17" s="253" customFormat="1" ht="20.100000000000001" hidden="1" customHeight="1" x14ac:dyDescent="0.25">
      <c r="A86" s="253" t="str">
        <f t="shared" si="10"/>
        <v/>
      </c>
      <c r="B86" s="584" t="str">
        <f>IF(LEN(A86)&gt;2,VLOOKUP(A86,COPY!$A$2:$O$1000,4,FALSE),"")</f>
        <v/>
      </c>
      <c r="C86" s="585" t="str">
        <f>IF(LEN(A86)&gt;2,VLOOKUP(A86,COPY!$A$2:$O$1000,15,FALSE),"")</f>
        <v/>
      </c>
      <c r="D86" s="542" t="str">
        <f>IF(LEN(A86)&gt;2,VLOOKUP(A86,COPY!$A$2:$O$1000,2,FALSE),"")</f>
        <v/>
      </c>
      <c r="E86" s="607" t="str">
        <f>IF(LEN(A86)&gt;2,VLOOKUP(A86,COPY!$A$2:$O$1000,10,FALSE),"")</f>
        <v/>
      </c>
      <c r="F86" s="542" t="str">
        <f>IF(LEN(A86)&gt;2,VLOOKUP(A86,COPY!$A$2:$O$1000,8,FALSE),"")</f>
        <v/>
      </c>
      <c r="G86" s="543" t="str">
        <f>IF(LEN(A86)&gt;2,VLOOKUP(A86,COPY!$A$2:$O$1000,7,FALSE),"")</f>
        <v/>
      </c>
      <c r="H86" s="544" t="str">
        <f t="shared" si="7"/>
        <v/>
      </c>
      <c r="I86" s="545" t="str">
        <f>IFERROR(IF(LEN(A86)&gt;2,VLOOKUP(A86,COPY!$A$2:$O$1000,13,FALSE),"")/E86,"")</f>
        <v/>
      </c>
      <c r="J86" s="546"/>
      <c r="K86" s="547" t="str">
        <f t="shared" si="8"/>
        <v/>
      </c>
      <c r="L86" s="548" t="str">
        <f t="shared" si="11"/>
        <v/>
      </c>
      <c r="M86" s="549">
        <f t="shared" si="9"/>
        <v>0</v>
      </c>
      <c r="O86" s="538" t="str">
        <f t="shared" si="12"/>
        <v/>
      </c>
      <c r="P86" s="550"/>
      <c r="Q86" s="551"/>
    </row>
    <row r="87" spans="1:17" s="253" customFormat="1" ht="20.100000000000001" hidden="1" customHeight="1" x14ac:dyDescent="0.25">
      <c r="A87" s="253" t="str">
        <f t="shared" si="10"/>
        <v/>
      </c>
      <c r="B87" s="584" t="str">
        <f>IF(LEN(A87)&gt;2,VLOOKUP(A87,COPY!$A$2:$O$1000,4,FALSE),"")</f>
        <v/>
      </c>
      <c r="C87" s="585" t="str">
        <f>IF(LEN(A87)&gt;2,VLOOKUP(A87,COPY!$A$2:$O$1000,15,FALSE),"")</f>
        <v/>
      </c>
      <c r="D87" s="542" t="str">
        <f>IF(LEN(A87)&gt;2,VLOOKUP(A87,COPY!$A$2:$O$1000,2,FALSE),"")</f>
        <v/>
      </c>
      <c r="E87" s="607" t="str">
        <f>IF(LEN(A87)&gt;2,VLOOKUP(A87,COPY!$A$2:$O$1000,10,FALSE),"")</f>
        <v/>
      </c>
      <c r="F87" s="542" t="str">
        <f>IF(LEN(A87)&gt;2,VLOOKUP(A87,COPY!$A$2:$O$1000,8,FALSE),"")</f>
        <v/>
      </c>
      <c r="G87" s="543" t="str">
        <f>IF(LEN(A87)&gt;2,VLOOKUP(A87,COPY!$A$2:$O$1000,7,FALSE),"")</f>
        <v/>
      </c>
      <c r="H87" s="544" t="str">
        <f t="shared" si="7"/>
        <v/>
      </c>
      <c r="I87" s="545" t="str">
        <f>IFERROR(IF(LEN(A87)&gt;2,VLOOKUP(A87,COPY!$A$2:$O$1000,13,FALSE),"")/E87,"")</f>
        <v/>
      </c>
      <c r="J87" s="546"/>
      <c r="K87" s="547" t="str">
        <f t="shared" si="8"/>
        <v/>
      </c>
      <c r="L87" s="548" t="str">
        <f t="shared" si="11"/>
        <v/>
      </c>
      <c r="M87" s="549">
        <f t="shared" si="9"/>
        <v>0</v>
      </c>
      <c r="O87" s="538" t="str">
        <f t="shared" si="12"/>
        <v/>
      </c>
      <c r="P87" s="550"/>
      <c r="Q87" s="551"/>
    </row>
    <row r="88" spans="1:17" s="253" customFormat="1" ht="20.100000000000001" hidden="1" customHeight="1" x14ac:dyDescent="0.25">
      <c r="A88" s="253" t="str">
        <f t="shared" si="10"/>
        <v/>
      </c>
      <c r="B88" s="584" t="str">
        <f>IF(LEN(A88)&gt;2,VLOOKUP(A88,COPY!$A$2:$O$1000,4,FALSE),"")</f>
        <v/>
      </c>
      <c r="C88" s="585" t="str">
        <f>IF(LEN(A88)&gt;2,VLOOKUP(A88,COPY!$A$2:$O$1000,15,FALSE),"")</f>
        <v/>
      </c>
      <c r="D88" s="542" t="str">
        <f>IF(LEN(A88)&gt;2,VLOOKUP(A88,COPY!$A$2:$O$1000,2,FALSE),"")</f>
        <v/>
      </c>
      <c r="E88" s="607" t="str">
        <f>IF(LEN(A88)&gt;2,VLOOKUP(A88,COPY!$A$2:$O$1000,10,FALSE),"")</f>
        <v/>
      </c>
      <c r="F88" s="542" t="str">
        <f>IF(LEN(A88)&gt;2,VLOOKUP(A88,COPY!$A$2:$O$1000,8,FALSE),"")</f>
        <v/>
      </c>
      <c r="G88" s="543" t="str">
        <f>IF(LEN(A88)&gt;2,VLOOKUP(A88,COPY!$A$2:$O$1000,7,FALSE),"")</f>
        <v/>
      </c>
      <c r="H88" s="544" t="str">
        <f t="shared" si="7"/>
        <v/>
      </c>
      <c r="I88" s="545" t="str">
        <f>IFERROR(IF(LEN(A88)&gt;2,VLOOKUP(A88,COPY!$A$2:$O$1000,13,FALSE),"")/E88,"")</f>
        <v/>
      </c>
      <c r="J88" s="546"/>
      <c r="K88" s="547" t="str">
        <f t="shared" si="8"/>
        <v/>
      </c>
      <c r="L88" s="548" t="str">
        <f t="shared" si="11"/>
        <v/>
      </c>
      <c r="M88" s="549">
        <f t="shared" si="9"/>
        <v>0</v>
      </c>
      <c r="O88" s="538" t="str">
        <f t="shared" si="12"/>
        <v/>
      </c>
      <c r="P88" s="550"/>
      <c r="Q88" s="551"/>
    </row>
    <row r="89" spans="1:17" s="253" customFormat="1" ht="20.100000000000001" hidden="1" customHeight="1" x14ac:dyDescent="0.25">
      <c r="A89" s="253" t="str">
        <f t="shared" si="10"/>
        <v/>
      </c>
      <c r="B89" s="584" t="str">
        <f>IF(LEN(A89)&gt;2,VLOOKUP(A89,COPY!$A$2:$O$1000,4,FALSE),"")</f>
        <v/>
      </c>
      <c r="C89" s="585" t="str">
        <f>IF(LEN(A89)&gt;2,VLOOKUP(A89,COPY!$A$2:$O$1000,15,FALSE),"")</f>
        <v/>
      </c>
      <c r="D89" s="542" t="str">
        <f>IF(LEN(A89)&gt;2,VLOOKUP(A89,COPY!$A$2:$O$1000,2,FALSE),"")</f>
        <v/>
      </c>
      <c r="E89" s="607" t="str">
        <f>IF(LEN(A89)&gt;2,VLOOKUP(A89,COPY!$A$2:$O$1000,10,FALSE),"")</f>
        <v/>
      </c>
      <c r="F89" s="542" t="str">
        <f>IF(LEN(A89)&gt;2,VLOOKUP(A89,COPY!$A$2:$O$1000,8,FALSE),"")</f>
        <v/>
      </c>
      <c r="G89" s="543" t="str">
        <f>IF(LEN(A89)&gt;2,VLOOKUP(A89,COPY!$A$2:$O$1000,7,FALSE),"")</f>
        <v/>
      </c>
      <c r="H89" s="544" t="str">
        <f t="shared" si="7"/>
        <v/>
      </c>
      <c r="I89" s="545" t="str">
        <f>IFERROR(IF(LEN(A89)&gt;2,VLOOKUP(A89,COPY!$A$2:$O$1000,13,FALSE),"")/E89,"")</f>
        <v/>
      </c>
      <c r="J89" s="546"/>
      <c r="K89" s="547" t="str">
        <f t="shared" si="8"/>
        <v/>
      </c>
      <c r="L89" s="548" t="str">
        <f t="shared" si="11"/>
        <v/>
      </c>
      <c r="M89" s="549">
        <f t="shared" si="9"/>
        <v>0</v>
      </c>
      <c r="O89" s="538" t="str">
        <f t="shared" si="12"/>
        <v/>
      </c>
      <c r="P89" s="550"/>
      <c r="Q89" s="551"/>
    </row>
    <row r="90" spans="1:17" s="253" customFormat="1" ht="20.100000000000001" hidden="1" customHeight="1" x14ac:dyDescent="0.25">
      <c r="A90" s="253" t="str">
        <f t="shared" si="10"/>
        <v/>
      </c>
      <c r="B90" s="584" t="str">
        <f>IF(LEN(A90)&gt;2,VLOOKUP(A90,COPY!$A$2:$O$1000,4,FALSE),"")</f>
        <v/>
      </c>
      <c r="C90" s="585" t="str">
        <f>IF(LEN(A90)&gt;2,VLOOKUP(A90,COPY!$A$2:$O$1000,15,FALSE),"")</f>
        <v/>
      </c>
      <c r="D90" s="542" t="str">
        <f>IF(LEN(A90)&gt;2,VLOOKUP(A90,COPY!$A$2:$O$1000,2,FALSE),"")</f>
        <v/>
      </c>
      <c r="E90" s="607" t="str">
        <f>IF(LEN(A90)&gt;2,VLOOKUP(A90,COPY!$A$2:$O$1000,10,FALSE),"")</f>
        <v/>
      </c>
      <c r="F90" s="542" t="str">
        <f>IF(LEN(A90)&gt;2,VLOOKUP(A90,COPY!$A$2:$O$1000,8,FALSE),"")</f>
        <v/>
      </c>
      <c r="G90" s="543" t="str">
        <f>IF(LEN(A90)&gt;2,VLOOKUP(A90,COPY!$A$2:$O$1000,7,FALSE),"")</f>
        <v/>
      </c>
      <c r="H90" s="544" t="str">
        <f t="shared" si="7"/>
        <v/>
      </c>
      <c r="I90" s="545" t="str">
        <f>IFERROR(IF(LEN(A90)&gt;2,VLOOKUP(A90,COPY!$A$2:$O$1000,13,FALSE),"")/E90,"")</f>
        <v/>
      </c>
      <c r="J90" s="546"/>
      <c r="K90" s="547" t="str">
        <f t="shared" si="8"/>
        <v/>
      </c>
      <c r="L90" s="548" t="str">
        <f t="shared" si="11"/>
        <v/>
      </c>
      <c r="M90" s="549">
        <f t="shared" si="9"/>
        <v>0</v>
      </c>
      <c r="O90" s="538" t="str">
        <f t="shared" si="12"/>
        <v/>
      </c>
      <c r="P90" s="550"/>
      <c r="Q90" s="551"/>
    </row>
    <row r="91" spans="1:17" s="253" customFormat="1" ht="20.100000000000001" hidden="1" customHeight="1" x14ac:dyDescent="0.25">
      <c r="A91" s="253" t="str">
        <f t="shared" si="10"/>
        <v/>
      </c>
      <c r="B91" s="584" t="str">
        <f>IF(LEN(A91)&gt;2,VLOOKUP(A91,COPY!$A$2:$O$1000,4,FALSE),"")</f>
        <v/>
      </c>
      <c r="C91" s="585" t="str">
        <f>IF(LEN(A91)&gt;2,VLOOKUP(A91,COPY!$A$2:$O$1000,15,FALSE),"")</f>
        <v/>
      </c>
      <c r="D91" s="542" t="str">
        <f>IF(LEN(A91)&gt;2,VLOOKUP(A91,COPY!$A$2:$O$1000,2,FALSE),"")</f>
        <v/>
      </c>
      <c r="E91" s="607" t="str">
        <f>IF(LEN(A91)&gt;2,VLOOKUP(A91,COPY!$A$2:$O$1000,10,FALSE),"")</f>
        <v/>
      </c>
      <c r="F91" s="542" t="str">
        <f>IF(LEN(A91)&gt;2,VLOOKUP(A91,COPY!$A$2:$O$1000,8,FALSE),"")</f>
        <v/>
      </c>
      <c r="G91" s="543" t="str">
        <f>IF(LEN(A91)&gt;2,VLOOKUP(A91,COPY!$A$2:$O$1000,7,FALSE),"")</f>
        <v/>
      </c>
      <c r="H91" s="544" t="str">
        <f t="shared" si="7"/>
        <v/>
      </c>
      <c r="I91" s="545" t="str">
        <f>IFERROR(IF(LEN(A91)&gt;2,VLOOKUP(A91,COPY!$A$2:$O$1000,13,FALSE),"")/E91,"")</f>
        <v/>
      </c>
      <c r="J91" s="546"/>
      <c r="K91" s="547" t="str">
        <f t="shared" si="8"/>
        <v/>
      </c>
      <c r="L91" s="548" t="str">
        <f t="shared" si="11"/>
        <v/>
      </c>
      <c r="M91" s="549">
        <f t="shared" si="9"/>
        <v>0</v>
      </c>
      <c r="O91" s="538" t="str">
        <f t="shared" si="12"/>
        <v/>
      </c>
      <c r="P91" s="550"/>
      <c r="Q91" s="551"/>
    </row>
    <row r="92" spans="1:17" s="253" customFormat="1" ht="20.100000000000001" hidden="1" customHeight="1" x14ac:dyDescent="0.25">
      <c r="A92" s="253" t="str">
        <f t="shared" si="10"/>
        <v/>
      </c>
      <c r="B92" s="584" t="str">
        <f>IF(LEN(A92)&gt;2,VLOOKUP(A92,COPY!$A$2:$O$1000,4,FALSE),"")</f>
        <v/>
      </c>
      <c r="C92" s="585" t="str">
        <f>IF(LEN(A92)&gt;2,VLOOKUP(A92,COPY!$A$2:$O$1000,15,FALSE),"")</f>
        <v/>
      </c>
      <c r="D92" s="542" t="str">
        <f>IF(LEN(A92)&gt;2,VLOOKUP(A92,COPY!$A$2:$O$1000,2,FALSE),"")</f>
        <v/>
      </c>
      <c r="E92" s="607" t="str">
        <f>IF(LEN(A92)&gt;2,VLOOKUP(A92,COPY!$A$2:$O$1000,10,FALSE),"")</f>
        <v/>
      </c>
      <c r="F92" s="542" t="str">
        <f>IF(LEN(A92)&gt;2,VLOOKUP(A92,COPY!$A$2:$O$1000,8,FALSE),"")</f>
        <v/>
      </c>
      <c r="G92" s="543" t="str">
        <f>IF(LEN(A92)&gt;2,VLOOKUP(A92,COPY!$A$2:$O$1000,7,FALSE),"")</f>
        <v/>
      </c>
      <c r="H92" s="544" t="str">
        <f t="shared" si="7"/>
        <v/>
      </c>
      <c r="I92" s="545" t="str">
        <f>IFERROR(IF(LEN(A92)&gt;2,VLOOKUP(A92,COPY!$A$2:$O$1000,13,FALSE),"")/E92,"")</f>
        <v/>
      </c>
      <c r="J92" s="546"/>
      <c r="K92" s="547" t="str">
        <f t="shared" si="8"/>
        <v/>
      </c>
      <c r="L92" s="548" t="str">
        <f t="shared" si="11"/>
        <v/>
      </c>
      <c r="M92" s="549">
        <f t="shared" si="9"/>
        <v>0</v>
      </c>
      <c r="O92" s="538" t="str">
        <f t="shared" si="12"/>
        <v/>
      </c>
      <c r="P92" s="550"/>
      <c r="Q92" s="551"/>
    </row>
    <row r="93" spans="1:17" s="253" customFormat="1" ht="20.100000000000001" hidden="1" customHeight="1" x14ac:dyDescent="0.25">
      <c r="A93" s="253" t="str">
        <f t="shared" si="10"/>
        <v/>
      </c>
      <c r="B93" s="584" t="str">
        <f>IF(LEN(A93)&gt;2,VLOOKUP(A93,COPY!$A$2:$O$1000,4,FALSE),"")</f>
        <v/>
      </c>
      <c r="C93" s="585" t="str">
        <f>IF(LEN(A93)&gt;2,VLOOKUP(A93,COPY!$A$2:$O$1000,15,FALSE),"")</f>
        <v/>
      </c>
      <c r="D93" s="542" t="str">
        <f>IF(LEN(A93)&gt;2,VLOOKUP(A93,COPY!$A$2:$O$1000,2,FALSE),"")</f>
        <v/>
      </c>
      <c r="E93" s="607" t="str">
        <f>IF(LEN(A93)&gt;2,VLOOKUP(A93,COPY!$A$2:$O$1000,10,FALSE),"")</f>
        <v/>
      </c>
      <c r="F93" s="542" t="str">
        <f>IF(LEN(A93)&gt;2,VLOOKUP(A93,COPY!$A$2:$O$1000,8,FALSE),"")</f>
        <v/>
      </c>
      <c r="G93" s="543" t="str">
        <f>IF(LEN(A93)&gt;2,VLOOKUP(A93,COPY!$A$2:$O$1000,7,FALSE),"")</f>
        <v/>
      </c>
      <c r="H93" s="544" t="str">
        <f t="shared" si="7"/>
        <v/>
      </c>
      <c r="I93" s="545" t="str">
        <f>IFERROR(IF(LEN(A93)&gt;2,VLOOKUP(A93,COPY!$A$2:$O$1000,13,FALSE),"")/E93,"")</f>
        <v/>
      </c>
      <c r="J93" s="546"/>
      <c r="K93" s="547" t="str">
        <f t="shared" si="8"/>
        <v/>
      </c>
      <c r="L93" s="548" t="str">
        <f t="shared" si="11"/>
        <v/>
      </c>
      <c r="M93" s="549">
        <f t="shared" si="9"/>
        <v>0</v>
      </c>
      <c r="O93" s="538" t="str">
        <f t="shared" si="12"/>
        <v/>
      </c>
      <c r="P93" s="550"/>
      <c r="Q93" s="551"/>
    </row>
    <row r="94" spans="1:17" s="253" customFormat="1" ht="20.100000000000001" hidden="1" customHeight="1" x14ac:dyDescent="0.25">
      <c r="A94" s="253" t="str">
        <f t="shared" si="10"/>
        <v/>
      </c>
      <c r="B94" s="584" t="str">
        <f>IF(LEN(A94)&gt;2,VLOOKUP(A94,COPY!$A$2:$O$1000,4,FALSE),"")</f>
        <v/>
      </c>
      <c r="C94" s="585" t="str">
        <f>IF(LEN(A94)&gt;2,VLOOKUP(A94,COPY!$A$2:$O$1000,15,FALSE),"")</f>
        <v/>
      </c>
      <c r="D94" s="542" t="str">
        <f>IF(LEN(A94)&gt;2,VLOOKUP(A94,COPY!$A$2:$O$1000,2,FALSE),"")</f>
        <v/>
      </c>
      <c r="E94" s="607" t="str">
        <f>IF(LEN(A94)&gt;2,VLOOKUP(A94,COPY!$A$2:$O$1000,10,FALSE),"")</f>
        <v/>
      </c>
      <c r="F94" s="542" t="str">
        <f>IF(LEN(A94)&gt;2,VLOOKUP(A94,COPY!$A$2:$O$1000,8,FALSE),"")</f>
        <v/>
      </c>
      <c r="G94" s="543" t="str">
        <f>IF(LEN(A94)&gt;2,VLOOKUP(A94,COPY!$A$2:$O$1000,7,FALSE),"")</f>
        <v/>
      </c>
      <c r="H94" s="544" t="str">
        <f t="shared" si="7"/>
        <v/>
      </c>
      <c r="I94" s="545" t="str">
        <f>IFERROR(IF(LEN(A94)&gt;2,VLOOKUP(A94,COPY!$A$2:$O$1000,13,FALSE),"")/E94,"")</f>
        <v/>
      </c>
      <c r="J94" s="546"/>
      <c r="K94" s="547" t="str">
        <f t="shared" si="8"/>
        <v/>
      </c>
      <c r="L94" s="548" t="str">
        <f t="shared" si="11"/>
        <v/>
      </c>
      <c r="M94" s="549">
        <f t="shared" si="9"/>
        <v>0</v>
      </c>
      <c r="O94" s="538" t="str">
        <f t="shared" si="12"/>
        <v/>
      </c>
      <c r="P94" s="550"/>
      <c r="Q94" s="551"/>
    </row>
    <row r="95" spans="1:17" s="253" customFormat="1" ht="20.100000000000001" hidden="1" customHeight="1" x14ac:dyDescent="0.25">
      <c r="A95" s="253" t="str">
        <f t="shared" si="10"/>
        <v/>
      </c>
      <c r="B95" s="584" t="str">
        <f>IF(LEN(A95)&gt;2,VLOOKUP(A95,COPY!$A$2:$O$1000,4,FALSE),"")</f>
        <v/>
      </c>
      <c r="C95" s="585" t="str">
        <f>IF(LEN(A95)&gt;2,VLOOKUP(A95,COPY!$A$2:$O$1000,15,FALSE),"")</f>
        <v/>
      </c>
      <c r="D95" s="542" t="str">
        <f>IF(LEN(A95)&gt;2,VLOOKUP(A95,COPY!$A$2:$O$1000,2,FALSE),"")</f>
        <v/>
      </c>
      <c r="E95" s="607" t="str">
        <f>IF(LEN(A95)&gt;2,VLOOKUP(A95,COPY!$A$2:$O$1000,10,FALSE),"")</f>
        <v/>
      </c>
      <c r="F95" s="542" t="str">
        <f>IF(LEN(A95)&gt;2,VLOOKUP(A95,COPY!$A$2:$O$1000,8,FALSE),"")</f>
        <v/>
      </c>
      <c r="G95" s="543" t="str">
        <f>IF(LEN(A95)&gt;2,VLOOKUP(A95,COPY!$A$2:$O$1000,7,FALSE),"")</f>
        <v/>
      </c>
      <c r="H95" s="544" t="str">
        <f t="shared" si="7"/>
        <v/>
      </c>
      <c r="I95" s="545" t="str">
        <f>IFERROR(IF(LEN(A95)&gt;2,VLOOKUP(A95,COPY!$A$2:$O$1000,13,FALSE),"")/E95,"")</f>
        <v/>
      </c>
      <c r="J95" s="546"/>
      <c r="K95" s="547" t="str">
        <f t="shared" si="8"/>
        <v/>
      </c>
      <c r="L95" s="548" t="str">
        <f t="shared" si="11"/>
        <v/>
      </c>
      <c r="M95" s="549">
        <f t="shared" si="9"/>
        <v>0</v>
      </c>
      <c r="O95" s="538" t="str">
        <f t="shared" si="12"/>
        <v/>
      </c>
      <c r="P95" s="550"/>
      <c r="Q95" s="551"/>
    </row>
    <row r="96" spans="1:17" s="253" customFormat="1" ht="20.100000000000001" hidden="1" customHeight="1" x14ac:dyDescent="0.25">
      <c r="A96" s="253" t="str">
        <f t="shared" si="10"/>
        <v/>
      </c>
      <c r="B96" s="584" t="str">
        <f>IF(LEN(A96)&gt;2,VLOOKUP(A96,COPY!$A$2:$O$1000,4,FALSE),"")</f>
        <v/>
      </c>
      <c r="C96" s="585" t="str">
        <f>IF(LEN(A96)&gt;2,VLOOKUP(A96,COPY!$A$2:$O$1000,15,FALSE),"")</f>
        <v/>
      </c>
      <c r="D96" s="542" t="str">
        <f>IF(LEN(A96)&gt;2,VLOOKUP(A96,COPY!$A$2:$O$1000,2,FALSE),"")</f>
        <v/>
      </c>
      <c r="E96" s="607" t="str">
        <f>IF(LEN(A96)&gt;2,VLOOKUP(A96,COPY!$A$2:$O$1000,10,FALSE),"")</f>
        <v/>
      </c>
      <c r="F96" s="542" t="str">
        <f>IF(LEN(A96)&gt;2,VLOOKUP(A96,COPY!$A$2:$O$1000,8,FALSE),"")</f>
        <v/>
      </c>
      <c r="G96" s="543" t="str">
        <f>IF(LEN(A96)&gt;2,VLOOKUP(A96,COPY!$A$2:$O$1000,7,FALSE),"")</f>
        <v/>
      </c>
      <c r="H96" s="544" t="str">
        <f t="shared" si="7"/>
        <v/>
      </c>
      <c r="I96" s="545" t="str">
        <f>IFERROR(IF(LEN(A96)&gt;2,VLOOKUP(A96,COPY!$A$2:$O$1000,13,FALSE),"")/E96,"")</f>
        <v/>
      </c>
      <c r="J96" s="546"/>
      <c r="K96" s="547" t="str">
        <f t="shared" si="8"/>
        <v/>
      </c>
      <c r="L96" s="548" t="str">
        <f t="shared" si="11"/>
        <v/>
      </c>
      <c r="M96" s="549">
        <f t="shared" si="9"/>
        <v>0</v>
      </c>
      <c r="O96" s="538" t="str">
        <f t="shared" si="12"/>
        <v/>
      </c>
      <c r="P96" s="550"/>
      <c r="Q96" s="551"/>
    </row>
    <row r="97" spans="1:17" s="253" customFormat="1" ht="20.100000000000001" hidden="1" customHeight="1" x14ac:dyDescent="0.25">
      <c r="A97" s="253" t="str">
        <f t="shared" si="10"/>
        <v/>
      </c>
      <c r="B97" s="584" t="str">
        <f>IF(LEN(A97)&gt;2,VLOOKUP(A97,COPY!$A$2:$O$1000,4,FALSE),"")</f>
        <v/>
      </c>
      <c r="C97" s="585" t="str">
        <f>IF(LEN(A97)&gt;2,VLOOKUP(A97,COPY!$A$2:$O$1000,15,FALSE),"")</f>
        <v/>
      </c>
      <c r="D97" s="542" t="str">
        <f>IF(LEN(A97)&gt;2,VLOOKUP(A97,COPY!$A$2:$O$1000,2,FALSE),"")</f>
        <v/>
      </c>
      <c r="E97" s="607" t="str">
        <f>IF(LEN(A97)&gt;2,VLOOKUP(A97,COPY!$A$2:$O$1000,10,FALSE),"")</f>
        <v/>
      </c>
      <c r="F97" s="542" t="str">
        <f>IF(LEN(A97)&gt;2,VLOOKUP(A97,COPY!$A$2:$O$1000,8,FALSE),"")</f>
        <v/>
      </c>
      <c r="G97" s="543" t="str">
        <f>IF(LEN(A97)&gt;2,VLOOKUP(A97,COPY!$A$2:$O$1000,7,FALSE),"")</f>
        <v/>
      </c>
      <c r="H97" s="544" t="str">
        <f t="shared" si="7"/>
        <v/>
      </c>
      <c r="I97" s="545" t="str">
        <f>IFERROR(IF(LEN(A97)&gt;2,VLOOKUP(A97,COPY!$A$2:$O$1000,13,FALSE),"")/E97,"")</f>
        <v/>
      </c>
      <c r="J97" s="546"/>
      <c r="K97" s="547" t="str">
        <f t="shared" si="8"/>
        <v/>
      </c>
      <c r="L97" s="548" t="str">
        <f t="shared" si="11"/>
        <v/>
      </c>
      <c r="M97" s="549">
        <f t="shared" si="9"/>
        <v>0</v>
      </c>
      <c r="O97" s="538" t="str">
        <f t="shared" si="12"/>
        <v/>
      </c>
      <c r="P97" s="550"/>
      <c r="Q97" s="551"/>
    </row>
    <row r="98" spans="1:17" s="253" customFormat="1" ht="20.100000000000001" hidden="1" customHeight="1" x14ac:dyDescent="0.25">
      <c r="A98" s="253" t="str">
        <f t="shared" si="10"/>
        <v/>
      </c>
      <c r="B98" s="584" t="str">
        <f>IF(LEN(A98)&gt;2,VLOOKUP(A98,COPY!$A$2:$O$1000,4,FALSE),"")</f>
        <v/>
      </c>
      <c r="C98" s="585" t="str">
        <f>IF(LEN(A98)&gt;2,VLOOKUP(A98,COPY!$A$2:$O$1000,15,FALSE),"")</f>
        <v/>
      </c>
      <c r="D98" s="542" t="str">
        <f>IF(LEN(A98)&gt;2,VLOOKUP(A98,COPY!$A$2:$O$1000,2,FALSE),"")</f>
        <v/>
      </c>
      <c r="E98" s="607" t="str">
        <f>IF(LEN(A98)&gt;2,VLOOKUP(A98,COPY!$A$2:$O$1000,10,FALSE),"")</f>
        <v/>
      </c>
      <c r="F98" s="542" t="str">
        <f>IF(LEN(A98)&gt;2,VLOOKUP(A98,COPY!$A$2:$O$1000,8,FALSE),"")</f>
        <v/>
      </c>
      <c r="G98" s="543" t="str">
        <f>IF(LEN(A98)&gt;2,VLOOKUP(A98,COPY!$A$2:$O$1000,7,FALSE),"")</f>
        <v/>
      </c>
      <c r="H98" s="544" t="str">
        <f t="shared" si="7"/>
        <v/>
      </c>
      <c r="I98" s="545" t="str">
        <f>IFERROR(IF(LEN(A98)&gt;2,VLOOKUP(A98,COPY!$A$2:$O$1000,13,FALSE),"")/E98,"")</f>
        <v/>
      </c>
      <c r="J98" s="546"/>
      <c r="K98" s="547" t="str">
        <f t="shared" si="8"/>
        <v/>
      </c>
      <c r="L98" s="548" t="str">
        <f t="shared" si="11"/>
        <v/>
      </c>
      <c r="M98" s="549">
        <f t="shared" si="9"/>
        <v>0</v>
      </c>
      <c r="O98" s="538" t="str">
        <f t="shared" si="12"/>
        <v/>
      </c>
      <c r="P98" s="550"/>
      <c r="Q98" s="551"/>
    </row>
    <row r="99" spans="1:17" s="253" customFormat="1" ht="20.100000000000001" hidden="1" customHeight="1" x14ac:dyDescent="0.25">
      <c r="A99" s="253" t="str">
        <f t="shared" si="10"/>
        <v/>
      </c>
      <c r="B99" s="584" t="str">
        <f>IF(LEN(A99)&gt;2,VLOOKUP(A99,COPY!$A$2:$O$1000,4,FALSE),"")</f>
        <v/>
      </c>
      <c r="C99" s="585" t="str">
        <f>IF(LEN(A99)&gt;2,VLOOKUP(A99,COPY!$A$2:$O$1000,15,FALSE),"")</f>
        <v/>
      </c>
      <c r="D99" s="542" t="str">
        <f>IF(LEN(A99)&gt;2,VLOOKUP(A99,COPY!$A$2:$O$1000,2,FALSE),"")</f>
        <v/>
      </c>
      <c r="E99" s="607" t="str">
        <f>IF(LEN(A99)&gt;2,VLOOKUP(A99,COPY!$A$2:$O$1000,10,FALSE),"")</f>
        <v/>
      </c>
      <c r="F99" s="542" t="str">
        <f>IF(LEN(A99)&gt;2,VLOOKUP(A99,COPY!$A$2:$O$1000,8,FALSE),"")</f>
        <v/>
      </c>
      <c r="G99" s="543" t="str">
        <f>IF(LEN(A99)&gt;2,VLOOKUP(A99,COPY!$A$2:$O$1000,7,FALSE),"")</f>
        <v/>
      </c>
      <c r="H99" s="544" t="str">
        <f t="shared" si="7"/>
        <v/>
      </c>
      <c r="I99" s="545" t="str">
        <f>IFERROR(IF(LEN(A99)&gt;2,VLOOKUP(A99,COPY!$A$2:$O$1000,13,FALSE),"")/E99,"")</f>
        <v/>
      </c>
      <c r="J99" s="546"/>
      <c r="K99" s="547" t="str">
        <f t="shared" si="8"/>
        <v/>
      </c>
      <c r="L99" s="548" t="str">
        <f t="shared" si="11"/>
        <v/>
      </c>
      <c r="M99" s="549">
        <f t="shared" si="9"/>
        <v>0</v>
      </c>
      <c r="O99" s="538" t="str">
        <f t="shared" si="12"/>
        <v/>
      </c>
      <c r="P99" s="550"/>
      <c r="Q99" s="551"/>
    </row>
    <row r="100" spans="1:17" s="253" customFormat="1" ht="20.100000000000001" hidden="1" customHeight="1" x14ac:dyDescent="0.25">
      <c r="A100" s="253" t="str">
        <f t="shared" si="10"/>
        <v/>
      </c>
      <c r="B100" s="584" t="str">
        <f>IF(LEN(A100)&gt;2,VLOOKUP(A100,COPY!$A$2:$O$1000,4,FALSE),"")</f>
        <v/>
      </c>
      <c r="C100" s="585" t="str">
        <f>IF(LEN(A100)&gt;2,VLOOKUP(A100,COPY!$A$2:$O$1000,15,FALSE),"")</f>
        <v/>
      </c>
      <c r="D100" s="542" t="str">
        <f>IF(LEN(A100)&gt;2,VLOOKUP(A100,COPY!$A$2:$O$1000,2,FALSE),"")</f>
        <v/>
      </c>
      <c r="E100" s="607" t="str">
        <f>IF(LEN(A100)&gt;2,VLOOKUP(A100,COPY!$A$2:$O$1000,10,FALSE),"")</f>
        <v/>
      </c>
      <c r="F100" s="542" t="str">
        <f>IF(LEN(A100)&gt;2,VLOOKUP(A100,COPY!$A$2:$O$1000,8,FALSE),"")</f>
        <v/>
      </c>
      <c r="G100" s="543" t="str">
        <f>IF(LEN(A100)&gt;2,VLOOKUP(A100,COPY!$A$2:$O$1000,7,FALSE),"")</f>
        <v/>
      </c>
      <c r="H100" s="544" t="str">
        <f t="shared" si="7"/>
        <v/>
      </c>
      <c r="I100" s="545" t="str">
        <f>IFERROR(IF(LEN(A100)&gt;2,VLOOKUP(A100,COPY!$A$2:$O$1000,13,FALSE),"")/E100,"")</f>
        <v/>
      </c>
      <c r="J100" s="546"/>
      <c r="K100" s="547" t="str">
        <f t="shared" si="8"/>
        <v/>
      </c>
      <c r="L100" s="548" t="str">
        <f t="shared" si="11"/>
        <v/>
      </c>
      <c r="M100" s="549">
        <f t="shared" si="9"/>
        <v>0</v>
      </c>
      <c r="O100" s="538" t="str">
        <f t="shared" si="12"/>
        <v/>
      </c>
      <c r="P100" s="550"/>
      <c r="Q100" s="551"/>
    </row>
    <row r="101" spans="1:17" s="253" customFormat="1" ht="20.100000000000001" hidden="1" customHeight="1" x14ac:dyDescent="0.25">
      <c r="A101" s="253" t="str">
        <f t="shared" si="10"/>
        <v/>
      </c>
      <c r="B101" s="584" t="str">
        <f>IF(LEN(A101)&gt;2,VLOOKUP(A101,COPY!$A$2:$O$1000,4,FALSE),"")</f>
        <v/>
      </c>
      <c r="C101" s="585" t="str">
        <f>IF(LEN(A101)&gt;2,VLOOKUP(A101,COPY!$A$2:$O$1000,15,FALSE),"")</f>
        <v/>
      </c>
      <c r="D101" s="542" t="str">
        <f>IF(LEN(A101)&gt;2,VLOOKUP(A101,COPY!$A$2:$O$1000,2,FALSE),"")</f>
        <v/>
      </c>
      <c r="E101" s="607" t="str">
        <f>IF(LEN(A101)&gt;2,VLOOKUP(A101,COPY!$A$2:$O$1000,10,FALSE),"")</f>
        <v/>
      </c>
      <c r="F101" s="542" t="str">
        <f>IF(LEN(A101)&gt;2,VLOOKUP(A101,COPY!$A$2:$O$1000,8,FALSE),"")</f>
        <v/>
      </c>
      <c r="G101" s="543" t="str">
        <f>IF(LEN(A101)&gt;2,VLOOKUP(A101,COPY!$A$2:$O$1000,7,FALSE),"")</f>
        <v/>
      </c>
      <c r="H101" s="544" t="str">
        <f t="shared" si="7"/>
        <v/>
      </c>
      <c r="I101" s="545" t="str">
        <f>IFERROR(IF(LEN(A101)&gt;2,VLOOKUP(A101,COPY!$A$2:$O$1000,13,FALSE),"")/E101,"")</f>
        <v/>
      </c>
      <c r="J101" s="546"/>
      <c r="K101" s="547" t="str">
        <f t="shared" si="8"/>
        <v/>
      </c>
      <c r="L101" s="548" t="str">
        <f t="shared" si="11"/>
        <v/>
      </c>
      <c r="M101" s="549">
        <f t="shared" si="9"/>
        <v>0</v>
      </c>
      <c r="O101" s="538" t="str">
        <f t="shared" si="12"/>
        <v/>
      </c>
      <c r="P101" s="550"/>
      <c r="Q101" s="551"/>
    </row>
    <row r="102" spans="1:17" s="253" customFormat="1" ht="20.100000000000001" hidden="1" customHeight="1" x14ac:dyDescent="0.25">
      <c r="A102" s="253" t="str">
        <f t="shared" si="10"/>
        <v/>
      </c>
      <c r="B102" s="584" t="str">
        <f>IF(LEN(A102)&gt;2,VLOOKUP(A102,COPY!$A$2:$O$1000,4,FALSE),"")</f>
        <v/>
      </c>
      <c r="C102" s="585" t="str">
        <f>IF(LEN(A102)&gt;2,VLOOKUP(A102,COPY!$A$2:$O$1000,15,FALSE),"")</f>
        <v/>
      </c>
      <c r="D102" s="542" t="str">
        <f>IF(LEN(A102)&gt;2,VLOOKUP(A102,COPY!$A$2:$O$1000,2,FALSE),"")</f>
        <v/>
      </c>
      <c r="E102" s="607" t="str">
        <f>IF(LEN(A102)&gt;2,VLOOKUP(A102,COPY!$A$2:$O$1000,10,FALSE),"")</f>
        <v/>
      </c>
      <c r="F102" s="542" t="str">
        <f>IF(LEN(A102)&gt;2,VLOOKUP(A102,COPY!$A$2:$O$1000,8,FALSE),"")</f>
        <v/>
      </c>
      <c r="G102" s="543" t="str">
        <f>IF(LEN(A102)&gt;2,VLOOKUP(A102,COPY!$A$2:$O$1000,7,FALSE),"")</f>
        <v/>
      </c>
      <c r="H102" s="544" t="str">
        <f t="shared" si="7"/>
        <v/>
      </c>
      <c r="I102" s="545" t="str">
        <f>IFERROR(IF(LEN(A102)&gt;2,VLOOKUP(A102,COPY!$A$2:$O$1000,13,FALSE),"")/E102,"")</f>
        <v/>
      </c>
      <c r="J102" s="546"/>
      <c r="K102" s="547" t="str">
        <f t="shared" si="8"/>
        <v/>
      </c>
      <c r="L102" s="548" t="str">
        <f t="shared" si="11"/>
        <v/>
      </c>
      <c r="M102" s="549">
        <f t="shared" si="9"/>
        <v>0</v>
      </c>
      <c r="O102" s="538" t="str">
        <f t="shared" si="12"/>
        <v/>
      </c>
      <c r="P102" s="550"/>
      <c r="Q102" s="551"/>
    </row>
    <row r="103" spans="1:17" s="253" customFormat="1" ht="20.100000000000001" hidden="1" customHeight="1" x14ac:dyDescent="0.25">
      <c r="A103" s="253" t="str">
        <f t="shared" si="10"/>
        <v/>
      </c>
      <c r="B103" s="584" t="str">
        <f>IF(LEN(A103)&gt;2,VLOOKUP(A103,COPY!$A$2:$O$1000,4,FALSE),"")</f>
        <v/>
      </c>
      <c r="C103" s="585" t="str">
        <f>IF(LEN(A103)&gt;2,VLOOKUP(A103,COPY!$A$2:$O$1000,15,FALSE),"")</f>
        <v/>
      </c>
      <c r="D103" s="542" t="str">
        <f>IF(LEN(A103)&gt;2,VLOOKUP(A103,COPY!$A$2:$O$1000,2,FALSE),"")</f>
        <v/>
      </c>
      <c r="E103" s="607" t="str">
        <f>IF(LEN(A103)&gt;2,VLOOKUP(A103,COPY!$A$2:$O$1000,10,FALSE),"")</f>
        <v/>
      </c>
      <c r="F103" s="542" t="str">
        <f>IF(LEN(A103)&gt;2,VLOOKUP(A103,COPY!$A$2:$O$1000,8,FALSE),"")</f>
        <v/>
      </c>
      <c r="G103" s="543" t="str">
        <f>IF(LEN(A103)&gt;2,VLOOKUP(A103,COPY!$A$2:$O$1000,7,FALSE),"")</f>
        <v/>
      </c>
      <c r="H103" s="544" t="str">
        <f t="shared" si="7"/>
        <v/>
      </c>
      <c r="I103" s="545" t="str">
        <f>IFERROR(IF(LEN(A103)&gt;2,VLOOKUP(A103,COPY!$A$2:$O$1000,13,FALSE),"")/E103,"")</f>
        <v/>
      </c>
      <c r="J103" s="546"/>
      <c r="K103" s="547" t="str">
        <f t="shared" si="8"/>
        <v/>
      </c>
      <c r="L103" s="548" t="str">
        <f t="shared" si="11"/>
        <v/>
      </c>
      <c r="M103" s="549">
        <f t="shared" si="9"/>
        <v>0</v>
      </c>
      <c r="O103" s="538" t="str">
        <f t="shared" si="12"/>
        <v/>
      </c>
      <c r="P103" s="550"/>
      <c r="Q103" s="551"/>
    </row>
    <row r="104" spans="1:17" s="253" customFormat="1" ht="20.100000000000001" hidden="1" customHeight="1" x14ac:dyDescent="0.25">
      <c r="A104" s="253" t="str">
        <f t="shared" si="10"/>
        <v/>
      </c>
      <c r="B104" s="584" t="str">
        <f>IF(LEN(A104)&gt;2,VLOOKUP(A104,COPY!$A$2:$O$1000,4,FALSE),"")</f>
        <v/>
      </c>
      <c r="C104" s="585" t="str">
        <f>IF(LEN(A104)&gt;2,VLOOKUP(A104,COPY!$A$2:$O$1000,15,FALSE),"")</f>
        <v/>
      </c>
      <c r="D104" s="542" t="str">
        <f>IF(LEN(A104)&gt;2,VLOOKUP(A104,COPY!$A$2:$O$1000,2,FALSE),"")</f>
        <v/>
      </c>
      <c r="E104" s="607" t="str">
        <f>IF(LEN(A104)&gt;2,VLOOKUP(A104,COPY!$A$2:$O$1000,10,FALSE),"")</f>
        <v/>
      </c>
      <c r="F104" s="542" t="str">
        <f>IF(LEN(A104)&gt;2,VLOOKUP(A104,COPY!$A$2:$O$1000,8,FALSE),"")</f>
        <v/>
      </c>
      <c r="G104" s="543" t="str">
        <f>IF(LEN(A104)&gt;2,VLOOKUP(A104,COPY!$A$2:$O$1000,7,FALSE),"")</f>
        <v/>
      </c>
      <c r="H104" s="544" t="str">
        <f t="shared" si="7"/>
        <v/>
      </c>
      <c r="I104" s="545" t="str">
        <f>IFERROR(IF(LEN(A104)&gt;2,VLOOKUP(A104,COPY!$A$2:$O$1000,13,FALSE),"")/E104,"")</f>
        <v/>
      </c>
      <c r="J104" s="546"/>
      <c r="K104" s="547" t="str">
        <f t="shared" si="8"/>
        <v/>
      </c>
      <c r="L104" s="548" t="str">
        <f t="shared" si="11"/>
        <v/>
      </c>
      <c r="M104" s="549">
        <f t="shared" si="9"/>
        <v>0</v>
      </c>
      <c r="O104" s="538" t="str">
        <f t="shared" si="12"/>
        <v/>
      </c>
      <c r="P104" s="550"/>
      <c r="Q104" s="551"/>
    </row>
    <row r="105" spans="1:17" s="253" customFormat="1" ht="20.100000000000001" hidden="1" customHeight="1" x14ac:dyDescent="0.25">
      <c r="A105" s="253" t="str">
        <f t="shared" si="10"/>
        <v/>
      </c>
      <c r="B105" s="584" t="str">
        <f>IF(LEN(A105)&gt;2,VLOOKUP(A105,COPY!$A$2:$O$1000,4,FALSE),"")</f>
        <v/>
      </c>
      <c r="C105" s="585" t="str">
        <f>IF(LEN(A105)&gt;2,VLOOKUP(A105,COPY!$A$2:$O$1000,15,FALSE),"")</f>
        <v/>
      </c>
      <c r="D105" s="542" t="str">
        <f>IF(LEN(A105)&gt;2,VLOOKUP(A105,COPY!$A$2:$O$1000,2,FALSE),"")</f>
        <v/>
      </c>
      <c r="E105" s="607" t="str">
        <f>IF(LEN(A105)&gt;2,VLOOKUP(A105,COPY!$A$2:$O$1000,10,FALSE),"")</f>
        <v/>
      </c>
      <c r="F105" s="542" t="str">
        <f>IF(LEN(A105)&gt;2,VLOOKUP(A105,COPY!$A$2:$O$1000,8,FALSE),"")</f>
        <v/>
      </c>
      <c r="G105" s="543" t="str">
        <f>IF(LEN(A105)&gt;2,VLOOKUP(A105,COPY!$A$2:$O$1000,7,FALSE),"")</f>
        <v/>
      </c>
      <c r="H105" s="544" t="str">
        <f t="shared" si="7"/>
        <v/>
      </c>
      <c r="I105" s="545" t="str">
        <f>IFERROR(IF(LEN(A105)&gt;2,VLOOKUP(A105,COPY!$A$2:$O$1000,13,FALSE),"")/E105,"")</f>
        <v/>
      </c>
      <c r="J105" s="546"/>
      <c r="K105" s="547" t="str">
        <f t="shared" si="8"/>
        <v/>
      </c>
      <c r="L105" s="548" t="str">
        <f t="shared" si="11"/>
        <v/>
      </c>
      <c r="M105" s="549">
        <f t="shared" si="9"/>
        <v>0</v>
      </c>
      <c r="O105" s="538" t="str">
        <f t="shared" si="12"/>
        <v/>
      </c>
      <c r="P105" s="550"/>
      <c r="Q105" s="551"/>
    </row>
    <row r="106" spans="1:17" s="253" customFormat="1" ht="20.100000000000001" hidden="1" customHeight="1" x14ac:dyDescent="0.25">
      <c r="A106" s="253" t="str">
        <f t="shared" si="10"/>
        <v/>
      </c>
      <c r="B106" s="584" t="str">
        <f>IF(LEN(A106)&gt;2,VLOOKUP(A106,COPY!$A$2:$O$1000,4,FALSE),"")</f>
        <v/>
      </c>
      <c r="C106" s="585" t="str">
        <f>IF(LEN(A106)&gt;2,VLOOKUP(A106,COPY!$A$2:$O$1000,15,FALSE),"")</f>
        <v/>
      </c>
      <c r="D106" s="542" t="str">
        <f>IF(LEN(A106)&gt;2,VLOOKUP(A106,COPY!$A$2:$O$1000,2,FALSE),"")</f>
        <v/>
      </c>
      <c r="E106" s="607" t="str">
        <f>IF(LEN(A106)&gt;2,VLOOKUP(A106,COPY!$A$2:$O$1000,10,FALSE),"")</f>
        <v/>
      </c>
      <c r="F106" s="542" t="str">
        <f>IF(LEN(A106)&gt;2,VLOOKUP(A106,COPY!$A$2:$O$1000,8,FALSE),"")</f>
        <v/>
      </c>
      <c r="G106" s="543" t="str">
        <f>IF(LEN(A106)&gt;2,VLOOKUP(A106,COPY!$A$2:$O$1000,7,FALSE),"")</f>
        <v/>
      </c>
      <c r="H106" s="544" t="str">
        <f t="shared" si="7"/>
        <v/>
      </c>
      <c r="I106" s="545" t="str">
        <f>IFERROR(IF(LEN(A106)&gt;2,VLOOKUP(A106,COPY!$A$2:$O$1000,13,FALSE),"")/E106,"")</f>
        <v/>
      </c>
      <c r="J106" s="546"/>
      <c r="K106" s="547" t="str">
        <f t="shared" si="8"/>
        <v/>
      </c>
      <c r="L106" s="548" t="str">
        <f t="shared" si="11"/>
        <v/>
      </c>
      <c r="M106" s="549">
        <f t="shared" si="9"/>
        <v>0</v>
      </c>
      <c r="O106" s="538" t="str">
        <f t="shared" si="12"/>
        <v/>
      </c>
      <c r="P106" s="550"/>
      <c r="Q106" s="551"/>
    </row>
    <row r="107" spans="1:17" s="253" customFormat="1" ht="20.100000000000001" hidden="1" customHeight="1" x14ac:dyDescent="0.25">
      <c r="A107" s="253" t="str">
        <f t="shared" si="10"/>
        <v/>
      </c>
      <c r="B107" s="584" t="str">
        <f>IF(LEN(A107)&gt;2,VLOOKUP(A107,COPY!$A$2:$O$1000,4,FALSE),"")</f>
        <v/>
      </c>
      <c r="C107" s="585" t="str">
        <f>IF(LEN(A107)&gt;2,VLOOKUP(A107,COPY!$A$2:$O$1000,15,FALSE),"")</f>
        <v/>
      </c>
      <c r="D107" s="542" t="str">
        <f>IF(LEN(A107)&gt;2,VLOOKUP(A107,COPY!$A$2:$O$1000,2,FALSE),"")</f>
        <v/>
      </c>
      <c r="E107" s="607" t="str">
        <f>IF(LEN(A107)&gt;2,VLOOKUP(A107,COPY!$A$2:$O$1000,10,FALSE),"")</f>
        <v/>
      </c>
      <c r="F107" s="542" t="str">
        <f>IF(LEN(A107)&gt;2,VLOOKUP(A107,COPY!$A$2:$O$1000,8,FALSE),"")</f>
        <v/>
      </c>
      <c r="G107" s="543" t="str">
        <f>IF(LEN(A107)&gt;2,VLOOKUP(A107,COPY!$A$2:$O$1000,7,FALSE),"")</f>
        <v/>
      </c>
      <c r="H107" s="544" t="str">
        <f t="shared" si="7"/>
        <v/>
      </c>
      <c r="I107" s="545" t="str">
        <f>IFERROR(IF(LEN(A107)&gt;2,VLOOKUP(A107,COPY!$A$2:$O$1000,13,FALSE),"")/E107,"")</f>
        <v/>
      </c>
      <c r="J107" s="546"/>
      <c r="K107" s="547" t="str">
        <f t="shared" si="8"/>
        <v/>
      </c>
      <c r="L107" s="548" t="str">
        <f t="shared" si="11"/>
        <v/>
      </c>
      <c r="M107" s="549">
        <f t="shared" si="9"/>
        <v>0</v>
      </c>
      <c r="O107" s="538" t="str">
        <f t="shared" si="12"/>
        <v/>
      </c>
      <c r="P107" s="550"/>
      <c r="Q107" s="551"/>
    </row>
    <row r="108" spans="1:17" s="253" customFormat="1" ht="20.100000000000001" hidden="1" customHeight="1" x14ac:dyDescent="0.25">
      <c r="A108" s="253" t="str">
        <f t="shared" si="10"/>
        <v/>
      </c>
      <c r="B108" s="584" t="str">
        <f>IF(LEN(A108)&gt;2,VLOOKUP(A108,COPY!$A$2:$O$1000,4,FALSE),"")</f>
        <v/>
      </c>
      <c r="C108" s="585" t="str">
        <f>IF(LEN(A108)&gt;2,VLOOKUP(A108,COPY!$A$2:$O$1000,15,FALSE),"")</f>
        <v/>
      </c>
      <c r="D108" s="542" t="str">
        <f>IF(LEN(A108)&gt;2,VLOOKUP(A108,COPY!$A$2:$O$1000,2,FALSE),"")</f>
        <v/>
      </c>
      <c r="E108" s="607" t="str">
        <f>IF(LEN(A108)&gt;2,VLOOKUP(A108,COPY!$A$2:$O$1000,10,FALSE),"")</f>
        <v/>
      </c>
      <c r="F108" s="542" t="str">
        <f>IF(LEN(A108)&gt;2,VLOOKUP(A108,COPY!$A$2:$O$1000,8,FALSE),"")</f>
        <v/>
      </c>
      <c r="G108" s="543" t="str">
        <f>IF(LEN(A108)&gt;2,VLOOKUP(A108,COPY!$A$2:$O$1000,7,FALSE),"")</f>
        <v/>
      </c>
      <c r="H108" s="544" t="str">
        <f t="shared" si="7"/>
        <v/>
      </c>
      <c r="I108" s="545" t="str">
        <f>IFERROR(IF(LEN(A108)&gt;2,VLOOKUP(A108,COPY!$A$2:$O$1000,13,FALSE),"")/E108,"")</f>
        <v/>
      </c>
      <c r="J108" s="546"/>
      <c r="K108" s="547" t="str">
        <f t="shared" si="8"/>
        <v/>
      </c>
      <c r="L108" s="548" t="str">
        <f t="shared" si="11"/>
        <v/>
      </c>
      <c r="M108" s="549">
        <f t="shared" si="9"/>
        <v>0</v>
      </c>
      <c r="O108" s="538" t="str">
        <f t="shared" si="12"/>
        <v/>
      </c>
      <c r="P108" s="550"/>
      <c r="Q108" s="551"/>
    </row>
    <row r="109" spans="1:17" s="253" customFormat="1" ht="20.100000000000001" hidden="1" customHeight="1" x14ac:dyDescent="0.25">
      <c r="A109" s="253" t="str">
        <f t="shared" si="10"/>
        <v/>
      </c>
      <c r="B109" s="584" t="str">
        <f>IF(LEN(A109)&gt;2,VLOOKUP(A109,COPY!$A$2:$O$1000,4,FALSE),"")</f>
        <v/>
      </c>
      <c r="C109" s="585" t="str">
        <f>IF(LEN(A109)&gt;2,VLOOKUP(A109,COPY!$A$2:$O$1000,15,FALSE),"")</f>
        <v/>
      </c>
      <c r="D109" s="542" t="str">
        <f>IF(LEN(A109)&gt;2,VLOOKUP(A109,COPY!$A$2:$O$1000,2,FALSE),"")</f>
        <v/>
      </c>
      <c r="E109" s="607" t="str">
        <f>IF(LEN(A109)&gt;2,VLOOKUP(A109,COPY!$A$2:$O$1000,10,FALSE),"")</f>
        <v/>
      </c>
      <c r="F109" s="542" t="str">
        <f>IF(LEN(A109)&gt;2,VLOOKUP(A109,COPY!$A$2:$O$1000,8,FALSE),"")</f>
        <v/>
      </c>
      <c r="G109" s="543" t="str">
        <f>IF(LEN(A109)&gt;2,VLOOKUP(A109,COPY!$A$2:$O$1000,7,FALSE),"")</f>
        <v/>
      </c>
      <c r="H109" s="544" t="str">
        <f t="shared" si="7"/>
        <v/>
      </c>
      <c r="I109" s="545" t="str">
        <f>IFERROR(IF(LEN(A109)&gt;2,VLOOKUP(A109,COPY!$A$2:$O$1000,13,FALSE),"")/E109,"")</f>
        <v/>
      </c>
      <c r="J109" s="546"/>
      <c r="K109" s="547" t="str">
        <f t="shared" si="8"/>
        <v/>
      </c>
      <c r="L109" s="548" t="str">
        <f t="shared" si="11"/>
        <v/>
      </c>
      <c r="M109" s="549">
        <f t="shared" si="9"/>
        <v>0</v>
      </c>
      <c r="O109" s="538" t="str">
        <f t="shared" si="12"/>
        <v/>
      </c>
      <c r="P109" s="550"/>
      <c r="Q109" s="551"/>
    </row>
    <row r="110" spans="1:17" s="253" customFormat="1" ht="20.100000000000001" hidden="1" customHeight="1" x14ac:dyDescent="0.25">
      <c r="A110" s="253" t="str">
        <f t="shared" si="10"/>
        <v/>
      </c>
      <c r="B110" s="584" t="str">
        <f>IF(LEN(A110)&gt;2,VLOOKUP(A110,COPY!$A$2:$O$1000,4,FALSE),"")</f>
        <v/>
      </c>
      <c r="C110" s="585" t="str">
        <f>IF(LEN(A110)&gt;2,VLOOKUP(A110,COPY!$A$2:$O$1000,15,FALSE),"")</f>
        <v/>
      </c>
      <c r="D110" s="542" t="str">
        <f>IF(LEN(A110)&gt;2,VLOOKUP(A110,COPY!$A$2:$O$1000,2,FALSE),"")</f>
        <v/>
      </c>
      <c r="E110" s="607" t="str">
        <f>IF(LEN(A110)&gt;2,VLOOKUP(A110,COPY!$A$2:$O$1000,10,FALSE),"")</f>
        <v/>
      </c>
      <c r="F110" s="542" t="str">
        <f>IF(LEN(A110)&gt;2,VLOOKUP(A110,COPY!$A$2:$O$1000,8,FALSE),"")</f>
        <v/>
      </c>
      <c r="G110" s="543" t="str">
        <f>IF(LEN(A110)&gt;2,VLOOKUP(A110,COPY!$A$2:$O$1000,7,FALSE),"")</f>
        <v/>
      </c>
      <c r="H110" s="544" t="str">
        <f t="shared" si="7"/>
        <v/>
      </c>
      <c r="I110" s="545" t="str">
        <f>IFERROR(IF(LEN(A110)&gt;2,VLOOKUP(A110,COPY!$A$2:$O$1000,13,FALSE),"")/E110,"")</f>
        <v/>
      </c>
      <c r="J110" s="546"/>
      <c r="K110" s="547" t="str">
        <f t="shared" si="8"/>
        <v/>
      </c>
      <c r="L110" s="548" t="str">
        <f t="shared" si="11"/>
        <v/>
      </c>
      <c r="M110" s="549">
        <f t="shared" si="9"/>
        <v>0</v>
      </c>
      <c r="O110" s="538" t="str">
        <f t="shared" si="12"/>
        <v/>
      </c>
      <c r="P110" s="550"/>
      <c r="Q110" s="551"/>
    </row>
    <row r="111" spans="1:17" s="253" customFormat="1" ht="20.100000000000001" hidden="1" customHeight="1" x14ac:dyDescent="0.25">
      <c r="A111" s="253" t="str">
        <f t="shared" si="10"/>
        <v/>
      </c>
      <c r="B111" s="584" t="str">
        <f>IF(LEN(A111)&gt;2,VLOOKUP(A111,COPY!$A$2:$O$1000,4,FALSE),"")</f>
        <v/>
      </c>
      <c r="C111" s="585" t="str">
        <f>IF(LEN(A111)&gt;2,VLOOKUP(A111,COPY!$A$2:$O$1000,15,FALSE),"")</f>
        <v/>
      </c>
      <c r="D111" s="542" t="str">
        <f>IF(LEN(A111)&gt;2,VLOOKUP(A111,COPY!$A$2:$O$1000,2,FALSE),"")</f>
        <v/>
      </c>
      <c r="E111" s="607" t="str">
        <f>IF(LEN(A111)&gt;2,VLOOKUP(A111,COPY!$A$2:$O$1000,10,FALSE),"")</f>
        <v/>
      </c>
      <c r="F111" s="542" t="str">
        <f>IF(LEN(A111)&gt;2,VLOOKUP(A111,COPY!$A$2:$O$1000,8,FALSE),"")</f>
        <v/>
      </c>
      <c r="G111" s="543" t="str">
        <f>IF(LEN(A111)&gt;2,VLOOKUP(A111,COPY!$A$2:$O$1000,7,FALSE),"")</f>
        <v/>
      </c>
      <c r="H111" s="544" t="str">
        <f t="shared" si="7"/>
        <v/>
      </c>
      <c r="I111" s="545" t="str">
        <f>IFERROR(IF(LEN(A111)&gt;2,VLOOKUP(A111,COPY!$A$2:$O$1000,13,FALSE),"")/E111,"")</f>
        <v/>
      </c>
      <c r="J111" s="546"/>
      <c r="K111" s="547" t="str">
        <f t="shared" si="8"/>
        <v/>
      </c>
      <c r="L111" s="548" t="str">
        <f t="shared" si="11"/>
        <v/>
      </c>
      <c r="M111" s="549">
        <f t="shared" si="9"/>
        <v>0</v>
      </c>
      <c r="O111" s="538" t="str">
        <f t="shared" si="12"/>
        <v/>
      </c>
      <c r="P111" s="550"/>
      <c r="Q111" s="551"/>
    </row>
    <row r="112" spans="1:17" s="253" customFormat="1" ht="20.100000000000001" hidden="1" customHeight="1" x14ac:dyDescent="0.25">
      <c r="A112" s="253" t="str">
        <f t="shared" si="10"/>
        <v/>
      </c>
      <c r="B112" s="584" t="str">
        <f>IF(LEN(A112)&gt;2,VLOOKUP(A112,COPY!$A$2:$O$1000,4,FALSE),"")</f>
        <v/>
      </c>
      <c r="C112" s="585" t="str">
        <f>IF(LEN(A112)&gt;2,VLOOKUP(A112,COPY!$A$2:$O$1000,15,FALSE),"")</f>
        <v/>
      </c>
      <c r="D112" s="542" t="str">
        <f>IF(LEN(A112)&gt;2,VLOOKUP(A112,COPY!$A$2:$O$1000,2,FALSE),"")</f>
        <v/>
      </c>
      <c r="E112" s="607" t="str">
        <f>IF(LEN(A112)&gt;2,VLOOKUP(A112,COPY!$A$2:$O$1000,10,FALSE),"")</f>
        <v/>
      </c>
      <c r="F112" s="542" t="str">
        <f>IF(LEN(A112)&gt;2,VLOOKUP(A112,COPY!$A$2:$O$1000,8,FALSE),"")</f>
        <v/>
      </c>
      <c r="G112" s="543" t="str">
        <f>IF(LEN(A112)&gt;2,VLOOKUP(A112,COPY!$A$2:$O$1000,7,FALSE),"")</f>
        <v/>
      </c>
      <c r="H112" s="544" t="str">
        <f t="shared" si="7"/>
        <v/>
      </c>
      <c r="I112" s="545" t="str">
        <f>IFERROR(IF(LEN(A112)&gt;2,VLOOKUP(A112,COPY!$A$2:$O$1000,13,FALSE),"")/E112,"")</f>
        <v/>
      </c>
      <c r="J112" s="546"/>
      <c r="K112" s="547" t="str">
        <f t="shared" si="8"/>
        <v/>
      </c>
      <c r="L112" s="548" t="str">
        <f t="shared" si="11"/>
        <v/>
      </c>
      <c r="M112" s="549">
        <f t="shared" si="9"/>
        <v>0</v>
      </c>
      <c r="O112" s="538" t="str">
        <f t="shared" si="12"/>
        <v/>
      </c>
      <c r="P112" s="550"/>
      <c r="Q112" s="551"/>
    </row>
    <row r="113" spans="1:17" s="253" customFormat="1" ht="20.100000000000001" hidden="1" customHeight="1" x14ac:dyDescent="0.25">
      <c r="A113" s="253" t="str">
        <f t="shared" si="10"/>
        <v/>
      </c>
      <c r="B113" s="584" t="str">
        <f>IF(LEN(A113)&gt;2,VLOOKUP(A113,COPY!$A$2:$O$1000,4,FALSE),"")</f>
        <v/>
      </c>
      <c r="C113" s="585" t="str">
        <f>IF(LEN(A113)&gt;2,VLOOKUP(A113,COPY!$A$2:$O$1000,15,FALSE),"")</f>
        <v/>
      </c>
      <c r="D113" s="542" t="str">
        <f>IF(LEN(A113)&gt;2,VLOOKUP(A113,COPY!$A$2:$O$1000,2,FALSE),"")</f>
        <v/>
      </c>
      <c r="E113" s="607" t="str">
        <f>IF(LEN(A113)&gt;2,VLOOKUP(A113,COPY!$A$2:$O$1000,10,FALSE),"")</f>
        <v/>
      </c>
      <c r="F113" s="542" t="str">
        <f>IF(LEN(A113)&gt;2,VLOOKUP(A113,COPY!$A$2:$O$1000,8,FALSE),"")</f>
        <v/>
      </c>
      <c r="G113" s="543" t="str">
        <f>IF(LEN(A113)&gt;2,VLOOKUP(A113,COPY!$A$2:$O$1000,7,FALSE),"")</f>
        <v/>
      </c>
      <c r="H113" s="544" t="str">
        <f t="shared" si="7"/>
        <v/>
      </c>
      <c r="I113" s="545" t="str">
        <f>IFERROR(IF(LEN(A113)&gt;2,VLOOKUP(A113,COPY!$A$2:$O$1000,13,FALSE),"")/E113,"")</f>
        <v/>
      </c>
      <c r="J113" s="546"/>
      <c r="K113" s="547" t="str">
        <f t="shared" si="8"/>
        <v/>
      </c>
      <c r="L113" s="548" t="str">
        <f t="shared" si="11"/>
        <v/>
      </c>
      <c r="M113" s="549">
        <f t="shared" si="9"/>
        <v>0</v>
      </c>
      <c r="O113" s="538" t="str">
        <f t="shared" si="12"/>
        <v/>
      </c>
      <c r="P113" s="550"/>
      <c r="Q113" s="551"/>
    </row>
    <row r="114" spans="1:17" s="253" customFormat="1" ht="20.100000000000001" hidden="1" customHeight="1" x14ac:dyDescent="0.25">
      <c r="A114" s="253" t="str">
        <f t="shared" si="10"/>
        <v/>
      </c>
      <c r="B114" s="584" t="str">
        <f>IF(LEN(A114)&gt;2,VLOOKUP(A114,COPY!$A$2:$O$1000,4,FALSE),"")</f>
        <v/>
      </c>
      <c r="C114" s="585" t="str">
        <f>IF(LEN(A114)&gt;2,VLOOKUP(A114,COPY!$A$2:$O$1000,15,FALSE),"")</f>
        <v/>
      </c>
      <c r="D114" s="542" t="str">
        <f>IF(LEN(A114)&gt;2,VLOOKUP(A114,COPY!$A$2:$O$1000,2,FALSE),"")</f>
        <v/>
      </c>
      <c r="E114" s="607" t="str">
        <f>IF(LEN(A114)&gt;2,VLOOKUP(A114,COPY!$A$2:$O$1000,10,FALSE),"")</f>
        <v/>
      </c>
      <c r="F114" s="542" t="str">
        <f>IF(LEN(A114)&gt;2,VLOOKUP(A114,COPY!$A$2:$O$1000,8,FALSE),"")</f>
        <v/>
      </c>
      <c r="G114" s="543" t="str">
        <f>IF(LEN(A114)&gt;2,VLOOKUP(A114,COPY!$A$2:$O$1000,7,FALSE),"")</f>
        <v/>
      </c>
      <c r="H114" s="544" t="str">
        <f t="shared" si="7"/>
        <v/>
      </c>
      <c r="I114" s="545" t="str">
        <f>IFERROR(IF(LEN(A114)&gt;2,VLOOKUP(A114,COPY!$A$2:$O$1000,13,FALSE),"")/E114,"")</f>
        <v/>
      </c>
      <c r="J114" s="546"/>
      <c r="K114" s="547" t="str">
        <f t="shared" si="8"/>
        <v/>
      </c>
      <c r="L114" s="548" t="str">
        <f t="shared" si="11"/>
        <v/>
      </c>
      <c r="M114" s="549">
        <f t="shared" si="9"/>
        <v>0</v>
      </c>
      <c r="O114" s="538" t="str">
        <f t="shared" si="12"/>
        <v/>
      </c>
      <c r="P114" s="550"/>
      <c r="Q114" s="551"/>
    </row>
    <row r="115" spans="1:17" s="253" customFormat="1" ht="20.100000000000001" hidden="1" customHeight="1" x14ac:dyDescent="0.25">
      <c r="A115" s="253" t="str">
        <f t="shared" si="10"/>
        <v/>
      </c>
      <c r="B115" s="584" t="str">
        <f>IF(LEN(A115)&gt;2,VLOOKUP(A115,COPY!$A$2:$O$1000,4,FALSE),"")</f>
        <v/>
      </c>
      <c r="C115" s="585" t="str">
        <f>IF(LEN(A115)&gt;2,VLOOKUP(A115,COPY!$A$2:$O$1000,15,FALSE),"")</f>
        <v/>
      </c>
      <c r="D115" s="542" t="str">
        <f>IF(LEN(A115)&gt;2,VLOOKUP(A115,COPY!$A$2:$O$1000,2,FALSE),"")</f>
        <v/>
      </c>
      <c r="E115" s="607" t="str">
        <f>IF(LEN(A115)&gt;2,VLOOKUP(A115,COPY!$A$2:$O$1000,10,FALSE),"")</f>
        <v/>
      </c>
      <c r="F115" s="542" t="str">
        <f>IF(LEN(A115)&gt;2,VLOOKUP(A115,COPY!$A$2:$O$1000,8,FALSE),"")</f>
        <v/>
      </c>
      <c r="G115" s="543" t="str">
        <f>IF(LEN(A115)&gt;2,VLOOKUP(A115,COPY!$A$2:$O$1000,7,FALSE),"")</f>
        <v/>
      </c>
      <c r="H115" s="544" t="str">
        <f t="shared" si="7"/>
        <v/>
      </c>
      <c r="I115" s="545" t="str">
        <f>IFERROR(IF(LEN(A115)&gt;2,VLOOKUP(A115,COPY!$A$2:$O$1000,13,FALSE),"")/E115,"")</f>
        <v/>
      </c>
      <c r="J115" s="546"/>
      <c r="K115" s="547" t="str">
        <f t="shared" si="8"/>
        <v/>
      </c>
      <c r="L115" s="548" t="str">
        <f t="shared" si="11"/>
        <v/>
      </c>
      <c r="M115" s="549">
        <f t="shared" si="9"/>
        <v>0</v>
      </c>
      <c r="O115" s="538" t="str">
        <f t="shared" si="12"/>
        <v/>
      </c>
      <c r="P115" s="550"/>
      <c r="Q115" s="551"/>
    </row>
    <row r="116" spans="1:17" s="253" customFormat="1" ht="20.100000000000001" hidden="1" customHeight="1" x14ac:dyDescent="0.25">
      <c r="A116" s="253" t="str">
        <f t="shared" si="10"/>
        <v/>
      </c>
      <c r="B116" s="584" t="str">
        <f>IF(LEN(A116)&gt;2,VLOOKUP(A116,COPY!$A$2:$O$1000,4,FALSE),"")</f>
        <v/>
      </c>
      <c r="C116" s="585" t="str">
        <f>IF(LEN(A116)&gt;2,VLOOKUP(A116,COPY!$A$2:$O$1000,15,FALSE),"")</f>
        <v/>
      </c>
      <c r="D116" s="542" t="str">
        <f>IF(LEN(A116)&gt;2,VLOOKUP(A116,COPY!$A$2:$O$1000,2,FALSE),"")</f>
        <v/>
      </c>
      <c r="E116" s="607" t="str">
        <f>IF(LEN(A116)&gt;2,VLOOKUP(A116,COPY!$A$2:$O$1000,10,FALSE),"")</f>
        <v/>
      </c>
      <c r="F116" s="542" t="str">
        <f>IF(LEN(A116)&gt;2,VLOOKUP(A116,COPY!$A$2:$O$1000,8,FALSE),"")</f>
        <v/>
      </c>
      <c r="G116" s="543" t="str">
        <f>IF(LEN(A116)&gt;2,VLOOKUP(A116,COPY!$A$2:$O$1000,7,FALSE),"")</f>
        <v/>
      </c>
      <c r="H116" s="544" t="str">
        <f t="shared" si="7"/>
        <v/>
      </c>
      <c r="I116" s="545" t="str">
        <f>IFERROR(IF(LEN(A116)&gt;2,VLOOKUP(A116,COPY!$A$2:$O$1000,13,FALSE),"")/E116,"")</f>
        <v/>
      </c>
      <c r="J116" s="546"/>
      <c r="K116" s="547" t="str">
        <f t="shared" si="8"/>
        <v/>
      </c>
      <c r="L116" s="548" t="str">
        <f t="shared" si="11"/>
        <v/>
      </c>
      <c r="M116" s="549">
        <f t="shared" si="9"/>
        <v>0</v>
      </c>
      <c r="O116" s="538" t="str">
        <f t="shared" si="12"/>
        <v/>
      </c>
      <c r="P116" s="550"/>
      <c r="Q116" s="551"/>
    </row>
    <row r="117" spans="1:17" s="253" customFormat="1" ht="20.100000000000001" hidden="1" customHeight="1" x14ac:dyDescent="0.25">
      <c r="A117" s="253" t="str">
        <f t="shared" si="10"/>
        <v/>
      </c>
      <c r="B117" s="584" t="str">
        <f>IF(LEN(A117)&gt;2,VLOOKUP(A117,COPY!$A$2:$O$1000,4,FALSE),"")</f>
        <v/>
      </c>
      <c r="C117" s="585" t="str">
        <f>IF(LEN(A117)&gt;2,VLOOKUP(A117,COPY!$A$2:$O$1000,15,FALSE),"")</f>
        <v/>
      </c>
      <c r="D117" s="542" t="str">
        <f>IF(LEN(A117)&gt;2,VLOOKUP(A117,COPY!$A$2:$O$1000,2,FALSE),"")</f>
        <v/>
      </c>
      <c r="E117" s="607" t="str">
        <f>IF(LEN(A117)&gt;2,VLOOKUP(A117,COPY!$A$2:$O$1000,10,FALSE),"")</f>
        <v/>
      </c>
      <c r="F117" s="542" t="str">
        <f>IF(LEN(A117)&gt;2,VLOOKUP(A117,COPY!$A$2:$O$1000,8,FALSE),"")</f>
        <v/>
      </c>
      <c r="G117" s="543" t="str">
        <f>IF(LEN(A117)&gt;2,VLOOKUP(A117,COPY!$A$2:$O$1000,7,FALSE),"")</f>
        <v/>
      </c>
      <c r="H117" s="544" t="str">
        <f t="shared" si="7"/>
        <v/>
      </c>
      <c r="I117" s="545" t="str">
        <f>IFERROR(IF(LEN(A117)&gt;2,VLOOKUP(A117,COPY!$A$2:$O$1000,13,FALSE),"")/E117,"")</f>
        <v/>
      </c>
      <c r="J117" s="546"/>
      <c r="K117" s="547" t="str">
        <f t="shared" si="8"/>
        <v/>
      </c>
      <c r="L117" s="548" t="str">
        <f t="shared" si="11"/>
        <v/>
      </c>
      <c r="M117" s="549">
        <f t="shared" si="9"/>
        <v>0</v>
      </c>
      <c r="O117" s="538" t="str">
        <f t="shared" si="12"/>
        <v/>
      </c>
      <c r="P117" s="550"/>
      <c r="Q117" s="551"/>
    </row>
    <row r="118" spans="1:17" s="253" customFormat="1" ht="20.100000000000001" hidden="1" customHeight="1" x14ac:dyDescent="0.25">
      <c r="A118" s="253" t="str">
        <f t="shared" si="10"/>
        <v/>
      </c>
      <c r="B118" s="584" t="str">
        <f>IF(LEN(A118)&gt;2,VLOOKUP(A118,COPY!$A$2:$O$1000,4,FALSE),"")</f>
        <v/>
      </c>
      <c r="C118" s="585" t="str">
        <f>IF(LEN(A118)&gt;2,VLOOKUP(A118,COPY!$A$2:$O$1000,15,FALSE),"")</f>
        <v/>
      </c>
      <c r="D118" s="542" t="str">
        <f>IF(LEN(A118)&gt;2,VLOOKUP(A118,COPY!$A$2:$O$1000,2,FALSE),"")</f>
        <v/>
      </c>
      <c r="E118" s="607" t="str">
        <f>IF(LEN(A118)&gt;2,VLOOKUP(A118,COPY!$A$2:$O$1000,10,FALSE),"")</f>
        <v/>
      </c>
      <c r="F118" s="542" t="str">
        <f>IF(LEN(A118)&gt;2,VLOOKUP(A118,COPY!$A$2:$O$1000,8,FALSE),"")</f>
        <v/>
      </c>
      <c r="G118" s="543" t="str">
        <f>IF(LEN(A118)&gt;2,VLOOKUP(A118,COPY!$A$2:$O$1000,7,FALSE),"")</f>
        <v/>
      </c>
      <c r="H118" s="544" t="str">
        <f t="shared" si="7"/>
        <v/>
      </c>
      <c r="I118" s="545" t="str">
        <f>IFERROR(IF(LEN(A118)&gt;2,VLOOKUP(A118,COPY!$A$2:$O$1000,13,FALSE),"")/E118,"")</f>
        <v/>
      </c>
      <c r="J118" s="546"/>
      <c r="K118" s="547" t="str">
        <f t="shared" si="8"/>
        <v/>
      </c>
      <c r="L118" s="548" t="str">
        <f t="shared" si="11"/>
        <v/>
      </c>
      <c r="M118" s="549">
        <f t="shared" si="9"/>
        <v>0</v>
      </c>
      <c r="O118" s="538" t="str">
        <f t="shared" si="12"/>
        <v/>
      </c>
      <c r="P118" s="550"/>
      <c r="Q118" s="551"/>
    </row>
    <row r="119" spans="1:17" s="253" customFormat="1" ht="20.100000000000001" hidden="1" customHeight="1" x14ac:dyDescent="0.25">
      <c r="A119" s="253" t="str">
        <f t="shared" si="10"/>
        <v/>
      </c>
      <c r="B119" s="584" t="str">
        <f>IF(LEN(A119)&gt;2,VLOOKUP(A119,COPY!$A$2:$O$1000,4,FALSE),"")</f>
        <v/>
      </c>
      <c r="C119" s="585" t="str">
        <f>IF(LEN(A119)&gt;2,VLOOKUP(A119,COPY!$A$2:$O$1000,15,FALSE),"")</f>
        <v/>
      </c>
      <c r="D119" s="542" t="str">
        <f>IF(LEN(A119)&gt;2,VLOOKUP(A119,COPY!$A$2:$O$1000,2,FALSE),"")</f>
        <v/>
      </c>
      <c r="E119" s="607" t="str">
        <f>IF(LEN(A119)&gt;2,VLOOKUP(A119,COPY!$A$2:$O$1000,10,FALSE),"")</f>
        <v/>
      </c>
      <c r="F119" s="542" t="str">
        <f>IF(LEN(A119)&gt;2,VLOOKUP(A119,COPY!$A$2:$O$1000,8,FALSE),"")</f>
        <v/>
      </c>
      <c r="G119" s="543" t="str">
        <f>IF(LEN(A119)&gt;2,VLOOKUP(A119,COPY!$A$2:$O$1000,7,FALSE),"")</f>
        <v/>
      </c>
      <c r="H119" s="544" t="str">
        <f t="shared" si="7"/>
        <v/>
      </c>
      <c r="I119" s="545" t="str">
        <f>IFERROR(IF(LEN(A119)&gt;2,VLOOKUP(A119,COPY!$A$2:$O$1000,13,FALSE),"")/E119,"")</f>
        <v/>
      </c>
      <c r="J119" s="546"/>
      <c r="K119" s="547" t="str">
        <f t="shared" si="8"/>
        <v/>
      </c>
      <c r="L119" s="548" t="str">
        <f t="shared" si="11"/>
        <v/>
      </c>
      <c r="M119" s="549">
        <f t="shared" si="9"/>
        <v>0</v>
      </c>
      <c r="O119" s="538" t="str">
        <f t="shared" si="12"/>
        <v/>
      </c>
      <c r="P119" s="550"/>
      <c r="Q119" s="551"/>
    </row>
    <row r="120" spans="1:17" s="253" customFormat="1" ht="20.100000000000001" hidden="1" customHeight="1" x14ac:dyDescent="0.25">
      <c r="A120" s="253" t="str">
        <f t="shared" si="10"/>
        <v/>
      </c>
      <c r="B120" s="584" t="str">
        <f>IF(LEN(A120)&gt;2,VLOOKUP(A120,COPY!$A$2:$O$1000,4,FALSE),"")</f>
        <v/>
      </c>
      <c r="C120" s="585" t="str">
        <f>IF(LEN(A120)&gt;2,VLOOKUP(A120,COPY!$A$2:$O$1000,15,FALSE),"")</f>
        <v/>
      </c>
      <c r="D120" s="542" t="str">
        <f>IF(LEN(A120)&gt;2,VLOOKUP(A120,COPY!$A$2:$O$1000,2,FALSE),"")</f>
        <v/>
      </c>
      <c r="E120" s="607" t="str">
        <f>IF(LEN(A120)&gt;2,VLOOKUP(A120,COPY!$A$2:$O$1000,10,FALSE),"")</f>
        <v/>
      </c>
      <c r="F120" s="542" t="str">
        <f>IF(LEN(A120)&gt;2,VLOOKUP(A120,COPY!$A$2:$O$1000,8,FALSE),"")</f>
        <v/>
      </c>
      <c r="G120" s="543" t="str">
        <f>IF(LEN(A120)&gt;2,VLOOKUP(A120,COPY!$A$2:$O$1000,7,FALSE),"")</f>
        <v/>
      </c>
      <c r="H120" s="544" t="str">
        <f t="shared" si="7"/>
        <v/>
      </c>
      <c r="I120" s="545" t="str">
        <f>IFERROR(IF(LEN(A120)&gt;2,VLOOKUP(A120,COPY!$A$2:$O$1000,13,FALSE),"")/E120,"")</f>
        <v/>
      </c>
      <c r="J120" s="546"/>
      <c r="K120" s="547" t="str">
        <f t="shared" si="8"/>
        <v/>
      </c>
      <c r="L120" s="548" t="str">
        <f t="shared" si="11"/>
        <v/>
      </c>
      <c r="M120" s="549">
        <f t="shared" si="9"/>
        <v>0</v>
      </c>
      <c r="O120" s="538" t="str">
        <f t="shared" si="12"/>
        <v/>
      </c>
      <c r="P120" s="550"/>
      <c r="Q120" s="551"/>
    </row>
    <row r="121" spans="1:17" s="253" customFormat="1" ht="20.100000000000001" hidden="1" customHeight="1" x14ac:dyDescent="0.25">
      <c r="A121" s="253" t="str">
        <f t="shared" si="10"/>
        <v/>
      </c>
      <c r="B121" s="584" t="str">
        <f>IF(LEN(A121)&gt;2,VLOOKUP(A121,COPY!$A$2:$O$1000,4,FALSE),"")</f>
        <v/>
      </c>
      <c r="C121" s="585" t="str">
        <f>IF(LEN(A121)&gt;2,VLOOKUP(A121,COPY!$A$2:$O$1000,15,FALSE),"")</f>
        <v/>
      </c>
      <c r="D121" s="542" t="str">
        <f>IF(LEN(A121)&gt;2,VLOOKUP(A121,COPY!$A$2:$O$1000,2,FALSE),"")</f>
        <v/>
      </c>
      <c r="E121" s="607" t="str">
        <f>IF(LEN(A121)&gt;2,VLOOKUP(A121,COPY!$A$2:$O$1000,10,FALSE),"")</f>
        <v/>
      </c>
      <c r="F121" s="542" t="str">
        <f>IF(LEN(A121)&gt;2,VLOOKUP(A121,COPY!$A$2:$O$1000,8,FALSE),"")</f>
        <v/>
      </c>
      <c r="G121" s="543" t="str">
        <f>IF(LEN(A121)&gt;2,VLOOKUP(A121,COPY!$A$2:$O$1000,7,FALSE),"")</f>
        <v/>
      </c>
      <c r="H121" s="544" t="str">
        <f t="shared" si="7"/>
        <v/>
      </c>
      <c r="I121" s="545" t="str">
        <f>IFERROR(IF(LEN(A121)&gt;2,VLOOKUP(A121,COPY!$A$2:$O$1000,13,FALSE),"")/E121,"")</f>
        <v/>
      </c>
      <c r="J121" s="546"/>
      <c r="K121" s="547" t="str">
        <f t="shared" si="8"/>
        <v/>
      </c>
      <c r="L121" s="548" t="str">
        <f t="shared" si="11"/>
        <v/>
      </c>
      <c r="M121" s="549">
        <f t="shared" si="9"/>
        <v>0</v>
      </c>
      <c r="O121" s="538" t="str">
        <f t="shared" si="12"/>
        <v/>
      </c>
      <c r="P121" s="550"/>
      <c r="Q121" s="551"/>
    </row>
    <row r="122" spans="1:17" s="253" customFormat="1" ht="20.100000000000001" hidden="1" customHeight="1" x14ac:dyDescent="0.25">
      <c r="A122" s="253" t="str">
        <f t="shared" si="10"/>
        <v/>
      </c>
      <c r="B122" s="584" t="str">
        <f>IF(LEN(A122)&gt;2,VLOOKUP(A122,COPY!$A$2:$O$1000,4,FALSE),"")</f>
        <v/>
      </c>
      <c r="C122" s="585" t="str">
        <f>IF(LEN(A122)&gt;2,VLOOKUP(A122,COPY!$A$2:$O$1000,15,FALSE),"")</f>
        <v/>
      </c>
      <c r="D122" s="542" t="str">
        <f>IF(LEN(A122)&gt;2,VLOOKUP(A122,COPY!$A$2:$O$1000,2,FALSE),"")</f>
        <v/>
      </c>
      <c r="E122" s="607" t="str">
        <f>IF(LEN(A122)&gt;2,VLOOKUP(A122,COPY!$A$2:$O$1000,10,FALSE),"")</f>
        <v/>
      </c>
      <c r="F122" s="542" t="str">
        <f>IF(LEN(A122)&gt;2,VLOOKUP(A122,COPY!$A$2:$O$1000,8,FALSE),"")</f>
        <v/>
      </c>
      <c r="G122" s="543" t="str">
        <f>IF(LEN(A122)&gt;2,VLOOKUP(A122,COPY!$A$2:$O$1000,7,FALSE),"")</f>
        <v/>
      </c>
      <c r="H122" s="544" t="str">
        <f t="shared" si="7"/>
        <v/>
      </c>
      <c r="I122" s="545" t="str">
        <f>IFERROR(IF(LEN(A122)&gt;2,VLOOKUP(A122,COPY!$A$2:$O$1000,13,FALSE),"")/E122,"")</f>
        <v/>
      </c>
      <c r="J122" s="546"/>
      <c r="K122" s="547" t="str">
        <f t="shared" si="8"/>
        <v/>
      </c>
      <c r="L122" s="548" t="str">
        <f t="shared" si="11"/>
        <v/>
      </c>
      <c r="M122" s="549">
        <f t="shared" si="9"/>
        <v>0</v>
      </c>
      <c r="O122" s="538" t="str">
        <f t="shared" si="12"/>
        <v/>
      </c>
      <c r="P122" s="550"/>
      <c r="Q122" s="551"/>
    </row>
    <row r="123" spans="1:17" s="253" customFormat="1" ht="20.100000000000001" hidden="1" customHeight="1" x14ac:dyDescent="0.25">
      <c r="A123" s="253" t="str">
        <f t="shared" si="10"/>
        <v/>
      </c>
      <c r="B123" s="584" t="str">
        <f>IF(LEN(A123)&gt;2,VLOOKUP(A123,COPY!$A$2:$O$1000,4,FALSE),"")</f>
        <v/>
      </c>
      <c r="C123" s="585" t="str">
        <f>IF(LEN(A123)&gt;2,VLOOKUP(A123,COPY!$A$2:$O$1000,15,FALSE),"")</f>
        <v/>
      </c>
      <c r="D123" s="542" t="str">
        <f>IF(LEN(A123)&gt;2,VLOOKUP(A123,COPY!$A$2:$O$1000,2,FALSE),"")</f>
        <v/>
      </c>
      <c r="E123" s="607" t="str">
        <f>IF(LEN(A123)&gt;2,VLOOKUP(A123,COPY!$A$2:$O$1000,10,FALSE),"")</f>
        <v/>
      </c>
      <c r="F123" s="542" t="str">
        <f>IF(LEN(A123)&gt;2,VLOOKUP(A123,COPY!$A$2:$O$1000,8,FALSE),"")</f>
        <v/>
      </c>
      <c r="G123" s="543" t="str">
        <f>IF(LEN(A123)&gt;2,VLOOKUP(A123,COPY!$A$2:$O$1000,7,FALSE),"")</f>
        <v/>
      </c>
      <c r="H123" s="544" t="str">
        <f t="shared" si="7"/>
        <v/>
      </c>
      <c r="I123" s="545" t="str">
        <f>IFERROR(IF(LEN(A123)&gt;2,VLOOKUP(A123,COPY!$A$2:$O$1000,13,FALSE),"")/E123,"")</f>
        <v/>
      </c>
      <c r="J123" s="546"/>
      <c r="K123" s="547" t="str">
        <f t="shared" si="8"/>
        <v/>
      </c>
      <c r="L123" s="548" t="str">
        <f>IF(E123="","",IF(O123&gt;=0,O123,IF(O123&lt;0,0,0)))</f>
        <v/>
      </c>
      <c r="M123" s="549">
        <f t="shared" si="9"/>
        <v>0</v>
      </c>
      <c r="O123" s="538" t="str">
        <f>IF(E123="",O122,IF(L122&gt;0,L122-K123,IF(M122&lt;=0,M122-K123,0)))</f>
        <v/>
      </c>
      <c r="P123" s="550"/>
      <c r="Q123" s="551"/>
    </row>
    <row r="124" spans="1:17" s="253" customFormat="1" ht="20.100000000000001" hidden="1" customHeight="1" x14ac:dyDescent="0.25">
      <c r="A124" s="253" t="str">
        <f t="shared" si="10"/>
        <v/>
      </c>
      <c r="B124" s="584" t="str">
        <f>IF(LEN(A124)&gt;2,VLOOKUP(A124,COPY!$A$2:$O$1000,4,FALSE),"")</f>
        <v/>
      </c>
      <c r="C124" s="585" t="str">
        <f>IF(LEN(A124)&gt;2,VLOOKUP(A124,COPY!$A$2:$O$1000,15,FALSE),"")</f>
        <v/>
      </c>
      <c r="D124" s="542" t="str">
        <f>IF(LEN(A124)&gt;2,VLOOKUP(A124,COPY!$A$2:$O$1000,2,FALSE),"")</f>
        <v/>
      </c>
      <c r="E124" s="607" t="str">
        <f>IF(LEN(A124)&gt;2,VLOOKUP(A124,COPY!$A$2:$O$1000,10,FALSE),"")</f>
        <v/>
      </c>
      <c r="F124" s="542" t="str">
        <f>IF(LEN(A124)&gt;2,VLOOKUP(A124,COPY!$A$2:$O$1000,8,FALSE),"")</f>
        <v/>
      </c>
      <c r="G124" s="543" t="str">
        <f>IF(LEN(A124)&gt;2,VLOOKUP(A124,COPY!$A$2:$O$1000,7,FALSE),"")</f>
        <v/>
      </c>
      <c r="H124" s="544" t="str">
        <f t="shared" si="7"/>
        <v/>
      </c>
      <c r="I124" s="545" t="str">
        <f>IFERROR(IF(LEN(A124)&gt;2,VLOOKUP(A124,COPY!$A$2:$O$1000,13,FALSE),"")/E124,"")</f>
        <v/>
      </c>
      <c r="J124" s="546"/>
      <c r="K124" s="547" t="str">
        <f t="shared" si="8"/>
        <v/>
      </c>
      <c r="L124" s="548" t="str">
        <f>IF(E124="","",IF(O124&gt;=0,O124,IF(O124&lt;0,0,0)))</f>
        <v/>
      </c>
      <c r="M124" s="549">
        <f t="shared" si="9"/>
        <v>0</v>
      </c>
      <c r="O124" s="538" t="str">
        <f>IF(E124="",O123,IF(L123&gt;0,L123-K124,IF(M123&lt;=0,M123-K124,0)))</f>
        <v/>
      </c>
      <c r="P124" s="550"/>
      <c r="Q124" s="551"/>
    </row>
    <row r="125" spans="1:17" s="253" customFormat="1" ht="20.100000000000001" hidden="1" customHeight="1" x14ac:dyDescent="0.25">
      <c r="A125" s="253" t="str">
        <f t="shared" si="10"/>
        <v/>
      </c>
      <c r="B125" s="584" t="str">
        <f>IF(LEN(A125)&gt;2,VLOOKUP(A125,COPY!$A$2:$O$1000,4,FALSE),"")</f>
        <v/>
      </c>
      <c r="C125" s="585" t="str">
        <f>IF(LEN(A125)&gt;2,VLOOKUP(A125,COPY!$A$2:$O$1000,15,FALSE),"")</f>
        <v/>
      </c>
      <c r="D125" s="542" t="str">
        <f>IF(LEN(A125)&gt;2,VLOOKUP(A125,COPY!$A$2:$O$1000,2,FALSE),"")</f>
        <v/>
      </c>
      <c r="E125" s="607" t="str">
        <f>IF(LEN(A125)&gt;2,VLOOKUP(A125,COPY!$A$2:$O$1000,10,FALSE),"")</f>
        <v/>
      </c>
      <c r="F125" s="542" t="str">
        <f>IF(LEN(A125)&gt;2,VLOOKUP(A125,COPY!$A$2:$O$1000,8,FALSE),"")</f>
        <v/>
      </c>
      <c r="G125" s="543" t="str">
        <f>IF(LEN(A125)&gt;2,VLOOKUP(A125,COPY!$A$2:$O$1000,7,FALSE),"")</f>
        <v/>
      </c>
      <c r="H125" s="544" t="str">
        <f t="shared" si="7"/>
        <v/>
      </c>
      <c r="I125" s="545" t="str">
        <f>IFERROR(IF(LEN(A125)&gt;2,VLOOKUP(A125,COPY!$A$2:$O$1000,13,FALSE),"")/E125,"")</f>
        <v/>
      </c>
      <c r="J125" s="546"/>
      <c r="K125" s="547" t="str">
        <f t="shared" si="8"/>
        <v/>
      </c>
      <c r="L125" s="548" t="str">
        <f t="shared" ref="L125:L167" si="13">IF(E125="","",IF(O125&gt;=0,O125,IF(O125&lt;0,0,0)))</f>
        <v/>
      </c>
      <c r="M125" s="549">
        <f t="shared" si="9"/>
        <v>0</v>
      </c>
      <c r="O125" s="538" t="str">
        <f t="shared" ref="O125:O169" si="14">IF(E125="",O124,IF(L124&gt;0,L124-K125,IF(M124&lt;=0,M124-K125,0)))</f>
        <v/>
      </c>
      <c r="P125" s="550"/>
      <c r="Q125" s="551"/>
    </row>
    <row r="126" spans="1:17" s="253" customFormat="1" ht="20.100000000000001" hidden="1" customHeight="1" x14ac:dyDescent="0.25">
      <c r="A126" s="253" t="str">
        <f t="shared" si="10"/>
        <v/>
      </c>
      <c r="B126" s="584" t="str">
        <f>IF(LEN(A126)&gt;2,VLOOKUP(A126,COPY!$A$2:$O$1000,4,FALSE),"")</f>
        <v/>
      </c>
      <c r="C126" s="585" t="str">
        <f>IF(LEN(A126)&gt;2,VLOOKUP(A126,COPY!$A$2:$O$1000,15,FALSE),"")</f>
        <v/>
      </c>
      <c r="D126" s="542" t="str">
        <f>IF(LEN(A126)&gt;2,VLOOKUP(A126,COPY!$A$2:$O$1000,2,FALSE),"")</f>
        <v/>
      </c>
      <c r="E126" s="607" t="str">
        <f>IF(LEN(A126)&gt;2,VLOOKUP(A126,COPY!$A$2:$O$1000,10,FALSE),"")</f>
        <v/>
      </c>
      <c r="F126" s="542" t="str">
        <f>IF(LEN(A126)&gt;2,VLOOKUP(A126,COPY!$A$2:$O$1000,8,FALSE),"")</f>
        <v/>
      </c>
      <c r="G126" s="543" t="str">
        <f>IF(LEN(A126)&gt;2,VLOOKUP(A126,COPY!$A$2:$O$1000,7,FALSE),"")</f>
        <v/>
      </c>
      <c r="H126" s="544" t="str">
        <f t="shared" si="7"/>
        <v/>
      </c>
      <c r="I126" s="545" t="str">
        <f>IFERROR(IF(LEN(A126)&gt;2,VLOOKUP(A126,COPY!$A$2:$O$1000,13,FALSE),"")/E126,"")</f>
        <v/>
      </c>
      <c r="J126" s="546"/>
      <c r="K126" s="547" t="str">
        <f t="shared" si="8"/>
        <v/>
      </c>
      <c r="L126" s="548" t="str">
        <f t="shared" si="13"/>
        <v/>
      </c>
      <c r="M126" s="549">
        <f t="shared" si="9"/>
        <v>0</v>
      </c>
      <c r="O126" s="538" t="str">
        <f t="shared" si="14"/>
        <v/>
      </c>
      <c r="P126" s="550"/>
      <c r="Q126" s="551"/>
    </row>
    <row r="127" spans="1:17" s="253" customFormat="1" ht="20.100000000000001" hidden="1" customHeight="1" x14ac:dyDescent="0.25">
      <c r="A127" s="253" t="str">
        <f t="shared" si="10"/>
        <v/>
      </c>
      <c r="B127" s="584" t="str">
        <f>IF(LEN(A127)&gt;2,VLOOKUP(A127,COPY!$A$2:$O$1000,4,FALSE),"")</f>
        <v/>
      </c>
      <c r="C127" s="585" t="str">
        <f>IF(LEN(A127)&gt;2,VLOOKUP(A127,COPY!$A$2:$O$1000,15,FALSE),"")</f>
        <v/>
      </c>
      <c r="D127" s="542" t="str">
        <f>IF(LEN(A127)&gt;2,VLOOKUP(A127,COPY!$A$2:$O$1000,2,FALSE),"")</f>
        <v/>
      </c>
      <c r="E127" s="607" t="str">
        <f>IF(LEN(A127)&gt;2,VLOOKUP(A127,COPY!$A$2:$O$1000,10,FALSE),"")</f>
        <v/>
      </c>
      <c r="F127" s="542" t="str">
        <f>IF(LEN(A127)&gt;2,VLOOKUP(A127,COPY!$A$2:$O$1000,8,FALSE),"")</f>
        <v/>
      </c>
      <c r="G127" s="543" t="str">
        <f>IF(LEN(A127)&gt;2,VLOOKUP(A127,COPY!$A$2:$O$1000,7,FALSE),"")</f>
        <v/>
      </c>
      <c r="H127" s="544" t="str">
        <f t="shared" si="7"/>
        <v/>
      </c>
      <c r="I127" s="545" t="str">
        <f>IFERROR(IF(LEN(A127)&gt;2,VLOOKUP(A127,COPY!$A$2:$O$1000,13,FALSE),"")/E127,"")</f>
        <v/>
      </c>
      <c r="J127" s="546"/>
      <c r="K127" s="547" t="str">
        <f t="shared" si="8"/>
        <v/>
      </c>
      <c r="L127" s="548" t="str">
        <f t="shared" si="13"/>
        <v/>
      </c>
      <c r="M127" s="549">
        <f t="shared" si="9"/>
        <v>0</v>
      </c>
      <c r="O127" s="538" t="str">
        <f t="shared" si="14"/>
        <v/>
      </c>
      <c r="P127" s="550"/>
      <c r="Q127" s="551"/>
    </row>
    <row r="128" spans="1:17" s="253" customFormat="1" ht="20.100000000000001" hidden="1" customHeight="1" x14ac:dyDescent="0.25">
      <c r="A128" s="253" t="str">
        <f t="shared" si="10"/>
        <v/>
      </c>
      <c r="B128" s="584" t="str">
        <f>IF(LEN(A128)&gt;2,VLOOKUP(A128,COPY!$A$2:$O$1000,4,FALSE),"")</f>
        <v/>
      </c>
      <c r="C128" s="585" t="str">
        <f>IF(LEN(A128)&gt;2,VLOOKUP(A128,COPY!$A$2:$O$1000,15,FALSE),"")</f>
        <v/>
      </c>
      <c r="D128" s="542" t="str">
        <f>IF(LEN(A128)&gt;2,VLOOKUP(A128,COPY!$A$2:$O$1000,2,FALSE),"")</f>
        <v/>
      </c>
      <c r="E128" s="607" t="str">
        <f>IF(LEN(A128)&gt;2,VLOOKUP(A128,COPY!$A$2:$O$1000,10,FALSE),"")</f>
        <v/>
      </c>
      <c r="F128" s="542" t="str">
        <f>IF(LEN(A128)&gt;2,VLOOKUP(A128,COPY!$A$2:$O$1000,8,FALSE),"")</f>
        <v/>
      </c>
      <c r="G128" s="543" t="str">
        <f>IF(LEN(A128)&gt;2,VLOOKUP(A128,COPY!$A$2:$O$1000,7,FALSE),"")</f>
        <v/>
      </c>
      <c r="H128" s="544" t="str">
        <f t="shared" si="7"/>
        <v/>
      </c>
      <c r="I128" s="545" t="str">
        <f>IFERROR(IF(LEN(A128)&gt;2,VLOOKUP(A128,COPY!$A$2:$O$1000,13,FALSE),"")/E128,"")</f>
        <v/>
      </c>
      <c r="J128" s="546"/>
      <c r="K128" s="547" t="str">
        <f t="shared" si="8"/>
        <v/>
      </c>
      <c r="L128" s="548" t="str">
        <f t="shared" si="13"/>
        <v/>
      </c>
      <c r="M128" s="549">
        <f t="shared" si="9"/>
        <v>0</v>
      </c>
      <c r="O128" s="538" t="str">
        <f t="shared" si="14"/>
        <v/>
      </c>
      <c r="P128" s="550"/>
      <c r="Q128" s="551"/>
    </row>
    <row r="129" spans="1:17" s="253" customFormat="1" ht="20.100000000000001" hidden="1" customHeight="1" x14ac:dyDescent="0.25">
      <c r="A129" s="253" t="str">
        <f t="shared" si="10"/>
        <v/>
      </c>
      <c r="B129" s="584" t="str">
        <f>IF(LEN(A129)&gt;2,VLOOKUP(A129,COPY!$A$2:$O$1000,4,FALSE),"")</f>
        <v/>
      </c>
      <c r="C129" s="585" t="str">
        <f>IF(LEN(A129)&gt;2,VLOOKUP(A129,COPY!$A$2:$O$1000,15,FALSE),"")</f>
        <v/>
      </c>
      <c r="D129" s="542" t="str">
        <f>IF(LEN(A129)&gt;2,VLOOKUP(A129,COPY!$A$2:$O$1000,2,FALSE),"")</f>
        <v/>
      </c>
      <c r="E129" s="607" t="str">
        <f>IF(LEN(A129)&gt;2,VLOOKUP(A129,COPY!$A$2:$O$1000,10,FALSE),"")</f>
        <v/>
      </c>
      <c r="F129" s="542" t="str">
        <f>IF(LEN(A129)&gt;2,VLOOKUP(A129,COPY!$A$2:$O$1000,8,FALSE),"")</f>
        <v/>
      </c>
      <c r="G129" s="543" t="str">
        <f>IF(LEN(A129)&gt;2,VLOOKUP(A129,COPY!$A$2:$O$1000,7,FALSE),"")</f>
        <v/>
      </c>
      <c r="H129" s="544" t="str">
        <f t="shared" si="7"/>
        <v/>
      </c>
      <c r="I129" s="545" t="str">
        <f>IFERROR(IF(LEN(A129)&gt;2,VLOOKUP(A129,COPY!$A$2:$O$1000,13,FALSE),"")/E129,"")</f>
        <v/>
      </c>
      <c r="J129" s="546"/>
      <c r="K129" s="547" t="str">
        <f t="shared" si="8"/>
        <v/>
      </c>
      <c r="L129" s="548" t="str">
        <f t="shared" si="13"/>
        <v/>
      </c>
      <c r="M129" s="549">
        <f t="shared" si="9"/>
        <v>0</v>
      </c>
      <c r="O129" s="538" t="str">
        <f t="shared" si="14"/>
        <v/>
      </c>
      <c r="P129" s="550"/>
      <c r="Q129" s="551"/>
    </row>
    <row r="130" spans="1:17" s="253" customFormat="1" ht="20.100000000000001" hidden="1" customHeight="1" x14ac:dyDescent="0.25">
      <c r="A130" s="253" t="str">
        <f t="shared" si="10"/>
        <v/>
      </c>
      <c r="B130" s="584" t="str">
        <f>IF(LEN(A130)&gt;2,VLOOKUP(A130,COPY!$A$2:$O$1000,4,FALSE),"")</f>
        <v/>
      </c>
      <c r="C130" s="585" t="str">
        <f>IF(LEN(A130)&gt;2,VLOOKUP(A130,COPY!$A$2:$O$1000,15,FALSE),"")</f>
        <v/>
      </c>
      <c r="D130" s="542" t="str">
        <f>IF(LEN(A130)&gt;2,VLOOKUP(A130,COPY!$A$2:$O$1000,2,FALSE),"")</f>
        <v/>
      </c>
      <c r="E130" s="607" t="str">
        <f>IF(LEN(A130)&gt;2,VLOOKUP(A130,COPY!$A$2:$O$1000,10,FALSE),"")</f>
        <v/>
      </c>
      <c r="F130" s="542" t="str">
        <f>IF(LEN(A130)&gt;2,VLOOKUP(A130,COPY!$A$2:$O$1000,8,FALSE),"")</f>
        <v/>
      </c>
      <c r="G130" s="543" t="str">
        <f>IF(LEN(A130)&gt;2,VLOOKUP(A130,COPY!$A$2:$O$1000,7,FALSE),"")</f>
        <v/>
      </c>
      <c r="H130" s="544" t="str">
        <f t="shared" si="7"/>
        <v/>
      </c>
      <c r="I130" s="545" t="str">
        <f>IFERROR(IF(LEN(A130)&gt;2,VLOOKUP(A130,COPY!$A$2:$O$1000,13,FALSE),"")/E130,"")</f>
        <v/>
      </c>
      <c r="J130" s="546"/>
      <c r="K130" s="547" t="str">
        <f t="shared" si="8"/>
        <v/>
      </c>
      <c r="L130" s="548" t="str">
        <f t="shared" si="13"/>
        <v/>
      </c>
      <c r="M130" s="549">
        <f t="shared" si="9"/>
        <v>0</v>
      </c>
      <c r="O130" s="538" t="str">
        <f t="shared" si="14"/>
        <v/>
      </c>
      <c r="P130" s="550"/>
      <c r="Q130" s="551"/>
    </row>
    <row r="131" spans="1:17" s="253" customFormat="1" ht="20.100000000000001" hidden="1" customHeight="1" x14ac:dyDescent="0.25">
      <c r="A131" s="253" t="str">
        <f t="shared" si="10"/>
        <v/>
      </c>
      <c r="B131" s="584" t="str">
        <f>IF(LEN(A131)&gt;2,VLOOKUP(A131,COPY!$A$2:$O$1000,4,FALSE),"")</f>
        <v/>
      </c>
      <c r="C131" s="585" t="str">
        <f>IF(LEN(A131)&gt;2,VLOOKUP(A131,COPY!$A$2:$O$1000,15,FALSE),"")</f>
        <v/>
      </c>
      <c r="D131" s="542" t="str">
        <f>IF(LEN(A131)&gt;2,VLOOKUP(A131,COPY!$A$2:$O$1000,2,FALSE),"")</f>
        <v/>
      </c>
      <c r="E131" s="607" t="str">
        <f>IF(LEN(A131)&gt;2,VLOOKUP(A131,COPY!$A$2:$O$1000,10,FALSE),"")</f>
        <v/>
      </c>
      <c r="F131" s="542" t="str">
        <f>IF(LEN(A131)&gt;2,VLOOKUP(A131,COPY!$A$2:$O$1000,8,FALSE),"")</f>
        <v/>
      </c>
      <c r="G131" s="543" t="str">
        <f>IF(LEN(A131)&gt;2,VLOOKUP(A131,COPY!$A$2:$O$1000,7,FALSE),"")</f>
        <v/>
      </c>
      <c r="H131" s="544" t="str">
        <f t="shared" si="7"/>
        <v/>
      </c>
      <c r="I131" s="545" t="str">
        <f>IFERROR(IF(LEN(A131)&gt;2,VLOOKUP(A131,COPY!$A$2:$O$1000,13,FALSE),"")/E131,"")</f>
        <v/>
      </c>
      <c r="J131" s="546"/>
      <c r="K131" s="547" t="str">
        <f t="shared" si="8"/>
        <v/>
      </c>
      <c r="L131" s="548" t="str">
        <f t="shared" si="13"/>
        <v/>
      </c>
      <c r="M131" s="549">
        <f t="shared" si="9"/>
        <v>0</v>
      </c>
      <c r="O131" s="538" t="str">
        <f t="shared" si="14"/>
        <v/>
      </c>
      <c r="P131" s="550"/>
      <c r="Q131" s="551"/>
    </row>
    <row r="132" spans="1:17" s="253" customFormat="1" ht="20.100000000000001" hidden="1" customHeight="1" x14ac:dyDescent="0.25">
      <c r="A132" s="253" t="str">
        <f t="shared" si="10"/>
        <v/>
      </c>
      <c r="B132" s="584" t="str">
        <f>IF(LEN(A132)&gt;2,VLOOKUP(A132,COPY!$A$2:$O$1000,4,FALSE),"")</f>
        <v/>
      </c>
      <c r="C132" s="585" t="str">
        <f>IF(LEN(A132)&gt;2,VLOOKUP(A132,COPY!$A$2:$O$1000,15,FALSE),"")</f>
        <v/>
      </c>
      <c r="D132" s="542" t="str">
        <f>IF(LEN(A132)&gt;2,VLOOKUP(A132,COPY!$A$2:$O$1000,2,FALSE),"")</f>
        <v/>
      </c>
      <c r="E132" s="607" t="str">
        <f>IF(LEN(A132)&gt;2,VLOOKUP(A132,COPY!$A$2:$O$1000,10,FALSE),"")</f>
        <v/>
      </c>
      <c r="F132" s="542" t="str">
        <f>IF(LEN(A132)&gt;2,VLOOKUP(A132,COPY!$A$2:$O$1000,8,FALSE),"")</f>
        <v/>
      </c>
      <c r="G132" s="543" t="str">
        <f>IF(LEN(A132)&gt;2,VLOOKUP(A132,COPY!$A$2:$O$1000,7,FALSE),"")</f>
        <v/>
      </c>
      <c r="H132" s="544" t="str">
        <f t="shared" si="7"/>
        <v/>
      </c>
      <c r="I132" s="545" t="str">
        <f>IFERROR(IF(LEN(A132)&gt;2,VLOOKUP(A132,COPY!$A$2:$O$1000,13,FALSE),"")/E132,"")</f>
        <v/>
      </c>
      <c r="J132" s="546"/>
      <c r="K132" s="547" t="str">
        <f t="shared" si="8"/>
        <v/>
      </c>
      <c r="L132" s="548" t="str">
        <f t="shared" si="13"/>
        <v/>
      </c>
      <c r="M132" s="549">
        <f t="shared" si="9"/>
        <v>0</v>
      </c>
      <c r="O132" s="538" t="str">
        <f t="shared" si="14"/>
        <v/>
      </c>
      <c r="P132" s="550"/>
      <c r="Q132" s="551"/>
    </row>
    <row r="133" spans="1:17" s="253" customFormat="1" ht="20.100000000000001" hidden="1" customHeight="1" x14ac:dyDescent="0.25">
      <c r="A133" s="253" t="str">
        <f t="shared" si="10"/>
        <v/>
      </c>
      <c r="B133" s="584" t="str">
        <f>IF(LEN(A133)&gt;2,VLOOKUP(A133,COPY!$A$2:$O$1000,4,FALSE),"")</f>
        <v/>
      </c>
      <c r="C133" s="585" t="str">
        <f>IF(LEN(A133)&gt;2,VLOOKUP(A133,COPY!$A$2:$O$1000,15,FALSE),"")</f>
        <v/>
      </c>
      <c r="D133" s="542" t="str">
        <f>IF(LEN(A133)&gt;2,VLOOKUP(A133,COPY!$A$2:$O$1000,2,FALSE),"")</f>
        <v/>
      </c>
      <c r="E133" s="607" t="str">
        <f>IF(LEN(A133)&gt;2,VLOOKUP(A133,COPY!$A$2:$O$1000,10,FALSE),"")</f>
        <v/>
      </c>
      <c r="F133" s="542" t="str">
        <f>IF(LEN(A133)&gt;2,VLOOKUP(A133,COPY!$A$2:$O$1000,8,FALSE),"")</f>
        <v/>
      </c>
      <c r="G133" s="543" t="str">
        <f>IF(LEN(A133)&gt;2,VLOOKUP(A133,COPY!$A$2:$O$1000,7,FALSE),"")</f>
        <v/>
      </c>
      <c r="H133" s="544" t="str">
        <f t="shared" si="7"/>
        <v/>
      </c>
      <c r="I133" s="545" t="str">
        <f>IFERROR(IF(LEN(A133)&gt;2,VLOOKUP(A133,COPY!$A$2:$O$1000,13,FALSE),"")/E133,"")</f>
        <v/>
      </c>
      <c r="J133" s="546"/>
      <c r="K133" s="547" t="str">
        <f t="shared" si="8"/>
        <v/>
      </c>
      <c r="L133" s="548" t="str">
        <f t="shared" si="13"/>
        <v/>
      </c>
      <c r="M133" s="549">
        <f t="shared" si="9"/>
        <v>0</v>
      </c>
      <c r="O133" s="538" t="str">
        <f t="shared" si="14"/>
        <v/>
      </c>
      <c r="P133" s="550"/>
      <c r="Q133" s="551"/>
    </row>
    <row r="134" spans="1:17" s="253" customFormat="1" ht="20.100000000000001" hidden="1" customHeight="1" x14ac:dyDescent="0.25">
      <c r="A134" s="253" t="str">
        <f t="shared" si="10"/>
        <v/>
      </c>
      <c r="B134" s="584" t="str">
        <f>IF(LEN(A134)&gt;2,VLOOKUP(A134,COPY!$A$2:$O$1000,4,FALSE),"")</f>
        <v/>
      </c>
      <c r="C134" s="585" t="str">
        <f>IF(LEN(A134)&gt;2,VLOOKUP(A134,COPY!$A$2:$O$1000,15,FALSE),"")</f>
        <v/>
      </c>
      <c r="D134" s="542" t="str">
        <f>IF(LEN(A134)&gt;2,VLOOKUP(A134,COPY!$A$2:$O$1000,2,FALSE),"")</f>
        <v/>
      </c>
      <c r="E134" s="607" t="str">
        <f>IF(LEN(A134)&gt;2,VLOOKUP(A134,COPY!$A$2:$O$1000,10,FALSE),"")</f>
        <v/>
      </c>
      <c r="F134" s="542" t="str">
        <f>IF(LEN(A134)&gt;2,VLOOKUP(A134,COPY!$A$2:$O$1000,8,FALSE),"")</f>
        <v/>
      </c>
      <c r="G134" s="543" t="str">
        <f>IF(LEN(A134)&gt;2,VLOOKUP(A134,COPY!$A$2:$O$1000,7,FALSE),"")</f>
        <v/>
      </c>
      <c r="H134" s="544" t="str">
        <f t="shared" si="7"/>
        <v/>
      </c>
      <c r="I134" s="545" t="str">
        <f>IFERROR(IF(LEN(A134)&gt;2,VLOOKUP(A134,COPY!$A$2:$O$1000,13,FALSE),"")/E134,"")</f>
        <v/>
      </c>
      <c r="J134" s="546"/>
      <c r="K134" s="547" t="str">
        <f t="shared" si="8"/>
        <v/>
      </c>
      <c r="L134" s="548" t="str">
        <f t="shared" si="13"/>
        <v/>
      </c>
      <c r="M134" s="549">
        <f t="shared" si="9"/>
        <v>0</v>
      </c>
      <c r="O134" s="538" t="str">
        <f t="shared" si="14"/>
        <v/>
      </c>
      <c r="P134" s="550"/>
      <c r="Q134" s="551"/>
    </row>
    <row r="135" spans="1:17" s="253" customFormat="1" ht="20.100000000000001" hidden="1" customHeight="1" x14ac:dyDescent="0.25">
      <c r="A135" s="253" t="str">
        <f t="shared" si="10"/>
        <v/>
      </c>
      <c r="B135" s="584" t="str">
        <f>IF(LEN(A135)&gt;2,VLOOKUP(A135,COPY!$A$2:$O$1000,4,FALSE),"")</f>
        <v/>
      </c>
      <c r="C135" s="585" t="str">
        <f>IF(LEN(A135)&gt;2,VLOOKUP(A135,COPY!$A$2:$O$1000,15,FALSE),"")</f>
        <v/>
      </c>
      <c r="D135" s="542" t="str">
        <f>IF(LEN(A135)&gt;2,VLOOKUP(A135,COPY!$A$2:$O$1000,2,FALSE),"")</f>
        <v/>
      </c>
      <c r="E135" s="607" t="str">
        <f>IF(LEN(A135)&gt;2,VLOOKUP(A135,COPY!$A$2:$O$1000,10,FALSE),"")</f>
        <v/>
      </c>
      <c r="F135" s="542" t="str">
        <f>IF(LEN(A135)&gt;2,VLOOKUP(A135,COPY!$A$2:$O$1000,8,FALSE),"")</f>
        <v/>
      </c>
      <c r="G135" s="543" t="str">
        <f>IF(LEN(A135)&gt;2,VLOOKUP(A135,COPY!$A$2:$O$1000,7,FALSE),"")</f>
        <v/>
      </c>
      <c r="H135" s="544" t="str">
        <f t="shared" si="7"/>
        <v/>
      </c>
      <c r="I135" s="545" t="str">
        <f>IFERROR(IF(LEN(A135)&gt;2,VLOOKUP(A135,COPY!$A$2:$O$1000,13,FALSE),"")/E135,"")</f>
        <v/>
      </c>
      <c r="J135" s="546"/>
      <c r="K135" s="547" t="str">
        <f t="shared" si="8"/>
        <v/>
      </c>
      <c r="L135" s="548" t="str">
        <f t="shared" si="13"/>
        <v/>
      </c>
      <c r="M135" s="549">
        <f t="shared" si="9"/>
        <v>0</v>
      </c>
      <c r="O135" s="538" t="str">
        <f t="shared" si="14"/>
        <v/>
      </c>
      <c r="P135" s="550"/>
      <c r="Q135" s="551"/>
    </row>
    <row r="136" spans="1:17" s="253" customFormat="1" ht="20.100000000000001" hidden="1" customHeight="1" x14ac:dyDescent="0.25">
      <c r="A136" s="253" t="str">
        <f t="shared" si="10"/>
        <v/>
      </c>
      <c r="B136" s="584" t="str">
        <f>IF(LEN(A136)&gt;2,VLOOKUP(A136,COPY!$A$2:$O$1000,4,FALSE),"")</f>
        <v/>
      </c>
      <c r="C136" s="585" t="str">
        <f>IF(LEN(A136)&gt;2,VLOOKUP(A136,COPY!$A$2:$O$1000,15,FALSE),"")</f>
        <v/>
      </c>
      <c r="D136" s="542" t="str">
        <f>IF(LEN(A136)&gt;2,VLOOKUP(A136,COPY!$A$2:$O$1000,2,FALSE),"")</f>
        <v/>
      </c>
      <c r="E136" s="607" t="str">
        <f>IF(LEN(A136)&gt;2,VLOOKUP(A136,COPY!$A$2:$O$1000,10,FALSE),"")</f>
        <v/>
      </c>
      <c r="F136" s="542" t="str">
        <f>IF(LEN(A136)&gt;2,VLOOKUP(A136,COPY!$A$2:$O$1000,8,FALSE),"")</f>
        <v/>
      </c>
      <c r="G136" s="543" t="str">
        <f>IF(LEN(A136)&gt;2,VLOOKUP(A136,COPY!$A$2:$O$1000,7,FALSE),"")</f>
        <v/>
      </c>
      <c r="H136" s="544" t="str">
        <f t="shared" si="7"/>
        <v/>
      </c>
      <c r="I136" s="545" t="str">
        <f>IFERROR(IF(LEN(A136)&gt;2,VLOOKUP(A136,COPY!$A$2:$O$1000,13,FALSE),"")/E136,"")</f>
        <v/>
      </c>
      <c r="J136" s="546"/>
      <c r="K136" s="547" t="str">
        <f t="shared" si="8"/>
        <v/>
      </c>
      <c r="L136" s="548" t="str">
        <f t="shared" si="13"/>
        <v/>
      </c>
      <c r="M136" s="549">
        <f t="shared" si="9"/>
        <v>0</v>
      </c>
      <c r="O136" s="538" t="str">
        <f t="shared" si="14"/>
        <v/>
      </c>
      <c r="P136" s="550"/>
      <c r="Q136" s="551"/>
    </row>
    <row r="137" spans="1:17" s="253" customFormat="1" ht="20.100000000000001" hidden="1" customHeight="1" x14ac:dyDescent="0.25">
      <c r="A137" s="253" t="str">
        <f t="shared" si="10"/>
        <v/>
      </c>
      <c r="B137" s="584" t="str">
        <f>IF(LEN(A137)&gt;2,VLOOKUP(A137,COPY!$A$2:$O$1000,4,FALSE),"")</f>
        <v/>
      </c>
      <c r="C137" s="585" t="str">
        <f>IF(LEN(A137)&gt;2,VLOOKUP(A137,COPY!$A$2:$O$1000,15,FALSE),"")</f>
        <v/>
      </c>
      <c r="D137" s="542" t="str">
        <f>IF(LEN(A137)&gt;2,VLOOKUP(A137,COPY!$A$2:$O$1000,2,FALSE),"")</f>
        <v/>
      </c>
      <c r="E137" s="607" t="str">
        <f>IF(LEN(A137)&gt;2,VLOOKUP(A137,COPY!$A$2:$O$1000,10,FALSE),"")</f>
        <v/>
      </c>
      <c r="F137" s="542" t="str">
        <f>IF(LEN(A137)&gt;2,VLOOKUP(A137,COPY!$A$2:$O$1000,8,FALSE),"")</f>
        <v/>
      </c>
      <c r="G137" s="543" t="str">
        <f>IF(LEN(A137)&gt;2,VLOOKUP(A137,COPY!$A$2:$O$1000,7,FALSE),"")</f>
        <v/>
      </c>
      <c r="H137" s="544" t="str">
        <f t="shared" si="7"/>
        <v/>
      </c>
      <c r="I137" s="545" t="str">
        <f>IFERROR(IF(LEN(A137)&gt;2,VLOOKUP(A137,COPY!$A$2:$O$1000,13,FALSE),"")/E137,"")</f>
        <v/>
      </c>
      <c r="J137" s="546"/>
      <c r="K137" s="547" t="str">
        <f t="shared" si="8"/>
        <v/>
      </c>
      <c r="L137" s="548" t="str">
        <f t="shared" si="13"/>
        <v/>
      </c>
      <c r="M137" s="549">
        <f t="shared" si="9"/>
        <v>0</v>
      </c>
      <c r="O137" s="538" t="str">
        <f t="shared" si="14"/>
        <v/>
      </c>
      <c r="P137" s="550"/>
      <c r="Q137" s="551"/>
    </row>
    <row r="138" spans="1:17" s="253" customFormat="1" ht="20.100000000000001" hidden="1" customHeight="1" x14ac:dyDescent="0.25">
      <c r="A138" s="253" t="str">
        <f t="shared" si="10"/>
        <v/>
      </c>
      <c r="B138" s="584" t="str">
        <f>IF(LEN(A138)&gt;2,VLOOKUP(A138,COPY!$A$2:$O$1000,4,FALSE),"")</f>
        <v/>
      </c>
      <c r="C138" s="585" t="str">
        <f>IF(LEN(A138)&gt;2,VLOOKUP(A138,COPY!$A$2:$O$1000,15,FALSE),"")</f>
        <v/>
      </c>
      <c r="D138" s="542" t="str">
        <f>IF(LEN(A138)&gt;2,VLOOKUP(A138,COPY!$A$2:$O$1000,2,FALSE),"")</f>
        <v/>
      </c>
      <c r="E138" s="607" t="str">
        <f>IF(LEN(A138)&gt;2,VLOOKUP(A138,COPY!$A$2:$O$1000,10,FALSE),"")</f>
        <v/>
      </c>
      <c r="F138" s="542" t="str">
        <f>IF(LEN(A138)&gt;2,VLOOKUP(A138,COPY!$A$2:$O$1000,8,FALSE),"")</f>
        <v/>
      </c>
      <c r="G138" s="543" t="str">
        <f>IF(LEN(A138)&gt;2,VLOOKUP(A138,COPY!$A$2:$O$1000,7,FALSE),"")</f>
        <v/>
      </c>
      <c r="H138" s="544" t="str">
        <f t="shared" si="7"/>
        <v/>
      </c>
      <c r="I138" s="545" t="str">
        <f>IFERROR(IF(LEN(A138)&gt;2,VLOOKUP(A138,COPY!$A$2:$O$1000,13,FALSE),"")/E138,"")</f>
        <v/>
      </c>
      <c r="J138" s="546"/>
      <c r="K138" s="547" t="str">
        <f t="shared" si="8"/>
        <v/>
      </c>
      <c r="L138" s="548" t="str">
        <f t="shared" si="13"/>
        <v/>
      </c>
      <c r="M138" s="549">
        <f t="shared" si="9"/>
        <v>0</v>
      </c>
      <c r="O138" s="538" t="str">
        <f t="shared" si="14"/>
        <v/>
      </c>
      <c r="P138" s="550"/>
      <c r="Q138" s="551"/>
    </row>
    <row r="139" spans="1:17" s="253" customFormat="1" ht="20.100000000000001" hidden="1" customHeight="1" x14ac:dyDescent="0.25">
      <c r="A139" s="253" t="str">
        <f t="shared" si="10"/>
        <v/>
      </c>
      <c r="B139" s="584" t="str">
        <f>IF(LEN(A139)&gt;2,VLOOKUP(A139,COPY!$A$2:$O$1000,4,FALSE),"")</f>
        <v/>
      </c>
      <c r="C139" s="585" t="str">
        <f>IF(LEN(A139)&gt;2,VLOOKUP(A139,COPY!$A$2:$O$1000,15,FALSE),"")</f>
        <v/>
      </c>
      <c r="D139" s="542" t="str">
        <f>IF(LEN(A139)&gt;2,VLOOKUP(A139,COPY!$A$2:$O$1000,2,FALSE),"")</f>
        <v/>
      </c>
      <c r="E139" s="607" t="str">
        <f>IF(LEN(A139)&gt;2,VLOOKUP(A139,COPY!$A$2:$O$1000,10,FALSE),"")</f>
        <v/>
      </c>
      <c r="F139" s="542" t="str">
        <f>IF(LEN(A139)&gt;2,VLOOKUP(A139,COPY!$A$2:$O$1000,8,FALSE),"")</f>
        <v/>
      </c>
      <c r="G139" s="543" t="str">
        <f>IF(LEN(A139)&gt;2,VLOOKUP(A139,COPY!$A$2:$O$1000,7,FALSE),"")</f>
        <v/>
      </c>
      <c r="H139" s="544" t="str">
        <f t="shared" si="7"/>
        <v/>
      </c>
      <c r="I139" s="545" t="str">
        <f>IFERROR(IF(LEN(A139)&gt;2,VLOOKUP(A139,COPY!$A$2:$O$1000,13,FALSE),"")/E139,"")</f>
        <v/>
      </c>
      <c r="J139" s="546"/>
      <c r="K139" s="547" t="str">
        <f t="shared" si="8"/>
        <v/>
      </c>
      <c r="L139" s="548" t="str">
        <f t="shared" si="13"/>
        <v/>
      </c>
      <c r="M139" s="549">
        <f t="shared" si="9"/>
        <v>0</v>
      </c>
      <c r="O139" s="538" t="str">
        <f t="shared" si="14"/>
        <v/>
      </c>
      <c r="P139" s="550"/>
      <c r="Q139" s="551"/>
    </row>
    <row r="140" spans="1:17" s="253" customFormat="1" ht="20.100000000000001" hidden="1" customHeight="1" x14ac:dyDescent="0.25">
      <c r="A140" s="253" t="str">
        <f t="shared" si="10"/>
        <v/>
      </c>
      <c r="B140" s="584" t="str">
        <f>IF(LEN(A140)&gt;2,VLOOKUP(A140,COPY!$A$2:$O$1000,4,FALSE),"")</f>
        <v/>
      </c>
      <c r="C140" s="585" t="str">
        <f>IF(LEN(A140)&gt;2,VLOOKUP(A140,COPY!$A$2:$O$1000,15,FALSE),"")</f>
        <v/>
      </c>
      <c r="D140" s="542" t="str">
        <f>IF(LEN(A140)&gt;2,VLOOKUP(A140,COPY!$A$2:$O$1000,2,FALSE),"")</f>
        <v/>
      </c>
      <c r="E140" s="607" t="str">
        <f>IF(LEN(A140)&gt;2,VLOOKUP(A140,COPY!$A$2:$O$1000,10,FALSE),"")</f>
        <v/>
      </c>
      <c r="F140" s="542" t="str">
        <f>IF(LEN(A140)&gt;2,VLOOKUP(A140,COPY!$A$2:$O$1000,8,FALSE),"")</f>
        <v/>
      </c>
      <c r="G140" s="543" t="str">
        <f>IF(LEN(A140)&gt;2,VLOOKUP(A140,COPY!$A$2:$O$1000,7,FALSE),"")</f>
        <v/>
      </c>
      <c r="H140" s="544" t="str">
        <f t="shared" si="7"/>
        <v/>
      </c>
      <c r="I140" s="545" t="str">
        <f>IFERROR(IF(LEN(A140)&gt;2,VLOOKUP(A140,COPY!$A$2:$O$1000,13,FALSE),"")/E140,"")</f>
        <v/>
      </c>
      <c r="J140" s="546"/>
      <c r="K140" s="547" t="str">
        <f t="shared" si="8"/>
        <v/>
      </c>
      <c r="L140" s="548" t="str">
        <f t="shared" si="13"/>
        <v/>
      </c>
      <c r="M140" s="549">
        <f t="shared" si="9"/>
        <v>0</v>
      </c>
      <c r="O140" s="538" t="str">
        <f t="shared" si="14"/>
        <v/>
      </c>
      <c r="P140" s="550"/>
      <c r="Q140" s="551"/>
    </row>
    <row r="141" spans="1:17" s="253" customFormat="1" ht="20.100000000000001" hidden="1" customHeight="1" x14ac:dyDescent="0.25">
      <c r="A141" s="253" t="str">
        <f t="shared" si="10"/>
        <v/>
      </c>
      <c r="B141" s="584" t="str">
        <f>IF(LEN(A141)&gt;2,VLOOKUP(A141,COPY!$A$2:$O$1000,4,FALSE),"")</f>
        <v/>
      </c>
      <c r="C141" s="585" t="str">
        <f>IF(LEN(A141)&gt;2,VLOOKUP(A141,COPY!$A$2:$O$1000,15,FALSE),"")</f>
        <v/>
      </c>
      <c r="D141" s="542" t="str">
        <f>IF(LEN(A141)&gt;2,VLOOKUP(A141,COPY!$A$2:$O$1000,2,FALSE),"")</f>
        <v/>
      </c>
      <c r="E141" s="607" t="str">
        <f>IF(LEN(A141)&gt;2,VLOOKUP(A141,COPY!$A$2:$O$1000,10,FALSE),"")</f>
        <v/>
      </c>
      <c r="F141" s="542" t="str">
        <f>IF(LEN(A141)&gt;2,VLOOKUP(A141,COPY!$A$2:$O$1000,8,FALSE),"")</f>
        <v/>
      </c>
      <c r="G141" s="543" t="str">
        <f>IF(LEN(A141)&gt;2,VLOOKUP(A141,COPY!$A$2:$O$1000,7,FALSE),"")</f>
        <v/>
      </c>
      <c r="H141" s="544" t="str">
        <f t="shared" si="7"/>
        <v/>
      </c>
      <c r="I141" s="545" t="str">
        <f>IFERROR(IF(LEN(A141)&gt;2,VLOOKUP(A141,COPY!$A$2:$O$1000,13,FALSE),"")/E141,"")</f>
        <v/>
      </c>
      <c r="J141" s="546"/>
      <c r="K141" s="547" t="str">
        <f t="shared" si="8"/>
        <v/>
      </c>
      <c r="L141" s="548" t="str">
        <f t="shared" si="13"/>
        <v/>
      </c>
      <c r="M141" s="549">
        <f t="shared" si="9"/>
        <v>0</v>
      </c>
      <c r="O141" s="538" t="str">
        <f t="shared" si="14"/>
        <v/>
      </c>
      <c r="P141" s="550"/>
      <c r="Q141" s="551"/>
    </row>
    <row r="142" spans="1:17" s="253" customFormat="1" ht="20.100000000000001" hidden="1" customHeight="1" x14ac:dyDescent="0.25">
      <c r="A142" s="253" t="str">
        <f t="shared" si="10"/>
        <v/>
      </c>
      <c r="B142" s="584" t="str">
        <f>IF(LEN(A142)&gt;2,VLOOKUP(A142,COPY!$A$2:$O$1000,4,FALSE),"")</f>
        <v/>
      </c>
      <c r="C142" s="585" t="str">
        <f>IF(LEN(A142)&gt;2,VLOOKUP(A142,COPY!$A$2:$O$1000,15,FALSE),"")</f>
        <v/>
      </c>
      <c r="D142" s="542" t="str">
        <f>IF(LEN(A142)&gt;2,VLOOKUP(A142,COPY!$A$2:$O$1000,2,FALSE),"")</f>
        <v/>
      </c>
      <c r="E142" s="607" t="str">
        <f>IF(LEN(A142)&gt;2,VLOOKUP(A142,COPY!$A$2:$O$1000,10,FALSE),"")</f>
        <v/>
      </c>
      <c r="F142" s="542" t="str">
        <f>IF(LEN(A142)&gt;2,VLOOKUP(A142,COPY!$A$2:$O$1000,8,FALSE),"")</f>
        <v/>
      </c>
      <c r="G142" s="543" t="str">
        <f>IF(LEN(A142)&gt;2,VLOOKUP(A142,COPY!$A$2:$O$1000,7,FALSE),"")</f>
        <v/>
      </c>
      <c r="H142" s="544" t="str">
        <f t="shared" si="7"/>
        <v/>
      </c>
      <c r="I142" s="545" t="str">
        <f>IFERROR(IF(LEN(A142)&gt;2,VLOOKUP(A142,COPY!$A$2:$O$1000,13,FALSE),"")/E142,"")</f>
        <v/>
      </c>
      <c r="J142" s="546"/>
      <c r="K142" s="547" t="str">
        <f t="shared" si="8"/>
        <v/>
      </c>
      <c r="L142" s="548" t="str">
        <f t="shared" si="13"/>
        <v/>
      </c>
      <c r="M142" s="549">
        <f t="shared" si="9"/>
        <v>0</v>
      </c>
      <c r="O142" s="538" t="str">
        <f t="shared" si="14"/>
        <v/>
      </c>
      <c r="P142" s="550"/>
      <c r="Q142" s="551"/>
    </row>
    <row r="143" spans="1:17" s="253" customFormat="1" ht="20.100000000000001" hidden="1" customHeight="1" x14ac:dyDescent="0.25">
      <c r="A143" s="253" t="str">
        <f t="shared" si="10"/>
        <v/>
      </c>
      <c r="B143" s="584" t="str">
        <f>IF(LEN(A143)&gt;2,VLOOKUP(A143,COPY!$A$2:$O$1000,4,FALSE),"")</f>
        <v/>
      </c>
      <c r="C143" s="585" t="str">
        <f>IF(LEN(A143)&gt;2,VLOOKUP(A143,COPY!$A$2:$O$1000,15,FALSE),"")</f>
        <v/>
      </c>
      <c r="D143" s="542" t="str">
        <f>IF(LEN(A143)&gt;2,VLOOKUP(A143,COPY!$A$2:$O$1000,2,FALSE),"")</f>
        <v/>
      </c>
      <c r="E143" s="607" t="str">
        <f>IF(LEN(A143)&gt;2,VLOOKUP(A143,COPY!$A$2:$O$1000,10,FALSE),"")</f>
        <v/>
      </c>
      <c r="F143" s="542" t="str">
        <f>IF(LEN(A143)&gt;2,VLOOKUP(A143,COPY!$A$2:$O$1000,8,FALSE),"")</f>
        <v/>
      </c>
      <c r="G143" s="543" t="str">
        <f>IF(LEN(A143)&gt;2,VLOOKUP(A143,COPY!$A$2:$O$1000,7,FALSE),"")</f>
        <v/>
      </c>
      <c r="H143" s="544" t="str">
        <f t="shared" ref="H143:H167" si="15">IF(TEXT(D143,0)="Beli","@","")</f>
        <v/>
      </c>
      <c r="I143" s="545" t="str">
        <f>IFERROR(IF(LEN(A143)&gt;2,VLOOKUP(A143,COPY!$A$2:$O$1000,13,FALSE),"")/E143,"")</f>
        <v/>
      </c>
      <c r="J143" s="546"/>
      <c r="K143" s="547" t="str">
        <f t="shared" ref="K143:K167" si="16">IF(E143="","",IF(E143=0,I143,IF(E143&gt;0,E143*I143,0)))</f>
        <v/>
      </c>
      <c r="L143" s="548" t="str">
        <f t="shared" si="13"/>
        <v/>
      </c>
      <c r="M143" s="549">
        <f t="shared" ref="M143:M167" si="17">IF(O143&lt;0,O143,IF(O143&gt;=0,0,0))</f>
        <v>0</v>
      </c>
      <c r="O143" s="538" t="str">
        <f t="shared" si="14"/>
        <v/>
      </c>
      <c r="P143" s="550"/>
      <c r="Q143" s="551"/>
    </row>
    <row r="144" spans="1:17" s="253" customFormat="1" ht="20.100000000000001" hidden="1" customHeight="1" x14ac:dyDescent="0.25">
      <c r="A144" s="253" t="str">
        <f t="shared" ref="A144:A169" si="18">IF(LEN(A143)&gt;2,$D$4&amp;"."&amp;IF(ROW()-ROW($A$15)+1&lt;=$A$10,ROW()-ROW($A$15)+1,""),"")</f>
        <v/>
      </c>
      <c r="B144" s="584" t="str">
        <f>IF(LEN(A144)&gt;2,VLOOKUP(A144,COPY!$A$2:$O$1000,4,FALSE),"")</f>
        <v/>
      </c>
      <c r="C144" s="585" t="str">
        <f>IF(LEN(A144)&gt;2,VLOOKUP(A144,COPY!$A$2:$O$1000,15,FALSE),"")</f>
        <v/>
      </c>
      <c r="D144" s="542" t="str">
        <f>IF(LEN(A144)&gt;2,VLOOKUP(A144,COPY!$A$2:$O$1000,2,FALSE),"")</f>
        <v/>
      </c>
      <c r="E144" s="607" t="str">
        <f>IF(LEN(A144)&gt;2,VLOOKUP(A144,COPY!$A$2:$O$1000,10,FALSE),"")</f>
        <v/>
      </c>
      <c r="F144" s="542" t="str">
        <f>IF(LEN(A144)&gt;2,VLOOKUP(A144,COPY!$A$2:$O$1000,8,FALSE),"")</f>
        <v/>
      </c>
      <c r="G144" s="543" t="str">
        <f>IF(LEN(A144)&gt;2,VLOOKUP(A144,COPY!$A$2:$O$1000,7,FALSE),"")</f>
        <v/>
      </c>
      <c r="H144" s="544" t="str">
        <f t="shared" si="15"/>
        <v/>
      </c>
      <c r="I144" s="545" t="str">
        <f>IFERROR(IF(LEN(A144)&gt;2,VLOOKUP(A144,COPY!$A$2:$O$1000,13,FALSE),"")/E144,"")</f>
        <v/>
      </c>
      <c r="J144" s="546"/>
      <c r="K144" s="547" t="str">
        <f t="shared" si="16"/>
        <v/>
      </c>
      <c r="L144" s="548" t="str">
        <f t="shared" si="13"/>
        <v/>
      </c>
      <c r="M144" s="549">
        <f t="shared" si="17"/>
        <v>0</v>
      </c>
      <c r="O144" s="538" t="str">
        <f t="shared" si="14"/>
        <v/>
      </c>
      <c r="P144" s="550"/>
      <c r="Q144" s="551"/>
    </row>
    <row r="145" spans="1:17" s="253" customFormat="1" ht="20.100000000000001" hidden="1" customHeight="1" x14ac:dyDescent="0.25">
      <c r="A145" s="253" t="str">
        <f t="shared" si="18"/>
        <v/>
      </c>
      <c r="B145" s="584" t="str">
        <f>IF(LEN(A145)&gt;2,VLOOKUP(A145,COPY!$A$2:$O$1000,4,FALSE),"")</f>
        <v/>
      </c>
      <c r="C145" s="585" t="str">
        <f>IF(LEN(A145)&gt;2,VLOOKUP(A145,COPY!$A$2:$O$1000,15,FALSE),"")</f>
        <v/>
      </c>
      <c r="D145" s="542" t="str">
        <f>IF(LEN(A145)&gt;2,VLOOKUP(A145,COPY!$A$2:$O$1000,2,FALSE),"")</f>
        <v/>
      </c>
      <c r="E145" s="607" t="str">
        <f>IF(LEN(A145)&gt;2,VLOOKUP(A145,COPY!$A$2:$O$1000,10,FALSE),"")</f>
        <v/>
      </c>
      <c r="F145" s="542" t="str">
        <f>IF(LEN(A145)&gt;2,VLOOKUP(A145,COPY!$A$2:$O$1000,8,FALSE),"")</f>
        <v/>
      </c>
      <c r="G145" s="543" t="str">
        <f>IF(LEN(A145)&gt;2,VLOOKUP(A145,COPY!$A$2:$O$1000,7,FALSE),"")</f>
        <v/>
      </c>
      <c r="H145" s="544" t="str">
        <f t="shared" si="15"/>
        <v/>
      </c>
      <c r="I145" s="545" t="str">
        <f>IFERROR(IF(LEN(A145)&gt;2,VLOOKUP(A145,COPY!$A$2:$O$1000,13,FALSE),"")/E145,"")</f>
        <v/>
      </c>
      <c r="J145" s="546"/>
      <c r="K145" s="547" t="str">
        <f t="shared" si="16"/>
        <v/>
      </c>
      <c r="L145" s="548" t="str">
        <f t="shared" si="13"/>
        <v/>
      </c>
      <c r="M145" s="549">
        <f t="shared" si="17"/>
        <v>0</v>
      </c>
      <c r="O145" s="538" t="str">
        <f t="shared" si="14"/>
        <v/>
      </c>
      <c r="P145" s="550"/>
      <c r="Q145" s="551"/>
    </row>
    <row r="146" spans="1:17" s="253" customFormat="1" ht="20.100000000000001" hidden="1" customHeight="1" x14ac:dyDescent="0.25">
      <c r="A146" s="253" t="str">
        <f t="shared" si="18"/>
        <v/>
      </c>
      <c r="B146" s="584" t="str">
        <f>IF(LEN(A146)&gt;2,VLOOKUP(A146,COPY!$A$2:$O$1000,4,FALSE),"")</f>
        <v/>
      </c>
      <c r="C146" s="585" t="str">
        <f>IF(LEN(A146)&gt;2,VLOOKUP(A146,COPY!$A$2:$O$1000,15,FALSE),"")</f>
        <v/>
      </c>
      <c r="D146" s="542" t="str">
        <f>IF(LEN(A146)&gt;2,VLOOKUP(A146,COPY!$A$2:$O$1000,2,FALSE),"")</f>
        <v/>
      </c>
      <c r="E146" s="607" t="str">
        <f>IF(LEN(A146)&gt;2,VLOOKUP(A146,COPY!$A$2:$O$1000,10,FALSE),"")</f>
        <v/>
      </c>
      <c r="F146" s="542" t="str">
        <f>IF(LEN(A146)&gt;2,VLOOKUP(A146,COPY!$A$2:$O$1000,8,FALSE),"")</f>
        <v/>
      </c>
      <c r="G146" s="543" t="str">
        <f>IF(LEN(A146)&gt;2,VLOOKUP(A146,COPY!$A$2:$O$1000,7,FALSE),"")</f>
        <v/>
      </c>
      <c r="H146" s="544" t="str">
        <f t="shared" si="15"/>
        <v/>
      </c>
      <c r="I146" s="545" t="str">
        <f>IFERROR(IF(LEN(A146)&gt;2,VLOOKUP(A146,COPY!$A$2:$O$1000,13,FALSE),"")/E146,"")</f>
        <v/>
      </c>
      <c r="J146" s="546"/>
      <c r="K146" s="547" t="str">
        <f t="shared" si="16"/>
        <v/>
      </c>
      <c r="L146" s="548" t="str">
        <f t="shared" si="13"/>
        <v/>
      </c>
      <c r="M146" s="549">
        <f t="shared" si="17"/>
        <v>0</v>
      </c>
      <c r="O146" s="538" t="str">
        <f t="shared" si="14"/>
        <v/>
      </c>
      <c r="P146" s="550"/>
      <c r="Q146" s="551"/>
    </row>
    <row r="147" spans="1:17" s="253" customFormat="1" ht="20.100000000000001" hidden="1" customHeight="1" x14ac:dyDescent="0.25">
      <c r="A147" s="253" t="str">
        <f t="shared" si="18"/>
        <v/>
      </c>
      <c r="B147" s="584" t="str">
        <f>IF(LEN(A147)&gt;2,VLOOKUP(A147,COPY!$A$2:$O$1000,4,FALSE),"")</f>
        <v/>
      </c>
      <c r="C147" s="585" t="str">
        <f>IF(LEN(A147)&gt;2,VLOOKUP(A147,COPY!$A$2:$O$1000,15,FALSE),"")</f>
        <v/>
      </c>
      <c r="D147" s="542" t="str">
        <f>IF(LEN(A147)&gt;2,VLOOKUP(A147,COPY!$A$2:$O$1000,2,FALSE),"")</f>
        <v/>
      </c>
      <c r="E147" s="607" t="str">
        <f>IF(LEN(A147)&gt;2,VLOOKUP(A147,COPY!$A$2:$O$1000,10,FALSE),"")</f>
        <v/>
      </c>
      <c r="F147" s="542" t="str">
        <f>IF(LEN(A147)&gt;2,VLOOKUP(A147,COPY!$A$2:$O$1000,8,FALSE),"")</f>
        <v/>
      </c>
      <c r="G147" s="543" t="str">
        <f>IF(LEN(A147)&gt;2,VLOOKUP(A147,COPY!$A$2:$O$1000,7,FALSE),"")</f>
        <v/>
      </c>
      <c r="H147" s="544" t="str">
        <f t="shared" si="15"/>
        <v/>
      </c>
      <c r="I147" s="545" t="str">
        <f>IFERROR(IF(LEN(A147)&gt;2,VLOOKUP(A147,COPY!$A$2:$O$1000,13,FALSE),"")/E147,"")</f>
        <v/>
      </c>
      <c r="J147" s="546"/>
      <c r="K147" s="547" t="str">
        <f t="shared" si="16"/>
        <v/>
      </c>
      <c r="L147" s="548" t="str">
        <f t="shared" si="13"/>
        <v/>
      </c>
      <c r="M147" s="549">
        <f t="shared" si="17"/>
        <v>0</v>
      </c>
      <c r="O147" s="538" t="str">
        <f t="shared" si="14"/>
        <v/>
      </c>
      <c r="P147" s="550"/>
      <c r="Q147" s="551"/>
    </row>
    <row r="148" spans="1:17" s="253" customFormat="1" ht="20.100000000000001" hidden="1" customHeight="1" x14ac:dyDescent="0.25">
      <c r="A148" s="253" t="str">
        <f t="shared" si="18"/>
        <v/>
      </c>
      <c r="B148" s="584" t="str">
        <f>IF(LEN(A148)&gt;2,VLOOKUP(A148,COPY!$A$2:$O$1000,4,FALSE),"")</f>
        <v/>
      </c>
      <c r="C148" s="585" t="str">
        <f>IF(LEN(A148)&gt;2,VLOOKUP(A148,COPY!$A$2:$O$1000,15,FALSE),"")</f>
        <v/>
      </c>
      <c r="D148" s="542" t="str">
        <f>IF(LEN(A148)&gt;2,VLOOKUP(A148,COPY!$A$2:$O$1000,2,FALSE),"")</f>
        <v/>
      </c>
      <c r="E148" s="607" t="str">
        <f>IF(LEN(A148)&gt;2,VLOOKUP(A148,COPY!$A$2:$O$1000,10,FALSE),"")</f>
        <v/>
      </c>
      <c r="F148" s="542" t="str">
        <f>IF(LEN(A148)&gt;2,VLOOKUP(A148,COPY!$A$2:$O$1000,8,FALSE),"")</f>
        <v/>
      </c>
      <c r="G148" s="543" t="str">
        <f>IF(LEN(A148)&gt;2,VLOOKUP(A148,COPY!$A$2:$O$1000,7,FALSE),"")</f>
        <v/>
      </c>
      <c r="H148" s="544" t="str">
        <f t="shared" si="15"/>
        <v/>
      </c>
      <c r="I148" s="545" t="str">
        <f>IFERROR(IF(LEN(A148)&gt;2,VLOOKUP(A148,COPY!$A$2:$O$1000,13,FALSE),"")/E148,"")</f>
        <v/>
      </c>
      <c r="J148" s="546"/>
      <c r="K148" s="547" t="str">
        <f t="shared" si="16"/>
        <v/>
      </c>
      <c r="L148" s="548" t="str">
        <f t="shared" si="13"/>
        <v/>
      </c>
      <c r="M148" s="549">
        <f t="shared" si="17"/>
        <v>0</v>
      </c>
      <c r="O148" s="538" t="str">
        <f t="shared" si="14"/>
        <v/>
      </c>
      <c r="P148" s="550"/>
      <c r="Q148" s="551"/>
    </row>
    <row r="149" spans="1:17" s="253" customFormat="1" ht="20.100000000000001" hidden="1" customHeight="1" x14ac:dyDescent="0.25">
      <c r="A149" s="253" t="str">
        <f t="shared" si="18"/>
        <v/>
      </c>
      <c r="B149" s="584" t="str">
        <f>IF(LEN(A149)&gt;2,VLOOKUP(A149,COPY!$A$2:$O$1000,4,FALSE),"")</f>
        <v/>
      </c>
      <c r="C149" s="585" t="str">
        <f>IF(LEN(A149)&gt;2,VLOOKUP(A149,COPY!$A$2:$O$1000,15,FALSE),"")</f>
        <v/>
      </c>
      <c r="D149" s="542" t="str">
        <f>IF(LEN(A149)&gt;2,VLOOKUP(A149,COPY!$A$2:$O$1000,2,FALSE),"")</f>
        <v/>
      </c>
      <c r="E149" s="607" t="str">
        <f>IF(LEN(A149)&gt;2,VLOOKUP(A149,COPY!$A$2:$O$1000,10,FALSE),"")</f>
        <v/>
      </c>
      <c r="F149" s="542" t="str">
        <f>IF(LEN(A149)&gt;2,VLOOKUP(A149,COPY!$A$2:$O$1000,8,FALSE),"")</f>
        <v/>
      </c>
      <c r="G149" s="543" t="str">
        <f>IF(LEN(A149)&gt;2,VLOOKUP(A149,COPY!$A$2:$O$1000,7,FALSE),"")</f>
        <v/>
      </c>
      <c r="H149" s="544" t="str">
        <f t="shared" si="15"/>
        <v/>
      </c>
      <c r="I149" s="545" t="str">
        <f>IFERROR(IF(LEN(A149)&gt;2,VLOOKUP(A149,COPY!$A$2:$O$1000,13,FALSE),"")/E149,"")</f>
        <v/>
      </c>
      <c r="J149" s="546"/>
      <c r="K149" s="547" t="str">
        <f t="shared" si="16"/>
        <v/>
      </c>
      <c r="L149" s="548" t="str">
        <f t="shared" si="13"/>
        <v/>
      </c>
      <c r="M149" s="549">
        <f t="shared" si="17"/>
        <v>0</v>
      </c>
      <c r="O149" s="538" t="str">
        <f t="shared" si="14"/>
        <v/>
      </c>
      <c r="P149" s="550"/>
      <c r="Q149" s="551"/>
    </row>
    <row r="150" spans="1:17" s="253" customFormat="1" ht="20.100000000000001" hidden="1" customHeight="1" x14ac:dyDescent="0.25">
      <c r="A150" s="253" t="str">
        <f t="shared" si="18"/>
        <v/>
      </c>
      <c r="B150" s="584" t="str">
        <f>IF(LEN(A150)&gt;2,VLOOKUP(A150,COPY!$A$2:$O$1000,4,FALSE),"")</f>
        <v/>
      </c>
      <c r="C150" s="585" t="str">
        <f>IF(LEN(A150)&gt;2,VLOOKUP(A150,COPY!$A$2:$O$1000,15,FALSE),"")</f>
        <v/>
      </c>
      <c r="D150" s="542" t="str">
        <f>IF(LEN(A150)&gt;2,VLOOKUP(A150,COPY!$A$2:$O$1000,2,FALSE),"")</f>
        <v/>
      </c>
      <c r="E150" s="607" t="str">
        <f>IF(LEN(A150)&gt;2,VLOOKUP(A150,COPY!$A$2:$O$1000,10,FALSE),"")</f>
        <v/>
      </c>
      <c r="F150" s="542" t="str">
        <f>IF(LEN(A150)&gt;2,VLOOKUP(A150,COPY!$A$2:$O$1000,8,FALSE),"")</f>
        <v/>
      </c>
      <c r="G150" s="543" t="str">
        <f>IF(LEN(A150)&gt;2,VLOOKUP(A150,COPY!$A$2:$O$1000,7,FALSE),"")</f>
        <v/>
      </c>
      <c r="H150" s="544" t="str">
        <f t="shared" si="15"/>
        <v/>
      </c>
      <c r="I150" s="545" t="str">
        <f>IFERROR(IF(LEN(A150)&gt;2,VLOOKUP(A150,COPY!$A$2:$O$1000,13,FALSE),"")/E150,"")</f>
        <v/>
      </c>
      <c r="J150" s="546"/>
      <c r="K150" s="547" t="str">
        <f t="shared" si="16"/>
        <v/>
      </c>
      <c r="L150" s="548" t="str">
        <f t="shared" si="13"/>
        <v/>
      </c>
      <c r="M150" s="549">
        <f t="shared" si="17"/>
        <v>0</v>
      </c>
      <c r="O150" s="538" t="str">
        <f t="shared" si="14"/>
        <v/>
      </c>
      <c r="P150" s="550"/>
      <c r="Q150" s="551"/>
    </row>
    <row r="151" spans="1:17" s="253" customFormat="1" ht="20.100000000000001" hidden="1" customHeight="1" x14ac:dyDescent="0.25">
      <c r="A151" s="253" t="str">
        <f t="shared" si="18"/>
        <v/>
      </c>
      <c r="B151" s="584" t="str">
        <f>IF(LEN(A151)&gt;2,VLOOKUP(A151,COPY!$A$2:$O$1000,4,FALSE),"")</f>
        <v/>
      </c>
      <c r="C151" s="585" t="str">
        <f>IF(LEN(A151)&gt;2,VLOOKUP(A151,COPY!$A$2:$O$1000,15,FALSE),"")</f>
        <v/>
      </c>
      <c r="D151" s="542" t="str">
        <f>IF(LEN(A151)&gt;2,VLOOKUP(A151,COPY!$A$2:$O$1000,2,FALSE),"")</f>
        <v/>
      </c>
      <c r="E151" s="607" t="str">
        <f>IF(LEN(A151)&gt;2,VLOOKUP(A151,COPY!$A$2:$O$1000,10,FALSE),"")</f>
        <v/>
      </c>
      <c r="F151" s="542" t="str">
        <f>IF(LEN(A151)&gt;2,VLOOKUP(A151,COPY!$A$2:$O$1000,8,FALSE),"")</f>
        <v/>
      </c>
      <c r="G151" s="543" t="str">
        <f>IF(LEN(A151)&gt;2,VLOOKUP(A151,COPY!$A$2:$O$1000,7,FALSE),"")</f>
        <v/>
      </c>
      <c r="H151" s="544" t="str">
        <f t="shared" si="15"/>
        <v/>
      </c>
      <c r="I151" s="545" t="str">
        <f>IFERROR(IF(LEN(A151)&gt;2,VLOOKUP(A151,COPY!$A$2:$O$1000,13,FALSE),"")/E151,"")</f>
        <v/>
      </c>
      <c r="J151" s="546"/>
      <c r="K151" s="547" t="str">
        <f t="shared" si="16"/>
        <v/>
      </c>
      <c r="L151" s="548" t="str">
        <f t="shared" si="13"/>
        <v/>
      </c>
      <c r="M151" s="549">
        <f t="shared" si="17"/>
        <v>0</v>
      </c>
      <c r="O151" s="538" t="str">
        <f t="shared" si="14"/>
        <v/>
      </c>
      <c r="P151" s="550"/>
      <c r="Q151" s="551"/>
    </row>
    <row r="152" spans="1:17" s="253" customFormat="1" ht="20.100000000000001" hidden="1" customHeight="1" x14ac:dyDescent="0.25">
      <c r="A152" s="253" t="str">
        <f t="shared" si="18"/>
        <v/>
      </c>
      <c r="B152" s="584" t="str">
        <f>IF(LEN(A152)&gt;2,VLOOKUP(A152,COPY!$A$2:$O$1000,4,FALSE),"")</f>
        <v/>
      </c>
      <c r="C152" s="585" t="str">
        <f>IF(LEN(A152)&gt;2,VLOOKUP(A152,COPY!$A$2:$O$1000,15,FALSE),"")</f>
        <v/>
      </c>
      <c r="D152" s="542" t="str">
        <f>IF(LEN(A152)&gt;2,VLOOKUP(A152,COPY!$A$2:$O$1000,2,FALSE),"")</f>
        <v/>
      </c>
      <c r="E152" s="607" t="str">
        <f>IF(LEN(A152)&gt;2,VLOOKUP(A152,COPY!$A$2:$O$1000,10,FALSE),"")</f>
        <v/>
      </c>
      <c r="F152" s="542" t="str">
        <f>IF(LEN(A152)&gt;2,VLOOKUP(A152,COPY!$A$2:$O$1000,8,FALSE),"")</f>
        <v/>
      </c>
      <c r="G152" s="543" t="str">
        <f>IF(LEN(A152)&gt;2,VLOOKUP(A152,COPY!$A$2:$O$1000,7,FALSE),"")</f>
        <v/>
      </c>
      <c r="H152" s="544" t="str">
        <f t="shared" si="15"/>
        <v/>
      </c>
      <c r="I152" s="545" t="str">
        <f>IFERROR(IF(LEN(A152)&gt;2,VLOOKUP(A152,COPY!$A$2:$O$1000,13,FALSE),"")/E152,"")</f>
        <v/>
      </c>
      <c r="J152" s="546"/>
      <c r="K152" s="547" t="str">
        <f t="shared" si="16"/>
        <v/>
      </c>
      <c r="L152" s="548" t="str">
        <f t="shared" si="13"/>
        <v/>
      </c>
      <c r="M152" s="549">
        <f t="shared" si="17"/>
        <v>0</v>
      </c>
      <c r="O152" s="538" t="str">
        <f t="shared" si="14"/>
        <v/>
      </c>
      <c r="P152" s="550"/>
      <c r="Q152" s="551"/>
    </row>
    <row r="153" spans="1:17" s="253" customFormat="1" ht="20.100000000000001" hidden="1" customHeight="1" x14ac:dyDescent="0.25">
      <c r="A153" s="253" t="str">
        <f t="shared" si="18"/>
        <v/>
      </c>
      <c r="B153" s="584" t="str">
        <f>IF(LEN(A153)&gt;2,VLOOKUP(A153,COPY!$A$2:$O$1000,4,FALSE),"")</f>
        <v/>
      </c>
      <c r="C153" s="585" t="str">
        <f>IF(LEN(A153)&gt;2,VLOOKUP(A153,COPY!$A$2:$O$1000,15,FALSE),"")</f>
        <v/>
      </c>
      <c r="D153" s="542" t="str">
        <f>IF(LEN(A153)&gt;2,VLOOKUP(A153,COPY!$A$2:$O$1000,2,FALSE),"")</f>
        <v/>
      </c>
      <c r="E153" s="607" t="str">
        <f>IF(LEN(A153)&gt;2,VLOOKUP(A153,COPY!$A$2:$O$1000,10,FALSE),"")</f>
        <v/>
      </c>
      <c r="F153" s="542" t="str">
        <f>IF(LEN(A153)&gt;2,VLOOKUP(A153,COPY!$A$2:$O$1000,8,FALSE),"")</f>
        <v/>
      </c>
      <c r="G153" s="543" t="str">
        <f>IF(LEN(A153)&gt;2,VLOOKUP(A153,COPY!$A$2:$O$1000,7,FALSE),"")</f>
        <v/>
      </c>
      <c r="H153" s="544" t="str">
        <f t="shared" si="15"/>
        <v/>
      </c>
      <c r="I153" s="545" t="str">
        <f>IFERROR(IF(LEN(A153)&gt;2,VLOOKUP(A153,COPY!$A$2:$O$1000,13,FALSE),"")/E153,"")</f>
        <v/>
      </c>
      <c r="J153" s="546"/>
      <c r="K153" s="547" t="str">
        <f t="shared" si="16"/>
        <v/>
      </c>
      <c r="L153" s="548" t="str">
        <f t="shared" si="13"/>
        <v/>
      </c>
      <c r="M153" s="549">
        <f t="shared" si="17"/>
        <v>0</v>
      </c>
      <c r="O153" s="538" t="str">
        <f t="shared" si="14"/>
        <v/>
      </c>
      <c r="P153" s="550"/>
      <c r="Q153" s="551"/>
    </row>
    <row r="154" spans="1:17" s="253" customFormat="1" ht="20.100000000000001" hidden="1" customHeight="1" x14ac:dyDescent="0.25">
      <c r="A154" s="253" t="str">
        <f t="shared" si="18"/>
        <v/>
      </c>
      <c r="B154" s="584" t="str">
        <f>IF(LEN(A154)&gt;2,VLOOKUP(A154,COPY!$A$2:$O$1000,4,FALSE),"")</f>
        <v/>
      </c>
      <c r="C154" s="585" t="str">
        <f>IF(LEN(A154)&gt;2,VLOOKUP(A154,COPY!$A$2:$O$1000,15,FALSE),"")</f>
        <v/>
      </c>
      <c r="D154" s="542" t="str">
        <f>IF(LEN(A154)&gt;2,VLOOKUP(A154,COPY!$A$2:$O$1000,2,FALSE),"")</f>
        <v/>
      </c>
      <c r="E154" s="607" t="str">
        <f>IF(LEN(A154)&gt;2,VLOOKUP(A154,COPY!$A$2:$O$1000,10,FALSE),"")</f>
        <v/>
      </c>
      <c r="F154" s="542" t="str">
        <f>IF(LEN(A154)&gt;2,VLOOKUP(A154,COPY!$A$2:$O$1000,8,FALSE),"")</f>
        <v/>
      </c>
      <c r="G154" s="543" t="str">
        <f>IF(LEN(A154)&gt;2,VLOOKUP(A154,COPY!$A$2:$O$1000,7,FALSE),"")</f>
        <v/>
      </c>
      <c r="H154" s="544" t="str">
        <f t="shared" si="15"/>
        <v/>
      </c>
      <c r="I154" s="545" t="str">
        <f>IFERROR(IF(LEN(A154)&gt;2,VLOOKUP(A154,COPY!$A$2:$O$1000,13,FALSE),"")/E154,"")</f>
        <v/>
      </c>
      <c r="J154" s="546"/>
      <c r="K154" s="547" t="str">
        <f t="shared" si="16"/>
        <v/>
      </c>
      <c r="L154" s="548" t="str">
        <f t="shared" si="13"/>
        <v/>
      </c>
      <c r="M154" s="549">
        <f t="shared" si="17"/>
        <v>0</v>
      </c>
      <c r="O154" s="538" t="str">
        <f t="shared" si="14"/>
        <v/>
      </c>
      <c r="P154" s="550"/>
      <c r="Q154" s="551"/>
    </row>
    <row r="155" spans="1:17" s="253" customFormat="1" ht="20.100000000000001" hidden="1" customHeight="1" x14ac:dyDescent="0.25">
      <c r="A155" s="253" t="str">
        <f t="shared" si="18"/>
        <v/>
      </c>
      <c r="B155" s="584" t="str">
        <f>IF(LEN(A155)&gt;2,VLOOKUP(A155,COPY!$A$2:$O$1000,4,FALSE),"")</f>
        <v/>
      </c>
      <c r="C155" s="585" t="str">
        <f>IF(LEN(A155)&gt;2,VLOOKUP(A155,COPY!$A$2:$O$1000,15,FALSE),"")</f>
        <v/>
      </c>
      <c r="D155" s="542" t="str">
        <f>IF(LEN(A155)&gt;2,VLOOKUP(A155,COPY!$A$2:$O$1000,2,FALSE),"")</f>
        <v/>
      </c>
      <c r="E155" s="607" t="str">
        <f>IF(LEN(A155)&gt;2,VLOOKUP(A155,COPY!$A$2:$O$1000,10,FALSE),"")</f>
        <v/>
      </c>
      <c r="F155" s="542" t="str">
        <f>IF(LEN(A155)&gt;2,VLOOKUP(A155,COPY!$A$2:$O$1000,8,FALSE),"")</f>
        <v/>
      </c>
      <c r="G155" s="543" t="str">
        <f>IF(LEN(A155)&gt;2,VLOOKUP(A155,COPY!$A$2:$O$1000,7,FALSE),"")</f>
        <v/>
      </c>
      <c r="H155" s="544" t="str">
        <f t="shared" si="15"/>
        <v/>
      </c>
      <c r="I155" s="545" t="str">
        <f>IFERROR(IF(LEN(A155)&gt;2,VLOOKUP(A155,COPY!$A$2:$O$1000,13,FALSE),"")/E155,"")</f>
        <v/>
      </c>
      <c r="J155" s="546"/>
      <c r="K155" s="547" t="str">
        <f t="shared" si="16"/>
        <v/>
      </c>
      <c r="L155" s="548" t="str">
        <f t="shared" si="13"/>
        <v/>
      </c>
      <c r="M155" s="549">
        <f t="shared" si="17"/>
        <v>0</v>
      </c>
      <c r="O155" s="538" t="str">
        <f t="shared" si="14"/>
        <v/>
      </c>
      <c r="P155" s="550"/>
      <c r="Q155" s="551"/>
    </row>
    <row r="156" spans="1:17" s="253" customFormat="1" ht="20.100000000000001" hidden="1" customHeight="1" x14ac:dyDescent="0.25">
      <c r="A156" s="253" t="str">
        <f t="shared" si="18"/>
        <v/>
      </c>
      <c r="B156" s="584" t="str">
        <f>IF(LEN(A156)&gt;2,VLOOKUP(A156,COPY!$A$2:$O$1000,4,FALSE),"")</f>
        <v/>
      </c>
      <c r="C156" s="585" t="str">
        <f>IF(LEN(A156)&gt;2,VLOOKUP(A156,COPY!$A$2:$O$1000,15,FALSE),"")</f>
        <v/>
      </c>
      <c r="D156" s="542" t="str">
        <f>IF(LEN(A156)&gt;2,VLOOKUP(A156,COPY!$A$2:$O$1000,2,FALSE),"")</f>
        <v/>
      </c>
      <c r="E156" s="607" t="str">
        <f>IF(LEN(A156)&gt;2,VLOOKUP(A156,COPY!$A$2:$O$1000,10,FALSE),"")</f>
        <v/>
      </c>
      <c r="F156" s="542" t="str">
        <f>IF(LEN(A156)&gt;2,VLOOKUP(A156,COPY!$A$2:$O$1000,8,FALSE),"")</f>
        <v/>
      </c>
      <c r="G156" s="543" t="str">
        <f>IF(LEN(A156)&gt;2,VLOOKUP(A156,COPY!$A$2:$O$1000,7,FALSE),"")</f>
        <v/>
      </c>
      <c r="H156" s="544" t="str">
        <f t="shared" si="15"/>
        <v/>
      </c>
      <c r="I156" s="545" t="str">
        <f>IFERROR(IF(LEN(A156)&gt;2,VLOOKUP(A156,COPY!$A$2:$O$1000,13,FALSE),"")/E156,"")</f>
        <v/>
      </c>
      <c r="J156" s="546"/>
      <c r="K156" s="547" t="str">
        <f t="shared" si="16"/>
        <v/>
      </c>
      <c r="L156" s="548" t="str">
        <f t="shared" si="13"/>
        <v/>
      </c>
      <c r="M156" s="549">
        <f t="shared" si="17"/>
        <v>0</v>
      </c>
      <c r="O156" s="538" t="str">
        <f t="shared" si="14"/>
        <v/>
      </c>
      <c r="P156" s="550"/>
      <c r="Q156" s="551"/>
    </row>
    <row r="157" spans="1:17" s="253" customFormat="1" ht="20.100000000000001" hidden="1" customHeight="1" x14ac:dyDescent="0.25">
      <c r="A157" s="253" t="str">
        <f t="shared" si="18"/>
        <v/>
      </c>
      <c r="B157" s="584" t="str">
        <f>IF(LEN(A157)&gt;2,VLOOKUP(A157,COPY!$A$2:$O$1000,4,FALSE),"")</f>
        <v/>
      </c>
      <c r="C157" s="585" t="str">
        <f>IF(LEN(A157)&gt;2,VLOOKUP(A157,COPY!$A$2:$O$1000,15,FALSE),"")</f>
        <v/>
      </c>
      <c r="D157" s="542" t="str">
        <f>IF(LEN(A157)&gt;2,VLOOKUP(A157,COPY!$A$2:$O$1000,2,FALSE),"")</f>
        <v/>
      </c>
      <c r="E157" s="607" t="str">
        <f>IF(LEN(A157)&gt;2,VLOOKUP(A157,COPY!$A$2:$O$1000,10,FALSE),"")</f>
        <v/>
      </c>
      <c r="F157" s="542" t="str">
        <f>IF(LEN(A157)&gt;2,VLOOKUP(A157,COPY!$A$2:$O$1000,8,FALSE),"")</f>
        <v/>
      </c>
      <c r="G157" s="543" t="str">
        <f>IF(LEN(A157)&gt;2,VLOOKUP(A157,COPY!$A$2:$O$1000,7,FALSE),"")</f>
        <v/>
      </c>
      <c r="H157" s="544" t="str">
        <f t="shared" si="15"/>
        <v/>
      </c>
      <c r="I157" s="545" t="str">
        <f>IFERROR(IF(LEN(A157)&gt;2,VLOOKUP(A157,COPY!$A$2:$O$1000,13,FALSE),"")/E157,"")</f>
        <v/>
      </c>
      <c r="J157" s="546"/>
      <c r="K157" s="547" t="str">
        <f t="shared" si="16"/>
        <v/>
      </c>
      <c r="L157" s="548" t="str">
        <f t="shared" si="13"/>
        <v/>
      </c>
      <c r="M157" s="549">
        <f t="shared" si="17"/>
        <v>0</v>
      </c>
      <c r="O157" s="538" t="str">
        <f t="shared" si="14"/>
        <v/>
      </c>
      <c r="P157" s="550"/>
      <c r="Q157" s="551"/>
    </row>
    <row r="158" spans="1:17" s="253" customFormat="1" ht="20.100000000000001" hidden="1" customHeight="1" x14ac:dyDescent="0.25">
      <c r="A158" s="253" t="str">
        <f t="shared" si="18"/>
        <v/>
      </c>
      <c r="B158" s="584" t="str">
        <f>IF(LEN(A158)&gt;2,VLOOKUP(A158,COPY!$A$2:$O$1000,4,FALSE),"")</f>
        <v/>
      </c>
      <c r="C158" s="585" t="str">
        <f>IF(LEN(A158)&gt;2,VLOOKUP(A158,COPY!$A$2:$O$1000,15,FALSE),"")</f>
        <v/>
      </c>
      <c r="D158" s="542" t="str">
        <f>IF(LEN(A158)&gt;2,VLOOKUP(A158,COPY!$A$2:$O$1000,2,FALSE),"")</f>
        <v/>
      </c>
      <c r="E158" s="607" t="str">
        <f>IF(LEN(A158)&gt;2,VLOOKUP(A158,COPY!$A$2:$O$1000,10,FALSE),"")</f>
        <v/>
      </c>
      <c r="F158" s="542" t="str">
        <f>IF(LEN(A158)&gt;2,VLOOKUP(A158,COPY!$A$2:$O$1000,8,FALSE),"")</f>
        <v/>
      </c>
      <c r="G158" s="543" t="str">
        <f>IF(LEN(A158)&gt;2,VLOOKUP(A158,COPY!$A$2:$O$1000,7,FALSE),"")</f>
        <v/>
      </c>
      <c r="H158" s="544" t="str">
        <f t="shared" si="15"/>
        <v/>
      </c>
      <c r="I158" s="545" t="str">
        <f>IFERROR(IF(LEN(A158)&gt;2,VLOOKUP(A158,COPY!$A$2:$O$1000,13,FALSE),"")/E158,"")</f>
        <v/>
      </c>
      <c r="J158" s="546"/>
      <c r="K158" s="547" t="str">
        <f t="shared" si="16"/>
        <v/>
      </c>
      <c r="L158" s="548" t="str">
        <f t="shared" si="13"/>
        <v/>
      </c>
      <c r="M158" s="549">
        <f t="shared" si="17"/>
        <v>0</v>
      </c>
      <c r="O158" s="538" t="str">
        <f t="shared" si="14"/>
        <v/>
      </c>
      <c r="P158" s="550"/>
      <c r="Q158" s="551"/>
    </row>
    <row r="159" spans="1:17" s="253" customFormat="1" ht="20.100000000000001" hidden="1" customHeight="1" x14ac:dyDescent="0.25">
      <c r="A159" s="253" t="str">
        <f t="shared" si="18"/>
        <v/>
      </c>
      <c r="B159" s="584" t="str">
        <f>IF(LEN(A159)&gt;2,VLOOKUP(A159,COPY!$A$2:$O$1000,4,FALSE),"")</f>
        <v/>
      </c>
      <c r="C159" s="585" t="str">
        <f>IF(LEN(A159)&gt;2,VLOOKUP(A159,COPY!$A$2:$O$1000,15,FALSE),"")</f>
        <v/>
      </c>
      <c r="D159" s="542" t="str">
        <f>IF(LEN(A159)&gt;2,VLOOKUP(A159,COPY!$A$2:$O$1000,2,FALSE),"")</f>
        <v/>
      </c>
      <c r="E159" s="607" t="str">
        <f>IF(LEN(A159)&gt;2,VLOOKUP(A159,COPY!$A$2:$O$1000,10,FALSE),"")</f>
        <v/>
      </c>
      <c r="F159" s="542" t="str">
        <f>IF(LEN(A159)&gt;2,VLOOKUP(A159,COPY!$A$2:$O$1000,8,FALSE),"")</f>
        <v/>
      </c>
      <c r="G159" s="543" t="str">
        <f>IF(LEN(A159)&gt;2,VLOOKUP(A159,COPY!$A$2:$O$1000,7,FALSE),"")</f>
        <v/>
      </c>
      <c r="H159" s="544" t="str">
        <f t="shared" si="15"/>
        <v/>
      </c>
      <c r="I159" s="545" t="str">
        <f>IFERROR(IF(LEN(A159)&gt;2,VLOOKUP(A159,COPY!$A$2:$O$1000,13,FALSE),"")/E159,"")</f>
        <v/>
      </c>
      <c r="J159" s="546"/>
      <c r="K159" s="547" t="str">
        <f t="shared" si="16"/>
        <v/>
      </c>
      <c r="L159" s="548" t="str">
        <f t="shared" si="13"/>
        <v/>
      </c>
      <c r="M159" s="549">
        <f t="shared" si="17"/>
        <v>0</v>
      </c>
      <c r="O159" s="538" t="str">
        <f t="shared" si="14"/>
        <v/>
      </c>
      <c r="P159" s="550"/>
      <c r="Q159" s="551"/>
    </row>
    <row r="160" spans="1:17" s="253" customFormat="1" ht="20.100000000000001" hidden="1" customHeight="1" x14ac:dyDescent="0.25">
      <c r="A160" s="253" t="str">
        <f t="shared" si="18"/>
        <v/>
      </c>
      <c r="B160" s="584" t="str">
        <f>IF(LEN(A160)&gt;2,VLOOKUP(A160,COPY!$A$2:$O$1000,4,FALSE),"")</f>
        <v/>
      </c>
      <c r="C160" s="585" t="str">
        <f>IF(LEN(A160)&gt;2,VLOOKUP(A160,COPY!$A$2:$O$1000,15,FALSE),"")</f>
        <v/>
      </c>
      <c r="D160" s="542" t="str">
        <f>IF(LEN(A160)&gt;2,VLOOKUP(A160,COPY!$A$2:$O$1000,2,FALSE),"")</f>
        <v/>
      </c>
      <c r="E160" s="607" t="str">
        <f>IF(LEN(A160)&gt;2,VLOOKUP(A160,COPY!$A$2:$O$1000,10,FALSE),"")</f>
        <v/>
      </c>
      <c r="F160" s="542" t="str">
        <f>IF(LEN(A160)&gt;2,VLOOKUP(A160,COPY!$A$2:$O$1000,8,FALSE),"")</f>
        <v/>
      </c>
      <c r="G160" s="543" t="str">
        <f>IF(LEN(A160)&gt;2,VLOOKUP(A160,COPY!$A$2:$O$1000,7,FALSE),"")</f>
        <v/>
      </c>
      <c r="H160" s="544" t="str">
        <f t="shared" si="15"/>
        <v/>
      </c>
      <c r="I160" s="545" t="str">
        <f>IFERROR(IF(LEN(A160)&gt;2,VLOOKUP(A160,COPY!$A$2:$O$1000,13,FALSE),"")/E160,"")</f>
        <v/>
      </c>
      <c r="J160" s="546"/>
      <c r="K160" s="547" t="str">
        <f t="shared" si="16"/>
        <v/>
      </c>
      <c r="L160" s="548" t="str">
        <f t="shared" si="13"/>
        <v/>
      </c>
      <c r="M160" s="549">
        <f t="shared" si="17"/>
        <v>0</v>
      </c>
      <c r="O160" s="538" t="str">
        <f t="shared" si="14"/>
        <v/>
      </c>
      <c r="P160" s="550"/>
      <c r="Q160" s="551"/>
    </row>
    <row r="161" spans="1:17" s="253" customFormat="1" ht="20.100000000000001" hidden="1" customHeight="1" x14ac:dyDescent="0.25">
      <c r="A161" s="253" t="str">
        <f t="shared" si="18"/>
        <v/>
      </c>
      <c r="B161" s="584" t="str">
        <f>IF(LEN(A161)&gt;2,VLOOKUP(A161,COPY!$A$2:$O$1000,4,FALSE),"")</f>
        <v/>
      </c>
      <c r="C161" s="585" t="str">
        <f>IF(LEN(A161)&gt;2,VLOOKUP(A161,COPY!$A$2:$O$1000,15,FALSE),"")</f>
        <v/>
      </c>
      <c r="D161" s="542" t="str">
        <f>IF(LEN(A161)&gt;2,VLOOKUP(A161,COPY!$A$2:$O$1000,2,FALSE),"")</f>
        <v/>
      </c>
      <c r="E161" s="607" t="str">
        <f>IF(LEN(A161)&gt;2,VLOOKUP(A161,COPY!$A$2:$O$1000,10,FALSE),"")</f>
        <v/>
      </c>
      <c r="F161" s="542" t="str">
        <f>IF(LEN(A161)&gt;2,VLOOKUP(A161,COPY!$A$2:$O$1000,8,FALSE),"")</f>
        <v/>
      </c>
      <c r="G161" s="543" t="str">
        <f>IF(LEN(A161)&gt;2,VLOOKUP(A161,COPY!$A$2:$O$1000,7,FALSE),"")</f>
        <v/>
      </c>
      <c r="H161" s="544" t="str">
        <f t="shared" si="15"/>
        <v/>
      </c>
      <c r="I161" s="545" t="str">
        <f>IFERROR(IF(LEN(A161)&gt;2,VLOOKUP(A161,COPY!$A$2:$O$1000,13,FALSE),"")/E161,"")</f>
        <v/>
      </c>
      <c r="J161" s="546"/>
      <c r="K161" s="547" t="str">
        <f t="shared" si="16"/>
        <v/>
      </c>
      <c r="L161" s="548" t="str">
        <f t="shared" si="13"/>
        <v/>
      </c>
      <c r="M161" s="549">
        <f t="shared" si="17"/>
        <v>0</v>
      </c>
      <c r="O161" s="538" t="str">
        <f t="shared" si="14"/>
        <v/>
      </c>
      <c r="P161" s="550"/>
      <c r="Q161" s="551"/>
    </row>
    <row r="162" spans="1:17" s="253" customFormat="1" ht="20.100000000000001" hidden="1" customHeight="1" x14ac:dyDescent="0.25">
      <c r="A162" s="253" t="str">
        <f t="shared" si="18"/>
        <v/>
      </c>
      <c r="B162" s="584" t="str">
        <f>IF(LEN(A162)&gt;2,VLOOKUP(A162,COPY!$A$2:$O$1000,4,FALSE),"")</f>
        <v/>
      </c>
      <c r="C162" s="585" t="str">
        <f>IF(LEN(A162)&gt;2,VLOOKUP(A162,COPY!$A$2:$O$1000,15,FALSE),"")</f>
        <v/>
      </c>
      <c r="D162" s="542" t="str">
        <f>IF(LEN(A162)&gt;2,VLOOKUP(A162,COPY!$A$2:$O$1000,2,FALSE),"")</f>
        <v/>
      </c>
      <c r="E162" s="607" t="str">
        <f>IF(LEN(A162)&gt;2,VLOOKUP(A162,COPY!$A$2:$O$1000,10,FALSE),"")</f>
        <v/>
      </c>
      <c r="F162" s="542" t="str">
        <f>IF(LEN(A162)&gt;2,VLOOKUP(A162,COPY!$A$2:$O$1000,8,FALSE),"")</f>
        <v/>
      </c>
      <c r="G162" s="543" t="str">
        <f>IF(LEN(A162)&gt;2,VLOOKUP(A162,COPY!$A$2:$O$1000,7,FALSE),"")</f>
        <v/>
      </c>
      <c r="H162" s="544" t="str">
        <f t="shared" si="15"/>
        <v/>
      </c>
      <c r="I162" s="545" t="str">
        <f>IFERROR(IF(LEN(A162)&gt;2,VLOOKUP(A162,COPY!$A$2:$O$1000,13,FALSE),"")/E162,"")</f>
        <v/>
      </c>
      <c r="J162" s="546"/>
      <c r="K162" s="547" t="str">
        <f t="shared" si="16"/>
        <v/>
      </c>
      <c r="L162" s="548" t="str">
        <f t="shared" si="13"/>
        <v/>
      </c>
      <c r="M162" s="549">
        <f t="shared" si="17"/>
        <v>0</v>
      </c>
      <c r="O162" s="538" t="str">
        <f t="shared" si="14"/>
        <v/>
      </c>
      <c r="P162" s="550"/>
      <c r="Q162" s="551"/>
    </row>
    <row r="163" spans="1:17" s="253" customFormat="1" ht="20.100000000000001" hidden="1" customHeight="1" x14ac:dyDescent="0.25">
      <c r="A163" s="253" t="str">
        <f t="shared" si="18"/>
        <v/>
      </c>
      <c r="B163" s="584" t="str">
        <f>IF(LEN(A163)&gt;2,VLOOKUP(A163,COPY!$A$2:$O$1000,4,FALSE),"")</f>
        <v/>
      </c>
      <c r="C163" s="585" t="str">
        <f>IF(LEN(A163)&gt;2,VLOOKUP(A163,COPY!$A$2:$O$1000,15,FALSE),"")</f>
        <v/>
      </c>
      <c r="D163" s="542" t="str">
        <f>IF(LEN(A163)&gt;2,VLOOKUP(A163,COPY!$A$2:$O$1000,2,FALSE),"")</f>
        <v/>
      </c>
      <c r="E163" s="607" t="str">
        <f>IF(LEN(A163)&gt;2,VLOOKUP(A163,COPY!$A$2:$O$1000,10,FALSE),"")</f>
        <v/>
      </c>
      <c r="F163" s="542" t="str">
        <f>IF(LEN(A163)&gt;2,VLOOKUP(A163,COPY!$A$2:$O$1000,8,FALSE),"")</f>
        <v/>
      </c>
      <c r="G163" s="543" t="str">
        <f>IF(LEN(A163)&gt;2,VLOOKUP(A163,COPY!$A$2:$O$1000,7,FALSE),"")</f>
        <v/>
      </c>
      <c r="H163" s="544" t="str">
        <f t="shared" si="15"/>
        <v/>
      </c>
      <c r="I163" s="545" t="str">
        <f>IFERROR(IF(LEN(A163)&gt;2,VLOOKUP(A163,COPY!$A$2:$O$1000,13,FALSE),"")/E163,"")</f>
        <v/>
      </c>
      <c r="J163" s="546"/>
      <c r="K163" s="547" t="str">
        <f t="shared" si="16"/>
        <v/>
      </c>
      <c r="L163" s="548" t="str">
        <f t="shared" si="13"/>
        <v/>
      </c>
      <c r="M163" s="549">
        <f t="shared" si="17"/>
        <v>0</v>
      </c>
      <c r="O163" s="538" t="str">
        <f t="shared" si="14"/>
        <v/>
      </c>
      <c r="P163" s="550"/>
      <c r="Q163" s="551"/>
    </row>
    <row r="164" spans="1:17" s="253" customFormat="1" ht="20.100000000000001" hidden="1" customHeight="1" x14ac:dyDescent="0.25">
      <c r="A164" s="253" t="str">
        <f t="shared" si="18"/>
        <v/>
      </c>
      <c r="B164" s="584" t="str">
        <f>IF(LEN(A164)&gt;2,VLOOKUP(A164,COPY!$A$2:$O$1000,4,FALSE),"")</f>
        <v/>
      </c>
      <c r="C164" s="585" t="str">
        <f>IF(LEN(A164)&gt;2,VLOOKUP(A164,COPY!$A$2:$O$1000,15,FALSE),"")</f>
        <v/>
      </c>
      <c r="D164" s="542" t="str">
        <f>IF(LEN(A164)&gt;2,VLOOKUP(A164,COPY!$A$2:$O$1000,2,FALSE),"")</f>
        <v/>
      </c>
      <c r="E164" s="607" t="str">
        <f>IF(LEN(A164)&gt;2,VLOOKUP(A164,COPY!$A$2:$O$1000,10,FALSE),"")</f>
        <v/>
      </c>
      <c r="F164" s="542" t="str">
        <f>IF(LEN(A164)&gt;2,VLOOKUP(A164,COPY!$A$2:$O$1000,8,FALSE),"")</f>
        <v/>
      </c>
      <c r="G164" s="543" t="str">
        <f>IF(LEN(A164)&gt;2,VLOOKUP(A164,COPY!$A$2:$O$1000,7,FALSE),"")</f>
        <v/>
      </c>
      <c r="H164" s="544" t="str">
        <f t="shared" si="15"/>
        <v/>
      </c>
      <c r="I164" s="545" t="str">
        <f>IFERROR(IF(LEN(A164)&gt;2,VLOOKUP(A164,COPY!$A$2:$O$1000,13,FALSE),"")/E164,"")</f>
        <v/>
      </c>
      <c r="J164" s="546"/>
      <c r="K164" s="547" t="str">
        <f t="shared" si="16"/>
        <v/>
      </c>
      <c r="L164" s="548" t="str">
        <f t="shared" si="13"/>
        <v/>
      </c>
      <c r="M164" s="549">
        <f t="shared" si="17"/>
        <v>0</v>
      </c>
      <c r="O164" s="538" t="str">
        <f t="shared" si="14"/>
        <v/>
      </c>
      <c r="P164" s="550"/>
      <c r="Q164" s="551"/>
    </row>
    <row r="165" spans="1:17" s="253" customFormat="1" ht="20.100000000000001" hidden="1" customHeight="1" x14ac:dyDescent="0.25">
      <c r="A165" s="253" t="str">
        <f t="shared" si="18"/>
        <v/>
      </c>
      <c r="B165" s="584" t="str">
        <f>IF(LEN(A165)&gt;2,VLOOKUP(A165,COPY!$A$2:$O$1000,4,FALSE),"")</f>
        <v/>
      </c>
      <c r="C165" s="585" t="str">
        <f>IF(LEN(A165)&gt;2,VLOOKUP(A165,COPY!$A$2:$O$1000,15,FALSE),"")</f>
        <v/>
      </c>
      <c r="D165" s="542" t="str">
        <f>IF(LEN(A165)&gt;2,VLOOKUP(A165,COPY!$A$2:$O$1000,2,FALSE),"")</f>
        <v/>
      </c>
      <c r="E165" s="607" t="str">
        <f>IF(LEN(A165)&gt;2,VLOOKUP(A165,COPY!$A$2:$O$1000,10,FALSE),"")</f>
        <v/>
      </c>
      <c r="F165" s="542" t="str">
        <f>IF(LEN(A165)&gt;2,VLOOKUP(A165,COPY!$A$2:$O$1000,8,FALSE),"")</f>
        <v/>
      </c>
      <c r="G165" s="543" t="str">
        <f>IF(LEN(A165)&gt;2,VLOOKUP(A165,COPY!$A$2:$O$1000,7,FALSE),"")</f>
        <v/>
      </c>
      <c r="H165" s="544" t="str">
        <f t="shared" si="15"/>
        <v/>
      </c>
      <c r="I165" s="545" t="str">
        <f>IFERROR(IF(LEN(A165)&gt;2,VLOOKUP(A165,COPY!$A$2:$O$1000,13,FALSE),"")/E165,"")</f>
        <v/>
      </c>
      <c r="J165" s="546"/>
      <c r="K165" s="547" t="str">
        <f t="shared" si="16"/>
        <v/>
      </c>
      <c r="L165" s="548" t="str">
        <f t="shared" si="13"/>
        <v/>
      </c>
      <c r="M165" s="549">
        <f t="shared" si="17"/>
        <v>0</v>
      </c>
      <c r="O165" s="538" t="str">
        <f t="shared" si="14"/>
        <v/>
      </c>
      <c r="P165" s="550"/>
      <c r="Q165" s="551"/>
    </row>
    <row r="166" spans="1:17" s="253" customFormat="1" ht="20.100000000000001" hidden="1" customHeight="1" x14ac:dyDescent="0.25">
      <c r="A166" s="253" t="str">
        <f t="shared" si="18"/>
        <v/>
      </c>
      <c r="B166" s="584" t="str">
        <f>IF(LEN(A166)&gt;2,VLOOKUP(A166,COPY!$A$2:$O$1000,4,FALSE),"")</f>
        <v/>
      </c>
      <c r="C166" s="585" t="str">
        <f>IF(LEN(A166)&gt;2,VLOOKUP(A166,COPY!$A$2:$O$1000,15,FALSE),"")</f>
        <v/>
      </c>
      <c r="D166" s="542" t="str">
        <f>IF(LEN(A166)&gt;2,VLOOKUP(A166,COPY!$A$2:$O$1000,2,FALSE),"")</f>
        <v/>
      </c>
      <c r="E166" s="607" t="str">
        <f>IF(LEN(A166)&gt;2,VLOOKUP(A166,COPY!$A$2:$O$1000,10,FALSE),"")</f>
        <v/>
      </c>
      <c r="F166" s="542" t="str">
        <f>IF(LEN(A166)&gt;2,VLOOKUP(A166,COPY!$A$2:$O$1000,8,FALSE),"")</f>
        <v/>
      </c>
      <c r="G166" s="543" t="str">
        <f>IF(LEN(A166)&gt;2,VLOOKUP(A166,COPY!$A$2:$O$1000,7,FALSE),"")</f>
        <v/>
      </c>
      <c r="H166" s="544" t="str">
        <f t="shared" si="15"/>
        <v/>
      </c>
      <c r="I166" s="545" t="str">
        <f>IFERROR(IF(LEN(A166)&gt;2,VLOOKUP(A166,COPY!$A$2:$O$1000,13,FALSE),"")/E166,"")</f>
        <v/>
      </c>
      <c r="J166" s="546"/>
      <c r="K166" s="547" t="str">
        <f t="shared" si="16"/>
        <v/>
      </c>
      <c r="L166" s="548" t="str">
        <f t="shared" si="13"/>
        <v/>
      </c>
      <c r="M166" s="549">
        <f t="shared" si="17"/>
        <v>0</v>
      </c>
      <c r="O166" s="538" t="str">
        <f t="shared" si="14"/>
        <v/>
      </c>
      <c r="P166" s="550"/>
      <c r="Q166" s="551"/>
    </row>
    <row r="167" spans="1:17" s="253" customFormat="1" ht="20.100000000000001" hidden="1" customHeight="1" x14ac:dyDescent="0.25">
      <c r="A167" s="253" t="str">
        <f t="shared" si="18"/>
        <v/>
      </c>
      <c r="B167" s="584" t="str">
        <f>IF(LEN(A167)&gt;2,VLOOKUP(A167,COPY!$A$2:$O$1000,4,FALSE),"")</f>
        <v/>
      </c>
      <c r="C167" s="585" t="str">
        <f>IF(LEN(A167)&gt;2,VLOOKUP(A167,COPY!$A$2:$O$1000,15,FALSE),"")</f>
        <v/>
      </c>
      <c r="D167" s="542" t="str">
        <f>IF(LEN(A167)&gt;2,VLOOKUP(A167,COPY!$A$2:$O$1000,2,FALSE),"")</f>
        <v/>
      </c>
      <c r="E167" s="607" t="str">
        <f>IF(LEN(A167)&gt;2,VLOOKUP(A167,COPY!$A$2:$O$1000,10,FALSE),"")</f>
        <v/>
      </c>
      <c r="F167" s="542" t="str">
        <f>IF(LEN(A167)&gt;2,VLOOKUP(A167,COPY!$A$2:$O$1000,8,FALSE),"")</f>
        <v/>
      </c>
      <c r="G167" s="543" t="str">
        <f>IF(LEN(A167)&gt;2,VLOOKUP(A167,COPY!$A$2:$O$1000,7,FALSE),"")</f>
        <v/>
      </c>
      <c r="H167" s="544" t="str">
        <f t="shared" si="15"/>
        <v/>
      </c>
      <c r="I167" s="545" t="str">
        <f>IFERROR(IF(LEN(A167)&gt;2,VLOOKUP(A167,COPY!$A$2:$O$1000,13,FALSE),"")/E167,"")</f>
        <v/>
      </c>
      <c r="J167" s="546"/>
      <c r="K167" s="547" t="str">
        <f t="shared" si="16"/>
        <v/>
      </c>
      <c r="L167" s="548" t="str">
        <f t="shared" si="13"/>
        <v/>
      </c>
      <c r="M167" s="549">
        <f t="shared" si="17"/>
        <v>0</v>
      </c>
      <c r="O167" s="538" t="str">
        <f t="shared" si="14"/>
        <v/>
      </c>
      <c r="P167" s="550"/>
      <c r="Q167" s="551"/>
    </row>
    <row r="168" spans="1:17" s="253" customFormat="1" ht="20.100000000000001" hidden="1" customHeight="1" x14ac:dyDescent="0.25">
      <c r="A168" s="253" t="str">
        <f t="shared" si="18"/>
        <v/>
      </c>
      <c r="B168" s="541"/>
      <c r="C168" s="585"/>
      <c r="D168" s="542"/>
      <c r="E168" s="542"/>
      <c r="F168" s="542"/>
      <c r="G168" s="543"/>
      <c r="H168" s="544"/>
      <c r="I168" s="545"/>
      <c r="J168" s="546"/>
      <c r="K168" s="547"/>
      <c r="L168" s="548"/>
      <c r="M168" s="549"/>
      <c r="O168" s="538" t="str">
        <f t="shared" si="14"/>
        <v/>
      </c>
      <c r="P168" s="550"/>
      <c r="Q168" s="551"/>
    </row>
    <row r="169" spans="1:17" s="253" customFormat="1" ht="20.100000000000001" customHeight="1" x14ac:dyDescent="0.25">
      <c r="A169" s="253" t="str">
        <f t="shared" si="18"/>
        <v/>
      </c>
      <c r="B169" s="552"/>
      <c r="C169" s="586"/>
      <c r="D169" s="553"/>
      <c r="E169" s="553"/>
      <c r="F169" s="554"/>
      <c r="G169" s="450" t="s">
        <v>310</v>
      </c>
      <c r="H169" s="457"/>
      <c r="I169" s="545"/>
      <c r="J169" s="555"/>
      <c r="K169" s="556"/>
      <c r="L169" s="548"/>
      <c r="M169" s="549"/>
      <c r="O169" s="538" t="str">
        <f t="shared" si="14"/>
        <v/>
      </c>
      <c r="P169" s="550"/>
      <c r="Q169" s="551"/>
    </row>
    <row r="170" spans="1:17" s="253" customFormat="1" ht="20.100000000000001" hidden="1" customHeight="1" x14ac:dyDescent="0.25">
      <c r="A170" s="253" t="str">
        <f>A15</f>
        <v>4.</v>
      </c>
      <c r="B170" s="609" t="str">
        <f>IF(LEFT(F170,1)="B",VLOOKUP(A170,COPY!$A$2:$AC$1000,4,FALSE),"")</f>
        <v/>
      </c>
      <c r="C170" s="586"/>
      <c r="D170" s="553"/>
      <c r="E170" s="553"/>
      <c r="F170" s="557" t="str">
        <f>IF(LEN(A170)&gt;2,LEFT(VLOOKUP(A170,COPY!$A$2:$AC$1000,29,FALSE),6),"")</f>
        <v/>
      </c>
      <c r="G170" s="558" t="str">
        <f>_xlfn.IFNA(IF(TEXT(F170,0)="Terima","",VLOOKUP(A170,COPY!$A$2:$AC$1000,29,FALSE)),"")</f>
        <v/>
      </c>
      <c r="H170" s="425"/>
      <c r="I170" s="559"/>
      <c r="J170" s="555"/>
      <c r="K170" s="608">
        <f>_xlfn.IFNA(IF(TEXT(F170,0)="Terima",0,VLOOKUP(A170,COPY!$A$2:$AC$1000,26,FALSE)),0)</f>
        <v>0</v>
      </c>
      <c r="L170" s="548">
        <f t="shared" ref="L170:L233" si="19">IF(K170&gt;0,IF(O170&gt;=0,O170,IF(O170&lt;0,0,0)),0)</f>
        <v>0</v>
      </c>
      <c r="M170" s="549">
        <f t="shared" ref="M170:M233" si="20">IF(O170&lt;0,O170,IF(O170&gt;=0,0,0))</f>
        <v>0</v>
      </c>
      <c r="O170" s="538" t="str">
        <f t="shared" ref="O170:O233" si="21">IF(J170&gt;0,O169+J170,IF(K170&gt;0,O169-K170,O169))</f>
        <v/>
      </c>
      <c r="P170" s="550"/>
      <c r="Q170" s="551"/>
    </row>
    <row r="171" spans="1:17" s="253" customFormat="1" ht="20.100000000000001" hidden="1" customHeight="1" x14ac:dyDescent="0.25">
      <c r="A171" s="253" t="str">
        <f t="shared" ref="A171:A234" si="22">A16</f>
        <v/>
      </c>
      <c r="B171" s="609" t="str">
        <f>IF(LEFT(F171,1)="B",VLOOKUP(A171,COPY!$A$2:$AC$1000,4,FALSE),"")</f>
        <v/>
      </c>
      <c r="C171" s="586"/>
      <c r="D171" s="553"/>
      <c r="E171" s="553"/>
      <c r="F171" s="557" t="str">
        <f>IF(LEN(A171)&gt;2,LEFT(VLOOKUP(A171,COPY!$A$2:$AC$1000,29,FALSE),6),"")</f>
        <v/>
      </c>
      <c r="G171" s="558" t="str">
        <f>_xlfn.IFNA(IF(TEXT(F171,0)="Terima","",VLOOKUP(A171,COPY!$A$2:$AC$1000,29,FALSE)),"")</f>
        <v/>
      </c>
      <c r="H171" s="425"/>
      <c r="I171" s="559"/>
      <c r="J171" s="555"/>
      <c r="K171" s="608">
        <f>_xlfn.IFNA(IF(TEXT(F171,0)="Terima",0,VLOOKUP(A171,COPY!$A$2:$AC$1000,26,FALSE)),0)</f>
        <v>0</v>
      </c>
      <c r="L171" s="548">
        <f t="shared" si="19"/>
        <v>0</v>
      </c>
      <c r="M171" s="549">
        <f t="shared" si="20"/>
        <v>0</v>
      </c>
      <c r="O171" s="538" t="str">
        <f t="shared" si="21"/>
        <v/>
      </c>
      <c r="P171" s="550"/>
      <c r="Q171" s="551"/>
    </row>
    <row r="172" spans="1:17" s="253" customFormat="1" ht="20.100000000000001" hidden="1" customHeight="1" x14ac:dyDescent="0.25">
      <c r="A172" s="253" t="str">
        <f t="shared" si="22"/>
        <v/>
      </c>
      <c r="B172" s="609" t="str">
        <f>IF(LEFT(F172,1)="B",VLOOKUP(A172,COPY!$A$2:$AC$1000,4,FALSE),"")</f>
        <v/>
      </c>
      <c r="C172" s="586"/>
      <c r="D172" s="553"/>
      <c r="E172" s="553"/>
      <c r="F172" s="557" t="str">
        <f>IF(LEN(A172)&gt;2,LEFT(VLOOKUP(A172,COPY!$A$2:$AC$1000,29,FALSE),6),"")</f>
        <v/>
      </c>
      <c r="G172" s="558" t="str">
        <f>_xlfn.IFNA(IF(TEXT(F172,0)="Terima","",VLOOKUP(A172,COPY!$A$2:$AC$1000,29,FALSE)),"")</f>
        <v/>
      </c>
      <c r="H172" s="425"/>
      <c r="I172" s="559"/>
      <c r="J172" s="555"/>
      <c r="K172" s="608">
        <f>_xlfn.IFNA(IF(TEXT(F172,0)="Terima",0,VLOOKUP(A172,COPY!$A$2:$AC$1000,26,FALSE)),0)</f>
        <v>0</v>
      </c>
      <c r="L172" s="548">
        <f t="shared" si="19"/>
        <v>0</v>
      </c>
      <c r="M172" s="549">
        <f t="shared" si="20"/>
        <v>0</v>
      </c>
      <c r="O172" s="538" t="str">
        <f t="shared" si="21"/>
        <v/>
      </c>
      <c r="P172" s="550"/>
      <c r="Q172" s="551"/>
    </row>
    <row r="173" spans="1:17" s="253" customFormat="1" ht="20.100000000000001" hidden="1" customHeight="1" x14ac:dyDescent="0.25">
      <c r="A173" s="253" t="str">
        <f t="shared" si="22"/>
        <v/>
      </c>
      <c r="B173" s="609" t="str">
        <f>IF(LEFT(F173,1)="B",VLOOKUP(A173,COPY!$A$2:$AC$1000,4,FALSE),"")</f>
        <v/>
      </c>
      <c r="C173" s="586"/>
      <c r="D173" s="553"/>
      <c r="E173" s="553"/>
      <c r="F173" s="557" t="str">
        <f>IF(LEN(A173)&gt;2,LEFT(VLOOKUP(A173,COPY!$A$2:$AC$1000,29,FALSE),6),"")</f>
        <v/>
      </c>
      <c r="G173" s="558" t="str">
        <f>_xlfn.IFNA(IF(TEXT(F173,0)="Terima","",VLOOKUP(A173,COPY!$A$2:$AC$1000,29,FALSE)),"")</f>
        <v/>
      </c>
      <c r="H173" s="425"/>
      <c r="I173" s="559"/>
      <c r="J173" s="555"/>
      <c r="K173" s="608">
        <f>_xlfn.IFNA(IF(TEXT(F173,0)="Terima",0,VLOOKUP(A173,COPY!$A$2:$AC$1000,26,FALSE)),0)</f>
        <v>0</v>
      </c>
      <c r="L173" s="548">
        <f t="shared" si="19"/>
        <v>0</v>
      </c>
      <c r="M173" s="549">
        <f t="shared" si="20"/>
        <v>0</v>
      </c>
      <c r="O173" s="538" t="str">
        <f t="shared" si="21"/>
        <v/>
      </c>
      <c r="P173" s="550"/>
      <c r="Q173" s="551"/>
    </row>
    <row r="174" spans="1:17" s="253" customFormat="1" ht="20.100000000000001" hidden="1" customHeight="1" x14ac:dyDescent="0.25">
      <c r="A174" s="253" t="str">
        <f t="shared" si="22"/>
        <v/>
      </c>
      <c r="B174" s="609" t="str">
        <f>IF(LEFT(F174,1)="B",VLOOKUP(A174,COPY!$A$2:$AC$1000,4,FALSE),"")</f>
        <v/>
      </c>
      <c r="C174" s="586"/>
      <c r="D174" s="553"/>
      <c r="E174" s="553"/>
      <c r="F174" s="557" t="str">
        <f>IF(LEN(A174)&gt;2,LEFT(VLOOKUP(A174,COPY!$A$2:$AC$1000,29,FALSE),6),"")</f>
        <v/>
      </c>
      <c r="G174" s="558" t="str">
        <f>_xlfn.IFNA(IF(TEXT(F174,0)="Terima","",VLOOKUP(A174,COPY!$A$2:$AC$1000,29,FALSE)),"")</f>
        <v/>
      </c>
      <c r="H174" s="425"/>
      <c r="I174" s="559"/>
      <c r="J174" s="555"/>
      <c r="K174" s="608">
        <f>_xlfn.IFNA(IF(TEXT(F174,0)="Terima",0,VLOOKUP(A174,COPY!$A$2:$AC$1000,26,FALSE)),0)</f>
        <v>0</v>
      </c>
      <c r="L174" s="548">
        <f t="shared" si="19"/>
        <v>0</v>
      </c>
      <c r="M174" s="549">
        <f t="shared" si="20"/>
        <v>0</v>
      </c>
      <c r="O174" s="538" t="str">
        <f t="shared" si="21"/>
        <v/>
      </c>
      <c r="P174" s="550"/>
      <c r="Q174" s="551"/>
    </row>
    <row r="175" spans="1:17" s="253" customFormat="1" ht="20.100000000000001" hidden="1" customHeight="1" x14ac:dyDescent="0.25">
      <c r="A175" s="253" t="str">
        <f t="shared" si="22"/>
        <v/>
      </c>
      <c r="B175" s="609" t="str">
        <f>IF(LEFT(F175,1)="B",VLOOKUP(A175,COPY!$A$2:$AC$1000,4,FALSE),"")</f>
        <v/>
      </c>
      <c r="C175" s="586"/>
      <c r="D175" s="553"/>
      <c r="E175" s="553"/>
      <c r="F175" s="557" t="str">
        <f>IF(LEN(A175)&gt;2,LEFT(VLOOKUP(A175,COPY!$A$2:$AC$1000,29,FALSE),6),"")</f>
        <v/>
      </c>
      <c r="G175" s="558" t="str">
        <f>_xlfn.IFNA(IF(TEXT(F175,0)="Terima","",VLOOKUP(A175,COPY!$A$2:$AC$1000,29,FALSE)),"")</f>
        <v/>
      </c>
      <c r="H175" s="425"/>
      <c r="I175" s="559"/>
      <c r="J175" s="555"/>
      <c r="K175" s="608">
        <f>_xlfn.IFNA(IF(TEXT(F175,0)="Terima",0,VLOOKUP(A175,COPY!$A$2:$AC$1000,26,FALSE)),0)</f>
        <v>0</v>
      </c>
      <c r="L175" s="548">
        <f t="shared" si="19"/>
        <v>0</v>
      </c>
      <c r="M175" s="549">
        <f t="shared" si="20"/>
        <v>0</v>
      </c>
      <c r="O175" s="538" t="str">
        <f t="shared" si="21"/>
        <v/>
      </c>
      <c r="P175" s="550"/>
      <c r="Q175" s="551"/>
    </row>
    <row r="176" spans="1:17" s="253" customFormat="1" ht="20.100000000000001" hidden="1" customHeight="1" x14ac:dyDescent="0.25">
      <c r="A176" s="253" t="str">
        <f t="shared" si="22"/>
        <v/>
      </c>
      <c r="B176" s="609" t="str">
        <f>IF(LEFT(F176,1)="B",VLOOKUP(A176,COPY!$A$2:$AC$1000,4,FALSE),"")</f>
        <v/>
      </c>
      <c r="C176" s="586"/>
      <c r="D176" s="553"/>
      <c r="E176" s="553"/>
      <c r="F176" s="557" t="str">
        <f>IF(LEN(A176)&gt;2,LEFT(VLOOKUP(A176,COPY!$A$2:$AC$1000,29,FALSE),6),"")</f>
        <v/>
      </c>
      <c r="G176" s="558" t="str">
        <f>_xlfn.IFNA(IF(TEXT(F176,0)="Terima","",VLOOKUP(A176,COPY!$A$2:$AC$1000,29,FALSE)),"")</f>
        <v/>
      </c>
      <c r="H176" s="425"/>
      <c r="I176" s="559"/>
      <c r="J176" s="555"/>
      <c r="K176" s="608">
        <f>_xlfn.IFNA(IF(TEXT(F176,0)="Terima",0,VLOOKUP(A176,COPY!$A$2:$AC$1000,26,FALSE)),0)</f>
        <v>0</v>
      </c>
      <c r="L176" s="548">
        <f t="shared" si="19"/>
        <v>0</v>
      </c>
      <c r="M176" s="549">
        <f t="shared" si="20"/>
        <v>0</v>
      </c>
      <c r="O176" s="538" t="str">
        <f t="shared" si="21"/>
        <v/>
      </c>
      <c r="P176" s="550"/>
      <c r="Q176" s="550"/>
    </row>
    <row r="177" spans="1:17" s="253" customFormat="1" ht="20.100000000000001" hidden="1" customHeight="1" x14ac:dyDescent="0.25">
      <c r="A177" s="253" t="str">
        <f t="shared" si="22"/>
        <v/>
      </c>
      <c r="B177" s="609" t="str">
        <f>IF(LEFT(F177,1)="B",VLOOKUP(A177,COPY!$A$2:$AC$1000,4,FALSE),"")</f>
        <v/>
      </c>
      <c r="C177" s="586"/>
      <c r="D177" s="553"/>
      <c r="E177" s="553"/>
      <c r="F177" s="557" t="str">
        <f>IF(LEN(A177)&gt;2,LEFT(VLOOKUP(A177,COPY!$A$2:$AC$1000,29,FALSE),6),"")</f>
        <v/>
      </c>
      <c r="G177" s="558" t="str">
        <f>_xlfn.IFNA(IF(TEXT(F177,0)="Terima","",VLOOKUP(A177,COPY!$A$2:$AC$1000,29,FALSE)),"")</f>
        <v/>
      </c>
      <c r="H177" s="425"/>
      <c r="I177" s="559"/>
      <c r="J177" s="555"/>
      <c r="K177" s="608">
        <f>_xlfn.IFNA(IF(TEXT(F177,0)="Terima",0,VLOOKUP(A177,COPY!$A$2:$AC$1000,26,FALSE)),0)</f>
        <v>0</v>
      </c>
      <c r="L177" s="548">
        <f t="shared" si="19"/>
        <v>0</v>
      </c>
      <c r="M177" s="549">
        <f t="shared" si="20"/>
        <v>0</v>
      </c>
      <c r="O177" s="538" t="str">
        <f t="shared" si="21"/>
        <v/>
      </c>
      <c r="P177" s="550"/>
      <c r="Q177" s="551"/>
    </row>
    <row r="178" spans="1:17" s="253" customFormat="1" ht="20.100000000000001" hidden="1" customHeight="1" x14ac:dyDescent="0.25">
      <c r="A178" s="253" t="str">
        <f t="shared" si="22"/>
        <v/>
      </c>
      <c r="B178" s="609" t="str">
        <f>IF(LEFT(F178,1)="B",VLOOKUP(A178,COPY!$A$2:$AC$1000,4,FALSE),"")</f>
        <v/>
      </c>
      <c r="C178" s="586"/>
      <c r="D178" s="553"/>
      <c r="E178" s="553"/>
      <c r="F178" s="557" t="str">
        <f>IF(LEN(A178)&gt;2,LEFT(VLOOKUP(A178,COPY!$A$2:$AC$1000,29,FALSE),6),"")</f>
        <v/>
      </c>
      <c r="G178" s="558" t="str">
        <f>_xlfn.IFNA(IF(TEXT(F178,0)="Terima","",VLOOKUP(A178,COPY!$A$2:$AC$1000,29,FALSE)),"")</f>
        <v/>
      </c>
      <c r="H178" s="425"/>
      <c r="I178" s="559"/>
      <c r="J178" s="555"/>
      <c r="K178" s="608">
        <f>_xlfn.IFNA(IF(TEXT(F178,0)="Terima",0,VLOOKUP(A178,COPY!$A$2:$AC$1000,26,FALSE)),0)</f>
        <v>0</v>
      </c>
      <c r="L178" s="548">
        <f t="shared" si="19"/>
        <v>0</v>
      </c>
      <c r="M178" s="549">
        <f t="shared" si="20"/>
        <v>0</v>
      </c>
      <c r="O178" s="538" t="str">
        <f t="shared" si="21"/>
        <v/>
      </c>
      <c r="P178" s="550"/>
      <c r="Q178" s="551"/>
    </row>
    <row r="179" spans="1:17" s="253" customFormat="1" ht="20.100000000000001" hidden="1" customHeight="1" x14ac:dyDescent="0.25">
      <c r="A179" s="253" t="str">
        <f t="shared" si="22"/>
        <v/>
      </c>
      <c r="B179" s="609" t="str">
        <f>IF(LEFT(F179,1)="B",VLOOKUP(A179,COPY!$A$2:$AC$1000,4,FALSE),"")</f>
        <v/>
      </c>
      <c r="C179" s="586"/>
      <c r="D179" s="553"/>
      <c r="E179" s="553"/>
      <c r="F179" s="557" t="str">
        <f>IF(LEN(A179)&gt;2,LEFT(VLOOKUP(A179,COPY!$A$2:$AC$1000,29,FALSE),6),"")</f>
        <v/>
      </c>
      <c r="G179" s="558" t="str">
        <f>_xlfn.IFNA(IF(TEXT(F179,0)="Terima","",VLOOKUP(A179,COPY!$A$2:$AC$1000,29,FALSE)),"")</f>
        <v/>
      </c>
      <c r="H179" s="425"/>
      <c r="I179" s="559"/>
      <c r="J179" s="555"/>
      <c r="K179" s="608">
        <f>_xlfn.IFNA(IF(TEXT(F179,0)="Terima",0,VLOOKUP(A179,COPY!$A$2:$AC$1000,26,FALSE)),0)</f>
        <v>0</v>
      </c>
      <c r="L179" s="548">
        <f t="shared" si="19"/>
        <v>0</v>
      </c>
      <c r="M179" s="549">
        <f t="shared" si="20"/>
        <v>0</v>
      </c>
      <c r="O179" s="538" t="str">
        <f t="shared" si="21"/>
        <v/>
      </c>
      <c r="P179" s="550"/>
      <c r="Q179" s="551"/>
    </row>
    <row r="180" spans="1:17" s="253" customFormat="1" ht="20.100000000000001" hidden="1" customHeight="1" x14ac:dyDescent="0.25">
      <c r="A180" s="253" t="str">
        <f t="shared" si="22"/>
        <v/>
      </c>
      <c r="B180" s="609" t="str">
        <f>IF(LEFT(F180,1)="B",VLOOKUP(A180,COPY!$A$2:$AC$1000,4,FALSE),"")</f>
        <v/>
      </c>
      <c r="C180" s="586"/>
      <c r="D180" s="553"/>
      <c r="E180" s="553"/>
      <c r="F180" s="557" t="str">
        <f>IF(LEN(A180)&gt;2,LEFT(VLOOKUP(A180,COPY!$A$2:$AC$1000,29,FALSE),6),"")</f>
        <v/>
      </c>
      <c r="G180" s="558" t="str">
        <f>_xlfn.IFNA(IF(TEXT(F180,0)="Terima","",VLOOKUP(A180,COPY!$A$2:$AC$1000,29,FALSE)),"")</f>
        <v/>
      </c>
      <c r="H180" s="425"/>
      <c r="I180" s="559"/>
      <c r="J180" s="555"/>
      <c r="K180" s="608">
        <f>_xlfn.IFNA(IF(TEXT(F180,0)="Terima",0,VLOOKUP(A180,COPY!$A$2:$AC$1000,26,FALSE)),0)</f>
        <v>0</v>
      </c>
      <c r="L180" s="548">
        <f t="shared" si="19"/>
        <v>0</v>
      </c>
      <c r="M180" s="549">
        <f t="shared" si="20"/>
        <v>0</v>
      </c>
      <c r="O180" s="538" t="str">
        <f t="shared" si="21"/>
        <v/>
      </c>
      <c r="P180" s="550"/>
      <c r="Q180" s="551"/>
    </row>
    <row r="181" spans="1:17" s="253" customFormat="1" ht="20.100000000000001" hidden="1" customHeight="1" x14ac:dyDescent="0.25">
      <c r="A181" s="253" t="str">
        <f t="shared" si="22"/>
        <v/>
      </c>
      <c r="B181" s="609" t="str">
        <f>IF(LEFT(F181,1)="B",VLOOKUP(A181,COPY!$A$2:$AC$1000,4,FALSE),"")</f>
        <v/>
      </c>
      <c r="C181" s="586"/>
      <c r="D181" s="553"/>
      <c r="E181" s="553"/>
      <c r="F181" s="557" t="str">
        <f>IF(LEN(A181)&gt;2,LEFT(VLOOKUP(A181,COPY!$A$2:$AC$1000,29,FALSE),6),"")</f>
        <v/>
      </c>
      <c r="G181" s="558" t="str">
        <f>_xlfn.IFNA(IF(TEXT(F181,0)="Terima","",VLOOKUP(A181,COPY!$A$2:$AC$1000,29,FALSE)),"")</f>
        <v/>
      </c>
      <c r="H181" s="425"/>
      <c r="I181" s="559"/>
      <c r="J181" s="555"/>
      <c r="K181" s="608">
        <f>_xlfn.IFNA(IF(TEXT(F181,0)="Terima",0,VLOOKUP(A181,COPY!$A$2:$AC$1000,26,FALSE)),0)</f>
        <v>0</v>
      </c>
      <c r="L181" s="548">
        <f t="shared" si="19"/>
        <v>0</v>
      </c>
      <c r="M181" s="549">
        <f t="shared" si="20"/>
        <v>0</v>
      </c>
      <c r="O181" s="538" t="str">
        <f t="shared" si="21"/>
        <v/>
      </c>
      <c r="P181" s="550"/>
      <c r="Q181" s="551"/>
    </row>
    <row r="182" spans="1:17" s="253" customFormat="1" ht="20.100000000000001" hidden="1" customHeight="1" x14ac:dyDescent="0.25">
      <c r="A182" s="253" t="str">
        <f t="shared" si="22"/>
        <v/>
      </c>
      <c r="B182" s="609" t="str">
        <f>IF(LEFT(F182,1)="B",VLOOKUP(A182,COPY!$A$2:$AC$1000,4,FALSE),"")</f>
        <v/>
      </c>
      <c r="C182" s="586"/>
      <c r="D182" s="553"/>
      <c r="E182" s="553"/>
      <c r="F182" s="557" t="str">
        <f>IF(LEN(A182)&gt;2,LEFT(VLOOKUP(A182,COPY!$A$2:$AC$1000,29,FALSE),6),"")</f>
        <v/>
      </c>
      <c r="G182" s="558" t="str">
        <f>_xlfn.IFNA(IF(TEXT(F182,0)="Terima","",VLOOKUP(A182,COPY!$A$2:$AC$1000,29,FALSE)),"")</f>
        <v/>
      </c>
      <c r="H182" s="425"/>
      <c r="I182" s="559"/>
      <c r="J182" s="555"/>
      <c r="K182" s="608">
        <f>_xlfn.IFNA(IF(TEXT(F182,0)="Terima",0,VLOOKUP(A182,COPY!$A$2:$AC$1000,26,FALSE)),0)</f>
        <v>0</v>
      </c>
      <c r="L182" s="548">
        <f t="shared" si="19"/>
        <v>0</v>
      </c>
      <c r="M182" s="549">
        <f t="shared" si="20"/>
        <v>0</v>
      </c>
      <c r="O182" s="538" t="str">
        <f t="shared" si="21"/>
        <v/>
      </c>
      <c r="P182" s="550"/>
      <c r="Q182" s="551"/>
    </row>
    <row r="183" spans="1:17" s="253" customFormat="1" ht="20.100000000000001" hidden="1" customHeight="1" x14ac:dyDescent="0.25">
      <c r="A183" s="253" t="str">
        <f t="shared" si="22"/>
        <v/>
      </c>
      <c r="B183" s="609" t="str">
        <f>IF(LEFT(F183,1)="B",VLOOKUP(A183,COPY!$A$2:$AC$1000,4,FALSE),"")</f>
        <v/>
      </c>
      <c r="C183" s="586"/>
      <c r="D183" s="553"/>
      <c r="E183" s="553"/>
      <c r="F183" s="557" t="str">
        <f>IF(LEN(A183)&gt;2,LEFT(VLOOKUP(A183,COPY!$A$2:$AC$1000,29,FALSE),6),"")</f>
        <v/>
      </c>
      <c r="G183" s="558" t="str">
        <f>_xlfn.IFNA(IF(TEXT(F183,0)="Terima","",VLOOKUP(A183,COPY!$A$2:$AC$1000,29,FALSE)),"")</f>
        <v/>
      </c>
      <c r="H183" s="425"/>
      <c r="I183" s="559"/>
      <c r="J183" s="555"/>
      <c r="K183" s="608">
        <f>_xlfn.IFNA(IF(TEXT(F183,0)="Terima",0,VLOOKUP(A183,COPY!$A$2:$AC$1000,26,FALSE)),0)</f>
        <v>0</v>
      </c>
      <c r="L183" s="548">
        <f t="shared" si="19"/>
        <v>0</v>
      </c>
      <c r="M183" s="549">
        <f t="shared" si="20"/>
        <v>0</v>
      </c>
      <c r="O183" s="538" t="str">
        <f t="shared" si="21"/>
        <v/>
      </c>
      <c r="P183" s="550"/>
      <c r="Q183" s="551"/>
    </row>
    <row r="184" spans="1:17" s="253" customFormat="1" ht="20.100000000000001" hidden="1" customHeight="1" x14ac:dyDescent="0.25">
      <c r="A184" s="253" t="str">
        <f t="shared" si="22"/>
        <v/>
      </c>
      <c r="B184" s="609" t="str">
        <f>IF(LEFT(F184,1)="B",VLOOKUP(A184,COPY!$A$2:$AC$1000,4,FALSE),"")</f>
        <v/>
      </c>
      <c r="C184" s="586"/>
      <c r="D184" s="553"/>
      <c r="E184" s="553"/>
      <c r="F184" s="557" t="str">
        <f>IF(LEN(A184)&gt;2,LEFT(VLOOKUP(A184,COPY!$A$2:$AC$1000,29,FALSE),6),"")</f>
        <v/>
      </c>
      <c r="G184" s="558" t="str">
        <f>_xlfn.IFNA(IF(TEXT(F184,0)="Terima","",VLOOKUP(A184,COPY!$A$2:$AC$1000,29,FALSE)),"")</f>
        <v/>
      </c>
      <c r="H184" s="425"/>
      <c r="I184" s="559"/>
      <c r="J184" s="555"/>
      <c r="K184" s="608">
        <f>_xlfn.IFNA(IF(TEXT(F184,0)="Terima",0,VLOOKUP(A184,COPY!$A$2:$AC$1000,26,FALSE)),0)</f>
        <v>0</v>
      </c>
      <c r="L184" s="548">
        <f t="shared" si="19"/>
        <v>0</v>
      </c>
      <c r="M184" s="549">
        <f t="shared" si="20"/>
        <v>0</v>
      </c>
      <c r="O184" s="538" t="str">
        <f t="shared" si="21"/>
        <v/>
      </c>
      <c r="P184" s="550"/>
      <c r="Q184" s="551"/>
    </row>
    <row r="185" spans="1:17" s="253" customFormat="1" ht="20.100000000000001" hidden="1" customHeight="1" x14ac:dyDescent="0.25">
      <c r="A185" s="253" t="str">
        <f t="shared" si="22"/>
        <v/>
      </c>
      <c r="B185" s="609" t="str">
        <f>IF(LEFT(F185,1)="B",VLOOKUP(A185,COPY!$A$2:$AC$1000,4,FALSE),"")</f>
        <v/>
      </c>
      <c r="C185" s="586"/>
      <c r="D185" s="553"/>
      <c r="E185" s="553"/>
      <c r="F185" s="557" t="str">
        <f>IF(LEN(A185)&gt;2,LEFT(VLOOKUP(A185,COPY!$A$2:$AC$1000,29,FALSE),6),"")</f>
        <v/>
      </c>
      <c r="G185" s="558" t="str">
        <f>_xlfn.IFNA(IF(TEXT(F185,0)="Terima","",VLOOKUP(A185,COPY!$A$2:$AC$1000,29,FALSE)),"")</f>
        <v/>
      </c>
      <c r="H185" s="425"/>
      <c r="I185" s="559"/>
      <c r="J185" s="555"/>
      <c r="K185" s="608">
        <f>_xlfn.IFNA(IF(TEXT(F185,0)="Terima",0,VLOOKUP(A185,COPY!$A$2:$AC$1000,26,FALSE)),0)</f>
        <v>0</v>
      </c>
      <c r="L185" s="548">
        <f t="shared" si="19"/>
        <v>0</v>
      </c>
      <c r="M185" s="549">
        <f t="shared" si="20"/>
        <v>0</v>
      </c>
      <c r="O185" s="538" t="str">
        <f t="shared" si="21"/>
        <v/>
      </c>
      <c r="P185" s="550"/>
      <c r="Q185" s="551"/>
    </row>
    <row r="186" spans="1:17" s="253" customFormat="1" ht="20.100000000000001" hidden="1" customHeight="1" x14ac:dyDescent="0.25">
      <c r="A186" s="253" t="str">
        <f t="shared" si="22"/>
        <v/>
      </c>
      <c r="B186" s="609" t="str">
        <f>IF(LEFT(F186,1)="B",VLOOKUP(A186,COPY!$A$2:$AC$1000,4,FALSE),"")</f>
        <v/>
      </c>
      <c r="C186" s="586"/>
      <c r="D186" s="553"/>
      <c r="E186" s="553"/>
      <c r="F186" s="557" t="str">
        <f>IF(LEN(A186)&gt;2,LEFT(VLOOKUP(A186,COPY!$A$2:$AC$1000,29,FALSE),6),"")</f>
        <v/>
      </c>
      <c r="G186" s="558" t="str">
        <f>_xlfn.IFNA(IF(TEXT(F186,0)="Terima","",VLOOKUP(A186,COPY!$A$2:$AC$1000,29,FALSE)),"")</f>
        <v/>
      </c>
      <c r="H186" s="425"/>
      <c r="I186" s="559"/>
      <c r="J186" s="555"/>
      <c r="K186" s="608">
        <f>_xlfn.IFNA(IF(TEXT(F186,0)="Terima",0,VLOOKUP(A186,COPY!$A$2:$AC$1000,26,FALSE)),0)</f>
        <v>0</v>
      </c>
      <c r="L186" s="548">
        <f t="shared" si="19"/>
        <v>0</v>
      </c>
      <c r="M186" s="549">
        <f t="shared" si="20"/>
        <v>0</v>
      </c>
      <c r="O186" s="538" t="str">
        <f t="shared" si="21"/>
        <v/>
      </c>
      <c r="P186" s="550"/>
      <c r="Q186" s="551"/>
    </row>
    <row r="187" spans="1:17" s="253" customFormat="1" ht="20.100000000000001" hidden="1" customHeight="1" x14ac:dyDescent="0.25">
      <c r="A187" s="253" t="str">
        <f t="shared" si="22"/>
        <v/>
      </c>
      <c r="B187" s="609" t="str">
        <f>IF(LEFT(F187,1)="B",VLOOKUP(A187,COPY!$A$2:$AC$1000,4,FALSE),"")</f>
        <v/>
      </c>
      <c r="C187" s="586"/>
      <c r="D187" s="553"/>
      <c r="E187" s="553"/>
      <c r="F187" s="557" t="str">
        <f>IF(LEN(A187)&gt;2,LEFT(VLOOKUP(A187,COPY!$A$2:$AC$1000,29,FALSE),6),"")</f>
        <v/>
      </c>
      <c r="G187" s="558" t="str">
        <f>_xlfn.IFNA(IF(TEXT(F187,0)="Terima","",VLOOKUP(A187,COPY!$A$2:$AC$1000,29,FALSE)),"")</f>
        <v/>
      </c>
      <c r="H187" s="425"/>
      <c r="I187" s="559"/>
      <c r="J187" s="555"/>
      <c r="K187" s="608">
        <f>_xlfn.IFNA(IF(TEXT(F187,0)="Terima",0,VLOOKUP(A187,COPY!$A$2:$AC$1000,26,FALSE)),0)</f>
        <v>0</v>
      </c>
      <c r="L187" s="548">
        <f t="shared" si="19"/>
        <v>0</v>
      </c>
      <c r="M187" s="549">
        <f t="shared" si="20"/>
        <v>0</v>
      </c>
      <c r="O187" s="538" t="str">
        <f t="shared" si="21"/>
        <v/>
      </c>
      <c r="P187" s="550"/>
      <c r="Q187" s="551"/>
    </row>
    <row r="188" spans="1:17" s="253" customFormat="1" ht="20.100000000000001" hidden="1" customHeight="1" x14ac:dyDescent="0.25">
      <c r="A188" s="253" t="str">
        <f t="shared" si="22"/>
        <v/>
      </c>
      <c r="B188" s="609" t="str">
        <f>IF(LEFT(F188,1)="B",VLOOKUP(A188,COPY!$A$2:$AC$1000,4,FALSE),"")</f>
        <v/>
      </c>
      <c r="C188" s="586"/>
      <c r="D188" s="553"/>
      <c r="E188" s="553"/>
      <c r="F188" s="557" t="str">
        <f>IF(LEN(A188)&gt;2,LEFT(VLOOKUP(A188,COPY!$A$2:$AC$1000,29,FALSE),6),"")</f>
        <v/>
      </c>
      <c r="G188" s="558" t="str">
        <f>_xlfn.IFNA(IF(TEXT(F188,0)="Terima","",VLOOKUP(A188,COPY!$A$2:$AC$1000,29,FALSE)),"")</f>
        <v/>
      </c>
      <c r="H188" s="425"/>
      <c r="I188" s="559"/>
      <c r="J188" s="555"/>
      <c r="K188" s="608">
        <f>_xlfn.IFNA(IF(TEXT(F188,0)="Terima",0,VLOOKUP(A188,COPY!$A$2:$AC$1000,26,FALSE)),0)</f>
        <v>0</v>
      </c>
      <c r="L188" s="548">
        <f t="shared" si="19"/>
        <v>0</v>
      </c>
      <c r="M188" s="549">
        <f t="shared" si="20"/>
        <v>0</v>
      </c>
      <c r="O188" s="538" t="str">
        <f t="shared" si="21"/>
        <v/>
      </c>
      <c r="P188" s="550"/>
      <c r="Q188" s="551"/>
    </row>
    <row r="189" spans="1:17" s="253" customFormat="1" ht="20.100000000000001" hidden="1" customHeight="1" x14ac:dyDescent="0.25">
      <c r="A189" s="253" t="str">
        <f t="shared" si="22"/>
        <v/>
      </c>
      <c r="B189" s="609" t="str">
        <f>IF(LEFT(F189,1)="B",VLOOKUP(A189,COPY!$A$2:$AC$1000,4,FALSE),"")</f>
        <v/>
      </c>
      <c r="C189" s="586"/>
      <c r="D189" s="553"/>
      <c r="E189" s="553"/>
      <c r="F189" s="557" t="str">
        <f>IF(LEN(A189)&gt;2,LEFT(VLOOKUP(A189,COPY!$A$2:$AC$1000,29,FALSE),6),"")</f>
        <v/>
      </c>
      <c r="G189" s="558" t="str">
        <f>_xlfn.IFNA(IF(TEXT(F189,0)="Terima","",VLOOKUP(A189,COPY!$A$2:$AC$1000,29,FALSE)),"")</f>
        <v/>
      </c>
      <c r="H189" s="425"/>
      <c r="I189" s="559"/>
      <c r="J189" s="555"/>
      <c r="K189" s="608">
        <f>_xlfn.IFNA(IF(TEXT(F189,0)="Terima",0,VLOOKUP(A189,COPY!$A$2:$AC$1000,26,FALSE)),0)</f>
        <v>0</v>
      </c>
      <c r="L189" s="548">
        <f t="shared" si="19"/>
        <v>0</v>
      </c>
      <c r="M189" s="549">
        <f t="shared" si="20"/>
        <v>0</v>
      </c>
      <c r="O189" s="538" t="str">
        <f t="shared" si="21"/>
        <v/>
      </c>
      <c r="P189" s="550"/>
      <c r="Q189" s="551"/>
    </row>
    <row r="190" spans="1:17" s="253" customFormat="1" ht="20.100000000000001" hidden="1" customHeight="1" x14ac:dyDescent="0.25">
      <c r="A190" s="253" t="str">
        <f t="shared" si="22"/>
        <v/>
      </c>
      <c r="B190" s="609" t="str">
        <f>IF(LEFT(F190,1)="B",VLOOKUP(A190,COPY!$A$2:$AC$1000,4,FALSE),"")</f>
        <v/>
      </c>
      <c r="C190" s="586"/>
      <c r="D190" s="553"/>
      <c r="E190" s="553"/>
      <c r="F190" s="557" t="str">
        <f>IF(LEN(A190)&gt;2,LEFT(VLOOKUP(A190,COPY!$A$2:$AC$1000,29,FALSE),6),"")</f>
        <v/>
      </c>
      <c r="G190" s="558" t="str">
        <f>_xlfn.IFNA(IF(TEXT(F190,0)="Terima","",VLOOKUP(A190,COPY!$A$2:$AC$1000,29,FALSE)),"")</f>
        <v/>
      </c>
      <c r="H190" s="425"/>
      <c r="I190" s="559"/>
      <c r="J190" s="555"/>
      <c r="K190" s="608">
        <f>_xlfn.IFNA(IF(TEXT(F190,0)="Terima",0,VLOOKUP(A190,COPY!$A$2:$AC$1000,26,FALSE)),0)</f>
        <v>0</v>
      </c>
      <c r="L190" s="548">
        <f t="shared" si="19"/>
        <v>0</v>
      </c>
      <c r="M190" s="549">
        <f t="shared" si="20"/>
        <v>0</v>
      </c>
      <c r="O190" s="538" t="str">
        <f t="shared" si="21"/>
        <v/>
      </c>
      <c r="P190" s="550"/>
      <c r="Q190" s="551"/>
    </row>
    <row r="191" spans="1:17" s="253" customFormat="1" ht="20.100000000000001" hidden="1" customHeight="1" x14ac:dyDescent="0.25">
      <c r="A191" s="253" t="str">
        <f t="shared" si="22"/>
        <v/>
      </c>
      <c r="B191" s="609" t="str">
        <f>IF(LEFT(F191,1)="B",VLOOKUP(A191,COPY!$A$2:$AC$1000,4,FALSE),"")</f>
        <v/>
      </c>
      <c r="C191" s="586"/>
      <c r="D191" s="553"/>
      <c r="E191" s="553"/>
      <c r="F191" s="557" t="str">
        <f>IF(LEN(A191)&gt;2,LEFT(VLOOKUP(A191,COPY!$A$2:$AC$1000,29,FALSE),6),"")</f>
        <v/>
      </c>
      <c r="G191" s="558" t="str">
        <f>_xlfn.IFNA(IF(TEXT(F191,0)="Terima","",VLOOKUP(A191,COPY!$A$2:$AC$1000,29,FALSE)),"")</f>
        <v/>
      </c>
      <c r="H191" s="425"/>
      <c r="I191" s="559"/>
      <c r="J191" s="555"/>
      <c r="K191" s="608">
        <f>_xlfn.IFNA(IF(TEXT(F191,0)="Terima",0,VLOOKUP(A191,COPY!$A$2:$AC$1000,26,FALSE)),0)</f>
        <v>0</v>
      </c>
      <c r="L191" s="548">
        <f t="shared" si="19"/>
        <v>0</v>
      </c>
      <c r="M191" s="549">
        <f t="shared" si="20"/>
        <v>0</v>
      </c>
      <c r="O191" s="538" t="str">
        <f t="shared" si="21"/>
        <v/>
      </c>
      <c r="P191" s="550"/>
      <c r="Q191" s="551"/>
    </row>
    <row r="192" spans="1:17" s="253" customFormat="1" ht="20.100000000000001" hidden="1" customHeight="1" x14ac:dyDescent="0.25">
      <c r="A192" s="253" t="str">
        <f t="shared" si="22"/>
        <v/>
      </c>
      <c r="B192" s="609" t="str">
        <f>IF(LEFT(F192,1)="B",VLOOKUP(A192,COPY!$A$2:$AC$1000,4,FALSE),"")</f>
        <v/>
      </c>
      <c r="C192" s="586"/>
      <c r="D192" s="553"/>
      <c r="E192" s="553"/>
      <c r="F192" s="557" t="str">
        <f>IF(LEN(A192)&gt;2,LEFT(VLOOKUP(A192,COPY!$A$2:$AC$1000,29,FALSE),6),"")</f>
        <v/>
      </c>
      <c r="G192" s="558" t="str">
        <f>_xlfn.IFNA(IF(TEXT(F192,0)="Terima","",VLOOKUP(A192,COPY!$A$2:$AC$1000,29,FALSE)),"")</f>
        <v/>
      </c>
      <c r="H192" s="425"/>
      <c r="I192" s="559"/>
      <c r="J192" s="555"/>
      <c r="K192" s="608">
        <f>_xlfn.IFNA(IF(TEXT(F192,0)="Terima",0,VLOOKUP(A192,COPY!$A$2:$AC$1000,26,FALSE)),0)</f>
        <v>0</v>
      </c>
      <c r="L192" s="548">
        <f t="shared" si="19"/>
        <v>0</v>
      </c>
      <c r="M192" s="549">
        <f t="shared" si="20"/>
        <v>0</v>
      </c>
      <c r="O192" s="538" t="str">
        <f t="shared" si="21"/>
        <v/>
      </c>
      <c r="P192" s="550"/>
      <c r="Q192" s="551"/>
    </row>
    <row r="193" spans="1:17" s="253" customFormat="1" ht="20.100000000000001" hidden="1" customHeight="1" x14ac:dyDescent="0.25">
      <c r="A193" s="253" t="str">
        <f t="shared" si="22"/>
        <v/>
      </c>
      <c r="B193" s="609" t="str">
        <f>IF(LEFT(F193,1)="B",VLOOKUP(A193,COPY!$A$2:$AC$1000,4,FALSE),"")</f>
        <v/>
      </c>
      <c r="C193" s="586"/>
      <c r="D193" s="553"/>
      <c r="E193" s="553"/>
      <c r="F193" s="557" t="str">
        <f>IF(LEN(A193)&gt;2,LEFT(VLOOKUP(A193,COPY!$A$2:$AC$1000,29,FALSE),6),"")</f>
        <v/>
      </c>
      <c r="G193" s="558" t="str">
        <f>_xlfn.IFNA(IF(TEXT(F193,0)="Terima","",VLOOKUP(A193,COPY!$A$2:$AC$1000,29,FALSE)),"")</f>
        <v/>
      </c>
      <c r="H193" s="425"/>
      <c r="I193" s="559"/>
      <c r="J193" s="555"/>
      <c r="K193" s="608">
        <f>_xlfn.IFNA(IF(TEXT(F193,0)="Terima",0,VLOOKUP(A193,COPY!$A$2:$AC$1000,26,FALSE)),0)</f>
        <v>0</v>
      </c>
      <c r="L193" s="548">
        <f t="shared" si="19"/>
        <v>0</v>
      </c>
      <c r="M193" s="549">
        <f t="shared" si="20"/>
        <v>0</v>
      </c>
      <c r="O193" s="538" t="str">
        <f t="shared" si="21"/>
        <v/>
      </c>
      <c r="P193" s="550"/>
      <c r="Q193" s="551"/>
    </row>
    <row r="194" spans="1:17" s="253" customFormat="1" ht="20.100000000000001" hidden="1" customHeight="1" x14ac:dyDescent="0.25">
      <c r="A194" s="253" t="str">
        <f t="shared" si="22"/>
        <v/>
      </c>
      <c r="B194" s="609" t="str">
        <f>IF(LEFT(F194,1)="B",VLOOKUP(A194,COPY!$A$2:$AC$1000,4,FALSE),"")</f>
        <v/>
      </c>
      <c r="C194" s="586"/>
      <c r="D194" s="553"/>
      <c r="E194" s="553"/>
      <c r="F194" s="557" t="str">
        <f>IF(LEN(A194)&gt;2,LEFT(VLOOKUP(A194,COPY!$A$2:$AC$1000,29,FALSE),6),"")</f>
        <v/>
      </c>
      <c r="G194" s="558" t="str">
        <f>_xlfn.IFNA(IF(TEXT(F194,0)="Terima","",VLOOKUP(A194,COPY!$A$2:$AC$1000,29,FALSE)),"")</f>
        <v/>
      </c>
      <c r="H194" s="425"/>
      <c r="I194" s="559"/>
      <c r="J194" s="555"/>
      <c r="K194" s="608">
        <f>_xlfn.IFNA(IF(TEXT(F194,0)="Terima",0,VLOOKUP(A194,COPY!$A$2:$AC$1000,26,FALSE)),0)</f>
        <v>0</v>
      </c>
      <c r="L194" s="548">
        <f t="shared" si="19"/>
        <v>0</v>
      </c>
      <c r="M194" s="549">
        <f t="shared" si="20"/>
        <v>0</v>
      </c>
      <c r="O194" s="538" t="str">
        <f t="shared" si="21"/>
        <v/>
      </c>
      <c r="P194" s="550"/>
      <c r="Q194" s="551"/>
    </row>
    <row r="195" spans="1:17" s="253" customFormat="1" ht="20.100000000000001" hidden="1" customHeight="1" x14ac:dyDescent="0.25">
      <c r="A195" s="253" t="str">
        <f t="shared" si="22"/>
        <v/>
      </c>
      <c r="B195" s="609" t="str">
        <f>IF(LEFT(F195,1)="B",VLOOKUP(A195,COPY!$A$2:$AC$1000,4,FALSE),"")</f>
        <v/>
      </c>
      <c r="C195" s="586"/>
      <c r="D195" s="553"/>
      <c r="E195" s="553"/>
      <c r="F195" s="557" t="str">
        <f>IF(LEN(A195)&gt;2,LEFT(VLOOKUP(A195,COPY!$A$2:$AC$1000,29,FALSE),6),"")</f>
        <v/>
      </c>
      <c r="G195" s="558" t="str">
        <f>_xlfn.IFNA(IF(TEXT(F195,0)="Terima","",VLOOKUP(A195,COPY!$A$2:$AC$1000,29,FALSE)),"")</f>
        <v/>
      </c>
      <c r="H195" s="425"/>
      <c r="I195" s="559"/>
      <c r="J195" s="555"/>
      <c r="K195" s="608">
        <f>_xlfn.IFNA(IF(TEXT(F195,0)="Terima",0,VLOOKUP(A195,COPY!$A$2:$AC$1000,26,FALSE)),0)</f>
        <v>0</v>
      </c>
      <c r="L195" s="548">
        <f t="shared" si="19"/>
        <v>0</v>
      </c>
      <c r="M195" s="549">
        <f t="shared" si="20"/>
        <v>0</v>
      </c>
      <c r="O195" s="538" t="str">
        <f t="shared" si="21"/>
        <v/>
      </c>
      <c r="P195" s="550"/>
      <c r="Q195" s="551"/>
    </row>
    <row r="196" spans="1:17" s="253" customFormat="1" ht="20.100000000000001" hidden="1" customHeight="1" x14ac:dyDescent="0.25">
      <c r="A196" s="253" t="str">
        <f t="shared" si="22"/>
        <v/>
      </c>
      <c r="B196" s="609" t="str">
        <f>IF(LEFT(F196,1)="B",VLOOKUP(A196,COPY!$A$2:$AC$1000,4,FALSE),"")</f>
        <v/>
      </c>
      <c r="C196" s="586"/>
      <c r="D196" s="553"/>
      <c r="E196" s="553"/>
      <c r="F196" s="557" t="str">
        <f>IF(LEN(A196)&gt;2,LEFT(VLOOKUP(A196,COPY!$A$2:$AC$1000,29,FALSE),6),"")</f>
        <v/>
      </c>
      <c r="G196" s="558" t="str">
        <f>_xlfn.IFNA(IF(TEXT(F196,0)="Terima","",VLOOKUP(A196,COPY!$A$2:$AC$1000,29,FALSE)),"")</f>
        <v/>
      </c>
      <c r="H196" s="425"/>
      <c r="I196" s="559"/>
      <c r="J196" s="555"/>
      <c r="K196" s="608">
        <f>_xlfn.IFNA(IF(TEXT(F196,0)="Terima",0,VLOOKUP(A196,COPY!$A$2:$AC$1000,26,FALSE)),0)</f>
        <v>0</v>
      </c>
      <c r="L196" s="548">
        <f t="shared" si="19"/>
        <v>0</v>
      </c>
      <c r="M196" s="549">
        <f t="shared" si="20"/>
        <v>0</v>
      </c>
      <c r="O196" s="538" t="str">
        <f t="shared" si="21"/>
        <v/>
      </c>
      <c r="P196" s="550"/>
      <c r="Q196" s="551"/>
    </row>
    <row r="197" spans="1:17" s="253" customFormat="1" ht="20.100000000000001" hidden="1" customHeight="1" x14ac:dyDescent="0.25">
      <c r="A197" s="253" t="str">
        <f t="shared" si="22"/>
        <v/>
      </c>
      <c r="B197" s="609" t="str">
        <f>IF(LEFT(F197,1)="B",VLOOKUP(A197,COPY!$A$2:$AC$1000,4,FALSE),"")</f>
        <v/>
      </c>
      <c r="C197" s="586"/>
      <c r="D197" s="553"/>
      <c r="E197" s="553"/>
      <c r="F197" s="557" t="str">
        <f>IF(LEN(A197)&gt;2,LEFT(VLOOKUP(A197,COPY!$A$2:$AC$1000,29,FALSE),6),"")</f>
        <v/>
      </c>
      <c r="G197" s="558" t="str">
        <f>_xlfn.IFNA(IF(TEXT(F197,0)="Terima","",VLOOKUP(A197,COPY!$A$2:$AC$1000,29,FALSE)),"")</f>
        <v/>
      </c>
      <c r="H197" s="425"/>
      <c r="I197" s="559"/>
      <c r="J197" s="555"/>
      <c r="K197" s="608">
        <f>_xlfn.IFNA(IF(TEXT(F197,0)="Terima",0,VLOOKUP(A197,COPY!$A$2:$AC$1000,26,FALSE)),0)</f>
        <v>0</v>
      </c>
      <c r="L197" s="548">
        <f t="shared" si="19"/>
        <v>0</v>
      </c>
      <c r="M197" s="549">
        <f t="shared" si="20"/>
        <v>0</v>
      </c>
      <c r="O197" s="538" t="str">
        <f t="shared" si="21"/>
        <v/>
      </c>
      <c r="P197" s="550"/>
      <c r="Q197" s="551"/>
    </row>
    <row r="198" spans="1:17" s="253" customFormat="1" ht="20.100000000000001" hidden="1" customHeight="1" x14ac:dyDescent="0.25">
      <c r="A198" s="253" t="str">
        <f t="shared" si="22"/>
        <v/>
      </c>
      <c r="B198" s="609" t="str">
        <f>IF(LEFT(F198,1)="B",VLOOKUP(A198,COPY!$A$2:$AC$1000,4,FALSE),"")</f>
        <v/>
      </c>
      <c r="C198" s="586"/>
      <c r="D198" s="553"/>
      <c r="E198" s="553"/>
      <c r="F198" s="557" t="str">
        <f>IF(LEN(A198)&gt;2,LEFT(VLOOKUP(A198,COPY!$A$2:$AC$1000,29,FALSE),6),"")</f>
        <v/>
      </c>
      <c r="G198" s="558" t="str">
        <f>_xlfn.IFNA(IF(TEXT(F198,0)="Terima","",VLOOKUP(A198,COPY!$A$2:$AC$1000,29,FALSE)),"")</f>
        <v/>
      </c>
      <c r="H198" s="425"/>
      <c r="I198" s="559"/>
      <c r="J198" s="555"/>
      <c r="K198" s="608">
        <f>_xlfn.IFNA(IF(TEXT(F198,0)="Terima",0,VLOOKUP(A198,COPY!$A$2:$AC$1000,26,FALSE)),0)</f>
        <v>0</v>
      </c>
      <c r="L198" s="548">
        <f t="shared" si="19"/>
        <v>0</v>
      </c>
      <c r="M198" s="549">
        <f t="shared" si="20"/>
        <v>0</v>
      </c>
      <c r="O198" s="538" t="str">
        <f t="shared" si="21"/>
        <v/>
      </c>
      <c r="P198" s="550"/>
      <c r="Q198" s="551"/>
    </row>
    <row r="199" spans="1:17" s="253" customFormat="1" ht="20.100000000000001" hidden="1" customHeight="1" x14ac:dyDescent="0.25">
      <c r="A199" s="253" t="str">
        <f t="shared" si="22"/>
        <v/>
      </c>
      <c r="B199" s="609" t="str">
        <f>IF(LEFT(F199,1)="B",VLOOKUP(A199,COPY!$A$2:$AC$1000,4,FALSE),"")</f>
        <v/>
      </c>
      <c r="C199" s="586"/>
      <c r="D199" s="553"/>
      <c r="E199" s="553"/>
      <c r="F199" s="557" t="str">
        <f>IF(LEN(A199)&gt;2,LEFT(VLOOKUP(A199,COPY!$A$2:$AC$1000,29,FALSE),6),"")</f>
        <v/>
      </c>
      <c r="G199" s="558" t="str">
        <f>_xlfn.IFNA(IF(TEXT(F199,0)="Terima","",VLOOKUP(A199,COPY!$A$2:$AC$1000,29,FALSE)),"")</f>
        <v/>
      </c>
      <c r="H199" s="425"/>
      <c r="I199" s="559"/>
      <c r="J199" s="555"/>
      <c r="K199" s="608">
        <f>_xlfn.IFNA(IF(TEXT(F199,0)="Terima",0,VLOOKUP(A199,COPY!$A$2:$AC$1000,26,FALSE)),0)</f>
        <v>0</v>
      </c>
      <c r="L199" s="548">
        <f t="shared" si="19"/>
        <v>0</v>
      </c>
      <c r="M199" s="549">
        <f t="shared" si="20"/>
        <v>0</v>
      </c>
      <c r="O199" s="538" t="str">
        <f t="shared" si="21"/>
        <v/>
      </c>
      <c r="P199" s="550"/>
      <c r="Q199" s="551"/>
    </row>
    <row r="200" spans="1:17" s="253" customFormat="1" ht="20.100000000000001" hidden="1" customHeight="1" x14ac:dyDescent="0.25">
      <c r="A200" s="253" t="str">
        <f t="shared" si="22"/>
        <v/>
      </c>
      <c r="B200" s="609" t="str">
        <f>IF(LEFT(F200,1)="B",VLOOKUP(A200,COPY!$A$2:$AC$1000,4,FALSE),"")</f>
        <v/>
      </c>
      <c r="C200" s="586"/>
      <c r="D200" s="553"/>
      <c r="E200" s="553"/>
      <c r="F200" s="557" t="str">
        <f>IF(LEN(A200)&gt;2,LEFT(VLOOKUP(A200,COPY!$A$2:$AC$1000,29,FALSE),6),"")</f>
        <v/>
      </c>
      <c r="G200" s="558" t="str">
        <f>_xlfn.IFNA(IF(TEXT(F200,0)="Terima","",VLOOKUP(A200,COPY!$A$2:$AC$1000,29,FALSE)),"")</f>
        <v/>
      </c>
      <c r="H200" s="425"/>
      <c r="I200" s="559"/>
      <c r="J200" s="555"/>
      <c r="K200" s="608">
        <f>_xlfn.IFNA(IF(TEXT(F200,0)="Terima",0,VLOOKUP(A200,COPY!$A$2:$AC$1000,26,FALSE)),0)</f>
        <v>0</v>
      </c>
      <c r="L200" s="548">
        <f t="shared" si="19"/>
        <v>0</v>
      </c>
      <c r="M200" s="549">
        <f t="shared" si="20"/>
        <v>0</v>
      </c>
      <c r="O200" s="538" t="str">
        <f t="shared" si="21"/>
        <v/>
      </c>
      <c r="P200" s="550"/>
      <c r="Q200" s="551"/>
    </row>
    <row r="201" spans="1:17" s="253" customFormat="1" ht="20.100000000000001" hidden="1" customHeight="1" x14ac:dyDescent="0.25">
      <c r="A201" s="253" t="str">
        <f t="shared" si="22"/>
        <v/>
      </c>
      <c r="B201" s="609" t="str">
        <f>IF(LEFT(F201,1)="B",VLOOKUP(A201,COPY!$A$2:$AC$1000,4,FALSE),"")</f>
        <v/>
      </c>
      <c r="C201" s="586"/>
      <c r="D201" s="553"/>
      <c r="E201" s="553"/>
      <c r="F201" s="557" t="str">
        <f>IF(LEN(A201)&gt;2,LEFT(VLOOKUP(A201,COPY!$A$2:$AC$1000,29,FALSE),6),"")</f>
        <v/>
      </c>
      <c r="G201" s="558" t="str">
        <f>_xlfn.IFNA(IF(TEXT(F201,0)="Terima","",VLOOKUP(A201,COPY!$A$2:$AC$1000,29,FALSE)),"")</f>
        <v/>
      </c>
      <c r="H201" s="425"/>
      <c r="I201" s="559"/>
      <c r="J201" s="555"/>
      <c r="K201" s="608">
        <f>_xlfn.IFNA(IF(TEXT(F201,0)="Terima",0,VLOOKUP(A201,COPY!$A$2:$AC$1000,26,FALSE)),0)</f>
        <v>0</v>
      </c>
      <c r="L201" s="548">
        <f t="shared" si="19"/>
        <v>0</v>
      </c>
      <c r="M201" s="549">
        <f t="shared" si="20"/>
        <v>0</v>
      </c>
      <c r="O201" s="538" t="str">
        <f t="shared" si="21"/>
        <v/>
      </c>
      <c r="P201" s="550"/>
      <c r="Q201" s="551"/>
    </row>
    <row r="202" spans="1:17" s="253" customFormat="1" ht="20.100000000000001" hidden="1" customHeight="1" x14ac:dyDescent="0.25">
      <c r="A202" s="253" t="str">
        <f t="shared" si="22"/>
        <v/>
      </c>
      <c r="B202" s="609" t="str">
        <f>IF(LEFT(F202,1)="B",VLOOKUP(A202,COPY!$A$2:$AC$1000,4,FALSE),"")</f>
        <v/>
      </c>
      <c r="C202" s="586"/>
      <c r="D202" s="553"/>
      <c r="E202" s="553"/>
      <c r="F202" s="557" t="str">
        <f>IF(LEN(A202)&gt;2,LEFT(VLOOKUP(A202,COPY!$A$2:$AC$1000,29,FALSE),6),"")</f>
        <v/>
      </c>
      <c r="G202" s="558" t="str">
        <f>_xlfn.IFNA(IF(TEXT(F202,0)="Terima","",VLOOKUP(A202,COPY!$A$2:$AC$1000,29,FALSE)),"")</f>
        <v/>
      </c>
      <c r="H202" s="425"/>
      <c r="I202" s="559"/>
      <c r="J202" s="555"/>
      <c r="K202" s="608">
        <f>_xlfn.IFNA(IF(TEXT(F202,0)="Terima",0,VLOOKUP(A202,COPY!$A$2:$AC$1000,26,FALSE)),0)</f>
        <v>0</v>
      </c>
      <c r="L202" s="548">
        <f t="shared" si="19"/>
        <v>0</v>
      </c>
      <c r="M202" s="549">
        <f t="shared" si="20"/>
        <v>0</v>
      </c>
      <c r="O202" s="538" t="str">
        <f t="shared" si="21"/>
        <v/>
      </c>
      <c r="P202" s="550"/>
      <c r="Q202" s="551"/>
    </row>
    <row r="203" spans="1:17" s="253" customFormat="1" ht="20.100000000000001" hidden="1" customHeight="1" x14ac:dyDescent="0.25">
      <c r="A203" s="253" t="str">
        <f t="shared" si="22"/>
        <v/>
      </c>
      <c r="B203" s="609" t="str">
        <f>IF(LEFT(F203,1)="B",VLOOKUP(A203,COPY!$A$2:$AC$1000,4,FALSE),"")</f>
        <v/>
      </c>
      <c r="C203" s="586"/>
      <c r="D203" s="553"/>
      <c r="E203" s="553"/>
      <c r="F203" s="557" t="str">
        <f>IF(LEN(A203)&gt;2,LEFT(VLOOKUP(A203,COPY!$A$2:$AC$1000,29,FALSE),6),"")</f>
        <v/>
      </c>
      <c r="G203" s="558" t="str">
        <f>_xlfn.IFNA(IF(TEXT(F203,0)="Terima","",VLOOKUP(A203,COPY!$A$2:$AC$1000,29,FALSE)),"")</f>
        <v/>
      </c>
      <c r="H203" s="425"/>
      <c r="I203" s="559"/>
      <c r="J203" s="555"/>
      <c r="K203" s="608">
        <f>_xlfn.IFNA(IF(TEXT(F203,0)="Terima",0,VLOOKUP(A203,COPY!$A$2:$AC$1000,26,FALSE)),0)</f>
        <v>0</v>
      </c>
      <c r="L203" s="548">
        <f t="shared" si="19"/>
        <v>0</v>
      </c>
      <c r="M203" s="549">
        <f t="shared" si="20"/>
        <v>0</v>
      </c>
      <c r="O203" s="538" t="str">
        <f t="shared" si="21"/>
        <v/>
      </c>
      <c r="P203" s="550"/>
      <c r="Q203" s="551"/>
    </row>
    <row r="204" spans="1:17" s="253" customFormat="1" ht="20.100000000000001" hidden="1" customHeight="1" x14ac:dyDescent="0.25">
      <c r="A204" s="253" t="str">
        <f t="shared" si="22"/>
        <v/>
      </c>
      <c r="B204" s="609" t="str">
        <f>IF(LEFT(F204,1)="B",VLOOKUP(A204,COPY!$A$2:$AC$1000,4,FALSE),"")</f>
        <v/>
      </c>
      <c r="C204" s="586"/>
      <c r="D204" s="553"/>
      <c r="E204" s="553"/>
      <c r="F204" s="557" t="str">
        <f>IF(LEN(A204)&gt;2,LEFT(VLOOKUP(A204,COPY!$A$2:$AC$1000,29,FALSE),6),"")</f>
        <v/>
      </c>
      <c r="G204" s="558" t="str">
        <f>_xlfn.IFNA(IF(TEXT(F204,0)="Terima","",VLOOKUP(A204,COPY!$A$2:$AC$1000,29,FALSE)),"")</f>
        <v/>
      </c>
      <c r="H204" s="425"/>
      <c r="I204" s="559"/>
      <c r="J204" s="555"/>
      <c r="K204" s="608">
        <f>_xlfn.IFNA(IF(TEXT(F204,0)="Terima",0,VLOOKUP(A204,COPY!$A$2:$AC$1000,26,FALSE)),0)</f>
        <v>0</v>
      </c>
      <c r="L204" s="548">
        <f t="shared" si="19"/>
        <v>0</v>
      </c>
      <c r="M204" s="549">
        <f t="shared" si="20"/>
        <v>0</v>
      </c>
      <c r="O204" s="538" t="str">
        <f t="shared" si="21"/>
        <v/>
      </c>
      <c r="P204" s="550"/>
      <c r="Q204" s="551"/>
    </row>
    <row r="205" spans="1:17" s="253" customFormat="1" ht="20.100000000000001" hidden="1" customHeight="1" x14ac:dyDescent="0.25">
      <c r="A205" s="253" t="str">
        <f t="shared" si="22"/>
        <v/>
      </c>
      <c r="B205" s="609" t="str">
        <f>IF(LEFT(F205,1)="B",VLOOKUP(A205,COPY!$A$2:$AC$1000,4,FALSE),"")</f>
        <v/>
      </c>
      <c r="C205" s="586"/>
      <c r="D205" s="553"/>
      <c r="E205" s="553"/>
      <c r="F205" s="557" t="str">
        <f>IF(LEN(A205)&gt;2,LEFT(VLOOKUP(A205,COPY!$A$2:$AC$1000,29,FALSE),6),"")</f>
        <v/>
      </c>
      <c r="G205" s="558" t="str">
        <f>_xlfn.IFNA(IF(TEXT(F205,0)="Terima","",VLOOKUP(A205,COPY!$A$2:$AC$1000,29,FALSE)),"")</f>
        <v/>
      </c>
      <c r="H205" s="425"/>
      <c r="I205" s="559"/>
      <c r="J205" s="555"/>
      <c r="K205" s="608">
        <f>_xlfn.IFNA(IF(TEXT(F205,0)="Terima",0,VLOOKUP(A205,COPY!$A$2:$AC$1000,26,FALSE)),0)</f>
        <v>0</v>
      </c>
      <c r="L205" s="548">
        <f t="shared" si="19"/>
        <v>0</v>
      </c>
      <c r="M205" s="549">
        <f t="shared" si="20"/>
        <v>0</v>
      </c>
      <c r="O205" s="538" t="str">
        <f t="shared" si="21"/>
        <v/>
      </c>
      <c r="P205" s="550"/>
      <c r="Q205" s="551"/>
    </row>
    <row r="206" spans="1:17" s="253" customFormat="1" ht="20.100000000000001" hidden="1" customHeight="1" x14ac:dyDescent="0.25">
      <c r="A206" s="253" t="str">
        <f t="shared" si="22"/>
        <v/>
      </c>
      <c r="B206" s="609" t="str">
        <f>IF(LEFT(F206,1)="B",VLOOKUP(A206,COPY!$A$2:$AC$1000,4,FALSE),"")</f>
        <v/>
      </c>
      <c r="C206" s="586"/>
      <c r="D206" s="553"/>
      <c r="E206" s="553"/>
      <c r="F206" s="557" t="str">
        <f>IF(LEN(A206)&gt;2,LEFT(VLOOKUP(A206,COPY!$A$2:$AC$1000,29,FALSE),6),"")</f>
        <v/>
      </c>
      <c r="G206" s="558" t="str">
        <f>_xlfn.IFNA(IF(TEXT(F206,0)="Terima","",VLOOKUP(A206,COPY!$A$2:$AC$1000,29,FALSE)),"")</f>
        <v/>
      </c>
      <c r="H206" s="425"/>
      <c r="I206" s="559"/>
      <c r="J206" s="555"/>
      <c r="K206" s="608">
        <f>_xlfn.IFNA(IF(TEXT(F206,0)="Terima",0,VLOOKUP(A206,COPY!$A$2:$AC$1000,26,FALSE)),0)</f>
        <v>0</v>
      </c>
      <c r="L206" s="548">
        <f t="shared" si="19"/>
        <v>0</v>
      </c>
      <c r="M206" s="549">
        <f t="shared" si="20"/>
        <v>0</v>
      </c>
      <c r="O206" s="538" t="str">
        <f t="shared" si="21"/>
        <v/>
      </c>
      <c r="P206" s="550"/>
      <c r="Q206" s="551"/>
    </row>
    <row r="207" spans="1:17" s="253" customFormat="1" ht="20.100000000000001" hidden="1" customHeight="1" x14ac:dyDescent="0.25">
      <c r="A207" s="253" t="str">
        <f t="shared" si="22"/>
        <v/>
      </c>
      <c r="B207" s="609" t="str">
        <f>IF(LEFT(F207,1)="B",VLOOKUP(A207,COPY!$A$2:$AC$1000,4,FALSE),"")</f>
        <v/>
      </c>
      <c r="C207" s="586"/>
      <c r="D207" s="553"/>
      <c r="E207" s="553"/>
      <c r="F207" s="557" t="str">
        <f>IF(LEN(A207)&gt;2,LEFT(VLOOKUP(A207,COPY!$A$2:$AC$1000,29,FALSE),6),"")</f>
        <v/>
      </c>
      <c r="G207" s="558" t="str">
        <f>_xlfn.IFNA(IF(TEXT(F207,0)="Terima","",VLOOKUP(A207,COPY!$A$2:$AC$1000,29,FALSE)),"")</f>
        <v/>
      </c>
      <c r="H207" s="425"/>
      <c r="I207" s="559"/>
      <c r="J207" s="555"/>
      <c r="K207" s="608">
        <f>_xlfn.IFNA(IF(TEXT(F207,0)="Terima",0,VLOOKUP(A207,COPY!$A$2:$AC$1000,26,FALSE)),0)</f>
        <v>0</v>
      </c>
      <c r="L207" s="548">
        <f t="shared" si="19"/>
        <v>0</v>
      </c>
      <c r="M207" s="549">
        <f t="shared" si="20"/>
        <v>0</v>
      </c>
      <c r="O207" s="538" t="str">
        <f t="shared" si="21"/>
        <v/>
      </c>
      <c r="P207" s="550"/>
      <c r="Q207" s="551"/>
    </row>
    <row r="208" spans="1:17" s="253" customFormat="1" ht="20.100000000000001" hidden="1" customHeight="1" x14ac:dyDescent="0.25">
      <c r="A208" s="253" t="str">
        <f t="shared" si="22"/>
        <v/>
      </c>
      <c r="B208" s="609" t="str">
        <f>IF(LEFT(F208,1)="B",VLOOKUP(A208,COPY!$A$2:$AC$1000,4,FALSE),"")</f>
        <v/>
      </c>
      <c r="C208" s="586"/>
      <c r="D208" s="553"/>
      <c r="E208" s="553"/>
      <c r="F208" s="557" t="str">
        <f>IF(LEN(A208)&gt;2,LEFT(VLOOKUP(A208,COPY!$A$2:$AC$1000,29,FALSE),6),"")</f>
        <v/>
      </c>
      <c r="G208" s="558" t="str">
        <f>_xlfn.IFNA(IF(TEXT(F208,0)="Terima","",VLOOKUP(A208,COPY!$A$2:$AC$1000,29,FALSE)),"")</f>
        <v/>
      </c>
      <c r="H208" s="425"/>
      <c r="I208" s="559"/>
      <c r="J208" s="555"/>
      <c r="K208" s="608">
        <f>_xlfn.IFNA(IF(TEXT(F208,0)="Terima",0,VLOOKUP(A208,COPY!$A$2:$AC$1000,26,FALSE)),0)</f>
        <v>0</v>
      </c>
      <c r="L208" s="548">
        <f t="shared" si="19"/>
        <v>0</v>
      </c>
      <c r="M208" s="549">
        <f t="shared" si="20"/>
        <v>0</v>
      </c>
      <c r="O208" s="538" t="str">
        <f t="shared" si="21"/>
        <v/>
      </c>
      <c r="P208" s="550"/>
      <c r="Q208" s="551"/>
    </row>
    <row r="209" spans="1:17" s="253" customFormat="1" ht="20.100000000000001" hidden="1" customHeight="1" x14ac:dyDescent="0.25">
      <c r="A209" s="253" t="str">
        <f t="shared" si="22"/>
        <v/>
      </c>
      <c r="B209" s="609" t="str">
        <f>IF(LEFT(F209,1)="B",VLOOKUP(A209,COPY!$A$2:$AC$1000,4,FALSE),"")</f>
        <v/>
      </c>
      <c r="C209" s="586"/>
      <c r="D209" s="553"/>
      <c r="E209" s="553"/>
      <c r="F209" s="557" t="str">
        <f>IF(LEN(A209)&gt;2,LEFT(VLOOKUP(A209,COPY!$A$2:$AC$1000,29,FALSE),6),"")</f>
        <v/>
      </c>
      <c r="G209" s="558" t="str">
        <f>_xlfn.IFNA(IF(TEXT(F209,0)="Terima","",VLOOKUP(A209,COPY!$A$2:$AC$1000,29,FALSE)),"")</f>
        <v/>
      </c>
      <c r="H209" s="425"/>
      <c r="I209" s="559"/>
      <c r="J209" s="555"/>
      <c r="K209" s="608">
        <f>_xlfn.IFNA(IF(TEXT(F209,0)="Terima",0,VLOOKUP(A209,COPY!$A$2:$AC$1000,26,FALSE)),0)</f>
        <v>0</v>
      </c>
      <c r="L209" s="548">
        <f t="shared" si="19"/>
        <v>0</v>
      </c>
      <c r="M209" s="549">
        <f t="shared" si="20"/>
        <v>0</v>
      </c>
      <c r="O209" s="538" t="str">
        <f t="shared" si="21"/>
        <v/>
      </c>
      <c r="P209" s="550"/>
      <c r="Q209" s="551"/>
    </row>
    <row r="210" spans="1:17" s="253" customFormat="1" ht="20.100000000000001" hidden="1" customHeight="1" x14ac:dyDescent="0.25">
      <c r="A210" s="253" t="str">
        <f t="shared" si="22"/>
        <v/>
      </c>
      <c r="B210" s="609" t="str">
        <f>IF(LEFT(F210,1)="B",VLOOKUP(A210,COPY!$A$2:$AC$1000,4,FALSE),"")</f>
        <v/>
      </c>
      <c r="C210" s="586"/>
      <c r="D210" s="553"/>
      <c r="E210" s="553"/>
      <c r="F210" s="557" t="str">
        <f>IF(LEN(A210)&gt;2,LEFT(VLOOKUP(A210,COPY!$A$2:$AC$1000,29,FALSE),6),"")</f>
        <v/>
      </c>
      <c r="G210" s="558" t="str">
        <f>_xlfn.IFNA(IF(TEXT(F210,0)="Terima","",VLOOKUP(A210,COPY!$A$2:$AC$1000,29,FALSE)),"")</f>
        <v/>
      </c>
      <c r="H210" s="425"/>
      <c r="I210" s="559"/>
      <c r="J210" s="555"/>
      <c r="K210" s="608">
        <f>_xlfn.IFNA(IF(TEXT(F210,0)="Terima",0,VLOOKUP(A210,COPY!$A$2:$AC$1000,26,FALSE)),0)</f>
        <v>0</v>
      </c>
      <c r="L210" s="548">
        <f t="shared" si="19"/>
        <v>0</v>
      </c>
      <c r="M210" s="549">
        <f t="shared" si="20"/>
        <v>0</v>
      </c>
      <c r="O210" s="538" t="str">
        <f t="shared" si="21"/>
        <v/>
      </c>
      <c r="P210" s="550"/>
      <c r="Q210" s="551"/>
    </row>
    <row r="211" spans="1:17" s="253" customFormat="1" ht="20.100000000000001" hidden="1" customHeight="1" x14ac:dyDescent="0.25">
      <c r="A211" s="253" t="str">
        <f t="shared" si="22"/>
        <v/>
      </c>
      <c r="B211" s="609" t="str">
        <f>IF(LEFT(F211,1)="B",VLOOKUP(A211,COPY!$A$2:$AC$1000,4,FALSE),"")</f>
        <v/>
      </c>
      <c r="C211" s="586"/>
      <c r="D211" s="553"/>
      <c r="E211" s="553"/>
      <c r="F211" s="557" t="str">
        <f>IF(LEN(A211)&gt;2,LEFT(VLOOKUP(A211,COPY!$A$2:$AC$1000,29,FALSE),6),"")</f>
        <v/>
      </c>
      <c r="G211" s="558" t="str">
        <f>_xlfn.IFNA(IF(TEXT(F211,0)="Terima","",VLOOKUP(A211,COPY!$A$2:$AC$1000,29,FALSE)),"")</f>
        <v/>
      </c>
      <c r="H211" s="425"/>
      <c r="I211" s="559"/>
      <c r="J211" s="555"/>
      <c r="K211" s="608">
        <f>_xlfn.IFNA(IF(TEXT(F211,0)="Terima",0,VLOOKUP(A211,COPY!$A$2:$AC$1000,26,FALSE)),0)</f>
        <v>0</v>
      </c>
      <c r="L211" s="548">
        <f t="shared" si="19"/>
        <v>0</v>
      </c>
      <c r="M211" s="549">
        <f t="shared" si="20"/>
        <v>0</v>
      </c>
      <c r="O211" s="538" t="str">
        <f t="shared" si="21"/>
        <v/>
      </c>
      <c r="P211" s="550"/>
      <c r="Q211" s="551"/>
    </row>
    <row r="212" spans="1:17" s="253" customFormat="1" ht="20.100000000000001" hidden="1" customHeight="1" x14ac:dyDescent="0.25">
      <c r="A212" s="253" t="str">
        <f t="shared" si="22"/>
        <v/>
      </c>
      <c r="B212" s="609" t="str">
        <f>IF(LEFT(F212,1)="B",VLOOKUP(A212,COPY!$A$2:$AC$1000,4,FALSE),"")</f>
        <v/>
      </c>
      <c r="C212" s="586"/>
      <c r="D212" s="553"/>
      <c r="E212" s="553"/>
      <c r="F212" s="557" t="str">
        <f>IF(LEN(A212)&gt;2,LEFT(VLOOKUP(A212,COPY!$A$2:$AC$1000,29,FALSE),6),"")</f>
        <v/>
      </c>
      <c r="G212" s="558" t="str">
        <f>_xlfn.IFNA(IF(TEXT(F212,0)="Terima","",VLOOKUP(A212,COPY!$A$2:$AC$1000,29,FALSE)),"")</f>
        <v/>
      </c>
      <c r="H212" s="425"/>
      <c r="I212" s="559"/>
      <c r="J212" s="555"/>
      <c r="K212" s="608">
        <f>_xlfn.IFNA(IF(TEXT(F212,0)="Terima",0,VLOOKUP(A212,COPY!$A$2:$AC$1000,26,FALSE)),0)</f>
        <v>0</v>
      </c>
      <c r="L212" s="548">
        <f t="shared" si="19"/>
        <v>0</v>
      </c>
      <c r="M212" s="549">
        <f t="shared" si="20"/>
        <v>0</v>
      </c>
      <c r="O212" s="538" t="str">
        <f t="shared" si="21"/>
        <v/>
      </c>
      <c r="P212" s="550"/>
      <c r="Q212" s="551"/>
    </row>
    <row r="213" spans="1:17" s="253" customFormat="1" ht="20.100000000000001" hidden="1" customHeight="1" x14ac:dyDescent="0.25">
      <c r="A213" s="253" t="str">
        <f t="shared" si="22"/>
        <v/>
      </c>
      <c r="B213" s="609" t="str">
        <f>IF(LEFT(F213,1)="B",VLOOKUP(A213,COPY!$A$2:$AC$1000,4,FALSE),"")</f>
        <v/>
      </c>
      <c r="C213" s="586"/>
      <c r="D213" s="553"/>
      <c r="E213" s="553"/>
      <c r="F213" s="557" t="str">
        <f>IF(LEN(A213)&gt;2,LEFT(VLOOKUP(A213,COPY!$A$2:$AC$1000,29,FALSE),6),"")</f>
        <v/>
      </c>
      <c r="G213" s="558" t="str">
        <f>_xlfn.IFNA(IF(TEXT(F213,0)="Terima","",VLOOKUP(A213,COPY!$A$2:$AC$1000,29,FALSE)),"")</f>
        <v/>
      </c>
      <c r="H213" s="425"/>
      <c r="I213" s="559"/>
      <c r="J213" s="555"/>
      <c r="K213" s="608">
        <f>_xlfn.IFNA(IF(TEXT(F213,0)="Terima",0,VLOOKUP(A213,COPY!$A$2:$AC$1000,26,FALSE)),0)</f>
        <v>0</v>
      </c>
      <c r="L213" s="548">
        <f t="shared" si="19"/>
        <v>0</v>
      </c>
      <c r="M213" s="549">
        <f t="shared" si="20"/>
        <v>0</v>
      </c>
      <c r="O213" s="538" t="str">
        <f t="shared" si="21"/>
        <v/>
      </c>
      <c r="P213" s="550"/>
      <c r="Q213" s="551"/>
    </row>
    <row r="214" spans="1:17" s="253" customFormat="1" ht="20.100000000000001" hidden="1" customHeight="1" x14ac:dyDescent="0.25">
      <c r="A214" s="253" t="str">
        <f t="shared" si="22"/>
        <v/>
      </c>
      <c r="B214" s="609" t="str">
        <f>IF(LEFT(F214,1)="B",VLOOKUP(A214,COPY!$A$2:$AC$1000,4,FALSE),"")</f>
        <v/>
      </c>
      <c r="C214" s="586"/>
      <c r="D214" s="553"/>
      <c r="E214" s="553"/>
      <c r="F214" s="557" t="str">
        <f>IF(LEN(A214)&gt;2,LEFT(VLOOKUP(A214,COPY!$A$2:$AC$1000,29,FALSE),6),"")</f>
        <v/>
      </c>
      <c r="G214" s="558" t="str">
        <f>_xlfn.IFNA(IF(TEXT(F214,0)="Terima","",VLOOKUP(A214,COPY!$A$2:$AC$1000,29,FALSE)),"")</f>
        <v/>
      </c>
      <c r="H214" s="425"/>
      <c r="I214" s="559"/>
      <c r="J214" s="555"/>
      <c r="K214" s="608">
        <f>_xlfn.IFNA(IF(TEXT(F214,0)="Terima",0,VLOOKUP(A214,COPY!$A$2:$AC$1000,26,FALSE)),0)</f>
        <v>0</v>
      </c>
      <c r="L214" s="548">
        <f t="shared" si="19"/>
        <v>0</v>
      </c>
      <c r="M214" s="549">
        <f t="shared" si="20"/>
        <v>0</v>
      </c>
      <c r="O214" s="538" t="str">
        <f t="shared" si="21"/>
        <v/>
      </c>
      <c r="P214" s="550"/>
      <c r="Q214" s="551"/>
    </row>
    <row r="215" spans="1:17" s="253" customFormat="1" ht="20.100000000000001" hidden="1" customHeight="1" x14ac:dyDescent="0.25">
      <c r="A215" s="253" t="str">
        <f t="shared" si="22"/>
        <v/>
      </c>
      <c r="B215" s="609" t="str">
        <f>IF(LEFT(F215,1)="B",VLOOKUP(A215,COPY!$A$2:$AC$1000,4,FALSE),"")</f>
        <v/>
      </c>
      <c r="C215" s="586"/>
      <c r="D215" s="553"/>
      <c r="E215" s="553"/>
      <c r="F215" s="557" t="str">
        <f>IF(LEN(A215)&gt;2,LEFT(VLOOKUP(A215,COPY!$A$2:$AC$1000,29,FALSE),6),"")</f>
        <v/>
      </c>
      <c r="G215" s="558" t="str">
        <f>_xlfn.IFNA(IF(TEXT(F215,0)="Terima","",VLOOKUP(A215,COPY!$A$2:$AC$1000,29,FALSE)),"")</f>
        <v/>
      </c>
      <c r="H215" s="425"/>
      <c r="I215" s="559"/>
      <c r="J215" s="555"/>
      <c r="K215" s="608">
        <f>_xlfn.IFNA(IF(TEXT(F215,0)="Terima",0,VLOOKUP(A215,COPY!$A$2:$AC$1000,26,FALSE)),0)</f>
        <v>0</v>
      </c>
      <c r="L215" s="548">
        <f t="shared" si="19"/>
        <v>0</v>
      </c>
      <c r="M215" s="549">
        <f t="shared" si="20"/>
        <v>0</v>
      </c>
      <c r="O215" s="538" t="str">
        <f t="shared" si="21"/>
        <v/>
      </c>
      <c r="P215" s="550"/>
      <c r="Q215" s="551"/>
    </row>
    <row r="216" spans="1:17" s="253" customFormat="1" ht="20.100000000000001" hidden="1" customHeight="1" x14ac:dyDescent="0.25">
      <c r="A216" s="253" t="str">
        <f t="shared" si="22"/>
        <v/>
      </c>
      <c r="B216" s="609" t="str">
        <f>IF(LEFT(F216,1)="B",VLOOKUP(A216,COPY!$A$2:$AC$1000,4,FALSE),"")</f>
        <v/>
      </c>
      <c r="C216" s="586"/>
      <c r="D216" s="553"/>
      <c r="E216" s="553"/>
      <c r="F216" s="557" t="str">
        <f>IF(LEN(A216)&gt;2,LEFT(VLOOKUP(A216,COPY!$A$2:$AC$1000,29,FALSE),6),"")</f>
        <v/>
      </c>
      <c r="G216" s="558" t="str">
        <f>_xlfn.IFNA(IF(TEXT(F216,0)="Terima","",VLOOKUP(A216,COPY!$A$2:$AC$1000,29,FALSE)),"")</f>
        <v/>
      </c>
      <c r="H216" s="425"/>
      <c r="I216" s="559"/>
      <c r="J216" s="555"/>
      <c r="K216" s="608">
        <f>_xlfn.IFNA(IF(TEXT(F216,0)="Terima",0,VLOOKUP(A216,COPY!$A$2:$AC$1000,26,FALSE)),0)</f>
        <v>0</v>
      </c>
      <c r="L216" s="548">
        <f t="shared" si="19"/>
        <v>0</v>
      </c>
      <c r="M216" s="549">
        <f t="shared" si="20"/>
        <v>0</v>
      </c>
      <c r="O216" s="538" t="str">
        <f t="shared" si="21"/>
        <v/>
      </c>
      <c r="P216" s="550"/>
      <c r="Q216" s="551"/>
    </row>
    <row r="217" spans="1:17" s="253" customFormat="1" ht="20.100000000000001" hidden="1" customHeight="1" x14ac:dyDescent="0.25">
      <c r="A217" s="253" t="str">
        <f t="shared" si="22"/>
        <v/>
      </c>
      <c r="B217" s="609" t="str">
        <f>IF(LEFT(F217,1)="B",VLOOKUP(A217,COPY!$A$2:$AC$1000,4,FALSE),"")</f>
        <v/>
      </c>
      <c r="C217" s="586"/>
      <c r="D217" s="553"/>
      <c r="E217" s="553"/>
      <c r="F217" s="557" t="str">
        <f>IF(LEN(A217)&gt;2,LEFT(VLOOKUP(A217,COPY!$A$2:$AC$1000,29,FALSE),6),"")</f>
        <v/>
      </c>
      <c r="G217" s="558" t="str">
        <f>_xlfn.IFNA(IF(TEXT(F217,0)="Terima","",VLOOKUP(A217,COPY!$A$2:$AC$1000,29,FALSE)),"")</f>
        <v/>
      </c>
      <c r="H217" s="425"/>
      <c r="I217" s="559"/>
      <c r="J217" s="555"/>
      <c r="K217" s="608">
        <f>_xlfn.IFNA(IF(TEXT(F217,0)="Terima",0,VLOOKUP(A217,COPY!$A$2:$AC$1000,26,FALSE)),0)</f>
        <v>0</v>
      </c>
      <c r="L217" s="548">
        <f t="shared" si="19"/>
        <v>0</v>
      </c>
      <c r="M217" s="549">
        <f t="shared" si="20"/>
        <v>0</v>
      </c>
      <c r="O217" s="538" t="str">
        <f t="shared" si="21"/>
        <v/>
      </c>
      <c r="P217" s="550"/>
      <c r="Q217" s="551"/>
    </row>
    <row r="218" spans="1:17" s="253" customFormat="1" ht="20.100000000000001" hidden="1" customHeight="1" x14ac:dyDescent="0.25">
      <c r="A218" s="253" t="str">
        <f t="shared" si="22"/>
        <v/>
      </c>
      <c r="B218" s="609" t="str">
        <f>IF(LEFT(F218,1)="B",VLOOKUP(A218,COPY!$A$2:$AC$1000,4,FALSE),"")</f>
        <v/>
      </c>
      <c r="C218" s="586"/>
      <c r="D218" s="553"/>
      <c r="E218" s="553"/>
      <c r="F218" s="557" t="str">
        <f>IF(LEN(A218)&gt;2,LEFT(VLOOKUP(A218,COPY!$A$2:$AC$1000,29,FALSE),6),"")</f>
        <v/>
      </c>
      <c r="G218" s="558" t="str">
        <f>_xlfn.IFNA(IF(TEXT(F218,0)="Terima","",VLOOKUP(A218,COPY!$A$2:$AC$1000,29,FALSE)),"")</f>
        <v/>
      </c>
      <c r="H218" s="425"/>
      <c r="I218" s="559"/>
      <c r="J218" s="555"/>
      <c r="K218" s="608">
        <f>_xlfn.IFNA(IF(TEXT(F218,0)="Terima",0,VLOOKUP(A218,COPY!$A$2:$AC$1000,26,FALSE)),0)</f>
        <v>0</v>
      </c>
      <c r="L218" s="548">
        <f t="shared" si="19"/>
        <v>0</v>
      </c>
      <c r="M218" s="549">
        <f t="shared" si="20"/>
        <v>0</v>
      </c>
      <c r="O218" s="538" t="str">
        <f t="shared" si="21"/>
        <v/>
      </c>
      <c r="P218" s="550"/>
      <c r="Q218" s="551"/>
    </row>
    <row r="219" spans="1:17" s="253" customFormat="1" ht="20.100000000000001" hidden="1" customHeight="1" x14ac:dyDescent="0.25">
      <c r="A219" s="253" t="str">
        <f t="shared" si="22"/>
        <v/>
      </c>
      <c r="B219" s="609" t="str">
        <f>IF(LEFT(F219,1)="B",VLOOKUP(A219,COPY!$A$2:$AC$1000,4,FALSE),"")</f>
        <v/>
      </c>
      <c r="C219" s="586"/>
      <c r="D219" s="553"/>
      <c r="E219" s="553"/>
      <c r="F219" s="557" t="str">
        <f>IF(LEN(A219)&gt;2,LEFT(VLOOKUP(A219,COPY!$A$2:$AC$1000,29,FALSE),6),"")</f>
        <v/>
      </c>
      <c r="G219" s="558" t="str">
        <f>_xlfn.IFNA(IF(TEXT(F219,0)="Terima","",VLOOKUP(A219,COPY!$A$2:$AC$1000,29,FALSE)),"")</f>
        <v/>
      </c>
      <c r="H219" s="425"/>
      <c r="I219" s="559"/>
      <c r="J219" s="555"/>
      <c r="K219" s="608">
        <f>_xlfn.IFNA(IF(TEXT(F219,0)="Terima",0,VLOOKUP(A219,COPY!$A$2:$AC$1000,26,FALSE)),0)</f>
        <v>0</v>
      </c>
      <c r="L219" s="548">
        <f t="shared" si="19"/>
        <v>0</v>
      </c>
      <c r="M219" s="549">
        <f t="shared" si="20"/>
        <v>0</v>
      </c>
      <c r="O219" s="538" t="str">
        <f t="shared" si="21"/>
        <v/>
      </c>
      <c r="P219" s="550"/>
      <c r="Q219" s="551"/>
    </row>
    <row r="220" spans="1:17" s="253" customFormat="1" ht="20.100000000000001" hidden="1" customHeight="1" x14ac:dyDescent="0.25">
      <c r="A220" s="253" t="str">
        <f t="shared" si="22"/>
        <v/>
      </c>
      <c r="B220" s="609" t="str">
        <f>IF(LEFT(F220,1)="B",VLOOKUP(A220,COPY!$A$2:$AC$1000,4,FALSE),"")</f>
        <v/>
      </c>
      <c r="C220" s="586"/>
      <c r="D220" s="553"/>
      <c r="E220" s="553"/>
      <c r="F220" s="557" t="str">
        <f>IF(LEN(A220)&gt;2,LEFT(VLOOKUP(A220,COPY!$A$2:$AC$1000,29,FALSE),6),"")</f>
        <v/>
      </c>
      <c r="G220" s="558" t="str">
        <f>_xlfn.IFNA(IF(TEXT(F220,0)="Terima","",VLOOKUP(A220,COPY!$A$2:$AC$1000,29,FALSE)),"")</f>
        <v/>
      </c>
      <c r="H220" s="425"/>
      <c r="I220" s="559"/>
      <c r="J220" s="555"/>
      <c r="K220" s="608">
        <f>_xlfn.IFNA(IF(TEXT(F220,0)="Terima",0,VLOOKUP(A220,COPY!$A$2:$AC$1000,26,FALSE)),0)</f>
        <v>0</v>
      </c>
      <c r="L220" s="548">
        <f t="shared" si="19"/>
        <v>0</v>
      </c>
      <c r="M220" s="549">
        <f t="shared" si="20"/>
        <v>0</v>
      </c>
      <c r="O220" s="538" t="str">
        <f t="shared" si="21"/>
        <v/>
      </c>
      <c r="P220" s="550"/>
      <c r="Q220" s="551"/>
    </row>
    <row r="221" spans="1:17" s="253" customFormat="1" ht="20.100000000000001" hidden="1" customHeight="1" x14ac:dyDescent="0.25">
      <c r="A221" s="253" t="str">
        <f t="shared" si="22"/>
        <v/>
      </c>
      <c r="B221" s="609" t="str">
        <f>IF(LEFT(F221,1)="B",VLOOKUP(A221,COPY!$A$2:$AC$1000,4,FALSE),"")</f>
        <v/>
      </c>
      <c r="C221" s="586"/>
      <c r="D221" s="553"/>
      <c r="E221" s="553"/>
      <c r="F221" s="557" t="str">
        <f>IF(LEN(A221)&gt;2,LEFT(VLOOKUP(A221,COPY!$A$2:$AC$1000,29,FALSE),6),"")</f>
        <v/>
      </c>
      <c r="G221" s="558" t="str">
        <f>_xlfn.IFNA(IF(TEXT(F221,0)="Terima","",VLOOKUP(A221,COPY!$A$2:$AC$1000,29,FALSE)),"")</f>
        <v/>
      </c>
      <c r="H221" s="425"/>
      <c r="I221" s="559"/>
      <c r="J221" s="555"/>
      <c r="K221" s="608">
        <f>_xlfn.IFNA(IF(TEXT(F221,0)="Terima",0,VLOOKUP(A221,COPY!$A$2:$AC$1000,26,FALSE)),0)</f>
        <v>0</v>
      </c>
      <c r="L221" s="548">
        <f t="shared" si="19"/>
        <v>0</v>
      </c>
      <c r="M221" s="549">
        <f t="shared" si="20"/>
        <v>0</v>
      </c>
      <c r="O221" s="538" t="str">
        <f t="shared" si="21"/>
        <v/>
      </c>
      <c r="P221" s="550"/>
      <c r="Q221" s="551"/>
    </row>
    <row r="222" spans="1:17" s="253" customFormat="1" ht="20.100000000000001" hidden="1" customHeight="1" x14ac:dyDescent="0.25">
      <c r="A222" s="253" t="str">
        <f t="shared" si="22"/>
        <v/>
      </c>
      <c r="B222" s="609" t="str">
        <f>IF(LEFT(F222,1)="B",VLOOKUP(A222,COPY!$A$2:$AC$1000,4,FALSE),"")</f>
        <v/>
      </c>
      <c r="C222" s="586"/>
      <c r="D222" s="553"/>
      <c r="E222" s="553"/>
      <c r="F222" s="557" t="str">
        <f>IF(LEN(A222)&gt;2,LEFT(VLOOKUP(A222,COPY!$A$2:$AC$1000,29,FALSE),6),"")</f>
        <v/>
      </c>
      <c r="G222" s="558" t="str">
        <f>_xlfn.IFNA(IF(TEXT(F222,0)="Terima","",VLOOKUP(A222,COPY!$A$2:$AC$1000,29,FALSE)),"")</f>
        <v/>
      </c>
      <c r="H222" s="425"/>
      <c r="I222" s="559"/>
      <c r="J222" s="555"/>
      <c r="K222" s="608">
        <f>_xlfn.IFNA(IF(TEXT(F222,0)="Terima",0,VLOOKUP(A222,COPY!$A$2:$AC$1000,26,FALSE)),0)</f>
        <v>0</v>
      </c>
      <c r="L222" s="548">
        <f t="shared" si="19"/>
        <v>0</v>
      </c>
      <c r="M222" s="549">
        <f t="shared" si="20"/>
        <v>0</v>
      </c>
      <c r="O222" s="538" t="str">
        <f t="shared" si="21"/>
        <v/>
      </c>
      <c r="P222" s="550"/>
      <c r="Q222" s="551"/>
    </row>
    <row r="223" spans="1:17" s="253" customFormat="1" ht="20.100000000000001" hidden="1" customHeight="1" x14ac:dyDescent="0.25">
      <c r="A223" s="253" t="str">
        <f t="shared" si="22"/>
        <v/>
      </c>
      <c r="B223" s="609" t="str">
        <f>IF(LEFT(F223,1)="B",VLOOKUP(A223,COPY!$A$2:$AC$1000,4,FALSE),"")</f>
        <v/>
      </c>
      <c r="C223" s="586"/>
      <c r="D223" s="553"/>
      <c r="E223" s="553"/>
      <c r="F223" s="557" t="str">
        <f>IF(LEN(A223)&gt;2,LEFT(VLOOKUP(A223,COPY!$A$2:$AC$1000,29,FALSE),6),"")</f>
        <v/>
      </c>
      <c r="G223" s="558" t="str">
        <f>_xlfn.IFNA(IF(TEXT(F223,0)="Terima","",VLOOKUP(A223,COPY!$A$2:$AC$1000,29,FALSE)),"")</f>
        <v/>
      </c>
      <c r="H223" s="425"/>
      <c r="I223" s="559"/>
      <c r="J223" s="555"/>
      <c r="K223" s="608">
        <f>_xlfn.IFNA(IF(TEXT(F223,0)="Terima",0,VLOOKUP(A223,COPY!$A$2:$AC$1000,26,FALSE)),0)</f>
        <v>0</v>
      </c>
      <c r="L223" s="548">
        <f t="shared" si="19"/>
        <v>0</v>
      </c>
      <c r="M223" s="549">
        <f t="shared" si="20"/>
        <v>0</v>
      </c>
      <c r="O223" s="538" t="str">
        <f t="shared" si="21"/>
        <v/>
      </c>
      <c r="P223" s="550"/>
      <c r="Q223" s="551"/>
    </row>
    <row r="224" spans="1:17" s="253" customFormat="1" ht="20.100000000000001" hidden="1" customHeight="1" x14ac:dyDescent="0.25">
      <c r="A224" s="253" t="str">
        <f t="shared" si="22"/>
        <v/>
      </c>
      <c r="B224" s="609" t="str">
        <f>IF(LEFT(F224,1)="B",VLOOKUP(A224,COPY!$A$2:$AC$1000,4,FALSE),"")</f>
        <v/>
      </c>
      <c r="C224" s="586"/>
      <c r="D224" s="553"/>
      <c r="E224" s="553"/>
      <c r="F224" s="557" t="str">
        <f>IF(LEN(A224)&gt;2,LEFT(VLOOKUP(A224,COPY!$A$2:$AC$1000,29,FALSE),6),"")</f>
        <v/>
      </c>
      <c r="G224" s="558" t="str">
        <f>_xlfn.IFNA(IF(TEXT(F224,0)="Terima","",VLOOKUP(A224,COPY!$A$2:$AC$1000,29,FALSE)),"")</f>
        <v/>
      </c>
      <c r="H224" s="425"/>
      <c r="I224" s="559"/>
      <c r="J224" s="555"/>
      <c r="K224" s="608">
        <f>_xlfn.IFNA(IF(TEXT(F224,0)="Terima",0,VLOOKUP(A224,COPY!$A$2:$AC$1000,26,FALSE)),0)</f>
        <v>0</v>
      </c>
      <c r="L224" s="548">
        <f t="shared" si="19"/>
        <v>0</v>
      </c>
      <c r="M224" s="549">
        <f t="shared" si="20"/>
        <v>0</v>
      </c>
      <c r="O224" s="538" t="str">
        <f t="shared" si="21"/>
        <v/>
      </c>
      <c r="P224" s="550"/>
      <c r="Q224" s="551"/>
    </row>
    <row r="225" spans="1:17" s="253" customFormat="1" ht="20.100000000000001" hidden="1" customHeight="1" x14ac:dyDescent="0.25">
      <c r="A225" s="253" t="str">
        <f t="shared" si="22"/>
        <v/>
      </c>
      <c r="B225" s="609" t="str">
        <f>IF(LEFT(F225,1)="B",VLOOKUP(A225,COPY!$A$2:$AC$1000,4,FALSE),"")</f>
        <v/>
      </c>
      <c r="C225" s="586"/>
      <c r="D225" s="553"/>
      <c r="E225" s="553"/>
      <c r="F225" s="557" t="str">
        <f>IF(LEN(A225)&gt;2,LEFT(VLOOKUP(A225,COPY!$A$2:$AC$1000,29,FALSE),6),"")</f>
        <v/>
      </c>
      <c r="G225" s="558" t="str">
        <f>_xlfn.IFNA(IF(TEXT(F225,0)="Terima","",VLOOKUP(A225,COPY!$A$2:$AC$1000,29,FALSE)),"")</f>
        <v/>
      </c>
      <c r="H225" s="425"/>
      <c r="I225" s="559"/>
      <c r="J225" s="555"/>
      <c r="K225" s="608">
        <f>_xlfn.IFNA(IF(TEXT(F225,0)="Terima",0,VLOOKUP(A225,COPY!$A$2:$AC$1000,26,FALSE)),0)</f>
        <v>0</v>
      </c>
      <c r="L225" s="548">
        <f t="shared" si="19"/>
        <v>0</v>
      </c>
      <c r="M225" s="549">
        <f t="shared" si="20"/>
        <v>0</v>
      </c>
      <c r="O225" s="538" t="str">
        <f t="shared" si="21"/>
        <v/>
      </c>
      <c r="P225" s="550"/>
      <c r="Q225" s="551"/>
    </row>
    <row r="226" spans="1:17" s="253" customFormat="1" ht="20.100000000000001" hidden="1" customHeight="1" x14ac:dyDescent="0.25">
      <c r="A226" s="253" t="str">
        <f t="shared" si="22"/>
        <v/>
      </c>
      <c r="B226" s="609" t="str">
        <f>IF(LEFT(F226,1)="B",VLOOKUP(A226,COPY!$A$2:$AC$1000,4,FALSE),"")</f>
        <v/>
      </c>
      <c r="C226" s="586"/>
      <c r="D226" s="553"/>
      <c r="E226" s="553"/>
      <c r="F226" s="557" t="str">
        <f>IF(LEN(A226)&gt;2,LEFT(VLOOKUP(A226,COPY!$A$2:$AC$1000,29,FALSE),6),"")</f>
        <v/>
      </c>
      <c r="G226" s="558" t="str">
        <f>_xlfn.IFNA(IF(TEXT(F226,0)="Terima","",VLOOKUP(A226,COPY!$A$2:$AC$1000,29,FALSE)),"")</f>
        <v/>
      </c>
      <c r="H226" s="425"/>
      <c r="I226" s="559"/>
      <c r="J226" s="555"/>
      <c r="K226" s="608">
        <f>_xlfn.IFNA(IF(TEXT(F226,0)="Terima",0,VLOOKUP(A226,COPY!$A$2:$AC$1000,26,FALSE)),0)</f>
        <v>0</v>
      </c>
      <c r="L226" s="548">
        <f t="shared" si="19"/>
        <v>0</v>
      </c>
      <c r="M226" s="549">
        <f t="shared" si="20"/>
        <v>0</v>
      </c>
      <c r="O226" s="538" t="str">
        <f t="shared" si="21"/>
        <v/>
      </c>
      <c r="P226" s="550"/>
      <c r="Q226" s="551"/>
    </row>
    <row r="227" spans="1:17" s="253" customFormat="1" ht="20.100000000000001" hidden="1" customHeight="1" x14ac:dyDescent="0.25">
      <c r="A227" s="253" t="str">
        <f t="shared" si="22"/>
        <v/>
      </c>
      <c r="B227" s="609" t="str">
        <f>IF(LEFT(F227,1)="B",VLOOKUP(A227,COPY!$A$2:$AC$1000,4,FALSE),"")</f>
        <v/>
      </c>
      <c r="C227" s="586"/>
      <c r="D227" s="553"/>
      <c r="E227" s="553"/>
      <c r="F227" s="557" t="str">
        <f>IF(LEN(A227)&gt;2,LEFT(VLOOKUP(A227,COPY!$A$2:$AC$1000,29,FALSE),6),"")</f>
        <v/>
      </c>
      <c r="G227" s="558" t="str">
        <f>_xlfn.IFNA(IF(TEXT(F227,0)="Terima","",VLOOKUP(A227,COPY!$A$2:$AC$1000,29,FALSE)),"")</f>
        <v/>
      </c>
      <c r="H227" s="425"/>
      <c r="I227" s="559"/>
      <c r="J227" s="555"/>
      <c r="K227" s="608">
        <f>_xlfn.IFNA(IF(TEXT(F227,0)="Terima",0,VLOOKUP(A227,COPY!$A$2:$AC$1000,26,FALSE)),0)</f>
        <v>0</v>
      </c>
      <c r="L227" s="548">
        <f t="shared" si="19"/>
        <v>0</v>
      </c>
      <c r="M227" s="549">
        <f t="shared" si="20"/>
        <v>0</v>
      </c>
      <c r="O227" s="538" t="str">
        <f t="shared" si="21"/>
        <v/>
      </c>
      <c r="P227" s="550"/>
      <c r="Q227" s="551"/>
    </row>
    <row r="228" spans="1:17" s="253" customFormat="1" ht="20.100000000000001" hidden="1" customHeight="1" x14ac:dyDescent="0.25">
      <c r="A228" s="253" t="str">
        <f t="shared" si="22"/>
        <v/>
      </c>
      <c r="B228" s="609" t="str">
        <f>IF(LEFT(F228,1)="B",VLOOKUP(A228,COPY!$A$2:$AC$1000,4,FALSE),"")</f>
        <v/>
      </c>
      <c r="C228" s="586"/>
      <c r="D228" s="553"/>
      <c r="E228" s="553"/>
      <c r="F228" s="557" t="str">
        <f>IF(LEN(A228)&gt;2,LEFT(VLOOKUP(A228,COPY!$A$2:$AC$1000,29,FALSE),6),"")</f>
        <v/>
      </c>
      <c r="G228" s="558" t="str">
        <f>_xlfn.IFNA(IF(TEXT(F228,0)="Terima","",VLOOKUP(A228,COPY!$A$2:$AC$1000,29,FALSE)),"")</f>
        <v/>
      </c>
      <c r="H228" s="425"/>
      <c r="I228" s="559"/>
      <c r="J228" s="555"/>
      <c r="K228" s="608">
        <f>_xlfn.IFNA(IF(TEXT(F228,0)="Terima",0,VLOOKUP(A228,COPY!$A$2:$AC$1000,26,FALSE)),0)</f>
        <v>0</v>
      </c>
      <c r="L228" s="548">
        <f t="shared" si="19"/>
        <v>0</v>
      </c>
      <c r="M228" s="549">
        <f t="shared" si="20"/>
        <v>0</v>
      </c>
      <c r="O228" s="538" t="str">
        <f t="shared" si="21"/>
        <v/>
      </c>
      <c r="P228" s="550"/>
      <c r="Q228" s="551"/>
    </row>
    <row r="229" spans="1:17" s="253" customFormat="1" ht="20.100000000000001" hidden="1" customHeight="1" x14ac:dyDescent="0.25">
      <c r="A229" s="253" t="str">
        <f t="shared" si="22"/>
        <v/>
      </c>
      <c r="B229" s="609" t="str">
        <f>IF(LEFT(F229,1)="B",VLOOKUP(A229,COPY!$A$2:$AC$1000,4,FALSE),"")</f>
        <v/>
      </c>
      <c r="C229" s="586"/>
      <c r="D229" s="553"/>
      <c r="E229" s="553"/>
      <c r="F229" s="557" t="str">
        <f>IF(LEN(A229)&gt;2,LEFT(VLOOKUP(A229,COPY!$A$2:$AC$1000,29,FALSE),6),"")</f>
        <v/>
      </c>
      <c r="G229" s="558" t="str">
        <f>_xlfn.IFNA(IF(TEXT(F229,0)="Terima","",VLOOKUP(A229,COPY!$A$2:$AC$1000,29,FALSE)),"")</f>
        <v/>
      </c>
      <c r="H229" s="425"/>
      <c r="I229" s="559"/>
      <c r="J229" s="555"/>
      <c r="K229" s="608">
        <f>_xlfn.IFNA(IF(TEXT(F229,0)="Terima",0,VLOOKUP(A229,COPY!$A$2:$AC$1000,26,FALSE)),0)</f>
        <v>0</v>
      </c>
      <c r="L229" s="548">
        <f t="shared" si="19"/>
        <v>0</v>
      </c>
      <c r="M229" s="549">
        <f t="shared" si="20"/>
        <v>0</v>
      </c>
      <c r="O229" s="538" t="str">
        <f t="shared" si="21"/>
        <v/>
      </c>
      <c r="P229" s="550"/>
      <c r="Q229" s="551"/>
    </row>
    <row r="230" spans="1:17" s="253" customFormat="1" ht="20.100000000000001" hidden="1" customHeight="1" x14ac:dyDescent="0.25">
      <c r="A230" s="253" t="str">
        <f t="shared" si="22"/>
        <v/>
      </c>
      <c r="B230" s="609" t="str">
        <f>IF(LEFT(F230,1)="B",VLOOKUP(A230,COPY!$A$2:$AC$1000,4,FALSE),"")</f>
        <v/>
      </c>
      <c r="C230" s="586"/>
      <c r="D230" s="553"/>
      <c r="E230" s="553"/>
      <c r="F230" s="557" t="str">
        <f>IF(LEN(A230)&gt;2,LEFT(VLOOKUP(A230,COPY!$A$2:$AC$1000,29,FALSE),6),"")</f>
        <v/>
      </c>
      <c r="G230" s="558" t="str">
        <f>_xlfn.IFNA(IF(TEXT(F230,0)="Terima","",VLOOKUP(A230,COPY!$A$2:$AC$1000,29,FALSE)),"")</f>
        <v/>
      </c>
      <c r="H230" s="425"/>
      <c r="I230" s="559"/>
      <c r="J230" s="555"/>
      <c r="K230" s="608">
        <f>_xlfn.IFNA(IF(TEXT(F230,0)="Terima",0,VLOOKUP(A230,COPY!$A$2:$AC$1000,26,FALSE)),0)</f>
        <v>0</v>
      </c>
      <c r="L230" s="548">
        <f t="shared" si="19"/>
        <v>0</v>
      </c>
      <c r="M230" s="549">
        <f t="shared" si="20"/>
        <v>0</v>
      </c>
      <c r="O230" s="538" t="str">
        <f t="shared" si="21"/>
        <v/>
      </c>
      <c r="P230" s="550"/>
      <c r="Q230" s="551"/>
    </row>
    <row r="231" spans="1:17" s="253" customFormat="1" ht="20.100000000000001" hidden="1" customHeight="1" x14ac:dyDescent="0.25">
      <c r="A231" s="253" t="str">
        <f t="shared" si="22"/>
        <v/>
      </c>
      <c r="B231" s="609" t="str">
        <f>IF(LEFT(F231,1)="B",VLOOKUP(A231,COPY!$A$2:$AC$1000,4,FALSE),"")</f>
        <v/>
      </c>
      <c r="C231" s="586"/>
      <c r="D231" s="553"/>
      <c r="E231" s="553"/>
      <c r="F231" s="557" t="str">
        <f>IF(LEN(A231)&gt;2,LEFT(VLOOKUP(A231,COPY!$A$2:$AC$1000,29,FALSE),6),"")</f>
        <v/>
      </c>
      <c r="G231" s="558" t="str">
        <f>_xlfn.IFNA(IF(TEXT(F231,0)="Terima","",VLOOKUP(A231,COPY!$A$2:$AC$1000,29,FALSE)),"")</f>
        <v/>
      </c>
      <c r="H231" s="425"/>
      <c r="I231" s="559"/>
      <c r="J231" s="555"/>
      <c r="K231" s="608">
        <f>_xlfn.IFNA(IF(TEXT(F231,0)="Terima",0,VLOOKUP(A231,COPY!$A$2:$AC$1000,26,FALSE)),0)</f>
        <v>0</v>
      </c>
      <c r="L231" s="548">
        <f t="shared" si="19"/>
        <v>0</v>
      </c>
      <c r="M231" s="549">
        <f t="shared" si="20"/>
        <v>0</v>
      </c>
      <c r="O231" s="538" t="str">
        <f t="shared" si="21"/>
        <v/>
      </c>
      <c r="P231" s="550"/>
      <c r="Q231" s="551"/>
    </row>
    <row r="232" spans="1:17" s="253" customFormat="1" ht="20.100000000000001" hidden="1" customHeight="1" x14ac:dyDescent="0.25">
      <c r="A232" s="253" t="str">
        <f t="shared" si="22"/>
        <v/>
      </c>
      <c r="B232" s="609" t="str">
        <f>IF(LEFT(F232,1)="B",VLOOKUP(A232,COPY!$A$2:$AC$1000,4,FALSE),"")</f>
        <v/>
      </c>
      <c r="C232" s="586"/>
      <c r="D232" s="553"/>
      <c r="E232" s="553"/>
      <c r="F232" s="557" t="str">
        <f>IF(LEN(A232)&gt;2,LEFT(VLOOKUP(A232,COPY!$A$2:$AC$1000,29,FALSE),6),"")</f>
        <v/>
      </c>
      <c r="G232" s="558" t="str">
        <f>_xlfn.IFNA(IF(TEXT(F232,0)="Terima","",VLOOKUP(A232,COPY!$A$2:$AC$1000,29,FALSE)),"")</f>
        <v/>
      </c>
      <c r="H232" s="425"/>
      <c r="I232" s="559"/>
      <c r="J232" s="555"/>
      <c r="K232" s="608">
        <f>_xlfn.IFNA(IF(TEXT(F232,0)="Terima",0,VLOOKUP(A232,COPY!$A$2:$AC$1000,26,FALSE)),0)</f>
        <v>0</v>
      </c>
      <c r="L232" s="548">
        <f t="shared" si="19"/>
        <v>0</v>
      </c>
      <c r="M232" s="549">
        <f t="shared" si="20"/>
        <v>0</v>
      </c>
      <c r="O232" s="538" t="str">
        <f t="shared" si="21"/>
        <v/>
      </c>
      <c r="P232" s="550"/>
      <c r="Q232" s="551"/>
    </row>
    <row r="233" spans="1:17" s="253" customFormat="1" ht="20.100000000000001" hidden="1" customHeight="1" x14ac:dyDescent="0.25">
      <c r="A233" s="253" t="str">
        <f t="shared" si="22"/>
        <v/>
      </c>
      <c r="B233" s="609" t="str">
        <f>IF(LEFT(F233,1)="B",VLOOKUP(A233,COPY!$A$2:$AC$1000,4,FALSE),"")</f>
        <v/>
      </c>
      <c r="C233" s="586"/>
      <c r="D233" s="553"/>
      <c r="E233" s="553"/>
      <c r="F233" s="557" t="str">
        <f>IF(LEN(A233)&gt;2,LEFT(VLOOKUP(A233,COPY!$A$2:$AC$1000,29,FALSE),6),"")</f>
        <v/>
      </c>
      <c r="G233" s="558" t="str">
        <f>_xlfn.IFNA(IF(TEXT(F233,0)="Terima","",VLOOKUP(A233,COPY!$A$2:$AC$1000,29,FALSE)),"")</f>
        <v/>
      </c>
      <c r="H233" s="425"/>
      <c r="I233" s="559"/>
      <c r="J233" s="555"/>
      <c r="K233" s="608">
        <f>_xlfn.IFNA(IF(TEXT(F233,0)="Terima",0,VLOOKUP(A233,COPY!$A$2:$AC$1000,26,FALSE)),0)</f>
        <v>0</v>
      </c>
      <c r="L233" s="548">
        <f t="shared" si="19"/>
        <v>0</v>
      </c>
      <c r="M233" s="549">
        <f t="shared" si="20"/>
        <v>0</v>
      </c>
      <c r="O233" s="538" t="str">
        <f t="shared" si="21"/>
        <v/>
      </c>
      <c r="P233" s="550"/>
      <c r="Q233" s="551"/>
    </row>
    <row r="234" spans="1:17" s="253" customFormat="1" ht="20.100000000000001" hidden="1" customHeight="1" x14ac:dyDescent="0.25">
      <c r="A234" s="253" t="str">
        <f t="shared" si="22"/>
        <v/>
      </c>
      <c r="B234" s="609" t="str">
        <f>IF(LEFT(F234,1)="B",VLOOKUP(A234,COPY!$A$2:$AC$1000,4,FALSE),"")</f>
        <v/>
      </c>
      <c r="C234" s="586"/>
      <c r="D234" s="553"/>
      <c r="E234" s="553"/>
      <c r="F234" s="557" t="str">
        <f>IF(LEN(A234)&gt;2,LEFT(VLOOKUP(A234,COPY!$A$2:$AC$1000,29,FALSE),6),"")</f>
        <v/>
      </c>
      <c r="G234" s="558" t="str">
        <f>_xlfn.IFNA(IF(TEXT(F234,0)="Terima","",VLOOKUP(A234,COPY!$A$2:$AC$1000,29,FALSE)),"")</f>
        <v/>
      </c>
      <c r="H234" s="425"/>
      <c r="I234" s="559"/>
      <c r="J234" s="555"/>
      <c r="K234" s="608">
        <f>_xlfn.IFNA(IF(TEXT(F234,0)="Terima",0,VLOOKUP(A234,COPY!$A$2:$AC$1000,26,FALSE)),0)</f>
        <v>0</v>
      </c>
      <c r="L234" s="548">
        <f t="shared" ref="L234:L297" si="23">IF(K234&gt;0,IF(O234&gt;=0,O234,IF(O234&lt;0,0,0)),0)</f>
        <v>0</v>
      </c>
      <c r="M234" s="549">
        <f t="shared" ref="M234:M297" si="24">IF(O234&lt;0,O234,IF(O234&gt;=0,0,0))</f>
        <v>0</v>
      </c>
      <c r="O234" s="538" t="str">
        <f t="shared" ref="O234:O297" si="25">IF(J234&gt;0,O233+J234,IF(K234&gt;0,O233-K234,O233))</f>
        <v/>
      </c>
      <c r="P234" s="550"/>
      <c r="Q234" s="551"/>
    </row>
    <row r="235" spans="1:17" s="253" customFormat="1" ht="20.100000000000001" hidden="1" customHeight="1" x14ac:dyDescent="0.25">
      <c r="A235" s="253" t="str">
        <f t="shared" ref="A235:A298" si="26">A80</f>
        <v/>
      </c>
      <c r="B235" s="609" t="str">
        <f>IF(LEFT(F235,1)="B",VLOOKUP(A235,COPY!$A$2:$AC$1000,4,FALSE),"")</f>
        <v/>
      </c>
      <c r="C235" s="586"/>
      <c r="D235" s="553"/>
      <c r="E235" s="553"/>
      <c r="F235" s="557" t="str">
        <f>IF(LEN(A235)&gt;2,LEFT(VLOOKUP(A235,COPY!$A$2:$AC$1000,29,FALSE),6),"")</f>
        <v/>
      </c>
      <c r="G235" s="558" t="str">
        <f>_xlfn.IFNA(IF(TEXT(F235,0)="Terima","",VLOOKUP(A235,COPY!$A$2:$AC$1000,29,FALSE)),"")</f>
        <v/>
      </c>
      <c r="H235" s="425"/>
      <c r="I235" s="559"/>
      <c r="J235" s="555"/>
      <c r="K235" s="608">
        <f>_xlfn.IFNA(IF(TEXT(F235,0)="Terima",0,VLOOKUP(A235,COPY!$A$2:$AC$1000,26,FALSE)),0)</f>
        <v>0</v>
      </c>
      <c r="L235" s="548">
        <f t="shared" si="23"/>
        <v>0</v>
      </c>
      <c r="M235" s="549">
        <f t="shared" si="24"/>
        <v>0</v>
      </c>
      <c r="O235" s="538" t="str">
        <f t="shared" si="25"/>
        <v/>
      </c>
      <c r="P235" s="550"/>
      <c r="Q235" s="551"/>
    </row>
    <row r="236" spans="1:17" s="253" customFormat="1" ht="20.100000000000001" hidden="1" customHeight="1" x14ac:dyDescent="0.25">
      <c r="A236" s="253" t="str">
        <f t="shared" si="26"/>
        <v/>
      </c>
      <c r="B236" s="609" t="str">
        <f>IF(LEFT(F236,1)="B",VLOOKUP(A236,COPY!$A$2:$AC$1000,4,FALSE),"")</f>
        <v/>
      </c>
      <c r="C236" s="586"/>
      <c r="D236" s="553"/>
      <c r="E236" s="553"/>
      <c r="F236" s="557" t="str">
        <f>IF(LEN(A236)&gt;2,LEFT(VLOOKUP(A236,COPY!$A$2:$AC$1000,29,FALSE),6),"")</f>
        <v/>
      </c>
      <c r="G236" s="558" t="str">
        <f>_xlfn.IFNA(IF(TEXT(F236,0)="Terima","",VLOOKUP(A236,COPY!$A$2:$AC$1000,29,FALSE)),"")</f>
        <v/>
      </c>
      <c r="H236" s="425"/>
      <c r="I236" s="559"/>
      <c r="J236" s="555"/>
      <c r="K236" s="608">
        <f>_xlfn.IFNA(IF(TEXT(F236,0)="Terima",0,VLOOKUP(A236,COPY!$A$2:$AC$1000,26,FALSE)),0)</f>
        <v>0</v>
      </c>
      <c r="L236" s="548">
        <f t="shared" si="23"/>
        <v>0</v>
      </c>
      <c r="M236" s="549">
        <f t="shared" si="24"/>
        <v>0</v>
      </c>
      <c r="O236" s="538" t="str">
        <f t="shared" si="25"/>
        <v/>
      </c>
      <c r="P236" s="550"/>
      <c r="Q236" s="551"/>
    </row>
    <row r="237" spans="1:17" s="253" customFormat="1" ht="20.100000000000001" hidden="1" customHeight="1" x14ac:dyDescent="0.25">
      <c r="A237" s="253" t="str">
        <f t="shared" si="26"/>
        <v/>
      </c>
      <c r="B237" s="609" t="str">
        <f>IF(LEFT(F237,1)="B",VLOOKUP(A237,COPY!$A$2:$AC$1000,4,FALSE),"")</f>
        <v/>
      </c>
      <c r="C237" s="586"/>
      <c r="D237" s="553"/>
      <c r="E237" s="553"/>
      <c r="F237" s="557" t="str">
        <f>IF(LEN(A237)&gt;2,LEFT(VLOOKUP(A237,COPY!$A$2:$AC$1000,29,FALSE),6),"")</f>
        <v/>
      </c>
      <c r="G237" s="558" t="str">
        <f>_xlfn.IFNA(IF(TEXT(F237,0)="Terima","",VLOOKUP(A237,COPY!$A$2:$AC$1000,29,FALSE)),"")</f>
        <v/>
      </c>
      <c r="H237" s="425"/>
      <c r="I237" s="559"/>
      <c r="J237" s="555"/>
      <c r="K237" s="608">
        <f>_xlfn.IFNA(IF(TEXT(F237,0)="Terima",0,VLOOKUP(A237,COPY!$A$2:$AC$1000,26,FALSE)),0)</f>
        <v>0</v>
      </c>
      <c r="L237" s="548">
        <f t="shared" si="23"/>
        <v>0</v>
      </c>
      <c r="M237" s="549">
        <f t="shared" si="24"/>
        <v>0</v>
      </c>
      <c r="O237" s="538" t="str">
        <f t="shared" si="25"/>
        <v/>
      </c>
      <c r="P237" s="550"/>
      <c r="Q237" s="551"/>
    </row>
    <row r="238" spans="1:17" s="253" customFormat="1" ht="20.100000000000001" hidden="1" customHeight="1" x14ac:dyDescent="0.25">
      <c r="A238" s="253" t="str">
        <f t="shared" si="26"/>
        <v/>
      </c>
      <c r="B238" s="609" t="str">
        <f>IF(LEFT(F238,1)="B",VLOOKUP(A238,COPY!$A$2:$AC$1000,4,FALSE),"")</f>
        <v/>
      </c>
      <c r="C238" s="586"/>
      <c r="D238" s="553"/>
      <c r="E238" s="553"/>
      <c r="F238" s="557" t="str">
        <f>IF(LEN(A238)&gt;2,LEFT(VLOOKUP(A238,COPY!$A$2:$AC$1000,29,FALSE),6),"")</f>
        <v/>
      </c>
      <c r="G238" s="558" t="str">
        <f>_xlfn.IFNA(IF(TEXT(F238,0)="Terima","",VLOOKUP(A238,COPY!$A$2:$AC$1000,29,FALSE)),"")</f>
        <v/>
      </c>
      <c r="H238" s="425"/>
      <c r="I238" s="559"/>
      <c r="J238" s="555"/>
      <c r="K238" s="608">
        <f>_xlfn.IFNA(IF(TEXT(F238,0)="Terima",0,VLOOKUP(A238,COPY!$A$2:$AC$1000,26,FALSE)),0)</f>
        <v>0</v>
      </c>
      <c r="L238" s="548">
        <f t="shared" si="23"/>
        <v>0</v>
      </c>
      <c r="M238" s="549">
        <f t="shared" si="24"/>
        <v>0</v>
      </c>
      <c r="O238" s="538" t="str">
        <f t="shared" si="25"/>
        <v/>
      </c>
      <c r="P238" s="550"/>
      <c r="Q238" s="551"/>
    </row>
    <row r="239" spans="1:17" s="253" customFormat="1" ht="20.100000000000001" hidden="1" customHeight="1" x14ac:dyDescent="0.25">
      <c r="A239" s="253" t="str">
        <f t="shared" si="26"/>
        <v/>
      </c>
      <c r="B239" s="609" t="str">
        <f>IF(LEFT(F239,1)="B",VLOOKUP(A239,COPY!$A$2:$AC$1000,4,FALSE),"")</f>
        <v/>
      </c>
      <c r="C239" s="586"/>
      <c r="D239" s="553"/>
      <c r="E239" s="553"/>
      <c r="F239" s="557" t="str">
        <f>IF(LEN(A239)&gt;2,LEFT(VLOOKUP(A239,COPY!$A$2:$AC$1000,29,FALSE),6),"")</f>
        <v/>
      </c>
      <c r="G239" s="558" t="str">
        <f>_xlfn.IFNA(IF(TEXT(F239,0)="Terima","",VLOOKUP(A239,COPY!$A$2:$AC$1000,29,FALSE)),"")</f>
        <v/>
      </c>
      <c r="H239" s="425"/>
      <c r="I239" s="559"/>
      <c r="J239" s="555"/>
      <c r="K239" s="608">
        <f>_xlfn.IFNA(IF(TEXT(F239,0)="Terima",0,VLOOKUP(A239,COPY!$A$2:$AC$1000,26,FALSE)),0)</f>
        <v>0</v>
      </c>
      <c r="L239" s="548">
        <f t="shared" si="23"/>
        <v>0</v>
      </c>
      <c r="M239" s="549">
        <f t="shared" si="24"/>
        <v>0</v>
      </c>
      <c r="O239" s="538" t="str">
        <f t="shared" si="25"/>
        <v/>
      </c>
      <c r="P239" s="550"/>
      <c r="Q239" s="551"/>
    </row>
    <row r="240" spans="1:17" s="253" customFormat="1" ht="20.100000000000001" hidden="1" customHeight="1" x14ac:dyDescent="0.25">
      <c r="A240" s="253" t="str">
        <f t="shared" si="26"/>
        <v/>
      </c>
      <c r="B240" s="609" t="str">
        <f>IF(LEFT(F240,1)="B",VLOOKUP(A240,COPY!$A$2:$AC$1000,4,FALSE),"")</f>
        <v/>
      </c>
      <c r="C240" s="586"/>
      <c r="D240" s="553"/>
      <c r="E240" s="553"/>
      <c r="F240" s="557" t="str">
        <f>IF(LEN(A240)&gt;2,LEFT(VLOOKUP(A240,COPY!$A$2:$AC$1000,29,FALSE),6),"")</f>
        <v/>
      </c>
      <c r="G240" s="558" t="str">
        <f>_xlfn.IFNA(IF(TEXT(F240,0)="Terima","",VLOOKUP(A240,COPY!$A$2:$AC$1000,29,FALSE)),"")</f>
        <v/>
      </c>
      <c r="H240" s="425"/>
      <c r="I240" s="559"/>
      <c r="J240" s="555"/>
      <c r="K240" s="608">
        <f>_xlfn.IFNA(IF(TEXT(F240,0)="Terima",0,VLOOKUP(A240,COPY!$A$2:$AC$1000,26,FALSE)),0)</f>
        <v>0</v>
      </c>
      <c r="L240" s="548">
        <f t="shared" si="23"/>
        <v>0</v>
      </c>
      <c r="M240" s="549">
        <f t="shared" si="24"/>
        <v>0</v>
      </c>
      <c r="O240" s="538" t="str">
        <f t="shared" si="25"/>
        <v/>
      </c>
      <c r="P240" s="550"/>
      <c r="Q240" s="551"/>
    </row>
    <row r="241" spans="1:17" s="253" customFormat="1" ht="20.100000000000001" hidden="1" customHeight="1" x14ac:dyDescent="0.25">
      <c r="A241" s="253" t="str">
        <f t="shared" si="26"/>
        <v/>
      </c>
      <c r="B241" s="609" t="str">
        <f>IF(LEFT(F241,1)="B",VLOOKUP(A241,COPY!$A$2:$AC$1000,4,FALSE),"")</f>
        <v/>
      </c>
      <c r="C241" s="586"/>
      <c r="D241" s="553"/>
      <c r="E241" s="553"/>
      <c r="F241" s="557" t="str">
        <f>IF(LEN(A241)&gt;2,LEFT(VLOOKUP(A241,COPY!$A$2:$AC$1000,29,FALSE),6),"")</f>
        <v/>
      </c>
      <c r="G241" s="558" t="str">
        <f>_xlfn.IFNA(IF(TEXT(F241,0)="Terima","",VLOOKUP(A241,COPY!$A$2:$AC$1000,29,FALSE)),"")</f>
        <v/>
      </c>
      <c r="H241" s="425"/>
      <c r="I241" s="559"/>
      <c r="J241" s="555"/>
      <c r="K241" s="608">
        <f>_xlfn.IFNA(IF(TEXT(F241,0)="Terima",0,VLOOKUP(A241,COPY!$A$2:$AC$1000,26,FALSE)),0)</f>
        <v>0</v>
      </c>
      <c r="L241" s="548">
        <f t="shared" si="23"/>
        <v>0</v>
      </c>
      <c r="M241" s="549">
        <f t="shared" si="24"/>
        <v>0</v>
      </c>
      <c r="O241" s="538" t="str">
        <f t="shared" si="25"/>
        <v/>
      </c>
      <c r="P241" s="550"/>
      <c r="Q241" s="551"/>
    </row>
    <row r="242" spans="1:17" s="253" customFormat="1" ht="20.100000000000001" hidden="1" customHeight="1" x14ac:dyDescent="0.25">
      <c r="A242" s="253" t="str">
        <f t="shared" si="26"/>
        <v/>
      </c>
      <c r="B242" s="609" t="str">
        <f>IF(LEFT(F242,1)="B",VLOOKUP(A242,COPY!$A$2:$AC$1000,4,FALSE),"")</f>
        <v/>
      </c>
      <c r="C242" s="586"/>
      <c r="D242" s="553"/>
      <c r="E242" s="553"/>
      <c r="F242" s="557" t="str">
        <f>IF(LEN(A242)&gt;2,LEFT(VLOOKUP(A242,COPY!$A$2:$AC$1000,29,FALSE),6),"")</f>
        <v/>
      </c>
      <c r="G242" s="558" t="str">
        <f>_xlfn.IFNA(IF(TEXT(F242,0)="Terima","",VLOOKUP(A242,COPY!$A$2:$AC$1000,29,FALSE)),"")</f>
        <v/>
      </c>
      <c r="H242" s="425"/>
      <c r="I242" s="559"/>
      <c r="J242" s="555"/>
      <c r="K242" s="608">
        <f>_xlfn.IFNA(IF(TEXT(F242,0)="Terima",0,VLOOKUP(A242,COPY!$A$2:$AC$1000,26,FALSE)),0)</f>
        <v>0</v>
      </c>
      <c r="L242" s="548">
        <f t="shared" si="23"/>
        <v>0</v>
      </c>
      <c r="M242" s="549">
        <f t="shared" si="24"/>
        <v>0</v>
      </c>
      <c r="O242" s="538" t="str">
        <f t="shared" si="25"/>
        <v/>
      </c>
      <c r="P242" s="550"/>
      <c r="Q242" s="551"/>
    </row>
    <row r="243" spans="1:17" s="253" customFormat="1" ht="20.100000000000001" hidden="1" customHeight="1" x14ac:dyDescent="0.25">
      <c r="A243" s="253" t="str">
        <f t="shared" si="26"/>
        <v/>
      </c>
      <c r="B243" s="609" t="str">
        <f>IF(LEFT(F243,1)="B",VLOOKUP(A243,COPY!$A$2:$AC$1000,4,FALSE),"")</f>
        <v/>
      </c>
      <c r="C243" s="586"/>
      <c r="D243" s="553"/>
      <c r="E243" s="553"/>
      <c r="F243" s="557" t="str">
        <f>IF(LEN(A243)&gt;2,LEFT(VLOOKUP(A243,COPY!$A$2:$AC$1000,29,FALSE),6),"")</f>
        <v/>
      </c>
      <c r="G243" s="558" t="str">
        <f>_xlfn.IFNA(IF(TEXT(F243,0)="Terima","",VLOOKUP(A243,COPY!$A$2:$AC$1000,29,FALSE)),"")</f>
        <v/>
      </c>
      <c r="H243" s="425"/>
      <c r="I243" s="559"/>
      <c r="J243" s="555"/>
      <c r="K243" s="608">
        <f>_xlfn.IFNA(IF(TEXT(F243,0)="Terima",0,VLOOKUP(A243,COPY!$A$2:$AC$1000,26,FALSE)),0)</f>
        <v>0</v>
      </c>
      <c r="L243" s="548">
        <f t="shared" si="23"/>
        <v>0</v>
      </c>
      <c r="M243" s="549">
        <f t="shared" si="24"/>
        <v>0</v>
      </c>
      <c r="O243" s="538" t="str">
        <f t="shared" si="25"/>
        <v/>
      </c>
      <c r="P243" s="550"/>
      <c r="Q243" s="551"/>
    </row>
    <row r="244" spans="1:17" s="253" customFormat="1" ht="20.100000000000001" hidden="1" customHeight="1" x14ac:dyDescent="0.25">
      <c r="A244" s="253" t="str">
        <f t="shared" si="26"/>
        <v/>
      </c>
      <c r="B244" s="609" t="str">
        <f>IF(LEFT(F244,1)="B",VLOOKUP(A244,COPY!$A$2:$AC$1000,4,FALSE),"")</f>
        <v/>
      </c>
      <c r="C244" s="586"/>
      <c r="D244" s="553"/>
      <c r="E244" s="553"/>
      <c r="F244" s="557" t="str">
        <f>IF(LEN(A244)&gt;2,LEFT(VLOOKUP(A244,COPY!$A$2:$AC$1000,29,FALSE),6),"")</f>
        <v/>
      </c>
      <c r="G244" s="558" t="str">
        <f>_xlfn.IFNA(IF(TEXT(F244,0)="Terima","",VLOOKUP(A244,COPY!$A$2:$AC$1000,29,FALSE)),"")</f>
        <v/>
      </c>
      <c r="H244" s="425"/>
      <c r="I244" s="559"/>
      <c r="J244" s="555"/>
      <c r="K244" s="608">
        <f>_xlfn.IFNA(IF(TEXT(F244,0)="Terima",0,VLOOKUP(A244,COPY!$A$2:$AC$1000,26,FALSE)),0)</f>
        <v>0</v>
      </c>
      <c r="L244" s="548">
        <f t="shared" si="23"/>
        <v>0</v>
      </c>
      <c r="M244" s="549">
        <f t="shared" si="24"/>
        <v>0</v>
      </c>
      <c r="O244" s="538" t="str">
        <f t="shared" si="25"/>
        <v/>
      </c>
      <c r="P244" s="550"/>
      <c r="Q244" s="551"/>
    </row>
    <row r="245" spans="1:17" s="253" customFormat="1" ht="20.100000000000001" hidden="1" customHeight="1" x14ac:dyDescent="0.25">
      <c r="A245" s="253" t="str">
        <f t="shared" si="26"/>
        <v/>
      </c>
      <c r="B245" s="609" t="str">
        <f>IF(LEFT(F245,1)="B",VLOOKUP(A245,COPY!$A$2:$AC$1000,4,FALSE),"")</f>
        <v/>
      </c>
      <c r="C245" s="586"/>
      <c r="D245" s="553"/>
      <c r="E245" s="553"/>
      <c r="F245" s="557" t="str">
        <f>IF(LEN(A245)&gt;2,LEFT(VLOOKUP(A245,COPY!$A$2:$AC$1000,29,FALSE),6),"")</f>
        <v/>
      </c>
      <c r="G245" s="558" t="str">
        <f>_xlfn.IFNA(IF(TEXT(F245,0)="Terima","",VLOOKUP(A245,COPY!$A$2:$AC$1000,29,FALSE)),"")</f>
        <v/>
      </c>
      <c r="H245" s="425"/>
      <c r="I245" s="559"/>
      <c r="J245" s="555"/>
      <c r="K245" s="608">
        <f>_xlfn.IFNA(IF(TEXT(F245,0)="Terima",0,VLOOKUP(A245,COPY!$A$2:$AC$1000,26,FALSE)),0)</f>
        <v>0</v>
      </c>
      <c r="L245" s="548">
        <f t="shared" si="23"/>
        <v>0</v>
      </c>
      <c r="M245" s="549">
        <f t="shared" si="24"/>
        <v>0</v>
      </c>
      <c r="O245" s="538" t="str">
        <f t="shared" si="25"/>
        <v/>
      </c>
      <c r="P245" s="550"/>
      <c r="Q245" s="551"/>
    </row>
    <row r="246" spans="1:17" s="253" customFormat="1" ht="20.100000000000001" hidden="1" customHeight="1" x14ac:dyDescent="0.25">
      <c r="A246" s="253" t="str">
        <f t="shared" si="26"/>
        <v/>
      </c>
      <c r="B246" s="609" t="str">
        <f>IF(LEFT(F246,1)="B",VLOOKUP(A246,COPY!$A$2:$AC$1000,4,FALSE),"")</f>
        <v/>
      </c>
      <c r="C246" s="586"/>
      <c r="D246" s="553"/>
      <c r="E246" s="553"/>
      <c r="F246" s="557" t="str">
        <f>IF(LEN(A246)&gt;2,LEFT(VLOOKUP(A246,COPY!$A$2:$AC$1000,29,FALSE),6),"")</f>
        <v/>
      </c>
      <c r="G246" s="558" t="str">
        <f>_xlfn.IFNA(IF(TEXT(F246,0)="Terima","",VLOOKUP(A246,COPY!$A$2:$AC$1000,29,FALSE)),"")</f>
        <v/>
      </c>
      <c r="H246" s="425"/>
      <c r="I246" s="559"/>
      <c r="J246" s="555"/>
      <c r="K246" s="608">
        <f>_xlfn.IFNA(IF(TEXT(F246,0)="Terima",0,VLOOKUP(A246,COPY!$A$2:$AC$1000,26,FALSE)),0)</f>
        <v>0</v>
      </c>
      <c r="L246" s="548">
        <f t="shared" si="23"/>
        <v>0</v>
      </c>
      <c r="M246" s="549">
        <f t="shared" si="24"/>
        <v>0</v>
      </c>
      <c r="O246" s="538" t="str">
        <f t="shared" si="25"/>
        <v/>
      </c>
      <c r="P246" s="550"/>
      <c r="Q246" s="551"/>
    </row>
    <row r="247" spans="1:17" s="253" customFormat="1" ht="20.100000000000001" hidden="1" customHeight="1" x14ac:dyDescent="0.25">
      <c r="A247" s="253" t="str">
        <f t="shared" si="26"/>
        <v/>
      </c>
      <c r="B247" s="609" t="str">
        <f>IF(LEFT(F247,1)="B",VLOOKUP(A247,COPY!$A$2:$AC$1000,4,FALSE),"")</f>
        <v/>
      </c>
      <c r="C247" s="586"/>
      <c r="D247" s="553"/>
      <c r="E247" s="553"/>
      <c r="F247" s="557" t="str">
        <f>IF(LEN(A247)&gt;2,LEFT(VLOOKUP(A247,COPY!$A$2:$AC$1000,29,FALSE),6),"")</f>
        <v/>
      </c>
      <c r="G247" s="558" t="str">
        <f>_xlfn.IFNA(IF(TEXT(F247,0)="Terima","",VLOOKUP(A247,COPY!$A$2:$AC$1000,29,FALSE)),"")</f>
        <v/>
      </c>
      <c r="H247" s="425"/>
      <c r="I247" s="559"/>
      <c r="J247" s="555"/>
      <c r="K247" s="608">
        <f>_xlfn.IFNA(IF(TEXT(F247,0)="Terima",0,VLOOKUP(A247,COPY!$A$2:$AC$1000,26,FALSE)),0)</f>
        <v>0</v>
      </c>
      <c r="L247" s="548">
        <f t="shared" si="23"/>
        <v>0</v>
      </c>
      <c r="M247" s="549">
        <f t="shared" si="24"/>
        <v>0</v>
      </c>
      <c r="O247" s="538" t="str">
        <f t="shared" si="25"/>
        <v/>
      </c>
      <c r="P247" s="550"/>
      <c r="Q247" s="551"/>
    </row>
    <row r="248" spans="1:17" s="253" customFormat="1" ht="20.100000000000001" hidden="1" customHeight="1" x14ac:dyDescent="0.25">
      <c r="A248" s="253" t="str">
        <f t="shared" si="26"/>
        <v/>
      </c>
      <c r="B248" s="609" t="str">
        <f>IF(LEFT(F248,1)="B",VLOOKUP(A248,COPY!$A$2:$AC$1000,4,FALSE),"")</f>
        <v/>
      </c>
      <c r="C248" s="586"/>
      <c r="D248" s="553"/>
      <c r="E248" s="553"/>
      <c r="F248" s="557" t="str">
        <f>IF(LEN(A248)&gt;2,LEFT(VLOOKUP(A248,COPY!$A$2:$AC$1000,29,FALSE),6),"")</f>
        <v/>
      </c>
      <c r="G248" s="558" t="str">
        <f>_xlfn.IFNA(IF(TEXT(F248,0)="Terima","",VLOOKUP(A248,COPY!$A$2:$AC$1000,29,FALSE)),"")</f>
        <v/>
      </c>
      <c r="H248" s="425"/>
      <c r="I248" s="559"/>
      <c r="J248" s="555"/>
      <c r="K248" s="608">
        <f>_xlfn.IFNA(IF(TEXT(F248,0)="Terima",0,VLOOKUP(A248,COPY!$A$2:$AC$1000,26,FALSE)),0)</f>
        <v>0</v>
      </c>
      <c r="L248" s="548">
        <f t="shared" si="23"/>
        <v>0</v>
      </c>
      <c r="M248" s="549">
        <f t="shared" si="24"/>
        <v>0</v>
      </c>
      <c r="O248" s="538" t="str">
        <f t="shared" si="25"/>
        <v/>
      </c>
      <c r="P248" s="550"/>
      <c r="Q248" s="551"/>
    </row>
    <row r="249" spans="1:17" s="253" customFormat="1" ht="20.100000000000001" hidden="1" customHeight="1" x14ac:dyDescent="0.25">
      <c r="A249" s="253" t="str">
        <f t="shared" si="26"/>
        <v/>
      </c>
      <c r="B249" s="609" t="str">
        <f>IF(LEFT(F249,1)="B",VLOOKUP(A249,COPY!$A$2:$AC$1000,4,FALSE),"")</f>
        <v/>
      </c>
      <c r="C249" s="586"/>
      <c r="D249" s="553"/>
      <c r="E249" s="553"/>
      <c r="F249" s="557" t="str">
        <f>IF(LEN(A249)&gt;2,LEFT(VLOOKUP(A249,COPY!$A$2:$AC$1000,29,FALSE),6),"")</f>
        <v/>
      </c>
      <c r="G249" s="558" t="str">
        <f>_xlfn.IFNA(IF(TEXT(F249,0)="Terima","",VLOOKUP(A249,COPY!$A$2:$AC$1000,29,FALSE)),"")</f>
        <v/>
      </c>
      <c r="H249" s="425"/>
      <c r="I249" s="559"/>
      <c r="J249" s="555"/>
      <c r="K249" s="608">
        <f>_xlfn.IFNA(IF(TEXT(F249,0)="Terima",0,VLOOKUP(A249,COPY!$A$2:$AC$1000,26,FALSE)),0)</f>
        <v>0</v>
      </c>
      <c r="L249" s="548">
        <f t="shared" si="23"/>
        <v>0</v>
      </c>
      <c r="M249" s="549">
        <f t="shared" si="24"/>
        <v>0</v>
      </c>
      <c r="O249" s="538" t="str">
        <f t="shared" si="25"/>
        <v/>
      </c>
      <c r="P249" s="550"/>
      <c r="Q249" s="551"/>
    </row>
    <row r="250" spans="1:17" s="253" customFormat="1" ht="20.100000000000001" hidden="1" customHeight="1" x14ac:dyDescent="0.25">
      <c r="A250" s="253" t="str">
        <f t="shared" si="26"/>
        <v/>
      </c>
      <c r="B250" s="609" t="str">
        <f>IF(LEFT(F250,1)="B",VLOOKUP(A250,COPY!$A$2:$AC$1000,4,FALSE),"")</f>
        <v/>
      </c>
      <c r="C250" s="586"/>
      <c r="D250" s="553"/>
      <c r="E250" s="553"/>
      <c r="F250" s="557" t="str">
        <f>IF(LEN(A250)&gt;2,LEFT(VLOOKUP(A250,COPY!$A$2:$AC$1000,29,FALSE),6),"")</f>
        <v/>
      </c>
      <c r="G250" s="558" t="str">
        <f>_xlfn.IFNA(IF(TEXT(F250,0)="Terima","",VLOOKUP(A250,COPY!$A$2:$AC$1000,29,FALSE)),"")</f>
        <v/>
      </c>
      <c r="H250" s="425"/>
      <c r="I250" s="559"/>
      <c r="J250" s="555"/>
      <c r="K250" s="608">
        <f>_xlfn.IFNA(IF(TEXT(F250,0)="Terima",0,VLOOKUP(A250,COPY!$A$2:$AC$1000,26,FALSE)),0)</f>
        <v>0</v>
      </c>
      <c r="L250" s="548">
        <f t="shared" si="23"/>
        <v>0</v>
      </c>
      <c r="M250" s="549">
        <f t="shared" si="24"/>
        <v>0</v>
      </c>
      <c r="O250" s="538" t="str">
        <f t="shared" si="25"/>
        <v/>
      </c>
      <c r="P250" s="550"/>
      <c r="Q250" s="551"/>
    </row>
    <row r="251" spans="1:17" s="253" customFormat="1" ht="20.100000000000001" hidden="1" customHeight="1" x14ac:dyDescent="0.25">
      <c r="A251" s="253" t="str">
        <f t="shared" si="26"/>
        <v/>
      </c>
      <c r="B251" s="609" t="str">
        <f>IF(LEFT(F251,1)="B",VLOOKUP(A251,COPY!$A$2:$AC$1000,4,FALSE),"")</f>
        <v/>
      </c>
      <c r="C251" s="586"/>
      <c r="D251" s="553"/>
      <c r="E251" s="553"/>
      <c r="F251" s="557" t="str">
        <f>IF(LEN(A251)&gt;2,LEFT(VLOOKUP(A251,COPY!$A$2:$AC$1000,29,FALSE),6),"")</f>
        <v/>
      </c>
      <c r="G251" s="558" t="str">
        <f>_xlfn.IFNA(IF(TEXT(F251,0)="Terima","",VLOOKUP(A251,COPY!$A$2:$AC$1000,29,FALSE)),"")</f>
        <v/>
      </c>
      <c r="H251" s="425"/>
      <c r="I251" s="559"/>
      <c r="J251" s="555"/>
      <c r="K251" s="608">
        <f>_xlfn.IFNA(IF(TEXT(F251,0)="Terima",0,VLOOKUP(A251,COPY!$A$2:$AC$1000,26,FALSE)),0)</f>
        <v>0</v>
      </c>
      <c r="L251" s="548">
        <f t="shared" si="23"/>
        <v>0</v>
      </c>
      <c r="M251" s="549">
        <f t="shared" si="24"/>
        <v>0</v>
      </c>
      <c r="O251" s="538" t="str">
        <f t="shared" si="25"/>
        <v/>
      </c>
      <c r="P251" s="550"/>
      <c r="Q251" s="551"/>
    </row>
    <row r="252" spans="1:17" s="253" customFormat="1" ht="20.100000000000001" hidden="1" customHeight="1" x14ac:dyDescent="0.25">
      <c r="A252" s="253" t="str">
        <f t="shared" si="26"/>
        <v/>
      </c>
      <c r="B252" s="609" t="str">
        <f>IF(LEFT(F252,1)="B",VLOOKUP(A252,COPY!$A$2:$AC$1000,4,FALSE),"")</f>
        <v/>
      </c>
      <c r="C252" s="586"/>
      <c r="D252" s="553"/>
      <c r="E252" s="553"/>
      <c r="F252" s="557" t="str">
        <f>IF(LEN(A252)&gt;2,LEFT(VLOOKUP(A252,COPY!$A$2:$AC$1000,29,FALSE),6),"")</f>
        <v/>
      </c>
      <c r="G252" s="558" t="str">
        <f>_xlfn.IFNA(IF(TEXT(F252,0)="Terima","",VLOOKUP(A252,COPY!$A$2:$AC$1000,29,FALSE)),"")</f>
        <v/>
      </c>
      <c r="H252" s="425"/>
      <c r="I252" s="559"/>
      <c r="J252" s="555"/>
      <c r="K252" s="608">
        <f>_xlfn.IFNA(IF(TEXT(F252,0)="Terima",0,VLOOKUP(A252,COPY!$A$2:$AC$1000,26,FALSE)),0)</f>
        <v>0</v>
      </c>
      <c r="L252" s="548">
        <f t="shared" si="23"/>
        <v>0</v>
      </c>
      <c r="M252" s="549">
        <f t="shared" si="24"/>
        <v>0</v>
      </c>
      <c r="O252" s="538" t="str">
        <f t="shared" si="25"/>
        <v/>
      </c>
      <c r="P252" s="550"/>
      <c r="Q252" s="551"/>
    </row>
    <row r="253" spans="1:17" s="253" customFormat="1" ht="20.100000000000001" hidden="1" customHeight="1" x14ac:dyDescent="0.25">
      <c r="A253" s="253" t="str">
        <f t="shared" si="26"/>
        <v/>
      </c>
      <c r="B253" s="609" t="str">
        <f>IF(LEFT(F253,1)="B",VLOOKUP(A253,COPY!$A$2:$AC$1000,4,FALSE),"")</f>
        <v/>
      </c>
      <c r="C253" s="586"/>
      <c r="D253" s="553"/>
      <c r="E253" s="553"/>
      <c r="F253" s="557" t="str">
        <f>IF(LEN(A253)&gt;2,LEFT(VLOOKUP(A253,COPY!$A$2:$AC$1000,29,FALSE),6),"")</f>
        <v/>
      </c>
      <c r="G253" s="558" t="str">
        <f>_xlfn.IFNA(IF(TEXT(F253,0)="Terima","",VLOOKUP(A253,COPY!$A$2:$AC$1000,29,FALSE)),"")</f>
        <v/>
      </c>
      <c r="H253" s="425"/>
      <c r="I253" s="559"/>
      <c r="J253" s="555"/>
      <c r="K253" s="608">
        <f>_xlfn.IFNA(IF(TEXT(F253,0)="Terima",0,VLOOKUP(A253,COPY!$A$2:$AC$1000,26,FALSE)),0)</f>
        <v>0</v>
      </c>
      <c r="L253" s="548">
        <f t="shared" si="23"/>
        <v>0</v>
      </c>
      <c r="M253" s="549">
        <f t="shared" si="24"/>
        <v>0</v>
      </c>
      <c r="O253" s="538" t="str">
        <f t="shared" si="25"/>
        <v/>
      </c>
      <c r="P253" s="550"/>
      <c r="Q253" s="551"/>
    </row>
    <row r="254" spans="1:17" s="253" customFormat="1" ht="20.100000000000001" hidden="1" customHeight="1" x14ac:dyDescent="0.25">
      <c r="A254" s="253" t="str">
        <f t="shared" si="26"/>
        <v/>
      </c>
      <c r="B254" s="609" t="str">
        <f>IF(LEFT(F254,1)="B",VLOOKUP(A254,COPY!$A$2:$AC$1000,4,FALSE),"")</f>
        <v/>
      </c>
      <c r="C254" s="586"/>
      <c r="D254" s="553"/>
      <c r="E254" s="553"/>
      <c r="F254" s="557" t="str">
        <f>IF(LEN(A254)&gt;2,LEFT(VLOOKUP(A254,COPY!$A$2:$AC$1000,29,FALSE),6),"")</f>
        <v/>
      </c>
      <c r="G254" s="558" t="str">
        <f>_xlfn.IFNA(IF(TEXT(F254,0)="Terima","",VLOOKUP(A254,COPY!$A$2:$AC$1000,29,FALSE)),"")</f>
        <v/>
      </c>
      <c r="H254" s="425"/>
      <c r="I254" s="559"/>
      <c r="J254" s="555"/>
      <c r="K254" s="608">
        <f>_xlfn.IFNA(IF(TEXT(F254,0)="Terima",0,VLOOKUP(A254,COPY!$A$2:$AC$1000,26,FALSE)),0)</f>
        <v>0</v>
      </c>
      <c r="L254" s="548">
        <f t="shared" si="23"/>
        <v>0</v>
      </c>
      <c r="M254" s="549">
        <f t="shared" si="24"/>
        <v>0</v>
      </c>
      <c r="O254" s="538" t="str">
        <f t="shared" si="25"/>
        <v/>
      </c>
      <c r="P254" s="550"/>
      <c r="Q254" s="551"/>
    </row>
    <row r="255" spans="1:17" s="253" customFormat="1" ht="20.100000000000001" hidden="1" customHeight="1" x14ac:dyDescent="0.25">
      <c r="A255" s="253" t="str">
        <f t="shared" si="26"/>
        <v/>
      </c>
      <c r="B255" s="609" t="str">
        <f>IF(LEFT(F255,1)="B",VLOOKUP(A255,COPY!$A$2:$AC$1000,4,FALSE),"")</f>
        <v/>
      </c>
      <c r="C255" s="586"/>
      <c r="D255" s="553"/>
      <c r="E255" s="553"/>
      <c r="F255" s="557" t="str">
        <f>IF(LEN(A255)&gt;2,LEFT(VLOOKUP(A255,COPY!$A$2:$AC$1000,29,FALSE),6),"")</f>
        <v/>
      </c>
      <c r="G255" s="558" t="str">
        <f>_xlfn.IFNA(IF(TEXT(F255,0)="Terima","",VLOOKUP(A255,COPY!$A$2:$AC$1000,29,FALSE)),"")</f>
        <v/>
      </c>
      <c r="H255" s="425"/>
      <c r="I255" s="559"/>
      <c r="J255" s="555"/>
      <c r="K255" s="608">
        <f>_xlfn.IFNA(IF(TEXT(F255,0)="Terima",0,VLOOKUP(A255,COPY!$A$2:$AC$1000,26,FALSE)),0)</f>
        <v>0</v>
      </c>
      <c r="L255" s="548">
        <f t="shared" si="23"/>
        <v>0</v>
      </c>
      <c r="M255" s="549">
        <f t="shared" si="24"/>
        <v>0</v>
      </c>
      <c r="O255" s="538" t="str">
        <f t="shared" si="25"/>
        <v/>
      </c>
      <c r="P255" s="550"/>
      <c r="Q255" s="551"/>
    </row>
    <row r="256" spans="1:17" s="253" customFormat="1" ht="20.100000000000001" hidden="1" customHeight="1" x14ac:dyDescent="0.25">
      <c r="A256" s="253" t="str">
        <f t="shared" si="26"/>
        <v/>
      </c>
      <c r="B256" s="609" t="str">
        <f>IF(LEFT(F256,1)="B",VLOOKUP(A256,COPY!$A$2:$AC$1000,4,FALSE),"")</f>
        <v/>
      </c>
      <c r="C256" s="586"/>
      <c r="D256" s="553"/>
      <c r="E256" s="553"/>
      <c r="F256" s="557" t="str">
        <f>IF(LEN(A256)&gt;2,LEFT(VLOOKUP(A256,COPY!$A$2:$AC$1000,29,FALSE),6),"")</f>
        <v/>
      </c>
      <c r="G256" s="558" t="str">
        <f>_xlfn.IFNA(IF(TEXT(F256,0)="Terima","",VLOOKUP(A256,COPY!$A$2:$AC$1000,29,FALSE)),"")</f>
        <v/>
      </c>
      <c r="H256" s="425"/>
      <c r="I256" s="559"/>
      <c r="J256" s="555"/>
      <c r="K256" s="608">
        <f>_xlfn.IFNA(IF(TEXT(F256,0)="Terima",0,VLOOKUP(A256,COPY!$A$2:$AC$1000,26,FALSE)),0)</f>
        <v>0</v>
      </c>
      <c r="L256" s="548">
        <f t="shared" si="23"/>
        <v>0</v>
      </c>
      <c r="M256" s="549">
        <f t="shared" si="24"/>
        <v>0</v>
      </c>
      <c r="O256" s="538" t="str">
        <f t="shared" si="25"/>
        <v/>
      </c>
      <c r="P256" s="550"/>
      <c r="Q256" s="551"/>
    </row>
    <row r="257" spans="1:17" s="253" customFormat="1" ht="20.100000000000001" hidden="1" customHeight="1" x14ac:dyDescent="0.25">
      <c r="A257" s="253" t="str">
        <f t="shared" si="26"/>
        <v/>
      </c>
      <c r="B257" s="609" t="str">
        <f>IF(LEFT(F257,1)="B",VLOOKUP(A257,COPY!$A$2:$AC$1000,4,FALSE),"")</f>
        <v/>
      </c>
      <c r="C257" s="586"/>
      <c r="D257" s="553"/>
      <c r="E257" s="553"/>
      <c r="F257" s="557" t="str">
        <f>IF(LEN(A257)&gt;2,LEFT(VLOOKUP(A257,COPY!$A$2:$AC$1000,29,FALSE),6),"")</f>
        <v/>
      </c>
      <c r="G257" s="558" t="str">
        <f>_xlfn.IFNA(IF(TEXT(F257,0)="Terima","",VLOOKUP(A257,COPY!$A$2:$AC$1000,29,FALSE)),"")</f>
        <v/>
      </c>
      <c r="H257" s="425"/>
      <c r="I257" s="559"/>
      <c r="J257" s="555"/>
      <c r="K257" s="608">
        <f>_xlfn.IFNA(IF(TEXT(F257,0)="Terima",0,VLOOKUP(A257,COPY!$A$2:$AC$1000,26,FALSE)),0)</f>
        <v>0</v>
      </c>
      <c r="L257" s="548">
        <f t="shared" si="23"/>
        <v>0</v>
      </c>
      <c r="M257" s="549">
        <f t="shared" si="24"/>
        <v>0</v>
      </c>
      <c r="O257" s="538" t="str">
        <f t="shared" si="25"/>
        <v/>
      </c>
      <c r="P257" s="550"/>
      <c r="Q257" s="551"/>
    </row>
    <row r="258" spans="1:17" s="253" customFormat="1" ht="20.100000000000001" hidden="1" customHeight="1" x14ac:dyDescent="0.25">
      <c r="A258" s="253" t="str">
        <f t="shared" si="26"/>
        <v/>
      </c>
      <c r="B258" s="609" t="str">
        <f>IF(LEFT(F258,1)="B",VLOOKUP(A258,COPY!$A$2:$AC$1000,4,FALSE),"")</f>
        <v/>
      </c>
      <c r="C258" s="586"/>
      <c r="D258" s="553"/>
      <c r="E258" s="553"/>
      <c r="F258" s="557" t="str">
        <f>IF(LEN(A258)&gt;2,LEFT(VLOOKUP(A258,COPY!$A$2:$AC$1000,29,FALSE),6),"")</f>
        <v/>
      </c>
      <c r="G258" s="558" t="str">
        <f>_xlfn.IFNA(IF(TEXT(F258,0)="Terima","",VLOOKUP(A258,COPY!$A$2:$AC$1000,29,FALSE)),"")</f>
        <v/>
      </c>
      <c r="H258" s="425"/>
      <c r="I258" s="559"/>
      <c r="J258" s="555"/>
      <c r="K258" s="608">
        <f>_xlfn.IFNA(IF(TEXT(F258,0)="Terima",0,VLOOKUP(A258,COPY!$A$2:$AC$1000,26,FALSE)),0)</f>
        <v>0</v>
      </c>
      <c r="L258" s="548">
        <f t="shared" si="23"/>
        <v>0</v>
      </c>
      <c r="M258" s="549">
        <f t="shared" si="24"/>
        <v>0</v>
      </c>
      <c r="O258" s="538" t="str">
        <f t="shared" si="25"/>
        <v/>
      </c>
      <c r="P258" s="550"/>
      <c r="Q258" s="551"/>
    </row>
    <row r="259" spans="1:17" s="253" customFormat="1" ht="20.100000000000001" hidden="1" customHeight="1" x14ac:dyDescent="0.25">
      <c r="A259" s="253" t="str">
        <f t="shared" si="26"/>
        <v/>
      </c>
      <c r="B259" s="609" t="str">
        <f>IF(LEFT(F259,1)="B",VLOOKUP(A259,COPY!$A$2:$AC$1000,4,FALSE),"")</f>
        <v/>
      </c>
      <c r="C259" s="586"/>
      <c r="D259" s="553"/>
      <c r="E259" s="553"/>
      <c r="F259" s="557" t="str">
        <f>IF(LEN(A259)&gt;2,LEFT(VLOOKUP(A259,COPY!$A$2:$AC$1000,29,FALSE),6),"")</f>
        <v/>
      </c>
      <c r="G259" s="558" t="str">
        <f>_xlfn.IFNA(IF(TEXT(F259,0)="Terima","",VLOOKUP(A259,COPY!$A$2:$AC$1000,29,FALSE)),"")</f>
        <v/>
      </c>
      <c r="H259" s="425"/>
      <c r="I259" s="559"/>
      <c r="J259" s="555"/>
      <c r="K259" s="608">
        <f>_xlfn.IFNA(IF(TEXT(F259,0)="Terima",0,VLOOKUP(A259,COPY!$A$2:$AC$1000,26,FALSE)),0)</f>
        <v>0</v>
      </c>
      <c r="L259" s="548">
        <f t="shared" si="23"/>
        <v>0</v>
      </c>
      <c r="M259" s="549">
        <f t="shared" si="24"/>
        <v>0</v>
      </c>
      <c r="O259" s="538" t="str">
        <f t="shared" si="25"/>
        <v/>
      </c>
      <c r="P259" s="550"/>
      <c r="Q259" s="551"/>
    </row>
    <row r="260" spans="1:17" s="253" customFormat="1" ht="20.100000000000001" hidden="1" customHeight="1" x14ac:dyDescent="0.25">
      <c r="A260" s="253" t="str">
        <f t="shared" si="26"/>
        <v/>
      </c>
      <c r="B260" s="609" t="str">
        <f>IF(LEFT(F260,1)="B",VLOOKUP(A260,COPY!$A$2:$AC$1000,4,FALSE),"")</f>
        <v/>
      </c>
      <c r="C260" s="586"/>
      <c r="D260" s="553"/>
      <c r="E260" s="553"/>
      <c r="F260" s="557" t="str">
        <f>IF(LEN(A260)&gt;2,LEFT(VLOOKUP(A260,COPY!$A$2:$AC$1000,29,FALSE),6),"")</f>
        <v/>
      </c>
      <c r="G260" s="558" t="str">
        <f>_xlfn.IFNA(IF(TEXT(F260,0)="Terima","",VLOOKUP(A260,COPY!$A$2:$AC$1000,29,FALSE)),"")</f>
        <v/>
      </c>
      <c r="H260" s="425"/>
      <c r="I260" s="559"/>
      <c r="J260" s="555"/>
      <c r="K260" s="608">
        <f>_xlfn.IFNA(IF(TEXT(F260,0)="Terima",0,VLOOKUP(A260,COPY!$A$2:$AC$1000,26,FALSE)),0)</f>
        <v>0</v>
      </c>
      <c r="L260" s="548">
        <f t="shared" si="23"/>
        <v>0</v>
      </c>
      <c r="M260" s="549">
        <f t="shared" si="24"/>
        <v>0</v>
      </c>
      <c r="O260" s="538" t="str">
        <f t="shared" si="25"/>
        <v/>
      </c>
      <c r="P260" s="550"/>
      <c r="Q260" s="551"/>
    </row>
    <row r="261" spans="1:17" s="253" customFormat="1" ht="20.100000000000001" hidden="1" customHeight="1" x14ac:dyDescent="0.25">
      <c r="A261" s="253" t="str">
        <f t="shared" si="26"/>
        <v/>
      </c>
      <c r="B261" s="609" t="str">
        <f>IF(LEFT(F261,1)="B",VLOOKUP(A261,COPY!$A$2:$AC$1000,4,FALSE),"")</f>
        <v/>
      </c>
      <c r="C261" s="586"/>
      <c r="D261" s="553"/>
      <c r="E261" s="553"/>
      <c r="F261" s="557" t="str">
        <f>IF(LEN(A261)&gt;2,LEFT(VLOOKUP(A261,COPY!$A$2:$AC$1000,29,FALSE),6),"")</f>
        <v/>
      </c>
      <c r="G261" s="558" t="str">
        <f>_xlfn.IFNA(IF(TEXT(F261,0)="Terima","",VLOOKUP(A261,COPY!$A$2:$AC$1000,29,FALSE)),"")</f>
        <v/>
      </c>
      <c r="H261" s="425"/>
      <c r="I261" s="559"/>
      <c r="J261" s="555"/>
      <c r="K261" s="608">
        <f>_xlfn.IFNA(IF(TEXT(F261,0)="Terima",0,VLOOKUP(A261,COPY!$A$2:$AC$1000,26,FALSE)),0)</f>
        <v>0</v>
      </c>
      <c r="L261" s="548">
        <f t="shared" si="23"/>
        <v>0</v>
      </c>
      <c r="M261" s="549">
        <f t="shared" si="24"/>
        <v>0</v>
      </c>
      <c r="O261" s="538" t="str">
        <f t="shared" si="25"/>
        <v/>
      </c>
      <c r="P261" s="550"/>
      <c r="Q261" s="551"/>
    </row>
    <row r="262" spans="1:17" s="253" customFormat="1" ht="20.100000000000001" hidden="1" customHeight="1" x14ac:dyDescent="0.25">
      <c r="A262" s="253" t="str">
        <f t="shared" si="26"/>
        <v/>
      </c>
      <c r="B262" s="609" t="str">
        <f>IF(LEFT(F262,1)="B",VLOOKUP(A262,COPY!$A$2:$AC$1000,4,FALSE),"")</f>
        <v/>
      </c>
      <c r="C262" s="586"/>
      <c r="D262" s="553"/>
      <c r="E262" s="553"/>
      <c r="F262" s="557" t="str">
        <f>IF(LEN(A262)&gt;2,LEFT(VLOOKUP(A262,COPY!$A$2:$AC$1000,29,FALSE),6),"")</f>
        <v/>
      </c>
      <c r="G262" s="558" t="str">
        <f>_xlfn.IFNA(IF(TEXT(F262,0)="Terima","",VLOOKUP(A262,COPY!$A$2:$AC$1000,29,FALSE)),"")</f>
        <v/>
      </c>
      <c r="H262" s="425"/>
      <c r="I262" s="559"/>
      <c r="J262" s="555"/>
      <c r="K262" s="608">
        <f>_xlfn.IFNA(IF(TEXT(F262,0)="Terima",0,VLOOKUP(A262,COPY!$A$2:$AC$1000,26,FALSE)),0)</f>
        <v>0</v>
      </c>
      <c r="L262" s="548">
        <f t="shared" si="23"/>
        <v>0</v>
      </c>
      <c r="M262" s="549">
        <f t="shared" si="24"/>
        <v>0</v>
      </c>
      <c r="O262" s="538" t="str">
        <f t="shared" si="25"/>
        <v/>
      </c>
      <c r="P262" s="550"/>
      <c r="Q262" s="551"/>
    </row>
    <row r="263" spans="1:17" s="253" customFormat="1" ht="20.100000000000001" hidden="1" customHeight="1" x14ac:dyDescent="0.25">
      <c r="A263" s="253" t="str">
        <f t="shared" si="26"/>
        <v/>
      </c>
      <c r="B263" s="609" t="str">
        <f>IF(LEFT(F263,1)="B",VLOOKUP(A263,COPY!$A$2:$AC$1000,4,FALSE),"")</f>
        <v/>
      </c>
      <c r="C263" s="586"/>
      <c r="D263" s="553"/>
      <c r="E263" s="553"/>
      <c r="F263" s="557" t="str">
        <f>IF(LEN(A263)&gt;2,LEFT(VLOOKUP(A263,COPY!$A$2:$AC$1000,29,FALSE),6),"")</f>
        <v/>
      </c>
      <c r="G263" s="558" t="str">
        <f>_xlfn.IFNA(IF(TEXT(F263,0)="Terima","",VLOOKUP(A263,COPY!$A$2:$AC$1000,29,FALSE)),"")</f>
        <v/>
      </c>
      <c r="H263" s="425"/>
      <c r="I263" s="559"/>
      <c r="J263" s="555"/>
      <c r="K263" s="608">
        <f>_xlfn.IFNA(IF(TEXT(F263,0)="Terima",0,VLOOKUP(A263,COPY!$A$2:$AC$1000,26,FALSE)),0)</f>
        <v>0</v>
      </c>
      <c r="L263" s="548">
        <f t="shared" si="23"/>
        <v>0</v>
      </c>
      <c r="M263" s="549">
        <f t="shared" si="24"/>
        <v>0</v>
      </c>
      <c r="O263" s="538" t="str">
        <f t="shared" si="25"/>
        <v/>
      </c>
      <c r="P263" s="550"/>
      <c r="Q263" s="551"/>
    </row>
    <row r="264" spans="1:17" s="253" customFormat="1" ht="20.100000000000001" hidden="1" customHeight="1" x14ac:dyDescent="0.25">
      <c r="A264" s="253" t="str">
        <f t="shared" si="26"/>
        <v/>
      </c>
      <c r="B264" s="609" t="str">
        <f>IF(LEFT(F264,1)="B",VLOOKUP(A264,COPY!$A$2:$AC$1000,4,FALSE),"")</f>
        <v/>
      </c>
      <c r="C264" s="586"/>
      <c r="D264" s="553"/>
      <c r="E264" s="553"/>
      <c r="F264" s="557" t="str">
        <f>IF(LEN(A264)&gt;2,LEFT(VLOOKUP(A264,COPY!$A$2:$AC$1000,29,FALSE),6),"")</f>
        <v/>
      </c>
      <c r="G264" s="558" t="str">
        <f>_xlfn.IFNA(IF(TEXT(F264,0)="Terima","",VLOOKUP(A264,COPY!$A$2:$AC$1000,29,FALSE)),"")</f>
        <v/>
      </c>
      <c r="H264" s="425"/>
      <c r="I264" s="559"/>
      <c r="J264" s="555"/>
      <c r="K264" s="608">
        <f>_xlfn.IFNA(IF(TEXT(F264,0)="Terima",0,VLOOKUP(A264,COPY!$A$2:$AC$1000,26,FALSE)),0)</f>
        <v>0</v>
      </c>
      <c r="L264" s="548">
        <f t="shared" si="23"/>
        <v>0</v>
      </c>
      <c r="M264" s="549">
        <f t="shared" si="24"/>
        <v>0</v>
      </c>
      <c r="O264" s="538" t="str">
        <f t="shared" si="25"/>
        <v/>
      </c>
      <c r="P264" s="550"/>
      <c r="Q264" s="551"/>
    </row>
    <row r="265" spans="1:17" s="253" customFormat="1" ht="20.100000000000001" hidden="1" customHeight="1" x14ac:dyDescent="0.25">
      <c r="A265" s="253" t="str">
        <f t="shared" si="26"/>
        <v/>
      </c>
      <c r="B265" s="609" t="str">
        <f>IF(LEFT(F265,1)="B",VLOOKUP(A265,COPY!$A$2:$AC$1000,4,FALSE),"")</f>
        <v/>
      </c>
      <c r="C265" s="586"/>
      <c r="D265" s="553"/>
      <c r="E265" s="553"/>
      <c r="F265" s="557" t="str">
        <f>IF(LEN(A265)&gt;2,LEFT(VLOOKUP(A265,COPY!$A$2:$AC$1000,29,FALSE),6),"")</f>
        <v/>
      </c>
      <c r="G265" s="558" t="str">
        <f>_xlfn.IFNA(IF(TEXT(F265,0)="Terima","",VLOOKUP(A265,COPY!$A$2:$AC$1000,29,FALSE)),"")</f>
        <v/>
      </c>
      <c r="H265" s="425"/>
      <c r="I265" s="559"/>
      <c r="J265" s="555"/>
      <c r="K265" s="608">
        <f>_xlfn.IFNA(IF(TEXT(F265,0)="Terima",0,VLOOKUP(A265,COPY!$A$2:$AC$1000,26,FALSE)),0)</f>
        <v>0</v>
      </c>
      <c r="L265" s="548">
        <f t="shared" si="23"/>
        <v>0</v>
      </c>
      <c r="M265" s="549">
        <f t="shared" si="24"/>
        <v>0</v>
      </c>
      <c r="O265" s="538" t="str">
        <f t="shared" si="25"/>
        <v/>
      </c>
      <c r="P265" s="550"/>
      <c r="Q265" s="551"/>
    </row>
    <row r="266" spans="1:17" s="253" customFormat="1" ht="20.100000000000001" hidden="1" customHeight="1" x14ac:dyDescent="0.25">
      <c r="A266" s="253" t="str">
        <f t="shared" si="26"/>
        <v/>
      </c>
      <c r="B266" s="609" t="str">
        <f>IF(LEFT(F266,1)="B",VLOOKUP(A266,COPY!$A$2:$AC$1000,4,FALSE),"")</f>
        <v/>
      </c>
      <c r="C266" s="586"/>
      <c r="D266" s="553"/>
      <c r="E266" s="553"/>
      <c r="F266" s="557" t="str">
        <f>IF(LEN(A266)&gt;2,LEFT(VLOOKUP(A266,COPY!$A$2:$AC$1000,29,FALSE),6),"")</f>
        <v/>
      </c>
      <c r="G266" s="558" t="str">
        <f>_xlfn.IFNA(IF(TEXT(F266,0)="Terima","",VLOOKUP(A266,COPY!$A$2:$AC$1000,29,FALSE)),"")</f>
        <v/>
      </c>
      <c r="H266" s="425"/>
      <c r="I266" s="559"/>
      <c r="J266" s="555"/>
      <c r="K266" s="608">
        <f>_xlfn.IFNA(IF(TEXT(F266,0)="Terima",0,VLOOKUP(A266,COPY!$A$2:$AC$1000,26,FALSE)),0)</f>
        <v>0</v>
      </c>
      <c r="L266" s="548">
        <f t="shared" si="23"/>
        <v>0</v>
      </c>
      <c r="M266" s="549">
        <f t="shared" si="24"/>
        <v>0</v>
      </c>
      <c r="O266" s="538" t="str">
        <f t="shared" si="25"/>
        <v/>
      </c>
      <c r="P266" s="550"/>
      <c r="Q266" s="551"/>
    </row>
    <row r="267" spans="1:17" s="253" customFormat="1" ht="20.100000000000001" hidden="1" customHeight="1" x14ac:dyDescent="0.25">
      <c r="A267" s="253" t="str">
        <f t="shared" si="26"/>
        <v/>
      </c>
      <c r="B267" s="609" t="str">
        <f>IF(LEFT(F267,1)="B",VLOOKUP(A267,COPY!$A$2:$AC$1000,4,FALSE),"")</f>
        <v/>
      </c>
      <c r="C267" s="586"/>
      <c r="D267" s="553"/>
      <c r="E267" s="553"/>
      <c r="F267" s="557" t="str">
        <f>IF(LEN(A267)&gt;2,LEFT(VLOOKUP(A267,COPY!$A$2:$AC$1000,29,FALSE),6),"")</f>
        <v/>
      </c>
      <c r="G267" s="558" t="str">
        <f>_xlfn.IFNA(IF(TEXT(F267,0)="Terima","",VLOOKUP(A267,COPY!$A$2:$AC$1000,29,FALSE)),"")</f>
        <v/>
      </c>
      <c r="H267" s="425"/>
      <c r="I267" s="559"/>
      <c r="J267" s="555"/>
      <c r="K267" s="608">
        <f>_xlfn.IFNA(IF(TEXT(F267,0)="Terima",0,VLOOKUP(A267,COPY!$A$2:$AC$1000,26,FALSE)),0)</f>
        <v>0</v>
      </c>
      <c r="L267" s="548">
        <f t="shared" si="23"/>
        <v>0</v>
      </c>
      <c r="M267" s="549">
        <f t="shared" si="24"/>
        <v>0</v>
      </c>
      <c r="O267" s="538" t="str">
        <f t="shared" si="25"/>
        <v/>
      </c>
      <c r="P267" s="550"/>
      <c r="Q267" s="551"/>
    </row>
    <row r="268" spans="1:17" s="253" customFormat="1" ht="20.100000000000001" hidden="1" customHeight="1" x14ac:dyDescent="0.25">
      <c r="A268" s="253" t="str">
        <f t="shared" si="26"/>
        <v/>
      </c>
      <c r="B268" s="609" t="str">
        <f>IF(LEFT(F268,1)="B",VLOOKUP(A268,COPY!$A$2:$AC$1000,4,FALSE),"")</f>
        <v/>
      </c>
      <c r="C268" s="586"/>
      <c r="D268" s="553"/>
      <c r="E268" s="553"/>
      <c r="F268" s="557" t="str">
        <f>IF(LEN(A268)&gt;2,LEFT(VLOOKUP(A268,COPY!$A$2:$AC$1000,29,FALSE),6),"")</f>
        <v/>
      </c>
      <c r="G268" s="558" t="str">
        <f>_xlfn.IFNA(IF(TEXT(F268,0)="Terima","",VLOOKUP(A268,COPY!$A$2:$AC$1000,29,FALSE)),"")</f>
        <v/>
      </c>
      <c r="H268" s="425"/>
      <c r="I268" s="559"/>
      <c r="J268" s="555"/>
      <c r="K268" s="608">
        <f>_xlfn.IFNA(IF(TEXT(F268,0)="Terima",0,VLOOKUP(A268,COPY!$A$2:$AC$1000,26,FALSE)),0)</f>
        <v>0</v>
      </c>
      <c r="L268" s="548">
        <f t="shared" si="23"/>
        <v>0</v>
      </c>
      <c r="M268" s="549">
        <f t="shared" si="24"/>
        <v>0</v>
      </c>
      <c r="O268" s="538" t="str">
        <f t="shared" si="25"/>
        <v/>
      </c>
      <c r="P268" s="550"/>
      <c r="Q268" s="551"/>
    </row>
    <row r="269" spans="1:17" s="253" customFormat="1" ht="20.100000000000001" hidden="1" customHeight="1" x14ac:dyDescent="0.25">
      <c r="A269" s="253" t="str">
        <f t="shared" si="26"/>
        <v/>
      </c>
      <c r="B269" s="609" t="str">
        <f>IF(LEFT(F269,1)="B",VLOOKUP(A269,COPY!$A$2:$AC$1000,4,FALSE),"")</f>
        <v/>
      </c>
      <c r="C269" s="586"/>
      <c r="D269" s="553"/>
      <c r="E269" s="553"/>
      <c r="F269" s="557" t="str">
        <f>IF(LEN(A269)&gt;2,LEFT(VLOOKUP(A269,COPY!$A$2:$AC$1000,29,FALSE),6),"")</f>
        <v/>
      </c>
      <c r="G269" s="558" t="str">
        <f>_xlfn.IFNA(IF(TEXT(F269,0)="Terima","",VLOOKUP(A269,COPY!$A$2:$AC$1000,29,FALSE)),"")</f>
        <v/>
      </c>
      <c r="H269" s="425"/>
      <c r="I269" s="559"/>
      <c r="J269" s="555"/>
      <c r="K269" s="608">
        <f>_xlfn.IFNA(IF(TEXT(F269,0)="Terima",0,VLOOKUP(A269,COPY!$A$2:$AC$1000,26,FALSE)),0)</f>
        <v>0</v>
      </c>
      <c r="L269" s="548">
        <f t="shared" si="23"/>
        <v>0</v>
      </c>
      <c r="M269" s="549">
        <f t="shared" si="24"/>
        <v>0</v>
      </c>
      <c r="O269" s="538" t="str">
        <f t="shared" si="25"/>
        <v/>
      </c>
      <c r="P269" s="550"/>
      <c r="Q269" s="551"/>
    </row>
    <row r="270" spans="1:17" s="253" customFormat="1" ht="20.100000000000001" hidden="1" customHeight="1" x14ac:dyDescent="0.25">
      <c r="A270" s="253" t="str">
        <f t="shared" si="26"/>
        <v/>
      </c>
      <c r="B270" s="609" t="str">
        <f>IF(LEFT(F270,1)="B",VLOOKUP(A270,COPY!$A$2:$AC$1000,4,FALSE),"")</f>
        <v/>
      </c>
      <c r="C270" s="586"/>
      <c r="D270" s="553"/>
      <c r="E270" s="553"/>
      <c r="F270" s="557" t="str">
        <f>IF(LEN(A270)&gt;2,LEFT(VLOOKUP(A270,COPY!$A$2:$AC$1000,29,FALSE),6),"")</f>
        <v/>
      </c>
      <c r="G270" s="558" t="str">
        <f>_xlfn.IFNA(IF(TEXT(F270,0)="Terima","",VLOOKUP(A270,COPY!$A$2:$AC$1000,29,FALSE)),"")</f>
        <v/>
      </c>
      <c r="H270" s="425"/>
      <c r="I270" s="559"/>
      <c r="J270" s="555"/>
      <c r="K270" s="608">
        <f>_xlfn.IFNA(IF(TEXT(F270,0)="Terima",0,VLOOKUP(A270,COPY!$A$2:$AC$1000,26,FALSE)),0)</f>
        <v>0</v>
      </c>
      <c r="L270" s="548">
        <f t="shared" si="23"/>
        <v>0</v>
      </c>
      <c r="M270" s="549">
        <f t="shared" si="24"/>
        <v>0</v>
      </c>
      <c r="O270" s="538" t="str">
        <f t="shared" si="25"/>
        <v/>
      </c>
      <c r="P270" s="550"/>
      <c r="Q270" s="551"/>
    </row>
    <row r="271" spans="1:17" s="253" customFormat="1" ht="20.100000000000001" hidden="1" customHeight="1" x14ac:dyDescent="0.25">
      <c r="A271" s="253" t="str">
        <f t="shared" si="26"/>
        <v/>
      </c>
      <c r="B271" s="609" t="str">
        <f>IF(LEFT(F271,1)="B",VLOOKUP(A271,COPY!$A$2:$AC$1000,4,FALSE),"")</f>
        <v/>
      </c>
      <c r="C271" s="586"/>
      <c r="D271" s="553"/>
      <c r="E271" s="553"/>
      <c r="F271" s="557" t="str">
        <f>IF(LEN(A271)&gt;2,LEFT(VLOOKUP(A271,COPY!$A$2:$AC$1000,29,FALSE),6),"")</f>
        <v/>
      </c>
      <c r="G271" s="558" t="str">
        <f>_xlfn.IFNA(IF(TEXT(F271,0)="Terima","",VLOOKUP(A271,COPY!$A$2:$AC$1000,29,FALSE)),"")</f>
        <v/>
      </c>
      <c r="H271" s="425"/>
      <c r="I271" s="559"/>
      <c r="J271" s="555"/>
      <c r="K271" s="608">
        <f>_xlfn.IFNA(IF(TEXT(F271,0)="Terima",0,VLOOKUP(A271,COPY!$A$2:$AC$1000,26,FALSE)),0)</f>
        <v>0</v>
      </c>
      <c r="L271" s="548">
        <f t="shared" si="23"/>
        <v>0</v>
      </c>
      <c r="M271" s="549">
        <f t="shared" si="24"/>
        <v>0</v>
      </c>
      <c r="O271" s="538" t="str">
        <f t="shared" si="25"/>
        <v/>
      </c>
      <c r="P271" s="550"/>
      <c r="Q271" s="551"/>
    </row>
    <row r="272" spans="1:17" s="253" customFormat="1" ht="20.100000000000001" hidden="1" customHeight="1" x14ac:dyDescent="0.25">
      <c r="A272" s="253" t="str">
        <f t="shared" si="26"/>
        <v/>
      </c>
      <c r="B272" s="609" t="str">
        <f>IF(LEFT(F272,1)="B",VLOOKUP(A272,COPY!$A$2:$AC$1000,4,FALSE),"")</f>
        <v/>
      </c>
      <c r="C272" s="586"/>
      <c r="D272" s="553"/>
      <c r="E272" s="553"/>
      <c r="F272" s="557" t="str">
        <f>IF(LEN(A272)&gt;2,LEFT(VLOOKUP(A272,COPY!$A$2:$AC$1000,29,FALSE),6),"")</f>
        <v/>
      </c>
      <c r="G272" s="558" t="str">
        <f>_xlfn.IFNA(IF(TEXT(F272,0)="Terima","",VLOOKUP(A272,COPY!$A$2:$AC$1000,29,FALSE)),"")</f>
        <v/>
      </c>
      <c r="H272" s="425"/>
      <c r="I272" s="559"/>
      <c r="J272" s="555"/>
      <c r="K272" s="608">
        <f>_xlfn.IFNA(IF(TEXT(F272,0)="Terima",0,VLOOKUP(A272,COPY!$A$2:$AC$1000,26,FALSE)),0)</f>
        <v>0</v>
      </c>
      <c r="L272" s="548">
        <f t="shared" si="23"/>
        <v>0</v>
      </c>
      <c r="M272" s="549">
        <f t="shared" si="24"/>
        <v>0</v>
      </c>
      <c r="O272" s="538" t="str">
        <f t="shared" si="25"/>
        <v/>
      </c>
      <c r="P272" s="550"/>
      <c r="Q272" s="551"/>
    </row>
    <row r="273" spans="1:17" s="253" customFormat="1" ht="20.100000000000001" hidden="1" customHeight="1" x14ac:dyDescent="0.25">
      <c r="A273" s="253" t="str">
        <f t="shared" si="26"/>
        <v/>
      </c>
      <c r="B273" s="609" t="str">
        <f>IF(LEFT(F273,1)="B",VLOOKUP(A273,COPY!$A$2:$AC$1000,4,FALSE),"")</f>
        <v/>
      </c>
      <c r="C273" s="586"/>
      <c r="D273" s="553"/>
      <c r="E273" s="553"/>
      <c r="F273" s="557" t="str">
        <f>IF(LEN(A273)&gt;2,LEFT(VLOOKUP(A273,COPY!$A$2:$AC$1000,29,FALSE),6),"")</f>
        <v/>
      </c>
      <c r="G273" s="558" t="str">
        <f>_xlfn.IFNA(IF(TEXT(F273,0)="Terima","",VLOOKUP(A273,COPY!$A$2:$AC$1000,29,FALSE)),"")</f>
        <v/>
      </c>
      <c r="H273" s="425"/>
      <c r="I273" s="559"/>
      <c r="J273" s="555"/>
      <c r="K273" s="608">
        <f>_xlfn.IFNA(IF(TEXT(F273,0)="Terima",0,VLOOKUP(A273,COPY!$A$2:$AC$1000,26,FALSE)),0)</f>
        <v>0</v>
      </c>
      <c r="L273" s="548">
        <f t="shared" si="23"/>
        <v>0</v>
      </c>
      <c r="M273" s="549">
        <f t="shared" si="24"/>
        <v>0</v>
      </c>
      <c r="O273" s="538" t="str">
        <f t="shared" si="25"/>
        <v/>
      </c>
      <c r="P273" s="550"/>
      <c r="Q273" s="551"/>
    </row>
    <row r="274" spans="1:17" s="253" customFormat="1" ht="20.100000000000001" hidden="1" customHeight="1" x14ac:dyDescent="0.25">
      <c r="A274" s="253" t="str">
        <f t="shared" si="26"/>
        <v/>
      </c>
      <c r="B274" s="609" t="str">
        <f>IF(LEFT(F274,1)="B",VLOOKUP(A274,COPY!$A$2:$AC$1000,4,FALSE),"")</f>
        <v/>
      </c>
      <c r="C274" s="586"/>
      <c r="D274" s="553"/>
      <c r="E274" s="553"/>
      <c r="F274" s="557" t="str">
        <f>IF(LEN(A274)&gt;2,LEFT(VLOOKUP(A274,COPY!$A$2:$AC$1000,29,FALSE),6),"")</f>
        <v/>
      </c>
      <c r="G274" s="558" t="str">
        <f>_xlfn.IFNA(IF(TEXT(F274,0)="Terima","",VLOOKUP(A274,COPY!$A$2:$AC$1000,29,FALSE)),"")</f>
        <v/>
      </c>
      <c r="H274" s="425"/>
      <c r="I274" s="559"/>
      <c r="J274" s="555"/>
      <c r="K274" s="608">
        <f>_xlfn.IFNA(IF(TEXT(F274,0)="Terima",0,VLOOKUP(A274,COPY!$A$2:$AC$1000,26,FALSE)),0)</f>
        <v>0</v>
      </c>
      <c r="L274" s="548">
        <f t="shared" si="23"/>
        <v>0</v>
      </c>
      <c r="M274" s="549">
        <f t="shared" si="24"/>
        <v>0</v>
      </c>
      <c r="O274" s="538" t="str">
        <f t="shared" si="25"/>
        <v/>
      </c>
      <c r="P274" s="550"/>
      <c r="Q274" s="551"/>
    </row>
    <row r="275" spans="1:17" s="253" customFormat="1" ht="20.100000000000001" hidden="1" customHeight="1" x14ac:dyDescent="0.25">
      <c r="A275" s="253" t="str">
        <f t="shared" si="26"/>
        <v/>
      </c>
      <c r="B275" s="609" t="str">
        <f>IF(LEFT(F275,1)="B",VLOOKUP(A275,COPY!$A$2:$AC$1000,4,FALSE),"")</f>
        <v/>
      </c>
      <c r="C275" s="586"/>
      <c r="D275" s="553"/>
      <c r="E275" s="553"/>
      <c r="F275" s="557" t="str">
        <f>IF(LEN(A275)&gt;2,LEFT(VLOOKUP(A275,COPY!$A$2:$AC$1000,29,FALSE),6),"")</f>
        <v/>
      </c>
      <c r="G275" s="558" t="str">
        <f>_xlfn.IFNA(IF(TEXT(F275,0)="Terima","",VLOOKUP(A275,COPY!$A$2:$AC$1000,29,FALSE)),"")</f>
        <v/>
      </c>
      <c r="H275" s="425"/>
      <c r="I275" s="559"/>
      <c r="J275" s="555"/>
      <c r="K275" s="608">
        <f>_xlfn.IFNA(IF(TEXT(F275,0)="Terima",0,VLOOKUP(A275,COPY!$A$2:$AC$1000,26,FALSE)),0)</f>
        <v>0</v>
      </c>
      <c r="L275" s="548">
        <f t="shared" si="23"/>
        <v>0</v>
      </c>
      <c r="M275" s="549">
        <f t="shared" si="24"/>
        <v>0</v>
      </c>
      <c r="O275" s="538" t="str">
        <f t="shared" si="25"/>
        <v/>
      </c>
      <c r="P275" s="550"/>
      <c r="Q275" s="551"/>
    </row>
    <row r="276" spans="1:17" s="253" customFormat="1" ht="20.100000000000001" hidden="1" customHeight="1" x14ac:dyDescent="0.25">
      <c r="A276" s="253" t="str">
        <f t="shared" si="26"/>
        <v/>
      </c>
      <c r="B276" s="609" t="str">
        <f>IF(LEFT(F276,1)="B",VLOOKUP(A276,COPY!$A$2:$AC$1000,4,FALSE),"")</f>
        <v/>
      </c>
      <c r="C276" s="586"/>
      <c r="D276" s="553"/>
      <c r="E276" s="553"/>
      <c r="F276" s="557" t="str">
        <f>IF(LEN(A276)&gt;2,LEFT(VLOOKUP(A276,COPY!$A$2:$AC$1000,29,FALSE),6),"")</f>
        <v/>
      </c>
      <c r="G276" s="558" t="str">
        <f>_xlfn.IFNA(IF(TEXT(F276,0)="Terima","",VLOOKUP(A276,COPY!$A$2:$AC$1000,29,FALSE)),"")</f>
        <v/>
      </c>
      <c r="H276" s="425"/>
      <c r="I276" s="559"/>
      <c r="J276" s="555"/>
      <c r="K276" s="608">
        <f>_xlfn.IFNA(IF(TEXT(F276,0)="Terima",0,VLOOKUP(A276,COPY!$A$2:$AC$1000,26,FALSE)),0)</f>
        <v>0</v>
      </c>
      <c r="L276" s="548">
        <f t="shared" si="23"/>
        <v>0</v>
      </c>
      <c r="M276" s="549">
        <f t="shared" si="24"/>
        <v>0</v>
      </c>
      <c r="O276" s="538" t="str">
        <f t="shared" si="25"/>
        <v/>
      </c>
      <c r="P276" s="550"/>
      <c r="Q276" s="551"/>
    </row>
    <row r="277" spans="1:17" s="253" customFormat="1" ht="20.100000000000001" hidden="1" customHeight="1" x14ac:dyDescent="0.25">
      <c r="A277" s="253" t="str">
        <f t="shared" si="26"/>
        <v/>
      </c>
      <c r="B277" s="609" t="str">
        <f>IF(LEFT(F277,1)="B",VLOOKUP(A277,COPY!$A$2:$AC$1000,4,FALSE),"")</f>
        <v/>
      </c>
      <c r="C277" s="586"/>
      <c r="D277" s="553"/>
      <c r="E277" s="553"/>
      <c r="F277" s="557" t="str">
        <f>IF(LEN(A277)&gt;2,LEFT(VLOOKUP(A277,COPY!$A$2:$AC$1000,29,FALSE),6),"")</f>
        <v/>
      </c>
      <c r="G277" s="558" t="str">
        <f>_xlfn.IFNA(IF(TEXT(F277,0)="Terima","",VLOOKUP(A277,COPY!$A$2:$AC$1000,29,FALSE)),"")</f>
        <v/>
      </c>
      <c r="H277" s="425"/>
      <c r="I277" s="559"/>
      <c r="J277" s="555"/>
      <c r="K277" s="608">
        <f>_xlfn.IFNA(IF(TEXT(F277,0)="Terima",0,VLOOKUP(A277,COPY!$A$2:$AC$1000,26,FALSE)),0)</f>
        <v>0</v>
      </c>
      <c r="L277" s="548">
        <f t="shared" si="23"/>
        <v>0</v>
      </c>
      <c r="M277" s="549">
        <f t="shared" si="24"/>
        <v>0</v>
      </c>
      <c r="O277" s="538" t="str">
        <f t="shared" si="25"/>
        <v/>
      </c>
      <c r="P277" s="550"/>
      <c r="Q277" s="551"/>
    </row>
    <row r="278" spans="1:17" s="253" customFormat="1" ht="20.100000000000001" hidden="1" customHeight="1" x14ac:dyDescent="0.25">
      <c r="A278" s="253" t="str">
        <f t="shared" si="26"/>
        <v/>
      </c>
      <c r="B278" s="609" t="str">
        <f>IF(LEFT(F278,1)="B",VLOOKUP(A278,COPY!$A$2:$AC$1000,4,FALSE),"")</f>
        <v/>
      </c>
      <c r="C278" s="586"/>
      <c r="D278" s="553"/>
      <c r="E278" s="553"/>
      <c r="F278" s="557" t="str">
        <f>IF(LEN(A278)&gt;2,LEFT(VLOOKUP(A278,COPY!$A$2:$AC$1000,29,FALSE),6),"")</f>
        <v/>
      </c>
      <c r="G278" s="558" t="str">
        <f>_xlfn.IFNA(IF(TEXT(F278,0)="Terima","",VLOOKUP(A278,COPY!$A$2:$AC$1000,29,FALSE)),"")</f>
        <v/>
      </c>
      <c r="H278" s="425"/>
      <c r="I278" s="559"/>
      <c r="J278" s="555"/>
      <c r="K278" s="608">
        <f>_xlfn.IFNA(IF(TEXT(F278,0)="Terima",0,VLOOKUP(A278,COPY!$A$2:$AC$1000,26,FALSE)),0)</f>
        <v>0</v>
      </c>
      <c r="L278" s="548">
        <f t="shared" si="23"/>
        <v>0</v>
      </c>
      <c r="M278" s="549">
        <f t="shared" si="24"/>
        <v>0</v>
      </c>
      <c r="O278" s="538" t="str">
        <f t="shared" si="25"/>
        <v/>
      </c>
      <c r="P278" s="550"/>
      <c r="Q278" s="551"/>
    </row>
    <row r="279" spans="1:17" s="253" customFormat="1" ht="20.100000000000001" hidden="1" customHeight="1" x14ac:dyDescent="0.25">
      <c r="A279" s="253" t="str">
        <f t="shared" si="26"/>
        <v/>
      </c>
      <c r="B279" s="609" t="str">
        <f>IF(LEFT(F279,1)="B",VLOOKUP(A279,COPY!$A$2:$AC$1000,4,FALSE),"")</f>
        <v/>
      </c>
      <c r="C279" s="586"/>
      <c r="D279" s="553"/>
      <c r="E279" s="553"/>
      <c r="F279" s="557" t="str">
        <f>IF(LEN(A279)&gt;2,LEFT(VLOOKUP(A279,COPY!$A$2:$AC$1000,29,FALSE),6),"")</f>
        <v/>
      </c>
      <c r="G279" s="558" t="str">
        <f>_xlfn.IFNA(IF(TEXT(F279,0)="Terima","",VLOOKUP(A279,COPY!$A$2:$AC$1000,29,FALSE)),"")</f>
        <v/>
      </c>
      <c r="H279" s="425"/>
      <c r="I279" s="559"/>
      <c r="J279" s="555"/>
      <c r="K279" s="608">
        <f>_xlfn.IFNA(IF(TEXT(F279,0)="Terima",0,VLOOKUP(A279,COPY!$A$2:$AC$1000,26,FALSE)),0)</f>
        <v>0</v>
      </c>
      <c r="L279" s="548">
        <f t="shared" si="23"/>
        <v>0</v>
      </c>
      <c r="M279" s="549">
        <f t="shared" si="24"/>
        <v>0</v>
      </c>
      <c r="O279" s="538" t="str">
        <f t="shared" si="25"/>
        <v/>
      </c>
      <c r="P279" s="550"/>
      <c r="Q279" s="551"/>
    </row>
    <row r="280" spans="1:17" s="253" customFormat="1" ht="20.100000000000001" hidden="1" customHeight="1" x14ac:dyDescent="0.25">
      <c r="A280" s="253" t="str">
        <f t="shared" si="26"/>
        <v/>
      </c>
      <c r="B280" s="609" t="str">
        <f>IF(LEFT(F280,1)="B",VLOOKUP(A280,COPY!$A$2:$AC$1000,4,FALSE),"")</f>
        <v/>
      </c>
      <c r="C280" s="586"/>
      <c r="D280" s="553"/>
      <c r="E280" s="553"/>
      <c r="F280" s="557" t="str">
        <f>IF(LEN(A280)&gt;2,LEFT(VLOOKUP(A280,COPY!$A$2:$AC$1000,29,FALSE),6),"")</f>
        <v/>
      </c>
      <c r="G280" s="558" t="str">
        <f>_xlfn.IFNA(IF(TEXT(F280,0)="Terima","",VLOOKUP(A280,COPY!$A$2:$AC$1000,29,FALSE)),"")</f>
        <v/>
      </c>
      <c r="H280" s="425"/>
      <c r="I280" s="559"/>
      <c r="J280" s="555"/>
      <c r="K280" s="608">
        <f>_xlfn.IFNA(IF(TEXT(F280,0)="Terima",0,VLOOKUP(A280,COPY!$A$2:$AC$1000,26,FALSE)),0)</f>
        <v>0</v>
      </c>
      <c r="L280" s="548">
        <f t="shared" si="23"/>
        <v>0</v>
      </c>
      <c r="M280" s="549">
        <f t="shared" si="24"/>
        <v>0</v>
      </c>
      <c r="O280" s="538" t="str">
        <f t="shared" si="25"/>
        <v/>
      </c>
      <c r="P280" s="550"/>
      <c r="Q280" s="551"/>
    </row>
    <row r="281" spans="1:17" s="253" customFormat="1" ht="20.100000000000001" hidden="1" customHeight="1" x14ac:dyDescent="0.25">
      <c r="A281" s="253" t="str">
        <f t="shared" si="26"/>
        <v/>
      </c>
      <c r="B281" s="609" t="str">
        <f>IF(LEFT(F281,1)="B",VLOOKUP(A281,COPY!$A$2:$AC$1000,4,FALSE),"")</f>
        <v/>
      </c>
      <c r="C281" s="586"/>
      <c r="D281" s="553"/>
      <c r="E281" s="553"/>
      <c r="F281" s="557" t="str">
        <f>IF(LEN(A281)&gt;2,LEFT(VLOOKUP(A281,COPY!$A$2:$AC$1000,29,FALSE),6),"")</f>
        <v/>
      </c>
      <c r="G281" s="558" t="str">
        <f>_xlfn.IFNA(IF(TEXT(F281,0)="Terima","",VLOOKUP(A281,COPY!$A$2:$AC$1000,29,FALSE)),"")</f>
        <v/>
      </c>
      <c r="H281" s="425"/>
      <c r="I281" s="559"/>
      <c r="J281" s="555"/>
      <c r="K281" s="608">
        <f>_xlfn.IFNA(IF(TEXT(F281,0)="Terima",0,VLOOKUP(A281,COPY!$A$2:$AC$1000,26,FALSE)),0)</f>
        <v>0</v>
      </c>
      <c r="L281" s="548">
        <f t="shared" si="23"/>
        <v>0</v>
      </c>
      <c r="M281" s="549">
        <f t="shared" si="24"/>
        <v>0</v>
      </c>
      <c r="O281" s="538" t="str">
        <f t="shared" si="25"/>
        <v/>
      </c>
      <c r="P281" s="550"/>
      <c r="Q281" s="551"/>
    </row>
    <row r="282" spans="1:17" s="253" customFormat="1" ht="20.100000000000001" hidden="1" customHeight="1" x14ac:dyDescent="0.25">
      <c r="A282" s="253" t="str">
        <f t="shared" si="26"/>
        <v/>
      </c>
      <c r="B282" s="609" t="str">
        <f>IF(LEFT(F282,1)="B",VLOOKUP(A282,COPY!$A$2:$AC$1000,4,FALSE),"")</f>
        <v/>
      </c>
      <c r="C282" s="586"/>
      <c r="D282" s="553"/>
      <c r="E282" s="553"/>
      <c r="F282" s="557" t="str">
        <f>IF(LEN(A282)&gt;2,LEFT(VLOOKUP(A282,COPY!$A$2:$AC$1000,29,FALSE),6),"")</f>
        <v/>
      </c>
      <c r="G282" s="558" t="str">
        <f>_xlfn.IFNA(IF(TEXT(F282,0)="Terima","",VLOOKUP(A282,COPY!$A$2:$AC$1000,29,FALSE)),"")</f>
        <v/>
      </c>
      <c r="H282" s="425"/>
      <c r="I282" s="559"/>
      <c r="J282" s="555"/>
      <c r="K282" s="608">
        <f>_xlfn.IFNA(IF(TEXT(F282,0)="Terima",0,VLOOKUP(A282,COPY!$A$2:$AC$1000,26,FALSE)),0)</f>
        <v>0</v>
      </c>
      <c r="L282" s="548">
        <f t="shared" si="23"/>
        <v>0</v>
      </c>
      <c r="M282" s="549">
        <f t="shared" si="24"/>
        <v>0</v>
      </c>
      <c r="O282" s="538" t="str">
        <f t="shared" si="25"/>
        <v/>
      </c>
      <c r="P282" s="550"/>
      <c r="Q282" s="551"/>
    </row>
    <row r="283" spans="1:17" s="253" customFormat="1" ht="20.100000000000001" hidden="1" customHeight="1" x14ac:dyDescent="0.25">
      <c r="A283" s="253" t="str">
        <f t="shared" si="26"/>
        <v/>
      </c>
      <c r="B283" s="609" t="str">
        <f>IF(LEFT(F283,1)="B",VLOOKUP(A283,COPY!$A$2:$AC$1000,4,FALSE),"")</f>
        <v/>
      </c>
      <c r="C283" s="586"/>
      <c r="D283" s="553"/>
      <c r="E283" s="553"/>
      <c r="F283" s="557" t="str">
        <f>IF(LEN(A283)&gt;2,LEFT(VLOOKUP(A283,COPY!$A$2:$AC$1000,29,FALSE),6),"")</f>
        <v/>
      </c>
      <c r="G283" s="558" t="str">
        <f>_xlfn.IFNA(IF(TEXT(F283,0)="Terima","",VLOOKUP(A283,COPY!$A$2:$AC$1000,29,FALSE)),"")</f>
        <v/>
      </c>
      <c r="H283" s="425"/>
      <c r="I283" s="559"/>
      <c r="J283" s="555"/>
      <c r="K283" s="608">
        <f>_xlfn.IFNA(IF(TEXT(F283,0)="Terima",0,VLOOKUP(A283,COPY!$A$2:$AC$1000,26,FALSE)),0)</f>
        <v>0</v>
      </c>
      <c r="L283" s="548">
        <f t="shared" si="23"/>
        <v>0</v>
      </c>
      <c r="M283" s="549">
        <f t="shared" si="24"/>
        <v>0</v>
      </c>
      <c r="O283" s="538" t="str">
        <f t="shared" si="25"/>
        <v/>
      </c>
      <c r="P283" s="550"/>
      <c r="Q283" s="551"/>
    </row>
    <row r="284" spans="1:17" s="253" customFormat="1" ht="20.100000000000001" hidden="1" customHeight="1" x14ac:dyDescent="0.25">
      <c r="A284" s="253" t="str">
        <f t="shared" si="26"/>
        <v/>
      </c>
      <c r="B284" s="609" t="str">
        <f>IF(LEFT(F284,1)="B",VLOOKUP(A284,COPY!$A$2:$AC$1000,4,FALSE),"")</f>
        <v/>
      </c>
      <c r="C284" s="586"/>
      <c r="D284" s="553"/>
      <c r="E284" s="553"/>
      <c r="F284" s="557" t="str">
        <f>IF(LEN(A284)&gt;2,LEFT(VLOOKUP(A284,COPY!$A$2:$AC$1000,29,FALSE),6),"")</f>
        <v/>
      </c>
      <c r="G284" s="558" t="str">
        <f>_xlfn.IFNA(IF(TEXT(F284,0)="Terima","",VLOOKUP(A284,COPY!$A$2:$AC$1000,29,FALSE)),"")</f>
        <v/>
      </c>
      <c r="H284" s="425"/>
      <c r="I284" s="559"/>
      <c r="J284" s="555"/>
      <c r="K284" s="608">
        <f>_xlfn.IFNA(IF(TEXT(F284,0)="Terima",0,VLOOKUP(A284,COPY!$A$2:$AC$1000,26,FALSE)),0)</f>
        <v>0</v>
      </c>
      <c r="L284" s="548">
        <f t="shared" si="23"/>
        <v>0</v>
      </c>
      <c r="M284" s="549">
        <f t="shared" si="24"/>
        <v>0</v>
      </c>
      <c r="O284" s="538" t="str">
        <f t="shared" si="25"/>
        <v/>
      </c>
      <c r="P284" s="550"/>
      <c r="Q284" s="551"/>
    </row>
    <row r="285" spans="1:17" s="253" customFormat="1" ht="20.100000000000001" hidden="1" customHeight="1" x14ac:dyDescent="0.25">
      <c r="A285" s="253" t="str">
        <f t="shared" si="26"/>
        <v/>
      </c>
      <c r="B285" s="609" t="str">
        <f>IF(LEFT(F285,1)="B",VLOOKUP(A285,COPY!$A$2:$AC$1000,4,FALSE),"")</f>
        <v/>
      </c>
      <c r="C285" s="586"/>
      <c r="D285" s="553"/>
      <c r="E285" s="553"/>
      <c r="F285" s="557" t="str">
        <f>IF(LEN(A285)&gt;2,LEFT(VLOOKUP(A285,COPY!$A$2:$AC$1000,29,FALSE),6),"")</f>
        <v/>
      </c>
      <c r="G285" s="558" t="str">
        <f>_xlfn.IFNA(IF(TEXT(F285,0)="Terima","",VLOOKUP(A285,COPY!$A$2:$AC$1000,29,FALSE)),"")</f>
        <v/>
      </c>
      <c r="H285" s="425"/>
      <c r="I285" s="559"/>
      <c r="J285" s="555"/>
      <c r="K285" s="608">
        <f>_xlfn.IFNA(IF(TEXT(F285,0)="Terima",0,VLOOKUP(A285,COPY!$A$2:$AC$1000,26,FALSE)),0)</f>
        <v>0</v>
      </c>
      <c r="L285" s="548">
        <f t="shared" si="23"/>
        <v>0</v>
      </c>
      <c r="M285" s="549">
        <f t="shared" si="24"/>
        <v>0</v>
      </c>
      <c r="O285" s="538" t="str">
        <f t="shared" si="25"/>
        <v/>
      </c>
      <c r="P285" s="550"/>
      <c r="Q285" s="551"/>
    </row>
    <row r="286" spans="1:17" s="253" customFormat="1" ht="20.100000000000001" hidden="1" customHeight="1" x14ac:dyDescent="0.25">
      <c r="A286" s="253" t="str">
        <f t="shared" si="26"/>
        <v/>
      </c>
      <c r="B286" s="609" t="str">
        <f>IF(LEFT(F286,1)="B",VLOOKUP(A286,COPY!$A$2:$AC$1000,4,FALSE),"")</f>
        <v/>
      </c>
      <c r="C286" s="586"/>
      <c r="D286" s="553"/>
      <c r="E286" s="553"/>
      <c r="F286" s="557" t="str">
        <f>IF(LEN(A286)&gt;2,LEFT(VLOOKUP(A286,COPY!$A$2:$AC$1000,29,FALSE),6),"")</f>
        <v/>
      </c>
      <c r="G286" s="558" t="str">
        <f>_xlfn.IFNA(IF(TEXT(F286,0)="Terima","",VLOOKUP(A286,COPY!$A$2:$AC$1000,29,FALSE)),"")</f>
        <v/>
      </c>
      <c r="H286" s="425"/>
      <c r="I286" s="559"/>
      <c r="J286" s="555"/>
      <c r="K286" s="608">
        <f>_xlfn.IFNA(IF(TEXT(F286,0)="Terima",0,VLOOKUP(A286,COPY!$A$2:$AC$1000,26,FALSE)),0)</f>
        <v>0</v>
      </c>
      <c r="L286" s="548">
        <f t="shared" si="23"/>
        <v>0</v>
      </c>
      <c r="M286" s="549">
        <f t="shared" si="24"/>
        <v>0</v>
      </c>
      <c r="O286" s="538" t="str">
        <f t="shared" si="25"/>
        <v/>
      </c>
      <c r="P286" s="550"/>
      <c r="Q286" s="551"/>
    </row>
    <row r="287" spans="1:17" s="253" customFormat="1" ht="20.100000000000001" hidden="1" customHeight="1" x14ac:dyDescent="0.25">
      <c r="A287" s="253" t="str">
        <f t="shared" si="26"/>
        <v/>
      </c>
      <c r="B287" s="609" t="str">
        <f>IF(LEFT(F287,1)="B",VLOOKUP(A287,COPY!$A$2:$AC$1000,4,FALSE),"")</f>
        <v/>
      </c>
      <c r="C287" s="586"/>
      <c r="D287" s="553"/>
      <c r="E287" s="553"/>
      <c r="F287" s="557" t="str">
        <f>IF(LEN(A287)&gt;2,LEFT(VLOOKUP(A287,COPY!$A$2:$AC$1000,29,FALSE),6),"")</f>
        <v/>
      </c>
      <c r="G287" s="558" t="str">
        <f>_xlfn.IFNA(IF(TEXT(F287,0)="Terima","",VLOOKUP(A287,COPY!$A$2:$AC$1000,29,FALSE)),"")</f>
        <v/>
      </c>
      <c r="H287" s="425"/>
      <c r="I287" s="559"/>
      <c r="J287" s="555"/>
      <c r="K287" s="608">
        <f>_xlfn.IFNA(IF(TEXT(F287,0)="Terima",0,VLOOKUP(A287,COPY!$A$2:$AC$1000,26,FALSE)),0)</f>
        <v>0</v>
      </c>
      <c r="L287" s="548">
        <f t="shared" si="23"/>
        <v>0</v>
      </c>
      <c r="M287" s="549">
        <f t="shared" si="24"/>
        <v>0</v>
      </c>
      <c r="O287" s="538" t="str">
        <f t="shared" si="25"/>
        <v/>
      </c>
      <c r="P287" s="550"/>
      <c r="Q287" s="551"/>
    </row>
    <row r="288" spans="1:17" s="253" customFormat="1" ht="20.100000000000001" hidden="1" customHeight="1" x14ac:dyDescent="0.25">
      <c r="A288" s="253" t="str">
        <f t="shared" si="26"/>
        <v/>
      </c>
      <c r="B288" s="609" t="str">
        <f>IF(LEFT(F288,1)="B",VLOOKUP(A288,COPY!$A$2:$AC$1000,4,FALSE),"")</f>
        <v/>
      </c>
      <c r="C288" s="586"/>
      <c r="D288" s="553"/>
      <c r="E288" s="553"/>
      <c r="F288" s="557" t="str">
        <f>IF(LEN(A288)&gt;2,LEFT(VLOOKUP(A288,COPY!$A$2:$AC$1000,29,FALSE),6),"")</f>
        <v/>
      </c>
      <c r="G288" s="558" t="str">
        <f>_xlfn.IFNA(IF(TEXT(F288,0)="Terima","",VLOOKUP(A288,COPY!$A$2:$AC$1000,29,FALSE)),"")</f>
        <v/>
      </c>
      <c r="H288" s="425"/>
      <c r="I288" s="559"/>
      <c r="J288" s="555"/>
      <c r="K288" s="608">
        <f>_xlfn.IFNA(IF(TEXT(F288,0)="Terima",0,VLOOKUP(A288,COPY!$A$2:$AC$1000,26,FALSE)),0)</f>
        <v>0</v>
      </c>
      <c r="L288" s="548">
        <f t="shared" si="23"/>
        <v>0</v>
      </c>
      <c r="M288" s="549">
        <f t="shared" si="24"/>
        <v>0</v>
      </c>
      <c r="O288" s="538" t="str">
        <f t="shared" si="25"/>
        <v/>
      </c>
      <c r="P288" s="550"/>
      <c r="Q288" s="551"/>
    </row>
    <row r="289" spans="1:17" s="253" customFormat="1" ht="20.100000000000001" hidden="1" customHeight="1" x14ac:dyDescent="0.25">
      <c r="A289" s="253" t="str">
        <f t="shared" si="26"/>
        <v/>
      </c>
      <c r="B289" s="609" t="str">
        <f>IF(LEFT(F289,1)="B",VLOOKUP(A289,COPY!$A$2:$AC$1000,4,FALSE),"")</f>
        <v/>
      </c>
      <c r="C289" s="586"/>
      <c r="D289" s="553"/>
      <c r="E289" s="553"/>
      <c r="F289" s="557" t="str">
        <f>IF(LEN(A289)&gt;2,LEFT(VLOOKUP(A289,COPY!$A$2:$AC$1000,29,FALSE),6),"")</f>
        <v/>
      </c>
      <c r="G289" s="558" t="str">
        <f>_xlfn.IFNA(IF(TEXT(F289,0)="Terima","",VLOOKUP(A289,COPY!$A$2:$AC$1000,29,FALSE)),"")</f>
        <v/>
      </c>
      <c r="H289" s="425"/>
      <c r="I289" s="559"/>
      <c r="J289" s="555"/>
      <c r="K289" s="608">
        <f>_xlfn.IFNA(IF(TEXT(F289,0)="Terima",0,VLOOKUP(A289,COPY!$A$2:$AC$1000,26,FALSE)),0)</f>
        <v>0</v>
      </c>
      <c r="L289" s="548">
        <f t="shared" si="23"/>
        <v>0</v>
      </c>
      <c r="M289" s="549">
        <f t="shared" si="24"/>
        <v>0</v>
      </c>
      <c r="O289" s="538" t="str">
        <f t="shared" si="25"/>
        <v/>
      </c>
      <c r="P289" s="550"/>
      <c r="Q289" s="551"/>
    </row>
    <row r="290" spans="1:17" s="253" customFormat="1" ht="20.100000000000001" hidden="1" customHeight="1" x14ac:dyDescent="0.25">
      <c r="A290" s="253" t="str">
        <f t="shared" si="26"/>
        <v/>
      </c>
      <c r="B290" s="609" t="str">
        <f>IF(LEFT(F290,1)="B",VLOOKUP(A290,COPY!$A$2:$AC$1000,4,FALSE),"")</f>
        <v/>
      </c>
      <c r="C290" s="586"/>
      <c r="D290" s="553"/>
      <c r="E290" s="553"/>
      <c r="F290" s="557" t="str">
        <f>IF(LEN(A290)&gt;2,LEFT(VLOOKUP(A290,COPY!$A$2:$AC$1000,29,FALSE),6),"")</f>
        <v/>
      </c>
      <c r="G290" s="558" t="str">
        <f>_xlfn.IFNA(IF(TEXT(F290,0)="Terima","",VLOOKUP(A290,COPY!$A$2:$AC$1000,29,FALSE)),"")</f>
        <v/>
      </c>
      <c r="H290" s="425"/>
      <c r="I290" s="559"/>
      <c r="J290" s="555"/>
      <c r="K290" s="608">
        <f>_xlfn.IFNA(IF(TEXT(F290,0)="Terima",0,VLOOKUP(A290,COPY!$A$2:$AC$1000,26,FALSE)),0)</f>
        <v>0</v>
      </c>
      <c r="L290" s="548">
        <f t="shared" si="23"/>
        <v>0</v>
      </c>
      <c r="M290" s="549">
        <f t="shared" si="24"/>
        <v>0</v>
      </c>
      <c r="O290" s="538" t="str">
        <f t="shared" si="25"/>
        <v/>
      </c>
      <c r="P290" s="550"/>
      <c r="Q290" s="551"/>
    </row>
    <row r="291" spans="1:17" s="253" customFormat="1" ht="20.100000000000001" hidden="1" customHeight="1" x14ac:dyDescent="0.25">
      <c r="A291" s="253" t="str">
        <f t="shared" si="26"/>
        <v/>
      </c>
      <c r="B291" s="609" t="str">
        <f>IF(LEFT(F291,1)="B",VLOOKUP(A291,COPY!$A$2:$AC$1000,4,FALSE),"")</f>
        <v/>
      </c>
      <c r="C291" s="586"/>
      <c r="D291" s="553"/>
      <c r="E291" s="553"/>
      <c r="F291" s="557" t="str">
        <f>IF(LEN(A291)&gt;2,LEFT(VLOOKUP(A291,COPY!$A$2:$AC$1000,29,FALSE),6),"")</f>
        <v/>
      </c>
      <c r="G291" s="558" t="str">
        <f>_xlfn.IFNA(IF(TEXT(F291,0)="Terima","",VLOOKUP(A291,COPY!$A$2:$AC$1000,29,FALSE)),"")</f>
        <v/>
      </c>
      <c r="H291" s="425"/>
      <c r="I291" s="559"/>
      <c r="J291" s="555"/>
      <c r="K291" s="608">
        <f>_xlfn.IFNA(IF(TEXT(F291,0)="Terima",0,VLOOKUP(A291,COPY!$A$2:$AC$1000,26,FALSE)),0)</f>
        <v>0</v>
      </c>
      <c r="L291" s="548">
        <f t="shared" si="23"/>
        <v>0</v>
      </c>
      <c r="M291" s="549">
        <f t="shared" si="24"/>
        <v>0</v>
      </c>
      <c r="O291" s="538" t="str">
        <f t="shared" si="25"/>
        <v/>
      </c>
      <c r="P291" s="550"/>
      <c r="Q291" s="551"/>
    </row>
    <row r="292" spans="1:17" s="253" customFormat="1" ht="20.100000000000001" hidden="1" customHeight="1" x14ac:dyDescent="0.25">
      <c r="A292" s="253" t="str">
        <f t="shared" si="26"/>
        <v/>
      </c>
      <c r="B292" s="609" t="str">
        <f>IF(LEFT(F292,1)="B",VLOOKUP(A292,COPY!$A$2:$AC$1000,4,FALSE),"")</f>
        <v/>
      </c>
      <c r="C292" s="586"/>
      <c r="D292" s="553"/>
      <c r="E292" s="553"/>
      <c r="F292" s="557" t="str">
        <f>IF(LEN(A292)&gt;2,LEFT(VLOOKUP(A292,COPY!$A$2:$AC$1000,29,FALSE),6),"")</f>
        <v/>
      </c>
      <c r="G292" s="558" t="str">
        <f>_xlfn.IFNA(IF(TEXT(F292,0)="Terima","",VLOOKUP(A292,COPY!$A$2:$AC$1000,29,FALSE)),"")</f>
        <v/>
      </c>
      <c r="H292" s="425"/>
      <c r="I292" s="559"/>
      <c r="J292" s="555"/>
      <c r="K292" s="608">
        <f>_xlfn.IFNA(IF(TEXT(F292,0)="Terima",0,VLOOKUP(A292,COPY!$A$2:$AC$1000,26,FALSE)),0)</f>
        <v>0</v>
      </c>
      <c r="L292" s="548">
        <f t="shared" si="23"/>
        <v>0</v>
      </c>
      <c r="M292" s="549">
        <f t="shared" si="24"/>
        <v>0</v>
      </c>
      <c r="O292" s="538" t="str">
        <f t="shared" si="25"/>
        <v/>
      </c>
      <c r="P292" s="550"/>
      <c r="Q292" s="551"/>
    </row>
    <row r="293" spans="1:17" s="253" customFormat="1" ht="20.100000000000001" hidden="1" customHeight="1" x14ac:dyDescent="0.25">
      <c r="A293" s="253" t="str">
        <f t="shared" si="26"/>
        <v/>
      </c>
      <c r="B293" s="609" t="str">
        <f>IF(LEFT(F293,1)="B",VLOOKUP(A293,COPY!$A$2:$AC$1000,4,FALSE),"")</f>
        <v/>
      </c>
      <c r="C293" s="586"/>
      <c r="D293" s="553"/>
      <c r="E293" s="553"/>
      <c r="F293" s="557" t="str">
        <f>IF(LEN(A293)&gt;2,LEFT(VLOOKUP(A293,COPY!$A$2:$AC$1000,29,FALSE),6),"")</f>
        <v/>
      </c>
      <c r="G293" s="558" t="str">
        <f>_xlfn.IFNA(IF(TEXT(F293,0)="Terima","",VLOOKUP(A293,COPY!$A$2:$AC$1000,29,FALSE)),"")</f>
        <v/>
      </c>
      <c r="H293" s="425"/>
      <c r="I293" s="559"/>
      <c r="J293" s="555"/>
      <c r="K293" s="608">
        <f>_xlfn.IFNA(IF(TEXT(F293,0)="Terima",0,VLOOKUP(A293,COPY!$A$2:$AC$1000,26,FALSE)),0)</f>
        <v>0</v>
      </c>
      <c r="L293" s="548">
        <f t="shared" si="23"/>
        <v>0</v>
      </c>
      <c r="M293" s="549">
        <f t="shared" si="24"/>
        <v>0</v>
      </c>
      <c r="O293" s="538" t="str">
        <f t="shared" si="25"/>
        <v/>
      </c>
      <c r="P293" s="550"/>
      <c r="Q293" s="551"/>
    </row>
    <row r="294" spans="1:17" s="253" customFormat="1" ht="20.100000000000001" hidden="1" customHeight="1" x14ac:dyDescent="0.25">
      <c r="A294" s="253" t="str">
        <f t="shared" si="26"/>
        <v/>
      </c>
      <c r="B294" s="609" t="str">
        <f>IF(LEFT(F294,1)="B",VLOOKUP(A294,COPY!$A$2:$AC$1000,4,FALSE),"")</f>
        <v/>
      </c>
      <c r="C294" s="586"/>
      <c r="D294" s="553"/>
      <c r="E294" s="553"/>
      <c r="F294" s="557" t="str">
        <f>IF(LEN(A294)&gt;2,LEFT(VLOOKUP(A294,COPY!$A$2:$AC$1000,29,FALSE),6),"")</f>
        <v/>
      </c>
      <c r="G294" s="558" t="str">
        <f>_xlfn.IFNA(IF(TEXT(F294,0)="Terima","",VLOOKUP(A294,COPY!$A$2:$AC$1000,29,FALSE)),"")</f>
        <v/>
      </c>
      <c r="H294" s="425"/>
      <c r="I294" s="559"/>
      <c r="J294" s="555"/>
      <c r="K294" s="608">
        <f>_xlfn.IFNA(IF(TEXT(F294,0)="Terima",0,VLOOKUP(A294,COPY!$A$2:$AC$1000,26,FALSE)),0)</f>
        <v>0</v>
      </c>
      <c r="L294" s="548">
        <f t="shared" si="23"/>
        <v>0</v>
      </c>
      <c r="M294" s="549">
        <f t="shared" si="24"/>
        <v>0</v>
      </c>
      <c r="O294" s="538" t="str">
        <f t="shared" si="25"/>
        <v/>
      </c>
      <c r="P294" s="550"/>
      <c r="Q294" s="551"/>
    </row>
    <row r="295" spans="1:17" s="253" customFormat="1" ht="20.100000000000001" hidden="1" customHeight="1" x14ac:dyDescent="0.25">
      <c r="A295" s="253" t="str">
        <f t="shared" si="26"/>
        <v/>
      </c>
      <c r="B295" s="609" t="str">
        <f>IF(LEFT(F295,1)="B",VLOOKUP(A295,COPY!$A$2:$AC$1000,4,FALSE),"")</f>
        <v/>
      </c>
      <c r="C295" s="586"/>
      <c r="D295" s="553"/>
      <c r="E295" s="553"/>
      <c r="F295" s="557" t="str">
        <f>IF(LEN(A295)&gt;2,LEFT(VLOOKUP(A295,COPY!$A$2:$AC$1000,29,FALSE),6),"")</f>
        <v/>
      </c>
      <c r="G295" s="558" t="str">
        <f>_xlfn.IFNA(IF(TEXT(F295,0)="Terima","",VLOOKUP(A295,COPY!$A$2:$AC$1000,29,FALSE)),"")</f>
        <v/>
      </c>
      <c r="H295" s="425"/>
      <c r="I295" s="559"/>
      <c r="J295" s="555"/>
      <c r="K295" s="608">
        <f>_xlfn.IFNA(IF(TEXT(F295,0)="Terima",0,VLOOKUP(A295,COPY!$A$2:$AC$1000,26,FALSE)),0)</f>
        <v>0</v>
      </c>
      <c r="L295" s="548">
        <f t="shared" si="23"/>
        <v>0</v>
      </c>
      <c r="M295" s="549">
        <f t="shared" si="24"/>
        <v>0</v>
      </c>
      <c r="O295" s="538" t="str">
        <f t="shared" si="25"/>
        <v/>
      </c>
      <c r="P295" s="550"/>
      <c r="Q295" s="551"/>
    </row>
    <row r="296" spans="1:17" s="253" customFormat="1" ht="20.100000000000001" hidden="1" customHeight="1" x14ac:dyDescent="0.25">
      <c r="A296" s="253" t="str">
        <f t="shared" si="26"/>
        <v/>
      </c>
      <c r="B296" s="609" t="str">
        <f>IF(LEFT(F296,1)="B",VLOOKUP(A296,COPY!$A$2:$AC$1000,4,FALSE),"")</f>
        <v/>
      </c>
      <c r="C296" s="586"/>
      <c r="D296" s="553"/>
      <c r="E296" s="553"/>
      <c r="F296" s="557" t="str">
        <f>IF(LEN(A296)&gt;2,LEFT(VLOOKUP(A296,COPY!$A$2:$AC$1000,29,FALSE),6),"")</f>
        <v/>
      </c>
      <c r="G296" s="558" t="str">
        <f>_xlfn.IFNA(IF(TEXT(F296,0)="Terima","",VLOOKUP(A296,COPY!$A$2:$AC$1000,29,FALSE)),"")</f>
        <v/>
      </c>
      <c r="H296" s="425"/>
      <c r="I296" s="559"/>
      <c r="J296" s="555"/>
      <c r="K296" s="608">
        <f>_xlfn.IFNA(IF(TEXT(F296,0)="Terima",0,VLOOKUP(A296,COPY!$A$2:$AC$1000,26,FALSE)),0)</f>
        <v>0</v>
      </c>
      <c r="L296" s="548">
        <f t="shared" si="23"/>
        <v>0</v>
      </c>
      <c r="M296" s="549">
        <f t="shared" si="24"/>
        <v>0</v>
      </c>
      <c r="O296" s="538" t="str">
        <f t="shared" si="25"/>
        <v/>
      </c>
      <c r="P296" s="550"/>
      <c r="Q296" s="551"/>
    </row>
    <row r="297" spans="1:17" s="253" customFormat="1" ht="20.100000000000001" hidden="1" customHeight="1" x14ac:dyDescent="0.25">
      <c r="A297" s="253" t="str">
        <f t="shared" si="26"/>
        <v/>
      </c>
      <c r="B297" s="609" t="str">
        <f>IF(LEFT(F297,1)="B",VLOOKUP(A297,COPY!$A$2:$AC$1000,4,FALSE),"")</f>
        <v/>
      </c>
      <c r="C297" s="586"/>
      <c r="D297" s="553"/>
      <c r="E297" s="553"/>
      <c r="F297" s="557" t="str">
        <f>IF(LEN(A297)&gt;2,LEFT(VLOOKUP(A297,COPY!$A$2:$AC$1000,29,FALSE),6),"")</f>
        <v/>
      </c>
      <c r="G297" s="558" t="str">
        <f>_xlfn.IFNA(IF(TEXT(F297,0)="Terima","",VLOOKUP(A297,COPY!$A$2:$AC$1000,29,FALSE)),"")</f>
        <v/>
      </c>
      <c r="H297" s="425"/>
      <c r="I297" s="559"/>
      <c r="J297" s="555"/>
      <c r="K297" s="608">
        <f>_xlfn.IFNA(IF(TEXT(F297,0)="Terima",0,VLOOKUP(A297,COPY!$A$2:$AC$1000,26,FALSE)),0)</f>
        <v>0</v>
      </c>
      <c r="L297" s="548">
        <f t="shared" si="23"/>
        <v>0</v>
      </c>
      <c r="M297" s="549">
        <f t="shared" si="24"/>
        <v>0</v>
      </c>
      <c r="O297" s="538" t="str">
        <f t="shared" si="25"/>
        <v/>
      </c>
      <c r="P297" s="550"/>
      <c r="Q297" s="551"/>
    </row>
    <row r="298" spans="1:17" s="253" customFormat="1" ht="20.100000000000001" hidden="1" customHeight="1" x14ac:dyDescent="0.25">
      <c r="A298" s="253" t="str">
        <f t="shared" si="26"/>
        <v/>
      </c>
      <c r="B298" s="609" t="str">
        <f>IF(LEFT(F298,1)="B",VLOOKUP(A298,COPY!$A$2:$AC$1000,4,FALSE),"")</f>
        <v/>
      </c>
      <c r="C298" s="586"/>
      <c r="D298" s="553"/>
      <c r="E298" s="553"/>
      <c r="F298" s="557" t="str">
        <f>IF(LEN(A298)&gt;2,LEFT(VLOOKUP(A298,COPY!$A$2:$AC$1000,29,FALSE),6),"")</f>
        <v/>
      </c>
      <c r="G298" s="558" t="str">
        <f>_xlfn.IFNA(IF(TEXT(F298,0)="Terima","",VLOOKUP(A298,COPY!$A$2:$AC$1000,29,FALSE)),"")</f>
        <v/>
      </c>
      <c r="H298" s="425"/>
      <c r="I298" s="559"/>
      <c r="J298" s="555"/>
      <c r="K298" s="608">
        <f>_xlfn.IFNA(IF(TEXT(F298,0)="Terima",0,VLOOKUP(A298,COPY!$A$2:$AC$1000,26,FALSE)),0)</f>
        <v>0</v>
      </c>
      <c r="L298" s="548">
        <f t="shared" ref="L298:L322" si="27">IF(K298&gt;0,IF(O298&gt;=0,O298,IF(O298&lt;0,0,0)),0)</f>
        <v>0</v>
      </c>
      <c r="M298" s="549">
        <f t="shared" ref="M298:M322" si="28">IF(O298&lt;0,O298,IF(O298&gt;=0,0,0))</f>
        <v>0</v>
      </c>
      <c r="O298" s="538" t="str">
        <f t="shared" ref="O298:O322" si="29">IF(J298&gt;0,O297+J298,IF(K298&gt;0,O297-K298,O297))</f>
        <v/>
      </c>
      <c r="P298" s="550"/>
      <c r="Q298" s="551"/>
    </row>
    <row r="299" spans="1:17" s="253" customFormat="1" ht="20.100000000000001" hidden="1" customHeight="1" x14ac:dyDescent="0.25">
      <c r="A299" s="253" t="str">
        <f t="shared" ref="A299:A322" si="30">A144</f>
        <v/>
      </c>
      <c r="B299" s="609" t="str">
        <f>IF(LEFT(F299,1)="B",VLOOKUP(A299,COPY!$A$2:$AC$1000,4,FALSE),"")</f>
        <v/>
      </c>
      <c r="C299" s="586"/>
      <c r="D299" s="553"/>
      <c r="E299" s="553"/>
      <c r="F299" s="557" t="str">
        <f>IF(LEN(A299)&gt;2,LEFT(VLOOKUP(A299,COPY!$A$2:$AC$1000,29,FALSE),6),"")</f>
        <v/>
      </c>
      <c r="G299" s="558" t="str">
        <f>_xlfn.IFNA(IF(TEXT(F299,0)="Terima","",VLOOKUP(A299,COPY!$A$2:$AC$1000,29,FALSE)),"")</f>
        <v/>
      </c>
      <c r="H299" s="425"/>
      <c r="I299" s="559"/>
      <c r="J299" s="555"/>
      <c r="K299" s="608">
        <f>_xlfn.IFNA(IF(TEXT(F299,0)="Terima",0,VLOOKUP(A299,COPY!$A$2:$AC$1000,26,FALSE)),0)</f>
        <v>0</v>
      </c>
      <c r="L299" s="548">
        <f t="shared" si="27"/>
        <v>0</v>
      </c>
      <c r="M299" s="549">
        <f t="shared" si="28"/>
        <v>0</v>
      </c>
      <c r="O299" s="538" t="str">
        <f t="shared" si="29"/>
        <v/>
      </c>
      <c r="P299" s="550"/>
      <c r="Q299" s="551"/>
    </row>
    <row r="300" spans="1:17" s="253" customFormat="1" ht="20.100000000000001" hidden="1" customHeight="1" x14ac:dyDescent="0.25">
      <c r="A300" s="253" t="str">
        <f t="shared" si="30"/>
        <v/>
      </c>
      <c r="B300" s="609" t="str">
        <f>IF(LEFT(F300,1)="B",VLOOKUP(A300,COPY!$A$2:$AC$1000,4,FALSE),"")</f>
        <v/>
      </c>
      <c r="C300" s="586"/>
      <c r="D300" s="553"/>
      <c r="E300" s="553"/>
      <c r="F300" s="557" t="str">
        <f>IF(LEN(A300)&gt;2,LEFT(VLOOKUP(A300,COPY!$A$2:$AC$1000,29,FALSE),6),"")</f>
        <v/>
      </c>
      <c r="G300" s="558" t="str">
        <f>_xlfn.IFNA(IF(TEXT(F300,0)="Terima","",VLOOKUP(A300,COPY!$A$2:$AC$1000,29,FALSE)),"")</f>
        <v/>
      </c>
      <c r="H300" s="425"/>
      <c r="I300" s="559"/>
      <c r="J300" s="555"/>
      <c r="K300" s="608">
        <f>_xlfn.IFNA(IF(TEXT(F300,0)="Terima",0,VLOOKUP(A300,COPY!$A$2:$AC$1000,26,FALSE)),0)</f>
        <v>0</v>
      </c>
      <c r="L300" s="548">
        <f t="shared" si="27"/>
        <v>0</v>
      </c>
      <c r="M300" s="549">
        <f t="shared" si="28"/>
        <v>0</v>
      </c>
      <c r="O300" s="538" t="str">
        <f t="shared" si="29"/>
        <v/>
      </c>
      <c r="P300" s="550"/>
      <c r="Q300" s="551"/>
    </row>
    <row r="301" spans="1:17" s="253" customFormat="1" ht="20.100000000000001" hidden="1" customHeight="1" x14ac:dyDescent="0.25">
      <c r="A301" s="253" t="str">
        <f t="shared" si="30"/>
        <v/>
      </c>
      <c r="B301" s="609" t="str">
        <f>IF(LEFT(F301,1)="B",VLOOKUP(A301,COPY!$A$2:$AC$1000,4,FALSE),"")</f>
        <v/>
      </c>
      <c r="C301" s="586"/>
      <c r="D301" s="553"/>
      <c r="E301" s="553"/>
      <c r="F301" s="557" t="str">
        <f>IF(LEN(A301)&gt;2,LEFT(VLOOKUP(A301,COPY!$A$2:$AC$1000,29,FALSE),6),"")</f>
        <v/>
      </c>
      <c r="G301" s="558" t="str">
        <f>_xlfn.IFNA(IF(TEXT(F301,0)="Terima","",VLOOKUP(A301,COPY!$A$2:$AC$1000,29,FALSE)),"")</f>
        <v/>
      </c>
      <c r="H301" s="425"/>
      <c r="I301" s="559"/>
      <c r="J301" s="555"/>
      <c r="K301" s="608">
        <f>_xlfn.IFNA(IF(TEXT(F301,0)="Terima",0,VLOOKUP(A301,COPY!$A$2:$AC$1000,26,FALSE)),0)</f>
        <v>0</v>
      </c>
      <c r="L301" s="548">
        <f t="shared" si="27"/>
        <v>0</v>
      </c>
      <c r="M301" s="549">
        <f t="shared" si="28"/>
        <v>0</v>
      </c>
      <c r="O301" s="538" t="str">
        <f t="shared" si="29"/>
        <v/>
      </c>
      <c r="P301" s="550"/>
      <c r="Q301" s="551"/>
    </row>
    <row r="302" spans="1:17" s="253" customFormat="1" ht="20.100000000000001" hidden="1" customHeight="1" x14ac:dyDescent="0.25">
      <c r="A302" s="253" t="str">
        <f t="shared" si="30"/>
        <v/>
      </c>
      <c r="B302" s="609" t="str">
        <f>IF(LEFT(F302,1)="B",VLOOKUP(A302,COPY!$A$2:$AC$1000,4,FALSE),"")</f>
        <v/>
      </c>
      <c r="C302" s="586"/>
      <c r="D302" s="553"/>
      <c r="E302" s="553"/>
      <c r="F302" s="557" t="str">
        <f>IF(LEN(A302)&gt;2,LEFT(VLOOKUP(A302,COPY!$A$2:$AC$1000,29,FALSE),6),"")</f>
        <v/>
      </c>
      <c r="G302" s="558" t="str">
        <f>_xlfn.IFNA(IF(TEXT(F302,0)="Terima","",VLOOKUP(A302,COPY!$A$2:$AC$1000,29,FALSE)),"")</f>
        <v/>
      </c>
      <c r="H302" s="425"/>
      <c r="I302" s="559"/>
      <c r="J302" s="555"/>
      <c r="K302" s="608">
        <f>_xlfn.IFNA(IF(TEXT(F302,0)="Terima",0,VLOOKUP(A302,COPY!$A$2:$AC$1000,26,FALSE)),0)</f>
        <v>0</v>
      </c>
      <c r="L302" s="548">
        <f t="shared" si="27"/>
        <v>0</v>
      </c>
      <c r="M302" s="549">
        <f t="shared" si="28"/>
        <v>0</v>
      </c>
      <c r="O302" s="538" t="str">
        <f t="shared" si="29"/>
        <v/>
      </c>
      <c r="P302" s="550"/>
      <c r="Q302" s="551"/>
    </row>
    <row r="303" spans="1:17" s="253" customFormat="1" ht="20.100000000000001" hidden="1" customHeight="1" x14ac:dyDescent="0.25">
      <c r="A303" s="253" t="str">
        <f t="shared" si="30"/>
        <v/>
      </c>
      <c r="B303" s="609" t="str">
        <f>IF(LEFT(F303,1)="B",VLOOKUP(A303,COPY!$A$2:$AC$1000,4,FALSE),"")</f>
        <v/>
      </c>
      <c r="C303" s="586"/>
      <c r="D303" s="553"/>
      <c r="E303" s="553"/>
      <c r="F303" s="557" t="str">
        <f>IF(LEN(A303)&gt;2,LEFT(VLOOKUP(A303,COPY!$A$2:$AC$1000,29,FALSE),6),"")</f>
        <v/>
      </c>
      <c r="G303" s="558" t="str">
        <f>_xlfn.IFNA(IF(TEXT(F303,0)="Terima","",VLOOKUP(A303,COPY!$A$2:$AC$1000,29,FALSE)),"")</f>
        <v/>
      </c>
      <c r="H303" s="425"/>
      <c r="I303" s="559"/>
      <c r="J303" s="555"/>
      <c r="K303" s="608">
        <f>_xlfn.IFNA(IF(TEXT(F303,0)="Terima",0,VLOOKUP(A303,COPY!$A$2:$AC$1000,26,FALSE)),0)</f>
        <v>0</v>
      </c>
      <c r="L303" s="548">
        <f t="shared" si="27"/>
        <v>0</v>
      </c>
      <c r="M303" s="549">
        <f t="shared" si="28"/>
        <v>0</v>
      </c>
      <c r="O303" s="538" t="str">
        <f t="shared" si="29"/>
        <v/>
      </c>
      <c r="P303" s="550"/>
      <c r="Q303" s="551"/>
    </row>
    <row r="304" spans="1:17" s="253" customFormat="1" ht="20.100000000000001" hidden="1" customHeight="1" x14ac:dyDescent="0.25">
      <c r="A304" s="253" t="str">
        <f t="shared" si="30"/>
        <v/>
      </c>
      <c r="B304" s="609" t="str">
        <f>IF(LEFT(F304,1)="B",VLOOKUP(A304,COPY!$A$2:$AC$1000,4,FALSE),"")</f>
        <v/>
      </c>
      <c r="C304" s="586"/>
      <c r="D304" s="553"/>
      <c r="E304" s="553"/>
      <c r="F304" s="557" t="str">
        <f>IF(LEN(A304)&gt;2,LEFT(VLOOKUP(A304,COPY!$A$2:$AC$1000,29,FALSE),6),"")</f>
        <v/>
      </c>
      <c r="G304" s="558" t="str">
        <f>_xlfn.IFNA(IF(TEXT(F304,0)="Terima","",VLOOKUP(A304,COPY!$A$2:$AC$1000,29,FALSE)),"")</f>
        <v/>
      </c>
      <c r="H304" s="425"/>
      <c r="I304" s="559"/>
      <c r="J304" s="555"/>
      <c r="K304" s="608">
        <f>_xlfn.IFNA(IF(TEXT(F304,0)="Terima",0,VLOOKUP(A304,COPY!$A$2:$AC$1000,26,FALSE)),0)</f>
        <v>0</v>
      </c>
      <c r="L304" s="548">
        <f t="shared" si="27"/>
        <v>0</v>
      </c>
      <c r="M304" s="549">
        <f t="shared" si="28"/>
        <v>0</v>
      </c>
      <c r="O304" s="538" t="str">
        <f t="shared" si="29"/>
        <v/>
      </c>
      <c r="P304" s="550"/>
      <c r="Q304" s="551"/>
    </row>
    <row r="305" spans="1:17" s="253" customFormat="1" ht="20.100000000000001" hidden="1" customHeight="1" x14ac:dyDescent="0.25">
      <c r="A305" s="253" t="str">
        <f t="shared" si="30"/>
        <v/>
      </c>
      <c r="B305" s="609" t="str">
        <f>IF(LEFT(F305,1)="B",VLOOKUP(A305,COPY!$A$2:$AC$1000,4,FALSE),"")</f>
        <v/>
      </c>
      <c r="C305" s="586"/>
      <c r="D305" s="553"/>
      <c r="E305" s="553"/>
      <c r="F305" s="557" t="str">
        <f>IF(LEN(A305)&gt;2,LEFT(VLOOKUP(A305,COPY!$A$2:$AC$1000,29,FALSE),6),"")</f>
        <v/>
      </c>
      <c r="G305" s="558" t="str">
        <f>_xlfn.IFNA(IF(TEXT(F305,0)="Terima","",VLOOKUP(A305,COPY!$A$2:$AC$1000,29,FALSE)),"")</f>
        <v/>
      </c>
      <c r="H305" s="425"/>
      <c r="I305" s="559"/>
      <c r="J305" s="555"/>
      <c r="K305" s="608">
        <f>_xlfn.IFNA(IF(TEXT(F305,0)="Terima",0,VLOOKUP(A305,COPY!$A$2:$AC$1000,26,FALSE)),0)</f>
        <v>0</v>
      </c>
      <c r="L305" s="548">
        <f t="shared" si="27"/>
        <v>0</v>
      </c>
      <c r="M305" s="549">
        <f t="shared" si="28"/>
        <v>0</v>
      </c>
      <c r="O305" s="538" t="str">
        <f t="shared" si="29"/>
        <v/>
      </c>
      <c r="P305" s="550"/>
      <c r="Q305" s="551"/>
    </row>
    <row r="306" spans="1:17" s="253" customFormat="1" ht="20.100000000000001" hidden="1" customHeight="1" x14ac:dyDescent="0.25">
      <c r="A306" s="253" t="str">
        <f t="shared" si="30"/>
        <v/>
      </c>
      <c r="B306" s="609" t="str">
        <f>IF(LEFT(F306,1)="B",VLOOKUP(A306,COPY!$A$2:$AC$1000,4,FALSE),"")</f>
        <v/>
      </c>
      <c r="C306" s="586"/>
      <c r="D306" s="553"/>
      <c r="E306" s="553"/>
      <c r="F306" s="557" t="str">
        <f>IF(LEN(A306)&gt;2,LEFT(VLOOKUP(A306,COPY!$A$2:$AC$1000,29,FALSE),6),"")</f>
        <v/>
      </c>
      <c r="G306" s="558" t="str">
        <f>_xlfn.IFNA(IF(TEXT(F306,0)="Terima","",VLOOKUP(A306,COPY!$A$2:$AC$1000,29,FALSE)),"")</f>
        <v/>
      </c>
      <c r="H306" s="425"/>
      <c r="I306" s="559"/>
      <c r="J306" s="555"/>
      <c r="K306" s="608">
        <f>_xlfn.IFNA(IF(TEXT(F306,0)="Terima",0,VLOOKUP(A306,COPY!$A$2:$AC$1000,26,FALSE)),0)</f>
        <v>0</v>
      </c>
      <c r="L306" s="548">
        <f t="shared" si="27"/>
        <v>0</v>
      </c>
      <c r="M306" s="549">
        <f t="shared" si="28"/>
        <v>0</v>
      </c>
      <c r="O306" s="538" t="str">
        <f t="shared" si="29"/>
        <v/>
      </c>
      <c r="P306" s="550"/>
      <c r="Q306" s="551"/>
    </row>
    <row r="307" spans="1:17" s="253" customFormat="1" ht="20.100000000000001" hidden="1" customHeight="1" x14ac:dyDescent="0.25">
      <c r="A307" s="253" t="str">
        <f t="shared" si="30"/>
        <v/>
      </c>
      <c r="B307" s="609" t="str">
        <f>IF(LEFT(F307,1)="B",VLOOKUP(A307,COPY!$A$2:$AC$1000,4,FALSE),"")</f>
        <v/>
      </c>
      <c r="C307" s="586"/>
      <c r="D307" s="553"/>
      <c r="E307" s="553"/>
      <c r="F307" s="557" t="str">
        <f>IF(LEN(A307)&gt;2,LEFT(VLOOKUP(A307,COPY!$A$2:$AC$1000,29,FALSE),6),"")</f>
        <v/>
      </c>
      <c r="G307" s="558" t="str">
        <f>_xlfn.IFNA(IF(TEXT(F307,0)="Terima","",VLOOKUP(A307,COPY!$A$2:$AC$1000,29,FALSE)),"")</f>
        <v/>
      </c>
      <c r="H307" s="425"/>
      <c r="I307" s="559"/>
      <c r="J307" s="555"/>
      <c r="K307" s="608">
        <f>_xlfn.IFNA(IF(TEXT(F307,0)="Terima",0,VLOOKUP(A307,COPY!$A$2:$AC$1000,26,FALSE)),0)</f>
        <v>0</v>
      </c>
      <c r="L307" s="548">
        <f t="shared" si="27"/>
        <v>0</v>
      </c>
      <c r="M307" s="549">
        <f t="shared" si="28"/>
        <v>0</v>
      </c>
      <c r="O307" s="538" t="str">
        <f t="shared" si="29"/>
        <v/>
      </c>
      <c r="P307" s="550"/>
      <c r="Q307" s="551"/>
    </row>
    <row r="308" spans="1:17" s="253" customFormat="1" ht="20.100000000000001" hidden="1" customHeight="1" x14ac:dyDescent="0.25">
      <c r="A308" s="253" t="str">
        <f t="shared" si="30"/>
        <v/>
      </c>
      <c r="B308" s="609" t="str">
        <f>IF(LEFT(F308,1)="B",VLOOKUP(A308,COPY!$A$2:$AC$1000,4,FALSE),"")</f>
        <v/>
      </c>
      <c r="C308" s="586"/>
      <c r="D308" s="553"/>
      <c r="E308" s="553"/>
      <c r="F308" s="557" t="str">
        <f>IF(LEN(A308)&gt;2,LEFT(VLOOKUP(A308,COPY!$A$2:$AC$1000,29,FALSE),6),"")</f>
        <v/>
      </c>
      <c r="G308" s="558" t="str">
        <f>_xlfn.IFNA(IF(TEXT(F308,0)="Terima","",VLOOKUP(A308,COPY!$A$2:$AC$1000,29,FALSE)),"")</f>
        <v/>
      </c>
      <c r="H308" s="425"/>
      <c r="I308" s="559"/>
      <c r="J308" s="555"/>
      <c r="K308" s="608">
        <f>_xlfn.IFNA(IF(TEXT(F308,0)="Terima",0,VLOOKUP(A308,COPY!$A$2:$AC$1000,26,FALSE)),0)</f>
        <v>0</v>
      </c>
      <c r="L308" s="548">
        <f t="shared" si="27"/>
        <v>0</v>
      </c>
      <c r="M308" s="549">
        <f t="shared" si="28"/>
        <v>0</v>
      </c>
      <c r="O308" s="538" t="str">
        <f t="shared" si="29"/>
        <v/>
      </c>
      <c r="P308" s="550"/>
      <c r="Q308" s="551"/>
    </row>
    <row r="309" spans="1:17" s="253" customFormat="1" ht="20.100000000000001" hidden="1" customHeight="1" x14ac:dyDescent="0.25">
      <c r="A309" s="253" t="str">
        <f t="shared" si="30"/>
        <v/>
      </c>
      <c r="B309" s="609" t="str">
        <f>IF(LEFT(F309,1)="B",VLOOKUP(A309,COPY!$A$2:$AC$1000,4,FALSE),"")</f>
        <v/>
      </c>
      <c r="C309" s="586"/>
      <c r="D309" s="553"/>
      <c r="E309" s="553"/>
      <c r="F309" s="557" t="str">
        <f>IF(LEN(A309)&gt;2,LEFT(VLOOKUP(A309,COPY!$A$2:$AC$1000,29,FALSE),6),"")</f>
        <v/>
      </c>
      <c r="G309" s="558" t="str">
        <f>_xlfn.IFNA(IF(TEXT(F309,0)="Terima","",VLOOKUP(A309,COPY!$A$2:$AC$1000,29,FALSE)),"")</f>
        <v/>
      </c>
      <c r="H309" s="425"/>
      <c r="I309" s="559"/>
      <c r="J309" s="555"/>
      <c r="K309" s="608">
        <f>_xlfn.IFNA(IF(TEXT(F309,0)="Terima",0,VLOOKUP(A309,COPY!$A$2:$AC$1000,26,FALSE)),0)</f>
        <v>0</v>
      </c>
      <c r="L309" s="548">
        <f t="shared" si="27"/>
        <v>0</v>
      </c>
      <c r="M309" s="549">
        <f t="shared" si="28"/>
        <v>0</v>
      </c>
      <c r="O309" s="538" t="str">
        <f t="shared" si="29"/>
        <v/>
      </c>
      <c r="P309" s="550"/>
      <c r="Q309" s="551"/>
    </row>
    <row r="310" spans="1:17" s="253" customFormat="1" ht="20.100000000000001" hidden="1" customHeight="1" x14ac:dyDescent="0.25">
      <c r="A310" s="253" t="str">
        <f t="shared" si="30"/>
        <v/>
      </c>
      <c r="B310" s="609" t="str">
        <f>IF(LEFT(F310,1)="B",VLOOKUP(A310,COPY!$A$2:$AC$1000,4,FALSE),"")</f>
        <v/>
      </c>
      <c r="C310" s="586"/>
      <c r="D310" s="553"/>
      <c r="E310" s="553"/>
      <c r="F310" s="557" t="str">
        <f>IF(LEN(A310)&gt;2,LEFT(VLOOKUP(A310,COPY!$A$2:$AC$1000,29,FALSE),6),"")</f>
        <v/>
      </c>
      <c r="G310" s="558" t="str">
        <f>_xlfn.IFNA(IF(TEXT(F310,0)="Terima","",VLOOKUP(A310,COPY!$A$2:$AC$1000,29,FALSE)),"")</f>
        <v/>
      </c>
      <c r="H310" s="425"/>
      <c r="I310" s="559"/>
      <c r="J310" s="555"/>
      <c r="K310" s="608">
        <f>_xlfn.IFNA(IF(TEXT(F310,0)="Terima",0,VLOOKUP(A310,COPY!$A$2:$AC$1000,26,FALSE)),0)</f>
        <v>0</v>
      </c>
      <c r="L310" s="548">
        <f t="shared" si="27"/>
        <v>0</v>
      </c>
      <c r="M310" s="549">
        <f t="shared" si="28"/>
        <v>0</v>
      </c>
      <c r="O310" s="538" t="str">
        <f t="shared" si="29"/>
        <v/>
      </c>
      <c r="P310" s="550"/>
      <c r="Q310" s="551"/>
    </row>
    <row r="311" spans="1:17" s="253" customFormat="1" ht="20.100000000000001" hidden="1" customHeight="1" x14ac:dyDescent="0.25">
      <c r="A311" s="253" t="str">
        <f t="shared" si="30"/>
        <v/>
      </c>
      <c r="B311" s="609" t="str">
        <f>IF(LEFT(F311,1)="B",VLOOKUP(A311,COPY!$A$2:$AC$1000,4,FALSE),"")</f>
        <v/>
      </c>
      <c r="C311" s="586"/>
      <c r="D311" s="553"/>
      <c r="E311" s="553"/>
      <c r="F311" s="557" t="str">
        <f>IF(LEN(A311)&gt;2,LEFT(VLOOKUP(A311,COPY!$A$2:$AC$1000,29,FALSE),6),"")</f>
        <v/>
      </c>
      <c r="G311" s="558" t="str">
        <f>_xlfn.IFNA(IF(TEXT(F311,0)="Terima","",VLOOKUP(A311,COPY!$A$2:$AC$1000,29,FALSE)),"")</f>
        <v/>
      </c>
      <c r="H311" s="425"/>
      <c r="I311" s="559"/>
      <c r="J311" s="555"/>
      <c r="K311" s="608">
        <f>_xlfn.IFNA(IF(TEXT(F311,0)="Terima",0,VLOOKUP(A311,COPY!$A$2:$AC$1000,26,FALSE)),0)</f>
        <v>0</v>
      </c>
      <c r="L311" s="548">
        <f t="shared" si="27"/>
        <v>0</v>
      </c>
      <c r="M311" s="549">
        <f t="shared" si="28"/>
        <v>0</v>
      </c>
      <c r="O311" s="538" t="str">
        <f t="shared" si="29"/>
        <v/>
      </c>
      <c r="P311" s="550"/>
      <c r="Q311" s="551"/>
    </row>
    <row r="312" spans="1:17" s="253" customFormat="1" ht="20.100000000000001" hidden="1" customHeight="1" x14ac:dyDescent="0.25">
      <c r="A312" s="253" t="str">
        <f t="shared" si="30"/>
        <v/>
      </c>
      <c r="B312" s="609" t="str">
        <f>IF(LEFT(F312,1)="B",VLOOKUP(A312,COPY!$A$2:$AC$1000,4,FALSE),"")</f>
        <v/>
      </c>
      <c r="C312" s="586"/>
      <c r="D312" s="553"/>
      <c r="E312" s="553"/>
      <c r="F312" s="557" t="str">
        <f>IF(LEN(A312)&gt;2,LEFT(VLOOKUP(A312,COPY!$A$2:$AC$1000,29,FALSE),6),"")</f>
        <v/>
      </c>
      <c r="G312" s="558" t="str">
        <f>_xlfn.IFNA(IF(TEXT(F312,0)="Terima","",VLOOKUP(A312,COPY!$A$2:$AC$1000,29,FALSE)),"")</f>
        <v/>
      </c>
      <c r="H312" s="425"/>
      <c r="I312" s="559"/>
      <c r="J312" s="555"/>
      <c r="K312" s="608">
        <f>_xlfn.IFNA(IF(TEXT(F312,0)="Terima",0,VLOOKUP(A312,COPY!$A$2:$AC$1000,26,FALSE)),0)</f>
        <v>0</v>
      </c>
      <c r="L312" s="548">
        <f t="shared" si="27"/>
        <v>0</v>
      </c>
      <c r="M312" s="549">
        <f t="shared" si="28"/>
        <v>0</v>
      </c>
      <c r="O312" s="538" t="str">
        <f t="shared" si="29"/>
        <v/>
      </c>
      <c r="P312" s="550"/>
      <c r="Q312" s="551"/>
    </row>
    <row r="313" spans="1:17" s="253" customFormat="1" ht="20.100000000000001" hidden="1" customHeight="1" x14ac:dyDescent="0.25">
      <c r="A313" s="253" t="str">
        <f t="shared" si="30"/>
        <v/>
      </c>
      <c r="B313" s="609" t="str">
        <f>IF(LEFT(F313,1)="B",VLOOKUP(A313,COPY!$A$2:$AC$1000,4,FALSE),"")</f>
        <v/>
      </c>
      <c r="C313" s="586"/>
      <c r="D313" s="553"/>
      <c r="E313" s="553"/>
      <c r="F313" s="557" t="str">
        <f>IF(LEN(A313)&gt;2,LEFT(VLOOKUP(A313,COPY!$A$2:$AC$1000,29,FALSE),6),"")</f>
        <v/>
      </c>
      <c r="G313" s="558" t="str">
        <f>_xlfn.IFNA(IF(TEXT(F313,0)="Terima","",VLOOKUP(A313,COPY!$A$2:$AC$1000,29,FALSE)),"")</f>
        <v/>
      </c>
      <c r="H313" s="425"/>
      <c r="I313" s="559"/>
      <c r="J313" s="555"/>
      <c r="K313" s="608">
        <f>_xlfn.IFNA(IF(TEXT(F313,0)="Terima",0,VLOOKUP(A313,COPY!$A$2:$AC$1000,26,FALSE)),0)</f>
        <v>0</v>
      </c>
      <c r="L313" s="548">
        <f t="shared" si="27"/>
        <v>0</v>
      </c>
      <c r="M313" s="549">
        <f t="shared" si="28"/>
        <v>0</v>
      </c>
      <c r="O313" s="538" t="str">
        <f t="shared" si="29"/>
        <v/>
      </c>
      <c r="P313" s="550"/>
      <c r="Q313" s="551"/>
    </row>
    <row r="314" spans="1:17" s="253" customFormat="1" ht="20.100000000000001" hidden="1" customHeight="1" x14ac:dyDescent="0.25">
      <c r="A314" s="253" t="str">
        <f t="shared" si="30"/>
        <v/>
      </c>
      <c r="B314" s="609" t="str">
        <f>IF(LEFT(F314,1)="B",VLOOKUP(A314,COPY!$A$2:$AC$1000,4,FALSE),"")</f>
        <v/>
      </c>
      <c r="C314" s="586"/>
      <c r="D314" s="553"/>
      <c r="E314" s="553"/>
      <c r="F314" s="557" t="str">
        <f>IF(LEN(A314)&gt;2,LEFT(VLOOKUP(A314,COPY!$A$2:$AC$1000,29,FALSE),6),"")</f>
        <v/>
      </c>
      <c r="G314" s="558" t="str">
        <f>_xlfn.IFNA(IF(TEXT(F314,0)="Terima","",VLOOKUP(A314,COPY!$A$2:$AC$1000,29,FALSE)),"")</f>
        <v/>
      </c>
      <c r="H314" s="425"/>
      <c r="I314" s="559"/>
      <c r="J314" s="555"/>
      <c r="K314" s="608">
        <f>_xlfn.IFNA(IF(TEXT(F314,0)="Terima",0,VLOOKUP(A314,COPY!$A$2:$AC$1000,26,FALSE)),0)</f>
        <v>0</v>
      </c>
      <c r="L314" s="548">
        <f t="shared" si="27"/>
        <v>0</v>
      </c>
      <c r="M314" s="549">
        <f t="shared" si="28"/>
        <v>0</v>
      </c>
      <c r="O314" s="538" t="str">
        <f t="shared" si="29"/>
        <v/>
      </c>
      <c r="P314" s="550"/>
      <c r="Q314" s="551"/>
    </row>
    <row r="315" spans="1:17" s="253" customFormat="1" ht="20.100000000000001" hidden="1" customHeight="1" x14ac:dyDescent="0.25">
      <c r="A315" s="253" t="str">
        <f t="shared" si="30"/>
        <v/>
      </c>
      <c r="B315" s="609" t="str">
        <f>IF(LEFT(F315,1)="B",VLOOKUP(A315,COPY!$A$2:$AC$1000,4,FALSE),"")</f>
        <v/>
      </c>
      <c r="C315" s="586"/>
      <c r="D315" s="553"/>
      <c r="E315" s="553"/>
      <c r="F315" s="557" t="str">
        <f>IF(LEN(A315)&gt;2,LEFT(VLOOKUP(A315,COPY!$A$2:$AC$1000,29,FALSE),6),"")</f>
        <v/>
      </c>
      <c r="G315" s="558" t="str">
        <f>_xlfn.IFNA(IF(TEXT(F315,0)="Terima","",VLOOKUP(A315,COPY!$A$2:$AC$1000,29,FALSE)),"")</f>
        <v/>
      </c>
      <c r="H315" s="425"/>
      <c r="I315" s="559"/>
      <c r="J315" s="555"/>
      <c r="K315" s="608">
        <f>_xlfn.IFNA(IF(TEXT(F315,0)="Terima",0,VLOOKUP(A315,COPY!$A$2:$AC$1000,26,FALSE)),0)</f>
        <v>0</v>
      </c>
      <c r="L315" s="548">
        <f t="shared" si="27"/>
        <v>0</v>
      </c>
      <c r="M315" s="549">
        <f t="shared" si="28"/>
        <v>0</v>
      </c>
      <c r="O315" s="538" t="str">
        <f t="shared" si="29"/>
        <v/>
      </c>
      <c r="P315" s="550"/>
      <c r="Q315" s="551"/>
    </row>
    <row r="316" spans="1:17" s="253" customFormat="1" ht="20.100000000000001" hidden="1" customHeight="1" x14ac:dyDescent="0.25">
      <c r="A316" s="253" t="str">
        <f t="shared" si="30"/>
        <v/>
      </c>
      <c r="B316" s="609" t="str">
        <f>IF(LEFT(F316,1)="B",VLOOKUP(A316,COPY!$A$2:$AC$1000,4,FALSE),"")</f>
        <v/>
      </c>
      <c r="C316" s="586"/>
      <c r="D316" s="553"/>
      <c r="E316" s="553"/>
      <c r="F316" s="557" t="str">
        <f>IF(LEN(A316)&gt;2,LEFT(VLOOKUP(A316,COPY!$A$2:$AC$1000,29,FALSE),6),"")</f>
        <v/>
      </c>
      <c r="G316" s="558" t="str">
        <f>_xlfn.IFNA(IF(TEXT(F316,0)="Terima","",VLOOKUP(A316,COPY!$A$2:$AC$1000,29,FALSE)),"")</f>
        <v/>
      </c>
      <c r="H316" s="425"/>
      <c r="I316" s="559"/>
      <c r="J316" s="555"/>
      <c r="K316" s="608">
        <f>_xlfn.IFNA(IF(TEXT(F316,0)="Terima",0,VLOOKUP(A316,COPY!$A$2:$AC$1000,26,FALSE)),0)</f>
        <v>0</v>
      </c>
      <c r="L316" s="548">
        <f t="shared" si="27"/>
        <v>0</v>
      </c>
      <c r="M316" s="549">
        <f t="shared" si="28"/>
        <v>0</v>
      </c>
      <c r="O316" s="538" t="str">
        <f t="shared" si="29"/>
        <v/>
      </c>
      <c r="P316" s="550"/>
      <c r="Q316" s="551"/>
    </row>
    <row r="317" spans="1:17" s="253" customFormat="1" ht="20.100000000000001" hidden="1" customHeight="1" x14ac:dyDescent="0.25">
      <c r="A317" s="253" t="str">
        <f t="shared" si="30"/>
        <v/>
      </c>
      <c r="B317" s="609" t="str">
        <f>IF(LEFT(F317,1)="B",VLOOKUP(A317,COPY!$A$2:$AC$1000,4,FALSE),"")</f>
        <v/>
      </c>
      <c r="C317" s="586"/>
      <c r="D317" s="553"/>
      <c r="E317" s="553"/>
      <c r="F317" s="557" t="str">
        <f>IF(LEN(A317)&gt;2,LEFT(VLOOKUP(A317,COPY!$A$2:$AC$1000,29,FALSE),6),"")</f>
        <v/>
      </c>
      <c r="G317" s="558" t="str">
        <f>_xlfn.IFNA(IF(TEXT(F317,0)="Terima","",VLOOKUP(A317,COPY!$A$2:$AC$1000,29,FALSE)),"")</f>
        <v/>
      </c>
      <c r="H317" s="425"/>
      <c r="I317" s="559"/>
      <c r="J317" s="555"/>
      <c r="K317" s="608">
        <f>_xlfn.IFNA(IF(TEXT(F317,0)="Terima",0,VLOOKUP(A317,COPY!$A$2:$AC$1000,26,FALSE)),0)</f>
        <v>0</v>
      </c>
      <c r="L317" s="548">
        <f t="shared" si="27"/>
        <v>0</v>
      </c>
      <c r="M317" s="549">
        <f t="shared" si="28"/>
        <v>0</v>
      </c>
      <c r="O317" s="538" t="str">
        <f t="shared" si="29"/>
        <v/>
      </c>
      <c r="P317" s="550"/>
      <c r="Q317" s="551"/>
    </row>
    <row r="318" spans="1:17" s="253" customFormat="1" ht="20.100000000000001" hidden="1" customHeight="1" x14ac:dyDescent="0.25">
      <c r="A318" s="253" t="str">
        <f t="shared" si="30"/>
        <v/>
      </c>
      <c r="B318" s="609" t="str">
        <f>IF(LEFT(F318,1)="B",VLOOKUP(A318,COPY!$A$2:$AC$1000,4,FALSE),"")</f>
        <v/>
      </c>
      <c r="C318" s="586"/>
      <c r="D318" s="553"/>
      <c r="E318" s="553"/>
      <c r="F318" s="557" t="str">
        <f>IF(LEN(A318)&gt;2,LEFT(VLOOKUP(A318,COPY!$A$2:$AC$1000,29,FALSE),6),"")</f>
        <v/>
      </c>
      <c r="G318" s="558" t="str">
        <f>_xlfn.IFNA(IF(TEXT(F318,0)="Terima","",VLOOKUP(A318,COPY!$A$2:$AC$1000,29,FALSE)),"")</f>
        <v/>
      </c>
      <c r="H318" s="425"/>
      <c r="I318" s="559"/>
      <c r="J318" s="555"/>
      <c r="K318" s="608">
        <f>_xlfn.IFNA(IF(TEXT(F318,0)="Terima",0,VLOOKUP(A318,COPY!$A$2:$AC$1000,26,FALSE)),0)</f>
        <v>0</v>
      </c>
      <c r="L318" s="548">
        <f t="shared" si="27"/>
        <v>0</v>
      </c>
      <c r="M318" s="549">
        <f t="shared" si="28"/>
        <v>0</v>
      </c>
      <c r="O318" s="538" t="str">
        <f t="shared" si="29"/>
        <v/>
      </c>
      <c r="P318" s="550"/>
      <c r="Q318" s="551"/>
    </row>
    <row r="319" spans="1:17" s="253" customFormat="1" ht="20.100000000000001" hidden="1" customHeight="1" x14ac:dyDescent="0.25">
      <c r="A319" s="253" t="str">
        <f t="shared" si="30"/>
        <v/>
      </c>
      <c r="B319" s="609" t="str">
        <f>IF(LEFT(F319,1)="B",VLOOKUP(A319,COPY!$A$2:$AC$1000,4,FALSE),"")</f>
        <v/>
      </c>
      <c r="C319" s="586"/>
      <c r="D319" s="553"/>
      <c r="E319" s="553"/>
      <c r="F319" s="557" t="str">
        <f>IF(LEN(A319)&gt;2,LEFT(VLOOKUP(A319,COPY!$A$2:$AC$1000,29,FALSE),6),"")</f>
        <v/>
      </c>
      <c r="G319" s="558" t="str">
        <f>_xlfn.IFNA(IF(TEXT(F319,0)="Terima","",VLOOKUP(A319,COPY!$A$2:$AC$1000,29,FALSE)),"")</f>
        <v/>
      </c>
      <c r="H319" s="425"/>
      <c r="I319" s="559"/>
      <c r="J319" s="555"/>
      <c r="K319" s="608">
        <f>_xlfn.IFNA(IF(TEXT(F319,0)="Terima",0,VLOOKUP(A319,COPY!$A$2:$AC$1000,26,FALSE)),0)</f>
        <v>0</v>
      </c>
      <c r="L319" s="548">
        <f t="shared" si="27"/>
        <v>0</v>
      </c>
      <c r="M319" s="549">
        <f t="shared" si="28"/>
        <v>0</v>
      </c>
      <c r="O319" s="538" t="str">
        <f t="shared" si="29"/>
        <v/>
      </c>
      <c r="P319" s="550"/>
      <c r="Q319" s="551"/>
    </row>
    <row r="320" spans="1:17" s="253" customFormat="1" ht="20.100000000000001" hidden="1" customHeight="1" x14ac:dyDescent="0.25">
      <c r="A320" s="253" t="str">
        <f t="shared" si="30"/>
        <v/>
      </c>
      <c r="B320" s="609" t="str">
        <f>IF(LEFT(F320,1)="B",VLOOKUP(A320,COPY!$A$2:$AC$1000,4,FALSE),"")</f>
        <v/>
      </c>
      <c r="C320" s="586"/>
      <c r="D320" s="553"/>
      <c r="E320" s="553"/>
      <c r="F320" s="557" t="str">
        <f>IF(LEN(A320)&gt;2,LEFT(VLOOKUP(A320,COPY!$A$2:$AC$1000,29,FALSE),6),"")</f>
        <v/>
      </c>
      <c r="G320" s="558" t="str">
        <f>_xlfn.IFNA(IF(TEXT(F320,0)="Terima","",VLOOKUP(A320,COPY!$A$2:$AC$1000,29,FALSE)),"")</f>
        <v/>
      </c>
      <c r="H320" s="425"/>
      <c r="I320" s="559"/>
      <c r="J320" s="555"/>
      <c r="K320" s="608">
        <f>_xlfn.IFNA(IF(TEXT(F320,0)="Terima",0,VLOOKUP(A320,COPY!$A$2:$AC$1000,26,FALSE)),0)</f>
        <v>0</v>
      </c>
      <c r="L320" s="548">
        <f t="shared" si="27"/>
        <v>0</v>
      </c>
      <c r="M320" s="549">
        <f t="shared" si="28"/>
        <v>0</v>
      </c>
      <c r="O320" s="538" t="str">
        <f t="shared" si="29"/>
        <v/>
      </c>
      <c r="P320" s="550"/>
      <c r="Q320" s="551"/>
    </row>
    <row r="321" spans="1:18" s="253" customFormat="1" ht="20.100000000000001" hidden="1" customHeight="1" x14ac:dyDescent="0.25">
      <c r="A321" s="253" t="str">
        <f t="shared" si="30"/>
        <v/>
      </c>
      <c r="B321" s="609" t="str">
        <f>IF(LEFT(F321,1)="B",VLOOKUP(A321,COPY!$A$2:$AC$1000,4,FALSE),"")</f>
        <v/>
      </c>
      <c r="C321" s="586"/>
      <c r="D321" s="553"/>
      <c r="E321" s="553"/>
      <c r="F321" s="557" t="str">
        <f>IF(LEN(A321)&gt;2,LEFT(VLOOKUP(A321,COPY!$A$2:$AC$1000,29,FALSE),6),"")</f>
        <v/>
      </c>
      <c r="G321" s="558" t="str">
        <f>_xlfn.IFNA(IF(TEXT(F321,0)="Terima","",VLOOKUP(A321,COPY!$A$2:$AC$1000,29,FALSE)),"")</f>
        <v/>
      </c>
      <c r="H321" s="425"/>
      <c r="I321" s="559"/>
      <c r="J321" s="555"/>
      <c r="K321" s="608">
        <f>_xlfn.IFNA(IF(TEXT(F321,0)="Terima",0,VLOOKUP(A321,COPY!$A$2:$AC$1000,26,FALSE)),0)</f>
        <v>0</v>
      </c>
      <c r="L321" s="548">
        <f t="shared" si="27"/>
        <v>0</v>
      </c>
      <c r="M321" s="549">
        <f t="shared" si="28"/>
        <v>0</v>
      </c>
      <c r="O321" s="538" t="str">
        <f t="shared" si="29"/>
        <v/>
      </c>
      <c r="P321" s="550"/>
      <c r="Q321" s="551"/>
    </row>
    <row r="322" spans="1:18" s="253" customFormat="1" ht="20.100000000000001" hidden="1" customHeight="1" x14ac:dyDescent="0.25">
      <c r="A322" s="253" t="str">
        <f t="shared" si="30"/>
        <v/>
      </c>
      <c r="B322" s="609" t="str">
        <f>IF(LEFT(F322,1)="B",VLOOKUP(A322,COPY!$A$2:$AC$1000,4,FALSE),"")</f>
        <v/>
      </c>
      <c r="C322" s="586"/>
      <c r="D322" s="553"/>
      <c r="E322" s="553"/>
      <c r="F322" s="557" t="str">
        <f>IF(LEN(A322)&gt;2,LEFT(VLOOKUP(A322,COPY!$A$2:$AC$1000,29,FALSE),6),"")</f>
        <v/>
      </c>
      <c r="G322" s="558" t="str">
        <f>_xlfn.IFNA(IF(TEXT(F322,0)="Terima","",VLOOKUP(A322,COPY!$A$2:$AC$1000,29,FALSE)),"")</f>
        <v/>
      </c>
      <c r="H322" s="425"/>
      <c r="I322" s="559"/>
      <c r="J322" s="555"/>
      <c r="K322" s="608">
        <f>_xlfn.IFNA(IF(TEXT(F322,0)="Terima",0,VLOOKUP(A322,COPY!$A$2:$AC$1000,26,FALSE)),0)</f>
        <v>0</v>
      </c>
      <c r="L322" s="548">
        <f t="shared" si="27"/>
        <v>0</v>
      </c>
      <c r="M322" s="549">
        <f t="shared" si="28"/>
        <v>0</v>
      </c>
      <c r="O322" s="538" t="str">
        <f t="shared" si="29"/>
        <v/>
      </c>
      <c r="P322" s="550"/>
      <c r="Q322" s="551"/>
    </row>
    <row r="323" spans="1:18" s="253" customFormat="1" ht="20.100000000000001" customHeight="1" thickBot="1" x14ac:dyDescent="0.3">
      <c r="B323" s="560"/>
      <c r="C323" s="587"/>
      <c r="D323" s="561"/>
      <c r="E323" s="561"/>
      <c r="F323" s="561"/>
      <c r="G323" s="561">
        <f>_xlfn.IFNA(IF(TEXT(F323,0)="Terima","",VLOOKUP(A323,COPY!$A$2:$AC$1000,29,FALSE)),"")</f>
        <v>0</v>
      </c>
      <c r="H323" s="562"/>
      <c r="I323" s="563"/>
      <c r="J323" s="564"/>
      <c r="K323" s="565"/>
      <c r="L323" s="566"/>
      <c r="M323" s="567"/>
      <c r="P323" s="550"/>
      <c r="Q323" s="551"/>
    </row>
    <row r="324" spans="1:18" s="435" customFormat="1" ht="20.100000000000001" customHeight="1" thickBot="1" x14ac:dyDescent="0.3">
      <c r="B324" s="568"/>
      <c r="C324" s="701" t="s">
        <v>40</v>
      </c>
      <c r="D324" s="701"/>
      <c r="E324" s="701"/>
      <c r="F324" s="701"/>
      <c r="G324" s="702"/>
      <c r="H324" s="701"/>
      <c r="I324" s="701"/>
      <c r="J324" s="569">
        <f>SUM(J12:J323)</f>
        <v>37069530</v>
      </c>
      <c r="K324" s="570">
        <f>SUM(K12:K323)</f>
        <v>-36904040</v>
      </c>
      <c r="L324" s="571">
        <f>J324+K324</f>
        <v>165490</v>
      </c>
      <c r="M324" s="572"/>
      <c r="O324" s="573"/>
      <c r="P324" s="574"/>
      <c r="Q324" s="575"/>
    </row>
    <row r="325" spans="1:18" s="253" customFormat="1" ht="20.100000000000001" customHeight="1" x14ac:dyDescent="0.25">
      <c r="B325" s="576"/>
      <c r="C325" s="255"/>
      <c r="E325" s="450"/>
      <c r="I325" s="538"/>
      <c r="J325" s="577"/>
      <c r="K325" s="578"/>
      <c r="L325" s="579"/>
      <c r="M325" s="580"/>
      <c r="P325" s="550"/>
      <c r="Q325" s="551"/>
    </row>
    <row r="326" spans="1:18" s="253" customFormat="1" ht="20.100000000000001" customHeight="1" x14ac:dyDescent="0.25">
      <c r="B326" s="255"/>
      <c r="C326" s="255"/>
      <c r="E326" s="430"/>
      <c r="G326" s="430"/>
      <c r="K326" s="256" t="str">
        <f>'BKU 1'!$K$353</f>
        <v>NGANTANG</v>
      </c>
      <c r="L326" s="706">
        <f>'BKU 4'!M353</f>
        <v>46022</v>
      </c>
      <c r="M326" s="706"/>
      <c r="P326" s="550"/>
      <c r="Q326" s="551"/>
    </row>
    <row r="327" spans="1:18" s="253" customFormat="1" ht="20.100000000000001" customHeight="1" x14ac:dyDescent="0.25">
      <c r="B327" s="254"/>
      <c r="C327" s="255"/>
      <c r="D327" s="255" t="s">
        <v>43</v>
      </c>
      <c r="E327" s="488"/>
      <c r="G327" s="581"/>
      <c r="H327" s="610" t="s">
        <v>44</v>
      </c>
      <c r="I327" s="428"/>
      <c r="K327" s="704" t="str">
        <f>'BKU 1'!$L$354</f>
        <v>Dibuat Oleh ;</v>
      </c>
      <c r="L327" s="704"/>
      <c r="M327" s="580"/>
      <c r="P327" s="550"/>
      <c r="Q327" s="551"/>
    </row>
    <row r="328" spans="1:18" s="253" customFormat="1" ht="20.100000000000001" customHeight="1" x14ac:dyDescent="0.25">
      <c r="B328" s="254"/>
      <c r="C328" s="255"/>
      <c r="D328" s="255" t="str">
        <f>'BKU 1'!$C$355</f>
        <v>Kepala Sekolah SDN 1 SIDODADI</v>
      </c>
      <c r="E328" s="488"/>
      <c r="G328" s="581"/>
      <c r="H328" s="610" t="s">
        <v>45</v>
      </c>
      <c r="K328" s="704" t="str">
        <f>'BKU 1'!$L$355</f>
        <v>Bendahara Pembangunan</v>
      </c>
      <c r="L328" s="704"/>
      <c r="M328" s="580"/>
      <c r="P328" s="550"/>
      <c r="Q328" s="551"/>
    </row>
    <row r="329" spans="1:18" s="253" customFormat="1" ht="20.100000000000001" customHeight="1" x14ac:dyDescent="0.25">
      <c r="B329" s="254"/>
      <c r="C329" s="255"/>
      <c r="D329" s="255"/>
      <c r="E329" s="488"/>
      <c r="G329" s="581"/>
      <c r="H329" s="610"/>
      <c r="I329" s="444"/>
      <c r="J329" s="444"/>
      <c r="K329" s="704"/>
      <c r="L329" s="704"/>
      <c r="M329" s="580"/>
      <c r="P329" s="550"/>
      <c r="Q329" s="551"/>
    </row>
    <row r="330" spans="1:18" s="253" customFormat="1" ht="20.100000000000001" customHeight="1" x14ac:dyDescent="0.25">
      <c r="B330" s="254"/>
      <c r="C330" s="255"/>
      <c r="D330" s="255"/>
      <c r="E330" s="488"/>
      <c r="G330" s="581"/>
      <c r="H330" s="610"/>
      <c r="I330" s="444"/>
      <c r="J330" s="444"/>
      <c r="K330" s="704"/>
      <c r="L330" s="704"/>
      <c r="M330" s="580"/>
      <c r="P330" s="550"/>
      <c r="Q330" s="551"/>
    </row>
    <row r="331" spans="1:18" s="253" customFormat="1" ht="20.100000000000001" customHeight="1" x14ac:dyDescent="0.25">
      <c r="B331" s="254"/>
      <c r="C331" s="255"/>
      <c r="D331" s="255"/>
      <c r="E331" s="488"/>
      <c r="G331" s="581"/>
      <c r="H331" s="610"/>
      <c r="K331" s="704"/>
      <c r="L331" s="704"/>
      <c r="M331" s="580"/>
      <c r="P331" s="550"/>
      <c r="Q331" s="551" t="str" cm="1">
        <f t="array" ref="Q331">Terbilang1(L324)</f>
        <v>Seratus enam puluh lima ribu empat ratus sembilan puluh</v>
      </c>
    </row>
    <row r="332" spans="1:18" s="253" customFormat="1" ht="20.100000000000001" customHeight="1" x14ac:dyDescent="0.25">
      <c r="B332" s="254"/>
      <c r="C332" s="255"/>
      <c r="D332" s="255"/>
      <c r="E332" s="488"/>
      <c r="G332" s="581"/>
      <c r="H332" s="610"/>
      <c r="K332" s="704"/>
      <c r="L332" s="704"/>
      <c r="M332" s="580"/>
      <c r="P332" s="550"/>
      <c r="Q332" s="670">
        <v>121069530</v>
      </c>
      <c r="R332" s="253" t="str" cm="1">
        <f t="array" ref="R332">Terbilang1(Q332)</f>
        <v>Seratus dua puluh satu juta enam puluh sembilan ribu lima ratus tiga puluh</v>
      </c>
    </row>
    <row r="333" spans="1:18" s="253" customFormat="1" ht="20.100000000000001" customHeight="1" x14ac:dyDescent="0.25">
      <c r="B333" s="516"/>
      <c r="C333" s="504"/>
      <c r="D333" s="504" t="str">
        <f>'BKU 1'!$C$360</f>
        <v>MELIA FITRIANI, S.Pd.SD</v>
      </c>
      <c r="E333" s="488"/>
      <c r="G333" s="582"/>
      <c r="H333" s="611" t="str">
        <f>'BKU 1'!H360</f>
        <v>HARTATIK</v>
      </c>
      <c r="K333" s="705" t="str">
        <f>'BKU 1'!$L$360</f>
        <v>ARIF NUR UDIN, S.Pd.SD</v>
      </c>
      <c r="L333" s="705"/>
      <c r="M333" s="580"/>
      <c r="P333" s="550"/>
      <c r="Q333" s="670">
        <f>Q332-L324</f>
        <v>120904040</v>
      </c>
      <c r="R333" s="253" t="str" cm="1">
        <f t="array" ref="R333">Terbilang1(Q333)</f>
        <v>Seratus dua puluh juta sembilan ratus empat ribu empat puluh</v>
      </c>
    </row>
    <row r="334" spans="1:18" s="253" customFormat="1" ht="20.100000000000001" customHeight="1" x14ac:dyDescent="0.25">
      <c r="B334" s="254"/>
      <c r="C334" s="255"/>
      <c r="D334" s="255" t="str">
        <f>'BKU 1'!$C$361</f>
        <v>NIP. 19850619 200904 2 000</v>
      </c>
      <c r="E334" s="488"/>
      <c r="G334" s="581"/>
      <c r="H334" s="610">
        <f>'BKU 1'!$G$361</f>
        <v>0</v>
      </c>
      <c r="K334" s="704" t="str">
        <f>'BKU 1'!$L$361</f>
        <v>NIP. 19840719 200903 1 002</v>
      </c>
      <c r="L334" s="704"/>
      <c r="M334" s="580"/>
      <c r="P334" s="550"/>
      <c r="Q334" s="551"/>
    </row>
  </sheetData>
  <mergeCells count="25">
    <mergeCell ref="K331:L331"/>
    <mergeCell ref="K332:L332"/>
    <mergeCell ref="K333:L333"/>
    <mergeCell ref="K334:L334"/>
    <mergeCell ref="D7:G8"/>
    <mergeCell ref="C324:I324"/>
    <mergeCell ref="L326:M326"/>
    <mergeCell ref="K327:L327"/>
    <mergeCell ref="K328:L328"/>
    <mergeCell ref="K329:L329"/>
    <mergeCell ref="K330:L330"/>
    <mergeCell ref="B10:B11"/>
    <mergeCell ref="C10:C11"/>
    <mergeCell ref="D10:I10"/>
    <mergeCell ref="J10:K10"/>
    <mergeCell ref="L10:M10"/>
    <mergeCell ref="H11:I11"/>
    <mergeCell ref="AH4:AH5"/>
    <mergeCell ref="AB5:AC5"/>
    <mergeCell ref="AD5:AE5"/>
    <mergeCell ref="C1:L1"/>
    <mergeCell ref="C2:L2"/>
    <mergeCell ref="AA4:AA5"/>
    <mergeCell ref="AB4:AF4"/>
    <mergeCell ref="AG4:AG5"/>
  </mergeCells>
  <pageMargins left="0.19685039370078741" right="0.19685039370078741" top="0.78740157480314965" bottom="0.78740157480314965" header="0.31496062992125984" footer="0.31496062992125984"/>
  <pageSetup paperSize="9" scale="69" fitToHeight="0" orientation="landscape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A4C4B37-478F-42AE-A2AE-5E0774330A64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E52B229C-AFA2-4FEA-A161-A5546452DB9C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F513AA39-9427-46B3-899A-2533238448B8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70749A8-14A7-4B48-A0C0-79D418FD9E70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4B5F1A7E-D473-4C2D-80B4-05FFDCCBCB10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510C51B2-DACC-45AD-A46E-182CC0B4F65E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273BC09B-FF2D-4499-AD4A-51604FB651A7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B10:M11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E62E-CAB5-4FB0-8646-CF9EF6DFBF21}">
  <sheetPr>
    <tabColor rgb="FFFF0000"/>
    <pageSetUpPr autoPageBreaks="0" fitToPage="1"/>
  </sheetPr>
  <dimension ref="A1:AO836"/>
  <sheetViews>
    <sheetView showZeros="0" view="pageBreakPreview" topLeftCell="A269" zoomScale="70" zoomScaleNormal="100" zoomScaleSheetLayoutView="70" workbookViewId="0">
      <selection activeCell="AE294" sqref="AE294"/>
    </sheetView>
  </sheetViews>
  <sheetFormatPr defaultRowHeight="12.75" x14ac:dyDescent="0.25"/>
  <cols>
    <col min="1" max="1" width="9.28515625" style="179" bestFit="1" customWidth="1"/>
    <col min="2" max="2" width="5.28515625" style="191" customWidth="1"/>
    <col min="3" max="3" width="27" style="140" customWidth="1"/>
    <col min="4" max="4" width="1.42578125" style="140" customWidth="1"/>
    <col min="5" max="5" width="8.140625" style="140" customWidth="1"/>
    <col min="6" max="7" width="4.85546875" style="140" customWidth="1"/>
    <col min="8" max="9" width="4.85546875" style="190" customWidth="1"/>
    <col min="10" max="11" width="4.85546875" style="191" customWidth="1"/>
    <col min="12" max="13" width="4.85546875" style="190" customWidth="1"/>
    <col min="14" max="19" width="4.85546875" style="140" customWidth="1"/>
    <col min="20" max="20" width="8.28515625" style="140" bestFit="1" customWidth="1"/>
    <col min="21" max="21" width="8.140625" style="140" customWidth="1"/>
    <col min="22" max="22" width="4.140625" style="140" bestFit="1" customWidth="1"/>
    <col min="23" max="23" width="13.42578125" style="140" customWidth="1"/>
    <col min="24" max="24" width="4.140625" style="140" bestFit="1" customWidth="1"/>
    <col min="25" max="25" width="13.42578125" style="140" customWidth="1"/>
    <col min="26" max="26" width="8.42578125" style="140" bestFit="1" customWidth="1"/>
    <col min="27" max="27" width="10" style="191" customWidth="1"/>
    <col min="28" max="28" width="18" style="140" customWidth="1"/>
    <col min="29" max="29" width="18" style="225" customWidth="1"/>
    <col min="30" max="30" width="9.140625" style="140"/>
    <col min="31" max="31" width="24.42578125" style="226" customWidth="1"/>
    <col min="32" max="32" width="27.5703125" style="226" customWidth="1"/>
    <col min="33" max="34" width="9.140625" style="140"/>
    <col min="35" max="41" width="8.85546875" style="140" customWidth="1"/>
    <col min="42" max="270" width="9.140625" style="140"/>
    <col min="271" max="271" width="3.7109375" style="140" customWidth="1"/>
    <col min="272" max="272" width="20.7109375" style="140" customWidth="1"/>
    <col min="273" max="273" width="6.7109375" style="140" customWidth="1"/>
    <col min="274" max="280" width="3.7109375" style="140" customWidth="1"/>
    <col min="281" max="281" width="8.7109375" style="140" customWidth="1"/>
    <col min="282" max="282" width="9.7109375" style="140" customWidth="1"/>
    <col min="283" max="283" width="12.7109375" style="140" customWidth="1"/>
    <col min="284" max="285" width="14.7109375" style="140" customWidth="1"/>
    <col min="286" max="286" width="9.140625" style="140"/>
    <col min="287" max="287" width="9.5703125" style="140" bestFit="1" customWidth="1"/>
    <col min="288" max="526" width="9.140625" style="140"/>
    <col min="527" max="527" width="3.7109375" style="140" customWidth="1"/>
    <col min="528" max="528" width="20.7109375" style="140" customWidth="1"/>
    <col min="529" max="529" width="6.7109375" style="140" customWidth="1"/>
    <col min="530" max="536" width="3.7109375" style="140" customWidth="1"/>
    <col min="537" max="537" width="8.7109375" style="140" customWidth="1"/>
    <col min="538" max="538" width="9.7109375" style="140" customWidth="1"/>
    <col min="539" max="539" width="12.7109375" style="140" customWidth="1"/>
    <col min="540" max="541" width="14.7109375" style="140" customWidth="1"/>
    <col min="542" max="542" width="9.140625" style="140"/>
    <col min="543" max="543" width="9.5703125" style="140" bestFit="1" customWidth="1"/>
    <col min="544" max="782" width="9.140625" style="140"/>
    <col min="783" max="783" width="3.7109375" style="140" customWidth="1"/>
    <col min="784" max="784" width="20.7109375" style="140" customWidth="1"/>
    <col min="785" max="785" width="6.7109375" style="140" customWidth="1"/>
    <col min="786" max="792" width="3.7109375" style="140" customWidth="1"/>
    <col min="793" max="793" width="8.7109375" style="140" customWidth="1"/>
    <col min="794" max="794" width="9.7109375" style="140" customWidth="1"/>
    <col min="795" max="795" width="12.7109375" style="140" customWidth="1"/>
    <col min="796" max="797" width="14.7109375" style="140" customWidth="1"/>
    <col min="798" max="798" width="9.140625" style="140"/>
    <col min="799" max="799" width="9.5703125" style="140" bestFit="1" customWidth="1"/>
    <col min="800" max="1038" width="9.140625" style="140"/>
    <col min="1039" max="1039" width="3.7109375" style="140" customWidth="1"/>
    <col min="1040" max="1040" width="20.7109375" style="140" customWidth="1"/>
    <col min="1041" max="1041" width="6.7109375" style="140" customWidth="1"/>
    <col min="1042" max="1048" width="3.7109375" style="140" customWidth="1"/>
    <col min="1049" max="1049" width="8.7109375" style="140" customWidth="1"/>
    <col min="1050" max="1050" width="9.7109375" style="140" customWidth="1"/>
    <col min="1051" max="1051" width="12.7109375" style="140" customWidth="1"/>
    <col min="1052" max="1053" width="14.7109375" style="140" customWidth="1"/>
    <col min="1054" max="1054" width="9.140625" style="140"/>
    <col min="1055" max="1055" width="9.5703125" style="140" bestFit="1" customWidth="1"/>
    <col min="1056" max="1294" width="9.140625" style="140"/>
    <col min="1295" max="1295" width="3.7109375" style="140" customWidth="1"/>
    <col min="1296" max="1296" width="20.7109375" style="140" customWidth="1"/>
    <col min="1297" max="1297" width="6.7109375" style="140" customWidth="1"/>
    <col min="1298" max="1304" width="3.7109375" style="140" customWidth="1"/>
    <col min="1305" max="1305" width="8.7109375" style="140" customWidth="1"/>
    <col min="1306" max="1306" width="9.7109375" style="140" customWidth="1"/>
    <col min="1307" max="1307" width="12.7109375" style="140" customWidth="1"/>
    <col min="1308" max="1309" width="14.7109375" style="140" customWidth="1"/>
    <col min="1310" max="1310" width="9.140625" style="140"/>
    <col min="1311" max="1311" width="9.5703125" style="140" bestFit="1" customWidth="1"/>
    <col min="1312" max="1550" width="9.140625" style="140"/>
    <col min="1551" max="1551" width="3.7109375" style="140" customWidth="1"/>
    <col min="1552" max="1552" width="20.7109375" style="140" customWidth="1"/>
    <col min="1553" max="1553" width="6.7109375" style="140" customWidth="1"/>
    <col min="1554" max="1560" width="3.7109375" style="140" customWidth="1"/>
    <col min="1561" max="1561" width="8.7109375" style="140" customWidth="1"/>
    <col min="1562" max="1562" width="9.7109375" style="140" customWidth="1"/>
    <col min="1563" max="1563" width="12.7109375" style="140" customWidth="1"/>
    <col min="1564" max="1565" width="14.7109375" style="140" customWidth="1"/>
    <col min="1566" max="1566" width="9.140625" style="140"/>
    <col min="1567" max="1567" width="9.5703125" style="140" bestFit="1" customWidth="1"/>
    <col min="1568" max="1806" width="9.140625" style="140"/>
    <col min="1807" max="1807" width="3.7109375" style="140" customWidth="1"/>
    <col min="1808" max="1808" width="20.7109375" style="140" customWidth="1"/>
    <col min="1809" max="1809" width="6.7109375" style="140" customWidth="1"/>
    <col min="1810" max="1816" width="3.7109375" style="140" customWidth="1"/>
    <col min="1817" max="1817" width="8.7109375" style="140" customWidth="1"/>
    <col min="1818" max="1818" width="9.7109375" style="140" customWidth="1"/>
    <col min="1819" max="1819" width="12.7109375" style="140" customWidth="1"/>
    <col min="1820" max="1821" width="14.7109375" style="140" customWidth="1"/>
    <col min="1822" max="1822" width="9.140625" style="140"/>
    <col min="1823" max="1823" width="9.5703125" style="140" bestFit="1" customWidth="1"/>
    <col min="1824" max="2062" width="9.140625" style="140"/>
    <col min="2063" max="2063" width="3.7109375" style="140" customWidth="1"/>
    <col min="2064" max="2064" width="20.7109375" style="140" customWidth="1"/>
    <col min="2065" max="2065" width="6.7109375" style="140" customWidth="1"/>
    <col min="2066" max="2072" width="3.7109375" style="140" customWidth="1"/>
    <col min="2073" max="2073" width="8.7109375" style="140" customWidth="1"/>
    <col min="2074" max="2074" width="9.7109375" style="140" customWidth="1"/>
    <col min="2075" max="2075" width="12.7109375" style="140" customWidth="1"/>
    <col min="2076" max="2077" width="14.7109375" style="140" customWidth="1"/>
    <col min="2078" max="2078" width="9.140625" style="140"/>
    <col min="2079" max="2079" width="9.5703125" style="140" bestFit="1" customWidth="1"/>
    <col min="2080" max="2318" width="9.140625" style="140"/>
    <col min="2319" max="2319" width="3.7109375" style="140" customWidth="1"/>
    <col min="2320" max="2320" width="20.7109375" style="140" customWidth="1"/>
    <col min="2321" max="2321" width="6.7109375" style="140" customWidth="1"/>
    <col min="2322" max="2328" width="3.7109375" style="140" customWidth="1"/>
    <col min="2329" max="2329" width="8.7109375" style="140" customWidth="1"/>
    <col min="2330" max="2330" width="9.7109375" style="140" customWidth="1"/>
    <col min="2331" max="2331" width="12.7109375" style="140" customWidth="1"/>
    <col min="2332" max="2333" width="14.7109375" style="140" customWidth="1"/>
    <col min="2334" max="2334" width="9.140625" style="140"/>
    <col min="2335" max="2335" width="9.5703125" style="140" bestFit="1" customWidth="1"/>
    <col min="2336" max="2574" width="9.140625" style="140"/>
    <col min="2575" max="2575" width="3.7109375" style="140" customWidth="1"/>
    <col min="2576" max="2576" width="20.7109375" style="140" customWidth="1"/>
    <col min="2577" max="2577" width="6.7109375" style="140" customWidth="1"/>
    <col min="2578" max="2584" width="3.7109375" style="140" customWidth="1"/>
    <col min="2585" max="2585" width="8.7109375" style="140" customWidth="1"/>
    <col min="2586" max="2586" width="9.7109375" style="140" customWidth="1"/>
    <col min="2587" max="2587" width="12.7109375" style="140" customWidth="1"/>
    <col min="2588" max="2589" width="14.7109375" style="140" customWidth="1"/>
    <col min="2590" max="2590" width="9.140625" style="140"/>
    <col min="2591" max="2591" width="9.5703125" style="140" bestFit="1" customWidth="1"/>
    <col min="2592" max="2830" width="9.140625" style="140"/>
    <col min="2831" max="2831" width="3.7109375" style="140" customWidth="1"/>
    <col min="2832" max="2832" width="20.7109375" style="140" customWidth="1"/>
    <col min="2833" max="2833" width="6.7109375" style="140" customWidth="1"/>
    <col min="2834" max="2840" width="3.7109375" style="140" customWidth="1"/>
    <col min="2841" max="2841" width="8.7109375" style="140" customWidth="1"/>
    <col min="2842" max="2842" width="9.7109375" style="140" customWidth="1"/>
    <col min="2843" max="2843" width="12.7109375" style="140" customWidth="1"/>
    <col min="2844" max="2845" width="14.7109375" style="140" customWidth="1"/>
    <col min="2846" max="2846" width="9.140625" style="140"/>
    <col min="2847" max="2847" width="9.5703125" style="140" bestFit="1" customWidth="1"/>
    <col min="2848" max="3086" width="9.140625" style="140"/>
    <col min="3087" max="3087" width="3.7109375" style="140" customWidth="1"/>
    <col min="3088" max="3088" width="20.7109375" style="140" customWidth="1"/>
    <col min="3089" max="3089" width="6.7109375" style="140" customWidth="1"/>
    <col min="3090" max="3096" width="3.7109375" style="140" customWidth="1"/>
    <col min="3097" max="3097" width="8.7109375" style="140" customWidth="1"/>
    <col min="3098" max="3098" width="9.7109375" style="140" customWidth="1"/>
    <col min="3099" max="3099" width="12.7109375" style="140" customWidth="1"/>
    <col min="3100" max="3101" width="14.7109375" style="140" customWidth="1"/>
    <col min="3102" max="3102" width="9.140625" style="140"/>
    <col min="3103" max="3103" width="9.5703125" style="140" bestFit="1" customWidth="1"/>
    <col min="3104" max="3342" width="9.140625" style="140"/>
    <col min="3343" max="3343" width="3.7109375" style="140" customWidth="1"/>
    <col min="3344" max="3344" width="20.7109375" style="140" customWidth="1"/>
    <col min="3345" max="3345" width="6.7109375" style="140" customWidth="1"/>
    <col min="3346" max="3352" width="3.7109375" style="140" customWidth="1"/>
    <col min="3353" max="3353" width="8.7109375" style="140" customWidth="1"/>
    <col min="3354" max="3354" width="9.7109375" style="140" customWidth="1"/>
    <col min="3355" max="3355" width="12.7109375" style="140" customWidth="1"/>
    <col min="3356" max="3357" width="14.7109375" style="140" customWidth="1"/>
    <col min="3358" max="3358" width="9.140625" style="140"/>
    <col min="3359" max="3359" width="9.5703125" style="140" bestFit="1" customWidth="1"/>
    <col min="3360" max="3598" width="9.140625" style="140"/>
    <col min="3599" max="3599" width="3.7109375" style="140" customWidth="1"/>
    <col min="3600" max="3600" width="20.7109375" style="140" customWidth="1"/>
    <col min="3601" max="3601" width="6.7109375" style="140" customWidth="1"/>
    <col min="3602" max="3608" width="3.7109375" style="140" customWidth="1"/>
    <col min="3609" max="3609" width="8.7109375" style="140" customWidth="1"/>
    <col min="3610" max="3610" width="9.7109375" style="140" customWidth="1"/>
    <col min="3611" max="3611" width="12.7109375" style="140" customWidth="1"/>
    <col min="3612" max="3613" width="14.7109375" style="140" customWidth="1"/>
    <col min="3614" max="3614" width="9.140625" style="140"/>
    <col min="3615" max="3615" width="9.5703125" style="140" bestFit="1" customWidth="1"/>
    <col min="3616" max="3854" width="9.140625" style="140"/>
    <col min="3855" max="3855" width="3.7109375" style="140" customWidth="1"/>
    <col min="3856" max="3856" width="20.7109375" style="140" customWidth="1"/>
    <col min="3857" max="3857" width="6.7109375" style="140" customWidth="1"/>
    <col min="3858" max="3864" width="3.7109375" style="140" customWidth="1"/>
    <col min="3865" max="3865" width="8.7109375" style="140" customWidth="1"/>
    <col min="3866" max="3866" width="9.7109375" style="140" customWidth="1"/>
    <col min="3867" max="3867" width="12.7109375" style="140" customWidth="1"/>
    <col min="3868" max="3869" width="14.7109375" style="140" customWidth="1"/>
    <col min="3870" max="3870" width="9.140625" style="140"/>
    <col min="3871" max="3871" width="9.5703125" style="140" bestFit="1" customWidth="1"/>
    <col min="3872" max="4110" width="9.140625" style="140"/>
    <col min="4111" max="4111" width="3.7109375" style="140" customWidth="1"/>
    <col min="4112" max="4112" width="20.7109375" style="140" customWidth="1"/>
    <col min="4113" max="4113" width="6.7109375" style="140" customWidth="1"/>
    <col min="4114" max="4120" width="3.7109375" style="140" customWidth="1"/>
    <col min="4121" max="4121" width="8.7109375" style="140" customWidth="1"/>
    <col min="4122" max="4122" width="9.7109375" style="140" customWidth="1"/>
    <col min="4123" max="4123" width="12.7109375" style="140" customWidth="1"/>
    <col min="4124" max="4125" width="14.7109375" style="140" customWidth="1"/>
    <col min="4126" max="4126" width="9.140625" style="140"/>
    <col min="4127" max="4127" width="9.5703125" style="140" bestFit="1" customWidth="1"/>
    <col min="4128" max="4366" width="9.140625" style="140"/>
    <col min="4367" max="4367" width="3.7109375" style="140" customWidth="1"/>
    <col min="4368" max="4368" width="20.7109375" style="140" customWidth="1"/>
    <col min="4369" max="4369" width="6.7109375" style="140" customWidth="1"/>
    <col min="4370" max="4376" width="3.7109375" style="140" customWidth="1"/>
    <col min="4377" max="4377" width="8.7109375" style="140" customWidth="1"/>
    <col min="4378" max="4378" width="9.7109375" style="140" customWidth="1"/>
    <col min="4379" max="4379" width="12.7109375" style="140" customWidth="1"/>
    <col min="4380" max="4381" width="14.7109375" style="140" customWidth="1"/>
    <col min="4382" max="4382" width="9.140625" style="140"/>
    <col min="4383" max="4383" width="9.5703125" style="140" bestFit="1" customWidth="1"/>
    <col min="4384" max="4622" width="9.140625" style="140"/>
    <col min="4623" max="4623" width="3.7109375" style="140" customWidth="1"/>
    <col min="4624" max="4624" width="20.7109375" style="140" customWidth="1"/>
    <col min="4625" max="4625" width="6.7109375" style="140" customWidth="1"/>
    <col min="4626" max="4632" width="3.7109375" style="140" customWidth="1"/>
    <col min="4633" max="4633" width="8.7109375" style="140" customWidth="1"/>
    <col min="4634" max="4634" width="9.7109375" style="140" customWidth="1"/>
    <col min="4635" max="4635" width="12.7109375" style="140" customWidth="1"/>
    <col min="4636" max="4637" width="14.7109375" style="140" customWidth="1"/>
    <col min="4638" max="4638" width="9.140625" style="140"/>
    <col min="4639" max="4639" width="9.5703125" style="140" bestFit="1" customWidth="1"/>
    <col min="4640" max="4878" width="9.140625" style="140"/>
    <col min="4879" max="4879" width="3.7109375" style="140" customWidth="1"/>
    <col min="4880" max="4880" width="20.7109375" style="140" customWidth="1"/>
    <col min="4881" max="4881" width="6.7109375" style="140" customWidth="1"/>
    <col min="4882" max="4888" width="3.7109375" style="140" customWidth="1"/>
    <col min="4889" max="4889" width="8.7109375" style="140" customWidth="1"/>
    <col min="4890" max="4890" width="9.7109375" style="140" customWidth="1"/>
    <col min="4891" max="4891" width="12.7109375" style="140" customWidth="1"/>
    <col min="4892" max="4893" width="14.7109375" style="140" customWidth="1"/>
    <col min="4894" max="4894" width="9.140625" style="140"/>
    <col min="4895" max="4895" width="9.5703125" style="140" bestFit="1" customWidth="1"/>
    <col min="4896" max="5134" width="9.140625" style="140"/>
    <col min="5135" max="5135" width="3.7109375" style="140" customWidth="1"/>
    <col min="5136" max="5136" width="20.7109375" style="140" customWidth="1"/>
    <col min="5137" max="5137" width="6.7109375" style="140" customWidth="1"/>
    <col min="5138" max="5144" width="3.7109375" style="140" customWidth="1"/>
    <col min="5145" max="5145" width="8.7109375" style="140" customWidth="1"/>
    <col min="5146" max="5146" width="9.7109375" style="140" customWidth="1"/>
    <col min="5147" max="5147" width="12.7109375" style="140" customWidth="1"/>
    <col min="5148" max="5149" width="14.7109375" style="140" customWidth="1"/>
    <col min="5150" max="5150" width="9.140625" style="140"/>
    <col min="5151" max="5151" width="9.5703125" style="140" bestFit="1" customWidth="1"/>
    <col min="5152" max="5390" width="9.140625" style="140"/>
    <col min="5391" max="5391" width="3.7109375" style="140" customWidth="1"/>
    <col min="5392" max="5392" width="20.7109375" style="140" customWidth="1"/>
    <col min="5393" max="5393" width="6.7109375" style="140" customWidth="1"/>
    <col min="5394" max="5400" width="3.7109375" style="140" customWidth="1"/>
    <col min="5401" max="5401" width="8.7109375" style="140" customWidth="1"/>
    <col min="5402" max="5402" width="9.7109375" style="140" customWidth="1"/>
    <col min="5403" max="5403" width="12.7109375" style="140" customWidth="1"/>
    <col min="5404" max="5405" width="14.7109375" style="140" customWidth="1"/>
    <col min="5406" max="5406" width="9.140625" style="140"/>
    <col min="5407" max="5407" width="9.5703125" style="140" bestFit="1" customWidth="1"/>
    <col min="5408" max="5646" width="9.140625" style="140"/>
    <col min="5647" max="5647" width="3.7109375" style="140" customWidth="1"/>
    <col min="5648" max="5648" width="20.7109375" style="140" customWidth="1"/>
    <col min="5649" max="5649" width="6.7109375" style="140" customWidth="1"/>
    <col min="5650" max="5656" width="3.7109375" style="140" customWidth="1"/>
    <col min="5657" max="5657" width="8.7109375" style="140" customWidth="1"/>
    <col min="5658" max="5658" width="9.7109375" style="140" customWidth="1"/>
    <col min="5659" max="5659" width="12.7109375" style="140" customWidth="1"/>
    <col min="5660" max="5661" width="14.7109375" style="140" customWidth="1"/>
    <col min="5662" max="5662" width="9.140625" style="140"/>
    <col min="5663" max="5663" width="9.5703125" style="140" bestFit="1" customWidth="1"/>
    <col min="5664" max="5902" width="9.140625" style="140"/>
    <col min="5903" max="5903" width="3.7109375" style="140" customWidth="1"/>
    <col min="5904" max="5904" width="20.7109375" style="140" customWidth="1"/>
    <col min="5905" max="5905" width="6.7109375" style="140" customWidth="1"/>
    <col min="5906" max="5912" width="3.7109375" style="140" customWidth="1"/>
    <col min="5913" max="5913" width="8.7109375" style="140" customWidth="1"/>
    <col min="5914" max="5914" width="9.7109375" style="140" customWidth="1"/>
    <col min="5915" max="5915" width="12.7109375" style="140" customWidth="1"/>
    <col min="5916" max="5917" width="14.7109375" style="140" customWidth="1"/>
    <col min="5918" max="5918" width="9.140625" style="140"/>
    <col min="5919" max="5919" width="9.5703125" style="140" bestFit="1" customWidth="1"/>
    <col min="5920" max="6158" width="9.140625" style="140"/>
    <col min="6159" max="6159" width="3.7109375" style="140" customWidth="1"/>
    <col min="6160" max="6160" width="20.7109375" style="140" customWidth="1"/>
    <col min="6161" max="6161" width="6.7109375" style="140" customWidth="1"/>
    <col min="6162" max="6168" width="3.7109375" style="140" customWidth="1"/>
    <col min="6169" max="6169" width="8.7109375" style="140" customWidth="1"/>
    <col min="6170" max="6170" width="9.7109375" style="140" customWidth="1"/>
    <col min="6171" max="6171" width="12.7109375" style="140" customWidth="1"/>
    <col min="6172" max="6173" width="14.7109375" style="140" customWidth="1"/>
    <col min="6174" max="6174" width="9.140625" style="140"/>
    <col min="6175" max="6175" width="9.5703125" style="140" bestFit="1" customWidth="1"/>
    <col min="6176" max="6414" width="9.140625" style="140"/>
    <col min="6415" max="6415" width="3.7109375" style="140" customWidth="1"/>
    <col min="6416" max="6416" width="20.7109375" style="140" customWidth="1"/>
    <col min="6417" max="6417" width="6.7109375" style="140" customWidth="1"/>
    <col min="6418" max="6424" width="3.7109375" style="140" customWidth="1"/>
    <col min="6425" max="6425" width="8.7109375" style="140" customWidth="1"/>
    <col min="6426" max="6426" width="9.7109375" style="140" customWidth="1"/>
    <col min="6427" max="6427" width="12.7109375" style="140" customWidth="1"/>
    <col min="6428" max="6429" width="14.7109375" style="140" customWidth="1"/>
    <col min="6430" max="6430" width="9.140625" style="140"/>
    <col min="6431" max="6431" width="9.5703125" style="140" bestFit="1" customWidth="1"/>
    <col min="6432" max="6670" width="9.140625" style="140"/>
    <col min="6671" max="6671" width="3.7109375" style="140" customWidth="1"/>
    <col min="6672" max="6672" width="20.7109375" style="140" customWidth="1"/>
    <col min="6673" max="6673" width="6.7109375" style="140" customWidth="1"/>
    <col min="6674" max="6680" width="3.7109375" style="140" customWidth="1"/>
    <col min="6681" max="6681" width="8.7109375" style="140" customWidth="1"/>
    <col min="6682" max="6682" width="9.7109375" style="140" customWidth="1"/>
    <col min="6683" max="6683" width="12.7109375" style="140" customWidth="1"/>
    <col min="6684" max="6685" width="14.7109375" style="140" customWidth="1"/>
    <col min="6686" max="6686" width="9.140625" style="140"/>
    <col min="6687" max="6687" width="9.5703125" style="140" bestFit="1" customWidth="1"/>
    <col min="6688" max="6926" width="9.140625" style="140"/>
    <col min="6927" max="6927" width="3.7109375" style="140" customWidth="1"/>
    <col min="6928" max="6928" width="20.7109375" style="140" customWidth="1"/>
    <col min="6929" max="6929" width="6.7109375" style="140" customWidth="1"/>
    <col min="6930" max="6936" width="3.7109375" style="140" customWidth="1"/>
    <col min="6937" max="6937" width="8.7109375" style="140" customWidth="1"/>
    <col min="6938" max="6938" width="9.7109375" style="140" customWidth="1"/>
    <col min="6939" max="6939" width="12.7109375" style="140" customWidth="1"/>
    <col min="6940" max="6941" width="14.7109375" style="140" customWidth="1"/>
    <col min="6942" max="6942" width="9.140625" style="140"/>
    <col min="6943" max="6943" width="9.5703125" style="140" bestFit="1" customWidth="1"/>
    <col min="6944" max="7182" width="9.140625" style="140"/>
    <col min="7183" max="7183" width="3.7109375" style="140" customWidth="1"/>
    <col min="7184" max="7184" width="20.7109375" style="140" customWidth="1"/>
    <col min="7185" max="7185" width="6.7109375" style="140" customWidth="1"/>
    <col min="7186" max="7192" width="3.7109375" style="140" customWidth="1"/>
    <col min="7193" max="7193" width="8.7109375" style="140" customWidth="1"/>
    <col min="7194" max="7194" width="9.7109375" style="140" customWidth="1"/>
    <col min="7195" max="7195" width="12.7109375" style="140" customWidth="1"/>
    <col min="7196" max="7197" width="14.7109375" style="140" customWidth="1"/>
    <col min="7198" max="7198" width="9.140625" style="140"/>
    <col min="7199" max="7199" width="9.5703125" style="140" bestFit="1" customWidth="1"/>
    <col min="7200" max="7438" width="9.140625" style="140"/>
    <col min="7439" max="7439" width="3.7109375" style="140" customWidth="1"/>
    <col min="7440" max="7440" width="20.7109375" style="140" customWidth="1"/>
    <col min="7441" max="7441" width="6.7109375" style="140" customWidth="1"/>
    <col min="7442" max="7448" width="3.7109375" style="140" customWidth="1"/>
    <col min="7449" max="7449" width="8.7109375" style="140" customWidth="1"/>
    <col min="7450" max="7450" width="9.7109375" style="140" customWidth="1"/>
    <col min="7451" max="7451" width="12.7109375" style="140" customWidth="1"/>
    <col min="7452" max="7453" width="14.7109375" style="140" customWidth="1"/>
    <col min="7454" max="7454" width="9.140625" style="140"/>
    <col min="7455" max="7455" width="9.5703125" style="140" bestFit="1" customWidth="1"/>
    <col min="7456" max="7694" width="9.140625" style="140"/>
    <col min="7695" max="7695" width="3.7109375" style="140" customWidth="1"/>
    <col min="7696" max="7696" width="20.7109375" style="140" customWidth="1"/>
    <col min="7697" max="7697" width="6.7109375" style="140" customWidth="1"/>
    <col min="7698" max="7704" width="3.7109375" style="140" customWidth="1"/>
    <col min="7705" max="7705" width="8.7109375" style="140" customWidth="1"/>
    <col min="7706" max="7706" width="9.7109375" style="140" customWidth="1"/>
    <col min="7707" max="7707" width="12.7109375" style="140" customWidth="1"/>
    <col min="7708" max="7709" width="14.7109375" style="140" customWidth="1"/>
    <col min="7710" max="7710" width="9.140625" style="140"/>
    <col min="7711" max="7711" width="9.5703125" style="140" bestFit="1" customWidth="1"/>
    <col min="7712" max="7950" width="9.140625" style="140"/>
    <col min="7951" max="7951" width="3.7109375" style="140" customWidth="1"/>
    <col min="7952" max="7952" width="20.7109375" style="140" customWidth="1"/>
    <col min="7953" max="7953" width="6.7109375" style="140" customWidth="1"/>
    <col min="7954" max="7960" width="3.7109375" style="140" customWidth="1"/>
    <col min="7961" max="7961" width="8.7109375" style="140" customWidth="1"/>
    <col min="7962" max="7962" width="9.7109375" style="140" customWidth="1"/>
    <col min="7963" max="7963" width="12.7109375" style="140" customWidth="1"/>
    <col min="7964" max="7965" width="14.7109375" style="140" customWidth="1"/>
    <col min="7966" max="7966" width="9.140625" style="140"/>
    <col min="7967" max="7967" width="9.5703125" style="140" bestFit="1" customWidth="1"/>
    <col min="7968" max="8206" width="9.140625" style="140"/>
    <col min="8207" max="8207" width="3.7109375" style="140" customWidth="1"/>
    <col min="8208" max="8208" width="20.7109375" style="140" customWidth="1"/>
    <col min="8209" max="8209" width="6.7109375" style="140" customWidth="1"/>
    <col min="8210" max="8216" width="3.7109375" style="140" customWidth="1"/>
    <col min="8217" max="8217" width="8.7109375" style="140" customWidth="1"/>
    <col min="8218" max="8218" width="9.7109375" style="140" customWidth="1"/>
    <col min="8219" max="8219" width="12.7109375" style="140" customWidth="1"/>
    <col min="8220" max="8221" width="14.7109375" style="140" customWidth="1"/>
    <col min="8222" max="8222" width="9.140625" style="140"/>
    <col min="8223" max="8223" width="9.5703125" style="140" bestFit="1" customWidth="1"/>
    <col min="8224" max="8462" width="9.140625" style="140"/>
    <col min="8463" max="8463" width="3.7109375" style="140" customWidth="1"/>
    <col min="8464" max="8464" width="20.7109375" style="140" customWidth="1"/>
    <col min="8465" max="8465" width="6.7109375" style="140" customWidth="1"/>
    <col min="8466" max="8472" width="3.7109375" style="140" customWidth="1"/>
    <col min="8473" max="8473" width="8.7109375" style="140" customWidth="1"/>
    <col min="8474" max="8474" width="9.7109375" style="140" customWidth="1"/>
    <col min="8475" max="8475" width="12.7109375" style="140" customWidth="1"/>
    <col min="8476" max="8477" width="14.7109375" style="140" customWidth="1"/>
    <col min="8478" max="8478" width="9.140625" style="140"/>
    <col min="8479" max="8479" width="9.5703125" style="140" bestFit="1" customWidth="1"/>
    <col min="8480" max="8718" width="9.140625" style="140"/>
    <col min="8719" max="8719" width="3.7109375" style="140" customWidth="1"/>
    <col min="8720" max="8720" width="20.7109375" style="140" customWidth="1"/>
    <col min="8721" max="8721" width="6.7109375" style="140" customWidth="1"/>
    <col min="8722" max="8728" width="3.7109375" style="140" customWidth="1"/>
    <col min="8729" max="8729" width="8.7109375" style="140" customWidth="1"/>
    <col min="8730" max="8730" width="9.7109375" style="140" customWidth="1"/>
    <col min="8731" max="8731" width="12.7109375" style="140" customWidth="1"/>
    <col min="8732" max="8733" width="14.7109375" style="140" customWidth="1"/>
    <col min="8734" max="8734" width="9.140625" style="140"/>
    <col min="8735" max="8735" width="9.5703125" style="140" bestFit="1" customWidth="1"/>
    <col min="8736" max="8974" width="9.140625" style="140"/>
    <col min="8975" max="8975" width="3.7109375" style="140" customWidth="1"/>
    <col min="8976" max="8976" width="20.7109375" style="140" customWidth="1"/>
    <col min="8977" max="8977" width="6.7109375" style="140" customWidth="1"/>
    <col min="8978" max="8984" width="3.7109375" style="140" customWidth="1"/>
    <col min="8985" max="8985" width="8.7109375" style="140" customWidth="1"/>
    <col min="8986" max="8986" width="9.7109375" style="140" customWidth="1"/>
    <col min="8987" max="8987" width="12.7109375" style="140" customWidth="1"/>
    <col min="8988" max="8989" width="14.7109375" style="140" customWidth="1"/>
    <col min="8990" max="8990" width="9.140625" style="140"/>
    <col min="8991" max="8991" width="9.5703125" style="140" bestFit="1" customWidth="1"/>
    <col min="8992" max="9230" width="9.140625" style="140"/>
    <col min="9231" max="9231" width="3.7109375" style="140" customWidth="1"/>
    <col min="9232" max="9232" width="20.7109375" style="140" customWidth="1"/>
    <col min="9233" max="9233" width="6.7109375" style="140" customWidth="1"/>
    <col min="9234" max="9240" width="3.7109375" style="140" customWidth="1"/>
    <col min="9241" max="9241" width="8.7109375" style="140" customWidth="1"/>
    <col min="9242" max="9242" width="9.7109375" style="140" customWidth="1"/>
    <col min="9243" max="9243" width="12.7109375" style="140" customWidth="1"/>
    <col min="9244" max="9245" width="14.7109375" style="140" customWidth="1"/>
    <col min="9246" max="9246" width="9.140625" style="140"/>
    <col min="9247" max="9247" width="9.5703125" style="140" bestFit="1" customWidth="1"/>
    <col min="9248" max="9486" width="9.140625" style="140"/>
    <col min="9487" max="9487" width="3.7109375" style="140" customWidth="1"/>
    <col min="9488" max="9488" width="20.7109375" style="140" customWidth="1"/>
    <col min="9489" max="9489" width="6.7109375" style="140" customWidth="1"/>
    <col min="9490" max="9496" width="3.7109375" style="140" customWidth="1"/>
    <col min="9497" max="9497" width="8.7109375" style="140" customWidth="1"/>
    <col min="9498" max="9498" width="9.7109375" style="140" customWidth="1"/>
    <col min="9499" max="9499" width="12.7109375" style="140" customWidth="1"/>
    <col min="9500" max="9501" width="14.7109375" style="140" customWidth="1"/>
    <col min="9502" max="9502" width="9.140625" style="140"/>
    <col min="9503" max="9503" width="9.5703125" style="140" bestFit="1" customWidth="1"/>
    <col min="9504" max="9742" width="9.140625" style="140"/>
    <col min="9743" max="9743" width="3.7109375" style="140" customWidth="1"/>
    <col min="9744" max="9744" width="20.7109375" style="140" customWidth="1"/>
    <col min="9745" max="9745" width="6.7109375" style="140" customWidth="1"/>
    <col min="9746" max="9752" width="3.7109375" style="140" customWidth="1"/>
    <col min="9753" max="9753" width="8.7109375" style="140" customWidth="1"/>
    <col min="9754" max="9754" width="9.7109375" style="140" customWidth="1"/>
    <col min="9755" max="9755" width="12.7109375" style="140" customWidth="1"/>
    <col min="9756" max="9757" width="14.7109375" style="140" customWidth="1"/>
    <col min="9758" max="9758" width="9.140625" style="140"/>
    <col min="9759" max="9759" width="9.5703125" style="140" bestFit="1" customWidth="1"/>
    <col min="9760" max="9998" width="9.140625" style="140"/>
    <col min="9999" max="9999" width="3.7109375" style="140" customWidth="1"/>
    <col min="10000" max="10000" width="20.7109375" style="140" customWidth="1"/>
    <col min="10001" max="10001" width="6.7109375" style="140" customWidth="1"/>
    <col min="10002" max="10008" width="3.7109375" style="140" customWidth="1"/>
    <col min="10009" max="10009" width="8.7109375" style="140" customWidth="1"/>
    <col min="10010" max="10010" width="9.7109375" style="140" customWidth="1"/>
    <col min="10011" max="10011" width="12.7109375" style="140" customWidth="1"/>
    <col min="10012" max="10013" width="14.7109375" style="140" customWidth="1"/>
    <col min="10014" max="10014" width="9.140625" style="140"/>
    <col min="10015" max="10015" width="9.5703125" style="140" bestFit="1" customWidth="1"/>
    <col min="10016" max="10254" width="9.140625" style="140"/>
    <col min="10255" max="10255" width="3.7109375" style="140" customWidth="1"/>
    <col min="10256" max="10256" width="20.7109375" style="140" customWidth="1"/>
    <col min="10257" max="10257" width="6.7109375" style="140" customWidth="1"/>
    <col min="10258" max="10264" width="3.7109375" style="140" customWidth="1"/>
    <col min="10265" max="10265" width="8.7109375" style="140" customWidth="1"/>
    <col min="10266" max="10266" width="9.7109375" style="140" customWidth="1"/>
    <col min="10267" max="10267" width="12.7109375" style="140" customWidth="1"/>
    <col min="10268" max="10269" width="14.7109375" style="140" customWidth="1"/>
    <col min="10270" max="10270" width="9.140625" style="140"/>
    <col min="10271" max="10271" width="9.5703125" style="140" bestFit="1" customWidth="1"/>
    <col min="10272" max="10510" width="9.140625" style="140"/>
    <col min="10511" max="10511" width="3.7109375" style="140" customWidth="1"/>
    <col min="10512" max="10512" width="20.7109375" style="140" customWidth="1"/>
    <col min="10513" max="10513" width="6.7109375" style="140" customWidth="1"/>
    <col min="10514" max="10520" width="3.7109375" style="140" customWidth="1"/>
    <col min="10521" max="10521" width="8.7109375" style="140" customWidth="1"/>
    <col min="10522" max="10522" width="9.7109375" style="140" customWidth="1"/>
    <col min="10523" max="10523" width="12.7109375" style="140" customWidth="1"/>
    <col min="10524" max="10525" width="14.7109375" style="140" customWidth="1"/>
    <col min="10526" max="10526" width="9.140625" style="140"/>
    <col min="10527" max="10527" width="9.5703125" style="140" bestFit="1" customWidth="1"/>
    <col min="10528" max="10766" width="9.140625" style="140"/>
    <col min="10767" max="10767" width="3.7109375" style="140" customWidth="1"/>
    <col min="10768" max="10768" width="20.7109375" style="140" customWidth="1"/>
    <col min="10769" max="10769" width="6.7109375" style="140" customWidth="1"/>
    <col min="10770" max="10776" width="3.7109375" style="140" customWidth="1"/>
    <col min="10777" max="10777" width="8.7109375" style="140" customWidth="1"/>
    <col min="10778" max="10778" width="9.7109375" style="140" customWidth="1"/>
    <col min="10779" max="10779" width="12.7109375" style="140" customWidth="1"/>
    <col min="10780" max="10781" width="14.7109375" style="140" customWidth="1"/>
    <col min="10782" max="10782" width="9.140625" style="140"/>
    <col min="10783" max="10783" width="9.5703125" style="140" bestFit="1" customWidth="1"/>
    <col min="10784" max="11022" width="9.140625" style="140"/>
    <col min="11023" max="11023" width="3.7109375" style="140" customWidth="1"/>
    <col min="11024" max="11024" width="20.7109375" style="140" customWidth="1"/>
    <col min="11025" max="11025" width="6.7109375" style="140" customWidth="1"/>
    <col min="11026" max="11032" width="3.7109375" style="140" customWidth="1"/>
    <col min="11033" max="11033" width="8.7109375" style="140" customWidth="1"/>
    <col min="11034" max="11034" width="9.7109375" style="140" customWidth="1"/>
    <col min="11035" max="11035" width="12.7109375" style="140" customWidth="1"/>
    <col min="11036" max="11037" width="14.7109375" style="140" customWidth="1"/>
    <col min="11038" max="11038" width="9.140625" style="140"/>
    <col min="11039" max="11039" width="9.5703125" style="140" bestFit="1" customWidth="1"/>
    <col min="11040" max="11278" width="9.140625" style="140"/>
    <col min="11279" max="11279" width="3.7109375" style="140" customWidth="1"/>
    <col min="11280" max="11280" width="20.7109375" style="140" customWidth="1"/>
    <col min="11281" max="11281" width="6.7109375" style="140" customWidth="1"/>
    <col min="11282" max="11288" width="3.7109375" style="140" customWidth="1"/>
    <col min="11289" max="11289" width="8.7109375" style="140" customWidth="1"/>
    <col min="11290" max="11290" width="9.7109375" style="140" customWidth="1"/>
    <col min="11291" max="11291" width="12.7109375" style="140" customWidth="1"/>
    <col min="11292" max="11293" width="14.7109375" style="140" customWidth="1"/>
    <col min="11294" max="11294" width="9.140625" style="140"/>
    <col min="11295" max="11295" width="9.5703125" style="140" bestFit="1" customWidth="1"/>
    <col min="11296" max="11534" width="9.140625" style="140"/>
    <col min="11535" max="11535" width="3.7109375" style="140" customWidth="1"/>
    <col min="11536" max="11536" width="20.7109375" style="140" customWidth="1"/>
    <col min="11537" max="11537" width="6.7109375" style="140" customWidth="1"/>
    <col min="11538" max="11544" width="3.7109375" style="140" customWidth="1"/>
    <col min="11545" max="11545" width="8.7109375" style="140" customWidth="1"/>
    <col min="11546" max="11546" width="9.7109375" style="140" customWidth="1"/>
    <col min="11547" max="11547" width="12.7109375" style="140" customWidth="1"/>
    <col min="11548" max="11549" width="14.7109375" style="140" customWidth="1"/>
    <col min="11550" max="11550" width="9.140625" style="140"/>
    <col min="11551" max="11551" width="9.5703125" style="140" bestFit="1" customWidth="1"/>
    <col min="11552" max="11790" width="9.140625" style="140"/>
    <col min="11791" max="11791" width="3.7109375" style="140" customWidth="1"/>
    <col min="11792" max="11792" width="20.7109375" style="140" customWidth="1"/>
    <col min="11793" max="11793" width="6.7109375" style="140" customWidth="1"/>
    <col min="11794" max="11800" width="3.7109375" style="140" customWidth="1"/>
    <col min="11801" max="11801" width="8.7109375" style="140" customWidth="1"/>
    <col min="11802" max="11802" width="9.7109375" style="140" customWidth="1"/>
    <col min="11803" max="11803" width="12.7109375" style="140" customWidth="1"/>
    <col min="11804" max="11805" width="14.7109375" style="140" customWidth="1"/>
    <col min="11806" max="11806" width="9.140625" style="140"/>
    <col min="11807" max="11807" width="9.5703125" style="140" bestFit="1" customWidth="1"/>
    <col min="11808" max="12046" width="9.140625" style="140"/>
    <col min="12047" max="12047" width="3.7109375" style="140" customWidth="1"/>
    <col min="12048" max="12048" width="20.7109375" style="140" customWidth="1"/>
    <col min="12049" max="12049" width="6.7109375" style="140" customWidth="1"/>
    <col min="12050" max="12056" width="3.7109375" style="140" customWidth="1"/>
    <col min="12057" max="12057" width="8.7109375" style="140" customWidth="1"/>
    <col min="12058" max="12058" width="9.7109375" style="140" customWidth="1"/>
    <col min="12059" max="12059" width="12.7109375" style="140" customWidth="1"/>
    <col min="12060" max="12061" width="14.7109375" style="140" customWidth="1"/>
    <col min="12062" max="12062" width="9.140625" style="140"/>
    <col min="12063" max="12063" width="9.5703125" style="140" bestFit="1" customWidth="1"/>
    <col min="12064" max="12302" width="9.140625" style="140"/>
    <col min="12303" max="12303" width="3.7109375" style="140" customWidth="1"/>
    <col min="12304" max="12304" width="20.7109375" style="140" customWidth="1"/>
    <col min="12305" max="12305" width="6.7109375" style="140" customWidth="1"/>
    <col min="12306" max="12312" width="3.7109375" style="140" customWidth="1"/>
    <col min="12313" max="12313" width="8.7109375" style="140" customWidth="1"/>
    <col min="12314" max="12314" width="9.7109375" style="140" customWidth="1"/>
    <col min="12315" max="12315" width="12.7109375" style="140" customWidth="1"/>
    <col min="12316" max="12317" width="14.7109375" style="140" customWidth="1"/>
    <col min="12318" max="12318" width="9.140625" style="140"/>
    <col min="12319" max="12319" width="9.5703125" style="140" bestFit="1" customWidth="1"/>
    <col min="12320" max="12558" width="9.140625" style="140"/>
    <col min="12559" max="12559" width="3.7109375" style="140" customWidth="1"/>
    <col min="12560" max="12560" width="20.7109375" style="140" customWidth="1"/>
    <col min="12561" max="12561" width="6.7109375" style="140" customWidth="1"/>
    <col min="12562" max="12568" width="3.7109375" style="140" customWidth="1"/>
    <col min="12569" max="12569" width="8.7109375" style="140" customWidth="1"/>
    <col min="12570" max="12570" width="9.7109375" style="140" customWidth="1"/>
    <col min="12571" max="12571" width="12.7109375" style="140" customWidth="1"/>
    <col min="12572" max="12573" width="14.7109375" style="140" customWidth="1"/>
    <col min="12574" max="12574" width="9.140625" style="140"/>
    <col min="12575" max="12575" width="9.5703125" style="140" bestFit="1" customWidth="1"/>
    <col min="12576" max="12814" width="9.140625" style="140"/>
    <col min="12815" max="12815" width="3.7109375" style="140" customWidth="1"/>
    <col min="12816" max="12816" width="20.7109375" style="140" customWidth="1"/>
    <col min="12817" max="12817" width="6.7109375" style="140" customWidth="1"/>
    <col min="12818" max="12824" width="3.7109375" style="140" customWidth="1"/>
    <col min="12825" max="12825" width="8.7109375" style="140" customWidth="1"/>
    <col min="12826" max="12826" width="9.7109375" style="140" customWidth="1"/>
    <col min="12827" max="12827" width="12.7109375" style="140" customWidth="1"/>
    <col min="12828" max="12829" width="14.7109375" style="140" customWidth="1"/>
    <col min="12830" max="12830" width="9.140625" style="140"/>
    <col min="12831" max="12831" width="9.5703125" style="140" bestFit="1" customWidth="1"/>
    <col min="12832" max="13070" width="9.140625" style="140"/>
    <col min="13071" max="13071" width="3.7109375" style="140" customWidth="1"/>
    <col min="13072" max="13072" width="20.7109375" style="140" customWidth="1"/>
    <col min="13073" max="13073" width="6.7109375" style="140" customWidth="1"/>
    <col min="13074" max="13080" width="3.7109375" style="140" customWidth="1"/>
    <col min="13081" max="13081" width="8.7109375" style="140" customWidth="1"/>
    <col min="13082" max="13082" width="9.7109375" style="140" customWidth="1"/>
    <col min="13083" max="13083" width="12.7109375" style="140" customWidth="1"/>
    <col min="13084" max="13085" width="14.7109375" style="140" customWidth="1"/>
    <col min="13086" max="13086" width="9.140625" style="140"/>
    <col min="13087" max="13087" width="9.5703125" style="140" bestFit="1" customWidth="1"/>
    <col min="13088" max="13326" width="9.140625" style="140"/>
    <col min="13327" max="13327" width="3.7109375" style="140" customWidth="1"/>
    <col min="13328" max="13328" width="20.7109375" style="140" customWidth="1"/>
    <col min="13329" max="13329" width="6.7109375" style="140" customWidth="1"/>
    <col min="13330" max="13336" width="3.7109375" style="140" customWidth="1"/>
    <col min="13337" max="13337" width="8.7109375" style="140" customWidth="1"/>
    <col min="13338" max="13338" width="9.7109375" style="140" customWidth="1"/>
    <col min="13339" max="13339" width="12.7109375" style="140" customWidth="1"/>
    <col min="13340" max="13341" width="14.7109375" style="140" customWidth="1"/>
    <col min="13342" max="13342" width="9.140625" style="140"/>
    <col min="13343" max="13343" width="9.5703125" style="140" bestFit="1" customWidth="1"/>
    <col min="13344" max="13582" width="9.140625" style="140"/>
    <col min="13583" max="13583" width="3.7109375" style="140" customWidth="1"/>
    <col min="13584" max="13584" width="20.7109375" style="140" customWidth="1"/>
    <col min="13585" max="13585" width="6.7109375" style="140" customWidth="1"/>
    <col min="13586" max="13592" width="3.7109375" style="140" customWidth="1"/>
    <col min="13593" max="13593" width="8.7109375" style="140" customWidth="1"/>
    <col min="13594" max="13594" width="9.7109375" style="140" customWidth="1"/>
    <col min="13595" max="13595" width="12.7109375" style="140" customWidth="1"/>
    <col min="13596" max="13597" width="14.7109375" style="140" customWidth="1"/>
    <col min="13598" max="13598" width="9.140625" style="140"/>
    <col min="13599" max="13599" width="9.5703125" style="140" bestFit="1" customWidth="1"/>
    <col min="13600" max="13838" width="9.140625" style="140"/>
    <col min="13839" max="13839" width="3.7109375" style="140" customWidth="1"/>
    <col min="13840" max="13840" width="20.7109375" style="140" customWidth="1"/>
    <col min="13841" max="13841" width="6.7109375" style="140" customWidth="1"/>
    <col min="13842" max="13848" width="3.7109375" style="140" customWidth="1"/>
    <col min="13849" max="13849" width="8.7109375" style="140" customWidth="1"/>
    <col min="13850" max="13850" width="9.7109375" style="140" customWidth="1"/>
    <col min="13851" max="13851" width="12.7109375" style="140" customWidth="1"/>
    <col min="13852" max="13853" width="14.7109375" style="140" customWidth="1"/>
    <col min="13854" max="13854" width="9.140625" style="140"/>
    <col min="13855" max="13855" width="9.5703125" style="140" bestFit="1" customWidth="1"/>
    <col min="13856" max="14094" width="9.140625" style="140"/>
    <col min="14095" max="14095" width="3.7109375" style="140" customWidth="1"/>
    <col min="14096" max="14096" width="20.7109375" style="140" customWidth="1"/>
    <col min="14097" max="14097" width="6.7109375" style="140" customWidth="1"/>
    <col min="14098" max="14104" width="3.7109375" style="140" customWidth="1"/>
    <col min="14105" max="14105" width="8.7109375" style="140" customWidth="1"/>
    <col min="14106" max="14106" width="9.7109375" style="140" customWidth="1"/>
    <col min="14107" max="14107" width="12.7109375" style="140" customWidth="1"/>
    <col min="14108" max="14109" width="14.7109375" style="140" customWidth="1"/>
    <col min="14110" max="14110" width="9.140625" style="140"/>
    <col min="14111" max="14111" width="9.5703125" style="140" bestFit="1" customWidth="1"/>
    <col min="14112" max="14350" width="9.140625" style="140"/>
    <col min="14351" max="14351" width="3.7109375" style="140" customWidth="1"/>
    <col min="14352" max="14352" width="20.7109375" style="140" customWidth="1"/>
    <col min="14353" max="14353" width="6.7109375" style="140" customWidth="1"/>
    <col min="14354" max="14360" width="3.7109375" style="140" customWidth="1"/>
    <col min="14361" max="14361" width="8.7109375" style="140" customWidth="1"/>
    <col min="14362" max="14362" width="9.7109375" style="140" customWidth="1"/>
    <col min="14363" max="14363" width="12.7109375" style="140" customWidth="1"/>
    <col min="14364" max="14365" width="14.7109375" style="140" customWidth="1"/>
    <col min="14366" max="14366" width="9.140625" style="140"/>
    <col min="14367" max="14367" width="9.5703125" style="140" bestFit="1" customWidth="1"/>
    <col min="14368" max="14606" width="9.140625" style="140"/>
    <col min="14607" max="14607" width="3.7109375" style="140" customWidth="1"/>
    <col min="14608" max="14608" width="20.7109375" style="140" customWidth="1"/>
    <col min="14609" max="14609" width="6.7109375" style="140" customWidth="1"/>
    <col min="14610" max="14616" width="3.7109375" style="140" customWidth="1"/>
    <col min="14617" max="14617" width="8.7109375" style="140" customWidth="1"/>
    <col min="14618" max="14618" width="9.7109375" style="140" customWidth="1"/>
    <col min="14619" max="14619" width="12.7109375" style="140" customWidth="1"/>
    <col min="14620" max="14621" width="14.7109375" style="140" customWidth="1"/>
    <col min="14622" max="14622" width="9.140625" style="140"/>
    <col min="14623" max="14623" width="9.5703125" style="140" bestFit="1" customWidth="1"/>
    <col min="14624" max="14862" width="9.140625" style="140"/>
    <col min="14863" max="14863" width="3.7109375" style="140" customWidth="1"/>
    <col min="14864" max="14864" width="20.7109375" style="140" customWidth="1"/>
    <col min="14865" max="14865" width="6.7109375" style="140" customWidth="1"/>
    <col min="14866" max="14872" width="3.7109375" style="140" customWidth="1"/>
    <col min="14873" max="14873" width="8.7109375" style="140" customWidth="1"/>
    <col min="14874" max="14874" width="9.7109375" style="140" customWidth="1"/>
    <col min="14875" max="14875" width="12.7109375" style="140" customWidth="1"/>
    <col min="14876" max="14877" width="14.7109375" style="140" customWidth="1"/>
    <col min="14878" max="14878" width="9.140625" style="140"/>
    <col min="14879" max="14879" width="9.5703125" style="140" bestFit="1" customWidth="1"/>
    <col min="14880" max="15118" width="9.140625" style="140"/>
    <col min="15119" max="15119" width="3.7109375" style="140" customWidth="1"/>
    <col min="15120" max="15120" width="20.7109375" style="140" customWidth="1"/>
    <col min="15121" max="15121" width="6.7109375" style="140" customWidth="1"/>
    <col min="15122" max="15128" width="3.7109375" style="140" customWidth="1"/>
    <col min="15129" max="15129" width="8.7109375" style="140" customWidth="1"/>
    <col min="15130" max="15130" width="9.7109375" style="140" customWidth="1"/>
    <col min="15131" max="15131" width="12.7109375" style="140" customWidth="1"/>
    <col min="15132" max="15133" width="14.7109375" style="140" customWidth="1"/>
    <col min="15134" max="15134" width="9.140625" style="140"/>
    <col min="15135" max="15135" width="9.5703125" style="140" bestFit="1" customWidth="1"/>
    <col min="15136" max="15374" width="9.140625" style="140"/>
    <col min="15375" max="15375" width="3.7109375" style="140" customWidth="1"/>
    <col min="15376" max="15376" width="20.7109375" style="140" customWidth="1"/>
    <col min="15377" max="15377" width="6.7109375" style="140" customWidth="1"/>
    <col min="15378" max="15384" width="3.7109375" style="140" customWidth="1"/>
    <col min="15385" max="15385" width="8.7109375" style="140" customWidth="1"/>
    <col min="15386" max="15386" width="9.7109375" style="140" customWidth="1"/>
    <col min="15387" max="15387" width="12.7109375" style="140" customWidth="1"/>
    <col min="15388" max="15389" width="14.7109375" style="140" customWidth="1"/>
    <col min="15390" max="15390" width="9.140625" style="140"/>
    <col min="15391" max="15391" width="9.5703125" style="140" bestFit="1" customWidth="1"/>
    <col min="15392" max="15630" width="9.140625" style="140"/>
    <col min="15631" max="15631" width="3.7109375" style="140" customWidth="1"/>
    <col min="15632" max="15632" width="20.7109375" style="140" customWidth="1"/>
    <col min="15633" max="15633" width="6.7109375" style="140" customWidth="1"/>
    <col min="15634" max="15640" width="3.7109375" style="140" customWidth="1"/>
    <col min="15641" max="15641" width="8.7109375" style="140" customWidth="1"/>
    <col min="15642" max="15642" width="9.7109375" style="140" customWidth="1"/>
    <col min="15643" max="15643" width="12.7109375" style="140" customWidth="1"/>
    <col min="15644" max="15645" width="14.7109375" style="140" customWidth="1"/>
    <col min="15646" max="15646" width="9.140625" style="140"/>
    <col min="15647" max="15647" width="9.5703125" style="140" bestFit="1" customWidth="1"/>
    <col min="15648" max="15886" width="9.140625" style="140"/>
    <col min="15887" max="15887" width="3.7109375" style="140" customWidth="1"/>
    <col min="15888" max="15888" width="20.7109375" style="140" customWidth="1"/>
    <col min="15889" max="15889" width="6.7109375" style="140" customWidth="1"/>
    <col min="15890" max="15896" width="3.7109375" style="140" customWidth="1"/>
    <col min="15897" max="15897" width="8.7109375" style="140" customWidth="1"/>
    <col min="15898" max="15898" width="9.7109375" style="140" customWidth="1"/>
    <col min="15899" max="15899" width="12.7109375" style="140" customWidth="1"/>
    <col min="15900" max="15901" width="14.7109375" style="140" customWidth="1"/>
    <col min="15902" max="15902" width="9.140625" style="140"/>
    <col min="15903" max="15903" width="9.5703125" style="140" bestFit="1" customWidth="1"/>
    <col min="15904" max="16142" width="9.140625" style="140"/>
    <col min="16143" max="16143" width="3.7109375" style="140" customWidth="1"/>
    <col min="16144" max="16144" width="20.7109375" style="140" customWidth="1"/>
    <col min="16145" max="16145" width="6.7109375" style="140" customWidth="1"/>
    <col min="16146" max="16152" width="3.7109375" style="140" customWidth="1"/>
    <col min="16153" max="16153" width="8.7109375" style="140" customWidth="1"/>
    <col min="16154" max="16154" width="9.7109375" style="140" customWidth="1"/>
    <col min="16155" max="16155" width="12.7109375" style="140" customWidth="1"/>
    <col min="16156" max="16157" width="14.7109375" style="140" customWidth="1"/>
    <col min="16158" max="16158" width="9.140625" style="140"/>
    <col min="16159" max="16159" width="9.5703125" style="140" bestFit="1" customWidth="1"/>
    <col min="16160" max="16383" width="9.140625" style="140"/>
    <col min="16384" max="16384" width="9.140625" style="140" customWidth="1"/>
  </cols>
  <sheetData>
    <row r="1" spans="1:41" s="177" customFormat="1" ht="24.95" customHeight="1" x14ac:dyDescent="0.25">
      <c r="A1" s="176"/>
      <c r="B1" s="726" t="s">
        <v>6</v>
      </c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T1" s="726"/>
      <c r="U1" s="726"/>
      <c r="V1" s="726"/>
      <c r="W1" s="726"/>
      <c r="X1" s="726"/>
      <c r="Y1" s="726"/>
      <c r="Z1" s="726"/>
      <c r="AA1" s="726"/>
      <c r="AB1" s="726"/>
      <c r="AC1" s="726"/>
      <c r="AE1" s="178"/>
      <c r="AF1" s="749" t="s">
        <v>23</v>
      </c>
      <c r="AG1" s="750"/>
    </row>
    <row r="2" spans="1:41" s="177" customFormat="1" ht="24.95" customHeight="1" x14ac:dyDescent="0.25">
      <c r="A2" s="176"/>
      <c r="B2" s="726" t="str">
        <f>'BKU 1'!$D$22</f>
        <v>PEMBANGUNAN TOILET BESERTA SANITASINYA</v>
      </c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E2" s="178"/>
      <c r="AF2" s="751"/>
      <c r="AG2" s="752"/>
    </row>
    <row r="3" spans="1:41" s="184" customFormat="1" ht="30.75" customHeight="1" thickBot="1" x14ac:dyDescent="0.3">
      <c r="A3" s="179"/>
      <c r="B3" s="180"/>
      <c r="C3" s="181"/>
      <c r="D3" s="181"/>
      <c r="E3" s="181"/>
      <c r="F3" s="182"/>
      <c r="G3" s="182"/>
      <c r="H3" s="183"/>
      <c r="I3" s="183"/>
      <c r="J3" s="182"/>
      <c r="K3" s="182"/>
      <c r="L3" s="183"/>
      <c r="M3" s="183"/>
      <c r="N3" s="182"/>
      <c r="O3" s="182"/>
      <c r="P3" s="182"/>
      <c r="Q3" s="182"/>
      <c r="R3" s="182"/>
      <c r="S3" s="182"/>
      <c r="T3" s="181"/>
      <c r="U3" s="181"/>
      <c r="V3" s="181"/>
      <c r="X3" s="181"/>
      <c r="AA3" s="180"/>
      <c r="AB3" s="140"/>
      <c r="AC3" s="185"/>
      <c r="AE3" s="186"/>
      <c r="AF3" s="753"/>
      <c r="AG3" s="754"/>
    </row>
    <row r="4" spans="1:41" s="184" customFormat="1" ht="14.25" x14ac:dyDescent="0.25">
      <c r="A4" s="179"/>
      <c r="B4" s="185" t="s">
        <v>7</v>
      </c>
      <c r="D4" s="184" t="s">
        <v>49</v>
      </c>
      <c r="E4" s="184" t="str">
        <f>'BKU 1'!$D$25</f>
        <v>SDN 1 SIDODADI</v>
      </c>
      <c r="F4" s="140"/>
      <c r="G4" s="140"/>
      <c r="H4" s="183"/>
      <c r="I4" s="183"/>
      <c r="J4" s="182"/>
      <c r="K4" s="182"/>
      <c r="L4" s="183"/>
      <c r="M4" s="183"/>
      <c r="N4" s="187"/>
      <c r="O4" s="187"/>
      <c r="P4" s="187"/>
      <c r="Q4" s="187"/>
      <c r="R4" s="187"/>
      <c r="S4" s="187"/>
      <c r="T4" s="188"/>
      <c r="U4" s="188"/>
      <c r="V4" s="188"/>
      <c r="X4" s="188"/>
      <c r="AA4" s="180"/>
      <c r="AB4" s="189" t="s">
        <v>8</v>
      </c>
      <c r="AC4" s="185"/>
      <c r="AE4" s="186"/>
      <c r="AF4" s="186"/>
    </row>
    <row r="5" spans="1:41" s="184" customFormat="1" x14ac:dyDescent="0.25">
      <c r="A5" s="179"/>
      <c r="B5" s="185" t="s">
        <v>9</v>
      </c>
      <c r="D5" s="184" t="s">
        <v>49</v>
      </c>
      <c r="E5" s="184" t="str">
        <f>'BKU 1'!$D$26</f>
        <v>Jl. Kawi No.36 Rt. 1 Rw. 1 Dusun Sekar, Rt / Rw : 1 / 1, Dusun : Sekar, Kelurahan : Sidodadi</v>
      </c>
      <c r="F5" s="140"/>
      <c r="G5" s="140"/>
      <c r="H5" s="190"/>
      <c r="I5" s="190"/>
      <c r="J5" s="191"/>
      <c r="K5" s="191"/>
      <c r="L5" s="190"/>
      <c r="M5" s="190"/>
      <c r="N5" s="140"/>
      <c r="O5" s="140"/>
      <c r="P5" s="140"/>
      <c r="Q5" s="140"/>
      <c r="R5" s="140"/>
      <c r="S5" s="140"/>
      <c r="AA5" s="180"/>
      <c r="AB5" s="140" t="s">
        <v>10</v>
      </c>
      <c r="AC5" s="185" t="s">
        <v>11</v>
      </c>
      <c r="AE5" s="186"/>
      <c r="AF5" s="186"/>
    </row>
    <row r="6" spans="1:41" s="184" customFormat="1" x14ac:dyDescent="0.25">
      <c r="A6" s="179"/>
      <c r="B6" s="185" t="s">
        <v>12</v>
      </c>
      <c r="D6" s="184" t="s">
        <v>49</v>
      </c>
      <c r="E6" s="180">
        <v>1</v>
      </c>
      <c r="F6" s="140"/>
      <c r="G6" s="140"/>
      <c r="H6" s="727">
        <f>IFERROR(VLOOKUP(E6,'Rekap Gaji'!$B$12:$P$32,14,FALSE),"-")</f>
        <v>0</v>
      </c>
      <c r="I6" s="727"/>
      <c r="J6" s="727"/>
      <c r="K6" s="727"/>
      <c r="L6" s="727"/>
      <c r="M6" s="191"/>
      <c r="N6" s="140"/>
      <c r="O6" s="140"/>
      <c r="P6" s="140"/>
      <c r="Q6" s="140"/>
      <c r="R6" s="140"/>
      <c r="S6" s="140"/>
      <c r="AA6" s="180"/>
      <c r="AB6" s="140" t="s">
        <v>13</v>
      </c>
      <c r="AC6" s="185" t="s">
        <v>14</v>
      </c>
      <c r="AE6" s="186"/>
      <c r="AF6" s="186"/>
    </row>
    <row r="7" spans="1:41" s="184" customFormat="1" ht="15" customHeight="1" x14ac:dyDescent="0.25">
      <c r="A7" s="179"/>
      <c r="B7" s="185" t="s">
        <v>0</v>
      </c>
      <c r="D7" s="184" t="s">
        <v>49</v>
      </c>
      <c r="E7" s="728">
        <f>IFERROR(VLOOKUP(E6,'Rekap Gaji'!$B$12:$P$32,4,FALSE),"-")</f>
        <v>45901</v>
      </c>
      <c r="F7" s="728"/>
      <c r="G7" s="728"/>
      <c r="H7" s="728"/>
      <c r="I7" s="728"/>
      <c r="J7" s="728"/>
      <c r="K7" s="339"/>
      <c r="L7" s="727" t="s">
        <v>76</v>
      </c>
      <c r="M7" s="727"/>
      <c r="N7" s="727"/>
      <c r="O7" s="191"/>
      <c r="P7" s="728">
        <f>IFERROR(VLOOKUP(E6,'Rekap Gaji'!$B$12:$P$32,6,FALSE),"-")</f>
        <v>45906</v>
      </c>
      <c r="Q7" s="728"/>
      <c r="R7" s="728"/>
      <c r="S7" s="728"/>
      <c r="T7" s="728"/>
      <c r="U7" s="728"/>
      <c r="V7" s="728"/>
      <c r="AA7" s="180"/>
      <c r="AB7" s="140" t="s">
        <v>15</v>
      </c>
      <c r="AC7" s="185" t="s">
        <v>16</v>
      </c>
      <c r="AE7" s="186"/>
      <c r="AF7" s="186"/>
    </row>
    <row r="8" spans="1:41" s="188" customFormat="1" ht="8.1" customHeight="1" thickBot="1" x14ac:dyDescent="0.3">
      <c r="A8" s="192"/>
      <c r="B8" s="193"/>
      <c r="F8" s="189"/>
      <c r="G8" s="189"/>
      <c r="H8" s="194"/>
      <c r="I8" s="194"/>
      <c r="J8" s="195"/>
      <c r="K8" s="195"/>
      <c r="L8" s="194"/>
      <c r="M8" s="194"/>
      <c r="N8" s="189"/>
      <c r="O8" s="189"/>
      <c r="P8" s="189"/>
      <c r="Q8" s="189"/>
      <c r="R8" s="189"/>
      <c r="S8" s="189"/>
      <c r="AA8" s="193"/>
      <c r="AB8" s="189"/>
      <c r="AC8" s="196"/>
      <c r="AE8" s="197"/>
      <c r="AF8" s="197"/>
    </row>
    <row r="9" spans="1:41" s="343" customFormat="1" ht="15" customHeight="1" x14ac:dyDescent="0.25">
      <c r="A9" s="340"/>
      <c r="B9" s="744" t="s">
        <v>17</v>
      </c>
      <c r="C9" s="735" t="s">
        <v>18</v>
      </c>
      <c r="D9" s="747"/>
      <c r="E9" s="342" t="s">
        <v>19</v>
      </c>
      <c r="F9" s="714" t="s">
        <v>20</v>
      </c>
      <c r="G9" s="715"/>
      <c r="H9" s="715"/>
      <c r="I9" s="715"/>
      <c r="J9" s="715"/>
      <c r="K9" s="715"/>
      <c r="L9" s="715"/>
      <c r="M9" s="715"/>
      <c r="N9" s="715"/>
      <c r="O9" s="715"/>
      <c r="P9" s="715"/>
      <c r="Q9" s="715"/>
      <c r="R9" s="715"/>
      <c r="S9" s="716"/>
      <c r="T9" s="341" t="s">
        <v>2</v>
      </c>
      <c r="U9" s="341" t="s">
        <v>474</v>
      </c>
      <c r="V9" s="735" t="s">
        <v>21</v>
      </c>
      <c r="W9" s="747"/>
      <c r="X9" s="735" t="s">
        <v>21</v>
      </c>
      <c r="Y9" s="747"/>
      <c r="Z9" s="735" t="s">
        <v>22</v>
      </c>
      <c r="AA9" s="747"/>
      <c r="AB9" s="735" t="s">
        <v>23</v>
      </c>
      <c r="AC9" s="736"/>
      <c r="AD9" s="709"/>
      <c r="AE9" s="344"/>
      <c r="AF9" s="344"/>
    </row>
    <row r="10" spans="1:41" s="343" customFormat="1" ht="28.9" customHeight="1" x14ac:dyDescent="0.25">
      <c r="A10" s="340"/>
      <c r="B10" s="745"/>
      <c r="C10" s="737"/>
      <c r="D10" s="743"/>
      <c r="E10" s="346" t="s">
        <v>24</v>
      </c>
      <c r="F10" s="741" t="s">
        <v>25</v>
      </c>
      <c r="G10" s="347" t="s">
        <v>475</v>
      </c>
      <c r="H10" s="741" t="s">
        <v>26</v>
      </c>
      <c r="I10" s="347" t="s">
        <v>475</v>
      </c>
      <c r="J10" s="741" t="s">
        <v>26</v>
      </c>
      <c r="K10" s="347" t="s">
        <v>475</v>
      </c>
      <c r="L10" s="741" t="s">
        <v>27</v>
      </c>
      <c r="M10" s="347" t="s">
        <v>475</v>
      </c>
      <c r="N10" s="741" t="s">
        <v>28</v>
      </c>
      <c r="O10" s="347" t="s">
        <v>475</v>
      </c>
      <c r="P10" s="741" t="s">
        <v>29</v>
      </c>
      <c r="Q10" s="347" t="s">
        <v>475</v>
      </c>
      <c r="R10" s="741" t="s">
        <v>26</v>
      </c>
      <c r="S10" s="347" t="s">
        <v>475</v>
      </c>
      <c r="T10" s="345" t="s">
        <v>30</v>
      </c>
      <c r="U10" s="345" t="s">
        <v>476</v>
      </c>
      <c r="V10" s="737" t="s">
        <v>455</v>
      </c>
      <c r="W10" s="743"/>
      <c r="X10" s="737" t="s">
        <v>477</v>
      </c>
      <c r="Y10" s="743"/>
      <c r="Z10" s="737" t="s">
        <v>31</v>
      </c>
      <c r="AA10" s="743"/>
      <c r="AB10" s="737"/>
      <c r="AC10" s="738"/>
      <c r="AD10" s="709"/>
      <c r="AE10" s="344"/>
      <c r="AF10" s="344"/>
    </row>
    <row r="11" spans="1:41" s="343" customFormat="1" ht="15" customHeight="1" thickBot="1" x14ac:dyDescent="0.3">
      <c r="A11" s="340"/>
      <c r="B11" s="746"/>
      <c r="C11" s="739"/>
      <c r="D11" s="748"/>
      <c r="E11" s="349" t="s">
        <v>32</v>
      </c>
      <c r="F11" s="742"/>
      <c r="G11" s="350" t="s">
        <v>478</v>
      </c>
      <c r="H11" s="742"/>
      <c r="I11" s="350" t="s">
        <v>478</v>
      </c>
      <c r="J11" s="742"/>
      <c r="K11" s="350" t="s">
        <v>478</v>
      </c>
      <c r="L11" s="742"/>
      <c r="M11" s="350" t="s">
        <v>478</v>
      </c>
      <c r="N11" s="742"/>
      <c r="O11" s="350" t="s">
        <v>478</v>
      </c>
      <c r="P11" s="742"/>
      <c r="Q11" s="350" t="s">
        <v>478</v>
      </c>
      <c r="R11" s="742"/>
      <c r="S11" s="350" t="s">
        <v>478</v>
      </c>
      <c r="T11" s="348" t="s">
        <v>31</v>
      </c>
      <c r="U11" s="348" t="s">
        <v>479</v>
      </c>
      <c r="V11" s="739" t="s">
        <v>33</v>
      </c>
      <c r="W11" s="748"/>
      <c r="X11" s="739" t="s">
        <v>33</v>
      </c>
      <c r="Y11" s="748"/>
      <c r="Z11" s="739" t="s">
        <v>34</v>
      </c>
      <c r="AA11" s="748"/>
      <c r="AB11" s="739"/>
      <c r="AC11" s="740"/>
      <c r="AE11" s="344"/>
      <c r="AF11" s="344"/>
    </row>
    <row r="12" spans="1:41" ht="24.95" customHeight="1" x14ac:dyDescent="0.25">
      <c r="B12" s="201">
        <v>1</v>
      </c>
      <c r="C12" s="202" t="s">
        <v>530</v>
      </c>
      <c r="D12" s="203"/>
      <c r="E12" s="204" t="s">
        <v>35</v>
      </c>
      <c r="F12" s="205" t="s">
        <v>36</v>
      </c>
      <c r="G12" s="205"/>
      <c r="H12" s="205" t="s">
        <v>37</v>
      </c>
      <c r="I12" s="205"/>
      <c r="J12" s="205" t="s">
        <v>37</v>
      </c>
      <c r="K12" s="205"/>
      <c r="L12" s="205" t="s">
        <v>37</v>
      </c>
      <c r="M12" s="205"/>
      <c r="N12" s="205" t="s">
        <v>37</v>
      </c>
      <c r="O12" s="205"/>
      <c r="P12" s="205" t="s">
        <v>37</v>
      </c>
      <c r="Q12" s="205"/>
      <c r="R12" s="205" t="s">
        <v>37</v>
      </c>
      <c r="S12" s="205"/>
      <c r="T12" s="206">
        <f>SUM(AI12:AO12)</f>
        <v>6</v>
      </c>
      <c r="U12" s="206">
        <f>SUM(F12:S12)</f>
        <v>0</v>
      </c>
      <c r="V12" s="207" t="str">
        <f>IF(W12&gt;0,"Rp",IF(W12=0," "))</f>
        <v>Rp</v>
      </c>
      <c r="W12" s="208">
        <v>135000</v>
      </c>
      <c r="X12" s="207" t="str">
        <f>IF(Y12&gt;0,"Rp",IF(Y12=0," "))</f>
        <v>Rp</v>
      </c>
      <c r="Y12" s="208">
        <v>20000</v>
      </c>
      <c r="Z12" s="207" t="str">
        <f>IF(AA12&gt;0,"Rp",IF(AA12=0," "))</f>
        <v>Rp</v>
      </c>
      <c r="AA12" s="208">
        <f>W12*T12+U12*Y12</f>
        <v>810000</v>
      </c>
      <c r="AB12" s="209">
        <v>1</v>
      </c>
      <c r="AC12" s="210"/>
      <c r="AE12" s="211"/>
      <c r="AF12" s="211"/>
      <c r="AI12" s="211">
        <f>IFERROR(IF(F12="V",1,IF(F12="X",0))," ")</f>
        <v>0</v>
      </c>
      <c r="AJ12" s="211">
        <f>IFERROR(IF(H12="V",1,IF(H12="X",0))," ")</f>
        <v>1</v>
      </c>
      <c r="AK12" s="211">
        <f>IFERROR(IF(J12="V",1,IF(J12="X",0))," ")</f>
        <v>1</v>
      </c>
      <c r="AL12" s="211">
        <f>IFERROR(IF(L12="V",1,IF(L12="X",0))," ")</f>
        <v>1</v>
      </c>
      <c r="AM12" s="211">
        <f>IFERROR(IF(N12="V",1,IF(N12="X",0))," ")</f>
        <v>1</v>
      </c>
      <c r="AN12" s="211">
        <f>IFERROR(IF(P12="V",1,IF(P12="X",0))," ")</f>
        <v>1</v>
      </c>
      <c r="AO12" s="211">
        <f>IFERROR(IF(R12="V",1,IF(R12="X",0))," ")</f>
        <v>1</v>
      </c>
    </row>
    <row r="13" spans="1:41" ht="24.95" customHeight="1" x14ac:dyDescent="0.25">
      <c r="B13" s="212">
        <v>2</v>
      </c>
      <c r="C13" s="202" t="s">
        <v>494</v>
      </c>
      <c r="D13" s="213"/>
      <c r="E13" s="214" t="s">
        <v>38</v>
      </c>
      <c r="F13" s="215" t="s">
        <v>36</v>
      </c>
      <c r="G13" s="215"/>
      <c r="H13" s="215" t="s">
        <v>37</v>
      </c>
      <c r="I13" s="215"/>
      <c r="J13" s="215" t="s">
        <v>37</v>
      </c>
      <c r="K13" s="215"/>
      <c r="L13" s="215" t="s">
        <v>37</v>
      </c>
      <c r="M13" s="215"/>
      <c r="N13" s="215" t="s">
        <v>37</v>
      </c>
      <c r="O13" s="215"/>
      <c r="P13" s="215" t="s">
        <v>37</v>
      </c>
      <c r="Q13" s="215"/>
      <c r="R13" s="215" t="s">
        <v>37</v>
      </c>
      <c r="S13" s="215"/>
      <c r="T13" s="216">
        <f t="shared" ref="T13:T23" si="0">SUM(AI13:AO13)</f>
        <v>6</v>
      </c>
      <c r="U13" s="351">
        <f t="shared" ref="U13:U18" si="1">SUM(F13:S13)</f>
        <v>0</v>
      </c>
      <c r="V13" s="217" t="str">
        <f t="shared" ref="V13:V18" si="2">IF(W13&gt;0,"Rp",IF(W13=0," "))</f>
        <v>Rp</v>
      </c>
      <c r="W13" s="218">
        <v>125000</v>
      </c>
      <c r="X13" s="217" t="str">
        <f t="shared" ref="X13:X20" si="3">IF(Y13&gt;0,"Rp",IF(Y13=0," "))</f>
        <v>Rp</v>
      </c>
      <c r="Y13" s="218">
        <v>15000</v>
      </c>
      <c r="Z13" s="217" t="str">
        <f t="shared" ref="Z13:Z23" si="4">IF(AA13&gt;0,"Rp",IF(AA13=0," "))</f>
        <v>Rp</v>
      </c>
      <c r="AA13" s="219">
        <f t="shared" ref="AA13:AA23" si="5">W13*T13+U13*Y13</f>
        <v>750000</v>
      </c>
      <c r="AB13" s="220"/>
      <c r="AC13" s="221">
        <v>2</v>
      </c>
      <c r="AE13" s="211"/>
      <c r="AF13" s="211"/>
      <c r="AI13" s="211">
        <f t="shared" ref="AI13:AI23" si="6">IFERROR(IF(F13="V",1,IF(F13="X",0))," ")</f>
        <v>0</v>
      </c>
      <c r="AJ13" s="211">
        <f t="shared" ref="AJ13:AJ23" si="7">IFERROR(IF(H13="V",1,IF(H13="X",0))," ")</f>
        <v>1</v>
      </c>
      <c r="AK13" s="211">
        <f t="shared" ref="AK13:AK23" si="8">IFERROR(IF(J13="V",1,IF(J13="X",0))," ")</f>
        <v>1</v>
      </c>
      <c r="AL13" s="211">
        <f t="shared" ref="AL13:AL23" si="9">IFERROR(IF(L13="V",1,IF(L13="X",0))," ")</f>
        <v>1</v>
      </c>
      <c r="AM13" s="211">
        <f t="shared" ref="AM13:AM23" si="10">IFERROR(IF(N13="V",1,IF(N13="X",0))," ")</f>
        <v>1</v>
      </c>
      <c r="AN13" s="211">
        <f t="shared" ref="AN13:AN23" si="11">IFERROR(IF(P13="V",1,IF(P13="X",0))," ")</f>
        <v>1</v>
      </c>
      <c r="AO13" s="211">
        <f t="shared" ref="AO13:AO23" si="12">IFERROR(IF(R13="V",1,IF(R13="X",0))," ")</f>
        <v>1</v>
      </c>
    </row>
    <row r="14" spans="1:41" ht="24.95" customHeight="1" x14ac:dyDescent="0.25">
      <c r="B14" s="212">
        <v>3</v>
      </c>
      <c r="C14" s="202" t="s">
        <v>492</v>
      </c>
      <c r="D14" s="213"/>
      <c r="E14" s="214" t="s">
        <v>38</v>
      </c>
      <c r="F14" s="215" t="s">
        <v>36</v>
      </c>
      <c r="G14" s="215"/>
      <c r="H14" s="215" t="s">
        <v>37</v>
      </c>
      <c r="I14" s="215"/>
      <c r="J14" s="215" t="s">
        <v>37</v>
      </c>
      <c r="K14" s="215"/>
      <c r="L14" s="215" t="s">
        <v>37</v>
      </c>
      <c r="M14" s="215"/>
      <c r="N14" s="215" t="s">
        <v>37</v>
      </c>
      <c r="O14" s="215"/>
      <c r="P14" s="215" t="s">
        <v>37</v>
      </c>
      <c r="Q14" s="215"/>
      <c r="R14" s="215" t="s">
        <v>37</v>
      </c>
      <c r="S14" s="215"/>
      <c r="T14" s="216">
        <f t="shared" si="0"/>
        <v>6</v>
      </c>
      <c r="U14" s="351">
        <f t="shared" si="1"/>
        <v>0</v>
      </c>
      <c r="V14" s="217" t="str">
        <f t="shared" si="2"/>
        <v>Rp</v>
      </c>
      <c r="W14" s="218">
        <f>+W13</f>
        <v>125000</v>
      </c>
      <c r="X14" s="217" t="str">
        <f t="shared" si="3"/>
        <v>Rp</v>
      </c>
      <c r="Y14" s="218">
        <f>+Y13</f>
        <v>15000</v>
      </c>
      <c r="Z14" s="217" t="str">
        <f t="shared" si="4"/>
        <v>Rp</v>
      </c>
      <c r="AA14" s="219">
        <f t="shared" si="5"/>
        <v>750000</v>
      </c>
      <c r="AB14" s="222">
        <v>3</v>
      </c>
      <c r="AC14" s="221"/>
      <c r="AE14" s="211"/>
      <c r="AF14" s="211"/>
      <c r="AI14" s="211">
        <f t="shared" si="6"/>
        <v>0</v>
      </c>
      <c r="AJ14" s="211">
        <f t="shared" si="7"/>
        <v>1</v>
      </c>
      <c r="AK14" s="211">
        <f t="shared" si="8"/>
        <v>1</v>
      </c>
      <c r="AL14" s="211">
        <f t="shared" si="9"/>
        <v>1</v>
      </c>
      <c r="AM14" s="211">
        <f t="shared" si="10"/>
        <v>1</v>
      </c>
      <c r="AN14" s="211">
        <f t="shared" si="11"/>
        <v>1</v>
      </c>
      <c r="AO14" s="211">
        <f t="shared" si="12"/>
        <v>1</v>
      </c>
    </row>
    <row r="15" spans="1:41" ht="24.95" customHeight="1" x14ac:dyDescent="0.25">
      <c r="B15" s="212">
        <v>4</v>
      </c>
      <c r="C15" s="202" t="s">
        <v>493</v>
      </c>
      <c r="D15" s="213"/>
      <c r="E15" s="214" t="s">
        <v>38</v>
      </c>
      <c r="F15" s="215" t="s">
        <v>36</v>
      </c>
      <c r="G15" s="215"/>
      <c r="H15" s="215" t="s">
        <v>36</v>
      </c>
      <c r="I15" s="215"/>
      <c r="J15" s="215" t="s">
        <v>36</v>
      </c>
      <c r="K15" s="215"/>
      <c r="L15" s="215" t="s">
        <v>37</v>
      </c>
      <c r="M15" s="215"/>
      <c r="N15" s="215" t="s">
        <v>37</v>
      </c>
      <c r="O15" s="215"/>
      <c r="P15" s="215" t="s">
        <v>37</v>
      </c>
      <c r="Q15" s="215"/>
      <c r="R15" s="215" t="s">
        <v>37</v>
      </c>
      <c r="S15" s="215"/>
      <c r="T15" s="216">
        <f t="shared" si="0"/>
        <v>4</v>
      </c>
      <c r="U15" s="351">
        <f t="shared" si="1"/>
        <v>0</v>
      </c>
      <c r="V15" s="217" t="str">
        <f t="shared" si="2"/>
        <v>Rp</v>
      </c>
      <c r="W15" s="218">
        <f>W14</f>
        <v>125000</v>
      </c>
      <c r="X15" s="217" t="str">
        <f t="shared" si="3"/>
        <v>Rp</v>
      </c>
      <c r="Y15" s="218">
        <f>+Y14</f>
        <v>15000</v>
      </c>
      <c r="Z15" s="217" t="str">
        <f t="shared" si="4"/>
        <v>Rp</v>
      </c>
      <c r="AA15" s="219">
        <f t="shared" si="5"/>
        <v>500000</v>
      </c>
      <c r="AB15" s="222"/>
      <c r="AC15" s="223">
        <v>4</v>
      </c>
      <c r="AE15" s="211"/>
      <c r="AF15" s="211"/>
      <c r="AI15" s="211">
        <f t="shared" si="6"/>
        <v>0</v>
      </c>
      <c r="AJ15" s="211">
        <f t="shared" si="7"/>
        <v>0</v>
      </c>
      <c r="AK15" s="211">
        <f t="shared" si="8"/>
        <v>0</v>
      </c>
      <c r="AL15" s="211">
        <f t="shared" si="9"/>
        <v>1</v>
      </c>
      <c r="AM15" s="211">
        <f t="shared" si="10"/>
        <v>1</v>
      </c>
      <c r="AN15" s="211">
        <f t="shared" si="11"/>
        <v>1</v>
      </c>
      <c r="AO15" s="211">
        <f t="shared" si="12"/>
        <v>1</v>
      </c>
    </row>
    <row r="16" spans="1:41" ht="24.95" customHeight="1" x14ac:dyDescent="0.25">
      <c r="B16" s="212">
        <v>5</v>
      </c>
      <c r="C16" s="202" t="s">
        <v>495</v>
      </c>
      <c r="D16" s="213"/>
      <c r="E16" s="214" t="s">
        <v>39</v>
      </c>
      <c r="F16" s="215" t="s">
        <v>36</v>
      </c>
      <c r="G16" s="215"/>
      <c r="H16" s="215" t="s">
        <v>37</v>
      </c>
      <c r="I16" s="215"/>
      <c r="J16" s="215" t="s">
        <v>37</v>
      </c>
      <c r="K16" s="215"/>
      <c r="L16" s="215" t="s">
        <v>37</v>
      </c>
      <c r="M16" s="215"/>
      <c r="N16" s="215" t="s">
        <v>37</v>
      </c>
      <c r="O16" s="215"/>
      <c r="P16" s="215" t="s">
        <v>37</v>
      </c>
      <c r="Q16" s="215"/>
      <c r="R16" s="215" t="s">
        <v>36</v>
      </c>
      <c r="S16" s="215"/>
      <c r="T16" s="216">
        <f t="shared" si="0"/>
        <v>5</v>
      </c>
      <c r="U16" s="351">
        <f t="shared" si="1"/>
        <v>0</v>
      </c>
      <c r="V16" s="217" t="str">
        <f t="shared" si="2"/>
        <v>Rp</v>
      </c>
      <c r="W16" s="218">
        <v>115000</v>
      </c>
      <c r="X16" s="217" t="str">
        <f t="shared" si="3"/>
        <v>Rp</v>
      </c>
      <c r="Y16" s="218">
        <v>10000</v>
      </c>
      <c r="Z16" s="217" t="str">
        <f t="shared" si="4"/>
        <v>Rp</v>
      </c>
      <c r="AA16" s="219">
        <f t="shared" si="5"/>
        <v>575000</v>
      </c>
      <c r="AB16" s="222">
        <v>5</v>
      </c>
      <c r="AC16" s="221"/>
      <c r="AE16" s="211"/>
      <c r="AF16" s="211"/>
      <c r="AI16" s="211">
        <f t="shared" si="6"/>
        <v>0</v>
      </c>
      <c r="AJ16" s="211">
        <f t="shared" si="7"/>
        <v>1</v>
      </c>
      <c r="AK16" s="211">
        <f t="shared" si="8"/>
        <v>1</v>
      </c>
      <c r="AL16" s="211">
        <f t="shared" si="9"/>
        <v>1</v>
      </c>
      <c r="AM16" s="211">
        <f t="shared" si="10"/>
        <v>1</v>
      </c>
      <c r="AN16" s="211">
        <f t="shared" si="11"/>
        <v>1</v>
      </c>
      <c r="AO16" s="211">
        <f t="shared" si="12"/>
        <v>0</v>
      </c>
    </row>
    <row r="17" spans="1:41" ht="24.95" customHeight="1" x14ac:dyDescent="0.25">
      <c r="B17" s="212">
        <v>6</v>
      </c>
      <c r="C17" s="202" t="s">
        <v>496</v>
      </c>
      <c r="D17" s="213"/>
      <c r="E17" s="214" t="s">
        <v>39</v>
      </c>
      <c r="F17" s="215" t="s">
        <v>36</v>
      </c>
      <c r="G17" s="215"/>
      <c r="H17" s="215" t="s">
        <v>37</v>
      </c>
      <c r="I17" s="215"/>
      <c r="J17" s="215" t="s">
        <v>37</v>
      </c>
      <c r="K17" s="215"/>
      <c r="L17" s="215" t="s">
        <v>37</v>
      </c>
      <c r="M17" s="215"/>
      <c r="N17" s="215" t="s">
        <v>37</v>
      </c>
      <c r="O17" s="215"/>
      <c r="P17" s="215" t="s">
        <v>37</v>
      </c>
      <c r="Q17" s="215"/>
      <c r="R17" s="215" t="s">
        <v>37</v>
      </c>
      <c r="S17" s="215"/>
      <c r="T17" s="216">
        <f>SUM(AI17:AO17)</f>
        <v>6</v>
      </c>
      <c r="U17" s="351">
        <f t="shared" si="1"/>
        <v>0</v>
      </c>
      <c r="V17" s="217" t="str">
        <f t="shared" si="2"/>
        <v>Rp</v>
      </c>
      <c r="W17" s="218">
        <f>+W16</f>
        <v>115000</v>
      </c>
      <c r="X17" s="217" t="str">
        <f t="shared" si="3"/>
        <v>Rp</v>
      </c>
      <c r="Y17" s="218">
        <f>+Y16</f>
        <v>10000</v>
      </c>
      <c r="Z17" s="217" t="str">
        <f t="shared" si="4"/>
        <v>Rp</v>
      </c>
      <c r="AA17" s="219">
        <f t="shared" si="5"/>
        <v>690000</v>
      </c>
      <c r="AB17" s="222"/>
      <c r="AC17" s="223">
        <v>6</v>
      </c>
      <c r="AE17" s="211"/>
      <c r="AF17" s="211"/>
      <c r="AI17" s="211">
        <f t="shared" si="6"/>
        <v>0</v>
      </c>
      <c r="AJ17" s="211">
        <f t="shared" si="7"/>
        <v>1</v>
      </c>
      <c r="AK17" s="211">
        <f t="shared" si="8"/>
        <v>1</v>
      </c>
      <c r="AL17" s="211">
        <f t="shared" si="9"/>
        <v>1</v>
      </c>
      <c r="AM17" s="211">
        <f t="shared" si="10"/>
        <v>1</v>
      </c>
      <c r="AN17" s="211">
        <f t="shared" si="11"/>
        <v>1</v>
      </c>
      <c r="AO17" s="211">
        <f t="shared" si="12"/>
        <v>1</v>
      </c>
    </row>
    <row r="18" spans="1:41" ht="24.95" customHeight="1" x14ac:dyDescent="0.25">
      <c r="B18" s="212">
        <v>7</v>
      </c>
      <c r="C18" s="202" t="s">
        <v>497</v>
      </c>
      <c r="D18" s="213"/>
      <c r="E18" s="214" t="s">
        <v>39</v>
      </c>
      <c r="F18" s="215" t="s">
        <v>36</v>
      </c>
      <c r="G18" s="215"/>
      <c r="H18" s="215" t="s">
        <v>36</v>
      </c>
      <c r="I18" s="215"/>
      <c r="J18" s="215" t="s">
        <v>36</v>
      </c>
      <c r="K18" s="215"/>
      <c r="L18" s="215" t="s">
        <v>37</v>
      </c>
      <c r="M18" s="215"/>
      <c r="N18" s="215" t="s">
        <v>37</v>
      </c>
      <c r="O18" s="215"/>
      <c r="P18" s="215" t="s">
        <v>37</v>
      </c>
      <c r="Q18" s="215"/>
      <c r="R18" s="215" t="s">
        <v>37</v>
      </c>
      <c r="S18" s="215"/>
      <c r="T18" s="216">
        <f>SUM(AI18:AO18)</f>
        <v>4</v>
      </c>
      <c r="U18" s="351">
        <f t="shared" si="1"/>
        <v>0</v>
      </c>
      <c r="V18" s="217" t="str">
        <f t="shared" si="2"/>
        <v>Rp</v>
      </c>
      <c r="W18" s="218">
        <f>+W17</f>
        <v>115000</v>
      </c>
      <c r="X18" s="217" t="str">
        <f t="shared" si="3"/>
        <v>Rp</v>
      </c>
      <c r="Y18" s="218">
        <f>+Y17</f>
        <v>10000</v>
      </c>
      <c r="Z18" s="217" t="str">
        <f t="shared" si="4"/>
        <v>Rp</v>
      </c>
      <c r="AA18" s="219">
        <f t="shared" si="5"/>
        <v>460000</v>
      </c>
      <c r="AB18" s="222">
        <v>7</v>
      </c>
      <c r="AC18" s="221"/>
      <c r="AE18" s="211"/>
      <c r="AF18" s="211"/>
      <c r="AI18" s="211">
        <f t="shared" si="6"/>
        <v>0</v>
      </c>
      <c r="AJ18" s="211">
        <f t="shared" si="7"/>
        <v>0</v>
      </c>
      <c r="AK18" s="211">
        <f t="shared" si="8"/>
        <v>0</v>
      </c>
      <c r="AL18" s="211">
        <f t="shared" si="9"/>
        <v>1</v>
      </c>
      <c r="AM18" s="211">
        <f t="shared" si="10"/>
        <v>1</v>
      </c>
      <c r="AN18" s="211">
        <f t="shared" si="11"/>
        <v>1</v>
      </c>
      <c r="AO18" s="211">
        <f t="shared" si="12"/>
        <v>1</v>
      </c>
    </row>
    <row r="19" spans="1:41" ht="24.95" customHeight="1" x14ac:dyDescent="0.25">
      <c r="B19" s="212">
        <v>8</v>
      </c>
      <c r="C19" s="202" t="s">
        <v>498</v>
      </c>
      <c r="D19" s="213"/>
      <c r="E19" s="214" t="s">
        <v>39</v>
      </c>
      <c r="F19" s="215" t="s">
        <v>36</v>
      </c>
      <c r="G19" s="215"/>
      <c r="H19" s="215" t="s">
        <v>37</v>
      </c>
      <c r="I19" s="215"/>
      <c r="J19" s="215" t="s">
        <v>37</v>
      </c>
      <c r="K19" s="215"/>
      <c r="L19" s="215" t="s">
        <v>37</v>
      </c>
      <c r="M19" s="215"/>
      <c r="N19" s="215" t="s">
        <v>37</v>
      </c>
      <c r="O19" s="215"/>
      <c r="P19" s="215" t="s">
        <v>36</v>
      </c>
      <c r="Q19" s="215"/>
      <c r="R19" s="215" t="s">
        <v>37</v>
      </c>
      <c r="S19" s="215"/>
      <c r="T19" s="216">
        <f>SUM(AI19:AO19)</f>
        <v>5</v>
      </c>
      <c r="U19" s="351">
        <f>SUM(F19:S19)</f>
        <v>0</v>
      </c>
      <c r="V19" s="217" t="str">
        <f>IF(W19&gt;0,"Rp",IF(W19=0," "))</f>
        <v>Rp</v>
      </c>
      <c r="W19" s="218">
        <f>+W18</f>
        <v>115000</v>
      </c>
      <c r="X19" s="217" t="str">
        <f t="shared" si="3"/>
        <v>Rp</v>
      </c>
      <c r="Y19" s="218">
        <f>+Y18</f>
        <v>10000</v>
      </c>
      <c r="Z19" s="217" t="str">
        <f t="shared" si="4"/>
        <v>Rp</v>
      </c>
      <c r="AA19" s="219">
        <f t="shared" si="5"/>
        <v>575000</v>
      </c>
      <c r="AB19" s="222"/>
      <c r="AC19" s="223">
        <v>8</v>
      </c>
      <c r="AE19" s="211"/>
      <c r="AF19" s="211"/>
      <c r="AI19" s="211">
        <f t="shared" si="6"/>
        <v>0</v>
      </c>
      <c r="AJ19" s="211">
        <f t="shared" si="7"/>
        <v>1</v>
      </c>
      <c r="AK19" s="211">
        <f t="shared" si="8"/>
        <v>1</v>
      </c>
      <c r="AL19" s="211">
        <f t="shared" si="9"/>
        <v>1</v>
      </c>
      <c r="AM19" s="211">
        <f t="shared" si="10"/>
        <v>1</v>
      </c>
      <c r="AN19" s="211">
        <f t="shared" si="11"/>
        <v>0</v>
      </c>
      <c r="AO19" s="211">
        <f t="shared" si="12"/>
        <v>1</v>
      </c>
    </row>
    <row r="20" spans="1:41" ht="24.95" customHeight="1" x14ac:dyDescent="0.25">
      <c r="B20" s="212">
        <v>9</v>
      </c>
      <c r="C20" s="202"/>
      <c r="D20" s="213"/>
      <c r="E20" s="214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6">
        <f>SUM(AI20:AO20)</f>
        <v>0</v>
      </c>
      <c r="U20" s="351">
        <f>SUM(F20:S20)</f>
        <v>0</v>
      </c>
      <c r="V20" s="217" t="str">
        <f>IF(W20&gt;0,"Rp",IF(W20=0," "))</f>
        <v xml:space="preserve"> </v>
      </c>
      <c r="W20" s="218"/>
      <c r="X20" s="217" t="str">
        <f t="shared" si="3"/>
        <v xml:space="preserve"> </v>
      </c>
      <c r="Y20" s="218"/>
      <c r="Z20" s="217" t="str">
        <f t="shared" si="4"/>
        <v xml:space="preserve"> </v>
      </c>
      <c r="AA20" s="219">
        <f t="shared" si="5"/>
        <v>0</v>
      </c>
      <c r="AB20" s="222"/>
      <c r="AC20" s="221"/>
      <c r="AE20" s="211"/>
      <c r="AF20" s="211"/>
      <c r="AI20" s="211" t="b">
        <f t="shared" si="6"/>
        <v>0</v>
      </c>
      <c r="AJ20" s="211" t="b">
        <f t="shared" si="7"/>
        <v>0</v>
      </c>
      <c r="AK20" s="211" t="b">
        <f t="shared" si="8"/>
        <v>0</v>
      </c>
      <c r="AL20" s="211" t="b">
        <f t="shared" si="9"/>
        <v>0</v>
      </c>
      <c r="AM20" s="211" t="b">
        <f t="shared" si="10"/>
        <v>0</v>
      </c>
      <c r="AN20" s="211" t="b">
        <f t="shared" si="11"/>
        <v>0</v>
      </c>
      <c r="AO20" s="211" t="b">
        <f t="shared" si="12"/>
        <v>0</v>
      </c>
    </row>
    <row r="21" spans="1:41" ht="24.95" customHeight="1" x14ac:dyDescent="0.25">
      <c r="B21" s="212">
        <v>10</v>
      </c>
      <c r="C21" s="202"/>
      <c r="D21" s="213"/>
      <c r="E21" s="214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6"/>
      <c r="U21" s="352"/>
      <c r="V21" s="217"/>
      <c r="W21" s="218"/>
      <c r="X21" s="217"/>
      <c r="Y21" s="218"/>
      <c r="Z21" s="217"/>
      <c r="AA21" s="219"/>
      <c r="AB21" s="222" t="str">
        <f>IF(AA21&gt;0,1,IF(AA21=0," "))</f>
        <v xml:space="preserve"> </v>
      </c>
      <c r="AC21" s="223"/>
      <c r="AE21" s="211"/>
      <c r="AF21" s="211"/>
      <c r="AI21" s="211" t="b">
        <f t="shared" si="6"/>
        <v>0</v>
      </c>
      <c r="AJ21" s="211" t="b">
        <f t="shared" si="7"/>
        <v>0</v>
      </c>
      <c r="AK21" s="211" t="b">
        <f t="shared" si="8"/>
        <v>0</v>
      </c>
      <c r="AL21" s="211" t="b">
        <f t="shared" si="9"/>
        <v>0</v>
      </c>
      <c r="AM21" s="211" t="b">
        <f t="shared" si="10"/>
        <v>0</v>
      </c>
      <c r="AN21" s="211" t="b">
        <f t="shared" si="11"/>
        <v>0</v>
      </c>
      <c r="AO21" s="211" t="b">
        <f t="shared" si="12"/>
        <v>0</v>
      </c>
    </row>
    <row r="22" spans="1:41" ht="24.95" customHeight="1" x14ac:dyDescent="0.25">
      <c r="B22" s="212">
        <v>11</v>
      </c>
      <c r="C22" s="202"/>
      <c r="D22" s="213"/>
      <c r="E22" s="214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6">
        <f t="shared" si="0"/>
        <v>0</v>
      </c>
      <c r="U22" s="216">
        <f>SUM(F22:S22)/6</f>
        <v>0</v>
      </c>
      <c r="V22" s="217"/>
      <c r="W22" s="218"/>
      <c r="X22" s="217" t="s">
        <v>454</v>
      </c>
      <c r="Y22" s="218"/>
      <c r="Z22" s="217" t="str">
        <f t="shared" si="4"/>
        <v xml:space="preserve"> </v>
      </c>
      <c r="AA22" s="219">
        <f t="shared" si="5"/>
        <v>0</v>
      </c>
      <c r="AB22" s="222" t="str">
        <f>IF(AA22&gt;0,1,IF(AA22=0," "))</f>
        <v xml:space="preserve"> </v>
      </c>
      <c r="AC22" s="221"/>
      <c r="AE22" s="211"/>
      <c r="AF22" s="211"/>
      <c r="AI22" s="211" t="b">
        <f t="shared" si="6"/>
        <v>0</v>
      </c>
      <c r="AJ22" s="211" t="b">
        <f t="shared" si="7"/>
        <v>0</v>
      </c>
      <c r="AK22" s="211" t="b">
        <f t="shared" si="8"/>
        <v>0</v>
      </c>
      <c r="AL22" s="211" t="b">
        <f t="shared" si="9"/>
        <v>0</v>
      </c>
      <c r="AM22" s="211" t="b">
        <f t="shared" si="10"/>
        <v>0</v>
      </c>
      <c r="AN22" s="211" t="b">
        <f t="shared" si="11"/>
        <v>0</v>
      </c>
      <c r="AO22" s="211" t="b">
        <f t="shared" si="12"/>
        <v>0</v>
      </c>
    </row>
    <row r="23" spans="1:41" ht="24.95" customHeight="1" x14ac:dyDescent="0.25">
      <c r="B23" s="212">
        <v>12</v>
      </c>
      <c r="C23" s="202"/>
      <c r="D23" s="213"/>
      <c r="E23" s="214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6">
        <f t="shared" si="0"/>
        <v>0</v>
      </c>
      <c r="U23" s="216">
        <f>SUM(F23:S23)/6</f>
        <v>0</v>
      </c>
      <c r="V23" s="217"/>
      <c r="W23" s="218"/>
      <c r="X23" s="217"/>
      <c r="Y23" s="218"/>
      <c r="Z23" s="217" t="str">
        <f t="shared" si="4"/>
        <v xml:space="preserve"> </v>
      </c>
      <c r="AA23" s="219">
        <f t="shared" si="5"/>
        <v>0</v>
      </c>
      <c r="AB23" s="222" t="str">
        <f>IF(AA23&gt;0,1,IF(AA23=0," "))</f>
        <v xml:space="preserve"> </v>
      </c>
      <c r="AC23" s="223"/>
      <c r="AE23" s="211"/>
      <c r="AF23" s="211"/>
      <c r="AI23" s="211" t="b">
        <f t="shared" si="6"/>
        <v>0</v>
      </c>
      <c r="AJ23" s="211" t="b">
        <f t="shared" si="7"/>
        <v>0</v>
      </c>
      <c r="AK23" s="211" t="b">
        <f t="shared" si="8"/>
        <v>0</v>
      </c>
      <c r="AL23" s="211" t="b">
        <f t="shared" si="9"/>
        <v>0</v>
      </c>
      <c r="AM23" s="211" t="b">
        <f t="shared" si="10"/>
        <v>0</v>
      </c>
      <c r="AN23" s="211" t="b">
        <f t="shared" si="11"/>
        <v>0</v>
      </c>
      <c r="AO23" s="211" t="b">
        <f t="shared" si="12"/>
        <v>0</v>
      </c>
    </row>
    <row r="24" spans="1:41" ht="24.95" customHeight="1" thickBot="1" x14ac:dyDescent="0.25">
      <c r="B24" s="233"/>
      <c r="C24" s="234"/>
      <c r="D24" s="235"/>
      <c r="E24" s="236"/>
      <c r="F24" s="237"/>
      <c r="G24" s="237"/>
      <c r="H24" s="238"/>
      <c r="I24" s="238"/>
      <c r="J24" s="239"/>
      <c r="K24" s="239"/>
      <c r="L24" s="239"/>
      <c r="M24" s="239"/>
      <c r="N24" s="240"/>
      <c r="O24" s="240"/>
      <c r="P24" s="240"/>
      <c r="Q24" s="240"/>
      <c r="R24" s="240"/>
      <c r="S24" s="240"/>
      <c r="T24" s="241"/>
      <c r="U24" s="241"/>
      <c r="V24" s="242"/>
      <c r="W24" s="243"/>
      <c r="X24" s="242"/>
      <c r="Y24" s="243"/>
      <c r="Z24" s="244"/>
      <c r="AA24" s="245"/>
      <c r="AB24" s="246"/>
      <c r="AC24" s="247"/>
      <c r="AE24" s="211"/>
      <c r="AF24" s="211"/>
    </row>
    <row r="25" spans="1:41" ht="20.100000000000001" customHeight="1" thickTop="1" thickBot="1" x14ac:dyDescent="0.3">
      <c r="A25" s="179">
        <v>1</v>
      </c>
      <c r="B25" s="248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50" t="s">
        <v>40</v>
      </c>
      <c r="X25" s="249"/>
      <c r="Y25" s="250" t="s">
        <v>40</v>
      </c>
      <c r="Z25" s="249"/>
      <c r="AA25" s="710">
        <f>SUM(AA12:AA24)</f>
        <v>5110000</v>
      </c>
      <c r="AB25" s="711"/>
      <c r="AC25" s="712"/>
      <c r="AE25" s="226" t="str">
        <f>VLOOKUP(A25,'Rekap Gaji'!$B$12:$P$32,10,FALSE)</f>
        <v xml:space="preserve"> 06 September 2025</v>
      </c>
      <c r="AF25" s="251" t="e">
        <f>AE25-AA25</f>
        <v>#VALUE!</v>
      </c>
    </row>
    <row r="26" spans="1:41" ht="11.25" customHeight="1" x14ac:dyDescent="0.25"/>
    <row r="27" spans="1:41" ht="16.5" customHeight="1" x14ac:dyDescent="0.25">
      <c r="B27" s="195" t="s">
        <v>41</v>
      </c>
      <c r="C27" s="140" t="s">
        <v>42</v>
      </c>
    </row>
    <row r="28" spans="1:41" ht="14.25" x14ac:dyDescent="0.25">
      <c r="H28" s="183"/>
      <c r="I28" s="183"/>
      <c r="J28" s="182"/>
      <c r="K28" s="182"/>
      <c r="T28" s="141"/>
      <c r="U28" s="141"/>
      <c r="V28" s="141"/>
      <c r="X28" s="141"/>
      <c r="AA28" s="190" t="str">
        <f>'BKU 1'!$I$25</f>
        <v>NGANTANG</v>
      </c>
      <c r="AB28" s="713">
        <f>IFERROR(VLOOKUP(E6,'Rekap Gaji'!$B$12:$P$32,7,FALSE),"-")</f>
        <v>45906</v>
      </c>
      <c r="AC28" s="713"/>
      <c r="AD28" s="252"/>
      <c r="AE28" s="252"/>
    </row>
    <row r="29" spans="1:41" ht="15.75" x14ac:dyDescent="0.25">
      <c r="C29" s="140" t="s">
        <v>43</v>
      </c>
      <c r="F29" s="253"/>
      <c r="G29" s="253"/>
      <c r="H29" s="254"/>
      <c r="I29" s="254"/>
      <c r="J29" s="255"/>
      <c r="K29" s="255"/>
      <c r="L29" s="256"/>
      <c r="M29" s="256"/>
      <c r="N29" s="225" t="s">
        <v>44</v>
      </c>
      <c r="O29" s="225"/>
      <c r="P29" s="253"/>
      <c r="Q29" s="253"/>
      <c r="T29" s="141"/>
      <c r="U29" s="141"/>
      <c r="V29" s="141"/>
      <c r="X29" s="141"/>
      <c r="AA29" s="140" t="str">
        <f>'BKU 1'!$L$354</f>
        <v>Dibuat Oleh ;</v>
      </c>
      <c r="AB29" s="141"/>
    </row>
    <row r="30" spans="1:41" ht="14.25" x14ac:dyDescent="0.25">
      <c r="C30" s="140" t="str">
        <f>'BKU 1'!$C$355</f>
        <v>Kepala Sekolah SDN 1 SIDODADI</v>
      </c>
      <c r="F30" s="187"/>
      <c r="G30" s="187"/>
      <c r="H30" s="224"/>
      <c r="I30" s="224"/>
      <c r="J30" s="182"/>
      <c r="K30" s="182"/>
      <c r="L30" s="183"/>
      <c r="M30" s="183"/>
      <c r="N30" s="140" t="s">
        <v>45</v>
      </c>
      <c r="P30" s="187"/>
      <c r="Q30" s="187"/>
      <c r="AA30" s="140" t="str">
        <f>'BKU 1'!$L$355</f>
        <v>Bendahara Pembangunan</v>
      </c>
      <c r="AB30" s="141"/>
    </row>
    <row r="31" spans="1:41" ht="14.25" x14ac:dyDescent="0.25">
      <c r="F31" s="187"/>
      <c r="G31" s="187"/>
      <c r="H31" s="224"/>
      <c r="I31" s="224"/>
      <c r="J31" s="182"/>
      <c r="K31" s="182"/>
      <c r="L31" s="183"/>
      <c r="M31" s="183"/>
      <c r="P31" s="187"/>
      <c r="Q31" s="187"/>
      <c r="AA31" s="140"/>
      <c r="AB31" s="141"/>
    </row>
    <row r="32" spans="1:41" ht="14.25" x14ac:dyDescent="0.25">
      <c r="F32" s="187"/>
      <c r="G32" s="187"/>
      <c r="H32" s="224"/>
      <c r="I32" s="224"/>
      <c r="J32" s="182"/>
      <c r="K32" s="182"/>
      <c r="L32" s="183"/>
      <c r="M32" s="183"/>
      <c r="P32" s="187"/>
      <c r="Q32" s="187"/>
      <c r="AA32" s="140"/>
      <c r="AB32" s="141"/>
    </row>
    <row r="33" spans="1:32" ht="14.25" x14ac:dyDescent="0.25">
      <c r="F33" s="187"/>
      <c r="G33" s="187"/>
      <c r="H33" s="224"/>
      <c r="I33" s="224"/>
      <c r="J33" s="182"/>
      <c r="K33" s="182"/>
      <c r="L33" s="183"/>
      <c r="M33" s="183"/>
      <c r="P33" s="187"/>
      <c r="Q33" s="187"/>
      <c r="AA33" s="140"/>
      <c r="AB33" s="141"/>
    </row>
    <row r="34" spans="1:32" ht="14.25" x14ac:dyDescent="0.25">
      <c r="F34" s="187"/>
      <c r="G34" s="187"/>
      <c r="H34" s="224"/>
      <c r="I34" s="224"/>
      <c r="J34" s="182"/>
      <c r="K34" s="182"/>
      <c r="L34" s="183"/>
      <c r="M34" s="183"/>
      <c r="P34" s="187"/>
      <c r="Q34" s="187"/>
      <c r="AA34" s="140"/>
      <c r="AB34" s="141"/>
    </row>
    <row r="35" spans="1:32" x14ac:dyDescent="0.25">
      <c r="H35" s="225"/>
      <c r="I35" s="225"/>
      <c r="AA35" s="140"/>
    </row>
    <row r="36" spans="1:32" x14ac:dyDescent="0.25">
      <c r="H36" s="225"/>
      <c r="I36" s="225"/>
      <c r="AA36" s="140"/>
    </row>
    <row r="37" spans="1:32" s="189" customFormat="1" ht="15" customHeight="1" x14ac:dyDescent="0.25">
      <c r="A37" s="192"/>
      <c r="B37" s="195"/>
      <c r="C37" s="227" t="str">
        <f>'BKU 1'!$C$360</f>
        <v>MELIA FITRIANI, S.Pd.SD</v>
      </c>
      <c r="D37" s="227"/>
      <c r="H37" s="228"/>
      <c r="I37" s="228"/>
      <c r="J37" s="195"/>
      <c r="K37" s="195"/>
      <c r="L37" s="194"/>
      <c r="M37" s="194"/>
      <c r="N37" s="229" t="str">
        <f>'BKU 1'!$H$360</f>
        <v>HARTATIK</v>
      </c>
      <c r="O37" s="229"/>
      <c r="AA37" s="227" t="str">
        <f>'BKU 1'!$L$360</f>
        <v>ARIF NUR UDIN, S.Pd.SD</v>
      </c>
      <c r="AC37" s="230"/>
      <c r="AE37" s="231"/>
      <c r="AF37" s="231"/>
    </row>
    <row r="38" spans="1:32" s="189" customFormat="1" ht="15" customHeight="1" x14ac:dyDescent="0.25">
      <c r="A38" s="192"/>
      <c r="B38" s="195"/>
      <c r="C38" s="140" t="str">
        <f>'BKU 1'!$C$361</f>
        <v>NIP. 19850619 200904 2 000</v>
      </c>
      <c r="D38" s="140"/>
      <c r="E38" s="140"/>
      <c r="F38" s="140"/>
      <c r="G38" s="140"/>
      <c r="H38" s="225"/>
      <c r="I38" s="225"/>
      <c r="J38" s="191"/>
      <c r="K38" s="191"/>
      <c r="L38" s="190"/>
      <c r="M38" s="190"/>
      <c r="N38" s="232"/>
      <c r="O38" s="232"/>
      <c r="P38" s="140"/>
      <c r="Q38" s="140"/>
      <c r="T38" s="140"/>
      <c r="U38" s="140"/>
      <c r="V38" s="140"/>
      <c r="W38" s="140"/>
      <c r="X38" s="140"/>
      <c r="Y38" s="140"/>
      <c r="Z38" s="140"/>
      <c r="AA38" s="140" t="str">
        <f>'BKU 1'!$L$361</f>
        <v>NIP. 19840719 200903 1 002</v>
      </c>
      <c r="AC38" s="230"/>
      <c r="AE38" s="231"/>
      <c r="AF38" s="231"/>
    </row>
    <row r="39" spans="1:32" ht="6" customHeight="1" x14ac:dyDescent="0.25"/>
    <row r="40" spans="1:32" s="177" customFormat="1" ht="24.95" customHeight="1" x14ac:dyDescent="0.25">
      <c r="A40" s="176"/>
      <c r="B40" s="726" t="s">
        <v>6</v>
      </c>
      <c r="C40" s="726"/>
      <c r="D40" s="726"/>
      <c r="E40" s="726"/>
      <c r="F40" s="726"/>
      <c r="G40" s="726"/>
      <c r="H40" s="726"/>
      <c r="I40" s="726"/>
      <c r="J40" s="726"/>
      <c r="K40" s="726"/>
      <c r="L40" s="726"/>
      <c r="M40" s="726"/>
      <c r="N40" s="726"/>
      <c r="O40" s="726"/>
      <c r="P40" s="726"/>
      <c r="Q40" s="726"/>
      <c r="R40" s="726"/>
      <c r="S40" s="726"/>
      <c r="T40" s="726"/>
      <c r="U40" s="726"/>
      <c r="V40" s="726"/>
      <c r="W40" s="726"/>
      <c r="X40" s="726"/>
      <c r="Y40" s="726"/>
      <c r="Z40" s="726"/>
      <c r="AA40" s="726"/>
      <c r="AB40" s="726"/>
      <c r="AC40" s="726"/>
      <c r="AE40" s="178"/>
      <c r="AF40" s="178"/>
    </row>
    <row r="41" spans="1:32" s="177" customFormat="1" ht="24.95" customHeight="1" x14ac:dyDescent="0.25">
      <c r="A41" s="176"/>
      <c r="B41" s="726" t="str">
        <f>'BKU 1'!$D$22</f>
        <v>PEMBANGUNAN TOILET BESERTA SANITASINYA</v>
      </c>
      <c r="C41" s="726"/>
      <c r="D41" s="726"/>
      <c r="E41" s="726"/>
      <c r="F41" s="726"/>
      <c r="G41" s="726"/>
      <c r="H41" s="726"/>
      <c r="I41" s="726"/>
      <c r="J41" s="726"/>
      <c r="K41" s="726"/>
      <c r="L41" s="726"/>
      <c r="M41" s="726"/>
      <c r="N41" s="726"/>
      <c r="O41" s="726"/>
      <c r="P41" s="726"/>
      <c r="Q41" s="726"/>
      <c r="R41" s="726"/>
      <c r="S41" s="726"/>
      <c r="T41" s="726"/>
      <c r="U41" s="726"/>
      <c r="V41" s="726"/>
      <c r="W41" s="726"/>
      <c r="X41" s="726"/>
      <c r="Y41" s="726"/>
      <c r="Z41" s="726"/>
      <c r="AA41" s="726"/>
      <c r="AB41" s="726"/>
      <c r="AC41" s="726"/>
      <c r="AE41" s="178"/>
      <c r="AF41" s="178"/>
    </row>
    <row r="42" spans="1:32" s="184" customFormat="1" ht="30.75" customHeight="1" x14ac:dyDescent="0.25">
      <c r="A42" s="179"/>
      <c r="B42" s="180"/>
      <c r="C42" s="181"/>
      <c r="D42" s="181"/>
      <c r="E42" s="181"/>
      <c r="F42" s="182"/>
      <c r="G42" s="182"/>
      <c r="H42" s="183"/>
      <c r="I42" s="183"/>
      <c r="J42" s="182"/>
      <c r="K42" s="182"/>
      <c r="L42" s="183"/>
      <c r="M42" s="183"/>
      <c r="N42" s="182"/>
      <c r="O42" s="182"/>
      <c r="P42" s="182"/>
      <c r="Q42" s="182"/>
      <c r="R42" s="182"/>
      <c r="S42" s="182"/>
      <c r="T42" s="181"/>
      <c r="U42" s="181"/>
      <c r="V42" s="181"/>
      <c r="X42" s="181"/>
      <c r="AA42" s="180"/>
      <c r="AB42" s="140"/>
      <c r="AC42" s="185"/>
      <c r="AE42" s="186"/>
      <c r="AF42" s="186"/>
    </row>
    <row r="43" spans="1:32" s="184" customFormat="1" ht="14.25" x14ac:dyDescent="0.25">
      <c r="A43" s="179"/>
      <c r="B43" s="185" t="s">
        <v>7</v>
      </c>
      <c r="D43" s="184" t="s">
        <v>49</v>
      </c>
      <c r="E43" s="184" t="str">
        <f>'BKU 1'!$D$25</f>
        <v>SDN 1 SIDODADI</v>
      </c>
      <c r="F43" s="140"/>
      <c r="G43" s="140"/>
      <c r="H43" s="183"/>
      <c r="I43" s="183"/>
      <c r="J43" s="182"/>
      <c r="K43" s="182"/>
      <c r="L43" s="183"/>
      <c r="M43" s="183"/>
      <c r="N43" s="187"/>
      <c r="O43" s="187"/>
      <c r="P43" s="187"/>
      <c r="Q43" s="187"/>
      <c r="R43" s="187"/>
      <c r="S43" s="187"/>
      <c r="T43" s="188"/>
      <c r="U43" s="188"/>
      <c r="V43" s="188"/>
      <c r="X43" s="188"/>
      <c r="AA43" s="180"/>
      <c r="AB43" s="189" t="s">
        <v>8</v>
      </c>
      <c r="AC43" s="185"/>
      <c r="AE43" s="186"/>
      <c r="AF43" s="186"/>
    </row>
    <row r="44" spans="1:32" s="184" customFormat="1" x14ac:dyDescent="0.25">
      <c r="A44" s="179"/>
      <c r="B44" s="185" t="s">
        <v>9</v>
      </c>
      <c r="D44" s="184" t="s">
        <v>49</v>
      </c>
      <c r="E44" s="184" t="str">
        <f>'BKU 1'!$D$26</f>
        <v>Jl. Kawi No.36 Rt. 1 Rw. 1 Dusun Sekar, Rt / Rw : 1 / 1, Dusun : Sekar, Kelurahan : Sidodadi</v>
      </c>
      <c r="F44" s="140"/>
      <c r="G44" s="140"/>
      <c r="H44" s="190"/>
      <c r="I44" s="190"/>
      <c r="J44" s="191"/>
      <c r="K44" s="191"/>
      <c r="L44" s="190"/>
      <c r="M44" s="190"/>
      <c r="N44" s="140"/>
      <c r="O44" s="140"/>
      <c r="P44" s="140"/>
      <c r="Q44" s="140"/>
      <c r="R44" s="140"/>
      <c r="S44" s="140"/>
      <c r="AA44" s="180"/>
      <c r="AB44" s="140" t="s">
        <v>10</v>
      </c>
      <c r="AC44" s="185" t="s">
        <v>11</v>
      </c>
      <c r="AE44" s="186"/>
      <c r="AF44" s="186"/>
    </row>
    <row r="45" spans="1:32" s="184" customFormat="1" x14ac:dyDescent="0.25">
      <c r="A45" s="179"/>
      <c r="B45" s="185" t="s">
        <v>12</v>
      </c>
      <c r="D45" s="184" t="s">
        <v>49</v>
      </c>
      <c r="E45" s="180">
        <f>E6+1</f>
        <v>2</v>
      </c>
      <c r="F45" s="140"/>
      <c r="G45" s="140"/>
      <c r="H45" s="727">
        <f>IFERROR(VLOOKUP(E45,'Rekap Gaji'!$B$12:$P$32,14,FALSE),"-")</f>
        <v>0</v>
      </c>
      <c r="I45" s="727"/>
      <c r="J45" s="727"/>
      <c r="K45" s="727"/>
      <c r="L45" s="727"/>
      <c r="M45" s="191"/>
      <c r="N45" s="140"/>
      <c r="O45" s="140"/>
      <c r="P45" s="140"/>
      <c r="Q45" s="140"/>
      <c r="R45" s="140"/>
      <c r="S45" s="140"/>
      <c r="AA45" s="180"/>
      <c r="AB45" s="140" t="s">
        <v>13</v>
      </c>
      <c r="AC45" s="185" t="s">
        <v>14</v>
      </c>
      <c r="AE45" s="186"/>
      <c r="AF45" s="186"/>
    </row>
    <row r="46" spans="1:32" s="184" customFormat="1" ht="15" customHeight="1" x14ac:dyDescent="0.25">
      <c r="A46" s="179"/>
      <c r="B46" s="185" t="s">
        <v>0</v>
      </c>
      <c r="D46" s="184" t="s">
        <v>49</v>
      </c>
      <c r="E46" s="728">
        <f>IFERROR(VLOOKUP(E45,'Rekap Gaji'!$B$12:$P$32,4,FALSE),"-")</f>
        <v>45907</v>
      </c>
      <c r="F46" s="728"/>
      <c r="G46" s="728"/>
      <c r="H46" s="728"/>
      <c r="I46" s="728"/>
      <c r="J46" s="728"/>
      <c r="K46" s="339"/>
      <c r="L46" s="727" t="s">
        <v>76</v>
      </c>
      <c r="M46" s="727"/>
      <c r="N46" s="727"/>
      <c r="O46" s="191"/>
      <c r="P46" s="728">
        <f>IFERROR(VLOOKUP(E45,'Rekap Gaji'!$B$12:$P$32,6,FALSE),"-")</f>
        <v>45913</v>
      </c>
      <c r="Q46" s="728"/>
      <c r="R46" s="728"/>
      <c r="S46" s="728"/>
      <c r="T46" s="728"/>
      <c r="U46" s="728"/>
      <c r="V46" s="728"/>
      <c r="AA46" s="180"/>
      <c r="AB46" s="140" t="s">
        <v>15</v>
      </c>
      <c r="AC46" s="185" t="s">
        <v>16</v>
      </c>
      <c r="AE46" s="186"/>
      <c r="AF46" s="186"/>
    </row>
    <row r="47" spans="1:32" s="188" customFormat="1" ht="8.1" customHeight="1" thickBot="1" x14ac:dyDescent="0.3">
      <c r="A47" s="192"/>
      <c r="B47" s="193"/>
      <c r="F47" s="189"/>
      <c r="G47" s="189"/>
      <c r="H47" s="194"/>
      <c r="I47" s="194"/>
      <c r="J47" s="195"/>
      <c r="K47" s="195"/>
      <c r="L47" s="194"/>
      <c r="M47" s="194"/>
      <c r="N47" s="189"/>
      <c r="O47" s="189"/>
      <c r="P47" s="189"/>
      <c r="Q47" s="189"/>
      <c r="R47" s="189"/>
      <c r="S47" s="189"/>
      <c r="AA47" s="193"/>
      <c r="AB47" s="189"/>
      <c r="AC47" s="196"/>
      <c r="AE47" s="197"/>
      <c r="AF47" s="197"/>
    </row>
    <row r="48" spans="1:32" s="343" customFormat="1" ht="15" customHeight="1" x14ac:dyDescent="0.25">
      <c r="A48" s="340"/>
      <c r="B48" s="744" t="s">
        <v>17</v>
      </c>
      <c r="C48" s="735" t="s">
        <v>18</v>
      </c>
      <c r="D48" s="747"/>
      <c r="E48" s="342" t="s">
        <v>19</v>
      </c>
      <c r="F48" s="714" t="s">
        <v>20</v>
      </c>
      <c r="G48" s="715"/>
      <c r="H48" s="715"/>
      <c r="I48" s="715"/>
      <c r="J48" s="715"/>
      <c r="K48" s="715"/>
      <c r="L48" s="715"/>
      <c r="M48" s="715"/>
      <c r="N48" s="715"/>
      <c r="O48" s="715"/>
      <c r="P48" s="715"/>
      <c r="Q48" s="715"/>
      <c r="R48" s="715"/>
      <c r="S48" s="716"/>
      <c r="T48" s="341" t="s">
        <v>2</v>
      </c>
      <c r="U48" s="341" t="s">
        <v>474</v>
      </c>
      <c r="V48" s="735" t="s">
        <v>21</v>
      </c>
      <c r="W48" s="747"/>
      <c r="X48" s="735" t="s">
        <v>21</v>
      </c>
      <c r="Y48" s="747"/>
      <c r="Z48" s="735" t="s">
        <v>22</v>
      </c>
      <c r="AA48" s="747"/>
      <c r="AB48" s="735" t="s">
        <v>23</v>
      </c>
      <c r="AC48" s="736"/>
      <c r="AE48" s="344"/>
      <c r="AF48" s="344"/>
    </row>
    <row r="49" spans="1:41" s="343" customFormat="1" ht="28.9" customHeight="1" x14ac:dyDescent="0.25">
      <c r="A49" s="340"/>
      <c r="B49" s="745"/>
      <c r="C49" s="737"/>
      <c r="D49" s="743"/>
      <c r="E49" s="346" t="s">
        <v>24</v>
      </c>
      <c r="F49" s="741" t="s">
        <v>25</v>
      </c>
      <c r="G49" s="347" t="s">
        <v>475</v>
      </c>
      <c r="H49" s="741" t="s">
        <v>26</v>
      </c>
      <c r="I49" s="347" t="s">
        <v>475</v>
      </c>
      <c r="J49" s="741" t="s">
        <v>26</v>
      </c>
      <c r="K49" s="347" t="s">
        <v>475</v>
      </c>
      <c r="L49" s="741" t="s">
        <v>27</v>
      </c>
      <c r="M49" s="347" t="s">
        <v>475</v>
      </c>
      <c r="N49" s="741" t="s">
        <v>28</v>
      </c>
      <c r="O49" s="347" t="s">
        <v>475</v>
      </c>
      <c r="P49" s="741" t="s">
        <v>29</v>
      </c>
      <c r="Q49" s="347" t="s">
        <v>475</v>
      </c>
      <c r="R49" s="741" t="s">
        <v>26</v>
      </c>
      <c r="S49" s="347" t="s">
        <v>475</v>
      </c>
      <c r="T49" s="345" t="s">
        <v>30</v>
      </c>
      <c r="U49" s="345" t="s">
        <v>476</v>
      </c>
      <c r="V49" s="737" t="s">
        <v>455</v>
      </c>
      <c r="W49" s="743"/>
      <c r="X49" s="737" t="s">
        <v>477</v>
      </c>
      <c r="Y49" s="743"/>
      <c r="Z49" s="737" t="s">
        <v>31</v>
      </c>
      <c r="AA49" s="743"/>
      <c r="AB49" s="737"/>
      <c r="AC49" s="738"/>
      <c r="AE49" s="344"/>
      <c r="AF49" s="344"/>
    </row>
    <row r="50" spans="1:41" s="343" customFormat="1" ht="15" customHeight="1" thickBot="1" x14ac:dyDescent="0.3">
      <c r="A50" s="340"/>
      <c r="B50" s="746"/>
      <c r="C50" s="739"/>
      <c r="D50" s="748"/>
      <c r="E50" s="349" t="s">
        <v>32</v>
      </c>
      <c r="F50" s="742"/>
      <c r="G50" s="350" t="s">
        <v>478</v>
      </c>
      <c r="H50" s="742"/>
      <c r="I50" s="350" t="s">
        <v>478</v>
      </c>
      <c r="J50" s="742"/>
      <c r="K50" s="350" t="s">
        <v>478</v>
      </c>
      <c r="L50" s="742"/>
      <c r="M50" s="350" t="s">
        <v>478</v>
      </c>
      <c r="N50" s="742"/>
      <c r="O50" s="350" t="s">
        <v>478</v>
      </c>
      <c r="P50" s="742"/>
      <c r="Q50" s="350" t="s">
        <v>478</v>
      </c>
      <c r="R50" s="742"/>
      <c r="S50" s="350" t="s">
        <v>478</v>
      </c>
      <c r="T50" s="348" t="s">
        <v>31</v>
      </c>
      <c r="U50" s="348" t="s">
        <v>479</v>
      </c>
      <c r="V50" s="739" t="s">
        <v>33</v>
      </c>
      <c r="W50" s="748"/>
      <c r="X50" s="739" t="s">
        <v>33</v>
      </c>
      <c r="Y50" s="748"/>
      <c r="Z50" s="739" t="s">
        <v>34</v>
      </c>
      <c r="AA50" s="748"/>
      <c r="AB50" s="739"/>
      <c r="AC50" s="740"/>
      <c r="AE50" s="344"/>
      <c r="AF50" s="344"/>
    </row>
    <row r="51" spans="1:41" ht="24.95" customHeight="1" x14ac:dyDescent="0.25">
      <c r="B51" s="201">
        <v>1</v>
      </c>
      <c r="C51" s="202" t="str">
        <f>C12</f>
        <v>KUSMAN H</v>
      </c>
      <c r="D51" s="203"/>
      <c r="E51" s="204" t="str">
        <f>E12</f>
        <v>A</v>
      </c>
      <c r="F51" s="205" t="s">
        <v>36</v>
      </c>
      <c r="G51" s="205"/>
      <c r="H51" s="205" t="s">
        <v>37</v>
      </c>
      <c r="I51" s="205"/>
      <c r="J51" s="205" t="s">
        <v>37</v>
      </c>
      <c r="K51" s="205"/>
      <c r="L51" s="205" t="s">
        <v>37</v>
      </c>
      <c r="M51" s="205"/>
      <c r="N51" s="205" t="s">
        <v>37</v>
      </c>
      <c r="O51" s="205"/>
      <c r="P51" s="205" t="s">
        <v>37</v>
      </c>
      <c r="Q51" s="205"/>
      <c r="R51" s="205" t="s">
        <v>37</v>
      </c>
      <c r="S51" s="205"/>
      <c r="T51" s="206">
        <f>SUM(AI51:AO51)</f>
        <v>6</v>
      </c>
      <c r="U51" s="206">
        <f>SUM(F51:S51)</f>
        <v>0</v>
      </c>
      <c r="V51" s="207" t="str">
        <f>IF(W51&gt;0,"Rp",IF(W51=0," "))</f>
        <v>Rp</v>
      </c>
      <c r="W51" s="208">
        <f>W12</f>
        <v>135000</v>
      </c>
      <c r="X51" s="207" t="str">
        <f>IF(Y51&gt;0,"Rp",IF(Y51=0," "))</f>
        <v>Rp</v>
      </c>
      <c r="Y51" s="208">
        <f>Y12</f>
        <v>20000</v>
      </c>
      <c r="Z51" s="207" t="str">
        <f>IF(AA51&gt;0,"Rp",IF(AA51=0," "))</f>
        <v>Rp</v>
      </c>
      <c r="AA51" s="208">
        <f>W51*T51+U51*Y51</f>
        <v>810000</v>
      </c>
      <c r="AB51" s="209">
        <v>1</v>
      </c>
      <c r="AC51" s="210"/>
      <c r="AE51" s="211"/>
      <c r="AF51" s="211"/>
      <c r="AI51" s="211">
        <f>IFERROR(IF(F51="V",1,IF(F51="X",0))," ")</f>
        <v>0</v>
      </c>
      <c r="AJ51" s="211">
        <f>IFERROR(IF(H51="V",1,IF(H51="X",0))," ")</f>
        <v>1</v>
      </c>
      <c r="AK51" s="211">
        <f>IFERROR(IF(J51="V",1,IF(J51="X",0))," ")</f>
        <v>1</v>
      </c>
      <c r="AL51" s="211">
        <f>IFERROR(IF(L51="V",1,IF(L51="X",0))," ")</f>
        <v>1</v>
      </c>
      <c r="AM51" s="211">
        <f>IFERROR(IF(N51="V",1,IF(N51="X",0))," ")</f>
        <v>1</v>
      </c>
      <c r="AN51" s="211">
        <f>IFERROR(IF(P51="V",1,IF(P51="X",0))," ")</f>
        <v>1</v>
      </c>
      <c r="AO51" s="211">
        <f>IFERROR(IF(R51="V",1,IF(R51="X",0))," ")</f>
        <v>1</v>
      </c>
    </row>
    <row r="52" spans="1:41" ht="24.95" customHeight="1" x14ac:dyDescent="0.25">
      <c r="B52" s="212">
        <v>2</v>
      </c>
      <c r="C52" s="202" t="str">
        <f t="shared" ref="C52:C61" si="13">C13</f>
        <v>BUSANI</v>
      </c>
      <c r="D52" s="213"/>
      <c r="E52" s="214" t="str">
        <f t="shared" ref="E52:E61" si="14">E13</f>
        <v>B</v>
      </c>
      <c r="F52" s="215" t="s">
        <v>36</v>
      </c>
      <c r="G52" s="215"/>
      <c r="H52" s="215" t="s">
        <v>37</v>
      </c>
      <c r="I52" s="215"/>
      <c r="J52" s="215" t="s">
        <v>37</v>
      </c>
      <c r="K52" s="215"/>
      <c r="L52" s="215" t="s">
        <v>37</v>
      </c>
      <c r="M52" s="215"/>
      <c r="N52" s="215" t="s">
        <v>37</v>
      </c>
      <c r="O52" s="215"/>
      <c r="P52" s="215" t="s">
        <v>37</v>
      </c>
      <c r="Q52" s="215"/>
      <c r="R52" s="215" t="s">
        <v>37</v>
      </c>
      <c r="S52" s="215"/>
      <c r="T52" s="216">
        <f t="shared" ref="T52:T58" si="15">SUM(AI52:AO52)</f>
        <v>6</v>
      </c>
      <c r="U52" s="351">
        <f t="shared" ref="U52:U57" si="16">SUM(F52:S52)</f>
        <v>0</v>
      </c>
      <c r="V52" s="217" t="str">
        <f t="shared" ref="V52:V57" si="17">IF(W52&gt;0,"Rp",IF(W52=0," "))</f>
        <v>Rp</v>
      </c>
      <c r="W52" s="218">
        <f t="shared" ref="W52:W59" si="18">W13</f>
        <v>125000</v>
      </c>
      <c r="X52" s="217" t="str">
        <f t="shared" ref="X52:X57" si="19">IF(Y52&gt;0,"Rp",IF(Y52=0," "))</f>
        <v>Rp</v>
      </c>
      <c r="Y52" s="218">
        <f t="shared" ref="Y52:Y59" si="20">Y13</f>
        <v>15000</v>
      </c>
      <c r="Z52" s="217" t="str">
        <f t="shared" ref="Z52:Z62" si="21">IF(AA52&gt;0,"Rp",IF(AA52=0," "))</f>
        <v>Rp</v>
      </c>
      <c r="AA52" s="219">
        <f t="shared" ref="AA52:AA62" si="22">W52*T52+U52*Y52</f>
        <v>750000</v>
      </c>
      <c r="AB52" s="220"/>
      <c r="AC52" s="221">
        <v>2</v>
      </c>
      <c r="AE52" s="211"/>
      <c r="AF52" s="211"/>
      <c r="AI52" s="211">
        <f t="shared" ref="AI52:AI62" si="23">IFERROR(IF(F52="V",1,IF(F52="X",0))," ")</f>
        <v>0</v>
      </c>
      <c r="AJ52" s="211">
        <f t="shared" ref="AJ52:AJ62" si="24">IFERROR(IF(H52="V",1,IF(H52="X",0))," ")</f>
        <v>1</v>
      </c>
      <c r="AK52" s="211">
        <f t="shared" ref="AK52:AK62" si="25">IFERROR(IF(J52="V",1,IF(J52="X",0))," ")</f>
        <v>1</v>
      </c>
      <c r="AL52" s="211">
        <f t="shared" ref="AL52:AL62" si="26">IFERROR(IF(L52="V",1,IF(L52="X",0))," ")</f>
        <v>1</v>
      </c>
      <c r="AM52" s="211">
        <f t="shared" ref="AM52:AM62" si="27">IFERROR(IF(N52="V",1,IF(N52="X",0))," ")</f>
        <v>1</v>
      </c>
      <c r="AN52" s="211">
        <f t="shared" ref="AN52:AN62" si="28">IFERROR(IF(P52="V",1,IF(P52="X",0))," ")</f>
        <v>1</v>
      </c>
      <c r="AO52" s="211">
        <f t="shared" ref="AO52:AO62" si="29">IFERROR(IF(R52="V",1,IF(R52="X",0))," ")</f>
        <v>1</v>
      </c>
    </row>
    <row r="53" spans="1:41" ht="24.95" customHeight="1" x14ac:dyDescent="0.25">
      <c r="B53" s="212">
        <v>3</v>
      </c>
      <c r="C53" s="202" t="str">
        <f t="shared" si="13"/>
        <v>LASMARI</v>
      </c>
      <c r="D53" s="213"/>
      <c r="E53" s="214" t="str">
        <f t="shared" si="14"/>
        <v>B</v>
      </c>
      <c r="F53" s="215" t="s">
        <v>36</v>
      </c>
      <c r="G53" s="215"/>
      <c r="H53" s="215" t="s">
        <v>37</v>
      </c>
      <c r="I53" s="215"/>
      <c r="J53" s="215" t="s">
        <v>37</v>
      </c>
      <c r="K53" s="215"/>
      <c r="L53" s="215" t="s">
        <v>37</v>
      </c>
      <c r="M53" s="215"/>
      <c r="N53" s="215" t="s">
        <v>36</v>
      </c>
      <c r="O53" s="215"/>
      <c r="P53" s="215" t="s">
        <v>37</v>
      </c>
      <c r="Q53" s="215"/>
      <c r="R53" s="215" t="s">
        <v>37</v>
      </c>
      <c r="S53" s="215"/>
      <c r="T53" s="216">
        <f t="shared" si="15"/>
        <v>5</v>
      </c>
      <c r="U53" s="351">
        <f t="shared" si="16"/>
        <v>0</v>
      </c>
      <c r="V53" s="217" t="str">
        <f t="shared" si="17"/>
        <v>Rp</v>
      </c>
      <c r="W53" s="218">
        <f t="shared" si="18"/>
        <v>125000</v>
      </c>
      <c r="X53" s="217" t="str">
        <f t="shared" si="19"/>
        <v>Rp</v>
      </c>
      <c r="Y53" s="218">
        <f t="shared" si="20"/>
        <v>15000</v>
      </c>
      <c r="Z53" s="217" t="str">
        <f t="shared" si="21"/>
        <v>Rp</v>
      </c>
      <c r="AA53" s="219">
        <f t="shared" si="22"/>
        <v>625000</v>
      </c>
      <c r="AB53" s="222">
        <v>3</v>
      </c>
      <c r="AC53" s="221"/>
      <c r="AE53" s="211"/>
      <c r="AF53" s="211"/>
      <c r="AI53" s="211">
        <f t="shared" si="23"/>
        <v>0</v>
      </c>
      <c r="AJ53" s="211">
        <f t="shared" si="24"/>
        <v>1</v>
      </c>
      <c r="AK53" s="211">
        <f t="shared" si="25"/>
        <v>1</v>
      </c>
      <c r="AL53" s="211">
        <f t="shared" si="26"/>
        <v>1</v>
      </c>
      <c r="AM53" s="211">
        <f t="shared" si="27"/>
        <v>0</v>
      </c>
      <c r="AN53" s="211">
        <f t="shared" si="28"/>
        <v>1</v>
      </c>
      <c r="AO53" s="211">
        <f t="shared" si="29"/>
        <v>1</v>
      </c>
    </row>
    <row r="54" spans="1:41" ht="24.95" customHeight="1" x14ac:dyDescent="0.25">
      <c r="B54" s="212">
        <v>4</v>
      </c>
      <c r="C54" s="202" t="str">
        <f t="shared" si="13"/>
        <v>SUMARTO</v>
      </c>
      <c r="D54" s="213"/>
      <c r="E54" s="214" t="str">
        <f t="shared" si="14"/>
        <v>B</v>
      </c>
      <c r="F54" s="215" t="s">
        <v>36</v>
      </c>
      <c r="G54" s="215"/>
      <c r="H54" s="215" t="s">
        <v>37</v>
      </c>
      <c r="I54" s="215"/>
      <c r="J54" s="215" t="s">
        <v>37</v>
      </c>
      <c r="K54" s="215"/>
      <c r="L54" s="215" t="s">
        <v>37</v>
      </c>
      <c r="M54" s="215"/>
      <c r="N54" s="215" t="s">
        <v>37</v>
      </c>
      <c r="O54" s="215"/>
      <c r="P54" s="215" t="s">
        <v>37</v>
      </c>
      <c r="Q54" s="215"/>
      <c r="R54" s="215" t="s">
        <v>37</v>
      </c>
      <c r="S54" s="215"/>
      <c r="T54" s="216">
        <f t="shared" si="15"/>
        <v>6</v>
      </c>
      <c r="U54" s="351">
        <f t="shared" si="16"/>
        <v>0</v>
      </c>
      <c r="V54" s="217" t="str">
        <f t="shared" si="17"/>
        <v>Rp</v>
      </c>
      <c r="W54" s="218">
        <f t="shared" si="18"/>
        <v>125000</v>
      </c>
      <c r="X54" s="217" t="str">
        <f t="shared" si="19"/>
        <v>Rp</v>
      </c>
      <c r="Y54" s="218">
        <f t="shared" si="20"/>
        <v>15000</v>
      </c>
      <c r="Z54" s="217" t="str">
        <f t="shared" si="21"/>
        <v>Rp</v>
      </c>
      <c r="AA54" s="219">
        <f t="shared" si="22"/>
        <v>750000</v>
      </c>
      <c r="AB54" s="222"/>
      <c r="AC54" s="223">
        <v>4</v>
      </c>
      <c r="AE54" s="211"/>
      <c r="AF54" s="211"/>
      <c r="AI54" s="211">
        <f t="shared" si="23"/>
        <v>0</v>
      </c>
      <c r="AJ54" s="211">
        <f t="shared" si="24"/>
        <v>1</v>
      </c>
      <c r="AK54" s="211">
        <f t="shared" si="25"/>
        <v>1</v>
      </c>
      <c r="AL54" s="211">
        <f t="shared" si="26"/>
        <v>1</v>
      </c>
      <c r="AM54" s="211">
        <f t="shared" si="27"/>
        <v>1</v>
      </c>
      <c r="AN54" s="211">
        <f t="shared" si="28"/>
        <v>1</v>
      </c>
      <c r="AO54" s="211">
        <f t="shared" si="29"/>
        <v>1</v>
      </c>
    </row>
    <row r="55" spans="1:41" ht="24.95" customHeight="1" x14ac:dyDescent="0.25">
      <c r="B55" s="212">
        <v>5</v>
      </c>
      <c r="C55" s="202" t="str">
        <f t="shared" si="13"/>
        <v>TONI</v>
      </c>
      <c r="D55" s="213"/>
      <c r="E55" s="214" t="str">
        <f t="shared" si="14"/>
        <v>C</v>
      </c>
      <c r="F55" s="215" t="s">
        <v>36</v>
      </c>
      <c r="G55" s="215"/>
      <c r="H55" s="215" t="s">
        <v>36</v>
      </c>
      <c r="I55" s="215"/>
      <c r="J55" s="215" t="s">
        <v>37</v>
      </c>
      <c r="K55" s="215"/>
      <c r="L55" s="215" t="s">
        <v>37</v>
      </c>
      <c r="M55" s="215"/>
      <c r="N55" s="215" t="s">
        <v>37</v>
      </c>
      <c r="O55" s="215"/>
      <c r="P55" s="215" t="s">
        <v>37</v>
      </c>
      <c r="Q55" s="215"/>
      <c r="R55" s="215" t="s">
        <v>37</v>
      </c>
      <c r="S55" s="215"/>
      <c r="T55" s="216">
        <f t="shared" si="15"/>
        <v>5</v>
      </c>
      <c r="U55" s="351">
        <f t="shared" si="16"/>
        <v>0</v>
      </c>
      <c r="V55" s="217" t="str">
        <f t="shared" si="17"/>
        <v>Rp</v>
      </c>
      <c r="W55" s="218">
        <f t="shared" si="18"/>
        <v>115000</v>
      </c>
      <c r="X55" s="217" t="str">
        <f t="shared" si="19"/>
        <v>Rp</v>
      </c>
      <c r="Y55" s="218">
        <f t="shared" si="20"/>
        <v>10000</v>
      </c>
      <c r="Z55" s="217" t="str">
        <f t="shared" si="21"/>
        <v>Rp</v>
      </c>
      <c r="AA55" s="219">
        <f t="shared" si="22"/>
        <v>575000</v>
      </c>
      <c r="AB55" s="222">
        <v>5</v>
      </c>
      <c r="AC55" s="221"/>
      <c r="AE55" s="211"/>
      <c r="AF55" s="211"/>
      <c r="AI55" s="211">
        <f t="shared" si="23"/>
        <v>0</v>
      </c>
      <c r="AJ55" s="211">
        <f t="shared" si="24"/>
        <v>0</v>
      </c>
      <c r="AK55" s="211">
        <f t="shared" si="25"/>
        <v>1</v>
      </c>
      <c r="AL55" s="211">
        <f t="shared" si="26"/>
        <v>1</v>
      </c>
      <c r="AM55" s="211">
        <f t="shared" si="27"/>
        <v>1</v>
      </c>
      <c r="AN55" s="211">
        <f t="shared" si="28"/>
        <v>1</v>
      </c>
      <c r="AO55" s="211">
        <f t="shared" si="29"/>
        <v>1</v>
      </c>
    </row>
    <row r="56" spans="1:41" ht="24.95" customHeight="1" x14ac:dyDescent="0.25">
      <c r="B56" s="212">
        <v>6</v>
      </c>
      <c r="C56" s="202" t="str">
        <f t="shared" si="13"/>
        <v>SAKIM</v>
      </c>
      <c r="D56" s="213"/>
      <c r="E56" s="214" t="str">
        <f t="shared" si="14"/>
        <v>C</v>
      </c>
      <c r="F56" s="215" t="s">
        <v>36</v>
      </c>
      <c r="G56" s="215"/>
      <c r="H56" s="215" t="s">
        <v>37</v>
      </c>
      <c r="I56" s="215"/>
      <c r="J56" s="215" t="s">
        <v>37</v>
      </c>
      <c r="K56" s="215"/>
      <c r="L56" s="215" t="s">
        <v>37</v>
      </c>
      <c r="M56" s="215"/>
      <c r="N56" s="215" t="s">
        <v>37</v>
      </c>
      <c r="O56" s="215"/>
      <c r="P56" s="215" t="s">
        <v>37</v>
      </c>
      <c r="Q56" s="215"/>
      <c r="R56" s="215" t="s">
        <v>37</v>
      </c>
      <c r="S56" s="215"/>
      <c r="T56" s="216">
        <f t="shared" si="15"/>
        <v>6</v>
      </c>
      <c r="U56" s="351">
        <f t="shared" si="16"/>
        <v>0</v>
      </c>
      <c r="V56" s="217" t="str">
        <f t="shared" si="17"/>
        <v>Rp</v>
      </c>
      <c r="W56" s="218">
        <f t="shared" si="18"/>
        <v>115000</v>
      </c>
      <c r="X56" s="217" t="str">
        <f t="shared" si="19"/>
        <v>Rp</v>
      </c>
      <c r="Y56" s="218">
        <f t="shared" si="20"/>
        <v>10000</v>
      </c>
      <c r="Z56" s="217" t="str">
        <f t="shared" si="21"/>
        <v>Rp</v>
      </c>
      <c r="AA56" s="219">
        <f t="shared" si="22"/>
        <v>690000</v>
      </c>
      <c r="AB56" s="222"/>
      <c r="AC56" s="223">
        <v>6</v>
      </c>
      <c r="AE56" s="211"/>
      <c r="AF56" s="211"/>
      <c r="AI56" s="211">
        <f t="shared" si="23"/>
        <v>0</v>
      </c>
      <c r="AJ56" s="211">
        <f t="shared" si="24"/>
        <v>1</v>
      </c>
      <c r="AK56" s="211">
        <f t="shared" si="25"/>
        <v>1</v>
      </c>
      <c r="AL56" s="211">
        <f t="shared" si="26"/>
        <v>1</v>
      </c>
      <c r="AM56" s="211">
        <f t="shared" si="27"/>
        <v>1</v>
      </c>
      <c r="AN56" s="211">
        <f t="shared" si="28"/>
        <v>1</v>
      </c>
      <c r="AO56" s="211">
        <f t="shared" si="29"/>
        <v>1</v>
      </c>
    </row>
    <row r="57" spans="1:41" ht="24.95" customHeight="1" x14ac:dyDescent="0.25">
      <c r="B57" s="212">
        <v>7</v>
      </c>
      <c r="C57" s="202" t="str">
        <f t="shared" si="13"/>
        <v>TOHIR</v>
      </c>
      <c r="D57" s="213"/>
      <c r="E57" s="214" t="str">
        <f t="shared" si="14"/>
        <v>C</v>
      </c>
      <c r="F57" s="215" t="s">
        <v>36</v>
      </c>
      <c r="G57" s="215"/>
      <c r="H57" s="215" t="s">
        <v>37</v>
      </c>
      <c r="I57" s="215"/>
      <c r="J57" s="215" t="s">
        <v>37</v>
      </c>
      <c r="K57" s="215"/>
      <c r="L57" s="215" t="s">
        <v>37</v>
      </c>
      <c r="M57" s="215"/>
      <c r="N57" s="215" t="s">
        <v>37</v>
      </c>
      <c r="O57" s="215"/>
      <c r="P57" s="215" t="s">
        <v>37</v>
      </c>
      <c r="Q57" s="215"/>
      <c r="R57" s="215" t="s">
        <v>36</v>
      </c>
      <c r="S57" s="215"/>
      <c r="T57" s="216">
        <f t="shared" si="15"/>
        <v>5</v>
      </c>
      <c r="U57" s="351">
        <f t="shared" si="16"/>
        <v>0</v>
      </c>
      <c r="V57" s="217" t="str">
        <f t="shared" si="17"/>
        <v>Rp</v>
      </c>
      <c r="W57" s="218">
        <f t="shared" si="18"/>
        <v>115000</v>
      </c>
      <c r="X57" s="217" t="str">
        <f t="shared" si="19"/>
        <v>Rp</v>
      </c>
      <c r="Y57" s="218">
        <f t="shared" si="20"/>
        <v>10000</v>
      </c>
      <c r="Z57" s="217" t="str">
        <f t="shared" si="21"/>
        <v>Rp</v>
      </c>
      <c r="AA57" s="219">
        <f t="shared" si="22"/>
        <v>575000</v>
      </c>
      <c r="AB57" s="222">
        <v>7</v>
      </c>
      <c r="AC57" s="221"/>
      <c r="AE57" s="211"/>
      <c r="AF57" s="211"/>
      <c r="AI57" s="211">
        <f t="shared" si="23"/>
        <v>0</v>
      </c>
      <c r="AJ57" s="211">
        <f t="shared" si="24"/>
        <v>1</v>
      </c>
      <c r="AK57" s="211">
        <f t="shared" si="25"/>
        <v>1</v>
      </c>
      <c r="AL57" s="211">
        <f t="shared" si="26"/>
        <v>1</v>
      </c>
      <c r="AM57" s="211">
        <f t="shared" si="27"/>
        <v>1</v>
      </c>
      <c r="AN57" s="211">
        <f t="shared" si="28"/>
        <v>1</v>
      </c>
      <c r="AO57" s="211">
        <f t="shared" si="29"/>
        <v>0</v>
      </c>
    </row>
    <row r="58" spans="1:41" ht="24.95" customHeight="1" x14ac:dyDescent="0.25">
      <c r="B58" s="212">
        <v>8</v>
      </c>
      <c r="C58" s="202" t="str">
        <f t="shared" si="13"/>
        <v>ROJALI</v>
      </c>
      <c r="D58" s="213"/>
      <c r="E58" s="214" t="str">
        <f t="shared" si="14"/>
        <v>C</v>
      </c>
      <c r="F58" s="215" t="s">
        <v>36</v>
      </c>
      <c r="G58" s="215"/>
      <c r="H58" s="215" t="s">
        <v>37</v>
      </c>
      <c r="I58" s="215"/>
      <c r="J58" s="215" t="s">
        <v>37</v>
      </c>
      <c r="K58" s="215"/>
      <c r="L58" s="215" t="s">
        <v>37</v>
      </c>
      <c r="M58" s="215"/>
      <c r="N58" s="215" t="s">
        <v>37</v>
      </c>
      <c r="O58" s="215"/>
      <c r="P58" s="215" t="s">
        <v>36</v>
      </c>
      <c r="Q58" s="215"/>
      <c r="R58" s="215" t="s">
        <v>37</v>
      </c>
      <c r="S58" s="215"/>
      <c r="T58" s="216">
        <f t="shared" si="15"/>
        <v>5</v>
      </c>
      <c r="U58" s="351">
        <f>SUM(F58:S58)</f>
        <v>0</v>
      </c>
      <c r="V58" s="217" t="str">
        <f>IF(W58&gt;0,"Rp",IF(W58=0," "))</f>
        <v>Rp</v>
      </c>
      <c r="W58" s="218">
        <f t="shared" si="18"/>
        <v>115000</v>
      </c>
      <c r="X58" s="217" t="str">
        <f>IF(Y58&gt;0,"Rp",IF(Y58=0," "))</f>
        <v>Rp</v>
      </c>
      <c r="Y58" s="218">
        <f t="shared" si="20"/>
        <v>10000</v>
      </c>
      <c r="Z58" s="217" t="str">
        <f>IF(AA58&gt;0,"Rp",IF(AA58=0," "))</f>
        <v>Rp</v>
      </c>
      <c r="AA58" s="219">
        <f>W58*T58+U58*Y58</f>
        <v>575000</v>
      </c>
      <c r="AB58" s="222"/>
      <c r="AC58" s="223">
        <v>8</v>
      </c>
      <c r="AE58" s="211"/>
      <c r="AF58" s="211"/>
      <c r="AI58" s="211">
        <f t="shared" si="23"/>
        <v>0</v>
      </c>
      <c r="AJ58" s="211">
        <f t="shared" si="24"/>
        <v>1</v>
      </c>
      <c r="AK58" s="211">
        <f t="shared" si="25"/>
        <v>1</v>
      </c>
      <c r="AL58" s="211">
        <f t="shared" si="26"/>
        <v>1</v>
      </c>
      <c r="AM58" s="211">
        <f t="shared" si="27"/>
        <v>1</v>
      </c>
      <c r="AN58" s="211">
        <f t="shared" si="28"/>
        <v>0</v>
      </c>
      <c r="AO58" s="211">
        <f t="shared" si="29"/>
        <v>1</v>
      </c>
    </row>
    <row r="59" spans="1:41" ht="24.95" customHeight="1" x14ac:dyDescent="0.25">
      <c r="B59" s="212">
        <v>9</v>
      </c>
      <c r="C59" s="202">
        <f t="shared" si="13"/>
        <v>0</v>
      </c>
      <c r="D59" s="213"/>
      <c r="E59" s="214">
        <f t="shared" si="14"/>
        <v>0</v>
      </c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6">
        <f>SUM(AI59:AO59)</f>
        <v>0</v>
      </c>
      <c r="U59" s="351">
        <f>SUM(F59:S59)</f>
        <v>0</v>
      </c>
      <c r="V59" s="217" t="str">
        <f>IF(W59&gt;0,"Rp",IF(W59=0," "))</f>
        <v xml:space="preserve"> </v>
      </c>
      <c r="W59" s="218">
        <f t="shared" si="18"/>
        <v>0</v>
      </c>
      <c r="X59" s="217" t="str">
        <f>IF(Y59&gt;0,"Rp",IF(Y59=0," "))</f>
        <v xml:space="preserve"> </v>
      </c>
      <c r="Y59" s="218">
        <f t="shared" si="20"/>
        <v>0</v>
      </c>
      <c r="Z59" s="217" t="str">
        <f>IF(AA59&gt;0,"Rp",IF(AA59=0," "))</f>
        <v xml:space="preserve"> </v>
      </c>
      <c r="AA59" s="219">
        <f>W59*T59+U59*Y59</f>
        <v>0</v>
      </c>
      <c r="AB59" s="222"/>
      <c r="AC59" s="221"/>
      <c r="AE59" s="211"/>
      <c r="AF59" s="211"/>
      <c r="AI59" s="211" t="b">
        <f t="shared" si="23"/>
        <v>0</v>
      </c>
      <c r="AJ59" s="211" t="b">
        <f t="shared" si="24"/>
        <v>0</v>
      </c>
      <c r="AK59" s="211" t="b">
        <f t="shared" si="25"/>
        <v>0</v>
      </c>
      <c r="AL59" s="211" t="b">
        <f t="shared" si="26"/>
        <v>0</v>
      </c>
      <c r="AM59" s="211" t="b">
        <f t="shared" si="27"/>
        <v>0</v>
      </c>
      <c r="AN59" s="211" t="b">
        <f t="shared" si="28"/>
        <v>0</v>
      </c>
      <c r="AO59" s="211" t="b">
        <f t="shared" si="29"/>
        <v>0</v>
      </c>
    </row>
    <row r="60" spans="1:41" ht="24.95" customHeight="1" x14ac:dyDescent="0.25">
      <c r="B60" s="212">
        <v>10</v>
      </c>
      <c r="C60" s="202">
        <f t="shared" si="13"/>
        <v>0</v>
      </c>
      <c r="D60" s="213"/>
      <c r="E60" s="214">
        <f t="shared" si="14"/>
        <v>0</v>
      </c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6"/>
      <c r="U60" s="352"/>
      <c r="V60" s="217"/>
      <c r="W60" s="218"/>
      <c r="X60" s="217"/>
      <c r="Y60" s="218"/>
      <c r="Z60" s="217" t="str">
        <f t="shared" si="21"/>
        <v xml:space="preserve"> </v>
      </c>
      <c r="AA60" s="219">
        <f t="shared" si="22"/>
        <v>0</v>
      </c>
      <c r="AB60" s="222" t="str">
        <f>IF(AA60&gt;0,1,IF(AA60=0," "))</f>
        <v xml:space="preserve"> </v>
      </c>
      <c r="AC60" s="223"/>
      <c r="AE60" s="211"/>
      <c r="AF60" s="211"/>
      <c r="AI60" s="211" t="b">
        <f t="shared" si="23"/>
        <v>0</v>
      </c>
      <c r="AJ60" s="211" t="b">
        <f t="shared" si="24"/>
        <v>0</v>
      </c>
      <c r="AK60" s="211" t="b">
        <f t="shared" si="25"/>
        <v>0</v>
      </c>
      <c r="AL60" s="211" t="b">
        <f t="shared" si="26"/>
        <v>0</v>
      </c>
      <c r="AM60" s="211" t="b">
        <f t="shared" si="27"/>
        <v>0</v>
      </c>
      <c r="AN60" s="211" t="b">
        <f t="shared" si="28"/>
        <v>0</v>
      </c>
      <c r="AO60" s="211" t="b">
        <f t="shared" si="29"/>
        <v>0</v>
      </c>
    </row>
    <row r="61" spans="1:41" ht="24.95" customHeight="1" x14ac:dyDescent="0.25">
      <c r="B61" s="212">
        <v>11</v>
      </c>
      <c r="C61" s="202">
        <f t="shared" si="13"/>
        <v>0</v>
      </c>
      <c r="D61" s="213"/>
      <c r="E61" s="214">
        <f t="shared" si="14"/>
        <v>0</v>
      </c>
      <c r="F61" s="215"/>
      <c r="G61" s="215"/>
      <c r="H61" s="215"/>
      <c r="I61" s="215"/>
      <c r="J61" s="215"/>
      <c r="K61" s="215"/>
      <c r="L61" s="215"/>
      <c r="M61" s="215"/>
      <c r="N61" s="215"/>
      <c r="O61" s="215"/>
      <c r="P61" s="215"/>
      <c r="Q61" s="215"/>
      <c r="R61" s="215"/>
      <c r="S61" s="215"/>
      <c r="T61" s="216">
        <f>SUM(AI61:AO61)</f>
        <v>0</v>
      </c>
      <c r="U61" s="352">
        <f>SUM(F61:S61)/6</f>
        <v>0</v>
      </c>
      <c r="V61" s="217"/>
      <c r="W61" s="218"/>
      <c r="X61" s="217"/>
      <c r="Y61" s="218"/>
      <c r="Z61" s="217" t="str">
        <f t="shared" si="21"/>
        <v xml:space="preserve"> </v>
      </c>
      <c r="AA61" s="219">
        <f t="shared" si="22"/>
        <v>0</v>
      </c>
      <c r="AB61" s="222" t="str">
        <f>IF(AA61&gt;0,1,IF(AA61=0," "))</f>
        <v xml:space="preserve"> </v>
      </c>
      <c r="AC61" s="221"/>
      <c r="AE61" s="211"/>
      <c r="AF61" s="211"/>
      <c r="AI61" s="211" t="b">
        <f t="shared" si="23"/>
        <v>0</v>
      </c>
      <c r="AJ61" s="211" t="b">
        <f t="shared" si="24"/>
        <v>0</v>
      </c>
      <c r="AK61" s="211" t="b">
        <f t="shared" si="25"/>
        <v>0</v>
      </c>
      <c r="AL61" s="211" t="b">
        <f t="shared" si="26"/>
        <v>0</v>
      </c>
      <c r="AM61" s="211" t="b">
        <f t="shared" si="27"/>
        <v>0</v>
      </c>
      <c r="AN61" s="211" t="b">
        <f t="shared" si="28"/>
        <v>0</v>
      </c>
      <c r="AO61" s="211" t="b">
        <f t="shared" si="29"/>
        <v>0</v>
      </c>
    </row>
    <row r="62" spans="1:41" ht="24.95" customHeight="1" x14ac:dyDescent="0.25">
      <c r="B62" s="212">
        <v>12</v>
      </c>
      <c r="C62" s="202"/>
      <c r="D62" s="213"/>
      <c r="E62" s="214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215"/>
      <c r="T62" s="216">
        <f>SUM(AI62:AO62)</f>
        <v>0</v>
      </c>
      <c r="U62" s="216">
        <f>SUM(F62:S62)/6</f>
        <v>0</v>
      </c>
      <c r="V62" s="217"/>
      <c r="W62" s="218"/>
      <c r="X62" s="217"/>
      <c r="Y62" s="218"/>
      <c r="Z62" s="217" t="str">
        <f t="shared" si="21"/>
        <v xml:space="preserve"> </v>
      </c>
      <c r="AA62" s="219">
        <f t="shared" si="22"/>
        <v>0</v>
      </c>
      <c r="AB62" s="222" t="str">
        <f>IF(AA62&gt;0,1,IF(AA62=0," "))</f>
        <v xml:space="preserve"> </v>
      </c>
      <c r="AC62" s="223"/>
      <c r="AE62" s="211"/>
      <c r="AF62" s="211"/>
      <c r="AI62" s="211" t="b">
        <f t="shared" si="23"/>
        <v>0</v>
      </c>
      <c r="AJ62" s="211" t="b">
        <f t="shared" si="24"/>
        <v>0</v>
      </c>
      <c r="AK62" s="211" t="b">
        <f t="shared" si="25"/>
        <v>0</v>
      </c>
      <c r="AL62" s="211" t="b">
        <f t="shared" si="26"/>
        <v>0</v>
      </c>
      <c r="AM62" s="211" t="b">
        <f t="shared" si="27"/>
        <v>0</v>
      </c>
      <c r="AN62" s="211" t="b">
        <f t="shared" si="28"/>
        <v>0</v>
      </c>
      <c r="AO62" s="211" t="b">
        <f t="shared" si="29"/>
        <v>0</v>
      </c>
    </row>
    <row r="63" spans="1:41" ht="24.95" customHeight="1" thickBot="1" x14ac:dyDescent="0.25">
      <c r="B63" s="233"/>
      <c r="C63" s="234"/>
      <c r="D63" s="235"/>
      <c r="E63" s="236"/>
      <c r="F63" s="237"/>
      <c r="G63" s="237"/>
      <c r="H63" s="238"/>
      <c r="I63" s="238"/>
      <c r="J63" s="239"/>
      <c r="K63" s="239"/>
      <c r="L63" s="239"/>
      <c r="M63" s="239"/>
      <c r="N63" s="240"/>
      <c r="O63" s="240"/>
      <c r="P63" s="240"/>
      <c r="Q63" s="240"/>
      <c r="R63" s="240"/>
      <c r="S63" s="240"/>
      <c r="T63" s="241"/>
      <c r="U63" s="241"/>
      <c r="V63" s="242"/>
      <c r="W63" s="243"/>
      <c r="X63" s="242"/>
      <c r="Y63" s="243"/>
      <c r="Z63" s="244"/>
      <c r="AA63" s="245"/>
      <c r="AB63" s="246"/>
      <c r="AC63" s="247"/>
      <c r="AE63" s="211"/>
      <c r="AF63" s="211"/>
    </row>
    <row r="64" spans="1:41" ht="20.100000000000001" customHeight="1" thickTop="1" thickBot="1" x14ac:dyDescent="0.3">
      <c r="A64" s="179">
        <v>2</v>
      </c>
      <c r="B64" s="248"/>
      <c r="C64" s="249"/>
      <c r="D64" s="249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50" t="s">
        <v>40</v>
      </c>
      <c r="X64" s="249"/>
      <c r="Y64" s="250" t="s">
        <v>40</v>
      </c>
      <c r="Z64" s="249"/>
      <c r="AA64" s="710">
        <f>SUM(AA51:AA63)</f>
        <v>5350000</v>
      </c>
      <c r="AB64" s="711"/>
      <c r="AC64" s="712"/>
      <c r="AE64" s="226" t="str">
        <f>VLOOKUP(A64,'Rekap Gaji'!$B$12:$P$32,10,FALSE)</f>
        <v xml:space="preserve"> 13 September 2025</v>
      </c>
      <c r="AF64" s="251" t="e">
        <f>AE64-AA64</f>
        <v>#VALUE!</v>
      </c>
    </row>
    <row r="65" spans="1:32" ht="11.25" customHeight="1" x14ac:dyDescent="0.25"/>
    <row r="66" spans="1:32" ht="16.5" customHeight="1" x14ac:dyDescent="0.25">
      <c r="B66" s="195" t="s">
        <v>41</v>
      </c>
      <c r="C66" s="140" t="s">
        <v>42</v>
      </c>
    </row>
    <row r="67" spans="1:32" ht="14.25" x14ac:dyDescent="0.25">
      <c r="H67" s="183"/>
      <c r="I67" s="183"/>
      <c r="J67" s="182"/>
      <c r="K67" s="182"/>
      <c r="T67" s="141"/>
      <c r="U67" s="141"/>
      <c r="V67" s="141"/>
      <c r="X67" s="141"/>
      <c r="AA67" s="190" t="str">
        <f>'BKU 1'!$I$25</f>
        <v>NGANTANG</v>
      </c>
      <c r="AB67" s="713">
        <f>IFERROR(VLOOKUP(E45,'Rekap Gaji'!$B$12:$P$32,7,FALSE),"-")</f>
        <v>45913</v>
      </c>
      <c r="AC67" s="713"/>
      <c r="AD67" s="252"/>
      <c r="AE67" s="252"/>
    </row>
    <row r="68" spans="1:32" ht="15.75" x14ac:dyDescent="0.25">
      <c r="C68" s="140" t="s">
        <v>43</v>
      </c>
      <c r="F68" s="253"/>
      <c r="G68" s="253"/>
      <c r="H68" s="254"/>
      <c r="I68" s="254"/>
      <c r="J68" s="255"/>
      <c r="K68" s="255"/>
      <c r="L68" s="256"/>
      <c r="M68" s="256"/>
      <c r="N68" s="225" t="s">
        <v>44</v>
      </c>
      <c r="O68" s="225"/>
      <c r="P68" s="253"/>
      <c r="Q68" s="253"/>
      <c r="T68" s="141"/>
      <c r="U68" s="141"/>
      <c r="V68" s="141"/>
      <c r="X68" s="141"/>
      <c r="AA68" s="140" t="str">
        <f>'BKU 1'!$L$354</f>
        <v>Dibuat Oleh ;</v>
      </c>
      <c r="AB68" s="141"/>
    </row>
    <row r="69" spans="1:32" ht="14.25" x14ac:dyDescent="0.25">
      <c r="C69" s="140" t="str">
        <f>'BKU 1'!$C$355</f>
        <v>Kepala Sekolah SDN 1 SIDODADI</v>
      </c>
      <c r="F69" s="187"/>
      <c r="G69" s="187"/>
      <c r="H69" s="224"/>
      <c r="I69" s="224"/>
      <c r="J69" s="182"/>
      <c r="K69" s="182"/>
      <c r="L69" s="183"/>
      <c r="M69" s="183"/>
      <c r="N69" s="140" t="s">
        <v>45</v>
      </c>
      <c r="P69" s="187"/>
      <c r="Q69" s="187"/>
      <c r="AA69" s="140" t="str">
        <f>'BKU 1'!$L$355</f>
        <v>Bendahara Pembangunan</v>
      </c>
      <c r="AB69" s="141"/>
    </row>
    <row r="70" spans="1:32" ht="14.25" x14ac:dyDescent="0.25">
      <c r="F70" s="187"/>
      <c r="G70" s="187"/>
      <c r="H70" s="224"/>
      <c r="I70" s="224"/>
      <c r="J70" s="182"/>
      <c r="K70" s="182"/>
      <c r="L70" s="183"/>
      <c r="M70" s="183"/>
      <c r="P70" s="187"/>
      <c r="Q70" s="187"/>
      <c r="AA70" s="140"/>
      <c r="AB70" s="141"/>
    </row>
    <row r="71" spans="1:32" ht="14.25" x14ac:dyDescent="0.25">
      <c r="F71" s="187"/>
      <c r="G71" s="187"/>
      <c r="H71" s="224"/>
      <c r="I71" s="224"/>
      <c r="J71" s="182"/>
      <c r="K71" s="182"/>
      <c r="L71" s="183"/>
      <c r="M71" s="183"/>
      <c r="P71" s="187"/>
      <c r="Q71" s="187"/>
      <c r="AA71" s="140"/>
      <c r="AB71" s="141"/>
    </row>
    <row r="72" spans="1:32" ht="14.25" x14ac:dyDescent="0.25">
      <c r="F72" s="187"/>
      <c r="G72" s="187"/>
      <c r="H72" s="224"/>
      <c r="I72" s="224"/>
      <c r="J72" s="182"/>
      <c r="K72" s="182"/>
      <c r="L72" s="183"/>
      <c r="M72" s="183"/>
      <c r="P72" s="187"/>
      <c r="Q72" s="187"/>
      <c r="AA72" s="140"/>
      <c r="AB72" s="141"/>
    </row>
    <row r="73" spans="1:32" ht="14.25" x14ac:dyDescent="0.25">
      <c r="F73" s="187"/>
      <c r="G73" s="187"/>
      <c r="H73" s="224"/>
      <c r="I73" s="224"/>
      <c r="J73" s="182"/>
      <c r="K73" s="182"/>
      <c r="L73" s="183"/>
      <c r="M73" s="183"/>
      <c r="P73" s="187"/>
      <c r="Q73" s="187"/>
      <c r="AA73" s="140"/>
      <c r="AB73" s="141"/>
    </row>
    <row r="74" spans="1:32" x14ac:dyDescent="0.25">
      <c r="H74" s="225"/>
      <c r="I74" s="225"/>
      <c r="AA74" s="140"/>
    </row>
    <row r="75" spans="1:32" x14ac:dyDescent="0.25">
      <c r="H75" s="225"/>
      <c r="I75" s="225"/>
      <c r="AA75" s="140"/>
    </row>
    <row r="76" spans="1:32" s="189" customFormat="1" ht="15" customHeight="1" x14ac:dyDescent="0.25">
      <c r="A76" s="192"/>
      <c r="B76" s="195"/>
      <c r="C76" s="227" t="str">
        <f>'BKU 1'!$C$360</f>
        <v>MELIA FITRIANI, S.Pd.SD</v>
      </c>
      <c r="D76" s="227"/>
      <c r="H76" s="228"/>
      <c r="I76" s="228"/>
      <c r="J76" s="195"/>
      <c r="K76" s="195"/>
      <c r="L76" s="194"/>
      <c r="M76" s="194"/>
      <c r="N76" s="229" t="str">
        <f>'BKU 1'!$H$360</f>
        <v>HARTATIK</v>
      </c>
      <c r="O76" s="229"/>
      <c r="AA76" s="227" t="str">
        <f>'BKU 1'!$L$360</f>
        <v>ARIF NUR UDIN, S.Pd.SD</v>
      </c>
      <c r="AC76" s="230"/>
      <c r="AE76" s="231"/>
      <c r="AF76" s="231"/>
    </row>
    <row r="77" spans="1:32" s="189" customFormat="1" ht="15" customHeight="1" x14ac:dyDescent="0.25">
      <c r="A77" s="192"/>
      <c r="B77" s="195"/>
      <c r="C77" s="140" t="str">
        <f>'BKU 1'!$C$361</f>
        <v>NIP. 19850619 200904 2 000</v>
      </c>
      <c r="D77" s="140"/>
      <c r="E77" s="140"/>
      <c r="F77" s="140"/>
      <c r="G77" s="140"/>
      <c r="H77" s="225"/>
      <c r="I77" s="225"/>
      <c r="J77" s="191"/>
      <c r="K77" s="191"/>
      <c r="L77" s="190"/>
      <c r="M77" s="190"/>
      <c r="N77" s="232"/>
      <c r="O77" s="232"/>
      <c r="P77" s="140"/>
      <c r="Q77" s="140"/>
      <c r="T77" s="140"/>
      <c r="U77" s="140"/>
      <c r="V77" s="140"/>
      <c r="W77" s="140"/>
      <c r="X77" s="140"/>
      <c r="Y77" s="140"/>
      <c r="Z77" s="140"/>
      <c r="AA77" s="140" t="str">
        <f>'BKU 1'!$L$361</f>
        <v>NIP. 19840719 200903 1 002</v>
      </c>
      <c r="AC77" s="230"/>
      <c r="AE77" s="231"/>
      <c r="AF77" s="231"/>
    </row>
    <row r="78" spans="1:32" ht="6" customHeight="1" x14ac:dyDescent="0.25"/>
    <row r="79" spans="1:32" s="177" customFormat="1" ht="24.95" customHeight="1" x14ac:dyDescent="0.25">
      <c r="A79" s="176"/>
      <c r="B79" s="726" t="s">
        <v>6</v>
      </c>
      <c r="C79" s="726"/>
      <c r="D79" s="726"/>
      <c r="E79" s="726"/>
      <c r="F79" s="726"/>
      <c r="G79" s="726"/>
      <c r="H79" s="726"/>
      <c r="I79" s="726"/>
      <c r="J79" s="726"/>
      <c r="K79" s="726"/>
      <c r="L79" s="726"/>
      <c r="M79" s="726"/>
      <c r="N79" s="726"/>
      <c r="O79" s="726"/>
      <c r="P79" s="726"/>
      <c r="Q79" s="726"/>
      <c r="R79" s="726"/>
      <c r="S79" s="726"/>
      <c r="T79" s="726"/>
      <c r="U79" s="726"/>
      <c r="V79" s="726"/>
      <c r="W79" s="726"/>
      <c r="X79" s="726"/>
      <c r="Y79" s="726"/>
      <c r="Z79" s="726"/>
      <c r="AA79" s="726"/>
      <c r="AB79" s="726"/>
      <c r="AC79" s="726"/>
      <c r="AE79" s="178"/>
      <c r="AF79" s="178"/>
    </row>
    <row r="80" spans="1:32" s="177" customFormat="1" ht="24.95" customHeight="1" x14ac:dyDescent="0.25">
      <c r="A80" s="176"/>
      <c r="B80" s="726" t="str">
        <f>'BKU 1'!$D$22</f>
        <v>PEMBANGUNAN TOILET BESERTA SANITASINYA</v>
      </c>
      <c r="C80" s="726"/>
      <c r="D80" s="726"/>
      <c r="E80" s="726"/>
      <c r="F80" s="726"/>
      <c r="G80" s="726"/>
      <c r="H80" s="726"/>
      <c r="I80" s="726"/>
      <c r="J80" s="726"/>
      <c r="K80" s="726"/>
      <c r="L80" s="726"/>
      <c r="M80" s="726"/>
      <c r="N80" s="726"/>
      <c r="O80" s="726"/>
      <c r="P80" s="726"/>
      <c r="Q80" s="726"/>
      <c r="R80" s="726"/>
      <c r="S80" s="726"/>
      <c r="T80" s="726"/>
      <c r="U80" s="726"/>
      <c r="V80" s="726"/>
      <c r="W80" s="726"/>
      <c r="X80" s="726"/>
      <c r="Y80" s="726"/>
      <c r="Z80" s="726"/>
      <c r="AA80" s="726"/>
      <c r="AB80" s="726"/>
      <c r="AC80" s="726"/>
      <c r="AE80" s="178"/>
      <c r="AF80" s="178"/>
    </row>
    <row r="81" spans="1:41" s="184" customFormat="1" ht="30.75" customHeight="1" x14ac:dyDescent="0.25">
      <c r="A81" s="179"/>
      <c r="B81" s="180"/>
      <c r="C81" s="181"/>
      <c r="D81" s="181"/>
      <c r="E81" s="181"/>
      <c r="F81" s="182"/>
      <c r="G81" s="182"/>
      <c r="H81" s="183"/>
      <c r="I81" s="183"/>
      <c r="J81" s="182"/>
      <c r="K81" s="182"/>
      <c r="L81" s="183"/>
      <c r="M81" s="183"/>
      <c r="N81" s="182"/>
      <c r="O81" s="182"/>
      <c r="P81" s="182"/>
      <c r="Q81" s="182"/>
      <c r="R81" s="182"/>
      <c r="S81" s="182"/>
      <c r="T81" s="181"/>
      <c r="U81" s="181"/>
      <c r="V81" s="181"/>
      <c r="X81" s="181"/>
      <c r="AA81" s="180"/>
      <c r="AB81" s="140"/>
      <c r="AC81" s="185"/>
      <c r="AE81" s="186"/>
      <c r="AF81" s="186"/>
    </row>
    <row r="82" spans="1:41" s="184" customFormat="1" ht="14.25" x14ac:dyDescent="0.25">
      <c r="A82" s="179"/>
      <c r="B82" s="185" t="s">
        <v>7</v>
      </c>
      <c r="D82" s="184" t="s">
        <v>49</v>
      </c>
      <c r="E82" s="184" t="str">
        <f>'BKU 1'!$D$25</f>
        <v>SDN 1 SIDODADI</v>
      </c>
      <c r="F82" s="140"/>
      <c r="G82" s="140"/>
      <c r="H82" s="183"/>
      <c r="I82" s="183"/>
      <c r="J82" s="182"/>
      <c r="K82" s="182"/>
      <c r="L82" s="183"/>
      <c r="M82" s="183"/>
      <c r="N82" s="187"/>
      <c r="O82" s="187"/>
      <c r="P82" s="187"/>
      <c r="Q82" s="187"/>
      <c r="R82" s="187"/>
      <c r="S82" s="187"/>
      <c r="T82" s="188"/>
      <c r="U82" s="188"/>
      <c r="V82" s="188"/>
      <c r="X82" s="188"/>
      <c r="AA82" s="180"/>
      <c r="AB82" s="189" t="s">
        <v>8</v>
      </c>
      <c r="AC82" s="185"/>
      <c r="AE82" s="186"/>
      <c r="AF82" s="186"/>
    </row>
    <row r="83" spans="1:41" s="184" customFormat="1" x14ac:dyDescent="0.25">
      <c r="A83" s="179"/>
      <c r="B83" s="185" t="s">
        <v>9</v>
      </c>
      <c r="D83" s="184" t="s">
        <v>49</v>
      </c>
      <c r="E83" s="184" t="str">
        <f>'BKU 1'!$D$26</f>
        <v>Jl. Kawi No.36 Rt. 1 Rw. 1 Dusun Sekar, Rt / Rw : 1 / 1, Dusun : Sekar, Kelurahan : Sidodadi</v>
      </c>
      <c r="F83" s="140"/>
      <c r="G83" s="140"/>
      <c r="H83" s="190"/>
      <c r="I83" s="190"/>
      <c r="J83" s="191"/>
      <c r="K83" s="191"/>
      <c r="L83" s="190"/>
      <c r="M83" s="190"/>
      <c r="N83" s="140"/>
      <c r="O83" s="140"/>
      <c r="P83" s="140"/>
      <c r="Q83" s="140"/>
      <c r="R83" s="140"/>
      <c r="S83" s="140"/>
      <c r="AA83" s="180"/>
      <c r="AB83" s="140" t="s">
        <v>10</v>
      </c>
      <c r="AC83" s="185" t="s">
        <v>11</v>
      </c>
      <c r="AE83" s="186"/>
      <c r="AF83" s="186"/>
    </row>
    <row r="84" spans="1:41" s="184" customFormat="1" x14ac:dyDescent="0.25">
      <c r="A84" s="179"/>
      <c r="B84" s="185" t="s">
        <v>12</v>
      </c>
      <c r="D84" s="184" t="s">
        <v>49</v>
      </c>
      <c r="E84" s="180">
        <f>E45+1</f>
        <v>3</v>
      </c>
      <c r="F84" s="140"/>
      <c r="G84" s="140"/>
      <c r="H84" s="727">
        <f>IFERROR(VLOOKUP(E84,'Rekap Gaji'!$B$12:$P$32,14,FALSE),"-")</f>
        <v>0</v>
      </c>
      <c r="I84" s="727"/>
      <c r="J84" s="727"/>
      <c r="K84" s="727"/>
      <c r="L84" s="727"/>
      <c r="M84" s="191"/>
      <c r="N84" s="140"/>
      <c r="O84" s="140"/>
      <c r="P84" s="140"/>
      <c r="Q84" s="140"/>
      <c r="R84" s="140"/>
      <c r="S84" s="140"/>
      <c r="AA84" s="180"/>
      <c r="AB84" s="140" t="s">
        <v>13</v>
      </c>
      <c r="AC84" s="185" t="s">
        <v>14</v>
      </c>
      <c r="AE84" s="186"/>
      <c r="AF84" s="186"/>
    </row>
    <row r="85" spans="1:41" s="184" customFormat="1" ht="15" customHeight="1" x14ac:dyDescent="0.25">
      <c r="A85" s="179"/>
      <c r="B85" s="185" t="s">
        <v>0</v>
      </c>
      <c r="D85" s="184" t="s">
        <v>49</v>
      </c>
      <c r="E85" s="728">
        <f>IFERROR(VLOOKUP(E84,'Rekap Gaji'!$B$12:$P$32,4,FALSE),"-")</f>
        <v>45914</v>
      </c>
      <c r="F85" s="728"/>
      <c r="G85" s="728"/>
      <c r="H85" s="728"/>
      <c r="I85" s="728"/>
      <c r="J85" s="728"/>
      <c r="K85" s="339"/>
      <c r="L85" s="727" t="s">
        <v>76</v>
      </c>
      <c r="M85" s="727"/>
      <c r="N85" s="727"/>
      <c r="O85" s="191"/>
      <c r="P85" s="728">
        <f>IFERROR(VLOOKUP(E84,'Rekap Gaji'!$B$12:$P$32,6,FALSE),"-")</f>
        <v>45920</v>
      </c>
      <c r="Q85" s="728"/>
      <c r="R85" s="728"/>
      <c r="S85" s="728"/>
      <c r="T85" s="728"/>
      <c r="U85" s="728"/>
      <c r="V85" s="728"/>
      <c r="AA85" s="180"/>
      <c r="AB85" s="140" t="s">
        <v>15</v>
      </c>
      <c r="AC85" s="185" t="s">
        <v>16</v>
      </c>
      <c r="AE85" s="186"/>
      <c r="AF85" s="186"/>
    </row>
    <row r="86" spans="1:41" s="188" customFormat="1" ht="8.1" customHeight="1" thickBot="1" x14ac:dyDescent="0.3">
      <c r="A86" s="192"/>
      <c r="B86" s="193"/>
      <c r="F86" s="189"/>
      <c r="G86" s="189"/>
      <c r="H86" s="194"/>
      <c r="I86" s="194"/>
      <c r="J86" s="195"/>
      <c r="K86" s="195"/>
      <c r="L86" s="194"/>
      <c r="M86" s="194"/>
      <c r="N86" s="189"/>
      <c r="O86" s="189"/>
      <c r="P86" s="189"/>
      <c r="Q86" s="189"/>
      <c r="R86" s="189"/>
      <c r="S86" s="189"/>
      <c r="AA86" s="193"/>
      <c r="AB86" s="189"/>
      <c r="AC86" s="196"/>
      <c r="AE86" s="197"/>
      <c r="AF86" s="197"/>
    </row>
    <row r="87" spans="1:41" s="343" customFormat="1" ht="15" customHeight="1" x14ac:dyDescent="0.25">
      <c r="A87" s="340"/>
      <c r="B87" s="744" t="s">
        <v>17</v>
      </c>
      <c r="C87" s="735" t="s">
        <v>18</v>
      </c>
      <c r="D87" s="747"/>
      <c r="E87" s="342" t="s">
        <v>19</v>
      </c>
      <c r="F87" s="714" t="s">
        <v>20</v>
      </c>
      <c r="G87" s="715"/>
      <c r="H87" s="715"/>
      <c r="I87" s="715"/>
      <c r="J87" s="715"/>
      <c r="K87" s="715"/>
      <c r="L87" s="715"/>
      <c r="M87" s="715"/>
      <c r="N87" s="715"/>
      <c r="O87" s="715"/>
      <c r="P87" s="715"/>
      <c r="Q87" s="715"/>
      <c r="R87" s="715"/>
      <c r="S87" s="716"/>
      <c r="T87" s="341" t="s">
        <v>2</v>
      </c>
      <c r="U87" s="341" t="s">
        <v>474</v>
      </c>
      <c r="V87" s="735" t="s">
        <v>21</v>
      </c>
      <c r="W87" s="747"/>
      <c r="X87" s="735" t="s">
        <v>21</v>
      </c>
      <c r="Y87" s="747"/>
      <c r="Z87" s="735" t="s">
        <v>22</v>
      </c>
      <c r="AA87" s="747"/>
      <c r="AB87" s="735" t="s">
        <v>23</v>
      </c>
      <c r="AC87" s="736"/>
      <c r="AE87" s="344"/>
      <c r="AF87" s="344"/>
    </row>
    <row r="88" spans="1:41" s="343" customFormat="1" ht="28.9" customHeight="1" x14ac:dyDescent="0.25">
      <c r="A88" s="340"/>
      <c r="B88" s="745"/>
      <c r="C88" s="737"/>
      <c r="D88" s="743"/>
      <c r="E88" s="346" t="s">
        <v>24</v>
      </c>
      <c r="F88" s="741" t="s">
        <v>25</v>
      </c>
      <c r="G88" s="347" t="s">
        <v>475</v>
      </c>
      <c r="H88" s="741" t="s">
        <v>26</v>
      </c>
      <c r="I88" s="347" t="s">
        <v>475</v>
      </c>
      <c r="J88" s="741" t="s">
        <v>26</v>
      </c>
      <c r="K88" s="347" t="s">
        <v>475</v>
      </c>
      <c r="L88" s="741" t="s">
        <v>27</v>
      </c>
      <c r="M88" s="347" t="s">
        <v>475</v>
      </c>
      <c r="N88" s="741" t="s">
        <v>28</v>
      </c>
      <c r="O88" s="347" t="s">
        <v>475</v>
      </c>
      <c r="P88" s="741" t="s">
        <v>29</v>
      </c>
      <c r="Q88" s="347" t="s">
        <v>475</v>
      </c>
      <c r="R88" s="741" t="s">
        <v>26</v>
      </c>
      <c r="S88" s="347" t="s">
        <v>475</v>
      </c>
      <c r="T88" s="345" t="s">
        <v>30</v>
      </c>
      <c r="U88" s="345" t="s">
        <v>476</v>
      </c>
      <c r="V88" s="737" t="s">
        <v>455</v>
      </c>
      <c r="W88" s="743"/>
      <c r="X88" s="737" t="s">
        <v>477</v>
      </c>
      <c r="Y88" s="743"/>
      <c r="Z88" s="737" t="s">
        <v>31</v>
      </c>
      <c r="AA88" s="743"/>
      <c r="AB88" s="737"/>
      <c r="AC88" s="738"/>
      <c r="AE88" s="344"/>
      <c r="AF88" s="344"/>
    </row>
    <row r="89" spans="1:41" s="343" customFormat="1" ht="15" customHeight="1" thickBot="1" x14ac:dyDescent="0.3">
      <c r="A89" s="340"/>
      <c r="B89" s="746"/>
      <c r="C89" s="739"/>
      <c r="D89" s="748"/>
      <c r="E89" s="349" t="s">
        <v>32</v>
      </c>
      <c r="F89" s="742"/>
      <c r="G89" s="350" t="s">
        <v>478</v>
      </c>
      <c r="H89" s="742"/>
      <c r="I89" s="350" t="s">
        <v>478</v>
      </c>
      <c r="J89" s="742"/>
      <c r="K89" s="350" t="s">
        <v>478</v>
      </c>
      <c r="L89" s="742"/>
      <c r="M89" s="350" t="s">
        <v>478</v>
      </c>
      <c r="N89" s="742"/>
      <c r="O89" s="350" t="s">
        <v>478</v>
      </c>
      <c r="P89" s="742"/>
      <c r="Q89" s="350" t="s">
        <v>478</v>
      </c>
      <c r="R89" s="742"/>
      <c r="S89" s="350" t="s">
        <v>478</v>
      </c>
      <c r="T89" s="348" t="s">
        <v>31</v>
      </c>
      <c r="U89" s="348" t="s">
        <v>479</v>
      </c>
      <c r="V89" s="739" t="s">
        <v>33</v>
      </c>
      <c r="W89" s="748"/>
      <c r="X89" s="739" t="s">
        <v>33</v>
      </c>
      <c r="Y89" s="748"/>
      <c r="Z89" s="739" t="s">
        <v>34</v>
      </c>
      <c r="AA89" s="748"/>
      <c r="AB89" s="739"/>
      <c r="AC89" s="740"/>
      <c r="AE89" s="344"/>
      <c r="AF89" s="344"/>
    </row>
    <row r="90" spans="1:41" ht="24.95" customHeight="1" x14ac:dyDescent="0.25">
      <c r="B90" s="201">
        <v>1</v>
      </c>
      <c r="C90" s="202" t="str">
        <f>C51</f>
        <v>KUSMAN H</v>
      </c>
      <c r="D90" s="203"/>
      <c r="E90" s="204" t="str">
        <f>E51</f>
        <v>A</v>
      </c>
      <c r="F90" s="205" t="s">
        <v>36</v>
      </c>
      <c r="G90" s="205"/>
      <c r="H90" s="205" t="s">
        <v>37</v>
      </c>
      <c r="I90" s="205"/>
      <c r="J90" s="205" t="s">
        <v>37</v>
      </c>
      <c r="K90" s="205"/>
      <c r="L90" s="205" t="s">
        <v>37</v>
      </c>
      <c r="M90" s="205"/>
      <c r="N90" s="205" t="s">
        <v>37</v>
      </c>
      <c r="O90" s="205"/>
      <c r="P90" s="205" t="s">
        <v>37</v>
      </c>
      <c r="Q90" s="205"/>
      <c r="R90" s="205" t="s">
        <v>37</v>
      </c>
      <c r="S90" s="205"/>
      <c r="T90" s="206">
        <f>SUM(AI90:AO90)</f>
        <v>6</v>
      </c>
      <c r="U90" s="206">
        <f>SUM(F90:S90)</f>
        <v>0</v>
      </c>
      <c r="V90" s="207" t="str">
        <f>IF(W90&gt;0,"Rp",IF(W90=0," "))</f>
        <v>Rp</v>
      </c>
      <c r="W90" s="208">
        <f>W51</f>
        <v>135000</v>
      </c>
      <c r="X90" s="207" t="str">
        <f>IF(Y90&gt;0,"Rp",IF(Y90=0," "))</f>
        <v>Rp</v>
      </c>
      <c r="Y90" s="208">
        <f>Y51</f>
        <v>20000</v>
      </c>
      <c r="Z90" s="207" t="str">
        <f>IF(AA90&gt;0,"Rp",IF(AA90=0," "))</f>
        <v>Rp</v>
      </c>
      <c r="AA90" s="208">
        <f>W90*T90+U90*Y90</f>
        <v>810000</v>
      </c>
      <c r="AB90" s="209">
        <v>1</v>
      </c>
      <c r="AC90" s="210"/>
      <c r="AE90" s="211"/>
      <c r="AF90" s="211"/>
      <c r="AI90" s="211">
        <f>IFERROR(IF(F90="V",1,IF(F90="X",0))," ")</f>
        <v>0</v>
      </c>
      <c r="AJ90" s="211">
        <f>IFERROR(IF(H90="V",1,IF(H90="X",0))," ")</f>
        <v>1</v>
      </c>
      <c r="AK90" s="211">
        <f>IFERROR(IF(J90="V",1,IF(J90="X",0))," ")</f>
        <v>1</v>
      </c>
      <c r="AL90" s="211">
        <f>IFERROR(IF(L90="V",1,IF(L90="X",0))," ")</f>
        <v>1</v>
      </c>
      <c r="AM90" s="211">
        <f>IFERROR(IF(N90="V",1,IF(N90="X",0))," ")</f>
        <v>1</v>
      </c>
      <c r="AN90" s="211">
        <f>IFERROR(IF(P90="V",1,IF(P90="X",0))," ")</f>
        <v>1</v>
      </c>
      <c r="AO90" s="211">
        <f>IFERROR(IF(R90="V",1,IF(R90="X",0))," ")</f>
        <v>1</v>
      </c>
    </row>
    <row r="91" spans="1:41" ht="24.95" customHeight="1" x14ac:dyDescent="0.25">
      <c r="B91" s="212">
        <v>2</v>
      </c>
      <c r="C91" s="202" t="str">
        <f t="shared" ref="C91:C99" si="30">C52</f>
        <v>BUSANI</v>
      </c>
      <c r="D91" s="213"/>
      <c r="E91" s="214" t="str">
        <f t="shared" ref="E91:E99" si="31">E52</f>
        <v>B</v>
      </c>
      <c r="F91" s="215" t="s">
        <v>36</v>
      </c>
      <c r="G91" s="215"/>
      <c r="H91" s="215" t="s">
        <v>37</v>
      </c>
      <c r="I91" s="215"/>
      <c r="J91" s="215" t="s">
        <v>37</v>
      </c>
      <c r="K91" s="215"/>
      <c r="L91" s="215" t="s">
        <v>37</v>
      </c>
      <c r="M91" s="215"/>
      <c r="N91" s="215" t="s">
        <v>37</v>
      </c>
      <c r="O91" s="215"/>
      <c r="P91" s="215" t="s">
        <v>37</v>
      </c>
      <c r="Q91" s="215"/>
      <c r="R91" s="215" t="s">
        <v>37</v>
      </c>
      <c r="S91" s="215"/>
      <c r="T91" s="216">
        <f t="shared" ref="T91:T97" si="32">SUM(AI91:AO91)</f>
        <v>6</v>
      </c>
      <c r="U91" s="351">
        <f t="shared" ref="U91:U98" si="33">SUM(F91:S91)</f>
        <v>0</v>
      </c>
      <c r="V91" s="217" t="str">
        <f t="shared" ref="V91:V98" si="34">IF(W91&gt;0,"Rp",IF(W91=0," "))</f>
        <v>Rp</v>
      </c>
      <c r="W91" s="218">
        <f t="shared" ref="W91:W98" si="35">W52</f>
        <v>125000</v>
      </c>
      <c r="X91" s="217" t="str">
        <f t="shared" ref="X91:X98" si="36">IF(Y91&gt;0,"Rp",IF(Y91=0," "))</f>
        <v>Rp</v>
      </c>
      <c r="Y91" s="218">
        <f t="shared" ref="Y91:Y98" si="37">Y52</f>
        <v>15000</v>
      </c>
      <c r="Z91" s="217" t="str">
        <f t="shared" ref="Z91:Z99" si="38">IF(AA91&gt;0,"Rp",IF(AA91=0," "))</f>
        <v>Rp</v>
      </c>
      <c r="AA91" s="219">
        <f t="shared" ref="AA91:AA99" si="39">W91*T91+U91*Y91</f>
        <v>750000</v>
      </c>
      <c r="AB91" s="220"/>
      <c r="AC91" s="221">
        <v>2</v>
      </c>
      <c r="AE91" s="211"/>
      <c r="AF91" s="211"/>
      <c r="AI91" s="211">
        <f t="shared" ref="AI91:AI101" si="40">IFERROR(IF(F91="V",1,IF(F91="X",0))," ")</f>
        <v>0</v>
      </c>
      <c r="AJ91" s="211">
        <f t="shared" ref="AJ91:AJ101" si="41">IFERROR(IF(H91="V",1,IF(H91="X",0))," ")</f>
        <v>1</v>
      </c>
      <c r="AK91" s="211">
        <f t="shared" ref="AK91:AK101" si="42">IFERROR(IF(J91="V",1,IF(J91="X",0))," ")</f>
        <v>1</v>
      </c>
      <c r="AL91" s="211">
        <f t="shared" ref="AL91:AL101" si="43">IFERROR(IF(L91="V",1,IF(L91="X",0))," ")</f>
        <v>1</v>
      </c>
      <c r="AM91" s="211">
        <f t="shared" ref="AM91:AM101" si="44">IFERROR(IF(N91="V",1,IF(N91="X",0))," ")</f>
        <v>1</v>
      </c>
      <c r="AN91" s="211">
        <f t="shared" ref="AN91:AN101" si="45">IFERROR(IF(P91="V",1,IF(P91="X",0))," ")</f>
        <v>1</v>
      </c>
      <c r="AO91" s="211">
        <f t="shared" ref="AO91:AO101" si="46">IFERROR(IF(R91="V",1,IF(R91="X",0))," ")</f>
        <v>1</v>
      </c>
    </row>
    <row r="92" spans="1:41" ht="24.95" customHeight="1" x14ac:dyDescent="0.25">
      <c r="B92" s="212">
        <v>3</v>
      </c>
      <c r="C92" s="202" t="str">
        <f t="shared" si="30"/>
        <v>LASMARI</v>
      </c>
      <c r="D92" s="213"/>
      <c r="E92" s="214" t="str">
        <f t="shared" si="31"/>
        <v>B</v>
      </c>
      <c r="F92" s="215" t="s">
        <v>36</v>
      </c>
      <c r="G92" s="215"/>
      <c r="H92" s="215" t="s">
        <v>37</v>
      </c>
      <c r="I92" s="215"/>
      <c r="J92" s="215" t="s">
        <v>37</v>
      </c>
      <c r="K92" s="215"/>
      <c r="L92" s="215" t="s">
        <v>37</v>
      </c>
      <c r="M92" s="215"/>
      <c r="N92" s="215" t="s">
        <v>37</v>
      </c>
      <c r="O92" s="215"/>
      <c r="P92" s="215" t="s">
        <v>37</v>
      </c>
      <c r="Q92" s="215"/>
      <c r="R92" s="215" t="s">
        <v>37</v>
      </c>
      <c r="S92" s="215"/>
      <c r="T92" s="216">
        <f t="shared" si="32"/>
        <v>6</v>
      </c>
      <c r="U92" s="351">
        <f t="shared" si="33"/>
        <v>0</v>
      </c>
      <c r="V92" s="217" t="str">
        <f t="shared" si="34"/>
        <v>Rp</v>
      </c>
      <c r="W92" s="218">
        <f t="shared" si="35"/>
        <v>125000</v>
      </c>
      <c r="X92" s="217" t="str">
        <f t="shared" si="36"/>
        <v>Rp</v>
      </c>
      <c r="Y92" s="218">
        <f t="shared" si="37"/>
        <v>15000</v>
      </c>
      <c r="Z92" s="217" t="str">
        <f t="shared" si="38"/>
        <v>Rp</v>
      </c>
      <c r="AA92" s="219">
        <f t="shared" si="39"/>
        <v>750000</v>
      </c>
      <c r="AB92" s="222">
        <v>3</v>
      </c>
      <c r="AC92" s="221"/>
      <c r="AE92" s="211"/>
      <c r="AF92" s="211"/>
      <c r="AI92" s="211">
        <f t="shared" si="40"/>
        <v>0</v>
      </c>
      <c r="AJ92" s="211">
        <f t="shared" si="41"/>
        <v>1</v>
      </c>
      <c r="AK92" s="211">
        <f t="shared" si="42"/>
        <v>1</v>
      </c>
      <c r="AL92" s="211">
        <f t="shared" si="43"/>
        <v>1</v>
      </c>
      <c r="AM92" s="211">
        <f t="shared" si="44"/>
        <v>1</v>
      </c>
      <c r="AN92" s="211">
        <f t="shared" si="45"/>
        <v>1</v>
      </c>
      <c r="AO92" s="211">
        <f t="shared" si="46"/>
        <v>1</v>
      </c>
    </row>
    <row r="93" spans="1:41" ht="24.95" customHeight="1" x14ac:dyDescent="0.25">
      <c r="B93" s="212">
        <v>4</v>
      </c>
      <c r="C93" s="202" t="str">
        <f t="shared" si="30"/>
        <v>SUMARTO</v>
      </c>
      <c r="D93" s="213"/>
      <c r="E93" s="214" t="str">
        <f t="shared" si="31"/>
        <v>B</v>
      </c>
      <c r="F93" s="215" t="s">
        <v>36</v>
      </c>
      <c r="G93" s="215"/>
      <c r="H93" s="215" t="s">
        <v>37</v>
      </c>
      <c r="I93" s="215"/>
      <c r="J93" s="215" t="s">
        <v>37</v>
      </c>
      <c r="K93" s="215"/>
      <c r="L93" s="215" t="s">
        <v>37</v>
      </c>
      <c r="M93" s="215"/>
      <c r="N93" s="215" t="s">
        <v>37</v>
      </c>
      <c r="O93" s="215"/>
      <c r="P93" s="215" t="s">
        <v>36</v>
      </c>
      <c r="Q93" s="215"/>
      <c r="R93" s="215" t="s">
        <v>37</v>
      </c>
      <c r="S93" s="215"/>
      <c r="T93" s="216">
        <f t="shared" si="32"/>
        <v>5</v>
      </c>
      <c r="U93" s="351">
        <f t="shared" si="33"/>
        <v>0</v>
      </c>
      <c r="V93" s="217" t="str">
        <f t="shared" si="34"/>
        <v>Rp</v>
      </c>
      <c r="W93" s="218">
        <f t="shared" si="35"/>
        <v>125000</v>
      </c>
      <c r="X93" s="217" t="str">
        <f t="shared" si="36"/>
        <v>Rp</v>
      </c>
      <c r="Y93" s="218">
        <f t="shared" si="37"/>
        <v>15000</v>
      </c>
      <c r="Z93" s="217" t="str">
        <f t="shared" si="38"/>
        <v>Rp</v>
      </c>
      <c r="AA93" s="219">
        <f t="shared" si="39"/>
        <v>625000</v>
      </c>
      <c r="AB93" s="222"/>
      <c r="AC93" s="223">
        <v>4</v>
      </c>
      <c r="AE93" s="211"/>
      <c r="AF93" s="211"/>
      <c r="AI93" s="211">
        <f t="shared" si="40"/>
        <v>0</v>
      </c>
      <c r="AJ93" s="211">
        <f t="shared" si="41"/>
        <v>1</v>
      </c>
      <c r="AK93" s="211">
        <f t="shared" si="42"/>
        <v>1</v>
      </c>
      <c r="AL93" s="211">
        <f t="shared" si="43"/>
        <v>1</v>
      </c>
      <c r="AM93" s="211">
        <f t="shared" si="44"/>
        <v>1</v>
      </c>
      <c r="AN93" s="211">
        <f t="shared" si="45"/>
        <v>0</v>
      </c>
      <c r="AO93" s="211">
        <f t="shared" si="46"/>
        <v>1</v>
      </c>
    </row>
    <row r="94" spans="1:41" ht="24.95" customHeight="1" x14ac:dyDescent="0.25">
      <c r="B94" s="212">
        <v>5</v>
      </c>
      <c r="C94" s="202" t="str">
        <f t="shared" si="30"/>
        <v>TONI</v>
      </c>
      <c r="D94" s="213"/>
      <c r="E94" s="214" t="str">
        <f t="shared" si="31"/>
        <v>C</v>
      </c>
      <c r="F94" s="215" t="s">
        <v>36</v>
      </c>
      <c r="G94" s="215"/>
      <c r="H94" s="215" t="s">
        <v>37</v>
      </c>
      <c r="I94" s="215"/>
      <c r="J94" s="215" t="s">
        <v>37</v>
      </c>
      <c r="K94" s="215"/>
      <c r="L94" s="215" t="s">
        <v>37</v>
      </c>
      <c r="M94" s="215"/>
      <c r="N94" s="215" t="s">
        <v>37</v>
      </c>
      <c r="O94" s="215"/>
      <c r="P94" s="215" t="s">
        <v>37</v>
      </c>
      <c r="Q94" s="215"/>
      <c r="R94" s="215" t="s">
        <v>37</v>
      </c>
      <c r="S94" s="215"/>
      <c r="T94" s="216">
        <f t="shared" si="32"/>
        <v>6</v>
      </c>
      <c r="U94" s="351">
        <f t="shared" si="33"/>
        <v>0</v>
      </c>
      <c r="V94" s="217" t="str">
        <f t="shared" si="34"/>
        <v>Rp</v>
      </c>
      <c r="W94" s="218">
        <f t="shared" si="35"/>
        <v>115000</v>
      </c>
      <c r="X94" s="217" t="str">
        <f t="shared" si="36"/>
        <v>Rp</v>
      </c>
      <c r="Y94" s="218">
        <f t="shared" si="37"/>
        <v>10000</v>
      </c>
      <c r="Z94" s="217" t="str">
        <f t="shared" si="38"/>
        <v>Rp</v>
      </c>
      <c r="AA94" s="219">
        <f t="shared" si="39"/>
        <v>690000</v>
      </c>
      <c r="AB94" s="222">
        <v>5</v>
      </c>
      <c r="AC94" s="221"/>
      <c r="AE94" s="211"/>
      <c r="AF94" s="211"/>
      <c r="AI94" s="211">
        <f t="shared" si="40"/>
        <v>0</v>
      </c>
      <c r="AJ94" s="211">
        <f t="shared" si="41"/>
        <v>1</v>
      </c>
      <c r="AK94" s="211">
        <f t="shared" si="42"/>
        <v>1</v>
      </c>
      <c r="AL94" s="211">
        <f t="shared" si="43"/>
        <v>1</v>
      </c>
      <c r="AM94" s="211">
        <f t="shared" si="44"/>
        <v>1</v>
      </c>
      <c r="AN94" s="211">
        <f t="shared" si="45"/>
        <v>1</v>
      </c>
      <c r="AO94" s="211">
        <f t="shared" si="46"/>
        <v>1</v>
      </c>
    </row>
    <row r="95" spans="1:41" ht="24.95" customHeight="1" x14ac:dyDescent="0.25">
      <c r="B95" s="212">
        <v>6</v>
      </c>
      <c r="C95" s="202" t="str">
        <f t="shared" si="30"/>
        <v>SAKIM</v>
      </c>
      <c r="D95" s="213"/>
      <c r="E95" s="214" t="str">
        <f t="shared" si="31"/>
        <v>C</v>
      </c>
      <c r="F95" s="215" t="s">
        <v>36</v>
      </c>
      <c r="G95" s="215"/>
      <c r="H95" s="215" t="s">
        <v>36</v>
      </c>
      <c r="I95" s="215"/>
      <c r="J95" s="215" t="s">
        <v>37</v>
      </c>
      <c r="K95" s="215"/>
      <c r="L95" s="215" t="s">
        <v>37</v>
      </c>
      <c r="M95" s="215"/>
      <c r="N95" s="215" t="s">
        <v>37</v>
      </c>
      <c r="O95" s="215"/>
      <c r="P95" s="215" t="s">
        <v>37</v>
      </c>
      <c r="Q95" s="215"/>
      <c r="R95" s="215" t="s">
        <v>37</v>
      </c>
      <c r="S95" s="215"/>
      <c r="T95" s="216">
        <f t="shared" si="32"/>
        <v>5</v>
      </c>
      <c r="U95" s="351">
        <f t="shared" si="33"/>
        <v>0</v>
      </c>
      <c r="V95" s="217" t="str">
        <f t="shared" si="34"/>
        <v>Rp</v>
      </c>
      <c r="W95" s="218">
        <f t="shared" si="35"/>
        <v>115000</v>
      </c>
      <c r="X95" s="217" t="str">
        <f t="shared" si="36"/>
        <v>Rp</v>
      </c>
      <c r="Y95" s="218">
        <f t="shared" si="37"/>
        <v>10000</v>
      </c>
      <c r="Z95" s="217" t="str">
        <f t="shared" si="38"/>
        <v>Rp</v>
      </c>
      <c r="AA95" s="219">
        <f t="shared" si="39"/>
        <v>575000</v>
      </c>
      <c r="AB95" s="222"/>
      <c r="AC95" s="223">
        <v>6</v>
      </c>
      <c r="AE95" s="211"/>
      <c r="AF95" s="211"/>
      <c r="AI95" s="211">
        <f t="shared" si="40"/>
        <v>0</v>
      </c>
      <c r="AJ95" s="211">
        <f t="shared" si="41"/>
        <v>0</v>
      </c>
      <c r="AK95" s="211">
        <f t="shared" si="42"/>
        <v>1</v>
      </c>
      <c r="AL95" s="211">
        <f t="shared" si="43"/>
        <v>1</v>
      </c>
      <c r="AM95" s="211">
        <f t="shared" si="44"/>
        <v>1</v>
      </c>
      <c r="AN95" s="211">
        <f t="shared" si="45"/>
        <v>1</v>
      </c>
      <c r="AO95" s="211">
        <f t="shared" si="46"/>
        <v>1</v>
      </c>
    </row>
    <row r="96" spans="1:41" ht="24.95" customHeight="1" x14ac:dyDescent="0.25">
      <c r="B96" s="212">
        <v>7</v>
      </c>
      <c r="C96" s="202" t="str">
        <f t="shared" si="30"/>
        <v>TOHIR</v>
      </c>
      <c r="D96" s="213"/>
      <c r="E96" s="214" t="str">
        <f t="shared" si="31"/>
        <v>C</v>
      </c>
      <c r="F96" s="215" t="s">
        <v>36</v>
      </c>
      <c r="G96" s="215"/>
      <c r="H96" s="215" t="s">
        <v>37</v>
      </c>
      <c r="I96" s="215"/>
      <c r="J96" s="215" t="s">
        <v>37</v>
      </c>
      <c r="K96" s="215"/>
      <c r="L96" s="215" t="s">
        <v>37</v>
      </c>
      <c r="M96" s="215"/>
      <c r="N96" s="215" t="s">
        <v>37</v>
      </c>
      <c r="O96" s="215"/>
      <c r="P96" s="215" t="s">
        <v>37</v>
      </c>
      <c r="Q96" s="215"/>
      <c r="R96" s="215" t="s">
        <v>37</v>
      </c>
      <c r="S96" s="215"/>
      <c r="T96" s="216">
        <f t="shared" si="32"/>
        <v>6</v>
      </c>
      <c r="U96" s="351">
        <f t="shared" si="33"/>
        <v>0</v>
      </c>
      <c r="V96" s="217" t="str">
        <f t="shared" si="34"/>
        <v>Rp</v>
      </c>
      <c r="W96" s="218">
        <f t="shared" si="35"/>
        <v>115000</v>
      </c>
      <c r="X96" s="217" t="str">
        <f t="shared" si="36"/>
        <v>Rp</v>
      </c>
      <c r="Y96" s="218">
        <f t="shared" si="37"/>
        <v>10000</v>
      </c>
      <c r="Z96" s="217" t="str">
        <f t="shared" si="38"/>
        <v>Rp</v>
      </c>
      <c r="AA96" s="219">
        <f t="shared" si="39"/>
        <v>690000</v>
      </c>
      <c r="AB96" s="222">
        <v>7</v>
      </c>
      <c r="AC96" s="221"/>
      <c r="AE96" s="211"/>
      <c r="AF96" s="211"/>
      <c r="AI96" s="211">
        <f t="shared" si="40"/>
        <v>0</v>
      </c>
      <c r="AJ96" s="211">
        <f t="shared" si="41"/>
        <v>1</v>
      </c>
      <c r="AK96" s="211">
        <f t="shared" si="42"/>
        <v>1</v>
      </c>
      <c r="AL96" s="211">
        <f t="shared" si="43"/>
        <v>1</v>
      </c>
      <c r="AM96" s="211">
        <f t="shared" si="44"/>
        <v>1</v>
      </c>
      <c r="AN96" s="211">
        <f t="shared" si="45"/>
        <v>1</v>
      </c>
      <c r="AO96" s="211">
        <f t="shared" si="46"/>
        <v>1</v>
      </c>
    </row>
    <row r="97" spans="1:41" ht="24.95" customHeight="1" x14ac:dyDescent="0.25">
      <c r="B97" s="212">
        <v>8</v>
      </c>
      <c r="C97" s="202" t="str">
        <f t="shared" si="30"/>
        <v>ROJALI</v>
      </c>
      <c r="D97" s="213"/>
      <c r="E97" s="214" t="str">
        <f t="shared" si="31"/>
        <v>C</v>
      </c>
      <c r="F97" s="215" t="s">
        <v>36</v>
      </c>
      <c r="G97" s="215"/>
      <c r="H97" s="215" t="s">
        <v>37</v>
      </c>
      <c r="I97" s="215"/>
      <c r="J97" s="215" t="s">
        <v>37</v>
      </c>
      <c r="K97" s="215"/>
      <c r="L97" s="215" t="s">
        <v>37</v>
      </c>
      <c r="M97" s="215"/>
      <c r="N97" s="215" t="s">
        <v>37</v>
      </c>
      <c r="O97" s="215"/>
      <c r="P97" s="215" t="s">
        <v>37</v>
      </c>
      <c r="Q97" s="215"/>
      <c r="R97" s="215" t="s">
        <v>37</v>
      </c>
      <c r="S97" s="215"/>
      <c r="T97" s="216">
        <f t="shared" si="32"/>
        <v>6</v>
      </c>
      <c r="U97" s="351">
        <f t="shared" si="33"/>
        <v>0</v>
      </c>
      <c r="V97" s="217" t="str">
        <f t="shared" si="34"/>
        <v>Rp</v>
      </c>
      <c r="W97" s="218">
        <f t="shared" si="35"/>
        <v>115000</v>
      </c>
      <c r="X97" s="217" t="str">
        <f t="shared" si="36"/>
        <v>Rp</v>
      </c>
      <c r="Y97" s="218">
        <f t="shared" si="37"/>
        <v>10000</v>
      </c>
      <c r="Z97" s="217" t="str">
        <f t="shared" si="38"/>
        <v>Rp</v>
      </c>
      <c r="AA97" s="219">
        <f t="shared" si="39"/>
        <v>690000</v>
      </c>
      <c r="AB97" s="222"/>
      <c r="AC97" s="223">
        <v>8</v>
      </c>
      <c r="AE97" s="211"/>
      <c r="AF97" s="211"/>
      <c r="AI97" s="211">
        <f t="shared" si="40"/>
        <v>0</v>
      </c>
      <c r="AJ97" s="211">
        <f t="shared" si="41"/>
        <v>1</v>
      </c>
      <c r="AK97" s="211">
        <f t="shared" si="42"/>
        <v>1</v>
      </c>
      <c r="AL97" s="211">
        <f t="shared" si="43"/>
        <v>1</v>
      </c>
      <c r="AM97" s="211">
        <f t="shared" si="44"/>
        <v>1</v>
      </c>
      <c r="AN97" s="211">
        <f t="shared" si="45"/>
        <v>1</v>
      </c>
      <c r="AO97" s="211">
        <f t="shared" si="46"/>
        <v>1</v>
      </c>
    </row>
    <row r="98" spans="1:41" ht="24.95" customHeight="1" x14ac:dyDescent="0.25">
      <c r="B98" s="212">
        <v>9</v>
      </c>
      <c r="C98" s="202">
        <f t="shared" si="30"/>
        <v>0</v>
      </c>
      <c r="D98" s="213"/>
      <c r="E98" s="214">
        <f t="shared" si="31"/>
        <v>0</v>
      </c>
      <c r="F98" s="215"/>
      <c r="G98" s="215"/>
      <c r="H98" s="215"/>
      <c r="I98" s="215"/>
      <c r="J98" s="215"/>
      <c r="K98" s="215"/>
      <c r="L98" s="215"/>
      <c r="M98" s="215"/>
      <c r="N98" s="215"/>
      <c r="O98" s="215"/>
      <c r="P98" s="215"/>
      <c r="Q98" s="215"/>
      <c r="R98" s="215"/>
      <c r="S98" s="215"/>
      <c r="T98" s="216">
        <f>SUM(AI98:AO98)</f>
        <v>0</v>
      </c>
      <c r="U98" s="351">
        <f t="shared" si="33"/>
        <v>0</v>
      </c>
      <c r="V98" s="217" t="str">
        <f t="shared" si="34"/>
        <v xml:space="preserve"> </v>
      </c>
      <c r="W98" s="218">
        <f t="shared" si="35"/>
        <v>0</v>
      </c>
      <c r="X98" s="217" t="str">
        <f t="shared" si="36"/>
        <v xml:space="preserve"> </v>
      </c>
      <c r="Y98" s="218">
        <f t="shared" si="37"/>
        <v>0</v>
      </c>
      <c r="Z98" s="217" t="str">
        <f t="shared" si="38"/>
        <v xml:space="preserve"> </v>
      </c>
      <c r="AA98" s="219">
        <f t="shared" si="39"/>
        <v>0</v>
      </c>
      <c r="AB98" s="222"/>
      <c r="AC98" s="221"/>
      <c r="AE98" s="211"/>
      <c r="AF98" s="211"/>
      <c r="AI98" s="211" t="b">
        <f t="shared" si="40"/>
        <v>0</v>
      </c>
      <c r="AJ98" s="211" t="b">
        <f t="shared" si="41"/>
        <v>0</v>
      </c>
      <c r="AK98" s="211" t="b">
        <f t="shared" si="42"/>
        <v>0</v>
      </c>
      <c r="AL98" s="211" t="b">
        <f t="shared" si="43"/>
        <v>0</v>
      </c>
      <c r="AM98" s="211" t="b">
        <f t="shared" si="44"/>
        <v>0</v>
      </c>
      <c r="AN98" s="211" t="b">
        <f t="shared" si="45"/>
        <v>0</v>
      </c>
      <c r="AO98" s="211" t="b">
        <f t="shared" si="46"/>
        <v>0</v>
      </c>
    </row>
    <row r="99" spans="1:41" ht="24.95" customHeight="1" x14ac:dyDescent="0.25">
      <c r="B99" s="212">
        <v>10</v>
      </c>
      <c r="C99" s="202">
        <f t="shared" si="30"/>
        <v>0</v>
      </c>
      <c r="D99" s="213"/>
      <c r="E99" s="214">
        <f t="shared" si="31"/>
        <v>0</v>
      </c>
      <c r="F99" s="215"/>
      <c r="G99" s="215"/>
      <c r="H99" s="215"/>
      <c r="I99" s="215"/>
      <c r="J99" s="215"/>
      <c r="K99" s="215"/>
      <c r="L99" s="215"/>
      <c r="M99" s="215"/>
      <c r="N99" s="215"/>
      <c r="O99" s="215"/>
      <c r="P99" s="215"/>
      <c r="Q99" s="215"/>
      <c r="R99" s="215"/>
      <c r="S99" s="215"/>
      <c r="T99" s="216"/>
      <c r="U99" s="352"/>
      <c r="V99" s="217"/>
      <c r="W99" s="218"/>
      <c r="X99" s="217"/>
      <c r="Y99" s="218"/>
      <c r="Z99" s="217" t="str">
        <f t="shared" si="38"/>
        <v xml:space="preserve"> </v>
      </c>
      <c r="AA99" s="219">
        <f t="shared" si="39"/>
        <v>0</v>
      </c>
      <c r="AB99" s="222"/>
      <c r="AC99" s="223"/>
      <c r="AE99" s="211"/>
      <c r="AF99" s="211"/>
      <c r="AI99" s="211" t="b">
        <f t="shared" si="40"/>
        <v>0</v>
      </c>
      <c r="AJ99" s="211" t="b">
        <f t="shared" si="41"/>
        <v>0</v>
      </c>
      <c r="AK99" s="211" t="b">
        <f t="shared" si="42"/>
        <v>0</v>
      </c>
      <c r="AL99" s="211" t="b">
        <f t="shared" si="43"/>
        <v>0</v>
      </c>
      <c r="AM99" s="211" t="b">
        <f t="shared" si="44"/>
        <v>0</v>
      </c>
      <c r="AN99" s="211" t="b">
        <f t="shared" si="45"/>
        <v>0</v>
      </c>
      <c r="AO99" s="211" t="b">
        <f t="shared" si="46"/>
        <v>0</v>
      </c>
    </row>
    <row r="100" spans="1:41" ht="24.95" customHeight="1" x14ac:dyDescent="0.25">
      <c r="B100" s="212">
        <v>11</v>
      </c>
      <c r="C100" s="202">
        <f>C61</f>
        <v>0</v>
      </c>
      <c r="D100" s="213"/>
      <c r="E100" s="214">
        <f>E61</f>
        <v>0</v>
      </c>
      <c r="F100" s="215"/>
      <c r="G100" s="215"/>
      <c r="H100" s="215"/>
      <c r="I100" s="215"/>
      <c r="J100" s="215"/>
      <c r="K100" s="215"/>
      <c r="L100" s="215"/>
      <c r="M100" s="215"/>
      <c r="N100" s="215"/>
      <c r="O100" s="215"/>
      <c r="P100" s="215"/>
      <c r="Q100" s="215"/>
      <c r="R100" s="215"/>
      <c r="S100" s="215"/>
      <c r="T100" s="216">
        <f>SUM(AI100:AO100)</f>
        <v>0</v>
      </c>
      <c r="U100" s="216">
        <f>SUM(F100:S100)/6</f>
        <v>0</v>
      </c>
      <c r="V100" s="217"/>
      <c r="W100" s="218"/>
      <c r="X100" s="217"/>
      <c r="Y100" s="218"/>
      <c r="Z100" s="217" t="str">
        <f>IF(AA100&gt;0,"Rp",IF(AA100=0," "))</f>
        <v xml:space="preserve"> </v>
      </c>
      <c r="AA100" s="219">
        <f>W100*T100+U100*Y100</f>
        <v>0</v>
      </c>
      <c r="AB100" s="222" t="str">
        <f>IF(AA100&gt;0,1,IF(AA100=0," "))</f>
        <v xml:space="preserve"> </v>
      </c>
      <c r="AC100" s="221"/>
      <c r="AE100" s="211"/>
      <c r="AF100" s="211"/>
      <c r="AI100" s="211" t="b">
        <f t="shared" si="40"/>
        <v>0</v>
      </c>
      <c r="AJ100" s="211" t="b">
        <f t="shared" si="41"/>
        <v>0</v>
      </c>
      <c r="AK100" s="211" t="b">
        <f t="shared" si="42"/>
        <v>0</v>
      </c>
      <c r="AL100" s="211" t="b">
        <f t="shared" si="43"/>
        <v>0</v>
      </c>
      <c r="AM100" s="211" t="b">
        <f t="shared" si="44"/>
        <v>0</v>
      </c>
      <c r="AN100" s="211" t="b">
        <f t="shared" si="45"/>
        <v>0</v>
      </c>
      <c r="AO100" s="211" t="b">
        <f t="shared" si="46"/>
        <v>0</v>
      </c>
    </row>
    <row r="101" spans="1:41" ht="24.95" customHeight="1" x14ac:dyDescent="0.25">
      <c r="B101" s="212">
        <v>12</v>
      </c>
      <c r="C101" s="202"/>
      <c r="D101" s="213"/>
      <c r="E101" s="214"/>
      <c r="F101" s="215"/>
      <c r="G101" s="215"/>
      <c r="H101" s="215"/>
      <c r="I101" s="215"/>
      <c r="J101" s="215"/>
      <c r="K101" s="215"/>
      <c r="L101" s="215"/>
      <c r="M101" s="215"/>
      <c r="N101" s="215"/>
      <c r="O101" s="215"/>
      <c r="P101" s="215"/>
      <c r="Q101" s="215"/>
      <c r="R101" s="215"/>
      <c r="S101" s="215"/>
      <c r="T101" s="216">
        <f>SUM(AI101:AO101)</f>
        <v>0</v>
      </c>
      <c r="U101" s="216">
        <f>SUM(F101:S101)/6</f>
        <v>0</v>
      </c>
      <c r="V101" s="217"/>
      <c r="W101" s="218"/>
      <c r="X101" s="217"/>
      <c r="Y101" s="218"/>
      <c r="Z101" s="217" t="str">
        <f>IF(AA101&gt;0,"Rp",IF(AA101=0," "))</f>
        <v xml:space="preserve"> </v>
      </c>
      <c r="AA101" s="219">
        <f>W101*T101+U101*Y101</f>
        <v>0</v>
      </c>
      <c r="AB101" s="222" t="str">
        <f>IF(AA101&gt;0,1,IF(AA101=0," "))</f>
        <v xml:space="preserve"> </v>
      </c>
      <c r="AC101" s="223"/>
      <c r="AE101" s="211"/>
      <c r="AF101" s="211"/>
      <c r="AI101" s="211" t="b">
        <f t="shared" si="40"/>
        <v>0</v>
      </c>
      <c r="AJ101" s="211" t="b">
        <f t="shared" si="41"/>
        <v>0</v>
      </c>
      <c r="AK101" s="211" t="b">
        <f t="shared" si="42"/>
        <v>0</v>
      </c>
      <c r="AL101" s="211" t="b">
        <f t="shared" si="43"/>
        <v>0</v>
      </c>
      <c r="AM101" s="211" t="b">
        <f t="shared" si="44"/>
        <v>0</v>
      </c>
      <c r="AN101" s="211" t="b">
        <f t="shared" si="45"/>
        <v>0</v>
      </c>
      <c r="AO101" s="211" t="b">
        <f t="shared" si="46"/>
        <v>0</v>
      </c>
    </row>
    <row r="102" spans="1:41" ht="24.95" customHeight="1" thickBot="1" x14ac:dyDescent="0.25">
      <c r="B102" s="233"/>
      <c r="C102" s="257"/>
      <c r="D102" s="235"/>
      <c r="E102" s="236"/>
      <c r="F102" s="237"/>
      <c r="G102" s="237"/>
      <c r="H102" s="238"/>
      <c r="I102" s="238"/>
      <c r="J102" s="239"/>
      <c r="K102" s="239"/>
      <c r="L102" s="239"/>
      <c r="M102" s="239"/>
      <c r="N102" s="240"/>
      <c r="O102" s="240"/>
      <c r="P102" s="240"/>
      <c r="Q102" s="240"/>
      <c r="R102" s="240"/>
      <c r="S102" s="353"/>
      <c r="T102" s="259"/>
      <c r="U102" s="259"/>
      <c r="V102" s="242"/>
      <c r="W102" s="258"/>
      <c r="X102" s="242"/>
      <c r="Y102" s="258"/>
      <c r="Z102" s="244"/>
      <c r="AA102" s="236"/>
      <c r="AB102" s="246"/>
      <c r="AC102" s="247"/>
      <c r="AE102" s="211"/>
      <c r="AF102" s="211"/>
    </row>
    <row r="103" spans="1:41" ht="20.100000000000001" customHeight="1" thickTop="1" thickBot="1" x14ac:dyDescent="0.3">
      <c r="A103" s="179">
        <f>A64+1</f>
        <v>3</v>
      </c>
      <c r="B103" s="248"/>
      <c r="C103" s="249"/>
      <c r="D103" s="249"/>
      <c r="E103" s="249"/>
      <c r="F103" s="249"/>
      <c r="G103" s="249"/>
      <c r="H103" s="249"/>
      <c r="I103" s="249"/>
      <c r="J103" s="249"/>
      <c r="K103" s="249"/>
      <c r="L103" s="249"/>
      <c r="M103" s="249"/>
      <c r="N103" s="249"/>
      <c r="O103" s="249"/>
      <c r="P103" s="249"/>
      <c r="Q103" s="249"/>
      <c r="R103" s="249"/>
      <c r="S103" s="249"/>
      <c r="T103" s="249"/>
      <c r="U103" s="249"/>
      <c r="V103" s="249"/>
      <c r="W103" s="250" t="s">
        <v>40</v>
      </c>
      <c r="X103" s="249"/>
      <c r="Y103" s="250" t="s">
        <v>40</v>
      </c>
      <c r="Z103" s="249"/>
      <c r="AA103" s="710">
        <f>SUM(AA90:AA102)</f>
        <v>5580000</v>
      </c>
      <c r="AB103" s="711"/>
      <c r="AC103" s="712"/>
      <c r="AE103" s="226" t="str">
        <f>VLOOKUP(A103,'Rekap Gaji'!$B$12:$P$32,10,FALSE)</f>
        <v xml:space="preserve"> 20 September 2025</v>
      </c>
      <c r="AF103" s="251" t="e">
        <f>AE103-AA103</f>
        <v>#VALUE!</v>
      </c>
    </row>
    <row r="104" spans="1:41" ht="11.25" customHeight="1" x14ac:dyDescent="0.25"/>
    <row r="105" spans="1:41" ht="16.5" customHeight="1" x14ac:dyDescent="0.25">
      <c r="B105" s="195" t="s">
        <v>41</v>
      </c>
      <c r="C105" s="140" t="s">
        <v>42</v>
      </c>
    </row>
    <row r="106" spans="1:41" ht="14.25" x14ac:dyDescent="0.25">
      <c r="H106" s="183"/>
      <c r="I106" s="183"/>
      <c r="J106" s="182"/>
      <c r="K106" s="182"/>
      <c r="T106" s="141"/>
      <c r="U106" s="141"/>
      <c r="V106" s="141"/>
      <c r="X106" s="141"/>
      <c r="AA106" s="140" t="str">
        <f>'BKU 1'!$I$25</f>
        <v>NGANTANG</v>
      </c>
      <c r="AB106" s="713">
        <f>IFERROR(VLOOKUP(E84,'Rekap Gaji'!$B$12:$P$32,7,FALSE),"-")</f>
        <v>45920</v>
      </c>
      <c r="AC106" s="713"/>
      <c r="AD106" s="252"/>
      <c r="AE106" s="252"/>
    </row>
    <row r="107" spans="1:41" ht="15.75" x14ac:dyDescent="0.25">
      <c r="C107" s="140" t="s">
        <v>43</v>
      </c>
      <c r="F107" s="253"/>
      <c r="G107" s="253"/>
      <c r="H107" s="254"/>
      <c r="I107" s="254"/>
      <c r="J107" s="255"/>
      <c r="K107" s="255"/>
      <c r="L107" s="256"/>
      <c r="M107" s="256"/>
      <c r="N107" s="225" t="s">
        <v>44</v>
      </c>
      <c r="O107" s="225"/>
      <c r="P107" s="253"/>
      <c r="Q107" s="253"/>
      <c r="T107" s="141"/>
      <c r="U107" s="141"/>
      <c r="V107" s="141"/>
      <c r="X107" s="141"/>
      <c r="AA107" s="140" t="str">
        <f>'BKU 1'!$L$354</f>
        <v>Dibuat Oleh ;</v>
      </c>
      <c r="AB107" s="141"/>
    </row>
    <row r="108" spans="1:41" ht="14.25" x14ac:dyDescent="0.25">
      <c r="C108" s="140" t="str">
        <f>'BKU 1'!$C$355</f>
        <v>Kepala Sekolah SDN 1 SIDODADI</v>
      </c>
      <c r="F108" s="187"/>
      <c r="G108" s="187"/>
      <c r="H108" s="224"/>
      <c r="I108" s="224"/>
      <c r="J108" s="182"/>
      <c r="K108" s="182"/>
      <c r="L108" s="183"/>
      <c r="M108" s="183"/>
      <c r="N108" s="140" t="s">
        <v>45</v>
      </c>
      <c r="P108" s="187"/>
      <c r="Q108" s="187"/>
      <c r="AA108" s="140" t="str">
        <f>'BKU 1'!$L$355</f>
        <v>Bendahara Pembangunan</v>
      </c>
      <c r="AB108" s="141"/>
    </row>
    <row r="109" spans="1:41" ht="14.25" x14ac:dyDescent="0.25">
      <c r="F109" s="187"/>
      <c r="G109" s="187"/>
      <c r="H109" s="224"/>
      <c r="I109" s="224"/>
      <c r="J109" s="182"/>
      <c r="K109" s="182"/>
      <c r="L109" s="183"/>
      <c r="M109" s="183"/>
      <c r="P109" s="187"/>
      <c r="Q109" s="187"/>
      <c r="AA109" s="140"/>
      <c r="AB109" s="141"/>
    </row>
    <row r="110" spans="1:41" ht="14.25" x14ac:dyDescent="0.25">
      <c r="F110" s="187"/>
      <c r="G110" s="187"/>
      <c r="H110" s="224"/>
      <c r="I110" s="224"/>
      <c r="J110" s="182"/>
      <c r="K110" s="182"/>
      <c r="L110" s="183"/>
      <c r="M110" s="183"/>
      <c r="P110" s="187"/>
      <c r="Q110" s="187"/>
      <c r="AA110" s="140"/>
      <c r="AB110" s="141"/>
    </row>
    <row r="111" spans="1:41" ht="14.25" x14ac:dyDescent="0.25">
      <c r="F111" s="187"/>
      <c r="G111" s="187"/>
      <c r="H111" s="224"/>
      <c r="I111" s="224"/>
      <c r="J111" s="182"/>
      <c r="K111" s="182"/>
      <c r="L111" s="183"/>
      <c r="M111" s="183"/>
      <c r="P111" s="187"/>
      <c r="Q111" s="187"/>
      <c r="AA111" s="140"/>
      <c r="AB111" s="141"/>
    </row>
    <row r="112" spans="1:41" ht="14.25" x14ac:dyDescent="0.25">
      <c r="F112" s="187"/>
      <c r="G112" s="187"/>
      <c r="H112" s="224"/>
      <c r="I112" s="224"/>
      <c r="J112" s="182"/>
      <c r="K112" s="182"/>
      <c r="L112" s="183"/>
      <c r="M112" s="183"/>
      <c r="P112" s="187"/>
      <c r="Q112" s="187"/>
      <c r="AA112" s="140"/>
      <c r="AB112" s="141"/>
    </row>
    <row r="113" spans="1:32" x14ac:dyDescent="0.25">
      <c r="H113" s="225"/>
      <c r="I113" s="225"/>
      <c r="AA113" s="140"/>
    </row>
    <row r="114" spans="1:32" x14ac:dyDescent="0.25">
      <c r="H114" s="225"/>
      <c r="I114" s="225"/>
      <c r="AA114" s="140"/>
    </row>
    <row r="115" spans="1:32" s="189" customFormat="1" ht="15" customHeight="1" x14ac:dyDescent="0.25">
      <c r="A115" s="192"/>
      <c r="B115" s="195"/>
      <c r="C115" s="227" t="str">
        <f>'BKU 1'!$C$360</f>
        <v>MELIA FITRIANI, S.Pd.SD</v>
      </c>
      <c r="D115" s="227"/>
      <c r="H115" s="228"/>
      <c r="I115" s="228"/>
      <c r="J115" s="195"/>
      <c r="K115" s="195"/>
      <c r="L115" s="194"/>
      <c r="M115" s="194"/>
      <c r="N115" s="229" t="str">
        <f>'BKU 1'!$H$360</f>
        <v>HARTATIK</v>
      </c>
      <c r="O115" s="229"/>
      <c r="AA115" s="227" t="str">
        <f>'BKU 1'!$L$360</f>
        <v>ARIF NUR UDIN, S.Pd.SD</v>
      </c>
      <c r="AC115" s="230"/>
      <c r="AE115" s="231"/>
      <c r="AF115" s="231"/>
    </row>
    <row r="116" spans="1:32" s="189" customFormat="1" ht="15" customHeight="1" x14ac:dyDescent="0.25">
      <c r="A116" s="192"/>
      <c r="B116" s="195"/>
      <c r="C116" s="140" t="str">
        <f>'BKU 1'!$C$361</f>
        <v>NIP. 19850619 200904 2 000</v>
      </c>
      <c r="D116" s="140"/>
      <c r="E116" s="140"/>
      <c r="F116" s="140"/>
      <c r="G116" s="140"/>
      <c r="H116" s="225"/>
      <c r="I116" s="225"/>
      <c r="J116" s="191"/>
      <c r="K116" s="191"/>
      <c r="L116" s="190"/>
      <c r="M116" s="190"/>
      <c r="N116" s="232"/>
      <c r="O116" s="232"/>
      <c r="P116" s="140"/>
      <c r="Q116" s="140"/>
      <c r="T116" s="140"/>
      <c r="U116" s="140"/>
      <c r="V116" s="140"/>
      <c r="W116" s="140"/>
      <c r="X116" s="140"/>
      <c r="Y116" s="140"/>
      <c r="Z116" s="140"/>
      <c r="AA116" s="140" t="str">
        <f>'BKU 1'!$L$361</f>
        <v>NIP. 19840719 200903 1 002</v>
      </c>
      <c r="AC116" s="230"/>
      <c r="AE116" s="231"/>
      <c r="AF116" s="231"/>
    </row>
    <row r="117" spans="1:32" ht="6" customHeight="1" x14ac:dyDescent="0.25"/>
    <row r="118" spans="1:32" s="177" customFormat="1" ht="24.95" customHeight="1" x14ac:dyDescent="0.25">
      <c r="A118" s="176"/>
      <c r="B118" s="726" t="s">
        <v>6</v>
      </c>
      <c r="C118" s="726"/>
      <c r="D118" s="726"/>
      <c r="E118" s="726"/>
      <c r="F118" s="726"/>
      <c r="G118" s="726"/>
      <c r="H118" s="726"/>
      <c r="I118" s="726"/>
      <c r="J118" s="726"/>
      <c r="K118" s="726"/>
      <c r="L118" s="726"/>
      <c r="M118" s="726"/>
      <c r="N118" s="726"/>
      <c r="O118" s="726"/>
      <c r="P118" s="726"/>
      <c r="Q118" s="726"/>
      <c r="R118" s="726"/>
      <c r="S118" s="726"/>
      <c r="T118" s="726"/>
      <c r="U118" s="726"/>
      <c r="V118" s="726"/>
      <c r="W118" s="726"/>
      <c r="X118" s="726"/>
      <c r="Y118" s="726"/>
      <c r="Z118" s="726"/>
      <c r="AA118" s="726"/>
      <c r="AB118" s="726"/>
      <c r="AC118" s="726"/>
      <c r="AE118" s="178"/>
      <c r="AF118" s="178"/>
    </row>
    <row r="119" spans="1:32" s="177" customFormat="1" ht="24.95" customHeight="1" x14ac:dyDescent="0.25">
      <c r="A119" s="176"/>
      <c r="B119" s="726" t="str">
        <f>'BKU 1'!$D$22</f>
        <v>PEMBANGUNAN TOILET BESERTA SANITASINYA</v>
      </c>
      <c r="C119" s="726"/>
      <c r="D119" s="726"/>
      <c r="E119" s="726"/>
      <c r="F119" s="726"/>
      <c r="G119" s="726"/>
      <c r="H119" s="726"/>
      <c r="I119" s="726"/>
      <c r="J119" s="726"/>
      <c r="K119" s="726"/>
      <c r="L119" s="726"/>
      <c r="M119" s="726"/>
      <c r="N119" s="726"/>
      <c r="O119" s="726"/>
      <c r="P119" s="726"/>
      <c r="Q119" s="726"/>
      <c r="R119" s="726"/>
      <c r="S119" s="726"/>
      <c r="T119" s="726"/>
      <c r="U119" s="726"/>
      <c r="V119" s="726"/>
      <c r="W119" s="726"/>
      <c r="X119" s="726"/>
      <c r="Y119" s="726"/>
      <c r="Z119" s="726"/>
      <c r="AA119" s="726"/>
      <c r="AB119" s="726"/>
      <c r="AC119" s="726"/>
      <c r="AE119" s="178"/>
      <c r="AF119" s="178"/>
    </row>
    <row r="120" spans="1:32" s="184" customFormat="1" ht="30.75" customHeight="1" x14ac:dyDescent="0.25">
      <c r="A120" s="179"/>
      <c r="B120" s="180"/>
      <c r="C120" s="181"/>
      <c r="D120" s="181"/>
      <c r="E120" s="181"/>
      <c r="F120" s="182"/>
      <c r="G120" s="182"/>
      <c r="H120" s="183"/>
      <c r="I120" s="183"/>
      <c r="J120" s="182"/>
      <c r="K120" s="182"/>
      <c r="L120" s="183"/>
      <c r="M120" s="183"/>
      <c r="N120" s="182"/>
      <c r="O120" s="182"/>
      <c r="P120" s="182"/>
      <c r="Q120" s="182"/>
      <c r="R120" s="182"/>
      <c r="S120" s="182"/>
      <c r="T120" s="181"/>
      <c r="U120" s="181"/>
      <c r="V120" s="181"/>
      <c r="X120" s="181"/>
      <c r="AA120" s="180"/>
      <c r="AB120" s="140"/>
      <c r="AC120" s="185"/>
      <c r="AE120" s="186"/>
      <c r="AF120" s="186"/>
    </row>
    <row r="121" spans="1:32" s="184" customFormat="1" ht="14.25" x14ac:dyDescent="0.25">
      <c r="A121" s="179"/>
      <c r="B121" s="185" t="s">
        <v>7</v>
      </c>
      <c r="D121" s="184" t="s">
        <v>49</v>
      </c>
      <c r="E121" s="184" t="str">
        <f>'BKU 1'!$D$25</f>
        <v>SDN 1 SIDODADI</v>
      </c>
      <c r="F121" s="140"/>
      <c r="G121" s="140"/>
      <c r="H121" s="183"/>
      <c r="I121" s="183"/>
      <c r="J121" s="182"/>
      <c r="K121" s="182"/>
      <c r="L121" s="183"/>
      <c r="M121" s="183"/>
      <c r="N121" s="187"/>
      <c r="O121" s="187"/>
      <c r="P121" s="187"/>
      <c r="Q121" s="187"/>
      <c r="R121" s="187"/>
      <c r="S121" s="187"/>
      <c r="T121" s="188"/>
      <c r="U121" s="188"/>
      <c r="V121" s="188"/>
      <c r="X121" s="188"/>
      <c r="AA121" s="180"/>
      <c r="AB121" s="189" t="s">
        <v>8</v>
      </c>
      <c r="AC121" s="185"/>
      <c r="AE121" s="186"/>
      <c r="AF121" s="186"/>
    </row>
    <row r="122" spans="1:32" s="184" customFormat="1" x14ac:dyDescent="0.25">
      <c r="A122" s="179"/>
      <c r="B122" s="185" t="s">
        <v>9</v>
      </c>
      <c r="D122" s="184" t="s">
        <v>49</v>
      </c>
      <c r="E122" s="184" t="str">
        <f>'BKU 1'!$D$26</f>
        <v>Jl. Kawi No.36 Rt. 1 Rw. 1 Dusun Sekar, Rt / Rw : 1 / 1, Dusun : Sekar, Kelurahan : Sidodadi</v>
      </c>
      <c r="F122" s="140"/>
      <c r="G122" s="140"/>
      <c r="H122" s="190"/>
      <c r="I122" s="190"/>
      <c r="J122" s="191"/>
      <c r="K122" s="191"/>
      <c r="L122" s="190"/>
      <c r="M122" s="190"/>
      <c r="N122" s="140"/>
      <c r="O122" s="140"/>
      <c r="P122" s="140"/>
      <c r="Q122" s="140"/>
      <c r="R122" s="140"/>
      <c r="S122" s="140"/>
      <c r="AA122" s="180"/>
      <c r="AB122" s="140" t="s">
        <v>10</v>
      </c>
      <c r="AC122" s="185" t="s">
        <v>11</v>
      </c>
      <c r="AE122" s="186"/>
      <c r="AF122" s="186"/>
    </row>
    <row r="123" spans="1:32" s="184" customFormat="1" x14ac:dyDescent="0.25">
      <c r="A123" s="179"/>
      <c r="B123" s="185" t="s">
        <v>12</v>
      </c>
      <c r="D123" s="184" t="s">
        <v>49</v>
      </c>
      <c r="E123" s="180">
        <f>E84+1</f>
        <v>4</v>
      </c>
      <c r="F123" s="140"/>
      <c r="G123" s="140"/>
      <c r="H123" s="727">
        <f>IFERROR(VLOOKUP(E123,'Rekap Gaji'!$B$12:$P$32,14,FALSE),"-")</f>
        <v>0</v>
      </c>
      <c r="I123" s="727"/>
      <c r="J123" s="727"/>
      <c r="K123" s="727"/>
      <c r="L123" s="727"/>
      <c r="M123" s="191"/>
      <c r="N123" s="140"/>
      <c r="O123" s="140"/>
      <c r="P123" s="140"/>
      <c r="Q123" s="140"/>
      <c r="R123" s="140"/>
      <c r="S123" s="140"/>
      <c r="AA123" s="180"/>
      <c r="AB123" s="140" t="s">
        <v>13</v>
      </c>
      <c r="AC123" s="185" t="s">
        <v>14</v>
      </c>
      <c r="AE123" s="186"/>
      <c r="AF123" s="186"/>
    </row>
    <row r="124" spans="1:32" s="184" customFormat="1" ht="15" customHeight="1" x14ac:dyDescent="0.25">
      <c r="A124" s="179"/>
      <c r="B124" s="185" t="s">
        <v>0</v>
      </c>
      <c r="D124" s="184" t="s">
        <v>49</v>
      </c>
      <c r="E124" s="728">
        <f>IFERROR(VLOOKUP(E123,'Rekap Gaji'!$B$12:$P$32,4,FALSE),"-")</f>
        <v>45921</v>
      </c>
      <c r="F124" s="728"/>
      <c r="G124" s="728"/>
      <c r="H124" s="728"/>
      <c r="I124" s="728"/>
      <c r="J124" s="728"/>
      <c r="K124" s="339"/>
      <c r="L124" s="727" t="s">
        <v>76</v>
      </c>
      <c r="M124" s="727"/>
      <c r="N124" s="727"/>
      <c r="O124" s="191"/>
      <c r="P124" s="728">
        <f>IFERROR(VLOOKUP(E123,'Rekap Gaji'!$B$12:$P$32,6,FALSE),"-")</f>
        <v>45927</v>
      </c>
      <c r="Q124" s="728"/>
      <c r="R124" s="728"/>
      <c r="S124" s="728"/>
      <c r="T124" s="728"/>
      <c r="U124" s="728"/>
      <c r="V124" s="728"/>
      <c r="AA124" s="180"/>
      <c r="AB124" s="140" t="s">
        <v>15</v>
      </c>
      <c r="AC124" s="185" t="s">
        <v>16</v>
      </c>
      <c r="AE124" s="186"/>
      <c r="AF124" s="186"/>
    </row>
    <row r="125" spans="1:32" s="188" customFormat="1" ht="8.1" customHeight="1" thickBot="1" x14ac:dyDescent="0.3">
      <c r="A125" s="192"/>
      <c r="B125" s="193"/>
      <c r="F125" s="189"/>
      <c r="G125" s="189"/>
      <c r="H125" s="194"/>
      <c r="I125" s="194"/>
      <c r="J125" s="195"/>
      <c r="K125" s="195"/>
      <c r="L125" s="194"/>
      <c r="M125" s="194"/>
      <c r="N125" s="189"/>
      <c r="O125" s="189"/>
      <c r="P125" s="189"/>
      <c r="Q125" s="189"/>
      <c r="R125" s="189"/>
      <c r="S125" s="189"/>
      <c r="AA125" s="193"/>
      <c r="AB125" s="189"/>
      <c r="AC125" s="196"/>
      <c r="AE125" s="197"/>
      <c r="AF125" s="197"/>
    </row>
    <row r="126" spans="1:32" s="343" customFormat="1" ht="15" customHeight="1" x14ac:dyDescent="0.25">
      <c r="A126" s="340"/>
      <c r="B126" s="744" t="s">
        <v>17</v>
      </c>
      <c r="C126" s="735" t="s">
        <v>18</v>
      </c>
      <c r="D126" s="747"/>
      <c r="E126" s="342" t="s">
        <v>19</v>
      </c>
      <c r="F126" s="714" t="s">
        <v>20</v>
      </c>
      <c r="G126" s="715"/>
      <c r="H126" s="715"/>
      <c r="I126" s="715"/>
      <c r="J126" s="715"/>
      <c r="K126" s="715"/>
      <c r="L126" s="715"/>
      <c r="M126" s="715"/>
      <c r="N126" s="715"/>
      <c r="O126" s="715"/>
      <c r="P126" s="715"/>
      <c r="Q126" s="715"/>
      <c r="R126" s="715"/>
      <c r="S126" s="716"/>
      <c r="T126" s="341" t="s">
        <v>2</v>
      </c>
      <c r="U126" s="341" t="s">
        <v>474</v>
      </c>
      <c r="V126" s="735" t="s">
        <v>21</v>
      </c>
      <c r="W126" s="747"/>
      <c r="X126" s="735" t="s">
        <v>21</v>
      </c>
      <c r="Y126" s="747"/>
      <c r="Z126" s="735" t="s">
        <v>22</v>
      </c>
      <c r="AA126" s="747"/>
      <c r="AB126" s="735" t="s">
        <v>23</v>
      </c>
      <c r="AC126" s="736"/>
      <c r="AE126" s="344"/>
      <c r="AF126" s="344"/>
    </row>
    <row r="127" spans="1:32" s="343" customFormat="1" ht="28.9" customHeight="1" x14ac:dyDescent="0.25">
      <c r="A127" s="340"/>
      <c r="B127" s="745"/>
      <c r="C127" s="737"/>
      <c r="D127" s="743"/>
      <c r="E127" s="346" t="s">
        <v>24</v>
      </c>
      <c r="F127" s="741" t="s">
        <v>25</v>
      </c>
      <c r="G127" s="347" t="s">
        <v>475</v>
      </c>
      <c r="H127" s="741" t="s">
        <v>552</v>
      </c>
      <c r="I127" s="347" t="s">
        <v>475</v>
      </c>
      <c r="J127" s="741" t="s">
        <v>26</v>
      </c>
      <c r="K127" s="347" t="s">
        <v>475</v>
      </c>
      <c r="L127" s="741" t="s">
        <v>27</v>
      </c>
      <c r="M127" s="347" t="s">
        <v>475</v>
      </c>
      <c r="N127" s="741" t="s">
        <v>28</v>
      </c>
      <c r="O127" s="347" t="s">
        <v>475</v>
      </c>
      <c r="P127" s="741" t="s">
        <v>29</v>
      </c>
      <c r="Q127" s="347" t="s">
        <v>475</v>
      </c>
      <c r="R127" s="741" t="s">
        <v>26</v>
      </c>
      <c r="S127" s="347" t="s">
        <v>475</v>
      </c>
      <c r="T127" s="345" t="s">
        <v>30</v>
      </c>
      <c r="U127" s="345" t="s">
        <v>476</v>
      </c>
      <c r="V127" s="737" t="s">
        <v>455</v>
      </c>
      <c r="W127" s="743"/>
      <c r="X127" s="737" t="s">
        <v>477</v>
      </c>
      <c r="Y127" s="743"/>
      <c r="Z127" s="737" t="s">
        <v>31</v>
      </c>
      <c r="AA127" s="743"/>
      <c r="AB127" s="737"/>
      <c r="AC127" s="738"/>
      <c r="AE127" s="344"/>
      <c r="AF127" s="344"/>
    </row>
    <row r="128" spans="1:32" s="343" customFormat="1" ht="15" customHeight="1" thickBot="1" x14ac:dyDescent="0.3">
      <c r="A128" s="340"/>
      <c r="B128" s="746"/>
      <c r="C128" s="739"/>
      <c r="D128" s="748"/>
      <c r="E128" s="349" t="s">
        <v>32</v>
      </c>
      <c r="F128" s="742"/>
      <c r="G128" s="350" t="s">
        <v>478</v>
      </c>
      <c r="H128" s="742"/>
      <c r="I128" s="350" t="s">
        <v>478</v>
      </c>
      <c r="J128" s="742"/>
      <c r="K128" s="350" t="s">
        <v>478</v>
      </c>
      <c r="L128" s="742"/>
      <c r="M128" s="350" t="s">
        <v>478</v>
      </c>
      <c r="N128" s="742"/>
      <c r="O128" s="350" t="s">
        <v>478</v>
      </c>
      <c r="P128" s="742"/>
      <c r="Q128" s="350" t="s">
        <v>478</v>
      </c>
      <c r="R128" s="742"/>
      <c r="S128" s="350" t="s">
        <v>478</v>
      </c>
      <c r="T128" s="348" t="s">
        <v>31</v>
      </c>
      <c r="U128" s="348" t="s">
        <v>479</v>
      </c>
      <c r="V128" s="739" t="s">
        <v>33</v>
      </c>
      <c r="W128" s="748"/>
      <c r="X128" s="739" t="s">
        <v>33</v>
      </c>
      <c r="Y128" s="748"/>
      <c r="Z128" s="739" t="s">
        <v>34</v>
      </c>
      <c r="AA128" s="748"/>
      <c r="AB128" s="739"/>
      <c r="AC128" s="740"/>
      <c r="AE128" s="344"/>
      <c r="AF128" s="344"/>
    </row>
    <row r="129" spans="1:41" ht="24.95" customHeight="1" x14ac:dyDescent="0.25">
      <c r="B129" s="201">
        <v>1</v>
      </c>
      <c r="C129" s="202" t="str">
        <f>C90</f>
        <v>KUSMAN H</v>
      </c>
      <c r="D129" s="203"/>
      <c r="E129" s="204" t="str">
        <f>E90</f>
        <v>A</v>
      </c>
      <c r="F129" s="205" t="s">
        <v>36</v>
      </c>
      <c r="G129" s="205"/>
      <c r="H129" s="205" t="s">
        <v>37</v>
      </c>
      <c r="I129" s="205"/>
      <c r="J129" s="205" t="s">
        <v>37</v>
      </c>
      <c r="K129" s="205"/>
      <c r="L129" s="205" t="s">
        <v>37</v>
      </c>
      <c r="M129" s="205"/>
      <c r="N129" s="205" t="s">
        <v>37</v>
      </c>
      <c r="O129" s="205"/>
      <c r="P129" s="205" t="s">
        <v>37</v>
      </c>
      <c r="Q129" s="205">
        <v>2</v>
      </c>
      <c r="R129" s="205" t="s">
        <v>37</v>
      </c>
      <c r="S129" s="205">
        <v>4</v>
      </c>
      <c r="T129" s="206">
        <f>SUM(AI129:AO129)</f>
        <v>6</v>
      </c>
      <c r="U129" s="206">
        <f>SUM(F129:S129)</f>
        <v>6</v>
      </c>
      <c r="V129" s="207" t="str">
        <f>IF(W129&gt;0,"Rp",IF(W129=0," "))</f>
        <v>Rp</v>
      </c>
      <c r="W129" s="208">
        <f>W90</f>
        <v>135000</v>
      </c>
      <c r="X129" s="207" t="str">
        <f>IF(Y129&gt;0,"Rp",IF(Y129=0," "))</f>
        <v>Rp</v>
      </c>
      <c r="Y129" s="208">
        <f>Y90</f>
        <v>20000</v>
      </c>
      <c r="Z129" s="207" t="str">
        <f>IF(AA129&gt;0,"Rp",IF(AA129=0," "))</f>
        <v>Rp</v>
      </c>
      <c r="AA129" s="208">
        <f>W129*T129+U129*Y129</f>
        <v>930000</v>
      </c>
      <c r="AB129" s="209">
        <v>1</v>
      </c>
      <c r="AC129" s="210"/>
      <c r="AE129" s="211"/>
      <c r="AF129" s="211"/>
      <c r="AI129" s="211">
        <f>IFERROR(IF(F129="V",1,IF(F129="X",0))," ")</f>
        <v>0</v>
      </c>
      <c r="AJ129" s="211">
        <f>IFERROR(IF(H129="V",1,IF(H129="X",0))," ")</f>
        <v>1</v>
      </c>
      <c r="AK129" s="211">
        <f>IFERROR(IF(J129="V",1,IF(J129="X",0))," ")</f>
        <v>1</v>
      </c>
      <c r="AL129" s="211">
        <f>IFERROR(IF(L129="V",1,IF(L129="X",0))," ")</f>
        <v>1</v>
      </c>
      <c r="AM129" s="211">
        <f>IFERROR(IF(N129="V",1,IF(N129="X",0))," ")</f>
        <v>1</v>
      </c>
      <c r="AN129" s="211">
        <f>IFERROR(IF(P129="V",1,IF(P129="X",0))," ")</f>
        <v>1</v>
      </c>
      <c r="AO129" s="211">
        <f>IFERROR(IF(R129="V",1,IF(R129="X",0))," ")</f>
        <v>1</v>
      </c>
    </row>
    <row r="130" spans="1:41" ht="24.95" customHeight="1" x14ac:dyDescent="0.25">
      <c r="B130" s="212">
        <v>2</v>
      </c>
      <c r="C130" s="202" t="str">
        <f t="shared" ref="C130:C138" si="47">C91</f>
        <v>BUSANI</v>
      </c>
      <c r="D130" s="213"/>
      <c r="E130" s="214" t="str">
        <f t="shared" ref="E130:E138" si="48">E91</f>
        <v>B</v>
      </c>
      <c r="F130" s="215" t="s">
        <v>36</v>
      </c>
      <c r="G130" s="215"/>
      <c r="H130" s="215" t="s">
        <v>37</v>
      </c>
      <c r="I130" s="215"/>
      <c r="J130" s="215" t="s">
        <v>37</v>
      </c>
      <c r="K130" s="215"/>
      <c r="L130" s="215" t="s">
        <v>37</v>
      </c>
      <c r="M130" s="215"/>
      <c r="N130" s="215" t="s">
        <v>37</v>
      </c>
      <c r="O130" s="215"/>
      <c r="P130" s="215" t="s">
        <v>37</v>
      </c>
      <c r="Q130" s="358">
        <v>2</v>
      </c>
      <c r="R130" s="215" t="s">
        <v>37</v>
      </c>
      <c r="S130" s="358">
        <v>4</v>
      </c>
      <c r="T130" s="216">
        <f t="shared" ref="T130:T136" si="49">SUM(AI130:AO130)</f>
        <v>6</v>
      </c>
      <c r="U130" s="351">
        <f t="shared" ref="U130:U136" si="50">SUM(F130:S130)</f>
        <v>6</v>
      </c>
      <c r="V130" s="217" t="str">
        <f t="shared" ref="V130:V137" si="51">IF(W130&gt;0,"Rp",IF(W130=0," "))</f>
        <v>Rp</v>
      </c>
      <c r="W130" s="218">
        <f t="shared" ref="W130:W137" si="52">W91</f>
        <v>125000</v>
      </c>
      <c r="X130" s="217" t="str">
        <f t="shared" ref="X130:X137" si="53">IF(Y130&gt;0,"Rp",IF(Y130=0," "))</f>
        <v>Rp</v>
      </c>
      <c r="Y130" s="218">
        <f t="shared" ref="Y130:Y137" si="54">Y91</f>
        <v>15000</v>
      </c>
      <c r="Z130" s="217" t="str">
        <f t="shared" ref="Z130:Z138" si="55">IF(AA130&gt;0,"Rp",IF(AA130=0," "))</f>
        <v>Rp</v>
      </c>
      <c r="AA130" s="219">
        <f t="shared" ref="AA130:AA138" si="56">W130*T130+U130*Y130</f>
        <v>840000</v>
      </c>
      <c r="AB130" s="220"/>
      <c r="AC130" s="221">
        <v>2</v>
      </c>
      <c r="AE130" s="211"/>
      <c r="AF130" s="211"/>
      <c r="AI130" s="211">
        <f t="shared" ref="AI130:AI140" si="57">IFERROR(IF(F130="V",1,IF(F130="X",0))," ")</f>
        <v>0</v>
      </c>
      <c r="AJ130" s="211">
        <f t="shared" ref="AJ130:AJ140" si="58">IFERROR(IF(H130="V",1,IF(H130="X",0))," ")</f>
        <v>1</v>
      </c>
      <c r="AK130" s="211">
        <f t="shared" ref="AK130:AK140" si="59">IFERROR(IF(J130="V",1,IF(J130="X",0))," ")</f>
        <v>1</v>
      </c>
      <c r="AL130" s="211">
        <f t="shared" ref="AL130:AL140" si="60">IFERROR(IF(L130="V",1,IF(L130="X",0))," ")</f>
        <v>1</v>
      </c>
      <c r="AM130" s="211">
        <f t="shared" ref="AM130:AM140" si="61">IFERROR(IF(N130="V",1,IF(N130="X",0))," ")</f>
        <v>1</v>
      </c>
      <c r="AN130" s="211">
        <f t="shared" ref="AN130:AN140" si="62">IFERROR(IF(P130="V",1,IF(P130="X",0))," ")</f>
        <v>1</v>
      </c>
      <c r="AO130" s="211">
        <f t="shared" ref="AO130:AO140" si="63">IFERROR(IF(R130="V",1,IF(R130="X",0))," ")</f>
        <v>1</v>
      </c>
    </row>
    <row r="131" spans="1:41" ht="24.95" customHeight="1" x14ac:dyDescent="0.25">
      <c r="B131" s="212">
        <v>3</v>
      </c>
      <c r="C131" s="202" t="str">
        <f t="shared" si="47"/>
        <v>LASMARI</v>
      </c>
      <c r="D131" s="213"/>
      <c r="E131" s="214" t="str">
        <f t="shared" si="48"/>
        <v>B</v>
      </c>
      <c r="F131" s="215" t="s">
        <v>36</v>
      </c>
      <c r="G131" s="215"/>
      <c r="H131" s="215" t="s">
        <v>37</v>
      </c>
      <c r="I131" s="215"/>
      <c r="J131" s="215" t="s">
        <v>37</v>
      </c>
      <c r="K131" s="215"/>
      <c r="L131" s="215" t="s">
        <v>37</v>
      </c>
      <c r="M131" s="215"/>
      <c r="N131" s="215" t="s">
        <v>37</v>
      </c>
      <c r="O131" s="215"/>
      <c r="P131" s="215" t="s">
        <v>37</v>
      </c>
      <c r="Q131" s="358">
        <v>2</v>
      </c>
      <c r="R131" s="215" t="s">
        <v>36</v>
      </c>
      <c r="S131" s="358"/>
      <c r="T131" s="216">
        <f t="shared" si="49"/>
        <v>5</v>
      </c>
      <c r="U131" s="351">
        <f t="shared" si="50"/>
        <v>2</v>
      </c>
      <c r="V131" s="217" t="str">
        <f t="shared" si="51"/>
        <v>Rp</v>
      </c>
      <c r="W131" s="218">
        <f t="shared" si="52"/>
        <v>125000</v>
      </c>
      <c r="X131" s="217" t="str">
        <f t="shared" si="53"/>
        <v>Rp</v>
      </c>
      <c r="Y131" s="218">
        <f t="shared" si="54"/>
        <v>15000</v>
      </c>
      <c r="Z131" s="217" t="str">
        <f t="shared" si="55"/>
        <v>Rp</v>
      </c>
      <c r="AA131" s="219">
        <f t="shared" si="56"/>
        <v>655000</v>
      </c>
      <c r="AB131" s="222">
        <v>3</v>
      </c>
      <c r="AC131" s="221"/>
      <c r="AE131" s="211"/>
      <c r="AF131" s="211"/>
      <c r="AI131" s="211">
        <f t="shared" si="57"/>
        <v>0</v>
      </c>
      <c r="AJ131" s="211">
        <f t="shared" si="58"/>
        <v>1</v>
      </c>
      <c r="AK131" s="211">
        <f t="shared" si="59"/>
        <v>1</v>
      </c>
      <c r="AL131" s="211">
        <f t="shared" si="60"/>
        <v>1</v>
      </c>
      <c r="AM131" s="211">
        <f t="shared" si="61"/>
        <v>1</v>
      </c>
      <c r="AN131" s="211">
        <f t="shared" si="62"/>
        <v>1</v>
      </c>
      <c r="AO131" s="211">
        <f t="shared" si="63"/>
        <v>0</v>
      </c>
    </row>
    <row r="132" spans="1:41" ht="24.95" customHeight="1" x14ac:dyDescent="0.25">
      <c r="B132" s="212">
        <v>4</v>
      </c>
      <c r="C132" s="202" t="str">
        <f t="shared" si="47"/>
        <v>SUMARTO</v>
      </c>
      <c r="D132" s="213"/>
      <c r="E132" s="214" t="str">
        <f t="shared" si="48"/>
        <v>B</v>
      </c>
      <c r="F132" s="215" t="s">
        <v>36</v>
      </c>
      <c r="G132" s="215"/>
      <c r="H132" s="215" t="s">
        <v>37</v>
      </c>
      <c r="I132" s="215"/>
      <c r="J132" s="215" t="s">
        <v>37</v>
      </c>
      <c r="K132" s="215"/>
      <c r="L132" s="215" t="s">
        <v>37</v>
      </c>
      <c r="M132" s="215"/>
      <c r="N132" s="215" t="s">
        <v>37</v>
      </c>
      <c r="O132" s="215"/>
      <c r="P132" s="215" t="s">
        <v>37</v>
      </c>
      <c r="Q132" s="358">
        <v>2</v>
      </c>
      <c r="R132" s="215" t="s">
        <v>37</v>
      </c>
      <c r="S132" s="358">
        <v>4</v>
      </c>
      <c r="T132" s="216">
        <f t="shared" si="49"/>
        <v>6</v>
      </c>
      <c r="U132" s="351">
        <f t="shared" si="50"/>
        <v>6</v>
      </c>
      <c r="V132" s="217" t="str">
        <f t="shared" si="51"/>
        <v>Rp</v>
      </c>
      <c r="W132" s="218">
        <f t="shared" si="52"/>
        <v>125000</v>
      </c>
      <c r="X132" s="217" t="str">
        <f t="shared" si="53"/>
        <v>Rp</v>
      </c>
      <c r="Y132" s="218">
        <f t="shared" si="54"/>
        <v>15000</v>
      </c>
      <c r="Z132" s="217" t="str">
        <f t="shared" si="55"/>
        <v>Rp</v>
      </c>
      <c r="AA132" s="219">
        <f t="shared" si="56"/>
        <v>840000</v>
      </c>
      <c r="AB132" s="222"/>
      <c r="AC132" s="223">
        <v>4</v>
      </c>
      <c r="AE132" s="211"/>
      <c r="AF132" s="211"/>
      <c r="AI132" s="211">
        <f t="shared" si="57"/>
        <v>0</v>
      </c>
      <c r="AJ132" s="211">
        <f t="shared" si="58"/>
        <v>1</v>
      </c>
      <c r="AK132" s="211">
        <f t="shared" si="59"/>
        <v>1</v>
      </c>
      <c r="AL132" s="211">
        <f t="shared" si="60"/>
        <v>1</v>
      </c>
      <c r="AM132" s="211">
        <f t="shared" si="61"/>
        <v>1</v>
      </c>
      <c r="AN132" s="211">
        <f t="shared" si="62"/>
        <v>1</v>
      </c>
      <c r="AO132" s="211">
        <f t="shared" si="63"/>
        <v>1</v>
      </c>
    </row>
    <row r="133" spans="1:41" ht="24.95" customHeight="1" x14ac:dyDescent="0.25">
      <c r="B133" s="212">
        <v>5</v>
      </c>
      <c r="C133" s="202" t="str">
        <f t="shared" si="47"/>
        <v>TONI</v>
      </c>
      <c r="D133" s="213"/>
      <c r="E133" s="214" t="str">
        <f t="shared" si="48"/>
        <v>C</v>
      </c>
      <c r="F133" s="215" t="s">
        <v>36</v>
      </c>
      <c r="G133" s="215"/>
      <c r="H133" s="215" t="s">
        <v>36</v>
      </c>
      <c r="I133" s="215"/>
      <c r="J133" s="215" t="s">
        <v>37</v>
      </c>
      <c r="K133" s="215"/>
      <c r="L133" s="215" t="s">
        <v>37</v>
      </c>
      <c r="M133" s="215"/>
      <c r="N133" s="215" t="s">
        <v>37</v>
      </c>
      <c r="O133" s="215"/>
      <c r="P133" s="215" t="s">
        <v>37</v>
      </c>
      <c r="Q133" s="358">
        <v>2</v>
      </c>
      <c r="R133" s="215" t="s">
        <v>37</v>
      </c>
      <c r="S133" s="358">
        <v>4</v>
      </c>
      <c r="T133" s="216">
        <f t="shared" si="49"/>
        <v>5</v>
      </c>
      <c r="U133" s="351">
        <f t="shared" si="50"/>
        <v>6</v>
      </c>
      <c r="V133" s="217" t="str">
        <f t="shared" si="51"/>
        <v>Rp</v>
      </c>
      <c r="W133" s="218">
        <f t="shared" si="52"/>
        <v>115000</v>
      </c>
      <c r="X133" s="217" t="str">
        <f t="shared" si="53"/>
        <v>Rp</v>
      </c>
      <c r="Y133" s="218">
        <f t="shared" si="54"/>
        <v>10000</v>
      </c>
      <c r="Z133" s="217" t="str">
        <f t="shared" si="55"/>
        <v>Rp</v>
      </c>
      <c r="AA133" s="219">
        <f t="shared" si="56"/>
        <v>635000</v>
      </c>
      <c r="AB133" s="222">
        <v>5</v>
      </c>
      <c r="AC133" s="221"/>
      <c r="AE133" s="211"/>
      <c r="AF133" s="211"/>
      <c r="AI133" s="211">
        <f t="shared" si="57"/>
        <v>0</v>
      </c>
      <c r="AJ133" s="211">
        <f t="shared" si="58"/>
        <v>0</v>
      </c>
      <c r="AK133" s="211">
        <f t="shared" si="59"/>
        <v>1</v>
      </c>
      <c r="AL133" s="211">
        <f t="shared" si="60"/>
        <v>1</v>
      </c>
      <c r="AM133" s="211">
        <f t="shared" si="61"/>
        <v>1</v>
      </c>
      <c r="AN133" s="211">
        <f t="shared" si="62"/>
        <v>1</v>
      </c>
      <c r="AO133" s="211">
        <f t="shared" si="63"/>
        <v>1</v>
      </c>
    </row>
    <row r="134" spans="1:41" ht="24.95" customHeight="1" x14ac:dyDescent="0.25">
      <c r="B134" s="212">
        <v>6</v>
      </c>
      <c r="C134" s="202" t="str">
        <f t="shared" si="47"/>
        <v>SAKIM</v>
      </c>
      <c r="D134" s="213"/>
      <c r="E134" s="214" t="str">
        <f t="shared" si="48"/>
        <v>C</v>
      </c>
      <c r="F134" s="215" t="s">
        <v>36</v>
      </c>
      <c r="G134" s="215"/>
      <c r="H134" s="215" t="s">
        <v>37</v>
      </c>
      <c r="I134" s="215"/>
      <c r="J134" s="215" t="s">
        <v>37</v>
      </c>
      <c r="K134" s="215"/>
      <c r="L134" s="215" t="s">
        <v>37</v>
      </c>
      <c r="M134" s="215"/>
      <c r="N134" s="215" t="s">
        <v>37</v>
      </c>
      <c r="O134" s="215"/>
      <c r="P134" s="215" t="s">
        <v>37</v>
      </c>
      <c r="Q134" s="358">
        <v>2</v>
      </c>
      <c r="R134" s="215" t="s">
        <v>37</v>
      </c>
      <c r="S134" s="358">
        <v>4</v>
      </c>
      <c r="T134" s="216">
        <f t="shared" si="49"/>
        <v>6</v>
      </c>
      <c r="U134" s="351">
        <f t="shared" si="50"/>
        <v>6</v>
      </c>
      <c r="V134" s="217" t="str">
        <f t="shared" si="51"/>
        <v>Rp</v>
      </c>
      <c r="W134" s="218">
        <f t="shared" si="52"/>
        <v>115000</v>
      </c>
      <c r="X134" s="217" t="str">
        <f t="shared" si="53"/>
        <v>Rp</v>
      </c>
      <c r="Y134" s="218">
        <f t="shared" si="54"/>
        <v>10000</v>
      </c>
      <c r="Z134" s="217" t="str">
        <f t="shared" si="55"/>
        <v>Rp</v>
      </c>
      <c r="AA134" s="219">
        <f t="shared" si="56"/>
        <v>750000</v>
      </c>
      <c r="AB134" s="222"/>
      <c r="AC134" s="223">
        <v>6</v>
      </c>
      <c r="AE134" s="211"/>
      <c r="AF134" s="211"/>
      <c r="AI134" s="211">
        <f t="shared" si="57"/>
        <v>0</v>
      </c>
      <c r="AJ134" s="211">
        <f t="shared" si="58"/>
        <v>1</v>
      </c>
      <c r="AK134" s="211">
        <f t="shared" si="59"/>
        <v>1</v>
      </c>
      <c r="AL134" s="211">
        <f t="shared" si="60"/>
        <v>1</v>
      </c>
      <c r="AM134" s="211">
        <f t="shared" si="61"/>
        <v>1</v>
      </c>
      <c r="AN134" s="211">
        <f t="shared" si="62"/>
        <v>1</v>
      </c>
      <c r="AO134" s="211">
        <f t="shared" si="63"/>
        <v>1</v>
      </c>
    </row>
    <row r="135" spans="1:41" ht="24.95" customHeight="1" x14ac:dyDescent="0.25">
      <c r="B135" s="212">
        <v>7</v>
      </c>
      <c r="C135" s="202" t="str">
        <f t="shared" si="47"/>
        <v>TOHIR</v>
      </c>
      <c r="D135" s="213"/>
      <c r="E135" s="214" t="str">
        <f t="shared" si="48"/>
        <v>C</v>
      </c>
      <c r="F135" s="215" t="s">
        <v>36</v>
      </c>
      <c r="G135" s="215"/>
      <c r="H135" s="215" t="s">
        <v>37</v>
      </c>
      <c r="I135" s="215"/>
      <c r="J135" s="215" t="s">
        <v>37</v>
      </c>
      <c r="K135" s="215"/>
      <c r="L135" s="215" t="s">
        <v>37</v>
      </c>
      <c r="M135" s="215"/>
      <c r="N135" s="215" t="s">
        <v>37</v>
      </c>
      <c r="O135" s="215"/>
      <c r="P135" s="215" t="s">
        <v>37</v>
      </c>
      <c r="Q135" s="358">
        <v>2</v>
      </c>
      <c r="R135" s="215" t="s">
        <v>37</v>
      </c>
      <c r="S135" s="358">
        <v>4</v>
      </c>
      <c r="T135" s="216">
        <f t="shared" si="49"/>
        <v>6</v>
      </c>
      <c r="U135" s="351">
        <f t="shared" si="50"/>
        <v>6</v>
      </c>
      <c r="V135" s="217" t="str">
        <f t="shared" si="51"/>
        <v>Rp</v>
      </c>
      <c r="W135" s="218">
        <f t="shared" si="52"/>
        <v>115000</v>
      </c>
      <c r="X135" s="217" t="str">
        <f t="shared" si="53"/>
        <v>Rp</v>
      </c>
      <c r="Y135" s="218">
        <f t="shared" si="54"/>
        <v>10000</v>
      </c>
      <c r="Z135" s="217" t="str">
        <f t="shared" si="55"/>
        <v>Rp</v>
      </c>
      <c r="AA135" s="219">
        <f t="shared" si="56"/>
        <v>750000</v>
      </c>
      <c r="AB135" s="222">
        <v>7</v>
      </c>
      <c r="AC135" s="221"/>
      <c r="AE135" s="211"/>
      <c r="AF135" s="211"/>
      <c r="AI135" s="211">
        <f t="shared" si="57"/>
        <v>0</v>
      </c>
      <c r="AJ135" s="211">
        <f t="shared" si="58"/>
        <v>1</v>
      </c>
      <c r="AK135" s="211">
        <f t="shared" si="59"/>
        <v>1</v>
      </c>
      <c r="AL135" s="211">
        <f t="shared" si="60"/>
        <v>1</v>
      </c>
      <c r="AM135" s="211">
        <f t="shared" si="61"/>
        <v>1</v>
      </c>
      <c r="AN135" s="211">
        <f t="shared" si="62"/>
        <v>1</v>
      </c>
      <c r="AO135" s="211">
        <f t="shared" si="63"/>
        <v>1</v>
      </c>
    </row>
    <row r="136" spans="1:41" ht="24.95" customHeight="1" x14ac:dyDescent="0.25">
      <c r="B136" s="212">
        <v>8</v>
      </c>
      <c r="C136" s="202" t="str">
        <f t="shared" si="47"/>
        <v>ROJALI</v>
      </c>
      <c r="D136" s="213"/>
      <c r="E136" s="214" t="str">
        <f t="shared" si="48"/>
        <v>C</v>
      </c>
      <c r="F136" s="215" t="s">
        <v>36</v>
      </c>
      <c r="G136" s="215"/>
      <c r="H136" s="215" t="s">
        <v>37</v>
      </c>
      <c r="I136" s="215"/>
      <c r="J136" s="215" t="s">
        <v>37</v>
      </c>
      <c r="K136" s="215"/>
      <c r="L136" s="215" t="s">
        <v>37</v>
      </c>
      <c r="M136" s="215"/>
      <c r="N136" s="215" t="s">
        <v>36</v>
      </c>
      <c r="O136" s="215"/>
      <c r="P136" s="215" t="s">
        <v>37</v>
      </c>
      <c r="Q136" s="358">
        <v>2</v>
      </c>
      <c r="R136" s="215" t="s">
        <v>37</v>
      </c>
      <c r="S136" s="358">
        <v>4</v>
      </c>
      <c r="T136" s="216">
        <f t="shared" si="49"/>
        <v>5</v>
      </c>
      <c r="U136" s="351">
        <f t="shared" si="50"/>
        <v>6</v>
      </c>
      <c r="V136" s="217" t="str">
        <f t="shared" si="51"/>
        <v>Rp</v>
      </c>
      <c r="W136" s="218">
        <f t="shared" si="52"/>
        <v>115000</v>
      </c>
      <c r="X136" s="217" t="str">
        <f t="shared" si="53"/>
        <v>Rp</v>
      </c>
      <c r="Y136" s="218">
        <f t="shared" si="54"/>
        <v>10000</v>
      </c>
      <c r="Z136" s="217" t="str">
        <f t="shared" si="55"/>
        <v>Rp</v>
      </c>
      <c r="AA136" s="219">
        <f t="shared" si="56"/>
        <v>635000</v>
      </c>
      <c r="AB136" s="222"/>
      <c r="AC136" s="223">
        <v>8</v>
      </c>
      <c r="AE136" s="211"/>
      <c r="AF136" s="211"/>
      <c r="AI136" s="211">
        <f t="shared" si="57"/>
        <v>0</v>
      </c>
      <c r="AJ136" s="211">
        <f t="shared" si="58"/>
        <v>1</v>
      </c>
      <c r="AK136" s="211">
        <f t="shared" si="59"/>
        <v>1</v>
      </c>
      <c r="AL136" s="211">
        <f t="shared" si="60"/>
        <v>1</v>
      </c>
      <c r="AM136" s="211">
        <f t="shared" si="61"/>
        <v>0</v>
      </c>
      <c r="AN136" s="211">
        <f t="shared" si="62"/>
        <v>1</v>
      </c>
      <c r="AO136" s="211">
        <f t="shared" si="63"/>
        <v>1</v>
      </c>
    </row>
    <row r="137" spans="1:41" ht="24.95" customHeight="1" x14ac:dyDescent="0.25">
      <c r="B137" s="212">
        <v>9</v>
      </c>
      <c r="C137" s="202">
        <f t="shared" si="47"/>
        <v>0</v>
      </c>
      <c r="D137" s="213"/>
      <c r="E137" s="214">
        <f t="shared" si="48"/>
        <v>0</v>
      </c>
      <c r="F137" s="215"/>
      <c r="G137" s="215"/>
      <c r="H137" s="215"/>
      <c r="I137" s="215"/>
      <c r="J137" s="215"/>
      <c r="K137" s="215"/>
      <c r="L137" s="215"/>
      <c r="M137" s="215"/>
      <c r="N137" s="215"/>
      <c r="O137" s="215"/>
      <c r="P137" s="215"/>
      <c r="Q137" s="215"/>
      <c r="R137" s="215"/>
      <c r="S137" s="215"/>
      <c r="T137" s="216">
        <f>SUM(AI137:AO137)</f>
        <v>0</v>
      </c>
      <c r="U137" s="351">
        <f>SUM(F137:S137)</f>
        <v>0</v>
      </c>
      <c r="V137" s="217" t="str">
        <f t="shared" si="51"/>
        <v xml:space="preserve"> </v>
      </c>
      <c r="W137" s="218">
        <f t="shared" si="52"/>
        <v>0</v>
      </c>
      <c r="X137" s="217" t="str">
        <f t="shared" si="53"/>
        <v xml:space="preserve"> </v>
      </c>
      <c r="Y137" s="218">
        <f t="shared" si="54"/>
        <v>0</v>
      </c>
      <c r="Z137" s="217" t="str">
        <f t="shared" si="55"/>
        <v xml:space="preserve"> </v>
      </c>
      <c r="AA137" s="219">
        <f t="shared" si="56"/>
        <v>0</v>
      </c>
      <c r="AB137" s="222"/>
      <c r="AC137" s="221"/>
      <c r="AE137" s="211"/>
      <c r="AF137" s="211"/>
      <c r="AI137" s="211" t="b">
        <f t="shared" si="57"/>
        <v>0</v>
      </c>
      <c r="AJ137" s="211" t="b">
        <f t="shared" si="58"/>
        <v>0</v>
      </c>
      <c r="AK137" s="211" t="b">
        <f t="shared" si="59"/>
        <v>0</v>
      </c>
      <c r="AL137" s="211" t="b">
        <f t="shared" si="60"/>
        <v>0</v>
      </c>
      <c r="AM137" s="211" t="b">
        <f t="shared" si="61"/>
        <v>0</v>
      </c>
      <c r="AN137" s="211" t="b">
        <f t="shared" si="62"/>
        <v>0</v>
      </c>
      <c r="AO137" s="211" t="b">
        <f t="shared" si="63"/>
        <v>0</v>
      </c>
    </row>
    <row r="138" spans="1:41" ht="24.95" customHeight="1" x14ac:dyDescent="0.25">
      <c r="B138" s="212">
        <v>10</v>
      </c>
      <c r="C138" s="202">
        <f t="shared" si="47"/>
        <v>0</v>
      </c>
      <c r="D138" s="213"/>
      <c r="E138" s="214">
        <f t="shared" si="48"/>
        <v>0</v>
      </c>
      <c r="F138" s="215"/>
      <c r="G138" s="215"/>
      <c r="H138" s="215"/>
      <c r="I138" s="215"/>
      <c r="J138" s="215"/>
      <c r="K138" s="215"/>
      <c r="L138" s="215"/>
      <c r="M138" s="215"/>
      <c r="N138" s="215"/>
      <c r="O138" s="215"/>
      <c r="P138" s="215"/>
      <c r="Q138" s="215"/>
      <c r="R138" s="215"/>
      <c r="S138" s="215"/>
      <c r="T138" s="216"/>
      <c r="U138" s="352"/>
      <c r="V138" s="217"/>
      <c r="W138" s="218"/>
      <c r="X138" s="217"/>
      <c r="Y138" s="218"/>
      <c r="Z138" s="217" t="str">
        <f t="shared" si="55"/>
        <v xml:space="preserve"> </v>
      </c>
      <c r="AA138" s="219">
        <f t="shared" si="56"/>
        <v>0</v>
      </c>
      <c r="AB138" s="222"/>
      <c r="AC138" s="223"/>
      <c r="AE138" s="211"/>
      <c r="AF138" s="211"/>
      <c r="AI138" s="211" t="b">
        <f t="shared" si="57"/>
        <v>0</v>
      </c>
      <c r="AJ138" s="211" t="b">
        <f t="shared" si="58"/>
        <v>0</v>
      </c>
      <c r="AK138" s="211" t="b">
        <f t="shared" si="59"/>
        <v>0</v>
      </c>
      <c r="AL138" s="211" t="b">
        <f t="shared" si="60"/>
        <v>0</v>
      </c>
      <c r="AM138" s="211" t="b">
        <f t="shared" si="61"/>
        <v>0</v>
      </c>
      <c r="AN138" s="211" t="b">
        <f t="shared" si="62"/>
        <v>0</v>
      </c>
      <c r="AO138" s="211" t="b">
        <f t="shared" si="63"/>
        <v>0</v>
      </c>
    </row>
    <row r="139" spans="1:41" ht="24.95" customHeight="1" x14ac:dyDescent="0.25">
      <c r="B139" s="212">
        <v>11</v>
      </c>
      <c r="C139" s="202">
        <f>C100</f>
        <v>0</v>
      </c>
      <c r="D139" s="213"/>
      <c r="E139" s="214">
        <f>E100</f>
        <v>0</v>
      </c>
      <c r="F139" s="215"/>
      <c r="G139" s="215"/>
      <c r="H139" s="215"/>
      <c r="I139" s="215"/>
      <c r="J139" s="215"/>
      <c r="K139" s="215"/>
      <c r="L139" s="215"/>
      <c r="M139" s="215"/>
      <c r="N139" s="215"/>
      <c r="O139" s="215"/>
      <c r="P139" s="215"/>
      <c r="Q139" s="215"/>
      <c r="R139" s="215"/>
      <c r="S139" s="215"/>
      <c r="T139" s="216">
        <f>SUM(AI139:AO139)</f>
        <v>0</v>
      </c>
      <c r="U139" s="216">
        <f>SUM(F139:S139)/6</f>
        <v>0</v>
      </c>
      <c r="V139" s="217"/>
      <c r="W139" s="218"/>
      <c r="X139" s="217"/>
      <c r="Y139" s="218"/>
      <c r="Z139" s="217" t="str">
        <f>IF(AA139&gt;0,"Rp",IF(AA139=0," "))</f>
        <v xml:space="preserve"> </v>
      </c>
      <c r="AA139" s="219">
        <f>W139*T139+U139*Y139</f>
        <v>0</v>
      </c>
      <c r="AB139" s="222" t="str">
        <f>IF(AA139&gt;0,1,IF(AA139=0," "))</f>
        <v xml:space="preserve"> </v>
      </c>
      <c r="AC139" s="221"/>
      <c r="AE139" s="211"/>
      <c r="AF139" s="211"/>
      <c r="AI139" s="211" t="b">
        <f t="shared" si="57"/>
        <v>0</v>
      </c>
      <c r="AJ139" s="211" t="b">
        <f t="shared" si="58"/>
        <v>0</v>
      </c>
      <c r="AK139" s="211" t="b">
        <f t="shared" si="59"/>
        <v>0</v>
      </c>
      <c r="AL139" s="211" t="b">
        <f t="shared" si="60"/>
        <v>0</v>
      </c>
      <c r="AM139" s="211" t="b">
        <f t="shared" si="61"/>
        <v>0</v>
      </c>
      <c r="AN139" s="211" t="b">
        <f t="shared" si="62"/>
        <v>0</v>
      </c>
      <c r="AO139" s="211" t="b">
        <f t="shared" si="63"/>
        <v>0</v>
      </c>
    </row>
    <row r="140" spans="1:41" ht="24.95" customHeight="1" x14ac:dyDescent="0.25">
      <c r="B140" s="212">
        <v>12</v>
      </c>
      <c r="C140" s="202"/>
      <c r="D140" s="213"/>
      <c r="E140" s="214"/>
      <c r="F140" s="215"/>
      <c r="G140" s="215"/>
      <c r="H140" s="215"/>
      <c r="I140" s="215"/>
      <c r="J140" s="215"/>
      <c r="K140" s="215"/>
      <c r="L140" s="215"/>
      <c r="M140" s="215"/>
      <c r="N140" s="215"/>
      <c r="O140" s="215"/>
      <c r="P140" s="215"/>
      <c r="Q140" s="215"/>
      <c r="R140" s="215"/>
      <c r="S140" s="215"/>
      <c r="T140" s="216">
        <f>SUM(AI140:AO140)</f>
        <v>0</v>
      </c>
      <c r="U140" s="216">
        <f>SUM(F140:S140)/6</f>
        <v>0</v>
      </c>
      <c r="V140" s="217"/>
      <c r="W140" s="218"/>
      <c r="X140" s="217"/>
      <c r="Y140" s="218"/>
      <c r="Z140" s="217" t="str">
        <f>IF(AA140&gt;0,"Rp",IF(AA140=0," "))</f>
        <v xml:space="preserve"> </v>
      </c>
      <c r="AA140" s="219">
        <f>W140*T140+U140*Y140</f>
        <v>0</v>
      </c>
      <c r="AB140" s="222" t="str">
        <f>IF(AA140&gt;0,1,IF(AA140=0," "))</f>
        <v xml:space="preserve"> </v>
      </c>
      <c r="AC140" s="223"/>
      <c r="AE140" s="211"/>
      <c r="AF140" s="211"/>
      <c r="AI140" s="211" t="b">
        <f t="shared" si="57"/>
        <v>0</v>
      </c>
      <c r="AJ140" s="211" t="b">
        <f t="shared" si="58"/>
        <v>0</v>
      </c>
      <c r="AK140" s="211" t="b">
        <f t="shared" si="59"/>
        <v>0</v>
      </c>
      <c r="AL140" s="211" t="b">
        <f t="shared" si="60"/>
        <v>0</v>
      </c>
      <c r="AM140" s="211" t="b">
        <f t="shared" si="61"/>
        <v>0</v>
      </c>
      <c r="AN140" s="211" t="b">
        <f t="shared" si="62"/>
        <v>0</v>
      </c>
      <c r="AO140" s="211" t="b">
        <f t="shared" si="63"/>
        <v>0</v>
      </c>
    </row>
    <row r="141" spans="1:41" ht="24.95" customHeight="1" thickBot="1" x14ac:dyDescent="0.25">
      <c r="B141" s="233"/>
      <c r="C141" s="257"/>
      <c r="D141" s="235"/>
      <c r="E141" s="236"/>
      <c r="F141" s="237"/>
      <c r="G141" s="237"/>
      <c r="H141" s="238"/>
      <c r="I141" s="238"/>
      <c r="J141" s="239"/>
      <c r="K141" s="239"/>
      <c r="L141" s="239"/>
      <c r="M141" s="239"/>
      <c r="N141" s="240"/>
      <c r="O141" s="240"/>
      <c r="P141" s="240"/>
      <c r="Q141" s="240"/>
      <c r="R141" s="240"/>
      <c r="S141" s="353"/>
      <c r="T141" s="259"/>
      <c r="U141" s="259"/>
      <c r="V141" s="242"/>
      <c r="W141" s="258"/>
      <c r="X141" s="242"/>
      <c r="Y141" s="258"/>
      <c r="Z141" s="244"/>
      <c r="AA141" s="236"/>
      <c r="AB141" s="246"/>
      <c r="AC141" s="247"/>
      <c r="AE141" s="211"/>
      <c r="AF141" s="211"/>
    </row>
    <row r="142" spans="1:41" ht="20.100000000000001" customHeight="1" thickTop="1" thickBot="1" x14ac:dyDescent="0.3">
      <c r="A142" s="179">
        <f>A103+1</f>
        <v>4</v>
      </c>
      <c r="B142" s="248"/>
      <c r="C142" s="249"/>
      <c r="D142" s="249"/>
      <c r="E142" s="249"/>
      <c r="F142" s="249"/>
      <c r="G142" s="249"/>
      <c r="H142" s="249"/>
      <c r="I142" s="249"/>
      <c r="J142" s="249"/>
      <c r="K142" s="249"/>
      <c r="L142" s="249"/>
      <c r="M142" s="249"/>
      <c r="N142" s="249"/>
      <c r="O142" s="249"/>
      <c r="P142" s="249"/>
      <c r="Q142" s="249"/>
      <c r="R142" s="249"/>
      <c r="S142" s="249"/>
      <c r="T142" s="249"/>
      <c r="U142" s="249"/>
      <c r="V142" s="249"/>
      <c r="W142" s="250" t="s">
        <v>40</v>
      </c>
      <c r="X142" s="249"/>
      <c r="Y142" s="250" t="s">
        <v>40</v>
      </c>
      <c r="Z142" s="249"/>
      <c r="AA142" s="710">
        <f>SUM(AA129:AA141)</f>
        <v>6035000</v>
      </c>
      <c r="AB142" s="711"/>
      <c r="AC142" s="712"/>
      <c r="AE142" s="226" t="str">
        <f>VLOOKUP(A142,'Rekap Gaji'!$B$12:$P$32,10,FALSE)</f>
        <v xml:space="preserve"> 27 September 2025</v>
      </c>
      <c r="AF142" s="251" t="e">
        <f>AE142-AA142</f>
        <v>#VALUE!</v>
      </c>
    </row>
    <row r="143" spans="1:41" ht="11.25" customHeight="1" x14ac:dyDescent="0.25"/>
    <row r="144" spans="1:41" ht="16.5" customHeight="1" x14ac:dyDescent="0.25">
      <c r="B144" s="195" t="s">
        <v>41</v>
      </c>
      <c r="C144" s="140" t="s">
        <v>42</v>
      </c>
    </row>
    <row r="145" spans="1:32" ht="14.25" x14ac:dyDescent="0.25">
      <c r="H145" s="183"/>
      <c r="I145" s="183"/>
      <c r="J145" s="182"/>
      <c r="K145" s="182"/>
      <c r="T145" s="141"/>
      <c r="U145" s="141"/>
      <c r="V145" s="141"/>
      <c r="X145" s="141"/>
      <c r="AA145" s="140" t="str">
        <f>'BKU 1'!$I$25</f>
        <v>NGANTANG</v>
      </c>
      <c r="AB145" s="713">
        <f>IFERROR(VLOOKUP(E123,'Rekap Gaji'!$B$12:$P$32,7,FALSE),"-")</f>
        <v>45927</v>
      </c>
      <c r="AC145" s="713"/>
      <c r="AD145" s="252"/>
      <c r="AE145" s="252"/>
    </row>
    <row r="146" spans="1:32" ht="15.75" x14ac:dyDescent="0.25">
      <c r="C146" s="140" t="s">
        <v>43</v>
      </c>
      <c r="F146" s="253"/>
      <c r="G146" s="253"/>
      <c r="H146" s="254"/>
      <c r="I146" s="254"/>
      <c r="J146" s="255"/>
      <c r="K146" s="255"/>
      <c r="L146" s="256"/>
      <c r="M146" s="256"/>
      <c r="N146" s="225" t="s">
        <v>44</v>
      </c>
      <c r="O146" s="225"/>
      <c r="P146" s="253"/>
      <c r="Q146" s="253"/>
      <c r="T146" s="141"/>
      <c r="U146" s="141"/>
      <c r="V146" s="141"/>
      <c r="X146" s="141"/>
      <c r="AA146" s="140" t="str">
        <f>'BKU 1'!$L$354</f>
        <v>Dibuat Oleh ;</v>
      </c>
      <c r="AB146" s="141"/>
    </row>
    <row r="147" spans="1:32" ht="14.25" x14ac:dyDescent="0.25">
      <c r="C147" s="140" t="str">
        <f>'BKU 1'!$C$355</f>
        <v>Kepala Sekolah SDN 1 SIDODADI</v>
      </c>
      <c r="F147" s="187"/>
      <c r="G147" s="187"/>
      <c r="H147" s="224"/>
      <c r="I147" s="224"/>
      <c r="J147" s="182"/>
      <c r="K147" s="182"/>
      <c r="L147" s="183"/>
      <c r="M147" s="183"/>
      <c r="N147" s="140" t="s">
        <v>45</v>
      </c>
      <c r="P147" s="187"/>
      <c r="Q147" s="187"/>
      <c r="AA147" s="140" t="str">
        <f>'BKU 1'!$L$355</f>
        <v>Bendahara Pembangunan</v>
      </c>
      <c r="AB147" s="141"/>
    </row>
    <row r="148" spans="1:32" ht="14.25" x14ac:dyDescent="0.25">
      <c r="F148" s="187"/>
      <c r="G148" s="187"/>
      <c r="H148" s="224"/>
      <c r="I148" s="224"/>
      <c r="J148" s="182"/>
      <c r="K148" s="182"/>
      <c r="L148" s="183"/>
      <c r="M148" s="183"/>
      <c r="P148" s="187"/>
      <c r="Q148" s="187"/>
      <c r="AA148" s="140"/>
      <c r="AB148" s="141"/>
    </row>
    <row r="149" spans="1:32" ht="14.25" x14ac:dyDescent="0.25">
      <c r="F149" s="187"/>
      <c r="G149" s="187"/>
      <c r="H149" s="224"/>
      <c r="I149" s="224"/>
      <c r="J149" s="182"/>
      <c r="K149" s="182"/>
      <c r="L149" s="183"/>
      <c r="M149" s="183"/>
      <c r="P149" s="187"/>
      <c r="Q149" s="187"/>
      <c r="AA149" s="140"/>
      <c r="AB149" s="141"/>
    </row>
    <row r="150" spans="1:32" ht="14.25" x14ac:dyDescent="0.25">
      <c r="F150" s="187"/>
      <c r="G150" s="187"/>
      <c r="H150" s="224"/>
      <c r="I150" s="224"/>
      <c r="J150" s="182"/>
      <c r="K150" s="182"/>
      <c r="L150" s="183"/>
      <c r="M150" s="183"/>
      <c r="P150" s="187"/>
      <c r="Q150" s="187"/>
      <c r="AA150" s="140"/>
      <c r="AB150" s="141"/>
    </row>
    <row r="151" spans="1:32" ht="14.25" x14ac:dyDescent="0.25">
      <c r="F151" s="187"/>
      <c r="G151" s="187"/>
      <c r="H151" s="224"/>
      <c r="I151" s="224"/>
      <c r="J151" s="182"/>
      <c r="K151" s="182"/>
      <c r="L151" s="183"/>
      <c r="M151" s="183"/>
      <c r="P151" s="187"/>
      <c r="Q151" s="187"/>
      <c r="AA151" s="140"/>
      <c r="AB151" s="141"/>
    </row>
    <row r="152" spans="1:32" x14ac:dyDescent="0.25">
      <c r="H152" s="225"/>
      <c r="I152" s="225"/>
      <c r="AA152" s="140"/>
    </row>
    <row r="153" spans="1:32" x14ac:dyDescent="0.25">
      <c r="H153" s="225"/>
      <c r="I153" s="225"/>
      <c r="AA153" s="140"/>
    </row>
    <row r="154" spans="1:32" s="189" customFormat="1" ht="15" customHeight="1" x14ac:dyDescent="0.25">
      <c r="A154" s="192"/>
      <c r="B154" s="195"/>
      <c r="C154" s="227" t="str">
        <f>'BKU 1'!$C$360</f>
        <v>MELIA FITRIANI, S.Pd.SD</v>
      </c>
      <c r="D154" s="227"/>
      <c r="H154" s="228"/>
      <c r="I154" s="228"/>
      <c r="J154" s="195"/>
      <c r="K154" s="195"/>
      <c r="L154" s="194"/>
      <c r="M154" s="194"/>
      <c r="N154" s="229" t="str">
        <f>'BKU 1'!$H$360</f>
        <v>HARTATIK</v>
      </c>
      <c r="O154" s="229"/>
      <c r="AA154" s="227" t="str">
        <f>'BKU 1'!$L$360</f>
        <v>ARIF NUR UDIN, S.Pd.SD</v>
      </c>
      <c r="AC154" s="230"/>
      <c r="AE154" s="231"/>
      <c r="AF154" s="231"/>
    </row>
    <row r="155" spans="1:32" s="189" customFormat="1" ht="15" customHeight="1" x14ac:dyDescent="0.25">
      <c r="A155" s="192"/>
      <c r="B155" s="195"/>
      <c r="C155" s="140" t="str">
        <f>'BKU 1'!$C$361</f>
        <v>NIP. 19850619 200904 2 000</v>
      </c>
      <c r="D155" s="140"/>
      <c r="E155" s="140"/>
      <c r="F155" s="140"/>
      <c r="G155" s="140"/>
      <c r="H155" s="225"/>
      <c r="I155" s="225"/>
      <c r="J155" s="191"/>
      <c r="K155" s="191"/>
      <c r="L155" s="190"/>
      <c r="M155" s="190"/>
      <c r="N155" s="232"/>
      <c r="O155" s="232"/>
      <c r="P155" s="140"/>
      <c r="Q155" s="140"/>
      <c r="T155" s="140"/>
      <c r="U155" s="140"/>
      <c r="V155" s="140"/>
      <c r="W155" s="140"/>
      <c r="X155" s="140"/>
      <c r="Y155" s="140"/>
      <c r="Z155" s="140"/>
      <c r="AA155" s="140" t="str">
        <f>'BKU 1'!$L$361</f>
        <v>NIP. 19840719 200903 1 002</v>
      </c>
      <c r="AC155" s="230"/>
      <c r="AE155" s="231"/>
      <c r="AF155" s="231"/>
    </row>
    <row r="156" spans="1:32" ht="6" customHeight="1" x14ac:dyDescent="0.25"/>
    <row r="157" spans="1:32" s="177" customFormat="1" ht="24.95" customHeight="1" x14ac:dyDescent="0.25">
      <c r="A157" s="176"/>
      <c r="B157" s="726" t="s">
        <v>6</v>
      </c>
      <c r="C157" s="726"/>
      <c r="D157" s="726"/>
      <c r="E157" s="726"/>
      <c r="F157" s="726"/>
      <c r="G157" s="726"/>
      <c r="H157" s="726"/>
      <c r="I157" s="726"/>
      <c r="J157" s="726"/>
      <c r="K157" s="726"/>
      <c r="L157" s="726"/>
      <c r="M157" s="726"/>
      <c r="N157" s="726"/>
      <c r="O157" s="726"/>
      <c r="P157" s="726"/>
      <c r="Q157" s="726"/>
      <c r="R157" s="726"/>
      <c r="S157" s="726"/>
      <c r="T157" s="726"/>
      <c r="U157" s="726"/>
      <c r="V157" s="726"/>
      <c r="W157" s="726"/>
      <c r="X157" s="726"/>
      <c r="Y157" s="726"/>
      <c r="Z157" s="726"/>
      <c r="AA157" s="726"/>
      <c r="AB157" s="726"/>
      <c r="AC157" s="726"/>
      <c r="AE157" s="178"/>
      <c r="AF157" s="178"/>
    </row>
    <row r="158" spans="1:32" s="177" customFormat="1" ht="24.95" customHeight="1" x14ac:dyDescent="0.25">
      <c r="A158" s="176"/>
      <c r="B158" s="726" t="str">
        <f>'BKU 1'!$D$22</f>
        <v>PEMBANGUNAN TOILET BESERTA SANITASINYA</v>
      </c>
      <c r="C158" s="726"/>
      <c r="D158" s="726"/>
      <c r="E158" s="726"/>
      <c r="F158" s="726"/>
      <c r="G158" s="726"/>
      <c r="H158" s="726"/>
      <c r="I158" s="726"/>
      <c r="J158" s="726"/>
      <c r="K158" s="726"/>
      <c r="L158" s="726"/>
      <c r="M158" s="726"/>
      <c r="N158" s="726"/>
      <c r="O158" s="726"/>
      <c r="P158" s="726"/>
      <c r="Q158" s="726"/>
      <c r="R158" s="726"/>
      <c r="S158" s="726"/>
      <c r="T158" s="726"/>
      <c r="U158" s="726"/>
      <c r="V158" s="726"/>
      <c r="W158" s="726"/>
      <c r="X158" s="726"/>
      <c r="Y158" s="726"/>
      <c r="Z158" s="726"/>
      <c r="AA158" s="726"/>
      <c r="AB158" s="726"/>
      <c r="AC158" s="726"/>
      <c r="AE158" s="178"/>
      <c r="AF158" s="178"/>
    </row>
    <row r="159" spans="1:32" s="184" customFormat="1" ht="30.75" customHeight="1" x14ac:dyDescent="0.25">
      <c r="A159" s="179"/>
      <c r="B159" s="180"/>
      <c r="C159" s="181"/>
      <c r="D159" s="181"/>
      <c r="E159" s="181"/>
      <c r="F159" s="182"/>
      <c r="G159" s="182"/>
      <c r="H159" s="183"/>
      <c r="I159" s="183"/>
      <c r="J159" s="182"/>
      <c r="K159" s="182"/>
      <c r="L159" s="183"/>
      <c r="M159" s="183"/>
      <c r="N159" s="182"/>
      <c r="O159" s="182"/>
      <c r="P159" s="182"/>
      <c r="Q159" s="182"/>
      <c r="R159" s="182"/>
      <c r="S159" s="182"/>
      <c r="T159" s="181"/>
      <c r="U159" s="181"/>
      <c r="V159" s="181"/>
      <c r="X159" s="181"/>
      <c r="AA159" s="180"/>
      <c r="AB159" s="140"/>
      <c r="AC159" s="185"/>
      <c r="AE159" s="186"/>
      <c r="AF159" s="186"/>
    </row>
    <row r="160" spans="1:32" s="184" customFormat="1" ht="14.25" x14ac:dyDescent="0.25">
      <c r="A160" s="179"/>
      <c r="B160" s="185" t="s">
        <v>7</v>
      </c>
      <c r="D160" s="184" t="s">
        <v>49</v>
      </c>
      <c r="E160" s="184" t="str">
        <f>'BKU 1'!$D$25</f>
        <v>SDN 1 SIDODADI</v>
      </c>
      <c r="F160" s="140"/>
      <c r="G160" s="140"/>
      <c r="H160" s="183"/>
      <c r="I160" s="183"/>
      <c r="J160" s="182"/>
      <c r="K160" s="182"/>
      <c r="L160" s="183"/>
      <c r="M160" s="183"/>
      <c r="N160" s="187"/>
      <c r="O160" s="187"/>
      <c r="P160" s="187"/>
      <c r="Q160" s="187"/>
      <c r="R160" s="187"/>
      <c r="S160" s="187"/>
      <c r="T160" s="188"/>
      <c r="U160" s="188"/>
      <c r="V160" s="188"/>
      <c r="X160" s="188"/>
      <c r="AA160" s="180"/>
      <c r="AB160" s="189" t="s">
        <v>8</v>
      </c>
      <c r="AC160" s="185"/>
      <c r="AE160" s="186"/>
      <c r="AF160" s="186"/>
    </row>
    <row r="161" spans="1:41" s="184" customFormat="1" x14ac:dyDescent="0.25">
      <c r="A161" s="179"/>
      <c r="B161" s="185" t="s">
        <v>9</v>
      </c>
      <c r="D161" s="184" t="s">
        <v>49</v>
      </c>
      <c r="E161" s="184" t="str">
        <f>'BKU 1'!$D$26</f>
        <v>Jl. Kawi No.36 Rt. 1 Rw. 1 Dusun Sekar, Rt / Rw : 1 / 1, Dusun : Sekar, Kelurahan : Sidodadi</v>
      </c>
      <c r="F161" s="140"/>
      <c r="G161" s="140"/>
      <c r="H161" s="190"/>
      <c r="I161" s="190"/>
      <c r="J161" s="191"/>
      <c r="K161" s="191"/>
      <c r="L161" s="190"/>
      <c r="M161" s="190"/>
      <c r="N161" s="140"/>
      <c r="O161" s="140"/>
      <c r="P161" s="140"/>
      <c r="Q161" s="140"/>
      <c r="R161" s="140"/>
      <c r="S161" s="140"/>
      <c r="AA161" s="180"/>
      <c r="AB161" s="140" t="s">
        <v>10</v>
      </c>
      <c r="AC161" s="185" t="s">
        <v>11</v>
      </c>
      <c r="AE161" s="186"/>
      <c r="AF161" s="186"/>
    </row>
    <row r="162" spans="1:41" s="184" customFormat="1" x14ac:dyDescent="0.25">
      <c r="A162" s="179"/>
      <c r="B162" s="185" t="s">
        <v>12</v>
      </c>
      <c r="D162" s="184" t="s">
        <v>49</v>
      </c>
      <c r="E162" s="180">
        <f>E123+1</f>
        <v>5</v>
      </c>
      <c r="F162" s="140"/>
      <c r="G162" s="140"/>
      <c r="H162" s="727">
        <f>IFERROR(VLOOKUP(E162,'Rekap Gaji'!$B$12:$P$32,14,FALSE),"-")</f>
        <v>0</v>
      </c>
      <c r="I162" s="727"/>
      <c r="J162" s="727"/>
      <c r="K162" s="727"/>
      <c r="L162" s="727"/>
      <c r="M162" s="191"/>
      <c r="N162" s="140"/>
      <c r="O162" s="140"/>
      <c r="P162" s="140"/>
      <c r="Q162" s="140"/>
      <c r="R162" s="140"/>
      <c r="S162" s="140"/>
      <c r="AA162" s="180"/>
      <c r="AB162" s="140" t="s">
        <v>13</v>
      </c>
      <c r="AC162" s="185" t="s">
        <v>14</v>
      </c>
      <c r="AE162" s="186"/>
      <c r="AF162" s="186"/>
    </row>
    <row r="163" spans="1:41" s="184" customFormat="1" ht="15" customHeight="1" x14ac:dyDescent="0.25">
      <c r="A163" s="179"/>
      <c r="B163" s="185" t="s">
        <v>0</v>
      </c>
      <c r="D163" s="184" t="s">
        <v>49</v>
      </c>
      <c r="E163" s="728">
        <f>IFERROR(VLOOKUP(E162,'Rekap Gaji'!$B$12:$P$32,4,FALSE),"-")</f>
        <v>45928</v>
      </c>
      <c r="F163" s="728"/>
      <c r="G163" s="728"/>
      <c r="H163" s="728"/>
      <c r="I163" s="728"/>
      <c r="J163" s="728"/>
      <c r="K163" s="339"/>
      <c r="L163" s="727" t="s">
        <v>76</v>
      </c>
      <c r="M163" s="727"/>
      <c r="N163" s="727"/>
      <c r="O163" s="191"/>
      <c r="P163" s="728">
        <f>IFERROR(VLOOKUP(E162,'Rekap Gaji'!$B$12:$P$32,6,FALSE),"-")</f>
        <v>45934</v>
      </c>
      <c r="Q163" s="728"/>
      <c r="R163" s="728"/>
      <c r="S163" s="728"/>
      <c r="T163" s="728"/>
      <c r="U163" s="728"/>
      <c r="V163" s="728"/>
      <c r="AA163" s="180"/>
      <c r="AB163" s="140" t="s">
        <v>15</v>
      </c>
      <c r="AC163" s="185" t="s">
        <v>16</v>
      </c>
      <c r="AE163" s="186"/>
      <c r="AF163" s="186"/>
    </row>
    <row r="164" spans="1:41" s="188" customFormat="1" ht="8.1" customHeight="1" thickBot="1" x14ac:dyDescent="0.3">
      <c r="A164" s="192"/>
      <c r="B164" s="193"/>
      <c r="F164" s="189"/>
      <c r="G164" s="189"/>
      <c r="H164" s="194"/>
      <c r="I164" s="194"/>
      <c r="J164" s="195"/>
      <c r="K164" s="195"/>
      <c r="L164" s="194"/>
      <c r="M164" s="194"/>
      <c r="N164" s="189"/>
      <c r="O164" s="189"/>
      <c r="P164" s="189"/>
      <c r="Q164" s="189"/>
      <c r="R164" s="189"/>
      <c r="S164" s="189"/>
      <c r="AA164" s="193"/>
      <c r="AB164" s="189"/>
      <c r="AC164" s="196"/>
      <c r="AE164" s="197"/>
      <c r="AF164" s="197"/>
    </row>
    <row r="165" spans="1:41" s="343" customFormat="1" ht="15" customHeight="1" x14ac:dyDescent="0.25">
      <c r="A165" s="340"/>
      <c r="B165" s="744" t="s">
        <v>17</v>
      </c>
      <c r="C165" s="735" t="s">
        <v>18</v>
      </c>
      <c r="D165" s="747"/>
      <c r="E165" s="342" t="s">
        <v>19</v>
      </c>
      <c r="F165" s="714" t="s">
        <v>20</v>
      </c>
      <c r="G165" s="715"/>
      <c r="H165" s="715"/>
      <c r="I165" s="715"/>
      <c r="J165" s="715"/>
      <c r="K165" s="715"/>
      <c r="L165" s="715"/>
      <c r="M165" s="715"/>
      <c r="N165" s="715"/>
      <c r="O165" s="715"/>
      <c r="P165" s="715"/>
      <c r="Q165" s="715"/>
      <c r="R165" s="715"/>
      <c r="S165" s="716"/>
      <c r="T165" s="341" t="s">
        <v>2</v>
      </c>
      <c r="U165" s="341" t="s">
        <v>474</v>
      </c>
      <c r="V165" s="735" t="s">
        <v>21</v>
      </c>
      <c r="W165" s="747"/>
      <c r="X165" s="735" t="s">
        <v>21</v>
      </c>
      <c r="Y165" s="747"/>
      <c r="Z165" s="735" t="s">
        <v>22</v>
      </c>
      <c r="AA165" s="747"/>
      <c r="AB165" s="735" t="s">
        <v>23</v>
      </c>
      <c r="AC165" s="736"/>
      <c r="AE165" s="344"/>
      <c r="AF165" s="344"/>
    </row>
    <row r="166" spans="1:41" s="343" customFormat="1" ht="28.9" customHeight="1" x14ac:dyDescent="0.25">
      <c r="A166" s="340"/>
      <c r="B166" s="745"/>
      <c r="C166" s="737"/>
      <c r="D166" s="743"/>
      <c r="E166" s="346" t="s">
        <v>24</v>
      </c>
      <c r="F166" s="741" t="s">
        <v>25</v>
      </c>
      <c r="G166" s="347" t="s">
        <v>475</v>
      </c>
      <c r="H166" s="741" t="s">
        <v>26</v>
      </c>
      <c r="I166" s="347" t="s">
        <v>475</v>
      </c>
      <c r="J166" s="741" t="s">
        <v>26</v>
      </c>
      <c r="K166" s="347" t="s">
        <v>475</v>
      </c>
      <c r="L166" s="741" t="s">
        <v>27</v>
      </c>
      <c r="M166" s="347" t="s">
        <v>475</v>
      </c>
      <c r="N166" s="741" t="s">
        <v>28</v>
      </c>
      <c r="O166" s="347" t="s">
        <v>475</v>
      </c>
      <c r="P166" s="741" t="s">
        <v>29</v>
      </c>
      <c r="Q166" s="347" t="s">
        <v>475</v>
      </c>
      <c r="R166" s="741" t="s">
        <v>26</v>
      </c>
      <c r="S166" s="347" t="s">
        <v>475</v>
      </c>
      <c r="T166" s="345" t="s">
        <v>30</v>
      </c>
      <c r="U166" s="345" t="s">
        <v>476</v>
      </c>
      <c r="V166" s="737" t="s">
        <v>455</v>
      </c>
      <c r="W166" s="743"/>
      <c r="X166" s="737" t="s">
        <v>477</v>
      </c>
      <c r="Y166" s="743"/>
      <c r="Z166" s="737" t="s">
        <v>31</v>
      </c>
      <c r="AA166" s="743"/>
      <c r="AB166" s="737"/>
      <c r="AC166" s="738"/>
      <c r="AE166" s="344"/>
      <c r="AF166" s="344"/>
    </row>
    <row r="167" spans="1:41" s="343" customFormat="1" ht="15" customHeight="1" thickBot="1" x14ac:dyDescent="0.3">
      <c r="A167" s="340"/>
      <c r="B167" s="746"/>
      <c r="C167" s="739"/>
      <c r="D167" s="748"/>
      <c r="E167" s="349" t="s">
        <v>32</v>
      </c>
      <c r="F167" s="742"/>
      <c r="G167" s="350" t="s">
        <v>478</v>
      </c>
      <c r="H167" s="742"/>
      <c r="I167" s="350" t="s">
        <v>478</v>
      </c>
      <c r="J167" s="742"/>
      <c r="K167" s="350" t="s">
        <v>478</v>
      </c>
      <c r="L167" s="742"/>
      <c r="M167" s="350" t="s">
        <v>478</v>
      </c>
      <c r="N167" s="742"/>
      <c r="O167" s="350" t="s">
        <v>478</v>
      </c>
      <c r="P167" s="742"/>
      <c r="Q167" s="350" t="s">
        <v>478</v>
      </c>
      <c r="R167" s="742"/>
      <c r="S167" s="350" t="s">
        <v>478</v>
      </c>
      <c r="T167" s="348" t="s">
        <v>31</v>
      </c>
      <c r="U167" s="348" t="s">
        <v>479</v>
      </c>
      <c r="V167" s="739" t="s">
        <v>33</v>
      </c>
      <c r="W167" s="748"/>
      <c r="X167" s="739" t="s">
        <v>33</v>
      </c>
      <c r="Y167" s="748"/>
      <c r="Z167" s="739" t="s">
        <v>34</v>
      </c>
      <c r="AA167" s="748"/>
      <c r="AB167" s="739"/>
      <c r="AC167" s="740"/>
      <c r="AE167" s="344"/>
      <c r="AF167" s="344"/>
    </row>
    <row r="168" spans="1:41" ht="24.95" customHeight="1" x14ac:dyDescent="0.25">
      <c r="B168" s="201">
        <v>1</v>
      </c>
      <c r="C168" s="202" t="str">
        <f>C129</f>
        <v>KUSMAN H</v>
      </c>
      <c r="D168" s="203"/>
      <c r="E168" s="204" t="str">
        <f>E129</f>
        <v>A</v>
      </c>
      <c r="F168" s="205" t="s">
        <v>36</v>
      </c>
      <c r="G168" s="205"/>
      <c r="H168" s="205" t="s">
        <v>37</v>
      </c>
      <c r="I168" s="205"/>
      <c r="J168" s="205" t="s">
        <v>37</v>
      </c>
      <c r="K168" s="205"/>
      <c r="L168" s="205" t="s">
        <v>37</v>
      </c>
      <c r="M168" s="205"/>
      <c r="N168" s="205" t="s">
        <v>37</v>
      </c>
      <c r="O168" s="205"/>
      <c r="P168" s="205" t="s">
        <v>37</v>
      </c>
      <c r="Q168" s="205"/>
      <c r="R168" s="205" t="s">
        <v>37</v>
      </c>
      <c r="S168" s="205"/>
      <c r="T168" s="206">
        <f>SUM(AI168:AO168)</f>
        <v>6</v>
      </c>
      <c r="U168" s="206">
        <f>SUM(F168:S168)</f>
        <v>0</v>
      </c>
      <c r="V168" s="207" t="str">
        <f>IF(W168&gt;0,"Rp",IF(W168=0," "))</f>
        <v>Rp</v>
      </c>
      <c r="W168" s="208">
        <f>W129</f>
        <v>135000</v>
      </c>
      <c r="X168" s="207" t="str">
        <f>IF(Y168&gt;0,"Rp",IF(Y168=0," "))</f>
        <v>Rp</v>
      </c>
      <c r="Y168" s="208">
        <f>Y129</f>
        <v>20000</v>
      </c>
      <c r="Z168" s="207" t="str">
        <f>IF(AA168&gt;0,"Rp",IF(AA168=0," "))</f>
        <v>Rp</v>
      </c>
      <c r="AA168" s="208">
        <f>W168*T168+U168*Y168</f>
        <v>810000</v>
      </c>
      <c r="AB168" s="209">
        <v>1</v>
      </c>
      <c r="AC168" s="210"/>
      <c r="AE168" s="211"/>
      <c r="AF168" s="211"/>
      <c r="AI168" s="211">
        <f>IFERROR(IF(F168="V",1,IF(F168="X",0))," ")</f>
        <v>0</v>
      </c>
      <c r="AJ168" s="211">
        <f>IFERROR(IF(H168="V",1,IF(H168="X",0))," ")</f>
        <v>1</v>
      </c>
      <c r="AK168" s="211">
        <f>IFERROR(IF(J168="V",1,IF(J168="X",0))," ")</f>
        <v>1</v>
      </c>
      <c r="AL168" s="211">
        <f>IFERROR(IF(L168="V",1,IF(L168="X",0))," ")</f>
        <v>1</v>
      </c>
      <c r="AM168" s="211">
        <f>IFERROR(IF(N168="V",1,IF(N168="X",0))," ")</f>
        <v>1</v>
      </c>
      <c r="AN168" s="211">
        <f>IFERROR(IF(P168="V",1,IF(P168="X",0))," ")</f>
        <v>1</v>
      </c>
      <c r="AO168" s="211">
        <f>IFERROR(IF(R168="V",1,IF(R168="X",0))," ")</f>
        <v>1</v>
      </c>
    </row>
    <row r="169" spans="1:41" ht="24.95" customHeight="1" x14ac:dyDescent="0.25">
      <c r="B169" s="212">
        <v>2</v>
      </c>
      <c r="C169" s="202" t="str">
        <f t="shared" ref="C169:C177" si="64">C130</f>
        <v>BUSANI</v>
      </c>
      <c r="D169" s="213"/>
      <c r="E169" s="214" t="str">
        <f t="shared" ref="E169:E177" si="65">E130</f>
        <v>B</v>
      </c>
      <c r="F169" s="215" t="s">
        <v>36</v>
      </c>
      <c r="G169" s="215"/>
      <c r="H169" s="215" t="s">
        <v>36</v>
      </c>
      <c r="I169" s="215"/>
      <c r="J169" s="215" t="s">
        <v>37</v>
      </c>
      <c r="K169" s="215"/>
      <c r="L169" s="215" t="s">
        <v>37</v>
      </c>
      <c r="M169" s="215"/>
      <c r="N169" s="215" t="s">
        <v>37</v>
      </c>
      <c r="O169" s="215"/>
      <c r="P169" s="215" t="s">
        <v>37</v>
      </c>
      <c r="Q169" s="215"/>
      <c r="R169" s="215" t="s">
        <v>37</v>
      </c>
      <c r="S169" s="215"/>
      <c r="T169" s="216">
        <f t="shared" ref="T169:T175" si="66">SUM(AI169:AO169)</f>
        <v>5</v>
      </c>
      <c r="U169" s="351">
        <f t="shared" ref="U169:U176" si="67">SUM(F169:S169)</f>
        <v>0</v>
      </c>
      <c r="V169" s="217" t="str">
        <f t="shared" ref="V169:V176" si="68">IF(W169&gt;0,"Rp",IF(W169=0," "))</f>
        <v>Rp</v>
      </c>
      <c r="W169" s="218">
        <f t="shared" ref="W169:W176" si="69">W130</f>
        <v>125000</v>
      </c>
      <c r="X169" s="217" t="str">
        <f t="shared" ref="X169:X176" si="70">IF(Y169&gt;0,"Rp",IF(Y169=0," "))</f>
        <v>Rp</v>
      </c>
      <c r="Y169" s="218">
        <f t="shared" ref="Y169:Y176" si="71">Y130</f>
        <v>15000</v>
      </c>
      <c r="Z169" s="217" t="str">
        <f t="shared" ref="Z169:Z177" si="72">IF(AA169&gt;0,"Rp",IF(AA169=0," "))</f>
        <v>Rp</v>
      </c>
      <c r="AA169" s="219">
        <f t="shared" ref="AA169:AA177" si="73">W169*T169+U169*Y169</f>
        <v>625000</v>
      </c>
      <c r="AB169" s="220"/>
      <c r="AC169" s="221">
        <v>2</v>
      </c>
      <c r="AE169" s="211"/>
      <c r="AF169" s="211"/>
      <c r="AI169" s="211">
        <f t="shared" ref="AI169:AI179" si="74">IFERROR(IF(F169="V",1,IF(F169="X",0))," ")</f>
        <v>0</v>
      </c>
      <c r="AJ169" s="211">
        <f t="shared" ref="AJ169:AJ179" si="75">IFERROR(IF(H169="V",1,IF(H169="X",0))," ")</f>
        <v>0</v>
      </c>
      <c r="AK169" s="211">
        <f t="shared" ref="AK169:AK179" si="76">IFERROR(IF(J169="V",1,IF(J169="X",0))," ")</f>
        <v>1</v>
      </c>
      <c r="AL169" s="211">
        <f t="shared" ref="AL169:AL179" si="77">IFERROR(IF(L169="V",1,IF(L169="X",0))," ")</f>
        <v>1</v>
      </c>
      <c r="AM169" s="211">
        <f t="shared" ref="AM169:AM179" si="78">IFERROR(IF(N169="V",1,IF(N169="X",0))," ")</f>
        <v>1</v>
      </c>
      <c r="AN169" s="211">
        <f t="shared" ref="AN169:AN179" si="79">IFERROR(IF(P169="V",1,IF(P169="X",0))," ")</f>
        <v>1</v>
      </c>
      <c r="AO169" s="211">
        <f t="shared" ref="AO169:AO179" si="80">IFERROR(IF(R169="V",1,IF(R169="X",0))," ")</f>
        <v>1</v>
      </c>
    </row>
    <row r="170" spans="1:41" ht="24.95" customHeight="1" x14ac:dyDescent="0.25">
      <c r="B170" s="212">
        <v>3</v>
      </c>
      <c r="C170" s="202" t="str">
        <f t="shared" si="64"/>
        <v>LASMARI</v>
      </c>
      <c r="D170" s="213"/>
      <c r="E170" s="214" t="str">
        <f t="shared" si="65"/>
        <v>B</v>
      </c>
      <c r="F170" s="215" t="s">
        <v>36</v>
      </c>
      <c r="G170" s="215"/>
      <c r="H170" s="215" t="s">
        <v>37</v>
      </c>
      <c r="I170" s="215"/>
      <c r="J170" s="215" t="s">
        <v>37</v>
      </c>
      <c r="K170" s="215"/>
      <c r="L170" s="215" t="s">
        <v>36</v>
      </c>
      <c r="M170" s="215"/>
      <c r="N170" s="215" t="s">
        <v>37</v>
      </c>
      <c r="O170" s="215"/>
      <c r="P170" s="215" t="s">
        <v>37</v>
      </c>
      <c r="Q170" s="215"/>
      <c r="R170" s="215" t="s">
        <v>37</v>
      </c>
      <c r="S170" s="215"/>
      <c r="T170" s="216">
        <f t="shared" si="66"/>
        <v>5</v>
      </c>
      <c r="U170" s="351">
        <f t="shared" si="67"/>
        <v>0</v>
      </c>
      <c r="V170" s="217" t="str">
        <f t="shared" si="68"/>
        <v>Rp</v>
      </c>
      <c r="W170" s="218">
        <f t="shared" si="69"/>
        <v>125000</v>
      </c>
      <c r="X170" s="217" t="str">
        <f t="shared" si="70"/>
        <v>Rp</v>
      </c>
      <c r="Y170" s="218">
        <f t="shared" si="71"/>
        <v>15000</v>
      </c>
      <c r="Z170" s="217" t="str">
        <f t="shared" si="72"/>
        <v>Rp</v>
      </c>
      <c r="AA170" s="219">
        <f t="shared" si="73"/>
        <v>625000</v>
      </c>
      <c r="AB170" s="222">
        <v>3</v>
      </c>
      <c r="AC170" s="221"/>
      <c r="AE170" s="211"/>
      <c r="AF170" s="211"/>
      <c r="AI170" s="211">
        <f t="shared" si="74"/>
        <v>0</v>
      </c>
      <c r="AJ170" s="211">
        <f t="shared" si="75"/>
        <v>1</v>
      </c>
      <c r="AK170" s="211">
        <f t="shared" si="76"/>
        <v>1</v>
      </c>
      <c r="AL170" s="211">
        <f t="shared" si="77"/>
        <v>0</v>
      </c>
      <c r="AM170" s="211">
        <f t="shared" si="78"/>
        <v>1</v>
      </c>
      <c r="AN170" s="211">
        <f t="shared" si="79"/>
        <v>1</v>
      </c>
      <c r="AO170" s="211">
        <f t="shared" si="80"/>
        <v>1</v>
      </c>
    </row>
    <row r="171" spans="1:41" ht="24.95" customHeight="1" x14ac:dyDescent="0.25">
      <c r="B171" s="212">
        <v>4</v>
      </c>
      <c r="C171" s="202" t="str">
        <f t="shared" si="64"/>
        <v>SUMARTO</v>
      </c>
      <c r="D171" s="213"/>
      <c r="E171" s="214" t="str">
        <f t="shared" si="65"/>
        <v>B</v>
      </c>
      <c r="F171" s="215" t="s">
        <v>36</v>
      </c>
      <c r="G171" s="215"/>
      <c r="H171" s="215" t="s">
        <v>37</v>
      </c>
      <c r="I171" s="215"/>
      <c r="J171" s="215" t="s">
        <v>37</v>
      </c>
      <c r="K171" s="215"/>
      <c r="L171" s="215" t="s">
        <v>37</v>
      </c>
      <c r="M171" s="215"/>
      <c r="N171" s="215" t="s">
        <v>37</v>
      </c>
      <c r="O171" s="215"/>
      <c r="P171" s="215" t="s">
        <v>37</v>
      </c>
      <c r="Q171" s="215"/>
      <c r="R171" s="215" t="s">
        <v>37</v>
      </c>
      <c r="S171" s="215"/>
      <c r="T171" s="216">
        <f t="shared" si="66"/>
        <v>6</v>
      </c>
      <c r="U171" s="351">
        <f t="shared" si="67"/>
        <v>0</v>
      </c>
      <c r="V171" s="217" t="str">
        <f t="shared" si="68"/>
        <v>Rp</v>
      </c>
      <c r="W171" s="218">
        <f t="shared" si="69"/>
        <v>125000</v>
      </c>
      <c r="X171" s="217" t="str">
        <f t="shared" si="70"/>
        <v>Rp</v>
      </c>
      <c r="Y171" s="218">
        <f t="shared" si="71"/>
        <v>15000</v>
      </c>
      <c r="Z171" s="217" t="str">
        <f t="shared" si="72"/>
        <v>Rp</v>
      </c>
      <c r="AA171" s="219">
        <f t="shared" si="73"/>
        <v>750000</v>
      </c>
      <c r="AB171" s="222"/>
      <c r="AC171" s="223">
        <v>4</v>
      </c>
      <c r="AE171" s="211"/>
      <c r="AF171" s="211"/>
      <c r="AI171" s="211">
        <f t="shared" si="74"/>
        <v>0</v>
      </c>
      <c r="AJ171" s="211">
        <f t="shared" si="75"/>
        <v>1</v>
      </c>
      <c r="AK171" s="211">
        <f t="shared" si="76"/>
        <v>1</v>
      </c>
      <c r="AL171" s="211">
        <f t="shared" si="77"/>
        <v>1</v>
      </c>
      <c r="AM171" s="211">
        <f t="shared" si="78"/>
        <v>1</v>
      </c>
      <c r="AN171" s="211">
        <f t="shared" si="79"/>
        <v>1</v>
      </c>
      <c r="AO171" s="211">
        <f t="shared" si="80"/>
        <v>1</v>
      </c>
    </row>
    <row r="172" spans="1:41" ht="24.95" customHeight="1" x14ac:dyDescent="0.25">
      <c r="B172" s="212">
        <v>5</v>
      </c>
      <c r="C172" s="202" t="str">
        <f t="shared" si="64"/>
        <v>TONI</v>
      </c>
      <c r="D172" s="213"/>
      <c r="E172" s="214" t="str">
        <f t="shared" si="65"/>
        <v>C</v>
      </c>
      <c r="F172" s="215" t="s">
        <v>36</v>
      </c>
      <c r="G172" s="215"/>
      <c r="H172" s="215" t="s">
        <v>37</v>
      </c>
      <c r="I172" s="215"/>
      <c r="J172" s="215" t="s">
        <v>37</v>
      </c>
      <c r="K172" s="215"/>
      <c r="L172" s="215" t="s">
        <v>37</v>
      </c>
      <c r="M172" s="215"/>
      <c r="N172" s="215" t="s">
        <v>37</v>
      </c>
      <c r="O172" s="215"/>
      <c r="P172" s="215" t="s">
        <v>36</v>
      </c>
      <c r="Q172" s="215"/>
      <c r="R172" s="215" t="s">
        <v>37</v>
      </c>
      <c r="S172" s="215"/>
      <c r="T172" s="216">
        <f t="shared" si="66"/>
        <v>5</v>
      </c>
      <c r="U172" s="351">
        <f t="shared" si="67"/>
        <v>0</v>
      </c>
      <c r="V172" s="217" t="str">
        <f t="shared" si="68"/>
        <v>Rp</v>
      </c>
      <c r="W172" s="218">
        <f t="shared" si="69"/>
        <v>115000</v>
      </c>
      <c r="X172" s="217" t="str">
        <f t="shared" si="70"/>
        <v>Rp</v>
      </c>
      <c r="Y172" s="218">
        <f t="shared" si="71"/>
        <v>10000</v>
      </c>
      <c r="Z172" s="217" t="str">
        <f t="shared" si="72"/>
        <v>Rp</v>
      </c>
      <c r="AA172" s="219">
        <f t="shared" si="73"/>
        <v>575000</v>
      </c>
      <c r="AB172" s="222">
        <v>5</v>
      </c>
      <c r="AC172" s="221"/>
      <c r="AE172" s="211"/>
      <c r="AF172" s="211"/>
      <c r="AI172" s="211">
        <f t="shared" si="74"/>
        <v>0</v>
      </c>
      <c r="AJ172" s="211">
        <f t="shared" si="75"/>
        <v>1</v>
      </c>
      <c r="AK172" s="211">
        <f t="shared" si="76"/>
        <v>1</v>
      </c>
      <c r="AL172" s="211">
        <f t="shared" si="77"/>
        <v>1</v>
      </c>
      <c r="AM172" s="211">
        <f t="shared" si="78"/>
        <v>1</v>
      </c>
      <c r="AN172" s="211">
        <f t="shared" si="79"/>
        <v>0</v>
      </c>
      <c r="AO172" s="211">
        <f t="shared" si="80"/>
        <v>1</v>
      </c>
    </row>
    <row r="173" spans="1:41" ht="24.95" customHeight="1" x14ac:dyDescent="0.25">
      <c r="B173" s="212">
        <v>6</v>
      </c>
      <c r="C173" s="202" t="str">
        <f t="shared" si="64"/>
        <v>SAKIM</v>
      </c>
      <c r="D173" s="213"/>
      <c r="E173" s="214" t="str">
        <f t="shared" si="65"/>
        <v>C</v>
      </c>
      <c r="F173" s="215" t="s">
        <v>36</v>
      </c>
      <c r="G173" s="215"/>
      <c r="H173" s="215" t="s">
        <v>36</v>
      </c>
      <c r="I173" s="215"/>
      <c r="J173" s="215" t="s">
        <v>37</v>
      </c>
      <c r="K173" s="215"/>
      <c r="L173" s="215" t="s">
        <v>37</v>
      </c>
      <c r="M173" s="215"/>
      <c r="N173" s="215" t="s">
        <v>37</v>
      </c>
      <c r="O173" s="215"/>
      <c r="P173" s="215" t="s">
        <v>37</v>
      </c>
      <c r="Q173" s="215"/>
      <c r="R173" s="215" t="s">
        <v>37</v>
      </c>
      <c r="S173" s="215"/>
      <c r="T173" s="216">
        <f t="shared" si="66"/>
        <v>5</v>
      </c>
      <c r="U173" s="351">
        <f t="shared" si="67"/>
        <v>0</v>
      </c>
      <c r="V173" s="217" t="str">
        <f t="shared" si="68"/>
        <v>Rp</v>
      </c>
      <c r="W173" s="218">
        <f t="shared" si="69"/>
        <v>115000</v>
      </c>
      <c r="X173" s="217" t="str">
        <f t="shared" si="70"/>
        <v>Rp</v>
      </c>
      <c r="Y173" s="218">
        <f t="shared" si="71"/>
        <v>10000</v>
      </c>
      <c r="Z173" s="217" t="str">
        <f t="shared" si="72"/>
        <v>Rp</v>
      </c>
      <c r="AA173" s="219">
        <f t="shared" si="73"/>
        <v>575000</v>
      </c>
      <c r="AB173" s="222"/>
      <c r="AC173" s="223">
        <v>6</v>
      </c>
      <c r="AE173" s="211"/>
      <c r="AF173" s="211"/>
      <c r="AI173" s="211">
        <f t="shared" si="74"/>
        <v>0</v>
      </c>
      <c r="AJ173" s="211">
        <f t="shared" si="75"/>
        <v>0</v>
      </c>
      <c r="AK173" s="211">
        <f t="shared" si="76"/>
        <v>1</v>
      </c>
      <c r="AL173" s="211">
        <f t="shared" si="77"/>
        <v>1</v>
      </c>
      <c r="AM173" s="211">
        <f t="shared" si="78"/>
        <v>1</v>
      </c>
      <c r="AN173" s="211">
        <f t="shared" si="79"/>
        <v>1</v>
      </c>
      <c r="AO173" s="211">
        <f t="shared" si="80"/>
        <v>1</v>
      </c>
    </row>
    <row r="174" spans="1:41" ht="24.95" customHeight="1" x14ac:dyDescent="0.25">
      <c r="B174" s="212">
        <v>7</v>
      </c>
      <c r="C174" s="202" t="str">
        <f t="shared" si="64"/>
        <v>TOHIR</v>
      </c>
      <c r="D174" s="213"/>
      <c r="E174" s="214" t="str">
        <f t="shared" si="65"/>
        <v>C</v>
      </c>
      <c r="F174" s="215" t="s">
        <v>36</v>
      </c>
      <c r="G174" s="215"/>
      <c r="H174" s="215" t="s">
        <v>37</v>
      </c>
      <c r="I174" s="215"/>
      <c r="J174" s="215" t="s">
        <v>37</v>
      </c>
      <c r="K174" s="215"/>
      <c r="L174" s="215" t="s">
        <v>37</v>
      </c>
      <c r="M174" s="215"/>
      <c r="N174" s="215" t="s">
        <v>37</v>
      </c>
      <c r="O174" s="215"/>
      <c r="P174" s="215" t="s">
        <v>37</v>
      </c>
      <c r="Q174" s="215"/>
      <c r="R174" s="215" t="s">
        <v>37</v>
      </c>
      <c r="S174" s="215"/>
      <c r="T174" s="216">
        <f t="shared" si="66"/>
        <v>6</v>
      </c>
      <c r="U174" s="351">
        <f t="shared" si="67"/>
        <v>0</v>
      </c>
      <c r="V174" s="217" t="str">
        <f t="shared" si="68"/>
        <v>Rp</v>
      </c>
      <c r="W174" s="218">
        <f t="shared" si="69"/>
        <v>115000</v>
      </c>
      <c r="X174" s="217" t="str">
        <f t="shared" si="70"/>
        <v>Rp</v>
      </c>
      <c r="Y174" s="218">
        <f t="shared" si="71"/>
        <v>10000</v>
      </c>
      <c r="Z174" s="217" t="str">
        <f t="shared" si="72"/>
        <v>Rp</v>
      </c>
      <c r="AA174" s="219">
        <f t="shared" si="73"/>
        <v>690000</v>
      </c>
      <c r="AB174" s="222">
        <v>7</v>
      </c>
      <c r="AC174" s="221"/>
      <c r="AE174" s="211"/>
      <c r="AF174" s="211"/>
      <c r="AI174" s="211">
        <f t="shared" si="74"/>
        <v>0</v>
      </c>
      <c r="AJ174" s="211">
        <f t="shared" si="75"/>
        <v>1</v>
      </c>
      <c r="AK174" s="211">
        <f t="shared" si="76"/>
        <v>1</v>
      </c>
      <c r="AL174" s="211">
        <f t="shared" si="77"/>
        <v>1</v>
      </c>
      <c r="AM174" s="211">
        <f t="shared" si="78"/>
        <v>1</v>
      </c>
      <c r="AN174" s="211">
        <f t="shared" si="79"/>
        <v>1</v>
      </c>
      <c r="AO174" s="211">
        <f t="shared" si="80"/>
        <v>1</v>
      </c>
    </row>
    <row r="175" spans="1:41" ht="24.95" customHeight="1" x14ac:dyDescent="0.25">
      <c r="B175" s="212">
        <v>8</v>
      </c>
      <c r="C175" s="202" t="str">
        <f t="shared" si="64"/>
        <v>ROJALI</v>
      </c>
      <c r="D175" s="213"/>
      <c r="E175" s="214" t="str">
        <f t="shared" si="65"/>
        <v>C</v>
      </c>
      <c r="F175" s="215" t="s">
        <v>36</v>
      </c>
      <c r="G175" s="215"/>
      <c r="H175" s="215" t="s">
        <v>37</v>
      </c>
      <c r="I175" s="215"/>
      <c r="J175" s="215" t="s">
        <v>36</v>
      </c>
      <c r="K175" s="215"/>
      <c r="L175" s="215" t="s">
        <v>37</v>
      </c>
      <c r="M175" s="215"/>
      <c r="N175" s="215" t="s">
        <v>37</v>
      </c>
      <c r="O175" s="215"/>
      <c r="P175" s="215" t="s">
        <v>37</v>
      </c>
      <c r="Q175" s="215"/>
      <c r="R175" s="215" t="s">
        <v>37</v>
      </c>
      <c r="S175" s="215"/>
      <c r="T175" s="216">
        <f t="shared" si="66"/>
        <v>5</v>
      </c>
      <c r="U175" s="351">
        <f t="shared" si="67"/>
        <v>0</v>
      </c>
      <c r="V175" s="217" t="str">
        <f t="shared" si="68"/>
        <v>Rp</v>
      </c>
      <c r="W175" s="218">
        <f t="shared" si="69"/>
        <v>115000</v>
      </c>
      <c r="X175" s="217" t="str">
        <f t="shared" si="70"/>
        <v>Rp</v>
      </c>
      <c r="Y175" s="218">
        <f t="shared" si="71"/>
        <v>10000</v>
      </c>
      <c r="Z175" s="217" t="str">
        <f t="shared" si="72"/>
        <v>Rp</v>
      </c>
      <c r="AA175" s="219">
        <f t="shared" si="73"/>
        <v>575000</v>
      </c>
      <c r="AB175" s="222"/>
      <c r="AC175" s="223">
        <v>8</v>
      </c>
      <c r="AE175" s="211"/>
      <c r="AF175" s="211"/>
      <c r="AI175" s="211">
        <f t="shared" si="74"/>
        <v>0</v>
      </c>
      <c r="AJ175" s="211">
        <f t="shared" si="75"/>
        <v>1</v>
      </c>
      <c r="AK175" s="211">
        <f t="shared" si="76"/>
        <v>0</v>
      </c>
      <c r="AL175" s="211">
        <f t="shared" si="77"/>
        <v>1</v>
      </c>
      <c r="AM175" s="211">
        <f t="shared" si="78"/>
        <v>1</v>
      </c>
      <c r="AN175" s="211">
        <f t="shared" si="79"/>
        <v>1</v>
      </c>
      <c r="AO175" s="211">
        <f t="shared" si="80"/>
        <v>1</v>
      </c>
    </row>
    <row r="176" spans="1:41" ht="24.95" customHeight="1" x14ac:dyDescent="0.25">
      <c r="B176" s="212">
        <v>9</v>
      </c>
      <c r="C176" s="202">
        <f t="shared" si="64"/>
        <v>0</v>
      </c>
      <c r="D176" s="213"/>
      <c r="E176" s="214">
        <f t="shared" si="65"/>
        <v>0</v>
      </c>
      <c r="F176" s="215"/>
      <c r="G176" s="215"/>
      <c r="H176" s="215"/>
      <c r="I176" s="215"/>
      <c r="J176" s="215"/>
      <c r="K176" s="215"/>
      <c r="L176" s="215"/>
      <c r="M176" s="215"/>
      <c r="N176" s="215"/>
      <c r="O176" s="215"/>
      <c r="P176" s="215"/>
      <c r="Q176" s="215"/>
      <c r="R176" s="215"/>
      <c r="S176" s="215"/>
      <c r="T176" s="216">
        <f>SUM(AI176:AO176)</f>
        <v>0</v>
      </c>
      <c r="U176" s="351">
        <f t="shared" si="67"/>
        <v>0</v>
      </c>
      <c r="V176" s="217" t="str">
        <f t="shared" si="68"/>
        <v xml:space="preserve"> </v>
      </c>
      <c r="W176" s="218">
        <f t="shared" si="69"/>
        <v>0</v>
      </c>
      <c r="X176" s="217" t="str">
        <f t="shared" si="70"/>
        <v xml:space="preserve"> </v>
      </c>
      <c r="Y176" s="218">
        <f t="shared" si="71"/>
        <v>0</v>
      </c>
      <c r="Z176" s="217" t="str">
        <f t="shared" si="72"/>
        <v xml:space="preserve"> </v>
      </c>
      <c r="AA176" s="219">
        <f t="shared" si="73"/>
        <v>0</v>
      </c>
      <c r="AB176" s="222"/>
      <c r="AC176" s="221"/>
      <c r="AE176" s="211"/>
      <c r="AF176" s="211"/>
      <c r="AI176" s="211" t="b">
        <f t="shared" si="74"/>
        <v>0</v>
      </c>
      <c r="AJ176" s="211" t="b">
        <f t="shared" si="75"/>
        <v>0</v>
      </c>
      <c r="AK176" s="211" t="b">
        <f t="shared" si="76"/>
        <v>0</v>
      </c>
      <c r="AL176" s="211" t="b">
        <f t="shared" si="77"/>
        <v>0</v>
      </c>
      <c r="AM176" s="211" t="b">
        <f t="shared" si="78"/>
        <v>0</v>
      </c>
      <c r="AN176" s="211" t="b">
        <f t="shared" si="79"/>
        <v>0</v>
      </c>
      <c r="AO176" s="211" t="b">
        <f t="shared" si="80"/>
        <v>0</v>
      </c>
    </row>
    <row r="177" spans="1:41" ht="24.95" customHeight="1" x14ac:dyDescent="0.25">
      <c r="B177" s="212">
        <v>10</v>
      </c>
      <c r="C177" s="202">
        <f t="shared" si="64"/>
        <v>0</v>
      </c>
      <c r="D177" s="213"/>
      <c r="E177" s="214">
        <f t="shared" si="65"/>
        <v>0</v>
      </c>
      <c r="F177" s="215"/>
      <c r="G177" s="215"/>
      <c r="H177" s="215"/>
      <c r="I177" s="215"/>
      <c r="J177" s="215"/>
      <c r="K177" s="215"/>
      <c r="L177" s="215"/>
      <c r="M177" s="215"/>
      <c r="N177" s="215"/>
      <c r="O177" s="215"/>
      <c r="P177" s="215"/>
      <c r="Q177" s="215"/>
      <c r="R177" s="215"/>
      <c r="S177" s="215"/>
      <c r="T177" s="216"/>
      <c r="U177" s="352"/>
      <c r="V177" s="217"/>
      <c r="W177" s="218"/>
      <c r="X177" s="217"/>
      <c r="Y177" s="218"/>
      <c r="Z177" s="217" t="str">
        <f t="shared" si="72"/>
        <v xml:space="preserve"> </v>
      </c>
      <c r="AA177" s="219">
        <f t="shared" si="73"/>
        <v>0</v>
      </c>
      <c r="AB177" s="222"/>
      <c r="AC177" s="223"/>
      <c r="AE177" s="211"/>
      <c r="AF177" s="211"/>
      <c r="AI177" s="211" t="b">
        <f t="shared" si="74"/>
        <v>0</v>
      </c>
      <c r="AJ177" s="211" t="b">
        <f t="shared" si="75"/>
        <v>0</v>
      </c>
      <c r="AK177" s="211" t="b">
        <f t="shared" si="76"/>
        <v>0</v>
      </c>
      <c r="AL177" s="211" t="b">
        <f t="shared" si="77"/>
        <v>0</v>
      </c>
      <c r="AM177" s="211" t="b">
        <f t="shared" si="78"/>
        <v>0</v>
      </c>
      <c r="AN177" s="211" t="b">
        <f t="shared" si="79"/>
        <v>0</v>
      </c>
      <c r="AO177" s="211" t="b">
        <f t="shared" si="80"/>
        <v>0</v>
      </c>
    </row>
    <row r="178" spans="1:41" ht="24.95" customHeight="1" x14ac:dyDescent="0.25">
      <c r="B178" s="212">
        <v>11</v>
      </c>
      <c r="C178" s="202">
        <f>C139</f>
        <v>0</v>
      </c>
      <c r="D178" s="213"/>
      <c r="E178" s="214">
        <f>E139</f>
        <v>0</v>
      </c>
      <c r="F178" s="215"/>
      <c r="G178" s="215"/>
      <c r="H178" s="215"/>
      <c r="I178" s="215"/>
      <c r="J178" s="215"/>
      <c r="K178" s="215"/>
      <c r="L178" s="215"/>
      <c r="M178" s="215"/>
      <c r="N178" s="215"/>
      <c r="O178" s="215"/>
      <c r="P178" s="215"/>
      <c r="Q178" s="215"/>
      <c r="R178" s="215"/>
      <c r="S178" s="215"/>
      <c r="T178" s="216">
        <f>SUM(AI178:AO178)</f>
        <v>0</v>
      </c>
      <c r="U178" s="216">
        <f>SUM(F178:S178)/6</f>
        <v>0</v>
      </c>
      <c r="V178" s="217"/>
      <c r="W178" s="218"/>
      <c r="X178" s="217"/>
      <c r="Y178" s="218"/>
      <c r="Z178" s="217" t="str">
        <f>IF(AA178&gt;0,"Rp",IF(AA178=0," "))</f>
        <v xml:space="preserve"> </v>
      </c>
      <c r="AA178" s="219">
        <f>W178*T178+U178*Y178</f>
        <v>0</v>
      </c>
      <c r="AB178" s="222" t="str">
        <f>IF(AA178&gt;0,1,IF(AA178=0," "))</f>
        <v xml:space="preserve"> </v>
      </c>
      <c r="AC178" s="221"/>
      <c r="AE178" s="211"/>
      <c r="AF178" s="211"/>
      <c r="AI178" s="211" t="b">
        <f t="shared" si="74"/>
        <v>0</v>
      </c>
      <c r="AJ178" s="211" t="b">
        <f t="shared" si="75"/>
        <v>0</v>
      </c>
      <c r="AK178" s="211" t="b">
        <f t="shared" si="76"/>
        <v>0</v>
      </c>
      <c r="AL178" s="211" t="b">
        <f t="shared" si="77"/>
        <v>0</v>
      </c>
      <c r="AM178" s="211" t="b">
        <f t="shared" si="78"/>
        <v>0</v>
      </c>
      <c r="AN178" s="211" t="b">
        <f t="shared" si="79"/>
        <v>0</v>
      </c>
      <c r="AO178" s="211" t="b">
        <f t="shared" si="80"/>
        <v>0</v>
      </c>
    </row>
    <row r="179" spans="1:41" ht="24.95" customHeight="1" x14ac:dyDescent="0.25">
      <c r="B179" s="212">
        <v>12</v>
      </c>
      <c r="C179" s="202"/>
      <c r="D179" s="213"/>
      <c r="E179" s="214"/>
      <c r="F179" s="215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6">
        <f>SUM(AI179:AO179)</f>
        <v>0</v>
      </c>
      <c r="U179" s="216">
        <f>SUM(F179:S179)/6</f>
        <v>0</v>
      </c>
      <c r="V179" s="217"/>
      <c r="W179" s="218"/>
      <c r="X179" s="217"/>
      <c r="Y179" s="218"/>
      <c r="Z179" s="217" t="str">
        <f>IF(AA179&gt;0,"Rp",IF(AA179=0," "))</f>
        <v xml:space="preserve"> </v>
      </c>
      <c r="AA179" s="219">
        <f>W179*T179+U179*Y179</f>
        <v>0</v>
      </c>
      <c r="AB179" s="222" t="str">
        <f>IF(AA179&gt;0,1,IF(AA179=0," "))</f>
        <v xml:space="preserve"> </v>
      </c>
      <c r="AC179" s="223"/>
      <c r="AE179" s="211"/>
      <c r="AF179" s="211"/>
      <c r="AI179" s="211" t="b">
        <f t="shared" si="74"/>
        <v>0</v>
      </c>
      <c r="AJ179" s="211" t="b">
        <f t="shared" si="75"/>
        <v>0</v>
      </c>
      <c r="AK179" s="211" t="b">
        <f t="shared" si="76"/>
        <v>0</v>
      </c>
      <c r="AL179" s="211" t="b">
        <f t="shared" si="77"/>
        <v>0</v>
      </c>
      <c r="AM179" s="211" t="b">
        <f t="shared" si="78"/>
        <v>0</v>
      </c>
      <c r="AN179" s="211" t="b">
        <f t="shared" si="79"/>
        <v>0</v>
      </c>
      <c r="AO179" s="211" t="b">
        <f t="shared" si="80"/>
        <v>0</v>
      </c>
    </row>
    <row r="180" spans="1:41" ht="24.95" customHeight="1" thickBot="1" x14ac:dyDescent="0.25">
      <c r="B180" s="233"/>
      <c r="C180" s="257"/>
      <c r="D180" s="235"/>
      <c r="E180" s="236"/>
      <c r="F180" s="237"/>
      <c r="G180" s="237"/>
      <c r="H180" s="238"/>
      <c r="I180" s="238"/>
      <c r="J180" s="239"/>
      <c r="K180" s="239"/>
      <c r="L180" s="239"/>
      <c r="M180" s="239"/>
      <c r="N180" s="240"/>
      <c r="O180" s="240"/>
      <c r="P180" s="240"/>
      <c r="Q180" s="240"/>
      <c r="R180" s="240"/>
      <c r="S180" s="353"/>
      <c r="T180" s="259"/>
      <c r="U180" s="259"/>
      <c r="V180" s="242"/>
      <c r="W180" s="258"/>
      <c r="X180" s="242"/>
      <c r="Y180" s="258"/>
      <c r="Z180" s="244"/>
      <c r="AA180" s="236"/>
      <c r="AB180" s="246"/>
      <c r="AC180" s="247"/>
      <c r="AE180" s="211"/>
      <c r="AF180" s="211"/>
    </row>
    <row r="181" spans="1:41" ht="20.100000000000001" customHeight="1" thickTop="1" thickBot="1" x14ac:dyDescent="0.3">
      <c r="A181" s="179">
        <f>A142+1</f>
        <v>5</v>
      </c>
      <c r="B181" s="248"/>
      <c r="C181" s="249"/>
      <c r="D181" s="249"/>
      <c r="E181" s="249"/>
      <c r="F181" s="249"/>
      <c r="G181" s="249"/>
      <c r="H181" s="249"/>
      <c r="I181" s="249"/>
      <c r="J181" s="249"/>
      <c r="K181" s="249"/>
      <c r="L181" s="249"/>
      <c r="M181" s="249"/>
      <c r="N181" s="249"/>
      <c r="O181" s="249"/>
      <c r="P181" s="249"/>
      <c r="Q181" s="249"/>
      <c r="R181" s="249"/>
      <c r="S181" s="249"/>
      <c r="T181" s="249"/>
      <c r="U181" s="249"/>
      <c r="V181" s="249"/>
      <c r="W181" s="250" t="s">
        <v>40</v>
      </c>
      <c r="X181" s="249"/>
      <c r="Y181" s="250" t="s">
        <v>40</v>
      </c>
      <c r="Z181" s="249"/>
      <c r="AA181" s="710">
        <f>SUM(AA168:AA180)</f>
        <v>5225000</v>
      </c>
      <c r="AB181" s="711"/>
      <c r="AC181" s="712"/>
      <c r="AE181" s="226" t="str">
        <f>VLOOKUP(A181,'Rekap Gaji'!$B$12:$P$32,10,FALSE)</f>
        <v xml:space="preserve"> 04 Oktober 2025</v>
      </c>
      <c r="AF181" s="251" t="e">
        <f>AE181-AA181</f>
        <v>#VALUE!</v>
      </c>
    </row>
    <row r="182" spans="1:41" ht="11.25" customHeight="1" x14ac:dyDescent="0.25"/>
    <row r="183" spans="1:41" ht="16.5" customHeight="1" x14ac:dyDescent="0.25">
      <c r="B183" s="195" t="s">
        <v>41</v>
      </c>
      <c r="C183" s="140" t="s">
        <v>42</v>
      </c>
    </row>
    <row r="184" spans="1:41" ht="14.25" x14ac:dyDescent="0.25">
      <c r="H184" s="183"/>
      <c r="I184" s="183"/>
      <c r="J184" s="182"/>
      <c r="K184" s="182"/>
      <c r="T184" s="141"/>
      <c r="U184" s="141"/>
      <c r="V184" s="141"/>
      <c r="X184" s="141"/>
      <c r="AA184" s="140" t="str">
        <f>'BKU 1'!$I$25</f>
        <v>NGANTANG</v>
      </c>
      <c r="AB184" s="713">
        <f>IFERROR(VLOOKUP(E162,'Rekap Gaji'!$B$12:$P$32,7,FALSE),"-")</f>
        <v>45934</v>
      </c>
      <c r="AC184" s="713"/>
      <c r="AD184" s="252"/>
      <c r="AE184" s="252"/>
    </row>
    <row r="185" spans="1:41" ht="15.75" x14ac:dyDescent="0.25">
      <c r="C185" s="140" t="s">
        <v>43</v>
      </c>
      <c r="F185" s="253"/>
      <c r="G185" s="253"/>
      <c r="H185" s="254"/>
      <c r="I185" s="254"/>
      <c r="J185" s="255"/>
      <c r="K185" s="255"/>
      <c r="L185" s="256"/>
      <c r="M185" s="256"/>
      <c r="N185" s="225" t="s">
        <v>44</v>
      </c>
      <c r="O185" s="225"/>
      <c r="P185" s="253"/>
      <c r="Q185" s="253"/>
      <c r="T185" s="141"/>
      <c r="U185" s="141"/>
      <c r="V185" s="141"/>
      <c r="X185" s="141"/>
      <c r="AA185" s="140" t="str">
        <f>'BKU 1'!$L$354</f>
        <v>Dibuat Oleh ;</v>
      </c>
      <c r="AB185" s="141"/>
    </row>
    <row r="186" spans="1:41" ht="14.25" x14ac:dyDescent="0.25">
      <c r="C186" s="140" t="str">
        <f>'BKU 1'!$C$355</f>
        <v>Kepala Sekolah SDN 1 SIDODADI</v>
      </c>
      <c r="F186" s="187"/>
      <c r="G186" s="187"/>
      <c r="H186" s="224"/>
      <c r="I186" s="224"/>
      <c r="J186" s="182"/>
      <c r="K186" s="182"/>
      <c r="L186" s="183"/>
      <c r="M186" s="183"/>
      <c r="N186" s="140" t="s">
        <v>45</v>
      </c>
      <c r="P186" s="187"/>
      <c r="Q186" s="187"/>
      <c r="AA186" s="140" t="str">
        <f>'BKU 1'!$L$355</f>
        <v>Bendahara Pembangunan</v>
      </c>
      <c r="AB186" s="141"/>
    </row>
    <row r="187" spans="1:41" ht="14.25" x14ac:dyDescent="0.25">
      <c r="F187" s="187"/>
      <c r="G187" s="187"/>
      <c r="H187" s="224"/>
      <c r="I187" s="224"/>
      <c r="J187" s="182"/>
      <c r="K187" s="182"/>
      <c r="L187" s="183"/>
      <c r="M187" s="183"/>
      <c r="P187" s="187"/>
      <c r="Q187" s="187"/>
      <c r="AA187" s="140"/>
      <c r="AB187" s="141"/>
    </row>
    <row r="188" spans="1:41" ht="14.25" x14ac:dyDescent="0.25">
      <c r="F188" s="187"/>
      <c r="G188" s="187"/>
      <c r="H188" s="224"/>
      <c r="I188" s="224"/>
      <c r="J188" s="182"/>
      <c r="K188" s="182"/>
      <c r="L188" s="183"/>
      <c r="M188" s="183"/>
      <c r="P188" s="187"/>
      <c r="Q188" s="187"/>
      <c r="AA188" s="140"/>
      <c r="AB188" s="141"/>
    </row>
    <row r="189" spans="1:41" ht="14.25" x14ac:dyDescent="0.25">
      <c r="F189" s="187"/>
      <c r="G189" s="187"/>
      <c r="H189" s="224"/>
      <c r="I189" s="224"/>
      <c r="J189" s="182"/>
      <c r="K189" s="182"/>
      <c r="L189" s="183"/>
      <c r="M189" s="183"/>
      <c r="P189" s="187"/>
      <c r="Q189" s="187"/>
      <c r="AA189" s="140"/>
      <c r="AB189" s="141"/>
    </row>
    <row r="190" spans="1:41" ht="14.25" x14ac:dyDescent="0.25">
      <c r="F190" s="187"/>
      <c r="G190" s="187"/>
      <c r="H190" s="224"/>
      <c r="I190" s="224"/>
      <c r="J190" s="182"/>
      <c r="K190" s="182"/>
      <c r="L190" s="183"/>
      <c r="M190" s="183"/>
      <c r="P190" s="187"/>
      <c r="Q190" s="187"/>
      <c r="AA190" s="140"/>
      <c r="AB190" s="141"/>
    </row>
    <row r="191" spans="1:41" x14ac:dyDescent="0.25">
      <c r="H191" s="225"/>
      <c r="I191" s="225"/>
      <c r="AA191" s="140"/>
    </row>
    <row r="192" spans="1:41" x14ac:dyDescent="0.25">
      <c r="H192" s="225"/>
      <c r="I192" s="225"/>
      <c r="AA192" s="140"/>
    </row>
    <row r="193" spans="1:41" s="189" customFormat="1" ht="15" customHeight="1" x14ac:dyDescent="0.25">
      <c r="A193" s="192"/>
      <c r="B193" s="195"/>
      <c r="C193" s="227" t="str">
        <f>'BKU 1'!$C$360</f>
        <v>MELIA FITRIANI, S.Pd.SD</v>
      </c>
      <c r="D193" s="227"/>
      <c r="H193" s="228"/>
      <c r="I193" s="228"/>
      <c r="J193" s="195"/>
      <c r="K193" s="195"/>
      <c r="L193" s="194"/>
      <c r="M193" s="194"/>
      <c r="N193" s="229" t="str">
        <f>'BKU 1'!$H$360</f>
        <v>HARTATIK</v>
      </c>
      <c r="O193" s="229"/>
      <c r="AA193" s="227" t="str">
        <f>'BKU 1'!$L$360</f>
        <v>ARIF NUR UDIN, S.Pd.SD</v>
      </c>
      <c r="AC193" s="230"/>
      <c r="AE193" s="231"/>
      <c r="AF193" s="231"/>
    </row>
    <row r="194" spans="1:41" s="189" customFormat="1" ht="15" customHeight="1" x14ac:dyDescent="0.25">
      <c r="A194" s="192"/>
      <c r="B194" s="195"/>
      <c r="C194" s="140" t="str">
        <f>'BKU 1'!$C$361</f>
        <v>NIP. 19850619 200904 2 000</v>
      </c>
      <c r="D194" s="140"/>
      <c r="E194" s="140"/>
      <c r="F194" s="140"/>
      <c r="G194" s="140"/>
      <c r="H194" s="225"/>
      <c r="I194" s="225"/>
      <c r="J194" s="191"/>
      <c r="K194" s="191"/>
      <c r="L194" s="190"/>
      <c r="M194" s="190"/>
      <c r="N194" s="232"/>
      <c r="O194" s="232"/>
      <c r="P194" s="140"/>
      <c r="Q194" s="140"/>
      <c r="T194" s="140"/>
      <c r="U194" s="140"/>
      <c r="V194" s="140"/>
      <c r="W194" s="140"/>
      <c r="X194" s="140"/>
      <c r="Y194" s="140"/>
      <c r="Z194" s="140"/>
      <c r="AA194" s="140" t="str">
        <f>'BKU 1'!$L$361</f>
        <v>NIP. 19840719 200903 1 002</v>
      </c>
      <c r="AC194" s="230"/>
      <c r="AE194" s="231"/>
      <c r="AF194" s="231"/>
    </row>
    <row r="195" spans="1:41" ht="6" customHeight="1" x14ac:dyDescent="0.25"/>
    <row r="196" spans="1:41" s="177" customFormat="1" ht="24.95" customHeight="1" x14ac:dyDescent="0.25">
      <c r="A196" s="176"/>
      <c r="B196" s="726" t="s">
        <v>6</v>
      </c>
      <c r="C196" s="726"/>
      <c r="D196" s="726"/>
      <c r="E196" s="726"/>
      <c r="F196" s="726"/>
      <c r="G196" s="726"/>
      <c r="H196" s="726"/>
      <c r="I196" s="726"/>
      <c r="J196" s="726"/>
      <c r="K196" s="726"/>
      <c r="L196" s="726"/>
      <c r="M196" s="726"/>
      <c r="N196" s="726"/>
      <c r="O196" s="726"/>
      <c r="P196" s="726"/>
      <c r="Q196" s="726"/>
      <c r="R196" s="726"/>
      <c r="S196" s="726"/>
      <c r="T196" s="726"/>
      <c r="U196" s="726"/>
      <c r="V196" s="726"/>
      <c r="W196" s="726"/>
      <c r="X196" s="726"/>
      <c r="Y196" s="726"/>
      <c r="Z196" s="726"/>
      <c r="AA196" s="726"/>
      <c r="AB196" s="726"/>
      <c r="AC196" s="726"/>
      <c r="AE196" s="178"/>
      <c r="AF196" s="178"/>
    </row>
    <row r="197" spans="1:41" s="177" customFormat="1" ht="24.95" customHeight="1" x14ac:dyDescent="0.25">
      <c r="A197" s="176"/>
      <c r="B197" s="726" t="str">
        <f>'BKU 1'!$D$22</f>
        <v>PEMBANGUNAN TOILET BESERTA SANITASINYA</v>
      </c>
      <c r="C197" s="726"/>
      <c r="D197" s="726"/>
      <c r="E197" s="726"/>
      <c r="F197" s="726"/>
      <c r="G197" s="726"/>
      <c r="H197" s="726"/>
      <c r="I197" s="726"/>
      <c r="J197" s="726"/>
      <c r="K197" s="726"/>
      <c r="L197" s="726"/>
      <c r="M197" s="726"/>
      <c r="N197" s="726"/>
      <c r="O197" s="726"/>
      <c r="P197" s="726"/>
      <c r="Q197" s="726"/>
      <c r="R197" s="726"/>
      <c r="S197" s="726"/>
      <c r="T197" s="726"/>
      <c r="U197" s="726"/>
      <c r="V197" s="726"/>
      <c r="W197" s="726"/>
      <c r="X197" s="726"/>
      <c r="Y197" s="726"/>
      <c r="Z197" s="726"/>
      <c r="AA197" s="726"/>
      <c r="AB197" s="726"/>
      <c r="AC197" s="726"/>
      <c r="AE197" s="178"/>
      <c r="AF197" s="178"/>
    </row>
    <row r="198" spans="1:41" s="184" customFormat="1" ht="30.75" customHeight="1" x14ac:dyDescent="0.25">
      <c r="A198" s="179"/>
      <c r="B198" s="180"/>
      <c r="C198" s="181"/>
      <c r="D198" s="181"/>
      <c r="E198" s="181"/>
      <c r="F198" s="182"/>
      <c r="G198" s="182"/>
      <c r="H198" s="183"/>
      <c r="I198" s="183"/>
      <c r="J198" s="182"/>
      <c r="K198" s="182"/>
      <c r="L198" s="183"/>
      <c r="M198" s="183"/>
      <c r="N198" s="182"/>
      <c r="O198" s="182"/>
      <c r="P198" s="182"/>
      <c r="Q198" s="182"/>
      <c r="R198" s="182"/>
      <c r="S198" s="182"/>
      <c r="T198" s="181"/>
      <c r="U198" s="181"/>
      <c r="V198" s="181"/>
      <c r="X198" s="181"/>
      <c r="AA198" s="180"/>
      <c r="AB198" s="140"/>
      <c r="AC198" s="185"/>
      <c r="AE198" s="186"/>
      <c r="AF198" s="186"/>
    </row>
    <row r="199" spans="1:41" s="184" customFormat="1" ht="14.25" x14ac:dyDescent="0.25">
      <c r="A199" s="179"/>
      <c r="B199" s="185" t="s">
        <v>7</v>
      </c>
      <c r="D199" s="184" t="s">
        <v>49</v>
      </c>
      <c r="E199" s="184" t="str">
        <f>'BKU 1'!$D$25</f>
        <v>SDN 1 SIDODADI</v>
      </c>
      <c r="F199" s="140"/>
      <c r="G199" s="140"/>
      <c r="H199" s="183"/>
      <c r="I199" s="183"/>
      <c r="J199" s="182"/>
      <c r="K199" s="182"/>
      <c r="L199" s="183"/>
      <c r="M199" s="183"/>
      <c r="N199" s="187"/>
      <c r="O199" s="187"/>
      <c r="P199" s="187"/>
      <c r="Q199" s="187"/>
      <c r="R199" s="187"/>
      <c r="S199" s="187"/>
      <c r="T199" s="188"/>
      <c r="U199" s="188"/>
      <c r="V199" s="188"/>
      <c r="X199" s="188"/>
      <c r="AA199" s="180"/>
      <c r="AB199" s="189" t="s">
        <v>8</v>
      </c>
      <c r="AC199" s="185"/>
      <c r="AE199" s="186"/>
      <c r="AF199" s="186"/>
    </row>
    <row r="200" spans="1:41" s="184" customFormat="1" x14ac:dyDescent="0.25">
      <c r="A200" s="179"/>
      <c r="B200" s="185" t="s">
        <v>9</v>
      </c>
      <c r="D200" s="184" t="s">
        <v>49</v>
      </c>
      <c r="E200" s="184" t="str">
        <f>'BKU 1'!$D$26</f>
        <v>Jl. Kawi No.36 Rt. 1 Rw. 1 Dusun Sekar, Rt / Rw : 1 / 1, Dusun : Sekar, Kelurahan : Sidodadi</v>
      </c>
      <c r="F200" s="140"/>
      <c r="G200" s="140"/>
      <c r="H200" s="190"/>
      <c r="I200" s="190"/>
      <c r="J200" s="191"/>
      <c r="K200" s="191"/>
      <c r="L200" s="190"/>
      <c r="M200" s="190"/>
      <c r="N200" s="140"/>
      <c r="O200" s="140"/>
      <c r="P200" s="140"/>
      <c r="Q200" s="140"/>
      <c r="R200" s="140"/>
      <c r="S200" s="140"/>
      <c r="AA200" s="180"/>
      <c r="AB200" s="140" t="s">
        <v>10</v>
      </c>
      <c r="AC200" s="185" t="s">
        <v>11</v>
      </c>
      <c r="AE200" s="186"/>
      <c r="AF200" s="186"/>
    </row>
    <row r="201" spans="1:41" s="184" customFormat="1" x14ac:dyDescent="0.25">
      <c r="A201" s="179"/>
      <c r="B201" s="185" t="s">
        <v>12</v>
      </c>
      <c r="D201" s="184" t="s">
        <v>49</v>
      </c>
      <c r="E201" s="180">
        <f>E162+1</f>
        <v>6</v>
      </c>
      <c r="F201" s="140"/>
      <c r="G201" s="140"/>
      <c r="H201" s="727">
        <f>IFERROR(VLOOKUP(E201,'Rekap Gaji'!$B$12:$P$32,14,FALSE),"-")</f>
        <v>0</v>
      </c>
      <c r="I201" s="727"/>
      <c r="J201" s="727"/>
      <c r="K201" s="727"/>
      <c r="L201" s="727"/>
      <c r="M201" s="191"/>
      <c r="N201" s="140"/>
      <c r="O201" s="140"/>
      <c r="P201" s="140"/>
      <c r="Q201" s="140"/>
      <c r="R201" s="140"/>
      <c r="S201" s="140"/>
      <c r="AA201" s="180"/>
      <c r="AB201" s="140" t="s">
        <v>13</v>
      </c>
      <c r="AC201" s="185" t="s">
        <v>14</v>
      </c>
      <c r="AE201" s="186"/>
      <c r="AF201" s="186"/>
    </row>
    <row r="202" spans="1:41" s="184" customFormat="1" ht="15" customHeight="1" x14ac:dyDescent="0.25">
      <c r="A202" s="179"/>
      <c r="B202" s="185" t="s">
        <v>0</v>
      </c>
      <c r="D202" s="184" t="s">
        <v>49</v>
      </c>
      <c r="E202" s="728">
        <f>IFERROR(VLOOKUP(E201,'Rekap Gaji'!$B$12:$P$32,4,FALSE),"-")</f>
        <v>45935</v>
      </c>
      <c r="F202" s="728"/>
      <c r="G202" s="728"/>
      <c r="H202" s="728"/>
      <c r="I202" s="728"/>
      <c r="J202" s="728"/>
      <c r="K202" s="339"/>
      <c r="L202" s="727" t="s">
        <v>76</v>
      </c>
      <c r="M202" s="727"/>
      <c r="N202" s="727"/>
      <c r="O202" s="191"/>
      <c r="P202" s="728">
        <f>IFERROR(VLOOKUP(E201,'Rekap Gaji'!$B$12:$P$32,6,FALSE),"-")</f>
        <v>45941</v>
      </c>
      <c r="Q202" s="728"/>
      <c r="R202" s="728"/>
      <c r="S202" s="728"/>
      <c r="T202" s="728"/>
      <c r="U202" s="728"/>
      <c r="V202" s="728"/>
      <c r="AA202" s="180"/>
      <c r="AB202" s="140" t="s">
        <v>15</v>
      </c>
      <c r="AC202" s="185" t="s">
        <v>16</v>
      </c>
      <c r="AE202" s="186"/>
      <c r="AF202" s="186"/>
    </row>
    <row r="203" spans="1:41" s="188" customFormat="1" ht="8.1" customHeight="1" thickBot="1" x14ac:dyDescent="0.3">
      <c r="A203" s="192"/>
      <c r="B203" s="193"/>
      <c r="F203" s="189"/>
      <c r="G203" s="189"/>
      <c r="H203" s="194"/>
      <c r="I203" s="194"/>
      <c r="J203" s="195"/>
      <c r="K203" s="195"/>
      <c r="L203" s="194"/>
      <c r="M203" s="194"/>
      <c r="N203" s="189"/>
      <c r="O203" s="189"/>
      <c r="P203" s="189"/>
      <c r="Q203" s="189"/>
      <c r="R203" s="189"/>
      <c r="S203" s="189"/>
      <c r="AA203" s="193"/>
      <c r="AB203" s="189"/>
      <c r="AC203" s="196"/>
      <c r="AE203" s="197"/>
      <c r="AF203" s="197"/>
    </row>
    <row r="204" spans="1:41" s="343" customFormat="1" ht="15" customHeight="1" x14ac:dyDescent="0.25">
      <c r="A204" s="340"/>
      <c r="B204" s="744" t="s">
        <v>17</v>
      </c>
      <c r="C204" s="735" t="s">
        <v>18</v>
      </c>
      <c r="D204" s="747"/>
      <c r="E204" s="342" t="s">
        <v>19</v>
      </c>
      <c r="F204" s="714" t="s">
        <v>20</v>
      </c>
      <c r="G204" s="715"/>
      <c r="H204" s="715"/>
      <c r="I204" s="715"/>
      <c r="J204" s="715"/>
      <c r="K204" s="715"/>
      <c r="L204" s="715"/>
      <c r="M204" s="715"/>
      <c r="N204" s="715"/>
      <c r="O204" s="715"/>
      <c r="P204" s="715"/>
      <c r="Q204" s="715"/>
      <c r="R204" s="715"/>
      <c r="S204" s="716"/>
      <c r="T204" s="341" t="s">
        <v>2</v>
      </c>
      <c r="U204" s="341" t="s">
        <v>474</v>
      </c>
      <c r="V204" s="735" t="s">
        <v>21</v>
      </c>
      <c r="W204" s="747"/>
      <c r="X204" s="735" t="s">
        <v>21</v>
      </c>
      <c r="Y204" s="747"/>
      <c r="Z204" s="735" t="s">
        <v>22</v>
      </c>
      <c r="AA204" s="747"/>
      <c r="AB204" s="735" t="s">
        <v>23</v>
      </c>
      <c r="AC204" s="736"/>
      <c r="AE204" s="344"/>
      <c r="AF204" s="344"/>
    </row>
    <row r="205" spans="1:41" s="343" customFormat="1" ht="28.9" customHeight="1" x14ac:dyDescent="0.25">
      <c r="A205" s="340"/>
      <c r="B205" s="745"/>
      <c r="C205" s="737"/>
      <c r="D205" s="743"/>
      <c r="E205" s="346" t="s">
        <v>24</v>
      </c>
      <c r="F205" s="741" t="s">
        <v>25</v>
      </c>
      <c r="G205" s="347" t="s">
        <v>475</v>
      </c>
      <c r="H205" s="741" t="s">
        <v>26</v>
      </c>
      <c r="I205" s="347" t="s">
        <v>475</v>
      </c>
      <c r="J205" s="741" t="s">
        <v>26</v>
      </c>
      <c r="K205" s="347" t="s">
        <v>475</v>
      </c>
      <c r="L205" s="741" t="s">
        <v>27</v>
      </c>
      <c r="M205" s="347" t="s">
        <v>475</v>
      </c>
      <c r="N205" s="741" t="s">
        <v>28</v>
      </c>
      <c r="O205" s="347" t="s">
        <v>475</v>
      </c>
      <c r="P205" s="741" t="s">
        <v>29</v>
      </c>
      <c r="Q205" s="347" t="s">
        <v>475</v>
      </c>
      <c r="R205" s="741" t="s">
        <v>26</v>
      </c>
      <c r="S205" s="347" t="s">
        <v>475</v>
      </c>
      <c r="T205" s="345" t="s">
        <v>30</v>
      </c>
      <c r="U205" s="345" t="s">
        <v>476</v>
      </c>
      <c r="V205" s="737" t="s">
        <v>455</v>
      </c>
      <c r="W205" s="743"/>
      <c r="X205" s="737" t="s">
        <v>477</v>
      </c>
      <c r="Y205" s="743"/>
      <c r="Z205" s="737" t="s">
        <v>31</v>
      </c>
      <c r="AA205" s="743"/>
      <c r="AB205" s="737"/>
      <c r="AC205" s="738"/>
      <c r="AE205" s="344"/>
      <c r="AF205" s="344"/>
    </row>
    <row r="206" spans="1:41" s="343" customFormat="1" ht="15" customHeight="1" thickBot="1" x14ac:dyDescent="0.3">
      <c r="A206" s="340"/>
      <c r="B206" s="746"/>
      <c r="C206" s="739"/>
      <c r="D206" s="748"/>
      <c r="E206" s="349" t="s">
        <v>32</v>
      </c>
      <c r="F206" s="742"/>
      <c r="G206" s="350" t="s">
        <v>478</v>
      </c>
      <c r="H206" s="742"/>
      <c r="I206" s="350" t="s">
        <v>478</v>
      </c>
      <c r="J206" s="742"/>
      <c r="K206" s="350" t="s">
        <v>478</v>
      </c>
      <c r="L206" s="742"/>
      <c r="M206" s="350" t="s">
        <v>478</v>
      </c>
      <c r="N206" s="742"/>
      <c r="O206" s="350" t="s">
        <v>478</v>
      </c>
      <c r="P206" s="742"/>
      <c r="Q206" s="350" t="s">
        <v>478</v>
      </c>
      <c r="R206" s="742"/>
      <c r="S206" s="350" t="s">
        <v>478</v>
      </c>
      <c r="T206" s="348" t="s">
        <v>31</v>
      </c>
      <c r="U206" s="348" t="s">
        <v>479</v>
      </c>
      <c r="V206" s="739" t="s">
        <v>33</v>
      </c>
      <c r="W206" s="748"/>
      <c r="X206" s="739" t="s">
        <v>33</v>
      </c>
      <c r="Y206" s="748"/>
      <c r="Z206" s="739" t="s">
        <v>34</v>
      </c>
      <c r="AA206" s="748"/>
      <c r="AB206" s="739"/>
      <c r="AC206" s="740"/>
      <c r="AE206" s="344"/>
      <c r="AF206" s="344"/>
    </row>
    <row r="207" spans="1:41" ht="24.95" customHeight="1" x14ac:dyDescent="0.25">
      <c r="B207" s="201">
        <v>1</v>
      </c>
      <c r="C207" s="202" t="str">
        <f>C168</f>
        <v>KUSMAN H</v>
      </c>
      <c r="D207" s="203"/>
      <c r="E207" s="204" t="str">
        <f>E168</f>
        <v>A</v>
      </c>
      <c r="F207" s="205" t="s">
        <v>36</v>
      </c>
      <c r="G207" s="205"/>
      <c r="H207" s="205" t="s">
        <v>37</v>
      </c>
      <c r="I207" s="205"/>
      <c r="J207" s="205" t="s">
        <v>37</v>
      </c>
      <c r="K207" s="205"/>
      <c r="L207" s="205" t="s">
        <v>37</v>
      </c>
      <c r="M207" s="205"/>
      <c r="N207" s="205" t="s">
        <v>37</v>
      </c>
      <c r="O207" s="205"/>
      <c r="P207" s="205" t="s">
        <v>37</v>
      </c>
      <c r="Q207" s="205"/>
      <c r="R207" s="205" t="s">
        <v>37</v>
      </c>
      <c r="S207" s="205"/>
      <c r="T207" s="206">
        <f>SUM(AI207:AO207)</f>
        <v>6</v>
      </c>
      <c r="U207" s="206">
        <f>SUM(F207:S207)</f>
        <v>0</v>
      </c>
      <c r="V207" s="207" t="str">
        <f>IF(W207&gt;0,"Rp",IF(W207=0," "))</f>
        <v>Rp</v>
      </c>
      <c r="W207" s="208">
        <f>W168</f>
        <v>135000</v>
      </c>
      <c r="X207" s="207" t="str">
        <f>IF(Y207&gt;0,"Rp",IF(Y207=0," "))</f>
        <v>Rp</v>
      </c>
      <c r="Y207" s="208">
        <f>Y168</f>
        <v>20000</v>
      </c>
      <c r="Z207" s="207" t="str">
        <f>IF(AA207&gt;0,"Rp",IF(AA207=0," "))</f>
        <v>Rp</v>
      </c>
      <c r="AA207" s="208">
        <f>W207*T207+U207*Y207</f>
        <v>810000</v>
      </c>
      <c r="AB207" s="209">
        <v>1</v>
      </c>
      <c r="AC207" s="210"/>
      <c r="AE207" s="211"/>
      <c r="AF207" s="211"/>
      <c r="AI207" s="211">
        <f>IFERROR(IF(F207="V",1,IF(F207="X",0))," ")</f>
        <v>0</v>
      </c>
      <c r="AJ207" s="211">
        <f>IFERROR(IF(H207="V",1,IF(H207="X",0))," ")</f>
        <v>1</v>
      </c>
      <c r="AK207" s="211">
        <f>IFERROR(IF(J207="V",1,IF(J207="X",0))," ")</f>
        <v>1</v>
      </c>
      <c r="AL207" s="211">
        <f>IFERROR(IF(L207="V",1,IF(L207="X",0))," ")</f>
        <v>1</v>
      </c>
      <c r="AM207" s="211">
        <f>IFERROR(IF(N207="V",1,IF(N207="X",0))," ")</f>
        <v>1</v>
      </c>
      <c r="AN207" s="211">
        <f>IFERROR(IF(P207="V",1,IF(P207="X",0))," ")</f>
        <v>1</v>
      </c>
      <c r="AO207" s="211">
        <f>IFERROR(IF(R207="V",1,IF(R207="X",0))," ")</f>
        <v>1</v>
      </c>
    </row>
    <row r="208" spans="1:41" ht="24.95" customHeight="1" x14ac:dyDescent="0.25">
      <c r="B208" s="212">
        <v>2</v>
      </c>
      <c r="C208" s="202" t="str">
        <f t="shared" ref="C208:C216" si="81">C169</f>
        <v>BUSANI</v>
      </c>
      <c r="D208" s="213"/>
      <c r="E208" s="214" t="str">
        <f t="shared" ref="E208:E216" si="82">E169</f>
        <v>B</v>
      </c>
      <c r="F208" s="215" t="s">
        <v>36</v>
      </c>
      <c r="G208" s="215"/>
      <c r="H208" s="215" t="s">
        <v>37</v>
      </c>
      <c r="I208" s="215"/>
      <c r="J208" s="215" t="s">
        <v>37</v>
      </c>
      <c r="K208" s="215"/>
      <c r="L208" s="215" t="s">
        <v>37</v>
      </c>
      <c r="M208" s="215"/>
      <c r="N208" s="215" t="s">
        <v>37</v>
      </c>
      <c r="O208" s="215"/>
      <c r="P208" s="215" t="s">
        <v>37</v>
      </c>
      <c r="Q208" s="215"/>
      <c r="R208" s="215" t="s">
        <v>37</v>
      </c>
      <c r="S208" s="215"/>
      <c r="T208" s="216">
        <f t="shared" ref="T208:T214" si="83">SUM(AI208:AO208)</f>
        <v>6</v>
      </c>
      <c r="U208" s="351">
        <f t="shared" ref="U208:U215" si="84">SUM(F208:S208)</f>
        <v>0</v>
      </c>
      <c r="V208" s="217" t="str">
        <f t="shared" ref="V208:V215" si="85">IF(W208&gt;0,"Rp",IF(W208=0," "))</f>
        <v>Rp</v>
      </c>
      <c r="W208" s="218">
        <f t="shared" ref="W208:W215" si="86">W169</f>
        <v>125000</v>
      </c>
      <c r="X208" s="217" t="str">
        <f t="shared" ref="X208:X215" si="87">IF(Y208&gt;0,"Rp",IF(Y208=0," "))</f>
        <v>Rp</v>
      </c>
      <c r="Y208" s="218">
        <f t="shared" ref="Y208:Y215" si="88">Y169</f>
        <v>15000</v>
      </c>
      <c r="Z208" s="217" t="str">
        <f t="shared" ref="Z208:Z216" si="89">IF(AA208&gt;0,"Rp",IF(AA208=0," "))</f>
        <v>Rp</v>
      </c>
      <c r="AA208" s="219">
        <f t="shared" ref="AA208:AA216" si="90">W208*T208+U208*Y208</f>
        <v>750000</v>
      </c>
      <c r="AB208" s="220"/>
      <c r="AC208" s="221">
        <v>2</v>
      </c>
      <c r="AE208" s="211"/>
      <c r="AF208" s="211"/>
      <c r="AI208" s="211">
        <f t="shared" ref="AI208:AI218" si="91">IFERROR(IF(F208="V",1,IF(F208="X",0))," ")</f>
        <v>0</v>
      </c>
      <c r="AJ208" s="211">
        <f t="shared" ref="AJ208:AJ218" si="92">IFERROR(IF(H208="V",1,IF(H208="X",0))," ")</f>
        <v>1</v>
      </c>
      <c r="AK208" s="211">
        <f t="shared" ref="AK208:AK218" si="93">IFERROR(IF(J208="V",1,IF(J208="X",0))," ")</f>
        <v>1</v>
      </c>
      <c r="AL208" s="211">
        <f t="shared" ref="AL208:AL218" si="94">IFERROR(IF(L208="V",1,IF(L208="X",0))," ")</f>
        <v>1</v>
      </c>
      <c r="AM208" s="211">
        <f t="shared" ref="AM208:AM218" si="95">IFERROR(IF(N208="V",1,IF(N208="X",0))," ")</f>
        <v>1</v>
      </c>
      <c r="AN208" s="211">
        <f t="shared" ref="AN208:AN218" si="96">IFERROR(IF(P208="V",1,IF(P208="X",0))," ")</f>
        <v>1</v>
      </c>
      <c r="AO208" s="211">
        <f t="shared" ref="AO208:AO218" si="97">IFERROR(IF(R208="V",1,IF(R208="X",0))," ")</f>
        <v>1</v>
      </c>
    </row>
    <row r="209" spans="1:41" ht="24.95" customHeight="1" x14ac:dyDescent="0.25">
      <c r="B209" s="212">
        <v>3</v>
      </c>
      <c r="C209" s="202" t="str">
        <f t="shared" si="81"/>
        <v>LASMARI</v>
      </c>
      <c r="D209" s="213"/>
      <c r="E209" s="214" t="str">
        <f t="shared" si="82"/>
        <v>B</v>
      </c>
      <c r="F209" s="215" t="s">
        <v>36</v>
      </c>
      <c r="G209" s="215"/>
      <c r="H209" s="215" t="s">
        <v>37</v>
      </c>
      <c r="I209" s="215"/>
      <c r="J209" s="215" t="s">
        <v>37</v>
      </c>
      <c r="K209" s="215"/>
      <c r="L209" s="215" t="s">
        <v>37</v>
      </c>
      <c r="M209" s="215"/>
      <c r="N209" s="215" t="s">
        <v>37</v>
      </c>
      <c r="O209" s="215"/>
      <c r="P209" s="215" t="s">
        <v>37</v>
      </c>
      <c r="Q209" s="215"/>
      <c r="R209" s="215" t="s">
        <v>37</v>
      </c>
      <c r="S209" s="215"/>
      <c r="T209" s="216">
        <f t="shared" si="83"/>
        <v>6</v>
      </c>
      <c r="U209" s="351">
        <f t="shared" si="84"/>
        <v>0</v>
      </c>
      <c r="V209" s="217" t="str">
        <f t="shared" si="85"/>
        <v>Rp</v>
      </c>
      <c r="W209" s="218">
        <f t="shared" si="86"/>
        <v>125000</v>
      </c>
      <c r="X209" s="217" t="str">
        <f t="shared" si="87"/>
        <v>Rp</v>
      </c>
      <c r="Y209" s="218">
        <f t="shared" si="88"/>
        <v>15000</v>
      </c>
      <c r="Z209" s="217" t="str">
        <f t="shared" si="89"/>
        <v>Rp</v>
      </c>
      <c r="AA209" s="219">
        <f t="shared" si="90"/>
        <v>750000</v>
      </c>
      <c r="AB209" s="222">
        <v>3</v>
      </c>
      <c r="AC209" s="221"/>
      <c r="AE209" s="211"/>
      <c r="AF209" s="211"/>
      <c r="AI209" s="211">
        <f t="shared" si="91"/>
        <v>0</v>
      </c>
      <c r="AJ209" s="211">
        <f t="shared" si="92"/>
        <v>1</v>
      </c>
      <c r="AK209" s="211">
        <f t="shared" si="93"/>
        <v>1</v>
      </c>
      <c r="AL209" s="211">
        <f t="shared" si="94"/>
        <v>1</v>
      </c>
      <c r="AM209" s="211">
        <f t="shared" si="95"/>
        <v>1</v>
      </c>
      <c r="AN209" s="211">
        <f t="shared" si="96"/>
        <v>1</v>
      </c>
      <c r="AO209" s="211">
        <f t="shared" si="97"/>
        <v>1</v>
      </c>
    </row>
    <row r="210" spans="1:41" ht="24.95" customHeight="1" x14ac:dyDescent="0.25">
      <c r="B210" s="212">
        <v>4</v>
      </c>
      <c r="C210" s="202" t="str">
        <f t="shared" si="81"/>
        <v>SUMARTO</v>
      </c>
      <c r="D210" s="213"/>
      <c r="E210" s="214" t="str">
        <f t="shared" si="82"/>
        <v>B</v>
      </c>
      <c r="F210" s="215" t="s">
        <v>36</v>
      </c>
      <c r="G210" s="215"/>
      <c r="H210" s="215" t="s">
        <v>37</v>
      </c>
      <c r="I210" s="215"/>
      <c r="J210" s="215" t="s">
        <v>37</v>
      </c>
      <c r="K210" s="215"/>
      <c r="L210" s="215" t="s">
        <v>37</v>
      </c>
      <c r="M210" s="215"/>
      <c r="N210" s="215" t="s">
        <v>36</v>
      </c>
      <c r="O210" s="215"/>
      <c r="P210" s="215" t="s">
        <v>37</v>
      </c>
      <c r="Q210" s="215"/>
      <c r="R210" s="215" t="s">
        <v>37</v>
      </c>
      <c r="S210" s="215"/>
      <c r="T210" s="216">
        <f t="shared" si="83"/>
        <v>5</v>
      </c>
      <c r="U210" s="351">
        <f t="shared" si="84"/>
        <v>0</v>
      </c>
      <c r="V210" s="217" t="str">
        <f t="shared" si="85"/>
        <v>Rp</v>
      </c>
      <c r="W210" s="218">
        <f t="shared" si="86"/>
        <v>125000</v>
      </c>
      <c r="X210" s="217" t="str">
        <f t="shared" si="87"/>
        <v>Rp</v>
      </c>
      <c r="Y210" s="218">
        <f t="shared" si="88"/>
        <v>15000</v>
      </c>
      <c r="Z210" s="217" t="str">
        <f t="shared" si="89"/>
        <v>Rp</v>
      </c>
      <c r="AA210" s="219">
        <f t="shared" si="90"/>
        <v>625000</v>
      </c>
      <c r="AB210" s="222"/>
      <c r="AC210" s="223">
        <v>4</v>
      </c>
      <c r="AE210" s="211"/>
      <c r="AF210" s="211"/>
      <c r="AI210" s="211">
        <f t="shared" si="91"/>
        <v>0</v>
      </c>
      <c r="AJ210" s="211">
        <f t="shared" si="92"/>
        <v>1</v>
      </c>
      <c r="AK210" s="211">
        <f t="shared" si="93"/>
        <v>1</v>
      </c>
      <c r="AL210" s="211">
        <f t="shared" si="94"/>
        <v>1</v>
      </c>
      <c r="AM210" s="211">
        <f t="shared" si="95"/>
        <v>0</v>
      </c>
      <c r="AN210" s="211">
        <f t="shared" si="96"/>
        <v>1</v>
      </c>
      <c r="AO210" s="211">
        <f t="shared" si="97"/>
        <v>1</v>
      </c>
    </row>
    <row r="211" spans="1:41" ht="24.95" customHeight="1" x14ac:dyDescent="0.25">
      <c r="B211" s="212">
        <v>5</v>
      </c>
      <c r="C211" s="202" t="str">
        <f t="shared" si="81"/>
        <v>TONI</v>
      </c>
      <c r="D211" s="213"/>
      <c r="E211" s="214" t="str">
        <f t="shared" si="82"/>
        <v>C</v>
      </c>
      <c r="F211" s="215" t="s">
        <v>36</v>
      </c>
      <c r="G211" s="215"/>
      <c r="H211" s="215" t="s">
        <v>36</v>
      </c>
      <c r="I211" s="215"/>
      <c r="J211" s="215" t="s">
        <v>37</v>
      </c>
      <c r="K211" s="215"/>
      <c r="L211" s="215" t="s">
        <v>37</v>
      </c>
      <c r="M211" s="215"/>
      <c r="N211" s="215" t="s">
        <v>37</v>
      </c>
      <c r="O211" s="215"/>
      <c r="P211" s="215" t="s">
        <v>37</v>
      </c>
      <c r="Q211" s="215"/>
      <c r="R211" s="215" t="s">
        <v>37</v>
      </c>
      <c r="S211" s="215"/>
      <c r="T211" s="216">
        <f t="shared" si="83"/>
        <v>5</v>
      </c>
      <c r="U211" s="351">
        <f t="shared" si="84"/>
        <v>0</v>
      </c>
      <c r="V211" s="217" t="str">
        <f t="shared" si="85"/>
        <v>Rp</v>
      </c>
      <c r="W211" s="218">
        <f t="shared" si="86"/>
        <v>115000</v>
      </c>
      <c r="X211" s="217" t="str">
        <f t="shared" si="87"/>
        <v>Rp</v>
      </c>
      <c r="Y211" s="218">
        <f t="shared" si="88"/>
        <v>10000</v>
      </c>
      <c r="Z211" s="217" t="str">
        <f t="shared" si="89"/>
        <v>Rp</v>
      </c>
      <c r="AA211" s="219">
        <f t="shared" si="90"/>
        <v>575000</v>
      </c>
      <c r="AB211" s="222">
        <v>5</v>
      </c>
      <c r="AC211" s="221"/>
      <c r="AE211" s="211"/>
      <c r="AF211" s="211"/>
      <c r="AI211" s="211">
        <f t="shared" si="91"/>
        <v>0</v>
      </c>
      <c r="AJ211" s="211">
        <f t="shared" si="92"/>
        <v>0</v>
      </c>
      <c r="AK211" s="211">
        <f t="shared" si="93"/>
        <v>1</v>
      </c>
      <c r="AL211" s="211">
        <f t="shared" si="94"/>
        <v>1</v>
      </c>
      <c r="AM211" s="211">
        <f t="shared" si="95"/>
        <v>1</v>
      </c>
      <c r="AN211" s="211">
        <f t="shared" si="96"/>
        <v>1</v>
      </c>
      <c r="AO211" s="211">
        <f t="shared" si="97"/>
        <v>1</v>
      </c>
    </row>
    <row r="212" spans="1:41" ht="24.95" customHeight="1" x14ac:dyDescent="0.25">
      <c r="B212" s="212">
        <v>6</v>
      </c>
      <c r="C212" s="202" t="str">
        <f t="shared" si="81"/>
        <v>SAKIM</v>
      </c>
      <c r="D212" s="213"/>
      <c r="E212" s="214" t="str">
        <f t="shared" si="82"/>
        <v>C</v>
      </c>
      <c r="F212" s="215" t="s">
        <v>36</v>
      </c>
      <c r="G212" s="215"/>
      <c r="H212" s="215" t="s">
        <v>37</v>
      </c>
      <c r="I212" s="215"/>
      <c r="J212" s="215" t="s">
        <v>37</v>
      </c>
      <c r="K212" s="215"/>
      <c r="L212" s="215" t="s">
        <v>37</v>
      </c>
      <c r="M212" s="215"/>
      <c r="N212" s="215" t="s">
        <v>37</v>
      </c>
      <c r="O212" s="215"/>
      <c r="P212" s="215" t="s">
        <v>37</v>
      </c>
      <c r="Q212" s="215"/>
      <c r="R212" s="215" t="s">
        <v>37</v>
      </c>
      <c r="S212" s="215"/>
      <c r="T212" s="216">
        <f t="shared" si="83"/>
        <v>6</v>
      </c>
      <c r="U212" s="351">
        <f t="shared" si="84"/>
        <v>0</v>
      </c>
      <c r="V212" s="217" t="str">
        <f t="shared" si="85"/>
        <v>Rp</v>
      </c>
      <c r="W212" s="218">
        <f t="shared" si="86"/>
        <v>115000</v>
      </c>
      <c r="X212" s="217" t="str">
        <f t="shared" si="87"/>
        <v>Rp</v>
      </c>
      <c r="Y212" s="218">
        <f t="shared" si="88"/>
        <v>10000</v>
      </c>
      <c r="Z212" s="217" t="str">
        <f t="shared" si="89"/>
        <v>Rp</v>
      </c>
      <c r="AA212" s="219">
        <f t="shared" si="90"/>
        <v>690000</v>
      </c>
      <c r="AB212" s="222"/>
      <c r="AC212" s="223">
        <v>6</v>
      </c>
      <c r="AE212" s="211"/>
      <c r="AF212" s="211"/>
      <c r="AI212" s="211">
        <f t="shared" si="91"/>
        <v>0</v>
      </c>
      <c r="AJ212" s="211">
        <f t="shared" si="92"/>
        <v>1</v>
      </c>
      <c r="AK212" s="211">
        <f t="shared" si="93"/>
        <v>1</v>
      </c>
      <c r="AL212" s="211">
        <f t="shared" si="94"/>
        <v>1</v>
      </c>
      <c r="AM212" s="211">
        <f t="shared" si="95"/>
        <v>1</v>
      </c>
      <c r="AN212" s="211">
        <f t="shared" si="96"/>
        <v>1</v>
      </c>
      <c r="AO212" s="211">
        <f t="shared" si="97"/>
        <v>1</v>
      </c>
    </row>
    <row r="213" spans="1:41" ht="24.95" customHeight="1" x14ac:dyDescent="0.25">
      <c r="B213" s="212">
        <v>7</v>
      </c>
      <c r="C213" s="202" t="str">
        <f t="shared" si="81"/>
        <v>TOHIR</v>
      </c>
      <c r="D213" s="213"/>
      <c r="E213" s="214" t="str">
        <f t="shared" si="82"/>
        <v>C</v>
      </c>
      <c r="F213" s="215" t="s">
        <v>36</v>
      </c>
      <c r="G213" s="215"/>
      <c r="H213" s="215" t="s">
        <v>37</v>
      </c>
      <c r="I213" s="215"/>
      <c r="J213" s="215" t="s">
        <v>37</v>
      </c>
      <c r="K213" s="215"/>
      <c r="L213" s="215" t="s">
        <v>37</v>
      </c>
      <c r="M213" s="215"/>
      <c r="N213" s="215" t="s">
        <v>37</v>
      </c>
      <c r="O213" s="215"/>
      <c r="P213" s="215" t="s">
        <v>36</v>
      </c>
      <c r="Q213" s="215"/>
      <c r="R213" s="215" t="s">
        <v>37</v>
      </c>
      <c r="S213" s="215"/>
      <c r="T213" s="216">
        <f t="shared" si="83"/>
        <v>5</v>
      </c>
      <c r="U213" s="351">
        <f t="shared" si="84"/>
        <v>0</v>
      </c>
      <c r="V213" s="217" t="str">
        <f t="shared" si="85"/>
        <v>Rp</v>
      </c>
      <c r="W213" s="218">
        <f t="shared" si="86"/>
        <v>115000</v>
      </c>
      <c r="X213" s="217" t="str">
        <f t="shared" si="87"/>
        <v>Rp</v>
      </c>
      <c r="Y213" s="218">
        <f t="shared" si="88"/>
        <v>10000</v>
      </c>
      <c r="Z213" s="217" t="str">
        <f t="shared" si="89"/>
        <v>Rp</v>
      </c>
      <c r="AA213" s="219">
        <f t="shared" si="90"/>
        <v>575000</v>
      </c>
      <c r="AB213" s="222">
        <v>7</v>
      </c>
      <c r="AC213" s="221"/>
      <c r="AE213" s="211"/>
      <c r="AF213" s="211"/>
      <c r="AI213" s="211">
        <f t="shared" si="91"/>
        <v>0</v>
      </c>
      <c r="AJ213" s="211">
        <f t="shared" si="92"/>
        <v>1</v>
      </c>
      <c r="AK213" s="211">
        <f t="shared" si="93"/>
        <v>1</v>
      </c>
      <c r="AL213" s="211">
        <f t="shared" si="94"/>
        <v>1</v>
      </c>
      <c r="AM213" s="211">
        <f t="shared" si="95"/>
        <v>1</v>
      </c>
      <c r="AN213" s="211">
        <f t="shared" si="96"/>
        <v>0</v>
      </c>
      <c r="AO213" s="211">
        <f t="shared" si="97"/>
        <v>1</v>
      </c>
    </row>
    <row r="214" spans="1:41" ht="24.95" customHeight="1" x14ac:dyDescent="0.25">
      <c r="B214" s="212">
        <v>8</v>
      </c>
      <c r="C214" s="202" t="str">
        <f t="shared" si="81"/>
        <v>ROJALI</v>
      </c>
      <c r="D214" s="213"/>
      <c r="E214" s="214" t="str">
        <f t="shared" si="82"/>
        <v>C</v>
      </c>
      <c r="F214" s="215" t="s">
        <v>36</v>
      </c>
      <c r="G214" s="215"/>
      <c r="H214" s="215" t="s">
        <v>37</v>
      </c>
      <c r="I214" s="215"/>
      <c r="J214" s="215" t="s">
        <v>37</v>
      </c>
      <c r="K214" s="215"/>
      <c r="L214" s="215" t="s">
        <v>37</v>
      </c>
      <c r="M214" s="215"/>
      <c r="N214" s="215" t="s">
        <v>37</v>
      </c>
      <c r="O214" s="215"/>
      <c r="P214" s="215" t="s">
        <v>37</v>
      </c>
      <c r="Q214" s="215"/>
      <c r="R214" s="215" t="s">
        <v>36</v>
      </c>
      <c r="S214" s="215"/>
      <c r="T214" s="216">
        <f t="shared" si="83"/>
        <v>5</v>
      </c>
      <c r="U214" s="351">
        <f t="shared" si="84"/>
        <v>0</v>
      </c>
      <c r="V214" s="217" t="str">
        <f t="shared" si="85"/>
        <v>Rp</v>
      </c>
      <c r="W214" s="218">
        <f t="shared" si="86"/>
        <v>115000</v>
      </c>
      <c r="X214" s="217" t="str">
        <f t="shared" si="87"/>
        <v>Rp</v>
      </c>
      <c r="Y214" s="218">
        <f t="shared" si="88"/>
        <v>10000</v>
      </c>
      <c r="Z214" s="217" t="str">
        <f t="shared" si="89"/>
        <v>Rp</v>
      </c>
      <c r="AA214" s="219">
        <f t="shared" si="90"/>
        <v>575000</v>
      </c>
      <c r="AB214" s="222"/>
      <c r="AC214" s="223">
        <v>8</v>
      </c>
      <c r="AE214" s="211"/>
      <c r="AF214" s="211"/>
      <c r="AI214" s="211">
        <f t="shared" si="91"/>
        <v>0</v>
      </c>
      <c r="AJ214" s="211">
        <f t="shared" si="92"/>
        <v>1</v>
      </c>
      <c r="AK214" s="211">
        <f t="shared" si="93"/>
        <v>1</v>
      </c>
      <c r="AL214" s="211">
        <f t="shared" si="94"/>
        <v>1</v>
      </c>
      <c r="AM214" s="211">
        <f t="shared" si="95"/>
        <v>1</v>
      </c>
      <c r="AN214" s="211">
        <f t="shared" si="96"/>
        <v>1</v>
      </c>
      <c r="AO214" s="211">
        <f t="shared" si="97"/>
        <v>0</v>
      </c>
    </row>
    <row r="215" spans="1:41" ht="24.95" customHeight="1" x14ac:dyDescent="0.25">
      <c r="B215" s="212">
        <v>9</v>
      </c>
      <c r="C215" s="202">
        <f t="shared" si="81"/>
        <v>0</v>
      </c>
      <c r="D215" s="213"/>
      <c r="E215" s="214">
        <f t="shared" si="82"/>
        <v>0</v>
      </c>
      <c r="F215" s="215"/>
      <c r="G215" s="215"/>
      <c r="H215" s="215"/>
      <c r="I215" s="215"/>
      <c r="J215" s="215"/>
      <c r="K215" s="215"/>
      <c r="L215" s="215"/>
      <c r="M215" s="215"/>
      <c r="N215" s="215"/>
      <c r="O215" s="215"/>
      <c r="P215" s="215"/>
      <c r="Q215" s="215"/>
      <c r="R215" s="215"/>
      <c r="S215" s="215"/>
      <c r="T215" s="216">
        <f>SUM(AI215:AO215)</f>
        <v>0</v>
      </c>
      <c r="U215" s="351">
        <f t="shared" si="84"/>
        <v>0</v>
      </c>
      <c r="V215" s="217" t="str">
        <f t="shared" si="85"/>
        <v xml:space="preserve"> </v>
      </c>
      <c r="W215" s="218">
        <f t="shared" si="86"/>
        <v>0</v>
      </c>
      <c r="X215" s="217" t="str">
        <f t="shared" si="87"/>
        <v xml:space="preserve"> </v>
      </c>
      <c r="Y215" s="218">
        <f t="shared" si="88"/>
        <v>0</v>
      </c>
      <c r="Z215" s="217" t="str">
        <f t="shared" si="89"/>
        <v xml:space="preserve"> </v>
      </c>
      <c r="AA215" s="219">
        <f t="shared" si="90"/>
        <v>0</v>
      </c>
      <c r="AB215" s="222"/>
      <c r="AC215" s="221"/>
      <c r="AE215" s="211"/>
      <c r="AF215" s="211"/>
      <c r="AI215" s="211" t="b">
        <f t="shared" si="91"/>
        <v>0</v>
      </c>
      <c r="AJ215" s="211" t="b">
        <f t="shared" si="92"/>
        <v>0</v>
      </c>
      <c r="AK215" s="211" t="b">
        <f t="shared" si="93"/>
        <v>0</v>
      </c>
      <c r="AL215" s="211" t="b">
        <f t="shared" si="94"/>
        <v>0</v>
      </c>
      <c r="AM215" s="211" t="b">
        <f t="shared" si="95"/>
        <v>0</v>
      </c>
      <c r="AN215" s="211" t="b">
        <f t="shared" si="96"/>
        <v>0</v>
      </c>
      <c r="AO215" s="211" t="b">
        <f t="shared" si="97"/>
        <v>0</v>
      </c>
    </row>
    <row r="216" spans="1:41" ht="24.95" customHeight="1" x14ac:dyDescent="0.25">
      <c r="B216" s="212">
        <v>10</v>
      </c>
      <c r="C216" s="202">
        <f t="shared" si="81"/>
        <v>0</v>
      </c>
      <c r="D216" s="213"/>
      <c r="E216" s="214">
        <f t="shared" si="82"/>
        <v>0</v>
      </c>
      <c r="F216" s="215"/>
      <c r="G216" s="215"/>
      <c r="H216" s="215"/>
      <c r="I216" s="215"/>
      <c r="J216" s="215"/>
      <c r="K216" s="215"/>
      <c r="L216" s="215"/>
      <c r="M216" s="215"/>
      <c r="N216" s="215"/>
      <c r="O216" s="215"/>
      <c r="P216" s="215"/>
      <c r="Q216" s="215"/>
      <c r="R216" s="215"/>
      <c r="S216" s="215"/>
      <c r="T216" s="216"/>
      <c r="U216" s="352"/>
      <c r="V216" s="217"/>
      <c r="W216" s="218"/>
      <c r="X216" s="217"/>
      <c r="Y216" s="218"/>
      <c r="Z216" s="217" t="str">
        <f t="shared" si="89"/>
        <v xml:space="preserve"> </v>
      </c>
      <c r="AA216" s="219">
        <f t="shared" si="90"/>
        <v>0</v>
      </c>
      <c r="AB216" s="222"/>
      <c r="AC216" s="223"/>
      <c r="AE216" s="211"/>
      <c r="AF216" s="211"/>
      <c r="AI216" s="211" t="b">
        <f t="shared" si="91"/>
        <v>0</v>
      </c>
      <c r="AJ216" s="211" t="b">
        <f t="shared" si="92"/>
        <v>0</v>
      </c>
      <c r="AK216" s="211" t="b">
        <f t="shared" si="93"/>
        <v>0</v>
      </c>
      <c r="AL216" s="211" t="b">
        <f t="shared" si="94"/>
        <v>0</v>
      </c>
      <c r="AM216" s="211" t="b">
        <f t="shared" si="95"/>
        <v>0</v>
      </c>
      <c r="AN216" s="211" t="b">
        <f t="shared" si="96"/>
        <v>0</v>
      </c>
      <c r="AO216" s="211" t="b">
        <f t="shared" si="97"/>
        <v>0</v>
      </c>
    </row>
    <row r="217" spans="1:41" ht="24.95" customHeight="1" x14ac:dyDescent="0.25">
      <c r="B217" s="212">
        <v>11</v>
      </c>
      <c r="C217" s="202">
        <f>C178</f>
        <v>0</v>
      </c>
      <c r="D217" s="213"/>
      <c r="E217" s="214">
        <f>E178</f>
        <v>0</v>
      </c>
      <c r="F217" s="215"/>
      <c r="G217" s="215"/>
      <c r="H217" s="215"/>
      <c r="I217" s="215"/>
      <c r="J217" s="215"/>
      <c r="K217" s="215"/>
      <c r="L217" s="215"/>
      <c r="M217" s="215"/>
      <c r="N217" s="215"/>
      <c r="O217" s="215"/>
      <c r="P217" s="215"/>
      <c r="Q217" s="215"/>
      <c r="R217" s="215"/>
      <c r="S217" s="215"/>
      <c r="T217" s="216">
        <f>SUM(AI217:AO217)</f>
        <v>0</v>
      </c>
      <c r="U217" s="216">
        <f>SUM(F217:S217)/6</f>
        <v>0</v>
      </c>
      <c r="V217" s="217"/>
      <c r="W217" s="218"/>
      <c r="X217" s="217"/>
      <c r="Y217" s="218"/>
      <c r="Z217" s="217" t="str">
        <f>IF(AA217&gt;0,"Rp",IF(AA217=0," "))</f>
        <v xml:space="preserve"> </v>
      </c>
      <c r="AA217" s="219">
        <f>W217*T217+U217*Y217</f>
        <v>0</v>
      </c>
      <c r="AB217" s="222" t="str">
        <f>IF(AA217&gt;0,1,IF(AA217=0," "))</f>
        <v xml:space="preserve"> </v>
      </c>
      <c r="AC217" s="221"/>
      <c r="AE217" s="211"/>
      <c r="AF217" s="211"/>
      <c r="AI217" s="211" t="b">
        <f t="shared" si="91"/>
        <v>0</v>
      </c>
      <c r="AJ217" s="211" t="b">
        <f t="shared" si="92"/>
        <v>0</v>
      </c>
      <c r="AK217" s="211" t="b">
        <f t="shared" si="93"/>
        <v>0</v>
      </c>
      <c r="AL217" s="211" t="b">
        <f t="shared" si="94"/>
        <v>0</v>
      </c>
      <c r="AM217" s="211" t="b">
        <f t="shared" si="95"/>
        <v>0</v>
      </c>
      <c r="AN217" s="211" t="b">
        <f t="shared" si="96"/>
        <v>0</v>
      </c>
      <c r="AO217" s="211" t="b">
        <f t="shared" si="97"/>
        <v>0</v>
      </c>
    </row>
    <row r="218" spans="1:41" ht="24.95" customHeight="1" x14ac:dyDescent="0.25">
      <c r="B218" s="212">
        <v>12</v>
      </c>
      <c r="C218" s="202"/>
      <c r="D218" s="213"/>
      <c r="E218" s="214"/>
      <c r="F218" s="215"/>
      <c r="G218" s="215"/>
      <c r="H218" s="215"/>
      <c r="I218" s="215"/>
      <c r="J218" s="215"/>
      <c r="K218" s="215"/>
      <c r="L218" s="215"/>
      <c r="M218" s="215"/>
      <c r="N218" s="215"/>
      <c r="O218" s="215"/>
      <c r="P218" s="215"/>
      <c r="Q218" s="215"/>
      <c r="R218" s="215"/>
      <c r="S218" s="215"/>
      <c r="T218" s="216">
        <f>SUM(AI218:AO218)</f>
        <v>0</v>
      </c>
      <c r="U218" s="216">
        <f>SUM(F218:S218)/6</f>
        <v>0</v>
      </c>
      <c r="V218" s="217"/>
      <c r="W218" s="218"/>
      <c r="X218" s="217"/>
      <c r="Y218" s="218"/>
      <c r="Z218" s="217" t="str">
        <f>IF(AA218&gt;0,"Rp",IF(AA218=0," "))</f>
        <v xml:space="preserve"> </v>
      </c>
      <c r="AA218" s="219">
        <f>W218*T218+U218*Y218</f>
        <v>0</v>
      </c>
      <c r="AB218" s="222" t="str">
        <f>IF(AA218&gt;0,1,IF(AA218=0," "))</f>
        <v xml:space="preserve"> </v>
      </c>
      <c r="AC218" s="223"/>
      <c r="AE218" s="211"/>
      <c r="AF218" s="211"/>
      <c r="AI218" s="211" t="b">
        <f t="shared" si="91"/>
        <v>0</v>
      </c>
      <c r="AJ218" s="211" t="b">
        <f t="shared" si="92"/>
        <v>0</v>
      </c>
      <c r="AK218" s="211" t="b">
        <f t="shared" si="93"/>
        <v>0</v>
      </c>
      <c r="AL218" s="211" t="b">
        <f t="shared" si="94"/>
        <v>0</v>
      </c>
      <c r="AM218" s="211" t="b">
        <f t="shared" si="95"/>
        <v>0</v>
      </c>
      <c r="AN218" s="211" t="b">
        <f t="shared" si="96"/>
        <v>0</v>
      </c>
      <c r="AO218" s="211" t="b">
        <f t="shared" si="97"/>
        <v>0</v>
      </c>
    </row>
    <row r="219" spans="1:41" ht="24.95" customHeight="1" thickBot="1" x14ac:dyDescent="0.25">
      <c r="B219" s="233"/>
      <c r="C219" s="257"/>
      <c r="D219" s="235"/>
      <c r="E219" s="236"/>
      <c r="F219" s="237"/>
      <c r="G219" s="237"/>
      <c r="H219" s="238"/>
      <c r="I219" s="238"/>
      <c r="J219" s="239"/>
      <c r="K219" s="239"/>
      <c r="L219" s="239"/>
      <c r="M219" s="239"/>
      <c r="N219" s="240"/>
      <c r="O219" s="240"/>
      <c r="P219" s="240"/>
      <c r="Q219" s="240"/>
      <c r="R219" s="240"/>
      <c r="S219" s="353"/>
      <c r="T219" s="259"/>
      <c r="U219" s="259"/>
      <c r="V219" s="242"/>
      <c r="W219" s="258"/>
      <c r="X219" s="242"/>
      <c r="Y219" s="258"/>
      <c r="Z219" s="244"/>
      <c r="AA219" s="236"/>
      <c r="AB219" s="246"/>
      <c r="AC219" s="247"/>
      <c r="AE219" s="211"/>
      <c r="AF219" s="211"/>
    </row>
    <row r="220" spans="1:41" ht="20.100000000000001" customHeight="1" thickTop="1" thickBot="1" x14ac:dyDescent="0.3">
      <c r="A220" s="179">
        <f>A181+1</f>
        <v>6</v>
      </c>
      <c r="B220" s="248"/>
      <c r="C220" s="249"/>
      <c r="D220" s="249"/>
      <c r="E220" s="249"/>
      <c r="F220" s="249"/>
      <c r="G220" s="249"/>
      <c r="H220" s="249"/>
      <c r="I220" s="249"/>
      <c r="J220" s="249"/>
      <c r="K220" s="249"/>
      <c r="L220" s="249"/>
      <c r="M220" s="249"/>
      <c r="N220" s="249"/>
      <c r="O220" s="249"/>
      <c r="P220" s="249"/>
      <c r="Q220" s="249"/>
      <c r="R220" s="249"/>
      <c r="S220" s="249"/>
      <c r="T220" s="249"/>
      <c r="U220" s="249"/>
      <c r="V220" s="249"/>
      <c r="W220" s="250" t="s">
        <v>40</v>
      </c>
      <c r="X220" s="249"/>
      <c r="Y220" s="250" t="s">
        <v>40</v>
      </c>
      <c r="Z220" s="249"/>
      <c r="AA220" s="710">
        <f>SUM(AA207:AA219)</f>
        <v>5350000</v>
      </c>
      <c r="AB220" s="711"/>
      <c r="AC220" s="712"/>
      <c r="AE220" s="226" t="str">
        <f>VLOOKUP(A220,'Rekap Gaji'!$B$12:$P$32,10,FALSE)</f>
        <v xml:space="preserve"> 11 Oktober 2025</v>
      </c>
      <c r="AF220" s="251" t="e">
        <f>AE220-AA220</f>
        <v>#VALUE!</v>
      </c>
    </row>
    <row r="221" spans="1:41" ht="11.25" customHeight="1" x14ac:dyDescent="0.25"/>
    <row r="222" spans="1:41" ht="16.5" customHeight="1" x14ac:dyDescent="0.25">
      <c r="B222" s="195" t="s">
        <v>41</v>
      </c>
      <c r="C222" s="140" t="s">
        <v>42</v>
      </c>
    </row>
    <row r="223" spans="1:41" ht="14.25" x14ac:dyDescent="0.25">
      <c r="H223" s="183"/>
      <c r="I223" s="183"/>
      <c r="J223" s="182"/>
      <c r="K223" s="182"/>
      <c r="T223" s="141"/>
      <c r="U223" s="141"/>
      <c r="V223" s="141"/>
      <c r="X223" s="141"/>
      <c r="AA223" s="140" t="str">
        <f>'BKU 1'!$I$25</f>
        <v>NGANTANG</v>
      </c>
      <c r="AB223" s="713">
        <f>IFERROR(VLOOKUP(E201,'Rekap Gaji'!$B$12:$P$32,7,FALSE),"-")</f>
        <v>45941</v>
      </c>
      <c r="AC223" s="713"/>
      <c r="AD223" s="252"/>
      <c r="AE223" s="252"/>
    </row>
    <row r="224" spans="1:41" ht="15.75" x14ac:dyDescent="0.25">
      <c r="C224" s="140" t="s">
        <v>43</v>
      </c>
      <c r="F224" s="253"/>
      <c r="G224" s="253"/>
      <c r="H224" s="254"/>
      <c r="I224" s="254"/>
      <c r="J224" s="255"/>
      <c r="K224" s="255"/>
      <c r="L224" s="256"/>
      <c r="M224" s="256"/>
      <c r="N224" s="225" t="s">
        <v>44</v>
      </c>
      <c r="O224" s="225"/>
      <c r="P224" s="253"/>
      <c r="Q224" s="253"/>
      <c r="T224" s="141"/>
      <c r="U224" s="141"/>
      <c r="V224" s="141"/>
      <c r="X224" s="141"/>
      <c r="AA224" s="140" t="str">
        <f>'BKU 1'!$L$354</f>
        <v>Dibuat Oleh ;</v>
      </c>
      <c r="AB224" s="141"/>
    </row>
    <row r="225" spans="1:32" ht="14.25" x14ac:dyDescent="0.25">
      <c r="C225" s="140" t="str">
        <f>'BKU 1'!$C$355</f>
        <v>Kepala Sekolah SDN 1 SIDODADI</v>
      </c>
      <c r="F225" s="187"/>
      <c r="G225" s="187"/>
      <c r="H225" s="224"/>
      <c r="I225" s="224"/>
      <c r="J225" s="182"/>
      <c r="K225" s="182"/>
      <c r="L225" s="183"/>
      <c r="M225" s="183"/>
      <c r="N225" s="140" t="s">
        <v>45</v>
      </c>
      <c r="P225" s="187"/>
      <c r="Q225" s="187"/>
      <c r="AA225" s="140" t="str">
        <f>'BKU 1'!$L$355</f>
        <v>Bendahara Pembangunan</v>
      </c>
      <c r="AB225" s="141"/>
    </row>
    <row r="226" spans="1:32" ht="14.25" x14ac:dyDescent="0.25">
      <c r="F226" s="187"/>
      <c r="G226" s="187"/>
      <c r="H226" s="224"/>
      <c r="I226" s="224"/>
      <c r="J226" s="182"/>
      <c r="K226" s="182"/>
      <c r="L226" s="183"/>
      <c r="M226" s="183"/>
      <c r="P226" s="187"/>
      <c r="Q226" s="187"/>
      <c r="AA226" s="140"/>
      <c r="AB226" s="141"/>
    </row>
    <row r="227" spans="1:32" ht="14.25" x14ac:dyDescent="0.25">
      <c r="F227" s="187"/>
      <c r="G227" s="187"/>
      <c r="H227" s="224"/>
      <c r="I227" s="224"/>
      <c r="J227" s="182"/>
      <c r="K227" s="182"/>
      <c r="L227" s="183"/>
      <c r="M227" s="183"/>
      <c r="P227" s="187"/>
      <c r="Q227" s="187"/>
      <c r="AA227" s="140"/>
      <c r="AB227" s="141"/>
    </row>
    <row r="228" spans="1:32" ht="14.25" x14ac:dyDescent="0.25">
      <c r="F228" s="187"/>
      <c r="G228" s="187"/>
      <c r="H228" s="224"/>
      <c r="I228" s="224"/>
      <c r="J228" s="182"/>
      <c r="K228" s="182"/>
      <c r="L228" s="183"/>
      <c r="M228" s="183"/>
      <c r="P228" s="187"/>
      <c r="Q228" s="187"/>
      <c r="AA228" s="140"/>
      <c r="AB228" s="141"/>
    </row>
    <row r="229" spans="1:32" ht="14.25" x14ac:dyDescent="0.25">
      <c r="F229" s="187"/>
      <c r="G229" s="187"/>
      <c r="H229" s="224"/>
      <c r="I229" s="224"/>
      <c r="J229" s="182"/>
      <c r="K229" s="182"/>
      <c r="L229" s="183"/>
      <c r="M229" s="183"/>
      <c r="P229" s="187"/>
      <c r="Q229" s="187"/>
      <c r="AA229" s="140"/>
      <c r="AB229" s="141"/>
    </row>
    <row r="230" spans="1:32" x14ac:dyDescent="0.25">
      <c r="H230" s="225"/>
      <c r="I230" s="225"/>
      <c r="AA230" s="140"/>
    </row>
    <row r="231" spans="1:32" x14ac:dyDescent="0.25">
      <c r="H231" s="225"/>
      <c r="I231" s="225"/>
      <c r="AA231" s="140"/>
    </row>
    <row r="232" spans="1:32" s="189" customFormat="1" ht="15" customHeight="1" x14ac:dyDescent="0.25">
      <c r="A232" s="192"/>
      <c r="B232" s="195"/>
      <c r="C232" s="227" t="str">
        <f>'BKU 1'!$C$360</f>
        <v>MELIA FITRIANI, S.Pd.SD</v>
      </c>
      <c r="D232" s="227"/>
      <c r="H232" s="228"/>
      <c r="I232" s="228"/>
      <c r="J232" s="195"/>
      <c r="K232" s="195"/>
      <c r="L232" s="194"/>
      <c r="M232" s="194"/>
      <c r="N232" s="229" t="str">
        <f>'BKU 1'!$H$360</f>
        <v>HARTATIK</v>
      </c>
      <c r="O232" s="229"/>
      <c r="AA232" s="227" t="str">
        <f>'BKU 1'!$L$360</f>
        <v>ARIF NUR UDIN, S.Pd.SD</v>
      </c>
      <c r="AC232" s="230"/>
      <c r="AE232" s="231"/>
      <c r="AF232" s="231"/>
    </row>
    <row r="233" spans="1:32" s="189" customFormat="1" ht="15" customHeight="1" x14ac:dyDescent="0.25">
      <c r="A233" s="192"/>
      <c r="B233" s="195"/>
      <c r="C233" s="140" t="str">
        <f>'BKU 1'!$C$361</f>
        <v>NIP. 19850619 200904 2 000</v>
      </c>
      <c r="D233" s="140"/>
      <c r="E233" s="140"/>
      <c r="F233" s="140"/>
      <c r="G233" s="140"/>
      <c r="H233" s="225"/>
      <c r="I233" s="225"/>
      <c r="J233" s="191"/>
      <c r="K233" s="191"/>
      <c r="L233" s="190"/>
      <c r="M233" s="190"/>
      <c r="N233" s="232"/>
      <c r="O233" s="232"/>
      <c r="P233" s="140"/>
      <c r="Q233" s="140"/>
      <c r="T233" s="140"/>
      <c r="U233" s="140"/>
      <c r="V233" s="140"/>
      <c r="W233" s="140"/>
      <c r="X233" s="140"/>
      <c r="Y233" s="140"/>
      <c r="Z233" s="140"/>
      <c r="AA233" s="140" t="str">
        <f>'BKU 1'!$L$361</f>
        <v>NIP. 19840719 200903 1 002</v>
      </c>
      <c r="AC233" s="230"/>
      <c r="AE233" s="231"/>
      <c r="AF233" s="231"/>
    </row>
    <row r="234" spans="1:32" ht="6" customHeight="1" x14ac:dyDescent="0.25"/>
    <row r="235" spans="1:32" s="177" customFormat="1" ht="24.95" customHeight="1" x14ac:dyDescent="0.25">
      <c r="A235" s="176"/>
      <c r="B235" s="726" t="s">
        <v>6</v>
      </c>
      <c r="C235" s="726"/>
      <c r="D235" s="726"/>
      <c r="E235" s="726"/>
      <c r="F235" s="726"/>
      <c r="G235" s="726"/>
      <c r="H235" s="726"/>
      <c r="I235" s="726"/>
      <c r="J235" s="726"/>
      <c r="K235" s="726"/>
      <c r="L235" s="726"/>
      <c r="M235" s="726"/>
      <c r="N235" s="726"/>
      <c r="O235" s="726"/>
      <c r="P235" s="726"/>
      <c r="Q235" s="726"/>
      <c r="R235" s="726"/>
      <c r="S235" s="726"/>
      <c r="T235" s="726"/>
      <c r="U235" s="726"/>
      <c r="V235" s="726"/>
      <c r="W235" s="726"/>
      <c r="X235" s="726"/>
      <c r="Y235" s="726"/>
      <c r="Z235" s="726"/>
      <c r="AA235" s="726"/>
      <c r="AB235" s="726"/>
      <c r="AC235" s="726"/>
      <c r="AE235" s="178"/>
      <c r="AF235" s="178"/>
    </row>
    <row r="236" spans="1:32" s="177" customFormat="1" ht="24.95" customHeight="1" x14ac:dyDescent="0.25">
      <c r="A236" s="176"/>
      <c r="B236" s="726" t="str">
        <f>'BKU 1'!$D$22</f>
        <v>PEMBANGUNAN TOILET BESERTA SANITASINYA</v>
      </c>
      <c r="C236" s="726"/>
      <c r="D236" s="726"/>
      <c r="E236" s="726"/>
      <c r="F236" s="726"/>
      <c r="G236" s="726"/>
      <c r="H236" s="726"/>
      <c r="I236" s="726"/>
      <c r="J236" s="726"/>
      <c r="K236" s="726"/>
      <c r="L236" s="726"/>
      <c r="M236" s="726"/>
      <c r="N236" s="726"/>
      <c r="O236" s="726"/>
      <c r="P236" s="726"/>
      <c r="Q236" s="726"/>
      <c r="R236" s="726"/>
      <c r="S236" s="726"/>
      <c r="T236" s="726"/>
      <c r="U236" s="726"/>
      <c r="V236" s="726"/>
      <c r="W236" s="726"/>
      <c r="X236" s="726"/>
      <c r="Y236" s="726"/>
      <c r="Z236" s="726"/>
      <c r="AA236" s="726"/>
      <c r="AB236" s="726"/>
      <c r="AC236" s="726"/>
      <c r="AE236" s="178"/>
      <c r="AF236" s="178"/>
    </row>
    <row r="237" spans="1:32" s="184" customFormat="1" ht="30.75" customHeight="1" x14ac:dyDescent="0.25">
      <c r="A237" s="179"/>
      <c r="B237" s="180"/>
      <c r="C237" s="181"/>
      <c r="D237" s="181"/>
      <c r="E237" s="181"/>
      <c r="F237" s="182"/>
      <c r="G237" s="182"/>
      <c r="H237" s="183"/>
      <c r="I237" s="183"/>
      <c r="J237" s="182"/>
      <c r="K237" s="182"/>
      <c r="L237" s="183"/>
      <c r="M237" s="183"/>
      <c r="N237" s="182"/>
      <c r="O237" s="182"/>
      <c r="P237" s="182"/>
      <c r="Q237" s="182"/>
      <c r="R237" s="182"/>
      <c r="S237" s="182"/>
      <c r="T237" s="181"/>
      <c r="U237" s="181"/>
      <c r="V237" s="181"/>
      <c r="X237" s="181"/>
      <c r="AA237" s="180"/>
      <c r="AB237" s="140"/>
      <c r="AC237" s="185"/>
      <c r="AE237" s="186"/>
      <c r="AF237" s="186"/>
    </row>
    <row r="238" spans="1:32" s="184" customFormat="1" ht="14.25" x14ac:dyDescent="0.25">
      <c r="A238" s="179"/>
      <c r="B238" s="185" t="s">
        <v>7</v>
      </c>
      <c r="D238" s="184" t="s">
        <v>49</v>
      </c>
      <c r="E238" s="184" t="str">
        <f>'BKU 1'!$D$25</f>
        <v>SDN 1 SIDODADI</v>
      </c>
      <c r="F238" s="140"/>
      <c r="G238" s="140"/>
      <c r="H238" s="183"/>
      <c r="I238" s="183"/>
      <c r="J238" s="182"/>
      <c r="K238" s="182"/>
      <c r="L238" s="183"/>
      <c r="M238" s="183"/>
      <c r="N238" s="187"/>
      <c r="O238" s="187"/>
      <c r="P238" s="187"/>
      <c r="Q238" s="187"/>
      <c r="R238" s="187"/>
      <c r="S238" s="187"/>
      <c r="T238" s="188"/>
      <c r="U238" s="188"/>
      <c r="V238" s="188"/>
      <c r="X238" s="188"/>
      <c r="AA238" s="180"/>
      <c r="AB238" s="189" t="s">
        <v>8</v>
      </c>
      <c r="AC238" s="185"/>
      <c r="AE238" s="186"/>
      <c r="AF238" s="186"/>
    </row>
    <row r="239" spans="1:32" s="184" customFormat="1" x14ac:dyDescent="0.25">
      <c r="A239" s="179"/>
      <c r="B239" s="185" t="s">
        <v>9</v>
      </c>
      <c r="D239" s="184" t="s">
        <v>49</v>
      </c>
      <c r="E239" s="184" t="str">
        <f>'BKU 1'!$D$26</f>
        <v>Jl. Kawi No.36 Rt. 1 Rw. 1 Dusun Sekar, Rt / Rw : 1 / 1, Dusun : Sekar, Kelurahan : Sidodadi</v>
      </c>
      <c r="F239" s="140"/>
      <c r="G239" s="140"/>
      <c r="H239" s="190"/>
      <c r="I239" s="190"/>
      <c r="J239" s="191"/>
      <c r="K239" s="191"/>
      <c r="L239" s="190"/>
      <c r="M239" s="190"/>
      <c r="N239" s="140"/>
      <c r="O239" s="140"/>
      <c r="P239" s="140"/>
      <c r="Q239" s="140"/>
      <c r="R239" s="140"/>
      <c r="S239" s="140"/>
      <c r="AA239" s="180"/>
      <c r="AB239" s="140" t="s">
        <v>10</v>
      </c>
      <c r="AC239" s="185" t="s">
        <v>11</v>
      </c>
      <c r="AE239" s="186"/>
      <c r="AF239" s="186"/>
    </row>
    <row r="240" spans="1:32" s="184" customFormat="1" x14ac:dyDescent="0.25">
      <c r="A240" s="179"/>
      <c r="B240" s="185" t="s">
        <v>12</v>
      </c>
      <c r="D240" s="184" t="s">
        <v>49</v>
      </c>
      <c r="E240" s="180">
        <f>E201+1</f>
        <v>7</v>
      </c>
      <c r="F240" s="140"/>
      <c r="G240" s="140"/>
      <c r="H240" s="727">
        <f>IFERROR(VLOOKUP(E240,'Rekap Gaji'!$B$12:$P$32,14,FALSE),"-")</f>
        <v>0</v>
      </c>
      <c r="I240" s="727"/>
      <c r="J240" s="727"/>
      <c r="K240" s="727"/>
      <c r="L240" s="727"/>
      <c r="M240" s="191"/>
      <c r="N240" s="140"/>
      <c r="O240" s="140"/>
      <c r="P240" s="140"/>
      <c r="Q240" s="140"/>
      <c r="R240" s="140"/>
      <c r="S240" s="140"/>
      <c r="AA240" s="180"/>
      <c r="AB240" s="140" t="s">
        <v>13</v>
      </c>
      <c r="AC240" s="185" t="s">
        <v>14</v>
      </c>
      <c r="AE240" s="186"/>
      <c r="AF240" s="186"/>
    </row>
    <row r="241" spans="1:41" s="184" customFormat="1" ht="15" customHeight="1" x14ac:dyDescent="0.25">
      <c r="A241" s="179"/>
      <c r="B241" s="185" t="s">
        <v>0</v>
      </c>
      <c r="D241" s="184" t="s">
        <v>49</v>
      </c>
      <c r="E241" s="728">
        <f>IFERROR(VLOOKUP(E240,'Rekap Gaji'!$B$12:$P$32,4,FALSE),"-")</f>
        <v>45942</v>
      </c>
      <c r="F241" s="728"/>
      <c r="G241" s="728"/>
      <c r="H241" s="728"/>
      <c r="I241" s="728"/>
      <c r="J241" s="728"/>
      <c r="K241" s="339"/>
      <c r="L241" s="727" t="s">
        <v>76</v>
      </c>
      <c r="M241" s="727"/>
      <c r="N241" s="727"/>
      <c r="O241" s="191"/>
      <c r="P241" s="728">
        <f>IFERROR(VLOOKUP(E240,'Rekap Gaji'!$B$12:$P$32,6,FALSE),"-")</f>
        <v>45948</v>
      </c>
      <c r="Q241" s="728"/>
      <c r="R241" s="728"/>
      <c r="S241" s="728"/>
      <c r="T241" s="728"/>
      <c r="U241" s="728"/>
      <c r="V241" s="728"/>
      <c r="AA241" s="180"/>
      <c r="AB241" s="140" t="s">
        <v>15</v>
      </c>
      <c r="AC241" s="185" t="s">
        <v>16</v>
      </c>
      <c r="AE241" s="186"/>
      <c r="AF241" s="186"/>
    </row>
    <row r="242" spans="1:41" s="188" customFormat="1" ht="8.1" customHeight="1" thickBot="1" x14ac:dyDescent="0.3">
      <c r="A242" s="192"/>
      <c r="B242" s="193"/>
      <c r="F242" s="189"/>
      <c r="G242" s="189"/>
      <c r="H242" s="194"/>
      <c r="I242" s="194"/>
      <c r="J242" s="195"/>
      <c r="K242" s="195"/>
      <c r="L242" s="194"/>
      <c r="M242" s="194"/>
      <c r="N242" s="189"/>
      <c r="O242" s="189"/>
      <c r="P242" s="189"/>
      <c r="Q242" s="189"/>
      <c r="R242" s="189"/>
      <c r="S242" s="189"/>
      <c r="AA242" s="193"/>
      <c r="AB242" s="189"/>
      <c r="AC242" s="196"/>
      <c r="AE242" s="197"/>
      <c r="AF242" s="197"/>
    </row>
    <row r="243" spans="1:41" s="343" customFormat="1" ht="15" customHeight="1" x14ac:dyDescent="0.25">
      <c r="A243" s="340"/>
      <c r="B243" s="744" t="s">
        <v>17</v>
      </c>
      <c r="C243" s="735" t="s">
        <v>18</v>
      </c>
      <c r="D243" s="747"/>
      <c r="E243" s="342" t="s">
        <v>19</v>
      </c>
      <c r="F243" s="714" t="s">
        <v>20</v>
      </c>
      <c r="G243" s="715"/>
      <c r="H243" s="715"/>
      <c r="I243" s="715"/>
      <c r="J243" s="715"/>
      <c r="K243" s="715"/>
      <c r="L243" s="715"/>
      <c r="M243" s="715"/>
      <c r="N243" s="715"/>
      <c r="O243" s="715"/>
      <c r="P243" s="715"/>
      <c r="Q243" s="715"/>
      <c r="R243" s="715"/>
      <c r="S243" s="716"/>
      <c r="T243" s="341" t="s">
        <v>2</v>
      </c>
      <c r="U243" s="341" t="s">
        <v>474</v>
      </c>
      <c r="V243" s="735" t="s">
        <v>21</v>
      </c>
      <c r="W243" s="747"/>
      <c r="X243" s="735" t="s">
        <v>21</v>
      </c>
      <c r="Y243" s="747"/>
      <c r="Z243" s="735" t="s">
        <v>22</v>
      </c>
      <c r="AA243" s="747"/>
      <c r="AB243" s="735" t="s">
        <v>23</v>
      </c>
      <c r="AC243" s="736"/>
      <c r="AE243" s="344"/>
      <c r="AF243" s="344"/>
    </row>
    <row r="244" spans="1:41" s="343" customFormat="1" ht="28.9" customHeight="1" x14ac:dyDescent="0.25">
      <c r="A244" s="340"/>
      <c r="B244" s="745"/>
      <c r="C244" s="737"/>
      <c r="D244" s="743"/>
      <c r="E244" s="346" t="s">
        <v>24</v>
      </c>
      <c r="F244" s="741" t="s">
        <v>25</v>
      </c>
      <c r="G244" s="347" t="s">
        <v>475</v>
      </c>
      <c r="H244" s="741" t="s">
        <v>26</v>
      </c>
      <c r="I244" s="347" t="s">
        <v>475</v>
      </c>
      <c r="J244" s="741" t="s">
        <v>26</v>
      </c>
      <c r="K244" s="347" t="s">
        <v>475</v>
      </c>
      <c r="L244" s="741" t="s">
        <v>27</v>
      </c>
      <c r="M244" s="347" t="s">
        <v>475</v>
      </c>
      <c r="N244" s="741" t="s">
        <v>28</v>
      </c>
      <c r="O244" s="347" t="s">
        <v>475</v>
      </c>
      <c r="P244" s="741" t="s">
        <v>29</v>
      </c>
      <c r="Q244" s="347" t="s">
        <v>475</v>
      </c>
      <c r="R244" s="741" t="s">
        <v>26</v>
      </c>
      <c r="S244" s="347" t="s">
        <v>475</v>
      </c>
      <c r="T244" s="345" t="s">
        <v>30</v>
      </c>
      <c r="U244" s="345" t="s">
        <v>476</v>
      </c>
      <c r="V244" s="737" t="s">
        <v>455</v>
      </c>
      <c r="W244" s="743"/>
      <c r="X244" s="737" t="s">
        <v>477</v>
      </c>
      <c r="Y244" s="743"/>
      <c r="Z244" s="737" t="s">
        <v>31</v>
      </c>
      <c r="AA244" s="743"/>
      <c r="AB244" s="737"/>
      <c r="AC244" s="738"/>
      <c r="AE244" s="344"/>
      <c r="AF244" s="344"/>
    </row>
    <row r="245" spans="1:41" s="343" customFormat="1" ht="15" customHeight="1" thickBot="1" x14ac:dyDescent="0.3">
      <c r="A245" s="340"/>
      <c r="B245" s="746"/>
      <c r="C245" s="739"/>
      <c r="D245" s="748"/>
      <c r="E245" s="349" t="s">
        <v>32</v>
      </c>
      <c r="F245" s="742"/>
      <c r="G245" s="350" t="s">
        <v>478</v>
      </c>
      <c r="H245" s="742"/>
      <c r="I245" s="350" t="s">
        <v>478</v>
      </c>
      <c r="J245" s="742"/>
      <c r="K245" s="350" t="s">
        <v>478</v>
      </c>
      <c r="L245" s="742"/>
      <c r="M245" s="350" t="s">
        <v>478</v>
      </c>
      <c r="N245" s="742"/>
      <c r="O245" s="350" t="s">
        <v>478</v>
      </c>
      <c r="P245" s="742"/>
      <c r="Q245" s="350" t="s">
        <v>478</v>
      </c>
      <c r="R245" s="742"/>
      <c r="S245" s="350" t="s">
        <v>478</v>
      </c>
      <c r="T245" s="348" t="s">
        <v>31</v>
      </c>
      <c r="U245" s="348" t="s">
        <v>479</v>
      </c>
      <c r="V245" s="739" t="s">
        <v>33</v>
      </c>
      <c r="W245" s="748"/>
      <c r="X245" s="739" t="s">
        <v>33</v>
      </c>
      <c r="Y245" s="748"/>
      <c r="Z245" s="739" t="s">
        <v>34</v>
      </c>
      <c r="AA245" s="748"/>
      <c r="AB245" s="739"/>
      <c r="AC245" s="740"/>
      <c r="AE245" s="344"/>
      <c r="AF245" s="344"/>
    </row>
    <row r="246" spans="1:41" ht="24.95" customHeight="1" x14ac:dyDescent="0.25">
      <c r="B246" s="201">
        <v>1</v>
      </c>
      <c r="C246" s="202" t="str">
        <f>C207</f>
        <v>KUSMAN H</v>
      </c>
      <c r="D246" s="203"/>
      <c r="E246" s="204" t="str">
        <f>E207</f>
        <v>A</v>
      </c>
      <c r="F246" s="205" t="s">
        <v>36</v>
      </c>
      <c r="G246" s="205"/>
      <c r="H246" s="205" t="s">
        <v>37</v>
      </c>
      <c r="I246" s="205"/>
      <c r="J246" s="205" t="s">
        <v>37</v>
      </c>
      <c r="K246" s="205"/>
      <c r="L246" s="205" t="s">
        <v>37</v>
      </c>
      <c r="M246" s="205"/>
      <c r="N246" s="205" t="s">
        <v>37</v>
      </c>
      <c r="O246" s="205"/>
      <c r="P246" s="205" t="s">
        <v>37</v>
      </c>
      <c r="Q246" s="205"/>
      <c r="R246" s="205" t="s">
        <v>37</v>
      </c>
      <c r="S246" s="205"/>
      <c r="T246" s="206">
        <f>SUM(AI246:AO246)</f>
        <v>6</v>
      </c>
      <c r="U246" s="206">
        <f>SUM(F246:S246)</f>
        <v>0</v>
      </c>
      <c r="V246" s="207" t="str">
        <f>IF(W246&gt;0,"Rp",IF(W246=0," "))</f>
        <v>Rp</v>
      </c>
      <c r="W246" s="208">
        <f>W207</f>
        <v>135000</v>
      </c>
      <c r="X246" s="207" t="str">
        <f>IF(Y246&gt;0,"Rp",IF(Y246=0," "))</f>
        <v>Rp</v>
      </c>
      <c r="Y246" s="208">
        <f>Y207</f>
        <v>20000</v>
      </c>
      <c r="Z246" s="207" t="str">
        <f>IF(AA246&gt;0,"Rp",IF(AA246=0," "))</f>
        <v>Rp</v>
      </c>
      <c r="AA246" s="208">
        <f>W246*T246+U246*Y246</f>
        <v>810000</v>
      </c>
      <c r="AB246" s="209">
        <v>1</v>
      </c>
      <c r="AC246" s="210"/>
      <c r="AE246" s="211"/>
      <c r="AF246" s="211"/>
      <c r="AI246" s="211">
        <f>IFERROR(IF(F246="V",1,IF(F246="X",0))," ")</f>
        <v>0</v>
      </c>
      <c r="AJ246" s="211">
        <f>IFERROR(IF(H246="V",1,IF(H246="X",0))," ")</f>
        <v>1</v>
      </c>
      <c r="AK246" s="211">
        <f>IFERROR(IF(J246="V",1,IF(J246="X",0))," ")</f>
        <v>1</v>
      </c>
      <c r="AL246" s="211">
        <f>IFERROR(IF(L246="V",1,IF(L246="X",0))," ")</f>
        <v>1</v>
      </c>
      <c r="AM246" s="211">
        <f>IFERROR(IF(N246="V",1,IF(N246="X",0))," ")</f>
        <v>1</v>
      </c>
      <c r="AN246" s="211">
        <f>IFERROR(IF(P246="V",1,IF(P246="X",0))," ")</f>
        <v>1</v>
      </c>
      <c r="AO246" s="211">
        <f>IFERROR(IF(R246="V",1,IF(R246="X",0))," ")</f>
        <v>1</v>
      </c>
    </row>
    <row r="247" spans="1:41" ht="24.95" customHeight="1" x14ac:dyDescent="0.25">
      <c r="B247" s="212">
        <v>2</v>
      </c>
      <c r="C247" s="202" t="str">
        <f t="shared" ref="C247:C255" si="98">C208</f>
        <v>BUSANI</v>
      </c>
      <c r="D247" s="213"/>
      <c r="E247" s="214" t="str">
        <f t="shared" ref="E247:E255" si="99">E208</f>
        <v>B</v>
      </c>
      <c r="F247" s="215" t="s">
        <v>36</v>
      </c>
      <c r="G247" s="215"/>
      <c r="H247" s="215" t="s">
        <v>37</v>
      </c>
      <c r="I247" s="215"/>
      <c r="J247" s="215" t="s">
        <v>37</v>
      </c>
      <c r="K247" s="215"/>
      <c r="L247" s="215" t="s">
        <v>37</v>
      </c>
      <c r="M247" s="215"/>
      <c r="N247" s="215" t="s">
        <v>37</v>
      </c>
      <c r="O247" s="215"/>
      <c r="P247" s="215" t="s">
        <v>37</v>
      </c>
      <c r="Q247" s="215"/>
      <c r="R247" s="215" t="s">
        <v>37</v>
      </c>
      <c r="S247" s="215"/>
      <c r="T247" s="216">
        <f t="shared" ref="T247:T252" si="100">SUM(AI247:AO247)</f>
        <v>6</v>
      </c>
      <c r="U247" s="351">
        <f t="shared" ref="U247:U254" si="101">SUM(F247:S247)</f>
        <v>0</v>
      </c>
      <c r="V247" s="217" t="str">
        <f t="shared" ref="V247:V254" si="102">IF(W247&gt;0,"Rp",IF(W247=0," "))</f>
        <v>Rp</v>
      </c>
      <c r="W247" s="218">
        <f t="shared" ref="W247:W254" si="103">W208</f>
        <v>125000</v>
      </c>
      <c r="X247" s="217" t="str">
        <f t="shared" ref="X247:X254" si="104">IF(Y247&gt;0,"Rp",IF(Y247=0," "))</f>
        <v>Rp</v>
      </c>
      <c r="Y247" s="218">
        <f t="shared" ref="Y247:Y254" si="105">Y208</f>
        <v>15000</v>
      </c>
      <c r="Z247" s="217" t="str">
        <f t="shared" ref="Z247:Z255" si="106">IF(AA247&gt;0,"Rp",IF(AA247=0," "))</f>
        <v>Rp</v>
      </c>
      <c r="AA247" s="219">
        <f t="shared" ref="AA247:AA255" si="107">W247*T247+U247*Y247</f>
        <v>750000</v>
      </c>
      <c r="AB247" s="220"/>
      <c r="AC247" s="221">
        <v>2</v>
      </c>
      <c r="AE247" s="211"/>
      <c r="AF247" s="211"/>
      <c r="AI247" s="211">
        <f t="shared" ref="AI247:AI257" si="108">IFERROR(IF(F247="V",1,IF(F247="X",0))," ")</f>
        <v>0</v>
      </c>
      <c r="AJ247" s="211">
        <f t="shared" ref="AJ247:AJ257" si="109">IFERROR(IF(H247="V",1,IF(H247="X",0))," ")</f>
        <v>1</v>
      </c>
      <c r="AK247" s="211">
        <f t="shared" ref="AK247:AK257" si="110">IFERROR(IF(J247="V",1,IF(J247="X",0))," ")</f>
        <v>1</v>
      </c>
      <c r="AL247" s="211">
        <f t="shared" ref="AL247:AL257" si="111">IFERROR(IF(L247="V",1,IF(L247="X",0))," ")</f>
        <v>1</v>
      </c>
      <c r="AM247" s="211">
        <f t="shared" ref="AM247:AM257" si="112">IFERROR(IF(N247="V",1,IF(N247="X",0))," ")</f>
        <v>1</v>
      </c>
      <c r="AN247" s="211">
        <f t="shared" ref="AN247:AN257" si="113">IFERROR(IF(P247="V",1,IF(P247="X",0))," ")</f>
        <v>1</v>
      </c>
      <c r="AO247" s="211">
        <f t="shared" ref="AO247:AO257" si="114">IFERROR(IF(R247="V",1,IF(R247="X",0))," ")</f>
        <v>1</v>
      </c>
    </row>
    <row r="248" spans="1:41" ht="24.95" customHeight="1" x14ac:dyDescent="0.25">
      <c r="B248" s="212">
        <v>3</v>
      </c>
      <c r="C248" s="202" t="str">
        <f t="shared" si="98"/>
        <v>LASMARI</v>
      </c>
      <c r="D248" s="213"/>
      <c r="E248" s="214" t="str">
        <f t="shared" si="99"/>
        <v>B</v>
      </c>
      <c r="F248" s="215" t="s">
        <v>36</v>
      </c>
      <c r="G248" s="215"/>
      <c r="H248" s="215" t="s">
        <v>37</v>
      </c>
      <c r="I248" s="215"/>
      <c r="J248" s="215" t="s">
        <v>37</v>
      </c>
      <c r="K248" s="215"/>
      <c r="L248" s="215" t="s">
        <v>36</v>
      </c>
      <c r="M248" s="215"/>
      <c r="N248" s="215" t="s">
        <v>37</v>
      </c>
      <c r="O248" s="215"/>
      <c r="P248" s="215" t="s">
        <v>37</v>
      </c>
      <c r="Q248" s="215"/>
      <c r="R248" s="215" t="s">
        <v>36</v>
      </c>
      <c r="S248" s="215"/>
      <c r="T248" s="216">
        <f t="shared" si="100"/>
        <v>4</v>
      </c>
      <c r="U248" s="351">
        <f t="shared" si="101"/>
        <v>0</v>
      </c>
      <c r="V248" s="217" t="str">
        <f t="shared" si="102"/>
        <v>Rp</v>
      </c>
      <c r="W248" s="218">
        <f t="shared" si="103"/>
        <v>125000</v>
      </c>
      <c r="X248" s="217" t="str">
        <f t="shared" si="104"/>
        <v>Rp</v>
      </c>
      <c r="Y248" s="218">
        <f t="shared" si="105"/>
        <v>15000</v>
      </c>
      <c r="Z248" s="217" t="str">
        <f t="shared" si="106"/>
        <v>Rp</v>
      </c>
      <c r="AA248" s="219">
        <f t="shared" si="107"/>
        <v>500000</v>
      </c>
      <c r="AB248" s="222">
        <v>3</v>
      </c>
      <c r="AC248" s="221"/>
      <c r="AE248" s="211"/>
      <c r="AF248" s="211"/>
      <c r="AI248" s="211">
        <f t="shared" si="108"/>
        <v>0</v>
      </c>
      <c r="AJ248" s="211">
        <f t="shared" si="109"/>
        <v>1</v>
      </c>
      <c r="AK248" s="211">
        <f t="shared" si="110"/>
        <v>1</v>
      </c>
      <c r="AL248" s="211">
        <f t="shared" si="111"/>
        <v>0</v>
      </c>
      <c r="AM248" s="211">
        <f t="shared" si="112"/>
        <v>1</v>
      </c>
      <c r="AN248" s="211">
        <f t="shared" si="113"/>
        <v>1</v>
      </c>
      <c r="AO248" s="211">
        <f t="shared" si="114"/>
        <v>0</v>
      </c>
    </row>
    <row r="249" spans="1:41" ht="24.95" customHeight="1" x14ac:dyDescent="0.25">
      <c r="B249" s="212">
        <v>4</v>
      </c>
      <c r="C249" s="202" t="str">
        <f t="shared" si="98"/>
        <v>SUMARTO</v>
      </c>
      <c r="D249" s="213"/>
      <c r="E249" s="214" t="str">
        <f t="shared" si="99"/>
        <v>B</v>
      </c>
      <c r="F249" s="215" t="s">
        <v>36</v>
      </c>
      <c r="G249" s="215"/>
      <c r="H249" s="215" t="s">
        <v>37</v>
      </c>
      <c r="I249" s="215"/>
      <c r="J249" s="215" t="s">
        <v>37</v>
      </c>
      <c r="K249" s="215"/>
      <c r="L249" s="215" t="s">
        <v>37</v>
      </c>
      <c r="M249" s="215"/>
      <c r="N249" s="215" t="s">
        <v>37</v>
      </c>
      <c r="O249" s="215"/>
      <c r="P249" s="215" t="s">
        <v>37</v>
      </c>
      <c r="Q249" s="215"/>
      <c r="R249" s="215" t="s">
        <v>37</v>
      </c>
      <c r="S249" s="215"/>
      <c r="T249" s="216">
        <f t="shared" si="100"/>
        <v>6</v>
      </c>
      <c r="U249" s="351">
        <f t="shared" si="101"/>
        <v>0</v>
      </c>
      <c r="V249" s="217" t="str">
        <f t="shared" si="102"/>
        <v>Rp</v>
      </c>
      <c r="W249" s="218">
        <f t="shared" si="103"/>
        <v>125000</v>
      </c>
      <c r="X249" s="217" t="str">
        <f t="shared" si="104"/>
        <v>Rp</v>
      </c>
      <c r="Y249" s="218">
        <f t="shared" si="105"/>
        <v>15000</v>
      </c>
      <c r="Z249" s="217" t="str">
        <f t="shared" si="106"/>
        <v>Rp</v>
      </c>
      <c r="AA249" s="219">
        <f t="shared" si="107"/>
        <v>750000</v>
      </c>
      <c r="AB249" s="222"/>
      <c r="AC249" s="223">
        <v>4</v>
      </c>
      <c r="AE249" s="211"/>
      <c r="AF249" s="211"/>
      <c r="AI249" s="211">
        <f t="shared" si="108"/>
        <v>0</v>
      </c>
      <c r="AJ249" s="211">
        <f t="shared" si="109"/>
        <v>1</v>
      </c>
      <c r="AK249" s="211">
        <f t="shared" si="110"/>
        <v>1</v>
      </c>
      <c r="AL249" s="211">
        <f t="shared" si="111"/>
        <v>1</v>
      </c>
      <c r="AM249" s="211">
        <f t="shared" si="112"/>
        <v>1</v>
      </c>
      <c r="AN249" s="211">
        <f t="shared" si="113"/>
        <v>1</v>
      </c>
      <c r="AO249" s="211">
        <f t="shared" si="114"/>
        <v>1</v>
      </c>
    </row>
    <row r="250" spans="1:41" ht="24.95" customHeight="1" x14ac:dyDescent="0.25">
      <c r="B250" s="212">
        <v>5</v>
      </c>
      <c r="C250" s="202" t="str">
        <f t="shared" si="98"/>
        <v>TONI</v>
      </c>
      <c r="D250" s="213"/>
      <c r="E250" s="214" t="str">
        <f t="shared" si="99"/>
        <v>C</v>
      </c>
      <c r="F250" s="215" t="s">
        <v>36</v>
      </c>
      <c r="G250" s="215"/>
      <c r="H250" s="215" t="s">
        <v>36</v>
      </c>
      <c r="I250" s="215"/>
      <c r="J250" s="215" t="s">
        <v>37</v>
      </c>
      <c r="K250" s="215"/>
      <c r="L250" s="215" t="s">
        <v>37</v>
      </c>
      <c r="M250" s="215"/>
      <c r="N250" s="215" t="s">
        <v>37</v>
      </c>
      <c r="O250" s="215"/>
      <c r="P250" s="215" t="s">
        <v>36</v>
      </c>
      <c r="Q250" s="215"/>
      <c r="R250" s="215" t="s">
        <v>37</v>
      </c>
      <c r="S250" s="215"/>
      <c r="T250" s="216">
        <f t="shared" si="100"/>
        <v>4</v>
      </c>
      <c r="U250" s="351">
        <f t="shared" si="101"/>
        <v>0</v>
      </c>
      <c r="V250" s="217" t="str">
        <f t="shared" si="102"/>
        <v>Rp</v>
      </c>
      <c r="W250" s="218">
        <f t="shared" si="103"/>
        <v>115000</v>
      </c>
      <c r="X250" s="217" t="str">
        <f t="shared" si="104"/>
        <v>Rp</v>
      </c>
      <c r="Y250" s="218">
        <f t="shared" si="105"/>
        <v>10000</v>
      </c>
      <c r="Z250" s="217" t="str">
        <f t="shared" si="106"/>
        <v>Rp</v>
      </c>
      <c r="AA250" s="219">
        <f t="shared" si="107"/>
        <v>460000</v>
      </c>
      <c r="AB250" s="222">
        <v>5</v>
      </c>
      <c r="AC250" s="221"/>
      <c r="AE250" s="211"/>
      <c r="AF250" s="211"/>
      <c r="AI250" s="211">
        <f t="shared" si="108"/>
        <v>0</v>
      </c>
      <c r="AJ250" s="211">
        <f t="shared" si="109"/>
        <v>0</v>
      </c>
      <c r="AK250" s="211">
        <f t="shared" si="110"/>
        <v>1</v>
      </c>
      <c r="AL250" s="211">
        <f t="shared" si="111"/>
        <v>1</v>
      </c>
      <c r="AM250" s="211">
        <f t="shared" si="112"/>
        <v>1</v>
      </c>
      <c r="AN250" s="211">
        <f t="shared" si="113"/>
        <v>0</v>
      </c>
      <c r="AO250" s="211">
        <f t="shared" si="114"/>
        <v>1</v>
      </c>
    </row>
    <row r="251" spans="1:41" ht="24.95" customHeight="1" x14ac:dyDescent="0.25">
      <c r="B251" s="212">
        <v>6</v>
      </c>
      <c r="C251" s="202" t="str">
        <f t="shared" si="98"/>
        <v>SAKIM</v>
      </c>
      <c r="D251" s="213"/>
      <c r="E251" s="214" t="str">
        <f t="shared" si="99"/>
        <v>C</v>
      </c>
      <c r="F251" s="215" t="s">
        <v>36</v>
      </c>
      <c r="G251" s="215"/>
      <c r="H251" s="215" t="s">
        <v>37</v>
      </c>
      <c r="I251" s="215"/>
      <c r="J251" s="215" t="s">
        <v>37</v>
      </c>
      <c r="K251" s="215"/>
      <c r="L251" s="215" t="s">
        <v>37</v>
      </c>
      <c r="M251" s="215"/>
      <c r="N251" s="215" t="s">
        <v>37</v>
      </c>
      <c r="O251" s="215"/>
      <c r="P251" s="215" t="s">
        <v>37</v>
      </c>
      <c r="Q251" s="215"/>
      <c r="R251" s="215" t="s">
        <v>37</v>
      </c>
      <c r="S251" s="215"/>
      <c r="T251" s="216">
        <f t="shared" si="100"/>
        <v>6</v>
      </c>
      <c r="U251" s="351">
        <f t="shared" si="101"/>
        <v>0</v>
      </c>
      <c r="V251" s="217" t="str">
        <f t="shared" si="102"/>
        <v>Rp</v>
      </c>
      <c r="W251" s="218">
        <f t="shared" si="103"/>
        <v>115000</v>
      </c>
      <c r="X251" s="217" t="str">
        <f t="shared" si="104"/>
        <v>Rp</v>
      </c>
      <c r="Y251" s="218">
        <f t="shared" si="105"/>
        <v>10000</v>
      </c>
      <c r="Z251" s="217" t="str">
        <f t="shared" si="106"/>
        <v>Rp</v>
      </c>
      <c r="AA251" s="219">
        <f t="shared" si="107"/>
        <v>690000</v>
      </c>
      <c r="AB251" s="222"/>
      <c r="AC251" s="223">
        <v>6</v>
      </c>
      <c r="AE251" s="211"/>
      <c r="AF251" s="211"/>
      <c r="AI251" s="211">
        <f t="shared" si="108"/>
        <v>0</v>
      </c>
      <c r="AJ251" s="211">
        <f t="shared" si="109"/>
        <v>1</v>
      </c>
      <c r="AK251" s="211">
        <f t="shared" si="110"/>
        <v>1</v>
      </c>
      <c r="AL251" s="211">
        <f t="shared" si="111"/>
        <v>1</v>
      </c>
      <c r="AM251" s="211">
        <f t="shared" si="112"/>
        <v>1</v>
      </c>
      <c r="AN251" s="211">
        <f t="shared" si="113"/>
        <v>1</v>
      </c>
      <c r="AO251" s="211">
        <f t="shared" si="114"/>
        <v>1</v>
      </c>
    </row>
    <row r="252" spans="1:41" ht="24.95" customHeight="1" x14ac:dyDescent="0.25">
      <c r="B252" s="212">
        <v>7</v>
      </c>
      <c r="C252" s="202" t="str">
        <f t="shared" si="98"/>
        <v>TOHIR</v>
      </c>
      <c r="D252" s="213"/>
      <c r="E252" s="214" t="str">
        <f t="shared" si="99"/>
        <v>C</v>
      </c>
      <c r="F252" s="215" t="s">
        <v>36</v>
      </c>
      <c r="G252" s="215"/>
      <c r="H252" s="215" t="s">
        <v>37</v>
      </c>
      <c r="I252" s="215"/>
      <c r="J252" s="215" t="s">
        <v>37</v>
      </c>
      <c r="K252" s="215"/>
      <c r="L252" s="215" t="s">
        <v>37</v>
      </c>
      <c r="M252" s="215"/>
      <c r="N252" s="215" t="s">
        <v>37</v>
      </c>
      <c r="O252" s="215"/>
      <c r="P252" s="215" t="s">
        <v>37</v>
      </c>
      <c r="Q252" s="215"/>
      <c r="R252" s="215" t="s">
        <v>37</v>
      </c>
      <c r="S252" s="215"/>
      <c r="T252" s="216">
        <f t="shared" si="100"/>
        <v>6</v>
      </c>
      <c r="U252" s="351">
        <f t="shared" si="101"/>
        <v>0</v>
      </c>
      <c r="V252" s="217" t="str">
        <f t="shared" si="102"/>
        <v>Rp</v>
      </c>
      <c r="W252" s="218">
        <f t="shared" si="103"/>
        <v>115000</v>
      </c>
      <c r="X252" s="217" t="str">
        <f t="shared" si="104"/>
        <v>Rp</v>
      </c>
      <c r="Y252" s="218">
        <f t="shared" si="105"/>
        <v>10000</v>
      </c>
      <c r="Z252" s="217" t="str">
        <f t="shared" si="106"/>
        <v>Rp</v>
      </c>
      <c r="AA252" s="219">
        <f t="shared" si="107"/>
        <v>690000</v>
      </c>
      <c r="AB252" s="222">
        <v>7</v>
      </c>
      <c r="AC252" s="221"/>
      <c r="AE252" s="211"/>
      <c r="AF252" s="211"/>
      <c r="AI252" s="211">
        <f t="shared" si="108"/>
        <v>0</v>
      </c>
      <c r="AJ252" s="211">
        <f t="shared" si="109"/>
        <v>1</v>
      </c>
      <c r="AK252" s="211">
        <f t="shared" si="110"/>
        <v>1</v>
      </c>
      <c r="AL252" s="211">
        <f t="shared" si="111"/>
        <v>1</v>
      </c>
      <c r="AM252" s="211">
        <f t="shared" si="112"/>
        <v>1</v>
      </c>
      <c r="AN252" s="211">
        <f t="shared" si="113"/>
        <v>1</v>
      </c>
      <c r="AO252" s="211">
        <f t="shared" si="114"/>
        <v>1</v>
      </c>
    </row>
    <row r="253" spans="1:41" ht="24.95" customHeight="1" x14ac:dyDescent="0.25">
      <c r="B253" s="212">
        <v>8</v>
      </c>
      <c r="C253" s="202" t="str">
        <f t="shared" si="98"/>
        <v>ROJALI</v>
      </c>
      <c r="D253" s="213"/>
      <c r="E253" s="214" t="str">
        <f t="shared" si="99"/>
        <v>C</v>
      </c>
      <c r="F253" s="215" t="s">
        <v>36</v>
      </c>
      <c r="G253" s="215"/>
      <c r="H253" s="215" t="s">
        <v>37</v>
      </c>
      <c r="I253" s="215"/>
      <c r="J253" s="215" t="s">
        <v>37</v>
      </c>
      <c r="K253" s="215"/>
      <c r="L253" s="215" t="s">
        <v>36</v>
      </c>
      <c r="M253" s="215"/>
      <c r="N253" s="215" t="s">
        <v>37</v>
      </c>
      <c r="O253" s="215"/>
      <c r="P253" s="215" t="s">
        <v>36</v>
      </c>
      <c r="Q253" s="215"/>
      <c r="R253" s="215" t="s">
        <v>37</v>
      </c>
      <c r="S253" s="215"/>
      <c r="T253" s="216">
        <f>SUM(AI253:AO253)</f>
        <v>4</v>
      </c>
      <c r="U253" s="351">
        <f t="shared" si="101"/>
        <v>0</v>
      </c>
      <c r="V253" s="217" t="str">
        <f t="shared" si="102"/>
        <v>Rp</v>
      </c>
      <c r="W253" s="218">
        <f t="shared" si="103"/>
        <v>115000</v>
      </c>
      <c r="X253" s="217" t="str">
        <f t="shared" si="104"/>
        <v>Rp</v>
      </c>
      <c r="Y253" s="218">
        <f t="shared" si="105"/>
        <v>10000</v>
      </c>
      <c r="Z253" s="217" t="str">
        <f t="shared" si="106"/>
        <v>Rp</v>
      </c>
      <c r="AA253" s="219">
        <f t="shared" si="107"/>
        <v>460000</v>
      </c>
      <c r="AB253" s="222"/>
      <c r="AC253" s="223">
        <v>8</v>
      </c>
      <c r="AE253" s="211"/>
      <c r="AF253" s="211"/>
      <c r="AI253" s="211">
        <f t="shared" si="108"/>
        <v>0</v>
      </c>
      <c r="AJ253" s="211">
        <f t="shared" si="109"/>
        <v>1</v>
      </c>
      <c r="AK253" s="211">
        <f t="shared" si="110"/>
        <v>1</v>
      </c>
      <c r="AL253" s="211">
        <f t="shared" si="111"/>
        <v>0</v>
      </c>
      <c r="AM253" s="211">
        <f t="shared" si="112"/>
        <v>1</v>
      </c>
      <c r="AN253" s="211">
        <f t="shared" si="113"/>
        <v>0</v>
      </c>
      <c r="AO253" s="211">
        <f t="shared" si="114"/>
        <v>1</v>
      </c>
    </row>
    <row r="254" spans="1:41" ht="24.95" customHeight="1" x14ac:dyDescent="0.25">
      <c r="B254" s="212">
        <v>9</v>
      </c>
      <c r="C254" s="202">
        <f t="shared" si="98"/>
        <v>0</v>
      </c>
      <c r="D254" s="213"/>
      <c r="E254" s="214">
        <f t="shared" si="99"/>
        <v>0</v>
      </c>
      <c r="F254" s="215"/>
      <c r="G254" s="215"/>
      <c r="H254" s="215"/>
      <c r="I254" s="215"/>
      <c r="J254" s="215"/>
      <c r="K254" s="215"/>
      <c r="L254" s="215"/>
      <c r="M254" s="215"/>
      <c r="N254" s="215"/>
      <c r="O254" s="215"/>
      <c r="P254" s="215"/>
      <c r="Q254" s="215"/>
      <c r="R254" s="215"/>
      <c r="S254" s="215"/>
      <c r="T254" s="216">
        <f>SUM(AI254:AO254)</f>
        <v>0</v>
      </c>
      <c r="U254" s="351">
        <f t="shared" si="101"/>
        <v>0</v>
      </c>
      <c r="V254" s="217" t="str">
        <f t="shared" si="102"/>
        <v xml:space="preserve"> </v>
      </c>
      <c r="W254" s="218">
        <f t="shared" si="103"/>
        <v>0</v>
      </c>
      <c r="X254" s="217" t="str">
        <f t="shared" si="104"/>
        <v xml:space="preserve"> </v>
      </c>
      <c r="Y254" s="218">
        <f t="shared" si="105"/>
        <v>0</v>
      </c>
      <c r="Z254" s="217" t="str">
        <f t="shared" si="106"/>
        <v xml:space="preserve"> </v>
      </c>
      <c r="AA254" s="219">
        <f t="shared" si="107"/>
        <v>0</v>
      </c>
      <c r="AB254" s="222"/>
      <c r="AC254" s="221"/>
      <c r="AE254" s="211"/>
      <c r="AF254" s="211"/>
      <c r="AI254" s="211" t="b">
        <f t="shared" si="108"/>
        <v>0</v>
      </c>
      <c r="AJ254" s="211" t="b">
        <f t="shared" si="109"/>
        <v>0</v>
      </c>
      <c r="AK254" s="211" t="b">
        <f t="shared" si="110"/>
        <v>0</v>
      </c>
      <c r="AL254" s="211" t="b">
        <f t="shared" si="111"/>
        <v>0</v>
      </c>
      <c r="AM254" s="211" t="b">
        <f t="shared" si="112"/>
        <v>0</v>
      </c>
      <c r="AN254" s="211" t="b">
        <f t="shared" si="113"/>
        <v>0</v>
      </c>
      <c r="AO254" s="211" t="b">
        <f t="shared" si="114"/>
        <v>0</v>
      </c>
    </row>
    <row r="255" spans="1:41" ht="24.95" customHeight="1" x14ac:dyDescent="0.25">
      <c r="B255" s="212">
        <v>10</v>
      </c>
      <c r="C255" s="202">
        <f t="shared" si="98"/>
        <v>0</v>
      </c>
      <c r="D255" s="213"/>
      <c r="E255" s="214">
        <f t="shared" si="99"/>
        <v>0</v>
      </c>
      <c r="F255" s="215"/>
      <c r="G255" s="215"/>
      <c r="H255" s="215"/>
      <c r="I255" s="215"/>
      <c r="J255" s="215"/>
      <c r="K255" s="215"/>
      <c r="L255" s="215"/>
      <c r="M255" s="215"/>
      <c r="N255" s="215"/>
      <c r="O255" s="215"/>
      <c r="P255" s="215"/>
      <c r="Q255" s="215"/>
      <c r="R255" s="215"/>
      <c r="S255" s="215"/>
      <c r="T255" s="216"/>
      <c r="U255" s="352"/>
      <c r="V255" s="217"/>
      <c r="W255" s="218"/>
      <c r="X255" s="217"/>
      <c r="Y255" s="218"/>
      <c r="Z255" s="217" t="str">
        <f t="shared" si="106"/>
        <v xml:space="preserve"> </v>
      </c>
      <c r="AA255" s="219">
        <f t="shared" si="107"/>
        <v>0</v>
      </c>
      <c r="AB255" s="222"/>
      <c r="AC255" s="223"/>
      <c r="AE255" s="211"/>
      <c r="AF255" s="211"/>
      <c r="AI255" s="211" t="b">
        <f t="shared" si="108"/>
        <v>0</v>
      </c>
      <c r="AJ255" s="211" t="b">
        <f t="shared" si="109"/>
        <v>0</v>
      </c>
      <c r="AK255" s="211" t="b">
        <f t="shared" si="110"/>
        <v>0</v>
      </c>
      <c r="AL255" s="211" t="b">
        <f t="shared" si="111"/>
        <v>0</v>
      </c>
      <c r="AM255" s="211" t="b">
        <f t="shared" si="112"/>
        <v>0</v>
      </c>
      <c r="AN255" s="211" t="b">
        <f t="shared" si="113"/>
        <v>0</v>
      </c>
      <c r="AO255" s="211" t="b">
        <f t="shared" si="114"/>
        <v>0</v>
      </c>
    </row>
    <row r="256" spans="1:41" ht="24.95" customHeight="1" x14ac:dyDescent="0.25">
      <c r="B256" s="212">
        <v>11</v>
      </c>
      <c r="C256" s="202">
        <f>C217</f>
        <v>0</v>
      </c>
      <c r="D256" s="213"/>
      <c r="E256" s="214">
        <f>E217</f>
        <v>0</v>
      </c>
      <c r="F256" s="215"/>
      <c r="G256" s="215"/>
      <c r="H256" s="215"/>
      <c r="I256" s="215"/>
      <c r="J256" s="215"/>
      <c r="K256" s="215"/>
      <c r="L256" s="215"/>
      <c r="M256" s="215"/>
      <c r="N256" s="215"/>
      <c r="O256" s="215"/>
      <c r="P256" s="215"/>
      <c r="Q256" s="215"/>
      <c r="R256" s="215"/>
      <c r="S256" s="215"/>
      <c r="T256" s="216">
        <f>SUM(AI256:AO256)</f>
        <v>0</v>
      </c>
      <c r="U256" s="216">
        <f>SUM(F256:S256)/6</f>
        <v>0</v>
      </c>
      <c r="V256" s="217"/>
      <c r="W256" s="218"/>
      <c r="X256" s="217"/>
      <c r="Y256" s="218"/>
      <c r="Z256" s="217" t="str">
        <f>IF(AA256&gt;0,"Rp",IF(AA256=0," "))</f>
        <v xml:space="preserve"> </v>
      </c>
      <c r="AA256" s="219">
        <f>W256*T256+U256*Y256</f>
        <v>0</v>
      </c>
      <c r="AB256" s="222" t="str">
        <f>IF(AA256&gt;0,1,IF(AA256=0," "))</f>
        <v xml:space="preserve"> </v>
      </c>
      <c r="AC256" s="221"/>
      <c r="AE256" s="211"/>
      <c r="AF256" s="211"/>
      <c r="AI256" s="211" t="b">
        <f t="shared" si="108"/>
        <v>0</v>
      </c>
      <c r="AJ256" s="211" t="b">
        <f t="shared" si="109"/>
        <v>0</v>
      </c>
      <c r="AK256" s="211" t="b">
        <f t="shared" si="110"/>
        <v>0</v>
      </c>
      <c r="AL256" s="211" t="b">
        <f t="shared" si="111"/>
        <v>0</v>
      </c>
      <c r="AM256" s="211" t="b">
        <f t="shared" si="112"/>
        <v>0</v>
      </c>
      <c r="AN256" s="211" t="b">
        <f t="shared" si="113"/>
        <v>0</v>
      </c>
      <c r="AO256" s="211" t="b">
        <f t="shared" si="114"/>
        <v>0</v>
      </c>
    </row>
    <row r="257" spans="1:41" ht="24.95" customHeight="1" x14ac:dyDescent="0.25">
      <c r="B257" s="212">
        <v>12</v>
      </c>
      <c r="C257" s="202"/>
      <c r="D257" s="213"/>
      <c r="E257" s="214"/>
      <c r="F257" s="215"/>
      <c r="G257" s="215"/>
      <c r="H257" s="215"/>
      <c r="I257" s="215"/>
      <c r="J257" s="215"/>
      <c r="K257" s="215"/>
      <c r="L257" s="215"/>
      <c r="M257" s="215"/>
      <c r="N257" s="215"/>
      <c r="O257" s="215"/>
      <c r="P257" s="215"/>
      <c r="Q257" s="215"/>
      <c r="R257" s="215"/>
      <c r="S257" s="215"/>
      <c r="T257" s="216">
        <f>SUM(AI257:AO257)</f>
        <v>0</v>
      </c>
      <c r="U257" s="216">
        <f>SUM(F257:S257)/6</f>
        <v>0</v>
      </c>
      <c r="V257" s="217"/>
      <c r="W257" s="218"/>
      <c r="X257" s="217"/>
      <c r="Y257" s="218"/>
      <c r="Z257" s="217" t="str">
        <f>IF(AA257&gt;0,"Rp",IF(AA257=0," "))</f>
        <v xml:space="preserve"> </v>
      </c>
      <c r="AA257" s="219">
        <f>W257*T257+U257*Y257</f>
        <v>0</v>
      </c>
      <c r="AB257" s="222" t="str">
        <f>IF(AA257&gt;0,1,IF(AA257=0," "))</f>
        <v xml:space="preserve"> </v>
      </c>
      <c r="AC257" s="223"/>
      <c r="AE257" s="211"/>
      <c r="AF257" s="211"/>
      <c r="AI257" s="211" t="b">
        <f t="shared" si="108"/>
        <v>0</v>
      </c>
      <c r="AJ257" s="211" t="b">
        <f t="shared" si="109"/>
        <v>0</v>
      </c>
      <c r="AK257" s="211" t="b">
        <f t="shared" si="110"/>
        <v>0</v>
      </c>
      <c r="AL257" s="211" t="b">
        <f t="shared" si="111"/>
        <v>0</v>
      </c>
      <c r="AM257" s="211" t="b">
        <f t="shared" si="112"/>
        <v>0</v>
      </c>
      <c r="AN257" s="211" t="b">
        <f t="shared" si="113"/>
        <v>0</v>
      </c>
      <c r="AO257" s="211" t="b">
        <f t="shared" si="114"/>
        <v>0</v>
      </c>
    </row>
    <row r="258" spans="1:41" ht="24.95" customHeight="1" thickBot="1" x14ac:dyDescent="0.25">
      <c r="B258" s="233"/>
      <c r="C258" s="257"/>
      <c r="D258" s="235"/>
      <c r="E258" s="236"/>
      <c r="F258" s="237"/>
      <c r="G258" s="237"/>
      <c r="H258" s="238"/>
      <c r="I258" s="238"/>
      <c r="J258" s="239"/>
      <c r="K258" s="239"/>
      <c r="L258" s="239"/>
      <c r="M258" s="239"/>
      <c r="N258" s="240"/>
      <c r="O258" s="240"/>
      <c r="P258" s="240"/>
      <c r="Q258" s="240"/>
      <c r="R258" s="240"/>
      <c r="S258" s="353"/>
      <c r="T258" s="259"/>
      <c r="U258" s="259"/>
      <c r="V258" s="242"/>
      <c r="W258" s="258"/>
      <c r="X258" s="242"/>
      <c r="Y258" s="258"/>
      <c r="Z258" s="244"/>
      <c r="AA258" s="236"/>
      <c r="AB258" s="246"/>
      <c r="AC258" s="247"/>
      <c r="AE258" s="211"/>
      <c r="AF258" s="211"/>
    </row>
    <row r="259" spans="1:41" ht="20.100000000000001" customHeight="1" thickTop="1" thickBot="1" x14ac:dyDescent="0.3">
      <c r="A259" s="179">
        <f>A220+1</f>
        <v>7</v>
      </c>
      <c r="B259" s="248"/>
      <c r="C259" s="249"/>
      <c r="D259" s="249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50" t="s">
        <v>40</v>
      </c>
      <c r="X259" s="249"/>
      <c r="Y259" s="250" t="s">
        <v>40</v>
      </c>
      <c r="Z259" s="249"/>
      <c r="AA259" s="710">
        <f>SUM(AA246:AA258)</f>
        <v>5110000</v>
      </c>
      <c r="AB259" s="711"/>
      <c r="AC259" s="712"/>
      <c r="AE259" s="226" t="str">
        <f>VLOOKUP(A259,'Rekap Gaji'!$B$12:$P$32,10,FALSE)</f>
        <v xml:space="preserve"> 18 Oktober 2025</v>
      </c>
      <c r="AF259" s="251" t="e">
        <f>AE259-AA259</f>
        <v>#VALUE!</v>
      </c>
    </row>
    <row r="260" spans="1:41" ht="11.25" customHeight="1" x14ac:dyDescent="0.25"/>
    <row r="261" spans="1:41" ht="16.5" customHeight="1" x14ac:dyDescent="0.25">
      <c r="B261" s="195" t="s">
        <v>41</v>
      </c>
      <c r="C261" s="140" t="s">
        <v>42</v>
      </c>
    </row>
    <row r="262" spans="1:41" ht="14.25" x14ac:dyDescent="0.25">
      <c r="H262" s="183"/>
      <c r="I262" s="183"/>
      <c r="J262" s="182"/>
      <c r="K262" s="182"/>
      <c r="T262" s="141"/>
      <c r="U262" s="141"/>
      <c r="V262" s="141"/>
      <c r="X262" s="141"/>
      <c r="AA262" s="140" t="str">
        <f>'BKU 1'!$I$25</f>
        <v>NGANTANG</v>
      </c>
      <c r="AB262" s="713">
        <f>IFERROR(VLOOKUP(E240,'Rekap Gaji'!$B$12:$P$32,7,FALSE),"-")</f>
        <v>45948</v>
      </c>
      <c r="AC262" s="713"/>
      <c r="AD262" s="252"/>
      <c r="AE262" s="252"/>
    </row>
    <row r="263" spans="1:41" ht="15.75" x14ac:dyDescent="0.25">
      <c r="C263" s="140" t="s">
        <v>43</v>
      </c>
      <c r="F263" s="253"/>
      <c r="G263" s="253"/>
      <c r="H263" s="254"/>
      <c r="I263" s="254"/>
      <c r="J263" s="255"/>
      <c r="K263" s="255"/>
      <c r="L263" s="256"/>
      <c r="M263" s="256"/>
      <c r="N263" s="225" t="s">
        <v>44</v>
      </c>
      <c r="O263" s="225"/>
      <c r="P263" s="253"/>
      <c r="Q263" s="253"/>
      <c r="T263" s="141"/>
      <c r="U263" s="141"/>
      <c r="V263" s="141"/>
      <c r="X263" s="141"/>
      <c r="AA263" s="140" t="str">
        <f>'BKU 1'!$L$354</f>
        <v>Dibuat Oleh ;</v>
      </c>
      <c r="AB263" s="141"/>
    </row>
    <row r="264" spans="1:41" ht="14.25" x14ac:dyDescent="0.25">
      <c r="C264" s="140" t="str">
        <f>'BKU 1'!$C$355</f>
        <v>Kepala Sekolah SDN 1 SIDODADI</v>
      </c>
      <c r="F264" s="187"/>
      <c r="G264" s="187"/>
      <c r="H264" s="224"/>
      <c r="I264" s="224"/>
      <c r="J264" s="182"/>
      <c r="K264" s="182"/>
      <c r="L264" s="183"/>
      <c r="M264" s="183"/>
      <c r="N264" s="140" t="s">
        <v>45</v>
      </c>
      <c r="P264" s="187"/>
      <c r="Q264" s="187"/>
      <c r="AA264" s="140" t="str">
        <f>'BKU 1'!$L$355</f>
        <v>Bendahara Pembangunan</v>
      </c>
      <c r="AB264" s="141"/>
    </row>
    <row r="265" spans="1:41" ht="14.25" x14ac:dyDescent="0.25">
      <c r="F265" s="187"/>
      <c r="G265" s="187"/>
      <c r="H265" s="224"/>
      <c r="I265" s="224"/>
      <c r="J265" s="182"/>
      <c r="K265" s="182"/>
      <c r="L265" s="183"/>
      <c r="M265" s="183"/>
      <c r="P265" s="187"/>
      <c r="Q265" s="187"/>
      <c r="AA265" s="140"/>
      <c r="AB265" s="141"/>
    </row>
    <row r="266" spans="1:41" ht="14.25" x14ac:dyDescent="0.25">
      <c r="F266" s="187"/>
      <c r="G266" s="187"/>
      <c r="H266" s="224"/>
      <c r="I266" s="224"/>
      <c r="J266" s="182"/>
      <c r="K266" s="182"/>
      <c r="L266" s="183"/>
      <c r="M266" s="183"/>
      <c r="P266" s="187"/>
      <c r="Q266" s="187"/>
      <c r="AA266" s="140"/>
      <c r="AB266" s="141"/>
    </row>
    <row r="267" spans="1:41" ht="14.25" x14ac:dyDescent="0.25">
      <c r="F267" s="187"/>
      <c r="G267" s="187"/>
      <c r="H267" s="224"/>
      <c r="I267" s="224"/>
      <c r="J267" s="182"/>
      <c r="K267" s="182"/>
      <c r="L267" s="183"/>
      <c r="M267" s="183"/>
      <c r="P267" s="187"/>
      <c r="Q267" s="187"/>
      <c r="AA267" s="140"/>
      <c r="AB267" s="141"/>
    </row>
    <row r="268" spans="1:41" ht="14.25" x14ac:dyDescent="0.25">
      <c r="F268" s="187"/>
      <c r="G268" s="187"/>
      <c r="H268" s="224"/>
      <c r="I268" s="224"/>
      <c r="J268" s="182"/>
      <c r="K268" s="182"/>
      <c r="L268" s="183"/>
      <c r="M268" s="183"/>
      <c r="P268" s="187"/>
      <c r="Q268" s="187"/>
      <c r="AA268" s="140"/>
      <c r="AB268" s="141"/>
    </row>
    <row r="269" spans="1:41" x14ac:dyDescent="0.25">
      <c r="H269" s="225"/>
      <c r="I269" s="225"/>
      <c r="AA269" s="140"/>
    </row>
    <row r="270" spans="1:41" x14ac:dyDescent="0.25">
      <c r="H270" s="225"/>
      <c r="I270" s="225"/>
      <c r="AA270" s="140"/>
    </row>
    <row r="271" spans="1:41" s="189" customFormat="1" ht="15" customHeight="1" x14ac:dyDescent="0.25">
      <c r="A271" s="192"/>
      <c r="B271" s="195"/>
      <c r="C271" s="227" t="str">
        <f>'BKU 1'!$C$360</f>
        <v>MELIA FITRIANI, S.Pd.SD</v>
      </c>
      <c r="D271" s="227"/>
      <c r="H271" s="228"/>
      <c r="I271" s="228"/>
      <c r="J271" s="195"/>
      <c r="K271" s="195"/>
      <c r="L271" s="194"/>
      <c r="M271" s="194"/>
      <c r="N271" s="229" t="str">
        <f>'BKU 1'!$H$360</f>
        <v>HARTATIK</v>
      </c>
      <c r="O271" s="229"/>
      <c r="AA271" s="227" t="str">
        <f>'BKU 1'!$L$360</f>
        <v>ARIF NUR UDIN, S.Pd.SD</v>
      </c>
      <c r="AC271" s="230"/>
      <c r="AE271" s="231"/>
      <c r="AF271" s="231"/>
    </row>
    <row r="272" spans="1:41" s="189" customFormat="1" ht="15" customHeight="1" x14ac:dyDescent="0.25">
      <c r="A272" s="192"/>
      <c r="B272" s="195"/>
      <c r="C272" s="140" t="str">
        <f>'BKU 1'!$C$361</f>
        <v>NIP. 19850619 200904 2 000</v>
      </c>
      <c r="D272" s="140"/>
      <c r="E272" s="140"/>
      <c r="F272" s="140"/>
      <c r="G272" s="140"/>
      <c r="H272" s="225"/>
      <c r="I272" s="225"/>
      <c r="J272" s="191"/>
      <c r="K272" s="191"/>
      <c r="L272" s="190"/>
      <c r="M272" s="190"/>
      <c r="N272" s="232"/>
      <c r="O272" s="232"/>
      <c r="P272" s="140"/>
      <c r="Q272" s="140"/>
      <c r="T272" s="140"/>
      <c r="U272" s="140"/>
      <c r="V272" s="140"/>
      <c r="W272" s="140"/>
      <c r="X272" s="140"/>
      <c r="Y272" s="140"/>
      <c r="Z272" s="140"/>
      <c r="AA272" s="140" t="str">
        <f>'BKU 1'!$L$361</f>
        <v>NIP. 19840719 200903 1 002</v>
      </c>
      <c r="AC272" s="230"/>
      <c r="AE272" s="231"/>
      <c r="AF272" s="231"/>
    </row>
    <row r="273" spans="1:41" ht="6" customHeight="1" x14ac:dyDescent="0.25"/>
    <row r="274" spans="1:41" s="177" customFormat="1" ht="24.95" customHeight="1" x14ac:dyDescent="0.25">
      <c r="A274" s="176"/>
      <c r="B274" s="726" t="s">
        <v>6</v>
      </c>
      <c r="C274" s="726"/>
      <c r="D274" s="726"/>
      <c r="E274" s="726"/>
      <c r="F274" s="726"/>
      <c r="G274" s="726"/>
      <c r="H274" s="726"/>
      <c r="I274" s="726"/>
      <c r="J274" s="726"/>
      <c r="K274" s="726"/>
      <c r="L274" s="726"/>
      <c r="M274" s="726"/>
      <c r="N274" s="726"/>
      <c r="O274" s="726"/>
      <c r="P274" s="726"/>
      <c r="Q274" s="726"/>
      <c r="R274" s="726"/>
      <c r="S274" s="726"/>
      <c r="T274" s="726"/>
      <c r="U274" s="726"/>
      <c r="V274" s="726"/>
      <c r="W274" s="726"/>
      <c r="X274" s="726"/>
      <c r="Y274" s="726"/>
      <c r="Z274" s="726"/>
      <c r="AA274" s="726"/>
      <c r="AB274" s="726"/>
      <c r="AC274" s="726"/>
      <c r="AE274" s="178"/>
      <c r="AF274" s="178"/>
    </row>
    <row r="275" spans="1:41" s="177" customFormat="1" ht="24.95" customHeight="1" x14ac:dyDescent="0.25">
      <c r="A275" s="176"/>
      <c r="B275" s="726" t="str">
        <f>'BKU 1'!$D$22</f>
        <v>PEMBANGUNAN TOILET BESERTA SANITASINYA</v>
      </c>
      <c r="C275" s="726"/>
      <c r="D275" s="726"/>
      <c r="E275" s="726"/>
      <c r="F275" s="726"/>
      <c r="G275" s="726"/>
      <c r="H275" s="726"/>
      <c r="I275" s="726"/>
      <c r="J275" s="726"/>
      <c r="K275" s="726"/>
      <c r="L275" s="726"/>
      <c r="M275" s="726"/>
      <c r="N275" s="726"/>
      <c r="O275" s="726"/>
      <c r="P275" s="726"/>
      <c r="Q275" s="726"/>
      <c r="R275" s="726"/>
      <c r="S275" s="726"/>
      <c r="T275" s="726"/>
      <c r="U275" s="726"/>
      <c r="V275" s="726"/>
      <c r="W275" s="726"/>
      <c r="X275" s="726"/>
      <c r="Y275" s="726"/>
      <c r="Z275" s="726"/>
      <c r="AA275" s="726"/>
      <c r="AB275" s="726"/>
      <c r="AC275" s="726"/>
      <c r="AE275" s="178"/>
      <c r="AF275" s="178"/>
    </row>
    <row r="276" spans="1:41" s="184" customFormat="1" ht="30.75" customHeight="1" x14ac:dyDescent="0.25">
      <c r="A276" s="179"/>
      <c r="B276" s="180"/>
      <c r="C276" s="181"/>
      <c r="D276" s="181"/>
      <c r="E276" s="181"/>
      <c r="F276" s="182"/>
      <c r="G276" s="182"/>
      <c r="H276" s="183"/>
      <c r="I276" s="183"/>
      <c r="J276" s="182"/>
      <c r="K276" s="182"/>
      <c r="L276" s="183"/>
      <c r="M276" s="183"/>
      <c r="N276" s="182"/>
      <c r="O276" s="182"/>
      <c r="P276" s="182"/>
      <c r="Q276" s="182"/>
      <c r="R276" s="182"/>
      <c r="S276" s="182"/>
      <c r="T276" s="181"/>
      <c r="U276" s="181"/>
      <c r="V276" s="181"/>
      <c r="X276" s="181"/>
      <c r="AA276" s="180"/>
      <c r="AB276" s="140"/>
      <c r="AC276" s="185"/>
      <c r="AE276" s="186"/>
      <c r="AF276" s="186"/>
    </row>
    <row r="277" spans="1:41" s="184" customFormat="1" ht="14.25" x14ac:dyDescent="0.25">
      <c r="A277" s="179"/>
      <c r="B277" s="185" t="s">
        <v>7</v>
      </c>
      <c r="D277" s="184" t="s">
        <v>49</v>
      </c>
      <c r="E277" s="184" t="str">
        <f>'BKU 1'!$D$25</f>
        <v>SDN 1 SIDODADI</v>
      </c>
      <c r="F277" s="140"/>
      <c r="G277" s="140"/>
      <c r="H277" s="183"/>
      <c r="I277" s="183"/>
      <c r="J277" s="182"/>
      <c r="K277" s="182"/>
      <c r="L277" s="183"/>
      <c r="M277" s="183"/>
      <c r="N277" s="187"/>
      <c r="O277" s="187"/>
      <c r="P277" s="187"/>
      <c r="Q277" s="187"/>
      <c r="R277" s="187"/>
      <c r="S277" s="187"/>
      <c r="T277" s="188"/>
      <c r="U277" s="188"/>
      <c r="V277" s="188"/>
      <c r="X277" s="188"/>
      <c r="AA277" s="180"/>
      <c r="AB277" s="189" t="s">
        <v>8</v>
      </c>
      <c r="AC277" s="185"/>
      <c r="AE277" s="186"/>
      <c r="AF277" s="186"/>
    </row>
    <row r="278" spans="1:41" s="184" customFormat="1" x14ac:dyDescent="0.25">
      <c r="A278" s="179"/>
      <c r="B278" s="185" t="s">
        <v>9</v>
      </c>
      <c r="D278" s="184" t="s">
        <v>49</v>
      </c>
      <c r="E278" s="184" t="str">
        <f>'BKU 1'!$D$26</f>
        <v>Jl. Kawi No.36 Rt. 1 Rw. 1 Dusun Sekar, Rt / Rw : 1 / 1, Dusun : Sekar, Kelurahan : Sidodadi</v>
      </c>
      <c r="F278" s="140"/>
      <c r="G278" s="140"/>
      <c r="H278" s="190"/>
      <c r="I278" s="190"/>
      <c r="J278" s="191"/>
      <c r="K278" s="191"/>
      <c r="L278" s="190"/>
      <c r="M278" s="190"/>
      <c r="N278" s="140"/>
      <c r="O278" s="140"/>
      <c r="P278" s="140"/>
      <c r="Q278" s="140"/>
      <c r="R278" s="140"/>
      <c r="S278" s="140"/>
      <c r="AA278" s="180"/>
      <c r="AB278" s="140" t="s">
        <v>10</v>
      </c>
      <c r="AC278" s="185" t="s">
        <v>11</v>
      </c>
      <c r="AE278" s="186"/>
      <c r="AF278" s="186"/>
    </row>
    <row r="279" spans="1:41" s="184" customFormat="1" x14ac:dyDescent="0.25">
      <c r="A279" s="179"/>
      <c r="B279" s="185" t="s">
        <v>12</v>
      </c>
      <c r="D279" s="184" t="s">
        <v>49</v>
      </c>
      <c r="E279" s="180">
        <f>E240+1</f>
        <v>8</v>
      </c>
      <c r="F279" s="140"/>
      <c r="G279" s="140"/>
      <c r="H279" s="727">
        <f>IFERROR(VLOOKUP(E279,'Rekap Gaji'!$B$12:$P$32,14,FALSE),"-")</f>
        <v>0</v>
      </c>
      <c r="I279" s="727"/>
      <c r="J279" s="727"/>
      <c r="K279" s="727"/>
      <c r="L279" s="727"/>
      <c r="M279" s="191"/>
      <c r="N279" s="140"/>
      <c r="O279" s="140"/>
      <c r="P279" s="140"/>
      <c r="Q279" s="140"/>
      <c r="R279" s="140"/>
      <c r="S279" s="140"/>
      <c r="AA279" s="180"/>
      <c r="AB279" s="140" t="s">
        <v>13</v>
      </c>
      <c r="AC279" s="185" t="s">
        <v>14</v>
      </c>
      <c r="AE279" s="186"/>
      <c r="AF279" s="186"/>
    </row>
    <row r="280" spans="1:41" s="184" customFormat="1" ht="15" customHeight="1" x14ac:dyDescent="0.25">
      <c r="A280" s="179"/>
      <c r="B280" s="185" t="s">
        <v>0</v>
      </c>
      <c r="D280" s="184" t="s">
        <v>49</v>
      </c>
      <c r="E280" s="728">
        <f>IFERROR(VLOOKUP(E279,'Rekap Gaji'!$B$12:$P$32,4,FALSE),"-")</f>
        <v>45949</v>
      </c>
      <c r="F280" s="728"/>
      <c r="G280" s="728"/>
      <c r="H280" s="728"/>
      <c r="I280" s="728"/>
      <c r="J280" s="728"/>
      <c r="K280" s="339"/>
      <c r="L280" s="727" t="s">
        <v>76</v>
      </c>
      <c r="M280" s="727"/>
      <c r="N280" s="727"/>
      <c r="O280" s="191"/>
      <c r="P280" s="728">
        <f>IFERROR(VLOOKUP(E279,'Rekap Gaji'!$B$12:$P$32,6,FALSE),"-")</f>
        <v>45955</v>
      </c>
      <c r="Q280" s="728"/>
      <c r="R280" s="728"/>
      <c r="S280" s="728"/>
      <c r="T280" s="728"/>
      <c r="U280" s="728"/>
      <c r="V280" s="728"/>
      <c r="AA280" s="180"/>
      <c r="AB280" s="140" t="s">
        <v>15</v>
      </c>
      <c r="AC280" s="185" t="s">
        <v>16</v>
      </c>
      <c r="AE280" s="186"/>
      <c r="AF280" s="186"/>
    </row>
    <row r="281" spans="1:41" s="188" customFormat="1" ht="8.1" customHeight="1" thickBot="1" x14ac:dyDescent="0.3">
      <c r="A281" s="192"/>
      <c r="B281" s="193"/>
      <c r="F281" s="189"/>
      <c r="G281" s="189"/>
      <c r="H281" s="194"/>
      <c r="I281" s="194"/>
      <c r="J281" s="195"/>
      <c r="K281" s="195"/>
      <c r="L281" s="194"/>
      <c r="M281" s="194"/>
      <c r="N281" s="189"/>
      <c r="O281" s="189"/>
      <c r="P281" s="189"/>
      <c r="Q281" s="189"/>
      <c r="R281" s="189"/>
      <c r="S281" s="189"/>
      <c r="AA281" s="193"/>
      <c r="AB281" s="189"/>
      <c r="AC281" s="196"/>
      <c r="AE281" s="197"/>
      <c r="AF281" s="197"/>
    </row>
    <row r="282" spans="1:41" s="343" customFormat="1" ht="15" customHeight="1" x14ac:dyDescent="0.25">
      <c r="A282" s="340"/>
      <c r="B282" s="744" t="s">
        <v>17</v>
      </c>
      <c r="C282" s="735" t="s">
        <v>18</v>
      </c>
      <c r="D282" s="747"/>
      <c r="E282" s="342" t="s">
        <v>19</v>
      </c>
      <c r="F282" s="714" t="s">
        <v>20</v>
      </c>
      <c r="G282" s="715"/>
      <c r="H282" s="715"/>
      <c r="I282" s="715"/>
      <c r="J282" s="715"/>
      <c r="K282" s="715"/>
      <c r="L282" s="715"/>
      <c r="M282" s="715"/>
      <c r="N282" s="715"/>
      <c r="O282" s="715"/>
      <c r="P282" s="715"/>
      <c r="Q282" s="715"/>
      <c r="R282" s="715"/>
      <c r="S282" s="716"/>
      <c r="T282" s="341" t="s">
        <v>2</v>
      </c>
      <c r="U282" s="341" t="s">
        <v>474</v>
      </c>
      <c r="V282" s="735" t="s">
        <v>21</v>
      </c>
      <c r="W282" s="747"/>
      <c r="X282" s="735" t="s">
        <v>21</v>
      </c>
      <c r="Y282" s="747"/>
      <c r="Z282" s="735" t="s">
        <v>22</v>
      </c>
      <c r="AA282" s="747"/>
      <c r="AB282" s="735" t="s">
        <v>23</v>
      </c>
      <c r="AC282" s="736"/>
      <c r="AE282" s="344"/>
      <c r="AF282" s="344"/>
    </row>
    <row r="283" spans="1:41" s="343" customFormat="1" ht="28.9" customHeight="1" x14ac:dyDescent="0.25">
      <c r="A283" s="340"/>
      <c r="B283" s="745"/>
      <c r="C283" s="737"/>
      <c r="D283" s="743"/>
      <c r="E283" s="346" t="s">
        <v>24</v>
      </c>
      <c r="F283" s="741" t="s">
        <v>25</v>
      </c>
      <c r="G283" s="347" t="s">
        <v>475</v>
      </c>
      <c r="H283" s="741" t="s">
        <v>26</v>
      </c>
      <c r="I283" s="347" t="s">
        <v>475</v>
      </c>
      <c r="J283" s="741" t="s">
        <v>26</v>
      </c>
      <c r="K283" s="347" t="s">
        <v>475</v>
      </c>
      <c r="L283" s="741" t="s">
        <v>27</v>
      </c>
      <c r="M283" s="347" t="s">
        <v>475</v>
      </c>
      <c r="N283" s="741" t="s">
        <v>28</v>
      </c>
      <c r="O283" s="347" t="s">
        <v>475</v>
      </c>
      <c r="P283" s="741" t="s">
        <v>29</v>
      </c>
      <c r="Q283" s="347" t="s">
        <v>475</v>
      </c>
      <c r="R283" s="741" t="s">
        <v>26</v>
      </c>
      <c r="S283" s="347" t="s">
        <v>475</v>
      </c>
      <c r="T283" s="345" t="s">
        <v>30</v>
      </c>
      <c r="U283" s="345" t="s">
        <v>476</v>
      </c>
      <c r="V283" s="737" t="s">
        <v>455</v>
      </c>
      <c r="W283" s="743"/>
      <c r="X283" s="737" t="s">
        <v>477</v>
      </c>
      <c r="Y283" s="743"/>
      <c r="Z283" s="737" t="s">
        <v>31</v>
      </c>
      <c r="AA283" s="743"/>
      <c r="AB283" s="737"/>
      <c r="AC283" s="738"/>
      <c r="AE283" s="344"/>
      <c r="AF283" s="344"/>
    </row>
    <row r="284" spans="1:41" s="343" customFormat="1" ht="15" customHeight="1" thickBot="1" x14ac:dyDescent="0.3">
      <c r="A284" s="340"/>
      <c r="B284" s="746"/>
      <c r="C284" s="739"/>
      <c r="D284" s="748"/>
      <c r="E284" s="349" t="s">
        <v>32</v>
      </c>
      <c r="F284" s="742"/>
      <c r="G284" s="350" t="s">
        <v>478</v>
      </c>
      <c r="H284" s="742"/>
      <c r="I284" s="350" t="s">
        <v>478</v>
      </c>
      <c r="J284" s="742"/>
      <c r="K284" s="350" t="s">
        <v>478</v>
      </c>
      <c r="L284" s="742"/>
      <c r="M284" s="350" t="s">
        <v>478</v>
      </c>
      <c r="N284" s="742"/>
      <c r="O284" s="350" t="s">
        <v>478</v>
      </c>
      <c r="P284" s="742"/>
      <c r="Q284" s="350" t="s">
        <v>478</v>
      </c>
      <c r="R284" s="742"/>
      <c r="S284" s="350" t="s">
        <v>478</v>
      </c>
      <c r="T284" s="348" t="s">
        <v>31</v>
      </c>
      <c r="U284" s="348" t="s">
        <v>479</v>
      </c>
      <c r="V284" s="739" t="s">
        <v>33</v>
      </c>
      <c r="W284" s="748"/>
      <c r="X284" s="739" t="s">
        <v>33</v>
      </c>
      <c r="Y284" s="748"/>
      <c r="Z284" s="739" t="s">
        <v>34</v>
      </c>
      <c r="AA284" s="748"/>
      <c r="AB284" s="739"/>
      <c r="AC284" s="740"/>
      <c r="AE284" s="344"/>
      <c r="AF284" s="344"/>
    </row>
    <row r="285" spans="1:41" ht="24.95" customHeight="1" x14ac:dyDescent="0.25">
      <c r="B285" s="201">
        <v>1</v>
      </c>
      <c r="C285" s="202" t="str">
        <f>C246</f>
        <v>KUSMAN H</v>
      </c>
      <c r="D285" s="203"/>
      <c r="E285" s="204" t="str">
        <f>E246</f>
        <v>A</v>
      </c>
      <c r="F285" s="205" t="s">
        <v>36</v>
      </c>
      <c r="G285" s="205"/>
      <c r="H285" s="205" t="s">
        <v>37</v>
      </c>
      <c r="I285" s="205"/>
      <c r="J285" s="205" t="s">
        <v>37</v>
      </c>
      <c r="K285" s="205"/>
      <c r="L285" s="205" t="s">
        <v>37</v>
      </c>
      <c r="M285" s="205"/>
      <c r="N285" s="205" t="s">
        <v>37</v>
      </c>
      <c r="O285" s="205"/>
      <c r="P285" s="205" t="s">
        <v>37</v>
      </c>
      <c r="Q285" s="205"/>
      <c r="R285" s="205" t="s">
        <v>37</v>
      </c>
      <c r="S285" s="205"/>
      <c r="T285" s="206">
        <f>SUM(AI285:AO285)</f>
        <v>6</v>
      </c>
      <c r="U285" s="206">
        <f>SUM(F285:S285)</f>
        <v>0</v>
      </c>
      <c r="V285" s="207" t="str">
        <f>IF(W285&gt;0,"Rp",IF(W285=0," "))</f>
        <v>Rp</v>
      </c>
      <c r="W285" s="208">
        <f>W246</f>
        <v>135000</v>
      </c>
      <c r="X285" s="207" t="str">
        <f>IF(Y285&gt;0,"Rp",IF(Y285=0," "))</f>
        <v>Rp</v>
      </c>
      <c r="Y285" s="208">
        <f>Y246</f>
        <v>20000</v>
      </c>
      <c r="Z285" s="207" t="str">
        <f>IF(AA285&gt;0,"Rp",IF(AA285=0," "))</f>
        <v>Rp</v>
      </c>
      <c r="AA285" s="208">
        <f>W285*T285+U285*Y285</f>
        <v>810000</v>
      </c>
      <c r="AB285" s="209">
        <v>1</v>
      </c>
      <c r="AC285" s="210"/>
      <c r="AE285" s="211"/>
      <c r="AF285" s="211"/>
      <c r="AI285" s="211">
        <f>IFERROR(IF(F285="V",1,IF(F285="X",0))," ")</f>
        <v>0</v>
      </c>
      <c r="AJ285" s="211">
        <f>IFERROR(IF(H285="V",1,IF(H285="X",0))," ")</f>
        <v>1</v>
      </c>
      <c r="AK285" s="211">
        <f>IFERROR(IF(J285="V",1,IF(J285="X",0))," ")</f>
        <v>1</v>
      </c>
      <c r="AL285" s="211">
        <f>IFERROR(IF(L285="V",1,IF(L285="X",0))," ")</f>
        <v>1</v>
      </c>
      <c r="AM285" s="211">
        <f>IFERROR(IF(N285="V",1,IF(N285="X",0))," ")</f>
        <v>1</v>
      </c>
      <c r="AN285" s="211">
        <f>IFERROR(IF(P285="V",1,IF(P285="X",0))," ")</f>
        <v>1</v>
      </c>
      <c r="AO285" s="211">
        <f>IFERROR(IF(R285="V",1,IF(R285="X",0))," ")</f>
        <v>1</v>
      </c>
    </row>
    <row r="286" spans="1:41" ht="24.95" customHeight="1" x14ac:dyDescent="0.25">
      <c r="B286" s="212">
        <v>2</v>
      </c>
      <c r="C286" s="202" t="str">
        <f t="shared" ref="C286:C294" si="115">C247</f>
        <v>BUSANI</v>
      </c>
      <c r="D286" s="213"/>
      <c r="E286" s="214" t="str">
        <f t="shared" ref="E286:E294" si="116">E247</f>
        <v>B</v>
      </c>
      <c r="F286" s="215" t="s">
        <v>36</v>
      </c>
      <c r="G286" s="215"/>
      <c r="H286" s="215" t="s">
        <v>37</v>
      </c>
      <c r="I286" s="215"/>
      <c r="J286" s="215" t="s">
        <v>36</v>
      </c>
      <c r="K286" s="215"/>
      <c r="L286" s="215" t="s">
        <v>37</v>
      </c>
      <c r="M286" s="215"/>
      <c r="N286" s="215" t="s">
        <v>37</v>
      </c>
      <c r="O286" s="215"/>
      <c r="P286" s="215" t="s">
        <v>37</v>
      </c>
      <c r="Q286" s="215"/>
      <c r="R286" s="215" t="s">
        <v>36</v>
      </c>
      <c r="S286" s="215"/>
      <c r="T286" s="216">
        <f t="shared" ref="T286:T292" si="117">SUM(AI286:AO286)</f>
        <v>4</v>
      </c>
      <c r="U286" s="351">
        <f t="shared" ref="U286:U293" si="118">SUM(F286:S286)</f>
        <v>0</v>
      </c>
      <c r="V286" s="217" t="str">
        <f t="shared" ref="V286:V293" si="119">IF(W286&gt;0,"Rp",IF(W286=0," "))</f>
        <v>Rp</v>
      </c>
      <c r="W286" s="218">
        <f t="shared" ref="W286:W293" si="120">W247</f>
        <v>125000</v>
      </c>
      <c r="X286" s="217" t="str">
        <f t="shared" ref="X286:X293" si="121">IF(Y286&gt;0,"Rp",IF(Y286=0," "))</f>
        <v>Rp</v>
      </c>
      <c r="Y286" s="218">
        <f t="shared" ref="Y286:Y293" si="122">Y247</f>
        <v>15000</v>
      </c>
      <c r="Z286" s="217" t="str">
        <f t="shared" ref="Z286:Z294" si="123">IF(AA286&gt;0,"Rp",IF(AA286=0," "))</f>
        <v>Rp</v>
      </c>
      <c r="AA286" s="219">
        <f t="shared" ref="AA286:AA294" si="124">W286*T286+U286*Y286</f>
        <v>500000</v>
      </c>
      <c r="AB286" s="220"/>
      <c r="AC286" s="221">
        <v>2</v>
      </c>
      <c r="AE286" s="211"/>
      <c r="AF286" s="211"/>
      <c r="AI286" s="211">
        <f t="shared" ref="AI286:AI296" si="125">IFERROR(IF(F286="V",1,IF(F286="X",0))," ")</f>
        <v>0</v>
      </c>
      <c r="AJ286" s="211">
        <f t="shared" ref="AJ286:AJ296" si="126">IFERROR(IF(H286="V",1,IF(H286="X",0))," ")</f>
        <v>1</v>
      </c>
      <c r="AK286" s="211">
        <f t="shared" ref="AK286:AK296" si="127">IFERROR(IF(J286="V",1,IF(J286="X",0))," ")</f>
        <v>0</v>
      </c>
      <c r="AL286" s="211">
        <f t="shared" ref="AL286:AL296" si="128">IFERROR(IF(L286="V",1,IF(L286="X",0))," ")</f>
        <v>1</v>
      </c>
      <c r="AM286" s="211">
        <f t="shared" ref="AM286:AM296" si="129">IFERROR(IF(N286="V",1,IF(N286="X",0))," ")</f>
        <v>1</v>
      </c>
      <c r="AN286" s="211">
        <f t="shared" ref="AN286:AN296" si="130">IFERROR(IF(P286="V",1,IF(P286="X",0))," ")</f>
        <v>1</v>
      </c>
      <c r="AO286" s="211">
        <f t="shared" ref="AO286:AO296" si="131">IFERROR(IF(R286="V",1,IF(R286="X",0))," ")</f>
        <v>0</v>
      </c>
    </row>
    <row r="287" spans="1:41" ht="24.95" customHeight="1" x14ac:dyDescent="0.25">
      <c r="B287" s="212">
        <v>3</v>
      </c>
      <c r="C287" s="202" t="str">
        <f t="shared" si="115"/>
        <v>LASMARI</v>
      </c>
      <c r="D287" s="213"/>
      <c r="E287" s="214" t="str">
        <f t="shared" si="116"/>
        <v>B</v>
      </c>
      <c r="F287" s="215" t="s">
        <v>36</v>
      </c>
      <c r="G287" s="215"/>
      <c r="H287" s="215" t="s">
        <v>37</v>
      </c>
      <c r="I287" s="215"/>
      <c r="J287" s="215" t="s">
        <v>37</v>
      </c>
      <c r="K287" s="215"/>
      <c r="L287" s="215" t="s">
        <v>37</v>
      </c>
      <c r="M287" s="215"/>
      <c r="N287" s="215" t="s">
        <v>37</v>
      </c>
      <c r="O287" s="215"/>
      <c r="P287" s="215" t="s">
        <v>36</v>
      </c>
      <c r="Q287" s="215"/>
      <c r="R287" s="215" t="s">
        <v>36</v>
      </c>
      <c r="S287" s="215"/>
      <c r="T287" s="216">
        <f t="shared" si="117"/>
        <v>4</v>
      </c>
      <c r="U287" s="351">
        <f t="shared" si="118"/>
        <v>0</v>
      </c>
      <c r="V287" s="217" t="str">
        <f t="shared" si="119"/>
        <v>Rp</v>
      </c>
      <c r="W287" s="218">
        <f t="shared" si="120"/>
        <v>125000</v>
      </c>
      <c r="X287" s="217" t="str">
        <f t="shared" si="121"/>
        <v>Rp</v>
      </c>
      <c r="Y287" s="218">
        <f t="shared" si="122"/>
        <v>15000</v>
      </c>
      <c r="Z287" s="217" t="str">
        <f t="shared" si="123"/>
        <v>Rp</v>
      </c>
      <c r="AA287" s="219">
        <f t="shared" si="124"/>
        <v>500000</v>
      </c>
      <c r="AB287" s="222">
        <v>3</v>
      </c>
      <c r="AC287" s="221"/>
      <c r="AE287" s="211"/>
      <c r="AF287" s="211"/>
      <c r="AI287" s="211">
        <f t="shared" si="125"/>
        <v>0</v>
      </c>
      <c r="AJ287" s="211">
        <f t="shared" si="126"/>
        <v>1</v>
      </c>
      <c r="AK287" s="211">
        <f t="shared" si="127"/>
        <v>1</v>
      </c>
      <c r="AL287" s="211">
        <f t="shared" si="128"/>
        <v>1</v>
      </c>
      <c r="AM287" s="211">
        <f t="shared" si="129"/>
        <v>1</v>
      </c>
      <c r="AN287" s="211">
        <f t="shared" si="130"/>
        <v>0</v>
      </c>
      <c r="AO287" s="211">
        <f t="shared" si="131"/>
        <v>0</v>
      </c>
    </row>
    <row r="288" spans="1:41" ht="24.95" customHeight="1" x14ac:dyDescent="0.25">
      <c r="B288" s="212">
        <v>4</v>
      </c>
      <c r="C288" s="202" t="str">
        <f t="shared" si="115"/>
        <v>SUMARTO</v>
      </c>
      <c r="D288" s="213"/>
      <c r="E288" s="214" t="str">
        <f t="shared" si="116"/>
        <v>B</v>
      </c>
      <c r="F288" s="215" t="s">
        <v>36</v>
      </c>
      <c r="G288" s="215"/>
      <c r="H288" s="215" t="s">
        <v>37</v>
      </c>
      <c r="I288" s="215"/>
      <c r="J288" s="215" t="s">
        <v>37</v>
      </c>
      <c r="K288" s="215"/>
      <c r="L288" s="215" t="s">
        <v>37</v>
      </c>
      <c r="M288" s="215"/>
      <c r="N288" s="215" t="s">
        <v>37</v>
      </c>
      <c r="O288" s="215"/>
      <c r="P288" s="215" t="s">
        <v>36</v>
      </c>
      <c r="Q288" s="215"/>
      <c r="R288" s="215" t="s">
        <v>36</v>
      </c>
      <c r="S288" s="215"/>
      <c r="T288" s="216">
        <f t="shared" si="117"/>
        <v>4</v>
      </c>
      <c r="U288" s="351">
        <f t="shared" si="118"/>
        <v>0</v>
      </c>
      <c r="V288" s="217" t="str">
        <f t="shared" si="119"/>
        <v>Rp</v>
      </c>
      <c r="W288" s="218">
        <f t="shared" si="120"/>
        <v>125000</v>
      </c>
      <c r="X288" s="217" t="str">
        <f t="shared" si="121"/>
        <v>Rp</v>
      </c>
      <c r="Y288" s="218">
        <f t="shared" si="122"/>
        <v>15000</v>
      </c>
      <c r="Z288" s="217" t="str">
        <f t="shared" si="123"/>
        <v>Rp</v>
      </c>
      <c r="AA288" s="219">
        <f t="shared" si="124"/>
        <v>500000</v>
      </c>
      <c r="AB288" s="222"/>
      <c r="AC288" s="223">
        <v>4</v>
      </c>
      <c r="AE288" s="211"/>
      <c r="AF288" s="211"/>
      <c r="AI288" s="211">
        <f t="shared" si="125"/>
        <v>0</v>
      </c>
      <c r="AJ288" s="211">
        <f t="shared" si="126"/>
        <v>1</v>
      </c>
      <c r="AK288" s="211">
        <f t="shared" si="127"/>
        <v>1</v>
      </c>
      <c r="AL288" s="211">
        <f t="shared" si="128"/>
        <v>1</v>
      </c>
      <c r="AM288" s="211">
        <f t="shared" si="129"/>
        <v>1</v>
      </c>
      <c r="AN288" s="211">
        <f t="shared" si="130"/>
        <v>0</v>
      </c>
      <c r="AO288" s="211">
        <f t="shared" si="131"/>
        <v>0</v>
      </c>
    </row>
    <row r="289" spans="1:41" ht="24.95" customHeight="1" x14ac:dyDescent="0.25">
      <c r="B289" s="212">
        <v>5</v>
      </c>
      <c r="C289" s="202" t="str">
        <f t="shared" si="115"/>
        <v>TONI</v>
      </c>
      <c r="D289" s="213"/>
      <c r="E289" s="214" t="str">
        <f t="shared" si="116"/>
        <v>C</v>
      </c>
      <c r="F289" s="215" t="s">
        <v>36</v>
      </c>
      <c r="G289" s="215"/>
      <c r="H289" s="215" t="s">
        <v>37</v>
      </c>
      <c r="I289" s="215"/>
      <c r="J289" s="215" t="s">
        <v>37</v>
      </c>
      <c r="K289" s="215"/>
      <c r="L289" s="215" t="s">
        <v>37</v>
      </c>
      <c r="M289" s="215"/>
      <c r="N289" s="215" t="s">
        <v>37</v>
      </c>
      <c r="O289" s="215"/>
      <c r="P289" s="215" t="s">
        <v>37</v>
      </c>
      <c r="Q289" s="215"/>
      <c r="R289" s="215" t="s">
        <v>37</v>
      </c>
      <c r="S289" s="215"/>
      <c r="T289" s="216">
        <f t="shared" si="117"/>
        <v>6</v>
      </c>
      <c r="U289" s="351">
        <f t="shared" si="118"/>
        <v>0</v>
      </c>
      <c r="V289" s="217" t="str">
        <f t="shared" si="119"/>
        <v>Rp</v>
      </c>
      <c r="W289" s="218">
        <f t="shared" si="120"/>
        <v>115000</v>
      </c>
      <c r="X289" s="217" t="str">
        <f t="shared" si="121"/>
        <v>Rp</v>
      </c>
      <c r="Y289" s="218">
        <f t="shared" si="122"/>
        <v>10000</v>
      </c>
      <c r="Z289" s="217" t="str">
        <f t="shared" si="123"/>
        <v>Rp</v>
      </c>
      <c r="AA289" s="219">
        <f t="shared" si="124"/>
        <v>690000</v>
      </c>
      <c r="AB289" s="222">
        <v>5</v>
      </c>
      <c r="AC289" s="221"/>
      <c r="AE289" s="211"/>
      <c r="AF289" s="211"/>
      <c r="AI289" s="211">
        <f t="shared" si="125"/>
        <v>0</v>
      </c>
      <c r="AJ289" s="211">
        <f t="shared" si="126"/>
        <v>1</v>
      </c>
      <c r="AK289" s="211">
        <f t="shared" si="127"/>
        <v>1</v>
      </c>
      <c r="AL289" s="211">
        <f t="shared" si="128"/>
        <v>1</v>
      </c>
      <c r="AM289" s="211">
        <f t="shared" si="129"/>
        <v>1</v>
      </c>
      <c r="AN289" s="211">
        <f t="shared" si="130"/>
        <v>1</v>
      </c>
      <c r="AO289" s="211">
        <f t="shared" si="131"/>
        <v>1</v>
      </c>
    </row>
    <row r="290" spans="1:41" ht="24.95" customHeight="1" x14ac:dyDescent="0.25">
      <c r="B290" s="212">
        <v>6</v>
      </c>
      <c r="C290" s="202" t="str">
        <f t="shared" si="115"/>
        <v>SAKIM</v>
      </c>
      <c r="D290" s="213"/>
      <c r="E290" s="214" t="str">
        <f t="shared" si="116"/>
        <v>C</v>
      </c>
      <c r="F290" s="215" t="s">
        <v>36</v>
      </c>
      <c r="G290" s="215"/>
      <c r="H290" s="215" t="s">
        <v>36</v>
      </c>
      <c r="I290" s="215"/>
      <c r="J290" s="215" t="s">
        <v>37</v>
      </c>
      <c r="K290" s="215"/>
      <c r="L290" s="215" t="s">
        <v>37</v>
      </c>
      <c r="M290" s="215"/>
      <c r="N290" s="215" t="s">
        <v>37</v>
      </c>
      <c r="O290" s="215"/>
      <c r="P290" s="215" t="s">
        <v>37</v>
      </c>
      <c r="Q290" s="215"/>
      <c r="R290" s="215" t="s">
        <v>36</v>
      </c>
      <c r="S290" s="215"/>
      <c r="T290" s="216">
        <f t="shared" si="117"/>
        <v>4</v>
      </c>
      <c r="U290" s="351">
        <f t="shared" si="118"/>
        <v>0</v>
      </c>
      <c r="V290" s="217" t="str">
        <f t="shared" si="119"/>
        <v>Rp</v>
      </c>
      <c r="W290" s="218">
        <f t="shared" si="120"/>
        <v>115000</v>
      </c>
      <c r="X290" s="217" t="str">
        <f t="shared" si="121"/>
        <v>Rp</v>
      </c>
      <c r="Y290" s="218">
        <f t="shared" si="122"/>
        <v>10000</v>
      </c>
      <c r="Z290" s="217" t="str">
        <f t="shared" si="123"/>
        <v>Rp</v>
      </c>
      <c r="AA290" s="219">
        <f t="shared" si="124"/>
        <v>460000</v>
      </c>
      <c r="AB290" s="222"/>
      <c r="AC290" s="223"/>
      <c r="AE290" s="211"/>
      <c r="AF290" s="211"/>
      <c r="AI290" s="211">
        <f t="shared" si="125"/>
        <v>0</v>
      </c>
      <c r="AJ290" s="211">
        <f t="shared" si="126"/>
        <v>0</v>
      </c>
      <c r="AK290" s="211">
        <f t="shared" si="127"/>
        <v>1</v>
      </c>
      <c r="AL290" s="211">
        <f t="shared" si="128"/>
        <v>1</v>
      </c>
      <c r="AM290" s="211">
        <f t="shared" si="129"/>
        <v>1</v>
      </c>
      <c r="AN290" s="211">
        <f t="shared" si="130"/>
        <v>1</v>
      </c>
      <c r="AO290" s="211">
        <f t="shared" si="131"/>
        <v>0</v>
      </c>
    </row>
    <row r="291" spans="1:41" ht="24.95" customHeight="1" x14ac:dyDescent="0.25">
      <c r="B291" s="212">
        <v>7</v>
      </c>
      <c r="C291" s="202" t="str">
        <f t="shared" si="115"/>
        <v>TOHIR</v>
      </c>
      <c r="D291" s="213"/>
      <c r="E291" s="214" t="str">
        <f t="shared" si="116"/>
        <v>C</v>
      </c>
      <c r="F291" s="215" t="s">
        <v>36</v>
      </c>
      <c r="G291" s="215"/>
      <c r="H291" s="215" t="s">
        <v>37</v>
      </c>
      <c r="I291" s="215"/>
      <c r="J291" s="215" t="s">
        <v>37</v>
      </c>
      <c r="K291" s="215"/>
      <c r="L291" s="215" t="s">
        <v>36</v>
      </c>
      <c r="M291" s="215"/>
      <c r="N291" s="215" t="s">
        <v>37</v>
      </c>
      <c r="O291" s="215"/>
      <c r="P291" s="215" t="s">
        <v>36</v>
      </c>
      <c r="Q291" s="215"/>
      <c r="R291" s="215" t="s">
        <v>36</v>
      </c>
      <c r="S291" s="215"/>
      <c r="T291" s="216">
        <f t="shared" si="117"/>
        <v>3</v>
      </c>
      <c r="U291" s="351">
        <f t="shared" si="118"/>
        <v>0</v>
      </c>
      <c r="V291" s="217" t="str">
        <f t="shared" si="119"/>
        <v>Rp</v>
      </c>
      <c r="W291" s="218">
        <f t="shared" si="120"/>
        <v>115000</v>
      </c>
      <c r="X291" s="217" t="str">
        <f t="shared" si="121"/>
        <v>Rp</v>
      </c>
      <c r="Y291" s="218">
        <f t="shared" si="122"/>
        <v>10000</v>
      </c>
      <c r="Z291" s="217" t="str">
        <f t="shared" si="123"/>
        <v>Rp</v>
      </c>
      <c r="AA291" s="219">
        <f t="shared" si="124"/>
        <v>345000</v>
      </c>
      <c r="AB291" s="222"/>
      <c r="AC291" s="221"/>
      <c r="AE291" s="211"/>
      <c r="AF291" s="211"/>
      <c r="AI291" s="211">
        <f t="shared" si="125"/>
        <v>0</v>
      </c>
      <c r="AJ291" s="211">
        <f t="shared" si="126"/>
        <v>1</v>
      </c>
      <c r="AK291" s="211">
        <f t="shared" si="127"/>
        <v>1</v>
      </c>
      <c r="AL291" s="211">
        <f t="shared" si="128"/>
        <v>0</v>
      </c>
      <c r="AM291" s="211">
        <f t="shared" si="129"/>
        <v>1</v>
      </c>
      <c r="AN291" s="211">
        <f t="shared" si="130"/>
        <v>0</v>
      </c>
      <c r="AO291" s="211">
        <f t="shared" si="131"/>
        <v>0</v>
      </c>
    </row>
    <row r="292" spans="1:41" ht="24.95" customHeight="1" x14ac:dyDescent="0.25">
      <c r="B292" s="212">
        <v>8</v>
      </c>
      <c r="C292" s="202" t="str">
        <f t="shared" si="115"/>
        <v>ROJALI</v>
      </c>
      <c r="D292" s="213"/>
      <c r="E292" s="214" t="str">
        <f t="shared" si="116"/>
        <v>C</v>
      </c>
      <c r="F292" s="215" t="s">
        <v>36</v>
      </c>
      <c r="G292" s="215"/>
      <c r="H292" s="215" t="s">
        <v>37</v>
      </c>
      <c r="I292" s="215"/>
      <c r="J292" s="215" t="s">
        <v>37</v>
      </c>
      <c r="K292" s="215"/>
      <c r="L292" s="215" t="s">
        <v>37</v>
      </c>
      <c r="M292" s="215"/>
      <c r="N292" s="215" t="s">
        <v>37</v>
      </c>
      <c r="O292" s="215"/>
      <c r="P292" s="215" t="s">
        <v>36</v>
      </c>
      <c r="Q292" s="215"/>
      <c r="R292" s="215" t="s">
        <v>36</v>
      </c>
      <c r="S292" s="215"/>
      <c r="T292" s="216">
        <f t="shared" si="117"/>
        <v>4</v>
      </c>
      <c r="U292" s="351">
        <f t="shared" si="118"/>
        <v>0</v>
      </c>
      <c r="V292" s="217" t="str">
        <f t="shared" si="119"/>
        <v>Rp</v>
      </c>
      <c r="W292" s="218">
        <f t="shared" si="120"/>
        <v>115000</v>
      </c>
      <c r="X292" s="217" t="str">
        <f t="shared" si="121"/>
        <v>Rp</v>
      </c>
      <c r="Y292" s="218">
        <f t="shared" si="122"/>
        <v>10000</v>
      </c>
      <c r="Z292" s="217" t="str">
        <f t="shared" si="123"/>
        <v>Rp</v>
      </c>
      <c r="AA292" s="219">
        <f t="shared" si="124"/>
        <v>460000</v>
      </c>
      <c r="AB292" s="222"/>
      <c r="AC292" s="223"/>
      <c r="AE292" s="211"/>
      <c r="AF292" s="211"/>
      <c r="AI292" s="211">
        <f t="shared" si="125"/>
        <v>0</v>
      </c>
      <c r="AJ292" s="211">
        <f t="shared" si="126"/>
        <v>1</v>
      </c>
      <c r="AK292" s="211">
        <f t="shared" si="127"/>
        <v>1</v>
      </c>
      <c r="AL292" s="211">
        <f t="shared" si="128"/>
        <v>1</v>
      </c>
      <c r="AM292" s="211">
        <f t="shared" si="129"/>
        <v>1</v>
      </c>
      <c r="AN292" s="211">
        <f t="shared" si="130"/>
        <v>0</v>
      </c>
      <c r="AO292" s="211">
        <f t="shared" si="131"/>
        <v>0</v>
      </c>
    </row>
    <row r="293" spans="1:41" ht="24.95" customHeight="1" x14ac:dyDescent="0.25">
      <c r="B293" s="212">
        <v>9</v>
      </c>
      <c r="C293" s="202">
        <f t="shared" si="115"/>
        <v>0</v>
      </c>
      <c r="D293" s="213"/>
      <c r="E293" s="214">
        <f t="shared" si="116"/>
        <v>0</v>
      </c>
      <c r="F293" s="215"/>
      <c r="G293" s="215"/>
      <c r="H293" s="215"/>
      <c r="I293" s="215"/>
      <c r="J293" s="215"/>
      <c r="K293" s="215"/>
      <c r="L293" s="215"/>
      <c r="M293" s="215"/>
      <c r="N293" s="215"/>
      <c r="O293" s="215"/>
      <c r="P293" s="215"/>
      <c r="Q293" s="215"/>
      <c r="R293" s="215"/>
      <c r="S293" s="215"/>
      <c r="T293" s="216">
        <f>SUM(AI293:AO293)</f>
        <v>0</v>
      </c>
      <c r="U293" s="351">
        <f t="shared" si="118"/>
        <v>0</v>
      </c>
      <c r="V293" s="217" t="str">
        <f t="shared" si="119"/>
        <v xml:space="preserve"> </v>
      </c>
      <c r="W293" s="218">
        <f t="shared" si="120"/>
        <v>0</v>
      </c>
      <c r="X293" s="217" t="str">
        <f t="shared" si="121"/>
        <v xml:space="preserve"> </v>
      </c>
      <c r="Y293" s="218">
        <f t="shared" si="122"/>
        <v>0</v>
      </c>
      <c r="Z293" s="217" t="str">
        <f t="shared" si="123"/>
        <v xml:space="preserve"> </v>
      </c>
      <c r="AA293" s="219">
        <f t="shared" si="124"/>
        <v>0</v>
      </c>
      <c r="AB293" s="222"/>
      <c r="AC293" s="221"/>
      <c r="AE293" s="211"/>
      <c r="AF293" s="211"/>
      <c r="AI293" s="211" t="b">
        <f t="shared" si="125"/>
        <v>0</v>
      </c>
      <c r="AJ293" s="211" t="b">
        <f t="shared" si="126"/>
        <v>0</v>
      </c>
      <c r="AK293" s="211" t="b">
        <f t="shared" si="127"/>
        <v>0</v>
      </c>
      <c r="AL293" s="211" t="b">
        <f t="shared" si="128"/>
        <v>0</v>
      </c>
      <c r="AM293" s="211" t="b">
        <f t="shared" si="129"/>
        <v>0</v>
      </c>
      <c r="AN293" s="211" t="b">
        <f t="shared" si="130"/>
        <v>0</v>
      </c>
      <c r="AO293" s="211" t="b">
        <f t="shared" si="131"/>
        <v>0</v>
      </c>
    </row>
    <row r="294" spans="1:41" ht="24.95" customHeight="1" x14ac:dyDescent="0.25">
      <c r="B294" s="212">
        <v>10</v>
      </c>
      <c r="C294" s="202">
        <f t="shared" si="115"/>
        <v>0</v>
      </c>
      <c r="D294" s="213"/>
      <c r="E294" s="214">
        <f t="shared" si="116"/>
        <v>0</v>
      </c>
      <c r="F294" s="215"/>
      <c r="G294" s="215"/>
      <c r="H294" s="215"/>
      <c r="I294" s="215"/>
      <c r="J294" s="215"/>
      <c r="K294" s="215"/>
      <c r="L294" s="215"/>
      <c r="M294" s="215"/>
      <c r="N294" s="215"/>
      <c r="O294" s="215"/>
      <c r="P294" s="215"/>
      <c r="Q294" s="215"/>
      <c r="R294" s="215"/>
      <c r="S294" s="215"/>
      <c r="T294" s="216"/>
      <c r="U294" s="352"/>
      <c r="V294" s="217"/>
      <c r="W294" s="218"/>
      <c r="X294" s="217"/>
      <c r="Y294" s="218"/>
      <c r="Z294" s="217" t="str">
        <f t="shared" si="123"/>
        <v xml:space="preserve"> </v>
      </c>
      <c r="AA294" s="219">
        <f t="shared" si="124"/>
        <v>0</v>
      </c>
      <c r="AB294" s="222"/>
      <c r="AC294" s="223"/>
      <c r="AE294" s="211"/>
      <c r="AF294" s="211"/>
      <c r="AI294" s="211" t="b">
        <f t="shared" si="125"/>
        <v>0</v>
      </c>
      <c r="AJ294" s="211" t="b">
        <f t="shared" si="126"/>
        <v>0</v>
      </c>
      <c r="AK294" s="211" t="b">
        <f t="shared" si="127"/>
        <v>0</v>
      </c>
      <c r="AL294" s="211" t="b">
        <f t="shared" si="128"/>
        <v>0</v>
      </c>
      <c r="AM294" s="211" t="b">
        <f t="shared" si="129"/>
        <v>0</v>
      </c>
      <c r="AN294" s="211" t="b">
        <f t="shared" si="130"/>
        <v>0</v>
      </c>
      <c r="AO294" s="211" t="b">
        <f t="shared" si="131"/>
        <v>0</v>
      </c>
    </row>
    <row r="295" spans="1:41" ht="24.95" customHeight="1" x14ac:dyDescent="0.25">
      <c r="B295" s="212">
        <v>11</v>
      </c>
      <c r="C295" s="202">
        <f>C256</f>
        <v>0</v>
      </c>
      <c r="D295" s="213"/>
      <c r="E295" s="214">
        <f>E256</f>
        <v>0</v>
      </c>
      <c r="F295" s="215"/>
      <c r="G295" s="215"/>
      <c r="H295" s="215"/>
      <c r="I295" s="215"/>
      <c r="J295" s="215"/>
      <c r="K295" s="215"/>
      <c r="L295" s="215"/>
      <c r="M295" s="215"/>
      <c r="N295" s="215"/>
      <c r="O295" s="215"/>
      <c r="P295" s="215"/>
      <c r="Q295" s="215"/>
      <c r="R295" s="215"/>
      <c r="S295" s="215"/>
      <c r="T295" s="216">
        <f>SUM(AI295:AO295)</f>
        <v>0</v>
      </c>
      <c r="U295" s="216">
        <f>SUM(F295:S295)/6</f>
        <v>0</v>
      </c>
      <c r="V295" s="217"/>
      <c r="W295" s="218"/>
      <c r="X295" s="217"/>
      <c r="Y295" s="218"/>
      <c r="Z295" s="217" t="str">
        <f>IF(AA295&gt;0,"Rp",IF(AA295=0," "))</f>
        <v xml:space="preserve"> </v>
      </c>
      <c r="AA295" s="219">
        <f>W295*T295+U295*Y295</f>
        <v>0</v>
      </c>
      <c r="AB295" s="222" t="str">
        <f>IF(AA295&gt;0,1,IF(AA295=0," "))</f>
        <v xml:space="preserve"> </v>
      </c>
      <c r="AC295" s="221"/>
      <c r="AE295" s="211"/>
      <c r="AF295" s="211"/>
      <c r="AI295" s="211" t="b">
        <f t="shared" si="125"/>
        <v>0</v>
      </c>
      <c r="AJ295" s="211" t="b">
        <f t="shared" si="126"/>
        <v>0</v>
      </c>
      <c r="AK295" s="211" t="b">
        <f t="shared" si="127"/>
        <v>0</v>
      </c>
      <c r="AL295" s="211" t="b">
        <f t="shared" si="128"/>
        <v>0</v>
      </c>
      <c r="AM295" s="211" t="b">
        <f t="shared" si="129"/>
        <v>0</v>
      </c>
      <c r="AN295" s="211" t="b">
        <f t="shared" si="130"/>
        <v>0</v>
      </c>
      <c r="AO295" s="211" t="b">
        <f t="shared" si="131"/>
        <v>0</v>
      </c>
    </row>
    <row r="296" spans="1:41" ht="24.95" customHeight="1" x14ac:dyDescent="0.25">
      <c r="B296" s="212">
        <v>12</v>
      </c>
      <c r="C296" s="202"/>
      <c r="D296" s="213"/>
      <c r="E296" s="214"/>
      <c r="F296" s="215"/>
      <c r="G296" s="215"/>
      <c r="H296" s="215"/>
      <c r="I296" s="215"/>
      <c r="J296" s="215"/>
      <c r="K296" s="215"/>
      <c r="L296" s="215"/>
      <c r="M296" s="215"/>
      <c r="N296" s="215"/>
      <c r="O296" s="215"/>
      <c r="P296" s="215"/>
      <c r="Q296" s="215"/>
      <c r="R296" s="215"/>
      <c r="S296" s="215"/>
      <c r="T296" s="216">
        <f>SUM(AI296:AO296)</f>
        <v>0</v>
      </c>
      <c r="U296" s="216">
        <f>SUM(F296:S296)/6</f>
        <v>0</v>
      </c>
      <c r="V296" s="217"/>
      <c r="W296" s="218"/>
      <c r="X296" s="217"/>
      <c r="Y296" s="218"/>
      <c r="Z296" s="217" t="str">
        <f>IF(AA296&gt;0,"Rp",IF(AA296=0," "))</f>
        <v xml:space="preserve"> </v>
      </c>
      <c r="AA296" s="219">
        <f>W296*T296+U296*Y296</f>
        <v>0</v>
      </c>
      <c r="AB296" s="222" t="str">
        <f>IF(AA296&gt;0,1,IF(AA296=0," "))</f>
        <v xml:space="preserve"> </v>
      </c>
      <c r="AC296" s="223"/>
      <c r="AE296" s="211"/>
      <c r="AF296" s="211"/>
      <c r="AI296" s="211" t="b">
        <f t="shared" si="125"/>
        <v>0</v>
      </c>
      <c r="AJ296" s="211" t="b">
        <f t="shared" si="126"/>
        <v>0</v>
      </c>
      <c r="AK296" s="211" t="b">
        <f t="shared" si="127"/>
        <v>0</v>
      </c>
      <c r="AL296" s="211" t="b">
        <f t="shared" si="128"/>
        <v>0</v>
      </c>
      <c r="AM296" s="211" t="b">
        <f t="shared" si="129"/>
        <v>0</v>
      </c>
      <c r="AN296" s="211" t="b">
        <f t="shared" si="130"/>
        <v>0</v>
      </c>
      <c r="AO296" s="211" t="b">
        <f t="shared" si="131"/>
        <v>0</v>
      </c>
    </row>
    <row r="297" spans="1:41" ht="24.95" customHeight="1" thickBot="1" x14ac:dyDescent="0.25">
      <c r="B297" s="233"/>
      <c r="C297" s="257"/>
      <c r="D297" s="235"/>
      <c r="E297" s="236"/>
      <c r="F297" s="237"/>
      <c r="G297" s="237"/>
      <c r="H297" s="238"/>
      <c r="I297" s="238"/>
      <c r="J297" s="239"/>
      <c r="K297" s="239"/>
      <c r="L297" s="239"/>
      <c r="M297" s="239"/>
      <c r="N297" s="240"/>
      <c r="O297" s="240"/>
      <c r="P297" s="240"/>
      <c r="Q297" s="240"/>
      <c r="R297" s="240"/>
      <c r="S297" s="353"/>
      <c r="T297" s="259"/>
      <c r="U297" s="259"/>
      <c r="V297" s="242"/>
      <c r="W297" s="258"/>
      <c r="X297" s="242"/>
      <c r="Y297" s="258"/>
      <c r="Z297" s="244"/>
      <c r="AA297" s="236"/>
      <c r="AB297" s="246"/>
      <c r="AC297" s="247"/>
      <c r="AE297" s="211"/>
      <c r="AF297" s="211"/>
    </row>
    <row r="298" spans="1:41" ht="20.100000000000001" customHeight="1" thickTop="1" thickBot="1" x14ac:dyDescent="0.3">
      <c r="A298" s="179">
        <f>A259+1</f>
        <v>8</v>
      </c>
      <c r="B298" s="248"/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50" t="s">
        <v>40</v>
      </c>
      <c r="X298" s="249"/>
      <c r="Y298" s="250" t="s">
        <v>40</v>
      </c>
      <c r="Z298" s="249"/>
      <c r="AA298" s="710">
        <f>SUM(AA285:AA297)</f>
        <v>4265000</v>
      </c>
      <c r="AB298" s="711"/>
      <c r="AC298" s="712"/>
      <c r="AE298" s="226" t="str">
        <f>VLOOKUP(A298,'Rekap Gaji'!$B$12:$P$32,10,FALSE)</f>
        <v xml:space="preserve"> 25 Oktober 2025</v>
      </c>
      <c r="AF298" s="251" t="e">
        <f>AE298-AA298</f>
        <v>#VALUE!</v>
      </c>
    </row>
    <row r="299" spans="1:41" ht="11.25" customHeight="1" x14ac:dyDescent="0.25"/>
    <row r="300" spans="1:41" ht="16.5" customHeight="1" x14ac:dyDescent="0.25">
      <c r="B300" s="195" t="s">
        <v>41</v>
      </c>
      <c r="C300" s="140" t="s">
        <v>42</v>
      </c>
    </row>
    <row r="301" spans="1:41" ht="14.25" x14ac:dyDescent="0.25">
      <c r="H301" s="183"/>
      <c r="I301" s="183"/>
      <c r="J301" s="182"/>
      <c r="K301" s="182"/>
      <c r="T301" s="141"/>
      <c r="U301" s="141"/>
      <c r="V301" s="141"/>
      <c r="X301" s="141"/>
      <c r="AA301" s="140" t="str">
        <f>'BKU 1'!$I$25</f>
        <v>NGANTANG</v>
      </c>
      <c r="AB301" s="713">
        <f>IFERROR(VLOOKUP(E279,'Rekap Gaji'!$B$12:$P$32,7,FALSE),"-")</f>
        <v>45955</v>
      </c>
      <c r="AC301" s="713"/>
      <c r="AD301" s="252"/>
      <c r="AE301" s="252"/>
    </row>
    <row r="302" spans="1:41" ht="15.75" x14ac:dyDescent="0.25">
      <c r="C302" s="140" t="s">
        <v>43</v>
      </c>
      <c r="F302" s="253"/>
      <c r="G302" s="253"/>
      <c r="H302" s="254"/>
      <c r="I302" s="254"/>
      <c r="J302" s="255"/>
      <c r="K302" s="255"/>
      <c r="L302" s="256"/>
      <c r="M302" s="256"/>
      <c r="N302" s="225" t="s">
        <v>44</v>
      </c>
      <c r="O302" s="225"/>
      <c r="P302" s="253"/>
      <c r="Q302" s="253"/>
      <c r="T302" s="141"/>
      <c r="U302" s="141"/>
      <c r="V302" s="141"/>
      <c r="X302" s="141"/>
      <c r="AA302" s="140" t="str">
        <f>'BKU 1'!$L$354</f>
        <v>Dibuat Oleh ;</v>
      </c>
      <c r="AB302" s="141"/>
    </row>
    <row r="303" spans="1:41" ht="14.25" x14ac:dyDescent="0.25">
      <c r="C303" s="140" t="str">
        <f>'BKU 1'!$C$355</f>
        <v>Kepala Sekolah SDN 1 SIDODADI</v>
      </c>
      <c r="F303" s="187"/>
      <c r="G303" s="187"/>
      <c r="H303" s="224"/>
      <c r="I303" s="224"/>
      <c r="J303" s="182"/>
      <c r="K303" s="182"/>
      <c r="L303" s="183"/>
      <c r="M303" s="183"/>
      <c r="N303" s="140" t="s">
        <v>45</v>
      </c>
      <c r="P303" s="187"/>
      <c r="Q303" s="187"/>
      <c r="AA303" s="140" t="str">
        <f>'BKU 1'!$L$355</f>
        <v>Bendahara Pembangunan</v>
      </c>
      <c r="AB303" s="141"/>
    </row>
    <row r="304" spans="1:41" ht="14.25" x14ac:dyDescent="0.25">
      <c r="F304" s="187"/>
      <c r="G304" s="187"/>
      <c r="H304" s="224"/>
      <c r="I304" s="224"/>
      <c r="J304" s="182"/>
      <c r="K304" s="182"/>
      <c r="L304" s="183"/>
      <c r="M304" s="183"/>
      <c r="P304" s="187"/>
      <c r="Q304" s="187"/>
      <c r="AA304" s="140"/>
      <c r="AB304" s="141"/>
    </row>
    <row r="305" spans="1:32" ht="14.25" x14ac:dyDescent="0.25">
      <c r="F305" s="187"/>
      <c r="G305" s="187"/>
      <c r="H305" s="224"/>
      <c r="I305" s="224"/>
      <c r="J305" s="182"/>
      <c r="K305" s="182"/>
      <c r="L305" s="183"/>
      <c r="M305" s="183"/>
      <c r="P305" s="187"/>
      <c r="Q305" s="187"/>
      <c r="AA305" s="140"/>
      <c r="AB305" s="141"/>
    </row>
    <row r="306" spans="1:32" ht="14.25" x14ac:dyDescent="0.25">
      <c r="F306" s="187"/>
      <c r="G306" s="187"/>
      <c r="H306" s="224"/>
      <c r="I306" s="224"/>
      <c r="J306" s="182"/>
      <c r="K306" s="182"/>
      <c r="L306" s="183"/>
      <c r="M306" s="183"/>
      <c r="P306" s="187"/>
      <c r="Q306" s="187"/>
      <c r="AA306" s="140"/>
      <c r="AB306" s="141"/>
    </row>
    <row r="307" spans="1:32" ht="14.25" x14ac:dyDescent="0.25">
      <c r="F307" s="187"/>
      <c r="G307" s="187"/>
      <c r="H307" s="224"/>
      <c r="I307" s="224"/>
      <c r="J307" s="182"/>
      <c r="K307" s="182"/>
      <c r="L307" s="183"/>
      <c r="M307" s="183"/>
      <c r="P307" s="187"/>
      <c r="Q307" s="187"/>
      <c r="AA307" s="140"/>
      <c r="AB307" s="141"/>
    </row>
    <row r="308" spans="1:32" x14ac:dyDescent="0.25">
      <c r="H308" s="225"/>
      <c r="I308" s="225"/>
      <c r="AA308" s="140"/>
    </row>
    <row r="309" spans="1:32" x14ac:dyDescent="0.25">
      <c r="H309" s="225"/>
      <c r="I309" s="225"/>
      <c r="AA309" s="140"/>
    </row>
    <row r="310" spans="1:32" s="189" customFormat="1" ht="15" customHeight="1" x14ac:dyDescent="0.25">
      <c r="A310" s="192"/>
      <c r="B310" s="195"/>
      <c r="C310" s="227" t="str">
        <f>'BKU 1'!$C$360</f>
        <v>MELIA FITRIANI, S.Pd.SD</v>
      </c>
      <c r="D310" s="227"/>
      <c r="H310" s="228"/>
      <c r="I310" s="228"/>
      <c r="J310" s="195"/>
      <c r="K310" s="195"/>
      <c r="L310" s="194"/>
      <c r="M310" s="194"/>
      <c r="N310" s="229" t="str">
        <f>'BKU 1'!$H$360</f>
        <v>HARTATIK</v>
      </c>
      <c r="O310" s="229"/>
      <c r="AA310" s="227" t="str">
        <f>'BKU 1'!$L$360</f>
        <v>ARIF NUR UDIN, S.Pd.SD</v>
      </c>
      <c r="AC310" s="230"/>
      <c r="AE310" s="231"/>
      <c r="AF310" s="231"/>
    </row>
    <row r="311" spans="1:32" s="189" customFormat="1" ht="15" customHeight="1" x14ac:dyDescent="0.25">
      <c r="A311" s="192"/>
      <c r="B311" s="195"/>
      <c r="C311" s="140" t="str">
        <f>'BKU 1'!$C$361</f>
        <v>NIP. 19850619 200904 2 000</v>
      </c>
      <c r="D311" s="140"/>
      <c r="E311" s="140"/>
      <c r="F311" s="140"/>
      <c r="G311" s="140"/>
      <c r="H311" s="225"/>
      <c r="I311" s="225"/>
      <c r="J311" s="191"/>
      <c r="K311" s="191"/>
      <c r="L311" s="190"/>
      <c r="M311" s="190"/>
      <c r="N311" s="232"/>
      <c r="O311" s="232"/>
      <c r="P311" s="140"/>
      <c r="Q311" s="140"/>
      <c r="T311" s="140"/>
      <c r="U311" s="140"/>
      <c r="V311" s="140"/>
      <c r="W311" s="140"/>
      <c r="X311" s="140"/>
      <c r="Y311" s="140"/>
      <c r="Z311" s="140"/>
      <c r="AA311" s="140" t="str">
        <f>'BKU 1'!$L$361</f>
        <v>NIP. 19840719 200903 1 002</v>
      </c>
      <c r="AC311" s="230"/>
      <c r="AE311" s="231"/>
      <c r="AF311" s="231"/>
    </row>
    <row r="312" spans="1:32" ht="6" customHeight="1" x14ac:dyDescent="0.25"/>
    <row r="313" spans="1:32" s="177" customFormat="1" ht="24.95" customHeight="1" x14ac:dyDescent="0.25">
      <c r="A313" s="176"/>
      <c r="B313" s="726" t="s">
        <v>6</v>
      </c>
      <c r="C313" s="726"/>
      <c r="D313" s="726"/>
      <c r="E313" s="726"/>
      <c r="F313" s="726"/>
      <c r="G313" s="726"/>
      <c r="H313" s="726"/>
      <c r="I313" s="726"/>
      <c r="J313" s="726"/>
      <c r="K313" s="726"/>
      <c r="L313" s="726"/>
      <c r="M313" s="726"/>
      <c r="N313" s="726"/>
      <c r="O313" s="726"/>
      <c r="P313" s="726"/>
      <c r="Q313" s="726"/>
      <c r="R313" s="726"/>
      <c r="S313" s="726"/>
      <c r="T313" s="726"/>
      <c r="U313" s="726"/>
      <c r="V313" s="726"/>
      <c r="W313" s="726"/>
      <c r="X313" s="726"/>
      <c r="Y313" s="726"/>
      <c r="Z313" s="726"/>
      <c r="AA313" s="726"/>
      <c r="AB313" s="726"/>
      <c r="AC313" s="726"/>
      <c r="AE313" s="178"/>
      <c r="AF313" s="178"/>
    </row>
    <row r="314" spans="1:32" s="177" customFormat="1" ht="24.95" customHeight="1" x14ac:dyDescent="0.25">
      <c r="A314" s="176"/>
      <c r="B314" s="726" t="str">
        <f>'BKU 1'!$D$22</f>
        <v>PEMBANGUNAN TOILET BESERTA SANITASINYA</v>
      </c>
      <c r="C314" s="726"/>
      <c r="D314" s="726"/>
      <c r="E314" s="726"/>
      <c r="F314" s="726"/>
      <c r="G314" s="726"/>
      <c r="H314" s="726"/>
      <c r="I314" s="726"/>
      <c r="J314" s="726"/>
      <c r="K314" s="726"/>
      <c r="L314" s="726"/>
      <c r="M314" s="726"/>
      <c r="N314" s="726"/>
      <c r="O314" s="726"/>
      <c r="P314" s="726"/>
      <c r="Q314" s="726"/>
      <c r="R314" s="726"/>
      <c r="S314" s="726"/>
      <c r="T314" s="726"/>
      <c r="U314" s="726"/>
      <c r="V314" s="726"/>
      <c r="W314" s="726"/>
      <c r="X314" s="726"/>
      <c r="Y314" s="726"/>
      <c r="Z314" s="726"/>
      <c r="AA314" s="726"/>
      <c r="AB314" s="726"/>
      <c r="AC314" s="726"/>
      <c r="AE314" s="178"/>
      <c r="AF314" s="178"/>
    </row>
    <row r="315" spans="1:32" s="184" customFormat="1" ht="30.75" customHeight="1" x14ac:dyDescent="0.25">
      <c r="A315" s="179"/>
      <c r="B315" s="180"/>
      <c r="C315" s="181"/>
      <c r="D315" s="181"/>
      <c r="E315" s="181"/>
      <c r="F315" s="182"/>
      <c r="G315" s="182"/>
      <c r="H315" s="183"/>
      <c r="I315" s="183"/>
      <c r="J315" s="182"/>
      <c r="K315" s="182"/>
      <c r="L315" s="183"/>
      <c r="M315" s="183"/>
      <c r="N315" s="182"/>
      <c r="O315" s="182"/>
      <c r="P315" s="182"/>
      <c r="Q315" s="182"/>
      <c r="R315" s="182"/>
      <c r="S315" s="182"/>
      <c r="T315" s="181"/>
      <c r="U315" s="181"/>
      <c r="V315" s="181"/>
      <c r="X315" s="181"/>
      <c r="AA315" s="180"/>
      <c r="AB315" s="140"/>
      <c r="AC315" s="185"/>
      <c r="AE315" s="186"/>
      <c r="AF315" s="186"/>
    </row>
    <row r="316" spans="1:32" s="184" customFormat="1" ht="14.25" x14ac:dyDescent="0.25">
      <c r="A316" s="179"/>
      <c r="B316" s="185" t="s">
        <v>7</v>
      </c>
      <c r="D316" s="184" t="s">
        <v>49</v>
      </c>
      <c r="E316" s="184" t="str">
        <f>'BKU 1'!$D$25</f>
        <v>SDN 1 SIDODADI</v>
      </c>
      <c r="F316" s="140"/>
      <c r="G316" s="140"/>
      <c r="H316" s="183"/>
      <c r="I316" s="183"/>
      <c r="J316" s="182"/>
      <c r="K316" s="182"/>
      <c r="L316" s="183"/>
      <c r="M316" s="183"/>
      <c r="N316" s="187"/>
      <c r="O316" s="187"/>
      <c r="P316" s="187"/>
      <c r="Q316" s="187"/>
      <c r="R316" s="187"/>
      <c r="S316" s="187"/>
      <c r="T316" s="188"/>
      <c r="U316" s="188"/>
      <c r="V316" s="188"/>
      <c r="X316" s="188"/>
      <c r="AA316" s="180"/>
      <c r="AB316" s="189" t="s">
        <v>8</v>
      </c>
      <c r="AC316" s="185"/>
      <c r="AE316" s="186"/>
      <c r="AF316" s="186"/>
    </row>
    <row r="317" spans="1:32" s="184" customFormat="1" x14ac:dyDescent="0.25">
      <c r="A317" s="179"/>
      <c r="B317" s="185" t="s">
        <v>9</v>
      </c>
      <c r="D317" s="184" t="s">
        <v>49</v>
      </c>
      <c r="E317" s="184" t="str">
        <f>'BKU 1'!$D$26</f>
        <v>Jl. Kawi No.36 Rt. 1 Rw. 1 Dusun Sekar, Rt / Rw : 1 / 1, Dusun : Sekar, Kelurahan : Sidodadi</v>
      </c>
      <c r="F317" s="140"/>
      <c r="G317" s="140"/>
      <c r="H317" s="190"/>
      <c r="I317" s="190"/>
      <c r="J317" s="191"/>
      <c r="K317" s="191"/>
      <c r="L317" s="190"/>
      <c r="M317" s="190"/>
      <c r="N317" s="140"/>
      <c r="O317" s="140"/>
      <c r="P317" s="140"/>
      <c r="Q317" s="140"/>
      <c r="R317" s="140"/>
      <c r="S317" s="140"/>
      <c r="AA317" s="180"/>
      <c r="AB317" s="140" t="s">
        <v>10</v>
      </c>
      <c r="AC317" s="185" t="s">
        <v>11</v>
      </c>
      <c r="AE317" s="186"/>
      <c r="AF317" s="186"/>
    </row>
    <row r="318" spans="1:32" s="184" customFormat="1" x14ac:dyDescent="0.25">
      <c r="A318" s="179"/>
      <c r="B318" s="185" t="s">
        <v>12</v>
      </c>
      <c r="D318" s="184" t="s">
        <v>49</v>
      </c>
      <c r="E318" s="180">
        <f>E279+1</f>
        <v>9</v>
      </c>
      <c r="F318" s="140"/>
      <c r="G318" s="140"/>
      <c r="H318" s="727">
        <f>IFERROR(VLOOKUP(E318,'Rekap Gaji'!$B$12:$P$32,14,FALSE),"-")</f>
        <v>0</v>
      </c>
      <c r="I318" s="727"/>
      <c r="J318" s="727"/>
      <c r="K318" s="727"/>
      <c r="L318" s="727"/>
      <c r="M318" s="191"/>
      <c r="N318" s="140"/>
      <c r="O318" s="140"/>
      <c r="P318" s="140"/>
      <c r="Q318" s="140"/>
      <c r="R318" s="140"/>
      <c r="S318" s="140"/>
      <c r="AA318" s="180"/>
      <c r="AB318" s="140" t="s">
        <v>13</v>
      </c>
      <c r="AC318" s="185" t="s">
        <v>14</v>
      </c>
      <c r="AE318" s="186"/>
      <c r="AF318" s="186"/>
    </row>
    <row r="319" spans="1:32" s="184" customFormat="1" ht="15" customHeight="1" x14ac:dyDescent="0.25">
      <c r="A319" s="179"/>
      <c r="B319" s="185" t="s">
        <v>0</v>
      </c>
      <c r="D319" s="184" t="s">
        <v>49</v>
      </c>
      <c r="E319" s="728">
        <f>IFERROR(VLOOKUP(E318,'Rekap Gaji'!$B$12:$P$32,4,FALSE),"-")</f>
        <v>45956</v>
      </c>
      <c r="F319" s="728"/>
      <c r="G319" s="728"/>
      <c r="H319" s="728"/>
      <c r="I319" s="728"/>
      <c r="J319" s="728"/>
      <c r="K319" s="339"/>
      <c r="L319" s="727" t="s">
        <v>76</v>
      </c>
      <c r="M319" s="727"/>
      <c r="N319" s="727"/>
      <c r="O319" s="191"/>
      <c r="P319" s="728">
        <f>IFERROR(VLOOKUP(E318,'Rekap Gaji'!$B$12:$P$32,6,FALSE),"-")</f>
        <v>45962</v>
      </c>
      <c r="Q319" s="728"/>
      <c r="R319" s="728"/>
      <c r="S319" s="728"/>
      <c r="T319" s="728"/>
      <c r="U319" s="728"/>
      <c r="V319" s="728"/>
      <c r="AA319" s="180"/>
      <c r="AB319" s="140" t="s">
        <v>15</v>
      </c>
      <c r="AC319" s="185" t="s">
        <v>16</v>
      </c>
      <c r="AE319" s="186"/>
      <c r="AF319" s="186"/>
    </row>
    <row r="320" spans="1:32" s="188" customFormat="1" ht="8.1" customHeight="1" thickBot="1" x14ac:dyDescent="0.3">
      <c r="A320" s="192"/>
      <c r="B320" s="193"/>
      <c r="F320" s="189"/>
      <c r="G320" s="189"/>
      <c r="H320" s="194"/>
      <c r="I320" s="194"/>
      <c r="J320" s="195"/>
      <c r="K320" s="195"/>
      <c r="L320" s="194"/>
      <c r="M320" s="194"/>
      <c r="N320" s="189"/>
      <c r="O320" s="189"/>
      <c r="P320" s="189"/>
      <c r="Q320" s="189"/>
      <c r="R320" s="189"/>
      <c r="S320" s="189"/>
      <c r="AA320" s="193"/>
      <c r="AB320" s="189"/>
      <c r="AC320" s="196"/>
      <c r="AE320" s="197"/>
      <c r="AF320" s="197"/>
    </row>
    <row r="321" spans="2:41" ht="15" customHeight="1" x14ac:dyDescent="0.25">
      <c r="B321" s="744" t="s">
        <v>17</v>
      </c>
      <c r="C321" s="735" t="s">
        <v>18</v>
      </c>
      <c r="D321" s="747"/>
      <c r="E321" s="342" t="s">
        <v>19</v>
      </c>
      <c r="F321" s="714" t="s">
        <v>20</v>
      </c>
      <c r="G321" s="715"/>
      <c r="H321" s="715"/>
      <c r="I321" s="715"/>
      <c r="J321" s="715"/>
      <c r="K321" s="715"/>
      <c r="L321" s="715"/>
      <c r="M321" s="715"/>
      <c r="N321" s="715"/>
      <c r="O321" s="715"/>
      <c r="P321" s="715"/>
      <c r="Q321" s="715"/>
      <c r="R321" s="715"/>
      <c r="S321" s="716"/>
      <c r="T321" s="341" t="s">
        <v>2</v>
      </c>
      <c r="U321" s="341" t="s">
        <v>474</v>
      </c>
      <c r="V321" s="735" t="s">
        <v>21</v>
      </c>
      <c r="W321" s="747"/>
      <c r="X321" s="735" t="s">
        <v>21</v>
      </c>
      <c r="Y321" s="747"/>
      <c r="Z321" s="735" t="s">
        <v>22</v>
      </c>
      <c r="AA321" s="747"/>
      <c r="AB321" s="735" t="s">
        <v>23</v>
      </c>
      <c r="AC321" s="736"/>
    </row>
    <row r="322" spans="2:41" ht="29.1" customHeight="1" x14ac:dyDescent="0.25">
      <c r="B322" s="745"/>
      <c r="C322" s="737"/>
      <c r="D322" s="743"/>
      <c r="E322" s="346" t="s">
        <v>24</v>
      </c>
      <c r="F322" s="741" t="s">
        <v>25</v>
      </c>
      <c r="G322" s="347" t="s">
        <v>475</v>
      </c>
      <c r="H322" s="741" t="s">
        <v>26</v>
      </c>
      <c r="I322" s="347" t="s">
        <v>475</v>
      </c>
      <c r="J322" s="741" t="s">
        <v>26</v>
      </c>
      <c r="K322" s="347" t="s">
        <v>475</v>
      </c>
      <c r="L322" s="741" t="s">
        <v>27</v>
      </c>
      <c r="M322" s="347" t="s">
        <v>475</v>
      </c>
      <c r="N322" s="741" t="s">
        <v>28</v>
      </c>
      <c r="O322" s="347" t="s">
        <v>475</v>
      </c>
      <c r="P322" s="741" t="s">
        <v>29</v>
      </c>
      <c r="Q322" s="347" t="s">
        <v>475</v>
      </c>
      <c r="R322" s="741" t="s">
        <v>26</v>
      </c>
      <c r="S322" s="347" t="s">
        <v>475</v>
      </c>
      <c r="T322" s="345" t="s">
        <v>30</v>
      </c>
      <c r="U322" s="345" t="s">
        <v>476</v>
      </c>
      <c r="V322" s="737" t="s">
        <v>455</v>
      </c>
      <c r="W322" s="743"/>
      <c r="X322" s="737" t="s">
        <v>477</v>
      </c>
      <c r="Y322" s="743"/>
      <c r="Z322" s="737" t="s">
        <v>31</v>
      </c>
      <c r="AA322" s="743"/>
      <c r="AB322" s="737"/>
      <c r="AC322" s="738"/>
    </row>
    <row r="323" spans="2:41" ht="15" customHeight="1" thickBot="1" x14ac:dyDescent="0.3">
      <c r="B323" s="746"/>
      <c r="C323" s="739"/>
      <c r="D323" s="748"/>
      <c r="E323" s="349" t="s">
        <v>32</v>
      </c>
      <c r="F323" s="742"/>
      <c r="G323" s="350" t="s">
        <v>478</v>
      </c>
      <c r="H323" s="742"/>
      <c r="I323" s="350" t="s">
        <v>478</v>
      </c>
      <c r="J323" s="742"/>
      <c r="K323" s="350" t="s">
        <v>478</v>
      </c>
      <c r="L323" s="742"/>
      <c r="M323" s="350" t="s">
        <v>478</v>
      </c>
      <c r="N323" s="742"/>
      <c r="O323" s="350" t="s">
        <v>478</v>
      </c>
      <c r="P323" s="742"/>
      <c r="Q323" s="350" t="s">
        <v>478</v>
      </c>
      <c r="R323" s="742"/>
      <c r="S323" s="350" t="s">
        <v>478</v>
      </c>
      <c r="T323" s="348" t="s">
        <v>31</v>
      </c>
      <c r="U323" s="348" t="s">
        <v>479</v>
      </c>
      <c r="V323" s="739" t="s">
        <v>33</v>
      </c>
      <c r="W323" s="748"/>
      <c r="X323" s="739" t="s">
        <v>33</v>
      </c>
      <c r="Y323" s="748"/>
      <c r="Z323" s="739" t="s">
        <v>34</v>
      </c>
      <c r="AA323" s="748"/>
      <c r="AB323" s="739"/>
      <c r="AC323" s="740"/>
    </row>
    <row r="324" spans="2:41" ht="24.95" customHeight="1" x14ac:dyDescent="0.25">
      <c r="B324" s="201">
        <v>1</v>
      </c>
      <c r="C324" s="202" t="str">
        <f>C285</f>
        <v>KUSMAN H</v>
      </c>
      <c r="D324" s="203"/>
      <c r="E324" s="204" t="str">
        <f>E285</f>
        <v>A</v>
      </c>
      <c r="F324" s="21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6">
        <f>SUM(AI324:AO324)</f>
        <v>0</v>
      </c>
      <c r="U324" s="206">
        <f>SUM(F324:S324)</f>
        <v>0</v>
      </c>
      <c r="V324" s="207" t="str">
        <f>IF(W324&gt;0,"Rp",IF(W324=0," "))</f>
        <v>Rp</v>
      </c>
      <c r="W324" s="208">
        <f>W285</f>
        <v>135000</v>
      </c>
      <c r="X324" s="207" t="str">
        <f>IF(Y324&gt;0,"Rp",IF(Y324=0," "))</f>
        <v>Rp</v>
      </c>
      <c r="Y324" s="208">
        <f>Y285</f>
        <v>20000</v>
      </c>
      <c r="Z324" s="207" t="str">
        <f>IF(AA324&gt;0,"Rp",IF(AA324=0," "))</f>
        <v xml:space="preserve"> </v>
      </c>
      <c r="AA324" s="208">
        <f>W324*T324+U324*Y324</f>
        <v>0</v>
      </c>
      <c r="AB324" s="209">
        <v>1</v>
      </c>
      <c r="AC324" s="210"/>
      <c r="AE324" s="260"/>
      <c r="AF324" s="140"/>
      <c r="AI324" s="211" t="b">
        <f t="shared" ref="AI324:AI335" si="132">IFERROR(IF(F324="V",1,IF(F324="X",0))," ")</f>
        <v>0</v>
      </c>
      <c r="AJ324" s="211" t="b">
        <f t="shared" ref="AJ324:AJ335" si="133">IFERROR(IF(H324="V",1,IF(H324="X",0))," ")</f>
        <v>0</v>
      </c>
      <c r="AK324" s="211" t="b">
        <f t="shared" ref="AK324:AK335" si="134">IFERROR(IF(J324="V",1,IF(J324="X",0))," ")</f>
        <v>0</v>
      </c>
      <c r="AL324" s="211" t="b">
        <f t="shared" ref="AL324:AL335" si="135">IFERROR(IF(L324="V",1,IF(L324="X",0))," ")</f>
        <v>0</v>
      </c>
      <c r="AM324" s="211" t="b">
        <f t="shared" ref="AM324:AM335" si="136">IFERROR(IF(N324="V",1,IF(N324="X",0))," ")</f>
        <v>0</v>
      </c>
      <c r="AN324" s="211" t="b">
        <f t="shared" ref="AN324:AN333" si="137">IFERROR(IF(P324="V",1,IF(P324="X",0))," ")</f>
        <v>0</v>
      </c>
      <c r="AO324" s="211" t="b">
        <f t="shared" ref="AO324:AO333" si="138">IFERROR(IF(R324="V",1,IF(R324="X",0))," ")</f>
        <v>0</v>
      </c>
    </row>
    <row r="325" spans="2:41" ht="24.95" customHeight="1" x14ac:dyDescent="0.25">
      <c r="B325" s="212">
        <v>2</v>
      </c>
      <c r="C325" s="202" t="str">
        <f t="shared" ref="C325:C333" si="139">C286</f>
        <v>BUSANI</v>
      </c>
      <c r="D325" s="213"/>
      <c r="E325" s="214" t="str">
        <f t="shared" ref="E325:E333" si="140">E286</f>
        <v>B</v>
      </c>
      <c r="F325" s="215"/>
      <c r="G325" s="215"/>
      <c r="H325" s="215"/>
      <c r="I325" s="215"/>
      <c r="J325" s="215"/>
      <c r="K325" s="215"/>
      <c r="L325" s="215"/>
      <c r="M325" s="215"/>
      <c r="N325" s="215"/>
      <c r="O325" s="215"/>
      <c r="P325" s="215"/>
      <c r="Q325" s="215"/>
      <c r="R325" s="215"/>
      <c r="S325" s="215"/>
      <c r="T325" s="216">
        <f t="shared" ref="T325:T332" si="141">SUM(AI325:AO325)</f>
        <v>0</v>
      </c>
      <c r="U325" s="351">
        <f t="shared" ref="U325:U332" si="142">SUM(F325:S325)</f>
        <v>0</v>
      </c>
      <c r="V325" s="217" t="str">
        <f t="shared" ref="V325:V332" si="143">IF(W325&gt;0,"Rp",IF(W325=0," "))</f>
        <v>Rp</v>
      </c>
      <c r="W325" s="218">
        <f t="shared" ref="W325:W332" si="144">W286</f>
        <v>125000</v>
      </c>
      <c r="X325" s="217" t="str">
        <f t="shared" ref="X325:X332" si="145">IF(Y325&gt;0,"Rp",IF(Y325=0," "))</f>
        <v>Rp</v>
      </c>
      <c r="Y325" s="218">
        <f t="shared" ref="Y325:Y332" si="146">Y286</f>
        <v>15000</v>
      </c>
      <c r="Z325" s="217" t="str">
        <f t="shared" ref="Z325:Z333" si="147">IF(AA325&gt;0,"Rp",IF(AA325=0," "))</f>
        <v xml:space="preserve"> </v>
      </c>
      <c r="AA325" s="219">
        <f t="shared" ref="AA325:AA333" si="148">W325*T325+U325*Y325</f>
        <v>0</v>
      </c>
      <c r="AB325" s="220"/>
      <c r="AC325" s="221">
        <v>2</v>
      </c>
      <c r="AE325" s="211"/>
      <c r="AF325" s="211"/>
      <c r="AI325" s="211" t="b">
        <f t="shared" si="132"/>
        <v>0</v>
      </c>
      <c r="AJ325" s="211" t="b">
        <f t="shared" si="133"/>
        <v>0</v>
      </c>
      <c r="AK325" s="211" t="b">
        <f t="shared" si="134"/>
        <v>0</v>
      </c>
      <c r="AL325" s="211" t="b">
        <f t="shared" si="135"/>
        <v>0</v>
      </c>
      <c r="AM325" s="211" t="b">
        <f t="shared" si="136"/>
        <v>0</v>
      </c>
      <c r="AN325" s="211" t="b">
        <f t="shared" si="137"/>
        <v>0</v>
      </c>
      <c r="AO325" s="211" t="b">
        <f t="shared" si="138"/>
        <v>0</v>
      </c>
    </row>
    <row r="326" spans="2:41" ht="24.95" customHeight="1" x14ac:dyDescent="0.25">
      <c r="B326" s="212">
        <v>3</v>
      </c>
      <c r="C326" s="202" t="str">
        <f t="shared" si="139"/>
        <v>LASMARI</v>
      </c>
      <c r="D326" s="213"/>
      <c r="E326" s="214" t="str">
        <f t="shared" si="140"/>
        <v>B</v>
      </c>
      <c r="F326" s="215"/>
      <c r="G326" s="215"/>
      <c r="H326" s="215"/>
      <c r="I326" s="215"/>
      <c r="J326" s="215"/>
      <c r="K326" s="215"/>
      <c r="L326" s="215"/>
      <c r="M326" s="215"/>
      <c r="N326" s="215"/>
      <c r="O326" s="215"/>
      <c r="P326" s="215"/>
      <c r="Q326" s="215"/>
      <c r="R326" s="215"/>
      <c r="S326" s="215"/>
      <c r="T326" s="216">
        <f t="shared" si="141"/>
        <v>0</v>
      </c>
      <c r="U326" s="351">
        <f t="shared" si="142"/>
        <v>0</v>
      </c>
      <c r="V326" s="217" t="str">
        <f t="shared" si="143"/>
        <v>Rp</v>
      </c>
      <c r="W326" s="218">
        <f t="shared" si="144"/>
        <v>125000</v>
      </c>
      <c r="X326" s="217" t="str">
        <f t="shared" si="145"/>
        <v>Rp</v>
      </c>
      <c r="Y326" s="218">
        <f t="shared" si="146"/>
        <v>15000</v>
      </c>
      <c r="Z326" s="217" t="str">
        <f t="shared" si="147"/>
        <v xml:space="preserve"> </v>
      </c>
      <c r="AA326" s="219">
        <f t="shared" si="148"/>
        <v>0</v>
      </c>
      <c r="AB326" s="222">
        <v>3</v>
      </c>
      <c r="AC326" s="221"/>
      <c r="AE326" s="211"/>
      <c r="AF326" s="211"/>
      <c r="AI326" s="211" t="b">
        <f t="shared" si="132"/>
        <v>0</v>
      </c>
      <c r="AJ326" s="211" t="b">
        <f t="shared" si="133"/>
        <v>0</v>
      </c>
      <c r="AK326" s="211" t="b">
        <f t="shared" si="134"/>
        <v>0</v>
      </c>
      <c r="AL326" s="211" t="b">
        <f t="shared" si="135"/>
        <v>0</v>
      </c>
      <c r="AM326" s="211" t="b">
        <f t="shared" si="136"/>
        <v>0</v>
      </c>
      <c r="AN326" s="211" t="b">
        <f t="shared" si="137"/>
        <v>0</v>
      </c>
      <c r="AO326" s="211" t="b">
        <f t="shared" si="138"/>
        <v>0</v>
      </c>
    </row>
    <row r="327" spans="2:41" ht="24.95" customHeight="1" x14ac:dyDescent="0.25">
      <c r="B327" s="212">
        <v>4</v>
      </c>
      <c r="C327" s="202" t="str">
        <f t="shared" si="139"/>
        <v>SUMARTO</v>
      </c>
      <c r="D327" s="213"/>
      <c r="E327" s="214" t="str">
        <f t="shared" si="140"/>
        <v>B</v>
      </c>
      <c r="F327" s="215"/>
      <c r="G327" s="215"/>
      <c r="H327" s="215"/>
      <c r="I327" s="215"/>
      <c r="J327" s="215"/>
      <c r="K327" s="215"/>
      <c r="L327" s="215"/>
      <c r="M327" s="215"/>
      <c r="N327" s="215"/>
      <c r="O327" s="215"/>
      <c r="P327" s="215"/>
      <c r="Q327" s="215"/>
      <c r="R327" s="215"/>
      <c r="S327" s="215"/>
      <c r="T327" s="216">
        <f t="shared" si="141"/>
        <v>0</v>
      </c>
      <c r="U327" s="351">
        <f t="shared" si="142"/>
        <v>0</v>
      </c>
      <c r="V327" s="217" t="str">
        <f t="shared" si="143"/>
        <v>Rp</v>
      </c>
      <c r="W327" s="218">
        <f t="shared" si="144"/>
        <v>125000</v>
      </c>
      <c r="X327" s="217" t="str">
        <f t="shared" si="145"/>
        <v>Rp</v>
      </c>
      <c r="Y327" s="218">
        <f t="shared" si="146"/>
        <v>15000</v>
      </c>
      <c r="Z327" s="217" t="str">
        <f t="shared" si="147"/>
        <v xml:space="preserve"> </v>
      </c>
      <c r="AA327" s="219">
        <f t="shared" si="148"/>
        <v>0</v>
      </c>
      <c r="AB327" s="222"/>
      <c r="AC327" s="223">
        <v>4</v>
      </c>
      <c r="AE327" s="211"/>
      <c r="AF327" s="211"/>
      <c r="AI327" s="211" t="b">
        <f t="shared" si="132"/>
        <v>0</v>
      </c>
      <c r="AJ327" s="211" t="b">
        <f t="shared" si="133"/>
        <v>0</v>
      </c>
      <c r="AK327" s="211" t="b">
        <f t="shared" si="134"/>
        <v>0</v>
      </c>
      <c r="AL327" s="211" t="b">
        <f t="shared" si="135"/>
        <v>0</v>
      </c>
      <c r="AM327" s="211" t="b">
        <f t="shared" si="136"/>
        <v>0</v>
      </c>
      <c r="AN327" s="211" t="b">
        <f t="shared" si="137"/>
        <v>0</v>
      </c>
      <c r="AO327" s="211" t="b">
        <f t="shared" si="138"/>
        <v>0</v>
      </c>
    </row>
    <row r="328" spans="2:41" ht="24.95" customHeight="1" x14ac:dyDescent="0.25">
      <c r="B328" s="212">
        <v>5</v>
      </c>
      <c r="C328" s="202" t="str">
        <f t="shared" si="139"/>
        <v>TONI</v>
      </c>
      <c r="D328" s="213"/>
      <c r="E328" s="214" t="str">
        <f t="shared" si="140"/>
        <v>C</v>
      </c>
      <c r="F328" s="215"/>
      <c r="G328" s="215"/>
      <c r="H328" s="215"/>
      <c r="I328" s="215"/>
      <c r="J328" s="215"/>
      <c r="K328" s="215"/>
      <c r="L328" s="215"/>
      <c r="M328" s="215"/>
      <c r="N328" s="215"/>
      <c r="O328" s="215"/>
      <c r="P328" s="215"/>
      <c r="Q328" s="215"/>
      <c r="R328" s="215"/>
      <c r="S328" s="215"/>
      <c r="T328" s="216">
        <f t="shared" si="141"/>
        <v>0</v>
      </c>
      <c r="U328" s="351">
        <f t="shared" si="142"/>
        <v>0</v>
      </c>
      <c r="V328" s="217" t="str">
        <f t="shared" si="143"/>
        <v>Rp</v>
      </c>
      <c r="W328" s="218">
        <f t="shared" si="144"/>
        <v>115000</v>
      </c>
      <c r="X328" s="217" t="str">
        <f t="shared" si="145"/>
        <v>Rp</v>
      </c>
      <c r="Y328" s="218">
        <f t="shared" si="146"/>
        <v>10000</v>
      </c>
      <c r="Z328" s="217" t="str">
        <f t="shared" si="147"/>
        <v xml:space="preserve"> </v>
      </c>
      <c r="AA328" s="219">
        <f t="shared" si="148"/>
        <v>0</v>
      </c>
      <c r="AB328" s="222">
        <v>5</v>
      </c>
      <c r="AC328" s="221"/>
      <c r="AE328" s="211"/>
      <c r="AF328" s="211"/>
      <c r="AI328" s="211" t="b">
        <f t="shared" si="132"/>
        <v>0</v>
      </c>
      <c r="AJ328" s="211" t="b">
        <f t="shared" si="133"/>
        <v>0</v>
      </c>
      <c r="AK328" s="211" t="b">
        <f t="shared" si="134"/>
        <v>0</v>
      </c>
      <c r="AL328" s="211" t="b">
        <f t="shared" si="135"/>
        <v>0</v>
      </c>
      <c r="AM328" s="211" t="b">
        <f t="shared" si="136"/>
        <v>0</v>
      </c>
      <c r="AN328" s="211" t="b">
        <f t="shared" si="137"/>
        <v>0</v>
      </c>
      <c r="AO328" s="211" t="b">
        <f t="shared" si="138"/>
        <v>0</v>
      </c>
    </row>
    <row r="329" spans="2:41" ht="24.95" customHeight="1" x14ac:dyDescent="0.25">
      <c r="B329" s="212">
        <v>6</v>
      </c>
      <c r="C329" s="202" t="str">
        <f t="shared" si="139"/>
        <v>SAKIM</v>
      </c>
      <c r="D329" s="213"/>
      <c r="E329" s="214" t="str">
        <f t="shared" si="140"/>
        <v>C</v>
      </c>
      <c r="F329" s="215"/>
      <c r="G329" s="215"/>
      <c r="H329" s="215"/>
      <c r="I329" s="215"/>
      <c r="J329" s="215"/>
      <c r="K329" s="215"/>
      <c r="L329" s="215"/>
      <c r="M329" s="215"/>
      <c r="N329" s="215"/>
      <c r="O329" s="215"/>
      <c r="P329" s="215"/>
      <c r="Q329" s="215"/>
      <c r="R329" s="215"/>
      <c r="S329" s="215"/>
      <c r="T329" s="216">
        <f t="shared" si="141"/>
        <v>0</v>
      </c>
      <c r="U329" s="351">
        <f t="shared" si="142"/>
        <v>0</v>
      </c>
      <c r="V329" s="217" t="str">
        <f t="shared" si="143"/>
        <v>Rp</v>
      </c>
      <c r="W329" s="218">
        <f t="shared" si="144"/>
        <v>115000</v>
      </c>
      <c r="X329" s="217" t="str">
        <f t="shared" si="145"/>
        <v>Rp</v>
      </c>
      <c r="Y329" s="218">
        <f t="shared" si="146"/>
        <v>10000</v>
      </c>
      <c r="Z329" s="217" t="str">
        <f t="shared" si="147"/>
        <v xml:space="preserve"> </v>
      </c>
      <c r="AA329" s="219">
        <f t="shared" si="148"/>
        <v>0</v>
      </c>
      <c r="AB329" s="222"/>
      <c r="AC329" s="223"/>
      <c r="AE329" s="211"/>
      <c r="AF329" s="211"/>
      <c r="AI329" s="211" t="b">
        <f t="shared" si="132"/>
        <v>0</v>
      </c>
      <c r="AJ329" s="211" t="b">
        <f t="shared" si="133"/>
        <v>0</v>
      </c>
      <c r="AK329" s="211" t="b">
        <f t="shared" si="134"/>
        <v>0</v>
      </c>
      <c r="AL329" s="211" t="b">
        <f t="shared" si="135"/>
        <v>0</v>
      </c>
      <c r="AM329" s="211" t="b">
        <f t="shared" si="136"/>
        <v>0</v>
      </c>
      <c r="AN329" s="211" t="b">
        <f t="shared" si="137"/>
        <v>0</v>
      </c>
      <c r="AO329" s="211" t="b">
        <f t="shared" si="138"/>
        <v>0</v>
      </c>
    </row>
    <row r="330" spans="2:41" ht="24.95" customHeight="1" x14ac:dyDescent="0.25">
      <c r="B330" s="212">
        <v>7</v>
      </c>
      <c r="C330" s="202" t="str">
        <f t="shared" si="139"/>
        <v>TOHIR</v>
      </c>
      <c r="D330" s="213"/>
      <c r="E330" s="214" t="str">
        <f t="shared" si="140"/>
        <v>C</v>
      </c>
      <c r="F330" s="215"/>
      <c r="G330" s="215"/>
      <c r="H330" s="215"/>
      <c r="I330" s="215"/>
      <c r="J330" s="215"/>
      <c r="K330" s="215"/>
      <c r="L330" s="215"/>
      <c r="M330" s="215"/>
      <c r="N330" s="215"/>
      <c r="O330" s="215"/>
      <c r="P330" s="215"/>
      <c r="Q330" s="215"/>
      <c r="R330" s="215"/>
      <c r="S330" s="215"/>
      <c r="T330" s="216">
        <f t="shared" si="141"/>
        <v>0</v>
      </c>
      <c r="U330" s="351">
        <f t="shared" si="142"/>
        <v>0</v>
      </c>
      <c r="V330" s="217" t="str">
        <f t="shared" si="143"/>
        <v>Rp</v>
      </c>
      <c r="W330" s="218">
        <f t="shared" si="144"/>
        <v>115000</v>
      </c>
      <c r="X330" s="217" t="str">
        <f t="shared" si="145"/>
        <v>Rp</v>
      </c>
      <c r="Y330" s="218">
        <f t="shared" si="146"/>
        <v>10000</v>
      </c>
      <c r="Z330" s="217" t="str">
        <f t="shared" si="147"/>
        <v xml:space="preserve"> </v>
      </c>
      <c r="AA330" s="219">
        <f t="shared" si="148"/>
        <v>0</v>
      </c>
      <c r="AB330" s="222"/>
      <c r="AC330" s="221"/>
      <c r="AE330" s="211"/>
      <c r="AF330" s="211"/>
      <c r="AI330" s="211" t="b">
        <f t="shared" si="132"/>
        <v>0</v>
      </c>
      <c r="AJ330" s="211" t="b">
        <f t="shared" si="133"/>
        <v>0</v>
      </c>
      <c r="AK330" s="211" t="b">
        <f t="shared" si="134"/>
        <v>0</v>
      </c>
      <c r="AL330" s="211" t="b">
        <f t="shared" si="135"/>
        <v>0</v>
      </c>
      <c r="AM330" s="211" t="b">
        <f t="shared" si="136"/>
        <v>0</v>
      </c>
      <c r="AN330" s="211" t="b">
        <f t="shared" si="137"/>
        <v>0</v>
      </c>
      <c r="AO330" s="211" t="b">
        <f t="shared" si="138"/>
        <v>0</v>
      </c>
    </row>
    <row r="331" spans="2:41" ht="24.95" customHeight="1" x14ac:dyDescent="0.25">
      <c r="B331" s="212">
        <v>8</v>
      </c>
      <c r="C331" s="202" t="str">
        <f t="shared" si="139"/>
        <v>ROJALI</v>
      </c>
      <c r="D331" s="213"/>
      <c r="E331" s="214" t="str">
        <f t="shared" si="140"/>
        <v>C</v>
      </c>
      <c r="F331" s="215"/>
      <c r="G331" s="215"/>
      <c r="H331" s="215"/>
      <c r="I331" s="215"/>
      <c r="J331" s="215"/>
      <c r="K331" s="215"/>
      <c r="L331" s="215"/>
      <c r="M331" s="215"/>
      <c r="N331" s="215"/>
      <c r="O331" s="215"/>
      <c r="P331" s="215"/>
      <c r="Q331" s="215"/>
      <c r="R331" s="215"/>
      <c r="S331" s="215"/>
      <c r="T331" s="216">
        <f t="shared" si="141"/>
        <v>0</v>
      </c>
      <c r="U331" s="351">
        <f t="shared" si="142"/>
        <v>0</v>
      </c>
      <c r="V331" s="217" t="str">
        <f t="shared" si="143"/>
        <v>Rp</v>
      </c>
      <c r="W331" s="218">
        <f t="shared" si="144"/>
        <v>115000</v>
      </c>
      <c r="X331" s="217" t="str">
        <f t="shared" si="145"/>
        <v>Rp</v>
      </c>
      <c r="Y331" s="218">
        <f t="shared" si="146"/>
        <v>10000</v>
      </c>
      <c r="Z331" s="217" t="str">
        <f t="shared" si="147"/>
        <v xml:space="preserve"> </v>
      </c>
      <c r="AA331" s="219">
        <f t="shared" si="148"/>
        <v>0</v>
      </c>
      <c r="AB331" s="222"/>
      <c r="AC331" s="223"/>
      <c r="AE331" s="211"/>
      <c r="AF331" s="211"/>
      <c r="AI331" s="211" t="b">
        <f t="shared" si="132"/>
        <v>0</v>
      </c>
      <c r="AJ331" s="211" t="b">
        <f t="shared" si="133"/>
        <v>0</v>
      </c>
      <c r="AK331" s="211" t="b">
        <f t="shared" si="134"/>
        <v>0</v>
      </c>
      <c r="AL331" s="211" t="b">
        <f t="shared" si="135"/>
        <v>0</v>
      </c>
      <c r="AM331" s="211" t="b">
        <f t="shared" si="136"/>
        <v>0</v>
      </c>
      <c r="AN331" s="211" t="b">
        <f t="shared" si="137"/>
        <v>0</v>
      </c>
      <c r="AO331" s="211" t="b">
        <f t="shared" si="138"/>
        <v>0</v>
      </c>
    </row>
    <row r="332" spans="2:41" ht="24.95" customHeight="1" x14ac:dyDescent="0.25">
      <c r="B332" s="212">
        <v>9</v>
      </c>
      <c r="C332" s="202">
        <f t="shared" si="139"/>
        <v>0</v>
      </c>
      <c r="D332" s="213"/>
      <c r="E332" s="214">
        <f t="shared" si="140"/>
        <v>0</v>
      </c>
      <c r="F332" s="215"/>
      <c r="G332" s="215"/>
      <c r="H332" s="215"/>
      <c r="I332" s="215"/>
      <c r="J332" s="215"/>
      <c r="K332" s="215"/>
      <c r="L332" s="215"/>
      <c r="M332" s="215"/>
      <c r="N332" s="215"/>
      <c r="O332" s="215"/>
      <c r="P332" s="215"/>
      <c r="Q332" s="215"/>
      <c r="R332" s="215"/>
      <c r="S332" s="215"/>
      <c r="T332" s="216">
        <f t="shared" si="141"/>
        <v>0</v>
      </c>
      <c r="U332" s="351">
        <f t="shared" si="142"/>
        <v>0</v>
      </c>
      <c r="V332" s="217" t="str">
        <f t="shared" si="143"/>
        <v xml:space="preserve"> </v>
      </c>
      <c r="W332" s="218">
        <f t="shared" si="144"/>
        <v>0</v>
      </c>
      <c r="X332" s="217" t="str">
        <f t="shared" si="145"/>
        <v xml:space="preserve"> </v>
      </c>
      <c r="Y332" s="218">
        <f t="shared" si="146"/>
        <v>0</v>
      </c>
      <c r="Z332" s="217" t="str">
        <f t="shared" si="147"/>
        <v xml:space="preserve"> </v>
      </c>
      <c r="AA332" s="219">
        <f t="shared" si="148"/>
        <v>0</v>
      </c>
      <c r="AB332" s="222"/>
      <c r="AC332" s="221"/>
      <c r="AE332" s="211"/>
      <c r="AF332" s="211"/>
      <c r="AI332" s="211" t="b">
        <f t="shared" si="132"/>
        <v>0</v>
      </c>
      <c r="AJ332" s="211" t="b">
        <f t="shared" si="133"/>
        <v>0</v>
      </c>
      <c r="AK332" s="211" t="b">
        <f t="shared" si="134"/>
        <v>0</v>
      </c>
      <c r="AL332" s="211" t="b">
        <f t="shared" si="135"/>
        <v>0</v>
      </c>
      <c r="AM332" s="211" t="b">
        <f t="shared" si="136"/>
        <v>0</v>
      </c>
      <c r="AN332" s="211" t="b">
        <f t="shared" si="137"/>
        <v>0</v>
      </c>
      <c r="AO332" s="211" t="b">
        <f t="shared" si="138"/>
        <v>0</v>
      </c>
    </row>
    <row r="333" spans="2:41" ht="24.95" customHeight="1" x14ac:dyDescent="0.25">
      <c r="B333" s="212">
        <v>10</v>
      </c>
      <c r="C333" s="202">
        <f t="shared" si="139"/>
        <v>0</v>
      </c>
      <c r="D333" s="213"/>
      <c r="E333" s="214">
        <f t="shared" si="140"/>
        <v>0</v>
      </c>
      <c r="F333" s="215"/>
      <c r="G333" s="215"/>
      <c r="H333" s="215"/>
      <c r="I333" s="215"/>
      <c r="J333" s="215"/>
      <c r="K333" s="215"/>
      <c r="L333" s="215"/>
      <c r="M333" s="215"/>
      <c r="N333" s="215"/>
      <c r="O333" s="215"/>
      <c r="P333" s="215"/>
      <c r="Q333" s="215"/>
      <c r="R333" s="215"/>
      <c r="S333" s="215"/>
      <c r="T333" s="216"/>
      <c r="U333" s="352"/>
      <c r="V333" s="217"/>
      <c r="W333" s="218"/>
      <c r="X333" s="217"/>
      <c r="Y333" s="218"/>
      <c r="Z333" s="217" t="str">
        <f t="shared" si="147"/>
        <v xml:space="preserve"> </v>
      </c>
      <c r="AA333" s="219">
        <f t="shared" si="148"/>
        <v>0</v>
      </c>
      <c r="AB333" s="222"/>
      <c r="AC333" s="223"/>
      <c r="AE333" s="211"/>
      <c r="AF333" s="211"/>
      <c r="AI333" s="211" t="b">
        <f t="shared" si="132"/>
        <v>0</v>
      </c>
      <c r="AJ333" s="211" t="b">
        <f t="shared" si="133"/>
        <v>0</v>
      </c>
      <c r="AK333" s="211" t="b">
        <f t="shared" si="134"/>
        <v>0</v>
      </c>
      <c r="AL333" s="211" t="b">
        <f t="shared" si="135"/>
        <v>0</v>
      </c>
      <c r="AM333" s="211" t="b">
        <f t="shared" si="136"/>
        <v>0</v>
      </c>
      <c r="AN333" s="211" t="b">
        <f t="shared" si="137"/>
        <v>0</v>
      </c>
      <c r="AO333" s="211" t="b">
        <f t="shared" si="138"/>
        <v>0</v>
      </c>
    </row>
    <row r="334" spans="2:41" ht="24.95" customHeight="1" x14ac:dyDescent="0.25">
      <c r="B334" s="212">
        <v>11</v>
      </c>
      <c r="C334" s="202">
        <f>C295</f>
        <v>0</v>
      </c>
      <c r="D334" s="213"/>
      <c r="E334" s="214">
        <f>E295</f>
        <v>0</v>
      </c>
      <c r="F334" s="215"/>
      <c r="G334" s="215"/>
      <c r="H334" s="215"/>
      <c r="I334" s="215"/>
      <c r="J334" s="215"/>
      <c r="K334" s="215"/>
      <c r="L334" s="215"/>
      <c r="M334" s="215"/>
      <c r="N334" s="215"/>
      <c r="O334" s="215"/>
      <c r="P334" s="215"/>
      <c r="Q334" s="215"/>
      <c r="R334" s="215"/>
      <c r="S334" s="215"/>
      <c r="T334" s="216">
        <f>SUM(AI334:AO334)</f>
        <v>0</v>
      </c>
      <c r="U334" s="216">
        <f>SUM(F334:S334)/6</f>
        <v>0</v>
      </c>
      <c r="V334" s="217"/>
      <c r="W334" s="218"/>
      <c r="X334" s="217"/>
      <c r="Y334" s="218"/>
      <c r="Z334" s="217" t="str">
        <f>IF(AA334&gt;0,"Rp",IF(AA334=0," "))</f>
        <v xml:space="preserve"> </v>
      </c>
      <c r="AA334" s="219">
        <f>W334*T334+U334*Y334</f>
        <v>0</v>
      </c>
      <c r="AB334" s="222" t="str">
        <f>IF(AA334&gt;0,1,IF(AA334=0," "))</f>
        <v xml:space="preserve"> </v>
      </c>
      <c r="AC334" s="221"/>
      <c r="AE334" s="211"/>
      <c r="AF334" s="211"/>
      <c r="AI334" s="211" t="b">
        <f t="shared" si="132"/>
        <v>0</v>
      </c>
      <c r="AJ334" s="211" t="b">
        <f t="shared" si="133"/>
        <v>0</v>
      </c>
      <c r="AK334" s="211" t="b">
        <f t="shared" si="134"/>
        <v>0</v>
      </c>
      <c r="AL334" s="211" t="b">
        <f t="shared" si="135"/>
        <v>0</v>
      </c>
      <c r="AM334" s="211" t="b">
        <f t="shared" si="136"/>
        <v>0</v>
      </c>
      <c r="AN334" s="211" t="b">
        <f>IFERROR(IF(P334="V",1,IF(P334="X",0))," ")</f>
        <v>0</v>
      </c>
      <c r="AO334" s="211" t="b">
        <f>IFERROR(IF(R334="V",1,IF(R334="X",0))," ")</f>
        <v>0</v>
      </c>
    </row>
    <row r="335" spans="2:41" ht="24.95" customHeight="1" x14ac:dyDescent="0.25">
      <c r="B335" s="212">
        <v>12</v>
      </c>
      <c r="C335" s="202"/>
      <c r="D335" s="213"/>
      <c r="E335" s="214"/>
      <c r="F335" s="215"/>
      <c r="G335" s="215"/>
      <c r="H335" s="215"/>
      <c r="I335" s="215"/>
      <c r="J335" s="215"/>
      <c r="K335" s="215"/>
      <c r="L335" s="215"/>
      <c r="M335" s="215"/>
      <c r="N335" s="215"/>
      <c r="O335" s="215"/>
      <c r="P335" s="215"/>
      <c r="Q335" s="215"/>
      <c r="R335" s="215"/>
      <c r="S335" s="215"/>
      <c r="T335" s="216">
        <f>SUM(AI335:AO335)</f>
        <v>0</v>
      </c>
      <c r="U335" s="216">
        <f>SUM(F335:S335)/6</f>
        <v>0</v>
      </c>
      <c r="V335" s="217"/>
      <c r="W335" s="218"/>
      <c r="X335" s="217"/>
      <c r="Y335" s="218"/>
      <c r="Z335" s="217" t="str">
        <f>IF(AA335&gt;0,"Rp",IF(AA335=0," "))</f>
        <v xml:space="preserve"> </v>
      </c>
      <c r="AA335" s="219">
        <f>W335*T335+U335*Y335</f>
        <v>0</v>
      </c>
      <c r="AB335" s="222" t="str">
        <f>IF(AA335&gt;0,1,IF(AA335=0," "))</f>
        <v xml:space="preserve"> </v>
      </c>
      <c r="AC335" s="223"/>
      <c r="AE335" s="211"/>
      <c r="AF335" s="211"/>
      <c r="AI335" s="211" t="b">
        <f t="shared" si="132"/>
        <v>0</v>
      </c>
      <c r="AJ335" s="211" t="b">
        <f t="shared" si="133"/>
        <v>0</v>
      </c>
      <c r="AK335" s="211" t="b">
        <f t="shared" si="134"/>
        <v>0</v>
      </c>
      <c r="AL335" s="211" t="b">
        <f t="shared" si="135"/>
        <v>0</v>
      </c>
      <c r="AM335" s="211" t="b">
        <f t="shared" si="136"/>
        <v>0</v>
      </c>
      <c r="AN335" s="211" t="b">
        <f>IFERROR(IF(P335="V",1,IF(P335="X",0))," ")</f>
        <v>0</v>
      </c>
      <c r="AO335" s="211" t="b">
        <f>IFERROR(IF(R335="V",1,IF(R335="X",0))," ")</f>
        <v>0</v>
      </c>
    </row>
    <row r="336" spans="2:41" ht="24.95" customHeight="1" thickBot="1" x14ac:dyDescent="0.25">
      <c r="B336" s="233"/>
      <c r="C336" s="257"/>
      <c r="D336" s="235"/>
      <c r="E336" s="236"/>
      <c r="F336" s="237"/>
      <c r="G336" s="237"/>
      <c r="H336" s="238"/>
      <c r="I336" s="238"/>
      <c r="J336" s="239"/>
      <c r="K336" s="239"/>
      <c r="L336" s="239"/>
      <c r="M336" s="239"/>
      <c r="N336" s="240"/>
      <c r="O336" s="240"/>
      <c r="P336" s="240"/>
      <c r="Q336" s="240"/>
      <c r="R336" s="240"/>
      <c r="S336" s="353"/>
      <c r="T336" s="259"/>
      <c r="U336" s="259"/>
      <c r="V336" s="242"/>
      <c r="W336" s="258"/>
      <c r="X336" s="242"/>
      <c r="Y336" s="258"/>
      <c r="Z336" s="244"/>
      <c r="AA336" s="236"/>
      <c r="AB336" s="246"/>
      <c r="AC336" s="247"/>
      <c r="AE336" s="211"/>
      <c r="AF336" s="211"/>
    </row>
    <row r="337" spans="1:32" ht="20.100000000000001" customHeight="1" thickTop="1" thickBot="1" x14ac:dyDescent="0.3">
      <c r="A337" s="179">
        <f>A298+1</f>
        <v>9</v>
      </c>
      <c r="B337" s="248"/>
      <c r="C337" s="249"/>
      <c r="D337" s="249"/>
      <c r="E337" s="249"/>
      <c r="F337" s="249"/>
      <c r="G337" s="249"/>
      <c r="H337" s="249"/>
      <c r="I337" s="249"/>
      <c r="J337" s="249"/>
      <c r="K337" s="249"/>
      <c r="L337" s="249"/>
      <c r="M337" s="249"/>
      <c r="N337" s="249"/>
      <c r="O337" s="249"/>
      <c r="P337" s="249"/>
      <c r="Q337" s="249"/>
      <c r="R337" s="249"/>
      <c r="S337" s="249"/>
      <c r="T337" s="249"/>
      <c r="U337" s="249"/>
      <c r="V337" s="249"/>
      <c r="W337" s="250" t="s">
        <v>40</v>
      </c>
      <c r="X337" s="249"/>
      <c r="Y337" s="250" t="s">
        <v>40</v>
      </c>
      <c r="Z337" s="249"/>
      <c r="AA337" s="710">
        <f>SUM(AA324:AA336)</f>
        <v>0</v>
      </c>
      <c r="AB337" s="711"/>
      <c r="AC337" s="712"/>
      <c r="AE337" s="226" t="str">
        <f>VLOOKUP(A337,'Rekap Gaji'!$B$12:$P$32,10,FALSE)</f>
        <v xml:space="preserve"> 01 November 2025</v>
      </c>
      <c r="AF337" s="251" t="e">
        <f>AE337-AA337</f>
        <v>#VALUE!</v>
      </c>
    </row>
    <row r="338" spans="1:32" ht="11.25" customHeight="1" x14ac:dyDescent="0.25"/>
    <row r="339" spans="1:32" ht="16.5" customHeight="1" x14ac:dyDescent="0.25">
      <c r="B339" s="195" t="s">
        <v>41</v>
      </c>
      <c r="C339" s="140" t="s">
        <v>42</v>
      </c>
    </row>
    <row r="340" spans="1:32" ht="14.25" x14ac:dyDescent="0.25">
      <c r="H340" s="183"/>
      <c r="I340" s="183"/>
      <c r="J340" s="182"/>
      <c r="K340" s="182"/>
      <c r="T340" s="141"/>
      <c r="U340" s="141"/>
      <c r="V340" s="141"/>
      <c r="X340" s="141"/>
      <c r="AA340" s="140" t="str">
        <f>'BKU 1'!$I$25</f>
        <v>NGANTANG</v>
      </c>
      <c r="AB340" s="713">
        <f>IFERROR(VLOOKUP(E318,'Rekap Gaji'!$B$12:$P$32,7,FALSE),"-")</f>
        <v>45962</v>
      </c>
      <c r="AC340" s="713"/>
      <c r="AD340" s="252"/>
      <c r="AE340" s="252"/>
    </row>
    <row r="341" spans="1:32" ht="15.75" x14ac:dyDescent="0.25">
      <c r="C341" s="140" t="s">
        <v>43</v>
      </c>
      <c r="F341" s="253"/>
      <c r="G341" s="253"/>
      <c r="H341" s="254"/>
      <c r="I341" s="254"/>
      <c r="J341" s="255"/>
      <c r="K341" s="255"/>
      <c r="L341" s="256"/>
      <c r="M341" s="256"/>
      <c r="N341" s="225" t="s">
        <v>44</v>
      </c>
      <c r="O341" s="225"/>
      <c r="P341" s="253"/>
      <c r="Q341" s="253"/>
      <c r="T341" s="141"/>
      <c r="U341" s="141"/>
      <c r="V341" s="141"/>
      <c r="X341" s="141"/>
      <c r="AA341" s="140" t="str">
        <f>'BKU 1'!$L$354</f>
        <v>Dibuat Oleh ;</v>
      </c>
      <c r="AB341" s="141"/>
    </row>
    <row r="342" spans="1:32" ht="14.25" x14ac:dyDescent="0.25">
      <c r="C342" s="140" t="str">
        <f>'BKU 1'!$C$355</f>
        <v>Kepala Sekolah SDN 1 SIDODADI</v>
      </c>
      <c r="F342" s="187"/>
      <c r="G342" s="187"/>
      <c r="H342" s="224"/>
      <c r="I342" s="224"/>
      <c r="J342" s="182"/>
      <c r="K342" s="182"/>
      <c r="L342" s="183"/>
      <c r="M342" s="183"/>
      <c r="N342" s="140" t="s">
        <v>45</v>
      </c>
      <c r="P342" s="187"/>
      <c r="Q342" s="187"/>
      <c r="AA342" s="140" t="str">
        <f>'BKU 1'!$L$355</f>
        <v>Bendahara Pembangunan</v>
      </c>
      <c r="AB342" s="141"/>
    </row>
    <row r="343" spans="1:32" ht="14.25" x14ac:dyDescent="0.25">
      <c r="F343" s="187"/>
      <c r="G343" s="187"/>
      <c r="H343" s="224"/>
      <c r="I343" s="224"/>
      <c r="J343" s="182"/>
      <c r="K343" s="182"/>
      <c r="L343" s="183"/>
      <c r="M343" s="183"/>
      <c r="P343" s="187"/>
      <c r="Q343" s="187"/>
      <c r="AA343" s="140"/>
      <c r="AB343" s="141"/>
    </row>
    <row r="344" spans="1:32" ht="14.25" x14ac:dyDescent="0.25">
      <c r="F344" s="187"/>
      <c r="G344" s="187"/>
      <c r="H344" s="224"/>
      <c r="I344" s="224"/>
      <c r="J344" s="182"/>
      <c r="K344" s="182"/>
      <c r="L344" s="183"/>
      <c r="M344" s="183"/>
      <c r="P344" s="187"/>
      <c r="Q344" s="187"/>
      <c r="AA344" s="140"/>
      <c r="AB344" s="141"/>
    </row>
    <row r="345" spans="1:32" ht="14.25" x14ac:dyDescent="0.25">
      <c r="F345" s="187"/>
      <c r="G345" s="187"/>
      <c r="H345" s="224"/>
      <c r="I345" s="224"/>
      <c r="J345" s="182"/>
      <c r="K345" s="182"/>
      <c r="L345" s="183"/>
      <c r="M345" s="183"/>
      <c r="P345" s="187"/>
      <c r="Q345" s="187"/>
      <c r="AA345" s="140"/>
      <c r="AB345" s="141"/>
    </row>
    <row r="346" spans="1:32" ht="14.25" x14ac:dyDescent="0.25">
      <c r="F346" s="187"/>
      <c r="G346" s="187"/>
      <c r="H346" s="224"/>
      <c r="I346" s="224"/>
      <c r="J346" s="182"/>
      <c r="K346" s="182"/>
      <c r="L346" s="183"/>
      <c r="M346" s="183"/>
      <c r="P346" s="187"/>
      <c r="Q346" s="187"/>
      <c r="AA346" s="140"/>
      <c r="AB346" s="141"/>
    </row>
    <row r="347" spans="1:32" x14ac:dyDescent="0.25">
      <c r="H347" s="225"/>
      <c r="I347" s="225"/>
      <c r="AA347" s="140"/>
    </row>
    <row r="348" spans="1:32" x14ac:dyDescent="0.25">
      <c r="H348" s="225"/>
      <c r="I348" s="225"/>
      <c r="AA348" s="140"/>
    </row>
    <row r="349" spans="1:32" s="189" customFormat="1" ht="15" customHeight="1" x14ac:dyDescent="0.25">
      <c r="A349" s="192"/>
      <c r="B349" s="195"/>
      <c r="C349" s="227" t="str">
        <f>'BKU 1'!$C$360</f>
        <v>MELIA FITRIANI, S.Pd.SD</v>
      </c>
      <c r="D349" s="227"/>
      <c r="H349" s="228"/>
      <c r="I349" s="228"/>
      <c r="J349" s="195"/>
      <c r="K349" s="195"/>
      <c r="L349" s="194"/>
      <c r="M349" s="194"/>
      <c r="N349" s="229" t="str">
        <f>'BKU 1'!$H$360</f>
        <v>HARTATIK</v>
      </c>
      <c r="O349" s="229"/>
      <c r="AA349" s="227" t="str">
        <f>'BKU 1'!$L$360</f>
        <v>ARIF NUR UDIN, S.Pd.SD</v>
      </c>
      <c r="AC349" s="230"/>
      <c r="AE349" s="231"/>
      <c r="AF349" s="231"/>
    </row>
    <row r="350" spans="1:32" s="189" customFormat="1" ht="15" customHeight="1" x14ac:dyDescent="0.25">
      <c r="A350" s="192"/>
      <c r="B350" s="195"/>
      <c r="C350" s="140" t="str">
        <f>'BKU 1'!$C$361</f>
        <v>NIP. 19850619 200904 2 000</v>
      </c>
      <c r="D350" s="140"/>
      <c r="E350" s="140"/>
      <c r="F350" s="140"/>
      <c r="G350" s="140"/>
      <c r="H350" s="225"/>
      <c r="I350" s="225"/>
      <c r="J350" s="191"/>
      <c r="K350" s="191"/>
      <c r="L350" s="190"/>
      <c r="M350" s="190"/>
      <c r="N350" s="232"/>
      <c r="O350" s="232"/>
      <c r="P350" s="140"/>
      <c r="Q350" s="140"/>
      <c r="T350" s="140"/>
      <c r="U350" s="140"/>
      <c r="V350" s="140"/>
      <c r="W350" s="140"/>
      <c r="X350" s="140"/>
      <c r="Y350" s="140"/>
      <c r="Z350" s="140"/>
      <c r="AA350" s="140" t="str">
        <f>'BKU 1'!$L$361</f>
        <v>NIP. 19840719 200903 1 002</v>
      </c>
      <c r="AC350" s="230"/>
      <c r="AE350" s="231"/>
      <c r="AF350" s="231"/>
    </row>
    <row r="351" spans="1:32" ht="6" customHeight="1" x14ac:dyDescent="0.25"/>
    <row r="352" spans="1:32" s="177" customFormat="1" ht="24.95" customHeight="1" x14ac:dyDescent="0.25">
      <c r="A352" s="176"/>
      <c r="B352" s="726" t="s">
        <v>6</v>
      </c>
      <c r="C352" s="726"/>
      <c r="D352" s="726"/>
      <c r="E352" s="726"/>
      <c r="F352" s="726"/>
      <c r="G352" s="726"/>
      <c r="H352" s="726"/>
      <c r="I352" s="726"/>
      <c r="J352" s="726"/>
      <c r="K352" s="726"/>
      <c r="L352" s="726"/>
      <c r="M352" s="726"/>
      <c r="N352" s="726"/>
      <c r="O352" s="726"/>
      <c r="P352" s="726"/>
      <c r="Q352" s="726"/>
      <c r="R352" s="726"/>
      <c r="S352" s="726"/>
      <c r="T352" s="726"/>
      <c r="U352" s="726"/>
      <c r="V352" s="726"/>
      <c r="W352" s="726"/>
      <c r="X352" s="726"/>
      <c r="Y352" s="726"/>
      <c r="Z352" s="726"/>
      <c r="AA352" s="726"/>
      <c r="AB352" s="726"/>
      <c r="AC352" s="726"/>
      <c r="AE352" s="178"/>
      <c r="AF352" s="178"/>
    </row>
    <row r="353" spans="1:41" s="177" customFormat="1" ht="24.95" customHeight="1" x14ac:dyDescent="0.25">
      <c r="A353" s="176"/>
      <c r="B353" s="726" t="str">
        <f>'BKU 1'!$D$22</f>
        <v>PEMBANGUNAN TOILET BESERTA SANITASINYA</v>
      </c>
      <c r="C353" s="726"/>
      <c r="D353" s="726"/>
      <c r="E353" s="726"/>
      <c r="F353" s="726"/>
      <c r="G353" s="726"/>
      <c r="H353" s="726"/>
      <c r="I353" s="726"/>
      <c r="J353" s="726"/>
      <c r="K353" s="726"/>
      <c r="L353" s="726"/>
      <c r="M353" s="726"/>
      <c r="N353" s="726"/>
      <c r="O353" s="726"/>
      <c r="P353" s="726"/>
      <c r="Q353" s="726"/>
      <c r="R353" s="726"/>
      <c r="S353" s="726"/>
      <c r="T353" s="726"/>
      <c r="U353" s="726"/>
      <c r="V353" s="726"/>
      <c r="W353" s="726"/>
      <c r="X353" s="726"/>
      <c r="Y353" s="726"/>
      <c r="Z353" s="726"/>
      <c r="AA353" s="726"/>
      <c r="AB353" s="726"/>
      <c r="AC353" s="726"/>
      <c r="AE353" s="178"/>
      <c r="AF353" s="178"/>
    </row>
    <row r="354" spans="1:41" s="184" customFormat="1" ht="30.75" customHeight="1" x14ac:dyDescent="0.25">
      <c r="A354" s="179"/>
      <c r="B354" s="180"/>
      <c r="C354" s="181"/>
      <c r="D354" s="181"/>
      <c r="E354" s="181"/>
      <c r="F354" s="182"/>
      <c r="G354" s="182"/>
      <c r="H354" s="183"/>
      <c r="I354" s="183"/>
      <c r="J354" s="182"/>
      <c r="K354" s="182"/>
      <c r="L354" s="183"/>
      <c r="M354" s="183"/>
      <c r="N354" s="182"/>
      <c r="O354" s="182"/>
      <c r="P354" s="182"/>
      <c r="Q354" s="182"/>
      <c r="R354" s="182"/>
      <c r="S354" s="182"/>
      <c r="T354" s="181"/>
      <c r="U354" s="181"/>
      <c r="V354" s="181"/>
      <c r="X354" s="181"/>
      <c r="AA354" s="180"/>
      <c r="AB354" s="140"/>
      <c r="AC354" s="185"/>
      <c r="AE354" s="186"/>
      <c r="AF354" s="186"/>
    </row>
    <row r="355" spans="1:41" s="184" customFormat="1" ht="14.25" x14ac:dyDescent="0.25">
      <c r="A355" s="179"/>
      <c r="B355" s="185" t="s">
        <v>7</v>
      </c>
      <c r="D355" s="184" t="s">
        <v>49</v>
      </c>
      <c r="E355" s="184" t="str">
        <f>'BKU 1'!$D$25</f>
        <v>SDN 1 SIDODADI</v>
      </c>
      <c r="F355" s="140"/>
      <c r="G355" s="140"/>
      <c r="H355" s="183"/>
      <c r="I355" s="183"/>
      <c r="J355" s="182"/>
      <c r="K355" s="182"/>
      <c r="L355" s="183"/>
      <c r="M355" s="183"/>
      <c r="N355" s="187"/>
      <c r="O355" s="187"/>
      <c r="P355" s="187"/>
      <c r="Q355" s="187"/>
      <c r="R355" s="187"/>
      <c r="S355" s="187"/>
      <c r="T355" s="188"/>
      <c r="U355" s="188"/>
      <c r="V355" s="188"/>
      <c r="X355" s="188"/>
      <c r="AA355" s="180"/>
      <c r="AB355" s="189" t="s">
        <v>8</v>
      </c>
      <c r="AC355" s="185"/>
      <c r="AE355" s="186"/>
      <c r="AF355" s="186"/>
    </row>
    <row r="356" spans="1:41" s="184" customFormat="1" x14ac:dyDescent="0.25">
      <c r="A356" s="179"/>
      <c r="B356" s="185" t="s">
        <v>9</v>
      </c>
      <c r="D356" s="184" t="s">
        <v>49</v>
      </c>
      <c r="E356" s="184" t="str">
        <f>'BKU 1'!$D$26</f>
        <v>Jl. Kawi No.36 Rt. 1 Rw. 1 Dusun Sekar, Rt / Rw : 1 / 1, Dusun : Sekar, Kelurahan : Sidodadi</v>
      </c>
      <c r="F356" s="140"/>
      <c r="G356" s="140"/>
      <c r="H356" s="190"/>
      <c r="I356" s="190"/>
      <c r="J356" s="191"/>
      <c r="K356" s="191"/>
      <c r="L356" s="190"/>
      <c r="M356" s="190"/>
      <c r="N356" s="140"/>
      <c r="O356" s="140"/>
      <c r="P356" s="140"/>
      <c r="Q356" s="140"/>
      <c r="R356" s="140"/>
      <c r="S356" s="140"/>
      <c r="AA356" s="180"/>
      <c r="AB356" s="140" t="s">
        <v>10</v>
      </c>
      <c r="AC356" s="185" t="s">
        <v>11</v>
      </c>
      <c r="AE356" s="186"/>
      <c r="AF356" s="186"/>
    </row>
    <row r="357" spans="1:41" s="184" customFormat="1" x14ac:dyDescent="0.25">
      <c r="A357" s="179"/>
      <c r="B357" s="185" t="s">
        <v>12</v>
      </c>
      <c r="D357" s="184" t="s">
        <v>49</v>
      </c>
      <c r="E357" s="180">
        <f>E318+1</f>
        <v>10</v>
      </c>
      <c r="F357" s="140"/>
      <c r="G357" s="140"/>
      <c r="H357" s="727">
        <f>IFERROR(VLOOKUP(E357,'Rekap Gaji'!$B$12:$P$32,14,FALSE),"-")</f>
        <v>0</v>
      </c>
      <c r="I357" s="727"/>
      <c r="J357" s="727"/>
      <c r="K357" s="727"/>
      <c r="L357" s="727"/>
      <c r="M357" s="191"/>
      <c r="N357" s="140"/>
      <c r="O357" s="140"/>
      <c r="P357" s="140"/>
      <c r="Q357" s="140"/>
      <c r="R357" s="140"/>
      <c r="S357" s="140"/>
      <c r="AA357" s="180"/>
      <c r="AB357" s="140" t="s">
        <v>13</v>
      </c>
      <c r="AC357" s="185" t="s">
        <v>14</v>
      </c>
      <c r="AE357" s="186"/>
      <c r="AF357" s="186"/>
    </row>
    <row r="358" spans="1:41" s="184" customFormat="1" ht="15" customHeight="1" x14ac:dyDescent="0.25">
      <c r="A358" s="179"/>
      <c r="B358" s="185" t="s">
        <v>0</v>
      </c>
      <c r="D358" s="184" t="s">
        <v>49</v>
      </c>
      <c r="E358" s="728">
        <f>IFERROR(VLOOKUP(E357,'Rekap Gaji'!$B$12:$P$32,4,FALSE),"-")</f>
        <v>45963</v>
      </c>
      <c r="F358" s="728"/>
      <c r="G358" s="728"/>
      <c r="H358" s="728"/>
      <c r="I358" s="728"/>
      <c r="J358" s="728"/>
      <c r="K358" s="339"/>
      <c r="L358" s="727" t="s">
        <v>76</v>
      </c>
      <c r="M358" s="727"/>
      <c r="N358" s="727"/>
      <c r="O358" s="191"/>
      <c r="P358" s="728">
        <f>IFERROR(VLOOKUP(E357,'Rekap Gaji'!$B$12:$P$32,6,FALSE),"-")</f>
        <v>45969</v>
      </c>
      <c r="Q358" s="728"/>
      <c r="R358" s="728"/>
      <c r="S358" s="728"/>
      <c r="T358" s="728"/>
      <c r="U358" s="728"/>
      <c r="V358" s="728"/>
      <c r="AA358" s="180"/>
      <c r="AB358" s="140" t="s">
        <v>15</v>
      </c>
      <c r="AC358" s="185" t="s">
        <v>16</v>
      </c>
      <c r="AE358" s="186"/>
      <c r="AF358" s="186"/>
    </row>
    <row r="359" spans="1:41" s="188" customFormat="1" ht="8.1" customHeight="1" thickBot="1" x14ac:dyDescent="0.3">
      <c r="A359" s="192"/>
      <c r="B359" s="193"/>
      <c r="F359" s="189"/>
      <c r="G359" s="189"/>
      <c r="H359" s="194"/>
      <c r="I359" s="194"/>
      <c r="J359" s="195"/>
      <c r="K359" s="195"/>
      <c r="L359" s="194"/>
      <c r="M359" s="194"/>
      <c r="N359" s="189"/>
      <c r="O359" s="189"/>
      <c r="P359" s="189"/>
      <c r="Q359" s="189"/>
      <c r="R359" s="189"/>
      <c r="S359" s="189"/>
      <c r="AA359" s="193"/>
      <c r="AB359" s="189"/>
      <c r="AC359" s="196"/>
      <c r="AE359" s="197"/>
      <c r="AF359" s="197"/>
    </row>
    <row r="360" spans="1:41" ht="15" customHeight="1" x14ac:dyDescent="0.25">
      <c r="B360" s="744" t="s">
        <v>17</v>
      </c>
      <c r="C360" s="735" t="s">
        <v>18</v>
      </c>
      <c r="D360" s="747"/>
      <c r="E360" s="342" t="s">
        <v>19</v>
      </c>
      <c r="F360" s="714" t="s">
        <v>20</v>
      </c>
      <c r="G360" s="715"/>
      <c r="H360" s="715"/>
      <c r="I360" s="715"/>
      <c r="J360" s="715"/>
      <c r="K360" s="715"/>
      <c r="L360" s="715"/>
      <c r="M360" s="715"/>
      <c r="N360" s="715"/>
      <c r="O360" s="715"/>
      <c r="P360" s="715"/>
      <c r="Q360" s="715"/>
      <c r="R360" s="715"/>
      <c r="S360" s="716"/>
      <c r="T360" s="341" t="s">
        <v>2</v>
      </c>
      <c r="U360" s="341" t="s">
        <v>474</v>
      </c>
      <c r="V360" s="735" t="s">
        <v>21</v>
      </c>
      <c r="W360" s="747"/>
      <c r="X360" s="735" t="s">
        <v>21</v>
      </c>
      <c r="Y360" s="747"/>
      <c r="Z360" s="735" t="s">
        <v>22</v>
      </c>
      <c r="AA360" s="747"/>
      <c r="AB360" s="735" t="s">
        <v>23</v>
      </c>
      <c r="AC360" s="736"/>
    </row>
    <row r="361" spans="1:41" ht="29.1" customHeight="1" x14ac:dyDescent="0.25">
      <c r="B361" s="745"/>
      <c r="C361" s="737"/>
      <c r="D361" s="743"/>
      <c r="E361" s="346" t="s">
        <v>24</v>
      </c>
      <c r="F361" s="741" t="s">
        <v>25</v>
      </c>
      <c r="G361" s="347" t="s">
        <v>475</v>
      </c>
      <c r="H361" s="741" t="s">
        <v>26</v>
      </c>
      <c r="I361" s="347" t="s">
        <v>475</v>
      </c>
      <c r="J361" s="741" t="s">
        <v>26</v>
      </c>
      <c r="K361" s="347" t="s">
        <v>475</v>
      </c>
      <c r="L361" s="741" t="s">
        <v>27</v>
      </c>
      <c r="M361" s="347" t="s">
        <v>475</v>
      </c>
      <c r="N361" s="741" t="s">
        <v>28</v>
      </c>
      <c r="O361" s="347" t="s">
        <v>475</v>
      </c>
      <c r="P361" s="741" t="s">
        <v>29</v>
      </c>
      <c r="Q361" s="347" t="s">
        <v>475</v>
      </c>
      <c r="R361" s="741" t="s">
        <v>26</v>
      </c>
      <c r="S361" s="347" t="s">
        <v>475</v>
      </c>
      <c r="T361" s="345" t="s">
        <v>30</v>
      </c>
      <c r="U361" s="345" t="s">
        <v>476</v>
      </c>
      <c r="V361" s="737" t="s">
        <v>455</v>
      </c>
      <c r="W361" s="743"/>
      <c r="X361" s="737" t="s">
        <v>477</v>
      </c>
      <c r="Y361" s="743"/>
      <c r="Z361" s="737" t="s">
        <v>31</v>
      </c>
      <c r="AA361" s="743"/>
      <c r="AB361" s="737"/>
      <c r="AC361" s="738"/>
    </row>
    <row r="362" spans="1:41" ht="15" customHeight="1" thickBot="1" x14ac:dyDescent="0.3">
      <c r="B362" s="746"/>
      <c r="C362" s="739"/>
      <c r="D362" s="748"/>
      <c r="E362" s="349" t="s">
        <v>32</v>
      </c>
      <c r="F362" s="742"/>
      <c r="G362" s="350" t="s">
        <v>478</v>
      </c>
      <c r="H362" s="742"/>
      <c r="I362" s="350" t="s">
        <v>478</v>
      </c>
      <c r="J362" s="742"/>
      <c r="K362" s="350" t="s">
        <v>478</v>
      </c>
      <c r="L362" s="742"/>
      <c r="M362" s="350" t="s">
        <v>478</v>
      </c>
      <c r="N362" s="742"/>
      <c r="O362" s="350" t="s">
        <v>478</v>
      </c>
      <c r="P362" s="742"/>
      <c r="Q362" s="350" t="s">
        <v>478</v>
      </c>
      <c r="R362" s="742"/>
      <c r="S362" s="350" t="s">
        <v>478</v>
      </c>
      <c r="T362" s="348" t="s">
        <v>31</v>
      </c>
      <c r="U362" s="348" t="s">
        <v>479</v>
      </c>
      <c r="V362" s="739" t="s">
        <v>33</v>
      </c>
      <c r="W362" s="748"/>
      <c r="X362" s="739" t="s">
        <v>33</v>
      </c>
      <c r="Y362" s="748"/>
      <c r="Z362" s="739" t="s">
        <v>34</v>
      </c>
      <c r="AA362" s="748"/>
      <c r="AB362" s="739"/>
      <c r="AC362" s="740"/>
    </row>
    <row r="363" spans="1:41" ht="24.95" customHeight="1" x14ac:dyDescent="0.25">
      <c r="B363" s="201">
        <v>1</v>
      </c>
      <c r="C363" s="202" t="str">
        <f>C324</f>
        <v>KUSMAN H</v>
      </c>
      <c r="D363" s="203"/>
      <c r="E363" s="204" t="str">
        <f>E324</f>
        <v>A</v>
      </c>
      <c r="F363" s="215"/>
      <c r="G363" s="205"/>
      <c r="H363" s="205"/>
      <c r="I363" s="205"/>
      <c r="J363" s="205"/>
      <c r="K363" s="205"/>
      <c r="L363" s="205"/>
      <c r="M363" s="205"/>
      <c r="N363" s="205"/>
      <c r="O363" s="205"/>
      <c r="P363" s="205"/>
      <c r="Q363" s="205"/>
      <c r="R363" s="205"/>
      <c r="S363" s="205"/>
      <c r="T363" s="206">
        <f>SUM(AI363:AO363)</f>
        <v>0</v>
      </c>
      <c r="U363" s="206">
        <f>SUM(F363:S363)</f>
        <v>0</v>
      </c>
      <c r="V363" s="207" t="str">
        <f>IF(W363&gt;0,"Rp",IF(W363=0," "))</f>
        <v>Rp</v>
      </c>
      <c r="W363" s="208">
        <f>W324</f>
        <v>135000</v>
      </c>
      <c r="X363" s="207" t="str">
        <f>IF(Y363&gt;0,"Rp",IF(Y363=0," "))</f>
        <v>Rp</v>
      </c>
      <c r="Y363" s="208">
        <f>Y324</f>
        <v>20000</v>
      </c>
      <c r="Z363" s="207" t="str">
        <f>IF(AA363&gt;0,"Rp",IF(AA363=0," "))</f>
        <v xml:space="preserve"> </v>
      </c>
      <c r="AA363" s="208">
        <f>W363*T363+U363*Y363</f>
        <v>0</v>
      </c>
      <c r="AB363" s="209">
        <v>1</v>
      </c>
      <c r="AC363" s="210"/>
      <c r="AE363" s="260"/>
      <c r="AF363" s="140"/>
      <c r="AI363" s="211" t="b">
        <f t="shared" ref="AI363:AI374" si="149">IFERROR(IF(F363="V",1,IF(F363="X",0))," ")</f>
        <v>0</v>
      </c>
      <c r="AJ363" s="211" t="b">
        <f t="shared" ref="AJ363:AJ374" si="150">IFERROR(IF(H363="V",1,IF(H363="X",0))," ")</f>
        <v>0</v>
      </c>
      <c r="AK363" s="211" t="b">
        <f t="shared" ref="AK363:AK374" si="151">IFERROR(IF(J363="V",1,IF(J363="X",0))," ")</f>
        <v>0</v>
      </c>
      <c r="AL363" s="211" t="b">
        <f t="shared" ref="AL363:AL374" si="152">IFERROR(IF(L363="V",1,IF(L363="X",0))," ")</f>
        <v>0</v>
      </c>
      <c r="AM363" s="211" t="b">
        <f t="shared" ref="AM363:AM374" si="153">IFERROR(IF(N363="V",1,IF(N363="X",0))," ")</f>
        <v>0</v>
      </c>
      <c r="AN363" s="211" t="b">
        <f t="shared" ref="AN363:AN374" si="154">IFERROR(IF(P363="V",1,IF(P363="X",0))," ")</f>
        <v>0</v>
      </c>
      <c r="AO363" s="211" t="b">
        <f t="shared" ref="AO363:AO374" si="155">IFERROR(IF(R363="V",1,IF(R363="X",0))," ")</f>
        <v>0</v>
      </c>
    </row>
    <row r="364" spans="1:41" ht="24.95" customHeight="1" x14ac:dyDescent="0.25">
      <c r="B364" s="212">
        <v>2</v>
      </c>
      <c r="C364" s="202" t="str">
        <f t="shared" ref="C364:C372" si="156">C325</f>
        <v>BUSANI</v>
      </c>
      <c r="D364" s="213"/>
      <c r="E364" s="214" t="str">
        <f t="shared" ref="E364:E372" si="157">E325</f>
        <v>B</v>
      </c>
      <c r="F364" s="215"/>
      <c r="G364" s="215"/>
      <c r="H364" s="215"/>
      <c r="I364" s="215"/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6">
        <f t="shared" ref="T364:T371" si="158">SUM(AI364:AO364)</f>
        <v>0</v>
      </c>
      <c r="U364" s="351">
        <f t="shared" ref="U364:U371" si="159">SUM(F364:S364)</f>
        <v>0</v>
      </c>
      <c r="V364" s="217" t="str">
        <f t="shared" ref="V364:V371" si="160">IF(W364&gt;0,"Rp",IF(W364=0," "))</f>
        <v>Rp</v>
      </c>
      <c r="W364" s="218">
        <f t="shared" ref="W364:W371" si="161">W325</f>
        <v>125000</v>
      </c>
      <c r="X364" s="217" t="str">
        <f t="shared" ref="X364:X371" si="162">IF(Y364&gt;0,"Rp",IF(Y364=0," "))</f>
        <v>Rp</v>
      </c>
      <c r="Y364" s="218">
        <f t="shared" ref="Y364:Y371" si="163">Y325</f>
        <v>15000</v>
      </c>
      <c r="Z364" s="217" t="str">
        <f t="shared" ref="Z364:Z372" si="164">IF(AA364&gt;0,"Rp",IF(AA364=0," "))</f>
        <v xml:space="preserve"> </v>
      </c>
      <c r="AA364" s="219">
        <f t="shared" ref="AA364:AA372" si="165">W364*T364+U364*Y364</f>
        <v>0</v>
      </c>
      <c r="AB364" s="220"/>
      <c r="AC364" s="221">
        <v>2</v>
      </c>
      <c r="AE364" s="211"/>
      <c r="AF364" s="211"/>
      <c r="AI364" s="211" t="b">
        <f t="shared" si="149"/>
        <v>0</v>
      </c>
      <c r="AJ364" s="211" t="b">
        <f t="shared" si="150"/>
        <v>0</v>
      </c>
      <c r="AK364" s="211" t="b">
        <f t="shared" si="151"/>
        <v>0</v>
      </c>
      <c r="AL364" s="211" t="b">
        <f t="shared" si="152"/>
        <v>0</v>
      </c>
      <c r="AM364" s="211" t="b">
        <f t="shared" si="153"/>
        <v>0</v>
      </c>
      <c r="AN364" s="211" t="b">
        <f t="shared" si="154"/>
        <v>0</v>
      </c>
      <c r="AO364" s="211" t="b">
        <f t="shared" si="155"/>
        <v>0</v>
      </c>
    </row>
    <row r="365" spans="1:41" ht="24.95" customHeight="1" x14ac:dyDescent="0.25">
      <c r="B365" s="212">
        <v>3</v>
      </c>
      <c r="C365" s="202" t="str">
        <f t="shared" si="156"/>
        <v>LASMARI</v>
      </c>
      <c r="D365" s="213"/>
      <c r="E365" s="214" t="str">
        <f t="shared" si="157"/>
        <v>B</v>
      </c>
      <c r="F365" s="215"/>
      <c r="G365" s="215"/>
      <c r="H365" s="215"/>
      <c r="I365" s="215"/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6">
        <f t="shared" si="158"/>
        <v>0</v>
      </c>
      <c r="U365" s="351">
        <f t="shared" si="159"/>
        <v>0</v>
      </c>
      <c r="V365" s="217" t="str">
        <f t="shared" si="160"/>
        <v>Rp</v>
      </c>
      <c r="W365" s="218">
        <f t="shared" si="161"/>
        <v>125000</v>
      </c>
      <c r="X365" s="217" t="str">
        <f t="shared" si="162"/>
        <v>Rp</v>
      </c>
      <c r="Y365" s="218">
        <f t="shared" si="163"/>
        <v>15000</v>
      </c>
      <c r="Z365" s="217" t="str">
        <f t="shared" si="164"/>
        <v xml:space="preserve"> </v>
      </c>
      <c r="AA365" s="219">
        <f t="shared" si="165"/>
        <v>0</v>
      </c>
      <c r="AB365" s="222">
        <v>3</v>
      </c>
      <c r="AC365" s="221"/>
      <c r="AE365" s="211"/>
      <c r="AF365" s="211"/>
      <c r="AI365" s="211" t="b">
        <f t="shared" si="149"/>
        <v>0</v>
      </c>
      <c r="AJ365" s="211" t="b">
        <f t="shared" si="150"/>
        <v>0</v>
      </c>
      <c r="AK365" s="211" t="b">
        <f t="shared" si="151"/>
        <v>0</v>
      </c>
      <c r="AL365" s="211" t="b">
        <f t="shared" si="152"/>
        <v>0</v>
      </c>
      <c r="AM365" s="211" t="b">
        <f t="shared" si="153"/>
        <v>0</v>
      </c>
      <c r="AN365" s="211" t="b">
        <f t="shared" si="154"/>
        <v>0</v>
      </c>
      <c r="AO365" s="211" t="b">
        <f t="shared" si="155"/>
        <v>0</v>
      </c>
    </row>
    <row r="366" spans="1:41" ht="24.95" customHeight="1" x14ac:dyDescent="0.25">
      <c r="B366" s="212">
        <v>4</v>
      </c>
      <c r="C366" s="202" t="str">
        <f t="shared" si="156"/>
        <v>SUMARTO</v>
      </c>
      <c r="D366" s="213"/>
      <c r="E366" s="214" t="str">
        <f t="shared" si="157"/>
        <v>B</v>
      </c>
      <c r="F366" s="215"/>
      <c r="G366" s="215"/>
      <c r="H366" s="215"/>
      <c r="I366" s="215"/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6">
        <f t="shared" si="158"/>
        <v>0</v>
      </c>
      <c r="U366" s="351">
        <f t="shared" si="159"/>
        <v>0</v>
      </c>
      <c r="V366" s="217" t="str">
        <f t="shared" si="160"/>
        <v>Rp</v>
      </c>
      <c r="W366" s="218">
        <f t="shared" si="161"/>
        <v>125000</v>
      </c>
      <c r="X366" s="217" t="str">
        <f t="shared" si="162"/>
        <v>Rp</v>
      </c>
      <c r="Y366" s="218">
        <f t="shared" si="163"/>
        <v>15000</v>
      </c>
      <c r="Z366" s="217" t="str">
        <f t="shared" si="164"/>
        <v xml:space="preserve"> </v>
      </c>
      <c r="AA366" s="219">
        <f t="shared" si="165"/>
        <v>0</v>
      </c>
      <c r="AB366" s="222"/>
      <c r="AC366" s="223">
        <v>4</v>
      </c>
      <c r="AE366" s="211"/>
      <c r="AF366" s="211"/>
      <c r="AI366" s="211" t="b">
        <f t="shared" si="149"/>
        <v>0</v>
      </c>
      <c r="AJ366" s="211" t="b">
        <f t="shared" si="150"/>
        <v>0</v>
      </c>
      <c r="AK366" s="211" t="b">
        <f t="shared" si="151"/>
        <v>0</v>
      </c>
      <c r="AL366" s="211" t="b">
        <f t="shared" si="152"/>
        <v>0</v>
      </c>
      <c r="AM366" s="211" t="b">
        <f t="shared" si="153"/>
        <v>0</v>
      </c>
      <c r="AN366" s="211" t="b">
        <f t="shared" si="154"/>
        <v>0</v>
      </c>
      <c r="AO366" s="211" t="b">
        <f t="shared" si="155"/>
        <v>0</v>
      </c>
    </row>
    <row r="367" spans="1:41" ht="24.95" customHeight="1" x14ac:dyDescent="0.25">
      <c r="B367" s="212">
        <v>5</v>
      </c>
      <c r="C367" s="202" t="str">
        <f t="shared" si="156"/>
        <v>TONI</v>
      </c>
      <c r="D367" s="213"/>
      <c r="E367" s="214" t="str">
        <f t="shared" si="157"/>
        <v>C</v>
      </c>
      <c r="F367" s="215"/>
      <c r="G367" s="215"/>
      <c r="H367" s="215"/>
      <c r="I367" s="215"/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6">
        <f t="shared" si="158"/>
        <v>0</v>
      </c>
      <c r="U367" s="351">
        <f t="shared" si="159"/>
        <v>0</v>
      </c>
      <c r="V367" s="217" t="str">
        <f t="shared" si="160"/>
        <v>Rp</v>
      </c>
      <c r="W367" s="218">
        <f t="shared" si="161"/>
        <v>115000</v>
      </c>
      <c r="X367" s="217" t="str">
        <f t="shared" si="162"/>
        <v>Rp</v>
      </c>
      <c r="Y367" s="218">
        <f t="shared" si="163"/>
        <v>10000</v>
      </c>
      <c r="Z367" s="217" t="str">
        <f t="shared" si="164"/>
        <v xml:space="preserve"> </v>
      </c>
      <c r="AA367" s="219">
        <f t="shared" si="165"/>
        <v>0</v>
      </c>
      <c r="AB367" s="222">
        <v>5</v>
      </c>
      <c r="AC367" s="221"/>
      <c r="AE367" s="211"/>
      <c r="AF367" s="211"/>
      <c r="AI367" s="211" t="b">
        <f t="shared" si="149"/>
        <v>0</v>
      </c>
      <c r="AJ367" s="211" t="b">
        <f t="shared" si="150"/>
        <v>0</v>
      </c>
      <c r="AK367" s="211" t="b">
        <f t="shared" si="151"/>
        <v>0</v>
      </c>
      <c r="AL367" s="211" t="b">
        <f t="shared" si="152"/>
        <v>0</v>
      </c>
      <c r="AM367" s="211" t="b">
        <f t="shared" si="153"/>
        <v>0</v>
      </c>
      <c r="AN367" s="211" t="b">
        <f t="shared" si="154"/>
        <v>0</v>
      </c>
      <c r="AO367" s="211" t="b">
        <f t="shared" si="155"/>
        <v>0</v>
      </c>
    </row>
    <row r="368" spans="1:41" ht="24.95" customHeight="1" x14ac:dyDescent="0.25">
      <c r="B368" s="212">
        <v>6</v>
      </c>
      <c r="C368" s="202" t="str">
        <f t="shared" si="156"/>
        <v>SAKIM</v>
      </c>
      <c r="D368" s="213"/>
      <c r="E368" s="214" t="str">
        <f t="shared" si="157"/>
        <v>C</v>
      </c>
      <c r="F368" s="215"/>
      <c r="G368" s="215"/>
      <c r="H368" s="215"/>
      <c r="I368" s="215"/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6">
        <f t="shared" si="158"/>
        <v>0</v>
      </c>
      <c r="U368" s="351">
        <f t="shared" si="159"/>
        <v>0</v>
      </c>
      <c r="V368" s="217" t="str">
        <f t="shared" si="160"/>
        <v>Rp</v>
      </c>
      <c r="W368" s="218">
        <f t="shared" si="161"/>
        <v>115000</v>
      </c>
      <c r="X368" s="217" t="str">
        <f t="shared" si="162"/>
        <v>Rp</v>
      </c>
      <c r="Y368" s="218">
        <f t="shared" si="163"/>
        <v>10000</v>
      </c>
      <c r="Z368" s="217" t="str">
        <f t="shared" si="164"/>
        <v xml:space="preserve"> </v>
      </c>
      <c r="AA368" s="219">
        <f t="shared" si="165"/>
        <v>0</v>
      </c>
      <c r="AB368" s="222"/>
      <c r="AC368" s="223"/>
      <c r="AE368" s="211"/>
      <c r="AF368" s="211"/>
      <c r="AI368" s="211" t="b">
        <f t="shared" si="149"/>
        <v>0</v>
      </c>
      <c r="AJ368" s="211" t="b">
        <f t="shared" si="150"/>
        <v>0</v>
      </c>
      <c r="AK368" s="211" t="b">
        <f t="shared" si="151"/>
        <v>0</v>
      </c>
      <c r="AL368" s="211" t="b">
        <f t="shared" si="152"/>
        <v>0</v>
      </c>
      <c r="AM368" s="211" t="b">
        <f t="shared" si="153"/>
        <v>0</v>
      </c>
      <c r="AN368" s="211" t="b">
        <f t="shared" si="154"/>
        <v>0</v>
      </c>
      <c r="AO368" s="211" t="b">
        <f t="shared" si="155"/>
        <v>0</v>
      </c>
    </row>
    <row r="369" spans="1:41" ht="24.95" customHeight="1" x14ac:dyDescent="0.25">
      <c r="B369" s="212">
        <v>7</v>
      </c>
      <c r="C369" s="202" t="str">
        <f t="shared" si="156"/>
        <v>TOHIR</v>
      </c>
      <c r="D369" s="213"/>
      <c r="E369" s="214" t="str">
        <f t="shared" si="157"/>
        <v>C</v>
      </c>
      <c r="F369" s="215"/>
      <c r="G369" s="215"/>
      <c r="H369" s="215"/>
      <c r="I369" s="215"/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6">
        <f t="shared" si="158"/>
        <v>0</v>
      </c>
      <c r="U369" s="351">
        <f t="shared" si="159"/>
        <v>0</v>
      </c>
      <c r="V369" s="217" t="str">
        <f t="shared" si="160"/>
        <v>Rp</v>
      </c>
      <c r="W369" s="218">
        <f t="shared" si="161"/>
        <v>115000</v>
      </c>
      <c r="X369" s="217" t="str">
        <f t="shared" si="162"/>
        <v>Rp</v>
      </c>
      <c r="Y369" s="218">
        <f t="shared" si="163"/>
        <v>10000</v>
      </c>
      <c r="Z369" s="217" t="str">
        <f t="shared" si="164"/>
        <v xml:space="preserve"> </v>
      </c>
      <c r="AA369" s="219">
        <f t="shared" si="165"/>
        <v>0</v>
      </c>
      <c r="AB369" s="222"/>
      <c r="AC369" s="221"/>
      <c r="AE369" s="211"/>
      <c r="AF369" s="211"/>
      <c r="AI369" s="211" t="b">
        <f t="shared" si="149"/>
        <v>0</v>
      </c>
      <c r="AJ369" s="211" t="b">
        <f t="shared" si="150"/>
        <v>0</v>
      </c>
      <c r="AK369" s="211" t="b">
        <f t="shared" si="151"/>
        <v>0</v>
      </c>
      <c r="AL369" s="211" t="b">
        <f t="shared" si="152"/>
        <v>0</v>
      </c>
      <c r="AM369" s="211" t="b">
        <f t="shared" si="153"/>
        <v>0</v>
      </c>
      <c r="AN369" s="211" t="b">
        <f t="shared" si="154"/>
        <v>0</v>
      </c>
      <c r="AO369" s="211" t="b">
        <f t="shared" si="155"/>
        <v>0</v>
      </c>
    </row>
    <row r="370" spans="1:41" ht="24.95" customHeight="1" x14ac:dyDescent="0.25">
      <c r="B370" s="212">
        <v>8</v>
      </c>
      <c r="C370" s="202" t="str">
        <f t="shared" si="156"/>
        <v>ROJALI</v>
      </c>
      <c r="D370" s="213"/>
      <c r="E370" s="214" t="str">
        <f t="shared" si="157"/>
        <v>C</v>
      </c>
      <c r="F370" s="215"/>
      <c r="G370" s="215"/>
      <c r="H370" s="215"/>
      <c r="I370" s="215"/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6">
        <f t="shared" si="158"/>
        <v>0</v>
      </c>
      <c r="U370" s="351">
        <f t="shared" si="159"/>
        <v>0</v>
      </c>
      <c r="V370" s="217" t="str">
        <f t="shared" si="160"/>
        <v>Rp</v>
      </c>
      <c r="W370" s="218">
        <f t="shared" si="161"/>
        <v>115000</v>
      </c>
      <c r="X370" s="217" t="str">
        <f t="shared" si="162"/>
        <v>Rp</v>
      </c>
      <c r="Y370" s="218">
        <f t="shared" si="163"/>
        <v>10000</v>
      </c>
      <c r="Z370" s="217" t="str">
        <f t="shared" si="164"/>
        <v xml:space="preserve"> </v>
      </c>
      <c r="AA370" s="219">
        <f t="shared" si="165"/>
        <v>0</v>
      </c>
      <c r="AB370" s="222"/>
      <c r="AC370" s="223"/>
      <c r="AE370" s="211"/>
      <c r="AF370" s="211"/>
      <c r="AI370" s="211" t="b">
        <f t="shared" si="149"/>
        <v>0</v>
      </c>
      <c r="AJ370" s="211" t="b">
        <f t="shared" si="150"/>
        <v>0</v>
      </c>
      <c r="AK370" s="211" t="b">
        <f t="shared" si="151"/>
        <v>0</v>
      </c>
      <c r="AL370" s="211" t="b">
        <f t="shared" si="152"/>
        <v>0</v>
      </c>
      <c r="AM370" s="211" t="b">
        <f t="shared" si="153"/>
        <v>0</v>
      </c>
      <c r="AN370" s="211" t="b">
        <f t="shared" si="154"/>
        <v>0</v>
      </c>
      <c r="AO370" s="211" t="b">
        <f t="shared" si="155"/>
        <v>0</v>
      </c>
    </row>
    <row r="371" spans="1:41" ht="24.95" customHeight="1" x14ac:dyDescent="0.25">
      <c r="B371" s="212">
        <v>9</v>
      </c>
      <c r="C371" s="202">
        <f t="shared" si="156"/>
        <v>0</v>
      </c>
      <c r="D371" s="213"/>
      <c r="E371" s="214">
        <f t="shared" si="157"/>
        <v>0</v>
      </c>
      <c r="F371" s="215"/>
      <c r="G371" s="215"/>
      <c r="H371" s="215"/>
      <c r="I371" s="215"/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6">
        <f t="shared" si="158"/>
        <v>0</v>
      </c>
      <c r="U371" s="351">
        <f t="shared" si="159"/>
        <v>0</v>
      </c>
      <c r="V371" s="217" t="str">
        <f t="shared" si="160"/>
        <v xml:space="preserve"> </v>
      </c>
      <c r="W371" s="218">
        <f t="shared" si="161"/>
        <v>0</v>
      </c>
      <c r="X371" s="217" t="str">
        <f t="shared" si="162"/>
        <v xml:space="preserve"> </v>
      </c>
      <c r="Y371" s="218">
        <f t="shared" si="163"/>
        <v>0</v>
      </c>
      <c r="Z371" s="217" t="str">
        <f t="shared" si="164"/>
        <v xml:space="preserve"> </v>
      </c>
      <c r="AA371" s="219">
        <f t="shared" si="165"/>
        <v>0</v>
      </c>
      <c r="AB371" s="222"/>
      <c r="AC371" s="221"/>
      <c r="AE371" s="211"/>
      <c r="AF371" s="211"/>
      <c r="AI371" s="211" t="b">
        <f t="shared" si="149"/>
        <v>0</v>
      </c>
      <c r="AJ371" s="211" t="b">
        <f t="shared" si="150"/>
        <v>0</v>
      </c>
      <c r="AK371" s="211" t="b">
        <f t="shared" si="151"/>
        <v>0</v>
      </c>
      <c r="AL371" s="211" t="b">
        <f t="shared" si="152"/>
        <v>0</v>
      </c>
      <c r="AM371" s="211" t="b">
        <f t="shared" si="153"/>
        <v>0</v>
      </c>
      <c r="AN371" s="211" t="b">
        <f t="shared" si="154"/>
        <v>0</v>
      </c>
      <c r="AO371" s="211" t="b">
        <f t="shared" si="155"/>
        <v>0</v>
      </c>
    </row>
    <row r="372" spans="1:41" ht="24.95" customHeight="1" x14ac:dyDescent="0.25">
      <c r="B372" s="212">
        <v>10</v>
      </c>
      <c r="C372" s="202">
        <f t="shared" si="156"/>
        <v>0</v>
      </c>
      <c r="D372" s="213"/>
      <c r="E372" s="214">
        <f t="shared" si="157"/>
        <v>0</v>
      </c>
      <c r="F372" s="215"/>
      <c r="G372" s="215"/>
      <c r="H372" s="215"/>
      <c r="I372" s="215"/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6"/>
      <c r="U372" s="352"/>
      <c r="V372" s="217"/>
      <c r="W372" s="218"/>
      <c r="X372" s="217"/>
      <c r="Y372" s="218"/>
      <c r="Z372" s="217" t="str">
        <f t="shared" si="164"/>
        <v xml:space="preserve"> </v>
      </c>
      <c r="AA372" s="219">
        <f t="shared" si="165"/>
        <v>0</v>
      </c>
      <c r="AB372" s="222"/>
      <c r="AC372" s="223"/>
      <c r="AE372" s="211"/>
      <c r="AF372" s="211"/>
      <c r="AI372" s="211" t="b">
        <f t="shared" si="149"/>
        <v>0</v>
      </c>
      <c r="AJ372" s="211" t="b">
        <f t="shared" si="150"/>
        <v>0</v>
      </c>
      <c r="AK372" s="211" t="b">
        <f t="shared" si="151"/>
        <v>0</v>
      </c>
      <c r="AL372" s="211" t="b">
        <f t="shared" si="152"/>
        <v>0</v>
      </c>
      <c r="AM372" s="211" t="b">
        <f t="shared" si="153"/>
        <v>0</v>
      </c>
      <c r="AN372" s="211" t="b">
        <f t="shared" si="154"/>
        <v>0</v>
      </c>
      <c r="AO372" s="211" t="b">
        <f t="shared" si="155"/>
        <v>0</v>
      </c>
    </row>
    <row r="373" spans="1:41" ht="24.95" customHeight="1" x14ac:dyDescent="0.25">
      <c r="B373" s="212">
        <v>11</v>
      </c>
      <c r="C373" s="202">
        <f>C334</f>
        <v>0</v>
      </c>
      <c r="D373" s="213"/>
      <c r="E373" s="214">
        <f>E334</f>
        <v>0</v>
      </c>
      <c r="F373" s="215"/>
      <c r="G373" s="215"/>
      <c r="H373" s="215"/>
      <c r="I373" s="215"/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6">
        <f>SUM(AI373:AO373)</f>
        <v>0</v>
      </c>
      <c r="U373" s="216">
        <f>SUM(F373:S373)/6</f>
        <v>0</v>
      </c>
      <c r="V373" s="217"/>
      <c r="W373" s="218"/>
      <c r="X373" s="217"/>
      <c r="Y373" s="218"/>
      <c r="Z373" s="217" t="str">
        <f>IF(AA373&gt;0,"Rp",IF(AA373=0," "))</f>
        <v xml:space="preserve"> </v>
      </c>
      <c r="AA373" s="219">
        <f>W373*T373+U373*Y373</f>
        <v>0</v>
      </c>
      <c r="AB373" s="222" t="str">
        <f>IF(AA373&gt;0,1,IF(AA373=0," "))</f>
        <v xml:space="preserve"> </v>
      </c>
      <c r="AC373" s="221"/>
      <c r="AE373" s="211"/>
      <c r="AF373" s="211"/>
      <c r="AI373" s="211" t="b">
        <f t="shared" si="149"/>
        <v>0</v>
      </c>
      <c r="AJ373" s="211" t="b">
        <f t="shared" si="150"/>
        <v>0</v>
      </c>
      <c r="AK373" s="211" t="b">
        <f t="shared" si="151"/>
        <v>0</v>
      </c>
      <c r="AL373" s="211" t="b">
        <f t="shared" si="152"/>
        <v>0</v>
      </c>
      <c r="AM373" s="211" t="b">
        <f t="shared" si="153"/>
        <v>0</v>
      </c>
      <c r="AN373" s="211" t="b">
        <f t="shared" si="154"/>
        <v>0</v>
      </c>
      <c r="AO373" s="211" t="b">
        <f t="shared" si="155"/>
        <v>0</v>
      </c>
    </row>
    <row r="374" spans="1:41" ht="24.95" customHeight="1" x14ac:dyDescent="0.25">
      <c r="B374" s="212">
        <v>12</v>
      </c>
      <c r="C374" s="202"/>
      <c r="D374" s="213"/>
      <c r="E374" s="214"/>
      <c r="F374" s="215"/>
      <c r="G374" s="215"/>
      <c r="H374" s="215"/>
      <c r="I374" s="215"/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6">
        <f>SUM(AI374:AO374)</f>
        <v>0</v>
      </c>
      <c r="U374" s="216">
        <f>SUM(F374:S374)/6</f>
        <v>0</v>
      </c>
      <c r="V374" s="217"/>
      <c r="W374" s="218"/>
      <c r="X374" s="217"/>
      <c r="Y374" s="218"/>
      <c r="Z374" s="217" t="str">
        <f>IF(AA374&gt;0,"Rp",IF(AA374=0," "))</f>
        <v xml:space="preserve"> </v>
      </c>
      <c r="AA374" s="219">
        <f>W374*T374+U374*Y374</f>
        <v>0</v>
      </c>
      <c r="AB374" s="222" t="str">
        <f>IF(AA374&gt;0,1,IF(AA374=0," "))</f>
        <v xml:space="preserve"> </v>
      </c>
      <c r="AC374" s="223"/>
      <c r="AE374" s="211"/>
      <c r="AF374" s="211"/>
      <c r="AI374" s="211" t="b">
        <f t="shared" si="149"/>
        <v>0</v>
      </c>
      <c r="AJ374" s="211" t="b">
        <f t="shared" si="150"/>
        <v>0</v>
      </c>
      <c r="AK374" s="211" t="b">
        <f t="shared" si="151"/>
        <v>0</v>
      </c>
      <c r="AL374" s="211" t="b">
        <f t="shared" si="152"/>
        <v>0</v>
      </c>
      <c r="AM374" s="211" t="b">
        <f t="shared" si="153"/>
        <v>0</v>
      </c>
      <c r="AN374" s="211" t="b">
        <f t="shared" si="154"/>
        <v>0</v>
      </c>
      <c r="AO374" s="211" t="b">
        <f t="shared" si="155"/>
        <v>0</v>
      </c>
    </row>
    <row r="375" spans="1:41" ht="24.95" customHeight="1" thickBot="1" x14ac:dyDescent="0.25">
      <c r="B375" s="233"/>
      <c r="C375" s="257"/>
      <c r="D375" s="235"/>
      <c r="E375" s="236"/>
      <c r="F375" s="237"/>
      <c r="G375" s="237"/>
      <c r="H375" s="238"/>
      <c r="I375" s="238"/>
      <c r="J375" s="239"/>
      <c r="K375" s="239"/>
      <c r="L375" s="239"/>
      <c r="M375" s="239"/>
      <c r="N375" s="240"/>
      <c r="O375" s="240"/>
      <c r="P375" s="240"/>
      <c r="Q375" s="240"/>
      <c r="R375" s="240"/>
      <c r="S375" s="353"/>
      <c r="T375" s="259"/>
      <c r="U375" s="259"/>
      <c r="V375" s="242"/>
      <c r="W375" s="258"/>
      <c r="X375" s="242"/>
      <c r="Y375" s="258"/>
      <c r="Z375" s="244"/>
      <c r="AA375" s="236"/>
      <c r="AB375" s="246"/>
      <c r="AC375" s="247"/>
      <c r="AE375" s="211"/>
      <c r="AF375" s="211"/>
    </row>
    <row r="376" spans="1:41" ht="20.100000000000001" customHeight="1" thickTop="1" thickBot="1" x14ac:dyDescent="0.3">
      <c r="A376" s="179">
        <f>A337+1</f>
        <v>10</v>
      </c>
      <c r="B376" s="248"/>
      <c r="C376" s="249"/>
      <c r="D376" s="249"/>
      <c r="E376" s="249"/>
      <c r="F376" s="249"/>
      <c r="G376" s="249"/>
      <c r="H376" s="249"/>
      <c r="I376" s="249"/>
      <c r="J376" s="249"/>
      <c r="K376" s="249"/>
      <c r="L376" s="249"/>
      <c r="M376" s="249"/>
      <c r="N376" s="249"/>
      <c r="O376" s="249"/>
      <c r="P376" s="249"/>
      <c r="Q376" s="249"/>
      <c r="R376" s="249"/>
      <c r="S376" s="249"/>
      <c r="T376" s="249"/>
      <c r="U376" s="249"/>
      <c r="V376" s="249"/>
      <c r="W376" s="250" t="s">
        <v>40</v>
      </c>
      <c r="X376" s="249"/>
      <c r="Y376" s="250" t="s">
        <v>40</v>
      </c>
      <c r="Z376" s="249"/>
      <c r="AA376" s="710">
        <f>SUM(AA363:AA375)</f>
        <v>0</v>
      </c>
      <c r="AB376" s="711"/>
      <c r="AC376" s="712"/>
      <c r="AE376" s="226" t="str">
        <f>VLOOKUP(A376,'Rekap Gaji'!$B$12:$P$32,10,FALSE)</f>
        <v xml:space="preserve"> 08 November 2025</v>
      </c>
      <c r="AF376" s="251" t="e">
        <f>AE376-AA376</f>
        <v>#VALUE!</v>
      </c>
    </row>
    <row r="377" spans="1:41" ht="11.25" customHeight="1" x14ac:dyDescent="0.25"/>
    <row r="378" spans="1:41" ht="16.5" customHeight="1" x14ac:dyDescent="0.25">
      <c r="B378" s="195" t="s">
        <v>41</v>
      </c>
      <c r="C378" s="140" t="s">
        <v>42</v>
      </c>
    </row>
    <row r="379" spans="1:41" ht="14.25" x14ac:dyDescent="0.25">
      <c r="H379" s="183"/>
      <c r="I379" s="183"/>
      <c r="J379" s="182"/>
      <c r="K379" s="182"/>
      <c r="T379" s="141"/>
      <c r="U379" s="141"/>
      <c r="V379" s="141"/>
      <c r="X379" s="141"/>
      <c r="AA379" s="140" t="str">
        <f>'BKU 1'!$I$25</f>
        <v>NGANTANG</v>
      </c>
      <c r="AB379" s="713">
        <f>IFERROR(VLOOKUP(E357,'Rekap Gaji'!$B$12:$P$32,7,FALSE),"-")</f>
        <v>45969</v>
      </c>
      <c r="AC379" s="713"/>
      <c r="AD379" s="252"/>
      <c r="AE379" s="252"/>
    </row>
    <row r="380" spans="1:41" ht="15.75" x14ac:dyDescent="0.25">
      <c r="C380" s="140" t="s">
        <v>43</v>
      </c>
      <c r="F380" s="253"/>
      <c r="G380" s="253"/>
      <c r="H380" s="254"/>
      <c r="I380" s="254"/>
      <c r="J380" s="255"/>
      <c r="K380" s="255"/>
      <c r="L380" s="256"/>
      <c r="M380" s="256"/>
      <c r="N380" s="225" t="s">
        <v>44</v>
      </c>
      <c r="O380" s="225"/>
      <c r="P380" s="253"/>
      <c r="Q380" s="253"/>
      <c r="T380" s="141"/>
      <c r="U380" s="141"/>
      <c r="V380" s="141"/>
      <c r="X380" s="141"/>
      <c r="AA380" s="140" t="str">
        <f>'BKU 1'!$L$354</f>
        <v>Dibuat Oleh ;</v>
      </c>
      <c r="AB380" s="141"/>
    </row>
    <row r="381" spans="1:41" ht="14.25" x14ac:dyDescent="0.25">
      <c r="C381" s="140" t="str">
        <f>'BKU 1'!$C$355</f>
        <v>Kepala Sekolah SDN 1 SIDODADI</v>
      </c>
      <c r="F381" s="187"/>
      <c r="G381" s="187"/>
      <c r="H381" s="224"/>
      <c r="I381" s="224"/>
      <c r="J381" s="182"/>
      <c r="K381" s="182"/>
      <c r="L381" s="183"/>
      <c r="M381" s="183"/>
      <c r="N381" s="140" t="s">
        <v>45</v>
      </c>
      <c r="P381" s="187"/>
      <c r="Q381" s="187"/>
      <c r="AA381" s="140" t="str">
        <f>'BKU 1'!$L$355</f>
        <v>Bendahara Pembangunan</v>
      </c>
      <c r="AB381" s="141"/>
    </row>
    <row r="382" spans="1:41" ht="14.25" x14ac:dyDescent="0.25">
      <c r="F382" s="187"/>
      <c r="G382" s="187"/>
      <c r="H382" s="224"/>
      <c r="I382" s="224"/>
      <c r="J382" s="182"/>
      <c r="K382" s="182"/>
      <c r="L382" s="183"/>
      <c r="M382" s="183"/>
      <c r="P382" s="187"/>
      <c r="Q382" s="187"/>
      <c r="AA382" s="140"/>
      <c r="AB382" s="141"/>
    </row>
    <row r="383" spans="1:41" ht="14.25" x14ac:dyDescent="0.25">
      <c r="F383" s="187"/>
      <c r="G383" s="187"/>
      <c r="H383" s="224"/>
      <c r="I383" s="224"/>
      <c r="J383" s="182"/>
      <c r="K383" s="182"/>
      <c r="L383" s="183"/>
      <c r="M383" s="183"/>
      <c r="P383" s="187"/>
      <c r="Q383" s="187"/>
      <c r="AA383" s="140"/>
      <c r="AB383" s="141"/>
    </row>
    <row r="384" spans="1:41" ht="14.25" x14ac:dyDescent="0.25">
      <c r="F384" s="187"/>
      <c r="G384" s="187"/>
      <c r="H384" s="224"/>
      <c r="I384" s="224"/>
      <c r="J384" s="182"/>
      <c r="K384" s="182"/>
      <c r="L384" s="183"/>
      <c r="M384" s="183"/>
      <c r="P384" s="187"/>
      <c r="Q384" s="187"/>
      <c r="AA384" s="140"/>
      <c r="AB384" s="141"/>
    </row>
    <row r="385" spans="1:32" ht="14.25" x14ac:dyDescent="0.25">
      <c r="F385" s="187"/>
      <c r="G385" s="187"/>
      <c r="H385" s="224"/>
      <c r="I385" s="224"/>
      <c r="J385" s="182"/>
      <c r="K385" s="182"/>
      <c r="L385" s="183"/>
      <c r="M385" s="183"/>
      <c r="P385" s="187"/>
      <c r="Q385" s="187"/>
      <c r="AA385" s="140"/>
      <c r="AB385" s="141"/>
    </row>
    <row r="386" spans="1:32" x14ac:dyDescent="0.25">
      <c r="H386" s="225"/>
      <c r="I386" s="225"/>
      <c r="AA386" s="140"/>
    </row>
    <row r="387" spans="1:32" x14ac:dyDescent="0.25">
      <c r="H387" s="225"/>
      <c r="I387" s="225"/>
      <c r="AA387" s="140"/>
    </row>
    <row r="388" spans="1:32" s="189" customFormat="1" ht="15" customHeight="1" x14ac:dyDescent="0.25">
      <c r="A388" s="192"/>
      <c r="B388" s="195"/>
      <c r="C388" s="227" t="str">
        <f>'BKU 1'!$C$360</f>
        <v>MELIA FITRIANI, S.Pd.SD</v>
      </c>
      <c r="D388" s="227"/>
      <c r="H388" s="228"/>
      <c r="I388" s="228"/>
      <c r="J388" s="195"/>
      <c r="K388" s="195"/>
      <c r="L388" s="194"/>
      <c r="M388" s="194"/>
      <c r="N388" s="229" t="str">
        <f>'BKU 1'!$H$360</f>
        <v>HARTATIK</v>
      </c>
      <c r="O388" s="229"/>
      <c r="AA388" s="227" t="str">
        <f>'BKU 1'!$L$360</f>
        <v>ARIF NUR UDIN, S.Pd.SD</v>
      </c>
      <c r="AC388" s="230"/>
      <c r="AE388" s="231"/>
      <c r="AF388" s="231"/>
    </row>
    <row r="389" spans="1:32" s="189" customFormat="1" ht="15" customHeight="1" x14ac:dyDescent="0.25">
      <c r="A389" s="192"/>
      <c r="B389" s="195"/>
      <c r="C389" s="140" t="str">
        <f>'BKU 1'!$C$361</f>
        <v>NIP. 19850619 200904 2 000</v>
      </c>
      <c r="D389" s="140"/>
      <c r="E389" s="140"/>
      <c r="F389" s="140"/>
      <c r="G389" s="140"/>
      <c r="H389" s="225"/>
      <c r="I389" s="225"/>
      <c r="J389" s="191"/>
      <c r="K389" s="191"/>
      <c r="L389" s="190"/>
      <c r="M389" s="190"/>
      <c r="N389" s="232"/>
      <c r="O389" s="232"/>
      <c r="P389" s="140"/>
      <c r="Q389" s="140"/>
      <c r="T389" s="140"/>
      <c r="U389" s="140"/>
      <c r="V389" s="140"/>
      <c r="W389" s="140"/>
      <c r="X389" s="140"/>
      <c r="Y389" s="140"/>
      <c r="Z389" s="140"/>
      <c r="AA389" s="140" t="str">
        <f>'BKU 1'!$L$361</f>
        <v>NIP. 19840719 200903 1 002</v>
      </c>
      <c r="AC389" s="230"/>
      <c r="AE389" s="231"/>
      <c r="AF389" s="231"/>
    </row>
    <row r="390" spans="1:32" ht="6" customHeight="1" x14ac:dyDescent="0.25"/>
    <row r="391" spans="1:32" s="177" customFormat="1" ht="24.95" customHeight="1" x14ac:dyDescent="0.25">
      <c r="A391" s="176"/>
      <c r="B391" s="726" t="s">
        <v>6</v>
      </c>
      <c r="C391" s="726"/>
      <c r="D391" s="726"/>
      <c r="E391" s="726"/>
      <c r="F391" s="726"/>
      <c r="G391" s="726"/>
      <c r="H391" s="726"/>
      <c r="I391" s="726"/>
      <c r="J391" s="726"/>
      <c r="K391" s="726"/>
      <c r="L391" s="726"/>
      <c r="M391" s="726"/>
      <c r="N391" s="726"/>
      <c r="O391" s="726"/>
      <c r="P391" s="726"/>
      <c r="Q391" s="726"/>
      <c r="R391" s="726"/>
      <c r="S391" s="726"/>
      <c r="T391" s="726"/>
      <c r="U391" s="726"/>
      <c r="V391" s="726"/>
      <c r="W391" s="726"/>
      <c r="X391" s="726"/>
      <c r="Y391" s="726"/>
      <c r="Z391" s="726"/>
      <c r="AA391" s="726"/>
      <c r="AB391" s="726"/>
      <c r="AC391" s="726"/>
      <c r="AE391" s="178"/>
      <c r="AF391" s="178"/>
    </row>
    <row r="392" spans="1:32" s="177" customFormat="1" ht="24.95" customHeight="1" x14ac:dyDescent="0.25">
      <c r="A392" s="176"/>
      <c r="B392" s="726" t="str">
        <f>'BKU 1'!$D$22</f>
        <v>PEMBANGUNAN TOILET BESERTA SANITASINYA</v>
      </c>
      <c r="C392" s="726"/>
      <c r="D392" s="726"/>
      <c r="E392" s="726"/>
      <c r="F392" s="726"/>
      <c r="G392" s="726"/>
      <c r="H392" s="726"/>
      <c r="I392" s="726"/>
      <c r="J392" s="726"/>
      <c r="K392" s="726"/>
      <c r="L392" s="726"/>
      <c r="M392" s="726"/>
      <c r="N392" s="726"/>
      <c r="O392" s="726"/>
      <c r="P392" s="726"/>
      <c r="Q392" s="726"/>
      <c r="R392" s="726"/>
      <c r="S392" s="726"/>
      <c r="T392" s="726"/>
      <c r="U392" s="726"/>
      <c r="V392" s="726"/>
      <c r="W392" s="726"/>
      <c r="X392" s="726"/>
      <c r="Y392" s="726"/>
      <c r="Z392" s="726"/>
      <c r="AA392" s="726"/>
      <c r="AB392" s="726"/>
      <c r="AC392" s="726"/>
      <c r="AE392" s="178"/>
      <c r="AF392" s="178"/>
    </row>
    <row r="393" spans="1:32" s="184" customFormat="1" ht="30.75" customHeight="1" x14ac:dyDescent="0.25">
      <c r="A393" s="179"/>
      <c r="B393" s="180"/>
      <c r="C393" s="181"/>
      <c r="D393" s="181"/>
      <c r="E393" s="181"/>
      <c r="F393" s="182"/>
      <c r="G393" s="182"/>
      <c r="H393" s="183"/>
      <c r="I393" s="183"/>
      <c r="J393" s="182"/>
      <c r="K393" s="182"/>
      <c r="L393" s="183"/>
      <c r="M393" s="183"/>
      <c r="N393" s="182"/>
      <c r="O393" s="182"/>
      <c r="P393" s="182"/>
      <c r="Q393" s="182"/>
      <c r="R393" s="182"/>
      <c r="S393" s="182"/>
      <c r="T393" s="181"/>
      <c r="U393" s="181"/>
      <c r="V393" s="181"/>
      <c r="X393" s="181"/>
      <c r="AA393" s="180"/>
      <c r="AB393" s="140"/>
      <c r="AC393" s="185"/>
      <c r="AE393" s="186"/>
      <c r="AF393" s="186"/>
    </row>
    <row r="394" spans="1:32" s="184" customFormat="1" ht="14.25" x14ac:dyDescent="0.25">
      <c r="A394" s="179"/>
      <c r="B394" s="185" t="s">
        <v>7</v>
      </c>
      <c r="D394" s="184" t="s">
        <v>49</v>
      </c>
      <c r="E394" s="184" t="str">
        <f>'BKU 1'!$D$25</f>
        <v>SDN 1 SIDODADI</v>
      </c>
      <c r="F394" s="140"/>
      <c r="G394" s="140"/>
      <c r="H394" s="183"/>
      <c r="I394" s="183"/>
      <c r="J394" s="182"/>
      <c r="K394" s="182"/>
      <c r="L394" s="183"/>
      <c r="M394" s="183"/>
      <c r="N394" s="187"/>
      <c r="O394" s="187"/>
      <c r="P394" s="187"/>
      <c r="Q394" s="187"/>
      <c r="R394" s="187"/>
      <c r="S394" s="187"/>
      <c r="T394" s="188"/>
      <c r="U394" s="188"/>
      <c r="V394" s="188"/>
      <c r="X394" s="188"/>
      <c r="AA394" s="180"/>
      <c r="AB394" s="189" t="s">
        <v>8</v>
      </c>
      <c r="AC394" s="185"/>
      <c r="AE394" s="186"/>
      <c r="AF394" s="186"/>
    </row>
    <row r="395" spans="1:32" s="184" customFormat="1" x14ac:dyDescent="0.25">
      <c r="A395" s="179"/>
      <c r="B395" s="185" t="s">
        <v>9</v>
      </c>
      <c r="D395" s="184" t="s">
        <v>49</v>
      </c>
      <c r="E395" s="184" t="str">
        <f>'BKU 1'!$D$26</f>
        <v>Jl. Kawi No.36 Rt. 1 Rw. 1 Dusun Sekar, Rt / Rw : 1 / 1, Dusun : Sekar, Kelurahan : Sidodadi</v>
      </c>
      <c r="F395" s="140"/>
      <c r="G395" s="140"/>
      <c r="H395" s="190"/>
      <c r="I395" s="190"/>
      <c r="J395" s="191"/>
      <c r="K395" s="191"/>
      <c r="L395" s="190"/>
      <c r="M395" s="190"/>
      <c r="N395" s="140"/>
      <c r="O395" s="140"/>
      <c r="P395" s="140"/>
      <c r="Q395" s="140"/>
      <c r="R395" s="140"/>
      <c r="S395" s="140"/>
      <c r="AA395" s="180"/>
      <c r="AB395" s="140" t="s">
        <v>10</v>
      </c>
      <c r="AC395" s="185" t="s">
        <v>11</v>
      </c>
      <c r="AE395" s="186"/>
      <c r="AF395" s="186"/>
    </row>
    <row r="396" spans="1:32" s="184" customFormat="1" x14ac:dyDescent="0.25">
      <c r="A396" s="179"/>
      <c r="B396" s="185" t="s">
        <v>12</v>
      </c>
      <c r="D396" s="184" t="s">
        <v>49</v>
      </c>
      <c r="E396" s="180">
        <f>E357+1</f>
        <v>11</v>
      </c>
      <c r="F396" s="140"/>
      <c r="G396" s="140"/>
      <c r="H396" s="727">
        <f>IFERROR(VLOOKUP(E396,'Rekap Gaji'!$B$12:$P$32,14,FALSE),"-")</f>
        <v>0</v>
      </c>
      <c r="I396" s="727"/>
      <c r="J396" s="727"/>
      <c r="K396" s="727"/>
      <c r="L396" s="727"/>
      <c r="M396" s="191"/>
      <c r="N396" s="140"/>
      <c r="O396" s="140"/>
      <c r="P396" s="140"/>
      <c r="Q396" s="140"/>
      <c r="R396" s="140"/>
      <c r="S396" s="140"/>
      <c r="AA396" s="180"/>
      <c r="AB396" s="140" t="s">
        <v>13</v>
      </c>
      <c r="AC396" s="185" t="s">
        <v>14</v>
      </c>
      <c r="AE396" s="186"/>
      <c r="AF396" s="186"/>
    </row>
    <row r="397" spans="1:32" s="184" customFormat="1" ht="15" customHeight="1" x14ac:dyDescent="0.25">
      <c r="A397" s="179"/>
      <c r="B397" s="185" t="s">
        <v>0</v>
      </c>
      <c r="D397" s="184" t="s">
        <v>49</v>
      </c>
      <c r="E397" s="728">
        <f>IFERROR(VLOOKUP(E396,'Rekap Gaji'!$B$12:$P$32,4,FALSE),"-")</f>
        <v>45970</v>
      </c>
      <c r="F397" s="728"/>
      <c r="G397" s="728"/>
      <c r="H397" s="728"/>
      <c r="I397" s="728"/>
      <c r="J397" s="728"/>
      <c r="K397" s="339"/>
      <c r="L397" s="727" t="s">
        <v>76</v>
      </c>
      <c r="M397" s="727"/>
      <c r="N397" s="727"/>
      <c r="O397" s="191"/>
      <c r="P397" s="728">
        <f>IFERROR(VLOOKUP(E396,'Rekap Gaji'!$B$12:$P$32,6,FALSE),"-")</f>
        <v>45976</v>
      </c>
      <c r="Q397" s="728"/>
      <c r="R397" s="728"/>
      <c r="S397" s="728"/>
      <c r="T397" s="728"/>
      <c r="U397" s="728"/>
      <c r="V397" s="728"/>
      <c r="AA397" s="180"/>
      <c r="AB397" s="140" t="s">
        <v>15</v>
      </c>
      <c r="AC397" s="185" t="s">
        <v>16</v>
      </c>
      <c r="AE397" s="186"/>
      <c r="AF397" s="186"/>
    </row>
    <row r="398" spans="1:32" s="188" customFormat="1" ht="8.1" customHeight="1" thickBot="1" x14ac:dyDescent="0.3">
      <c r="A398" s="192"/>
      <c r="B398" s="193"/>
      <c r="F398" s="189"/>
      <c r="G398" s="189"/>
      <c r="H398" s="194"/>
      <c r="I398" s="194"/>
      <c r="J398" s="195"/>
      <c r="K398" s="195"/>
      <c r="L398" s="194"/>
      <c r="M398" s="194"/>
      <c r="N398" s="189"/>
      <c r="O398" s="189"/>
      <c r="P398" s="189"/>
      <c r="Q398" s="189"/>
      <c r="R398" s="189"/>
      <c r="S398" s="189"/>
      <c r="AA398" s="193"/>
      <c r="AB398" s="189"/>
      <c r="AC398" s="196"/>
      <c r="AE398" s="197"/>
      <c r="AF398" s="197"/>
    </row>
    <row r="399" spans="1:32" ht="15" customHeight="1" x14ac:dyDescent="0.25">
      <c r="B399" s="744" t="s">
        <v>17</v>
      </c>
      <c r="C399" s="735" t="s">
        <v>18</v>
      </c>
      <c r="D399" s="747"/>
      <c r="E399" s="342" t="s">
        <v>19</v>
      </c>
      <c r="F399" s="714" t="s">
        <v>20</v>
      </c>
      <c r="G399" s="715"/>
      <c r="H399" s="715"/>
      <c r="I399" s="715"/>
      <c r="J399" s="715"/>
      <c r="K399" s="715"/>
      <c r="L399" s="715"/>
      <c r="M399" s="715"/>
      <c r="N399" s="715"/>
      <c r="O399" s="715"/>
      <c r="P399" s="715"/>
      <c r="Q399" s="715"/>
      <c r="R399" s="715"/>
      <c r="S399" s="716"/>
      <c r="T399" s="341" t="s">
        <v>2</v>
      </c>
      <c r="U399" s="341" t="s">
        <v>474</v>
      </c>
      <c r="V399" s="735" t="s">
        <v>21</v>
      </c>
      <c r="W399" s="747"/>
      <c r="X399" s="735" t="s">
        <v>21</v>
      </c>
      <c r="Y399" s="747"/>
      <c r="Z399" s="735" t="s">
        <v>22</v>
      </c>
      <c r="AA399" s="747"/>
      <c r="AB399" s="735" t="s">
        <v>23</v>
      </c>
      <c r="AC399" s="736"/>
    </row>
    <row r="400" spans="1:32" ht="29.1" customHeight="1" x14ac:dyDescent="0.25">
      <c r="B400" s="745"/>
      <c r="C400" s="737"/>
      <c r="D400" s="743"/>
      <c r="E400" s="346" t="s">
        <v>24</v>
      </c>
      <c r="F400" s="741" t="s">
        <v>25</v>
      </c>
      <c r="G400" s="347" t="s">
        <v>475</v>
      </c>
      <c r="H400" s="741" t="s">
        <v>26</v>
      </c>
      <c r="I400" s="347" t="s">
        <v>475</v>
      </c>
      <c r="J400" s="741" t="s">
        <v>26</v>
      </c>
      <c r="K400" s="347" t="s">
        <v>475</v>
      </c>
      <c r="L400" s="741" t="s">
        <v>27</v>
      </c>
      <c r="M400" s="347" t="s">
        <v>475</v>
      </c>
      <c r="N400" s="741" t="s">
        <v>28</v>
      </c>
      <c r="O400" s="347" t="s">
        <v>475</v>
      </c>
      <c r="P400" s="741" t="s">
        <v>29</v>
      </c>
      <c r="Q400" s="347" t="s">
        <v>475</v>
      </c>
      <c r="R400" s="741" t="s">
        <v>26</v>
      </c>
      <c r="S400" s="347" t="s">
        <v>475</v>
      </c>
      <c r="T400" s="345" t="s">
        <v>30</v>
      </c>
      <c r="U400" s="345" t="s">
        <v>476</v>
      </c>
      <c r="V400" s="737" t="s">
        <v>455</v>
      </c>
      <c r="W400" s="743"/>
      <c r="X400" s="737" t="s">
        <v>477</v>
      </c>
      <c r="Y400" s="743"/>
      <c r="Z400" s="737" t="s">
        <v>31</v>
      </c>
      <c r="AA400" s="743"/>
      <c r="AB400" s="737"/>
      <c r="AC400" s="738"/>
    </row>
    <row r="401" spans="1:41" ht="15" customHeight="1" thickBot="1" x14ac:dyDescent="0.3">
      <c r="B401" s="746"/>
      <c r="C401" s="739"/>
      <c r="D401" s="748"/>
      <c r="E401" s="349" t="s">
        <v>32</v>
      </c>
      <c r="F401" s="742"/>
      <c r="G401" s="350" t="s">
        <v>478</v>
      </c>
      <c r="H401" s="742"/>
      <c r="I401" s="350" t="s">
        <v>478</v>
      </c>
      <c r="J401" s="742"/>
      <c r="K401" s="350" t="s">
        <v>478</v>
      </c>
      <c r="L401" s="742"/>
      <c r="M401" s="350" t="s">
        <v>478</v>
      </c>
      <c r="N401" s="742"/>
      <c r="O401" s="350" t="s">
        <v>478</v>
      </c>
      <c r="P401" s="742"/>
      <c r="Q401" s="350" t="s">
        <v>478</v>
      </c>
      <c r="R401" s="742"/>
      <c r="S401" s="350" t="s">
        <v>478</v>
      </c>
      <c r="T401" s="348" t="s">
        <v>31</v>
      </c>
      <c r="U401" s="348" t="s">
        <v>479</v>
      </c>
      <c r="V401" s="739" t="s">
        <v>33</v>
      </c>
      <c r="W401" s="748"/>
      <c r="X401" s="739" t="s">
        <v>33</v>
      </c>
      <c r="Y401" s="748"/>
      <c r="Z401" s="739" t="s">
        <v>34</v>
      </c>
      <c r="AA401" s="748"/>
      <c r="AB401" s="739"/>
      <c r="AC401" s="740"/>
    </row>
    <row r="402" spans="1:41" ht="24.95" customHeight="1" x14ac:dyDescent="0.25">
      <c r="B402" s="201">
        <v>1</v>
      </c>
      <c r="C402" s="202" t="str">
        <f>C363</f>
        <v>KUSMAN H</v>
      </c>
      <c r="D402" s="203"/>
      <c r="E402" s="204" t="str">
        <f>E363</f>
        <v>A</v>
      </c>
      <c r="F402" s="215"/>
      <c r="G402" s="205"/>
      <c r="H402" s="205"/>
      <c r="I402" s="205"/>
      <c r="J402" s="205"/>
      <c r="K402" s="205"/>
      <c r="L402" s="205"/>
      <c r="M402" s="205"/>
      <c r="N402" s="205"/>
      <c r="O402" s="205"/>
      <c r="P402" s="205"/>
      <c r="Q402" s="205"/>
      <c r="R402" s="205"/>
      <c r="S402" s="205"/>
      <c r="T402" s="206">
        <f>SUM(AI402:AO402)</f>
        <v>0</v>
      </c>
      <c r="U402" s="206">
        <f>SUM(F402:S402)</f>
        <v>0</v>
      </c>
      <c r="V402" s="207" t="str">
        <f>IF(W402&gt;0,"Rp",IF(W402=0," "))</f>
        <v>Rp</v>
      </c>
      <c r="W402" s="208">
        <f>W363</f>
        <v>135000</v>
      </c>
      <c r="X402" s="207" t="str">
        <f>IF(Y402&gt;0,"Rp",IF(Y402=0," "))</f>
        <v>Rp</v>
      </c>
      <c r="Y402" s="208">
        <f>Y363</f>
        <v>20000</v>
      </c>
      <c r="Z402" s="207" t="str">
        <f>IF(AA402&gt;0,"Rp",IF(AA402=0," "))</f>
        <v xml:space="preserve"> </v>
      </c>
      <c r="AA402" s="208">
        <f>W402*T402+U402*Y402</f>
        <v>0</v>
      </c>
      <c r="AB402" s="209">
        <v>1</v>
      </c>
      <c r="AC402" s="210"/>
      <c r="AE402" s="260"/>
      <c r="AF402" s="140"/>
      <c r="AI402" s="211" t="b">
        <f t="shared" ref="AI402:AI413" si="166">IFERROR(IF(F402="V",1,IF(F402="X",0))," ")</f>
        <v>0</v>
      </c>
      <c r="AJ402" s="211" t="b">
        <f t="shared" ref="AJ402:AJ413" si="167">IFERROR(IF(H402="V",1,IF(H402="X",0))," ")</f>
        <v>0</v>
      </c>
      <c r="AK402" s="211" t="b">
        <f t="shared" ref="AK402:AK413" si="168">IFERROR(IF(J402="V",1,IF(J402="X",0))," ")</f>
        <v>0</v>
      </c>
      <c r="AL402" s="211" t="b">
        <f t="shared" ref="AL402:AL413" si="169">IFERROR(IF(L402="V",1,IF(L402="X",0))," ")</f>
        <v>0</v>
      </c>
      <c r="AM402" s="211" t="b">
        <f t="shared" ref="AM402:AM413" si="170">IFERROR(IF(N402="V",1,IF(N402="X",0))," ")</f>
        <v>0</v>
      </c>
      <c r="AN402" s="211" t="b">
        <f t="shared" ref="AN402:AN413" si="171">IFERROR(IF(P402="V",1,IF(P402="X",0))," ")</f>
        <v>0</v>
      </c>
      <c r="AO402" s="211" t="b">
        <f t="shared" ref="AO402:AO413" si="172">IFERROR(IF(R402="V",1,IF(R402="X",0))," ")</f>
        <v>0</v>
      </c>
    </row>
    <row r="403" spans="1:41" ht="24.95" customHeight="1" x14ac:dyDescent="0.25">
      <c r="B403" s="212">
        <v>2</v>
      </c>
      <c r="C403" s="202" t="str">
        <f t="shared" ref="C403:C411" si="173">C364</f>
        <v>BUSANI</v>
      </c>
      <c r="D403" s="213"/>
      <c r="E403" s="214" t="str">
        <f t="shared" ref="E403:E411" si="174">E364</f>
        <v>B</v>
      </c>
      <c r="F403" s="215"/>
      <c r="G403" s="215"/>
      <c r="H403" s="215"/>
      <c r="I403" s="215"/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6">
        <f t="shared" ref="T403:T410" si="175">SUM(AI403:AO403)</f>
        <v>0</v>
      </c>
      <c r="U403" s="351">
        <f t="shared" ref="U403:U410" si="176">SUM(F403:S403)</f>
        <v>0</v>
      </c>
      <c r="V403" s="217" t="str">
        <f t="shared" ref="V403:V410" si="177">IF(W403&gt;0,"Rp",IF(W403=0," "))</f>
        <v>Rp</v>
      </c>
      <c r="W403" s="218">
        <f t="shared" ref="W403:W410" si="178">W364</f>
        <v>125000</v>
      </c>
      <c r="X403" s="217" t="str">
        <f t="shared" ref="X403:X410" si="179">IF(Y403&gt;0,"Rp",IF(Y403=0," "))</f>
        <v>Rp</v>
      </c>
      <c r="Y403" s="218">
        <f t="shared" ref="Y403:Y410" si="180">Y364</f>
        <v>15000</v>
      </c>
      <c r="Z403" s="217" t="str">
        <f t="shared" ref="Z403:Z411" si="181">IF(AA403&gt;0,"Rp",IF(AA403=0," "))</f>
        <v xml:space="preserve"> </v>
      </c>
      <c r="AA403" s="219">
        <f t="shared" ref="AA403:AA411" si="182">W403*T403+U403*Y403</f>
        <v>0</v>
      </c>
      <c r="AB403" s="220"/>
      <c r="AC403" s="221">
        <v>2</v>
      </c>
      <c r="AE403" s="211"/>
      <c r="AF403" s="211"/>
      <c r="AI403" s="211" t="b">
        <f t="shared" si="166"/>
        <v>0</v>
      </c>
      <c r="AJ403" s="211" t="b">
        <f t="shared" si="167"/>
        <v>0</v>
      </c>
      <c r="AK403" s="211" t="b">
        <f t="shared" si="168"/>
        <v>0</v>
      </c>
      <c r="AL403" s="211" t="b">
        <f t="shared" si="169"/>
        <v>0</v>
      </c>
      <c r="AM403" s="211" t="b">
        <f t="shared" si="170"/>
        <v>0</v>
      </c>
      <c r="AN403" s="211" t="b">
        <f t="shared" si="171"/>
        <v>0</v>
      </c>
      <c r="AO403" s="211" t="b">
        <f t="shared" si="172"/>
        <v>0</v>
      </c>
    </row>
    <row r="404" spans="1:41" ht="24.95" customHeight="1" x14ac:dyDescent="0.25">
      <c r="B404" s="212">
        <v>3</v>
      </c>
      <c r="C404" s="202" t="str">
        <f t="shared" si="173"/>
        <v>LASMARI</v>
      </c>
      <c r="D404" s="213"/>
      <c r="E404" s="214" t="str">
        <f t="shared" si="174"/>
        <v>B</v>
      </c>
      <c r="F404" s="215"/>
      <c r="G404" s="215"/>
      <c r="H404" s="215"/>
      <c r="I404" s="215"/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6">
        <f t="shared" si="175"/>
        <v>0</v>
      </c>
      <c r="U404" s="351">
        <f t="shared" si="176"/>
        <v>0</v>
      </c>
      <c r="V404" s="217" t="str">
        <f t="shared" si="177"/>
        <v>Rp</v>
      </c>
      <c r="W404" s="218">
        <f t="shared" si="178"/>
        <v>125000</v>
      </c>
      <c r="X404" s="217" t="str">
        <f t="shared" si="179"/>
        <v>Rp</v>
      </c>
      <c r="Y404" s="218">
        <f t="shared" si="180"/>
        <v>15000</v>
      </c>
      <c r="Z404" s="217" t="str">
        <f t="shared" si="181"/>
        <v xml:space="preserve"> </v>
      </c>
      <c r="AA404" s="219">
        <f t="shared" si="182"/>
        <v>0</v>
      </c>
      <c r="AB404" s="222">
        <v>3</v>
      </c>
      <c r="AC404" s="221"/>
      <c r="AE404" s="211"/>
      <c r="AF404" s="211"/>
      <c r="AI404" s="211" t="b">
        <f t="shared" si="166"/>
        <v>0</v>
      </c>
      <c r="AJ404" s="211" t="b">
        <f t="shared" si="167"/>
        <v>0</v>
      </c>
      <c r="AK404" s="211" t="b">
        <f t="shared" si="168"/>
        <v>0</v>
      </c>
      <c r="AL404" s="211" t="b">
        <f t="shared" si="169"/>
        <v>0</v>
      </c>
      <c r="AM404" s="211" t="b">
        <f t="shared" si="170"/>
        <v>0</v>
      </c>
      <c r="AN404" s="211" t="b">
        <f t="shared" si="171"/>
        <v>0</v>
      </c>
      <c r="AO404" s="211" t="b">
        <f t="shared" si="172"/>
        <v>0</v>
      </c>
    </row>
    <row r="405" spans="1:41" ht="24.95" customHeight="1" x14ac:dyDescent="0.25">
      <c r="B405" s="212">
        <v>4</v>
      </c>
      <c r="C405" s="202" t="str">
        <f t="shared" si="173"/>
        <v>SUMARTO</v>
      </c>
      <c r="D405" s="213"/>
      <c r="E405" s="214" t="str">
        <f t="shared" si="174"/>
        <v>B</v>
      </c>
      <c r="F405" s="215"/>
      <c r="G405" s="215"/>
      <c r="H405" s="215"/>
      <c r="I405" s="215"/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6">
        <f t="shared" si="175"/>
        <v>0</v>
      </c>
      <c r="U405" s="351">
        <f t="shared" si="176"/>
        <v>0</v>
      </c>
      <c r="V405" s="217" t="str">
        <f t="shared" si="177"/>
        <v>Rp</v>
      </c>
      <c r="W405" s="218">
        <f t="shared" si="178"/>
        <v>125000</v>
      </c>
      <c r="X405" s="217" t="str">
        <f t="shared" si="179"/>
        <v>Rp</v>
      </c>
      <c r="Y405" s="218">
        <f t="shared" si="180"/>
        <v>15000</v>
      </c>
      <c r="Z405" s="217" t="str">
        <f t="shared" si="181"/>
        <v xml:space="preserve"> </v>
      </c>
      <c r="AA405" s="219">
        <f t="shared" si="182"/>
        <v>0</v>
      </c>
      <c r="AB405" s="222"/>
      <c r="AC405" s="223">
        <v>4</v>
      </c>
      <c r="AE405" s="211"/>
      <c r="AF405" s="211"/>
      <c r="AI405" s="211" t="b">
        <f t="shared" si="166"/>
        <v>0</v>
      </c>
      <c r="AJ405" s="211" t="b">
        <f t="shared" si="167"/>
        <v>0</v>
      </c>
      <c r="AK405" s="211" t="b">
        <f t="shared" si="168"/>
        <v>0</v>
      </c>
      <c r="AL405" s="211" t="b">
        <f t="shared" si="169"/>
        <v>0</v>
      </c>
      <c r="AM405" s="211" t="b">
        <f t="shared" si="170"/>
        <v>0</v>
      </c>
      <c r="AN405" s="211" t="b">
        <f t="shared" si="171"/>
        <v>0</v>
      </c>
      <c r="AO405" s="211" t="b">
        <f t="shared" si="172"/>
        <v>0</v>
      </c>
    </row>
    <row r="406" spans="1:41" ht="24.95" customHeight="1" x14ac:dyDescent="0.25">
      <c r="B406" s="212">
        <v>5</v>
      </c>
      <c r="C406" s="202" t="str">
        <f t="shared" si="173"/>
        <v>TONI</v>
      </c>
      <c r="D406" s="213"/>
      <c r="E406" s="214" t="str">
        <f t="shared" si="174"/>
        <v>C</v>
      </c>
      <c r="F406" s="215"/>
      <c r="G406" s="215"/>
      <c r="H406" s="215"/>
      <c r="I406" s="215"/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6">
        <f t="shared" si="175"/>
        <v>0</v>
      </c>
      <c r="U406" s="351">
        <f t="shared" si="176"/>
        <v>0</v>
      </c>
      <c r="V406" s="217" t="str">
        <f t="shared" si="177"/>
        <v>Rp</v>
      </c>
      <c r="W406" s="218">
        <f t="shared" si="178"/>
        <v>115000</v>
      </c>
      <c r="X406" s="217" t="str">
        <f t="shared" si="179"/>
        <v>Rp</v>
      </c>
      <c r="Y406" s="218">
        <f t="shared" si="180"/>
        <v>10000</v>
      </c>
      <c r="Z406" s="217" t="str">
        <f t="shared" si="181"/>
        <v xml:space="preserve"> </v>
      </c>
      <c r="AA406" s="219">
        <f t="shared" si="182"/>
        <v>0</v>
      </c>
      <c r="AB406" s="222">
        <v>5</v>
      </c>
      <c r="AC406" s="221"/>
      <c r="AE406" s="211"/>
      <c r="AF406" s="211"/>
      <c r="AI406" s="211" t="b">
        <f t="shared" si="166"/>
        <v>0</v>
      </c>
      <c r="AJ406" s="211" t="b">
        <f t="shared" si="167"/>
        <v>0</v>
      </c>
      <c r="AK406" s="211" t="b">
        <f t="shared" si="168"/>
        <v>0</v>
      </c>
      <c r="AL406" s="211" t="b">
        <f t="shared" si="169"/>
        <v>0</v>
      </c>
      <c r="AM406" s="211" t="b">
        <f t="shared" si="170"/>
        <v>0</v>
      </c>
      <c r="AN406" s="211" t="b">
        <f t="shared" si="171"/>
        <v>0</v>
      </c>
      <c r="AO406" s="211" t="b">
        <f t="shared" si="172"/>
        <v>0</v>
      </c>
    </row>
    <row r="407" spans="1:41" ht="24.95" customHeight="1" x14ac:dyDescent="0.25">
      <c r="B407" s="212">
        <v>6</v>
      </c>
      <c r="C407" s="202" t="str">
        <f t="shared" si="173"/>
        <v>SAKIM</v>
      </c>
      <c r="D407" s="213"/>
      <c r="E407" s="214" t="str">
        <f t="shared" si="174"/>
        <v>C</v>
      </c>
      <c r="F407" s="215"/>
      <c r="G407" s="215"/>
      <c r="H407" s="215"/>
      <c r="I407" s="215"/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6">
        <f t="shared" si="175"/>
        <v>0</v>
      </c>
      <c r="U407" s="351">
        <f t="shared" si="176"/>
        <v>0</v>
      </c>
      <c r="V407" s="217" t="str">
        <f t="shared" si="177"/>
        <v>Rp</v>
      </c>
      <c r="W407" s="218">
        <f t="shared" si="178"/>
        <v>115000</v>
      </c>
      <c r="X407" s="217" t="str">
        <f t="shared" si="179"/>
        <v>Rp</v>
      </c>
      <c r="Y407" s="218">
        <f t="shared" si="180"/>
        <v>10000</v>
      </c>
      <c r="Z407" s="217" t="str">
        <f t="shared" si="181"/>
        <v xml:space="preserve"> </v>
      </c>
      <c r="AA407" s="219">
        <f t="shared" si="182"/>
        <v>0</v>
      </c>
      <c r="AB407" s="222"/>
      <c r="AC407" s="223"/>
      <c r="AE407" s="211"/>
      <c r="AF407" s="211"/>
      <c r="AI407" s="211" t="b">
        <f t="shared" si="166"/>
        <v>0</v>
      </c>
      <c r="AJ407" s="211" t="b">
        <f t="shared" si="167"/>
        <v>0</v>
      </c>
      <c r="AK407" s="211" t="b">
        <f t="shared" si="168"/>
        <v>0</v>
      </c>
      <c r="AL407" s="211" t="b">
        <f t="shared" si="169"/>
        <v>0</v>
      </c>
      <c r="AM407" s="211" t="b">
        <f t="shared" si="170"/>
        <v>0</v>
      </c>
      <c r="AN407" s="211" t="b">
        <f t="shared" si="171"/>
        <v>0</v>
      </c>
      <c r="AO407" s="211" t="b">
        <f t="shared" si="172"/>
        <v>0</v>
      </c>
    </row>
    <row r="408" spans="1:41" ht="24.95" customHeight="1" x14ac:dyDescent="0.25">
      <c r="B408" s="212">
        <v>7</v>
      </c>
      <c r="C408" s="202" t="str">
        <f t="shared" si="173"/>
        <v>TOHIR</v>
      </c>
      <c r="D408" s="213"/>
      <c r="E408" s="214" t="str">
        <f t="shared" si="174"/>
        <v>C</v>
      </c>
      <c r="F408" s="215"/>
      <c r="G408" s="215"/>
      <c r="H408" s="215"/>
      <c r="I408" s="215"/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6">
        <f t="shared" si="175"/>
        <v>0</v>
      </c>
      <c r="U408" s="351">
        <f t="shared" si="176"/>
        <v>0</v>
      </c>
      <c r="V408" s="217" t="str">
        <f t="shared" si="177"/>
        <v>Rp</v>
      </c>
      <c r="W408" s="218">
        <f t="shared" si="178"/>
        <v>115000</v>
      </c>
      <c r="X408" s="217" t="str">
        <f t="shared" si="179"/>
        <v>Rp</v>
      </c>
      <c r="Y408" s="218">
        <f t="shared" si="180"/>
        <v>10000</v>
      </c>
      <c r="Z408" s="217" t="str">
        <f t="shared" si="181"/>
        <v xml:space="preserve"> </v>
      </c>
      <c r="AA408" s="219">
        <f t="shared" si="182"/>
        <v>0</v>
      </c>
      <c r="AB408" s="222"/>
      <c r="AC408" s="221"/>
      <c r="AE408" s="211"/>
      <c r="AF408" s="211"/>
      <c r="AI408" s="211" t="b">
        <f t="shared" si="166"/>
        <v>0</v>
      </c>
      <c r="AJ408" s="211" t="b">
        <f t="shared" si="167"/>
        <v>0</v>
      </c>
      <c r="AK408" s="211" t="b">
        <f t="shared" si="168"/>
        <v>0</v>
      </c>
      <c r="AL408" s="211" t="b">
        <f t="shared" si="169"/>
        <v>0</v>
      </c>
      <c r="AM408" s="211" t="b">
        <f t="shared" si="170"/>
        <v>0</v>
      </c>
      <c r="AN408" s="211" t="b">
        <f t="shared" si="171"/>
        <v>0</v>
      </c>
      <c r="AO408" s="211" t="b">
        <f t="shared" si="172"/>
        <v>0</v>
      </c>
    </row>
    <row r="409" spans="1:41" ht="24.95" customHeight="1" x14ac:dyDescent="0.25">
      <c r="B409" s="212">
        <v>8</v>
      </c>
      <c r="C409" s="202" t="str">
        <f t="shared" si="173"/>
        <v>ROJALI</v>
      </c>
      <c r="D409" s="213"/>
      <c r="E409" s="214" t="str">
        <f t="shared" si="174"/>
        <v>C</v>
      </c>
      <c r="F409" s="215"/>
      <c r="G409" s="215"/>
      <c r="H409" s="215"/>
      <c r="I409" s="215"/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6">
        <f t="shared" si="175"/>
        <v>0</v>
      </c>
      <c r="U409" s="351">
        <f t="shared" si="176"/>
        <v>0</v>
      </c>
      <c r="V409" s="217" t="str">
        <f t="shared" si="177"/>
        <v>Rp</v>
      </c>
      <c r="W409" s="218">
        <f t="shared" si="178"/>
        <v>115000</v>
      </c>
      <c r="X409" s="217" t="str">
        <f t="shared" si="179"/>
        <v>Rp</v>
      </c>
      <c r="Y409" s="218">
        <f t="shared" si="180"/>
        <v>10000</v>
      </c>
      <c r="Z409" s="217" t="str">
        <f t="shared" si="181"/>
        <v xml:space="preserve"> </v>
      </c>
      <c r="AA409" s="219">
        <f t="shared" si="182"/>
        <v>0</v>
      </c>
      <c r="AB409" s="222"/>
      <c r="AC409" s="223"/>
      <c r="AE409" s="211"/>
      <c r="AF409" s="211"/>
      <c r="AI409" s="211" t="b">
        <f t="shared" si="166"/>
        <v>0</v>
      </c>
      <c r="AJ409" s="211" t="b">
        <f t="shared" si="167"/>
        <v>0</v>
      </c>
      <c r="AK409" s="211" t="b">
        <f t="shared" si="168"/>
        <v>0</v>
      </c>
      <c r="AL409" s="211" t="b">
        <f t="shared" si="169"/>
        <v>0</v>
      </c>
      <c r="AM409" s="211" t="b">
        <f t="shared" si="170"/>
        <v>0</v>
      </c>
      <c r="AN409" s="211" t="b">
        <f t="shared" si="171"/>
        <v>0</v>
      </c>
      <c r="AO409" s="211" t="b">
        <f t="shared" si="172"/>
        <v>0</v>
      </c>
    </row>
    <row r="410" spans="1:41" ht="24.95" customHeight="1" x14ac:dyDescent="0.25">
      <c r="B410" s="212">
        <v>9</v>
      </c>
      <c r="C410" s="202">
        <f t="shared" si="173"/>
        <v>0</v>
      </c>
      <c r="D410" s="213"/>
      <c r="E410" s="214">
        <f t="shared" si="174"/>
        <v>0</v>
      </c>
      <c r="F410" s="215"/>
      <c r="G410" s="215"/>
      <c r="H410" s="215"/>
      <c r="I410" s="215"/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6">
        <f t="shared" si="175"/>
        <v>0</v>
      </c>
      <c r="U410" s="351">
        <f t="shared" si="176"/>
        <v>0</v>
      </c>
      <c r="V410" s="217" t="str">
        <f t="shared" si="177"/>
        <v xml:space="preserve"> </v>
      </c>
      <c r="W410" s="218">
        <f t="shared" si="178"/>
        <v>0</v>
      </c>
      <c r="X410" s="217" t="str">
        <f t="shared" si="179"/>
        <v xml:space="preserve"> </v>
      </c>
      <c r="Y410" s="218">
        <f t="shared" si="180"/>
        <v>0</v>
      </c>
      <c r="Z410" s="217" t="str">
        <f t="shared" si="181"/>
        <v xml:space="preserve"> </v>
      </c>
      <c r="AA410" s="219">
        <f t="shared" si="182"/>
        <v>0</v>
      </c>
      <c r="AB410" s="222"/>
      <c r="AC410" s="221"/>
      <c r="AE410" s="211"/>
      <c r="AF410" s="211"/>
      <c r="AI410" s="211" t="b">
        <f t="shared" si="166"/>
        <v>0</v>
      </c>
      <c r="AJ410" s="211" t="b">
        <f t="shared" si="167"/>
        <v>0</v>
      </c>
      <c r="AK410" s="211" t="b">
        <f t="shared" si="168"/>
        <v>0</v>
      </c>
      <c r="AL410" s="211" t="b">
        <f t="shared" si="169"/>
        <v>0</v>
      </c>
      <c r="AM410" s="211" t="b">
        <f t="shared" si="170"/>
        <v>0</v>
      </c>
      <c r="AN410" s="211" t="b">
        <f t="shared" si="171"/>
        <v>0</v>
      </c>
      <c r="AO410" s="211" t="b">
        <f t="shared" si="172"/>
        <v>0</v>
      </c>
    </row>
    <row r="411" spans="1:41" ht="24.95" customHeight="1" x14ac:dyDescent="0.25">
      <c r="B411" s="212">
        <v>10</v>
      </c>
      <c r="C411" s="202">
        <f t="shared" si="173"/>
        <v>0</v>
      </c>
      <c r="D411" s="213"/>
      <c r="E411" s="214">
        <f t="shared" si="174"/>
        <v>0</v>
      </c>
      <c r="F411" s="215"/>
      <c r="G411" s="215"/>
      <c r="H411" s="215"/>
      <c r="I411" s="215"/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6"/>
      <c r="U411" s="352"/>
      <c r="V411" s="217"/>
      <c r="W411" s="218"/>
      <c r="X411" s="217"/>
      <c r="Y411" s="218"/>
      <c r="Z411" s="217" t="str">
        <f t="shared" si="181"/>
        <v xml:space="preserve"> </v>
      </c>
      <c r="AA411" s="219">
        <f t="shared" si="182"/>
        <v>0</v>
      </c>
      <c r="AB411" s="222"/>
      <c r="AC411" s="223"/>
      <c r="AE411" s="211"/>
      <c r="AF411" s="211"/>
      <c r="AI411" s="211" t="b">
        <f t="shared" si="166"/>
        <v>0</v>
      </c>
      <c r="AJ411" s="211" t="b">
        <f t="shared" si="167"/>
        <v>0</v>
      </c>
      <c r="AK411" s="211" t="b">
        <f t="shared" si="168"/>
        <v>0</v>
      </c>
      <c r="AL411" s="211" t="b">
        <f t="shared" si="169"/>
        <v>0</v>
      </c>
      <c r="AM411" s="211" t="b">
        <f t="shared" si="170"/>
        <v>0</v>
      </c>
      <c r="AN411" s="211" t="b">
        <f t="shared" si="171"/>
        <v>0</v>
      </c>
      <c r="AO411" s="211" t="b">
        <f t="shared" si="172"/>
        <v>0</v>
      </c>
    </row>
    <row r="412" spans="1:41" ht="24.95" customHeight="1" x14ac:dyDescent="0.25">
      <c r="B412" s="212">
        <v>11</v>
      </c>
      <c r="C412" s="202">
        <f>C373</f>
        <v>0</v>
      </c>
      <c r="D412" s="213"/>
      <c r="E412" s="214">
        <f>E373</f>
        <v>0</v>
      </c>
      <c r="F412" s="215"/>
      <c r="G412" s="215"/>
      <c r="H412" s="215"/>
      <c r="I412" s="215"/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6">
        <f>SUM(AI412:AO412)</f>
        <v>0</v>
      </c>
      <c r="U412" s="216">
        <f>SUM(F412:S412)/6</f>
        <v>0</v>
      </c>
      <c r="V412" s="217"/>
      <c r="W412" s="218"/>
      <c r="X412" s="217"/>
      <c r="Y412" s="218"/>
      <c r="Z412" s="217" t="str">
        <f>IF(AA412&gt;0,"Rp",IF(AA412=0," "))</f>
        <v xml:space="preserve"> </v>
      </c>
      <c r="AA412" s="219">
        <f>W412*T412+U412*Y412</f>
        <v>0</v>
      </c>
      <c r="AB412" s="222" t="str">
        <f>IF(AA412&gt;0,1,IF(AA412=0," "))</f>
        <v xml:space="preserve"> </v>
      </c>
      <c r="AC412" s="221"/>
      <c r="AE412" s="211"/>
      <c r="AF412" s="211"/>
      <c r="AI412" s="211" t="b">
        <f t="shared" si="166"/>
        <v>0</v>
      </c>
      <c r="AJ412" s="211" t="b">
        <f t="shared" si="167"/>
        <v>0</v>
      </c>
      <c r="AK412" s="211" t="b">
        <f t="shared" si="168"/>
        <v>0</v>
      </c>
      <c r="AL412" s="211" t="b">
        <f t="shared" si="169"/>
        <v>0</v>
      </c>
      <c r="AM412" s="211" t="b">
        <f t="shared" si="170"/>
        <v>0</v>
      </c>
      <c r="AN412" s="211" t="b">
        <f t="shared" si="171"/>
        <v>0</v>
      </c>
      <c r="AO412" s="211" t="b">
        <f t="shared" si="172"/>
        <v>0</v>
      </c>
    </row>
    <row r="413" spans="1:41" ht="24.95" customHeight="1" x14ac:dyDescent="0.25">
      <c r="B413" s="212">
        <v>12</v>
      </c>
      <c r="C413" s="202"/>
      <c r="D413" s="213"/>
      <c r="E413" s="214"/>
      <c r="F413" s="215"/>
      <c r="G413" s="215"/>
      <c r="H413" s="215"/>
      <c r="I413" s="215"/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6">
        <f>SUM(AI413:AO413)</f>
        <v>0</v>
      </c>
      <c r="U413" s="216">
        <f>SUM(F413:S413)/6</f>
        <v>0</v>
      </c>
      <c r="V413" s="217"/>
      <c r="W413" s="218"/>
      <c r="X413" s="217"/>
      <c r="Y413" s="218"/>
      <c r="Z413" s="217" t="str">
        <f>IF(AA413&gt;0,"Rp",IF(AA413=0," "))</f>
        <v xml:space="preserve"> </v>
      </c>
      <c r="AA413" s="219">
        <f>W413*T413+U413*Y413</f>
        <v>0</v>
      </c>
      <c r="AB413" s="222" t="str">
        <f>IF(AA413&gt;0,1,IF(AA413=0," "))</f>
        <v xml:space="preserve"> </v>
      </c>
      <c r="AC413" s="223"/>
      <c r="AE413" s="211"/>
      <c r="AF413" s="211"/>
      <c r="AI413" s="211" t="b">
        <f t="shared" si="166"/>
        <v>0</v>
      </c>
      <c r="AJ413" s="211" t="b">
        <f t="shared" si="167"/>
        <v>0</v>
      </c>
      <c r="AK413" s="211" t="b">
        <f t="shared" si="168"/>
        <v>0</v>
      </c>
      <c r="AL413" s="211" t="b">
        <f t="shared" si="169"/>
        <v>0</v>
      </c>
      <c r="AM413" s="211" t="b">
        <f t="shared" si="170"/>
        <v>0</v>
      </c>
      <c r="AN413" s="211" t="b">
        <f t="shared" si="171"/>
        <v>0</v>
      </c>
      <c r="AO413" s="211" t="b">
        <f t="shared" si="172"/>
        <v>0</v>
      </c>
    </row>
    <row r="414" spans="1:41" ht="24.95" customHeight="1" thickBot="1" x14ac:dyDescent="0.3">
      <c r="B414" s="212"/>
      <c r="C414" s="264"/>
      <c r="D414" s="213"/>
      <c r="E414" s="265"/>
      <c r="F414" s="215"/>
      <c r="G414" s="215"/>
      <c r="H414" s="215"/>
      <c r="I414" s="215"/>
      <c r="J414" s="215"/>
      <c r="K414" s="215"/>
      <c r="L414" s="215"/>
      <c r="M414" s="215"/>
      <c r="N414" s="215"/>
      <c r="O414" s="215"/>
      <c r="P414" s="215"/>
      <c r="Q414" s="215"/>
      <c r="R414" s="215"/>
      <c r="S414" s="356"/>
      <c r="T414" s="274"/>
      <c r="U414" s="274"/>
      <c r="V414" s="217"/>
      <c r="W414" s="266"/>
      <c r="X414" s="217"/>
      <c r="Y414" s="266"/>
      <c r="Z414" s="217"/>
      <c r="AA414" s="219"/>
      <c r="AB414" s="222"/>
      <c r="AC414" s="221"/>
      <c r="AE414" s="211"/>
      <c r="AF414" s="211"/>
      <c r="AI414" s="211"/>
      <c r="AJ414" s="211"/>
      <c r="AK414" s="211"/>
      <c r="AL414" s="211"/>
      <c r="AM414" s="211"/>
      <c r="AN414" s="211"/>
      <c r="AO414" s="211"/>
    </row>
    <row r="415" spans="1:41" ht="20.100000000000001" customHeight="1" thickTop="1" thickBot="1" x14ac:dyDescent="0.3">
      <c r="A415" s="179">
        <f>A376+1</f>
        <v>11</v>
      </c>
      <c r="B415" s="248"/>
      <c r="C415" s="249"/>
      <c r="D415" s="249"/>
      <c r="E415" s="249"/>
      <c r="F415" s="249"/>
      <c r="G415" s="249"/>
      <c r="H415" s="249"/>
      <c r="I415" s="249"/>
      <c r="J415" s="249"/>
      <c r="K415" s="249"/>
      <c r="L415" s="249"/>
      <c r="M415" s="249"/>
      <c r="N415" s="249"/>
      <c r="O415" s="249"/>
      <c r="P415" s="249"/>
      <c r="Q415" s="249"/>
      <c r="R415" s="249"/>
      <c r="S415" s="249"/>
      <c r="T415" s="249"/>
      <c r="U415" s="249"/>
      <c r="V415" s="249"/>
      <c r="W415" s="250" t="s">
        <v>40</v>
      </c>
      <c r="X415" s="249"/>
      <c r="Y415" s="250" t="s">
        <v>40</v>
      </c>
      <c r="Z415" s="249"/>
      <c r="AA415" s="710">
        <f>SUM(AA402:AA414)</f>
        <v>0</v>
      </c>
      <c r="AB415" s="711"/>
      <c r="AC415" s="712"/>
      <c r="AE415" s="226" t="str">
        <f>VLOOKUP(A415,'Rekap Gaji'!$B$12:$P$32,10,FALSE)</f>
        <v xml:space="preserve"> 15 November 2025</v>
      </c>
      <c r="AF415" s="251" t="e">
        <f>AE415-AA415</f>
        <v>#VALUE!</v>
      </c>
    </row>
    <row r="416" spans="1:41" ht="11.25" customHeight="1" x14ac:dyDescent="0.25"/>
    <row r="417" spans="1:32" ht="16.5" customHeight="1" x14ac:dyDescent="0.25">
      <c r="B417" s="195" t="s">
        <v>41</v>
      </c>
      <c r="C417" s="140" t="s">
        <v>42</v>
      </c>
    </row>
    <row r="418" spans="1:32" ht="14.25" x14ac:dyDescent="0.25">
      <c r="H418" s="183"/>
      <c r="I418" s="183"/>
      <c r="J418" s="182"/>
      <c r="K418" s="182"/>
      <c r="T418" s="141"/>
      <c r="U418" s="141"/>
      <c r="V418" s="141"/>
      <c r="X418" s="141"/>
      <c r="AA418" s="140" t="str">
        <f>'BKU 1'!$I$25</f>
        <v>NGANTANG</v>
      </c>
      <c r="AB418" s="713">
        <f>IFERROR(VLOOKUP(E396,'Rekap Gaji'!$B$12:$P$32,7,FALSE),"-")</f>
        <v>45976</v>
      </c>
      <c r="AC418" s="713"/>
      <c r="AD418" s="252"/>
      <c r="AE418" s="252"/>
    </row>
    <row r="419" spans="1:32" ht="15.75" x14ac:dyDescent="0.25">
      <c r="C419" s="140" t="s">
        <v>43</v>
      </c>
      <c r="F419" s="253"/>
      <c r="G419" s="253"/>
      <c r="H419" s="254"/>
      <c r="I419" s="254"/>
      <c r="J419" s="255"/>
      <c r="K419" s="255"/>
      <c r="L419" s="256"/>
      <c r="M419" s="256"/>
      <c r="N419" s="225" t="s">
        <v>44</v>
      </c>
      <c r="O419" s="225"/>
      <c r="P419" s="253"/>
      <c r="Q419" s="253"/>
      <c r="T419" s="141"/>
      <c r="U419" s="141"/>
      <c r="V419" s="141"/>
      <c r="X419" s="141"/>
      <c r="AA419" s="140" t="str">
        <f>'BKU 1'!$L$354</f>
        <v>Dibuat Oleh ;</v>
      </c>
      <c r="AB419" s="141"/>
    </row>
    <row r="420" spans="1:32" ht="14.25" x14ac:dyDescent="0.25">
      <c r="C420" s="140" t="str">
        <f>'BKU 1'!$C$355</f>
        <v>Kepala Sekolah SDN 1 SIDODADI</v>
      </c>
      <c r="F420" s="187"/>
      <c r="G420" s="187"/>
      <c r="H420" s="224"/>
      <c r="I420" s="224"/>
      <c r="J420" s="182"/>
      <c r="K420" s="182"/>
      <c r="L420" s="183"/>
      <c r="M420" s="183"/>
      <c r="N420" s="140" t="s">
        <v>45</v>
      </c>
      <c r="P420" s="187"/>
      <c r="Q420" s="187"/>
      <c r="AA420" s="140" t="str">
        <f>'BKU 1'!$L$355</f>
        <v>Bendahara Pembangunan</v>
      </c>
      <c r="AB420" s="141"/>
    </row>
    <row r="421" spans="1:32" ht="14.25" x14ac:dyDescent="0.25">
      <c r="F421" s="187"/>
      <c r="G421" s="187"/>
      <c r="H421" s="224"/>
      <c r="I421" s="224"/>
      <c r="J421" s="182"/>
      <c r="K421" s="182"/>
      <c r="L421" s="183"/>
      <c r="M421" s="183"/>
      <c r="P421" s="187"/>
      <c r="Q421" s="187"/>
      <c r="AA421" s="140"/>
      <c r="AB421" s="141"/>
    </row>
    <row r="422" spans="1:32" ht="14.25" x14ac:dyDescent="0.25">
      <c r="F422" s="187"/>
      <c r="G422" s="187"/>
      <c r="H422" s="224"/>
      <c r="I422" s="224"/>
      <c r="J422" s="182"/>
      <c r="K422" s="182"/>
      <c r="L422" s="183"/>
      <c r="M422" s="183"/>
      <c r="P422" s="187"/>
      <c r="Q422" s="187"/>
      <c r="AA422" s="140"/>
      <c r="AB422" s="141"/>
    </row>
    <row r="423" spans="1:32" ht="14.25" x14ac:dyDescent="0.25">
      <c r="F423" s="187"/>
      <c r="G423" s="187"/>
      <c r="H423" s="224"/>
      <c r="I423" s="224"/>
      <c r="J423" s="182"/>
      <c r="K423" s="182"/>
      <c r="L423" s="183"/>
      <c r="M423" s="183"/>
      <c r="P423" s="187"/>
      <c r="Q423" s="187"/>
      <c r="AA423" s="140"/>
      <c r="AB423" s="141"/>
    </row>
    <row r="424" spans="1:32" ht="14.25" x14ac:dyDescent="0.25">
      <c r="F424" s="187"/>
      <c r="G424" s="187"/>
      <c r="H424" s="224"/>
      <c r="I424" s="224"/>
      <c r="J424" s="182"/>
      <c r="K424" s="182"/>
      <c r="L424" s="183"/>
      <c r="M424" s="183"/>
      <c r="P424" s="187"/>
      <c r="Q424" s="187"/>
      <c r="AA424" s="140"/>
      <c r="AB424" s="141"/>
    </row>
    <row r="425" spans="1:32" x14ac:dyDescent="0.25">
      <c r="H425" s="225"/>
      <c r="I425" s="225"/>
      <c r="AA425" s="140"/>
    </row>
    <row r="426" spans="1:32" x14ac:dyDescent="0.25">
      <c r="H426" s="225"/>
      <c r="I426" s="225"/>
      <c r="AA426" s="140"/>
    </row>
    <row r="427" spans="1:32" s="189" customFormat="1" ht="15" customHeight="1" x14ac:dyDescent="0.25">
      <c r="A427" s="192"/>
      <c r="B427" s="195"/>
      <c r="C427" s="227" t="str">
        <f>'BKU 1'!$C$360</f>
        <v>MELIA FITRIANI, S.Pd.SD</v>
      </c>
      <c r="D427" s="227"/>
      <c r="H427" s="228"/>
      <c r="I427" s="228"/>
      <c r="J427" s="195"/>
      <c r="K427" s="195"/>
      <c r="L427" s="194"/>
      <c r="M427" s="194"/>
      <c r="N427" s="229" t="str">
        <f>'BKU 1'!$H$360</f>
        <v>HARTATIK</v>
      </c>
      <c r="O427" s="229"/>
      <c r="AA427" s="227" t="str">
        <f>'BKU 1'!$L$360</f>
        <v>ARIF NUR UDIN, S.Pd.SD</v>
      </c>
      <c r="AC427" s="230"/>
      <c r="AE427" s="231"/>
      <c r="AF427" s="231"/>
    </row>
    <row r="428" spans="1:32" s="189" customFormat="1" ht="15" customHeight="1" x14ac:dyDescent="0.25">
      <c r="A428" s="192"/>
      <c r="B428" s="195"/>
      <c r="C428" s="140" t="str">
        <f>'BKU 1'!$C$361</f>
        <v>NIP. 19850619 200904 2 000</v>
      </c>
      <c r="D428" s="140"/>
      <c r="E428" s="140"/>
      <c r="F428" s="140"/>
      <c r="G428" s="140"/>
      <c r="H428" s="225"/>
      <c r="I428" s="225"/>
      <c r="J428" s="191"/>
      <c r="K428" s="191"/>
      <c r="L428" s="190"/>
      <c r="M428" s="190"/>
      <c r="N428" s="232"/>
      <c r="O428" s="232"/>
      <c r="P428" s="140"/>
      <c r="Q428" s="140"/>
      <c r="T428" s="140"/>
      <c r="U428" s="140"/>
      <c r="V428" s="140"/>
      <c r="W428" s="140"/>
      <c r="X428" s="140"/>
      <c r="Y428" s="140"/>
      <c r="Z428" s="140"/>
      <c r="AA428" s="140" t="str">
        <f>'BKU 1'!$L$361</f>
        <v>NIP. 19840719 200903 1 002</v>
      </c>
      <c r="AC428" s="230"/>
      <c r="AE428" s="231"/>
      <c r="AF428" s="231"/>
    </row>
    <row r="429" spans="1:32" ht="6" customHeight="1" x14ac:dyDescent="0.25"/>
    <row r="430" spans="1:32" s="177" customFormat="1" ht="24.95" customHeight="1" x14ac:dyDescent="0.25">
      <c r="A430" s="176"/>
      <c r="B430" s="726" t="s">
        <v>6</v>
      </c>
      <c r="C430" s="726"/>
      <c r="D430" s="726"/>
      <c r="E430" s="726"/>
      <c r="F430" s="726"/>
      <c r="G430" s="726"/>
      <c r="H430" s="726"/>
      <c r="I430" s="726"/>
      <c r="J430" s="726"/>
      <c r="K430" s="726"/>
      <c r="L430" s="726"/>
      <c r="M430" s="726"/>
      <c r="N430" s="726"/>
      <c r="O430" s="726"/>
      <c r="P430" s="726"/>
      <c r="Q430" s="726"/>
      <c r="R430" s="726"/>
      <c r="S430" s="726"/>
      <c r="T430" s="726"/>
      <c r="U430" s="726"/>
      <c r="V430" s="726"/>
      <c r="W430" s="726"/>
      <c r="X430" s="726"/>
      <c r="Y430" s="726"/>
      <c r="Z430" s="726"/>
      <c r="AA430" s="726"/>
      <c r="AB430" s="726"/>
      <c r="AC430" s="726"/>
      <c r="AE430" s="178"/>
      <c r="AF430" s="178"/>
    </row>
    <row r="431" spans="1:32" s="177" customFormat="1" ht="24.95" customHeight="1" x14ac:dyDescent="0.25">
      <c r="A431" s="176"/>
      <c r="B431" s="726" t="str">
        <f>'BKU 1'!$D$22</f>
        <v>PEMBANGUNAN TOILET BESERTA SANITASINYA</v>
      </c>
      <c r="C431" s="726"/>
      <c r="D431" s="726"/>
      <c r="E431" s="726"/>
      <c r="F431" s="726"/>
      <c r="G431" s="726"/>
      <c r="H431" s="726"/>
      <c r="I431" s="726"/>
      <c r="J431" s="726"/>
      <c r="K431" s="726"/>
      <c r="L431" s="726"/>
      <c r="M431" s="726"/>
      <c r="N431" s="726"/>
      <c r="O431" s="726"/>
      <c r="P431" s="726"/>
      <c r="Q431" s="726"/>
      <c r="R431" s="726"/>
      <c r="S431" s="726"/>
      <c r="T431" s="726"/>
      <c r="U431" s="726"/>
      <c r="V431" s="726"/>
      <c r="W431" s="726"/>
      <c r="X431" s="726"/>
      <c r="Y431" s="726"/>
      <c r="Z431" s="726"/>
      <c r="AA431" s="726"/>
      <c r="AB431" s="726"/>
      <c r="AC431" s="726"/>
      <c r="AE431" s="178"/>
      <c r="AF431" s="178"/>
    </row>
    <row r="432" spans="1:32" s="184" customFormat="1" ht="30.75" customHeight="1" x14ac:dyDescent="0.25">
      <c r="A432" s="179"/>
      <c r="B432" s="180"/>
      <c r="C432" s="181"/>
      <c r="D432" s="181"/>
      <c r="E432" s="181"/>
      <c r="F432" s="182"/>
      <c r="G432" s="182"/>
      <c r="H432" s="183"/>
      <c r="I432" s="183"/>
      <c r="J432" s="182"/>
      <c r="K432" s="182"/>
      <c r="L432" s="183"/>
      <c r="M432" s="183"/>
      <c r="N432" s="182"/>
      <c r="O432" s="182"/>
      <c r="P432" s="182"/>
      <c r="Q432" s="182"/>
      <c r="R432" s="182"/>
      <c r="S432" s="182"/>
      <c r="T432" s="181"/>
      <c r="U432" s="181"/>
      <c r="V432" s="181"/>
      <c r="X432" s="181"/>
      <c r="AA432" s="180"/>
      <c r="AB432" s="140"/>
      <c r="AC432" s="185"/>
      <c r="AE432" s="186"/>
      <c r="AF432" s="186"/>
    </row>
    <row r="433" spans="1:41" s="184" customFormat="1" ht="14.25" x14ac:dyDescent="0.25">
      <c r="A433" s="179"/>
      <c r="B433" s="185" t="s">
        <v>7</v>
      </c>
      <c r="D433" s="184" t="s">
        <v>49</v>
      </c>
      <c r="E433" s="184" t="str">
        <f>'BKU 1'!$D$25</f>
        <v>SDN 1 SIDODADI</v>
      </c>
      <c r="F433" s="140"/>
      <c r="G433" s="140"/>
      <c r="H433" s="183"/>
      <c r="I433" s="183"/>
      <c r="J433" s="182"/>
      <c r="K433" s="182"/>
      <c r="L433" s="183"/>
      <c r="M433" s="183"/>
      <c r="N433" s="187"/>
      <c r="O433" s="187"/>
      <c r="P433" s="187"/>
      <c r="Q433" s="187"/>
      <c r="R433" s="187"/>
      <c r="S433" s="187"/>
      <c r="T433" s="188"/>
      <c r="U433" s="188"/>
      <c r="V433" s="188"/>
      <c r="X433" s="188"/>
      <c r="AA433" s="180"/>
      <c r="AB433" s="189" t="s">
        <v>8</v>
      </c>
      <c r="AC433" s="185"/>
      <c r="AE433" s="186"/>
      <c r="AF433" s="186"/>
    </row>
    <row r="434" spans="1:41" s="184" customFormat="1" x14ac:dyDescent="0.25">
      <c r="A434" s="179"/>
      <c r="B434" s="185" t="s">
        <v>9</v>
      </c>
      <c r="D434" s="184" t="s">
        <v>49</v>
      </c>
      <c r="E434" s="184" t="str">
        <f>'BKU 1'!$D$26</f>
        <v>Jl. Kawi No.36 Rt. 1 Rw. 1 Dusun Sekar, Rt / Rw : 1 / 1, Dusun : Sekar, Kelurahan : Sidodadi</v>
      </c>
      <c r="F434" s="140"/>
      <c r="G434" s="140"/>
      <c r="H434" s="190"/>
      <c r="I434" s="190"/>
      <c r="J434" s="191"/>
      <c r="K434" s="191"/>
      <c r="L434" s="190"/>
      <c r="M434" s="190"/>
      <c r="N434" s="140"/>
      <c r="O434" s="140"/>
      <c r="P434" s="140"/>
      <c r="Q434" s="140"/>
      <c r="R434" s="140"/>
      <c r="S434" s="140"/>
      <c r="AA434" s="180"/>
      <c r="AB434" s="140" t="s">
        <v>10</v>
      </c>
      <c r="AC434" s="185" t="s">
        <v>11</v>
      </c>
      <c r="AE434" s="186"/>
      <c r="AF434" s="186"/>
    </row>
    <row r="435" spans="1:41" s="184" customFormat="1" x14ac:dyDescent="0.25">
      <c r="A435" s="179"/>
      <c r="B435" s="185" t="s">
        <v>12</v>
      </c>
      <c r="D435" s="184" t="s">
        <v>49</v>
      </c>
      <c r="E435" s="180">
        <f>E396+1</f>
        <v>12</v>
      </c>
      <c r="F435" s="140"/>
      <c r="G435" s="140"/>
      <c r="H435" s="727">
        <f>IFERROR(VLOOKUP(E435,'Rekap Gaji'!$B$12:$P$32,14,FALSE),"-")</f>
        <v>0</v>
      </c>
      <c r="I435" s="727"/>
      <c r="J435" s="727"/>
      <c r="K435" s="727"/>
      <c r="L435" s="727"/>
      <c r="M435" s="191"/>
      <c r="N435" s="140"/>
      <c r="O435" s="140"/>
      <c r="P435" s="140"/>
      <c r="Q435" s="140"/>
      <c r="R435" s="140"/>
      <c r="S435" s="140"/>
      <c r="AA435" s="180"/>
      <c r="AB435" s="140" t="s">
        <v>13</v>
      </c>
      <c r="AC435" s="185" t="s">
        <v>14</v>
      </c>
      <c r="AE435" s="186"/>
      <c r="AF435" s="186"/>
    </row>
    <row r="436" spans="1:41" s="184" customFormat="1" ht="15" customHeight="1" x14ac:dyDescent="0.25">
      <c r="A436" s="179"/>
      <c r="B436" s="185" t="s">
        <v>0</v>
      </c>
      <c r="D436" s="184" t="s">
        <v>49</v>
      </c>
      <c r="E436" s="728">
        <f>IFERROR(VLOOKUP(E435,'Rekap Gaji'!$B$12:$P$32,4,FALSE),"-")</f>
        <v>45977</v>
      </c>
      <c r="F436" s="728"/>
      <c r="G436" s="728"/>
      <c r="H436" s="728"/>
      <c r="I436" s="728"/>
      <c r="J436" s="728"/>
      <c r="K436" s="339"/>
      <c r="L436" s="727" t="s">
        <v>76</v>
      </c>
      <c r="M436" s="727"/>
      <c r="N436" s="727"/>
      <c r="O436" s="191"/>
      <c r="P436" s="728">
        <f>IFERROR(VLOOKUP(E435,'Rekap Gaji'!$B$12:$P$32,6,FALSE),"-")</f>
        <v>45983</v>
      </c>
      <c r="Q436" s="728"/>
      <c r="R436" s="728"/>
      <c r="S436" s="728"/>
      <c r="T436" s="728"/>
      <c r="U436" s="728"/>
      <c r="V436" s="728"/>
      <c r="AA436" s="180"/>
      <c r="AB436" s="140" t="s">
        <v>15</v>
      </c>
      <c r="AC436" s="185" t="s">
        <v>16</v>
      </c>
      <c r="AE436" s="186"/>
      <c r="AF436" s="186"/>
    </row>
    <row r="437" spans="1:41" s="188" customFormat="1" ht="8.1" customHeight="1" thickBot="1" x14ac:dyDescent="0.3">
      <c r="A437" s="192"/>
      <c r="B437" s="193"/>
      <c r="F437" s="189"/>
      <c r="G437" s="189"/>
      <c r="H437" s="194"/>
      <c r="I437" s="194"/>
      <c r="J437" s="195"/>
      <c r="K437" s="195"/>
      <c r="L437" s="194"/>
      <c r="M437" s="194"/>
      <c r="N437" s="189"/>
      <c r="O437" s="189"/>
      <c r="P437" s="189"/>
      <c r="Q437" s="189"/>
      <c r="R437" s="189"/>
      <c r="S437" s="189"/>
      <c r="AA437" s="193"/>
      <c r="AB437" s="189"/>
      <c r="AC437" s="196"/>
      <c r="AE437" s="197"/>
      <c r="AF437" s="197"/>
    </row>
    <row r="438" spans="1:41" ht="15" customHeight="1" x14ac:dyDescent="0.25">
      <c r="B438" s="744" t="s">
        <v>17</v>
      </c>
      <c r="C438" s="735" t="s">
        <v>18</v>
      </c>
      <c r="D438" s="747"/>
      <c r="E438" s="342" t="s">
        <v>19</v>
      </c>
      <c r="F438" s="714" t="s">
        <v>20</v>
      </c>
      <c r="G438" s="715"/>
      <c r="H438" s="715"/>
      <c r="I438" s="715"/>
      <c r="J438" s="715"/>
      <c r="K438" s="715"/>
      <c r="L438" s="715"/>
      <c r="M438" s="715"/>
      <c r="N438" s="715"/>
      <c r="O438" s="715"/>
      <c r="P438" s="715"/>
      <c r="Q438" s="715"/>
      <c r="R438" s="715"/>
      <c r="S438" s="716"/>
      <c r="T438" s="341" t="s">
        <v>2</v>
      </c>
      <c r="U438" s="341" t="s">
        <v>474</v>
      </c>
      <c r="V438" s="735" t="s">
        <v>21</v>
      </c>
      <c r="W438" s="747"/>
      <c r="X438" s="735" t="s">
        <v>21</v>
      </c>
      <c r="Y438" s="747"/>
      <c r="Z438" s="735" t="s">
        <v>22</v>
      </c>
      <c r="AA438" s="747"/>
      <c r="AB438" s="735" t="s">
        <v>23</v>
      </c>
      <c r="AC438" s="736"/>
    </row>
    <row r="439" spans="1:41" ht="29.1" customHeight="1" x14ac:dyDescent="0.25">
      <c r="B439" s="745"/>
      <c r="C439" s="737"/>
      <c r="D439" s="743"/>
      <c r="E439" s="346" t="s">
        <v>24</v>
      </c>
      <c r="F439" s="741" t="s">
        <v>25</v>
      </c>
      <c r="G439" s="347" t="s">
        <v>475</v>
      </c>
      <c r="H439" s="741" t="s">
        <v>26</v>
      </c>
      <c r="I439" s="347" t="s">
        <v>475</v>
      </c>
      <c r="J439" s="741" t="s">
        <v>26</v>
      </c>
      <c r="K439" s="347" t="s">
        <v>475</v>
      </c>
      <c r="L439" s="741" t="s">
        <v>27</v>
      </c>
      <c r="M439" s="347" t="s">
        <v>475</v>
      </c>
      <c r="N439" s="741" t="s">
        <v>28</v>
      </c>
      <c r="O439" s="347" t="s">
        <v>475</v>
      </c>
      <c r="P439" s="741" t="s">
        <v>29</v>
      </c>
      <c r="Q439" s="347" t="s">
        <v>475</v>
      </c>
      <c r="R439" s="741" t="s">
        <v>26</v>
      </c>
      <c r="S439" s="347" t="s">
        <v>475</v>
      </c>
      <c r="T439" s="345" t="s">
        <v>30</v>
      </c>
      <c r="U439" s="345" t="s">
        <v>476</v>
      </c>
      <c r="V439" s="737" t="s">
        <v>455</v>
      </c>
      <c r="W439" s="743"/>
      <c r="X439" s="737" t="s">
        <v>477</v>
      </c>
      <c r="Y439" s="743"/>
      <c r="Z439" s="737" t="s">
        <v>31</v>
      </c>
      <c r="AA439" s="743"/>
      <c r="AB439" s="737"/>
      <c r="AC439" s="738"/>
    </row>
    <row r="440" spans="1:41" ht="15" customHeight="1" thickBot="1" x14ac:dyDescent="0.3">
      <c r="B440" s="746"/>
      <c r="C440" s="739"/>
      <c r="D440" s="748"/>
      <c r="E440" s="349" t="s">
        <v>32</v>
      </c>
      <c r="F440" s="742"/>
      <c r="G440" s="350" t="s">
        <v>478</v>
      </c>
      <c r="H440" s="742"/>
      <c r="I440" s="350" t="s">
        <v>478</v>
      </c>
      <c r="J440" s="742"/>
      <c r="K440" s="350" t="s">
        <v>478</v>
      </c>
      <c r="L440" s="742"/>
      <c r="M440" s="350" t="s">
        <v>478</v>
      </c>
      <c r="N440" s="742"/>
      <c r="O440" s="350" t="s">
        <v>478</v>
      </c>
      <c r="P440" s="742"/>
      <c r="Q440" s="350" t="s">
        <v>478</v>
      </c>
      <c r="R440" s="742"/>
      <c r="S440" s="350" t="s">
        <v>478</v>
      </c>
      <c r="T440" s="348" t="s">
        <v>31</v>
      </c>
      <c r="U440" s="348" t="s">
        <v>479</v>
      </c>
      <c r="V440" s="739" t="s">
        <v>33</v>
      </c>
      <c r="W440" s="748"/>
      <c r="X440" s="739" t="s">
        <v>33</v>
      </c>
      <c r="Y440" s="748"/>
      <c r="Z440" s="739" t="s">
        <v>34</v>
      </c>
      <c r="AA440" s="748"/>
      <c r="AB440" s="739"/>
      <c r="AC440" s="740"/>
    </row>
    <row r="441" spans="1:41" ht="24.95" customHeight="1" x14ac:dyDescent="0.25">
      <c r="B441" s="201">
        <v>1</v>
      </c>
      <c r="C441" s="202" t="str">
        <f>C402</f>
        <v>KUSMAN H</v>
      </c>
      <c r="D441" s="203"/>
      <c r="E441" s="204" t="str">
        <f>E402</f>
        <v>A</v>
      </c>
      <c r="F441" s="215"/>
      <c r="G441" s="205"/>
      <c r="H441" s="205"/>
      <c r="I441" s="205"/>
      <c r="J441" s="205"/>
      <c r="K441" s="205"/>
      <c r="L441" s="205"/>
      <c r="M441" s="205"/>
      <c r="N441" s="205"/>
      <c r="O441" s="205"/>
      <c r="P441" s="205"/>
      <c r="Q441" s="205"/>
      <c r="R441" s="205"/>
      <c r="S441" s="205"/>
      <c r="T441" s="206">
        <f>SUM(AI441:AO441)</f>
        <v>0</v>
      </c>
      <c r="U441" s="206">
        <f>SUM(F441:S441)</f>
        <v>0</v>
      </c>
      <c r="V441" s="207" t="str">
        <f>IF(W441&gt;0,"Rp",IF(W441=0," "))</f>
        <v>Rp</v>
      </c>
      <c r="W441" s="208">
        <f>W402</f>
        <v>135000</v>
      </c>
      <c r="X441" s="207" t="str">
        <f>IF(Y441&gt;0,"Rp",IF(Y441=0," "))</f>
        <v>Rp</v>
      </c>
      <c r="Y441" s="208">
        <f>Y402</f>
        <v>20000</v>
      </c>
      <c r="Z441" s="207" t="str">
        <f>IF(AA441&gt;0,"Rp",IF(AA441=0," "))</f>
        <v xml:space="preserve"> </v>
      </c>
      <c r="AA441" s="208">
        <f>W441*T441+U441*Y441</f>
        <v>0</v>
      </c>
      <c r="AB441" s="209">
        <v>1</v>
      </c>
      <c r="AC441" s="210"/>
      <c r="AE441" s="260"/>
      <c r="AF441" s="140"/>
      <c r="AI441" s="211" t="b">
        <f t="shared" ref="AI441:AI452" si="183">IFERROR(IF(F441="V",1,IF(F441="X",0))," ")</f>
        <v>0</v>
      </c>
      <c r="AJ441" s="211" t="b">
        <f t="shared" ref="AJ441:AJ452" si="184">IFERROR(IF(H441="V",1,IF(H441="X",0))," ")</f>
        <v>0</v>
      </c>
      <c r="AK441" s="211" t="b">
        <f t="shared" ref="AK441:AK452" si="185">IFERROR(IF(J441="V",1,IF(J441="X",0))," ")</f>
        <v>0</v>
      </c>
      <c r="AL441" s="211" t="b">
        <f t="shared" ref="AL441:AL452" si="186">IFERROR(IF(L441="V",1,IF(L441="X",0))," ")</f>
        <v>0</v>
      </c>
      <c r="AM441" s="211" t="b">
        <f t="shared" ref="AM441:AM452" si="187">IFERROR(IF(N441="V",1,IF(N441="X",0))," ")</f>
        <v>0</v>
      </c>
      <c r="AN441" s="211" t="b">
        <f t="shared" ref="AN441:AN452" si="188">IFERROR(IF(P441="V",1,IF(P441="X",0))," ")</f>
        <v>0</v>
      </c>
      <c r="AO441" s="211" t="b">
        <f t="shared" ref="AO441:AO452" si="189">IFERROR(IF(R441="V",1,IF(R441="X",0))," ")</f>
        <v>0</v>
      </c>
    </row>
    <row r="442" spans="1:41" ht="24.95" customHeight="1" x14ac:dyDescent="0.25">
      <c r="B442" s="212">
        <v>2</v>
      </c>
      <c r="C442" s="202" t="str">
        <f t="shared" ref="C442:C450" si="190">C403</f>
        <v>BUSANI</v>
      </c>
      <c r="D442" s="213"/>
      <c r="E442" s="214" t="str">
        <f t="shared" ref="E442:E450" si="191">E403</f>
        <v>B</v>
      </c>
      <c r="F442" s="215"/>
      <c r="G442" s="215"/>
      <c r="H442" s="215"/>
      <c r="I442" s="215"/>
      <c r="J442" s="215"/>
      <c r="K442" s="215"/>
      <c r="L442" s="215"/>
      <c r="M442" s="215"/>
      <c r="N442" s="215"/>
      <c r="O442" s="215"/>
      <c r="P442" s="215"/>
      <c r="Q442" s="215"/>
      <c r="R442" s="215"/>
      <c r="S442" s="215"/>
      <c r="T442" s="216">
        <f t="shared" ref="T442:T449" si="192">SUM(AI442:AO442)</f>
        <v>0</v>
      </c>
      <c r="U442" s="351">
        <f t="shared" ref="U442:U449" si="193">SUM(F442:S442)</f>
        <v>0</v>
      </c>
      <c r="V442" s="217" t="str">
        <f t="shared" ref="V442:V449" si="194">IF(W442&gt;0,"Rp",IF(W442=0," "))</f>
        <v>Rp</v>
      </c>
      <c r="W442" s="218">
        <f t="shared" ref="W442:W449" si="195">W403</f>
        <v>125000</v>
      </c>
      <c r="X442" s="217" t="str">
        <f t="shared" ref="X442:X449" si="196">IF(Y442&gt;0,"Rp",IF(Y442=0," "))</f>
        <v>Rp</v>
      </c>
      <c r="Y442" s="218">
        <f t="shared" ref="Y442:Y449" si="197">Y403</f>
        <v>15000</v>
      </c>
      <c r="Z442" s="217" t="str">
        <f t="shared" ref="Z442:Z450" si="198">IF(AA442&gt;0,"Rp",IF(AA442=0," "))</f>
        <v xml:space="preserve"> </v>
      </c>
      <c r="AA442" s="219">
        <f t="shared" ref="AA442:AA450" si="199">W442*T442+U442*Y442</f>
        <v>0</v>
      </c>
      <c r="AB442" s="220"/>
      <c r="AC442" s="221">
        <v>2</v>
      </c>
      <c r="AE442" s="211"/>
      <c r="AF442" s="211"/>
      <c r="AI442" s="211" t="b">
        <f t="shared" si="183"/>
        <v>0</v>
      </c>
      <c r="AJ442" s="211" t="b">
        <f t="shared" si="184"/>
        <v>0</v>
      </c>
      <c r="AK442" s="211" t="b">
        <f t="shared" si="185"/>
        <v>0</v>
      </c>
      <c r="AL442" s="211" t="b">
        <f t="shared" si="186"/>
        <v>0</v>
      </c>
      <c r="AM442" s="211" t="b">
        <f t="shared" si="187"/>
        <v>0</v>
      </c>
      <c r="AN442" s="211" t="b">
        <f t="shared" si="188"/>
        <v>0</v>
      </c>
      <c r="AO442" s="211" t="b">
        <f t="shared" si="189"/>
        <v>0</v>
      </c>
    </row>
    <row r="443" spans="1:41" ht="24.95" customHeight="1" x14ac:dyDescent="0.25">
      <c r="B443" s="212">
        <v>3</v>
      </c>
      <c r="C443" s="202" t="str">
        <f t="shared" si="190"/>
        <v>LASMARI</v>
      </c>
      <c r="D443" s="213"/>
      <c r="E443" s="214" t="str">
        <f t="shared" si="191"/>
        <v>B</v>
      </c>
      <c r="F443" s="215"/>
      <c r="G443" s="215"/>
      <c r="H443" s="215"/>
      <c r="I443" s="215"/>
      <c r="J443" s="215"/>
      <c r="K443" s="215"/>
      <c r="L443" s="215"/>
      <c r="M443" s="215"/>
      <c r="N443" s="215"/>
      <c r="O443" s="215"/>
      <c r="P443" s="215"/>
      <c r="Q443" s="215"/>
      <c r="R443" s="215"/>
      <c r="S443" s="215"/>
      <c r="T443" s="216">
        <f t="shared" si="192"/>
        <v>0</v>
      </c>
      <c r="U443" s="351">
        <f t="shared" si="193"/>
        <v>0</v>
      </c>
      <c r="V443" s="217" t="str">
        <f t="shared" si="194"/>
        <v>Rp</v>
      </c>
      <c r="W443" s="218">
        <f t="shared" si="195"/>
        <v>125000</v>
      </c>
      <c r="X443" s="217" t="str">
        <f t="shared" si="196"/>
        <v>Rp</v>
      </c>
      <c r="Y443" s="218">
        <f t="shared" si="197"/>
        <v>15000</v>
      </c>
      <c r="Z443" s="217" t="str">
        <f t="shared" si="198"/>
        <v xml:space="preserve"> </v>
      </c>
      <c r="AA443" s="219">
        <f t="shared" si="199"/>
        <v>0</v>
      </c>
      <c r="AB443" s="222">
        <v>3</v>
      </c>
      <c r="AC443" s="221"/>
      <c r="AE443" s="211"/>
      <c r="AF443" s="211"/>
      <c r="AI443" s="211" t="b">
        <f t="shared" si="183"/>
        <v>0</v>
      </c>
      <c r="AJ443" s="211" t="b">
        <f t="shared" si="184"/>
        <v>0</v>
      </c>
      <c r="AK443" s="211" t="b">
        <f t="shared" si="185"/>
        <v>0</v>
      </c>
      <c r="AL443" s="211" t="b">
        <f t="shared" si="186"/>
        <v>0</v>
      </c>
      <c r="AM443" s="211" t="b">
        <f t="shared" si="187"/>
        <v>0</v>
      </c>
      <c r="AN443" s="211" t="b">
        <f t="shared" si="188"/>
        <v>0</v>
      </c>
      <c r="AO443" s="211" t="b">
        <f t="shared" si="189"/>
        <v>0</v>
      </c>
    </row>
    <row r="444" spans="1:41" ht="24.95" customHeight="1" x14ac:dyDescent="0.25">
      <c r="B444" s="212">
        <v>4</v>
      </c>
      <c r="C444" s="202" t="str">
        <f t="shared" si="190"/>
        <v>SUMARTO</v>
      </c>
      <c r="D444" s="213"/>
      <c r="E444" s="214" t="str">
        <f t="shared" si="191"/>
        <v>B</v>
      </c>
      <c r="F444" s="215"/>
      <c r="G444" s="215"/>
      <c r="H444" s="215"/>
      <c r="I444" s="215"/>
      <c r="J444" s="215"/>
      <c r="K444" s="215"/>
      <c r="L444" s="215"/>
      <c r="M444" s="215"/>
      <c r="N444" s="215"/>
      <c r="O444" s="215"/>
      <c r="P444" s="215"/>
      <c r="Q444" s="215"/>
      <c r="R444" s="215"/>
      <c r="S444" s="215"/>
      <c r="T444" s="216">
        <f t="shared" si="192"/>
        <v>0</v>
      </c>
      <c r="U444" s="351">
        <f t="shared" si="193"/>
        <v>0</v>
      </c>
      <c r="V444" s="217" t="str">
        <f t="shared" si="194"/>
        <v>Rp</v>
      </c>
      <c r="W444" s="218">
        <f t="shared" si="195"/>
        <v>125000</v>
      </c>
      <c r="X444" s="217" t="str">
        <f t="shared" si="196"/>
        <v>Rp</v>
      </c>
      <c r="Y444" s="218">
        <f t="shared" si="197"/>
        <v>15000</v>
      </c>
      <c r="Z444" s="217" t="str">
        <f t="shared" si="198"/>
        <v xml:space="preserve"> </v>
      </c>
      <c r="AA444" s="219">
        <f t="shared" si="199"/>
        <v>0</v>
      </c>
      <c r="AB444" s="222"/>
      <c r="AC444" s="223">
        <v>4</v>
      </c>
      <c r="AE444" s="211"/>
      <c r="AF444" s="211"/>
      <c r="AI444" s="211" t="b">
        <f t="shared" si="183"/>
        <v>0</v>
      </c>
      <c r="AJ444" s="211" t="b">
        <f t="shared" si="184"/>
        <v>0</v>
      </c>
      <c r="AK444" s="211" t="b">
        <f t="shared" si="185"/>
        <v>0</v>
      </c>
      <c r="AL444" s="211" t="b">
        <f t="shared" si="186"/>
        <v>0</v>
      </c>
      <c r="AM444" s="211" t="b">
        <f t="shared" si="187"/>
        <v>0</v>
      </c>
      <c r="AN444" s="211" t="b">
        <f t="shared" si="188"/>
        <v>0</v>
      </c>
      <c r="AO444" s="211" t="b">
        <f t="shared" si="189"/>
        <v>0</v>
      </c>
    </row>
    <row r="445" spans="1:41" ht="24.95" customHeight="1" x14ac:dyDescent="0.25">
      <c r="B445" s="212">
        <v>5</v>
      </c>
      <c r="C445" s="202" t="str">
        <f t="shared" si="190"/>
        <v>TONI</v>
      </c>
      <c r="D445" s="213"/>
      <c r="E445" s="214" t="str">
        <f t="shared" si="191"/>
        <v>C</v>
      </c>
      <c r="F445" s="215"/>
      <c r="G445" s="215"/>
      <c r="H445" s="215"/>
      <c r="I445" s="215"/>
      <c r="J445" s="215"/>
      <c r="K445" s="215"/>
      <c r="L445" s="215"/>
      <c r="M445" s="215"/>
      <c r="N445" s="215"/>
      <c r="O445" s="215"/>
      <c r="P445" s="215"/>
      <c r="Q445" s="215"/>
      <c r="R445" s="215"/>
      <c r="S445" s="215"/>
      <c r="T445" s="216">
        <f t="shared" si="192"/>
        <v>0</v>
      </c>
      <c r="U445" s="351">
        <f t="shared" si="193"/>
        <v>0</v>
      </c>
      <c r="V445" s="217" t="str">
        <f t="shared" si="194"/>
        <v>Rp</v>
      </c>
      <c r="W445" s="218">
        <f t="shared" si="195"/>
        <v>115000</v>
      </c>
      <c r="X445" s="217" t="str">
        <f t="shared" si="196"/>
        <v>Rp</v>
      </c>
      <c r="Y445" s="218">
        <f t="shared" si="197"/>
        <v>10000</v>
      </c>
      <c r="Z445" s="217" t="str">
        <f t="shared" si="198"/>
        <v xml:space="preserve"> </v>
      </c>
      <c r="AA445" s="219">
        <f t="shared" si="199"/>
        <v>0</v>
      </c>
      <c r="AB445" s="222">
        <v>5</v>
      </c>
      <c r="AC445" s="221"/>
      <c r="AE445" s="211"/>
      <c r="AF445" s="211"/>
      <c r="AI445" s="211" t="b">
        <f t="shared" si="183"/>
        <v>0</v>
      </c>
      <c r="AJ445" s="211" t="b">
        <f t="shared" si="184"/>
        <v>0</v>
      </c>
      <c r="AK445" s="211" t="b">
        <f t="shared" si="185"/>
        <v>0</v>
      </c>
      <c r="AL445" s="211" t="b">
        <f t="shared" si="186"/>
        <v>0</v>
      </c>
      <c r="AM445" s="211" t="b">
        <f t="shared" si="187"/>
        <v>0</v>
      </c>
      <c r="AN445" s="211" t="b">
        <f t="shared" si="188"/>
        <v>0</v>
      </c>
      <c r="AO445" s="211" t="b">
        <f t="shared" si="189"/>
        <v>0</v>
      </c>
    </row>
    <row r="446" spans="1:41" ht="24.95" customHeight="1" x14ac:dyDescent="0.25">
      <c r="B446" s="212">
        <v>6</v>
      </c>
      <c r="C446" s="202" t="str">
        <f t="shared" si="190"/>
        <v>SAKIM</v>
      </c>
      <c r="D446" s="213"/>
      <c r="E446" s="214" t="str">
        <f t="shared" si="191"/>
        <v>C</v>
      </c>
      <c r="F446" s="215"/>
      <c r="G446" s="215"/>
      <c r="H446" s="215"/>
      <c r="I446" s="215"/>
      <c r="J446" s="215"/>
      <c r="K446" s="215"/>
      <c r="L446" s="215"/>
      <c r="M446" s="215"/>
      <c r="N446" s="215"/>
      <c r="O446" s="215"/>
      <c r="P446" s="215"/>
      <c r="Q446" s="215"/>
      <c r="R446" s="215"/>
      <c r="S446" s="215"/>
      <c r="T446" s="216">
        <f t="shared" si="192"/>
        <v>0</v>
      </c>
      <c r="U446" s="351">
        <f t="shared" si="193"/>
        <v>0</v>
      </c>
      <c r="V446" s="217" t="str">
        <f t="shared" si="194"/>
        <v>Rp</v>
      </c>
      <c r="W446" s="218">
        <f t="shared" si="195"/>
        <v>115000</v>
      </c>
      <c r="X446" s="217" t="str">
        <f t="shared" si="196"/>
        <v>Rp</v>
      </c>
      <c r="Y446" s="218">
        <f t="shared" si="197"/>
        <v>10000</v>
      </c>
      <c r="Z446" s="217" t="str">
        <f t="shared" si="198"/>
        <v xml:space="preserve"> </v>
      </c>
      <c r="AA446" s="219">
        <f t="shared" si="199"/>
        <v>0</v>
      </c>
      <c r="AB446" s="222"/>
      <c r="AC446" s="223"/>
      <c r="AE446" s="211"/>
      <c r="AF446" s="211"/>
      <c r="AI446" s="211" t="b">
        <f t="shared" si="183"/>
        <v>0</v>
      </c>
      <c r="AJ446" s="211" t="b">
        <f t="shared" si="184"/>
        <v>0</v>
      </c>
      <c r="AK446" s="211" t="b">
        <f t="shared" si="185"/>
        <v>0</v>
      </c>
      <c r="AL446" s="211" t="b">
        <f t="shared" si="186"/>
        <v>0</v>
      </c>
      <c r="AM446" s="211" t="b">
        <f t="shared" si="187"/>
        <v>0</v>
      </c>
      <c r="AN446" s="211" t="b">
        <f t="shared" si="188"/>
        <v>0</v>
      </c>
      <c r="AO446" s="211" t="b">
        <f t="shared" si="189"/>
        <v>0</v>
      </c>
    </row>
    <row r="447" spans="1:41" ht="24.95" customHeight="1" x14ac:dyDescent="0.25">
      <c r="B447" s="212">
        <v>7</v>
      </c>
      <c r="C447" s="202" t="str">
        <f t="shared" si="190"/>
        <v>TOHIR</v>
      </c>
      <c r="D447" s="213"/>
      <c r="E447" s="214" t="str">
        <f t="shared" si="191"/>
        <v>C</v>
      </c>
      <c r="F447" s="215"/>
      <c r="G447" s="215"/>
      <c r="H447" s="215"/>
      <c r="I447" s="215"/>
      <c r="J447" s="215"/>
      <c r="K447" s="215"/>
      <c r="L447" s="215"/>
      <c r="M447" s="215"/>
      <c r="N447" s="215"/>
      <c r="O447" s="215"/>
      <c r="P447" s="215"/>
      <c r="Q447" s="215"/>
      <c r="R447" s="215"/>
      <c r="S447" s="215"/>
      <c r="T447" s="216">
        <f t="shared" si="192"/>
        <v>0</v>
      </c>
      <c r="U447" s="351">
        <f t="shared" si="193"/>
        <v>0</v>
      </c>
      <c r="V447" s="217" t="str">
        <f t="shared" si="194"/>
        <v>Rp</v>
      </c>
      <c r="W447" s="218">
        <f t="shared" si="195"/>
        <v>115000</v>
      </c>
      <c r="X447" s="217" t="str">
        <f t="shared" si="196"/>
        <v>Rp</v>
      </c>
      <c r="Y447" s="218">
        <f t="shared" si="197"/>
        <v>10000</v>
      </c>
      <c r="Z447" s="217" t="str">
        <f t="shared" si="198"/>
        <v xml:space="preserve"> </v>
      </c>
      <c r="AA447" s="219">
        <f t="shared" si="199"/>
        <v>0</v>
      </c>
      <c r="AB447" s="222"/>
      <c r="AC447" s="221"/>
      <c r="AE447" s="211"/>
      <c r="AF447" s="211"/>
      <c r="AI447" s="211" t="b">
        <f t="shared" si="183"/>
        <v>0</v>
      </c>
      <c r="AJ447" s="211" t="b">
        <f t="shared" si="184"/>
        <v>0</v>
      </c>
      <c r="AK447" s="211" t="b">
        <f t="shared" si="185"/>
        <v>0</v>
      </c>
      <c r="AL447" s="211" t="b">
        <f t="shared" si="186"/>
        <v>0</v>
      </c>
      <c r="AM447" s="211" t="b">
        <f t="shared" si="187"/>
        <v>0</v>
      </c>
      <c r="AN447" s="211" t="b">
        <f t="shared" si="188"/>
        <v>0</v>
      </c>
      <c r="AO447" s="211" t="b">
        <f t="shared" si="189"/>
        <v>0</v>
      </c>
    </row>
    <row r="448" spans="1:41" ht="24.95" customHeight="1" x14ac:dyDescent="0.25">
      <c r="B448" s="212">
        <v>8</v>
      </c>
      <c r="C448" s="202" t="str">
        <f t="shared" si="190"/>
        <v>ROJALI</v>
      </c>
      <c r="D448" s="213"/>
      <c r="E448" s="214" t="str">
        <f t="shared" si="191"/>
        <v>C</v>
      </c>
      <c r="F448" s="215"/>
      <c r="G448" s="215"/>
      <c r="H448" s="215"/>
      <c r="I448" s="215"/>
      <c r="J448" s="215"/>
      <c r="K448" s="215"/>
      <c r="L448" s="215"/>
      <c r="M448" s="215"/>
      <c r="N448" s="215"/>
      <c r="O448" s="215"/>
      <c r="P448" s="215"/>
      <c r="Q448" s="215"/>
      <c r="R448" s="215"/>
      <c r="S448" s="215"/>
      <c r="T448" s="216">
        <f t="shared" si="192"/>
        <v>0</v>
      </c>
      <c r="U448" s="351">
        <f t="shared" si="193"/>
        <v>0</v>
      </c>
      <c r="V448" s="217" t="str">
        <f t="shared" si="194"/>
        <v>Rp</v>
      </c>
      <c r="W448" s="218">
        <f t="shared" si="195"/>
        <v>115000</v>
      </c>
      <c r="X448" s="217" t="str">
        <f t="shared" si="196"/>
        <v>Rp</v>
      </c>
      <c r="Y448" s="218">
        <f t="shared" si="197"/>
        <v>10000</v>
      </c>
      <c r="Z448" s="217" t="str">
        <f t="shared" si="198"/>
        <v xml:space="preserve"> </v>
      </c>
      <c r="AA448" s="219">
        <f t="shared" si="199"/>
        <v>0</v>
      </c>
      <c r="AB448" s="222"/>
      <c r="AC448" s="223"/>
      <c r="AE448" s="211"/>
      <c r="AF448" s="211"/>
      <c r="AI448" s="211" t="b">
        <f t="shared" si="183"/>
        <v>0</v>
      </c>
      <c r="AJ448" s="211" t="b">
        <f t="shared" si="184"/>
        <v>0</v>
      </c>
      <c r="AK448" s="211" t="b">
        <f t="shared" si="185"/>
        <v>0</v>
      </c>
      <c r="AL448" s="211" t="b">
        <f t="shared" si="186"/>
        <v>0</v>
      </c>
      <c r="AM448" s="211" t="b">
        <f t="shared" si="187"/>
        <v>0</v>
      </c>
      <c r="AN448" s="211" t="b">
        <f t="shared" si="188"/>
        <v>0</v>
      </c>
      <c r="AO448" s="211" t="b">
        <f t="shared" si="189"/>
        <v>0</v>
      </c>
    </row>
    <row r="449" spans="1:41" ht="24.95" customHeight="1" x14ac:dyDescent="0.25">
      <c r="B449" s="212">
        <v>9</v>
      </c>
      <c r="C449" s="202">
        <f t="shared" si="190"/>
        <v>0</v>
      </c>
      <c r="D449" s="213"/>
      <c r="E449" s="214">
        <f t="shared" si="191"/>
        <v>0</v>
      </c>
      <c r="F449" s="215"/>
      <c r="G449" s="215"/>
      <c r="H449" s="215"/>
      <c r="I449" s="215"/>
      <c r="J449" s="215"/>
      <c r="K449" s="215"/>
      <c r="L449" s="215"/>
      <c r="M449" s="215"/>
      <c r="N449" s="215"/>
      <c r="O449" s="215"/>
      <c r="P449" s="215"/>
      <c r="Q449" s="215"/>
      <c r="R449" s="215"/>
      <c r="S449" s="215"/>
      <c r="T449" s="216">
        <f t="shared" si="192"/>
        <v>0</v>
      </c>
      <c r="U449" s="351">
        <f t="shared" si="193"/>
        <v>0</v>
      </c>
      <c r="V449" s="217" t="str">
        <f t="shared" si="194"/>
        <v xml:space="preserve"> </v>
      </c>
      <c r="W449" s="218">
        <f t="shared" si="195"/>
        <v>0</v>
      </c>
      <c r="X449" s="217" t="str">
        <f t="shared" si="196"/>
        <v xml:space="preserve"> </v>
      </c>
      <c r="Y449" s="218">
        <f t="shared" si="197"/>
        <v>0</v>
      </c>
      <c r="Z449" s="217" t="str">
        <f t="shared" si="198"/>
        <v xml:space="preserve"> </v>
      </c>
      <c r="AA449" s="219">
        <f t="shared" si="199"/>
        <v>0</v>
      </c>
      <c r="AB449" s="222"/>
      <c r="AC449" s="221"/>
      <c r="AE449" s="211"/>
      <c r="AF449" s="211"/>
      <c r="AI449" s="211" t="b">
        <f t="shared" si="183"/>
        <v>0</v>
      </c>
      <c r="AJ449" s="211" t="b">
        <f t="shared" si="184"/>
        <v>0</v>
      </c>
      <c r="AK449" s="211" t="b">
        <f t="shared" si="185"/>
        <v>0</v>
      </c>
      <c r="AL449" s="211" t="b">
        <f t="shared" si="186"/>
        <v>0</v>
      </c>
      <c r="AM449" s="211" t="b">
        <f t="shared" si="187"/>
        <v>0</v>
      </c>
      <c r="AN449" s="211" t="b">
        <f t="shared" si="188"/>
        <v>0</v>
      </c>
      <c r="AO449" s="211" t="b">
        <f t="shared" si="189"/>
        <v>0</v>
      </c>
    </row>
    <row r="450" spans="1:41" ht="24.95" customHeight="1" x14ac:dyDescent="0.25">
      <c r="B450" s="212">
        <v>10</v>
      </c>
      <c r="C450" s="202">
        <f t="shared" si="190"/>
        <v>0</v>
      </c>
      <c r="D450" s="213"/>
      <c r="E450" s="214">
        <f t="shared" si="191"/>
        <v>0</v>
      </c>
      <c r="F450" s="215"/>
      <c r="G450" s="215"/>
      <c r="H450" s="215"/>
      <c r="I450" s="215"/>
      <c r="J450" s="215"/>
      <c r="K450" s="215"/>
      <c r="L450" s="215"/>
      <c r="M450" s="215"/>
      <c r="N450" s="215"/>
      <c r="O450" s="215"/>
      <c r="P450" s="215"/>
      <c r="Q450" s="215"/>
      <c r="R450" s="215"/>
      <c r="S450" s="215"/>
      <c r="T450" s="216"/>
      <c r="U450" s="352"/>
      <c r="V450" s="217"/>
      <c r="W450" s="218"/>
      <c r="X450" s="217"/>
      <c r="Y450" s="218"/>
      <c r="Z450" s="217" t="str">
        <f t="shared" si="198"/>
        <v xml:space="preserve"> </v>
      </c>
      <c r="AA450" s="219">
        <f t="shared" si="199"/>
        <v>0</v>
      </c>
      <c r="AB450" s="222"/>
      <c r="AC450" s="223"/>
      <c r="AE450" s="211"/>
      <c r="AF450" s="211"/>
      <c r="AI450" s="211" t="b">
        <f t="shared" si="183"/>
        <v>0</v>
      </c>
      <c r="AJ450" s="211" t="b">
        <f t="shared" si="184"/>
        <v>0</v>
      </c>
      <c r="AK450" s="211" t="b">
        <f t="shared" si="185"/>
        <v>0</v>
      </c>
      <c r="AL450" s="211" t="b">
        <f t="shared" si="186"/>
        <v>0</v>
      </c>
      <c r="AM450" s="211" t="b">
        <f t="shared" si="187"/>
        <v>0</v>
      </c>
      <c r="AN450" s="211" t="b">
        <f t="shared" si="188"/>
        <v>0</v>
      </c>
      <c r="AO450" s="211" t="b">
        <f t="shared" si="189"/>
        <v>0</v>
      </c>
    </row>
    <row r="451" spans="1:41" ht="24.95" customHeight="1" x14ac:dyDescent="0.25">
      <c r="B451" s="212">
        <v>11</v>
      </c>
      <c r="C451" s="202">
        <f>C412</f>
        <v>0</v>
      </c>
      <c r="D451" s="213"/>
      <c r="E451" s="214">
        <f>E412</f>
        <v>0</v>
      </c>
      <c r="F451" s="215"/>
      <c r="G451" s="215"/>
      <c r="H451" s="215"/>
      <c r="I451" s="215"/>
      <c r="J451" s="215"/>
      <c r="K451" s="215"/>
      <c r="L451" s="215"/>
      <c r="M451" s="215"/>
      <c r="N451" s="215"/>
      <c r="O451" s="215"/>
      <c r="P451" s="215"/>
      <c r="Q451" s="215"/>
      <c r="R451" s="215"/>
      <c r="S451" s="215"/>
      <c r="T451" s="216">
        <f>SUM(AI451:AO451)</f>
        <v>0</v>
      </c>
      <c r="U451" s="216">
        <f>SUM(F451:S451)/6</f>
        <v>0</v>
      </c>
      <c r="V451" s="217"/>
      <c r="W451" s="218"/>
      <c r="X451" s="217"/>
      <c r="Y451" s="218"/>
      <c r="Z451" s="217" t="str">
        <f>IF(AA451&gt;0,"Rp",IF(AA451=0," "))</f>
        <v xml:space="preserve"> </v>
      </c>
      <c r="AA451" s="219">
        <f>W451*T451+U451*Y451</f>
        <v>0</v>
      </c>
      <c r="AB451" s="222" t="str">
        <f>IF(AA451&gt;0,1,IF(AA451=0," "))</f>
        <v xml:space="preserve"> </v>
      </c>
      <c r="AC451" s="221"/>
      <c r="AE451" s="211"/>
      <c r="AF451" s="211"/>
      <c r="AI451" s="211" t="b">
        <f t="shared" si="183"/>
        <v>0</v>
      </c>
      <c r="AJ451" s="211" t="b">
        <f t="shared" si="184"/>
        <v>0</v>
      </c>
      <c r="AK451" s="211" t="b">
        <f t="shared" si="185"/>
        <v>0</v>
      </c>
      <c r="AL451" s="211" t="b">
        <f t="shared" si="186"/>
        <v>0</v>
      </c>
      <c r="AM451" s="211" t="b">
        <f t="shared" si="187"/>
        <v>0</v>
      </c>
      <c r="AN451" s="211" t="b">
        <f t="shared" si="188"/>
        <v>0</v>
      </c>
      <c r="AO451" s="211" t="b">
        <f t="shared" si="189"/>
        <v>0</v>
      </c>
    </row>
    <row r="452" spans="1:41" ht="24.95" customHeight="1" x14ac:dyDescent="0.25">
      <c r="B452" s="212">
        <v>12</v>
      </c>
      <c r="C452" s="202"/>
      <c r="D452" s="213"/>
      <c r="E452" s="214"/>
      <c r="F452" s="215"/>
      <c r="G452" s="215"/>
      <c r="H452" s="215"/>
      <c r="I452" s="215"/>
      <c r="J452" s="215"/>
      <c r="K452" s="215"/>
      <c r="L452" s="215"/>
      <c r="M452" s="215"/>
      <c r="N452" s="215"/>
      <c r="O452" s="215"/>
      <c r="P452" s="215"/>
      <c r="Q452" s="215"/>
      <c r="R452" s="215"/>
      <c r="S452" s="215"/>
      <c r="T452" s="216">
        <f>SUM(AI452:AO452)</f>
        <v>0</v>
      </c>
      <c r="U452" s="216">
        <f>SUM(F452:S452)/6</f>
        <v>0</v>
      </c>
      <c r="V452" s="217"/>
      <c r="W452" s="218"/>
      <c r="X452" s="217"/>
      <c r="Y452" s="218"/>
      <c r="Z452" s="217" t="str">
        <f>IF(AA452&gt;0,"Rp",IF(AA452=0," "))</f>
        <v xml:space="preserve"> </v>
      </c>
      <c r="AA452" s="219">
        <f>W452*T452+U452*Y452</f>
        <v>0</v>
      </c>
      <c r="AB452" s="222" t="str">
        <f>IF(AA452&gt;0,1,IF(AA452=0," "))</f>
        <v xml:space="preserve"> </v>
      </c>
      <c r="AC452" s="223"/>
      <c r="AE452" s="211"/>
      <c r="AF452" s="211"/>
      <c r="AI452" s="211" t="b">
        <f t="shared" si="183"/>
        <v>0</v>
      </c>
      <c r="AJ452" s="211" t="b">
        <f t="shared" si="184"/>
        <v>0</v>
      </c>
      <c r="AK452" s="211" t="b">
        <f t="shared" si="185"/>
        <v>0</v>
      </c>
      <c r="AL452" s="211" t="b">
        <f t="shared" si="186"/>
        <v>0</v>
      </c>
      <c r="AM452" s="211" t="b">
        <f t="shared" si="187"/>
        <v>0</v>
      </c>
      <c r="AN452" s="211" t="b">
        <f t="shared" si="188"/>
        <v>0</v>
      </c>
      <c r="AO452" s="211" t="b">
        <f t="shared" si="189"/>
        <v>0</v>
      </c>
    </row>
    <row r="453" spans="1:41" ht="24.95" customHeight="1" thickBot="1" x14ac:dyDescent="0.3">
      <c r="B453" s="212"/>
      <c r="C453" s="264"/>
      <c r="D453" s="213"/>
      <c r="E453" s="265"/>
      <c r="F453" s="215"/>
      <c r="G453" s="215"/>
      <c r="H453" s="215"/>
      <c r="I453" s="215"/>
      <c r="J453" s="215"/>
      <c r="K453" s="215"/>
      <c r="L453" s="215"/>
      <c r="M453" s="215"/>
      <c r="N453" s="215"/>
      <c r="O453" s="215"/>
      <c r="P453" s="215"/>
      <c r="Q453" s="215"/>
      <c r="R453" s="215"/>
      <c r="S453" s="356"/>
      <c r="T453" s="274"/>
      <c r="U453" s="274"/>
      <c r="V453" s="217"/>
      <c r="W453" s="266"/>
      <c r="X453" s="217"/>
      <c r="Y453" s="266"/>
      <c r="Z453" s="217"/>
      <c r="AA453" s="219"/>
      <c r="AB453" s="222"/>
      <c r="AC453" s="221"/>
      <c r="AE453" s="211"/>
      <c r="AF453" s="211"/>
      <c r="AI453" s="211"/>
      <c r="AJ453" s="211"/>
      <c r="AK453" s="211"/>
      <c r="AL453" s="211"/>
      <c r="AM453" s="211"/>
      <c r="AN453" s="211"/>
      <c r="AO453" s="211"/>
    </row>
    <row r="454" spans="1:41" ht="20.100000000000001" customHeight="1" thickTop="1" thickBot="1" x14ac:dyDescent="0.3">
      <c r="A454" s="179">
        <f>A415+1</f>
        <v>12</v>
      </c>
      <c r="B454" s="248"/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50" t="s">
        <v>40</v>
      </c>
      <c r="X454" s="249"/>
      <c r="Y454" s="250" t="s">
        <v>40</v>
      </c>
      <c r="Z454" s="249"/>
      <c r="AA454" s="710">
        <f>SUM(AA441:AA453)</f>
        <v>0</v>
      </c>
      <c r="AB454" s="711"/>
      <c r="AC454" s="712"/>
      <c r="AE454" s="226" t="str">
        <f>VLOOKUP(A454,'Rekap Gaji'!$B$12:$P$32,10,FALSE)</f>
        <v xml:space="preserve"> 22 November 2025</v>
      </c>
      <c r="AF454" s="251" t="e">
        <f>AE454-AA454</f>
        <v>#VALUE!</v>
      </c>
    </row>
    <row r="455" spans="1:41" ht="11.25" customHeight="1" x14ac:dyDescent="0.25"/>
    <row r="456" spans="1:41" ht="16.5" customHeight="1" x14ac:dyDescent="0.25">
      <c r="B456" s="195" t="s">
        <v>41</v>
      </c>
      <c r="C456" s="140" t="s">
        <v>42</v>
      </c>
    </row>
    <row r="457" spans="1:41" ht="14.25" x14ac:dyDescent="0.25">
      <c r="H457" s="183"/>
      <c r="I457" s="183"/>
      <c r="J457" s="182"/>
      <c r="K457" s="182"/>
      <c r="T457" s="141"/>
      <c r="U457" s="141"/>
      <c r="V457" s="141"/>
      <c r="X457" s="141"/>
      <c r="AA457" s="140" t="str">
        <f>'BKU 1'!$I$25</f>
        <v>NGANTANG</v>
      </c>
      <c r="AB457" s="713">
        <f>IFERROR(VLOOKUP(E435,'Rekap Gaji'!$B$12:$P$32,7,FALSE),"-")</f>
        <v>45983</v>
      </c>
      <c r="AC457" s="713"/>
      <c r="AD457" s="252"/>
      <c r="AE457" s="252"/>
    </row>
    <row r="458" spans="1:41" ht="15.75" x14ac:dyDescent="0.25">
      <c r="C458" s="140" t="s">
        <v>43</v>
      </c>
      <c r="F458" s="253"/>
      <c r="G458" s="253"/>
      <c r="H458" s="254"/>
      <c r="I458" s="254"/>
      <c r="J458" s="255"/>
      <c r="K458" s="255"/>
      <c r="L458" s="256"/>
      <c r="M458" s="256"/>
      <c r="N458" s="225" t="s">
        <v>44</v>
      </c>
      <c r="O458" s="225"/>
      <c r="P458" s="253"/>
      <c r="Q458" s="253"/>
      <c r="T458" s="141"/>
      <c r="U458" s="141"/>
      <c r="V458" s="141"/>
      <c r="X458" s="141"/>
      <c r="AA458" s="140" t="str">
        <f>'BKU 1'!$L$354</f>
        <v>Dibuat Oleh ;</v>
      </c>
      <c r="AB458" s="141"/>
    </row>
    <row r="459" spans="1:41" ht="14.25" x14ac:dyDescent="0.25">
      <c r="C459" s="140" t="str">
        <f>'BKU 1'!$C$355</f>
        <v>Kepala Sekolah SDN 1 SIDODADI</v>
      </c>
      <c r="F459" s="187"/>
      <c r="G459" s="187"/>
      <c r="H459" s="224"/>
      <c r="I459" s="224"/>
      <c r="J459" s="182"/>
      <c r="K459" s="182"/>
      <c r="L459" s="183"/>
      <c r="M459" s="183"/>
      <c r="N459" s="140" t="s">
        <v>45</v>
      </c>
      <c r="P459" s="187"/>
      <c r="Q459" s="187"/>
      <c r="AA459" s="140" t="str">
        <f>'BKU 1'!$L$355</f>
        <v>Bendahara Pembangunan</v>
      </c>
      <c r="AB459" s="141"/>
    </row>
    <row r="460" spans="1:41" ht="14.25" x14ac:dyDescent="0.25">
      <c r="F460" s="187"/>
      <c r="G460" s="187"/>
      <c r="H460" s="224"/>
      <c r="I460" s="224"/>
      <c r="J460" s="182"/>
      <c r="K460" s="182"/>
      <c r="L460" s="183"/>
      <c r="M460" s="183"/>
      <c r="P460" s="187"/>
      <c r="Q460" s="187"/>
      <c r="AA460" s="140"/>
      <c r="AB460" s="141"/>
    </row>
    <row r="461" spans="1:41" ht="14.25" x14ac:dyDescent="0.25">
      <c r="F461" s="187"/>
      <c r="G461" s="187"/>
      <c r="H461" s="224"/>
      <c r="I461" s="224"/>
      <c r="J461" s="182"/>
      <c r="K461" s="182"/>
      <c r="L461" s="183"/>
      <c r="M461" s="183"/>
      <c r="P461" s="187"/>
      <c r="Q461" s="187"/>
      <c r="AA461" s="140"/>
      <c r="AB461" s="141"/>
    </row>
    <row r="462" spans="1:41" ht="14.25" x14ac:dyDescent="0.25">
      <c r="F462" s="187"/>
      <c r="G462" s="187"/>
      <c r="H462" s="224"/>
      <c r="I462" s="224"/>
      <c r="J462" s="182"/>
      <c r="K462" s="182"/>
      <c r="L462" s="183"/>
      <c r="M462" s="183"/>
      <c r="P462" s="187"/>
      <c r="Q462" s="187"/>
      <c r="AA462" s="140"/>
      <c r="AB462" s="141"/>
    </row>
    <row r="463" spans="1:41" ht="14.25" x14ac:dyDescent="0.25">
      <c r="F463" s="187"/>
      <c r="G463" s="187"/>
      <c r="H463" s="224"/>
      <c r="I463" s="224"/>
      <c r="J463" s="182"/>
      <c r="K463" s="182"/>
      <c r="L463" s="183"/>
      <c r="M463" s="183"/>
      <c r="P463" s="187"/>
      <c r="Q463" s="187"/>
      <c r="AA463" s="140"/>
      <c r="AB463" s="141"/>
    </row>
    <row r="464" spans="1:41" x14ac:dyDescent="0.25">
      <c r="H464" s="225"/>
      <c r="I464" s="225"/>
      <c r="AA464" s="140"/>
    </row>
    <row r="465" spans="1:41" x14ac:dyDescent="0.25">
      <c r="H465" s="225"/>
      <c r="I465" s="225"/>
      <c r="AA465" s="140"/>
    </row>
    <row r="466" spans="1:41" s="189" customFormat="1" ht="15" customHeight="1" x14ac:dyDescent="0.25">
      <c r="A466" s="192"/>
      <c r="B466" s="195"/>
      <c r="C466" s="227" t="str">
        <f>'BKU 1'!$C$360</f>
        <v>MELIA FITRIANI, S.Pd.SD</v>
      </c>
      <c r="D466" s="227"/>
      <c r="H466" s="228"/>
      <c r="I466" s="228"/>
      <c r="J466" s="195"/>
      <c r="K466" s="195"/>
      <c r="L466" s="194"/>
      <c r="M466" s="194"/>
      <c r="N466" s="229" t="str">
        <f>'BKU 1'!$H$360</f>
        <v>HARTATIK</v>
      </c>
      <c r="O466" s="229"/>
      <c r="AA466" s="227" t="str">
        <f>'BKU 1'!$L$360</f>
        <v>ARIF NUR UDIN, S.Pd.SD</v>
      </c>
      <c r="AC466" s="230"/>
      <c r="AE466" s="231"/>
      <c r="AF466" s="231"/>
    </row>
    <row r="467" spans="1:41" s="189" customFormat="1" ht="15" customHeight="1" x14ac:dyDescent="0.25">
      <c r="A467" s="192"/>
      <c r="B467" s="195"/>
      <c r="C467" s="140" t="str">
        <f>'BKU 1'!$C$361</f>
        <v>NIP. 19850619 200904 2 000</v>
      </c>
      <c r="D467" s="140"/>
      <c r="E467" s="140"/>
      <c r="F467" s="140"/>
      <c r="G467" s="140"/>
      <c r="H467" s="225"/>
      <c r="I467" s="225"/>
      <c r="J467" s="191"/>
      <c r="K467" s="191"/>
      <c r="L467" s="190"/>
      <c r="M467" s="190"/>
      <c r="N467" s="232"/>
      <c r="O467" s="232"/>
      <c r="P467" s="140"/>
      <c r="Q467" s="140"/>
      <c r="T467" s="140"/>
      <c r="U467" s="140"/>
      <c r="V467" s="140"/>
      <c r="W467" s="140"/>
      <c r="X467" s="140"/>
      <c r="Y467" s="140"/>
      <c r="Z467" s="140"/>
      <c r="AA467" s="140" t="str">
        <f>'BKU 1'!$L$361</f>
        <v>NIP. 19840719 200903 1 002</v>
      </c>
      <c r="AC467" s="230"/>
      <c r="AE467" s="231"/>
      <c r="AF467" s="231"/>
    </row>
    <row r="468" spans="1:41" ht="6" customHeight="1" x14ac:dyDescent="0.25"/>
    <row r="469" spans="1:41" s="177" customFormat="1" ht="24.95" customHeight="1" x14ac:dyDescent="0.25">
      <c r="A469" s="176"/>
      <c r="B469" s="726" t="s">
        <v>6</v>
      </c>
      <c r="C469" s="726"/>
      <c r="D469" s="726"/>
      <c r="E469" s="726"/>
      <c r="F469" s="726"/>
      <c r="G469" s="726"/>
      <c r="H469" s="726"/>
      <c r="I469" s="726"/>
      <c r="J469" s="726"/>
      <c r="K469" s="726"/>
      <c r="L469" s="726"/>
      <c r="M469" s="726"/>
      <c r="N469" s="726"/>
      <c r="O469" s="726"/>
      <c r="P469" s="726"/>
      <c r="Q469" s="726"/>
      <c r="R469" s="726"/>
      <c r="S469" s="726"/>
      <c r="T469" s="726"/>
      <c r="U469" s="726"/>
      <c r="V469" s="726"/>
      <c r="W469" s="726"/>
      <c r="X469" s="726"/>
      <c r="Y469" s="726"/>
      <c r="Z469" s="726"/>
      <c r="AA469" s="726"/>
      <c r="AB469" s="726"/>
      <c r="AC469" s="726"/>
      <c r="AE469" s="178"/>
      <c r="AF469" s="178"/>
    </row>
    <row r="470" spans="1:41" s="177" customFormat="1" ht="24.95" customHeight="1" x14ac:dyDescent="0.25">
      <c r="A470" s="176"/>
      <c r="B470" s="726" t="str">
        <f>'BKU 1'!$D$22</f>
        <v>PEMBANGUNAN TOILET BESERTA SANITASINYA</v>
      </c>
      <c r="C470" s="726"/>
      <c r="D470" s="726"/>
      <c r="E470" s="726"/>
      <c r="F470" s="726"/>
      <c r="G470" s="726"/>
      <c r="H470" s="726"/>
      <c r="I470" s="726"/>
      <c r="J470" s="726"/>
      <c r="K470" s="726"/>
      <c r="L470" s="726"/>
      <c r="M470" s="726"/>
      <c r="N470" s="726"/>
      <c r="O470" s="726"/>
      <c r="P470" s="726"/>
      <c r="Q470" s="726"/>
      <c r="R470" s="726"/>
      <c r="S470" s="726"/>
      <c r="T470" s="726"/>
      <c r="U470" s="726"/>
      <c r="V470" s="726"/>
      <c r="W470" s="726"/>
      <c r="X470" s="726"/>
      <c r="Y470" s="726"/>
      <c r="Z470" s="726"/>
      <c r="AA470" s="726"/>
      <c r="AB470" s="726"/>
      <c r="AC470" s="726"/>
      <c r="AE470" s="178"/>
      <c r="AF470" s="178"/>
    </row>
    <row r="471" spans="1:41" s="184" customFormat="1" ht="30.75" customHeight="1" x14ac:dyDescent="0.25">
      <c r="A471" s="179"/>
      <c r="B471" s="180"/>
      <c r="C471" s="181"/>
      <c r="D471" s="181"/>
      <c r="E471" s="181"/>
      <c r="F471" s="182"/>
      <c r="G471" s="182"/>
      <c r="H471" s="183"/>
      <c r="I471" s="183"/>
      <c r="J471" s="182"/>
      <c r="K471" s="182"/>
      <c r="L471" s="183"/>
      <c r="M471" s="183"/>
      <c r="N471" s="182"/>
      <c r="O471" s="182"/>
      <c r="P471" s="182"/>
      <c r="Q471" s="182"/>
      <c r="R471" s="182"/>
      <c r="S471" s="182"/>
      <c r="T471" s="181"/>
      <c r="U471" s="181"/>
      <c r="V471" s="181"/>
      <c r="X471" s="181"/>
      <c r="AA471" s="180"/>
      <c r="AB471" s="140"/>
      <c r="AC471" s="185"/>
      <c r="AE471" s="186"/>
      <c r="AF471" s="186"/>
    </row>
    <row r="472" spans="1:41" s="184" customFormat="1" ht="14.25" x14ac:dyDescent="0.25">
      <c r="A472" s="179"/>
      <c r="B472" s="185" t="s">
        <v>7</v>
      </c>
      <c r="D472" s="184" t="s">
        <v>49</v>
      </c>
      <c r="E472" s="184" t="str">
        <f>'BKU 1'!$D$25</f>
        <v>SDN 1 SIDODADI</v>
      </c>
      <c r="F472" s="140"/>
      <c r="G472" s="140"/>
      <c r="H472" s="183"/>
      <c r="I472" s="183"/>
      <c r="J472" s="182"/>
      <c r="K472" s="182"/>
      <c r="L472" s="183"/>
      <c r="M472" s="183"/>
      <c r="N472" s="187"/>
      <c r="O472" s="187"/>
      <c r="P472" s="187"/>
      <c r="Q472" s="187"/>
      <c r="R472" s="187"/>
      <c r="S472" s="187"/>
      <c r="T472" s="188"/>
      <c r="U472" s="188"/>
      <c r="V472" s="188"/>
      <c r="X472" s="188"/>
      <c r="AA472" s="180"/>
      <c r="AB472" s="189" t="s">
        <v>8</v>
      </c>
      <c r="AC472" s="185"/>
      <c r="AE472" s="186"/>
      <c r="AF472" s="186"/>
    </row>
    <row r="473" spans="1:41" s="184" customFormat="1" x14ac:dyDescent="0.25">
      <c r="A473" s="179"/>
      <c r="B473" s="185" t="s">
        <v>9</v>
      </c>
      <c r="D473" s="184" t="s">
        <v>49</v>
      </c>
      <c r="E473" s="184" t="str">
        <f>'BKU 1'!$D$26</f>
        <v>Jl. Kawi No.36 Rt. 1 Rw. 1 Dusun Sekar, Rt / Rw : 1 / 1, Dusun : Sekar, Kelurahan : Sidodadi</v>
      </c>
      <c r="F473" s="140"/>
      <c r="G473" s="140"/>
      <c r="H473" s="190"/>
      <c r="I473" s="190"/>
      <c r="J473" s="191"/>
      <c r="K473" s="191"/>
      <c r="L473" s="190"/>
      <c r="M473" s="190"/>
      <c r="N473" s="140"/>
      <c r="O473" s="140"/>
      <c r="P473" s="140"/>
      <c r="Q473" s="140"/>
      <c r="R473" s="140"/>
      <c r="S473" s="140"/>
      <c r="AA473" s="180"/>
      <c r="AB473" s="140" t="s">
        <v>10</v>
      </c>
      <c r="AC473" s="185" t="s">
        <v>11</v>
      </c>
      <c r="AE473" s="186"/>
      <c r="AF473" s="186"/>
    </row>
    <row r="474" spans="1:41" s="184" customFormat="1" x14ac:dyDescent="0.25">
      <c r="A474" s="179"/>
      <c r="B474" s="185" t="s">
        <v>12</v>
      </c>
      <c r="D474" s="184" t="s">
        <v>49</v>
      </c>
      <c r="E474" s="180">
        <f>E435+1</f>
        <v>13</v>
      </c>
      <c r="F474" s="140"/>
      <c r="G474" s="140"/>
      <c r="H474" s="727">
        <f>IFERROR(VLOOKUP(E474,'Rekap Gaji'!$B$12:$P$32,14,FALSE),"-")</f>
        <v>0</v>
      </c>
      <c r="I474" s="727"/>
      <c r="J474" s="727"/>
      <c r="K474" s="727"/>
      <c r="L474" s="727"/>
      <c r="M474" s="191"/>
      <c r="N474" s="140"/>
      <c r="O474" s="140"/>
      <c r="P474" s="140"/>
      <c r="Q474" s="140"/>
      <c r="R474" s="140"/>
      <c r="S474" s="140"/>
      <c r="AA474" s="180"/>
      <c r="AB474" s="140" t="s">
        <v>13</v>
      </c>
      <c r="AC474" s="185" t="s">
        <v>14</v>
      </c>
      <c r="AE474" s="186"/>
      <c r="AF474" s="186"/>
    </row>
    <row r="475" spans="1:41" s="184" customFormat="1" ht="15" customHeight="1" x14ac:dyDescent="0.25">
      <c r="A475" s="179"/>
      <c r="B475" s="185" t="s">
        <v>0</v>
      </c>
      <c r="D475" s="184" t="s">
        <v>49</v>
      </c>
      <c r="E475" s="728">
        <f>IFERROR(VLOOKUP(E474,'Rekap Gaji'!$B$12:$P$32,4,FALSE),"-")</f>
        <v>0</v>
      </c>
      <c r="F475" s="728"/>
      <c r="G475" s="728"/>
      <c r="H475" s="728"/>
      <c r="I475" s="728"/>
      <c r="J475" s="728"/>
      <c r="K475" s="339"/>
      <c r="L475" s="727" t="s">
        <v>76</v>
      </c>
      <c r="M475" s="727"/>
      <c r="N475" s="727"/>
      <c r="O475" s="191"/>
      <c r="P475" s="728">
        <f>IFERROR(VLOOKUP(E474,'Rekap Gaji'!$B$12:$P$32,6,FALSE),"-")</f>
        <v>0</v>
      </c>
      <c r="Q475" s="728"/>
      <c r="R475" s="728"/>
      <c r="S475" s="728"/>
      <c r="T475" s="728"/>
      <c r="U475" s="728"/>
      <c r="V475" s="728"/>
      <c r="AA475" s="180"/>
      <c r="AB475" s="140" t="s">
        <v>15</v>
      </c>
      <c r="AC475" s="185" t="s">
        <v>16</v>
      </c>
      <c r="AE475" s="186"/>
      <c r="AF475" s="186"/>
    </row>
    <row r="476" spans="1:41" s="188" customFormat="1" ht="8.1" customHeight="1" thickBot="1" x14ac:dyDescent="0.3">
      <c r="A476" s="192"/>
      <c r="B476" s="193"/>
      <c r="F476" s="189"/>
      <c r="G476" s="189"/>
      <c r="H476" s="194"/>
      <c r="I476" s="194"/>
      <c r="J476" s="195"/>
      <c r="K476" s="195"/>
      <c r="L476" s="194"/>
      <c r="M476" s="194"/>
      <c r="N476" s="189"/>
      <c r="O476" s="189"/>
      <c r="P476" s="189"/>
      <c r="Q476" s="189"/>
      <c r="R476" s="189"/>
      <c r="S476" s="189"/>
      <c r="AA476" s="193"/>
      <c r="AB476" s="189"/>
      <c r="AC476" s="196"/>
      <c r="AE476" s="197"/>
      <c r="AF476" s="197"/>
    </row>
    <row r="477" spans="1:41" ht="15" customHeight="1" x14ac:dyDescent="0.25">
      <c r="B477" s="744" t="s">
        <v>17</v>
      </c>
      <c r="C477" s="735" t="s">
        <v>18</v>
      </c>
      <c r="D477" s="747"/>
      <c r="E477" s="342" t="s">
        <v>19</v>
      </c>
      <c r="F477" s="714" t="s">
        <v>20</v>
      </c>
      <c r="G477" s="715"/>
      <c r="H477" s="715"/>
      <c r="I477" s="715"/>
      <c r="J477" s="715"/>
      <c r="K477" s="715"/>
      <c r="L477" s="715"/>
      <c r="M477" s="715"/>
      <c r="N477" s="715"/>
      <c r="O477" s="715"/>
      <c r="P477" s="715"/>
      <c r="Q477" s="715"/>
      <c r="R477" s="715"/>
      <c r="S477" s="716"/>
      <c r="T477" s="341" t="s">
        <v>2</v>
      </c>
      <c r="U477" s="341" t="s">
        <v>474</v>
      </c>
      <c r="V477" s="735" t="s">
        <v>21</v>
      </c>
      <c r="W477" s="747"/>
      <c r="X477" s="735" t="s">
        <v>21</v>
      </c>
      <c r="Y477" s="747"/>
      <c r="Z477" s="735" t="s">
        <v>22</v>
      </c>
      <c r="AA477" s="747"/>
      <c r="AB477" s="735" t="s">
        <v>23</v>
      </c>
      <c r="AC477" s="736"/>
    </row>
    <row r="478" spans="1:41" ht="29.1" customHeight="1" x14ac:dyDescent="0.25">
      <c r="B478" s="745"/>
      <c r="C478" s="737"/>
      <c r="D478" s="743"/>
      <c r="E478" s="346" t="s">
        <v>24</v>
      </c>
      <c r="F478" s="741" t="s">
        <v>25</v>
      </c>
      <c r="G478" s="347" t="s">
        <v>475</v>
      </c>
      <c r="H478" s="741" t="s">
        <v>26</v>
      </c>
      <c r="I478" s="347" t="s">
        <v>475</v>
      </c>
      <c r="J478" s="741" t="s">
        <v>26</v>
      </c>
      <c r="K478" s="347" t="s">
        <v>475</v>
      </c>
      <c r="L478" s="741" t="s">
        <v>27</v>
      </c>
      <c r="M478" s="347" t="s">
        <v>475</v>
      </c>
      <c r="N478" s="741" t="s">
        <v>28</v>
      </c>
      <c r="O478" s="347" t="s">
        <v>475</v>
      </c>
      <c r="P478" s="741" t="s">
        <v>29</v>
      </c>
      <c r="Q478" s="347" t="s">
        <v>475</v>
      </c>
      <c r="R478" s="741" t="s">
        <v>26</v>
      </c>
      <c r="S478" s="347" t="s">
        <v>475</v>
      </c>
      <c r="T478" s="345" t="s">
        <v>30</v>
      </c>
      <c r="U478" s="345" t="s">
        <v>476</v>
      </c>
      <c r="V478" s="737" t="s">
        <v>455</v>
      </c>
      <c r="W478" s="743"/>
      <c r="X478" s="737" t="s">
        <v>477</v>
      </c>
      <c r="Y478" s="743"/>
      <c r="Z478" s="737" t="s">
        <v>31</v>
      </c>
      <c r="AA478" s="743"/>
      <c r="AB478" s="737"/>
      <c r="AC478" s="738"/>
    </row>
    <row r="479" spans="1:41" ht="15" customHeight="1" thickBot="1" x14ac:dyDescent="0.3">
      <c r="B479" s="746"/>
      <c r="C479" s="739"/>
      <c r="D479" s="748"/>
      <c r="E479" s="349" t="s">
        <v>32</v>
      </c>
      <c r="F479" s="742"/>
      <c r="G479" s="350" t="s">
        <v>478</v>
      </c>
      <c r="H479" s="742"/>
      <c r="I479" s="350" t="s">
        <v>478</v>
      </c>
      <c r="J479" s="742"/>
      <c r="K479" s="350" t="s">
        <v>478</v>
      </c>
      <c r="L479" s="742"/>
      <c r="M479" s="350" t="s">
        <v>478</v>
      </c>
      <c r="N479" s="742"/>
      <c r="O479" s="350" t="s">
        <v>478</v>
      </c>
      <c r="P479" s="742"/>
      <c r="Q479" s="350" t="s">
        <v>478</v>
      </c>
      <c r="R479" s="742"/>
      <c r="S479" s="350" t="s">
        <v>478</v>
      </c>
      <c r="T479" s="348" t="s">
        <v>31</v>
      </c>
      <c r="U479" s="348" t="s">
        <v>479</v>
      </c>
      <c r="V479" s="739" t="s">
        <v>33</v>
      </c>
      <c r="W479" s="748"/>
      <c r="X479" s="739" t="s">
        <v>33</v>
      </c>
      <c r="Y479" s="748"/>
      <c r="Z479" s="739" t="s">
        <v>34</v>
      </c>
      <c r="AA479" s="748"/>
      <c r="AB479" s="739"/>
      <c r="AC479" s="740"/>
    </row>
    <row r="480" spans="1:41" ht="24.95" customHeight="1" x14ac:dyDescent="0.25">
      <c r="B480" s="201">
        <v>1</v>
      </c>
      <c r="C480" s="202" t="str">
        <f>C441</f>
        <v>KUSMAN H</v>
      </c>
      <c r="D480" s="203"/>
      <c r="E480" s="204" t="str">
        <f>E441</f>
        <v>A</v>
      </c>
      <c r="F480" s="205" t="s">
        <v>36</v>
      </c>
      <c r="G480" s="205"/>
      <c r="H480" s="205" t="s">
        <v>37</v>
      </c>
      <c r="I480" s="205">
        <f>IFERROR(IF(H480="V",1,IF(H480="X",0))," ")</f>
        <v>1</v>
      </c>
      <c r="J480" s="205" t="s">
        <v>37</v>
      </c>
      <c r="K480" s="205">
        <f>IFERROR(IF(J480="V",1,IF(J480="X",0))," ")</f>
        <v>1</v>
      </c>
      <c r="L480" s="205" t="s">
        <v>37</v>
      </c>
      <c r="M480" s="205">
        <f>IFERROR(IF(L480="V",1,IF(L480="X",0))," ")</f>
        <v>1</v>
      </c>
      <c r="N480" s="205" t="s">
        <v>37</v>
      </c>
      <c r="O480" s="205">
        <f>IFERROR(IF(N480="V",1,IF(N480="X",0))," ")</f>
        <v>1</v>
      </c>
      <c r="P480" s="205" t="s">
        <v>37</v>
      </c>
      <c r="Q480" s="205">
        <f>IFERROR(IF(P480="V",1,IF(P480="X",0))," ")</f>
        <v>1</v>
      </c>
      <c r="R480" s="205" t="s">
        <v>37</v>
      </c>
      <c r="S480" s="205">
        <f>IFERROR(IF(R480="V",1,IF(R480="X",0))," ")</f>
        <v>1</v>
      </c>
      <c r="T480" s="206">
        <f>SUM(AI480:AO480)</f>
        <v>6</v>
      </c>
      <c r="U480" s="206">
        <f>SUM(F480:S480)</f>
        <v>6</v>
      </c>
      <c r="V480" s="207" t="str">
        <f>IF(W480&gt;0,"Rp",IF(W480=0," "))</f>
        <v>Rp</v>
      </c>
      <c r="W480" s="208">
        <f>W441</f>
        <v>135000</v>
      </c>
      <c r="X480" s="207" t="str">
        <f>IF(Y480&gt;0,"Rp",IF(Y480=0," "))</f>
        <v>Rp</v>
      </c>
      <c r="Y480" s="208">
        <v>25000</v>
      </c>
      <c r="Z480" s="207" t="str">
        <f>IF(AA480&gt;0,"Rp",IF(AA480=0," "))</f>
        <v>Rp</v>
      </c>
      <c r="AA480" s="208">
        <f>W480*T480+U480*Y480</f>
        <v>960000</v>
      </c>
      <c r="AB480" s="209">
        <v>1</v>
      </c>
      <c r="AC480" s="210"/>
      <c r="AE480" s="260"/>
      <c r="AF480" s="140"/>
      <c r="AI480" s="211">
        <f t="shared" ref="AI480:AI491" si="200">IFERROR(IF(F480="V",1,IF(F480="X",0))," ")</f>
        <v>0</v>
      </c>
      <c r="AJ480" s="211">
        <f t="shared" ref="AJ480:AJ491" si="201">IFERROR(IF(H480="V",1,IF(H480="X",0))," ")</f>
        <v>1</v>
      </c>
      <c r="AK480" s="211">
        <f t="shared" ref="AK480:AK491" si="202">IFERROR(IF(J480="V",1,IF(J480="X",0))," ")</f>
        <v>1</v>
      </c>
      <c r="AL480" s="211">
        <f t="shared" ref="AL480:AL491" si="203">IFERROR(IF(L480="V",1,IF(L480="X",0))," ")</f>
        <v>1</v>
      </c>
      <c r="AM480" s="211">
        <f t="shared" ref="AM480:AM491" si="204">IFERROR(IF(N480="V",1,IF(N480="X",0))," ")</f>
        <v>1</v>
      </c>
      <c r="AN480" s="211">
        <f t="shared" ref="AN480:AN491" si="205">IFERROR(IF(P480="V",1,IF(P480="X",0))," ")</f>
        <v>1</v>
      </c>
      <c r="AO480" s="211">
        <f t="shared" ref="AO480:AO491" si="206">IFERROR(IF(R480="V",1,IF(R480="X",0))," ")</f>
        <v>1</v>
      </c>
    </row>
    <row r="481" spans="1:41" ht="24.95" customHeight="1" x14ac:dyDescent="0.25">
      <c r="B481" s="212">
        <v>2</v>
      </c>
      <c r="C481" s="202" t="str">
        <f t="shared" ref="C481:C490" si="207">C442</f>
        <v>BUSANI</v>
      </c>
      <c r="D481" s="213"/>
      <c r="E481" s="214" t="str">
        <f t="shared" ref="E481:E490" si="208">E442</f>
        <v>B</v>
      </c>
      <c r="F481" s="215" t="s">
        <v>36</v>
      </c>
      <c r="G481" s="215"/>
      <c r="H481" s="215" t="s">
        <v>37</v>
      </c>
      <c r="I481" s="215">
        <f t="shared" ref="I481:I489" si="209">IFERROR(IF(H481="V",1,IF(H481="X",0))," ")</f>
        <v>1</v>
      </c>
      <c r="J481" s="215" t="s">
        <v>37</v>
      </c>
      <c r="K481" s="215">
        <f t="shared" ref="K481:K489" si="210">IFERROR(IF(J481="V",1,IF(J481="X",0))," ")</f>
        <v>1</v>
      </c>
      <c r="L481" s="215" t="s">
        <v>37</v>
      </c>
      <c r="M481" s="215">
        <f t="shared" ref="M481:M489" si="211">IFERROR(IF(L481="V",1,IF(L481="X",0))," ")</f>
        <v>1</v>
      </c>
      <c r="N481" s="215" t="s">
        <v>37</v>
      </c>
      <c r="O481" s="215">
        <f t="shared" ref="O481:O489" si="212">IFERROR(IF(N481="V",1,IF(N481="X",0))," ")</f>
        <v>1</v>
      </c>
      <c r="P481" s="215" t="s">
        <v>37</v>
      </c>
      <c r="Q481" s="215">
        <f t="shared" ref="Q481:Q489" si="213">IFERROR(IF(P481="V",1,IF(P481="X",0))," ")</f>
        <v>1</v>
      </c>
      <c r="R481" s="215" t="s">
        <v>37</v>
      </c>
      <c r="S481" s="215">
        <f t="shared" ref="S481:S489" si="214">IFERROR(IF(R481="V",1,IF(R481="X",0))," ")</f>
        <v>1</v>
      </c>
      <c r="T481" s="216">
        <f t="shared" ref="T481:T491" si="215">SUM(AI481:AO481)</f>
        <v>6</v>
      </c>
      <c r="U481" s="351">
        <f t="shared" ref="U481:U489" si="216">SUM(F481:S481)</f>
        <v>6</v>
      </c>
      <c r="V481" s="217" t="str">
        <f t="shared" ref="V481:V489" si="217">IF(W481&gt;0,"Rp",IF(W481=0," "))</f>
        <v>Rp</v>
      </c>
      <c r="W481" s="218">
        <f t="shared" ref="W481:W488" si="218">W442</f>
        <v>125000</v>
      </c>
      <c r="X481" s="217" t="str">
        <f t="shared" ref="X481:X489" si="219">IF(Y481&gt;0,"Rp",IF(Y481=0," "))</f>
        <v>Rp</v>
      </c>
      <c r="Y481" s="218">
        <v>25000</v>
      </c>
      <c r="Z481" s="217" t="str">
        <f t="shared" ref="Z481:Z491" si="220">IF(AA481&gt;0,"Rp",IF(AA481=0," "))</f>
        <v>Rp</v>
      </c>
      <c r="AA481" s="219">
        <f t="shared" ref="AA481:AA491" si="221">W481*T481+U481*Y481</f>
        <v>900000</v>
      </c>
      <c r="AB481" s="220"/>
      <c r="AC481" s="221">
        <v>2</v>
      </c>
      <c r="AE481" s="211"/>
      <c r="AF481" s="211"/>
      <c r="AI481" s="211">
        <f t="shared" si="200"/>
        <v>0</v>
      </c>
      <c r="AJ481" s="211">
        <f t="shared" si="201"/>
        <v>1</v>
      </c>
      <c r="AK481" s="211">
        <f t="shared" si="202"/>
        <v>1</v>
      </c>
      <c r="AL481" s="211">
        <f t="shared" si="203"/>
        <v>1</v>
      </c>
      <c r="AM481" s="211">
        <f t="shared" si="204"/>
        <v>1</v>
      </c>
      <c r="AN481" s="211">
        <f t="shared" si="205"/>
        <v>1</v>
      </c>
      <c r="AO481" s="211">
        <f t="shared" si="206"/>
        <v>1</v>
      </c>
    </row>
    <row r="482" spans="1:41" ht="24.95" customHeight="1" x14ac:dyDescent="0.25">
      <c r="B482" s="212">
        <v>3</v>
      </c>
      <c r="C482" s="202" t="str">
        <f t="shared" si="207"/>
        <v>LASMARI</v>
      </c>
      <c r="D482" s="213"/>
      <c r="E482" s="214" t="str">
        <f t="shared" si="208"/>
        <v>B</v>
      </c>
      <c r="F482" s="215" t="s">
        <v>36</v>
      </c>
      <c r="G482" s="215">
        <f t="shared" ref="G482:G489" si="222">IFERROR(IF(F482="V",1,IF(F482="X",0))," ")</f>
        <v>0</v>
      </c>
      <c r="H482" s="215" t="s">
        <v>37</v>
      </c>
      <c r="I482" s="215">
        <f t="shared" si="209"/>
        <v>1</v>
      </c>
      <c r="J482" s="215" t="s">
        <v>37</v>
      </c>
      <c r="K482" s="215">
        <f t="shared" si="210"/>
        <v>1</v>
      </c>
      <c r="L482" s="215" t="s">
        <v>37</v>
      </c>
      <c r="M482" s="215">
        <f t="shared" si="211"/>
        <v>1</v>
      </c>
      <c r="N482" s="215" t="s">
        <v>37</v>
      </c>
      <c r="O482" s="215">
        <f t="shared" si="212"/>
        <v>1</v>
      </c>
      <c r="P482" s="215" t="s">
        <v>37</v>
      </c>
      <c r="Q482" s="215">
        <f t="shared" si="213"/>
        <v>1</v>
      </c>
      <c r="R482" s="215" t="s">
        <v>37</v>
      </c>
      <c r="S482" s="215">
        <f t="shared" si="214"/>
        <v>1</v>
      </c>
      <c r="T482" s="216">
        <f t="shared" si="215"/>
        <v>6</v>
      </c>
      <c r="U482" s="351">
        <f t="shared" si="216"/>
        <v>6</v>
      </c>
      <c r="V482" s="217" t="str">
        <f t="shared" si="217"/>
        <v>Rp</v>
      </c>
      <c r="W482" s="218">
        <f t="shared" si="218"/>
        <v>125000</v>
      </c>
      <c r="X482" s="217" t="str">
        <f t="shared" si="219"/>
        <v>Rp</v>
      </c>
      <c r="Y482" s="218">
        <v>25000</v>
      </c>
      <c r="Z482" s="217" t="str">
        <f t="shared" si="220"/>
        <v>Rp</v>
      </c>
      <c r="AA482" s="219">
        <f t="shared" si="221"/>
        <v>900000</v>
      </c>
      <c r="AB482" s="222">
        <v>3</v>
      </c>
      <c r="AC482" s="221"/>
      <c r="AE482" s="211"/>
      <c r="AF482" s="211"/>
      <c r="AI482" s="211">
        <f t="shared" si="200"/>
        <v>0</v>
      </c>
      <c r="AJ482" s="211">
        <f t="shared" si="201"/>
        <v>1</v>
      </c>
      <c r="AK482" s="211">
        <f t="shared" si="202"/>
        <v>1</v>
      </c>
      <c r="AL482" s="211">
        <f t="shared" si="203"/>
        <v>1</v>
      </c>
      <c r="AM482" s="211">
        <f t="shared" si="204"/>
        <v>1</v>
      </c>
      <c r="AN482" s="211">
        <f t="shared" si="205"/>
        <v>1</v>
      </c>
      <c r="AO482" s="211">
        <f t="shared" si="206"/>
        <v>1</v>
      </c>
    </row>
    <row r="483" spans="1:41" ht="24.95" customHeight="1" x14ac:dyDescent="0.25">
      <c r="B483" s="212">
        <v>4</v>
      </c>
      <c r="C483" s="202" t="str">
        <f t="shared" si="207"/>
        <v>SUMARTO</v>
      </c>
      <c r="D483" s="213"/>
      <c r="E483" s="214" t="str">
        <f t="shared" si="208"/>
        <v>B</v>
      </c>
      <c r="F483" s="215" t="s">
        <v>36</v>
      </c>
      <c r="G483" s="215">
        <f t="shared" si="222"/>
        <v>0</v>
      </c>
      <c r="H483" s="215" t="s">
        <v>37</v>
      </c>
      <c r="I483" s="215">
        <f t="shared" si="209"/>
        <v>1</v>
      </c>
      <c r="J483" s="215" t="s">
        <v>37</v>
      </c>
      <c r="K483" s="215">
        <f t="shared" si="210"/>
        <v>1</v>
      </c>
      <c r="L483" s="215" t="s">
        <v>37</v>
      </c>
      <c r="M483" s="215">
        <f t="shared" si="211"/>
        <v>1</v>
      </c>
      <c r="N483" s="215" t="s">
        <v>37</v>
      </c>
      <c r="O483" s="215">
        <f t="shared" si="212"/>
        <v>1</v>
      </c>
      <c r="P483" s="215" t="s">
        <v>37</v>
      </c>
      <c r="Q483" s="215">
        <f t="shared" si="213"/>
        <v>1</v>
      </c>
      <c r="R483" s="215" t="s">
        <v>37</v>
      </c>
      <c r="S483" s="215">
        <f t="shared" si="214"/>
        <v>1</v>
      </c>
      <c r="T483" s="216">
        <f t="shared" si="215"/>
        <v>6</v>
      </c>
      <c r="U483" s="351">
        <f t="shared" si="216"/>
        <v>6</v>
      </c>
      <c r="V483" s="217" t="str">
        <f t="shared" si="217"/>
        <v>Rp</v>
      </c>
      <c r="W483" s="218">
        <f t="shared" si="218"/>
        <v>125000</v>
      </c>
      <c r="X483" s="217" t="str">
        <f t="shared" si="219"/>
        <v>Rp</v>
      </c>
      <c r="Y483" s="218">
        <v>25000</v>
      </c>
      <c r="Z483" s="217" t="str">
        <f t="shared" si="220"/>
        <v>Rp</v>
      </c>
      <c r="AA483" s="219">
        <f t="shared" si="221"/>
        <v>900000</v>
      </c>
      <c r="AB483" s="222"/>
      <c r="AC483" s="223">
        <v>4</v>
      </c>
      <c r="AE483" s="211"/>
      <c r="AF483" s="211"/>
      <c r="AI483" s="211">
        <f t="shared" si="200"/>
        <v>0</v>
      </c>
      <c r="AJ483" s="211">
        <f t="shared" si="201"/>
        <v>1</v>
      </c>
      <c r="AK483" s="211">
        <f t="shared" si="202"/>
        <v>1</v>
      </c>
      <c r="AL483" s="211">
        <f t="shared" si="203"/>
        <v>1</v>
      </c>
      <c r="AM483" s="211">
        <f t="shared" si="204"/>
        <v>1</v>
      </c>
      <c r="AN483" s="211">
        <f t="shared" si="205"/>
        <v>1</v>
      </c>
      <c r="AO483" s="211">
        <f t="shared" si="206"/>
        <v>1</v>
      </c>
    </row>
    <row r="484" spans="1:41" ht="24.95" customHeight="1" x14ac:dyDescent="0.25">
      <c r="B484" s="212">
        <v>5</v>
      </c>
      <c r="C484" s="202" t="str">
        <f t="shared" si="207"/>
        <v>TONI</v>
      </c>
      <c r="D484" s="213"/>
      <c r="E484" s="214" t="str">
        <f t="shared" si="208"/>
        <v>C</v>
      </c>
      <c r="F484" s="215" t="s">
        <v>36</v>
      </c>
      <c r="G484" s="215">
        <f t="shared" si="222"/>
        <v>0</v>
      </c>
      <c r="H484" s="215" t="s">
        <v>37</v>
      </c>
      <c r="I484" s="215">
        <f t="shared" si="209"/>
        <v>1</v>
      </c>
      <c r="J484" s="215" t="s">
        <v>37</v>
      </c>
      <c r="K484" s="215">
        <f t="shared" si="210"/>
        <v>1</v>
      </c>
      <c r="L484" s="215" t="s">
        <v>37</v>
      </c>
      <c r="M484" s="215">
        <f t="shared" si="211"/>
        <v>1</v>
      </c>
      <c r="N484" s="215" t="s">
        <v>37</v>
      </c>
      <c r="O484" s="215">
        <f t="shared" si="212"/>
        <v>1</v>
      </c>
      <c r="P484" s="215" t="s">
        <v>37</v>
      </c>
      <c r="Q484" s="215">
        <f t="shared" si="213"/>
        <v>1</v>
      </c>
      <c r="R484" s="215" t="s">
        <v>37</v>
      </c>
      <c r="S484" s="215">
        <f t="shared" si="214"/>
        <v>1</v>
      </c>
      <c r="T484" s="216">
        <f t="shared" si="215"/>
        <v>6</v>
      </c>
      <c r="U484" s="351">
        <f t="shared" si="216"/>
        <v>6</v>
      </c>
      <c r="V484" s="217" t="str">
        <f t="shared" si="217"/>
        <v>Rp</v>
      </c>
      <c r="W484" s="218">
        <f t="shared" si="218"/>
        <v>115000</v>
      </c>
      <c r="X484" s="217" t="str">
        <f t="shared" si="219"/>
        <v>Rp</v>
      </c>
      <c r="Y484" s="218">
        <v>25000</v>
      </c>
      <c r="Z484" s="217" t="str">
        <f t="shared" si="220"/>
        <v>Rp</v>
      </c>
      <c r="AA484" s="219">
        <f t="shared" si="221"/>
        <v>840000</v>
      </c>
      <c r="AB484" s="222">
        <v>5</v>
      </c>
      <c r="AC484" s="221"/>
      <c r="AE484" s="211"/>
      <c r="AF484" s="211"/>
      <c r="AI484" s="211">
        <f t="shared" si="200"/>
        <v>0</v>
      </c>
      <c r="AJ484" s="211">
        <f t="shared" si="201"/>
        <v>1</v>
      </c>
      <c r="AK484" s="211">
        <f t="shared" si="202"/>
        <v>1</v>
      </c>
      <c r="AL484" s="211">
        <f t="shared" si="203"/>
        <v>1</v>
      </c>
      <c r="AM484" s="211">
        <f t="shared" si="204"/>
        <v>1</v>
      </c>
      <c r="AN484" s="211">
        <f t="shared" si="205"/>
        <v>1</v>
      </c>
      <c r="AO484" s="211">
        <f t="shared" si="206"/>
        <v>1</v>
      </c>
    </row>
    <row r="485" spans="1:41" ht="24.95" customHeight="1" x14ac:dyDescent="0.25">
      <c r="B485" s="212">
        <v>6</v>
      </c>
      <c r="C485" s="202" t="str">
        <f t="shared" si="207"/>
        <v>SAKIM</v>
      </c>
      <c r="D485" s="213"/>
      <c r="E485" s="214" t="str">
        <f t="shared" si="208"/>
        <v>C</v>
      </c>
      <c r="F485" s="215" t="s">
        <v>36</v>
      </c>
      <c r="G485" s="215">
        <f t="shared" si="222"/>
        <v>0</v>
      </c>
      <c r="H485" s="215" t="s">
        <v>37</v>
      </c>
      <c r="I485" s="215">
        <f t="shared" si="209"/>
        <v>1</v>
      </c>
      <c r="J485" s="215" t="s">
        <v>37</v>
      </c>
      <c r="K485" s="215">
        <f t="shared" si="210"/>
        <v>1</v>
      </c>
      <c r="L485" s="215" t="s">
        <v>37</v>
      </c>
      <c r="M485" s="215">
        <f t="shared" si="211"/>
        <v>1</v>
      </c>
      <c r="N485" s="215" t="s">
        <v>37</v>
      </c>
      <c r="O485" s="215">
        <f t="shared" si="212"/>
        <v>1</v>
      </c>
      <c r="P485" s="215" t="s">
        <v>37</v>
      </c>
      <c r="Q485" s="215">
        <f t="shared" si="213"/>
        <v>1</v>
      </c>
      <c r="R485" s="215" t="s">
        <v>37</v>
      </c>
      <c r="S485" s="215">
        <f t="shared" si="214"/>
        <v>1</v>
      </c>
      <c r="T485" s="216">
        <f t="shared" si="215"/>
        <v>6</v>
      </c>
      <c r="U485" s="351">
        <f t="shared" si="216"/>
        <v>6</v>
      </c>
      <c r="V485" s="217" t="str">
        <f t="shared" si="217"/>
        <v>Rp</v>
      </c>
      <c r="W485" s="218">
        <f t="shared" si="218"/>
        <v>115000</v>
      </c>
      <c r="X485" s="217" t="str">
        <f t="shared" si="219"/>
        <v>Rp</v>
      </c>
      <c r="Y485" s="218">
        <v>25000</v>
      </c>
      <c r="Z485" s="217" t="str">
        <f t="shared" si="220"/>
        <v>Rp</v>
      </c>
      <c r="AA485" s="219">
        <f t="shared" si="221"/>
        <v>840000</v>
      </c>
      <c r="AB485" s="222"/>
      <c r="AC485" s="223">
        <v>6</v>
      </c>
      <c r="AE485" s="211"/>
      <c r="AF485" s="211"/>
      <c r="AI485" s="211">
        <f t="shared" si="200"/>
        <v>0</v>
      </c>
      <c r="AJ485" s="211">
        <f t="shared" si="201"/>
        <v>1</v>
      </c>
      <c r="AK485" s="211">
        <f t="shared" si="202"/>
        <v>1</v>
      </c>
      <c r="AL485" s="211">
        <f t="shared" si="203"/>
        <v>1</v>
      </c>
      <c r="AM485" s="211">
        <f t="shared" si="204"/>
        <v>1</v>
      </c>
      <c r="AN485" s="211">
        <f t="shared" si="205"/>
        <v>1</v>
      </c>
      <c r="AO485" s="211">
        <f t="shared" si="206"/>
        <v>1</v>
      </c>
    </row>
    <row r="486" spans="1:41" ht="24.95" customHeight="1" x14ac:dyDescent="0.25">
      <c r="B486" s="212">
        <v>7</v>
      </c>
      <c r="C486" s="202" t="str">
        <f t="shared" si="207"/>
        <v>TOHIR</v>
      </c>
      <c r="D486" s="213"/>
      <c r="E486" s="214" t="str">
        <f t="shared" si="208"/>
        <v>C</v>
      </c>
      <c r="F486" s="215" t="s">
        <v>36</v>
      </c>
      <c r="G486" s="215">
        <f t="shared" si="222"/>
        <v>0</v>
      </c>
      <c r="H486" s="215" t="s">
        <v>37</v>
      </c>
      <c r="I486" s="215">
        <f t="shared" si="209"/>
        <v>1</v>
      </c>
      <c r="J486" s="215" t="s">
        <v>37</v>
      </c>
      <c r="K486" s="215">
        <f t="shared" si="210"/>
        <v>1</v>
      </c>
      <c r="L486" s="215" t="s">
        <v>37</v>
      </c>
      <c r="M486" s="215">
        <f t="shared" si="211"/>
        <v>1</v>
      </c>
      <c r="N486" s="215" t="s">
        <v>37</v>
      </c>
      <c r="O486" s="215">
        <f t="shared" si="212"/>
        <v>1</v>
      </c>
      <c r="P486" s="215" t="s">
        <v>37</v>
      </c>
      <c r="Q486" s="215">
        <f t="shared" si="213"/>
        <v>1</v>
      </c>
      <c r="R486" s="215" t="s">
        <v>37</v>
      </c>
      <c r="S486" s="215">
        <f t="shared" si="214"/>
        <v>1</v>
      </c>
      <c r="T486" s="216">
        <f t="shared" si="215"/>
        <v>6</v>
      </c>
      <c r="U486" s="351">
        <f t="shared" si="216"/>
        <v>6</v>
      </c>
      <c r="V486" s="217" t="str">
        <f t="shared" si="217"/>
        <v>Rp</v>
      </c>
      <c r="W486" s="218">
        <f t="shared" si="218"/>
        <v>115000</v>
      </c>
      <c r="X486" s="217" t="str">
        <f t="shared" si="219"/>
        <v>Rp</v>
      </c>
      <c r="Y486" s="218">
        <v>25000</v>
      </c>
      <c r="Z486" s="217" t="str">
        <f t="shared" si="220"/>
        <v>Rp</v>
      </c>
      <c r="AA486" s="219">
        <f t="shared" si="221"/>
        <v>840000</v>
      </c>
      <c r="AB486" s="222">
        <v>7</v>
      </c>
      <c r="AC486" s="221"/>
      <c r="AE486" s="211"/>
      <c r="AF486" s="211"/>
      <c r="AI486" s="211">
        <f t="shared" si="200"/>
        <v>0</v>
      </c>
      <c r="AJ486" s="211">
        <f t="shared" si="201"/>
        <v>1</v>
      </c>
      <c r="AK486" s="211">
        <f t="shared" si="202"/>
        <v>1</v>
      </c>
      <c r="AL486" s="211">
        <f t="shared" si="203"/>
        <v>1</v>
      </c>
      <c r="AM486" s="211">
        <f t="shared" si="204"/>
        <v>1</v>
      </c>
      <c r="AN486" s="211">
        <f t="shared" si="205"/>
        <v>1</v>
      </c>
      <c r="AO486" s="211">
        <f t="shared" si="206"/>
        <v>1</v>
      </c>
    </row>
    <row r="487" spans="1:41" ht="24.95" customHeight="1" x14ac:dyDescent="0.25">
      <c r="B487" s="212">
        <v>8</v>
      </c>
      <c r="C487" s="202" t="str">
        <f t="shared" si="207"/>
        <v>ROJALI</v>
      </c>
      <c r="D487" s="213"/>
      <c r="E487" s="214" t="str">
        <f t="shared" si="208"/>
        <v>C</v>
      </c>
      <c r="F487" s="215" t="s">
        <v>36</v>
      </c>
      <c r="G487" s="215">
        <f t="shared" si="222"/>
        <v>0</v>
      </c>
      <c r="H487" s="215" t="s">
        <v>37</v>
      </c>
      <c r="I487" s="215">
        <f t="shared" si="209"/>
        <v>1</v>
      </c>
      <c r="J487" s="215" t="s">
        <v>37</v>
      </c>
      <c r="K487" s="215">
        <f t="shared" si="210"/>
        <v>1</v>
      </c>
      <c r="L487" s="215" t="s">
        <v>37</v>
      </c>
      <c r="M487" s="215">
        <f t="shared" si="211"/>
        <v>1</v>
      </c>
      <c r="N487" s="215" t="s">
        <v>37</v>
      </c>
      <c r="O487" s="215">
        <f t="shared" si="212"/>
        <v>1</v>
      </c>
      <c r="P487" s="215" t="s">
        <v>37</v>
      </c>
      <c r="Q487" s="215">
        <f t="shared" si="213"/>
        <v>1</v>
      </c>
      <c r="R487" s="215" t="s">
        <v>37</v>
      </c>
      <c r="S487" s="215">
        <f t="shared" si="214"/>
        <v>1</v>
      </c>
      <c r="T487" s="216">
        <f t="shared" si="215"/>
        <v>6</v>
      </c>
      <c r="U487" s="351">
        <f t="shared" si="216"/>
        <v>6</v>
      </c>
      <c r="V487" s="217" t="str">
        <f t="shared" si="217"/>
        <v>Rp</v>
      </c>
      <c r="W487" s="218">
        <f t="shared" si="218"/>
        <v>115000</v>
      </c>
      <c r="X487" s="217" t="str">
        <f t="shared" si="219"/>
        <v>Rp</v>
      </c>
      <c r="Y487" s="218">
        <v>25000</v>
      </c>
      <c r="Z487" s="217" t="str">
        <f t="shared" si="220"/>
        <v>Rp</v>
      </c>
      <c r="AA487" s="219">
        <f t="shared" si="221"/>
        <v>840000</v>
      </c>
      <c r="AB487" s="222"/>
      <c r="AC487" s="223">
        <v>8</v>
      </c>
      <c r="AE487" s="211"/>
      <c r="AF487" s="211"/>
      <c r="AI487" s="211">
        <f t="shared" si="200"/>
        <v>0</v>
      </c>
      <c r="AJ487" s="211">
        <f t="shared" si="201"/>
        <v>1</v>
      </c>
      <c r="AK487" s="211">
        <f t="shared" si="202"/>
        <v>1</v>
      </c>
      <c r="AL487" s="211">
        <f t="shared" si="203"/>
        <v>1</v>
      </c>
      <c r="AM487" s="211">
        <f t="shared" si="204"/>
        <v>1</v>
      </c>
      <c r="AN487" s="211">
        <f t="shared" si="205"/>
        <v>1</v>
      </c>
      <c r="AO487" s="211">
        <f t="shared" si="206"/>
        <v>1</v>
      </c>
    </row>
    <row r="488" spans="1:41" ht="24.95" customHeight="1" x14ac:dyDescent="0.25">
      <c r="B488" s="212">
        <v>9</v>
      </c>
      <c r="C488" s="202">
        <f t="shared" si="207"/>
        <v>0</v>
      </c>
      <c r="D488" s="213"/>
      <c r="E488" s="214">
        <f t="shared" si="208"/>
        <v>0</v>
      </c>
      <c r="F488" s="215" t="s">
        <v>36</v>
      </c>
      <c r="G488" s="215">
        <f t="shared" si="222"/>
        <v>0</v>
      </c>
      <c r="H488" s="215" t="s">
        <v>37</v>
      </c>
      <c r="I488" s="215">
        <f t="shared" si="209"/>
        <v>1</v>
      </c>
      <c r="J488" s="215" t="s">
        <v>37</v>
      </c>
      <c r="K488" s="215">
        <f t="shared" si="210"/>
        <v>1</v>
      </c>
      <c r="L488" s="215" t="s">
        <v>37</v>
      </c>
      <c r="M488" s="215">
        <f t="shared" si="211"/>
        <v>1</v>
      </c>
      <c r="N488" s="215" t="s">
        <v>37</v>
      </c>
      <c r="O488" s="215">
        <f t="shared" si="212"/>
        <v>1</v>
      </c>
      <c r="P488" s="215" t="s">
        <v>37</v>
      </c>
      <c r="Q488" s="215">
        <f t="shared" si="213"/>
        <v>1</v>
      </c>
      <c r="R488" s="215" t="s">
        <v>37</v>
      </c>
      <c r="S488" s="215">
        <f t="shared" si="214"/>
        <v>1</v>
      </c>
      <c r="T488" s="216">
        <f t="shared" si="215"/>
        <v>6</v>
      </c>
      <c r="U488" s="351">
        <f t="shared" si="216"/>
        <v>6</v>
      </c>
      <c r="V488" s="217" t="str">
        <f t="shared" si="217"/>
        <v xml:space="preserve"> </v>
      </c>
      <c r="W488" s="218">
        <f t="shared" si="218"/>
        <v>0</v>
      </c>
      <c r="X488" s="217" t="str">
        <f t="shared" si="219"/>
        <v>Rp</v>
      </c>
      <c r="Y488" s="218">
        <v>25000</v>
      </c>
      <c r="Z488" s="217" t="str">
        <f t="shared" si="220"/>
        <v>Rp</v>
      </c>
      <c r="AA488" s="219">
        <f t="shared" si="221"/>
        <v>150000</v>
      </c>
      <c r="AB488" s="222">
        <v>9</v>
      </c>
      <c r="AC488" s="221"/>
      <c r="AE488" s="211"/>
      <c r="AF488" s="211"/>
      <c r="AI488" s="211">
        <f t="shared" si="200"/>
        <v>0</v>
      </c>
      <c r="AJ488" s="211">
        <f t="shared" si="201"/>
        <v>1</v>
      </c>
      <c r="AK488" s="211">
        <f t="shared" si="202"/>
        <v>1</v>
      </c>
      <c r="AL488" s="211">
        <f t="shared" si="203"/>
        <v>1</v>
      </c>
      <c r="AM488" s="211">
        <f t="shared" si="204"/>
        <v>1</v>
      </c>
      <c r="AN488" s="211">
        <f t="shared" si="205"/>
        <v>1</v>
      </c>
      <c r="AO488" s="211">
        <f t="shared" si="206"/>
        <v>1</v>
      </c>
    </row>
    <row r="489" spans="1:41" ht="24.95" customHeight="1" x14ac:dyDescent="0.25">
      <c r="B489" s="212">
        <v>10</v>
      </c>
      <c r="C489" s="202">
        <f t="shared" si="207"/>
        <v>0</v>
      </c>
      <c r="D489" s="213"/>
      <c r="E489" s="214">
        <f t="shared" si="208"/>
        <v>0</v>
      </c>
      <c r="F489" s="215" t="s">
        <v>36</v>
      </c>
      <c r="G489" s="215">
        <f t="shared" si="222"/>
        <v>0</v>
      </c>
      <c r="H489" s="215" t="s">
        <v>37</v>
      </c>
      <c r="I489" s="215">
        <f t="shared" si="209"/>
        <v>1</v>
      </c>
      <c r="J489" s="215" t="s">
        <v>37</v>
      </c>
      <c r="K489" s="215">
        <f t="shared" si="210"/>
        <v>1</v>
      </c>
      <c r="L489" s="215" t="s">
        <v>37</v>
      </c>
      <c r="M489" s="215">
        <f t="shared" si="211"/>
        <v>1</v>
      </c>
      <c r="N489" s="215" t="s">
        <v>37</v>
      </c>
      <c r="O489" s="215">
        <f t="shared" si="212"/>
        <v>1</v>
      </c>
      <c r="P489" s="215" t="s">
        <v>37</v>
      </c>
      <c r="Q489" s="215">
        <f t="shared" si="213"/>
        <v>1</v>
      </c>
      <c r="R489" s="215" t="s">
        <v>37</v>
      </c>
      <c r="S489" s="215">
        <f t="shared" si="214"/>
        <v>1</v>
      </c>
      <c r="T489" s="216">
        <f t="shared" si="215"/>
        <v>6</v>
      </c>
      <c r="U489" s="351">
        <f t="shared" si="216"/>
        <v>6</v>
      </c>
      <c r="V489" s="217" t="str">
        <f t="shared" si="217"/>
        <v xml:space="preserve"> </v>
      </c>
      <c r="W489" s="218">
        <f>W488</f>
        <v>0</v>
      </c>
      <c r="X489" s="217" t="str">
        <f t="shared" si="219"/>
        <v>Rp</v>
      </c>
      <c r="Y489" s="218">
        <v>25000</v>
      </c>
      <c r="Z489" s="217" t="str">
        <f t="shared" si="220"/>
        <v>Rp</v>
      </c>
      <c r="AA489" s="219">
        <f t="shared" si="221"/>
        <v>150000</v>
      </c>
      <c r="AB489" s="222"/>
      <c r="AC489" s="223">
        <v>10</v>
      </c>
      <c r="AE489" s="211"/>
      <c r="AF489" s="211"/>
      <c r="AI489" s="211">
        <f t="shared" si="200"/>
        <v>0</v>
      </c>
      <c r="AJ489" s="211">
        <f t="shared" si="201"/>
        <v>1</v>
      </c>
      <c r="AK489" s="211">
        <f t="shared" si="202"/>
        <v>1</v>
      </c>
      <c r="AL489" s="211">
        <f t="shared" si="203"/>
        <v>1</v>
      </c>
      <c r="AM489" s="211">
        <f t="shared" si="204"/>
        <v>1</v>
      </c>
      <c r="AN489" s="211">
        <f t="shared" si="205"/>
        <v>1</v>
      </c>
      <c r="AO489" s="211">
        <f t="shared" si="206"/>
        <v>1</v>
      </c>
    </row>
    <row r="490" spans="1:41" ht="24.95" customHeight="1" x14ac:dyDescent="0.25">
      <c r="B490" s="212">
        <v>11</v>
      </c>
      <c r="C490" s="202">
        <f t="shared" si="207"/>
        <v>0</v>
      </c>
      <c r="D490" s="213"/>
      <c r="E490" s="214">
        <f t="shared" si="208"/>
        <v>0</v>
      </c>
      <c r="F490" s="215"/>
      <c r="G490" s="215"/>
      <c r="H490" s="215"/>
      <c r="I490" s="215"/>
      <c r="J490" s="215"/>
      <c r="K490" s="215"/>
      <c r="L490" s="215"/>
      <c r="M490" s="215"/>
      <c r="N490" s="215"/>
      <c r="O490" s="215"/>
      <c r="P490" s="215"/>
      <c r="Q490" s="215"/>
      <c r="R490" s="215"/>
      <c r="S490" s="215"/>
      <c r="T490" s="216">
        <f t="shared" si="215"/>
        <v>0</v>
      </c>
      <c r="U490" s="216">
        <f>SUM(F490:S490)/6</f>
        <v>0</v>
      </c>
      <c r="V490" s="217"/>
      <c r="W490" s="218"/>
      <c r="X490" s="217"/>
      <c r="Y490" s="218"/>
      <c r="Z490" s="217" t="str">
        <f t="shared" si="220"/>
        <v xml:space="preserve"> </v>
      </c>
      <c r="AA490" s="219">
        <f t="shared" si="221"/>
        <v>0</v>
      </c>
      <c r="AB490" s="222" t="str">
        <f>IF(AA490&gt;0,1,IF(AA490=0," "))</f>
        <v xml:space="preserve"> </v>
      </c>
      <c r="AC490" s="221"/>
      <c r="AE490" s="211"/>
      <c r="AF490" s="211"/>
      <c r="AI490" s="211" t="b">
        <f t="shared" si="200"/>
        <v>0</v>
      </c>
      <c r="AJ490" s="211" t="b">
        <f t="shared" si="201"/>
        <v>0</v>
      </c>
      <c r="AK490" s="211" t="b">
        <f t="shared" si="202"/>
        <v>0</v>
      </c>
      <c r="AL490" s="211" t="b">
        <f t="shared" si="203"/>
        <v>0</v>
      </c>
      <c r="AM490" s="211" t="b">
        <f t="shared" si="204"/>
        <v>0</v>
      </c>
      <c r="AN490" s="211" t="b">
        <f t="shared" si="205"/>
        <v>0</v>
      </c>
      <c r="AO490" s="211" t="b">
        <f t="shared" si="206"/>
        <v>0</v>
      </c>
    </row>
    <row r="491" spans="1:41" ht="24.95" customHeight="1" x14ac:dyDescent="0.25">
      <c r="B491" s="212">
        <v>12</v>
      </c>
      <c r="C491" s="202"/>
      <c r="D491" s="213"/>
      <c r="E491" s="214"/>
      <c r="F491" s="215"/>
      <c r="G491" s="215"/>
      <c r="H491" s="215"/>
      <c r="I491" s="215"/>
      <c r="J491" s="215"/>
      <c r="K491" s="215"/>
      <c r="L491" s="215"/>
      <c r="M491" s="215"/>
      <c r="N491" s="215"/>
      <c r="O491" s="215"/>
      <c r="P491" s="215"/>
      <c r="Q491" s="215"/>
      <c r="R491" s="215"/>
      <c r="S491" s="215"/>
      <c r="T491" s="216">
        <f t="shared" si="215"/>
        <v>0</v>
      </c>
      <c r="U491" s="216">
        <f>SUM(F491:S491)/6</f>
        <v>0</v>
      </c>
      <c r="V491" s="217"/>
      <c r="W491" s="218"/>
      <c r="X491" s="217"/>
      <c r="Y491" s="218"/>
      <c r="Z491" s="217" t="str">
        <f t="shared" si="220"/>
        <v xml:space="preserve"> </v>
      </c>
      <c r="AA491" s="219">
        <f t="shared" si="221"/>
        <v>0</v>
      </c>
      <c r="AB491" s="222" t="str">
        <f>IF(AA491&gt;0,1,IF(AA491=0," "))</f>
        <v xml:space="preserve"> </v>
      </c>
      <c r="AC491" s="223"/>
      <c r="AE491" s="211"/>
      <c r="AF491" s="211"/>
      <c r="AI491" s="211" t="b">
        <f t="shared" si="200"/>
        <v>0</v>
      </c>
      <c r="AJ491" s="211" t="b">
        <f t="shared" si="201"/>
        <v>0</v>
      </c>
      <c r="AK491" s="211" t="b">
        <f t="shared" si="202"/>
        <v>0</v>
      </c>
      <c r="AL491" s="211" t="b">
        <f t="shared" si="203"/>
        <v>0</v>
      </c>
      <c r="AM491" s="211" t="b">
        <f t="shared" si="204"/>
        <v>0</v>
      </c>
      <c r="AN491" s="211" t="b">
        <f t="shared" si="205"/>
        <v>0</v>
      </c>
      <c r="AO491" s="211" t="b">
        <f t="shared" si="206"/>
        <v>0</v>
      </c>
    </row>
    <row r="492" spans="1:41" ht="24.95" customHeight="1" thickBot="1" x14ac:dyDescent="0.3">
      <c r="B492" s="212"/>
      <c r="C492" s="264"/>
      <c r="D492" s="213"/>
      <c r="E492" s="265"/>
      <c r="F492" s="215"/>
      <c r="G492" s="215"/>
      <c r="H492" s="215"/>
      <c r="I492" s="215"/>
      <c r="J492" s="215"/>
      <c r="K492" s="215"/>
      <c r="L492" s="215"/>
      <c r="M492" s="215"/>
      <c r="N492" s="215"/>
      <c r="O492" s="215"/>
      <c r="P492" s="215"/>
      <c r="Q492" s="215"/>
      <c r="R492" s="215"/>
      <c r="S492" s="356"/>
      <c r="T492" s="274"/>
      <c r="U492" s="274"/>
      <c r="V492" s="217"/>
      <c r="W492" s="266"/>
      <c r="X492" s="217"/>
      <c r="Y492" s="266"/>
      <c r="Z492" s="217"/>
      <c r="AA492" s="219"/>
      <c r="AB492" s="222"/>
      <c r="AC492" s="221"/>
      <c r="AE492" s="211"/>
      <c r="AF492" s="211"/>
      <c r="AI492" s="211"/>
      <c r="AJ492" s="211"/>
      <c r="AK492" s="211"/>
      <c r="AL492" s="211"/>
      <c r="AM492" s="211"/>
      <c r="AN492" s="211"/>
      <c r="AO492" s="211"/>
    </row>
    <row r="493" spans="1:41" ht="20.100000000000001" customHeight="1" thickTop="1" thickBot="1" x14ac:dyDescent="0.3">
      <c r="A493" s="179">
        <f>A454+1</f>
        <v>13</v>
      </c>
      <c r="B493" s="248"/>
      <c r="C493" s="249"/>
      <c r="D493" s="249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50" t="s">
        <v>40</v>
      </c>
      <c r="X493" s="249"/>
      <c r="Y493" s="250" t="s">
        <v>40</v>
      </c>
      <c r="Z493" s="249"/>
      <c r="AA493" s="710">
        <f>SUM(AA480:AA492)</f>
        <v>7320000</v>
      </c>
      <c r="AB493" s="711"/>
      <c r="AC493" s="712"/>
      <c r="AE493" s="226" t="str">
        <f>VLOOKUP(A493,'Rekap Gaji'!$B$12:$P$32,10,FALSE)</f>
        <v xml:space="preserve"> 05 September 2025</v>
      </c>
      <c r="AF493" s="251" t="e">
        <f>AE493-AA493</f>
        <v>#VALUE!</v>
      </c>
    </row>
    <row r="494" spans="1:41" ht="11.25" customHeight="1" x14ac:dyDescent="0.25"/>
    <row r="495" spans="1:41" ht="16.5" customHeight="1" x14ac:dyDescent="0.25">
      <c r="B495" s="195" t="s">
        <v>41</v>
      </c>
      <c r="C495" s="140" t="s">
        <v>42</v>
      </c>
    </row>
    <row r="496" spans="1:41" ht="14.25" x14ac:dyDescent="0.25">
      <c r="H496" s="183"/>
      <c r="I496" s="183"/>
      <c r="J496" s="182"/>
      <c r="K496" s="182"/>
      <c r="T496" s="141"/>
      <c r="U496" s="141"/>
      <c r="V496" s="141"/>
      <c r="X496" s="141"/>
      <c r="AA496" s="140" t="str">
        <f>'BKU 1'!$I$25</f>
        <v>NGANTANG</v>
      </c>
      <c r="AB496" s="713">
        <f>IFERROR(VLOOKUP(E474,'Rekap Gaji'!$B$12:$P$32,7,FALSE),"-")</f>
        <v>45905</v>
      </c>
      <c r="AC496" s="713"/>
      <c r="AD496" s="252"/>
      <c r="AE496" s="252"/>
    </row>
    <row r="497" spans="1:32" ht="15.75" x14ac:dyDescent="0.25">
      <c r="C497" s="140" t="s">
        <v>43</v>
      </c>
      <c r="F497" s="253"/>
      <c r="G497" s="253"/>
      <c r="H497" s="254"/>
      <c r="I497" s="254"/>
      <c r="J497" s="255"/>
      <c r="K497" s="255"/>
      <c r="L497" s="256"/>
      <c r="M497" s="256"/>
      <c r="N497" s="225" t="s">
        <v>44</v>
      </c>
      <c r="O497" s="225"/>
      <c r="P497" s="253"/>
      <c r="Q497" s="253"/>
      <c r="T497" s="141"/>
      <c r="U497" s="141"/>
      <c r="V497" s="141"/>
      <c r="X497" s="141"/>
      <c r="AA497" s="140" t="str">
        <f>'BKU 1'!$L$354</f>
        <v>Dibuat Oleh ;</v>
      </c>
      <c r="AB497" s="141"/>
    </row>
    <row r="498" spans="1:32" ht="14.25" x14ac:dyDescent="0.25">
      <c r="C498" s="140" t="str">
        <f>'BKU 1'!$C$355</f>
        <v>Kepala Sekolah SDN 1 SIDODADI</v>
      </c>
      <c r="F498" s="187"/>
      <c r="G498" s="187"/>
      <c r="H498" s="224"/>
      <c r="I498" s="224"/>
      <c r="J498" s="182"/>
      <c r="K498" s="182"/>
      <c r="L498" s="183"/>
      <c r="M498" s="183"/>
      <c r="N498" s="140" t="s">
        <v>45</v>
      </c>
      <c r="P498" s="187"/>
      <c r="Q498" s="187"/>
      <c r="AA498" s="140" t="str">
        <f>'BKU 1'!$L$355</f>
        <v>Bendahara Pembangunan</v>
      </c>
      <c r="AB498" s="141"/>
    </row>
    <row r="499" spans="1:32" ht="14.25" x14ac:dyDescent="0.25">
      <c r="F499" s="187"/>
      <c r="G499" s="187"/>
      <c r="H499" s="224"/>
      <c r="I499" s="224"/>
      <c r="J499" s="182"/>
      <c r="K499" s="182"/>
      <c r="L499" s="183"/>
      <c r="M499" s="183"/>
      <c r="P499" s="187"/>
      <c r="Q499" s="187"/>
      <c r="AA499" s="140"/>
      <c r="AB499" s="141"/>
    </row>
    <row r="500" spans="1:32" ht="14.25" x14ac:dyDescent="0.25">
      <c r="F500" s="187"/>
      <c r="G500" s="187"/>
      <c r="H500" s="224"/>
      <c r="I500" s="224"/>
      <c r="J500" s="182"/>
      <c r="K500" s="182"/>
      <c r="L500" s="183"/>
      <c r="M500" s="183"/>
      <c r="P500" s="187"/>
      <c r="Q500" s="187"/>
      <c r="AA500" s="140"/>
      <c r="AB500" s="141"/>
    </row>
    <row r="501" spans="1:32" ht="14.25" x14ac:dyDescent="0.25">
      <c r="F501" s="187"/>
      <c r="G501" s="187"/>
      <c r="H501" s="224"/>
      <c r="I501" s="224"/>
      <c r="J501" s="182"/>
      <c r="K501" s="182"/>
      <c r="L501" s="183"/>
      <c r="M501" s="183"/>
      <c r="P501" s="187"/>
      <c r="Q501" s="187"/>
      <c r="AA501" s="140"/>
      <c r="AB501" s="141"/>
    </row>
    <row r="502" spans="1:32" ht="14.25" x14ac:dyDescent="0.25">
      <c r="F502" s="187"/>
      <c r="G502" s="187"/>
      <c r="H502" s="224"/>
      <c r="I502" s="224"/>
      <c r="J502" s="182"/>
      <c r="K502" s="182"/>
      <c r="L502" s="183"/>
      <c r="M502" s="183"/>
      <c r="P502" s="187"/>
      <c r="Q502" s="187"/>
      <c r="AA502" s="140"/>
      <c r="AB502" s="141"/>
    </row>
    <row r="503" spans="1:32" x14ac:dyDescent="0.25">
      <c r="H503" s="225"/>
      <c r="I503" s="225"/>
      <c r="AA503" s="140"/>
    </row>
    <row r="504" spans="1:32" x14ac:dyDescent="0.25">
      <c r="H504" s="225"/>
      <c r="I504" s="225"/>
      <c r="AA504" s="140"/>
    </row>
    <row r="505" spans="1:32" s="189" customFormat="1" ht="15" customHeight="1" x14ac:dyDescent="0.25">
      <c r="A505" s="192"/>
      <c r="B505" s="195"/>
      <c r="C505" s="227" t="str">
        <f>'BKU 1'!$C$360</f>
        <v>MELIA FITRIANI, S.Pd.SD</v>
      </c>
      <c r="D505" s="227"/>
      <c r="H505" s="228"/>
      <c r="I505" s="228"/>
      <c r="J505" s="195"/>
      <c r="K505" s="195"/>
      <c r="L505" s="194"/>
      <c r="M505" s="194"/>
      <c r="N505" s="229">
        <f>'BKU 1'!$G$361</f>
        <v>0</v>
      </c>
      <c r="O505" s="229"/>
      <c r="AA505" s="227" t="str">
        <f>'BKU 1'!$L$360</f>
        <v>ARIF NUR UDIN, S.Pd.SD</v>
      </c>
      <c r="AC505" s="230"/>
      <c r="AE505" s="231"/>
      <c r="AF505" s="231"/>
    </row>
    <row r="506" spans="1:32" s="189" customFormat="1" ht="15" customHeight="1" x14ac:dyDescent="0.25">
      <c r="A506" s="192"/>
      <c r="B506" s="195"/>
      <c r="C506" s="140" t="str">
        <f>'BKU 1'!$C$361</f>
        <v>NIP. 19850619 200904 2 000</v>
      </c>
      <c r="D506" s="140"/>
      <c r="E506" s="140"/>
      <c r="F506" s="140"/>
      <c r="G506" s="140"/>
      <c r="H506" s="225"/>
      <c r="I506" s="225"/>
      <c r="J506" s="191"/>
      <c r="K506" s="191"/>
      <c r="L506" s="190"/>
      <c r="M506" s="190"/>
      <c r="N506" s="232">
        <f>'BKU 1'!$G$361</f>
        <v>0</v>
      </c>
      <c r="O506" s="232"/>
      <c r="P506" s="140"/>
      <c r="Q506" s="140"/>
      <c r="T506" s="140"/>
      <c r="U506" s="140"/>
      <c r="V506" s="140"/>
      <c r="W506" s="140"/>
      <c r="X506" s="140"/>
      <c r="Y506" s="140"/>
      <c r="Z506" s="140"/>
      <c r="AA506" s="140" t="str">
        <f>'BKU 1'!$L$361</f>
        <v>NIP. 19840719 200903 1 002</v>
      </c>
      <c r="AC506" s="230"/>
      <c r="AE506" s="231"/>
      <c r="AF506" s="231"/>
    </row>
    <row r="507" spans="1:32" ht="6" customHeight="1" x14ac:dyDescent="0.25"/>
    <row r="508" spans="1:32" s="177" customFormat="1" ht="24.95" customHeight="1" x14ac:dyDescent="0.25">
      <c r="A508" s="176"/>
      <c r="B508" s="726" t="s">
        <v>6</v>
      </c>
      <c r="C508" s="726"/>
      <c r="D508" s="726"/>
      <c r="E508" s="726"/>
      <c r="F508" s="726"/>
      <c r="G508" s="726"/>
      <c r="H508" s="726"/>
      <c r="I508" s="726"/>
      <c r="J508" s="726"/>
      <c r="K508" s="726"/>
      <c r="L508" s="726"/>
      <c r="M508" s="726"/>
      <c r="N508" s="726"/>
      <c r="O508" s="726"/>
      <c r="P508" s="726"/>
      <c r="Q508" s="726"/>
      <c r="R508" s="726"/>
      <c r="S508" s="726"/>
      <c r="T508" s="726"/>
      <c r="U508" s="726"/>
      <c r="V508" s="726"/>
      <c r="W508" s="726"/>
      <c r="X508" s="726"/>
      <c r="Y508" s="726"/>
      <c r="Z508" s="726"/>
      <c r="AA508" s="726"/>
      <c r="AB508" s="726"/>
      <c r="AC508" s="726"/>
      <c r="AE508" s="178"/>
      <c r="AF508" s="178"/>
    </row>
    <row r="509" spans="1:32" s="177" customFormat="1" ht="24.95" customHeight="1" x14ac:dyDescent="0.25">
      <c r="A509" s="176"/>
      <c r="B509" s="726" t="str">
        <f>'BKU 1'!$D$22</f>
        <v>PEMBANGUNAN TOILET BESERTA SANITASINYA</v>
      </c>
      <c r="C509" s="726"/>
      <c r="D509" s="726"/>
      <c r="E509" s="726"/>
      <c r="F509" s="726"/>
      <c r="G509" s="726"/>
      <c r="H509" s="726"/>
      <c r="I509" s="726"/>
      <c r="J509" s="726"/>
      <c r="K509" s="726"/>
      <c r="L509" s="726"/>
      <c r="M509" s="726"/>
      <c r="N509" s="726"/>
      <c r="O509" s="726"/>
      <c r="P509" s="726"/>
      <c r="Q509" s="726"/>
      <c r="R509" s="726"/>
      <c r="S509" s="726"/>
      <c r="T509" s="726"/>
      <c r="U509" s="726"/>
      <c r="V509" s="726"/>
      <c r="W509" s="726"/>
      <c r="X509" s="726"/>
      <c r="Y509" s="726"/>
      <c r="Z509" s="726"/>
      <c r="AA509" s="726"/>
      <c r="AB509" s="726"/>
      <c r="AC509" s="726"/>
      <c r="AE509" s="178"/>
      <c r="AF509" s="178"/>
    </row>
    <row r="510" spans="1:32" s="184" customFormat="1" ht="30.75" customHeight="1" x14ac:dyDescent="0.25">
      <c r="A510" s="179"/>
      <c r="B510" s="180"/>
      <c r="C510" s="181"/>
      <c r="D510" s="181"/>
      <c r="E510" s="181"/>
      <c r="F510" s="182"/>
      <c r="G510" s="182"/>
      <c r="H510" s="183"/>
      <c r="I510" s="183"/>
      <c r="J510" s="182"/>
      <c r="K510" s="182"/>
      <c r="L510" s="183"/>
      <c r="M510" s="183"/>
      <c r="N510" s="182"/>
      <c r="O510" s="182"/>
      <c r="P510" s="182"/>
      <c r="Q510" s="182"/>
      <c r="R510" s="182"/>
      <c r="S510" s="182"/>
      <c r="T510" s="181"/>
      <c r="U510" s="181"/>
      <c r="V510" s="181"/>
      <c r="X510" s="181"/>
      <c r="AA510" s="180"/>
      <c r="AB510" s="140"/>
      <c r="AC510" s="185"/>
      <c r="AE510" s="186"/>
      <c r="AF510" s="186"/>
    </row>
    <row r="511" spans="1:32" s="184" customFormat="1" ht="14.25" x14ac:dyDescent="0.25">
      <c r="A511" s="179"/>
      <c r="B511" s="185" t="s">
        <v>7</v>
      </c>
      <c r="D511" s="184" t="s">
        <v>49</v>
      </c>
      <c r="E511" s="184" t="str">
        <f>'BKU 1'!$D$25</f>
        <v>SDN 1 SIDODADI</v>
      </c>
      <c r="F511" s="140"/>
      <c r="G511" s="140"/>
      <c r="H511" s="183"/>
      <c r="I511" s="183"/>
      <c r="J511" s="182"/>
      <c r="K511" s="182"/>
      <c r="L511" s="183"/>
      <c r="M511" s="183"/>
      <c r="N511" s="187"/>
      <c r="O511" s="187"/>
      <c r="P511" s="187"/>
      <c r="Q511" s="187"/>
      <c r="R511" s="187"/>
      <c r="S511" s="187"/>
      <c r="T511" s="188"/>
      <c r="U511" s="188"/>
      <c r="V511" s="188"/>
      <c r="X511" s="188"/>
      <c r="AA511" s="180"/>
      <c r="AB511" s="189" t="s">
        <v>8</v>
      </c>
      <c r="AC511" s="185"/>
      <c r="AE511" s="186"/>
      <c r="AF511" s="186"/>
    </row>
    <row r="512" spans="1:32" s="184" customFormat="1" x14ac:dyDescent="0.25">
      <c r="A512" s="179"/>
      <c r="B512" s="185" t="s">
        <v>9</v>
      </c>
      <c r="D512" s="184" t="s">
        <v>49</v>
      </c>
      <c r="E512" s="184" t="str">
        <f>'BKU 1'!$D$26</f>
        <v>Jl. Kawi No.36 Rt. 1 Rw. 1 Dusun Sekar, Rt / Rw : 1 / 1, Dusun : Sekar, Kelurahan : Sidodadi</v>
      </c>
      <c r="F512" s="140"/>
      <c r="G512" s="140"/>
      <c r="H512" s="190"/>
      <c r="I512" s="190"/>
      <c r="J512" s="191"/>
      <c r="K512" s="191"/>
      <c r="L512" s="190"/>
      <c r="M512" s="190"/>
      <c r="N512" s="140"/>
      <c r="O512" s="140"/>
      <c r="P512" s="140"/>
      <c r="Q512" s="140"/>
      <c r="R512" s="140"/>
      <c r="S512" s="140"/>
      <c r="AA512" s="180"/>
      <c r="AB512" s="140" t="s">
        <v>10</v>
      </c>
      <c r="AC512" s="185" t="s">
        <v>11</v>
      </c>
      <c r="AE512" s="186"/>
      <c r="AF512" s="186"/>
    </row>
    <row r="513" spans="1:41" s="184" customFormat="1" x14ac:dyDescent="0.25">
      <c r="A513" s="179"/>
      <c r="B513" s="185" t="s">
        <v>12</v>
      </c>
      <c r="D513" s="184" t="s">
        <v>49</v>
      </c>
      <c r="E513" s="180">
        <f>E474+1</f>
        <v>14</v>
      </c>
      <c r="F513" s="140"/>
      <c r="G513" s="140"/>
      <c r="H513" s="727">
        <f>IFERROR(VLOOKUP(E513,'Rekap Gaji'!$B$12:$P$32,14,FALSE),"-")</f>
        <v>0</v>
      </c>
      <c r="I513" s="727"/>
      <c r="J513" s="727"/>
      <c r="K513" s="727"/>
      <c r="L513" s="727"/>
      <c r="M513" s="191"/>
      <c r="N513" s="140"/>
      <c r="O513" s="140"/>
      <c r="P513" s="140"/>
      <c r="Q513" s="140"/>
      <c r="R513" s="140"/>
      <c r="S513" s="140"/>
      <c r="AA513" s="180"/>
      <c r="AB513" s="140" t="s">
        <v>13</v>
      </c>
      <c r="AC513" s="185" t="s">
        <v>14</v>
      </c>
      <c r="AE513" s="186"/>
      <c r="AF513" s="186"/>
    </row>
    <row r="514" spans="1:41" s="184" customFormat="1" ht="15" customHeight="1" x14ac:dyDescent="0.25">
      <c r="A514" s="179"/>
      <c r="B514" s="185" t="s">
        <v>0</v>
      </c>
      <c r="D514" s="184" t="s">
        <v>49</v>
      </c>
      <c r="E514" s="728">
        <f>IFERROR(VLOOKUP(E513,'Rekap Gaji'!$B$12:$P$32,4,FALSE),"-")</f>
        <v>0</v>
      </c>
      <c r="F514" s="728"/>
      <c r="G514" s="728"/>
      <c r="H514" s="728"/>
      <c r="I514" s="728"/>
      <c r="J514" s="728"/>
      <c r="K514" s="339"/>
      <c r="L514" s="727" t="s">
        <v>76</v>
      </c>
      <c r="M514" s="727"/>
      <c r="N514" s="727"/>
      <c r="O514" s="191"/>
      <c r="P514" s="728">
        <f>IFERROR(VLOOKUP(E513,'Rekap Gaji'!$B$12:$P$32,6,FALSE),"-")</f>
        <v>0</v>
      </c>
      <c r="Q514" s="728"/>
      <c r="R514" s="728"/>
      <c r="S514" s="728"/>
      <c r="T514" s="728"/>
      <c r="U514" s="728"/>
      <c r="V514" s="728"/>
      <c r="AA514" s="180"/>
      <c r="AB514" s="140" t="s">
        <v>15</v>
      </c>
      <c r="AC514" s="185" t="s">
        <v>16</v>
      </c>
      <c r="AE514" s="186"/>
      <c r="AF514" s="186"/>
    </row>
    <row r="515" spans="1:41" s="188" customFormat="1" ht="8.1" customHeight="1" thickBot="1" x14ac:dyDescent="0.3">
      <c r="A515" s="192"/>
      <c r="B515" s="193"/>
      <c r="F515" s="189"/>
      <c r="G515" s="189"/>
      <c r="H515" s="194"/>
      <c r="I515" s="194"/>
      <c r="J515" s="195"/>
      <c r="K515" s="195"/>
      <c r="L515" s="194"/>
      <c r="M515" s="194"/>
      <c r="N515" s="189"/>
      <c r="O515" s="189"/>
      <c r="P515" s="189"/>
      <c r="Q515" s="189"/>
      <c r="R515" s="189"/>
      <c r="S515" s="189"/>
      <c r="AA515" s="193"/>
      <c r="AB515" s="189"/>
      <c r="AC515" s="196"/>
      <c r="AE515" s="197"/>
      <c r="AF515" s="197"/>
    </row>
    <row r="516" spans="1:41" ht="15" customHeight="1" x14ac:dyDescent="0.25">
      <c r="B516" s="729" t="s">
        <v>17</v>
      </c>
      <c r="C516" s="717" t="s">
        <v>18</v>
      </c>
      <c r="D516" s="732"/>
      <c r="E516" s="268" t="s">
        <v>19</v>
      </c>
      <c r="F516" s="717" t="s">
        <v>20</v>
      </c>
      <c r="G516" s="734"/>
      <c r="H516" s="734"/>
      <c r="I516" s="734"/>
      <c r="J516" s="734"/>
      <c r="K516" s="734"/>
      <c r="L516" s="734"/>
      <c r="M516" s="734"/>
      <c r="N516" s="734"/>
      <c r="O516" s="734"/>
      <c r="P516" s="734"/>
      <c r="Q516" s="734"/>
      <c r="R516" s="732"/>
      <c r="S516" s="337"/>
      <c r="T516" s="267" t="s">
        <v>2</v>
      </c>
      <c r="U516" s="267"/>
      <c r="V516" s="717" t="s">
        <v>21</v>
      </c>
      <c r="W516" s="732"/>
      <c r="X516" s="717" t="s">
        <v>21</v>
      </c>
      <c r="Y516" s="732"/>
      <c r="Z516" s="717" t="s">
        <v>22</v>
      </c>
      <c r="AA516" s="732"/>
      <c r="AB516" s="717" t="s">
        <v>23</v>
      </c>
      <c r="AC516" s="718"/>
    </row>
    <row r="517" spans="1:41" ht="15" customHeight="1" x14ac:dyDescent="0.25">
      <c r="B517" s="730"/>
      <c r="C517" s="719"/>
      <c r="D517" s="725"/>
      <c r="E517" s="270" t="s">
        <v>24</v>
      </c>
      <c r="F517" s="723" t="s">
        <v>25</v>
      </c>
      <c r="G517" s="338"/>
      <c r="H517" s="723" t="s">
        <v>26</v>
      </c>
      <c r="I517" s="338"/>
      <c r="J517" s="723" t="s">
        <v>26</v>
      </c>
      <c r="K517" s="338"/>
      <c r="L517" s="723" t="s">
        <v>27</v>
      </c>
      <c r="M517" s="338"/>
      <c r="N517" s="723" t="s">
        <v>28</v>
      </c>
      <c r="O517" s="338"/>
      <c r="P517" s="723" t="s">
        <v>29</v>
      </c>
      <c r="Q517" s="338"/>
      <c r="R517" s="723" t="s">
        <v>26</v>
      </c>
      <c r="S517" s="269"/>
      <c r="T517" s="269" t="s">
        <v>30</v>
      </c>
      <c r="U517" s="269"/>
      <c r="V517" s="719" t="s">
        <v>31</v>
      </c>
      <c r="W517" s="725"/>
      <c r="X517" s="719" t="s">
        <v>31</v>
      </c>
      <c r="Y517" s="725"/>
      <c r="Z517" s="719" t="s">
        <v>31</v>
      </c>
      <c r="AA517" s="725"/>
      <c r="AB517" s="719"/>
      <c r="AC517" s="720"/>
    </row>
    <row r="518" spans="1:41" ht="15" customHeight="1" thickBot="1" x14ac:dyDescent="0.3">
      <c r="B518" s="731"/>
      <c r="C518" s="721"/>
      <c r="D518" s="733"/>
      <c r="E518" s="272" t="s">
        <v>32</v>
      </c>
      <c r="F518" s="724"/>
      <c r="G518" s="272"/>
      <c r="H518" s="724"/>
      <c r="I518" s="272"/>
      <c r="J518" s="724"/>
      <c r="K518" s="272"/>
      <c r="L518" s="724"/>
      <c r="M518" s="272"/>
      <c r="N518" s="724"/>
      <c r="O518" s="272"/>
      <c r="P518" s="724"/>
      <c r="Q518" s="272"/>
      <c r="R518" s="724"/>
      <c r="S518" s="271"/>
      <c r="T518" s="271" t="s">
        <v>31</v>
      </c>
      <c r="U518" s="271"/>
      <c r="V518" s="721" t="s">
        <v>33</v>
      </c>
      <c r="W518" s="733"/>
      <c r="X518" s="721" t="s">
        <v>33</v>
      </c>
      <c r="Y518" s="733"/>
      <c r="Z518" s="721" t="s">
        <v>34</v>
      </c>
      <c r="AA518" s="733"/>
      <c r="AB518" s="721"/>
      <c r="AC518" s="722"/>
    </row>
    <row r="519" spans="1:41" ht="24.95" customHeight="1" x14ac:dyDescent="0.25">
      <c r="B519" s="201">
        <v>1</v>
      </c>
      <c r="C519" s="261" t="str">
        <f t="shared" ref="C519:C531" si="223">IFERROR(C480," ")</f>
        <v>KUSMAN H</v>
      </c>
      <c r="D519" s="203"/>
      <c r="E519" s="262" t="str">
        <f t="shared" ref="E519:E531" si="224">IFERROR(E480," ")</f>
        <v>A</v>
      </c>
      <c r="F519" s="205" t="s">
        <v>36</v>
      </c>
      <c r="G519" s="205"/>
      <c r="H519" s="205" t="s">
        <v>37</v>
      </c>
      <c r="I519" s="205"/>
      <c r="J519" s="205" t="s">
        <v>37</v>
      </c>
      <c r="K519" s="205"/>
      <c r="L519" s="205" t="s">
        <v>37</v>
      </c>
      <c r="M519" s="205"/>
      <c r="N519" s="205" t="s">
        <v>37</v>
      </c>
      <c r="O519" s="205"/>
      <c r="P519" s="205" t="s">
        <v>37</v>
      </c>
      <c r="Q519" s="205"/>
      <c r="R519" s="205" t="s">
        <v>37</v>
      </c>
      <c r="S519" s="355"/>
      <c r="T519" s="273">
        <f>SUM(AI519:AO519)</f>
        <v>6</v>
      </c>
      <c r="U519" s="273"/>
      <c r="V519" s="207" t="str">
        <f t="shared" ref="V519:V538" si="225">IF(W519&gt;0,"Rp",IF(W519=0," "))</f>
        <v>Rp</v>
      </c>
      <c r="W519" s="263">
        <f t="shared" ref="W519:W531" si="226">IFERROR(W480," ")</f>
        <v>135000</v>
      </c>
      <c r="X519" s="207" t="str">
        <f t="shared" ref="X519:X538" si="227">IF(Y519&gt;0,"Rp",IF(Y519=0," "))</f>
        <v>Rp</v>
      </c>
      <c r="Y519" s="263">
        <f t="shared" ref="Y519:Y531" si="228">IFERROR(Y480," ")</f>
        <v>25000</v>
      </c>
      <c r="Z519" s="207" t="str">
        <f t="shared" ref="Z519:Z538" si="229">IF(AA519&gt;0,"Rp",IF(AA519=0," "))</f>
        <v>Rp</v>
      </c>
      <c r="AA519" s="208">
        <f t="shared" ref="AA519:AA538" si="230">W519*T519</f>
        <v>810000</v>
      </c>
      <c r="AB519" s="209">
        <f>IF(AA519&gt;0,1,IF(AA519=0," "))</f>
        <v>1</v>
      </c>
      <c r="AC519" s="210"/>
      <c r="AE519" s="260"/>
      <c r="AF519" s="140"/>
      <c r="AI519" s="211">
        <f t="shared" ref="AI519:AI538" si="231">IFERROR(IF(F519="V",1,IF(F519="X",0))," ")</f>
        <v>0</v>
      </c>
      <c r="AJ519" s="211">
        <f t="shared" ref="AJ519:AJ538" si="232">IFERROR(IF(H519="V",1,IF(H519="X",0))," ")</f>
        <v>1</v>
      </c>
      <c r="AK519" s="211">
        <f t="shared" ref="AK519:AK538" si="233">IFERROR(IF(J519="V",1,IF(J519="X",0))," ")</f>
        <v>1</v>
      </c>
      <c r="AL519" s="211">
        <f t="shared" ref="AL519:AL538" si="234">IFERROR(IF(L519="V",1,IF(L519="X",0))," ")</f>
        <v>1</v>
      </c>
      <c r="AM519" s="211">
        <f t="shared" ref="AM519:AM538" si="235">IFERROR(IF(N519="V",1,IF(N519="X",0))," ")</f>
        <v>1</v>
      </c>
      <c r="AN519" s="211">
        <f t="shared" ref="AN519:AN538" si="236">IFERROR(IF(P519="V",1,IF(P519="X",0))," ")</f>
        <v>1</v>
      </c>
      <c r="AO519" s="211">
        <f t="shared" ref="AO519:AO538" si="237">IFERROR(IF(R519="V",1,IF(R519="X",0))," ")</f>
        <v>1</v>
      </c>
    </row>
    <row r="520" spans="1:41" ht="24.95" customHeight="1" x14ac:dyDescent="0.25">
      <c r="B520" s="212">
        <f>B519+1</f>
        <v>2</v>
      </c>
      <c r="C520" s="264" t="str">
        <f t="shared" si="223"/>
        <v>BUSANI</v>
      </c>
      <c r="D520" s="213"/>
      <c r="E520" s="265" t="str">
        <f t="shared" si="224"/>
        <v>B</v>
      </c>
      <c r="F520" s="215" t="s">
        <v>36</v>
      </c>
      <c r="G520" s="215"/>
      <c r="H520" s="215" t="s">
        <v>37</v>
      </c>
      <c r="I520" s="215"/>
      <c r="J520" s="215" t="s">
        <v>37</v>
      </c>
      <c r="K520" s="215"/>
      <c r="L520" s="215" t="s">
        <v>37</v>
      </c>
      <c r="M520" s="215"/>
      <c r="N520" s="215" t="s">
        <v>37</v>
      </c>
      <c r="O520" s="215"/>
      <c r="P520" s="215" t="s">
        <v>37</v>
      </c>
      <c r="Q520" s="215"/>
      <c r="R520" s="215" t="s">
        <v>37</v>
      </c>
      <c r="S520" s="356"/>
      <c r="T520" s="274">
        <f t="shared" ref="T520:T538" si="238">SUM(AI520:AO520)</f>
        <v>6</v>
      </c>
      <c r="U520" s="274"/>
      <c r="V520" s="217" t="str">
        <f t="shared" si="225"/>
        <v>Rp</v>
      </c>
      <c r="W520" s="266">
        <f t="shared" si="226"/>
        <v>125000</v>
      </c>
      <c r="X520" s="217" t="str">
        <f t="shared" si="227"/>
        <v>Rp</v>
      </c>
      <c r="Y520" s="266">
        <f t="shared" si="228"/>
        <v>25000</v>
      </c>
      <c r="Z520" s="217" t="str">
        <f t="shared" si="229"/>
        <v>Rp</v>
      </c>
      <c r="AA520" s="219">
        <f t="shared" si="230"/>
        <v>750000</v>
      </c>
      <c r="AB520" s="220"/>
      <c r="AC520" s="221">
        <f>IF(AA520&gt;0,2,IF(AA519=0," "))</f>
        <v>2</v>
      </c>
      <c r="AE520" s="211"/>
      <c r="AF520" s="211"/>
      <c r="AI520" s="211">
        <f t="shared" si="231"/>
        <v>0</v>
      </c>
      <c r="AJ520" s="211">
        <f t="shared" si="232"/>
        <v>1</v>
      </c>
      <c r="AK520" s="211">
        <f t="shared" si="233"/>
        <v>1</v>
      </c>
      <c r="AL520" s="211">
        <f t="shared" si="234"/>
        <v>1</v>
      </c>
      <c r="AM520" s="211">
        <f t="shared" si="235"/>
        <v>1</v>
      </c>
      <c r="AN520" s="211">
        <f t="shared" si="236"/>
        <v>1</v>
      </c>
      <c r="AO520" s="211">
        <f t="shared" si="237"/>
        <v>1</v>
      </c>
    </row>
    <row r="521" spans="1:41" ht="24.95" customHeight="1" x14ac:dyDescent="0.25">
      <c r="B521" s="212">
        <f>B520+1</f>
        <v>3</v>
      </c>
      <c r="C521" s="264" t="str">
        <f t="shared" si="223"/>
        <v>LASMARI</v>
      </c>
      <c r="D521" s="213"/>
      <c r="E521" s="265" t="str">
        <f t="shared" si="224"/>
        <v>B</v>
      </c>
      <c r="F521" s="215" t="s">
        <v>36</v>
      </c>
      <c r="G521" s="215"/>
      <c r="H521" s="215" t="s">
        <v>37</v>
      </c>
      <c r="I521" s="215"/>
      <c r="J521" s="215" t="s">
        <v>37</v>
      </c>
      <c r="K521" s="215"/>
      <c r="L521" s="215" t="s">
        <v>37</v>
      </c>
      <c r="M521" s="215"/>
      <c r="N521" s="215" t="s">
        <v>37</v>
      </c>
      <c r="O521" s="215"/>
      <c r="P521" s="215" t="s">
        <v>37</v>
      </c>
      <c r="Q521" s="215"/>
      <c r="R521" s="215" t="s">
        <v>37</v>
      </c>
      <c r="S521" s="356"/>
      <c r="T521" s="274">
        <f t="shared" si="238"/>
        <v>6</v>
      </c>
      <c r="U521" s="274"/>
      <c r="V521" s="217" t="str">
        <f t="shared" si="225"/>
        <v>Rp</v>
      </c>
      <c r="W521" s="266">
        <f t="shared" si="226"/>
        <v>125000</v>
      </c>
      <c r="X521" s="217" t="str">
        <f t="shared" si="227"/>
        <v>Rp</v>
      </c>
      <c r="Y521" s="266">
        <f t="shared" si="228"/>
        <v>25000</v>
      </c>
      <c r="Z521" s="217" t="str">
        <f t="shared" si="229"/>
        <v>Rp</v>
      </c>
      <c r="AA521" s="219">
        <f t="shared" si="230"/>
        <v>750000</v>
      </c>
      <c r="AB521" s="222">
        <f>IF(AA521&gt;0,AB519+2,IF(AA521=0," "))</f>
        <v>3</v>
      </c>
      <c r="AC521" s="221"/>
      <c r="AE521" s="211"/>
      <c r="AF521" s="211"/>
      <c r="AI521" s="211">
        <f t="shared" si="231"/>
        <v>0</v>
      </c>
      <c r="AJ521" s="211">
        <f t="shared" si="232"/>
        <v>1</v>
      </c>
      <c r="AK521" s="211">
        <f t="shared" si="233"/>
        <v>1</v>
      </c>
      <c r="AL521" s="211">
        <f t="shared" si="234"/>
        <v>1</v>
      </c>
      <c r="AM521" s="211">
        <f t="shared" si="235"/>
        <v>1</v>
      </c>
      <c r="AN521" s="211">
        <f t="shared" si="236"/>
        <v>1</v>
      </c>
      <c r="AO521" s="211">
        <f t="shared" si="237"/>
        <v>1</v>
      </c>
    </row>
    <row r="522" spans="1:41" ht="24.95" customHeight="1" x14ac:dyDescent="0.25">
      <c r="B522" s="212">
        <f>B521+1</f>
        <v>4</v>
      </c>
      <c r="C522" s="264" t="str">
        <f t="shared" si="223"/>
        <v>SUMARTO</v>
      </c>
      <c r="D522" s="213"/>
      <c r="E522" s="265" t="str">
        <f t="shared" si="224"/>
        <v>B</v>
      </c>
      <c r="F522" s="215" t="s">
        <v>36</v>
      </c>
      <c r="G522" s="215"/>
      <c r="H522" s="215" t="s">
        <v>37</v>
      </c>
      <c r="I522" s="215"/>
      <c r="J522" s="215" t="s">
        <v>37</v>
      </c>
      <c r="K522" s="215"/>
      <c r="L522" s="215" t="s">
        <v>37</v>
      </c>
      <c r="M522" s="215"/>
      <c r="N522" s="215" t="s">
        <v>37</v>
      </c>
      <c r="O522" s="215"/>
      <c r="P522" s="215" t="s">
        <v>37</v>
      </c>
      <c r="Q522" s="215"/>
      <c r="R522" s="215" t="s">
        <v>37</v>
      </c>
      <c r="S522" s="356"/>
      <c r="T522" s="274">
        <f t="shared" si="238"/>
        <v>6</v>
      </c>
      <c r="U522" s="274"/>
      <c r="V522" s="217" t="str">
        <f t="shared" si="225"/>
        <v>Rp</v>
      </c>
      <c r="W522" s="266">
        <f t="shared" si="226"/>
        <v>125000</v>
      </c>
      <c r="X522" s="217" t="str">
        <f t="shared" si="227"/>
        <v>Rp</v>
      </c>
      <c r="Y522" s="266">
        <f t="shared" si="228"/>
        <v>25000</v>
      </c>
      <c r="Z522" s="217" t="str">
        <f t="shared" si="229"/>
        <v>Rp</v>
      </c>
      <c r="AA522" s="219">
        <f t="shared" si="230"/>
        <v>750000</v>
      </c>
      <c r="AB522" s="222"/>
      <c r="AC522" s="223">
        <f>IF(AA522&gt;0,AC520+2,IF(AD522=0," "))</f>
        <v>4</v>
      </c>
      <c r="AE522" s="211"/>
      <c r="AF522" s="211"/>
      <c r="AI522" s="211">
        <f t="shared" si="231"/>
        <v>0</v>
      </c>
      <c r="AJ522" s="211">
        <f t="shared" si="232"/>
        <v>1</v>
      </c>
      <c r="AK522" s="211">
        <f t="shared" si="233"/>
        <v>1</v>
      </c>
      <c r="AL522" s="211">
        <f t="shared" si="234"/>
        <v>1</v>
      </c>
      <c r="AM522" s="211">
        <f t="shared" si="235"/>
        <v>1</v>
      </c>
      <c r="AN522" s="211">
        <f t="shared" si="236"/>
        <v>1</v>
      </c>
      <c r="AO522" s="211">
        <f t="shared" si="237"/>
        <v>1</v>
      </c>
    </row>
    <row r="523" spans="1:41" ht="24.95" customHeight="1" x14ac:dyDescent="0.25">
      <c r="B523" s="212">
        <f t="shared" ref="B523:B538" si="239">B522+1</f>
        <v>5</v>
      </c>
      <c r="C523" s="264" t="str">
        <f t="shared" si="223"/>
        <v>TONI</v>
      </c>
      <c r="D523" s="213"/>
      <c r="E523" s="265" t="str">
        <f t="shared" si="224"/>
        <v>C</v>
      </c>
      <c r="F523" s="215" t="s">
        <v>36</v>
      </c>
      <c r="G523" s="215"/>
      <c r="H523" s="215" t="s">
        <v>37</v>
      </c>
      <c r="I523" s="215"/>
      <c r="J523" s="215" t="s">
        <v>37</v>
      </c>
      <c r="K523" s="215"/>
      <c r="L523" s="215" t="s">
        <v>37</v>
      </c>
      <c r="M523" s="215"/>
      <c r="N523" s="215" t="s">
        <v>37</v>
      </c>
      <c r="O523" s="215"/>
      <c r="P523" s="215" t="s">
        <v>37</v>
      </c>
      <c r="Q523" s="215"/>
      <c r="R523" s="215" t="s">
        <v>36</v>
      </c>
      <c r="S523" s="356"/>
      <c r="T523" s="274">
        <f t="shared" si="238"/>
        <v>5</v>
      </c>
      <c r="U523" s="274"/>
      <c r="V523" s="217" t="str">
        <f t="shared" si="225"/>
        <v>Rp</v>
      </c>
      <c r="W523" s="266">
        <f t="shared" si="226"/>
        <v>115000</v>
      </c>
      <c r="X523" s="217" t="str">
        <f t="shared" si="227"/>
        <v>Rp</v>
      </c>
      <c r="Y523" s="266">
        <f t="shared" si="228"/>
        <v>25000</v>
      </c>
      <c r="Z523" s="217" t="str">
        <f t="shared" si="229"/>
        <v>Rp</v>
      </c>
      <c r="AA523" s="219">
        <f t="shared" si="230"/>
        <v>575000</v>
      </c>
      <c r="AB523" s="222">
        <f>IF(AA523&gt;0,AB521+2,IF(AA523=0," "))</f>
        <v>5</v>
      </c>
      <c r="AC523" s="221"/>
      <c r="AE523" s="211"/>
      <c r="AF523" s="211"/>
      <c r="AI523" s="211">
        <f t="shared" si="231"/>
        <v>0</v>
      </c>
      <c r="AJ523" s="211">
        <f t="shared" si="232"/>
        <v>1</v>
      </c>
      <c r="AK523" s="211">
        <f t="shared" si="233"/>
        <v>1</v>
      </c>
      <c r="AL523" s="211">
        <f t="shared" si="234"/>
        <v>1</v>
      </c>
      <c r="AM523" s="211">
        <f t="shared" si="235"/>
        <v>1</v>
      </c>
      <c r="AN523" s="211">
        <f t="shared" si="236"/>
        <v>1</v>
      </c>
      <c r="AO523" s="211">
        <f t="shared" si="237"/>
        <v>0</v>
      </c>
    </row>
    <row r="524" spans="1:41" ht="24.95" customHeight="1" x14ac:dyDescent="0.25">
      <c r="B524" s="212">
        <f t="shared" si="239"/>
        <v>6</v>
      </c>
      <c r="C524" s="264" t="str">
        <f t="shared" si="223"/>
        <v>SAKIM</v>
      </c>
      <c r="D524" s="213"/>
      <c r="E524" s="265" t="str">
        <f t="shared" si="224"/>
        <v>C</v>
      </c>
      <c r="F524" s="215" t="s">
        <v>36</v>
      </c>
      <c r="G524" s="215"/>
      <c r="H524" s="215" t="s">
        <v>37</v>
      </c>
      <c r="I524" s="215"/>
      <c r="J524" s="215" t="s">
        <v>37</v>
      </c>
      <c r="K524" s="215"/>
      <c r="L524" s="215" t="s">
        <v>37</v>
      </c>
      <c r="M524" s="215"/>
      <c r="N524" s="215" t="s">
        <v>37</v>
      </c>
      <c r="O524" s="215"/>
      <c r="P524" s="215" t="s">
        <v>37</v>
      </c>
      <c r="Q524" s="215"/>
      <c r="R524" s="215" t="s">
        <v>37</v>
      </c>
      <c r="S524" s="356"/>
      <c r="T524" s="274">
        <f t="shared" si="238"/>
        <v>6</v>
      </c>
      <c r="U524" s="274"/>
      <c r="V524" s="217" t="str">
        <f t="shared" si="225"/>
        <v>Rp</v>
      </c>
      <c r="W524" s="266">
        <f t="shared" si="226"/>
        <v>115000</v>
      </c>
      <c r="X524" s="217" t="str">
        <f t="shared" si="227"/>
        <v>Rp</v>
      </c>
      <c r="Y524" s="266">
        <f t="shared" si="228"/>
        <v>25000</v>
      </c>
      <c r="Z524" s="217" t="str">
        <f t="shared" si="229"/>
        <v>Rp</v>
      </c>
      <c r="AA524" s="219">
        <f t="shared" si="230"/>
        <v>690000</v>
      </c>
      <c r="AB524" s="222"/>
      <c r="AC524" s="223">
        <f>IF(AA524&gt;0,AC522+2,IF(AD524=0," "))</f>
        <v>6</v>
      </c>
      <c r="AE524" s="211"/>
      <c r="AF524" s="211"/>
      <c r="AI524" s="211">
        <f t="shared" si="231"/>
        <v>0</v>
      </c>
      <c r="AJ524" s="211">
        <f t="shared" si="232"/>
        <v>1</v>
      </c>
      <c r="AK524" s="211">
        <f t="shared" si="233"/>
        <v>1</v>
      </c>
      <c r="AL524" s="211">
        <f t="shared" si="234"/>
        <v>1</v>
      </c>
      <c r="AM524" s="211">
        <f t="shared" si="235"/>
        <v>1</v>
      </c>
      <c r="AN524" s="211">
        <f t="shared" si="236"/>
        <v>1</v>
      </c>
      <c r="AO524" s="211">
        <f t="shared" si="237"/>
        <v>1</v>
      </c>
    </row>
    <row r="525" spans="1:41" ht="24.95" customHeight="1" x14ac:dyDescent="0.25">
      <c r="B525" s="212">
        <f t="shared" si="239"/>
        <v>7</v>
      </c>
      <c r="C525" s="264" t="str">
        <f t="shared" si="223"/>
        <v>TOHIR</v>
      </c>
      <c r="D525" s="213"/>
      <c r="E525" s="265" t="str">
        <f t="shared" si="224"/>
        <v>C</v>
      </c>
      <c r="F525" s="215"/>
      <c r="G525" s="215"/>
      <c r="H525" s="215"/>
      <c r="I525" s="215"/>
      <c r="J525" s="215"/>
      <c r="K525" s="215"/>
      <c r="L525" s="215"/>
      <c r="M525" s="215"/>
      <c r="N525" s="215"/>
      <c r="O525" s="215"/>
      <c r="P525" s="215"/>
      <c r="Q525" s="215"/>
      <c r="R525" s="215"/>
      <c r="S525" s="356"/>
      <c r="T525" s="274">
        <f t="shared" si="238"/>
        <v>0</v>
      </c>
      <c r="U525" s="274"/>
      <c r="V525" s="217" t="str">
        <f t="shared" si="225"/>
        <v>Rp</v>
      </c>
      <c r="W525" s="266">
        <f t="shared" si="226"/>
        <v>115000</v>
      </c>
      <c r="X525" s="217" t="str">
        <f t="shared" si="227"/>
        <v>Rp</v>
      </c>
      <c r="Y525" s="266">
        <f t="shared" si="228"/>
        <v>25000</v>
      </c>
      <c r="Z525" s="217" t="str">
        <f t="shared" si="229"/>
        <v xml:space="preserve"> </v>
      </c>
      <c r="AA525" s="219">
        <f t="shared" si="230"/>
        <v>0</v>
      </c>
      <c r="AB525" s="222" t="str">
        <f>IF(AA525&gt;0,AB523+2,IF(AA525=0," "))</f>
        <v xml:space="preserve"> </v>
      </c>
      <c r="AC525" s="221"/>
      <c r="AE525" s="211"/>
      <c r="AF525" s="211"/>
      <c r="AI525" s="211" t="b">
        <f t="shared" si="231"/>
        <v>0</v>
      </c>
      <c r="AJ525" s="211" t="b">
        <f t="shared" si="232"/>
        <v>0</v>
      </c>
      <c r="AK525" s="211" t="b">
        <f t="shared" si="233"/>
        <v>0</v>
      </c>
      <c r="AL525" s="211" t="b">
        <f t="shared" si="234"/>
        <v>0</v>
      </c>
      <c r="AM525" s="211" t="b">
        <f t="shared" si="235"/>
        <v>0</v>
      </c>
      <c r="AN525" s="211" t="b">
        <f t="shared" si="236"/>
        <v>0</v>
      </c>
      <c r="AO525" s="211" t="b">
        <f t="shared" si="237"/>
        <v>0</v>
      </c>
    </row>
    <row r="526" spans="1:41" ht="24.95" customHeight="1" x14ac:dyDescent="0.25">
      <c r="B526" s="212">
        <f t="shared" si="239"/>
        <v>8</v>
      </c>
      <c r="C526" s="264" t="str">
        <f t="shared" si="223"/>
        <v>ROJALI</v>
      </c>
      <c r="D526" s="213"/>
      <c r="E526" s="265" t="str">
        <f t="shared" si="224"/>
        <v>C</v>
      </c>
      <c r="F526" s="215"/>
      <c r="G526" s="215"/>
      <c r="H526" s="215"/>
      <c r="I526" s="215"/>
      <c r="J526" s="215"/>
      <c r="K526" s="215"/>
      <c r="L526" s="215"/>
      <c r="M526" s="215"/>
      <c r="N526" s="215"/>
      <c r="O526" s="215"/>
      <c r="P526" s="215"/>
      <c r="Q526" s="215"/>
      <c r="R526" s="215"/>
      <c r="S526" s="356"/>
      <c r="T526" s="274">
        <f t="shared" si="238"/>
        <v>0</v>
      </c>
      <c r="U526" s="274"/>
      <c r="V526" s="217" t="str">
        <f t="shared" si="225"/>
        <v>Rp</v>
      </c>
      <c r="W526" s="266">
        <f t="shared" si="226"/>
        <v>115000</v>
      </c>
      <c r="X526" s="217" t="str">
        <f t="shared" si="227"/>
        <v>Rp</v>
      </c>
      <c r="Y526" s="266">
        <f t="shared" si="228"/>
        <v>25000</v>
      </c>
      <c r="Z526" s="217" t="str">
        <f t="shared" si="229"/>
        <v xml:space="preserve"> </v>
      </c>
      <c r="AA526" s="219">
        <f t="shared" si="230"/>
        <v>0</v>
      </c>
      <c r="AB526" s="222"/>
      <c r="AC526" s="223" t="str">
        <f>IF(AA526&gt;0,AC524+2,IF(AD526=0," "))</f>
        <v xml:space="preserve"> </v>
      </c>
      <c r="AE526" s="211"/>
      <c r="AF526" s="211"/>
      <c r="AI526" s="211" t="b">
        <f t="shared" si="231"/>
        <v>0</v>
      </c>
      <c r="AJ526" s="211" t="b">
        <f t="shared" si="232"/>
        <v>0</v>
      </c>
      <c r="AK526" s="211" t="b">
        <f t="shared" si="233"/>
        <v>0</v>
      </c>
      <c r="AL526" s="211" t="b">
        <f t="shared" si="234"/>
        <v>0</v>
      </c>
      <c r="AM526" s="211" t="b">
        <f t="shared" si="235"/>
        <v>0</v>
      </c>
      <c r="AN526" s="211" t="b">
        <f t="shared" si="236"/>
        <v>0</v>
      </c>
      <c r="AO526" s="211" t="b">
        <f t="shared" si="237"/>
        <v>0</v>
      </c>
    </row>
    <row r="527" spans="1:41" ht="24.95" customHeight="1" x14ac:dyDescent="0.25">
      <c r="B527" s="212">
        <f t="shared" si="239"/>
        <v>9</v>
      </c>
      <c r="C527" s="264">
        <f t="shared" si="223"/>
        <v>0</v>
      </c>
      <c r="D527" s="213"/>
      <c r="E527" s="265">
        <f t="shared" si="224"/>
        <v>0</v>
      </c>
      <c r="F527" s="215"/>
      <c r="G527" s="215"/>
      <c r="H527" s="215"/>
      <c r="I527" s="215"/>
      <c r="J527" s="215"/>
      <c r="K527" s="215"/>
      <c r="L527" s="215"/>
      <c r="M527" s="215"/>
      <c r="N527" s="215"/>
      <c r="O527" s="215"/>
      <c r="P527" s="215"/>
      <c r="Q527" s="215"/>
      <c r="R527" s="215"/>
      <c r="S527" s="356"/>
      <c r="T527" s="274">
        <f t="shared" si="238"/>
        <v>0</v>
      </c>
      <c r="U527" s="274"/>
      <c r="V527" s="217" t="str">
        <f t="shared" si="225"/>
        <v xml:space="preserve"> </v>
      </c>
      <c r="W527" s="266">
        <f t="shared" si="226"/>
        <v>0</v>
      </c>
      <c r="X527" s="217" t="str">
        <f t="shared" si="227"/>
        <v>Rp</v>
      </c>
      <c r="Y527" s="266">
        <f t="shared" si="228"/>
        <v>25000</v>
      </c>
      <c r="Z527" s="217" t="str">
        <f t="shared" si="229"/>
        <v xml:space="preserve"> </v>
      </c>
      <c r="AA527" s="219">
        <f t="shared" si="230"/>
        <v>0</v>
      </c>
      <c r="AB527" s="222" t="str">
        <f>IF(AA527&gt;0,AB525+2,IF(AA527=0," "))</f>
        <v xml:space="preserve"> </v>
      </c>
      <c r="AC527" s="221"/>
      <c r="AE527" s="211"/>
      <c r="AF527" s="211"/>
      <c r="AI527" s="211" t="b">
        <f t="shared" si="231"/>
        <v>0</v>
      </c>
      <c r="AJ527" s="211" t="b">
        <f t="shared" si="232"/>
        <v>0</v>
      </c>
      <c r="AK527" s="211" t="b">
        <f t="shared" si="233"/>
        <v>0</v>
      </c>
      <c r="AL527" s="211" t="b">
        <f t="shared" si="234"/>
        <v>0</v>
      </c>
      <c r="AM527" s="211" t="b">
        <f t="shared" si="235"/>
        <v>0</v>
      </c>
      <c r="AN527" s="211" t="b">
        <f t="shared" si="236"/>
        <v>0</v>
      </c>
      <c r="AO527" s="211" t="b">
        <f t="shared" si="237"/>
        <v>0</v>
      </c>
    </row>
    <row r="528" spans="1:41" ht="24.95" customHeight="1" x14ac:dyDescent="0.25">
      <c r="B528" s="212">
        <f t="shared" si="239"/>
        <v>10</v>
      </c>
      <c r="C528" s="264">
        <f t="shared" si="223"/>
        <v>0</v>
      </c>
      <c r="D528" s="213"/>
      <c r="E528" s="265">
        <f t="shared" si="224"/>
        <v>0</v>
      </c>
      <c r="F528" s="215"/>
      <c r="G528" s="215"/>
      <c r="H528" s="215"/>
      <c r="I528" s="215"/>
      <c r="J528" s="215"/>
      <c r="K528" s="215"/>
      <c r="L528" s="215"/>
      <c r="M528" s="215"/>
      <c r="N528" s="215"/>
      <c r="O528" s="215"/>
      <c r="P528" s="215"/>
      <c r="Q528" s="215"/>
      <c r="R528" s="215"/>
      <c r="S528" s="356"/>
      <c r="T528" s="274">
        <f t="shared" si="238"/>
        <v>0</v>
      </c>
      <c r="U528" s="274"/>
      <c r="V528" s="217" t="str">
        <f t="shared" si="225"/>
        <v xml:space="preserve"> </v>
      </c>
      <c r="W528" s="266">
        <f t="shared" si="226"/>
        <v>0</v>
      </c>
      <c r="X528" s="217" t="str">
        <f t="shared" si="227"/>
        <v>Rp</v>
      </c>
      <c r="Y528" s="266">
        <f t="shared" si="228"/>
        <v>25000</v>
      </c>
      <c r="Z528" s="217" t="str">
        <f t="shared" si="229"/>
        <v xml:space="preserve"> </v>
      </c>
      <c r="AA528" s="219">
        <f t="shared" si="230"/>
        <v>0</v>
      </c>
      <c r="AB528" s="222"/>
      <c r="AC528" s="223" t="str">
        <f>IF(AA528&gt;0,AC526+2,IF(AD528=0," "))</f>
        <v xml:space="preserve"> </v>
      </c>
      <c r="AE528" s="211"/>
      <c r="AF528" s="211"/>
      <c r="AI528" s="211" t="b">
        <f t="shared" si="231"/>
        <v>0</v>
      </c>
      <c r="AJ528" s="211" t="b">
        <f t="shared" si="232"/>
        <v>0</v>
      </c>
      <c r="AK528" s="211" t="b">
        <f t="shared" si="233"/>
        <v>0</v>
      </c>
      <c r="AL528" s="211" t="b">
        <f t="shared" si="234"/>
        <v>0</v>
      </c>
      <c r="AM528" s="211" t="b">
        <f t="shared" si="235"/>
        <v>0</v>
      </c>
      <c r="AN528" s="211" t="b">
        <f t="shared" si="236"/>
        <v>0</v>
      </c>
      <c r="AO528" s="211" t="b">
        <f t="shared" si="237"/>
        <v>0</v>
      </c>
    </row>
    <row r="529" spans="1:41" ht="24.95" customHeight="1" x14ac:dyDescent="0.25">
      <c r="B529" s="212">
        <f t="shared" si="239"/>
        <v>11</v>
      </c>
      <c r="C529" s="264">
        <f t="shared" si="223"/>
        <v>0</v>
      </c>
      <c r="D529" s="213"/>
      <c r="E529" s="265">
        <f t="shared" si="224"/>
        <v>0</v>
      </c>
      <c r="F529" s="215"/>
      <c r="G529" s="215"/>
      <c r="H529" s="215"/>
      <c r="I529" s="215"/>
      <c r="J529" s="215"/>
      <c r="K529" s="215"/>
      <c r="L529" s="215"/>
      <c r="M529" s="215"/>
      <c r="N529" s="215"/>
      <c r="O529" s="215"/>
      <c r="P529" s="215"/>
      <c r="Q529" s="215"/>
      <c r="R529" s="215"/>
      <c r="S529" s="356"/>
      <c r="T529" s="274">
        <f t="shared" si="238"/>
        <v>0</v>
      </c>
      <c r="U529" s="274"/>
      <c r="V529" s="217" t="str">
        <f t="shared" si="225"/>
        <v xml:space="preserve"> </v>
      </c>
      <c r="W529" s="266">
        <f t="shared" si="226"/>
        <v>0</v>
      </c>
      <c r="X529" s="217" t="str">
        <f t="shared" si="227"/>
        <v xml:space="preserve"> </v>
      </c>
      <c r="Y529" s="266">
        <f t="shared" si="228"/>
        <v>0</v>
      </c>
      <c r="Z529" s="217" t="str">
        <f t="shared" si="229"/>
        <v xml:space="preserve"> </v>
      </c>
      <c r="AA529" s="219">
        <f t="shared" si="230"/>
        <v>0</v>
      </c>
      <c r="AB529" s="222" t="str">
        <f>IF(AA529&gt;0,AB527+2,IF(AA529=0," "))</f>
        <v xml:space="preserve"> </v>
      </c>
      <c r="AC529" s="221"/>
      <c r="AE529" s="211"/>
      <c r="AF529" s="211"/>
      <c r="AI529" s="211" t="b">
        <f t="shared" si="231"/>
        <v>0</v>
      </c>
      <c r="AJ529" s="211" t="b">
        <f t="shared" si="232"/>
        <v>0</v>
      </c>
      <c r="AK529" s="211" t="b">
        <f t="shared" si="233"/>
        <v>0</v>
      </c>
      <c r="AL529" s="211" t="b">
        <f t="shared" si="234"/>
        <v>0</v>
      </c>
      <c r="AM529" s="211" t="b">
        <f t="shared" si="235"/>
        <v>0</v>
      </c>
      <c r="AN529" s="211" t="b">
        <f t="shared" si="236"/>
        <v>0</v>
      </c>
      <c r="AO529" s="211" t="b">
        <f t="shared" si="237"/>
        <v>0</v>
      </c>
    </row>
    <row r="530" spans="1:41" ht="24.95" customHeight="1" x14ac:dyDescent="0.25">
      <c r="B530" s="212">
        <f t="shared" si="239"/>
        <v>12</v>
      </c>
      <c r="C530" s="264">
        <f t="shared" si="223"/>
        <v>0</v>
      </c>
      <c r="D530" s="213"/>
      <c r="E530" s="265">
        <f t="shared" si="224"/>
        <v>0</v>
      </c>
      <c r="F530" s="215"/>
      <c r="G530" s="215"/>
      <c r="H530" s="215"/>
      <c r="I530" s="215"/>
      <c r="J530" s="215"/>
      <c r="K530" s="215"/>
      <c r="L530" s="215"/>
      <c r="M530" s="215"/>
      <c r="N530" s="215"/>
      <c r="O530" s="215"/>
      <c r="P530" s="215"/>
      <c r="Q530" s="215"/>
      <c r="R530" s="215"/>
      <c r="S530" s="356"/>
      <c r="T530" s="274"/>
      <c r="U530" s="274"/>
      <c r="V530" s="217" t="str">
        <f t="shared" si="225"/>
        <v xml:space="preserve"> </v>
      </c>
      <c r="W530" s="266">
        <f t="shared" si="226"/>
        <v>0</v>
      </c>
      <c r="X530" s="217" t="str">
        <f t="shared" si="227"/>
        <v xml:space="preserve"> </v>
      </c>
      <c r="Y530" s="266">
        <f t="shared" si="228"/>
        <v>0</v>
      </c>
      <c r="Z530" s="217" t="str">
        <f t="shared" si="229"/>
        <v xml:space="preserve"> </v>
      </c>
      <c r="AA530" s="219">
        <f t="shared" si="230"/>
        <v>0</v>
      </c>
      <c r="AB530" s="222"/>
      <c r="AC530" s="223" t="str">
        <f>IF(AA530&gt;0,AC528+2,IF(AD530=0," "))</f>
        <v xml:space="preserve"> </v>
      </c>
      <c r="AE530" s="211"/>
      <c r="AF530" s="211"/>
      <c r="AI530" s="211" t="b">
        <f t="shared" si="231"/>
        <v>0</v>
      </c>
      <c r="AJ530" s="211" t="b">
        <f t="shared" si="232"/>
        <v>0</v>
      </c>
      <c r="AK530" s="211" t="b">
        <f t="shared" si="233"/>
        <v>0</v>
      </c>
      <c r="AL530" s="211" t="b">
        <f t="shared" si="234"/>
        <v>0</v>
      </c>
      <c r="AM530" s="211" t="b">
        <f t="shared" si="235"/>
        <v>0</v>
      </c>
      <c r="AN530" s="211" t="b">
        <f t="shared" si="236"/>
        <v>0</v>
      </c>
      <c r="AO530" s="211" t="b">
        <f t="shared" si="237"/>
        <v>0</v>
      </c>
    </row>
    <row r="531" spans="1:41" ht="24.95" customHeight="1" x14ac:dyDescent="0.25">
      <c r="B531" s="212">
        <f t="shared" si="239"/>
        <v>13</v>
      </c>
      <c r="C531" s="264">
        <f t="shared" si="223"/>
        <v>0</v>
      </c>
      <c r="D531" s="213"/>
      <c r="E531" s="265">
        <f t="shared" si="224"/>
        <v>0</v>
      </c>
      <c r="F531" s="215"/>
      <c r="G531" s="215"/>
      <c r="H531" s="215"/>
      <c r="I531" s="215"/>
      <c r="J531" s="215"/>
      <c r="K531" s="215"/>
      <c r="L531" s="215"/>
      <c r="M531" s="215"/>
      <c r="N531" s="215"/>
      <c r="O531" s="215"/>
      <c r="P531" s="215"/>
      <c r="Q531" s="215"/>
      <c r="R531" s="215"/>
      <c r="S531" s="356"/>
      <c r="T531" s="274">
        <f t="shared" si="238"/>
        <v>0</v>
      </c>
      <c r="U531" s="274"/>
      <c r="V531" s="217" t="str">
        <f t="shared" si="225"/>
        <v xml:space="preserve"> </v>
      </c>
      <c r="W531" s="266">
        <f t="shared" si="226"/>
        <v>0</v>
      </c>
      <c r="X531" s="217" t="str">
        <f t="shared" si="227"/>
        <v xml:space="preserve"> </v>
      </c>
      <c r="Y531" s="266">
        <f t="shared" si="228"/>
        <v>0</v>
      </c>
      <c r="Z531" s="217" t="str">
        <f t="shared" si="229"/>
        <v xml:space="preserve"> </v>
      </c>
      <c r="AA531" s="219">
        <f t="shared" si="230"/>
        <v>0</v>
      </c>
      <c r="AB531" s="222" t="str">
        <f>IF(AA531&gt;0,AB529+2,IF(AA531=0," "))</f>
        <v xml:space="preserve"> </v>
      </c>
      <c r="AC531" s="221"/>
      <c r="AE531" s="211"/>
      <c r="AF531" s="211"/>
      <c r="AI531" s="211" t="b">
        <f t="shared" si="231"/>
        <v>0</v>
      </c>
      <c r="AJ531" s="211" t="b">
        <f t="shared" si="232"/>
        <v>0</v>
      </c>
      <c r="AK531" s="211" t="b">
        <f t="shared" si="233"/>
        <v>0</v>
      </c>
      <c r="AL531" s="211" t="b">
        <f t="shared" si="234"/>
        <v>0</v>
      </c>
      <c r="AM531" s="211" t="b">
        <f t="shared" si="235"/>
        <v>0</v>
      </c>
      <c r="AN531" s="211" t="b">
        <f t="shared" si="236"/>
        <v>0</v>
      </c>
      <c r="AO531" s="211" t="b">
        <f t="shared" si="237"/>
        <v>0</v>
      </c>
    </row>
    <row r="532" spans="1:41" ht="24.95" customHeight="1" x14ac:dyDescent="0.25">
      <c r="B532" s="212">
        <f t="shared" si="239"/>
        <v>14</v>
      </c>
      <c r="C532" s="264" t="str">
        <f>IFERROR(#REF!," ")</f>
        <v xml:space="preserve"> </v>
      </c>
      <c r="D532" s="213"/>
      <c r="E532" s="265" t="str">
        <f>IFERROR(#REF!," ")</f>
        <v xml:space="preserve"> </v>
      </c>
      <c r="F532" s="215"/>
      <c r="G532" s="215"/>
      <c r="H532" s="215"/>
      <c r="I532" s="215"/>
      <c r="J532" s="215"/>
      <c r="K532" s="215"/>
      <c r="L532" s="215"/>
      <c r="M532" s="215"/>
      <c r="N532" s="215"/>
      <c r="O532" s="215"/>
      <c r="P532" s="215"/>
      <c r="Q532" s="215"/>
      <c r="R532" s="215"/>
      <c r="S532" s="356"/>
      <c r="T532" s="274">
        <f t="shared" si="238"/>
        <v>0</v>
      </c>
      <c r="U532" s="274"/>
      <c r="V532" s="217" t="str">
        <f t="shared" si="225"/>
        <v>Rp</v>
      </c>
      <c r="W532" s="266" t="str">
        <f>IFERROR(#REF!," ")</f>
        <v xml:space="preserve"> </v>
      </c>
      <c r="X532" s="217" t="str">
        <f t="shared" si="227"/>
        <v>Rp</v>
      </c>
      <c r="Y532" s="266" t="str">
        <f>IFERROR(#REF!," ")</f>
        <v xml:space="preserve"> </v>
      </c>
      <c r="Z532" s="217" t="e">
        <f t="shared" si="229"/>
        <v>#VALUE!</v>
      </c>
      <c r="AA532" s="219" t="e">
        <f t="shared" si="230"/>
        <v>#VALUE!</v>
      </c>
      <c r="AB532" s="222"/>
      <c r="AC532" s="223" t="e">
        <f>IF(AA532&gt;0,AC530+2,IF(AD532=0," "))</f>
        <v>#VALUE!</v>
      </c>
      <c r="AE532" s="211"/>
      <c r="AF532" s="211"/>
      <c r="AI532" s="211" t="b">
        <f t="shared" si="231"/>
        <v>0</v>
      </c>
      <c r="AJ532" s="211" t="b">
        <f t="shared" si="232"/>
        <v>0</v>
      </c>
      <c r="AK532" s="211" t="b">
        <f t="shared" si="233"/>
        <v>0</v>
      </c>
      <c r="AL532" s="211" t="b">
        <f t="shared" si="234"/>
        <v>0</v>
      </c>
      <c r="AM532" s="211" t="b">
        <f t="shared" si="235"/>
        <v>0</v>
      </c>
      <c r="AN532" s="211" t="b">
        <f t="shared" si="236"/>
        <v>0</v>
      </c>
      <c r="AO532" s="211" t="b">
        <f t="shared" si="237"/>
        <v>0</v>
      </c>
    </row>
    <row r="533" spans="1:41" ht="24.95" customHeight="1" x14ac:dyDescent="0.25">
      <c r="B533" s="212">
        <f t="shared" si="239"/>
        <v>15</v>
      </c>
      <c r="C533" s="264" t="str">
        <f>IFERROR(#REF!," ")</f>
        <v xml:space="preserve"> </v>
      </c>
      <c r="D533" s="213"/>
      <c r="E533" s="265" t="str">
        <f>IFERROR(#REF!," ")</f>
        <v xml:space="preserve"> </v>
      </c>
      <c r="F533" s="215"/>
      <c r="G533" s="215"/>
      <c r="H533" s="215"/>
      <c r="I533" s="215"/>
      <c r="J533" s="215"/>
      <c r="K533" s="215"/>
      <c r="L533" s="215"/>
      <c r="M533" s="215"/>
      <c r="N533" s="215"/>
      <c r="O533" s="215"/>
      <c r="P533" s="215"/>
      <c r="Q533" s="215"/>
      <c r="R533" s="215"/>
      <c r="S533" s="356"/>
      <c r="T533" s="274">
        <f t="shared" si="238"/>
        <v>0</v>
      </c>
      <c r="U533" s="274"/>
      <c r="V533" s="217" t="str">
        <f t="shared" si="225"/>
        <v>Rp</v>
      </c>
      <c r="W533" s="266" t="str">
        <f>IFERROR(#REF!," ")</f>
        <v xml:space="preserve"> </v>
      </c>
      <c r="X533" s="217" t="str">
        <f t="shared" si="227"/>
        <v>Rp</v>
      </c>
      <c r="Y533" s="266" t="str">
        <f>IFERROR(#REF!," ")</f>
        <v xml:space="preserve"> </v>
      </c>
      <c r="Z533" s="217" t="e">
        <f t="shared" si="229"/>
        <v>#VALUE!</v>
      </c>
      <c r="AA533" s="219" t="e">
        <f t="shared" si="230"/>
        <v>#VALUE!</v>
      </c>
      <c r="AB533" s="222" t="e">
        <f>IF(AA533&gt;0,AB531+2,IF(AA533=0," "))</f>
        <v>#VALUE!</v>
      </c>
      <c r="AC533" s="221"/>
      <c r="AE533" s="211"/>
      <c r="AF533" s="211"/>
      <c r="AI533" s="211" t="b">
        <f t="shared" si="231"/>
        <v>0</v>
      </c>
      <c r="AJ533" s="211" t="b">
        <f t="shared" si="232"/>
        <v>0</v>
      </c>
      <c r="AK533" s="211" t="b">
        <f t="shared" si="233"/>
        <v>0</v>
      </c>
      <c r="AL533" s="211" t="b">
        <f t="shared" si="234"/>
        <v>0</v>
      </c>
      <c r="AM533" s="211" t="b">
        <f t="shared" si="235"/>
        <v>0</v>
      </c>
      <c r="AN533" s="211" t="b">
        <f t="shared" si="236"/>
        <v>0</v>
      </c>
      <c r="AO533" s="211" t="b">
        <f t="shared" si="237"/>
        <v>0</v>
      </c>
    </row>
    <row r="534" spans="1:41" ht="24.95" customHeight="1" x14ac:dyDescent="0.25">
      <c r="B534" s="212">
        <f t="shared" si="239"/>
        <v>16</v>
      </c>
      <c r="C534" s="264" t="str">
        <f>IFERROR(#REF!," ")</f>
        <v xml:space="preserve"> </v>
      </c>
      <c r="D534" s="213"/>
      <c r="E534" s="265" t="str">
        <f>IFERROR(#REF!," ")</f>
        <v xml:space="preserve"> </v>
      </c>
      <c r="F534" s="215"/>
      <c r="G534" s="215"/>
      <c r="H534" s="215"/>
      <c r="I534" s="215"/>
      <c r="J534" s="215"/>
      <c r="K534" s="215"/>
      <c r="L534" s="215"/>
      <c r="M534" s="215"/>
      <c r="N534" s="215"/>
      <c r="O534" s="215"/>
      <c r="P534" s="215"/>
      <c r="Q534" s="215"/>
      <c r="R534" s="215"/>
      <c r="S534" s="356"/>
      <c r="T534" s="274">
        <f t="shared" si="238"/>
        <v>0</v>
      </c>
      <c r="U534" s="274"/>
      <c r="V534" s="217" t="str">
        <f t="shared" si="225"/>
        <v>Rp</v>
      </c>
      <c r="W534" s="266" t="str">
        <f>IFERROR(#REF!," ")</f>
        <v xml:space="preserve"> </v>
      </c>
      <c r="X534" s="217" t="str">
        <f t="shared" si="227"/>
        <v>Rp</v>
      </c>
      <c r="Y534" s="266" t="str">
        <f>IFERROR(#REF!," ")</f>
        <v xml:space="preserve"> </v>
      </c>
      <c r="Z534" s="217" t="e">
        <f t="shared" si="229"/>
        <v>#VALUE!</v>
      </c>
      <c r="AA534" s="219" t="e">
        <f t="shared" si="230"/>
        <v>#VALUE!</v>
      </c>
      <c r="AB534" s="222"/>
      <c r="AC534" s="223" t="e">
        <f>IF(AA534&gt;0,AC532+2,IF(AD534=0," "))</f>
        <v>#VALUE!</v>
      </c>
      <c r="AE534" s="211"/>
      <c r="AF534" s="211"/>
      <c r="AI534" s="211" t="b">
        <f t="shared" si="231"/>
        <v>0</v>
      </c>
      <c r="AJ534" s="211" t="b">
        <f t="shared" si="232"/>
        <v>0</v>
      </c>
      <c r="AK534" s="211" t="b">
        <f t="shared" si="233"/>
        <v>0</v>
      </c>
      <c r="AL534" s="211" t="b">
        <f t="shared" si="234"/>
        <v>0</v>
      </c>
      <c r="AM534" s="211" t="b">
        <f t="shared" si="235"/>
        <v>0</v>
      </c>
      <c r="AN534" s="211" t="b">
        <f t="shared" si="236"/>
        <v>0</v>
      </c>
      <c r="AO534" s="211" t="b">
        <f t="shared" si="237"/>
        <v>0</v>
      </c>
    </row>
    <row r="535" spans="1:41" ht="24.95" customHeight="1" x14ac:dyDescent="0.25">
      <c r="B535" s="212">
        <f t="shared" si="239"/>
        <v>17</v>
      </c>
      <c r="C535" s="264" t="str">
        <f>IFERROR(#REF!," ")</f>
        <v xml:space="preserve"> </v>
      </c>
      <c r="D535" s="213"/>
      <c r="E535" s="265" t="str">
        <f>IFERROR(#REF!," ")</f>
        <v xml:space="preserve"> </v>
      </c>
      <c r="F535" s="215"/>
      <c r="G535" s="215"/>
      <c r="H535" s="215"/>
      <c r="I535" s="215"/>
      <c r="J535" s="215"/>
      <c r="K535" s="215"/>
      <c r="L535" s="215"/>
      <c r="M535" s="215"/>
      <c r="N535" s="215"/>
      <c r="O535" s="215"/>
      <c r="P535" s="215"/>
      <c r="Q535" s="215"/>
      <c r="R535" s="215"/>
      <c r="S535" s="356"/>
      <c r="T535" s="274">
        <f t="shared" si="238"/>
        <v>0</v>
      </c>
      <c r="U535" s="274"/>
      <c r="V535" s="217" t="str">
        <f t="shared" si="225"/>
        <v>Rp</v>
      </c>
      <c r="W535" s="266" t="str">
        <f>IFERROR(#REF!," ")</f>
        <v xml:space="preserve"> </v>
      </c>
      <c r="X535" s="217" t="str">
        <f t="shared" si="227"/>
        <v>Rp</v>
      </c>
      <c r="Y535" s="266" t="str">
        <f>IFERROR(#REF!," ")</f>
        <v xml:space="preserve"> </v>
      </c>
      <c r="Z535" s="217" t="e">
        <f t="shared" si="229"/>
        <v>#VALUE!</v>
      </c>
      <c r="AA535" s="219" t="e">
        <f t="shared" si="230"/>
        <v>#VALUE!</v>
      </c>
      <c r="AB535" s="222" t="e">
        <f>IF(AA535&gt;0,AB533+2,IF(AA535=0," "))</f>
        <v>#VALUE!</v>
      </c>
      <c r="AC535" s="221"/>
      <c r="AE535" s="211"/>
      <c r="AF535" s="211"/>
      <c r="AI535" s="211" t="b">
        <f t="shared" si="231"/>
        <v>0</v>
      </c>
      <c r="AJ535" s="211" t="b">
        <f t="shared" si="232"/>
        <v>0</v>
      </c>
      <c r="AK535" s="211" t="b">
        <f t="shared" si="233"/>
        <v>0</v>
      </c>
      <c r="AL535" s="211" t="b">
        <f t="shared" si="234"/>
        <v>0</v>
      </c>
      <c r="AM535" s="211" t="b">
        <f t="shared" si="235"/>
        <v>0</v>
      </c>
      <c r="AN535" s="211" t="b">
        <f t="shared" si="236"/>
        <v>0</v>
      </c>
      <c r="AO535" s="211" t="b">
        <f t="shared" si="237"/>
        <v>0</v>
      </c>
    </row>
    <row r="536" spans="1:41" ht="24.95" customHeight="1" x14ac:dyDescent="0.2">
      <c r="B536" s="212">
        <f t="shared" si="239"/>
        <v>18</v>
      </c>
      <c r="C536" s="264" t="str">
        <f>IFERROR(#REF!," ")</f>
        <v xml:space="preserve"> </v>
      </c>
      <c r="D536" s="213"/>
      <c r="E536" s="265" t="str">
        <f>IFERROR(#REF!," ")</f>
        <v xml:space="preserve"> </v>
      </c>
      <c r="F536" s="357"/>
      <c r="G536" s="357"/>
      <c r="H536" s="358"/>
      <c r="I536" s="358"/>
      <c r="J536" s="359"/>
      <c r="K536" s="359"/>
      <c r="L536" s="359"/>
      <c r="M536" s="359"/>
      <c r="N536" s="360"/>
      <c r="O536" s="360"/>
      <c r="P536" s="360"/>
      <c r="Q536" s="360"/>
      <c r="R536" s="360"/>
      <c r="S536" s="361"/>
      <c r="T536" s="274">
        <f t="shared" si="238"/>
        <v>0</v>
      </c>
      <c r="U536" s="274"/>
      <c r="V536" s="217" t="str">
        <f t="shared" si="225"/>
        <v>Rp</v>
      </c>
      <c r="W536" s="266" t="str">
        <f>IFERROR(#REF!," ")</f>
        <v xml:space="preserve"> </v>
      </c>
      <c r="X536" s="217" t="str">
        <f t="shared" si="227"/>
        <v>Rp</v>
      </c>
      <c r="Y536" s="266" t="str">
        <f>IFERROR(#REF!," ")</f>
        <v xml:space="preserve"> </v>
      </c>
      <c r="Z536" s="217" t="e">
        <f t="shared" si="229"/>
        <v>#VALUE!</v>
      </c>
      <c r="AA536" s="219" t="e">
        <f t="shared" si="230"/>
        <v>#VALUE!</v>
      </c>
      <c r="AB536" s="222"/>
      <c r="AC536" s="223" t="e">
        <f>IF(AA536&gt;0,AC534+2,IF(AD536=0," "))</f>
        <v>#VALUE!</v>
      </c>
      <c r="AE536" s="211"/>
      <c r="AF536" s="211"/>
      <c r="AI536" s="211" t="b">
        <f t="shared" si="231"/>
        <v>0</v>
      </c>
      <c r="AJ536" s="211" t="b">
        <f t="shared" si="232"/>
        <v>0</v>
      </c>
      <c r="AK536" s="211" t="b">
        <f t="shared" si="233"/>
        <v>0</v>
      </c>
      <c r="AL536" s="211" t="b">
        <f t="shared" si="234"/>
        <v>0</v>
      </c>
      <c r="AM536" s="211" t="b">
        <f t="shared" si="235"/>
        <v>0</v>
      </c>
      <c r="AN536" s="211" t="b">
        <f t="shared" si="236"/>
        <v>0</v>
      </c>
      <c r="AO536" s="211" t="b">
        <f t="shared" si="237"/>
        <v>0</v>
      </c>
    </row>
    <row r="537" spans="1:41" ht="24.95" customHeight="1" x14ac:dyDescent="0.2">
      <c r="B537" s="212">
        <f t="shared" si="239"/>
        <v>19</v>
      </c>
      <c r="C537" s="264" t="str">
        <f>IFERROR(#REF!," ")</f>
        <v xml:space="preserve"> </v>
      </c>
      <c r="D537" s="213"/>
      <c r="E537" s="265" t="str">
        <f>IFERROR(#REF!," ")</f>
        <v xml:space="preserve"> </v>
      </c>
      <c r="F537" s="357"/>
      <c r="G537" s="357"/>
      <c r="H537" s="358"/>
      <c r="I537" s="358"/>
      <c r="J537" s="359"/>
      <c r="K537" s="359"/>
      <c r="L537" s="359"/>
      <c r="M537" s="359"/>
      <c r="N537" s="360"/>
      <c r="O537" s="360"/>
      <c r="P537" s="360"/>
      <c r="Q537" s="360"/>
      <c r="R537" s="360"/>
      <c r="S537" s="361"/>
      <c r="T537" s="274">
        <f t="shared" si="238"/>
        <v>0</v>
      </c>
      <c r="U537" s="274"/>
      <c r="V537" s="217" t="str">
        <f t="shared" si="225"/>
        <v>Rp</v>
      </c>
      <c r="W537" s="266" t="str">
        <f>IFERROR(#REF!," ")</f>
        <v xml:space="preserve"> </v>
      </c>
      <c r="X537" s="217" t="str">
        <f t="shared" si="227"/>
        <v>Rp</v>
      </c>
      <c r="Y537" s="266" t="str">
        <f>IFERROR(#REF!," ")</f>
        <v xml:space="preserve"> </v>
      </c>
      <c r="Z537" s="217" t="e">
        <f t="shared" si="229"/>
        <v>#VALUE!</v>
      </c>
      <c r="AA537" s="219" t="e">
        <f t="shared" si="230"/>
        <v>#VALUE!</v>
      </c>
      <c r="AB537" s="222" t="e">
        <f>IF(AA537&gt;0,AB535+2,IF(AA537=0," "))</f>
        <v>#VALUE!</v>
      </c>
      <c r="AC537" s="221"/>
      <c r="AE537" s="211"/>
      <c r="AF537" s="211"/>
      <c r="AI537" s="211" t="b">
        <f t="shared" si="231"/>
        <v>0</v>
      </c>
      <c r="AJ537" s="211" t="b">
        <f t="shared" si="232"/>
        <v>0</v>
      </c>
      <c r="AK537" s="211" t="b">
        <f t="shared" si="233"/>
        <v>0</v>
      </c>
      <c r="AL537" s="211" t="b">
        <f t="shared" si="234"/>
        <v>0</v>
      </c>
      <c r="AM537" s="211" t="b">
        <f t="shared" si="235"/>
        <v>0</v>
      </c>
      <c r="AN537" s="211" t="b">
        <f t="shared" si="236"/>
        <v>0</v>
      </c>
      <c r="AO537" s="211" t="b">
        <f t="shared" si="237"/>
        <v>0</v>
      </c>
    </row>
    <row r="538" spans="1:41" ht="24.95" customHeight="1" x14ac:dyDescent="0.2">
      <c r="B538" s="212">
        <f t="shared" si="239"/>
        <v>20</v>
      </c>
      <c r="C538" s="264" t="str">
        <f>IFERROR(#REF!," ")</f>
        <v xml:space="preserve"> </v>
      </c>
      <c r="D538" s="213"/>
      <c r="E538" s="265" t="str">
        <f>IFERROR(#REF!," ")</f>
        <v xml:space="preserve"> </v>
      </c>
      <c r="F538" s="357"/>
      <c r="G538" s="357"/>
      <c r="H538" s="358"/>
      <c r="I538" s="358"/>
      <c r="J538" s="359"/>
      <c r="K538" s="359"/>
      <c r="L538" s="359"/>
      <c r="M538" s="359"/>
      <c r="N538" s="360"/>
      <c r="O538" s="360"/>
      <c r="P538" s="360"/>
      <c r="Q538" s="360"/>
      <c r="R538" s="360"/>
      <c r="S538" s="361"/>
      <c r="T538" s="274">
        <f t="shared" si="238"/>
        <v>0</v>
      </c>
      <c r="U538" s="274"/>
      <c r="V538" s="217" t="str">
        <f t="shared" si="225"/>
        <v>Rp</v>
      </c>
      <c r="W538" s="266" t="str">
        <f>IFERROR(#REF!," ")</f>
        <v xml:space="preserve"> </v>
      </c>
      <c r="X538" s="217" t="str">
        <f t="shared" si="227"/>
        <v>Rp</v>
      </c>
      <c r="Y538" s="266" t="str">
        <f>IFERROR(#REF!," ")</f>
        <v xml:space="preserve"> </v>
      </c>
      <c r="Z538" s="217" t="e">
        <f t="shared" si="229"/>
        <v>#VALUE!</v>
      </c>
      <c r="AA538" s="219" t="e">
        <f t="shared" si="230"/>
        <v>#VALUE!</v>
      </c>
      <c r="AB538" s="222"/>
      <c r="AC538" s="223" t="e">
        <f>IF(AA538&gt;0,AC536+2,IF(AD538=0," "))</f>
        <v>#VALUE!</v>
      </c>
      <c r="AE538" s="211"/>
      <c r="AF538" s="211"/>
      <c r="AI538" s="211" t="b">
        <f t="shared" si="231"/>
        <v>0</v>
      </c>
      <c r="AJ538" s="211" t="b">
        <f t="shared" si="232"/>
        <v>0</v>
      </c>
      <c r="AK538" s="211" t="b">
        <f t="shared" si="233"/>
        <v>0</v>
      </c>
      <c r="AL538" s="211" t="b">
        <f t="shared" si="234"/>
        <v>0</v>
      </c>
      <c r="AM538" s="211" t="b">
        <f t="shared" si="235"/>
        <v>0</v>
      </c>
      <c r="AN538" s="211" t="b">
        <f t="shared" si="236"/>
        <v>0</v>
      </c>
      <c r="AO538" s="211" t="b">
        <f t="shared" si="237"/>
        <v>0</v>
      </c>
    </row>
    <row r="539" spans="1:41" ht="24.95" customHeight="1" thickBot="1" x14ac:dyDescent="0.25">
      <c r="B539" s="233"/>
      <c r="C539" s="257"/>
      <c r="D539" s="235"/>
      <c r="E539" s="236"/>
      <c r="F539" s="237"/>
      <c r="G539" s="237"/>
      <c r="H539" s="238"/>
      <c r="I539" s="238"/>
      <c r="J539" s="239"/>
      <c r="K539" s="239"/>
      <c r="L539" s="239"/>
      <c r="M539" s="239"/>
      <c r="N539" s="240"/>
      <c r="O539" s="240"/>
      <c r="P539" s="240"/>
      <c r="Q539" s="240"/>
      <c r="R539" s="240"/>
      <c r="S539" s="353"/>
      <c r="T539" s="259"/>
      <c r="U539" s="259"/>
      <c r="V539" s="242"/>
      <c r="W539" s="258"/>
      <c r="X539" s="242"/>
      <c r="Y539" s="258"/>
      <c r="Z539" s="244"/>
      <c r="AA539" s="236"/>
      <c r="AB539" s="246"/>
      <c r="AC539" s="247"/>
      <c r="AE539" s="211"/>
      <c r="AF539" s="211"/>
    </row>
    <row r="540" spans="1:41" ht="20.100000000000001" customHeight="1" thickTop="1" thickBot="1" x14ac:dyDescent="0.3">
      <c r="A540" s="179">
        <f>A493+1</f>
        <v>14</v>
      </c>
      <c r="B540" s="248"/>
      <c r="C540" s="249"/>
      <c r="D540" s="249"/>
      <c r="E540" s="249"/>
      <c r="F540" s="249"/>
      <c r="G540" s="249"/>
      <c r="H540" s="249"/>
      <c r="I540" s="249"/>
      <c r="J540" s="249"/>
      <c r="K540" s="249"/>
      <c r="L540" s="249"/>
      <c r="M540" s="249"/>
      <c r="N540" s="249"/>
      <c r="O540" s="249"/>
      <c r="P540" s="249"/>
      <c r="Q540" s="249"/>
      <c r="R540" s="249"/>
      <c r="S540" s="249"/>
      <c r="T540" s="249"/>
      <c r="U540" s="249"/>
      <c r="V540" s="249"/>
      <c r="W540" s="250" t="s">
        <v>40</v>
      </c>
      <c r="X540" s="249"/>
      <c r="Y540" s="250" t="s">
        <v>40</v>
      </c>
      <c r="Z540" s="249"/>
      <c r="AA540" s="710" t="e">
        <f>SUM(AA519:AA539)</f>
        <v>#VALUE!</v>
      </c>
      <c r="AB540" s="711"/>
      <c r="AC540" s="712"/>
      <c r="AE540" s="226" t="str">
        <f>VLOOKUP(A540,'Rekap Gaji'!$B$12:$P$32,10,FALSE)</f>
        <v xml:space="preserve"> 31 Oktober 2025</v>
      </c>
      <c r="AF540" s="251" t="e">
        <f>AE540-AA540</f>
        <v>#VALUE!</v>
      </c>
    </row>
    <row r="541" spans="1:41" ht="11.25" customHeight="1" x14ac:dyDescent="0.25"/>
    <row r="542" spans="1:41" ht="16.5" customHeight="1" x14ac:dyDescent="0.25">
      <c r="B542" s="195" t="s">
        <v>41</v>
      </c>
      <c r="C542" s="140" t="s">
        <v>42</v>
      </c>
    </row>
    <row r="543" spans="1:41" ht="14.25" x14ac:dyDescent="0.25">
      <c r="H543" s="183"/>
      <c r="I543" s="183"/>
      <c r="J543" s="182"/>
      <c r="K543" s="182"/>
      <c r="T543" s="141"/>
      <c r="U543" s="141"/>
      <c r="V543" s="141"/>
      <c r="X543" s="141"/>
      <c r="AA543" s="140" t="str">
        <f>'BKU 1'!$I$25</f>
        <v>NGANTANG</v>
      </c>
      <c r="AB543" s="713">
        <f>IFERROR(VLOOKUP(E513,'Rekap Gaji'!$B$12:$P$32,7,FALSE),"-")</f>
        <v>45961</v>
      </c>
      <c r="AC543" s="713"/>
      <c r="AD543" s="252"/>
      <c r="AE543" s="252"/>
    </row>
    <row r="544" spans="1:41" ht="15.75" x14ac:dyDescent="0.25">
      <c r="C544" s="140" t="s">
        <v>43</v>
      </c>
      <c r="F544" s="253"/>
      <c r="G544" s="253"/>
      <c r="H544" s="254"/>
      <c r="I544" s="254"/>
      <c r="J544" s="255"/>
      <c r="K544" s="255"/>
      <c r="L544" s="256"/>
      <c r="M544" s="256"/>
      <c r="N544" s="225" t="s">
        <v>44</v>
      </c>
      <c r="O544" s="225"/>
      <c r="P544" s="253"/>
      <c r="Q544" s="253"/>
      <c r="T544" s="141"/>
      <c r="U544" s="141"/>
      <c r="V544" s="141"/>
      <c r="X544" s="141"/>
      <c r="AA544" s="140" t="str">
        <f>'BKU 1'!$L$354</f>
        <v>Dibuat Oleh ;</v>
      </c>
      <c r="AB544" s="141"/>
    </row>
    <row r="545" spans="1:32" ht="14.25" x14ac:dyDescent="0.25">
      <c r="C545" s="140" t="str">
        <f>'BKU 1'!$C$355</f>
        <v>Kepala Sekolah SDN 1 SIDODADI</v>
      </c>
      <c r="F545" s="187"/>
      <c r="G545" s="187"/>
      <c r="H545" s="224"/>
      <c r="I545" s="224"/>
      <c r="J545" s="182"/>
      <c r="K545" s="182"/>
      <c r="L545" s="183"/>
      <c r="M545" s="183"/>
      <c r="N545" s="140" t="s">
        <v>45</v>
      </c>
      <c r="P545" s="187"/>
      <c r="Q545" s="187"/>
      <c r="AA545" s="140" t="str">
        <f>'BKU 1'!$L$355</f>
        <v>Bendahara Pembangunan</v>
      </c>
      <c r="AB545" s="141"/>
    </row>
    <row r="546" spans="1:32" ht="14.25" x14ac:dyDescent="0.25">
      <c r="F546" s="187"/>
      <c r="G546" s="187"/>
      <c r="H546" s="224"/>
      <c r="I546" s="224"/>
      <c r="J546" s="182"/>
      <c r="K546" s="182"/>
      <c r="L546" s="183"/>
      <c r="M546" s="183"/>
      <c r="P546" s="187"/>
      <c r="Q546" s="187"/>
      <c r="AA546" s="140"/>
      <c r="AB546" s="141"/>
    </row>
    <row r="547" spans="1:32" ht="14.25" x14ac:dyDescent="0.25">
      <c r="F547" s="187"/>
      <c r="G547" s="187"/>
      <c r="H547" s="224"/>
      <c r="I547" s="224"/>
      <c r="J547" s="182"/>
      <c r="K547" s="182"/>
      <c r="L547" s="183"/>
      <c r="M547" s="183"/>
      <c r="P547" s="187"/>
      <c r="Q547" s="187"/>
      <c r="AA547" s="140"/>
      <c r="AB547" s="141"/>
    </row>
    <row r="548" spans="1:32" ht="14.25" x14ac:dyDescent="0.25">
      <c r="F548" s="187"/>
      <c r="G548" s="187"/>
      <c r="H548" s="224"/>
      <c r="I548" s="224"/>
      <c r="J548" s="182"/>
      <c r="K548" s="182"/>
      <c r="L548" s="183"/>
      <c r="M548" s="183"/>
      <c r="P548" s="187"/>
      <c r="Q548" s="187"/>
      <c r="AA548" s="140"/>
      <c r="AB548" s="141"/>
    </row>
    <row r="549" spans="1:32" ht="14.25" x14ac:dyDescent="0.25">
      <c r="F549" s="187"/>
      <c r="G549" s="187"/>
      <c r="H549" s="224"/>
      <c r="I549" s="224"/>
      <c r="J549" s="182"/>
      <c r="K549" s="182"/>
      <c r="L549" s="183"/>
      <c r="M549" s="183"/>
      <c r="P549" s="187"/>
      <c r="Q549" s="187"/>
      <c r="AA549" s="140"/>
      <c r="AB549" s="141"/>
    </row>
    <row r="550" spans="1:32" x14ac:dyDescent="0.25">
      <c r="H550" s="225"/>
      <c r="I550" s="225"/>
      <c r="AA550" s="140"/>
    </row>
    <row r="551" spans="1:32" x14ac:dyDescent="0.25">
      <c r="H551" s="225"/>
      <c r="I551" s="225"/>
      <c r="AA551" s="140"/>
    </row>
    <row r="552" spans="1:32" s="189" customFormat="1" ht="15" customHeight="1" x14ac:dyDescent="0.25">
      <c r="A552" s="192"/>
      <c r="B552" s="195"/>
      <c r="C552" s="227" t="str">
        <f>'BKU 1'!$C$360</f>
        <v>MELIA FITRIANI, S.Pd.SD</v>
      </c>
      <c r="D552" s="227"/>
      <c r="H552" s="228"/>
      <c r="I552" s="228"/>
      <c r="J552" s="195"/>
      <c r="K552" s="195"/>
      <c r="L552" s="194"/>
      <c r="M552" s="194"/>
      <c r="N552" s="229">
        <f>'BKU 1'!$G$361</f>
        <v>0</v>
      </c>
      <c r="O552" s="229"/>
      <c r="AA552" s="227" t="str">
        <f>'BKU 1'!$L$360</f>
        <v>ARIF NUR UDIN, S.Pd.SD</v>
      </c>
      <c r="AC552" s="230"/>
      <c r="AE552" s="231"/>
      <c r="AF552" s="231"/>
    </row>
    <row r="553" spans="1:32" s="189" customFormat="1" ht="15" customHeight="1" x14ac:dyDescent="0.25">
      <c r="A553" s="192"/>
      <c r="B553" s="195"/>
      <c r="C553" s="140" t="str">
        <f>'BKU 1'!$C$361</f>
        <v>NIP. 19850619 200904 2 000</v>
      </c>
      <c r="D553" s="140"/>
      <c r="E553" s="140"/>
      <c r="F553" s="140"/>
      <c r="G553" s="140"/>
      <c r="H553" s="225"/>
      <c r="I553" s="225"/>
      <c r="J553" s="191"/>
      <c r="K553" s="191"/>
      <c r="L553" s="190"/>
      <c r="M553" s="190"/>
      <c r="N553" s="232">
        <f>'BKU 1'!$G$361</f>
        <v>0</v>
      </c>
      <c r="O553" s="232"/>
      <c r="P553" s="140"/>
      <c r="Q553" s="140"/>
      <c r="T553" s="140"/>
      <c r="U553" s="140"/>
      <c r="V553" s="140"/>
      <c r="W553" s="140"/>
      <c r="X553" s="140"/>
      <c r="Y553" s="140"/>
      <c r="Z553" s="140"/>
      <c r="AA553" s="140" t="str">
        <f>'BKU 1'!$L$361</f>
        <v>NIP. 19840719 200903 1 002</v>
      </c>
      <c r="AC553" s="230"/>
      <c r="AE553" s="231"/>
      <c r="AF553" s="231"/>
    </row>
    <row r="554" spans="1:32" ht="6" customHeight="1" x14ac:dyDescent="0.25"/>
    <row r="555" spans="1:32" s="177" customFormat="1" ht="24.95" customHeight="1" x14ac:dyDescent="0.25">
      <c r="A555" s="176"/>
      <c r="B555" s="726" t="s">
        <v>6</v>
      </c>
      <c r="C555" s="726"/>
      <c r="D555" s="726"/>
      <c r="E555" s="726"/>
      <c r="F555" s="726"/>
      <c r="G555" s="726"/>
      <c r="H555" s="726"/>
      <c r="I555" s="726"/>
      <c r="J555" s="726"/>
      <c r="K555" s="726"/>
      <c r="L555" s="726"/>
      <c r="M555" s="726"/>
      <c r="N555" s="726"/>
      <c r="O555" s="726"/>
      <c r="P555" s="726"/>
      <c r="Q555" s="726"/>
      <c r="R555" s="726"/>
      <c r="S555" s="726"/>
      <c r="T555" s="726"/>
      <c r="U555" s="726"/>
      <c r="V555" s="726"/>
      <c r="W555" s="726"/>
      <c r="X555" s="726"/>
      <c r="Y555" s="726"/>
      <c r="Z555" s="726"/>
      <c r="AA555" s="726"/>
      <c r="AB555" s="726"/>
      <c r="AC555" s="726"/>
      <c r="AE555" s="178"/>
      <c r="AF555" s="178"/>
    </row>
    <row r="556" spans="1:32" s="177" customFormat="1" ht="24.95" customHeight="1" x14ac:dyDescent="0.25">
      <c r="A556" s="176"/>
      <c r="B556" s="726" t="str">
        <f>'BKU 1'!$D$22</f>
        <v>PEMBANGUNAN TOILET BESERTA SANITASINYA</v>
      </c>
      <c r="C556" s="726"/>
      <c r="D556" s="726"/>
      <c r="E556" s="726"/>
      <c r="F556" s="726"/>
      <c r="G556" s="726"/>
      <c r="H556" s="726"/>
      <c r="I556" s="726"/>
      <c r="J556" s="726"/>
      <c r="K556" s="726"/>
      <c r="L556" s="726"/>
      <c r="M556" s="726"/>
      <c r="N556" s="726"/>
      <c r="O556" s="726"/>
      <c r="P556" s="726"/>
      <c r="Q556" s="726"/>
      <c r="R556" s="726"/>
      <c r="S556" s="726"/>
      <c r="T556" s="726"/>
      <c r="U556" s="726"/>
      <c r="V556" s="726"/>
      <c r="W556" s="726"/>
      <c r="X556" s="726"/>
      <c r="Y556" s="726"/>
      <c r="Z556" s="726"/>
      <c r="AA556" s="726"/>
      <c r="AB556" s="726"/>
      <c r="AC556" s="726"/>
      <c r="AE556" s="178"/>
      <c r="AF556" s="178"/>
    </row>
    <row r="557" spans="1:32" s="184" customFormat="1" ht="30.75" customHeight="1" x14ac:dyDescent="0.25">
      <c r="A557" s="179"/>
      <c r="B557" s="180"/>
      <c r="C557" s="181"/>
      <c r="D557" s="181"/>
      <c r="E557" s="181"/>
      <c r="F557" s="182"/>
      <c r="G557" s="182"/>
      <c r="H557" s="183"/>
      <c r="I557" s="183"/>
      <c r="J557" s="182"/>
      <c r="K557" s="182"/>
      <c r="L557" s="183"/>
      <c r="M557" s="183"/>
      <c r="N557" s="182"/>
      <c r="O557" s="182"/>
      <c r="P557" s="182"/>
      <c r="Q557" s="182"/>
      <c r="R557" s="182"/>
      <c r="S557" s="182"/>
      <c r="T557" s="181"/>
      <c r="U557" s="181"/>
      <c r="V557" s="181"/>
      <c r="X557" s="181"/>
      <c r="AA557" s="180"/>
      <c r="AB557" s="140"/>
      <c r="AC557" s="185"/>
      <c r="AE557" s="186"/>
      <c r="AF557" s="186"/>
    </row>
    <row r="558" spans="1:32" s="184" customFormat="1" ht="14.25" x14ac:dyDescent="0.25">
      <c r="A558" s="179"/>
      <c r="B558" s="185" t="s">
        <v>7</v>
      </c>
      <c r="D558" s="184" t="s">
        <v>49</v>
      </c>
      <c r="E558" s="184" t="str">
        <f>'BKU 1'!$D$25</f>
        <v>SDN 1 SIDODADI</v>
      </c>
      <c r="F558" s="140"/>
      <c r="G558" s="140"/>
      <c r="H558" s="183"/>
      <c r="I558" s="183"/>
      <c r="J558" s="182"/>
      <c r="K558" s="182"/>
      <c r="L558" s="183"/>
      <c r="M558" s="183"/>
      <c r="N558" s="187"/>
      <c r="O558" s="187"/>
      <c r="P558" s="187"/>
      <c r="Q558" s="187"/>
      <c r="R558" s="187"/>
      <c r="S558" s="187"/>
      <c r="T558" s="188"/>
      <c r="U558" s="188"/>
      <c r="V558" s="188"/>
      <c r="X558" s="188"/>
      <c r="AA558" s="180"/>
      <c r="AB558" s="189" t="s">
        <v>8</v>
      </c>
      <c r="AC558" s="185"/>
      <c r="AE558" s="186"/>
      <c r="AF558" s="186"/>
    </row>
    <row r="559" spans="1:32" s="184" customFormat="1" x14ac:dyDescent="0.25">
      <c r="A559" s="179"/>
      <c r="B559" s="185" t="s">
        <v>9</v>
      </c>
      <c r="D559" s="184" t="s">
        <v>49</v>
      </c>
      <c r="E559" s="184" t="str">
        <f>'BKU 1'!$D$26</f>
        <v>Jl. Kawi No.36 Rt. 1 Rw. 1 Dusun Sekar, Rt / Rw : 1 / 1, Dusun : Sekar, Kelurahan : Sidodadi</v>
      </c>
      <c r="F559" s="140"/>
      <c r="G559" s="140"/>
      <c r="H559" s="190"/>
      <c r="I559" s="190"/>
      <c r="J559" s="191"/>
      <c r="K559" s="191"/>
      <c r="L559" s="190"/>
      <c r="M559" s="190"/>
      <c r="N559" s="140"/>
      <c r="O559" s="140"/>
      <c r="P559" s="140"/>
      <c r="Q559" s="140"/>
      <c r="R559" s="140"/>
      <c r="S559" s="140"/>
      <c r="AA559" s="180"/>
      <c r="AB559" s="140" t="s">
        <v>10</v>
      </c>
      <c r="AC559" s="185" t="s">
        <v>11</v>
      </c>
      <c r="AE559" s="186"/>
      <c r="AF559" s="186"/>
    </row>
    <row r="560" spans="1:32" s="184" customFormat="1" x14ac:dyDescent="0.25">
      <c r="A560" s="179"/>
      <c r="B560" s="185" t="s">
        <v>12</v>
      </c>
      <c r="D560" s="184" t="s">
        <v>49</v>
      </c>
      <c r="E560" s="180">
        <f>E513+1</f>
        <v>15</v>
      </c>
      <c r="F560" s="140"/>
      <c r="G560" s="140"/>
      <c r="H560" s="727" t="str">
        <f>IFERROR(VLOOKUP(E560,'Rekap Gaji'!$B$12:$P$32,14,FALSE),"-")</f>
        <v>-</v>
      </c>
      <c r="I560" s="727"/>
      <c r="J560" s="727"/>
      <c r="K560" s="727"/>
      <c r="L560" s="727"/>
      <c r="M560" s="191"/>
      <c r="N560" s="140"/>
      <c r="O560" s="140"/>
      <c r="P560" s="140"/>
      <c r="Q560" s="140"/>
      <c r="R560" s="140"/>
      <c r="S560" s="140"/>
      <c r="AA560" s="180"/>
      <c r="AB560" s="140" t="s">
        <v>13</v>
      </c>
      <c r="AC560" s="185" t="s">
        <v>14</v>
      </c>
      <c r="AE560" s="186"/>
      <c r="AF560" s="186"/>
    </row>
    <row r="561" spans="1:41" s="184" customFormat="1" ht="15" customHeight="1" x14ac:dyDescent="0.25">
      <c r="A561" s="179"/>
      <c r="B561" s="185" t="s">
        <v>0</v>
      </c>
      <c r="D561" s="184" t="s">
        <v>49</v>
      </c>
      <c r="E561" s="728" t="str">
        <f>IFERROR(VLOOKUP(E560,'Rekap Gaji'!$B$12:$P$32,4,FALSE),"-")</f>
        <v>-</v>
      </c>
      <c r="F561" s="728"/>
      <c r="G561" s="728"/>
      <c r="H561" s="728"/>
      <c r="I561" s="728"/>
      <c r="J561" s="728"/>
      <c r="K561" s="339"/>
      <c r="L561" s="727" t="s">
        <v>76</v>
      </c>
      <c r="M561" s="727"/>
      <c r="N561" s="727"/>
      <c r="O561" s="191"/>
      <c r="P561" s="728" t="str">
        <f>IFERROR(VLOOKUP(E560,'Rekap Gaji'!$B$12:$P$32,6,FALSE),"-")</f>
        <v>-</v>
      </c>
      <c r="Q561" s="728"/>
      <c r="R561" s="728"/>
      <c r="S561" s="728"/>
      <c r="T561" s="728"/>
      <c r="U561" s="728"/>
      <c r="V561" s="728"/>
      <c r="AA561" s="180"/>
      <c r="AB561" s="140" t="s">
        <v>15</v>
      </c>
      <c r="AC561" s="185" t="s">
        <v>16</v>
      </c>
      <c r="AE561" s="186"/>
      <c r="AF561" s="186"/>
    </row>
    <row r="562" spans="1:41" s="188" customFormat="1" ht="8.1" customHeight="1" thickBot="1" x14ac:dyDescent="0.3">
      <c r="A562" s="192"/>
      <c r="B562" s="193"/>
      <c r="F562" s="189"/>
      <c r="G562" s="189"/>
      <c r="H562" s="194"/>
      <c r="I562" s="194"/>
      <c r="J562" s="195"/>
      <c r="K562" s="195"/>
      <c r="L562" s="194"/>
      <c r="M562" s="194"/>
      <c r="N562" s="189"/>
      <c r="O562" s="189"/>
      <c r="P562" s="189"/>
      <c r="Q562" s="189"/>
      <c r="R562" s="189"/>
      <c r="S562" s="189"/>
      <c r="AA562" s="193"/>
      <c r="AB562" s="189"/>
      <c r="AC562" s="196"/>
      <c r="AE562" s="197"/>
      <c r="AF562" s="197"/>
    </row>
    <row r="563" spans="1:41" ht="15" customHeight="1" x14ac:dyDescent="0.25">
      <c r="B563" s="729" t="s">
        <v>17</v>
      </c>
      <c r="C563" s="717" t="s">
        <v>18</v>
      </c>
      <c r="D563" s="732"/>
      <c r="E563" s="268" t="s">
        <v>19</v>
      </c>
      <c r="F563" s="717" t="s">
        <v>20</v>
      </c>
      <c r="G563" s="734"/>
      <c r="H563" s="734"/>
      <c r="I563" s="734"/>
      <c r="J563" s="734"/>
      <c r="K563" s="734"/>
      <c r="L563" s="734"/>
      <c r="M563" s="734"/>
      <c r="N563" s="734"/>
      <c r="O563" s="734"/>
      <c r="P563" s="734"/>
      <c r="Q563" s="734"/>
      <c r="R563" s="732"/>
      <c r="S563" s="337"/>
      <c r="T563" s="267" t="s">
        <v>2</v>
      </c>
      <c r="U563" s="267"/>
      <c r="V563" s="717" t="s">
        <v>21</v>
      </c>
      <c r="W563" s="732"/>
      <c r="X563" s="717" t="s">
        <v>21</v>
      </c>
      <c r="Y563" s="732"/>
      <c r="Z563" s="717" t="s">
        <v>22</v>
      </c>
      <c r="AA563" s="732"/>
      <c r="AB563" s="717" t="s">
        <v>23</v>
      </c>
      <c r="AC563" s="718"/>
    </row>
    <row r="564" spans="1:41" ht="15" customHeight="1" x14ac:dyDescent="0.25">
      <c r="B564" s="730"/>
      <c r="C564" s="719"/>
      <c r="D564" s="725"/>
      <c r="E564" s="270" t="s">
        <v>24</v>
      </c>
      <c r="F564" s="723" t="s">
        <v>25</v>
      </c>
      <c r="G564" s="338"/>
      <c r="H564" s="723" t="s">
        <v>26</v>
      </c>
      <c r="I564" s="338"/>
      <c r="J564" s="723" t="s">
        <v>26</v>
      </c>
      <c r="K564" s="338"/>
      <c r="L564" s="723" t="s">
        <v>27</v>
      </c>
      <c r="M564" s="338"/>
      <c r="N564" s="723" t="s">
        <v>28</v>
      </c>
      <c r="O564" s="338"/>
      <c r="P564" s="723" t="s">
        <v>29</v>
      </c>
      <c r="Q564" s="338"/>
      <c r="R564" s="723" t="s">
        <v>26</v>
      </c>
      <c r="S564" s="269"/>
      <c r="T564" s="269" t="s">
        <v>30</v>
      </c>
      <c r="U564" s="269"/>
      <c r="V564" s="719" t="s">
        <v>31</v>
      </c>
      <c r="W564" s="725"/>
      <c r="X564" s="719" t="s">
        <v>31</v>
      </c>
      <c r="Y564" s="725"/>
      <c r="Z564" s="719" t="s">
        <v>31</v>
      </c>
      <c r="AA564" s="725"/>
      <c r="AB564" s="719"/>
      <c r="AC564" s="720"/>
    </row>
    <row r="565" spans="1:41" ht="15" customHeight="1" thickBot="1" x14ac:dyDescent="0.3">
      <c r="B565" s="731"/>
      <c r="C565" s="721"/>
      <c r="D565" s="733"/>
      <c r="E565" s="272" t="s">
        <v>32</v>
      </c>
      <c r="F565" s="724"/>
      <c r="G565" s="272"/>
      <c r="H565" s="724"/>
      <c r="I565" s="272"/>
      <c r="J565" s="724"/>
      <c r="K565" s="272"/>
      <c r="L565" s="724"/>
      <c r="M565" s="272"/>
      <c r="N565" s="724"/>
      <c r="O565" s="272"/>
      <c r="P565" s="724"/>
      <c r="Q565" s="272"/>
      <c r="R565" s="724"/>
      <c r="S565" s="271"/>
      <c r="T565" s="271" t="s">
        <v>31</v>
      </c>
      <c r="U565" s="271"/>
      <c r="V565" s="721" t="s">
        <v>33</v>
      </c>
      <c r="W565" s="733"/>
      <c r="X565" s="721" t="s">
        <v>33</v>
      </c>
      <c r="Y565" s="733"/>
      <c r="Z565" s="721" t="s">
        <v>34</v>
      </c>
      <c r="AA565" s="733"/>
      <c r="AB565" s="721"/>
      <c r="AC565" s="722"/>
    </row>
    <row r="566" spans="1:41" ht="24.95" customHeight="1" x14ac:dyDescent="0.25">
      <c r="B566" s="201">
        <v>1</v>
      </c>
      <c r="C566" s="261" t="str">
        <f t="shared" ref="C566:C585" si="240">IFERROR(C519," ")</f>
        <v>KUSMAN H</v>
      </c>
      <c r="D566" s="203"/>
      <c r="E566" s="262" t="str">
        <f t="shared" ref="E566:E585" si="241">IFERROR(E519," ")</f>
        <v>A</v>
      </c>
      <c r="F566" s="215" t="s">
        <v>36</v>
      </c>
      <c r="G566" s="354"/>
      <c r="H566" s="205" t="s">
        <v>37</v>
      </c>
      <c r="I566" s="205"/>
      <c r="J566" s="205" t="s">
        <v>37</v>
      </c>
      <c r="K566" s="205"/>
      <c r="L566" s="205" t="s">
        <v>37</v>
      </c>
      <c r="M566" s="205"/>
      <c r="N566" s="205" t="s">
        <v>37</v>
      </c>
      <c r="O566" s="205"/>
      <c r="P566" s="205" t="s">
        <v>37</v>
      </c>
      <c r="Q566" s="205"/>
      <c r="R566" s="205" t="s">
        <v>37</v>
      </c>
      <c r="S566" s="355"/>
      <c r="T566" s="273">
        <f>SUM(AI566:AO566)</f>
        <v>6</v>
      </c>
      <c r="U566" s="273"/>
      <c r="V566" s="207" t="str">
        <f t="shared" ref="V566:V585" si="242">IF(W566&gt;0,"Rp",IF(W566=0," "))</f>
        <v>Rp</v>
      </c>
      <c r="W566" s="263">
        <f t="shared" ref="W566:Y581" si="243">IFERROR(W519," ")</f>
        <v>135000</v>
      </c>
      <c r="X566" s="207" t="str">
        <f t="shared" ref="X566:X585" si="244">IF(Y566&gt;0,"Rp",IF(Y566=0," "))</f>
        <v>Rp</v>
      </c>
      <c r="Y566" s="263">
        <f t="shared" si="243"/>
        <v>25000</v>
      </c>
      <c r="Z566" s="207" t="str">
        <f t="shared" ref="Z566:Z585" si="245">IF(AA566&gt;0,"Rp",IF(AA566=0," "))</f>
        <v>Rp</v>
      </c>
      <c r="AA566" s="208">
        <f t="shared" ref="AA566:AA585" si="246">W566*T566</f>
        <v>810000</v>
      </c>
      <c r="AB566" s="209">
        <f>IF(AA566&gt;0,1,IF(AA566=0," "))</f>
        <v>1</v>
      </c>
      <c r="AC566" s="210"/>
      <c r="AE566" s="260"/>
      <c r="AF566" s="140"/>
      <c r="AI566" s="211">
        <f t="shared" ref="AI566:AI585" si="247">IFERROR(IF(F566="V",1,IF(F566="X",0))," ")</f>
        <v>0</v>
      </c>
      <c r="AJ566" s="211">
        <f t="shared" ref="AJ566:AJ585" si="248">IFERROR(IF(H566="V",1,IF(H566="X",0))," ")</f>
        <v>1</v>
      </c>
      <c r="AK566" s="211">
        <f t="shared" ref="AK566:AK585" si="249">IFERROR(IF(J566="V",1,IF(J566="X",0))," ")</f>
        <v>1</v>
      </c>
      <c r="AL566" s="211">
        <f t="shared" ref="AL566:AL585" si="250">IFERROR(IF(L566="V",1,IF(L566="X",0))," ")</f>
        <v>1</v>
      </c>
      <c r="AM566" s="211">
        <f t="shared" ref="AM566:AM585" si="251">IFERROR(IF(N566="V",1,IF(N566="X",0))," ")</f>
        <v>1</v>
      </c>
      <c r="AN566" s="211">
        <f t="shared" ref="AN566:AN585" si="252">IFERROR(IF(P566="V",1,IF(P566="X",0))," ")</f>
        <v>1</v>
      </c>
      <c r="AO566" s="211">
        <f t="shared" ref="AO566:AO585" si="253">IFERROR(IF(R566="V",1,IF(R566="X",0))," ")</f>
        <v>1</v>
      </c>
    </row>
    <row r="567" spans="1:41" ht="24.95" customHeight="1" x14ac:dyDescent="0.25">
      <c r="B567" s="212">
        <f>B566+1</f>
        <v>2</v>
      </c>
      <c r="C567" s="264" t="str">
        <f t="shared" si="240"/>
        <v>BUSANI</v>
      </c>
      <c r="D567" s="213"/>
      <c r="E567" s="265" t="str">
        <f t="shared" si="241"/>
        <v>B</v>
      </c>
      <c r="F567" s="215" t="s">
        <v>36</v>
      </c>
      <c r="G567" s="215"/>
      <c r="H567" s="215" t="s">
        <v>37</v>
      </c>
      <c r="I567" s="215"/>
      <c r="J567" s="215" t="s">
        <v>37</v>
      </c>
      <c r="K567" s="215"/>
      <c r="L567" s="215" t="s">
        <v>37</v>
      </c>
      <c r="M567" s="215"/>
      <c r="N567" s="215" t="s">
        <v>37</v>
      </c>
      <c r="O567" s="215"/>
      <c r="P567" s="215" t="s">
        <v>37</v>
      </c>
      <c r="Q567" s="215"/>
      <c r="R567" s="215" t="s">
        <v>37</v>
      </c>
      <c r="S567" s="356"/>
      <c r="T567" s="274">
        <f t="shared" ref="T567:T585" si="254">SUM(AI567:AO567)</f>
        <v>6</v>
      </c>
      <c r="U567" s="274"/>
      <c r="V567" s="217" t="str">
        <f t="shared" si="242"/>
        <v>Rp</v>
      </c>
      <c r="W567" s="266">
        <f t="shared" si="243"/>
        <v>125000</v>
      </c>
      <c r="X567" s="217" t="str">
        <f t="shared" si="244"/>
        <v>Rp</v>
      </c>
      <c r="Y567" s="266">
        <f t="shared" si="243"/>
        <v>25000</v>
      </c>
      <c r="Z567" s="217" t="str">
        <f t="shared" si="245"/>
        <v>Rp</v>
      </c>
      <c r="AA567" s="219">
        <f t="shared" si="246"/>
        <v>750000</v>
      </c>
      <c r="AB567" s="220"/>
      <c r="AC567" s="221">
        <f>IF(AA567&gt;0,2,IF(AA566=0," "))</f>
        <v>2</v>
      </c>
      <c r="AE567" s="211"/>
      <c r="AF567" s="211"/>
      <c r="AI567" s="211">
        <f t="shared" si="247"/>
        <v>0</v>
      </c>
      <c r="AJ567" s="211">
        <f t="shared" si="248"/>
        <v>1</v>
      </c>
      <c r="AK567" s="211">
        <f t="shared" si="249"/>
        <v>1</v>
      </c>
      <c r="AL567" s="211">
        <f t="shared" si="250"/>
        <v>1</v>
      </c>
      <c r="AM567" s="211">
        <f t="shared" si="251"/>
        <v>1</v>
      </c>
      <c r="AN567" s="211">
        <f t="shared" si="252"/>
        <v>1</v>
      </c>
      <c r="AO567" s="211">
        <f t="shared" si="253"/>
        <v>1</v>
      </c>
    </row>
    <row r="568" spans="1:41" ht="24.95" customHeight="1" x14ac:dyDescent="0.25">
      <c r="B568" s="212">
        <f>B567+1</f>
        <v>3</v>
      </c>
      <c r="C568" s="264" t="str">
        <f t="shared" si="240"/>
        <v>LASMARI</v>
      </c>
      <c r="D568" s="213"/>
      <c r="E568" s="265" t="str">
        <f t="shared" si="241"/>
        <v>B</v>
      </c>
      <c r="F568" s="215" t="s">
        <v>36</v>
      </c>
      <c r="G568" s="215"/>
      <c r="H568" s="215" t="s">
        <v>37</v>
      </c>
      <c r="I568" s="215"/>
      <c r="J568" s="215" t="s">
        <v>37</v>
      </c>
      <c r="K568" s="215"/>
      <c r="L568" s="215" t="s">
        <v>37</v>
      </c>
      <c r="M568" s="215"/>
      <c r="N568" s="215" t="s">
        <v>37</v>
      </c>
      <c r="O568" s="215"/>
      <c r="P568" s="215" t="s">
        <v>37</v>
      </c>
      <c r="Q568" s="215"/>
      <c r="R568" s="215" t="s">
        <v>37</v>
      </c>
      <c r="S568" s="356"/>
      <c r="T568" s="274">
        <f t="shared" si="254"/>
        <v>6</v>
      </c>
      <c r="U568" s="274"/>
      <c r="V568" s="217" t="str">
        <f t="shared" si="242"/>
        <v>Rp</v>
      </c>
      <c r="W568" s="266">
        <f t="shared" si="243"/>
        <v>125000</v>
      </c>
      <c r="X568" s="217" t="str">
        <f t="shared" si="244"/>
        <v>Rp</v>
      </c>
      <c r="Y568" s="266">
        <f t="shared" si="243"/>
        <v>25000</v>
      </c>
      <c r="Z568" s="217" t="str">
        <f t="shared" si="245"/>
        <v>Rp</v>
      </c>
      <c r="AA568" s="219">
        <f t="shared" si="246"/>
        <v>750000</v>
      </c>
      <c r="AB568" s="222">
        <f>IF(AA568&gt;0,AB566+2,IF(AA568=0," "))</f>
        <v>3</v>
      </c>
      <c r="AC568" s="221"/>
      <c r="AE568" s="211"/>
      <c r="AF568" s="211"/>
      <c r="AI568" s="211">
        <f t="shared" si="247"/>
        <v>0</v>
      </c>
      <c r="AJ568" s="211">
        <f t="shared" si="248"/>
        <v>1</v>
      </c>
      <c r="AK568" s="211">
        <f t="shared" si="249"/>
        <v>1</v>
      </c>
      <c r="AL568" s="211">
        <f t="shared" si="250"/>
        <v>1</v>
      </c>
      <c r="AM568" s="211">
        <f t="shared" si="251"/>
        <v>1</v>
      </c>
      <c r="AN568" s="211">
        <f t="shared" si="252"/>
        <v>1</v>
      </c>
      <c r="AO568" s="211">
        <f t="shared" si="253"/>
        <v>1</v>
      </c>
    </row>
    <row r="569" spans="1:41" ht="24.95" customHeight="1" x14ac:dyDescent="0.25">
      <c r="B569" s="212">
        <f>B568+1</f>
        <v>4</v>
      </c>
      <c r="C569" s="264" t="str">
        <f t="shared" si="240"/>
        <v>SUMARTO</v>
      </c>
      <c r="D569" s="213"/>
      <c r="E569" s="265" t="str">
        <f t="shared" si="241"/>
        <v>B</v>
      </c>
      <c r="F569" s="215" t="s">
        <v>36</v>
      </c>
      <c r="G569" s="215"/>
      <c r="H569" s="215" t="s">
        <v>37</v>
      </c>
      <c r="I569" s="215"/>
      <c r="J569" s="215" t="s">
        <v>37</v>
      </c>
      <c r="K569" s="215"/>
      <c r="L569" s="215" t="s">
        <v>37</v>
      </c>
      <c r="M569" s="215"/>
      <c r="N569" s="215" t="s">
        <v>37</v>
      </c>
      <c r="O569" s="215"/>
      <c r="P569" s="215" t="s">
        <v>36</v>
      </c>
      <c r="Q569" s="215"/>
      <c r="R569" s="215" t="s">
        <v>37</v>
      </c>
      <c r="S569" s="356"/>
      <c r="T569" s="274">
        <f t="shared" si="254"/>
        <v>5</v>
      </c>
      <c r="U569" s="274"/>
      <c r="V569" s="217" t="str">
        <f t="shared" si="242"/>
        <v>Rp</v>
      </c>
      <c r="W569" s="266">
        <f t="shared" si="243"/>
        <v>125000</v>
      </c>
      <c r="X569" s="217" t="str">
        <f t="shared" si="244"/>
        <v>Rp</v>
      </c>
      <c r="Y569" s="266">
        <f t="shared" si="243"/>
        <v>25000</v>
      </c>
      <c r="Z569" s="217" t="str">
        <f t="shared" si="245"/>
        <v>Rp</v>
      </c>
      <c r="AA569" s="219">
        <f t="shared" si="246"/>
        <v>625000</v>
      </c>
      <c r="AB569" s="222"/>
      <c r="AC569" s="223">
        <f>IF(AA569&gt;0,AC567+2,IF(AD569=0," "))</f>
        <v>4</v>
      </c>
      <c r="AE569" s="211"/>
      <c r="AF569" s="211"/>
      <c r="AI569" s="211">
        <f t="shared" si="247"/>
        <v>0</v>
      </c>
      <c r="AJ569" s="211">
        <f t="shared" si="248"/>
        <v>1</v>
      </c>
      <c r="AK569" s="211">
        <f t="shared" si="249"/>
        <v>1</v>
      </c>
      <c r="AL569" s="211">
        <f t="shared" si="250"/>
        <v>1</v>
      </c>
      <c r="AM569" s="211">
        <f t="shared" si="251"/>
        <v>1</v>
      </c>
      <c r="AN569" s="211">
        <f t="shared" si="252"/>
        <v>0</v>
      </c>
      <c r="AO569" s="211">
        <f t="shared" si="253"/>
        <v>1</v>
      </c>
    </row>
    <row r="570" spans="1:41" ht="24.95" customHeight="1" x14ac:dyDescent="0.25">
      <c r="B570" s="212">
        <f t="shared" ref="B570:B585" si="255">B569+1</f>
        <v>5</v>
      </c>
      <c r="C570" s="264" t="str">
        <f t="shared" si="240"/>
        <v>TONI</v>
      </c>
      <c r="D570" s="213"/>
      <c r="E570" s="265" t="str">
        <f t="shared" si="241"/>
        <v>C</v>
      </c>
      <c r="F570" s="215" t="s">
        <v>36</v>
      </c>
      <c r="G570" s="215"/>
      <c r="H570" s="215" t="s">
        <v>37</v>
      </c>
      <c r="I570" s="215"/>
      <c r="J570" s="215" t="s">
        <v>37</v>
      </c>
      <c r="K570" s="215"/>
      <c r="L570" s="215" t="s">
        <v>37</v>
      </c>
      <c r="M570" s="215"/>
      <c r="N570" s="215" t="s">
        <v>36</v>
      </c>
      <c r="O570" s="215"/>
      <c r="P570" s="215" t="s">
        <v>37</v>
      </c>
      <c r="Q570" s="215"/>
      <c r="R570" s="215" t="s">
        <v>37</v>
      </c>
      <c r="S570" s="356"/>
      <c r="T570" s="274">
        <f t="shared" si="254"/>
        <v>5</v>
      </c>
      <c r="U570" s="274"/>
      <c r="V570" s="217" t="str">
        <f t="shared" si="242"/>
        <v>Rp</v>
      </c>
      <c r="W570" s="266">
        <f t="shared" si="243"/>
        <v>115000</v>
      </c>
      <c r="X570" s="217" t="str">
        <f t="shared" si="244"/>
        <v>Rp</v>
      </c>
      <c r="Y570" s="266">
        <f t="shared" si="243"/>
        <v>25000</v>
      </c>
      <c r="Z570" s="217" t="str">
        <f t="shared" si="245"/>
        <v>Rp</v>
      </c>
      <c r="AA570" s="219">
        <f t="shared" si="246"/>
        <v>575000</v>
      </c>
      <c r="AB570" s="222">
        <f>IF(AA570&gt;0,AB568+2,IF(AA570=0," "))</f>
        <v>5</v>
      </c>
      <c r="AC570" s="221"/>
      <c r="AE570" s="211"/>
      <c r="AF570" s="211"/>
      <c r="AI570" s="211">
        <f t="shared" si="247"/>
        <v>0</v>
      </c>
      <c r="AJ570" s="211">
        <f t="shared" si="248"/>
        <v>1</v>
      </c>
      <c r="AK570" s="211">
        <f t="shared" si="249"/>
        <v>1</v>
      </c>
      <c r="AL570" s="211">
        <f t="shared" si="250"/>
        <v>1</v>
      </c>
      <c r="AM570" s="211">
        <f t="shared" si="251"/>
        <v>0</v>
      </c>
      <c r="AN570" s="211">
        <f t="shared" si="252"/>
        <v>1</v>
      </c>
      <c r="AO570" s="211">
        <f t="shared" si="253"/>
        <v>1</v>
      </c>
    </row>
    <row r="571" spans="1:41" ht="24.95" customHeight="1" x14ac:dyDescent="0.25">
      <c r="B571" s="212">
        <f t="shared" si="255"/>
        <v>6</v>
      </c>
      <c r="C571" s="264" t="str">
        <f t="shared" si="240"/>
        <v>SAKIM</v>
      </c>
      <c r="D571" s="213"/>
      <c r="E571" s="265" t="str">
        <f t="shared" si="241"/>
        <v>C</v>
      </c>
      <c r="F571" s="215" t="s">
        <v>36</v>
      </c>
      <c r="G571" s="215"/>
      <c r="H571" s="215" t="s">
        <v>37</v>
      </c>
      <c r="I571" s="215"/>
      <c r="J571" s="215" t="s">
        <v>36</v>
      </c>
      <c r="K571" s="215"/>
      <c r="L571" s="215" t="s">
        <v>37</v>
      </c>
      <c r="M571" s="215"/>
      <c r="N571" s="215" t="s">
        <v>37</v>
      </c>
      <c r="O571" s="215"/>
      <c r="P571" s="215" t="s">
        <v>37</v>
      </c>
      <c r="Q571" s="215"/>
      <c r="R571" s="215" t="s">
        <v>37</v>
      </c>
      <c r="S571" s="356"/>
      <c r="T571" s="274">
        <f t="shared" si="254"/>
        <v>5</v>
      </c>
      <c r="U571" s="274"/>
      <c r="V571" s="217" t="str">
        <f t="shared" si="242"/>
        <v>Rp</v>
      </c>
      <c r="W571" s="266">
        <f t="shared" si="243"/>
        <v>115000</v>
      </c>
      <c r="X571" s="217" t="str">
        <f t="shared" si="244"/>
        <v>Rp</v>
      </c>
      <c r="Y571" s="266">
        <f t="shared" si="243"/>
        <v>25000</v>
      </c>
      <c r="Z571" s="217" t="str">
        <f t="shared" si="245"/>
        <v>Rp</v>
      </c>
      <c r="AA571" s="219">
        <f t="shared" si="246"/>
        <v>575000</v>
      </c>
      <c r="AB571" s="222"/>
      <c r="AC571" s="223">
        <f>IF(AA571&gt;0,AC569+2,IF(AD571=0," "))</f>
        <v>6</v>
      </c>
      <c r="AE571" s="211"/>
      <c r="AF571" s="211"/>
      <c r="AI571" s="211">
        <f t="shared" si="247"/>
        <v>0</v>
      </c>
      <c r="AJ571" s="211">
        <f t="shared" si="248"/>
        <v>1</v>
      </c>
      <c r="AK571" s="211">
        <f t="shared" si="249"/>
        <v>0</v>
      </c>
      <c r="AL571" s="211">
        <f t="shared" si="250"/>
        <v>1</v>
      </c>
      <c r="AM571" s="211">
        <f t="shared" si="251"/>
        <v>1</v>
      </c>
      <c r="AN571" s="211">
        <f t="shared" si="252"/>
        <v>1</v>
      </c>
      <c r="AO571" s="211">
        <f t="shared" si="253"/>
        <v>1</v>
      </c>
    </row>
    <row r="572" spans="1:41" ht="24.95" customHeight="1" x14ac:dyDescent="0.25">
      <c r="B572" s="212">
        <f t="shared" si="255"/>
        <v>7</v>
      </c>
      <c r="C572" s="264" t="str">
        <f t="shared" si="240"/>
        <v>TOHIR</v>
      </c>
      <c r="D572" s="213"/>
      <c r="E572" s="265" t="str">
        <f t="shared" si="241"/>
        <v>C</v>
      </c>
      <c r="F572" s="215" t="s">
        <v>36</v>
      </c>
      <c r="G572" s="215"/>
      <c r="H572" s="215" t="s">
        <v>37</v>
      </c>
      <c r="I572" s="215"/>
      <c r="J572" s="215" t="s">
        <v>37</v>
      </c>
      <c r="K572" s="215"/>
      <c r="L572" s="215" t="s">
        <v>37</v>
      </c>
      <c r="M572" s="215"/>
      <c r="N572" s="215" t="s">
        <v>36</v>
      </c>
      <c r="O572" s="215"/>
      <c r="P572" s="215" t="s">
        <v>37</v>
      </c>
      <c r="Q572" s="215"/>
      <c r="R572" s="215" t="s">
        <v>37</v>
      </c>
      <c r="S572" s="356"/>
      <c r="T572" s="274">
        <f t="shared" si="254"/>
        <v>5</v>
      </c>
      <c r="U572" s="274"/>
      <c r="V572" s="217" t="str">
        <f t="shared" si="242"/>
        <v>Rp</v>
      </c>
      <c r="W572" s="266">
        <f t="shared" si="243"/>
        <v>115000</v>
      </c>
      <c r="X572" s="217" t="str">
        <f t="shared" si="244"/>
        <v>Rp</v>
      </c>
      <c r="Y572" s="266">
        <f t="shared" si="243"/>
        <v>25000</v>
      </c>
      <c r="Z572" s="217" t="str">
        <f t="shared" si="245"/>
        <v>Rp</v>
      </c>
      <c r="AA572" s="219">
        <f t="shared" si="246"/>
        <v>575000</v>
      </c>
      <c r="AB572" s="222">
        <f>IF(AA572&gt;0,AB570+2,IF(AA572=0," "))</f>
        <v>7</v>
      </c>
      <c r="AC572" s="221"/>
      <c r="AE572" s="211"/>
      <c r="AF572" s="211"/>
      <c r="AI572" s="211">
        <f t="shared" si="247"/>
        <v>0</v>
      </c>
      <c r="AJ572" s="211">
        <f t="shared" si="248"/>
        <v>1</v>
      </c>
      <c r="AK572" s="211">
        <f t="shared" si="249"/>
        <v>1</v>
      </c>
      <c r="AL572" s="211">
        <f t="shared" si="250"/>
        <v>1</v>
      </c>
      <c r="AM572" s="211">
        <f t="shared" si="251"/>
        <v>0</v>
      </c>
      <c r="AN572" s="211">
        <f t="shared" si="252"/>
        <v>1</v>
      </c>
      <c r="AO572" s="211">
        <f t="shared" si="253"/>
        <v>1</v>
      </c>
    </row>
    <row r="573" spans="1:41" ht="24.95" customHeight="1" x14ac:dyDescent="0.25">
      <c r="B573" s="212">
        <f t="shared" si="255"/>
        <v>8</v>
      </c>
      <c r="C573" s="264" t="str">
        <f t="shared" si="240"/>
        <v>ROJALI</v>
      </c>
      <c r="D573" s="213"/>
      <c r="E573" s="265" t="str">
        <f t="shared" si="241"/>
        <v>C</v>
      </c>
      <c r="F573" s="215" t="s">
        <v>36</v>
      </c>
      <c r="G573" s="215"/>
      <c r="H573" s="215" t="s">
        <v>37</v>
      </c>
      <c r="I573" s="215"/>
      <c r="J573" s="215" t="s">
        <v>37</v>
      </c>
      <c r="K573" s="215"/>
      <c r="L573" s="215" t="s">
        <v>37</v>
      </c>
      <c r="M573" s="215"/>
      <c r="N573" s="215" t="s">
        <v>37</v>
      </c>
      <c r="O573" s="215"/>
      <c r="P573" s="215" t="s">
        <v>37</v>
      </c>
      <c r="Q573" s="215"/>
      <c r="R573" s="215" t="s">
        <v>37</v>
      </c>
      <c r="S573" s="356"/>
      <c r="T573" s="274">
        <f t="shared" si="254"/>
        <v>6</v>
      </c>
      <c r="U573" s="274"/>
      <c r="V573" s="217" t="str">
        <f t="shared" si="242"/>
        <v>Rp</v>
      </c>
      <c r="W573" s="266">
        <f t="shared" si="243"/>
        <v>115000</v>
      </c>
      <c r="X573" s="217" t="str">
        <f t="shared" si="244"/>
        <v>Rp</v>
      </c>
      <c r="Y573" s="266">
        <f t="shared" si="243"/>
        <v>25000</v>
      </c>
      <c r="Z573" s="217" t="str">
        <f t="shared" si="245"/>
        <v>Rp</v>
      </c>
      <c r="AA573" s="219">
        <f t="shared" si="246"/>
        <v>690000</v>
      </c>
      <c r="AB573" s="222"/>
      <c r="AC573" s="223">
        <f>IF(AA573&gt;0,AC571+2,IF(AD573=0," "))</f>
        <v>8</v>
      </c>
      <c r="AE573" s="211"/>
      <c r="AF573" s="211"/>
      <c r="AI573" s="211">
        <f t="shared" si="247"/>
        <v>0</v>
      </c>
      <c r="AJ573" s="211">
        <f t="shared" si="248"/>
        <v>1</v>
      </c>
      <c r="AK573" s="211">
        <f t="shared" si="249"/>
        <v>1</v>
      </c>
      <c r="AL573" s="211">
        <f t="shared" si="250"/>
        <v>1</v>
      </c>
      <c r="AM573" s="211">
        <f t="shared" si="251"/>
        <v>1</v>
      </c>
      <c r="AN573" s="211">
        <f t="shared" si="252"/>
        <v>1</v>
      </c>
      <c r="AO573" s="211">
        <f t="shared" si="253"/>
        <v>1</v>
      </c>
    </row>
    <row r="574" spans="1:41" ht="24.95" customHeight="1" x14ac:dyDescent="0.25">
      <c r="B574" s="212">
        <f t="shared" si="255"/>
        <v>9</v>
      </c>
      <c r="C574" s="264">
        <f t="shared" si="240"/>
        <v>0</v>
      </c>
      <c r="D574" s="213"/>
      <c r="E574" s="265">
        <f t="shared" si="241"/>
        <v>0</v>
      </c>
      <c r="F574" s="215" t="s">
        <v>36</v>
      </c>
      <c r="G574" s="215"/>
      <c r="H574" s="215" t="s">
        <v>37</v>
      </c>
      <c r="I574" s="215"/>
      <c r="J574" s="215" t="s">
        <v>37</v>
      </c>
      <c r="K574" s="215"/>
      <c r="L574" s="215" t="s">
        <v>36</v>
      </c>
      <c r="M574" s="215"/>
      <c r="N574" s="215" t="s">
        <v>37</v>
      </c>
      <c r="O574" s="215"/>
      <c r="P574" s="215" t="s">
        <v>37</v>
      </c>
      <c r="Q574" s="215"/>
      <c r="R574" s="215" t="s">
        <v>37</v>
      </c>
      <c r="S574" s="356"/>
      <c r="T574" s="274">
        <f t="shared" si="254"/>
        <v>5</v>
      </c>
      <c r="U574" s="274"/>
      <c r="V574" s="217" t="str">
        <f t="shared" si="242"/>
        <v xml:space="preserve"> </v>
      </c>
      <c r="W574" s="266">
        <f t="shared" si="243"/>
        <v>0</v>
      </c>
      <c r="X574" s="217" t="str">
        <f t="shared" si="244"/>
        <v>Rp</v>
      </c>
      <c r="Y574" s="266">
        <f t="shared" si="243"/>
        <v>25000</v>
      </c>
      <c r="Z574" s="217" t="str">
        <f t="shared" si="245"/>
        <v xml:space="preserve"> </v>
      </c>
      <c r="AA574" s="219">
        <f t="shared" si="246"/>
        <v>0</v>
      </c>
      <c r="AB574" s="222" t="str">
        <f>IF(AA574&gt;0,AB572+2,IF(AA574=0," "))</f>
        <v xml:space="preserve"> </v>
      </c>
      <c r="AC574" s="221"/>
      <c r="AE574" s="211"/>
      <c r="AF574" s="211"/>
      <c r="AI574" s="211">
        <f t="shared" si="247"/>
        <v>0</v>
      </c>
      <c r="AJ574" s="211">
        <f t="shared" si="248"/>
        <v>1</v>
      </c>
      <c r="AK574" s="211">
        <f t="shared" si="249"/>
        <v>1</v>
      </c>
      <c r="AL574" s="211">
        <f t="shared" si="250"/>
        <v>0</v>
      </c>
      <c r="AM574" s="211">
        <f t="shared" si="251"/>
        <v>1</v>
      </c>
      <c r="AN574" s="211">
        <f t="shared" si="252"/>
        <v>1</v>
      </c>
      <c r="AO574" s="211">
        <f t="shared" si="253"/>
        <v>1</v>
      </c>
    </row>
    <row r="575" spans="1:41" ht="24.95" customHeight="1" x14ac:dyDescent="0.25">
      <c r="B575" s="212">
        <f t="shared" si="255"/>
        <v>10</v>
      </c>
      <c r="C575" s="264">
        <f t="shared" si="240"/>
        <v>0</v>
      </c>
      <c r="D575" s="213"/>
      <c r="E575" s="265">
        <f t="shared" si="241"/>
        <v>0</v>
      </c>
      <c r="F575" s="215" t="s">
        <v>36</v>
      </c>
      <c r="G575" s="215"/>
      <c r="H575" s="215" t="s">
        <v>37</v>
      </c>
      <c r="I575" s="215"/>
      <c r="J575" s="215" t="s">
        <v>37</v>
      </c>
      <c r="K575" s="215"/>
      <c r="L575" s="215" t="s">
        <v>37</v>
      </c>
      <c r="M575" s="215"/>
      <c r="N575" s="215" t="s">
        <v>37</v>
      </c>
      <c r="O575" s="215"/>
      <c r="P575" s="215" t="s">
        <v>37</v>
      </c>
      <c r="Q575" s="215"/>
      <c r="R575" s="215" t="s">
        <v>37</v>
      </c>
      <c r="S575" s="356"/>
      <c r="T575" s="274">
        <f t="shared" si="254"/>
        <v>6</v>
      </c>
      <c r="U575" s="274"/>
      <c r="V575" s="217" t="str">
        <f t="shared" si="242"/>
        <v xml:space="preserve"> </v>
      </c>
      <c r="W575" s="266">
        <f t="shared" si="243"/>
        <v>0</v>
      </c>
      <c r="X575" s="217" t="str">
        <f t="shared" si="244"/>
        <v>Rp</v>
      </c>
      <c r="Y575" s="266">
        <f t="shared" si="243"/>
        <v>25000</v>
      </c>
      <c r="Z575" s="217" t="str">
        <f t="shared" si="245"/>
        <v xml:space="preserve"> </v>
      </c>
      <c r="AA575" s="219">
        <f t="shared" si="246"/>
        <v>0</v>
      </c>
      <c r="AB575" s="222"/>
      <c r="AC575" s="223" t="str">
        <f>IF(AA575&gt;0,AC573+2,IF(AD575=0," "))</f>
        <v xml:space="preserve"> </v>
      </c>
      <c r="AE575" s="211"/>
      <c r="AF575" s="211"/>
      <c r="AI575" s="211">
        <f t="shared" si="247"/>
        <v>0</v>
      </c>
      <c r="AJ575" s="211">
        <f t="shared" si="248"/>
        <v>1</v>
      </c>
      <c r="AK575" s="211">
        <f t="shared" si="249"/>
        <v>1</v>
      </c>
      <c r="AL575" s="211">
        <f t="shared" si="250"/>
        <v>1</v>
      </c>
      <c r="AM575" s="211">
        <f t="shared" si="251"/>
        <v>1</v>
      </c>
      <c r="AN575" s="211">
        <f t="shared" si="252"/>
        <v>1</v>
      </c>
      <c r="AO575" s="211">
        <f t="shared" si="253"/>
        <v>1</v>
      </c>
    </row>
    <row r="576" spans="1:41" ht="24.95" customHeight="1" x14ac:dyDescent="0.25">
      <c r="B576" s="212">
        <f t="shared" si="255"/>
        <v>11</v>
      </c>
      <c r="C576" s="264">
        <f t="shared" si="240"/>
        <v>0</v>
      </c>
      <c r="D576" s="213"/>
      <c r="E576" s="265">
        <f t="shared" si="241"/>
        <v>0</v>
      </c>
      <c r="F576" s="215" t="s">
        <v>36</v>
      </c>
      <c r="G576" s="215"/>
      <c r="H576" s="215" t="s">
        <v>37</v>
      </c>
      <c r="I576" s="215"/>
      <c r="J576" s="215" t="s">
        <v>37</v>
      </c>
      <c r="K576" s="215"/>
      <c r="L576" s="215" t="s">
        <v>37</v>
      </c>
      <c r="M576" s="215"/>
      <c r="N576" s="215" t="s">
        <v>36</v>
      </c>
      <c r="O576" s="215"/>
      <c r="P576" s="215" t="s">
        <v>37</v>
      </c>
      <c r="Q576" s="215"/>
      <c r="R576" s="215" t="s">
        <v>37</v>
      </c>
      <c r="S576" s="356"/>
      <c r="T576" s="274">
        <f t="shared" si="254"/>
        <v>5</v>
      </c>
      <c r="U576" s="274"/>
      <c r="V576" s="217" t="str">
        <f t="shared" si="242"/>
        <v xml:space="preserve"> </v>
      </c>
      <c r="W576" s="266">
        <f t="shared" si="243"/>
        <v>0</v>
      </c>
      <c r="X576" s="217" t="str">
        <f t="shared" si="244"/>
        <v xml:space="preserve"> </v>
      </c>
      <c r="Y576" s="266">
        <f t="shared" si="243"/>
        <v>0</v>
      </c>
      <c r="Z576" s="217" t="str">
        <f t="shared" si="245"/>
        <v xml:space="preserve"> </v>
      </c>
      <c r="AA576" s="219">
        <f t="shared" si="246"/>
        <v>0</v>
      </c>
      <c r="AB576" s="222" t="str">
        <f>IF(AA576&gt;0,AB574+2,IF(AA576=0," "))</f>
        <v xml:space="preserve"> </v>
      </c>
      <c r="AC576" s="221"/>
      <c r="AE576" s="211"/>
      <c r="AF576" s="211"/>
      <c r="AI576" s="211">
        <f t="shared" si="247"/>
        <v>0</v>
      </c>
      <c r="AJ576" s="211">
        <f t="shared" si="248"/>
        <v>1</v>
      </c>
      <c r="AK576" s="211">
        <f t="shared" si="249"/>
        <v>1</v>
      </c>
      <c r="AL576" s="211">
        <f t="shared" si="250"/>
        <v>1</v>
      </c>
      <c r="AM576" s="211">
        <f t="shared" si="251"/>
        <v>0</v>
      </c>
      <c r="AN576" s="211">
        <f t="shared" si="252"/>
        <v>1</v>
      </c>
      <c r="AO576" s="211">
        <f t="shared" si="253"/>
        <v>1</v>
      </c>
    </row>
    <row r="577" spans="1:41" ht="24.95" customHeight="1" x14ac:dyDescent="0.25">
      <c r="B577" s="212">
        <f t="shared" si="255"/>
        <v>12</v>
      </c>
      <c r="C577" s="264">
        <f t="shared" si="240"/>
        <v>0</v>
      </c>
      <c r="D577" s="213"/>
      <c r="E577" s="265">
        <f t="shared" si="241"/>
        <v>0</v>
      </c>
      <c r="F577" s="215"/>
      <c r="G577" s="215"/>
      <c r="H577" s="215"/>
      <c r="I577" s="215"/>
      <c r="J577" s="215"/>
      <c r="K577" s="215"/>
      <c r="L577" s="215"/>
      <c r="M577" s="215"/>
      <c r="N577" s="215"/>
      <c r="O577" s="215"/>
      <c r="P577" s="215"/>
      <c r="Q577" s="215"/>
      <c r="R577" s="215"/>
      <c r="S577" s="356"/>
      <c r="T577" s="274"/>
      <c r="U577" s="274"/>
      <c r="V577" s="217" t="str">
        <f t="shared" si="242"/>
        <v xml:space="preserve"> </v>
      </c>
      <c r="W577" s="266">
        <f t="shared" si="243"/>
        <v>0</v>
      </c>
      <c r="X577" s="217" t="str">
        <f t="shared" si="244"/>
        <v xml:space="preserve"> </v>
      </c>
      <c r="Y577" s="266">
        <f t="shared" si="243"/>
        <v>0</v>
      </c>
      <c r="Z577" s="217" t="str">
        <f t="shared" si="245"/>
        <v xml:space="preserve"> </v>
      </c>
      <c r="AA577" s="219">
        <f t="shared" si="246"/>
        <v>0</v>
      </c>
      <c r="AB577" s="222"/>
      <c r="AC577" s="223" t="str">
        <f>IF(AA577&gt;0,AC575+2,IF(AD577=0," "))</f>
        <v xml:space="preserve"> </v>
      </c>
      <c r="AE577" s="211"/>
      <c r="AF577" s="211"/>
      <c r="AI577" s="211" t="b">
        <f t="shared" si="247"/>
        <v>0</v>
      </c>
      <c r="AJ577" s="211" t="b">
        <f t="shared" si="248"/>
        <v>0</v>
      </c>
      <c r="AK577" s="211" t="b">
        <f t="shared" si="249"/>
        <v>0</v>
      </c>
      <c r="AL577" s="211" t="b">
        <f t="shared" si="250"/>
        <v>0</v>
      </c>
      <c r="AM577" s="211" t="b">
        <f t="shared" si="251"/>
        <v>0</v>
      </c>
      <c r="AN577" s="211" t="b">
        <f t="shared" si="252"/>
        <v>0</v>
      </c>
      <c r="AO577" s="211" t="b">
        <f t="shared" si="253"/>
        <v>0</v>
      </c>
    </row>
    <row r="578" spans="1:41" ht="24.95" customHeight="1" x14ac:dyDescent="0.25">
      <c r="B578" s="212">
        <f t="shared" si="255"/>
        <v>13</v>
      </c>
      <c r="C578" s="264">
        <f t="shared" si="240"/>
        <v>0</v>
      </c>
      <c r="D578" s="213"/>
      <c r="E578" s="265">
        <f t="shared" si="241"/>
        <v>0</v>
      </c>
      <c r="F578" s="215"/>
      <c r="G578" s="215"/>
      <c r="H578" s="215"/>
      <c r="I578" s="215"/>
      <c r="J578" s="215"/>
      <c r="K578" s="215"/>
      <c r="L578" s="215"/>
      <c r="M578" s="215"/>
      <c r="N578" s="215"/>
      <c r="O578" s="215"/>
      <c r="P578" s="215"/>
      <c r="Q578" s="215"/>
      <c r="R578" s="215"/>
      <c r="S578" s="356"/>
      <c r="T578" s="274">
        <f t="shared" si="254"/>
        <v>0</v>
      </c>
      <c r="U578" s="274"/>
      <c r="V578" s="217" t="str">
        <f t="shared" si="242"/>
        <v xml:space="preserve"> </v>
      </c>
      <c r="W578" s="266">
        <f t="shared" si="243"/>
        <v>0</v>
      </c>
      <c r="X578" s="217" t="str">
        <f t="shared" si="244"/>
        <v xml:space="preserve"> </v>
      </c>
      <c r="Y578" s="266">
        <f t="shared" si="243"/>
        <v>0</v>
      </c>
      <c r="Z578" s="217" t="str">
        <f t="shared" si="245"/>
        <v xml:space="preserve"> </v>
      </c>
      <c r="AA578" s="219">
        <f t="shared" si="246"/>
        <v>0</v>
      </c>
      <c r="AB578" s="222" t="str">
        <f>IF(AA578&gt;0,AB576+2,IF(AA578=0," "))</f>
        <v xml:space="preserve"> </v>
      </c>
      <c r="AC578" s="221"/>
      <c r="AE578" s="211"/>
      <c r="AF578" s="211"/>
      <c r="AI578" s="211" t="b">
        <f t="shared" si="247"/>
        <v>0</v>
      </c>
      <c r="AJ578" s="211" t="b">
        <f t="shared" si="248"/>
        <v>0</v>
      </c>
      <c r="AK578" s="211" t="b">
        <f t="shared" si="249"/>
        <v>0</v>
      </c>
      <c r="AL578" s="211" t="b">
        <f t="shared" si="250"/>
        <v>0</v>
      </c>
      <c r="AM578" s="211" t="b">
        <f t="shared" si="251"/>
        <v>0</v>
      </c>
      <c r="AN578" s="211" t="b">
        <f t="shared" si="252"/>
        <v>0</v>
      </c>
      <c r="AO578" s="211" t="b">
        <f t="shared" si="253"/>
        <v>0</v>
      </c>
    </row>
    <row r="579" spans="1:41" ht="24.95" customHeight="1" x14ac:dyDescent="0.25">
      <c r="B579" s="212">
        <f t="shared" si="255"/>
        <v>14</v>
      </c>
      <c r="C579" s="264" t="str">
        <f t="shared" si="240"/>
        <v xml:space="preserve"> </v>
      </c>
      <c r="D579" s="213"/>
      <c r="E579" s="265" t="str">
        <f t="shared" si="241"/>
        <v xml:space="preserve"> </v>
      </c>
      <c r="F579" s="215"/>
      <c r="G579" s="215"/>
      <c r="H579" s="215"/>
      <c r="I579" s="215"/>
      <c r="J579" s="215"/>
      <c r="K579" s="215"/>
      <c r="L579" s="215"/>
      <c r="M579" s="215"/>
      <c r="N579" s="215"/>
      <c r="O579" s="215"/>
      <c r="P579" s="215"/>
      <c r="Q579" s="215"/>
      <c r="R579" s="215"/>
      <c r="S579" s="356"/>
      <c r="T579" s="274">
        <f t="shared" si="254"/>
        <v>0</v>
      </c>
      <c r="U579" s="274"/>
      <c r="V579" s="217" t="str">
        <f t="shared" si="242"/>
        <v>Rp</v>
      </c>
      <c r="W579" s="266" t="str">
        <f t="shared" si="243"/>
        <v xml:space="preserve"> </v>
      </c>
      <c r="X579" s="217" t="str">
        <f t="shared" si="244"/>
        <v>Rp</v>
      </c>
      <c r="Y579" s="266" t="str">
        <f t="shared" si="243"/>
        <v xml:space="preserve"> </v>
      </c>
      <c r="Z579" s="217" t="e">
        <f t="shared" si="245"/>
        <v>#VALUE!</v>
      </c>
      <c r="AA579" s="219" t="e">
        <f t="shared" si="246"/>
        <v>#VALUE!</v>
      </c>
      <c r="AB579" s="222"/>
      <c r="AC579" s="223" t="e">
        <f>IF(AA579&gt;0,AC577+2,IF(AD579=0," "))</f>
        <v>#VALUE!</v>
      </c>
      <c r="AE579" s="211"/>
      <c r="AF579" s="211"/>
      <c r="AI579" s="211" t="b">
        <f t="shared" si="247"/>
        <v>0</v>
      </c>
      <c r="AJ579" s="211" t="b">
        <f t="shared" si="248"/>
        <v>0</v>
      </c>
      <c r="AK579" s="211" t="b">
        <f t="shared" si="249"/>
        <v>0</v>
      </c>
      <c r="AL579" s="211" t="b">
        <f t="shared" si="250"/>
        <v>0</v>
      </c>
      <c r="AM579" s="211" t="b">
        <f t="shared" si="251"/>
        <v>0</v>
      </c>
      <c r="AN579" s="211" t="b">
        <f t="shared" si="252"/>
        <v>0</v>
      </c>
      <c r="AO579" s="211" t="b">
        <f t="shared" si="253"/>
        <v>0</v>
      </c>
    </row>
    <row r="580" spans="1:41" ht="24.95" customHeight="1" x14ac:dyDescent="0.25">
      <c r="B580" s="212">
        <f t="shared" si="255"/>
        <v>15</v>
      </c>
      <c r="C580" s="264" t="str">
        <f t="shared" si="240"/>
        <v xml:space="preserve"> </v>
      </c>
      <c r="D580" s="213"/>
      <c r="E580" s="265" t="str">
        <f t="shared" si="241"/>
        <v xml:space="preserve"> </v>
      </c>
      <c r="F580" s="215"/>
      <c r="G580" s="215"/>
      <c r="H580" s="215"/>
      <c r="I580" s="215"/>
      <c r="J580" s="215"/>
      <c r="K580" s="215"/>
      <c r="L580" s="215"/>
      <c r="M580" s="215"/>
      <c r="N580" s="215"/>
      <c r="O580" s="215"/>
      <c r="P580" s="215"/>
      <c r="Q580" s="215"/>
      <c r="R580" s="215"/>
      <c r="S580" s="356"/>
      <c r="T580" s="274">
        <f t="shared" si="254"/>
        <v>0</v>
      </c>
      <c r="U580" s="274"/>
      <c r="V580" s="217" t="str">
        <f t="shared" si="242"/>
        <v>Rp</v>
      </c>
      <c r="W580" s="266" t="str">
        <f t="shared" si="243"/>
        <v xml:space="preserve"> </v>
      </c>
      <c r="X580" s="217" t="str">
        <f t="shared" si="244"/>
        <v>Rp</v>
      </c>
      <c r="Y580" s="266" t="str">
        <f t="shared" si="243"/>
        <v xml:space="preserve"> </v>
      </c>
      <c r="Z580" s="217" t="e">
        <f t="shared" si="245"/>
        <v>#VALUE!</v>
      </c>
      <c r="AA580" s="219" t="e">
        <f t="shared" si="246"/>
        <v>#VALUE!</v>
      </c>
      <c r="AB580" s="222" t="e">
        <f>IF(AA580&gt;0,AB578+2,IF(AA580=0," "))</f>
        <v>#VALUE!</v>
      </c>
      <c r="AC580" s="221"/>
      <c r="AE580" s="211"/>
      <c r="AF580" s="211"/>
      <c r="AI580" s="211" t="b">
        <f t="shared" si="247"/>
        <v>0</v>
      </c>
      <c r="AJ580" s="211" t="b">
        <f t="shared" si="248"/>
        <v>0</v>
      </c>
      <c r="AK580" s="211" t="b">
        <f t="shared" si="249"/>
        <v>0</v>
      </c>
      <c r="AL580" s="211" t="b">
        <f t="shared" si="250"/>
        <v>0</v>
      </c>
      <c r="AM580" s="211" t="b">
        <f t="shared" si="251"/>
        <v>0</v>
      </c>
      <c r="AN580" s="211" t="b">
        <f t="shared" si="252"/>
        <v>0</v>
      </c>
      <c r="AO580" s="211" t="b">
        <f t="shared" si="253"/>
        <v>0</v>
      </c>
    </row>
    <row r="581" spans="1:41" ht="24.95" customHeight="1" x14ac:dyDescent="0.25">
      <c r="B581" s="212">
        <f t="shared" si="255"/>
        <v>16</v>
      </c>
      <c r="C581" s="264" t="str">
        <f t="shared" si="240"/>
        <v xml:space="preserve"> </v>
      </c>
      <c r="D581" s="213"/>
      <c r="E581" s="265" t="str">
        <f t="shared" si="241"/>
        <v xml:space="preserve"> </v>
      </c>
      <c r="F581" s="215"/>
      <c r="G581" s="215"/>
      <c r="H581" s="215"/>
      <c r="I581" s="215"/>
      <c r="J581" s="215"/>
      <c r="K581" s="215"/>
      <c r="L581" s="215"/>
      <c r="M581" s="215"/>
      <c r="N581" s="215"/>
      <c r="O581" s="215"/>
      <c r="P581" s="215"/>
      <c r="Q581" s="215"/>
      <c r="R581" s="215"/>
      <c r="S581" s="356"/>
      <c r="T581" s="274">
        <f t="shared" si="254"/>
        <v>0</v>
      </c>
      <c r="U581" s="274"/>
      <c r="V581" s="217" t="str">
        <f t="shared" si="242"/>
        <v>Rp</v>
      </c>
      <c r="W581" s="266" t="str">
        <f t="shared" si="243"/>
        <v xml:space="preserve"> </v>
      </c>
      <c r="X581" s="217" t="str">
        <f t="shared" si="244"/>
        <v>Rp</v>
      </c>
      <c r="Y581" s="266" t="str">
        <f t="shared" si="243"/>
        <v xml:space="preserve"> </v>
      </c>
      <c r="Z581" s="217" t="e">
        <f t="shared" si="245"/>
        <v>#VALUE!</v>
      </c>
      <c r="AA581" s="219" t="e">
        <f t="shared" si="246"/>
        <v>#VALUE!</v>
      </c>
      <c r="AB581" s="222"/>
      <c r="AC581" s="223" t="e">
        <f>IF(AA581&gt;0,AC579+2,IF(AD581=0," "))</f>
        <v>#VALUE!</v>
      </c>
      <c r="AE581" s="211"/>
      <c r="AF581" s="211"/>
      <c r="AI581" s="211" t="b">
        <f t="shared" si="247"/>
        <v>0</v>
      </c>
      <c r="AJ581" s="211" t="b">
        <f t="shared" si="248"/>
        <v>0</v>
      </c>
      <c r="AK581" s="211" t="b">
        <f t="shared" si="249"/>
        <v>0</v>
      </c>
      <c r="AL581" s="211" t="b">
        <f t="shared" si="250"/>
        <v>0</v>
      </c>
      <c r="AM581" s="211" t="b">
        <f t="shared" si="251"/>
        <v>0</v>
      </c>
      <c r="AN581" s="211" t="b">
        <f t="shared" si="252"/>
        <v>0</v>
      </c>
      <c r="AO581" s="211" t="b">
        <f t="shared" si="253"/>
        <v>0</v>
      </c>
    </row>
    <row r="582" spans="1:41" ht="24.95" customHeight="1" x14ac:dyDescent="0.25">
      <c r="B582" s="212">
        <f t="shared" si="255"/>
        <v>17</v>
      </c>
      <c r="C582" s="264" t="str">
        <f t="shared" si="240"/>
        <v xml:space="preserve"> </v>
      </c>
      <c r="D582" s="213"/>
      <c r="E582" s="265" t="str">
        <f t="shared" si="241"/>
        <v xml:space="preserve"> </v>
      </c>
      <c r="F582" s="215"/>
      <c r="G582" s="215"/>
      <c r="H582" s="215"/>
      <c r="I582" s="215"/>
      <c r="J582" s="215"/>
      <c r="K582" s="215"/>
      <c r="L582" s="215"/>
      <c r="M582" s="215"/>
      <c r="N582" s="215"/>
      <c r="O582" s="215"/>
      <c r="P582" s="215"/>
      <c r="Q582" s="215"/>
      <c r="R582" s="215"/>
      <c r="S582" s="356"/>
      <c r="T582" s="274">
        <f t="shared" si="254"/>
        <v>0</v>
      </c>
      <c r="U582" s="274"/>
      <c r="V582" s="217" t="str">
        <f t="shared" si="242"/>
        <v>Rp</v>
      </c>
      <c r="W582" s="266" t="str">
        <f t="shared" ref="W582:Y585" si="256">IFERROR(W535," ")</f>
        <v xml:space="preserve"> </v>
      </c>
      <c r="X582" s="217" t="str">
        <f t="shared" si="244"/>
        <v>Rp</v>
      </c>
      <c r="Y582" s="266" t="str">
        <f t="shared" si="256"/>
        <v xml:space="preserve"> </v>
      </c>
      <c r="Z582" s="217" t="e">
        <f t="shared" si="245"/>
        <v>#VALUE!</v>
      </c>
      <c r="AA582" s="219" t="e">
        <f t="shared" si="246"/>
        <v>#VALUE!</v>
      </c>
      <c r="AB582" s="222" t="e">
        <f>IF(AA582&gt;0,AB580+2,IF(AA582=0," "))</f>
        <v>#VALUE!</v>
      </c>
      <c r="AC582" s="221"/>
      <c r="AE582" s="211"/>
      <c r="AF582" s="211"/>
      <c r="AI582" s="211" t="b">
        <f t="shared" si="247"/>
        <v>0</v>
      </c>
      <c r="AJ582" s="211" t="b">
        <f t="shared" si="248"/>
        <v>0</v>
      </c>
      <c r="AK582" s="211" t="b">
        <f t="shared" si="249"/>
        <v>0</v>
      </c>
      <c r="AL582" s="211" t="b">
        <f t="shared" si="250"/>
        <v>0</v>
      </c>
      <c r="AM582" s="211" t="b">
        <f t="shared" si="251"/>
        <v>0</v>
      </c>
      <c r="AN582" s="211" t="b">
        <f t="shared" si="252"/>
        <v>0</v>
      </c>
      <c r="AO582" s="211" t="b">
        <f t="shared" si="253"/>
        <v>0</v>
      </c>
    </row>
    <row r="583" spans="1:41" ht="24.95" customHeight="1" x14ac:dyDescent="0.2">
      <c r="B583" s="212">
        <f t="shared" si="255"/>
        <v>18</v>
      </c>
      <c r="C583" s="264" t="str">
        <f t="shared" si="240"/>
        <v xml:space="preserve"> </v>
      </c>
      <c r="D583" s="213"/>
      <c r="E583" s="265" t="str">
        <f t="shared" si="241"/>
        <v xml:space="preserve"> </v>
      </c>
      <c r="F583" s="357"/>
      <c r="G583" s="357"/>
      <c r="H583" s="358"/>
      <c r="I583" s="358"/>
      <c r="J583" s="359"/>
      <c r="K583" s="359"/>
      <c r="L583" s="359"/>
      <c r="M583" s="359"/>
      <c r="N583" s="360"/>
      <c r="O583" s="360"/>
      <c r="P583" s="360"/>
      <c r="Q583" s="360"/>
      <c r="R583" s="360"/>
      <c r="S583" s="361"/>
      <c r="T583" s="274">
        <f t="shared" si="254"/>
        <v>0</v>
      </c>
      <c r="U583" s="274"/>
      <c r="V583" s="217" t="str">
        <f t="shared" si="242"/>
        <v>Rp</v>
      </c>
      <c r="W583" s="266" t="str">
        <f t="shared" si="256"/>
        <v xml:space="preserve"> </v>
      </c>
      <c r="X583" s="217" t="str">
        <f t="shared" si="244"/>
        <v>Rp</v>
      </c>
      <c r="Y583" s="266" t="str">
        <f t="shared" si="256"/>
        <v xml:space="preserve"> </v>
      </c>
      <c r="Z583" s="217" t="e">
        <f t="shared" si="245"/>
        <v>#VALUE!</v>
      </c>
      <c r="AA583" s="219" t="e">
        <f t="shared" si="246"/>
        <v>#VALUE!</v>
      </c>
      <c r="AB583" s="222"/>
      <c r="AC583" s="223" t="e">
        <f>IF(AA583&gt;0,AC581+2,IF(AD583=0," "))</f>
        <v>#VALUE!</v>
      </c>
      <c r="AE583" s="211"/>
      <c r="AF583" s="211"/>
      <c r="AI583" s="211" t="b">
        <f t="shared" si="247"/>
        <v>0</v>
      </c>
      <c r="AJ583" s="211" t="b">
        <f t="shared" si="248"/>
        <v>0</v>
      </c>
      <c r="AK583" s="211" t="b">
        <f t="shared" si="249"/>
        <v>0</v>
      </c>
      <c r="AL583" s="211" t="b">
        <f t="shared" si="250"/>
        <v>0</v>
      </c>
      <c r="AM583" s="211" t="b">
        <f t="shared" si="251"/>
        <v>0</v>
      </c>
      <c r="AN583" s="211" t="b">
        <f t="shared" si="252"/>
        <v>0</v>
      </c>
      <c r="AO583" s="211" t="b">
        <f t="shared" si="253"/>
        <v>0</v>
      </c>
    </row>
    <row r="584" spans="1:41" ht="24.95" customHeight="1" x14ac:dyDescent="0.2">
      <c r="B584" s="212">
        <f t="shared" si="255"/>
        <v>19</v>
      </c>
      <c r="C584" s="264" t="str">
        <f t="shared" si="240"/>
        <v xml:space="preserve"> </v>
      </c>
      <c r="D584" s="213"/>
      <c r="E584" s="265" t="str">
        <f t="shared" si="241"/>
        <v xml:space="preserve"> </v>
      </c>
      <c r="F584" s="357"/>
      <c r="G584" s="357"/>
      <c r="H584" s="358"/>
      <c r="I584" s="358"/>
      <c r="J584" s="359"/>
      <c r="K584" s="359"/>
      <c r="L584" s="359"/>
      <c r="M584" s="359"/>
      <c r="N584" s="360"/>
      <c r="O584" s="360"/>
      <c r="P584" s="360"/>
      <c r="Q584" s="360"/>
      <c r="R584" s="360"/>
      <c r="S584" s="361"/>
      <c r="T584" s="274">
        <f t="shared" si="254"/>
        <v>0</v>
      </c>
      <c r="U584" s="274"/>
      <c r="V584" s="217" t="str">
        <f t="shared" si="242"/>
        <v>Rp</v>
      </c>
      <c r="W584" s="266" t="str">
        <f t="shared" si="256"/>
        <v xml:space="preserve"> </v>
      </c>
      <c r="X584" s="217" t="str">
        <f t="shared" si="244"/>
        <v>Rp</v>
      </c>
      <c r="Y584" s="266" t="str">
        <f t="shared" si="256"/>
        <v xml:space="preserve"> </v>
      </c>
      <c r="Z584" s="217" t="e">
        <f t="shared" si="245"/>
        <v>#VALUE!</v>
      </c>
      <c r="AA584" s="219" t="e">
        <f t="shared" si="246"/>
        <v>#VALUE!</v>
      </c>
      <c r="AB584" s="222" t="e">
        <f>IF(AA584&gt;0,AB582+2,IF(AA584=0," "))</f>
        <v>#VALUE!</v>
      </c>
      <c r="AC584" s="221"/>
      <c r="AE584" s="211"/>
      <c r="AF584" s="211"/>
      <c r="AI584" s="211" t="b">
        <f t="shared" si="247"/>
        <v>0</v>
      </c>
      <c r="AJ584" s="211" t="b">
        <f t="shared" si="248"/>
        <v>0</v>
      </c>
      <c r="AK584" s="211" t="b">
        <f t="shared" si="249"/>
        <v>0</v>
      </c>
      <c r="AL584" s="211" t="b">
        <f t="shared" si="250"/>
        <v>0</v>
      </c>
      <c r="AM584" s="211" t="b">
        <f t="shared" si="251"/>
        <v>0</v>
      </c>
      <c r="AN584" s="211" t="b">
        <f t="shared" si="252"/>
        <v>0</v>
      </c>
      <c r="AO584" s="211" t="b">
        <f t="shared" si="253"/>
        <v>0</v>
      </c>
    </row>
    <row r="585" spans="1:41" ht="24.95" customHeight="1" x14ac:dyDescent="0.2">
      <c r="B585" s="212">
        <f t="shared" si="255"/>
        <v>20</v>
      </c>
      <c r="C585" s="264" t="str">
        <f t="shared" si="240"/>
        <v xml:space="preserve"> </v>
      </c>
      <c r="D585" s="213"/>
      <c r="E585" s="265" t="str">
        <f t="shared" si="241"/>
        <v xml:space="preserve"> </v>
      </c>
      <c r="F585" s="357"/>
      <c r="G585" s="357"/>
      <c r="H585" s="358"/>
      <c r="I585" s="358"/>
      <c r="J585" s="359"/>
      <c r="K585" s="359"/>
      <c r="L585" s="359"/>
      <c r="M585" s="359"/>
      <c r="N585" s="360"/>
      <c r="O585" s="360"/>
      <c r="P585" s="360"/>
      <c r="Q585" s="360"/>
      <c r="R585" s="360"/>
      <c r="S585" s="361"/>
      <c r="T585" s="274">
        <f t="shared" si="254"/>
        <v>0</v>
      </c>
      <c r="U585" s="274"/>
      <c r="V585" s="217" t="str">
        <f t="shared" si="242"/>
        <v>Rp</v>
      </c>
      <c r="W585" s="266" t="str">
        <f t="shared" si="256"/>
        <v xml:space="preserve"> </v>
      </c>
      <c r="X585" s="217" t="str">
        <f t="shared" si="244"/>
        <v>Rp</v>
      </c>
      <c r="Y585" s="266" t="str">
        <f t="shared" si="256"/>
        <v xml:space="preserve"> </v>
      </c>
      <c r="Z585" s="217" t="e">
        <f t="shared" si="245"/>
        <v>#VALUE!</v>
      </c>
      <c r="AA585" s="219" t="e">
        <f t="shared" si="246"/>
        <v>#VALUE!</v>
      </c>
      <c r="AB585" s="222"/>
      <c r="AC585" s="223" t="e">
        <f>IF(AA585&gt;0,AC583+2,IF(AD585=0," "))</f>
        <v>#VALUE!</v>
      </c>
      <c r="AE585" s="211"/>
      <c r="AF585" s="211"/>
      <c r="AI585" s="211" t="b">
        <f t="shared" si="247"/>
        <v>0</v>
      </c>
      <c r="AJ585" s="211" t="b">
        <f t="shared" si="248"/>
        <v>0</v>
      </c>
      <c r="AK585" s="211" t="b">
        <f t="shared" si="249"/>
        <v>0</v>
      </c>
      <c r="AL585" s="211" t="b">
        <f t="shared" si="250"/>
        <v>0</v>
      </c>
      <c r="AM585" s="211" t="b">
        <f t="shared" si="251"/>
        <v>0</v>
      </c>
      <c r="AN585" s="211" t="b">
        <f t="shared" si="252"/>
        <v>0</v>
      </c>
      <c r="AO585" s="211" t="b">
        <f t="shared" si="253"/>
        <v>0</v>
      </c>
    </row>
    <row r="586" spans="1:41" ht="24.95" customHeight="1" thickBot="1" x14ac:dyDescent="0.25">
      <c r="B586" s="233"/>
      <c r="C586" s="257"/>
      <c r="D586" s="235"/>
      <c r="E586" s="236"/>
      <c r="F586" s="237"/>
      <c r="G586" s="237"/>
      <c r="H586" s="238"/>
      <c r="I586" s="238"/>
      <c r="J586" s="239"/>
      <c r="K586" s="239"/>
      <c r="L586" s="239"/>
      <c r="M586" s="239"/>
      <c r="N586" s="240"/>
      <c r="O586" s="240"/>
      <c r="P586" s="240"/>
      <c r="Q586" s="240"/>
      <c r="R586" s="240"/>
      <c r="S586" s="353"/>
      <c r="T586" s="259"/>
      <c r="U586" s="259"/>
      <c r="V586" s="242"/>
      <c r="W586" s="258"/>
      <c r="X586" s="242"/>
      <c r="Y586" s="258"/>
      <c r="Z586" s="244"/>
      <c r="AA586" s="236"/>
      <c r="AB586" s="246"/>
      <c r="AC586" s="247"/>
      <c r="AE586" s="211"/>
      <c r="AF586" s="211"/>
    </row>
    <row r="587" spans="1:41" ht="20.100000000000001" customHeight="1" thickTop="1" thickBot="1" x14ac:dyDescent="0.3">
      <c r="A587" s="179">
        <f>A540+1</f>
        <v>15</v>
      </c>
      <c r="B587" s="248"/>
      <c r="C587" s="249"/>
      <c r="D587" s="249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50" t="s">
        <v>40</v>
      </c>
      <c r="X587" s="249"/>
      <c r="Y587" s="250" t="s">
        <v>40</v>
      </c>
      <c r="Z587" s="249"/>
      <c r="AA587" s="710" t="e">
        <f>SUM(AA566:AA586)</f>
        <v>#VALUE!</v>
      </c>
      <c r="AB587" s="711"/>
      <c r="AC587" s="712"/>
      <c r="AE587" s="226" t="e">
        <f>VLOOKUP(A587,'Rekap Gaji'!$B$12:$P$32,10,FALSE)</f>
        <v>#N/A</v>
      </c>
      <c r="AF587" s="251" t="e">
        <f>AE587-AA587</f>
        <v>#N/A</v>
      </c>
    </row>
    <row r="588" spans="1:41" ht="11.25" customHeight="1" x14ac:dyDescent="0.25"/>
    <row r="589" spans="1:41" ht="16.5" customHeight="1" x14ac:dyDescent="0.25">
      <c r="B589" s="195" t="s">
        <v>41</v>
      </c>
      <c r="C589" s="140" t="s">
        <v>42</v>
      </c>
    </row>
    <row r="590" spans="1:41" ht="14.25" x14ac:dyDescent="0.25">
      <c r="H590" s="183"/>
      <c r="I590" s="183"/>
      <c r="J590" s="182"/>
      <c r="K590" s="182"/>
      <c r="T590" s="141"/>
      <c r="U590" s="141"/>
      <c r="V590" s="141"/>
      <c r="X590" s="141"/>
      <c r="AA590" s="140" t="str">
        <f>'BKU 1'!$I$25</f>
        <v>NGANTANG</v>
      </c>
      <c r="AB590" s="713" t="str">
        <f>IFERROR(VLOOKUP(E560,'Rekap Gaji'!$B$12:$P$32,7,FALSE),"-")</f>
        <v>-</v>
      </c>
      <c r="AC590" s="713"/>
      <c r="AD590" s="252"/>
      <c r="AE590" s="252"/>
    </row>
    <row r="591" spans="1:41" ht="15.75" x14ac:dyDescent="0.25">
      <c r="C591" s="140" t="s">
        <v>43</v>
      </c>
      <c r="F591" s="253"/>
      <c r="G591" s="253"/>
      <c r="H591" s="254"/>
      <c r="I591" s="254"/>
      <c r="J591" s="255"/>
      <c r="K591" s="255"/>
      <c r="L591" s="256"/>
      <c r="M591" s="256"/>
      <c r="N591" s="225" t="s">
        <v>44</v>
      </c>
      <c r="O591" s="225"/>
      <c r="P591" s="253"/>
      <c r="Q591" s="253"/>
      <c r="T591" s="141"/>
      <c r="U591" s="141"/>
      <c r="V591" s="141"/>
      <c r="X591" s="141"/>
      <c r="AA591" s="140" t="str">
        <f>'BKU 1'!$L$354</f>
        <v>Dibuat Oleh ;</v>
      </c>
      <c r="AB591" s="141"/>
    </row>
    <row r="592" spans="1:41" ht="14.25" x14ac:dyDescent="0.25">
      <c r="C592" s="140" t="str">
        <f>'BKU 1'!$C$355</f>
        <v>Kepala Sekolah SDN 1 SIDODADI</v>
      </c>
      <c r="F592" s="187"/>
      <c r="G592" s="187"/>
      <c r="H592" s="224"/>
      <c r="I592" s="224"/>
      <c r="J592" s="182"/>
      <c r="K592" s="182"/>
      <c r="L592" s="183"/>
      <c r="M592" s="183"/>
      <c r="N592" s="140" t="s">
        <v>45</v>
      </c>
      <c r="P592" s="187"/>
      <c r="Q592" s="187"/>
      <c r="AA592" s="140" t="str">
        <f>'BKU 1'!$L$355</f>
        <v>Bendahara Pembangunan</v>
      </c>
      <c r="AB592" s="141"/>
    </row>
    <row r="593" spans="1:32" ht="14.25" x14ac:dyDescent="0.25">
      <c r="F593" s="187"/>
      <c r="G593" s="187"/>
      <c r="H593" s="224"/>
      <c r="I593" s="224"/>
      <c r="J593" s="182"/>
      <c r="K593" s="182"/>
      <c r="L593" s="183"/>
      <c r="M593" s="183"/>
      <c r="P593" s="187"/>
      <c r="Q593" s="187"/>
      <c r="AA593" s="140"/>
      <c r="AB593" s="141"/>
    </row>
    <row r="594" spans="1:32" ht="14.25" x14ac:dyDescent="0.25">
      <c r="F594" s="187"/>
      <c r="G594" s="187"/>
      <c r="H594" s="224"/>
      <c r="I594" s="224"/>
      <c r="J594" s="182"/>
      <c r="K594" s="182"/>
      <c r="L594" s="183"/>
      <c r="M594" s="183"/>
      <c r="P594" s="187"/>
      <c r="Q594" s="187"/>
      <c r="AA594" s="140"/>
      <c r="AB594" s="141"/>
    </row>
    <row r="595" spans="1:32" ht="14.25" x14ac:dyDescent="0.25">
      <c r="F595" s="187"/>
      <c r="G595" s="187"/>
      <c r="H595" s="224"/>
      <c r="I595" s="224"/>
      <c r="J595" s="182"/>
      <c r="K595" s="182"/>
      <c r="L595" s="183"/>
      <c r="M595" s="183"/>
      <c r="P595" s="187"/>
      <c r="Q595" s="187"/>
      <c r="AA595" s="140"/>
      <c r="AB595" s="141"/>
    </row>
    <row r="596" spans="1:32" ht="14.25" x14ac:dyDescent="0.25">
      <c r="F596" s="187"/>
      <c r="G596" s="187"/>
      <c r="H596" s="224"/>
      <c r="I596" s="224"/>
      <c r="J596" s="182"/>
      <c r="K596" s="182"/>
      <c r="L596" s="183"/>
      <c r="M596" s="183"/>
      <c r="P596" s="187"/>
      <c r="Q596" s="187"/>
      <c r="AA596" s="140"/>
      <c r="AB596" s="141"/>
    </row>
    <row r="597" spans="1:32" x14ac:dyDescent="0.25">
      <c r="H597" s="225"/>
      <c r="I597" s="225"/>
      <c r="AA597" s="140"/>
    </row>
    <row r="598" spans="1:32" x14ac:dyDescent="0.25">
      <c r="H598" s="225"/>
      <c r="I598" s="225"/>
      <c r="AA598" s="140"/>
    </row>
    <row r="599" spans="1:32" s="189" customFormat="1" ht="15" customHeight="1" x14ac:dyDescent="0.25">
      <c r="A599" s="192"/>
      <c r="B599" s="195"/>
      <c r="C599" s="227" t="str">
        <f>'BKU 1'!$C$360</f>
        <v>MELIA FITRIANI, S.Pd.SD</v>
      </c>
      <c r="D599" s="227"/>
      <c r="H599" s="228"/>
      <c r="I599" s="228"/>
      <c r="J599" s="195"/>
      <c r="K599" s="195"/>
      <c r="L599" s="194"/>
      <c r="M599" s="194"/>
      <c r="N599" s="229">
        <f>'BKU 1'!$G$361</f>
        <v>0</v>
      </c>
      <c r="O599" s="229"/>
      <c r="AA599" s="227" t="str">
        <f>'BKU 1'!$L$360</f>
        <v>ARIF NUR UDIN, S.Pd.SD</v>
      </c>
      <c r="AC599" s="230"/>
      <c r="AE599" s="231"/>
      <c r="AF599" s="231"/>
    </row>
    <row r="600" spans="1:32" s="189" customFormat="1" ht="15" customHeight="1" x14ac:dyDescent="0.25">
      <c r="A600" s="192"/>
      <c r="B600" s="195"/>
      <c r="C600" s="140" t="str">
        <f>'BKU 1'!$C$361</f>
        <v>NIP. 19850619 200904 2 000</v>
      </c>
      <c r="D600" s="140"/>
      <c r="E600" s="140"/>
      <c r="F600" s="140"/>
      <c r="G600" s="140"/>
      <c r="H600" s="225"/>
      <c r="I600" s="225"/>
      <c r="J600" s="191"/>
      <c r="K600" s="191"/>
      <c r="L600" s="190"/>
      <c r="M600" s="190"/>
      <c r="N600" s="232">
        <f>'BKU 1'!$G$361</f>
        <v>0</v>
      </c>
      <c r="O600" s="232"/>
      <c r="P600" s="140"/>
      <c r="Q600" s="140"/>
      <c r="T600" s="140"/>
      <c r="U600" s="140"/>
      <c r="V600" s="140"/>
      <c r="W600" s="140"/>
      <c r="X600" s="140"/>
      <c r="Y600" s="140"/>
      <c r="Z600" s="140"/>
      <c r="AA600" s="140" t="str">
        <f>'BKU 1'!$L$361</f>
        <v>NIP. 19840719 200903 1 002</v>
      </c>
      <c r="AC600" s="230"/>
      <c r="AE600" s="231"/>
      <c r="AF600" s="231"/>
    </row>
    <row r="601" spans="1:32" ht="6" customHeight="1" x14ac:dyDescent="0.25"/>
    <row r="602" spans="1:32" s="177" customFormat="1" ht="24.95" customHeight="1" x14ac:dyDescent="0.25">
      <c r="A602" s="176"/>
      <c r="B602" s="726" t="s">
        <v>6</v>
      </c>
      <c r="C602" s="726"/>
      <c r="D602" s="726"/>
      <c r="E602" s="726"/>
      <c r="F602" s="726"/>
      <c r="G602" s="726"/>
      <c r="H602" s="726"/>
      <c r="I602" s="726"/>
      <c r="J602" s="726"/>
      <c r="K602" s="726"/>
      <c r="L602" s="726"/>
      <c r="M602" s="726"/>
      <c r="N602" s="726"/>
      <c r="O602" s="726"/>
      <c r="P602" s="726"/>
      <c r="Q602" s="726"/>
      <c r="R602" s="726"/>
      <c r="S602" s="726"/>
      <c r="T602" s="726"/>
      <c r="U602" s="726"/>
      <c r="V602" s="726"/>
      <c r="W602" s="726"/>
      <c r="X602" s="726"/>
      <c r="Y602" s="726"/>
      <c r="Z602" s="726"/>
      <c r="AA602" s="726"/>
      <c r="AB602" s="726"/>
      <c r="AC602" s="726"/>
      <c r="AE602" s="178"/>
      <c r="AF602" s="178"/>
    </row>
    <row r="603" spans="1:32" s="177" customFormat="1" ht="24.95" customHeight="1" x14ac:dyDescent="0.25">
      <c r="A603" s="176"/>
      <c r="B603" s="726" t="str">
        <f>'BKU 1'!$D$22</f>
        <v>PEMBANGUNAN TOILET BESERTA SANITASINYA</v>
      </c>
      <c r="C603" s="726"/>
      <c r="D603" s="726"/>
      <c r="E603" s="726"/>
      <c r="F603" s="726"/>
      <c r="G603" s="726"/>
      <c r="H603" s="726"/>
      <c r="I603" s="726"/>
      <c r="J603" s="726"/>
      <c r="K603" s="726"/>
      <c r="L603" s="726"/>
      <c r="M603" s="726"/>
      <c r="N603" s="726"/>
      <c r="O603" s="726"/>
      <c r="P603" s="726"/>
      <c r="Q603" s="726"/>
      <c r="R603" s="726"/>
      <c r="S603" s="726"/>
      <c r="T603" s="726"/>
      <c r="U603" s="726"/>
      <c r="V603" s="726"/>
      <c r="W603" s="726"/>
      <c r="X603" s="726"/>
      <c r="Y603" s="726"/>
      <c r="Z603" s="726"/>
      <c r="AA603" s="726"/>
      <c r="AB603" s="726"/>
      <c r="AC603" s="726"/>
      <c r="AE603" s="178"/>
      <c r="AF603" s="178"/>
    </row>
    <row r="604" spans="1:32" s="184" customFormat="1" ht="30.75" customHeight="1" x14ac:dyDescent="0.25">
      <c r="A604" s="179"/>
      <c r="B604" s="180"/>
      <c r="C604" s="181"/>
      <c r="D604" s="181"/>
      <c r="E604" s="181"/>
      <c r="F604" s="182"/>
      <c r="G604" s="182"/>
      <c r="H604" s="183"/>
      <c r="I604" s="183"/>
      <c r="J604" s="182"/>
      <c r="K604" s="182"/>
      <c r="L604" s="183"/>
      <c r="M604" s="183"/>
      <c r="N604" s="182"/>
      <c r="O604" s="182"/>
      <c r="P604" s="182"/>
      <c r="Q604" s="182"/>
      <c r="R604" s="182"/>
      <c r="S604" s="182"/>
      <c r="T604" s="181"/>
      <c r="U604" s="181"/>
      <c r="V604" s="181"/>
      <c r="X604" s="181"/>
      <c r="AA604" s="180"/>
      <c r="AB604" s="140"/>
      <c r="AC604" s="185"/>
      <c r="AE604" s="186"/>
      <c r="AF604" s="186"/>
    </row>
    <row r="605" spans="1:32" s="184" customFormat="1" ht="14.25" x14ac:dyDescent="0.25">
      <c r="A605" s="179"/>
      <c r="B605" s="185" t="s">
        <v>7</v>
      </c>
      <c r="D605" s="184" t="s">
        <v>49</v>
      </c>
      <c r="E605" s="184" t="str">
        <f>'BKU 1'!$D$25</f>
        <v>SDN 1 SIDODADI</v>
      </c>
      <c r="F605" s="140"/>
      <c r="G605" s="140"/>
      <c r="H605" s="183"/>
      <c r="I605" s="183"/>
      <c r="J605" s="182"/>
      <c r="K605" s="182"/>
      <c r="L605" s="183"/>
      <c r="M605" s="183"/>
      <c r="N605" s="187"/>
      <c r="O605" s="187"/>
      <c r="P605" s="187"/>
      <c r="Q605" s="187"/>
      <c r="R605" s="187"/>
      <c r="S605" s="187"/>
      <c r="T605" s="188"/>
      <c r="U605" s="188"/>
      <c r="V605" s="188"/>
      <c r="X605" s="188"/>
      <c r="AA605" s="180"/>
      <c r="AB605" s="189" t="s">
        <v>8</v>
      </c>
      <c r="AC605" s="185"/>
      <c r="AE605" s="186"/>
      <c r="AF605" s="186"/>
    </row>
    <row r="606" spans="1:32" s="184" customFormat="1" x14ac:dyDescent="0.25">
      <c r="A606" s="179"/>
      <c r="B606" s="185" t="s">
        <v>9</v>
      </c>
      <c r="D606" s="184" t="s">
        <v>49</v>
      </c>
      <c r="E606" s="184" t="str">
        <f>'BKU 1'!$D$26</f>
        <v>Jl. Kawi No.36 Rt. 1 Rw. 1 Dusun Sekar, Rt / Rw : 1 / 1, Dusun : Sekar, Kelurahan : Sidodadi</v>
      </c>
      <c r="F606" s="140"/>
      <c r="G606" s="140"/>
      <c r="H606" s="190"/>
      <c r="I606" s="190"/>
      <c r="J606" s="191"/>
      <c r="K606" s="191"/>
      <c r="L606" s="190"/>
      <c r="M606" s="190"/>
      <c r="N606" s="140"/>
      <c r="O606" s="140"/>
      <c r="P606" s="140"/>
      <c r="Q606" s="140"/>
      <c r="R606" s="140"/>
      <c r="S606" s="140"/>
      <c r="AA606" s="180"/>
      <c r="AB606" s="140" t="s">
        <v>10</v>
      </c>
      <c r="AC606" s="185" t="s">
        <v>11</v>
      </c>
      <c r="AE606" s="186"/>
      <c r="AF606" s="186"/>
    </row>
    <row r="607" spans="1:32" s="184" customFormat="1" x14ac:dyDescent="0.25">
      <c r="A607" s="179"/>
      <c r="B607" s="185" t="s">
        <v>12</v>
      </c>
      <c r="D607" s="184" t="s">
        <v>49</v>
      </c>
      <c r="E607" s="180">
        <f>E560+1</f>
        <v>16</v>
      </c>
      <c r="F607" s="140"/>
      <c r="G607" s="140"/>
      <c r="H607" s="727" t="str">
        <f>IFERROR(VLOOKUP(E607,'Rekap Gaji'!$B$12:$P$32,14,FALSE),"-")</f>
        <v>-</v>
      </c>
      <c r="I607" s="727"/>
      <c r="J607" s="727"/>
      <c r="K607" s="727"/>
      <c r="L607" s="727"/>
      <c r="M607" s="191"/>
      <c r="N607" s="140"/>
      <c r="O607" s="140"/>
      <c r="P607" s="140"/>
      <c r="Q607" s="140"/>
      <c r="R607" s="140"/>
      <c r="S607" s="140"/>
      <c r="AA607" s="180"/>
      <c r="AB607" s="140" t="s">
        <v>13</v>
      </c>
      <c r="AC607" s="185" t="s">
        <v>14</v>
      </c>
      <c r="AE607" s="186"/>
      <c r="AF607" s="186"/>
    </row>
    <row r="608" spans="1:32" s="184" customFormat="1" ht="15" customHeight="1" x14ac:dyDescent="0.25">
      <c r="A608" s="179"/>
      <c r="B608" s="185" t="s">
        <v>0</v>
      </c>
      <c r="D608" s="184" t="s">
        <v>49</v>
      </c>
      <c r="E608" s="728" t="str">
        <f>IFERROR(VLOOKUP(E607,'Rekap Gaji'!$B$12:$P$32,4,FALSE),"-")</f>
        <v>-</v>
      </c>
      <c r="F608" s="728"/>
      <c r="G608" s="728"/>
      <c r="H608" s="728"/>
      <c r="I608" s="728"/>
      <c r="J608" s="728"/>
      <c r="K608" s="339"/>
      <c r="L608" s="727" t="s">
        <v>76</v>
      </c>
      <c r="M608" s="727"/>
      <c r="N608" s="727"/>
      <c r="O608" s="191"/>
      <c r="P608" s="728" t="str">
        <f>IFERROR(VLOOKUP(E607,'Rekap Gaji'!$B$12:$P$32,6,FALSE),"-")</f>
        <v>-</v>
      </c>
      <c r="Q608" s="728"/>
      <c r="R608" s="728"/>
      <c r="S608" s="728"/>
      <c r="T608" s="728"/>
      <c r="U608" s="728"/>
      <c r="V608" s="728"/>
      <c r="AA608" s="180"/>
      <c r="AB608" s="140" t="s">
        <v>15</v>
      </c>
      <c r="AC608" s="185" t="s">
        <v>16</v>
      </c>
      <c r="AE608" s="186"/>
      <c r="AF608" s="186"/>
    </row>
    <row r="609" spans="1:41" s="188" customFormat="1" ht="8.1" customHeight="1" thickBot="1" x14ac:dyDescent="0.3">
      <c r="A609" s="192"/>
      <c r="B609" s="193"/>
      <c r="F609" s="189"/>
      <c r="G609" s="189"/>
      <c r="H609" s="194"/>
      <c r="I609" s="194"/>
      <c r="J609" s="195"/>
      <c r="K609" s="195"/>
      <c r="L609" s="194"/>
      <c r="M609" s="194"/>
      <c r="N609" s="189"/>
      <c r="O609" s="189"/>
      <c r="P609" s="189"/>
      <c r="Q609" s="189"/>
      <c r="R609" s="189"/>
      <c r="S609" s="189"/>
      <c r="AA609" s="193"/>
      <c r="AB609" s="189"/>
      <c r="AC609" s="196"/>
      <c r="AE609" s="197"/>
      <c r="AF609" s="197"/>
    </row>
    <row r="610" spans="1:41" ht="15" customHeight="1" x14ac:dyDescent="0.25">
      <c r="B610" s="729" t="s">
        <v>17</v>
      </c>
      <c r="C610" s="717" t="s">
        <v>18</v>
      </c>
      <c r="D610" s="732"/>
      <c r="E610" s="268" t="s">
        <v>19</v>
      </c>
      <c r="F610" s="717" t="s">
        <v>20</v>
      </c>
      <c r="G610" s="734"/>
      <c r="H610" s="734"/>
      <c r="I610" s="734"/>
      <c r="J610" s="734"/>
      <c r="K610" s="734"/>
      <c r="L610" s="734"/>
      <c r="M610" s="734"/>
      <c r="N610" s="734"/>
      <c r="O610" s="734"/>
      <c r="P610" s="734"/>
      <c r="Q610" s="734"/>
      <c r="R610" s="732"/>
      <c r="S610" s="337"/>
      <c r="T610" s="267" t="s">
        <v>2</v>
      </c>
      <c r="U610" s="267"/>
      <c r="V610" s="717" t="s">
        <v>21</v>
      </c>
      <c r="W610" s="732"/>
      <c r="X610" s="717" t="s">
        <v>21</v>
      </c>
      <c r="Y610" s="732"/>
      <c r="Z610" s="717" t="s">
        <v>22</v>
      </c>
      <c r="AA610" s="732"/>
      <c r="AB610" s="717" t="s">
        <v>23</v>
      </c>
      <c r="AC610" s="718"/>
    </row>
    <row r="611" spans="1:41" ht="15" customHeight="1" x14ac:dyDescent="0.25">
      <c r="B611" s="730"/>
      <c r="C611" s="719"/>
      <c r="D611" s="725"/>
      <c r="E611" s="270" t="s">
        <v>24</v>
      </c>
      <c r="F611" s="723" t="s">
        <v>25</v>
      </c>
      <c r="G611" s="338"/>
      <c r="H611" s="723" t="s">
        <v>26</v>
      </c>
      <c r="I611" s="338"/>
      <c r="J611" s="723" t="s">
        <v>26</v>
      </c>
      <c r="K611" s="338"/>
      <c r="L611" s="723" t="s">
        <v>27</v>
      </c>
      <c r="M611" s="338"/>
      <c r="N611" s="723" t="s">
        <v>28</v>
      </c>
      <c r="O611" s="338"/>
      <c r="P611" s="723" t="s">
        <v>29</v>
      </c>
      <c r="Q611" s="338"/>
      <c r="R611" s="723" t="s">
        <v>26</v>
      </c>
      <c r="S611" s="269"/>
      <c r="T611" s="269" t="s">
        <v>30</v>
      </c>
      <c r="U611" s="269"/>
      <c r="V611" s="719" t="s">
        <v>31</v>
      </c>
      <c r="W611" s="725"/>
      <c r="X611" s="719" t="s">
        <v>31</v>
      </c>
      <c r="Y611" s="725"/>
      <c r="Z611" s="719" t="s">
        <v>31</v>
      </c>
      <c r="AA611" s="725"/>
      <c r="AB611" s="719"/>
      <c r="AC611" s="720"/>
    </row>
    <row r="612" spans="1:41" ht="15" customHeight="1" thickBot="1" x14ac:dyDescent="0.3">
      <c r="B612" s="731"/>
      <c r="C612" s="721"/>
      <c r="D612" s="733"/>
      <c r="E612" s="272" t="s">
        <v>32</v>
      </c>
      <c r="F612" s="724"/>
      <c r="G612" s="272"/>
      <c r="H612" s="724"/>
      <c r="I612" s="272"/>
      <c r="J612" s="724"/>
      <c r="K612" s="272"/>
      <c r="L612" s="724"/>
      <c r="M612" s="272"/>
      <c r="N612" s="724"/>
      <c r="O612" s="272"/>
      <c r="P612" s="724"/>
      <c r="Q612" s="272"/>
      <c r="R612" s="724"/>
      <c r="S612" s="271"/>
      <c r="T612" s="271" t="s">
        <v>31</v>
      </c>
      <c r="U612" s="271"/>
      <c r="V612" s="721" t="s">
        <v>33</v>
      </c>
      <c r="W612" s="733"/>
      <c r="X612" s="721" t="s">
        <v>33</v>
      </c>
      <c r="Y612" s="733"/>
      <c r="Z612" s="721" t="s">
        <v>34</v>
      </c>
      <c r="AA612" s="733"/>
      <c r="AB612" s="721"/>
      <c r="AC612" s="722"/>
    </row>
    <row r="613" spans="1:41" ht="24.95" customHeight="1" x14ac:dyDescent="0.25">
      <c r="B613" s="201">
        <v>1</v>
      </c>
      <c r="C613" s="261" t="str">
        <f t="shared" ref="C613:C632" si="257">IFERROR(C566," ")</f>
        <v>KUSMAN H</v>
      </c>
      <c r="D613" s="203"/>
      <c r="E613" s="262" t="str">
        <f t="shared" ref="E613:E632" si="258">IFERROR(E566," ")</f>
        <v>A</v>
      </c>
      <c r="F613" s="215" t="s">
        <v>36</v>
      </c>
      <c r="G613" s="354"/>
      <c r="H613" s="205" t="s">
        <v>37</v>
      </c>
      <c r="I613" s="205"/>
      <c r="J613" s="205" t="s">
        <v>37</v>
      </c>
      <c r="K613" s="205"/>
      <c r="L613" s="205" t="s">
        <v>37</v>
      </c>
      <c r="M613" s="205"/>
      <c r="N613" s="205" t="s">
        <v>37</v>
      </c>
      <c r="O613" s="205"/>
      <c r="P613" s="205" t="s">
        <v>37</v>
      </c>
      <c r="Q613" s="205"/>
      <c r="R613" s="205" t="s">
        <v>37</v>
      </c>
      <c r="S613" s="355"/>
      <c r="T613" s="273">
        <f>SUM(AI613:AO613)</f>
        <v>6</v>
      </c>
      <c r="U613" s="273"/>
      <c r="V613" s="207" t="str">
        <f t="shared" ref="V613:V632" si="259">IF(W613&gt;0,"Rp",IF(W613=0," "))</f>
        <v>Rp</v>
      </c>
      <c r="W613" s="263">
        <f t="shared" ref="W613:Y628" si="260">IFERROR(W566," ")</f>
        <v>135000</v>
      </c>
      <c r="X613" s="207" t="str">
        <f t="shared" ref="X613:X632" si="261">IF(Y613&gt;0,"Rp",IF(Y613=0," "))</f>
        <v>Rp</v>
      </c>
      <c r="Y613" s="263">
        <f t="shared" si="260"/>
        <v>25000</v>
      </c>
      <c r="Z613" s="207" t="str">
        <f t="shared" ref="Z613:Z632" si="262">IF(AA613&gt;0,"Rp",IF(AA613=0," "))</f>
        <v>Rp</v>
      </c>
      <c r="AA613" s="208">
        <f t="shared" ref="AA613:AA632" si="263">W613*T613</f>
        <v>810000</v>
      </c>
      <c r="AB613" s="209">
        <f>IF(AA613&gt;0,1,IF(AA613=0," "))</f>
        <v>1</v>
      </c>
      <c r="AC613" s="210"/>
      <c r="AE613" s="260"/>
      <c r="AF613" s="140"/>
      <c r="AI613" s="211">
        <f t="shared" ref="AI613:AI632" si="264">IFERROR(IF(F613="V",1,IF(F613="X",0))," ")</f>
        <v>0</v>
      </c>
      <c r="AJ613" s="211">
        <f t="shared" ref="AJ613:AJ632" si="265">IFERROR(IF(H613="V",1,IF(H613="X",0))," ")</f>
        <v>1</v>
      </c>
      <c r="AK613" s="211">
        <f t="shared" ref="AK613:AK632" si="266">IFERROR(IF(J613="V",1,IF(J613="X",0))," ")</f>
        <v>1</v>
      </c>
      <c r="AL613" s="211">
        <f t="shared" ref="AL613:AL632" si="267">IFERROR(IF(L613="V",1,IF(L613="X",0))," ")</f>
        <v>1</v>
      </c>
      <c r="AM613" s="211">
        <f t="shared" ref="AM613:AM632" si="268">IFERROR(IF(N613="V",1,IF(N613="X",0))," ")</f>
        <v>1</v>
      </c>
      <c r="AN613" s="211">
        <f t="shared" ref="AN613:AN632" si="269">IFERROR(IF(P613="V",1,IF(P613="X",0))," ")</f>
        <v>1</v>
      </c>
      <c r="AO613" s="211">
        <f t="shared" ref="AO613:AO632" si="270">IFERROR(IF(R613="V",1,IF(R613="X",0))," ")</f>
        <v>1</v>
      </c>
    </row>
    <row r="614" spans="1:41" ht="24.95" customHeight="1" x14ac:dyDescent="0.25">
      <c r="B614" s="212">
        <f>B613+1</f>
        <v>2</v>
      </c>
      <c r="C614" s="264" t="str">
        <f t="shared" si="257"/>
        <v>BUSANI</v>
      </c>
      <c r="D614" s="213"/>
      <c r="E614" s="265" t="str">
        <f t="shared" si="258"/>
        <v>B</v>
      </c>
      <c r="F614" s="215" t="s">
        <v>36</v>
      </c>
      <c r="G614" s="215"/>
      <c r="H614" s="215" t="s">
        <v>37</v>
      </c>
      <c r="I614" s="215"/>
      <c r="J614" s="215" t="s">
        <v>37</v>
      </c>
      <c r="K614" s="215"/>
      <c r="L614" s="215" t="s">
        <v>36</v>
      </c>
      <c r="M614" s="215"/>
      <c r="N614" s="215" t="s">
        <v>37</v>
      </c>
      <c r="O614" s="215"/>
      <c r="P614" s="215" t="s">
        <v>37</v>
      </c>
      <c r="Q614" s="215"/>
      <c r="R614" s="215" t="s">
        <v>37</v>
      </c>
      <c r="S614" s="356"/>
      <c r="T614" s="274">
        <f t="shared" ref="T614:T632" si="271">SUM(AI614:AO614)</f>
        <v>5</v>
      </c>
      <c r="U614" s="274"/>
      <c r="V614" s="217" t="str">
        <f t="shared" si="259"/>
        <v>Rp</v>
      </c>
      <c r="W614" s="266">
        <f t="shared" si="260"/>
        <v>125000</v>
      </c>
      <c r="X614" s="217" t="str">
        <f t="shared" si="261"/>
        <v>Rp</v>
      </c>
      <c r="Y614" s="266">
        <f t="shared" si="260"/>
        <v>25000</v>
      </c>
      <c r="Z614" s="217" t="str">
        <f t="shared" si="262"/>
        <v>Rp</v>
      </c>
      <c r="AA614" s="219">
        <f t="shared" si="263"/>
        <v>625000</v>
      </c>
      <c r="AB614" s="220"/>
      <c r="AC614" s="221">
        <f>IF(AA614&gt;0,2,IF(AA613=0," "))</f>
        <v>2</v>
      </c>
      <c r="AE614" s="211"/>
      <c r="AF614" s="211"/>
      <c r="AI614" s="211">
        <f t="shared" si="264"/>
        <v>0</v>
      </c>
      <c r="AJ614" s="211">
        <f t="shared" si="265"/>
        <v>1</v>
      </c>
      <c r="AK614" s="211">
        <f t="shared" si="266"/>
        <v>1</v>
      </c>
      <c r="AL614" s="211">
        <f t="shared" si="267"/>
        <v>0</v>
      </c>
      <c r="AM614" s="211">
        <f t="shared" si="268"/>
        <v>1</v>
      </c>
      <c r="AN614" s="211">
        <f t="shared" si="269"/>
        <v>1</v>
      </c>
      <c r="AO614" s="211">
        <f t="shared" si="270"/>
        <v>1</v>
      </c>
    </row>
    <row r="615" spans="1:41" ht="24.95" customHeight="1" x14ac:dyDescent="0.25">
      <c r="B615" s="212">
        <f>B614+1</f>
        <v>3</v>
      </c>
      <c r="C615" s="264" t="str">
        <f t="shared" si="257"/>
        <v>LASMARI</v>
      </c>
      <c r="D615" s="213"/>
      <c r="E615" s="265" t="str">
        <f t="shared" si="258"/>
        <v>B</v>
      </c>
      <c r="F615" s="215" t="s">
        <v>36</v>
      </c>
      <c r="G615" s="215"/>
      <c r="H615" s="215" t="s">
        <v>37</v>
      </c>
      <c r="I615" s="215"/>
      <c r="J615" s="215" t="s">
        <v>37</v>
      </c>
      <c r="K615" s="215"/>
      <c r="L615" s="215" t="s">
        <v>37</v>
      </c>
      <c r="M615" s="215"/>
      <c r="N615" s="215" t="s">
        <v>37</v>
      </c>
      <c r="O615" s="215"/>
      <c r="P615" s="215" t="s">
        <v>37</v>
      </c>
      <c r="Q615" s="215"/>
      <c r="R615" s="215" t="s">
        <v>36</v>
      </c>
      <c r="S615" s="356"/>
      <c r="T615" s="274">
        <f t="shared" si="271"/>
        <v>5</v>
      </c>
      <c r="U615" s="274"/>
      <c r="V615" s="217" t="str">
        <f t="shared" si="259"/>
        <v>Rp</v>
      </c>
      <c r="W615" s="266">
        <f t="shared" si="260"/>
        <v>125000</v>
      </c>
      <c r="X615" s="217" t="str">
        <f t="shared" si="261"/>
        <v>Rp</v>
      </c>
      <c r="Y615" s="266">
        <f t="shared" si="260"/>
        <v>25000</v>
      </c>
      <c r="Z615" s="217" t="str">
        <f t="shared" si="262"/>
        <v>Rp</v>
      </c>
      <c r="AA615" s="219">
        <f t="shared" si="263"/>
        <v>625000</v>
      </c>
      <c r="AB615" s="222">
        <f>IF(AA615&gt;0,AB613+2,IF(AA615=0," "))</f>
        <v>3</v>
      </c>
      <c r="AC615" s="221"/>
      <c r="AE615" s="211"/>
      <c r="AF615" s="211"/>
      <c r="AI615" s="211">
        <f t="shared" si="264"/>
        <v>0</v>
      </c>
      <c r="AJ615" s="211">
        <f t="shared" si="265"/>
        <v>1</v>
      </c>
      <c r="AK615" s="211">
        <f t="shared" si="266"/>
        <v>1</v>
      </c>
      <c r="AL615" s="211">
        <f t="shared" si="267"/>
        <v>1</v>
      </c>
      <c r="AM615" s="211">
        <f t="shared" si="268"/>
        <v>1</v>
      </c>
      <c r="AN615" s="211">
        <f t="shared" si="269"/>
        <v>1</v>
      </c>
      <c r="AO615" s="211">
        <f t="shared" si="270"/>
        <v>0</v>
      </c>
    </row>
    <row r="616" spans="1:41" ht="24.95" customHeight="1" x14ac:dyDescent="0.25">
      <c r="B616" s="212">
        <f>B615+1</f>
        <v>4</v>
      </c>
      <c r="C616" s="264" t="str">
        <f t="shared" si="257"/>
        <v>SUMARTO</v>
      </c>
      <c r="D616" s="213"/>
      <c r="E616" s="265" t="str">
        <f t="shared" si="258"/>
        <v>B</v>
      </c>
      <c r="F616" s="215" t="s">
        <v>36</v>
      </c>
      <c r="G616" s="215"/>
      <c r="H616" s="215" t="s">
        <v>37</v>
      </c>
      <c r="I616" s="215"/>
      <c r="J616" s="215" t="s">
        <v>37</v>
      </c>
      <c r="K616" s="215"/>
      <c r="L616" s="215" t="s">
        <v>37</v>
      </c>
      <c r="M616" s="215"/>
      <c r="N616" s="215" t="s">
        <v>37</v>
      </c>
      <c r="O616" s="215"/>
      <c r="P616" s="215" t="s">
        <v>37</v>
      </c>
      <c r="Q616" s="215"/>
      <c r="R616" s="215" t="s">
        <v>37</v>
      </c>
      <c r="S616" s="356"/>
      <c r="T616" s="274">
        <f t="shared" si="271"/>
        <v>6</v>
      </c>
      <c r="U616" s="274"/>
      <c r="V616" s="217" t="str">
        <f t="shared" si="259"/>
        <v>Rp</v>
      </c>
      <c r="W616" s="266">
        <f t="shared" si="260"/>
        <v>125000</v>
      </c>
      <c r="X616" s="217" t="str">
        <f t="shared" si="261"/>
        <v>Rp</v>
      </c>
      <c r="Y616" s="266">
        <f t="shared" si="260"/>
        <v>25000</v>
      </c>
      <c r="Z616" s="217" t="str">
        <f t="shared" si="262"/>
        <v>Rp</v>
      </c>
      <c r="AA616" s="219">
        <f t="shared" si="263"/>
        <v>750000</v>
      </c>
      <c r="AB616" s="222"/>
      <c r="AC616" s="223">
        <f>IF(AA616&gt;0,AC614+2,IF(AD616=0," "))</f>
        <v>4</v>
      </c>
      <c r="AE616" s="211"/>
      <c r="AF616" s="211"/>
      <c r="AI616" s="211">
        <f t="shared" si="264"/>
        <v>0</v>
      </c>
      <c r="AJ616" s="211">
        <f t="shared" si="265"/>
        <v>1</v>
      </c>
      <c r="AK616" s="211">
        <f t="shared" si="266"/>
        <v>1</v>
      </c>
      <c r="AL616" s="211">
        <f t="shared" si="267"/>
        <v>1</v>
      </c>
      <c r="AM616" s="211">
        <f t="shared" si="268"/>
        <v>1</v>
      </c>
      <c r="AN616" s="211">
        <f t="shared" si="269"/>
        <v>1</v>
      </c>
      <c r="AO616" s="211">
        <f t="shared" si="270"/>
        <v>1</v>
      </c>
    </row>
    <row r="617" spans="1:41" ht="24.95" customHeight="1" x14ac:dyDescent="0.25">
      <c r="B617" s="212">
        <f t="shared" ref="B617:B632" si="272">B616+1</f>
        <v>5</v>
      </c>
      <c r="C617" s="264" t="str">
        <f t="shared" si="257"/>
        <v>TONI</v>
      </c>
      <c r="D617" s="213"/>
      <c r="E617" s="265" t="str">
        <f t="shared" si="258"/>
        <v>C</v>
      </c>
      <c r="F617" s="215" t="s">
        <v>36</v>
      </c>
      <c r="G617" s="215"/>
      <c r="H617" s="215" t="s">
        <v>37</v>
      </c>
      <c r="I617" s="215"/>
      <c r="J617" s="215" t="s">
        <v>36</v>
      </c>
      <c r="K617" s="215"/>
      <c r="L617" s="215" t="s">
        <v>37</v>
      </c>
      <c r="M617" s="215"/>
      <c r="N617" s="215" t="s">
        <v>37</v>
      </c>
      <c r="O617" s="215"/>
      <c r="P617" s="215" t="s">
        <v>37</v>
      </c>
      <c r="Q617" s="215"/>
      <c r="R617" s="215" t="s">
        <v>37</v>
      </c>
      <c r="S617" s="356"/>
      <c r="T617" s="274">
        <f t="shared" si="271"/>
        <v>5</v>
      </c>
      <c r="U617" s="274"/>
      <c r="V617" s="217" t="str">
        <f t="shared" si="259"/>
        <v>Rp</v>
      </c>
      <c r="W617" s="266">
        <f t="shared" si="260"/>
        <v>115000</v>
      </c>
      <c r="X617" s="217" t="str">
        <f t="shared" si="261"/>
        <v>Rp</v>
      </c>
      <c r="Y617" s="266">
        <f t="shared" si="260"/>
        <v>25000</v>
      </c>
      <c r="Z617" s="217" t="str">
        <f t="shared" si="262"/>
        <v>Rp</v>
      </c>
      <c r="AA617" s="219">
        <f t="shared" si="263"/>
        <v>575000</v>
      </c>
      <c r="AB617" s="222">
        <f>IF(AA617&gt;0,AB615+2,IF(AA617=0," "))</f>
        <v>5</v>
      </c>
      <c r="AC617" s="221"/>
      <c r="AE617" s="211"/>
      <c r="AF617" s="211"/>
      <c r="AI617" s="211">
        <f t="shared" si="264"/>
        <v>0</v>
      </c>
      <c r="AJ617" s="211">
        <f t="shared" si="265"/>
        <v>1</v>
      </c>
      <c r="AK617" s="211">
        <f t="shared" si="266"/>
        <v>0</v>
      </c>
      <c r="AL617" s="211">
        <f t="shared" si="267"/>
        <v>1</v>
      </c>
      <c r="AM617" s="211">
        <f t="shared" si="268"/>
        <v>1</v>
      </c>
      <c r="AN617" s="211">
        <f t="shared" si="269"/>
        <v>1</v>
      </c>
      <c r="AO617" s="211">
        <f t="shared" si="270"/>
        <v>1</v>
      </c>
    </row>
    <row r="618" spans="1:41" ht="24.95" customHeight="1" x14ac:dyDescent="0.25">
      <c r="B618" s="212">
        <f t="shared" si="272"/>
        <v>6</v>
      </c>
      <c r="C618" s="264" t="str">
        <f t="shared" si="257"/>
        <v>SAKIM</v>
      </c>
      <c r="D618" s="213"/>
      <c r="E618" s="265" t="str">
        <f t="shared" si="258"/>
        <v>C</v>
      </c>
      <c r="F618" s="215" t="s">
        <v>36</v>
      </c>
      <c r="G618" s="215"/>
      <c r="H618" s="215" t="s">
        <v>37</v>
      </c>
      <c r="I618" s="215"/>
      <c r="J618" s="215" t="s">
        <v>37</v>
      </c>
      <c r="K618" s="215"/>
      <c r="L618" s="215" t="s">
        <v>37</v>
      </c>
      <c r="M618" s="215"/>
      <c r="N618" s="215" t="s">
        <v>37</v>
      </c>
      <c r="O618" s="215"/>
      <c r="P618" s="215" t="s">
        <v>37</v>
      </c>
      <c r="Q618" s="215"/>
      <c r="R618" s="215" t="s">
        <v>37</v>
      </c>
      <c r="S618" s="356"/>
      <c r="T618" s="274">
        <f t="shared" si="271"/>
        <v>6</v>
      </c>
      <c r="U618" s="274"/>
      <c r="V618" s="217" t="str">
        <f t="shared" si="259"/>
        <v>Rp</v>
      </c>
      <c r="W618" s="266">
        <f t="shared" si="260"/>
        <v>115000</v>
      </c>
      <c r="X618" s="217" t="str">
        <f t="shared" si="261"/>
        <v>Rp</v>
      </c>
      <c r="Y618" s="266">
        <f t="shared" si="260"/>
        <v>25000</v>
      </c>
      <c r="Z618" s="217" t="str">
        <f t="shared" si="262"/>
        <v>Rp</v>
      </c>
      <c r="AA618" s="219">
        <f t="shared" si="263"/>
        <v>690000</v>
      </c>
      <c r="AB618" s="222"/>
      <c r="AC618" s="223">
        <f>IF(AA618&gt;0,AC616+2,IF(AD618=0," "))</f>
        <v>6</v>
      </c>
      <c r="AE618" s="211"/>
      <c r="AF618" s="211"/>
      <c r="AI618" s="211">
        <f t="shared" si="264"/>
        <v>0</v>
      </c>
      <c r="AJ618" s="211">
        <f t="shared" si="265"/>
        <v>1</v>
      </c>
      <c r="AK618" s="211">
        <f t="shared" si="266"/>
        <v>1</v>
      </c>
      <c r="AL618" s="211">
        <f t="shared" si="267"/>
        <v>1</v>
      </c>
      <c r="AM618" s="211">
        <f t="shared" si="268"/>
        <v>1</v>
      </c>
      <c r="AN618" s="211">
        <f t="shared" si="269"/>
        <v>1</v>
      </c>
      <c r="AO618" s="211">
        <f t="shared" si="270"/>
        <v>1</v>
      </c>
    </row>
    <row r="619" spans="1:41" ht="24.95" customHeight="1" x14ac:dyDescent="0.25">
      <c r="B619" s="212">
        <f t="shared" si="272"/>
        <v>7</v>
      </c>
      <c r="C619" s="264" t="str">
        <f t="shared" si="257"/>
        <v>TOHIR</v>
      </c>
      <c r="D619" s="213"/>
      <c r="E619" s="265" t="str">
        <f t="shared" si="258"/>
        <v>C</v>
      </c>
      <c r="F619" s="215" t="s">
        <v>36</v>
      </c>
      <c r="G619" s="215"/>
      <c r="H619" s="215" t="s">
        <v>37</v>
      </c>
      <c r="I619" s="215"/>
      <c r="J619" s="215" t="s">
        <v>37</v>
      </c>
      <c r="K619" s="215"/>
      <c r="L619" s="215" t="s">
        <v>37</v>
      </c>
      <c r="M619" s="215"/>
      <c r="N619" s="215" t="s">
        <v>36</v>
      </c>
      <c r="O619" s="215"/>
      <c r="P619" s="215" t="s">
        <v>37</v>
      </c>
      <c r="Q619" s="215"/>
      <c r="R619" s="215" t="s">
        <v>37</v>
      </c>
      <c r="S619" s="356"/>
      <c r="T619" s="274">
        <f t="shared" si="271"/>
        <v>5</v>
      </c>
      <c r="U619" s="274"/>
      <c r="V619" s="217" t="str">
        <f t="shared" si="259"/>
        <v>Rp</v>
      </c>
      <c r="W619" s="266">
        <f t="shared" si="260"/>
        <v>115000</v>
      </c>
      <c r="X619" s="217" t="str">
        <f t="shared" si="261"/>
        <v>Rp</v>
      </c>
      <c r="Y619" s="266">
        <f t="shared" si="260"/>
        <v>25000</v>
      </c>
      <c r="Z619" s="217" t="str">
        <f t="shared" si="262"/>
        <v>Rp</v>
      </c>
      <c r="AA619" s="219">
        <f t="shared" si="263"/>
        <v>575000</v>
      </c>
      <c r="AB619" s="222">
        <f>IF(AA619&gt;0,AB617+2,IF(AA619=0," "))</f>
        <v>7</v>
      </c>
      <c r="AC619" s="221"/>
      <c r="AE619" s="211"/>
      <c r="AF619" s="211"/>
      <c r="AI619" s="211">
        <f t="shared" si="264"/>
        <v>0</v>
      </c>
      <c r="AJ619" s="211">
        <f t="shared" si="265"/>
        <v>1</v>
      </c>
      <c r="AK619" s="211">
        <f t="shared" si="266"/>
        <v>1</v>
      </c>
      <c r="AL619" s="211">
        <f t="shared" si="267"/>
        <v>1</v>
      </c>
      <c r="AM619" s="211">
        <f t="shared" si="268"/>
        <v>0</v>
      </c>
      <c r="AN619" s="211">
        <f t="shared" si="269"/>
        <v>1</v>
      </c>
      <c r="AO619" s="211">
        <f t="shared" si="270"/>
        <v>1</v>
      </c>
    </row>
    <row r="620" spans="1:41" ht="24.95" customHeight="1" x14ac:dyDescent="0.25">
      <c r="B620" s="212">
        <f t="shared" si="272"/>
        <v>8</v>
      </c>
      <c r="C620" s="264" t="str">
        <f t="shared" si="257"/>
        <v>ROJALI</v>
      </c>
      <c r="D620" s="213"/>
      <c r="E620" s="265" t="str">
        <f t="shared" si="258"/>
        <v>C</v>
      </c>
      <c r="F620" s="215" t="s">
        <v>36</v>
      </c>
      <c r="G620" s="215"/>
      <c r="H620" s="215" t="s">
        <v>37</v>
      </c>
      <c r="I620" s="215"/>
      <c r="J620" s="215" t="s">
        <v>37</v>
      </c>
      <c r="K620" s="215"/>
      <c r="L620" s="215" t="s">
        <v>37</v>
      </c>
      <c r="M620" s="215"/>
      <c r="N620" s="215" t="s">
        <v>37</v>
      </c>
      <c r="O620" s="215"/>
      <c r="P620" s="215" t="s">
        <v>36</v>
      </c>
      <c r="Q620" s="215"/>
      <c r="R620" s="215" t="s">
        <v>37</v>
      </c>
      <c r="S620" s="356"/>
      <c r="T620" s="274">
        <f t="shared" si="271"/>
        <v>5</v>
      </c>
      <c r="U620" s="274"/>
      <c r="V620" s="217" t="str">
        <f t="shared" si="259"/>
        <v>Rp</v>
      </c>
      <c r="W620" s="266">
        <f t="shared" si="260"/>
        <v>115000</v>
      </c>
      <c r="X620" s="217" t="str">
        <f t="shared" si="261"/>
        <v>Rp</v>
      </c>
      <c r="Y620" s="266">
        <f t="shared" si="260"/>
        <v>25000</v>
      </c>
      <c r="Z620" s="217" t="str">
        <f t="shared" si="262"/>
        <v>Rp</v>
      </c>
      <c r="AA620" s="219">
        <f t="shared" si="263"/>
        <v>575000</v>
      </c>
      <c r="AB620" s="222"/>
      <c r="AC620" s="223">
        <f>IF(AA620&gt;0,AC618+2,IF(AD620=0," "))</f>
        <v>8</v>
      </c>
      <c r="AE620" s="211"/>
      <c r="AF620" s="211"/>
      <c r="AI620" s="211">
        <f t="shared" si="264"/>
        <v>0</v>
      </c>
      <c r="AJ620" s="211">
        <f t="shared" si="265"/>
        <v>1</v>
      </c>
      <c r="AK620" s="211">
        <f t="shared" si="266"/>
        <v>1</v>
      </c>
      <c r="AL620" s="211">
        <f t="shared" si="267"/>
        <v>1</v>
      </c>
      <c r="AM620" s="211">
        <f t="shared" si="268"/>
        <v>1</v>
      </c>
      <c r="AN620" s="211">
        <f t="shared" si="269"/>
        <v>0</v>
      </c>
      <c r="AO620" s="211">
        <f t="shared" si="270"/>
        <v>1</v>
      </c>
    </row>
    <row r="621" spans="1:41" ht="24.95" customHeight="1" x14ac:dyDescent="0.25">
      <c r="B621" s="212">
        <f t="shared" si="272"/>
        <v>9</v>
      </c>
      <c r="C621" s="264">
        <f t="shared" si="257"/>
        <v>0</v>
      </c>
      <c r="D621" s="213"/>
      <c r="E621" s="265">
        <f t="shared" si="258"/>
        <v>0</v>
      </c>
      <c r="F621" s="215" t="s">
        <v>36</v>
      </c>
      <c r="G621" s="215"/>
      <c r="H621" s="215" t="s">
        <v>37</v>
      </c>
      <c r="I621" s="215"/>
      <c r="J621" s="215" t="s">
        <v>37</v>
      </c>
      <c r="K621" s="215"/>
      <c r="L621" s="215" t="s">
        <v>37</v>
      </c>
      <c r="M621" s="215"/>
      <c r="N621" s="215" t="s">
        <v>37</v>
      </c>
      <c r="O621" s="215"/>
      <c r="P621" s="215" t="s">
        <v>37</v>
      </c>
      <c r="Q621" s="215"/>
      <c r="R621" s="215" t="s">
        <v>37</v>
      </c>
      <c r="S621" s="356"/>
      <c r="T621" s="274">
        <f t="shared" si="271"/>
        <v>6</v>
      </c>
      <c r="U621" s="274"/>
      <c r="V621" s="217" t="str">
        <f t="shared" si="259"/>
        <v xml:space="preserve"> </v>
      </c>
      <c r="W621" s="266">
        <f t="shared" si="260"/>
        <v>0</v>
      </c>
      <c r="X621" s="217" t="str">
        <f t="shared" si="261"/>
        <v>Rp</v>
      </c>
      <c r="Y621" s="266">
        <f t="shared" si="260"/>
        <v>25000</v>
      </c>
      <c r="Z621" s="217" t="str">
        <f t="shared" si="262"/>
        <v xml:space="preserve"> </v>
      </c>
      <c r="AA621" s="219">
        <f t="shared" si="263"/>
        <v>0</v>
      </c>
      <c r="AB621" s="222" t="str">
        <f>IF(AA621&gt;0,AB619+2,IF(AA621=0," "))</f>
        <v xml:space="preserve"> </v>
      </c>
      <c r="AC621" s="221"/>
      <c r="AE621" s="211"/>
      <c r="AF621" s="211"/>
      <c r="AI621" s="211">
        <f t="shared" si="264"/>
        <v>0</v>
      </c>
      <c r="AJ621" s="211">
        <f t="shared" si="265"/>
        <v>1</v>
      </c>
      <c r="AK621" s="211">
        <f t="shared" si="266"/>
        <v>1</v>
      </c>
      <c r="AL621" s="211">
        <f t="shared" si="267"/>
        <v>1</v>
      </c>
      <c r="AM621" s="211">
        <f t="shared" si="268"/>
        <v>1</v>
      </c>
      <c r="AN621" s="211">
        <f t="shared" si="269"/>
        <v>1</v>
      </c>
      <c r="AO621" s="211">
        <f t="shared" si="270"/>
        <v>1</v>
      </c>
    </row>
    <row r="622" spans="1:41" ht="24.95" customHeight="1" x14ac:dyDescent="0.25">
      <c r="B622" s="212">
        <f t="shared" si="272"/>
        <v>10</v>
      </c>
      <c r="C622" s="264">
        <f t="shared" si="257"/>
        <v>0</v>
      </c>
      <c r="D622" s="213"/>
      <c r="E622" s="265">
        <f t="shared" si="258"/>
        <v>0</v>
      </c>
      <c r="F622" s="215" t="s">
        <v>36</v>
      </c>
      <c r="G622" s="215"/>
      <c r="H622" s="215" t="s">
        <v>37</v>
      </c>
      <c r="I622" s="215"/>
      <c r="J622" s="215" t="s">
        <v>37</v>
      </c>
      <c r="K622" s="215"/>
      <c r="L622" s="215" t="s">
        <v>37</v>
      </c>
      <c r="M622" s="215"/>
      <c r="N622" s="215" t="s">
        <v>37</v>
      </c>
      <c r="O622" s="215"/>
      <c r="P622" s="215" t="s">
        <v>37</v>
      </c>
      <c r="Q622" s="215"/>
      <c r="R622" s="215" t="s">
        <v>37</v>
      </c>
      <c r="S622" s="356"/>
      <c r="T622" s="274">
        <f t="shared" si="271"/>
        <v>6</v>
      </c>
      <c r="U622" s="274"/>
      <c r="V622" s="217" t="str">
        <f t="shared" si="259"/>
        <v xml:space="preserve"> </v>
      </c>
      <c r="W622" s="266">
        <f t="shared" si="260"/>
        <v>0</v>
      </c>
      <c r="X622" s="217" t="str">
        <f t="shared" si="261"/>
        <v>Rp</v>
      </c>
      <c r="Y622" s="266">
        <f t="shared" si="260"/>
        <v>25000</v>
      </c>
      <c r="Z622" s="217" t="str">
        <f t="shared" si="262"/>
        <v xml:space="preserve"> </v>
      </c>
      <c r="AA622" s="219">
        <f t="shared" si="263"/>
        <v>0</v>
      </c>
      <c r="AB622" s="222"/>
      <c r="AC622" s="223" t="str">
        <f>IF(AA622&gt;0,AC620+2,IF(AD622=0," "))</f>
        <v xml:space="preserve"> </v>
      </c>
      <c r="AE622" s="211"/>
      <c r="AF622" s="211"/>
      <c r="AI622" s="211">
        <f t="shared" si="264"/>
        <v>0</v>
      </c>
      <c r="AJ622" s="211">
        <f t="shared" si="265"/>
        <v>1</v>
      </c>
      <c r="AK622" s="211">
        <f t="shared" si="266"/>
        <v>1</v>
      </c>
      <c r="AL622" s="211">
        <f t="shared" si="267"/>
        <v>1</v>
      </c>
      <c r="AM622" s="211">
        <f t="shared" si="268"/>
        <v>1</v>
      </c>
      <c r="AN622" s="211">
        <f t="shared" si="269"/>
        <v>1</v>
      </c>
      <c r="AO622" s="211">
        <f t="shared" si="270"/>
        <v>1</v>
      </c>
    </row>
    <row r="623" spans="1:41" ht="24.95" customHeight="1" x14ac:dyDescent="0.25">
      <c r="B623" s="212">
        <f t="shared" si="272"/>
        <v>11</v>
      </c>
      <c r="C623" s="264">
        <f t="shared" si="257"/>
        <v>0</v>
      </c>
      <c r="D623" s="213"/>
      <c r="E623" s="265">
        <f t="shared" si="258"/>
        <v>0</v>
      </c>
      <c r="F623" s="215" t="s">
        <v>36</v>
      </c>
      <c r="G623" s="215"/>
      <c r="H623" s="215" t="s">
        <v>37</v>
      </c>
      <c r="I623" s="215"/>
      <c r="J623" s="215" t="s">
        <v>37</v>
      </c>
      <c r="K623" s="215"/>
      <c r="L623" s="215" t="s">
        <v>37</v>
      </c>
      <c r="M623" s="215"/>
      <c r="N623" s="215" t="s">
        <v>37</v>
      </c>
      <c r="O623" s="215"/>
      <c r="P623" s="215" t="s">
        <v>36</v>
      </c>
      <c r="Q623" s="215"/>
      <c r="R623" s="215" t="s">
        <v>37</v>
      </c>
      <c r="S623" s="356"/>
      <c r="T623" s="274">
        <f t="shared" si="271"/>
        <v>5</v>
      </c>
      <c r="U623" s="274"/>
      <c r="V623" s="217" t="str">
        <f t="shared" si="259"/>
        <v xml:space="preserve"> </v>
      </c>
      <c r="W623" s="266">
        <f t="shared" si="260"/>
        <v>0</v>
      </c>
      <c r="X623" s="217" t="str">
        <f t="shared" si="261"/>
        <v xml:space="preserve"> </v>
      </c>
      <c r="Y623" s="266">
        <f t="shared" si="260"/>
        <v>0</v>
      </c>
      <c r="Z623" s="217" t="str">
        <f t="shared" si="262"/>
        <v xml:space="preserve"> </v>
      </c>
      <c r="AA623" s="219">
        <f t="shared" si="263"/>
        <v>0</v>
      </c>
      <c r="AB623" s="222" t="str">
        <f>IF(AA623&gt;0,AB621+2,IF(AA623=0," "))</f>
        <v xml:space="preserve"> </v>
      </c>
      <c r="AC623" s="221"/>
      <c r="AE623" s="211"/>
      <c r="AF623" s="211"/>
      <c r="AI623" s="211">
        <f t="shared" si="264"/>
        <v>0</v>
      </c>
      <c r="AJ623" s="211">
        <f t="shared" si="265"/>
        <v>1</v>
      </c>
      <c r="AK623" s="211">
        <f t="shared" si="266"/>
        <v>1</v>
      </c>
      <c r="AL623" s="211">
        <f t="shared" si="267"/>
        <v>1</v>
      </c>
      <c r="AM623" s="211">
        <f t="shared" si="268"/>
        <v>1</v>
      </c>
      <c r="AN623" s="211">
        <f t="shared" si="269"/>
        <v>0</v>
      </c>
      <c r="AO623" s="211">
        <f t="shared" si="270"/>
        <v>1</v>
      </c>
    </row>
    <row r="624" spans="1:41" ht="24.95" customHeight="1" x14ac:dyDescent="0.25">
      <c r="B624" s="212">
        <f t="shared" si="272"/>
        <v>12</v>
      </c>
      <c r="C624" s="264">
        <f t="shared" si="257"/>
        <v>0</v>
      </c>
      <c r="D624" s="213"/>
      <c r="E624" s="265">
        <f t="shared" si="258"/>
        <v>0</v>
      </c>
      <c r="F624" s="215" t="s">
        <v>36</v>
      </c>
      <c r="G624" s="215"/>
      <c r="H624" s="215" t="s">
        <v>37</v>
      </c>
      <c r="I624" s="215"/>
      <c r="J624" s="215" t="s">
        <v>37</v>
      </c>
      <c r="K624" s="215"/>
      <c r="L624" s="215" t="s">
        <v>37</v>
      </c>
      <c r="M624" s="215"/>
      <c r="N624" s="215" t="s">
        <v>37</v>
      </c>
      <c r="O624" s="215"/>
      <c r="P624" s="215" t="s">
        <v>37</v>
      </c>
      <c r="Q624" s="215"/>
      <c r="R624" s="215" t="s">
        <v>37</v>
      </c>
      <c r="S624" s="356"/>
      <c r="T624" s="274">
        <f t="shared" si="271"/>
        <v>6</v>
      </c>
      <c r="U624" s="274"/>
      <c r="V624" s="217" t="str">
        <f t="shared" si="259"/>
        <v xml:space="preserve"> </v>
      </c>
      <c r="W624" s="266">
        <f t="shared" si="260"/>
        <v>0</v>
      </c>
      <c r="X624" s="217" t="str">
        <f t="shared" si="261"/>
        <v xml:space="preserve"> </v>
      </c>
      <c r="Y624" s="266">
        <f t="shared" si="260"/>
        <v>0</v>
      </c>
      <c r="Z624" s="217" t="str">
        <f t="shared" si="262"/>
        <v xml:space="preserve"> </v>
      </c>
      <c r="AA624" s="219">
        <f t="shared" si="263"/>
        <v>0</v>
      </c>
      <c r="AB624" s="222"/>
      <c r="AC624" s="223" t="str">
        <f>IF(AA624&gt;0,AC622+2,IF(AD624=0," "))</f>
        <v xml:space="preserve"> </v>
      </c>
      <c r="AE624" s="211"/>
      <c r="AF624" s="211"/>
      <c r="AI624" s="211">
        <f t="shared" si="264"/>
        <v>0</v>
      </c>
      <c r="AJ624" s="211">
        <f t="shared" si="265"/>
        <v>1</v>
      </c>
      <c r="AK624" s="211">
        <f t="shared" si="266"/>
        <v>1</v>
      </c>
      <c r="AL624" s="211">
        <f t="shared" si="267"/>
        <v>1</v>
      </c>
      <c r="AM624" s="211">
        <f t="shared" si="268"/>
        <v>1</v>
      </c>
      <c r="AN624" s="211">
        <f t="shared" si="269"/>
        <v>1</v>
      </c>
      <c r="AO624" s="211">
        <f t="shared" si="270"/>
        <v>1</v>
      </c>
    </row>
    <row r="625" spans="1:41" ht="24.95" customHeight="1" x14ac:dyDescent="0.25">
      <c r="B625" s="212">
        <f t="shared" si="272"/>
        <v>13</v>
      </c>
      <c r="C625" s="264">
        <f t="shared" si="257"/>
        <v>0</v>
      </c>
      <c r="D625" s="213"/>
      <c r="E625" s="265">
        <f t="shared" si="258"/>
        <v>0</v>
      </c>
      <c r="F625" s="215"/>
      <c r="G625" s="215"/>
      <c r="H625" s="215"/>
      <c r="I625" s="215"/>
      <c r="J625" s="215"/>
      <c r="K625" s="215"/>
      <c r="L625" s="215"/>
      <c r="M625" s="215"/>
      <c r="N625" s="215"/>
      <c r="O625" s="215"/>
      <c r="P625" s="215"/>
      <c r="Q625" s="215"/>
      <c r="R625" s="215"/>
      <c r="S625" s="356"/>
      <c r="T625" s="274">
        <f t="shared" si="271"/>
        <v>0</v>
      </c>
      <c r="U625" s="274"/>
      <c r="V625" s="217" t="str">
        <f t="shared" si="259"/>
        <v xml:space="preserve"> </v>
      </c>
      <c r="W625" s="266">
        <f t="shared" si="260"/>
        <v>0</v>
      </c>
      <c r="X625" s="217" t="str">
        <f t="shared" si="261"/>
        <v xml:space="preserve"> </v>
      </c>
      <c r="Y625" s="266">
        <f t="shared" si="260"/>
        <v>0</v>
      </c>
      <c r="Z625" s="217" t="str">
        <f t="shared" si="262"/>
        <v xml:space="preserve"> </v>
      </c>
      <c r="AA625" s="219">
        <f t="shared" si="263"/>
        <v>0</v>
      </c>
      <c r="AB625" s="222" t="str">
        <f>IF(AA625&gt;0,AB623+2,IF(AA625=0," "))</f>
        <v xml:space="preserve"> </v>
      </c>
      <c r="AC625" s="221"/>
      <c r="AE625" s="211"/>
      <c r="AF625" s="211"/>
      <c r="AI625" s="211" t="b">
        <f t="shared" si="264"/>
        <v>0</v>
      </c>
      <c r="AJ625" s="211" t="b">
        <f t="shared" si="265"/>
        <v>0</v>
      </c>
      <c r="AK625" s="211" t="b">
        <f t="shared" si="266"/>
        <v>0</v>
      </c>
      <c r="AL625" s="211" t="b">
        <f t="shared" si="267"/>
        <v>0</v>
      </c>
      <c r="AM625" s="211" t="b">
        <f t="shared" si="268"/>
        <v>0</v>
      </c>
      <c r="AN625" s="211" t="b">
        <f t="shared" si="269"/>
        <v>0</v>
      </c>
      <c r="AO625" s="211" t="b">
        <f t="shared" si="270"/>
        <v>0</v>
      </c>
    </row>
    <row r="626" spans="1:41" ht="24.95" customHeight="1" x14ac:dyDescent="0.25">
      <c r="B626" s="212">
        <f t="shared" si="272"/>
        <v>14</v>
      </c>
      <c r="C626" s="264" t="str">
        <f t="shared" si="257"/>
        <v xml:space="preserve"> </v>
      </c>
      <c r="D626" s="213"/>
      <c r="E626" s="265" t="str">
        <f t="shared" si="258"/>
        <v xml:space="preserve"> </v>
      </c>
      <c r="F626" s="215"/>
      <c r="G626" s="215"/>
      <c r="H626" s="215"/>
      <c r="I626" s="215"/>
      <c r="J626" s="215"/>
      <c r="K626" s="215"/>
      <c r="L626" s="215"/>
      <c r="M626" s="215"/>
      <c r="N626" s="215"/>
      <c r="O626" s="215"/>
      <c r="P626" s="215"/>
      <c r="Q626" s="215"/>
      <c r="R626" s="215"/>
      <c r="S626" s="356"/>
      <c r="T626" s="274">
        <f t="shared" si="271"/>
        <v>0</v>
      </c>
      <c r="U626" s="274"/>
      <c r="V626" s="217" t="str">
        <f t="shared" si="259"/>
        <v>Rp</v>
      </c>
      <c r="W626" s="266" t="str">
        <f t="shared" si="260"/>
        <v xml:space="preserve"> </v>
      </c>
      <c r="X626" s="217" t="str">
        <f t="shared" si="261"/>
        <v>Rp</v>
      </c>
      <c r="Y626" s="266" t="str">
        <f t="shared" si="260"/>
        <v xml:space="preserve"> </v>
      </c>
      <c r="Z626" s="217" t="e">
        <f t="shared" si="262"/>
        <v>#VALUE!</v>
      </c>
      <c r="AA626" s="219" t="e">
        <f t="shared" si="263"/>
        <v>#VALUE!</v>
      </c>
      <c r="AB626" s="222"/>
      <c r="AC626" s="223" t="e">
        <f>IF(AA626&gt;0,AC624+2,IF(AD626=0," "))</f>
        <v>#VALUE!</v>
      </c>
      <c r="AE626" s="211"/>
      <c r="AF626" s="211"/>
      <c r="AI626" s="211" t="b">
        <f t="shared" si="264"/>
        <v>0</v>
      </c>
      <c r="AJ626" s="211" t="b">
        <f t="shared" si="265"/>
        <v>0</v>
      </c>
      <c r="AK626" s="211" t="b">
        <f t="shared" si="266"/>
        <v>0</v>
      </c>
      <c r="AL626" s="211" t="b">
        <f t="shared" si="267"/>
        <v>0</v>
      </c>
      <c r="AM626" s="211" t="b">
        <f t="shared" si="268"/>
        <v>0</v>
      </c>
      <c r="AN626" s="211" t="b">
        <f t="shared" si="269"/>
        <v>0</v>
      </c>
      <c r="AO626" s="211" t="b">
        <f t="shared" si="270"/>
        <v>0</v>
      </c>
    </row>
    <row r="627" spans="1:41" ht="24.95" customHeight="1" x14ac:dyDescent="0.25">
      <c r="B627" s="212">
        <f t="shared" si="272"/>
        <v>15</v>
      </c>
      <c r="C627" s="264" t="str">
        <f t="shared" si="257"/>
        <v xml:space="preserve"> </v>
      </c>
      <c r="D627" s="213"/>
      <c r="E627" s="265" t="str">
        <f t="shared" si="258"/>
        <v xml:space="preserve"> </v>
      </c>
      <c r="F627" s="215"/>
      <c r="G627" s="215"/>
      <c r="H627" s="215"/>
      <c r="I627" s="215"/>
      <c r="J627" s="215"/>
      <c r="K627" s="215"/>
      <c r="L627" s="215"/>
      <c r="M627" s="215"/>
      <c r="N627" s="215"/>
      <c r="O627" s="215"/>
      <c r="P627" s="215"/>
      <c r="Q627" s="215"/>
      <c r="R627" s="215"/>
      <c r="S627" s="356"/>
      <c r="T627" s="274">
        <f t="shared" si="271"/>
        <v>0</v>
      </c>
      <c r="U627" s="274"/>
      <c r="V627" s="217" t="str">
        <f t="shared" si="259"/>
        <v>Rp</v>
      </c>
      <c r="W627" s="266" t="str">
        <f t="shared" si="260"/>
        <v xml:space="preserve"> </v>
      </c>
      <c r="X627" s="217" t="str">
        <f t="shared" si="261"/>
        <v>Rp</v>
      </c>
      <c r="Y627" s="266" t="str">
        <f t="shared" si="260"/>
        <v xml:space="preserve"> </v>
      </c>
      <c r="Z627" s="217" t="e">
        <f t="shared" si="262"/>
        <v>#VALUE!</v>
      </c>
      <c r="AA627" s="219" t="e">
        <f t="shared" si="263"/>
        <v>#VALUE!</v>
      </c>
      <c r="AB627" s="222" t="e">
        <f>IF(AA627&gt;0,AB625+2,IF(AA627=0," "))</f>
        <v>#VALUE!</v>
      </c>
      <c r="AC627" s="221"/>
      <c r="AE627" s="211"/>
      <c r="AF627" s="211"/>
      <c r="AI627" s="211" t="b">
        <f t="shared" si="264"/>
        <v>0</v>
      </c>
      <c r="AJ627" s="211" t="b">
        <f t="shared" si="265"/>
        <v>0</v>
      </c>
      <c r="AK627" s="211" t="b">
        <f t="shared" si="266"/>
        <v>0</v>
      </c>
      <c r="AL627" s="211" t="b">
        <f t="shared" si="267"/>
        <v>0</v>
      </c>
      <c r="AM627" s="211" t="b">
        <f t="shared" si="268"/>
        <v>0</v>
      </c>
      <c r="AN627" s="211" t="b">
        <f t="shared" si="269"/>
        <v>0</v>
      </c>
      <c r="AO627" s="211" t="b">
        <f t="shared" si="270"/>
        <v>0</v>
      </c>
    </row>
    <row r="628" spans="1:41" ht="24.95" customHeight="1" x14ac:dyDescent="0.25">
      <c r="B628" s="212">
        <f t="shared" si="272"/>
        <v>16</v>
      </c>
      <c r="C628" s="264" t="str">
        <f t="shared" si="257"/>
        <v xml:space="preserve"> </v>
      </c>
      <c r="D628" s="213"/>
      <c r="E628" s="265" t="str">
        <f t="shared" si="258"/>
        <v xml:space="preserve"> </v>
      </c>
      <c r="F628" s="215"/>
      <c r="G628" s="215"/>
      <c r="H628" s="215"/>
      <c r="I628" s="215"/>
      <c r="J628" s="215"/>
      <c r="K628" s="215"/>
      <c r="L628" s="215"/>
      <c r="M628" s="215"/>
      <c r="N628" s="215"/>
      <c r="O628" s="215"/>
      <c r="P628" s="215"/>
      <c r="Q628" s="215"/>
      <c r="R628" s="215"/>
      <c r="S628" s="356"/>
      <c r="T628" s="274">
        <f t="shared" si="271"/>
        <v>0</v>
      </c>
      <c r="U628" s="274"/>
      <c r="V628" s="217" t="str">
        <f t="shared" si="259"/>
        <v>Rp</v>
      </c>
      <c r="W628" s="266" t="str">
        <f t="shared" si="260"/>
        <v xml:space="preserve"> </v>
      </c>
      <c r="X628" s="217" t="str">
        <f t="shared" si="261"/>
        <v>Rp</v>
      </c>
      <c r="Y628" s="266" t="str">
        <f t="shared" si="260"/>
        <v xml:space="preserve"> </v>
      </c>
      <c r="Z628" s="217" t="e">
        <f t="shared" si="262"/>
        <v>#VALUE!</v>
      </c>
      <c r="AA628" s="219" t="e">
        <f t="shared" si="263"/>
        <v>#VALUE!</v>
      </c>
      <c r="AB628" s="222"/>
      <c r="AC628" s="223" t="e">
        <f>IF(AA628&gt;0,AC626+2,IF(AD628=0," "))</f>
        <v>#VALUE!</v>
      </c>
      <c r="AE628" s="211"/>
      <c r="AF628" s="211"/>
      <c r="AI628" s="211" t="b">
        <f t="shared" si="264"/>
        <v>0</v>
      </c>
      <c r="AJ628" s="211" t="b">
        <f t="shared" si="265"/>
        <v>0</v>
      </c>
      <c r="AK628" s="211" t="b">
        <f t="shared" si="266"/>
        <v>0</v>
      </c>
      <c r="AL628" s="211" t="b">
        <f t="shared" si="267"/>
        <v>0</v>
      </c>
      <c r="AM628" s="211" t="b">
        <f t="shared" si="268"/>
        <v>0</v>
      </c>
      <c r="AN628" s="211" t="b">
        <f t="shared" si="269"/>
        <v>0</v>
      </c>
      <c r="AO628" s="211" t="b">
        <f t="shared" si="270"/>
        <v>0</v>
      </c>
    </row>
    <row r="629" spans="1:41" ht="24.95" customHeight="1" x14ac:dyDescent="0.25">
      <c r="B629" s="212">
        <f t="shared" si="272"/>
        <v>17</v>
      </c>
      <c r="C629" s="264" t="str">
        <f t="shared" si="257"/>
        <v xml:space="preserve"> </v>
      </c>
      <c r="D629" s="213"/>
      <c r="E629" s="265" t="str">
        <f t="shared" si="258"/>
        <v xml:space="preserve"> </v>
      </c>
      <c r="F629" s="215"/>
      <c r="G629" s="215"/>
      <c r="H629" s="215"/>
      <c r="I629" s="215"/>
      <c r="J629" s="215"/>
      <c r="K629" s="215"/>
      <c r="L629" s="215"/>
      <c r="M629" s="215"/>
      <c r="N629" s="215"/>
      <c r="O629" s="215"/>
      <c r="P629" s="215"/>
      <c r="Q629" s="215"/>
      <c r="R629" s="215"/>
      <c r="S629" s="356"/>
      <c r="T629" s="274">
        <f t="shared" si="271"/>
        <v>0</v>
      </c>
      <c r="U629" s="274"/>
      <c r="V629" s="217" t="str">
        <f t="shared" si="259"/>
        <v>Rp</v>
      </c>
      <c r="W629" s="266" t="str">
        <f t="shared" ref="W629:Y632" si="273">IFERROR(W582," ")</f>
        <v xml:space="preserve"> </v>
      </c>
      <c r="X629" s="217" t="str">
        <f t="shared" si="261"/>
        <v>Rp</v>
      </c>
      <c r="Y629" s="266" t="str">
        <f t="shared" si="273"/>
        <v xml:space="preserve"> </v>
      </c>
      <c r="Z629" s="217" t="e">
        <f t="shared" si="262"/>
        <v>#VALUE!</v>
      </c>
      <c r="AA629" s="219" t="e">
        <f t="shared" si="263"/>
        <v>#VALUE!</v>
      </c>
      <c r="AB629" s="222" t="e">
        <f>IF(AA629&gt;0,AB627+2,IF(AA629=0," "))</f>
        <v>#VALUE!</v>
      </c>
      <c r="AC629" s="221"/>
      <c r="AE629" s="211"/>
      <c r="AF629" s="211"/>
      <c r="AI629" s="211" t="b">
        <f t="shared" si="264"/>
        <v>0</v>
      </c>
      <c r="AJ629" s="211" t="b">
        <f t="shared" si="265"/>
        <v>0</v>
      </c>
      <c r="AK629" s="211" t="b">
        <f t="shared" si="266"/>
        <v>0</v>
      </c>
      <c r="AL629" s="211" t="b">
        <f t="shared" si="267"/>
        <v>0</v>
      </c>
      <c r="AM629" s="211" t="b">
        <f t="shared" si="268"/>
        <v>0</v>
      </c>
      <c r="AN629" s="211" t="b">
        <f t="shared" si="269"/>
        <v>0</v>
      </c>
      <c r="AO629" s="211" t="b">
        <f t="shared" si="270"/>
        <v>0</v>
      </c>
    </row>
    <row r="630" spans="1:41" ht="24.95" customHeight="1" x14ac:dyDescent="0.2">
      <c r="B630" s="212">
        <f t="shared" si="272"/>
        <v>18</v>
      </c>
      <c r="C630" s="264" t="str">
        <f t="shared" si="257"/>
        <v xml:space="preserve"> </v>
      </c>
      <c r="D630" s="213"/>
      <c r="E630" s="265" t="str">
        <f t="shared" si="258"/>
        <v xml:space="preserve"> </v>
      </c>
      <c r="F630" s="357"/>
      <c r="G630" s="357"/>
      <c r="H630" s="358"/>
      <c r="I630" s="358"/>
      <c r="J630" s="359"/>
      <c r="K630" s="359"/>
      <c r="L630" s="359"/>
      <c r="M630" s="359"/>
      <c r="N630" s="360"/>
      <c r="O630" s="360"/>
      <c r="P630" s="360"/>
      <c r="Q630" s="360"/>
      <c r="R630" s="360"/>
      <c r="S630" s="361"/>
      <c r="T630" s="274">
        <f t="shared" si="271"/>
        <v>0</v>
      </c>
      <c r="U630" s="274"/>
      <c r="V630" s="217" t="str">
        <f t="shared" si="259"/>
        <v>Rp</v>
      </c>
      <c r="W630" s="266" t="str">
        <f t="shared" si="273"/>
        <v xml:space="preserve"> </v>
      </c>
      <c r="X630" s="217" t="str">
        <f t="shared" si="261"/>
        <v>Rp</v>
      </c>
      <c r="Y630" s="266" t="str">
        <f t="shared" si="273"/>
        <v xml:space="preserve"> </v>
      </c>
      <c r="Z630" s="217" t="e">
        <f t="shared" si="262"/>
        <v>#VALUE!</v>
      </c>
      <c r="AA630" s="219" t="e">
        <f t="shared" si="263"/>
        <v>#VALUE!</v>
      </c>
      <c r="AB630" s="222"/>
      <c r="AC630" s="223" t="e">
        <f>IF(AA630&gt;0,AC628+2,IF(AD630=0," "))</f>
        <v>#VALUE!</v>
      </c>
      <c r="AE630" s="211"/>
      <c r="AF630" s="211"/>
      <c r="AI630" s="211" t="b">
        <f t="shared" si="264"/>
        <v>0</v>
      </c>
      <c r="AJ630" s="211" t="b">
        <f t="shared" si="265"/>
        <v>0</v>
      </c>
      <c r="AK630" s="211" t="b">
        <f t="shared" si="266"/>
        <v>0</v>
      </c>
      <c r="AL630" s="211" t="b">
        <f t="shared" si="267"/>
        <v>0</v>
      </c>
      <c r="AM630" s="211" t="b">
        <f t="shared" si="268"/>
        <v>0</v>
      </c>
      <c r="AN630" s="211" t="b">
        <f t="shared" si="269"/>
        <v>0</v>
      </c>
      <c r="AO630" s="211" t="b">
        <f t="shared" si="270"/>
        <v>0</v>
      </c>
    </row>
    <row r="631" spans="1:41" ht="24.95" customHeight="1" x14ac:dyDescent="0.2">
      <c r="B631" s="212">
        <f t="shared" si="272"/>
        <v>19</v>
      </c>
      <c r="C631" s="264" t="str">
        <f t="shared" si="257"/>
        <v xml:space="preserve"> </v>
      </c>
      <c r="D631" s="213"/>
      <c r="E631" s="265" t="str">
        <f t="shared" si="258"/>
        <v xml:space="preserve"> </v>
      </c>
      <c r="F631" s="357"/>
      <c r="G631" s="357"/>
      <c r="H631" s="358"/>
      <c r="I631" s="358"/>
      <c r="J631" s="359"/>
      <c r="K631" s="359"/>
      <c r="L631" s="359"/>
      <c r="M631" s="359"/>
      <c r="N631" s="360"/>
      <c r="O631" s="360"/>
      <c r="P631" s="360"/>
      <c r="Q631" s="360"/>
      <c r="R631" s="360"/>
      <c r="S631" s="361"/>
      <c r="T631" s="274">
        <f t="shared" si="271"/>
        <v>0</v>
      </c>
      <c r="U631" s="274"/>
      <c r="V631" s="217" t="str">
        <f t="shared" si="259"/>
        <v>Rp</v>
      </c>
      <c r="W631" s="266" t="str">
        <f t="shared" si="273"/>
        <v xml:space="preserve"> </v>
      </c>
      <c r="X631" s="217" t="str">
        <f t="shared" si="261"/>
        <v>Rp</v>
      </c>
      <c r="Y631" s="266" t="str">
        <f t="shared" si="273"/>
        <v xml:space="preserve"> </v>
      </c>
      <c r="Z631" s="217" t="e">
        <f t="shared" si="262"/>
        <v>#VALUE!</v>
      </c>
      <c r="AA631" s="219" t="e">
        <f t="shared" si="263"/>
        <v>#VALUE!</v>
      </c>
      <c r="AB631" s="222" t="e">
        <f>IF(AA631&gt;0,AB629+2,IF(AA631=0," "))</f>
        <v>#VALUE!</v>
      </c>
      <c r="AC631" s="221"/>
      <c r="AE631" s="211"/>
      <c r="AF631" s="211"/>
      <c r="AI631" s="211" t="b">
        <f t="shared" si="264"/>
        <v>0</v>
      </c>
      <c r="AJ631" s="211" t="b">
        <f t="shared" si="265"/>
        <v>0</v>
      </c>
      <c r="AK631" s="211" t="b">
        <f t="shared" si="266"/>
        <v>0</v>
      </c>
      <c r="AL631" s="211" t="b">
        <f t="shared" si="267"/>
        <v>0</v>
      </c>
      <c r="AM631" s="211" t="b">
        <f t="shared" si="268"/>
        <v>0</v>
      </c>
      <c r="AN631" s="211" t="b">
        <f t="shared" si="269"/>
        <v>0</v>
      </c>
      <c r="AO631" s="211" t="b">
        <f t="shared" si="270"/>
        <v>0</v>
      </c>
    </row>
    <row r="632" spans="1:41" ht="24.95" customHeight="1" x14ac:dyDescent="0.2">
      <c r="B632" s="212">
        <f t="shared" si="272"/>
        <v>20</v>
      </c>
      <c r="C632" s="264" t="str">
        <f t="shared" si="257"/>
        <v xml:space="preserve"> </v>
      </c>
      <c r="D632" s="213"/>
      <c r="E632" s="265" t="str">
        <f t="shared" si="258"/>
        <v xml:space="preserve"> </v>
      </c>
      <c r="F632" s="357"/>
      <c r="G632" s="357"/>
      <c r="H632" s="358"/>
      <c r="I632" s="358"/>
      <c r="J632" s="359"/>
      <c r="K632" s="359"/>
      <c r="L632" s="359"/>
      <c r="M632" s="359"/>
      <c r="N632" s="360"/>
      <c r="O632" s="360"/>
      <c r="P632" s="360"/>
      <c r="Q632" s="360"/>
      <c r="R632" s="360"/>
      <c r="S632" s="361"/>
      <c r="T632" s="274">
        <f t="shared" si="271"/>
        <v>0</v>
      </c>
      <c r="U632" s="274"/>
      <c r="V632" s="217" t="str">
        <f t="shared" si="259"/>
        <v>Rp</v>
      </c>
      <c r="W632" s="266" t="str">
        <f t="shared" si="273"/>
        <v xml:space="preserve"> </v>
      </c>
      <c r="X632" s="217" t="str">
        <f t="shared" si="261"/>
        <v>Rp</v>
      </c>
      <c r="Y632" s="266" t="str">
        <f t="shared" si="273"/>
        <v xml:space="preserve"> </v>
      </c>
      <c r="Z632" s="217" t="e">
        <f t="shared" si="262"/>
        <v>#VALUE!</v>
      </c>
      <c r="AA632" s="219" t="e">
        <f t="shared" si="263"/>
        <v>#VALUE!</v>
      </c>
      <c r="AB632" s="222"/>
      <c r="AC632" s="223" t="e">
        <f>IF(AA632&gt;0,AC630+2,IF(AD632=0," "))</f>
        <v>#VALUE!</v>
      </c>
      <c r="AE632" s="211"/>
      <c r="AF632" s="211"/>
      <c r="AI632" s="211" t="b">
        <f t="shared" si="264"/>
        <v>0</v>
      </c>
      <c r="AJ632" s="211" t="b">
        <f t="shared" si="265"/>
        <v>0</v>
      </c>
      <c r="AK632" s="211" t="b">
        <f t="shared" si="266"/>
        <v>0</v>
      </c>
      <c r="AL632" s="211" t="b">
        <f t="shared" si="267"/>
        <v>0</v>
      </c>
      <c r="AM632" s="211" t="b">
        <f t="shared" si="268"/>
        <v>0</v>
      </c>
      <c r="AN632" s="211" t="b">
        <f t="shared" si="269"/>
        <v>0</v>
      </c>
      <c r="AO632" s="211" t="b">
        <f t="shared" si="270"/>
        <v>0</v>
      </c>
    </row>
    <row r="633" spans="1:41" ht="24.95" customHeight="1" thickBot="1" x14ac:dyDescent="0.25">
      <c r="B633" s="233"/>
      <c r="C633" s="257"/>
      <c r="D633" s="235"/>
      <c r="E633" s="236"/>
      <c r="F633" s="237"/>
      <c r="G633" s="237"/>
      <c r="H633" s="238"/>
      <c r="I633" s="238"/>
      <c r="J633" s="239"/>
      <c r="K633" s="239"/>
      <c r="L633" s="239"/>
      <c r="M633" s="239"/>
      <c r="N633" s="240"/>
      <c r="O633" s="240"/>
      <c r="P633" s="240"/>
      <c r="Q633" s="240"/>
      <c r="R633" s="240"/>
      <c r="S633" s="353"/>
      <c r="T633" s="259"/>
      <c r="U633" s="259"/>
      <c r="V633" s="242"/>
      <c r="W633" s="258"/>
      <c r="X633" s="242"/>
      <c r="Y633" s="258"/>
      <c r="Z633" s="244"/>
      <c r="AA633" s="236"/>
      <c r="AB633" s="246"/>
      <c r="AC633" s="247"/>
      <c r="AE633" s="211"/>
      <c r="AF633" s="211"/>
    </row>
    <row r="634" spans="1:41" ht="20.100000000000001" customHeight="1" thickTop="1" thickBot="1" x14ac:dyDescent="0.3">
      <c r="A634" s="179">
        <f>A587+1</f>
        <v>16</v>
      </c>
      <c r="B634" s="248"/>
      <c r="C634" s="249"/>
      <c r="D634" s="249"/>
      <c r="E634" s="249"/>
      <c r="F634" s="249"/>
      <c r="G634" s="249"/>
      <c r="H634" s="249"/>
      <c r="I634" s="249"/>
      <c r="J634" s="249"/>
      <c r="K634" s="249"/>
      <c r="L634" s="249"/>
      <c r="M634" s="249"/>
      <c r="N634" s="249"/>
      <c r="O634" s="249"/>
      <c r="P634" s="249"/>
      <c r="Q634" s="249"/>
      <c r="R634" s="249"/>
      <c r="S634" s="249"/>
      <c r="T634" s="249"/>
      <c r="U634" s="249"/>
      <c r="V634" s="249"/>
      <c r="W634" s="250" t="s">
        <v>40</v>
      </c>
      <c r="X634" s="249"/>
      <c r="Y634" s="250" t="s">
        <v>40</v>
      </c>
      <c r="Z634" s="249"/>
      <c r="AA634" s="710" t="e">
        <f>SUM(AA613:AA633)</f>
        <v>#VALUE!</v>
      </c>
      <c r="AB634" s="711"/>
      <c r="AC634" s="712"/>
      <c r="AE634" s="226" t="e">
        <f>VLOOKUP(A634,'Rekap Gaji'!$B$12:$P$32,10,FALSE)</f>
        <v>#N/A</v>
      </c>
      <c r="AF634" s="251" t="e">
        <f>AE634-AA634</f>
        <v>#N/A</v>
      </c>
    </row>
    <row r="635" spans="1:41" ht="11.25" customHeight="1" x14ac:dyDescent="0.25"/>
    <row r="636" spans="1:41" ht="16.5" customHeight="1" x14ac:dyDescent="0.25">
      <c r="B636" s="195" t="s">
        <v>41</v>
      </c>
      <c r="C636" s="140" t="s">
        <v>42</v>
      </c>
    </row>
    <row r="637" spans="1:41" ht="14.25" x14ac:dyDescent="0.25">
      <c r="H637" s="183"/>
      <c r="I637" s="183"/>
      <c r="J637" s="182"/>
      <c r="K637" s="182"/>
      <c r="T637" s="141"/>
      <c r="U637" s="141"/>
      <c r="V637" s="141"/>
      <c r="X637" s="141"/>
      <c r="AA637" s="140" t="str">
        <f>'BKU 1'!$I$25</f>
        <v>NGANTANG</v>
      </c>
      <c r="AB637" s="713" t="str">
        <f>IFERROR(VLOOKUP(E607,'Rekap Gaji'!$B$12:$P$32,7,FALSE),"-")</f>
        <v>-</v>
      </c>
      <c r="AC637" s="713"/>
      <c r="AD637" s="252"/>
      <c r="AE637" s="252"/>
    </row>
    <row r="638" spans="1:41" ht="15.75" x14ac:dyDescent="0.25">
      <c r="C638" s="140" t="s">
        <v>43</v>
      </c>
      <c r="F638" s="253"/>
      <c r="G638" s="253"/>
      <c r="H638" s="254"/>
      <c r="I638" s="254"/>
      <c r="J638" s="255"/>
      <c r="K638" s="255"/>
      <c r="L638" s="256"/>
      <c r="M638" s="256"/>
      <c r="N638" s="225" t="s">
        <v>44</v>
      </c>
      <c r="O638" s="225"/>
      <c r="P638" s="253"/>
      <c r="Q638" s="253"/>
      <c r="T638" s="141"/>
      <c r="U638" s="141"/>
      <c r="V638" s="141"/>
      <c r="X638" s="141"/>
      <c r="AA638" s="140" t="str">
        <f>'BKU 1'!$L$354</f>
        <v>Dibuat Oleh ;</v>
      </c>
      <c r="AB638" s="141"/>
    </row>
    <row r="639" spans="1:41" ht="14.25" x14ac:dyDescent="0.25">
      <c r="C639" s="140" t="str">
        <f>'BKU 1'!$C$355</f>
        <v>Kepala Sekolah SDN 1 SIDODADI</v>
      </c>
      <c r="F639" s="187"/>
      <c r="G639" s="187"/>
      <c r="H639" s="224"/>
      <c r="I639" s="224"/>
      <c r="J639" s="182"/>
      <c r="K639" s="182"/>
      <c r="L639" s="183"/>
      <c r="M639" s="183"/>
      <c r="N639" s="140" t="s">
        <v>45</v>
      </c>
      <c r="P639" s="187"/>
      <c r="Q639" s="187"/>
      <c r="AA639" s="140" t="str">
        <f>'BKU 1'!$L$355</f>
        <v>Bendahara Pembangunan</v>
      </c>
      <c r="AB639" s="141"/>
    </row>
    <row r="640" spans="1:41" ht="14.25" x14ac:dyDescent="0.25">
      <c r="F640" s="187"/>
      <c r="G640" s="187"/>
      <c r="H640" s="224"/>
      <c r="I640" s="224"/>
      <c r="J640" s="182"/>
      <c r="K640" s="182"/>
      <c r="L640" s="183"/>
      <c r="M640" s="183"/>
      <c r="P640" s="187"/>
      <c r="Q640" s="187"/>
      <c r="AA640" s="140"/>
      <c r="AB640" s="141"/>
    </row>
    <row r="641" spans="1:32" ht="14.25" x14ac:dyDescent="0.25">
      <c r="F641" s="187"/>
      <c r="G641" s="187"/>
      <c r="H641" s="224"/>
      <c r="I641" s="224"/>
      <c r="J641" s="182"/>
      <c r="K641" s="182"/>
      <c r="L641" s="183"/>
      <c r="M641" s="183"/>
      <c r="P641" s="187"/>
      <c r="Q641" s="187"/>
      <c r="AA641" s="140"/>
      <c r="AB641" s="141"/>
    </row>
    <row r="642" spans="1:32" ht="14.25" x14ac:dyDescent="0.25">
      <c r="F642" s="187"/>
      <c r="G642" s="187"/>
      <c r="H642" s="224"/>
      <c r="I642" s="224"/>
      <c r="J642" s="182"/>
      <c r="K642" s="182"/>
      <c r="L642" s="183"/>
      <c r="M642" s="183"/>
      <c r="P642" s="187"/>
      <c r="Q642" s="187"/>
      <c r="AA642" s="140"/>
      <c r="AB642" s="141"/>
    </row>
    <row r="643" spans="1:32" ht="14.25" x14ac:dyDescent="0.25">
      <c r="F643" s="187"/>
      <c r="G643" s="187"/>
      <c r="H643" s="224"/>
      <c r="I643" s="224"/>
      <c r="J643" s="182"/>
      <c r="K643" s="182"/>
      <c r="L643" s="183"/>
      <c r="M643" s="183"/>
      <c r="P643" s="187"/>
      <c r="Q643" s="187"/>
      <c r="AA643" s="140"/>
      <c r="AB643" s="141"/>
    </row>
    <row r="644" spans="1:32" x14ac:dyDescent="0.25">
      <c r="H644" s="225"/>
      <c r="I644" s="225"/>
      <c r="AA644" s="140"/>
    </row>
    <row r="645" spans="1:32" x14ac:dyDescent="0.25">
      <c r="H645" s="225"/>
      <c r="I645" s="225"/>
      <c r="AA645" s="140"/>
    </row>
    <row r="646" spans="1:32" s="189" customFormat="1" ht="15" customHeight="1" x14ac:dyDescent="0.25">
      <c r="A646" s="192"/>
      <c r="B646" s="195"/>
      <c r="C646" s="227" t="str">
        <f>'BKU 1'!$C$360</f>
        <v>MELIA FITRIANI, S.Pd.SD</v>
      </c>
      <c r="D646" s="227"/>
      <c r="H646" s="228"/>
      <c r="I646" s="228"/>
      <c r="J646" s="195"/>
      <c r="K646" s="195"/>
      <c r="L646" s="194"/>
      <c r="M646" s="194"/>
      <c r="N646" s="229">
        <f>'BKU 1'!$G$361</f>
        <v>0</v>
      </c>
      <c r="O646" s="229"/>
      <c r="AA646" s="227" t="str">
        <f>'BKU 1'!$L$360</f>
        <v>ARIF NUR UDIN, S.Pd.SD</v>
      </c>
      <c r="AC646" s="230"/>
      <c r="AE646" s="231"/>
      <c r="AF646" s="231"/>
    </row>
    <row r="647" spans="1:32" s="189" customFormat="1" ht="15" customHeight="1" x14ac:dyDescent="0.25">
      <c r="A647" s="192"/>
      <c r="B647" s="195"/>
      <c r="C647" s="140" t="str">
        <f>'BKU 1'!$C$361</f>
        <v>NIP. 19850619 200904 2 000</v>
      </c>
      <c r="D647" s="140"/>
      <c r="E647" s="140"/>
      <c r="F647" s="140"/>
      <c r="G647" s="140"/>
      <c r="H647" s="225"/>
      <c r="I647" s="225"/>
      <c r="J647" s="191"/>
      <c r="K647" s="191"/>
      <c r="L647" s="190"/>
      <c r="M647" s="190"/>
      <c r="N647" s="232">
        <f>'BKU 1'!$G$361</f>
        <v>0</v>
      </c>
      <c r="O647" s="232"/>
      <c r="P647" s="140"/>
      <c r="Q647" s="140"/>
      <c r="T647" s="140"/>
      <c r="U647" s="140"/>
      <c r="V647" s="140"/>
      <c r="W647" s="140"/>
      <c r="X647" s="140"/>
      <c r="Y647" s="140"/>
      <c r="Z647" s="140"/>
      <c r="AA647" s="140" t="str">
        <f>'BKU 1'!$L$361</f>
        <v>NIP. 19840719 200903 1 002</v>
      </c>
      <c r="AC647" s="230"/>
      <c r="AE647" s="231"/>
      <c r="AF647" s="231"/>
    </row>
    <row r="648" spans="1:32" ht="6" customHeight="1" x14ac:dyDescent="0.25"/>
    <row r="649" spans="1:32" s="177" customFormat="1" ht="24.95" customHeight="1" x14ac:dyDescent="0.25">
      <c r="A649" s="176"/>
      <c r="B649" s="726" t="s">
        <v>6</v>
      </c>
      <c r="C649" s="726"/>
      <c r="D649" s="726"/>
      <c r="E649" s="726"/>
      <c r="F649" s="726"/>
      <c r="G649" s="726"/>
      <c r="H649" s="726"/>
      <c r="I649" s="726"/>
      <c r="J649" s="726"/>
      <c r="K649" s="726"/>
      <c r="L649" s="726"/>
      <c r="M649" s="726"/>
      <c r="N649" s="726"/>
      <c r="O649" s="726"/>
      <c r="P649" s="726"/>
      <c r="Q649" s="726"/>
      <c r="R649" s="726"/>
      <c r="S649" s="726"/>
      <c r="T649" s="726"/>
      <c r="U649" s="726"/>
      <c r="V649" s="726"/>
      <c r="W649" s="726"/>
      <c r="X649" s="726"/>
      <c r="Y649" s="726"/>
      <c r="Z649" s="726"/>
      <c r="AA649" s="726"/>
      <c r="AB649" s="726"/>
      <c r="AC649" s="726"/>
      <c r="AE649" s="178"/>
      <c r="AF649" s="178"/>
    </row>
    <row r="650" spans="1:32" s="177" customFormat="1" ht="24.95" customHeight="1" x14ac:dyDescent="0.25">
      <c r="A650" s="176"/>
      <c r="B650" s="726" t="str">
        <f>'BKU 1'!$D$22</f>
        <v>PEMBANGUNAN TOILET BESERTA SANITASINYA</v>
      </c>
      <c r="C650" s="726"/>
      <c r="D650" s="726"/>
      <c r="E650" s="726"/>
      <c r="F650" s="726"/>
      <c r="G650" s="726"/>
      <c r="H650" s="726"/>
      <c r="I650" s="726"/>
      <c r="J650" s="726"/>
      <c r="K650" s="726"/>
      <c r="L650" s="726"/>
      <c r="M650" s="726"/>
      <c r="N650" s="726"/>
      <c r="O650" s="726"/>
      <c r="P650" s="726"/>
      <c r="Q650" s="726"/>
      <c r="R650" s="726"/>
      <c r="S650" s="726"/>
      <c r="T650" s="726"/>
      <c r="U650" s="726"/>
      <c r="V650" s="726"/>
      <c r="W650" s="726"/>
      <c r="X650" s="726"/>
      <c r="Y650" s="726"/>
      <c r="Z650" s="726"/>
      <c r="AA650" s="726"/>
      <c r="AB650" s="726"/>
      <c r="AC650" s="726"/>
      <c r="AE650" s="178"/>
      <c r="AF650" s="178"/>
    </row>
    <row r="651" spans="1:32" s="184" customFormat="1" ht="30.75" customHeight="1" x14ac:dyDescent="0.25">
      <c r="A651" s="179"/>
      <c r="B651" s="180"/>
      <c r="C651" s="181"/>
      <c r="D651" s="181"/>
      <c r="E651" s="181"/>
      <c r="F651" s="182"/>
      <c r="G651" s="182"/>
      <c r="H651" s="183"/>
      <c r="I651" s="183"/>
      <c r="J651" s="182"/>
      <c r="K651" s="182"/>
      <c r="L651" s="183"/>
      <c r="M651" s="183"/>
      <c r="N651" s="182"/>
      <c r="O651" s="182"/>
      <c r="P651" s="182"/>
      <c r="Q651" s="182"/>
      <c r="R651" s="182"/>
      <c r="S651" s="182"/>
      <c r="T651" s="181"/>
      <c r="U651" s="181"/>
      <c r="V651" s="181"/>
      <c r="X651" s="181"/>
      <c r="AA651" s="180"/>
      <c r="AB651" s="140"/>
      <c r="AC651" s="185"/>
      <c r="AE651" s="186"/>
      <c r="AF651" s="186"/>
    </row>
    <row r="652" spans="1:32" s="184" customFormat="1" ht="14.25" x14ac:dyDescent="0.25">
      <c r="A652" s="179"/>
      <c r="B652" s="185" t="s">
        <v>7</v>
      </c>
      <c r="D652" s="184" t="s">
        <v>49</v>
      </c>
      <c r="E652" s="184" t="str">
        <f>'BKU 1'!$D$25</f>
        <v>SDN 1 SIDODADI</v>
      </c>
      <c r="F652" s="140"/>
      <c r="G652" s="140"/>
      <c r="H652" s="183"/>
      <c r="I652" s="183"/>
      <c r="J652" s="182"/>
      <c r="K652" s="182"/>
      <c r="L652" s="183"/>
      <c r="M652" s="183"/>
      <c r="N652" s="187"/>
      <c r="O652" s="187"/>
      <c r="P652" s="187"/>
      <c r="Q652" s="187"/>
      <c r="R652" s="187"/>
      <c r="S652" s="187"/>
      <c r="T652" s="188"/>
      <c r="U652" s="188"/>
      <c r="V652" s="188"/>
      <c r="X652" s="188"/>
      <c r="AA652" s="180"/>
      <c r="AB652" s="189" t="s">
        <v>8</v>
      </c>
      <c r="AC652" s="185"/>
      <c r="AE652" s="186"/>
      <c r="AF652" s="186"/>
    </row>
    <row r="653" spans="1:32" s="184" customFormat="1" x14ac:dyDescent="0.25">
      <c r="A653" s="179"/>
      <c r="B653" s="185" t="s">
        <v>9</v>
      </c>
      <c r="D653" s="184" t="s">
        <v>49</v>
      </c>
      <c r="E653" s="184" t="str">
        <f>'BKU 1'!$D$26</f>
        <v>Jl. Kawi No.36 Rt. 1 Rw. 1 Dusun Sekar, Rt / Rw : 1 / 1, Dusun : Sekar, Kelurahan : Sidodadi</v>
      </c>
      <c r="F653" s="140"/>
      <c r="G653" s="140"/>
      <c r="H653" s="190"/>
      <c r="I653" s="190"/>
      <c r="J653" s="191"/>
      <c r="K653" s="191"/>
      <c r="L653" s="190"/>
      <c r="M653" s="190"/>
      <c r="N653" s="140"/>
      <c r="O653" s="140"/>
      <c r="P653" s="140"/>
      <c r="Q653" s="140"/>
      <c r="R653" s="140"/>
      <c r="S653" s="140"/>
      <c r="AA653" s="180"/>
      <c r="AB653" s="140" t="s">
        <v>10</v>
      </c>
      <c r="AC653" s="185" t="s">
        <v>11</v>
      </c>
      <c r="AE653" s="186"/>
      <c r="AF653" s="186"/>
    </row>
    <row r="654" spans="1:32" s="184" customFormat="1" x14ac:dyDescent="0.25">
      <c r="A654" s="179"/>
      <c r="B654" s="185" t="s">
        <v>12</v>
      </c>
      <c r="D654" s="184" t="s">
        <v>49</v>
      </c>
      <c r="E654" s="180">
        <f>E607+1</f>
        <v>17</v>
      </c>
      <c r="F654" s="140"/>
      <c r="G654" s="140"/>
      <c r="H654" s="727" t="str">
        <f>IFERROR(VLOOKUP(E654,'Rekap Gaji'!$B$12:$P$32,14,FALSE),"-")</f>
        <v>-</v>
      </c>
      <c r="I654" s="727"/>
      <c r="J654" s="727"/>
      <c r="K654" s="727"/>
      <c r="L654" s="727"/>
      <c r="M654" s="191"/>
      <c r="N654" s="140"/>
      <c r="O654" s="140"/>
      <c r="P654" s="140"/>
      <c r="Q654" s="140"/>
      <c r="R654" s="140"/>
      <c r="S654" s="140"/>
      <c r="AA654" s="180"/>
      <c r="AB654" s="140" t="s">
        <v>13</v>
      </c>
      <c r="AC654" s="185" t="s">
        <v>14</v>
      </c>
      <c r="AE654" s="186"/>
      <c r="AF654" s="186"/>
    </row>
    <row r="655" spans="1:32" s="184" customFormat="1" ht="15" customHeight="1" x14ac:dyDescent="0.25">
      <c r="A655" s="179"/>
      <c r="B655" s="185" t="s">
        <v>0</v>
      </c>
      <c r="D655" s="184" t="s">
        <v>49</v>
      </c>
      <c r="E655" s="728" t="str">
        <f>IFERROR(VLOOKUP(E654,'Rekap Gaji'!$B$12:$P$32,4,FALSE),"-")</f>
        <v>-</v>
      </c>
      <c r="F655" s="728"/>
      <c r="G655" s="728"/>
      <c r="H655" s="728"/>
      <c r="I655" s="728"/>
      <c r="J655" s="728"/>
      <c r="K655" s="339"/>
      <c r="L655" s="727" t="s">
        <v>76</v>
      </c>
      <c r="M655" s="727"/>
      <c r="N655" s="727"/>
      <c r="O655" s="191"/>
      <c r="P655" s="728" t="str">
        <f>IFERROR(VLOOKUP(E654,'Rekap Gaji'!$B$12:$P$32,6,FALSE),"-")</f>
        <v>-</v>
      </c>
      <c r="Q655" s="728"/>
      <c r="R655" s="728"/>
      <c r="S655" s="728"/>
      <c r="T655" s="728"/>
      <c r="U655" s="728"/>
      <c r="V655" s="728"/>
      <c r="AA655" s="180"/>
      <c r="AB655" s="140" t="s">
        <v>15</v>
      </c>
      <c r="AC655" s="185" t="s">
        <v>16</v>
      </c>
      <c r="AE655" s="186"/>
      <c r="AF655" s="186"/>
    </row>
    <row r="656" spans="1:32" s="188" customFormat="1" ht="8.1" customHeight="1" thickBot="1" x14ac:dyDescent="0.3">
      <c r="A656" s="192"/>
      <c r="B656" s="193"/>
      <c r="F656" s="189"/>
      <c r="G656" s="189"/>
      <c r="H656" s="194"/>
      <c r="I656" s="194"/>
      <c r="J656" s="195"/>
      <c r="K656" s="195"/>
      <c r="L656" s="194"/>
      <c r="M656" s="194"/>
      <c r="N656" s="189"/>
      <c r="O656" s="189"/>
      <c r="P656" s="189"/>
      <c r="Q656" s="189"/>
      <c r="R656" s="189"/>
      <c r="S656" s="189"/>
      <c r="AA656" s="193"/>
      <c r="AB656" s="189"/>
      <c r="AC656" s="196"/>
      <c r="AE656" s="197"/>
      <c r="AF656" s="197"/>
    </row>
    <row r="657" spans="2:41" ht="15" customHeight="1" x14ac:dyDescent="0.25">
      <c r="B657" s="729" t="s">
        <v>17</v>
      </c>
      <c r="C657" s="717" t="s">
        <v>18</v>
      </c>
      <c r="D657" s="732"/>
      <c r="E657" s="268" t="s">
        <v>19</v>
      </c>
      <c r="F657" s="717" t="s">
        <v>20</v>
      </c>
      <c r="G657" s="734"/>
      <c r="H657" s="734"/>
      <c r="I657" s="734"/>
      <c r="J657" s="734"/>
      <c r="K657" s="734"/>
      <c r="L657" s="734"/>
      <c r="M657" s="734"/>
      <c r="N657" s="734"/>
      <c r="O657" s="734"/>
      <c r="P657" s="734"/>
      <c r="Q657" s="734"/>
      <c r="R657" s="732"/>
      <c r="S657" s="337"/>
      <c r="T657" s="267" t="s">
        <v>2</v>
      </c>
      <c r="U657" s="267"/>
      <c r="V657" s="717" t="s">
        <v>21</v>
      </c>
      <c r="W657" s="732"/>
      <c r="X657" s="717" t="s">
        <v>21</v>
      </c>
      <c r="Y657" s="732"/>
      <c r="Z657" s="717" t="s">
        <v>22</v>
      </c>
      <c r="AA657" s="732"/>
      <c r="AB657" s="717" t="s">
        <v>23</v>
      </c>
      <c r="AC657" s="718"/>
    </row>
    <row r="658" spans="2:41" ht="15" customHeight="1" x14ac:dyDescent="0.25">
      <c r="B658" s="730"/>
      <c r="C658" s="719"/>
      <c r="D658" s="725"/>
      <c r="E658" s="270" t="s">
        <v>24</v>
      </c>
      <c r="F658" s="723" t="s">
        <v>25</v>
      </c>
      <c r="G658" s="338"/>
      <c r="H658" s="723" t="s">
        <v>26</v>
      </c>
      <c r="I658" s="338"/>
      <c r="J658" s="723" t="s">
        <v>26</v>
      </c>
      <c r="K658" s="338"/>
      <c r="L658" s="723" t="s">
        <v>27</v>
      </c>
      <c r="M658" s="338"/>
      <c r="N658" s="723" t="s">
        <v>28</v>
      </c>
      <c r="O658" s="338"/>
      <c r="P658" s="723" t="s">
        <v>29</v>
      </c>
      <c r="Q658" s="338"/>
      <c r="R658" s="723" t="s">
        <v>26</v>
      </c>
      <c r="S658" s="269"/>
      <c r="T658" s="269" t="s">
        <v>30</v>
      </c>
      <c r="U658" s="269"/>
      <c r="V658" s="719" t="s">
        <v>31</v>
      </c>
      <c r="W658" s="725"/>
      <c r="X658" s="719" t="s">
        <v>31</v>
      </c>
      <c r="Y658" s="725"/>
      <c r="Z658" s="719" t="s">
        <v>31</v>
      </c>
      <c r="AA658" s="725"/>
      <c r="AB658" s="719"/>
      <c r="AC658" s="720"/>
    </row>
    <row r="659" spans="2:41" ht="15" customHeight="1" thickBot="1" x14ac:dyDescent="0.3">
      <c r="B659" s="731"/>
      <c r="C659" s="721"/>
      <c r="D659" s="733"/>
      <c r="E659" s="272" t="s">
        <v>32</v>
      </c>
      <c r="F659" s="724"/>
      <c r="G659" s="272"/>
      <c r="H659" s="724"/>
      <c r="I659" s="272"/>
      <c r="J659" s="724"/>
      <c r="K659" s="272"/>
      <c r="L659" s="724"/>
      <c r="M659" s="272"/>
      <c r="N659" s="724"/>
      <c r="O659" s="272"/>
      <c r="P659" s="724"/>
      <c r="Q659" s="272"/>
      <c r="R659" s="724"/>
      <c r="S659" s="271"/>
      <c r="T659" s="271" t="s">
        <v>31</v>
      </c>
      <c r="U659" s="271"/>
      <c r="V659" s="721" t="s">
        <v>33</v>
      </c>
      <c r="W659" s="733"/>
      <c r="X659" s="721" t="s">
        <v>33</v>
      </c>
      <c r="Y659" s="733"/>
      <c r="Z659" s="721" t="s">
        <v>34</v>
      </c>
      <c r="AA659" s="733"/>
      <c r="AB659" s="721"/>
      <c r="AC659" s="722"/>
    </row>
    <row r="660" spans="2:41" ht="24.95" customHeight="1" x14ac:dyDescent="0.25">
      <c r="B660" s="201">
        <v>1</v>
      </c>
      <c r="C660" s="261" t="str">
        <f t="shared" ref="C660:C679" si="274">IFERROR(C613," ")</f>
        <v>KUSMAN H</v>
      </c>
      <c r="D660" s="203"/>
      <c r="E660" s="262" t="str">
        <f t="shared" ref="E660:E679" si="275">IFERROR(E613," ")</f>
        <v>A</v>
      </c>
      <c r="F660" s="215" t="s">
        <v>36</v>
      </c>
      <c r="G660" s="215"/>
      <c r="H660" s="215" t="s">
        <v>37</v>
      </c>
      <c r="I660" s="215"/>
      <c r="J660" s="215" t="s">
        <v>37</v>
      </c>
      <c r="K660" s="215"/>
      <c r="L660" s="215" t="s">
        <v>37</v>
      </c>
      <c r="M660" s="215"/>
      <c r="N660" s="215" t="s">
        <v>37</v>
      </c>
      <c r="O660" s="215"/>
      <c r="P660" s="215" t="s">
        <v>37</v>
      </c>
      <c r="Q660" s="215"/>
      <c r="R660" s="215" t="s">
        <v>37</v>
      </c>
      <c r="S660" s="362"/>
      <c r="T660" s="273">
        <f>SUM(AI660:AO660)</f>
        <v>6</v>
      </c>
      <c r="U660" s="273"/>
      <c r="V660" s="207" t="str">
        <f t="shared" ref="V660:V679" si="276">IF(W660&gt;0,"Rp",IF(W660=0," "))</f>
        <v>Rp</v>
      </c>
      <c r="W660" s="263">
        <f t="shared" ref="W660:Y675" si="277">IFERROR(W613," ")</f>
        <v>135000</v>
      </c>
      <c r="X660" s="207" t="str">
        <f t="shared" ref="X660:X679" si="278">IF(Y660&gt;0,"Rp",IF(Y660=0," "))</f>
        <v>Rp</v>
      </c>
      <c r="Y660" s="263">
        <f t="shared" si="277"/>
        <v>25000</v>
      </c>
      <c r="Z660" s="207" t="str">
        <f t="shared" ref="Z660:Z679" si="279">IF(AA660&gt;0,"Rp",IF(AA660=0," "))</f>
        <v>Rp</v>
      </c>
      <c r="AA660" s="208">
        <f t="shared" ref="AA660:AA679" si="280">W660*T660</f>
        <v>810000</v>
      </c>
      <c r="AB660" s="209">
        <f>IF(AA660&gt;0,1,IF(AA660=0," "))</f>
        <v>1</v>
      </c>
      <c r="AC660" s="210"/>
      <c r="AE660" s="260"/>
      <c r="AF660" s="140"/>
      <c r="AI660" s="211">
        <f t="shared" ref="AI660:AI679" si="281">IFERROR(IF(F660="V",1,IF(F660="X",0))," ")</f>
        <v>0</v>
      </c>
      <c r="AJ660" s="211">
        <f t="shared" ref="AJ660:AJ679" si="282">IFERROR(IF(H660="V",1,IF(H660="X",0))," ")</f>
        <v>1</v>
      </c>
      <c r="AK660" s="211">
        <f t="shared" ref="AK660:AK679" si="283">IFERROR(IF(J660="V",1,IF(J660="X",0))," ")</f>
        <v>1</v>
      </c>
      <c r="AL660" s="211">
        <f t="shared" ref="AL660:AL679" si="284">IFERROR(IF(L660="V",1,IF(L660="X",0))," ")</f>
        <v>1</v>
      </c>
      <c r="AM660" s="211">
        <f t="shared" ref="AM660:AM679" si="285">IFERROR(IF(N660="V",1,IF(N660="X",0))," ")</f>
        <v>1</v>
      </c>
      <c r="AN660" s="211">
        <f t="shared" ref="AN660:AN679" si="286">IFERROR(IF(P660="V",1,IF(P660="X",0))," ")</f>
        <v>1</v>
      </c>
      <c r="AO660" s="211">
        <f t="shared" ref="AO660:AO679" si="287">IFERROR(IF(R660="V",1,IF(R660="X",0))," ")</f>
        <v>1</v>
      </c>
    </row>
    <row r="661" spans="2:41" ht="24.95" customHeight="1" x14ac:dyDescent="0.25">
      <c r="B661" s="212">
        <f>B660+1</f>
        <v>2</v>
      </c>
      <c r="C661" s="264" t="str">
        <f t="shared" si="274"/>
        <v>BUSANI</v>
      </c>
      <c r="D661" s="213"/>
      <c r="E661" s="265" t="str">
        <f t="shared" si="275"/>
        <v>B</v>
      </c>
      <c r="F661" s="215" t="s">
        <v>36</v>
      </c>
      <c r="G661" s="215"/>
      <c r="H661" s="215" t="s">
        <v>37</v>
      </c>
      <c r="I661" s="215"/>
      <c r="J661" s="215" t="s">
        <v>37</v>
      </c>
      <c r="K661" s="215"/>
      <c r="L661" s="215" t="s">
        <v>37</v>
      </c>
      <c r="M661" s="215"/>
      <c r="N661" s="215" t="s">
        <v>37</v>
      </c>
      <c r="O661" s="215"/>
      <c r="P661" s="215" t="s">
        <v>37</v>
      </c>
      <c r="Q661" s="215"/>
      <c r="R661" s="215" t="s">
        <v>37</v>
      </c>
      <c r="S661" s="356"/>
      <c r="T661" s="274">
        <f t="shared" ref="T661:T679" si="288">SUM(AI661:AO661)</f>
        <v>6</v>
      </c>
      <c r="U661" s="274"/>
      <c r="V661" s="217" t="str">
        <f t="shared" si="276"/>
        <v>Rp</v>
      </c>
      <c r="W661" s="266">
        <f t="shared" si="277"/>
        <v>125000</v>
      </c>
      <c r="X661" s="217" t="str">
        <f t="shared" si="278"/>
        <v>Rp</v>
      </c>
      <c r="Y661" s="266">
        <f t="shared" si="277"/>
        <v>25000</v>
      </c>
      <c r="Z661" s="217" t="str">
        <f t="shared" si="279"/>
        <v>Rp</v>
      </c>
      <c r="AA661" s="219">
        <f t="shared" si="280"/>
        <v>750000</v>
      </c>
      <c r="AB661" s="220"/>
      <c r="AC661" s="221">
        <f>IF(AA661&gt;0,2,IF(AA660=0," "))</f>
        <v>2</v>
      </c>
      <c r="AE661" s="211"/>
      <c r="AF661" s="211"/>
      <c r="AI661" s="211">
        <f t="shared" si="281"/>
        <v>0</v>
      </c>
      <c r="AJ661" s="211">
        <f t="shared" si="282"/>
        <v>1</v>
      </c>
      <c r="AK661" s="211">
        <f t="shared" si="283"/>
        <v>1</v>
      </c>
      <c r="AL661" s="211">
        <f t="shared" si="284"/>
        <v>1</v>
      </c>
      <c r="AM661" s="211">
        <f t="shared" si="285"/>
        <v>1</v>
      </c>
      <c r="AN661" s="211">
        <f t="shared" si="286"/>
        <v>1</v>
      </c>
      <c r="AO661" s="211">
        <f t="shared" si="287"/>
        <v>1</v>
      </c>
    </row>
    <row r="662" spans="2:41" ht="24.95" customHeight="1" x14ac:dyDescent="0.25">
      <c r="B662" s="212">
        <f>B661+1</f>
        <v>3</v>
      </c>
      <c r="C662" s="264" t="str">
        <f t="shared" si="274"/>
        <v>LASMARI</v>
      </c>
      <c r="D662" s="213"/>
      <c r="E662" s="265" t="str">
        <f t="shared" si="275"/>
        <v>B</v>
      </c>
      <c r="F662" s="215" t="s">
        <v>36</v>
      </c>
      <c r="G662" s="215"/>
      <c r="H662" s="215" t="s">
        <v>37</v>
      </c>
      <c r="I662" s="215"/>
      <c r="J662" s="215" t="s">
        <v>37</v>
      </c>
      <c r="K662" s="215"/>
      <c r="L662" s="215" t="s">
        <v>37</v>
      </c>
      <c r="M662" s="215"/>
      <c r="N662" s="215" t="s">
        <v>36</v>
      </c>
      <c r="O662" s="215"/>
      <c r="P662" s="215" t="s">
        <v>37</v>
      </c>
      <c r="Q662" s="215"/>
      <c r="R662" s="215" t="s">
        <v>37</v>
      </c>
      <c r="S662" s="356"/>
      <c r="T662" s="274">
        <f t="shared" si="288"/>
        <v>5</v>
      </c>
      <c r="U662" s="274"/>
      <c r="V662" s="217" t="str">
        <f t="shared" si="276"/>
        <v>Rp</v>
      </c>
      <c r="W662" s="266">
        <f t="shared" si="277"/>
        <v>125000</v>
      </c>
      <c r="X662" s="217" t="str">
        <f t="shared" si="278"/>
        <v>Rp</v>
      </c>
      <c r="Y662" s="266">
        <f t="shared" si="277"/>
        <v>25000</v>
      </c>
      <c r="Z662" s="217" t="str">
        <f t="shared" si="279"/>
        <v>Rp</v>
      </c>
      <c r="AA662" s="219">
        <f t="shared" si="280"/>
        <v>625000</v>
      </c>
      <c r="AB662" s="222">
        <f>IF(AA662&gt;0,AB660+2,IF(AA662=0," "))</f>
        <v>3</v>
      </c>
      <c r="AC662" s="221"/>
      <c r="AE662" s="211"/>
      <c r="AF662" s="211"/>
      <c r="AI662" s="211">
        <f t="shared" si="281"/>
        <v>0</v>
      </c>
      <c r="AJ662" s="211">
        <f t="shared" si="282"/>
        <v>1</v>
      </c>
      <c r="AK662" s="211">
        <f t="shared" si="283"/>
        <v>1</v>
      </c>
      <c r="AL662" s="211">
        <f t="shared" si="284"/>
        <v>1</v>
      </c>
      <c r="AM662" s="211">
        <f t="shared" si="285"/>
        <v>0</v>
      </c>
      <c r="AN662" s="211">
        <f t="shared" si="286"/>
        <v>1</v>
      </c>
      <c r="AO662" s="211">
        <f t="shared" si="287"/>
        <v>1</v>
      </c>
    </row>
    <row r="663" spans="2:41" ht="24.95" customHeight="1" x14ac:dyDescent="0.25">
      <c r="B663" s="212">
        <f>B662+1</f>
        <v>4</v>
      </c>
      <c r="C663" s="264" t="str">
        <f t="shared" si="274"/>
        <v>SUMARTO</v>
      </c>
      <c r="D663" s="213"/>
      <c r="E663" s="265" t="str">
        <f t="shared" si="275"/>
        <v>B</v>
      </c>
      <c r="F663" s="215" t="s">
        <v>36</v>
      </c>
      <c r="G663" s="215"/>
      <c r="H663" s="215" t="s">
        <v>37</v>
      </c>
      <c r="I663" s="215"/>
      <c r="J663" s="215" t="s">
        <v>37</v>
      </c>
      <c r="K663" s="215"/>
      <c r="L663" s="215" t="s">
        <v>37</v>
      </c>
      <c r="M663" s="215"/>
      <c r="N663" s="215" t="s">
        <v>37</v>
      </c>
      <c r="O663" s="215"/>
      <c r="P663" s="215" t="s">
        <v>37</v>
      </c>
      <c r="Q663" s="215"/>
      <c r="R663" s="215" t="s">
        <v>37</v>
      </c>
      <c r="S663" s="356"/>
      <c r="T663" s="274">
        <f t="shared" si="288"/>
        <v>6</v>
      </c>
      <c r="U663" s="274"/>
      <c r="V663" s="217" t="str">
        <f t="shared" si="276"/>
        <v>Rp</v>
      </c>
      <c r="W663" s="266">
        <f t="shared" si="277"/>
        <v>125000</v>
      </c>
      <c r="X663" s="217" t="str">
        <f t="shared" si="278"/>
        <v>Rp</v>
      </c>
      <c r="Y663" s="266">
        <f t="shared" si="277"/>
        <v>25000</v>
      </c>
      <c r="Z663" s="217" t="str">
        <f t="shared" si="279"/>
        <v>Rp</v>
      </c>
      <c r="AA663" s="219">
        <f t="shared" si="280"/>
        <v>750000</v>
      </c>
      <c r="AB663" s="222"/>
      <c r="AC663" s="223">
        <f>IF(AA663&gt;0,AC661+2,IF(AD663=0," "))</f>
        <v>4</v>
      </c>
      <c r="AE663" s="211"/>
      <c r="AF663" s="211"/>
      <c r="AI663" s="211">
        <f t="shared" si="281"/>
        <v>0</v>
      </c>
      <c r="AJ663" s="211">
        <f t="shared" si="282"/>
        <v>1</v>
      </c>
      <c r="AK663" s="211">
        <f t="shared" si="283"/>
        <v>1</v>
      </c>
      <c r="AL663" s="211">
        <f t="shared" si="284"/>
        <v>1</v>
      </c>
      <c r="AM663" s="211">
        <f t="shared" si="285"/>
        <v>1</v>
      </c>
      <c r="AN663" s="211">
        <f t="shared" si="286"/>
        <v>1</v>
      </c>
      <c r="AO663" s="211">
        <f t="shared" si="287"/>
        <v>1</v>
      </c>
    </row>
    <row r="664" spans="2:41" ht="24.95" customHeight="1" x14ac:dyDescent="0.25">
      <c r="B664" s="212">
        <f t="shared" ref="B664:B679" si="289">B663+1</f>
        <v>5</v>
      </c>
      <c r="C664" s="264" t="str">
        <f t="shared" si="274"/>
        <v>TONI</v>
      </c>
      <c r="D664" s="213"/>
      <c r="E664" s="265" t="str">
        <f t="shared" si="275"/>
        <v>C</v>
      </c>
      <c r="F664" s="215" t="s">
        <v>36</v>
      </c>
      <c r="G664" s="215"/>
      <c r="H664" s="215" t="s">
        <v>37</v>
      </c>
      <c r="I664" s="215"/>
      <c r="J664" s="215" t="s">
        <v>36</v>
      </c>
      <c r="K664" s="215"/>
      <c r="L664" s="215" t="s">
        <v>36</v>
      </c>
      <c r="M664" s="215"/>
      <c r="N664" s="215" t="s">
        <v>37</v>
      </c>
      <c r="O664" s="215"/>
      <c r="P664" s="215" t="s">
        <v>37</v>
      </c>
      <c r="Q664" s="215"/>
      <c r="R664" s="215" t="s">
        <v>37</v>
      </c>
      <c r="S664" s="356"/>
      <c r="T664" s="274">
        <f t="shared" si="288"/>
        <v>4</v>
      </c>
      <c r="U664" s="274"/>
      <c r="V664" s="217" t="str">
        <f t="shared" si="276"/>
        <v>Rp</v>
      </c>
      <c r="W664" s="266">
        <f t="shared" si="277"/>
        <v>115000</v>
      </c>
      <c r="X664" s="217" t="str">
        <f t="shared" si="278"/>
        <v>Rp</v>
      </c>
      <c r="Y664" s="266">
        <f t="shared" si="277"/>
        <v>25000</v>
      </c>
      <c r="Z664" s="217" t="str">
        <f t="shared" si="279"/>
        <v>Rp</v>
      </c>
      <c r="AA664" s="219">
        <f t="shared" si="280"/>
        <v>460000</v>
      </c>
      <c r="AB664" s="222">
        <f>IF(AA664&gt;0,AB662+2,IF(AA664=0," "))</f>
        <v>5</v>
      </c>
      <c r="AC664" s="221"/>
      <c r="AE664" s="211"/>
      <c r="AF664" s="211"/>
      <c r="AI664" s="211">
        <f t="shared" si="281"/>
        <v>0</v>
      </c>
      <c r="AJ664" s="211">
        <f t="shared" si="282"/>
        <v>1</v>
      </c>
      <c r="AK664" s="211">
        <f t="shared" si="283"/>
        <v>0</v>
      </c>
      <c r="AL664" s="211">
        <f t="shared" si="284"/>
        <v>0</v>
      </c>
      <c r="AM664" s="211">
        <f t="shared" si="285"/>
        <v>1</v>
      </c>
      <c r="AN664" s="211">
        <f t="shared" si="286"/>
        <v>1</v>
      </c>
      <c r="AO664" s="211">
        <f t="shared" si="287"/>
        <v>1</v>
      </c>
    </row>
    <row r="665" spans="2:41" ht="24.95" customHeight="1" x14ac:dyDescent="0.25">
      <c r="B665" s="212">
        <f t="shared" si="289"/>
        <v>6</v>
      </c>
      <c r="C665" s="264" t="str">
        <f t="shared" si="274"/>
        <v>SAKIM</v>
      </c>
      <c r="D665" s="213"/>
      <c r="E665" s="265" t="str">
        <f t="shared" si="275"/>
        <v>C</v>
      </c>
      <c r="F665" s="215" t="s">
        <v>36</v>
      </c>
      <c r="G665" s="215"/>
      <c r="H665" s="215" t="s">
        <v>37</v>
      </c>
      <c r="I665" s="215"/>
      <c r="J665" s="215" t="s">
        <v>37</v>
      </c>
      <c r="K665" s="215"/>
      <c r="L665" s="215" t="s">
        <v>37</v>
      </c>
      <c r="M665" s="215"/>
      <c r="N665" s="215" t="s">
        <v>37</v>
      </c>
      <c r="O665" s="215"/>
      <c r="P665" s="215" t="s">
        <v>37</v>
      </c>
      <c r="Q665" s="215"/>
      <c r="R665" s="215" t="s">
        <v>37</v>
      </c>
      <c r="S665" s="356"/>
      <c r="T665" s="274">
        <f t="shared" si="288"/>
        <v>6</v>
      </c>
      <c r="U665" s="274"/>
      <c r="V665" s="217" t="str">
        <f t="shared" si="276"/>
        <v>Rp</v>
      </c>
      <c r="W665" s="266">
        <f t="shared" si="277"/>
        <v>115000</v>
      </c>
      <c r="X665" s="217" t="str">
        <f t="shared" si="278"/>
        <v>Rp</v>
      </c>
      <c r="Y665" s="266">
        <f t="shared" si="277"/>
        <v>25000</v>
      </c>
      <c r="Z665" s="217" t="str">
        <f t="shared" si="279"/>
        <v>Rp</v>
      </c>
      <c r="AA665" s="219">
        <f t="shared" si="280"/>
        <v>690000</v>
      </c>
      <c r="AB665" s="222"/>
      <c r="AC665" s="223">
        <f>IF(AA665&gt;0,AC663+2,IF(AD665=0," "))</f>
        <v>6</v>
      </c>
      <c r="AE665" s="211"/>
      <c r="AF665" s="211"/>
      <c r="AI665" s="211">
        <f t="shared" si="281"/>
        <v>0</v>
      </c>
      <c r="AJ665" s="211">
        <f t="shared" si="282"/>
        <v>1</v>
      </c>
      <c r="AK665" s="211">
        <f t="shared" si="283"/>
        <v>1</v>
      </c>
      <c r="AL665" s="211">
        <f t="shared" si="284"/>
        <v>1</v>
      </c>
      <c r="AM665" s="211">
        <f t="shared" si="285"/>
        <v>1</v>
      </c>
      <c r="AN665" s="211">
        <f t="shared" si="286"/>
        <v>1</v>
      </c>
      <c r="AO665" s="211">
        <f t="shared" si="287"/>
        <v>1</v>
      </c>
    </row>
    <row r="666" spans="2:41" ht="24.95" customHeight="1" x14ac:dyDescent="0.25">
      <c r="B666" s="212">
        <f t="shared" si="289"/>
        <v>7</v>
      </c>
      <c r="C666" s="264" t="str">
        <f t="shared" si="274"/>
        <v>TOHIR</v>
      </c>
      <c r="D666" s="213"/>
      <c r="E666" s="265" t="str">
        <f t="shared" si="275"/>
        <v>C</v>
      </c>
      <c r="F666" s="215" t="s">
        <v>36</v>
      </c>
      <c r="G666" s="215"/>
      <c r="H666" s="215" t="s">
        <v>37</v>
      </c>
      <c r="I666" s="215"/>
      <c r="J666" s="215" t="s">
        <v>37</v>
      </c>
      <c r="K666" s="215"/>
      <c r="L666" s="215" t="s">
        <v>37</v>
      </c>
      <c r="M666" s="215"/>
      <c r="N666" s="215" t="s">
        <v>37</v>
      </c>
      <c r="O666" s="215"/>
      <c r="P666" s="215" t="s">
        <v>36</v>
      </c>
      <c r="Q666" s="215"/>
      <c r="R666" s="215" t="s">
        <v>37</v>
      </c>
      <c r="S666" s="356"/>
      <c r="T666" s="274">
        <f t="shared" si="288"/>
        <v>5</v>
      </c>
      <c r="U666" s="274"/>
      <c r="V666" s="217" t="str">
        <f t="shared" si="276"/>
        <v>Rp</v>
      </c>
      <c r="W666" s="266">
        <f t="shared" si="277"/>
        <v>115000</v>
      </c>
      <c r="X666" s="217" t="str">
        <f t="shared" si="278"/>
        <v>Rp</v>
      </c>
      <c r="Y666" s="266">
        <f t="shared" si="277"/>
        <v>25000</v>
      </c>
      <c r="Z666" s="217" t="str">
        <f t="shared" si="279"/>
        <v>Rp</v>
      </c>
      <c r="AA666" s="219">
        <f t="shared" si="280"/>
        <v>575000</v>
      </c>
      <c r="AB666" s="222">
        <f>IF(AA666&gt;0,AB664+2,IF(AA666=0," "))</f>
        <v>7</v>
      </c>
      <c r="AC666" s="221"/>
      <c r="AE666" s="211"/>
      <c r="AF666" s="211"/>
      <c r="AI666" s="211">
        <f t="shared" si="281"/>
        <v>0</v>
      </c>
      <c r="AJ666" s="211">
        <f t="shared" si="282"/>
        <v>1</v>
      </c>
      <c r="AK666" s="211">
        <f t="shared" si="283"/>
        <v>1</v>
      </c>
      <c r="AL666" s="211">
        <f t="shared" si="284"/>
        <v>1</v>
      </c>
      <c r="AM666" s="211">
        <f t="shared" si="285"/>
        <v>1</v>
      </c>
      <c r="AN666" s="211">
        <f t="shared" si="286"/>
        <v>0</v>
      </c>
      <c r="AO666" s="211">
        <f t="shared" si="287"/>
        <v>1</v>
      </c>
    </row>
    <row r="667" spans="2:41" ht="24.95" customHeight="1" x14ac:dyDescent="0.25">
      <c r="B667" s="212">
        <f t="shared" si="289"/>
        <v>8</v>
      </c>
      <c r="C667" s="264" t="str">
        <f t="shared" si="274"/>
        <v>ROJALI</v>
      </c>
      <c r="D667" s="213"/>
      <c r="E667" s="265" t="str">
        <f t="shared" si="275"/>
        <v>C</v>
      </c>
      <c r="F667" s="215" t="s">
        <v>36</v>
      </c>
      <c r="G667" s="215"/>
      <c r="H667" s="215" t="s">
        <v>37</v>
      </c>
      <c r="I667" s="215"/>
      <c r="J667" s="215" t="s">
        <v>37</v>
      </c>
      <c r="K667" s="215"/>
      <c r="L667" s="215" t="s">
        <v>37</v>
      </c>
      <c r="M667" s="215"/>
      <c r="N667" s="215" t="s">
        <v>37</v>
      </c>
      <c r="O667" s="215"/>
      <c r="P667" s="215" t="s">
        <v>37</v>
      </c>
      <c r="Q667" s="215"/>
      <c r="R667" s="215" t="s">
        <v>37</v>
      </c>
      <c r="S667" s="356"/>
      <c r="T667" s="274">
        <f t="shared" si="288"/>
        <v>6</v>
      </c>
      <c r="U667" s="274"/>
      <c r="V667" s="217" t="str">
        <f t="shared" si="276"/>
        <v>Rp</v>
      </c>
      <c r="W667" s="266">
        <f t="shared" si="277"/>
        <v>115000</v>
      </c>
      <c r="X667" s="217" t="str">
        <f t="shared" si="278"/>
        <v>Rp</v>
      </c>
      <c r="Y667" s="266">
        <f t="shared" si="277"/>
        <v>25000</v>
      </c>
      <c r="Z667" s="217" t="str">
        <f t="shared" si="279"/>
        <v>Rp</v>
      </c>
      <c r="AA667" s="219">
        <f t="shared" si="280"/>
        <v>690000</v>
      </c>
      <c r="AB667" s="222"/>
      <c r="AC667" s="223">
        <f>IF(AA667&gt;0,AC665+2,IF(AD667=0," "))</f>
        <v>8</v>
      </c>
      <c r="AE667" s="211"/>
      <c r="AF667" s="211"/>
      <c r="AI667" s="211">
        <f t="shared" si="281"/>
        <v>0</v>
      </c>
      <c r="AJ667" s="211">
        <f t="shared" si="282"/>
        <v>1</v>
      </c>
      <c r="AK667" s="211">
        <f t="shared" si="283"/>
        <v>1</v>
      </c>
      <c r="AL667" s="211">
        <f t="shared" si="284"/>
        <v>1</v>
      </c>
      <c r="AM667" s="211">
        <f t="shared" si="285"/>
        <v>1</v>
      </c>
      <c r="AN667" s="211">
        <f t="shared" si="286"/>
        <v>1</v>
      </c>
      <c r="AO667" s="211">
        <f t="shared" si="287"/>
        <v>1</v>
      </c>
    </row>
    <row r="668" spans="2:41" ht="24.95" customHeight="1" x14ac:dyDescent="0.25">
      <c r="B668" s="212">
        <f t="shared" si="289"/>
        <v>9</v>
      </c>
      <c r="C668" s="264">
        <f t="shared" si="274"/>
        <v>0</v>
      </c>
      <c r="D668" s="213"/>
      <c r="E668" s="265">
        <f t="shared" si="275"/>
        <v>0</v>
      </c>
      <c r="F668" s="215" t="s">
        <v>36</v>
      </c>
      <c r="G668" s="215"/>
      <c r="H668" s="215" t="s">
        <v>37</v>
      </c>
      <c r="I668" s="215"/>
      <c r="J668" s="215" t="s">
        <v>37</v>
      </c>
      <c r="K668" s="215"/>
      <c r="L668" s="215" t="s">
        <v>37</v>
      </c>
      <c r="M668" s="215"/>
      <c r="N668" s="215" t="s">
        <v>36</v>
      </c>
      <c r="O668" s="215"/>
      <c r="P668" s="215" t="s">
        <v>37</v>
      </c>
      <c r="Q668" s="215"/>
      <c r="R668" s="215" t="s">
        <v>37</v>
      </c>
      <c r="S668" s="356"/>
      <c r="T668" s="274">
        <f t="shared" si="288"/>
        <v>5</v>
      </c>
      <c r="U668" s="274"/>
      <c r="V668" s="217" t="str">
        <f t="shared" si="276"/>
        <v xml:space="preserve"> </v>
      </c>
      <c r="W668" s="266">
        <f t="shared" si="277"/>
        <v>0</v>
      </c>
      <c r="X668" s="217" t="str">
        <f t="shared" si="278"/>
        <v>Rp</v>
      </c>
      <c r="Y668" s="266">
        <f t="shared" si="277"/>
        <v>25000</v>
      </c>
      <c r="Z668" s="217" t="str">
        <f t="shared" si="279"/>
        <v xml:space="preserve"> </v>
      </c>
      <c r="AA668" s="219">
        <f t="shared" si="280"/>
        <v>0</v>
      </c>
      <c r="AB668" s="222" t="str">
        <f>IF(AA668&gt;0,AB666+2,IF(AA668=0," "))</f>
        <v xml:space="preserve"> </v>
      </c>
      <c r="AC668" s="221"/>
      <c r="AE668" s="211"/>
      <c r="AF668" s="211"/>
      <c r="AI668" s="211">
        <f t="shared" si="281"/>
        <v>0</v>
      </c>
      <c r="AJ668" s="211">
        <f t="shared" si="282"/>
        <v>1</v>
      </c>
      <c r="AK668" s="211">
        <f t="shared" si="283"/>
        <v>1</v>
      </c>
      <c r="AL668" s="211">
        <f t="shared" si="284"/>
        <v>1</v>
      </c>
      <c r="AM668" s="211">
        <f t="shared" si="285"/>
        <v>0</v>
      </c>
      <c r="AN668" s="211">
        <f t="shared" si="286"/>
        <v>1</v>
      </c>
      <c r="AO668" s="211">
        <f t="shared" si="287"/>
        <v>1</v>
      </c>
    </row>
    <row r="669" spans="2:41" ht="24.95" customHeight="1" x14ac:dyDescent="0.25">
      <c r="B669" s="212">
        <f t="shared" si="289"/>
        <v>10</v>
      </c>
      <c r="C669" s="264">
        <f t="shared" si="274"/>
        <v>0</v>
      </c>
      <c r="D669" s="213"/>
      <c r="E669" s="265">
        <f t="shared" si="275"/>
        <v>0</v>
      </c>
      <c r="F669" s="215" t="s">
        <v>36</v>
      </c>
      <c r="G669" s="215"/>
      <c r="H669" s="215" t="s">
        <v>37</v>
      </c>
      <c r="I669" s="215"/>
      <c r="J669" s="215" t="s">
        <v>37</v>
      </c>
      <c r="K669" s="215"/>
      <c r="L669" s="215" t="s">
        <v>37</v>
      </c>
      <c r="M669" s="215"/>
      <c r="N669" s="215" t="s">
        <v>37</v>
      </c>
      <c r="O669" s="215"/>
      <c r="P669" s="215" t="s">
        <v>37</v>
      </c>
      <c r="Q669" s="215"/>
      <c r="R669" s="215" t="s">
        <v>37</v>
      </c>
      <c r="S669" s="356"/>
      <c r="T669" s="274">
        <f t="shared" si="288"/>
        <v>6</v>
      </c>
      <c r="U669" s="274"/>
      <c r="V669" s="217" t="str">
        <f t="shared" si="276"/>
        <v xml:space="preserve"> </v>
      </c>
      <c r="W669" s="266">
        <f t="shared" si="277"/>
        <v>0</v>
      </c>
      <c r="X669" s="217" t="str">
        <f t="shared" si="278"/>
        <v>Rp</v>
      </c>
      <c r="Y669" s="266">
        <f t="shared" si="277"/>
        <v>25000</v>
      </c>
      <c r="Z669" s="217" t="str">
        <f t="shared" si="279"/>
        <v xml:space="preserve"> </v>
      </c>
      <c r="AA669" s="219">
        <f t="shared" si="280"/>
        <v>0</v>
      </c>
      <c r="AB669" s="222"/>
      <c r="AC669" s="223" t="str">
        <f>IF(AA669&gt;0,AC667+2,IF(AD669=0," "))</f>
        <v xml:space="preserve"> </v>
      </c>
      <c r="AE669" s="211"/>
      <c r="AF669" s="211"/>
      <c r="AI669" s="211">
        <f t="shared" si="281"/>
        <v>0</v>
      </c>
      <c r="AJ669" s="211">
        <f t="shared" si="282"/>
        <v>1</v>
      </c>
      <c r="AK669" s="211">
        <f t="shared" si="283"/>
        <v>1</v>
      </c>
      <c r="AL669" s="211">
        <f t="shared" si="284"/>
        <v>1</v>
      </c>
      <c r="AM669" s="211">
        <f t="shared" si="285"/>
        <v>1</v>
      </c>
      <c r="AN669" s="211">
        <f t="shared" si="286"/>
        <v>1</v>
      </c>
      <c r="AO669" s="211">
        <f t="shared" si="287"/>
        <v>1</v>
      </c>
    </row>
    <row r="670" spans="2:41" ht="24.95" customHeight="1" x14ac:dyDescent="0.25">
      <c r="B670" s="212">
        <f t="shared" si="289"/>
        <v>11</v>
      </c>
      <c r="C670" s="264">
        <f t="shared" si="274"/>
        <v>0</v>
      </c>
      <c r="D670" s="213"/>
      <c r="E670" s="265">
        <f t="shared" si="275"/>
        <v>0</v>
      </c>
      <c r="F670" s="215" t="s">
        <v>36</v>
      </c>
      <c r="G670" s="215"/>
      <c r="H670" s="215" t="s">
        <v>37</v>
      </c>
      <c r="I670" s="215"/>
      <c r="J670" s="215" t="s">
        <v>37</v>
      </c>
      <c r="K670" s="215"/>
      <c r="L670" s="215" t="s">
        <v>37</v>
      </c>
      <c r="M670" s="215"/>
      <c r="N670" s="215" t="s">
        <v>36</v>
      </c>
      <c r="O670" s="215"/>
      <c r="P670" s="215" t="s">
        <v>37</v>
      </c>
      <c r="Q670" s="215"/>
      <c r="R670" s="215" t="s">
        <v>37</v>
      </c>
      <c r="S670" s="356"/>
      <c r="T670" s="274">
        <f t="shared" si="288"/>
        <v>5</v>
      </c>
      <c r="U670" s="274"/>
      <c r="V670" s="217" t="str">
        <f t="shared" si="276"/>
        <v xml:space="preserve"> </v>
      </c>
      <c r="W670" s="266">
        <f t="shared" si="277"/>
        <v>0</v>
      </c>
      <c r="X670" s="217" t="str">
        <f t="shared" si="278"/>
        <v xml:space="preserve"> </v>
      </c>
      <c r="Y670" s="266">
        <f t="shared" si="277"/>
        <v>0</v>
      </c>
      <c r="Z670" s="217" t="str">
        <f t="shared" si="279"/>
        <v xml:space="preserve"> </v>
      </c>
      <c r="AA670" s="219">
        <f t="shared" si="280"/>
        <v>0</v>
      </c>
      <c r="AB670" s="222" t="str">
        <f>IF(AA670&gt;0,AB668+2,IF(AA670=0," "))</f>
        <v xml:space="preserve"> </v>
      </c>
      <c r="AC670" s="221"/>
      <c r="AE670" s="211"/>
      <c r="AF670" s="211"/>
      <c r="AI670" s="211">
        <f t="shared" si="281"/>
        <v>0</v>
      </c>
      <c r="AJ670" s="211">
        <f t="shared" si="282"/>
        <v>1</v>
      </c>
      <c r="AK670" s="211">
        <f t="shared" si="283"/>
        <v>1</v>
      </c>
      <c r="AL670" s="211">
        <f t="shared" si="284"/>
        <v>1</v>
      </c>
      <c r="AM670" s="211">
        <f t="shared" si="285"/>
        <v>0</v>
      </c>
      <c r="AN670" s="211">
        <f t="shared" si="286"/>
        <v>1</v>
      </c>
      <c r="AO670" s="211">
        <f t="shared" si="287"/>
        <v>1</v>
      </c>
    </row>
    <row r="671" spans="2:41" ht="24.95" customHeight="1" x14ac:dyDescent="0.25">
      <c r="B671" s="212">
        <f t="shared" si="289"/>
        <v>12</v>
      </c>
      <c r="C671" s="264">
        <f t="shared" si="274"/>
        <v>0</v>
      </c>
      <c r="D671" s="213"/>
      <c r="E671" s="265">
        <f t="shared" si="275"/>
        <v>0</v>
      </c>
      <c r="F671" s="215" t="s">
        <v>36</v>
      </c>
      <c r="G671" s="215"/>
      <c r="H671" s="215" t="s">
        <v>37</v>
      </c>
      <c r="I671" s="215"/>
      <c r="J671" s="215" t="s">
        <v>37</v>
      </c>
      <c r="K671" s="215"/>
      <c r="L671" s="215" t="s">
        <v>37</v>
      </c>
      <c r="M671" s="215"/>
      <c r="N671" s="215" t="s">
        <v>37</v>
      </c>
      <c r="O671" s="215"/>
      <c r="P671" s="215" t="s">
        <v>37</v>
      </c>
      <c r="Q671" s="215"/>
      <c r="R671" s="215" t="s">
        <v>37</v>
      </c>
      <c r="S671" s="356"/>
      <c r="T671" s="274">
        <f t="shared" si="288"/>
        <v>6</v>
      </c>
      <c r="U671" s="274"/>
      <c r="V671" s="217" t="str">
        <f t="shared" si="276"/>
        <v xml:space="preserve"> </v>
      </c>
      <c r="W671" s="266">
        <f t="shared" si="277"/>
        <v>0</v>
      </c>
      <c r="X671" s="217" t="str">
        <f t="shared" si="278"/>
        <v xml:space="preserve"> </v>
      </c>
      <c r="Y671" s="266">
        <f t="shared" si="277"/>
        <v>0</v>
      </c>
      <c r="Z671" s="217" t="str">
        <f t="shared" si="279"/>
        <v xml:space="preserve"> </v>
      </c>
      <c r="AA671" s="219">
        <f t="shared" si="280"/>
        <v>0</v>
      </c>
      <c r="AB671" s="222"/>
      <c r="AC671" s="223" t="str">
        <f>IF(AA671&gt;0,AC669+2,IF(AD671=0," "))</f>
        <v xml:space="preserve"> </v>
      </c>
      <c r="AE671" s="211"/>
      <c r="AF671" s="211"/>
      <c r="AI671" s="211">
        <f t="shared" si="281"/>
        <v>0</v>
      </c>
      <c r="AJ671" s="211">
        <f t="shared" si="282"/>
        <v>1</v>
      </c>
      <c r="AK671" s="211">
        <f t="shared" si="283"/>
        <v>1</v>
      </c>
      <c r="AL671" s="211">
        <f t="shared" si="284"/>
        <v>1</v>
      </c>
      <c r="AM671" s="211">
        <f t="shared" si="285"/>
        <v>1</v>
      </c>
      <c r="AN671" s="211">
        <f t="shared" si="286"/>
        <v>1</v>
      </c>
      <c r="AO671" s="211">
        <f t="shared" si="287"/>
        <v>1</v>
      </c>
    </row>
    <row r="672" spans="2:41" ht="24.95" customHeight="1" x14ac:dyDescent="0.25">
      <c r="B672" s="212">
        <f t="shared" si="289"/>
        <v>13</v>
      </c>
      <c r="C672" s="264">
        <f t="shared" si="274"/>
        <v>0</v>
      </c>
      <c r="D672" s="213"/>
      <c r="E672" s="265">
        <f t="shared" si="275"/>
        <v>0</v>
      </c>
      <c r="F672" s="215"/>
      <c r="G672" s="215"/>
      <c r="H672" s="215"/>
      <c r="I672" s="215"/>
      <c r="J672" s="215"/>
      <c r="K672" s="215"/>
      <c r="L672" s="215"/>
      <c r="M672" s="215"/>
      <c r="N672" s="215"/>
      <c r="O672" s="215"/>
      <c r="P672" s="215"/>
      <c r="Q672" s="215"/>
      <c r="R672" s="215"/>
      <c r="S672" s="356"/>
      <c r="T672" s="274">
        <f t="shared" si="288"/>
        <v>0</v>
      </c>
      <c r="U672" s="274"/>
      <c r="V672" s="217" t="str">
        <f t="shared" si="276"/>
        <v xml:space="preserve"> </v>
      </c>
      <c r="W672" s="266">
        <f t="shared" si="277"/>
        <v>0</v>
      </c>
      <c r="X672" s="217" t="str">
        <f t="shared" si="278"/>
        <v xml:space="preserve"> </v>
      </c>
      <c r="Y672" s="266">
        <f t="shared" si="277"/>
        <v>0</v>
      </c>
      <c r="Z672" s="217" t="str">
        <f t="shared" si="279"/>
        <v xml:space="preserve"> </v>
      </c>
      <c r="AA672" s="219">
        <f t="shared" si="280"/>
        <v>0</v>
      </c>
      <c r="AB672" s="222" t="str">
        <f>IF(AA672&gt;0,AB670+2,IF(AA672=0," "))</f>
        <v xml:space="preserve"> </v>
      </c>
      <c r="AC672" s="221"/>
      <c r="AE672" s="211"/>
      <c r="AF672" s="211"/>
      <c r="AI672" s="211" t="b">
        <f t="shared" si="281"/>
        <v>0</v>
      </c>
      <c r="AJ672" s="211" t="b">
        <f t="shared" si="282"/>
        <v>0</v>
      </c>
      <c r="AK672" s="211" t="b">
        <f t="shared" si="283"/>
        <v>0</v>
      </c>
      <c r="AL672" s="211" t="b">
        <f t="shared" si="284"/>
        <v>0</v>
      </c>
      <c r="AM672" s="211" t="b">
        <f t="shared" si="285"/>
        <v>0</v>
      </c>
      <c r="AN672" s="211" t="b">
        <f t="shared" si="286"/>
        <v>0</v>
      </c>
      <c r="AO672" s="211" t="b">
        <f t="shared" si="287"/>
        <v>0</v>
      </c>
    </row>
    <row r="673" spans="1:41" ht="24.95" customHeight="1" x14ac:dyDescent="0.25">
      <c r="B673" s="212">
        <f t="shared" si="289"/>
        <v>14</v>
      </c>
      <c r="C673" s="264" t="str">
        <f t="shared" si="274"/>
        <v xml:space="preserve"> </v>
      </c>
      <c r="D673" s="213"/>
      <c r="E673" s="265" t="str">
        <f t="shared" si="275"/>
        <v xml:space="preserve"> </v>
      </c>
      <c r="F673" s="215"/>
      <c r="G673" s="215"/>
      <c r="H673" s="215"/>
      <c r="I673" s="215"/>
      <c r="J673" s="215"/>
      <c r="K673" s="215"/>
      <c r="L673" s="215"/>
      <c r="M673" s="215"/>
      <c r="N673" s="215"/>
      <c r="O673" s="215"/>
      <c r="P673" s="215"/>
      <c r="Q673" s="215"/>
      <c r="R673" s="215"/>
      <c r="S673" s="356"/>
      <c r="T673" s="274">
        <f t="shared" si="288"/>
        <v>0</v>
      </c>
      <c r="U673" s="274"/>
      <c r="V673" s="217" t="str">
        <f t="shared" si="276"/>
        <v>Rp</v>
      </c>
      <c r="W673" s="266" t="str">
        <f t="shared" si="277"/>
        <v xml:space="preserve"> </v>
      </c>
      <c r="X673" s="217" t="str">
        <f t="shared" si="278"/>
        <v>Rp</v>
      </c>
      <c r="Y673" s="266" t="str">
        <f t="shared" si="277"/>
        <v xml:space="preserve"> </v>
      </c>
      <c r="Z673" s="217" t="e">
        <f t="shared" si="279"/>
        <v>#VALUE!</v>
      </c>
      <c r="AA673" s="219" t="e">
        <f t="shared" si="280"/>
        <v>#VALUE!</v>
      </c>
      <c r="AB673" s="222"/>
      <c r="AC673" s="223" t="e">
        <f>IF(AA673&gt;0,AC671+2,IF(AD673=0," "))</f>
        <v>#VALUE!</v>
      </c>
      <c r="AE673" s="211"/>
      <c r="AF673" s="211"/>
      <c r="AI673" s="211" t="b">
        <f t="shared" si="281"/>
        <v>0</v>
      </c>
      <c r="AJ673" s="211" t="b">
        <f t="shared" si="282"/>
        <v>0</v>
      </c>
      <c r="AK673" s="211" t="b">
        <f t="shared" si="283"/>
        <v>0</v>
      </c>
      <c r="AL673" s="211" t="b">
        <f t="shared" si="284"/>
        <v>0</v>
      </c>
      <c r="AM673" s="211" t="b">
        <f t="shared" si="285"/>
        <v>0</v>
      </c>
      <c r="AN673" s="211" t="b">
        <f t="shared" si="286"/>
        <v>0</v>
      </c>
      <c r="AO673" s="211" t="b">
        <f t="shared" si="287"/>
        <v>0</v>
      </c>
    </row>
    <row r="674" spans="1:41" ht="24.95" customHeight="1" x14ac:dyDescent="0.25">
      <c r="B674" s="212">
        <f t="shared" si="289"/>
        <v>15</v>
      </c>
      <c r="C674" s="264" t="str">
        <f t="shared" si="274"/>
        <v xml:space="preserve"> </v>
      </c>
      <c r="D674" s="213"/>
      <c r="E674" s="265" t="str">
        <f t="shared" si="275"/>
        <v xml:space="preserve"> </v>
      </c>
      <c r="F674" s="215"/>
      <c r="G674" s="215"/>
      <c r="H674" s="215"/>
      <c r="I674" s="215"/>
      <c r="J674" s="215"/>
      <c r="K674" s="215"/>
      <c r="L674" s="215"/>
      <c r="M674" s="215"/>
      <c r="N674" s="215"/>
      <c r="O674" s="215"/>
      <c r="P674" s="215"/>
      <c r="Q674" s="215"/>
      <c r="R674" s="215"/>
      <c r="S674" s="356"/>
      <c r="T674" s="274">
        <f t="shared" si="288"/>
        <v>0</v>
      </c>
      <c r="U674" s="274"/>
      <c r="V674" s="217" t="str">
        <f t="shared" si="276"/>
        <v>Rp</v>
      </c>
      <c r="W674" s="266" t="str">
        <f t="shared" si="277"/>
        <v xml:space="preserve"> </v>
      </c>
      <c r="X674" s="217" t="str">
        <f t="shared" si="278"/>
        <v>Rp</v>
      </c>
      <c r="Y674" s="266" t="str">
        <f t="shared" si="277"/>
        <v xml:space="preserve"> </v>
      </c>
      <c r="Z674" s="217" t="e">
        <f t="shared" si="279"/>
        <v>#VALUE!</v>
      </c>
      <c r="AA674" s="219" t="e">
        <f t="shared" si="280"/>
        <v>#VALUE!</v>
      </c>
      <c r="AB674" s="222" t="e">
        <f>IF(AA674&gt;0,AB672+2,IF(AA674=0," "))</f>
        <v>#VALUE!</v>
      </c>
      <c r="AC674" s="221"/>
      <c r="AE674" s="211"/>
      <c r="AF674" s="211"/>
      <c r="AI674" s="211" t="b">
        <f t="shared" si="281"/>
        <v>0</v>
      </c>
      <c r="AJ674" s="211" t="b">
        <f t="shared" si="282"/>
        <v>0</v>
      </c>
      <c r="AK674" s="211" t="b">
        <f t="shared" si="283"/>
        <v>0</v>
      </c>
      <c r="AL674" s="211" t="b">
        <f t="shared" si="284"/>
        <v>0</v>
      </c>
      <c r="AM674" s="211" t="b">
        <f t="shared" si="285"/>
        <v>0</v>
      </c>
      <c r="AN674" s="211" t="b">
        <f t="shared" si="286"/>
        <v>0</v>
      </c>
      <c r="AO674" s="211" t="b">
        <f t="shared" si="287"/>
        <v>0</v>
      </c>
    </row>
    <row r="675" spans="1:41" ht="24.95" customHeight="1" x14ac:dyDescent="0.25">
      <c r="B675" s="212">
        <f t="shared" si="289"/>
        <v>16</v>
      </c>
      <c r="C675" s="264" t="str">
        <f t="shared" si="274"/>
        <v xml:space="preserve"> </v>
      </c>
      <c r="D675" s="213"/>
      <c r="E675" s="265" t="str">
        <f t="shared" si="275"/>
        <v xml:space="preserve"> </v>
      </c>
      <c r="F675" s="215"/>
      <c r="G675" s="215"/>
      <c r="H675" s="215"/>
      <c r="I675" s="215"/>
      <c r="J675" s="215"/>
      <c r="K675" s="215"/>
      <c r="L675" s="215"/>
      <c r="M675" s="215"/>
      <c r="N675" s="215"/>
      <c r="O675" s="215"/>
      <c r="P675" s="215"/>
      <c r="Q675" s="215"/>
      <c r="R675" s="215"/>
      <c r="S675" s="356"/>
      <c r="T675" s="274">
        <f t="shared" si="288"/>
        <v>0</v>
      </c>
      <c r="U675" s="274"/>
      <c r="V675" s="217" t="str">
        <f t="shared" si="276"/>
        <v>Rp</v>
      </c>
      <c r="W675" s="266" t="str">
        <f t="shared" si="277"/>
        <v xml:space="preserve"> </v>
      </c>
      <c r="X675" s="217" t="str">
        <f t="shared" si="278"/>
        <v>Rp</v>
      </c>
      <c r="Y675" s="266" t="str">
        <f t="shared" si="277"/>
        <v xml:space="preserve"> </v>
      </c>
      <c r="Z675" s="217" t="e">
        <f t="shared" si="279"/>
        <v>#VALUE!</v>
      </c>
      <c r="AA675" s="219" t="e">
        <f t="shared" si="280"/>
        <v>#VALUE!</v>
      </c>
      <c r="AB675" s="222"/>
      <c r="AC675" s="223" t="e">
        <f>IF(AA675&gt;0,AC673+2,IF(AD675=0," "))</f>
        <v>#VALUE!</v>
      </c>
      <c r="AE675" s="211"/>
      <c r="AF675" s="211"/>
      <c r="AI675" s="211" t="b">
        <f t="shared" si="281"/>
        <v>0</v>
      </c>
      <c r="AJ675" s="211" t="b">
        <f t="shared" si="282"/>
        <v>0</v>
      </c>
      <c r="AK675" s="211" t="b">
        <f t="shared" si="283"/>
        <v>0</v>
      </c>
      <c r="AL675" s="211" t="b">
        <f t="shared" si="284"/>
        <v>0</v>
      </c>
      <c r="AM675" s="211" t="b">
        <f t="shared" si="285"/>
        <v>0</v>
      </c>
      <c r="AN675" s="211" t="b">
        <f t="shared" si="286"/>
        <v>0</v>
      </c>
      <c r="AO675" s="211" t="b">
        <f t="shared" si="287"/>
        <v>0</v>
      </c>
    </row>
    <row r="676" spans="1:41" ht="24.95" customHeight="1" x14ac:dyDescent="0.25">
      <c r="B676" s="212">
        <f t="shared" si="289"/>
        <v>17</v>
      </c>
      <c r="C676" s="264" t="str">
        <f t="shared" si="274"/>
        <v xml:space="preserve"> </v>
      </c>
      <c r="D676" s="213"/>
      <c r="E676" s="265" t="str">
        <f t="shared" si="275"/>
        <v xml:space="preserve"> </v>
      </c>
      <c r="F676" s="215"/>
      <c r="G676" s="215"/>
      <c r="H676" s="215"/>
      <c r="I676" s="215"/>
      <c r="J676" s="215"/>
      <c r="K676" s="215"/>
      <c r="L676" s="215"/>
      <c r="M676" s="215"/>
      <c r="N676" s="215"/>
      <c r="O676" s="215"/>
      <c r="P676" s="215"/>
      <c r="Q676" s="215"/>
      <c r="R676" s="215"/>
      <c r="S676" s="356"/>
      <c r="T676" s="274">
        <f t="shared" si="288"/>
        <v>0</v>
      </c>
      <c r="U676" s="274"/>
      <c r="V676" s="217" t="str">
        <f t="shared" si="276"/>
        <v>Rp</v>
      </c>
      <c r="W676" s="266" t="str">
        <f t="shared" ref="W676:Y679" si="290">IFERROR(W629," ")</f>
        <v xml:space="preserve"> </v>
      </c>
      <c r="X676" s="217" t="str">
        <f t="shared" si="278"/>
        <v>Rp</v>
      </c>
      <c r="Y676" s="266" t="str">
        <f t="shared" si="290"/>
        <v xml:space="preserve"> </v>
      </c>
      <c r="Z676" s="217" t="e">
        <f t="shared" si="279"/>
        <v>#VALUE!</v>
      </c>
      <c r="AA676" s="219" t="e">
        <f t="shared" si="280"/>
        <v>#VALUE!</v>
      </c>
      <c r="AB676" s="222" t="e">
        <f>IF(AA676&gt;0,AB674+2,IF(AA676=0," "))</f>
        <v>#VALUE!</v>
      </c>
      <c r="AC676" s="221"/>
      <c r="AE676" s="211"/>
      <c r="AF676" s="211"/>
      <c r="AI676" s="211" t="b">
        <f t="shared" si="281"/>
        <v>0</v>
      </c>
      <c r="AJ676" s="211" t="b">
        <f t="shared" si="282"/>
        <v>0</v>
      </c>
      <c r="AK676" s="211" t="b">
        <f t="shared" si="283"/>
        <v>0</v>
      </c>
      <c r="AL676" s="211" t="b">
        <f t="shared" si="284"/>
        <v>0</v>
      </c>
      <c r="AM676" s="211" t="b">
        <f t="shared" si="285"/>
        <v>0</v>
      </c>
      <c r="AN676" s="211" t="b">
        <f t="shared" si="286"/>
        <v>0</v>
      </c>
      <c r="AO676" s="211" t="b">
        <f t="shared" si="287"/>
        <v>0</v>
      </c>
    </row>
    <row r="677" spans="1:41" ht="24.95" customHeight="1" x14ac:dyDescent="0.2">
      <c r="B677" s="212">
        <f t="shared" si="289"/>
        <v>18</v>
      </c>
      <c r="C677" s="264" t="str">
        <f t="shared" si="274"/>
        <v xml:space="preserve"> </v>
      </c>
      <c r="D677" s="213"/>
      <c r="E677" s="265" t="str">
        <f t="shared" si="275"/>
        <v xml:space="preserve"> </v>
      </c>
      <c r="F677" s="357"/>
      <c r="G677" s="357"/>
      <c r="H677" s="358"/>
      <c r="I677" s="358"/>
      <c r="J677" s="359"/>
      <c r="K677" s="359"/>
      <c r="L677" s="359"/>
      <c r="M677" s="359"/>
      <c r="N677" s="360"/>
      <c r="O677" s="360"/>
      <c r="P677" s="360"/>
      <c r="Q677" s="360"/>
      <c r="R677" s="360"/>
      <c r="S677" s="361"/>
      <c r="T677" s="274">
        <f t="shared" si="288"/>
        <v>0</v>
      </c>
      <c r="U677" s="274"/>
      <c r="V677" s="217" t="str">
        <f t="shared" si="276"/>
        <v>Rp</v>
      </c>
      <c r="W677" s="266" t="str">
        <f t="shared" si="290"/>
        <v xml:space="preserve"> </v>
      </c>
      <c r="X677" s="217" t="str">
        <f t="shared" si="278"/>
        <v>Rp</v>
      </c>
      <c r="Y677" s="266" t="str">
        <f t="shared" si="290"/>
        <v xml:space="preserve"> </v>
      </c>
      <c r="Z677" s="217" t="e">
        <f t="shared" si="279"/>
        <v>#VALUE!</v>
      </c>
      <c r="AA677" s="219" t="e">
        <f t="shared" si="280"/>
        <v>#VALUE!</v>
      </c>
      <c r="AB677" s="222"/>
      <c r="AC677" s="223" t="e">
        <f>IF(AA677&gt;0,AC675+2,IF(AD677=0," "))</f>
        <v>#VALUE!</v>
      </c>
      <c r="AE677" s="211"/>
      <c r="AF677" s="211"/>
      <c r="AI677" s="211" t="b">
        <f t="shared" si="281"/>
        <v>0</v>
      </c>
      <c r="AJ677" s="211" t="b">
        <f t="shared" si="282"/>
        <v>0</v>
      </c>
      <c r="AK677" s="211" t="b">
        <f t="shared" si="283"/>
        <v>0</v>
      </c>
      <c r="AL677" s="211" t="b">
        <f t="shared" si="284"/>
        <v>0</v>
      </c>
      <c r="AM677" s="211" t="b">
        <f t="shared" si="285"/>
        <v>0</v>
      </c>
      <c r="AN677" s="211" t="b">
        <f t="shared" si="286"/>
        <v>0</v>
      </c>
      <c r="AO677" s="211" t="b">
        <f t="shared" si="287"/>
        <v>0</v>
      </c>
    </row>
    <row r="678" spans="1:41" ht="24.95" customHeight="1" x14ac:dyDescent="0.2">
      <c r="B678" s="212">
        <f t="shared" si="289"/>
        <v>19</v>
      </c>
      <c r="C678" s="264" t="str">
        <f t="shared" si="274"/>
        <v xml:space="preserve"> </v>
      </c>
      <c r="D678" s="213"/>
      <c r="E678" s="265" t="str">
        <f t="shared" si="275"/>
        <v xml:space="preserve"> </v>
      </c>
      <c r="F678" s="357"/>
      <c r="G678" s="357"/>
      <c r="H678" s="358"/>
      <c r="I678" s="358"/>
      <c r="J678" s="359"/>
      <c r="K678" s="359"/>
      <c r="L678" s="359"/>
      <c r="M678" s="359"/>
      <c r="N678" s="360"/>
      <c r="O678" s="360"/>
      <c r="P678" s="360"/>
      <c r="Q678" s="360"/>
      <c r="R678" s="360"/>
      <c r="S678" s="361"/>
      <c r="T678" s="274">
        <f t="shared" si="288"/>
        <v>0</v>
      </c>
      <c r="U678" s="274"/>
      <c r="V678" s="217" t="str">
        <f t="shared" si="276"/>
        <v>Rp</v>
      </c>
      <c r="W678" s="266" t="str">
        <f t="shared" si="290"/>
        <v xml:space="preserve"> </v>
      </c>
      <c r="X678" s="217" t="str">
        <f t="shared" si="278"/>
        <v>Rp</v>
      </c>
      <c r="Y678" s="266" t="str">
        <f t="shared" si="290"/>
        <v xml:space="preserve"> </v>
      </c>
      <c r="Z678" s="217" t="e">
        <f t="shared" si="279"/>
        <v>#VALUE!</v>
      </c>
      <c r="AA678" s="219" t="e">
        <f t="shared" si="280"/>
        <v>#VALUE!</v>
      </c>
      <c r="AB678" s="222" t="e">
        <f>IF(AA678&gt;0,AB676+2,IF(AA678=0," "))</f>
        <v>#VALUE!</v>
      </c>
      <c r="AC678" s="221"/>
      <c r="AE678" s="211"/>
      <c r="AF678" s="211"/>
      <c r="AI678" s="211" t="b">
        <f t="shared" si="281"/>
        <v>0</v>
      </c>
      <c r="AJ678" s="211" t="b">
        <f t="shared" si="282"/>
        <v>0</v>
      </c>
      <c r="AK678" s="211" t="b">
        <f t="shared" si="283"/>
        <v>0</v>
      </c>
      <c r="AL678" s="211" t="b">
        <f t="shared" si="284"/>
        <v>0</v>
      </c>
      <c r="AM678" s="211" t="b">
        <f t="shared" si="285"/>
        <v>0</v>
      </c>
      <c r="AN678" s="211" t="b">
        <f t="shared" si="286"/>
        <v>0</v>
      </c>
      <c r="AO678" s="211" t="b">
        <f t="shared" si="287"/>
        <v>0</v>
      </c>
    </row>
    <row r="679" spans="1:41" ht="24.95" customHeight="1" x14ac:dyDescent="0.2">
      <c r="B679" s="212">
        <f t="shared" si="289"/>
        <v>20</v>
      </c>
      <c r="C679" s="264" t="str">
        <f t="shared" si="274"/>
        <v xml:space="preserve"> </v>
      </c>
      <c r="D679" s="213"/>
      <c r="E679" s="265" t="str">
        <f t="shared" si="275"/>
        <v xml:space="preserve"> </v>
      </c>
      <c r="F679" s="357"/>
      <c r="G679" s="357"/>
      <c r="H679" s="358"/>
      <c r="I679" s="358"/>
      <c r="J679" s="359"/>
      <c r="K679" s="359"/>
      <c r="L679" s="359"/>
      <c r="M679" s="359"/>
      <c r="N679" s="360"/>
      <c r="O679" s="360"/>
      <c r="P679" s="360"/>
      <c r="Q679" s="360"/>
      <c r="R679" s="360"/>
      <c r="S679" s="361"/>
      <c r="T679" s="274">
        <f t="shared" si="288"/>
        <v>0</v>
      </c>
      <c r="U679" s="274"/>
      <c r="V679" s="217" t="str">
        <f t="shared" si="276"/>
        <v>Rp</v>
      </c>
      <c r="W679" s="266" t="str">
        <f t="shared" si="290"/>
        <v xml:space="preserve"> </v>
      </c>
      <c r="X679" s="217" t="str">
        <f t="shared" si="278"/>
        <v>Rp</v>
      </c>
      <c r="Y679" s="266" t="str">
        <f t="shared" si="290"/>
        <v xml:space="preserve"> </v>
      </c>
      <c r="Z679" s="217" t="e">
        <f t="shared" si="279"/>
        <v>#VALUE!</v>
      </c>
      <c r="AA679" s="219" t="e">
        <f t="shared" si="280"/>
        <v>#VALUE!</v>
      </c>
      <c r="AB679" s="222"/>
      <c r="AC679" s="223" t="e">
        <f>IF(AA679&gt;0,AC677+2,IF(AD679=0," "))</f>
        <v>#VALUE!</v>
      </c>
      <c r="AE679" s="211"/>
      <c r="AF679" s="211"/>
      <c r="AI679" s="211" t="b">
        <f t="shared" si="281"/>
        <v>0</v>
      </c>
      <c r="AJ679" s="211" t="b">
        <f t="shared" si="282"/>
        <v>0</v>
      </c>
      <c r="AK679" s="211" t="b">
        <f t="shared" si="283"/>
        <v>0</v>
      </c>
      <c r="AL679" s="211" t="b">
        <f t="shared" si="284"/>
        <v>0</v>
      </c>
      <c r="AM679" s="211" t="b">
        <f t="shared" si="285"/>
        <v>0</v>
      </c>
      <c r="AN679" s="211" t="b">
        <f t="shared" si="286"/>
        <v>0</v>
      </c>
      <c r="AO679" s="211" t="b">
        <f t="shared" si="287"/>
        <v>0</v>
      </c>
    </row>
    <row r="680" spans="1:41" ht="24.95" customHeight="1" thickBot="1" x14ac:dyDescent="0.25">
      <c r="B680" s="233"/>
      <c r="C680" s="257"/>
      <c r="D680" s="235"/>
      <c r="E680" s="236"/>
      <c r="F680" s="237"/>
      <c r="G680" s="237"/>
      <c r="H680" s="238"/>
      <c r="I680" s="238"/>
      <c r="J680" s="239"/>
      <c r="K680" s="239"/>
      <c r="L680" s="239"/>
      <c r="M680" s="239"/>
      <c r="N680" s="240"/>
      <c r="O680" s="240"/>
      <c r="P680" s="240"/>
      <c r="Q680" s="240"/>
      <c r="R680" s="240"/>
      <c r="S680" s="353"/>
      <c r="T680" s="259"/>
      <c r="U680" s="259"/>
      <c r="V680" s="242"/>
      <c r="W680" s="258"/>
      <c r="X680" s="242"/>
      <c r="Y680" s="258"/>
      <c r="Z680" s="244"/>
      <c r="AA680" s="236"/>
      <c r="AB680" s="246"/>
      <c r="AC680" s="247"/>
      <c r="AE680" s="211"/>
      <c r="AF680" s="211"/>
    </row>
    <row r="681" spans="1:41" ht="20.100000000000001" customHeight="1" thickTop="1" thickBot="1" x14ac:dyDescent="0.3">
      <c r="A681" s="179">
        <f>A634+1</f>
        <v>17</v>
      </c>
      <c r="B681" s="248"/>
      <c r="C681" s="249"/>
      <c r="D681" s="249"/>
      <c r="E681" s="249"/>
      <c r="F681" s="249"/>
      <c r="G681" s="249"/>
      <c r="H681" s="249"/>
      <c r="I681" s="249"/>
      <c r="J681" s="249"/>
      <c r="K681" s="249"/>
      <c r="L681" s="249"/>
      <c r="M681" s="249"/>
      <c r="N681" s="249"/>
      <c r="O681" s="249"/>
      <c r="P681" s="249"/>
      <c r="Q681" s="249"/>
      <c r="R681" s="249"/>
      <c r="S681" s="249"/>
      <c r="T681" s="249"/>
      <c r="U681" s="249"/>
      <c r="V681" s="249"/>
      <c r="W681" s="250" t="s">
        <v>40</v>
      </c>
      <c r="X681" s="249"/>
      <c r="Y681" s="250" t="s">
        <v>40</v>
      </c>
      <c r="Z681" s="249"/>
      <c r="AA681" s="710" t="e">
        <f>SUM(AA660:AA680)</f>
        <v>#VALUE!</v>
      </c>
      <c r="AB681" s="711"/>
      <c r="AC681" s="712"/>
      <c r="AE681" s="226" t="e">
        <f>VLOOKUP(A681,'Rekap Gaji'!$B$12:$P$32,10,FALSE)</f>
        <v>#N/A</v>
      </c>
      <c r="AF681" s="251" t="e">
        <f>AE681-AA681</f>
        <v>#N/A</v>
      </c>
    </row>
    <row r="682" spans="1:41" ht="11.25" customHeight="1" x14ac:dyDescent="0.25"/>
    <row r="683" spans="1:41" ht="16.5" customHeight="1" x14ac:dyDescent="0.25">
      <c r="B683" s="195" t="s">
        <v>41</v>
      </c>
      <c r="C683" s="140" t="s">
        <v>42</v>
      </c>
    </row>
    <row r="684" spans="1:41" ht="14.25" x14ac:dyDescent="0.25">
      <c r="H684" s="183"/>
      <c r="I684" s="183"/>
      <c r="J684" s="182"/>
      <c r="K684" s="182"/>
      <c r="T684" s="141"/>
      <c r="U684" s="141"/>
      <c r="V684" s="141"/>
      <c r="X684" s="141"/>
      <c r="AA684" s="140" t="str">
        <f>'BKU 1'!$I$25</f>
        <v>NGANTANG</v>
      </c>
      <c r="AB684" s="713" t="str">
        <f>IFERROR(VLOOKUP(E654,'Rekap Gaji'!$B$12:$P$32,7,FALSE),"-")</f>
        <v>-</v>
      </c>
      <c r="AC684" s="713"/>
      <c r="AD684" s="252"/>
      <c r="AE684" s="252"/>
    </row>
    <row r="685" spans="1:41" ht="15.75" x14ac:dyDescent="0.25">
      <c r="C685" s="140" t="s">
        <v>43</v>
      </c>
      <c r="F685" s="253"/>
      <c r="G685" s="253"/>
      <c r="H685" s="254"/>
      <c r="I685" s="254"/>
      <c r="J685" s="255"/>
      <c r="K685" s="255"/>
      <c r="L685" s="256"/>
      <c r="M685" s="256"/>
      <c r="N685" s="225" t="s">
        <v>44</v>
      </c>
      <c r="O685" s="225"/>
      <c r="P685" s="253"/>
      <c r="Q685" s="253"/>
      <c r="T685" s="141"/>
      <c r="U685" s="141"/>
      <c r="V685" s="141"/>
      <c r="X685" s="141"/>
      <c r="AA685" s="140" t="str">
        <f>'BKU 1'!$L$354</f>
        <v>Dibuat Oleh ;</v>
      </c>
      <c r="AB685" s="141"/>
    </row>
    <row r="686" spans="1:41" ht="14.25" x14ac:dyDescent="0.25">
      <c r="C686" s="140" t="str">
        <f>'BKU 1'!$C$355</f>
        <v>Kepala Sekolah SDN 1 SIDODADI</v>
      </c>
      <c r="F686" s="187"/>
      <c r="G686" s="187"/>
      <c r="H686" s="224"/>
      <c r="I686" s="224"/>
      <c r="J686" s="182"/>
      <c r="K686" s="182"/>
      <c r="L686" s="183"/>
      <c r="M686" s="183"/>
      <c r="N686" s="140" t="s">
        <v>45</v>
      </c>
      <c r="P686" s="187"/>
      <c r="Q686" s="187"/>
      <c r="AA686" s="140" t="str">
        <f>'BKU 1'!$L$355</f>
        <v>Bendahara Pembangunan</v>
      </c>
      <c r="AB686" s="141"/>
    </row>
    <row r="687" spans="1:41" ht="14.25" x14ac:dyDescent="0.25">
      <c r="F687" s="187"/>
      <c r="G687" s="187"/>
      <c r="H687" s="224"/>
      <c r="I687" s="224"/>
      <c r="J687" s="182"/>
      <c r="K687" s="182"/>
      <c r="L687" s="183"/>
      <c r="M687" s="183"/>
      <c r="P687" s="187"/>
      <c r="Q687" s="187"/>
      <c r="AA687" s="140"/>
      <c r="AB687" s="141"/>
    </row>
    <row r="688" spans="1:41" ht="14.25" x14ac:dyDescent="0.25">
      <c r="F688" s="187"/>
      <c r="G688" s="187"/>
      <c r="H688" s="224"/>
      <c r="I688" s="224"/>
      <c r="J688" s="182"/>
      <c r="K688" s="182"/>
      <c r="L688" s="183"/>
      <c r="M688" s="183"/>
      <c r="P688" s="187"/>
      <c r="Q688" s="187"/>
      <c r="AA688" s="140"/>
      <c r="AB688" s="141"/>
    </row>
    <row r="689" spans="1:32" ht="14.25" x14ac:dyDescent="0.25">
      <c r="F689" s="187"/>
      <c r="G689" s="187"/>
      <c r="H689" s="224"/>
      <c r="I689" s="224"/>
      <c r="J689" s="182"/>
      <c r="K689" s="182"/>
      <c r="L689" s="183"/>
      <c r="M689" s="183"/>
      <c r="P689" s="187"/>
      <c r="Q689" s="187"/>
      <c r="AA689" s="140"/>
      <c r="AB689" s="141"/>
    </row>
    <row r="690" spans="1:32" ht="14.25" x14ac:dyDescent="0.25">
      <c r="F690" s="187"/>
      <c r="G690" s="187"/>
      <c r="H690" s="224"/>
      <c r="I690" s="224"/>
      <c r="J690" s="182"/>
      <c r="K690" s="182"/>
      <c r="L690" s="183"/>
      <c r="M690" s="183"/>
      <c r="P690" s="187"/>
      <c r="Q690" s="187"/>
      <c r="AA690" s="140"/>
      <c r="AB690" s="141"/>
    </row>
    <row r="691" spans="1:32" x14ac:dyDescent="0.25">
      <c r="H691" s="225"/>
      <c r="I691" s="225"/>
      <c r="AA691" s="140"/>
    </row>
    <row r="692" spans="1:32" x14ac:dyDescent="0.25">
      <c r="H692" s="225"/>
      <c r="I692" s="225"/>
      <c r="AA692" s="140"/>
    </row>
    <row r="693" spans="1:32" s="189" customFormat="1" ht="15" customHeight="1" x14ac:dyDescent="0.25">
      <c r="A693" s="192"/>
      <c r="B693" s="195"/>
      <c r="C693" s="227" t="str">
        <f>'BKU 1'!$C$360</f>
        <v>MELIA FITRIANI, S.Pd.SD</v>
      </c>
      <c r="D693" s="227"/>
      <c r="H693" s="228"/>
      <c r="I693" s="228"/>
      <c r="J693" s="195"/>
      <c r="K693" s="195"/>
      <c r="L693" s="194"/>
      <c r="M693" s="194"/>
      <c r="N693" s="229">
        <f>'BKU 1'!$G$361</f>
        <v>0</v>
      </c>
      <c r="O693" s="229"/>
      <c r="AA693" s="227" t="str">
        <f>'BKU 1'!$L$360</f>
        <v>ARIF NUR UDIN, S.Pd.SD</v>
      </c>
      <c r="AC693" s="230"/>
      <c r="AE693" s="231"/>
      <c r="AF693" s="231"/>
    </row>
    <row r="694" spans="1:32" s="189" customFormat="1" ht="15" customHeight="1" x14ac:dyDescent="0.25">
      <c r="A694" s="192"/>
      <c r="B694" s="195"/>
      <c r="C694" s="140" t="str">
        <f>'BKU 1'!$C$361</f>
        <v>NIP. 19850619 200904 2 000</v>
      </c>
      <c r="D694" s="140"/>
      <c r="E694" s="140"/>
      <c r="F694" s="140"/>
      <c r="G694" s="140"/>
      <c r="H694" s="225"/>
      <c r="I694" s="225"/>
      <c r="J694" s="191"/>
      <c r="K694" s="191"/>
      <c r="L694" s="190"/>
      <c r="M694" s="190"/>
      <c r="N694" s="232">
        <f>'BKU 1'!$G$361</f>
        <v>0</v>
      </c>
      <c r="O694" s="232"/>
      <c r="P694" s="140"/>
      <c r="Q694" s="140"/>
      <c r="T694" s="140"/>
      <c r="U694" s="140"/>
      <c r="V694" s="140"/>
      <c r="W694" s="140"/>
      <c r="X694" s="140"/>
      <c r="Y694" s="140"/>
      <c r="Z694" s="140"/>
      <c r="AA694" s="140" t="str">
        <f>'BKU 1'!$L$361</f>
        <v>NIP. 19840719 200903 1 002</v>
      </c>
      <c r="AC694" s="230"/>
      <c r="AE694" s="231"/>
      <c r="AF694" s="231"/>
    </row>
    <row r="695" spans="1:32" ht="6" customHeight="1" x14ac:dyDescent="0.25"/>
    <row r="696" spans="1:32" s="177" customFormat="1" ht="24.95" customHeight="1" x14ac:dyDescent="0.25">
      <c r="A696" s="176"/>
      <c r="B696" s="726" t="s">
        <v>6</v>
      </c>
      <c r="C696" s="726"/>
      <c r="D696" s="726"/>
      <c r="E696" s="726"/>
      <c r="F696" s="726"/>
      <c r="G696" s="726"/>
      <c r="H696" s="726"/>
      <c r="I696" s="726"/>
      <c r="J696" s="726"/>
      <c r="K696" s="726"/>
      <c r="L696" s="726"/>
      <c r="M696" s="726"/>
      <c r="N696" s="726"/>
      <c r="O696" s="726"/>
      <c r="P696" s="726"/>
      <c r="Q696" s="726"/>
      <c r="R696" s="726"/>
      <c r="S696" s="726"/>
      <c r="T696" s="726"/>
      <c r="U696" s="726"/>
      <c r="V696" s="726"/>
      <c r="W696" s="726"/>
      <c r="X696" s="726"/>
      <c r="Y696" s="726"/>
      <c r="Z696" s="726"/>
      <c r="AA696" s="726"/>
      <c r="AB696" s="726"/>
      <c r="AC696" s="726"/>
      <c r="AE696" s="178"/>
      <c r="AF696" s="178"/>
    </row>
    <row r="697" spans="1:32" s="177" customFormat="1" ht="24.95" customHeight="1" x14ac:dyDescent="0.25">
      <c r="A697" s="176"/>
      <c r="B697" s="726" t="str">
        <f>'BKU 1'!$D$22</f>
        <v>PEMBANGUNAN TOILET BESERTA SANITASINYA</v>
      </c>
      <c r="C697" s="726"/>
      <c r="D697" s="726"/>
      <c r="E697" s="726"/>
      <c r="F697" s="726"/>
      <c r="G697" s="726"/>
      <c r="H697" s="726"/>
      <c r="I697" s="726"/>
      <c r="J697" s="726"/>
      <c r="K697" s="726"/>
      <c r="L697" s="726"/>
      <c r="M697" s="726"/>
      <c r="N697" s="726"/>
      <c r="O697" s="726"/>
      <c r="P697" s="726"/>
      <c r="Q697" s="726"/>
      <c r="R697" s="726"/>
      <c r="S697" s="726"/>
      <c r="T697" s="726"/>
      <c r="U697" s="726"/>
      <c r="V697" s="726"/>
      <c r="W697" s="726"/>
      <c r="X697" s="726"/>
      <c r="Y697" s="726"/>
      <c r="Z697" s="726"/>
      <c r="AA697" s="726"/>
      <c r="AB697" s="726"/>
      <c r="AC697" s="726"/>
      <c r="AE697" s="178"/>
      <c r="AF697" s="178"/>
    </row>
    <row r="698" spans="1:32" s="184" customFormat="1" ht="30.75" customHeight="1" x14ac:dyDescent="0.25">
      <c r="A698" s="179"/>
      <c r="B698" s="180"/>
      <c r="C698" s="181"/>
      <c r="D698" s="181"/>
      <c r="E698" s="181"/>
      <c r="F698" s="182"/>
      <c r="G698" s="182"/>
      <c r="H698" s="183"/>
      <c r="I698" s="183"/>
      <c r="J698" s="182"/>
      <c r="K698" s="182"/>
      <c r="L698" s="183"/>
      <c r="M698" s="183"/>
      <c r="N698" s="182"/>
      <c r="O698" s="182"/>
      <c r="P698" s="182"/>
      <c r="Q698" s="182"/>
      <c r="R698" s="182"/>
      <c r="S698" s="182"/>
      <c r="T698" s="181"/>
      <c r="U698" s="181"/>
      <c r="V698" s="181"/>
      <c r="X698" s="181"/>
      <c r="AA698" s="180"/>
      <c r="AB698" s="140"/>
      <c r="AC698" s="185"/>
      <c r="AE698" s="186"/>
      <c r="AF698" s="186"/>
    </row>
    <row r="699" spans="1:32" s="184" customFormat="1" ht="14.25" x14ac:dyDescent="0.25">
      <c r="A699" s="179"/>
      <c r="B699" s="185" t="s">
        <v>7</v>
      </c>
      <c r="D699" s="184" t="s">
        <v>49</v>
      </c>
      <c r="E699" s="184" t="str">
        <f>'BKU 1'!$D$25</f>
        <v>SDN 1 SIDODADI</v>
      </c>
      <c r="F699" s="140"/>
      <c r="G699" s="140"/>
      <c r="H699" s="183"/>
      <c r="I699" s="183"/>
      <c r="J699" s="182"/>
      <c r="K699" s="182"/>
      <c r="L699" s="183"/>
      <c r="M699" s="183"/>
      <c r="N699" s="187"/>
      <c r="O699" s="187"/>
      <c r="P699" s="187"/>
      <c r="Q699" s="187"/>
      <c r="R699" s="187"/>
      <c r="S699" s="187"/>
      <c r="T699" s="188"/>
      <c r="U699" s="188"/>
      <c r="V699" s="188"/>
      <c r="X699" s="188"/>
      <c r="AA699" s="180"/>
      <c r="AB699" s="189" t="s">
        <v>8</v>
      </c>
      <c r="AC699" s="185"/>
      <c r="AE699" s="186"/>
      <c r="AF699" s="186"/>
    </row>
    <row r="700" spans="1:32" s="184" customFormat="1" x14ac:dyDescent="0.25">
      <c r="A700" s="179"/>
      <c r="B700" s="185" t="s">
        <v>9</v>
      </c>
      <c r="D700" s="184" t="s">
        <v>49</v>
      </c>
      <c r="E700" s="184" t="str">
        <f>'BKU 1'!$D$26</f>
        <v>Jl. Kawi No.36 Rt. 1 Rw. 1 Dusun Sekar, Rt / Rw : 1 / 1, Dusun : Sekar, Kelurahan : Sidodadi</v>
      </c>
      <c r="F700" s="140"/>
      <c r="G700" s="140"/>
      <c r="H700" s="190"/>
      <c r="I700" s="190"/>
      <c r="J700" s="191"/>
      <c r="K700" s="191"/>
      <c r="L700" s="190"/>
      <c r="M700" s="190"/>
      <c r="N700" s="140"/>
      <c r="O700" s="140"/>
      <c r="P700" s="140"/>
      <c r="Q700" s="140"/>
      <c r="R700" s="140"/>
      <c r="S700" s="140"/>
      <c r="AA700" s="180"/>
      <c r="AB700" s="140" t="s">
        <v>10</v>
      </c>
      <c r="AC700" s="185" t="s">
        <v>11</v>
      </c>
      <c r="AE700" s="186"/>
      <c r="AF700" s="186"/>
    </row>
    <row r="701" spans="1:32" s="184" customFormat="1" x14ac:dyDescent="0.25">
      <c r="A701" s="179"/>
      <c r="B701" s="185" t="s">
        <v>12</v>
      </c>
      <c r="D701" s="184" t="s">
        <v>49</v>
      </c>
      <c r="E701" s="180">
        <f>E654+1</f>
        <v>18</v>
      </c>
      <c r="F701" s="140"/>
      <c r="G701" s="140"/>
      <c r="H701" s="727" t="str">
        <f>IFERROR(VLOOKUP(E701,'Rekap Gaji'!$B$12:$P$32,14,FALSE),"-")</f>
        <v>-</v>
      </c>
      <c r="I701" s="727"/>
      <c r="J701" s="727"/>
      <c r="K701" s="727"/>
      <c r="L701" s="727"/>
      <c r="M701" s="191"/>
      <c r="N701" s="140"/>
      <c r="O701" s="140"/>
      <c r="P701" s="140"/>
      <c r="Q701" s="140"/>
      <c r="R701" s="140"/>
      <c r="S701" s="140"/>
      <c r="AA701" s="180"/>
      <c r="AB701" s="140" t="s">
        <v>13</v>
      </c>
      <c r="AC701" s="185" t="s">
        <v>14</v>
      </c>
      <c r="AE701" s="186"/>
      <c r="AF701" s="186"/>
    </row>
    <row r="702" spans="1:32" s="184" customFormat="1" ht="15" customHeight="1" x14ac:dyDescent="0.25">
      <c r="A702" s="179"/>
      <c r="B702" s="185" t="s">
        <v>0</v>
      </c>
      <c r="D702" s="184" t="s">
        <v>49</v>
      </c>
      <c r="E702" s="728" t="str">
        <f>IFERROR(VLOOKUP(E701,'Rekap Gaji'!$B$12:$P$32,4,FALSE),"-")</f>
        <v>-</v>
      </c>
      <c r="F702" s="728"/>
      <c r="G702" s="728"/>
      <c r="H702" s="728"/>
      <c r="I702" s="728"/>
      <c r="J702" s="728"/>
      <c r="K702" s="339"/>
      <c r="L702" s="727" t="s">
        <v>76</v>
      </c>
      <c r="M702" s="727"/>
      <c r="N702" s="727"/>
      <c r="O702" s="191"/>
      <c r="P702" s="728" t="str">
        <f>IFERROR(VLOOKUP(E701,'Rekap Gaji'!$B$12:$P$32,6,FALSE),"-")</f>
        <v>-</v>
      </c>
      <c r="Q702" s="728"/>
      <c r="R702" s="728"/>
      <c r="S702" s="728"/>
      <c r="T702" s="728"/>
      <c r="U702" s="728"/>
      <c r="V702" s="728"/>
      <c r="AA702" s="180"/>
      <c r="AB702" s="140" t="s">
        <v>15</v>
      </c>
      <c r="AC702" s="185" t="s">
        <v>16</v>
      </c>
      <c r="AE702" s="186"/>
      <c r="AF702" s="186"/>
    </row>
    <row r="703" spans="1:32" s="188" customFormat="1" ht="8.1" customHeight="1" thickBot="1" x14ac:dyDescent="0.3">
      <c r="A703" s="192"/>
      <c r="B703" s="193"/>
      <c r="F703" s="189"/>
      <c r="G703" s="189"/>
      <c r="H703" s="194"/>
      <c r="I703" s="194"/>
      <c r="J703" s="195"/>
      <c r="K703" s="195"/>
      <c r="L703" s="194"/>
      <c r="M703" s="194"/>
      <c r="N703" s="189"/>
      <c r="O703" s="189"/>
      <c r="P703" s="189"/>
      <c r="Q703" s="189"/>
      <c r="R703" s="189"/>
      <c r="S703" s="189"/>
      <c r="AA703" s="193"/>
      <c r="AB703" s="189"/>
      <c r="AC703" s="196"/>
      <c r="AE703" s="197"/>
      <c r="AF703" s="197"/>
    </row>
    <row r="704" spans="1:32" ht="15" customHeight="1" x14ac:dyDescent="0.25">
      <c r="B704" s="729" t="s">
        <v>17</v>
      </c>
      <c r="C704" s="717" t="s">
        <v>18</v>
      </c>
      <c r="D704" s="732"/>
      <c r="E704" s="268" t="s">
        <v>19</v>
      </c>
      <c r="F704" s="717" t="s">
        <v>20</v>
      </c>
      <c r="G704" s="734"/>
      <c r="H704" s="734"/>
      <c r="I704" s="734"/>
      <c r="J704" s="734"/>
      <c r="K704" s="734"/>
      <c r="L704" s="734"/>
      <c r="M704" s="734"/>
      <c r="N704" s="734"/>
      <c r="O704" s="734"/>
      <c r="P704" s="734"/>
      <c r="Q704" s="734"/>
      <c r="R704" s="732"/>
      <c r="S704" s="337"/>
      <c r="T704" s="267" t="s">
        <v>2</v>
      </c>
      <c r="U704" s="267"/>
      <c r="V704" s="717" t="s">
        <v>21</v>
      </c>
      <c r="W704" s="732"/>
      <c r="X704" s="717" t="s">
        <v>21</v>
      </c>
      <c r="Y704" s="732"/>
      <c r="Z704" s="717" t="s">
        <v>22</v>
      </c>
      <c r="AA704" s="732"/>
      <c r="AB704" s="717" t="s">
        <v>23</v>
      </c>
      <c r="AC704" s="718"/>
    </row>
    <row r="705" spans="2:41" ht="15" customHeight="1" x14ac:dyDescent="0.25">
      <c r="B705" s="730"/>
      <c r="C705" s="719"/>
      <c r="D705" s="725"/>
      <c r="E705" s="270" t="s">
        <v>24</v>
      </c>
      <c r="F705" s="723" t="s">
        <v>25</v>
      </c>
      <c r="G705" s="338"/>
      <c r="H705" s="723" t="s">
        <v>26</v>
      </c>
      <c r="I705" s="338"/>
      <c r="J705" s="723" t="s">
        <v>26</v>
      </c>
      <c r="K705" s="338"/>
      <c r="L705" s="723" t="s">
        <v>27</v>
      </c>
      <c r="M705" s="338"/>
      <c r="N705" s="723" t="s">
        <v>28</v>
      </c>
      <c r="O705" s="338"/>
      <c r="P705" s="723" t="s">
        <v>29</v>
      </c>
      <c r="Q705" s="338"/>
      <c r="R705" s="723" t="s">
        <v>26</v>
      </c>
      <c r="S705" s="269"/>
      <c r="T705" s="269" t="s">
        <v>30</v>
      </c>
      <c r="U705" s="269"/>
      <c r="V705" s="719" t="s">
        <v>31</v>
      </c>
      <c r="W705" s="725"/>
      <c r="X705" s="719" t="s">
        <v>31</v>
      </c>
      <c r="Y705" s="725"/>
      <c r="Z705" s="719" t="s">
        <v>31</v>
      </c>
      <c r="AA705" s="725"/>
      <c r="AB705" s="719"/>
      <c r="AC705" s="720"/>
    </row>
    <row r="706" spans="2:41" ht="15" customHeight="1" thickBot="1" x14ac:dyDescent="0.3">
      <c r="B706" s="731"/>
      <c r="C706" s="721"/>
      <c r="D706" s="733"/>
      <c r="E706" s="272" t="s">
        <v>32</v>
      </c>
      <c r="F706" s="724"/>
      <c r="G706" s="272"/>
      <c r="H706" s="724"/>
      <c r="I706" s="272"/>
      <c r="J706" s="724"/>
      <c r="K706" s="272"/>
      <c r="L706" s="724"/>
      <c r="M706" s="272"/>
      <c r="N706" s="724"/>
      <c r="O706" s="272"/>
      <c r="P706" s="724"/>
      <c r="Q706" s="272"/>
      <c r="R706" s="724"/>
      <c r="S706" s="271"/>
      <c r="T706" s="271" t="s">
        <v>31</v>
      </c>
      <c r="U706" s="271"/>
      <c r="V706" s="721" t="s">
        <v>33</v>
      </c>
      <c r="W706" s="733"/>
      <c r="X706" s="721" t="s">
        <v>33</v>
      </c>
      <c r="Y706" s="733"/>
      <c r="Z706" s="721" t="s">
        <v>34</v>
      </c>
      <c r="AA706" s="733"/>
      <c r="AB706" s="721"/>
      <c r="AC706" s="722"/>
    </row>
    <row r="707" spans="2:41" ht="24.95" customHeight="1" x14ac:dyDescent="0.25">
      <c r="B707" s="201">
        <v>1</v>
      </c>
      <c r="C707" s="261" t="str">
        <f t="shared" ref="C707:C726" si="291">IFERROR(C660," ")</f>
        <v>KUSMAN H</v>
      </c>
      <c r="D707" s="203"/>
      <c r="E707" s="262" t="str">
        <f t="shared" ref="E707:E726" si="292">IFERROR(E660," ")</f>
        <v>A</v>
      </c>
      <c r="F707" s="275" t="s">
        <v>36</v>
      </c>
      <c r="G707" s="363"/>
      <c r="H707" s="205" t="s">
        <v>37</v>
      </c>
      <c r="I707" s="205"/>
      <c r="J707" s="205" t="s">
        <v>37</v>
      </c>
      <c r="K707" s="205"/>
      <c r="L707" s="205" t="s">
        <v>37</v>
      </c>
      <c r="M707" s="205"/>
      <c r="N707" s="205" t="s">
        <v>37</v>
      </c>
      <c r="O707" s="205"/>
      <c r="P707" s="205" t="s">
        <v>37</v>
      </c>
      <c r="Q707" s="205"/>
      <c r="R707" s="205" t="s">
        <v>37</v>
      </c>
      <c r="S707" s="355"/>
      <c r="T707" s="273">
        <f>SUM(AI707:AO707)</f>
        <v>6</v>
      </c>
      <c r="U707" s="273"/>
      <c r="V707" s="207" t="str">
        <f t="shared" ref="V707:V726" si="293">IF(W707&gt;0,"Rp",IF(W707=0," "))</f>
        <v>Rp</v>
      </c>
      <c r="W707" s="263">
        <f t="shared" ref="W707:Y722" si="294">IFERROR(W660," ")</f>
        <v>135000</v>
      </c>
      <c r="X707" s="207" t="str">
        <f t="shared" ref="X707:X726" si="295">IF(Y707&gt;0,"Rp",IF(Y707=0," "))</f>
        <v>Rp</v>
      </c>
      <c r="Y707" s="263">
        <f t="shared" si="294"/>
        <v>25000</v>
      </c>
      <c r="Z707" s="207" t="str">
        <f t="shared" ref="Z707:Z726" si="296">IF(AA707&gt;0,"Rp",IF(AA707=0," "))</f>
        <v>Rp</v>
      </c>
      <c r="AA707" s="208">
        <f t="shared" ref="AA707:AA726" si="297">W707*T707</f>
        <v>810000</v>
      </c>
      <c r="AB707" s="209">
        <f>IF(AA707&gt;0,1,IF(AA707=0," "))</f>
        <v>1</v>
      </c>
      <c r="AC707" s="210"/>
      <c r="AE707" s="260"/>
      <c r="AF707" s="140"/>
      <c r="AI707" s="211">
        <f t="shared" ref="AI707:AI726" si="298">IFERROR(IF(F707="V",1,IF(F707="X",0))," ")</f>
        <v>0</v>
      </c>
      <c r="AJ707" s="211">
        <f t="shared" ref="AJ707:AJ726" si="299">IFERROR(IF(H707="V",1,IF(H707="X",0))," ")</f>
        <v>1</v>
      </c>
      <c r="AK707" s="211">
        <f t="shared" ref="AK707:AK726" si="300">IFERROR(IF(J707="V",1,IF(J707="X",0))," ")</f>
        <v>1</v>
      </c>
      <c r="AL707" s="211">
        <f t="shared" ref="AL707:AL726" si="301">IFERROR(IF(L707="V",1,IF(L707="X",0))," ")</f>
        <v>1</v>
      </c>
      <c r="AM707" s="211">
        <f t="shared" ref="AM707:AM726" si="302">IFERROR(IF(N707="V",1,IF(N707="X",0))," ")</f>
        <v>1</v>
      </c>
      <c r="AN707" s="211">
        <f t="shared" ref="AN707:AN726" si="303">IFERROR(IF(P707="V",1,IF(P707="X",0))," ")</f>
        <v>1</v>
      </c>
      <c r="AO707" s="211">
        <f t="shared" ref="AO707:AO726" si="304">IFERROR(IF(R707="V",1,IF(R707="X",0))," ")</f>
        <v>1</v>
      </c>
    </row>
    <row r="708" spans="2:41" ht="24.95" customHeight="1" x14ac:dyDescent="0.25">
      <c r="B708" s="212">
        <f>B707+1</f>
        <v>2</v>
      </c>
      <c r="C708" s="264" t="str">
        <f t="shared" si="291"/>
        <v>BUSANI</v>
      </c>
      <c r="D708" s="213"/>
      <c r="E708" s="265" t="str">
        <f t="shared" si="292"/>
        <v>B</v>
      </c>
      <c r="F708" s="275" t="s">
        <v>36</v>
      </c>
      <c r="G708" s="275"/>
      <c r="H708" s="215" t="s">
        <v>37</v>
      </c>
      <c r="I708" s="215"/>
      <c r="J708" s="215" t="s">
        <v>37</v>
      </c>
      <c r="K708" s="215"/>
      <c r="L708" s="215" t="s">
        <v>37</v>
      </c>
      <c r="M708" s="215"/>
      <c r="N708" s="215" t="s">
        <v>37</v>
      </c>
      <c r="O708" s="215"/>
      <c r="P708" s="215" t="s">
        <v>36</v>
      </c>
      <c r="Q708" s="215"/>
      <c r="R708" s="215" t="s">
        <v>37</v>
      </c>
      <c r="S708" s="356"/>
      <c r="T708" s="274">
        <f t="shared" ref="T708:T726" si="305">SUM(AI708:AO708)</f>
        <v>5</v>
      </c>
      <c r="U708" s="274"/>
      <c r="V708" s="217" t="str">
        <f t="shared" si="293"/>
        <v>Rp</v>
      </c>
      <c r="W708" s="266">
        <f t="shared" si="294"/>
        <v>125000</v>
      </c>
      <c r="X708" s="217" t="str">
        <f t="shared" si="295"/>
        <v>Rp</v>
      </c>
      <c r="Y708" s="266">
        <f t="shared" si="294"/>
        <v>25000</v>
      </c>
      <c r="Z708" s="217" t="str">
        <f t="shared" si="296"/>
        <v>Rp</v>
      </c>
      <c r="AA708" s="219">
        <f t="shared" si="297"/>
        <v>625000</v>
      </c>
      <c r="AB708" s="220"/>
      <c r="AC708" s="221">
        <f>IF(AA708&gt;0,2,IF(AA707=0," "))</f>
        <v>2</v>
      </c>
      <c r="AE708" s="211"/>
      <c r="AF708" s="211"/>
      <c r="AI708" s="211">
        <f t="shared" si="298"/>
        <v>0</v>
      </c>
      <c r="AJ708" s="211">
        <f t="shared" si="299"/>
        <v>1</v>
      </c>
      <c r="AK708" s="211">
        <f t="shared" si="300"/>
        <v>1</v>
      </c>
      <c r="AL708" s="211">
        <f t="shared" si="301"/>
        <v>1</v>
      </c>
      <c r="AM708" s="211">
        <f t="shared" si="302"/>
        <v>1</v>
      </c>
      <c r="AN708" s="211">
        <f t="shared" si="303"/>
        <v>0</v>
      </c>
      <c r="AO708" s="211">
        <f t="shared" si="304"/>
        <v>1</v>
      </c>
    </row>
    <row r="709" spans="2:41" ht="24.95" customHeight="1" x14ac:dyDescent="0.25">
      <c r="B709" s="212">
        <f>B708+1</f>
        <v>3</v>
      </c>
      <c r="C709" s="264" t="str">
        <f t="shared" si="291"/>
        <v>LASMARI</v>
      </c>
      <c r="D709" s="213"/>
      <c r="E709" s="265" t="str">
        <f t="shared" si="292"/>
        <v>B</v>
      </c>
      <c r="F709" s="275" t="s">
        <v>36</v>
      </c>
      <c r="G709" s="275"/>
      <c r="H709" s="215" t="s">
        <v>37</v>
      </c>
      <c r="I709" s="215"/>
      <c r="J709" s="215" t="s">
        <v>37</v>
      </c>
      <c r="K709" s="215"/>
      <c r="L709" s="215" t="s">
        <v>36</v>
      </c>
      <c r="M709" s="215"/>
      <c r="N709" s="215" t="s">
        <v>37</v>
      </c>
      <c r="O709" s="215"/>
      <c r="P709" s="215" t="s">
        <v>37</v>
      </c>
      <c r="Q709" s="215"/>
      <c r="R709" s="215" t="s">
        <v>37</v>
      </c>
      <c r="S709" s="356"/>
      <c r="T709" s="274">
        <f t="shared" si="305"/>
        <v>5</v>
      </c>
      <c r="U709" s="274"/>
      <c r="V709" s="217" t="str">
        <f t="shared" si="293"/>
        <v>Rp</v>
      </c>
      <c r="W709" s="266">
        <f t="shared" si="294"/>
        <v>125000</v>
      </c>
      <c r="X709" s="217" t="str">
        <f t="shared" si="295"/>
        <v>Rp</v>
      </c>
      <c r="Y709" s="266">
        <f t="shared" si="294"/>
        <v>25000</v>
      </c>
      <c r="Z709" s="217" t="str">
        <f t="shared" si="296"/>
        <v>Rp</v>
      </c>
      <c r="AA709" s="219">
        <f t="shared" si="297"/>
        <v>625000</v>
      </c>
      <c r="AB709" s="222">
        <f>IF(AA709&gt;0,AB707+2,IF(AA709=0," "))</f>
        <v>3</v>
      </c>
      <c r="AC709" s="221"/>
      <c r="AE709" s="211"/>
      <c r="AF709" s="211"/>
      <c r="AI709" s="211">
        <f t="shared" si="298"/>
        <v>0</v>
      </c>
      <c r="AJ709" s="211">
        <f t="shared" si="299"/>
        <v>1</v>
      </c>
      <c r="AK709" s="211">
        <f t="shared" si="300"/>
        <v>1</v>
      </c>
      <c r="AL709" s="211">
        <f t="shared" si="301"/>
        <v>0</v>
      </c>
      <c r="AM709" s="211">
        <f t="shared" si="302"/>
        <v>1</v>
      </c>
      <c r="AN709" s="211">
        <f t="shared" si="303"/>
        <v>1</v>
      </c>
      <c r="AO709" s="211">
        <f t="shared" si="304"/>
        <v>1</v>
      </c>
    </row>
    <row r="710" spans="2:41" ht="24.95" customHeight="1" x14ac:dyDescent="0.25">
      <c r="B710" s="212">
        <f>B709+1</f>
        <v>4</v>
      </c>
      <c r="C710" s="264" t="str">
        <f t="shared" si="291"/>
        <v>SUMARTO</v>
      </c>
      <c r="D710" s="213"/>
      <c r="E710" s="265" t="str">
        <f t="shared" si="292"/>
        <v>B</v>
      </c>
      <c r="F710" s="275" t="s">
        <v>36</v>
      </c>
      <c r="G710" s="275"/>
      <c r="H710" s="215" t="s">
        <v>37</v>
      </c>
      <c r="I710" s="215"/>
      <c r="J710" s="215" t="s">
        <v>36</v>
      </c>
      <c r="K710" s="215"/>
      <c r="L710" s="215" t="s">
        <v>37</v>
      </c>
      <c r="M710" s="215"/>
      <c r="N710" s="215" t="s">
        <v>37</v>
      </c>
      <c r="O710" s="215"/>
      <c r="P710" s="215" t="s">
        <v>37</v>
      </c>
      <c r="Q710" s="215"/>
      <c r="R710" s="215" t="s">
        <v>36</v>
      </c>
      <c r="S710" s="356"/>
      <c r="T710" s="274">
        <f t="shared" si="305"/>
        <v>4</v>
      </c>
      <c r="U710" s="274"/>
      <c r="V710" s="217" t="str">
        <f t="shared" si="293"/>
        <v>Rp</v>
      </c>
      <c r="W710" s="266">
        <f t="shared" si="294"/>
        <v>125000</v>
      </c>
      <c r="X710" s="217" t="str">
        <f t="shared" si="295"/>
        <v>Rp</v>
      </c>
      <c r="Y710" s="266">
        <f t="shared" si="294"/>
        <v>25000</v>
      </c>
      <c r="Z710" s="217" t="str">
        <f t="shared" si="296"/>
        <v>Rp</v>
      </c>
      <c r="AA710" s="219">
        <f t="shared" si="297"/>
        <v>500000</v>
      </c>
      <c r="AB710" s="222"/>
      <c r="AC710" s="223">
        <f>IF(AA710&gt;0,AC708+2,IF(AD710=0," "))</f>
        <v>4</v>
      </c>
      <c r="AE710" s="211"/>
      <c r="AF710" s="211"/>
      <c r="AI710" s="211">
        <f t="shared" si="298"/>
        <v>0</v>
      </c>
      <c r="AJ710" s="211">
        <f t="shared" si="299"/>
        <v>1</v>
      </c>
      <c r="AK710" s="211">
        <f t="shared" si="300"/>
        <v>0</v>
      </c>
      <c r="AL710" s="211">
        <f t="shared" si="301"/>
        <v>1</v>
      </c>
      <c r="AM710" s="211">
        <f t="shared" si="302"/>
        <v>1</v>
      </c>
      <c r="AN710" s="211">
        <f t="shared" si="303"/>
        <v>1</v>
      </c>
      <c r="AO710" s="211">
        <f t="shared" si="304"/>
        <v>0</v>
      </c>
    </row>
    <row r="711" spans="2:41" ht="24.95" customHeight="1" x14ac:dyDescent="0.25">
      <c r="B711" s="212">
        <f t="shared" ref="B711:B726" si="306">B710+1</f>
        <v>5</v>
      </c>
      <c r="C711" s="264" t="str">
        <f t="shared" si="291"/>
        <v>TONI</v>
      </c>
      <c r="D711" s="213"/>
      <c r="E711" s="265" t="str">
        <f t="shared" si="292"/>
        <v>C</v>
      </c>
      <c r="F711" s="275" t="s">
        <v>36</v>
      </c>
      <c r="G711" s="275"/>
      <c r="H711" s="215" t="s">
        <v>37</v>
      </c>
      <c r="I711" s="215"/>
      <c r="J711" s="215" t="s">
        <v>37</v>
      </c>
      <c r="K711" s="215"/>
      <c r="L711" s="215" t="s">
        <v>37</v>
      </c>
      <c r="M711" s="215"/>
      <c r="N711" s="215" t="s">
        <v>36</v>
      </c>
      <c r="O711" s="215"/>
      <c r="P711" s="215" t="s">
        <v>37</v>
      </c>
      <c r="Q711" s="215"/>
      <c r="R711" s="215" t="s">
        <v>37</v>
      </c>
      <c r="S711" s="356"/>
      <c r="T711" s="274">
        <f t="shared" si="305"/>
        <v>5</v>
      </c>
      <c r="U711" s="274"/>
      <c r="V711" s="217" t="str">
        <f t="shared" si="293"/>
        <v>Rp</v>
      </c>
      <c r="W711" s="266">
        <f t="shared" si="294"/>
        <v>115000</v>
      </c>
      <c r="X711" s="217" t="str">
        <f t="shared" si="295"/>
        <v>Rp</v>
      </c>
      <c r="Y711" s="266">
        <f t="shared" si="294"/>
        <v>25000</v>
      </c>
      <c r="Z711" s="217" t="str">
        <f t="shared" si="296"/>
        <v>Rp</v>
      </c>
      <c r="AA711" s="219">
        <f t="shared" si="297"/>
        <v>575000</v>
      </c>
      <c r="AB711" s="222">
        <f>IF(AA711&gt;0,AB709+2,IF(AA711=0," "))</f>
        <v>5</v>
      </c>
      <c r="AC711" s="221"/>
      <c r="AE711" s="211"/>
      <c r="AF711" s="211"/>
      <c r="AI711" s="211">
        <f t="shared" si="298"/>
        <v>0</v>
      </c>
      <c r="AJ711" s="211">
        <f t="shared" si="299"/>
        <v>1</v>
      </c>
      <c r="AK711" s="211">
        <f t="shared" si="300"/>
        <v>1</v>
      </c>
      <c r="AL711" s="211">
        <f t="shared" si="301"/>
        <v>1</v>
      </c>
      <c r="AM711" s="211">
        <f t="shared" si="302"/>
        <v>0</v>
      </c>
      <c r="AN711" s="211">
        <f t="shared" si="303"/>
        <v>1</v>
      </c>
      <c r="AO711" s="211">
        <f t="shared" si="304"/>
        <v>1</v>
      </c>
    </row>
    <row r="712" spans="2:41" ht="24.95" customHeight="1" x14ac:dyDescent="0.25">
      <c r="B712" s="212">
        <f t="shared" si="306"/>
        <v>6</v>
      </c>
      <c r="C712" s="264" t="str">
        <f t="shared" si="291"/>
        <v>SAKIM</v>
      </c>
      <c r="D712" s="213"/>
      <c r="E712" s="265" t="str">
        <f t="shared" si="292"/>
        <v>C</v>
      </c>
      <c r="F712" s="275" t="s">
        <v>36</v>
      </c>
      <c r="G712" s="275"/>
      <c r="H712" s="215" t="s">
        <v>37</v>
      </c>
      <c r="I712" s="215"/>
      <c r="J712" s="215" t="s">
        <v>37</v>
      </c>
      <c r="K712" s="215"/>
      <c r="L712" s="215" t="s">
        <v>37</v>
      </c>
      <c r="M712" s="215"/>
      <c r="N712" s="215" t="s">
        <v>37</v>
      </c>
      <c r="O712" s="215"/>
      <c r="P712" s="215" t="s">
        <v>37</v>
      </c>
      <c r="Q712" s="215"/>
      <c r="R712" s="215" t="s">
        <v>37</v>
      </c>
      <c r="S712" s="356"/>
      <c r="T712" s="274">
        <f t="shared" si="305"/>
        <v>6</v>
      </c>
      <c r="U712" s="274"/>
      <c r="V712" s="217" t="str">
        <f t="shared" si="293"/>
        <v>Rp</v>
      </c>
      <c r="W712" s="266">
        <f t="shared" si="294"/>
        <v>115000</v>
      </c>
      <c r="X712" s="217" t="str">
        <f t="shared" si="295"/>
        <v>Rp</v>
      </c>
      <c r="Y712" s="266">
        <f t="shared" si="294"/>
        <v>25000</v>
      </c>
      <c r="Z712" s="217" t="str">
        <f t="shared" si="296"/>
        <v>Rp</v>
      </c>
      <c r="AA712" s="219">
        <f t="shared" si="297"/>
        <v>690000</v>
      </c>
      <c r="AB712" s="222"/>
      <c r="AC712" s="223">
        <f>IF(AA712&gt;0,AC710+2,IF(AD712=0," "))</f>
        <v>6</v>
      </c>
      <c r="AE712" s="211"/>
      <c r="AF712" s="211"/>
      <c r="AI712" s="211">
        <f t="shared" si="298"/>
        <v>0</v>
      </c>
      <c r="AJ712" s="211">
        <f t="shared" si="299"/>
        <v>1</v>
      </c>
      <c r="AK712" s="211">
        <f t="shared" si="300"/>
        <v>1</v>
      </c>
      <c r="AL712" s="211">
        <f t="shared" si="301"/>
        <v>1</v>
      </c>
      <c r="AM712" s="211">
        <f t="shared" si="302"/>
        <v>1</v>
      </c>
      <c r="AN712" s="211">
        <f t="shared" si="303"/>
        <v>1</v>
      </c>
      <c r="AO712" s="211">
        <f t="shared" si="304"/>
        <v>1</v>
      </c>
    </row>
    <row r="713" spans="2:41" ht="24.95" customHeight="1" x14ac:dyDescent="0.25">
      <c r="B713" s="212">
        <f t="shared" si="306"/>
        <v>7</v>
      </c>
      <c r="C713" s="264" t="str">
        <f t="shared" si="291"/>
        <v>TOHIR</v>
      </c>
      <c r="D713" s="213"/>
      <c r="E713" s="265" t="str">
        <f t="shared" si="292"/>
        <v>C</v>
      </c>
      <c r="F713" s="275" t="s">
        <v>36</v>
      </c>
      <c r="G713" s="275"/>
      <c r="H713" s="215" t="s">
        <v>37</v>
      </c>
      <c r="I713" s="215"/>
      <c r="J713" s="215" t="s">
        <v>37</v>
      </c>
      <c r="K713" s="215"/>
      <c r="L713" s="215" t="s">
        <v>37</v>
      </c>
      <c r="M713" s="215"/>
      <c r="N713" s="215" t="s">
        <v>36</v>
      </c>
      <c r="O713" s="215"/>
      <c r="P713" s="215" t="s">
        <v>37</v>
      </c>
      <c r="Q713" s="215"/>
      <c r="R713" s="215" t="s">
        <v>37</v>
      </c>
      <c r="S713" s="356"/>
      <c r="T713" s="274">
        <f t="shared" si="305"/>
        <v>5</v>
      </c>
      <c r="U713" s="274"/>
      <c r="V713" s="217" t="str">
        <f t="shared" si="293"/>
        <v>Rp</v>
      </c>
      <c r="W713" s="266">
        <f t="shared" si="294"/>
        <v>115000</v>
      </c>
      <c r="X713" s="217" t="str">
        <f t="shared" si="295"/>
        <v>Rp</v>
      </c>
      <c r="Y713" s="266">
        <f t="shared" si="294"/>
        <v>25000</v>
      </c>
      <c r="Z713" s="217" t="str">
        <f t="shared" si="296"/>
        <v>Rp</v>
      </c>
      <c r="AA713" s="219">
        <f t="shared" si="297"/>
        <v>575000</v>
      </c>
      <c r="AB713" s="222">
        <f>IF(AA713&gt;0,AB711+2,IF(AA713=0," "))</f>
        <v>7</v>
      </c>
      <c r="AC713" s="221"/>
      <c r="AE713" s="211"/>
      <c r="AF713" s="211"/>
      <c r="AI713" s="211">
        <f t="shared" si="298"/>
        <v>0</v>
      </c>
      <c r="AJ713" s="211">
        <f t="shared" si="299"/>
        <v>1</v>
      </c>
      <c r="AK713" s="211">
        <f t="shared" si="300"/>
        <v>1</v>
      </c>
      <c r="AL713" s="211">
        <f t="shared" si="301"/>
        <v>1</v>
      </c>
      <c r="AM713" s="211">
        <f t="shared" si="302"/>
        <v>0</v>
      </c>
      <c r="AN713" s="211">
        <f t="shared" si="303"/>
        <v>1</v>
      </c>
      <c r="AO713" s="211">
        <f t="shared" si="304"/>
        <v>1</v>
      </c>
    </row>
    <row r="714" spans="2:41" ht="24.95" customHeight="1" x14ac:dyDescent="0.25">
      <c r="B714" s="212">
        <f t="shared" si="306"/>
        <v>8</v>
      </c>
      <c r="C714" s="264" t="str">
        <f t="shared" si="291"/>
        <v>ROJALI</v>
      </c>
      <c r="D714" s="213"/>
      <c r="E714" s="265" t="str">
        <f t="shared" si="292"/>
        <v>C</v>
      </c>
      <c r="F714" s="275" t="s">
        <v>36</v>
      </c>
      <c r="G714" s="275"/>
      <c r="H714" s="215" t="s">
        <v>37</v>
      </c>
      <c r="I714" s="215"/>
      <c r="J714" s="215" t="s">
        <v>37</v>
      </c>
      <c r="K714" s="215"/>
      <c r="L714" s="215" t="s">
        <v>37</v>
      </c>
      <c r="M714" s="215"/>
      <c r="N714" s="215" t="s">
        <v>37</v>
      </c>
      <c r="O714" s="215"/>
      <c r="P714" s="215" t="s">
        <v>37</v>
      </c>
      <c r="Q714" s="215"/>
      <c r="R714" s="215" t="s">
        <v>37</v>
      </c>
      <c r="S714" s="356"/>
      <c r="T714" s="274">
        <f t="shared" si="305"/>
        <v>6</v>
      </c>
      <c r="U714" s="274"/>
      <c r="V714" s="217" t="str">
        <f t="shared" si="293"/>
        <v>Rp</v>
      </c>
      <c r="W714" s="266">
        <f t="shared" si="294"/>
        <v>115000</v>
      </c>
      <c r="X714" s="217" t="str">
        <f t="shared" si="295"/>
        <v>Rp</v>
      </c>
      <c r="Y714" s="266">
        <f t="shared" si="294"/>
        <v>25000</v>
      </c>
      <c r="Z714" s="217" t="str">
        <f t="shared" si="296"/>
        <v>Rp</v>
      </c>
      <c r="AA714" s="219">
        <f t="shared" si="297"/>
        <v>690000</v>
      </c>
      <c r="AB714" s="222"/>
      <c r="AC714" s="223">
        <f>IF(AA714&gt;0,AC712+2,IF(AD714=0," "))</f>
        <v>8</v>
      </c>
      <c r="AE714" s="211"/>
      <c r="AF714" s="211"/>
      <c r="AI714" s="211">
        <f t="shared" si="298"/>
        <v>0</v>
      </c>
      <c r="AJ714" s="211">
        <f t="shared" si="299"/>
        <v>1</v>
      </c>
      <c r="AK714" s="211">
        <f t="shared" si="300"/>
        <v>1</v>
      </c>
      <c r="AL714" s="211">
        <f t="shared" si="301"/>
        <v>1</v>
      </c>
      <c r="AM714" s="211">
        <f t="shared" si="302"/>
        <v>1</v>
      </c>
      <c r="AN714" s="211">
        <f t="shared" si="303"/>
        <v>1</v>
      </c>
      <c r="AO714" s="211">
        <f t="shared" si="304"/>
        <v>1</v>
      </c>
    </row>
    <row r="715" spans="2:41" ht="24.95" customHeight="1" x14ac:dyDescent="0.25">
      <c r="B715" s="212">
        <f t="shared" si="306"/>
        <v>9</v>
      </c>
      <c r="C715" s="264">
        <f t="shared" si="291"/>
        <v>0</v>
      </c>
      <c r="D715" s="213"/>
      <c r="E715" s="265">
        <f t="shared" si="292"/>
        <v>0</v>
      </c>
      <c r="F715" s="275" t="s">
        <v>36</v>
      </c>
      <c r="G715" s="275"/>
      <c r="H715" s="215" t="s">
        <v>37</v>
      </c>
      <c r="I715" s="215"/>
      <c r="J715" s="215" t="s">
        <v>37</v>
      </c>
      <c r="K715" s="215"/>
      <c r="L715" s="215" t="s">
        <v>37</v>
      </c>
      <c r="M715" s="215"/>
      <c r="N715" s="215" t="s">
        <v>37</v>
      </c>
      <c r="O715" s="215"/>
      <c r="P715" s="215" t="s">
        <v>37</v>
      </c>
      <c r="Q715" s="215"/>
      <c r="R715" s="215" t="s">
        <v>37</v>
      </c>
      <c r="S715" s="356"/>
      <c r="T715" s="274">
        <f t="shared" si="305"/>
        <v>6</v>
      </c>
      <c r="U715" s="274"/>
      <c r="V715" s="217" t="str">
        <f t="shared" si="293"/>
        <v xml:space="preserve"> </v>
      </c>
      <c r="W715" s="266">
        <f t="shared" si="294"/>
        <v>0</v>
      </c>
      <c r="X715" s="217" t="str">
        <f t="shared" si="295"/>
        <v>Rp</v>
      </c>
      <c r="Y715" s="266">
        <f t="shared" si="294"/>
        <v>25000</v>
      </c>
      <c r="Z715" s="217" t="str">
        <f t="shared" si="296"/>
        <v xml:space="preserve"> </v>
      </c>
      <c r="AA715" s="219">
        <f t="shared" si="297"/>
        <v>0</v>
      </c>
      <c r="AB715" s="222" t="str">
        <f>IF(AA715&gt;0,AB713+2,IF(AA715=0," "))</f>
        <v xml:space="preserve"> </v>
      </c>
      <c r="AC715" s="221"/>
      <c r="AE715" s="211"/>
      <c r="AF715" s="211"/>
      <c r="AI715" s="211">
        <f t="shared" si="298"/>
        <v>0</v>
      </c>
      <c r="AJ715" s="211">
        <f t="shared" si="299"/>
        <v>1</v>
      </c>
      <c r="AK715" s="211">
        <f t="shared" si="300"/>
        <v>1</v>
      </c>
      <c r="AL715" s="211">
        <f t="shared" si="301"/>
        <v>1</v>
      </c>
      <c r="AM715" s="211">
        <f t="shared" si="302"/>
        <v>1</v>
      </c>
      <c r="AN715" s="211">
        <f t="shared" si="303"/>
        <v>1</v>
      </c>
      <c r="AO715" s="211">
        <f t="shared" si="304"/>
        <v>1</v>
      </c>
    </row>
    <row r="716" spans="2:41" ht="24.95" customHeight="1" x14ac:dyDescent="0.25">
      <c r="B716" s="212">
        <f t="shared" si="306"/>
        <v>10</v>
      </c>
      <c r="C716" s="264">
        <f t="shared" si="291"/>
        <v>0</v>
      </c>
      <c r="D716" s="213"/>
      <c r="E716" s="265">
        <f t="shared" si="292"/>
        <v>0</v>
      </c>
      <c r="F716" s="275" t="s">
        <v>36</v>
      </c>
      <c r="G716" s="275"/>
      <c r="H716" s="215" t="s">
        <v>37</v>
      </c>
      <c r="I716" s="215"/>
      <c r="J716" s="215" t="s">
        <v>37</v>
      </c>
      <c r="K716" s="215"/>
      <c r="L716" s="215" t="s">
        <v>37</v>
      </c>
      <c r="M716" s="215"/>
      <c r="N716" s="215" t="s">
        <v>37</v>
      </c>
      <c r="O716" s="215"/>
      <c r="P716" s="215" t="s">
        <v>37</v>
      </c>
      <c r="Q716" s="215"/>
      <c r="R716" s="215" t="s">
        <v>37</v>
      </c>
      <c r="S716" s="356"/>
      <c r="T716" s="274">
        <f t="shared" si="305"/>
        <v>6</v>
      </c>
      <c r="U716" s="274"/>
      <c r="V716" s="217" t="str">
        <f t="shared" si="293"/>
        <v xml:space="preserve"> </v>
      </c>
      <c r="W716" s="266">
        <f t="shared" si="294"/>
        <v>0</v>
      </c>
      <c r="X716" s="217" t="str">
        <f t="shared" si="295"/>
        <v>Rp</v>
      </c>
      <c r="Y716" s="266">
        <f t="shared" si="294"/>
        <v>25000</v>
      </c>
      <c r="Z716" s="217" t="str">
        <f t="shared" si="296"/>
        <v xml:space="preserve"> </v>
      </c>
      <c r="AA716" s="219">
        <f t="shared" si="297"/>
        <v>0</v>
      </c>
      <c r="AB716" s="222"/>
      <c r="AC716" s="223" t="str">
        <f>IF(AA716&gt;0,AC714+2,IF(AD716=0," "))</f>
        <v xml:space="preserve"> </v>
      </c>
      <c r="AE716" s="211"/>
      <c r="AF716" s="211"/>
      <c r="AI716" s="211">
        <f t="shared" si="298"/>
        <v>0</v>
      </c>
      <c r="AJ716" s="211">
        <f t="shared" si="299"/>
        <v>1</v>
      </c>
      <c r="AK716" s="211">
        <f t="shared" si="300"/>
        <v>1</v>
      </c>
      <c r="AL716" s="211">
        <f t="shared" si="301"/>
        <v>1</v>
      </c>
      <c r="AM716" s="211">
        <f t="shared" si="302"/>
        <v>1</v>
      </c>
      <c r="AN716" s="211">
        <f t="shared" si="303"/>
        <v>1</v>
      </c>
      <c r="AO716" s="211">
        <f t="shared" si="304"/>
        <v>1</v>
      </c>
    </row>
    <row r="717" spans="2:41" ht="24.95" customHeight="1" x14ac:dyDescent="0.25">
      <c r="B717" s="212">
        <f t="shared" si="306"/>
        <v>11</v>
      </c>
      <c r="C717" s="264">
        <f t="shared" si="291"/>
        <v>0</v>
      </c>
      <c r="D717" s="213"/>
      <c r="E717" s="265">
        <f t="shared" si="292"/>
        <v>0</v>
      </c>
      <c r="F717" s="275" t="s">
        <v>36</v>
      </c>
      <c r="G717" s="275"/>
      <c r="H717" s="215" t="s">
        <v>37</v>
      </c>
      <c r="I717" s="215"/>
      <c r="J717" s="215" t="s">
        <v>37</v>
      </c>
      <c r="K717" s="215"/>
      <c r="L717" s="215" t="s">
        <v>37</v>
      </c>
      <c r="M717" s="215"/>
      <c r="N717" s="215" t="s">
        <v>36</v>
      </c>
      <c r="O717" s="215"/>
      <c r="P717" s="215" t="s">
        <v>37</v>
      </c>
      <c r="Q717" s="215"/>
      <c r="R717" s="215" t="s">
        <v>37</v>
      </c>
      <c r="S717" s="356"/>
      <c r="T717" s="274">
        <f t="shared" si="305"/>
        <v>5</v>
      </c>
      <c r="U717" s="274"/>
      <c r="V717" s="217" t="str">
        <f t="shared" si="293"/>
        <v xml:space="preserve"> </v>
      </c>
      <c r="W717" s="266">
        <f t="shared" si="294"/>
        <v>0</v>
      </c>
      <c r="X717" s="217" t="str">
        <f t="shared" si="295"/>
        <v xml:space="preserve"> </v>
      </c>
      <c r="Y717" s="266">
        <f t="shared" si="294"/>
        <v>0</v>
      </c>
      <c r="Z717" s="217" t="str">
        <f t="shared" si="296"/>
        <v xml:space="preserve"> </v>
      </c>
      <c r="AA717" s="219">
        <f t="shared" si="297"/>
        <v>0</v>
      </c>
      <c r="AB717" s="222" t="str">
        <f>IF(AA717&gt;0,AB715+2,IF(AA717=0," "))</f>
        <v xml:space="preserve"> </v>
      </c>
      <c r="AC717" s="221"/>
      <c r="AE717" s="211"/>
      <c r="AF717" s="211"/>
      <c r="AI717" s="211">
        <f t="shared" si="298"/>
        <v>0</v>
      </c>
      <c r="AJ717" s="211">
        <f t="shared" si="299"/>
        <v>1</v>
      </c>
      <c r="AK717" s="211">
        <f t="shared" si="300"/>
        <v>1</v>
      </c>
      <c r="AL717" s="211">
        <f t="shared" si="301"/>
        <v>1</v>
      </c>
      <c r="AM717" s="211">
        <f t="shared" si="302"/>
        <v>0</v>
      </c>
      <c r="AN717" s="211">
        <f t="shared" si="303"/>
        <v>1</v>
      </c>
      <c r="AO717" s="211">
        <f t="shared" si="304"/>
        <v>1</v>
      </c>
    </row>
    <row r="718" spans="2:41" ht="24.95" customHeight="1" x14ac:dyDescent="0.25">
      <c r="B718" s="212">
        <f t="shared" si="306"/>
        <v>12</v>
      </c>
      <c r="C718" s="264">
        <f t="shared" si="291"/>
        <v>0</v>
      </c>
      <c r="D718" s="213"/>
      <c r="E718" s="265">
        <f t="shared" si="292"/>
        <v>0</v>
      </c>
      <c r="F718" s="275" t="s">
        <v>36</v>
      </c>
      <c r="G718" s="275"/>
      <c r="H718" s="215" t="s">
        <v>37</v>
      </c>
      <c r="I718" s="215"/>
      <c r="J718" s="215" t="s">
        <v>37</v>
      </c>
      <c r="K718" s="215"/>
      <c r="L718" s="215" t="s">
        <v>36</v>
      </c>
      <c r="M718" s="215"/>
      <c r="N718" s="215" t="s">
        <v>37</v>
      </c>
      <c r="O718" s="215"/>
      <c r="P718" s="215" t="s">
        <v>37</v>
      </c>
      <c r="Q718" s="215"/>
      <c r="R718" s="215" t="s">
        <v>37</v>
      </c>
      <c r="S718" s="356"/>
      <c r="T718" s="274">
        <f t="shared" si="305"/>
        <v>5</v>
      </c>
      <c r="U718" s="274"/>
      <c r="V718" s="217" t="str">
        <f t="shared" si="293"/>
        <v xml:space="preserve"> </v>
      </c>
      <c r="W718" s="266">
        <f t="shared" si="294"/>
        <v>0</v>
      </c>
      <c r="X718" s="217" t="str">
        <f t="shared" si="295"/>
        <v xml:space="preserve"> </v>
      </c>
      <c r="Y718" s="266">
        <f t="shared" si="294"/>
        <v>0</v>
      </c>
      <c r="Z718" s="217" t="str">
        <f t="shared" si="296"/>
        <v xml:space="preserve"> </v>
      </c>
      <c r="AA718" s="219">
        <f t="shared" si="297"/>
        <v>0</v>
      </c>
      <c r="AB718" s="222"/>
      <c r="AC718" s="223" t="str">
        <f>IF(AA718&gt;0,AC716+2,IF(AD718=0," "))</f>
        <v xml:space="preserve"> </v>
      </c>
      <c r="AE718" s="211"/>
      <c r="AF718" s="211"/>
      <c r="AI718" s="211">
        <f t="shared" si="298"/>
        <v>0</v>
      </c>
      <c r="AJ718" s="211">
        <f t="shared" si="299"/>
        <v>1</v>
      </c>
      <c r="AK718" s="211">
        <f t="shared" si="300"/>
        <v>1</v>
      </c>
      <c r="AL718" s="211">
        <f t="shared" si="301"/>
        <v>0</v>
      </c>
      <c r="AM718" s="211">
        <f t="shared" si="302"/>
        <v>1</v>
      </c>
      <c r="AN718" s="211">
        <f t="shared" si="303"/>
        <v>1</v>
      </c>
      <c r="AO718" s="211">
        <f t="shared" si="304"/>
        <v>1</v>
      </c>
    </row>
    <row r="719" spans="2:41" ht="24.95" customHeight="1" x14ac:dyDescent="0.25">
      <c r="B719" s="212">
        <f t="shared" si="306"/>
        <v>13</v>
      </c>
      <c r="C719" s="264">
        <f t="shared" si="291"/>
        <v>0</v>
      </c>
      <c r="D719" s="213"/>
      <c r="E719" s="265">
        <f t="shared" si="292"/>
        <v>0</v>
      </c>
      <c r="F719" s="275"/>
      <c r="G719" s="275"/>
      <c r="H719" s="215"/>
      <c r="I719" s="215"/>
      <c r="J719" s="215"/>
      <c r="K719" s="215"/>
      <c r="L719" s="215"/>
      <c r="M719" s="215"/>
      <c r="N719" s="215"/>
      <c r="O719" s="215"/>
      <c r="P719" s="215"/>
      <c r="Q719" s="215"/>
      <c r="R719" s="215"/>
      <c r="S719" s="356"/>
      <c r="T719" s="274">
        <f t="shared" si="305"/>
        <v>0</v>
      </c>
      <c r="U719" s="274"/>
      <c r="V719" s="217" t="str">
        <f t="shared" si="293"/>
        <v xml:space="preserve"> </v>
      </c>
      <c r="W719" s="266">
        <f t="shared" si="294"/>
        <v>0</v>
      </c>
      <c r="X719" s="217" t="str">
        <f t="shared" si="295"/>
        <v xml:space="preserve"> </v>
      </c>
      <c r="Y719" s="266">
        <f t="shared" si="294"/>
        <v>0</v>
      </c>
      <c r="Z719" s="217" t="str">
        <f t="shared" si="296"/>
        <v xml:space="preserve"> </v>
      </c>
      <c r="AA719" s="219">
        <f t="shared" si="297"/>
        <v>0</v>
      </c>
      <c r="AB719" s="222" t="str">
        <f>IF(AA719&gt;0,AB717+2,IF(AA719=0," "))</f>
        <v xml:space="preserve"> </v>
      </c>
      <c r="AC719" s="221"/>
      <c r="AE719" s="211"/>
      <c r="AF719" s="211"/>
      <c r="AI719" s="211" t="b">
        <f t="shared" si="298"/>
        <v>0</v>
      </c>
      <c r="AJ719" s="211" t="b">
        <f t="shared" si="299"/>
        <v>0</v>
      </c>
      <c r="AK719" s="211" t="b">
        <f t="shared" si="300"/>
        <v>0</v>
      </c>
      <c r="AL719" s="211" t="b">
        <f t="shared" si="301"/>
        <v>0</v>
      </c>
      <c r="AM719" s="211" t="b">
        <f t="shared" si="302"/>
        <v>0</v>
      </c>
      <c r="AN719" s="211" t="b">
        <f t="shared" si="303"/>
        <v>0</v>
      </c>
      <c r="AO719" s="211" t="b">
        <f t="shared" si="304"/>
        <v>0</v>
      </c>
    </row>
    <row r="720" spans="2:41" ht="24.95" customHeight="1" x14ac:dyDescent="0.25">
      <c r="B720" s="212">
        <f t="shared" si="306"/>
        <v>14</v>
      </c>
      <c r="C720" s="264" t="str">
        <f t="shared" si="291"/>
        <v xml:space="preserve"> </v>
      </c>
      <c r="D720" s="213"/>
      <c r="E720" s="265" t="str">
        <f t="shared" si="292"/>
        <v xml:space="preserve"> </v>
      </c>
      <c r="F720" s="275"/>
      <c r="G720" s="275"/>
      <c r="H720" s="215"/>
      <c r="I720" s="215"/>
      <c r="J720" s="215"/>
      <c r="K720" s="215"/>
      <c r="L720" s="215"/>
      <c r="M720" s="215"/>
      <c r="N720" s="215"/>
      <c r="O720" s="215"/>
      <c r="P720" s="215"/>
      <c r="Q720" s="215"/>
      <c r="R720" s="215"/>
      <c r="S720" s="356"/>
      <c r="T720" s="274">
        <f t="shared" si="305"/>
        <v>0</v>
      </c>
      <c r="U720" s="274"/>
      <c r="V720" s="217" t="str">
        <f t="shared" si="293"/>
        <v>Rp</v>
      </c>
      <c r="W720" s="266" t="str">
        <f t="shared" si="294"/>
        <v xml:space="preserve"> </v>
      </c>
      <c r="X720" s="217" t="str">
        <f t="shared" si="295"/>
        <v>Rp</v>
      </c>
      <c r="Y720" s="266" t="str">
        <f t="shared" si="294"/>
        <v xml:space="preserve"> </v>
      </c>
      <c r="Z720" s="217" t="e">
        <f t="shared" si="296"/>
        <v>#VALUE!</v>
      </c>
      <c r="AA720" s="219" t="e">
        <f t="shared" si="297"/>
        <v>#VALUE!</v>
      </c>
      <c r="AB720" s="222"/>
      <c r="AC720" s="223" t="e">
        <f>IF(AA720&gt;0,AC718+2,IF(AD720=0," "))</f>
        <v>#VALUE!</v>
      </c>
      <c r="AE720" s="211"/>
      <c r="AF720" s="211"/>
      <c r="AI720" s="211" t="b">
        <f t="shared" si="298"/>
        <v>0</v>
      </c>
      <c r="AJ720" s="211" t="b">
        <f t="shared" si="299"/>
        <v>0</v>
      </c>
      <c r="AK720" s="211" t="b">
        <f t="shared" si="300"/>
        <v>0</v>
      </c>
      <c r="AL720" s="211" t="b">
        <f t="shared" si="301"/>
        <v>0</v>
      </c>
      <c r="AM720" s="211" t="b">
        <f t="shared" si="302"/>
        <v>0</v>
      </c>
      <c r="AN720" s="211" t="b">
        <f t="shared" si="303"/>
        <v>0</v>
      </c>
      <c r="AO720" s="211" t="b">
        <f t="shared" si="304"/>
        <v>0</v>
      </c>
    </row>
    <row r="721" spans="1:41" ht="24.95" customHeight="1" x14ac:dyDescent="0.25">
      <c r="B721" s="212">
        <f t="shared" si="306"/>
        <v>15</v>
      </c>
      <c r="C721" s="264" t="str">
        <f t="shared" si="291"/>
        <v xml:space="preserve"> </v>
      </c>
      <c r="D721" s="213"/>
      <c r="E721" s="265" t="str">
        <f t="shared" si="292"/>
        <v xml:space="preserve"> </v>
      </c>
      <c r="F721" s="275"/>
      <c r="G721" s="275"/>
      <c r="H721" s="215"/>
      <c r="I721" s="215"/>
      <c r="J721" s="215"/>
      <c r="K721" s="215"/>
      <c r="L721" s="215"/>
      <c r="M721" s="215"/>
      <c r="N721" s="215"/>
      <c r="O721" s="215"/>
      <c r="P721" s="215"/>
      <c r="Q721" s="215"/>
      <c r="R721" s="215"/>
      <c r="S721" s="356"/>
      <c r="T721" s="274">
        <f t="shared" si="305"/>
        <v>0</v>
      </c>
      <c r="U721" s="274"/>
      <c r="V721" s="217" t="str">
        <f t="shared" si="293"/>
        <v>Rp</v>
      </c>
      <c r="W721" s="266" t="str">
        <f t="shared" si="294"/>
        <v xml:space="preserve"> </v>
      </c>
      <c r="X721" s="217" t="str">
        <f t="shared" si="295"/>
        <v>Rp</v>
      </c>
      <c r="Y721" s="266" t="str">
        <f t="shared" si="294"/>
        <v xml:space="preserve"> </v>
      </c>
      <c r="Z721" s="217" t="e">
        <f t="shared" si="296"/>
        <v>#VALUE!</v>
      </c>
      <c r="AA721" s="219" t="e">
        <f t="shared" si="297"/>
        <v>#VALUE!</v>
      </c>
      <c r="AB721" s="222" t="e">
        <f>IF(AA721&gt;0,AB719+2,IF(AA721=0," "))</f>
        <v>#VALUE!</v>
      </c>
      <c r="AC721" s="221"/>
      <c r="AE721" s="211"/>
      <c r="AF721" s="211"/>
      <c r="AI721" s="211" t="b">
        <f t="shared" si="298"/>
        <v>0</v>
      </c>
      <c r="AJ721" s="211" t="b">
        <f t="shared" si="299"/>
        <v>0</v>
      </c>
      <c r="AK721" s="211" t="b">
        <f t="shared" si="300"/>
        <v>0</v>
      </c>
      <c r="AL721" s="211" t="b">
        <f t="shared" si="301"/>
        <v>0</v>
      </c>
      <c r="AM721" s="211" t="b">
        <f t="shared" si="302"/>
        <v>0</v>
      </c>
      <c r="AN721" s="211" t="b">
        <f t="shared" si="303"/>
        <v>0</v>
      </c>
      <c r="AO721" s="211" t="b">
        <f t="shared" si="304"/>
        <v>0</v>
      </c>
    </row>
    <row r="722" spans="1:41" ht="24.95" customHeight="1" x14ac:dyDescent="0.25">
      <c r="B722" s="212">
        <f t="shared" si="306"/>
        <v>16</v>
      </c>
      <c r="C722" s="264" t="str">
        <f t="shared" si="291"/>
        <v xml:space="preserve"> </v>
      </c>
      <c r="D722" s="213"/>
      <c r="E722" s="265" t="str">
        <f t="shared" si="292"/>
        <v xml:space="preserve"> </v>
      </c>
      <c r="F722" s="275"/>
      <c r="G722" s="275"/>
      <c r="H722" s="215"/>
      <c r="I722" s="215"/>
      <c r="J722" s="215"/>
      <c r="K722" s="215"/>
      <c r="L722" s="215"/>
      <c r="M722" s="215"/>
      <c r="N722" s="215"/>
      <c r="O722" s="215"/>
      <c r="P722" s="215"/>
      <c r="Q722" s="215"/>
      <c r="R722" s="215"/>
      <c r="S722" s="356"/>
      <c r="T722" s="274">
        <f t="shared" si="305"/>
        <v>0</v>
      </c>
      <c r="U722" s="274"/>
      <c r="V722" s="217" t="str">
        <f t="shared" si="293"/>
        <v>Rp</v>
      </c>
      <c r="W722" s="266" t="str">
        <f t="shared" si="294"/>
        <v xml:space="preserve"> </v>
      </c>
      <c r="X722" s="217" t="str">
        <f t="shared" si="295"/>
        <v>Rp</v>
      </c>
      <c r="Y722" s="266" t="str">
        <f t="shared" si="294"/>
        <v xml:space="preserve"> </v>
      </c>
      <c r="Z722" s="217" t="e">
        <f t="shared" si="296"/>
        <v>#VALUE!</v>
      </c>
      <c r="AA722" s="219" t="e">
        <f t="shared" si="297"/>
        <v>#VALUE!</v>
      </c>
      <c r="AB722" s="222"/>
      <c r="AC722" s="223" t="e">
        <f>IF(AA722&gt;0,AC720+2,IF(AD722=0," "))</f>
        <v>#VALUE!</v>
      </c>
      <c r="AE722" s="211"/>
      <c r="AF722" s="211"/>
      <c r="AI722" s="211" t="b">
        <f t="shared" si="298"/>
        <v>0</v>
      </c>
      <c r="AJ722" s="211" t="b">
        <f t="shared" si="299"/>
        <v>0</v>
      </c>
      <c r="AK722" s="211" t="b">
        <f t="shared" si="300"/>
        <v>0</v>
      </c>
      <c r="AL722" s="211" t="b">
        <f t="shared" si="301"/>
        <v>0</v>
      </c>
      <c r="AM722" s="211" t="b">
        <f t="shared" si="302"/>
        <v>0</v>
      </c>
      <c r="AN722" s="211" t="b">
        <f t="shared" si="303"/>
        <v>0</v>
      </c>
      <c r="AO722" s="211" t="b">
        <f t="shared" si="304"/>
        <v>0</v>
      </c>
    </row>
    <row r="723" spans="1:41" ht="24.95" customHeight="1" x14ac:dyDescent="0.25">
      <c r="B723" s="212">
        <f t="shared" si="306"/>
        <v>17</v>
      </c>
      <c r="C723" s="264" t="str">
        <f t="shared" si="291"/>
        <v xml:space="preserve"> </v>
      </c>
      <c r="D723" s="213"/>
      <c r="E723" s="265" t="str">
        <f t="shared" si="292"/>
        <v xml:space="preserve"> </v>
      </c>
      <c r="F723" s="275"/>
      <c r="G723" s="275"/>
      <c r="H723" s="215"/>
      <c r="I723" s="215"/>
      <c r="J723" s="215"/>
      <c r="K723" s="215"/>
      <c r="L723" s="215"/>
      <c r="M723" s="215"/>
      <c r="N723" s="215"/>
      <c r="O723" s="215"/>
      <c r="P723" s="215"/>
      <c r="Q723" s="215"/>
      <c r="R723" s="215"/>
      <c r="S723" s="356"/>
      <c r="T723" s="274">
        <f t="shared" si="305"/>
        <v>0</v>
      </c>
      <c r="U723" s="274"/>
      <c r="V723" s="217" t="str">
        <f t="shared" si="293"/>
        <v>Rp</v>
      </c>
      <c r="W723" s="266" t="str">
        <f t="shared" ref="W723:Y726" si="307">IFERROR(W676," ")</f>
        <v xml:space="preserve"> </v>
      </c>
      <c r="X723" s="217" t="str">
        <f t="shared" si="295"/>
        <v>Rp</v>
      </c>
      <c r="Y723" s="266" t="str">
        <f t="shared" si="307"/>
        <v xml:space="preserve"> </v>
      </c>
      <c r="Z723" s="217" t="e">
        <f t="shared" si="296"/>
        <v>#VALUE!</v>
      </c>
      <c r="AA723" s="219" t="e">
        <f t="shared" si="297"/>
        <v>#VALUE!</v>
      </c>
      <c r="AB723" s="222" t="e">
        <f>IF(AA723&gt;0,AB721+2,IF(AA723=0," "))</f>
        <v>#VALUE!</v>
      </c>
      <c r="AC723" s="221"/>
      <c r="AE723" s="211"/>
      <c r="AF723" s="211"/>
      <c r="AI723" s="211" t="b">
        <f t="shared" si="298"/>
        <v>0</v>
      </c>
      <c r="AJ723" s="211" t="b">
        <f t="shared" si="299"/>
        <v>0</v>
      </c>
      <c r="AK723" s="211" t="b">
        <f t="shared" si="300"/>
        <v>0</v>
      </c>
      <c r="AL723" s="211" t="b">
        <f t="shared" si="301"/>
        <v>0</v>
      </c>
      <c r="AM723" s="211" t="b">
        <f t="shared" si="302"/>
        <v>0</v>
      </c>
      <c r="AN723" s="211" t="b">
        <f t="shared" si="303"/>
        <v>0</v>
      </c>
      <c r="AO723" s="211" t="b">
        <f t="shared" si="304"/>
        <v>0</v>
      </c>
    </row>
    <row r="724" spans="1:41" ht="24.95" customHeight="1" x14ac:dyDescent="0.2">
      <c r="B724" s="212">
        <f t="shared" si="306"/>
        <v>18</v>
      </c>
      <c r="C724" s="264" t="str">
        <f t="shared" si="291"/>
        <v xml:space="preserve"> </v>
      </c>
      <c r="D724" s="213"/>
      <c r="E724" s="265" t="str">
        <f t="shared" si="292"/>
        <v xml:space="preserve"> </v>
      </c>
      <c r="F724" s="357"/>
      <c r="G724" s="357"/>
      <c r="H724" s="358"/>
      <c r="I724" s="358"/>
      <c r="J724" s="359"/>
      <c r="K724" s="359"/>
      <c r="L724" s="359"/>
      <c r="M724" s="359"/>
      <c r="N724" s="360"/>
      <c r="O724" s="360"/>
      <c r="P724" s="360"/>
      <c r="Q724" s="360"/>
      <c r="R724" s="360"/>
      <c r="S724" s="361"/>
      <c r="T724" s="274">
        <f t="shared" si="305"/>
        <v>0</v>
      </c>
      <c r="U724" s="274"/>
      <c r="V724" s="217" t="str">
        <f t="shared" si="293"/>
        <v>Rp</v>
      </c>
      <c r="W724" s="266" t="str">
        <f t="shared" si="307"/>
        <v xml:space="preserve"> </v>
      </c>
      <c r="X724" s="217" t="str">
        <f t="shared" si="295"/>
        <v>Rp</v>
      </c>
      <c r="Y724" s="266" t="str">
        <f t="shared" si="307"/>
        <v xml:space="preserve"> </v>
      </c>
      <c r="Z724" s="217" t="e">
        <f t="shared" si="296"/>
        <v>#VALUE!</v>
      </c>
      <c r="AA724" s="219" t="e">
        <f t="shared" si="297"/>
        <v>#VALUE!</v>
      </c>
      <c r="AB724" s="222"/>
      <c r="AC724" s="223" t="e">
        <f>IF(AA724&gt;0,AC722+2,IF(AD724=0," "))</f>
        <v>#VALUE!</v>
      </c>
      <c r="AE724" s="211"/>
      <c r="AF724" s="211"/>
      <c r="AI724" s="211" t="b">
        <f t="shared" si="298"/>
        <v>0</v>
      </c>
      <c r="AJ724" s="211" t="b">
        <f t="shared" si="299"/>
        <v>0</v>
      </c>
      <c r="AK724" s="211" t="b">
        <f t="shared" si="300"/>
        <v>0</v>
      </c>
      <c r="AL724" s="211" t="b">
        <f t="shared" si="301"/>
        <v>0</v>
      </c>
      <c r="AM724" s="211" t="b">
        <f t="shared" si="302"/>
        <v>0</v>
      </c>
      <c r="AN724" s="211" t="b">
        <f t="shared" si="303"/>
        <v>0</v>
      </c>
      <c r="AO724" s="211" t="b">
        <f t="shared" si="304"/>
        <v>0</v>
      </c>
    </row>
    <row r="725" spans="1:41" ht="24.95" customHeight="1" x14ac:dyDescent="0.2">
      <c r="B725" s="212">
        <f t="shared" si="306"/>
        <v>19</v>
      </c>
      <c r="C725" s="264" t="str">
        <f t="shared" si="291"/>
        <v xml:space="preserve"> </v>
      </c>
      <c r="D725" s="213"/>
      <c r="E725" s="265" t="str">
        <f t="shared" si="292"/>
        <v xml:space="preserve"> </v>
      </c>
      <c r="F725" s="357"/>
      <c r="G725" s="357"/>
      <c r="H725" s="358"/>
      <c r="I725" s="358"/>
      <c r="J725" s="359"/>
      <c r="K725" s="359"/>
      <c r="L725" s="359"/>
      <c r="M725" s="359"/>
      <c r="N725" s="360"/>
      <c r="O725" s="360"/>
      <c r="P725" s="360"/>
      <c r="Q725" s="360"/>
      <c r="R725" s="360"/>
      <c r="S725" s="361"/>
      <c r="T725" s="274">
        <f t="shared" si="305"/>
        <v>0</v>
      </c>
      <c r="U725" s="274"/>
      <c r="V725" s="217" t="str">
        <f t="shared" si="293"/>
        <v>Rp</v>
      </c>
      <c r="W725" s="266" t="str">
        <f t="shared" si="307"/>
        <v xml:space="preserve"> </v>
      </c>
      <c r="X725" s="217" t="str">
        <f t="shared" si="295"/>
        <v>Rp</v>
      </c>
      <c r="Y725" s="266" t="str">
        <f t="shared" si="307"/>
        <v xml:space="preserve"> </v>
      </c>
      <c r="Z725" s="217" t="e">
        <f t="shared" si="296"/>
        <v>#VALUE!</v>
      </c>
      <c r="AA725" s="219" t="e">
        <f t="shared" si="297"/>
        <v>#VALUE!</v>
      </c>
      <c r="AB725" s="222" t="e">
        <f>IF(AA725&gt;0,AB723+2,IF(AA725=0," "))</f>
        <v>#VALUE!</v>
      </c>
      <c r="AC725" s="221"/>
      <c r="AE725" s="211"/>
      <c r="AF725" s="211"/>
      <c r="AI725" s="211" t="b">
        <f t="shared" si="298"/>
        <v>0</v>
      </c>
      <c r="AJ725" s="211" t="b">
        <f t="shared" si="299"/>
        <v>0</v>
      </c>
      <c r="AK725" s="211" t="b">
        <f t="shared" si="300"/>
        <v>0</v>
      </c>
      <c r="AL725" s="211" t="b">
        <f t="shared" si="301"/>
        <v>0</v>
      </c>
      <c r="AM725" s="211" t="b">
        <f t="shared" si="302"/>
        <v>0</v>
      </c>
      <c r="AN725" s="211" t="b">
        <f t="shared" si="303"/>
        <v>0</v>
      </c>
      <c r="AO725" s="211" t="b">
        <f t="shared" si="304"/>
        <v>0</v>
      </c>
    </row>
    <row r="726" spans="1:41" ht="24.95" customHeight="1" x14ac:dyDescent="0.2">
      <c r="B726" s="212">
        <f t="shared" si="306"/>
        <v>20</v>
      </c>
      <c r="C726" s="264" t="str">
        <f t="shared" si="291"/>
        <v xml:space="preserve"> </v>
      </c>
      <c r="D726" s="213"/>
      <c r="E726" s="265" t="str">
        <f t="shared" si="292"/>
        <v xml:space="preserve"> </v>
      </c>
      <c r="F726" s="357"/>
      <c r="G726" s="357"/>
      <c r="H726" s="358"/>
      <c r="I726" s="358"/>
      <c r="J726" s="359"/>
      <c r="K726" s="359"/>
      <c r="L726" s="359"/>
      <c r="M726" s="359"/>
      <c r="N726" s="360"/>
      <c r="O726" s="360"/>
      <c r="P726" s="360"/>
      <c r="Q726" s="360"/>
      <c r="R726" s="360"/>
      <c r="S726" s="361"/>
      <c r="T726" s="274">
        <f t="shared" si="305"/>
        <v>0</v>
      </c>
      <c r="U726" s="274"/>
      <c r="V726" s="217" t="str">
        <f t="shared" si="293"/>
        <v>Rp</v>
      </c>
      <c r="W726" s="266" t="str">
        <f t="shared" si="307"/>
        <v xml:space="preserve"> </v>
      </c>
      <c r="X726" s="217" t="str">
        <f t="shared" si="295"/>
        <v>Rp</v>
      </c>
      <c r="Y726" s="266" t="str">
        <f t="shared" si="307"/>
        <v xml:space="preserve"> </v>
      </c>
      <c r="Z726" s="217" t="e">
        <f t="shared" si="296"/>
        <v>#VALUE!</v>
      </c>
      <c r="AA726" s="219" t="e">
        <f t="shared" si="297"/>
        <v>#VALUE!</v>
      </c>
      <c r="AB726" s="222"/>
      <c r="AC726" s="223" t="e">
        <f>IF(AA726&gt;0,AC724+2,IF(AD726=0," "))</f>
        <v>#VALUE!</v>
      </c>
      <c r="AE726" s="211"/>
      <c r="AF726" s="211"/>
      <c r="AI726" s="211" t="b">
        <f t="shared" si="298"/>
        <v>0</v>
      </c>
      <c r="AJ726" s="211" t="b">
        <f t="shared" si="299"/>
        <v>0</v>
      </c>
      <c r="AK726" s="211" t="b">
        <f t="shared" si="300"/>
        <v>0</v>
      </c>
      <c r="AL726" s="211" t="b">
        <f t="shared" si="301"/>
        <v>0</v>
      </c>
      <c r="AM726" s="211" t="b">
        <f t="shared" si="302"/>
        <v>0</v>
      </c>
      <c r="AN726" s="211" t="b">
        <f t="shared" si="303"/>
        <v>0</v>
      </c>
      <c r="AO726" s="211" t="b">
        <f t="shared" si="304"/>
        <v>0</v>
      </c>
    </row>
    <row r="727" spans="1:41" ht="24.95" customHeight="1" thickBot="1" x14ac:dyDescent="0.25">
      <c r="B727" s="233"/>
      <c r="C727" s="257"/>
      <c r="D727" s="235"/>
      <c r="E727" s="236"/>
      <c r="F727" s="237"/>
      <c r="G727" s="237"/>
      <c r="H727" s="238"/>
      <c r="I727" s="238"/>
      <c r="J727" s="239"/>
      <c r="K727" s="239"/>
      <c r="L727" s="239"/>
      <c r="M727" s="239"/>
      <c r="N727" s="240"/>
      <c r="O727" s="240"/>
      <c r="P727" s="240"/>
      <c r="Q727" s="240"/>
      <c r="R727" s="240"/>
      <c r="S727" s="353"/>
      <c r="T727" s="259"/>
      <c r="U727" s="259"/>
      <c r="V727" s="242"/>
      <c r="W727" s="258"/>
      <c r="X727" s="242"/>
      <c r="Y727" s="258"/>
      <c r="Z727" s="244"/>
      <c r="AA727" s="236"/>
      <c r="AB727" s="246"/>
      <c r="AC727" s="247"/>
      <c r="AE727" s="211"/>
      <c r="AF727" s="211"/>
    </row>
    <row r="728" spans="1:41" ht="20.100000000000001" customHeight="1" thickTop="1" thickBot="1" x14ac:dyDescent="0.3">
      <c r="A728" s="179">
        <f>A681+1</f>
        <v>18</v>
      </c>
      <c r="B728" s="248"/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50" t="s">
        <v>40</v>
      </c>
      <c r="X728" s="249"/>
      <c r="Y728" s="250" t="s">
        <v>40</v>
      </c>
      <c r="Z728" s="249"/>
      <c r="AA728" s="710" t="e">
        <f>SUM(AA707:AA727)</f>
        <v>#VALUE!</v>
      </c>
      <c r="AB728" s="711"/>
      <c r="AC728" s="712"/>
      <c r="AE728" s="226" t="e">
        <f>VLOOKUP(A728,'Rekap Gaji'!$B$12:$P$32,10,FALSE)</f>
        <v>#N/A</v>
      </c>
      <c r="AF728" s="251" t="e">
        <f>AE728-AA728</f>
        <v>#N/A</v>
      </c>
    </row>
    <row r="729" spans="1:41" ht="11.25" customHeight="1" x14ac:dyDescent="0.25"/>
    <row r="730" spans="1:41" ht="16.5" customHeight="1" x14ac:dyDescent="0.25">
      <c r="B730" s="195" t="s">
        <v>41</v>
      </c>
      <c r="C730" s="140" t="s">
        <v>42</v>
      </c>
    </row>
    <row r="731" spans="1:41" ht="14.25" x14ac:dyDescent="0.25">
      <c r="H731" s="183"/>
      <c r="I731" s="183"/>
      <c r="J731" s="182"/>
      <c r="K731" s="182"/>
      <c r="T731" s="141"/>
      <c r="U731" s="141"/>
      <c r="V731" s="141"/>
      <c r="X731" s="141"/>
      <c r="AA731" s="140" t="str">
        <f>'BKU 1'!$I$25</f>
        <v>NGANTANG</v>
      </c>
      <c r="AB731" s="713" t="str">
        <f>IFERROR(VLOOKUP(E701,'Rekap Gaji'!$B$12:$P$32,7,FALSE),"-")</f>
        <v>-</v>
      </c>
      <c r="AC731" s="713"/>
      <c r="AD731" s="252"/>
      <c r="AE731" s="252"/>
    </row>
    <row r="732" spans="1:41" ht="15.75" x14ac:dyDescent="0.25">
      <c r="C732" s="140" t="s">
        <v>43</v>
      </c>
      <c r="F732" s="253"/>
      <c r="G732" s="253"/>
      <c r="H732" s="254"/>
      <c r="I732" s="254"/>
      <c r="J732" s="255"/>
      <c r="K732" s="255"/>
      <c r="L732" s="256"/>
      <c r="M732" s="256"/>
      <c r="N732" s="225" t="s">
        <v>44</v>
      </c>
      <c r="O732" s="225"/>
      <c r="P732" s="253"/>
      <c r="Q732" s="253"/>
      <c r="T732" s="141"/>
      <c r="U732" s="141"/>
      <c r="V732" s="141"/>
      <c r="X732" s="141"/>
      <c r="AA732" s="140" t="str">
        <f>'BKU 1'!$L$354</f>
        <v>Dibuat Oleh ;</v>
      </c>
      <c r="AB732" s="141"/>
    </row>
    <row r="733" spans="1:41" ht="14.25" x14ac:dyDescent="0.25">
      <c r="C733" s="140" t="str">
        <f>'BKU 1'!$C$355</f>
        <v>Kepala Sekolah SDN 1 SIDODADI</v>
      </c>
      <c r="F733" s="187"/>
      <c r="G733" s="187"/>
      <c r="H733" s="224"/>
      <c r="I733" s="224"/>
      <c r="J733" s="182"/>
      <c r="K733" s="182"/>
      <c r="L733" s="183"/>
      <c r="M733" s="183"/>
      <c r="N733" s="140" t="s">
        <v>45</v>
      </c>
      <c r="P733" s="187"/>
      <c r="Q733" s="187"/>
      <c r="AA733" s="140" t="str">
        <f>'BKU 1'!$L$355</f>
        <v>Bendahara Pembangunan</v>
      </c>
      <c r="AB733" s="141"/>
    </row>
    <row r="734" spans="1:41" ht="14.25" x14ac:dyDescent="0.25">
      <c r="F734" s="187"/>
      <c r="G734" s="187"/>
      <c r="H734" s="224"/>
      <c r="I734" s="224"/>
      <c r="J734" s="182"/>
      <c r="K734" s="182"/>
      <c r="L734" s="183"/>
      <c r="M734" s="183"/>
      <c r="P734" s="187"/>
      <c r="Q734" s="187"/>
      <c r="AA734" s="140"/>
      <c r="AB734" s="141"/>
    </row>
    <row r="735" spans="1:41" ht="14.25" x14ac:dyDescent="0.25">
      <c r="F735" s="187"/>
      <c r="G735" s="187"/>
      <c r="H735" s="224"/>
      <c r="I735" s="224"/>
      <c r="J735" s="182"/>
      <c r="K735" s="182"/>
      <c r="L735" s="183"/>
      <c r="M735" s="183"/>
      <c r="P735" s="187"/>
      <c r="Q735" s="187"/>
      <c r="AA735" s="140"/>
      <c r="AB735" s="141"/>
    </row>
    <row r="736" spans="1:41" ht="14.25" x14ac:dyDescent="0.25">
      <c r="F736" s="187"/>
      <c r="G736" s="187"/>
      <c r="H736" s="224"/>
      <c r="I736" s="224"/>
      <c r="J736" s="182"/>
      <c r="K736" s="182"/>
      <c r="L736" s="183"/>
      <c r="M736" s="183"/>
      <c r="P736" s="187"/>
      <c r="Q736" s="187"/>
      <c r="AA736" s="140"/>
      <c r="AB736" s="141"/>
    </row>
    <row r="737" spans="1:32" ht="14.25" x14ac:dyDescent="0.25">
      <c r="F737" s="187"/>
      <c r="G737" s="187"/>
      <c r="H737" s="224"/>
      <c r="I737" s="224"/>
      <c r="J737" s="182"/>
      <c r="K737" s="182"/>
      <c r="L737" s="183"/>
      <c r="M737" s="183"/>
      <c r="P737" s="187"/>
      <c r="Q737" s="187"/>
      <c r="AA737" s="140"/>
      <c r="AB737" s="141"/>
    </row>
    <row r="738" spans="1:32" x14ac:dyDescent="0.25">
      <c r="H738" s="225"/>
      <c r="I738" s="225"/>
      <c r="AA738" s="140"/>
    </row>
    <row r="739" spans="1:32" x14ac:dyDescent="0.25">
      <c r="H739" s="225"/>
      <c r="I739" s="225"/>
      <c r="AA739" s="140"/>
    </row>
    <row r="740" spans="1:32" s="189" customFormat="1" ht="15" customHeight="1" x14ac:dyDescent="0.25">
      <c r="A740" s="192"/>
      <c r="B740" s="195"/>
      <c r="C740" s="227" t="str">
        <f>'BKU 1'!$C$360</f>
        <v>MELIA FITRIANI, S.Pd.SD</v>
      </c>
      <c r="D740" s="227"/>
      <c r="H740" s="228"/>
      <c r="I740" s="228"/>
      <c r="J740" s="195"/>
      <c r="K740" s="195"/>
      <c r="L740" s="194"/>
      <c r="M740" s="194"/>
      <c r="N740" s="229">
        <f>'BKU 1'!$G$361</f>
        <v>0</v>
      </c>
      <c r="O740" s="229"/>
      <c r="AA740" s="227" t="str">
        <f>'BKU 1'!$L$360</f>
        <v>ARIF NUR UDIN, S.Pd.SD</v>
      </c>
      <c r="AC740" s="230"/>
      <c r="AE740" s="231"/>
      <c r="AF740" s="231"/>
    </row>
    <row r="741" spans="1:32" s="189" customFormat="1" ht="15" customHeight="1" x14ac:dyDescent="0.25">
      <c r="A741" s="192"/>
      <c r="B741" s="195"/>
      <c r="C741" s="140" t="str">
        <f>'BKU 1'!$C$361</f>
        <v>NIP. 19850619 200904 2 000</v>
      </c>
      <c r="D741" s="140"/>
      <c r="E741" s="140"/>
      <c r="F741" s="140"/>
      <c r="G741" s="140"/>
      <c r="H741" s="225"/>
      <c r="I741" s="225"/>
      <c r="J741" s="191"/>
      <c r="K741" s="191"/>
      <c r="L741" s="190"/>
      <c r="M741" s="190"/>
      <c r="N741" s="232">
        <f>'BKU 1'!$G$361</f>
        <v>0</v>
      </c>
      <c r="O741" s="232"/>
      <c r="P741" s="140"/>
      <c r="Q741" s="140"/>
      <c r="T741" s="140"/>
      <c r="U741" s="140"/>
      <c r="V741" s="140"/>
      <c r="W741" s="140"/>
      <c r="X741" s="140"/>
      <c r="Y741" s="140"/>
      <c r="Z741" s="140"/>
      <c r="AA741" s="140" t="str">
        <f>'BKU 1'!$L$361</f>
        <v>NIP. 19840719 200903 1 002</v>
      </c>
      <c r="AC741" s="230"/>
      <c r="AE741" s="231"/>
      <c r="AF741" s="231"/>
    </row>
    <row r="742" spans="1:32" ht="6" customHeight="1" x14ac:dyDescent="0.25"/>
    <row r="743" spans="1:32" s="177" customFormat="1" ht="24.95" customHeight="1" x14ac:dyDescent="0.25">
      <c r="A743" s="176"/>
      <c r="B743" s="726" t="s">
        <v>6</v>
      </c>
      <c r="C743" s="726"/>
      <c r="D743" s="726"/>
      <c r="E743" s="726"/>
      <c r="F743" s="726"/>
      <c r="G743" s="726"/>
      <c r="H743" s="726"/>
      <c r="I743" s="726"/>
      <c r="J743" s="726"/>
      <c r="K743" s="726"/>
      <c r="L743" s="726"/>
      <c r="M743" s="726"/>
      <c r="N743" s="726"/>
      <c r="O743" s="726"/>
      <c r="P743" s="726"/>
      <c r="Q743" s="726"/>
      <c r="R743" s="726"/>
      <c r="S743" s="726"/>
      <c r="T743" s="726"/>
      <c r="U743" s="726"/>
      <c r="V743" s="726"/>
      <c r="W743" s="726"/>
      <c r="X743" s="726"/>
      <c r="Y743" s="726"/>
      <c r="Z743" s="726"/>
      <c r="AA743" s="726"/>
      <c r="AB743" s="726"/>
      <c r="AC743" s="726"/>
      <c r="AE743" s="178"/>
      <c r="AF743" s="178"/>
    </row>
    <row r="744" spans="1:32" s="177" customFormat="1" ht="24.95" customHeight="1" x14ac:dyDescent="0.25">
      <c r="A744" s="176"/>
      <c r="B744" s="726" t="str">
        <f>'BKU 1'!$D$22</f>
        <v>PEMBANGUNAN TOILET BESERTA SANITASINYA</v>
      </c>
      <c r="C744" s="726"/>
      <c r="D744" s="726"/>
      <c r="E744" s="726"/>
      <c r="F744" s="726"/>
      <c r="G744" s="726"/>
      <c r="H744" s="726"/>
      <c r="I744" s="726"/>
      <c r="J744" s="726"/>
      <c r="K744" s="726"/>
      <c r="L744" s="726"/>
      <c r="M744" s="726"/>
      <c r="N744" s="726"/>
      <c r="O744" s="726"/>
      <c r="P744" s="726"/>
      <c r="Q744" s="726"/>
      <c r="R744" s="726"/>
      <c r="S744" s="726"/>
      <c r="T744" s="726"/>
      <c r="U744" s="726"/>
      <c r="V744" s="726"/>
      <c r="W744" s="726"/>
      <c r="X744" s="726"/>
      <c r="Y744" s="726"/>
      <c r="Z744" s="726"/>
      <c r="AA744" s="726"/>
      <c r="AB744" s="726"/>
      <c r="AC744" s="726"/>
      <c r="AE744" s="178"/>
      <c r="AF744" s="178"/>
    </row>
    <row r="745" spans="1:32" s="184" customFormat="1" ht="30.75" customHeight="1" x14ac:dyDescent="0.25">
      <c r="A745" s="179"/>
      <c r="B745" s="180"/>
      <c r="C745" s="181"/>
      <c r="D745" s="181"/>
      <c r="E745" s="181"/>
      <c r="F745" s="182"/>
      <c r="G745" s="182"/>
      <c r="H745" s="183"/>
      <c r="I745" s="183"/>
      <c r="J745" s="182"/>
      <c r="K745" s="182"/>
      <c r="L745" s="183"/>
      <c r="M745" s="183"/>
      <c r="N745" s="182"/>
      <c r="O745" s="182"/>
      <c r="P745" s="182"/>
      <c r="Q745" s="182"/>
      <c r="R745" s="182"/>
      <c r="S745" s="182"/>
      <c r="T745" s="181"/>
      <c r="U745" s="181"/>
      <c r="V745" s="181"/>
      <c r="X745" s="181"/>
      <c r="AA745" s="180"/>
      <c r="AB745" s="140"/>
      <c r="AC745" s="185"/>
      <c r="AE745" s="186"/>
      <c r="AF745" s="186"/>
    </row>
    <row r="746" spans="1:32" s="184" customFormat="1" ht="14.25" x14ac:dyDescent="0.25">
      <c r="A746" s="179"/>
      <c r="B746" s="185" t="s">
        <v>7</v>
      </c>
      <c r="D746" s="184" t="s">
        <v>49</v>
      </c>
      <c r="E746" s="184" t="str">
        <f>'BKU 1'!$D$25</f>
        <v>SDN 1 SIDODADI</v>
      </c>
      <c r="F746" s="140"/>
      <c r="G746" s="140"/>
      <c r="H746" s="183"/>
      <c r="I746" s="183"/>
      <c r="J746" s="182"/>
      <c r="K746" s="182"/>
      <c r="L746" s="183"/>
      <c r="M746" s="183"/>
      <c r="N746" s="187"/>
      <c r="O746" s="187"/>
      <c r="P746" s="187"/>
      <c r="Q746" s="187"/>
      <c r="R746" s="187"/>
      <c r="S746" s="187"/>
      <c r="T746" s="188"/>
      <c r="U746" s="188"/>
      <c r="V746" s="188"/>
      <c r="X746" s="188"/>
      <c r="AA746" s="180"/>
      <c r="AB746" s="189" t="s">
        <v>8</v>
      </c>
      <c r="AC746" s="185"/>
      <c r="AE746" s="186"/>
      <c r="AF746" s="186"/>
    </row>
    <row r="747" spans="1:32" s="184" customFormat="1" x14ac:dyDescent="0.25">
      <c r="A747" s="179"/>
      <c r="B747" s="185" t="s">
        <v>9</v>
      </c>
      <c r="D747" s="184" t="s">
        <v>49</v>
      </c>
      <c r="E747" s="184" t="str">
        <f>'BKU 1'!$D$26</f>
        <v>Jl. Kawi No.36 Rt. 1 Rw. 1 Dusun Sekar, Rt / Rw : 1 / 1, Dusun : Sekar, Kelurahan : Sidodadi</v>
      </c>
      <c r="F747" s="140"/>
      <c r="G747" s="140"/>
      <c r="H747" s="190"/>
      <c r="I747" s="190"/>
      <c r="J747" s="191"/>
      <c r="K747" s="191"/>
      <c r="L747" s="190"/>
      <c r="M747" s="190"/>
      <c r="N747" s="140"/>
      <c r="O747" s="140"/>
      <c r="P747" s="140"/>
      <c r="Q747" s="140"/>
      <c r="R747" s="140"/>
      <c r="S747" s="140"/>
      <c r="AA747" s="180"/>
      <c r="AB747" s="140" t="s">
        <v>10</v>
      </c>
      <c r="AC747" s="185" t="s">
        <v>11</v>
      </c>
      <c r="AE747" s="186"/>
      <c r="AF747" s="186"/>
    </row>
    <row r="748" spans="1:32" s="184" customFormat="1" x14ac:dyDescent="0.25">
      <c r="A748" s="179"/>
      <c r="B748" s="185" t="s">
        <v>12</v>
      </c>
      <c r="D748" s="184" t="s">
        <v>49</v>
      </c>
      <c r="E748" s="180">
        <f>E701+1</f>
        <v>19</v>
      </c>
      <c r="F748" s="140"/>
      <c r="G748" s="140"/>
      <c r="H748" s="727" t="str">
        <f>IFERROR(VLOOKUP(E748,'Rekap Gaji'!$B$12:$P$32,14,FALSE),"-")</f>
        <v>-</v>
      </c>
      <c r="I748" s="727"/>
      <c r="J748" s="727"/>
      <c r="K748" s="727"/>
      <c r="L748" s="727"/>
      <c r="M748" s="191"/>
      <c r="N748" s="140"/>
      <c r="O748" s="140"/>
      <c r="P748" s="140"/>
      <c r="Q748" s="140"/>
      <c r="R748" s="140"/>
      <c r="S748" s="140"/>
      <c r="AA748" s="180"/>
      <c r="AB748" s="140" t="s">
        <v>13</v>
      </c>
      <c r="AC748" s="185" t="s">
        <v>14</v>
      </c>
      <c r="AE748" s="186"/>
      <c r="AF748" s="186"/>
    </row>
    <row r="749" spans="1:32" s="184" customFormat="1" ht="15" customHeight="1" x14ac:dyDescent="0.25">
      <c r="A749" s="179"/>
      <c r="B749" s="185" t="s">
        <v>0</v>
      </c>
      <c r="D749" s="184" t="s">
        <v>49</v>
      </c>
      <c r="E749" s="728" t="str">
        <f>IFERROR(VLOOKUP(E748,'Rekap Gaji'!$B$12:$P$32,4,FALSE),"-")</f>
        <v>-</v>
      </c>
      <c r="F749" s="728"/>
      <c r="G749" s="728"/>
      <c r="H749" s="728"/>
      <c r="I749" s="728"/>
      <c r="J749" s="728"/>
      <c r="K749" s="339"/>
      <c r="L749" s="727" t="s">
        <v>76</v>
      </c>
      <c r="M749" s="727"/>
      <c r="N749" s="727"/>
      <c r="O749" s="191"/>
      <c r="P749" s="728" t="str">
        <f>IFERROR(VLOOKUP(E748,'Rekap Gaji'!$B$12:$P$32,6,FALSE),"-")</f>
        <v>-</v>
      </c>
      <c r="Q749" s="728"/>
      <c r="R749" s="728"/>
      <c r="S749" s="728"/>
      <c r="T749" s="728"/>
      <c r="U749" s="728"/>
      <c r="V749" s="728"/>
      <c r="AA749" s="180"/>
      <c r="AB749" s="140" t="s">
        <v>15</v>
      </c>
      <c r="AC749" s="185" t="s">
        <v>16</v>
      </c>
      <c r="AE749" s="186"/>
      <c r="AF749" s="186"/>
    </row>
    <row r="750" spans="1:32" s="188" customFormat="1" ht="8.1" customHeight="1" thickBot="1" x14ac:dyDescent="0.3">
      <c r="A750" s="192"/>
      <c r="B750" s="193"/>
      <c r="F750" s="189"/>
      <c r="G750" s="189"/>
      <c r="H750" s="194"/>
      <c r="I750" s="194"/>
      <c r="J750" s="195"/>
      <c r="K750" s="195"/>
      <c r="L750" s="194"/>
      <c r="M750" s="194"/>
      <c r="N750" s="189"/>
      <c r="O750" s="189"/>
      <c r="P750" s="189"/>
      <c r="Q750" s="189"/>
      <c r="R750" s="189"/>
      <c r="S750" s="189"/>
      <c r="AA750" s="193"/>
      <c r="AB750" s="189"/>
      <c r="AC750" s="196"/>
      <c r="AE750" s="197"/>
      <c r="AF750" s="197"/>
    </row>
    <row r="751" spans="1:32" ht="15" customHeight="1" x14ac:dyDescent="0.25">
      <c r="B751" s="729" t="s">
        <v>17</v>
      </c>
      <c r="C751" s="717" t="s">
        <v>18</v>
      </c>
      <c r="D751" s="732"/>
      <c r="E751" s="268" t="s">
        <v>19</v>
      </c>
      <c r="F751" s="717" t="s">
        <v>20</v>
      </c>
      <c r="G751" s="734"/>
      <c r="H751" s="734"/>
      <c r="I751" s="734"/>
      <c r="J751" s="734"/>
      <c r="K751" s="734"/>
      <c r="L751" s="734"/>
      <c r="M751" s="734"/>
      <c r="N751" s="734"/>
      <c r="O751" s="734"/>
      <c r="P751" s="734"/>
      <c r="Q751" s="734"/>
      <c r="R751" s="732"/>
      <c r="S751" s="337"/>
      <c r="T751" s="267" t="s">
        <v>2</v>
      </c>
      <c r="U751" s="267"/>
      <c r="V751" s="717" t="s">
        <v>21</v>
      </c>
      <c r="W751" s="732"/>
      <c r="X751" s="717" t="s">
        <v>21</v>
      </c>
      <c r="Y751" s="732"/>
      <c r="Z751" s="717" t="s">
        <v>22</v>
      </c>
      <c r="AA751" s="732"/>
      <c r="AB751" s="717" t="s">
        <v>23</v>
      </c>
      <c r="AC751" s="718"/>
    </row>
    <row r="752" spans="1:32" ht="15" customHeight="1" x14ac:dyDescent="0.25">
      <c r="B752" s="730"/>
      <c r="C752" s="719"/>
      <c r="D752" s="725"/>
      <c r="E752" s="270" t="s">
        <v>24</v>
      </c>
      <c r="F752" s="723" t="s">
        <v>25</v>
      </c>
      <c r="G752" s="338"/>
      <c r="H752" s="723" t="s">
        <v>26</v>
      </c>
      <c r="I752" s="338"/>
      <c r="J752" s="723" t="s">
        <v>26</v>
      </c>
      <c r="K752" s="338"/>
      <c r="L752" s="723" t="s">
        <v>27</v>
      </c>
      <c r="M752" s="338"/>
      <c r="N752" s="723" t="s">
        <v>28</v>
      </c>
      <c r="O752" s="338"/>
      <c r="P752" s="723" t="s">
        <v>29</v>
      </c>
      <c r="Q752" s="338"/>
      <c r="R752" s="723" t="s">
        <v>26</v>
      </c>
      <c r="S752" s="269"/>
      <c r="T752" s="269" t="s">
        <v>30</v>
      </c>
      <c r="U752" s="269"/>
      <c r="V752" s="719" t="s">
        <v>31</v>
      </c>
      <c r="W752" s="725"/>
      <c r="X752" s="719" t="s">
        <v>31</v>
      </c>
      <c r="Y752" s="725"/>
      <c r="Z752" s="719" t="s">
        <v>31</v>
      </c>
      <c r="AA752" s="725"/>
      <c r="AB752" s="719"/>
      <c r="AC752" s="720"/>
    </row>
    <row r="753" spans="2:41" ht="15" customHeight="1" thickBot="1" x14ac:dyDescent="0.3">
      <c r="B753" s="731"/>
      <c r="C753" s="721"/>
      <c r="D753" s="733"/>
      <c r="E753" s="272" t="s">
        <v>32</v>
      </c>
      <c r="F753" s="724"/>
      <c r="G753" s="272"/>
      <c r="H753" s="724"/>
      <c r="I753" s="272"/>
      <c r="J753" s="724"/>
      <c r="K753" s="272"/>
      <c r="L753" s="724"/>
      <c r="M753" s="272"/>
      <c r="N753" s="724"/>
      <c r="O753" s="272"/>
      <c r="P753" s="724"/>
      <c r="Q753" s="272"/>
      <c r="R753" s="724"/>
      <c r="S753" s="271"/>
      <c r="T753" s="271" t="s">
        <v>31</v>
      </c>
      <c r="U753" s="271"/>
      <c r="V753" s="721" t="s">
        <v>33</v>
      </c>
      <c r="W753" s="733"/>
      <c r="X753" s="721" t="s">
        <v>33</v>
      </c>
      <c r="Y753" s="733"/>
      <c r="Z753" s="721" t="s">
        <v>34</v>
      </c>
      <c r="AA753" s="733"/>
      <c r="AB753" s="721"/>
      <c r="AC753" s="722"/>
    </row>
    <row r="754" spans="2:41" ht="24.95" customHeight="1" x14ac:dyDescent="0.25">
      <c r="B754" s="201">
        <v>1</v>
      </c>
      <c r="C754" s="261" t="str">
        <f t="shared" ref="C754:C773" si="308">IFERROR(C707," ")</f>
        <v>KUSMAN H</v>
      </c>
      <c r="D754" s="203"/>
      <c r="E754" s="262" t="str">
        <f t="shared" ref="E754:E773" si="309">IFERROR(E707," ")</f>
        <v>A</v>
      </c>
      <c r="F754" s="205" t="s">
        <v>36</v>
      </c>
      <c r="G754" s="205"/>
      <c r="H754" s="205" t="s">
        <v>37</v>
      </c>
      <c r="I754" s="205"/>
      <c r="J754" s="205" t="s">
        <v>37</v>
      </c>
      <c r="K754" s="205"/>
      <c r="L754" s="205" t="s">
        <v>37</v>
      </c>
      <c r="M754" s="205"/>
      <c r="N754" s="205" t="s">
        <v>37</v>
      </c>
      <c r="O754" s="205"/>
      <c r="P754" s="205" t="s">
        <v>37</v>
      </c>
      <c r="Q754" s="205"/>
      <c r="R754" s="205" t="s">
        <v>37</v>
      </c>
      <c r="S754" s="355"/>
      <c r="T754" s="273">
        <f>SUM(AI754:AO754)</f>
        <v>6</v>
      </c>
      <c r="U754" s="273"/>
      <c r="V754" s="207" t="str">
        <f t="shared" ref="V754:V773" si="310">IF(W754&gt;0,"Rp",IF(W754=0," "))</f>
        <v>Rp</v>
      </c>
      <c r="W754" s="263">
        <f t="shared" ref="W754:Y769" si="311">IFERROR(W707," ")</f>
        <v>135000</v>
      </c>
      <c r="X754" s="207" t="str">
        <f t="shared" ref="X754:X773" si="312">IF(Y754&gt;0,"Rp",IF(Y754=0," "))</f>
        <v>Rp</v>
      </c>
      <c r="Y754" s="263">
        <f t="shared" si="311"/>
        <v>25000</v>
      </c>
      <c r="Z754" s="207" t="str">
        <f t="shared" ref="Z754:Z773" si="313">IF(AA754&gt;0,"Rp",IF(AA754=0," "))</f>
        <v>Rp</v>
      </c>
      <c r="AA754" s="208">
        <f t="shared" ref="AA754:AA773" si="314">W754*T754</f>
        <v>810000</v>
      </c>
      <c r="AB754" s="209">
        <f>IF(AA754&gt;0,1,IF(AA754=0," "))</f>
        <v>1</v>
      </c>
      <c r="AC754" s="210"/>
      <c r="AE754" s="260"/>
      <c r="AF754" s="140"/>
      <c r="AI754" s="211">
        <f t="shared" ref="AI754:AI773" si="315">IFERROR(IF(F754="V",1,IF(F754="X",0))," ")</f>
        <v>0</v>
      </c>
      <c r="AJ754" s="211">
        <f t="shared" ref="AJ754:AJ773" si="316">IFERROR(IF(H754="V",1,IF(H754="X",0))," ")</f>
        <v>1</v>
      </c>
      <c r="AK754" s="211">
        <f t="shared" ref="AK754:AK773" si="317">IFERROR(IF(J754="V",1,IF(J754="X",0))," ")</f>
        <v>1</v>
      </c>
      <c r="AL754" s="211">
        <f t="shared" ref="AL754:AL773" si="318">IFERROR(IF(L754="V",1,IF(L754="X",0))," ")</f>
        <v>1</v>
      </c>
      <c r="AM754" s="211">
        <f t="shared" ref="AM754:AM773" si="319">IFERROR(IF(N754="V",1,IF(N754="X",0))," ")</f>
        <v>1</v>
      </c>
      <c r="AN754" s="211">
        <f t="shared" ref="AN754:AN773" si="320">IFERROR(IF(P754="V",1,IF(P754="X",0))," ")</f>
        <v>1</v>
      </c>
      <c r="AO754" s="211">
        <f t="shared" ref="AO754:AO773" si="321">IFERROR(IF(R754="V",1,IF(R754="X",0))," ")</f>
        <v>1</v>
      </c>
    </row>
    <row r="755" spans="2:41" ht="24.95" customHeight="1" x14ac:dyDescent="0.25">
      <c r="B755" s="212">
        <f>B754+1</f>
        <v>2</v>
      </c>
      <c r="C755" s="264" t="str">
        <f t="shared" si="308"/>
        <v>BUSANI</v>
      </c>
      <c r="D755" s="213"/>
      <c r="E755" s="265" t="str">
        <f t="shared" si="309"/>
        <v>B</v>
      </c>
      <c r="F755" s="215" t="s">
        <v>36</v>
      </c>
      <c r="G755" s="215"/>
      <c r="H755" s="215" t="s">
        <v>37</v>
      </c>
      <c r="I755" s="215"/>
      <c r="J755" s="215" t="s">
        <v>37</v>
      </c>
      <c r="K755" s="215"/>
      <c r="L755" s="215" t="s">
        <v>37</v>
      </c>
      <c r="M755" s="215"/>
      <c r="N755" s="215" t="s">
        <v>37</v>
      </c>
      <c r="O755" s="215"/>
      <c r="P755" s="215" t="s">
        <v>36</v>
      </c>
      <c r="Q755" s="215"/>
      <c r="R755" s="215" t="s">
        <v>37</v>
      </c>
      <c r="S755" s="356"/>
      <c r="T755" s="274">
        <f t="shared" ref="T755:T773" si="322">SUM(AI755:AO755)</f>
        <v>5</v>
      </c>
      <c r="U755" s="274"/>
      <c r="V755" s="217" t="str">
        <f t="shared" si="310"/>
        <v>Rp</v>
      </c>
      <c r="W755" s="266">
        <f t="shared" si="311"/>
        <v>125000</v>
      </c>
      <c r="X755" s="217" t="str">
        <f t="shared" si="312"/>
        <v>Rp</v>
      </c>
      <c r="Y755" s="266">
        <f t="shared" si="311"/>
        <v>25000</v>
      </c>
      <c r="Z755" s="217" t="str">
        <f t="shared" si="313"/>
        <v>Rp</v>
      </c>
      <c r="AA755" s="219">
        <f t="shared" si="314"/>
        <v>625000</v>
      </c>
      <c r="AB755" s="220"/>
      <c r="AC755" s="221">
        <f>IF(AA755&gt;0,2,IF(AA754=0," "))</f>
        <v>2</v>
      </c>
      <c r="AE755" s="211"/>
      <c r="AF755" s="211"/>
      <c r="AI755" s="211">
        <f t="shared" si="315"/>
        <v>0</v>
      </c>
      <c r="AJ755" s="211">
        <f t="shared" si="316"/>
        <v>1</v>
      </c>
      <c r="AK755" s="211">
        <f t="shared" si="317"/>
        <v>1</v>
      </c>
      <c r="AL755" s="211">
        <f t="shared" si="318"/>
        <v>1</v>
      </c>
      <c r="AM755" s="211">
        <f t="shared" si="319"/>
        <v>1</v>
      </c>
      <c r="AN755" s="211">
        <f t="shared" si="320"/>
        <v>0</v>
      </c>
      <c r="AO755" s="211">
        <f t="shared" si="321"/>
        <v>1</v>
      </c>
    </row>
    <row r="756" spans="2:41" ht="24.95" customHeight="1" x14ac:dyDescent="0.25">
      <c r="B756" s="212">
        <f>B755+1</f>
        <v>3</v>
      </c>
      <c r="C756" s="264" t="str">
        <f t="shared" si="308"/>
        <v>LASMARI</v>
      </c>
      <c r="D756" s="213"/>
      <c r="E756" s="265" t="str">
        <f t="shared" si="309"/>
        <v>B</v>
      </c>
      <c r="F756" s="215" t="s">
        <v>36</v>
      </c>
      <c r="G756" s="215"/>
      <c r="H756" s="215" t="s">
        <v>37</v>
      </c>
      <c r="I756" s="215"/>
      <c r="J756" s="215" t="s">
        <v>37</v>
      </c>
      <c r="K756" s="215"/>
      <c r="L756" s="215" t="s">
        <v>37</v>
      </c>
      <c r="M756" s="215"/>
      <c r="N756" s="215" t="s">
        <v>37</v>
      </c>
      <c r="O756" s="215"/>
      <c r="P756" s="215" t="s">
        <v>37</v>
      </c>
      <c r="Q756" s="215"/>
      <c r="R756" s="215" t="s">
        <v>37</v>
      </c>
      <c r="S756" s="356"/>
      <c r="T756" s="274">
        <f t="shared" si="322"/>
        <v>6</v>
      </c>
      <c r="U756" s="274"/>
      <c r="V756" s="217" t="str">
        <f t="shared" si="310"/>
        <v>Rp</v>
      </c>
      <c r="W756" s="266">
        <f t="shared" si="311"/>
        <v>125000</v>
      </c>
      <c r="X756" s="217" t="str">
        <f t="shared" si="312"/>
        <v>Rp</v>
      </c>
      <c r="Y756" s="266">
        <f t="shared" si="311"/>
        <v>25000</v>
      </c>
      <c r="Z756" s="217" t="str">
        <f t="shared" si="313"/>
        <v>Rp</v>
      </c>
      <c r="AA756" s="219">
        <f t="shared" si="314"/>
        <v>750000</v>
      </c>
      <c r="AB756" s="222">
        <f>IF(AA756&gt;0,AB754+2,IF(AA756=0," "))</f>
        <v>3</v>
      </c>
      <c r="AC756" s="221"/>
      <c r="AE756" s="211"/>
      <c r="AF756" s="211"/>
      <c r="AI756" s="211">
        <f t="shared" si="315"/>
        <v>0</v>
      </c>
      <c r="AJ756" s="211">
        <f t="shared" si="316"/>
        <v>1</v>
      </c>
      <c r="AK756" s="211">
        <f t="shared" si="317"/>
        <v>1</v>
      </c>
      <c r="AL756" s="211">
        <f t="shared" si="318"/>
        <v>1</v>
      </c>
      <c r="AM756" s="211">
        <f t="shared" si="319"/>
        <v>1</v>
      </c>
      <c r="AN756" s="211">
        <f t="shared" si="320"/>
        <v>1</v>
      </c>
      <c r="AO756" s="211">
        <f t="shared" si="321"/>
        <v>1</v>
      </c>
    </row>
    <row r="757" spans="2:41" ht="24.95" customHeight="1" x14ac:dyDescent="0.25">
      <c r="B757" s="212">
        <f>B756+1</f>
        <v>4</v>
      </c>
      <c r="C757" s="264" t="str">
        <f t="shared" si="308"/>
        <v>SUMARTO</v>
      </c>
      <c r="D757" s="213"/>
      <c r="E757" s="265" t="str">
        <f t="shared" si="309"/>
        <v>B</v>
      </c>
      <c r="F757" s="215" t="s">
        <v>36</v>
      </c>
      <c r="G757" s="215"/>
      <c r="H757" s="215" t="s">
        <v>37</v>
      </c>
      <c r="I757" s="215"/>
      <c r="J757" s="215" t="s">
        <v>37</v>
      </c>
      <c r="K757" s="215"/>
      <c r="L757" s="215" t="s">
        <v>37</v>
      </c>
      <c r="M757" s="215"/>
      <c r="N757" s="215" t="s">
        <v>36</v>
      </c>
      <c r="O757" s="215"/>
      <c r="P757" s="215" t="s">
        <v>37</v>
      </c>
      <c r="Q757" s="215"/>
      <c r="R757" s="215" t="s">
        <v>37</v>
      </c>
      <c r="S757" s="356"/>
      <c r="T757" s="274">
        <f t="shared" si="322"/>
        <v>5</v>
      </c>
      <c r="U757" s="274"/>
      <c r="V757" s="217" t="str">
        <f t="shared" si="310"/>
        <v>Rp</v>
      </c>
      <c r="W757" s="266">
        <f t="shared" si="311"/>
        <v>125000</v>
      </c>
      <c r="X757" s="217" t="str">
        <f t="shared" si="312"/>
        <v>Rp</v>
      </c>
      <c r="Y757" s="266">
        <f t="shared" si="311"/>
        <v>25000</v>
      </c>
      <c r="Z757" s="217" t="str">
        <f t="shared" si="313"/>
        <v>Rp</v>
      </c>
      <c r="AA757" s="219">
        <f t="shared" si="314"/>
        <v>625000</v>
      </c>
      <c r="AB757" s="222"/>
      <c r="AC757" s="223">
        <f>IF(AA757&gt;0,AC755+2,IF(AD757=0," "))</f>
        <v>4</v>
      </c>
      <c r="AE757" s="211"/>
      <c r="AF757" s="211"/>
      <c r="AI757" s="211">
        <f t="shared" si="315"/>
        <v>0</v>
      </c>
      <c r="AJ757" s="211">
        <f t="shared" si="316"/>
        <v>1</v>
      </c>
      <c r="AK757" s="211">
        <f t="shared" si="317"/>
        <v>1</v>
      </c>
      <c r="AL757" s="211">
        <f t="shared" si="318"/>
        <v>1</v>
      </c>
      <c r="AM757" s="211">
        <f t="shared" si="319"/>
        <v>0</v>
      </c>
      <c r="AN757" s="211">
        <f t="shared" si="320"/>
        <v>1</v>
      </c>
      <c r="AO757" s="211">
        <f t="shared" si="321"/>
        <v>1</v>
      </c>
    </row>
    <row r="758" spans="2:41" ht="24.95" customHeight="1" x14ac:dyDescent="0.25">
      <c r="B758" s="212">
        <f t="shared" ref="B758:B773" si="323">B757+1</f>
        <v>5</v>
      </c>
      <c r="C758" s="264" t="str">
        <f t="shared" si="308"/>
        <v>TONI</v>
      </c>
      <c r="D758" s="213"/>
      <c r="E758" s="265" t="str">
        <f t="shared" si="309"/>
        <v>C</v>
      </c>
      <c r="F758" s="215" t="s">
        <v>36</v>
      </c>
      <c r="G758" s="215"/>
      <c r="H758" s="215" t="s">
        <v>37</v>
      </c>
      <c r="I758" s="215"/>
      <c r="J758" s="215" t="s">
        <v>37</v>
      </c>
      <c r="K758" s="215"/>
      <c r="L758" s="215" t="s">
        <v>37</v>
      </c>
      <c r="M758" s="215"/>
      <c r="N758" s="215" t="s">
        <v>37</v>
      </c>
      <c r="O758" s="215"/>
      <c r="P758" s="215" t="s">
        <v>37</v>
      </c>
      <c r="Q758" s="215"/>
      <c r="R758" s="215" t="s">
        <v>37</v>
      </c>
      <c r="S758" s="356"/>
      <c r="T758" s="274">
        <f t="shared" si="322"/>
        <v>6</v>
      </c>
      <c r="U758" s="274"/>
      <c r="V758" s="217" t="str">
        <f t="shared" si="310"/>
        <v>Rp</v>
      </c>
      <c r="W758" s="266">
        <f t="shared" si="311"/>
        <v>115000</v>
      </c>
      <c r="X758" s="217" t="str">
        <f t="shared" si="312"/>
        <v>Rp</v>
      </c>
      <c r="Y758" s="266">
        <f t="shared" si="311"/>
        <v>25000</v>
      </c>
      <c r="Z758" s="217" t="str">
        <f t="shared" si="313"/>
        <v>Rp</v>
      </c>
      <c r="AA758" s="219">
        <f t="shared" si="314"/>
        <v>690000</v>
      </c>
      <c r="AB758" s="222">
        <f>IF(AA758&gt;0,AB756+2,IF(AA758=0," "))</f>
        <v>5</v>
      </c>
      <c r="AC758" s="221"/>
      <c r="AE758" s="211"/>
      <c r="AF758" s="211"/>
      <c r="AI758" s="211">
        <f t="shared" si="315"/>
        <v>0</v>
      </c>
      <c r="AJ758" s="211">
        <f t="shared" si="316"/>
        <v>1</v>
      </c>
      <c r="AK758" s="211">
        <f t="shared" si="317"/>
        <v>1</v>
      </c>
      <c r="AL758" s="211">
        <f t="shared" si="318"/>
        <v>1</v>
      </c>
      <c r="AM758" s="211">
        <f t="shared" si="319"/>
        <v>1</v>
      </c>
      <c r="AN758" s="211">
        <f t="shared" si="320"/>
        <v>1</v>
      </c>
      <c r="AO758" s="211">
        <f t="shared" si="321"/>
        <v>1</v>
      </c>
    </row>
    <row r="759" spans="2:41" ht="24.95" customHeight="1" x14ac:dyDescent="0.25">
      <c r="B759" s="212">
        <f t="shared" si="323"/>
        <v>6</v>
      </c>
      <c r="C759" s="264" t="str">
        <f t="shared" si="308"/>
        <v>SAKIM</v>
      </c>
      <c r="D759" s="213"/>
      <c r="E759" s="265" t="str">
        <f t="shared" si="309"/>
        <v>C</v>
      </c>
      <c r="F759" s="215" t="s">
        <v>36</v>
      </c>
      <c r="G759" s="215"/>
      <c r="H759" s="215" t="s">
        <v>37</v>
      </c>
      <c r="I759" s="215"/>
      <c r="J759" s="215" t="s">
        <v>36</v>
      </c>
      <c r="K759" s="215"/>
      <c r="L759" s="215" t="s">
        <v>37</v>
      </c>
      <c r="M759" s="215"/>
      <c r="N759" s="215" t="s">
        <v>37</v>
      </c>
      <c r="O759" s="215"/>
      <c r="P759" s="215" t="s">
        <v>37</v>
      </c>
      <c r="Q759" s="215"/>
      <c r="R759" s="215" t="s">
        <v>37</v>
      </c>
      <c r="S759" s="356"/>
      <c r="T759" s="274">
        <f t="shared" si="322"/>
        <v>5</v>
      </c>
      <c r="U759" s="274"/>
      <c r="V759" s="217" t="str">
        <f t="shared" si="310"/>
        <v>Rp</v>
      </c>
      <c r="W759" s="266">
        <f t="shared" si="311"/>
        <v>115000</v>
      </c>
      <c r="X759" s="217" t="str">
        <f t="shared" si="312"/>
        <v>Rp</v>
      </c>
      <c r="Y759" s="266">
        <f t="shared" si="311"/>
        <v>25000</v>
      </c>
      <c r="Z759" s="217" t="str">
        <f t="shared" si="313"/>
        <v>Rp</v>
      </c>
      <c r="AA759" s="219">
        <f t="shared" si="314"/>
        <v>575000</v>
      </c>
      <c r="AB759" s="222"/>
      <c r="AC759" s="223">
        <f>IF(AA759&gt;0,AC757+2,IF(AD759=0," "))</f>
        <v>6</v>
      </c>
      <c r="AE759" s="211"/>
      <c r="AF759" s="211"/>
      <c r="AI759" s="211">
        <f t="shared" si="315"/>
        <v>0</v>
      </c>
      <c r="AJ759" s="211">
        <f t="shared" si="316"/>
        <v>1</v>
      </c>
      <c r="AK759" s="211">
        <f t="shared" si="317"/>
        <v>0</v>
      </c>
      <c r="AL759" s="211">
        <f t="shared" si="318"/>
        <v>1</v>
      </c>
      <c r="AM759" s="211">
        <f t="shared" si="319"/>
        <v>1</v>
      </c>
      <c r="AN759" s="211">
        <f t="shared" si="320"/>
        <v>1</v>
      </c>
      <c r="AO759" s="211">
        <f t="shared" si="321"/>
        <v>1</v>
      </c>
    </row>
    <row r="760" spans="2:41" ht="24.95" customHeight="1" x14ac:dyDescent="0.25">
      <c r="B760" s="212">
        <f t="shared" si="323"/>
        <v>7</v>
      </c>
      <c r="C760" s="264" t="str">
        <f t="shared" si="308"/>
        <v>TOHIR</v>
      </c>
      <c r="D760" s="213"/>
      <c r="E760" s="265" t="str">
        <f t="shared" si="309"/>
        <v>C</v>
      </c>
      <c r="F760" s="275" t="s">
        <v>36</v>
      </c>
      <c r="G760" s="275"/>
      <c r="H760" s="215" t="s">
        <v>37</v>
      </c>
      <c r="I760" s="215"/>
      <c r="J760" s="215" t="s">
        <v>37</v>
      </c>
      <c r="K760" s="215"/>
      <c r="L760" s="215" t="s">
        <v>37</v>
      </c>
      <c r="M760" s="215"/>
      <c r="N760" s="215" t="s">
        <v>37</v>
      </c>
      <c r="O760" s="215"/>
      <c r="P760" s="215" t="s">
        <v>37</v>
      </c>
      <c r="Q760" s="215"/>
      <c r="R760" s="215" t="s">
        <v>37</v>
      </c>
      <c r="S760" s="356"/>
      <c r="T760" s="274">
        <f t="shared" si="322"/>
        <v>6</v>
      </c>
      <c r="U760" s="274"/>
      <c r="V760" s="217" t="str">
        <f t="shared" si="310"/>
        <v>Rp</v>
      </c>
      <c r="W760" s="266">
        <f t="shared" si="311"/>
        <v>115000</v>
      </c>
      <c r="X760" s="217" t="str">
        <f t="shared" si="312"/>
        <v>Rp</v>
      </c>
      <c r="Y760" s="266">
        <f t="shared" si="311"/>
        <v>25000</v>
      </c>
      <c r="Z760" s="217" t="str">
        <f t="shared" si="313"/>
        <v>Rp</v>
      </c>
      <c r="AA760" s="219">
        <f t="shared" si="314"/>
        <v>690000</v>
      </c>
      <c r="AB760" s="222">
        <f>IF(AA760&gt;0,AB758+2,IF(AA760=0," "))</f>
        <v>7</v>
      </c>
      <c r="AC760" s="221"/>
      <c r="AE760" s="211"/>
      <c r="AF760" s="211"/>
      <c r="AI760" s="211">
        <f t="shared" si="315"/>
        <v>0</v>
      </c>
      <c r="AJ760" s="211">
        <f t="shared" si="316"/>
        <v>1</v>
      </c>
      <c r="AK760" s="211">
        <f t="shared" si="317"/>
        <v>1</v>
      </c>
      <c r="AL760" s="211">
        <f t="shared" si="318"/>
        <v>1</v>
      </c>
      <c r="AM760" s="211">
        <f t="shared" si="319"/>
        <v>1</v>
      </c>
      <c r="AN760" s="211">
        <f t="shared" si="320"/>
        <v>1</v>
      </c>
      <c r="AO760" s="211">
        <f t="shared" si="321"/>
        <v>1</v>
      </c>
    </row>
    <row r="761" spans="2:41" ht="24.95" customHeight="1" x14ac:dyDescent="0.25">
      <c r="B761" s="212">
        <f t="shared" si="323"/>
        <v>8</v>
      </c>
      <c r="C761" s="264" t="str">
        <f t="shared" si="308"/>
        <v>ROJALI</v>
      </c>
      <c r="D761" s="213"/>
      <c r="E761" s="265" t="str">
        <f t="shared" si="309"/>
        <v>C</v>
      </c>
      <c r="F761" s="275" t="s">
        <v>36</v>
      </c>
      <c r="G761" s="275"/>
      <c r="H761" s="215" t="s">
        <v>37</v>
      </c>
      <c r="I761" s="215"/>
      <c r="J761" s="215" t="s">
        <v>37</v>
      </c>
      <c r="K761" s="215"/>
      <c r="L761" s="215" t="s">
        <v>37</v>
      </c>
      <c r="M761" s="215"/>
      <c r="N761" s="215" t="s">
        <v>37</v>
      </c>
      <c r="O761" s="215"/>
      <c r="P761" s="215" t="s">
        <v>37</v>
      </c>
      <c r="Q761" s="215"/>
      <c r="R761" s="215" t="s">
        <v>37</v>
      </c>
      <c r="S761" s="356"/>
      <c r="T761" s="274">
        <f t="shared" si="322"/>
        <v>6</v>
      </c>
      <c r="U761" s="274"/>
      <c r="V761" s="217" t="str">
        <f t="shared" si="310"/>
        <v>Rp</v>
      </c>
      <c r="W761" s="266">
        <f t="shared" si="311"/>
        <v>115000</v>
      </c>
      <c r="X761" s="217" t="str">
        <f t="shared" si="312"/>
        <v>Rp</v>
      </c>
      <c r="Y761" s="266">
        <f t="shared" si="311"/>
        <v>25000</v>
      </c>
      <c r="Z761" s="217" t="str">
        <f t="shared" si="313"/>
        <v>Rp</v>
      </c>
      <c r="AA761" s="219">
        <f t="shared" si="314"/>
        <v>690000</v>
      </c>
      <c r="AB761" s="222"/>
      <c r="AC761" s="223">
        <f>IF(AA761&gt;0,AC759+2,IF(AD761=0," "))</f>
        <v>8</v>
      </c>
      <c r="AE761" s="211"/>
      <c r="AF761" s="211"/>
      <c r="AI761" s="211">
        <f t="shared" si="315"/>
        <v>0</v>
      </c>
      <c r="AJ761" s="211">
        <f t="shared" si="316"/>
        <v>1</v>
      </c>
      <c r="AK761" s="211">
        <f t="shared" si="317"/>
        <v>1</v>
      </c>
      <c r="AL761" s="211">
        <f t="shared" si="318"/>
        <v>1</v>
      </c>
      <c r="AM761" s="211">
        <f t="shared" si="319"/>
        <v>1</v>
      </c>
      <c r="AN761" s="211">
        <f t="shared" si="320"/>
        <v>1</v>
      </c>
      <c r="AO761" s="211">
        <f t="shared" si="321"/>
        <v>1</v>
      </c>
    </row>
    <row r="762" spans="2:41" ht="24.95" customHeight="1" x14ac:dyDescent="0.25">
      <c r="B762" s="212">
        <f t="shared" si="323"/>
        <v>9</v>
      </c>
      <c r="C762" s="264">
        <f t="shared" si="308"/>
        <v>0</v>
      </c>
      <c r="D762" s="213"/>
      <c r="E762" s="265">
        <f t="shared" si="309"/>
        <v>0</v>
      </c>
      <c r="F762" s="275" t="s">
        <v>36</v>
      </c>
      <c r="G762" s="275"/>
      <c r="H762" s="215" t="s">
        <v>37</v>
      </c>
      <c r="I762" s="215"/>
      <c r="J762" s="215" t="s">
        <v>37</v>
      </c>
      <c r="K762" s="215"/>
      <c r="L762" s="215" t="s">
        <v>37</v>
      </c>
      <c r="M762" s="215"/>
      <c r="N762" s="215" t="s">
        <v>37</v>
      </c>
      <c r="O762" s="215"/>
      <c r="P762" s="215" t="s">
        <v>37</v>
      </c>
      <c r="Q762" s="215"/>
      <c r="R762" s="215" t="s">
        <v>37</v>
      </c>
      <c r="S762" s="356"/>
      <c r="T762" s="274">
        <f t="shared" si="322"/>
        <v>6</v>
      </c>
      <c r="U762" s="274"/>
      <c r="V762" s="217" t="str">
        <f t="shared" si="310"/>
        <v xml:space="preserve"> </v>
      </c>
      <c r="W762" s="266">
        <f t="shared" si="311"/>
        <v>0</v>
      </c>
      <c r="X762" s="217" t="str">
        <f t="shared" si="312"/>
        <v>Rp</v>
      </c>
      <c r="Y762" s="266">
        <f t="shared" si="311"/>
        <v>25000</v>
      </c>
      <c r="Z762" s="217" t="str">
        <f t="shared" si="313"/>
        <v xml:space="preserve"> </v>
      </c>
      <c r="AA762" s="219">
        <f t="shared" si="314"/>
        <v>0</v>
      </c>
      <c r="AB762" s="222" t="str">
        <f>IF(AA762&gt;0,AB760+2,IF(AA762=0," "))</f>
        <v xml:space="preserve"> </v>
      </c>
      <c r="AC762" s="221"/>
      <c r="AE762" s="211"/>
      <c r="AF762" s="211"/>
      <c r="AI762" s="211">
        <f t="shared" si="315"/>
        <v>0</v>
      </c>
      <c r="AJ762" s="211">
        <f t="shared" si="316"/>
        <v>1</v>
      </c>
      <c r="AK762" s="211">
        <f t="shared" si="317"/>
        <v>1</v>
      </c>
      <c r="AL762" s="211">
        <f t="shared" si="318"/>
        <v>1</v>
      </c>
      <c r="AM762" s="211">
        <f t="shared" si="319"/>
        <v>1</v>
      </c>
      <c r="AN762" s="211">
        <f t="shared" si="320"/>
        <v>1</v>
      </c>
      <c r="AO762" s="211">
        <f t="shared" si="321"/>
        <v>1</v>
      </c>
    </row>
    <row r="763" spans="2:41" ht="24.95" customHeight="1" x14ac:dyDescent="0.25">
      <c r="B763" s="212">
        <f t="shared" si="323"/>
        <v>10</v>
      </c>
      <c r="C763" s="264">
        <f t="shared" si="308"/>
        <v>0</v>
      </c>
      <c r="D763" s="213"/>
      <c r="E763" s="265">
        <f t="shared" si="309"/>
        <v>0</v>
      </c>
      <c r="F763" s="275" t="s">
        <v>36</v>
      </c>
      <c r="G763" s="275"/>
      <c r="H763" s="215" t="s">
        <v>37</v>
      </c>
      <c r="I763" s="215"/>
      <c r="J763" s="215" t="s">
        <v>37</v>
      </c>
      <c r="K763" s="215"/>
      <c r="L763" s="215" t="s">
        <v>37</v>
      </c>
      <c r="M763" s="215"/>
      <c r="N763" s="215" t="s">
        <v>37</v>
      </c>
      <c r="O763" s="215"/>
      <c r="P763" s="215" t="s">
        <v>37</v>
      </c>
      <c r="Q763" s="215"/>
      <c r="R763" s="215" t="s">
        <v>37</v>
      </c>
      <c r="S763" s="356"/>
      <c r="T763" s="274">
        <f t="shared" si="322"/>
        <v>6</v>
      </c>
      <c r="U763" s="274"/>
      <c r="V763" s="217" t="str">
        <f t="shared" si="310"/>
        <v xml:space="preserve"> </v>
      </c>
      <c r="W763" s="266">
        <f t="shared" si="311"/>
        <v>0</v>
      </c>
      <c r="X763" s="217" t="str">
        <f t="shared" si="312"/>
        <v>Rp</v>
      </c>
      <c r="Y763" s="266">
        <f t="shared" si="311"/>
        <v>25000</v>
      </c>
      <c r="Z763" s="217" t="str">
        <f t="shared" si="313"/>
        <v xml:space="preserve"> </v>
      </c>
      <c r="AA763" s="219">
        <f t="shared" si="314"/>
        <v>0</v>
      </c>
      <c r="AB763" s="222"/>
      <c r="AC763" s="223" t="str">
        <f>IF(AA763&gt;0,AC761+2,IF(AD763=0," "))</f>
        <v xml:space="preserve"> </v>
      </c>
      <c r="AE763" s="211"/>
      <c r="AF763" s="211"/>
      <c r="AI763" s="211">
        <f t="shared" si="315"/>
        <v>0</v>
      </c>
      <c r="AJ763" s="211">
        <f t="shared" si="316"/>
        <v>1</v>
      </c>
      <c r="AK763" s="211">
        <f t="shared" si="317"/>
        <v>1</v>
      </c>
      <c r="AL763" s="211">
        <f t="shared" si="318"/>
        <v>1</v>
      </c>
      <c r="AM763" s="211">
        <f t="shared" si="319"/>
        <v>1</v>
      </c>
      <c r="AN763" s="211">
        <f t="shared" si="320"/>
        <v>1</v>
      </c>
      <c r="AO763" s="211">
        <f t="shared" si="321"/>
        <v>1</v>
      </c>
    </row>
    <row r="764" spans="2:41" ht="24.95" customHeight="1" x14ac:dyDescent="0.25">
      <c r="B764" s="212">
        <f t="shared" si="323"/>
        <v>11</v>
      </c>
      <c r="C764" s="264">
        <f t="shared" si="308"/>
        <v>0</v>
      </c>
      <c r="D764" s="213"/>
      <c r="E764" s="265">
        <f t="shared" si="309"/>
        <v>0</v>
      </c>
      <c r="F764" s="275" t="s">
        <v>36</v>
      </c>
      <c r="G764" s="275"/>
      <c r="H764" s="215" t="s">
        <v>37</v>
      </c>
      <c r="I764" s="215"/>
      <c r="J764" s="215" t="s">
        <v>37</v>
      </c>
      <c r="K764" s="215"/>
      <c r="L764" s="215" t="s">
        <v>37</v>
      </c>
      <c r="M764" s="215"/>
      <c r="N764" s="215" t="s">
        <v>37</v>
      </c>
      <c r="O764" s="215"/>
      <c r="P764" s="215" t="s">
        <v>37</v>
      </c>
      <c r="Q764" s="215"/>
      <c r="R764" s="215" t="s">
        <v>37</v>
      </c>
      <c r="S764" s="356"/>
      <c r="T764" s="274">
        <f t="shared" si="322"/>
        <v>6</v>
      </c>
      <c r="U764" s="274"/>
      <c r="V764" s="217" t="str">
        <f t="shared" si="310"/>
        <v xml:space="preserve"> </v>
      </c>
      <c r="W764" s="266">
        <f t="shared" si="311"/>
        <v>0</v>
      </c>
      <c r="X764" s="217" t="str">
        <f t="shared" si="312"/>
        <v xml:space="preserve"> </v>
      </c>
      <c r="Y764" s="266">
        <f t="shared" si="311"/>
        <v>0</v>
      </c>
      <c r="Z764" s="217" t="str">
        <f t="shared" si="313"/>
        <v xml:space="preserve"> </v>
      </c>
      <c r="AA764" s="219">
        <f t="shared" si="314"/>
        <v>0</v>
      </c>
      <c r="AB764" s="222" t="str">
        <f>IF(AA764&gt;0,AB762+2,IF(AA764=0," "))</f>
        <v xml:space="preserve"> </v>
      </c>
      <c r="AC764" s="221"/>
      <c r="AE764" s="211"/>
      <c r="AF764" s="211"/>
      <c r="AI764" s="211">
        <f t="shared" si="315"/>
        <v>0</v>
      </c>
      <c r="AJ764" s="211">
        <f t="shared" si="316"/>
        <v>1</v>
      </c>
      <c r="AK764" s="211">
        <f t="shared" si="317"/>
        <v>1</v>
      </c>
      <c r="AL764" s="211">
        <f t="shared" si="318"/>
        <v>1</v>
      </c>
      <c r="AM764" s="211">
        <f t="shared" si="319"/>
        <v>1</v>
      </c>
      <c r="AN764" s="211">
        <f t="shared" si="320"/>
        <v>1</v>
      </c>
      <c r="AO764" s="211">
        <f t="shared" si="321"/>
        <v>1</v>
      </c>
    </row>
    <row r="765" spans="2:41" ht="24.95" customHeight="1" x14ac:dyDescent="0.25">
      <c r="B765" s="212">
        <f t="shared" si="323"/>
        <v>12</v>
      </c>
      <c r="C765" s="264">
        <f t="shared" si="308"/>
        <v>0</v>
      </c>
      <c r="D765" s="213"/>
      <c r="E765" s="265">
        <f t="shared" si="309"/>
        <v>0</v>
      </c>
      <c r="F765" s="275" t="s">
        <v>36</v>
      </c>
      <c r="G765" s="275"/>
      <c r="H765" s="215" t="s">
        <v>37</v>
      </c>
      <c r="I765" s="215"/>
      <c r="J765" s="215" t="s">
        <v>37</v>
      </c>
      <c r="K765" s="215"/>
      <c r="L765" s="215" t="s">
        <v>37</v>
      </c>
      <c r="M765" s="215"/>
      <c r="N765" s="215" t="s">
        <v>37</v>
      </c>
      <c r="O765" s="215"/>
      <c r="P765" s="215" t="s">
        <v>37</v>
      </c>
      <c r="Q765" s="215"/>
      <c r="R765" s="215" t="s">
        <v>37</v>
      </c>
      <c r="S765" s="356"/>
      <c r="T765" s="274">
        <f t="shared" si="322"/>
        <v>6</v>
      </c>
      <c r="U765" s="274"/>
      <c r="V765" s="217" t="str">
        <f t="shared" si="310"/>
        <v xml:space="preserve"> </v>
      </c>
      <c r="W765" s="266">
        <f t="shared" si="311"/>
        <v>0</v>
      </c>
      <c r="X765" s="217" t="str">
        <f t="shared" si="312"/>
        <v xml:space="preserve"> </v>
      </c>
      <c r="Y765" s="266">
        <f t="shared" si="311"/>
        <v>0</v>
      </c>
      <c r="Z765" s="217" t="str">
        <f t="shared" si="313"/>
        <v xml:space="preserve"> </v>
      </c>
      <c r="AA765" s="219">
        <f t="shared" si="314"/>
        <v>0</v>
      </c>
      <c r="AB765" s="222"/>
      <c r="AC765" s="223" t="str">
        <f>IF(AA765&gt;0,AC763+2,IF(AD765=0," "))</f>
        <v xml:space="preserve"> </v>
      </c>
      <c r="AE765" s="211"/>
      <c r="AF765" s="211"/>
      <c r="AI765" s="211">
        <f t="shared" si="315"/>
        <v>0</v>
      </c>
      <c r="AJ765" s="211">
        <f t="shared" si="316"/>
        <v>1</v>
      </c>
      <c r="AK765" s="211">
        <f t="shared" si="317"/>
        <v>1</v>
      </c>
      <c r="AL765" s="211">
        <f t="shared" si="318"/>
        <v>1</v>
      </c>
      <c r="AM765" s="211">
        <f t="shared" si="319"/>
        <v>1</v>
      </c>
      <c r="AN765" s="211">
        <f t="shared" si="320"/>
        <v>1</v>
      </c>
      <c r="AO765" s="211">
        <f t="shared" si="321"/>
        <v>1</v>
      </c>
    </row>
    <row r="766" spans="2:41" ht="24.95" customHeight="1" x14ac:dyDescent="0.25">
      <c r="B766" s="212">
        <f t="shared" si="323"/>
        <v>13</v>
      </c>
      <c r="C766" s="264">
        <f t="shared" si="308"/>
        <v>0</v>
      </c>
      <c r="D766" s="213"/>
      <c r="E766" s="265">
        <f t="shared" si="309"/>
        <v>0</v>
      </c>
      <c r="F766" s="275"/>
      <c r="G766" s="275"/>
      <c r="H766" s="215"/>
      <c r="I766" s="215"/>
      <c r="J766" s="215"/>
      <c r="K766" s="215"/>
      <c r="L766" s="215"/>
      <c r="M766" s="215"/>
      <c r="N766" s="215"/>
      <c r="O766" s="215"/>
      <c r="P766" s="215"/>
      <c r="Q766" s="215"/>
      <c r="R766" s="215"/>
      <c r="S766" s="356"/>
      <c r="T766" s="274">
        <f t="shared" si="322"/>
        <v>0</v>
      </c>
      <c r="U766" s="274"/>
      <c r="V766" s="217" t="str">
        <f t="shared" si="310"/>
        <v xml:space="preserve"> </v>
      </c>
      <c r="W766" s="266">
        <f t="shared" si="311"/>
        <v>0</v>
      </c>
      <c r="X766" s="217" t="str">
        <f t="shared" si="312"/>
        <v xml:space="preserve"> </v>
      </c>
      <c r="Y766" s="266">
        <f t="shared" si="311"/>
        <v>0</v>
      </c>
      <c r="Z766" s="217" t="str">
        <f t="shared" si="313"/>
        <v xml:space="preserve"> </v>
      </c>
      <c r="AA766" s="219">
        <f t="shared" si="314"/>
        <v>0</v>
      </c>
      <c r="AB766" s="222" t="str">
        <f>IF(AA766&gt;0,AB764+2,IF(AA766=0," "))</f>
        <v xml:space="preserve"> </v>
      </c>
      <c r="AC766" s="221"/>
      <c r="AE766" s="211"/>
      <c r="AF766" s="211"/>
      <c r="AI766" s="211" t="b">
        <f t="shared" si="315"/>
        <v>0</v>
      </c>
      <c r="AJ766" s="211" t="b">
        <f t="shared" si="316"/>
        <v>0</v>
      </c>
      <c r="AK766" s="211" t="b">
        <f t="shared" si="317"/>
        <v>0</v>
      </c>
      <c r="AL766" s="211" t="b">
        <f t="shared" si="318"/>
        <v>0</v>
      </c>
      <c r="AM766" s="211" t="b">
        <f t="shared" si="319"/>
        <v>0</v>
      </c>
      <c r="AN766" s="211" t="b">
        <f t="shared" si="320"/>
        <v>0</v>
      </c>
      <c r="AO766" s="211" t="b">
        <f t="shared" si="321"/>
        <v>0</v>
      </c>
    </row>
    <row r="767" spans="2:41" ht="24.95" customHeight="1" x14ac:dyDescent="0.25">
      <c r="B767" s="212">
        <f t="shared" si="323"/>
        <v>14</v>
      </c>
      <c r="C767" s="264" t="str">
        <f t="shared" si="308"/>
        <v xml:space="preserve"> </v>
      </c>
      <c r="D767" s="213"/>
      <c r="E767" s="265" t="str">
        <f t="shared" si="309"/>
        <v xml:space="preserve"> </v>
      </c>
      <c r="F767" s="275"/>
      <c r="G767" s="275"/>
      <c r="H767" s="215"/>
      <c r="I767" s="215"/>
      <c r="J767" s="215"/>
      <c r="K767" s="215"/>
      <c r="L767" s="215"/>
      <c r="M767" s="215"/>
      <c r="N767" s="215"/>
      <c r="O767" s="215"/>
      <c r="P767" s="215"/>
      <c r="Q767" s="215"/>
      <c r="R767" s="215"/>
      <c r="S767" s="356"/>
      <c r="T767" s="274">
        <f t="shared" si="322"/>
        <v>0</v>
      </c>
      <c r="U767" s="274"/>
      <c r="V767" s="217" t="str">
        <f t="shared" si="310"/>
        <v>Rp</v>
      </c>
      <c r="W767" s="266" t="str">
        <f t="shared" si="311"/>
        <v xml:space="preserve"> </v>
      </c>
      <c r="X767" s="217" t="str">
        <f t="shared" si="312"/>
        <v>Rp</v>
      </c>
      <c r="Y767" s="266" t="str">
        <f t="shared" si="311"/>
        <v xml:space="preserve"> </v>
      </c>
      <c r="Z767" s="217" t="e">
        <f t="shared" si="313"/>
        <v>#VALUE!</v>
      </c>
      <c r="AA767" s="219" t="e">
        <f t="shared" si="314"/>
        <v>#VALUE!</v>
      </c>
      <c r="AB767" s="222"/>
      <c r="AC767" s="223" t="e">
        <f>IF(AA767&gt;0,AC765+2,IF(AD767=0," "))</f>
        <v>#VALUE!</v>
      </c>
      <c r="AE767" s="211"/>
      <c r="AF767" s="211"/>
      <c r="AI767" s="211" t="b">
        <f t="shared" si="315"/>
        <v>0</v>
      </c>
      <c r="AJ767" s="211" t="b">
        <f t="shared" si="316"/>
        <v>0</v>
      </c>
      <c r="AK767" s="211" t="b">
        <f t="shared" si="317"/>
        <v>0</v>
      </c>
      <c r="AL767" s="211" t="b">
        <f t="shared" si="318"/>
        <v>0</v>
      </c>
      <c r="AM767" s="211" t="b">
        <f t="shared" si="319"/>
        <v>0</v>
      </c>
      <c r="AN767" s="211" t="b">
        <f t="shared" si="320"/>
        <v>0</v>
      </c>
      <c r="AO767" s="211" t="b">
        <f t="shared" si="321"/>
        <v>0</v>
      </c>
    </row>
    <row r="768" spans="2:41" ht="24.95" customHeight="1" x14ac:dyDescent="0.25">
      <c r="B768" s="212">
        <f t="shared" si="323"/>
        <v>15</v>
      </c>
      <c r="C768" s="264" t="str">
        <f t="shared" si="308"/>
        <v xml:space="preserve"> </v>
      </c>
      <c r="D768" s="213"/>
      <c r="E768" s="265" t="str">
        <f t="shared" si="309"/>
        <v xml:space="preserve"> </v>
      </c>
      <c r="F768" s="275"/>
      <c r="G768" s="275"/>
      <c r="H768" s="215"/>
      <c r="I768" s="215"/>
      <c r="J768" s="215"/>
      <c r="K768" s="215"/>
      <c r="L768" s="215"/>
      <c r="M768" s="215"/>
      <c r="N768" s="215"/>
      <c r="O768" s="215"/>
      <c r="P768" s="215"/>
      <c r="Q768" s="215"/>
      <c r="R768" s="215"/>
      <c r="S768" s="356"/>
      <c r="T768" s="274">
        <f t="shared" si="322"/>
        <v>0</v>
      </c>
      <c r="U768" s="274"/>
      <c r="V768" s="217" t="str">
        <f t="shared" si="310"/>
        <v>Rp</v>
      </c>
      <c r="W768" s="266" t="str">
        <f t="shared" si="311"/>
        <v xml:space="preserve"> </v>
      </c>
      <c r="X768" s="217" t="str">
        <f t="shared" si="312"/>
        <v>Rp</v>
      </c>
      <c r="Y768" s="266" t="str">
        <f t="shared" si="311"/>
        <v xml:space="preserve"> </v>
      </c>
      <c r="Z768" s="217" t="e">
        <f t="shared" si="313"/>
        <v>#VALUE!</v>
      </c>
      <c r="AA768" s="219" t="e">
        <f t="shared" si="314"/>
        <v>#VALUE!</v>
      </c>
      <c r="AB768" s="222" t="e">
        <f>IF(AA768&gt;0,AB766+2,IF(AA768=0," "))</f>
        <v>#VALUE!</v>
      </c>
      <c r="AC768" s="221"/>
      <c r="AE768" s="211"/>
      <c r="AF768" s="211"/>
      <c r="AI768" s="211" t="b">
        <f t="shared" si="315"/>
        <v>0</v>
      </c>
      <c r="AJ768" s="211" t="b">
        <f t="shared" si="316"/>
        <v>0</v>
      </c>
      <c r="AK768" s="211" t="b">
        <f t="shared" si="317"/>
        <v>0</v>
      </c>
      <c r="AL768" s="211" t="b">
        <f t="shared" si="318"/>
        <v>0</v>
      </c>
      <c r="AM768" s="211" t="b">
        <f t="shared" si="319"/>
        <v>0</v>
      </c>
      <c r="AN768" s="211" t="b">
        <f t="shared" si="320"/>
        <v>0</v>
      </c>
      <c r="AO768" s="211" t="b">
        <f t="shared" si="321"/>
        <v>0</v>
      </c>
    </row>
    <row r="769" spans="1:41" ht="24.95" customHeight="1" x14ac:dyDescent="0.25">
      <c r="B769" s="212">
        <f t="shared" si="323"/>
        <v>16</v>
      </c>
      <c r="C769" s="264" t="str">
        <f t="shared" si="308"/>
        <v xml:space="preserve"> </v>
      </c>
      <c r="D769" s="213"/>
      <c r="E769" s="265" t="str">
        <f t="shared" si="309"/>
        <v xml:space="preserve"> </v>
      </c>
      <c r="F769" s="275"/>
      <c r="G769" s="275"/>
      <c r="H769" s="215"/>
      <c r="I769" s="215"/>
      <c r="J769" s="215"/>
      <c r="K769" s="215"/>
      <c r="L769" s="215"/>
      <c r="M769" s="215"/>
      <c r="N769" s="215"/>
      <c r="O769" s="215"/>
      <c r="P769" s="215"/>
      <c r="Q769" s="215"/>
      <c r="R769" s="215"/>
      <c r="S769" s="356"/>
      <c r="T769" s="274">
        <f t="shared" si="322"/>
        <v>0</v>
      </c>
      <c r="U769" s="274"/>
      <c r="V769" s="217" t="str">
        <f t="shared" si="310"/>
        <v>Rp</v>
      </c>
      <c r="W769" s="266" t="str">
        <f t="shared" si="311"/>
        <v xml:space="preserve"> </v>
      </c>
      <c r="X769" s="217" t="str">
        <f t="shared" si="312"/>
        <v>Rp</v>
      </c>
      <c r="Y769" s="266" t="str">
        <f t="shared" si="311"/>
        <v xml:space="preserve"> </v>
      </c>
      <c r="Z769" s="217" t="e">
        <f t="shared" si="313"/>
        <v>#VALUE!</v>
      </c>
      <c r="AA769" s="219" t="e">
        <f t="shared" si="314"/>
        <v>#VALUE!</v>
      </c>
      <c r="AB769" s="222"/>
      <c r="AC769" s="223" t="e">
        <f>IF(AA769&gt;0,AC767+2,IF(AD769=0," "))</f>
        <v>#VALUE!</v>
      </c>
      <c r="AE769" s="211"/>
      <c r="AF769" s="211"/>
      <c r="AI769" s="211" t="b">
        <f t="shared" si="315"/>
        <v>0</v>
      </c>
      <c r="AJ769" s="211" t="b">
        <f t="shared" si="316"/>
        <v>0</v>
      </c>
      <c r="AK769" s="211" t="b">
        <f t="shared" si="317"/>
        <v>0</v>
      </c>
      <c r="AL769" s="211" t="b">
        <f t="shared" si="318"/>
        <v>0</v>
      </c>
      <c r="AM769" s="211" t="b">
        <f t="shared" si="319"/>
        <v>0</v>
      </c>
      <c r="AN769" s="211" t="b">
        <f t="shared" si="320"/>
        <v>0</v>
      </c>
      <c r="AO769" s="211" t="b">
        <f t="shared" si="321"/>
        <v>0</v>
      </c>
    </row>
    <row r="770" spans="1:41" ht="24.95" customHeight="1" x14ac:dyDescent="0.25">
      <c r="B770" s="212">
        <f t="shared" si="323"/>
        <v>17</v>
      </c>
      <c r="C770" s="264" t="str">
        <f t="shared" si="308"/>
        <v xml:space="preserve"> </v>
      </c>
      <c r="D770" s="213"/>
      <c r="E770" s="265" t="str">
        <f t="shared" si="309"/>
        <v xml:space="preserve"> </v>
      </c>
      <c r="F770" s="275"/>
      <c r="G770" s="275"/>
      <c r="H770" s="215"/>
      <c r="I770" s="215"/>
      <c r="J770" s="215"/>
      <c r="K770" s="215"/>
      <c r="L770" s="215"/>
      <c r="M770" s="215"/>
      <c r="N770" s="215"/>
      <c r="O770" s="215"/>
      <c r="P770" s="215"/>
      <c r="Q770" s="215"/>
      <c r="R770" s="215"/>
      <c r="S770" s="356"/>
      <c r="T770" s="274">
        <f t="shared" si="322"/>
        <v>0</v>
      </c>
      <c r="U770" s="274"/>
      <c r="V770" s="217" t="str">
        <f t="shared" si="310"/>
        <v>Rp</v>
      </c>
      <c r="W770" s="266" t="str">
        <f t="shared" ref="W770:Y773" si="324">IFERROR(W723," ")</f>
        <v xml:space="preserve"> </v>
      </c>
      <c r="X770" s="217" t="str">
        <f t="shared" si="312"/>
        <v>Rp</v>
      </c>
      <c r="Y770" s="266" t="str">
        <f t="shared" si="324"/>
        <v xml:space="preserve"> </v>
      </c>
      <c r="Z770" s="217" t="e">
        <f t="shared" si="313"/>
        <v>#VALUE!</v>
      </c>
      <c r="AA770" s="219" t="e">
        <f t="shared" si="314"/>
        <v>#VALUE!</v>
      </c>
      <c r="AB770" s="222" t="e">
        <f>IF(AA770&gt;0,AB768+2,IF(AA770=0," "))</f>
        <v>#VALUE!</v>
      </c>
      <c r="AC770" s="221"/>
      <c r="AE770" s="211"/>
      <c r="AF770" s="211"/>
      <c r="AI770" s="211" t="b">
        <f t="shared" si="315"/>
        <v>0</v>
      </c>
      <c r="AJ770" s="211" t="b">
        <f t="shared" si="316"/>
        <v>0</v>
      </c>
      <c r="AK770" s="211" t="b">
        <f t="shared" si="317"/>
        <v>0</v>
      </c>
      <c r="AL770" s="211" t="b">
        <f t="shared" si="318"/>
        <v>0</v>
      </c>
      <c r="AM770" s="211" t="b">
        <f t="shared" si="319"/>
        <v>0</v>
      </c>
      <c r="AN770" s="211" t="b">
        <f t="shared" si="320"/>
        <v>0</v>
      </c>
      <c r="AO770" s="211" t="b">
        <f t="shared" si="321"/>
        <v>0</v>
      </c>
    </row>
    <row r="771" spans="1:41" ht="24.95" customHeight="1" x14ac:dyDescent="0.2">
      <c r="B771" s="212">
        <f t="shared" si="323"/>
        <v>18</v>
      </c>
      <c r="C771" s="264" t="str">
        <f t="shared" si="308"/>
        <v xml:space="preserve"> </v>
      </c>
      <c r="D771" s="213"/>
      <c r="E771" s="265" t="str">
        <f t="shared" si="309"/>
        <v xml:space="preserve"> </v>
      </c>
      <c r="F771" s="357"/>
      <c r="G771" s="357"/>
      <c r="H771" s="358"/>
      <c r="I771" s="358"/>
      <c r="J771" s="359"/>
      <c r="K771" s="359"/>
      <c r="L771" s="359"/>
      <c r="M771" s="359"/>
      <c r="N771" s="360"/>
      <c r="O771" s="360"/>
      <c r="P771" s="360"/>
      <c r="Q771" s="360"/>
      <c r="R771" s="360"/>
      <c r="S771" s="361"/>
      <c r="T771" s="274">
        <f t="shared" si="322"/>
        <v>0</v>
      </c>
      <c r="U771" s="274"/>
      <c r="V771" s="217" t="str">
        <f t="shared" si="310"/>
        <v>Rp</v>
      </c>
      <c r="W771" s="266" t="str">
        <f t="shared" si="324"/>
        <v xml:space="preserve"> </v>
      </c>
      <c r="X771" s="217" t="str">
        <f t="shared" si="312"/>
        <v>Rp</v>
      </c>
      <c r="Y771" s="266" t="str">
        <f t="shared" si="324"/>
        <v xml:space="preserve"> </v>
      </c>
      <c r="Z771" s="217" t="e">
        <f t="shared" si="313"/>
        <v>#VALUE!</v>
      </c>
      <c r="AA771" s="219" t="e">
        <f t="shared" si="314"/>
        <v>#VALUE!</v>
      </c>
      <c r="AB771" s="222"/>
      <c r="AC771" s="223" t="e">
        <f>IF(AA771&gt;0,AC769+2,IF(AD771=0," "))</f>
        <v>#VALUE!</v>
      </c>
      <c r="AE771" s="211"/>
      <c r="AF771" s="211"/>
      <c r="AI771" s="211" t="b">
        <f t="shared" si="315"/>
        <v>0</v>
      </c>
      <c r="AJ771" s="211" t="b">
        <f t="shared" si="316"/>
        <v>0</v>
      </c>
      <c r="AK771" s="211" t="b">
        <f t="shared" si="317"/>
        <v>0</v>
      </c>
      <c r="AL771" s="211" t="b">
        <f t="shared" si="318"/>
        <v>0</v>
      </c>
      <c r="AM771" s="211" t="b">
        <f t="shared" si="319"/>
        <v>0</v>
      </c>
      <c r="AN771" s="211" t="b">
        <f t="shared" si="320"/>
        <v>0</v>
      </c>
      <c r="AO771" s="211" t="b">
        <f t="shared" si="321"/>
        <v>0</v>
      </c>
    </row>
    <row r="772" spans="1:41" ht="24.95" customHeight="1" x14ac:dyDescent="0.2">
      <c r="B772" s="212">
        <f t="shared" si="323"/>
        <v>19</v>
      </c>
      <c r="C772" s="264" t="str">
        <f t="shared" si="308"/>
        <v xml:space="preserve"> </v>
      </c>
      <c r="D772" s="213"/>
      <c r="E772" s="265" t="str">
        <f t="shared" si="309"/>
        <v xml:space="preserve"> </v>
      </c>
      <c r="F772" s="357"/>
      <c r="G772" s="357"/>
      <c r="H772" s="358"/>
      <c r="I772" s="358"/>
      <c r="J772" s="359"/>
      <c r="K772" s="359"/>
      <c r="L772" s="359"/>
      <c r="M772" s="359"/>
      <c r="N772" s="360"/>
      <c r="O772" s="360"/>
      <c r="P772" s="360"/>
      <c r="Q772" s="360"/>
      <c r="R772" s="360"/>
      <c r="S772" s="361"/>
      <c r="T772" s="274">
        <f t="shared" si="322"/>
        <v>0</v>
      </c>
      <c r="U772" s="274"/>
      <c r="V772" s="217" t="str">
        <f t="shared" si="310"/>
        <v>Rp</v>
      </c>
      <c r="W772" s="266" t="str">
        <f t="shared" si="324"/>
        <v xml:space="preserve"> </v>
      </c>
      <c r="X772" s="217" t="str">
        <f t="shared" si="312"/>
        <v>Rp</v>
      </c>
      <c r="Y772" s="266" t="str">
        <f t="shared" si="324"/>
        <v xml:space="preserve"> </v>
      </c>
      <c r="Z772" s="217" t="e">
        <f t="shared" si="313"/>
        <v>#VALUE!</v>
      </c>
      <c r="AA772" s="219" t="e">
        <f t="shared" si="314"/>
        <v>#VALUE!</v>
      </c>
      <c r="AB772" s="222" t="e">
        <f>IF(AA772&gt;0,AB770+2,IF(AA772=0," "))</f>
        <v>#VALUE!</v>
      </c>
      <c r="AC772" s="221"/>
      <c r="AE772" s="211"/>
      <c r="AF772" s="211"/>
      <c r="AI772" s="211" t="b">
        <f t="shared" si="315"/>
        <v>0</v>
      </c>
      <c r="AJ772" s="211" t="b">
        <f t="shared" si="316"/>
        <v>0</v>
      </c>
      <c r="AK772" s="211" t="b">
        <f t="shared" si="317"/>
        <v>0</v>
      </c>
      <c r="AL772" s="211" t="b">
        <f t="shared" si="318"/>
        <v>0</v>
      </c>
      <c r="AM772" s="211" t="b">
        <f t="shared" si="319"/>
        <v>0</v>
      </c>
      <c r="AN772" s="211" t="b">
        <f t="shared" si="320"/>
        <v>0</v>
      </c>
      <c r="AO772" s="211" t="b">
        <f t="shared" si="321"/>
        <v>0</v>
      </c>
    </row>
    <row r="773" spans="1:41" ht="24.95" customHeight="1" x14ac:dyDescent="0.2">
      <c r="B773" s="212">
        <f t="shared" si="323"/>
        <v>20</v>
      </c>
      <c r="C773" s="264" t="str">
        <f t="shared" si="308"/>
        <v xml:space="preserve"> </v>
      </c>
      <c r="D773" s="213"/>
      <c r="E773" s="265" t="str">
        <f t="shared" si="309"/>
        <v xml:space="preserve"> </v>
      </c>
      <c r="F773" s="357"/>
      <c r="G773" s="357"/>
      <c r="H773" s="358"/>
      <c r="I773" s="358"/>
      <c r="J773" s="359"/>
      <c r="K773" s="359"/>
      <c r="L773" s="359"/>
      <c r="M773" s="359"/>
      <c r="N773" s="360"/>
      <c r="O773" s="360"/>
      <c r="P773" s="360"/>
      <c r="Q773" s="360"/>
      <c r="R773" s="360"/>
      <c r="S773" s="361"/>
      <c r="T773" s="274">
        <f t="shared" si="322"/>
        <v>0</v>
      </c>
      <c r="U773" s="274"/>
      <c r="V773" s="217" t="str">
        <f t="shared" si="310"/>
        <v>Rp</v>
      </c>
      <c r="W773" s="266" t="str">
        <f t="shared" si="324"/>
        <v xml:space="preserve"> </v>
      </c>
      <c r="X773" s="217" t="str">
        <f t="shared" si="312"/>
        <v>Rp</v>
      </c>
      <c r="Y773" s="266" t="str">
        <f t="shared" si="324"/>
        <v xml:space="preserve"> </v>
      </c>
      <c r="Z773" s="217" t="e">
        <f t="shared" si="313"/>
        <v>#VALUE!</v>
      </c>
      <c r="AA773" s="219" t="e">
        <f t="shared" si="314"/>
        <v>#VALUE!</v>
      </c>
      <c r="AB773" s="222"/>
      <c r="AC773" s="223" t="e">
        <f>IF(AA773&gt;0,AC771+2,IF(AD773=0," "))</f>
        <v>#VALUE!</v>
      </c>
      <c r="AE773" s="211"/>
      <c r="AF773" s="211"/>
      <c r="AI773" s="211" t="b">
        <f t="shared" si="315"/>
        <v>0</v>
      </c>
      <c r="AJ773" s="211" t="b">
        <f t="shared" si="316"/>
        <v>0</v>
      </c>
      <c r="AK773" s="211" t="b">
        <f t="shared" si="317"/>
        <v>0</v>
      </c>
      <c r="AL773" s="211" t="b">
        <f t="shared" si="318"/>
        <v>0</v>
      </c>
      <c r="AM773" s="211" t="b">
        <f t="shared" si="319"/>
        <v>0</v>
      </c>
      <c r="AN773" s="211" t="b">
        <f t="shared" si="320"/>
        <v>0</v>
      </c>
      <c r="AO773" s="211" t="b">
        <f t="shared" si="321"/>
        <v>0</v>
      </c>
    </row>
    <row r="774" spans="1:41" ht="24.95" customHeight="1" thickBot="1" x14ac:dyDescent="0.25">
      <c r="B774" s="233"/>
      <c r="C774" s="257"/>
      <c r="D774" s="235"/>
      <c r="E774" s="236"/>
      <c r="F774" s="237"/>
      <c r="G774" s="237"/>
      <c r="H774" s="238"/>
      <c r="I774" s="238"/>
      <c r="J774" s="239"/>
      <c r="K774" s="239"/>
      <c r="L774" s="239"/>
      <c r="M774" s="239"/>
      <c r="N774" s="240"/>
      <c r="O774" s="240"/>
      <c r="P774" s="240"/>
      <c r="Q774" s="240"/>
      <c r="R774" s="240"/>
      <c r="S774" s="353"/>
      <c r="T774" s="259"/>
      <c r="U774" s="259"/>
      <c r="V774" s="242"/>
      <c r="W774" s="258"/>
      <c r="X774" s="242"/>
      <c r="Y774" s="258"/>
      <c r="Z774" s="244"/>
      <c r="AA774" s="236"/>
      <c r="AB774" s="246"/>
      <c r="AC774" s="247"/>
      <c r="AE774" s="211"/>
      <c r="AF774" s="211"/>
    </row>
    <row r="775" spans="1:41" ht="20.100000000000001" customHeight="1" thickTop="1" thickBot="1" x14ac:dyDescent="0.3">
      <c r="A775" s="179">
        <f>A728+1</f>
        <v>19</v>
      </c>
      <c r="B775" s="248"/>
      <c r="C775" s="249"/>
      <c r="D775" s="249"/>
      <c r="E775" s="249"/>
      <c r="F775" s="249"/>
      <c r="G775" s="249"/>
      <c r="H775" s="249"/>
      <c r="I775" s="249"/>
      <c r="J775" s="249"/>
      <c r="K775" s="249"/>
      <c r="L775" s="249"/>
      <c r="M775" s="249"/>
      <c r="N775" s="249"/>
      <c r="O775" s="249"/>
      <c r="P775" s="249"/>
      <c r="Q775" s="249"/>
      <c r="R775" s="249"/>
      <c r="S775" s="249"/>
      <c r="T775" s="249"/>
      <c r="U775" s="249"/>
      <c r="V775" s="249"/>
      <c r="W775" s="250" t="s">
        <v>40</v>
      </c>
      <c r="X775" s="249"/>
      <c r="Y775" s="250" t="s">
        <v>40</v>
      </c>
      <c r="Z775" s="249"/>
      <c r="AA775" s="710" t="e">
        <f>SUM(AA754:AA774)</f>
        <v>#VALUE!</v>
      </c>
      <c r="AB775" s="711"/>
      <c r="AC775" s="712"/>
      <c r="AE775" s="226" t="e">
        <f>VLOOKUP(A775,'Rekap Gaji'!$B$12:$P$32,10,FALSE)</f>
        <v>#N/A</v>
      </c>
      <c r="AF775" s="251" t="e">
        <f>AE775-AA775</f>
        <v>#N/A</v>
      </c>
    </row>
    <row r="776" spans="1:41" ht="11.25" customHeight="1" x14ac:dyDescent="0.25"/>
    <row r="777" spans="1:41" ht="16.5" customHeight="1" x14ac:dyDescent="0.25">
      <c r="B777" s="195" t="s">
        <v>41</v>
      </c>
      <c r="C777" s="140" t="s">
        <v>42</v>
      </c>
    </row>
    <row r="778" spans="1:41" ht="14.25" x14ac:dyDescent="0.25">
      <c r="H778" s="183"/>
      <c r="I778" s="183"/>
      <c r="J778" s="182"/>
      <c r="K778" s="182"/>
      <c r="T778" s="141"/>
      <c r="U778" s="141"/>
      <c r="V778" s="141"/>
      <c r="X778" s="141"/>
      <c r="AA778" s="140" t="str">
        <f>'BKU 1'!$I$25</f>
        <v>NGANTANG</v>
      </c>
      <c r="AB778" s="713" t="str">
        <f>IFERROR(VLOOKUP(E748,'Rekap Gaji'!$B$12:$P$32,7,FALSE),"-")</f>
        <v>-</v>
      </c>
      <c r="AC778" s="713"/>
      <c r="AD778" s="252"/>
      <c r="AE778" s="252"/>
    </row>
    <row r="779" spans="1:41" ht="15.75" x14ac:dyDescent="0.25">
      <c r="C779" s="140" t="s">
        <v>43</v>
      </c>
      <c r="F779" s="253"/>
      <c r="G779" s="253"/>
      <c r="H779" s="254"/>
      <c r="I779" s="254"/>
      <c r="J779" s="255"/>
      <c r="K779" s="255"/>
      <c r="L779" s="256"/>
      <c r="M779" s="256"/>
      <c r="N779" s="225" t="s">
        <v>44</v>
      </c>
      <c r="O779" s="225"/>
      <c r="P779" s="253"/>
      <c r="Q779" s="253"/>
      <c r="T779" s="141"/>
      <c r="U779" s="141"/>
      <c r="V779" s="141"/>
      <c r="X779" s="141"/>
      <c r="AA779" s="140" t="str">
        <f>'BKU 1'!$L$354</f>
        <v>Dibuat Oleh ;</v>
      </c>
      <c r="AB779" s="141"/>
    </row>
    <row r="780" spans="1:41" ht="14.25" x14ac:dyDescent="0.25">
      <c r="C780" s="140" t="str">
        <f>'BKU 1'!$C$355</f>
        <v>Kepala Sekolah SDN 1 SIDODADI</v>
      </c>
      <c r="F780" s="187"/>
      <c r="G780" s="187"/>
      <c r="H780" s="224"/>
      <c r="I780" s="224"/>
      <c r="J780" s="182"/>
      <c r="K780" s="182"/>
      <c r="L780" s="183"/>
      <c r="M780" s="183"/>
      <c r="N780" s="140" t="s">
        <v>45</v>
      </c>
      <c r="P780" s="187"/>
      <c r="Q780" s="187"/>
      <c r="AA780" s="140" t="str">
        <f>'BKU 1'!$L$355</f>
        <v>Bendahara Pembangunan</v>
      </c>
      <c r="AB780" s="141"/>
    </row>
    <row r="781" spans="1:41" ht="14.25" x14ac:dyDescent="0.25">
      <c r="F781" s="187"/>
      <c r="G781" s="187"/>
      <c r="H781" s="224"/>
      <c r="I781" s="224"/>
      <c r="J781" s="182"/>
      <c r="K781" s="182"/>
      <c r="L781" s="183"/>
      <c r="M781" s="183"/>
      <c r="P781" s="187"/>
      <c r="Q781" s="187"/>
      <c r="AA781" s="140"/>
      <c r="AB781" s="141"/>
    </row>
    <row r="782" spans="1:41" ht="14.25" x14ac:dyDescent="0.25">
      <c r="F782" s="187"/>
      <c r="G782" s="187"/>
      <c r="H782" s="224"/>
      <c r="I782" s="224"/>
      <c r="J782" s="182"/>
      <c r="K782" s="182"/>
      <c r="L782" s="183"/>
      <c r="M782" s="183"/>
      <c r="P782" s="187"/>
      <c r="Q782" s="187"/>
      <c r="AA782" s="140"/>
      <c r="AB782" s="141"/>
    </row>
    <row r="783" spans="1:41" ht="14.25" x14ac:dyDescent="0.25">
      <c r="F783" s="187"/>
      <c r="G783" s="187"/>
      <c r="H783" s="224"/>
      <c r="I783" s="224"/>
      <c r="J783" s="182"/>
      <c r="K783" s="182"/>
      <c r="L783" s="183"/>
      <c r="M783" s="183"/>
      <c r="P783" s="187"/>
      <c r="Q783" s="187"/>
      <c r="AA783" s="140"/>
      <c r="AB783" s="141"/>
    </row>
    <row r="784" spans="1:41" ht="14.25" x14ac:dyDescent="0.25">
      <c r="F784" s="187"/>
      <c r="G784" s="187"/>
      <c r="H784" s="224"/>
      <c r="I784" s="224"/>
      <c r="J784" s="182"/>
      <c r="K784" s="182"/>
      <c r="L784" s="183"/>
      <c r="M784" s="183"/>
      <c r="P784" s="187"/>
      <c r="Q784" s="187"/>
      <c r="AA784" s="140"/>
      <c r="AB784" s="141"/>
    </row>
    <row r="785" spans="1:32" x14ac:dyDescent="0.25">
      <c r="H785" s="225"/>
      <c r="I785" s="225"/>
      <c r="AA785" s="140"/>
    </row>
    <row r="786" spans="1:32" x14ac:dyDescent="0.25">
      <c r="H786" s="225"/>
      <c r="I786" s="225"/>
      <c r="AA786" s="140"/>
    </row>
    <row r="787" spans="1:32" s="189" customFormat="1" ht="15" customHeight="1" x14ac:dyDescent="0.25">
      <c r="A787" s="192"/>
      <c r="B787" s="195"/>
      <c r="C787" s="227" t="str">
        <f>'BKU 1'!$C$360</f>
        <v>MELIA FITRIANI, S.Pd.SD</v>
      </c>
      <c r="D787" s="227"/>
      <c r="H787" s="228"/>
      <c r="I787" s="228"/>
      <c r="J787" s="195"/>
      <c r="K787" s="195"/>
      <c r="L787" s="194"/>
      <c r="M787" s="194"/>
      <c r="N787" s="229">
        <f>'BKU 1'!$G$361</f>
        <v>0</v>
      </c>
      <c r="O787" s="229"/>
      <c r="AA787" s="227" t="str">
        <f>'BKU 1'!$L$360</f>
        <v>ARIF NUR UDIN, S.Pd.SD</v>
      </c>
      <c r="AC787" s="230"/>
      <c r="AE787" s="231"/>
      <c r="AF787" s="231"/>
    </row>
    <row r="788" spans="1:32" s="189" customFormat="1" ht="15" customHeight="1" x14ac:dyDescent="0.25">
      <c r="A788" s="192"/>
      <c r="B788" s="195"/>
      <c r="C788" s="140" t="str">
        <f>'BKU 1'!$C$361</f>
        <v>NIP. 19850619 200904 2 000</v>
      </c>
      <c r="D788" s="140"/>
      <c r="E788" s="140"/>
      <c r="F788" s="140"/>
      <c r="G788" s="140"/>
      <c r="H788" s="225"/>
      <c r="I788" s="225"/>
      <c r="J788" s="191"/>
      <c r="K788" s="191"/>
      <c r="L788" s="190"/>
      <c r="M788" s="190"/>
      <c r="N788" s="232">
        <f>'BKU 1'!$G$361</f>
        <v>0</v>
      </c>
      <c r="O788" s="232"/>
      <c r="P788" s="140"/>
      <c r="Q788" s="140"/>
      <c r="T788" s="140"/>
      <c r="U788" s="140"/>
      <c r="V788" s="140"/>
      <c r="W788" s="140"/>
      <c r="X788" s="140"/>
      <c r="Y788" s="140"/>
      <c r="Z788" s="140"/>
      <c r="AA788" s="140" t="str">
        <f>'BKU 1'!$L$361</f>
        <v>NIP. 19840719 200903 1 002</v>
      </c>
      <c r="AC788" s="230"/>
      <c r="AE788" s="231"/>
      <c r="AF788" s="231"/>
    </row>
    <row r="789" spans="1:32" ht="6" customHeight="1" x14ac:dyDescent="0.25"/>
    <row r="790" spans="1:32" s="177" customFormat="1" ht="24.95" customHeight="1" x14ac:dyDescent="0.25">
      <c r="A790" s="176"/>
      <c r="B790" s="726" t="s">
        <v>6</v>
      </c>
      <c r="C790" s="726"/>
      <c r="D790" s="726"/>
      <c r="E790" s="726"/>
      <c r="F790" s="726"/>
      <c r="G790" s="726"/>
      <c r="H790" s="726"/>
      <c r="I790" s="726"/>
      <c r="J790" s="726"/>
      <c r="K790" s="726"/>
      <c r="L790" s="726"/>
      <c r="M790" s="726"/>
      <c r="N790" s="726"/>
      <c r="O790" s="726"/>
      <c r="P790" s="726"/>
      <c r="Q790" s="726"/>
      <c r="R790" s="726"/>
      <c r="S790" s="726"/>
      <c r="T790" s="726"/>
      <c r="U790" s="726"/>
      <c r="V790" s="726"/>
      <c r="W790" s="726"/>
      <c r="X790" s="726"/>
      <c r="Y790" s="726"/>
      <c r="Z790" s="726"/>
      <c r="AA790" s="726"/>
      <c r="AB790" s="726"/>
      <c r="AC790" s="726"/>
      <c r="AE790" s="178"/>
      <c r="AF790" s="178"/>
    </row>
    <row r="791" spans="1:32" s="177" customFormat="1" ht="24.95" customHeight="1" x14ac:dyDescent="0.25">
      <c r="A791" s="176"/>
      <c r="B791" s="726" t="str">
        <f>'BKU 1'!$D$22</f>
        <v>PEMBANGUNAN TOILET BESERTA SANITASINYA</v>
      </c>
      <c r="C791" s="726"/>
      <c r="D791" s="726"/>
      <c r="E791" s="726"/>
      <c r="F791" s="726"/>
      <c r="G791" s="726"/>
      <c r="H791" s="726"/>
      <c r="I791" s="726"/>
      <c r="J791" s="726"/>
      <c r="K791" s="726"/>
      <c r="L791" s="726"/>
      <c r="M791" s="726"/>
      <c r="N791" s="726"/>
      <c r="O791" s="726"/>
      <c r="P791" s="726"/>
      <c r="Q791" s="726"/>
      <c r="R791" s="726"/>
      <c r="S791" s="726"/>
      <c r="T791" s="726"/>
      <c r="U791" s="726"/>
      <c r="V791" s="726"/>
      <c r="W791" s="726"/>
      <c r="X791" s="726"/>
      <c r="Y791" s="726"/>
      <c r="Z791" s="726"/>
      <c r="AA791" s="726"/>
      <c r="AB791" s="726"/>
      <c r="AC791" s="726"/>
      <c r="AE791" s="178"/>
      <c r="AF791" s="178"/>
    </row>
    <row r="792" spans="1:32" s="184" customFormat="1" ht="30.75" customHeight="1" x14ac:dyDescent="0.25">
      <c r="A792" s="179"/>
      <c r="B792" s="180"/>
      <c r="C792" s="181"/>
      <c r="D792" s="181"/>
      <c r="E792" s="181"/>
      <c r="F792" s="182"/>
      <c r="G792" s="182"/>
      <c r="H792" s="183"/>
      <c r="I792" s="183"/>
      <c r="J792" s="182"/>
      <c r="K792" s="182"/>
      <c r="L792" s="183"/>
      <c r="M792" s="183"/>
      <c r="N792" s="182"/>
      <c r="O792" s="182"/>
      <c r="P792" s="182"/>
      <c r="Q792" s="182"/>
      <c r="R792" s="182"/>
      <c r="S792" s="182"/>
      <c r="T792" s="181"/>
      <c r="U792" s="181"/>
      <c r="V792" s="181"/>
      <c r="X792" s="181"/>
      <c r="AA792" s="180"/>
      <c r="AB792" s="140"/>
      <c r="AC792" s="185"/>
      <c r="AE792" s="186"/>
      <c r="AF792" s="186"/>
    </row>
    <row r="793" spans="1:32" s="184" customFormat="1" ht="14.25" x14ac:dyDescent="0.25">
      <c r="A793" s="179"/>
      <c r="B793" s="185" t="s">
        <v>7</v>
      </c>
      <c r="D793" s="184" t="s">
        <v>49</v>
      </c>
      <c r="E793" s="184" t="str">
        <f>'BKU 1'!$D$25</f>
        <v>SDN 1 SIDODADI</v>
      </c>
      <c r="F793" s="140"/>
      <c r="G793" s="140"/>
      <c r="H793" s="183"/>
      <c r="I793" s="183"/>
      <c r="J793" s="182"/>
      <c r="K793" s="182"/>
      <c r="L793" s="183"/>
      <c r="M793" s="183"/>
      <c r="N793" s="187"/>
      <c r="O793" s="187"/>
      <c r="P793" s="187"/>
      <c r="Q793" s="187"/>
      <c r="R793" s="187"/>
      <c r="S793" s="187"/>
      <c r="T793" s="188"/>
      <c r="U793" s="188"/>
      <c r="V793" s="188"/>
      <c r="X793" s="188"/>
      <c r="AA793" s="180"/>
      <c r="AB793" s="189" t="s">
        <v>8</v>
      </c>
      <c r="AC793" s="185"/>
      <c r="AE793" s="186"/>
      <c r="AF793" s="186"/>
    </row>
    <row r="794" spans="1:32" s="184" customFormat="1" x14ac:dyDescent="0.25">
      <c r="A794" s="179"/>
      <c r="B794" s="185" t="s">
        <v>9</v>
      </c>
      <c r="D794" s="184" t="s">
        <v>49</v>
      </c>
      <c r="E794" s="184" t="str">
        <f>'BKU 1'!$D$26</f>
        <v>Jl. Kawi No.36 Rt. 1 Rw. 1 Dusun Sekar, Rt / Rw : 1 / 1, Dusun : Sekar, Kelurahan : Sidodadi</v>
      </c>
      <c r="F794" s="140"/>
      <c r="G794" s="140"/>
      <c r="H794" s="190"/>
      <c r="I794" s="190"/>
      <c r="J794" s="191"/>
      <c r="K794" s="191"/>
      <c r="L794" s="190"/>
      <c r="M794" s="190"/>
      <c r="N794" s="140"/>
      <c r="O794" s="140"/>
      <c r="P794" s="140"/>
      <c r="Q794" s="140"/>
      <c r="R794" s="140"/>
      <c r="S794" s="140"/>
      <c r="AA794" s="180"/>
      <c r="AB794" s="140" t="s">
        <v>10</v>
      </c>
      <c r="AC794" s="185" t="s">
        <v>11</v>
      </c>
      <c r="AE794" s="186"/>
      <c r="AF794" s="186"/>
    </row>
    <row r="795" spans="1:32" s="184" customFormat="1" x14ac:dyDescent="0.25">
      <c r="A795" s="179"/>
      <c r="B795" s="185" t="s">
        <v>12</v>
      </c>
      <c r="D795" s="184" t="s">
        <v>49</v>
      </c>
      <c r="E795" s="180">
        <f>E748+1</f>
        <v>20</v>
      </c>
      <c r="F795" s="140"/>
      <c r="G795" s="140"/>
      <c r="H795" s="727" t="str">
        <f>IFERROR(VLOOKUP(E795,'Rekap Gaji'!$B$12:$P$32,14,FALSE),"-")</f>
        <v>-</v>
      </c>
      <c r="I795" s="727"/>
      <c r="J795" s="727"/>
      <c r="K795" s="727"/>
      <c r="L795" s="727"/>
      <c r="M795" s="191"/>
      <c r="N795" s="140"/>
      <c r="O795" s="140"/>
      <c r="P795" s="140"/>
      <c r="Q795" s="140"/>
      <c r="R795" s="140"/>
      <c r="S795" s="140"/>
      <c r="AA795" s="180"/>
      <c r="AB795" s="140" t="s">
        <v>13</v>
      </c>
      <c r="AC795" s="185" t="s">
        <v>14</v>
      </c>
      <c r="AE795" s="186"/>
      <c r="AF795" s="186"/>
    </row>
    <row r="796" spans="1:32" s="184" customFormat="1" ht="15" customHeight="1" x14ac:dyDescent="0.25">
      <c r="A796" s="179"/>
      <c r="B796" s="185" t="s">
        <v>0</v>
      </c>
      <c r="D796" s="184" t="s">
        <v>49</v>
      </c>
      <c r="E796" s="728" t="str">
        <f>IFERROR(VLOOKUP(E795,'Rekap Gaji'!$B$12:$P$32,4,FALSE),"-")</f>
        <v>-</v>
      </c>
      <c r="F796" s="728"/>
      <c r="G796" s="728"/>
      <c r="H796" s="728"/>
      <c r="I796" s="728"/>
      <c r="J796" s="728"/>
      <c r="K796" s="339"/>
      <c r="L796" s="727" t="s">
        <v>76</v>
      </c>
      <c r="M796" s="727"/>
      <c r="N796" s="727"/>
      <c r="O796" s="191"/>
      <c r="P796" s="728" t="str">
        <f>IFERROR(VLOOKUP(E795,'Rekap Gaji'!$B$12:$P$32,6,FALSE),"-")</f>
        <v>-</v>
      </c>
      <c r="Q796" s="728"/>
      <c r="R796" s="728"/>
      <c r="S796" s="728"/>
      <c r="T796" s="728"/>
      <c r="U796" s="728"/>
      <c r="V796" s="728"/>
      <c r="AA796" s="180"/>
      <c r="AB796" s="140" t="s">
        <v>15</v>
      </c>
      <c r="AC796" s="185" t="s">
        <v>16</v>
      </c>
      <c r="AE796" s="186"/>
      <c r="AF796" s="186"/>
    </row>
    <row r="797" spans="1:32" s="188" customFormat="1" ht="8.1" customHeight="1" thickBot="1" x14ac:dyDescent="0.3">
      <c r="A797" s="192"/>
      <c r="B797" s="193"/>
      <c r="F797" s="189"/>
      <c r="G797" s="189"/>
      <c r="H797" s="194"/>
      <c r="I797" s="194"/>
      <c r="J797" s="195"/>
      <c r="K797" s="195"/>
      <c r="L797" s="194"/>
      <c r="M797" s="194"/>
      <c r="N797" s="189"/>
      <c r="O797" s="189"/>
      <c r="P797" s="189"/>
      <c r="Q797" s="189"/>
      <c r="R797" s="189"/>
      <c r="S797" s="189"/>
      <c r="AA797" s="193"/>
      <c r="AB797" s="189"/>
      <c r="AC797" s="196"/>
      <c r="AE797" s="197"/>
      <c r="AF797" s="197"/>
    </row>
    <row r="798" spans="1:32" ht="15" customHeight="1" x14ac:dyDescent="0.25">
      <c r="B798" s="729" t="s">
        <v>17</v>
      </c>
      <c r="C798" s="717" t="s">
        <v>18</v>
      </c>
      <c r="D798" s="732"/>
      <c r="E798" s="268" t="s">
        <v>19</v>
      </c>
      <c r="F798" s="717" t="s">
        <v>20</v>
      </c>
      <c r="G798" s="734"/>
      <c r="H798" s="734"/>
      <c r="I798" s="734"/>
      <c r="J798" s="734"/>
      <c r="K798" s="734"/>
      <c r="L798" s="734"/>
      <c r="M798" s="734"/>
      <c r="N798" s="734"/>
      <c r="O798" s="734"/>
      <c r="P798" s="734"/>
      <c r="Q798" s="734"/>
      <c r="R798" s="732"/>
      <c r="S798" s="337"/>
      <c r="T798" s="267" t="s">
        <v>2</v>
      </c>
      <c r="U798" s="267"/>
      <c r="V798" s="717" t="s">
        <v>21</v>
      </c>
      <c r="W798" s="732"/>
      <c r="X798" s="717" t="s">
        <v>21</v>
      </c>
      <c r="Y798" s="732"/>
      <c r="Z798" s="717" t="s">
        <v>22</v>
      </c>
      <c r="AA798" s="732"/>
      <c r="AB798" s="717" t="s">
        <v>23</v>
      </c>
      <c r="AC798" s="718"/>
    </row>
    <row r="799" spans="1:32" ht="15" customHeight="1" x14ac:dyDescent="0.25">
      <c r="B799" s="730"/>
      <c r="C799" s="719"/>
      <c r="D799" s="725"/>
      <c r="E799" s="270" t="s">
        <v>24</v>
      </c>
      <c r="F799" s="723" t="s">
        <v>25</v>
      </c>
      <c r="G799" s="338"/>
      <c r="H799" s="723" t="s">
        <v>26</v>
      </c>
      <c r="I799" s="338"/>
      <c r="J799" s="723" t="s">
        <v>26</v>
      </c>
      <c r="K799" s="338"/>
      <c r="L799" s="723" t="s">
        <v>27</v>
      </c>
      <c r="M799" s="338"/>
      <c r="N799" s="723" t="s">
        <v>28</v>
      </c>
      <c r="O799" s="338"/>
      <c r="P799" s="723" t="s">
        <v>29</v>
      </c>
      <c r="Q799" s="338"/>
      <c r="R799" s="723" t="s">
        <v>26</v>
      </c>
      <c r="S799" s="269"/>
      <c r="T799" s="269" t="s">
        <v>30</v>
      </c>
      <c r="U799" s="269"/>
      <c r="V799" s="719" t="s">
        <v>31</v>
      </c>
      <c r="W799" s="725"/>
      <c r="X799" s="719" t="s">
        <v>31</v>
      </c>
      <c r="Y799" s="725"/>
      <c r="Z799" s="719" t="s">
        <v>31</v>
      </c>
      <c r="AA799" s="725"/>
      <c r="AB799" s="719"/>
      <c r="AC799" s="720"/>
    </row>
    <row r="800" spans="1:32" ht="15" customHeight="1" thickBot="1" x14ac:dyDescent="0.3">
      <c r="B800" s="731"/>
      <c r="C800" s="721"/>
      <c r="D800" s="733"/>
      <c r="E800" s="272" t="s">
        <v>32</v>
      </c>
      <c r="F800" s="724"/>
      <c r="G800" s="272"/>
      <c r="H800" s="724"/>
      <c r="I800" s="272"/>
      <c r="J800" s="724"/>
      <c r="K800" s="272"/>
      <c r="L800" s="724"/>
      <c r="M800" s="272"/>
      <c r="N800" s="724"/>
      <c r="O800" s="272"/>
      <c r="P800" s="724"/>
      <c r="Q800" s="272"/>
      <c r="R800" s="724"/>
      <c r="S800" s="271"/>
      <c r="T800" s="271" t="s">
        <v>31</v>
      </c>
      <c r="U800" s="271"/>
      <c r="V800" s="721" t="s">
        <v>33</v>
      </c>
      <c r="W800" s="733"/>
      <c r="X800" s="721" t="s">
        <v>33</v>
      </c>
      <c r="Y800" s="733"/>
      <c r="Z800" s="721" t="s">
        <v>34</v>
      </c>
      <c r="AA800" s="733"/>
      <c r="AB800" s="721"/>
      <c r="AC800" s="722"/>
    </row>
    <row r="801" spans="2:41" ht="24.95" customHeight="1" x14ac:dyDescent="0.25">
      <c r="B801" s="201">
        <v>1</v>
      </c>
      <c r="C801" s="261" t="str">
        <f t="shared" ref="C801:C820" si="325">IFERROR(C754," ")</f>
        <v>KUSMAN H</v>
      </c>
      <c r="D801" s="203"/>
      <c r="E801" s="262" t="str">
        <f t="shared" ref="E801:E820" si="326">IFERROR(E754," ")</f>
        <v>A</v>
      </c>
      <c r="F801" s="215" t="s">
        <v>36</v>
      </c>
      <c r="G801" s="354"/>
      <c r="H801" s="205" t="s">
        <v>37</v>
      </c>
      <c r="I801" s="205"/>
      <c r="J801" s="205" t="s">
        <v>37</v>
      </c>
      <c r="K801" s="205"/>
      <c r="L801" s="205" t="s">
        <v>37</v>
      </c>
      <c r="M801" s="205"/>
      <c r="N801" s="205" t="s">
        <v>37</v>
      </c>
      <c r="O801" s="205"/>
      <c r="P801" s="205" t="s">
        <v>37</v>
      </c>
      <c r="Q801" s="205"/>
      <c r="R801" s="205" t="s">
        <v>37</v>
      </c>
      <c r="S801" s="355"/>
      <c r="T801" s="273">
        <f>SUM(AI801:AO801)</f>
        <v>6</v>
      </c>
      <c r="U801" s="273"/>
      <c r="V801" s="207" t="str">
        <f t="shared" ref="V801:V820" si="327">IF(W801&gt;0,"Rp",IF(W801=0," "))</f>
        <v>Rp</v>
      </c>
      <c r="W801" s="263">
        <f t="shared" ref="W801:Y816" si="328">IFERROR(W754," ")</f>
        <v>135000</v>
      </c>
      <c r="X801" s="207" t="str">
        <f t="shared" ref="X801:X820" si="329">IF(Y801&gt;0,"Rp",IF(Y801=0," "))</f>
        <v>Rp</v>
      </c>
      <c r="Y801" s="263">
        <f t="shared" si="328"/>
        <v>25000</v>
      </c>
      <c r="Z801" s="207" t="str">
        <f t="shared" ref="Z801:Z820" si="330">IF(AA801&gt;0,"Rp",IF(AA801=0," "))</f>
        <v>Rp</v>
      </c>
      <c r="AA801" s="208">
        <f t="shared" ref="AA801:AA820" si="331">W801*T801</f>
        <v>810000</v>
      </c>
      <c r="AB801" s="209">
        <f>IF(AA801&gt;0,1,IF(AA801=0," "))</f>
        <v>1</v>
      </c>
      <c r="AC801" s="210"/>
      <c r="AE801" s="260"/>
      <c r="AF801" s="140"/>
      <c r="AI801" s="211">
        <f t="shared" ref="AI801:AI820" si="332">IFERROR(IF(F801="V",1,IF(F801="X",0))," ")</f>
        <v>0</v>
      </c>
      <c r="AJ801" s="211">
        <f t="shared" ref="AJ801:AJ820" si="333">IFERROR(IF(H801="V",1,IF(H801="X",0))," ")</f>
        <v>1</v>
      </c>
      <c r="AK801" s="211">
        <f t="shared" ref="AK801:AK820" si="334">IFERROR(IF(J801="V",1,IF(J801="X",0))," ")</f>
        <v>1</v>
      </c>
      <c r="AL801" s="211">
        <f t="shared" ref="AL801:AL820" si="335">IFERROR(IF(L801="V",1,IF(L801="X",0))," ")</f>
        <v>1</v>
      </c>
      <c r="AM801" s="211">
        <f t="shared" ref="AM801:AM820" si="336">IFERROR(IF(N801="V",1,IF(N801="X",0))," ")</f>
        <v>1</v>
      </c>
      <c r="AN801" s="211">
        <f t="shared" ref="AN801:AN820" si="337">IFERROR(IF(P801="V",1,IF(P801="X",0))," ")</f>
        <v>1</v>
      </c>
      <c r="AO801" s="211">
        <f t="shared" ref="AO801:AO820" si="338">IFERROR(IF(R801="V",1,IF(R801="X",0))," ")</f>
        <v>1</v>
      </c>
    </row>
    <row r="802" spans="2:41" ht="24.95" customHeight="1" x14ac:dyDescent="0.25">
      <c r="B802" s="212">
        <f>B801+1</f>
        <v>2</v>
      </c>
      <c r="C802" s="264" t="str">
        <f t="shared" si="325"/>
        <v>BUSANI</v>
      </c>
      <c r="D802" s="213"/>
      <c r="E802" s="265" t="str">
        <f t="shared" si="326"/>
        <v>B</v>
      </c>
      <c r="F802" s="215" t="s">
        <v>36</v>
      </c>
      <c r="G802" s="215"/>
      <c r="H802" s="215" t="s">
        <v>37</v>
      </c>
      <c r="I802" s="215"/>
      <c r="J802" s="215" t="s">
        <v>37</v>
      </c>
      <c r="K802" s="215"/>
      <c r="L802" s="215" t="s">
        <v>37</v>
      </c>
      <c r="M802" s="215"/>
      <c r="N802" s="215" t="s">
        <v>36</v>
      </c>
      <c r="O802" s="215"/>
      <c r="P802" s="215" t="s">
        <v>37</v>
      </c>
      <c r="Q802" s="215"/>
      <c r="R802" s="215" t="s">
        <v>37</v>
      </c>
      <c r="S802" s="356"/>
      <c r="T802" s="274">
        <f t="shared" ref="T802:T820" si="339">SUM(AI802:AO802)</f>
        <v>5</v>
      </c>
      <c r="U802" s="274"/>
      <c r="V802" s="217" t="str">
        <f t="shared" si="327"/>
        <v>Rp</v>
      </c>
      <c r="W802" s="266">
        <f t="shared" si="328"/>
        <v>125000</v>
      </c>
      <c r="X802" s="217" t="str">
        <f t="shared" si="329"/>
        <v>Rp</v>
      </c>
      <c r="Y802" s="266">
        <f t="shared" si="328"/>
        <v>25000</v>
      </c>
      <c r="Z802" s="217" t="str">
        <f t="shared" si="330"/>
        <v>Rp</v>
      </c>
      <c r="AA802" s="219">
        <f t="shared" si="331"/>
        <v>625000</v>
      </c>
      <c r="AB802" s="220"/>
      <c r="AC802" s="221">
        <f>IF(AA802&gt;0,2,IF(AA801=0," "))</f>
        <v>2</v>
      </c>
      <c r="AE802" s="211"/>
      <c r="AF802" s="211"/>
      <c r="AI802" s="211">
        <f t="shared" si="332"/>
        <v>0</v>
      </c>
      <c r="AJ802" s="211">
        <f t="shared" si="333"/>
        <v>1</v>
      </c>
      <c r="AK802" s="211">
        <f t="shared" si="334"/>
        <v>1</v>
      </c>
      <c r="AL802" s="211">
        <f t="shared" si="335"/>
        <v>1</v>
      </c>
      <c r="AM802" s="211">
        <f t="shared" si="336"/>
        <v>0</v>
      </c>
      <c r="AN802" s="211">
        <f t="shared" si="337"/>
        <v>1</v>
      </c>
      <c r="AO802" s="211">
        <f t="shared" si="338"/>
        <v>1</v>
      </c>
    </row>
    <row r="803" spans="2:41" ht="24.95" customHeight="1" x14ac:dyDescent="0.25">
      <c r="B803" s="212">
        <f>B802+1</f>
        <v>3</v>
      </c>
      <c r="C803" s="264" t="str">
        <f t="shared" si="325"/>
        <v>LASMARI</v>
      </c>
      <c r="D803" s="213"/>
      <c r="E803" s="265" t="str">
        <f t="shared" si="326"/>
        <v>B</v>
      </c>
      <c r="F803" s="215" t="s">
        <v>36</v>
      </c>
      <c r="G803" s="215"/>
      <c r="H803" s="215" t="s">
        <v>37</v>
      </c>
      <c r="I803" s="215"/>
      <c r="J803" s="215" t="s">
        <v>37</v>
      </c>
      <c r="K803" s="215"/>
      <c r="L803" s="215" t="s">
        <v>37</v>
      </c>
      <c r="M803" s="215"/>
      <c r="N803" s="215" t="s">
        <v>36</v>
      </c>
      <c r="O803" s="215"/>
      <c r="P803" s="215" t="s">
        <v>37</v>
      </c>
      <c r="Q803" s="215"/>
      <c r="R803" s="215" t="s">
        <v>37</v>
      </c>
      <c r="S803" s="356"/>
      <c r="T803" s="274">
        <f t="shared" si="339"/>
        <v>5</v>
      </c>
      <c r="U803" s="274"/>
      <c r="V803" s="217" t="str">
        <f t="shared" si="327"/>
        <v>Rp</v>
      </c>
      <c r="W803" s="266">
        <f t="shared" si="328"/>
        <v>125000</v>
      </c>
      <c r="X803" s="217" t="str">
        <f t="shared" si="329"/>
        <v>Rp</v>
      </c>
      <c r="Y803" s="266">
        <f t="shared" si="328"/>
        <v>25000</v>
      </c>
      <c r="Z803" s="217" t="str">
        <f t="shared" si="330"/>
        <v>Rp</v>
      </c>
      <c r="AA803" s="219">
        <f t="shared" si="331"/>
        <v>625000</v>
      </c>
      <c r="AB803" s="222">
        <f>IF(AA803&gt;0,AB801+2,IF(AA803=0," "))</f>
        <v>3</v>
      </c>
      <c r="AC803" s="221"/>
      <c r="AE803" s="211"/>
      <c r="AF803" s="211"/>
      <c r="AI803" s="211">
        <f t="shared" si="332"/>
        <v>0</v>
      </c>
      <c r="AJ803" s="211">
        <f t="shared" si="333"/>
        <v>1</v>
      </c>
      <c r="AK803" s="211">
        <f t="shared" si="334"/>
        <v>1</v>
      </c>
      <c r="AL803" s="211">
        <f t="shared" si="335"/>
        <v>1</v>
      </c>
      <c r="AM803" s="211">
        <f t="shared" si="336"/>
        <v>0</v>
      </c>
      <c r="AN803" s="211">
        <f t="shared" si="337"/>
        <v>1</v>
      </c>
      <c r="AO803" s="211">
        <f t="shared" si="338"/>
        <v>1</v>
      </c>
    </row>
    <row r="804" spans="2:41" ht="24.95" customHeight="1" x14ac:dyDescent="0.25">
      <c r="B804" s="212">
        <f>B803+1</f>
        <v>4</v>
      </c>
      <c r="C804" s="264" t="str">
        <f t="shared" si="325"/>
        <v>SUMARTO</v>
      </c>
      <c r="D804" s="213"/>
      <c r="E804" s="265" t="str">
        <f t="shared" si="326"/>
        <v>B</v>
      </c>
      <c r="F804" s="215" t="s">
        <v>36</v>
      </c>
      <c r="G804" s="215"/>
      <c r="H804" s="215" t="s">
        <v>37</v>
      </c>
      <c r="I804" s="215"/>
      <c r="J804" s="215" t="s">
        <v>37</v>
      </c>
      <c r="K804" s="215"/>
      <c r="L804" s="215" t="s">
        <v>37</v>
      </c>
      <c r="M804" s="215"/>
      <c r="N804" s="215" t="s">
        <v>37</v>
      </c>
      <c r="O804" s="215"/>
      <c r="P804" s="215" t="s">
        <v>36</v>
      </c>
      <c r="Q804" s="215"/>
      <c r="R804" s="215" t="s">
        <v>37</v>
      </c>
      <c r="S804" s="356"/>
      <c r="T804" s="274">
        <f t="shared" si="339"/>
        <v>5</v>
      </c>
      <c r="U804" s="274"/>
      <c r="V804" s="217" t="str">
        <f t="shared" si="327"/>
        <v>Rp</v>
      </c>
      <c r="W804" s="266">
        <f t="shared" si="328"/>
        <v>125000</v>
      </c>
      <c r="X804" s="217" t="str">
        <f t="shared" si="329"/>
        <v>Rp</v>
      </c>
      <c r="Y804" s="266">
        <f t="shared" si="328"/>
        <v>25000</v>
      </c>
      <c r="Z804" s="217" t="str">
        <f t="shared" si="330"/>
        <v>Rp</v>
      </c>
      <c r="AA804" s="219">
        <f t="shared" si="331"/>
        <v>625000</v>
      </c>
      <c r="AB804" s="222"/>
      <c r="AC804" s="223">
        <f>IF(AA804&gt;0,AC802+2,IF(AD804=0," "))</f>
        <v>4</v>
      </c>
      <c r="AE804" s="211"/>
      <c r="AF804" s="211"/>
      <c r="AI804" s="211">
        <f t="shared" si="332"/>
        <v>0</v>
      </c>
      <c r="AJ804" s="211">
        <f t="shared" si="333"/>
        <v>1</v>
      </c>
      <c r="AK804" s="211">
        <f t="shared" si="334"/>
        <v>1</v>
      </c>
      <c r="AL804" s="211">
        <f t="shared" si="335"/>
        <v>1</v>
      </c>
      <c r="AM804" s="211">
        <f t="shared" si="336"/>
        <v>1</v>
      </c>
      <c r="AN804" s="211">
        <f t="shared" si="337"/>
        <v>0</v>
      </c>
      <c r="AO804" s="211">
        <f t="shared" si="338"/>
        <v>1</v>
      </c>
    </row>
    <row r="805" spans="2:41" ht="24.95" customHeight="1" x14ac:dyDescent="0.25">
      <c r="B805" s="212">
        <f t="shared" ref="B805:B820" si="340">B804+1</f>
        <v>5</v>
      </c>
      <c r="C805" s="264" t="str">
        <f t="shared" si="325"/>
        <v>TONI</v>
      </c>
      <c r="D805" s="213"/>
      <c r="E805" s="265" t="str">
        <f t="shared" si="326"/>
        <v>C</v>
      </c>
      <c r="F805" s="215" t="s">
        <v>36</v>
      </c>
      <c r="G805" s="215"/>
      <c r="H805" s="215" t="s">
        <v>37</v>
      </c>
      <c r="I805" s="215"/>
      <c r="J805" s="215" t="s">
        <v>37</v>
      </c>
      <c r="K805" s="215"/>
      <c r="L805" s="215" t="s">
        <v>37</v>
      </c>
      <c r="M805" s="215"/>
      <c r="N805" s="215" t="s">
        <v>37</v>
      </c>
      <c r="O805" s="215"/>
      <c r="P805" s="215" t="s">
        <v>37</v>
      </c>
      <c r="Q805" s="215"/>
      <c r="R805" s="215" t="s">
        <v>37</v>
      </c>
      <c r="S805" s="356"/>
      <c r="T805" s="274">
        <f t="shared" si="339"/>
        <v>6</v>
      </c>
      <c r="U805" s="274"/>
      <c r="V805" s="217" t="str">
        <f t="shared" si="327"/>
        <v>Rp</v>
      </c>
      <c r="W805" s="266">
        <f t="shared" si="328"/>
        <v>115000</v>
      </c>
      <c r="X805" s="217" t="str">
        <f t="shared" si="329"/>
        <v>Rp</v>
      </c>
      <c r="Y805" s="266">
        <f t="shared" si="328"/>
        <v>25000</v>
      </c>
      <c r="Z805" s="217" t="str">
        <f t="shared" si="330"/>
        <v>Rp</v>
      </c>
      <c r="AA805" s="219">
        <f t="shared" si="331"/>
        <v>690000</v>
      </c>
      <c r="AB805" s="222">
        <f>IF(AA805&gt;0,AB803+2,IF(AA805=0," "))</f>
        <v>5</v>
      </c>
      <c r="AC805" s="221"/>
      <c r="AE805" s="211"/>
      <c r="AF805" s="211"/>
      <c r="AI805" s="211">
        <f t="shared" si="332"/>
        <v>0</v>
      </c>
      <c r="AJ805" s="211">
        <f t="shared" si="333"/>
        <v>1</v>
      </c>
      <c r="AK805" s="211">
        <f t="shared" si="334"/>
        <v>1</v>
      </c>
      <c r="AL805" s="211">
        <f t="shared" si="335"/>
        <v>1</v>
      </c>
      <c r="AM805" s="211">
        <f t="shared" si="336"/>
        <v>1</v>
      </c>
      <c r="AN805" s="211">
        <f t="shared" si="337"/>
        <v>1</v>
      </c>
      <c r="AO805" s="211">
        <f t="shared" si="338"/>
        <v>1</v>
      </c>
    </row>
    <row r="806" spans="2:41" ht="24.95" customHeight="1" x14ac:dyDescent="0.25">
      <c r="B806" s="212">
        <f t="shared" si="340"/>
        <v>6</v>
      </c>
      <c r="C806" s="264" t="str">
        <f t="shared" si="325"/>
        <v>SAKIM</v>
      </c>
      <c r="D806" s="213"/>
      <c r="E806" s="265" t="str">
        <f t="shared" si="326"/>
        <v>C</v>
      </c>
      <c r="F806" s="215" t="s">
        <v>36</v>
      </c>
      <c r="G806" s="215"/>
      <c r="H806" s="215" t="s">
        <v>37</v>
      </c>
      <c r="I806" s="215"/>
      <c r="J806" s="215" t="s">
        <v>37</v>
      </c>
      <c r="K806" s="215"/>
      <c r="L806" s="215" t="s">
        <v>37</v>
      </c>
      <c r="M806" s="215"/>
      <c r="N806" s="215" t="s">
        <v>36</v>
      </c>
      <c r="O806" s="215"/>
      <c r="P806" s="215" t="s">
        <v>37</v>
      </c>
      <c r="Q806" s="215"/>
      <c r="R806" s="215" t="s">
        <v>36</v>
      </c>
      <c r="S806" s="356"/>
      <c r="T806" s="274">
        <f t="shared" si="339"/>
        <v>4</v>
      </c>
      <c r="U806" s="274"/>
      <c r="V806" s="217" t="str">
        <f t="shared" si="327"/>
        <v>Rp</v>
      </c>
      <c r="W806" s="266">
        <f t="shared" si="328"/>
        <v>115000</v>
      </c>
      <c r="X806" s="217" t="str">
        <f t="shared" si="329"/>
        <v>Rp</v>
      </c>
      <c r="Y806" s="266">
        <f t="shared" si="328"/>
        <v>25000</v>
      </c>
      <c r="Z806" s="217" t="str">
        <f t="shared" si="330"/>
        <v>Rp</v>
      </c>
      <c r="AA806" s="219">
        <f t="shared" si="331"/>
        <v>460000</v>
      </c>
      <c r="AB806" s="222"/>
      <c r="AC806" s="223">
        <f>IF(AA806&gt;0,AC804+2,IF(AD806=0," "))</f>
        <v>6</v>
      </c>
      <c r="AE806" s="211"/>
      <c r="AF806" s="211"/>
      <c r="AI806" s="211">
        <f t="shared" si="332"/>
        <v>0</v>
      </c>
      <c r="AJ806" s="211">
        <f t="shared" si="333"/>
        <v>1</v>
      </c>
      <c r="AK806" s="211">
        <f t="shared" si="334"/>
        <v>1</v>
      </c>
      <c r="AL806" s="211">
        <f t="shared" si="335"/>
        <v>1</v>
      </c>
      <c r="AM806" s="211">
        <f t="shared" si="336"/>
        <v>0</v>
      </c>
      <c r="AN806" s="211">
        <f t="shared" si="337"/>
        <v>1</v>
      </c>
      <c r="AO806" s="211">
        <f t="shared" si="338"/>
        <v>0</v>
      </c>
    </row>
    <row r="807" spans="2:41" ht="24.95" customHeight="1" x14ac:dyDescent="0.25">
      <c r="B807" s="212">
        <f t="shared" si="340"/>
        <v>7</v>
      </c>
      <c r="C807" s="264" t="str">
        <f t="shared" si="325"/>
        <v>TOHIR</v>
      </c>
      <c r="D807" s="213"/>
      <c r="E807" s="265" t="str">
        <f t="shared" si="326"/>
        <v>C</v>
      </c>
      <c r="F807" s="215" t="s">
        <v>36</v>
      </c>
      <c r="G807" s="215"/>
      <c r="H807" s="215" t="s">
        <v>37</v>
      </c>
      <c r="I807" s="215"/>
      <c r="J807" s="215" t="s">
        <v>37</v>
      </c>
      <c r="K807" s="215"/>
      <c r="L807" s="215" t="s">
        <v>37</v>
      </c>
      <c r="M807" s="215"/>
      <c r="N807" s="215" t="s">
        <v>37</v>
      </c>
      <c r="O807" s="215"/>
      <c r="P807" s="215" t="s">
        <v>37</v>
      </c>
      <c r="Q807" s="215"/>
      <c r="R807" s="215" t="s">
        <v>37</v>
      </c>
      <c r="S807" s="356"/>
      <c r="T807" s="274">
        <f t="shared" si="339"/>
        <v>6</v>
      </c>
      <c r="U807" s="274"/>
      <c r="V807" s="217" t="str">
        <f t="shared" si="327"/>
        <v>Rp</v>
      </c>
      <c r="W807" s="266">
        <f t="shared" si="328"/>
        <v>115000</v>
      </c>
      <c r="X807" s="217" t="str">
        <f t="shared" si="329"/>
        <v>Rp</v>
      </c>
      <c r="Y807" s="266">
        <f t="shared" si="328"/>
        <v>25000</v>
      </c>
      <c r="Z807" s="217" t="str">
        <f t="shared" si="330"/>
        <v>Rp</v>
      </c>
      <c r="AA807" s="219">
        <f t="shared" si="331"/>
        <v>690000</v>
      </c>
      <c r="AB807" s="222">
        <f>IF(AA807&gt;0,AB805+2,IF(AA807=0," "))</f>
        <v>7</v>
      </c>
      <c r="AC807" s="221"/>
      <c r="AE807" s="211"/>
      <c r="AF807" s="211"/>
      <c r="AI807" s="211">
        <f t="shared" si="332"/>
        <v>0</v>
      </c>
      <c r="AJ807" s="211">
        <f t="shared" si="333"/>
        <v>1</v>
      </c>
      <c r="AK807" s="211">
        <f t="shared" si="334"/>
        <v>1</v>
      </c>
      <c r="AL807" s="211">
        <f t="shared" si="335"/>
        <v>1</v>
      </c>
      <c r="AM807" s="211">
        <f t="shared" si="336"/>
        <v>1</v>
      </c>
      <c r="AN807" s="211">
        <f t="shared" si="337"/>
        <v>1</v>
      </c>
      <c r="AO807" s="211">
        <f t="shared" si="338"/>
        <v>1</v>
      </c>
    </row>
    <row r="808" spans="2:41" ht="24.95" customHeight="1" x14ac:dyDescent="0.25">
      <c r="B808" s="212">
        <f t="shared" si="340"/>
        <v>8</v>
      </c>
      <c r="C808" s="264" t="str">
        <f t="shared" si="325"/>
        <v>ROJALI</v>
      </c>
      <c r="D808" s="213"/>
      <c r="E808" s="265" t="str">
        <f t="shared" si="326"/>
        <v>C</v>
      </c>
      <c r="F808" s="215" t="s">
        <v>36</v>
      </c>
      <c r="G808" s="215"/>
      <c r="H808" s="215" t="s">
        <v>37</v>
      </c>
      <c r="I808" s="215"/>
      <c r="J808" s="215" t="s">
        <v>37</v>
      </c>
      <c r="K808" s="215"/>
      <c r="L808" s="215" t="s">
        <v>37</v>
      </c>
      <c r="M808" s="215"/>
      <c r="N808" s="215" t="s">
        <v>36</v>
      </c>
      <c r="O808" s="215"/>
      <c r="P808" s="215" t="s">
        <v>37</v>
      </c>
      <c r="Q808" s="215"/>
      <c r="R808" s="215" t="s">
        <v>37</v>
      </c>
      <c r="S808" s="356"/>
      <c r="T808" s="274">
        <f t="shared" si="339"/>
        <v>5</v>
      </c>
      <c r="U808" s="274"/>
      <c r="V808" s="217" t="str">
        <f t="shared" si="327"/>
        <v>Rp</v>
      </c>
      <c r="W808" s="266">
        <f t="shared" si="328"/>
        <v>115000</v>
      </c>
      <c r="X808" s="217" t="str">
        <f t="shared" si="329"/>
        <v>Rp</v>
      </c>
      <c r="Y808" s="266">
        <f t="shared" si="328"/>
        <v>25000</v>
      </c>
      <c r="Z808" s="217" t="str">
        <f t="shared" si="330"/>
        <v>Rp</v>
      </c>
      <c r="AA808" s="219">
        <f t="shared" si="331"/>
        <v>575000</v>
      </c>
      <c r="AB808" s="222"/>
      <c r="AC808" s="223">
        <f>IF(AA808&gt;0,AC806+2,IF(AD808=0," "))</f>
        <v>8</v>
      </c>
      <c r="AE808" s="211"/>
      <c r="AF808" s="211"/>
      <c r="AI808" s="211">
        <f t="shared" si="332"/>
        <v>0</v>
      </c>
      <c r="AJ808" s="211">
        <f t="shared" si="333"/>
        <v>1</v>
      </c>
      <c r="AK808" s="211">
        <f t="shared" si="334"/>
        <v>1</v>
      </c>
      <c r="AL808" s="211">
        <f t="shared" si="335"/>
        <v>1</v>
      </c>
      <c r="AM808" s="211">
        <f t="shared" si="336"/>
        <v>0</v>
      </c>
      <c r="AN808" s="211">
        <f t="shared" si="337"/>
        <v>1</v>
      </c>
      <c r="AO808" s="211">
        <f t="shared" si="338"/>
        <v>1</v>
      </c>
    </row>
    <row r="809" spans="2:41" ht="24.95" customHeight="1" x14ac:dyDescent="0.25">
      <c r="B809" s="212">
        <f t="shared" si="340"/>
        <v>9</v>
      </c>
      <c r="C809" s="264">
        <f t="shared" si="325"/>
        <v>0</v>
      </c>
      <c r="D809" s="213"/>
      <c r="E809" s="265">
        <f t="shared" si="326"/>
        <v>0</v>
      </c>
      <c r="F809" s="215" t="s">
        <v>36</v>
      </c>
      <c r="G809" s="215"/>
      <c r="H809" s="215" t="s">
        <v>37</v>
      </c>
      <c r="I809" s="215"/>
      <c r="J809" s="215" t="s">
        <v>37</v>
      </c>
      <c r="K809" s="215"/>
      <c r="L809" s="215" t="s">
        <v>37</v>
      </c>
      <c r="M809" s="215"/>
      <c r="N809" s="215" t="s">
        <v>37</v>
      </c>
      <c r="O809" s="215"/>
      <c r="P809" s="215" t="s">
        <v>37</v>
      </c>
      <c r="Q809" s="215"/>
      <c r="R809" s="215" t="s">
        <v>37</v>
      </c>
      <c r="S809" s="356"/>
      <c r="T809" s="274">
        <f t="shared" si="339"/>
        <v>6</v>
      </c>
      <c r="U809" s="274"/>
      <c r="V809" s="217" t="str">
        <f t="shared" si="327"/>
        <v xml:space="preserve"> </v>
      </c>
      <c r="W809" s="266">
        <f t="shared" si="328"/>
        <v>0</v>
      </c>
      <c r="X809" s="217" t="str">
        <f t="shared" si="329"/>
        <v>Rp</v>
      </c>
      <c r="Y809" s="266">
        <f t="shared" si="328"/>
        <v>25000</v>
      </c>
      <c r="Z809" s="217" t="str">
        <f t="shared" si="330"/>
        <v xml:space="preserve"> </v>
      </c>
      <c r="AA809" s="219">
        <f t="shared" si="331"/>
        <v>0</v>
      </c>
      <c r="AB809" s="222" t="str">
        <f>IF(AA809&gt;0,AB807+2,IF(AA809=0," "))</f>
        <v xml:space="preserve"> </v>
      </c>
      <c r="AC809" s="221"/>
      <c r="AE809" s="211"/>
      <c r="AF809" s="211"/>
      <c r="AI809" s="211">
        <f t="shared" si="332"/>
        <v>0</v>
      </c>
      <c r="AJ809" s="211">
        <f t="shared" si="333"/>
        <v>1</v>
      </c>
      <c r="AK809" s="211">
        <f t="shared" si="334"/>
        <v>1</v>
      </c>
      <c r="AL809" s="211">
        <f t="shared" si="335"/>
        <v>1</v>
      </c>
      <c r="AM809" s="211">
        <f t="shared" si="336"/>
        <v>1</v>
      </c>
      <c r="AN809" s="211">
        <f t="shared" si="337"/>
        <v>1</v>
      </c>
      <c r="AO809" s="211">
        <f t="shared" si="338"/>
        <v>1</v>
      </c>
    </row>
    <row r="810" spans="2:41" ht="24.95" customHeight="1" x14ac:dyDescent="0.25">
      <c r="B810" s="212">
        <f t="shared" si="340"/>
        <v>10</v>
      </c>
      <c r="C810" s="264">
        <f t="shared" si="325"/>
        <v>0</v>
      </c>
      <c r="D810" s="213"/>
      <c r="E810" s="265">
        <f t="shared" si="326"/>
        <v>0</v>
      </c>
      <c r="F810" s="215" t="s">
        <v>36</v>
      </c>
      <c r="G810" s="215"/>
      <c r="H810" s="215" t="s">
        <v>37</v>
      </c>
      <c r="I810" s="215"/>
      <c r="J810" s="215" t="s">
        <v>37</v>
      </c>
      <c r="K810" s="215"/>
      <c r="L810" s="215" t="s">
        <v>37</v>
      </c>
      <c r="M810" s="215"/>
      <c r="N810" s="215" t="s">
        <v>37</v>
      </c>
      <c r="O810" s="215"/>
      <c r="P810" s="215" t="s">
        <v>37</v>
      </c>
      <c r="Q810" s="215"/>
      <c r="R810" s="215" t="s">
        <v>37</v>
      </c>
      <c r="S810" s="356"/>
      <c r="T810" s="274">
        <f t="shared" si="339"/>
        <v>6</v>
      </c>
      <c r="U810" s="274"/>
      <c r="V810" s="217" t="str">
        <f t="shared" si="327"/>
        <v xml:space="preserve"> </v>
      </c>
      <c r="W810" s="266">
        <f t="shared" si="328"/>
        <v>0</v>
      </c>
      <c r="X810" s="217" t="str">
        <f t="shared" si="329"/>
        <v>Rp</v>
      </c>
      <c r="Y810" s="266">
        <f t="shared" si="328"/>
        <v>25000</v>
      </c>
      <c r="Z810" s="217" t="str">
        <f t="shared" si="330"/>
        <v xml:space="preserve"> </v>
      </c>
      <c r="AA810" s="219">
        <f t="shared" si="331"/>
        <v>0</v>
      </c>
      <c r="AB810" s="222"/>
      <c r="AC810" s="223" t="str">
        <f>IF(AA810&gt;0,AC808+2,IF(AD810=0," "))</f>
        <v xml:space="preserve"> </v>
      </c>
      <c r="AE810" s="211"/>
      <c r="AF810" s="211"/>
      <c r="AI810" s="211">
        <f t="shared" si="332"/>
        <v>0</v>
      </c>
      <c r="AJ810" s="211">
        <f t="shared" si="333"/>
        <v>1</v>
      </c>
      <c r="AK810" s="211">
        <f t="shared" si="334"/>
        <v>1</v>
      </c>
      <c r="AL810" s="211">
        <f t="shared" si="335"/>
        <v>1</v>
      </c>
      <c r="AM810" s="211">
        <f t="shared" si="336"/>
        <v>1</v>
      </c>
      <c r="AN810" s="211">
        <f t="shared" si="337"/>
        <v>1</v>
      </c>
      <c r="AO810" s="211">
        <f t="shared" si="338"/>
        <v>1</v>
      </c>
    </row>
    <row r="811" spans="2:41" ht="24.95" customHeight="1" x14ac:dyDescent="0.25">
      <c r="B811" s="212">
        <f t="shared" si="340"/>
        <v>11</v>
      </c>
      <c r="C811" s="264">
        <f t="shared" si="325"/>
        <v>0</v>
      </c>
      <c r="D811" s="213"/>
      <c r="E811" s="265">
        <f t="shared" si="326"/>
        <v>0</v>
      </c>
      <c r="F811" s="215" t="s">
        <v>36</v>
      </c>
      <c r="G811" s="215"/>
      <c r="H811" s="215" t="s">
        <v>37</v>
      </c>
      <c r="I811" s="215"/>
      <c r="J811" s="215" t="s">
        <v>37</v>
      </c>
      <c r="K811" s="215"/>
      <c r="L811" s="215" t="s">
        <v>37</v>
      </c>
      <c r="M811" s="215"/>
      <c r="N811" s="215" t="s">
        <v>37</v>
      </c>
      <c r="O811" s="215"/>
      <c r="P811" s="215" t="s">
        <v>37</v>
      </c>
      <c r="Q811" s="215"/>
      <c r="R811" s="215" t="s">
        <v>37</v>
      </c>
      <c r="S811" s="356"/>
      <c r="T811" s="274">
        <f t="shared" si="339"/>
        <v>6</v>
      </c>
      <c r="U811" s="274"/>
      <c r="V811" s="217" t="str">
        <f t="shared" si="327"/>
        <v xml:space="preserve"> </v>
      </c>
      <c r="W811" s="266">
        <f t="shared" si="328"/>
        <v>0</v>
      </c>
      <c r="X811" s="217" t="str">
        <f t="shared" si="329"/>
        <v xml:space="preserve"> </v>
      </c>
      <c r="Y811" s="266">
        <f t="shared" si="328"/>
        <v>0</v>
      </c>
      <c r="Z811" s="217" t="str">
        <f t="shared" si="330"/>
        <v xml:space="preserve"> </v>
      </c>
      <c r="AA811" s="219">
        <f t="shared" si="331"/>
        <v>0</v>
      </c>
      <c r="AB811" s="222" t="str">
        <f>IF(AA811&gt;0,AB809+2,IF(AA811=0," "))</f>
        <v xml:space="preserve"> </v>
      </c>
      <c r="AC811" s="221"/>
      <c r="AE811" s="211"/>
      <c r="AF811" s="211"/>
      <c r="AI811" s="211">
        <f t="shared" si="332"/>
        <v>0</v>
      </c>
      <c r="AJ811" s="211">
        <f t="shared" si="333"/>
        <v>1</v>
      </c>
      <c r="AK811" s="211">
        <f t="shared" si="334"/>
        <v>1</v>
      </c>
      <c r="AL811" s="211">
        <f t="shared" si="335"/>
        <v>1</v>
      </c>
      <c r="AM811" s="211">
        <f t="shared" si="336"/>
        <v>1</v>
      </c>
      <c r="AN811" s="211">
        <f t="shared" si="337"/>
        <v>1</v>
      </c>
      <c r="AO811" s="211">
        <f t="shared" si="338"/>
        <v>1</v>
      </c>
    </row>
    <row r="812" spans="2:41" ht="24.95" customHeight="1" x14ac:dyDescent="0.25">
      <c r="B812" s="212">
        <f t="shared" si="340"/>
        <v>12</v>
      </c>
      <c r="C812" s="264">
        <f t="shared" si="325"/>
        <v>0</v>
      </c>
      <c r="D812" s="213"/>
      <c r="E812" s="265">
        <f t="shared" si="326"/>
        <v>0</v>
      </c>
      <c r="F812" s="215" t="s">
        <v>36</v>
      </c>
      <c r="G812" s="215"/>
      <c r="H812" s="215" t="s">
        <v>37</v>
      </c>
      <c r="I812" s="215"/>
      <c r="J812" s="215" t="s">
        <v>37</v>
      </c>
      <c r="K812" s="215"/>
      <c r="L812" s="215" t="s">
        <v>37</v>
      </c>
      <c r="M812" s="215"/>
      <c r="N812" s="215" t="s">
        <v>37</v>
      </c>
      <c r="O812" s="215"/>
      <c r="P812" s="215" t="s">
        <v>36</v>
      </c>
      <c r="Q812" s="215"/>
      <c r="R812" s="215" t="s">
        <v>37</v>
      </c>
      <c r="S812" s="356"/>
      <c r="T812" s="274">
        <f t="shared" si="339"/>
        <v>5</v>
      </c>
      <c r="U812" s="274"/>
      <c r="V812" s="217" t="str">
        <f t="shared" si="327"/>
        <v xml:space="preserve"> </v>
      </c>
      <c r="W812" s="266">
        <f t="shared" si="328"/>
        <v>0</v>
      </c>
      <c r="X812" s="217" t="str">
        <f t="shared" si="329"/>
        <v xml:space="preserve"> </v>
      </c>
      <c r="Y812" s="266">
        <f t="shared" si="328"/>
        <v>0</v>
      </c>
      <c r="Z812" s="217" t="str">
        <f t="shared" si="330"/>
        <v xml:space="preserve"> </v>
      </c>
      <c r="AA812" s="219">
        <f t="shared" si="331"/>
        <v>0</v>
      </c>
      <c r="AB812" s="222"/>
      <c r="AC812" s="223" t="str">
        <f>IF(AA812&gt;0,AC810+2,IF(AD812=0," "))</f>
        <v xml:space="preserve"> </v>
      </c>
      <c r="AE812" s="211"/>
      <c r="AF812" s="211"/>
      <c r="AI812" s="211">
        <f t="shared" si="332"/>
        <v>0</v>
      </c>
      <c r="AJ812" s="211">
        <f t="shared" si="333"/>
        <v>1</v>
      </c>
      <c r="AK812" s="211">
        <f t="shared" si="334"/>
        <v>1</v>
      </c>
      <c r="AL812" s="211">
        <f t="shared" si="335"/>
        <v>1</v>
      </c>
      <c r="AM812" s="211">
        <f t="shared" si="336"/>
        <v>1</v>
      </c>
      <c r="AN812" s="211">
        <f t="shared" si="337"/>
        <v>0</v>
      </c>
      <c r="AO812" s="211">
        <f t="shared" si="338"/>
        <v>1</v>
      </c>
    </row>
    <row r="813" spans="2:41" ht="24.95" customHeight="1" x14ac:dyDescent="0.25">
      <c r="B813" s="212">
        <f t="shared" si="340"/>
        <v>13</v>
      </c>
      <c r="C813" s="264">
        <f t="shared" si="325"/>
        <v>0</v>
      </c>
      <c r="D813" s="213"/>
      <c r="E813" s="265">
        <f t="shared" si="326"/>
        <v>0</v>
      </c>
      <c r="F813" s="215"/>
      <c r="G813" s="215"/>
      <c r="H813" s="215"/>
      <c r="I813" s="215"/>
      <c r="J813" s="215"/>
      <c r="K813" s="215"/>
      <c r="L813" s="215"/>
      <c r="M813" s="215"/>
      <c r="N813" s="215"/>
      <c r="O813" s="215"/>
      <c r="P813" s="215"/>
      <c r="Q813" s="215"/>
      <c r="R813" s="215"/>
      <c r="S813" s="356"/>
      <c r="T813" s="274">
        <f t="shared" si="339"/>
        <v>0</v>
      </c>
      <c r="U813" s="274"/>
      <c r="V813" s="217" t="str">
        <f t="shared" si="327"/>
        <v xml:space="preserve"> </v>
      </c>
      <c r="W813" s="266">
        <f t="shared" si="328"/>
        <v>0</v>
      </c>
      <c r="X813" s="217" t="str">
        <f t="shared" si="329"/>
        <v xml:space="preserve"> </v>
      </c>
      <c r="Y813" s="266">
        <f t="shared" si="328"/>
        <v>0</v>
      </c>
      <c r="Z813" s="217" t="str">
        <f t="shared" si="330"/>
        <v xml:space="preserve"> </v>
      </c>
      <c r="AA813" s="219">
        <f t="shared" si="331"/>
        <v>0</v>
      </c>
      <c r="AB813" s="222" t="str">
        <f>IF(AA813&gt;0,AB811+2,IF(AA813=0," "))</f>
        <v xml:space="preserve"> </v>
      </c>
      <c r="AC813" s="221"/>
      <c r="AE813" s="211"/>
      <c r="AF813" s="211"/>
      <c r="AI813" s="211" t="b">
        <f t="shared" si="332"/>
        <v>0</v>
      </c>
      <c r="AJ813" s="211" t="b">
        <f t="shared" si="333"/>
        <v>0</v>
      </c>
      <c r="AK813" s="211" t="b">
        <f t="shared" si="334"/>
        <v>0</v>
      </c>
      <c r="AL813" s="211" t="b">
        <f t="shared" si="335"/>
        <v>0</v>
      </c>
      <c r="AM813" s="211" t="b">
        <f t="shared" si="336"/>
        <v>0</v>
      </c>
      <c r="AN813" s="211" t="b">
        <f t="shared" si="337"/>
        <v>0</v>
      </c>
      <c r="AO813" s="211" t="b">
        <f t="shared" si="338"/>
        <v>0</v>
      </c>
    </row>
    <row r="814" spans="2:41" ht="24.95" customHeight="1" x14ac:dyDescent="0.25">
      <c r="B814" s="212">
        <f t="shared" si="340"/>
        <v>14</v>
      </c>
      <c r="C814" s="264" t="str">
        <f t="shared" si="325"/>
        <v xml:space="preserve"> </v>
      </c>
      <c r="D814" s="213"/>
      <c r="E814" s="265" t="str">
        <f t="shared" si="326"/>
        <v xml:space="preserve"> </v>
      </c>
      <c r="F814" s="215"/>
      <c r="G814" s="215"/>
      <c r="H814" s="215"/>
      <c r="I814" s="215"/>
      <c r="J814" s="215"/>
      <c r="K814" s="215"/>
      <c r="L814" s="215"/>
      <c r="M814" s="215"/>
      <c r="N814" s="215"/>
      <c r="O814" s="215"/>
      <c r="P814" s="215"/>
      <c r="Q814" s="215"/>
      <c r="R814" s="215"/>
      <c r="S814" s="356"/>
      <c r="T814" s="274">
        <f t="shared" si="339"/>
        <v>0</v>
      </c>
      <c r="U814" s="274"/>
      <c r="V814" s="217" t="str">
        <f t="shared" si="327"/>
        <v>Rp</v>
      </c>
      <c r="W814" s="266" t="str">
        <f t="shared" si="328"/>
        <v xml:space="preserve"> </v>
      </c>
      <c r="X814" s="217" t="str">
        <f t="shared" si="329"/>
        <v>Rp</v>
      </c>
      <c r="Y814" s="266" t="str">
        <f t="shared" si="328"/>
        <v xml:space="preserve"> </v>
      </c>
      <c r="Z814" s="217" t="e">
        <f t="shared" si="330"/>
        <v>#VALUE!</v>
      </c>
      <c r="AA814" s="219" t="e">
        <f t="shared" si="331"/>
        <v>#VALUE!</v>
      </c>
      <c r="AB814" s="222"/>
      <c r="AC814" s="223" t="e">
        <f>IF(AA814&gt;0,AC812+2,IF(AD814=0," "))</f>
        <v>#VALUE!</v>
      </c>
      <c r="AE814" s="211"/>
      <c r="AF814" s="211"/>
      <c r="AI814" s="211" t="b">
        <f t="shared" si="332"/>
        <v>0</v>
      </c>
      <c r="AJ814" s="211" t="b">
        <f t="shared" si="333"/>
        <v>0</v>
      </c>
      <c r="AK814" s="211" t="b">
        <f t="shared" si="334"/>
        <v>0</v>
      </c>
      <c r="AL814" s="211" t="b">
        <f t="shared" si="335"/>
        <v>0</v>
      </c>
      <c r="AM814" s="211" t="b">
        <f t="shared" si="336"/>
        <v>0</v>
      </c>
      <c r="AN814" s="211" t="b">
        <f t="shared" si="337"/>
        <v>0</v>
      </c>
      <c r="AO814" s="211" t="b">
        <f t="shared" si="338"/>
        <v>0</v>
      </c>
    </row>
    <row r="815" spans="2:41" ht="24.95" customHeight="1" x14ac:dyDescent="0.25">
      <c r="B815" s="212">
        <f t="shared" si="340"/>
        <v>15</v>
      </c>
      <c r="C815" s="264" t="str">
        <f t="shared" si="325"/>
        <v xml:space="preserve"> </v>
      </c>
      <c r="D815" s="213"/>
      <c r="E815" s="265" t="str">
        <f t="shared" si="326"/>
        <v xml:space="preserve"> </v>
      </c>
      <c r="F815" s="215"/>
      <c r="G815" s="215"/>
      <c r="H815" s="215"/>
      <c r="I815" s="215"/>
      <c r="J815" s="215"/>
      <c r="K815" s="215"/>
      <c r="L815" s="215"/>
      <c r="M815" s="215"/>
      <c r="N815" s="215"/>
      <c r="O815" s="215"/>
      <c r="P815" s="215"/>
      <c r="Q815" s="215"/>
      <c r="R815" s="215"/>
      <c r="S815" s="356"/>
      <c r="T815" s="274">
        <f t="shared" si="339"/>
        <v>0</v>
      </c>
      <c r="U815" s="274"/>
      <c r="V815" s="217" t="str">
        <f t="shared" si="327"/>
        <v>Rp</v>
      </c>
      <c r="W815" s="266" t="str">
        <f t="shared" si="328"/>
        <v xml:space="preserve"> </v>
      </c>
      <c r="X815" s="217" t="str">
        <f t="shared" si="329"/>
        <v>Rp</v>
      </c>
      <c r="Y815" s="266" t="str">
        <f t="shared" si="328"/>
        <v xml:space="preserve"> </v>
      </c>
      <c r="Z815" s="217" t="e">
        <f t="shared" si="330"/>
        <v>#VALUE!</v>
      </c>
      <c r="AA815" s="219" t="e">
        <f t="shared" si="331"/>
        <v>#VALUE!</v>
      </c>
      <c r="AB815" s="222" t="e">
        <f>IF(AA815&gt;0,AB813+2,IF(AA815=0," "))</f>
        <v>#VALUE!</v>
      </c>
      <c r="AC815" s="221"/>
      <c r="AE815" s="211"/>
      <c r="AF815" s="211"/>
      <c r="AI815" s="211" t="b">
        <f t="shared" si="332"/>
        <v>0</v>
      </c>
      <c r="AJ815" s="211" t="b">
        <f t="shared" si="333"/>
        <v>0</v>
      </c>
      <c r="AK815" s="211" t="b">
        <f t="shared" si="334"/>
        <v>0</v>
      </c>
      <c r="AL815" s="211" t="b">
        <f t="shared" si="335"/>
        <v>0</v>
      </c>
      <c r="AM815" s="211" t="b">
        <f t="shared" si="336"/>
        <v>0</v>
      </c>
      <c r="AN815" s="211" t="b">
        <f t="shared" si="337"/>
        <v>0</v>
      </c>
      <c r="AO815" s="211" t="b">
        <f t="shared" si="338"/>
        <v>0</v>
      </c>
    </row>
    <row r="816" spans="2:41" ht="24.95" customHeight="1" x14ac:dyDescent="0.25">
      <c r="B816" s="212">
        <f t="shared" si="340"/>
        <v>16</v>
      </c>
      <c r="C816" s="264" t="str">
        <f t="shared" si="325"/>
        <v xml:space="preserve"> </v>
      </c>
      <c r="D816" s="213"/>
      <c r="E816" s="265" t="str">
        <f t="shared" si="326"/>
        <v xml:space="preserve"> </v>
      </c>
      <c r="F816" s="215"/>
      <c r="G816" s="215"/>
      <c r="H816" s="215"/>
      <c r="I816" s="215"/>
      <c r="J816" s="215"/>
      <c r="K816" s="215"/>
      <c r="L816" s="215"/>
      <c r="M816" s="215"/>
      <c r="N816" s="215"/>
      <c r="O816" s="215"/>
      <c r="P816" s="215"/>
      <c r="Q816" s="215"/>
      <c r="R816" s="215"/>
      <c r="S816" s="356"/>
      <c r="T816" s="274">
        <f t="shared" si="339"/>
        <v>0</v>
      </c>
      <c r="U816" s="274"/>
      <c r="V816" s="217" t="str">
        <f t="shared" si="327"/>
        <v>Rp</v>
      </c>
      <c r="W816" s="266" t="str">
        <f t="shared" si="328"/>
        <v xml:space="preserve"> </v>
      </c>
      <c r="X816" s="217" t="str">
        <f t="shared" si="329"/>
        <v>Rp</v>
      </c>
      <c r="Y816" s="266" t="str">
        <f t="shared" si="328"/>
        <v xml:space="preserve"> </v>
      </c>
      <c r="Z816" s="217" t="e">
        <f t="shared" si="330"/>
        <v>#VALUE!</v>
      </c>
      <c r="AA816" s="219" t="e">
        <f t="shared" si="331"/>
        <v>#VALUE!</v>
      </c>
      <c r="AB816" s="222"/>
      <c r="AC816" s="223" t="e">
        <f>IF(AA816&gt;0,AC814+2,IF(AD816=0," "))</f>
        <v>#VALUE!</v>
      </c>
      <c r="AE816" s="211"/>
      <c r="AF816" s="211"/>
      <c r="AI816" s="211" t="b">
        <f t="shared" si="332"/>
        <v>0</v>
      </c>
      <c r="AJ816" s="211" t="b">
        <f t="shared" si="333"/>
        <v>0</v>
      </c>
      <c r="AK816" s="211" t="b">
        <f t="shared" si="334"/>
        <v>0</v>
      </c>
      <c r="AL816" s="211" t="b">
        <f t="shared" si="335"/>
        <v>0</v>
      </c>
      <c r="AM816" s="211" t="b">
        <f t="shared" si="336"/>
        <v>0</v>
      </c>
      <c r="AN816" s="211" t="b">
        <f t="shared" si="337"/>
        <v>0</v>
      </c>
      <c r="AO816" s="211" t="b">
        <f t="shared" si="338"/>
        <v>0</v>
      </c>
    </row>
    <row r="817" spans="1:41" ht="24.95" customHeight="1" x14ac:dyDescent="0.25">
      <c r="B817" s="212">
        <f t="shared" si="340"/>
        <v>17</v>
      </c>
      <c r="C817" s="264" t="str">
        <f t="shared" si="325"/>
        <v xml:space="preserve"> </v>
      </c>
      <c r="D817" s="213"/>
      <c r="E817" s="265" t="str">
        <f t="shared" si="326"/>
        <v xml:space="preserve"> </v>
      </c>
      <c r="F817" s="215"/>
      <c r="G817" s="215"/>
      <c r="H817" s="215"/>
      <c r="I817" s="215"/>
      <c r="J817" s="215"/>
      <c r="K817" s="215"/>
      <c r="L817" s="215"/>
      <c r="M817" s="215"/>
      <c r="N817" s="215"/>
      <c r="O817" s="215"/>
      <c r="P817" s="215"/>
      <c r="Q817" s="215"/>
      <c r="R817" s="215"/>
      <c r="S817" s="356"/>
      <c r="T817" s="274">
        <f t="shared" si="339"/>
        <v>0</v>
      </c>
      <c r="U817" s="274"/>
      <c r="V817" s="217" t="str">
        <f t="shared" si="327"/>
        <v>Rp</v>
      </c>
      <c r="W817" s="266" t="str">
        <f t="shared" ref="W817:Y820" si="341">IFERROR(W770," ")</f>
        <v xml:space="preserve"> </v>
      </c>
      <c r="X817" s="217" t="str">
        <f t="shared" si="329"/>
        <v>Rp</v>
      </c>
      <c r="Y817" s="266" t="str">
        <f t="shared" si="341"/>
        <v xml:space="preserve"> </v>
      </c>
      <c r="Z817" s="217" t="e">
        <f t="shared" si="330"/>
        <v>#VALUE!</v>
      </c>
      <c r="AA817" s="219" t="e">
        <f t="shared" si="331"/>
        <v>#VALUE!</v>
      </c>
      <c r="AB817" s="222" t="e">
        <f>IF(AA817&gt;0,AB815+2,IF(AA817=0," "))</f>
        <v>#VALUE!</v>
      </c>
      <c r="AC817" s="221"/>
      <c r="AE817" s="211"/>
      <c r="AF817" s="211"/>
      <c r="AI817" s="211" t="b">
        <f t="shared" si="332"/>
        <v>0</v>
      </c>
      <c r="AJ817" s="211" t="b">
        <f t="shared" si="333"/>
        <v>0</v>
      </c>
      <c r="AK817" s="211" t="b">
        <f t="shared" si="334"/>
        <v>0</v>
      </c>
      <c r="AL817" s="211" t="b">
        <f t="shared" si="335"/>
        <v>0</v>
      </c>
      <c r="AM817" s="211" t="b">
        <f t="shared" si="336"/>
        <v>0</v>
      </c>
      <c r="AN817" s="211" t="b">
        <f t="shared" si="337"/>
        <v>0</v>
      </c>
      <c r="AO817" s="211" t="b">
        <f t="shared" si="338"/>
        <v>0</v>
      </c>
    </row>
    <row r="818" spans="1:41" ht="24.95" customHeight="1" x14ac:dyDescent="0.2">
      <c r="B818" s="212">
        <f t="shared" si="340"/>
        <v>18</v>
      </c>
      <c r="C818" s="264" t="str">
        <f t="shared" si="325"/>
        <v xml:space="preserve"> </v>
      </c>
      <c r="D818" s="213"/>
      <c r="E818" s="265" t="str">
        <f t="shared" si="326"/>
        <v xml:space="preserve"> </v>
      </c>
      <c r="F818" s="357"/>
      <c r="G818" s="357"/>
      <c r="H818" s="358"/>
      <c r="I818" s="358"/>
      <c r="J818" s="359"/>
      <c r="K818" s="359"/>
      <c r="L818" s="359"/>
      <c r="M818" s="359"/>
      <c r="N818" s="360"/>
      <c r="O818" s="360"/>
      <c r="P818" s="360"/>
      <c r="Q818" s="360"/>
      <c r="R818" s="360"/>
      <c r="S818" s="361"/>
      <c r="T818" s="274">
        <f t="shared" si="339"/>
        <v>0</v>
      </c>
      <c r="U818" s="274"/>
      <c r="V818" s="217" t="str">
        <f t="shared" si="327"/>
        <v>Rp</v>
      </c>
      <c r="W818" s="266" t="str">
        <f t="shared" si="341"/>
        <v xml:space="preserve"> </v>
      </c>
      <c r="X818" s="217" t="str">
        <f t="shared" si="329"/>
        <v>Rp</v>
      </c>
      <c r="Y818" s="266" t="str">
        <f t="shared" si="341"/>
        <v xml:space="preserve"> </v>
      </c>
      <c r="Z818" s="217" t="e">
        <f t="shared" si="330"/>
        <v>#VALUE!</v>
      </c>
      <c r="AA818" s="219" t="e">
        <f t="shared" si="331"/>
        <v>#VALUE!</v>
      </c>
      <c r="AB818" s="222"/>
      <c r="AC818" s="223" t="e">
        <f>IF(AA818&gt;0,AC816+2,IF(AD818=0," "))</f>
        <v>#VALUE!</v>
      </c>
      <c r="AE818" s="211"/>
      <c r="AF818" s="211"/>
      <c r="AI818" s="211" t="b">
        <f t="shared" si="332"/>
        <v>0</v>
      </c>
      <c r="AJ818" s="211" t="b">
        <f t="shared" si="333"/>
        <v>0</v>
      </c>
      <c r="AK818" s="211" t="b">
        <f t="shared" si="334"/>
        <v>0</v>
      </c>
      <c r="AL818" s="211" t="b">
        <f t="shared" si="335"/>
        <v>0</v>
      </c>
      <c r="AM818" s="211" t="b">
        <f t="shared" si="336"/>
        <v>0</v>
      </c>
      <c r="AN818" s="211" t="b">
        <f t="shared" si="337"/>
        <v>0</v>
      </c>
      <c r="AO818" s="211" t="b">
        <f t="shared" si="338"/>
        <v>0</v>
      </c>
    </row>
    <row r="819" spans="1:41" ht="24.95" customHeight="1" x14ac:dyDescent="0.2">
      <c r="B819" s="212">
        <f t="shared" si="340"/>
        <v>19</v>
      </c>
      <c r="C819" s="264" t="str">
        <f t="shared" si="325"/>
        <v xml:space="preserve"> </v>
      </c>
      <c r="D819" s="213"/>
      <c r="E819" s="265" t="str">
        <f t="shared" si="326"/>
        <v xml:space="preserve"> </v>
      </c>
      <c r="F819" s="357"/>
      <c r="G819" s="357"/>
      <c r="H819" s="358"/>
      <c r="I819" s="358"/>
      <c r="J819" s="359"/>
      <c r="K819" s="359"/>
      <c r="L819" s="359"/>
      <c r="M819" s="359"/>
      <c r="N819" s="360"/>
      <c r="O819" s="360"/>
      <c r="P819" s="360"/>
      <c r="Q819" s="360"/>
      <c r="R819" s="360"/>
      <c r="S819" s="361"/>
      <c r="T819" s="274">
        <f t="shared" si="339"/>
        <v>0</v>
      </c>
      <c r="U819" s="274"/>
      <c r="V819" s="217" t="str">
        <f t="shared" si="327"/>
        <v>Rp</v>
      </c>
      <c r="W819" s="266" t="str">
        <f t="shared" si="341"/>
        <v xml:space="preserve"> </v>
      </c>
      <c r="X819" s="217" t="str">
        <f t="shared" si="329"/>
        <v>Rp</v>
      </c>
      <c r="Y819" s="266" t="str">
        <f t="shared" si="341"/>
        <v xml:space="preserve"> </v>
      </c>
      <c r="Z819" s="217" t="e">
        <f t="shared" si="330"/>
        <v>#VALUE!</v>
      </c>
      <c r="AA819" s="219" t="e">
        <f t="shared" si="331"/>
        <v>#VALUE!</v>
      </c>
      <c r="AB819" s="222" t="e">
        <f>IF(AA819&gt;0,AB817+2,IF(AA819=0," "))</f>
        <v>#VALUE!</v>
      </c>
      <c r="AC819" s="221"/>
      <c r="AE819" s="211"/>
      <c r="AF819" s="211"/>
      <c r="AI819" s="211" t="b">
        <f t="shared" si="332"/>
        <v>0</v>
      </c>
      <c r="AJ819" s="211" t="b">
        <f t="shared" si="333"/>
        <v>0</v>
      </c>
      <c r="AK819" s="211" t="b">
        <f t="shared" si="334"/>
        <v>0</v>
      </c>
      <c r="AL819" s="211" t="b">
        <f t="shared" si="335"/>
        <v>0</v>
      </c>
      <c r="AM819" s="211" t="b">
        <f t="shared" si="336"/>
        <v>0</v>
      </c>
      <c r="AN819" s="211" t="b">
        <f t="shared" si="337"/>
        <v>0</v>
      </c>
      <c r="AO819" s="211" t="b">
        <f t="shared" si="338"/>
        <v>0</v>
      </c>
    </row>
    <row r="820" spans="1:41" ht="24.95" customHeight="1" x14ac:dyDescent="0.2">
      <c r="B820" s="212">
        <f t="shared" si="340"/>
        <v>20</v>
      </c>
      <c r="C820" s="264" t="str">
        <f t="shared" si="325"/>
        <v xml:space="preserve"> </v>
      </c>
      <c r="D820" s="213"/>
      <c r="E820" s="265" t="str">
        <f t="shared" si="326"/>
        <v xml:space="preserve"> </v>
      </c>
      <c r="F820" s="357"/>
      <c r="G820" s="357"/>
      <c r="H820" s="358"/>
      <c r="I820" s="358"/>
      <c r="J820" s="359"/>
      <c r="K820" s="359"/>
      <c r="L820" s="359"/>
      <c r="M820" s="359"/>
      <c r="N820" s="360"/>
      <c r="O820" s="360"/>
      <c r="P820" s="360"/>
      <c r="Q820" s="360"/>
      <c r="R820" s="360"/>
      <c r="S820" s="361"/>
      <c r="T820" s="274">
        <f t="shared" si="339"/>
        <v>0</v>
      </c>
      <c r="U820" s="274"/>
      <c r="V820" s="217" t="str">
        <f t="shared" si="327"/>
        <v>Rp</v>
      </c>
      <c r="W820" s="266" t="str">
        <f t="shared" si="341"/>
        <v xml:space="preserve"> </v>
      </c>
      <c r="X820" s="217" t="str">
        <f t="shared" si="329"/>
        <v>Rp</v>
      </c>
      <c r="Y820" s="266" t="str">
        <f t="shared" si="341"/>
        <v xml:space="preserve"> </v>
      </c>
      <c r="Z820" s="217" t="e">
        <f t="shared" si="330"/>
        <v>#VALUE!</v>
      </c>
      <c r="AA820" s="219" t="e">
        <f t="shared" si="331"/>
        <v>#VALUE!</v>
      </c>
      <c r="AB820" s="222"/>
      <c r="AC820" s="223" t="e">
        <f>IF(AA820&gt;0,AC818+2,IF(AD820=0," "))</f>
        <v>#VALUE!</v>
      </c>
      <c r="AE820" s="211"/>
      <c r="AF820" s="211"/>
      <c r="AI820" s="211" t="b">
        <f t="shared" si="332"/>
        <v>0</v>
      </c>
      <c r="AJ820" s="211" t="b">
        <f t="shared" si="333"/>
        <v>0</v>
      </c>
      <c r="AK820" s="211" t="b">
        <f t="shared" si="334"/>
        <v>0</v>
      </c>
      <c r="AL820" s="211" t="b">
        <f t="shared" si="335"/>
        <v>0</v>
      </c>
      <c r="AM820" s="211" t="b">
        <f t="shared" si="336"/>
        <v>0</v>
      </c>
      <c r="AN820" s="211" t="b">
        <f t="shared" si="337"/>
        <v>0</v>
      </c>
      <c r="AO820" s="211" t="b">
        <f t="shared" si="338"/>
        <v>0</v>
      </c>
    </row>
    <row r="821" spans="1:41" ht="24.95" customHeight="1" thickBot="1" x14ac:dyDescent="0.25">
      <c r="B821" s="233"/>
      <c r="C821" s="257"/>
      <c r="D821" s="235"/>
      <c r="E821" s="236"/>
      <c r="F821" s="237"/>
      <c r="G821" s="237"/>
      <c r="H821" s="238"/>
      <c r="I821" s="238"/>
      <c r="J821" s="239"/>
      <c r="K821" s="239"/>
      <c r="L821" s="239"/>
      <c r="M821" s="239"/>
      <c r="N821" s="240"/>
      <c r="O821" s="240"/>
      <c r="P821" s="240"/>
      <c r="Q821" s="240"/>
      <c r="R821" s="240"/>
      <c r="S821" s="353"/>
      <c r="T821" s="259"/>
      <c r="U821" s="259"/>
      <c r="V821" s="242"/>
      <c r="W821" s="258"/>
      <c r="X821" s="242"/>
      <c r="Y821" s="258"/>
      <c r="Z821" s="244"/>
      <c r="AA821" s="236"/>
      <c r="AB821" s="246"/>
      <c r="AC821" s="247"/>
      <c r="AE821" s="211"/>
      <c r="AF821" s="211"/>
    </row>
    <row r="822" spans="1:41" ht="20.100000000000001" customHeight="1" thickTop="1" thickBot="1" x14ac:dyDescent="0.3">
      <c r="A822" s="179">
        <f>A775+1</f>
        <v>20</v>
      </c>
      <c r="B822" s="248"/>
      <c r="C822" s="249"/>
      <c r="D822" s="249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50" t="s">
        <v>40</v>
      </c>
      <c r="X822" s="249"/>
      <c r="Y822" s="250" t="s">
        <v>40</v>
      </c>
      <c r="Z822" s="249"/>
      <c r="AA822" s="710" t="e">
        <f>SUM(AA801:AA821)</f>
        <v>#VALUE!</v>
      </c>
      <c r="AB822" s="711"/>
      <c r="AC822" s="712"/>
      <c r="AE822" s="226" t="e">
        <f>VLOOKUP(A822,'Rekap Gaji'!$B$12:$P$32,10,FALSE)</f>
        <v>#N/A</v>
      </c>
      <c r="AF822" s="251" t="e">
        <f>AE822-AA822</f>
        <v>#N/A</v>
      </c>
    </row>
    <row r="823" spans="1:41" ht="11.25" customHeight="1" x14ac:dyDescent="0.25"/>
    <row r="824" spans="1:41" ht="16.5" customHeight="1" x14ac:dyDescent="0.25">
      <c r="B824" s="195" t="s">
        <v>41</v>
      </c>
      <c r="C824" s="140" t="s">
        <v>42</v>
      </c>
    </row>
    <row r="825" spans="1:41" ht="14.25" x14ac:dyDescent="0.25">
      <c r="H825" s="183"/>
      <c r="I825" s="183"/>
      <c r="J825" s="182"/>
      <c r="K825" s="182"/>
      <c r="T825" s="141"/>
      <c r="U825" s="141"/>
      <c r="V825" s="141"/>
      <c r="X825" s="141"/>
      <c r="AA825" s="140" t="str">
        <f>'BKU 1'!$I$25</f>
        <v>NGANTANG</v>
      </c>
      <c r="AB825" s="713" t="str">
        <f>IFERROR(VLOOKUP(E795,'Rekap Gaji'!$B$12:$P$32,7,FALSE),"-")</f>
        <v>-</v>
      </c>
      <c r="AC825" s="713"/>
      <c r="AD825" s="252"/>
      <c r="AE825" s="252"/>
    </row>
    <row r="826" spans="1:41" ht="15.75" x14ac:dyDescent="0.25">
      <c r="C826" s="140" t="s">
        <v>43</v>
      </c>
      <c r="F826" s="253"/>
      <c r="G826" s="253"/>
      <c r="H826" s="254"/>
      <c r="I826" s="254"/>
      <c r="J826" s="255"/>
      <c r="K826" s="255"/>
      <c r="L826" s="256"/>
      <c r="M826" s="256"/>
      <c r="N826" s="225" t="s">
        <v>44</v>
      </c>
      <c r="O826" s="225"/>
      <c r="P826" s="253"/>
      <c r="Q826" s="253"/>
      <c r="T826" s="141"/>
      <c r="U826" s="141"/>
      <c r="V826" s="141"/>
      <c r="X826" s="141"/>
      <c r="AA826" s="140" t="str">
        <f>'BKU 1'!$L$354</f>
        <v>Dibuat Oleh ;</v>
      </c>
      <c r="AB826" s="141"/>
    </row>
    <row r="827" spans="1:41" ht="14.25" x14ac:dyDescent="0.25">
      <c r="C827" s="140" t="str">
        <f>'BKU 1'!$C$355</f>
        <v>Kepala Sekolah SDN 1 SIDODADI</v>
      </c>
      <c r="F827" s="187"/>
      <c r="G827" s="187"/>
      <c r="H827" s="224"/>
      <c r="I827" s="224"/>
      <c r="J827" s="182"/>
      <c r="K827" s="182"/>
      <c r="L827" s="183"/>
      <c r="M827" s="183"/>
      <c r="N827" s="140" t="s">
        <v>45</v>
      </c>
      <c r="P827" s="187"/>
      <c r="Q827" s="187"/>
      <c r="AA827" s="140" t="str">
        <f>'BKU 1'!$L$355</f>
        <v>Bendahara Pembangunan</v>
      </c>
      <c r="AB827" s="141"/>
    </row>
    <row r="828" spans="1:41" ht="14.25" x14ac:dyDescent="0.25">
      <c r="F828" s="187"/>
      <c r="G828" s="187"/>
      <c r="H828" s="224"/>
      <c r="I828" s="224"/>
      <c r="J828" s="182"/>
      <c r="K828" s="182"/>
      <c r="L828" s="183"/>
      <c r="M828" s="183"/>
      <c r="P828" s="187"/>
      <c r="Q828" s="187"/>
      <c r="AA828" s="140"/>
      <c r="AB828" s="141"/>
    </row>
    <row r="829" spans="1:41" ht="14.25" x14ac:dyDescent="0.25">
      <c r="F829" s="187"/>
      <c r="G829" s="187"/>
      <c r="H829" s="224"/>
      <c r="I829" s="224"/>
      <c r="J829" s="182"/>
      <c r="K829" s="182"/>
      <c r="L829" s="183"/>
      <c r="M829" s="183"/>
      <c r="P829" s="187"/>
      <c r="Q829" s="187"/>
      <c r="AA829" s="140"/>
      <c r="AB829" s="141"/>
    </row>
    <row r="830" spans="1:41" ht="14.25" x14ac:dyDescent="0.25">
      <c r="F830" s="187"/>
      <c r="G830" s="187"/>
      <c r="H830" s="224"/>
      <c r="I830" s="224"/>
      <c r="J830" s="182"/>
      <c r="K830" s="182"/>
      <c r="L830" s="183"/>
      <c r="M830" s="183"/>
      <c r="P830" s="187"/>
      <c r="Q830" s="187"/>
      <c r="AA830" s="140"/>
      <c r="AB830" s="141"/>
    </row>
    <row r="831" spans="1:41" ht="14.25" x14ac:dyDescent="0.25">
      <c r="F831" s="187"/>
      <c r="G831" s="187"/>
      <c r="H831" s="224"/>
      <c r="I831" s="224"/>
      <c r="J831" s="182"/>
      <c r="K831" s="182"/>
      <c r="L831" s="183"/>
      <c r="M831" s="183"/>
      <c r="P831" s="187"/>
      <c r="Q831" s="187"/>
      <c r="AA831" s="140"/>
      <c r="AB831" s="141"/>
    </row>
    <row r="832" spans="1:41" x14ac:dyDescent="0.25">
      <c r="H832" s="225"/>
      <c r="I832" s="225"/>
      <c r="AA832" s="140"/>
    </row>
    <row r="833" spans="1:32" x14ac:dyDescent="0.25">
      <c r="H833" s="225"/>
      <c r="I833" s="225"/>
      <c r="AA833" s="140"/>
    </row>
    <row r="834" spans="1:32" s="189" customFormat="1" ht="15" customHeight="1" x14ac:dyDescent="0.25">
      <c r="A834" s="192"/>
      <c r="B834" s="195"/>
      <c r="C834" s="227" t="str">
        <f>'BKU 1'!$C$360</f>
        <v>MELIA FITRIANI, S.Pd.SD</v>
      </c>
      <c r="D834" s="227"/>
      <c r="H834" s="228"/>
      <c r="I834" s="228"/>
      <c r="J834" s="195"/>
      <c r="K834" s="195"/>
      <c r="L834" s="194"/>
      <c r="M834" s="194"/>
      <c r="N834" s="229">
        <f>'BKU 1'!$G$361</f>
        <v>0</v>
      </c>
      <c r="O834" s="229"/>
      <c r="AA834" s="227" t="str">
        <f>'BKU 1'!$L$360</f>
        <v>ARIF NUR UDIN, S.Pd.SD</v>
      </c>
      <c r="AC834" s="230"/>
      <c r="AE834" s="231"/>
      <c r="AF834" s="231"/>
    </row>
    <row r="835" spans="1:32" s="189" customFormat="1" ht="15" customHeight="1" x14ac:dyDescent="0.25">
      <c r="A835" s="192"/>
      <c r="B835" s="195"/>
      <c r="C835" s="140" t="str">
        <f>'BKU 1'!$C$361</f>
        <v>NIP. 19850619 200904 2 000</v>
      </c>
      <c r="D835" s="140"/>
      <c r="E835" s="140"/>
      <c r="F835" s="140"/>
      <c r="G835" s="140"/>
      <c r="H835" s="225"/>
      <c r="I835" s="225"/>
      <c r="J835" s="191"/>
      <c r="K835" s="191"/>
      <c r="L835" s="190"/>
      <c r="M835" s="190"/>
      <c r="N835" s="232">
        <f>'BKU 1'!$G$361</f>
        <v>0</v>
      </c>
      <c r="O835" s="232"/>
      <c r="P835" s="140"/>
      <c r="Q835" s="140"/>
      <c r="T835" s="140"/>
      <c r="U835" s="140"/>
      <c r="V835" s="140"/>
      <c r="W835" s="140"/>
      <c r="X835" s="140"/>
      <c r="Y835" s="140"/>
      <c r="Z835" s="140"/>
      <c r="AA835" s="140" t="str">
        <f>'BKU 1'!$L$361</f>
        <v>NIP. 19840719 200903 1 002</v>
      </c>
      <c r="AC835" s="230"/>
      <c r="AE835" s="231"/>
      <c r="AF835" s="231"/>
    </row>
    <row r="836" spans="1:32" ht="6" customHeight="1" x14ac:dyDescent="0.25"/>
  </sheetData>
  <mergeCells count="562">
    <mergeCell ref="B1:AC1"/>
    <mergeCell ref="B2:AC2"/>
    <mergeCell ref="H6:L6"/>
    <mergeCell ref="E7:J7"/>
    <mergeCell ref="L7:N7"/>
    <mergeCell ref="P7:V7"/>
    <mergeCell ref="AF1:AG3"/>
    <mergeCell ref="B9:B11"/>
    <mergeCell ref="C9:D11"/>
    <mergeCell ref="F9:S9"/>
    <mergeCell ref="V9:W9"/>
    <mergeCell ref="X9:Y9"/>
    <mergeCell ref="Z9:AA9"/>
    <mergeCell ref="Z10:AA10"/>
    <mergeCell ref="V11:W11"/>
    <mergeCell ref="X11:Y11"/>
    <mergeCell ref="Z11:AA11"/>
    <mergeCell ref="AB9:AC11"/>
    <mergeCell ref="F10:F11"/>
    <mergeCell ref="H10:H11"/>
    <mergeCell ref="J10:J11"/>
    <mergeCell ref="L10:L11"/>
    <mergeCell ref="N10:N11"/>
    <mergeCell ref="P10:P11"/>
    <mergeCell ref="R10:R11"/>
    <mergeCell ref="V10:W10"/>
    <mergeCell ref="X10:Y10"/>
    <mergeCell ref="Z49:AA49"/>
    <mergeCell ref="V50:W50"/>
    <mergeCell ref="X50:Y50"/>
    <mergeCell ref="Z50:AA50"/>
    <mergeCell ref="AA25:AC25"/>
    <mergeCell ref="AB28:AC28"/>
    <mergeCell ref="B40:AC40"/>
    <mergeCell ref="B41:AC41"/>
    <mergeCell ref="H45:L45"/>
    <mergeCell ref="E46:J46"/>
    <mergeCell ref="L46:N46"/>
    <mergeCell ref="P46:V46"/>
    <mergeCell ref="AA64:AC64"/>
    <mergeCell ref="AB67:AC67"/>
    <mergeCell ref="B79:AC79"/>
    <mergeCell ref="B80:AC80"/>
    <mergeCell ref="H84:L84"/>
    <mergeCell ref="E85:J85"/>
    <mergeCell ref="L85:N85"/>
    <mergeCell ref="P85:V85"/>
    <mergeCell ref="AB48:AC50"/>
    <mergeCell ref="F49:F50"/>
    <mergeCell ref="H49:H50"/>
    <mergeCell ref="J49:J50"/>
    <mergeCell ref="L49:L50"/>
    <mergeCell ref="N49:N50"/>
    <mergeCell ref="P49:P50"/>
    <mergeCell ref="R49:R50"/>
    <mergeCell ref="V49:W49"/>
    <mergeCell ref="X49:Y49"/>
    <mergeCell ref="B48:B50"/>
    <mergeCell ref="C48:D50"/>
    <mergeCell ref="F48:S48"/>
    <mergeCell ref="V48:W48"/>
    <mergeCell ref="X48:Y48"/>
    <mergeCell ref="Z48:AA48"/>
    <mergeCell ref="B87:B89"/>
    <mergeCell ref="C87:D89"/>
    <mergeCell ref="F87:S87"/>
    <mergeCell ref="V87:W87"/>
    <mergeCell ref="X87:Y87"/>
    <mergeCell ref="Z87:AA87"/>
    <mergeCell ref="Z88:AA88"/>
    <mergeCell ref="V89:W89"/>
    <mergeCell ref="X89:Y89"/>
    <mergeCell ref="Z89:AA89"/>
    <mergeCell ref="AB87:AC89"/>
    <mergeCell ref="F88:F89"/>
    <mergeCell ref="H88:H89"/>
    <mergeCell ref="J88:J89"/>
    <mergeCell ref="L88:L89"/>
    <mergeCell ref="N88:N89"/>
    <mergeCell ref="P88:P89"/>
    <mergeCell ref="R88:R89"/>
    <mergeCell ref="V88:W88"/>
    <mergeCell ref="X88:Y88"/>
    <mergeCell ref="Z127:AA127"/>
    <mergeCell ref="V128:W128"/>
    <mergeCell ref="X128:Y128"/>
    <mergeCell ref="Z128:AA128"/>
    <mergeCell ref="AA103:AC103"/>
    <mergeCell ref="AB106:AC106"/>
    <mergeCell ref="B118:AC118"/>
    <mergeCell ref="B119:AC119"/>
    <mergeCell ref="H123:L123"/>
    <mergeCell ref="E124:J124"/>
    <mergeCell ref="L124:N124"/>
    <mergeCell ref="P124:V124"/>
    <mergeCell ref="AA142:AC142"/>
    <mergeCell ref="AB145:AC145"/>
    <mergeCell ref="B157:AC157"/>
    <mergeCell ref="B158:AC158"/>
    <mergeCell ref="H162:L162"/>
    <mergeCell ref="E163:J163"/>
    <mergeCell ref="L163:N163"/>
    <mergeCell ref="P163:V163"/>
    <mergeCell ref="AB126:AC128"/>
    <mergeCell ref="F127:F128"/>
    <mergeCell ref="H127:H128"/>
    <mergeCell ref="J127:J128"/>
    <mergeCell ref="L127:L128"/>
    <mergeCell ref="N127:N128"/>
    <mergeCell ref="P127:P128"/>
    <mergeCell ref="R127:R128"/>
    <mergeCell ref="V127:W127"/>
    <mergeCell ref="X127:Y127"/>
    <mergeCell ref="B126:B128"/>
    <mergeCell ref="C126:D128"/>
    <mergeCell ref="F126:S126"/>
    <mergeCell ref="V126:W126"/>
    <mergeCell ref="X126:Y126"/>
    <mergeCell ref="Z126:AA126"/>
    <mergeCell ref="B165:B167"/>
    <mergeCell ref="C165:D167"/>
    <mergeCell ref="F165:S165"/>
    <mergeCell ref="V165:W165"/>
    <mergeCell ref="X165:Y165"/>
    <mergeCell ref="Z165:AA165"/>
    <mergeCell ref="Z166:AA166"/>
    <mergeCell ref="V167:W167"/>
    <mergeCell ref="X167:Y167"/>
    <mergeCell ref="Z167:AA167"/>
    <mergeCell ref="AB165:AC167"/>
    <mergeCell ref="F166:F167"/>
    <mergeCell ref="H166:H167"/>
    <mergeCell ref="J166:J167"/>
    <mergeCell ref="L166:L167"/>
    <mergeCell ref="N166:N167"/>
    <mergeCell ref="P166:P167"/>
    <mergeCell ref="R166:R167"/>
    <mergeCell ref="V166:W166"/>
    <mergeCell ref="X166:Y166"/>
    <mergeCell ref="Z205:AA205"/>
    <mergeCell ref="V206:W206"/>
    <mergeCell ref="X206:Y206"/>
    <mergeCell ref="Z206:AA206"/>
    <mergeCell ref="AA181:AC181"/>
    <mergeCell ref="AB184:AC184"/>
    <mergeCell ref="B196:AC196"/>
    <mergeCell ref="B197:AC197"/>
    <mergeCell ref="H201:L201"/>
    <mergeCell ref="E202:J202"/>
    <mergeCell ref="L202:N202"/>
    <mergeCell ref="P202:V202"/>
    <mergeCell ref="AA220:AC220"/>
    <mergeCell ref="AB223:AC223"/>
    <mergeCell ref="B235:AC235"/>
    <mergeCell ref="B236:AC236"/>
    <mergeCell ref="H240:L240"/>
    <mergeCell ref="E241:J241"/>
    <mergeCell ref="L241:N241"/>
    <mergeCell ref="P241:V241"/>
    <mergeCell ref="AB204:AC206"/>
    <mergeCell ref="F205:F206"/>
    <mergeCell ref="H205:H206"/>
    <mergeCell ref="J205:J206"/>
    <mergeCell ref="L205:L206"/>
    <mergeCell ref="N205:N206"/>
    <mergeCell ref="P205:P206"/>
    <mergeCell ref="R205:R206"/>
    <mergeCell ref="V205:W205"/>
    <mergeCell ref="X205:Y205"/>
    <mergeCell ref="B204:B206"/>
    <mergeCell ref="C204:D206"/>
    <mergeCell ref="F204:S204"/>
    <mergeCell ref="V204:W204"/>
    <mergeCell ref="X204:Y204"/>
    <mergeCell ref="Z204:AA204"/>
    <mergeCell ref="B243:B245"/>
    <mergeCell ref="C243:D245"/>
    <mergeCell ref="F243:S243"/>
    <mergeCell ref="V243:W243"/>
    <mergeCell ref="X243:Y243"/>
    <mergeCell ref="Z243:AA243"/>
    <mergeCell ref="Z244:AA244"/>
    <mergeCell ref="V245:W245"/>
    <mergeCell ref="X245:Y245"/>
    <mergeCell ref="Z245:AA245"/>
    <mergeCell ref="AB243:AC245"/>
    <mergeCell ref="F244:F245"/>
    <mergeCell ref="H244:H245"/>
    <mergeCell ref="J244:J245"/>
    <mergeCell ref="L244:L245"/>
    <mergeCell ref="N244:N245"/>
    <mergeCell ref="P244:P245"/>
    <mergeCell ref="R244:R245"/>
    <mergeCell ref="V244:W244"/>
    <mergeCell ref="X244:Y244"/>
    <mergeCell ref="Z283:AA283"/>
    <mergeCell ref="V284:W284"/>
    <mergeCell ref="X284:Y284"/>
    <mergeCell ref="Z284:AA284"/>
    <mergeCell ref="AA259:AC259"/>
    <mergeCell ref="AB262:AC262"/>
    <mergeCell ref="B274:AC274"/>
    <mergeCell ref="B275:AC275"/>
    <mergeCell ref="H279:L279"/>
    <mergeCell ref="E280:J280"/>
    <mergeCell ref="L280:N280"/>
    <mergeCell ref="P280:V280"/>
    <mergeCell ref="AA298:AC298"/>
    <mergeCell ref="AB301:AC301"/>
    <mergeCell ref="B313:AC313"/>
    <mergeCell ref="B314:AC314"/>
    <mergeCell ref="H318:L318"/>
    <mergeCell ref="E319:J319"/>
    <mergeCell ref="L319:N319"/>
    <mergeCell ref="P319:V319"/>
    <mergeCell ref="AB282:AC284"/>
    <mergeCell ref="F283:F284"/>
    <mergeCell ref="H283:H284"/>
    <mergeCell ref="J283:J284"/>
    <mergeCell ref="L283:L284"/>
    <mergeCell ref="N283:N284"/>
    <mergeCell ref="P283:P284"/>
    <mergeCell ref="R283:R284"/>
    <mergeCell ref="V283:W283"/>
    <mergeCell ref="X283:Y283"/>
    <mergeCell ref="B282:B284"/>
    <mergeCell ref="C282:D284"/>
    <mergeCell ref="F282:S282"/>
    <mergeCell ref="V282:W282"/>
    <mergeCell ref="X282:Y282"/>
    <mergeCell ref="Z282:AA282"/>
    <mergeCell ref="B321:B323"/>
    <mergeCell ref="C321:D323"/>
    <mergeCell ref="V321:W321"/>
    <mergeCell ref="X321:Y321"/>
    <mergeCell ref="Z321:AA321"/>
    <mergeCell ref="Z322:AA322"/>
    <mergeCell ref="V323:W323"/>
    <mergeCell ref="X323:Y323"/>
    <mergeCell ref="Z323:AA323"/>
    <mergeCell ref="AB321:AC323"/>
    <mergeCell ref="F322:F323"/>
    <mergeCell ref="H322:H323"/>
    <mergeCell ref="J322:J323"/>
    <mergeCell ref="L322:L323"/>
    <mergeCell ref="N322:N323"/>
    <mergeCell ref="P322:P323"/>
    <mergeCell ref="R322:R323"/>
    <mergeCell ref="V322:W322"/>
    <mergeCell ref="X322:Y322"/>
    <mergeCell ref="V362:W362"/>
    <mergeCell ref="X362:Y362"/>
    <mergeCell ref="Z362:AA362"/>
    <mergeCell ref="AA337:AC337"/>
    <mergeCell ref="AB340:AC340"/>
    <mergeCell ref="B352:AC352"/>
    <mergeCell ref="B353:AC353"/>
    <mergeCell ref="H357:L357"/>
    <mergeCell ref="E358:J358"/>
    <mergeCell ref="L358:N358"/>
    <mergeCell ref="P358:V358"/>
    <mergeCell ref="AA376:AC376"/>
    <mergeCell ref="AB379:AC379"/>
    <mergeCell ref="B391:AC391"/>
    <mergeCell ref="B392:AC392"/>
    <mergeCell ref="H396:L396"/>
    <mergeCell ref="E397:J397"/>
    <mergeCell ref="L397:N397"/>
    <mergeCell ref="P397:V397"/>
    <mergeCell ref="AB360:AC362"/>
    <mergeCell ref="F361:F362"/>
    <mergeCell ref="H361:H362"/>
    <mergeCell ref="J361:J362"/>
    <mergeCell ref="L361:L362"/>
    <mergeCell ref="N361:N362"/>
    <mergeCell ref="P361:P362"/>
    <mergeCell ref="R361:R362"/>
    <mergeCell ref="V361:W361"/>
    <mergeCell ref="X361:Y361"/>
    <mergeCell ref="B360:B362"/>
    <mergeCell ref="C360:D362"/>
    <mergeCell ref="V360:W360"/>
    <mergeCell ref="X360:Y360"/>
    <mergeCell ref="Z360:AA360"/>
    <mergeCell ref="Z361:AA361"/>
    <mergeCell ref="B399:B401"/>
    <mergeCell ref="C399:D401"/>
    <mergeCell ref="V399:W399"/>
    <mergeCell ref="X399:Y399"/>
    <mergeCell ref="Z399:AA399"/>
    <mergeCell ref="Z400:AA400"/>
    <mergeCell ref="V401:W401"/>
    <mergeCell ref="X401:Y401"/>
    <mergeCell ref="Z401:AA401"/>
    <mergeCell ref="AB399:AC401"/>
    <mergeCell ref="F400:F401"/>
    <mergeCell ref="H400:H401"/>
    <mergeCell ref="J400:J401"/>
    <mergeCell ref="L400:L401"/>
    <mergeCell ref="N400:N401"/>
    <mergeCell ref="P400:P401"/>
    <mergeCell ref="R400:R401"/>
    <mergeCell ref="V400:W400"/>
    <mergeCell ref="X400:Y400"/>
    <mergeCell ref="V440:W440"/>
    <mergeCell ref="X440:Y440"/>
    <mergeCell ref="Z440:AA440"/>
    <mergeCell ref="AA415:AC415"/>
    <mergeCell ref="AB418:AC418"/>
    <mergeCell ref="B430:AC430"/>
    <mergeCell ref="B431:AC431"/>
    <mergeCell ref="H435:L435"/>
    <mergeCell ref="E436:J436"/>
    <mergeCell ref="L436:N436"/>
    <mergeCell ref="P436:V436"/>
    <mergeCell ref="AA454:AC454"/>
    <mergeCell ref="AB457:AC457"/>
    <mergeCell ref="B469:AC469"/>
    <mergeCell ref="B470:AC470"/>
    <mergeCell ref="H474:L474"/>
    <mergeCell ref="E475:J475"/>
    <mergeCell ref="L475:N475"/>
    <mergeCell ref="P475:V475"/>
    <mergeCell ref="AB438:AC440"/>
    <mergeCell ref="F439:F440"/>
    <mergeCell ref="H439:H440"/>
    <mergeCell ref="J439:J440"/>
    <mergeCell ref="L439:L440"/>
    <mergeCell ref="N439:N440"/>
    <mergeCell ref="P439:P440"/>
    <mergeCell ref="R439:R440"/>
    <mergeCell ref="V439:W439"/>
    <mergeCell ref="X439:Y439"/>
    <mergeCell ref="B438:B440"/>
    <mergeCell ref="C438:D440"/>
    <mergeCell ref="V438:W438"/>
    <mergeCell ref="X438:Y438"/>
    <mergeCell ref="Z438:AA438"/>
    <mergeCell ref="Z439:AA439"/>
    <mergeCell ref="B477:B479"/>
    <mergeCell ref="C477:D479"/>
    <mergeCell ref="V477:W477"/>
    <mergeCell ref="X477:Y477"/>
    <mergeCell ref="Z477:AA477"/>
    <mergeCell ref="Z478:AA478"/>
    <mergeCell ref="V479:W479"/>
    <mergeCell ref="X479:Y479"/>
    <mergeCell ref="Z479:AA479"/>
    <mergeCell ref="AB477:AC479"/>
    <mergeCell ref="F478:F479"/>
    <mergeCell ref="H478:H479"/>
    <mergeCell ref="J478:J479"/>
    <mergeCell ref="L478:L479"/>
    <mergeCell ref="N478:N479"/>
    <mergeCell ref="P478:P479"/>
    <mergeCell ref="R478:R479"/>
    <mergeCell ref="V478:W478"/>
    <mergeCell ref="X478:Y478"/>
    <mergeCell ref="Z517:AA517"/>
    <mergeCell ref="V518:W518"/>
    <mergeCell ref="X518:Y518"/>
    <mergeCell ref="Z518:AA518"/>
    <mergeCell ref="AA493:AC493"/>
    <mergeCell ref="AB496:AC496"/>
    <mergeCell ref="B508:AC508"/>
    <mergeCell ref="B509:AC509"/>
    <mergeCell ref="H513:L513"/>
    <mergeCell ref="E514:J514"/>
    <mergeCell ref="L514:N514"/>
    <mergeCell ref="P514:V514"/>
    <mergeCell ref="AA540:AC540"/>
    <mergeCell ref="AB543:AC543"/>
    <mergeCell ref="B555:AC555"/>
    <mergeCell ref="B556:AC556"/>
    <mergeCell ref="H560:L560"/>
    <mergeCell ref="E561:J561"/>
    <mergeCell ref="L561:N561"/>
    <mergeCell ref="P561:V561"/>
    <mergeCell ref="AB516:AC518"/>
    <mergeCell ref="F517:F518"/>
    <mergeCell ref="H517:H518"/>
    <mergeCell ref="J517:J518"/>
    <mergeCell ref="L517:L518"/>
    <mergeCell ref="N517:N518"/>
    <mergeCell ref="P517:P518"/>
    <mergeCell ref="R517:R518"/>
    <mergeCell ref="V517:W517"/>
    <mergeCell ref="X517:Y517"/>
    <mergeCell ref="B516:B518"/>
    <mergeCell ref="C516:D518"/>
    <mergeCell ref="F516:R516"/>
    <mergeCell ref="V516:W516"/>
    <mergeCell ref="X516:Y516"/>
    <mergeCell ref="Z516:AA516"/>
    <mergeCell ref="B563:B565"/>
    <mergeCell ref="C563:D565"/>
    <mergeCell ref="F563:R563"/>
    <mergeCell ref="V563:W563"/>
    <mergeCell ref="X563:Y563"/>
    <mergeCell ref="Z563:AA563"/>
    <mergeCell ref="Z564:AA564"/>
    <mergeCell ref="V565:W565"/>
    <mergeCell ref="X565:Y565"/>
    <mergeCell ref="Z565:AA565"/>
    <mergeCell ref="AB563:AC565"/>
    <mergeCell ref="F564:F565"/>
    <mergeCell ref="H564:H565"/>
    <mergeCell ref="J564:J565"/>
    <mergeCell ref="L564:L565"/>
    <mergeCell ref="N564:N565"/>
    <mergeCell ref="P564:P565"/>
    <mergeCell ref="R564:R565"/>
    <mergeCell ref="V564:W564"/>
    <mergeCell ref="X564:Y564"/>
    <mergeCell ref="Z611:AA611"/>
    <mergeCell ref="V612:W612"/>
    <mergeCell ref="X612:Y612"/>
    <mergeCell ref="Z612:AA612"/>
    <mergeCell ref="AA587:AC587"/>
    <mergeCell ref="AB590:AC590"/>
    <mergeCell ref="B602:AC602"/>
    <mergeCell ref="B603:AC603"/>
    <mergeCell ref="H607:L607"/>
    <mergeCell ref="E608:J608"/>
    <mergeCell ref="L608:N608"/>
    <mergeCell ref="P608:V608"/>
    <mergeCell ref="AA634:AC634"/>
    <mergeCell ref="AB637:AC637"/>
    <mergeCell ref="B649:AC649"/>
    <mergeCell ref="B650:AC650"/>
    <mergeCell ref="H654:L654"/>
    <mergeCell ref="E655:J655"/>
    <mergeCell ref="L655:N655"/>
    <mergeCell ref="P655:V655"/>
    <mergeCell ref="AB610:AC612"/>
    <mergeCell ref="F611:F612"/>
    <mergeCell ref="H611:H612"/>
    <mergeCell ref="J611:J612"/>
    <mergeCell ref="L611:L612"/>
    <mergeCell ref="N611:N612"/>
    <mergeCell ref="P611:P612"/>
    <mergeCell ref="R611:R612"/>
    <mergeCell ref="V611:W611"/>
    <mergeCell ref="X611:Y611"/>
    <mergeCell ref="B610:B612"/>
    <mergeCell ref="C610:D612"/>
    <mergeCell ref="F610:R610"/>
    <mergeCell ref="V610:W610"/>
    <mergeCell ref="X610:Y610"/>
    <mergeCell ref="Z610:AA610"/>
    <mergeCell ref="B657:B659"/>
    <mergeCell ref="C657:D659"/>
    <mergeCell ref="F657:R657"/>
    <mergeCell ref="V657:W657"/>
    <mergeCell ref="X657:Y657"/>
    <mergeCell ref="Z657:AA657"/>
    <mergeCell ref="Z658:AA658"/>
    <mergeCell ref="V659:W659"/>
    <mergeCell ref="X659:Y659"/>
    <mergeCell ref="Z659:AA659"/>
    <mergeCell ref="AB657:AC659"/>
    <mergeCell ref="F658:F659"/>
    <mergeCell ref="H658:H659"/>
    <mergeCell ref="J658:J659"/>
    <mergeCell ref="L658:L659"/>
    <mergeCell ref="N658:N659"/>
    <mergeCell ref="P658:P659"/>
    <mergeCell ref="R658:R659"/>
    <mergeCell ref="V658:W658"/>
    <mergeCell ref="X658:Y658"/>
    <mergeCell ref="Z705:AA705"/>
    <mergeCell ref="V706:W706"/>
    <mergeCell ref="X706:Y706"/>
    <mergeCell ref="Z706:AA706"/>
    <mergeCell ref="AA681:AC681"/>
    <mergeCell ref="AB684:AC684"/>
    <mergeCell ref="B696:AC696"/>
    <mergeCell ref="B697:AC697"/>
    <mergeCell ref="H701:L701"/>
    <mergeCell ref="E702:J702"/>
    <mergeCell ref="L702:N702"/>
    <mergeCell ref="P702:V702"/>
    <mergeCell ref="AA728:AC728"/>
    <mergeCell ref="AB731:AC731"/>
    <mergeCell ref="B743:AC743"/>
    <mergeCell ref="B744:AC744"/>
    <mergeCell ref="H748:L748"/>
    <mergeCell ref="E749:J749"/>
    <mergeCell ref="L749:N749"/>
    <mergeCell ref="P749:V749"/>
    <mergeCell ref="AB704:AC706"/>
    <mergeCell ref="F705:F706"/>
    <mergeCell ref="H705:H706"/>
    <mergeCell ref="J705:J706"/>
    <mergeCell ref="L705:L706"/>
    <mergeCell ref="N705:N706"/>
    <mergeCell ref="P705:P706"/>
    <mergeCell ref="R705:R706"/>
    <mergeCell ref="V705:W705"/>
    <mergeCell ref="X705:Y705"/>
    <mergeCell ref="B704:B706"/>
    <mergeCell ref="C704:D706"/>
    <mergeCell ref="F704:R704"/>
    <mergeCell ref="V704:W704"/>
    <mergeCell ref="X704:Y704"/>
    <mergeCell ref="Z704:AA704"/>
    <mergeCell ref="B751:B753"/>
    <mergeCell ref="C751:D753"/>
    <mergeCell ref="F751:R751"/>
    <mergeCell ref="V751:W751"/>
    <mergeCell ref="X751:Y751"/>
    <mergeCell ref="Z751:AA751"/>
    <mergeCell ref="Z752:AA752"/>
    <mergeCell ref="V753:W753"/>
    <mergeCell ref="X753:Y753"/>
    <mergeCell ref="Z753:AA753"/>
    <mergeCell ref="AB751:AC753"/>
    <mergeCell ref="F752:F753"/>
    <mergeCell ref="H752:H753"/>
    <mergeCell ref="J752:J753"/>
    <mergeCell ref="L752:L753"/>
    <mergeCell ref="N752:N753"/>
    <mergeCell ref="P752:P753"/>
    <mergeCell ref="R752:R753"/>
    <mergeCell ref="V752:W752"/>
    <mergeCell ref="X752:Y752"/>
    <mergeCell ref="L796:N796"/>
    <mergeCell ref="B798:B800"/>
    <mergeCell ref="C798:D800"/>
    <mergeCell ref="F798:R798"/>
    <mergeCell ref="V798:W798"/>
    <mergeCell ref="X798:Y798"/>
    <mergeCell ref="Z798:AA798"/>
    <mergeCell ref="Z799:AA799"/>
    <mergeCell ref="V800:W800"/>
    <mergeCell ref="X800:Y800"/>
    <mergeCell ref="Z800:AA800"/>
    <mergeCell ref="P796:V796"/>
    <mergeCell ref="AD9:AD10"/>
    <mergeCell ref="AA822:AC822"/>
    <mergeCell ref="AB825:AC825"/>
    <mergeCell ref="F321:S321"/>
    <mergeCell ref="F360:S360"/>
    <mergeCell ref="F399:S399"/>
    <mergeCell ref="F438:S438"/>
    <mergeCell ref="F477:S477"/>
    <mergeCell ref="AB798:AC800"/>
    <mergeCell ref="F799:F800"/>
    <mergeCell ref="H799:H800"/>
    <mergeCell ref="J799:J800"/>
    <mergeCell ref="L799:L800"/>
    <mergeCell ref="N799:N800"/>
    <mergeCell ref="P799:P800"/>
    <mergeCell ref="R799:R800"/>
    <mergeCell ref="V799:W799"/>
    <mergeCell ref="X799:Y799"/>
    <mergeCell ref="AA775:AC775"/>
    <mergeCell ref="AB778:AC778"/>
    <mergeCell ref="B790:AC790"/>
    <mergeCell ref="B791:AC791"/>
    <mergeCell ref="H795:L795"/>
    <mergeCell ref="E796:J796"/>
  </mergeCells>
  <conditionalFormatting sqref="F21:S24">
    <cfRule type="containsText" dxfId="256" priority="657" operator="containsText" text="x">
      <formula>NOT(ISERROR(SEARCH("x",F21)))</formula>
    </cfRule>
    <cfRule type="containsText" dxfId="255" priority="658" operator="containsText" text="V">
      <formula>NOT(ISERROR(SEARCH("V",F21)))</formula>
    </cfRule>
    <cfRule type="cellIs" dxfId="254" priority="659" operator="equal">
      <formula>V</formula>
    </cfRule>
    <cfRule type="cellIs" dxfId="253" priority="660" operator="equal">
      <formula>X</formula>
    </cfRule>
  </conditionalFormatting>
  <conditionalFormatting sqref="F1:S8 F9 F10:S11 F21:S47 F48 F49:S50 F87 F88:S89 F126 F127:S128 F165 F166:S167 F204 F205:S206 F243 F244:S245 F282 F283:S284 F321 F322:S323 F360 F361:S362 F399 F400:S401 F438 F439:S440 F477 F478:S1048576 F60:S86 F99:S125 F138:S164 F177:S203 F216:S242 F255:S281 F294:S320 F333:S359 F372:S398 F411:S437 F450:S476">
    <cfRule type="containsText" dxfId="252" priority="656" operator="containsText" text="X">
      <formula>NOT(ISERROR(SEARCH("X",F1)))</formula>
    </cfRule>
  </conditionalFormatting>
  <conditionalFormatting sqref="F61:S63">
    <cfRule type="containsText" dxfId="251" priority="652" operator="containsText" text="x">
      <formula>NOT(ISERROR(SEARCH("x",F61)))</formula>
    </cfRule>
    <cfRule type="containsText" dxfId="250" priority="653" operator="containsText" text="V">
      <formula>NOT(ISERROR(SEARCH("V",F61)))</formula>
    </cfRule>
    <cfRule type="cellIs" dxfId="249" priority="654" operator="equal">
      <formula>V</formula>
    </cfRule>
    <cfRule type="cellIs" dxfId="248" priority="655" operator="equal">
      <formula>X</formula>
    </cfRule>
  </conditionalFormatting>
  <conditionalFormatting sqref="F100:S101">
    <cfRule type="containsText" dxfId="247" priority="648" operator="containsText" text="x">
      <formula>NOT(ISERROR(SEARCH("x",F100)))</formula>
    </cfRule>
    <cfRule type="containsText" dxfId="246" priority="649" operator="containsText" text="V">
      <formula>NOT(ISERROR(SEARCH("V",F100)))</formula>
    </cfRule>
    <cfRule type="cellIs" dxfId="245" priority="650" operator="equal">
      <formula>V</formula>
    </cfRule>
    <cfRule type="cellIs" dxfId="244" priority="651" operator="equal">
      <formula>X</formula>
    </cfRule>
  </conditionalFormatting>
  <conditionalFormatting sqref="F256:S257 F217:S218 F178:S179 F139:S140 F295:S296">
    <cfRule type="containsText" dxfId="243" priority="644" operator="containsText" text="x">
      <formula>NOT(ISERROR(SEARCH("x",F139)))</formula>
    </cfRule>
    <cfRule type="containsText" dxfId="242" priority="645" operator="containsText" text="V">
      <formula>NOT(ISERROR(SEARCH("V",F139)))</formula>
    </cfRule>
    <cfRule type="cellIs" dxfId="241" priority="646" operator="equal">
      <formula>V</formula>
    </cfRule>
    <cfRule type="cellIs" dxfId="240" priority="647" operator="equal">
      <formula>X</formula>
    </cfRule>
  </conditionalFormatting>
  <conditionalFormatting sqref="F60:S60">
    <cfRule type="containsText" dxfId="239" priority="640" operator="containsText" text="x">
      <formula>NOT(ISERROR(SEARCH("x",F60)))</formula>
    </cfRule>
    <cfRule type="containsText" dxfId="238" priority="641" operator="containsText" text="V">
      <formula>NOT(ISERROR(SEARCH("V",F60)))</formula>
    </cfRule>
    <cfRule type="cellIs" dxfId="237" priority="642" operator="equal">
      <formula>V</formula>
    </cfRule>
    <cfRule type="cellIs" dxfId="236" priority="643" operator="equal">
      <formula>X</formula>
    </cfRule>
  </conditionalFormatting>
  <conditionalFormatting sqref="F334:S335">
    <cfRule type="containsText" dxfId="235" priority="584" operator="containsText" text="x">
      <formula>NOT(ISERROR(SEARCH("x",F334)))</formula>
    </cfRule>
    <cfRule type="containsText" dxfId="234" priority="585" operator="containsText" text="V">
      <formula>NOT(ISERROR(SEARCH("V",F334)))</formula>
    </cfRule>
    <cfRule type="cellIs" dxfId="233" priority="586" operator="equal">
      <formula>V</formula>
    </cfRule>
    <cfRule type="cellIs" dxfId="232" priority="587" operator="equal">
      <formula>X</formula>
    </cfRule>
  </conditionalFormatting>
  <conditionalFormatting sqref="F373:S374">
    <cfRule type="containsText" dxfId="231" priority="572" operator="containsText" text="x">
      <formula>NOT(ISERROR(SEARCH("x",F373)))</formula>
    </cfRule>
    <cfRule type="containsText" dxfId="230" priority="573" operator="containsText" text="V">
      <formula>NOT(ISERROR(SEARCH("V",F373)))</formula>
    </cfRule>
    <cfRule type="cellIs" dxfId="229" priority="574" operator="equal">
      <formula>V</formula>
    </cfRule>
    <cfRule type="cellIs" dxfId="228" priority="575" operator="equal">
      <formula>X</formula>
    </cfRule>
  </conditionalFormatting>
  <conditionalFormatting sqref="F412:S413">
    <cfRule type="containsText" dxfId="227" priority="560" operator="containsText" text="x">
      <formula>NOT(ISERROR(SEARCH("x",F412)))</formula>
    </cfRule>
    <cfRule type="containsText" dxfId="226" priority="561" operator="containsText" text="V">
      <formula>NOT(ISERROR(SEARCH("V",F412)))</formula>
    </cfRule>
    <cfRule type="cellIs" dxfId="225" priority="562" operator="equal">
      <formula>V</formula>
    </cfRule>
    <cfRule type="cellIs" dxfId="224" priority="563" operator="equal">
      <formula>X</formula>
    </cfRule>
  </conditionalFormatting>
  <conditionalFormatting sqref="F451:S452">
    <cfRule type="containsText" dxfId="223" priority="548" operator="containsText" text="x">
      <formula>NOT(ISERROR(SEARCH("x",F451)))</formula>
    </cfRule>
    <cfRule type="containsText" dxfId="222" priority="549" operator="containsText" text="V">
      <formula>NOT(ISERROR(SEARCH("V",F451)))</formula>
    </cfRule>
    <cfRule type="cellIs" dxfId="221" priority="550" operator="equal">
      <formula>V</formula>
    </cfRule>
    <cfRule type="cellIs" dxfId="220" priority="551" operator="equal">
      <formula>X</formula>
    </cfRule>
  </conditionalFormatting>
  <conditionalFormatting sqref="F490:S491">
    <cfRule type="containsText" dxfId="219" priority="536" operator="containsText" text="x">
      <formula>NOT(ISERROR(SEARCH("x",F490)))</formula>
    </cfRule>
    <cfRule type="containsText" dxfId="218" priority="537" operator="containsText" text="V">
      <formula>NOT(ISERROR(SEARCH("V",F490)))</formula>
    </cfRule>
    <cfRule type="cellIs" dxfId="217" priority="538" operator="equal">
      <formula>V</formula>
    </cfRule>
    <cfRule type="cellIs" dxfId="216" priority="539" operator="equal">
      <formula>X</formula>
    </cfRule>
  </conditionalFormatting>
  <conditionalFormatting sqref="F480:S489">
    <cfRule type="containsText" dxfId="215" priority="532" operator="containsText" text="x">
      <formula>NOT(ISERROR(SEARCH("x",F480)))</formula>
    </cfRule>
    <cfRule type="containsText" dxfId="214" priority="533" operator="containsText" text="V">
      <formula>NOT(ISERROR(SEARCH("V",F480)))</formula>
    </cfRule>
    <cfRule type="cellIs" dxfId="213" priority="534" operator="equal">
      <formula>V</formula>
    </cfRule>
    <cfRule type="cellIs" dxfId="212" priority="535" operator="equal">
      <formula>X</formula>
    </cfRule>
  </conditionalFormatting>
  <conditionalFormatting sqref="F480:S489">
    <cfRule type="containsText" dxfId="211" priority="528" operator="containsText" text="x">
      <formula>NOT(ISERROR(SEARCH("x",F480)))</formula>
    </cfRule>
    <cfRule type="containsText" dxfId="210" priority="529" operator="containsText" text="V">
      <formula>NOT(ISERROR(SEARCH("V",F480)))</formula>
    </cfRule>
    <cfRule type="cellIs" dxfId="209" priority="530" operator="equal">
      <formula>V</formula>
    </cfRule>
    <cfRule type="cellIs" dxfId="208" priority="531" operator="equal">
      <formula>X</formula>
    </cfRule>
  </conditionalFormatting>
  <conditionalFormatting sqref="S59">
    <cfRule type="containsText" dxfId="207" priority="515" operator="containsText" text="X">
      <formula>NOT(ISERROR(SEARCH("X",S59)))</formula>
    </cfRule>
  </conditionalFormatting>
  <conditionalFormatting sqref="S59">
    <cfRule type="containsText" dxfId="206" priority="511" operator="containsText" text="x">
      <formula>NOT(ISERROR(SEARCH("x",S59)))</formula>
    </cfRule>
    <cfRule type="containsText" dxfId="205" priority="512" operator="containsText" text="V">
      <formula>NOT(ISERROR(SEARCH("V",S59)))</formula>
    </cfRule>
    <cfRule type="cellIs" dxfId="204" priority="513" operator="equal">
      <formula>V</formula>
    </cfRule>
    <cfRule type="cellIs" dxfId="203" priority="514" operator="equal">
      <formula>X</formula>
    </cfRule>
  </conditionalFormatting>
  <conditionalFormatting sqref="F12:S20">
    <cfRule type="containsText" dxfId="202" priority="444" operator="containsText" text="x">
      <formula>NOT(ISERROR(SEARCH("x",F12)))</formula>
    </cfRule>
    <cfRule type="containsText" dxfId="201" priority="445" operator="containsText" text="V">
      <formula>NOT(ISERROR(SEARCH("V",F12)))</formula>
    </cfRule>
    <cfRule type="cellIs" dxfId="200" priority="446" operator="equal">
      <formula>V</formula>
    </cfRule>
    <cfRule type="cellIs" dxfId="199" priority="447" operator="equal">
      <formula>X</formula>
    </cfRule>
  </conditionalFormatting>
  <conditionalFormatting sqref="F12:S20">
    <cfRule type="containsText" dxfId="198" priority="443" operator="containsText" text="X">
      <formula>NOT(ISERROR(SEARCH("X",F12)))</formula>
    </cfRule>
  </conditionalFormatting>
  <conditionalFormatting sqref="F59:R59">
    <cfRule type="containsText" dxfId="197" priority="442" operator="containsText" text="X">
      <formula>NOT(ISERROR(SEARCH("X",F59)))</formula>
    </cfRule>
  </conditionalFormatting>
  <conditionalFormatting sqref="F59:R59">
    <cfRule type="containsText" dxfId="196" priority="438" operator="containsText" text="x">
      <formula>NOT(ISERROR(SEARCH("x",F59)))</formula>
    </cfRule>
    <cfRule type="containsText" dxfId="195" priority="439" operator="containsText" text="V">
      <formula>NOT(ISERROR(SEARCH("V",F59)))</formula>
    </cfRule>
    <cfRule type="cellIs" dxfId="194" priority="440" operator="equal">
      <formula>V</formula>
    </cfRule>
    <cfRule type="cellIs" dxfId="193" priority="441" operator="equal">
      <formula>X</formula>
    </cfRule>
  </conditionalFormatting>
  <conditionalFormatting sqref="F450:S450 F411:S411 F372:S372 F333:S333 F294:S294 F255:S255 F216:S216 F177:S177 F138:S138 F99:S99">
    <cfRule type="containsText" dxfId="192" priority="40" operator="containsText" text="x">
      <formula>NOT(ISERROR(SEARCH("x",F99)))</formula>
    </cfRule>
    <cfRule type="containsText" dxfId="191" priority="41" operator="containsText" text="V">
      <formula>NOT(ISERROR(SEARCH("V",F99)))</formula>
    </cfRule>
    <cfRule type="cellIs" dxfId="190" priority="42" operator="equal">
      <formula>V</formula>
    </cfRule>
    <cfRule type="cellIs" dxfId="189" priority="43" operator="equal">
      <formula>X</formula>
    </cfRule>
  </conditionalFormatting>
  <conditionalFormatting sqref="S441:S449 S402:S410 S363:S371 S324:S332 S293 S254 S215 S176 S137 S98">
    <cfRule type="containsText" dxfId="188" priority="39" operator="containsText" text="X">
      <formula>NOT(ISERROR(SEARCH("X",S98)))</formula>
    </cfRule>
  </conditionalFormatting>
  <conditionalFormatting sqref="S441:S449 S402:S410 S363:S371 S324:S332 S293 S254 S215 S176 S137 S98">
    <cfRule type="containsText" dxfId="187" priority="35" operator="containsText" text="x">
      <formula>NOT(ISERROR(SEARCH("x",S98)))</formula>
    </cfRule>
    <cfRule type="containsText" dxfId="186" priority="36" operator="containsText" text="V">
      <formula>NOT(ISERROR(SEARCH("V",S98)))</formula>
    </cfRule>
    <cfRule type="cellIs" dxfId="185" priority="37" operator="equal">
      <formula>V</formula>
    </cfRule>
    <cfRule type="cellIs" dxfId="184" priority="38" operator="equal">
      <formula>X</formula>
    </cfRule>
  </conditionalFormatting>
  <conditionalFormatting sqref="F98:R98 F441:R449 F293:R293 F324:R332 F363:R371 F402:R410 F137:R137 F176:R176 F215:R215 F254:R254">
    <cfRule type="containsText" dxfId="183" priority="34" operator="containsText" text="X">
      <formula>NOT(ISERROR(SEARCH("X",F98)))</formula>
    </cfRule>
  </conditionalFormatting>
  <conditionalFormatting sqref="F98:R98 F441:R449 F293:R293 F324:R332 F363:R371 F402:R410 F137:R137 F176:R176 F215:R215 F254:R254">
    <cfRule type="containsText" dxfId="182" priority="30" operator="containsText" text="x">
      <formula>NOT(ISERROR(SEARCH("x",F98)))</formula>
    </cfRule>
    <cfRule type="containsText" dxfId="181" priority="31" operator="containsText" text="V">
      <formula>NOT(ISERROR(SEARCH("V",F98)))</formula>
    </cfRule>
    <cfRule type="cellIs" dxfId="180" priority="32" operator="equal">
      <formula>V</formula>
    </cfRule>
    <cfRule type="cellIs" dxfId="179" priority="33" operator="equal">
      <formula>X</formula>
    </cfRule>
  </conditionalFormatting>
  <conditionalFormatting sqref="F51:S58">
    <cfRule type="containsText" dxfId="178" priority="26" operator="containsText" text="x">
      <formula>NOT(ISERROR(SEARCH("x",F51)))</formula>
    </cfRule>
    <cfRule type="containsText" dxfId="177" priority="27" operator="containsText" text="V">
      <formula>NOT(ISERROR(SEARCH("V",F51)))</formula>
    </cfRule>
    <cfRule type="cellIs" dxfId="176" priority="28" operator="equal">
      <formula>V</formula>
    </cfRule>
    <cfRule type="cellIs" dxfId="175" priority="29" operator="equal">
      <formula>X</formula>
    </cfRule>
  </conditionalFormatting>
  <conditionalFormatting sqref="F51:S58">
    <cfRule type="containsText" dxfId="174" priority="25" operator="containsText" text="X">
      <formula>NOT(ISERROR(SEARCH("X",F51)))</formula>
    </cfRule>
  </conditionalFormatting>
  <conditionalFormatting sqref="F207:S214 F168:S175 F90:S97 F129:S136 F246:S253">
    <cfRule type="containsText" dxfId="173" priority="21" operator="containsText" text="x">
      <formula>NOT(ISERROR(SEARCH("x",F90)))</formula>
    </cfRule>
    <cfRule type="containsText" dxfId="172" priority="22" operator="containsText" text="V">
      <formula>NOT(ISERROR(SEARCH("V",F90)))</formula>
    </cfRule>
    <cfRule type="cellIs" dxfId="171" priority="23" operator="equal">
      <formula>V</formula>
    </cfRule>
    <cfRule type="cellIs" dxfId="170" priority="24" operator="equal">
      <formula>X</formula>
    </cfRule>
  </conditionalFormatting>
  <conditionalFormatting sqref="F207:S214 F168:S175 F90:S97 F129:S136 F246:S253">
    <cfRule type="containsText" dxfId="169" priority="20" operator="containsText" text="X">
      <formula>NOT(ISERROR(SEARCH("X",F90)))</formula>
    </cfRule>
  </conditionalFormatting>
  <conditionalFormatting sqref="F285:S292">
    <cfRule type="containsText" dxfId="168" priority="16" operator="containsText" text="x">
      <formula>NOT(ISERROR(SEARCH("x",F285)))</formula>
    </cfRule>
    <cfRule type="containsText" dxfId="167" priority="17" operator="containsText" text="V">
      <formula>NOT(ISERROR(SEARCH("V",F285)))</formula>
    </cfRule>
    <cfRule type="cellIs" dxfId="166" priority="18" operator="equal">
      <formula>V</formula>
    </cfRule>
    <cfRule type="cellIs" dxfId="165" priority="19" operator="equal">
      <formula>X</formula>
    </cfRule>
  </conditionalFormatting>
  <conditionalFormatting sqref="F285:S292">
    <cfRule type="containsText" dxfId="164" priority="15" operator="containsText" text="X">
      <formula>NOT(ISERROR(SEARCH("X",F285)))</formula>
    </cfRule>
  </conditionalFormatting>
  <pageMargins left="0.59055118110236227" right="0.59055118110236227" top="0.98425196850393704" bottom="0.74803149606299213" header="0.31496062992125984" footer="0.31496062992125984"/>
  <pageSetup paperSize="9" scale="62" fitToHeight="0" orientation="landscape" r:id="rId1"/>
  <rowBreaks count="19" manualBreakCount="19">
    <brk id="39" min="1" max="28" man="1"/>
    <brk id="78" min="1" max="28" man="1"/>
    <brk id="117" min="1" max="28" man="1"/>
    <brk id="156" min="1" max="28" man="1"/>
    <brk id="195" min="1" max="28" man="1"/>
    <brk id="234" min="1" max="28" man="1"/>
    <brk id="273" min="1" max="28" man="1"/>
    <brk id="312" min="1" max="28" man="1"/>
    <brk id="351" min="1" max="28" man="1"/>
    <brk id="390" min="1" max="28" man="1"/>
    <brk id="429" min="1" max="18" man="1"/>
    <brk id="468" min="1" max="18" man="1"/>
    <brk id="507" min="1" max="18" man="1"/>
    <brk id="554" min="1" max="18" man="1"/>
    <brk id="601" min="1" max="18" man="1"/>
    <brk id="648" min="1" max="18" man="1"/>
    <brk id="695" min="1" max="18" man="1"/>
    <brk id="742" min="1" max="18" man="1"/>
    <brk id="789" min="1" max="18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993EE8C-AD5B-4648-BD4A-DFE2D825395F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9" id="{901BCAD3-5427-447B-A2B1-A9A16F6EEAB5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10" id="{3C44806E-4898-4E5F-9CF2-6AC3C159EBB9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11" id="{F77269C0-B416-46A5-806D-70A14F5F26CA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2" id="{C3551032-A720-459E-BD4C-153F7BBC21FF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13" id="{048C4086-3F07-497E-8415-0A926416559A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14" id="{20A36D24-2AFA-439A-AB7E-527893705425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B9:AC11 B438:AC440 B399:AC401 B360:AC362 B321:AC323 B282:AC284 B243:AC245 B204:AC206 B165:AC167 B126:AC128 B87:AC89 B48:AC50</xm:sqref>
        </x14:conditionalFormatting>
        <x14:conditionalFormatting xmlns:xm="http://schemas.microsoft.com/office/excel/2006/main">
          <x14:cfRule type="expression" priority="1" id="{0E15D5DC-FEB8-425E-B9F3-FE9517992C81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6CA6002B-AB4E-4AAB-B92D-B337997215FF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FFCA6D1E-A513-498E-8038-DAA68AFE2311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F9E66F63-310F-43DB-A860-C4B7ABE915B4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EF4F99DB-0A07-4FB9-B77F-56914B17D306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D3109B2B-AA12-425D-AE60-609F811A15A2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E772A571-A2CD-45C4-B87A-56E63AA4FB57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B477:AC479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0000"/>
    <pageSetUpPr autoPageBreaks="0" fitToPage="1"/>
  </sheetPr>
  <dimension ref="A1:AE760"/>
  <sheetViews>
    <sheetView showZeros="0" view="pageBreakPreview" zoomScale="70" zoomScaleNormal="100" zoomScaleSheetLayoutView="70" workbookViewId="0">
      <selection activeCell="R9" sqref="R9:S11"/>
    </sheetView>
  </sheetViews>
  <sheetFormatPr defaultRowHeight="12.75" x14ac:dyDescent="0.25"/>
  <cols>
    <col min="1" max="1" width="9.140625" style="179"/>
    <col min="2" max="2" width="5.28515625" style="191" customWidth="1"/>
    <col min="3" max="3" width="31.85546875" style="140" customWidth="1"/>
    <col min="4" max="4" width="1.42578125" style="140" customWidth="1"/>
    <col min="5" max="5" width="9.7109375" style="140" customWidth="1"/>
    <col min="6" max="6" width="6.7109375" style="140" customWidth="1"/>
    <col min="7" max="7" width="6.7109375" style="190" customWidth="1"/>
    <col min="8" max="8" width="6.7109375" style="191" customWidth="1"/>
    <col min="9" max="9" width="6.7109375" style="190" customWidth="1"/>
    <col min="10" max="12" width="6.7109375" style="140" customWidth="1"/>
    <col min="13" max="13" width="10.42578125" style="140" customWidth="1"/>
    <col min="14" max="14" width="6.5703125" style="140" customWidth="1"/>
    <col min="15" max="15" width="18.85546875" style="140" customWidth="1"/>
    <col min="16" max="16" width="6.5703125" style="140" customWidth="1"/>
    <col min="17" max="17" width="18.85546875" style="191" customWidth="1"/>
    <col min="18" max="18" width="24.5703125" style="140" customWidth="1"/>
    <col min="19" max="19" width="24.5703125" style="225" customWidth="1"/>
    <col min="20" max="20" width="9.140625" style="140"/>
    <col min="21" max="21" width="24.42578125" style="226" customWidth="1"/>
    <col min="22" max="22" width="27.5703125" style="226" customWidth="1"/>
    <col min="23" max="24" width="9.140625" style="140"/>
    <col min="25" max="31" width="8.85546875" style="140" customWidth="1"/>
    <col min="32" max="260" width="9.140625" style="140"/>
    <col min="261" max="261" width="3.7109375" style="140" customWidth="1"/>
    <col min="262" max="262" width="20.7109375" style="140" customWidth="1"/>
    <col min="263" max="263" width="6.7109375" style="140" customWidth="1"/>
    <col min="264" max="270" width="3.7109375" style="140" customWidth="1"/>
    <col min="271" max="271" width="8.7109375" style="140" customWidth="1"/>
    <col min="272" max="272" width="9.7109375" style="140" customWidth="1"/>
    <col min="273" max="273" width="12.7109375" style="140" customWidth="1"/>
    <col min="274" max="275" width="14.7109375" style="140" customWidth="1"/>
    <col min="276" max="276" width="9.140625" style="140"/>
    <col min="277" max="277" width="9.5703125" style="140" bestFit="1" customWidth="1"/>
    <col min="278" max="516" width="9.140625" style="140"/>
    <col min="517" max="517" width="3.7109375" style="140" customWidth="1"/>
    <col min="518" max="518" width="20.7109375" style="140" customWidth="1"/>
    <col min="519" max="519" width="6.7109375" style="140" customWidth="1"/>
    <col min="520" max="526" width="3.7109375" style="140" customWidth="1"/>
    <col min="527" max="527" width="8.7109375" style="140" customWidth="1"/>
    <col min="528" max="528" width="9.7109375" style="140" customWidth="1"/>
    <col min="529" max="529" width="12.7109375" style="140" customWidth="1"/>
    <col min="530" max="531" width="14.7109375" style="140" customWidth="1"/>
    <col min="532" max="532" width="9.140625" style="140"/>
    <col min="533" max="533" width="9.5703125" style="140" bestFit="1" customWidth="1"/>
    <col min="534" max="772" width="9.140625" style="140"/>
    <col min="773" max="773" width="3.7109375" style="140" customWidth="1"/>
    <col min="774" max="774" width="20.7109375" style="140" customWidth="1"/>
    <col min="775" max="775" width="6.7109375" style="140" customWidth="1"/>
    <col min="776" max="782" width="3.7109375" style="140" customWidth="1"/>
    <col min="783" max="783" width="8.7109375" style="140" customWidth="1"/>
    <col min="784" max="784" width="9.7109375" style="140" customWidth="1"/>
    <col min="785" max="785" width="12.7109375" style="140" customWidth="1"/>
    <col min="786" max="787" width="14.7109375" style="140" customWidth="1"/>
    <col min="788" max="788" width="9.140625" style="140"/>
    <col min="789" max="789" width="9.5703125" style="140" bestFit="1" customWidth="1"/>
    <col min="790" max="1028" width="9.140625" style="140"/>
    <col min="1029" max="1029" width="3.7109375" style="140" customWidth="1"/>
    <col min="1030" max="1030" width="20.7109375" style="140" customWidth="1"/>
    <col min="1031" max="1031" width="6.7109375" style="140" customWidth="1"/>
    <col min="1032" max="1038" width="3.7109375" style="140" customWidth="1"/>
    <col min="1039" max="1039" width="8.7109375" style="140" customWidth="1"/>
    <col min="1040" max="1040" width="9.7109375" style="140" customWidth="1"/>
    <col min="1041" max="1041" width="12.7109375" style="140" customWidth="1"/>
    <col min="1042" max="1043" width="14.7109375" style="140" customWidth="1"/>
    <col min="1044" max="1044" width="9.140625" style="140"/>
    <col min="1045" max="1045" width="9.5703125" style="140" bestFit="1" customWidth="1"/>
    <col min="1046" max="1284" width="9.140625" style="140"/>
    <col min="1285" max="1285" width="3.7109375" style="140" customWidth="1"/>
    <col min="1286" max="1286" width="20.7109375" style="140" customWidth="1"/>
    <col min="1287" max="1287" width="6.7109375" style="140" customWidth="1"/>
    <col min="1288" max="1294" width="3.7109375" style="140" customWidth="1"/>
    <col min="1295" max="1295" width="8.7109375" style="140" customWidth="1"/>
    <col min="1296" max="1296" width="9.7109375" style="140" customWidth="1"/>
    <col min="1297" max="1297" width="12.7109375" style="140" customWidth="1"/>
    <col min="1298" max="1299" width="14.7109375" style="140" customWidth="1"/>
    <col min="1300" max="1300" width="9.140625" style="140"/>
    <col min="1301" max="1301" width="9.5703125" style="140" bestFit="1" customWidth="1"/>
    <col min="1302" max="1540" width="9.140625" style="140"/>
    <col min="1541" max="1541" width="3.7109375" style="140" customWidth="1"/>
    <col min="1542" max="1542" width="20.7109375" style="140" customWidth="1"/>
    <col min="1543" max="1543" width="6.7109375" style="140" customWidth="1"/>
    <col min="1544" max="1550" width="3.7109375" style="140" customWidth="1"/>
    <col min="1551" max="1551" width="8.7109375" style="140" customWidth="1"/>
    <col min="1552" max="1552" width="9.7109375" style="140" customWidth="1"/>
    <col min="1553" max="1553" width="12.7109375" style="140" customWidth="1"/>
    <col min="1554" max="1555" width="14.7109375" style="140" customWidth="1"/>
    <col min="1556" max="1556" width="9.140625" style="140"/>
    <col min="1557" max="1557" width="9.5703125" style="140" bestFit="1" customWidth="1"/>
    <col min="1558" max="1796" width="9.140625" style="140"/>
    <col min="1797" max="1797" width="3.7109375" style="140" customWidth="1"/>
    <col min="1798" max="1798" width="20.7109375" style="140" customWidth="1"/>
    <col min="1799" max="1799" width="6.7109375" style="140" customWidth="1"/>
    <col min="1800" max="1806" width="3.7109375" style="140" customWidth="1"/>
    <col min="1807" max="1807" width="8.7109375" style="140" customWidth="1"/>
    <col min="1808" max="1808" width="9.7109375" style="140" customWidth="1"/>
    <col min="1809" max="1809" width="12.7109375" style="140" customWidth="1"/>
    <col min="1810" max="1811" width="14.7109375" style="140" customWidth="1"/>
    <col min="1812" max="1812" width="9.140625" style="140"/>
    <col min="1813" max="1813" width="9.5703125" style="140" bestFit="1" customWidth="1"/>
    <col min="1814" max="2052" width="9.140625" style="140"/>
    <col min="2053" max="2053" width="3.7109375" style="140" customWidth="1"/>
    <col min="2054" max="2054" width="20.7109375" style="140" customWidth="1"/>
    <col min="2055" max="2055" width="6.7109375" style="140" customWidth="1"/>
    <col min="2056" max="2062" width="3.7109375" style="140" customWidth="1"/>
    <col min="2063" max="2063" width="8.7109375" style="140" customWidth="1"/>
    <col min="2064" max="2064" width="9.7109375" style="140" customWidth="1"/>
    <col min="2065" max="2065" width="12.7109375" style="140" customWidth="1"/>
    <col min="2066" max="2067" width="14.7109375" style="140" customWidth="1"/>
    <col min="2068" max="2068" width="9.140625" style="140"/>
    <col min="2069" max="2069" width="9.5703125" style="140" bestFit="1" customWidth="1"/>
    <col min="2070" max="2308" width="9.140625" style="140"/>
    <col min="2309" max="2309" width="3.7109375" style="140" customWidth="1"/>
    <col min="2310" max="2310" width="20.7109375" style="140" customWidth="1"/>
    <col min="2311" max="2311" width="6.7109375" style="140" customWidth="1"/>
    <col min="2312" max="2318" width="3.7109375" style="140" customWidth="1"/>
    <col min="2319" max="2319" width="8.7109375" style="140" customWidth="1"/>
    <col min="2320" max="2320" width="9.7109375" style="140" customWidth="1"/>
    <col min="2321" max="2321" width="12.7109375" style="140" customWidth="1"/>
    <col min="2322" max="2323" width="14.7109375" style="140" customWidth="1"/>
    <col min="2324" max="2324" width="9.140625" style="140"/>
    <col min="2325" max="2325" width="9.5703125" style="140" bestFit="1" customWidth="1"/>
    <col min="2326" max="2564" width="9.140625" style="140"/>
    <col min="2565" max="2565" width="3.7109375" style="140" customWidth="1"/>
    <col min="2566" max="2566" width="20.7109375" style="140" customWidth="1"/>
    <col min="2567" max="2567" width="6.7109375" style="140" customWidth="1"/>
    <col min="2568" max="2574" width="3.7109375" style="140" customWidth="1"/>
    <col min="2575" max="2575" width="8.7109375" style="140" customWidth="1"/>
    <col min="2576" max="2576" width="9.7109375" style="140" customWidth="1"/>
    <col min="2577" max="2577" width="12.7109375" style="140" customWidth="1"/>
    <col min="2578" max="2579" width="14.7109375" style="140" customWidth="1"/>
    <col min="2580" max="2580" width="9.140625" style="140"/>
    <col min="2581" max="2581" width="9.5703125" style="140" bestFit="1" customWidth="1"/>
    <col min="2582" max="2820" width="9.140625" style="140"/>
    <col min="2821" max="2821" width="3.7109375" style="140" customWidth="1"/>
    <col min="2822" max="2822" width="20.7109375" style="140" customWidth="1"/>
    <col min="2823" max="2823" width="6.7109375" style="140" customWidth="1"/>
    <col min="2824" max="2830" width="3.7109375" style="140" customWidth="1"/>
    <col min="2831" max="2831" width="8.7109375" style="140" customWidth="1"/>
    <col min="2832" max="2832" width="9.7109375" style="140" customWidth="1"/>
    <col min="2833" max="2833" width="12.7109375" style="140" customWidth="1"/>
    <col min="2834" max="2835" width="14.7109375" style="140" customWidth="1"/>
    <col min="2836" max="2836" width="9.140625" style="140"/>
    <col min="2837" max="2837" width="9.5703125" style="140" bestFit="1" customWidth="1"/>
    <col min="2838" max="3076" width="9.140625" style="140"/>
    <col min="3077" max="3077" width="3.7109375" style="140" customWidth="1"/>
    <col min="3078" max="3078" width="20.7109375" style="140" customWidth="1"/>
    <col min="3079" max="3079" width="6.7109375" style="140" customWidth="1"/>
    <col min="3080" max="3086" width="3.7109375" style="140" customWidth="1"/>
    <col min="3087" max="3087" width="8.7109375" style="140" customWidth="1"/>
    <col min="3088" max="3088" width="9.7109375" style="140" customWidth="1"/>
    <col min="3089" max="3089" width="12.7109375" style="140" customWidth="1"/>
    <col min="3090" max="3091" width="14.7109375" style="140" customWidth="1"/>
    <col min="3092" max="3092" width="9.140625" style="140"/>
    <col min="3093" max="3093" width="9.5703125" style="140" bestFit="1" customWidth="1"/>
    <col min="3094" max="3332" width="9.140625" style="140"/>
    <col min="3333" max="3333" width="3.7109375" style="140" customWidth="1"/>
    <col min="3334" max="3334" width="20.7109375" style="140" customWidth="1"/>
    <col min="3335" max="3335" width="6.7109375" style="140" customWidth="1"/>
    <col min="3336" max="3342" width="3.7109375" style="140" customWidth="1"/>
    <col min="3343" max="3343" width="8.7109375" style="140" customWidth="1"/>
    <col min="3344" max="3344" width="9.7109375" style="140" customWidth="1"/>
    <col min="3345" max="3345" width="12.7109375" style="140" customWidth="1"/>
    <col min="3346" max="3347" width="14.7109375" style="140" customWidth="1"/>
    <col min="3348" max="3348" width="9.140625" style="140"/>
    <col min="3349" max="3349" width="9.5703125" style="140" bestFit="1" customWidth="1"/>
    <col min="3350" max="3588" width="9.140625" style="140"/>
    <col min="3589" max="3589" width="3.7109375" style="140" customWidth="1"/>
    <col min="3590" max="3590" width="20.7109375" style="140" customWidth="1"/>
    <col min="3591" max="3591" width="6.7109375" style="140" customWidth="1"/>
    <col min="3592" max="3598" width="3.7109375" style="140" customWidth="1"/>
    <col min="3599" max="3599" width="8.7109375" style="140" customWidth="1"/>
    <col min="3600" max="3600" width="9.7109375" style="140" customWidth="1"/>
    <col min="3601" max="3601" width="12.7109375" style="140" customWidth="1"/>
    <col min="3602" max="3603" width="14.7109375" style="140" customWidth="1"/>
    <col min="3604" max="3604" width="9.140625" style="140"/>
    <col min="3605" max="3605" width="9.5703125" style="140" bestFit="1" customWidth="1"/>
    <col min="3606" max="3844" width="9.140625" style="140"/>
    <col min="3845" max="3845" width="3.7109375" style="140" customWidth="1"/>
    <col min="3846" max="3846" width="20.7109375" style="140" customWidth="1"/>
    <col min="3847" max="3847" width="6.7109375" style="140" customWidth="1"/>
    <col min="3848" max="3854" width="3.7109375" style="140" customWidth="1"/>
    <col min="3855" max="3855" width="8.7109375" style="140" customWidth="1"/>
    <col min="3856" max="3856" width="9.7109375" style="140" customWidth="1"/>
    <col min="3857" max="3857" width="12.7109375" style="140" customWidth="1"/>
    <col min="3858" max="3859" width="14.7109375" style="140" customWidth="1"/>
    <col min="3860" max="3860" width="9.140625" style="140"/>
    <col min="3861" max="3861" width="9.5703125" style="140" bestFit="1" customWidth="1"/>
    <col min="3862" max="4100" width="9.140625" style="140"/>
    <col min="4101" max="4101" width="3.7109375" style="140" customWidth="1"/>
    <col min="4102" max="4102" width="20.7109375" style="140" customWidth="1"/>
    <col min="4103" max="4103" width="6.7109375" style="140" customWidth="1"/>
    <col min="4104" max="4110" width="3.7109375" style="140" customWidth="1"/>
    <col min="4111" max="4111" width="8.7109375" style="140" customWidth="1"/>
    <col min="4112" max="4112" width="9.7109375" style="140" customWidth="1"/>
    <col min="4113" max="4113" width="12.7109375" style="140" customWidth="1"/>
    <col min="4114" max="4115" width="14.7109375" style="140" customWidth="1"/>
    <col min="4116" max="4116" width="9.140625" style="140"/>
    <col min="4117" max="4117" width="9.5703125" style="140" bestFit="1" customWidth="1"/>
    <col min="4118" max="4356" width="9.140625" style="140"/>
    <col min="4357" max="4357" width="3.7109375" style="140" customWidth="1"/>
    <col min="4358" max="4358" width="20.7109375" style="140" customWidth="1"/>
    <col min="4359" max="4359" width="6.7109375" style="140" customWidth="1"/>
    <col min="4360" max="4366" width="3.7109375" style="140" customWidth="1"/>
    <col min="4367" max="4367" width="8.7109375" style="140" customWidth="1"/>
    <col min="4368" max="4368" width="9.7109375" style="140" customWidth="1"/>
    <col min="4369" max="4369" width="12.7109375" style="140" customWidth="1"/>
    <col min="4370" max="4371" width="14.7109375" style="140" customWidth="1"/>
    <col min="4372" max="4372" width="9.140625" style="140"/>
    <col min="4373" max="4373" width="9.5703125" style="140" bestFit="1" customWidth="1"/>
    <col min="4374" max="4612" width="9.140625" style="140"/>
    <col min="4613" max="4613" width="3.7109375" style="140" customWidth="1"/>
    <col min="4614" max="4614" width="20.7109375" style="140" customWidth="1"/>
    <col min="4615" max="4615" width="6.7109375" style="140" customWidth="1"/>
    <col min="4616" max="4622" width="3.7109375" style="140" customWidth="1"/>
    <col min="4623" max="4623" width="8.7109375" style="140" customWidth="1"/>
    <col min="4624" max="4624" width="9.7109375" style="140" customWidth="1"/>
    <col min="4625" max="4625" width="12.7109375" style="140" customWidth="1"/>
    <col min="4626" max="4627" width="14.7109375" style="140" customWidth="1"/>
    <col min="4628" max="4628" width="9.140625" style="140"/>
    <col min="4629" max="4629" width="9.5703125" style="140" bestFit="1" customWidth="1"/>
    <col min="4630" max="4868" width="9.140625" style="140"/>
    <col min="4869" max="4869" width="3.7109375" style="140" customWidth="1"/>
    <col min="4870" max="4870" width="20.7109375" style="140" customWidth="1"/>
    <col min="4871" max="4871" width="6.7109375" style="140" customWidth="1"/>
    <col min="4872" max="4878" width="3.7109375" style="140" customWidth="1"/>
    <col min="4879" max="4879" width="8.7109375" style="140" customWidth="1"/>
    <col min="4880" max="4880" width="9.7109375" style="140" customWidth="1"/>
    <col min="4881" max="4881" width="12.7109375" style="140" customWidth="1"/>
    <col min="4882" max="4883" width="14.7109375" style="140" customWidth="1"/>
    <col min="4884" max="4884" width="9.140625" style="140"/>
    <col min="4885" max="4885" width="9.5703125" style="140" bestFit="1" customWidth="1"/>
    <col min="4886" max="5124" width="9.140625" style="140"/>
    <col min="5125" max="5125" width="3.7109375" style="140" customWidth="1"/>
    <col min="5126" max="5126" width="20.7109375" style="140" customWidth="1"/>
    <col min="5127" max="5127" width="6.7109375" style="140" customWidth="1"/>
    <col min="5128" max="5134" width="3.7109375" style="140" customWidth="1"/>
    <col min="5135" max="5135" width="8.7109375" style="140" customWidth="1"/>
    <col min="5136" max="5136" width="9.7109375" style="140" customWidth="1"/>
    <col min="5137" max="5137" width="12.7109375" style="140" customWidth="1"/>
    <col min="5138" max="5139" width="14.7109375" style="140" customWidth="1"/>
    <col min="5140" max="5140" width="9.140625" style="140"/>
    <col min="5141" max="5141" width="9.5703125" style="140" bestFit="1" customWidth="1"/>
    <col min="5142" max="5380" width="9.140625" style="140"/>
    <col min="5381" max="5381" width="3.7109375" style="140" customWidth="1"/>
    <col min="5382" max="5382" width="20.7109375" style="140" customWidth="1"/>
    <col min="5383" max="5383" width="6.7109375" style="140" customWidth="1"/>
    <col min="5384" max="5390" width="3.7109375" style="140" customWidth="1"/>
    <col min="5391" max="5391" width="8.7109375" style="140" customWidth="1"/>
    <col min="5392" max="5392" width="9.7109375" style="140" customWidth="1"/>
    <col min="5393" max="5393" width="12.7109375" style="140" customWidth="1"/>
    <col min="5394" max="5395" width="14.7109375" style="140" customWidth="1"/>
    <col min="5396" max="5396" width="9.140625" style="140"/>
    <col min="5397" max="5397" width="9.5703125" style="140" bestFit="1" customWidth="1"/>
    <col min="5398" max="5636" width="9.140625" style="140"/>
    <col min="5637" max="5637" width="3.7109375" style="140" customWidth="1"/>
    <col min="5638" max="5638" width="20.7109375" style="140" customWidth="1"/>
    <col min="5639" max="5639" width="6.7109375" style="140" customWidth="1"/>
    <col min="5640" max="5646" width="3.7109375" style="140" customWidth="1"/>
    <col min="5647" max="5647" width="8.7109375" style="140" customWidth="1"/>
    <col min="5648" max="5648" width="9.7109375" style="140" customWidth="1"/>
    <col min="5649" max="5649" width="12.7109375" style="140" customWidth="1"/>
    <col min="5650" max="5651" width="14.7109375" style="140" customWidth="1"/>
    <col min="5652" max="5652" width="9.140625" style="140"/>
    <col min="5653" max="5653" width="9.5703125" style="140" bestFit="1" customWidth="1"/>
    <col min="5654" max="5892" width="9.140625" style="140"/>
    <col min="5893" max="5893" width="3.7109375" style="140" customWidth="1"/>
    <col min="5894" max="5894" width="20.7109375" style="140" customWidth="1"/>
    <col min="5895" max="5895" width="6.7109375" style="140" customWidth="1"/>
    <col min="5896" max="5902" width="3.7109375" style="140" customWidth="1"/>
    <col min="5903" max="5903" width="8.7109375" style="140" customWidth="1"/>
    <col min="5904" max="5904" width="9.7109375" style="140" customWidth="1"/>
    <col min="5905" max="5905" width="12.7109375" style="140" customWidth="1"/>
    <col min="5906" max="5907" width="14.7109375" style="140" customWidth="1"/>
    <col min="5908" max="5908" width="9.140625" style="140"/>
    <col min="5909" max="5909" width="9.5703125" style="140" bestFit="1" customWidth="1"/>
    <col min="5910" max="6148" width="9.140625" style="140"/>
    <col min="6149" max="6149" width="3.7109375" style="140" customWidth="1"/>
    <col min="6150" max="6150" width="20.7109375" style="140" customWidth="1"/>
    <col min="6151" max="6151" width="6.7109375" style="140" customWidth="1"/>
    <col min="6152" max="6158" width="3.7109375" style="140" customWidth="1"/>
    <col min="6159" max="6159" width="8.7109375" style="140" customWidth="1"/>
    <col min="6160" max="6160" width="9.7109375" style="140" customWidth="1"/>
    <col min="6161" max="6161" width="12.7109375" style="140" customWidth="1"/>
    <col min="6162" max="6163" width="14.7109375" style="140" customWidth="1"/>
    <col min="6164" max="6164" width="9.140625" style="140"/>
    <col min="6165" max="6165" width="9.5703125" style="140" bestFit="1" customWidth="1"/>
    <col min="6166" max="6404" width="9.140625" style="140"/>
    <col min="6405" max="6405" width="3.7109375" style="140" customWidth="1"/>
    <col min="6406" max="6406" width="20.7109375" style="140" customWidth="1"/>
    <col min="6407" max="6407" width="6.7109375" style="140" customWidth="1"/>
    <col min="6408" max="6414" width="3.7109375" style="140" customWidth="1"/>
    <col min="6415" max="6415" width="8.7109375" style="140" customWidth="1"/>
    <col min="6416" max="6416" width="9.7109375" style="140" customWidth="1"/>
    <col min="6417" max="6417" width="12.7109375" style="140" customWidth="1"/>
    <col min="6418" max="6419" width="14.7109375" style="140" customWidth="1"/>
    <col min="6420" max="6420" width="9.140625" style="140"/>
    <col min="6421" max="6421" width="9.5703125" style="140" bestFit="1" customWidth="1"/>
    <col min="6422" max="6660" width="9.140625" style="140"/>
    <col min="6661" max="6661" width="3.7109375" style="140" customWidth="1"/>
    <col min="6662" max="6662" width="20.7109375" style="140" customWidth="1"/>
    <col min="6663" max="6663" width="6.7109375" style="140" customWidth="1"/>
    <col min="6664" max="6670" width="3.7109375" style="140" customWidth="1"/>
    <col min="6671" max="6671" width="8.7109375" style="140" customWidth="1"/>
    <col min="6672" max="6672" width="9.7109375" style="140" customWidth="1"/>
    <col min="6673" max="6673" width="12.7109375" style="140" customWidth="1"/>
    <col min="6674" max="6675" width="14.7109375" style="140" customWidth="1"/>
    <col min="6676" max="6676" width="9.140625" style="140"/>
    <col min="6677" max="6677" width="9.5703125" style="140" bestFit="1" customWidth="1"/>
    <col min="6678" max="6916" width="9.140625" style="140"/>
    <col min="6917" max="6917" width="3.7109375" style="140" customWidth="1"/>
    <col min="6918" max="6918" width="20.7109375" style="140" customWidth="1"/>
    <col min="6919" max="6919" width="6.7109375" style="140" customWidth="1"/>
    <col min="6920" max="6926" width="3.7109375" style="140" customWidth="1"/>
    <col min="6927" max="6927" width="8.7109375" style="140" customWidth="1"/>
    <col min="6928" max="6928" width="9.7109375" style="140" customWidth="1"/>
    <col min="6929" max="6929" width="12.7109375" style="140" customWidth="1"/>
    <col min="6930" max="6931" width="14.7109375" style="140" customWidth="1"/>
    <col min="6932" max="6932" width="9.140625" style="140"/>
    <col min="6933" max="6933" width="9.5703125" style="140" bestFit="1" customWidth="1"/>
    <col min="6934" max="7172" width="9.140625" style="140"/>
    <col min="7173" max="7173" width="3.7109375" style="140" customWidth="1"/>
    <col min="7174" max="7174" width="20.7109375" style="140" customWidth="1"/>
    <col min="7175" max="7175" width="6.7109375" style="140" customWidth="1"/>
    <col min="7176" max="7182" width="3.7109375" style="140" customWidth="1"/>
    <col min="7183" max="7183" width="8.7109375" style="140" customWidth="1"/>
    <col min="7184" max="7184" width="9.7109375" style="140" customWidth="1"/>
    <col min="7185" max="7185" width="12.7109375" style="140" customWidth="1"/>
    <col min="7186" max="7187" width="14.7109375" style="140" customWidth="1"/>
    <col min="7188" max="7188" width="9.140625" style="140"/>
    <col min="7189" max="7189" width="9.5703125" style="140" bestFit="1" customWidth="1"/>
    <col min="7190" max="7428" width="9.140625" style="140"/>
    <col min="7429" max="7429" width="3.7109375" style="140" customWidth="1"/>
    <col min="7430" max="7430" width="20.7109375" style="140" customWidth="1"/>
    <col min="7431" max="7431" width="6.7109375" style="140" customWidth="1"/>
    <col min="7432" max="7438" width="3.7109375" style="140" customWidth="1"/>
    <col min="7439" max="7439" width="8.7109375" style="140" customWidth="1"/>
    <col min="7440" max="7440" width="9.7109375" style="140" customWidth="1"/>
    <col min="7441" max="7441" width="12.7109375" style="140" customWidth="1"/>
    <col min="7442" max="7443" width="14.7109375" style="140" customWidth="1"/>
    <col min="7444" max="7444" width="9.140625" style="140"/>
    <col min="7445" max="7445" width="9.5703125" style="140" bestFit="1" customWidth="1"/>
    <col min="7446" max="7684" width="9.140625" style="140"/>
    <col min="7685" max="7685" width="3.7109375" style="140" customWidth="1"/>
    <col min="7686" max="7686" width="20.7109375" style="140" customWidth="1"/>
    <col min="7687" max="7687" width="6.7109375" style="140" customWidth="1"/>
    <col min="7688" max="7694" width="3.7109375" style="140" customWidth="1"/>
    <col min="7695" max="7695" width="8.7109375" style="140" customWidth="1"/>
    <col min="7696" max="7696" width="9.7109375" style="140" customWidth="1"/>
    <col min="7697" max="7697" width="12.7109375" style="140" customWidth="1"/>
    <col min="7698" max="7699" width="14.7109375" style="140" customWidth="1"/>
    <col min="7700" max="7700" width="9.140625" style="140"/>
    <col min="7701" max="7701" width="9.5703125" style="140" bestFit="1" customWidth="1"/>
    <col min="7702" max="7940" width="9.140625" style="140"/>
    <col min="7941" max="7941" width="3.7109375" style="140" customWidth="1"/>
    <col min="7942" max="7942" width="20.7109375" style="140" customWidth="1"/>
    <col min="7943" max="7943" width="6.7109375" style="140" customWidth="1"/>
    <col min="7944" max="7950" width="3.7109375" style="140" customWidth="1"/>
    <col min="7951" max="7951" width="8.7109375" style="140" customWidth="1"/>
    <col min="7952" max="7952" width="9.7109375" style="140" customWidth="1"/>
    <col min="7953" max="7953" width="12.7109375" style="140" customWidth="1"/>
    <col min="7954" max="7955" width="14.7109375" style="140" customWidth="1"/>
    <col min="7956" max="7956" width="9.140625" style="140"/>
    <col min="7957" max="7957" width="9.5703125" style="140" bestFit="1" customWidth="1"/>
    <col min="7958" max="8196" width="9.140625" style="140"/>
    <col min="8197" max="8197" width="3.7109375" style="140" customWidth="1"/>
    <col min="8198" max="8198" width="20.7109375" style="140" customWidth="1"/>
    <col min="8199" max="8199" width="6.7109375" style="140" customWidth="1"/>
    <col min="8200" max="8206" width="3.7109375" style="140" customWidth="1"/>
    <col min="8207" max="8207" width="8.7109375" style="140" customWidth="1"/>
    <col min="8208" max="8208" width="9.7109375" style="140" customWidth="1"/>
    <col min="8209" max="8209" width="12.7109375" style="140" customWidth="1"/>
    <col min="8210" max="8211" width="14.7109375" style="140" customWidth="1"/>
    <col min="8212" max="8212" width="9.140625" style="140"/>
    <col min="8213" max="8213" width="9.5703125" style="140" bestFit="1" customWidth="1"/>
    <col min="8214" max="8452" width="9.140625" style="140"/>
    <col min="8453" max="8453" width="3.7109375" style="140" customWidth="1"/>
    <col min="8454" max="8454" width="20.7109375" style="140" customWidth="1"/>
    <col min="8455" max="8455" width="6.7109375" style="140" customWidth="1"/>
    <col min="8456" max="8462" width="3.7109375" style="140" customWidth="1"/>
    <col min="8463" max="8463" width="8.7109375" style="140" customWidth="1"/>
    <col min="8464" max="8464" width="9.7109375" style="140" customWidth="1"/>
    <col min="8465" max="8465" width="12.7109375" style="140" customWidth="1"/>
    <col min="8466" max="8467" width="14.7109375" style="140" customWidth="1"/>
    <col min="8468" max="8468" width="9.140625" style="140"/>
    <col min="8469" max="8469" width="9.5703125" style="140" bestFit="1" customWidth="1"/>
    <col min="8470" max="8708" width="9.140625" style="140"/>
    <col min="8709" max="8709" width="3.7109375" style="140" customWidth="1"/>
    <col min="8710" max="8710" width="20.7109375" style="140" customWidth="1"/>
    <col min="8711" max="8711" width="6.7109375" style="140" customWidth="1"/>
    <col min="8712" max="8718" width="3.7109375" style="140" customWidth="1"/>
    <col min="8719" max="8719" width="8.7109375" style="140" customWidth="1"/>
    <col min="8720" max="8720" width="9.7109375" style="140" customWidth="1"/>
    <col min="8721" max="8721" width="12.7109375" style="140" customWidth="1"/>
    <col min="8722" max="8723" width="14.7109375" style="140" customWidth="1"/>
    <col min="8724" max="8724" width="9.140625" style="140"/>
    <col min="8725" max="8725" width="9.5703125" style="140" bestFit="1" customWidth="1"/>
    <col min="8726" max="8964" width="9.140625" style="140"/>
    <col min="8965" max="8965" width="3.7109375" style="140" customWidth="1"/>
    <col min="8966" max="8966" width="20.7109375" style="140" customWidth="1"/>
    <col min="8967" max="8967" width="6.7109375" style="140" customWidth="1"/>
    <col min="8968" max="8974" width="3.7109375" style="140" customWidth="1"/>
    <col min="8975" max="8975" width="8.7109375" style="140" customWidth="1"/>
    <col min="8976" max="8976" width="9.7109375" style="140" customWidth="1"/>
    <col min="8977" max="8977" width="12.7109375" style="140" customWidth="1"/>
    <col min="8978" max="8979" width="14.7109375" style="140" customWidth="1"/>
    <col min="8980" max="8980" width="9.140625" style="140"/>
    <col min="8981" max="8981" width="9.5703125" style="140" bestFit="1" customWidth="1"/>
    <col min="8982" max="9220" width="9.140625" style="140"/>
    <col min="9221" max="9221" width="3.7109375" style="140" customWidth="1"/>
    <col min="9222" max="9222" width="20.7109375" style="140" customWidth="1"/>
    <col min="9223" max="9223" width="6.7109375" style="140" customWidth="1"/>
    <col min="9224" max="9230" width="3.7109375" style="140" customWidth="1"/>
    <col min="9231" max="9231" width="8.7109375" style="140" customWidth="1"/>
    <col min="9232" max="9232" width="9.7109375" style="140" customWidth="1"/>
    <col min="9233" max="9233" width="12.7109375" style="140" customWidth="1"/>
    <col min="9234" max="9235" width="14.7109375" style="140" customWidth="1"/>
    <col min="9236" max="9236" width="9.140625" style="140"/>
    <col min="9237" max="9237" width="9.5703125" style="140" bestFit="1" customWidth="1"/>
    <col min="9238" max="9476" width="9.140625" style="140"/>
    <col min="9477" max="9477" width="3.7109375" style="140" customWidth="1"/>
    <col min="9478" max="9478" width="20.7109375" style="140" customWidth="1"/>
    <col min="9479" max="9479" width="6.7109375" style="140" customWidth="1"/>
    <col min="9480" max="9486" width="3.7109375" style="140" customWidth="1"/>
    <col min="9487" max="9487" width="8.7109375" style="140" customWidth="1"/>
    <col min="9488" max="9488" width="9.7109375" style="140" customWidth="1"/>
    <col min="9489" max="9489" width="12.7109375" style="140" customWidth="1"/>
    <col min="9490" max="9491" width="14.7109375" style="140" customWidth="1"/>
    <col min="9492" max="9492" width="9.140625" style="140"/>
    <col min="9493" max="9493" width="9.5703125" style="140" bestFit="1" customWidth="1"/>
    <col min="9494" max="9732" width="9.140625" style="140"/>
    <col min="9733" max="9733" width="3.7109375" style="140" customWidth="1"/>
    <col min="9734" max="9734" width="20.7109375" style="140" customWidth="1"/>
    <col min="9735" max="9735" width="6.7109375" style="140" customWidth="1"/>
    <col min="9736" max="9742" width="3.7109375" style="140" customWidth="1"/>
    <col min="9743" max="9743" width="8.7109375" style="140" customWidth="1"/>
    <col min="9744" max="9744" width="9.7109375" style="140" customWidth="1"/>
    <col min="9745" max="9745" width="12.7109375" style="140" customWidth="1"/>
    <col min="9746" max="9747" width="14.7109375" style="140" customWidth="1"/>
    <col min="9748" max="9748" width="9.140625" style="140"/>
    <col min="9749" max="9749" width="9.5703125" style="140" bestFit="1" customWidth="1"/>
    <col min="9750" max="9988" width="9.140625" style="140"/>
    <col min="9989" max="9989" width="3.7109375" style="140" customWidth="1"/>
    <col min="9990" max="9990" width="20.7109375" style="140" customWidth="1"/>
    <col min="9991" max="9991" width="6.7109375" style="140" customWidth="1"/>
    <col min="9992" max="9998" width="3.7109375" style="140" customWidth="1"/>
    <col min="9999" max="9999" width="8.7109375" style="140" customWidth="1"/>
    <col min="10000" max="10000" width="9.7109375" style="140" customWidth="1"/>
    <col min="10001" max="10001" width="12.7109375" style="140" customWidth="1"/>
    <col min="10002" max="10003" width="14.7109375" style="140" customWidth="1"/>
    <col min="10004" max="10004" width="9.140625" style="140"/>
    <col min="10005" max="10005" width="9.5703125" style="140" bestFit="1" customWidth="1"/>
    <col min="10006" max="10244" width="9.140625" style="140"/>
    <col min="10245" max="10245" width="3.7109375" style="140" customWidth="1"/>
    <col min="10246" max="10246" width="20.7109375" style="140" customWidth="1"/>
    <col min="10247" max="10247" width="6.7109375" style="140" customWidth="1"/>
    <col min="10248" max="10254" width="3.7109375" style="140" customWidth="1"/>
    <col min="10255" max="10255" width="8.7109375" style="140" customWidth="1"/>
    <col min="10256" max="10256" width="9.7109375" style="140" customWidth="1"/>
    <col min="10257" max="10257" width="12.7109375" style="140" customWidth="1"/>
    <col min="10258" max="10259" width="14.7109375" style="140" customWidth="1"/>
    <col min="10260" max="10260" width="9.140625" style="140"/>
    <col min="10261" max="10261" width="9.5703125" style="140" bestFit="1" customWidth="1"/>
    <col min="10262" max="10500" width="9.140625" style="140"/>
    <col min="10501" max="10501" width="3.7109375" style="140" customWidth="1"/>
    <col min="10502" max="10502" width="20.7109375" style="140" customWidth="1"/>
    <col min="10503" max="10503" width="6.7109375" style="140" customWidth="1"/>
    <col min="10504" max="10510" width="3.7109375" style="140" customWidth="1"/>
    <col min="10511" max="10511" width="8.7109375" style="140" customWidth="1"/>
    <col min="10512" max="10512" width="9.7109375" style="140" customWidth="1"/>
    <col min="10513" max="10513" width="12.7109375" style="140" customWidth="1"/>
    <col min="10514" max="10515" width="14.7109375" style="140" customWidth="1"/>
    <col min="10516" max="10516" width="9.140625" style="140"/>
    <col min="10517" max="10517" width="9.5703125" style="140" bestFit="1" customWidth="1"/>
    <col min="10518" max="10756" width="9.140625" style="140"/>
    <col min="10757" max="10757" width="3.7109375" style="140" customWidth="1"/>
    <col min="10758" max="10758" width="20.7109375" style="140" customWidth="1"/>
    <col min="10759" max="10759" width="6.7109375" style="140" customWidth="1"/>
    <col min="10760" max="10766" width="3.7109375" style="140" customWidth="1"/>
    <col min="10767" max="10767" width="8.7109375" style="140" customWidth="1"/>
    <col min="10768" max="10768" width="9.7109375" style="140" customWidth="1"/>
    <col min="10769" max="10769" width="12.7109375" style="140" customWidth="1"/>
    <col min="10770" max="10771" width="14.7109375" style="140" customWidth="1"/>
    <col min="10772" max="10772" width="9.140625" style="140"/>
    <col min="10773" max="10773" width="9.5703125" style="140" bestFit="1" customWidth="1"/>
    <col min="10774" max="11012" width="9.140625" style="140"/>
    <col min="11013" max="11013" width="3.7109375" style="140" customWidth="1"/>
    <col min="11014" max="11014" width="20.7109375" style="140" customWidth="1"/>
    <col min="11015" max="11015" width="6.7109375" style="140" customWidth="1"/>
    <col min="11016" max="11022" width="3.7109375" style="140" customWidth="1"/>
    <col min="11023" max="11023" width="8.7109375" style="140" customWidth="1"/>
    <col min="11024" max="11024" width="9.7109375" style="140" customWidth="1"/>
    <col min="11025" max="11025" width="12.7109375" style="140" customWidth="1"/>
    <col min="11026" max="11027" width="14.7109375" style="140" customWidth="1"/>
    <col min="11028" max="11028" width="9.140625" style="140"/>
    <col min="11029" max="11029" width="9.5703125" style="140" bestFit="1" customWidth="1"/>
    <col min="11030" max="11268" width="9.140625" style="140"/>
    <col min="11269" max="11269" width="3.7109375" style="140" customWidth="1"/>
    <col min="11270" max="11270" width="20.7109375" style="140" customWidth="1"/>
    <col min="11271" max="11271" width="6.7109375" style="140" customWidth="1"/>
    <col min="11272" max="11278" width="3.7109375" style="140" customWidth="1"/>
    <col min="11279" max="11279" width="8.7109375" style="140" customWidth="1"/>
    <col min="11280" max="11280" width="9.7109375" style="140" customWidth="1"/>
    <col min="11281" max="11281" width="12.7109375" style="140" customWidth="1"/>
    <col min="11282" max="11283" width="14.7109375" style="140" customWidth="1"/>
    <col min="11284" max="11284" width="9.140625" style="140"/>
    <col min="11285" max="11285" width="9.5703125" style="140" bestFit="1" customWidth="1"/>
    <col min="11286" max="11524" width="9.140625" style="140"/>
    <col min="11525" max="11525" width="3.7109375" style="140" customWidth="1"/>
    <col min="11526" max="11526" width="20.7109375" style="140" customWidth="1"/>
    <col min="11527" max="11527" width="6.7109375" style="140" customWidth="1"/>
    <col min="11528" max="11534" width="3.7109375" style="140" customWidth="1"/>
    <col min="11535" max="11535" width="8.7109375" style="140" customWidth="1"/>
    <col min="11536" max="11536" width="9.7109375" style="140" customWidth="1"/>
    <col min="11537" max="11537" width="12.7109375" style="140" customWidth="1"/>
    <col min="11538" max="11539" width="14.7109375" style="140" customWidth="1"/>
    <col min="11540" max="11540" width="9.140625" style="140"/>
    <col min="11541" max="11541" width="9.5703125" style="140" bestFit="1" customWidth="1"/>
    <col min="11542" max="11780" width="9.140625" style="140"/>
    <col min="11781" max="11781" width="3.7109375" style="140" customWidth="1"/>
    <col min="11782" max="11782" width="20.7109375" style="140" customWidth="1"/>
    <col min="11783" max="11783" width="6.7109375" style="140" customWidth="1"/>
    <col min="11784" max="11790" width="3.7109375" style="140" customWidth="1"/>
    <col min="11791" max="11791" width="8.7109375" style="140" customWidth="1"/>
    <col min="11792" max="11792" width="9.7109375" style="140" customWidth="1"/>
    <col min="11793" max="11793" width="12.7109375" style="140" customWidth="1"/>
    <col min="11794" max="11795" width="14.7109375" style="140" customWidth="1"/>
    <col min="11796" max="11796" width="9.140625" style="140"/>
    <col min="11797" max="11797" width="9.5703125" style="140" bestFit="1" customWidth="1"/>
    <col min="11798" max="12036" width="9.140625" style="140"/>
    <col min="12037" max="12037" width="3.7109375" style="140" customWidth="1"/>
    <col min="12038" max="12038" width="20.7109375" style="140" customWidth="1"/>
    <col min="12039" max="12039" width="6.7109375" style="140" customWidth="1"/>
    <col min="12040" max="12046" width="3.7109375" style="140" customWidth="1"/>
    <col min="12047" max="12047" width="8.7109375" style="140" customWidth="1"/>
    <col min="12048" max="12048" width="9.7109375" style="140" customWidth="1"/>
    <col min="12049" max="12049" width="12.7109375" style="140" customWidth="1"/>
    <col min="12050" max="12051" width="14.7109375" style="140" customWidth="1"/>
    <col min="12052" max="12052" width="9.140625" style="140"/>
    <col min="12053" max="12053" width="9.5703125" style="140" bestFit="1" customWidth="1"/>
    <col min="12054" max="12292" width="9.140625" style="140"/>
    <col min="12293" max="12293" width="3.7109375" style="140" customWidth="1"/>
    <col min="12294" max="12294" width="20.7109375" style="140" customWidth="1"/>
    <col min="12295" max="12295" width="6.7109375" style="140" customWidth="1"/>
    <col min="12296" max="12302" width="3.7109375" style="140" customWidth="1"/>
    <col min="12303" max="12303" width="8.7109375" style="140" customWidth="1"/>
    <col min="12304" max="12304" width="9.7109375" style="140" customWidth="1"/>
    <col min="12305" max="12305" width="12.7109375" style="140" customWidth="1"/>
    <col min="12306" max="12307" width="14.7109375" style="140" customWidth="1"/>
    <col min="12308" max="12308" width="9.140625" style="140"/>
    <col min="12309" max="12309" width="9.5703125" style="140" bestFit="1" customWidth="1"/>
    <col min="12310" max="12548" width="9.140625" style="140"/>
    <col min="12549" max="12549" width="3.7109375" style="140" customWidth="1"/>
    <col min="12550" max="12550" width="20.7109375" style="140" customWidth="1"/>
    <col min="12551" max="12551" width="6.7109375" style="140" customWidth="1"/>
    <col min="12552" max="12558" width="3.7109375" style="140" customWidth="1"/>
    <col min="12559" max="12559" width="8.7109375" style="140" customWidth="1"/>
    <col min="12560" max="12560" width="9.7109375" style="140" customWidth="1"/>
    <col min="12561" max="12561" width="12.7109375" style="140" customWidth="1"/>
    <col min="12562" max="12563" width="14.7109375" style="140" customWidth="1"/>
    <col min="12564" max="12564" width="9.140625" style="140"/>
    <col min="12565" max="12565" width="9.5703125" style="140" bestFit="1" customWidth="1"/>
    <col min="12566" max="12804" width="9.140625" style="140"/>
    <col min="12805" max="12805" width="3.7109375" style="140" customWidth="1"/>
    <col min="12806" max="12806" width="20.7109375" style="140" customWidth="1"/>
    <col min="12807" max="12807" width="6.7109375" style="140" customWidth="1"/>
    <col min="12808" max="12814" width="3.7109375" style="140" customWidth="1"/>
    <col min="12815" max="12815" width="8.7109375" style="140" customWidth="1"/>
    <col min="12816" max="12816" width="9.7109375" style="140" customWidth="1"/>
    <col min="12817" max="12817" width="12.7109375" style="140" customWidth="1"/>
    <col min="12818" max="12819" width="14.7109375" style="140" customWidth="1"/>
    <col min="12820" max="12820" width="9.140625" style="140"/>
    <col min="12821" max="12821" width="9.5703125" style="140" bestFit="1" customWidth="1"/>
    <col min="12822" max="13060" width="9.140625" style="140"/>
    <col min="13061" max="13061" width="3.7109375" style="140" customWidth="1"/>
    <col min="13062" max="13062" width="20.7109375" style="140" customWidth="1"/>
    <col min="13063" max="13063" width="6.7109375" style="140" customWidth="1"/>
    <col min="13064" max="13070" width="3.7109375" style="140" customWidth="1"/>
    <col min="13071" max="13071" width="8.7109375" style="140" customWidth="1"/>
    <col min="13072" max="13072" width="9.7109375" style="140" customWidth="1"/>
    <col min="13073" max="13073" width="12.7109375" style="140" customWidth="1"/>
    <col min="13074" max="13075" width="14.7109375" style="140" customWidth="1"/>
    <col min="13076" max="13076" width="9.140625" style="140"/>
    <col min="13077" max="13077" width="9.5703125" style="140" bestFit="1" customWidth="1"/>
    <col min="13078" max="13316" width="9.140625" style="140"/>
    <col min="13317" max="13317" width="3.7109375" style="140" customWidth="1"/>
    <col min="13318" max="13318" width="20.7109375" style="140" customWidth="1"/>
    <col min="13319" max="13319" width="6.7109375" style="140" customWidth="1"/>
    <col min="13320" max="13326" width="3.7109375" style="140" customWidth="1"/>
    <col min="13327" max="13327" width="8.7109375" style="140" customWidth="1"/>
    <col min="13328" max="13328" width="9.7109375" style="140" customWidth="1"/>
    <col min="13329" max="13329" width="12.7109375" style="140" customWidth="1"/>
    <col min="13330" max="13331" width="14.7109375" style="140" customWidth="1"/>
    <col min="13332" max="13332" width="9.140625" style="140"/>
    <col min="13333" max="13333" width="9.5703125" style="140" bestFit="1" customWidth="1"/>
    <col min="13334" max="13572" width="9.140625" style="140"/>
    <col min="13573" max="13573" width="3.7109375" style="140" customWidth="1"/>
    <col min="13574" max="13574" width="20.7109375" style="140" customWidth="1"/>
    <col min="13575" max="13575" width="6.7109375" style="140" customWidth="1"/>
    <col min="13576" max="13582" width="3.7109375" style="140" customWidth="1"/>
    <col min="13583" max="13583" width="8.7109375" style="140" customWidth="1"/>
    <col min="13584" max="13584" width="9.7109375" style="140" customWidth="1"/>
    <col min="13585" max="13585" width="12.7109375" style="140" customWidth="1"/>
    <col min="13586" max="13587" width="14.7109375" style="140" customWidth="1"/>
    <col min="13588" max="13588" width="9.140625" style="140"/>
    <col min="13589" max="13589" width="9.5703125" style="140" bestFit="1" customWidth="1"/>
    <col min="13590" max="13828" width="9.140625" style="140"/>
    <col min="13829" max="13829" width="3.7109375" style="140" customWidth="1"/>
    <col min="13830" max="13830" width="20.7109375" style="140" customWidth="1"/>
    <col min="13831" max="13831" width="6.7109375" style="140" customWidth="1"/>
    <col min="13832" max="13838" width="3.7109375" style="140" customWidth="1"/>
    <col min="13839" max="13839" width="8.7109375" style="140" customWidth="1"/>
    <col min="13840" max="13840" width="9.7109375" style="140" customWidth="1"/>
    <col min="13841" max="13841" width="12.7109375" style="140" customWidth="1"/>
    <col min="13842" max="13843" width="14.7109375" style="140" customWidth="1"/>
    <col min="13844" max="13844" width="9.140625" style="140"/>
    <col min="13845" max="13845" width="9.5703125" style="140" bestFit="1" customWidth="1"/>
    <col min="13846" max="14084" width="9.140625" style="140"/>
    <col min="14085" max="14085" width="3.7109375" style="140" customWidth="1"/>
    <col min="14086" max="14086" width="20.7109375" style="140" customWidth="1"/>
    <col min="14087" max="14087" width="6.7109375" style="140" customWidth="1"/>
    <col min="14088" max="14094" width="3.7109375" style="140" customWidth="1"/>
    <col min="14095" max="14095" width="8.7109375" style="140" customWidth="1"/>
    <col min="14096" max="14096" width="9.7109375" style="140" customWidth="1"/>
    <col min="14097" max="14097" width="12.7109375" style="140" customWidth="1"/>
    <col min="14098" max="14099" width="14.7109375" style="140" customWidth="1"/>
    <col min="14100" max="14100" width="9.140625" style="140"/>
    <col min="14101" max="14101" width="9.5703125" style="140" bestFit="1" customWidth="1"/>
    <col min="14102" max="14340" width="9.140625" style="140"/>
    <col min="14341" max="14341" width="3.7109375" style="140" customWidth="1"/>
    <col min="14342" max="14342" width="20.7109375" style="140" customWidth="1"/>
    <col min="14343" max="14343" width="6.7109375" style="140" customWidth="1"/>
    <col min="14344" max="14350" width="3.7109375" style="140" customWidth="1"/>
    <col min="14351" max="14351" width="8.7109375" style="140" customWidth="1"/>
    <col min="14352" max="14352" width="9.7109375" style="140" customWidth="1"/>
    <col min="14353" max="14353" width="12.7109375" style="140" customWidth="1"/>
    <col min="14354" max="14355" width="14.7109375" style="140" customWidth="1"/>
    <col min="14356" max="14356" width="9.140625" style="140"/>
    <col min="14357" max="14357" width="9.5703125" style="140" bestFit="1" customWidth="1"/>
    <col min="14358" max="14596" width="9.140625" style="140"/>
    <col min="14597" max="14597" width="3.7109375" style="140" customWidth="1"/>
    <col min="14598" max="14598" width="20.7109375" style="140" customWidth="1"/>
    <col min="14599" max="14599" width="6.7109375" style="140" customWidth="1"/>
    <col min="14600" max="14606" width="3.7109375" style="140" customWidth="1"/>
    <col min="14607" max="14607" width="8.7109375" style="140" customWidth="1"/>
    <col min="14608" max="14608" width="9.7109375" style="140" customWidth="1"/>
    <col min="14609" max="14609" width="12.7109375" style="140" customWidth="1"/>
    <col min="14610" max="14611" width="14.7109375" style="140" customWidth="1"/>
    <col min="14612" max="14612" width="9.140625" style="140"/>
    <col min="14613" max="14613" width="9.5703125" style="140" bestFit="1" customWidth="1"/>
    <col min="14614" max="14852" width="9.140625" style="140"/>
    <col min="14853" max="14853" width="3.7109375" style="140" customWidth="1"/>
    <col min="14854" max="14854" width="20.7109375" style="140" customWidth="1"/>
    <col min="14855" max="14855" width="6.7109375" style="140" customWidth="1"/>
    <col min="14856" max="14862" width="3.7109375" style="140" customWidth="1"/>
    <col min="14863" max="14863" width="8.7109375" style="140" customWidth="1"/>
    <col min="14864" max="14864" width="9.7109375" style="140" customWidth="1"/>
    <col min="14865" max="14865" width="12.7109375" style="140" customWidth="1"/>
    <col min="14866" max="14867" width="14.7109375" style="140" customWidth="1"/>
    <col min="14868" max="14868" width="9.140625" style="140"/>
    <col min="14869" max="14869" width="9.5703125" style="140" bestFit="1" customWidth="1"/>
    <col min="14870" max="15108" width="9.140625" style="140"/>
    <col min="15109" max="15109" width="3.7109375" style="140" customWidth="1"/>
    <col min="15110" max="15110" width="20.7109375" style="140" customWidth="1"/>
    <col min="15111" max="15111" width="6.7109375" style="140" customWidth="1"/>
    <col min="15112" max="15118" width="3.7109375" style="140" customWidth="1"/>
    <col min="15119" max="15119" width="8.7109375" style="140" customWidth="1"/>
    <col min="15120" max="15120" width="9.7109375" style="140" customWidth="1"/>
    <col min="15121" max="15121" width="12.7109375" style="140" customWidth="1"/>
    <col min="15122" max="15123" width="14.7109375" style="140" customWidth="1"/>
    <col min="15124" max="15124" width="9.140625" style="140"/>
    <col min="15125" max="15125" width="9.5703125" style="140" bestFit="1" customWidth="1"/>
    <col min="15126" max="15364" width="9.140625" style="140"/>
    <col min="15365" max="15365" width="3.7109375" style="140" customWidth="1"/>
    <col min="15366" max="15366" width="20.7109375" style="140" customWidth="1"/>
    <col min="15367" max="15367" width="6.7109375" style="140" customWidth="1"/>
    <col min="15368" max="15374" width="3.7109375" style="140" customWidth="1"/>
    <col min="15375" max="15375" width="8.7109375" style="140" customWidth="1"/>
    <col min="15376" max="15376" width="9.7109375" style="140" customWidth="1"/>
    <col min="15377" max="15377" width="12.7109375" style="140" customWidth="1"/>
    <col min="15378" max="15379" width="14.7109375" style="140" customWidth="1"/>
    <col min="15380" max="15380" width="9.140625" style="140"/>
    <col min="15381" max="15381" width="9.5703125" style="140" bestFit="1" customWidth="1"/>
    <col min="15382" max="15620" width="9.140625" style="140"/>
    <col min="15621" max="15621" width="3.7109375" style="140" customWidth="1"/>
    <col min="15622" max="15622" width="20.7109375" style="140" customWidth="1"/>
    <col min="15623" max="15623" width="6.7109375" style="140" customWidth="1"/>
    <col min="15624" max="15630" width="3.7109375" style="140" customWidth="1"/>
    <col min="15631" max="15631" width="8.7109375" style="140" customWidth="1"/>
    <col min="15632" max="15632" width="9.7109375" style="140" customWidth="1"/>
    <col min="15633" max="15633" width="12.7109375" style="140" customWidth="1"/>
    <col min="15634" max="15635" width="14.7109375" style="140" customWidth="1"/>
    <col min="15636" max="15636" width="9.140625" style="140"/>
    <col min="15637" max="15637" width="9.5703125" style="140" bestFit="1" customWidth="1"/>
    <col min="15638" max="15876" width="9.140625" style="140"/>
    <col min="15877" max="15877" width="3.7109375" style="140" customWidth="1"/>
    <col min="15878" max="15878" width="20.7109375" style="140" customWidth="1"/>
    <col min="15879" max="15879" width="6.7109375" style="140" customWidth="1"/>
    <col min="15880" max="15886" width="3.7109375" style="140" customWidth="1"/>
    <col min="15887" max="15887" width="8.7109375" style="140" customWidth="1"/>
    <col min="15888" max="15888" width="9.7109375" style="140" customWidth="1"/>
    <col min="15889" max="15889" width="12.7109375" style="140" customWidth="1"/>
    <col min="15890" max="15891" width="14.7109375" style="140" customWidth="1"/>
    <col min="15892" max="15892" width="9.140625" style="140"/>
    <col min="15893" max="15893" width="9.5703125" style="140" bestFit="1" customWidth="1"/>
    <col min="15894" max="16132" width="9.140625" style="140"/>
    <col min="16133" max="16133" width="3.7109375" style="140" customWidth="1"/>
    <col min="16134" max="16134" width="20.7109375" style="140" customWidth="1"/>
    <col min="16135" max="16135" width="6.7109375" style="140" customWidth="1"/>
    <col min="16136" max="16142" width="3.7109375" style="140" customWidth="1"/>
    <col min="16143" max="16143" width="8.7109375" style="140" customWidth="1"/>
    <col min="16144" max="16144" width="9.7109375" style="140" customWidth="1"/>
    <col min="16145" max="16145" width="12.7109375" style="140" customWidth="1"/>
    <col min="16146" max="16147" width="14.7109375" style="140" customWidth="1"/>
    <col min="16148" max="16148" width="9.140625" style="140"/>
    <col min="16149" max="16149" width="9.5703125" style="140" bestFit="1" customWidth="1"/>
    <col min="16150" max="16373" width="9.140625" style="140"/>
    <col min="16374" max="16374" width="9.140625" style="140" customWidth="1"/>
    <col min="16375" max="16384" width="9.140625" style="140"/>
  </cols>
  <sheetData>
    <row r="1" spans="1:31" s="177" customFormat="1" ht="24.95" customHeight="1" thickBot="1" x14ac:dyDescent="0.3">
      <c r="A1" s="176"/>
      <c r="B1" s="726" t="s">
        <v>6</v>
      </c>
      <c r="C1" s="726"/>
      <c r="D1" s="726"/>
      <c r="E1" s="726"/>
      <c r="F1" s="726"/>
      <c r="G1" s="726"/>
      <c r="H1" s="726"/>
      <c r="I1" s="726"/>
      <c r="J1" s="726"/>
      <c r="K1" s="726"/>
      <c r="L1" s="726"/>
      <c r="M1" s="726"/>
      <c r="N1" s="726"/>
      <c r="O1" s="726"/>
      <c r="P1" s="726"/>
      <c r="Q1" s="726"/>
      <c r="R1" s="726"/>
      <c r="S1" s="726"/>
      <c r="U1" s="178"/>
      <c r="V1" s="178"/>
    </row>
    <row r="2" spans="1:31" s="177" customFormat="1" ht="24.95" customHeight="1" x14ac:dyDescent="0.25">
      <c r="A2" s="176"/>
      <c r="B2" s="726" t="str">
        <f>'BKU 1'!$D$22</f>
        <v>PEMBANGUNAN TOILET BESERTA SANITASINYA</v>
      </c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U2" s="178"/>
      <c r="V2" s="39"/>
    </row>
    <row r="3" spans="1:31" s="184" customFormat="1" ht="30.75" customHeight="1" x14ac:dyDescent="0.25">
      <c r="A3" s="179"/>
      <c r="B3" s="180"/>
      <c r="C3" s="181"/>
      <c r="D3" s="181"/>
      <c r="E3" s="181"/>
      <c r="F3" s="182"/>
      <c r="G3" s="183"/>
      <c r="H3" s="182"/>
      <c r="I3" s="183"/>
      <c r="J3" s="182"/>
      <c r="K3" s="182"/>
      <c r="L3" s="182"/>
      <c r="M3" s="181"/>
      <c r="N3" s="181"/>
      <c r="Q3" s="180"/>
      <c r="R3" s="140"/>
      <c r="S3" s="185"/>
      <c r="U3" s="186"/>
      <c r="V3" s="186"/>
    </row>
    <row r="4" spans="1:31" s="184" customFormat="1" ht="14.25" x14ac:dyDescent="0.25">
      <c r="A4" s="179"/>
      <c r="B4" s="185" t="s">
        <v>7</v>
      </c>
      <c r="D4" s="184" t="s">
        <v>49</v>
      </c>
      <c r="E4" s="184" t="str">
        <f>'BKU 1'!$D$25</f>
        <v>SDN 1 SIDODADI</v>
      </c>
      <c r="F4" s="140"/>
      <c r="G4" s="183"/>
      <c r="H4" s="182"/>
      <c r="I4" s="183"/>
      <c r="J4" s="187"/>
      <c r="K4" s="187"/>
      <c r="L4" s="187"/>
      <c r="M4" s="188"/>
      <c r="N4" s="188"/>
      <c r="Q4" s="180"/>
      <c r="R4" s="189" t="s">
        <v>8</v>
      </c>
      <c r="S4" s="185"/>
      <c r="U4" s="186"/>
      <c r="V4" s="186"/>
    </row>
    <row r="5" spans="1:31" s="184" customFormat="1" x14ac:dyDescent="0.25">
      <c r="A5" s="179"/>
      <c r="B5" s="185" t="s">
        <v>9</v>
      </c>
      <c r="D5" s="184" t="s">
        <v>49</v>
      </c>
      <c r="E5" s="184" t="str">
        <f>'BKU 1'!$D$26</f>
        <v>Jl. Kawi No.36 Rt. 1 Rw. 1 Dusun Sekar, Rt / Rw : 1 / 1, Dusun : Sekar, Kelurahan : Sidodadi</v>
      </c>
      <c r="F5" s="140"/>
      <c r="G5" s="190"/>
      <c r="H5" s="191"/>
      <c r="I5" s="190"/>
      <c r="J5" s="140"/>
      <c r="K5" s="140"/>
      <c r="L5" s="140"/>
      <c r="Q5" s="180"/>
      <c r="R5" s="140" t="s">
        <v>10</v>
      </c>
      <c r="S5" s="185" t="s">
        <v>11</v>
      </c>
      <c r="U5" s="186"/>
      <c r="V5" s="186"/>
    </row>
    <row r="6" spans="1:31" s="184" customFormat="1" x14ac:dyDescent="0.25">
      <c r="A6" s="179"/>
      <c r="B6" s="185" t="s">
        <v>12</v>
      </c>
      <c r="D6" s="184" t="s">
        <v>49</v>
      </c>
      <c r="E6" s="180">
        <v>1</v>
      </c>
      <c r="F6" s="140"/>
      <c r="G6" s="727">
        <f>IFERROR(VLOOKUP(E6,'Rekap Gaji'!$B$12:$P$24,14,FALSE),"-")</f>
        <v>0</v>
      </c>
      <c r="H6" s="727"/>
      <c r="I6" s="727"/>
      <c r="J6" s="140"/>
      <c r="K6" s="140"/>
      <c r="L6" s="140"/>
      <c r="Q6" s="180"/>
      <c r="R6" s="140" t="s">
        <v>13</v>
      </c>
      <c r="S6" s="185" t="s">
        <v>14</v>
      </c>
      <c r="U6" s="186"/>
      <c r="V6" s="186"/>
    </row>
    <row r="7" spans="1:31" s="184" customFormat="1" ht="15" customHeight="1" x14ac:dyDescent="0.25">
      <c r="A7" s="179"/>
      <c r="B7" s="185" t="s">
        <v>0</v>
      </c>
      <c r="D7" s="184" t="s">
        <v>49</v>
      </c>
      <c r="E7" s="728">
        <f>IFERROR(VLOOKUP(E6,'Rekap Gaji'!$B$12:$P$24,4,FALSE),"-")</f>
        <v>45901</v>
      </c>
      <c r="F7" s="728"/>
      <c r="G7" s="728"/>
      <c r="H7" s="728"/>
      <c r="I7" s="727" t="s">
        <v>76</v>
      </c>
      <c r="J7" s="727"/>
      <c r="K7" s="728">
        <f>IFERROR(VLOOKUP(E6,'Rekap Gaji'!$B$12:$P$24,6,FALSE),"-")</f>
        <v>45906</v>
      </c>
      <c r="L7" s="728"/>
      <c r="M7" s="728"/>
      <c r="N7" s="728"/>
      <c r="Q7" s="180"/>
      <c r="R7" s="140" t="s">
        <v>15</v>
      </c>
      <c r="S7" s="185" t="s">
        <v>16</v>
      </c>
      <c r="U7" s="186"/>
      <c r="V7" s="186"/>
    </row>
    <row r="8" spans="1:31" s="188" customFormat="1" ht="7.5" customHeight="1" thickBot="1" x14ac:dyDescent="0.3">
      <c r="A8" s="192"/>
      <c r="B8" s="193"/>
      <c r="F8" s="189"/>
      <c r="G8" s="194"/>
      <c r="H8" s="195"/>
      <c r="I8" s="194"/>
      <c r="J8" s="189"/>
      <c r="K8" s="189"/>
      <c r="L8" s="189"/>
      <c r="Q8" s="193"/>
      <c r="R8" s="189"/>
      <c r="S8" s="196"/>
      <c r="U8" s="197"/>
      <c r="V8" s="197"/>
    </row>
    <row r="9" spans="1:31" s="199" customFormat="1" ht="15" customHeight="1" x14ac:dyDescent="0.25">
      <c r="A9" s="198"/>
      <c r="B9" s="755" t="s">
        <v>17</v>
      </c>
      <c r="C9" s="749" t="s">
        <v>18</v>
      </c>
      <c r="D9" s="758"/>
      <c r="E9" s="153" t="s">
        <v>19</v>
      </c>
      <c r="F9" s="763" t="s">
        <v>20</v>
      </c>
      <c r="G9" s="764"/>
      <c r="H9" s="764"/>
      <c r="I9" s="764"/>
      <c r="J9" s="764"/>
      <c r="K9" s="764"/>
      <c r="L9" s="764"/>
      <c r="M9" s="152" t="s">
        <v>2</v>
      </c>
      <c r="N9" s="749" t="s">
        <v>21</v>
      </c>
      <c r="O9" s="758"/>
      <c r="P9" s="749" t="s">
        <v>22</v>
      </c>
      <c r="Q9" s="758"/>
      <c r="R9" s="749" t="s">
        <v>23</v>
      </c>
      <c r="S9" s="750"/>
      <c r="U9" s="200"/>
      <c r="V9" s="200"/>
    </row>
    <row r="10" spans="1:31" s="199" customFormat="1" ht="28.9" customHeight="1" x14ac:dyDescent="0.25">
      <c r="A10" s="198"/>
      <c r="B10" s="756"/>
      <c r="C10" s="751"/>
      <c r="D10" s="759"/>
      <c r="E10" s="155" t="s">
        <v>24</v>
      </c>
      <c r="F10" s="761" t="s">
        <v>25</v>
      </c>
      <c r="G10" s="761" t="s">
        <v>26</v>
      </c>
      <c r="H10" s="761" t="s">
        <v>26</v>
      </c>
      <c r="I10" s="761" t="s">
        <v>27</v>
      </c>
      <c r="J10" s="761" t="s">
        <v>28</v>
      </c>
      <c r="K10" s="761" t="s">
        <v>29</v>
      </c>
      <c r="L10" s="761" t="s">
        <v>26</v>
      </c>
      <c r="M10" s="154" t="s">
        <v>30</v>
      </c>
      <c r="N10" s="751" t="s">
        <v>455</v>
      </c>
      <c r="O10" s="759"/>
      <c r="P10" s="751" t="s">
        <v>31</v>
      </c>
      <c r="Q10" s="759"/>
      <c r="R10" s="751"/>
      <c r="S10" s="752"/>
      <c r="U10" s="200"/>
      <c r="V10" s="200"/>
    </row>
    <row r="11" spans="1:31" s="199" customFormat="1" ht="15" customHeight="1" thickBot="1" x14ac:dyDescent="0.3">
      <c r="A11" s="198"/>
      <c r="B11" s="757"/>
      <c r="C11" s="753"/>
      <c r="D11" s="760"/>
      <c r="E11" s="157" t="s">
        <v>32</v>
      </c>
      <c r="F11" s="762"/>
      <c r="G11" s="762"/>
      <c r="H11" s="762"/>
      <c r="I11" s="762"/>
      <c r="J11" s="762"/>
      <c r="K11" s="762"/>
      <c r="L11" s="762"/>
      <c r="M11" s="156" t="s">
        <v>31</v>
      </c>
      <c r="N11" s="753" t="s">
        <v>33</v>
      </c>
      <c r="O11" s="760"/>
      <c r="P11" s="753" t="s">
        <v>34</v>
      </c>
      <c r="Q11" s="760"/>
      <c r="R11" s="753"/>
      <c r="S11" s="754"/>
      <c r="U11" s="200"/>
      <c r="V11" s="200"/>
    </row>
    <row r="12" spans="1:31" ht="24.95" customHeight="1" x14ac:dyDescent="0.25">
      <c r="B12" s="201">
        <v>1</v>
      </c>
      <c r="C12" s="202" t="s">
        <v>467</v>
      </c>
      <c r="D12" s="203"/>
      <c r="E12" s="204" t="s">
        <v>35</v>
      </c>
      <c r="F12" s="205" t="s">
        <v>36</v>
      </c>
      <c r="G12" s="205" t="s">
        <v>37</v>
      </c>
      <c r="H12" s="205" t="s">
        <v>37</v>
      </c>
      <c r="I12" s="205" t="s">
        <v>37</v>
      </c>
      <c r="J12" s="205" t="s">
        <v>37</v>
      </c>
      <c r="K12" s="205" t="s">
        <v>37</v>
      </c>
      <c r="L12" s="205" t="s">
        <v>37</v>
      </c>
      <c r="M12" s="206">
        <f>SUM(Y12:AE12)</f>
        <v>6</v>
      </c>
      <c r="N12" s="207" t="str">
        <f t="shared" ref="N12:N21" si="0">IF(O12&gt;0,"Rp",IF(O12=0," "))</f>
        <v>Rp</v>
      </c>
      <c r="O12" s="208">
        <v>130000</v>
      </c>
      <c r="P12" s="207" t="str">
        <f>IF(Q12&gt;0,"Rp",IF(Q12=0," "))</f>
        <v>Rp</v>
      </c>
      <c r="Q12" s="208">
        <f t="shared" ref="Q12:Q20" si="1">O12*M12</f>
        <v>780000</v>
      </c>
      <c r="R12" s="209">
        <v>1</v>
      </c>
      <c r="S12" s="210"/>
      <c r="U12" s="211"/>
      <c r="V12" s="211"/>
      <c r="Y12" s="211">
        <f t="shared" ref="Y12:Y22" si="2">IFERROR(IF(F12="V",1,IF(F12="X",0))," ")</f>
        <v>0</v>
      </c>
      <c r="Z12" s="211">
        <f t="shared" ref="Z12:Z22" si="3">IFERROR(IF(G12="V",1,IF(G12="X",0))," ")</f>
        <v>1</v>
      </c>
      <c r="AA12" s="211">
        <f t="shared" ref="AA12:AA22" si="4">IFERROR(IF(H12="V",1,IF(H12="X",0))," ")</f>
        <v>1</v>
      </c>
      <c r="AB12" s="211">
        <f t="shared" ref="AB12:AB22" si="5">IFERROR(IF(I12="V",1,IF(I12="X",0))," ")</f>
        <v>1</v>
      </c>
      <c r="AC12" s="211">
        <f t="shared" ref="AC12:AC22" si="6">IFERROR(IF(J12="V",1,IF(J12="X",0))," ")</f>
        <v>1</v>
      </c>
      <c r="AD12" s="211">
        <f t="shared" ref="AD12:AD22" si="7">IFERROR(IF(K12="V",1,IF(K12="X",0))," ")</f>
        <v>1</v>
      </c>
      <c r="AE12" s="211">
        <f t="shared" ref="AE12:AE22" si="8">IFERROR(IF(L12="V",1,IF(L12="X",0))," ")</f>
        <v>1</v>
      </c>
    </row>
    <row r="13" spans="1:31" ht="24.95" customHeight="1" x14ac:dyDescent="0.25">
      <c r="B13" s="212">
        <v>2</v>
      </c>
      <c r="C13" s="202" t="s">
        <v>468</v>
      </c>
      <c r="D13" s="213"/>
      <c r="E13" s="214" t="s">
        <v>38</v>
      </c>
      <c r="F13" s="215" t="s">
        <v>36</v>
      </c>
      <c r="G13" s="215" t="s">
        <v>37</v>
      </c>
      <c r="H13" s="215" t="s">
        <v>37</v>
      </c>
      <c r="I13" s="215" t="s">
        <v>37</v>
      </c>
      <c r="J13" s="215" t="s">
        <v>37</v>
      </c>
      <c r="K13" s="215" t="s">
        <v>37</v>
      </c>
      <c r="L13" s="215" t="s">
        <v>37</v>
      </c>
      <c r="M13" s="216">
        <f t="shared" ref="M13:M22" si="9">SUM(Y13:AE13)</f>
        <v>6</v>
      </c>
      <c r="N13" s="217" t="str">
        <f t="shared" si="0"/>
        <v>Rp</v>
      </c>
      <c r="O13" s="218">
        <v>125000</v>
      </c>
      <c r="P13" s="217" t="str">
        <f t="shared" ref="P13:P20" si="10">IF(Q13&gt;0,"Rp",IF(Q13=0," "))</f>
        <v>Rp</v>
      </c>
      <c r="Q13" s="219">
        <f t="shared" si="1"/>
        <v>750000</v>
      </c>
      <c r="R13" s="220"/>
      <c r="S13" s="221">
        <v>2</v>
      </c>
      <c r="U13" s="211"/>
      <c r="V13" s="211"/>
      <c r="Y13" s="211">
        <f t="shared" si="2"/>
        <v>0</v>
      </c>
      <c r="Z13" s="211">
        <f t="shared" si="3"/>
        <v>1</v>
      </c>
      <c r="AA13" s="211">
        <f t="shared" si="4"/>
        <v>1</v>
      </c>
      <c r="AB13" s="211">
        <f t="shared" si="5"/>
        <v>1</v>
      </c>
      <c r="AC13" s="211">
        <f t="shared" si="6"/>
        <v>1</v>
      </c>
      <c r="AD13" s="211">
        <f t="shared" si="7"/>
        <v>1</v>
      </c>
      <c r="AE13" s="211">
        <f t="shared" si="8"/>
        <v>1</v>
      </c>
    </row>
    <row r="14" spans="1:31" ht="24.95" customHeight="1" x14ac:dyDescent="0.25">
      <c r="B14" s="212">
        <v>3</v>
      </c>
      <c r="C14" s="202" t="s">
        <v>469</v>
      </c>
      <c r="D14" s="213"/>
      <c r="E14" s="214" t="s">
        <v>38</v>
      </c>
      <c r="F14" s="215" t="s">
        <v>36</v>
      </c>
      <c r="G14" s="215" t="s">
        <v>37</v>
      </c>
      <c r="H14" s="215" t="s">
        <v>37</v>
      </c>
      <c r="I14" s="215" t="s">
        <v>37</v>
      </c>
      <c r="J14" s="215" t="s">
        <v>37</v>
      </c>
      <c r="K14" s="215" t="s">
        <v>36</v>
      </c>
      <c r="L14" s="215" t="s">
        <v>37</v>
      </c>
      <c r="M14" s="216">
        <f t="shared" si="9"/>
        <v>5</v>
      </c>
      <c r="N14" s="217" t="str">
        <f t="shared" si="0"/>
        <v>Rp</v>
      </c>
      <c r="O14" s="218">
        <f>O13</f>
        <v>125000</v>
      </c>
      <c r="P14" s="217" t="str">
        <f t="shared" si="10"/>
        <v>Rp</v>
      </c>
      <c r="Q14" s="219">
        <f t="shared" si="1"/>
        <v>625000</v>
      </c>
      <c r="R14" s="222">
        <v>3</v>
      </c>
      <c r="S14" s="221"/>
      <c r="U14" s="211"/>
      <c r="V14" s="211"/>
      <c r="Y14" s="211">
        <f t="shared" si="2"/>
        <v>0</v>
      </c>
      <c r="Z14" s="211">
        <f t="shared" si="3"/>
        <v>1</v>
      </c>
      <c r="AA14" s="211">
        <f t="shared" si="4"/>
        <v>1</v>
      </c>
      <c r="AB14" s="211">
        <f t="shared" si="5"/>
        <v>1</v>
      </c>
      <c r="AC14" s="211">
        <f t="shared" si="6"/>
        <v>1</v>
      </c>
      <c r="AD14" s="211">
        <f t="shared" si="7"/>
        <v>0</v>
      </c>
      <c r="AE14" s="211">
        <f t="shared" si="8"/>
        <v>1</v>
      </c>
    </row>
    <row r="15" spans="1:31" ht="24.95" customHeight="1" x14ac:dyDescent="0.25">
      <c r="B15" s="212">
        <v>4</v>
      </c>
      <c r="C15" s="202" t="s">
        <v>470</v>
      </c>
      <c r="D15" s="213"/>
      <c r="E15" s="214" t="s">
        <v>38</v>
      </c>
      <c r="F15" s="215" t="s">
        <v>36</v>
      </c>
      <c r="G15" s="215" t="s">
        <v>37</v>
      </c>
      <c r="H15" s="215" t="s">
        <v>37</v>
      </c>
      <c r="I15" s="215" t="s">
        <v>37</v>
      </c>
      <c r="J15" s="215" t="s">
        <v>37</v>
      </c>
      <c r="K15" s="215" t="s">
        <v>37</v>
      </c>
      <c r="L15" s="215" t="s">
        <v>37</v>
      </c>
      <c r="M15" s="216">
        <f t="shared" si="9"/>
        <v>6</v>
      </c>
      <c r="N15" s="217" t="str">
        <f t="shared" si="0"/>
        <v>Rp</v>
      </c>
      <c r="O15" s="218">
        <f>O14</f>
        <v>125000</v>
      </c>
      <c r="P15" s="217" t="str">
        <f t="shared" si="10"/>
        <v>Rp</v>
      </c>
      <c r="Q15" s="219">
        <f t="shared" si="1"/>
        <v>750000</v>
      </c>
      <c r="R15" s="222"/>
      <c r="S15" s="223">
        <v>4</v>
      </c>
      <c r="U15" s="211"/>
      <c r="V15" s="211"/>
      <c r="Y15" s="211">
        <f t="shared" si="2"/>
        <v>0</v>
      </c>
      <c r="Z15" s="211">
        <f t="shared" si="3"/>
        <v>1</v>
      </c>
      <c r="AA15" s="211">
        <f t="shared" si="4"/>
        <v>1</v>
      </c>
      <c r="AB15" s="211">
        <f t="shared" si="5"/>
        <v>1</v>
      </c>
      <c r="AC15" s="211">
        <f t="shared" si="6"/>
        <v>1</v>
      </c>
      <c r="AD15" s="211">
        <f t="shared" si="7"/>
        <v>1</v>
      </c>
      <c r="AE15" s="211">
        <f t="shared" si="8"/>
        <v>1</v>
      </c>
    </row>
    <row r="16" spans="1:31" ht="24.95" customHeight="1" x14ac:dyDescent="0.25">
      <c r="B16" s="212">
        <v>5</v>
      </c>
      <c r="C16" s="202" t="s">
        <v>464</v>
      </c>
      <c r="D16" s="213"/>
      <c r="E16" s="214" t="s">
        <v>39</v>
      </c>
      <c r="F16" s="215" t="s">
        <v>36</v>
      </c>
      <c r="G16" s="215" t="s">
        <v>37</v>
      </c>
      <c r="H16" s="215" t="s">
        <v>37</v>
      </c>
      <c r="I16" s="215" t="s">
        <v>37</v>
      </c>
      <c r="J16" s="215" t="s">
        <v>36</v>
      </c>
      <c r="K16" s="215" t="s">
        <v>37</v>
      </c>
      <c r="L16" s="215" t="s">
        <v>37</v>
      </c>
      <c r="M16" s="216">
        <f t="shared" si="9"/>
        <v>5</v>
      </c>
      <c r="N16" s="217" t="str">
        <f t="shared" si="0"/>
        <v>Rp</v>
      </c>
      <c r="O16" s="218">
        <v>100000</v>
      </c>
      <c r="P16" s="217" t="str">
        <f t="shared" si="10"/>
        <v>Rp</v>
      </c>
      <c r="Q16" s="219">
        <f t="shared" si="1"/>
        <v>500000</v>
      </c>
      <c r="R16" s="222">
        <v>5</v>
      </c>
      <c r="S16" s="221"/>
      <c r="U16" s="211"/>
      <c r="V16" s="211"/>
      <c r="Y16" s="211">
        <f t="shared" si="2"/>
        <v>0</v>
      </c>
      <c r="Z16" s="211">
        <f t="shared" si="3"/>
        <v>1</v>
      </c>
      <c r="AA16" s="211">
        <f t="shared" si="4"/>
        <v>1</v>
      </c>
      <c r="AB16" s="211">
        <f t="shared" si="5"/>
        <v>1</v>
      </c>
      <c r="AC16" s="211">
        <f t="shared" si="6"/>
        <v>0</v>
      </c>
      <c r="AD16" s="211">
        <f t="shared" si="7"/>
        <v>1</v>
      </c>
      <c r="AE16" s="211">
        <f t="shared" si="8"/>
        <v>1</v>
      </c>
    </row>
    <row r="17" spans="1:31" ht="24.95" customHeight="1" x14ac:dyDescent="0.25">
      <c r="B17" s="212">
        <v>6</v>
      </c>
      <c r="C17" s="202" t="s">
        <v>471</v>
      </c>
      <c r="D17" s="213"/>
      <c r="E17" s="214" t="s">
        <v>39</v>
      </c>
      <c r="F17" s="215" t="s">
        <v>36</v>
      </c>
      <c r="G17" s="215" t="s">
        <v>37</v>
      </c>
      <c r="H17" s="215" t="s">
        <v>37</v>
      </c>
      <c r="I17" s="215" t="s">
        <v>37</v>
      </c>
      <c r="J17" s="215" t="s">
        <v>37</v>
      </c>
      <c r="K17" s="215" t="s">
        <v>37</v>
      </c>
      <c r="L17" s="215" t="s">
        <v>37</v>
      </c>
      <c r="M17" s="216">
        <f>SUM(Y17:AE17)</f>
        <v>6</v>
      </c>
      <c r="N17" s="217" t="str">
        <f t="shared" si="0"/>
        <v>Rp</v>
      </c>
      <c r="O17" s="218">
        <f>O16</f>
        <v>100000</v>
      </c>
      <c r="P17" s="217" t="str">
        <f>IF(Q17&gt;0,"Rp",IF(Q17=0," "))</f>
        <v>Rp</v>
      </c>
      <c r="Q17" s="219">
        <f>O17*M17</f>
        <v>600000</v>
      </c>
      <c r="R17" s="222"/>
      <c r="S17" s="223">
        <v>6</v>
      </c>
      <c r="U17" s="211"/>
      <c r="V17" s="211"/>
      <c r="Y17" s="211">
        <f t="shared" si="2"/>
        <v>0</v>
      </c>
      <c r="Z17" s="211">
        <f t="shared" si="3"/>
        <v>1</v>
      </c>
      <c r="AA17" s="211">
        <f t="shared" si="4"/>
        <v>1</v>
      </c>
      <c r="AB17" s="211">
        <f t="shared" si="5"/>
        <v>1</v>
      </c>
      <c r="AC17" s="211">
        <f t="shared" si="6"/>
        <v>1</v>
      </c>
      <c r="AD17" s="211">
        <f t="shared" si="7"/>
        <v>1</v>
      </c>
      <c r="AE17" s="211">
        <f t="shared" si="8"/>
        <v>1</v>
      </c>
    </row>
    <row r="18" spans="1:31" ht="24.95" customHeight="1" x14ac:dyDescent="0.25">
      <c r="B18" s="212">
        <v>7</v>
      </c>
      <c r="C18" s="202" t="s">
        <v>472</v>
      </c>
      <c r="D18" s="213"/>
      <c r="E18" s="214" t="s">
        <v>39</v>
      </c>
      <c r="F18" s="215" t="s">
        <v>36</v>
      </c>
      <c r="G18" s="215" t="s">
        <v>37</v>
      </c>
      <c r="H18" s="215" t="s">
        <v>37</v>
      </c>
      <c r="I18" s="215" t="s">
        <v>37</v>
      </c>
      <c r="J18" s="215" t="s">
        <v>37</v>
      </c>
      <c r="K18" s="215" t="s">
        <v>37</v>
      </c>
      <c r="L18" s="215" t="s">
        <v>37</v>
      </c>
      <c r="M18" s="216">
        <f>SUM(Y18:AE18)</f>
        <v>6</v>
      </c>
      <c r="N18" s="217" t="str">
        <f t="shared" si="0"/>
        <v>Rp</v>
      </c>
      <c r="O18" s="218">
        <v>100000</v>
      </c>
      <c r="P18" s="217" t="str">
        <f t="shared" si="10"/>
        <v>Rp</v>
      </c>
      <c r="Q18" s="219">
        <f t="shared" si="1"/>
        <v>600000</v>
      </c>
      <c r="R18" s="222">
        <v>7</v>
      </c>
      <c r="S18" s="221"/>
      <c r="U18" s="211"/>
      <c r="V18" s="211"/>
      <c r="Y18" s="211">
        <f t="shared" si="2"/>
        <v>0</v>
      </c>
      <c r="Z18" s="211">
        <f t="shared" si="3"/>
        <v>1</v>
      </c>
      <c r="AA18" s="211">
        <f t="shared" si="4"/>
        <v>1</v>
      </c>
      <c r="AB18" s="211">
        <f t="shared" si="5"/>
        <v>1</v>
      </c>
      <c r="AC18" s="211">
        <f t="shared" si="6"/>
        <v>1</v>
      </c>
      <c r="AD18" s="211">
        <f t="shared" si="7"/>
        <v>1</v>
      </c>
      <c r="AE18" s="211">
        <f t="shared" si="8"/>
        <v>1</v>
      </c>
    </row>
    <row r="19" spans="1:31" ht="24.95" customHeight="1" x14ac:dyDescent="0.25">
      <c r="B19" s="212">
        <v>8</v>
      </c>
      <c r="C19" s="202" t="s">
        <v>473</v>
      </c>
      <c r="D19" s="213"/>
      <c r="E19" s="214" t="s">
        <v>39</v>
      </c>
      <c r="F19" s="215" t="s">
        <v>36</v>
      </c>
      <c r="G19" s="215" t="s">
        <v>36</v>
      </c>
      <c r="H19" s="215" t="s">
        <v>37</v>
      </c>
      <c r="I19" s="215" t="s">
        <v>37</v>
      </c>
      <c r="J19" s="215" t="s">
        <v>37</v>
      </c>
      <c r="K19" s="215" t="s">
        <v>37</v>
      </c>
      <c r="L19" s="215" t="s">
        <v>37</v>
      </c>
      <c r="M19" s="216">
        <f>SUM(Y19:AE19)</f>
        <v>5</v>
      </c>
      <c r="N19" s="217" t="str">
        <f t="shared" si="0"/>
        <v>Rp</v>
      </c>
      <c r="O19" s="218">
        <v>100000</v>
      </c>
      <c r="P19" s="217" t="str">
        <f t="shared" si="10"/>
        <v>Rp</v>
      </c>
      <c r="Q19" s="219">
        <f t="shared" si="1"/>
        <v>500000</v>
      </c>
      <c r="R19" s="222"/>
      <c r="S19" s="223">
        <v>8</v>
      </c>
      <c r="U19" s="211"/>
      <c r="V19" s="211"/>
      <c r="Y19" s="211">
        <f t="shared" si="2"/>
        <v>0</v>
      </c>
      <c r="Z19" s="211">
        <f t="shared" si="3"/>
        <v>0</v>
      </c>
      <c r="AA19" s="211">
        <f t="shared" si="4"/>
        <v>1</v>
      </c>
      <c r="AB19" s="211">
        <f t="shared" si="5"/>
        <v>1</v>
      </c>
      <c r="AC19" s="211">
        <f t="shared" si="6"/>
        <v>1</v>
      </c>
      <c r="AD19" s="211">
        <f t="shared" si="7"/>
        <v>1</v>
      </c>
      <c r="AE19" s="211">
        <f t="shared" si="8"/>
        <v>1</v>
      </c>
    </row>
    <row r="20" spans="1:31" ht="24.95" customHeight="1" x14ac:dyDescent="0.25">
      <c r="B20" s="212">
        <v>9</v>
      </c>
      <c r="C20" s="202"/>
      <c r="D20" s="213"/>
      <c r="E20" s="214"/>
      <c r="F20" s="215"/>
      <c r="G20" s="215"/>
      <c r="H20" s="215"/>
      <c r="I20" s="215"/>
      <c r="J20" s="215"/>
      <c r="K20" s="215"/>
      <c r="L20" s="215"/>
      <c r="M20" s="216">
        <f>SUM(Y20:AE20)</f>
        <v>0</v>
      </c>
      <c r="N20" s="217" t="str">
        <f t="shared" si="0"/>
        <v xml:space="preserve"> </v>
      </c>
      <c r="O20" s="218"/>
      <c r="P20" s="217" t="str">
        <f t="shared" si="10"/>
        <v xml:space="preserve"> </v>
      </c>
      <c r="Q20" s="219">
        <f t="shared" si="1"/>
        <v>0</v>
      </c>
      <c r="R20" s="222">
        <v>9</v>
      </c>
      <c r="S20" s="221"/>
      <c r="U20" s="211"/>
      <c r="V20" s="211"/>
      <c r="Y20" s="211" t="b">
        <f t="shared" si="2"/>
        <v>0</v>
      </c>
      <c r="Z20" s="211" t="b">
        <f t="shared" si="3"/>
        <v>0</v>
      </c>
      <c r="AA20" s="211" t="b">
        <f t="shared" si="4"/>
        <v>0</v>
      </c>
      <c r="AB20" s="211" t="b">
        <f t="shared" si="5"/>
        <v>0</v>
      </c>
      <c r="AC20" s="211" t="b">
        <f t="shared" si="6"/>
        <v>0</v>
      </c>
      <c r="AD20" s="211" t="b">
        <f t="shared" si="7"/>
        <v>0</v>
      </c>
      <c r="AE20" s="211" t="b">
        <f t="shared" si="8"/>
        <v>0</v>
      </c>
    </row>
    <row r="21" spans="1:31" ht="24.95" customHeight="1" x14ac:dyDescent="0.25">
      <c r="B21" s="212">
        <v>10</v>
      </c>
      <c r="C21" s="202"/>
      <c r="D21" s="213"/>
      <c r="E21" s="214"/>
      <c r="F21" s="215"/>
      <c r="G21" s="215"/>
      <c r="H21" s="215"/>
      <c r="I21" s="215"/>
      <c r="J21" s="215"/>
      <c r="K21" s="215"/>
      <c r="L21" s="215"/>
      <c r="M21" s="216">
        <f>SUM(Y21:AE21)</f>
        <v>0</v>
      </c>
      <c r="N21" s="217" t="str">
        <f t="shared" si="0"/>
        <v xml:space="preserve"> </v>
      </c>
      <c r="O21" s="218"/>
      <c r="P21" s="217" t="str">
        <f>IF(Q21&gt;0,"Rp",IF(Q21=0," "))</f>
        <v xml:space="preserve"> </v>
      </c>
      <c r="Q21" s="219">
        <f>O21*M21</f>
        <v>0</v>
      </c>
      <c r="R21" s="222"/>
      <c r="S21" s="223">
        <v>10</v>
      </c>
      <c r="U21" s="211"/>
      <c r="V21" s="211"/>
      <c r="Y21" s="211" t="b">
        <f t="shared" si="2"/>
        <v>0</v>
      </c>
      <c r="Z21" s="211" t="b">
        <f t="shared" si="3"/>
        <v>0</v>
      </c>
      <c r="AA21" s="211" t="b">
        <f t="shared" si="4"/>
        <v>0</v>
      </c>
      <c r="AB21" s="211" t="b">
        <f t="shared" si="5"/>
        <v>0</v>
      </c>
      <c r="AC21" s="211" t="b">
        <f t="shared" si="6"/>
        <v>0</v>
      </c>
      <c r="AD21" s="211" t="b">
        <f t="shared" si="7"/>
        <v>0</v>
      </c>
      <c r="AE21" s="211" t="b">
        <f t="shared" si="8"/>
        <v>0</v>
      </c>
    </row>
    <row r="22" spans="1:31" ht="24.95" customHeight="1" x14ac:dyDescent="0.25">
      <c r="B22" s="212">
        <v>11</v>
      </c>
      <c r="C22" s="202"/>
      <c r="D22" s="213"/>
      <c r="E22" s="214"/>
      <c r="F22" s="215"/>
      <c r="G22" s="215"/>
      <c r="H22" s="215"/>
      <c r="I22" s="215"/>
      <c r="J22" s="215"/>
      <c r="K22" s="215"/>
      <c r="L22" s="215"/>
      <c r="M22" s="216">
        <f t="shared" si="9"/>
        <v>0</v>
      </c>
      <c r="N22" s="217"/>
      <c r="O22" s="218"/>
      <c r="P22" s="217"/>
      <c r="Q22" s="219"/>
      <c r="R22" s="222">
        <v>11</v>
      </c>
      <c r="S22" s="221"/>
      <c r="U22" s="211"/>
      <c r="V22" s="211"/>
      <c r="Y22" s="211" t="b">
        <f t="shared" si="2"/>
        <v>0</v>
      </c>
      <c r="Z22" s="211" t="b">
        <f t="shared" si="3"/>
        <v>0</v>
      </c>
      <c r="AA22" s="211" t="b">
        <f t="shared" si="4"/>
        <v>0</v>
      </c>
      <c r="AB22" s="211" t="b">
        <f t="shared" si="5"/>
        <v>0</v>
      </c>
      <c r="AC22" s="211" t="b">
        <f t="shared" si="6"/>
        <v>0</v>
      </c>
      <c r="AD22" s="211" t="b">
        <f t="shared" si="7"/>
        <v>0</v>
      </c>
      <c r="AE22" s="211" t="b">
        <f t="shared" si="8"/>
        <v>0</v>
      </c>
    </row>
    <row r="23" spans="1:31" s="37" customFormat="1" ht="24.95" customHeight="1" thickBot="1" x14ac:dyDescent="0.25">
      <c r="A23" s="40"/>
      <c r="B23" s="48"/>
      <c r="C23" s="49"/>
      <c r="D23" s="50"/>
      <c r="E23" s="51"/>
      <c r="F23" s="52"/>
      <c r="G23" s="53"/>
      <c r="H23" s="54"/>
      <c r="I23" s="54"/>
      <c r="J23" s="55"/>
      <c r="K23" s="55"/>
      <c r="L23" s="55"/>
      <c r="M23" s="56"/>
      <c r="N23" s="57"/>
      <c r="O23" s="58"/>
      <c r="P23" s="59"/>
      <c r="Q23" s="60"/>
      <c r="R23" s="61"/>
      <c r="S23" s="62"/>
      <c r="U23" s="47"/>
      <c r="V23" s="47"/>
    </row>
    <row r="24" spans="1:31" s="37" customFormat="1" ht="20.100000000000001" customHeight="1" thickTop="1" thickBot="1" x14ac:dyDescent="0.3">
      <c r="A24" s="40">
        <v>1</v>
      </c>
      <c r="B24" s="63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5" t="s">
        <v>40</v>
      </c>
      <c r="P24" s="64"/>
      <c r="Q24" s="766">
        <f>SUM(Q12:Q23)</f>
        <v>5105000</v>
      </c>
      <c r="R24" s="767"/>
      <c r="S24" s="768"/>
      <c r="U24" s="66" t="str">
        <f>VLOOKUP(A24,'Rekap Gaji'!$B$12:$P$24,10,FALSE)</f>
        <v xml:space="preserve"> 06 September 2025</v>
      </c>
      <c r="V24" s="67" t="e">
        <f>U24-Q24</f>
        <v>#VALUE!</v>
      </c>
    </row>
    <row r="25" spans="1:31" s="37" customFormat="1" ht="11.25" customHeight="1" x14ac:dyDescent="0.25">
      <c r="A25" s="40"/>
      <c r="B25" s="45"/>
      <c r="G25" s="44"/>
      <c r="H25" s="45"/>
      <c r="I25" s="44"/>
      <c r="Q25" s="45"/>
      <c r="S25" s="68"/>
      <c r="U25" s="66"/>
      <c r="V25" s="66"/>
    </row>
    <row r="26" spans="1:31" s="37" customFormat="1" ht="16.5" customHeight="1" x14ac:dyDescent="0.25">
      <c r="A26" s="40"/>
      <c r="B26" s="46" t="s">
        <v>41</v>
      </c>
      <c r="C26" s="37" t="s">
        <v>42</v>
      </c>
      <c r="G26" s="44"/>
      <c r="H26" s="45"/>
      <c r="I26" s="44"/>
      <c r="Q26" s="45"/>
      <c r="S26" s="68"/>
      <c r="U26" s="66"/>
      <c r="V26" s="66"/>
    </row>
    <row r="27" spans="1:31" s="37" customFormat="1" ht="15" x14ac:dyDescent="0.25">
      <c r="A27" s="40"/>
      <c r="B27" s="45"/>
      <c r="G27" s="42"/>
      <c r="H27" s="41"/>
      <c r="I27" s="44"/>
      <c r="M27" s="38"/>
      <c r="N27" s="38"/>
      <c r="Q27" s="44" t="str">
        <f>'BKU 1'!$I$25</f>
        <v>NGANTANG</v>
      </c>
      <c r="R27" s="765">
        <f>IFERROR(VLOOKUP(E6,'Rekap Gaji'!$B$12:$P$24,7,FALSE),"-")</f>
        <v>45906</v>
      </c>
      <c r="S27" s="765"/>
      <c r="T27" s="69"/>
      <c r="U27" s="69"/>
      <c r="V27" s="66"/>
    </row>
    <row r="28" spans="1:31" s="37" customFormat="1" ht="15.75" x14ac:dyDescent="0.25">
      <c r="A28" s="40"/>
      <c r="B28" s="45"/>
      <c r="C28" s="37" t="s">
        <v>43</v>
      </c>
      <c r="F28" s="70"/>
      <c r="G28" s="71"/>
      <c r="H28" s="72"/>
      <c r="I28" s="73"/>
      <c r="J28" s="68" t="s">
        <v>44</v>
      </c>
      <c r="K28" s="70"/>
      <c r="M28" s="38"/>
      <c r="N28" s="38"/>
      <c r="Q28" s="37" t="str">
        <f>'BKU 1'!$L$354</f>
        <v>Dibuat Oleh ;</v>
      </c>
      <c r="R28" s="38"/>
      <c r="S28" s="68"/>
      <c r="U28" s="66"/>
      <c r="V28" s="66"/>
    </row>
    <row r="29" spans="1:31" s="37" customFormat="1" ht="15" x14ac:dyDescent="0.25">
      <c r="A29" s="40"/>
      <c r="B29" s="45"/>
      <c r="C29" s="37" t="str">
        <f>'BKU 1'!$C$355</f>
        <v>Kepala Sekolah SDN 1 SIDODADI</v>
      </c>
      <c r="F29" s="43"/>
      <c r="G29" s="74"/>
      <c r="H29" s="41"/>
      <c r="I29" s="42"/>
      <c r="J29" s="37" t="s">
        <v>45</v>
      </c>
      <c r="K29" s="43"/>
      <c r="Q29" s="37" t="str">
        <f>'BKU 1'!$L$355</f>
        <v>Bendahara Pembangunan</v>
      </c>
      <c r="R29" s="38"/>
      <c r="S29" s="68"/>
      <c r="U29" s="66"/>
      <c r="V29" s="66"/>
    </row>
    <row r="30" spans="1:31" s="37" customFormat="1" ht="15" x14ac:dyDescent="0.25">
      <c r="A30" s="40"/>
      <c r="B30" s="45"/>
      <c r="F30" s="43"/>
      <c r="G30" s="74"/>
      <c r="H30" s="41"/>
      <c r="I30" s="42"/>
      <c r="K30" s="43"/>
      <c r="R30" s="38"/>
      <c r="S30" s="68"/>
      <c r="U30" s="66"/>
      <c r="V30" s="66"/>
    </row>
    <row r="31" spans="1:31" ht="14.25" x14ac:dyDescent="0.25">
      <c r="F31" s="187"/>
      <c r="G31" s="224"/>
      <c r="H31" s="182"/>
      <c r="I31" s="183"/>
      <c r="K31" s="187"/>
      <c r="Q31" s="140"/>
      <c r="R31" s="141"/>
    </row>
    <row r="32" spans="1:31" ht="14.25" x14ac:dyDescent="0.25">
      <c r="F32" s="187"/>
      <c r="G32" s="224"/>
      <c r="H32" s="182"/>
      <c r="I32" s="183"/>
      <c r="K32" s="187"/>
      <c r="Q32" s="140"/>
      <c r="R32" s="141"/>
    </row>
    <row r="33" spans="1:22" ht="14.25" x14ac:dyDescent="0.25">
      <c r="F33" s="187"/>
      <c r="G33" s="224"/>
      <c r="H33" s="182"/>
      <c r="I33" s="183"/>
      <c r="K33" s="187"/>
      <c r="Q33" s="140"/>
      <c r="R33" s="141"/>
    </row>
    <row r="34" spans="1:22" x14ac:dyDescent="0.25">
      <c r="G34" s="225"/>
      <c r="Q34" s="140"/>
    </row>
    <row r="35" spans="1:22" x14ac:dyDescent="0.25">
      <c r="G35" s="225"/>
      <c r="Q35" s="140"/>
    </row>
    <row r="36" spans="1:22" s="189" customFormat="1" ht="15" customHeight="1" x14ac:dyDescent="0.25">
      <c r="A36" s="192"/>
      <c r="B36" s="195"/>
      <c r="C36" s="227" t="str">
        <f>'BKU 1'!$C$360</f>
        <v>MELIA FITRIANI, S.Pd.SD</v>
      </c>
      <c r="D36" s="227"/>
      <c r="G36" s="228"/>
      <c r="H36" s="195"/>
      <c r="I36" s="194"/>
      <c r="J36" s="229">
        <f>'BKU 1'!$G$360</f>
        <v>0</v>
      </c>
      <c r="Q36" s="227" t="str">
        <f>'BKU 1'!$L$360</f>
        <v>ARIF NUR UDIN, S.Pd.SD</v>
      </c>
      <c r="S36" s="230"/>
      <c r="U36" s="231"/>
      <c r="V36" s="231"/>
    </row>
    <row r="37" spans="1:22" s="189" customFormat="1" ht="15" customHeight="1" x14ac:dyDescent="0.25">
      <c r="A37" s="192"/>
      <c r="B37" s="195"/>
      <c r="C37" s="140" t="str">
        <f>'BKU 1'!$C$361</f>
        <v>NIP. 19850619 200904 2 000</v>
      </c>
      <c r="D37" s="140"/>
      <c r="E37" s="140"/>
      <c r="F37" s="140"/>
      <c r="G37" s="225"/>
      <c r="H37" s="191"/>
      <c r="I37" s="190"/>
      <c r="J37" s="232">
        <f>'BKU 1'!$G$361</f>
        <v>0</v>
      </c>
      <c r="K37" s="140"/>
      <c r="M37" s="140"/>
      <c r="N37" s="140"/>
      <c r="O37" s="140"/>
      <c r="P37" s="140"/>
      <c r="Q37" s="140" t="str">
        <f>'BKU 1'!$L$361</f>
        <v>NIP. 19840719 200903 1 002</v>
      </c>
      <c r="S37" s="230"/>
      <c r="U37" s="231"/>
      <c r="V37" s="231"/>
    </row>
    <row r="38" spans="1:22" ht="6" customHeight="1" x14ac:dyDescent="0.25"/>
    <row r="39" spans="1:22" s="177" customFormat="1" ht="24.95" customHeight="1" x14ac:dyDescent="0.25">
      <c r="A39" s="176"/>
      <c r="B39" s="726" t="s">
        <v>6</v>
      </c>
      <c r="C39" s="726"/>
      <c r="D39" s="726"/>
      <c r="E39" s="726"/>
      <c r="F39" s="726"/>
      <c r="G39" s="726"/>
      <c r="H39" s="726"/>
      <c r="I39" s="726"/>
      <c r="J39" s="726"/>
      <c r="K39" s="726"/>
      <c r="L39" s="726"/>
      <c r="M39" s="726"/>
      <c r="N39" s="726"/>
      <c r="O39" s="726"/>
      <c r="P39" s="726"/>
      <c r="Q39" s="726"/>
      <c r="R39" s="726"/>
      <c r="S39" s="726"/>
      <c r="U39" s="178"/>
      <c r="V39" s="178"/>
    </row>
    <row r="40" spans="1:22" s="177" customFormat="1" ht="24.95" customHeight="1" x14ac:dyDescent="0.25">
      <c r="A40" s="176"/>
      <c r="B40" s="726" t="str">
        <f>'BKU 1'!$D$22</f>
        <v>PEMBANGUNAN TOILET BESERTA SANITASINYA</v>
      </c>
      <c r="C40" s="726"/>
      <c r="D40" s="726"/>
      <c r="E40" s="726"/>
      <c r="F40" s="726"/>
      <c r="G40" s="726"/>
      <c r="H40" s="726"/>
      <c r="I40" s="726"/>
      <c r="J40" s="726"/>
      <c r="K40" s="726"/>
      <c r="L40" s="726"/>
      <c r="M40" s="726"/>
      <c r="N40" s="726"/>
      <c r="O40" s="726"/>
      <c r="P40" s="726"/>
      <c r="Q40" s="726"/>
      <c r="R40" s="726"/>
      <c r="S40" s="726"/>
      <c r="U40" s="178"/>
      <c r="V40" s="178"/>
    </row>
    <row r="41" spans="1:22" s="184" customFormat="1" ht="30.75" customHeight="1" x14ac:dyDescent="0.25">
      <c r="A41" s="179"/>
      <c r="B41" s="180"/>
      <c r="C41" s="181"/>
      <c r="D41" s="181"/>
      <c r="E41" s="181"/>
      <c r="F41" s="182"/>
      <c r="G41" s="183"/>
      <c r="H41" s="182"/>
      <c r="I41" s="183"/>
      <c r="J41" s="182"/>
      <c r="K41" s="182"/>
      <c r="L41" s="182"/>
      <c r="M41" s="181"/>
      <c r="N41" s="181"/>
      <c r="Q41" s="180"/>
      <c r="R41" s="140"/>
      <c r="S41" s="185"/>
      <c r="U41" s="186"/>
      <c r="V41" s="186"/>
    </row>
    <row r="42" spans="1:22" s="184" customFormat="1" ht="14.25" x14ac:dyDescent="0.25">
      <c r="A42" s="179"/>
      <c r="B42" s="185" t="s">
        <v>7</v>
      </c>
      <c r="D42" s="184" t="s">
        <v>49</v>
      </c>
      <c r="E42" s="184" t="str">
        <f>'BKU 1'!$D$25</f>
        <v>SDN 1 SIDODADI</v>
      </c>
      <c r="F42" s="140"/>
      <c r="G42" s="183"/>
      <c r="H42" s="182"/>
      <c r="I42" s="183"/>
      <c r="J42" s="187"/>
      <c r="K42" s="187"/>
      <c r="L42" s="187"/>
      <c r="M42" s="188"/>
      <c r="N42" s="188"/>
      <c r="Q42" s="180"/>
      <c r="R42" s="189" t="s">
        <v>8</v>
      </c>
      <c r="S42" s="185"/>
      <c r="U42" s="186"/>
      <c r="V42" s="186"/>
    </row>
    <row r="43" spans="1:22" s="184" customFormat="1" x14ac:dyDescent="0.25">
      <c r="A43" s="179"/>
      <c r="B43" s="185" t="s">
        <v>9</v>
      </c>
      <c r="D43" s="184" t="s">
        <v>49</v>
      </c>
      <c r="E43" s="184" t="str">
        <f>'BKU 1'!$D$26</f>
        <v>Jl. Kawi No.36 Rt. 1 Rw. 1 Dusun Sekar, Rt / Rw : 1 / 1, Dusun : Sekar, Kelurahan : Sidodadi</v>
      </c>
      <c r="F43" s="140"/>
      <c r="G43" s="190"/>
      <c r="H43" s="191"/>
      <c r="I43" s="190"/>
      <c r="J43" s="140"/>
      <c r="K43" s="140"/>
      <c r="L43" s="140"/>
      <c r="Q43" s="180"/>
      <c r="R43" s="140" t="s">
        <v>10</v>
      </c>
      <c r="S43" s="185" t="s">
        <v>11</v>
      </c>
      <c r="U43" s="186"/>
      <c r="V43" s="186"/>
    </row>
    <row r="44" spans="1:22" s="184" customFormat="1" x14ac:dyDescent="0.25">
      <c r="A44" s="179"/>
      <c r="B44" s="185" t="s">
        <v>12</v>
      </c>
      <c r="D44" s="184" t="s">
        <v>49</v>
      </c>
      <c r="E44" s="180">
        <f>E6+1</f>
        <v>2</v>
      </c>
      <c r="F44" s="140"/>
      <c r="G44" s="727">
        <f>IFERROR(VLOOKUP(E44,'Rekap Gaji'!$B$12:$P$24,14,FALSE),"-")</f>
        <v>0</v>
      </c>
      <c r="H44" s="727"/>
      <c r="I44" s="727"/>
      <c r="J44" s="140"/>
      <c r="K44" s="140"/>
      <c r="L44" s="140"/>
      <c r="Q44" s="180"/>
      <c r="R44" s="140" t="s">
        <v>13</v>
      </c>
      <c r="S44" s="185" t="s">
        <v>14</v>
      </c>
      <c r="U44" s="186"/>
      <c r="V44" s="186"/>
    </row>
    <row r="45" spans="1:22" s="184" customFormat="1" ht="15" customHeight="1" x14ac:dyDescent="0.25">
      <c r="A45" s="179"/>
      <c r="B45" s="185" t="s">
        <v>0</v>
      </c>
      <c r="D45" s="184" t="s">
        <v>49</v>
      </c>
      <c r="E45" s="728">
        <f>IFERROR(VLOOKUP(E44,'Rekap Gaji'!$B$12:$P$24,4,FALSE),"-")</f>
        <v>45907</v>
      </c>
      <c r="F45" s="728"/>
      <c r="G45" s="728"/>
      <c r="H45" s="728"/>
      <c r="I45" s="727" t="s">
        <v>76</v>
      </c>
      <c r="J45" s="727"/>
      <c r="K45" s="728">
        <f>IFERROR(VLOOKUP(E44,'Rekap Gaji'!$B$12:$P$24,6,FALSE),"-")</f>
        <v>45913</v>
      </c>
      <c r="L45" s="728"/>
      <c r="M45" s="728"/>
      <c r="N45" s="728"/>
      <c r="Q45" s="180"/>
      <c r="R45" s="140" t="s">
        <v>15</v>
      </c>
      <c r="S45" s="185" t="s">
        <v>16</v>
      </c>
      <c r="U45" s="186"/>
      <c r="V45" s="186"/>
    </row>
    <row r="46" spans="1:22" s="188" customFormat="1" ht="8.1" customHeight="1" thickBot="1" x14ac:dyDescent="0.3">
      <c r="A46" s="192"/>
      <c r="B46" s="193"/>
      <c r="F46" s="189"/>
      <c r="G46" s="194"/>
      <c r="H46" s="195"/>
      <c r="I46" s="194"/>
      <c r="J46" s="189"/>
      <c r="K46" s="189"/>
      <c r="L46" s="189"/>
      <c r="Q46" s="193"/>
      <c r="R46" s="189"/>
      <c r="S46" s="196"/>
      <c r="U46" s="197"/>
      <c r="V46" s="197"/>
    </row>
    <row r="47" spans="1:22" s="199" customFormat="1" ht="15" customHeight="1" x14ac:dyDescent="0.25">
      <c r="A47" s="198"/>
      <c r="B47" s="755" t="s">
        <v>17</v>
      </c>
      <c r="C47" s="749" t="s">
        <v>18</v>
      </c>
      <c r="D47" s="758"/>
      <c r="E47" s="153" t="s">
        <v>19</v>
      </c>
      <c r="F47" s="763" t="s">
        <v>20</v>
      </c>
      <c r="G47" s="764"/>
      <c r="H47" s="764"/>
      <c r="I47" s="764"/>
      <c r="J47" s="764"/>
      <c r="K47" s="764"/>
      <c r="L47" s="764"/>
      <c r="M47" s="152" t="s">
        <v>2</v>
      </c>
      <c r="N47" s="749" t="s">
        <v>21</v>
      </c>
      <c r="O47" s="758"/>
      <c r="P47" s="749" t="s">
        <v>22</v>
      </c>
      <c r="Q47" s="758"/>
      <c r="R47" s="749" t="s">
        <v>23</v>
      </c>
      <c r="S47" s="750"/>
      <c r="U47" s="200"/>
      <c r="V47" s="200"/>
    </row>
    <row r="48" spans="1:22" s="199" customFormat="1" ht="28.9" customHeight="1" x14ac:dyDescent="0.25">
      <c r="A48" s="198"/>
      <c r="B48" s="756"/>
      <c r="C48" s="751"/>
      <c r="D48" s="759"/>
      <c r="E48" s="155" t="s">
        <v>24</v>
      </c>
      <c r="F48" s="761" t="s">
        <v>25</v>
      </c>
      <c r="G48" s="761" t="s">
        <v>26</v>
      </c>
      <c r="H48" s="761" t="s">
        <v>26</v>
      </c>
      <c r="I48" s="761" t="s">
        <v>27</v>
      </c>
      <c r="J48" s="761" t="s">
        <v>28</v>
      </c>
      <c r="K48" s="761" t="s">
        <v>29</v>
      </c>
      <c r="L48" s="761" t="s">
        <v>26</v>
      </c>
      <c r="M48" s="154" t="s">
        <v>30</v>
      </c>
      <c r="N48" s="751" t="s">
        <v>455</v>
      </c>
      <c r="O48" s="759"/>
      <c r="P48" s="751" t="s">
        <v>31</v>
      </c>
      <c r="Q48" s="759"/>
      <c r="R48" s="751"/>
      <c r="S48" s="752"/>
      <c r="U48" s="200"/>
      <c r="V48" s="200"/>
    </row>
    <row r="49" spans="1:31" s="199" customFormat="1" ht="15" customHeight="1" thickBot="1" x14ac:dyDescent="0.3">
      <c r="A49" s="198"/>
      <c r="B49" s="757"/>
      <c r="C49" s="753"/>
      <c r="D49" s="760"/>
      <c r="E49" s="157" t="s">
        <v>32</v>
      </c>
      <c r="F49" s="762"/>
      <c r="G49" s="762"/>
      <c r="H49" s="762"/>
      <c r="I49" s="762"/>
      <c r="J49" s="762"/>
      <c r="K49" s="762"/>
      <c r="L49" s="762"/>
      <c r="M49" s="156" t="s">
        <v>31</v>
      </c>
      <c r="N49" s="753" t="s">
        <v>33</v>
      </c>
      <c r="O49" s="760"/>
      <c r="P49" s="753" t="s">
        <v>34</v>
      </c>
      <c r="Q49" s="760"/>
      <c r="R49" s="753"/>
      <c r="S49" s="754"/>
      <c r="U49" s="200"/>
      <c r="V49" s="200"/>
    </row>
    <row r="50" spans="1:31" ht="24.95" customHeight="1" x14ac:dyDescent="0.25">
      <c r="B50" s="201">
        <v>1</v>
      </c>
      <c r="C50" s="202" t="str">
        <f t="shared" ref="C50:C60" si="11">C12</f>
        <v>KHUSNUL</v>
      </c>
      <c r="D50" s="203"/>
      <c r="E50" s="204" t="str">
        <f t="shared" ref="E50:E60" si="12">E12</f>
        <v>A</v>
      </c>
      <c r="F50" s="205" t="s">
        <v>36</v>
      </c>
      <c r="G50" s="205" t="s">
        <v>37</v>
      </c>
      <c r="H50" s="205" t="s">
        <v>37</v>
      </c>
      <c r="I50" s="205" t="s">
        <v>37</v>
      </c>
      <c r="J50" s="205" t="s">
        <v>37</v>
      </c>
      <c r="K50" s="205" t="s">
        <v>37</v>
      </c>
      <c r="L50" s="205" t="s">
        <v>37</v>
      </c>
      <c r="M50" s="206">
        <f>SUM(Y50:AE50)</f>
        <v>6</v>
      </c>
      <c r="N50" s="207" t="str">
        <f>IF(O50&gt;0,"Rp",IF(O50=0," "))</f>
        <v>Rp</v>
      </c>
      <c r="O50" s="208">
        <f t="shared" ref="O50:O59" si="13">O12</f>
        <v>130000</v>
      </c>
      <c r="P50" s="207" t="str">
        <f>IF(Q50&gt;0,"Rp",IF(Q50=0," "))</f>
        <v>Rp</v>
      </c>
      <c r="Q50" s="208">
        <f t="shared" ref="Q50:Q58" si="14">O50*M50</f>
        <v>780000</v>
      </c>
      <c r="R50" s="209">
        <v>1</v>
      </c>
      <c r="S50" s="210"/>
      <c r="U50" s="211"/>
      <c r="V50" s="211"/>
      <c r="Y50" s="211">
        <f t="shared" ref="Y50:Y60" si="15">IFERROR(IF(F50="V",1,IF(F50="X",0))," ")</f>
        <v>0</v>
      </c>
      <c r="Z50" s="211">
        <f t="shared" ref="Z50:Z60" si="16">IFERROR(IF(G50="V",1,IF(G50="X",0))," ")</f>
        <v>1</v>
      </c>
      <c r="AA50" s="211">
        <f t="shared" ref="AA50:AA60" si="17">IFERROR(IF(H50="V",1,IF(H50="X",0))," ")</f>
        <v>1</v>
      </c>
      <c r="AB50" s="211">
        <f t="shared" ref="AB50:AB60" si="18">IFERROR(IF(I50="V",1,IF(I50="X",0))," ")</f>
        <v>1</v>
      </c>
      <c r="AC50" s="211">
        <f t="shared" ref="AC50:AC60" si="19">IFERROR(IF(J50="V",1,IF(J50="X",0))," ")</f>
        <v>1</v>
      </c>
      <c r="AD50" s="211">
        <f t="shared" ref="AD50:AD60" si="20">IFERROR(IF(K50="V",1,IF(K50="X",0))," ")</f>
        <v>1</v>
      </c>
      <c r="AE50" s="211">
        <f t="shared" ref="AE50:AE60" si="21">IFERROR(IF(L50="V",1,IF(L50="X",0))," ")</f>
        <v>1</v>
      </c>
    </row>
    <row r="51" spans="1:31" ht="24.95" customHeight="1" x14ac:dyDescent="0.25">
      <c r="B51" s="212">
        <v>2</v>
      </c>
      <c r="C51" s="202" t="str">
        <f t="shared" si="11"/>
        <v>PRIYO</v>
      </c>
      <c r="D51" s="213"/>
      <c r="E51" s="214" t="str">
        <f t="shared" si="12"/>
        <v>B</v>
      </c>
      <c r="F51" s="215" t="s">
        <v>36</v>
      </c>
      <c r="G51" s="215" t="s">
        <v>36</v>
      </c>
      <c r="H51" s="215" t="s">
        <v>37</v>
      </c>
      <c r="I51" s="215" t="s">
        <v>37</v>
      </c>
      <c r="J51" s="215" t="s">
        <v>37</v>
      </c>
      <c r="K51" s="215" t="s">
        <v>37</v>
      </c>
      <c r="L51" s="215" t="s">
        <v>37</v>
      </c>
      <c r="M51" s="216">
        <f t="shared" ref="M51:M58" si="22">SUM(Y51:AE51)</f>
        <v>5</v>
      </c>
      <c r="N51" s="217" t="str">
        <f t="shared" ref="N51:N58" si="23">IF(O51&gt;0,"Rp",IF(O51=0," "))</f>
        <v>Rp</v>
      </c>
      <c r="O51" s="218">
        <f t="shared" si="13"/>
        <v>125000</v>
      </c>
      <c r="P51" s="217" t="str">
        <f t="shared" ref="P51:P58" si="24">IF(Q51&gt;0,"Rp",IF(Q51=0," "))</f>
        <v>Rp</v>
      </c>
      <c r="Q51" s="219">
        <f t="shared" si="14"/>
        <v>625000</v>
      </c>
      <c r="R51" s="220"/>
      <c r="S51" s="221">
        <v>2</v>
      </c>
      <c r="U51" s="211"/>
      <c r="V51" s="211"/>
      <c r="Y51" s="211">
        <f t="shared" si="15"/>
        <v>0</v>
      </c>
      <c r="Z51" s="211">
        <f t="shared" si="16"/>
        <v>0</v>
      </c>
      <c r="AA51" s="211">
        <f t="shared" si="17"/>
        <v>1</v>
      </c>
      <c r="AB51" s="211">
        <f t="shared" si="18"/>
        <v>1</v>
      </c>
      <c r="AC51" s="211">
        <f t="shared" si="19"/>
        <v>1</v>
      </c>
      <c r="AD51" s="211">
        <f t="shared" si="20"/>
        <v>1</v>
      </c>
      <c r="AE51" s="211">
        <f t="shared" si="21"/>
        <v>1</v>
      </c>
    </row>
    <row r="52" spans="1:31" ht="24.95" customHeight="1" x14ac:dyDescent="0.25">
      <c r="B52" s="212">
        <v>3</v>
      </c>
      <c r="C52" s="202" t="str">
        <f t="shared" si="11"/>
        <v>NANANG</v>
      </c>
      <c r="D52" s="213"/>
      <c r="E52" s="214" t="str">
        <f t="shared" si="12"/>
        <v>B</v>
      </c>
      <c r="F52" s="215" t="s">
        <v>36</v>
      </c>
      <c r="G52" s="215" t="s">
        <v>37</v>
      </c>
      <c r="H52" s="215" t="s">
        <v>37</v>
      </c>
      <c r="I52" s="215" t="s">
        <v>37</v>
      </c>
      <c r="J52" s="215" t="s">
        <v>37</v>
      </c>
      <c r="K52" s="215" t="s">
        <v>37</v>
      </c>
      <c r="L52" s="215" t="s">
        <v>36</v>
      </c>
      <c r="M52" s="216">
        <f t="shared" si="22"/>
        <v>5</v>
      </c>
      <c r="N52" s="217" t="str">
        <f t="shared" si="23"/>
        <v>Rp</v>
      </c>
      <c r="O52" s="218">
        <f t="shared" si="13"/>
        <v>125000</v>
      </c>
      <c r="P52" s="217" t="str">
        <f t="shared" si="24"/>
        <v>Rp</v>
      </c>
      <c r="Q52" s="219">
        <f t="shared" si="14"/>
        <v>625000</v>
      </c>
      <c r="R52" s="222">
        <v>3</v>
      </c>
      <c r="S52" s="221"/>
      <c r="U52" s="211"/>
      <c r="V52" s="211"/>
      <c r="Y52" s="211">
        <f t="shared" si="15"/>
        <v>0</v>
      </c>
      <c r="Z52" s="211">
        <f t="shared" si="16"/>
        <v>1</v>
      </c>
      <c r="AA52" s="211">
        <f t="shared" si="17"/>
        <v>1</v>
      </c>
      <c r="AB52" s="211">
        <f t="shared" si="18"/>
        <v>1</v>
      </c>
      <c r="AC52" s="211">
        <f t="shared" si="19"/>
        <v>1</v>
      </c>
      <c r="AD52" s="211">
        <f t="shared" si="20"/>
        <v>1</v>
      </c>
      <c r="AE52" s="211">
        <f t="shared" si="21"/>
        <v>0</v>
      </c>
    </row>
    <row r="53" spans="1:31" ht="24.95" customHeight="1" x14ac:dyDescent="0.25">
      <c r="B53" s="212">
        <v>4</v>
      </c>
      <c r="C53" s="202" t="str">
        <f t="shared" si="11"/>
        <v>KOIREN</v>
      </c>
      <c r="D53" s="213"/>
      <c r="E53" s="214" t="str">
        <f t="shared" si="12"/>
        <v>B</v>
      </c>
      <c r="F53" s="215" t="s">
        <v>36</v>
      </c>
      <c r="G53" s="215" t="s">
        <v>37</v>
      </c>
      <c r="H53" s="215" t="s">
        <v>37</v>
      </c>
      <c r="I53" s="215" t="s">
        <v>37</v>
      </c>
      <c r="J53" s="215" t="s">
        <v>37</v>
      </c>
      <c r="K53" s="215" t="s">
        <v>37</v>
      </c>
      <c r="L53" s="215" t="s">
        <v>37</v>
      </c>
      <c r="M53" s="216">
        <f t="shared" si="22"/>
        <v>6</v>
      </c>
      <c r="N53" s="217" t="str">
        <f t="shared" si="23"/>
        <v>Rp</v>
      </c>
      <c r="O53" s="218">
        <f t="shared" si="13"/>
        <v>125000</v>
      </c>
      <c r="P53" s="217" t="str">
        <f t="shared" si="24"/>
        <v>Rp</v>
      </c>
      <c r="Q53" s="219">
        <f t="shared" si="14"/>
        <v>750000</v>
      </c>
      <c r="R53" s="222"/>
      <c r="S53" s="223">
        <v>4</v>
      </c>
      <c r="U53" s="211"/>
      <c r="V53" s="211"/>
      <c r="Y53" s="211">
        <f t="shared" si="15"/>
        <v>0</v>
      </c>
      <c r="Z53" s="211">
        <f t="shared" si="16"/>
        <v>1</v>
      </c>
      <c r="AA53" s="211">
        <f t="shared" si="17"/>
        <v>1</v>
      </c>
      <c r="AB53" s="211">
        <f t="shared" si="18"/>
        <v>1</v>
      </c>
      <c r="AC53" s="211">
        <f t="shared" si="19"/>
        <v>1</v>
      </c>
      <c r="AD53" s="211">
        <f t="shared" si="20"/>
        <v>1</v>
      </c>
      <c r="AE53" s="211">
        <f t="shared" si="21"/>
        <v>1</v>
      </c>
    </row>
    <row r="54" spans="1:31" ht="24.95" customHeight="1" x14ac:dyDescent="0.25">
      <c r="B54" s="212">
        <v>5</v>
      </c>
      <c r="C54" s="202" t="str">
        <f t="shared" si="11"/>
        <v>MAT</v>
      </c>
      <c r="D54" s="213"/>
      <c r="E54" s="214" t="str">
        <f t="shared" si="12"/>
        <v>C</v>
      </c>
      <c r="F54" s="215" t="s">
        <v>36</v>
      </c>
      <c r="G54" s="215" t="s">
        <v>37</v>
      </c>
      <c r="H54" s="215" t="s">
        <v>37</v>
      </c>
      <c r="I54" s="215" t="s">
        <v>37</v>
      </c>
      <c r="J54" s="215" t="s">
        <v>37</v>
      </c>
      <c r="K54" s="215" t="s">
        <v>37</v>
      </c>
      <c r="L54" s="215" t="s">
        <v>37</v>
      </c>
      <c r="M54" s="216">
        <f t="shared" si="22"/>
        <v>6</v>
      </c>
      <c r="N54" s="217" t="str">
        <f t="shared" si="23"/>
        <v>Rp</v>
      </c>
      <c r="O54" s="218">
        <f t="shared" si="13"/>
        <v>100000</v>
      </c>
      <c r="P54" s="217" t="str">
        <f t="shared" si="24"/>
        <v>Rp</v>
      </c>
      <c r="Q54" s="219">
        <f t="shared" si="14"/>
        <v>600000</v>
      </c>
      <c r="R54" s="222">
        <v>5</v>
      </c>
      <c r="S54" s="221"/>
      <c r="U54" s="211"/>
      <c r="V54" s="211"/>
      <c r="Y54" s="211">
        <f t="shared" si="15"/>
        <v>0</v>
      </c>
      <c r="Z54" s="211">
        <f t="shared" si="16"/>
        <v>1</v>
      </c>
      <c r="AA54" s="211">
        <f t="shared" si="17"/>
        <v>1</v>
      </c>
      <c r="AB54" s="211">
        <f t="shared" si="18"/>
        <v>1</v>
      </c>
      <c r="AC54" s="211">
        <f t="shared" si="19"/>
        <v>1</v>
      </c>
      <c r="AD54" s="211">
        <f t="shared" si="20"/>
        <v>1</v>
      </c>
      <c r="AE54" s="211">
        <f t="shared" si="21"/>
        <v>1</v>
      </c>
    </row>
    <row r="55" spans="1:31" ht="24.95" customHeight="1" x14ac:dyDescent="0.25">
      <c r="B55" s="212">
        <v>6</v>
      </c>
      <c r="C55" s="202" t="str">
        <f t="shared" si="11"/>
        <v>JUNED</v>
      </c>
      <c r="D55" s="213"/>
      <c r="E55" s="214" t="str">
        <f t="shared" si="12"/>
        <v>C</v>
      </c>
      <c r="F55" s="215" t="s">
        <v>36</v>
      </c>
      <c r="G55" s="215" t="s">
        <v>37</v>
      </c>
      <c r="H55" s="215" t="s">
        <v>37</v>
      </c>
      <c r="I55" s="215" t="s">
        <v>37</v>
      </c>
      <c r="J55" s="215" t="s">
        <v>37</v>
      </c>
      <c r="K55" s="215" t="s">
        <v>37</v>
      </c>
      <c r="L55" s="215" t="s">
        <v>37</v>
      </c>
      <c r="M55" s="216">
        <f t="shared" si="22"/>
        <v>6</v>
      </c>
      <c r="N55" s="217" t="str">
        <f t="shared" si="23"/>
        <v>Rp</v>
      </c>
      <c r="O55" s="218">
        <f t="shared" si="13"/>
        <v>100000</v>
      </c>
      <c r="P55" s="217" t="str">
        <f t="shared" si="24"/>
        <v>Rp</v>
      </c>
      <c r="Q55" s="219">
        <f t="shared" si="14"/>
        <v>600000</v>
      </c>
      <c r="R55" s="222"/>
      <c r="S55" s="223">
        <v>6</v>
      </c>
      <c r="U55" s="211"/>
      <c r="V55" s="211"/>
      <c r="Y55" s="211">
        <f t="shared" si="15"/>
        <v>0</v>
      </c>
      <c r="Z55" s="211">
        <f t="shared" si="16"/>
        <v>1</v>
      </c>
      <c r="AA55" s="211">
        <f t="shared" si="17"/>
        <v>1</v>
      </c>
      <c r="AB55" s="211">
        <f t="shared" si="18"/>
        <v>1</v>
      </c>
      <c r="AC55" s="211">
        <f t="shared" si="19"/>
        <v>1</v>
      </c>
      <c r="AD55" s="211">
        <f t="shared" si="20"/>
        <v>1</v>
      </c>
      <c r="AE55" s="211">
        <f t="shared" si="21"/>
        <v>1</v>
      </c>
    </row>
    <row r="56" spans="1:31" ht="24.95" customHeight="1" x14ac:dyDescent="0.25">
      <c r="B56" s="212">
        <v>7</v>
      </c>
      <c r="C56" s="202" t="str">
        <f t="shared" si="11"/>
        <v>LASITO</v>
      </c>
      <c r="D56" s="213"/>
      <c r="E56" s="214" t="str">
        <f t="shared" si="12"/>
        <v>C</v>
      </c>
      <c r="F56" s="215" t="s">
        <v>36</v>
      </c>
      <c r="G56" s="215" t="s">
        <v>37</v>
      </c>
      <c r="H56" s="215" t="s">
        <v>36</v>
      </c>
      <c r="I56" s="215" t="s">
        <v>37</v>
      </c>
      <c r="J56" s="215" t="s">
        <v>37</v>
      </c>
      <c r="K56" s="215" t="s">
        <v>37</v>
      </c>
      <c r="L56" s="215" t="s">
        <v>37</v>
      </c>
      <c r="M56" s="216">
        <f t="shared" si="22"/>
        <v>5</v>
      </c>
      <c r="N56" s="217" t="str">
        <f t="shared" si="23"/>
        <v>Rp</v>
      </c>
      <c r="O56" s="218">
        <f t="shared" si="13"/>
        <v>100000</v>
      </c>
      <c r="P56" s="217" t="str">
        <f t="shared" si="24"/>
        <v>Rp</v>
      </c>
      <c r="Q56" s="219">
        <f t="shared" si="14"/>
        <v>500000</v>
      </c>
      <c r="R56" s="222">
        <v>7</v>
      </c>
      <c r="S56" s="221"/>
      <c r="U56" s="211"/>
      <c r="V56" s="211"/>
      <c r="Y56" s="211">
        <f t="shared" si="15"/>
        <v>0</v>
      </c>
      <c r="Z56" s="211">
        <f t="shared" si="16"/>
        <v>1</v>
      </c>
      <c r="AA56" s="211">
        <f t="shared" si="17"/>
        <v>0</v>
      </c>
      <c r="AB56" s="211">
        <f t="shared" si="18"/>
        <v>1</v>
      </c>
      <c r="AC56" s="211">
        <f t="shared" si="19"/>
        <v>1</v>
      </c>
      <c r="AD56" s="211">
        <f t="shared" si="20"/>
        <v>1</v>
      </c>
      <c r="AE56" s="211">
        <f t="shared" si="21"/>
        <v>1</v>
      </c>
    </row>
    <row r="57" spans="1:31" ht="24.95" customHeight="1" x14ac:dyDescent="0.25">
      <c r="B57" s="212">
        <v>8</v>
      </c>
      <c r="C57" s="202" t="str">
        <f t="shared" si="11"/>
        <v>BONANG</v>
      </c>
      <c r="D57" s="213"/>
      <c r="E57" s="214" t="str">
        <f t="shared" si="12"/>
        <v>C</v>
      </c>
      <c r="F57" s="215" t="s">
        <v>36</v>
      </c>
      <c r="G57" s="215" t="s">
        <v>37</v>
      </c>
      <c r="H57" s="215" t="s">
        <v>37</v>
      </c>
      <c r="I57" s="215" t="s">
        <v>37</v>
      </c>
      <c r="J57" s="215" t="s">
        <v>37</v>
      </c>
      <c r="K57" s="215" t="s">
        <v>36</v>
      </c>
      <c r="L57" s="215" t="s">
        <v>37</v>
      </c>
      <c r="M57" s="216">
        <f t="shared" si="22"/>
        <v>5</v>
      </c>
      <c r="N57" s="217" t="str">
        <f t="shared" si="23"/>
        <v>Rp</v>
      </c>
      <c r="O57" s="218">
        <f t="shared" si="13"/>
        <v>100000</v>
      </c>
      <c r="P57" s="217" t="str">
        <f t="shared" si="24"/>
        <v>Rp</v>
      </c>
      <c r="Q57" s="219">
        <f t="shared" si="14"/>
        <v>500000</v>
      </c>
      <c r="R57" s="222"/>
      <c r="S57" s="223">
        <v>8</v>
      </c>
      <c r="U57" s="211"/>
      <c r="V57" s="211"/>
      <c r="Y57" s="211">
        <f t="shared" si="15"/>
        <v>0</v>
      </c>
      <c r="Z57" s="211">
        <f t="shared" si="16"/>
        <v>1</v>
      </c>
      <c r="AA57" s="211">
        <f t="shared" si="17"/>
        <v>1</v>
      </c>
      <c r="AB57" s="211">
        <f t="shared" si="18"/>
        <v>1</v>
      </c>
      <c r="AC57" s="211">
        <f t="shared" si="19"/>
        <v>1</v>
      </c>
      <c r="AD57" s="211">
        <f t="shared" si="20"/>
        <v>0</v>
      </c>
      <c r="AE57" s="211">
        <f t="shared" si="21"/>
        <v>1</v>
      </c>
    </row>
    <row r="58" spans="1:31" ht="24.95" customHeight="1" x14ac:dyDescent="0.25">
      <c r="B58" s="212">
        <v>9</v>
      </c>
      <c r="C58" s="202">
        <f t="shared" si="11"/>
        <v>0</v>
      </c>
      <c r="D58" s="213"/>
      <c r="E58" s="214">
        <f t="shared" si="12"/>
        <v>0</v>
      </c>
      <c r="F58" s="215"/>
      <c r="G58" s="215"/>
      <c r="H58" s="215"/>
      <c r="I58" s="215"/>
      <c r="J58" s="215"/>
      <c r="K58" s="215"/>
      <c r="L58" s="215"/>
      <c r="M58" s="216">
        <f t="shared" si="22"/>
        <v>0</v>
      </c>
      <c r="N58" s="217" t="str">
        <f t="shared" si="23"/>
        <v xml:space="preserve"> </v>
      </c>
      <c r="O58" s="218">
        <f t="shared" si="13"/>
        <v>0</v>
      </c>
      <c r="P58" s="217" t="str">
        <f t="shared" si="24"/>
        <v xml:space="preserve"> </v>
      </c>
      <c r="Q58" s="219">
        <f t="shared" si="14"/>
        <v>0</v>
      </c>
      <c r="R58" s="222">
        <v>9</v>
      </c>
      <c r="S58" s="221"/>
      <c r="U58" s="211"/>
      <c r="V58" s="211"/>
      <c r="Y58" s="211" t="b">
        <f t="shared" si="15"/>
        <v>0</v>
      </c>
      <c r="Z58" s="211" t="b">
        <f t="shared" si="16"/>
        <v>0</v>
      </c>
      <c r="AA58" s="211" t="b">
        <f t="shared" si="17"/>
        <v>0</v>
      </c>
      <c r="AB58" s="211" t="b">
        <f t="shared" si="18"/>
        <v>0</v>
      </c>
      <c r="AC58" s="211" t="b">
        <f t="shared" si="19"/>
        <v>0</v>
      </c>
      <c r="AD58" s="211" t="b">
        <f t="shared" si="20"/>
        <v>0</v>
      </c>
      <c r="AE58" s="211" t="b">
        <f t="shared" si="21"/>
        <v>0</v>
      </c>
    </row>
    <row r="59" spans="1:31" ht="24.95" customHeight="1" x14ac:dyDescent="0.25">
      <c r="B59" s="212">
        <v>10</v>
      </c>
      <c r="C59" s="202">
        <f t="shared" si="11"/>
        <v>0</v>
      </c>
      <c r="D59" s="213"/>
      <c r="E59" s="214">
        <f t="shared" si="12"/>
        <v>0</v>
      </c>
      <c r="F59" s="215"/>
      <c r="G59" s="215"/>
      <c r="H59" s="215"/>
      <c r="I59" s="215"/>
      <c r="J59" s="215"/>
      <c r="K59" s="215"/>
      <c r="L59" s="215"/>
      <c r="M59" s="216">
        <f>SUM(Y59:AE59)</f>
        <v>0</v>
      </c>
      <c r="N59" s="217" t="str">
        <f>IF(O59&gt;0,"Rp",IF(O59=0," "))</f>
        <v xml:space="preserve"> </v>
      </c>
      <c r="O59" s="218">
        <f t="shared" si="13"/>
        <v>0</v>
      </c>
      <c r="P59" s="217" t="str">
        <f>IF(Q59&gt;0,"Rp",IF(Q59=0," "))</f>
        <v xml:space="preserve"> </v>
      </c>
      <c r="Q59" s="219">
        <f>O59*M59</f>
        <v>0</v>
      </c>
      <c r="R59" s="222"/>
      <c r="S59" s="223">
        <v>10</v>
      </c>
      <c r="U59" s="211"/>
      <c r="V59" s="211"/>
      <c r="Y59" s="211" t="b">
        <f t="shared" si="15"/>
        <v>0</v>
      </c>
      <c r="Z59" s="211" t="b">
        <f t="shared" si="16"/>
        <v>0</v>
      </c>
      <c r="AA59" s="211" t="b">
        <f t="shared" si="17"/>
        <v>0</v>
      </c>
      <c r="AB59" s="211" t="b">
        <f t="shared" si="18"/>
        <v>0</v>
      </c>
      <c r="AC59" s="211" t="b">
        <f t="shared" si="19"/>
        <v>0</v>
      </c>
      <c r="AD59" s="211" t="b">
        <f t="shared" si="20"/>
        <v>0</v>
      </c>
      <c r="AE59" s="211" t="b">
        <f t="shared" si="21"/>
        <v>0</v>
      </c>
    </row>
    <row r="60" spans="1:31" ht="24.95" customHeight="1" x14ac:dyDescent="0.25">
      <c r="B60" s="212">
        <v>11</v>
      </c>
      <c r="C60" s="202">
        <f t="shared" si="11"/>
        <v>0</v>
      </c>
      <c r="D60" s="213"/>
      <c r="E60" s="214">
        <f t="shared" si="12"/>
        <v>0</v>
      </c>
      <c r="F60" s="215"/>
      <c r="G60" s="215"/>
      <c r="H60" s="215"/>
      <c r="I60" s="215"/>
      <c r="J60" s="215"/>
      <c r="K60" s="215"/>
      <c r="L60" s="215"/>
      <c r="M60" s="216">
        <f>SUM(Y60:AE60)</f>
        <v>0</v>
      </c>
      <c r="N60" s="217"/>
      <c r="O60" s="218"/>
      <c r="P60" s="217"/>
      <c r="Q60" s="219"/>
      <c r="R60" s="222">
        <v>11</v>
      </c>
      <c r="S60" s="221"/>
      <c r="U60" s="211"/>
      <c r="V60" s="211"/>
      <c r="Y60" s="211" t="b">
        <f t="shared" si="15"/>
        <v>0</v>
      </c>
      <c r="Z60" s="211" t="b">
        <f t="shared" si="16"/>
        <v>0</v>
      </c>
      <c r="AA60" s="211" t="b">
        <f t="shared" si="17"/>
        <v>0</v>
      </c>
      <c r="AB60" s="211" t="b">
        <f t="shared" si="18"/>
        <v>0</v>
      </c>
      <c r="AC60" s="211" t="b">
        <f t="shared" si="19"/>
        <v>0</v>
      </c>
      <c r="AD60" s="211" t="b">
        <f t="shared" si="20"/>
        <v>0</v>
      </c>
      <c r="AE60" s="211" t="b">
        <f t="shared" si="21"/>
        <v>0</v>
      </c>
    </row>
    <row r="61" spans="1:31" ht="24.95" customHeight="1" thickBot="1" x14ac:dyDescent="0.25">
      <c r="B61" s="233"/>
      <c r="C61" s="234"/>
      <c r="D61" s="235"/>
      <c r="E61" s="236"/>
      <c r="F61" s="237"/>
      <c r="G61" s="238"/>
      <c r="H61" s="239"/>
      <c r="I61" s="239"/>
      <c r="J61" s="240"/>
      <c r="K61" s="240"/>
      <c r="L61" s="240"/>
      <c r="M61" s="241"/>
      <c r="N61" s="242"/>
      <c r="O61" s="243"/>
      <c r="P61" s="244"/>
      <c r="Q61" s="245"/>
      <c r="R61" s="246"/>
      <c r="S61" s="247"/>
      <c r="U61" s="211"/>
      <c r="V61" s="211"/>
    </row>
    <row r="62" spans="1:31" ht="20.100000000000001" customHeight="1" thickTop="1" thickBot="1" x14ac:dyDescent="0.3">
      <c r="A62" s="179">
        <v>2</v>
      </c>
      <c r="B62" s="248"/>
      <c r="C62" s="249"/>
      <c r="D62" s="249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50" t="s">
        <v>40</v>
      </c>
      <c r="P62" s="249"/>
      <c r="Q62" s="710">
        <f>SUM(Q50:Q61)</f>
        <v>4980000</v>
      </c>
      <c r="R62" s="711"/>
      <c r="S62" s="712"/>
      <c r="U62" s="226" t="str">
        <f>VLOOKUP(A62,'Rekap Gaji'!$B$12:$P$24,10,FALSE)</f>
        <v xml:space="preserve"> 13 September 2025</v>
      </c>
      <c r="V62" s="251" t="e">
        <f>U62-Q62</f>
        <v>#VALUE!</v>
      </c>
    </row>
    <row r="63" spans="1:31" ht="11.25" customHeight="1" x14ac:dyDescent="0.25"/>
    <row r="64" spans="1:31" ht="16.5" customHeight="1" x14ac:dyDescent="0.25">
      <c r="B64" s="195" t="s">
        <v>41</v>
      </c>
      <c r="C64" s="140" t="s">
        <v>42</v>
      </c>
    </row>
    <row r="65" spans="1:22" ht="14.25" x14ac:dyDescent="0.25">
      <c r="G65" s="183"/>
      <c r="H65" s="182"/>
      <c r="M65" s="141"/>
      <c r="N65" s="141"/>
      <c r="Q65" s="190" t="str">
        <f>'BKU 1'!$I$25</f>
        <v>NGANTANG</v>
      </c>
      <c r="R65" s="713">
        <f>IFERROR(VLOOKUP(E44,'Rekap Gaji'!$B$12:$P$24,7,FALSE),"-")</f>
        <v>45913</v>
      </c>
      <c r="S65" s="713"/>
      <c r="T65" s="252"/>
      <c r="U65" s="252"/>
    </row>
    <row r="66" spans="1:22" ht="15.75" x14ac:dyDescent="0.25">
      <c r="C66" s="140" t="s">
        <v>43</v>
      </c>
      <c r="F66" s="253"/>
      <c r="G66" s="254"/>
      <c r="H66" s="255"/>
      <c r="I66" s="256"/>
      <c r="J66" s="225" t="s">
        <v>44</v>
      </c>
      <c r="K66" s="253"/>
      <c r="M66" s="141"/>
      <c r="N66" s="141"/>
      <c r="Q66" s="140" t="str">
        <f>'BKU 1'!$L$354</f>
        <v>Dibuat Oleh ;</v>
      </c>
      <c r="R66" s="141"/>
    </row>
    <row r="67" spans="1:22" ht="14.25" x14ac:dyDescent="0.25">
      <c r="C67" s="140" t="str">
        <f>'BKU 1'!$C$355</f>
        <v>Kepala Sekolah SDN 1 SIDODADI</v>
      </c>
      <c r="F67" s="187"/>
      <c r="G67" s="224"/>
      <c r="H67" s="182"/>
      <c r="I67" s="183"/>
      <c r="J67" s="140" t="s">
        <v>45</v>
      </c>
      <c r="K67" s="187"/>
      <c r="Q67" s="140" t="str">
        <f>'BKU 1'!$L$355</f>
        <v>Bendahara Pembangunan</v>
      </c>
      <c r="R67" s="141"/>
    </row>
    <row r="68" spans="1:22" ht="14.25" x14ac:dyDescent="0.25">
      <c r="F68" s="187"/>
      <c r="G68" s="224"/>
      <c r="H68" s="182"/>
      <c r="I68" s="183"/>
      <c r="K68" s="187"/>
      <c r="Q68" s="140"/>
      <c r="R68" s="141"/>
    </row>
    <row r="69" spans="1:22" ht="14.25" x14ac:dyDescent="0.25">
      <c r="F69" s="187"/>
      <c r="G69" s="224"/>
      <c r="H69" s="182"/>
      <c r="I69" s="183"/>
      <c r="K69" s="187"/>
      <c r="Q69" s="140"/>
      <c r="R69" s="141"/>
    </row>
    <row r="70" spans="1:22" ht="14.25" x14ac:dyDescent="0.25">
      <c r="F70" s="187"/>
      <c r="G70" s="224"/>
      <c r="H70" s="182"/>
      <c r="I70" s="183"/>
      <c r="K70" s="187"/>
      <c r="Q70" s="140"/>
      <c r="R70" s="141"/>
    </row>
    <row r="71" spans="1:22" ht="14.25" x14ac:dyDescent="0.25">
      <c r="F71" s="187"/>
      <c r="G71" s="224"/>
      <c r="H71" s="182"/>
      <c r="I71" s="183"/>
      <c r="K71" s="187"/>
      <c r="Q71" s="140"/>
      <c r="R71" s="141"/>
    </row>
    <row r="72" spans="1:22" x14ac:dyDescent="0.25">
      <c r="G72" s="225"/>
      <c r="Q72" s="140"/>
    </row>
    <row r="73" spans="1:22" x14ac:dyDescent="0.25">
      <c r="G73" s="225"/>
      <c r="Q73" s="140"/>
    </row>
    <row r="74" spans="1:22" s="189" customFormat="1" ht="15" customHeight="1" x14ac:dyDescent="0.25">
      <c r="A74" s="192"/>
      <c r="B74" s="195"/>
      <c r="C74" s="227" t="str">
        <f>'BKU 1'!$C$360</f>
        <v>MELIA FITRIANI, S.Pd.SD</v>
      </c>
      <c r="D74" s="227"/>
      <c r="G74" s="228"/>
      <c r="H74" s="195"/>
      <c r="I74" s="194"/>
      <c r="J74" s="229">
        <f>'BKU 1'!$G$360</f>
        <v>0</v>
      </c>
      <c r="Q74" s="227" t="str">
        <f>'BKU 1'!$L$360</f>
        <v>ARIF NUR UDIN, S.Pd.SD</v>
      </c>
      <c r="S74" s="230"/>
      <c r="U74" s="231"/>
      <c r="V74" s="231"/>
    </row>
    <row r="75" spans="1:22" s="189" customFormat="1" ht="15" customHeight="1" x14ac:dyDescent="0.25">
      <c r="A75" s="192"/>
      <c r="B75" s="195"/>
      <c r="C75" s="140" t="str">
        <f>'BKU 1'!$C$361</f>
        <v>NIP. 19850619 200904 2 000</v>
      </c>
      <c r="D75" s="140"/>
      <c r="E75" s="140"/>
      <c r="F75" s="140"/>
      <c r="G75" s="225"/>
      <c r="H75" s="191"/>
      <c r="I75" s="190"/>
      <c r="J75" s="232">
        <f>'BKU 1'!$G$361</f>
        <v>0</v>
      </c>
      <c r="K75" s="140"/>
      <c r="M75" s="140"/>
      <c r="N75" s="140"/>
      <c r="O75" s="140"/>
      <c r="P75" s="140"/>
      <c r="Q75" s="140" t="str">
        <f>'BKU 1'!$L$361</f>
        <v>NIP. 19840719 200903 1 002</v>
      </c>
      <c r="S75" s="230"/>
      <c r="U75" s="231"/>
      <c r="V75" s="231"/>
    </row>
    <row r="76" spans="1:22" ht="6" customHeight="1" x14ac:dyDescent="0.25"/>
    <row r="77" spans="1:22" s="177" customFormat="1" ht="24.95" customHeight="1" x14ac:dyDescent="0.25">
      <c r="A77" s="176"/>
      <c r="B77" s="726" t="s">
        <v>6</v>
      </c>
      <c r="C77" s="726"/>
      <c r="D77" s="726"/>
      <c r="E77" s="726"/>
      <c r="F77" s="726"/>
      <c r="G77" s="726"/>
      <c r="H77" s="726"/>
      <c r="I77" s="726"/>
      <c r="J77" s="726"/>
      <c r="K77" s="726"/>
      <c r="L77" s="726"/>
      <c r="M77" s="726"/>
      <c r="N77" s="726"/>
      <c r="O77" s="726"/>
      <c r="P77" s="726"/>
      <c r="Q77" s="726"/>
      <c r="R77" s="726"/>
      <c r="S77" s="726"/>
      <c r="U77" s="178"/>
      <c r="V77" s="178"/>
    </row>
    <row r="78" spans="1:22" s="177" customFormat="1" ht="24.95" customHeight="1" x14ac:dyDescent="0.25">
      <c r="A78" s="176"/>
      <c r="B78" s="726" t="str">
        <f>'BKU 1'!$D$22</f>
        <v>PEMBANGUNAN TOILET BESERTA SANITASINYA</v>
      </c>
      <c r="C78" s="726"/>
      <c r="D78" s="726"/>
      <c r="E78" s="726"/>
      <c r="F78" s="726"/>
      <c r="G78" s="726"/>
      <c r="H78" s="726"/>
      <c r="I78" s="726"/>
      <c r="J78" s="726"/>
      <c r="K78" s="726"/>
      <c r="L78" s="726"/>
      <c r="M78" s="726"/>
      <c r="N78" s="726"/>
      <c r="O78" s="726"/>
      <c r="P78" s="726"/>
      <c r="Q78" s="726"/>
      <c r="R78" s="726"/>
      <c r="S78" s="726"/>
      <c r="U78" s="178"/>
      <c r="V78" s="178"/>
    </row>
    <row r="79" spans="1:22" s="184" customFormat="1" ht="30.75" customHeight="1" x14ac:dyDescent="0.25">
      <c r="A79" s="179"/>
      <c r="B79" s="180"/>
      <c r="C79" s="181"/>
      <c r="D79" s="181"/>
      <c r="E79" s="181"/>
      <c r="F79" s="182"/>
      <c r="G79" s="183"/>
      <c r="H79" s="182"/>
      <c r="I79" s="183"/>
      <c r="J79" s="182"/>
      <c r="K79" s="182"/>
      <c r="L79" s="182"/>
      <c r="M79" s="181"/>
      <c r="N79" s="181"/>
      <c r="Q79" s="180"/>
      <c r="R79" s="140"/>
      <c r="S79" s="185"/>
      <c r="U79" s="186"/>
      <c r="V79" s="186"/>
    </row>
    <row r="80" spans="1:22" s="184" customFormat="1" ht="14.25" x14ac:dyDescent="0.25">
      <c r="A80" s="179"/>
      <c r="B80" s="185" t="s">
        <v>7</v>
      </c>
      <c r="D80" s="184" t="s">
        <v>49</v>
      </c>
      <c r="E80" s="184" t="str">
        <f>'BKU 1'!$D$25</f>
        <v>SDN 1 SIDODADI</v>
      </c>
      <c r="F80" s="140"/>
      <c r="G80" s="183"/>
      <c r="H80" s="182"/>
      <c r="I80" s="183"/>
      <c r="J80" s="187"/>
      <c r="K80" s="187"/>
      <c r="L80" s="187"/>
      <c r="M80" s="188"/>
      <c r="N80" s="188"/>
      <c r="Q80" s="180"/>
      <c r="R80" s="189" t="s">
        <v>8</v>
      </c>
      <c r="S80" s="185"/>
      <c r="U80" s="186"/>
      <c r="V80" s="186"/>
    </row>
    <row r="81" spans="1:31" s="184" customFormat="1" x14ac:dyDescent="0.25">
      <c r="A81" s="179"/>
      <c r="B81" s="185" t="s">
        <v>9</v>
      </c>
      <c r="D81" s="184" t="s">
        <v>49</v>
      </c>
      <c r="E81" s="184" t="str">
        <f>'BKU 1'!$D$26</f>
        <v>Jl. Kawi No.36 Rt. 1 Rw. 1 Dusun Sekar, Rt / Rw : 1 / 1, Dusun : Sekar, Kelurahan : Sidodadi</v>
      </c>
      <c r="F81" s="140"/>
      <c r="G81" s="190"/>
      <c r="H81" s="191"/>
      <c r="I81" s="190"/>
      <c r="J81" s="140"/>
      <c r="K81" s="140"/>
      <c r="L81" s="140"/>
      <c r="Q81" s="180"/>
      <c r="R81" s="140" t="s">
        <v>10</v>
      </c>
      <c r="S81" s="185" t="s">
        <v>11</v>
      </c>
      <c r="U81" s="186"/>
      <c r="V81" s="186"/>
    </row>
    <row r="82" spans="1:31" s="184" customFormat="1" x14ac:dyDescent="0.25">
      <c r="A82" s="179"/>
      <c r="B82" s="185" t="s">
        <v>12</v>
      </c>
      <c r="D82" s="184" t="s">
        <v>49</v>
      </c>
      <c r="E82" s="180">
        <f>E44+1</f>
        <v>3</v>
      </c>
      <c r="F82" s="140"/>
      <c r="G82" s="727">
        <f>IFERROR(VLOOKUP(E82,'Rekap Gaji'!$B$12:$P$24,14,FALSE),"-")</f>
        <v>0</v>
      </c>
      <c r="H82" s="727"/>
      <c r="I82" s="727"/>
      <c r="J82" s="140"/>
      <c r="K82" s="140"/>
      <c r="L82" s="140"/>
      <c r="Q82" s="180"/>
      <c r="R82" s="140" t="s">
        <v>13</v>
      </c>
      <c r="S82" s="185" t="s">
        <v>14</v>
      </c>
      <c r="U82" s="186"/>
      <c r="V82" s="186"/>
    </row>
    <row r="83" spans="1:31" s="184" customFormat="1" ht="15" customHeight="1" x14ac:dyDescent="0.25">
      <c r="A83" s="179"/>
      <c r="B83" s="185" t="s">
        <v>0</v>
      </c>
      <c r="D83" s="184" t="s">
        <v>49</v>
      </c>
      <c r="E83" s="728">
        <f>IFERROR(VLOOKUP(E82,'Rekap Gaji'!$B$12:$P$24,4,FALSE),"-")</f>
        <v>45914</v>
      </c>
      <c r="F83" s="728"/>
      <c r="G83" s="728"/>
      <c r="H83" s="728"/>
      <c r="I83" s="727" t="s">
        <v>76</v>
      </c>
      <c r="J83" s="727"/>
      <c r="K83" s="728">
        <f>IFERROR(VLOOKUP(E82,'Rekap Gaji'!$B$12:$P$24,6,FALSE),"-")</f>
        <v>45920</v>
      </c>
      <c r="L83" s="728"/>
      <c r="M83" s="728"/>
      <c r="N83" s="728"/>
      <c r="Q83" s="180"/>
      <c r="R83" s="140" t="s">
        <v>15</v>
      </c>
      <c r="S83" s="185" t="s">
        <v>16</v>
      </c>
      <c r="U83" s="186"/>
      <c r="V83" s="186"/>
    </row>
    <row r="84" spans="1:31" s="188" customFormat="1" ht="8.1" customHeight="1" thickBot="1" x14ac:dyDescent="0.3">
      <c r="A84" s="192"/>
      <c r="B84" s="193"/>
      <c r="F84" s="189"/>
      <c r="G84" s="194"/>
      <c r="H84" s="195"/>
      <c r="I84" s="194"/>
      <c r="J84" s="189"/>
      <c r="K84" s="189"/>
      <c r="L84" s="189"/>
      <c r="Q84" s="193"/>
      <c r="R84" s="189"/>
      <c r="S84" s="196"/>
      <c r="U84" s="197"/>
      <c r="V84" s="197"/>
    </row>
    <row r="85" spans="1:31" s="199" customFormat="1" ht="15" customHeight="1" x14ac:dyDescent="0.25">
      <c r="A85" s="198"/>
      <c r="B85" s="755" t="s">
        <v>17</v>
      </c>
      <c r="C85" s="749" t="s">
        <v>18</v>
      </c>
      <c r="D85" s="758"/>
      <c r="E85" s="153" t="s">
        <v>19</v>
      </c>
      <c r="F85" s="763" t="s">
        <v>20</v>
      </c>
      <c r="G85" s="764"/>
      <c r="H85" s="764"/>
      <c r="I85" s="764"/>
      <c r="J85" s="764"/>
      <c r="K85" s="764"/>
      <c r="L85" s="764"/>
      <c r="M85" s="152" t="s">
        <v>2</v>
      </c>
      <c r="N85" s="749" t="s">
        <v>21</v>
      </c>
      <c r="O85" s="758"/>
      <c r="P85" s="749" t="s">
        <v>22</v>
      </c>
      <c r="Q85" s="758"/>
      <c r="R85" s="749" t="s">
        <v>23</v>
      </c>
      <c r="S85" s="750"/>
      <c r="U85" s="200"/>
      <c r="V85" s="200"/>
    </row>
    <row r="86" spans="1:31" s="199" customFormat="1" ht="28.9" customHeight="1" x14ac:dyDescent="0.25">
      <c r="A86" s="198"/>
      <c r="B86" s="756"/>
      <c r="C86" s="751"/>
      <c r="D86" s="759"/>
      <c r="E86" s="155" t="s">
        <v>24</v>
      </c>
      <c r="F86" s="761" t="s">
        <v>25</v>
      </c>
      <c r="G86" s="761" t="s">
        <v>26</v>
      </c>
      <c r="H86" s="761" t="s">
        <v>26</v>
      </c>
      <c r="I86" s="761" t="s">
        <v>27</v>
      </c>
      <c r="J86" s="761" t="s">
        <v>28</v>
      </c>
      <c r="K86" s="761" t="s">
        <v>29</v>
      </c>
      <c r="L86" s="761" t="s">
        <v>26</v>
      </c>
      <c r="M86" s="154" t="s">
        <v>30</v>
      </c>
      <c r="N86" s="751" t="s">
        <v>455</v>
      </c>
      <c r="O86" s="759"/>
      <c r="P86" s="751" t="s">
        <v>31</v>
      </c>
      <c r="Q86" s="759"/>
      <c r="R86" s="751"/>
      <c r="S86" s="752"/>
      <c r="U86" s="200"/>
      <c r="V86" s="200"/>
    </row>
    <row r="87" spans="1:31" s="199" customFormat="1" ht="15" customHeight="1" thickBot="1" x14ac:dyDescent="0.3">
      <c r="A87" s="198"/>
      <c r="B87" s="757"/>
      <c r="C87" s="753"/>
      <c r="D87" s="760"/>
      <c r="E87" s="157" t="s">
        <v>32</v>
      </c>
      <c r="F87" s="762"/>
      <c r="G87" s="762"/>
      <c r="H87" s="762"/>
      <c r="I87" s="762"/>
      <c r="J87" s="762"/>
      <c r="K87" s="762"/>
      <c r="L87" s="762"/>
      <c r="M87" s="156" t="s">
        <v>31</v>
      </c>
      <c r="N87" s="753" t="s">
        <v>33</v>
      </c>
      <c r="O87" s="760"/>
      <c r="P87" s="753" t="s">
        <v>34</v>
      </c>
      <c r="Q87" s="760"/>
      <c r="R87" s="753"/>
      <c r="S87" s="754"/>
      <c r="U87" s="200"/>
      <c r="V87" s="200"/>
    </row>
    <row r="88" spans="1:31" ht="24.95" customHeight="1" x14ac:dyDescent="0.25">
      <c r="B88" s="201">
        <v>1</v>
      </c>
      <c r="C88" s="202" t="str">
        <f t="shared" ref="C88:C98" si="25">C50</f>
        <v>KHUSNUL</v>
      </c>
      <c r="D88" s="203"/>
      <c r="E88" s="204" t="str">
        <f t="shared" ref="E88:E98" si="26">E50</f>
        <v>A</v>
      </c>
      <c r="F88" s="205" t="s">
        <v>36</v>
      </c>
      <c r="G88" s="205" t="s">
        <v>37</v>
      </c>
      <c r="H88" s="205" t="s">
        <v>37</v>
      </c>
      <c r="I88" s="205" t="s">
        <v>37</v>
      </c>
      <c r="J88" s="205" t="s">
        <v>37</v>
      </c>
      <c r="K88" s="205" t="s">
        <v>37</v>
      </c>
      <c r="L88" s="205" t="s">
        <v>37</v>
      </c>
      <c r="M88" s="206">
        <f>SUM(Y88:AE88)</f>
        <v>6</v>
      </c>
      <c r="N88" s="207" t="str">
        <f>IF(O88&gt;0,"Rp",IF(O88=0," "))</f>
        <v>Rp</v>
      </c>
      <c r="O88" s="208">
        <f t="shared" ref="O88:O97" si="27">O50</f>
        <v>130000</v>
      </c>
      <c r="P88" s="207" t="str">
        <f>IF(Q88&gt;0,"Rp",IF(Q88=0," "))</f>
        <v>Rp</v>
      </c>
      <c r="Q88" s="208">
        <f t="shared" ref="Q88:Q97" si="28">O88*M88</f>
        <v>780000</v>
      </c>
      <c r="R88" s="209">
        <v>1</v>
      </c>
      <c r="S88" s="210"/>
      <c r="U88" s="211"/>
      <c r="V88" s="211"/>
      <c r="Y88" s="211">
        <f t="shared" ref="Y88:Y98" si="29">IFERROR(IF(F88="V",1,IF(F88="X",0))," ")</f>
        <v>0</v>
      </c>
      <c r="Z88" s="211">
        <f t="shared" ref="Z88:Z98" si="30">IFERROR(IF(G88="V",1,IF(G88="X",0))," ")</f>
        <v>1</v>
      </c>
      <c r="AA88" s="211">
        <f t="shared" ref="AA88:AA98" si="31">IFERROR(IF(H88="V",1,IF(H88="X",0))," ")</f>
        <v>1</v>
      </c>
      <c r="AB88" s="211">
        <f t="shared" ref="AB88:AB98" si="32">IFERROR(IF(I88="V",1,IF(I88="X",0))," ")</f>
        <v>1</v>
      </c>
      <c r="AC88" s="211">
        <f t="shared" ref="AC88:AC98" si="33">IFERROR(IF(J88="V",1,IF(J88="X",0))," ")</f>
        <v>1</v>
      </c>
      <c r="AD88" s="211">
        <f t="shared" ref="AD88:AD98" si="34">IFERROR(IF(K88="V",1,IF(K88="X",0))," ")</f>
        <v>1</v>
      </c>
      <c r="AE88" s="211">
        <f t="shared" ref="AE88:AE98" si="35">IFERROR(IF(L88="V",1,IF(L88="X",0))," ")</f>
        <v>1</v>
      </c>
    </row>
    <row r="89" spans="1:31" ht="24.95" customHeight="1" x14ac:dyDescent="0.25">
      <c r="B89" s="212">
        <v>2</v>
      </c>
      <c r="C89" s="202" t="str">
        <f t="shared" si="25"/>
        <v>PRIYO</v>
      </c>
      <c r="D89" s="213"/>
      <c r="E89" s="214" t="str">
        <f t="shared" si="26"/>
        <v>B</v>
      </c>
      <c r="F89" s="215" t="s">
        <v>36</v>
      </c>
      <c r="G89" s="215" t="s">
        <v>37</v>
      </c>
      <c r="H89" s="215" t="s">
        <v>37</v>
      </c>
      <c r="I89" s="215" t="s">
        <v>37</v>
      </c>
      <c r="J89" s="215" t="s">
        <v>37</v>
      </c>
      <c r="K89" s="215" t="s">
        <v>37</v>
      </c>
      <c r="L89" s="215" t="s">
        <v>37</v>
      </c>
      <c r="M89" s="216">
        <f t="shared" ref="M89:M97" si="36">SUM(Y89:AE89)</f>
        <v>6</v>
      </c>
      <c r="N89" s="217" t="str">
        <f t="shared" ref="N89:N97" si="37">IF(O89&gt;0,"Rp",IF(O89=0," "))</f>
        <v>Rp</v>
      </c>
      <c r="O89" s="218">
        <f t="shared" si="27"/>
        <v>125000</v>
      </c>
      <c r="P89" s="217" t="str">
        <f t="shared" ref="P89:P97" si="38">IF(Q89&gt;0,"Rp",IF(Q89=0," "))</f>
        <v>Rp</v>
      </c>
      <c r="Q89" s="219">
        <f t="shared" si="28"/>
        <v>750000</v>
      </c>
      <c r="R89" s="220"/>
      <c r="S89" s="221">
        <v>2</v>
      </c>
      <c r="U89" s="211"/>
      <c r="V89" s="211"/>
      <c r="Y89" s="211">
        <f t="shared" si="29"/>
        <v>0</v>
      </c>
      <c r="Z89" s="211">
        <f t="shared" si="30"/>
        <v>1</v>
      </c>
      <c r="AA89" s="211">
        <f t="shared" si="31"/>
        <v>1</v>
      </c>
      <c r="AB89" s="211">
        <f t="shared" si="32"/>
        <v>1</v>
      </c>
      <c r="AC89" s="211">
        <f t="shared" si="33"/>
        <v>1</v>
      </c>
      <c r="AD89" s="211">
        <f t="shared" si="34"/>
        <v>1</v>
      </c>
      <c r="AE89" s="211">
        <f t="shared" si="35"/>
        <v>1</v>
      </c>
    </row>
    <row r="90" spans="1:31" ht="24.95" customHeight="1" x14ac:dyDescent="0.25">
      <c r="B90" s="212">
        <v>3</v>
      </c>
      <c r="C90" s="202" t="str">
        <f t="shared" si="25"/>
        <v>NANANG</v>
      </c>
      <c r="D90" s="213"/>
      <c r="E90" s="214" t="str">
        <f t="shared" si="26"/>
        <v>B</v>
      </c>
      <c r="F90" s="215" t="s">
        <v>36</v>
      </c>
      <c r="G90" s="215" t="s">
        <v>36</v>
      </c>
      <c r="H90" s="215" t="s">
        <v>37</v>
      </c>
      <c r="I90" s="215" t="s">
        <v>37</v>
      </c>
      <c r="J90" s="215" t="s">
        <v>37</v>
      </c>
      <c r="K90" s="215" t="s">
        <v>37</v>
      </c>
      <c r="L90" s="215" t="s">
        <v>37</v>
      </c>
      <c r="M90" s="216">
        <f t="shared" si="36"/>
        <v>5</v>
      </c>
      <c r="N90" s="217" t="str">
        <f t="shared" si="37"/>
        <v>Rp</v>
      </c>
      <c r="O90" s="218">
        <f t="shared" si="27"/>
        <v>125000</v>
      </c>
      <c r="P90" s="217" t="str">
        <f t="shared" si="38"/>
        <v>Rp</v>
      </c>
      <c r="Q90" s="219">
        <f t="shared" si="28"/>
        <v>625000</v>
      </c>
      <c r="R90" s="222">
        <v>3</v>
      </c>
      <c r="S90" s="221"/>
      <c r="U90" s="211"/>
      <c r="V90" s="211"/>
      <c r="Y90" s="211">
        <f t="shared" si="29"/>
        <v>0</v>
      </c>
      <c r="Z90" s="211">
        <f t="shared" si="30"/>
        <v>0</v>
      </c>
      <c r="AA90" s="211">
        <f t="shared" si="31"/>
        <v>1</v>
      </c>
      <c r="AB90" s="211">
        <f t="shared" si="32"/>
        <v>1</v>
      </c>
      <c r="AC90" s="211">
        <f t="shared" si="33"/>
        <v>1</v>
      </c>
      <c r="AD90" s="211">
        <f t="shared" si="34"/>
        <v>1</v>
      </c>
      <c r="AE90" s="211">
        <f t="shared" si="35"/>
        <v>1</v>
      </c>
    </row>
    <row r="91" spans="1:31" ht="24.95" customHeight="1" x14ac:dyDescent="0.25">
      <c r="B91" s="212">
        <v>4</v>
      </c>
      <c r="C91" s="202" t="str">
        <f t="shared" si="25"/>
        <v>KOIREN</v>
      </c>
      <c r="D91" s="213"/>
      <c r="E91" s="214" t="str">
        <f t="shared" si="26"/>
        <v>B</v>
      </c>
      <c r="F91" s="215" t="s">
        <v>36</v>
      </c>
      <c r="G91" s="215" t="s">
        <v>37</v>
      </c>
      <c r="H91" s="215" t="s">
        <v>37</v>
      </c>
      <c r="I91" s="215" t="s">
        <v>37</v>
      </c>
      <c r="J91" s="215" t="s">
        <v>37</v>
      </c>
      <c r="K91" s="215" t="s">
        <v>37</v>
      </c>
      <c r="L91" s="215" t="s">
        <v>37</v>
      </c>
      <c r="M91" s="216">
        <f t="shared" si="36"/>
        <v>6</v>
      </c>
      <c r="N91" s="217" t="str">
        <f t="shared" si="37"/>
        <v>Rp</v>
      </c>
      <c r="O91" s="218">
        <f t="shared" si="27"/>
        <v>125000</v>
      </c>
      <c r="P91" s="217" t="str">
        <f t="shared" si="38"/>
        <v>Rp</v>
      </c>
      <c r="Q91" s="219">
        <f t="shared" si="28"/>
        <v>750000</v>
      </c>
      <c r="R91" s="222"/>
      <c r="S91" s="223">
        <v>4</v>
      </c>
      <c r="U91" s="211"/>
      <c r="V91" s="211"/>
      <c r="Y91" s="211">
        <f t="shared" si="29"/>
        <v>0</v>
      </c>
      <c r="Z91" s="211">
        <f t="shared" si="30"/>
        <v>1</v>
      </c>
      <c r="AA91" s="211">
        <f t="shared" si="31"/>
        <v>1</v>
      </c>
      <c r="AB91" s="211">
        <f t="shared" si="32"/>
        <v>1</v>
      </c>
      <c r="AC91" s="211">
        <f t="shared" si="33"/>
        <v>1</v>
      </c>
      <c r="AD91" s="211">
        <f t="shared" si="34"/>
        <v>1</v>
      </c>
      <c r="AE91" s="211">
        <f t="shared" si="35"/>
        <v>1</v>
      </c>
    </row>
    <row r="92" spans="1:31" ht="24.95" customHeight="1" x14ac:dyDescent="0.25">
      <c r="B92" s="212">
        <v>5</v>
      </c>
      <c r="C92" s="202" t="str">
        <f t="shared" si="25"/>
        <v>MAT</v>
      </c>
      <c r="D92" s="213"/>
      <c r="E92" s="214" t="str">
        <f t="shared" si="26"/>
        <v>C</v>
      </c>
      <c r="F92" s="215" t="s">
        <v>36</v>
      </c>
      <c r="G92" s="215" t="s">
        <v>37</v>
      </c>
      <c r="H92" s="215" t="s">
        <v>37</v>
      </c>
      <c r="I92" s="215" t="s">
        <v>37</v>
      </c>
      <c r="J92" s="215" t="s">
        <v>37</v>
      </c>
      <c r="K92" s="215" t="s">
        <v>37</v>
      </c>
      <c r="L92" s="215" t="s">
        <v>37</v>
      </c>
      <c r="M92" s="216">
        <f t="shared" si="36"/>
        <v>6</v>
      </c>
      <c r="N92" s="217" t="str">
        <f t="shared" si="37"/>
        <v>Rp</v>
      </c>
      <c r="O92" s="218">
        <f t="shared" si="27"/>
        <v>100000</v>
      </c>
      <c r="P92" s="217" t="str">
        <f t="shared" si="38"/>
        <v>Rp</v>
      </c>
      <c r="Q92" s="219">
        <f t="shared" si="28"/>
        <v>600000</v>
      </c>
      <c r="R92" s="222">
        <v>5</v>
      </c>
      <c r="S92" s="221"/>
      <c r="U92" s="211"/>
      <c r="V92" s="211"/>
      <c r="Y92" s="211">
        <f t="shared" si="29"/>
        <v>0</v>
      </c>
      <c r="Z92" s="211">
        <f t="shared" si="30"/>
        <v>1</v>
      </c>
      <c r="AA92" s="211">
        <f t="shared" si="31"/>
        <v>1</v>
      </c>
      <c r="AB92" s="211">
        <f t="shared" si="32"/>
        <v>1</v>
      </c>
      <c r="AC92" s="211">
        <f t="shared" si="33"/>
        <v>1</v>
      </c>
      <c r="AD92" s="211">
        <f t="shared" si="34"/>
        <v>1</v>
      </c>
      <c r="AE92" s="211">
        <f t="shared" si="35"/>
        <v>1</v>
      </c>
    </row>
    <row r="93" spans="1:31" ht="24.95" customHeight="1" x14ac:dyDescent="0.25">
      <c r="B93" s="212">
        <v>6</v>
      </c>
      <c r="C93" s="202" t="str">
        <f t="shared" si="25"/>
        <v>JUNED</v>
      </c>
      <c r="D93" s="213"/>
      <c r="E93" s="214" t="str">
        <f t="shared" si="26"/>
        <v>C</v>
      </c>
      <c r="F93" s="215" t="s">
        <v>36</v>
      </c>
      <c r="G93" s="215" t="s">
        <v>37</v>
      </c>
      <c r="H93" s="215" t="s">
        <v>37</v>
      </c>
      <c r="I93" s="215" t="s">
        <v>37</v>
      </c>
      <c r="J93" s="215" t="s">
        <v>37</v>
      </c>
      <c r="K93" s="215" t="s">
        <v>36</v>
      </c>
      <c r="L93" s="215" t="s">
        <v>37</v>
      </c>
      <c r="M93" s="216">
        <f t="shared" si="36"/>
        <v>5</v>
      </c>
      <c r="N93" s="217" t="str">
        <f t="shared" si="37"/>
        <v>Rp</v>
      </c>
      <c r="O93" s="218">
        <f t="shared" si="27"/>
        <v>100000</v>
      </c>
      <c r="P93" s="217" t="str">
        <f t="shared" si="38"/>
        <v>Rp</v>
      </c>
      <c r="Q93" s="219">
        <f t="shared" si="28"/>
        <v>500000</v>
      </c>
      <c r="R93" s="222"/>
      <c r="S93" s="223">
        <v>6</v>
      </c>
      <c r="U93" s="211"/>
      <c r="V93" s="211"/>
      <c r="Y93" s="211">
        <f t="shared" si="29"/>
        <v>0</v>
      </c>
      <c r="Z93" s="211">
        <f t="shared" si="30"/>
        <v>1</v>
      </c>
      <c r="AA93" s="211">
        <f t="shared" si="31"/>
        <v>1</v>
      </c>
      <c r="AB93" s="211">
        <f t="shared" si="32"/>
        <v>1</v>
      </c>
      <c r="AC93" s="211">
        <f t="shared" si="33"/>
        <v>1</v>
      </c>
      <c r="AD93" s="211">
        <f t="shared" si="34"/>
        <v>0</v>
      </c>
      <c r="AE93" s="211">
        <f t="shared" si="35"/>
        <v>1</v>
      </c>
    </row>
    <row r="94" spans="1:31" ht="24.95" customHeight="1" x14ac:dyDescent="0.25">
      <c r="B94" s="212">
        <v>7</v>
      </c>
      <c r="C94" s="202" t="str">
        <f t="shared" si="25"/>
        <v>LASITO</v>
      </c>
      <c r="D94" s="213"/>
      <c r="E94" s="214" t="str">
        <f t="shared" si="26"/>
        <v>C</v>
      </c>
      <c r="F94" s="215" t="s">
        <v>36</v>
      </c>
      <c r="G94" s="215" t="s">
        <v>37</v>
      </c>
      <c r="H94" s="215" t="s">
        <v>37</v>
      </c>
      <c r="I94" s="215" t="s">
        <v>37</v>
      </c>
      <c r="J94" s="215" t="s">
        <v>37</v>
      </c>
      <c r="K94" s="215" t="s">
        <v>37</v>
      </c>
      <c r="L94" s="215" t="s">
        <v>37</v>
      </c>
      <c r="M94" s="216">
        <f t="shared" si="36"/>
        <v>6</v>
      </c>
      <c r="N94" s="217" t="str">
        <f t="shared" si="37"/>
        <v>Rp</v>
      </c>
      <c r="O94" s="218">
        <f t="shared" si="27"/>
        <v>100000</v>
      </c>
      <c r="P94" s="217" t="str">
        <f t="shared" si="38"/>
        <v>Rp</v>
      </c>
      <c r="Q94" s="219">
        <f t="shared" si="28"/>
        <v>600000</v>
      </c>
      <c r="R94" s="222">
        <v>7</v>
      </c>
      <c r="S94" s="221"/>
      <c r="U94" s="211"/>
      <c r="V94" s="211"/>
      <c r="Y94" s="211">
        <f t="shared" si="29"/>
        <v>0</v>
      </c>
      <c r="Z94" s="211">
        <f t="shared" si="30"/>
        <v>1</v>
      </c>
      <c r="AA94" s="211">
        <f t="shared" si="31"/>
        <v>1</v>
      </c>
      <c r="AB94" s="211">
        <f t="shared" si="32"/>
        <v>1</v>
      </c>
      <c r="AC94" s="211">
        <f t="shared" si="33"/>
        <v>1</v>
      </c>
      <c r="AD94" s="211">
        <f t="shared" si="34"/>
        <v>1</v>
      </c>
      <c r="AE94" s="211">
        <f t="shared" si="35"/>
        <v>1</v>
      </c>
    </row>
    <row r="95" spans="1:31" ht="24.95" customHeight="1" x14ac:dyDescent="0.25">
      <c r="B95" s="212">
        <v>8</v>
      </c>
      <c r="C95" s="202" t="str">
        <f t="shared" si="25"/>
        <v>BONANG</v>
      </c>
      <c r="D95" s="213"/>
      <c r="E95" s="214" t="str">
        <f t="shared" si="26"/>
        <v>C</v>
      </c>
      <c r="F95" s="215" t="s">
        <v>36</v>
      </c>
      <c r="G95" s="215" t="s">
        <v>37</v>
      </c>
      <c r="H95" s="215" t="s">
        <v>37</v>
      </c>
      <c r="I95" s="215" t="s">
        <v>37</v>
      </c>
      <c r="J95" s="215" t="s">
        <v>37</v>
      </c>
      <c r="K95" s="215" t="s">
        <v>36</v>
      </c>
      <c r="L95" s="215" t="s">
        <v>37</v>
      </c>
      <c r="M95" s="216">
        <f t="shared" si="36"/>
        <v>5</v>
      </c>
      <c r="N95" s="217" t="str">
        <f t="shared" si="37"/>
        <v>Rp</v>
      </c>
      <c r="O95" s="218">
        <f t="shared" si="27"/>
        <v>100000</v>
      </c>
      <c r="P95" s="217" t="str">
        <f t="shared" si="38"/>
        <v>Rp</v>
      </c>
      <c r="Q95" s="219">
        <f t="shared" si="28"/>
        <v>500000</v>
      </c>
      <c r="R95" s="222"/>
      <c r="S95" s="223">
        <v>8</v>
      </c>
      <c r="U95" s="211"/>
      <c r="V95" s="211"/>
      <c r="Y95" s="211">
        <f t="shared" si="29"/>
        <v>0</v>
      </c>
      <c r="Z95" s="211">
        <f t="shared" si="30"/>
        <v>1</v>
      </c>
      <c r="AA95" s="211">
        <f t="shared" si="31"/>
        <v>1</v>
      </c>
      <c r="AB95" s="211">
        <f t="shared" si="32"/>
        <v>1</v>
      </c>
      <c r="AC95" s="211">
        <f t="shared" si="33"/>
        <v>1</v>
      </c>
      <c r="AD95" s="211">
        <f t="shared" si="34"/>
        <v>0</v>
      </c>
      <c r="AE95" s="211">
        <f t="shared" si="35"/>
        <v>1</v>
      </c>
    </row>
    <row r="96" spans="1:31" ht="24.95" customHeight="1" x14ac:dyDescent="0.25">
      <c r="B96" s="212">
        <v>9</v>
      </c>
      <c r="C96" s="202">
        <f t="shared" si="25"/>
        <v>0</v>
      </c>
      <c r="D96" s="213"/>
      <c r="E96" s="214">
        <f t="shared" si="26"/>
        <v>0</v>
      </c>
      <c r="F96" s="215"/>
      <c r="G96" s="215"/>
      <c r="H96" s="215"/>
      <c r="I96" s="215"/>
      <c r="J96" s="215"/>
      <c r="K96" s="215"/>
      <c r="L96" s="215"/>
      <c r="M96" s="216">
        <f t="shared" si="36"/>
        <v>0</v>
      </c>
      <c r="N96" s="217" t="str">
        <f t="shared" si="37"/>
        <v xml:space="preserve"> </v>
      </c>
      <c r="O96" s="218">
        <f t="shared" si="27"/>
        <v>0</v>
      </c>
      <c r="P96" s="217" t="str">
        <f t="shared" si="38"/>
        <v xml:space="preserve"> </v>
      </c>
      <c r="Q96" s="219">
        <f t="shared" si="28"/>
        <v>0</v>
      </c>
      <c r="R96" s="222">
        <v>9</v>
      </c>
      <c r="S96" s="221"/>
      <c r="U96" s="211"/>
      <c r="V96" s="211"/>
      <c r="Y96" s="211" t="b">
        <f t="shared" si="29"/>
        <v>0</v>
      </c>
      <c r="Z96" s="211" t="b">
        <f t="shared" si="30"/>
        <v>0</v>
      </c>
      <c r="AA96" s="211" t="b">
        <f t="shared" si="31"/>
        <v>0</v>
      </c>
      <c r="AB96" s="211" t="b">
        <f t="shared" si="32"/>
        <v>0</v>
      </c>
      <c r="AC96" s="211" t="b">
        <f t="shared" si="33"/>
        <v>0</v>
      </c>
      <c r="AD96" s="211" t="b">
        <f t="shared" si="34"/>
        <v>0</v>
      </c>
      <c r="AE96" s="211" t="b">
        <f t="shared" si="35"/>
        <v>0</v>
      </c>
    </row>
    <row r="97" spans="1:31" ht="24.95" customHeight="1" x14ac:dyDescent="0.25">
      <c r="B97" s="212">
        <v>10</v>
      </c>
      <c r="C97" s="202">
        <f t="shared" si="25"/>
        <v>0</v>
      </c>
      <c r="D97" s="213"/>
      <c r="E97" s="214">
        <f t="shared" si="26"/>
        <v>0</v>
      </c>
      <c r="F97" s="215"/>
      <c r="G97" s="215"/>
      <c r="H97" s="215"/>
      <c r="I97" s="215"/>
      <c r="J97" s="215"/>
      <c r="K97" s="215"/>
      <c r="L97" s="215"/>
      <c r="M97" s="216">
        <f t="shared" si="36"/>
        <v>0</v>
      </c>
      <c r="N97" s="217" t="str">
        <f t="shared" si="37"/>
        <v xml:space="preserve"> </v>
      </c>
      <c r="O97" s="218">
        <f t="shared" si="27"/>
        <v>0</v>
      </c>
      <c r="P97" s="217" t="str">
        <f t="shared" si="38"/>
        <v xml:space="preserve"> </v>
      </c>
      <c r="Q97" s="219">
        <f t="shared" si="28"/>
        <v>0</v>
      </c>
      <c r="R97" s="222"/>
      <c r="S97" s="223">
        <v>10</v>
      </c>
      <c r="U97" s="211"/>
      <c r="V97" s="211"/>
      <c r="Y97" s="211" t="b">
        <f t="shared" si="29"/>
        <v>0</v>
      </c>
      <c r="Z97" s="211" t="b">
        <f t="shared" si="30"/>
        <v>0</v>
      </c>
      <c r="AA97" s="211" t="b">
        <f t="shared" si="31"/>
        <v>0</v>
      </c>
      <c r="AB97" s="211" t="b">
        <f t="shared" si="32"/>
        <v>0</v>
      </c>
      <c r="AC97" s="211" t="b">
        <f t="shared" si="33"/>
        <v>0</v>
      </c>
      <c r="AD97" s="211" t="b">
        <f t="shared" si="34"/>
        <v>0</v>
      </c>
      <c r="AE97" s="211" t="b">
        <f t="shared" si="35"/>
        <v>0</v>
      </c>
    </row>
    <row r="98" spans="1:31" ht="24.95" customHeight="1" x14ac:dyDescent="0.25">
      <c r="B98" s="212">
        <v>11</v>
      </c>
      <c r="C98" s="202">
        <f t="shared" si="25"/>
        <v>0</v>
      </c>
      <c r="D98" s="213"/>
      <c r="E98" s="214">
        <f t="shared" si="26"/>
        <v>0</v>
      </c>
      <c r="F98" s="215"/>
      <c r="G98" s="215"/>
      <c r="H98" s="215"/>
      <c r="I98" s="215"/>
      <c r="J98" s="215"/>
      <c r="K98" s="215"/>
      <c r="L98" s="215"/>
      <c r="M98" s="216">
        <f>SUM(Y98:AE98)</f>
        <v>0</v>
      </c>
      <c r="N98" s="217"/>
      <c r="O98" s="218"/>
      <c r="P98" s="217"/>
      <c r="Q98" s="219"/>
      <c r="R98" s="222">
        <v>11</v>
      </c>
      <c r="S98" s="221"/>
      <c r="U98" s="211"/>
      <c r="V98" s="211"/>
      <c r="Y98" s="211" t="b">
        <f t="shared" si="29"/>
        <v>0</v>
      </c>
      <c r="Z98" s="211" t="b">
        <f t="shared" si="30"/>
        <v>0</v>
      </c>
      <c r="AA98" s="211" t="b">
        <f t="shared" si="31"/>
        <v>0</v>
      </c>
      <c r="AB98" s="211" t="b">
        <f t="shared" si="32"/>
        <v>0</v>
      </c>
      <c r="AC98" s="211" t="b">
        <f t="shared" si="33"/>
        <v>0</v>
      </c>
      <c r="AD98" s="211" t="b">
        <f t="shared" si="34"/>
        <v>0</v>
      </c>
      <c r="AE98" s="211" t="b">
        <f t="shared" si="35"/>
        <v>0</v>
      </c>
    </row>
    <row r="99" spans="1:31" ht="24.95" customHeight="1" thickBot="1" x14ac:dyDescent="0.25">
      <c r="B99" s="233"/>
      <c r="C99" s="257"/>
      <c r="D99" s="235"/>
      <c r="E99" s="236"/>
      <c r="F99" s="237"/>
      <c r="G99" s="238"/>
      <c r="H99" s="239"/>
      <c r="I99" s="239"/>
      <c r="J99" s="240"/>
      <c r="K99" s="240"/>
      <c r="L99" s="240"/>
      <c r="M99" s="241"/>
      <c r="N99" s="242"/>
      <c r="O99" s="258"/>
      <c r="P99" s="244"/>
      <c r="Q99" s="236"/>
      <c r="R99" s="246"/>
      <c r="S99" s="247"/>
      <c r="U99" s="211"/>
      <c r="V99" s="211"/>
    </row>
    <row r="100" spans="1:31" ht="20.100000000000001" customHeight="1" thickTop="1" thickBot="1" x14ac:dyDescent="0.3">
      <c r="A100" s="179">
        <f>A62+1</f>
        <v>3</v>
      </c>
      <c r="B100" s="248"/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50" t="s">
        <v>40</v>
      </c>
      <c r="P100" s="249"/>
      <c r="Q100" s="710">
        <f>SUM(Q88:Q99)</f>
        <v>5105000</v>
      </c>
      <c r="R100" s="711"/>
      <c r="S100" s="712"/>
      <c r="U100" s="226" t="str">
        <f>VLOOKUP(A100,'Rekap Gaji'!$B$12:$P$24,10,FALSE)</f>
        <v xml:space="preserve"> 20 September 2025</v>
      </c>
      <c r="V100" s="251" t="e">
        <f>U100-Q100</f>
        <v>#VALUE!</v>
      </c>
    </row>
    <row r="101" spans="1:31" ht="11.25" customHeight="1" x14ac:dyDescent="0.25"/>
    <row r="102" spans="1:31" ht="16.5" customHeight="1" x14ac:dyDescent="0.25">
      <c r="B102" s="195" t="s">
        <v>41</v>
      </c>
      <c r="C102" s="140" t="s">
        <v>42</v>
      </c>
    </row>
    <row r="103" spans="1:31" ht="14.25" x14ac:dyDescent="0.25">
      <c r="G103" s="183"/>
      <c r="H103" s="182"/>
      <c r="M103" s="141"/>
      <c r="N103" s="141"/>
      <c r="Q103" s="140" t="str">
        <f>'BKU 1'!$I$25</f>
        <v>NGANTANG</v>
      </c>
      <c r="R103" s="713">
        <f>IFERROR(VLOOKUP(E82,'Rekap Gaji'!$B$12:$P$24,7,FALSE),"-")</f>
        <v>45920</v>
      </c>
      <c r="S103" s="713"/>
      <c r="T103" s="252"/>
      <c r="U103" s="252"/>
    </row>
    <row r="104" spans="1:31" ht="15.75" x14ac:dyDescent="0.25">
      <c r="C104" s="140" t="s">
        <v>43</v>
      </c>
      <c r="F104" s="253"/>
      <c r="G104" s="254"/>
      <c r="H104" s="255"/>
      <c r="I104" s="256"/>
      <c r="J104" s="225" t="s">
        <v>44</v>
      </c>
      <c r="K104" s="253"/>
      <c r="M104" s="141"/>
      <c r="N104" s="141"/>
      <c r="Q104" s="140" t="str">
        <f>'BKU 1'!$L$354</f>
        <v>Dibuat Oleh ;</v>
      </c>
      <c r="R104" s="141"/>
    </row>
    <row r="105" spans="1:31" ht="14.25" x14ac:dyDescent="0.25">
      <c r="C105" s="140" t="str">
        <f>'BKU 1'!$C$355</f>
        <v>Kepala Sekolah SDN 1 SIDODADI</v>
      </c>
      <c r="F105" s="187"/>
      <c r="G105" s="224"/>
      <c r="H105" s="182"/>
      <c r="I105" s="183"/>
      <c r="J105" s="140" t="s">
        <v>45</v>
      </c>
      <c r="K105" s="187"/>
      <c r="Q105" s="140" t="str">
        <f>'BKU 1'!$L$355</f>
        <v>Bendahara Pembangunan</v>
      </c>
      <c r="R105" s="141"/>
    </row>
    <row r="106" spans="1:31" ht="14.25" x14ac:dyDescent="0.25">
      <c r="F106" s="187"/>
      <c r="G106" s="224"/>
      <c r="H106" s="182"/>
      <c r="I106" s="183"/>
      <c r="K106" s="187"/>
      <c r="Q106" s="140"/>
      <c r="R106" s="141"/>
    </row>
    <row r="107" spans="1:31" ht="14.25" x14ac:dyDescent="0.25">
      <c r="F107" s="187"/>
      <c r="G107" s="224"/>
      <c r="H107" s="182"/>
      <c r="I107" s="183"/>
      <c r="K107" s="187"/>
      <c r="Q107" s="140"/>
      <c r="R107" s="141"/>
    </row>
    <row r="108" spans="1:31" ht="14.25" x14ac:dyDescent="0.25">
      <c r="F108" s="187"/>
      <c r="G108" s="224"/>
      <c r="H108" s="182"/>
      <c r="I108" s="183"/>
      <c r="K108" s="187"/>
      <c r="Q108" s="140"/>
      <c r="R108" s="141"/>
    </row>
    <row r="109" spans="1:31" ht="14.25" x14ac:dyDescent="0.25">
      <c r="F109" s="187"/>
      <c r="G109" s="224"/>
      <c r="H109" s="182"/>
      <c r="I109" s="183"/>
      <c r="K109" s="187"/>
      <c r="Q109" s="140"/>
      <c r="R109" s="141"/>
    </row>
    <row r="110" spans="1:31" x14ac:dyDescent="0.25">
      <c r="G110" s="225"/>
      <c r="Q110" s="140"/>
    </row>
    <row r="111" spans="1:31" x14ac:dyDescent="0.25">
      <c r="G111" s="225"/>
      <c r="Q111" s="140"/>
    </row>
    <row r="112" spans="1:31" s="189" customFormat="1" ht="15" customHeight="1" x14ac:dyDescent="0.25">
      <c r="A112" s="192"/>
      <c r="B112" s="195"/>
      <c r="C112" s="227" t="str">
        <f>'BKU 1'!$C$360</f>
        <v>MELIA FITRIANI, S.Pd.SD</v>
      </c>
      <c r="D112" s="227"/>
      <c r="G112" s="228"/>
      <c r="H112" s="195"/>
      <c r="I112" s="194"/>
      <c r="J112" s="229">
        <f>'BKU 1'!$G$360</f>
        <v>0</v>
      </c>
      <c r="Q112" s="227" t="str">
        <f>'BKU 1'!$L$360</f>
        <v>ARIF NUR UDIN, S.Pd.SD</v>
      </c>
      <c r="S112" s="230"/>
      <c r="U112" s="231"/>
      <c r="V112" s="231"/>
    </row>
    <row r="113" spans="1:31" s="189" customFormat="1" ht="15" customHeight="1" x14ac:dyDescent="0.25">
      <c r="A113" s="192"/>
      <c r="B113" s="195"/>
      <c r="C113" s="140" t="str">
        <f>'BKU 1'!$C$361</f>
        <v>NIP. 19850619 200904 2 000</v>
      </c>
      <c r="D113" s="140"/>
      <c r="E113" s="140"/>
      <c r="F113" s="140"/>
      <c r="G113" s="225"/>
      <c r="H113" s="191"/>
      <c r="I113" s="190"/>
      <c r="J113" s="232">
        <f>'BKU 1'!$G$361</f>
        <v>0</v>
      </c>
      <c r="K113" s="140"/>
      <c r="M113" s="140"/>
      <c r="N113" s="140"/>
      <c r="O113" s="140"/>
      <c r="P113" s="140"/>
      <c r="Q113" s="140" t="str">
        <f>'BKU 1'!$L$361</f>
        <v>NIP. 19840719 200903 1 002</v>
      </c>
      <c r="S113" s="230"/>
      <c r="U113" s="231"/>
      <c r="V113" s="231"/>
    </row>
    <row r="114" spans="1:31" ht="6" customHeight="1" x14ac:dyDescent="0.25"/>
    <row r="115" spans="1:31" s="177" customFormat="1" ht="24.95" customHeight="1" x14ac:dyDescent="0.25">
      <c r="A115" s="176"/>
      <c r="B115" s="726" t="s">
        <v>6</v>
      </c>
      <c r="C115" s="726"/>
      <c r="D115" s="726"/>
      <c r="E115" s="726"/>
      <c r="F115" s="726"/>
      <c r="G115" s="726"/>
      <c r="H115" s="726"/>
      <c r="I115" s="726"/>
      <c r="J115" s="726"/>
      <c r="K115" s="726"/>
      <c r="L115" s="726"/>
      <c r="M115" s="726"/>
      <c r="N115" s="726"/>
      <c r="O115" s="726"/>
      <c r="P115" s="726"/>
      <c r="Q115" s="726"/>
      <c r="R115" s="726"/>
      <c r="S115" s="726"/>
      <c r="U115" s="178"/>
      <c r="V115" s="178"/>
    </row>
    <row r="116" spans="1:31" s="177" customFormat="1" ht="24.95" customHeight="1" x14ac:dyDescent="0.25">
      <c r="A116" s="176"/>
      <c r="B116" s="726" t="str">
        <f>'BKU 1'!$D$22</f>
        <v>PEMBANGUNAN TOILET BESERTA SANITASINYA</v>
      </c>
      <c r="C116" s="726"/>
      <c r="D116" s="726"/>
      <c r="E116" s="726"/>
      <c r="F116" s="726"/>
      <c r="G116" s="726"/>
      <c r="H116" s="726"/>
      <c r="I116" s="726"/>
      <c r="J116" s="726"/>
      <c r="K116" s="726"/>
      <c r="L116" s="726"/>
      <c r="M116" s="726"/>
      <c r="N116" s="726"/>
      <c r="O116" s="726"/>
      <c r="P116" s="726"/>
      <c r="Q116" s="726"/>
      <c r="R116" s="726"/>
      <c r="S116" s="726"/>
      <c r="U116" s="178"/>
      <c r="V116" s="178"/>
    </row>
    <row r="117" spans="1:31" s="184" customFormat="1" ht="30.75" customHeight="1" x14ac:dyDescent="0.25">
      <c r="A117" s="179"/>
      <c r="B117" s="180"/>
      <c r="C117" s="181"/>
      <c r="D117" s="181"/>
      <c r="E117" s="181"/>
      <c r="F117" s="182"/>
      <c r="G117" s="183"/>
      <c r="H117" s="182"/>
      <c r="I117" s="183"/>
      <c r="J117" s="182"/>
      <c r="K117" s="182"/>
      <c r="L117" s="182"/>
      <c r="M117" s="181"/>
      <c r="N117" s="181"/>
      <c r="Q117" s="180"/>
      <c r="R117" s="140"/>
      <c r="S117" s="185"/>
      <c r="U117" s="186"/>
      <c r="V117" s="186"/>
    </row>
    <row r="118" spans="1:31" s="184" customFormat="1" ht="14.25" x14ac:dyDescent="0.25">
      <c r="A118" s="179"/>
      <c r="B118" s="185" t="s">
        <v>7</v>
      </c>
      <c r="D118" s="184" t="s">
        <v>49</v>
      </c>
      <c r="E118" s="184" t="str">
        <f>'BKU 1'!$D$25</f>
        <v>SDN 1 SIDODADI</v>
      </c>
      <c r="F118" s="140"/>
      <c r="G118" s="183"/>
      <c r="H118" s="182"/>
      <c r="I118" s="183"/>
      <c r="J118" s="187"/>
      <c r="K118" s="187"/>
      <c r="L118" s="187"/>
      <c r="M118" s="188"/>
      <c r="N118" s="188"/>
      <c r="Q118" s="180"/>
      <c r="R118" s="189" t="s">
        <v>8</v>
      </c>
      <c r="S118" s="185"/>
      <c r="U118" s="186"/>
      <c r="V118" s="186"/>
    </row>
    <row r="119" spans="1:31" s="184" customFormat="1" x14ac:dyDescent="0.25">
      <c r="A119" s="179"/>
      <c r="B119" s="185" t="s">
        <v>9</v>
      </c>
      <c r="D119" s="184" t="s">
        <v>49</v>
      </c>
      <c r="E119" s="184" t="str">
        <f>'BKU 1'!$D$26</f>
        <v>Jl. Kawi No.36 Rt. 1 Rw. 1 Dusun Sekar, Rt / Rw : 1 / 1, Dusun : Sekar, Kelurahan : Sidodadi</v>
      </c>
      <c r="F119" s="140"/>
      <c r="G119" s="190"/>
      <c r="H119" s="191"/>
      <c r="I119" s="190"/>
      <c r="J119" s="140"/>
      <c r="K119" s="140"/>
      <c r="L119" s="140"/>
      <c r="Q119" s="180"/>
      <c r="R119" s="140" t="s">
        <v>10</v>
      </c>
      <c r="S119" s="185" t="s">
        <v>11</v>
      </c>
      <c r="U119" s="186"/>
      <c r="V119" s="186"/>
    </row>
    <row r="120" spans="1:31" s="184" customFormat="1" x14ac:dyDescent="0.25">
      <c r="A120" s="179"/>
      <c r="B120" s="185" t="s">
        <v>12</v>
      </c>
      <c r="D120" s="184" t="s">
        <v>49</v>
      </c>
      <c r="E120" s="180">
        <f>E82+1</f>
        <v>4</v>
      </c>
      <c r="F120" s="140"/>
      <c r="G120" s="727">
        <f>IFERROR(VLOOKUP(E120,'Rekap Gaji'!$B$12:$P$24,14,FALSE),"-")</f>
        <v>0</v>
      </c>
      <c r="H120" s="727"/>
      <c r="I120" s="727"/>
      <c r="J120" s="140"/>
      <c r="K120" s="140"/>
      <c r="L120" s="140"/>
      <c r="Q120" s="180"/>
      <c r="R120" s="140" t="s">
        <v>13</v>
      </c>
      <c r="S120" s="185" t="s">
        <v>14</v>
      </c>
      <c r="U120" s="186"/>
      <c r="V120" s="186"/>
    </row>
    <row r="121" spans="1:31" s="184" customFormat="1" ht="15" customHeight="1" x14ac:dyDescent="0.25">
      <c r="A121" s="179"/>
      <c r="B121" s="185" t="s">
        <v>0</v>
      </c>
      <c r="D121" s="184" t="s">
        <v>49</v>
      </c>
      <c r="E121" s="728">
        <f>IFERROR(VLOOKUP(E120,'Rekap Gaji'!$B$12:$P$24,4,FALSE),"-")</f>
        <v>45921</v>
      </c>
      <c r="F121" s="728"/>
      <c r="G121" s="728"/>
      <c r="H121" s="728"/>
      <c r="I121" s="727" t="s">
        <v>76</v>
      </c>
      <c r="J121" s="727"/>
      <c r="K121" s="728">
        <f>IFERROR(VLOOKUP(E120,'Rekap Gaji'!$B$12:$P$24,6,FALSE),"-")</f>
        <v>45927</v>
      </c>
      <c r="L121" s="728"/>
      <c r="M121" s="728"/>
      <c r="N121" s="728"/>
      <c r="Q121" s="180"/>
      <c r="R121" s="140" t="s">
        <v>15</v>
      </c>
      <c r="S121" s="185" t="s">
        <v>16</v>
      </c>
      <c r="U121" s="186"/>
      <c r="V121" s="186"/>
    </row>
    <row r="122" spans="1:31" s="188" customFormat="1" ht="8.1" customHeight="1" thickBot="1" x14ac:dyDescent="0.3">
      <c r="A122" s="192"/>
      <c r="B122" s="193"/>
      <c r="F122" s="189"/>
      <c r="G122" s="194"/>
      <c r="H122" s="195"/>
      <c r="I122" s="194"/>
      <c r="J122" s="189"/>
      <c r="K122" s="189"/>
      <c r="L122" s="189"/>
      <c r="Q122" s="193"/>
      <c r="R122" s="189"/>
      <c r="S122" s="196"/>
      <c r="U122" s="197"/>
      <c r="V122" s="197"/>
    </row>
    <row r="123" spans="1:31" s="199" customFormat="1" ht="15" customHeight="1" x14ac:dyDescent="0.25">
      <c r="A123" s="198"/>
      <c r="B123" s="755" t="s">
        <v>17</v>
      </c>
      <c r="C123" s="749" t="s">
        <v>18</v>
      </c>
      <c r="D123" s="758"/>
      <c r="E123" s="153" t="s">
        <v>19</v>
      </c>
      <c r="F123" s="763" t="s">
        <v>20</v>
      </c>
      <c r="G123" s="764"/>
      <c r="H123" s="764"/>
      <c r="I123" s="764"/>
      <c r="J123" s="764"/>
      <c r="K123" s="764"/>
      <c r="L123" s="764"/>
      <c r="M123" s="152" t="s">
        <v>2</v>
      </c>
      <c r="N123" s="749" t="s">
        <v>21</v>
      </c>
      <c r="O123" s="758"/>
      <c r="P123" s="749" t="s">
        <v>22</v>
      </c>
      <c r="Q123" s="758"/>
      <c r="R123" s="749" t="s">
        <v>23</v>
      </c>
      <c r="S123" s="750"/>
      <c r="U123" s="200"/>
      <c r="V123" s="200"/>
    </row>
    <row r="124" spans="1:31" s="199" customFormat="1" ht="28.9" customHeight="1" x14ac:dyDescent="0.25">
      <c r="A124" s="198"/>
      <c r="B124" s="756"/>
      <c r="C124" s="751"/>
      <c r="D124" s="759"/>
      <c r="E124" s="155" t="s">
        <v>24</v>
      </c>
      <c r="F124" s="761" t="s">
        <v>25</v>
      </c>
      <c r="G124" s="761" t="s">
        <v>26</v>
      </c>
      <c r="H124" s="761" t="s">
        <v>26</v>
      </c>
      <c r="I124" s="761" t="s">
        <v>27</v>
      </c>
      <c r="J124" s="761" t="s">
        <v>28</v>
      </c>
      <c r="K124" s="761" t="s">
        <v>29</v>
      </c>
      <c r="L124" s="761" t="s">
        <v>26</v>
      </c>
      <c r="M124" s="154" t="s">
        <v>30</v>
      </c>
      <c r="N124" s="751" t="s">
        <v>455</v>
      </c>
      <c r="O124" s="759"/>
      <c r="P124" s="751" t="s">
        <v>31</v>
      </c>
      <c r="Q124" s="759"/>
      <c r="R124" s="751"/>
      <c r="S124" s="752"/>
      <c r="U124" s="200"/>
      <c r="V124" s="200"/>
    </row>
    <row r="125" spans="1:31" s="199" customFormat="1" ht="15" customHeight="1" thickBot="1" x14ac:dyDescent="0.3">
      <c r="A125" s="198"/>
      <c r="B125" s="757"/>
      <c r="C125" s="753"/>
      <c r="D125" s="760"/>
      <c r="E125" s="157" t="s">
        <v>32</v>
      </c>
      <c r="F125" s="762"/>
      <c r="G125" s="762"/>
      <c r="H125" s="762"/>
      <c r="I125" s="762"/>
      <c r="J125" s="762"/>
      <c r="K125" s="762"/>
      <c r="L125" s="762"/>
      <c r="M125" s="156" t="s">
        <v>31</v>
      </c>
      <c r="N125" s="753" t="s">
        <v>33</v>
      </c>
      <c r="O125" s="760"/>
      <c r="P125" s="753" t="s">
        <v>34</v>
      </c>
      <c r="Q125" s="760"/>
      <c r="R125" s="753"/>
      <c r="S125" s="754"/>
      <c r="U125" s="200"/>
      <c r="V125" s="200"/>
    </row>
    <row r="126" spans="1:31" ht="24.95" customHeight="1" x14ac:dyDescent="0.25">
      <c r="B126" s="201">
        <v>1</v>
      </c>
      <c r="C126" s="202" t="str">
        <f t="shared" ref="C126:C136" si="39">C88</f>
        <v>KHUSNUL</v>
      </c>
      <c r="D126" s="203"/>
      <c r="E126" s="204" t="str">
        <f t="shared" ref="E126:E136" si="40">E88</f>
        <v>A</v>
      </c>
      <c r="F126" s="205" t="s">
        <v>36</v>
      </c>
      <c r="G126" s="205" t="s">
        <v>37</v>
      </c>
      <c r="H126" s="205" t="s">
        <v>37</v>
      </c>
      <c r="I126" s="205" t="s">
        <v>37</v>
      </c>
      <c r="J126" s="205" t="s">
        <v>37</v>
      </c>
      <c r="K126" s="205" t="s">
        <v>37</v>
      </c>
      <c r="L126" s="205" t="s">
        <v>37</v>
      </c>
      <c r="M126" s="206">
        <f>SUM(Y126:AE126)</f>
        <v>6</v>
      </c>
      <c r="N126" s="207" t="str">
        <f>IF(O126&gt;0,"Rp",IF(O126=0," "))</f>
        <v>Rp</v>
      </c>
      <c r="O126" s="208">
        <f t="shared" ref="O126:O135" si="41">O88</f>
        <v>130000</v>
      </c>
      <c r="P126" s="207" t="str">
        <f>IF(Q126&gt;0,"Rp",IF(Q126=0," "))</f>
        <v>Rp</v>
      </c>
      <c r="Q126" s="208">
        <f t="shared" ref="Q126:Q135" si="42">O126*M126</f>
        <v>780000</v>
      </c>
      <c r="R126" s="209">
        <v>1</v>
      </c>
      <c r="S126" s="210"/>
      <c r="U126" s="211"/>
      <c r="V126" s="211"/>
      <c r="Y126" s="211">
        <f t="shared" ref="Y126:Y136" si="43">IFERROR(IF(F126="V",1,IF(F126="X",0))," ")</f>
        <v>0</v>
      </c>
      <c r="Z126" s="211">
        <f t="shared" ref="Z126:Z136" si="44">IFERROR(IF(G126="V",1,IF(G126="X",0))," ")</f>
        <v>1</v>
      </c>
      <c r="AA126" s="211">
        <f t="shared" ref="AA126:AA136" si="45">IFERROR(IF(H126="V",1,IF(H126="X",0))," ")</f>
        <v>1</v>
      </c>
      <c r="AB126" s="211">
        <f t="shared" ref="AB126:AB136" si="46">IFERROR(IF(I126="V",1,IF(I126="X",0))," ")</f>
        <v>1</v>
      </c>
      <c r="AC126" s="211">
        <f t="shared" ref="AC126:AC136" si="47">IFERROR(IF(J126="V",1,IF(J126="X",0))," ")</f>
        <v>1</v>
      </c>
      <c r="AD126" s="211">
        <f t="shared" ref="AD126:AD136" si="48">IFERROR(IF(K126="V",1,IF(K126="X",0))," ")</f>
        <v>1</v>
      </c>
      <c r="AE126" s="211">
        <f t="shared" ref="AE126:AE136" si="49">IFERROR(IF(L126="V",1,IF(L126="X",0))," ")</f>
        <v>1</v>
      </c>
    </row>
    <row r="127" spans="1:31" ht="24.95" customHeight="1" x14ac:dyDescent="0.25">
      <c r="B127" s="212">
        <v>2</v>
      </c>
      <c r="C127" s="202" t="str">
        <f t="shared" si="39"/>
        <v>PRIYO</v>
      </c>
      <c r="D127" s="213"/>
      <c r="E127" s="214" t="str">
        <f t="shared" si="40"/>
        <v>B</v>
      </c>
      <c r="F127" s="215" t="s">
        <v>36</v>
      </c>
      <c r="G127" s="215" t="s">
        <v>37</v>
      </c>
      <c r="H127" s="215" t="s">
        <v>37</v>
      </c>
      <c r="I127" s="215" t="s">
        <v>37</v>
      </c>
      <c r="J127" s="215" t="s">
        <v>37</v>
      </c>
      <c r="K127" s="215" t="s">
        <v>37</v>
      </c>
      <c r="L127" s="215" t="s">
        <v>37</v>
      </c>
      <c r="M127" s="216">
        <f t="shared" ref="M127:M135" si="50">SUM(Y127:AE127)</f>
        <v>6</v>
      </c>
      <c r="N127" s="217" t="str">
        <f t="shared" ref="N127:N135" si="51">IF(O127&gt;0,"Rp",IF(O127=0," "))</f>
        <v>Rp</v>
      </c>
      <c r="O127" s="218">
        <f t="shared" si="41"/>
        <v>125000</v>
      </c>
      <c r="P127" s="217" t="str">
        <f t="shared" ref="P127:P135" si="52">IF(Q127&gt;0,"Rp",IF(Q127=0," "))</f>
        <v>Rp</v>
      </c>
      <c r="Q127" s="219">
        <f t="shared" si="42"/>
        <v>750000</v>
      </c>
      <c r="R127" s="220"/>
      <c r="S127" s="221">
        <v>2</v>
      </c>
      <c r="U127" s="211"/>
      <c r="V127" s="211"/>
      <c r="Y127" s="211">
        <f t="shared" si="43"/>
        <v>0</v>
      </c>
      <c r="Z127" s="211">
        <f t="shared" si="44"/>
        <v>1</v>
      </c>
      <c r="AA127" s="211">
        <f t="shared" si="45"/>
        <v>1</v>
      </c>
      <c r="AB127" s="211">
        <f t="shared" si="46"/>
        <v>1</v>
      </c>
      <c r="AC127" s="211">
        <f t="shared" si="47"/>
        <v>1</v>
      </c>
      <c r="AD127" s="211">
        <f t="shared" si="48"/>
        <v>1</v>
      </c>
      <c r="AE127" s="211">
        <f t="shared" si="49"/>
        <v>1</v>
      </c>
    </row>
    <row r="128" spans="1:31" ht="24.95" customHeight="1" x14ac:dyDescent="0.25">
      <c r="B128" s="212">
        <v>3</v>
      </c>
      <c r="C128" s="202" t="str">
        <f t="shared" si="39"/>
        <v>NANANG</v>
      </c>
      <c r="D128" s="213"/>
      <c r="E128" s="214" t="str">
        <f t="shared" si="40"/>
        <v>B</v>
      </c>
      <c r="F128" s="215" t="s">
        <v>36</v>
      </c>
      <c r="G128" s="215" t="s">
        <v>37</v>
      </c>
      <c r="H128" s="215" t="s">
        <v>37</v>
      </c>
      <c r="I128" s="215" t="s">
        <v>37</v>
      </c>
      <c r="J128" s="215" t="s">
        <v>37</v>
      </c>
      <c r="K128" s="215" t="s">
        <v>37</v>
      </c>
      <c r="L128" s="215" t="s">
        <v>37</v>
      </c>
      <c r="M128" s="216">
        <f t="shared" si="50"/>
        <v>6</v>
      </c>
      <c r="N128" s="217" t="str">
        <f t="shared" si="51"/>
        <v>Rp</v>
      </c>
      <c r="O128" s="218">
        <f t="shared" si="41"/>
        <v>125000</v>
      </c>
      <c r="P128" s="217" t="str">
        <f t="shared" si="52"/>
        <v>Rp</v>
      </c>
      <c r="Q128" s="219">
        <f t="shared" si="42"/>
        <v>750000</v>
      </c>
      <c r="R128" s="222">
        <v>3</v>
      </c>
      <c r="S128" s="221"/>
      <c r="U128" s="211"/>
      <c r="V128" s="211"/>
      <c r="Y128" s="211">
        <f t="shared" si="43"/>
        <v>0</v>
      </c>
      <c r="Z128" s="211">
        <f t="shared" si="44"/>
        <v>1</v>
      </c>
      <c r="AA128" s="211">
        <f t="shared" si="45"/>
        <v>1</v>
      </c>
      <c r="AB128" s="211">
        <f t="shared" si="46"/>
        <v>1</v>
      </c>
      <c r="AC128" s="211">
        <f t="shared" si="47"/>
        <v>1</v>
      </c>
      <c r="AD128" s="211">
        <f t="shared" si="48"/>
        <v>1</v>
      </c>
      <c r="AE128" s="211">
        <f t="shared" si="49"/>
        <v>1</v>
      </c>
    </row>
    <row r="129" spans="1:31" ht="24.95" customHeight="1" x14ac:dyDescent="0.25">
      <c r="B129" s="212">
        <v>4</v>
      </c>
      <c r="C129" s="202" t="str">
        <f t="shared" si="39"/>
        <v>KOIREN</v>
      </c>
      <c r="D129" s="213"/>
      <c r="E129" s="214" t="str">
        <f t="shared" si="40"/>
        <v>B</v>
      </c>
      <c r="F129" s="215" t="s">
        <v>36</v>
      </c>
      <c r="G129" s="215" t="s">
        <v>37</v>
      </c>
      <c r="H129" s="215" t="s">
        <v>37</v>
      </c>
      <c r="I129" s="215" t="s">
        <v>37</v>
      </c>
      <c r="J129" s="215" t="s">
        <v>37</v>
      </c>
      <c r="K129" s="215" t="s">
        <v>37</v>
      </c>
      <c r="L129" s="215" t="s">
        <v>37</v>
      </c>
      <c r="M129" s="216">
        <f t="shared" si="50"/>
        <v>6</v>
      </c>
      <c r="N129" s="217" t="str">
        <f t="shared" si="51"/>
        <v>Rp</v>
      </c>
      <c r="O129" s="218">
        <f t="shared" si="41"/>
        <v>125000</v>
      </c>
      <c r="P129" s="217" t="str">
        <f t="shared" si="52"/>
        <v>Rp</v>
      </c>
      <c r="Q129" s="219">
        <f t="shared" si="42"/>
        <v>750000</v>
      </c>
      <c r="R129" s="222"/>
      <c r="S129" s="223">
        <v>4</v>
      </c>
      <c r="U129" s="211"/>
      <c r="V129" s="211"/>
      <c r="Y129" s="211">
        <f t="shared" si="43"/>
        <v>0</v>
      </c>
      <c r="Z129" s="211">
        <f t="shared" si="44"/>
        <v>1</v>
      </c>
      <c r="AA129" s="211">
        <f t="shared" si="45"/>
        <v>1</v>
      </c>
      <c r="AB129" s="211">
        <f t="shared" si="46"/>
        <v>1</v>
      </c>
      <c r="AC129" s="211">
        <f t="shared" si="47"/>
        <v>1</v>
      </c>
      <c r="AD129" s="211">
        <f t="shared" si="48"/>
        <v>1</v>
      </c>
      <c r="AE129" s="211">
        <f t="shared" si="49"/>
        <v>1</v>
      </c>
    </row>
    <row r="130" spans="1:31" ht="24.95" customHeight="1" x14ac:dyDescent="0.25">
      <c r="B130" s="212">
        <v>5</v>
      </c>
      <c r="C130" s="202" t="str">
        <f t="shared" si="39"/>
        <v>MAT</v>
      </c>
      <c r="D130" s="213"/>
      <c r="E130" s="214" t="str">
        <f t="shared" si="40"/>
        <v>C</v>
      </c>
      <c r="F130" s="215" t="s">
        <v>36</v>
      </c>
      <c r="G130" s="215" t="s">
        <v>37</v>
      </c>
      <c r="H130" s="215" t="s">
        <v>37</v>
      </c>
      <c r="I130" s="215" t="s">
        <v>36</v>
      </c>
      <c r="J130" s="215" t="s">
        <v>37</v>
      </c>
      <c r="K130" s="215" t="s">
        <v>37</v>
      </c>
      <c r="L130" s="215" t="s">
        <v>37</v>
      </c>
      <c r="M130" s="216">
        <f t="shared" si="50"/>
        <v>5</v>
      </c>
      <c r="N130" s="217" t="str">
        <f t="shared" si="51"/>
        <v>Rp</v>
      </c>
      <c r="O130" s="218">
        <f t="shared" si="41"/>
        <v>100000</v>
      </c>
      <c r="P130" s="217" t="str">
        <f t="shared" si="52"/>
        <v>Rp</v>
      </c>
      <c r="Q130" s="219">
        <f t="shared" si="42"/>
        <v>500000</v>
      </c>
      <c r="R130" s="222">
        <v>5</v>
      </c>
      <c r="S130" s="221"/>
      <c r="U130" s="211"/>
      <c r="V130" s="211"/>
      <c r="Y130" s="211">
        <f t="shared" si="43"/>
        <v>0</v>
      </c>
      <c r="Z130" s="211">
        <f t="shared" si="44"/>
        <v>1</v>
      </c>
      <c r="AA130" s="211">
        <f t="shared" si="45"/>
        <v>1</v>
      </c>
      <c r="AB130" s="211">
        <f t="shared" si="46"/>
        <v>0</v>
      </c>
      <c r="AC130" s="211">
        <f t="shared" si="47"/>
        <v>1</v>
      </c>
      <c r="AD130" s="211">
        <f t="shared" si="48"/>
        <v>1</v>
      </c>
      <c r="AE130" s="211">
        <f t="shared" si="49"/>
        <v>1</v>
      </c>
    </row>
    <row r="131" spans="1:31" ht="24.95" customHeight="1" x14ac:dyDescent="0.25">
      <c r="B131" s="212">
        <v>6</v>
      </c>
      <c r="C131" s="202" t="str">
        <f t="shared" si="39"/>
        <v>JUNED</v>
      </c>
      <c r="D131" s="213"/>
      <c r="E131" s="214" t="str">
        <f t="shared" si="40"/>
        <v>C</v>
      </c>
      <c r="F131" s="215" t="s">
        <v>36</v>
      </c>
      <c r="G131" s="215" t="s">
        <v>37</v>
      </c>
      <c r="H131" s="215" t="s">
        <v>37</v>
      </c>
      <c r="I131" s="215" t="s">
        <v>37</v>
      </c>
      <c r="J131" s="215" t="s">
        <v>37</v>
      </c>
      <c r="K131" s="215" t="s">
        <v>37</v>
      </c>
      <c r="L131" s="215" t="s">
        <v>37</v>
      </c>
      <c r="M131" s="216">
        <f t="shared" si="50"/>
        <v>6</v>
      </c>
      <c r="N131" s="217" t="str">
        <f t="shared" si="51"/>
        <v>Rp</v>
      </c>
      <c r="O131" s="218">
        <f t="shared" si="41"/>
        <v>100000</v>
      </c>
      <c r="P131" s="217" t="str">
        <f t="shared" si="52"/>
        <v>Rp</v>
      </c>
      <c r="Q131" s="219">
        <f t="shared" si="42"/>
        <v>600000</v>
      </c>
      <c r="R131" s="222"/>
      <c r="S131" s="223">
        <v>6</v>
      </c>
      <c r="U131" s="211"/>
      <c r="V131" s="211"/>
      <c r="Y131" s="211">
        <f t="shared" si="43"/>
        <v>0</v>
      </c>
      <c r="Z131" s="211">
        <f t="shared" si="44"/>
        <v>1</v>
      </c>
      <c r="AA131" s="211">
        <f t="shared" si="45"/>
        <v>1</v>
      </c>
      <c r="AB131" s="211">
        <f t="shared" si="46"/>
        <v>1</v>
      </c>
      <c r="AC131" s="211">
        <f t="shared" si="47"/>
        <v>1</v>
      </c>
      <c r="AD131" s="211">
        <f t="shared" si="48"/>
        <v>1</v>
      </c>
      <c r="AE131" s="211">
        <f t="shared" si="49"/>
        <v>1</v>
      </c>
    </row>
    <row r="132" spans="1:31" ht="24.95" customHeight="1" x14ac:dyDescent="0.25">
      <c r="B132" s="212">
        <v>7</v>
      </c>
      <c r="C132" s="202" t="str">
        <f t="shared" si="39"/>
        <v>LASITO</v>
      </c>
      <c r="D132" s="213"/>
      <c r="E132" s="214" t="str">
        <f t="shared" si="40"/>
        <v>C</v>
      </c>
      <c r="F132" s="215" t="s">
        <v>36</v>
      </c>
      <c r="G132" s="215" t="s">
        <v>37</v>
      </c>
      <c r="H132" s="215" t="s">
        <v>37</v>
      </c>
      <c r="I132" s="215" t="s">
        <v>37</v>
      </c>
      <c r="J132" s="215" t="s">
        <v>37</v>
      </c>
      <c r="K132" s="215" t="s">
        <v>37</v>
      </c>
      <c r="L132" s="215" t="s">
        <v>37</v>
      </c>
      <c r="M132" s="216">
        <f t="shared" si="50"/>
        <v>6</v>
      </c>
      <c r="N132" s="217" t="str">
        <f t="shared" si="51"/>
        <v>Rp</v>
      </c>
      <c r="O132" s="218">
        <f t="shared" si="41"/>
        <v>100000</v>
      </c>
      <c r="P132" s="217" t="str">
        <f t="shared" si="52"/>
        <v>Rp</v>
      </c>
      <c r="Q132" s="219">
        <f t="shared" si="42"/>
        <v>600000</v>
      </c>
      <c r="R132" s="222">
        <v>7</v>
      </c>
      <c r="S132" s="221"/>
      <c r="U132" s="211"/>
      <c r="V132" s="211"/>
      <c r="Y132" s="211">
        <f t="shared" si="43"/>
        <v>0</v>
      </c>
      <c r="Z132" s="211">
        <f t="shared" si="44"/>
        <v>1</v>
      </c>
      <c r="AA132" s="211">
        <f t="shared" si="45"/>
        <v>1</v>
      </c>
      <c r="AB132" s="211">
        <f t="shared" si="46"/>
        <v>1</v>
      </c>
      <c r="AC132" s="211">
        <f t="shared" si="47"/>
        <v>1</v>
      </c>
      <c r="AD132" s="211">
        <f t="shared" si="48"/>
        <v>1</v>
      </c>
      <c r="AE132" s="211">
        <f t="shared" si="49"/>
        <v>1</v>
      </c>
    </row>
    <row r="133" spans="1:31" ht="24.95" customHeight="1" x14ac:dyDescent="0.25">
      <c r="B133" s="212">
        <v>8</v>
      </c>
      <c r="C133" s="202" t="str">
        <f t="shared" si="39"/>
        <v>BONANG</v>
      </c>
      <c r="D133" s="213"/>
      <c r="E133" s="214" t="str">
        <f t="shared" si="40"/>
        <v>C</v>
      </c>
      <c r="F133" s="215" t="s">
        <v>36</v>
      </c>
      <c r="G133" s="215" t="s">
        <v>37</v>
      </c>
      <c r="H133" s="215" t="s">
        <v>37</v>
      </c>
      <c r="I133" s="215" t="s">
        <v>37</v>
      </c>
      <c r="J133" s="215" t="s">
        <v>37</v>
      </c>
      <c r="K133" s="215" t="s">
        <v>37</v>
      </c>
      <c r="L133" s="215" t="s">
        <v>37</v>
      </c>
      <c r="M133" s="216">
        <f t="shared" si="50"/>
        <v>6</v>
      </c>
      <c r="N133" s="217" t="str">
        <f t="shared" si="51"/>
        <v>Rp</v>
      </c>
      <c r="O133" s="218">
        <f t="shared" si="41"/>
        <v>100000</v>
      </c>
      <c r="P133" s="217" t="str">
        <f t="shared" si="52"/>
        <v>Rp</v>
      </c>
      <c r="Q133" s="219">
        <f t="shared" si="42"/>
        <v>600000</v>
      </c>
      <c r="R133" s="222"/>
      <c r="S133" s="223">
        <v>8</v>
      </c>
      <c r="U133" s="211"/>
      <c r="V133" s="211"/>
      <c r="Y133" s="211">
        <f t="shared" si="43"/>
        <v>0</v>
      </c>
      <c r="Z133" s="211">
        <f t="shared" si="44"/>
        <v>1</v>
      </c>
      <c r="AA133" s="211">
        <f t="shared" si="45"/>
        <v>1</v>
      </c>
      <c r="AB133" s="211">
        <f t="shared" si="46"/>
        <v>1</v>
      </c>
      <c r="AC133" s="211">
        <f t="shared" si="47"/>
        <v>1</v>
      </c>
      <c r="AD133" s="211">
        <f t="shared" si="48"/>
        <v>1</v>
      </c>
      <c r="AE133" s="211">
        <f t="shared" si="49"/>
        <v>1</v>
      </c>
    </row>
    <row r="134" spans="1:31" ht="24.95" customHeight="1" x14ac:dyDescent="0.25">
      <c r="B134" s="212">
        <v>9</v>
      </c>
      <c r="C134" s="202">
        <f t="shared" si="39"/>
        <v>0</v>
      </c>
      <c r="D134" s="213"/>
      <c r="E134" s="214">
        <f t="shared" si="40"/>
        <v>0</v>
      </c>
      <c r="F134" s="215"/>
      <c r="G134" s="215"/>
      <c r="H134" s="215"/>
      <c r="I134" s="215"/>
      <c r="J134" s="215"/>
      <c r="K134" s="215"/>
      <c r="L134" s="215"/>
      <c r="M134" s="216">
        <f t="shared" si="50"/>
        <v>0</v>
      </c>
      <c r="N134" s="217" t="str">
        <f t="shared" si="51"/>
        <v xml:space="preserve"> </v>
      </c>
      <c r="O134" s="218">
        <f t="shared" si="41"/>
        <v>0</v>
      </c>
      <c r="P134" s="217" t="str">
        <f t="shared" si="52"/>
        <v xml:space="preserve"> </v>
      </c>
      <c r="Q134" s="219">
        <f t="shared" si="42"/>
        <v>0</v>
      </c>
      <c r="R134" s="222">
        <v>9</v>
      </c>
      <c r="S134" s="221"/>
      <c r="U134" s="211"/>
      <c r="V134" s="211"/>
      <c r="Y134" s="211" t="b">
        <f t="shared" si="43"/>
        <v>0</v>
      </c>
      <c r="Z134" s="211" t="b">
        <f t="shared" si="44"/>
        <v>0</v>
      </c>
      <c r="AA134" s="211" t="b">
        <f t="shared" si="45"/>
        <v>0</v>
      </c>
      <c r="AB134" s="211" t="b">
        <f t="shared" si="46"/>
        <v>0</v>
      </c>
      <c r="AC134" s="211" t="b">
        <f t="shared" si="47"/>
        <v>0</v>
      </c>
      <c r="AD134" s="211" t="b">
        <f t="shared" si="48"/>
        <v>0</v>
      </c>
      <c r="AE134" s="211" t="b">
        <f t="shared" si="49"/>
        <v>0</v>
      </c>
    </row>
    <row r="135" spans="1:31" ht="24.95" customHeight="1" x14ac:dyDescent="0.25">
      <c r="B135" s="212">
        <v>10</v>
      </c>
      <c r="C135" s="202">
        <f t="shared" si="39"/>
        <v>0</v>
      </c>
      <c r="D135" s="213"/>
      <c r="E135" s="214">
        <f t="shared" si="40"/>
        <v>0</v>
      </c>
      <c r="F135" s="215"/>
      <c r="G135" s="215"/>
      <c r="H135" s="215"/>
      <c r="I135" s="215"/>
      <c r="J135" s="215"/>
      <c r="K135" s="215"/>
      <c r="L135" s="215"/>
      <c r="M135" s="216">
        <f t="shared" si="50"/>
        <v>0</v>
      </c>
      <c r="N135" s="217" t="str">
        <f t="shared" si="51"/>
        <v xml:space="preserve"> </v>
      </c>
      <c r="O135" s="218">
        <f t="shared" si="41"/>
        <v>0</v>
      </c>
      <c r="P135" s="217" t="str">
        <f t="shared" si="52"/>
        <v xml:space="preserve"> </v>
      </c>
      <c r="Q135" s="219">
        <f t="shared" si="42"/>
        <v>0</v>
      </c>
      <c r="R135" s="222"/>
      <c r="S135" s="223">
        <v>10</v>
      </c>
      <c r="U135" s="211"/>
      <c r="V135" s="211"/>
      <c r="Y135" s="211" t="b">
        <f t="shared" si="43"/>
        <v>0</v>
      </c>
      <c r="Z135" s="211" t="b">
        <f t="shared" si="44"/>
        <v>0</v>
      </c>
      <c r="AA135" s="211" t="b">
        <f t="shared" si="45"/>
        <v>0</v>
      </c>
      <c r="AB135" s="211" t="b">
        <f t="shared" si="46"/>
        <v>0</v>
      </c>
      <c r="AC135" s="211" t="b">
        <f t="shared" si="47"/>
        <v>0</v>
      </c>
      <c r="AD135" s="211" t="b">
        <f t="shared" si="48"/>
        <v>0</v>
      </c>
      <c r="AE135" s="211" t="b">
        <f t="shared" si="49"/>
        <v>0</v>
      </c>
    </row>
    <row r="136" spans="1:31" ht="24.95" customHeight="1" x14ac:dyDescent="0.25">
      <c r="B136" s="212">
        <v>11</v>
      </c>
      <c r="C136" s="202">
        <f t="shared" si="39"/>
        <v>0</v>
      </c>
      <c r="D136" s="213"/>
      <c r="E136" s="214">
        <f t="shared" si="40"/>
        <v>0</v>
      </c>
      <c r="F136" s="215"/>
      <c r="G136" s="215"/>
      <c r="H136" s="215"/>
      <c r="I136" s="215"/>
      <c r="J136" s="215"/>
      <c r="K136" s="215"/>
      <c r="L136" s="215"/>
      <c r="M136" s="216">
        <f>SUM(Y136:AE136)</f>
        <v>0</v>
      </c>
      <c r="N136" s="217"/>
      <c r="O136" s="218"/>
      <c r="P136" s="217"/>
      <c r="Q136" s="219"/>
      <c r="R136" s="222">
        <v>11</v>
      </c>
      <c r="S136" s="221"/>
      <c r="U136" s="211"/>
      <c r="V136" s="211"/>
      <c r="Y136" s="211" t="b">
        <f t="shared" si="43"/>
        <v>0</v>
      </c>
      <c r="Z136" s="211" t="b">
        <f t="shared" si="44"/>
        <v>0</v>
      </c>
      <c r="AA136" s="211" t="b">
        <f t="shared" si="45"/>
        <v>0</v>
      </c>
      <c r="AB136" s="211" t="b">
        <f t="shared" si="46"/>
        <v>0</v>
      </c>
      <c r="AC136" s="211" t="b">
        <f t="shared" si="47"/>
        <v>0</v>
      </c>
      <c r="AD136" s="211" t="b">
        <f t="shared" si="48"/>
        <v>0</v>
      </c>
      <c r="AE136" s="211" t="b">
        <f t="shared" si="49"/>
        <v>0</v>
      </c>
    </row>
    <row r="137" spans="1:31" ht="24.95" customHeight="1" thickBot="1" x14ac:dyDescent="0.25">
      <c r="B137" s="233"/>
      <c r="C137" s="257"/>
      <c r="D137" s="235"/>
      <c r="E137" s="236"/>
      <c r="F137" s="237"/>
      <c r="G137" s="238"/>
      <c r="H137" s="239"/>
      <c r="I137" s="239"/>
      <c r="J137" s="240"/>
      <c r="K137" s="240"/>
      <c r="L137" s="240"/>
      <c r="M137" s="259"/>
      <c r="N137" s="242"/>
      <c r="O137" s="258"/>
      <c r="P137" s="244"/>
      <c r="Q137" s="236"/>
      <c r="R137" s="246"/>
      <c r="S137" s="247"/>
      <c r="U137" s="211"/>
      <c r="V137" s="211"/>
    </row>
    <row r="138" spans="1:31" ht="20.100000000000001" customHeight="1" thickTop="1" thickBot="1" x14ac:dyDescent="0.3">
      <c r="A138" s="179">
        <f>A100+1</f>
        <v>4</v>
      </c>
      <c r="B138" s="248"/>
      <c r="C138" s="249"/>
      <c r="D138" s="249"/>
      <c r="E138" s="249"/>
      <c r="F138" s="249"/>
      <c r="G138" s="249"/>
      <c r="H138" s="249"/>
      <c r="I138" s="249"/>
      <c r="J138" s="249"/>
      <c r="K138" s="249"/>
      <c r="L138" s="249"/>
      <c r="M138" s="249"/>
      <c r="N138" s="249"/>
      <c r="O138" s="250" t="s">
        <v>40</v>
      </c>
      <c r="P138" s="249"/>
      <c r="Q138" s="710">
        <f>SUM(Q126:Q137)</f>
        <v>5330000</v>
      </c>
      <c r="R138" s="711"/>
      <c r="S138" s="712"/>
      <c r="U138" s="226" t="str">
        <f>VLOOKUP(A138,'Rekap Gaji'!$B$12:$P$24,10,FALSE)</f>
        <v xml:space="preserve"> 27 September 2025</v>
      </c>
      <c r="V138" s="251" t="e">
        <f>U138-Q138</f>
        <v>#VALUE!</v>
      </c>
    </row>
    <row r="139" spans="1:31" ht="11.25" customHeight="1" x14ac:dyDescent="0.25"/>
    <row r="140" spans="1:31" ht="16.5" customHeight="1" x14ac:dyDescent="0.25">
      <c r="B140" s="195" t="s">
        <v>41</v>
      </c>
      <c r="C140" s="140" t="s">
        <v>42</v>
      </c>
    </row>
    <row r="141" spans="1:31" ht="14.25" x14ac:dyDescent="0.25">
      <c r="G141" s="183"/>
      <c r="H141" s="182"/>
      <c r="M141" s="141"/>
      <c r="N141" s="141"/>
      <c r="Q141" s="140" t="str">
        <f>'BKU 1'!$I$25</f>
        <v>NGANTANG</v>
      </c>
      <c r="R141" s="713">
        <f>IFERROR(VLOOKUP(E120,'Rekap Gaji'!$B$12:$P$24,7,FALSE),"-")</f>
        <v>45927</v>
      </c>
      <c r="S141" s="713"/>
      <c r="T141" s="252"/>
      <c r="U141" s="252"/>
    </row>
    <row r="142" spans="1:31" ht="15.75" x14ac:dyDescent="0.25">
      <c r="C142" s="140" t="s">
        <v>43</v>
      </c>
      <c r="F142" s="253"/>
      <c r="G142" s="254"/>
      <c r="H142" s="255"/>
      <c r="I142" s="256"/>
      <c r="J142" s="225" t="s">
        <v>44</v>
      </c>
      <c r="K142" s="253"/>
      <c r="M142" s="141"/>
      <c r="N142" s="141"/>
      <c r="Q142" s="140" t="str">
        <f>'BKU 1'!$L$354</f>
        <v>Dibuat Oleh ;</v>
      </c>
      <c r="R142" s="141"/>
    </row>
    <row r="143" spans="1:31" ht="14.25" x14ac:dyDescent="0.25">
      <c r="C143" s="140" t="str">
        <f>'BKU 1'!$C$355</f>
        <v>Kepala Sekolah SDN 1 SIDODADI</v>
      </c>
      <c r="F143" s="187"/>
      <c r="G143" s="224"/>
      <c r="H143" s="182"/>
      <c r="I143" s="183"/>
      <c r="J143" s="140" t="s">
        <v>45</v>
      </c>
      <c r="K143" s="187"/>
      <c r="Q143" s="140" t="str">
        <f>'BKU 1'!$L$355</f>
        <v>Bendahara Pembangunan</v>
      </c>
      <c r="R143" s="141"/>
    </row>
    <row r="144" spans="1:31" ht="14.25" x14ac:dyDescent="0.25">
      <c r="F144" s="187"/>
      <c r="G144" s="224"/>
      <c r="H144" s="182"/>
      <c r="I144" s="183"/>
      <c r="K144" s="187"/>
      <c r="Q144" s="140"/>
      <c r="R144" s="141"/>
    </row>
    <row r="145" spans="1:22" ht="14.25" x14ac:dyDescent="0.25">
      <c r="F145" s="187"/>
      <c r="G145" s="224"/>
      <c r="H145" s="182"/>
      <c r="I145" s="183"/>
      <c r="K145" s="187"/>
      <c r="Q145" s="140"/>
      <c r="R145" s="141"/>
    </row>
    <row r="146" spans="1:22" ht="14.25" x14ac:dyDescent="0.25">
      <c r="F146" s="187"/>
      <c r="G146" s="224"/>
      <c r="H146" s="182"/>
      <c r="I146" s="183"/>
      <c r="K146" s="187"/>
      <c r="Q146" s="140"/>
      <c r="R146" s="141"/>
    </row>
    <row r="147" spans="1:22" ht="14.25" x14ac:dyDescent="0.25">
      <c r="F147" s="187"/>
      <c r="G147" s="224"/>
      <c r="H147" s="182"/>
      <c r="I147" s="183"/>
      <c r="K147" s="187"/>
      <c r="Q147" s="140"/>
      <c r="R147" s="141"/>
    </row>
    <row r="148" spans="1:22" x14ac:dyDescent="0.25">
      <c r="G148" s="225"/>
      <c r="Q148" s="140"/>
    </row>
    <row r="149" spans="1:22" x14ac:dyDescent="0.25">
      <c r="G149" s="225"/>
      <c r="Q149" s="140"/>
    </row>
    <row r="150" spans="1:22" s="189" customFormat="1" ht="15" customHeight="1" x14ac:dyDescent="0.25">
      <c r="A150" s="192"/>
      <c r="B150" s="195"/>
      <c r="C150" s="227" t="str">
        <f>'BKU 1'!$C$360</f>
        <v>MELIA FITRIANI, S.Pd.SD</v>
      </c>
      <c r="D150" s="227"/>
      <c r="G150" s="228"/>
      <c r="H150" s="195"/>
      <c r="I150" s="194"/>
      <c r="J150" s="229">
        <f>'BKU 1'!$G$360</f>
        <v>0</v>
      </c>
      <c r="Q150" s="227" t="str">
        <f>'BKU 1'!$L$360</f>
        <v>ARIF NUR UDIN, S.Pd.SD</v>
      </c>
      <c r="S150" s="230"/>
      <c r="U150" s="231"/>
      <c r="V150" s="231"/>
    </row>
    <row r="151" spans="1:22" s="189" customFormat="1" ht="15" customHeight="1" x14ac:dyDescent="0.25">
      <c r="A151" s="192"/>
      <c r="B151" s="195"/>
      <c r="C151" s="140" t="str">
        <f>'BKU 1'!$C$361</f>
        <v>NIP. 19850619 200904 2 000</v>
      </c>
      <c r="D151" s="140"/>
      <c r="E151" s="140"/>
      <c r="F151" s="140"/>
      <c r="G151" s="225"/>
      <c r="H151" s="191"/>
      <c r="I151" s="190"/>
      <c r="J151" s="232">
        <f>'BKU 1'!$G$361</f>
        <v>0</v>
      </c>
      <c r="K151" s="140"/>
      <c r="M151" s="140"/>
      <c r="N151" s="140"/>
      <c r="O151" s="140"/>
      <c r="P151" s="140"/>
      <c r="Q151" s="140" t="str">
        <f>'BKU 1'!$L$361</f>
        <v>NIP. 19840719 200903 1 002</v>
      </c>
      <c r="S151" s="230"/>
      <c r="U151" s="231"/>
      <c r="V151" s="231"/>
    </row>
    <row r="152" spans="1:22" ht="6" customHeight="1" x14ac:dyDescent="0.25"/>
    <row r="153" spans="1:22" s="177" customFormat="1" ht="24.95" customHeight="1" x14ac:dyDescent="0.25">
      <c r="A153" s="176"/>
      <c r="B153" s="726" t="s">
        <v>6</v>
      </c>
      <c r="C153" s="726"/>
      <c r="D153" s="726"/>
      <c r="E153" s="726"/>
      <c r="F153" s="726"/>
      <c r="G153" s="726"/>
      <c r="H153" s="726"/>
      <c r="I153" s="726"/>
      <c r="J153" s="726"/>
      <c r="K153" s="726"/>
      <c r="L153" s="726"/>
      <c r="M153" s="726"/>
      <c r="N153" s="726"/>
      <c r="O153" s="726"/>
      <c r="P153" s="726"/>
      <c r="Q153" s="726"/>
      <c r="R153" s="726"/>
      <c r="S153" s="726"/>
      <c r="U153" s="178"/>
      <c r="V153" s="178"/>
    </row>
    <row r="154" spans="1:22" s="177" customFormat="1" ht="24.95" customHeight="1" x14ac:dyDescent="0.25">
      <c r="A154" s="176"/>
      <c r="B154" s="726" t="str">
        <f>'BKU 1'!$D$22</f>
        <v>PEMBANGUNAN TOILET BESERTA SANITASINYA</v>
      </c>
      <c r="C154" s="726"/>
      <c r="D154" s="726"/>
      <c r="E154" s="726"/>
      <c r="F154" s="726"/>
      <c r="G154" s="726"/>
      <c r="H154" s="726"/>
      <c r="I154" s="726"/>
      <c r="J154" s="726"/>
      <c r="K154" s="726"/>
      <c r="L154" s="726"/>
      <c r="M154" s="726"/>
      <c r="N154" s="726"/>
      <c r="O154" s="726"/>
      <c r="P154" s="726"/>
      <c r="Q154" s="726"/>
      <c r="R154" s="726"/>
      <c r="S154" s="726"/>
      <c r="U154" s="178"/>
      <c r="V154" s="178"/>
    </row>
    <row r="155" spans="1:22" s="184" customFormat="1" ht="30.75" customHeight="1" x14ac:dyDescent="0.25">
      <c r="A155" s="179"/>
      <c r="B155" s="180"/>
      <c r="C155" s="181"/>
      <c r="D155" s="181"/>
      <c r="E155" s="181"/>
      <c r="F155" s="182"/>
      <c r="G155" s="183"/>
      <c r="H155" s="182"/>
      <c r="I155" s="183"/>
      <c r="J155" s="182"/>
      <c r="K155" s="182"/>
      <c r="L155" s="182"/>
      <c r="M155" s="181"/>
      <c r="N155" s="181"/>
      <c r="Q155" s="180"/>
      <c r="R155" s="140"/>
      <c r="S155" s="185"/>
      <c r="U155" s="186"/>
      <c r="V155" s="186"/>
    </row>
    <row r="156" spans="1:22" s="184" customFormat="1" ht="14.25" x14ac:dyDescent="0.25">
      <c r="A156" s="179"/>
      <c r="B156" s="185" t="s">
        <v>7</v>
      </c>
      <c r="D156" s="184" t="s">
        <v>49</v>
      </c>
      <c r="E156" s="184" t="str">
        <f>'BKU 1'!$D$25</f>
        <v>SDN 1 SIDODADI</v>
      </c>
      <c r="F156" s="140"/>
      <c r="G156" s="183"/>
      <c r="H156" s="182"/>
      <c r="I156" s="183"/>
      <c r="J156" s="187"/>
      <c r="K156" s="187"/>
      <c r="L156" s="187"/>
      <c r="M156" s="188"/>
      <c r="N156" s="188"/>
      <c r="Q156" s="180"/>
      <c r="R156" s="189" t="s">
        <v>8</v>
      </c>
      <c r="S156" s="185"/>
      <c r="U156" s="186"/>
      <c r="V156" s="186"/>
    </row>
    <row r="157" spans="1:22" s="184" customFormat="1" x14ac:dyDescent="0.25">
      <c r="A157" s="179"/>
      <c r="B157" s="185" t="s">
        <v>9</v>
      </c>
      <c r="D157" s="184" t="s">
        <v>49</v>
      </c>
      <c r="E157" s="184" t="str">
        <f>'BKU 1'!$D$26</f>
        <v>Jl. Kawi No.36 Rt. 1 Rw. 1 Dusun Sekar, Rt / Rw : 1 / 1, Dusun : Sekar, Kelurahan : Sidodadi</v>
      </c>
      <c r="F157" s="140"/>
      <c r="G157" s="190"/>
      <c r="H157" s="191"/>
      <c r="I157" s="190"/>
      <c r="J157" s="140"/>
      <c r="K157" s="140"/>
      <c r="L157" s="140"/>
      <c r="Q157" s="180"/>
      <c r="R157" s="140" t="s">
        <v>10</v>
      </c>
      <c r="S157" s="185" t="s">
        <v>11</v>
      </c>
      <c r="U157" s="186"/>
      <c r="V157" s="186"/>
    </row>
    <row r="158" spans="1:22" s="184" customFormat="1" x14ac:dyDescent="0.25">
      <c r="A158" s="179"/>
      <c r="B158" s="185" t="s">
        <v>12</v>
      </c>
      <c r="D158" s="184" t="s">
        <v>49</v>
      </c>
      <c r="E158" s="180">
        <f>E120+1</f>
        <v>5</v>
      </c>
      <c r="F158" s="140"/>
      <c r="G158" s="727">
        <f>IFERROR(VLOOKUP(E158,'Rekap Gaji'!$B$12:$P$24,14,FALSE),"-")</f>
        <v>0</v>
      </c>
      <c r="H158" s="727"/>
      <c r="I158" s="727"/>
      <c r="J158" s="140"/>
      <c r="K158" s="140"/>
      <c r="L158" s="140"/>
      <c r="Q158" s="180"/>
      <c r="R158" s="140" t="s">
        <v>13</v>
      </c>
      <c r="S158" s="185" t="s">
        <v>14</v>
      </c>
      <c r="U158" s="186"/>
      <c r="V158" s="186"/>
    </row>
    <row r="159" spans="1:22" s="184" customFormat="1" ht="15" customHeight="1" x14ac:dyDescent="0.25">
      <c r="A159" s="179"/>
      <c r="B159" s="185" t="s">
        <v>0</v>
      </c>
      <c r="D159" s="184" t="s">
        <v>49</v>
      </c>
      <c r="E159" s="728">
        <f>IFERROR(VLOOKUP(E158,'Rekap Gaji'!$B$12:$P$24,4,FALSE),"-")</f>
        <v>45928</v>
      </c>
      <c r="F159" s="728"/>
      <c r="G159" s="728"/>
      <c r="H159" s="728"/>
      <c r="I159" s="727" t="s">
        <v>76</v>
      </c>
      <c r="J159" s="727"/>
      <c r="K159" s="728">
        <f>IFERROR(VLOOKUP(E158,'Rekap Gaji'!$B$12:$P$24,6,FALSE),"-")</f>
        <v>45934</v>
      </c>
      <c r="L159" s="728"/>
      <c r="M159" s="728"/>
      <c r="N159" s="728"/>
      <c r="Q159" s="180"/>
      <c r="R159" s="140" t="s">
        <v>15</v>
      </c>
      <c r="S159" s="185" t="s">
        <v>16</v>
      </c>
      <c r="U159" s="186"/>
      <c r="V159" s="186"/>
    </row>
    <row r="160" spans="1:22" s="188" customFormat="1" ht="8.1" customHeight="1" thickBot="1" x14ac:dyDescent="0.3">
      <c r="A160" s="192"/>
      <c r="B160" s="193"/>
      <c r="F160" s="189"/>
      <c r="G160" s="194"/>
      <c r="H160" s="195"/>
      <c r="I160" s="194"/>
      <c r="J160" s="189"/>
      <c r="K160" s="189"/>
      <c r="L160" s="189"/>
      <c r="Q160" s="193"/>
      <c r="R160" s="189"/>
      <c r="S160" s="196"/>
      <c r="U160" s="197"/>
      <c r="V160" s="197"/>
    </row>
    <row r="161" spans="1:31" s="199" customFormat="1" ht="15" customHeight="1" x14ac:dyDescent="0.25">
      <c r="A161" s="198"/>
      <c r="B161" s="755" t="s">
        <v>17</v>
      </c>
      <c r="C161" s="749" t="s">
        <v>18</v>
      </c>
      <c r="D161" s="758"/>
      <c r="E161" s="153" t="s">
        <v>19</v>
      </c>
      <c r="F161" s="763" t="s">
        <v>20</v>
      </c>
      <c r="G161" s="764"/>
      <c r="H161" s="764"/>
      <c r="I161" s="764"/>
      <c r="J161" s="764"/>
      <c r="K161" s="764"/>
      <c r="L161" s="764"/>
      <c r="M161" s="152" t="s">
        <v>2</v>
      </c>
      <c r="N161" s="749" t="s">
        <v>21</v>
      </c>
      <c r="O161" s="758"/>
      <c r="P161" s="749" t="s">
        <v>22</v>
      </c>
      <c r="Q161" s="758"/>
      <c r="R161" s="749" t="s">
        <v>23</v>
      </c>
      <c r="S161" s="750"/>
      <c r="U161" s="200"/>
      <c r="V161" s="200"/>
    </row>
    <row r="162" spans="1:31" s="199" customFormat="1" ht="28.9" customHeight="1" x14ac:dyDescent="0.25">
      <c r="A162" s="198"/>
      <c r="B162" s="756"/>
      <c r="C162" s="751"/>
      <c r="D162" s="759"/>
      <c r="E162" s="155" t="s">
        <v>24</v>
      </c>
      <c r="F162" s="761" t="s">
        <v>25</v>
      </c>
      <c r="G162" s="761" t="s">
        <v>26</v>
      </c>
      <c r="H162" s="761" t="s">
        <v>26</v>
      </c>
      <c r="I162" s="761" t="s">
        <v>27</v>
      </c>
      <c r="J162" s="761" t="s">
        <v>28</v>
      </c>
      <c r="K162" s="761" t="s">
        <v>29</v>
      </c>
      <c r="L162" s="761" t="s">
        <v>26</v>
      </c>
      <c r="M162" s="154" t="s">
        <v>30</v>
      </c>
      <c r="N162" s="751" t="s">
        <v>455</v>
      </c>
      <c r="O162" s="759"/>
      <c r="P162" s="751" t="s">
        <v>31</v>
      </c>
      <c r="Q162" s="759"/>
      <c r="R162" s="751"/>
      <c r="S162" s="752"/>
      <c r="U162" s="200"/>
      <c r="V162" s="200"/>
    </row>
    <row r="163" spans="1:31" s="199" customFormat="1" ht="15" customHeight="1" thickBot="1" x14ac:dyDescent="0.3">
      <c r="A163" s="198"/>
      <c r="B163" s="757"/>
      <c r="C163" s="753"/>
      <c r="D163" s="760"/>
      <c r="E163" s="157" t="s">
        <v>32</v>
      </c>
      <c r="F163" s="762"/>
      <c r="G163" s="762"/>
      <c r="H163" s="762"/>
      <c r="I163" s="762"/>
      <c r="J163" s="762"/>
      <c r="K163" s="762"/>
      <c r="L163" s="762"/>
      <c r="M163" s="156" t="s">
        <v>31</v>
      </c>
      <c r="N163" s="753" t="s">
        <v>33</v>
      </c>
      <c r="O163" s="760"/>
      <c r="P163" s="753" t="s">
        <v>34</v>
      </c>
      <c r="Q163" s="760"/>
      <c r="R163" s="753"/>
      <c r="S163" s="754"/>
      <c r="U163" s="200"/>
      <c r="V163" s="200"/>
    </row>
    <row r="164" spans="1:31" ht="24.95" customHeight="1" x14ac:dyDescent="0.25">
      <c r="B164" s="201">
        <v>1</v>
      </c>
      <c r="C164" s="202" t="str">
        <f t="shared" ref="C164:C174" si="53">C126</f>
        <v>KHUSNUL</v>
      </c>
      <c r="D164" s="203"/>
      <c r="E164" s="204" t="str">
        <f t="shared" ref="E164:E174" si="54">E126</f>
        <v>A</v>
      </c>
      <c r="F164" s="205" t="s">
        <v>36</v>
      </c>
      <c r="G164" s="205" t="s">
        <v>37</v>
      </c>
      <c r="H164" s="205" t="s">
        <v>37</v>
      </c>
      <c r="I164" s="205" t="s">
        <v>37</v>
      </c>
      <c r="J164" s="205" t="s">
        <v>37</v>
      </c>
      <c r="K164" s="205" t="s">
        <v>37</v>
      </c>
      <c r="L164" s="205" t="s">
        <v>37</v>
      </c>
      <c r="M164" s="206">
        <f>SUM(Y164:AE164)</f>
        <v>6</v>
      </c>
      <c r="N164" s="207" t="str">
        <f>IF(O164&gt;0,"Rp",IF(O164=0," "))</f>
        <v>Rp</v>
      </c>
      <c r="O164" s="208">
        <f t="shared" ref="O164:O173" si="55">O126</f>
        <v>130000</v>
      </c>
      <c r="P164" s="207" t="str">
        <f>IF(Q164&gt;0,"Rp",IF(Q164=0," "))</f>
        <v>Rp</v>
      </c>
      <c r="Q164" s="208">
        <f t="shared" ref="Q164:Q173" si="56">O164*M164</f>
        <v>780000</v>
      </c>
      <c r="R164" s="209">
        <v>1</v>
      </c>
      <c r="S164" s="210"/>
      <c r="U164" s="211"/>
      <c r="V164" s="211"/>
      <c r="Y164" s="211">
        <f t="shared" ref="Y164:Y174" si="57">IFERROR(IF(F164="V",1,IF(F164="X",0))," ")</f>
        <v>0</v>
      </c>
      <c r="Z164" s="211">
        <f t="shared" ref="Z164:Z174" si="58">IFERROR(IF(G164="V",1,IF(G164="X",0))," ")</f>
        <v>1</v>
      </c>
      <c r="AA164" s="211">
        <f t="shared" ref="AA164:AA174" si="59">IFERROR(IF(H164="V",1,IF(H164="X",0))," ")</f>
        <v>1</v>
      </c>
      <c r="AB164" s="211">
        <f t="shared" ref="AB164:AB174" si="60">IFERROR(IF(I164="V",1,IF(I164="X",0))," ")</f>
        <v>1</v>
      </c>
      <c r="AC164" s="211">
        <f t="shared" ref="AC164:AC174" si="61">IFERROR(IF(J164="V",1,IF(J164="X",0))," ")</f>
        <v>1</v>
      </c>
      <c r="AD164" s="211">
        <f t="shared" ref="AD164:AD174" si="62">IFERROR(IF(K164="V",1,IF(K164="X",0))," ")</f>
        <v>1</v>
      </c>
      <c r="AE164" s="211">
        <f t="shared" ref="AE164:AE174" si="63">IFERROR(IF(L164="V",1,IF(L164="X",0))," ")</f>
        <v>1</v>
      </c>
    </row>
    <row r="165" spans="1:31" ht="24.95" customHeight="1" x14ac:dyDescent="0.25">
      <c r="B165" s="212">
        <v>2</v>
      </c>
      <c r="C165" s="202" t="str">
        <f t="shared" si="53"/>
        <v>PRIYO</v>
      </c>
      <c r="D165" s="213"/>
      <c r="E165" s="214" t="str">
        <f t="shared" si="54"/>
        <v>B</v>
      </c>
      <c r="F165" s="215" t="s">
        <v>36</v>
      </c>
      <c r="G165" s="215" t="s">
        <v>37</v>
      </c>
      <c r="H165" s="215" t="s">
        <v>37</v>
      </c>
      <c r="I165" s="215" t="s">
        <v>37</v>
      </c>
      <c r="J165" s="215" t="s">
        <v>37</v>
      </c>
      <c r="K165" s="215" t="s">
        <v>37</v>
      </c>
      <c r="L165" s="215" t="s">
        <v>36</v>
      </c>
      <c r="M165" s="216">
        <f t="shared" ref="M165:M173" si="64">SUM(Y165:AE165)</f>
        <v>5</v>
      </c>
      <c r="N165" s="217" t="str">
        <f t="shared" ref="N165:N173" si="65">IF(O165&gt;0,"Rp",IF(O165=0," "))</f>
        <v>Rp</v>
      </c>
      <c r="O165" s="218">
        <f t="shared" si="55"/>
        <v>125000</v>
      </c>
      <c r="P165" s="217" t="str">
        <f t="shared" ref="P165:P173" si="66">IF(Q165&gt;0,"Rp",IF(Q165=0," "))</f>
        <v>Rp</v>
      </c>
      <c r="Q165" s="219">
        <f t="shared" si="56"/>
        <v>625000</v>
      </c>
      <c r="R165" s="220"/>
      <c r="S165" s="221">
        <v>2</v>
      </c>
      <c r="U165" s="211"/>
      <c r="V165" s="211"/>
      <c r="Y165" s="211">
        <f t="shared" si="57"/>
        <v>0</v>
      </c>
      <c r="Z165" s="211">
        <f t="shared" si="58"/>
        <v>1</v>
      </c>
      <c r="AA165" s="211">
        <f t="shared" si="59"/>
        <v>1</v>
      </c>
      <c r="AB165" s="211">
        <f t="shared" si="60"/>
        <v>1</v>
      </c>
      <c r="AC165" s="211">
        <f t="shared" si="61"/>
        <v>1</v>
      </c>
      <c r="AD165" s="211">
        <f t="shared" si="62"/>
        <v>1</v>
      </c>
      <c r="AE165" s="211">
        <f t="shared" si="63"/>
        <v>0</v>
      </c>
    </row>
    <row r="166" spans="1:31" ht="24.95" customHeight="1" x14ac:dyDescent="0.25">
      <c r="B166" s="212">
        <v>3</v>
      </c>
      <c r="C166" s="202" t="str">
        <f t="shared" si="53"/>
        <v>NANANG</v>
      </c>
      <c r="D166" s="213"/>
      <c r="E166" s="214" t="str">
        <f t="shared" si="54"/>
        <v>B</v>
      </c>
      <c r="F166" s="215" t="s">
        <v>36</v>
      </c>
      <c r="G166" s="215" t="s">
        <v>37</v>
      </c>
      <c r="H166" s="215" t="s">
        <v>37</v>
      </c>
      <c r="I166" s="215" t="s">
        <v>37</v>
      </c>
      <c r="J166" s="215" t="s">
        <v>37</v>
      </c>
      <c r="K166" s="215" t="s">
        <v>37</v>
      </c>
      <c r="L166" s="215" t="s">
        <v>37</v>
      </c>
      <c r="M166" s="216">
        <f t="shared" si="64"/>
        <v>6</v>
      </c>
      <c r="N166" s="217" t="str">
        <f t="shared" si="65"/>
        <v>Rp</v>
      </c>
      <c r="O166" s="218">
        <f t="shared" si="55"/>
        <v>125000</v>
      </c>
      <c r="P166" s="217" t="str">
        <f t="shared" si="66"/>
        <v>Rp</v>
      </c>
      <c r="Q166" s="219">
        <f t="shared" si="56"/>
        <v>750000</v>
      </c>
      <c r="R166" s="222">
        <v>3</v>
      </c>
      <c r="S166" s="221"/>
      <c r="U166" s="211"/>
      <c r="V166" s="211"/>
      <c r="Y166" s="211">
        <f t="shared" si="57"/>
        <v>0</v>
      </c>
      <c r="Z166" s="211">
        <f t="shared" si="58"/>
        <v>1</v>
      </c>
      <c r="AA166" s="211">
        <f t="shared" si="59"/>
        <v>1</v>
      </c>
      <c r="AB166" s="211">
        <f t="shared" si="60"/>
        <v>1</v>
      </c>
      <c r="AC166" s="211">
        <f t="shared" si="61"/>
        <v>1</v>
      </c>
      <c r="AD166" s="211">
        <f t="shared" si="62"/>
        <v>1</v>
      </c>
      <c r="AE166" s="211">
        <f t="shared" si="63"/>
        <v>1</v>
      </c>
    </row>
    <row r="167" spans="1:31" ht="24.95" customHeight="1" x14ac:dyDescent="0.25">
      <c r="B167" s="212">
        <v>4</v>
      </c>
      <c r="C167" s="202" t="str">
        <f t="shared" si="53"/>
        <v>KOIREN</v>
      </c>
      <c r="D167" s="213"/>
      <c r="E167" s="214" t="str">
        <f t="shared" si="54"/>
        <v>B</v>
      </c>
      <c r="F167" s="215" t="s">
        <v>36</v>
      </c>
      <c r="G167" s="215" t="s">
        <v>37</v>
      </c>
      <c r="H167" s="215" t="s">
        <v>37</v>
      </c>
      <c r="I167" s="215" t="s">
        <v>37</v>
      </c>
      <c r="J167" s="215" t="s">
        <v>37</v>
      </c>
      <c r="K167" s="215" t="s">
        <v>37</v>
      </c>
      <c r="L167" s="215" t="s">
        <v>37</v>
      </c>
      <c r="M167" s="216">
        <f t="shared" si="64"/>
        <v>6</v>
      </c>
      <c r="N167" s="217" t="str">
        <f t="shared" si="65"/>
        <v>Rp</v>
      </c>
      <c r="O167" s="218">
        <f t="shared" si="55"/>
        <v>125000</v>
      </c>
      <c r="P167" s="217" t="str">
        <f t="shared" si="66"/>
        <v>Rp</v>
      </c>
      <c r="Q167" s="219">
        <f t="shared" si="56"/>
        <v>750000</v>
      </c>
      <c r="R167" s="222"/>
      <c r="S167" s="223">
        <v>4</v>
      </c>
      <c r="U167" s="211"/>
      <c r="V167" s="211"/>
      <c r="Y167" s="211">
        <f t="shared" si="57"/>
        <v>0</v>
      </c>
      <c r="Z167" s="211">
        <f t="shared" si="58"/>
        <v>1</v>
      </c>
      <c r="AA167" s="211">
        <f t="shared" si="59"/>
        <v>1</v>
      </c>
      <c r="AB167" s="211">
        <f t="shared" si="60"/>
        <v>1</v>
      </c>
      <c r="AC167" s="211">
        <f t="shared" si="61"/>
        <v>1</v>
      </c>
      <c r="AD167" s="211">
        <f t="shared" si="62"/>
        <v>1</v>
      </c>
      <c r="AE167" s="211">
        <f t="shared" si="63"/>
        <v>1</v>
      </c>
    </row>
    <row r="168" spans="1:31" ht="24.95" customHeight="1" x14ac:dyDescent="0.25">
      <c r="B168" s="212">
        <v>5</v>
      </c>
      <c r="C168" s="202" t="str">
        <f t="shared" si="53"/>
        <v>MAT</v>
      </c>
      <c r="D168" s="213"/>
      <c r="E168" s="214" t="str">
        <f t="shared" si="54"/>
        <v>C</v>
      </c>
      <c r="F168" s="215" t="s">
        <v>36</v>
      </c>
      <c r="G168" s="215" t="s">
        <v>37</v>
      </c>
      <c r="H168" s="215" t="s">
        <v>36</v>
      </c>
      <c r="I168" s="215" t="s">
        <v>37</v>
      </c>
      <c r="J168" s="215" t="s">
        <v>37</v>
      </c>
      <c r="K168" s="215" t="s">
        <v>37</v>
      </c>
      <c r="L168" s="215" t="s">
        <v>37</v>
      </c>
      <c r="M168" s="216">
        <f t="shared" si="64"/>
        <v>5</v>
      </c>
      <c r="N168" s="217" t="str">
        <f t="shared" si="65"/>
        <v>Rp</v>
      </c>
      <c r="O168" s="218">
        <f t="shared" si="55"/>
        <v>100000</v>
      </c>
      <c r="P168" s="217" t="str">
        <f t="shared" si="66"/>
        <v>Rp</v>
      </c>
      <c r="Q168" s="219">
        <f t="shared" si="56"/>
        <v>500000</v>
      </c>
      <c r="R168" s="222">
        <v>5</v>
      </c>
      <c r="S168" s="221"/>
      <c r="U168" s="211"/>
      <c r="V168" s="211"/>
      <c r="Y168" s="211">
        <f t="shared" si="57"/>
        <v>0</v>
      </c>
      <c r="Z168" s="211">
        <f t="shared" si="58"/>
        <v>1</v>
      </c>
      <c r="AA168" s="211">
        <f t="shared" si="59"/>
        <v>0</v>
      </c>
      <c r="AB168" s="211">
        <f t="shared" si="60"/>
        <v>1</v>
      </c>
      <c r="AC168" s="211">
        <f t="shared" si="61"/>
        <v>1</v>
      </c>
      <c r="AD168" s="211">
        <f t="shared" si="62"/>
        <v>1</v>
      </c>
      <c r="AE168" s="211">
        <f t="shared" si="63"/>
        <v>1</v>
      </c>
    </row>
    <row r="169" spans="1:31" ht="24.95" customHeight="1" x14ac:dyDescent="0.25">
      <c r="B169" s="212">
        <v>6</v>
      </c>
      <c r="C169" s="202" t="str">
        <f t="shared" si="53"/>
        <v>JUNED</v>
      </c>
      <c r="D169" s="213"/>
      <c r="E169" s="214" t="str">
        <f t="shared" si="54"/>
        <v>C</v>
      </c>
      <c r="F169" s="215" t="s">
        <v>36</v>
      </c>
      <c r="G169" s="215" t="s">
        <v>37</v>
      </c>
      <c r="H169" s="215" t="s">
        <v>37</v>
      </c>
      <c r="I169" s="215" t="s">
        <v>37</v>
      </c>
      <c r="J169" s="215" t="s">
        <v>37</v>
      </c>
      <c r="K169" s="215" t="s">
        <v>37</v>
      </c>
      <c r="L169" s="215" t="s">
        <v>37</v>
      </c>
      <c r="M169" s="216">
        <f t="shared" si="64"/>
        <v>6</v>
      </c>
      <c r="N169" s="217" t="str">
        <f t="shared" si="65"/>
        <v>Rp</v>
      </c>
      <c r="O169" s="218">
        <f t="shared" si="55"/>
        <v>100000</v>
      </c>
      <c r="P169" s="217" t="str">
        <f t="shared" si="66"/>
        <v>Rp</v>
      </c>
      <c r="Q169" s="219">
        <f t="shared" si="56"/>
        <v>600000</v>
      </c>
      <c r="R169" s="222"/>
      <c r="S169" s="223">
        <v>6</v>
      </c>
      <c r="U169" s="211"/>
      <c r="V169" s="211"/>
      <c r="Y169" s="211">
        <f t="shared" si="57"/>
        <v>0</v>
      </c>
      <c r="Z169" s="211">
        <f t="shared" si="58"/>
        <v>1</v>
      </c>
      <c r="AA169" s="211">
        <f t="shared" si="59"/>
        <v>1</v>
      </c>
      <c r="AB169" s="211">
        <f t="shared" si="60"/>
        <v>1</v>
      </c>
      <c r="AC169" s="211">
        <f t="shared" si="61"/>
        <v>1</v>
      </c>
      <c r="AD169" s="211">
        <f t="shared" si="62"/>
        <v>1</v>
      </c>
      <c r="AE169" s="211">
        <f t="shared" si="63"/>
        <v>1</v>
      </c>
    </row>
    <row r="170" spans="1:31" ht="24.95" customHeight="1" x14ac:dyDescent="0.25">
      <c r="B170" s="212">
        <v>7</v>
      </c>
      <c r="C170" s="202" t="str">
        <f t="shared" si="53"/>
        <v>LASITO</v>
      </c>
      <c r="D170" s="213"/>
      <c r="E170" s="214" t="str">
        <f t="shared" si="54"/>
        <v>C</v>
      </c>
      <c r="F170" s="215" t="s">
        <v>36</v>
      </c>
      <c r="G170" s="215" t="s">
        <v>37</v>
      </c>
      <c r="H170" s="215" t="s">
        <v>37</v>
      </c>
      <c r="I170" s="215" t="s">
        <v>37</v>
      </c>
      <c r="J170" s="215" t="s">
        <v>37</v>
      </c>
      <c r="K170" s="215" t="s">
        <v>36</v>
      </c>
      <c r="L170" s="215" t="s">
        <v>37</v>
      </c>
      <c r="M170" s="216">
        <f t="shared" si="64"/>
        <v>5</v>
      </c>
      <c r="N170" s="217" t="str">
        <f t="shared" si="65"/>
        <v>Rp</v>
      </c>
      <c r="O170" s="218">
        <f t="shared" si="55"/>
        <v>100000</v>
      </c>
      <c r="P170" s="217" t="str">
        <f t="shared" si="66"/>
        <v>Rp</v>
      </c>
      <c r="Q170" s="219">
        <f t="shared" si="56"/>
        <v>500000</v>
      </c>
      <c r="R170" s="222">
        <v>7</v>
      </c>
      <c r="S170" s="221"/>
      <c r="U170" s="211"/>
      <c r="V170" s="211"/>
      <c r="Y170" s="211">
        <f t="shared" si="57"/>
        <v>0</v>
      </c>
      <c r="Z170" s="211">
        <f t="shared" si="58"/>
        <v>1</v>
      </c>
      <c r="AA170" s="211">
        <f t="shared" si="59"/>
        <v>1</v>
      </c>
      <c r="AB170" s="211">
        <f t="shared" si="60"/>
        <v>1</v>
      </c>
      <c r="AC170" s="211">
        <f t="shared" si="61"/>
        <v>1</v>
      </c>
      <c r="AD170" s="211">
        <f t="shared" si="62"/>
        <v>0</v>
      </c>
      <c r="AE170" s="211">
        <f t="shared" si="63"/>
        <v>1</v>
      </c>
    </row>
    <row r="171" spans="1:31" ht="24.95" customHeight="1" x14ac:dyDescent="0.25">
      <c r="B171" s="212">
        <v>8</v>
      </c>
      <c r="C171" s="202" t="str">
        <f t="shared" si="53"/>
        <v>BONANG</v>
      </c>
      <c r="D171" s="213"/>
      <c r="E171" s="214" t="str">
        <f t="shared" si="54"/>
        <v>C</v>
      </c>
      <c r="F171" s="215" t="s">
        <v>36</v>
      </c>
      <c r="G171" s="215" t="s">
        <v>37</v>
      </c>
      <c r="H171" s="215" t="s">
        <v>37</v>
      </c>
      <c r="I171" s="215" t="s">
        <v>37</v>
      </c>
      <c r="J171" s="215" t="s">
        <v>37</v>
      </c>
      <c r="K171" s="215" t="s">
        <v>37</v>
      </c>
      <c r="L171" s="215" t="s">
        <v>37</v>
      </c>
      <c r="M171" s="216">
        <f t="shared" si="64"/>
        <v>6</v>
      </c>
      <c r="N171" s="217" t="str">
        <f t="shared" si="65"/>
        <v>Rp</v>
      </c>
      <c r="O171" s="218">
        <f t="shared" si="55"/>
        <v>100000</v>
      </c>
      <c r="P171" s="217" t="str">
        <f t="shared" si="66"/>
        <v>Rp</v>
      </c>
      <c r="Q171" s="219">
        <f t="shared" si="56"/>
        <v>600000</v>
      </c>
      <c r="R171" s="222"/>
      <c r="S171" s="223">
        <v>8</v>
      </c>
      <c r="U171" s="211"/>
      <c r="V171" s="211"/>
      <c r="Y171" s="211">
        <f t="shared" si="57"/>
        <v>0</v>
      </c>
      <c r="Z171" s="211">
        <f t="shared" si="58"/>
        <v>1</v>
      </c>
      <c r="AA171" s="211">
        <f t="shared" si="59"/>
        <v>1</v>
      </c>
      <c r="AB171" s="211">
        <f t="shared" si="60"/>
        <v>1</v>
      </c>
      <c r="AC171" s="211">
        <f t="shared" si="61"/>
        <v>1</v>
      </c>
      <c r="AD171" s="211">
        <f t="shared" si="62"/>
        <v>1</v>
      </c>
      <c r="AE171" s="211">
        <f t="shared" si="63"/>
        <v>1</v>
      </c>
    </row>
    <row r="172" spans="1:31" ht="24.95" customHeight="1" x14ac:dyDescent="0.25">
      <c r="B172" s="212">
        <v>9</v>
      </c>
      <c r="C172" s="202">
        <f t="shared" si="53"/>
        <v>0</v>
      </c>
      <c r="D172" s="213"/>
      <c r="E172" s="214">
        <f t="shared" si="54"/>
        <v>0</v>
      </c>
      <c r="F172" s="215"/>
      <c r="G172" s="215"/>
      <c r="H172" s="215"/>
      <c r="I172" s="215"/>
      <c r="J172" s="215"/>
      <c r="K172" s="215"/>
      <c r="L172" s="215"/>
      <c r="M172" s="216">
        <f t="shared" si="64"/>
        <v>0</v>
      </c>
      <c r="N172" s="217" t="str">
        <f t="shared" si="65"/>
        <v xml:space="preserve"> </v>
      </c>
      <c r="O172" s="218">
        <f t="shared" si="55"/>
        <v>0</v>
      </c>
      <c r="P172" s="217" t="str">
        <f t="shared" si="66"/>
        <v xml:space="preserve"> </v>
      </c>
      <c r="Q172" s="219">
        <f t="shared" si="56"/>
        <v>0</v>
      </c>
      <c r="R172" s="222">
        <v>9</v>
      </c>
      <c r="S172" s="221"/>
      <c r="U172" s="211"/>
      <c r="V172" s="211"/>
      <c r="Y172" s="211" t="b">
        <f t="shared" si="57"/>
        <v>0</v>
      </c>
      <c r="Z172" s="211" t="b">
        <f t="shared" si="58"/>
        <v>0</v>
      </c>
      <c r="AA172" s="211" t="b">
        <f t="shared" si="59"/>
        <v>0</v>
      </c>
      <c r="AB172" s="211" t="b">
        <f t="shared" si="60"/>
        <v>0</v>
      </c>
      <c r="AC172" s="211" t="b">
        <f t="shared" si="61"/>
        <v>0</v>
      </c>
      <c r="AD172" s="211" t="b">
        <f t="shared" si="62"/>
        <v>0</v>
      </c>
      <c r="AE172" s="211" t="b">
        <f t="shared" si="63"/>
        <v>0</v>
      </c>
    </row>
    <row r="173" spans="1:31" ht="24.95" customHeight="1" x14ac:dyDescent="0.25">
      <c r="B173" s="212">
        <v>10</v>
      </c>
      <c r="C173" s="202">
        <f t="shared" si="53"/>
        <v>0</v>
      </c>
      <c r="D173" s="213"/>
      <c r="E173" s="214">
        <f t="shared" si="54"/>
        <v>0</v>
      </c>
      <c r="F173" s="215"/>
      <c r="G173" s="215"/>
      <c r="H173" s="215"/>
      <c r="I173" s="215"/>
      <c r="J173" s="215"/>
      <c r="K173" s="215"/>
      <c r="L173" s="215"/>
      <c r="M173" s="216">
        <f t="shared" si="64"/>
        <v>0</v>
      </c>
      <c r="N173" s="217" t="str">
        <f t="shared" si="65"/>
        <v xml:space="preserve"> </v>
      </c>
      <c r="O173" s="218">
        <f t="shared" si="55"/>
        <v>0</v>
      </c>
      <c r="P173" s="217" t="str">
        <f t="shared" si="66"/>
        <v xml:space="preserve"> </v>
      </c>
      <c r="Q173" s="219">
        <f t="shared" si="56"/>
        <v>0</v>
      </c>
      <c r="R173" s="222"/>
      <c r="S173" s="223">
        <v>10</v>
      </c>
      <c r="U173" s="211"/>
      <c r="V173" s="211"/>
      <c r="Y173" s="211" t="b">
        <f t="shared" si="57"/>
        <v>0</v>
      </c>
      <c r="Z173" s="211" t="b">
        <f t="shared" si="58"/>
        <v>0</v>
      </c>
      <c r="AA173" s="211" t="b">
        <f t="shared" si="59"/>
        <v>0</v>
      </c>
      <c r="AB173" s="211" t="b">
        <f t="shared" si="60"/>
        <v>0</v>
      </c>
      <c r="AC173" s="211" t="b">
        <f t="shared" si="61"/>
        <v>0</v>
      </c>
      <c r="AD173" s="211" t="b">
        <f t="shared" si="62"/>
        <v>0</v>
      </c>
      <c r="AE173" s="211" t="b">
        <f t="shared" si="63"/>
        <v>0</v>
      </c>
    </row>
    <row r="174" spans="1:31" ht="24.95" customHeight="1" x14ac:dyDescent="0.25">
      <c r="B174" s="212">
        <v>11</v>
      </c>
      <c r="C174" s="202">
        <f t="shared" si="53"/>
        <v>0</v>
      </c>
      <c r="D174" s="213"/>
      <c r="E174" s="214">
        <f t="shared" si="54"/>
        <v>0</v>
      </c>
      <c r="F174" s="215"/>
      <c r="G174" s="215"/>
      <c r="H174" s="215"/>
      <c r="I174" s="215"/>
      <c r="J174" s="215"/>
      <c r="K174" s="215"/>
      <c r="L174" s="215"/>
      <c r="M174" s="216">
        <f>SUM(Y174:AE174)</f>
        <v>0</v>
      </c>
      <c r="N174" s="217"/>
      <c r="O174" s="218"/>
      <c r="P174" s="217"/>
      <c r="Q174" s="219"/>
      <c r="R174" s="222">
        <v>11</v>
      </c>
      <c r="S174" s="221"/>
      <c r="U174" s="211"/>
      <c r="V174" s="211"/>
      <c r="Y174" s="211" t="b">
        <f t="shared" si="57"/>
        <v>0</v>
      </c>
      <c r="Z174" s="211" t="b">
        <f t="shared" si="58"/>
        <v>0</v>
      </c>
      <c r="AA174" s="211" t="b">
        <f t="shared" si="59"/>
        <v>0</v>
      </c>
      <c r="AB174" s="211" t="b">
        <f t="shared" si="60"/>
        <v>0</v>
      </c>
      <c r="AC174" s="211" t="b">
        <f t="shared" si="61"/>
        <v>0</v>
      </c>
      <c r="AD174" s="211" t="b">
        <f t="shared" si="62"/>
        <v>0</v>
      </c>
      <c r="AE174" s="211" t="b">
        <f t="shared" si="63"/>
        <v>0</v>
      </c>
    </row>
    <row r="175" spans="1:31" ht="24.95" customHeight="1" thickBot="1" x14ac:dyDescent="0.25">
      <c r="B175" s="233"/>
      <c r="C175" s="257"/>
      <c r="D175" s="235"/>
      <c r="E175" s="236"/>
      <c r="F175" s="237"/>
      <c r="G175" s="238"/>
      <c r="H175" s="239"/>
      <c r="I175" s="239"/>
      <c r="J175" s="240"/>
      <c r="K175" s="240"/>
      <c r="L175" s="240"/>
      <c r="M175" s="259"/>
      <c r="N175" s="242"/>
      <c r="O175" s="258"/>
      <c r="P175" s="244"/>
      <c r="Q175" s="236"/>
      <c r="R175" s="246"/>
      <c r="S175" s="247"/>
      <c r="U175" s="211"/>
      <c r="V175" s="211"/>
    </row>
    <row r="176" spans="1:31" ht="20.100000000000001" customHeight="1" thickTop="1" thickBot="1" x14ac:dyDescent="0.3">
      <c r="A176" s="179">
        <f>A138+1</f>
        <v>5</v>
      </c>
      <c r="B176" s="248"/>
      <c r="C176" s="249"/>
      <c r="D176" s="249"/>
      <c r="E176" s="249"/>
      <c r="F176" s="249"/>
      <c r="G176" s="249"/>
      <c r="H176" s="249"/>
      <c r="I176" s="249"/>
      <c r="J176" s="249"/>
      <c r="K176" s="249"/>
      <c r="L176" s="249"/>
      <c r="M176" s="249"/>
      <c r="N176" s="249"/>
      <c r="O176" s="250" t="s">
        <v>40</v>
      </c>
      <c r="P176" s="249"/>
      <c r="Q176" s="710">
        <f>SUM(Q164:Q175)</f>
        <v>5105000</v>
      </c>
      <c r="R176" s="711"/>
      <c r="S176" s="712"/>
      <c r="U176" s="226" t="str">
        <f>VLOOKUP(A176,'Rekap Gaji'!$B$12:$P$24,10,FALSE)</f>
        <v xml:space="preserve"> 04 Oktober 2025</v>
      </c>
      <c r="V176" s="251" t="e">
        <f>U176-Q176</f>
        <v>#VALUE!</v>
      </c>
    </row>
    <row r="177" spans="1:22" ht="11.25" customHeight="1" x14ac:dyDescent="0.25"/>
    <row r="178" spans="1:22" ht="16.5" customHeight="1" x14ac:dyDescent="0.25">
      <c r="B178" s="195" t="s">
        <v>41</v>
      </c>
      <c r="C178" s="140" t="s">
        <v>42</v>
      </c>
    </row>
    <row r="179" spans="1:22" ht="14.25" x14ac:dyDescent="0.25">
      <c r="G179" s="183"/>
      <c r="H179" s="182"/>
      <c r="M179" s="141"/>
      <c r="N179" s="141"/>
      <c r="Q179" s="140" t="str">
        <f>'BKU 1'!$I$25</f>
        <v>NGANTANG</v>
      </c>
      <c r="R179" s="713">
        <f>IFERROR(VLOOKUP(E158,'Rekap Gaji'!$B$12:$P$24,7,FALSE),"-")</f>
        <v>45934</v>
      </c>
      <c r="S179" s="713"/>
      <c r="T179" s="252"/>
      <c r="U179" s="252"/>
    </row>
    <row r="180" spans="1:22" ht="15.75" x14ac:dyDescent="0.25">
      <c r="C180" s="140" t="s">
        <v>43</v>
      </c>
      <c r="F180" s="253"/>
      <c r="G180" s="254"/>
      <c r="H180" s="255"/>
      <c r="I180" s="256"/>
      <c r="J180" s="225" t="s">
        <v>44</v>
      </c>
      <c r="K180" s="253"/>
      <c r="M180" s="141"/>
      <c r="N180" s="141"/>
      <c r="Q180" s="140" t="str">
        <f>'BKU 1'!$L$354</f>
        <v>Dibuat Oleh ;</v>
      </c>
      <c r="R180" s="141"/>
    </row>
    <row r="181" spans="1:22" ht="14.25" x14ac:dyDescent="0.25">
      <c r="C181" s="140" t="str">
        <f>'BKU 1'!$C$355</f>
        <v>Kepala Sekolah SDN 1 SIDODADI</v>
      </c>
      <c r="F181" s="187"/>
      <c r="G181" s="224"/>
      <c r="H181" s="182"/>
      <c r="I181" s="183"/>
      <c r="J181" s="140" t="s">
        <v>45</v>
      </c>
      <c r="K181" s="187"/>
      <c r="Q181" s="140" t="str">
        <f>'BKU 1'!$L$355</f>
        <v>Bendahara Pembangunan</v>
      </c>
      <c r="R181" s="141"/>
    </row>
    <row r="182" spans="1:22" ht="14.25" x14ac:dyDescent="0.25">
      <c r="F182" s="187"/>
      <c r="G182" s="224"/>
      <c r="H182" s="182"/>
      <c r="I182" s="183"/>
      <c r="K182" s="187"/>
      <c r="Q182" s="140"/>
      <c r="R182" s="141"/>
    </row>
    <row r="183" spans="1:22" ht="14.25" x14ac:dyDescent="0.25">
      <c r="F183" s="187"/>
      <c r="G183" s="224"/>
      <c r="H183" s="182"/>
      <c r="I183" s="183"/>
      <c r="K183" s="187"/>
      <c r="Q183" s="140"/>
      <c r="R183" s="141"/>
    </row>
    <row r="184" spans="1:22" ht="14.25" x14ac:dyDescent="0.25">
      <c r="F184" s="187"/>
      <c r="G184" s="224"/>
      <c r="H184" s="182"/>
      <c r="I184" s="183"/>
      <c r="K184" s="187"/>
      <c r="Q184" s="140"/>
      <c r="R184" s="141"/>
    </row>
    <row r="185" spans="1:22" ht="14.25" x14ac:dyDescent="0.25">
      <c r="F185" s="187"/>
      <c r="G185" s="224"/>
      <c r="H185" s="182"/>
      <c r="I185" s="183"/>
      <c r="K185" s="187"/>
      <c r="Q185" s="140"/>
      <c r="R185" s="141"/>
    </row>
    <row r="186" spans="1:22" x14ac:dyDescent="0.25">
      <c r="G186" s="225"/>
      <c r="Q186" s="140"/>
    </row>
    <row r="187" spans="1:22" x14ac:dyDescent="0.25">
      <c r="G187" s="225"/>
      <c r="Q187" s="140"/>
    </row>
    <row r="188" spans="1:22" s="189" customFormat="1" ht="15" customHeight="1" x14ac:dyDescent="0.25">
      <c r="A188" s="192"/>
      <c r="B188" s="195"/>
      <c r="C188" s="227" t="str">
        <f>'BKU 1'!$C$360</f>
        <v>MELIA FITRIANI, S.Pd.SD</v>
      </c>
      <c r="D188" s="227"/>
      <c r="G188" s="228"/>
      <c r="H188" s="195"/>
      <c r="I188" s="194"/>
      <c r="J188" s="229">
        <f>'BKU 1'!$G$360</f>
        <v>0</v>
      </c>
      <c r="Q188" s="227" t="str">
        <f>'BKU 1'!$L$360</f>
        <v>ARIF NUR UDIN, S.Pd.SD</v>
      </c>
      <c r="S188" s="230"/>
      <c r="U188" s="231"/>
      <c r="V188" s="231"/>
    </row>
    <row r="189" spans="1:22" s="189" customFormat="1" ht="15" customHeight="1" x14ac:dyDescent="0.25">
      <c r="A189" s="192"/>
      <c r="B189" s="195"/>
      <c r="C189" s="140" t="str">
        <f>'BKU 1'!$C$361</f>
        <v>NIP. 19850619 200904 2 000</v>
      </c>
      <c r="D189" s="140"/>
      <c r="E189" s="140"/>
      <c r="F189" s="140"/>
      <c r="G189" s="225"/>
      <c r="H189" s="191"/>
      <c r="I189" s="190"/>
      <c r="J189" s="232">
        <f>'BKU 1'!$G$361</f>
        <v>0</v>
      </c>
      <c r="K189" s="140"/>
      <c r="M189" s="140"/>
      <c r="N189" s="140"/>
      <c r="O189" s="140"/>
      <c r="P189" s="140"/>
      <c r="Q189" s="140" t="str">
        <f>'BKU 1'!$L$361</f>
        <v>NIP. 19840719 200903 1 002</v>
      </c>
      <c r="S189" s="230"/>
      <c r="U189" s="231"/>
      <c r="V189" s="231"/>
    </row>
    <row r="190" spans="1:22" ht="6" customHeight="1" x14ac:dyDescent="0.25"/>
    <row r="191" spans="1:22" s="177" customFormat="1" ht="24.95" customHeight="1" x14ac:dyDescent="0.25">
      <c r="A191" s="176"/>
      <c r="B191" s="726" t="s">
        <v>6</v>
      </c>
      <c r="C191" s="726"/>
      <c r="D191" s="726"/>
      <c r="E191" s="726"/>
      <c r="F191" s="726"/>
      <c r="G191" s="726"/>
      <c r="H191" s="726"/>
      <c r="I191" s="726"/>
      <c r="J191" s="726"/>
      <c r="K191" s="726"/>
      <c r="L191" s="726"/>
      <c r="M191" s="726"/>
      <c r="N191" s="726"/>
      <c r="O191" s="726"/>
      <c r="P191" s="726"/>
      <c r="Q191" s="726"/>
      <c r="R191" s="726"/>
      <c r="S191" s="726"/>
      <c r="U191" s="178"/>
      <c r="V191" s="178"/>
    </row>
    <row r="192" spans="1:22" s="177" customFormat="1" ht="24.95" customHeight="1" x14ac:dyDescent="0.25">
      <c r="A192" s="176"/>
      <c r="B192" s="726" t="str">
        <f>'BKU 1'!$D$22</f>
        <v>PEMBANGUNAN TOILET BESERTA SANITASINYA</v>
      </c>
      <c r="C192" s="726"/>
      <c r="D192" s="726"/>
      <c r="E192" s="726"/>
      <c r="F192" s="726"/>
      <c r="G192" s="726"/>
      <c r="H192" s="726"/>
      <c r="I192" s="726"/>
      <c r="J192" s="726"/>
      <c r="K192" s="726"/>
      <c r="L192" s="726"/>
      <c r="M192" s="726"/>
      <c r="N192" s="726"/>
      <c r="O192" s="726"/>
      <c r="P192" s="726"/>
      <c r="Q192" s="726"/>
      <c r="R192" s="726"/>
      <c r="S192" s="726"/>
      <c r="U192" s="178"/>
      <c r="V192" s="178"/>
    </row>
    <row r="193" spans="1:31" s="184" customFormat="1" ht="30.75" customHeight="1" x14ac:dyDescent="0.25">
      <c r="A193" s="179"/>
      <c r="B193" s="180"/>
      <c r="C193" s="181"/>
      <c r="D193" s="181"/>
      <c r="E193" s="181"/>
      <c r="F193" s="182"/>
      <c r="G193" s="183"/>
      <c r="H193" s="182"/>
      <c r="I193" s="183"/>
      <c r="J193" s="182"/>
      <c r="K193" s="182"/>
      <c r="L193" s="182"/>
      <c r="M193" s="181"/>
      <c r="N193" s="181"/>
      <c r="Q193" s="180"/>
      <c r="R193" s="140"/>
      <c r="S193" s="185"/>
      <c r="U193" s="186"/>
      <c r="V193" s="186"/>
    </row>
    <row r="194" spans="1:31" s="184" customFormat="1" ht="14.25" x14ac:dyDescent="0.25">
      <c r="A194" s="179"/>
      <c r="B194" s="185" t="s">
        <v>7</v>
      </c>
      <c r="D194" s="184" t="s">
        <v>49</v>
      </c>
      <c r="E194" s="184" t="str">
        <f>'BKU 1'!$D$25</f>
        <v>SDN 1 SIDODADI</v>
      </c>
      <c r="F194" s="140"/>
      <c r="G194" s="183"/>
      <c r="H194" s="182"/>
      <c r="I194" s="183"/>
      <c r="J194" s="187"/>
      <c r="K194" s="187"/>
      <c r="L194" s="187"/>
      <c r="M194" s="188"/>
      <c r="N194" s="188"/>
      <c r="Q194" s="180"/>
      <c r="R194" s="189" t="s">
        <v>8</v>
      </c>
      <c r="S194" s="185"/>
      <c r="U194" s="186"/>
      <c r="V194" s="186"/>
    </row>
    <row r="195" spans="1:31" s="184" customFormat="1" x14ac:dyDescent="0.25">
      <c r="A195" s="179"/>
      <c r="B195" s="185" t="s">
        <v>9</v>
      </c>
      <c r="D195" s="184" t="s">
        <v>49</v>
      </c>
      <c r="E195" s="184" t="str">
        <f>'BKU 1'!$D$26</f>
        <v>Jl. Kawi No.36 Rt. 1 Rw. 1 Dusun Sekar, Rt / Rw : 1 / 1, Dusun : Sekar, Kelurahan : Sidodadi</v>
      </c>
      <c r="F195" s="140"/>
      <c r="G195" s="190"/>
      <c r="H195" s="191"/>
      <c r="I195" s="190"/>
      <c r="J195" s="140"/>
      <c r="K195" s="140"/>
      <c r="L195" s="140"/>
      <c r="Q195" s="180"/>
      <c r="R195" s="140" t="s">
        <v>10</v>
      </c>
      <c r="S195" s="185" t="s">
        <v>11</v>
      </c>
      <c r="U195" s="186"/>
      <c r="V195" s="186"/>
    </row>
    <row r="196" spans="1:31" s="184" customFormat="1" x14ac:dyDescent="0.25">
      <c r="A196" s="179"/>
      <c r="B196" s="185" t="s">
        <v>12</v>
      </c>
      <c r="D196" s="184" t="s">
        <v>49</v>
      </c>
      <c r="E196" s="180">
        <f>E158+1</f>
        <v>6</v>
      </c>
      <c r="F196" s="140"/>
      <c r="G196" s="727">
        <f>IFERROR(VLOOKUP(E196,'Rekap Gaji'!$B$12:$P$24,14,FALSE),"-")</f>
        <v>0</v>
      </c>
      <c r="H196" s="727"/>
      <c r="I196" s="727"/>
      <c r="J196" s="140"/>
      <c r="K196" s="140"/>
      <c r="L196" s="140"/>
      <c r="Q196" s="180"/>
      <c r="R196" s="140" t="s">
        <v>13</v>
      </c>
      <c r="S196" s="185" t="s">
        <v>14</v>
      </c>
      <c r="U196" s="186"/>
      <c r="V196" s="186"/>
    </row>
    <row r="197" spans="1:31" s="184" customFormat="1" ht="15" customHeight="1" x14ac:dyDescent="0.25">
      <c r="A197" s="179"/>
      <c r="B197" s="185" t="s">
        <v>0</v>
      </c>
      <c r="D197" s="184" t="s">
        <v>49</v>
      </c>
      <c r="E197" s="728">
        <f>IFERROR(VLOOKUP(E196,'Rekap Gaji'!$B$12:$P$24,4,FALSE),"-")</f>
        <v>45935</v>
      </c>
      <c r="F197" s="728"/>
      <c r="G197" s="728"/>
      <c r="H197" s="728"/>
      <c r="I197" s="727" t="s">
        <v>76</v>
      </c>
      <c r="J197" s="727"/>
      <c r="K197" s="728">
        <f>IFERROR(VLOOKUP(E196,'Rekap Gaji'!$B$12:$P$24,6,FALSE),"-")</f>
        <v>45941</v>
      </c>
      <c r="L197" s="728"/>
      <c r="M197" s="728"/>
      <c r="N197" s="728"/>
      <c r="Q197" s="180"/>
      <c r="R197" s="140" t="s">
        <v>15</v>
      </c>
      <c r="S197" s="185" t="s">
        <v>16</v>
      </c>
      <c r="U197" s="186"/>
      <c r="V197" s="186"/>
    </row>
    <row r="198" spans="1:31" s="188" customFormat="1" ht="8.1" customHeight="1" thickBot="1" x14ac:dyDescent="0.3">
      <c r="A198" s="192"/>
      <c r="B198" s="193"/>
      <c r="F198" s="189"/>
      <c r="G198" s="194"/>
      <c r="H198" s="195"/>
      <c r="I198" s="194"/>
      <c r="J198" s="189"/>
      <c r="K198" s="189"/>
      <c r="L198" s="189"/>
      <c r="Q198" s="193"/>
      <c r="R198" s="189"/>
      <c r="S198" s="196"/>
      <c r="U198" s="197"/>
      <c r="V198" s="197"/>
    </row>
    <row r="199" spans="1:31" s="199" customFormat="1" ht="15" customHeight="1" x14ac:dyDescent="0.25">
      <c r="A199" s="198"/>
      <c r="B199" s="755" t="s">
        <v>17</v>
      </c>
      <c r="C199" s="749" t="s">
        <v>18</v>
      </c>
      <c r="D199" s="758"/>
      <c r="E199" s="153" t="s">
        <v>19</v>
      </c>
      <c r="F199" s="763" t="s">
        <v>20</v>
      </c>
      <c r="G199" s="764"/>
      <c r="H199" s="764"/>
      <c r="I199" s="764"/>
      <c r="J199" s="764"/>
      <c r="K199" s="764"/>
      <c r="L199" s="764"/>
      <c r="M199" s="152" t="s">
        <v>2</v>
      </c>
      <c r="N199" s="749" t="s">
        <v>21</v>
      </c>
      <c r="O199" s="758"/>
      <c r="P199" s="749" t="s">
        <v>22</v>
      </c>
      <c r="Q199" s="758"/>
      <c r="R199" s="749" t="s">
        <v>23</v>
      </c>
      <c r="S199" s="750"/>
      <c r="U199" s="200"/>
      <c r="V199" s="200"/>
    </row>
    <row r="200" spans="1:31" s="199" customFormat="1" ht="28.9" customHeight="1" x14ac:dyDescent="0.25">
      <c r="A200" s="198"/>
      <c r="B200" s="756"/>
      <c r="C200" s="751"/>
      <c r="D200" s="759"/>
      <c r="E200" s="155" t="s">
        <v>24</v>
      </c>
      <c r="F200" s="761" t="s">
        <v>25</v>
      </c>
      <c r="G200" s="761" t="s">
        <v>26</v>
      </c>
      <c r="H200" s="761" t="s">
        <v>26</v>
      </c>
      <c r="I200" s="761" t="s">
        <v>27</v>
      </c>
      <c r="J200" s="761" t="s">
        <v>28</v>
      </c>
      <c r="K200" s="761" t="s">
        <v>29</v>
      </c>
      <c r="L200" s="761" t="s">
        <v>26</v>
      </c>
      <c r="M200" s="154" t="s">
        <v>30</v>
      </c>
      <c r="N200" s="751" t="s">
        <v>455</v>
      </c>
      <c r="O200" s="759"/>
      <c r="P200" s="751" t="s">
        <v>31</v>
      </c>
      <c r="Q200" s="759"/>
      <c r="R200" s="751"/>
      <c r="S200" s="752"/>
      <c r="U200" s="200"/>
      <c r="V200" s="200"/>
    </row>
    <row r="201" spans="1:31" s="199" customFormat="1" ht="15" customHeight="1" thickBot="1" x14ac:dyDescent="0.3">
      <c r="A201" s="198"/>
      <c r="B201" s="757"/>
      <c r="C201" s="753"/>
      <c r="D201" s="760"/>
      <c r="E201" s="157" t="s">
        <v>32</v>
      </c>
      <c r="F201" s="762"/>
      <c r="G201" s="762"/>
      <c r="H201" s="762"/>
      <c r="I201" s="762"/>
      <c r="J201" s="762"/>
      <c r="K201" s="762"/>
      <c r="L201" s="762"/>
      <c r="M201" s="156" t="s">
        <v>31</v>
      </c>
      <c r="N201" s="753" t="s">
        <v>33</v>
      </c>
      <c r="O201" s="760"/>
      <c r="P201" s="753" t="s">
        <v>34</v>
      </c>
      <c r="Q201" s="760"/>
      <c r="R201" s="753"/>
      <c r="S201" s="754"/>
      <c r="U201" s="200"/>
      <c r="V201" s="200"/>
    </row>
    <row r="202" spans="1:31" ht="24.95" customHeight="1" x14ac:dyDescent="0.25">
      <c r="B202" s="201">
        <v>1</v>
      </c>
      <c r="C202" s="202" t="str">
        <f t="shared" ref="C202:C212" si="67">C164</f>
        <v>KHUSNUL</v>
      </c>
      <c r="D202" s="203"/>
      <c r="E202" s="204" t="str">
        <f t="shared" ref="E202:E212" si="68">E164</f>
        <v>A</v>
      </c>
      <c r="F202" s="205" t="s">
        <v>36</v>
      </c>
      <c r="G202" s="205" t="s">
        <v>37</v>
      </c>
      <c r="H202" s="205" t="s">
        <v>37</v>
      </c>
      <c r="I202" s="205" t="s">
        <v>37</v>
      </c>
      <c r="J202" s="205" t="s">
        <v>37</v>
      </c>
      <c r="K202" s="205" t="s">
        <v>37</v>
      </c>
      <c r="L202" s="205" t="s">
        <v>37</v>
      </c>
      <c r="M202" s="206">
        <f>SUM(Y202:AE202)</f>
        <v>6</v>
      </c>
      <c r="N202" s="207" t="str">
        <f>IF(O202&gt;0,"Rp",IF(O202=0," "))</f>
        <v>Rp</v>
      </c>
      <c r="O202" s="208">
        <f t="shared" ref="O202:O211" si="69">O164</f>
        <v>130000</v>
      </c>
      <c r="P202" s="207" t="str">
        <f>IF(Q202&gt;0,"Rp",IF(Q202=0," "))</f>
        <v>Rp</v>
      </c>
      <c r="Q202" s="208">
        <f t="shared" ref="Q202:Q211" si="70">O202*M202</f>
        <v>780000</v>
      </c>
      <c r="R202" s="209">
        <v>1</v>
      </c>
      <c r="S202" s="210"/>
      <c r="U202" s="211"/>
      <c r="V202" s="211"/>
      <c r="Y202" s="211">
        <f t="shared" ref="Y202:Y212" si="71">IFERROR(IF(F202="V",1,IF(F202="X",0))," ")</f>
        <v>0</v>
      </c>
      <c r="Z202" s="211">
        <f t="shared" ref="Z202:Z212" si="72">IFERROR(IF(G202="V",1,IF(G202="X",0))," ")</f>
        <v>1</v>
      </c>
      <c r="AA202" s="211">
        <f t="shared" ref="AA202:AA212" si="73">IFERROR(IF(H202="V",1,IF(H202="X",0))," ")</f>
        <v>1</v>
      </c>
      <c r="AB202" s="211">
        <f t="shared" ref="AB202:AB212" si="74">IFERROR(IF(I202="V",1,IF(I202="X",0))," ")</f>
        <v>1</v>
      </c>
      <c r="AC202" s="211">
        <f t="shared" ref="AC202:AC212" si="75">IFERROR(IF(J202="V",1,IF(J202="X",0))," ")</f>
        <v>1</v>
      </c>
      <c r="AD202" s="211">
        <f t="shared" ref="AD202:AD212" si="76">IFERROR(IF(K202="V",1,IF(K202="X",0))," ")</f>
        <v>1</v>
      </c>
      <c r="AE202" s="211">
        <f t="shared" ref="AE202:AE212" si="77">IFERROR(IF(L202="V",1,IF(L202="X",0))," ")</f>
        <v>1</v>
      </c>
    </row>
    <row r="203" spans="1:31" ht="24.95" customHeight="1" x14ac:dyDescent="0.25">
      <c r="B203" s="212">
        <v>2</v>
      </c>
      <c r="C203" s="202" t="str">
        <f t="shared" si="67"/>
        <v>PRIYO</v>
      </c>
      <c r="D203" s="213"/>
      <c r="E203" s="214" t="str">
        <f t="shared" si="68"/>
        <v>B</v>
      </c>
      <c r="F203" s="215" t="s">
        <v>36</v>
      </c>
      <c r="G203" s="215" t="s">
        <v>37</v>
      </c>
      <c r="H203" s="215" t="s">
        <v>37</v>
      </c>
      <c r="I203" s="215" t="s">
        <v>37</v>
      </c>
      <c r="J203" s="215" t="s">
        <v>37</v>
      </c>
      <c r="K203" s="215" t="s">
        <v>37</v>
      </c>
      <c r="L203" s="215" t="s">
        <v>37</v>
      </c>
      <c r="M203" s="216">
        <f t="shared" ref="M203:M211" si="78">SUM(Y203:AE203)</f>
        <v>6</v>
      </c>
      <c r="N203" s="217" t="str">
        <f t="shared" ref="N203:N211" si="79">IF(O203&gt;0,"Rp",IF(O203=0," "))</f>
        <v>Rp</v>
      </c>
      <c r="O203" s="218">
        <f t="shared" si="69"/>
        <v>125000</v>
      </c>
      <c r="P203" s="217" t="str">
        <f t="shared" ref="P203:P211" si="80">IF(Q203&gt;0,"Rp",IF(Q203=0," "))</f>
        <v>Rp</v>
      </c>
      <c r="Q203" s="219">
        <f t="shared" si="70"/>
        <v>750000</v>
      </c>
      <c r="R203" s="220"/>
      <c r="S203" s="221">
        <v>2</v>
      </c>
      <c r="U203" s="211"/>
      <c r="V203" s="211"/>
      <c r="Y203" s="211">
        <f t="shared" si="71"/>
        <v>0</v>
      </c>
      <c r="Z203" s="211">
        <f t="shared" si="72"/>
        <v>1</v>
      </c>
      <c r="AA203" s="211">
        <f t="shared" si="73"/>
        <v>1</v>
      </c>
      <c r="AB203" s="211">
        <f t="shared" si="74"/>
        <v>1</v>
      </c>
      <c r="AC203" s="211">
        <f t="shared" si="75"/>
        <v>1</v>
      </c>
      <c r="AD203" s="211">
        <f t="shared" si="76"/>
        <v>1</v>
      </c>
      <c r="AE203" s="211">
        <f t="shared" si="77"/>
        <v>1</v>
      </c>
    </row>
    <row r="204" spans="1:31" ht="24.95" customHeight="1" x14ac:dyDescent="0.25">
      <c r="B204" s="212">
        <v>3</v>
      </c>
      <c r="C204" s="202" t="str">
        <f t="shared" si="67"/>
        <v>NANANG</v>
      </c>
      <c r="D204" s="213"/>
      <c r="E204" s="214" t="str">
        <f t="shared" si="68"/>
        <v>B</v>
      </c>
      <c r="F204" s="215" t="s">
        <v>36</v>
      </c>
      <c r="G204" s="215" t="s">
        <v>36</v>
      </c>
      <c r="H204" s="215" t="s">
        <v>37</v>
      </c>
      <c r="I204" s="215" t="s">
        <v>37</v>
      </c>
      <c r="J204" s="215" t="s">
        <v>37</v>
      </c>
      <c r="K204" s="215" t="s">
        <v>37</v>
      </c>
      <c r="L204" s="215" t="s">
        <v>37</v>
      </c>
      <c r="M204" s="216">
        <f t="shared" si="78"/>
        <v>5</v>
      </c>
      <c r="N204" s="217" t="str">
        <f t="shared" si="79"/>
        <v>Rp</v>
      </c>
      <c r="O204" s="218">
        <f t="shared" si="69"/>
        <v>125000</v>
      </c>
      <c r="P204" s="217" t="str">
        <f t="shared" si="80"/>
        <v>Rp</v>
      </c>
      <c r="Q204" s="219">
        <f t="shared" si="70"/>
        <v>625000</v>
      </c>
      <c r="R204" s="222">
        <v>3</v>
      </c>
      <c r="S204" s="221"/>
      <c r="U204" s="211"/>
      <c r="V204" s="211"/>
      <c r="Y204" s="211">
        <f t="shared" si="71"/>
        <v>0</v>
      </c>
      <c r="Z204" s="211">
        <f t="shared" si="72"/>
        <v>0</v>
      </c>
      <c r="AA204" s="211">
        <f t="shared" si="73"/>
        <v>1</v>
      </c>
      <c r="AB204" s="211">
        <f t="shared" si="74"/>
        <v>1</v>
      </c>
      <c r="AC204" s="211">
        <f t="shared" si="75"/>
        <v>1</v>
      </c>
      <c r="AD204" s="211">
        <f t="shared" si="76"/>
        <v>1</v>
      </c>
      <c r="AE204" s="211">
        <f t="shared" si="77"/>
        <v>1</v>
      </c>
    </row>
    <row r="205" spans="1:31" ht="24.95" customHeight="1" x14ac:dyDescent="0.25">
      <c r="B205" s="212">
        <v>4</v>
      </c>
      <c r="C205" s="202" t="str">
        <f t="shared" si="67"/>
        <v>KOIREN</v>
      </c>
      <c r="D205" s="213"/>
      <c r="E205" s="214" t="str">
        <f t="shared" si="68"/>
        <v>B</v>
      </c>
      <c r="F205" s="215" t="s">
        <v>36</v>
      </c>
      <c r="G205" s="215" t="s">
        <v>37</v>
      </c>
      <c r="H205" s="215" t="s">
        <v>37</v>
      </c>
      <c r="I205" s="215" t="s">
        <v>37</v>
      </c>
      <c r="J205" s="215" t="s">
        <v>37</v>
      </c>
      <c r="K205" s="215" t="s">
        <v>37</v>
      </c>
      <c r="L205" s="215" t="s">
        <v>37</v>
      </c>
      <c r="M205" s="216">
        <f t="shared" si="78"/>
        <v>6</v>
      </c>
      <c r="N205" s="217" t="str">
        <f t="shared" si="79"/>
        <v>Rp</v>
      </c>
      <c r="O205" s="218">
        <f t="shared" si="69"/>
        <v>125000</v>
      </c>
      <c r="P205" s="217" t="str">
        <f t="shared" si="80"/>
        <v>Rp</v>
      </c>
      <c r="Q205" s="219">
        <f t="shared" si="70"/>
        <v>750000</v>
      </c>
      <c r="R205" s="222"/>
      <c r="S205" s="223">
        <v>4</v>
      </c>
      <c r="U205" s="211"/>
      <c r="V205" s="211"/>
      <c r="Y205" s="211">
        <f t="shared" si="71"/>
        <v>0</v>
      </c>
      <c r="Z205" s="211">
        <f t="shared" si="72"/>
        <v>1</v>
      </c>
      <c r="AA205" s="211">
        <f t="shared" si="73"/>
        <v>1</v>
      </c>
      <c r="AB205" s="211">
        <f t="shared" si="74"/>
        <v>1</v>
      </c>
      <c r="AC205" s="211">
        <f t="shared" si="75"/>
        <v>1</v>
      </c>
      <c r="AD205" s="211">
        <f t="shared" si="76"/>
        <v>1</v>
      </c>
      <c r="AE205" s="211">
        <f t="shared" si="77"/>
        <v>1</v>
      </c>
    </row>
    <row r="206" spans="1:31" ht="24.95" customHeight="1" x14ac:dyDescent="0.25">
      <c r="B206" s="212">
        <v>5</v>
      </c>
      <c r="C206" s="202" t="str">
        <f t="shared" si="67"/>
        <v>MAT</v>
      </c>
      <c r="D206" s="213"/>
      <c r="E206" s="214" t="str">
        <f t="shared" si="68"/>
        <v>C</v>
      </c>
      <c r="F206" s="215" t="s">
        <v>36</v>
      </c>
      <c r="G206" s="215" t="s">
        <v>37</v>
      </c>
      <c r="H206" s="215" t="s">
        <v>37</v>
      </c>
      <c r="I206" s="215" t="s">
        <v>36</v>
      </c>
      <c r="J206" s="215" t="s">
        <v>37</v>
      </c>
      <c r="K206" s="215" t="s">
        <v>37</v>
      </c>
      <c r="L206" s="215" t="s">
        <v>37</v>
      </c>
      <c r="M206" s="216">
        <f t="shared" si="78"/>
        <v>5</v>
      </c>
      <c r="N206" s="217" t="str">
        <f t="shared" si="79"/>
        <v>Rp</v>
      </c>
      <c r="O206" s="218">
        <f t="shared" si="69"/>
        <v>100000</v>
      </c>
      <c r="P206" s="217" t="str">
        <f t="shared" si="80"/>
        <v>Rp</v>
      </c>
      <c r="Q206" s="219">
        <f t="shared" si="70"/>
        <v>500000</v>
      </c>
      <c r="R206" s="222">
        <v>5</v>
      </c>
      <c r="S206" s="221"/>
      <c r="U206" s="211"/>
      <c r="V206" s="211"/>
      <c r="Y206" s="211">
        <f t="shared" si="71"/>
        <v>0</v>
      </c>
      <c r="Z206" s="211">
        <f t="shared" si="72"/>
        <v>1</v>
      </c>
      <c r="AA206" s="211">
        <f t="shared" si="73"/>
        <v>1</v>
      </c>
      <c r="AB206" s="211">
        <f t="shared" si="74"/>
        <v>0</v>
      </c>
      <c r="AC206" s="211">
        <f t="shared" si="75"/>
        <v>1</v>
      </c>
      <c r="AD206" s="211">
        <f t="shared" si="76"/>
        <v>1</v>
      </c>
      <c r="AE206" s="211">
        <f t="shared" si="77"/>
        <v>1</v>
      </c>
    </row>
    <row r="207" spans="1:31" ht="24.95" customHeight="1" x14ac:dyDescent="0.25">
      <c r="B207" s="212">
        <v>6</v>
      </c>
      <c r="C207" s="202" t="str">
        <f t="shared" si="67"/>
        <v>JUNED</v>
      </c>
      <c r="D207" s="213"/>
      <c r="E207" s="214" t="str">
        <f t="shared" si="68"/>
        <v>C</v>
      </c>
      <c r="F207" s="215" t="s">
        <v>36</v>
      </c>
      <c r="G207" s="215" t="s">
        <v>37</v>
      </c>
      <c r="H207" s="215" t="s">
        <v>37</v>
      </c>
      <c r="I207" s="215" t="s">
        <v>37</v>
      </c>
      <c r="J207" s="215" t="s">
        <v>37</v>
      </c>
      <c r="K207" s="215" t="s">
        <v>37</v>
      </c>
      <c r="L207" s="215" t="s">
        <v>37</v>
      </c>
      <c r="M207" s="216">
        <f t="shared" si="78"/>
        <v>6</v>
      </c>
      <c r="N207" s="217" t="str">
        <f t="shared" si="79"/>
        <v>Rp</v>
      </c>
      <c r="O207" s="218">
        <f t="shared" si="69"/>
        <v>100000</v>
      </c>
      <c r="P207" s="217" t="str">
        <f t="shared" si="80"/>
        <v>Rp</v>
      </c>
      <c r="Q207" s="219">
        <f t="shared" si="70"/>
        <v>600000</v>
      </c>
      <c r="R207" s="222"/>
      <c r="S207" s="223">
        <v>6</v>
      </c>
      <c r="U207" s="211"/>
      <c r="V207" s="211"/>
      <c r="Y207" s="211">
        <f t="shared" si="71"/>
        <v>0</v>
      </c>
      <c r="Z207" s="211">
        <f t="shared" si="72"/>
        <v>1</v>
      </c>
      <c r="AA207" s="211">
        <f t="shared" si="73"/>
        <v>1</v>
      </c>
      <c r="AB207" s="211">
        <f t="shared" si="74"/>
        <v>1</v>
      </c>
      <c r="AC207" s="211">
        <f t="shared" si="75"/>
        <v>1</v>
      </c>
      <c r="AD207" s="211">
        <f t="shared" si="76"/>
        <v>1</v>
      </c>
      <c r="AE207" s="211">
        <f t="shared" si="77"/>
        <v>1</v>
      </c>
    </row>
    <row r="208" spans="1:31" ht="24.95" customHeight="1" x14ac:dyDescent="0.25">
      <c r="B208" s="212">
        <v>7</v>
      </c>
      <c r="C208" s="202" t="str">
        <f t="shared" si="67"/>
        <v>LASITO</v>
      </c>
      <c r="D208" s="213"/>
      <c r="E208" s="214" t="str">
        <f t="shared" si="68"/>
        <v>C</v>
      </c>
      <c r="F208" s="215" t="s">
        <v>36</v>
      </c>
      <c r="G208" s="215" t="s">
        <v>37</v>
      </c>
      <c r="H208" s="215" t="s">
        <v>37</v>
      </c>
      <c r="I208" s="215" t="s">
        <v>37</v>
      </c>
      <c r="J208" s="215" t="s">
        <v>37</v>
      </c>
      <c r="K208" s="215" t="s">
        <v>37</v>
      </c>
      <c r="L208" s="215" t="s">
        <v>37</v>
      </c>
      <c r="M208" s="216">
        <f t="shared" si="78"/>
        <v>6</v>
      </c>
      <c r="N208" s="217" t="str">
        <f t="shared" si="79"/>
        <v>Rp</v>
      </c>
      <c r="O208" s="218">
        <f t="shared" si="69"/>
        <v>100000</v>
      </c>
      <c r="P208" s="217" t="str">
        <f t="shared" si="80"/>
        <v>Rp</v>
      </c>
      <c r="Q208" s="219">
        <f t="shared" si="70"/>
        <v>600000</v>
      </c>
      <c r="R208" s="222">
        <v>7</v>
      </c>
      <c r="S208" s="221"/>
      <c r="U208" s="211"/>
      <c r="V208" s="211"/>
      <c r="Y208" s="211">
        <f t="shared" si="71"/>
        <v>0</v>
      </c>
      <c r="Z208" s="211">
        <f t="shared" si="72"/>
        <v>1</v>
      </c>
      <c r="AA208" s="211">
        <f t="shared" si="73"/>
        <v>1</v>
      </c>
      <c r="AB208" s="211">
        <f t="shared" si="74"/>
        <v>1</v>
      </c>
      <c r="AC208" s="211">
        <f t="shared" si="75"/>
        <v>1</v>
      </c>
      <c r="AD208" s="211">
        <f t="shared" si="76"/>
        <v>1</v>
      </c>
      <c r="AE208" s="211">
        <f t="shared" si="77"/>
        <v>1</v>
      </c>
    </row>
    <row r="209" spans="1:31" ht="24.95" customHeight="1" x14ac:dyDescent="0.25">
      <c r="B209" s="212">
        <v>8</v>
      </c>
      <c r="C209" s="202" t="str">
        <f t="shared" si="67"/>
        <v>BONANG</v>
      </c>
      <c r="D209" s="213"/>
      <c r="E209" s="214" t="str">
        <f t="shared" si="68"/>
        <v>C</v>
      </c>
      <c r="F209" s="215" t="s">
        <v>36</v>
      </c>
      <c r="G209" s="215" t="s">
        <v>37</v>
      </c>
      <c r="H209" s="215" t="s">
        <v>37</v>
      </c>
      <c r="I209" s="215" t="s">
        <v>37</v>
      </c>
      <c r="J209" s="215" t="s">
        <v>37</v>
      </c>
      <c r="K209" s="215" t="s">
        <v>37</v>
      </c>
      <c r="L209" s="215" t="s">
        <v>37</v>
      </c>
      <c r="M209" s="216">
        <f t="shared" si="78"/>
        <v>6</v>
      </c>
      <c r="N209" s="217" t="str">
        <f t="shared" si="79"/>
        <v>Rp</v>
      </c>
      <c r="O209" s="218">
        <f t="shared" si="69"/>
        <v>100000</v>
      </c>
      <c r="P209" s="217" t="str">
        <f t="shared" si="80"/>
        <v>Rp</v>
      </c>
      <c r="Q209" s="219">
        <f t="shared" si="70"/>
        <v>600000</v>
      </c>
      <c r="R209" s="222"/>
      <c r="S209" s="223">
        <v>8</v>
      </c>
      <c r="U209" s="211"/>
      <c r="V209" s="211"/>
      <c r="Y209" s="211">
        <f t="shared" si="71"/>
        <v>0</v>
      </c>
      <c r="Z209" s="211">
        <f t="shared" si="72"/>
        <v>1</v>
      </c>
      <c r="AA209" s="211">
        <f t="shared" si="73"/>
        <v>1</v>
      </c>
      <c r="AB209" s="211">
        <f t="shared" si="74"/>
        <v>1</v>
      </c>
      <c r="AC209" s="211">
        <f t="shared" si="75"/>
        <v>1</v>
      </c>
      <c r="AD209" s="211">
        <f t="shared" si="76"/>
        <v>1</v>
      </c>
      <c r="AE209" s="211">
        <f t="shared" si="77"/>
        <v>1</v>
      </c>
    </row>
    <row r="210" spans="1:31" ht="24.95" customHeight="1" x14ac:dyDescent="0.25">
      <c r="B210" s="212">
        <v>9</v>
      </c>
      <c r="C210" s="202">
        <f t="shared" si="67"/>
        <v>0</v>
      </c>
      <c r="D210" s="213"/>
      <c r="E210" s="214">
        <f t="shared" si="68"/>
        <v>0</v>
      </c>
      <c r="F210" s="215"/>
      <c r="G210" s="215"/>
      <c r="H210" s="215"/>
      <c r="I210" s="215"/>
      <c r="J210" s="215"/>
      <c r="K210" s="215"/>
      <c r="L210" s="215"/>
      <c r="M210" s="216">
        <f t="shared" si="78"/>
        <v>0</v>
      </c>
      <c r="N210" s="217" t="str">
        <f t="shared" si="79"/>
        <v xml:space="preserve"> </v>
      </c>
      <c r="O210" s="218">
        <f t="shared" si="69"/>
        <v>0</v>
      </c>
      <c r="P210" s="217" t="str">
        <f t="shared" si="80"/>
        <v xml:space="preserve"> </v>
      </c>
      <c r="Q210" s="219">
        <f t="shared" si="70"/>
        <v>0</v>
      </c>
      <c r="R210" s="222">
        <v>9</v>
      </c>
      <c r="S210" s="221"/>
      <c r="U210" s="211"/>
      <c r="V210" s="211"/>
      <c r="Y210" s="211" t="b">
        <f t="shared" si="71"/>
        <v>0</v>
      </c>
      <c r="Z210" s="211" t="b">
        <f t="shared" si="72"/>
        <v>0</v>
      </c>
      <c r="AA210" s="211" t="b">
        <f t="shared" si="73"/>
        <v>0</v>
      </c>
      <c r="AB210" s="211" t="b">
        <f t="shared" si="74"/>
        <v>0</v>
      </c>
      <c r="AC210" s="211" t="b">
        <f t="shared" si="75"/>
        <v>0</v>
      </c>
      <c r="AD210" s="211" t="b">
        <f t="shared" si="76"/>
        <v>0</v>
      </c>
      <c r="AE210" s="211" t="b">
        <f t="shared" si="77"/>
        <v>0</v>
      </c>
    </row>
    <row r="211" spans="1:31" ht="24.95" customHeight="1" x14ac:dyDescent="0.25">
      <c r="B211" s="212">
        <v>10</v>
      </c>
      <c r="C211" s="202">
        <f t="shared" si="67"/>
        <v>0</v>
      </c>
      <c r="D211" s="213"/>
      <c r="E211" s="214">
        <f t="shared" si="68"/>
        <v>0</v>
      </c>
      <c r="F211" s="215"/>
      <c r="G211" s="215"/>
      <c r="H211" s="215"/>
      <c r="I211" s="215"/>
      <c r="J211" s="215"/>
      <c r="K211" s="215"/>
      <c r="L211" s="215"/>
      <c r="M211" s="216">
        <f t="shared" si="78"/>
        <v>0</v>
      </c>
      <c r="N211" s="217" t="str">
        <f t="shared" si="79"/>
        <v xml:space="preserve"> </v>
      </c>
      <c r="O211" s="218">
        <f t="shared" si="69"/>
        <v>0</v>
      </c>
      <c r="P211" s="217" t="str">
        <f t="shared" si="80"/>
        <v xml:space="preserve"> </v>
      </c>
      <c r="Q211" s="219">
        <f t="shared" si="70"/>
        <v>0</v>
      </c>
      <c r="R211" s="222"/>
      <c r="S211" s="223">
        <v>10</v>
      </c>
      <c r="U211" s="211"/>
      <c r="V211" s="211"/>
      <c r="Y211" s="211" t="b">
        <f t="shared" si="71"/>
        <v>0</v>
      </c>
      <c r="Z211" s="211" t="b">
        <f t="shared" si="72"/>
        <v>0</v>
      </c>
      <c r="AA211" s="211" t="b">
        <f t="shared" si="73"/>
        <v>0</v>
      </c>
      <c r="AB211" s="211" t="b">
        <f t="shared" si="74"/>
        <v>0</v>
      </c>
      <c r="AC211" s="211" t="b">
        <f t="shared" si="75"/>
        <v>0</v>
      </c>
      <c r="AD211" s="211" t="b">
        <f t="shared" si="76"/>
        <v>0</v>
      </c>
      <c r="AE211" s="211" t="b">
        <f t="shared" si="77"/>
        <v>0</v>
      </c>
    </row>
    <row r="212" spans="1:31" ht="24.95" customHeight="1" x14ac:dyDescent="0.25">
      <c r="B212" s="212">
        <v>11</v>
      </c>
      <c r="C212" s="202">
        <f t="shared" si="67"/>
        <v>0</v>
      </c>
      <c r="D212" s="213"/>
      <c r="E212" s="214">
        <f t="shared" si="68"/>
        <v>0</v>
      </c>
      <c r="F212" s="215"/>
      <c r="G212" s="215"/>
      <c r="H212" s="215"/>
      <c r="I212" s="215"/>
      <c r="J212" s="215"/>
      <c r="K212" s="215"/>
      <c r="L212" s="215"/>
      <c r="M212" s="216">
        <f>SUM(Y212:AE212)</f>
        <v>0</v>
      </c>
      <c r="N212" s="217"/>
      <c r="O212" s="218"/>
      <c r="P212" s="217"/>
      <c r="Q212" s="219"/>
      <c r="R212" s="222">
        <v>11</v>
      </c>
      <c r="S212" s="221"/>
      <c r="U212" s="211"/>
      <c r="V212" s="211"/>
      <c r="Y212" s="211" t="b">
        <f t="shared" si="71"/>
        <v>0</v>
      </c>
      <c r="Z212" s="211" t="b">
        <f t="shared" si="72"/>
        <v>0</v>
      </c>
      <c r="AA212" s="211" t="b">
        <f t="shared" si="73"/>
        <v>0</v>
      </c>
      <c r="AB212" s="211" t="b">
        <f t="shared" si="74"/>
        <v>0</v>
      </c>
      <c r="AC212" s="211" t="b">
        <f t="shared" si="75"/>
        <v>0</v>
      </c>
      <c r="AD212" s="211" t="b">
        <f t="shared" si="76"/>
        <v>0</v>
      </c>
      <c r="AE212" s="211" t="b">
        <f t="shared" si="77"/>
        <v>0</v>
      </c>
    </row>
    <row r="213" spans="1:31" ht="24.95" customHeight="1" thickBot="1" x14ac:dyDescent="0.25">
      <c r="B213" s="233"/>
      <c r="C213" s="257"/>
      <c r="D213" s="235"/>
      <c r="E213" s="236"/>
      <c r="F213" s="237"/>
      <c r="G213" s="238"/>
      <c r="H213" s="239"/>
      <c r="I213" s="239"/>
      <c r="J213" s="240"/>
      <c r="K213" s="240"/>
      <c r="L213" s="240"/>
      <c r="M213" s="259"/>
      <c r="N213" s="242"/>
      <c r="O213" s="258"/>
      <c r="P213" s="244"/>
      <c r="Q213" s="236"/>
      <c r="R213" s="246"/>
      <c r="S213" s="247"/>
      <c r="U213" s="211"/>
      <c r="V213" s="211"/>
    </row>
    <row r="214" spans="1:31" ht="20.100000000000001" customHeight="1" thickTop="1" thickBot="1" x14ac:dyDescent="0.3">
      <c r="A214" s="179">
        <f>A176+1</f>
        <v>6</v>
      </c>
      <c r="B214" s="248"/>
      <c r="C214" s="249"/>
      <c r="D214" s="249"/>
      <c r="E214" s="249"/>
      <c r="F214" s="249"/>
      <c r="G214" s="249"/>
      <c r="H214" s="249"/>
      <c r="I214" s="249"/>
      <c r="J214" s="249"/>
      <c r="K214" s="249"/>
      <c r="L214" s="249"/>
      <c r="M214" s="249"/>
      <c r="N214" s="249"/>
      <c r="O214" s="250" t="s">
        <v>40</v>
      </c>
      <c r="P214" s="249"/>
      <c r="Q214" s="710">
        <f>SUM(Q202:Q213)</f>
        <v>5205000</v>
      </c>
      <c r="R214" s="711"/>
      <c r="S214" s="712"/>
      <c r="U214" s="226" t="str">
        <f>VLOOKUP(A214,'Rekap Gaji'!$B$12:$P$24,10,FALSE)</f>
        <v xml:space="preserve"> 11 Oktober 2025</v>
      </c>
      <c r="V214" s="251" t="e">
        <f>U214-Q214</f>
        <v>#VALUE!</v>
      </c>
    </row>
    <row r="215" spans="1:31" ht="11.25" customHeight="1" x14ac:dyDescent="0.25"/>
    <row r="216" spans="1:31" ht="16.5" customHeight="1" x14ac:dyDescent="0.25">
      <c r="B216" s="195" t="s">
        <v>41</v>
      </c>
      <c r="C216" s="140" t="s">
        <v>42</v>
      </c>
    </row>
    <row r="217" spans="1:31" ht="14.25" x14ac:dyDescent="0.25">
      <c r="G217" s="183"/>
      <c r="H217" s="182"/>
      <c r="M217" s="141"/>
      <c r="N217" s="141"/>
      <c r="Q217" s="140" t="str">
        <f>'BKU 1'!$I$25</f>
        <v>NGANTANG</v>
      </c>
      <c r="R217" s="713">
        <f>IFERROR(VLOOKUP(E196,'Rekap Gaji'!$B$12:$P$24,7,FALSE),"-")</f>
        <v>45941</v>
      </c>
      <c r="S217" s="713"/>
      <c r="T217" s="252"/>
      <c r="U217" s="252"/>
    </row>
    <row r="218" spans="1:31" ht="15.75" x14ac:dyDescent="0.25">
      <c r="C218" s="140" t="s">
        <v>43</v>
      </c>
      <c r="F218" s="253"/>
      <c r="G218" s="254"/>
      <c r="H218" s="255"/>
      <c r="I218" s="256"/>
      <c r="J218" s="225" t="s">
        <v>44</v>
      </c>
      <c r="K218" s="253"/>
      <c r="M218" s="141"/>
      <c r="N218" s="141"/>
      <c r="Q218" s="140" t="str">
        <f>'BKU 1'!$L$354</f>
        <v>Dibuat Oleh ;</v>
      </c>
      <c r="R218" s="141"/>
    </row>
    <row r="219" spans="1:31" ht="14.25" x14ac:dyDescent="0.25">
      <c r="C219" s="140" t="str">
        <f>'BKU 1'!$C$355</f>
        <v>Kepala Sekolah SDN 1 SIDODADI</v>
      </c>
      <c r="F219" s="187"/>
      <c r="G219" s="224"/>
      <c r="H219" s="182"/>
      <c r="I219" s="183"/>
      <c r="J219" s="140" t="s">
        <v>45</v>
      </c>
      <c r="K219" s="187"/>
      <c r="Q219" s="140" t="str">
        <f>'BKU 1'!$L$355</f>
        <v>Bendahara Pembangunan</v>
      </c>
      <c r="R219" s="141"/>
    </row>
    <row r="220" spans="1:31" ht="14.25" x14ac:dyDescent="0.25">
      <c r="F220" s="187"/>
      <c r="G220" s="224"/>
      <c r="H220" s="182"/>
      <c r="I220" s="183"/>
      <c r="K220" s="187"/>
      <c r="Q220" s="140"/>
      <c r="R220" s="141"/>
    </row>
    <row r="221" spans="1:31" ht="14.25" x14ac:dyDescent="0.25">
      <c r="F221" s="187"/>
      <c r="G221" s="224"/>
      <c r="H221" s="182"/>
      <c r="I221" s="183"/>
      <c r="K221" s="187"/>
      <c r="Q221" s="140"/>
      <c r="R221" s="141"/>
    </row>
    <row r="222" spans="1:31" ht="14.25" x14ac:dyDescent="0.25">
      <c r="F222" s="187"/>
      <c r="G222" s="224"/>
      <c r="H222" s="182"/>
      <c r="I222" s="183"/>
      <c r="K222" s="187"/>
      <c r="Q222" s="140"/>
      <c r="R222" s="141"/>
    </row>
    <row r="223" spans="1:31" ht="14.25" x14ac:dyDescent="0.25">
      <c r="F223" s="187"/>
      <c r="G223" s="224"/>
      <c r="H223" s="182"/>
      <c r="I223" s="183"/>
      <c r="K223" s="187"/>
      <c r="Q223" s="140"/>
      <c r="R223" s="141"/>
    </row>
    <row r="224" spans="1:31" x14ac:dyDescent="0.25">
      <c r="G224" s="225"/>
      <c r="Q224" s="140"/>
    </row>
    <row r="225" spans="1:31" x14ac:dyDescent="0.25">
      <c r="G225" s="225"/>
      <c r="Q225" s="140"/>
    </row>
    <row r="226" spans="1:31" s="189" customFormat="1" ht="15" customHeight="1" x14ac:dyDescent="0.25">
      <c r="A226" s="192"/>
      <c r="B226" s="195"/>
      <c r="C226" s="227" t="str">
        <f>'BKU 1'!$C$360</f>
        <v>MELIA FITRIANI, S.Pd.SD</v>
      </c>
      <c r="D226" s="227"/>
      <c r="G226" s="228"/>
      <c r="H226" s="195"/>
      <c r="I226" s="194"/>
      <c r="J226" s="229">
        <f>'BKU 1'!$G$360</f>
        <v>0</v>
      </c>
      <c r="Q226" s="227" t="str">
        <f>'BKU 1'!$L$360</f>
        <v>ARIF NUR UDIN, S.Pd.SD</v>
      </c>
      <c r="S226" s="230"/>
      <c r="U226" s="231"/>
      <c r="V226" s="231"/>
    </row>
    <row r="227" spans="1:31" s="189" customFormat="1" ht="15" customHeight="1" x14ac:dyDescent="0.25">
      <c r="A227" s="192"/>
      <c r="B227" s="195"/>
      <c r="C227" s="140" t="str">
        <f>'BKU 1'!$C$361</f>
        <v>NIP. 19850619 200904 2 000</v>
      </c>
      <c r="D227" s="140"/>
      <c r="E227" s="140"/>
      <c r="F227" s="140"/>
      <c r="G227" s="225"/>
      <c r="H227" s="191"/>
      <c r="I227" s="190"/>
      <c r="J227" s="232">
        <f>'BKU 1'!$G$361</f>
        <v>0</v>
      </c>
      <c r="K227" s="140"/>
      <c r="M227" s="140"/>
      <c r="N227" s="140"/>
      <c r="O227" s="140"/>
      <c r="P227" s="140"/>
      <c r="Q227" s="140" t="str">
        <f>'BKU 1'!$L$361</f>
        <v>NIP. 19840719 200903 1 002</v>
      </c>
      <c r="S227" s="230"/>
      <c r="U227" s="231"/>
      <c r="V227" s="231"/>
    </row>
    <row r="228" spans="1:31" ht="6" customHeight="1" x14ac:dyDescent="0.25"/>
    <row r="229" spans="1:31" s="177" customFormat="1" ht="24.95" customHeight="1" x14ac:dyDescent="0.25">
      <c r="A229" s="176"/>
      <c r="B229" s="726" t="s">
        <v>6</v>
      </c>
      <c r="C229" s="726"/>
      <c r="D229" s="726"/>
      <c r="E229" s="726"/>
      <c r="F229" s="726"/>
      <c r="G229" s="726"/>
      <c r="H229" s="726"/>
      <c r="I229" s="726"/>
      <c r="J229" s="726"/>
      <c r="K229" s="726"/>
      <c r="L229" s="726"/>
      <c r="M229" s="726"/>
      <c r="N229" s="726"/>
      <c r="O229" s="726"/>
      <c r="P229" s="726"/>
      <c r="Q229" s="726"/>
      <c r="R229" s="726"/>
      <c r="S229" s="726"/>
      <c r="U229" s="178"/>
      <c r="V229" s="178"/>
    </row>
    <row r="230" spans="1:31" s="177" customFormat="1" ht="24.95" customHeight="1" x14ac:dyDescent="0.25">
      <c r="A230" s="176"/>
      <c r="B230" s="726" t="str">
        <f>'BKU 1'!$D$22</f>
        <v>PEMBANGUNAN TOILET BESERTA SANITASINYA</v>
      </c>
      <c r="C230" s="726"/>
      <c r="D230" s="726"/>
      <c r="E230" s="726"/>
      <c r="F230" s="726"/>
      <c r="G230" s="726"/>
      <c r="H230" s="726"/>
      <c r="I230" s="726"/>
      <c r="J230" s="726"/>
      <c r="K230" s="726"/>
      <c r="L230" s="726"/>
      <c r="M230" s="726"/>
      <c r="N230" s="726"/>
      <c r="O230" s="726"/>
      <c r="P230" s="726"/>
      <c r="Q230" s="726"/>
      <c r="R230" s="726"/>
      <c r="S230" s="726"/>
      <c r="U230" s="178"/>
      <c r="V230" s="178"/>
    </row>
    <row r="231" spans="1:31" s="184" customFormat="1" ht="30.75" customHeight="1" x14ac:dyDescent="0.25">
      <c r="A231" s="179"/>
      <c r="B231" s="180"/>
      <c r="C231" s="181"/>
      <c r="D231" s="181"/>
      <c r="E231" s="181"/>
      <c r="F231" s="182"/>
      <c r="G231" s="183"/>
      <c r="H231" s="182"/>
      <c r="I231" s="183"/>
      <c r="J231" s="182"/>
      <c r="K231" s="182"/>
      <c r="L231" s="182"/>
      <c r="M231" s="181"/>
      <c r="N231" s="181"/>
      <c r="Q231" s="180"/>
      <c r="R231" s="140"/>
      <c r="S231" s="185"/>
      <c r="U231" s="186"/>
      <c r="V231" s="186"/>
    </row>
    <row r="232" spans="1:31" s="184" customFormat="1" ht="14.25" x14ac:dyDescent="0.25">
      <c r="A232" s="179"/>
      <c r="B232" s="185" t="s">
        <v>7</v>
      </c>
      <c r="D232" s="184" t="s">
        <v>49</v>
      </c>
      <c r="E232" s="184" t="str">
        <f>'BKU 1'!$D$25</f>
        <v>SDN 1 SIDODADI</v>
      </c>
      <c r="F232" s="140"/>
      <c r="G232" s="183"/>
      <c r="H232" s="182"/>
      <c r="I232" s="183"/>
      <c r="J232" s="187"/>
      <c r="K232" s="187"/>
      <c r="L232" s="187"/>
      <c r="M232" s="188"/>
      <c r="N232" s="188"/>
      <c r="Q232" s="180"/>
      <c r="R232" s="189" t="s">
        <v>8</v>
      </c>
      <c r="S232" s="185"/>
      <c r="U232" s="186"/>
      <c r="V232" s="186"/>
    </row>
    <row r="233" spans="1:31" s="184" customFormat="1" x14ac:dyDescent="0.25">
      <c r="A233" s="179"/>
      <c r="B233" s="185" t="s">
        <v>9</v>
      </c>
      <c r="D233" s="184" t="s">
        <v>49</v>
      </c>
      <c r="E233" s="184" t="str">
        <f>'BKU 1'!$D$26</f>
        <v>Jl. Kawi No.36 Rt. 1 Rw. 1 Dusun Sekar, Rt / Rw : 1 / 1, Dusun : Sekar, Kelurahan : Sidodadi</v>
      </c>
      <c r="F233" s="140"/>
      <c r="G233" s="190"/>
      <c r="H233" s="191"/>
      <c r="I233" s="190"/>
      <c r="J233" s="140"/>
      <c r="K233" s="140"/>
      <c r="L233" s="140"/>
      <c r="Q233" s="180"/>
      <c r="R233" s="140" t="s">
        <v>10</v>
      </c>
      <c r="S233" s="185" t="s">
        <v>11</v>
      </c>
      <c r="U233" s="186"/>
      <c r="V233" s="186"/>
    </row>
    <row r="234" spans="1:31" s="184" customFormat="1" x14ac:dyDescent="0.25">
      <c r="A234" s="179"/>
      <c r="B234" s="185" t="s">
        <v>12</v>
      </c>
      <c r="D234" s="184" t="s">
        <v>49</v>
      </c>
      <c r="E234" s="180">
        <f>E196+1</f>
        <v>7</v>
      </c>
      <c r="F234" s="140"/>
      <c r="G234" s="727">
        <f>IFERROR(VLOOKUP(E234,'Rekap Gaji'!$B$12:$P$24,14,FALSE),"-")</f>
        <v>0</v>
      </c>
      <c r="H234" s="727"/>
      <c r="I234" s="727"/>
      <c r="J234" s="140"/>
      <c r="K234" s="140"/>
      <c r="L234" s="140"/>
      <c r="Q234" s="180"/>
      <c r="R234" s="140" t="s">
        <v>13</v>
      </c>
      <c r="S234" s="185" t="s">
        <v>14</v>
      </c>
      <c r="U234" s="186"/>
      <c r="V234" s="186"/>
    </row>
    <row r="235" spans="1:31" s="184" customFormat="1" ht="15" customHeight="1" x14ac:dyDescent="0.25">
      <c r="A235" s="179"/>
      <c r="B235" s="185" t="s">
        <v>0</v>
      </c>
      <c r="D235" s="184" t="s">
        <v>49</v>
      </c>
      <c r="E235" s="728">
        <f>IFERROR(VLOOKUP(E234,'Rekap Gaji'!$B$12:$P$24,4,FALSE),"-")</f>
        <v>45942</v>
      </c>
      <c r="F235" s="728"/>
      <c r="G235" s="728"/>
      <c r="H235" s="728"/>
      <c r="I235" s="727" t="s">
        <v>76</v>
      </c>
      <c r="J235" s="727"/>
      <c r="K235" s="728">
        <f>IFERROR(VLOOKUP(E234,'Rekap Gaji'!$B$12:$P$24,6,FALSE),"-")</f>
        <v>45948</v>
      </c>
      <c r="L235" s="728"/>
      <c r="M235" s="728"/>
      <c r="N235" s="728"/>
      <c r="Q235" s="180"/>
      <c r="R235" s="140" t="s">
        <v>15</v>
      </c>
      <c r="S235" s="185" t="s">
        <v>16</v>
      </c>
      <c r="U235" s="186"/>
      <c r="V235" s="186"/>
    </row>
    <row r="236" spans="1:31" s="188" customFormat="1" ht="8.1" customHeight="1" thickBot="1" x14ac:dyDescent="0.3">
      <c r="A236" s="192"/>
      <c r="B236" s="193"/>
      <c r="F236" s="189"/>
      <c r="G236" s="194"/>
      <c r="H236" s="195"/>
      <c r="I236" s="194"/>
      <c r="J236" s="189"/>
      <c r="K236" s="189"/>
      <c r="L236" s="189"/>
      <c r="Q236" s="193"/>
      <c r="R236" s="189"/>
      <c r="S236" s="196"/>
      <c r="U236" s="197"/>
      <c r="V236" s="197"/>
    </row>
    <row r="237" spans="1:31" s="199" customFormat="1" ht="15" customHeight="1" x14ac:dyDescent="0.25">
      <c r="A237" s="198"/>
      <c r="B237" s="755" t="s">
        <v>17</v>
      </c>
      <c r="C237" s="749" t="s">
        <v>18</v>
      </c>
      <c r="D237" s="758"/>
      <c r="E237" s="153" t="s">
        <v>19</v>
      </c>
      <c r="F237" s="763" t="s">
        <v>20</v>
      </c>
      <c r="G237" s="764"/>
      <c r="H237" s="764"/>
      <c r="I237" s="764"/>
      <c r="J237" s="764"/>
      <c r="K237" s="764"/>
      <c r="L237" s="764"/>
      <c r="M237" s="152" t="s">
        <v>2</v>
      </c>
      <c r="N237" s="749" t="s">
        <v>21</v>
      </c>
      <c r="O237" s="758"/>
      <c r="P237" s="749" t="s">
        <v>22</v>
      </c>
      <c r="Q237" s="758"/>
      <c r="R237" s="749" t="s">
        <v>23</v>
      </c>
      <c r="S237" s="750"/>
      <c r="U237" s="200"/>
      <c r="V237" s="200"/>
    </row>
    <row r="238" spans="1:31" s="199" customFormat="1" ht="28.9" customHeight="1" x14ac:dyDescent="0.25">
      <c r="A238" s="198"/>
      <c r="B238" s="756"/>
      <c r="C238" s="751"/>
      <c r="D238" s="759"/>
      <c r="E238" s="155" t="s">
        <v>24</v>
      </c>
      <c r="F238" s="761" t="s">
        <v>25</v>
      </c>
      <c r="G238" s="761" t="s">
        <v>26</v>
      </c>
      <c r="H238" s="761" t="s">
        <v>26</v>
      </c>
      <c r="I238" s="761" t="s">
        <v>27</v>
      </c>
      <c r="J238" s="761" t="s">
        <v>28</v>
      </c>
      <c r="K238" s="761" t="s">
        <v>29</v>
      </c>
      <c r="L238" s="761" t="s">
        <v>26</v>
      </c>
      <c r="M238" s="154" t="s">
        <v>30</v>
      </c>
      <c r="N238" s="751" t="s">
        <v>455</v>
      </c>
      <c r="O238" s="759"/>
      <c r="P238" s="751" t="s">
        <v>31</v>
      </c>
      <c r="Q238" s="759"/>
      <c r="R238" s="751"/>
      <c r="S238" s="752"/>
      <c r="U238" s="200"/>
      <c r="V238" s="200"/>
    </row>
    <row r="239" spans="1:31" s="199" customFormat="1" ht="15" customHeight="1" thickBot="1" x14ac:dyDescent="0.3">
      <c r="A239" s="198"/>
      <c r="B239" s="757"/>
      <c r="C239" s="753"/>
      <c r="D239" s="760"/>
      <c r="E239" s="157" t="s">
        <v>32</v>
      </c>
      <c r="F239" s="762"/>
      <c r="G239" s="762"/>
      <c r="H239" s="762"/>
      <c r="I239" s="762"/>
      <c r="J239" s="762"/>
      <c r="K239" s="762"/>
      <c r="L239" s="762"/>
      <c r="M239" s="156" t="s">
        <v>31</v>
      </c>
      <c r="N239" s="753" t="s">
        <v>33</v>
      </c>
      <c r="O239" s="760"/>
      <c r="P239" s="753" t="s">
        <v>34</v>
      </c>
      <c r="Q239" s="760"/>
      <c r="R239" s="753"/>
      <c r="S239" s="754"/>
      <c r="U239" s="200"/>
      <c r="V239" s="200"/>
    </row>
    <row r="240" spans="1:31" ht="24.95" customHeight="1" x14ac:dyDescent="0.25">
      <c r="B240" s="201">
        <v>1</v>
      </c>
      <c r="C240" s="202" t="str">
        <f t="shared" ref="C240:C250" si="81">C202</f>
        <v>KHUSNUL</v>
      </c>
      <c r="D240" s="203"/>
      <c r="E240" s="204" t="str">
        <f t="shared" ref="E240:E250" si="82">E202</f>
        <v>A</v>
      </c>
      <c r="F240" s="205" t="s">
        <v>36</v>
      </c>
      <c r="G240" s="205" t="s">
        <v>37</v>
      </c>
      <c r="H240" s="205" t="s">
        <v>37</v>
      </c>
      <c r="I240" s="205" t="s">
        <v>37</v>
      </c>
      <c r="J240" s="205" t="s">
        <v>37</v>
      </c>
      <c r="K240" s="205" t="s">
        <v>37</v>
      </c>
      <c r="L240" s="205" t="s">
        <v>37</v>
      </c>
      <c r="M240" s="206">
        <f>SUM(Y240:AE240)</f>
        <v>6</v>
      </c>
      <c r="N240" s="207" t="str">
        <f>IF(O240&gt;0,"Rp",IF(O240=0," "))</f>
        <v>Rp</v>
      </c>
      <c r="O240" s="208">
        <f t="shared" ref="O240:O249" si="83">O202</f>
        <v>130000</v>
      </c>
      <c r="P240" s="207" t="str">
        <f>IF(Q240&gt;0,"Rp",IF(Q240=0," "))</f>
        <v>Rp</v>
      </c>
      <c r="Q240" s="208">
        <f t="shared" ref="Q240:Q249" si="84">O240*M240</f>
        <v>780000</v>
      </c>
      <c r="R240" s="209">
        <v>1</v>
      </c>
      <c r="S240" s="210"/>
      <c r="U240" s="211"/>
      <c r="V240" s="211"/>
      <c r="Y240" s="211">
        <f t="shared" ref="Y240:Y250" si="85">IFERROR(IF(F240="V",1,IF(F240="X",0))," ")</f>
        <v>0</v>
      </c>
      <c r="Z240" s="211">
        <f t="shared" ref="Z240:Z250" si="86">IFERROR(IF(G240="V",1,IF(G240="X",0))," ")</f>
        <v>1</v>
      </c>
      <c r="AA240" s="211">
        <f t="shared" ref="AA240:AA250" si="87">IFERROR(IF(H240="V",1,IF(H240="X",0))," ")</f>
        <v>1</v>
      </c>
      <c r="AB240" s="211">
        <f t="shared" ref="AB240:AB250" si="88">IFERROR(IF(I240="V",1,IF(I240="X",0))," ")</f>
        <v>1</v>
      </c>
      <c r="AC240" s="211">
        <f t="shared" ref="AC240:AC250" si="89">IFERROR(IF(J240="V",1,IF(J240="X",0))," ")</f>
        <v>1</v>
      </c>
      <c r="AD240" s="211">
        <f t="shared" ref="AD240:AD250" si="90">IFERROR(IF(K240="V",1,IF(K240="X",0))," ")</f>
        <v>1</v>
      </c>
      <c r="AE240" s="211">
        <f t="shared" ref="AE240:AE250" si="91">IFERROR(IF(L240="V",1,IF(L240="X",0))," ")</f>
        <v>1</v>
      </c>
    </row>
    <row r="241" spans="1:31" ht="24.95" customHeight="1" x14ac:dyDescent="0.25">
      <c r="B241" s="212">
        <v>2</v>
      </c>
      <c r="C241" s="202" t="str">
        <f t="shared" si="81"/>
        <v>PRIYO</v>
      </c>
      <c r="D241" s="213"/>
      <c r="E241" s="214" t="str">
        <f t="shared" si="82"/>
        <v>B</v>
      </c>
      <c r="F241" s="215" t="s">
        <v>36</v>
      </c>
      <c r="G241" s="215" t="s">
        <v>37</v>
      </c>
      <c r="H241" s="215" t="s">
        <v>37</v>
      </c>
      <c r="I241" s="215" t="s">
        <v>37</v>
      </c>
      <c r="J241" s="215" t="s">
        <v>37</v>
      </c>
      <c r="K241" s="215" t="s">
        <v>37</v>
      </c>
      <c r="L241" s="215" t="s">
        <v>37</v>
      </c>
      <c r="M241" s="216">
        <f t="shared" ref="M241:M249" si="92">SUM(Y241:AE241)</f>
        <v>6</v>
      </c>
      <c r="N241" s="217" t="str">
        <f t="shared" ref="N241:N249" si="93">IF(O241&gt;0,"Rp",IF(O241=0," "))</f>
        <v>Rp</v>
      </c>
      <c r="O241" s="218">
        <f t="shared" si="83"/>
        <v>125000</v>
      </c>
      <c r="P241" s="217" t="str">
        <f t="shared" ref="P241:P249" si="94">IF(Q241&gt;0,"Rp",IF(Q241=0," "))</f>
        <v>Rp</v>
      </c>
      <c r="Q241" s="219">
        <f t="shared" si="84"/>
        <v>750000</v>
      </c>
      <c r="R241" s="220"/>
      <c r="S241" s="221">
        <v>2</v>
      </c>
      <c r="U241" s="211"/>
      <c r="V241" s="211"/>
      <c r="Y241" s="211">
        <f t="shared" si="85"/>
        <v>0</v>
      </c>
      <c r="Z241" s="211">
        <f t="shared" si="86"/>
        <v>1</v>
      </c>
      <c r="AA241" s="211">
        <f t="shared" si="87"/>
        <v>1</v>
      </c>
      <c r="AB241" s="211">
        <f t="shared" si="88"/>
        <v>1</v>
      </c>
      <c r="AC241" s="211">
        <f t="shared" si="89"/>
        <v>1</v>
      </c>
      <c r="AD241" s="211">
        <f t="shared" si="90"/>
        <v>1</v>
      </c>
      <c r="AE241" s="211">
        <f t="shared" si="91"/>
        <v>1</v>
      </c>
    </row>
    <row r="242" spans="1:31" ht="24.95" customHeight="1" x14ac:dyDescent="0.25">
      <c r="B242" s="212">
        <v>3</v>
      </c>
      <c r="C242" s="202" t="str">
        <f t="shared" si="81"/>
        <v>NANANG</v>
      </c>
      <c r="D242" s="213"/>
      <c r="E242" s="214" t="str">
        <f t="shared" si="82"/>
        <v>B</v>
      </c>
      <c r="F242" s="215" t="s">
        <v>36</v>
      </c>
      <c r="G242" s="215" t="s">
        <v>37</v>
      </c>
      <c r="H242" s="215" t="s">
        <v>37</v>
      </c>
      <c r="I242" s="215" t="s">
        <v>37</v>
      </c>
      <c r="J242" s="215" t="s">
        <v>37</v>
      </c>
      <c r="K242" s="215" t="s">
        <v>37</v>
      </c>
      <c r="L242" s="215" t="s">
        <v>37</v>
      </c>
      <c r="M242" s="216">
        <f t="shared" si="92"/>
        <v>6</v>
      </c>
      <c r="N242" s="217" t="str">
        <f t="shared" si="93"/>
        <v>Rp</v>
      </c>
      <c r="O242" s="218">
        <f t="shared" si="83"/>
        <v>125000</v>
      </c>
      <c r="P242" s="217" t="str">
        <f t="shared" si="94"/>
        <v>Rp</v>
      </c>
      <c r="Q242" s="219">
        <f t="shared" si="84"/>
        <v>750000</v>
      </c>
      <c r="R242" s="222">
        <v>3</v>
      </c>
      <c r="S242" s="221"/>
      <c r="U242" s="211"/>
      <c r="V242" s="211"/>
      <c r="Y242" s="211">
        <f t="shared" si="85"/>
        <v>0</v>
      </c>
      <c r="Z242" s="211">
        <f t="shared" si="86"/>
        <v>1</v>
      </c>
      <c r="AA242" s="211">
        <f t="shared" si="87"/>
        <v>1</v>
      </c>
      <c r="AB242" s="211">
        <f t="shared" si="88"/>
        <v>1</v>
      </c>
      <c r="AC242" s="211">
        <f t="shared" si="89"/>
        <v>1</v>
      </c>
      <c r="AD242" s="211">
        <f t="shared" si="90"/>
        <v>1</v>
      </c>
      <c r="AE242" s="211">
        <f t="shared" si="91"/>
        <v>1</v>
      </c>
    </row>
    <row r="243" spans="1:31" ht="24.95" customHeight="1" x14ac:dyDescent="0.25">
      <c r="B243" s="212">
        <v>4</v>
      </c>
      <c r="C243" s="202" t="str">
        <f t="shared" si="81"/>
        <v>KOIREN</v>
      </c>
      <c r="D243" s="213"/>
      <c r="E243" s="214" t="str">
        <f t="shared" si="82"/>
        <v>B</v>
      </c>
      <c r="F243" s="215" t="s">
        <v>36</v>
      </c>
      <c r="G243" s="215" t="s">
        <v>37</v>
      </c>
      <c r="H243" s="215" t="s">
        <v>37</v>
      </c>
      <c r="I243" s="215" t="s">
        <v>37</v>
      </c>
      <c r="J243" s="215" t="s">
        <v>37</v>
      </c>
      <c r="K243" s="215" t="s">
        <v>37</v>
      </c>
      <c r="L243" s="215" t="s">
        <v>37</v>
      </c>
      <c r="M243" s="216">
        <f t="shared" si="92"/>
        <v>6</v>
      </c>
      <c r="N243" s="217" t="str">
        <f t="shared" si="93"/>
        <v>Rp</v>
      </c>
      <c r="O243" s="218">
        <f t="shared" si="83"/>
        <v>125000</v>
      </c>
      <c r="P243" s="217" t="str">
        <f t="shared" si="94"/>
        <v>Rp</v>
      </c>
      <c r="Q243" s="219">
        <f t="shared" si="84"/>
        <v>750000</v>
      </c>
      <c r="R243" s="222"/>
      <c r="S243" s="223">
        <v>4</v>
      </c>
      <c r="U243" s="211"/>
      <c r="V243" s="211"/>
      <c r="Y243" s="211">
        <f t="shared" si="85"/>
        <v>0</v>
      </c>
      <c r="Z243" s="211">
        <f t="shared" si="86"/>
        <v>1</v>
      </c>
      <c r="AA243" s="211">
        <f t="shared" si="87"/>
        <v>1</v>
      </c>
      <c r="AB243" s="211">
        <f t="shared" si="88"/>
        <v>1</v>
      </c>
      <c r="AC243" s="211">
        <f t="shared" si="89"/>
        <v>1</v>
      </c>
      <c r="AD243" s="211">
        <f t="shared" si="90"/>
        <v>1</v>
      </c>
      <c r="AE243" s="211">
        <f t="shared" si="91"/>
        <v>1</v>
      </c>
    </row>
    <row r="244" spans="1:31" ht="24.95" customHeight="1" x14ac:dyDescent="0.25">
      <c r="B244" s="212">
        <v>5</v>
      </c>
      <c r="C244" s="202" t="str">
        <f t="shared" si="81"/>
        <v>MAT</v>
      </c>
      <c r="D244" s="213"/>
      <c r="E244" s="214" t="str">
        <f t="shared" si="82"/>
        <v>C</v>
      </c>
      <c r="F244" s="215" t="s">
        <v>36</v>
      </c>
      <c r="G244" s="215" t="s">
        <v>37</v>
      </c>
      <c r="H244" s="215" t="s">
        <v>37</v>
      </c>
      <c r="I244" s="215" t="s">
        <v>37</v>
      </c>
      <c r="J244" s="215" t="s">
        <v>37</v>
      </c>
      <c r="K244" s="215" t="s">
        <v>37</v>
      </c>
      <c r="L244" s="215" t="s">
        <v>37</v>
      </c>
      <c r="M244" s="216">
        <f t="shared" si="92"/>
        <v>6</v>
      </c>
      <c r="N244" s="217" t="str">
        <f t="shared" si="93"/>
        <v>Rp</v>
      </c>
      <c r="O244" s="218">
        <f t="shared" si="83"/>
        <v>100000</v>
      </c>
      <c r="P244" s="217" t="str">
        <f t="shared" si="94"/>
        <v>Rp</v>
      </c>
      <c r="Q244" s="219">
        <f t="shared" si="84"/>
        <v>600000</v>
      </c>
      <c r="R244" s="222">
        <v>5</v>
      </c>
      <c r="S244" s="221"/>
      <c r="U244" s="211"/>
      <c r="V244" s="211"/>
      <c r="Y244" s="211">
        <f t="shared" si="85"/>
        <v>0</v>
      </c>
      <c r="Z244" s="211">
        <f t="shared" si="86"/>
        <v>1</v>
      </c>
      <c r="AA244" s="211">
        <f t="shared" si="87"/>
        <v>1</v>
      </c>
      <c r="AB244" s="211">
        <f t="shared" si="88"/>
        <v>1</v>
      </c>
      <c r="AC244" s="211">
        <f t="shared" si="89"/>
        <v>1</v>
      </c>
      <c r="AD244" s="211">
        <f t="shared" si="90"/>
        <v>1</v>
      </c>
      <c r="AE244" s="211">
        <f t="shared" si="91"/>
        <v>1</v>
      </c>
    </row>
    <row r="245" spans="1:31" ht="24.95" customHeight="1" x14ac:dyDescent="0.25">
      <c r="B245" s="212">
        <v>6</v>
      </c>
      <c r="C245" s="202" t="str">
        <f t="shared" si="81"/>
        <v>JUNED</v>
      </c>
      <c r="D245" s="213"/>
      <c r="E245" s="214" t="str">
        <f t="shared" si="82"/>
        <v>C</v>
      </c>
      <c r="F245" s="215" t="s">
        <v>36</v>
      </c>
      <c r="G245" s="215" t="s">
        <v>37</v>
      </c>
      <c r="H245" s="215" t="s">
        <v>37</v>
      </c>
      <c r="I245" s="215" t="s">
        <v>37</v>
      </c>
      <c r="J245" s="215" t="s">
        <v>36</v>
      </c>
      <c r="K245" s="215" t="s">
        <v>37</v>
      </c>
      <c r="L245" s="215" t="s">
        <v>37</v>
      </c>
      <c r="M245" s="216">
        <f t="shared" si="92"/>
        <v>5</v>
      </c>
      <c r="N245" s="217" t="str">
        <f t="shared" si="93"/>
        <v>Rp</v>
      </c>
      <c r="O245" s="218">
        <f t="shared" si="83"/>
        <v>100000</v>
      </c>
      <c r="P245" s="217" t="str">
        <f t="shared" si="94"/>
        <v>Rp</v>
      </c>
      <c r="Q245" s="219">
        <f t="shared" si="84"/>
        <v>500000</v>
      </c>
      <c r="R245" s="222"/>
      <c r="S245" s="223">
        <v>6</v>
      </c>
      <c r="U245" s="211"/>
      <c r="V245" s="211"/>
      <c r="Y245" s="211">
        <f t="shared" si="85"/>
        <v>0</v>
      </c>
      <c r="Z245" s="211">
        <f t="shared" si="86"/>
        <v>1</v>
      </c>
      <c r="AA245" s="211">
        <f t="shared" si="87"/>
        <v>1</v>
      </c>
      <c r="AB245" s="211">
        <f t="shared" si="88"/>
        <v>1</v>
      </c>
      <c r="AC245" s="211">
        <f t="shared" si="89"/>
        <v>0</v>
      </c>
      <c r="AD245" s="211">
        <f t="shared" si="90"/>
        <v>1</v>
      </c>
      <c r="AE245" s="211">
        <f t="shared" si="91"/>
        <v>1</v>
      </c>
    </row>
    <row r="246" spans="1:31" ht="24.95" customHeight="1" x14ac:dyDescent="0.25">
      <c r="B246" s="212">
        <v>7</v>
      </c>
      <c r="C246" s="202" t="str">
        <f t="shared" si="81"/>
        <v>LASITO</v>
      </c>
      <c r="D246" s="213"/>
      <c r="E246" s="214" t="str">
        <f t="shared" si="82"/>
        <v>C</v>
      </c>
      <c r="F246" s="215" t="s">
        <v>36</v>
      </c>
      <c r="G246" s="215" t="s">
        <v>37</v>
      </c>
      <c r="H246" s="215" t="s">
        <v>37</v>
      </c>
      <c r="I246" s="215" t="s">
        <v>37</v>
      </c>
      <c r="J246" s="215" t="s">
        <v>37</v>
      </c>
      <c r="K246" s="215" t="s">
        <v>37</v>
      </c>
      <c r="L246" s="215" t="s">
        <v>37</v>
      </c>
      <c r="M246" s="216">
        <f t="shared" si="92"/>
        <v>6</v>
      </c>
      <c r="N246" s="217" t="str">
        <f t="shared" si="93"/>
        <v>Rp</v>
      </c>
      <c r="O246" s="218">
        <f t="shared" si="83"/>
        <v>100000</v>
      </c>
      <c r="P246" s="217" t="str">
        <f t="shared" si="94"/>
        <v>Rp</v>
      </c>
      <c r="Q246" s="219">
        <f t="shared" si="84"/>
        <v>600000</v>
      </c>
      <c r="R246" s="222">
        <v>7</v>
      </c>
      <c r="S246" s="221"/>
      <c r="U246" s="211"/>
      <c r="V246" s="211"/>
      <c r="Y246" s="211">
        <f t="shared" si="85"/>
        <v>0</v>
      </c>
      <c r="Z246" s="211">
        <f t="shared" si="86"/>
        <v>1</v>
      </c>
      <c r="AA246" s="211">
        <f t="shared" si="87"/>
        <v>1</v>
      </c>
      <c r="AB246" s="211">
        <f t="shared" si="88"/>
        <v>1</v>
      </c>
      <c r="AC246" s="211">
        <f t="shared" si="89"/>
        <v>1</v>
      </c>
      <c r="AD246" s="211">
        <f t="shared" si="90"/>
        <v>1</v>
      </c>
      <c r="AE246" s="211">
        <f t="shared" si="91"/>
        <v>1</v>
      </c>
    </row>
    <row r="247" spans="1:31" ht="24.95" customHeight="1" x14ac:dyDescent="0.25">
      <c r="B247" s="212">
        <v>8</v>
      </c>
      <c r="C247" s="202" t="str">
        <f t="shared" si="81"/>
        <v>BONANG</v>
      </c>
      <c r="D247" s="213"/>
      <c r="E247" s="214" t="str">
        <f t="shared" si="82"/>
        <v>C</v>
      </c>
      <c r="F247" s="215" t="s">
        <v>36</v>
      </c>
      <c r="G247" s="215" t="s">
        <v>37</v>
      </c>
      <c r="H247" s="215" t="s">
        <v>37</v>
      </c>
      <c r="I247" s="215" t="s">
        <v>37</v>
      </c>
      <c r="J247" s="215" t="s">
        <v>37</v>
      </c>
      <c r="K247" s="215" t="s">
        <v>37</v>
      </c>
      <c r="L247" s="215" t="s">
        <v>37</v>
      </c>
      <c r="M247" s="216">
        <f t="shared" si="92"/>
        <v>6</v>
      </c>
      <c r="N247" s="217" t="str">
        <f t="shared" si="93"/>
        <v>Rp</v>
      </c>
      <c r="O247" s="218">
        <f t="shared" si="83"/>
        <v>100000</v>
      </c>
      <c r="P247" s="217" t="str">
        <f t="shared" si="94"/>
        <v>Rp</v>
      </c>
      <c r="Q247" s="219">
        <f t="shared" si="84"/>
        <v>600000</v>
      </c>
      <c r="R247" s="222"/>
      <c r="S247" s="223">
        <v>8</v>
      </c>
      <c r="U247" s="211"/>
      <c r="V247" s="211"/>
      <c r="Y247" s="211">
        <f t="shared" si="85"/>
        <v>0</v>
      </c>
      <c r="Z247" s="211">
        <f t="shared" si="86"/>
        <v>1</v>
      </c>
      <c r="AA247" s="211">
        <f t="shared" si="87"/>
        <v>1</v>
      </c>
      <c r="AB247" s="211">
        <f t="shared" si="88"/>
        <v>1</v>
      </c>
      <c r="AC247" s="211">
        <f t="shared" si="89"/>
        <v>1</v>
      </c>
      <c r="AD247" s="211">
        <f t="shared" si="90"/>
        <v>1</v>
      </c>
      <c r="AE247" s="211">
        <f t="shared" si="91"/>
        <v>1</v>
      </c>
    </row>
    <row r="248" spans="1:31" ht="24.95" customHeight="1" x14ac:dyDescent="0.25">
      <c r="B248" s="212">
        <v>9</v>
      </c>
      <c r="C248" s="202">
        <f t="shared" si="81"/>
        <v>0</v>
      </c>
      <c r="D248" s="213"/>
      <c r="E248" s="214">
        <f t="shared" si="82"/>
        <v>0</v>
      </c>
      <c r="F248" s="215"/>
      <c r="G248" s="215"/>
      <c r="H248" s="215"/>
      <c r="I248" s="215"/>
      <c r="J248" s="215"/>
      <c r="K248" s="215"/>
      <c r="L248" s="215"/>
      <c r="M248" s="216">
        <f t="shared" si="92"/>
        <v>0</v>
      </c>
      <c r="N248" s="217" t="str">
        <f t="shared" si="93"/>
        <v xml:space="preserve"> </v>
      </c>
      <c r="O248" s="218">
        <f t="shared" si="83"/>
        <v>0</v>
      </c>
      <c r="P248" s="217" t="str">
        <f t="shared" si="94"/>
        <v xml:space="preserve"> </v>
      </c>
      <c r="Q248" s="219">
        <f t="shared" si="84"/>
        <v>0</v>
      </c>
      <c r="R248" s="222">
        <v>9</v>
      </c>
      <c r="S248" s="221"/>
      <c r="U248" s="211"/>
      <c r="V248" s="211"/>
      <c r="Y248" s="211" t="b">
        <f t="shared" si="85"/>
        <v>0</v>
      </c>
      <c r="Z248" s="211" t="b">
        <f t="shared" si="86"/>
        <v>0</v>
      </c>
      <c r="AA248" s="211" t="b">
        <f t="shared" si="87"/>
        <v>0</v>
      </c>
      <c r="AB248" s="211" t="b">
        <f t="shared" si="88"/>
        <v>0</v>
      </c>
      <c r="AC248" s="211" t="b">
        <f t="shared" si="89"/>
        <v>0</v>
      </c>
      <c r="AD248" s="211" t="b">
        <f t="shared" si="90"/>
        <v>0</v>
      </c>
      <c r="AE248" s="211" t="b">
        <f t="shared" si="91"/>
        <v>0</v>
      </c>
    </row>
    <row r="249" spans="1:31" ht="24.95" customHeight="1" x14ac:dyDescent="0.25">
      <c r="B249" s="212">
        <v>10</v>
      </c>
      <c r="C249" s="202">
        <f t="shared" si="81"/>
        <v>0</v>
      </c>
      <c r="D249" s="213"/>
      <c r="E249" s="214">
        <f t="shared" si="82"/>
        <v>0</v>
      </c>
      <c r="F249" s="215"/>
      <c r="G249" s="215"/>
      <c r="H249" s="215"/>
      <c r="I249" s="215"/>
      <c r="J249" s="215"/>
      <c r="K249" s="215"/>
      <c r="L249" s="215"/>
      <c r="M249" s="216">
        <f t="shared" si="92"/>
        <v>0</v>
      </c>
      <c r="N249" s="217" t="str">
        <f t="shared" si="93"/>
        <v xml:space="preserve"> </v>
      </c>
      <c r="O249" s="218">
        <f t="shared" si="83"/>
        <v>0</v>
      </c>
      <c r="P249" s="217" t="str">
        <f t="shared" si="94"/>
        <v xml:space="preserve"> </v>
      </c>
      <c r="Q249" s="219">
        <f t="shared" si="84"/>
        <v>0</v>
      </c>
      <c r="R249" s="222"/>
      <c r="S249" s="223">
        <v>10</v>
      </c>
      <c r="U249" s="211"/>
      <c r="V249" s="211"/>
      <c r="Y249" s="211" t="b">
        <f t="shared" si="85"/>
        <v>0</v>
      </c>
      <c r="Z249" s="211" t="b">
        <f t="shared" si="86"/>
        <v>0</v>
      </c>
      <c r="AA249" s="211" t="b">
        <f t="shared" si="87"/>
        <v>0</v>
      </c>
      <c r="AB249" s="211" t="b">
        <f t="shared" si="88"/>
        <v>0</v>
      </c>
      <c r="AC249" s="211" t="b">
        <f t="shared" si="89"/>
        <v>0</v>
      </c>
      <c r="AD249" s="211" t="b">
        <f t="shared" si="90"/>
        <v>0</v>
      </c>
      <c r="AE249" s="211" t="b">
        <f t="shared" si="91"/>
        <v>0</v>
      </c>
    </row>
    <row r="250" spans="1:31" ht="24.95" customHeight="1" x14ac:dyDescent="0.25">
      <c r="B250" s="212">
        <v>11</v>
      </c>
      <c r="C250" s="202">
        <f t="shared" si="81"/>
        <v>0</v>
      </c>
      <c r="D250" s="213"/>
      <c r="E250" s="214">
        <f t="shared" si="82"/>
        <v>0</v>
      </c>
      <c r="F250" s="215"/>
      <c r="G250" s="215"/>
      <c r="H250" s="215"/>
      <c r="I250" s="215"/>
      <c r="J250" s="215"/>
      <c r="K250" s="215"/>
      <c r="L250" s="215"/>
      <c r="M250" s="216">
        <f>SUM(Y250:AE250)</f>
        <v>0</v>
      </c>
      <c r="N250" s="217"/>
      <c r="O250" s="218"/>
      <c r="P250" s="217"/>
      <c r="Q250" s="219"/>
      <c r="R250" s="222">
        <v>11</v>
      </c>
      <c r="S250" s="221"/>
      <c r="U250" s="211"/>
      <c r="V250" s="211"/>
      <c r="Y250" s="211" t="b">
        <f t="shared" si="85"/>
        <v>0</v>
      </c>
      <c r="Z250" s="211" t="b">
        <f t="shared" si="86"/>
        <v>0</v>
      </c>
      <c r="AA250" s="211" t="b">
        <f t="shared" si="87"/>
        <v>0</v>
      </c>
      <c r="AB250" s="211" t="b">
        <f t="shared" si="88"/>
        <v>0</v>
      </c>
      <c r="AC250" s="211" t="b">
        <f t="shared" si="89"/>
        <v>0</v>
      </c>
      <c r="AD250" s="211" t="b">
        <f t="shared" si="90"/>
        <v>0</v>
      </c>
      <c r="AE250" s="211" t="b">
        <f t="shared" si="91"/>
        <v>0</v>
      </c>
    </row>
    <row r="251" spans="1:31" ht="24.95" customHeight="1" thickBot="1" x14ac:dyDescent="0.25">
      <c r="B251" s="233"/>
      <c r="C251" s="257"/>
      <c r="D251" s="235"/>
      <c r="E251" s="236"/>
      <c r="F251" s="237"/>
      <c r="G251" s="238"/>
      <c r="H251" s="239"/>
      <c r="I251" s="239"/>
      <c r="J251" s="240"/>
      <c r="K251" s="240"/>
      <c r="L251" s="240"/>
      <c r="M251" s="259"/>
      <c r="N251" s="242"/>
      <c r="O251" s="258"/>
      <c r="P251" s="244"/>
      <c r="Q251" s="236"/>
      <c r="R251" s="246"/>
      <c r="S251" s="247"/>
      <c r="U251" s="211"/>
      <c r="V251" s="211"/>
    </row>
    <row r="252" spans="1:31" ht="20.100000000000001" customHeight="1" thickTop="1" thickBot="1" x14ac:dyDescent="0.3">
      <c r="A252" s="179">
        <f>A214+1</f>
        <v>7</v>
      </c>
      <c r="B252" s="248"/>
      <c r="C252" s="249"/>
      <c r="D252" s="249"/>
      <c r="E252" s="249"/>
      <c r="F252" s="249"/>
      <c r="G252" s="249"/>
      <c r="H252" s="249"/>
      <c r="I252" s="249"/>
      <c r="J252" s="249"/>
      <c r="K252" s="249"/>
      <c r="L252" s="249"/>
      <c r="M252" s="249"/>
      <c r="N252" s="249"/>
      <c r="O252" s="250" t="s">
        <v>40</v>
      </c>
      <c r="P252" s="249"/>
      <c r="Q252" s="710">
        <f>SUM(Q240:Q251)</f>
        <v>5330000</v>
      </c>
      <c r="R252" s="711"/>
      <c r="S252" s="712"/>
      <c r="U252" s="226" t="str">
        <f>VLOOKUP(A252,'Rekap Gaji'!$B$12:$P$24,10,FALSE)</f>
        <v xml:space="preserve"> 18 Oktober 2025</v>
      </c>
      <c r="V252" s="251" t="e">
        <f>U252-Q252</f>
        <v>#VALUE!</v>
      </c>
    </row>
    <row r="253" spans="1:31" ht="11.25" customHeight="1" x14ac:dyDescent="0.25"/>
    <row r="254" spans="1:31" ht="16.5" customHeight="1" x14ac:dyDescent="0.25">
      <c r="B254" s="195" t="s">
        <v>41</v>
      </c>
      <c r="C254" s="140" t="s">
        <v>42</v>
      </c>
    </row>
    <row r="255" spans="1:31" ht="14.25" x14ac:dyDescent="0.25">
      <c r="G255" s="183"/>
      <c r="H255" s="182"/>
      <c r="M255" s="141"/>
      <c r="N255" s="141"/>
      <c r="Q255" s="140" t="str">
        <f>'BKU 1'!$I$25</f>
        <v>NGANTANG</v>
      </c>
      <c r="R255" s="713">
        <f>IFERROR(VLOOKUP(E234,'Rekap Gaji'!$B$12:$P$24,7,FALSE),"-")</f>
        <v>45948</v>
      </c>
      <c r="S255" s="713"/>
      <c r="T255" s="252"/>
      <c r="U255" s="252"/>
    </row>
    <row r="256" spans="1:31" ht="15.75" x14ac:dyDescent="0.25">
      <c r="C256" s="140" t="s">
        <v>43</v>
      </c>
      <c r="F256" s="253"/>
      <c r="G256" s="254"/>
      <c r="H256" s="255"/>
      <c r="I256" s="256"/>
      <c r="J256" s="225" t="s">
        <v>44</v>
      </c>
      <c r="K256" s="253"/>
      <c r="M256" s="141"/>
      <c r="N256" s="141"/>
      <c r="Q256" s="140" t="str">
        <f>'BKU 1'!$L$354</f>
        <v>Dibuat Oleh ;</v>
      </c>
      <c r="R256" s="141"/>
    </row>
    <row r="257" spans="1:22" ht="14.25" x14ac:dyDescent="0.25">
      <c r="C257" s="140" t="str">
        <f>'BKU 1'!$C$355</f>
        <v>Kepala Sekolah SDN 1 SIDODADI</v>
      </c>
      <c r="F257" s="187"/>
      <c r="G257" s="224"/>
      <c r="H257" s="182"/>
      <c r="I257" s="183"/>
      <c r="J257" s="140" t="s">
        <v>45</v>
      </c>
      <c r="K257" s="187"/>
      <c r="Q257" s="140" t="str">
        <f>'BKU 1'!$L$355</f>
        <v>Bendahara Pembangunan</v>
      </c>
      <c r="R257" s="141"/>
    </row>
    <row r="258" spans="1:22" ht="14.25" x14ac:dyDescent="0.25">
      <c r="F258" s="187"/>
      <c r="G258" s="224"/>
      <c r="H258" s="182"/>
      <c r="I258" s="183"/>
      <c r="K258" s="187"/>
      <c r="Q258" s="140"/>
      <c r="R258" s="141"/>
    </row>
    <row r="259" spans="1:22" ht="14.25" x14ac:dyDescent="0.25">
      <c r="F259" s="187"/>
      <c r="G259" s="224"/>
      <c r="H259" s="182"/>
      <c r="I259" s="183"/>
      <c r="K259" s="187"/>
      <c r="Q259" s="140"/>
      <c r="R259" s="141"/>
    </row>
    <row r="260" spans="1:22" ht="14.25" x14ac:dyDescent="0.25">
      <c r="F260" s="187"/>
      <c r="G260" s="224"/>
      <c r="H260" s="182"/>
      <c r="I260" s="183"/>
      <c r="K260" s="187"/>
      <c r="Q260" s="140"/>
      <c r="R260" s="141"/>
    </row>
    <row r="261" spans="1:22" ht="14.25" x14ac:dyDescent="0.25">
      <c r="F261" s="187"/>
      <c r="G261" s="224"/>
      <c r="H261" s="182"/>
      <c r="I261" s="183"/>
      <c r="K261" s="187"/>
      <c r="Q261" s="140"/>
      <c r="R261" s="141"/>
    </row>
    <row r="262" spans="1:22" x14ac:dyDescent="0.25">
      <c r="G262" s="225"/>
      <c r="Q262" s="140"/>
    </row>
    <row r="263" spans="1:22" x14ac:dyDescent="0.25">
      <c r="G263" s="225"/>
      <c r="Q263" s="140"/>
    </row>
    <row r="264" spans="1:22" s="189" customFormat="1" ht="15" customHeight="1" x14ac:dyDescent="0.25">
      <c r="A264" s="192"/>
      <c r="B264" s="195"/>
      <c r="C264" s="227" t="str">
        <f>'BKU 1'!$C$360</f>
        <v>MELIA FITRIANI, S.Pd.SD</v>
      </c>
      <c r="D264" s="227"/>
      <c r="G264" s="228"/>
      <c r="H264" s="195"/>
      <c r="I264" s="194"/>
      <c r="J264" s="229">
        <f>'BKU 1'!$G$360</f>
        <v>0</v>
      </c>
      <c r="Q264" s="227" t="str">
        <f>'BKU 1'!$L$360</f>
        <v>ARIF NUR UDIN, S.Pd.SD</v>
      </c>
      <c r="S264" s="230"/>
      <c r="U264" s="231"/>
      <c r="V264" s="231"/>
    </row>
    <row r="265" spans="1:22" s="189" customFormat="1" ht="15" customHeight="1" x14ac:dyDescent="0.25">
      <c r="A265" s="192"/>
      <c r="B265" s="195"/>
      <c r="C265" s="140" t="str">
        <f>'BKU 1'!$C$361</f>
        <v>NIP. 19850619 200904 2 000</v>
      </c>
      <c r="D265" s="140"/>
      <c r="E265" s="140"/>
      <c r="F265" s="140"/>
      <c r="G265" s="225"/>
      <c r="H265" s="191"/>
      <c r="I265" s="190"/>
      <c r="J265" s="232">
        <f>'BKU 1'!$G$361</f>
        <v>0</v>
      </c>
      <c r="K265" s="140"/>
      <c r="M265" s="140"/>
      <c r="N265" s="140"/>
      <c r="O265" s="140"/>
      <c r="P265" s="140"/>
      <c r="Q265" s="140" t="str">
        <f>'BKU 1'!$L$361</f>
        <v>NIP. 19840719 200903 1 002</v>
      </c>
      <c r="S265" s="230"/>
      <c r="U265" s="231"/>
      <c r="V265" s="231"/>
    </row>
    <row r="266" spans="1:22" ht="6" customHeight="1" x14ac:dyDescent="0.25"/>
    <row r="267" spans="1:22" s="177" customFormat="1" ht="24.95" customHeight="1" x14ac:dyDescent="0.25">
      <c r="A267" s="176"/>
      <c r="B267" s="726" t="s">
        <v>6</v>
      </c>
      <c r="C267" s="726"/>
      <c r="D267" s="726"/>
      <c r="E267" s="726"/>
      <c r="F267" s="726"/>
      <c r="G267" s="726"/>
      <c r="H267" s="726"/>
      <c r="I267" s="726"/>
      <c r="J267" s="726"/>
      <c r="K267" s="726"/>
      <c r="L267" s="726"/>
      <c r="M267" s="726"/>
      <c r="N267" s="726"/>
      <c r="O267" s="726"/>
      <c r="P267" s="726"/>
      <c r="Q267" s="726"/>
      <c r="R267" s="726"/>
      <c r="S267" s="726"/>
      <c r="U267" s="178"/>
      <c r="V267" s="178"/>
    </row>
    <row r="268" spans="1:22" s="177" customFormat="1" ht="24.95" customHeight="1" x14ac:dyDescent="0.25">
      <c r="A268" s="176"/>
      <c r="B268" s="726" t="str">
        <f>'BKU 1'!$D$22</f>
        <v>PEMBANGUNAN TOILET BESERTA SANITASINYA</v>
      </c>
      <c r="C268" s="726"/>
      <c r="D268" s="726"/>
      <c r="E268" s="726"/>
      <c r="F268" s="726"/>
      <c r="G268" s="726"/>
      <c r="H268" s="726"/>
      <c r="I268" s="726"/>
      <c r="J268" s="726"/>
      <c r="K268" s="726"/>
      <c r="L268" s="726"/>
      <c r="M268" s="726"/>
      <c r="N268" s="726"/>
      <c r="O268" s="726"/>
      <c r="P268" s="726"/>
      <c r="Q268" s="726"/>
      <c r="R268" s="726"/>
      <c r="S268" s="726"/>
      <c r="U268" s="178"/>
      <c r="V268" s="178"/>
    </row>
    <row r="269" spans="1:22" s="184" customFormat="1" ht="30.75" customHeight="1" x14ac:dyDescent="0.25">
      <c r="A269" s="179"/>
      <c r="B269" s="180"/>
      <c r="C269" s="181"/>
      <c r="D269" s="181"/>
      <c r="E269" s="181"/>
      <c r="F269" s="182"/>
      <c r="G269" s="183"/>
      <c r="H269" s="182"/>
      <c r="I269" s="183"/>
      <c r="J269" s="182"/>
      <c r="K269" s="182"/>
      <c r="L269" s="182"/>
      <c r="M269" s="181"/>
      <c r="N269" s="181"/>
      <c r="Q269" s="180"/>
      <c r="R269" s="140"/>
      <c r="S269" s="185"/>
      <c r="U269" s="186"/>
      <c r="V269" s="186"/>
    </row>
    <row r="270" spans="1:22" s="184" customFormat="1" ht="14.25" x14ac:dyDescent="0.25">
      <c r="A270" s="179"/>
      <c r="B270" s="185" t="s">
        <v>7</v>
      </c>
      <c r="D270" s="184" t="s">
        <v>49</v>
      </c>
      <c r="E270" s="184" t="str">
        <f>'BKU 1'!$D$25</f>
        <v>SDN 1 SIDODADI</v>
      </c>
      <c r="F270" s="140"/>
      <c r="G270" s="183"/>
      <c r="H270" s="182"/>
      <c r="I270" s="183"/>
      <c r="J270" s="187"/>
      <c r="K270" s="187"/>
      <c r="L270" s="187"/>
      <c r="M270" s="188"/>
      <c r="N270" s="188"/>
      <c r="Q270" s="180"/>
      <c r="R270" s="189" t="s">
        <v>8</v>
      </c>
      <c r="S270" s="185"/>
      <c r="U270" s="186"/>
      <c r="V270" s="186"/>
    </row>
    <row r="271" spans="1:22" s="184" customFormat="1" x14ac:dyDescent="0.25">
      <c r="A271" s="179"/>
      <c r="B271" s="185" t="s">
        <v>9</v>
      </c>
      <c r="D271" s="184" t="s">
        <v>49</v>
      </c>
      <c r="E271" s="184" t="str">
        <f>'BKU 1'!$D$26</f>
        <v>Jl. Kawi No.36 Rt. 1 Rw. 1 Dusun Sekar, Rt / Rw : 1 / 1, Dusun : Sekar, Kelurahan : Sidodadi</v>
      </c>
      <c r="F271" s="140"/>
      <c r="G271" s="190"/>
      <c r="H271" s="191"/>
      <c r="I271" s="190"/>
      <c r="J271" s="140"/>
      <c r="K271" s="140"/>
      <c r="L271" s="140"/>
      <c r="Q271" s="180"/>
      <c r="R271" s="140" t="s">
        <v>10</v>
      </c>
      <c r="S271" s="185" t="s">
        <v>11</v>
      </c>
      <c r="U271" s="186"/>
      <c r="V271" s="186"/>
    </row>
    <row r="272" spans="1:22" s="184" customFormat="1" x14ac:dyDescent="0.25">
      <c r="A272" s="179"/>
      <c r="B272" s="185" t="s">
        <v>12</v>
      </c>
      <c r="D272" s="184" t="s">
        <v>49</v>
      </c>
      <c r="E272" s="180">
        <f>E234+1</f>
        <v>8</v>
      </c>
      <c r="F272" s="140"/>
      <c r="G272" s="727">
        <f>IFERROR(VLOOKUP(E272,'Rekap Gaji'!$B$12:$P$24,14,FALSE),"-")</f>
        <v>0</v>
      </c>
      <c r="H272" s="727"/>
      <c r="I272" s="727"/>
      <c r="J272" s="140"/>
      <c r="K272" s="140"/>
      <c r="L272" s="140"/>
      <c r="Q272" s="180"/>
      <c r="R272" s="140" t="s">
        <v>13</v>
      </c>
      <c r="S272" s="185" t="s">
        <v>14</v>
      </c>
      <c r="U272" s="186"/>
      <c r="V272" s="186"/>
    </row>
    <row r="273" spans="1:31" s="184" customFormat="1" ht="15" customHeight="1" x14ac:dyDescent="0.25">
      <c r="A273" s="179"/>
      <c r="B273" s="185" t="s">
        <v>0</v>
      </c>
      <c r="D273" s="184" t="s">
        <v>49</v>
      </c>
      <c r="E273" s="728">
        <f>IFERROR(VLOOKUP(E272,'Rekap Gaji'!$B$12:$P$24,4,FALSE),"-")</f>
        <v>45949</v>
      </c>
      <c r="F273" s="728"/>
      <c r="G273" s="728"/>
      <c r="H273" s="728"/>
      <c r="I273" s="727" t="s">
        <v>76</v>
      </c>
      <c r="J273" s="727"/>
      <c r="K273" s="728">
        <f>IFERROR(VLOOKUP(E272,'Rekap Gaji'!$B$12:$P$24,6,FALSE),"-")</f>
        <v>45955</v>
      </c>
      <c r="L273" s="728"/>
      <c r="M273" s="728"/>
      <c r="N273" s="728"/>
      <c r="Q273" s="180"/>
      <c r="R273" s="140" t="s">
        <v>15</v>
      </c>
      <c r="S273" s="185" t="s">
        <v>16</v>
      </c>
      <c r="U273" s="186"/>
      <c r="V273" s="186"/>
    </row>
    <row r="274" spans="1:31" s="188" customFormat="1" ht="8.1" customHeight="1" thickBot="1" x14ac:dyDescent="0.3">
      <c r="A274" s="192"/>
      <c r="B274" s="193"/>
      <c r="F274" s="189"/>
      <c r="G274" s="194"/>
      <c r="H274" s="195"/>
      <c r="I274" s="194"/>
      <c r="J274" s="189"/>
      <c r="K274" s="189"/>
      <c r="L274" s="189"/>
      <c r="Q274" s="193"/>
      <c r="R274" s="189"/>
      <c r="S274" s="196"/>
      <c r="U274" s="197"/>
      <c r="V274" s="197"/>
    </row>
    <row r="275" spans="1:31" s="199" customFormat="1" ht="15" customHeight="1" x14ac:dyDescent="0.25">
      <c r="A275" s="198"/>
      <c r="B275" s="755" t="s">
        <v>17</v>
      </c>
      <c r="C275" s="749" t="s">
        <v>18</v>
      </c>
      <c r="D275" s="758"/>
      <c r="E275" s="153" t="s">
        <v>19</v>
      </c>
      <c r="F275" s="763" t="s">
        <v>20</v>
      </c>
      <c r="G275" s="764"/>
      <c r="H275" s="764"/>
      <c r="I275" s="764"/>
      <c r="J275" s="764"/>
      <c r="K275" s="764"/>
      <c r="L275" s="764"/>
      <c r="M275" s="152" t="s">
        <v>2</v>
      </c>
      <c r="N275" s="749" t="s">
        <v>21</v>
      </c>
      <c r="O275" s="758"/>
      <c r="P275" s="749" t="s">
        <v>22</v>
      </c>
      <c r="Q275" s="758"/>
      <c r="R275" s="749" t="s">
        <v>23</v>
      </c>
      <c r="S275" s="750"/>
      <c r="U275" s="200"/>
      <c r="V275" s="200"/>
    </row>
    <row r="276" spans="1:31" s="199" customFormat="1" ht="28.9" customHeight="1" x14ac:dyDescent="0.25">
      <c r="A276" s="198"/>
      <c r="B276" s="756"/>
      <c r="C276" s="751"/>
      <c r="D276" s="759"/>
      <c r="E276" s="155" t="s">
        <v>24</v>
      </c>
      <c r="F276" s="761" t="s">
        <v>25</v>
      </c>
      <c r="G276" s="761" t="s">
        <v>26</v>
      </c>
      <c r="H276" s="761" t="s">
        <v>26</v>
      </c>
      <c r="I276" s="761" t="s">
        <v>27</v>
      </c>
      <c r="J276" s="761" t="s">
        <v>28</v>
      </c>
      <c r="K276" s="761" t="s">
        <v>29</v>
      </c>
      <c r="L276" s="761" t="s">
        <v>26</v>
      </c>
      <c r="M276" s="154" t="s">
        <v>30</v>
      </c>
      <c r="N276" s="751" t="s">
        <v>31</v>
      </c>
      <c r="O276" s="759"/>
      <c r="P276" s="751" t="s">
        <v>31</v>
      </c>
      <c r="Q276" s="759"/>
      <c r="R276" s="751"/>
      <c r="S276" s="752"/>
      <c r="U276" s="200"/>
      <c r="V276" s="200"/>
    </row>
    <row r="277" spans="1:31" s="199" customFormat="1" ht="15" customHeight="1" thickBot="1" x14ac:dyDescent="0.3">
      <c r="A277" s="198"/>
      <c r="B277" s="757"/>
      <c r="C277" s="753"/>
      <c r="D277" s="760"/>
      <c r="E277" s="157" t="s">
        <v>32</v>
      </c>
      <c r="F277" s="762"/>
      <c r="G277" s="762"/>
      <c r="H277" s="762"/>
      <c r="I277" s="762"/>
      <c r="J277" s="762"/>
      <c r="K277" s="762"/>
      <c r="L277" s="762"/>
      <c r="M277" s="156" t="s">
        <v>31</v>
      </c>
      <c r="N277" s="753" t="s">
        <v>33</v>
      </c>
      <c r="O277" s="760"/>
      <c r="P277" s="753" t="s">
        <v>34</v>
      </c>
      <c r="Q277" s="760"/>
      <c r="R277" s="753"/>
      <c r="S277" s="754"/>
      <c r="U277" s="200"/>
      <c r="V277" s="200"/>
    </row>
    <row r="278" spans="1:31" ht="24.95" customHeight="1" x14ac:dyDescent="0.25">
      <c r="B278" s="201">
        <v>1</v>
      </c>
      <c r="C278" s="202" t="str">
        <f t="shared" ref="C278:C288" si="95">C240</f>
        <v>KHUSNUL</v>
      </c>
      <c r="D278" s="203"/>
      <c r="E278" s="204" t="str">
        <f t="shared" ref="E278:E288" si="96">E240</f>
        <v>A</v>
      </c>
      <c r="F278" s="205" t="s">
        <v>36</v>
      </c>
      <c r="G278" s="205" t="s">
        <v>37</v>
      </c>
      <c r="H278" s="205" t="s">
        <v>37</v>
      </c>
      <c r="I278" s="205" t="s">
        <v>37</v>
      </c>
      <c r="J278" s="205" t="s">
        <v>37</v>
      </c>
      <c r="K278" s="205" t="s">
        <v>37</v>
      </c>
      <c r="L278" s="205" t="s">
        <v>37</v>
      </c>
      <c r="M278" s="206">
        <f>SUM(Y278:AE278)</f>
        <v>6</v>
      </c>
      <c r="N278" s="207" t="str">
        <f>IF(O278&gt;0,"Rp",IF(O278=0," "))</f>
        <v>Rp</v>
      </c>
      <c r="O278" s="208">
        <f t="shared" ref="O278:O287" si="97">O240</f>
        <v>130000</v>
      </c>
      <c r="P278" s="207" t="str">
        <f>IF(Q278&gt;0,"Rp",IF(Q278=0," "))</f>
        <v>Rp</v>
      </c>
      <c r="Q278" s="208">
        <f t="shared" ref="Q278:Q287" si="98">O278*M278</f>
        <v>780000</v>
      </c>
      <c r="R278" s="209">
        <v>1</v>
      </c>
      <c r="S278" s="210"/>
      <c r="U278" s="211"/>
      <c r="V278" s="211"/>
      <c r="Y278" s="211">
        <f t="shared" ref="Y278:Y288" si="99">IFERROR(IF(F278="V",1,IF(F278="X",0))," ")</f>
        <v>0</v>
      </c>
      <c r="Z278" s="211">
        <f t="shared" ref="Z278:Z288" si="100">IFERROR(IF(G278="V",1,IF(G278="X",0))," ")</f>
        <v>1</v>
      </c>
      <c r="AA278" s="211">
        <f t="shared" ref="AA278:AA288" si="101">IFERROR(IF(H278="V",1,IF(H278="X",0))," ")</f>
        <v>1</v>
      </c>
      <c r="AB278" s="211">
        <f t="shared" ref="AB278:AB288" si="102">IFERROR(IF(I278="V",1,IF(I278="X",0))," ")</f>
        <v>1</v>
      </c>
      <c r="AC278" s="211">
        <f t="shared" ref="AC278:AC288" si="103">IFERROR(IF(J278="V",1,IF(J278="X",0))," ")</f>
        <v>1</v>
      </c>
      <c r="AD278" s="211">
        <f t="shared" ref="AD278:AD288" si="104">IFERROR(IF(K278="V",1,IF(K278="X",0))," ")</f>
        <v>1</v>
      </c>
      <c r="AE278" s="211">
        <f t="shared" ref="AE278:AE288" si="105">IFERROR(IF(L278="V",1,IF(L278="X",0))," ")</f>
        <v>1</v>
      </c>
    </row>
    <row r="279" spans="1:31" ht="24.95" customHeight="1" x14ac:dyDescent="0.25">
      <c r="B279" s="212">
        <v>2</v>
      </c>
      <c r="C279" s="202" t="str">
        <f t="shared" si="95"/>
        <v>PRIYO</v>
      </c>
      <c r="D279" s="213"/>
      <c r="E279" s="214" t="str">
        <f t="shared" si="96"/>
        <v>B</v>
      </c>
      <c r="F279" s="215" t="s">
        <v>36</v>
      </c>
      <c r="G279" s="215" t="s">
        <v>37</v>
      </c>
      <c r="H279" s="215" t="s">
        <v>37</v>
      </c>
      <c r="I279" s="215" t="s">
        <v>37</v>
      </c>
      <c r="J279" s="215" t="s">
        <v>37</v>
      </c>
      <c r="K279" s="215" t="s">
        <v>37</v>
      </c>
      <c r="L279" s="215" t="s">
        <v>37</v>
      </c>
      <c r="M279" s="216">
        <f t="shared" ref="M279:M287" si="106">SUM(Y279:AE279)</f>
        <v>6</v>
      </c>
      <c r="N279" s="217" t="str">
        <f t="shared" ref="N279:N287" si="107">IF(O279&gt;0,"Rp",IF(O279=0," "))</f>
        <v>Rp</v>
      </c>
      <c r="O279" s="218">
        <f t="shared" si="97"/>
        <v>125000</v>
      </c>
      <c r="P279" s="217" t="str">
        <f t="shared" ref="P279:P287" si="108">IF(Q279&gt;0,"Rp",IF(Q279=0," "))</f>
        <v>Rp</v>
      </c>
      <c r="Q279" s="219">
        <f t="shared" si="98"/>
        <v>750000</v>
      </c>
      <c r="R279" s="220"/>
      <c r="S279" s="221">
        <v>2</v>
      </c>
      <c r="U279" s="211"/>
      <c r="V279" s="211"/>
      <c r="Y279" s="211">
        <f t="shared" si="99"/>
        <v>0</v>
      </c>
      <c r="Z279" s="211">
        <f t="shared" si="100"/>
        <v>1</v>
      </c>
      <c r="AA279" s="211">
        <f t="shared" si="101"/>
        <v>1</v>
      </c>
      <c r="AB279" s="211">
        <f t="shared" si="102"/>
        <v>1</v>
      </c>
      <c r="AC279" s="211">
        <f t="shared" si="103"/>
        <v>1</v>
      </c>
      <c r="AD279" s="211">
        <f t="shared" si="104"/>
        <v>1</v>
      </c>
      <c r="AE279" s="211">
        <f t="shared" si="105"/>
        <v>1</v>
      </c>
    </row>
    <row r="280" spans="1:31" ht="24.95" customHeight="1" x14ac:dyDescent="0.25">
      <c r="B280" s="212">
        <v>3</v>
      </c>
      <c r="C280" s="202" t="str">
        <f t="shared" si="95"/>
        <v>NANANG</v>
      </c>
      <c r="D280" s="213"/>
      <c r="E280" s="214" t="str">
        <f t="shared" si="96"/>
        <v>B</v>
      </c>
      <c r="F280" s="215" t="s">
        <v>36</v>
      </c>
      <c r="G280" s="215" t="s">
        <v>37</v>
      </c>
      <c r="H280" s="215" t="s">
        <v>37</v>
      </c>
      <c r="I280" s="215" t="s">
        <v>37</v>
      </c>
      <c r="J280" s="215" t="s">
        <v>37</v>
      </c>
      <c r="K280" s="215" t="s">
        <v>37</v>
      </c>
      <c r="L280" s="215" t="s">
        <v>37</v>
      </c>
      <c r="M280" s="216">
        <f t="shared" si="106"/>
        <v>6</v>
      </c>
      <c r="N280" s="217" t="str">
        <f t="shared" si="107"/>
        <v>Rp</v>
      </c>
      <c r="O280" s="218">
        <f t="shared" si="97"/>
        <v>125000</v>
      </c>
      <c r="P280" s="217" t="str">
        <f t="shared" si="108"/>
        <v>Rp</v>
      </c>
      <c r="Q280" s="219">
        <f t="shared" si="98"/>
        <v>750000</v>
      </c>
      <c r="R280" s="222">
        <v>3</v>
      </c>
      <c r="S280" s="221"/>
      <c r="U280" s="211"/>
      <c r="V280" s="211"/>
      <c r="Y280" s="211">
        <f t="shared" si="99"/>
        <v>0</v>
      </c>
      <c r="Z280" s="211">
        <f t="shared" si="100"/>
        <v>1</v>
      </c>
      <c r="AA280" s="211">
        <f t="shared" si="101"/>
        <v>1</v>
      </c>
      <c r="AB280" s="211">
        <f t="shared" si="102"/>
        <v>1</v>
      </c>
      <c r="AC280" s="211">
        <f t="shared" si="103"/>
        <v>1</v>
      </c>
      <c r="AD280" s="211">
        <f t="shared" si="104"/>
        <v>1</v>
      </c>
      <c r="AE280" s="211">
        <f t="shared" si="105"/>
        <v>1</v>
      </c>
    </row>
    <row r="281" spans="1:31" ht="24.95" customHeight="1" x14ac:dyDescent="0.25">
      <c r="B281" s="212">
        <v>4</v>
      </c>
      <c r="C281" s="202" t="str">
        <f t="shared" si="95"/>
        <v>KOIREN</v>
      </c>
      <c r="D281" s="213"/>
      <c r="E281" s="214" t="str">
        <f t="shared" si="96"/>
        <v>B</v>
      </c>
      <c r="F281" s="215" t="s">
        <v>36</v>
      </c>
      <c r="G281" s="215" t="s">
        <v>37</v>
      </c>
      <c r="H281" s="215" t="s">
        <v>37</v>
      </c>
      <c r="I281" s="215" t="s">
        <v>37</v>
      </c>
      <c r="J281" s="215" t="s">
        <v>37</v>
      </c>
      <c r="K281" s="215" t="s">
        <v>37</v>
      </c>
      <c r="L281" s="215" t="s">
        <v>37</v>
      </c>
      <c r="M281" s="216">
        <f t="shared" si="106"/>
        <v>6</v>
      </c>
      <c r="N281" s="217" t="str">
        <f t="shared" si="107"/>
        <v>Rp</v>
      </c>
      <c r="O281" s="218">
        <f t="shared" si="97"/>
        <v>125000</v>
      </c>
      <c r="P281" s="217" t="str">
        <f t="shared" si="108"/>
        <v>Rp</v>
      </c>
      <c r="Q281" s="219">
        <f t="shared" si="98"/>
        <v>750000</v>
      </c>
      <c r="R281" s="222"/>
      <c r="S281" s="223">
        <v>4</v>
      </c>
      <c r="U281" s="211"/>
      <c r="V281" s="211"/>
      <c r="Y281" s="211">
        <f t="shared" si="99"/>
        <v>0</v>
      </c>
      <c r="Z281" s="211">
        <f t="shared" si="100"/>
        <v>1</v>
      </c>
      <c r="AA281" s="211">
        <f t="shared" si="101"/>
        <v>1</v>
      </c>
      <c r="AB281" s="211">
        <f t="shared" si="102"/>
        <v>1</v>
      </c>
      <c r="AC281" s="211">
        <f t="shared" si="103"/>
        <v>1</v>
      </c>
      <c r="AD281" s="211">
        <f t="shared" si="104"/>
        <v>1</v>
      </c>
      <c r="AE281" s="211">
        <f t="shared" si="105"/>
        <v>1</v>
      </c>
    </row>
    <row r="282" spans="1:31" ht="24.95" customHeight="1" x14ac:dyDescent="0.25">
      <c r="B282" s="212">
        <v>5</v>
      </c>
      <c r="C282" s="202" t="str">
        <f t="shared" si="95"/>
        <v>MAT</v>
      </c>
      <c r="D282" s="213"/>
      <c r="E282" s="214" t="str">
        <f t="shared" si="96"/>
        <v>C</v>
      </c>
      <c r="F282" s="215" t="s">
        <v>36</v>
      </c>
      <c r="G282" s="215" t="s">
        <v>37</v>
      </c>
      <c r="H282" s="215" t="s">
        <v>37</v>
      </c>
      <c r="I282" s="215" t="s">
        <v>37</v>
      </c>
      <c r="J282" s="215" t="s">
        <v>37</v>
      </c>
      <c r="K282" s="215" t="s">
        <v>37</v>
      </c>
      <c r="L282" s="215" t="s">
        <v>37</v>
      </c>
      <c r="M282" s="216">
        <f t="shared" si="106"/>
        <v>6</v>
      </c>
      <c r="N282" s="217" t="str">
        <f t="shared" si="107"/>
        <v>Rp</v>
      </c>
      <c r="O282" s="218">
        <f t="shared" si="97"/>
        <v>100000</v>
      </c>
      <c r="P282" s="217" t="str">
        <f t="shared" si="108"/>
        <v>Rp</v>
      </c>
      <c r="Q282" s="219">
        <f t="shared" si="98"/>
        <v>600000</v>
      </c>
      <c r="R282" s="222">
        <v>5</v>
      </c>
      <c r="S282" s="221"/>
      <c r="U282" s="211"/>
      <c r="V282" s="211"/>
      <c r="Y282" s="211">
        <f t="shared" si="99"/>
        <v>0</v>
      </c>
      <c r="Z282" s="211">
        <f t="shared" si="100"/>
        <v>1</v>
      </c>
      <c r="AA282" s="211">
        <f t="shared" si="101"/>
        <v>1</v>
      </c>
      <c r="AB282" s="211">
        <f t="shared" si="102"/>
        <v>1</v>
      </c>
      <c r="AC282" s="211">
        <f t="shared" si="103"/>
        <v>1</v>
      </c>
      <c r="AD282" s="211">
        <f t="shared" si="104"/>
        <v>1</v>
      </c>
      <c r="AE282" s="211">
        <f t="shared" si="105"/>
        <v>1</v>
      </c>
    </row>
    <row r="283" spans="1:31" ht="24.95" customHeight="1" x14ac:dyDescent="0.25">
      <c r="B283" s="212">
        <v>6</v>
      </c>
      <c r="C283" s="202" t="str">
        <f t="shared" si="95"/>
        <v>JUNED</v>
      </c>
      <c r="D283" s="213"/>
      <c r="E283" s="214" t="str">
        <f t="shared" si="96"/>
        <v>C</v>
      </c>
      <c r="F283" s="215" t="s">
        <v>36</v>
      </c>
      <c r="G283" s="215" t="s">
        <v>37</v>
      </c>
      <c r="H283" s="215" t="s">
        <v>37</v>
      </c>
      <c r="I283" s="215" t="s">
        <v>37</v>
      </c>
      <c r="J283" s="215" t="s">
        <v>37</v>
      </c>
      <c r="K283" s="215" t="s">
        <v>37</v>
      </c>
      <c r="L283" s="215" t="s">
        <v>37</v>
      </c>
      <c r="M283" s="216">
        <f t="shared" si="106"/>
        <v>6</v>
      </c>
      <c r="N283" s="217" t="str">
        <f t="shared" si="107"/>
        <v>Rp</v>
      </c>
      <c r="O283" s="218">
        <f t="shared" si="97"/>
        <v>100000</v>
      </c>
      <c r="P283" s="217" t="str">
        <f t="shared" si="108"/>
        <v>Rp</v>
      </c>
      <c r="Q283" s="219">
        <f t="shared" si="98"/>
        <v>600000</v>
      </c>
      <c r="R283" s="222"/>
      <c r="S283" s="223">
        <v>6</v>
      </c>
      <c r="U283" s="211"/>
      <c r="V283" s="211"/>
      <c r="Y283" s="211">
        <f t="shared" si="99"/>
        <v>0</v>
      </c>
      <c r="Z283" s="211">
        <f t="shared" si="100"/>
        <v>1</v>
      </c>
      <c r="AA283" s="211">
        <f t="shared" si="101"/>
        <v>1</v>
      </c>
      <c r="AB283" s="211">
        <f t="shared" si="102"/>
        <v>1</v>
      </c>
      <c r="AC283" s="211">
        <f t="shared" si="103"/>
        <v>1</v>
      </c>
      <c r="AD283" s="211">
        <f t="shared" si="104"/>
        <v>1</v>
      </c>
      <c r="AE283" s="211">
        <f t="shared" si="105"/>
        <v>1</v>
      </c>
    </row>
    <row r="284" spans="1:31" ht="24.95" customHeight="1" x14ac:dyDescent="0.25">
      <c r="B284" s="212">
        <v>7</v>
      </c>
      <c r="C284" s="202" t="str">
        <f t="shared" si="95"/>
        <v>LASITO</v>
      </c>
      <c r="D284" s="213"/>
      <c r="E284" s="214" t="str">
        <f t="shared" si="96"/>
        <v>C</v>
      </c>
      <c r="F284" s="215" t="s">
        <v>36</v>
      </c>
      <c r="G284" s="215" t="s">
        <v>37</v>
      </c>
      <c r="H284" s="215" t="s">
        <v>37</v>
      </c>
      <c r="I284" s="215" t="s">
        <v>37</v>
      </c>
      <c r="J284" s="215" t="s">
        <v>37</v>
      </c>
      <c r="K284" s="215" t="s">
        <v>37</v>
      </c>
      <c r="L284" s="215" t="s">
        <v>37</v>
      </c>
      <c r="M284" s="216">
        <f t="shared" si="106"/>
        <v>6</v>
      </c>
      <c r="N284" s="217" t="str">
        <f t="shared" si="107"/>
        <v>Rp</v>
      </c>
      <c r="O284" s="218">
        <f t="shared" si="97"/>
        <v>100000</v>
      </c>
      <c r="P284" s="217" t="str">
        <f t="shared" si="108"/>
        <v>Rp</v>
      </c>
      <c r="Q284" s="219">
        <f t="shared" si="98"/>
        <v>600000</v>
      </c>
      <c r="R284" s="222">
        <v>7</v>
      </c>
      <c r="S284" s="221"/>
      <c r="U284" s="211"/>
      <c r="V284" s="211"/>
      <c r="Y284" s="211">
        <f t="shared" si="99"/>
        <v>0</v>
      </c>
      <c r="Z284" s="211">
        <f t="shared" si="100"/>
        <v>1</v>
      </c>
      <c r="AA284" s="211">
        <f t="shared" si="101"/>
        <v>1</v>
      </c>
      <c r="AB284" s="211">
        <f t="shared" si="102"/>
        <v>1</v>
      </c>
      <c r="AC284" s="211">
        <f t="shared" si="103"/>
        <v>1</v>
      </c>
      <c r="AD284" s="211">
        <f t="shared" si="104"/>
        <v>1</v>
      </c>
      <c r="AE284" s="211">
        <f t="shared" si="105"/>
        <v>1</v>
      </c>
    </row>
    <row r="285" spans="1:31" ht="24.95" customHeight="1" x14ac:dyDescent="0.25">
      <c r="B285" s="212">
        <v>8</v>
      </c>
      <c r="C285" s="202" t="str">
        <f t="shared" si="95"/>
        <v>BONANG</v>
      </c>
      <c r="D285" s="213"/>
      <c r="E285" s="214" t="str">
        <f t="shared" si="96"/>
        <v>C</v>
      </c>
      <c r="F285" s="215" t="s">
        <v>36</v>
      </c>
      <c r="G285" s="215" t="s">
        <v>37</v>
      </c>
      <c r="H285" s="215" t="s">
        <v>37</v>
      </c>
      <c r="I285" s="215" t="s">
        <v>37</v>
      </c>
      <c r="J285" s="215" t="s">
        <v>37</v>
      </c>
      <c r="K285" s="215" t="s">
        <v>37</v>
      </c>
      <c r="L285" s="215" t="s">
        <v>37</v>
      </c>
      <c r="M285" s="216">
        <f t="shared" si="106"/>
        <v>6</v>
      </c>
      <c r="N285" s="217" t="str">
        <f t="shared" si="107"/>
        <v>Rp</v>
      </c>
      <c r="O285" s="218">
        <f t="shared" si="97"/>
        <v>100000</v>
      </c>
      <c r="P285" s="217" t="str">
        <f t="shared" si="108"/>
        <v>Rp</v>
      </c>
      <c r="Q285" s="219">
        <f t="shared" si="98"/>
        <v>600000</v>
      </c>
      <c r="R285" s="222"/>
      <c r="S285" s="223">
        <v>8</v>
      </c>
      <c r="U285" s="211"/>
      <c r="V285" s="211"/>
      <c r="Y285" s="211">
        <f t="shared" si="99"/>
        <v>0</v>
      </c>
      <c r="Z285" s="211">
        <f t="shared" si="100"/>
        <v>1</v>
      </c>
      <c r="AA285" s="211">
        <f t="shared" si="101"/>
        <v>1</v>
      </c>
      <c r="AB285" s="211">
        <f t="shared" si="102"/>
        <v>1</v>
      </c>
      <c r="AC285" s="211">
        <f t="shared" si="103"/>
        <v>1</v>
      </c>
      <c r="AD285" s="211">
        <f t="shared" si="104"/>
        <v>1</v>
      </c>
      <c r="AE285" s="211">
        <f t="shared" si="105"/>
        <v>1</v>
      </c>
    </row>
    <row r="286" spans="1:31" ht="24.95" customHeight="1" x14ac:dyDescent="0.25">
      <c r="B286" s="212">
        <v>9</v>
      </c>
      <c r="C286" s="202">
        <f t="shared" si="95"/>
        <v>0</v>
      </c>
      <c r="D286" s="213"/>
      <c r="E286" s="214">
        <f t="shared" si="96"/>
        <v>0</v>
      </c>
      <c r="F286" s="215"/>
      <c r="G286" s="215"/>
      <c r="H286" s="215"/>
      <c r="I286" s="215"/>
      <c r="J286" s="215"/>
      <c r="K286" s="215"/>
      <c r="L286" s="215"/>
      <c r="M286" s="216">
        <f t="shared" si="106"/>
        <v>0</v>
      </c>
      <c r="N286" s="217" t="str">
        <f t="shared" si="107"/>
        <v xml:space="preserve"> </v>
      </c>
      <c r="O286" s="218">
        <f t="shared" si="97"/>
        <v>0</v>
      </c>
      <c r="P286" s="217" t="str">
        <f t="shared" si="108"/>
        <v xml:space="preserve"> </v>
      </c>
      <c r="Q286" s="219">
        <f t="shared" si="98"/>
        <v>0</v>
      </c>
      <c r="R286" s="222">
        <v>9</v>
      </c>
      <c r="S286" s="221"/>
      <c r="U286" s="211"/>
      <c r="V286" s="211"/>
      <c r="Y286" s="211" t="b">
        <f t="shared" si="99"/>
        <v>0</v>
      </c>
      <c r="Z286" s="211" t="b">
        <f t="shared" si="100"/>
        <v>0</v>
      </c>
      <c r="AA286" s="211" t="b">
        <f t="shared" si="101"/>
        <v>0</v>
      </c>
      <c r="AB286" s="211" t="b">
        <f t="shared" si="102"/>
        <v>0</v>
      </c>
      <c r="AC286" s="211" t="b">
        <f t="shared" si="103"/>
        <v>0</v>
      </c>
      <c r="AD286" s="211" t="b">
        <f t="shared" si="104"/>
        <v>0</v>
      </c>
      <c r="AE286" s="211" t="b">
        <f t="shared" si="105"/>
        <v>0</v>
      </c>
    </row>
    <row r="287" spans="1:31" ht="24.95" customHeight="1" x14ac:dyDescent="0.25">
      <c r="B287" s="212">
        <v>10</v>
      </c>
      <c r="C287" s="202">
        <f t="shared" si="95"/>
        <v>0</v>
      </c>
      <c r="D287" s="213"/>
      <c r="E287" s="214">
        <f t="shared" si="96"/>
        <v>0</v>
      </c>
      <c r="F287" s="215"/>
      <c r="G287" s="215"/>
      <c r="H287" s="215"/>
      <c r="I287" s="215"/>
      <c r="J287" s="215"/>
      <c r="K287" s="215"/>
      <c r="L287" s="215"/>
      <c r="M287" s="216">
        <f t="shared" si="106"/>
        <v>0</v>
      </c>
      <c r="N287" s="217" t="str">
        <f t="shared" si="107"/>
        <v xml:space="preserve"> </v>
      </c>
      <c r="O287" s="218">
        <f t="shared" si="97"/>
        <v>0</v>
      </c>
      <c r="P287" s="217" t="str">
        <f t="shared" si="108"/>
        <v xml:space="preserve"> </v>
      </c>
      <c r="Q287" s="219">
        <f t="shared" si="98"/>
        <v>0</v>
      </c>
      <c r="R287" s="222"/>
      <c r="S287" s="223">
        <v>10</v>
      </c>
      <c r="U287" s="211"/>
      <c r="V287" s="211"/>
      <c r="Y287" s="211" t="b">
        <f t="shared" si="99"/>
        <v>0</v>
      </c>
      <c r="Z287" s="211" t="b">
        <f t="shared" si="100"/>
        <v>0</v>
      </c>
      <c r="AA287" s="211" t="b">
        <f t="shared" si="101"/>
        <v>0</v>
      </c>
      <c r="AB287" s="211" t="b">
        <f t="shared" si="102"/>
        <v>0</v>
      </c>
      <c r="AC287" s="211" t="b">
        <f t="shared" si="103"/>
        <v>0</v>
      </c>
      <c r="AD287" s="211" t="b">
        <f t="shared" si="104"/>
        <v>0</v>
      </c>
      <c r="AE287" s="211" t="b">
        <f t="shared" si="105"/>
        <v>0</v>
      </c>
    </row>
    <row r="288" spans="1:31" ht="24.95" customHeight="1" x14ac:dyDescent="0.25">
      <c r="B288" s="212">
        <v>11</v>
      </c>
      <c r="C288" s="202">
        <f t="shared" si="95"/>
        <v>0</v>
      </c>
      <c r="D288" s="213"/>
      <c r="E288" s="214">
        <f t="shared" si="96"/>
        <v>0</v>
      </c>
      <c r="F288" s="215"/>
      <c r="G288" s="215"/>
      <c r="H288" s="215"/>
      <c r="I288" s="215"/>
      <c r="J288" s="215"/>
      <c r="K288" s="215"/>
      <c r="L288" s="215"/>
      <c r="M288" s="216">
        <f>SUM(Y288:AE288)</f>
        <v>0</v>
      </c>
      <c r="N288" s="217"/>
      <c r="O288" s="218"/>
      <c r="P288" s="217"/>
      <c r="Q288" s="219"/>
      <c r="R288" s="222">
        <v>11</v>
      </c>
      <c r="S288" s="221"/>
      <c r="U288" s="211"/>
      <c r="V288" s="211"/>
      <c r="Y288" s="211" t="b">
        <f t="shared" si="99"/>
        <v>0</v>
      </c>
      <c r="Z288" s="211" t="b">
        <f t="shared" si="100"/>
        <v>0</v>
      </c>
      <c r="AA288" s="211" t="b">
        <f t="shared" si="101"/>
        <v>0</v>
      </c>
      <c r="AB288" s="211" t="b">
        <f t="shared" si="102"/>
        <v>0</v>
      </c>
      <c r="AC288" s="211" t="b">
        <f t="shared" si="103"/>
        <v>0</v>
      </c>
      <c r="AD288" s="211" t="b">
        <f t="shared" si="104"/>
        <v>0</v>
      </c>
      <c r="AE288" s="211" t="b">
        <f t="shared" si="105"/>
        <v>0</v>
      </c>
    </row>
    <row r="289" spans="1:22" ht="24.95" customHeight="1" thickBot="1" x14ac:dyDescent="0.25">
      <c r="B289" s="233"/>
      <c r="C289" s="257"/>
      <c r="D289" s="235"/>
      <c r="E289" s="236"/>
      <c r="F289" s="237"/>
      <c r="G289" s="238"/>
      <c r="H289" s="239"/>
      <c r="I289" s="239"/>
      <c r="J289" s="240"/>
      <c r="K289" s="240"/>
      <c r="L289" s="240"/>
      <c r="M289" s="259"/>
      <c r="N289" s="242"/>
      <c r="O289" s="258"/>
      <c r="P289" s="244"/>
      <c r="Q289" s="236"/>
      <c r="R289" s="246"/>
      <c r="S289" s="247"/>
      <c r="U289" s="211"/>
      <c r="V289" s="211"/>
    </row>
    <row r="290" spans="1:22" ht="20.100000000000001" customHeight="1" thickTop="1" thickBot="1" x14ac:dyDescent="0.3">
      <c r="A290" s="179">
        <f>A252+1</f>
        <v>8</v>
      </c>
      <c r="B290" s="248"/>
      <c r="C290" s="249"/>
      <c r="D290" s="249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50" t="s">
        <v>40</v>
      </c>
      <c r="P290" s="249"/>
      <c r="Q290" s="710">
        <f>SUM(Q278:Q289)</f>
        <v>5430000</v>
      </c>
      <c r="R290" s="711"/>
      <c r="S290" s="712"/>
      <c r="U290" s="226" t="str">
        <f>VLOOKUP(A290,'Rekap Gaji'!$B$12:$P$24,10,FALSE)</f>
        <v xml:space="preserve"> 25 Oktober 2025</v>
      </c>
      <c r="V290" s="251" t="e">
        <f>U290-Q290</f>
        <v>#VALUE!</v>
      </c>
    </row>
    <row r="291" spans="1:22" ht="11.25" customHeight="1" x14ac:dyDescent="0.25"/>
    <row r="292" spans="1:22" ht="16.5" customHeight="1" x14ac:dyDescent="0.25">
      <c r="B292" s="195" t="s">
        <v>41</v>
      </c>
      <c r="C292" s="140" t="s">
        <v>42</v>
      </c>
    </row>
    <row r="293" spans="1:22" ht="14.25" x14ac:dyDescent="0.25">
      <c r="G293" s="183"/>
      <c r="H293" s="182"/>
      <c r="M293" s="141"/>
      <c r="N293" s="141"/>
      <c r="Q293" s="140" t="str">
        <f>'BKU 1'!$I$25</f>
        <v>NGANTANG</v>
      </c>
      <c r="R293" s="713">
        <f>IFERROR(VLOOKUP(E272,'Rekap Gaji'!$B$12:$P$24,7,FALSE),"-")</f>
        <v>45955</v>
      </c>
      <c r="S293" s="713"/>
      <c r="T293" s="252"/>
      <c r="U293" s="252"/>
    </row>
    <row r="294" spans="1:22" ht="15.75" x14ac:dyDescent="0.25">
      <c r="C294" s="140" t="s">
        <v>43</v>
      </c>
      <c r="F294" s="253"/>
      <c r="G294" s="254"/>
      <c r="H294" s="255"/>
      <c r="I294" s="256"/>
      <c r="J294" s="225" t="s">
        <v>44</v>
      </c>
      <c r="K294" s="253"/>
      <c r="M294" s="141"/>
      <c r="N294" s="141"/>
      <c r="Q294" s="140" t="str">
        <f>'BKU 1'!$L$354</f>
        <v>Dibuat Oleh ;</v>
      </c>
      <c r="R294" s="141"/>
    </row>
    <row r="295" spans="1:22" ht="14.25" x14ac:dyDescent="0.25">
      <c r="C295" s="140" t="str">
        <f>'BKU 1'!$C$355</f>
        <v>Kepala Sekolah SDN 1 SIDODADI</v>
      </c>
      <c r="F295" s="187"/>
      <c r="G295" s="224"/>
      <c r="H295" s="182"/>
      <c r="I295" s="183"/>
      <c r="J295" s="140" t="s">
        <v>45</v>
      </c>
      <c r="K295" s="187"/>
      <c r="Q295" s="140" t="str">
        <f>'BKU 1'!$L$355</f>
        <v>Bendahara Pembangunan</v>
      </c>
      <c r="R295" s="141"/>
    </row>
    <row r="296" spans="1:22" ht="14.25" x14ac:dyDescent="0.25">
      <c r="F296" s="187"/>
      <c r="G296" s="224"/>
      <c r="H296" s="182"/>
      <c r="I296" s="183"/>
      <c r="K296" s="187"/>
      <c r="Q296" s="140"/>
      <c r="R296" s="141"/>
    </row>
    <row r="297" spans="1:22" ht="14.25" x14ac:dyDescent="0.25">
      <c r="F297" s="187"/>
      <c r="G297" s="224"/>
      <c r="H297" s="182"/>
      <c r="I297" s="183"/>
      <c r="K297" s="187"/>
      <c r="Q297" s="140"/>
      <c r="R297" s="141"/>
    </row>
    <row r="298" spans="1:22" ht="14.25" x14ac:dyDescent="0.25">
      <c r="F298" s="187"/>
      <c r="G298" s="224"/>
      <c r="H298" s="182"/>
      <c r="I298" s="183"/>
      <c r="K298" s="187"/>
      <c r="Q298" s="140"/>
      <c r="R298" s="141"/>
    </row>
    <row r="299" spans="1:22" ht="14.25" x14ac:dyDescent="0.25">
      <c r="F299" s="187"/>
      <c r="G299" s="224"/>
      <c r="H299" s="182"/>
      <c r="I299" s="183"/>
      <c r="K299" s="187"/>
      <c r="Q299" s="140"/>
      <c r="R299" s="141"/>
    </row>
    <row r="300" spans="1:22" x14ac:dyDescent="0.25">
      <c r="G300" s="225"/>
      <c r="Q300" s="140"/>
    </row>
    <row r="301" spans="1:22" x14ac:dyDescent="0.25">
      <c r="G301" s="225"/>
      <c r="Q301" s="140"/>
    </row>
    <row r="302" spans="1:22" s="189" customFormat="1" ht="15" customHeight="1" x14ac:dyDescent="0.25">
      <c r="A302" s="192"/>
      <c r="B302" s="195"/>
      <c r="C302" s="227" t="str">
        <f>'BKU 1'!$C$360</f>
        <v>MELIA FITRIANI, S.Pd.SD</v>
      </c>
      <c r="D302" s="227"/>
      <c r="G302" s="228"/>
      <c r="H302" s="195"/>
      <c r="I302" s="194"/>
      <c r="J302" s="229">
        <f>'BKU 1'!$G$360</f>
        <v>0</v>
      </c>
      <c r="Q302" s="227" t="str">
        <f>'BKU 1'!$L$360</f>
        <v>ARIF NUR UDIN, S.Pd.SD</v>
      </c>
      <c r="S302" s="230"/>
      <c r="U302" s="231"/>
      <c r="V302" s="231"/>
    </row>
    <row r="303" spans="1:22" s="189" customFormat="1" ht="15" customHeight="1" x14ac:dyDescent="0.25">
      <c r="A303" s="192"/>
      <c r="B303" s="195"/>
      <c r="C303" s="140" t="str">
        <f>'BKU 1'!$C$361</f>
        <v>NIP. 19850619 200904 2 000</v>
      </c>
      <c r="D303" s="140"/>
      <c r="E303" s="140"/>
      <c r="F303" s="140"/>
      <c r="G303" s="225"/>
      <c r="H303" s="191"/>
      <c r="I303" s="190"/>
      <c r="J303" s="232">
        <f>'BKU 1'!$G$361</f>
        <v>0</v>
      </c>
      <c r="K303" s="140"/>
      <c r="M303" s="140"/>
      <c r="N303" s="140"/>
      <c r="O303" s="140"/>
      <c r="P303" s="140"/>
      <c r="Q303" s="140" t="str">
        <f>'BKU 1'!$L$361</f>
        <v>NIP. 19840719 200903 1 002</v>
      </c>
      <c r="S303" s="230"/>
      <c r="U303" s="231"/>
      <c r="V303" s="231"/>
    </row>
    <row r="304" spans="1:22" ht="6" customHeight="1" x14ac:dyDescent="0.25"/>
    <row r="305" spans="1:31" s="177" customFormat="1" ht="24.95" customHeight="1" x14ac:dyDescent="0.25">
      <c r="A305" s="176"/>
      <c r="B305" s="726" t="s">
        <v>6</v>
      </c>
      <c r="C305" s="726"/>
      <c r="D305" s="726"/>
      <c r="E305" s="726"/>
      <c r="F305" s="726"/>
      <c r="G305" s="726"/>
      <c r="H305" s="726"/>
      <c r="I305" s="726"/>
      <c r="J305" s="726"/>
      <c r="K305" s="726"/>
      <c r="L305" s="726"/>
      <c r="M305" s="726"/>
      <c r="N305" s="726"/>
      <c r="O305" s="726"/>
      <c r="P305" s="726"/>
      <c r="Q305" s="726"/>
      <c r="R305" s="726"/>
      <c r="S305" s="726"/>
      <c r="U305" s="178"/>
      <c r="V305" s="178"/>
    </row>
    <row r="306" spans="1:31" s="177" customFormat="1" ht="24.95" customHeight="1" x14ac:dyDescent="0.25">
      <c r="A306" s="176"/>
      <c r="B306" s="726" t="str">
        <f>'BKU 1'!$D$22</f>
        <v>PEMBANGUNAN TOILET BESERTA SANITASINYA</v>
      </c>
      <c r="C306" s="726"/>
      <c r="D306" s="726"/>
      <c r="E306" s="726"/>
      <c r="F306" s="726"/>
      <c r="G306" s="726"/>
      <c r="H306" s="726"/>
      <c r="I306" s="726"/>
      <c r="J306" s="726"/>
      <c r="K306" s="726"/>
      <c r="L306" s="726"/>
      <c r="M306" s="726"/>
      <c r="N306" s="726"/>
      <c r="O306" s="726"/>
      <c r="P306" s="726"/>
      <c r="Q306" s="726"/>
      <c r="R306" s="726"/>
      <c r="S306" s="726"/>
      <c r="U306" s="178"/>
      <c r="V306" s="178"/>
    </row>
    <row r="307" spans="1:31" s="184" customFormat="1" ht="30.75" customHeight="1" x14ac:dyDescent="0.25">
      <c r="A307" s="179"/>
      <c r="B307" s="180"/>
      <c r="C307" s="181"/>
      <c r="D307" s="181"/>
      <c r="E307" s="181"/>
      <c r="F307" s="182"/>
      <c r="G307" s="183"/>
      <c r="H307" s="182"/>
      <c r="I307" s="183"/>
      <c r="J307" s="182"/>
      <c r="K307" s="182"/>
      <c r="L307" s="182"/>
      <c r="M307" s="181"/>
      <c r="N307" s="181"/>
      <c r="Q307" s="180"/>
      <c r="R307" s="140"/>
      <c r="S307" s="185"/>
      <c r="U307" s="186"/>
      <c r="V307" s="186"/>
    </row>
    <row r="308" spans="1:31" s="184" customFormat="1" ht="14.25" x14ac:dyDescent="0.25">
      <c r="A308" s="179"/>
      <c r="B308" s="185" t="s">
        <v>7</v>
      </c>
      <c r="D308" s="184" t="s">
        <v>49</v>
      </c>
      <c r="E308" s="184" t="str">
        <f>'BKU 1'!$D$25</f>
        <v>SDN 1 SIDODADI</v>
      </c>
      <c r="F308" s="140"/>
      <c r="G308" s="183"/>
      <c r="H308" s="182"/>
      <c r="I308" s="183"/>
      <c r="J308" s="187"/>
      <c r="K308" s="187"/>
      <c r="L308" s="187"/>
      <c r="M308" s="188"/>
      <c r="N308" s="188"/>
      <c r="Q308" s="180"/>
      <c r="R308" s="189" t="s">
        <v>8</v>
      </c>
      <c r="S308" s="185"/>
      <c r="U308" s="186"/>
      <c r="V308" s="186"/>
    </row>
    <row r="309" spans="1:31" s="184" customFormat="1" x14ac:dyDescent="0.25">
      <c r="A309" s="179"/>
      <c r="B309" s="185" t="s">
        <v>9</v>
      </c>
      <c r="D309" s="184" t="s">
        <v>49</v>
      </c>
      <c r="E309" s="184" t="str">
        <f>'BKU 1'!$D$26</f>
        <v>Jl. Kawi No.36 Rt. 1 Rw. 1 Dusun Sekar, Rt / Rw : 1 / 1, Dusun : Sekar, Kelurahan : Sidodadi</v>
      </c>
      <c r="F309" s="140"/>
      <c r="G309" s="190"/>
      <c r="H309" s="191"/>
      <c r="I309" s="190"/>
      <c r="J309" s="140"/>
      <c r="K309" s="140"/>
      <c r="L309" s="140"/>
      <c r="Q309" s="180"/>
      <c r="R309" s="140" t="s">
        <v>10</v>
      </c>
      <c r="S309" s="185" t="s">
        <v>11</v>
      </c>
      <c r="U309" s="186"/>
      <c r="V309" s="186"/>
    </row>
    <row r="310" spans="1:31" s="184" customFormat="1" x14ac:dyDescent="0.25">
      <c r="A310" s="179"/>
      <c r="B310" s="185" t="s">
        <v>12</v>
      </c>
      <c r="D310" s="184" t="s">
        <v>49</v>
      </c>
      <c r="E310" s="180">
        <f>E272+1</f>
        <v>9</v>
      </c>
      <c r="F310" s="140"/>
      <c r="G310" s="727">
        <f>IFERROR(VLOOKUP(E310,'Rekap Gaji'!$B$12:$P$24,14,FALSE),"-")</f>
        <v>0</v>
      </c>
      <c r="H310" s="727"/>
      <c r="I310" s="727"/>
      <c r="J310" s="140"/>
      <c r="K310" s="140"/>
      <c r="L310" s="140"/>
      <c r="Q310" s="180"/>
      <c r="R310" s="140" t="s">
        <v>13</v>
      </c>
      <c r="S310" s="185" t="s">
        <v>14</v>
      </c>
      <c r="U310" s="186"/>
      <c r="V310" s="186"/>
    </row>
    <row r="311" spans="1:31" s="184" customFormat="1" ht="15" customHeight="1" x14ac:dyDescent="0.25">
      <c r="A311" s="179"/>
      <c r="B311" s="185" t="s">
        <v>0</v>
      </c>
      <c r="D311" s="184" t="s">
        <v>49</v>
      </c>
      <c r="E311" s="728">
        <f>IFERROR(VLOOKUP(E310,'Rekap Gaji'!$B$12:$P$24,4,FALSE),"-")</f>
        <v>45956</v>
      </c>
      <c r="F311" s="728"/>
      <c r="G311" s="728"/>
      <c r="H311" s="728"/>
      <c r="I311" s="727" t="s">
        <v>76</v>
      </c>
      <c r="J311" s="727"/>
      <c r="K311" s="728">
        <f>IFERROR(VLOOKUP(E310,'Rekap Gaji'!$B$12:$P$24,6,FALSE),"-")</f>
        <v>45962</v>
      </c>
      <c r="L311" s="728"/>
      <c r="M311" s="728"/>
      <c r="N311" s="728"/>
      <c r="Q311" s="180"/>
      <c r="R311" s="140" t="s">
        <v>15</v>
      </c>
      <c r="S311" s="185" t="s">
        <v>16</v>
      </c>
      <c r="U311" s="186"/>
      <c r="V311" s="186"/>
    </row>
    <row r="312" spans="1:31" s="188" customFormat="1" ht="8.1" customHeight="1" thickBot="1" x14ac:dyDescent="0.3">
      <c r="A312" s="192"/>
      <c r="B312" s="193"/>
      <c r="F312" s="189"/>
      <c r="G312" s="194"/>
      <c r="H312" s="195"/>
      <c r="I312" s="194"/>
      <c r="J312" s="189"/>
      <c r="K312" s="189"/>
      <c r="L312" s="189"/>
      <c r="Q312" s="193"/>
      <c r="R312" s="189"/>
      <c r="S312" s="196"/>
      <c r="U312" s="197"/>
      <c r="V312" s="197"/>
    </row>
    <row r="313" spans="1:31" s="199" customFormat="1" ht="15" customHeight="1" x14ac:dyDescent="0.25">
      <c r="A313" s="198"/>
      <c r="B313" s="755" t="s">
        <v>17</v>
      </c>
      <c r="C313" s="749" t="s">
        <v>18</v>
      </c>
      <c r="D313" s="758"/>
      <c r="E313" s="153" t="s">
        <v>19</v>
      </c>
      <c r="F313" s="763" t="s">
        <v>20</v>
      </c>
      <c r="G313" s="764"/>
      <c r="H313" s="764"/>
      <c r="I313" s="764"/>
      <c r="J313" s="764"/>
      <c r="K313" s="764"/>
      <c r="L313" s="764"/>
      <c r="M313" s="152" t="s">
        <v>2</v>
      </c>
      <c r="N313" s="749" t="s">
        <v>21</v>
      </c>
      <c r="O313" s="758"/>
      <c r="P313" s="749" t="s">
        <v>22</v>
      </c>
      <c r="Q313" s="758"/>
      <c r="R313" s="749" t="s">
        <v>23</v>
      </c>
      <c r="S313" s="750"/>
      <c r="U313" s="200"/>
      <c r="V313" s="200"/>
    </row>
    <row r="314" spans="1:31" s="199" customFormat="1" ht="15" customHeight="1" x14ac:dyDescent="0.25">
      <c r="A314" s="198"/>
      <c r="B314" s="756"/>
      <c r="C314" s="751"/>
      <c r="D314" s="759"/>
      <c r="E314" s="155" t="s">
        <v>24</v>
      </c>
      <c r="F314" s="761" t="s">
        <v>25</v>
      </c>
      <c r="G314" s="761" t="s">
        <v>26</v>
      </c>
      <c r="H314" s="761" t="s">
        <v>26</v>
      </c>
      <c r="I314" s="761" t="s">
        <v>27</v>
      </c>
      <c r="J314" s="761" t="s">
        <v>28</v>
      </c>
      <c r="K314" s="761" t="s">
        <v>29</v>
      </c>
      <c r="L314" s="761" t="s">
        <v>26</v>
      </c>
      <c r="M314" s="154" t="s">
        <v>30</v>
      </c>
      <c r="N314" s="751" t="s">
        <v>31</v>
      </c>
      <c r="O314" s="759"/>
      <c r="P314" s="751" t="s">
        <v>31</v>
      </c>
      <c r="Q314" s="759"/>
      <c r="R314" s="751"/>
      <c r="S314" s="752"/>
      <c r="U314" s="200"/>
      <c r="V314" s="200"/>
    </row>
    <row r="315" spans="1:31" s="199" customFormat="1" ht="15" customHeight="1" thickBot="1" x14ac:dyDescent="0.3">
      <c r="A315" s="198"/>
      <c r="B315" s="757"/>
      <c r="C315" s="753"/>
      <c r="D315" s="760"/>
      <c r="E315" s="157" t="s">
        <v>32</v>
      </c>
      <c r="F315" s="762"/>
      <c r="G315" s="762"/>
      <c r="H315" s="762"/>
      <c r="I315" s="762"/>
      <c r="J315" s="762"/>
      <c r="K315" s="762"/>
      <c r="L315" s="762"/>
      <c r="M315" s="156" t="s">
        <v>31</v>
      </c>
      <c r="N315" s="753" t="s">
        <v>33</v>
      </c>
      <c r="O315" s="760"/>
      <c r="P315" s="753" t="s">
        <v>34</v>
      </c>
      <c r="Q315" s="760"/>
      <c r="R315" s="753"/>
      <c r="S315" s="754"/>
      <c r="U315" s="200"/>
      <c r="V315" s="200"/>
    </row>
    <row r="316" spans="1:31" ht="24.95" customHeight="1" x14ac:dyDescent="0.25">
      <c r="B316" s="201">
        <v>1</v>
      </c>
      <c r="C316" s="202" t="str">
        <f t="shared" ref="C316:C326" si="109">C278</f>
        <v>KHUSNUL</v>
      </c>
      <c r="D316" s="203"/>
      <c r="E316" s="204" t="str">
        <f t="shared" ref="E316:E326" si="110">E278</f>
        <v>A</v>
      </c>
      <c r="F316" s="205" t="s">
        <v>36</v>
      </c>
      <c r="G316" s="205" t="s">
        <v>37</v>
      </c>
      <c r="H316" s="205" t="s">
        <v>37</v>
      </c>
      <c r="I316" s="205" t="s">
        <v>37</v>
      </c>
      <c r="J316" s="205" t="s">
        <v>37</v>
      </c>
      <c r="K316" s="205" t="s">
        <v>37</v>
      </c>
      <c r="L316" s="205" t="s">
        <v>37</v>
      </c>
      <c r="M316" s="206">
        <f>SUM(Y316:AE316)</f>
        <v>6</v>
      </c>
      <c r="N316" s="207" t="str">
        <f>IF(O316&gt;0,"Rp",IF(O316=0," "))</f>
        <v>Rp</v>
      </c>
      <c r="O316" s="208">
        <f t="shared" ref="O316:O325" si="111">O278</f>
        <v>130000</v>
      </c>
      <c r="P316" s="207" t="str">
        <f>IF(Q316&gt;0,"Rp",IF(Q316=0," "))</f>
        <v>Rp</v>
      </c>
      <c r="Q316" s="208">
        <f t="shared" ref="Q316:Q325" si="112">O316*M316</f>
        <v>780000</v>
      </c>
      <c r="R316" s="209">
        <v>1</v>
      </c>
      <c r="S316" s="210"/>
      <c r="U316" s="260"/>
      <c r="V316" s="140"/>
      <c r="Y316" s="211">
        <f t="shared" ref="Y316:Y326" si="113">IFERROR(IF(F316="V",1,IF(F316="X",0))," ")</f>
        <v>0</v>
      </c>
      <c r="Z316" s="211">
        <f t="shared" ref="Z316:Z326" si="114">IFERROR(IF(G316="V",1,IF(G316="X",0))," ")</f>
        <v>1</v>
      </c>
      <c r="AA316" s="211">
        <f t="shared" ref="AA316:AA326" si="115">IFERROR(IF(H316="V",1,IF(H316="X",0))," ")</f>
        <v>1</v>
      </c>
      <c r="AB316" s="211">
        <f t="shared" ref="AB316:AB326" si="116">IFERROR(IF(I316="V",1,IF(I316="X",0))," ")</f>
        <v>1</v>
      </c>
      <c r="AC316" s="211">
        <f t="shared" ref="AC316:AC326" si="117">IFERROR(IF(J316="V",1,IF(J316="X",0))," ")</f>
        <v>1</v>
      </c>
      <c r="AD316" s="211">
        <f t="shared" ref="AD316:AD326" si="118">IFERROR(IF(K316="V",1,IF(K316="X",0))," ")</f>
        <v>1</v>
      </c>
      <c r="AE316" s="211">
        <f t="shared" ref="AE316:AE326" si="119">IFERROR(IF(L316="V",1,IF(L316="X",0))," ")</f>
        <v>1</v>
      </c>
    </row>
    <row r="317" spans="1:31" ht="24.95" customHeight="1" x14ac:dyDescent="0.25">
      <c r="B317" s="212">
        <f>B316+1</f>
        <v>2</v>
      </c>
      <c r="C317" s="202" t="str">
        <f t="shared" si="109"/>
        <v>PRIYO</v>
      </c>
      <c r="D317" s="213"/>
      <c r="E317" s="214" t="str">
        <f t="shared" si="110"/>
        <v>B</v>
      </c>
      <c r="F317" s="215" t="s">
        <v>36</v>
      </c>
      <c r="G317" s="215" t="s">
        <v>37</v>
      </c>
      <c r="H317" s="215" t="s">
        <v>37</v>
      </c>
      <c r="I317" s="215" t="s">
        <v>37</v>
      </c>
      <c r="J317" s="215" t="s">
        <v>37</v>
      </c>
      <c r="K317" s="215" t="s">
        <v>37</v>
      </c>
      <c r="L317" s="215" t="s">
        <v>37</v>
      </c>
      <c r="M317" s="216">
        <f t="shared" ref="M317:M325" si="120">SUM(Y317:AE317)</f>
        <v>6</v>
      </c>
      <c r="N317" s="217" t="str">
        <f t="shared" ref="N317:N325" si="121">IF(O317&gt;0,"Rp",IF(O317=0," "))</f>
        <v>Rp</v>
      </c>
      <c r="O317" s="218">
        <f t="shared" si="111"/>
        <v>125000</v>
      </c>
      <c r="P317" s="217" t="str">
        <f t="shared" ref="P317:P325" si="122">IF(Q317&gt;0,"Rp",IF(Q317=0," "))</f>
        <v>Rp</v>
      </c>
      <c r="Q317" s="219">
        <f t="shared" si="112"/>
        <v>750000</v>
      </c>
      <c r="R317" s="220"/>
      <c r="S317" s="221">
        <v>2</v>
      </c>
      <c r="U317" s="211"/>
      <c r="V317" s="211"/>
      <c r="Y317" s="211">
        <f t="shared" si="113"/>
        <v>0</v>
      </c>
      <c r="Z317" s="211">
        <f t="shared" si="114"/>
        <v>1</v>
      </c>
      <c r="AA317" s="211">
        <f t="shared" si="115"/>
        <v>1</v>
      </c>
      <c r="AB317" s="211">
        <f t="shared" si="116"/>
        <v>1</v>
      </c>
      <c r="AC317" s="211">
        <f t="shared" si="117"/>
        <v>1</v>
      </c>
      <c r="AD317" s="211">
        <f t="shared" si="118"/>
        <v>1</v>
      </c>
      <c r="AE317" s="211">
        <f t="shared" si="119"/>
        <v>1</v>
      </c>
    </row>
    <row r="318" spans="1:31" ht="24.95" customHeight="1" x14ac:dyDescent="0.25">
      <c r="B318" s="212">
        <f>B317+1</f>
        <v>3</v>
      </c>
      <c r="C318" s="202" t="str">
        <f t="shared" si="109"/>
        <v>NANANG</v>
      </c>
      <c r="D318" s="213"/>
      <c r="E318" s="214" t="str">
        <f t="shared" si="110"/>
        <v>B</v>
      </c>
      <c r="F318" s="215" t="s">
        <v>36</v>
      </c>
      <c r="G318" s="215" t="s">
        <v>37</v>
      </c>
      <c r="H318" s="215" t="s">
        <v>37</v>
      </c>
      <c r="I318" s="215" t="s">
        <v>37</v>
      </c>
      <c r="J318" s="215" t="s">
        <v>37</v>
      </c>
      <c r="K318" s="215" t="s">
        <v>37</v>
      </c>
      <c r="L318" s="215" t="s">
        <v>37</v>
      </c>
      <c r="M318" s="216">
        <f t="shared" si="120"/>
        <v>6</v>
      </c>
      <c r="N318" s="217" t="str">
        <f t="shared" si="121"/>
        <v>Rp</v>
      </c>
      <c r="O318" s="218">
        <f t="shared" si="111"/>
        <v>125000</v>
      </c>
      <c r="P318" s="217" t="str">
        <f t="shared" si="122"/>
        <v>Rp</v>
      </c>
      <c r="Q318" s="219">
        <f t="shared" si="112"/>
        <v>750000</v>
      </c>
      <c r="R318" s="222">
        <v>3</v>
      </c>
      <c r="S318" s="221"/>
      <c r="U318" s="211"/>
      <c r="V318" s="211"/>
      <c r="Y318" s="211">
        <f t="shared" si="113"/>
        <v>0</v>
      </c>
      <c r="Z318" s="211">
        <f t="shared" si="114"/>
        <v>1</v>
      </c>
      <c r="AA318" s="211">
        <f t="shared" si="115"/>
        <v>1</v>
      </c>
      <c r="AB318" s="211">
        <f t="shared" si="116"/>
        <v>1</v>
      </c>
      <c r="AC318" s="211">
        <f t="shared" si="117"/>
        <v>1</v>
      </c>
      <c r="AD318" s="211">
        <f t="shared" si="118"/>
        <v>1</v>
      </c>
      <c r="AE318" s="211">
        <f t="shared" si="119"/>
        <v>1</v>
      </c>
    </row>
    <row r="319" spans="1:31" ht="24.95" customHeight="1" x14ac:dyDescent="0.25">
      <c r="B319" s="212">
        <f>B318+1</f>
        <v>4</v>
      </c>
      <c r="C319" s="202" t="str">
        <f t="shared" si="109"/>
        <v>KOIREN</v>
      </c>
      <c r="D319" s="213"/>
      <c r="E319" s="214" t="str">
        <f t="shared" si="110"/>
        <v>B</v>
      </c>
      <c r="F319" s="215" t="s">
        <v>36</v>
      </c>
      <c r="G319" s="215" t="s">
        <v>37</v>
      </c>
      <c r="H319" s="215" t="s">
        <v>37</v>
      </c>
      <c r="I319" s="215" t="s">
        <v>37</v>
      </c>
      <c r="J319" s="215" t="s">
        <v>37</v>
      </c>
      <c r="K319" s="215" t="s">
        <v>37</v>
      </c>
      <c r="L319" s="215" t="s">
        <v>37</v>
      </c>
      <c r="M319" s="216">
        <f t="shared" si="120"/>
        <v>6</v>
      </c>
      <c r="N319" s="217" t="str">
        <f t="shared" si="121"/>
        <v>Rp</v>
      </c>
      <c r="O319" s="218">
        <f t="shared" si="111"/>
        <v>125000</v>
      </c>
      <c r="P319" s="217" t="str">
        <f t="shared" si="122"/>
        <v>Rp</v>
      </c>
      <c r="Q319" s="219">
        <f t="shared" si="112"/>
        <v>750000</v>
      </c>
      <c r="R319" s="222"/>
      <c r="S319" s="223">
        <v>4</v>
      </c>
      <c r="U319" s="211"/>
      <c r="V319" s="211"/>
      <c r="Y319" s="211">
        <f t="shared" si="113"/>
        <v>0</v>
      </c>
      <c r="Z319" s="211">
        <f t="shared" si="114"/>
        <v>1</v>
      </c>
      <c r="AA319" s="211">
        <f t="shared" si="115"/>
        <v>1</v>
      </c>
      <c r="AB319" s="211">
        <f t="shared" si="116"/>
        <v>1</v>
      </c>
      <c r="AC319" s="211">
        <f t="shared" si="117"/>
        <v>1</v>
      </c>
      <c r="AD319" s="211">
        <f t="shared" si="118"/>
        <v>1</v>
      </c>
      <c r="AE319" s="211">
        <f t="shared" si="119"/>
        <v>1</v>
      </c>
    </row>
    <row r="320" spans="1:31" ht="24.95" customHeight="1" x14ac:dyDescent="0.25">
      <c r="B320" s="212">
        <f t="shared" ref="B320:B326" si="123">B319+1</f>
        <v>5</v>
      </c>
      <c r="C320" s="202" t="str">
        <f t="shared" si="109"/>
        <v>MAT</v>
      </c>
      <c r="D320" s="213"/>
      <c r="E320" s="214" t="str">
        <f t="shared" si="110"/>
        <v>C</v>
      </c>
      <c r="F320" s="215" t="s">
        <v>36</v>
      </c>
      <c r="G320" s="215" t="s">
        <v>37</v>
      </c>
      <c r="H320" s="215" t="s">
        <v>37</v>
      </c>
      <c r="I320" s="215" t="s">
        <v>37</v>
      </c>
      <c r="J320" s="215" t="s">
        <v>37</v>
      </c>
      <c r="K320" s="215" t="s">
        <v>37</v>
      </c>
      <c r="L320" s="215" t="s">
        <v>37</v>
      </c>
      <c r="M320" s="216">
        <f t="shared" si="120"/>
        <v>6</v>
      </c>
      <c r="N320" s="217" t="str">
        <f t="shared" si="121"/>
        <v>Rp</v>
      </c>
      <c r="O320" s="218">
        <f t="shared" si="111"/>
        <v>100000</v>
      </c>
      <c r="P320" s="217" t="str">
        <f t="shared" si="122"/>
        <v>Rp</v>
      </c>
      <c r="Q320" s="219">
        <f t="shared" si="112"/>
        <v>600000</v>
      </c>
      <c r="R320" s="222">
        <v>5</v>
      </c>
      <c r="S320" s="221"/>
      <c r="U320" s="211"/>
      <c r="V320" s="211"/>
      <c r="Y320" s="211">
        <f t="shared" si="113"/>
        <v>0</v>
      </c>
      <c r="Z320" s="211">
        <f t="shared" si="114"/>
        <v>1</v>
      </c>
      <c r="AA320" s="211">
        <f t="shared" si="115"/>
        <v>1</v>
      </c>
      <c r="AB320" s="211">
        <f t="shared" si="116"/>
        <v>1</v>
      </c>
      <c r="AC320" s="211">
        <f t="shared" si="117"/>
        <v>1</v>
      </c>
      <c r="AD320" s="211">
        <f t="shared" si="118"/>
        <v>1</v>
      </c>
      <c r="AE320" s="211">
        <f t="shared" si="119"/>
        <v>1</v>
      </c>
    </row>
    <row r="321" spans="1:31" ht="24.95" customHeight="1" x14ac:dyDescent="0.25">
      <c r="B321" s="212">
        <f t="shared" si="123"/>
        <v>6</v>
      </c>
      <c r="C321" s="202" t="str">
        <f t="shared" si="109"/>
        <v>JUNED</v>
      </c>
      <c r="D321" s="213"/>
      <c r="E321" s="214" t="str">
        <f t="shared" si="110"/>
        <v>C</v>
      </c>
      <c r="F321" s="215" t="s">
        <v>36</v>
      </c>
      <c r="G321" s="215" t="s">
        <v>37</v>
      </c>
      <c r="H321" s="215" t="s">
        <v>37</v>
      </c>
      <c r="I321" s="215" t="s">
        <v>37</v>
      </c>
      <c r="J321" s="215" t="s">
        <v>37</v>
      </c>
      <c r="K321" s="215" t="s">
        <v>37</v>
      </c>
      <c r="L321" s="215" t="s">
        <v>37</v>
      </c>
      <c r="M321" s="216">
        <f t="shared" si="120"/>
        <v>6</v>
      </c>
      <c r="N321" s="217" t="str">
        <f t="shared" si="121"/>
        <v>Rp</v>
      </c>
      <c r="O321" s="218">
        <f t="shared" si="111"/>
        <v>100000</v>
      </c>
      <c r="P321" s="217" t="str">
        <f t="shared" si="122"/>
        <v>Rp</v>
      </c>
      <c r="Q321" s="219">
        <f t="shared" si="112"/>
        <v>600000</v>
      </c>
      <c r="R321" s="222"/>
      <c r="S321" s="223">
        <v>6</v>
      </c>
      <c r="U321" s="211"/>
      <c r="V321" s="211"/>
      <c r="Y321" s="211">
        <f t="shared" si="113"/>
        <v>0</v>
      </c>
      <c r="Z321" s="211">
        <f t="shared" si="114"/>
        <v>1</v>
      </c>
      <c r="AA321" s="211">
        <f t="shared" si="115"/>
        <v>1</v>
      </c>
      <c r="AB321" s="211">
        <f t="shared" si="116"/>
        <v>1</v>
      </c>
      <c r="AC321" s="211">
        <f t="shared" si="117"/>
        <v>1</v>
      </c>
      <c r="AD321" s="211">
        <f t="shared" si="118"/>
        <v>1</v>
      </c>
      <c r="AE321" s="211">
        <f t="shared" si="119"/>
        <v>1</v>
      </c>
    </row>
    <row r="322" spans="1:31" ht="24.95" customHeight="1" x14ac:dyDescent="0.25">
      <c r="B322" s="212">
        <f t="shared" si="123"/>
        <v>7</v>
      </c>
      <c r="C322" s="202" t="str">
        <f t="shared" si="109"/>
        <v>LASITO</v>
      </c>
      <c r="D322" s="213"/>
      <c r="E322" s="214" t="str">
        <f t="shared" si="110"/>
        <v>C</v>
      </c>
      <c r="F322" s="215" t="s">
        <v>36</v>
      </c>
      <c r="G322" s="215" t="s">
        <v>37</v>
      </c>
      <c r="H322" s="215" t="s">
        <v>37</v>
      </c>
      <c r="I322" s="215" t="s">
        <v>37</v>
      </c>
      <c r="J322" s="215" t="s">
        <v>37</v>
      </c>
      <c r="K322" s="215" t="s">
        <v>37</v>
      </c>
      <c r="L322" s="215" t="s">
        <v>37</v>
      </c>
      <c r="M322" s="216">
        <f t="shared" si="120"/>
        <v>6</v>
      </c>
      <c r="N322" s="217" t="str">
        <f t="shared" si="121"/>
        <v>Rp</v>
      </c>
      <c r="O322" s="218">
        <f t="shared" si="111"/>
        <v>100000</v>
      </c>
      <c r="P322" s="217" t="str">
        <f t="shared" si="122"/>
        <v>Rp</v>
      </c>
      <c r="Q322" s="219">
        <f t="shared" si="112"/>
        <v>600000</v>
      </c>
      <c r="R322" s="222">
        <v>7</v>
      </c>
      <c r="S322" s="221"/>
      <c r="U322" s="211"/>
      <c r="V322" s="211"/>
      <c r="Y322" s="211">
        <f t="shared" si="113"/>
        <v>0</v>
      </c>
      <c r="Z322" s="211">
        <f t="shared" si="114"/>
        <v>1</v>
      </c>
      <c r="AA322" s="211">
        <f t="shared" si="115"/>
        <v>1</v>
      </c>
      <c r="AB322" s="211">
        <f t="shared" si="116"/>
        <v>1</v>
      </c>
      <c r="AC322" s="211">
        <f t="shared" si="117"/>
        <v>1</v>
      </c>
      <c r="AD322" s="211">
        <f t="shared" si="118"/>
        <v>1</v>
      </c>
      <c r="AE322" s="211">
        <f t="shared" si="119"/>
        <v>1</v>
      </c>
    </row>
    <row r="323" spans="1:31" ht="24.95" customHeight="1" x14ac:dyDescent="0.25">
      <c r="B323" s="212">
        <f t="shared" si="123"/>
        <v>8</v>
      </c>
      <c r="C323" s="202" t="str">
        <f t="shared" si="109"/>
        <v>BONANG</v>
      </c>
      <c r="D323" s="213"/>
      <c r="E323" s="214" t="str">
        <f t="shared" si="110"/>
        <v>C</v>
      </c>
      <c r="F323" s="215" t="s">
        <v>36</v>
      </c>
      <c r="G323" s="215" t="s">
        <v>37</v>
      </c>
      <c r="H323" s="215" t="s">
        <v>37</v>
      </c>
      <c r="I323" s="215" t="s">
        <v>37</v>
      </c>
      <c r="J323" s="215" t="s">
        <v>37</v>
      </c>
      <c r="K323" s="215" t="s">
        <v>37</v>
      </c>
      <c r="L323" s="215" t="s">
        <v>37</v>
      </c>
      <c r="M323" s="216">
        <f t="shared" si="120"/>
        <v>6</v>
      </c>
      <c r="N323" s="217" t="str">
        <f t="shared" si="121"/>
        <v>Rp</v>
      </c>
      <c r="O323" s="218">
        <f t="shared" si="111"/>
        <v>100000</v>
      </c>
      <c r="P323" s="217" t="str">
        <f t="shared" si="122"/>
        <v>Rp</v>
      </c>
      <c r="Q323" s="219">
        <f t="shared" si="112"/>
        <v>600000</v>
      </c>
      <c r="R323" s="222"/>
      <c r="S323" s="223">
        <v>8</v>
      </c>
      <c r="U323" s="211"/>
      <c r="V323" s="211"/>
      <c r="Y323" s="211">
        <f t="shared" si="113"/>
        <v>0</v>
      </c>
      <c r="Z323" s="211">
        <f t="shared" si="114"/>
        <v>1</v>
      </c>
      <c r="AA323" s="211">
        <f t="shared" si="115"/>
        <v>1</v>
      </c>
      <c r="AB323" s="211">
        <f t="shared" si="116"/>
        <v>1</v>
      </c>
      <c r="AC323" s="211">
        <f t="shared" si="117"/>
        <v>1</v>
      </c>
      <c r="AD323" s="211">
        <f t="shared" si="118"/>
        <v>1</v>
      </c>
      <c r="AE323" s="211">
        <f t="shared" si="119"/>
        <v>1</v>
      </c>
    </row>
    <row r="324" spans="1:31" ht="24.95" customHeight="1" x14ac:dyDescent="0.25">
      <c r="B324" s="212">
        <f t="shared" si="123"/>
        <v>9</v>
      </c>
      <c r="C324" s="202">
        <f t="shared" si="109"/>
        <v>0</v>
      </c>
      <c r="D324" s="213"/>
      <c r="E324" s="214">
        <f t="shared" si="110"/>
        <v>0</v>
      </c>
      <c r="F324" s="215"/>
      <c r="G324" s="215"/>
      <c r="H324" s="215"/>
      <c r="I324" s="215"/>
      <c r="J324" s="215"/>
      <c r="K324" s="215"/>
      <c r="L324" s="215"/>
      <c r="M324" s="216">
        <f t="shared" si="120"/>
        <v>0</v>
      </c>
      <c r="N324" s="217" t="str">
        <f t="shared" si="121"/>
        <v xml:space="preserve"> </v>
      </c>
      <c r="O324" s="218">
        <f t="shared" si="111"/>
        <v>0</v>
      </c>
      <c r="P324" s="217" t="str">
        <f t="shared" si="122"/>
        <v xml:space="preserve"> </v>
      </c>
      <c r="Q324" s="219">
        <f t="shared" si="112"/>
        <v>0</v>
      </c>
      <c r="R324" s="222">
        <v>9</v>
      </c>
      <c r="S324" s="221"/>
      <c r="U324" s="211"/>
      <c r="V324" s="211"/>
      <c r="Y324" s="211" t="b">
        <f t="shared" si="113"/>
        <v>0</v>
      </c>
      <c r="Z324" s="211" t="b">
        <f t="shared" si="114"/>
        <v>0</v>
      </c>
      <c r="AA324" s="211" t="b">
        <f t="shared" si="115"/>
        <v>0</v>
      </c>
      <c r="AB324" s="211" t="b">
        <f t="shared" si="116"/>
        <v>0</v>
      </c>
      <c r="AC324" s="211" t="b">
        <f t="shared" si="117"/>
        <v>0</v>
      </c>
      <c r="AD324" s="211" t="b">
        <f t="shared" si="118"/>
        <v>0</v>
      </c>
      <c r="AE324" s="211" t="b">
        <f t="shared" si="119"/>
        <v>0</v>
      </c>
    </row>
    <row r="325" spans="1:31" ht="24.95" customHeight="1" x14ac:dyDescent="0.25">
      <c r="B325" s="212">
        <f t="shared" si="123"/>
        <v>10</v>
      </c>
      <c r="C325" s="202">
        <f t="shared" si="109"/>
        <v>0</v>
      </c>
      <c r="D325" s="213"/>
      <c r="E325" s="214">
        <f t="shared" si="110"/>
        <v>0</v>
      </c>
      <c r="F325" s="215"/>
      <c r="G325" s="215"/>
      <c r="H325" s="215"/>
      <c r="I325" s="215"/>
      <c r="J325" s="215"/>
      <c r="K325" s="215"/>
      <c r="L325" s="215"/>
      <c r="M325" s="216">
        <f t="shared" si="120"/>
        <v>0</v>
      </c>
      <c r="N325" s="217" t="str">
        <f t="shared" si="121"/>
        <v xml:space="preserve"> </v>
      </c>
      <c r="O325" s="218">
        <f t="shared" si="111"/>
        <v>0</v>
      </c>
      <c r="P325" s="217" t="str">
        <f t="shared" si="122"/>
        <v xml:space="preserve"> </v>
      </c>
      <c r="Q325" s="219">
        <f t="shared" si="112"/>
        <v>0</v>
      </c>
      <c r="R325" s="222"/>
      <c r="S325" s="223">
        <v>10</v>
      </c>
      <c r="U325" s="211"/>
      <c r="V325" s="211"/>
      <c r="Y325" s="211" t="b">
        <f t="shared" si="113"/>
        <v>0</v>
      </c>
      <c r="Z325" s="211" t="b">
        <f t="shared" si="114"/>
        <v>0</v>
      </c>
      <c r="AA325" s="211" t="b">
        <f t="shared" si="115"/>
        <v>0</v>
      </c>
      <c r="AB325" s="211" t="b">
        <f t="shared" si="116"/>
        <v>0</v>
      </c>
      <c r="AC325" s="211" t="b">
        <f t="shared" si="117"/>
        <v>0</v>
      </c>
      <c r="AD325" s="211" t="b">
        <f t="shared" si="118"/>
        <v>0</v>
      </c>
      <c r="AE325" s="211" t="b">
        <f t="shared" si="119"/>
        <v>0</v>
      </c>
    </row>
    <row r="326" spans="1:31" ht="24.95" customHeight="1" x14ac:dyDescent="0.25">
      <c r="B326" s="212">
        <f t="shared" si="123"/>
        <v>11</v>
      </c>
      <c r="C326" s="202">
        <f t="shared" si="109"/>
        <v>0</v>
      </c>
      <c r="D326" s="213"/>
      <c r="E326" s="214">
        <f t="shared" si="110"/>
        <v>0</v>
      </c>
      <c r="F326" s="215"/>
      <c r="G326" s="215"/>
      <c r="H326" s="215"/>
      <c r="I326" s="215"/>
      <c r="J326" s="215"/>
      <c r="K326" s="215"/>
      <c r="L326" s="215"/>
      <c r="M326" s="216">
        <f>SUM(Y326:AE326)</f>
        <v>0</v>
      </c>
      <c r="N326" s="217"/>
      <c r="O326" s="218"/>
      <c r="P326" s="217"/>
      <c r="Q326" s="219"/>
      <c r="R326" s="222">
        <v>11</v>
      </c>
      <c r="S326" s="221"/>
      <c r="U326" s="211"/>
      <c r="V326" s="211"/>
      <c r="Y326" s="211" t="b">
        <f t="shared" si="113"/>
        <v>0</v>
      </c>
      <c r="Z326" s="211" t="b">
        <f t="shared" si="114"/>
        <v>0</v>
      </c>
      <c r="AA326" s="211" t="b">
        <f t="shared" si="115"/>
        <v>0</v>
      </c>
      <c r="AB326" s="211" t="b">
        <f t="shared" si="116"/>
        <v>0</v>
      </c>
      <c r="AC326" s="211" t="b">
        <f t="shared" si="117"/>
        <v>0</v>
      </c>
      <c r="AD326" s="211" t="b">
        <f t="shared" si="118"/>
        <v>0</v>
      </c>
      <c r="AE326" s="211" t="b">
        <f t="shared" si="119"/>
        <v>0</v>
      </c>
    </row>
    <row r="327" spans="1:31" ht="24.95" customHeight="1" thickBot="1" x14ac:dyDescent="0.25">
      <c r="B327" s="233"/>
      <c r="C327" s="257"/>
      <c r="D327" s="235"/>
      <c r="E327" s="236"/>
      <c r="F327" s="237"/>
      <c r="G327" s="238"/>
      <c r="H327" s="239"/>
      <c r="I327" s="239"/>
      <c r="J327" s="240"/>
      <c r="K327" s="240"/>
      <c r="L327" s="240"/>
      <c r="M327" s="241"/>
      <c r="N327" s="242"/>
      <c r="O327" s="258"/>
      <c r="P327" s="244"/>
      <c r="Q327" s="236"/>
      <c r="R327" s="246"/>
      <c r="S327" s="247"/>
      <c r="U327" s="211"/>
      <c r="V327" s="211"/>
    </row>
    <row r="328" spans="1:31" ht="20.100000000000001" customHeight="1" thickTop="1" thickBot="1" x14ac:dyDescent="0.3">
      <c r="A328" s="179">
        <f>A290+1</f>
        <v>9</v>
      </c>
      <c r="B328" s="248"/>
      <c r="C328" s="249"/>
      <c r="D328" s="249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50" t="s">
        <v>40</v>
      </c>
      <c r="P328" s="249"/>
      <c r="Q328" s="710">
        <f>SUM(Q316:Q327)</f>
        <v>5430000</v>
      </c>
      <c r="R328" s="711"/>
      <c r="S328" s="712"/>
      <c r="U328" s="226" t="str">
        <f>VLOOKUP(A328,'Rekap Gaji'!$B$12:$P$24,10,FALSE)</f>
        <v xml:space="preserve"> 01 November 2025</v>
      </c>
      <c r="V328" s="251" t="e">
        <f>U328-Q328</f>
        <v>#VALUE!</v>
      </c>
    </row>
    <row r="329" spans="1:31" ht="11.25" customHeight="1" x14ac:dyDescent="0.25"/>
    <row r="330" spans="1:31" ht="16.5" customHeight="1" x14ac:dyDescent="0.25">
      <c r="B330" s="195" t="s">
        <v>41</v>
      </c>
      <c r="C330" s="140" t="s">
        <v>42</v>
      </c>
    </row>
    <row r="331" spans="1:31" ht="14.25" x14ac:dyDescent="0.25">
      <c r="G331" s="183"/>
      <c r="H331" s="182"/>
      <c r="M331" s="141"/>
      <c r="N331" s="141"/>
      <c r="Q331" s="140" t="str">
        <f>'BKU 1'!$I$25</f>
        <v>NGANTANG</v>
      </c>
      <c r="R331" s="713">
        <f>IFERROR(VLOOKUP(E310,'Rekap Gaji'!$B$12:$P$24,7,FALSE),"-")</f>
        <v>45962</v>
      </c>
      <c r="S331" s="713"/>
      <c r="T331" s="252"/>
      <c r="U331" s="252"/>
    </row>
    <row r="332" spans="1:31" ht="15.75" x14ac:dyDescent="0.25">
      <c r="C332" s="140" t="s">
        <v>43</v>
      </c>
      <c r="F332" s="253"/>
      <c r="G332" s="254"/>
      <c r="H332" s="255"/>
      <c r="I332" s="256"/>
      <c r="J332" s="225" t="s">
        <v>44</v>
      </c>
      <c r="K332" s="253"/>
      <c r="M332" s="141"/>
      <c r="N332" s="141"/>
      <c r="Q332" s="140" t="str">
        <f>'BKU 1'!$L$354</f>
        <v>Dibuat Oleh ;</v>
      </c>
      <c r="R332" s="141"/>
    </row>
    <row r="333" spans="1:31" ht="14.25" x14ac:dyDescent="0.25">
      <c r="C333" s="140" t="str">
        <f>'BKU 1'!$C$355</f>
        <v>Kepala Sekolah SDN 1 SIDODADI</v>
      </c>
      <c r="F333" s="187"/>
      <c r="G333" s="224"/>
      <c r="H333" s="182"/>
      <c r="I333" s="183"/>
      <c r="J333" s="140" t="s">
        <v>45</v>
      </c>
      <c r="K333" s="187"/>
      <c r="Q333" s="140" t="str">
        <f>'BKU 1'!$L$355</f>
        <v>Bendahara Pembangunan</v>
      </c>
      <c r="R333" s="141"/>
    </row>
    <row r="334" spans="1:31" ht="14.25" x14ac:dyDescent="0.25">
      <c r="F334" s="187"/>
      <c r="G334" s="224"/>
      <c r="H334" s="182"/>
      <c r="I334" s="183"/>
      <c r="K334" s="187"/>
      <c r="Q334" s="140"/>
      <c r="R334" s="141"/>
    </row>
    <row r="335" spans="1:31" ht="14.25" x14ac:dyDescent="0.25">
      <c r="F335" s="187"/>
      <c r="G335" s="224"/>
      <c r="H335" s="182"/>
      <c r="I335" s="183"/>
      <c r="K335" s="187"/>
      <c r="Q335" s="140"/>
      <c r="R335" s="141"/>
    </row>
    <row r="336" spans="1:31" ht="14.25" x14ac:dyDescent="0.25">
      <c r="F336" s="187"/>
      <c r="G336" s="224"/>
      <c r="H336" s="182"/>
      <c r="I336" s="183"/>
      <c r="K336" s="187"/>
      <c r="Q336" s="140"/>
      <c r="R336" s="141"/>
    </row>
    <row r="337" spans="1:22" ht="14.25" x14ac:dyDescent="0.25">
      <c r="F337" s="187"/>
      <c r="G337" s="224"/>
      <c r="H337" s="182"/>
      <c r="I337" s="183"/>
      <c r="K337" s="187"/>
      <c r="Q337" s="140"/>
      <c r="R337" s="141"/>
    </row>
    <row r="338" spans="1:22" x14ac:dyDescent="0.25">
      <c r="G338" s="225"/>
      <c r="Q338" s="140"/>
    </row>
    <row r="339" spans="1:22" x14ac:dyDescent="0.25">
      <c r="G339" s="225"/>
      <c r="Q339" s="140"/>
    </row>
    <row r="340" spans="1:22" s="189" customFormat="1" ht="15" customHeight="1" x14ac:dyDescent="0.25">
      <c r="A340" s="192"/>
      <c r="B340" s="195"/>
      <c r="C340" s="227" t="str">
        <f>'BKU 1'!$C$360</f>
        <v>MELIA FITRIANI, S.Pd.SD</v>
      </c>
      <c r="D340" s="227"/>
      <c r="G340" s="228"/>
      <c r="H340" s="195"/>
      <c r="I340" s="194"/>
      <c r="J340" s="229">
        <f>'BKU 1'!$G$360</f>
        <v>0</v>
      </c>
      <c r="Q340" s="227" t="str">
        <f>'BKU 1'!$L$360</f>
        <v>ARIF NUR UDIN, S.Pd.SD</v>
      </c>
      <c r="S340" s="230"/>
      <c r="U340" s="231"/>
      <c r="V340" s="231"/>
    </row>
    <row r="341" spans="1:22" s="189" customFormat="1" ht="15" customHeight="1" x14ac:dyDescent="0.25">
      <c r="A341" s="192"/>
      <c r="B341" s="195"/>
      <c r="C341" s="140" t="str">
        <f>'BKU 1'!$C$361</f>
        <v>NIP. 19850619 200904 2 000</v>
      </c>
      <c r="D341" s="140"/>
      <c r="E341" s="140"/>
      <c r="F341" s="140"/>
      <c r="G341" s="225"/>
      <c r="H341" s="191"/>
      <c r="I341" s="190"/>
      <c r="J341" s="232">
        <f>'BKU 1'!$G$361</f>
        <v>0</v>
      </c>
      <c r="K341" s="140"/>
      <c r="M341" s="140"/>
      <c r="N341" s="140"/>
      <c r="O341" s="140"/>
      <c r="P341" s="140"/>
      <c r="Q341" s="140" t="str">
        <f>'BKU 1'!$L$361</f>
        <v>NIP. 19840719 200903 1 002</v>
      </c>
      <c r="S341" s="230"/>
      <c r="U341" s="231"/>
      <c r="V341" s="231"/>
    </row>
    <row r="342" spans="1:22" ht="6" customHeight="1" x14ac:dyDescent="0.25"/>
    <row r="343" spans="1:22" s="177" customFormat="1" ht="24.95" customHeight="1" x14ac:dyDescent="0.25">
      <c r="A343" s="176"/>
      <c r="B343" s="726" t="s">
        <v>6</v>
      </c>
      <c r="C343" s="726"/>
      <c r="D343" s="726"/>
      <c r="E343" s="726"/>
      <c r="F343" s="726"/>
      <c r="G343" s="726"/>
      <c r="H343" s="726"/>
      <c r="I343" s="726"/>
      <c r="J343" s="726"/>
      <c r="K343" s="726"/>
      <c r="L343" s="726"/>
      <c r="M343" s="726"/>
      <c r="N343" s="726"/>
      <c r="O343" s="726"/>
      <c r="P343" s="726"/>
      <c r="Q343" s="726"/>
      <c r="R343" s="726"/>
      <c r="S343" s="726"/>
      <c r="U343" s="178"/>
      <c r="V343" s="178"/>
    </row>
    <row r="344" spans="1:22" s="177" customFormat="1" ht="24.95" customHeight="1" x14ac:dyDescent="0.25">
      <c r="A344" s="176"/>
      <c r="B344" s="726" t="str">
        <f>'BKU 1'!$D$22</f>
        <v>PEMBANGUNAN TOILET BESERTA SANITASINYA</v>
      </c>
      <c r="C344" s="726"/>
      <c r="D344" s="726"/>
      <c r="E344" s="726"/>
      <c r="F344" s="726"/>
      <c r="G344" s="726"/>
      <c r="H344" s="726"/>
      <c r="I344" s="726"/>
      <c r="J344" s="726"/>
      <c r="K344" s="726"/>
      <c r="L344" s="726"/>
      <c r="M344" s="726"/>
      <c r="N344" s="726"/>
      <c r="O344" s="726"/>
      <c r="P344" s="726"/>
      <c r="Q344" s="726"/>
      <c r="R344" s="726"/>
      <c r="S344" s="726"/>
      <c r="U344" s="178"/>
      <c r="V344" s="178"/>
    </row>
    <row r="345" spans="1:22" s="184" customFormat="1" ht="30.75" customHeight="1" x14ac:dyDescent="0.25">
      <c r="A345" s="179"/>
      <c r="B345" s="180"/>
      <c r="C345" s="181"/>
      <c r="D345" s="181"/>
      <c r="E345" s="181"/>
      <c r="F345" s="182"/>
      <c r="G345" s="183"/>
      <c r="H345" s="182"/>
      <c r="I345" s="183"/>
      <c r="J345" s="182"/>
      <c r="K345" s="182"/>
      <c r="L345" s="182"/>
      <c r="M345" s="181"/>
      <c r="N345" s="181"/>
      <c r="Q345" s="180"/>
      <c r="R345" s="140"/>
      <c r="S345" s="185"/>
      <c r="U345" s="186"/>
      <c r="V345" s="186"/>
    </row>
    <row r="346" spans="1:22" s="184" customFormat="1" ht="14.25" x14ac:dyDescent="0.25">
      <c r="A346" s="179"/>
      <c r="B346" s="185" t="s">
        <v>7</v>
      </c>
      <c r="D346" s="184" t="s">
        <v>49</v>
      </c>
      <c r="E346" s="184" t="str">
        <f>'BKU 1'!$D$25</f>
        <v>SDN 1 SIDODADI</v>
      </c>
      <c r="F346" s="140"/>
      <c r="G346" s="183"/>
      <c r="H346" s="182"/>
      <c r="I346" s="183"/>
      <c r="J346" s="187"/>
      <c r="K346" s="187"/>
      <c r="L346" s="187"/>
      <c r="M346" s="188"/>
      <c r="N346" s="188"/>
      <c r="Q346" s="180"/>
      <c r="R346" s="189" t="s">
        <v>8</v>
      </c>
      <c r="S346" s="185"/>
      <c r="U346" s="186"/>
      <c r="V346" s="186"/>
    </row>
    <row r="347" spans="1:22" s="184" customFormat="1" x14ac:dyDescent="0.25">
      <c r="A347" s="179"/>
      <c r="B347" s="185" t="s">
        <v>9</v>
      </c>
      <c r="D347" s="184" t="s">
        <v>49</v>
      </c>
      <c r="E347" s="184" t="str">
        <f>'BKU 1'!$D$26</f>
        <v>Jl. Kawi No.36 Rt. 1 Rw. 1 Dusun Sekar, Rt / Rw : 1 / 1, Dusun : Sekar, Kelurahan : Sidodadi</v>
      </c>
      <c r="F347" s="140"/>
      <c r="G347" s="190"/>
      <c r="H347" s="191"/>
      <c r="I347" s="190"/>
      <c r="J347" s="140"/>
      <c r="K347" s="140"/>
      <c r="L347" s="140"/>
      <c r="Q347" s="180"/>
      <c r="R347" s="140" t="s">
        <v>10</v>
      </c>
      <c r="S347" s="185" t="s">
        <v>11</v>
      </c>
      <c r="U347" s="186"/>
      <c r="V347" s="186"/>
    </row>
    <row r="348" spans="1:22" s="184" customFormat="1" x14ac:dyDescent="0.25">
      <c r="A348" s="179"/>
      <c r="B348" s="185" t="s">
        <v>12</v>
      </c>
      <c r="D348" s="184" t="s">
        <v>49</v>
      </c>
      <c r="E348" s="180">
        <f>E310+1</f>
        <v>10</v>
      </c>
      <c r="F348" s="140"/>
      <c r="G348" s="727">
        <f>IFERROR(VLOOKUP(E348,'Rekap Gaji'!$B$12:$P$24,14,FALSE),"-")</f>
        <v>0</v>
      </c>
      <c r="H348" s="727"/>
      <c r="I348" s="727"/>
      <c r="J348" s="140"/>
      <c r="K348" s="140"/>
      <c r="L348" s="140"/>
      <c r="Q348" s="180"/>
      <c r="R348" s="140" t="s">
        <v>13</v>
      </c>
      <c r="S348" s="185" t="s">
        <v>14</v>
      </c>
      <c r="U348" s="186"/>
      <c r="V348" s="186"/>
    </row>
    <row r="349" spans="1:22" s="184" customFormat="1" ht="15" customHeight="1" x14ac:dyDescent="0.25">
      <c r="A349" s="179"/>
      <c r="B349" s="185" t="s">
        <v>0</v>
      </c>
      <c r="D349" s="184" t="s">
        <v>49</v>
      </c>
      <c r="E349" s="728">
        <f>IFERROR(VLOOKUP(E348,'Rekap Gaji'!$B$12:$P$24,4,FALSE),"-")</f>
        <v>45963</v>
      </c>
      <c r="F349" s="728"/>
      <c r="G349" s="728"/>
      <c r="H349" s="728"/>
      <c r="I349" s="727" t="s">
        <v>76</v>
      </c>
      <c r="J349" s="727"/>
      <c r="K349" s="728">
        <f>IFERROR(VLOOKUP(E348,'Rekap Gaji'!$B$12:$P$24,6,FALSE),"-")</f>
        <v>45969</v>
      </c>
      <c r="L349" s="728"/>
      <c r="M349" s="728"/>
      <c r="N349" s="728"/>
      <c r="Q349" s="180"/>
      <c r="R349" s="140" t="s">
        <v>15</v>
      </c>
      <c r="S349" s="185" t="s">
        <v>16</v>
      </c>
      <c r="U349" s="186"/>
      <c r="V349" s="186"/>
    </row>
    <row r="350" spans="1:22" s="188" customFormat="1" ht="8.1" customHeight="1" thickBot="1" x14ac:dyDescent="0.3">
      <c r="A350" s="192"/>
      <c r="B350" s="193"/>
      <c r="F350" s="189"/>
      <c r="G350" s="194"/>
      <c r="H350" s="195"/>
      <c r="I350" s="194"/>
      <c r="J350" s="189"/>
      <c r="K350" s="189"/>
      <c r="L350" s="189"/>
      <c r="Q350" s="193"/>
      <c r="R350" s="189"/>
      <c r="S350" s="196"/>
      <c r="U350" s="197"/>
      <c r="V350" s="197"/>
    </row>
    <row r="351" spans="1:22" ht="15" customHeight="1" x14ac:dyDescent="0.25">
      <c r="B351" s="755" t="s">
        <v>17</v>
      </c>
      <c r="C351" s="749" t="s">
        <v>18</v>
      </c>
      <c r="D351" s="758"/>
      <c r="E351" s="153" t="s">
        <v>19</v>
      </c>
      <c r="F351" s="763" t="s">
        <v>20</v>
      </c>
      <c r="G351" s="764"/>
      <c r="H351" s="764"/>
      <c r="I351" s="764"/>
      <c r="J351" s="764"/>
      <c r="K351" s="764"/>
      <c r="L351" s="764"/>
      <c r="M351" s="152" t="s">
        <v>2</v>
      </c>
      <c r="N351" s="749" t="s">
        <v>21</v>
      </c>
      <c r="O351" s="758"/>
      <c r="P351" s="749" t="s">
        <v>22</v>
      </c>
      <c r="Q351" s="758"/>
      <c r="R351" s="749" t="s">
        <v>23</v>
      </c>
      <c r="S351" s="750"/>
    </row>
    <row r="352" spans="1:22" ht="15" customHeight="1" x14ac:dyDescent="0.25">
      <c r="B352" s="756"/>
      <c r="C352" s="751"/>
      <c r="D352" s="759"/>
      <c r="E352" s="155" t="s">
        <v>24</v>
      </c>
      <c r="F352" s="761" t="s">
        <v>25</v>
      </c>
      <c r="G352" s="761" t="s">
        <v>26</v>
      </c>
      <c r="H352" s="761" t="s">
        <v>26</v>
      </c>
      <c r="I352" s="761" t="s">
        <v>27</v>
      </c>
      <c r="J352" s="761" t="s">
        <v>28</v>
      </c>
      <c r="K352" s="761" t="s">
        <v>29</v>
      </c>
      <c r="L352" s="761" t="s">
        <v>26</v>
      </c>
      <c r="M352" s="154" t="s">
        <v>30</v>
      </c>
      <c r="N352" s="751" t="s">
        <v>31</v>
      </c>
      <c r="O352" s="759"/>
      <c r="P352" s="751" t="s">
        <v>31</v>
      </c>
      <c r="Q352" s="759"/>
      <c r="R352" s="751"/>
      <c r="S352" s="752"/>
    </row>
    <row r="353" spans="1:31" ht="15" customHeight="1" thickBot="1" x14ac:dyDescent="0.3">
      <c r="B353" s="757"/>
      <c r="C353" s="753"/>
      <c r="D353" s="760"/>
      <c r="E353" s="157" t="s">
        <v>32</v>
      </c>
      <c r="F353" s="762"/>
      <c r="G353" s="762"/>
      <c r="H353" s="762"/>
      <c r="I353" s="762"/>
      <c r="J353" s="762"/>
      <c r="K353" s="762"/>
      <c r="L353" s="762"/>
      <c r="M353" s="156" t="s">
        <v>31</v>
      </c>
      <c r="N353" s="753" t="s">
        <v>33</v>
      </c>
      <c r="O353" s="760"/>
      <c r="P353" s="753" t="s">
        <v>34</v>
      </c>
      <c r="Q353" s="760"/>
      <c r="R353" s="753"/>
      <c r="S353" s="754"/>
    </row>
    <row r="354" spans="1:31" ht="24.95" customHeight="1" x14ac:dyDescent="0.25">
      <c r="B354" s="201">
        <v>1</v>
      </c>
      <c r="C354" s="202" t="str">
        <f t="shared" ref="C354:C364" si="124">C316</f>
        <v>KHUSNUL</v>
      </c>
      <c r="D354" s="203"/>
      <c r="E354" s="204" t="str">
        <f t="shared" ref="E354:E364" si="125">E316</f>
        <v>A</v>
      </c>
      <c r="F354" s="205" t="s">
        <v>36</v>
      </c>
      <c r="G354" s="205" t="s">
        <v>37</v>
      </c>
      <c r="H354" s="205" t="s">
        <v>37</v>
      </c>
      <c r="I354" s="205" t="s">
        <v>37</v>
      </c>
      <c r="J354" s="205" t="s">
        <v>37</v>
      </c>
      <c r="K354" s="205" t="s">
        <v>37</v>
      </c>
      <c r="L354" s="205" t="s">
        <v>37</v>
      </c>
      <c r="M354" s="206">
        <f>SUM(Y354:AE354)</f>
        <v>6</v>
      </c>
      <c r="N354" s="207" t="str">
        <f>IF(O354&gt;0,"Rp",IF(O354=0," "))</f>
        <v>Rp</v>
      </c>
      <c r="O354" s="208">
        <f t="shared" ref="O354:O363" si="126">O316</f>
        <v>130000</v>
      </c>
      <c r="P354" s="207" t="str">
        <f>IF(Q354&gt;0,"Rp",IF(Q354=0," "))</f>
        <v>Rp</v>
      </c>
      <c r="Q354" s="208">
        <f t="shared" ref="Q354:Q363" si="127">O354*M354</f>
        <v>780000</v>
      </c>
      <c r="R354" s="209">
        <v>1</v>
      </c>
      <c r="S354" s="210"/>
      <c r="U354" s="260"/>
      <c r="V354" s="140"/>
      <c r="Y354" s="211">
        <f t="shared" ref="Y354:Y364" si="128">IFERROR(IF(F354="V",1,IF(F354="X",0))," ")</f>
        <v>0</v>
      </c>
      <c r="Z354" s="211">
        <f t="shared" ref="Z354:Z364" si="129">IFERROR(IF(G354="V",1,IF(G354="X",0))," ")</f>
        <v>1</v>
      </c>
      <c r="AA354" s="211">
        <f t="shared" ref="AA354:AA364" si="130">IFERROR(IF(H354="V",1,IF(H354="X",0))," ")</f>
        <v>1</v>
      </c>
      <c r="AB354" s="211">
        <f t="shared" ref="AB354:AB364" si="131">IFERROR(IF(I354="V",1,IF(I354="X",0))," ")</f>
        <v>1</v>
      </c>
      <c r="AC354" s="211">
        <f t="shared" ref="AC354:AC364" si="132">IFERROR(IF(J354="V",1,IF(J354="X",0))," ")</f>
        <v>1</v>
      </c>
      <c r="AD354" s="211">
        <f t="shared" ref="AD354:AD364" si="133">IFERROR(IF(K354="V",1,IF(K354="X",0))," ")</f>
        <v>1</v>
      </c>
      <c r="AE354" s="211">
        <f t="shared" ref="AE354:AE364" si="134">IFERROR(IF(L354="V",1,IF(L354="X",0))," ")</f>
        <v>1</v>
      </c>
    </row>
    <row r="355" spans="1:31" ht="24.95" customHeight="1" x14ac:dyDescent="0.25">
      <c r="B355" s="212">
        <f>B354+1</f>
        <v>2</v>
      </c>
      <c r="C355" s="202" t="str">
        <f t="shared" si="124"/>
        <v>PRIYO</v>
      </c>
      <c r="D355" s="213"/>
      <c r="E355" s="214" t="str">
        <f t="shared" si="125"/>
        <v>B</v>
      </c>
      <c r="F355" s="215" t="s">
        <v>36</v>
      </c>
      <c r="G355" s="215" t="s">
        <v>37</v>
      </c>
      <c r="H355" s="215" t="s">
        <v>37</v>
      </c>
      <c r="I355" s="215" t="s">
        <v>37</v>
      </c>
      <c r="J355" s="215" t="s">
        <v>37</v>
      </c>
      <c r="K355" s="215" t="s">
        <v>37</v>
      </c>
      <c r="L355" s="215" t="s">
        <v>37</v>
      </c>
      <c r="M355" s="216">
        <f t="shared" ref="M355:M363" si="135">SUM(Y355:AE355)</f>
        <v>6</v>
      </c>
      <c r="N355" s="217" t="str">
        <f t="shared" ref="N355:N363" si="136">IF(O355&gt;0,"Rp",IF(O355=0," "))</f>
        <v>Rp</v>
      </c>
      <c r="O355" s="218">
        <f t="shared" si="126"/>
        <v>125000</v>
      </c>
      <c r="P355" s="217" t="str">
        <f t="shared" ref="P355:P363" si="137">IF(Q355&gt;0,"Rp",IF(Q355=0," "))</f>
        <v>Rp</v>
      </c>
      <c r="Q355" s="219">
        <f t="shared" si="127"/>
        <v>750000</v>
      </c>
      <c r="R355" s="220"/>
      <c r="S355" s="221">
        <v>2</v>
      </c>
      <c r="U355" s="211"/>
      <c r="V355" s="211"/>
      <c r="Y355" s="211">
        <f t="shared" si="128"/>
        <v>0</v>
      </c>
      <c r="Z355" s="211">
        <f t="shared" si="129"/>
        <v>1</v>
      </c>
      <c r="AA355" s="211">
        <f t="shared" si="130"/>
        <v>1</v>
      </c>
      <c r="AB355" s="211">
        <f t="shared" si="131"/>
        <v>1</v>
      </c>
      <c r="AC355" s="211">
        <f t="shared" si="132"/>
        <v>1</v>
      </c>
      <c r="AD355" s="211">
        <f t="shared" si="133"/>
        <v>1</v>
      </c>
      <c r="AE355" s="211">
        <f t="shared" si="134"/>
        <v>1</v>
      </c>
    </row>
    <row r="356" spans="1:31" ht="24.95" customHeight="1" x14ac:dyDescent="0.25">
      <c r="B356" s="212">
        <f>B355+1</f>
        <v>3</v>
      </c>
      <c r="C356" s="202" t="str">
        <f t="shared" si="124"/>
        <v>NANANG</v>
      </c>
      <c r="D356" s="213"/>
      <c r="E356" s="214" t="str">
        <f t="shared" si="125"/>
        <v>B</v>
      </c>
      <c r="F356" s="215" t="s">
        <v>36</v>
      </c>
      <c r="G356" s="215" t="s">
        <v>37</v>
      </c>
      <c r="H356" s="215" t="s">
        <v>37</v>
      </c>
      <c r="I356" s="215" t="s">
        <v>37</v>
      </c>
      <c r="J356" s="215" t="s">
        <v>37</v>
      </c>
      <c r="K356" s="215" t="s">
        <v>37</v>
      </c>
      <c r="L356" s="215" t="s">
        <v>37</v>
      </c>
      <c r="M356" s="216">
        <f t="shared" si="135"/>
        <v>6</v>
      </c>
      <c r="N356" s="217" t="str">
        <f t="shared" si="136"/>
        <v>Rp</v>
      </c>
      <c r="O356" s="218">
        <f t="shared" si="126"/>
        <v>125000</v>
      </c>
      <c r="P356" s="217" t="str">
        <f t="shared" si="137"/>
        <v>Rp</v>
      </c>
      <c r="Q356" s="219">
        <f t="shared" si="127"/>
        <v>750000</v>
      </c>
      <c r="R356" s="222">
        <v>3</v>
      </c>
      <c r="S356" s="221"/>
      <c r="U356" s="211"/>
      <c r="V356" s="211"/>
      <c r="Y356" s="211">
        <f t="shared" si="128"/>
        <v>0</v>
      </c>
      <c r="Z356" s="211">
        <f t="shared" si="129"/>
        <v>1</v>
      </c>
      <c r="AA356" s="211">
        <f t="shared" si="130"/>
        <v>1</v>
      </c>
      <c r="AB356" s="211">
        <f t="shared" si="131"/>
        <v>1</v>
      </c>
      <c r="AC356" s="211">
        <f t="shared" si="132"/>
        <v>1</v>
      </c>
      <c r="AD356" s="211">
        <f t="shared" si="133"/>
        <v>1</v>
      </c>
      <c r="AE356" s="211">
        <f t="shared" si="134"/>
        <v>1</v>
      </c>
    </row>
    <row r="357" spans="1:31" ht="24.95" customHeight="1" x14ac:dyDescent="0.25">
      <c r="B357" s="212">
        <f>B356+1</f>
        <v>4</v>
      </c>
      <c r="C357" s="202" t="str">
        <f t="shared" si="124"/>
        <v>KOIREN</v>
      </c>
      <c r="D357" s="213"/>
      <c r="E357" s="214" t="str">
        <f t="shared" si="125"/>
        <v>B</v>
      </c>
      <c r="F357" s="215" t="s">
        <v>36</v>
      </c>
      <c r="G357" s="215" t="s">
        <v>37</v>
      </c>
      <c r="H357" s="215" t="s">
        <v>37</v>
      </c>
      <c r="I357" s="215" t="s">
        <v>37</v>
      </c>
      <c r="J357" s="215" t="s">
        <v>37</v>
      </c>
      <c r="K357" s="215" t="s">
        <v>37</v>
      </c>
      <c r="L357" s="215" t="s">
        <v>37</v>
      </c>
      <c r="M357" s="216">
        <f t="shared" si="135"/>
        <v>6</v>
      </c>
      <c r="N357" s="217" t="str">
        <f t="shared" si="136"/>
        <v>Rp</v>
      </c>
      <c r="O357" s="218">
        <f t="shared" si="126"/>
        <v>125000</v>
      </c>
      <c r="P357" s="217" t="str">
        <f t="shared" si="137"/>
        <v>Rp</v>
      </c>
      <c r="Q357" s="219">
        <f t="shared" si="127"/>
        <v>750000</v>
      </c>
      <c r="R357" s="222"/>
      <c r="S357" s="223">
        <v>4</v>
      </c>
      <c r="U357" s="211"/>
      <c r="V357" s="211"/>
      <c r="Y357" s="211">
        <f t="shared" si="128"/>
        <v>0</v>
      </c>
      <c r="Z357" s="211">
        <f t="shared" si="129"/>
        <v>1</v>
      </c>
      <c r="AA357" s="211">
        <f t="shared" si="130"/>
        <v>1</v>
      </c>
      <c r="AB357" s="211">
        <f t="shared" si="131"/>
        <v>1</v>
      </c>
      <c r="AC357" s="211">
        <f t="shared" si="132"/>
        <v>1</v>
      </c>
      <c r="AD357" s="211">
        <f t="shared" si="133"/>
        <v>1</v>
      </c>
      <c r="AE357" s="211">
        <f t="shared" si="134"/>
        <v>1</v>
      </c>
    </row>
    <row r="358" spans="1:31" ht="24.95" customHeight="1" x14ac:dyDescent="0.25">
      <c r="B358" s="212">
        <f t="shared" ref="B358:B364" si="138">B357+1</f>
        <v>5</v>
      </c>
      <c r="C358" s="202" t="str">
        <f t="shared" si="124"/>
        <v>MAT</v>
      </c>
      <c r="D358" s="213"/>
      <c r="E358" s="214" t="str">
        <f t="shared" si="125"/>
        <v>C</v>
      </c>
      <c r="F358" s="215" t="s">
        <v>36</v>
      </c>
      <c r="G358" s="215" t="s">
        <v>37</v>
      </c>
      <c r="H358" s="215" t="s">
        <v>37</v>
      </c>
      <c r="I358" s="215" t="s">
        <v>37</v>
      </c>
      <c r="J358" s="215" t="s">
        <v>37</v>
      </c>
      <c r="K358" s="215" t="s">
        <v>37</v>
      </c>
      <c r="L358" s="215" t="s">
        <v>37</v>
      </c>
      <c r="M358" s="216">
        <f t="shared" si="135"/>
        <v>6</v>
      </c>
      <c r="N358" s="217" t="str">
        <f t="shared" si="136"/>
        <v>Rp</v>
      </c>
      <c r="O358" s="218">
        <f t="shared" si="126"/>
        <v>100000</v>
      </c>
      <c r="P358" s="217" t="str">
        <f t="shared" si="137"/>
        <v>Rp</v>
      </c>
      <c r="Q358" s="219">
        <f t="shared" si="127"/>
        <v>600000</v>
      </c>
      <c r="R358" s="222">
        <v>5</v>
      </c>
      <c r="S358" s="221"/>
      <c r="U358" s="211"/>
      <c r="V358" s="211"/>
      <c r="Y358" s="211">
        <f t="shared" si="128"/>
        <v>0</v>
      </c>
      <c r="Z358" s="211">
        <f t="shared" si="129"/>
        <v>1</v>
      </c>
      <c r="AA358" s="211">
        <f t="shared" si="130"/>
        <v>1</v>
      </c>
      <c r="AB358" s="211">
        <f t="shared" si="131"/>
        <v>1</v>
      </c>
      <c r="AC358" s="211">
        <f t="shared" si="132"/>
        <v>1</v>
      </c>
      <c r="AD358" s="211">
        <f t="shared" si="133"/>
        <v>1</v>
      </c>
      <c r="AE358" s="211">
        <f t="shared" si="134"/>
        <v>1</v>
      </c>
    </row>
    <row r="359" spans="1:31" ht="24.95" customHeight="1" x14ac:dyDescent="0.25">
      <c r="B359" s="212">
        <f t="shared" si="138"/>
        <v>6</v>
      </c>
      <c r="C359" s="202" t="str">
        <f t="shared" si="124"/>
        <v>JUNED</v>
      </c>
      <c r="D359" s="213"/>
      <c r="E359" s="214" t="str">
        <f t="shared" si="125"/>
        <v>C</v>
      </c>
      <c r="F359" s="215" t="s">
        <v>36</v>
      </c>
      <c r="G359" s="215" t="s">
        <v>37</v>
      </c>
      <c r="H359" s="215" t="s">
        <v>37</v>
      </c>
      <c r="I359" s="215" t="s">
        <v>36</v>
      </c>
      <c r="J359" s="215" t="s">
        <v>37</v>
      </c>
      <c r="K359" s="215" t="s">
        <v>37</v>
      </c>
      <c r="L359" s="215" t="s">
        <v>37</v>
      </c>
      <c r="M359" s="216">
        <f t="shared" si="135"/>
        <v>5</v>
      </c>
      <c r="N359" s="217" t="str">
        <f t="shared" si="136"/>
        <v>Rp</v>
      </c>
      <c r="O359" s="218">
        <f t="shared" si="126"/>
        <v>100000</v>
      </c>
      <c r="P359" s="217" t="str">
        <f t="shared" si="137"/>
        <v>Rp</v>
      </c>
      <c r="Q359" s="219">
        <f t="shared" si="127"/>
        <v>500000</v>
      </c>
      <c r="R359" s="222"/>
      <c r="S359" s="223">
        <v>6</v>
      </c>
      <c r="U359" s="211"/>
      <c r="V359" s="211"/>
      <c r="Y359" s="211">
        <f t="shared" si="128"/>
        <v>0</v>
      </c>
      <c r="Z359" s="211">
        <f t="shared" si="129"/>
        <v>1</v>
      </c>
      <c r="AA359" s="211">
        <f t="shared" si="130"/>
        <v>1</v>
      </c>
      <c r="AB359" s="211">
        <f t="shared" si="131"/>
        <v>0</v>
      </c>
      <c r="AC359" s="211">
        <f t="shared" si="132"/>
        <v>1</v>
      </c>
      <c r="AD359" s="211">
        <f t="shared" si="133"/>
        <v>1</v>
      </c>
      <c r="AE359" s="211">
        <f t="shared" si="134"/>
        <v>1</v>
      </c>
    </row>
    <row r="360" spans="1:31" ht="24.95" customHeight="1" x14ac:dyDescent="0.25">
      <c r="B360" s="212">
        <f t="shared" si="138"/>
        <v>7</v>
      </c>
      <c r="C360" s="202" t="str">
        <f t="shared" si="124"/>
        <v>LASITO</v>
      </c>
      <c r="D360" s="213"/>
      <c r="E360" s="214" t="str">
        <f t="shared" si="125"/>
        <v>C</v>
      </c>
      <c r="F360" s="215" t="s">
        <v>36</v>
      </c>
      <c r="G360" s="215" t="s">
        <v>37</v>
      </c>
      <c r="H360" s="215" t="s">
        <v>37</v>
      </c>
      <c r="I360" s="215" t="s">
        <v>37</v>
      </c>
      <c r="J360" s="215" t="s">
        <v>37</v>
      </c>
      <c r="K360" s="215" t="s">
        <v>37</v>
      </c>
      <c r="L360" s="215" t="s">
        <v>37</v>
      </c>
      <c r="M360" s="216">
        <f t="shared" si="135"/>
        <v>6</v>
      </c>
      <c r="N360" s="217" t="str">
        <f t="shared" si="136"/>
        <v>Rp</v>
      </c>
      <c r="O360" s="218">
        <f t="shared" si="126"/>
        <v>100000</v>
      </c>
      <c r="P360" s="217" t="str">
        <f t="shared" si="137"/>
        <v>Rp</v>
      </c>
      <c r="Q360" s="219">
        <f t="shared" si="127"/>
        <v>600000</v>
      </c>
      <c r="R360" s="222">
        <v>7</v>
      </c>
      <c r="S360" s="221"/>
      <c r="U360" s="211"/>
      <c r="V360" s="211"/>
      <c r="Y360" s="211">
        <f t="shared" si="128"/>
        <v>0</v>
      </c>
      <c r="Z360" s="211">
        <f t="shared" si="129"/>
        <v>1</v>
      </c>
      <c r="AA360" s="211">
        <f t="shared" si="130"/>
        <v>1</v>
      </c>
      <c r="AB360" s="211">
        <f t="shared" si="131"/>
        <v>1</v>
      </c>
      <c r="AC360" s="211">
        <f t="shared" si="132"/>
        <v>1</v>
      </c>
      <c r="AD360" s="211">
        <f t="shared" si="133"/>
        <v>1</v>
      </c>
      <c r="AE360" s="211">
        <f t="shared" si="134"/>
        <v>1</v>
      </c>
    </row>
    <row r="361" spans="1:31" ht="24.95" customHeight="1" x14ac:dyDescent="0.25">
      <c r="B361" s="212">
        <f t="shared" si="138"/>
        <v>8</v>
      </c>
      <c r="C361" s="202" t="str">
        <f t="shared" si="124"/>
        <v>BONANG</v>
      </c>
      <c r="D361" s="213"/>
      <c r="E361" s="214" t="str">
        <f t="shared" si="125"/>
        <v>C</v>
      </c>
      <c r="F361" s="215" t="s">
        <v>36</v>
      </c>
      <c r="G361" s="215" t="s">
        <v>37</v>
      </c>
      <c r="H361" s="215" t="s">
        <v>37</v>
      </c>
      <c r="I361" s="215" t="s">
        <v>37</v>
      </c>
      <c r="J361" s="215" t="s">
        <v>37</v>
      </c>
      <c r="K361" s="215" t="s">
        <v>37</v>
      </c>
      <c r="L361" s="215" t="s">
        <v>37</v>
      </c>
      <c r="M361" s="216">
        <f t="shared" si="135"/>
        <v>6</v>
      </c>
      <c r="N361" s="217" t="str">
        <f t="shared" si="136"/>
        <v>Rp</v>
      </c>
      <c r="O361" s="218">
        <f t="shared" si="126"/>
        <v>100000</v>
      </c>
      <c r="P361" s="217" t="str">
        <f t="shared" si="137"/>
        <v>Rp</v>
      </c>
      <c r="Q361" s="219">
        <f t="shared" si="127"/>
        <v>600000</v>
      </c>
      <c r="R361" s="222"/>
      <c r="S361" s="223">
        <v>8</v>
      </c>
      <c r="U361" s="211"/>
      <c r="V361" s="211"/>
      <c r="Y361" s="211">
        <f t="shared" si="128"/>
        <v>0</v>
      </c>
      <c r="Z361" s="211">
        <f t="shared" si="129"/>
        <v>1</v>
      </c>
      <c r="AA361" s="211">
        <f t="shared" si="130"/>
        <v>1</v>
      </c>
      <c r="AB361" s="211">
        <f t="shared" si="131"/>
        <v>1</v>
      </c>
      <c r="AC361" s="211">
        <f t="shared" si="132"/>
        <v>1</v>
      </c>
      <c r="AD361" s="211">
        <f t="shared" si="133"/>
        <v>1</v>
      </c>
      <c r="AE361" s="211">
        <f t="shared" si="134"/>
        <v>1</v>
      </c>
    </row>
    <row r="362" spans="1:31" ht="24.95" customHeight="1" x14ac:dyDescent="0.25">
      <c r="B362" s="212">
        <f t="shared" si="138"/>
        <v>9</v>
      </c>
      <c r="C362" s="202">
        <f t="shared" si="124"/>
        <v>0</v>
      </c>
      <c r="D362" s="213"/>
      <c r="E362" s="214">
        <f t="shared" si="125"/>
        <v>0</v>
      </c>
      <c r="F362" s="215"/>
      <c r="G362" s="215"/>
      <c r="H362" s="215"/>
      <c r="I362" s="215"/>
      <c r="J362" s="215"/>
      <c r="K362" s="215"/>
      <c r="L362" s="215"/>
      <c r="M362" s="216">
        <f t="shared" si="135"/>
        <v>0</v>
      </c>
      <c r="N362" s="217" t="str">
        <f t="shared" si="136"/>
        <v xml:space="preserve"> </v>
      </c>
      <c r="O362" s="218">
        <f t="shared" si="126"/>
        <v>0</v>
      </c>
      <c r="P362" s="217" t="str">
        <f t="shared" si="137"/>
        <v xml:space="preserve"> </v>
      </c>
      <c r="Q362" s="219">
        <f t="shared" si="127"/>
        <v>0</v>
      </c>
      <c r="R362" s="222">
        <v>9</v>
      </c>
      <c r="S362" s="221"/>
      <c r="U362" s="211"/>
      <c r="V362" s="211"/>
      <c r="Y362" s="211" t="b">
        <f t="shared" si="128"/>
        <v>0</v>
      </c>
      <c r="Z362" s="211" t="b">
        <f t="shared" si="129"/>
        <v>0</v>
      </c>
      <c r="AA362" s="211" t="b">
        <f t="shared" si="130"/>
        <v>0</v>
      </c>
      <c r="AB362" s="211" t="b">
        <f t="shared" si="131"/>
        <v>0</v>
      </c>
      <c r="AC362" s="211" t="b">
        <f t="shared" si="132"/>
        <v>0</v>
      </c>
      <c r="AD362" s="211" t="b">
        <f t="shared" si="133"/>
        <v>0</v>
      </c>
      <c r="AE362" s="211" t="b">
        <f t="shared" si="134"/>
        <v>0</v>
      </c>
    </row>
    <row r="363" spans="1:31" ht="24.95" customHeight="1" x14ac:dyDescent="0.25">
      <c r="B363" s="212">
        <f t="shared" si="138"/>
        <v>10</v>
      </c>
      <c r="C363" s="202">
        <f t="shared" si="124"/>
        <v>0</v>
      </c>
      <c r="D363" s="213"/>
      <c r="E363" s="214">
        <f t="shared" si="125"/>
        <v>0</v>
      </c>
      <c r="F363" s="215"/>
      <c r="G363" s="215"/>
      <c r="H363" s="215"/>
      <c r="I363" s="215"/>
      <c r="J363" s="215"/>
      <c r="K363" s="215"/>
      <c r="L363" s="215"/>
      <c r="M363" s="216">
        <f t="shared" si="135"/>
        <v>0</v>
      </c>
      <c r="N363" s="217" t="str">
        <f t="shared" si="136"/>
        <v xml:space="preserve"> </v>
      </c>
      <c r="O363" s="218">
        <f t="shared" si="126"/>
        <v>0</v>
      </c>
      <c r="P363" s="217" t="str">
        <f t="shared" si="137"/>
        <v xml:space="preserve"> </v>
      </c>
      <c r="Q363" s="219">
        <f t="shared" si="127"/>
        <v>0</v>
      </c>
      <c r="R363" s="222"/>
      <c r="S363" s="223">
        <v>10</v>
      </c>
      <c r="U363" s="211"/>
      <c r="V363" s="211"/>
      <c r="Y363" s="211" t="b">
        <f t="shared" si="128"/>
        <v>0</v>
      </c>
      <c r="Z363" s="211" t="b">
        <f t="shared" si="129"/>
        <v>0</v>
      </c>
      <c r="AA363" s="211" t="b">
        <f t="shared" si="130"/>
        <v>0</v>
      </c>
      <c r="AB363" s="211" t="b">
        <f t="shared" si="131"/>
        <v>0</v>
      </c>
      <c r="AC363" s="211" t="b">
        <f t="shared" si="132"/>
        <v>0</v>
      </c>
      <c r="AD363" s="211" t="b">
        <f t="shared" si="133"/>
        <v>0</v>
      </c>
      <c r="AE363" s="211" t="b">
        <f t="shared" si="134"/>
        <v>0</v>
      </c>
    </row>
    <row r="364" spans="1:31" ht="24.95" customHeight="1" x14ac:dyDescent="0.25">
      <c r="B364" s="212">
        <f t="shared" si="138"/>
        <v>11</v>
      </c>
      <c r="C364" s="202">
        <f t="shared" si="124"/>
        <v>0</v>
      </c>
      <c r="D364" s="213"/>
      <c r="E364" s="214">
        <f t="shared" si="125"/>
        <v>0</v>
      </c>
      <c r="F364" s="215"/>
      <c r="G364" s="215"/>
      <c r="H364" s="215"/>
      <c r="I364" s="215"/>
      <c r="J364" s="215"/>
      <c r="K364" s="215"/>
      <c r="L364" s="215"/>
      <c r="M364" s="216">
        <f>SUM(Y364:AE364)</f>
        <v>0</v>
      </c>
      <c r="N364" s="217"/>
      <c r="O364" s="218"/>
      <c r="P364" s="217"/>
      <c r="Q364" s="219"/>
      <c r="R364" s="222">
        <v>11</v>
      </c>
      <c r="S364" s="221"/>
      <c r="U364" s="211"/>
      <c r="V364" s="211"/>
      <c r="Y364" s="211" t="b">
        <f t="shared" si="128"/>
        <v>0</v>
      </c>
      <c r="Z364" s="211" t="b">
        <f t="shared" si="129"/>
        <v>0</v>
      </c>
      <c r="AA364" s="211" t="b">
        <f t="shared" si="130"/>
        <v>0</v>
      </c>
      <c r="AB364" s="211" t="b">
        <f t="shared" si="131"/>
        <v>0</v>
      </c>
      <c r="AC364" s="211" t="b">
        <f t="shared" si="132"/>
        <v>0</v>
      </c>
      <c r="AD364" s="211" t="b">
        <f t="shared" si="133"/>
        <v>0</v>
      </c>
      <c r="AE364" s="211" t="b">
        <f t="shared" si="134"/>
        <v>0</v>
      </c>
    </row>
    <row r="365" spans="1:31" ht="24.95" customHeight="1" thickBot="1" x14ac:dyDescent="0.25">
      <c r="B365" s="233"/>
      <c r="C365" s="257"/>
      <c r="D365" s="235"/>
      <c r="E365" s="236"/>
      <c r="F365" s="237"/>
      <c r="G365" s="238"/>
      <c r="H365" s="239"/>
      <c r="I365" s="239"/>
      <c r="J365" s="240"/>
      <c r="K365" s="240"/>
      <c r="L365" s="240"/>
      <c r="M365" s="241"/>
      <c r="N365" s="242"/>
      <c r="O365" s="258"/>
      <c r="P365" s="244"/>
      <c r="Q365" s="236"/>
      <c r="R365" s="246"/>
      <c r="S365" s="247"/>
      <c r="U365" s="211"/>
      <c r="V365" s="211"/>
    </row>
    <row r="366" spans="1:31" ht="20.100000000000001" customHeight="1" thickTop="1" thickBot="1" x14ac:dyDescent="0.3">
      <c r="A366" s="179">
        <f>A328+1</f>
        <v>10</v>
      </c>
      <c r="B366" s="248"/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50" t="s">
        <v>40</v>
      </c>
      <c r="P366" s="249"/>
      <c r="Q366" s="710">
        <f>SUM(Q354:Q365)</f>
        <v>5330000</v>
      </c>
      <c r="R366" s="711"/>
      <c r="S366" s="712"/>
      <c r="U366" s="226" t="str">
        <f>VLOOKUP(A366,'Rekap Gaji'!$B$12:$P$24,10,FALSE)</f>
        <v xml:space="preserve"> 08 November 2025</v>
      </c>
      <c r="V366" s="251" t="e">
        <f>U366-Q366</f>
        <v>#VALUE!</v>
      </c>
    </row>
    <row r="367" spans="1:31" ht="11.25" customHeight="1" x14ac:dyDescent="0.25"/>
    <row r="368" spans="1:31" ht="16.5" customHeight="1" x14ac:dyDescent="0.25">
      <c r="B368" s="195" t="s">
        <v>41</v>
      </c>
      <c r="C368" s="140" t="s">
        <v>42</v>
      </c>
    </row>
    <row r="369" spans="1:22" ht="14.25" x14ac:dyDescent="0.25">
      <c r="G369" s="183"/>
      <c r="H369" s="182"/>
      <c r="M369" s="141"/>
      <c r="N369" s="141"/>
      <c r="Q369" s="140" t="str">
        <f>'BKU 1'!$I$25</f>
        <v>NGANTANG</v>
      </c>
      <c r="R369" s="713">
        <f>IFERROR(VLOOKUP(E348,'Rekap Gaji'!$B$12:$P$24,7,FALSE),"-")</f>
        <v>45969</v>
      </c>
      <c r="S369" s="713"/>
      <c r="T369" s="252"/>
      <c r="U369" s="252"/>
    </row>
    <row r="370" spans="1:22" ht="15.75" x14ac:dyDescent="0.25">
      <c r="C370" s="140" t="s">
        <v>43</v>
      </c>
      <c r="F370" s="253"/>
      <c r="G370" s="254"/>
      <c r="H370" s="255"/>
      <c r="I370" s="256"/>
      <c r="J370" s="225" t="s">
        <v>44</v>
      </c>
      <c r="K370" s="253"/>
      <c r="M370" s="141"/>
      <c r="N370" s="141"/>
      <c r="Q370" s="140" t="str">
        <f>'BKU 1'!$L$354</f>
        <v>Dibuat Oleh ;</v>
      </c>
      <c r="R370" s="141"/>
    </row>
    <row r="371" spans="1:22" ht="14.25" x14ac:dyDescent="0.25">
      <c r="C371" s="140" t="str">
        <f>'BKU 1'!$C$355</f>
        <v>Kepala Sekolah SDN 1 SIDODADI</v>
      </c>
      <c r="F371" s="187"/>
      <c r="G371" s="224"/>
      <c r="H371" s="182"/>
      <c r="I371" s="183"/>
      <c r="J371" s="140" t="s">
        <v>45</v>
      </c>
      <c r="K371" s="187"/>
      <c r="Q371" s="140" t="str">
        <f>'BKU 1'!$L$355</f>
        <v>Bendahara Pembangunan</v>
      </c>
      <c r="R371" s="141"/>
    </row>
    <row r="372" spans="1:22" ht="14.25" x14ac:dyDescent="0.25">
      <c r="F372" s="187"/>
      <c r="G372" s="224"/>
      <c r="H372" s="182"/>
      <c r="I372" s="183"/>
      <c r="K372" s="187"/>
      <c r="Q372" s="140"/>
      <c r="R372" s="141"/>
    </row>
    <row r="373" spans="1:22" ht="14.25" x14ac:dyDescent="0.25">
      <c r="F373" s="187"/>
      <c r="G373" s="224"/>
      <c r="H373" s="182"/>
      <c r="I373" s="183"/>
      <c r="K373" s="187"/>
      <c r="Q373" s="140"/>
      <c r="R373" s="141"/>
    </row>
    <row r="374" spans="1:22" ht="14.25" x14ac:dyDescent="0.25">
      <c r="F374" s="187"/>
      <c r="G374" s="224"/>
      <c r="H374" s="182"/>
      <c r="I374" s="183"/>
      <c r="K374" s="187"/>
      <c r="Q374" s="140"/>
      <c r="R374" s="141"/>
    </row>
    <row r="375" spans="1:22" ht="14.25" x14ac:dyDescent="0.25">
      <c r="F375" s="187"/>
      <c r="G375" s="224"/>
      <c r="H375" s="182"/>
      <c r="I375" s="183"/>
      <c r="K375" s="187"/>
      <c r="Q375" s="140"/>
      <c r="R375" s="141"/>
    </row>
    <row r="376" spans="1:22" x14ac:dyDescent="0.25">
      <c r="G376" s="225"/>
      <c r="Q376" s="140"/>
    </row>
    <row r="377" spans="1:22" x14ac:dyDescent="0.25">
      <c r="G377" s="225"/>
      <c r="Q377" s="140"/>
    </row>
    <row r="378" spans="1:22" s="189" customFormat="1" ht="15" customHeight="1" x14ac:dyDescent="0.25">
      <c r="A378" s="192"/>
      <c r="B378" s="195"/>
      <c r="C378" s="227" t="str">
        <f>'BKU 1'!$C$360</f>
        <v>MELIA FITRIANI, S.Pd.SD</v>
      </c>
      <c r="D378" s="227"/>
      <c r="G378" s="228"/>
      <c r="H378" s="195"/>
      <c r="I378" s="194"/>
      <c r="J378" s="229">
        <f>'BKU 1'!$G$360</f>
        <v>0</v>
      </c>
      <c r="Q378" s="227" t="str">
        <f>'BKU 1'!$L$360</f>
        <v>ARIF NUR UDIN, S.Pd.SD</v>
      </c>
      <c r="S378" s="230"/>
      <c r="U378" s="231"/>
      <c r="V378" s="231"/>
    </row>
    <row r="379" spans="1:22" s="189" customFormat="1" ht="15" customHeight="1" x14ac:dyDescent="0.25">
      <c r="A379" s="192"/>
      <c r="B379" s="195"/>
      <c r="C379" s="140" t="str">
        <f>'BKU 1'!$C$361</f>
        <v>NIP. 19850619 200904 2 000</v>
      </c>
      <c r="D379" s="140"/>
      <c r="E379" s="140"/>
      <c r="F379" s="140"/>
      <c r="G379" s="225"/>
      <c r="H379" s="191"/>
      <c r="I379" s="190"/>
      <c r="J379" s="232">
        <f>'BKU 1'!$G$361</f>
        <v>0</v>
      </c>
      <c r="K379" s="140"/>
      <c r="M379" s="140"/>
      <c r="N379" s="140"/>
      <c r="O379" s="140"/>
      <c r="P379" s="140"/>
      <c r="Q379" s="140" t="str">
        <f>'BKU 1'!$L$361</f>
        <v>NIP. 19840719 200903 1 002</v>
      </c>
      <c r="S379" s="230"/>
      <c r="U379" s="231"/>
      <c r="V379" s="231"/>
    </row>
    <row r="380" spans="1:22" ht="6" customHeight="1" x14ac:dyDescent="0.25"/>
    <row r="381" spans="1:22" s="177" customFormat="1" ht="24.95" customHeight="1" x14ac:dyDescent="0.25">
      <c r="A381" s="176"/>
      <c r="B381" s="726" t="s">
        <v>6</v>
      </c>
      <c r="C381" s="726"/>
      <c r="D381" s="726"/>
      <c r="E381" s="726"/>
      <c r="F381" s="726"/>
      <c r="G381" s="726"/>
      <c r="H381" s="726"/>
      <c r="I381" s="726"/>
      <c r="J381" s="726"/>
      <c r="K381" s="726"/>
      <c r="L381" s="726"/>
      <c r="M381" s="726"/>
      <c r="N381" s="726"/>
      <c r="O381" s="726"/>
      <c r="P381" s="726"/>
      <c r="Q381" s="726"/>
      <c r="R381" s="726"/>
      <c r="S381" s="726"/>
      <c r="U381" s="178"/>
      <c r="V381" s="178"/>
    </row>
    <row r="382" spans="1:22" s="177" customFormat="1" ht="24.95" customHeight="1" x14ac:dyDescent="0.25">
      <c r="A382" s="176"/>
      <c r="B382" s="726" t="str">
        <f>'BKU 1'!$D$22</f>
        <v>PEMBANGUNAN TOILET BESERTA SANITASINYA</v>
      </c>
      <c r="C382" s="726"/>
      <c r="D382" s="726"/>
      <c r="E382" s="726"/>
      <c r="F382" s="726"/>
      <c r="G382" s="726"/>
      <c r="H382" s="726"/>
      <c r="I382" s="726"/>
      <c r="J382" s="726"/>
      <c r="K382" s="726"/>
      <c r="L382" s="726"/>
      <c r="M382" s="726"/>
      <c r="N382" s="726"/>
      <c r="O382" s="726"/>
      <c r="P382" s="726"/>
      <c r="Q382" s="726"/>
      <c r="R382" s="726"/>
      <c r="S382" s="726"/>
      <c r="U382" s="178"/>
      <c r="V382" s="178"/>
    </row>
    <row r="383" spans="1:22" s="184" customFormat="1" ht="30.75" customHeight="1" x14ac:dyDescent="0.25">
      <c r="A383" s="179"/>
      <c r="B383" s="180"/>
      <c r="C383" s="181"/>
      <c r="D383" s="181"/>
      <c r="E383" s="181"/>
      <c r="F383" s="182"/>
      <c r="G383" s="183"/>
      <c r="H383" s="182"/>
      <c r="I383" s="183"/>
      <c r="J383" s="182"/>
      <c r="K383" s="182"/>
      <c r="L383" s="182"/>
      <c r="M383" s="181"/>
      <c r="N383" s="181"/>
      <c r="Q383" s="180"/>
      <c r="R383" s="140"/>
      <c r="S383" s="185"/>
      <c r="U383" s="186"/>
      <c r="V383" s="186"/>
    </row>
    <row r="384" spans="1:22" s="184" customFormat="1" ht="14.25" x14ac:dyDescent="0.25">
      <c r="A384" s="179"/>
      <c r="B384" s="185" t="s">
        <v>7</v>
      </c>
      <c r="D384" s="184" t="s">
        <v>49</v>
      </c>
      <c r="E384" s="184" t="str">
        <f>'BKU 1'!$D$25</f>
        <v>SDN 1 SIDODADI</v>
      </c>
      <c r="F384" s="140"/>
      <c r="G384" s="183"/>
      <c r="H384" s="182"/>
      <c r="I384" s="183"/>
      <c r="J384" s="187"/>
      <c r="K384" s="187"/>
      <c r="L384" s="187"/>
      <c r="M384" s="188"/>
      <c r="N384" s="188"/>
      <c r="Q384" s="180"/>
      <c r="R384" s="189" t="s">
        <v>8</v>
      </c>
      <c r="S384" s="185"/>
      <c r="U384" s="186"/>
      <c r="V384" s="186"/>
    </row>
    <row r="385" spans="1:31" s="184" customFormat="1" x14ac:dyDescent="0.25">
      <c r="A385" s="179"/>
      <c r="B385" s="185" t="s">
        <v>9</v>
      </c>
      <c r="D385" s="184" t="s">
        <v>49</v>
      </c>
      <c r="E385" s="184" t="str">
        <f>'BKU 1'!$D$26</f>
        <v>Jl. Kawi No.36 Rt. 1 Rw. 1 Dusun Sekar, Rt / Rw : 1 / 1, Dusun : Sekar, Kelurahan : Sidodadi</v>
      </c>
      <c r="F385" s="140"/>
      <c r="G385" s="190"/>
      <c r="H385" s="191"/>
      <c r="I385" s="190"/>
      <c r="J385" s="140"/>
      <c r="K385" s="140"/>
      <c r="L385" s="140"/>
      <c r="Q385" s="180"/>
      <c r="R385" s="140" t="s">
        <v>10</v>
      </c>
      <c r="S385" s="185" t="s">
        <v>11</v>
      </c>
      <c r="U385" s="186"/>
      <c r="V385" s="186"/>
    </row>
    <row r="386" spans="1:31" s="184" customFormat="1" x14ac:dyDescent="0.25">
      <c r="A386" s="179"/>
      <c r="B386" s="185" t="s">
        <v>12</v>
      </c>
      <c r="D386" s="184" t="s">
        <v>49</v>
      </c>
      <c r="E386" s="180">
        <f>E348+1</f>
        <v>11</v>
      </c>
      <c r="F386" s="140"/>
      <c r="G386" s="727">
        <f>IFERROR(VLOOKUP(E386,'Rekap Gaji'!$B$12:$P$24,14,FALSE),"-")</f>
        <v>0</v>
      </c>
      <c r="H386" s="727"/>
      <c r="I386" s="727"/>
      <c r="J386" s="140"/>
      <c r="K386" s="140"/>
      <c r="L386" s="140"/>
      <c r="Q386" s="180"/>
      <c r="R386" s="140" t="s">
        <v>13</v>
      </c>
      <c r="S386" s="185" t="s">
        <v>14</v>
      </c>
      <c r="U386" s="186"/>
      <c r="V386" s="186"/>
    </row>
    <row r="387" spans="1:31" s="184" customFormat="1" ht="15" customHeight="1" x14ac:dyDescent="0.25">
      <c r="A387" s="179"/>
      <c r="B387" s="185" t="s">
        <v>0</v>
      </c>
      <c r="D387" s="184" t="s">
        <v>49</v>
      </c>
      <c r="E387" s="728">
        <f>IFERROR(VLOOKUP(E386,'Rekap Gaji'!$B$12:$P$24,4,FALSE),"-")</f>
        <v>45970</v>
      </c>
      <c r="F387" s="728"/>
      <c r="G387" s="728"/>
      <c r="H387" s="728"/>
      <c r="I387" s="727" t="s">
        <v>76</v>
      </c>
      <c r="J387" s="727"/>
      <c r="K387" s="728">
        <f>IFERROR(VLOOKUP(E386,'Rekap Gaji'!$B$12:$P$24,6,FALSE),"-")</f>
        <v>45976</v>
      </c>
      <c r="L387" s="728"/>
      <c r="M387" s="728"/>
      <c r="N387" s="728"/>
      <c r="Q387" s="180"/>
      <c r="R387" s="140" t="s">
        <v>15</v>
      </c>
      <c r="S387" s="185" t="s">
        <v>16</v>
      </c>
      <c r="U387" s="186"/>
      <c r="V387" s="186"/>
    </row>
    <row r="388" spans="1:31" s="188" customFormat="1" ht="8.1" customHeight="1" thickBot="1" x14ac:dyDescent="0.3">
      <c r="A388" s="192"/>
      <c r="B388" s="193"/>
      <c r="F388" s="189"/>
      <c r="G388" s="194"/>
      <c r="H388" s="195"/>
      <c r="I388" s="194"/>
      <c r="J388" s="189"/>
      <c r="K388" s="189"/>
      <c r="L388" s="189"/>
      <c r="Q388" s="193"/>
      <c r="R388" s="189"/>
      <c r="S388" s="196"/>
      <c r="U388" s="197"/>
      <c r="V388" s="197"/>
    </row>
    <row r="389" spans="1:31" ht="15" customHeight="1" x14ac:dyDescent="0.25">
      <c r="B389" s="755" t="s">
        <v>17</v>
      </c>
      <c r="C389" s="749" t="s">
        <v>18</v>
      </c>
      <c r="D389" s="758"/>
      <c r="E389" s="153" t="s">
        <v>19</v>
      </c>
      <c r="F389" s="763" t="s">
        <v>20</v>
      </c>
      <c r="G389" s="764"/>
      <c r="H389" s="764"/>
      <c r="I389" s="764"/>
      <c r="J389" s="764"/>
      <c r="K389" s="764"/>
      <c r="L389" s="764"/>
      <c r="M389" s="152" t="s">
        <v>2</v>
      </c>
      <c r="N389" s="749" t="s">
        <v>21</v>
      </c>
      <c r="O389" s="758"/>
      <c r="P389" s="749" t="s">
        <v>22</v>
      </c>
      <c r="Q389" s="758"/>
      <c r="R389" s="749" t="s">
        <v>23</v>
      </c>
      <c r="S389" s="750"/>
    </row>
    <row r="390" spans="1:31" ht="15" customHeight="1" x14ac:dyDescent="0.25">
      <c r="B390" s="756"/>
      <c r="C390" s="751"/>
      <c r="D390" s="759"/>
      <c r="E390" s="155" t="s">
        <v>24</v>
      </c>
      <c r="F390" s="761" t="s">
        <v>25</v>
      </c>
      <c r="G390" s="761" t="s">
        <v>26</v>
      </c>
      <c r="H390" s="761" t="s">
        <v>26</v>
      </c>
      <c r="I390" s="761" t="s">
        <v>27</v>
      </c>
      <c r="J390" s="761" t="s">
        <v>28</v>
      </c>
      <c r="K390" s="761" t="s">
        <v>29</v>
      </c>
      <c r="L390" s="761" t="s">
        <v>26</v>
      </c>
      <c r="M390" s="154" t="s">
        <v>30</v>
      </c>
      <c r="N390" s="751" t="s">
        <v>31</v>
      </c>
      <c r="O390" s="759"/>
      <c r="P390" s="751" t="s">
        <v>31</v>
      </c>
      <c r="Q390" s="759"/>
      <c r="R390" s="751"/>
      <c r="S390" s="752"/>
    </row>
    <row r="391" spans="1:31" ht="15" customHeight="1" thickBot="1" x14ac:dyDescent="0.3">
      <c r="B391" s="757"/>
      <c r="C391" s="753"/>
      <c r="D391" s="760"/>
      <c r="E391" s="157" t="s">
        <v>32</v>
      </c>
      <c r="F391" s="762"/>
      <c r="G391" s="762"/>
      <c r="H391" s="762"/>
      <c r="I391" s="762"/>
      <c r="J391" s="762"/>
      <c r="K391" s="762"/>
      <c r="L391" s="762"/>
      <c r="M391" s="156" t="s">
        <v>31</v>
      </c>
      <c r="N391" s="753" t="s">
        <v>33</v>
      </c>
      <c r="O391" s="760"/>
      <c r="P391" s="753" t="s">
        <v>34</v>
      </c>
      <c r="Q391" s="760"/>
      <c r="R391" s="753"/>
      <c r="S391" s="754"/>
    </row>
    <row r="392" spans="1:31" ht="24.95" customHeight="1" x14ac:dyDescent="0.25">
      <c r="B392" s="201">
        <v>1</v>
      </c>
      <c r="C392" s="202" t="str">
        <f t="shared" ref="C392:C402" si="139">C354</f>
        <v>KHUSNUL</v>
      </c>
      <c r="D392" s="203"/>
      <c r="E392" s="204" t="str">
        <f t="shared" ref="E392:E402" si="140">E354</f>
        <v>A</v>
      </c>
      <c r="F392" s="205" t="s">
        <v>36</v>
      </c>
      <c r="G392" s="205" t="s">
        <v>37</v>
      </c>
      <c r="H392" s="205" t="s">
        <v>37</v>
      </c>
      <c r="I392" s="205" t="s">
        <v>37</v>
      </c>
      <c r="J392" s="205" t="s">
        <v>37</v>
      </c>
      <c r="K392" s="205" t="s">
        <v>37</v>
      </c>
      <c r="L392" s="205" t="s">
        <v>37</v>
      </c>
      <c r="M392" s="206">
        <f>SUM(Y392:AE392)</f>
        <v>6</v>
      </c>
      <c r="N392" s="207" t="str">
        <f>IF(O392&gt;0,"Rp",IF(O392=0," "))</f>
        <v>Rp</v>
      </c>
      <c r="O392" s="208">
        <f t="shared" ref="O392:O401" si="141">O354</f>
        <v>130000</v>
      </c>
      <c r="P392" s="207" t="str">
        <f>IF(Q392&gt;0,"Rp",IF(Q392=0," "))</f>
        <v>Rp</v>
      </c>
      <c r="Q392" s="208">
        <f t="shared" ref="Q392:Q401" si="142">O392*M392</f>
        <v>780000</v>
      </c>
      <c r="R392" s="209">
        <v>1</v>
      </c>
      <c r="S392" s="210"/>
      <c r="U392" s="260"/>
      <c r="V392" s="140"/>
      <c r="Y392" s="211">
        <f t="shared" ref="Y392:Y402" si="143">IFERROR(IF(F392="V",1,IF(F392="X",0))," ")</f>
        <v>0</v>
      </c>
      <c r="Z392" s="211">
        <f t="shared" ref="Z392:Z402" si="144">IFERROR(IF(G392="V",1,IF(G392="X",0))," ")</f>
        <v>1</v>
      </c>
      <c r="AA392" s="211">
        <f t="shared" ref="AA392:AA402" si="145">IFERROR(IF(H392="V",1,IF(H392="X",0))," ")</f>
        <v>1</v>
      </c>
      <c r="AB392" s="211">
        <f t="shared" ref="AB392:AB402" si="146">IFERROR(IF(I392="V",1,IF(I392="X",0))," ")</f>
        <v>1</v>
      </c>
      <c r="AC392" s="211">
        <f t="shared" ref="AC392:AC402" si="147">IFERROR(IF(J392="V",1,IF(J392="X",0))," ")</f>
        <v>1</v>
      </c>
      <c r="AD392" s="211">
        <f t="shared" ref="AD392:AD402" si="148">IFERROR(IF(K392="V",1,IF(K392="X",0))," ")</f>
        <v>1</v>
      </c>
      <c r="AE392" s="211">
        <f t="shared" ref="AE392:AE402" si="149">IFERROR(IF(L392="V",1,IF(L392="X",0))," ")</f>
        <v>1</v>
      </c>
    </row>
    <row r="393" spans="1:31" ht="24.95" customHeight="1" x14ac:dyDescent="0.25">
      <c r="B393" s="212">
        <f>B392+1</f>
        <v>2</v>
      </c>
      <c r="C393" s="202" t="str">
        <f t="shared" si="139"/>
        <v>PRIYO</v>
      </c>
      <c r="D393" s="213"/>
      <c r="E393" s="214" t="str">
        <f t="shared" si="140"/>
        <v>B</v>
      </c>
      <c r="F393" s="215" t="s">
        <v>36</v>
      </c>
      <c r="G393" s="215" t="s">
        <v>37</v>
      </c>
      <c r="H393" s="215" t="s">
        <v>37</v>
      </c>
      <c r="I393" s="215" t="s">
        <v>37</v>
      </c>
      <c r="J393" s="215" t="s">
        <v>37</v>
      </c>
      <c r="K393" s="215" t="s">
        <v>37</v>
      </c>
      <c r="L393" s="215" t="s">
        <v>37</v>
      </c>
      <c r="M393" s="216">
        <f t="shared" ref="M393:M401" si="150">SUM(Y393:AE393)</f>
        <v>6</v>
      </c>
      <c r="N393" s="217" t="str">
        <f t="shared" ref="N393:N401" si="151">IF(O393&gt;0,"Rp",IF(O393=0," "))</f>
        <v>Rp</v>
      </c>
      <c r="O393" s="218">
        <f t="shared" si="141"/>
        <v>125000</v>
      </c>
      <c r="P393" s="217" t="str">
        <f t="shared" ref="P393:P401" si="152">IF(Q393&gt;0,"Rp",IF(Q393=0," "))</f>
        <v>Rp</v>
      </c>
      <c r="Q393" s="219">
        <f t="shared" si="142"/>
        <v>750000</v>
      </c>
      <c r="R393" s="220"/>
      <c r="S393" s="221">
        <v>2</v>
      </c>
      <c r="U393" s="211"/>
      <c r="V393" s="211"/>
      <c r="Y393" s="211">
        <f t="shared" si="143"/>
        <v>0</v>
      </c>
      <c r="Z393" s="211">
        <f t="shared" si="144"/>
        <v>1</v>
      </c>
      <c r="AA393" s="211">
        <f t="shared" si="145"/>
        <v>1</v>
      </c>
      <c r="AB393" s="211">
        <f t="shared" si="146"/>
        <v>1</v>
      </c>
      <c r="AC393" s="211">
        <f t="shared" si="147"/>
        <v>1</v>
      </c>
      <c r="AD393" s="211">
        <f t="shared" si="148"/>
        <v>1</v>
      </c>
      <c r="AE393" s="211">
        <f t="shared" si="149"/>
        <v>1</v>
      </c>
    </row>
    <row r="394" spans="1:31" ht="24.95" customHeight="1" x14ac:dyDescent="0.25">
      <c r="B394" s="212">
        <f>B393+1</f>
        <v>3</v>
      </c>
      <c r="C394" s="202" t="str">
        <f t="shared" si="139"/>
        <v>NANANG</v>
      </c>
      <c r="D394" s="213"/>
      <c r="E394" s="214" t="str">
        <f t="shared" si="140"/>
        <v>B</v>
      </c>
      <c r="F394" s="215" t="s">
        <v>36</v>
      </c>
      <c r="G394" s="215" t="s">
        <v>37</v>
      </c>
      <c r="H394" s="215" t="s">
        <v>37</v>
      </c>
      <c r="I394" s="215" t="s">
        <v>37</v>
      </c>
      <c r="J394" s="215" t="s">
        <v>37</v>
      </c>
      <c r="K394" s="215" t="s">
        <v>37</v>
      </c>
      <c r="L394" s="215" t="s">
        <v>37</v>
      </c>
      <c r="M394" s="216">
        <f t="shared" si="150"/>
        <v>6</v>
      </c>
      <c r="N394" s="217" t="str">
        <f t="shared" si="151"/>
        <v>Rp</v>
      </c>
      <c r="O394" s="218">
        <f t="shared" si="141"/>
        <v>125000</v>
      </c>
      <c r="P394" s="217" t="str">
        <f t="shared" si="152"/>
        <v>Rp</v>
      </c>
      <c r="Q394" s="219">
        <f t="shared" si="142"/>
        <v>750000</v>
      </c>
      <c r="R394" s="222">
        <v>3</v>
      </c>
      <c r="S394" s="221"/>
      <c r="U394" s="211"/>
      <c r="V394" s="211"/>
      <c r="Y394" s="211">
        <f t="shared" si="143"/>
        <v>0</v>
      </c>
      <c r="Z394" s="211">
        <f t="shared" si="144"/>
        <v>1</v>
      </c>
      <c r="AA394" s="211">
        <f t="shared" si="145"/>
        <v>1</v>
      </c>
      <c r="AB394" s="211">
        <f t="shared" si="146"/>
        <v>1</v>
      </c>
      <c r="AC394" s="211">
        <f t="shared" si="147"/>
        <v>1</v>
      </c>
      <c r="AD394" s="211">
        <f t="shared" si="148"/>
        <v>1</v>
      </c>
      <c r="AE394" s="211">
        <f t="shared" si="149"/>
        <v>1</v>
      </c>
    </row>
    <row r="395" spans="1:31" ht="24.95" customHeight="1" x14ac:dyDescent="0.25">
      <c r="B395" s="212">
        <f>B394+1</f>
        <v>4</v>
      </c>
      <c r="C395" s="202" t="str">
        <f t="shared" si="139"/>
        <v>KOIREN</v>
      </c>
      <c r="D395" s="213"/>
      <c r="E395" s="214" t="str">
        <f t="shared" si="140"/>
        <v>B</v>
      </c>
      <c r="F395" s="215" t="s">
        <v>36</v>
      </c>
      <c r="G395" s="215" t="s">
        <v>37</v>
      </c>
      <c r="H395" s="215" t="s">
        <v>37</v>
      </c>
      <c r="I395" s="215" t="s">
        <v>37</v>
      </c>
      <c r="J395" s="215" t="s">
        <v>37</v>
      </c>
      <c r="K395" s="215" t="s">
        <v>37</v>
      </c>
      <c r="L395" s="215" t="s">
        <v>37</v>
      </c>
      <c r="M395" s="216">
        <f t="shared" si="150"/>
        <v>6</v>
      </c>
      <c r="N395" s="217" t="str">
        <f t="shared" si="151"/>
        <v>Rp</v>
      </c>
      <c r="O395" s="218">
        <f t="shared" si="141"/>
        <v>125000</v>
      </c>
      <c r="P395" s="217" t="str">
        <f t="shared" si="152"/>
        <v>Rp</v>
      </c>
      <c r="Q395" s="219">
        <f t="shared" si="142"/>
        <v>750000</v>
      </c>
      <c r="R395" s="222"/>
      <c r="S395" s="223">
        <v>4</v>
      </c>
      <c r="U395" s="211"/>
      <c r="V395" s="211"/>
      <c r="Y395" s="211">
        <f t="shared" si="143"/>
        <v>0</v>
      </c>
      <c r="Z395" s="211">
        <f t="shared" si="144"/>
        <v>1</v>
      </c>
      <c r="AA395" s="211">
        <f t="shared" si="145"/>
        <v>1</v>
      </c>
      <c r="AB395" s="211">
        <f t="shared" si="146"/>
        <v>1</v>
      </c>
      <c r="AC395" s="211">
        <f t="shared" si="147"/>
        <v>1</v>
      </c>
      <c r="AD395" s="211">
        <f t="shared" si="148"/>
        <v>1</v>
      </c>
      <c r="AE395" s="211">
        <f t="shared" si="149"/>
        <v>1</v>
      </c>
    </row>
    <row r="396" spans="1:31" ht="24.95" customHeight="1" x14ac:dyDescent="0.25">
      <c r="B396" s="212">
        <f t="shared" ref="B396:B402" si="153">B395+1</f>
        <v>5</v>
      </c>
      <c r="C396" s="202" t="str">
        <f t="shared" si="139"/>
        <v>MAT</v>
      </c>
      <c r="D396" s="213"/>
      <c r="E396" s="214" t="str">
        <f t="shared" si="140"/>
        <v>C</v>
      </c>
      <c r="F396" s="215" t="s">
        <v>36</v>
      </c>
      <c r="G396" s="215" t="s">
        <v>37</v>
      </c>
      <c r="H396" s="215" t="s">
        <v>37</v>
      </c>
      <c r="I396" s="215" t="s">
        <v>37</v>
      </c>
      <c r="J396" s="215" t="s">
        <v>37</v>
      </c>
      <c r="K396" s="215" t="s">
        <v>36</v>
      </c>
      <c r="L396" s="215" t="s">
        <v>37</v>
      </c>
      <c r="M396" s="216">
        <f t="shared" si="150"/>
        <v>5</v>
      </c>
      <c r="N396" s="217" t="str">
        <f t="shared" si="151"/>
        <v>Rp</v>
      </c>
      <c r="O396" s="218">
        <f t="shared" si="141"/>
        <v>100000</v>
      </c>
      <c r="P396" s="217" t="str">
        <f t="shared" si="152"/>
        <v>Rp</v>
      </c>
      <c r="Q396" s="219">
        <f t="shared" si="142"/>
        <v>500000</v>
      </c>
      <c r="R396" s="222">
        <v>5</v>
      </c>
      <c r="S396" s="221"/>
      <c r="U396" s="211"/>
      <c r="V396" s="211"/>
      <c r="Y396" s="211">
        <f t="shared" si="143"/>
        <v>0</v>
      </c>
      <c r="Z396" s="211">
        <f t="shared" si="144"/>
        <v>1</v>
      </c>
      <c r="AA396" s="211">
        <f t="shared" si="145"/>
        <v>1</v>
      </c>
      <c r="AB396" s="211">
        <f t="shared" si="146"/>
        <v>1</v>
      </c>
      <c r="AC396" s="211">
        <f t="shared" si="147"/>
        <v>1</v>
      </c>
      <c r="AD396" s="211">
        <f t="shared" si="148"/>
        <v>0</v>
      </c>
      <c r="AE396" s="211">
        <f t="shared" si="149"/>
        <v>1</v>
      </c>
    </row>
    <row r="397" spans="1:31" ht="24.95" customHeight="1" x14ac:dyDescent="0.25">
      <c r="B397" s="212">
        <f t="shared" si="153"/>
        <v>6</v>
      </c>
      <c r="C397" s="202" t="str">
        <f t="shared" si="139"/>
        <v>JUNED</v>
      </c>
      <c r="D397" s="213"/>
      <c r="E397" s="214" t="str">
        <f t="shared" si="140"/>
        <v>C</v>
      </c>
      <c r="F397" s="215" t="s">
        <v>36</v>
      </c>
      <c r="G397" s="215" t="s">
        <v>37</v>
      </c>
      <c r="H397" s="215" t="s">
        <v>37</v>
      </c>
      <c r="I397" s="215" t="s">
        <v>37</v>
      </c>
      <c r="J397" s="215" t="s">
        <v>37</v>
      </c>
      <c r="K397" s="215" t="s">
        <v>37</v>
      </c>
      <c r="L397" s="215" t="s">
        <v>36</v>
      </c>
      <c r="M397" s="216">
        <f t="shared" si="150"/>
        <v>5</v>
      </c>
      <c r="N397" s="217" t="str">
        <f t="shared" si="151"/>
        <v>Rp</v>
      </c>
      <c r="O397" s="218">
        <f t="shared" si="141"/>
        <v>100000</v>
      </c>
      <c r="P397" s="217" t="str">
        <f t="shared" si="152"/>
        <v>Rp</v>
      </c>
      <c r="Q397" s="219">
        <f t="shared" si="142"/>
        <v>500000</v>
      </c>
      <c r="R397" s="222"/>
      <c r="S397" s="223">
        <v>6</v>
      </c>
      <c r="U397" s="211"/>
      <c r="V397" s="211"/>
      <c r="Y397" s="211">
        <f t="shared" si="143"/>
        <v>0</v>
      </c>
      <c r="Z397" s="211">
        <f t="shared" si="144"/>
        <v>1</v>
      </c>
      <c r="AA397" s="211">
        <f t="shared" si="145"/>
        <v>1</v>
      </c>
      <c r="AB397" s="211">
        <f t="shared" si="146"/>
        <v>1</v>
      </c>
      <c r="AC397" s="211">
        <f t="shared" si="147"/>
        <v>1</v>
      </c>
      <c r="AD397" s="211">
        <f t="shared" si="148"/>
        <v>1</v>
      </c>
      <c r="AE397" s="211">
        <f t="shared" si="149"/>
        <v>0</v>
      </c>
    </row>
    <row r="398" spans="1:31" ht="24.95" customHeight="1" x14ac:dyDescent="0.25">
      <c r="B398" s="212">
        <f t="shared" si="153"/>
        <v>7</v>
      </c>
      <c r="C398" s="202" t="str">
        <f t="shared" si="139"/>
        <v>LASITO</v>
      </c>
      <c r="D398" s="213"/>
      <c r="E398" s="214" t="str">
        <f t="shared" si="140"/>
        <v>C</v>
      </c>
      <c r="F398" s="215" t="s">
        <v>36</v>
      </c>
      <c r="G398" s="215" t="s">
        <v>37</v>
      </c>
      <c r="H398" s="215" t="s">
        <v>37</v>
      </c>
      <c r="I398" s="215" t="s">
        <v>36</v>
      </c>
      <c r="J398" s="215" t="s">
        <v>37</v>
      </c>
      <c r="K398" s="215" t="s">
        <v>37</v>
      </c>
      <c r="L398" s="215" t="s">
        <v>37</v>
      </c>
      <c r="M398" s="216">
        <f t="shared" si="150"/>
        <v>5</v>
      </c>
      <c r="N398" s="217" t="str">
        <f t="shared" si="151"/>
        <v>Rp</v>
      </c>
      <c r="O398" s="218">
        <f t="shared" si="141"/>
        <v>100000</v>
      </c>
      <c r="P398" s="217" t="str">
        <f t="shared" si="152"/>
        <v>Rp</v>
      </c>
      <c r="Q398" s="219">
        <f t="shared" si="142"/>
        <v>500000</v>
      </c>
      <c r="R398" s="222">
        <v>7</v>
      </c>
      <c r="S398" s="221"/>
      <c r="U398" s="211"/>
      <c r="V398" s="211"/>
      <c r="Y398" s="211">
        <f t="shared" si="143"/>
        <v>0</v>
      </c>
      <c r="Z398" s="211">
        <f t="shared" si="144"/>
        <v>1</v>
      </c>
      <c r="AA398" s="211">
        <f t="shared" si="145"/>
        <v>1</v>
      </c>
      <c r="AB398" s="211">
        <f t="shared" si="146"/>
        <v>0</v>
      </c>
      <c r="AC398" s="211">
        <f t="shared" si="147"/>
        <v>1</v>
      </c>
      <c r="AD398" s="211">
        <f t="shared" si="148"/>
        <v>1</v>
      </c>
      <c r="AE398" s="211">
        <f t="shared" si="149"/>
        <v>1</v>
      </c>
    </row>
    <row r="399" spans="1:31" ht="24.95" customHeight="1" x14ac:dyDescent="0.25">
      <c r="B399" s="212">
        <f t="shared" si="153"/>
        <v>8</v>
      </c>
      <c r="C399" s="202" t="str">
        <f t="shared" si="139"/>
        <v>BONANG</v>
      </c>
      <c r="D399" s="213"/>
      <c r="E399" s="214" t="str">
        <f t="shared" si="140"/>
        <v>C</v>
      </c>
      <c r="F399" s="215" t="s">
        <v>36</v>
      </c>
      <c r="G399" s="215" t="s">
        <v>37</v>
      </c>
      <c r="H399" s="215" t="s">
        <v>37</v>
      </c>
      <c r="I399" s="215" t="s">
        <v>37</v>
      </c>
      <c r="J399" s="215" t="s">
        <v>37</v>
      </c>
      <c r="K399" s="215" t="s">
        <v>37</v>
      </c>
      <c r="L399" s="215" t="s">
        <v>37</v>
      </c>
      <c r="M399" s="216">
        <f t="shared" si="150"/>
        <v>6</v>
      </c>
      <c r="N399" s="217" t="str">
        <f t="shared" si="151"/>
        <v>Rp</v>
      </c>
      <c r="O399" s="218">
        <f t="shared" si="141"/>
        <v>100000</v>
      </c>
      <c r="P399" s="217" t="str">
        <f t="shared" si="152"/>
        <v>Rp</v>
      </c>
      <c r="Q399" s="219">
        <f t="shared" si="142"/>
        <v>600000</v>
      </c>
      <c r="R399" s="222"/>
      <c r="S399" s="223">
        <v>8</v>
      </c>
      <c r="U399" s="211"/>
      <c r="V399" s="211"/>
      <c r="Y399" s="211">
        <f t="shared" si="143"/>
        <v>0</v>
      </c>
      <c r="Z399" s="211">
        <f t="shared" si="144"/>
        <v>1</v>
      </c>
      <c r="AA399" s="211">
        <f t="shared" si="145"/>
        <v>1</v>
      </c>
      <c r="AB399" s="211">
        <f t="shared" si="146"/>
        <v>1</v>
      </c>
      <c r="AC399" s="211">
        <f t="shared" si="147"/>
        <v>1</v>
      </c>
      <c r="AD399" s="211">
        <f t="shared" si="148"/>
        <v>1</v>
      </c>
      <c r="AE399" s="211">
        <f t="shared" si="149"/>
        <v>1</v>
      </c>
    </row>
    <row r="400" spans="1:31" ht="24.95" customHeight="1" x14ac:dyDescent="0.25">
      <c r="B400" s="212">
        <f t="shared" si="153"/>
        <v>9</v>
      </c>
      <c r="C400" s="202">
        <f t="shared" si="139"/>
        <v>0</v>
      </c>
      <c r="D400" s="213"/>
      <c r="E400" s="214">
        <f t="shared" si="140"/>
        <v>0</v>
      </c>
      <c r="F400" s="215"/>
      <c r="G400" s="215"/>
      <c r="H400" s="215"/>
      <c r="I400" s="215"/>
      <c r="J400" s="215"/>
      <c r="K400" s="215"/>
      <c r="L400" s="215"/>
      <c r="M400" s="216">
        <f t="shared" si="150"/>
        <v>0</v>
      </c>
      <c r="N400" s="217" t="str">
        <f t="shared" si="151"/>
        <v xml:space="preserve"> </v>
      </c>
      <c r="O400" s="218">
        <f t="shared" si="141"/>
        <v>0</v>
      </c>
      <c r="P400" s="217" t="str">
        <f t="shared" si="152"/>
        <v xml:space="preserve"> </v>
      </c>
      <c r="Q400" s="219">
        <f t="shared" si="142"/>
        <v>0</v>
      </c>
      <c r="R400" s="222">
        <v>9</v>
      </c>
      <c r="S400" s="221"/>
      <c r="U400" s="211"/>
      <c r="V400" s="211"/>
      <c r="Y400" s="211" t="b">
        <f t="shared" si="143"/>
        <v>0</v>
      </c>
      <c r="Z400" s="211" t="b">
        <f t="shared" si="144"/>
        <v>0</v>
      </c>
      <c r="AA400" s="211" t="b">
        <f t="shared" si="145"/>
        <v>0</v>
      </c>
      <c r="AB400" s="211" t="b">
        <f t="shared" si="146"/>
        <v>0</v>
      </c>
      <c r="AC400" s="211" t="b">
        <f t="shared" si="147"/>
        <v>0</v>
      </c>
      <c r="AD400" s="211" t="b">
        <f t="shared" si="148"/>
        <v>0</v>
      </c>
      <c r="AE400" s="211" t="b">
        <f t="shared" si="149"/>
        <v>0</v>
      </c>
    </row>
    <row r="401" spans="1:31" ht="24.95" customHeight="1" x14ac:dyDescent="0.25">
      <c r="B401" s="212">
        <f t="shared" si="153"/>
        <v>10</v>
      </c>
      <c r="C401" s="202">
        <f t="shared" si="139"/>
        <v>0</v>
      </c>
      <c r="D401" s="213"/>
      <c r="E401" s="214">
        <f t="shared" si="140"/>
        <v>0</v>
      </c>
      <c r="F401" s="215"/>
      <c r="G401" s="215"/>
      <c r="H401" s="215"/>
      <c r="I401" s="215"/>
      <c r="J401" s="215"/>
      <c r="K401" s="215"/>
      <c r="L401" s="215"/>
      <c r="M401" s="216">
        <f t="shared" si="150"/>
        <v>0</v>
      </c>
      <c r="N401" s="217" t="str">
        <f t="shared" si="151"/>
        <v xml:space="preserve"> </v>
      </c>
      <c r="O401" s="218">
        <f t="shared" si="141"/>
        <v>0</v>
      </c>
      <c r="P401" s="217" t="str">
        <f t="shared" si="152"/>
        <v xml:space="preserve"> </v>
      </c>
      <c r="Q401" s="219">
        <f t="shared" si="142"/>
        <v>0</v>
      </c>
      <c r="R401" s="222"/>
      <c r="S401" s="223">
        <v>10</v>
      </c>
      <c r="U401" s="211"/>
      <c r="V401" s="211"/>
      <c r="Y401" s="211" t="b">
        <f t="shared" si="143"/>
        <v>0</v>
      </c>
      <c r="Z401" s="211" t="b">
        <f t="shared" si="144"/>
        <v>0</v>
      </c>
      <c r="AA401" s="211" t="b">
        <f t="shared" si="145"/>
        <v>0</v>
      </c>
      <c r="AB401" s="211" t="b">
        <f t="shared" si="146"/>
        <v>0</v>
      </c>
      <c r="AC401" s="211" t="b">
        <f t="shared" si="147"/>
        <v>0</v>
      </c>
      <c r="AD401" s="211" t="b">
        <f t="shared" si="148"/>
        <v>0</v>
      </c>
      <c r="AE401" s="211" t="b">
        <f t="shared" si="149"/>
        <v>0</v>
      </c>
    </row>
    <row r="402" spans="1:31" ht="24.95" customHeight="1" x14ac:dyDescent="0.25">
      <c r="B402" s="212">
        <f t="shared" si="153"/>
        <v>11</v>
      </c>
      <c r="C402" s="202">
        <f t="shared" si="139"/>
        <v>0</v>
      </c>
      <c r="D402" s="213"/>
      <c r="E402" s="214">
        <f t="shared" si="140"/>
        <v>0</v>
      </c>
      <c r="F402" s="215"/>
      <c r="G402" s="215"/>
      <c r="H402" s="215"/>
      <c r="I402" s="215"/>
      <c r="J402" s="215"/>
      <c r="K402" s="215"/>
      <c r="L402" s="215"/>
      <c r="M402" s="216">
        <f>SUM(Y402:AE402)</f>
        <v>0</v>
      </c>
      <c r="N402" s="217"/>
      <c r="O402" s="218"/>
      <c r="P402" s="217"/>
      <c r="Q402" s="219"/>
      <c r="R402" s="222">
        <v>11</v>
      </c>
      <c r="S402" s="221"/>
      <c r="U402" s="211"/>
      <c r="V402" s="211"/>
      <c r="Y402" s="211" t="b">
        <f t="shared" si="143"/>
        <v>0</v>
      </c>
      <c r="Z402" s="211" t="b">
        <f t="shared" si="144"/>
        <v>0</v>
      </c>
      <c r="AA402" s="211" t="b">
        <f t="shared" si="145"/>
        <v>0</v>
      </c>
      <c r="AB402" s="211" t="b">
        <f t="shared" si="146"/>
        <v>0</v>
      </c>
      <c r="AC402" s="211" t="b">
        <f t="shared" si="147"/>
        <v>0</v>
      </c>
      <c r="AD402" s="211" t="b">
        <f t="shared" si="148"/>
        <v>0</v>
      </c>
      <c r="AE402" s="211" t="b">
        <f t="shared" si="149"/>
        <v>0</v>
      </c>
    </row>
    <row r="403" spans="1:31" ht="24.95" customHeight="1" thickBot="1" x14ac:dyDescent="0.25">
      <c r="B403" s="233"/>
      <c r="C403" s="257"/>
      <c r="D403" s="235"/>
      <c r="E403" s="236"/>
      <c r="F403" s="237"/>
      <c r="G403" s="238"/>
      <c r="H403" s="239"/>
      <c r="I403" s="239"/>
      <c r="J403" s="240"/>
      <c r="K403" s="240"/>
      <c r="L403" s="240"/>
      <c r="M403" s="241"/>
      <c r="N403" s="242"/>
      <c r="O403" s="258"/>
      <c r="P403" s="244"/>
      <c r="Q403" s="236"/>
      <c r="R403" s="246"/>
      <c r="S403" s="247"/>
      <c r="U403" s="211"/>
      <c r="V403" s="211"/>
    </row>
    <row r="404" spans="1:31" ht="20.100000000000001" customHeight="1" thickTop="1" thickBot="1" x14ac:dyDescent="0.3">
      <c r="A404" s="179">
        <f>A366+1</f>
        <v>11</v>
      </c>
      <c r="B404" s="248"/>
      <c r="C404" s="249"/>
      <c r="D404" s="249"/>
      <c r="E404" s="249"/>
      <c r="F404" s="249"/>
      <c r="G404" s="249"/>
      <c r="H404" s="249"/>
      <c r="I404" s="249"/>
      <c r="J404" s="249"/>
      <c r="K404" s="249"/>
      <c r="L404" s="249"/>
      <c r="M404" s="249"/>
      <c r="N404" s="249"/>
      <c r="O404" s="250" t="s">
        <v>40</v>
      </c>
      <c r="P404" s="249"/>
      <c r="Q404" s="710">
        <f>SUM(Q392:Q403)</f>
        <v>5130000</v>
      </c>
      <c r="R404" s="711"/>
      <c r="S404" s="712"/>
      <c r="U404" s="226" t="str">
        <f>VLOOKUP(A404,'Rekap Gaji'!$B$12:$P$24,10,FALSE)</f>
        <v xml:space="preserve"> 15 November 2025</v>
      </c>
      <c r="V404" s="251" t="e">
        <f>U404-Q404</f>
        <v>#VALUE!</v>
      </c>
    </row>
    <row r="405" spans="1:31" ht="11.25" customHeight="1" x14ac:dyDescent="0.25"/>
    <row r="406" spans="1:31" ht="16.5" customHeight="1" x14ac:dyDescent="0.25">
      <c r="B406" s="195" t="s">
        <v>41</v>
      </c>
      <c r="C406" s="140" t="s">
        <v>42</v>
      </c>
    </row>
    <row r="407" spans="1:31" ht="14.25" x14ac:dyDescent="0.25">
      <c r="G407" s="183"/>
      <c r="H407" s="182"/>
      <c r="M407" s="141"/>
      <c r="N407" s="141"/>
      <c r="Q407" s="140" t="str">
        <f>'BKU 1'!$I$25</f>
        <v>NGANTANG</v>
      </c>
      <c r="R407" s="713">
        <f>IFERROR(VLOOKUP(E386,'Rekap Gaji'!$B$12:$P$24,7,FALSE),"-")</f>
        <v>45976</v>
      </c>
      <c r="S407" s="713"/>
      <c r="T407" s="252"/>
      <c r="U407" s="252"/>
    </row>
    <row r="408" spans="1:31" ht="15.75" x14ac:dyDescent="0.25">
      <c r="C408" s="140" t="s">
        <v>43</v>
      </c>
      <c r="F408" s="253"/>
      <c r="G408" s="254"/>
      <c r="H408" s="255"/>
      <c r="I408" s="256"/>
      <c r="J408" s="225" t="s">
        <v>44</v>
      </c>
      <c r="K408" s="253"/>
      <c r="M408" s="141"/>
      <c r="N408" s="141"/>
      <c r="Q408" s="140" t="str">
        <f>'BKU 1'!$L$354</f>
        <v>Dibuat Oleh ;</v>
      </c>
      <c r="R408" s="141"/>
    </row>
    <row r="409" spans="1:31" ht="14.25" x14ac:dyDescent="0.25">
      <c r="C409" s="140" t="str">
        <f>'BKU 1'!$C$355</f>
        <v>Kepala Sekolah SDN 1 SIDODADI</v>
      </c>
      <c r="F409" s="187"/>
      <c r="G409" s="224"/>
      <c r="H409" s="182"/>
      <c r="I409" s="183"/>
      <c r="J409" s="140" t="s">
        <v>45</v>
      </c>
      <c r="K409" s="187"/>
      <c r="Q409" s="140" t="str">
        <f>'BKU 1'!$L$355</f>
        <v>Bendahara Pembangunan</v>
      </c>
      <c r="R409" s="141"/>
    </row>
    <row r="410" spans="1:31" ht="14.25" x14ac:dyDescent="0.25">
      <c r="F410" s="187"/>
      <c r="G410" s="224"/>
      <c r="H410" s="182"/>
      <c r="I410" s="183"/>
      <c r="K410" s="187"/>
      <c r="Q410" s="140"/>
      <c r="R410" s="141"/>
    </row>
    <row r="411" spans="1:31" ht="14.25" x14ac:dyDescent="0.25">
      <c r="F411" s="187"/>
      <c r="G411" s="224"/>
      <c r="H411" s="182"/>
      <c r="I411" s="183"/>
      <c r="K411" s="187"/>
      <c r="Q411" s="140"/>
      <c r="R411" s="141"/>
    </row>
    <row r="412" spans="1:31" ht="14.25" x14ac:dyDescent="0.25">
      <c r="F412" s="187"/>
      <c r="G412" s="224"/>
      <c r="H412" s="182"/>
      <c r="I412" s="183"/>
      <c r="K412" s="187"/>
      <c r="Q412" s="140"/>
      <c r="R412" s="141"/>
    </row>
    <row r="413" spans="1:31" ht="14.25" x14ac:dyDescent="0.25">
      <c r="F413" s="187"/>
      <c r="G413" s="224"/>
      <c r="H413" s="182"/>
      <c r="I413" s="183"/>
      <c r="K413" s="187"/>
      <c r="Q413" s="140"/>
      <c r="R413" s="141"/>
    </row>
    <row r="414" spans="1:31" x14ac:dyDescent="0.25">
      <c r="G414" s="225"/>
      <c r="Q414" s="140"/>
    </row>
    <row r="415" spans="1:31" x14ac:dyDescent="0.25">
      <c r="G415" s="225"/>
      <c r="Q415" s="140"/>
    </row>
    <row r="416" spans="1:31" s="189" customFormat="1" ht="15" customHeight="1" x14ac:dyDescent="0.25">
      <c r="A416" s="192"/>
      <c r="B416" s="195"/>
      <c r="C416" s="227" t="str">
        <f>'BKU 1'!$C$360</f>
        <v>MELIA FITRIANI, S.Pd.SD</v>
      </c>
      <c r="D416" s="227"/>
      <c r="G416" s="228"/>
      <c r="H416" s="195"/>
      <c r="I416" s="194"/>
      <c r="J416" s="229">
        <f>'BKU 1'!$G$360</f>
        <v>0</v>
      </c>
      <c r="Q416" s="227" t="str">
        <f>'BKU 1'!$L$360</f>
        <v>ARIF NUR UDIN, S.Pd.SD</v>
      </c>
      <c r="S416" s="230"/>
      <c r="U416" s="231"/>
      <c r="V416" s="231"/>
    </row>
    <row r="417" spans="1:31" s="189" customFormat="1" ht="15" customHeight="1" x14ac:dyDescent="0.25">
      <c r="A417" s="192"/>
      <c r="B417" s="195"/>
      <c r="C417" s="140" t="str">
        <f>'BKU 1'!$C$361</f>
        <v>NIP. 19850619 200904 2 000</v>
      </c>
      <c r="D417" s="140"/>
      <c r="E417" s="140"/>
      <c r="F417" s="140"/>
      <c r="G417" s="225"/>
      <c r="H417" s="191"/>
      <c r="I417" s="190"/>
      <c r="J417" s="232">
        <f>'BKU 1'!$G$361</f>
        <v>0</v>
      </c>
      <c r="K417" s="140"/>
      <c r="M417" s="140"/>
      <c r="N417" s="140"/>
      <c r="O417" s="140"/>
      <c r="P417" s="140"/>
      <c r="Q417" s="140" t="str">
        <f>'BKU 1'!$L$361</f>
        <v>NIP. 19840719 200903 1 002</v>
      </c>
      <c r="S417" s="230"/>
      <c r="U417" s="231"/>
      <c r="V417" s="231"/>
    </row>
    <row r="418" spans="1:31" ht="6" customHeight="1" x14ac:dyDescent="0.25"/>
    <row r="419" spans="1:31" s="177" customFormat="1" ht="24.95" customHeight="1" x14ac:dyDescent="0.25">
      <c r="A419" s="176"/>
      <c r="B419" s="726" t="s">
        <v>6</v>
      </c>
      <c r="C419" s="726"/>
      <c r="D419" s="726"/>
      <c r="E419" s="726"/>
      <c r="F419" s="726"/>
      <c r="G419" s="726"/>
      <c r="H419" s="726"/>
      <c r="I419" s="726"/>
      <c r="J419" s="726"/>
      <c r="K419" s="726"/>
      <c r="L419" s="726"/>
      <c r="M419" s="726"/>
      <c r="N419" s="726"/>
      <c r="O419" s="726"/>
      <c r="P419" s="726"/>
      <c r="Q419" s="726"/>
      <c r="R419" s="726"/>
      <c r="S419" s="726"/>
      <c r="U419" s="178"/>
      <c r="V419" s="178"/>
    </row>
    <row r="420" spans="1:31" s="177" customFormat="1" ht="24.95" customHeight="1" x14ac:dyDescent="0.25">
      <c r="A420" s="176"/>
      <c r="B420" s="726" t="str">
        <f>'BKU 1'!$D$22</f>
        <v>PEMBANGUNAN TOILET BESERTA SANITASINYA</v>
      </c>
      <c r="C420" s="726"/>
      <c r="D420" s="726"/>
      <c r="E420" s="726"/>
      <c r="F420" s="726"/>
      <c r="G420" s="726"/>
      <c r="H420" s="726"/>
      <c r="I420" s="726"/>
      <c r="J420" s="726"/>
      <c r="K420" s="726"/>
      <c r="L420" s="726"/>
      <c r="M420" s="726"/>
      <c r="N420" s="726"/>
      <c r="O420" s="726"/>
      <c r="P420" s="726"/>
      <c r="Q420" s="726"/>
      <c r="R420" s="726"/>
      <c r="S420" s="726"/>
      <c r="U420" s="178"/>
      <c r="V420" s="178"/>
    </row>
    <row r="421" spans="1:31" s="184" customFormat="1" ht="30.75" customHeight="1" x14ac:dyDescent="0.25">
      <c r="A421" s="179"/>
      <c r="B421" s="180"/>
      <c r="C421" s="181"/>
      <c r="D421" s="181"/>
      <c r="E421" s="181"/>
      <c r="F421" s="182"/>
      <c r="G421" s="183"/>
      <c r="H421" s="182"/>
      <c r="I421" s="183"/>
      <c r="J421" s="182"/>
      <c r="K421" s="182"/>
      <c r="L421" s="182"/>
      <c r="M421" s="181"/>
      <c r="N421" s="181"/>
      <c r="Q421" s="180"/>
      <c r="R421" s="140"/>
      <c r="S421" s="185"/>
      <c r="U421" s="186"/>
      <c r="V421" s="186"/>
    </row>
    <row r="422" spans="1:31" s="184" customFormat="1" ht="14.25" x14ac:dyDescent="0.25">
      <c r="A422" s="179"/>
      <c r="B422" s="185" t="s">
        <v>7</v>
      </c>
      <c r="D422" s="184" t="s">
        <v>49</v>
      </c>
      <c r="E422" s="184" t="str">
        <f>'BKU 1'!$D$25</f>
        <v>SDN 1 SIDODADI</v>
      </c>
      <c r="F422" s="140"/>
      <c r="G422" s="183"/>
      <c r="H422" s="182"/>
      <c r="I422" s="183"/>
      <c r="J422" s="187"/>
      <c r="K422" s="187"/>
      <c r="L422" s="187"/>
      <c r="M422" s="188"/>
      <c r="N422" s="188"/>
      <c r="Q422" s="180"/>
      <c r="R422" s="189" t="s">
        <v>8</v>
      </c>
      <c r="S422" s="185"/>
      <c r="U422" s="186"/>
      <c r="V422" s="186"/>
    </row>
    <row r="423" spans="1:31" s="184" customFormat="1" x14ac:dyDescent="0.25">
      <c r="A423" s="179"/>
      <c r="B423" s="185" t="s">
        <v>9</v>
      </c>
      <c r="D423" s="184" t="s">
        <v>49</v>
      </c>
      <c r="E423" s="184" t="str">
        <f>'BKU 1'!$D$26</f>
        <v>Jl. Kawi No.36 Rt. 1 Rw. 1 Dusun Sekar, Rt / Rw : 1 / 1, Dusun : Sekar, Kelurahan : Sidodadi</v>
      </c>
      <c r="F423" s="140"/>
      <c r="G423" s="190"/>
      <c r="H423" s="191"/>
      <c r="I423" s="190"/>
      <c r="J423" s="140"/>
      <c r="K423" s="140"/>
      <c r="L423" s="140"/>
      <c r="Q423" s="180"/>
      <c r="R423" s="140" t="s">
        <v>10</v>
      </c>
      <c r="S423" s="185" t="s">
        <v>11</v>
      </c>
      <c r="U423" s="186"/>
      <c r="V423" s="186"/>
    </row>
    <row r="424" spans="1:31" s="184" customFormat="1" x14ac:dyDescent="0.25">
      <c r="A424" s="179"/>
      <c r="B424" s="185" t="s">
        <v>12</v>
      </c>
      <c r="D424" s="184" t="s">
        <v>49</v>
      </c>
      <c r="E424" s="180">
        <f>E386+1</f>
        <v>12</v>
      </c>
      <c r="F424" s="140"/>
      <c r="G424" s="727">
        <f>IFERROR(VLOOKUP(E424,'Rekap Gaji'!$B$12:$P$24,14,FALSE),"-")</f>
        <v>0</v>
      </c>
      <c r="H424" s="727"/>
      <c r="I424" s="727"/>
      <c r="J424" s="140"/>
      <c r="K424" s="140"/>
      <c r="L424" s="140"/>
      <c r="Q424" s="180"/>
      <c r="R424" s="140" t="s">
        <v>13</v>
      </c>
      <c r="S424" s="185" t="s">
        <v>14</v>
      </c>
      <c r="U424" s="186"/>
      <c r="V424" s="186"/>
    </row>
    <row r="425" spans="1:31" s="184" customFormat="1" ht="15" customHeight="1" x14ac:dyDescent="0.25">
      <c r="A425" s="179"/>
      <c r="B425" s="185" t="s">
        <v>0</v>
      </c>
      <c r="D425" s="184" t="s">
        <v>49</v>
      </c>
      <c r="E425" s="728">
        <f>IFERROR(VLOOKUP(E424,'Rekap Gaji'!$B$12:$P$24,4,FALSE),"-")</f>
        <v>45977</v>
      </c>
      <c r="F425" s="728"/>
      <c r="G425" s="728"/>
      <c r="H425" s="728"/>
      <c r="I425" s="727" t="s">
        <v>76</v>
      </c>
      <c r="J425" s="727"/>
      <c r="K425" s="728">
        <f>IFERROR(VLOOKUP(E424,'Rekap Gaji'!$B$12:$P$24,6,FALSE),"-")</f>
        <v>45983</v>
      </c>
      <c r="L425" s="728"/>
      <c r="M425" s="728"/>
      <c r="N425" s="728"/>
      <c r="Q425" s="180"/>
      <c r="R425" s="140" t="s">
        <v>15</v>
      </c>
      <c r="S425" s="185" t="s">
        <v>16</v>
      </c>
      <c r="U425" s="186"/>
      <c r="V425" s="186"/>
    </row>
    <row r="426" spans="1:31" s="188" customFormat="1" ht="8.1" customHeight="1" thickBot="1" x14ac:dyDescent="0.3">
      <c r="A426" s="192"/>
      <c r="B426" s="193"/>
      <c r="F426" s="189"/>
      <c r="G426" s="194"/>
      <c r="H426" s="195"/>
      <c r="I426" s="194"/>
      <c r="J426" s="189"/>
      <c r="K426" s="189"/>
      <c r="L426" s="189"/>
      <c r="Q426" s="193"/>
      <c r="R426" s="189"/>
      <c r="S426" s="196"/>
      <c r="U426" s="197"/>
      <c r="V426" s="197"/>
    </row>
    <row r="427" spans="1:31" ht="15" customHeight="1" x14ac:dyDescent="0.25">
      <c r="B427" s="755" t="s">
        <v>17</v>
      </c>
      <c r="C427" s="749" t="s">
        <v>18</v>
      </c>
      <c r="D427" s="758"/>
      <c r="E427" s="153" t="s">
        <v>19</v>
      </c>
      <c r="F427" s="763" t="s">
        <v>20</v>
      </c>
      <c r="G427" s="764"/>
      <c r="H427" s="764"/>
      <c r="I427" s="764"/>
      <c r="J427" s="764"/>
      <c r="K427" s="764"/>
      <c r="L427" s="764"/>
      <c r="M427" s="152" t="s">
        <v>2</v>
      </c>
      <c r="N427" s="749" t="s">
        <v>21</v>
      </c>
      <c r="O427" s="758"/>
      <c r="P427" s="749" t="s">
        <v>22</v>
      </c>
      <c r="Q427" s="758"/>
      <c r="R427" s="749" t="s">
        <v>23</v>
      </c>
      <c r="S427" s="750"/>
    </row>
    <row r="428" spans="1:31" ht="15" customHeight="1" x14ac:dyDescent="0.25">
      <c r="B428" s="756"/>
      <c r="C428" s="751"/>
      <c r="D428" s="759"/>
      <c r="E428" s="155" t="s">
        <v>24</v>
      </c>
      <c r="F428" s="761" t="s">
        <v>25</v>
      </c>
      <c r="G428" s="761" t="s">
        <v>26</v>
      </c>
      <c r="H428" s="761" t="s">
        <v>26</v>
      </c>
      <c r="I428" s="761" t="s">
        <v>27</v>
      </c>
      <c r="J428" s="761" t="s">
        <v>28</v>
      </c>
      <c r="K428" s="761" t="s">
        <v>29</v>
      </c>
      <c r="L428" s="761" t="s">
        <v>26</v>
      </c>
      <c r="M428" s="154" t="s">
        <v>30</v>
      </c>
      <c r="N428" s="751" t="s">
        <v>31</v>
      </c>
      <c r="O428" s="759"/>
      <c r="P428" s="751" t="s">
        <v>31</v>
      </c>
      <c r="Q428" s="759"/>
      <c r="R428" s="751"/>
      <c r="S428" s="752"/>
    </row>
    <row r="429" spans="1:31" ht="15" customHeight="1" thickBot="1" x14ac:dyDescent="0.3">
      <c r="B429" s="757"/>
      <c r="C429" s="753"/>
      <c r="D429" s="760"/>
      <c r="E429" s="157" t="s">
        <v>32</v>
      </c>
      <c r="F429" s="762"/>
      <c r="G429" s="762"/>
      <c r="H429" s="762"/>
      <c r="I429" s="762"/>
      <c r="J429" s="762"/>
      <c r="K429" s="762"/>
      <c r="L429" s="762"/>
      <c r="M429" s="156" t="s">
        <v>31</v>
      </c>
      <c r="N429" s="753" t="s">
        <v>33</v>
      </c>
      <c r="O429" s="760"/>
      <c r="P429" s="753" t="s">
        <v>34</v>
      </c>
      <c r="Q429" s="760"/>
      <c r="R429" s="753"/>
      <c r="S429" s="754"/>
    </row>
    <row r="430" spans="1:31" ht="24.95" customHeight="1" x14ac:dyDescent="0.25">
      <c r="B430" s="201">
        <v>1</v>
      </c>
      <c r="C430" s="261" t="str">
        <f t="shared" ref="C430:C440" si="154">IFERROR(C392," ")</f>
        <v>KHUSNUL</v>
      </c>
      <c r="D430" s="203"/>
      <c r="E430" s="262" t="str">
        <f t="shared" ref="E430:E440" si="155">IFERROR(E392," ")</f>
        <v>A</v>
      </c>
      <c r="F430" s="205" t="s">
        <v>36</v>
      </c>
      <c r="G430" s="205" t="s">
        <v>37</v>
      </c>
      <c r="H430" s="205" t="s">
        <v>37</v>
      </c>
      <c r="I430" s="205" t="s">
        <v>37</v>
      </c>
      <c r="J430" s="205" t="s">
        <v>37</v>
      </c>
      <c r="K430" s="205" t="s">
        <v>37</v>
      </c>
      <c r="L430" s="205" t="s">
        <v>37</v>
      </c>
      <c r="M430" s="206">
        <f>SUM(Y430:AE430)</f>
        <v>6</v>
      </c>
      <c r="N430" s="207" t="str">
        <f t="shared" ref="N430:N440" si="156">IF(O430&gt;0,"Rp",IF(O430=0," "))</f>
        <v>Rp</v>
      </c>
      <c r="O430" s="263">
        <f t="shared" ref="O430:O435" si="157">O392</f>
        <v>130000</v>
      </c>
      <c r="P430" s="207" t="str">
        <f>IF(Q430&gt;0,"Rp",IF(Q430=0," "))</f>
        <v>Rp</v>
      </c>
      <c r="Q430" s="208">
        <f t="shared" ref="Q430:Q436" si="158">O430*M430</f>
        <v>780000</v>
      </c>
      <c r="R430" s="209">
        <f>IF(Q430&gt;0,1,IF(Q430=0," "))</f>
        <v>1</v>
      </c>
      <c r="S430" s="210"/>
      <c r="U430" s="260"/>
      <c r="V430" s="140"/>
      <c r="Y430" s="211">
        <f t="shared" ref="Y430:Y440" si="159">IFERROR(IF(F430="V",1,IF(F430="X",0))," ")</f>
        <v>0</v>
      </c>
      <c r="Z430" s="211">
        <f t="shared" ref="Z430:Z440" si="160">IFERROR(IF(G430="V",1,IF(G430="X",0))," ")</f>
        <v>1</v>
      </c>
      <c r="AA430" s="211">
        <f t="shared" ref="AA430:AA440" si="161">IFERROR(IF(H430="V",1,IF(H430="X",0))," ")</f>
        <v>1</v>
      </c>
      <c r="AB430" s="211">
        <f t="shared" ref="AB430:AB440" si="162">IFERROR(IF(I430="V",1,IF(I430="X",0))," ")</f>
        <v>1</v>
      </c>
      <c r="AC430" s="211">
        <f t="shared" ref="AC430:AC440" si="163">IFERROR(IF(J430="V",1,IF(J430="X",0))," ")</f>
        <v>1</v>
      </c>
      <c r="AD430" s="211">
        <f t="shared" ref="AD430:AD440" si="164">IFERROR(IF(K430="V",1,IF(K430="X",0))," ")</f>
        <v>1</v>
      </c>
      <c r="AE430" s="211">
        <f t="shared" ref="AE430:AE440" si="165">IFERROR(IF(L430="V",1,IF(L430="X",0))," ")</f>
        <v>1</v>
      </c>
    </row>
    <row r="431" spans="1:31" ht="24.95" customHeight="1" x14ac:dyDescent="0.25">
      <c r="B431" s="212">
        <f>B430+1</f>
        <v>2</v>
      </c>
      <c r="C431" s="264" t="str">
        <f t="shared" si="154"/>
        <v>PRIYO</v>
      </c>
      <c r="D431" s="213"/>
      <c r="E431" s="265" t="str">
        <f t="shared" si="155"/>
        <v>B</v>
      </c>
      <c r="F431" s="215" t="s">
        <v>36</v>
      </c>
      <c r="G431" s="215" t="s">
        <v>37</v>
      </c>
      <c r="H431" s="215" t="s">
        <v>37</v>
      </c>
      <c r="I431" s="215" t="s">
        <v>37</v>
      </c>
      <c r="J431" s="215" t="s">
        <v>37</v>
      </c>
      <c r="K431" s="215" t="s">
        <v>37</v>
      </c>
      <c r="L431" s="215" t="s">
        <v>37</v>
      </c>
      <c r="M431" s="216">
        <f t="shared" ref="M431:M436" si="166">SUM(Y431:AE431)</f>
        <v>6</v>
      </c>
      <c r="N431" s="217" t="str">
        <f t="shared" si="156"/>
        <v>Rp</v>
      </c>
      <c r="O431" s="266">
        <f t="shared" si="157"/>
        <v>125000</v>
      </c>
      <c r="P431" s="217" t="str">
        <f t="shared" ref="P431:P436" si="167">IF(Q431&gt;0,"Rp",IF(Q431=0," "))</f>
        <v>Rp</v>
      </c>
      <c r="Q431" s="219">
        <f t="shared" si="158"/>
        <v>750000</v>
      </c>
      <c r="R431" s="220"/>
      <c r="S431" s="221">
        <f>IF(Q431&gt;0,2,IF(Q430=0," "))</f>
        <v>2</v>
      </c>
      <c r="U431" s="211"/>
      <c r="V431" s="211"/>
      <c r="Y431" s="211">
        <f t="shared" si="159"/>
        <v>0</v>
      </c>
      <c r="Z431" s="211">
        <f t="shared" si="160"/>
        <v>1</v>
      </c>
      <c r="AA431" s="211">
        <f t="shared" si="161"/>
        <v>1</v>
      </c>
      <c r="AB431" s="211">
        <f t="shared" si="162"/>
        <v>1</v>
      </c>
      <c r="AC431" s="211">
        <f t="shared" si="163"/>
        <v>1</v>
      </c>
      <c r="AD431" s="211">
        <f t="shared" si="164"/>
        <v>1</v>
      </c>
      <c r="AE431" s="211">
        <f t="shared" si="165"/>
        <v>1</v>
      </c>
    </row>
    <row r="432" spans="1:31" ht="24.95" customHeight="1" x14ac:dyDescent="0.25">
      <c r="B432" s="212">
        <f>B431+1</f>
        <v>3</v>
      </c>
      <c r="C432" s="264" t="str">
        <f t="shared" si="154"/>
        <v>NANANG</v>
      </c>
      <c r="D432" s="213"/>
      <c r="E432" s="265" t="str">
        <f t="shared" si="155"/>
        <v>B</v>
      </c>
      <c r="F432" s="215" t="s">
        <v>36</v>
      </c>
      <c r="G432" s="215" t="s">
        <v>37</v>
      </c>
      <c r="H432" s="215" t="s">
        <v>37</v>
      </c>
      <c r="I432" s="215" t="s">
        <v>37</v>
      </c>
      <c r="J432" s="215" t="s">
        <v>37</v>
      </c>
      <c r="K432" s="215" t="s">
        <v>37</v>
      </c>
      <c r="L432" s="215" t="s">
        <v>37</v>
      </c>
      <c r="M432" s="216">
        <f t="shared" si="166"/>
        <v>6</v>
      </c>
      <c r="N432" s="217" t="str">
        <f t="shared" si="156"/>
        <v>Rp</v>
      </c>
      <c r="O432" s="266">
        <f t="shared" si="157"/>
        <v>125000</v>
      </c>
      <c r="P432" s="217" t="str">
        <f t="shared" si="167"/>
        <v>Rp</v>
      </c>
      <c r="Q432" s="219">
        <f t="shared" si="158"/>
        <v>750000</v>
      </c>
      <c r="R432" s="222">
        <f>IF(Q432&gt;0,R430+2,IF(Q432=0," "))</f>
        <v>3</v>
      </c>
      <c r="S432" s="221"/>
      <c r="U432" s="211"/>
      <c r="V432" s="211"/>
      <c r="Y432" s="211">
        <f t="shared" si="159"/>
        <v>0</v>
      </c>
      <c r="Z432" s="211">
        <f t="shared" si="160"/>
        <v>1</v>
      </c>
      <c r="AA432" s="211">
        <f t="shared" si="161"/>
        <v>1</v>
      </c>
      <c r="AB432" s="211">
        <f t="shared" si="162"/>
        <v>1</v>
      </c>
      <c r="AC432" s="211">
        <f t="shared" si="163"/>
        <v>1</v>
      </c>
      <c r="AD432" s="211">
        <f t="shared" si="164"/>
        <v>1</v>
      </c>
      <c r="AE432" s="211">
        <f t="shared" si="165"/>
        <v>1</v>
      </c>
    </row>
    <row r="433" spans="1:31" ht="24.95" customHeight="1" x14ac:dyDescent="0.25">
      <c r="B433" s="212">
        <f>B432+1</f>
        <v>4</v>
      </c>
      <c r="C433" s="264" t="str">
        <f t="shared" si="154"/>
        <v>KOIREN</v>
      </c>
      <c r="D433" s="213"/>
      <c r="E433" s="265" t="str">
        <f t="shared" si="155"/>
        <v>B</v>
      </c>
      <c r="F433" s="215" t="s">
        <v>36</v>
      </c>
      <c r="G433" s="215" t="s">
        <v>37</v>
      </c>
      <c r="H433" s="215" t="s">
        <v>37</v>
      </c>
      <c r="I433" s="215" t="s">
        <v>37</v>
      </c>
      <c r="J433" s="215" t="s">
        <v>37</v>
      </c>
      <c r="K433" s="215" t="s">
        <v>37</v>
      </c>
      <c r="L433" s="215" t="s">
        <v>37</v>
      </c>
      <c r="M433" s="216">
        <f t="shared" si="166"/>
        <v>6</v>
      </c>
      <c r="N433" s="217" t="str">
        <f t="shared" si="156"/>
        <v>Rp</v>
      </c>
      <c r="O433" s="266">
        <f t="shared" si="157"/>
        <v>125000</v>
      </c>
      <c r="P433" s="217" t="str">
        <f t="shared" si="167"/>
        <v>Rp</v>
      </c>
      <c r="Q433" s="219">
        <f t="shared" si="158"/>
        <v>750000</v>
      </c>
      <c r="R433" s="222"/>
      <c r="S433" s="223">
        <f>IF(Q433&gt;0,S431+2,IF(T433=0," "))</f>
        <v>4</v>
      </c>
      <c r="U433" s="211"/>
      <c r="V433" s="211"/>
      <c r="Y433" s="211">
        <f t="shared" si="159"/>
        <v>0</v>
      </c>
      <c r="Z433" s="211">
        <f t="shared" si="160"/>
        <v>1</v>
      </c>
      <c r="AA433" s="211">
        <f t="shared" si="161"/>
        <v>1</v>
      </c>
      <c r="AB433" s="211">
        <f t="shared" si="162"/>
        <v>1</v>
      </c>
      <c r="AC433" s="211">
        <f t="shared" si="163"/>
        <v>1</v>
      </c>
      <c r="AD433" s="211">
        <f t="shared" si="164"/>
        <v>1</v>
      </c>
      <c r="AE433" s="211">
        <f t="shared" si="165"/>
        <v>1</v>
      </c>
    </row>
    <row r="434" spans="1:31" ht="24.95" customHeight="1" x14ac:dyDescent="0.25">
      <c r="B434" s="212">
        <f t="shared" ref="B434:B440" si="168">B433+1</f>
        <v>5</v>
      </c>
      <c r="C434" s="264" t="str">
        <f t="shared" si="154"/>
        <v>MAT</v>
      </c>
      <c r="D434" s="213"/>
      <c r="E434" s="265" t="str">
        <f t="shared" si="155"/>
        <v>C</v>
      </c>
      <c r="F434" s="215" t="s">
        <v>36</v>
      </c>
      <c r="G434" s="215" t="s">
        <v>37</v>
      </c>
      <c r="H434" s="215" t="s">
        <v>37</v>
      </c>
      <c r="I434" s="215" t="s">
        <v>37</v>
      </c>
      <c r="J434" s="215" t="s">
        <v>37</v>
      </c>
      <c r="K434" s="215" t="s">
        <v>36</v>
      </c>
      <c r="L434" s="215" t="s">
        <v>37</v>
      </c>
      <c r="M434" s="216">
        <f t="shared" si="166"/>
        <v>5</v>
      </c>
      <c r="N434" s="217" t="str">
        <f t="shared" si="156"/>
        <v>Rp</v>
      </c>
      <c r="O434" s="266">
        <f t="shared" si="157"/>
        <v>100000</v>
      </c>
      <c r="P434" s="217" t="str">
        <f t="shared" si="167"/>
        <v>Rp</v>
      </c>
      <c r="Q434" s="219">
        <f t="shared" si="158"/>
        <v>500000</v>
      </c>
      <c r="R434" s="222">
        <f>IF(Q434&gt;0,R432+2,IF(Q434=0," "))</f>
        <v>5</v>
      </c>
      <c r="S434" s="221"/>
      <c r="U434" s="211"/>
      <c r="V434" s="211"/>
      <c r="Y434" s="211">
        <f t="shared" si="159"/>
        <v>0</v>
      </c>
      <c r="Z434" s="211">
        <f t="shared" si="160"/>
        <v>1</v>
      </c>
      <c r="AA434" s="211">
        <f t="shared" si="161"/>
        <v>1</v>
      </c>
      <c r="AB434" s="211">
        <f t="shared" si="162"/>
        <v>1</v>
      </c>
      <c r="AC434" s="211">
        <f t="shared" si="163"/>
        <v>1</v>
      </c>
      <c r="AD434" s="211">
        <f t="shared" si="164"/>
        <v>0</v>
      </c>
      <c r="AE434" s="211">
        <f t="shared" si="165"/>
        <v>1</v>
      </c>
    </row>
    <row r="435" spans="1:31" ht="24.95" customHeight="1" x14ac:dyDescent="0.25">
      <c r="B435" s="212">
        <f t="shared" si="168"/>
        <v>6</v>
      </c>
      <c r="C435" s="264" t="str">
        <f t="shared" si="154"/>
        <v>JUNED</v>
      </c>
      <c r="D435" s="213"/>
      <c r="E435" s="265" t="str">
        <f t="shared" si="155"/>
        <v>C</v>
      </c>
      <c r="F435" s="215" t="s">
        <v>36</v>
      </c>
      <c r="G435" s="215" t="s">
        <v>37</v>
      </c>
      <c r="H435" s="215" t="s">
        <v>37</v>
      </c>
      <c r="I435" s="215" t="s">
        <v>37</v>
      </c>
      <c r="J435" s="215" t="s">
        <v>37</v>
      </c>
      <c r="K435" s="215" t="s">
        <v>37</v>
      </c>
      <c r="L435" s="215" t="s">
        <v>36</v>
      </c>
      <c r="M435" s="216">
        <f t="shared" si="166"/>
        <v>5</v>
      </c>
      <c r="N435" s="217" t="str">
        <f t="shared" si="156"/>
        <v>Rp</v>
      </c>
      <c r="O435" s="266">
        <f t="shared" si="157"/>
        <v>100000</v>
      </c>
      <c r="P435" s="217" t="str">
        <f t="shared" si="167"/>
        <v>Rp</v>
      </c>
      <c r="Q435" s="219">
        <f t="shared" si="158"/>
        <v>500000</v>
      </c>
      <c r="R435" s="222"/>
      <c r="S435" s="223">
        <f>IF(Q435&gt;0,S433+2,IF(T435=0," "))</f>
        <v>6</v>
      </c>
      <c r="U435" s="211"/>
      <c r="V435" s="211"/>
      <c r="Y435" s="211">
        <f t="shared" si="159"/>
        <v>0</v>
      </c>
      <c r="Z435" s="211">
        <f t="shared" si="160"/>
        <v>1</v>
      </c>
      <c r="AA435" s="211">
        <f t="shared" si="161"/>
        <v>1</v>
      </c>
      <c r="AB435" s="211">
        <f t="shared" si="162"/>
        <v>1</v>
      </c>
      <c r="AC435" s="211">
        <f t="shared" si="163"/>
        <v>1</v>
      </c>
      <c r="AD435" s="211">
        <f t="shared" si="164"/>
        <v>1</v>
      </c>
      <c r="AE435" s="211">
        <f t="shared" si="165"/>
        <v>0</v>
      </c>
    </row>
    <row r="436" spans="1:31" ht="24.95" customHeight="1" x14ac:dyDescent="0.25">
      <c r="B436" s="212">
        <f t="shared" si="168"/>
        <v>7</v>
      </c>
      <c r="C436" s="264" t="str">
        <f t="shared" si="154"/>
        <v>LASITO</v>
      </c>
      <c r="D436" s="213"/>
      <c r="E436" s="265" t="str">
        <f t="shared" si="155"/>
        <v>C</v>
      </c>
      <c r="F436" s="215" t="s">
        <v>36</v>
      </c>
      <c r="G436" s="215" t="s">
        <v>37</v>
      </c>
      <c r="H436" s="215" t="s">
        <v>37</v>
      </c>
      <c r="I436" s="215" t="s">
        <v>36</v>
      </c>
      <c r="J436" s="215" t="s">
        <v>37</v>
      </c>
      <c r="K436" s="215" t="s">
        <v>37</v>
      </c>
      <c r="L436" s="215" t="s">
        <v>37</v>
      </c>
      <c r="M436" s="216">
        <f t="shared" si="166"/>
        <v>5</v>
      </c>
      <c r="N436" s="217" t="str">
        <f t="shared" si="156"/>
        <v>Rp</v>
      </c>
      <c r="O436" s="266">
        <f>IFERROR(O398," ")</f>
        <v>100000</v>
      </c>
      <c r="P436" s="217" t="str">
        <f t="shared" si="167"/>
        <v>Rp</v>
      </c>
      <c r="Q436" s="219">
        <f t="shared" si="158"/>
        <v>500000</v>
      </c>
      <c r="R436" s="222">
        <f>IF(Q436&gt;0,R434+2,IF(Q436=0," "))</f>
        <v>7</v>
      </c>
      <c r="S436" s="221"/>
      <c r="U436" s="211"/>
      <c r="V436" s="211"/>
      <c r="Y436" s="211">
        <f t="shared" si="159"/>
        <v>0</v>
      </c>
      <c r="Z436" s="211">
        <f t="shared" si="160"/>
        <v>1</v>
      </c>
      <c r="AA436" s="211">
        <f t="shared" si="161"/>
        <v>1</v>
      </c>
      <c r="AB436" s="211">
        <f t="shared" si="162"/>
        <v>0</v>
      </c>
      <c r="AC436" s="211">
        <f t="shared" si="163"/>
        <v>1</v>
      </c>
      <c r="AD436" s="211">
        <f t="shared" si="164"/>
        <v>1</v>
      </c>
      <c r="AE436" s="211">
        <f t="shared" si="165"/>
        <v>1</v>
      </c>
    </row>
    <row r="437" spans="1:31" ht="24.95" customHeight="1" x14ac:dyDescent="0.25">
      <c r="B437" s="212">
        <f t="shared" si="168"/>
        <v>8</v>
      </c>
      <c r="C437" s="264" t="str">
        <f t="shared" si="154"/>
        <v>BONANG</v>
      </c>
      <c r="D437" s="213"/>
      <c r="E437" s="265" t="str">
        <f t="shared" si="155"/>
        <v>C</v>
      </c>
      <c r="F437" s="215" t="s">
        <v>36</v>
      </c>
      <c r="G437" s="215" t="s">
        <v>37</v>
      </c>
      <c r="H437" s="215" t="s">
        <v>37</v>
      </c>
      <c r="I437" s="215" t="s">
        <v>37</v>
      </c>
      <c r="J437" s="215" t="s">
        <v>37</v>
      </c>
      <c r="K437" s="215" t="s">
        <v>37</v>
      </c>
      <c r="L437" s="215" t="s">
        <v>37</v>
      </c>
      <c r="M437" s="216">
        <f>SUM(Y437:AE437)</f>
        <v>6</v>
      </c>
      <c r="N437" s="217" t="str">
        <f t="shared" si="156"/>
        <v>Rp</v>
      </c>
      <c r="O437" s="266">
        <f>IFERROR(O399," ")</f>
        <v>100000</v>
      </c>
      <c r="P437" s="217" t="str">
        <f>IF(Q437&gt;0,"Rp",IF(Q437=0," "))</f>
        <v>Rp</v>
      </c>
      <c r="Q437" s="219">
        <f>O437*M437</f>
        <v>600000</v>
      </c>
      <c r="R437" s="222"/>
      <c r="S437" s="223">
        <f>IF(Q437&gt;0,S435+2,IF(T437=0," "))</f>
        <v>8</v>
      </c>
      <c r="U437" s="211"/>
      <c r="V437" s="211"/>
      <c r="Y437" s="211">
        <f t="shared" si="159"/>
        <v>0</v>
      </c>
      <c r="Z437" s="211">
        <f t="shared" si="160"/>
        <v>1</v>
      </c>
      <c r="AA437" s="211">
        <f t="shared" si="161"/>
        <v>1</v>
      </c>
      <c r="AB437" s="211">
        <f t="shared" si="162"/>
        <v>1</v>
      </c>
      <c r="AC437" s="211">
        <f t="shared" si="163"/>
        <v>1</v>
      </c>
      <c r="AD437" s="211">
        <f t="shared" si="164"/>
        <v>1</v>
      </c>
      <c r="AE437" s="211">
        <f t="shared" si="165"/>
        <v>1</v>
      </c>
    </row>
    <row r="438" spans="1:31" ht="24.95" customHeight="1" x14ac:dyDescent="0.25">
      <c r="B438" s="212">
        <f t="shared" si="168"/>
        <v>9</v>
      </c>
      <c r="C438" s="264">
        <f t="shared" si="154"/>
        <v>0</v>
      </c>
      <c r="D438" s="213"/>
      <c r="E438" s="265">
        <f t="shared" si="155"/>
        <v>0</v>
      </c>
      <c r="F438" s="215"/>
      <c r="G438" s="215"/>
      <c r="H438" s="215"/>
      <c r="I438" s="215"/>
      <c r="J438" s="215"/>
      <c r="K438" s="215"/>
      <c r="L438" s="215"/>
      <c r="M438" s="216">
        <f>SUM(Y438:AE438)</f>
        <v>0</v>
      </c>
      <c r="N438" s="217" t="str">
        <f t="shared" si="156"/>
        <v xml:space="preserve"> </v>
      </c>
      <c r="O438" s="266">
        <f>IFERROR(O400," ")</f>
        <v>0</v>
      </c>
      <c r="P438" s="217" t="str">
        <f>IF(Q438&gt;0,"Rp",IF(Q438=0," "))</f>
        <v xml:space="preserve"> </v>
      </c>
      <c r="Q438" s="219">
        <f>O438*M438</f>
        <v>0</v>
      </c>
      <c r="R438" s="222" t="str">
        <f>IF(Q438&gt;0,R436+2,IF(Q438=0," "))</f>
        <v xml:space="preserve"> </v>
      </c>
      <c r="S438" s="221"/>
      <c r="U438" s="211"/>
      <c r="V438" s="211"/>
      <c r="Y438" s="211" t="b">
        <f t="shared" si="159"/>
        <v>0</v>
      </c>
      <c r="Z438" s="211" t="b">
        <f t="shared" si="160"/>
        <v>0</v>
      </c>
      <c r="AA438" s="211" t="b">
        <f t="shared" si="161"/>
        <v>0</v>
      </c>
      <c r="AB438" s="211" t="b">
        <f t="shared" si="162"/>
        <v>0</v>
      </c>
      <c r="AC438" s="211" t="b">
        <f t="shared" si="163"/>
        <v>0</v>
      </c>
      <c r="AD438" s="211" t="b">
        <f t="shared" si="164"/>
        <v>0</v>
      </c>
      <c r="AE438" s="211" t="b">
        <f t="shared" si="165"/>
        <v>0</v>
      </c>
    </row>
    <row r="439" spans="1:31" ht="24.95" customHeight="1" x14ac:dyDescent="0.25">
      <c r="B439" s="212">
        <f t="shared" si="168"/>
        <v>10</v>
      </c>
      <c r="C439" s="264">
        <f t="shared" si="154"/>
        <v>0</v>
      </c>
      <c r="D439" s="213"/>
      <c r="E439" s="265">
        <f t="shared" si="155"/>
        <v>0</v>
      </c>
      <c r="F439" s="215"/>
      <c r="G439" s="215"/>
      <c r="H439" s="215"/>
      <c r="I439" s="215"/>
      <c r="J439" s="215"/>
      <c r="K439" s="215"/>
      <c r="L439" s="215"/>
      <c r="M439" s="216">
        <f>SUM(Y439:AE439)</f>
        <v>0</v>
      </c>
      <c r="N439" s="217" t="str">
        <f t="shared" si="156"/>
        <v xml:space="preserve"> </v>
      </c>
      <c r="O439" s="266">
        <f>IFERROR(O401," ")</f>
        <v>0</v>
      </c>
      <c r="P439" s="217" t="str">
        <f>IF(Q439&gt;0,"Rp",IF(Q439=0," "))</f>
        <v xml:space="preserve"> </v>
      </c>
      <c r="Q439" s="219">
        <f>O439*M439</f>
        <v>0</v>
      </c>
      <c r="R439" s="222"/>
      <c r="S439" s="223" t="str">
        <f>IF(Q439&gt;0,S437+2,IF(T439=0," "))</f>
        <v xml:space="preserve"> </v>
      </c>
      <c r="U439" s="211"/>
      <c r="V439" s="211"/>
      <c r="Y439" s="211" t="b">
        <f t="shared" si="159"/>
        <v>0</v>
      </c>
      <c r="Z439" s="211" t="b">
        <f t="shared" si="160"/>
        <v>0</v>
      </c>
      <c r="AA439" s="211" t="b">
        <f t="shared" si="161"/>
        <v>0</v>
      </c>
      <c r="AB439" s="211" t="b">
        <f t="shared" si="162"/>
        <v>0</v>
      </c>
      <c r="AC439" s="211" t="b">
        <f t="shared" si="163"/>
        <v>0</v>
      </c>
      <c r="AD439" s="211" t="b">
        <f t="shared" si="164"/>
        <v>0</v>
      </c>
      <c r="AE439" s="211" t="b">
        <f t="shared" si="165"/>
        <v>0</v>
      </c>
    </row>
    <row r="440" spans="1:31" ht="24.95" customHeight="1" x14ac:dyDescent="0.25">
      <c r="B440" s="212">
        <f t="shared" si="168"/>
        <v>11</v>
      </c>
      <c r="C440" s="264">
        <f t="shared" si="154"/>
        <v>0</v>
      </c>
      <c r="D440" s="213"/>
      <c r="E440" s="265">
        <f t="shared" si="155"/>
        <v>0</v>
      </c>
      <c r="F440" s="215"/>
      <c r="G440" s="215"/>
      <c r="H440" s="215"/>
      <c r="I440" s="215"/>
      <c r="J440" s="215"/>
      <c r="K440" s="215"/>
      <c r="L440" s="215"/>
      <c r="M440" s="216">
        <f>SUM(Y440:AE440)</f>
        <v>0</v>
      </c>
      <c r="N440" s="217" t="str">
        <f t="shared" si="156"/>
        <v xml:space="preserve"> </v>
      </c>
      <c r="O440" s="266">
        <f>IFERROR(O402," ")</f>
        <v>0</v>
      </c>
      <c r="P440" s="217" t="str">
        <f>IF(Q440&gt;0,"Rp",IF(Q440=0," "))</f>
        <v xml:space="preserve"> </v>
      </c>
      <c r="Q440" s="219">
        <f>O440*M440</f>
        <v>0</v>
      </c>
      <c r="R440" s="222" t="str">
        <f>IF(Q440&gt;0,R438+2,IF(Q440=0," "))</f>
        <v xml:space="preserve"> </v>
      </c>
      <c r="S440" s="221"/>
      <c r="U440" s="211"/>
      <c r="V440" s="211"/>
      <c r="Y440" s="211" t="b">
        <f t="shared" si="159"/>
        <v>0</v>
      </c>
      <c r="Z440" s="211" t="b">
        <f t="shared" si="160"/>
        <v>0</v>
      </c>
      <c r="AA440" s="211" t="b">
        <f t="shared" si="161"/>
        <v>0</v>
      </c>
      <c r="AB440" s="211" t="b">
        <f t="shared" si="162"/>
        <v>0</v>
      </c>
      <c r="AC440" s="211" t="b">
        <f t="shared" si="163"/>
        <v>0</v>
      </c>
      <c r="AD440" s="211" t="b">
        <f t="shared" si="164"/>
        <v>0</v>
      </c>
      <c r="AE440" s="211" t="b">
        <f t="shared" si="165"/>
        <v>0</v>
      </c>
    </row>
    <row r="441" spans="1:31" ht="24.95" customHeight="1" thickBot="1" x14ac:dyDescent="0.25">
      <c r="B441" s="233"/>
      <c r="C441" s="257"/>
      <c r="D441" s="235"/>
      <c r="E441" s="236"/>
      <c r="F441" s="237"/>
      <c r="G441" s="238"/>
      <c r="H441" s="239"/>
      <c r="I441" s="239"/>
      <c r="J441" s="240"/>
      <c r="K441" s="240"/>
      <c r="L441" s="240"/>
      <c r="M441" s="241"/>
      <c r="N441" s="242"/>
      <c r="O441" s="258"/>
      <c r="P441" s="244"/>
      <c r="Q441" s="236"/>
      <c r="R441" s="246"/>
      <c r="S441" s="247"/>
      <c r="U441" s="211"/>
      <c r="V441" s="211"/>
    </row>
    <row r="442" spans="1:31" ht="20.100000000000001" customHeight="1" thickTop="1" thickBot="1" x14ac:dyDescent="0.3">
      <c r="A442" s="179">
        <f>A404+1</f>
        <v>12</v>
      </c>
      <c r="B442" s="248"/>
      <c r="C442" s="249"/>
      <c r="D442" s="249"/>
      <c r="E442" s="249"/>
      <c r="F442" s="249"/>
      <c r="G442" s="249"/>
      <c r="H442" s="249"/>
      <c r="I442" s="249"/>
      <c r="J442" s="249"/>
      <c r="K442" s="249"/>
      <c r="L442" s="249"/>
      <c r="M442" s="249"/>
      <c r="N442" s="249"/>
      <c r="O442" s="250" t="s">
        <v>40</v>
      </c>
      <c r="P442" s="249"/>
      <c r="Q442" s="710">
        <f>SUM(Q430:Q441)</f>
        <v>5130000</v>
      </c>
      <c r="R442" s="711"/>
      <c r="S442" s="712"/>
      <c r="U442" s="226" t="str">
        <f>VLOOKUP(A442,'Rekap Gaji'!$B$12:$P$24,10,FALSE)</f>
        <v xml:space="preserve"> 22 November 2025</v>
      </c>
      <c r="V442" s="251" t="e">
        <f>U442-Q442</f>
        <v>#VALUE!</v>
      </c>
    </row>
    <row r="443" spans="1:31" ht="11.25" customHeight="1" x14ac:dyDescent="0.25"/>
    <row r="444" spans="1:31" ht="16.5" customHeight="1" x14ac:dyDescent="0.25">
      <c r="B444" s="195" t="s">
        <v>41</v>
      </c>
      <c r="C444" s="140" t="s">
        <v>42</v>
      </c>
    </row>
    <row r="445" spans="1:31" ht="14.25" x14ac:dyDescent="0.25">
      <c r="G445" s="183"/>
      <c r="H445" s="182"/>
      <c r="M445" s="141"/>
      <c r="N445" s="141"/>
      <c r="Q445" s="140" t="str">
        <f>'BKU 1'!$I$25</f>
        <v>NGANTANG</v>
      </c>
      <c r="R445" s="713">
        <f>IFERROR(VLOOKUP(E424,'Rekap Gaji'!$B$12:$P$24,7,FALSE),"-")</f>
        <v>45983</v>
      </c>
      <c r="S445" s="713"/>
      <c r="T445" s="252"/>
      <c r="U445" s="252"/>
    </row>
    <row r="446" spans="1:31" ht="15.75" x14ac:dyDescent="0.25">
      <c r="C446" s="140" t="s">
        <v>43</v>
      </c>
      <c r="F446" s="253"/>
      <c r="G446" s="254"/>
      <c r="H446" s="255"/>
      <c r="I446" s="256"/>
      <c r="J446" s="225" t="s">
        <v>44</v>
      </c>
      <c r="K446" s="253"/>
      <c r="M446" s="141"/>
      <c r="N446" s="141"/>
      <c r="Q446" s="140" t="str">
        <f>'BKU 1'!$L$354</f>
        <v>Dibuat Oleh ;</v>
      </c>
      <c r="R446" s="141"/>
    </row>
    <row r="447" spans="1:31" ht="14.25" x14ac:dyDescent="0.25">
      <c r="C447" s="140" t="str">
        <f>'BKU 1'!$C$355</f>
        <v>Kepala Sekolah SDN 1 SIDODADI</v>
      </c>
      <c r="F447" s="187"/>
      <c r="G447" s="224"/>
      <c r="H447" s="182"/>
      <c r="I447" s="183"/>
      <c r="J447" s="140" t="s">
        <v>45</v>
      </c>
      <c r="K447" s="187"/>
      <c r="Q447" s="140" t="str">
        <f>'BKU 1'!$L$355</f>
        <v>Bendahara Pembangunan</v>
      </c>
      <c r="R447" s="141"/>
    </row>
    <row r="448" spans="1:31" ht="14.25" x14ac:dyDescent="0.25">
      <c r="F448" s="187"/>
      <c r="G448" s="224"/>
      <c r="H448" s="182"/>
      <c r="I448" s="183"/>
      <c r="K448" s="187"/>
      <c r="Q448" s="140"/>
      <c r="R448" s="141"/>
    </row>
    <row r="449" spans="1:22" ht="14.25" x14ac:dyDescent="0.25">
      <c r="F449" s="187"/>
      <c r="G449" s="224"/>
      <c r="H449" s="182"/>
      <c r="I449" s="183"/>
      <c r="K449" s="187"/>
      <c r="Q449" s="140"/>
      <c r="R449" s="141"/>
    </row>
    <row r="450" spans="1:22" ht="14.25" x14ac:dyDescent="0.25">
      <c r="F450" s="187"/>
      <c r="G450" s="224"/>
      <c r="H450" s="182"/>
      <c r="I450" s="183"/>
      <c r="K450" s="187"/>
      <c r="Q450" s="140"/>
      <c r="R450" s="141"/>
    </row>
    <row r="451" spans="1:22" ht="14.25" x14ac:dyDescent="0.25">
      <c r="F451" s="187"/>
      <c r="G451" s="224"/>
      <c r="H451" s="182"/>
      <c r="I451" s="183"/>
      <c r="K451" s="187"/>
      <c r="Q451" s="140"/>
      <c r="R451" s="141"/>
    </row>
    <row r="452" spans="1:22" x14ac:dyDescent="0.25">
      <c r="G452" s="225"/>
      <c r="Q452" s="140"/>
    </row>
    <row r="453" spans="1:22" x14ac:dyDescent="0.25">
      <c r="G453" s="225"/>
      <c r="Q453" s="140"/>
    </row>
    <row r="454" spans="1:22" s="189" customFormat="1" ht="15" customHeight="1" x14ac:dyDescent="0.25">
      <c r="A454" s="192"/>
      <c r="B454" s="195"/>
      <c r="C454" s="227" t="str">
        <f>'BKU 1'!$C$360</f>
        <v>MELIA FITRIANI, S.Pd.SD</v>
      </c>
      <c r="D454" s="227"/>
      <c r="G454" s="228"/>
      <c r="H454" s="195"/>
      <c r="I454" s="194"/>
      <c r="J454" s="229">
        <f>'BKU 1'!$G$360</f>
        <v>0</v>
      </c>
      <c r="Q454" s="227" t="str">
        <f>'BKU 1'!$L$360</f>
        <v>ARIF NUR UDIN, S.Pd.SD</v>
      </c>
      <c r="S454" s="230"/>
      <c r="U454" s="231"/>
      <c r="V454" s="231"/>
    </row>
    <row r="455" spans="1:22" s="189" customFormat="1" ht="15" customHeight="1" x14ac:dyDescent="0.25">
      <c r="A455" s="192"/>
      <c r="B455" s="195"/>
      <c r="C455" s="140" t="str">
        <f>'BKU 1'!$C$361</f>
        <v>NIP. 19850619 200904 2 000</v>
      </c>
      <c r="D455" s="140"/>
      <c r="E455" s="140"/>
      <c r="F455" s="140"/>
      <c r="G455" s="225"/>
      <c r="H455" s="191"/>
      <c r="I455" s="190"/>
      <c r="J455" s="232">
        <f>'BKU 1'!$G$361</f>
        <v>0</v>
      </c>
      <c r="K455" s="140"/>
      <c r="M455" s="140"/>
      <c r="N455" s="140"/>
      <c r="O455" s="140"/>
      <c r="P455" s="140"/>
      <c r="Q455" s="140" t="str">
        <f>'BKU 1'!$L$361</f>
        <v>NIP. 19840719 200903 1 002</v>
      </c>
      <c r="S455" s="230"/>
      <c r="U455" s="231"/>
      <c r="V455" s="231"/>
    </row>
    <row r="456" spans="1:22" ht="6" customHeight="1" x14ac:dyDescent="0.25"/>
    <row r="457" spans="1:22" s="177" customFormat="1" ht="24.95" customHeight="1" x14ac:dyDescent="0.25">
      <c r="A457" s="176"/>
      <c r="B457" s="726" t="s">
        <v>6</v>
      </c>
      <c r="C457" s="726"/>
      <c r="D457" s="726"/>
      <c r="E457" s="726"/>
      <c r="F457" s="726"/>
      <c r="G457" s="726"/>
      <c r="H457" s="726"/>
      <c r="I457" s="726"/>
      <c r="J457" s="726"/>
      <c r="K457" s="726"/>
      <c r="L457" s="726"/>
      <c r="M457" s="726"/>
      <c r="N457" s="726"/>
      <c r="O457" s="726"/>
      <c r="P457" s="726"/>
      <c r="Q457" s="726"/>
      <c r="R457" s="726"/>
      <c r="S457" s="726"/>
      <c r="U457" s="178"/>
      <c r="V457" s="178"/>
    </row>
    <row r="458" spans="1:22" s="177" customFormat="1" ht="24.95" customHeight="1" x14ac:dyDescent="0.25">
      <c r="A458" s="176"/>
      <c r="B458" s="726" t="str">
        <f>'BKU 1'!$D$22</f>
        <v>PEMBANGUNAN TOILET BESERTA SANITASINYA</v>
      </c>
      <c r="C458" s="726"/>
      <c r="D458" s="726"/>
      <c r="E458" s="726"/>
      <c r="F458" s="726"/>
      <c r="G458" s="726"/>
      <c r="H458" s="726"/>
      <c r="I458" s="726"/>
      <c r="J458" s="726"/>
      <c r="K458" s="726"/>
      <c r="L458" s="726"/>
      <c r="M458" s="726"/>
      <c r="N458" s="726"/>
      <c r="O458" s="726"/>
      <c r="P458" s="726"/>
      <c r="Q458" s="726"/>
      <c r="R458" s="726"/>
      <c r="S458" s="726"/>
      <c r="U458" s="178"/>
      <c r="V458" s="178"/>
    </row>
    <row r="459" spans="1:22" s="184" customFormat="1" ht="30.75" customHeight="1" x14ac:dyDescent="0.25">
      <c r="A459" s="179"/>
      <c r="B459" s="180"/>
      <c r="C459" s="181"/>
      <c r="D459" s="181"/>
      <c r="E459" s="181"/>
      <c r="F459" s="182"/>
      <c r="G459" s="183"/>
      <c r="H459" s="182"/>
      <c r="I459" s="183"/>
      <c r="J459" s="182"/>
      <c r="K459" s="182"/>
      <c r="L459" s="182"/>
      <c r="M459" s="181"/>
      <c r="N459" s="181"/>
      <c r="Q459" s="180"/>
      <c r="R459" s="140"/>
      <c r="S459" s="185"/>
      <c r="U459" s="186"/>
      <c r="V459" s="186"/>
    </row>
    <row r="460" spans="1:22" s="184" customFormat="1" ht="14.25" x14ac:dyDescent="0.25">
      <c r="A460" s="179"/>
      <c r="B460" s="185" t="s">
        <v>7</v>
      </c>
      <c r="D460" s="184" t="s">
        <v>49</v>
      </c>
      <c r="E460" s="184" t="str">
        <f>'BKU 1'!$D$25</f>
        <v>SDN 1 SIDODADI</v>
      </c>
      <c r="F460" s="140"/>
      <c r="G460" s="183"/>
      <c r="H460" s="182"/>
      <c r="I460" s="183"/>
      <c r="J460" s="187"/>
      <c r="K460" s="187"/>
      <c r="L460" s="187"/>
      <c r="M460" s="188"/>
      <c r="N460" s="188"/>
      <c r="Q460" s="180"/>
      <c r="R460" s="189" t="s">
        <v>8</v>
      </c>
      <c r="S460" s="185"/>
      <c r="U460" s="186"/>
      <c r="V460" s="186"/>
    </row>
    <row r="461" spans="1:22" s="184" customFormat="1" x14ac:dyDescent="0.25">
      <c r="A461" s="179"/>
      <c r="B461" s="185" t="s">
        <v>9</v>
      </c>
      <c r="D461" s="184" t="s">
        <v>49</v>
      </c>
      <c r="E461" s="184" t="str">
        <f>'BKU 1'!$D$26</f>
        <v>Jl. Kawi No.36 Rt. 1 Rw. 1 Dusun Sekar, Rt / Rw : 1 / 1, Dusun : Sekar, Kelurahan : Sidodadi</v>
      </c>
      <c r="F461" s="140"/>
      <c r="G461" s="190"/>
      <c r="H461" s="191"/>
      <c r="I461" s="190"/>
      <c r="J461" s="140"/>
      <c r="K461" s="140"/>
      <c r="L461" s="140"/>
      <c r="Q461" s="180"/>
      <c r="R461" s="140" t="s">
        <v>10</v>
      </c>
      <c r="S461" s="185" t="s">
        <v>11</v>
      </c>
      <c r="U461" s="186"/>
      <c r="V461" s="186"/>
    </row>
    <row r="462" spans="1:22" s="184" customFormat="1" x14ac:dyDescent="0.25">
      <c r="A462" s="179"/>
      <c r="B462" s="185" t="s">
        <v>12</v>
      </c>
      <c r="D462" s="184" t="s">
        <v>49</v>
      </c>
      <c r="E462" s="180">
        <f>E424+1</f>
        <v>13</v>
      </c>
      <c r="F462" s="140"/>
      <c r="G462" s="727">
        <f>IFERROR(VLOOKUP(E462,'Rekap Gaji'!$B$12:$P$24,14,FALSE),"-")</f>
        <v>0</v>
      </c>
      <c r="H462" s="727"/>
      <c r="I462" s="727"/>
      <c r="J462" s="140"/>
      <c r="K462" s="140"/>
      <c r="L462" s="140"/>
      <c r="Q462" s="180"/>
      <c r="R462" s="140" t="s">
        <v>13</v>
      </c>
      <c r="S462" s="185" t="s">
        <v>14</v>
      </c>
      <c r="U462" s="186"/>
      <c r="V462" s="186"/>
    </row>
    <row r="463" spans="1:22" s="184" customFormat="1" ht="15" customHeight="1" x14ac:dyDescent="0.25">
      <c r="A463" s="179"/>
      <c r="B463" s="185" t="s">
        <v>0</v>
      </c>
      <c r="D463" s="184" t="s">
        <v>49</v>
      </c>
      <c r="E463" s="728">
        <f>IFERROR(VLOOKUP(E462,'Rekap Gaji'!$B$12:$P$24,4,FALSE),"-")</f>
        <v>0</v>
      </c>
      <c r="F463" s="728"/>
      <c r="G463" s="728"/>
      <c r="H463" s="728"/>
      <c r="I463" s="727" t="s">
        <v>76</v>
      </c>
      <c r="J463" s="727"/>
      <c r="K463" s="728">
        <f>IFERROR(VLOOKUP(E462,'Rekap Gaji'!$B$12:$P$24,6,FALSE),"-")</f>
        <v>0</v>
      </c>
      <c r="L463" s="728"/>
      <c r="M463" s="728"/>
      <c r="N463" s="728"/>
      <c r="Q463" s="180"/>
      <c r="R463" s="140" t="s">
        <v>15</v>
      </c>
      <c r="S463" s="185" t="s">
        <v>16</v>
      </c>
      <c r="U463" s="186"/>
      <c r="V463" s="186"/>
    </row>
    <row r="464" spans="1:22" s="188" customFormat="1" ht="8.1" customHeight="1" thickBot="1" x14ac:dyDescent="0.3">
      <c r="A464" s="192"/>
      <c r="B464" s="193"/>
      <c r="F464" s="189"/>
      <c r="G464" s="194"/>
      <c r="H464" s="195"/>
      <c r="I464" s="194"/>
      <c r="J464" s="189"/>
      <c r="K464" s="189"/>
      <c r="L464" s="189"/>
      <c r="Q464" s="193"/>
      <c r="R464" s="189"/>
      <c r="S464" s="196"/>
      <c r="U464" s="197"/>
      <c r="V464" s="197"/>
    </row>
    <row r="465" spans="1:31" ht="15" customHeight="1" x14ac:dyDescent="0.25">
      <c r="B465" s="755" t="s">
        <v>17</v>
      </c>
      <c r="C465" s="749" t="s">
        <v>18</v>
      </c>
      <c r="D465" s="758"/>
      <c r="E465" s="153" t="s">
        <v>19</v>
      </c>
      <c r="F465" s="763" t="s">
        <v>20</v>
      </c>
      <c r="G465" s="764"/>
      <c r="H465" s="764"/>
      <c r="I465" s="764"/>
      <c r="J465" s="764"/>
      <c r="K465" s="764"/>
      <c r="L465" s="764"/>
      <c r="M465" s="152" t="s">
        <v>2</v>
      </c>
      <c r="N465" s="749" t="s">
        <v>21</v>
      </c>
      <c r="O465" s="758"/>
      <c r="P465" s="749" t="s">
        <v>22</v>
      </c>
      <c r="Q465" s="758"/>
      <c r="R465" s="749" t="s">
        <v>23</v>
      </c>
      <c r="S465" s="750"/>
    </row>
    <row r="466" spans="1:31" ht="15" customHeight="1" x14ac:dyDescent="0.25">
      <c r="B466" s="756"/>
      <c r="C466" s="751"/>
      <c r="D466" s="759"/>
      <c r="E466" s="155" t="s">
        <v>24</v>
      </c>
      <c r="F466" s="761" t="s">
        <v>25</v>
      </c>
      <c r="G466" s="761" t="s">
        <v>26</v>
      </c>
      <c r="H466" s="761" t="s">
        <v>26</v>
      </c>
      <c r="I466" s="761" t="s">
        <v>27</v>
      </c>
      <c r="J466" s="761" t="s">
        <v>28</v>
      </c>
      <c r="K466" s="761" t="s">
        <v>29</v>
      </c>
      <c r="L466" s="761" t="s">
        <v>26</v>
      </c>
      <c r="M466" s="154" t="s">
        <v>30</v>
      </c>
      <c r="N466" s="751" t="s">
        <v>31</v>
      </c>
      <c r="O466" s="759"/>
      <c r="P466" s="751" t="s">
        <v>31</v>
      </c>
      <c r="Q466" s="759"/>
      <c r="R466" s="751"/>
      <c r="S466" s="752"/>
    </row>
    <row r="467" spans="1:31" ht="15" customHeight="1" thickBot="1" x14ac:dyDescent="0.3">
      <c r="B467" s="757"/>
      <c r="C467" s="753"/>
      <c r="D467" s="760"/>
      <c r="E467" s="157" t="s">
        <v>32</v>
      </c>
      <c r="F467" s="762"/>
      <c r="G467" s="762"/>
      <c r="H467" s="762"/>
      <c r="I467" s="762"/>
      <c r="J467" s="762"/>
      <c r="K467" s="762"/>
      <c r="L467" s="762"/>
      <c r="M467" s="156" t="s">
        <v>31</v>
      </c>
      <c r="N467" s="753" t="s">
        <v>33</v>
      </c>
      <c r="O467" s="760"/>
      <c r="P467" s="753" t="s">
        <v>34</v>
      </c>
      <c r="Q467" s="760"/>
      <c r="R467" s="753"/>
      <c r="S467" s="754"/>
    </row>
    <row r="468" spans="1:31" ht="24.95" customHeight="1" x14ac:dyDescent="0.25">
      <c r="B468" s="201">
        <v>1</v>
      </c>
      <c r="C468" s="261" t="str">
        <f t="shared" ref="C468:C478" si="169">IFERROR(C430," ")</f>
        <v>KHUSNUL</v>
      </c>
      <c r="D468" s="203"/>
      <c r="E468" s="262" t="str">
        <f t="shared" ref="E468:E478" si="170">IFERROR(E430," ")</f>
        <v>A</v>
      </c>
      <c r="F468" s="215" t="s">
        <v>36</v>
      </c>
      <c r="G468" s="205" t="s">
        <v>37</v>
      </c>
      <c r="H468" s="205" t="s">
        <v>37</v>
      </c>
      <c r="I468" s="205" t="s">
        <v>37</v>
      </c>
      <c r="J468" s="205" t="s">
        <v>37</v>
      </c>
      <c r="K468" s="205" t="s">
        <v>37</v>
      </c>
      <c r="L468" s="205" t="s">
        <v>37</v>
      </c>
      <c r="M468" s="206">
        <f>SUM(Y468:AE468)</f>
        <v>6</v>
      </c>
      <c r="N468" s="207" t="str">
        <f t="shared" ref="N468:N478" si="171">IF(O468&gt;0,"Rp",IF(O468=0," "))</f>
        <v>Rp</v>
      </c>
      <c r="O468" s="263">
        <f t="shared" ref="O468:O473" si="172">O430</f>
        <v>130000</v>
      </c>
      <c r="P468" s="207" t="str">
        <f>IF(Q468&gt;0,"Rp",IF(Q468=0," "))</f>
        <v>Rp</v>
      </c>
      <c r="Q468" s="208">
        <f t="shared" ref="Q468:Q474" si="173">O468*M468</f>
        <v>780000</v>
      </c>
      <c r="R468" s="209">
        <f>IF(Q468&gt;0,1,IF(Q468=0," "))</f>
        <v>1</v>
      </c>
      <c r="S468" s="210"/>
      <c r="U468" s="260"/>
      <c r="V468" s="140"/>
      <c r="Y468" s="211">
        <f t="shared" ref="Y468:Y478" si="174">IFERROR(IF(F468="V",1,IF(F468="X",0))," ")</f>
        <v>0</v>
      </c>
      <c r="Z468" s="211">
        <f t="shared" ref="Z468:Z478" si="175">IFERROR(IF(G468="V",1,IF(G468="X",0))," ")</f>
        <v>1</v>
      </c>
      <c r="AA468" s="211">
        <f t="shared" ref="AA468:AA478" si="176">IFERROR(IF(H468="V",1,IF(H468="X",0))," ")</f>
        <v>1</v>
      </c>
      <c r="AB468" s="211">
        <f t="shared" ref="AB468:AB478" si="177">IFERROR(IF(I468="V",1,IF(I468="X",0))," ")</f>
        <v>1</v>
      </c>
      <c r="AC468" s="211">
        <f t="shared" ref="AC468:AC478" si="178">IFERROR(IF(J468="V",1,IF(J468="X",0))," ")</f>
        <v>1</v>
      </c>
      <c r="AD468" s="211">
        <f t="shared" ref="AD468:AD478" si="179">IFERROR(IF(K468="V",1,IF(K468="X",0))," ")</f>
        <v>1</v>
      </c>
      <c r="AE468" s="211">
        <f t="shared" ref="AE468:AE478" si="180">IFERROR(IF(L468="V",1,IF(L468="X",0))," ")</f>
        <v>1</v>
      </c>
    </row>
    <row r="469" spans="1:31" ht="24.95" customHeight="1" x14ac:dyDescent="0.25">
      <c r="B469" s="212">
        <f>B468+1</f>
        <v>2</v>
      </c>
      <c r="C469" s="264" t="str">
        <f t="shared" si="169"/>
        <v>PRIYO</v>
      </c>
      <c r="D469" s="213"/>
      <c r="E469" s="265" t="str">
        <f t="shared" si="170"/>
        <v>B</v>
      </c>
      <c r="F469" s="215" t="s">
        <v>36</v>
      </c>
      <c r="G469" s="215" t="s">
        <v>37</v>
      </c>
      <c r="H469" s="215" t="s">
        <v>36</v>
      </c>
      <c r="I469" s="215" t="s">
        <v>37</v>
      </c>
      <c r="J469" s="215" t="s">
        <v>36</v>
      </c>
      <c r="K469" s="215" t="s">
        <v>37</v>
      </c>
      <c r="L469" s="215" t="s">
        <v>37</v>
      </c>
      <c r="M469" s="216">
        <f t="shared" ref="M469:M474" si="181">SUM(Y469:AE469)</f>
        <v>4</v>
      </c>
      <c r="N469" s="217" t="str">
        <f t="shared" si="171"/>
        <v>Rp</v>
      </c>
      <c r="O469" s="266">
        <f t="shared" si="172"/>
        <v>125000</v>
      </c>
      <c r="P469" s="217" t="str">
        <f t="shared" ref="P469:P474" si="182">IF(Q469&gt;0,"Rp",IF(Q469=0," "))</f>
        <v>Rp</v>
      </c>
      <c r="Q469" s="219">
        <f t="shared" si="173"/>
        <v>500000</v>
      </c>
      <c r="R469" s="220"/>
      <c r="S469" s="221">
        <f>IF(Q469&gt;0,2,IF(Q468=0," "))</f>
        <v>2</v>
      </c>
      <c r="U469" s="211"/>
      <c r="V469" s="211"/>
      <c r="Y469" s="211">
        <f t="shared" si="174"/>
        <v>0</v>
      </c>
      <c r="Z469" s="211">
        <f t="shared" si="175"/>
        <v>1</v>
      </c>
      <c r="AA469" s="211">
        <f t="shared" si="176"/>
        <v>0</v>
      </c>
      <c r="AB469" s="211">
        <f t="shared" si="177"/>
        <v>1</v>
      </c>
      <c r="AC469" s="211">
        <f t="shared" si="178"/>
        <v>0</v>
      </c>
      <c r="AD469" s="211">
        <f t="shared" si="179"/>
        <v>1</v>
      </c>
      <c r="AE469" s="211">
        <f t="shared" si="180"/>
        <v>1</v>
      </c>
    </row>
    <row r="470" spans="1:31" ht="24.95" customHeight="1" x14ac:dyDescent="0.25">
      <c r="B470" s="212">
        <f>B469+1</f>
        <v>3</v>
      </c>
      <c r="C470" s="264" t="str">
        <f t="shared" si="169"/>
        <v>NANANG</v>
      </c>
      <c r="D470" s="213"/>
      <c r="E470" s="265" t="str">
        <f t="shared" si="170"/>
        <v>B</v>
      </c>
      <c r="F470" s="215" t="s">
        <v>36</v>
      </c>
      <c r="G470" s="215" t="s">
        <v>37</v>
      </c>
      <c r="H470" s="215" t="s">
        <v>37</v>
      </c>
      <c r="I470" s="215" t="s">
        <v>37</v>
      </c>
      <c r="J470" s="215" t="s">
        <v>36</v>
      </c>
      <c r="K470" s="215" t="s">
        <v>37</v>
      </c>
      <c r="L470" s="215" t="s">
        <v>37</v>
      </c>
      <c r="M470" s="216">
        <f t="shared" si="181"/>
        <v>5</v>
      </c>
      <c r="N470" s="217" t="str">
        <f t="shared" si="171"/>
        <v>Rp</v>
      </c>
      <c r="O470" s="266">
        <f t="shared" si="172"/>
        <v>125000</v>
      </c>
      <c r="P470" s="217" t="str">
        <f t="shared" si="182"/>
        <v>Rp</v>
      </c>
      <c r="Q470" s="219">
        <f t="shared" si="173"/>
        <v>625000</v>
      </c>
      <c r="R470" s="222">
        <f>IF(Q470&gt;0,R468+2,IF(Q470=0," "))</f>
        <v>3</v>
      </c>
      <c r="S470" s="221"/>
      <c r="U470" s="211"/>
      <c r="V470" s="211"/>
      <c r="Y470" s="211">
        <f t="shared" si="174"/>
        <v>0</v>
      </c>
      <c r="Z470" s="211">
        <f t="shared" si="175"/>
        <v>1</v>
      </c>
      <c r="AA470" s="211">
        <f t="shared" si="176"/>
        <v>1</v>
      </c>
      <c r="AB470" s="211">
        <f t="shared" si="177"/>
        <v>1</v>
      </c>
      <c r="AC470" s="211">
        <f t="shared" si="178"/>
        <v>0</v>
      </c>
      <c r="AD470" s="211">
        <f t="shared" si="179"/>
        <v>1</v>
      </c>
      <c r="AE470" s="211">
        <f t="shared" si="180"/>
        <v>1</v>
      </c>
    </row>
    <row r="471" spans="1:31" ht="24.95" customHeight="1" x14ac:dyDescent="0.25">
      <c r="B471" s="212">
        <f>B470+1</f>
        <v>4</v>
      </c>
      <c r="C471" s="264" t="str">
        <f t="shared" si="169"/>
        <v>KOIREN</v>
      </c>
      <c r="D471" s="213"/>
      <c r="E471" s="265" t="str">
        <f t="shared" si="170"/>
        <v>B</v>
      </c>
      <c r="F471" s="215" t="s">
        <v>36</v>
      </c>
      <c r="G471" s="215" t="s">
        <v>37</v>
      </c>
      <c r="H471" s="215" t="s">
        <v>37</v>
      </c>
      <c r="I471" s="215" t="s">
        <v>37</v>
      </c>
      <c r="J471" s="215" t="s">
        <v>37</v>
      </c>
      <c r="K471" s="215" t="s">
        <v>37</v>
      </c>
      <c r="L471" s="215" t="s">
        <v>37</v>
      </c>
      <c r="M471" s="216">
        <f t="shared" si="181"/>
        <v>6</v>
      </c>
      <c r="N471" s="217" t="str">
        <f t="shared" si="171"/>
        <v>Rp</v>
      </c>
      <c r="O471" s="266">
        <f t="shared" si="172"/>
        <v>125000</v>
      </c>
      <c r="P471" s="217" t="str">
        <f t="shared" si="182"/>
        <v>Rp</v>
      </c>
      <c r="Q471" s="219">
        <f t="shared" si="173"/>
        <v>750000</v>
      </c>
      <c r="R471" s="222"/>
      <c r="S471" s="223">
        <f>IF(Q471&gt;0,S469+2,IF(T471=0," "))</f>
        <v>4</v>
      </c>
      <c r="U471" s="211"/>
      <c r="V471" s="211"/>
      <c r="Y471" s="211">
        <f t="shared" si="174"/>
        <v>0</v>
      </c>
      <c r="Z471" s="211">
        <f t="shared" si="175"/>
        <v>1</v>
      </c>
      <c r="AA471" s="211">
        <f t="shared" si="176"/>
        <v>1</v>
      </c>
      <c r="AB471" s="211">
        <f t="shared" si="177"/>
        <v>1</v>
      </c>
      <c r="AC471" s="211">
        <f t="shared" si="178"/>
        <v>1</v>
      </c>
      <c r="AD471" s="211">
        <f t="shared" si="179"/>
        <v>1</v>
      </c>
      <c r="AE471" s="211">
        <f t="shared" si="180"/>
        <v>1</v>
      </c>
    </row>
    <row r="472" spans="1:31" ht="24.95" customHeight="1" x14ac:dyDescent="0.25">
      <c r="B472" s="212">
        <f t="shared" ref="B472:B478" si="183">B471+1</f>
        <v>5</v>
      </c>
      <c r="C472" s="264" t="str">
        <f t="shared" si="169"/>
        <v>MAT</v>
      </c>
      <c r="D472" s="213"/>
      <c r="E472" s="265" t="str">
        <f t="shared" si="170"/>
        <v>C</v>
      </c>
      <c r="F472" s="215" t="s">
        <v>36</v>
      </c>
      <c r="G472" s="215" t="s">
        <v>37</v>
      </c>
      <c r="H472" s="215" t="s">
        <v>37</v>
      </c>
      <c r="I472" s="215" t="s">
        <v>36</v>
      </c>
      <c r="J472" s="215" t="s">
        <v>37</v>
      </c>
      <c r="K472" s="215" t="s">
        <v>37</v>
      </c>
      <c r="L472" s="215" t="s">
        <v>36</v>
      </c>
      <c r="M472" s="216">
        <f t="shared" si="181"/>
        <v>4</v>
      </c>
      <c r="N472" s="217" t="str">
        <f t="shared" si="171"/>
        <v>Rp</v>
      </c>
      <c r="O472" s="266">
        <f t="shared" si="172"/>
        <v>100000</v>
      </c>
      <c r="P472" s="217" t="str">
        <f t="shared" si="182"/>
        <v>Rp</v>
      </c>
      <c r="Q472" s="219">
        <f t="shared" si="173"/>
        <v>400000</v>
      </c>
      <c r="R472" s="222">
        <f>IF(Q472&gt;0,R470+2,IF(Q472=0," "))</f>
        <v>5</v>
      </c>
      <c r="S472" s="221"/>
      <c r="U472" s="211"/>
      <c r="V472" s="211"/>
      <c r="Y472" s="211">
        <f t="shared" si="174"/>
        <v>0</v>
      </c>
      <c r="Z472" s="211">
        <f t="shared" si="175"/>
        <v>1</v>
      </c>
      <c r="AA472" s="211">
        <f t="shared" si="176"/>
        <v>1</v>
      </c>
      <c r="AB472" s="211">
        <f t="shared" si="177"/>
        <v>0</v>
      </c>
      <c r="AC472" s="211">
        <f t="shared" si="178"/>
        <v>1</v>
      </c>
      <c r="AD472" s="211">
        <f t="shared" si="179"/>
        <v>1</v>
      </c>
      <c r="AE472" s="211">
        <f t="shared" si="180"/>
        <v>0</v>
      </c>
    </row>
    <row r="473" spans="1:31" ht="24.95" customHeight="1" x14ac:dyDescent="0.25">
      <c r="B473" s="212">
        <f t="shared" si="183"/>
        <v>6</v>
      </c>
      <c r="C473" s="264" t="str">
        <f t="shared" si="169"/>
        <v>JUNED</v>
      </c>
      <c r="D473" s="213"/>
      <c r="E473" s="265" t="str">
        <f t="shared" si="170"/>
        <v>C</v>
      </c>
      <c r="F473" s="215"/>
      <c r="G473" s="215"/>
      <c r="H473" s="215"/>
      <c r="I473" s="215"/>
      <c r="J473" s="215"/>
      <c r="K473" s="215"/>
      <c r="L473" s="215"/>
      <c r="M473" s="216">
        <f t="shared" si="181"/>
        <v>0</v>
      </c>
      <c r="N473" s="217" t="str">
        <f t="shared" si="171"/>
        <v>Rp</v>
      </c>
      <c r="O473" s="266">
        <f t="shared" si="172"/>
        <v>100000</v>
      </c>
      <c r="P473" s="217" t="str">
        <f t="shared" si="182"/>
        <v xml:space="preserve"> </v>
      </c>
      <c r="Q473" s="219">
        <f t="shared" si="173"/>
        <v>0</v>
      </c>
      <c r="R473" s="222"/>
      <c r="S473" s="223" t="str">
        <f>IF(Q473&gt;0,S471+2,IF(T473=0," "))</f>
        <v xml:space="preserve"> </v>
      </c>
      <c r="U473" s="211"/>
      <c r="V473" s="211"/>
      <c r="Y473" s="211" t="b">
        <f t="shared" si="174"/>
        <v>0</v>
      </c>
      <c r="Z473" s="211" t="b">
        <f t="shared" si="175"/>
        <v>0</v>
      </c>
      <c r="AA473" s="211" t="b">
        <f t="shared" si="176"/>
        <v>0</v>
      </c>
      <c r="AB473" s="211" t="b">
        <f t="shared" si="177"/>
        <v>0</v>
      </c>
      <c r="AC473" s="211" t="b">
        <f t="shared" si="178"/>
        <v>0</v>
      </c>
      <c r="AD473" s="211" t="b">
        <f t="shared" si="179"/>
        <v>0</v>
      </c>
      <c r="AE473" s="211" t="b">
        <f t="shared" si="180"/>
        <v>0</v>
      </c>
    </row>
    <row r="474" spans="1:31" ht="24.95" customHeight="1" x14ac:dyDescent="0.25">
      <c r="B474" s="212">
        <f t="shared" si="183"/>
        <v>7</v>
      </c>
      <c r="C474" s="264" t="str">
        <f t="shared" si="169"/>
        <v>LASITO</v>
      </c>
      <c r="D474" s="213"/>
      <c r="E474" s="265" t="str">
        <f t="shared" si="170"/>
        <v>C</v>
      </c>
      <c r="F474" s="215"/>
      <c r="G474" s="215"/>
      <c r="H474" s="215"/>
      <c r="I474" s="215"/>
      <c r="J474" s="215"/>
      <c r="K474" s="215"/>
      <c r="L474" s="215"/>
      <c r="M474" s="216">
        <f t="shared" si="181"/>
        <v>0</v>
      </c>
      <c r="N474" s="217" t="str">
        <f t="shared" si="171"/>
        <v>Rp</v>
      </c>
      <c r="O474" s="266">
        <f>IFERROR(O436," ")</f>
        <v>100000</v>
      </c>
      <c r="P474" s="217" t="str">
        <f t="shared" si="182"/>
        <v xml:space="preserve"> </v>
      </c>
      <c r="Q474" s="219">
        <f t="shared" si="173"/>
        <v>0</v>
      </c>
      <c r="R474" s="222" t="str">
        <f>IF(Q474&gt;0,R472+2,IF(Q474=0," "))</f>
        <v xml:space="preserve"> </v>
      </c>
      <c r="S474" s="221"/>
      <c r="U474" s="211"/>
      <c r="V474" s="211"/>
      <c r="Y474" s="211" t="b">
        <f t="shared" si="174"/>
        <v>0</v>
      </c>
      <c r="Z474" s="211" t="b">
        <f t="shared" si="175"/>
        <v>0</v>
      </c>
      <c r="AA474" s="211" t="b">
        <f t="shared" si="176"/>
        <v>0</v>
      </c>
      <c r="AB474" s="211" t="b">
        <f t="shared" si="177"/>
        <v>0</v>
      </c>
      <c r="AC474" s="211" t="b">
        <f t="shared" si="178"/>
        <v>0</v>
      </c>
      <c r="AD474" s="211" t="b">
        <f t="shared" si="179"/>
        <v>0</v>
      </c>
      <c r="AE474" s="211" t="b">
        <f t="shared" si="180"/>
        <v>0</v>
      </c>
    </row>
    <row r="475" spans="1:31" ht="24.95" customHeight="1" x14ac:dyDescent="0.25">
      <c r="B475" s="212">
        <f t="shared" si="183"/>
        <v>8</v>
      </c>
      <c r="C475" s="264" t="str">
        <f t="shared" si="169"/>
        <v>BONANG</v>
      </c>
      <c r="D475" s="213"/>
      <c r="E475" s="265" t="str">
        <f t="shared" si="170"/>
        <v>C</v>
      </c>
      <c r="F475" s="215"/>
      <c r="G475" s="215"/>
      <c r="H475" s="215"/>
      <c r="I475" s="215"/>
      <c r="J475" s="215"/>
      <c r="K475" s="215"/>
      <c r="L475" s="215"/>
      <c r="M475" s="216">
        <f>SUM(Y475:AE475)</f>
        <v>0</v>
      </c>
      <c r="N475" s="217" t="str">
        <f t="shared" si="171"/>
        <v>Rp</v>
      </c>
      <c r="O475" s="266">
        <f>IFERROR(O437," ")</f>
        <v>100000</v>
      </c>
      <c r="P475" s="217" t="str">
        <f>IF(Q475&gt;0,"Rp",IF(Q475=0," "))</f>
        <v xml:space="preserve"> </v>
      </c>
      <c r="Q475" s="219">
        <f>O475*M475</f>
        <v>0</v>
      </c>
      <c r="R475" s="222"/>
      <c r="S475" s="223" t="str">
        <f>IF(Q475&gt;0,S473+2,IF(T475=0," "))</f>
        <v xml:space="preserve"> </v>
      </c>
      <c r="U475" s="211"/>
      <c r="V475" s="211"/>
      <c r="Y475" s="211" t="b">
        <f t="shared" si="174"/>
        <v>0</v>
      </c>
      <c r="Z475" s="211" t="b">
        <f t="shared" si="175"/>
        <v>0</v>
      </c>
      <c r="AA475" s="211" t="b">
        <f t="shared" si="176"/>
        <v>0</v>
      </c>
      <c r="AB475" s="211" t="b">
        <f t="shared" si="177"/>
        <v>0</v>
      </c>
      <c r="AC475" s="211" t="b">
        <f t="shared" si="178"/>
        <v>0</v>
      </c>
      <c r="AD475" s="211" t="b">
        <f t="shared" si="179"/>
        <v>0</v>
      </c>
      <c r="AE475" s="211" t="b">
        <f t="shared" si="180"/>
        <v>0</v>
      </c>
    </row>
    <row r="476" spans="1:31" ht="24.95" customHeight="1" x14ac:dyDescent="0.25">
      <c r="B476" s="212">
        <f t="shared" si="183"/>
        <v>9</v>
      </c>
      <c r="C476" s="264">
        <f t="shared" si="169"/>
        <v>0</v>
      </c>
      <c r="D476" s="213"/>
      <c r="E476" s="265">
        <f t="shared" si="170"/>
        <v>0</v>
      </c>
      <c r="F476" s="215"/>
      <c r="G476" s="215"/>
      <c r="H476" s="215"/>
      <c r="I476" s="215"/>
      <c r="J476" s="215"/>
      <c r="K476" s="215"/>
      <c r="L476" s="215"/>
      <c r="M476" s="216">
        <f>SUM(Y476:AE476)</f>
        <v>0</v>
      </c>
      <c r="N476" s="217" t="str">
        <f t="shared" si="171"/>
        <v xml:space="preserve"> </v>
      </c>
      <c r="O476" s="266">
        <f>IFERROR(O438," ")</f>
        <v>0</v>
      </c>
      <c r="P476" s="217" t="str">
        <f>IF(Q476&gt;0,"Rp",IF(Q476=0," "))</f>
        <v xml:space="preserve"> </v>
      </c>
      <c r="Q476" s="219">
        <f>O476*M476</f>
        <v>0</v>
      </c>
      <c r="R476" s="222" t="str">
        <f>IF(Q476&gt;0,R474+2,IF(Q476=0," "))</f>
        <v xml:space="preserve"> </v>
      </c>
      <c r="S476" s="221"/>
      <c r="U476" s="211"/>
      <c r="V476" s="211"/>
      <c r="Y476" s="211" t="b">
        <f t="shared" si="174"/>
        <v>0</v>
      </c>
      <c r="Z476" s="211" t="b">
        <f t="shared" si="175"/>
        <v>0</v>
      </c>
      <c r="AA476" s="211" t="b">
        <f t="shared" si="176"/>
        <v>0</v>
      </c>
      <c r="AB476" s="211" t="b">
        <f t="shared" si="177"/>
        <v>0</v>
      </c>
      <c r="AC476" s="211" t="b">
        <f t="shared" si="178"/>
        <v>0</v>
      </c>
      <c r="AD476" s="211" t="b">
        <f t="shared" si="179"/>
        <v>0</v>
      </c>
      <c r="AE476" s="211" t="b">
        <f t="shared" si="180"/>
        <v>0</v>
      </c>
    </row>
    <row r="477" spans="1:31" ht="24.95" customHeight="1" x14ac:dyDescent="0.25">
      <c r="B477" s="212">
        <f t="shared" si="183"/>
        <v>10</v>
      </c>
      <c r="C477" s="264">
        <f t="shared" si="169"/>
        <v>0</v>
      </c>
      <c r="D477" s="213"/>
      <c r="E477" s="265">
        <f t="shared" si="170"/>
        <v>0</v>
      </c>
      <c r="F477" s="215"/>
      <c r="G477" s="215"/>
      <c r="H477" s="215"/>
      <c r="I477" s="215"/>
      <c r="J477" s="215"/>
      <c r="K477" s="215"/>
      <c r="L477" s="215"/>
      <c r="M477" s="216">
        <f>SUM(Y477:AE477)</f>
        <v>0</v>
      </c>
      <c r="N477" s="217" t="str">
        <f t="shared" si="171"/>
        <v xml:space="preserve"> </v>
      </c>
      <c r="O477" s="266">
        <f>IFERROR(O439," ")</f>
        <v>0</v>
      </c>
      <c r="P477" s="217" t="str">
        <f>IF(Q477&gt;0,"Rp",IF(Q477=0," "))</f>
        <v xml:space="preserve"> </v>
      </c>
      <c r="Q477" s="219">
        <f>O477*M477</f>
        <v>0</v>
      </c>
      <c r="R477" s="222"/>
      <c r="S477" s="223" t="str">
        <f>IF(Q477&gt;0,S475+2,IF(T477=0," "))</f>
        <v xml:space="preserve"> </v>
      </c>
      <c r="U477" s="211"/>
      <c r="V477" s="211"/>
      <c r="Y477" s="211" t="b">
        <f t="shared" si="174"/>
        <v>0</v>
      </c>
      <c r="Z477" s="211" t="b">
        <f t="shared" si="175"/>
        <v>0</v>
      </c>
      <c r="AA477" s="211" t="b">
        <f t="shared" si="176"/>
        <v>0</v>
      </c>
      <c r="AB477" s="211" t="b">
        <f t="shared" si="177"/>
        <v>0</v>
      </c>
      <c r="AC477" s="211" t="b">
        <f t="shared" si="178"/>
        <v>0</v>
      </c>
      <c r="AD477" s="211" t="b">
        <f t="shared" si="179"/>
        <v>0</v>
      </c>
      <c r="AE477" s="211" t="b">
        <f t="shared" si="180"/>
        <v>0</v>
      </c>
    </row>
    <row r="478" spans="1:31" ht="24.95" customHeight="1" x14ac:dyDescent="0.25">
      <c r="B478" s="212">
        <f t="shared" si="183"/>
        <v>11</v>
      </c>
      <c r="C478" s="264">
        <f t="shared" si="169"/>
        <v>0</v>
      </c>
      <c r="D478" s="213"/>
      <c r="E478" s="265">
        <f t="shared" si="170"/>
        <v>0</v>
      </c>
      <c r="F478" s="215"/>
      <c r="G478" s="215"/>
      <c r="H478" s="215"/>
      <c r="I478" s="215"/>
      <c r="J478" s="215"/>
      <c r="K478" s="215"/>
      <c r="L478" s="215"/>
      <c r="M478" s="216">
        <f>SUM(Y478:AE478)</f>
        <v>0</v>
      </c>
      <c r="N478" s="217" t="str">
        <f t="shared" si="171"/>
        <v xml:space="preserve"> </v>
      </c>
      <c r="O478" s="266">
        <f>IFERROR(O440," ")</f>
        <v>0</v>
      </c>
      <c r="P478" s="217" t="str">
        <f>IF(Q478&gt;0,"Rp",IF(Q478=0," "))</f>
        <v xml:space="preserve"> </v>
      </c>
      <c r="Q478" s="219">
        <f>O478*M478</f>
        <v>0</v>
      </c>
      <c r="R478" s="222" t="str">
        <f>IF(Q478&gt;0,R476+2,IF(Q478=0," "))</f>
        <v xml:space="preserve"> </v>
      </c>
      <c r="S478" s="221"/>
      <c r="U478" s="211"/>
      <c r="V478" s="211"/>
      <c r="Y478" s="211" t="b">
        <f t="shared" si="174"/>
        <v>0</v>
      </c>
      <c r="Z478" s="211" t="b">
        <f t="shared" si="175"/>
        <v>0</v>
      </c>
      <c r="AA478" s="211" t="b">
        <f t="shared" si="176"/>
        <v>0</v>
      </c>
      <c r="AB478" s="211" t="b">
        <f t="shared" si="177"/>
        <v>0</v>
      </c>
      <c r="AC478" s="211" t="b">
        <f t="shared" si="178"/>
        <v>0</v>
      </c>
      <c r="AD478" s="211" t="b">
        <f t="shared" si="179"/>
        <v>0</v>
      </c>
      <c r="AE478" s="211" t="b">
        <f t="shared" si="180"/>
        <v>0</v>
      </c>
    </row>
    <row r="479" spans="1:31" ht="24.95" customHeight="1" thickBot="1" x14ac:dyDescent="0.25">
      <c r="B479" s="233"/>
      <c r="C479" s="257"/>
      <c r="D479" s="235"/>
      <c r="E479" s="236"/>
      <c r="F479" s="237"/>
      <c r="G479" s="238"/>
      <c r="H479" s="239"/>
      <c r="I479" s="239"/>
      <c r="J479" s="240"/>
      <c r="K479" s="240"/>
      <c r="L479" s="240"/>
      <c r="M479" s="241"/>
      <c r="N479" s="242"/>
      <c r="O479" s="258"/>
      <c r="P479" s="244"/>
      <c r="Q479" s="236"/>
      <c r="R479" s="246"/>
      <c r="S479" s="247"/>
      <c r="U479" s="211"/>
      <c r="V479" s="211"/>
    </row>
    <row r="480" spans="1:31" ht="20.100000000000001" customHeight="1" thickTop="1" thickBot="1" x14ac:dyDescent="0.3">
      <c r="A480" s="179">
        <f>A442+1</f>
        <v>13</v>
      </c>
      <c r="B480" s="248"/>
      <c r="C480" s="249"/>
      <c r="D480" s="249"/>
      <c r="E480" s="249"/>
      <c r="F480" s="249"/>
      <c r="G480" s="249"/>
      <c r="H480" s="249"/>
      <c r="I480" s="249"/>
      <c r="J480" s="249"/>
      <c r="K480" s="249"/>
      <c r="L480" s="249"/>
      <c r="M480" s="249"/>
      <c r="N480" s="249"/>
      <c r="O480" s="250" t="s">
        <v>40</v>
      </c>
      <c r="P480" s="249"/>
      <c r="Q480" s="710">
        <f>SUM(Q468:Q479)</f>
        <v>3055000</v>
      </c>
      <c r="R480" s="711"/>
      <c r="S480" s="712"/>
      <c r="U480" s="226" t="str">
        <f>VLOOKUP(A480,'Rekap Gaji'!$B$12:$P$24,10,FALSE)</f>
        <v xml:space="preserve"> 05 September 2025</v>
      </c>
      <c r="V480" s="251" t="e">
        <f>U480-Q480</f>
        <v>#VALUE!</v>
      </c>
    </row>
    <row r="481" spans="1:22" ht="11.25" customHeight="1" x14ac:dyDescent="0.25"/>
    <row r="482" spans="1:22" ht="16.5" customHeight="1" x14ac:dyDescent="0.25">
      <c r="B482" s="195" t="s">
        <v>41</v>
      </c>
      <c r="C482" s="140" t="s">
        <v>42</v>
      </c>
    </row>
    <row r="483" spans="1:22" ht="14.25" x14ac:dyDescent="0.25">
      <c r="G483" s="183"/>
      <c r="H483" s="182"/>
      <c r="M483" s="141"/>
      <c r="N483" s="141"/>
      <c r="Q483" s="140" t="str">
        <f>'BKU 1'!$I$25</f>
        <v>NGANTANG</v>
      </c>
      <c r="R483" s="713">
        <f>IFERROR(VLOOKUP(E462,'Rekap Gaji'!$B$12:$P$24,7,FALSE),"-")</f>
        <v>45905</v>
      </c>
      <c r="S483" s="713"/>
      <c r="T483" s="252"/>
      <c r="U483" s="252"/>
    </row>
    <row r="484" spans="1:22" ht="15.75" x14ac:dyDescent="0.25">
      <c r="C484" s="140" t="s">
        <v>43</v>
      </c>
      <c r="F484" s="253"/>
      <c r="G484" s="254"/>
      <c r="H484" s="255"/>
      <c r="I484" s="256"/>
      <c r="J484" s="225" t="s">
        <v>44</v>
      </c>
      <c r="K484" s="253"/>
      <c r="M484" s="141"/>
      <c r="N484" s="141"/>
      <c r="Q484" s="140" t="str">
        <f>'BKU 1'!$L$354</f>
        <v>Dibuat Oleh ;</v>
      </c>
      <c r="R484" s="141"/>
    </row>
    <row r="485" spans="1:22" ht="14.25" x14ac:dyDescent="0.25">
      <c r="C485" s="140" t="str">
        <f>'BKU 1'!$C$355</f>
        <v>Kepala Sekolah SDN 1 SIDODADI</v>
      </c>
      <c r="F485" s="187"/>
      <c r="G485" s="224"/>
      <c r="H485" s="182"/>
      <c r="I485" s="183"/>
      <c r="J485" s="140" t="s">
        <v>45</v>
      </c>
      <c r="K485" s="187"/>
      <c r="Q485" s="140" t="str">
        <f>'BKU 1'!$L$355</f>
        <v>Bendahara Pembangunan</v>
      </c>
      <c r="R485" s="141"/>
    </row>
    <row r="486" spans="1:22" ht="14.25" x14ac:dyDescent="0.25">
      <c r="F486" s="187"/>
      <c r="G486" s="224"/>
      <c r="H486" s="182"/>
      <c r="I486" s="183"/>
      <c r="K486" s="187"/>
      <c r="Q486" s="140"/>
      <c r="R486" s="141"/>
    </row>
    <row r="487" spans="1:22" ht="14.25" x14ac:dyDescent="0.25">
      <c r="F487" s="187"/>
      <c r="G487" s="224"/>
      <c r="H487" s="182"/>
      <c r="I487" s="183"/>
      <c r="K487" s="187"/>
      <c r="Q487" s="140"/>
      <c r="R487" s="141"/>
    </row>
    <row r="488" spans="1:22" ht="14.25" x14ac:dyDescent="0.25">
      <c r="F488" s="187"/>
      <c r="G488" s="224"/>
      <c r="H488" s="182"/>
      <c r="I488" s="183"/>
      <c r="K488" s="187"/>
      <c r="Q488" s="140"/>
      <c r="R488" s="141"/>
    </row>
    <row r="489" spans="1:22" ht="14.25" x14ac:dyDescent="0.25">
      <c r="F489" s="187"/>
      <c r="G489" s="224"/>
      <c r="H489" s="182"/>
      <c r="I489" s="183"/>
      <c r="K489" s="187"/>
      <c r="Q489" s="140"/>
      <c r="R489" s="141"/>
    </row>
    <row r="490" spans="1:22" x14ac:dyDescent="0.25">
      <c r="G490" s="225"/>
      <c r="Q490" s="140"/>
    </row>
    <row r="491" spans="1:22" x14ac:dyDescent="0.25">
      <c r="G491" s="225"/>
      <c r="Q491" s="140"/>
    </row>
    <row r="492" spans="1:22" s="189" customFormat="1" ht="15" customHeight="1" x14ac:dyDescent="0.25">
      <c r="A492" s="192"/>
      <c r="B492" s="195"/>
      <c r="C492" s="227" t="str">
        <f>'BKU 1'!$C$360</f>
        <v>MELIA FITRIANI, S.Pd.SD</v>
      </c>
      <c r="D492" s="227"/>
      <c r="G492" s="228"/>
      <c r="H492" s="195"/>
      <c r="I492" s="194"/>
      <c r="J492" s="229">
        <f>'BKU 1'!$G$360</f>
        <v>0</v>
      </c>
      <c r="Q492" s="227" t="str">
        <f>'BKU 1'!$L$360</f>
        <v>ARIF NUR UDIN, S.Pd.SD</v>
      </c>
      <c r="S492" s="230"/>
      <c r="U492" s="231"/>
      <c r="V492" s="231"/>
    </row>
    <row r="493" spans="1:22" s="189" customFormat="1" ht="15" customHeight="1" x14ac:dyDescent="0.25">
      <c r="A493" s="192"/>
      <c r="B493" s="195"/>
      <c r="C493" s="140" t="str">
        <f>'BKU 1'!$C$361</f>
        <v>NIP. 19850619 200904 2 000</v>
      </c>
      <c r="D493" s="140"/>
      <c r="E493" s="140"/>
      <c r="F493" s="140"/>
      <c r="G493" s="225"/>
      <c r="H493" s="191"/>
      <c r="I493" s="190"/>
      <c r="J493" s="232">
        <f>'BKU 1'!$G$361</f>
        <v>0</v>
      </c>
      <c r="K493" s="140"/>
      <c r="M493" s="140"/>
      <c r="N493" s="140"/>
      <c r="O493" s="140"/>
      <c r="P493" s="140"/>
      <c r="Q493" s="140" t="str">
        <f>'BKU 1'!$L$361</f>
        <v>NIP. 19840719 200903 1 002</v>
      </c>
      <c r="S493" s="230"/>
      <c r="U493" s="231"/>
      <c r="V493" s="231"/>
    </row>
    <row r="494" spans="1:22" ht="6" customHeight="1" x14ac:dyDescent="0.25"/>
    <row r="495" spans="1:22" s="177" customFormat="1" ht="24.95" customHeight="1" x14ac:dyDescent="0.25">
      <c r="A495" s="176"/>
      <c r="B495" s="726" t="s">
        <v>6</v>
      </c>
      <c r="C495" s="726"/>
      <c r="D495" s="726"/>
      <c r="E495" s="726"/>
      <c r="F495" s="726"/>
      <c r="G495" s="726"/>
      <c r="H495" s="726"/>
      <c r="I495" s="726"/>
      <c r="J495" s="726"/>
      <c r="K495" s="726"/>
      <c r="L495" s="726"/>
      <c r="M495" s="726"/>
      <c r="N495" s="726"/>
      <c r="O495" s="726"/>
      <c r="P495" s="726"/>
      <c r="Q495" s="726"/>
      <c r="R495" s="726"/>
      <c r="S495" s="726"/>
      <c r="U495" s="178"/>
      <c r="V495" s="178"/>
    </row>
    <row r="496" spans="1:22" s="177" customFormat="1" ht="24.95" customHeight="1" x14ac:dyDescent="0.25">
      <c r="A496" s="176"/>
      <c r="B496" s="726" t="str">
        <f>'BKU 1'!$D$22</f>
        <v>PEMBANGUNAN TOILET BESERTA SANITASINYA</v>
      </c>
      <c r="C496" s="726"/>
      <c r="D496" s="726"/>
      <c r="E496" s="726"/>
      <c r="F496" s="726"/>
      <c r="G496" s="726"/>
      <c r="H496" s="726"/>
      <c r="I496" s="726"/>
      <c r="J496" s="726"/>
      <c r="K496" s="726"/>
      <c r="L496" s="726"/>
      <c r="M496" s="726"/>
      <c r="N496" s="726"/>
      <c r="O496" s="726"/>
      <c r="P496" s="726"/>
      <c r="Q496" s="726"/>
      <c r="R496" s="726"/>
      <c r="S496" s="726"/>
      <c r="U496" s="178"/>
      <c r="V496" s="178"/>
    </row>
    <row r="497" spans="1:31" s="184" customFormat="1" ht="30.75" customHeight="1" x14ac:dyDescent="0.25">
      <c r="A497" s="179"/>
      <c r="B497" s="180"/>
      <c r="C497" s="181"/>
      <c r="D497" s="181"/>
      <c r="E497" s="181"/>
      <c r="F497" s="182"/>
      <c r="G497" s="183"/>
      <c r="H497" s="182"/>
      <c r="I497" s="183"/>
      <c r="J497" s="182"/>
      <c r="K497" s="182"/>
      <c r="L497" s="182"/>
      <c r="M497" s="181"/>
      <c r="N497" s="181"/>
      <c r="Q497" s="180"/>
      <c r="R497" s="140"/>
      <c r="S497" s="185"/>
      <c r="U497" s="186"/>
      <c r="V497" s="186"/>
    </row>
    <row r="498" spans="1:31" s="184" customFormat="1" ht="14.25" x14ac:dyDescent="0.25">
      <c r="A498" s="179"/>
      <c r="B498" s="185" t="s">
        <v>7</v>
      </c>
      <c r="D498" s="184" t="s">
        <v>49</v>
      </c>
      <c r="E498" s="184" t="str">
        <f>'BKU 1'!$D$25</f>
        <v>SDN 1 SIDODADI</v>
      </c>
      <c r="F498" s="140"/>
      <c r="G498" s="183"/>
      <c r="H498" s="182"/>
      <c r="I498" s="183"/>
      <c r="J498" s="187"/>
      <c r="K498" s="187"/>
      <c r="L498" s="187"/>
      <c r="M498" s="188"/>
      <c r="N498" s="188"/>
      <c r="Q498" s="180"/>
      <c r="R498" s="189" t="s">
        <v>8</v>
      </c>
      <c r="S498" s="185"/>
      <c r="U498" s="186"/>
      <c r="V498" s="186"/>
    </row>
    <row r="499" spans="1:31" s="184" customFormat="1" x14ac:dyDescent="0.25">
      <c r="A499" s="179"/>
      <c r="B499" s="185" t="s">
        <v>9</v>
      </c>
      <c r="D499" s="184" t="s">
        <v>49</v>
      </c>
      <c r="E499" s="184" t="str">
        <f>'BKU 1'!$D$26</f>
        <v>Jl. Kawi No.36 Rt. 1 Rw. 1 Dusun Sekar, Rt / Rw : 1 / 1, Dusun : Sekar, Kelurahan : Sidodadi</v>
      </c>
      <c r="F499" s="140"/>
      <c r="G499" s="190"/>
      <c r="H499" s="191"/>
      <c r="I499" s="190"/>
      <c r="J499" s="140"/>
      <c r="K499" s="140"/>
      <c r="L499" s="140"/>
      <c r="Q499" s="180"/>
      <c r="R499" s="140" t="s">
        <v>10</v>
      </c>
      <c r="S499" s="185" t="s">
        <v>11</v>
      </c>
      <c r="U499" s="186"/>
      <c r="V499" s="186"/>
    </row>
    <row r="500" spans="1:31" s="184" customFormat="1" x14ac:dyDescent="0.25">
      <c r="A500" s="179"/>
      <c r="B500" s="185" t="s">
        <v>12</v>
      </c>
      <c r="D500" s="184" t="s">
        <v>49</v>
      </c>
      <c r="E500" s="180">
        <f>E462+1</f>
        <v>14</v>
      </c>
      <c r="F500" s="140"/>
      <c r="G500" s="727" t="str">
        <f>IFERROR(VLOOKUP(E500,'Rekap Gaji'!$B$12:$P$24,14,FALSE),"-")</f>
        <v>-</v>
      </c>
      <c r="H500" s="727"/>
      <c r="I500" s="727"/>
      <c r="J500" s="140"/>
      <c r="K500" s="140"/>
      <c r="L500" s="140"/>
      <c r="Q500" s="180"/>
      <c r="R500" s="140" t="s">
        <v>13</v>
      </c>
      <c r="S500" s="185" t="s">
        <v>14</v>
      </c>
      <c r="U500" s="186"/>
      <c r="V500" s="186"/>
    </row>
    <row r="501" spans="1:31" s="184" customFormat="1" ht="15" customHeight="1" x14ac:dyDescent="0.25">
      <c r="A501" s="179"/>
      <c r="B501" s="185" t="s">
        <v>0</v>
      </c>
      <c r="D501" s="184" t="s">
        <v>49</v>
      </c>
      <c r="E501" s="728" t="str">
        <f>IFERROR(VLOOKUP(E500,'Rekap Gaji'!$B$12:$P$24,4,FALSE),"-")</f>
        <v>-</v>
      </c>
      <c r="F501" s="728"/>
      <c r="G501" s="728"/>
      <c r="H501" s="728"/>
      <c r="I501" s="727" t="s">
        <v>76</v>
      </c>
      <c r="J501" s="727"/>
      <c r="K501" s="728" t="str">
        <f>IFERROR(VLOOKUP(E500,'Rekap Gaji'!$B$12:$P$24,6,FALSE),"-")</f>
        <v>-</v>
      </c>
      <c r="L501" s="728"/>
      <c r="M501" s="728"/>
      <c r="N501" s="728"/>
      <c r="Q501" s="180"/>
      <c r="R501" s="140" t="s">
        <v>15</v>
      </c>
      <c r="S501" s="185" t="s">
        <v>16</v>
      </c>
      <c r="U501" s="186"/>
      <c r="V501" s="186"/>
    </row>
    <row r="502" spans="1:31" s="188" customFormat="1" ht="8.1" customHeight="1" thickBot="1" x14ac:dyDescent="0.3">
      <c r="A502" s="192"/>
      <c r="B502" s="193"/>
      <c r="F502" s="189"/>
      <c r="G502" s="194"/>
      <c r="H502" s="195"/>
      <c r="I502" s="194"/>
      <c r="J502" s="189"/>
      <c r="K502" s="189"/>
      <c r="L502" s="189"/>
      <c r="Q502" s="193"/>
      <c r="R502" s="189"/>
      <c r="S502" s="196"/>
      <c r="U502" s="197"/>
      <c r="V502" s="197"/>
    </row>
    <row r="503" spans="1:31" ht="15" customHeight="1" x14ac:dyDescent="0.25">
      <c r="B503" s="729" t="s">
        <v>17</v>
      </c>
      <c r="C503" s="717" t="s">
        <v>18</v>
      </c>
      <c r="D503" s="732"/>
      <c r="E503" s="268" t="s">
        <v>19</v>
      </c>
      <c r="F503" s="717" t="s">
        <v>20</v>
      </c>
      <c r="G503" s="734"/>
      <c r="H503" s="734"/>
      <c r="I503" s="734"/>
      <c r="J503" s="734"/>
      <c r="K503" s="734"/>
      <c r="L503" s="732"/>
      <c r="M503" s="267" t="s">
        <v>2</v>
      </c>
      <c r="N503" s="717" t="s">
        <v>21</v>
      </c>
      <c r="O503" s="732"/>
      <c r="P503" s="717" t="s">
        <v>22</v>
      </c>
      <c r="Q503" s="732"/>
      <c r="R503" s="717" t="s">
        <v>23</v>
      </c>
      <c r="S503" s="718"/>
    </row>
    <row r="504" spans="1:31" ht="15" customHeight="1" x14ac:dyDescent="0.25">
      <c r="B504" s="730"/>
      <c r="C504" s="719"/>
      <c r="D504" s="725"/>
      <c r="E504" s="270" t="s">
        <v>24</v>
      </c>
      <c r="F504" s="723" t="s">
        <v>25</v>
      </c>
      <c r="G504" s="723" t="s">
        <v>26</v>
      </c>
      <c r="H504" s="723" t="s">
        <v>26</v>
      </c>
      <c r="I504" s="723" t="s">
        <v>27</v>
      </c>
      <c r="J504" s="723" t="s">
        <v>28</v>
      </c>
      <c r="K504" s="723" t="s">
        <v>29</v>
      </c>
      <c r="L504" s="723" t="s">
        <v>26</v>
      </c>
      <c r="M504" s="269" t="s">
        <v>30</v>
      </c>
      <c r="N504" s="719" t="s">
        <v>31</v>
      </c>
      <c r="O504" s="725"/>
      <c r="P504" s="719" t="s">
        <v>31</v>
      </c>
      <c r="Q504" s="725"/>
      <c r="R504" s="719"/>
      <c r="S504" s="720"/>
    </row>
    <row r="505" spans="1:31" ht="15" customHeight="1" thickBot="1" x14ac:dyDescent="0.3">
      <c r="B505" s="731"/>
      <c r="C505" s="721"/>
      <c r="D505" s="733"/>
      <c r="E505" s="272" t="s">
        <v>32</v>
      </c>
      <c r="F505" s="724"/>
      <c r="G505" s="724"/>
      <c r="H505" s="724"/>
      <c r="I505" s="724"/>
      <c r="J505" s="724"/>
      <c r="K505" s="724"/>
      <c r="L505" s="724"/>
      <c r="M505" s="271" t="s">
        <v>31</v>
      </c>
      <c r="N505" s="721" t="s">
        <v>33</v>
      </c>
      <c r="O505" s="733"/>
      <c r="P505" s="721" t="s">
        <v>34</v>
      </c>
      <c r="Q505" s="733"/>
      <c r="R505" s="721"/>
      <c r="S505" s="722"/>
    </row>
    <row r="506" spans="1:31" ht="24.95" customHeight="1" x14ac:dyDescent="0.25">
      <c r="B506" s="201">
        <v>1</v>
      </c>
      <c r="C506" s="261" t="str">
        <f t="shared" ref="C506:C516" si="184">IFERROR(C468," ")</f>
        <v>KHUSNUL</v>
      </c>
      <c r="D506" s="203"/>
      <c r="E506" s="262" t="str">
        <f t="shared" ref="E506:E516" si="185">IFERROR(E468," ")</f>
        <v>A</v>
      </c>
      <c r="F506" s="205" t="s">
        <v>36</v>
      </c>
      <c r="G506" s="205" t="s">
        <v>37</v>
      </c>
      <c r="H506" s="205" t="s">
        <v>37</v>
      </c>
      <c r="I506" s="205" t="s">
        <v>37</v>
      </c>
      <c r="J506" s="205" t="s">
        <v>37</v>
      </c>
      <c r="K506" s="205" t="s">
        <v>37</v>
      </c>
      <c r="L506" s="205" t="s">
        <v>37</v>
      </c>
      <c r="M506" s="273">
        <f>SUM(Y506:AE506)</f>
        <v>6</v>
      </c>
      <c r="N506" s="207" t="str">
        <f t="shared" ref="N506:N516" si="186">IF(O506&gt;0,"Rp",IF(O506=0," "))</f>
        <v>Rp</v>
      </c>
      <c r="O506" s="263">
        <f t="shared" ref="O506:O516" si="187">IFERROR(O468," ")</f>
        <v>130000</v>
      </c>
      <c r="P506" s="207" t="str">
        <f t="shared" ref="P506:P516" si="188">IF(Q506&gt;0,"Rp",IF(Q506=0," "))</f>
        <v>Rp</v>
      </c>
      <c r="Q506" s="208">
        <f t="shared" ref="Q506:Q516" si="189">O506*M506</f>
        <v>780000</v>
      </c>
      <c r="R506" s="209">
        <f>IF(Q506&gt;0,1,IF(Q506=0," "))</f>
        <v>1</v>
      </c>
      <c r="S506" s="210"/>
      <c r="U506" s="260"/>
      <c r="V506" s="140"/>
      <c r="Y506" s="211">
        <f t="shared" ref="Y506:Y516" si="190">IFERROR(IF(F506="V",1,IF(F506="X",0))," ")</f>
        <v>0</v>
      </c>
      <c r="Z506" s="211">
        <f t="shared" ref="Z506:Z516" si="191">IFERROR(IF(G506="V",1,IF(G506="X",0))," ")</f>
        <v>1</v>
      </c>
      <c r="AA506" s="211">
        <f t="shared" ref="AA506:AA516" si="192">IFERROR(IF(H506="V",1,IF(H506="X",0))," ")</f>
        <v>1</v>
      </c>
      <c r="AB506" s="211">
        <f t="shared" ref="AB506:AB516" si="193">IFERROR(IF(I506="V",1,IF(I506="X",0))," ")</f>
        <v>1</v>
      </c>
      <c r="AC506" s="211">
        <f t="shared" ref="AC506:AC516" si="194">IFERROR(IF(J506="V",1,IF(J506="X",0))," ")</f>
        <v>1</v>
      </c>
      <c r="AD506" s="211">
        <f t="shared" ref="AD506:AD516" si="195">IFERROR(IF(K506="V",1,IF(K506="X",0))," ")</f>
        <v>1</v>
      </c>
      <c r="AE506" s="211">
        <f t="shared" ref="AE506:AE516" si="196">IFERROR(IF(L506="V",1,IF(L506="X",0))," ")</f>
        <v>1</v>
      </c>
    </row>
    <row r="507" spans="1:31" ht="24.95" customHeight="1" x14ac:dyDescent="0.25">
      <c r="B507" s="212">
        <f>B506+1</f>
        <v>2</v>
      </c>
      <c r="C507" s="264" t="str">
        <f t="shared" si="184"/>
        <v>PRIYO</v>
      </c>
      <c r="D507" s="213"/>
      <c r="E507" s="265" t="str">
        <f t="shared" si="185"/>
        <v>B</v>
      </c>
      <c r="F507" s="215" t="s">
        <v>36</v>
      </c>
      <c r="G507" s="215" t="s">
        <v>37</v>
      </c>
      <c r="H507" s="215" t="s">
        <v>37</v>
      </c>
      <c r="I507" s="215" t="s">
        <v>37</v>
      </c>
      <c r="J507" s="215" t="s">
        <v>37</v>
      </c>
      <c r="K507" s="215" t="s">
        <v>37</v>
      </c>
      <c r="L507" s="215" t="s">
        <v>37</v>
      </c>
      <c r="M507" s="274">
        <f t="shared" ref="M507:M516" si="197">SUM(Y507:AE507)</f>
        <v>6</v>
      </c>
      <c r="N507" s="217" t="str">
        <f t="shared" si="186"/>
        <v>Rp</v>
      </c>
      <c r="O507" s="266">
        <f t="shared" si="187"/>
        <v>125000</v>
      </c>
      <c r="P507" s="217" t="str">
        <f t="shared" si="188"/>
        <v>Rp</v>
      </c>
      <c r="Q507" s="219">
        <f t="shared" si="189"/>
        <v>750000</v>
      </c>
      <c r="R507" s="220"/>
      <c r="S507" s="221">
        <f>IF(Q507&gt;0,2,IF(Q506=0," "))</f>
        <v>2</v>
      </c>
      <c r="U507" s="211"/>
      <c r="V507" s="211"/>
      <c r="Y507" s="211">
        <f t="shared" si="190"/>
        <v>0</v>
      </c>
      <c r="Z507" s="211">
        <f t="shared" si="191"/>
        <v>1</v>
      </c>
      <c r="AA507" s="211">
        <f t="shared" si="192"/>
        <v>1</v>
      </c>
      <c r="AB507" s="211">
        <f t="shared" si="193"/>
        <v>1</v>
      </c>
      <c r="AC507" s="211">
        <f t="shared" si="194"/>
        <v>1</v>
      </c>
      <c r="AD507" s="211">
        <f t="shared" si="195"/>
        <v>1</v>
      </c>
      <c r="AE507" s="211">
        <f t="shared" si="196"/>
        <v>1</v>
      </c>
    </row>
    <row r="508" spans="1:31" ht="24.95" customHeight="1" x14ac:dyDescent="0.25">
      <c r="B508" s="212">
        <f>B507+1</f>
        <v>3</v>
      </c>
      <c r="C508" s="264" t="str">
        <f t="shared" si="184"/>
        <v>NANANG</v>
      </c>
      <c r="D508" s="213"/>
      <c r="E508" s="265" t="str">
        <f t="shared" si="185"/>
        <v>B</v>
      </c>
      <c r="F508" s="215" t="s">
        <v>36</v>
      </c>
      <c r="G508" s="215" t="s">
        <v>37</v>
      </c>
      <c r="H508" s="215" t="s">
        <v>37</v>
      </c>
      <c r="I508" s="215" t="s">
        <v>37</v>
      </c>
      <c r="J508" s="215" t="s">
        <v>37</v>
      </c>
      <c r="K508" s="215" t="s">
        <v>37</v>
      </c>
      <c r="L508" s="215" t="s">
        <v>37</v>
      </c>
      <c r="M508" s="274">
        <f t="shared" si="197"/>
        <v>6</v>
      </c>
      <c r="N508" s="217" t="str">
        <f t="shared" si="186"/>
        <v>Rp</v>
      </c>
      <c r="O508" s="266">
        <f t="shared" si="187"/>
        <v>125000</v>
      </c>
      <c r="P508" s="217" t="str">
        <f t="shared" si="188"/>
        <v>Rp</v>
      </c>
      <c r="Q508" s="219">
        <f t="shared" si="189"/>
        <v>750000</v>
      </c>
      <c r="R508" s="222">
        <f>IF(Q508&gt;0,R506+2,IF(Q508=0," "))</f>
        <v>3</v>
      </c>
      <c r="S508" s="221"/>
      <c r="U508" s="211"/>
      <c r="V508" s="211"/>
      <c r="Y508" s="211">
        <f t="shared" si="190"/>
        <v>0</v>
      </c>
      <c r="Z508" s="211">
        <f t="shared" si="191"/>
        <v>1</v>
      </c>
      <c r="AA508" s="211">
        <f t="shared" si="192"/>
        <v>1</v>
      </c>
      <c r="AB508" s="211">
        <f t="shared" si="193"/>
        <v>1</v>
      </c>
      <c r="AC508" s="211">
        <f t="shared" si="194"/>
        <v>1</v>
      </c>
      <c r="AD508" s="211">
        <f t="shared" si="195"/>
        <v>1</v>
      </c>
      <c r="AE508" s="211">
        <f t="shared" si="196"/>
        <v>1</v>
      </c>
    </row>
    <row r="509" spans="1:31" ht="24.95" customHeight="1" x14ac:dyDescent="0.25">
      <c r="B509" s="212">
        <f>B508+1</f>
        <v>4</v>
      </c>
      <c r="C509" s="264" t="str">
        <f t="shared" si="184"/>
        <v>KOIREN</v>
      </c>
      <c r="D509" s="213"/>
      <c r="E509" s="265" t="str">
        <f t="shared" si="185"/>
        <v>B</v>
      </c>
      <c r="F509" s="215" t="s">
        <v>36</v>
      </c>
      <c r="G509" s="215" t="s">
        <v>37</v>
      </c>
      <c r="H509" s="215" t="s">
        <v>37</v>
      </c>
      <c r="I509" s="215" t="s">
        <v>37</v>
      </c>
      <c r="J509" s="215" t="s">
        <v>37</v>
      </c>
      <c r="K509" s="215" t="s">
        <v>37</v>
      </c>
      <c r="L509" s="215" t="s">
        <v>37</v>
      </c>
      <c r="M509" s="274">
        <f t="shared" si="197"/>
        <v>6</v>
      </c>
      <c r="N509" s="217" t="str">
        <f t="shared" si="186"/>
        <v>Rp</v>
      </c>
      <c r="O509" s="266">
        <f t="shared" si="187"/>
        <v>125000</v>
      </c>
      <c r="P509" s="217" t="str">
        <f t="shared" si="188"/>
        <v>Rp</v>
      </c>
      <c r="Q509" s="219">
        <f t="shared" si="189"/>
        <v>750000</v>
      </c>
      <c r="R509" s="222"/>
      <c r="S509" s="223">
        <f>IF(Q509&gt;0,S507+2,IF(T509=0," "))</f>
        <v>4</v>
      </c>
      <c r="U509" s="211"/>
      <c r="V509" s="211"/>
      <c r="Y509" s="211">
        <f t="shared" si="190"/>
        <v>0</v>
      </c>
      <c r="Z509" s="211">
        <f t="shared" si="191"/>
        <v>1</v>
      </c>
      <c r="AA509" s="211">
        <f t="shared" si="192"/>
        <v>1</v>
      </c>
      <c r="AB509" s="211">
        <f t="shared" si="193"/>
        <v>1</v>
      </c>
      <c r="AC509" s="211">
        <f t="shared" si="194"/>
        <v>1</v>
      </c>
      <c r="AD509" s="211">
        <f t="shared" si="195"/>
        <v>1</v>
      </c>
      <c r="AE509" s="211">
        <f t="shared" si="196"/>
        <v>1</v>
      </c>
    </row>
    <row r="510" spans="1:31" ht="24.95" customHeight="1" x14ac:dyDescent="0.25">
      <c r="B510" s="212">
        <f t="shared" ref="B510:B516" si="198">B509+1</f>
        <v>5</v>
      </c>
      <c r="C510" s="264" t="str">
        <f t="shared" si="184"/>
        <v>MAT</v>
      </c>
      <c r="D510" s="213"/>
      <c r="E510" s="265" t="str">
        <f t="shared" si="185"/>
        <v>C</v>
      </c>
      <c r="F510" s="215" t="s">
        <v>36</v>
      </c>
      <c r="G510" s="215" t="s">
        <v>37</v>
      </c>
      <c r="H510" s="215" t="s">
        <v>37</v>
      </c>
      <c r="I510" s="215" t="s">
        <v>37</v>
      </c>
      <c r="J510" s="215" t="s">
        <v>37</v>
      </c>
      <c r="K510" s="215" t="s">
        <v>37</v>
      </c>
      <c r="L510" s="215" t="s">
        <v>36</v>
      </c>
      <c r="M510" s="274">
        <f t="shared" si="197"/>
        <v>5</v>
      </c>
      <c r="N510" s="217" t="str">
        <f t="shared" si="186"/>
        <v>Rp</v>
      </c>
      <c r="O510" s="266">
        <f t="shared" si="187"/>
        <v>100000</v>
      </c>
      <c r="P510" s="217" t="str">
        <f t="shared" si="188"/>
        <v>Rp</v>
      </c>
      <c r="Q510" s="219">
        <f t="shared" si="189"/>
        <v>500000</v>
      </c>
      <c r="R510" s="222">
        <f>IF(Q510&gt;0,R508+2,IF(Q510=0," "))</f>
        <v>5</v>
      </c>
      <c r="S510" s="221"/>
      <c r="U510" s="211"/>
      <c r="V510" s="211"/>
      <c r="Y510" s="211">
        <f t="shared" si="190"/>
        <v>0</v>
      </c>
      <c r="Z510" s="211">
        <f t="shared" si="191"/>
        <v>1</v>
      </c>
      <c r="AA510" s="211">
        <f t="shared" si="192"/>
        <v>1</v>
      </c>
      <c r="AB510" s="211">
        <f t="shared" si="193"/>
        <v>1</v>
      </c>
      <c r="AC510" s="211">
        <f t="shared" si="194"/>
        <v>1</v>
      </c>
      <c r="AD510" s="211">
        <f t="shared" si="195"/>
        <v>1</v>
      </c>
      <c r="AE510" s="211">
        <f t="shared" si="196"/>
        <v>0</v>
      </c>
    </row>
    <row r="511" spans="1:31" ht="24.95" customHeight="1" x14ac:dyDescent="0.25">
      <c r="B511" s="212">
        <f t="shared" si="198"/>
        <v>6</v>
      </c>
      <c r="C511" s="264" t="str">
        <f t="shared" si="184"/>
        <v>JUNED</v>
      </c>
      <c r="D511" s="213"/>
      <c r="E511" s="265" t="str">
        <f t="shared" si="185"/>
        <v>C</v>
      </c>
      <c r="F511" s="215" t="s">
        <v>36</v>
      </c>
      <c r="G511" s="215" t="s">
        <v>37</v>
      </c>
      <c r="H511" s="215" t="s">
        <v>37</v>
      </c>
      <c r="I511" s="215" t="s">
        <v>37</v>
      </c>
      <c r="J511" s="215" t="s">
        <v>37</v>
      </c>
      <c r="K511" s="215" t="s">
        <v>37</v>
      </c>
      <c r="L511" s="215" t="s">
        <v>37</v>
      </c>
      <c r="M511" s="274">
        <f t="shared" si="197"/>
        <v>6</v>
      </c>
      <c r="N511" s="217" t="str">
        <f t="shared" si="186"/>
        <v>Rp</v>
      </c>
      <c r="O511" s="266">
        <f t="shared" si="187"/>
        <v>100000</v>
      </c>
      <c r="P511" s="217" t="str">
        <f t="shared" si="188"/>
        <v>Rp</v>
      </c>
      <c r="Q511" s="219">
        <f t="shared" si="189"/>
        <v>600000</v>
      </c>
      <c r="R511" s="222"/>
      <c r="S511" s="223">
        <f>IF(Q511&gt;0,S509+2,IF(T511=0," "))</f>
        <v>6</v>
      </c>
      <c r="U511" s="211"/>
      <c r="V511" s="211"/>
      <c r="Y511" s="211">
        <f t="shared" si="190"/>
        <v>0</v>
      </c>
      <c r="Z511" s="211">
        <f t="shared" si="191"/>
        <v>1</v>
      </c>
      <c r="AA511" s="211">
        <f t="shared" si="192"/>
        <v>1</v>
      </c>
      <c r="AB511" s="211">
        <f t="shared" si="193"/>
        <v>1</v>
      </c>
      <c r="AC511" s="211">
        <f t="shared" si="194"/>
        <v>1</v>
      </c>
      <c r="AD511" s="211">
        <f t="shared" si="195"/>
        <v>1</v>
      </c>
      <c r="AE511" s="211">
        <f t="shared" si="196"/>
        <v>1</v>
      </c>
    </row>
    <row r="512" spans="1:31" ht="24.95" customHeight="1" x14ac:dyDescent="0.25">
      <c r="B512" s="212">
        <f t="shared" si="198"/>
        <v>7</v>
      </c>
      <c r="C512" s="264" t="str">
        <f t="shared" si="184"/>
        <v>LASITO</v>
      </c>
      <c r="D512" s="213"/>
      <c r="E512" s="265" t="str">
        <f t="shared" si="185"/>
        <v>C</v>
      </c>
      <c r="F512" s="215"/>
      <c r="G512" s="215"/>
      <c r="H512" s="215"/>
      <c r="I512" s="215"/>
      <c r="J512" s="215"/>
      <c r="K512" s="215"/>
      <c r="L512" s="215"/>
      <c r="M512" s="274">
        <f t="shared" si="197"/>
        <v>0</v>
      </c>
      <c r="N512" s="217" t="str">
        <f t="shared" si="186"/>
        <v>Rp</v>
      </c>
      <c r="O512" s="266">
        <f t="shared" si="187"/>
        <v>100000</v>
      </c>
      <c r="P512" s="217" t="str">
        <f t="shared" si="188"/>
        <v xml:space="preserve"> </v>
      </c>
      <c r="Q512" s="219">
        <f t="shared" si="189"/>
        <v>0</v>
      </c>
      <c r="R512" s="222" t="str">
        <f>IF(Q512&gt;0,R510+2,IF(Q512=0," "))</f>
        <v xml:space="preserve"> </v>
      </c>
      <c r="S512" s="221"/>
      <c r="U512" s="211"/>
      <c r="V512" s="211"/>
      <c r="Y512" s="211" t="b">
        <f t="shared" si="190"/>
        <v>0</v>
      </c>
      <c r="Z512" s="211" t="b">
        <f t="shared" si="191"/>
        <v>0</v>
      </c>
      <c r="AA512" s="211" t="b">
        <f t="shared" si="192"/>
        <v>0</v>
      </c>
      <c r="AB512" s="211" t="b">
        <f t="shared" si="193"/>
        <v>0</v>
      </c>
      <c r="AC512" s="211" t="b">
        <f t="shared" si="194"/>
        <v>0</v>
      </c>
      <c r="AD512" s="211" t="b">
        <f t="shared" si="195"/>
        <v>0</v>
      </c>
      <c r="AE512" s="211" t="b">
        <f t="shared" si="196"/>
        <v>0</v>
      </c>
    </row>
    <row r="513" spans="1:31" ht="24.95" customHeight="1" x14ac:dyDescent="0.25">
      <c r="B513" s="212">
        <f t="shared" si="198"/>
        <v>8</v>
      </c>
      <c r="C513" s="264" t="str">
        <f t="shared" si="184"/>
        <v>BONANG</v>
      </c>
      <c r="D513" s="213"/>
      <c r="E513" s="265" t="str">
        <f t="shared" si="185"/>
        <v>C</v>
      </c>
      <c r="F513" s="215"/>
      <c r="G513" s="215"/>
      <c r="H513" s="215"/>
      <c r="I513" s="215"/>
      <c r="J513" s="215"/>
      <c r="K513" s="215"/>
      <c r="L513" s="215"/>
      <c r="M513" s="274">
        <f t="shared" si="197"/>
        <v>0</v>
      </c>
      <c r="N513" s="217" t="str">
        <f t="shared" si="186"/>
        <v>Rp</v>
      </c>
      <c r="O513" s="266">
        <f t="shared" si="187"/>
        <v>100000</v>
      </c>
      <c r="P513" s="217" t="str">
        <f t="shared" si="188"/>
        <v xml:space="preserve"> </v>
      </c>
      <c r="Q513" s="219">
        <f t="shared" si="189"/>
        <v>0</v>
      </c>
      <c r="R513" s="222"/>
      <c r="S513" s="223" t="str">
        <f>IF(Q513&gt;0,S511+2,IF(T513=0," "))</f>
        <v xml:space="preserve"> </v>
      </c>
      <c r="U513" s="211"/>
      <c r="V513" s="211"/>
      <c r="Y513" s="211" t="b">
        <f t="shared" si="190"/>
        <v>0</v>
      </c>
      <c r="Z513" s="211" t="b">
        <f t="shared" si="191"/>
        <v>0</v>
      </c>
      <c r="AA513" s="211" t="b">
        <f t="shared" si="192"/>
        <v>0</v>
      </c>
      <c r="AB513" s="211" t="b">
        <f t="shared" si="193"/>
        <v>0</v>
      </c>
      <c r="AC513" s="211" t="b">
        <f t="shared" si="194"/>
        <v>0</v>
      </c>
      <c r="AD513" s="211" t="b">
        <f t="shared" si="195"/>
        <v>0</v>
      </c>
      <c r="AE513" s="211" t="b">
        <f t="shared" si="196"/>
        <v>0</v>
      </c>
    </row>
    <row r="514" spans="1:31" ht="24.95" customHeight="1" x14ac:dyDescent="0.25">
      <c r="B514" s="212">
        <f t="shared" si="198"/>
        <v>9</v>
      </c>
      <c r="C514" s="264">
        <f t="shared" si="184"/>
        <v>0</v>
      </c>
      <c r="D514" s="213"/>
      <c r="E514" s="265">
        <f t="shared" si="185"/>
        <v>0</v>
      </c>
      <c r="F514" s="215"/>
      <c r="G514" s="215"/>
      <c r="H514" s="215"/>
      <c r="I514" s="215"/>
      <c r="J514" s="215"/>
      <c r="K514" s="215"/>
      <c r="L514" s="215"/>
      <c r="M514" s="274">
        <f t="shared" si="197"/>
        <v>0</v>
      </c>
      <c r="N514" s="217" t="str">
        <f t="shared" si="186"/>
        <v xml:space="preserve"> </v>
      </c>
      <c r="O514" s="266">
        <f t="shared" si="187"/>
        <v>0</v>
      </c>
      <c r="P514" s="217" t="str">
        <f t="shared" si="188"/>
        <v xml:space="preserve"> </v>
      </c>
      <c r="Q514" s="219">
        <f t="shared" si="189"/>
        <v>0</v>
      </c>
      <c r="R514" s="222" t="str">
        <f>IF(Q514&gt;0,R512+2,IF(Q514=0," "))</f>
        <v xml:space="preserve"> </v>
      </c>
      <c r="S514" s="221"/>
      <c r="U514" s="211"/>
      <c r="V514" s="211"/>
      <c r="Y514" s="211" t="b">
        <f t="shared" si="190"/>
        <v>0</v>
      </c>
      <c r="Z514" s="211" t="b">
        <f t="shared" si="191"/>
        <v>0</v>
      </c>
      <c r="AA514" s="211" t="b">
        <f t="shared" si="192"/>
        <v>0</v>
      </c>
      <c r="AB514" s="211" t="b">
        <f t="shared" si="193"/>
        <v>0</v>
      </c>
      <c r="AC514" s="211" t="b">
        <f t="shared" si="194"/>
        <v>0</v>
      </c>
      <c r="AD514" s="211" t="b">
        <f t="shared" si="195"/>
        <v>0</v>
      </c>
      <c r="AE514" s="211" t="b">
        <f t="shared" si="196"/>
        <v>0</v>
      </c>
    </row>
    <row r="515" spans="1:31" ht="24.95" customHeight="1" x14ac:dyDescent="0.25">
      <c r="B515" s="212">
        <f t="shared" si="198"/>
        <v>10</v>
      </c>
      <c r="C515" s="264">
        <f t="shared" si="184"/>
        <v>0</v>
      </c>
      <c r="D515" s="213"/>
      <c r="E515" s="265">
        <f t="shared" si="185"/>
        <v>0</v>
      </c>
      <c r="F515" s="215"/>
      <c r="G515" s="215"/>
      <c r="H515" s="215"/>
      <c r="I515" s="215"/>
      <c r="J515" s="215"/>
      <c r="K515" s="215"/>
      <c r="L515" s="215"/>
      <c r="M515" s="274">
        <f t="shared" si="197"/>
        <v>0</v>
      </c>
      <c r="N515" s="217" t="str">
        <f t="shared" si="186"/>
        <v xml:space="preserve"> </v>
      </c>
      <c r="O515" s="266">
        <f t="shared" si="187"/>
        <v>0</v>
      </c>
      <c r="P515" s="217" t="str">
        <f t="shared" si="188"/>
        <v xml:space="preserve"> </v>
      </c>
      <c r="Q515" s="219">
        <f t="shared" si="189"/>
        <v>0</v>
      </c>
      <c r="R515" s="222"/>
      <c r="S515" s="223" t="str">
        <f>IF(Q515&gt;0,S513+2,IF(T515=0," "))</f>
        <v xml:space="preserve"> </v>
      </c>
      <c r="U515" s="211"/>
      <c r="V515" s="211"/>
      <c r="Y515" s="211" t="b">
        <f t="shared" si="190"/>
        <v>0</v>
      </c>
      <c r="Z515" s="211" t="b">
        <f t="shared" si="191"/>
        <v>0</v>
      </c>
      <c r="AA515" s="211" t="b">
        <f t="shared" si="192"/>
        <v>0</v>
      </c>
      <c r="AB515" s="211" t="b">
        <f t="shared" si="193"/>
        <v>0</v>
      </c>
      <c r="AC515" s="211" t="b">
        <f t="shared" si="194"/>
        <v>0</v>
      </c>
      <c r="AD515" s="211" t="b">
        <f t="shared" si="195"/>
        <v>0</v>
      </c>
      <c r="AE515" s="211" t="b">
        <f t="shared" si="196"/>
        <v>0</v>
      </c>
    </row>
    <row r="516" spans="1:31" ht="24.95" customHeight="1" x14ac:dyDescent="0.25">
      <c r="B516" s="212">
        <f t="shared" si="198"/>
        <v>11</v>
      </c>
      <c r="C516" s="264">
        <f t="shared" si="184"/>
        <v>0</v>
      </c>
      <c r="D516" s="213"/>
      <c r="E516" s="265">
        <f t="shared" si="185"/>
        <v>0</v>
      </c>
      <c r="F516" s="215"/>
      <c r="G516" s="215"/>
      <c r="H516" s="215"/>
      <c r="I516" s="215"/>
      <c r="J516" s="215"/>
      <c r="K516" s="215"/>
      <c r="L516" s="215"/>
      <c r="M516" s="274">
        <f t="shared" si="197"/>
        <v>0</v>
      </c>
      <c r="N516" s="217" t="str">
        <f t="shared" si="186"/>
        <v xml:space="preserve"> </v>
      </c>
      <c r="O516" s="266">
        <f t="shared" si="187"/>
        <v>0</v>
      </c>
      <c r="P516" s="217" t="str">
        <f t="shared" si="188"/>
        <v xml:space="preserve"> </v>
      </c>
      <c r="Q516" s="219">
        <f t="shared" si="189"/>
        <v>0</v>
      </c>
      <c r="R516" s="222" t="str">
        <f>IF(Q516&gt;0,R514+2,IF(Q516=0," "))</f>
        <v xml:space="preserve"> </v>
      </c>
      <c r="S516" s="221"/>
      <c r="U516" s="211"/>
      <c r="V516" s="211"/>
      <c r="Y516" s="211" t="b">
        <f t="shared" si="190"/>
        <v>0</v>
      </c>
      <c r="Z516" s="211" t="b">
        <f t="shared" si="191"/>
        <v>0</v>
      </c>
      <c r="AA516" s="211" t="b">
        <f t="shared" si="192"/>
        <v>0</v>
      </c>
      <c r="AB516" s="211" t="b">
        <f t="shared" si="193"/>
        <v>0</v>
      </c>
      <c r="AC516" s="211" t="b">
        <f t="shared" si="194"/>
        <v>0</v>
      </c>
      <c r="AD516" s="211" t="b">
        <f t="shared" si="195"/>
        <v>0</v>
      </c>
      <c r="AE516" s="211" t="b">
        <f t="shared" si="196"/>
        <v>0</v>
      </c>
    </row>
    <row r="517" spans="1:31" ht="24.95" customHeight="1" thickBot="1" x14ac:dyDescent="0.25">
      <c r="B517" s="233"/>
      <c r="C517" s="257"/>
      <c r="D517" s="235"/>
      <c r="E517" s="236"/>
      <c r="F517" s="237"/>
      <c r="G517" s="238"/>
      <c r="H517" s="239"/>
      <c r="I517" s="239"/>
      <c r="J517" s="240"/>
      <c r="K517" s="240"/>
      <c r="L517" s="240"/>
      <c r="M517" s="259"/>
      <c r="N517" s="242"/>
      <c r="O517" s="258"/>
      <c r="P517" s="244"/>
      <c r="Q517" s="236"/>
      <c r="R517" s="246"/>
      <c r="S517" s="247"/>
      <c r="U517" s="211"/>
      <c r="V517" s="211"/>
    </row>
    <row r="518" spans="1:31" ht="20.100000000000001" customHeight="1" thickTop="1" thickBot="1" x14ac:dyDescent="0.3">
      <c r="A518" s="179">
        <f>A480+1</f>
        <v>14</v>
      </c>
      <c r="B518" s="248"/>
      <c r="C518" s="249"/>
      <c r="D518" s="249"/>
      <c r="E518" s="249"/>
      <c r="F518" s="249"/>
      <c r="G518" s="249"/>
      <c r="H518" s="249"/>
      <c r="I518" s="249"/>
      <c r="J518" s="249"/>
      <c r="K518" s="249"/>
      <c r="L518" s="249"/>
      <c r="M518" s="249"/>
      <c r="N518" s="249"/>
      <c r="O518" s="250" t="s">
        <v>40</v>
      </c>
      <c r="P518" s="249"/>
      <c r="Q518" s="710">
        <f>SUM(Q506:Q517)</f>
        <v>4130000</v>
      </c>
      <c r="R518" s="711"/>
      <c r="S518" s="712"/>
      <c r="U518" s="226" t="e">
        <f>VLOOKUP(A518,'Rekap Gaji'!$B$12:$P$24,10,FALSE)</f>
        <v>#N/A</v>
      </c>
      <c r="V518" s="251" t="e">
        <f>U518-Q518</f>
        <v>#N/A</v>
      </c>
    </row>
    <row r="519" spans="1:31" ht="11.25" customHeight="1" x14ac:dyDescent="0.25"/>
    <row r="520" spans="1:31" ht="16.5" customHeight="1" x14ac:dyDescent="0.25">
      <c r="B520" s="195" t="s">
        <v>41</v>
      </c>
      <c r="C520" s="140" t="s">
        <v>42</v>
      </c>
    </row>
    <row r="521" spans="1:31" ht="14.25" x14ac:dyDescent="0.25">
      <c r="G521" s="183"/>
      <c r="H521" s="182"/>
      <c r="M521" s="141"/>
      <c r="N521" s="141"/>
      <c r="Q521" s="140" t="str">
        <f>'BKU 1'!$I$25</f>
        <v>NGANTANG</v>
      </c>
      <c r="R521" s="713" t="str">
        <f>IFERROR(VLOOKUP(E500,'Rekap Gaji'!$B$12:$P$24,7,FALSE),"-")</f>
        <v>-</v>
      </c>
      <c r="S521" s="713"/>
      <c r="T521" s="252"/>
      <c r="U521" s="252"/>
    </row>
    <row r="522" spans="1:31" ht="15.75" x14ac:dyDescent="0.25">
      <c r="C522" s="140" t="s">
        <v>43</v>
      </c>
      <c r="F522" s="253"/>
      <c r="G522" s="254"/>
      <c r="H522" s="255"/>
      <c r="I522" s="256"/>
      <c r="J522" s="225" t="s">
        <v>44</v>
      </c>
      <c r="K522" s="253"/>
      <c r="M522" s="141"/>
      <c r="N522" s="141"/>
      <c r="Q522" s="140" t="str">
        <f>'BKU 1'!$L$354</f>
        <v>Dibuat Oleh ;</v>
      </c>
      <c r="R522" s="141"/>
    </row>
    <row r="523" spans="1:31" ht="14.25" x14ac:dyDescent="0.25">
      <c r="C523" s="140" t="str">
        <f>'BKU 1'!$C$355</f>
        <v>Kepala Sekolah SDN 1 SIDODADI</v>
      </c>
      <c r="F523" s="187"/>
      <c r="G523" s="224"/>
      <c r="H523" s="182"/>
      <c r="I523" s="183"/>
      <c r="J523" s="140" t="s">
        <v>45</v>
      </c>
      <c r="K523" s="187"/>
      <c r="Q523" s="140" t="str">
        <f>'BKU 1'!$L$355</f>
        <v>Bendahara Pembangunan</v>
      </c>
      <c r="R523" s="141"/>
    </row>
    <row r="524" spans="1:31" ht="14.25" x14ac:dyDescent="0.25">
      <c r="F524" s="187"/>
      <c r="G524" s="224"/>
      <c r="H524" s="182"/>
      <c r="I524" s="183"/>
      <c r="K524" s="187"/>
      <c r="Q524" s="140"/>
      <c r="R524" s="141"/>
    </row>
    <row r="525" spans="1:31" ht="14.25" x14ac:dyDescent="0.25">
      <c r="F525" s="187"/>
      <c r="G525" s="224"/>
      <c r="H525" s="182"/>
      <c r="I525" s="183"/>
      <c r="K525" s="187"/>
      <c r="Q525" s="140"/>
      <c r="R525" s="141"/>
    </row>
    <row r="526" spans="1:31" ht="14.25" x14ac:dyDescent="0.25">
      <c r="F526" s="187"/>
      <c r="G526" s="224"/>
      <c r="H526" s="182"/>
      <c r="I526" s="183"/>
      <c r="K526" s="187"/>
      <c r="Q526" s="140"/>
      <c r="R526" s="141"/>
    </row>
    <row r="527" spans="1:31" ht="14.25" x14ac:dyDescent="0.25">
      <c r="F527" s="187"/>
      <c r="G527" s="224"/>
      <c r="H527" s="182"/>
      <c r="I527" s="183"/>
      <c r="K527" s="187"/>
      <c r="Q527" s="140"/>
      <c r="R527" s="141"/>
    </row>
    <row r="528" spans="1:31" x14ac:dyDescent="0.25">
      <c r="G528" s="225"/>
      <c r="Q528" s="140"/>
    </row>
    <row r="529" spans="1:31" x14ac:dyDescent="0.25">
      <c r="G529" s="225"/>
      <c r="Q529" s="140"/>
    </row>
    <row r="530" spans="1:31" s="189" customFormat="1" ht="15" customHeight="1" x14ac:dyDescent="0.25">
      <c r="A530" s="192"/>
      <c r="B530" s="195"/>
      <c r="C530" s="227" t="str">
        <f>'BKU 1'!$C$360</f>
        <v>MELIA FITRIANI, S.Pd.SD</v>
      </c>
      <c r="D530" s="227"/>
      <c r="G530" s="228"/>
      <c r="H530" s="195"/>
      <c r="I530" s="194"/>
      <c r="J530" s="229">
        <f>'BKU 1'!$G$360</f>
        <v>0</v>
      </c>
      <c r="Q530" s="227" t="str">
        <f>'BKU 1'!$L$360</f>
        <v>ARIF NUR UDIN, S.Pd.SD</v>
      </c>
      <c r="S530" s="230"/>
      <c r="U530" s="231"/>
      <c r="V530" s="231"/>
    </row>
    <row r="531" spans="1:31" s="189" customFormat="1" ht="15" customHeight="1" x14ac:dyDescent="0.25">
      <c r="A531" s="192"/>
      <c r="B531" s="195"/>
      <c r="C531" s="140" t="str">
        <f>'BKU 1'!$C$361</f>
        <v>NIP. 19850619 200904 2 000</v>
      </c>
      <c r="D531" s="140"/>
      <c r="E531" s="140"/>
      <c r="F531" s="140"/>
      <c r="G531" s="225"/>
      <c r="H531" s="191"/>
      <c r="I531" s="190"/>
      <c r="J531" s="232">
        <f>'BKU 1'!$G$361</f>
        <v>0</v>
      </c>
      <c r="K531" s="140"/>
      <c r="M531" s="140"/>
      <c r="N531" s="140"/>
      <c r="O531" s="140"/>
      <c r="P531" s="140"/>
      <c r="Q531" s="140" t="str">
        <f>'BKU 1'!$L$361</f>
        <v>NIP. 19840719 200903 1 002</v>
      </c>
      <c r="S531" s="230"/>
      <c r="U531" s="231"/>
      <c r="V531" s="231"/>
    </row>
    <row r="532" spans="1:31" ht="6" customHeight="1" x14ac:dyDescent="0.25"/>
    <row r="533" spans="1:31" s="177" customFormat="1" ht="24.95" customHeight="1" x14ac:dyDescent="0.25">
      <c r="A533" s="176"/>
      <c r="B533" s="726" t="s">
        <v>6</v>
      </c>
      <c r="C533" s="726"/>
      <c r="D533" s="726"/>
      <c r="E533" s="726"/>
      <c r="F533" s="726"/>
      <c r="G533" s="726"/>
      <c r="H533" s="726"/>
      <c r="I533" s="726"/>
      <c r="J533" s="726"/>
      <c r="K533" s="726"/>
      <c r="L533" s="726"/>
      <c r="M533" s="726"/>
      <c r="N533" s="726"/>
      <c r="O533" s="726"/>
      <c r="P533" s="726"/>
      <c r="Q533" s="726"/>
      <c r="R533" s="726"/>
      <c r="S533" s="726"/>
      <c r="U533" s="178"/>
      <c r="V533" s="178"/>
    </row>
    <row r="534" spans="1:31" s="177" customFormat="1" ht="24.95" customHeight="1" x14ac:dyDescent="0.25">
      <c r="A534" s="176"/>
      <c r="B534" s="726" t="str">
        <f>'BKU 1'!$D$22</f>
        <v>PEMBANGUNAN TOILET BESERTA SANITASINYA</v>
      </c>
      <c r="C534" s="726"/>
      <c r="D534" s="726"/>
      <c r="E534" s="726"/>
      <c r="F534" s="726"/>
      <c r="G534" s="726"/>
      <c r="H534" s="726"/>
      <c r="I534" s="726"/>
      <c r="J534" s="726"/>
      <c r="K534" s="726"/>
      <c r="L534" s="726"/>
      <c r="M534" s="726"/>
      <c r="N534" s="726"/>
      <c r="O534" s="726"/>
      <c r="P534" s="726"/>
      <c r="Q534" s="726"/>
      <c r="R534" s="726"/>
      <c r="S534" s="726"/>
      <c r="U534" s="178"/>
      <c r="V534" s="178"/>
    </row>
    <row r="535" spans="1:31" s="184" customFormat="1" ht="30.75" customHeight="1" x14ac:dyDescent="0.25">
      <c r="A535" s="179"/>
      <c r="B535" s="180"/>
      <c r="C535" s="181"/>
      <c r="D535" s="181"/>
      <c r="E535" s="181"/>
      <c r="F535" s="182"/>
      <c r="G535" s="183"/>
      <c r="H535" s="182"/>
      <c r="I535" s="183"/>
      <c r="J535" s="182"/>
      <c r="K535" s="182"/>
      <c r="L535" s="182"/>
      <c r="M535" s="181"/>
      <c r="N535" s="181"/>
      <c r="Q535" s="180"/>
      <c r="R535" s="140"/>
      <c r="S535" s="185"/>
      <c r="U535" s="186"/>
      <c r="V535" s="186"/>
    </row>
    <row r="536" spans="1:31" s="184" customFormat="1" ht="14.25" x14ac:dyDescent="0.25">
      <c r="A536" s="179"/>
      <c r="B536" s="185" t="s">
        <v>7</v>
      </c>
      <c r="D536" s="184" t="s">
        <v>49</v>
      </c>
      <c r="E536" s="184" t="str">
        <f>'BKU 1'!$D$25</f>
        <v>SDN 1 SIDODADI</v>
      </c>
      <c r="F536" s="140"/>
      <c r="G536" s="183"/>
      <c r="H536" s="182"/>
      <c r="I536" s="183"/>
      <c r="J536" s="187"/>
      <c r="K536" s="187"/>
      <c r="L536" s="187"/>
      <c r="M536" s="188"/>
      <c r="N536" s="188"/>
      <c r="Q536" s="180"/>
      <c r="R536" s="189" t="s">
        <v>8</v>
      </c>
      <c r="S536" s="185"/>
      <c r="U536" s="186"/>
      <c r="V536" s="186"/>
    </row>
    <row r="537" spans="1:31" s="184" customFormat="1" x14ac:dyDescent="0.25">
      <c r="A537" s="179"/>
      <c r="B537" s="185" t="s">
        <v>9</v>
      </c>
      <c r="D537" s="184" t="s">
        <v>49</v>
      </c>
      <c r="E537" s="184" t="str">
        <f>'BKU 1'!$D$26</f>
        <v>Jl. Kawi No.36 Rt. 1 Rw. 1 Dusun Sekar, Rt / Rw : 1 / 1, Dusun : Sekar, Kelurahan : Sidodadi</v>
      </c>
      <c r="F537" s="140"/>
      <c r="G537" s="190"/>
      <c r="H537" s="191"/>
      <c r="I537" s="190"/>
      <c r="J537" s="140"/>
      <c r="K537" s="140"/>
      <c r="L537" s="140"/>
      <c r="Q537" s="180"/>
      <c r="R537" s="140" t="s">
        <v>10</v>
      </c>
      <c r="S537" s="185" t="s">
        <v>11</v>
      </c>
      <c r="U537" s="186"/>
      <c r="V537" s="186"/>
    </row>
    <row r="538" spans="1:31" s="184" customFormat="1" x14ac:dyDescent="0.25">
      <c r="A538" s="179"/>
      <c r="B538" s="185" t="s">
        <v>12</v>
      </c>
      <c r="D538" s="184" t="s">
        <v>49</v>
      </c>
      <c r="E538" s="180">
        <f>E500+1</f>
        <v>15</v>
      </c>
      <c r="F538" s="140"/>
      <c r="G538" s="727" t="str">
        <f>IFERROR(VLOOKUP(E538,'Rekap Gaji'!$B$12:$P$24,14,FALSE),"-")</f>
        <v>-</v>
      </c>
      <c r="H538" s="727"/>
      <c r="I538" s="727"/>
      <c r="J538" s="140"/>
      <c r="K538" s="140"/>
      <c r="L538" s="140"/>
      <c r="Q538" s="180"/>
      <c r="R538" s="140" t="s">
        <v>13</v>
      </c>
      <c r="S538" s="185" t="s">
        <v>14</v>
      </c>
      <c r="U538" s="186"/>
      <c r="V538" s="186"/>
    </row>
    <row r="539" spans="1:31" s="184" customFormat="1" ht="15" customHeight="1" x14ac:dyDescent="0.25">
      <c r="A539" s="179"/>
      <c r="B539" s="185" t="s">
        <v>0</v>
      </c>
      <c r="D539" s="184" t="s">
        <v>49</v>
      </c>
      <c r="E539" s="728" t="str">
        <f>IFERROR(VLOOKUP(E538,'Rekap Gaji'!$B$12:$P$24,4,FALSE),"-")</f>
        <v>-</v>
      </c>
      <c r="F539" s="728"/>
      <c r="G539" s="728"/>
      <c r="H539" s="728"/>
      <c r="I539" s="727" t="s">
        <v>76</v>
      </c>
      <c r="J539" s="727"/>
      <c r="K539" s="728" t="str">
        <f>IFERROR(VLOOKUP(E538,'Rekap Gaji'!$B$12:$P$24,6,FALSE),"-")</f>
        <v>-</v>
      </c>
      <c r="L539" s="728"/>
      <c r="M539" s="728"/>
      <c r="N539" s="728"/>
      <c r="Q539" s="180"/>
      <c r="R539" s="140" t="s">
        <v>15</v>
      </c>
      <c r="S539" s="185" t="s">
        <v>16</v>
      </c>
      <c r="U539" s="186"/>
      <c r="V539" s="186"/>
    </row>
    <row r="540" spans="1:31" s="188" customFormat="1" ht="8.1" customHeight="1" thickBot="1" x14ac:dyDescent="0.3">
      <c r="A540" s="192"/>
      <c r="B540" s="193"/>
      <c r="F540" s="189"/>
      <c r="G540" s="194"/>
      <c r="H540" s="195"/>
      <c r="I540" s="194"/>
      <c r="J540" s="189"/>
      <c r="K540" s="189"/>
      <c r="L540" s="189"/>
      <c r="Q540" s="193"/>
      <c r="R540" s="189"/>
      <c r="S540" s="196"/>
      <c r="U540" s="197"/>
      <c r="V540" s="197"/>
    </row>
    <row r="541" spans="1:31" ht="15" customHeight="1" x14ac:dyDescent="0.25">
      <c r="B541" s="729" t="s">
        <v>17</v>
      </c>
      <c r="C541" s="717" t="s">
        <v>18</v>
      </c>
      <c r="D541" s="732"/>
      <c r="E541" s="268" t="s">
        <v>19</v>
      </c>
      <c r="F541" s="717" t="s">
        <v>20</v>
      </c>
      <c r="G541" s="734"/>
      <c r="H541" s="734"/>
      <c r="I541" s="734"/>
      <c r="J541" s="734"/>
      <c r="K541" s="734"/>
      <c r="L541" s="732"/>
      <c r="M541" s="267" t="s">
        <v>2</v>
      </c>
      <c r="N541" s="717" t="s">
        <v>21</v>
      </c>
      <c r="O541" s="732"/>
      <c r="P541" s="717" t="s">
        <v>22</v>
      </c>
      <c r="Q541" s="732"/>
      <c r="R541" s="717" t="s">
        <v>23</v>
      </c>
      <c r="S541" s="718"/>
    </row>
    <row r="542" spans="1:31" ht="15" customHeight="1" x14ac:dyDescent="0.25">
      <c r="B542" s="730"/>
      <c r="C542" s="719"/>
      <c r="D542" s="725"/>
      <c r="E542" s="270" t="s">
        <v>24</v>
      </c>
      <c r="F542" s="723" t="s">
        <v>25</v>
      </c>
      <c r="G542" s="723" t="s">
        <v>26</v>
      </c>
      <c r="H542" s="723" t="s">
        <v>26</v>
      </c>
      <c r="I542" s="723" t="s">
        <v>27</v>
      </c>
      <c r="J542" s="723" t="s">
        <v>28</v>
      </c>
      <c r="K542" s="723" t="s">
        <v>29</v>
      </c>
      <c r="L542" s="723" t="s">
        <v>26</v>
      </c>
      <c r="M542" s="269" t="s">
        <v>30</v>
      </c>
      <c r="N542" s="719" t="s">
        <v>31</v>
      </c>
      <c r="O542" s="725"/>
      <c r="P542" s="719" t="s">
        <v>31</v>
      </c>
      <c r="Q542" s="725"/>
      <c r="R542" s="719"/>
      <c r="S542" s="720"/>
    </row>
    <row r="543" spans="1:31" ht="15" customHeight="1" thickBot="1" x14ac:dyDescent="0.3">
      <c r="B543" s="731"/>
      <c r="C543" s="721"/>
      <c r="D543" s="733"/>
      <c r="E543" s="272" t="s">
        <v>32</v>
      </c>
      <c r="F543" s="724"/>
      <c r="G543" s="724"/>
      <c r="H543" s="724"/>
      <c r="I543" s="724"/>
      <c r="J543" s="724"/>
      <c r="K543" s="724"/>
      <c r="L543" s="724"/>
      <c r="M543" s="271" t="s">
        <v>31</v>
      </c>
      <c r="N543" s="721" t="s">
        <v>33</v>
      </c>
      <c r="O543" s="733"/>
      <c r="P543" s="721" t="s">
        <v>34</v>
      </c>
      <c r="Q543" s="733"/>
      <c r="R543" s="721"/>
      <c r="S543" s="722"/>
    </row>
    <row r="544" spans="1:31" ht="24.95" customHeight="1" x14ac:dyDescent="0.25">
      <c r="B544" s="201">
        <v>1</v>
      </c>
      <c r="C544" s="261" t="str">
        <f t="shared" ref="C544:C554" si="199">IFERROR(C506," ")</f>
        <v>KHUSNUL</v>
      </c>
      <c r="D544" s="203"/>
      <c r="E544" s="262" t="str">
        <f t="shared" ref="E544:E554" si="200">IFERROR(E506," ")</f>
        <v>A</v>
      </c>
      <c r="F544" s="215" t="s">
        <v>36</v>
      </c>
      <c r="G544" s="205" t="s">
        <v>37</v>
      </c>
      <c r="H544" s="205" t="s">
        <v>37</v>
      </c>
      <c r="I544" s="205" t="s">
        <v>37</v>
      </c>
      <c r="J544" s="205" t="s">
        <v>37</v>
      </c>
      <c r="K544" s="205" t="s">
        <v>37</v>
      </c>
      <c r="L544" s="205" t="s">
        <v>37</v>
      </c>
      <c r="M544" s="273">
        <f>SUM(Y544:AE544)</f>
        <v>6</v>
      </c>
      <c r="N544" s="207" t="str">
        <f t="shared" ref="N544:N554" si="201">IF(O544&gt;0,"Rp",IF(O544=0," "))</f>
        <v>Rp</v>
      </c>
      <c r="O544" s="263">
        <f t="shared" ref="O544:O554" si="202">IFERROR(O506," ")</f>
        <v>130000</v>
      </c>
      <c r="P544" s="207" t="str">
        <f t="shared" ref="P544:P554" si="203">IF(Q544&gt;0,"Rp",IF(Q544=0," "))</f>
        <v>Rp</v>
      </c>
      <c r="Q544" s="208">
        <f t="shared" ref="Q544:Q554" si="204">O544*M544</f>
        <v>780000</v>
      </c>
      <c r="R544" s="209">
        <f>IF(Q544&gt;0,1,IF(Q544=0," "))</f>
        <v>1</v>
      </c>
      <c r="S544" s="210"/>
      <c r="U544" s="260"/>
      <c r="V544" s="140"/>
      <c r="Y544" s="211">
        <f t="shared" ref="Y544:Y554" si="205">IFERROR(IF(F544="V",1,IF(F544="X",0))," ")</f>
        <v>0</v>
      </c>
      <c r="Z544" s="211">
        <f t="shared" ref="Z544:Z554" si="206">IFERROR(IF(G544="V",1,IF(G544="X",0))," ")</f>
        <v>1</v>
      </c>
      <c r="AA544" s="211">
        <f t="shared" ref="AA544:AA554" si="207">IFERROR(IF(H544="V",1,IF(H544="X",0))," ")</f>
        <v>1</v>
      </c>
      <c r="AB544" s="211">
        <f t="shared" ref="AB544:AB554" si="208">IFERROR(IF(I544="V",1,IF(I544="X",0))," ")</f>
        <v>1</v>
      </c>
      <c r="AC544" s="211">
        <f t="shared" ref="AC544:AC554" si="209">IFERROR(IF(J544="V",1,IF(J544="X",0))," ")</f>
        <v>1</v>
      </c>
      <c r="AD544" s="211">
        <f t="shared" ref="AD544:AD554" si="210">IFERROR(IF(K544="V",1,IF(K544="X",0))," ")</f>
        <v>1</v>
      </c>
      <c r="AE544" s="211">
        <f t="shared" ref="AE544:AE554" si="211">IFERROR(IF(L544="V",1,IF(L544="X",0))," ")</f>
        <v>1</v>
      </c>
    </row>
    <row r="545" spans="1:31" ht="24.95" customHeight="1" x14ac:dyDescent="0.25">
      <c r="B545" s="212">
        <f>B544+1</f>
        <v>2</v>
      </c>
      <c r="C545" s="264" t="str">
        <f t="shared" si="199"/>
        <v>PRIYO</v>
      </c>
      <c r="D545" s="213"/>
      <c r="E545" s="265" t="str">
        <f t="shared" si="200"/>
        <v>B</v>
      </c>
      <c r="F545" s="215" t="s">
        <v>36</v>
      </c>
      <c r="G545" s="215" t="s">
        <v>37</v>
      </c>
      <c r="H545" s="215" t="s">
        <v>37</v>
      </c>
      <c r="I545" s="215" t="s">
        <v>37</v>
      </c>
      <c r="J545" s="215" t="s">
        <v>37</v>
      </c>
      <c r="K545" s="215" t="s">
        <v>37</v>
      </c>
      <c r="L545" s="215" t="s">
        <v>37</v>
      </c>
      <c r="M545" s="274">
        <f t="shared" ref="M545:M554" si="212">SUM(Y545:AE545)</f>
        <v>6</v>
      </c>
      <c r="N545" s="217" t="str">
        <f t="shared" si="201"/>
        <v>Rp</v>
      </c>
      <c r="O545" s="266">
        <f t="shared" si="202"/>
        <v>125000</v>
      </c>
      <c r="P545" s="217" t="str">
        <f t="shared" si="203"/>
        <v>Rp</v>
      </c>
      <c r="Q545" s="219">
        <f t="shared" si="204"/>
        <v>750000</v>
      </c>
      <c r="R545" s="220"/>
      <c r="S545" s="221">
        <f>IF(Q545&gt;0,2,IF(Q544=0," "))</f>
        <v>2</v>
      </c>
      <c r="U545" s="211"/>
      <c r="V545" s="211"/>
      <c r="Y545" s="211">
        <f t="shared" si="205"/>
        <v>0</v>
      </c>
      <c r="Z545" s="211">
        <f t="shared" si="206"/>
        <v>1</v>
      </c>
      <c r="AA545" s="211">
        <f t="shared" si="207"/>
        <v>1</v>
      </c>
      <c r="AB545" s="211">
        <f t="shared" si="208"/>
        <v>1</v>
      </c>
      <c r="AC545" s="211">
        <f t="shared" si="209"/>
        <v>1</v>
      </c>
      <c r="AD545" s="211">
        <f t="shared" si="210"/>
        <v>1</v>
      </c>
      <c r="AE545" s="211">
        <f t="shared" si="211"/>
        <v>1</v>
      </c>
    </row>
    <row r="546" spans="1:31" ht="24.95" customHeight="1" x14ac:dyDescent="0.25">
      <c r="B546" s="212">
        <f>B545+1</f>
        <v>3</v>
      </c>
      <c r="C546" s="264" t="str">
        <f t="shared" si="199"/>
        <v>NANANG</v>
      </c>
      <c r="D546" s="213"/>
      <c r="E546" s="265" t="str">
        <f t="shared" si="200"/>
        <v>B</v>
      </c>
      <c r="F546" s="215" t="s">
        <v>36</v>
      </c>
      <c r="G546" s="215" t="s">
        <v>37</v>
      </c>
      <c r="H546" s="215" t="s">
        <v>37</v>
      </c>
      <c r="I546" s="215" t="s">
        <v>37</v>
      </c>
      <c r="J546" s="215" t="s">
        <v>37</v>
      </c>
      <c r="K546" s="215" t="s">
        <v>37</v>
      </c>
      <c r="L546" s="215" t="s">
        <v>37</v>
      </c>
      <c r="M546" s="274">
        <f t="shared" si="212"/>
        <v>6</v>
      </c>
      <c r="N546" s="217" t="str">
        <f t="shared" si="201"/>
        <v>Rp</v>
      </c>
      <c r="O546" s="266">
        <f t="shared" si="202"/>
        <v>125000</v>
      </c>
      <c r="P546" s="217" t="str">
        <f t="shared" si="203"/>
        <v>Rp</v>
      </c>
      <c r="Q546" s="219">
        <f t="shared" si="204"/>
        <v>750000</v>
      </c>
      <c r="R546" s="222">
        <f>IF(Q546&gt;0,R544+2,IF(Q546=0," "))</f>
        <v>3</v>
      </c>
      <c r="S546" s="221"/>
      <c r="U546" s="211"/>
      <c r="V546" s="211"/>
      <c r="Y546" s="211">
        <f t="shared" si="205"/>
        <v>0</v>
      </c>
      <c r="Z546" s="211">
        <f t="shared" si="206"/>
        <v>1</v>
      </c>
      <c r="AA546" s="211">
        <f t="shared" si="207"/>
        <v>1</v>
      </c>
      <c r="AB546" s="211">
        <f t="shared" si="208"/>
        <v>1</v>
      </c>
      <c r="AC546" s="211">
        <f t="shared" si="209"/>
        <v>1</v>
      </c>
      <c r="AD546" s="211">
        <f t="shared" si="210"/>
        <v>1</v>
      </c>
      <c r="AE546" s="211">
        <f t="shared" si="211"/>
        <v>1</v>
      </c>
    </row>
    <row r="547" spans="1:31" ht="24.95" customHeight="1" x14ac:dyDescent="0.25">
      <c r="B547" s="212">
        <f>B546+1</f>
        <v>4</v>
      </c>
      <c r="C547" s="264" t="str">
        <f t="shared" si="199"/>
        <v>KOIREN</v>
      </c>
      <c r="D547" s="213"/>
      <c r="E547" s="265" t="str">
        <f t="shared" si="200"/>
        <v>B</v>
      </c>
      <c r="F547" s="215" t="s">
        <v>36</v>
      </c>
      <c r="G547" s="215" t="s">
        <v>37</v>
      </c>
      <c r="H547" s="215" t="s">
        <v>37</v>
      </c>
      <c r="I547" s="215" t="s">
        <v>37</v>
      </c>
      <c r="J547" s="215" t="s">
        <v>37</v>
      </c>
      <c r="K547" s="215" t="s">
        <v>36</v>
      </c>
      <c r="L547" s="215" t="s">
        <v>37</v>
      </c>
      <c r="M547" s="274">
        <f t="shared" si="212"/>
        <v>5</v>
      </c>
      <c r="N547" s="217" t="str">
        <f t="shared" si="201"/>
        <v>Rp</v>
      </c>
      <c r="O547" s="266">
        <f t="shared" si="202"/>
        <v>125000</v>
      </c>
      <c r="P547" s="217" t="str">
        <f t="shared" si="203"/>
        <v>Rp</v>
      </c>
      <c r="Q547" s="219">
        <f t="shared" si="204"/>
        <v>625000</v>
      </c>
      <c r="R547" s="222"/>
      <c r="S547" s="223">
        <f>IF(Q547&gt;0,S545+2,IF(T547=0," "))</f>
        <v>4</v>
      </c>
      <c r="U547" s="211"/>
      <c r="V547" s="211"/>
      <c r="Y547" s="211">
        <f t="shared" si="205"/>
        <v>0</v>
      </c>
      <c r="Z547" s="211">
        <f t="shared" si="206"/>
        <v>1</v>
      </c>
      <c r="AA547" s="211">
        <f t="shared" si="207"/>
        <v>1</v>
      </c>
      <c r="AB547" s="211">
        <f t="shared" si="208"/>
        <v>1</v>
      </c>
      <c r="AC547" s="211">
        <f t="shared" si="209"/>
        <v>1</v>
      </c>
      <c r="AD547" s="211">
        <f t="shared" si="210"/>
        <v>0</v>
      </c>
      <c r="AE547" s="211">
        <f t="shared" si="211"/>
        <v>1</v>
      </c>
    </row>
    <row r="548" spans="1:31" ht="24.95" customHeight="1" x14ac:dyDescent="0.25">
      <c r="B548" s="212">
        <f t="shared" ref="B548:B554" si="213">B547+1</f>
        <v>5</v>
      </c>
      <c r="C548" s="264" t="str">
        <f t="shared" si="199"/>
        <v>MAT</v>
      </c>
      <c r="D548" s="213"/>
      <c r="E548" s="265" t="str">
        <f t="shared" si="200"/>
        <v>C</v>
      </c>
      <c r="F548" s="215" t="s">
        <v>36</v>
      </c>
      <c r="G548" s="215" t="s">
        <v>37</v>
      </c>
      <c r="H548" s="215" t="s">
        <v>37</v>
      </c>
      <c r="I548" s="215" t="s">
        <v>37</v>
      </c>
      <c r="J548" s="215" t="s">
        <v>36</v>
      </c>
      <c r="K548" s="215" t="s">
        <v>37</v>
      </c>
      <c r="L548" s="215" t="s">
        <v>37</v>
      </c>
      <c r="M548" s="274">
        <f t="shared" si="212"/>
        <v>5</v>
      </c>
      <c r="N548" s="217" t="str">
        <f t="shared" si="201"/>
        <v>Rp</v>
      </c>
      <c r="O548" s="266">
        <f t="shared" si="202"/>
        <v>100000</v>
      </c>
      <c r="P548" s="217" t="str">
        <f t="shared" si="203"/>
        <v>Rp</v>
      </c>
      <c r="Q548" s="219">
        <f t="shared" si="204"/>
        <v>500000</v>
      </c>
      <c r="R548" s="222">
        <f>IF(Q548&gt;0,R546+2,IF(Q548=0," "))</f>
        <v>5</v>
      </c>
      <c r="S548" s="221"/>
      <c r="U548" s="211"/>
      <c r="V548" s="211"/>
      <c r="Y548" s="211">
        <f t="shared" si="205"/>
        <v>0</v>
      </c>
      <c r="Z548" s="211">
        <f t="shared" si="206"/>
        <v>1</v>
      </c>
      <c r="AA548" s="211">
        <f t="shared" si="207"/>
        <v>1</v>
      </c>
      <c r="AB548" s="211">
        <f t="shared" si="208"/>
        <v>1</v>
      </c>
      <c r="AC548" s="211">
        <f t="shared" si="209"/>
        <v>0</v>
      </c>
      <c r="AD548" s="211">
        <f t="shared" si="210"/>
        <v>1</v>
      </c>
      <c r="AE548" s="211">
        <f t="shared" si="211"/>
        <v>1</v>
      </c>
    </row>
    <row r="549" spans="1:31" ht="24.95" customHeight="1" x14ac:dyDescent="0.25">
      <c r="B549" s="212">
        <f t="shared" si="213"/>
        <v>6</v>
      </c>
      <c r="C549" s="264" t="str">
        <f t="shared" si="199"/>
        <v>JUNED</v>
      </c>
      <c r="D549" s="213"/>
      <c r="E549" s="265" t="str">
        <f t="shared" si="200"/>
        <v>C</v>
      </c>
      <c r="F549" s="215" t="s">
        <v>36</v>
      </c>
      <c r="G549" s="215" t="s">
        <v>37</v>
      </c>
      <c r="H549" s="215" t="s">
        <v>36</v>
      </c>
      <c r="I549" s="215" t="s">
        <v>37</v>
      </c>
      <c r="J549" s="215" t="s">
        <v>37</v>
      </c>
      <c r="K549" s="215" t="s">
        <v>37</v>
      </c>
      <c r="L549" s="215" t="s">
        <v>37</v>
      </c>
      <c r="M549" s="274">
        <f t="shared" si="212"/>
        <v>5</v>
      </c>
      <c r="N549" s="217" t="str">
        <f t="shared" si="201"/>
        <v>Rp</v>
      </c>
      <c r="O549" s="266">
        <f t="shared" si="202"/>
        <v>100000</v>
      </c>
      <c r="P549" s="217" t="str">
        <f t="shared" si="203"/>
        <v>Rp</v>
      </c>
      <c r="Q549" s="219">
        <f t="shared" si="204"/>
        <v>500000</v>
      </c>
      <c r="R549" s="222"/>
      <c r="S549" s="223">
        <f>IF(Q549&gt;0,S547+2,IF(T549=0," "))</f>
        <v>6</v>
      </c>
      <c r="U549" s="211"/>
      <c r="V549" s="211"/>
      <c r="Y549" s="211">
        <f t="shared" si="205"/>
        <v>0</v>
      </c>
      <c r="Z549" s="211">
        <f t="shared" si="206"/>
        <v>1</v>
      </c>
      <c r="AA549" s="211">
        <f t="shared" si="207"/>
        <v>0</v>
      </c>
      <c r="AB549" s="211">
        <f t="shared" si="208"/>
        <v>1</v>
      </c>
      <c r="AC549" s="211">
        <f t="shared" si="209"/>
        <v>1</v>
      </c>
      <c r="AD549" s="211">
        <f t="shared" si="210"/>
        <v>1</v>
      </c>
      <c r="AE549" s="211">
        <f t="shared" si="211"/>
        <v>1</v>
      </c>
    </row>
    <row r="550" spans="1:31" ht="24.95" customHeight="1" x14ac:dyDescent="0.25">
      <c r="B550" s="212">
        <f t="shared" si="213"/>
        <v>7</v>
      </c>
      <c r="C550" s="264" t="str">
        <f t="shared" si="199"/>
        <v>LASITO</v>
      </c>
      <c r="D550" s="213"/>
      <c r="E550" s="265" t="str">
        <f t="shared" si="200"/>
        <v>C</v>
      </c>
      <c r="F550" s="215" t="s">
        <v>36</v>
      </c>
      <c r="G550" s="215" t="s">
        <v>37</v>
      </c>
      <c r="H550" s="215" t="s">
        <v>37</v>
      </c>
      <c r="I550" s="215" t="s">
        <v>37</v>
      </c>
      <c r="J550" s="215" t="s">
        <v>36</v>
      </c>
      <c r="K550" s="215" t="s">
        <v>37</v>
      </c>
      <c r="L550" s="215" t="s">
        <v>37</v>
      </c>
      <c r="M550" s="274">
        <f t="shared" si="212"/>
        <v>5</v>
      </c>
      <c r="N550" s="217" t="str">
        <f t="shared" si="201"/>
        <v>Rp</v>
      </c>
      <c r="O550" s="266">
        <f t="shared" si="202"/>
        <v>100000</v>
      </c>
      <c r="P550" s="217" t="str">
        <f t="shared" si="203"/>
        <v>Rp</v>
      </c>
      <c r="Q550" s="219">
        <f t="shared" si="204"/>
        <v>500000</v>
      </c>
      <c r="R550" s="222">
        <f>IF(Q550&gt;0,R548+2,IF(Q550=0," "))</f>
        <v>7</v>
      </c>
      <c r="S550" s="221"/>
      <c r="U550" s="211"/>
      <c r="V550" s="211"/>
      <c r="Y550" s="211">
        <f t="shared" si="205"/>
        <v>0</v>
      </c>
      <c r="Z550" s="211">
        <f t="shared" si="206"/>
        <v>1</v>
      </c>
      <c r="AA550" s="211">
        <f t="shared" si="207"/>
        <v>1</v>
      </c>
      <c r="AB550" s="211">
        <f t="shared" si="208"/>
        <v>1</v>
      </c>
      <c r="AC550" s="211">
        <f t="shared" si="209"/>
        <v>0</v>
      </c>
      <c r="AD550" s="211">
        <f t="shared" si="210"/>
        <v>1</v>
      </c>
      <c r="AE550" s="211">
        <f t="shared" si="211"/>
        <v>1</v>
      </c>
    </row>
    <row r="551" spans="1:31" ht="24.95" customHeight="1" x14ac:dyDescent="0.25">
      <c r="B551" s="212">
        <f t="shared" si="213"/>
        <v>8</v>
      </c>
      <c r="C551" s="264" t="str">
        <f t="shared" si="199"/>
        <v>BONANG</v>
      </c>
      <c r="D551" s="213"/>
      <c r="E551" s="265" t="str">
        <f t="shared" si="200"/>
        <v>C</v>
      </c>
      <c r="F551" s="215" t="s">
        <v>36</v>
      </c>
      <c r="G551" s="215" t="s">
        <v>37</v>
      </c>
      <c r="H551" s="215" t="s">
        <v>37</v>
      </c>
      <c r="I551" s="215" t="s">
        <v>37</v>
      </c>
      <c r="J551" s="215" t="s">
        <v>37</v>
      </c>
      <c r="K551" s="215" t="s">
        <v>37</v>
      </c>
      <c r="L551" s="215" t="s">
        <v>37</v>
      </c>
      <c r="M551" s="274">
        <f t="shared" si="212"/>
        <v>6</v>
      </c>
      <c r="N551" s="217" t="str">
        <f t="shared" si="201"/>
        <v>Rp</v>
      </c>
      <c r="O551" s="266">
        <f t="shared" si="202"/>
        <v>100000</v>
      </c>
      <c r="P551" s="217" t="str">
        <f t="shared" si="203"/>
        <v>Rp</v>
      </c>
      <c r="Q551" s="219">
        <f t="shared" si="204"/>
        <v>600000</v>
      </c>
      <c r="R551" s="222"/>
      <c r="S551" s="223">
        <f>IF(Q551&gt;0,S549+2,IF(T551=0," "))</f>
        <v>8</v>
      </c>
      <c r="U551" s="211"/>
      <c r="V551" s="211"/>
      <c r="Y551" s="211">
        <f t="shared" si="205"/>
        <v>0</v>
      </c>
      <c r="Z551" s="211">
        <f t="shared" si="206"/>
        <v>1</v>
      </c>
      <c r="AA551" s="211">
        <f t="shared" si="207"/>
        <v>1</v>
      </c>
      <c r="AB551" s="211">
        <f t="shared" si="208"/>
        <v>1</v>
      </c>
      <c r="AC551" s="211">
        <f t="shared" si="209"/>
        <v>1</v>
      </c>
      <c r="AD551" s="211">
        <f t="shared" si="210"/>
        <v>1</v>
      </c>
      <c r="AE551" s="211">
        <f t="shared" si="211"/>
        <v>1</v>
      </c>
    </row>
    <row r="552" spans="1:31" ht="24.95" customHeight="1" x14ac:dyDescent="0.25">
      <c r="B552" s="212">
        <f t="shared" si="213"/>
        <v>9</v>
      </c>
      <c r="C552" s="264">
        <f t="shared" si="199"/>
        <v>0</v>
      </c>
      <c r="D552" s="213"/>
      <c r="E552" s="265">
        <f t="shared" si="200"/>
        <v>0</v>
      </c>
      <c r="F552" s="215" t="s">
        <v>36</v>
      </c>
      <c r="G552" s="215" t="s">
        <v>37</v>
      </c>
      <c r="H552" s="215" t="s">
        <v>37</v>
      </c>
      <c r="I552" s="215" t="s">
        <v>36</v>
      </c>
      <c r="J552" s="215" t="s">
        <v>37</v>
      </c>
      <c r="K552" s="215" t="s">
        <v>37</v>
      </c>
      <c r="L552" s="215" t="s">
        <v>37</v>
      </c>
      <c r="M552" s="274">
        <f t="shared" si="212"/>
        <v>5</v>
      </c>
      <c r="N552" s="217" t="str">
        <f t="shared" si="201"/>
        <v xml:space="preserve"> </v>
      </c>
      <c r="O552" s="266">
        <f t="shared" si="202"/>
        <v>0</v>
      </c>
      <c r="P552" s="217" t="str">
        <f t="shared" si="203"/>
        <v xml:space="preserve"> </v>
      </c>
      <c r="Q552" s="219">
        <f t="shared" si="204"/>
        <v>0</v>
      </c>
      <c r="R552" s="222" t="str">
        <f>IF(Q552&gt;0,R550+2,IF(Q552=0," "))</f>
        <v xml:space="preserve"> </v>
      </c>
      <c r="S552" s="221"/>
      <c r="U552" s="211"/>
      <c r="V552" s="211"/>
      <c r="Y552" s="211">
        <f t="shared" si="205"/>
        <v>0</v>
      </c>
      <c r="Z552" s="211">
        <f t="shared" si="206"/>
        <v>1</v>
      </c>
      <c r="AA552" s="211">
        <f t="shared" si="207"/>
        <v>1</v>
      </c>
      <c r="AB552" s="211">
        <f t="shared" si="208"/>
        <v>0</v>
      </c>
      <c r="AC552" s="211">
        <f t="shared" si="209"/>
        <v>1</v>
      </c>
      <c r="AD552" s="211">
        <f t="shared" si="210"/>
        <v>1</v>
      </c>
      <c r="AE552" s="211">
        <f t="shared" si="211"/>
        <v>1</v>
      </c>
    </row>
    <row r="553" spans="1:31" ht="24.95" customHeight="1" x14ac:dyDescent="0.25">
      <c r="B553" s="212">
        <f t="shared" si="213"/>
        <v>10</v>
      </c>
      <c r="C553" s="264">
        <f t="shared" si="199"/>
        <v>0</v>
      </c>
      <c r="D553" s="213"/>
      <c r="E553" s="265">
        <f t="shared" si="200"/>
        <v>0</v>
      </c>
      <c r="F553" s="215" t="s">
        <v>36</v>
      </c>
      <c r="G553" s="215" t="s">
        <v>37</v>
      </c>
      <c r="H553" s="215" t="s">
        <v>37</v>
      </c>
      <c r="I553" s="215" t="s">
        <v>37</v>
      </c>
      <c r="J553" s="215" t="s">
        <v>37</v>
      </c>
      <c r="K553" s="215" t="s">
        <v>37</v>
      </c>
      <c r="L553" s="215" t="s">
        <v>37</v>
      </c>
      <c r="M553" s="274">
        <f t="shared" si="212"/>
        <v>6</v>
      </c>
      <c r="N553" s="217" t="str">
        <f t="shared" si="201"/>
        <v xml:space="preserve"> </v>
      </c>
      <c r="O553" s="266">
        <f t="shared" si="202"/>
        <v>0</v>
      </c>
      <c r="P553" s="217" t="str">
        <f t="shared" si="203"/>
        <v xml:space="preserve"> </v>
      </c>
      <c r="Q553" s="219">
        <f t="shared" si="204"/>
        <v>0</v>
      </c>
      <c r="R553" s="222"/>
      <c r="S553" s="223" t="str">
        <f>IF(Q553&gt;0,S551+2,IF(T553=0," "))</f>
        <v xml:space="preserve"> </v>
      </c>
      <c r="U553" s="211"/>
      <c r="V553" s="211"/>
      <c r="Y553" s="211">
        <f t="shared" si="205"/>
        <v>0</v>
      </c>
      <c r="Z553" s="211">
        <f t="shared" si="206"/>
        <v>1</v>
      </c>
      <c r="AA553" s="211">
        <f t="shared" si="207"/>
        <v>1</v>
      </c>
      <c r="AB553" s="211">
        <f t="shared" si="208"/>
        <v>1</v>
      </c>
      <c r="AC553" s="211">
        <f t="shared" si="209"/>
        <v>1</v>
      </c>
      <c r="AD553" s="211">
        <f t="shared" si="210"/>
        <v>1</v>
      </c>
      <c r="AE553" s="211">
        <f t="shared" si="211"/>
        <v>1</v>
      </c>
    </row>
    <row r="554" spans="1:31" ht="24.95" customHeight="1" x14ac:dyDescent="0.25">
      <c r="B554" s="212">
        <f t="shared" si="213"/>
        <v>11</v>
      </c>
      <c r="C554" s="264">
        <f t="shared" si="199"/>
        <v>0</v>
      </c>
      <c r="D554" s="213"/>
      <c r="E554" s="265">
        <f t="shared" si="200"/>
        <v>0</v>
      </c>
      <c r="F554" s="215" t="s">
        <v>36</v>
      </c>
      <c r="G554" s="215" t="s">
        <v>37</v>
      </c>
      <c r="H554" s="215" t="s">
        <v>37</v>
      </c>
      <c r="I554" s="215" t="s">
        <v>37</v>
      </c>
      <c r="J554" s="215" t="s">
        <v>36</v>
      </c>
      <c r="K554" s="215" t="s">
        <v>37</v>
      </c>
      <c r="L554" s="215" t="s">
        <v>37</v>
      </c>
      <c r="M554" s="274">
        <f t="shared" si="212"/>
        <v>5</v>
      </c>
      <c r="N554" s="217" t="str">
        <f t="shared" si="201"/>
        <v xml:space="preserve"> </v>
      </c>
      <c r="O554" s="266">
        <f t="shared" si="202"/>
        <v>0</v>
      </c>
      <c r="P554" s="217" t="str">
        <f t="shared" si="203"/>
        <v xml:space="preserve"> </v>
      </c>
      <c r="Q554" s="219">
        <f t="shared" si="204"/>
        <v>0</v>
      </c>
      <c r="R554" s="222" t="str">
        <f>IF(Q554&gt;0,R552+2,IF(Q554=0," "))</f>
        <v xml:space="preserve"> </v>
      </c>
      <c r="S554" s="221"/>
      <c r="U554" s="211"/>
      <c r="V554" s="211"/>
      <c r="Y554" s="211">
        <f t="shared" si="205"/>
        <v>0</v>
      </c>
      <c r="Z554" s="211">
        <f t="shared" si="206"/>
        <v>1</v>
      </c>
      <c r="AA554" s="211">
        <f t="shared" si="207"/>
        <v>1</v>
      </c>
      <c r="AB554" s="211">
        <f t="shared" si="208"/>
        <v>1</v>
      </c>
      <c r="AC554" s="211">
        <f t="shared" si="209"/>
        <v>0</v>
      </c>
      <c r="AD554" s="211">
        <f t="shared" si="210"/>
        <v>1</v>
      </c>
      <c r="AE554" s="211">
        <f t="shared" si="211"/>
        <v>1</v>
      </c>
    </row>
    <row r="555" spans="1:31" ht="24.95" customHeight="1" thickBot="1" x14ac:dyDescent="0.25">
      <c r="B555" s="233"/>
      <c r="C555" s="257"/>
      <c r="D555" s="235"/>
      <c r="E555" s="236"/>
      <c r="F555" s="237"/>
      <c r="G555" s="238"/>
      <c r="H555" s="239"/>
      <c r="I555" s="239"/>
      <c r="J555" s="240"/>
      <c r="K555" s="240"/>
      <c r="L555" s="240"/>
      <c r="M555" s="259"/>
      <c r="N555" s="242"/>
      <c r="O555" s="258"/>
      <c r="P555" s="244"/>
      <c r="Q555" s="236"/>
      <c r="R555" s="246"/>
      <c r="S555" s="247"/>
      <c r="U555" s="211"/>
      <c r="V555" s="211"/>
    </row>
    <row r="556" spans="1:31" ht="20.100000000000001" customHeight="1" thickTop="1" thickBot="1" x14ac:dyDescent="0.3">
      <c r="A556" s="179">
        <f>A518+1</f>
        <v>15</v>
      </c>
      <c r="B556" s="248"/>
      <c r="C556" s="249"/>
      <c r="D556" s="249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50" t="s">
        <v>40</v>
      </c>
      <c r="P556" s="249"/>
      <c r="Q556" s="710">
        <f>SUM(Q544:Q555)</f>
        <v>5005000</v>
      </c>
      <c r="R556" s="711"/>
      <c r="S556" s="712"/>
      <c r="U556" s="226" t="e">
        <f>VLOOKUP(A556,'Rekap Gaji'!$B$12:$P$24,10,FALSE)</f>
        <v>#N/A</v>
      </c>
      <c r="V556" s="251" t="e">
        <f>U556-Q556</f>
        <v>#N/A</v>
      </c>
    </row>
    <row r="557" spans="1:31" ht="11.25" customHeight="1" x14ac:dyDescent="0.25"/>
    <row r="558" spans="1:31" ht="16.5" customHeight="1" x14ac:dyDescent="0.25">
      <c r="B558" s="195" t="s">
        <v>41</v>
      </c>
      <c r="C558" s="140" t="s">
        <v>42</v>
      </c>
    </row>
    <row r="559" spans="1:31" ht="14.25" x14ac:dyDescent="0.25">
      <c r="G559" s="183"/>
      <c r="H559" s="182"/>
      <c r="M559" s="141"/>
      <c r="N559" s="141"/>
      <c r="Q559" s="140" t="str">
        <f>'BKU 1'!$I$25</f>
        <v>NGANTANG</v>
      </c>
      <c r="R559" s="713" t="str">
        <f>IFERROR(VLOOKUP(E538,'Rekap Gaji'!$B$12:$P$24,7,FALSE),"-")</f>
        <v>-</v>
      </c>
      <c r="S559" s="713"/>
      <c r="T559" s="252"/>
      <c r="U559" s="252"/>
    </row>
    <row r="560" spans="1:31" ht="15.75" x14ac:dyDescent="0.25">
      <c r="C560" s="140" t="s">
        <v>43</v>
      </c>
      <c r="F560" s="253"/>
      <c r="G560" s="254"/>
      <c r="H560" s="255"/>
      <c r="I560" s="256"/>
      <c r="J560" s="225" t="s">
        <v>44</v>
      </c>
      <c r="K560" s="253"/>
      <c r="M560" s="141"/>
      <c r="N560" s="141"/>
      <c r="Q560" s="140" t="str">
        <f>'BKU 1'!$L$354</f>
        <v>Dibuat Oleh ;</v>
      </c>
      <c r="R560" s="141"/>
    </row>
    <row r="561" spans="1:22" ht="14.25" x14ac:dyDescent="0.25">
      <c r="C561" s="140" t="str">
        <f>'BKU 1'!$C$355</f>
        <v>Kepala Sekolah SDN 1 SIDODADI</v>
      </c>
      <c r="F561" s="187"/>
      <c r="G561" s="224"/>
      <c r="H561" s="182"/>
      <c r="I561" s="183"/>
      <c r="J561" s="140" t="s">
        <v>45</v>
      </c>
      <c r="K561" s="187"/>
      <c r="Q561" s="140" t="str">
        <f>'BKU 1'!$L$355</f>
        <v>Bendahara Pembangunan</v>
      </c>
      <c r="R561" s="141"/>
    </row>
    <row r="562" spans="1:22" ht="14.25" x14ac:dyDescent="0.25">
      <c r="F562" s="187"/>
      <c r="G562" s="224"/>
      <c r="H562" s="182"/>
      <c r="I562" s="183"/>
      <c r="K562" s="187"/>
      <c r="Q562" s="140"/>
      <c r="R562" s="141"/>
    </row>
    <row r="563" spans="1:22" ht="14.25" x14ac:dyDescent="0.25">
      <c r="F563" s="187"/>
      <c r="G563" s="224"/>
      <c r="H563" s="182"/>
      <c r="I563" s="183"/>
      <c r="K563" s="187"/>
      <c r="Q563" s="140"/>
      <c r="R563" s="141"/>
    </row>
    <row r="564" spans="1:22" ht="14.25" x14ac:dyDescent="0.25">
      <c r="F564" s="187"/>
      <c r="G564" s="224"/>
      <c r="H564" s="182"/>
      <c r="I564" s="183"/>
      <c r="K564" s="187"/>
      <c r="Q564" s="140"/>
      <c r="R564" s="141"/>
    </row>
    <row r="565" spans="1:22" ht="14.25" x14ac:dyDescent="0.25">
      <c r="F565" s="187"/>
      <c r="G565" s="224"/>
      <c r="H565" s="182"/>
      <c r="I565" s="183"/>
      <c r="K565" s="187"/>
      <c r="Q565" s="140"/>
      <c r="R565" s="141"/>
    </row>
    <row r="566" spans="1:22" x14ac:dyDescent="0.25">
      <c r="G566" s="225"/>
      <c r="Q566" s="140"/>
    </row>
    <row r="567" spans="1:22" x14ac:dyDescent="0.25">
      <c r="G567" s="225"/>
      <c r="Q567" s="140"/>
    </row>
    <row r="568" spans="1:22" s="189" customFormat="1" ht="15" customHeight="1" x14ac:dyDescent="0.25">
      <c r="A568" s="192"/>
      <c r="B568" s="195"/>
      <c r="C568" s="227" t="str">
        <f>'BKU 1'!$C$360</f>
        <v>MELIA FITRIANI, S.Pd.SD</v>
      </c>
      <c r="D568" s="227"/>
      <c r="G568" s="228"/>
      <c r="H568" s="195"/>
      <c r="I568" s="194"/>
      <c r="J568" s="229">
        <f>'BKU 1'!$G$360</f>
        <v>0</v>
      </c>
      <c r="Q568" s="227" t="str">
        <f>'BKU 1'!$L$360</f>
        <v>ARIF NUR UDIN, S.Pd.SD</v>
      </c>
      <c r="S568" s="230"/>
      <c r="U568" s="231"/>
      <c r="V568" s="231"/>
    </row>
    <row r="569" spans="1:22" s="189" customFormat="1" ht="15" customHeight="1" x14ac:dyDescent="0.25">
      <c r="A569" s="192"/>
      <c r="B569" s="195"/>
      <c r="C569" s="140" t="str">
        <f>'BKU 1'!$C$361</f>
        <v>NIP. 19850619 200904 2 000</v>
      </c>
      <c r="D569" s="140"/>
      <c r="E569" s="140"/>
      <c r="F569" s="140"/>
      <c r="G569" s="225"/>
      <c r="H569" s="191"/>
      <c r="I569" s="190"/>
      <c r="J569" s="232">
        <f>'BKU 1'!$G$361</f>
        <v>0</v>
      </c>
      <c r="K569" s="140"/>
      <c r="M569" s="140"/>
      <c r="N569" s="140"/>
      <c r="O569" s="140"/>
      <c r="P569" s="140"/>
      <c r="Q569" s="140" t="str">
        <f>'BKU 1'!$L$361</f>
        <v>NIP. 19840719 200903 1 002</v>
      </c>
      <c r="S569" s="230"/>
      <c r="U569" s="231"/>
      <c r="V569" s="231"/>
    </row>
    <row r="570" spans="1:22" ht="6" customHeight="1" x14ac:dyDescent="0.25"/>
    <row r="571" spans="1:22" s="177" customFormat="1" ht="24.95" customHeight="1" x14ac:dyDescent="0.25">
      <c r="A571" s="176"/>
      <c r="B571" s="726" t="s">
        <v>6</v>
      </c>
      <c r="C571" s="726"/>
      <c r="D571" s="726"/>
      <c r="E571" s="726"/>
      <c r="F571" s="726"/>
      <c r="G571" s="726"/>
      <c r="H571" s="726"/>
      <c r="I571" s="726"/>
      <c r="J571" s="726"/>
      <c r="K571" s="726"/>
      <c r="L571" s="726"/>
      <c r="M571" s="726"/>
      <c r="N571" s="726"/>
      <c r="O571" s="726"/>
      <c r="P571" s="726"/>
      <c r="Q571" s="726"/>
      <c r="R571" s="726"/>
      <c r="S571" s="726"/>
      <c r="U571" s="178"/>
      <c r="V571" s="178"/>
    </row>
    <row r="572" spans="1:22" s="177" customFormat="1" ht="24.95" customHeight="1" x14ac:dyDescent="0.25">
      <c r="A572" s="176"/>
      <c r="B572" s="726" t="str">
        <f>'BKU 1'!$D$22</f>
        <v>PEMBANGUNAN TOILET BESERTA SANITASINYA</v>
      </c>
      <c r="C572" s="726"/>
      <c r="D572" s="726"/>
      <c r="E572" s="726"/>
      <c r="F572" s="726"/>
      <c r="G572" s="726"/>
      <c r="H572" s="726"/>
      <c r="I572" s="726"/>
      <c r="J572" s="726"/>
      <c r="K572" s="726"/>
      <c r="L572" s="726"/>
      <c r="M572" s="726"/>
      <c r="N572" s="726"/>
      <c r="O572" s="726"/>
      <c r="P572" s="726"/>
      <c r="Q572" s="726"/>
      <c r="R572" s="726"/>
      <c r="S572" s="726"/>
      <c r="U572" s="178"/>
      <c r="V572" s="178"/>
    </row>
    <row r="573" spans="1:22" s="184" customFormat="1" ht="30.75" customHeight="1" x14ac:dyDescent="0.25">
      <c r="A573" s="179"/>
      <c r="B573" s="180"/>
      <c r="C573" s="181"/>
      <c r="D573" s="181"/>
      <c r="E573" s="181"/>
      <c r="F573" s="182"/>
      <c r="G573" s="183"/>
      <c r="H573" s="182"/>
      <c r="I573" s="183"/>
      <c r="J573" s="182"/>
      <c r="K573" s="182"/>
      <c r="L573" s="182"/>
      <c r="M573" s="181"/>
      <c r="N573" s="181"/>
      <c r="Q573" s="180"/>
      <c r="R573" s="140"/>
      <c r="S573" s="185"/>
      <c r="U573" s="186"/>
      <c r="V573" s="186"/>
    </row>
    <row r="574" spans="1:22" s="184" customFormat="1" ht="14.25" x14ac:dyDescent="0.25">
      <c r="A574" s="179"/>
      <c r="B574" s="185" t="s">
        <v>7</v>
      </c>
      <c r="D574" s="184" t="s">
        <v>49</v>
      </c>
      <c r="E574" s="184" t="str">
        <f>'BKU 1'!$D$25</f>
        <v>SDN 1 SIDODADI</v>
      </c>
      <c r="F574" s="140"/>
      <c r="G574" s="183"/>
      <c r="H574" s="182"/>
      <c r="I574" s="183"/>
      <c r="J574" s="187"/>
      <c r="K574" s="187"/>
      <c r="L574" s="187"/>
      <c r="M574" s="188"/>
      <c r="N574" s="188"/>
      <c r="Q574" s="180"/>
      <c r="R574" s="189" t="s">
        <v>8</v>
      </c>
      <c r="S574" s="185"/>
      <c r="U574" s="186"/>
      <c r="V574" s="186"/>
    </row>
    <row r="575" spans="1:22" s="184" customFormat="1" x14ac:dyDescent="0.25">
      <c r="A575" s="179"/>
      <c r="B575" s="185" t="s">
        <v>9</v>
      </c>
      <c r="D575" s="184" t="s">
        <v>49</v>
      </c>
      <c r="E575" s="184" t="str">
        <f>'BKU 1'!$D$26</f>
        <v>Jl. Kawi No.36 Rt. 1 Rw. 1 Dusun Sekar, Rt / Rw : 1 / 1, Dusun : Sekar, Kelurahan : Sidodadi</v>
      </c>
      <c r="F575" s="140"/>
      <c r="G575" s="190"/>
      <c r="H575" s="191"/>
      <c r="I575" s="190"/>
      <c r="J575" s="140"/>
      <c r="K575" s="140"/>
      <c r="L575" s="140"/>
      <c r="Q575" s="180"/>
      <c r="R575" s="140" t="s">
        <v>10</v>
      </c>
      <c r="S575" s="185" t="s">
        <v>11</v>
      </c>
      <c r="U575" s="186"/>
      <c r="V575" s="186"/>
    </row>
    <row r="576" spans="1:22" s="184" customFormat="1" x14ac:dyDescent="0.25">
      <c r="A576" s="179"/>
      <c r="B576" s="185" t="s">
        <v>12</v>
      </c>
      <c r="D576" s="184" t="s">
        <v>49</v>
      </c>
      <c r="E576" s="180">
        <f>E538+1</f>
        <v>16</v>
      </c>
      <c r="F576" s="140"/>
      <c r="G576" s="727" t="str">
        <f>IFERROR(VLOOKUP(E576,'Rekap Gaji'!$B$12:$P$24,14,FALSE),"-")</f>
        <v>-</v>
      </c>
      <c r="H576" s="727"/>
      <c r="I576" s="727"/>
      <c r="J576" s="140"/>
      <c r="K576" s="140"/>
      <c r="L576" s="140"/>
      <c r="Q576" s="180"/>
      <c r="R576" s="140" t="s">
        <v>13</v>
      </c>
      <c r="S576" s="185" t="s">
        <v>14</v>
      </c>
      <c r="U576" s="186"/>
      <c r="V576" s="186"/>
    </row>
    <row r="577" spans="1:31" s="184" customFormat="1" ht="15" customHeight="1" x14ac:dyDescent="0.25">
      <c r="A577" s="179"/>
      <c r="B577" s="185" t="s">
        <v>0</v>
      </c>
      <c r="D577" s="184" t="s">
        <v>49</v>
      </c>
      <c r="E577" s="728" t="str">
        <f>IFERROR(VLOOKUP(E576,'Rekap Gaji'!$B$12:$P$24,4,FALSE),"-")</f>
        <v>-</v>
      </c>
      <c r="F577" s="728"/>
      <c r="G577" s="728"/>
      <c r="H577" s="728"/>
      <c r="I577" s="727" t="s">
        <v>76</v>
      </c>
      <c r="J577" s="727"/>
      <c r="K577" s="728" t="str">
        <f>IFERROR(VLOOKUP(E576,'Rekap Gaji'!$B$12:$P$24,6,FALSE),"-")</f>
        <v>-</v>
      </c>
      <c r="L577" s="728"/>
      <c r="M577" s="728"/>
      <c r="N577" s="728"/>
      <c r="Q577" s="180"/>
      <c r="R577" s="140" t="s">
        <v>15</v>
      </c>
      <c r="S577" s="185" t="s">
        <v>16</v>
      </c>
      <c r="U577" s="186"/>
      <c r="V577" s="186"/>
    </row>
    <row r="578" spans="1:31" s="188" customFormat="1" ht="8.1" customHeight="1" thickBot="1" x14ac:dyDescent="0.3">
      <c r="A578" s="192"/>
      <c r="B578" s="193"/>
      <c r="F578" s="189"/>
      <c r="G578" s="194"/>
      <c r="H578" s="195"/>
      <c r="I578" s="194"/>
      <c r="J578" s="189"/>
      <c r="K578" s="189"/>
      <c r="L578" s="189"/>
      <c r="Q578" s="193"/>
      <c r="R578" s="189"/>
      <c r="S578" s="196"/>
      <c r="U578" s="197"/>
      <c r="V578" s="197"/>
    </row>
    <row r="579" spans="1:31" ht="15" customHeight="1" x14ac:dyDescent="0.25">
      <c r="B579" s="729" t="s">
        <v>17</v>
      </c>
      <c r="C579" s="717" t="s">
        <v>18</v>
      </c>
      <c r="D579" s="732"/>
      <c r="E579" s="268" t="s">
        <v>19</v>
      </c>
      <c r="F579" s="717" t="s">
        <v>20</v>
      </c>
      <c r="G579" s="734"/>
      <c r="H579" s="734"/>
      <c r="I579" s="734"/>
      <c r="J579" s="734"/>
      <c r="K579" s="734"/>
      <c r="L579" s="732"/>
      <c r="M579" s="267" t="s">
        <v>2</v>
      </c>
      <c r="N579" s="717" t="s">
        <v>21</v>
      </c>
      <c r="O579" s="732"/>
      <c r="P579" s="717" t="s">
        <v>22</v>
      </c>
      <c r="Q579" s="732"/>
      <c r="R579" s="717" t="s">
        <v>23</v>
      </c>
      <c r="S579" s="718"/>
    </row>
    <row r="580" spans="1:31" ht="15" customHeight="1" x14ac:dyDescent="0.25">
      <c r="B580" s="730"/>
      <c r="C580" s="719"/>
      <c r="D580" s="725"/>
      <c r="E580" s="270" t="s">
        <v>24</v>
      </c>
      <c r="F580" s="723" t="s">
        <v>25</v>
      </c>
      <c r="G580" s="723" t="s">
        <v>26</v>
      </c>
      <c r="H580" s="723" t="s">
        <v>26</v>
      </c>
      <c r="I580" s="723" t="s">
        <v>27</v>
      </c>
      <c r="J580" s="723" t="s">
        <v>28</v>
      </c>
      <c r="K580" s="723" t="s">
        <v>29</v>
      </c>
      <c r="L580" s="723" t="s">
        <v>26</v>
      </c>
      <c r="M580" s="269" t="s">
        <v>30</v>
      </c>
      <c r="N580" s="719" t="s">
        <v>31</v>
      </c>
      <c r="O580" s="725"/>
      <c r="P580" s="719" t="s">
        <v>31</v>
      </c>
      <c r="Q580" s="725"/>
      <c r="R580" s="719"/>
      <c r="S580" s="720"/>
    </row>
    <row r="581" spans="1:31" ht="15" customHeight="1" thickBot="1" x14ac:dyDescent="0.3">
      <c r="B581" s="731"/>
      <c r="C581" s="721"/>
      <c r="D581" s="733"/>
      <c r="E581" s="272" t="s">
        <v>32</v>
      </c>
      <c r="F581" s="724"/>
      <c r="G581" s="724"/>
      <c r="H581" s="724"/>
      <c r="I581" s="724"/>
      <c r="J581" s="724"/>
      <c r="K581" s="724"/>
      <c r="L581" s="724"/>
      <c r="M581" s="271" t="s">
        <v>31</v>
      </c>
      <c r="N581" s="721" t="s">
        <v>33</v>
      </c>
      <c r="O581" s="733"/>
      <c r="P581" s="721" t="s">
        <v>34</v>
      </c>
      <c r="Q581" s="733"/>
      <c r="R581" s="721"/>
      <c r="S581" s="722"/>
    </row>
    <row r="582" spans="1:31" ht="24.95" customHeight="1" x14ac:dyDescent="0.25">
      <c r="B582" s="201">
        <v>1</v>
      </c>
      <c r="C582" s="261" t="str">
        <f t="shared" ref="C582:C592" si="214">IFERROR(C544," ")</f>
        <v>KHUSNUL</v>
      </c>
      <c r="D582" s="203"/>
      <c r="E582" s="262" t="str">
        <f t="shared" ref="E582:E592" si="215">IFERROR(E544," ")</f>
        <v>A</v>
      </c>
      <c r="F582" s="215" t="s">
        <v>36</v>
      </c>
      <c r="G582" s="205" t="s">
        <v>37</v>
      </c>
      <c r="H582" s="205" t="s">
        <v>37</v>
      </c>
      <c r="I582" s="205" t="s">
        <v>37</v>
      </c>
      <c r="J582" s="205" t="s">
        <v>37</v>
      </c>
      <c r="K582" s="205" t="s">
        <v>37</v>
      </c>
      <c r="L582" s="205" t="s">
        <v>37</v>
      </c>
      <c r="M582" s="273">
        <f>SUM(Y582:AE582)</f>
        <v>6</v>
      </c>
      <c r="N582" s="207" t="str">
        <f t="shared" ref="N582:N592" si="216">IF(O582&gt;0,"Rp",IF(O582=0," "))</f>
        <v>Rp</v>
      </c>
      <c r="O582" s="263">
        <f t="shared" ref="O582:O592" si="217">IFERROR(O544," ")</f>
        <v>130000</v>
      </c>
      <c r="P582" s="207" t="str">
        <f t="shared" ref="P582:P592" si="218">IF(Q582&gt;0,"Rp",IF(Q582=0," "))</f>
        <v>Rp</v>
      </c>
      <c r="Q582" s="208">
        <f t="shared" ref="Q582:Q592" si="219">O582*M582</f>
        <v>780000</v>
      </c>
      <c r="R582" s="209">
        <f>IF(Q582&gt;0,1,IF(Q582=0," "))</f>
        <v>1</v>
      </c>
      <c r="S582" s="210"/>
      <c r="U582" s="260"/>
      <c r="V582" s="140"/>
      <c r="Y582" s="211">
        <f t="shared" ref="Y582:Y592" si="220">IFERROR(IF(F582="V",1,IF(F582="X",0))," ")</f>
        <v>0</v>
      </c>
      <c r="Z582" s="211">
        <f t="shared" ref="Z582:Z592" si="221">IFERROR(IF(G582="V",1,IF(G582="X",0))," ")</f>
        <v>1</v>
      </c>
      <c r="AA582" s="211">
        <f t="shared" ref="AA582:AA592" si="222">IFERROR(IF(H582="V",1,IF(H582="X",0))," ")</f>
        <v>1</v>
      </c>
      <c r="AB582" s="211">
        <f t="shared" ref="AB582:AB592" si="223">IFERROR(IF(I582="V",1,IF(I582="X",0))," ")</f>
        <v>1</v>
      </c>
      <c r="AC582" s="211">
        <f t="shared" ref="AC582:AC592" si="224">IFERROR(IF(J582="V",1,IF(J582="X",0))," ")</f>
        <v>1</v>
      </c>
      <c r="AD582" s="211">
        <f t="shared" ref="AD582:AD592" si="225">IFERROR(IF(K582="V",1,IF(K582="X",0))," ")</f>
        <v>1</v>
      </c>
      <c r="AE582" s="211">
        <f t="shared" ref="AE582:AE592" si="226">IFERROR(IF(L582="V",1,IF(L582="X",0))," ")</f>
        <v>1</v>
      </c>
    </row>
    <row r="583" spans="1:31" ht="24.95" customHeight="1" x14ac:dyDescent="0.25">
      <c r="B583" s="212">
        <f>B582+1</f>
        <v>2</v>
      </c>
      <c r="C583" s="264" t="str">
        <f t="shared" si="214"/>
        <v>PRIYO</v>
      </c>
      <c r="D583" s="213"/>
      <c r="E583" s="265" t="str">
        <f t="shared" si="215"/>
        <v>B</v>
      </c>
      <c r="F583" s="215" t="s">
        <v>36</v>
      </c>
      <c r="G583" s="215" t="s">
        <v>37</v>
      </c>
      <c r="H583" s="215" t="s">
        <v>37</v>
      </c>
      <c r="I583" s="215" t="s">
        <v>36</v>
      </c>
      <c r="J583" s="215" t="s">
        <v>37</v>
      </c>
      <c r="K583" s="215" t="s">
        <v>37</v>
      </c>
      <c r="L583" s="215" t="s">
        <v>37</v>
      </c>
      <c r="M583" s="274">
        <f t="shared" ref="M583:M592" si="227">SUM(Y583:AE583)</f>
        <v>5</v>
      </c>
      <c r="N583" s="217" t="str">
        <f t="shared" si="216"/>
        <v>Rp</v>
      </c>
      <c r="O583" s="266">
        <f t="shared" si="217"/>
        <v>125000</v>
      </c>
      <c r="P583" s="217" t="str">
        <f t="shared" si="218"/>
        <v>Rp</v>
      </c>
      <c r="Q583" s="219">
        <f t="shared" si="219"/>
        <v>625000</v>
      </c>
      <c r="R583" s="220"/>
      <c r="S583" s="221">
        <f>IF(Q583&gt;0,2,IF(Q582=0," "))</f>
        <v>2</v>
      </c>
      <c r="U583" s="211"/>
      <c r="V583" s="211"/>
      <c r="Y583" s="211">
        <f t="shared" si="220"/>
        <v>0</v>
      </c>
      <c r="Z583" s="211">
        <f t="shared" si="221"/>
        <v>1</v>
      </c>
      <c r="AA583" s="211">
        <f t="shared" si="222"/>
        <v>1</v>
      </c>
      <c r="AB583" s="211">
        <f t="shared" si="223"/>
        <v>0</v>
      </c>
      <c r="AC583" s="211">
        <f t="shared" si="224"/>
        <v>1</v>
      </c>
      <c r="AD583" s="211">
        <f t="shared" si="225"/>
        <v>1</v>
      </c>
      <c r="AE583" s="211">
        <f t="shared" si="226"/>
        <v>1</v>
      </c>
    </row>
    <row r="584" spans="1:31" ht="24.95" customHeight="1" x14ac:dyDescent="0.25">
      <c r="B584" s="212">
        <f>B583+1</f>
        <v>3</v>
      </c>
      <c r="C584" s="264" t="str">
        <f t="shared" si="214"/>
        <v>NANANG</v>
      </c>
      <c r="D584" s="213"/>
      <c r="E584" s="265" t="str">
        <f t="shared" si="215"/>
        <v>B</v>
      </c>
      <c r="F584" s="215" t="s">
        <v>36</v>
      </c>
      <c r="G584" s="215" t="s">
        <v>37</v>
      </c>
      <c r="H584" s="215" t="s">
        <v>37</v>
      </c>
      <c r="I584" s="215" t="s">
        <v>37</v>
      </c>
      <c r="J584" s="215" t="s">
        <v>37</v>
      </c>
      <c r="K584" s="215" t="s">
        <v>37</v>
      </c>
      <c r="L584" s="215" t="s">
        <v>36</v>
      </c>
      <c r="M584" s="274">
        <f t="shared" si="227"/>
        <v>5</v>
      </c>
      <c r="N584" s="217" t="str">
        <f t="shared" si="216"/>
        <v>Rp</v>
      </c>
      <c r="O584" s="266">
        <f t="shared" si="217"/>
        <v>125000</v>
      </c>
      <c r="P584" s="217" t="str">
        <f t="shared" si="218"/>
        <v>Rp</v>
      </c>
      <c r="Q584" s="219">
        <f t="shared" si="219"/>
        <v>625000</v>
      </c>
      <c r="R584" s="222">
        <f>IF(Q584&gt;0,R582+2,IF(Q584=0," "))</f>
        <v>3</v>
      </c>
      <c r="S584" s="221"/>
      <c r="U584" s="211"/>
      <c r="V584" s="211"/>
      <c r="Y584" s="211">
        <f t="shared" si="220"/>
        <v>0</v>
      </c>
      <c r="Z584" s="211">
        <f t="shared" si="221"/>
        <v>1</v>
      </c>
      <c r="AA584" s="211">
        <f t="shared" si="222"/>
        <v>1</v>
      </c>
      <c r="AB584" s="211">
        <f t="shared" si="223"/>
        <v>1</v>
      </c>
      <c r="AC584" s="211">
        <f t="shared" si="224"/>
        <v>1</v>
      </c>
      <c r="AD584" s="211">
        <f t="shared" si="225"/>
        <v>1</v>
      </c>
      <c r="AE584" s="211">
        <f t="shared" si="226"/>
        <v>0</v>
      </c>
    </row>
    <row r="585" spans="1:31" ht="24.95" customHeight="1" x14ac:dyDescent="0.25">
      <c r="B585" s="212">
        <f>B584+1</f>
        <v>4</v>
      </c>
      <c r="C585" s="264" t="str">
        <f t="shared" si="214"/>
        <v>KOIREN</v>
      </c>
      <c r="D585" s="213"/>
      <c r="E585" s="265" t="str">
        <f t="shared" si="215"/>
        <v>B</v>
      </c>
      <c r="F585" s="215" t="s">
        <v>36</v>
      </c>
      <c r="G585" s="215" t="s">
        <v>37</v>
      </c>
      <c r="H585" s="215" t="s">
        <v>37</v>
      </c>
      <c r="I585" s="215" t="s">
        <v>37</v>
      </c>
      <c r="J585" s="215" t="s">
        <v>37</v>
      </c>
      <c r="K585" s="215" t="s">
        <v>37</v>
      </c>
      <c r="L585" s="215" t="s">
        <v>37</v>
      </c>
      <c r="M585" s="274">
        <f t="shared" si="227"/>
        <v>6</v>
      </c>
      <c r="N585" s="217" t="str">
        <f t="shared" si="216"/>
        <v>Rp</v>
      </c>
      <c r="O585" s="266">
        <f t="shared" si="217"/>
        <v>125000</v>
      </c>
      <c r="P585" s="217" t="str">
        <f t="shared" si="218"/>
        <v>Rp</v>
      </c>
      <c r="Q585" s="219">
        <f t="shared" si="219"/>
        <v>750000</v>
      </c>
      <c r="R585" s="222"/>
      <c r="S585" s="223">
        <f>IF(Q585&gt;0,S583+2,IF(T585=0," "))</f>
        <v>4</v>
      </c>
      <c r="U585" s="211"/>
      <c r="V585" s="211"/>
      <c r="Y585" s="211">
        <f t="shared" si="220"/>
        <v>0</v>
      </c>
      <c r="Z585" s="211">
        <f t="shared" si="221"/>
        <v>1</v>
      </c>
      <c r="AA585" s="211">
        <f t="shared" si="222"/>
        <v>1</v>
      </c>
      <c r="AB585" s="211">
        <f t="shared" si="223"/>
        <v>1</v>
      </c>
      <c r="AC585" s="211">
        <f t="shared" si="224"/>
        <v>1</v>
      </c>
      <c r="AD585" s="211">
        <f t="shared" si="225"/>
        <v>1</v>
      </c>
      <c r="AE585" s="211">
        <f t="shared" si="226"/>
        <v>1</v>
      </c>
    </row>
    <row r="586" spans="1:31" ht="24.95" customHeight="1" x14ac:dyDescent="0.25">
      <c r="B586" s="212">
        <f t="shared" ref="B586:B592" si="228">B585+1</f>
        <v>5</v>
      </c>
      <c r="C586" s="264" t="str">
        <f t="shared" si="214"/>
        <v>MAT</v>
      </c>
      <c r="D586" s="213"/>
      <c r="E586" s="265" t="str">
        <f t="shared" si="215"/>
        <v>C</v>
      </c>
      <c r="F586" s="215" t="s">
        <v>36</v>
      </c>
      <c r="G586" s="215" t="s">
        <v>37</v>
      </c>
      <c r="H586" s="215" t="s">
        <v>36</v>
      </c>
      <c r="I586" s="215" t="s">
        <v>37</v>
      </c>
      <c r="J586" s="215" t="s">
        <v>37</v>
      </c>
      <c r="K586" s="215" t="s">
        <v>37</v>
      </c>
      <c r="L586" s="215" t="s">
        <v>37</v>
      </c>
      <c r="M586" s="274">
        <f t="shared" si="227"/>
        <v>5</v>
      </c>
      <c r="N586" s="217" t="str">
        <f t="shared" si="216"/>
        <v>Rp</v>
      </c>
      <c r="O586" s="266">
        <f t="shared" si="217"/>
        <v>100000</v>
      </c>
      <c r="P586" s="217" t="str">
        <f t="shared" si="218"/>
        <v>Rp</v>
      </c>
      <c r="Q586" s="219">
        <f t="shared" si="219"/>
        <v>500000</v>
      </c>
      <c r="R586" s="222">
        <f>IF(Q586&gt;0,R584+2,IF(Q586=0," "))</f>
        <v>5</v>
      </c>
      <c r="S586" s="221"/>
      <c r="U586" s="211"/>
      <c r="V586" s="211"/>
      <c r="Y586" s="211">
        <f t="shared" si="220"/>
        <v>0</v>
      </c>
      <c r="Z586" s="211">
        <f t="shared" si="221"/>
        <v>1</v>
      </c>
      <c r="AA586" s="211">
        <f t="shared" si="222"/>
        <v>0</v>
      </c>
      <c r="AB586" s="211">
        <f t="shared" si="223"/>
        <v>1</v>
      </c>
      <c r="AC586" s="211">
        <f t="shared" si="224"/>
        <v>1</v>
      </c>
      <c r="AD586" s="211">
        <f t="shared" si="225"/>
        <v>1</v>
      </c>
      <c r="AE586" s="211">
        <f t="shared" si="226"/>
        <v>1</v>
      </c>
    </row>
    <row r="587" spans="1:31" ht="24.95" customHeight="1" x14ac:dyDescent="0.25">
      <c r="B587" s="212">
        <f t="shared" si="228"/>
        <v>6</v>
      </c>
      <c r="C587" s="264" t="str">
        <f t="shared" si="214"/>
        <v>JUNED</v>
      </c>
      <c r="D587" s="213"/>
      <c r="E587" s="265" t="str">
        <f t="shared" si="215"/>
        <v>C</v>
      </c>
      <c r="F587" s="215" t="s">
        <v>36</v>
      </c>
      <c r="G587" s="215" t="s">
        <v>37</v>
      </c>
      <c r="H587" s="215" t="s">
        <v>37</v>
      </c>
      <c r="I587" s="215" t="s">
        <v>37</v>
      </c>
      <c r="J587" s="215" t="s">
        <v>37</v>
      </c>
      <c r="K587" s="215" t="s">
        <v>37</v>
      </c>
      <c r="L587" s="215" t="s">
        <v>37</v>
      </c>
      <c r="M587" s="274">
        <f t="shared" si="227"/>
        <v>6</v>
      </c>
      <c r="N587" s="217" t="str">
        <f t="shared" si="216"/>
        <v>Rp</v>
      </c>
      <c r="O587" s="266">
        <f t="shared" si="217"/>
        <v>100000</v>
      </c>
      <c r="P587" s="217" t="str">
        <f t="shared" si="218"/>
        <v>Rp</v>
      </c>
      <c r="Q587" s="219">
        <f t="shared" si="219"/>
        <v>600000</v>
      </c>
      <c r="R587" s="222"/>
      <c r="S587" s="223">
        <f>IF(Q587&gt;0,S585+2,IF(T587=0," "))</f>
        <v>6</v>
      </c>
      <c r="U587" s="211"/>
      <c r="V587" s="211"/>
      <c r="Y587" s="211">
        <f t="shared" si="220"/>
        <v>0</v>
      </c>
      <c r="Z587" s="211">
        <f t="shared" si="221"/>
        <v>1</v>
      </c>
      <c r="AA587" s="211">
        <f t="shared" si="222"/>
        <v>1</v>
      </c>
      <c r="AB587" s="211">
        <f t="shared" si="223"/>
        <v>1</v>
      </c>
      <c r="AC587" s="211">
        <f t="shared" si="224"/>
        <v>1</v>
      </c>
      <c r="AD587" s="211">
        <f t="shared" si="225"/>
        <v>1</v>
      </c>
      <c r="AE587" s="211">
        <f t="shared" si="226"/>
        <v>1</v>
      </c>
    </row>
    <row r="588" spans="1:31" ht="24.95" customHeight="1" x14ac:dyDescent="0.25">
      <c r="B588" s="212">
        <f t="shared" si="228"/>
        <v>7</v>
      </c>
      <c r="C588" s="264" t="str">
        <f t="shared" si="214"/>
        <v>LASITO</v>
      </c>
      <c r="D588" s="213"/>
      <c r="E588" s="265" t="str">
        <f t="shared" si="215"/>
        <v>C</v>
      </c>
      <c r="F588" s="215" t="s">
        <v>36</v>
      </c>
      <c r="G588" s="215" t="s">
        <v>37</v>
      </c>
      <c r="H588" s="215" t="s">
        <v>37</v>
      </c>
      <c r="I588" s="215" t="s">
        <v>37</v>
      </c>
      <c r="J588" s="215" t="s">
        <v>36</v>
      </c>
      <c r="K588" s="215" t="s">
        <v>37</v>
      </c>
      <c r="L588" s="215" t="s">
        <v>37</v>
      </c>
      <c r="M588" s="274">
        <f t="shared" si="227"/>
        <v>5</v>
      </c>
      <c r="N588" s="217" t="str">
        <f t="shared" si="216"/>
        <v>Rp</v>
      </c>
      <c r="O588" s="266">
        <f t="shared" si="217"/>
        <v>100000</v>
      </c>
      <c r="P588" s="217" t="str">
        <f t="shared" si="218"/>
        <v>Rp</v>
      </c>
      <c r="Q588" s="219">
        <f t="shared" si="219"/>
        <v>500000</v>
      </c>
      <c r="R588" s="222">
        <f>IF(Q588&gt;0,R586+2,IF(Q588=0," "))</f>
        <v>7</v>
      </c>
      <c r="S588" s="221"/>
      <c r="U588" s="211"/>
      <c r="V588" s="211"/>
      <c r="Y588" s="211">
        <f t="shared" si="220"/>
        <v>0</v>
      </c>
      <c r="Z588" s="211">
        <f t="shared" si="221"/>
        <v>1</v>
      </c>
      <c r="AA588" s="211">
        <f t="shared" si="222"/>
        <v>1</v>
      </c>
      <c r="AB588" s="211">
        <f t="shared" si="223"/>
        <v>1</v>
      </c>
      <c r="AC588" s="211">
        <f t="shared" si="224"/>
        <v>0</v>
      </c>
      <c r="AD588" s="211">
        <f t="shared" si="225"/>
        <v>1</v>
      </c>
      <c r="AE588" s="211">
        <f t="shared" si="226"/>
        <v>1</v>
      </c>
    </row>
    <row r="589" spans="1:31" ht="24.95" customHeight="1" x14ac:dyDescent="0.25">
      <c r="B589" s="212">
        <f t="shared" si="228"/>
        <v>8</v>
      </c>
      <c r="C589" s="264" t="str">
        <f t="shared" si="214"/>
        <v>BONANG</v>
      </c>
      <c r="D589" s="213"/>
      <c r="E589" s="265" t="str">
        <f t="shared" si="215"/>
        <v>C</v>
      </c>
      <c r="F589" s="215" t="s">
        <v>36</v>
      </c>
      <c r="G589" s="215" t="s">
        <v>37</v>
      </c>
      <c r="H589" s="215" t="s">
        <v>37</v>
      </c>
      <c r="I589" s="215" t="s">
        <v>37</v>
      </c>
      <c r="J589" s="215" t="s">
        <v>37</v>
      </c>
      <c r="K589" s="215" t="s">
        <v>36</v>
      </c>
      <c r="L589" s="215" t="s">
        <v>37</v>
      </c>
      <c r="M589" s="274">
        <f t="shared" si="227"/>
        <v>5</v>
      </c>
      <c r="N589" s="217" t="str">
        <f t="shared" si="216"/>
        <v>Rp</v>
      </c>
      <c r="O589" s="266">
        <f t="shared" si="217"/>
        <v>100000</v>
      </c>
      <c r="P589" s="217" t="str">
        <f t="shared" si="218"/>
        <v>Rp</v>
      </c>
      <c r="Q589" s="219">
        <f t="shared" si="219"/>
        <v>500000</v>
      </c>
      <c r="R589" s="222"/>
      <c r="S589" s="223">
        <f>IF(Q589&gt;0,S587+2,IF(T589=0," "))</f>
        <v>8</v>
      </c>
      <c r="U589" s="211"/>
      <c r="V589" s="211"/>
      <c r="Y589" s="211">
        <f t="shared" si="220"/>
        <v>0</v>
      </c>
      <c r="Z589" s="211">
        <f t="shared" si="221"/>
        <v>1</v>
      </c>
      <c r="AA589" s="211">
        <f t="shared" si="222"/>
        <v>1</v>
      </c>
      <c r="AB589" s="211">
        <f t="shared" si="223"/>
        <v>1</v>
      </c>
      <c r="AC589" s="211">
        <f t="shared" si="224"/>
        <v>1</v>
      </c>
      <c r="AD589" s="211">
        <f t="shared" si="225"/>
        <v>0</v>
      </c>
      <c r="AE589" s="211">
        <f t="shared" si="226"/>
        <v>1</v>
      </c>
    </row>
    <row r="590" spans="1:31" ht="24.95" customHeight="1" x14ac:dyDescent="0.25">
      <c r="B590" s="212">
        <f t="shared" si="228"/>
        <v>9</v>
      </c>
      <c r="C590" s="264">
        <f t="shared" si="214"/>
        <v>0</v>
      </c>
      <c r="D590" s="213"/>
      <c r="E590" s="265">
        <f t="shared" si="215"/>
        <v>0</v>
      </c>
      <c r="F590" s="215" t="s">
        <v>36</v>
      </c>
      <c r="G590" s="215" t="s">
        <v>37</v>
      </c>
      <c r="H590" s="215" t="s">
        <v>37</v>
      </c>
      <c r="I590" s="215" t="s">
        <v>37</v>
      </c>
      <c r="J590" s="215" t="s">
        <v>37</v>
      </c>
      <c r="K590" s="215" t="s">
        <v>37</v>
      </c>
      <c r="L590" s="215" t="s">
        <v>37</v>
      </c>
      <c r="M590" s="274">
        <f t="shared" si="227"/>
        <v>6</v>
      </c>
      <c r="N590" s="217" t="str">
        <f t="shared" si="216"/>
        <v xml:space="preserve"> </v>
      </c>
      <c r="O590" s="266">
        <f t="shared" si="217"/>
        <v>0</v>
      </c>
      <c r="P590" s="217" t="str">
        <f t="shared" si="218"/>
        <v xml:space="preserve"> </v>
      </c>
      <c r="Q590" s="219">
        <f t="shared" si="219"/>
        <v>0</v>
      </c>
      <c r="R590" s="222" t="str">
        <f>IF(Q590&gt;0,R588+2,IF(Q590=0," "))</f>
        <v xml:space="preserve"> </v>
      </c>
      <c r="S590" s="221"/>
      <c r="U590" s="211"/>
      <c r="V590" s="211"/>
      <c r="Y590" s="211">
        <f t="shared" si="220"/>
        <v>0</v>
      </c>
      <c r="Z590" s="211">
        <f t="shared" si="221"/>
        <v>1</v>
      </c>
      <c r="AA590" s="211">
        <f t="shared" si="222"/>
        <v>1</v>
      </c>
      <c r="AB590" s="211">
        <f t="shared" si="223"/>
        <v>1</v>
      </c>
      <c r="AC590" s="211">
        <f t="shared" si="224"/>
        <v>1</v>
      </c>
      <c r="AD590" s="211">
        <f t="shared" si="225"/>
        <v>1</v>
      </c>
      <c r="AE590" s="211">
        <f t="shared" si="226"/>
        <v>1</v>
      </c>
    </row>
    <row r="591" spans="1:31" ht="24.95" customHeight="1" x14ac:dyDescent="0.25">
      <c r="B591" s="212">
        <f t="shared" si="228"/>
        <v>10</v>
      </c>
      <c r="C591" s="264">
        <f t="shared" si="214"/>
        <v>0</v>
      </c>
      <c r="D591" s="213"/>
      <c r="E591" s="265">
        <f t="shared" si="215"/>
        <v>0</v>
      </c>
      <c r="F591" s="215" t="s">
        <v>36</v>
      </c>
      <c r="G591" s="215" t="s">
        <v>37</v>
      </c>
      <c r="H591" s="215" t="s">
        <v>37</v>
      </c>
      <c r="I591" s="215" t="s">
        <v>37</v>
      </c>
      <c r="J591" s="215" t="s">
        <v>37</v>
      </c>
      <c r="K591" s="215" t="s">
        <v>37</v>
      </c>
      <c r="L591" s="215" t="s">
        <v>37</v>
      </c>
      <c r="M591" s="274">
        <f t="shared" si="227"/>
        <v>6</v>
      </c>
      <c r="N591" s="217" t="str">
        <f t="shared" si="216"/>
        <v xml:space="preserve"> </v>
      </c>
      <c r="O591" s="266">
        <f t="shared" si="217"/>
        <v>0</v>
      </c>
      <c r="P591" s="217" t="str">
        <f t="shared" si="218"/>
        <v xml:space="preserve"> </v>
      </c>
      <c r="Q591" s="219">
        <f t="shared" si="219"/>
        <v>0</v>
      </c>
      <c r="R591" s="222"/>
      <c r="S591" s="223" t="str">
        <f>IF(Q591&gt;0,S589+2,IF(T591=0," "))</f>
        <v xml:space="preserve"> </v>
      </c>
      <c r="U591" s="211"/>
      <c r="V591" s="211"/>
      <c r="Y591" s="211">
        <f t="shared" si="220"/>
        <v>0</v>
      </c>
      <c r="Z591" s="211">
        <f t="shared" si="221"/>
        <v>1</v>
      </c>
      <c r="AA591" s="211">
        <f t="shared" si="222"/>
        <v>1</v>
      </c>
      <c r="AB591" s="211">
        <f t="shared" si="223"/>
        <v>1</v>
      </c>
      <c r="AC591" s="211">
        <f t="shared" si="224"/>
        <v>1</v>
      </c>
      <c r="AD591" s="211">
        <f t="shared" si="225"/>
        <v>1</v>
      </c>
      <c r="AE591" s="211">
        <f t="shared" si="226"/>
        <v>1</v>
      </c>
    </row>
    <row r="592" spans="1:31" ht="24.95" customHeight="1" x14ac:dyDescent="0.25">
      <c r="B592" s="212">
        <f t="shared" si="228"/>
        <v>11</v>
      </c>
      <c r="C592" s="264">
        <f t="shared" si="214"/>
        <v>0</v>
      </c>
      <c r="D592" s="213"/>
      <c r="E592" s="265">
        <f t="shared" si="215"/>
        <v>0</v>
      </c>
      <c r="F592" s="215" t="s">
        <v>36</v>
      </c>
      <c r="G592" s="215" t="s">
        <v>37</v>
      </c>
      <c r="H592" s="215" t="s">
        <v>37</v>
      </c>
      <c r="I592" s="215" t="s">
        <v>37</v>
      </c>
      <c r="J592" s="215" t="s">
        <v>37</v>
      </c>
      <c r="K592" s="215" t="s">
        <v>36</v>
      </c>
      <c r="L592" s="215" t="s">
        <v>37</v>
      </c>
      <c r="M592" s="274">
        <f t="shared" si="227"/>
        <v>5</v>
      </c>
      <c r="N592" s="217" t="str">
        <f t="shared" si="216"/>
        <v xml:space="preserve"> </v>
      </c>
      <c r="O592" s="266">
        <f t="shared" si="217"/>
        <v>0</v>
      </c>
      <c r="P592" s="217" t="str">
        <f t="shared" si="218"/>
        <v xml:space="preserve"> </v>
      </c>
      <c r="Q592" s="219">
        <f t="shared" si="219"/>
        <v>0</v>
      </c>
      <c r="R592" s="222" t="str">
        <f>IF(Q592&gt;0,R590+2,IF(Q592=0," "))</f>
        <v xml:space="preserve"> </v>
      </c>
      <c r="S592" s="221"/>
      <c r="U592" s="211"/>
      <c r="V592" s="211"/>
      <c r="Y592" s="211">
        <f t="shared" si="220"/>
        <v>0</v>
      </c>
      <c r="Z592" s="211">
        <f t="shared" si="221"/>
        <v>1</v>
      </c>
      <c r="AA592" s="211">
        <f t="shared" si="222"/>
        <v>1</v>
      </c>
      <c r="AB592" s="211">
        <f t="shared" si="223"/>
        <v>1</v>
      </c>
      <c r="AC592" s="211">
        <f t="shared" si="224"/>
        <v>1</v>
      </c>
      <c r="AD592" s="211">
        <f t="shared" si="225"/>
        <v>0</v>
      </c>
      <c r="AE592" s="211">
        <f t="shared" si="226"/>
        <v>1</v>
      </c>
    </row>
    <row r="593" spans="1:22" ht="24.95" customHeight="1" thickBot="1" x14ac:dyDescent="0.25">
      <c r="B593" s="233"/>
      <c r="C593" s="257"/>
      <c r="D593" s="235"/>
      <c r="E593" s="236"/>
      <c r="F593" s="237"/>
      <c r="G593" s="238"/>
      <c r="H593" s="239"/>
      <c r="I593" s="239"/>
      <c r="J593" s="240"/>
      <c r="K593" s="240"/>
      <c r="L593" s="240"/>
      <c r="M593" s="259"/>
      <c r="N593" s="242"/>
      <c r="O593" s="258"/>
      <c r="P593" s="244"/>
      <c r="Q593" s="236"/>
      <c r="R593" s="246"/>
      <c r="S593" s="247"/>
      <c r="U593" s="211"/>
      <c r="V593" s="211"/>
    </row>
    <row r="594" spans="1:22" ht="20.100000000000001" customHeight="1" thickTop="1" thickBot="1" x14ac:dyDescent="0.3">
      <c r="A594" s="179">
        <f>A556+1</f>
        <v>16</v>
      </c>
      <c r="B594" s="248"/>
      <c r="C594" s="249"/>
      <c r="D594" s="249"/>
      <c r="E594" s="249"/>
      <c r="F594" s="249"/>
      <c r="G594" s="249"/>
      <c r="H594" s="249"/>
      <c r="I594" s="249"/>
      <c r="J594" s="249"/>
      <c r="K594" s="249"/>
      <c r="L594" s="249"/>
      <c r="M594" s="249"/>
      <c r="N594" s="249"/>
      <c r="O594" s="250" t="s">
        <v>40</v>
      </c>
      <c r="P594" s="249"/>
      <c r="Q594" s="710">
        <f>SUM(Q582:Q593)</f>
        <v>4880000</v>
      </c>
      <c r="R594" s="711"/>
      <c r="S594" s="712"/>
      <c r="U594" s="226" t="e">
        <f>VLOOKUP(A594,'Rekap Gaji'!$B$12:$P$24,10,FALSE)</f>
        <v>#N/A</v>
      </c>
      <c r="V594" s="251" t="e">
        <f>U594-Q594</f>
        <v>#N/A</v>
      </c>
    </row>
    <row r="595" spans="1:22" ht="11.25" customHeight="1" x14ac:dyDescent="0.25"/>
    <row r="596" spans="1:22" ht="16.5" customHeight="1" x14ac:dyDescent="0.25">
      <c r="B596" s="195" t="s">
        <v>41</v>
      </c>
      <c r="C596" s="140" t="s">
        <v>42</v>
      </c>
    </row>
    <row r="597" spans="1:22" ht="14.25" x14ac:dyDescent="0.25">
      <c r="G597" s="183"/>
      <c r="H597" s="182"/>
      <c r="M597" s="141"/>
      <c r="N597" s="141"/>
      <c r="Q597" s="140" t="str">
        <f>'BKU 1'!$I$25</f>
        <v>NGANTANG</v>
      </c>
      <c r="R597" s="713" t="str">
        <f>IFERROR(VLOOKUP(E576,'Rekap Gaji'!$B$12:$P$24,7,FALSE),"-")</f>
        <v>-</v>
      </c>
      <c r="S597" s="713"/>
      <c r="T597" s="252"/>
      <c r="U597" s="252"/>
    </row>
    <row r="598" spans="1:22" ht="15.75" x14ac:dyDescent="0.25">
      <c r="C598" s="140" t="s">
        <v>43</v>
      </c>
      <c r="F598" s="253"/>
      <c r="G598" s="254"/>
      <c r="H598" s="255"/>
      <c r="I598" s="256"/>
      <c r="J598" s="225" t="s">
        <v>44</v>
      </c>
      <c r="K598" s="253"/>
      <c r="M598" s="141"/>
      <c r="N598" s="141"/>
      <c r="Q598" s="140" t="str">
        <f>'BKU 1'!$L$354</f>
        <v>Dibuat Oleh ;</v>
      </c>
      <c r="R598" s="141"/>
    </row>
    <row r="599" spans="1:22" ht="14.25" x14ac:dyDescent="0.25">
      <c r="C599" s="140" t="str">
        <f>'BKU 1'!$C$355</f>
        <v>Kepala Sekolah SDN 1 SIDODADI</v>
      </c>
      <c r="F599" s="187"/>
      <c r="G599" s="224"/>
      <c r="H599" s="182"/>
      <c r="I599" s="183"/>
      <c r="J599" s="140" t="s">
        <v>45</v>
      </c>
      <c r="K599" s="187"/>
      <c r="Q599" s="140" t="str">
        <f>'BKU 1'!$L$355</f>
        <v>Bendahara Pembangunan</v>
      </c>
      <c r="R599" s="141"/>
    </row>
    <row r="600" spans="1:22" ht="14.25" x14ac:dyDescent="0.25">
      <c r="F600" s="187"/>
      <c r="G600" s="224"/>
      <c r="H600" s="182"/>
      <c r="I600" s="183"/>
      <c r="K600" s="187"/>
      <c r="Q600" s="140"/>
      <c r="R600" s="141"/>
    </row>
    <row r="601" spans="1:22" ht="14.25" x14ac:dyDescent="0.25">
      <c r="F601" s="187"/>
      <c r="G601" s="224"/>
      <c r="H601" s="182"/>
      <c r="I601" s="183"/>
      <c r="K601" s="187"/>
      <c r="Q601" s="140"/>
      <c r="R601" s="141"/>
    </row>
    <row r="602" spans="1:22" ht="14.25" x14ac:dyDescent="0.25">
      <c r="F602" s="187"/>
      <c r="G602" s="224"/>
      <c r="H602" s="182"/>
      <c r="I602" s="183"/>
      <c r="K602" s="187"/>
      <c r="Q602" s="140"/>
      <c r="R602" s="141"/>
    </row>
    <row r="603" spans="1:22" ht="14.25" x14ac:dyDescent="0.25">
      <c r="F603" s="187"/>
      <c r="G603" s="224"/>
      <c r="H603" s="182"/>
      <c r="I603" s="183"/>
      <c r="K603" s="187"/>
      <c r="Q603" s="140"/>
      <c r="R603" s="141"/>
    </row>
    <row r="604" spans="1:22" x14ac:dyDescent="0.25">
      <c r="G604" s="225"/>
      <c r="Q604" s="140"/>
    </row>
    <row r="605" spans="1:22" x14ac:dyDescent="0.25">
      <c r="G605" s="225"/>
      <c r="Q605" s="140"/>
    </row>
    <row r="606" spans="1:22" s="189" customFormat="1" ht="15" customHeight="1" x14ac:dyDescent="0.25">
      <c r="A606" s="192"/>
      <c r="B606" s="195"/>
      <c r="C606" s="227" t="str">
        <f>'BKU 1'!$C$360</f>
        <v>MELIA FITRIANI, S.Pd.SD</v>
      </c>
      <c r="D606" s="227"/>
      <c r="G606" s="228"/>
      <c r="H606" s="195"/>
      <c r="I606" s="194"/>
      <c r="J606" s="229">
        <f>'BKU 1'!$G$360</f>
        <v>0</v>
      </c>
      <c r="Q606" s="227" t="str">
        <f>'BKU 1'!$L$360</f>
        <v>ARIF NUR UDIN, S.Pd.SD</v>
      </c>
      <c r="S606" s="230"/>
      <c r="U606" s="231"/>
      <c r="V606" s="231"/>
    </row>
    <row r="607" spans="1:22" s="189" customFormat="1" ht="15" customHeight="1" x14ac:dyDescent="0.25">
      <c r="A607" s="192"/>
      <c r="B607" s="195"/>
      <c r="C607" s="140" t="str">
        <f>'BKU 1'!$C$361</f>
        <v>NIP. 19850619 200904 2 000</v>
      </c>
      <c r="D607" s="140"/>
      <c r="E607" s="140"/>
      <c r="F607" s="140"/>
      <c r="G607" s="225"/>
      <c r="H607" s="191"/>
      <c r="I607" s="190"/>
      <c r="J607" s="232">
        <f>'BKU 1'!$G$361</f>
        <v>0</v>
      </c>
      <c r="K607" s="140"/>
      <c r="M607" s="140"/>
      <c r="N607" s="140"/>
      <c r="O607" s="140"/>
      <c r="P607" s="140"/>
      <c r="Q607" s="140" t="str">
        <f>'BKU 1'!$L$361</f>
        <v>NIP. 19840719 200903 1 002</v>
      </c>
      <c r="S607" s="230"/>
      <c r="U607" s="231"/>
      <c r="V607" s="231"/>
    </row>
    <row r="608" spans="1:22" ht="6" customHeight="1" x14ac:dyDescent="0.25"/>
    <row r="609" spans="1:31" s="177" customFormat="1" ht="24.95" customHeight="1" x14ac:dyDescent="0.25">
      <c r="A609" s="176"/>
      <c r="B609" s="726" t="s">
        <v>6</v>
      </c>
      <c r="C609" s="726"/>
      <c r="D609" s="726"/>
      <c r="E609" s="726"/>
      <c r="F609" s="726"/>
      <c r="G609" s="726"/>
      <c r="H609" s="726"/>
      <c r="I609" s="726"/>
      <c r="J609" s="726"/>
      <c r="K609" s="726"/>
      <c r="L609" s="726"/>
      <c r="M609" s="726"/>
      <c r="N609" s="726"/>
      <c r="O609" s="726"/>
      <c r="P609" s="726"/>
      <c r="Q609" s="726"/>
      <c r="R609" s="726"/>
      <c r="S609" s="726"/>
      <c r="U609" s="178"/>
      <c r="V609" s="178"/>
    </row>
    <row r="610" spans="1:31" s="177" customFormat="1" ht="24.95" customHeight="1" x14ac:dyDescent="0.25">
      <c r="A610" s="176"/>
      <c r="B610" s="726" t="str">
        <f>'BKU 1'!$D$22</f>
        <v>PEMBANGUNAN TOILET BESERTA SANITASINYA</v>
      </c>
      <c r="C610" s="726"/>
      <c r="D610" s="726"/>
      <c r="E610" s="726"/>
      <c r="F610" s="726"/>
      <c r="G610" s="726"/>
      <c r="H610" s="726"/>
      <c r="I610" s="726"/>
      <c r="J610" s="726"/>
      <c r="K610" s="726"/>
      <c r="L610" s="726"/>
      <c r="M610" s="726"/>
      <c r="N610" s="726"/>
      <c r="O610" s="726"/>
      <c r="P610" s="726"/>
      <c r="Q610" s="726"/>
      <c r="R610" s="726"/>
      <c r="S610" s="726"/>
      <c r="U610" s="178"/>
      <c r="V610" s="178"/>
    </row>
    <row r="611" spans="1:31" s="184" customFormat="1" ht="30.75" customHeight="1" x14ac:dyDescent="0.25">
      <c r="A611" s="179"/>
      <c r="B611" s="180"/>
      <c r="C611" s="181"/>
      <c r="D611" s="181"/>
      <c r="E611" s="181"/>
      <c r="F611" s="182"/>
      <c r="G611" s="183"/>
      <c r="H611" s="182"/>
      <c r="I611" s="183"/>
      <c r="J611" s="182"/>
      <c r="K611" s="182"/>
      <c r="L611" s="182"/>
      <c r="M611" s="181"/>
      <c r="N611" s="181"/>
      <c r="Q611" s="180"/>
      <c r="R611" s="140"/>
      <c r="S611" s="185"/>
      <c r="U611" s="186"/>
      <c r="V611" s="186"/>
    </row>
    <row r="612" spans="1:31" s="184" customFormat="1" ht="14.25" x14ac:dyDescent="0.25">
      <c r="A612" s="179"/>
      <c r="B612" s="185" t="s">
        <v>7</v>
      </c>
      <c r="D612" s="184" t="s">
        <v>49</v>
      </c>
      <c r="E612" s="184" t="str">
        <f>'BKU 1'!$D$25</f>
        <v>SDN 1 SIDODADI</v>
      </c>
      <c r="F612" s="140"/>
      <c r="G612" s="183"/>
      <c r="H612" s="182"/>
      <c r="I612" s="183"/>
      <c r="J612" s="187"/>
      <c r="K612" s="187"/>
      <c r="L612" s="187"/>
      <c r="M612" s="188"/>
      <c r="N612" s="188"/>
      <c r="Q612" s="180"/>
      <c r="R612" s="189" t="s">
        <v>8</v>
      </c>
      <c r="S612" s="185"/>
      <c r="U612" s="186"/>
      <c r="V612" s="186"/>
    </row>
    <row r="613" spans="1:31" s="184" customFormat="1" x14ac:dyDescent="0.25">
      <c r="A613" s="179"/>
      <c r="B613" s="185" t="s">
        <v>9</v>
      </c>
      <c r="D613" s="184" t="s">
        <v>49</v>
      </c>
      <c r="E613" s="184" t="str">
        <f>'BKU 1'!$D$26</f>
        <v>Jl. Kawi No.36 Rt. 1 Rw. 1 Dusun Sekar, Rt / Rw : 1 / 1, Dusun : Sekar, Kelurahan : Sidodadi</v>
      </c>
      <c r="F613" s="140"/>
      <c r="G613" s="190"/>
      <c r="H613" s="191"/>
      <c r="I613" s="190"/>
      <c r="J613" s="140"/>
      <c r="K613" s="140"/>
      <c r="L613" s="140"/>
      <c r="Q613" s="180"/>
      <c r="R613" s="140" t="s">
        <v>10</v>
      </c>
      <c r="S613" s="185" t="s">
        <v>11</v>
      </c>
      <c r="U613" s="186"/>
      <c r="V613" s="186"/>
    </row>
    <row r="614" spans="1:31" s="184" customFormat="1" x14ac:dyDescent="0.25">
      <c r="A614" s="179"/>
      <c r="B614" s="185" t="s">
        <v>12</v>
      </c>
      <c r="D614" s="184" t="s">
        <v>49</v>
      </c>
      <c r="E614" s="180">
        <f>E576+1</f>
        <v>17</v>
      </c>
      <c r="F614" s="140"/>
      <c r="G614" s="727" t="str">
        <f>IFERROR(VLOOKUP(E614,'Rekap Gaji'!$B$12:$P$24,14,FALSE),"-")</f>
        <v>-</v>
      </c>
      <c r="H614" s="727"/>
      <c r="I614" s="727"/>
      <c r="J614" s="140"/>
      <c r="K614" s="140"/>
      <c r="L614" s="140"/>
      <c r="Q614" s="180"/>
      <c r="R614" s="140" t="s">
        <v>13</v>
      </c>
      <c r="S614" s="185" t="s">
        <v>14</v>
      </c>
      <c r="U614" s="186"/>
      <c r="V614" s="186"/>
    </row>
    <row r="615" spans="1:31" s="184" customFormat="1" ht="15" customHeight="1" x14ac:dyDescent="0.25">
      <c r="A615" s="179"/>
      <c r="B615" s="185" t="s">
        <v>0</v>
      </c>
      <c r="D615" s="184" t="s">
        <v>49</v>
      </c>
      <c r="E615" s="728" t="str">
        <f>IFERROR(VLOOKUP(E614,'Rekap Gaji'!$B$12:$P$24,4,FALSE),"-")</f>
        <v>-</v>
      </c>
      <c r="F615" s="728"/>
      <c r="G615" s="728"/>
      <c r="H615" s="728"/>
      <c r="I615" s="727" t="s">
        <v>76</v>
      </c>
      <c r="J615" s="727"/>
      <c r="K615" s="728" t="str">
        <f>IFERROR(VLOOKUP(E614,'Rekap Gaji'!$B$12:$P$24,6,FALSE),"-")</f>
        <v>-</v>
      </c>
      <c r="L615" s="728"/>
      <c r="M615" s="728"/>
      <c r="N615" s="728"/>
      <c r="Q615" s="180"/>
      <c r="R615" s="140" t="s">
        <v>15</v>
      </c>
      <c r="S615" s="185" t="s">
        <v>16</v>
      </c>
      <c r="U615" s="186"/>
      <c r="V615" s="186"/>
    </row>
    <row r="616" spans="1:31" s="188" customFormat="1" ht="8.1" customHeight="1" thickBot="1" x14ac:dyDescent="0.3">
      <c r="A616" s="192"/>
      <c r="B616" s="193"/>
      <c r="F616" s="189"/>
      <c r="G616" s="194"/>
      <c r="H616" s="195"/>
      <c r="I616" s="194"/>
      <c r="J616" s="189"/>
      <c r="K616" s="189"/>
      <c r="L616" s="189"/>
      <c r="Q616" s="193"/>
      <c r="R616" s="189"/>
      <c r="S616" s="196"/>
      <c r="U616" s="197"/>
      <c r="V616" s="197"/>
    </row>
    <row r="617" spans="1:31" ht="15" customHeight="1" x14ac:dyDescent="0.25">
      <c r="B617" s="729" t="s">
        <v>17</v>
      </c>
      <c r="C617" s="717" t="s">
        <v>18</v>
      </c>
      <c r="D617" s="732"/>
      <c r="E617" s="268" t="s">
        <v>19</v>
      </c>
      <c r="F617" s="717" t="s">
        <v>20</v>
      </c>
      <c r="G617" s="734"/>
      <c r="H617" s="734"/>
      <c r="I617" s="734"/>
      <c r="J617" s="734"/>
      <c r="K617" s="734"/>
      <c r="L617" s="732"/>
      <c r="M617" s="267" t="s">
        <v>2</v>
      </c>
      <c r="N617" s="717" t="s">
        <v>21</v>
      </c>
      <c r="O617" s="732"/>
      <c r="P617" s="717" t="s">
        <v>22</v>
      </c>
      <c r="Q617" s="732"/>
      <c r="R617" s="717" t="s">
        <v>23</v>
      </c>
      <c r="S617" s="718"/>
    </row>
    <row r="618" spans="1:31" ht="15" customHeight="1" x14ac:dyDescent="0.25">
      <c r="B618" s="730"/>
      <c r="C618" s="719"/>
      <c r="D618" s="725"/>
      <c r="E618" s="270" t="s">
        <v>24</v>
      </c>
      <c r="F618" s="723" t="s">
        <v>25</v>
      </c>
      <c r="G618" s="723" t="s">
        <v>26</v>
      </c>
      <c r="H618" s="723" t="s">
        <v>26</v>
      </c>
      <c r="I618" s="723" t="s">
        <v>27</v>
      </c>
      <c r="J618" s="723" t="s">
        <v>28</v>
      </c>
      <c r="K618" s="723" t="s">
        <v>29</v>
      </c>
      <c r="L618" s="723" t="s">
        <v>26</v>
      </c>
      <c r="M618" s="269" t="s">
        <v>30</v>
      </c>
      <c r="N618" s="719" t="s">
        <v>31</v>
      </c>
      <c r="O618" s="725"/>
      <c r="P618" s="719" t="s">
        <v>31</v>
      </c>
      <c r="Q618" s="725"/>
      <c r="R618" s="719"/>
      <c r="S618" s="720"/>
    </row>
    <row r="619" spans="1:31" ht="15" customHeight="1" thickBot="1" x14ac:dyDescent="0.3">
      <c r="B619" s="731"/>
      <c r="C619" s="721"/>
      <c r="D619" s="733"/>
      <c r="E619" s="272" t="s">
        <v>32</v>
      </c>
      <c r="F619" s="724"/>
      <c r="G619" s="724"/>
      <c r="H619" s="724"/>
      <c r="I619" s="724"/>
      <c r="J619" s="724"/>
      <c r="K619" s="724"/>
      <c r="L619" s="724"/>
      <c r="M619" s="271" t="s">
        <v>31</v>
      </c>
      <c r="N619" s="721" t="s">
        <v>33</v>
      </c>
      <c r="O619" s="733"/>
      <c r="P619" s="721" t="s">
        <v>34</v>
      </c>
      <c r="Q619" s="733"/>
      <c r="R619" s="721"/>
      <c r="S619" s="722"/>
    </row>
    <row r="620" spans="1:31" ht="24.95" customHeight="1" x14ac:dyDescent="0.25">
      <c r="B620" s="201">
        <v>1</v>
      </c>
      <c r="C620" s="261" t="str">
        <f t="shared" ref="C620:C630" si="229">IFERROR(C582," ")</f>
        <v>KHUSNUL</v>
      </c>
      <c r="D620" s="203"/>
      <c r="E620" s="262" t="str">
        <f t="shared" ref="E620:E630" si="230">IFERROR(E582," ")</f>
        <v>A</v>
      </c>
      <c r="F620" s="215" t="s">
        <v>36</v>
      </c>
      <c r="G620" s="215" t="s">
        <v>37</v>
      </c>
      <c r="H620" s="215" t="s">
        <v>37</v>
      </c>
      <c r="I620" s="215" t="s">
        <v>37</v>
      </c>
      <c r="J620" s="215" t="s">
        <v>37</v>
      </c>
      <c r="K620" s="215" t="s">
        <v>37</v>
      </c>
      <c r="L620" s="215" t="s">
        <v>37</v>
      </c>
      <c r="M620" s="273">
        <f>SUM(Y620:AE620)</f>
        <v>6</v>
      </c>
      <c r="N620" s="207" t="str">
        <f t="shared" ref="N620:N630" si="231">IF(O620&gt;0,"Rp",IF(O620=0," "))</f>
        <v>Rp</v>
      </c>
      <c r="O620" s="263">
        <f t="shared" ref="O620:O630" si="232">IFERROR(O582," ")</f>
        <v>130000</v>
      </c>
      <c r="P620" s="207" t="str">
        <f t="shared" ref="P620:P630" si="233">IF(Q620&gt;0,"Rp",IF(Q620=0," "))</f>
        <v>Rp</v>
      </c>
      <c r="Q620" s="208">
        <f t="shared" ref="Q620:Q630" si="234">O620*M620</f>
        <v>780000</v>
      </c>
      <c r="R620" s="209">
        <f>IF(Q620&gt;0,1,IF(Q620=0," "))</f>
        <v>1</v>
      </c>
      <c r="S620" s="210"/>
      <c r="U620" s="260"/>
      <c r="V620" s="140"/>
      <c r="Y620" s="211">
        <f t="shared" ref="Y620:Y630" si="235">IFERROR(IF(F620="V",1,IF(F620="X",0))," ")</f>
        <v>0</v>
      </c>
      <c r="Z620" s="211">
        <f t="shared" ref="Z620:Z630" si="236">IFERROR(IF(G620="V",1,IF(G620="X",0))," ")</f>
        <v>1</v>
      </c>
      <c r="AA620" s="211">
        <f t="shared" ref="AA620:AA630" si="237">IFERROR(IF(H620="V",1,IF(H620="X",0))," ")</f>
        <v>1</v>
      </c>
      <c r="AB620" s="211">
        <f t="shared" ref="AB620:AB630" si="238">IFERROR(IF(I620="V",1,IF(I620="X",0))," ")</f>
        <v>1</v>
      </c>
      <c r="AC620" s="211">
        <f t="shared" ref="AC620:AC630" si="239">IFERROR(IF(J620="V",1,IF(J620="X",0))," ")</f>
        <v>1</v>
      </c>
      <c r="AD620" s="211">
        <f t="shared" ref="AD620:AD630" si="240">IFERROR(IF(K620="V",1,IF(K620="X",0))," ")</f>
        <v>1</v>
      </c>
      <c r="AE620" s="211">
        <f t="shared" ref="AE620:AE630" si="241">IFERROR(IF(L620="V",1,IF(L620="X",0))," ")</f>
        <v>1</v>
      </c>
    </row>
    <row r="621" spans="1:31" ht="24.95" customHeight="1" x14ac:dyDescent="0.25">
      <c r="B621" s="212">
        <f>B620+1</f>
        <v>2</v>
      </c>
      <c r="C621" s="264" t="str">
        <f t="shared" si="229"/>
        <v>PRIYO</v>
      </c>
      <c r="D621" s="213"/>
      <c r="E621" s="265" t="str">
        <f t="shared" si="230"/>
        <v>B</v>
      </c>
      <c r="F621" s="215" t="s">
        <v>36</v>
      </c>
      <c r="G621" s="215" t="s">
        <v>37</v>
      </c>
      <c r="H621" s="215" t="s">
        <v>37</v>
      </c>
      <c r="I621" s="215" t="s">
        <v>37</v>
      </c>
      <c r="J621" s="215" t="s">
        <v>37</v>
      </c>
      <c r="K621" s="215" t="s">
        <v>37</v>
      </c>
      <c r="L621" s="215" t="s">
        <v>37</v>
      </c>
      <c r="M621" s="274">
        <f t="shared" ref="M621:M630" si="242">SUM(Y621:AE621)</f>
        <v>6</v>
      </c>
      <c r="N621" s="217" t="str">
        <f t="shared" si="231"/>
        <v>Rp</v>
      </c>
      <c r="O621" s="266">
        <f t="shared" si="232"/>
        <v>125000</v>
      </c>
      <c r="P621" s="217" t="str">
        <f t="shared" si="233"/>
        <v>Rp</v>
      </c>
      <c r="Q621" s="219">
        <f t="shared" si="234"/>
        <v>750000</v>
      </c>
      <c r="R621" s="220"/>
      <c r="S621" s="221">
        <f>IF(Q621&gt;0,2,IF(Q620=0," "))</f>
        <v>2</v>
      </c>
      <c r="U621" s="211"/>
      <c r="V621" s="211"/>
      <c r="Y621" s="211">
        <f t="shared" si="235"/>
        <v>0</v>
      </c>
      <c r="Z621" s="211">
        <f t="shared" si="236"/>
        <v>1</v>
      </c>
      <c r="AA621" s="211">
        <f t="shared" si="237"/>
        <v>1</v>
      </c>
      <c r="AB621" s="211">
        <f t="shared" si="238"/>
        <v>1</v>
      </c>
      <c r="AC621" s="211">
        <f t="shared" si="239"/>
        <v>1</v>
      </c>
      <c r="AD621" s="211">
        <f t="shared" si="240"/>
        <v>1</v>
      </c>
      <c r="AE621" s="211">
        <f t="shared" si="241"/>
        <v>1</v>
      </c>
    </row>
    <row r="622" spans="1:31" ht="24.95" customHeight="1" x14ac:dyDescent="0.25">
      <c r="B622" s="212">
        <f>B621+1</f>
        <v>3</v>
      </c>
      <c r="C622" s="264" t="str">
        <f t="shared" si="229"/>
        <v>NANANG</v>
      </c>
      <c r="D622" s="213"/>
      <c r="E622" s="265" t="str">
        <f t="shared" si="230"/>
        <v>B</v>
      </c>
      <c r="F622" s="215" t="s">
        <v>36</v>
      </c>
      <c r="G622" s="215" t="s">
        <v>37</v>
      </c>
      <c r="H622" s="215" t="s">
        <v>37</v>
      </c>
      <c r="I622" s="215" t="s">
        <v>37</v>
      </c>
      <c r="J622" s="215" t="s">
        <v>36</v>
      </c>
      <c r="K622" s="215" t="s">
        <v>37</v>
      </c>
      <c r="L622" s="215" t="s">
        <v>37</v>
      </c>
      <c r="M622" s="274">
        <f t="shared" si="242"/>
        <v>5</v>
      </c>
      <c r="N622" s="217" t="str">
        <f t="shared" si="231"/>
        <v>Rp</v>
      </c>
      <c r="O622" s="266">
        <f t="shared" si="232"/>
        <v>125000</v>
      </c>
      <c r="P622" s="217" t="str">
        <f t="shared" si="233"/>
        <v>Rp</v>
      </c>
      <c r="Q622" s="219">
        <f t="shared" si="234"/>
        <v>625000</v>
      </c>
      <c r="R622" s="222">
        <f>IF(Q622&gt;0,R620+2,IF(Q622=0," "))</f>
        <v>3</v>
      </c>
      <c r="S622" s="221"/>
      <c r="U622" s="211"/>
      <c r="V622" s="211"/>
      <c r="Y622" s="211">
        <f t="shared" si="235"/>
        <v>0</v>
      </c>
      <c r="Z622" s="211">
        <f t="shared" si="236"/>
        <v>1</v>
      </c>
      <c r="AA622" s="211">
        <f t="shared" si="237"/>
        <v>1</v>
      </c>
      <c r="AB622" s="211">
        <f t="shared" si="238"/>
        <v>1</v>
      </c>
      <c r="AC622" s="211">
        <f t="shared" si="239"/>
        <v>0</v>
      </c>
      <c r="AD622" s="211">
        <f t="shared" si="240"/>
        <v>1</v>
      </c>
      <c r="AE622" s="211">
        <f t="shared" si="241"/>
        <v>1</v>
      </c>
    </row>
    <row r="623" spans="1:31" ht="24.95" customHeight="1" x14ac:dyDescent="0.25">
      <c r="B623" s="212">
        <f>B622+1</f>
        <v>4</v>
      </c>
      <c r="C623" s="264" t="str">
        <f t="shared" si="229"/>
        <v>KOIREN</v>
      </c>
      <c r="D623" s="213"/>
      <c r="E623" s="265" t="str">
        <f t="shared" si="230"/>
        <v>B</v>
      </c>
      <c r="F623" s="215" t="s">
        <v>36</v>
      </c>
      <c r="G623" s="215" t="s">
        <v>37</v>
      </c>
      <c r="H623" s="215" t="s">
        <v>37</v>
      </c>
      <c r="I623" s="215" t="s">
        <v>37</v>
      </c>
      <c r="J623" s="215" t="s">
        <v>37</v>
      </c>
      <c r="K623" s="215" t="s">
        <v>37</v>
      </c>
      <c r="L623" s="215" t="s">
        <v>37</v>
      </c>
      <c r="M623" s="274">
        <f t="shared" si="242"/>
        <v>6</v>
      </c>
      <c r="N623" s="217" t="str">
        <f t="shared" si="231"/>
        <v>Rp</v>
      </c>
      <c r="O623" s="266">
        <f t="shared" si="232"/>
        <v>125000</v>
      </c>
      <c r="P623" s="217" t="str">
        <f t="shared" si="233"/>
        <v>Rp</v>
      </c>
      <c r="Q623" s="219">
        <f t="shared" si="234"/>
        <v>750000</v>
      </c>
      <c r="R623" s="222"/>
      <c r="S623" s="223">
        <f>IF(Q623&gt;0,S621+2,IF(T623=0," "))</f>
        <v>4</v>
      </c>
      <c r="U623" s="211"/>
      <c r="V623" s="211"/>
      <c r="Y623" s="211">
        <f t="shared" si="235"/>
        <v>0</v>
      </c>
      <c r="Z623" s="211">
        <f t="shared" si="236"/>
        <v>1</v>
      </c>
      <c r="AA623" s="211">
        <f t="shared" si="237"/>
        <v>1</v>
      </c>
      <c r="AB623" s="211">
        <f t="shared" si="238"/>
        <v>1</v>
      </c>
      <c r="AC623" s="211">
        <f t="shared" si="239"/>
        <v>1</v>
      </c>
      <c r="AD623" s="211">
        <f t="shared" si="240"/>
        <v>1</v>
      </c>
      <c r="AE623" s="211">
        <f t="shared" si="241"/>
        <v>1</v>
      </c>
    </row>
    <row r="624" spans="1:31" ht="24.95" customHeight="1" x14ac:dyDescent="0.25">
      <c r="B624" s="212">
        <f t="shared" ref="B624:B630" si="243">B623+1</f>
        <v>5</v>
      </c>
      <c r="C624" s="264" t="str">
        <f t="shared" si="229"/>
        <v>MAT</v>
      </c>
      <c r="D624" s="213"/>
      <c r="E624" s="265" t="str">
        <f t="shared" si="230"/>
        <v>C</v>
      </c>
      <c r="F624" s="215" t="s">
        <v>36</v>
      </c>
      <c r="G624" s="215" t="s">
        <v>37</v>
      </c>
      <c r="H624" s="215" t="s">
        <v>36</v>
      </c>
      <c r="I624" s="215" t="s">
        <v>36</v>
      </c>
      <c r="J624" s="215" t="s">
        <v>37</v>
      </c>
      <c r="K624" s="215" t="s">
        <v>37</v>
      </c>
      <c r="L624" s="215" t="s">
        <v>37</v>
      </c>
      <c r="M624" s="274">
        <f t="shared" si="242"/>
        <v>4</v>
      </c>
      <c r="N624" s="217" t="str">
        <f t="shared" si="231"/>
        <v>Rp</v>
      </c>
      <c r="O624" s="266">
        <f t="shared" si="232"/>
        <v>100000</v>
      </c>
      <c r="P624" s="217" t="str">
        <f t="shared" si="233"/>
        <v>Rp</v>
      </c>
      <c r="Q624" s="219">
        <f t="shared" si="234"/>
        <v>400000</v>
      </c>
      <c r="R624" s="222">
        <f>IF(Q624&gt;0,R622+2,IF(Q624=0," "))</f>
        <v>5</v>
      </c>
      <c r="S624" s="221"/>
      <c r="U624" s="211"/>
      <c r="V624" s="211"/>
      <c r="Y624" s="211">
        <f t="shared" si="235"/>
        <v>0</v>
      </c>
      <c r="Z624" s="211">
        <f t="shared" si="236"/>
        <v>1</v>
      </c>
      <c r="AA624" s="211">
        <f t="shared" si="237"/>
        <v>0</v>
      </c>
      <c r="AB624" s="211">
        <f t="shared" si="238"/>
        <v>0</v>
      </c>
      <c r="AC624" s="211">
        <f t="shared" si="239"/>
        <v>1</v>
      </c>
      <c r="AD624" s="211">
        <f t="shared" si="240"/>
        <v>1</v>
      </c>
      <c r="AE624" s="211">
        <f t="shared" si="241"/>
        <v>1</v>
      </c>
    </row>
    <row r="625" spans="1:31" ht="24.95" customHeight="1" x14ac:dyDescent="0.25">
      <c r="B625" s="212">
        <f t="shared" si="243"/>
        <v>6</v>
      </c>
      <c r="C625" s="264" t="str">
        <f t="shared" si="229"/>
        <v>JUNED</v>
      </c>
      <c r="D625" s="213"/>
      <c r="E625" s="265" t="str">
        <f t="shared" si="230"/>
        <v>C</v>
      </c>
      <c r="F625" s="215" t="s">
        <v>36</v>
      </c>
      <c r="G625" s="215" t="s">
        <v>37</v>
      </c>
      <c r="H625" s="215" t="s">
        <v>37</v>
      </c>
      <c r="I625" s="215" t="s">
        <v>37</v>
      </c>
      <c r="J625" s="215" t="s">
        <v>37</v>
      </c>
      <c r="K625" s="215" t="s">
        <v>37</v>
      </c>
      <c r="L625" s="215" t="s">
        <v>37</v>
      </c>
      <c r="M625" s="274">
        <f t="shared" si="242"/>
        <v>6</v>
      </c>
      <c r="N625" s="217" t="str">
        <f t="shared" si="231"/>
        <v>Rp</v>
      </c>
      <c r="O625" s="266">
        <f t="shared" si="232"/>
        <v>100000</v>
      </c>
      <c r="P625" s="217" t="str">
        <f t="shared" si="233"/>
        <v>Rp</v>
      </c>
      <c r="Q625" s="219">
        <f t="shared" si="234"/>
        <v>600000</v>
      </c>
      <c r="R625" s="222"/>
      <c r="S625" s="223">
        <f>IF(Q625&gt;0,S623+2,IF(T625=0," "))</f>
        <v>6</v>
      </c>
      <c r="U625" s="211"/>
      <c r="V625" s="211"/>
      <c r="Y625" s="211">
        <f t="shared" si="235"/>
        <v>0</v>
      </c>
      <c r="Z625" s="211">
        <f t="shared" si="236"/>
        <v>1</v>
      </c>
      <c r="AA625" s="211">
        <f t="shared" si="237"/>
        <v>1</v>
      </c>
      <c r="AB625" s="211">
        <f t="shared" si="238"/>
        <v>1</v>
      </c>
      <c r="AC625" s="211">
        <f t="shared" si="239"/>
        <v>1</v>
      </c>
      <c r="AD625" s="211">
        <f t="shared" si="240"/>
        <v>1</v>
      </c>
      <c r="AE625" s="211">
        <f t="shared" si="241"/>
        <v>1</v>
      </c>
    </row>
    <row r="626" spans="1:31" ht="24.95" customHeight="1" x14ac:dyDescent="0.25">
      <c r="B626" s="212">
        <f t="shared" si="243"/>
        <v>7</v>
      </c>
      <c r="C626" s="264" t="str">
        <f t="shared" si="229"/>
        <v>LASITO</v>
      </c>
      <c r="D626" s="213"/>
      <c r="E626" s="265" t="str">
        <f t="shared" si="230"/>
        <v>C</v>
      </c>
      <c r="F626" s="215" t="s">
        <v>36</v>
      </c>
      <c r="G626" s="215" t="s">
        <v>37</v>
      </c>
      <c r="H626" s="215" t="s">
        <v>37</v>
      </c>
      <c r="I626" s="215" t="s">
        <v>37</v>
      </c>
      <c r="J626" s="215" t="s">
        <v>37</v>
      </c>
      <c r="K626" s="215" t="s">
        <v>36</v>
      </c>
      <c r="L626" s="215" t="s">
        <v>37</v>
      </c>
      <c r="M626" s="274">
        <f t="shared" si="242"/>
        <v>5</v>
      </c>
      <c r="N626" s="217" t="str">
        <f t="shared" si="231"/>
        <v>Rp</v>
      </c>
      <c r="O626" s="266">
        <f t="shared" si="232"/>
        <v>100000</v>
      </c>
      <c r="P626" s="217" t="str">
        <f t="shared" si="233"/>
        <v>Rp</v>
      </c>
      <c r="Q626" s="219">
        <f t="shared" si="234"/>
        <v>500000</v>
      </c>
      <c r="R626" s="222">
        <f>IF(Q626&gt;0,R624+2,IF(Q626=0," "))</f>
        <v>7</v>
      </c>
      <c r="S626" s="221"/>
      <c r="U626" s="211"/>
      <c r="V626" s="211"/>
      <c r="Y626" s="211">
        <f t="shared" si="235"/>
        <v>0</v>
      </c>
      <c r="Z626" s="211">
        <f t="shared" si="236"/>
        <v>1</v>
      </c>
      <c r="AA626" s="211">
        <f t="shared" si="237"/>
        <v>1</v>
      </c>
      <c r="AB626" s="211">
        <f t="shared" si="238"/>
        <v>1</v>
      </c>
      <c r="AC626" s="211">
        <f t="shared" si="239"/>
        <v>1</v>
      </c>
      <c r="AD626" s="211">
        <f t="shared" si="240"/>
        <v>0</v>
      </c>
      <c r="AE626" s="211">
        <f t="shared" si="241"/>
        <v>1</v>
      </c>
    </row>
    <row r="627" spans="1:31" ht="24.95" customHeight="1" x14ac:dyDescent="0.25">
      <c r="B627" s="212">
        <f t="shared" si="243"/>
        <v>8</v>
      </c>
      <c r="C627" s="264" t="str">
        <f t="shared" si="229"/>
        <v>BONANG</v>
      </c>
      <c r="D627" s="213"/>
      <c r="E627" s="265" t="str">
        <f t="shared" si="230"/>
        <v>C</v>
      </c>
      <c r="F627" s="215" t="s">
        <v>36</v>
      </c>
      <c r="G627" s="215" t="s">
        <v>37</v>
      </c>
      <c r="H627" s="215" t="s">
        <v>37</v>
      </c>
      <c r="I627" s="215" t="s">
        <v>37</v>
      </c>
      <c r="J627" s="215" t="s">
        <v>37</v>
      </c>
      <c r="K627" s="215" t="s">
        <v>37</v>
      </c>
      <c r="L627" s="215" t="s">
        <v>37</v>
      </c>
      <c r="M627" s="274">
        <f t="shared" si="242"/>
        <v>6</v>
      </c>
      <c r="N627" s="217" t="str">
        <f t="shared" si="231"/>
        <v>Rp</v>
      </c>
      <c r="O627" s="266">
        <f t="shared" si="232"/>
        <v>100000</v>
      </c>
      <c r="P627" s="217" t="str">
        <f t="shared" si="233"/>
        <v>Rp</v>
      </c>
      <c r="Q627" s="219">
        <f t="shared" si="234"/>
        <v>600000</v>
      </c>
      <c r="R627" s="222"/>
      <c r="S627" s="223">
        <f>IF(Q627&gt;0,S625+2,IF(T627=0," "))</f>
        <v>8</v>
      </c>
      <c r="U627" s="211"/>
      <c r="V627" s="211"/>
      <c r="Y627" s="211">
        <f t="shared" si="235"/>
        <v>0</v>
      </c>
      <c r="Z627" s="211">
        <f t="shared" si="236"/>
        <v>1</v>
      </c>
      <c r="AA627" s="211">
        <f t="shared" si="237"/>
        <v>1</v>
      </c>
      <c r="AB627" s="211">
        <f t="shared" si="238"/>
        <v>1</v>
      </c>
      <c r="AC627" s="211">
        <f t="shared" si="239"/>
        <v>1</v>
      </c>
      <c r="AD627" s="211">
        <f t="shared" si="240"/>
        <v>1</v>
      </c>
      <c r="AE627" s="211">
        <f t="shared" si="241"/>
        <v>1</v>
      </c>
    </row>
    <row r="628" spans="1:31" ht="24.95" customHeight="1" x14ac:dyDescent="0.25">
      <c r="B628" s="212">
        <f t="shared" si="243"/>
        <v>9</v>
      </c>
      <c r="C628" s="264">
        <f t="shared" si="229"/>
        <v>0</v>
      </c>
      <c r="D628" s="213"/>
      <c r="E628" s="265">
        <f t="shared" si="230"/>
        <v>0</v>
      </c>
      <c r="F628" s="215" t="s">
        <v>36</v>
      </c>
      <c r="G628" s="215" t="s">
        <v>37</v>
      </c>
      <c r="H628" s="215" t="s">
        <v>37</v>
      </c>
      <c r="I628" s="215" t="s">
        <v>37</v>
      </c>
      <c r="J628" s="215" t="s">
        <v>36</v>
      </c>
      <c r="K628" s="215" t="s">
        <v>37</v>
      </c>
      <c r="L628" s="215" t="s">
        <v>37</v>
      </c>
      <c r="M628" s="274">
        <f t="shared" si="242"/>
        <v>5</v>
      </c>
      <c r="N628" s="217" t="str">
        <f t="shared" si="231"/>
        <v xml:space="preserve"> </v>
      </c>
      <c r="O628" s="266">
        <f t="shared" si="232"/>
        <v>0</v>
      </c>
      <c r="P628" s="217" t="str">
        <f t="shared" si="233"/>
        <v xml:space="preserve"> </v>
      </c>
      <c r="Q628" s="219">
        <f t="shared" si="234"/>
        <v>0</v>
      </c>
      <c r="R628" s="222" t="str">
        <f>IF(Q628&gt;0,R626+2,IF(Q628=0," "))</f>
        <v xml:space="preserve"> </v>
      </c>
      <c r="S628" s="221"/>
      <c r="U628" s="211"/>
      <c r="V628" s="211"/>
      <c r="Y628" s="211">
        <f t="shared" si="235"/>
        <v>0</v>
      </c>
      <c r="Z628" s="211">
        <f t="shared" si="236"/>
        <v>1</v>
      </c>
      <c r="AA628" s="211">
        <f t="shared" si="237"/>
        <v>1</v>
      </c>
      <c r="AB628" s="211">
        <f t="shared" si="238"/>
        <v>1</v>
      </c>
      <c r="AC628" s="211">
        <f t="shared" si="239"/>
        <v>0</v>
      </c>
      <c r="AD628" s="211">
        <f t="shared" si="240"/>
        <v>1</v>
      </c>
      <c r="AE628" s="211">
        <f t="shared" si="241"/>
        <v>1</v>
      </c>
    </row>
    <row r="629" spans="1:31" ht="24.95" customHeight="1" x14ac:dyDescent="0.25">
      <c r="B629" s="212">
        <f t="shared" si="243"/>
        <v>10</v>
      </c>
      <c r="C629" s="264">
        <f t="shared" si="229"/>
        <v>0</v>
      </c>
      <c r="D629" s="213"/>
      <c r="E629" s="265">
        <f t="shared" si="230"/>
        <v>0</v>
      </c>
      <c r="F629" s="215" t="s">
        <v>36</v>
      </c>
      <c r="G629" s="215" t="s">
        <v>37</v>
      </c>
      <c r="H629" s="215" t="s">
        <v>37</v>
      </c>
      <c r="I629" s="215" t="s">
        <v>37</v>
      </c>
      <c r="J629" s="215" t="s">
        <v>37</v>
      </c>
      <c r="K629" s="215" t="s">
        <v>37</v>
      </c>
      <c r="L629" s="215" t="s">
        <v>37</v>
      </c>
      <c r="M629" s="274">
        <f t="shared" si="242"/>
        <v>6</v>
      </c>
      <c r="N629" s="217" t="str">
        <f t="shared" si="231"/>
        <v xml:space="preserve"> </v>
      </c>
      <c r="O629" s="266">
        <f t="shared" si="232"/>
        <v>0</v>
      </c>
      <c r="P629" s="217" t="str">
        <f t="shared" si="233"/>
        <v xml:space="preserve"> </v>
      </c>
      <c r="Q629" s="219">
        <f t="shared" si="234"/>
        <v>0</v>
      </c>
      <c r="R629" s="222"/>
      <c r="S629" s="223" t="str">
        <f>IF(Q629&gt;0,S627+2,IF(T629=0," "))</f>
        <v xml:space="preserve"> </v>
      </c>
      <c r="U629" s="211"/>
      <c r="V629" s="211"/>
      <c r="Y629" s="211">
        <f t="shared" si="235"/>
        <v>0</v>
      </c>
      <c r="Z629" s="211">
        <f t="shared" si="236"/>
        <v>1</v>
      </c>
      <c r="AA629" s="211">
        <f t="shared" si="237"/>
        <v>1</v>
      </c>
      <c r="AB629" s="211">
        <f t="shared" si="238"/>
        <v>1</v>
      </c>
      <c r="AC629" s="211">
        <f t="shared" si="239"/>
        <v>1</v>
      </c>
      <c r="AD629" s="211">
        <f t="shared" si="240"/>
        <v>1</v>
      </c>
      <c r="AE629" s="211">
        <f t="shared" si="241"/>
        <v>1</v>
      </c>
    </row>
    <row r="630" spans="1:31" ht="24.95" customHeight="1" x14ac:dyDescent="0.25">
      <c r="B630" s="212">
        <f t="shared" si="243"/>
        <v>11</v>
      </c>
      <c r="C630" s="264">
        <f t="shared" si="229"/>
        <v>0</v>
      </c>
      <c r="D630" s="213"/>
      <c r="E630" s="265">
        <f t="shared" si="230"/>
        <v>0</v>
      </c>
      <c r="F630" s="215" t="s">
        <v>36</v>
      </c>
      <c r="G630" s="215" t="s">
        <v>37</v>
      </c>
      <c r="H630" s="215" t="s">
        <v>37</v>
      </c>
      <c r="I630" s="215" t="s">
        <v>37</v>
      </c>
      <c r="J630" s="215" t="s">
        <v>36</v>
      </c>
      <c r="K630" s="215" t="s">
        <v>37</v>
      </c>
      <c r="L630" s="215" t="s">
        <v>37</v>
      </c>
      <c r="M630" s="274">
        <f t="shared" si="242"/>
        <v>5</v>
      </c>
      <c r="N630" s="217" t="str">
        <f t="shared" si="231"/>
        <v xml:space="preserve"> </v>
      </c>
      <c r="O630" s="266">
        <f t="shared" si="232"/>
        <v>0</v>
      </c>
      <c r="P630" s="217" t="str">
        <f t="shared" si="233"/>
        <v xml:space="preserve"> </v>
      </c>
      <c r="Q630" s="219">
        <f t="shared" si="234"/>
        <v>0</v>
      </c>
      <c r="R630" s="222" t="str">
        <f>IF(Q630&gt;0,R628+2,IF(Q630=0," "))</f>
        <v xml:space="preserve"> </v>
      </c>
      <c r="S630" s="221"/>
      <c r="U630" s="211"/>
      <c r="V630" s="211"/>
      <c r="Y630" s="211">
        <f t="shared" si="235"/>
        <v>0</v>
      </c>
      <c r="Z630" s="211">
        <f t="shared" si="236"/>
        <v>1</v>
      </c>
      <c r="AA630" s="211">
        <f t="shared" si="237"/>
        <v>1</v>
      </c>
      <c r="AB630" s="211">
        <f t="shared" si="238"/>
        <v>1</v>
      </c>
      <c r="AC630" s="211">
        <f t="shared" si="239"/>
        <v>0</v>
      </c>
      <c r="AD630" s="211">
        <f t="shared" si="240"/>
        <v>1</v>
      </c>
      <c r="AE630" s="211">
        <f t="shared" si="241"/>
        <v>1</v>
      </c>
    </row>
    <row r="631" spans="1:31" ht="24.95" customHeight="1" thickBot="1" x14ac:dyDescent="0.25">
      <c r="B631" s="233"/>
      <c r="C631" s="257"/>
      <c r="D631" s="235"/>
      <c r="E631" s="236"/>
      <c r="F631" s="237"/>
      <c r="G631" s="238"/>
      <c r="H631" s="239"/>
      <c r="I631" s="239"/>
      <c r="J631" s="240"/>
      <c r="K631" s="240"/>
      <c r="L631" s="240"/>
      <c r="M631" s="259"/>
      <c r="N631" s="242"/>
      <c r="O631" s="258"/>
      <c r="P631" s="244"/>
      <c r="Q631" s="236"/>
      <c r="R631" s="246"/>
      <c r="S631" s="247"/>
      <c r="U631" s="211"/>
      <c r="V631" s="211"/>
    </row>
    <row r="632" spans="1:31" ht="20.100000000000001" customHeight="1" thickTop="1" thickBot="1" x14ac:dyDescent="0.3">
      <c r="A632" s="179">
        <f>A594+1</f>
        <v>17</v>
      </c>
      <c r="B632" s="248"/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50" t="s">
        <v>40</v>
      </c>
      <c r="P632" s="249"/>
      <c r="Q632" s="710">
        <f>SUM(Q620:Q631)</f>
        <v>5005000</v>
      </c>
      <c r="R632" s="711"/>
      <c r="S632" s="712"/>
      <c r="U632" s="226" t="e">
        <f>VLOOKUP(A632,'Rekap Gaji'!$B$12:$P$24,10,FALSE)</f>
        <v>#N/A</v>
      </c>
      <c r="V632" s="251" t="e">
        <f>U632-Q632</f>
        <v>#N/A</v>
      </c>
    </row>
    <row r="633" spans="1:31" ht="11.25" customHeight="1" x14ac:dyDescent="0.25"/>
    <row r="634" spans="1:31" ht="16.5" customHeight="1" x14ac:dyDescent="0.25">
      <c r="B634" s="195" t="s">
        <v>41</v>
      </c>
      <c r="C634" s="140" t="s">
        <v>42</v>
      </c>
    </row>
    <row r="635" spans="1:31" ht="14.25" x14ac:dyDescent="0.25">
      <c r="G635" s="183"/>
      <c r="H635" s="182"/>
      <c r="M635" s="141"/>
      <c r="N635" s="141"/>
      <c r="Q635" s="140" t="str">
        <f>'BKU 1'!$I$25</f>
        <v>NGANTANG</v>
      </c>
      <c r="R635" s="713" t="str">
        <f>IFERROR(VLOOKUP(E614,'Rekap Gaji'!$B$12:$P$24,7,FALSE),"-")</f>
        <v>-</v>
      </c>
      <c r="S635" s="713"/>
      <c r="T635" s="252"/>
      <c r="U635" s="252"/>
    </row>
    <row r="636" spans="1:31" ht="15.75" x14ac:dyDescent="0.25">
      <c r="C636" s="140" t="s">
        <v>43</v>
      </c>
      <c r="F636" s="253"/>
      <c r="G636" s="254"/>
      <c r="H636" s="255"/>
      <c r="I636" s="256"/>
      <c r="J636" s="225" t="s">
        <v>44</v>
      </c>
      <c r="K636" s="253"/>
      <c r="M636" s="141"/>
      <c r="N636" s="141"/>
      <c r="Q636" s="140" t="str">
        <f>'BKU 1'!$L$354</f>
        <v>Dibuat Oleh ;</v>
      </c>
      <c r="R636" s="141"/>
    </row>
    <row r="637" spans="1:31" ht="14.25" x14ac:dyDescent="0.25">
      <c r="C637" s="140" t="str">
        <f>'BKU 1'!$C$355</f>
        <v>Kepala Sekolah SDN 1 SIDODADI</v>
      </c>
      <c r="F637" s="187"/>
      <c r="G637" s="224"/>
      <c r="H637" s="182"/>
      <c r="I637" s="183"/>
      <c r="J637" s="140" t="s">
        <v>45</v>
      </c>
      <c r="K637" s="187"/>
      <c r="Q637" s="140" t="str">
        <f>'BKU 1'!$L$355</f>
        <v>Bendahara Pembangunan</v>
      </c>
      <c r="R637" s="141"/>
    </row>
    <row r="638" spans="1:31" ht="14.25" x14ac:dyDescent="0.25">
      <c r="F638" s="187"/>
      <c r="G638" s="224"/>
      <c r="H638" s="182"/>
      <c r="I638" s="183"/>
      <c r="K638" s="187"/>
      <c r="Q638" s="140"/>
      <c r="R638" s="141"/>
    </row>
    <row r="639" spans="1:31" ht="14.25" x14ac:dyDescent="0.25">
      <c r="F639" s="187"/>
      <c r="G639" s="224"/>
      <c r="H639" s="182"/>
      <c r="I639" s="183"/>
      <c r="K639" s="187"/>
      <c r="Q639" s="140"/>
      <c r="R639" s="141"/>
    </row>
    <row r="640" spans="1:31" ht="14.25" x14ac:dyDescent="0.25">
      <c r="F640" s="187"/>
      <c r="G640" s="224"/>
      <c r="H640" s="182"/>
      <c r="I640" s="183"/>
      <c r="K640" s="187"/>
      <c r="Q640" s="140"/>
      <c r="R640" s="141"/>
    </row>
    <row r="641" spans="1:22" ht="14.25" x14ac:dyDescent="0.25">
      <c r="F641" s="187"/>
      <c r="G641" s="224"/>
      <c r="H641" s="182"/>
      <c r="I641" s="183"/>
      <c r="K641" s="187"/>
      <c r="Q641" s="140"/>
      <c r="R641" s="141"/>
    </row>
    <row r="642" spans="1:22" x14ac:dyDescent="0.25">
      <c r="G642" s="225"/>
      <c r="Q642" s="140"/>
    </row>
    <row r="643" spans="1:22" x14ac:dyDescent="0.25">
      <c r="G643" s="225"/>
      <c r="Q643" s="140"/>
    </row>
    <row r="644" spans="1:22" s="189" customFormat="1" ht="15" customHeight="1" x14ac:dyDescent="0.25">
      <c r="A644" s="192"/>
      <c r="B644" s="195"/>
      <c r="C644" s="227" t="str">
        <f>'BKU 1'!$C$360</f>
        <v>MELIA FITRIANI, S.Pd.SD</v>
      </c>
      <c r="D644" s="227"/>
      <c r="G644" s="228"/>
      <c r="H644" s="195"/>
      <c r="I644" s="194"/>
      <c r="J644" s="229">
        <f>'BKU 1'!$G$360</f>
        <v>0</v>
      </c>
      <c r="Q644" s="227" t="str">
        <f>'BKU 1'!$L$360</f>
        <v>ARIF NUR UDIN, S.Pd.SD</v>
      </c>
      <c r="S644" s="230"/>
      <c r="U644" s="231"/>
      <c r="V644" s="231"/>
    </row>
    <row r="645" spans="1:22" s="189" customFormat="1" ht="15" customHeight="1" x14ac:dyDescent="0.25">
      <c r="A645" s="192"/>
      <c r="B645" s="195"/>
      <c r="C645" s="140" t="str">
        <f>'BKU 1'!$C$361</f>
        <v>NIP. 19850619 200904 2 000</v>
      </c>
      <c r="D645" s="140"/>
      <c r="E645" s="140"/>
      <c r="F645" s="140"/>
      <c r="G645" s="225"/>
      <c r="H645" s="191"/>
      <c r="I645" s="190"/>
      <c r="J645" s="232">
        <f>'BKU 1'!$G$361</f>
        <v>0</v>
      </c>
      <c r="K645" s="140"/>
      <c r="M645" s="140"/>
      <c r="N645" s="140"/>
      <c r="O645" s="140"/>
      <c r="P645" s="140"/>
      <c r="Q645" s="140" t="str">
        <f>'BKU 1'!$L$361</f>
        <v>NIP. 19840719 200903 1 002</v>
      </c>
      <c r="S645" s="230"/>
      <c r="U645" s="231"/>
      <c r="V645" s="231"/>
    </row>
    <row r="646" spans="1:22" ht="6" customHeight="1" x14ac:dyDescent="0.25"/>
    <row r="647" spans="1:22" s="177" customFormat="1" ht="24.95" customHeight="1" x14ac:dyDescent="0.25">
      <c r="A647" s="176"/>
      <c r="B647" s="726" t="s">
        <v>6</v>
      </c>
      <c r="C647" s="726"/>
      <c r="D647" s="726"/>
      <c r="E647" s="726"/>
      <c r="F647" s="726"/>
      <c r="G647" s="726"/>
      <c r="H647" s="726"/>
      <c r="I647" s="726"/>
      <c r="J647" s="726"/>
      <c r="K647" s="726"/>
      <c r="L647" s="726"/>
      <c r="M647" s="726"/>
      <c r="N647" s="726"/>
      <c r="O647" s="726"/>
      <c r="P647" s="726"/>
      <c r="Q647" s="726"/>
      <c r="R647" s="726"/>
      <c r="S647" s="726"/>
      <c r="U647" s="178"/>
      <c r="V647" s="178"/>
    </row>
    <row r="648" spans="1:22" s="177" customFormat="1" ht="24.95" customHeight="1" x14ac:dyDescent="0.25">
      <c r="A648" s="176"/>
      <c r="B648" s="726" t="str">
        <f>'BKU 1'!$D$22</f>
        <v>PEMBANGUNAN TOILET BESERTA SANITASINYA</v>
      </c>
      <c r="C648" s="726"/>
      <c r="D648" s="726"/>
      <c r="E648" s="726"/>
      <c r="F648" s="726"/>
      <c r="G648" s="726"/>
      <c r="H648" s="726"/>
      <c r="I648" s="726"/>
      <c r="J648" s="726"/>
      <c r="K648" s="726"/>
      <c r="L648" s="726"/>
      <c r="M648" s="726"/>
      <c r="N648" s="726"/>
      <c r="O648" s="726"/>
      <c r="P648" s="726"/>
      <c r="Q648" s="726"/>
      <c r="R648" s="726"/>
      <c r="S648" s="726"/>
      <c r="U648" s="178"/>
      <c r="V648" s="178"/>
    </row>
    <row r="649" spans="1:22" s="184" customFormat="1" ht="30.75" customHeight="1" x14ac:dyDescent="0.25">
      <c r="A649" s="179"/>
      <c r="B649" s="180"/>
      <c r="C649" s="181"/>
      <c r="D649" s="181"/>
      <c r="E649" s="181"/>
      <c r="F649" s="182"/>
      <c r="G649" s="183"/>
      <c r="H649" s="182"/>
      <c r="I649" s="183"/>
      <c r="J649" s="182"/>
      <c r="K649" s="182"/>
      <c r="L649" s="182"/>
      <c r="M649" s="181"/>
      <c r="N649" s="181"/>
      <c r="Q649" s="180"/>
      <c r="R649" s="140"/>
      <c r="S649" s="185"/>
      <c r="U649" s="186"/>
      <c r="V649" s="186"/>
    </row>
    <row r="650" spans="1:22" s="184" customFormat="1" ht="14.25" x14ac:dyDescent="0.25">
      <c r="A650" s="179"/>
      <c r="B650" s="185" t="s">
        <v>7</v>
      </c>
      <c r="D650" s="184" t="s">
        <v>49</v>
      </c>
      <c r="E650" s="184" t="str">
        <f>'BKU 1'!$D$25</f>
        <v>SDN 1 SIDODADI</v>
      </c>
      <c r="F650" s="140"/>
      <c r="G650" s="183"/>
      <c r="H650" s="182"/>
      <c r="I650" s="183"/>
      <c r="J650" s="187"/>
      <c r="K650" s="187"/>
      <c r="L650" s="187"/>
      <c r="M650" s="188"/>
      <c r="N650" s="188"/>
      <c r="Q650" s="180"/>
      <c r="R650" s="189" t="s">
        <v>8</v>
      </c>
      <c r="S650" s="185"/>
      <c r="U650" s="186"/>
      <c r="V650" s="186"/>
    </row>
    <row r="651" spans="1:22" s="184" customFormat="1" x14ac:dyDescent="0.25">
      <c r="A651" s="179"/>
      <c r="B651" s="185" t="s">
        <v>9</v>
      </c>
      <c r="D651" s="184" t="s">
        <v>49</v>
      </c>
      <c r="E651" s="184" t="str">
        <f>'BKU 1'!$D$26</f>
        <v>Jl. Kawi No.36 Rt. 1 Rw. 1 Dusun Sekar, Rt / Rw : 1 / 1, Dusun : Sekar, Kelurahan : Sidodadi</v>
      </c>
      <c r="F651" s="140"/>
      <c r="G651" s="190"/>
      <c r="H651" s="191"/>
      <c r="I651" s="190"/>
      <c r="J651" s="140"/>
      <c r="K651" s="140"/>
      <c r="L651" s="140"/>
      <c r="Q651" s="180"/>
      <c r="R651" s="140" t="s">
        <v>10</v>
      </c>
      <c r="S651" s="185" t="s">
        <v>11</v>
      </c>
      <c r="U651" s="186"/>
      <c r="V651" s="186"/>
    </row>
    <row r="652" spans="1:22" s="184" customFormat="1" x14ac:dyDescent="0.25">
      <c r="A652" s="179"/>
      <c r="B652" s="185" t="s">
        <v>12</v>
      </c>
      <c r="D652" s="184" t="s">
        <v>49</v>
      </c>
      <c r="E652" s="180">
        <f>E614+1</f>
        <v>18</v>
      </c>
      <c r="F652" s="140"/>
      <c r="G652" s="727" t="str">
        <f>IFERROR(VLOOKUP(E652,'Rekap Gaji'!$B$12:$P$24,14,FALSE),"-")</f>
        <v>-</v>
      </c>
      <c r="H652" s="727"/>
      <c r="I652" s="727"/>
      <c r="J652" s="140"/>
      <c r="K652" s="140"/>
      <c r="L652" s="140"/>
      <c r="Q652" s="180"/>
      <c r="R652" s="140" t="s">
        <v>13</v>
      </c>
      <c r="S652" s="185" t="s">
        <v>14</v>
      </c>
      <c r="U652" s="186"/>
      <c r="V652" s="186"/>
    </row>
    <row r="653" spans="1:22" s="184" customFormat="1" ht="15" customHeight="1" x14ac:dyDescent="0.25">
      <c r="A653" s="179"/>
      <c r="B653" s="185" t="s">
        <v>0</v>
      </c>
      <c r="D653" s="184" t="s">
        <v>49</v>
      </c>
      <c r="E653" s="728" t="str">
        <f>IFERROR(VLOOKUP(E652,'Rekap Gaji'!$B$12:$P$24,4,FALSE),"-")</f>
        <v>-</v>
      </c>
      <c r="F653" s="728"/>
      <c r="G653" s="728"/>
      <c r="H653" s="728"/>
      <c r="I653" s="727" t="s">
        <v>76</v>
      </c>
      <c r="J653" s="727"/>
      <c r="K653" s="728" t="str">
        <f>IFERROR(VLOOKUP(E652,'Rekap Gaji'!$B$12:$P$24,6,FALSE),"-")</f>
        <v>-</v>
      </c>
      <c r="L653" s="728"/>
      <c r="M653" s="728"/>
      <c r="N653" s="728"/>
      <c r="Q653" s="180"/>
      <c r="R653" s="140" t="s">
        <v>15</v>
      </c>
      <c r="S653" s="185" t="s">
        <v>16</v>
      </c>
      <c r="U653" s="186"/>
      <c r="V653" s="186"/>
    </row>
    <row r="654" spans="1:22" s="188" customFormat="1" ht="8.1" customHeight="1" thickBot="1" x14ac:dyDescent="0.3">
      <c r="A654" s="192"/>
      <c r="B654" s="193"/>
      <c r="F654" s="189"/>
      <c r="G654" s="194"/>
      <c r="H654" s="195"/>
      <c r="I654" s="194"/>
      <c r="J654" s="189"/>
      <c r="K654" s="189"/>
      <c r="L654" s="189"/>
      <c r="Q654" s="193"/>
      <c r="R654" s="189"/>
      <c r="S654" s="196"/>
      <c r="U654" s="197"/>
      <c r="V654" s="197"/>
    </row>
    <row r="655" spans="1:22" ht="15" customHeight="1" x14ac:dyDescent="0.25">
      <c r="B655" s="729" t="s">
        <v>17</v>
      </c>
      <c r="C655" s="717" t="s">
        <v>18</v>
      </c>
      <c r="D655" s="732"/>
      <c r="E655" s="268" t="s">
        <v>19</v>
      </c>
      <c r="F655" s="717" t="s">
        <v>20</v>
      </c>
      <c r="G655" s="734"/>
      <c r="H655" s="734"/>
      <c r="I655" s="734"/>
      <c r="J655" s="734"/>
      <c r="K655" s="734"/>
      <c r="L655" s="732"/>
      <c r="M655" s="267" t="s">
        <v>2</v>
      </c>
      <c r="N655" s="717" t="s">
        <v>21</v>
      </c>
      <c r="O655" s="732"/>
      <c r="P655" s="717" t="s">
        <v>22</v>
      </c>
      <c r="Q655" s="732"/>
      <c r="R655" s="717" t="s">
        <v>23</v>
      </c>
      <c r="S655" s="718"/>
    </row>
    <row r="656" spans="1:22" ht="15" customHeight="1" x14ac:dyDescent="0.25">
      <c r="B656" s="730"/>
      <c r="C656" s="719"/>
      <c r="D656" s="725"/>
      <c r="E656" s="270" t="s">
        <v>24</v>
      </c>
      <c r="F656" s="723" t="s">
        <v>25</v>
      </c>
      <c r="G656" s="723" t="s">
        <v>26</v>
      </c>
      <c r="H656" s="723" t="s">
        <v>26</v>
      </c>
      <c r="I656" s="723" t="s">
        <v>27</v>
      </c>
      <c r="J656" s="723" t="s">
        <v>28</v>
      </c>
      <c r="K656" s="723" t="s">
        <v>29</v>
      </c>
      <c r="L656" s="723" t="s">
        <v>26</v>
      </c>
      <c r="M656" s="269" t="s">
        <v>30</v>
      </c>
      <c r="N656" s="719" t="s">
        <v>31</v>
      </c>
      <c r="O656" s="725"/>
      <c r="P656" s="719" t="s">
        <v>31</v>
      </c>
      <c r="Q656" s="725"/>
      <c r="R656" s="719"/>
      <c r="S656" s="720"/>
    </row>
    <row r="657" spans="1:31" ht="15" customHeight="1" thickBot="1" x14ac:dyDescent="0.3">
      <c r="B657" s="731"/>
      <c r="C657" s="721"/>
      <c r="D657" s="733"/>
      <c r="E657" s="272" t="s">
        <v>32</v>
      </c>
      <c r="F657" s="724"/>
      <c r="G657" s="724"/>
      <c r="H657" s="724"/>
      <c r="I657" s="724"/>
      <c r="J657" s="724"/>
      <c r="K657" s="724"/>
      <c r="L657" s="724"/>
      <c r="M657" s="271" t="s">
        <v>31</v>
      </c>
      <c r="N657" s="721" t="s">
        <v>33</v>
      </c>
      <c r="O657" s="733"/>
      <c r="P657" s="721" t="s">
        <v>34</v>
      </c>
      <c r="Q657" s="733"/>
      <c r="R657" s="721"/>
      <c r="S657" s="722"/>
    </row>
    <row r="658" spans="1:31" ht="24.95" customHeight="1" x14ac:dyDescent="0.25">
      <c r="B658" s="201">
        <v>1</v>
      </c>
      <c r="C658" s="261" t="str">
        <f t="shared" ref="C658:C668" si="244">IFERROR(C620," ")</f>
        <v>KHUSNUL</v>
      </c>
      <c r="D658" s="203"/>
      <c r="E658" s="262" t="str">
        <f t="shared" ref="E658:E668" si="245">IFERROR(E620," ")</f>
        <v>A</v>
      </c>
      <c r="F658" s="275" t="s">
        <v>36</v>
      </c>
      <c r="G658" s="205" t="s">
        <v>37</v>
      </c>
      <c r="H658" s="205" t="s">
        <v>37</v>
      </c>
      <c r="I658" s="205" t="s">
        <v>37</v>
      </c>
      <c r="J658" s="205" t="s">
        <v>37</v>
      </c>
      <c r="K658" s="205" t="s">
        <v>37</v>
      </c>
      <c r="L658" s="205" t="s">
        <v>37</v>
      </c>
      <c r="M658" s="273">
        <f>SUM(Y658:AE658)</f>
        <v>6</v>
      </c>
      <c r="N658" s="207" t="str">
        <f t="shared" ref="N658:N668" si="246">IF(O658&gt;0,"Rp",IF(O658=0," "))</f>
        <v>Rp</v>
      </c>
      <c r="O658" s="263">
        <f t="shared" ref="O658:O668" si="247">IFERROR(O620," ")</f>
        <v>130000</v>
      </c>
      <c r="P658" s="207" t="str">
        <f t="shared" ref="P658:P668" si="248">IF(Q658&gt;0,"Rp",IF(Q658=0," "))</f>
        <v>Rp</v>
      </c>
      <c r="Q658" s="208">
        <f t="shared" ref="Q658:Q668" si="249">O658*M658</f>
        <v>780000</v>
      </c>
      <c r="R658" s="209">
        <f>IF(Q658&gt;0,1,IF(Q658=0," "))</f>
        <v>1</v>
      </c>
      <c r="S658" s="210"/>
      <c r="U658" s="260"/>
      <c r="V658" s="140"/>
      <c r="Y658" s="211">
        <f t="shared" ref="Y658:Y668" si="250">IFERROR(IF(F658="V",1,IF(F658="X",0))," ")</f>
        <v>0</v>
      </c>
      <c r="Z658" s="211">
        <f t="shared" ref="Z658:Z668" si="251">IFERROR(IF(G658="V",1,IF(G658="X",0))," ")</f>
        <v>1</v>
      </c>
      <c r="AA658" s="211">
        <f t="shared" ref="AA658:AA668" si="252">IFERROR(IF(H658="V",1,IF(H658="X",0))," ")</f>
        <v>1</v>
      </c>
      <c r="AB658" s="211">
        <f t="shared" ref="AB658:AB668" si="253">IFERROR(IF(I658="V",1,IF(I658="X",0))," ")</f>
        <v>1</v>
      </c>
      <c r="AC658" s="211">
        <f t="shared" ref="AC658:AC668" si="254">IFERROR(IF(J658="V",1,IF(J658="X",0))," ")</f>
        <v>1</v>
      </c>
      <c r="AD658" s="211">
        <f t="shared" ref="AD658:AD668" si="255">IFERROR(IF(K658="V",1,IF(K658="X",0))," ")</f>
        <v>1</v>
      </c>
      <c r="AE658" s="211">
        <f t="shared" ref="AE658:AE668" si="256">IFERROR(IF(L658="V",1,IF(L658="X",0))," ")</f>
        <v>1</v>
      </c>
    </row>
    <row r="659" spans="1:31" ht="24.95" customHeight="1" x14ac:dyDescent="0.25">
      <c r="B659" s="212">
        <f>B658+1</f>
        <v>2</v>
      </c>
      <c r="C659" s="264" t="str">
        <f t="shared" si="244"/>
        <v>PRIYO</v>
      </c>
      <c r="D659" s="213"/>
      <c r="E659" s="265" t="str">
        <f t="shared" si="245"/>
        <v>B</v>
      </c>
      <c r="F659" s="275" t="s">
        <v>36</v>
      </c>
      <c r="G659" s="215" t="s">
        <v>37</v>
      </c>
      <c r="H659" s="215" t="s">
        <v>37</v>
      </c>
      <c r="I659" s="215" t="s">
        <v>37</v>
      </c>
      <c r="J659" s="215" t="s">
        <v>37</v>
      </c>
      <c r="K659" s="215" t="s">
        <v>36</v>
      </c>
      <c r="L659" s="215" t="s">
        <v>37</v>
      </c>
      <c r="M659" s="274">
        <f t="shared" ref="M659:M668" si="257">SUM(Y659:AE659)</f>
        <v>5</v>
      </c>
      <c r="N659" s="217" t="str">
        <f t="shared" si="246"/>
        <v>Rp</v>
      </c>
      <c r="O659" s="266">
        <f t="shared" si="247"/>
        <v>125000</v>
      </c>
      <c r="P659" s="217" t="str">
        <f t="shared" si="248"/>
        <v>Rp</v>
      </c>
      <c r="Q659" s="219">
        <f t="shared" si="249"/>
        <v>625000</v>
      </c>
      <c r="R659" s="220"/>
      <c r="S659" s="221">
        <f>IF(Q659&gt;0,2,IF(Q658=0," "))</f>
        <v>2</v>
      </c>
      <c r="U659" s="211"/>
      <c r="V659" s="211"/>
      <c r="Y659" s="211">
        <f t="shared" si="250"/>
        <v>0</v>
      </c>
      <c r="Z659" s="211">
        <f t="shared" si="251"/>
        <v>1</v>
      </c>
      <c r="AA659" s="211">
        <f t="shared" si="252"/>
        <v>1</v>
      </c>
      <c r="AB659" s="211">
        <f t="shared" si="253"/>
        <v>1</v>
      </c>
      <c r="AC659" s="211">
        <f t="shared" si="254"/>
        <v>1</v>
      </c>
      <c r="AD659" s="211">
        <f t="shared" si="255"/>
        <v>0</v>
      </c>
      <c r="AE659" s="211">
        <f t="shared" si="256"/>
        <v>1</v>
      </c>
    </row>
    <row r="660" spans="1:31" ht="24.95" customHeight="1" x14ac:dyDescent="0.25">
      <c r="B660" s="212">
        <f>B659+1</f>
        <v>3</v>
      </c>
      <c r="C660" s="264" t="str">
        <f t="shared" si="244"/>
        <v>NANANG</v>
      </c>
      <c r="D660" s="213"/>
      <c r="E660" s="265" t="str">
        <f t="shared" si="245"/>
        <v>B</v>
      </c>
      <c r="F660" s="275" t="s">
        <v>36</v>
      </c>
      <c r="G660" s="215" t="s">
        <v>37</v>
      </c>
      <c r="H660" s="215" t="s">
        <v>37</v>
      </c>
      <c r="I660" s="215" t="s">
        <v>36</v>
      </c>
      <c r="J660" s="215" t="s">
        <v>37</v>
      </c>
      <c r="K660" s="215" t="s">
        <v>37</v>
      </c>
      <c r="L660" s="215" t="s">
        <v>37</v>
      </c>
      <c r="M660" s="274">
        <f t="shared" si="257"/>
        <v>5</v>
      </c>
      <c r="N660" s="217" t="str">
        <f t="shared" si="246"/>
        <v>Rp</v>
      </c>
      <c r="O660" s="266">
        <f t="shared" si="247"/>
        <v>125000</v>
      </c>
      <c r="P660" s="217" t="str">
        <f t="shared" si="248"/>
        <v>Rp</v>
      </c>
      <c r="Q660" s="219">
        <f t="shared" si="249"/>
        <v>625000</v>
      </c>
      <c r="R660" s="222">
        <f>IF(Q660&gt;0,R658+2,IF(Q660=0," "))</f>
        <v>3</v>
      </c>
      <c r="S660" s="221"/>
      <c r="U660" s="211"/>
      <c r="V660" s="211"/>
      <c r="Y660" s="211">
        <f t="shared" si="250"/>
        <v>0</v>
      </c>
      <c r="Z660" s="211">
        <f t="shared" si="251"/>
        <v>1</v>
      </c>
      <c r="AA660" s="211">
        <f t="shared" si="252"/>
        <v>1</v>
      </c>
      <c r="AB660" s="211">
        <f t="shared" si="253"/>
        <v>0</v>
      </c>
      <c r="AC660" s="211">
        <f t="shared" si="254"/>
        <v>1</v>
      </c>
      <c r="AD660" s="211">
        <f t="shared" si="255"/>
        <v>1</v>
      </c>
      <c r="AE660" s="211">
        <f t="shared" si="256"/>
        <v>1</v>
      </c>
    </row>
    <row r="661" spans="1:31" ht="24.95" customHeight="1" x14ac:dyDescent="0.25">
      <c r="B661" s="212">
        <f>B660+1</f>
        <v>4</v>
      </c>
      <c r="C661" s="264" t="str">
        <f t="shared" si="244"/>
        <v>KOIREN</v>
      </c>
      <c r="D661" s="213"/>
      <c r="E661" s="265" t="str">
        <f t="shared" si="245"/>
        <v>B</v>
      </c>
      <c r="F661" s="275" t="s">
        <v>36</v>
      </c>
      <c r="G661" s="215" t="s">
        <v>37</v>
      </c>
      <c r="H661" s="215" t="s">
        <v>36</v>
      </c>
      <c r="I661" s="215" t="s">
        <v>37</v>
      </c>
      <c r="J661" s="215" t="s">
        <v>37</v>
      </c>
      <c r="K661" s="215" t="s">
        <v>37</v>
      </c>
      <c r="L661" s="215" t="s">
        <v>36</v>
      </c>
      <c r="M661" s="274">
        <f t="shared" si="257"/>
        <v>4</v>
      </c>
      <c r="N661" s="217" t="str">
        <f t="shared" si="246"/>
        <v>Rp</v>
      </c>
      <c r="O661" s="266">
        <f t="shared" si="247"/>
        <v>125000</v>
      </c>
      <c r="P661" s="217" t="str">
        <f t="shared" si="248"/>
        <v>Rp</v>
      </c>
      <c r="Q661" s="219">
        <f t="shared" si="249"/>
        <v>500000</v>
      </c>
      <c r="R661" s="222"/>
      <c r="S661" s="223">
        <f>IF(Q661&gt;0,S659+2,IF(T661=0," "))</f>
        <v>4</v>
      </c>
      <c r="U661" s="211"/>
      <c r="V661" s="211"/>
      <c r="Y661" s="211">
        <f t="shared" si="250"/>
        <v>0</v>
      </c>
      <c r="Z661" s="211">
        <f t="shared" si="251"/>
        <v>1</v>
      </c>
      <c r="AA661" s="211">
        <f t="shared" si="252"/>
        <v>0</v>
      </c>
      <c r="AB661" s="211">
        <f t="shared" si="253"/>
        <v>1</v>
      </c>
      <c r="AC661" s="211">
        <f t="shared" si="254"/>
        <v>1</v>
      </c>
      <c r="AD661" s="211">
        <f t="shared" si="255"/>
        <v>1</v>
      </c>
      <c r="AE661" s="211">
        <f t="shared" si="256"/>
        <v>0</v>
      </c>
    </row>
    <row r="662" spans="1:31" ht="24.95" customHeight="1" x14ac:dyDescent="0.25">
      <c r="B662" s="212">
        <f t="shared" ref="B662:B668" si="258">B661+1</f>
        <v>5</v>
      </c>
      <c r="C662" s="264" t="str">
        <f t="shared" si="244"/>
        <v>MAT</v>
      </c>
      <c r="D662" s="213"/>
      <c r="E662" s="265" t="str">
        <f t="shared" si="245"/>
        <v>C</v>
      </c>
      <c r="F662" s="275" t="s">
        <v>36</v>
      </c>
      <c r="G662" s="215" t="s">
        <v>37</v>
      </c>
      <c r="H662" s="215" t="s">
        <v>37</v>
      </c>
      <c r="I662" s="215" t="s">
        <v>37</v>
      </c>
      <c r="J662" s="215" t="s">
        <v>36</v>
      </c>
      <c r="K662" s="215" t="s">
        <v>37</v>
      </c>
      <c r="L662" s="215" t="s">
        <v>37</v>
      </c>
      <c r="M662" s="274">
        <f t="shared" si="257"/>
        <v>5</v>
      </c>
      <c r="N662" s="217" t="str">
        <f t="shared" si="246"/>
        <v>Rp</v>
      </c>
      <c r="O662" s="266">
        <f t="shared" si="247"/>
        <v>100000</v>
      </c>
      <c r="P662" s="217" t="str">
        <f t="shared" si="248"/>
        <v>Rp</v>
      </c>
      <c r="Q662" s="219">
        <f t="shared" si="249"/>
        <v>500000</v>
      </c>
      <c r="R662" s="222">
        <f>IF(Q662&gt;0,R660+2,IF(Q662=0," "))</f>
        <v>5</v>
      </c>
      <c r="S662" s="221"/>
      <c r="U662" s="211"/>
      <c r="V662" s="211"/>
      <c r="Y662" s="211">
        <f t="shared" si="250"/>
        <v>0</v>
      </c>
      <c r="Z662" s="211">
        <f t="shared" si="251"/>
        <v>1</v>
      </c>
      <c r="AA662" s="211">
        <f t="shared" si="252"/>
        <v>1</v>
      </c>
      <c r="AB662" s="211">
        <f t="shared" si="253"/>
        <v>1</v>
      </c>
      <c r="AC662" s="211">
        <f t="shared" si="254"/>
        <v>0</v>
      </c>
      <c r="AD662" s="211">
        <f t="shared" si="255"/>
        <v>1</v>
      </c>
      <c r="AE662" s="211">
        <f t="shared" si="256"/>
        <v>1</v>
      </c>
    </row>
    <row r="663" spans="1:31" ht="24.95" customHeight="1" x14ac:dyDescent="0.25">
      <c r="B663" s="212">
        <f t="shared" si="258"/>
        <v>6</v>
      </c>
      <c r="C663" s="264" t="str">
        <f t="shared" si="244"/>
        <v>JUNED</v>
      </c>
      <c r="D663" s="213"/>
      <c r="E663" s="265" t="str">
        <f t="shared" si="245"/>
        <v>C</v>
      </c>
      <c r="F663" s="275" t="s">
        <v>36</v>
      </c>
      <c r="G663" s="215" t="s">
        <v>37</v>
      </c>
      <c r="H663" s="215" t="s">
        <v>37</v>
      </c>
      <c r="I663" s="215" t="s">
        <v>37</v>
      </c>
      <c r="J663" s="215" t="s">
        <v>37</v>
      </c>
      <c r="K663" s="215" t="s">
        <v>37</v>
      </c>
      <c r="L663" s="215" t="s">
        <v>37</v>
      </c>
      <c r="M663" s="274">
        <f t="shared" si="257"/>
        <v>6</v>
      </c>
      <c r="N663" s="217" t="str">
        <f t="shared" si="246"/>
        <v>Rp</v>
      </c>
      <c r="O663" s="266">
        <f t="shared" si="247"/>
        <v>100000</v>
      </c>
      <c r="P663" s="217" t="str">
        <f t="shared" si="248"/>
        <v>Rp</v>
      </c>
      <c r="Q663" s="219">
        <f t="shared" si="249"/>
        <v>600000</v>
      </c>
      <c r="R663" s="222"/>
      <c r="S663" s="223">
        <f>IF(Q663&gt;0,S661+2,IF(T663=0," "))</f>
        <v>6</v>
      </c>
      <c r="U663" s="211"/>
      <c r="V663" s="211"/>
      <c r="Y663" s="211">
        <f t="shared" si="250"/>
        <v>0</v>
      </c>
      <c r="Z663" s="211">
        <f t="shared" si="251"/>
        <v>1</v>
      </c>
      <c r="AA663" s="211">
        <f t="shared" si="252"/>
        <v>1</v>
      </c>
      <c r="AB663" s="211">
        <f t="shared" si="253"/>
        <v>1</v>
      </c>
      <c r="AC663" s="211">
        <f t="shared" si="254"/>
        <v>1</v>
      </c>
      <c r="AD663" s="211">
        <f t="shared" si="255"/>
        <v>1</v>
      </c>
      <c r="AE663" s="211">
        <f t="shared" si="256"/>
        <v>1</v>
      </c>
    </row>
    <row r="664" spans="1:31" ht="24.95" customHeight="1" x14ac:dyDescent="0.25">
      <c r="B664" s="212">
        <f t="shared" si="258"/>
        <v>7</v>
      </c>
      <c r="C664" s="264" t="str">
        <f t="shared" si="244"/>
        <v>LASITO</v>
      </c>
      <c r="D664" s="213"/>
      <c r="E664" s="265" t="str">
        <f t="shared" si="245"/>
        <v>C</v>
      </c>
      <c r="F664" s="275" t="s">
        <v>36</v>
      </c>
      <c r="G664" s="215" t="s">
        <v>37</v>
      </c>
      <c r="H664" s="215" t="s">
        <v>37</v>
      </c>
      <c r="I664" s="215" t="s">
        <v>37</v>
      </c>
      <c r="J664" s="215" t="s">
        <v>36</v>
      </c>
      <c r="K664" s="215" t="s">
        <v>37</v>
      </c>
      <c r="L664" s="215" t="s">
        <v>37</v>
      </c>
      <c r="M664" s="274">
        <f t="shared" si="257"/>
        <v>5</v>
      </c>
      <c r="N664" s="217" t="str">
        <f t="shared" si="246"/>
        <v>Rp</v>
      </c>
      <c r="O664" s="266">
        <f t="shared" si="247"/>
        <v>100000</v>
      </c>
      <c r="P664" s="217" t="str">
        <f t="shared" si="248"/>
        <v>Rp</v>
      </c>
      <c r="Q664" s="219">
        <f t="shared" si="249"/>
        <v>500000</v>
      </c>
      <c r="R664" s="222">
        <f>IF(Q664&gt;0,R662+2,IF(Q664=0," "))</f>
        <v>7</v>
      </c>
      <c r="S664" s="221"/>
      <c r="U664" s="211"/>
      <c r="V664" s="211"/>
      <c r="Y664" s="211">
        <f t="shared" si="250"/>
        <v>0</v>
      </c>
      <c r="Z664" s="211">
        <f t="shared" si="251"/>
        <v>1</v>
      </c>
      <c r="AA664" s="211">
        <f t="shared" si="252"/>
        <v>1</v>
      </c>
      <c r="AB664" s="211">
        <f t="shared" si="253"/>
        <v>1</v>
      </c>
      <c r="AC664" s="211">
        <f t="shared" si="254"/>
        <v>0</v>
      </c>
      <c r="AD664" s="211">
        <f t="shared" si="255"/>
        <v>1</v>
      </c>
      <c r="AE664" s="211">
        <f t="shared" si="256"/>
        <v>1</v>
      </c>
    </row>
    <row r="665" spans="1:31" ht="24.95" customHeight="1" x14ac:dyDescent="0.25">
      <c r="B665" s="212">
        <f t="shared" si="258"/>
        <v>8</v>
      </c>
      <c r="C665" s="264" t="str">
        <f t="shared" si="244"/>
        <v>BONANG</v>
      </c>
      <c r="D665" s="213"/>
      <c r="E665" s="265" t="str">
        <f t="shared" si="245"/>
        <v>C</v>
      </c>
      <c r="F665" s="275" t="s">
        <v>36</v>
      </c>
      <c r="G665" s="215" t="s">
        <v>37</v>
      </c>
      <c r="H665" s="215" t="s">
        <v>37</v>
      </c>
      <c r="I665" s="215" t="s">
        <v>37</v>
      </c>
      <c r="J665" s="215" t="s">
        <v>37</v>
      </c>
      <c r="K665" s="215" t="s">
        <v>37</v>
      </c>
      <c r="L665" s="215" t="s">
        <v>37</v>
      </c>
      <c r="M665" s="274">
        <f t="shared" si="257"/>
        <v>6</v>
      </c>
      <c r="N665" s="217" t="str">
        <f t="shared" si="246"/>
        <v>Rp</v>
      </c>
      <c r="O665" s="266">
        <f t="shared" si="247"/>
        <v>100000</v>
      </c>
      <c r="P665" s="217" t="str">
        <f t="shared" si="248"/>
        <v>Rp</v>
      </c>
      <c r="Q665" s="219">
        <f t="shared" si="249"/>
        <v>600000</v>
      </c>
      <c r="R665" s="222"/>
      <c r="S665" s="223">
        <f>IF(Q665&gt;0,S663+2,IF(T665=0," "))</f>
        <v>8</v>
      </c>
      <c r="U665" s="211"/>
      <c r="V665" s="211"/>
      <c r="Y665" s="211">
        <f t="shared" si="250"/>
        <v>0</v>
      </c>
      <c r="Z665" s="211">
        <f t="shared" si="251"/>
        <v>1</v>
      </c>
      <c r="AA665" s="211">
        <f t="shared" si="252"/>
        <v>1</v>
      </c>
      <c r="AB665" s="211">
        <f t="shared" si="253"/>
        <v>1</v>
      </c>
      <c r="AC665" s="211">
        <f t="shared" si="254"/>
        <v>1</v>
      </c>
      <c r="AD665" s="211">
        <f t="shared" si="255"/>
        <v>1</v>
      </c>
      <c r="AE665" s="211">
        <f t="shared" si="256"/>
        <v>1</v>
      </c>
    </row>
    <row r="666" spans="1:31" ht="24.95" customHeight="1" x14ac:dyDescent="0.25">
      <c r="B666" s="212">
        <f t="shared" si="258"/>
        <v>9</v>
      </c>
      <c r="C666" s="264">
        <f t="shared" si="244"/>
        <v>0</v>
      </c>
      <c r="D666" s="213"/>
      <c r="E666" s="265">
        <f t="shared" si="245"/>
        <v>0</v>
      </c>
      <c r="F666" s="275" t="s">
        <v>36</v>
      </c>
      <c r="G666" s="215" t="s">
        <v>37</v>
      </c>
      <c r="H666" s="215" t="s">
        <v>37</v>
      </c>
      <c r="I666" s="215" t="s">
        <v>37</v>
      </c>
      <c r="J666" s="215" t="s">
        <v>37</v>
      </c>
      <c r="K666" s="215" t="s">
        <v>37</v>
      </c>
      <c r="L666" s="215" t="s">
        <v>37</v>
      </c>
      <c r="M666" s="274">
        <f t="shared" si="257"/>
        <v>6</v>
      </c>
      <c r="N666" s="217" t="str">
        <f t="shared" si="246"/>
        <v xml:space="preserve"> </v>
      </c>
      <c r="O666" s="266">
        <f t="shared" si="247"/>
        <v>0</v>
      </c>
      <c r="P666" s="217" t="str">
        <f t="shared" si="248"/>
        <v xml:space="preserve"> </v>
      </c>
      <c r="Q666" s="219">
        <f t="shared" si="249"/>
        <v>0</v>
      </c>
      <c r="R666" s="222" t="str">
        <f>IF(Q666&gt;0,R664+2,IF(Q666=0," "))</f>
        <v xml:space="preserve"> </v>
      </c>
      <c r="S666" s="221"/>
      <c r="U666" s="211"/>
      <c r="V666" s="211"/>
      <c r="Y666" s="211">
        <f t="shared" si="250"/>
        <v>0</v>
      </c>
      <c r="Z666" s="211">
        <f t="shared" si="251"/>
        <v>1</v>
      </c>
      <c r="AA666" s="211">
        <f t="shared" si="252"/>
        <v>1</v>
      </c>
      <c r="AB666" s="211">
        <f t="shared" si="253"/>
        <v>1</v>
      </c>
      <c r="AC666" s="211">
        <f t="shared" si="254"/>
        <v>1</v>
      </c>
      <c r="AD666" s="211">
        <f t="shared" si="255"/>
        <v>1</v>
      </c>
      <c r="AE666" s="211">
        <f t="shared" si="256"/>
        <v>1</v>
      </c>
    </row>
    <row r="667" spans="1:31" ht="24.95" customHeight="1" x14ac:dyDescent="0.25">
      <c r="B667" s="212">
        <f t="shared" si="258"/>
        <v>10</v>
      </c>
      <c r="C667" s="264">
        <f t="shared" si="244"/>
        <v>0</v>
      </c>
      <c r="D667" s="213"/>
      <c r="E667" s="265">
        <f t="shared" si="245"/>
        <v>0</v>
      </c>
      <c r="F667" s="275" t="s">
        <v>36</v>
      </c>
      <c r="G667" s="215" t="s">
        <v>37</v>
      </c>
      <c r="H667" s="215" t="s">
        <v>37</v>
      </c>
      <c r="I667" s="215" t="s">
        <v>37</v>
      </c>
      <c r="J667" s="215" t="s">
        <v>37</v>
      </c>
      <c r="K667" s="215" t="s">
        <v>37</v>
      </c>
      <c r="L667" s="215" t="s">
        <v>37</v>
      </c>
      <c r="M667" s="274">
        <f t="shared" si="257"/>
        <v>6</v>
      </c>
      <c r="N667" s="217" t="str">
        <f t="shared" si="246"/>
        <v xml:space="preserve"> </v>
      </c>
      <c r="O667" s="266">
        <f t="shared" si="247"/>
        <v>0</v>
      </c>
      <c r="P667" s="217" t="str">
        <f t="shared" si="248"/>
        <v xml:space="preserve"> </v>
      </c>
      <c r="Q667" s="219">
        <f t="shared" si="249"/>
        <v>0</v>
      </c>
      <c r="R667" s="222"/>
      <c r="S667" s="223" t="str">
        <f>IF(Q667&gt;0,S665+2,IF(T667=0," "))</f>
        <v xml:space="preserve"> </v>
      </c>
      <c r="U667" s="211"/>
      <c r="V667" s="211"/>
      <c r="Y667" s="211">
        <f t="shared" si="250"/>
        <v>0</v>
      </c>
      <c r="Z667" s="211">
        <f t="shared" si="251"/>
        <v>1</v>
      </c>
      <c r="AA667" s="211">
        <f t="shared" si="252"/>
        <v>1</v>
      </c>
      <c r="AB667" s="211">
        <f t="shared" si="253"/>
        <v>1</v>
      </c>
      <c r="AC667" s="211">
        <f t="shared" si="254"/>
        <v>1</v>
      </c>
      <c r="AD667" s="211">
        <f t="shared" si="255"/>
        <v>1</v>
      </c>
      <c r="AE667" s="211">
        <f t="shared" si="256"/>
        <v>1</v>
      </c>
    </row>
    <row r="668" spans="1:31" ht="24.95" customHeight="1" x14ac:dyDescent="0.25">
      <c r="B668" s="212">
        <f t="shared" si="258"/>
        <v>11</v>
      </c>
      <c r="C668" s="264">
        <f t="shared" si="244"/>
        <v>0</v>
      </c>
      <c r="D668" s="213"/>
      <c r="E668" s="265">
        <f t="shared" si="245"/>
        <v>0</v>
      </c>
      <c r="F668" s="275" t="s">
        <v>36</v>
      </c>
      <c r="G668" s="215" t="s">
        <v>37</v>
      </c>
      <c r="H668" s="215" t="s">
        <v>37</v>
      </c>
      <c r="I668" s="215" t="s">
        <v>37</v>
      </c>
      <c r="J668" s="215" t="s">
        <v>36</v>
      </c>
      <c r="K668" s="215" t="s">
        <v>37</v>
      </c>
      <c r="L668" s="215" t="s">
        <v>37</v>
      </c>
      <c r="M668" s="274">
        <f t="shared" si="257"/>
        <v>5</v>
      </c>
      <c r="N668" s="217" t="str">
        <f t="shared" si="246"/>
        <v xml:space="preserve"> </v>
      </c>
      <c r="O668" s="266">
        <f t="shared" si="247"/>
        <v>0</v>
      </c>
      <c r="P668" s="217" t="str">
        <f t="shared" si="248"/>
        <v xml:space="preserve"> </v>
      </c>
      <c r="Q668" s="219">
        <f t="shared" si="249"/>
        <v>0</v>
      </c>
      <c r="R668" s="222" t="str">
        <f>IF(Q668&gt;0,R666+2,IF(Q668=0," "))</f>
        <v xml:space="preserve"> </v>
      </c>
      <c r="S668" s="221"/>
      <c r="U668" s="211"/>
      <c r="V668" s="211"/>
      <c r="Y668" s="211">
        <f t="shared" si="250"/>
        <v>0</v>
      </c>
      <c r="Z668" s="211">
        <f t="shared" si="251"/>
        <v>1</v>
      </c>
      <c r="AA668" s="211">
        <f t="shared" si="252"/>
        <v>1</v>
      </c>
      <c r="AB668" s="211">
        <f t="shared" si="253"/>
        <v>1</v>
      </c>
      <c r="AC668" s="211">
        <f t="shared" si="254"/>
        <v>0</v>
      </c>
      <c r="AD668" s="211">
        <f t="shared" si="255"/>
        <v>1</v>
      </c>
      <c r="AE668" s="211">
        <f t="shared" si="256"/>
        <v>1</v>
      </c>
    </row>
    <row r="669" spans="1:31" ht="24.95" customHeight="1" thickBot="1" x14ac:dyDescent="0.25">
      <c r="B669" s="233"/>
      <c r="C669" s="257"/>
      <c r="D669" s="235"/>
      <c r="E669" s="236"/>
      <c r="F669" s="237"/>
      <c r="G669" s="238"/>
      <c r="H669" s="239"/>
      <c r="I669" s="239"/>
      <c r="J669" s="240"/>
      <c r="K669" s="240"/>
      <c r="L669" s="240"/>
      <c r="M669" s="259"/>
      <c r="N669" s="242"/>
      <c r="O669" s="258"/>
      <c r="P669" s="244"/>
      <c r="Q669" s="236"/>
      <c r="R669" s="246"/>
      <c r="S669" s="247"/>
      <c r="U669" s="211"/>
      <c r="V669" s="211"/>
    </row>
    <row r="670" spans="1:31" ht="20.100000000000001" customHeight="1" thickTop="1" thickBot="1" x14ac:dyDescent="0.3">
      <c r="A670" s="179">
        <f>A632+1</f>
        <v>18</v>
      </c>
      <c r="B670" s="248"/>
      <c r="C670" s="249"/>
      <c r="D670" s="249"/>
      <c r="E670" s="249"/>
      <c r="F670" s="249"/>
      <c r="G670" s="249"/>
      <c r="H670" s="249"/>
      <c r="I670" s="249"/>
      <c r="J670" s="249"/>
      <c r="K670" s="249"/>
      <c r="L670" s="249"/>
      <c r="M670" s="249"/>
      <c r="N670" s="249"/>
      <c r="O670" s="250" t="s">
        <v>40</v>
      </c>
      <c r="P670" s="249"/>
      <c r="Q670" s="710">
        <f>SUM(Q658:Q669)</f>
        <v>4730000</v>
      </c>
      <c r="R670" s="711"/>
      <c r="S670" s="712"/>
      <c r="U670" s="226" t="e">
        <f>VLOOKUP(A670,'Rekap Gaji'!$B$12:$P$24,10,FALSE)</f>
        <v>#N/A</v>
      </c>
      <c r="V670" s="251" t="e">
        <f>U670-Q670</f>
        <v>#N/A</v>
      </c>
    </row>
    <row r="671" spans="1:31" ht="11.25" customHeight="1" x14ac:dyDescent="0.25"/>
    <row r="672" spans="1:31" ht="16.5" customHeight="1" x14ac:dyDescent="0.25">
      <c r="B672" s="195" t="s">
        <v>41</v>
      </c>
      <c r="C672" s="140" t="s">
        <v>42</v>
      </c>
    </row>
    <row r="673" spans="1:22" ht="14.25" x14ac:dyDescent="0.25">
      <c r="G673" s="183"/>
      <c r="H673" s="182"/>
      <c r="M673" s="141"/>
      <c r="N673" s="141"/>
      <c r="Q673" s="140" t="str">
        <f>'BKU 1'!$I$25</f>
        <v>NGANTANG</v>
      </c>
      <c r="R673" s="713" t="str">
        <f>IFERROR(VLOOKUP(E652,'Rekap Gaji'!$B$12:$P$24,7,FALSE),"-")</f>
        <v>-</v>
      </c>
      <c r="S673" s="713"/>
      <c r="T673" s="252"/>
      <c r="U673" s="252"/>
    </row>
    <row r="674" spans="1:22" ht="15.75" x14ac:dyDescent="0.25">
      <c r="C674" s="140" t="s">
        <v>43</v>
      </c>
      <c r="F674" s="253"/>
      <c r="G674" s="254"/>
      <c r="H674" s="255"/>
      <c r="I674" s="256"/>
      <c r="J674" s="225" t="s">
        <v>44</v>
      </c>
      <c r="K674" s="253"/>
      <c r="M674" s="141"/>
      <c r="N674" s="141"/>
      <c r="Q674" s="140" t="str">
        <f>'BKU 1'!$L$354</f>
        <v>Dibuat Oleh ;</v>
      </c>
      <c r="R674" s="141"/>
    </row>
    <row r="675" spans="1:22" ht="14.25" x14ac:dyDescent="0.25">
      <c r="C675" s="140" t="str">
        <f>'BKU 1'!$C$355</f>
        <v>Kepala Sekolah SDN 1 SIDODADI</v>
      </c>
      <c r="F675" s="187"/>
      <c r="G675" s="224"/>
      <c r="H675" s="182"/>
      <c r="I675" s="183"/>
      <c r="J675" s="140" t="s">
        <v>45</v>
      </c>
      <c r="K675" s="187"/>
      <c r="Q675" s="140" t="str">
        <f>'BKU 1'!$L$355</f>
        <v>Bendahara Pembangunan</v>
      </c>
      <c r="R675" s="141"/>
    </row>
    <row r="676" spans="1:22" ht="14.25" x14ac:dyDescent="0.25">
      <c r="F676" s="187"/>
      <c r="G676" s="224"/>
      <c r="H676" s="182"/>
      <c r="I676" s="183"/>
      <c r="K676" s="187"/>
      <c r="Q676" s="140"/>
      <c r="R676" s="141"/>
    </row>
    <row r="677" spans="1:22" ht="14.25" x14ac:dyDescent="0.25">
      <c r="F677" s="187"/>
      <c r="G677" s="224"/>
      <c r="H677" s="182"/>
      <c r="I677" s="183"/>
      <c r="K677" s="187"/>
      <c r="Q677" s="140"/>
      <c r="R677" s="141"/>
    </row>
    <row r="678" spans="1:22" ht="14.25" x14ac:dyDescent="0.25">
      <c r="F678" s="187"/>
      <c r="G678" s="224"/>
      <c r="H678" s="182"/>
      <c r="I678" s="183"/>
      <c r="K678" s="187"/>
      <c r="Q678" s="140"/>
      <c r="R678" s="141"/>
    </row>
    <row r="679" spans="1:22" ht="14.25" x14ac:dyDescent="0.25">
      <c r="F679" s="187"/>
      <c r="G679" s="224"/>
      <c r="H679" s="182"/>
      <c r="I679" s="183"/>
      <c r="K679" s="187"/>
      <c r="Q679" s="140"/>
      <c r="R679" s="141"/>
    </row>
    <row r="680" spans="1:22" x14ac:dyDescent="0.25">
      <c r="G680" s="225"/>
      <c r="Q680" s="140"/>
    </row>
    <row r="681" spans="1:22" x14ac:dyDescent="0.25">
      <c r="G681" s="225"/>
      <c r="Q681" s="140"/>
    </row>
    <row r="682" spans="1:22" s="189" customFormat="1" ht="15" customHeight="1" x14ac:dyDescent="0.25">
      <c r="A682" s="192"/>
      <c r="B682" s="195"/>
      <c r="C682" s="227" t="str">
        <f>'BKU 1'!$C$360</f>
        <v>MELIA FITRIANI, S.Pd.SD</v>
      </c>
      <c r="D682" s="227"/>
      <c r="G682" s="228"/>
      <c r="H682" s="195"/>
      <c r="I682" s="194"/>
      <c r="J682" s="229">
        <f>'BKU 1'!$G$360</f>
        <v>0</v>
      </c>
      <c r="Q682" s="227" t="str">
        <f>'BKU 1'!$L$360</f>
        <v>ARIF NUR UDIN, S.Pd.SD</v>
      </c>
      <c r="S682" s="230"/>
      <c r="U682" s="231"/>
      <c r="V682" s="231"/>
    </row>
    <row r="683" spans="1:22" s="189" customFormat="1" ht="15" customHeight="1" x14ac:dyDescent="0.25">
      <c r="A683" s="192"/>
      <c r="B683" s="195"/>
      <c r="C683" s="140" t="str">
        <f>'BKU 1'!$C$361</f>
        <v>NIP. 19850619 200904 2 000</v>
      </c>
      <c r="D683" s="140"/>
      <c r="E683" s="140"/>
      <c r="F683" s="140"/>
      <c r="G683" s="225"/>
      <c r="H683" s="191"/>
      <c r="I683" s="190"/>
      <c r="J683" s="232">
        <f>'BKU 1'!$G$361</f>
        <v>0</v>
      </c>
      <c r="K683" s="140"/>
      <c r="M683" s="140"/>
      <c r="N683" s="140"/>
      <c r="O683" s="140"/>
      <c r="P683" s="140"/>
      <c r="Q683" s="140" t="str">
        <f>'BKU 1'!$L$361</f>
        <v>NIP. 19840719 200903 1 002</v>
      </c>
      <c r="S683" s="230"/>
      <c r="U683" s="231"/>
      <c r="V683" s="231"/>
    </row>
    <row r="684" spans="1:22" ht="6" customHeight="1" x14ac:dyDescent="0.25"/>
    <row r="685" spans="1:22" s="177" customFormat="1" ht="24.95" customHeight="1" x14ac:dyDescent="0.25">
      <c r="A685" s="176"/>
      <c r="B685" s="726" t="s">
        <v>6</v>
      </c>
      <c r="C685" s="726"/>
      <c r="D685" s="726"/>
      <c r="E685" s="726"/>
      <c r="F685" s="726"/>
      <c r="G685" s="726"/>
      <c r="H685" s="726"/>
      <c r="I685" s="726"/>
      <c r="J685" s="726"/>
      <c r="K685" s="726"/>
      <c r="L685" s="726"/>
      <c r="M685" s="726"/>
      <c r="N685" s="726"/>
      <c r="O685" s="726"/>
      <c r="P685" s="726"/>
      <c r="Q685" s="726"/>
      <c r="R685" s="726"/>
      <c r="S685" s="726"/>
      <c r="U685" s="178"/>
      <c r="V685" s="178"/>
    </row>
    <row r="686" spans="1:22" s="177" customFormat="1" ht="24.95" customHeight="1" x14ac:dyDescent="0.25">
      <c r="A686" s="176"/>
      <c r="B686" s="726" t="str">
        <f>'BKU 1'!$D$22</f>
        <v>PEMBANGUNAN TOILET BESERTA SANITASINYA</v>
      </c>
      <c r="C686" s="726"/>
      <c r="D686" s="726"/>
      <c r="E686" s="726"/>
      <c r="F686" s="726"/>
      <c r="G686" s="726"/>
      <c r="H686" s="726"/>
      <c r="I686" s="726"/>
      <c r="J686" s="726"/>
      <c r="K686" s="726"/>
      <c r="L686" s="726"/>
      <c r="M686" s="726"/>
      <c r="N686" s="726"/>
      <c r="O686" s="726"/>
      <c r="P686" s="726"/>
      <c r="Q686" s="726"/>
      <c r="R686" s="726"/>
      <c r="S686" s="726"/>
      <c r="U686" s="178"/>
      <c r="V686" s="178"/>
    </row>
    <row r="687" spans="1:22" s="184" customFormat="1" ht="30.75" customHeight="1" x14ac:dyDescent="0.25">
      <c r="A687" s="179"/>
      <c r="B687" s="180"/>
      <c r="C687" s="181"/>
      <c r="D687" s="181"/>
      <c r="E687" s="181"/>
      <c r="F687" s="182"/>
      <c r="G687" s="183"/>
      <c r="H687" s="182"/>
      <c r="I687" s="183"/>
      <c r="J687" s="182"/>
      <c r="K687" s="182"/>
      <c r="L687" s="182"/>
      <c r="M687" s="181"/>
      <c r="N687" s="181"/>
      <c r="Q687" s="180"/>
      <c r="R687" s="140"/>
      <c r="S687" s="185"/>
      <c r="U687" s="186"/>
      <c r="V687" s="186"/>
    </row>
    <row r="688" spans="1:22" s="184" customFormat="1" ht="14.25" x14ac:dyDescent="0.25">
      <c r="A688" s="179"/>
      <c r="B688" s="185" t="s">
        <v>7</v>
      </c>
      <c r="D688" s="184" t="s">
        <v>49</v>
      </c>
      <c r="E688" s="184" t="str">
        <f>'BKU 1'!$D$25</f>
        <v>SDN 1 SIDODADI</v>
      </c>
      <c r="F688" s="140"/>
      <c r="G688" s="183"/>
      <c r="H688" s="182"/>
      <c r="I688" s="183"/>
      <c r="J688" s="187"/>
      <c r="K688" s="187"/>
      <c r="L688" s="187"/>
      <c r="M688" s="188"/>
      <c r="N688" s="188"/>
      <c r="Q688" s="180"/>
      <c r="R688" s="189" t="s">
        <v>8</v>
      </c>
      <c r="S688" s="185"/>
      <c r="U688" s="186"/>
      <c r="V688" s="186"/>
    </row>
    <row r="689" spans="1:31" s="184" customFormat="1" x14ac:dyDescent="0.25">
      <c r="A689" s="179"/>
      <c r="B689" s="185" t="s">
        <v>9</v>
      </c>
      <c r="D689" s="184" t="s">
        <v>49</v>
      </c>
      <c r="E689" s="184" t="str">
        <f>'BKU 1'!$D$26</f>
        <v>Jl. Kawi No.36 Rt. 1 Rw. 1 Dusun Sekar, Rt / Rw : 1 / 1, Dusun : Sekar, Kelurahan : Sidodadi</v>
      </c>
      <c r="F689" s="140"/>
      <c r="G689" s="190"/>
      <c r="H689" s="191"/>
      <c r="I689" s="190"/>
      <c r="J689" s="140"/>
      <c r="K689" s="140"/>
      <c r="L689" s="140"/>
      <c r="Q689" s="180"/>
      <c r="R689" s="140" t="s">
        <v>10</v>
      </c>
      <c r="S689" s="185" t="s">
        <v>11</v>
      </c>
      <c r="U689" s="186"/>
      <c r="V689" s="186"/>
    </row>
    <row r="690" spans="1:31" s="184" customFormat="1" x14ac:dyDescent="0.25">
      <c r="A690" s="179"/>
      <c r="B690" s="185" t="s">
        <v>12</v>
      </c>
      <c r="D690" s="184" t="s">
        <v>49</v>
      </c>
      <c r="E690" s="180">
        <f>E652+1</f>
        <v>19</v>
      </c>
      <c r="F690" s="140"/>
      <c r="G690" s="727" t="str">
        <f>IFERROR(VLOOKUP(E690,'Rekap Gaji'!$B$12:$P$24,14,FALSE),"-")</f>
        <v>-</v>
      </c>
      <c r="H690" s="727"/>
      <c r="I690" s="727"/>
      <c r="J690" s="140"/>
      <c r="K690" s="140"/>
      <c r="L690" s="140"/>
      <c r="Q690" s="180"/>
      <c r="R690" s="140" t="s">
        <v>13</v>
      </c>
      <c r="S690" s="185" t="s">
        <v>14</v>
      </c>
      <c r="U690" s="186"/>
      <c r="V690" s="186"/>
    </row>
    <row r="691" spans="1:31" s="184" customFormat="1" ht="15" customHeight="1" x14ac:dyDescent="0.25">
      <c r="A691" s="179"/>
      <c r="B691" s="185" t="s">
        <v>0</v>
      </c>
      <c r="D691" s="184" t="s">
        <v>49</v>
      </c>
      <c r="E691" s="728" t="str">
        <f>IFERROR(VLOOKUP(E690,'Rekap Gaji'!$B$12:$P$24,4,FALSE),"-")</f>
        <v>-</v>
      </c>
      <c r="F691" s="728"/>
      <c r="G691" s="728"/>
      <c r="H691" s="728"/>
      <c r="I691" s="727" t="s">
        <v>76</v>
      </c>
      <c r="J691" s="727"/>
      <c r="K691" s="728" t="str">
        <f>IFERROR(VLOOKUP(E690,'Rekap Gaji'!$B$12:$P$24,6,FALSE),"-")</f>
        <v>-</v>
      </c>
      <c r="L691" s="728"/>
      <c r="M691" s="728"/>
      <c r="N691" s="728"/>
      <c r="Q691" s="180"/>
      <c r="R691" s="140" t="s">
        <v>15</v>
      </c>
      <c r="S691" s="185" t="s">
        <v>16</v>
      </c>
      <c r="U691" s="186"/>
      <c r="V691" s="186"/>
    </row>
    <row r="692" spans="1:31" s="188" customFormat="1" ht="8.1" customHeight="1" thickBot="1" x14ac:dyDescent="0.3">
      <c r="A692" s="192"/>
      <c r="B692" s="193"/>
      <c r="F692" s="189"/>
      <c r="G692" s="194"/>
      <c r="H692" s="195"/>
      <c r="I692" s="194"/>
      <c r="J692" s="189"/>
      <c r="K692" s="189"/>
      <c r="L692" s="189"/>
      <c r="Q692" s="193"/>
      <c r="R692" s="189"/>
      <c r="S692" s="196"/>
      <c r="U692" s="197"/>
      <c r="V692" s="197"/>
    </row>
    <row r="693" spans="1:31" ht="15" customHeight="1" x14ac:dyDescent="0.25">
      <c r="B693" s="729" t="s">
        <v>17</v>
      </c>
      <c r="C693" s="717" t="s">
        <v>18</v>
      </c>
      <c r="D693" s="732"/>
      <c r="E693" s="268" t="s">
        <v>19</v>
      </c>
      <c r="F693" s="717" t="s">
        <v>20</v>
      </c>
      <c r="G693" s="734"/>
      <c r="H693" s="734"/>
      <c r="I693" s="734"/>
      <c r="J693" s="734"/>
      <c r="K693" s="734"/>
      <c r="L693" s="732"/>
      <c r="M693" s="267" t="s">
        <v>2</v>
      </c>
      <c r="N693" s="717" t="s">
        <v>21</v>
      </c>
      <c r="O693" s="732"/>
      <c r="P693" s="717" t="s">
        <v>22</v>
      </c>
      <c r="Q693" s="732"/>
      <c r="R693" s="717" t="s">
        <v>23</v>
      </c>
      <c r="S693" s="718"/>
    </row>
    <row r="694" spans="1:31" ht="15" customHeight="1" x14ac:dyDescent="0.25">
      <c r="B694" s="730"/>
      <c r="C694" s="719"/>
      <c r="D694" s="725"/>
      <c r="E694" s="270" t="s">
        <v>24</v>
      </c>
      <c r="F694" s="723" t="s">
        <v>25</v>
      </c>
      <c r="G694" s="723" t="s">
        <v>26</v>
      </c>
      <c r="H694" s="723" t="s">
        <v>26</v>
      </c>
      <c r="I694" s="723" t="s">
        <v>27</v>
      </c>
      <c r="J694" s="723" t="s">
        <v>28</v>
      </c>
      <c r="K694" s="723" t="s">
        <v>29</v>
      </c>
      <c r="L694" s="723" t="s">
        <v>26</v>
      </c>
      <c r="M694" s="269" t="s">
        <v>30</v>
      </c>
      <c r="N694" s="719" t="s">
        <v>31</v>
      </c>
      <c r="O694" s="725"/>
      <c r="P694" s="719" t="s">
        <v>31</v>
      </c>
      <c r="Q694" s="725"/>
      <c r="R694" s="719"/>
      <c r="S694" s="720"/>
    </row>
    <row r="695" spans="1:31" ht="15" customHeight="1" thickBot="1" x14ac:dyDescent="0.3">
      <c r="B695" s="731"/>
      <c r="C695" s="721"/>
      <c r="D695" s="733"/>
      <c r="E695" s="272" t="s">
        <v>32</v>
      </c>
      <c r="F695" s="724"/>
      <c r="G695" s="724"/>
      <c r="H695" s="724"/>
      <c r="I695" s="724"/>
      <c r="J695" s="724"/>
      <c r="K695" s="724"/>
      <c r="L695" s="724"/>
      <c r="M695" s="271" t="s">
        <v>31</v>
      </c>
      <c r="N695" s="721" t="s">
        <v>33</v>
      </c>
      <c r="O695" s="733"/>
      <c r="P695" s="721" t="s">
        <v>34</v>
      </c>
      <c r="Q695" s="733"/>
      <c r="R695" s="721"/>
      <c r="S695" s="722"/>
    </row>
    <row r="696" spans="1:31" ht="24.95" customHeight="1" x14ac:dyDescent="0.25">
      <c r="B696" s="201">
        <v>1</v>
      </c>
      <c r="C696" s="261" t="str">
        <f t="shared" ref="C696:C706" si="259">IFERROR(C658," ")</f>
        <v>KHUSNUL</v>
      </c>
      <c r="D696" s="203"/>
      <c r="E696" s="262" t="str">
        <f t="shared" ref="E696:E706" si="260">IFERROR(E658," ")</f>
        <v>A</v>
      </c>
      <c r="F696" s="205" t="s">
        <v>36</v>
      </c>
      <c r="G696" s="205" t="s">
        <v>37</v>
      </c>
      <c r="H696" s="205" t="s">
        <v>37</v>
      </c>
      <c r="I696" s="205" t="s">
        <v>37</v>
      </c>
      <c r="J696" s="205" t="s">
        <v>37</v>
      </c>
      <c r="K696" s="205" t="s">
        <v>37</v>
      </c>
      <c r="L696" s="205" t="s">
        <v>37</v>
      </c>
      <c r="M696" s="273">
        <f>SUM(Y696:AE696)</f>
        <v>6</v>
      </c>
      <c r="N696" s="207" t="str">
        <f t="shared" ref="N696:N706" si="261">IF(O696&gt;0,"Rp",IF(O696=0," "))</f>
        <v>Rp</v>
      </c>
      <c r="O696" s="263">
        <f t="shared" ref="O696:O706" si="262">IFERROR(O658," ")</f>
        <v>130000</v>
      </c>
      <c r="P696" s="207" t="str">
        <f t="shared" ref="P696:P706" si="263">IF(Q696&gt;0,"Rp",IF(Q696=0," "))</f>
        <v>Rp</v>
      </c>
      <c r="Q696" s="208">
        <f t="shared" ref="Q696:Q706" si="264">O696*M696</f>
        <v>780000</v>
      </c>
      <c r="R696" s="209">
        <f>IF(Q696&gt;0,1,IF(Q696=0," "))</f>
        <v>1</v>
      </c>
      <c r="S696" s="210"/>
      <c r="U696" s="260"/>
      <c r="V696" s="140"/>
      <c r="Y696" s="211">
        <f t="shared" ref="Y696:Y706" si="265">IFERROR(IF(F696="V",1,IF(F696="X",0))," ")</f>
        <v>0</v>
      </c>
      <c r="Z696" s="211">
        <f t="shared" ref="Z696:Z706" si="266">IFERROR(IF(G696="V",1,IF(G696="X",0))," ")</f>
        <v>1</v>
      </c>
      <c r="AA696" s="211">
        <f t="shared" ref="AA696:AA706" si="267">IFERROR(IF(H696="V",1,IF(H696="X",0))," ")</f>
        <v>1</v>
      </c>
      <c r="AB696" s="211">
        <f t="shared" ref="AB696:AB706" si="268">IFERROR(IF(I696="V",1,IF(I696="X",0))," ")</f>
        <v>1</v>
      </c>
      <c r="AC696" s="211">
        <f t="shared" ref="AC696:AC706" si="269">IFERROR(IF(J696="V",1,IF(J696="X",0))," ")</f>
        <v>1</v>
      </c>
      <c r="AD696" s="211">
        <f t="shared" ref="AD696:AD706" si="270">IFERROR(IF(K696="V",1,IF(K696="X",0))," ")</f>
        <v>1</v>
      </c>
      <c r="AE696" s="211">
        <f t="shared" ref="AE696:AE706" si="271">IFERROR(IF(L696="V",1,IF(L696="X",0))," ")</f>
        <v>1</v>
      </c>
    </row>
    <row r="697" spans="1:31" ht="24.95" customHeight="1" x14ac:dyDescent="0.25">
      <c r="B697" s="212">
        <f>B696+1</f>
        <v>2</v>
      </c>
      <c r="C697" s="264" t="str">
        <f t="shared" si="259"/>
        <v>PRIYO</v>
      </c>
      <c r="D697" s="213"/>
      <c r="E697" s="265" t="str">
        <f t="shared" si="260"/>
        <v>B</v>
      </c>
      <c r="F697" s="215" t="s">
        <v>36</v>
      </c>
      <c r="G697" s="215" t="s">
        <v>37</v>
      </c>
      <c r="H697" s="215" t="s">
        <v>37</v>
      </c>
      <c r="I697" s="215" t="s">
        <v>37</v>
      </c>
      <c r="J697" s="215" t="s">
        <v>37</v>
      </c>
      <c r="K697" s="215" t="s">
        <v>36</v>
      </c>
      <c r="L697" s="215" t="s">
        <v>37</v>
      </c>
      <c r="M697" s="274">
        <f t="shared" ref="M697:M706" si="272">SUM(Y697:AE697)</f>
        <v>5</v>
      </c>
      <c r="N697" s="217" t="str">
        <f t="shared" si="261"/>
        <v>Rp</v>
      </c>
      <c r="O697" s="266">
        <f t="shared" si="262"/>
        <v>125000</v>
      </c>
      <c r="P697" s="217" t="str">
        <f t="shared" si="263"/>
        <v>Rp</v>
      </c>
      <c r="Q697" s="219">
        <f t="shared" si="264"/>
        <v>625000</v>
      </c>
      <c r="R697" s="220"/>
      <c r="S697" s="221">
        <f>IF(Q697&gt;0,2,IF(Q696=0," "))</f>
        <v>2</v>
      </c>
      <c r="U697" s="211"/>
      <c r="V697" s="211"/>
      <c r="Y697" s="211">
        <f t="shared" si="265"/>
        <v>0</v>
      </c>
      <c r="Z697" s="211">
        <f t="shared" si="266"/>
        <v>1</v>
      </c>
      <c r="AA697" s="211">
        <f t="shared" si="267"/>
        <v>1</v>
      </c>
      <c r="AB697" s="211">
        <f t="shared" si="268"/>
        <v>1</v>
      </c>
      <c r="AC697" s="211">
        <f t="shared" si="269"/>
        <v>1</v>
      </c>
      <c r="AD697" s="211">
        <f t="shared" si="270"/>
        <v>0</v>
      </c>
      <c r="AE697" s="211">
        <f t="shared" si="271"/>
        <v>1</v>
      </c>
    </row>
    <row r="698" spans="1:31" ht="24.95" customHeight="1" x14ac:dyDescent="0.25">
      <c r="B698" s="212">
        <f>B697+1</f>
        <v>3</v>
      </c>
      <c r="C698" s="264" t="str">
        <f t="shared" si="259"/>
        <v>NANANG</v>
      </c>
      <c r="D698" s="213"/>
      <c r="E698" s="265" t="str">
        <f t="shared" si="260"/>
        <v>B</v>
      </c>
      <c r="F698" s="215" t="s">
        <v>36</v>
      </c>
      <c r="G698" s="215" t="s">
        <v>37</v>
      </c>
      <c r="H698" s="215" t="s">
        <v>37</v>
      </c>
      <c r="I698" s="215" t="s">
        <v>37</v>
      </c>
      <c r="J698" s="215" t="s">
        <v>37</v>
      </c>
      <c r="K698" s="215" t="s">
        <v>37</v>
      </c>
      <c r="L698" s="215" t="s">
        <v>37</v>
      </c>
      <c r="M698" s="274">
        <f t="shared" si="272"/>
        <v>6</v>
      </c>
      <c r="N698" s="217" t="str">
        <f t="shared" si="261"/>
        <v>Rp</v>
      </c>
      <c r="O698" s="266">
        <f t="shared" si="262"/>
        <v>125000</v>
      </c>
      <c r="P698" s="217" t="str">
        <f t="shared" si="263"/>
        <v>Rp</v>
      </c>
      <c r="Q698" s="219">
        <f t="shared" si="264"/>
        <v>750000</v>
      </c>
      <c r="R698" s="222">
        <f>IF(Q698&gt;0,R696+2,IF(Q698=0," "))</f>
        <v>3</v>
      </c>
      <c r="S698" s="221"/>
      <c r="U698" s="211"/>
      <c r="V698" s="211"/>
      <c r="Y698" s="211">
        <f t="shared" si="265"/>
        <v>0</v>
      </c>
      <c r="Z698" s="211">
        <f t="shared" si="266"/>
        <v>1</v>
      </c>
      <c r="AA698" s="211">
        <f t="shared" si="267"/>
        <v>1</v>
      </c>
      <c r="AB698" s="211">
        <f t="shared" si="268"/>
        <v>1</v>
      </c>
      <c r="AC698" s="211">
        <f t="shared" si="269"/>
        <v>1</v>
      </c>
      <c r="AD698" s="211">
        <f t="shared" si="270"/>
        <v>1</v>
      </c>
      <c r="AE698" s="211">
        <f t="shared" si="271"/>
        <v>1</v>
      </c>
    </row>
    <row r="699" spans="1:31" ht="24.95" customHeight="1" x14ac:dyDescent="0.25">
      <c r="B699" s="212">
        <f>B698+1</f>
        <v>4</v>
      </c>
      <c r="C699" s="264" t="str">
        <f t="shared" si="259"/>
        <v>KOIREN</v>
      </c>
      <c r="D699" s="213"/>
      <c r="E699" s="265" t="str">
        <f t="shared" si="260"/>
        <v>B</v>
      </c>
      <c r="F699" s="215" t="s">
        <v>36</v>
      </c>
      <c r="G699" s="215" t="s">
        <v>37</v>
      </c>
      <c r="H699" s="215" t="s">
        <v>37</v>
      </c>
      <c r="I699" s="215" t="s">
        <v>37</v>
      </c>
      <c r="J699" s="215" t="s">
        <v>36</v>
      </c>
      <c r="K699" s="215" t="s">
        <v>37</v>
      </c>
      <c r="L699" s="215" t="s">
        <v>37</v>
      </c>
      <c r="M699" s="274">
        <f t="shared" si="272"/>
        <v>5</v>
      </c>
      <c r="N699" s="217" t="str">
        <f t="shared" si="261"/>
        <v>Rp</v>
      </c>
      <c r="O699" s="266">
        <f t="shared" si="262"/>
        <v>125000</v>
      </c>
      <c r="P699" s="217" t="str">
        <f t="shared" si="263"/>
        <v>Rp</v>
      </c>
      <c r="Q699" s="219">
        <f t="shared" si="264"/>
        <v>625000</v>
      </c>
      <c r="R699" s="222"/>
      <c r="S699" s="223">
        <f>IF(Q699&gt;0,S697+2,IF(T699=0," "))</f>
        <v>4</v>
      </c>
      <c r="U699" s="211"/>
      <c r="V699" s="211"/>
      <c r="Y699" s="211">
        <f t="shared" si="265"/>
        <v>0</v>
      </c>
      <c r="Z699" s="211">
        <f t="shared" si="266"/>
        <v>1</v>
      </c>
      <c r="AA699" s="211">
        <f t="shared" si="267"/>
        <v>1</v>
      </c>
      <c r="AB699" s="211">
        <f t="shared" si="268"/>
        <v>1</v>
      </c>
      <c r="AC699" s="211">
        <f t="shared" si="269"/>
        <v>0</v>
      </c>
      <c r="AD699" s="211">
        <f t="shared" si="270"/>
        <v>1</v>
      </c>
      <c r="AE699" s="211">
        <f t="shared" si="271"/>
        <v>1</v>
      </c>
    </row>
    <row r="700" spans="1:31" ht="24.95" customHeight="1" x14ac:dyDescent="0.25">
      <c r="B700" s="212">
        <f t="shared" ref="B700:B706" si="273">B699+1</f>
        <v>5</v>
      </c>
      <c r="C700" s="264" t="str">
        <f t="shared" si="259"/>
        <v>MAT</v>
      </c>
      <c r="D700" s="213"/>
      <c r="E700" s="265" t="str">
        <f t="shared" si="260"/>
        <v>C</v>
      </c>
      <c r="F700" s="215" t="s">
        <v>36</v>
      </c>
      <c r="G700" s="215" t="s">
        <v>37</v>
      </c>
      <c r="H700" s="215" t="s">
        <v>37</v>
      </c>
      <c r="I700" s="215" t="s">
        <v>37</v>
      </c>
      <c r="J700" s="215" t="s">
        <v>37</v>
      </c>
      <c r="K700" s="215" t="s">
        <v>37</v>
      </c>
      <c r="L700" s="215" t="s">
        <v>37</v>
      </c>
      <c r="M700" s="274">
        <f t="shared" si="272"/>
        <v>6</v>
      </c>
      <c r="N700" s="217" t="str">
        <f t="shared" si="261"/>
        <v>Rp</v>
      </c>
      <c r="O700" s="266">
        <f t="shared" si="262"/>
        <v>100000</v>
      </c>
      <c r="P700" s="217" t="str">
        <f t="shared" si="263"/>
        <v>Rp</v>
      </c>
      <c r="Q700" s="219">
        <f t="shared" si="264"/>
        <v>600000</v>
      </c>
      <c r="R700" s="222">
        <f>IF(Q700&gt;0,R698+2,IF(Q700=0," "))</f>
        <v>5</v>
      </c>
      <c r="S700" s="221"/>
      <c r="U700" s="211"/>
      <c r="V700" s="211"/>
      <c r="Y700" s="211">
        <f t="shared" si="265"/>
        <v>0</v>
      </c>
      <c r="Z700" s="211">
        <f t="shared" si="266"/>
        <v>1</v>
      </c>
      <c r="AA700" s="211">
        <f t="shared" si="267"/>
        <v>1</v>
      </c>
      <c r="AB700" s="211">
        <f t="shared" si="268"/>
        <v>1</v>
      </c>
      <c r="AC700" s="211">
        <f t="shared" si="269"/>
        <v>1</v>
      </c>
      <c r="AD700" s="211">
        <f t="shared" si="270"/>
        <v>1</v>
      </c>
      <c r="AE700" s="211">
        <f t="shared" si="271"/>
        <v>1</v>
      </c>
    </row>
    <row r="701" spans="1:31" ht="24.95" customHeight="1" x14ac:dyDescent="0.25">
      <c r="B701" s="212">
        <f t="shared" si="273"/>
        <v>6</v>
      </c>
      <c r="C701" s="264" t="str">
        <f t="shared" si="259"/>
        <v>JUNED</v>
      </c>
      <c r="D701" s="213"/>
      <c r="E701" s="265" t="str">
        <f t="shared" si="260"/>
        <v>C</v>
      </c>
      <c r="F701" s="215" t="s">
        <v>36</v>
      </c>
      <c r="G701" s="215" t="s">
        <v>37</v>
      </c>
      <c r="H701" s="215" t="s">
        <v>36</v>
      </c>
      <c r="I701" s="215" t="s">
        <v>37</v>
      </c>
      <c r="J701" s="215" t="s">
        <v>37</v>
      </c>
      <c r="K701" s="215" t="s">
        <v>37</v>
      </c>
      <c r="L701" s="215" t="s">
        <v>37</v>
      </c>
      <c r="M701" s="274">
        <f t="shared" si="272"/>
        <v>5</v>
      </c>
      <c r="N701" s="217" t="str">
        <f t="shared" si="261"/>
        <v>Rp</v>
      </c>
      <c r="O701" s="266">
        <f t="shared" si="262"/>
        <v>100000</v>
      </c>
      <c r="P701" s="217" t="str">
        <f t="shared" si="263"/>
        <v>Rp</v>
      </c>
      <c r="Q701" s="219">
        <f t="shared" si="264"/>
        <v>500000</v>
      </c>
      <c r="R701" s="222"/>
      <c r="S701" s="223">
        <f>IF(Q701&gt;0,S699+2,IF(T701=0," "))</f>
        <v>6</v>
      </c>
      <c r="U701" s="211"/>
      <c r="V701" s="211"/>
      <c r="Y701" s="211">
        <f t="shared" si="265"/>
        <v>0</v>
      </c>
      <c r="Z701" s="211">
        <f t="shared" si="266"/>
        <v>1</v>
      </c>
      <c r="AA701" s="211">
        <f t="shared" si="267"/>
        <v>0</v>
      </c>
      <c r="AB701" s="211">
        <f t="shared" si="268"/>
        <v>1</v>
      </c>
      <c r="AC701" s="211">
        <f t="shared" si="269"/>
        <v>1</v>
      </c>
      <c r="AD701" s="211">
        <f t="shared" si="270"/>
        <v>1</v>
      </c>
      <c r="AE701" s="211">
        <f t="shared" si="271"/>
        <v>1</v>
      </c>
    </row>
    <row r="702" spans="1:31" ht="24.95" customHeight="1" x14ac:dyDescent="0.25">
      <c r="B702" s="212">
        <f t="shared" si="273"/>
        <v>7</v>
      </c>
      <c r="C702" s="264" t="str">
        <f t="shared" si="259"/>
        <v>LASITO</v>
      </c>
      <c r="D702" s="213"/>
      <c r="E702" s="265" t="str">
        <f t="shared" si="260"/>
        <v>C</v>
      </c>
      <c r="F702" s="275" t="s">
        <v>36</v>
      </c>
      <c r="G702" s="215" t="s">
        <v>37</v>
      </c>
      <c r="H702" s="215" t="s">
        <v>37</v>
      </c>
      <c r="I702" s="215" t="s">
        <v>37</v>
      </c>
      <c r="J702" s="215" t="s">
        <v>37</v>
      </c>
      <c r="K702" s="215" t="s">
        <v>37</v>
      </c>
      <c r="L702" s="215" t="s">
        <v>37</v>
      </c>
      <c r="M702" s="274">
        <f t="shared" si="272"/>
        <v>6</v>
      </c>
      <c r="N702" s="217" t="str">
        <f t="shared" si="261"/>
        <v>Rp</v>
      </c>
      <c r="O702" s="266">
        <f t="shared" si="262"/>
        <v>100000</v>
      </c>
      <c r="P702" s="217" t="str">
        <f t="shared" si="263"/>
        <v>Rp</v>
      </c>
      <c r="Q702" s="219">
        <f t="shared" si="264"/>
        <v>600000</v>
      </c>
      <c r="R702" s="222">
        <f>IF(Q702&gt;0,R700+2,IF(Q702=0," "))</f>
        <v>7</v>
      </c>
      <c r="S702" s="221"/>
      <c r="U702" s="211"/>
      <c r="V702" s="211"/>
      <c r="Y702" s="211">
        <f t="shared" si="265"/>
        <v>0</v>
      </c>
      <c r="Z702" s="211">
        <f t="shared" si="266"/>
        <v>1</v>
      </c>
      <c r="AA702" s="211">
        <f t="shared" si="267"/>
        <v>1</v>
      </c>
      <c r="AB702" s="211">
        <f t="shared" si="268"/>
        <v>1</v>
      </c>
      <c r="AC702" s="211">
        <f t="shared" si="269"/>
        <v>1</v>
      </c>
      <c r="AD702" s="211">
        <f t="shared" si="270"/>
        <v>1</v>
      </c>
      <c r="AE702" s="211">
        <f t="shared" si="271"/>
        <v>1</v>
      </c>
    </row>
    <row r="703" spans="1:31" ht="24.95" customHeight="1" x14ac:dyDescent="0.25">
      <c r="B703" s="212">
        <f t="shared" si="273"/>
        <v>8</v>
      </c>
      <c r="C703" s="264" t="str">
        <f t="shared" si="259"/>
        <v>BONANG</v>
      </c>
      <c r="D703" s="213"/>
      <c r="E703" s="265" t="str">
        <f t="shared" si="260"/>
        <v>C</v>
      </c>
      <c r="F703" s="275" t="s">
        <v>36</v>
      </c>
      <c r="G703" s="215" t="s">
        <v>37</v>
      </c>
      <c r="H703" s="215" t="s">
        <v>37</v>
      </c>
      <c r="I703" s="215" t="s">
        <v>37</v>
      </c>
      <c r="J703" s="215" t="s">
        <v>37</v>
      </c>
      <c r="K703" s="215" t="s">
        <v>37</v>
      </c>
      <c r="L703" s="215" t="s">
        <v>37</v>
      </c>
      <c r="M703" s="274">
        <f t="shared" si="272"/>
        <v>6</v>
      </c>
      <c r="N703" s="217" t="str">
        <f t="shared" si="261"/>
        <v>Rp</v>
      </c>
      <c r="O703" s="266">
        <f t="shared" si="262"/>
        <v>100000</v>
      </c>
      <c r="P703" s="217" t="str">
        <f t="shared" si="263"/>
        <v>Rp</v>
      </c>
      <c r="Q703" s="219">
        <f t="shared" si="264"/>
        <v>600000</v>
      </c>
      <c r="R703" s="222"/>
      <c r="S703" s="223">
        <f>IF(Q703&gt;0,S701+2,IF(T703=0," "))</f>
        <v>8</v>
      </c>
      <c r="U703" s="211"/>
      <c r="V703" s="211"/>
      <c r="Y703" s="211">
        <f t="shared" si="265"/>
        <v>0</v>
      </c>
      <c r="Z703" s="211">
        <f t="shared" si="266"/>
        <v>1</v>
      </c>
      <c r="AA703" s="211">
        <f t="shared" si="267"/>
        <v>1</v>
      </c>
      <c r="AB703" s="211">
        <f t="shared" si="268"/>
        <v>1</v>
      </c>
      <c r="AC703" s="211">
        <f t="shared" si="269"/>
        <v>1</v>
      </c>
      <c r="AD703" s="211">
        <f t="shared" si="270"/>
        <v>1</v>
      </c>
      <c r="AE703" s="211">
        <f t="shared" si="271"/>
        <v>1</v>
      </c>
    </row>
    <row r="704" spans="1:31" ht="24.95" customHeight="1" x14ac:dyDescent="0.25">
      <c r="B704" s="212">
        <f t="shared" si="273"/>
        <v>9</v>
      </c>
      <c r="C704" s="264">
        <f t="shared" si="259"/>
        <v>0</v>
      </c>
      <c r="D704" s="213"/>
      <c r="E704" s="265">
        <f t="shared" si="260"/>
        <v>0</v>
      </c>
      <c r="F704" s="275" t="s">
        <v>36</v>
      </c>
      <c r="G704" s="215" t="s">
        <v>37</v>
      </c>
      <c r="H704" s="215" t="s">
        <v>37</v>
      </c>
      <c r="I704" s="215" t="s">
        <v>37</v>
      </c>
      <c r="J704" s="215" t="s">
        <v>37</v>
      </c>
      <c r="K704" s="215" t="s">
        <v>37</v>
      </c>
      <c r="L704" s="215" t="s">
        <v>37</v>
      </c>
      <c r="M704" s="274">
        <f t="shared" si="272"/>
        <v>6</v>
      </c>
      <c r="N704" s="217" t="str">
        <f t="shared" si="261"/>
        <v xml:space="preserve"> </v>
      </c>
      <c r="O704" s="266">
        <f t="shared" si="262"/>
        <v>0</v>
      </c>
      <c r="P704" s="217" t="str">
        <f t="shared" si="263"/>
        <v xml:space="preserve"> </v>
      </c>
      <c r="Q704" s="219">
        <f t="shared" si="264"/>
        <v>0</v>
      </c>
      <c r="R704" s="222" t="str">
        <f>IF(Q704&gt;0,R702+2,IF(Q704=0," "))</f>
        <v xml:space="preserve"> </v>
      </c>
      <c r="S704" s="221"/>
      <c r="U704" s="211"/>
      <c r="V704" s="211"/>
      <c r="Y704" s="211">
        <f t="shared" si="265"/>
        <v>0</v>
      </c>
      <c r="Z704" s="211">
        <f t="shared" si="266"/>
        <v>1</v>
      </c>
      <c r="AA704" s="211">
        <f t="shared" si="267"/>
        <v>1</v>
      </c>
      <c r="AB704" s="211">
        <f t="shared" si="268"/>
        <v>1</v>
      </c>
      <c r="AC704" s="211">
        <f t="shared" si="269"/>
        <v>1</v>
      </c>
      <c r="AD704" s="211">
        <f t="shared" si="270"/>
        <v>1</v>
      </c>
      <c r="AE704" s="211">
        <f t="shared" si="271"/>
        <v>1</v>
      </c>
    </row>
    <row r="705" spans="1:31" ht="24.95" customHeight="1" x14ac:dyDescent="0.25">
      <c r="B705" s="212">
        <f t="shared" si="273"/>
        <v>10</v>
      </c>
      <c r="C705" s="264">
        <f t="shared" si="259"/>
        <v>0</v>
      </c>
      <c r="D705" s="213"/>
      <c r="E705" s="265">
        <f t="shared" si="260"/>
        <v>0</v>
      </c>
      <c r="F705" s="275" t="s">
        <v>36</v>
      </c>
      <c r="G705" s="215" t="s">
        <v>37</v>
      </c>
      <c r="H705" s="215" t="s">
        <v>37</v>
      </c>
      <c r="I705" s="215" t="s">
        <v>37</v>
      </c>
      <c r="J705" s="215" t="s">
        <v>37</v>
      </c>
      <c r="K705" s="215" t="s">
        <v>37</v>
      </c>
      <c r="L705" s="215" t="s">
        <v>37</v>
      </c>
      <c r="M705" s="274">
        <f t="shared" si="272"/>
        <v>6</v>
      </c>
      <c r="N705" s="217" t="str">
        <f t="shared" si="261"/>
        <v xml:space="preserve"> </v>
      </c>
      <c r="O705" s="266">
        <f t="shared" si="262"/>
        <v>0</v>
      </c>
      <c r="P705" s="217" t="str">
        <f t="shared" si="263"/>
        <v xml:space="preserve"> </v>
      </c>
      <c r="Q705" s="219">
        <f t="shared" si="264"/>
        <v>0</v>
      </c>
      <c r="R705" s="222"/>
      <c r="S705" s="223" t="str">
        <f>IF(Q705&gt;0,S703+2,IF(T705=0," "))</f>
        <v xml:space="preserve"> </v>
      </c>
      <c r="U705" s="211"/>
      <c r="V705" s="211"/>
      <c r="Y705" s="211">
        <f t="shared" si="265"/>
        <v>0</v>
      </c>
      <c r="Z705" s="211">
        <f t="shared" si="266"/>
        <v>1</v>
      </c>
      <c r="AA705" s="211">
        <f t="shared" si="267"/>
        <v>1</v>
      </c>
      <c r="AB705" s="211">
        <f t="shared" si="268"/>
        <v>1</v>
      </c>
      <c r="AC705" s="211">
        <f t="shared" si="269"/>
        <v>1</v>
      </c>
      <c r="AD705" s="211">
        <f t="shared" si="270"/>
        <v>1</v>
      </c>
      <c r="AE705" s="211">
        <f t="shared" si="271"/>
        <v>1</v>
      </c>
    </row>
    <row r="706" spans="1:31" ht="24.95" customHeight="1" x14ac:dyDescent="0.25">
      <c r="B706" s="212">
        <f t="shared" si="273"/>
        <v>11</v>
      </c>
      <c r="C706" s="264">
        <f t="shared" si="259"/>
        <v>0</v>
      </c>
      <c r="D706" s="213"/>
      <c r="E706" s="265">
        <f t="shared" si="260"/>
        <v>0</v>
      </c>
      <c r="F706" s="275" t="s">
        <v>36</v>
      </c>
      <c r="G706" s="215" t="s">
        <v>37</v>
      </c>
      <c r="H706" s="215" t="s">
        <v>37</v>
      </c>
      <c r="I706" s="215" t="s">
        <v>37</v>
      </c>
      <c r="J706" s="215" t="s">
        <v>37</v>
      </c>
      <c r="K706" s="215" t="s">
        <v>37</v>
      </c>
      <c r="L706" s="215" t="s">
        <v>37</v>
      </c>
      <c r="M706" s="274">
        <f t="shared" si="272"/>
        <v>6</v>
      </c>
      <c r="N706" s="217" t="str">
        <f t="shared" si="261"/>
        <v xml:space="preserve"> </v>
      </c>
      <c r="O706" s="266">
        <f t="shared" si="262"/>
        <v>0</v>
      </c>
      <c r="P706" s="217" t="str">
        <f t="shared" si="263"/>
        <v xml:space="preserve"> </v>
      </c>
      <c r="Q706" s="219">
        <f t="shared" si="264"/>
        <v>0</v>
      </c>
      <c r="R706" s="222" t="str">
        <f>IF(Q706&gt;0,R704+2,IF(Q706=0," "))</f>
        <v xml:space="preserve"> </v>
      </c>
      <c r="S706" s="221"/>
      <c r="U706" s="211"/>
      <c r="V706" s="211"/>
      <c r="Y706" s="211">
        <f t="shared" si="265"/>
        <v>0</v>
      </c>
      <c r="Z706" s="211">
        <f t="shared" si="266"/>
        <v>1</v>
      </c>
      <c r="AA706" s="211">
        <f t="shared" si="267"/>
        <v>1</v>
      </c>
      <c r="AB706" s="211">
        <f t="shared" si="268"/>
        <v>1</v>
      </c>
      <c r="AC706" s="211">
        <f t="shared" si="269"/>
        <v>1</v>
      </c>
      <c r="AD706" s="211">
        <f t="shared" si="270"/>
        <v>1</v>
      </c>
      <c r="AE706" s="211">
        <f t="shared" si="271"/>
        <v>1</v>
      </c>
    </row>
    <row r="707" spans="1:31" ht="24.95" customHeight="1" thickBot="1" x14ac:dyDescent="0.25">
      <c r="B707" s="233"/>
      <c r="C707" s="257"/>
      <c r="D707" s="235"/>
      <c r="E707" s="236"/>
      <c r="F707" s="237"/>
      <c r="G707" s="238"/>
      <c r="H707" s="239"/>
      <c r="I707" s="239"/>
      <c r="J707" s="240"/>
      <c r="K707" s="240"/>
      <c r="L707" s="240"/>
      <c r="M707" s="259"/>
      <c r="N707" s="242"/>
      <c r="O707" s="258"/>
      <c r="P707" s="244"/>
      <c r="Q707" s="236"/>
      <c r="R707" s="246"/>
      <c r="S707" s="247"/>
      <c r="U707" s="211"/>
      <c r="V707" s="211"/>
    </row>
    <row r="708" spans="1:31" ht="20.100000000000001" customHeight="1" thickTop="1" thickBot="1" x14ac:dyDescent="0.3">
      <c r="A708" s="179">
        <f>A670+1</f>
        <v>19</v>
      </c>
      <c r="B708" s="248"/>
      <c r="C708" s="249"/>
      <c r="D708" s="249"/>
      <c r="E708" s="249"/>
      <c r="F708" s="249"/>
      <c r="G708" s="249"/>
      <c r="H708" s="249"/>
      <c r="I708" s="249"/>
      <c r="J708" s="249"/>
      <c r="K708" s="249"/>
      <c r="L708" s="249"/>
      <c r="M708" s="249"/>
      <c r="N708" s="249"/>
      <c r="O708" s="250" t="s">
        <v>40</v>
      </c>
      <c r="P708" s="249"/>
      <c r="Q708" s="710">
        <f>SUM(Q696:Q707)</f>
        <v>5080000</v>
      </c>
      <c r="R708" s="711"/>
      <c r="S708" s="712"/>
      <c r="U708" s="226" t="e">
        <f>VLOOKUP(A708,'Rekap Gaji'!$B$12:$P$24,10,FALSE)</f>
        <v>#N/A</v>
      </c>
      <c r="V708" s="251" t="e">
        <f>U708-Q708</f>
        <v>#N/A</v>
      </c>
    </row>
    <row r="709" spans="1:31" ht="11.25" customHeight="1" x14ac:dyDescent="0.25"/>
    <row r="710" spans="1:31" ht="16.5" customHeight="1" x14ac:dyDescent="0.25">
      <c r="B710" s="195" t="s">
        <v>41</v>
      </c>
      <c r="C710" s="140" t="s">
        <v>42</v>
      </c>
    </row>
    <row r="711" spans="1:31" ht="14.25" x14ac:dyDescent="0.25">
      <c r="G711" s="183"/>
      <c r="H711" s="182"/>
      <c r="M711" s="141"/>
      <c r="N711" s="141"/>
      <c r="Q711" s="140" t="str">
        <f>'BKU 1'!$I$25</f>
        <v>NGANTANG</v>
      </c>
      <c r="R711" s="713" t="str">
        <f>IFERROR(VLOOKUP(E690,'Rekap Gaji'!$B$12:$P$24,7,FALSE),"-")</f>
        <v>-</v>
      </c>
      <c r="S711" s="713"/>
      <c r="T711" s="252"/>
      <c r="U711" s="252"/>
    </row>
    <row r="712" spans="1:31" ht="15.75" x14ac:dyDescent="0.25">
      <c r="C712" s="140" t="s">
        <v>43</v>
      </c>
      <c r="F712" s="253"/>
      <c r="G712" s="254"/>
      <c r="H712" s="255"/>
      <c r="I712" s="256"/>
      <c r="J712" s="225" t="s">
        <v>44</v>
      </c>
      <c r="K712" s="253"/>
      <c r="M712" s="141"/>
      <c r="N712" s="141"/>
      <c r="Q712" s="140" t="str">
        <f>'BKU 1'!$L$354</f>
        <v>Dibuat Oleh ;</v>
      </c>
      <c r="R712" s="141"/>
    </row>
    <row r="713" spans="1:31" ht="14.25" x14ac:dyDescent="0.25">
      <c r="C713" s="140" t="str">
        <f>'BKU 1'!$C$355</f>
        <v>Kepala Sekolah SDN 1 SIDODADI</v>
      </c>
      <c r="F713" s="187"/>
      <c r="G713" s="224"/>
      <c r="H713" s="182"/>
      <c r="I713" s="183"/>
      <c r="J713" s="140" t="s">
        <v>45</v>
      </c>
      <c r="K713" s="187"/>
      <c r="Q713" s="140" t="str">
        <f>'BKU 1'!$L$355</f>
        <v>Bendahara Pembangunan</v>
      </c>
      <c r="R713" s="141"/>
    </row>
    <row r="714" spans="1:31" ht="14.25" x14ac:dyDescent="0.25">
      <c r="F714" s="187"/>
      <c r="G714" s="224"/>
      <c r="H714" s="182"/>
      <c r="I714" s="183"/>
      <c r="K714" s="187"/>
      <c r="Q714" s="140"/>
      <c r="R714" s="141"/>
    </row>
    <row r="715" spans="1:31" ht="14.25" x14ac:dyDescent="0.25">
      <c r="F715" s="187"/>
      <c r="G715" s="224"/>
      <c r="H715" s="182"/>
      <c r="I715" s="183"/>
      <c r="K715" s="187"/>
      <c r="Q715" s="140"/>
      <c r="R715" s="141"/>
    </row>
    <row r="716" spans="1:31" ht="14.25" x14ac:dyDescent="0.25">
      <c r="F716" s="187"/>
      <c r="G716" s="224"/>
      <c r="H716" s="182"/>
      <c r="I716" s="183"/>
      <c r="K716" s="187"/>
      <c r="Q716" s="140"/>
      <c r="R716" s="141"/>
    </row>
    <row r="717" spans="1:31" ht="14.25" x14ac:dyDescent="0.25">
      <c r="F717" s="187"/>
      <c r="G717" s="224"/>
      <c r="H717" s="182"/>
      <c r="I717" s="183"/>
      <c r="K717" s="187"/>
      <c r="Q717" s="140"/>
      <c r="R717" s="141"/>
    </row>
    <row r="718" spans="1:31" x14ac:dyDescent="0.25">
      <c r="G718" s="225"/>
      <c r="Q718" s="140"/>
    </row>
    <row r="719" spans="1:31" x14ac:dyDescent="0.25">
      <c r="G719" s="225"/>
      <c r="Q719" s="140"/>
    </row>
    <row r="720" spans="1:31" s="189" customFormat="1" ht="15" customHeight="1" x14ac:dyDescent="0.25">
      <c r="A720" s="192"/>
      <c r="B720" s="195"/>
      <c r="C720" s="227" t="str">
        <f>'BKU 1'!$C$360</f>
        <v>MELIA FITRIANI, S.Pd.SD</v>
      </c>
      <c r="D720" s="227"/>
      <c r="G720" s="228"/>
      <c r="H720" s="195"/>
      <c r="I720" s="194"/>
      <c r="J720" s="229">
        <f>'BKU 1'!$G$360</f>
        <v>0</v>
      </c>
      <c r="Q720" s="227" t="str">
        <f>'BKU 1'!$L$360</f>
        <v>ARIF NUR UDIN, S.Pd.SD</v>
      </c>
      <c r="S720" s="230"/>
      <c r="U720" s="231"/>
      <c r="V720" s="231"/>
    </row>
    <row r="721" spans="1:31" s="189" customFormat="1" ht="15" customHeight="1" x14ac:dyDescent="0.25">
      <c r="A721" s="192"/>
      <c r="B721" s="195"/>
      <c r="C721" s="140" t="str">
        <f>'BKU 1'!$C$361</f>
        <v>NIP. 19850619 200904 2 000</v>
      </c>
      <c r="D721" s="140"/>
      <c r="E721" s="140"/>
      <c r="F721" s="140"/>
      <c r="G721" s="225"/>
      <c r="H721" s="191"/>
      <c r="I721" s="190"/>
      <c r="J721" s="232">
        <f>'BKU 1'!$G$361</f>
        <v>0</v>
      </c>
      <c r="K721" s="140"/>
      <c r="M721" s="140"/>
      <c r="N721" s="140"/>
      <c r="O721" s="140"/>
      <c r="P721" s="140"/>
      <c r="Q721" s="140" t="str">
        <f>'BKU 1'!$L$361</f>
        <v>NIP. 19840719 200903 1 002</v>
      </c>
      <c r="S721" s="230"/>
      <c r="U721" s="231"/>
      <c r="V721" s="231"/>
    </row>
    <row r="722" spans="1:31" ht="6" customHeight="1" x14ac:dyDescent="0.25"/>
    <row r="723" spans="1:31" s="177" customFormat="1" ht="24.95" customHeight="1" x14ac:dyDescent="0.25">
      <c r="A723" s="176"/>
      <c r="B723" s="726" t="s">
        <v>6</v>
      </c>
      <c r="C723" s="726"/>
      <c r="D723" s="726"/>
      <c r="E723" s="726"/>
      <c r="F723" s="726"/>
      <c r="G723" s="726"/>
      <c r="H723" s="726"/>
      <c r="I723" s="726"/>
      <c r="J723" s="726"/>
      <c r="K723" s="726"/>
      <c r="L723" s="726"/>
      <c r="M723" s="726"/>
      <c r="N723" s="726"/>
      <c r="O723" s="726"/>
      <c r="P723" s="726"/>
      <c r="Q723" s="726"/>
      <c r="R723" s="726"/>
      <c r="S723" s="726"/>
      <c r="U723" s="178"/>
      <c r="V723" s="178"/>
    </row>
    <row r="724" spans="1:31" s="177" customFormat="1" ht="24.95" customHeight="1" x14ac:dyDescent="0.25">
      <c r="A724" s="176"/>
      <c r="B724" s="726" t="str">
        <f>'BKU 1'!$D$22</f>
        <v>PEMBANGUNAN TOILET BESERTA SANITASINYA</v>
      </c>
      <c r="C724" s="726"/>
      <c r="D724" s="726"/>
      <c r="E724" s="726"/>
      <c r="F724" s="726"/>
      <c r="G724" s="726"/>
      <c r="H724" s="726"/>
      <c r="I724" s="726"/>
      <c r="J724" s="726"/>
      <c r="K724" s="726"/>
      <c r="L724" s="726"/>
      <c r="M724" s="726"/>
      <c r="N724" s="726"/>
      <c r="O724" s="726"/>
      <c r="P724" s="726"/>
      <c r="Q724" s="726"/>
      <c r="R724" s="726"/>
      <c r="S724" s="726"/>
      <c r="U724" s="178"/>
      <c r="V724" s="178"/>
    </row>
    <row r="725" spans="1:31" s="184" customFormat="1" ht="30.75" customHeight="1" x14ac:dyDescent="0.25">
      <c r="A725" s="179"/>
      <c r="B725" s="180"/>
      <c r="C725" s="181"/>
      <c r="D725" s="181"/>
      <c r="E725" s="181"/>
      <c r="F725" s="182"/>
      <c r="G725" s="183"/>
      <c r="H725" s="182"/>
      <c r="I725" s="183"/>
      <c r="J725" s="182"/>
      <c r="K725" s="182"/>
      <c r="L725" s="182"/>
      <c r="M725" s="181"/>
      <c r="N725" s="181"/>
      <c r="Q725" s="180"/>
      <c r="R725" s="140"/>
      <c r="S725" s="185"/>
      <c r="U725" s="186"/>
      <c r="V725" s="186"/>
    </row>
    <row r="726" spans="1:31" s="184" customFormat="1" ht="14.25" x14ac:dyDescent="0.25">
      <c r="A726" s="179"/>
      <c r="B726" s="185" t="s">
        <v>7</v>
      </c>
      <c r="D726" s="184" t="s">
        <v>49</v>
      </c>
      <c r="E726" s="184" t="str">
        <f>'BKU 1'!$D$25</f>
        <v>SDN 1 SIDODADI</v>
      </c>
      <c r="F726" s="140"/>
      <c r="G726" s="183"/>
      <c r="H726" s="182"/>
      <c r="I726" s="183"/>
      <c r="J726" s="187"/>
      <c r="K726" s="187"/>
      <c r="L726" s="187"/>
      <c r="M726" s="188"/>
      <c r="N726" s="188"/>
      <c r="Q726" s="180"/>
      <c r="R726" s="189" t="s">
        <v>8</v>
      </c>
      <c r="S726" s="185"/>
      <c r="U726" s="186"/>
      <c r="V726" s="186"/>
    </row>
    <row r="727" spans="1:31" s="184" customFormat="1" x14ac:dyDescent="0.25">
      <c r="A727" s="179"/>
      <c r="B727" s="185" t="s">
        <v>9</v>
      </c>
      <c r="D727" s="184" t="s">
        <v>49</v>
      </c>
      <c r="E727" s="184" t="str">
        <f>'BKU 1'!$D$26</f>
        <v>Jl. Kawi No.36 Rt. 1 Rw. 1 Dusun Sekar, Rt / Rw : 1 / 1, Dusun : Sekar, Kelurahan : Sidodadi</v>
      </c>
      <c r="F727" s="140"/>
      <c r="G727" s="190"/>
      <c r="H727" s="191"/>
      <c r="I727" s="190"/>
      <c r="J727" s="140"/>
      <c r="K727" s="140"/>
      <c r="L727" s="140"/>
      <c r="Q727" s="180"/>
      <c r="R727" s="140" t="s">
        <v>10</v>
      </c>
      <c r="S727" s="185" t="s">
        <v>11</v>
      </c>
      <c r="U727" s="186"/>
      <c r="V727" s="186"/>
    </row>
    <row r="728" spans="1:31" s="184" customFormat="1" x14ac:dyDescent="0.25">
      <c r="A728" s="179"/>
      <c r="B728" s="185" t="s">
        <v>12</v>
      </c>
      <c r="D728" s="184" t="s">
        <v>49</v>
      </c>
      <c r="E728" s="180">
        <f>E690+1</f>
        <v>20</v>
      </c>
      <c r="F728" s="140"/>
      <c r="G728" s="727" t="str">
        <f>IFERROR(VLOOKUP(E728,'Rekap Gaji'!$B$12:$P$24,14,FALSE),"-")</f>
        <v>-</v>
      </c>
      <c r="H728" s="727"/>
      <c r="I728" s="727"/>
      <c r="J728" s="140"/>
      <c r="K728" s="140"/>
      <c r="L728" s="140"/>
      <c r="Q728" s="180"/>
      <c r="R728" s="140" t="s">
        <v>13</v>
      </c>
      <c r="S728" s="185" t="s">
        <v>14</v>
      </c>
      <c r="U728" s="186"/>
      <c r="V728" s="186"/>
    </row>
    <row r="729" spans="1:31" s="184" customFormat="1" ht="15" customHeight="1" x14ac:dyDescent="0.25">
      <c r="A729" s="179"/>
      <c r="B729" s="185" t="s">
        <v>0</v>
      </c>
      <c r="D729" s="184" t="s">
        <v>49</v>
      </c>
      <c r="E729" s="728" t="str">
        <f>IFERROR(VLOOKUP(E728,'Rekap Gaji'!$B$12:$P$24,4,FALSE),"-")</f>
        <v>-</v>
      </c>
      <c r="F729" s="728"/>
      <c r="G729" s="728"/>
      <c r="H729" s="728"/>
      <c r="I729" s="727" t="s">
        <v>76</v>
      </c>
      <c r="J729" s="727"/>
      <c r="K729" s="728" t="str">
        <f>IFERROR(VLOOKUP(E728,'Rekap Gaji'!$B$12:$P$24,6,FALSE),"-")</f>
        <v>-</v>
      </c>
      <c r="L729" s="728"/>
      <c r="M729" s="728"/>
      <c r="N729" s="728"/>
      <c r="Q729" s="180"/>
      <c r="R729" s="140" t="s">
        <v>15</v>
      </c>
      <c r="S729" s="185" t="s">
        <v>16</v>
      </c>
      <c r="U729" s="186"/>
      <c r="V729" s="186"/>
    </row>
    <row r="730" spans="1:31" s="188" customFormat="1" ht="8.1" customHeight="1" thickBot="1" x14ac:dyDescent="0.3">
      <c r="A730" s="192"/>
      <c r="B730" s="193"/>
      <c r="F730" s="189"/>
      <c r="G730" s="194"/>
      <c r="H730" s="195"/>
      <c r="I730" s="194"/>
      <c r="J730" s="189"/>
      <c r="K730" s="189"/>
      <c r="L730" s="189"/>
      <c r="Q730" s="193"/>
      <c r="R730" s="189"/>
      <c r="S730" s="196"/>
      <c r="U730" s="197"/>
      <c r="V730" s="197"/>
    </row>
    <row r="731" spans="1:31" ht="15" customHeight="1" x14ac:dyDescent="0.25">
      <c r="B731" s="729" t="s">
        <v>17</v>
      </c>
      <c r="C731" s="717" t="s">
        <v>18</v>
      </c>
      <c r="D731" s="732"/>
      <c r="E731" s="268" t="s">
        <v>19</v>
      </c>
      <c r="F731" s="717" t="s">
        <v>20</v>
      </c>
      <c r="G731" s="734"/>
      <c r="H731" s="734"/>
      <c r="I731" s="734"/>
      <c r="J731" s="734"/>
      <c r="K731" s="734"/>
      <c r="L731" s="732"/>
      <c r="M731" s="267" t="s">
        <v>2</v>
      </c>
      <c r="N731" s="717" t="s">
        <v>21</v>
      </c>
      <c r="O731" s="732"/>
      <c r="P731" s="717" t="s">
        <v>22</v>
      </c>
      <c r="Q731" s="732"/>
      <c r="R731" s="717" t="s">
        <v>23</v>
      </c>
      <c r="S731" s="718"/>
    </row>
    <row r="732" spans="1:31" ht="15" customHeight="1" x14ac:dyDescent="0.25">
      <c r="B732" s="730"/>
      <c r="C732" s="719"/>
      <c r="D732" s="725"/>
      <c r="E732" s="270" t="s">
        <v>24</v>
      </c>
      <c r="F732" s="723" t="s">
        <v>25</v>
      </c>
      <c r="G732" s="723" t="s">
        <v>26</v>
      </c>
      <c r="H732" s="723" t="s">
        <v>26</v>
      </c>
      <c r="I732" s="723" t="s">
        <v>27</v>
      </c>
      <c r="J732" s="723" t="s">
        <v>28</v>
      </c>
      <c r="K732" s="723" t="s">
        <v>29</v>
      </c>
      <c r="L732" s="723" t="s">
        <v>26</v>
      </c>
      <c r="M732" s="269" t="s">
        <v>30</v>
      </c>
      <c r="N732" s="719" t="s">
        <v>31</v>
      </c>
      <c r="O732" s="725"/>
      <c r="P732" s="719" t="s">
        <v>31</v>
      </c>
      <c r="Q732" s="725"/>
      <c r="R732" s="719"/>
      <c r="S732" s="720"/>
    </row>
    <row r="733" spans="1:31" ht="15" customHeight="1" thickBot="1" x14ac:dyDescent="0.3">
      <c r="B733" s="731"/>
      <c r="C733" s="721"/>
      <c r="D733" s="733"/>
      <c r="E733" s="272" t="s">
        <v>32</v>
      </c>
      <c r="F733" s="724"/>
      <c r="G733" s="724"/>
      <c r="H733" s="724"/>
      <c r="I733" s="724"/>
      <c r="J733" s="724"/>
      <c r="K733" s="724"/>
      <c r="L733" s="724"/>
      <c r="M733" s="271" t="s">
        <v>31</v>
      </c>
      <c r="N733" s="721" t="s">
        <v>33</v>
      </c>
      <c r="O733" s="733"/>
      <c r="P733" s="721" t="s">
        <v>34</v>
      </c>
      <c r="Q733" s="733"/>
      <c r="R733" s="721"/>
      <c r="S733" s="722"/>
    </row>
    <row r="734" spans="1:31" ht="24.95" customHeight="1" x14ac:dyDescent="0.25">
      <c r="B734" s="201">
        <v>1</v>
      </c>
      <c r="C734" s="261" t="str">
        <f t="shared" ref="C734:C744" si="274">IFERROR(C696," ")</f>
        <v>KHUSNUL</v>
      </c>
      <c r="D734" s="203"/>
      <c r="E734" s="262" t="str">
        <f t="shared" ref="E734:E744" si="275">IFERROR(E696," ")</f>
        <v>A</v>
      </c>
      <c r="F734" s="215" t="s">
        <v>36</v>
      </c>
      <c r="G734" s="205" t="s">
        <v>37</v>
      </c>
      <c r="H734" s="205" t="s">
        <v>37</v>
      </c>
      <c r="I734" s="205" t="s">
        <v>37</v>
      </c>
      <c r="J734" s="205" t="s">
        <v>37</v>
      </c>
      <c r="K734" s="205" t="s">
        <v>37</v>
      </c>
      <c r="L734" s="205" t="s">
        <v>37</v>
      </c>
      <c r="M734" s="273">
        <f>SUM(Y734:AE734)</f>
        <v>6</v>
      </c>
      <c r="N734" s="207" t="str">
        <f t="shared" ref="N734:N744" si="276">IF(O734&gt;0,"Rp",IF(O734=0," "))</f>
        <v>Rp</v>
      </c>
      <c r="O734" s="263">
        <f t="shared" ref="O734:O744" si="277">IFERROR(O696," ")</f>
        <v>130000</v>
      </c>
      <c r="P734" s="207" t="str">
        <f t="shared" ref="P734:P744" si="278">IF(Q734&gt;0,"Rp",IF(Q734=0," "))</f>
        <v>Rp</v>
      </c>
      <c r="Q734" s="208">
        <f t="shared" ref="Q734:Q744" si="279">O734*M734</f>
        <v>780000</v>
      </c>
      <c r="R734" s="209">
        <f>IF(Q734&gt;0,1,IF(Q734=0," "))</f>
        <v>1</v>
      </c>
      <c r="S734" s="210"/>
      <c r="U734" s="260"/>
      <c r="V734" s="140"/>
      <c r="Y734" s="211">
        <f t="shared" ref="Y734:Y744" si="280">IFERROR(IF(F734="V",1,IF(F734="X",0))," ")</f>
        <v>0</v>
      </c>
      <c r="Z734" s="211">
        <f t="shared" ref="Z734:Z744" si="281">IFERROR(IF(G734="V",1,IF(G734="X",0))," ")</f>
        <v>1</v>
      </c>
      <c r="AA734" s="211">
        <f t="shared" ref="AA734:AA744" si="282">IFERROR(IF(H734="V",1,IF(H734="X",0))," ")</f>
        <v>1</v>
      </c>
      <c r="AB734" s="211">
        <f t="shared" ref="AB734:AB744" si="283">IFERROR(IF(I734="V",1,IF(I734="X",0))," ")</f>
        <v>1</v>
      </c>
      <c r="AC734" s="211">
        <f t="shared" ref="AC734:AC744" si="284">IFERROR(IF(J734="V",1,IF(J734="X",0))," ")</f>
        <v>1</v>
      </c>
      <c r="AD734" s="211">
        <f t="shared" ref="AD734:AD744" si="285">IFERROR(IF(K734="V",1,IF(K734="X",0))," ")</f>
        <v>1</v>
      </c>
      <c r="AE734" s="211">
        <f t="shared" ref="AE734:AE744" si="286">IFERROR(IF(L734="V",1,IF(L734="X",0))," ")</f>
        <v>1</v>
      </c>
    </row>
    <row r="735" spans="1:31" ht="24.95" customHeight="1" x14ac:dyDescent="0.25">
      <c r="B735" s="212">
        <f>B734+1</f>
        <v>2</v>
      </c>
      <c r="C735" s="264" t="str">
        <f t="shared" si="274"/>
        <v>PRIYO</v>
      </c>
      <c r="D735" s="213"/>
      <c r="E735" s="265" t="str">
        <f t="shared" si="275"/>
        <v>B</v>
      </c>
      <c r="F735" s="215" t="s">
        <v>36</v>
      </c>
      <c r="G735" s="215" t="s">
        <v>37</v>
      </c>
      <c r="H735" s="215" t="s">
        <v>37</v>
      </c>
      <c r="I735" s="215" t="s">
        <v>37</v>
      </c>
      <c r="J735" s="215" t="s">
        <v>36</v>
      </c>
      <c r="K735" s="215" t="s">
        <v>37</v>
      </c>
      <c r="L735" s="215" t="s">
        <v>37</v>
      </c>
      <c r="M735" s="274">
        <f t="shared" ref="M735:M744" si="287">SUM(Y735:AE735)</f>
        <v>5</v>
      </c>
      <c r="N735" s="217" t="str">
        <f t="shared" si="276"/>
        <v>Rp</v>
      </c>
      <c r="O735" s="266">
        <f t="shared" si="277"/>
        <v>125000</v>
      </c>
      <c r="P735" s="217" t="str">
        <f t="shared" si="278"/>
        <v>Rp</v>
      </c>
      <c r="Q735" s="219">
        <f t="shared" si="279"/>
        <v>625000</v>
      </c>
      <c r="R735" s="220"/>
      <c r="S735" s="221">
        <f>IF(Q735&gt;0,2,IF(Q734=0," "))</f>
        <v>2</v>
      </c>
      <c r="U735" s="211"/>
      <c r="V735" s="211"/>
      <c r="Y735" s="211">
        <f t="shared" si="280"/>
        <v>0</v>
      </c>
      <c r="Z735" s="211">
        <f t="shared" si="281"/>
        <v>1</v>
      </c>
      <c r="AA735" s="211">
        <f t="shared" si="282"/>
        <v>1</v>
      </c>
      <c r="AB735" s="211">
        <f t="shared" si="283"/>
        <v>1</v>
      </c>
      <c r="AC735" s="211">
        <f t="shared" si="284"/>
        <v>0</v>
      </c>
      <c r="AD735" s="211">
        <f t="shared" si="285"/>
        <v>1</v>
      </c>
      <c r="AE735" s="211">
        <f t="shared" si="286"/>
        <v>1</v>
      </c>
    </row>
    <row r="736" spans="1:31" ht="24.95" customHeight="1" x14ac:dyDescent="0.25">
      <c r="B736" s="212">
        <f>B735+1</f>
        <v>3</v>
      </c>
      <c r="C736" s="264" t="str">
        <f t="shared" si="274"/>
        <v>NANANG</v>
      </c>
      <c r="D736" s="213"/>
      <c r="E736" s="265" t="str">
        <f t="shared" si="275"/>
        <v>B</v>
      </c>
      <c r="F736" s="215" t="s">
        <v>36</v>
      </c>
      <c r="G736" s="215" t="s">
        <v>37</v>
      </c>
      <c r="H736" s="215" t="s">
        <v>37</v>
      </c>
      <c r="I736" s="215" t="s">
        <v>37</v>
      </c>
      <c r="J736" s="215" t="s">
        <v>36</v>
      </c>
      <c r="K736" s="215" t="s">
        <v>37</v>
      </c>
      <c r="L736" s="215" t="s">
        <v>37</v>
      </c>
      <c r="M736" s="274">
        <f t="shared" si="287"/>
        <v>5</v>
      </c>
      <c r="N736" s="217" t="str">
        <f t="shared" si="276"/>
        <v>Rp</v>
      </c>
      <c r="O736" s="266">
        <f t="shared" si="277"/>
        <v>125000</v>
      </c>
      <c r="P736" s="217" t="str">
        <f t="shared" si="278"/>
        <v>Rp</v>
      </c>
      <c r="Q736" s="219">
        <f t="shared" si="279"/>
        <v>625000</v>
      </c>
      <c r="R736" s="222">
        <f>IF(Q736&gt;0,R734+2,IF(Q736=0," "))</f>
        <v>3</v>
      </c>
      <c r="S736" s="221"/>
      <c r="U736" s="211"/>
      <c r="V736" s="211"/>
      <c r="Y736" s="211">
        <f t="shared" si="280"/>
        <v>0</v>
      </c>
      <c r="Z736" s="211">
        <f t="shared" si="281"/>
        <v>1</v>
      </c>
      <c r="AA736" s="211">
        <f t="shared" si="282"/>
        <v>1</v>
      </c>
      <c r="AB736" s="211">
        <f t="shared" si="283"/>
        <v>1</v>
      </c>
      <c r="AC736" s="211">
        <f t="shared" si="284"/>
        <v>0</v>
      </c>
      <c r="AD736" s="211">
        <f t="shared" si="285"/>
        <v>1</v>
      </c>
      <c r="AE736" s="211">
        <f t="shared" si="286"/>
        <v>1</v>
      </c>
    </row>
    <row r="737" spans="1:31" ht="24.95" customHeight="1" x14ac:dyDescent="0.25">
      <c r="B737" s="212">
        <f>B736+1</f>
        <v>4</v>
      </c>
      <c r="C737" s="264" t="str">
        <f t="shared" si="274"/>
        <v>KOIREN</v>
      </c>
      <c r="D737" s="213"/>
      <c r="E737" s="265" t="str">
        <f t="shared" si="275"/>
        <v>B</v>
      </c>
      <c r="F737" s="215" t="s">
        <v>36</v>
      </c>
      <c r="G737" s="215" t="s">
        <v>37</v>
      </c>
      <c r="H737" s="215" t="s">
        <v>37</v>
      </c>
      <c r="I737" s="215" t="s">
        <v>37</v>
      </c>
      <c r="J737" s="215" t="s">
        <v>37</v>
      </c>
      <c r="K737" s="215" t="s">
        <v>36</v>
      </c>
      <c r="L737" s="215" t="s">
        <v>37</v>
      </c>
      <c r="M737" s="274">
        <f t="shared" si="287"/>
        <v>5</v>
      </c>
      <c r="N737" s="217" t="str">
        <f t="shared" si="276"/>
        <v>Rp</v>
      </c>
      <c r="O737" s="266">
        <f t="shared" si="277"/>
        <v>125000</v>
      </c>
      <c r="P737" s="217" t="str">
        <f t="shared" si="278"/>
        <v>Rp</v>
      </c>
      <c r="Q737" s="219">
        <f t="shared" si="279"/>
        <v>625000</v>
      </c>
      <c r="R737" s="222"/>
      <c r="S737" s="223">
        <f>IF(Q737&gt;0,S735+2,IF(T737=0," "))</f>
        <v>4</v>
      </c>
      <c r="U737" s="211"/>
      <c r="V737" s="211"/>
      <c r="Y737" s="211">
        <f t="shared" si="280"/>
        <v>0</v>
      </c>
      <c r="Z737" s="211">
        <f t="shared" si="281"/>
        <v>1</v>
      </c>
      <c r="AA737" s="211">
        <f t="shared" si="282"/>
        <v>1</v>
      </c>
      <c r="AB737" s="211">
        <f t="shared" si="283"/>
        <v>1</v>
      </c>
      <c r="AC737" s="211">
        <f t="shared" si="284"/>
        <v>1</v>
      </c>
      <c r="AD737" s="211">
        <f t="shared" si="285"/>
        <v>0</v>
      </c>
      <c r="AE737" s="211">
        <f t="shared" si="286"/>
        <v>1</v>
      </c>
    </row>
    <row r="738" spans="1:31" ht="24.95" customHeight="1" x14ac:dyDescent="0.25">
      <c r="B738" s="212">
        <f t="shared" ref="B738:B744" si="288">B737+1</f>
        <v>5</v>
      </c>
      <c r="C738" s="264" t="str">
        <f t="shared" si="274"/>
        <v>MAT</v>
      </c>
      <c r="D738" s="213"/>
      <c r="E738" s="265" t="str">
        <f t="shared" si="275"/>
        <v>C</v>
      </c>
      <c r="F738" s="215" t="s">
        <v>36</v>
      </c>
      <c r="G738" s="215" t="s">
        <v>37</v>
      </c>
      <c r="H738" s="215" t="s">
        <v>37</v>
      </c>
      <c r="I738" s="215" t="s">
        <v>37</v>
      </c>
      <c r="J738" s="215" t="s">
        <v>37</v>
      </c>
      <c r="K738" s="215" t="s">
        <v>37</v>
      </c>
      <c r="L738" s="215" t="s">
        <v>37</v>
      </c>
      <c r="M738" s="274">
        <f t="shared" si="287"/>
        <v>6</v>
      </c>
      <c r="N738" s="217" t="str">
        <f t="shared" si="276"/>
        <v>Rp</v>
      </c>
      <c r="O738" s="266">
        <f t="shared" si="277"/>
        <v>100000</v>
      </c>
      <c r="P738" s="217" t="str">
        <f t="shared" si="278"/>
        <v>Rp</v>
      </c>
      <c r="Q738" s="219">
        <f t="shared" si="279"/>
        <v>600000</v>
      </c>
      <c r="R738" s="222">
        <f>IF(Q738&gt;0,R736+2,IF(Q738=0," "))</f>
        <v>5</v>
      </c>
      <c r="S738" s="221"/>
      <c r="U738" s="211"/>
      <c r="V738" s="211"/>
      <c r="Y738" s="211">
        <f t="shared" si="280"/>
        <v>0</v>
      </c>
      <c r="Z738" s="211">
        <f t="shared" si="281"/>
        <v>1</v>
      </c>
      <c r="AA738" s="211">
        <f t="shared" si="282"/>
        <v>1</v>
      </c>
      <c r="AB738" s="211">
        <f t="shared" si="283"/>
        <v>1</v>
      </c>
      <c r="AC738" s="211">
        <f t="shared" si="284"/>
        <v>1</v>
      </c>
      <c r="AD738" s="211">
        <f t="shared" si="285"/>
        <v>1</v>
      </c>
      <c r="AE738" s="211">
        <f t="shared" si="286"/>
        <v>1</v>
      </c>
    </row>
    <row r="739" spans="1:31" ht="24.95" customHeight="1" x14ac:dyDescent="0.25">
      <c r="B739" s="212">
        <f t="shared" si="288"/>
        <v>6</v>
      </c>
      <c r="C739" s="264" t="str">
        <f t="shared" si="274"/>
        <v>JUNED</v>
      </c>
      <c r="D739" s="213"/>
      <c r="E739" s="265" t="str">
        <f t="shared" si="275"/>
        <v>C</v>
      </c>
      <c r="F739" s="215" t="s">
        <v>36</v>
      </c>
      <c r="G739" s="215" t="s">
        <v>37</v>
      </c>
      <c r="H739" s="215" t="s">
        <v>37</v>
      </c>
      <c r="I739" s="215" t="s">
        <v>37</v>
      </c>
      <c r="J739" s="215" t="s">
        <v>36</v>
      </c>
      <c r="K739" s="215" t="s">
        <v>37</v>
      </c>
      <c r="L739" s="215" t="s">
        <v>36</v>
      </c>
      <c r="M739" s="274">
        <f t="shared" si="287"/>
        <v>4</v>
      </c>
      <c r="N739" s="217" t="str">
        <f t="shared" si="276"/>
        <v>Rp</v>
      </c>
      <c r="O739" s="266">
        <f t="shared" si="277"/>
        <v>100000</v>
      </c>
      <c r="P739" s="217" t="str">
        <f t="shared" si="278"/>
        <v>Rp</v>
      </c>
      <c r="Q739" s="219">
        <f t="shared" si="279"/>
        <v>400000</v>
      </c>
      <c r="R739" s="222"/>
      <c r="S739" s="223">
        <f>IF(Q739&gt;0,S737+2,IF(T739=0," "))</f>
        <v>6</v>
      </c>
      <c r="U739" s="211"/>
      <c r="V739" s="211"/>
      <c r="Y739" s="211">
        <f t="shared" si="280"/>
        <v>0</v>
      </c>
      <c r="Z739" s="211">
        <f t="shared" si="281"/>
        <v>1</v>
      </c>
      <c r="AA739" s="211">
        <f t="shared" si="282"/>
        <v>1</v>
      </c>
      <c r="AB739" s="211">
        <f t="shared" si="283"/>
        <v>1</v>
      </c>
      <c r="AC739" s="211">
        <f t="shared" si="284"/>
        <v>0</v>
      </c>
      <c r="AD739" s="211">
        <f t="shared" si="285"/>
        <v>1</v>
      </c>
      <c r="AE739" s="211">
        <f t="shared" si="286"/>
        <v>0</v>
      </c>
    </row>
    <row r="740" spans="1:31" ht="24.95" customHeight="1" x14ac:dyDescent="0.25">
      <c r="B740" s="212">
        <f t="shared" si="288"/>
        <v>7</v>
      </c>
      <c r="C740" s="264" t="str">
        <f t="shared" si="274"/>
        <v>LASITO</v>
      </c>
      <c r="D740" s="213"/>
      <c r="E740" s="265" t="str">
        <f t="shared" si="275"/>
        <v>C</v>
      </c>
      <c r="F740" s="215" t="s">
        <v>36</v>
      </c>
      <c r="G740" s="215" t="s">
        <v>37</v>
      </c>
      <c r="H740" s="215" t="s">
        <v>37</v>
      </c>
      <c r="I740" s="215" t="s">
        <v>37</v>
      </c>
      <c r="J740" s="215" t="s">
        <v>37</v>
      </c>
      <c r="K740" s="215" t="s">
        <v>37</v>
      </c>
      <c r="L740" s="215" t="s">
        <v>37</v>
      </c>
      <c r="M740" s="274">
        <f t="shared" si="287"/>
        <v>6</v>
      </c>
      <c r="N740" s="217" t="str">
        <f t="shared" si="276"/>
        <v>Rp</v>
      </c>
      <c r="O740" s="266">
        <f t="shared" si="277"/>
        <v>100000</v>
      </c>
      <c r="P740" s="217" t="str">
        <f t="shared" si="278"/>
        <v>Rp</v>
      </c>
      <c r="Q740" s="219">
        <f t="shared" si="279"/>
        <v>600000</v>
      </c>
      <c r="R740" s="222">
        <f>IF(Q740&gt;0,R738+2,IF(Q740=0," "))</f>
        <v>7</v>
      </c>
      <c r="S740" s="221"/>
      <c r="U740" s="211"/>
      <c r="V740" s="211"/>
      <c r="Y740" s="211">
        <f t="shared" si="280"/>
        <v>0</v>
      </c>
      <c r="Z740" s="211">
        <f t="shared" si="281"/>
        <v>1</v>
      </c>
      <c r="AA740" s="211">
        <f t="shared" si="282"/>
        <v>1</v>
      </c>
      <c r="AB740" s="211">
        <f t="shared" si="283"/>
        <v>1</v>
      </c>
      <c r="AC740" s="211">
        <f t="shared" si="284"/>
        <v>1</v>
      </c>
      <c r="AD740" s="211">
        <f t="shared" si="285"/>
        <v>1</v>
      </c>
      <c r="AE740" s="211">
        <f t="shared" si="286"/>
        <v>1</v>
      </c>
    </row>
    <row r="741" spans="1:31" ht="24.95" customHeight="1" x14ac:dyDescent="0.25">
      <c r="B741" s="212">
        <f t="shared" si="288"/>
        <v>8</v>
      </c>
      <c r="C741" s="264" t="str">
        <f t="shared" si="274"/>
        <v>BONANG</v>
      </c>
      <c r="D741" s="213"/>
      <c r="E741" s="265" t="str">
        <f t="shared" si="275"/>
        <v>C</v>
      </c>
      <c r="F741" s="215" t="s">
        <v>36</v>
      </c>
      <c r="G741" s="215" t="s">
        <v>37</v>
      </c>
      <c r="H741" s="215" t="s">
        <v>37</v>
      </c>
      <c r="I741" s="215" t="s">
        <v>37</v>
      </c>
      <c r="J741" s="215" t="s">
        <v>36</v>
      </c>
      <c r="K741" s="215" t="s">
        <v>37</v>
      </c>
      <c r="L741" s="215" t="s">
        <v>37</v>
      </c>
      <c r="M741" s="274">
        <f t="shared" si="287"/>
        <v>5</v>
      </c>
      <c r="N741" s="217" t="str">
        <f t="shared" si="276"/>
        <v>Rp</v>
      </c>
      <c r="O741" s="266">
        <f t="shared" si="277"/>
        <v>100000</v>
      </c>
      <c r="P741" s="217" t="str">
        <f t="shared" si="278"/>
        <v>Rp</v>
      </c>
      <c r="Q741" s="219">
        <f t="shared" si="279"/>
        <v>500000</v>
      </c>
      <c r="R741" s="222"/>
      <c r="S741" s="223">
        <f>IF(Q741&gt;0,S739+2,IF(T741=0," "))</f>
        <v>8</v>
      </c>
      <c r="U741" s="211"/>
      <c r="V741" s="211"/>
      <c r="Y741" s="211">
        <f t="shared" si="280"/>
        <v>0</v>
      </c>
      <c r="Z741" s="211">
        <f t="shared" si="281"/>
        <v>1</v>
      </c>
      <c r="AA741" s="211">
        <f t="shared" si="282"/>
        <v>1</v>
      </c>
      <c r="AB741" s="211">
        <f t="shared" si="283"/>
        <v>1</v>
      </c>
      <c r="AC741" s="211">
        <f t="shared" si="284"/>
        <v>0</v>
      </c>
      <c r="AD741" s="211">
        <f t="shared" si="285"/>
        <v>1</v>
      </c>
      <c r="AE741" s="211">
        <f t="shared" si="286"/>
        <v>1</v>
      </c>
    </row>
    <row r="742" spans="1:31" ht="24.95" customHeight="1" x14ac:dyDescent="0.25">
      <c r="B742" s="212">
        <f t="shared" si="288"/>
        <v>9</v>
      </c>
      <c r="C742" s="264">
        <f t="shared" si="274"/>
        <v>0</v>
      </c>
      <c r="D742" s="213"/>
      <c r="E742" s="265">
        <f t="shared" si="275"/>
        <v>0</v>
      </c>
      <c r="F742" s="215" t="s">
        <v>36</v>
      </c>
      <c r="G742" s="215" t="s">
        <v>37</v>
      </c>
      <c r="H742" s="215" t="s">
        <v>37</v>
      </c>
      <c r="I742" s="215" t="s">
        <v>37</v>
      </c>
      <c r="J742" s="215" t="s">
        <v>37</v>
      </c>
      <c r="K742" s="215" t="s">
        <v>37</v>
      </c>
      <c r="L742" s="215" t="s">
        <v>37</v>
      </c>
      <c r="M742" s="274">
        <f t="shared" si="287"/>
        <v>6</v>
      </c>
      <c r="N742" s="217" t="str">
        <f t="shared" si="276"/>
        <v xml:space="preserve"> </v>
      </c>
      <c r="O742" s="266">
        <f t="shared" si="277"/>
        <v>0</v>
      </c>
      <c r="P742" s="217" t="str">
        <f t="shared" si="278"/>
        <v xml:space="preserve"> </v>
      </c>
      <c r="Q742" s="219">
        <f t="shared" si="279"/>
        <v>0</v>
      </c>
      <c r="R742" s="222" t="str">
        <f>IF(Q742&gt;0,R740+2,IF(Q742=0," "))</f>
        <v xml:space="preserve"> </v>
      </c>
      <c r="S742" s="221"/>
      <c r="U742" s="211"/>
      <c r="V742" s="211"/>
      <c r="Y742" s="211">
        <f t="shared" si="280"/>
        <v>0</v>
      </c>
      <c r="Z742" s="211">
        <f t="shared" si="281"/>
        <v>1</v>
      </c>
      <c r="AA742" s="211">
        <f t="shared" si="282"/>
        <v>1</v>
      </c>
      <c r="AB742" s="211">
        <f t="shared" si="283"/>
        <v>1</v>
      </c>
      <c r="AC742" s="211">
        <f t="shared" si="284"/>
        <v>1</v>
      </c>
      <c r="AD742" s="211">
        <f t="shared" si="285"/>
        <v>1</v>
      </c>
      <c r="AE742" s="211">
        <f t="shared" si="286"/>
        <v>1</v>
      </c>
    </row>
    <row r="743" spans="1:31" ht="24.95" customHeight="1" x14ac:dyDescent="0.25">
      <c r="B743" s="212">
        <f t="shared" si="288"/>
        <v>10</v>
      </c>
      <c r="C743" s="264">
        <f t="shared" si="274"/>
        <v>0</v>
      </c>
      <c r="D743" s="213"/>
      <c r="E743" s="265">
        <f t="shared" si="275"/>
        <v>0</v>
      </c>
      <c r="F743" s="215" t="s">
        <v>36</v>
      </c>
      <c r="G743" s="215" t="s">
        <v>37</v>
      </c>
      <c r="H743" s="215" t="s">
        <v>37</v>
      </c>
      <c r="I743" s="215" t="s">
        <v>37</v>
      </c>
      <c r="J743" s="215" t="s">
        <v>37</v>
      </c>
      <c r="K743" s="215" t="s">
        <v>37</v>
      </c>
      <c r="L743" s="215" t="s">
        <v>37</v>
      </c>
      <c r="M743" s="274">
        <f t="shared" si="287"/>
        <v>6</v>
      </c>
      <c r="N743" s="217" t="str">
        <f t="shared" si="276"/>
        <v xml:space="preserve"> </v>
      </c>
      <c r="O743" s="266">
        <f t="shared" si="277"/>
        <v>0</v>
      </c>
      <c r="P743" s="217" t="str">
        <f t="shared" si="278"/>
        <v xml:space="preserve"> </v>
      </c>
      <c r="Q743" s="219">
        <f t="shared" si="279"/>
        <v>0</v>
      </c>
      <c r="R743" s="222"/>
      <c r="S743" s="223" t="str">
        <f>IF(Q743&gt;0,S741+2,IF(T743=0," "))</f>
        <v xml:space="preserve"> </v>
      </c>
      <c r="U743" s="211"/>
      <c r="V743" s="211"/>
      <c r="Y743" s="211">
        <f t="shared" si="280"/>
        <v>0</v>
      </c>
      <c r="Z743" s="211">
        <f t="shared" si="281"/>
        <v>1</v>
      </c>
      <c r="AA743" s="211">
        <f t="shared" si="282"/>
        <v>1</v>
      </c>
      <c r="AB743" s="211">
        <f t="shared" si="283"/>
        <v>1</v>
      </c>
      <c r="AC743" s="211">
        <f t="shared" si="284"/>
        <v>1</v>
      </c>
      <c r="AD743" s="211">
        <f t="shared" si="285"/>
        <v>1</v>
      </c>
      <c r="AE743" s="211">
        <f t="shared" si="286"/>
        <v>1</v>
      </c>
    </row>
    <row r="744" spans="1:31" ht="24.95" customHeight="1" x14ac:dyDescent="0.25">
      <c r="B744" s="212">
        <f t="shared" si="288"/>
        <v>11</v>
      </c>
      <c r="C744" s="264">
        <f t="shared" si="274"/>
        <v>0</v>
      </c>
      <c r="D744" s="213"/>
      <c r="E744" s="265">
        <f t="shared" si="275"/>
        <v>0</v>
      </c>
      <c r="F744" s="215" t="s">
        <v>36</v>
      </c>
      <c r="G744" s="215" t="s">
        <v>37</v>
      </c>
      <c r="H744" s="215" t="s">
        <v>37</v>
      </c>
      <c r="I744" s="215" t="s">
        <v>37</v>
      </c>
      <c r="J744" s="215" t="s">
        <v>37</v>
      </c>
      <c r="K744" s="215" t="s">
        <v>37</v>
      </c>
      <c r="L744" s="215" t="s">
        <v>37</v>
      </c>
      <c r="M744" s="274">
        <f t="shared" si="287"/>
        <v>6</v>
      </c>
      <c r="N744" s="217" t="str">
        <f t="shared" si="276"/>
        <v xml:space="preserve"> </v>
      </c>
      <c r="O744" s="266">
        <f t="shared" si="277"/>
        <v>0</v>
      </c>
      <c r="P744" s="217" t="str">
        <f t="shared" si="278"/>
        <v xml:space="preserve"> </v>
      </c>
      <c r="Q744" s="219">
        <f t="shared" si="279"/>
        <v>0</v>
      </c>
      <c r="R744" s="222" t="str">
        <f>IF(Q744&gt;0,R742+2,IF(Q744=0," "))</f>
        <v xml:space="preserve"> </v>
      </c>
      <c r="S744" s="221"/>
      <c r="U744" s="211"/>
      <c r="V744" s="211"/>
      <c r="Y744" s="211">
        <f t="shared" si="280"/>
        <v>0</v>
      </c>
      <c r="Z744" s="211">
        <f t="shared" si="281"/>
        <v>1</v>
      </c>
      <c r="AA744" s="211">
        <f t="shared" si="282"/>
        <v>1</v>
      </c>
      <c r="AB744" s="211">
        <f t="shared" si="283"/>
        <v>1</v>
      </c>
      <c r="AC744" s="211">
        <f t="shared" si="284"/>
        <v>1</v>
      </c>
      <c r="AD744" s="211">
        <f t="shared" si="285"/>
        <v>1</v>
      </c>
      <c r="AE744" s="211">
        <f t="shared" si="286"/>
        <v>1</v>
      </c>
    </row>
    <row r="745" spans="1:31" ht="24.95" customHeight="1" thickBot="1" x14ac:dyDescent="0.25">
      <c r="B745" s="233"/>
      <c r="C745" s="257"/>
      <c r="D745" s="235"/>
      <c r="E745" s="236"/>
      <c r="F745" s="237"/>
      <c r="G745" s="238"/>
      <c r="H745" s="239"/>
      <c r="I745" s="239"/>
      <c r="J745" s="240"/>
      <c r="K745" s="240"/>
      <c r="L745" s="240"/>
      <c r="M745" s="259"/>
      <c r="N745" s="242"/>
      <c r="O745" s="258"/>
      <c r="P745" s="244"/>
      <c r="Q745" s="236"/>
      <c r="R745" s="246"/>
      <c r="S745" s="247"/>
      <c r="U745" s="211"/>
      <c r="V745" s="211"/>
    </row>
    <row r="746" spans="1:31" ht="20.100000000000001" customHeight="1" thickTop="1" thickBot="1" x14ac:dyDescent="0.3">
      <c r="A746" s="179">
        <f>A708+1</f>
        <v>20</v>
      </c>
      <c r="B746" s="248"/>
      <c r="C746" s="249"/>
      <c r="D746" s="249"/>
      <c r="E746" s="249"/>
      <c r="F746" s="249"/>
      <c r="G746" s="249"/>
      <c r="H746" s="249"/>
      <c r="I746" s="249"/>
      <c r="J746" s="249"/>
      <c r="K746" s="249"/>
      <c r="L746" s="249"/>
      <c r="M746" s="249"/>
      <c r="N746" s="249"/>
      <c r="O746" s="250" t="s">
        <v>40</v>
      </c>
      <c r="P746" s="249"/>
      <c r="Q746" s="710">
        <f>SUM(Q734:Q745)</f>
        <v>4755000</v>
      </c>
      <c r="R746" s="711"/>
      <c r="S746" s="712"/>
      <c r="U746" s="226" t="e">
        <f>VLOOKUP(A746,'Rekap Gaji'!$B$12:$P$24,10,FALSE)</f>
        <v>#N/A</v>
      </c>
      <c r="V746" s="251" t="e">
        <f>U746-Q746</f>
        <v>#N/A</v>
      </c>
    </row>
    <row r="747" spans="1:31" ht="11.25" customHeight="1" x14ac:dyDescent="0.25"/>
    <row r="748" spans="1:31" ht="16.5" customHeight="1" x14ac:dyDescent="0.25">
      <c r="B748" s="195" t="s">
        <v>41</v>
      </c>
      <c r="C748" s="140" t="s">
        <v>42</v>
      </c>
    </row>
    <row r="749" spans="1:31" ht="14.25" x14ac:dyDescent="0.25">
      <c r="G749" s="183"/>
      <c r="H749" s="182"/>
      <c r="M749" s="141"/>
      <c r="N749" s="141"/>
      <c r="Q749" s="140" t="str">
        <f>'BKU 1'!$I$25</f>
        <v>NGANTANG</v>
      </c>
      <c r="R749" s="713" t="str">
        <f>IFERROR(VLOOKUP(E728,'Rekap Gaji'!$B$12:$P$24,7,FALSE),"-")</f>
        <v>-</v>
      </c>
      <c r="S749" s="713"/>
      <c r="T749" s="252"/>
      <c r="U749" s="252"/>
    </row>
    <row r="750" spans="1:31" ht="15.75" x14ac:dyDescent="0.25">
      <c r="C750" s="140" t="s">
        <v>43</v>
      </c>
      <c r="F750" s="253"/>
      <c r="G750" s="254"/>
      <c r="H750" s="255"/>
      <c r="I750" s="256"/>
      <c r="J750" s="225" t="s">
        <v>44</v>
      </c>
      <c r="K750" s="253"/>
      <c r="M750" s="141"/>
      <c r="N750" s="141"/>
      <c r="Q750" s="140" t="str">
        <f>'BKU 1'!$L$354</f>
        <v>Dibuat Oleh ;</v>
      </c>
      <c r="R750" s="141"/>
    </row>
    <row r="751" spans="1:31" ht="14.25" x14ac:dyDescent="0.25">
      <c r="C751" s="140" t="str">
        <f>'BKU 1'!$C$355</f>
        <v>Kepala Sekolah SDN 1 SIDODADI</v>
      </c>
      <c r="F751" s="187"/>
      <c r="G751" s="224"/>
      <c r="H751" s="182"/>
      <c r="I751" s="183"/>
      <c r="J751" s="140" t="s">
        <v>45</v>
      </c>
      <c r="K751" s="187"/>
      <c r="Q751" s="140" t="str">
        <f>'BKU 1'!$L$355</f>
        <v>Bendahara Pembangunan</v>
      </c>
      <c r="R751" s="141"/>
    </row>
    <row r="752" spans="1:31" ht="14.25" x14ac:dyDescent="0.25">
      <c r="F752" s="187"/>
      <c r="G752" s="224"/>
      <c r="H752" s="182"/>
      <c r="I752" s="183"/>
      <c r="K752" s="187"/>
      <c r="Q752" s="140"/>
      <c r="R752" s="141"/>
    </row>
    <row r="753" spans="1:22" ht="14.25" x14ac:dyDescent="0.25">
      <c r="F753" s="187"/>
      <c r="G753" s="224"/>
      <c r="H753" s="182"/>
      <c r="I753" s="183"/>
      <c r="K753" s="187"/>
      <c r="Q753" s="140"/>
      <c r="R753" s="141"/>
    </row>
    <row r="754" spans="1:22" ht="14.25" x14ac:dyDescent="0.25">
      <c r="F754" s="187"/>
      <c r="G754" s="224"/>
      <c r="H754" s="182"/>
      <c r="I754" s="183"/>
      <c r="K754" s="187"/>
      <c r="Q754" s="140"/>
      <c r="R754" s="141"/>
    </row>
    <row r="755" spans="1:22" ht="14.25" x14ac:dyDescent="0.25">
      <c r="F755" s="187"/>
      <c r="G755" s="224"/>
      <c r="H755" s="182"/>
      <c r="I755" s="183"/>
      <c r="K755" s="187"/>
      <c r="Q755" s="140"/>
      <c r="R755" s="141"/>
    </row>
    <row r="756" spans="1:22" x14ac:dyDescent="0.25">
      <c r="G756" s="225"/>
      <c r="Q756" s="140"/>
    </row>
    <row r="757" spans="1:22" x14ac:dyDescent="0.25">
      <c r="G757" s="225"/>
      <c r="Q757" s="140"/>
    </row>
    <row r="758" spans="1:22" s="189" customFormat="1" ht="15" customHeight="1" x14ac:dyDescent="0.25">
      <c r="A758" s="192"/>
      <c r="B758" s="195"/>
      <c r="C758" s="227" t="str">
        <f>'BKU 1'!$C$360</f>
        <v>MELIA FITRIANI, S.Pd.SD</v>
      </c>
      <c r="D758" s="227"/>
      <c r="G758" s="228"/>
      <c r="H758" s="195"/>
      <c r="I758" s="194"/>
      <c r="J758" s="229">
        <f>'BKU 1'!$G$360</f>
        <v>0</v>
      </c>
      <c r="Q758" s="227" t="str">
        <f>'BKU 1'!$L$360</f>
        <v>ARIF NUR UDIN, S.Pd.SD</v>
      </c>
      <c r="S758" s="230"/>
      <c r="U758" s="231"/>
      <c r="V758" s="231"/>
    </row>
    <row r="759" spans="1:22" s="189" customFormat="1" ht="15" customHeight="1" x14ac:dyDescent="0.25">
      <c r="A759" s="192"/>
      <c r="B759" s="195"/>
      <c r="C759" s="140" t="str">
        <f>'BKU 1'!$C$361</f>
        <v>NIP. 19850619 200904 2 000</v>
      </c>
      <c r="D759" s="140"/>
      <c r="E759" s="140"/>
      <c r="F759" s="140"/>
      <c r="G759" s="225"/>
      <c r="H759" s="191"/>
      <c r="I759" s="190"/>
      <c r="J759" s="232">
        <f>'BKU 1'!$G$361</f>
        <v>0</v>
      </c>
      <c r="K759" s="140"/>
      <c r="M759" s="140"/>
      <c r="N759" s="140"/>
      <c r="O759" s="140"/>
      <c r="P759" s="140"/>
      <c r="Q759" s="140" t="str">
        <f>'BKU 1'!$L$361</f>
        <v>NIP. 19840719 200903 1 002</v>
      </c>
      <c r="S759" s="230"/>
      <c r="U759" s="231"/>
      <c r="V759" s="231"/>
    </row>
    <row r="760" spans="1:22" ht="6" customHeight="1" x14ac:dyDescent="0.25"/>
  </sheetData>
  <mergeCells count="500">
    <mergeCell ref="F351:L351"/>
    <mergeCell ref="F389:L389"/>
    <mergeCell ref="F427:L427"/>
    <mergeCell ref="F465:L465"/>
    <mergeCell ref="F161:L161"/>
    <mergeCell ref="F199:L199"/>
    <mergeCell ref="F237:L237"/>
    <mergeCell ref="F275:L275"/>
    <mergeCell ref="B343:S343"/>
    <mergeCell ref="B344:S344"/>
    <mergeCell ref="G348:I348"/>
    <mergeCell ref="E349:H349"/>
    <mergeCell ref="I349:J349"/>
    <mergeCell ref="K349:N349"/>
    <mergeCell ref="G352:G353"/>
    <mergeCell ref="H352:H353"/>
    <mergeCell ref="I352:I353"/>
    <mergeCell ref="B381:S381"/>
    <mergeCell ref="B382:S382"/>
    <mergeCell ref="G386:I386"/>
    <mergeCell ref="Q366:S366"/>
    <mergeCell ref="R369:S369"/>
    <mergeCell ref="B351:B353"/>
    <mergeCell ref="C351:D353"/>
    <mergeCell ref="N351:O351"/>
    <mergeCell ref="P351:Q351"/>
    <mergeCell ref="R351:S353"/>
    <mergeCell ref="F352:F353"/>
    <mergeCell ref="F124:F125"/>
    <mergeCell ref="G124:G125"/>
    <mergeCell ref="H124:H125"/>
    <mergeCell ref="B495:S495"/>
    <mergeCell ref="B496:S496"/>
    <mergeCell ref="B305:S305"/>
    <mergeCell ref="B306:S306"/>
    <mergeCell ref="G310:I310"/>
    <mergeCell ref="P239:Q239"/>
    <mergeCell ref="Q252:S252"/>
    <mergeCell ref="R255:S255"/>
    <mergeCell ref="G196:I196"/>
    <mergeCell ref="E197:H197"/>
    <mergeCell ref="I197:J197"/>
    <mergeCell ref="K197:N197"/>
    <mergeCell ref="B199:B201"/>
    <mergeCell ref="C199:D201"/>
    <mergeCell ref="P277:Q277"/>
    <mergeCell ref="Q214:S214"/>
    <mergeCell ref="R217:S217"/>
    <mergeCell ref="G500:I500"/>
    <mergeCell ref="E501:H501"/>
    <mergeCell ref="I501:J501"/>
    <mergeCell ref="K501:N501"/>
    <mergeCell ref="B503:B505"/>
    <mergeCell ref="C503:D505"/>
    <mergeCell ref="F9:L9"/>
    <mergeCell ref="F47:L47"/>
    <mergeCell ref="F85:L85"/>
    <mergeCell ref="F48:F49"/>
    <mergeCell ref="G48:G49"/>
    <mergeCell ref="H48:H49"/>
    <mergeCell ref="I48:I49"/>
    <mergeCell ref="J48:J49"/>
    <mergeCell ref="K48:K49"/>
    <mergeCell ref="L48:L49"/>
    <mergeCell ref="B123:B125"/>
    <mergeCell ref="C123:D125"/>
    <mergeCell ref="K121:N121"/>
    <mergeCell ref="N11:O11"/>
    <mergeCell ref="B192:S192"/>
    <mergeCell ref="C9:D11"/>
    <mergeCell ref="Q328:S328"/>
    <mergeCell ref="R331:S331"/>
    <mergeCell ref="N86:O86"/>
    <mergeCell ref="P86:Q86"/>
    <mergeCell ref="N87:O87"/>
    <mergeCell ref="R103:S103"/>
    <mergeCell ref="E121:H121"/>
    <mergeCell ref="B85:B87"/>
    <mergeCell ref="C85:D87"/>
    <mergeCell ref="N85:O85"/>
    <mergeCell ref="P85:Q85"/>
    <mergeCell ref="R85:S87"/>
    <mergeCell ref="F86:F87"/>
    <mergeCell ref="G86:G87"/>
    <mergeCell ref="H86:H87"/>
    <mergeCell ref="B191:S191"/>
    <mergeCell ref="C47:D49"/>
    <mergeCell ref="P47:Q47"/>
    <mergeCell ref="P48:Q48"/>
    <mergeCell ref="P49:Q49"/>
    <mergeCell ref="N47:O47"/>
    <mergeCell ref="N48:O48"/>
    <mergeCell ref="N49:O49"/>
    <mergeCell ref="I86:I87"/>
    <mergeCell ref="J86:J87"/>
    <mergeCell ref="Q138:S138"/>
    <mergeCell ref="N123:O123"/>
    <mergeCell ref="P123:Q123"/>
    <mergeCell ref="R123:S125"/>
    <mergeCell ref="I124:I125"/>
    <mergeCell ref="J124:J125"/>
    <mergeCell ref="P87:Q87"/>
    <mergeCell ref="Q100:S100"/>
    <mergeCell ref="B115:S115"/>
    <mergeCell ref="B116:S116"/>
    <mergeCell ref="G120:I120"/>
    <mergeCell ref="I121:J121"/>
    <mergeCell ref="K86:K87"/>
    <mergeCell ref="L86:L87"/>
    <mergeCell ref="E7:H7"/>
    <mergeCell ref="K7:N7"/>
    <mergeCell ref="Q24:S24"/>
    <mergeCell ref="Q62:S62"/>
    <mergeCell ref="B40:S40"/>
    <mergeCell ref="G44:I44"/>
    <mergeCell ref="I45:J45"/>
    <mergeCell ref="B47:B49"/>
    <mergeCell ref="R47:S49"/>
    <mergeCell ref="E45:H45"/>
    <mergeCell ref="K45:N45"/>
    <mergeCell ref="F276:F277"/>
    <mergeCell ref="G276:G277"/>
    <mergeCell ref="H276:H277"/>
    <mergeCell ref="I276:I277"/>
    <mergeCell ref="I7:J7"/>
    <mergeCell ref="B39:S39"/>
    <mergeCell ref="B1:S1"/>
    <mergeCell ref="B2:S2"/>
    <mergeCell ref="B9:B11"/>
    <mergeCell ref="R9:S11"/>
    <mergeCell ref="F10:F11"/>
    <mergeCell ref="G10:G11"/>
    <mergeCell ref="H10:H11"/>
    <mergeCell ref="I10:I11"/>
    <mergeCell ref="J10:J11"/>
    <mergeCell ref="K10:K11"/>
    <mergeCell ref="L10:L11"/>
    <mergeCell ref="G6:I6"/>
    <mergeCell ref="P9:Q9"/>
    <mergeCell ref="P10:Q10"/>
    <mergeCell ref="P11:Q11"/>
    <mergeCell ref="N9:O9"/>
    <mergeCell ref="N10:O10"/>
    <mergeCell ref="R27:S27"/>
    <mergeCell ref="K425:N425"/>
    <mergeCell ref="P391:Q391"/>
    <mergeCell ref="Q404:S404"/>
    <mergeCell ref="R407:S407"/>
    <mergeCell ref="Q290:S290"/>
    <mergeCell ref="R293:S293"/>
    <mergeCell ref="B267:S267"/>
    <mergeCell ref="B268:S268"/>
    <mergeCell ref="G272:I272"/>
    <mergeCell ref="E273:H273"/>
    <mergeCell ref="I273:J273"/>
    <mergeCell ref="J352:J353"/>
    <mergeCell ref="K352:K353"/>
    <mergeCell ref="L352:L353"/>
    <mergeCell ref="N352:O352"/>
    <mergeCell ref="P352:Q352"/>
    <mergeCell ref="N353:O353"/>
    <mergeCell ref="P353:Q353"/>
    <mergeCell ref="K273:N273"/>
    <mergeCell ref="B275:B277"/>
    <mergeCell ref="C275:D277"/>
    <mergeCell ref="N275:O275"/>
    <mergeCell ref="P275:Q275"/>
    <mergeCell ref="R275:S277"/>
    <mergeCell ref="E387:H387"/>
    <mergeCell ref="I387:J387"/>
    <mergeCell ref="K387:N387"/>
    <mergeCell ref="B389:B391"/>
    <mergeCell ref="C389:D391"/>
    <mergeCell ref="N389:O389"/>
    <mergeCell ref="P389:Q389"/>
    <mergeCell ref="R389:S391"/>
    <mergeCell ref="B457:S457"/>
    <mergeCell ref="F390:F391"/>
    <mergeCell ref="G390:G391"/>
    <mergeCell ref="H390:H391"/>
    <mergeCell ref="I390:I391"/>
    <mergeCell ref="J390:J391"/>
    <mergeCell ref="K390:K391"/>
    <mergeCell ref="L390:L391"/>
    <mergeCell ref="N390:O390"/>
    <mergeCell ref="P390:Q390"/>
    <mergeCell ref="N391:O391"/>
    <mergeCell ref="B419:S419"/>
    <mergeCell ref="B420:S420"/>
    <mergeCell ref="G424:I424"/>
    <mergeCell ref="E425:H425"/>
    <mergeCell ref="I425:J425"/>
    <mergeCell ref="B458:S458"/>
    <mergeCell ref="G462:I462"/>
    <mergeCell ref="E463:H463"/>
    <mergeCell ref="I463:J463"/>
    <mergeCell ref="K463:N463"/>
    <mergeCell ref="B465:B467"/>
    <mergeCell ref="C465:D467"/>
    <mergeCell ref="N465:O465"/>
    <mergeCell ref="P465:Q465"/>
    <mergeCell ref="R465:S467"/>
    <mergeCell ref="F466:F467"/>
    <mergeCell ref="G466:G467"/>
    <mergeCell ref="H466:H467"/>
    <mergeCell ref="I466:I467"/>
    <mergeCell ref="J466:J467"/>
    <mergeCell ref="K466:K467"/>
    <mergeCell ref="L466:L467"/>
    <mergeCell ref="N466:O466"/>
    <mergeCell ref="P466:Q466"/>
    <mergeCell ref="N467:O467"/>
    <mergeCell ref="P467:Q467"/>
    <mergeCell ref="K124:K125"/>
    <mergeCell ref="L124:L125"/>
    <mergeCell ref="N124:O124"/>
    <mergeCell ref="P124:Q124"/>
    <mergeCell ref="N125:O125"/>
    <mergeCell ref="P125:Q125"/>
    <mergeCell ref="F123:L123"/>
    <mergeCell ref="R179:S179"/>
    <mergeCell ref="R141:S141"/>
    <mergeCell ref="Q176:S176"/>
    <mergeCell ref="P163:Q163"/>
    <mergeCell ref="R65:S65"/>
    <mergeCell ref="B77:S77"/>
    <mergeCell ref="B78:S78"/>
    <mergeCell ref="G82:I82"/>
    <mergeCell ref="E83:H83"/>
    <mergeCell ref="I83:J83"/>
    <mergeCell ref="K83:N83"/>
    <mergeCell ref="J276:J277"/>
    <mergeCell ref="K276:K277"/>
    <mergeCell ref="L276:L277"/>
    <mergeCell ref="N276:O276"/>
    <mergeCell ref="P276:Q276"/>
    <mergeCell ref="N277:O277"/>
    <mergeCell ref="P199:Q199"/>
    <mergeCell ref="R199:S201"/>
    <mergeCell ref="F200:F201"/>
    <mergeCell ref="G200:G201"/>
    <mergeCell ref="H200:H201"/>
    <mergeCell ref="I200:I201"/>
    <mergeCell ref="J200:J201"/>
    <mergeCell ref="K200:K201"/>
    <mergeCell ref="L200:L201"/>
    <mergeCell ref="N200:O200"/>
    <mergeCell ref="P200:Q200"/>
    <mergeCell ref="Q442:S442"/>
    <mergeCell ref="R445:S445"/>
    <mergeCell ref="B427:B429"/>
    <mergeCell ref="C427:D429"/>
    <mergeCell ref="N427:O427"/>
    <mergeCell ref="P427:Q427"/>
    <mergeCell ref="R427:S429"/>
    <mergeCell ref="F428:F429"/>
    <mergeCell ref="G428:G429"/>
    <mergeCell ref="H428:H429"/>
    <mergeCell ref="I428:I429"/>
    <mergeCell ref="J428:J429"/>
    <mergeCell ref="K428:K429"/>
    <mergeCell ref="L428:L429"/>
    <mergeCell ref="N428:O428"/>
    <mergeCell ref="P428:Q428"/>
    <mergeCell ref="N429:O429"/>
    <mergeCell ref="P429:Q429"/>
    <mergeCell ref="Q480:S480"/>
    <mergeCell ref="R483:S483"/>
    <mergeCell ref="B153:S153"/>
    <mergeCell ref="B154:S154"/>
    <mergeCell ref="G158:I158"/>
    <mergeCell ref="E159:H159"/>
    <mergeCell ref="I159:J159"/>
    <mergeCell ref="K159:N159"/>
    <mergeCell ref="B161:B163"/>
    <mergeCell ref="C161:D163"/>
    <mergeCell ref="N161:O161"/>
    <mergeCell ref="P161:Q161"/>
    <mergeCell ref="R161:S163"/>
    <mergeCell ref="F162:F163"/>
    <mergeCell ref="G162:G163"/>
    <mergeCell ref="H162:H163"/>
    <mergeCell ref="I162:I163"/>
    <mergeCell ref="J162:J163"/>
    <mergeCell ref="K162:K163"/>
    <mergeCell ref="L162:L163"/>
    <mergeCell ref="N162:O162"/>
    <mergeCell ref="P162:Q162"/>
    <mergeCell ref="N163:O163"/>
    <mergeCell ref="N199:O199"/>
    <mergeCell ref="N201:O201"/>
    <mergeCell ref="P201:Q201"/>
    <mergeCell ref="B229:S229"/>
    <mergeCell ref="B230:S230"/>
    <mergeCell ref="G234:I234"/>
    <mergeCell ref="E235:H235"/>
    <mergeCell ref="I235:J235"/>
    <mergeCell ref="K235:N235"/>
    <mergeCell ref="B237:B239"/>
    <mergeCell ref="C237:D239"/>
    <mergeCell ref="N237:O237"/>
    <mergeCell ref="P237:Q237"/>
    <mergeCell ref="R237:S239"/>
    <mergeCell ref="F238:F239"/>
    <mergeCell ref="G238:G239"/>
    <mergeCell ref="H238:H239"/>
    <mergeCell ref="I238:I239"/>
    <mergeCell ref="J238:J239"/>
    <mergeCell ref="K238:K239"/>
    <mergeCell ref="L238:L239"/>
    <mergeCell ref="N238:O238"/>
    <mergeCell ref="P238:Q238"/>
    <mergeCell ref="N239:O239"/>
    <mergeCell ref="E311:H311"/>
    <mergeCell ref="I311:J311"/>
    <mergeCell ref="K311:N311"/>
    <mergeCell ref="B313:B315"/>
    <mergeCell ref="C313:D315"/>
    <mergeCell ref="N313:O313"/>
    <mergeCell ref="P313:Q313"/>
    <mergeCell ref="R313:S315"/>
    <mergeCell ref="F314:F315"/>
    <mergeCell ref="G314:G315"/>
    <mergeCell ref="H314:H315"/>
    <mergeCell ref="I314:I315"/>
    <mergeCell ref="J314:J315"/>
    <mergeCell ref="K314:K315"/>
    <mergeCell ref="L314:L315"/>
    <mergeCell ref="N314:O314"/>
    <mergeCell ref="P314:Q314"/>
    <mergeCell ref="N315:O315"/>
    <mergeCell ref="P315:Q315"/>
    <mergeCell ref="F313:L313"/>
    <mergeCell ref="R503:S505"/>
    <mergeCell ref="F504:F505"/>
    <mergeCell ref="G504:G505"/>
    <mergeCell ref="H504:H505"/>
    <mergeCell ref="I504:I505"/>
    <mergeCell ref="J504:J505"/>
    <mergeCell ref="K504:K505"/>
    <mergeCell ref="L504:L505"/>
    <mergeCell ref="N504:O504"/>
    <mergeCell ref="P504:Q504"/>
    <mergeCell ref="N505:O505"/>
    <mergeCell ref="P505:Q505"/>
    <mergeCell ref="F503:L503"/>
    <mergeCell ref="N503:O503"/>
    <mergeCell ref="P503:Q503"/>
    <mergeCell ref="Q518:S518"/>
    <mergeCell ref="R521:S521"/>
    <mergeCell ref="B533:S533"/>
    <mergeCell ref="B534:S534"/>
    <mergeCell ref="G538:I538"/>
    <mergeCell ref="E539:H539"/>
    <mergeCell ref="I539:J539"/>
    <mergeCell ref="K539:N539"/>
    <mergeCell ref="B541:B543"/>
    <mergeCell ref="C541:D543"/>
    <mergeCell ref="F541:L541"/>
    <mergeCell ref="N541:O541"/>
    <mergeCell ref="P541:Q541"/>
    <mergeCell ref="R541:S543"/>
    <mergeCell ref="F542:F543"/>
    <mergeCell ref="G542:G543"/>
    <mergeCell ref="H542:H543"/>
    <mergeCell ref="I542:I543"/>
    <mergeCell ref="J542:J543"/>
    <mergeCell ref="K542:K543"/>
    <mergeCell ref="L542:L543"/>
    <mergeCell ref="N542:O542"/>
    <mergeCell ref="P542:Q542"/>
    <mergeCell ref="N543:O543"/>
    <mergeCell ref="P543:Q543"/>
    <mergeCell ref="Q556:S556"/>
    <mergeCell ref="R559:S559"/>
    <mergeCell ref="B571:S571"/>
    <mergeCell ref="B572:S572"/>
    <mergeCell ref="G576:I576"/>
    <mergeCell ref="E577:H577"/>
    <mergeCell ref="I577:J577"/>
    <mergeCell ref="K577:N577"/>
    <mergeCell ref="B579:B581"/>
    <mergeCell ref="C579:D581"/>
    <mergeCell ref="F579:L579"/>
    <mergeCell ref="N579:O579"/>
    <mergeCell ref="P579:Q579"/>
    <mergeCell ref="R579:S581"/>
    <mergeCell ref="F580:F581"/>
    <mergeCell ref="G580:G581"/>
    <mergeCell ref="H580:H581"/>
    <mergeCell ref="I580:I581"/>
    <mergeCell ref="J580:J581"/>
    <mergeCell ref="K580:K581"/>
    <mergeCell ref="L580:L581"/>
    <mergeCell ref="N580:O580"/>
    <mergeCell ref="P580:Q580"/>
    <mergeCell ref="N581:O581"/>
    <mergeCell ref="P581:Q581"/>
    <mergeCell ref="Q594:S594"/>
    <mergeCell ref="R597:S597"/>
    <mergeCell ref="B609:S609"/>
    <mergeCell ref="B610:S610"/>
    <mergeCell ref="G614:I614"/>
    <mergeCell ref="E615:H615"/>
    <mergeCell ref="I615:J615"/>
    <mergeCell ref="K615:N615"/>
    <mergeCell ref="B617:B619"/>
    <mergeCell ref="C617:D619"/>
    <mergeCell ref="F617:L617"/>
    <mergeCell ref="N617:O617"/>
    <mergeCell ref="P617:Q617"/>
    <mergeCell ref="R617:S619"/>
    <mergeCell ref="F618:F619"/>
    <mergeCell ref="G618:G619"/>
    <mergeCell ref="H618:H619"/>
    <mergeCell ref="I618:I619"/>
    <mergeCell ref="J618:J619"/>
    <mergeCell ref="K618:K619"/>
    <mergeCell ref="L618:L619"/>
    <mergeCell ref="N618:O618"/>
    <mergeCell ref="P618:Q618"/>
    <mergeCell ref="N619:O619"/>
    <mergeCell ref="P619:Q619"/>
    <mergeCell ref="Q632:S632"/>
    <mergeCell ref="R635:S635"/>
    <mergeCell ref="B647:S647"/>
    <mergeCell ref="B648:S648"/>
    <mergeCell ref="G652:I652"/>
    <mergeCell ref="E653:H653"/>
    <mergeCell ref="I653:J653"/>
    <mergeCell ref="K653:N653"/>
    <mergeCell ref="B655:B657"/>
    <mergeCell ref="C655:D657"/>
    <mergeCell ref="F655:L655"/>
    <mergeCell ref="N655:O655"/>
    <mergeCell ref="P655:Q655"/>
    <mergeCell ref="R655:S657"/>
    <mergeCell ref="F656:F657"/>
    <mergeCell ref="G656:G657"/>
    <mergeCell ref="H656:H657"/>
    <mergeCell ref="I656:I657"/>
    <mergeCell ref="J656:J657"/>
    <mergeCell ref="K656:K657"/>
    <mergeCell ref="L656:L657"/>
    <mergeCell ref="N656:O656"/>
    <mergeCell ref="P656:Q656"/>
    <mergeCell ref="N657:O657"/>
    <mergeCell ref="P657:Q657"/>
    <mergeCell ref="Q670:S670"/>
    <mergeCell ref="R673:S673"/>
    <mergeCell ref="B685:S685"/>
    <mergeCell ref="B686:S686"/>
    <mergeCell ref="G690:I690"/>
    <mergeCell ref="E691:H691"/>
    <mergeCell ref="I691:J691"/>
    <mergeCell ref="K691:N691"/>
    <mergeCell ref="B693:B695"/>
    <mergeCell ref="C693:D695"/>
    <mergeCell ref="F693:L693"/>
    <mergeCell ref="N693:O693"/>
    <mergeCell ref="P693:Q693"/>
    <mergeCell ref="R693:S695"/>
    <mergeCell ref="F694:F695"/>
    <mergeCell ref="G694:G695"/>
    <mergeCell ref="H694:H695"/>
    <mergeCell ref="I694:I695"/>
    <mergeCell ref="J694:J695"/>
    <mergeCell ref="K694:K695"/>
    <mergeCell ref="L694:L695"/>
    <mergeCell ref="N694:O694"/>
    <mergeCell ref="P694:Q694"/>
    <mergeCell ref="N695:O695"/>
    <mergeCell ref="P695:Q695"/>
    <mergeCell ref="Q708:S708"/>
    <mergeCell ref="R711:S711"/>
    <mergeCell ref="B723:S723"/>
    <mergeCell ref="B724:S724"/>
    <mergeCell ref="G728:I728"/>
    <mergeCell ref="E729:H729"/>
    <mergeCell ref="I729:J729"/>
    <mergeCell ref="K729:N729"/>
    <mergeCell ref="Q746:S746"/>
    <mergeCell ref="R749:S749"/>
    <mergeCell ref="B731:B733"/>
    <mergeCell ref="C731:D733"/>
    <mergeCell ref="F731:L731"/>
    <mergeCell ref="N731:O731"/>
    <mergeCell ref="P731:Q731"/>
    <mergeCell ref="R731:S733"/>
    <mergeCell ref="F732:F733"/>
    <mergeCell ref="G732:G733"/>
    <mergeCell ref="H732:H733"/>
    <mergeCell ref="I732:I733"/>
    <mergeCell ref="J732:J733"/>
    <mergeCell ref="K732:K733"/>
    <mergeCell ref="L732:L733"/>
    <mergeCell ref="N732:O732"/>
    <mergeCell ref="P732:Q732"/>
    <mergeCell ref="N733:O733"/>
    <mergeCell ref="P733:Q733"/>
  </mergeCells>
  <conditionalFormatting sqref="F12:L23 F50:L61 F278:L288 F88:L98 F126:L136 F164:L174 F202:L212 F240:L250">
    <cfRule type="containsText" dxfId="149" priority="111" operator="containsText" text="x">
      <formula>NOT(ISERROR(SEARCH("x",F12)))</formula>
    </cfRule>
    <cfRule type="containsText" dxfId="148" priority="112" operator="containsText" text="V">
      <formula>NOT(ISERROR(SEARCH("V",F12)))</formula>
    </cfRule>
    <cfRule type="cellIs" dxfId="147" priority="113" operator="equal">
      <formula>V</formula>
    </cfRule>
    <cfRule type="cellIs" dxfId="146" priority="114" operator="equal">
      <formula>X</formula>
    </cfRule>
  </conditionalFormatting>
  <conditionalFormatting sqref="F392:L402 F354:L364 F324:L326 G316:L323">
    <cfRule type="containsText" dxfId="145" priority="16" operator="containsText" text="x">
      <formula>NOT(ISERROR(SEARCH("x",F316)))</formula>
    </cfRule>
    <cfRule type="containsText" dxfId="144" priority="17" operator="containsText" text="V">
      <formula>NOT(ISERROR(SEARCH("V",F316)))</formula>
    </cfRule>
    <cfRule type="cellIs" dxfId="143" priority="18" operator="equal">
      <formula>V</formula>
    </cfRule>
    <cfRule type="cellIs" dxfId="142" priority="19" operator="equal">
      <formula>X</formula>
    </cfRule>
  </conditionalFormatting>
  <conditionalFormatting sqref="F316:F323">
    <cfRule type="containsText" dxfId="141" priority="12" operator="containsText" text="x">
      <formula>NOT(ISERROR(SEARCH("x",F316)))</formula>
    </cfRule>
    <cfRule type="containsText" dxfId="140" priority="13" operator="containsText" text="V">
      <formula>NOT(ISERROR(SEARCH("V",F316)))</formula>
    </cfRule>
    <cfRule type="cellIs" dxfId="139" priority="14" operator="equal">
      <formula>V</formula>
    </cfRule>
    <cfRule type="cellIs" dxfId="138" priority="15" operator="equal">
      <formula>X</formula>
    </cfRule>
  </conditionalFormatting>
  <conditionalFormatting sqref="F430:L437">
    <cfRule type="containsText" dxfId="137" priority="8" operator="containsText" text="x">
      <formula>NOT(ISERROR(SEARCH("x",F430)))</formula>
    </cfRule>
    <cfRule type="containsText" dxfId="136" priority="9" operator="containsText" text="V">
      <formula>NOT(ISERROR(SEARCH("V",F430)))</formula>
    </cfRule>
    <cfRule type="cellIs" dxfId="135" priority="10" operator="equal">
      <formula>V</formula>
    </cfRule>
    <cfRule type="cellIs" dxfId="134" priority="11" operator="equal">
      <formula>X</formula>
    </cfRule>
  </conditionalFormatting>
  <pageMargins left="0.59055118110236227" right="0.59055118110236227" top="0.98425196850393704" bottom="0.74803149606299213" header="0.31496062992125984" footer="0.31496062992125984"/>
  <pageSetup paperSize="9" scale="65" fitToHeight="0" orientation="landscape" r:id="rId1"/>
  <rowBreaks count="19" manualBreakCount="19">
    <brk id="38" min="1" max="18" man="1"/>
    <brk id="76" min="1" max="18" man="1"/>
    <brk id="114" min="1" max="18" man="1"/>
    <brk id="152" min="1" max="18" man="1"/>
    <brk id="190" min="1" max="18" man="1"/>
    <brk id="228" min="1" max="18" man="1"/>
    <brk id="266" min="1" max="18" man="1"/>
    <brk id="304" min="1" max="18" man="1"/>
    <brk id="342" min="1" max="18" man="1"/>
    <brk id="380" min="1" max="18" man="1"/>
    <brk id="418" min="1" max="18" man="1"/>
    <brk id="456" min="1" max="18" man="1"/>
    <brk id="494" min="1" max="18" man="1"/>
    <brk id="532" min="1" max="18" man="1"/>
    <brk id="570" min="1" max="18" man="1"/>
    <brk id="608" min="1" max="18" man="1"/>
    <brk id="646" min="1" max="18" man="1"/>
    <brk id="684" min="1" max="18" man="1"/>
    <brk id="722" min="1" max="18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>
    <tabColor rgb="FF92D050"/>
    <pageSetUpPr autoPageBreaks="0" fitToPage="1"/>
  </sheetPr>
  <dimension ref="A1:AH39"/>
  <sheetViews>
    <sheetView view="pageBreakPreview" zoomScaleNormal="100" zoomScaleSheetLayoutView="100" workbookViewId="0">
      <selection activeCell="D31" sqref="D31"/>
    </sheetView>
  </sheetViews>
  <sheetFormatPr defaultColWidth="9.140625" defaultRowHeight="14.25" x14ac:dyDescent="0.2"/>
  <cols>
    <col min="1" max="1" width="9.140625" style="75"/>
    <col min="2" max="2" width="11.85546875" style="75" customWidth="1"/>
    <col min="3" max="3" width="4.28515625" style="75" customWidth="1"/>
    <col min="4" max="4" width="27.85546875" style="75" bestFit="1" customWidth="1"/>
    <col min="5" max="5" width="10.28515625" style="75" customWidth="1"/>
    <col min="6" max="6" width="4.42578125" style="75" customWidth="1"/>
    <col min="7" max="7" width="15.140625" style="75" customWidth="1"/>
    <col min="8" max="8" width="11.85546875" style="75" customWidth="1"/>
    <col min="9" max="9" width="18.85546875" style="75" customWidth="1"/>
    <col min="10" max="10" width="14.140625" style="75" bestFit="1" customWidth="1"/>
    <col min="11" max="11" width="14.140625" style="75" customWidth="1"/>
    <col min="12" max="12" width="29" style="175" bestFit="1" customWidth="1"/>
    <col min="13" max="13" width="36.5703125" style="75" bestFit="1" customWidth="1"/>
    <col min="14" max="14" width="11" style="75" bestFit="1" customWidth="1"/>
    <col min="15" max="16384" width="9.140625" style="75"/>
  </cols>
  <sheetData>
    <row r="1" spans="1:34" s="1" customFormat="1" ht="18" x14ac:dyDescent="0.2">
      <c r="B1" s="769" t="s">
        <v>74</v>
      </c>
      <c r="C1" s="769"/>
      <c r="D1" s="769"/>
      <c r="E1" s="769"/>
      <c r="F1" s="769"/>
      <c r="G1" s="769"/>
      <c r="H1" s="769"/>
      <c r="I1" s="769"/>
      <c r="L1" s="151"/>
    </row>
    <row r="2" spans="1:34" s="1" customFormat="1" ht="18" x14ac:dyDescent="0.2">
      <c r="B2" s="770" t="str">
        <f>'BKU 1'!$D$22</f>
        <v>PEMBANGUNAN TOILET BESERTA SANITASINYA</v>
      </c>
      <c r="C2" s="770"/>
      <c r="D2" s="770"/>
      <c r="E2" s="770"/>
      <c r="F2" s="770"/>
      <c r="G2" s="770"/>
      <c r="H2" s="770"/>
      <c r="I2" s="770"/>
      <c r="L2" s="151"/>
    </row>
    <row r="3" spans="1:34" s="1" customFormat="1" ht="12" x14ac:dyDescent="0.2">
      <c r="B3" s="5"/>
      <c r="C3" s="5"/>
      <c r="H3" s="3"/>
      <c r="I3" s="4"/>
      <c r="L3" s="151"/>
    </row>
    <row r="4" spans="1:34" s="1" customFormat="1" ht="12" x14ac:dyDescent="0.2">
      <c r="B4" s="5" t="s">
        <v>61</v>
      </c>
      <c r="C4" s="5" t="s">
        <v>49</v>
      </c>
      <c r="D4" s="1" t="str">
        <f>'BKU 1'!$D$25</f>
        <v>SDN 1 SIDODADI</v>
      </c>
      <c r="H4" s="2"/>
      <c r="I4" s="4"/>
      <c r="L4" s="151"/>
    </row>
    <row r="5" spans="1:34" s="1" customFormat="1" ht="12" x14ac:dyDescent="0.2">
      <c r="B5" s="5" t="s">
        <v>62</v>
      </c>
      <c r="C5" s="5" t="s">
        <v>49</v>
      </c>
      <c r="D5" s="1" t="str">
        <f>'BKU 1'!$D$26</f>
        <v>Jl. Kawi No.36 Rt. 1 Rw. 1 Dusun Sekar, Rt / Rw : 1 / 1, Dusun : Sekar, Kelurahan : Sidodadi</v>
      </c>
      <c r="H5" s="2"/>
      <c r="I5" s="4"/>
      <c r="L5" s="151"/>
    </row>
    <row r="6" spans="1:34" s="1" customFormat="1" ht="12.75" thickBot="1" x14ac:dyDescent="0.25">
      <c r="B6" s="5" t="s">
        <v>63</v>
      </c>
      <c r="C6" s="5" t="s">
        <v>49</v>
      </c>
      <c r="D6" s="1" t="str">
        <f>'BKU 1'!$I$25</f>
        <v>NGANTANG</v>
      </c>
      <c r="H6" s="2"/>
      <c r="I6" s="4"/>
      <c r="L6" s="151"/>
    </row>
    <row r="7" spans="1:34" s="1" customFormat="1" ht="13.5" thickBot="1" x14ac:dyDescent="0.25">
      <c r="B7" s="5" t="str">
        <f>'Rekap Alat'!A7</f>
        <v>Kabupaten</v>
      </c>
      <c r="C7" s="5" t="s">
        <v>49</v>
      </c>
      <c r="D7" s="5" t="str">
        <f>'Rekap Alat'!C7</f>
        <v>MALANG</v>
      </c>
      <c r="E7" s="5"/>
      <c r="F7" s="5"/>
      <c r="G7" s="5"/>
      <c r="H7" s="2"/>
      <c r="I7" s="4"/>
      <c r="L7" s="151"/>
      <c r="Q7" s="755"/>
      <c r="R7" s="749"/>
      <c r="S7" s="758"/>
      <c r="T7" s="153"/>
      <c r="U7" s="763"/>
      <c r="V7" s="764"/>
      <c r="W7" s="764"/>
      <c r="X7" s="764"/>
      <c r="Y7" s="764"/>
      <c r="Z7" s="764"/>
      <c r="AA7" s="764"/>
      <c r="AB7" s="152"/>
      <c r="AC7" s="749"/>
      <c r="AD7" s="758"/>
      <c r="AE7" s="749"/>
      <c r="AF7" s="758"/>
      <c r="AG7" s="749"/>
      <c r="AH7" s="750"/>
    </row>
    <row r="8" spans="1:34" s="1" customFormat="1" ht="12.75" x14ac:dyDescent="0.2">
      <c r="B8" s="5" t="str">
        <f>'Rekap Alat'!A8</f>
        <v>Propinsi</v>
      </c>
      <c r="C8" s="5" t="s">
        <v>49</v>
      </c>
      <c r="D8" s="5" t="str">
        <f>'Rekap Alat'!C8</f>
        <v>JAWA TIMUR</v>
      </c>
      <c r="E8" s="5"/>
      <c r="F8" s="5"/>
      <c r="G8" s="5"/>
      <c r="H8" s="2"/>
      <c r="I8" s="4"/>
      <c r="L8" s="151"/>
      <c r="M8" s="374"/>
      <c r="Q8" s="756"/>
      <c r="R8" s="751"/>
      <c r="S8" s="759"/>
      <c r="T8" s="155"/>
      <c r="U8" s="761"/>
      <c r="V8" s="761"/>
      <c r="W8" s="761"/>
      <c r="X8" s="761"/>
      <c r="Y8" s="761"/>
      <c r="Z8" s="761"/>
      <c r="AA8" s="761"/>
      <c r="AB8" s="154"/>
      <c r="AC8" s="751"/>
      <c r="AD8" s="759"/>
      <c r="AE8" s="751"/>
      <c r="AF8" s="759"/>
      <c r="AG8" s="751"/>
      <c r="AH8" s="752"/>
    </row>
    <row r="9" spans="1:34" s="1" customFormat="1" ht="13.5" thickBot="1" x14ac:dyDescent="0.25">
      <c r="B9" s="5"/>
      <c r="C9" s="5"/>
      <c r="H9" s="2"/>
      <c r="I9" s="4"/>
      <c r="L9" s="151"/>
      <c r="Q9" s="757"/>
      <c r="R9" s="753"/>
      <c r="S9" s="760"/>
      <c r="T9" s="157"/>
      <c r="U9" s="762"/>
      <c r="V9" s="762"/>
      <c r="W9" s="762"/>
      <c r="X9" s="762"/>
      <c r="Y9" s="762"/>
      <c r="Z9" s="762"/>
      <c r="AA9" s="762"/>
      <c r="AB9" s="156"/>
      <c r="AC9" s="753"/>
      <c r="AD9" s="760"/>
      <c r="AE9" s="753"/>
      <c r="AF9" s="760"/>
      <c r="AG9" s="753"/>
      <c r="AH9" s="754"/>
    </row>
    <row r="10" spans="1:34" s="33" customFormat="1" ht="26.1" customHeight="1" x14ac:dyDescent="0.25">
      <c r="B10" s="780" t="s">
        <v>17</v>
      </c>
      <c r="C10" s="772" t="s">
        <v>100</v>
      </c>
      <c r="D10" s="773"/>
      <c r="E10" s="773"/>
      <c r="F10" s="773"/>
      <c r="G10" s="774"/>
      <c r="H10" s="778" t="s">
        <v>0</v>
      </c>
      <c r="I10" s="776" t="s">
        <v>2</v>
      </c>
      <c r="L10" s="158" t="s">
        <v>232</v>
      </c>
      <c r="M10" s="33" t="s">
        <v>480</v>
      </c>
    </row>
    <row r="11" spans="1:34" s="159" customFormat="1" ht="11.25" thickBot="1" x14ac:dyDescent="0.3">
      <c r="B11" s="781"/>
      <c r="C11" s="775" t="s">
        <v>1</v>
      </c>
      <c r="D11" s="775"/>
      <c r="E11" s="775" t="s">
        <v>101</v>
      </c>
      <c r="F11" s="775"/>
      <c r="G11" s="134" t="s">
        <v>102</v>
      </c>
      <c r="H11" s="779"/>
      <c r="I11" s="777"/>
    </row>
    <row r="12" spans="1:34" s="6" customFormat="1" ht="23.25" customHeight="1" x14ac:dyDescent="0.25">
      <c r="A12" s="6" t="s">
        <v>499</v>
      </c>
      <c r="B12" s="160">
        <v>1</v>
      </c>
      <c r="C12" s="161"/>
      <c r="D12" s="6" t="str">
        <f>VLOOKUP(A12,COPY!$F$2:$L$1000,2,FALSE)</f>
        <v>Pembayaran Pekerja Minggu Ke 1</v>
      </c>
      <c r="E12" s="162">
        <f>G12-5</f>
        <v>45901</v>
      </c>
      <c r="F12" s="162" t="s">
        <v>76</v>
      </c>
      <c r="G12" s="163">
        <f>COPY!AG7</f>
        <v>45906</v>
      </c>
      <c r="H12" s="164">
        <f t="shared" ref="H12:H23" si="0">G12</f>
        <v>45906</v>
      </c>
      <c r="I12" s="165">
        <f>VLOOKUP(B12,'Absen (2)'!$A$1:$AC$800,27,FALSE)</f>
        <v>5110000</v>
      </c>
      <c r="J12" s="6" t="str">
        <f t="shared" ref="J12:J19" si="1">TEXT(E12," dd mmmm yyyy")</f>
        <v xml:space="preserve"> 01 September 2025</v>
      </c>
      <c r="K12" s="6" t="str">
        <f t="shared" ref="K12:K19" si="2">TEXT(G12," dd mmmm yyyy")</f>
        <v xml:space="preserve"> 06 September 2025</v>
      </c>
      <c r="L12" s="166">
        <f>VLOOKUP(A12,COPY!$F$2:$L$1000,6,FALSE)</f>
        <v>1</v>
      </c>
      <c r="M12" s="167">
        <v>1</v>
      </c>
      <c r="P12" s="6" t="s">
        <v>103</v>
      </c>
    </row>
    <row r="13" spans="1:34" s="6" customFormat="1" ht="23.25" customHeight="1" x14ac:dyDescent="0.25">
      <c r="A13" s="6" t="s">
        <v>500</v>
      </c>
      <c r="B13" s="168">
        <v>2</v>
      </c>
      <c r="C13" s="169"/>
      <c r="D13" s="170" t="str">
        <f>VLOOKUP(A13,COPY!$F$2:$L$1000,2,FALSE)</f>
        <v>Pembayaran Pekerja Minggu Ke 2</v>
      </c>
      <c r="E13" s="171">
        <f t="shared" ref="E13:E19" si="3">G12+1</f>
        <v>45907</v>
      </c>
      <c r="F13" s="171" t="s">
        <v>76</v>
      </c>
      <c r="G13" s="172">
        <f t="shared" ref="G13:G19" si="4">E13+6</f>
        <v>45913</v>
      </c>
      <c r="H13" s="164">
        <f t="shared" si="0"/>
        <v>45913</v>
      </c>
      <c r="I13" s="165">
        <f>VLOOKUP(B13,'Absen (2)'!$A$1:$AC$800,27,FALSE)</f>
        <v>5350000</v>
      </c>
      <c r="J13" s="6" t="str">
        <f t="shared" si="1"/>
        <v xml:space="preserve"> 07 September 2025</v>
      </c>
      <c r="K13" s="6" t="str">
        <f t="shared" si="2"/>
        <v xml:space="preserve"> 13 September 2025</v>
      </c>
      <c r="L13" s="166">
        <f>VLOOKUP(A13,COPY!$F$2:$L$1000,6,FALSE)</f>
        <v>1</v>
      </c>
      <c r="M13" s="167">
        <v>1</v>
      </c>
      <c r="P13" s="6" t="s">
        <v>104</v>
      </c>
    </row>
    <row r="14" spans="1:34" s="6" customFormat="1" ht="23.25" customHeight="1" x14ac:dyDescent="0.25">
      <c r="A14" s="6" t="s">
        <v>501</v>
      </c>
      <c r="B14" s="168">
        <v>3</v>
      </c>
      <c r="C14" s="169"/>
      <c r="D14" s="170" t="str">
        <f>VLOOKUP(A14,COPY!$F$2:$L$1000,2,FALSE)</f>
        <v>Pembayaran Pekerja Minggu Ke 3</v>
      </c>
      <c r="E14" s="171">
        <f t="shared" si="3"/>
        <v>45914</v>
      </c>
      <c r="F14" s="171" t="s">
        <v>76</v>
      </c>
      <c r="G14" s="172">
        <f t="shared" si="4"/>
        <v>45920</v>
      </c>
      <c r="H14" s="164">
        <f t="shared" si="0"/>
        <v>45920</v>
      </c>
      <c r="I14" s="165">
        <f>VLOOKUP(B14,'Absen (2)'!$A$1:$AC$800,27,FALSE)</f>
        <v>5580000</v>
      </c>
      <c r="J14" s="6" t="str">
        <f t="shared" si="1"/>
        <v xml:space="preserve"> 14 September 2025</v>
      </c>
      <c r="K14" s="6" t="str">
        <f t="shared" si="2"/>
        <v xml:space="preserve"> 20 September 2025</v>
      </c>
      <c r="L14" s="166">
        <f>VLOOKUP(A14,COPY!$F$2:$L$1000,6,FALSE)</f>
        <v>1</v>
      </c>
      <c r="M14" s="167">
        <v>1</v>
      </c>
      <c r="P14" s="6" t="s">
        <v>105</v>
      </c>
    </row>
    <row r="15" spans="1:34" s="6" customFormat="1" ht="23.25" customHeight="1" x14ac:dyDescent="0.25">
      <c r="A15" s="6" t="s">
        <v>502</v>
      </c>
      <c r="B15" s="168">
        <v>4</v>
      </c>
      <c r="C15" s="169"/>
      <c r="D15" s="170" t="str">
        <f>VLOOKUP(A15,COPY!$F$2:$L$1000,2,FALSE)</f>
        <v>Pembayaran Pekerja Minggu Ke 4</v>
      </c>
      <c r="E15" s="171">
        <f t="shared" si="3"/>
        <v>45921</v>
      </c>
      <c r="F15" s="171" t="s">
        <v>76</v>
      </c>
      <c r="G15" s="172">
        <f t="shared" si="4"/>
        <v>45927</v>
      </c>
      <c r="H15" s="164">
        <f t="shared" si="0"/>
        <v>45927</v>
      </c>
      <c r="I15" s="165">
        <f>VLOOKUP(B15,'Absen (2)'!$A$1:$AC$800,27,FALSE)</f>
        <v>6035000</v>
      </c>
      <c r="J15" s="6" t="str">
        <f t="shared" si="1"/>
        <v xml:space="preserve"> 21 September 2025</v>
      </c>
      <c r="K15" s="6" t="str">
        <f t="shared" si="2"/>
        <v xml:space="preserve"> 27 September 2025</v>
      </c>
      <c r="L15" s="166"/>
      <c r="M15" s="167"/>
    </row>
    <row r="16" spans="1:34" s="6" customFormat="1" ht="23.25" customHeight="1" x14ac:dyDescent="0.25">
      <c r="A16" s="6" t="s">
        <v>503</v>
      </c>
      <c r="B16" s="168">
        <v>5</v>
      </c>
      <c r="C16" s="169"/>
      <c r="D16" s="170" t="str">
        <f>VLOOKUP(A16,COPY!$F$2:$L$1000,2,FALSE)</f>
        <v>Pembayaran Pekerja Minggu Ke 5</v>
      </c>
      <c r="E16" s="171">
        <f t="shared" si="3"/>
        <v>45928</v>
      </c>
      <c r="F16" s="171" t="s">
        <v>76</v>
      </c>
      <c r="G16" s="172">
        <f t="shared" si="4"/>
        <v>45934</v>
      </c>
      <c r="H16" s="164">
        <f t="shared" si="0"/>
        <v>45934</v>
      </c>
      <c r="I16" s="165">
        <f>VLOOKUP(B16,'Absen (2)'!$A$1:$AC$800,27,FALSE)</f>
        <v>5225000</v>
      </c>
      <c r="J16" s="6" t="str">
        <f t="shared" si="1"/>
        <v xml:space="preserve"> 28 September 2025</v>
      </c>
      <c r="K16" s="6" t="str">
        <f t="shared" si="2"/>
        <v xml:space="preserve"> 04 Oktober 2025</v>
      </c>
      <c r="L16" s="166"/>
      <c r="M16" s="167"/>
    </row>
    <row r="17" spans="1:13" s="6" customFormat="1" ht="23.25" customHeight="1" x14ac:dyDescent="0.25">
      <c r="A17" s="6" t="s">
        <v>504</v>
      </c>
      <c r="B17" s="168">
        <v>6</v>
      </c>
      <c r="C17" s="169"/>
      <c r="D17" s="170" t="str">
        <f>VLOOKUP(A17,COPY!$F$2:$L$1000,2,FALSE)</f>
        <v>Pembayaran Pekerja Minggu Ke 6</v>
      </c>
      <c r="E17" s="171">
        <f t="shared" si="3"/>
        <v>45935</v>
      </c>
      <c r="F17" s="171" t="s">
        <v>76</v>
      </c>
      <c r="G17" s="172">
        <f t="shared" si="4"/>
        <v>45941</v>
      </c>
      <c r="H17" s="164">
        <f t="shared" si="0"/>
        <v>45941</v>
      </c>
      <c r="I17" s="165">
        <f>VLOOKUP(B17,'Absen (2)'!$A$1:$AC$800,27,FALSE)</f>
        <v>5350000</v>
      </c>
      <c r="J17" s="6" t="str">
        <f t="shared" si="1"/>
        <v xml:space="preserve"> 05 Oktober 2025</v>
      </c>
      <c r="K17" s="6" t="str">
        <f t="shared" si="2"/>
        <v xml:space="preserve"> 11 Oktober 2025</v>
      </c>
      <c r="L17" s="166"/>
      <c r="M17" s="167"/>
    </row>
    <row r="18" spans="1:13" s="6" customFormat="1" ht="23.25" customHeight="1" x14ac:dyDescent="0.25">
      <c r="A18" s="6" t="s">
        <v>505</v>
      </c>
      <c r="B18" s="168">
        <v>7</v>
      </c>
      <c r="C18" s="169"/>
      <c r="D18" s="170" t="str">
        <f>VLOOKUP(A18,COPY!$F$2:$L$1000,2,FALSE)</f>
        <v>Pembayaran Pekerja Minggu Ke 7</v>
      </c>
      <c r="E18" s="171">
        <f t="shared" si="3"/>
        <v>45942</v>
      </c>
      <c r="F18" s="171" t="s">
        <v>76</v>
      </c>
      <c r="G18" s="172">
        <f t="shared" si="4"/>
        <v>45948</v>
      </c>
      <c r="H18" s="164">
        <f t="shared" si="0"/>
        <v>45948</v>
      </c>
      <c r="I18" s="165">
        <f>VLOOKUP(B18,'Absen (2)'!$A$1:$AC$800,27,FALSE)</f>
        <v>5110000</v>
      </c>
      <c r="J18" s="6" t="str">
        <f t="shared" si="1"/>
        <v xml:space="preserve"> 12 Oktober 2025</v>
      </c>
      <c r="K18" s="6" t="str">
        <f t="shared" si="2"/>
        <v xml:space="preserve"> 18 Oktober 2025</v>
      </c>
      <c r="L18" s="166"/>
      <c r="M18" s="167"/>
    </row>
    <row r="19" spans="1:13" s="6" customFormat="1" ht="23.25" customHeight="1" x14ac:dyDescent="0.25">
      <c r="A19" s="6" t="s">
        <v>506</v>
      </c>
      <c r="B19" s="168">
        <v>8</v>
      </c>
      <c r="C19" s="169"/>
      <c r="D19" s="170" t="str">
        <f>VLOOKUP(A19,COPY!$F$2:$L$1000,2,FALSE)</f>
        <v>Pembayaran Pekerja Minggu Ke 8</v>
      </c>
      <c r="E19" s="171">
        <f t="shared" si="3"/>
        <v>45949</v>
      </c>
      <c r="F19" s="171" t="s">
        <v>76</v>
      </c>
      <c r="G19" s="172">
        <f t="shared" si="4"/>
        <v>45955</v>
      </c>
      <c r="H19" s="164">
        <f t="shared" si="0"/>
        <v>45955</v>
      </c>
      <c r="I19" s="165">
        <f>VLOOKUP(B19,'Absen (2)'!$A$1:$AC$800,27,FALSE)</f>
        <v>4265000</v>
      </c>
      <c r="J19" s="6" t="str">
        <f t="shared" si="1"/>
        <v xml:space="preserve"> 19 Oktober 2025</v>
      </c>
      <c r="K19" s="6" t="str">
        <f t="shared" si="2"/>
        <v xml:space="preserve"> 25 Oktober 2025</v>
      </c>
      <c r="L19" s="166"/>
      <c r="M19" s="167"/>
    </row>
    <row r="20" spans="1:13" s="6" customFormat="1" ht="23.25" hidden="1" customHeight="1" x14ac:dyDescent="0.25">
      <c r="A20" s="6" t="s">
        <v>507</v>
      </c>
      <c r="B20" s="168">
        <v>9</v>
      </c>
      <c r="C20" s="169"/>
      <c r="D20" s="170" t="e">
        <f>VLOOKUP(A20,COPY!$F$2:$L$1000,2,FALSE)</f>
        <v>#N/A</v>
      </c>
      <c r="E20" s="171">
        <f>G19+1</f>
        <v>45956</v>
      </c>
      <c r="F20" s="171" t="s">
        <v>76</v>
      </c>
      <c r="G20" s="172">
        <f>E20+6</f>
        <v>45962</v>
      </c>
      <c r="H20" s="164">
        <f t="shared" si="0"/>
        <v>45962</v>
      </c>
      <c r="I20" s="165">
        <f>VLOOKUP(B20,'Absen (2)'!$A$1:$AC$800,27,FALSE)</f>
        <v>0</v>
      </c>
      <c r="J20" s="6" t="str">
        <f>TEXT(E20," dd mmmm yyyy")</f>
        <v xml:space="preserve"> 26 Oktober 2025</v>
      </c>
      <c r="K20" s="6" t="str">
        <f>TEXT(G20," dd mmmm yyyy")</f>
        <v xml:space="preserve"> 01 November 2025</v>
      </c>
      <c r="L20" s="166"/>
      <c r="M20" s="167"/>
    </row>
    <row r="21" spans="1:13" s="6" customFormat="1" ht="23.25" hidden="1" customHeight="1" x14ac:dyDescent="0.25">
      <c r="A21" s="6" t="s">
        <v>508</v>
      </c>
      <c r="B21" s="168">
        <v>10</v>
      </c>
      <c r="C21" s="169"/>
      <c r="D21" s="170" t="e">
        <f>VLOOKUP(A21,COPY!$F$2:$L$1000,2,FALSE)</f>
        <v>#N/A</v>
      </c>
      <c r="E21" s="171">
        <f>G20+1</f>
        <v>45963</v>
      </c>
      <c r="F21" s="171" t="s">
        <v>76</v>
      </c>
      <c r="G21" s="172">
        <f>E21+6</f>
        <v>45969</v>
      </c>
      <c r="H21" s="164">
        <f t="shared" si="0"/>
        <v>45969</v>
      </c>
      <c r="I21" s="165">
        <f>VLOOKUP(B21,'Absen (2)'!$A$1:$AC$800,27,FALSE)</f>
        <v>0</v>
      </c>
      <c r="J21" s="6" t="str">
        <f>TEXT(E21," dd mmmm yyyy")</f>
        <v xml:space="preserve"> 02 November 2025</v>
      </c>
      <c r="K21" s="6" t="str">
        <f>TEXT(G21," dd mmmm yyyy")</f>
        <v xml:space="preserve"> 08 November 2025</v>
      </c>
      <c r="L21" s="166"/>
      <c r="M21" s="167"/>
    </row>
    <row r="22" spans="1:13" s="6" customFormat="1" ht="23.25" hidden="1" customHeight="1" x14ac:dyDescent="0.25">
      <c r="A22" s="6" t="s">
        <v>509</v>
      </c>
      <c r="B22" s="168">
        <v>11</v>
      </c>
      <c r="C22" s="169"/>
      <c r="D22" s="170" t="e">
        <f>VLOOKUP(A22,COPY!$F$2:$L$1000,2,FALSE)</f>
        <v>#N/A</v>
      </c>
      <c r="E22" s="171">
        <f>G21+1</f>
        <v>45970</v>
      </c>
      <c r="F22" s="171" t="s">
        <v>76</v>
      </c>
      <c r="G22" s="172">
        <f>E22+6</f>
        <v>45976</v>
      </c>
      <c r="H22" s="164">
        <f t="shared" si="0"/>
        <v>45976</v>
      </c>
      <c r="I22" s="165">
        <f>VLOOKUP(B22,'Absen (2)'!$A$1:$AC$800,27,FALSE)</f>
        <v>0</v>
      </c>
      <c r="J22" s="6" t="str">
        <f>TEXT(E22," dd mmmm yyyy")</f>
        <v xml:space="preserve"> 09 November 2025</v>
      </c>
      <c r="K22" s="6" t="str">
        <f>TEXT(G22," dd mmmm yyyy")</f>
        <v xml:space="preserve"> 15 November 2025</v>
      </c>
      <c r="L22" s="166"/>
      <c r="M22" s="167"/>
    </row>
    <row r="23" spans="1:13" s="6" customFormat="1" ht="23.25" hidden="1" customHeight="1" x14ac:dyDescent="0.25">
      <c r="A23" s="6" t="s">
        <v>510</v>
      </c>
      <c r="B23" s="168">
        <v>12</v>
      </c>
      <c r="C23" s="169"/>
      <c r="D23" s="170" t="e">
        <f>VLOOKUP(A23,COPY!$F$2:$L$1000,2,FALSE)</f>
        <v>#N/A</v>
      </c>
      <c r="E23" s="171">
        <f>G22+1</f>
        <v>45977</v>
      </c>
      <c r="F23" s="171" t="s">
        <v>76</v>
      </c>
      <c r="G23" s="172">
        <f>E23+6</f>
        <v>45983</v>
      </c>
      <c r="H23" s="164">
        <f t="shared" si="0"/>
        <v>45983</v>
      </c>
      <c r="I23" s="165">
        <f>VLOOKUP(B23,'Absen (2)'!$A$1:$AC$800,27,FALSE)</f>
        <v>0</v>
      </c>
      <c r="J23" s="6" t="str">
        <f>TEXT(E23," dd mmmm yyyy")</f>
        <v xml:space="preserve"> 16 November 2025</v>
      </c>
      <c r="K23" s="6" t="str">
        <f>TEXT(G23," dd mmmm yyyy")</f>
        <v xml:space="preserve"> 22 November 2025</v>
      </c>
      <c r="L23" s="166"/>
      <c r="M23" s="167"/>
    </row>
    <row r="24" spans="1:13" s="6" customFormat="1" ht="23.25" customHeight="1" x14ac:dyDescent="0.25">
      <c r="A24" s="6" t="s">
        <v>482</v>
      </c>
      <c r="B24" s="168">
        <v>13</v>
      </c>
      <c r="C24" s="624" t="str">
        <f>VLOOKUP(D24,COPY!G2:R1000,12,FALSE)</f>
        <v>Maa1</v>
      </c>
      <c r="D24" s="170" t="s">
        <v>481</v>
      </c>
      <c r="E24" s="171"/>
      <c r="F24" s="171"/>
      <c r="G24" s="172"/>
      <c r="H24" s="164">
        <f>VLOOKUP(D24,COPY!G2:$U$12000,15,FALSE)</f>
        <v>45905</v>
      </c>
      <c r="I24" s="165">
        <f>VLOOKUP(D24,COPY!$G$2:$K$1000,5,FALSE)</f>
        <v>2761410</v>
      </c>
      <c r="J24" s="6" t="str">
        <f>TEXT(H24," dd mmmm yyyy")</f>
        <v xml:space="preserve"> 05 September 2025</v>
      </c>
      <c r="K24" s="6" t="str">
        <f>TEXT(H24," dd mmmm yyyy")</f>
        <v xml:space="preserve"> 05 September 2025</v>
      </c>
      <c r="L24" s="166"/>
      <c r="M24" s="167"/>
    </row>
    <row r="25" spans="1:13" s="6" customFormat="1" ht="23.25" customHeight="1" x14ac:dyDescent="0.25">
      <c r="A25" s="6" t="s">
        <v>482</v>
      </c>
      <c r="B25" s="168">
        <v>14</v>
      </c>
      <c r="C25" s="624" t="str">
        <f>VLOOKUP(D25,COPY!G3:R1001,12,FALSE)</f>
        <v>Maa2</v>
      </c>
      <c r="D25" s="170" t="s">
        <v>483</v>
      </c>
      <c r="E25" s="171"/>
      <c r="F25" s="171"/>
      <c r="G25" s="172"/>
      <c r="H25" s="164">
        <f>VLOOKUP(D25,COPY!G3:$U$12000,15,FALSE)</f>
        <v>45961</v>
      </c>
      <c r="I25" s="165">
        <f>VLOOKUP(D25,COPY!$G$2:$K$1000,5,FALSE)</f>
        <v>3404630</v>
      </c>
      <c r="J25" s="6" t="str">
        <f>TEXT(H25," dd mmmm yyyy")</f>
        <v xml:space="preserve"> 31 Oktober 2025</v>
      </c>
      <c r="K25" s="6" t="str">
        <f>TEXT(H25," dd mmmm yyyy")</f>
        <v xml:space="preserve"> 31 Oktober 2025</v>
      </c>
      <c r="L25" s="166"/>
      <c r="M25" s="167"/>
    </row>
    <row r="26" spans="1:13" s="1" customFormat="1" ht="12.75" thickBot="1" x14ac:dyDescent="0.25">
      <c r="B26" s="378"/>
      <c r="C26" s="379"/>
      <c r="D26" s="380"/>
      <c r="E26" s="380"/>
      <c r="F26" s="380"/>
      <c r="G26" s="381"/>
      <c r="H26" s="382"/>
      <c r="I26" s="383"/>
      <c r="L26" s="151"/>
    </row>
    <row r="27" spans="1:13" s="1" customFormat="1" ht="12" x14ac:dyDescent="0.2">
      <c r="B27" s="5"/>
      <c r="C27" s="5"/>
      <c r="H27" s="3"/>
      <c r="I27" s="4"/>
      <c r="J27" s="384">
        <f>SUM(I12:I24)</f>
        <v>44786410</v>
      </c>
      <c r="K27" s="384"/>
      <c r="L27" s="385">
        <f>SUM(L12:L26)</f>
        <v>3</v>
      </c>
      <c r="M27" s="386">
        <f>SUM(M12:M26)</f>
        <v>3</v>
      </c>
    </row>
    <row r="28" spans="1:13" s="1" customFormat="1" ht="12" x14ac:dyDescent="0.2">
      <c r="B28" s="5"/>
      <c r="C28" s="5"/>
      <c r="H28" s="3"/>
      <c r="I28" s="4"/>
      <c r="J28" s="384" t="e">
        <f>'BKT 1'!#REF!+'Rekap Gaji'!J27</f>
        <v>#REF!</v>
      </c>
      <c r="L28" s="387"/>
    </row>
    <row r="29" spans="1:13" s="1" customFormat="1" ht="12" x14ac:dyDescent="0.2">
      <c r="B29" s="5"/>
      <c r="C29" s="5"/>
      <c r="G29" s="771" t="str">
        <f>'BKU 1'!$K$353</f>
        <v>NGANTANG</v>
      </c>
      <c r="H29" s="771"/>
      <c r="I29" s="7">
        <f>H25</f>
        <v>45961</v>
      </c>
      <c r="L29" s="388"/>
    </row>
    <row r="30" spans="1:13" s="1" customFormat="1" ht="12" x14ac:dyDescent="0.2">
      <c r="B30" s="173" t="str">
        <f>'Rekap Alat'!A146</f>
        <v>Mengetahui,</v>
      </c>
      <c r="H30" s="10" t="str">
        <f>'BKU 1'!$L$354</f>
        <v>Dibuat Oleh ;</v>
      </c>
      <c r="I30" s="4"/>
      <c r="J30" s="384" t="e">
        <f>J27-J28</f>
        <v>#REF!</v>
      </c>
      <c r="L30" s="151"/>
    </row>
    <row r="31" spans="1:13" s="1" customFormat="1" ht="12" x14ac:dyDescent="0.2">
      <c r="B31" s="173" t="str">
        <f>'Rekap Alat'!$A$147</f>
        <v>Kepala Sekolah SDN 1 SIDODADI</v>
      </c>
      <c r="H31" s="10" t="str">
        <f>'BKU 1'!$L$355</f>
        <v>Bendahara Pembangunan</v>
      </c>
      <c r="I31" s="4"/>
      <c r="J31" s="384" t="e">
        <f>J30/13</f>
        <v>#REF!</v>
      </c>
      <c r="L31" s="151"/>
    </row>
    <row r="32" spans="1:13" s="1" customFormat="1" ht="12" x14ac:dyDescent="0.2">
      <c r="B32" s="173"/>
      <c r="H32" s="10"/>
      <c r="I32" s="4"/>
      <c r="L32" s="151"/>
    </row>
    <row r="33" spans="2:12" s="1" customFormat="1" ht="12" x14ac:dyDescent="0.2">
      <c r="B33" s="173"/>
      <c r="H33" s="10"/>
      <c r="I33" s="4"/>
      <c r="L33" s="151"/>
    </row>
    <row r="34" spans="2:12" s="1" customFormat="1" ht="12" x14ac:dyDescent="0.2">
      <c r="B34" s="173"/>
      <c r="H34" s="10"/>
      <c r="I34" s="4"/>
      <c r="L34" s="151"/>
    </row>
    <row r="35" spans="2:12" s="1" customFormat="1" ht="12" x14ac:dyDescent="0.2">
      <c r="B35" s="173"/>
      <c r="H35" s="10"/>
      <c r="I35" s="4"/>
      <c r="L35" s="151"/>
    </row>
    <row r="36" spans="2:12" s="1" customFormat="1" ht="12" x14ac:dyDescent="0.2">
      <c r="B36" s="173"/>
      <c r="H36" s="10"/>
      <c r="I36" s="4"/>
      <c r="L36" s="151"/>
    </row>
    <row r="37" spans="2:12" s="1" customFormat="1" ht="12" x14ac:dyDescent="0.2">
      <c r="B37" s="173"/>
      <c r="H37" s="10"/>
      <c r="I37" s="4"/>
      <c r="L37" s="151"/>
    </row>
    <row r="38" spans="2:12" s="1" customFormat="1" x14ac:dyDescent="0.35">
      <c r="B38" s="174" t="str">
        <f>'Rekap Alat'!$A$152</f>
        <v>MELIA FITRIANI, S.Pd.SD</v>
      </c>
      <c r="H38" s="389" t="str">
        <f>'BKU 1'!$L$360</f>
        <v>ARIF NUR UDIN, S.Pd.SD</v>
      </c>
      <c r="I38" s="4"/>
      <c r="L38" s="151"/>
    </row>
    <row r="39" spans="2:12" s="1" customFormat="1" ht="12" x14ac:dyDescent="0.2">
      <c r="B39" s="173" t="str">
        <f>'Rekap Alat'!$A$153</f>
        <v>NIP. 19850619 200904 2 000</v>
      </c>
      <c r="H39" s="10" t="str">
        <f>'BKU 1'!$L$361</f>
        <v>NIP. 19840719 200903 1 002</v>
      </c>
      <c r="I39" s="4"/>
      <c r="L39" s="151"/>
    </row>
  </sheetData>
  <autoFilter ref="A10:M25" xr:uid="{00000000-0001-0000-0400-000000000000}">
    <filterColumn colId="1">
      <filters blank="1">
        <filter val="1"/>
        <filter val="13"/>
        <filter val="14"/>
        <filter val="2"/>
        <filter val="3"/>
        <filter val="4"/>
        <filter val="5"/>
        <filter val="6"/>
        <filter val="7"/>
        <filter val="8"/>
      </filters>
    </filterColumn>
    <filterColumn colId="2" showButton="0"/>
    <filterColumn colId="3" showButton="0"/>
    <filterColumn colId="4" showButton="0"/>
    <filterColumn colId="5" showButton="0"/>
  </autoFilter>
  <mergeCells count="26">
    <mergeCell ref="AG7:AH9"/>
    <mergeCell ref="U8:U9"/>
    <mergeCell ref="V8:V9"/>
    <mergeCell ref="W8:W9"/>
    <mergeCell ref="X8:X9"/>
    <mergeCell ref="Y8:Y9"/>
    <mergeCell ref="Z8:Z9"/>
    <mergeCell ref="AA8:AA9"/>
    <mergeCell ref="AC8:AD8"/>
    <mergeCell ref="AE8:AF8"/>
    <mergeCell ref="AC9:AD9"/>
    <mergeCell ref="AE9:AF9"/>
    <mergeCell ref="Q7:Q9"/>
    <mergeCell ref="R7:S9"/>
    <mergeCell ref="U7:AA7"/>
    <mergeCell ref="AC7:AD7"/>
    <mergeCell ref="AE7:AF7"/>
    <mergeCell ref="B1:I1"/>
    <mergeCell ref="B2:I2"/>
    <mergeCell ref="G29:H29"/>
    <mergeCell ref="C10:G10"/>
    <mergeCell ref="C11:D11"/>
    <mergeCell ref="E11:F11"/>
    <mergeCell ref="I10:I11"/>
    <mergeCell ref="H10:H11"/>
    <mergeCell ref="B10:B11"/>
  </mergeCells>
  <phoneticPr fontId="12" type="noConversion"/>
  <pageMargins left="1.18" right="0.5" top="0.98425196850393704" bottom="0.74803149606299202" header="0.31496062992126" footer="0.31496062992126"/>
  <pageSetup paperSize="9" scale="80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4315C26-E730-42BD-AC25-BD491909BC5E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2" id="{94C8052D-AA63-489D-8F39-5460E36F8BCA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3" id="{867FE9F6-A44F-40DE-8AAF-68E026660E57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97710BF-E885-4D8E-ABF4-C1F023D809C7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5" id="{A57E36D8-2262-48A4-B125-71CB534365BE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6" id="{624B5822-31B2-44BA-A1FB-12B9F54799C8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7" id="{7ED7AE0F-7569-48E4-BF89-27018C5B7728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B10:I11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  <pageSetUpPr autoPageBreaks="0" fitToPage="1"/>
  </sheetPr>
  <dimension ref="A1:H153"/>
  <sheetViews>
    <sheetView view="pageBreakPreview" zoomScaleNormal="100" zoomScaleSheetLayoutView="100" workbookViewId="0">
      <selection sqref="A1:E1"/>
    </sheetView>
  </sheetViews>
  <sheetFormatPr defaultColWidth="9.140625" defaultRowHeight="12" x14ac:dyDescent="0.2"/>
  <cols>
    <col min="1" max="1" width="9.7109375" style="5" customWidth="1"/>
    <col min="2" max="2" width="3.42578125" style="24" customWidth="1"/>
    <col min="3" max="3" width="49" style="1" customWidth="1"/>
    <col min="4" max="4" width="10" style="3" customWidth="1"/>
    <col min="5" max="5" width="15.5703125" style="4" customWidth="1"/>
    <col min="6" max="16384" width="9.140625" style="1"/>
  </cols>
  <sheetData>
    <row r="1" spans="1:8" ht="14.25" x14ac:dyDescent="0.2">
      <c r="A1" s="784" t="s">
        <v>73</v>
      </c>
      <c r="B1" s="784"/>
      <c r="C1" s="784"/>
      <c r="D1" s="784"/>
      <c r="E1" s="784"/>
    </row>
    <row r="2" spans="1:8" ht="14.25" x14ac:dyDescent="0.2">
      <c r="A2" s="785" t="str">
        <f>'BKU 1'!$D$22</f>
        <v>PEMBANGUNAN TOILET BESERTA SANITASINYA</v>
      </c>
      <c r="B2" s="785"/>
      <c r="C2" s="785"/>
      <c r="D2" s="785"/>
      <c r="E2" s="785"/>
    </row>
    <row r="4" spans="1:8" x14ac:dyDescent="0.2">
      <c r="A4" s="5" t="s">
        <v>61</v>
      </c>
      <c r="B4" s="24" t="s">
        <v>49</v>
      </c>
      <c r="C4" s="1" t="str">
        <f>'BKU 1'!$D$25</f>
        <v>SDN 1 SIDODADI</v>
      </c>
      <c r="D4" s="2"/>
    </row>
    <row r="5" spans="1:8" x14ac:dyDescent="0.2">
      <c r="A5" s="5" t="s">
        <v>62</v>
      </c>
      <c r="B5" s="24" t="s">
        <v>49</v>
      </c>
      <c r="C5" s="1" t="str">
        <f>'BKU 1'!$D$26</f>
        <v>Jl. Kawi No.36 Rt. 1 Rw. 1 Dusun Sekar, Rt / Rw : 1 / 1, Dusun : Sekar, Kelurahan : Sidodadi</v>
      </c>
      <c r="D5" s="2"/>
    </row>
    <row r="6" spans="1:8" x14ac:dyDescent="0.2">
      <c r="A6" s="5" t="s">
        <v>63</v>
      </c>
      <c r="B6" s="24" t="s">
        <v>49</v>
      </c>
      <c r="C6" s="1" t="str">
        <f>'BKU 1'!$I$25</f>
        <v>NGANTANG</v>
      </c>
      <c r="D6" s="2"/>
    </row>
    <row r="7" spans="1:8" x14ac:dyDescent="0.2">
      <c r="A7" s="5" t="str">
        <f>'BKU 1'!G26</f>
        <v>Kabupaten</v>
      </c>
      <c r="B7" s="24" t="s">
        <v>49</v>
      </c>
      <c r="C7" s="1" t="str">
        <f>'BKU 1'!I26</f>
        <v>MALANG</v>
      </c>
      <c r="D7" s="2"/>
    </row>
    <row r="8" spans="1:8" x14ac:dyDescent="0.2">
      <c r="A8" s="5" t="str">
        <f>'BKU 1'!G27</f>
        <v>Propinsi</v>
      </c>
      <c r="B8" s="24" t="s">
        <v>49</v>
      </c>
      <c r="C8" s="1" t="str">
        <f>'BKU 1'!I27</f>
        <v>JAWA TIMUR</v>
      </c>
      <c r="D8" s="2"/>
    </row>
    <row r="9" spans="1:8" ht="12.75" thickBot="1" x14ac:dyDescent="0.25">
      <c r="D9" s="2"/>
    </row>
    <row r="10" spans="1:8" s="33" customFormat="1" ht="26.1" customHeight="1" thickBot="1" x14ac:dyDescent="0.3">
      <c r="A10" s="34" t="s">
        <v>312</v>
      </c>
      <c r="B10" s="782" t="s">
        <v>71</v>
      </c>
      <c r="C10" s="783"/>
      <c r="D10" s="35" t="s">
        <v>72</v>
      </c>
      <c r="E10" s="36" t="s">
        <v>2</v>
      </c>
    </row>
    <row r="11" spans="1:8" s="6" customFormat="1" ht="12.75" thickTop="1" x14ac:dyDescent="0.2">
      <c r="A11" s="14" t="str">
        <f>IF(H11=1,COUNTIF($H$11:H11,1)," ")</f>
        <v xml:space="preserve"> </v>
      </c>
      <c r="B11" s="25"/>
      <c r="C11" s="16" t="str">
        <f>IFERROR(VLOOKUP(G11,COPY!$F$2:$J$1000,2,FALSE)," ")</f>
        <v xml:space="preserve"> </v>
      </c>
      <c r="D11" s="17" t="str">
        <f>IFERROR(VLOOKUP(G11,COPY!$F$2:$J$1000,3,FALSE)," ")</f>
        <v xml:space="preserve"> </v>
      </c>
      <c r="E11" s="18">
        <f>SUMIF(COPY!$F$2:$F$1000,'Rekap Alat'!G11,COPY!$J$2:$J$1000)</f>
        <v>0</v>
      </c>
      <c r="G11" s="6" t="s">
        <v>106</v>
      </c>
      <c r="H11" s="6" t="str">
        <f>IF(E11&gt;0,1,"")</f>
        <v/>
      </c>
    </row>
    <row r="12" spans="1:8" x14ac:dyDescent="0.2">
      <c r="A12" s="15" t="str">
        <f>IF(H12=1,COUNTIF($H$11:H12,1)," ")</f>
        <v xml:space="preserve"> </v>
      </c>
      <c r="B12" s="26"/>
      <c r="C12" s="16" t="str">
        <f>IFERROR(VLOOKUP(G12,COPY!$F$2:$J$1000,2,FALSE)," ")</f>
        <v xml:space="preserve"> </v>
      </c>
      <c r="D12" s="17" t="str">
        <f>IFERROR(VLOOKUP(G12,COPY!$F$2:$J$1000,3,FALSE)," ")</f>
        <v xml:space="preserve"> </v>
      </c>
      <c r="E12" s="18">
        <f>SUMIF(COPY!$F$2:$F$1000,'Rekap Alat'!G12,COPY!$J$2:$J$1000)</f>
        <v>0</v>
      </c>
      <c r="G12" s="1" t="s">
        <v>107</v>
      </c>
      <c r="H12" s="6" t="str">
        <f>IF(E12&gt;0,1,"")</f>
        <v/>
      </c>
    </row>
    <row r="13" spans="1:8" x14ac:dyDescent="0.2">
      <c r="A13" s="15" t="str">
        <f>IF(H13=1,COUNTIF($H$11:H13,1)," ")</f>
        <v xml:space="preserve"> </v>
      </c>
      <c r="B13" s="26"/>
      <c r="C13" s="16" t="str">
        <f>IFERROR(VLOOKUP(G13,COPY!$F$2:$J$1000,2,FALSE)," ")</f>
        <v xml:space="preserve"> </v>
      </c>
      <c r="D13" s="17" t="str">
        <f>IFERROR(VLOOKUP(G13,COPY!$F$2:$J$1000,3,FALSE)," ")</f>
        <v xml:space="preserve"> </v>
      </c>
      <c r="E13" s="18">
        <f>SUMIF(COPY!$F$2:$F$1000,'Rekap Alat'!G13,COPY!$J$2:$J$1000)</f>
        <v>0</v>
      </c>
      <c r="G13" s="1" t="s">
        <v>108</v>
      </c>
      <c r="H13" s="6" t="str">
        <f t="shared" ref="H13:H76" si="0">IF(E13&gt;0,1,"")</f>
        <v/>
      </c>
    </row>
    <row r="14" spans="1:8" x14ac:dyDescent="0.2">
      <c r="A14" s="15" t="str">
        <f>IF(H14=1,COUNTIF($H$11:H14,1)," ")</f>
        <v xml:space="preserve"> </v>
      </c>
      <c r="B14" s="26"/>
      <c r="C14" s="16" t="str">
        <f>IFERROR(VLOOKUP(G14,COPY!$F$2:$J$1000,2,FALSE)," ")</f>
        <v xml:space="preserve"> </v>
      </c>
      <c r="D14" s="17" t="str">
        <f>IFERROR(VLOOKUP(G14,COPY!$F$2:$J$1000,3,FALSE)," ")</f>
        <v xml:space="preserve"> </v>
      </c>
      <c r="E14" s="18">
        <f>SUMIF(COPY!$F$2:$F$1000,'Rekap Alat'!G14,COPY!$J$2:$J$1000)</f>
        <v>0</v>
      </c>
      <c r="G14" s="1" t="s">
        <v>109</v>
      </c>
      <c r="H14" s="6" t="str">
        <f t="shared" si="0"/>
        <v/>
      </c>
    </row>
    <row r="15" spans="1:8" x14ac:dyDescent="0.2">
      <c r="A15" s="15" t="str">
        <f>IF(H15=1,COUNTIF($H$11:H15,1)," ")</f>
        <v xml:space="preserve"> </v>
      </c>
      <c r="B15" s="27"/>
      <c r="C15" s="16" t="str">
        <f>IFERROR(VLOOKUP(G15,COPY!$F$2:$J$1000,2,FALSE)," ")</f>
        <v xml:space="preserve"> </v>
      </c>
      <c r="D15" s="17" t="str">
        <f>IFERROR(VLOOKUP(G15,COPY!$F$2:$J$1000,3,FALSE)," ")</f>
        <v xml:space="preserve"> </v>
      </c>
      <c r="E15" s="18">
        <f>SUMIF(COPY!$F$2:$F$1000,'Rekap Alat'!G15,COPY!$J$2:$J$1000)</f>
        <v>0</v>
      </c>
      <c r="G15" s="1" t="s">
        <v>110</v>
      </c>
      <c r="H15" s="6" t="str">
        <f t="shared" si="0"/>
        <v/>
      </c>
    </row>
    <row r="16" spans="1:8" x14ac:dyDescent="0.2">
      <c r="A16" s="15" t="str">
        <f>IF(H16=1,COUNTIF($H$11:H16,1)," ")</f>
        <v xml:space="preserve"> </v>
      </c>
      <c r="B16" s="27"/>
      <c r="C16" s="16" t="str">
        <f>IFERROR(VLOOKUP(G16,COPY!$F$2:$J$1000,2,FALSE)," ")</f>
        <v xml:space="preserve"> </v>
      </c>
      <c r="D16" s="17" t="str">
        <f>IFERROR(VLOOKUP(G16,COPY!$F$2:$J$1000,3,FALSE)," ")</f>
        <v xml:space="preserve"> </v>
      </c>
      <c r="E16" s="18">
        <f>SUMIF(COPY!$F$2:$F$1000,'Rekap Alat'!G16,COPY!$J$2:$J$1000)</f>
        <v>0</v>
      </c>
      <c r="G16" s="1" t="s">
        <v>111</v>
      </c>
      <c r="H16" s="6" t="str">
        <f t="shared" si="0"/>
        <v/>
      </c>
    </row>
    <row r="17" spans="1:8" x14ac:dyDescent="0.2">
      <c r="A17" s="15" t="str">
        <f>IF(H17=1,COUNTIF($H$11:H17,1)," ")</f>
        <v xml:space="preserve"> </v>
      </c>
      <c r="B17" s="27"/>
      <c r="C17" s="16" t="str">
        <f>IFERROR(VLOOKUP(G17,COPY!$F$2:$J$1000,2,FALSE)," ")</f>
        <v xml:space="preserve"> </v>
      </c>
      <c r="D17" s="17" t="str">
        <f>IFERROR(VLOOKUP(G17,COPY!$F$2:$J$1000,3,FALSE)," ")</f>
        <v xml:space="preserve"> </v>
      </c>
      <c r="E17" s="18">
        <f>SUMIF(COPY!$F$2:$F$1000,'Rekap Alat'!G17,COPY!$J$2:$J$1000)</f>
        <v>0</v>
      </c>
      <c r="G17" s="1" t="s">
        <v>112</v>
      </c>
      <c r="H17" s="6" t="str">
        <f t="shared" si="0"/>
        <v/>
      </c>
    </row>
    <row r="18" spans="1:8" x14ac:dyDescent="0.2">
      <c r="A18" s="15" t="str">
        <f>IF(H18=1,COUNTIF($H$11:H18,1)," ")</f>
        <v xml:space="preserve"> </v>
      </c>
      <c r="B18" s="27"/>
      <c r="C18" s="16" t="str">
        <f>IFERROR(VLOOKUP(G18,COPY!$F$2:$J$1000,2,FALSE)," ")</f>
        <v xml:space="preserve"> </v>
      </c>
      <c r="D18" s="17" t="str">
        <f>IFERROR(VLOOKUP(G18,COPY!$F$2:$J$1000,3,FALSE)," ")</f>
        <v xml:space="preserve"> </v>
      </c>
      <c r="E18" s="18">
        <f>SUMIF(COPY!$F$2:$F$1000,'Rekap Alat'!G18,COPY!$J$2:$J$1000)</f>
        <v>0</v>
      </c>
      <c r="G18" s="1" t="s">
        <v>113</v>
      </c>
      <c r="H18" s="6" t="str">
        <f t="shared" si="0"/>
        <v/>
      </c>
    </row>
    <row r="19" spans="1:8" x14ac:dyDescent="0.2">
      <c r="A19" s="15" t="str">
        <f>IF(H19=1,COUNTIF($H$11:H19,1)," ")</f>
        <v xml:space="preserve"> </v>
      </c>
      <c r="B19" s="27"/>
      <c r="C19" s="16" t="str">
        <f>IFERROR(VLOOKUP(G19,COPY!$F$2:$J$1000,2,FALSE)," ")</f>
        <v xml:space="preserve"> </v>
      </c>
      <c r="D19" s="17" t="str">
        <f>IFERROR(VLOOKUP(G19,COPY!$F$2:$J$1000,3,FALSE)," ")</f>
        <v xml:space="preserve"> </v>
      </c>
      <c r="E19" s="18">
        <f>SUMIF(COPY!$F$2:$F$1000,'Rekap Alat'!G19,COPY!$J$2:$J$1000)</f>
        <v>0</v>
      </c>
      <c r="G19" s="1" t="s">
        <v>114</v>
      </c>
      <c r="H19" s="6" t="str">
        <f t="shared" si="0"/>
        <v/>
      </c>
    </row>
    <row r="20" spans="1:8" x14ac:dyDescent="0.2">
      <c r="A20" s="15" t="str">
        <f>IF(H20=1,COUNTIF($H$11:H20,1)," ")</f>
        <v xml:space="preserve"> </v>
      </c>
      <c r="B20" s="27"/>
      <c r="C20" s="16" t="str">
        <f>IFERROR(VLOOKUP(G20,COPY!$F$2:$J$1000,2,FALSE)," ")</f>
        <v xml:space="preserve"> </v>
      </c>
      <c r="D20" s="17" t="str">
        <f>IFERROR(VLOOKUP(G20,COPY!$F$2:$J$1000,3,FALSE)," ")</f>
        <v xml:space="preserve"> </v>
      </c>
      <c r="E20" s="18">
        <f>SUMIF(COPY!$F$2:$F$1000,'Rekap Alat'!G20,COPY!$J$2:$J$1000)</f>
        <v>0</v>
      </c>
      <c r="G20" s="1" t="s">
        <v>115</v>
      </c>
      <c r="H20" s="6" t="str">
        <f t="shared" si="0"/>
        <v/>
      </c>
    </row>
    <row r="21" spans="1:8" x14ac:dyDescent="0.2">
      <c r="A21" s="15" t="str">
        <f>IF(H21=1,COUNTIF($H$11:H21,1)," ")</f>
        <v xml:space="preserve"> </v>
      </c>
      <c r="B21" s="27"/>
      <c r="C21" s="16" t="str">
        <f>IFERROR(VLOOKUP(G21,COPY!$F$2:$J$1000,2,FALSE)," ")</f>
        <v xml:space="preserve"> </v>
      </c>
      <c r="D21" s="17" t="str">
        <f>IFERROR(VLOOKUP(G21,COPY!$F$2:$J$1000,3,FALSE)," ")</f>
        <v xml:space="preserve"> </v>
      </c>
      <c r="E21" s="18">
        <f>SUMIF(COPY!$F$2:$F$1000,'Rekap Alat'!G21,COPY!$J$2:$J$1000)</f>
        <v>0</v>
      </c>
      <c r="G21" s="1" t="s">
        <v>116</v>
      </c>
      <c r="H21" s="6" t="str">
        <f t="shared" si="0"/>
        <v/>
      </c>
    </row>
    <row r="22" spans="1:8" x14ac:dyDescent="0.2">
      <c r="A22" s="15" t="str">
        <f>IF(H22=1,COUNTIF($H$11:H22,1)," ")</f>
        <v xml:space="preserve"> </v>
      </c>
      <c r="B22" s="27"/>
      <c r="C22" s="16" t="str">
        <f>IFERROR(VLOOKUP(G22,COPY!$F$2:$J$1000,2,FALSE)," ")</f>
        <v xml:space="preserve"> </v>
      </c>
      <c r="D22" s="17" t="str">
        <f>IFERROR(VLOOKUP(G22,COPY!$F$2:$J$1000,3,FALSE)," ")</f>
        <v xml:space="preserve"> </v>
      </c>
      <c r="E22" s="18">
        <f>SUMIF(COPY!$F$2:$F$1000,'Rekap Alat'!G22,COPY!$J$2:$J$1000)</f>
        <v>0</v>
      </c>
      <c r="G22" s="1" t="s">
        <v>117</v>
      </c>
      <c r="H22" s="6" t="str">
        <f t="shared" si="0"/>
        <v/>
      </c>
    </row>
    <row r="23" spans="1:8" x14ac:dyDescent="0.2">
      <c r="A23" s="15" t="str">
        <f>IF(H23=1,COUNTIF($H$11:H23,1)," ")</f>
        <v xml:space="preserve"> </v>
      </c>
      <c r="B23" s="27"/>
      <c r="C23" s="16" t="str">
        <f>IFERROR(VLOOKUP(G23,COPY!$F$2:$J$1000,2,FALSE)," ")</f>
        <v xml:space="preserve"> </v>
      </c>
      <c r="D23" s="17" t="str">
        <f>IFERROR(VLOOKUP(G23,COPY!$F$2:$J$1000,3,FALSE)," ")</f>
        <v xml:space="preserve"> </v>
      </c>
      <c r="E23" s="18">
        <f>SUMIF(COPY!$F$2:$F$1000,'Rekap Alat'!G23,COPY!$J$2:$J$1000)</f>
        <v>0</v>
      </c>
      <c r="G23" s="1" t="s">
        <v>118</v>
      </c>
      <c r="H23" s="6" t="str">
        <f t="shared" si="0"/>
        <v/>
      </c>
    </row>
    <row r="24" spans="1:8" x14ac:dyDescent="0.2">
      <c r="A24" s="15" t="str">
        <f>IF(H24=1,COUNTIF($H$11:H24,1)," ")</f>
        <v xml:space="preserve"> </v>
      </c>
      <c r="B24" s="27"/>
      <c r="C24" s="16" t="str">
        <f>IFERROR(VLOOKUP(G24,COPY!$F$2:$J$1000,2,FALSE)," ")</f>
        <v xml:space="preserve"> </v>
      </c>
      <c r="D24" s="17" t="str">
        <f>IFERROR(VLOOKUP(G24,COPY!$F$2:$J$1000,3,FALSE)," ")</f>
        <v xml:space="preserve"> </v>
      </c>
      <c r="E24" s="18">
        <f>SUMIF(COPY!$F$2:$F$1000,'Rekap Alat'!G24,COPY!$J$2:$J$1000)</f>
        <v>0</v>
      </c>
      <c r="G24" s="1" t="s">
        <v>119</v>
      </c>
      <c r="H24" s="6" t="str">
        <f t="shared" si="0"/>
        <v/>
      </c>
    </row>
    <row r="25" spans="1:8" x14ac:dyDescent="0.2">
      <c r="A25" s="15" t="str">
        <f>IF(H25=1,COUNTIF($H$11:H25,1)," ")</f>
        <v xml:space="preserve"> </v>
      </c>
      <c r="B25" s="27"/>
      <c r="C25" s="16" t="str">
        <f>IFERROR(VLOOKUP(G25,COPY!$F$2:$J$1000,2,FALSE)," ")</f>
        <v xml:space="preserve"> </v>
      </c>
      <c r="D25" s="17" t="str">
        <f>IFERROR(VLOOKUP(G25,COPY!$F$2:$J$1000,3,FALSE)," ")</f>
        <v xml:space="preserve"> </v>
      </c>
      <c r="E25" s="18">
        <f>SUMIF(COPY!$F$2:$F$1000,'Rekap Alat'!G25,COPY!$J$2:$J$1000)</f>
        <v>0</v>
      </c>
      <c r="G25" s="1" t="s">
        <v>120</v>
      </c>
      <c r="H25" s="6" t="str">
        <f t="shared" si="0"/>
        <v/>
      </c>
    </row>
    <row r="26" spans="1:8" x14ac:dyDescent="0.2">
      <c r="A26" s="15" t="str">
        <f>IF(H26=1,COUNTIF($H$11:H26,1)," ")</f>
        <v xml:space="preserve"> </v>
      </c>
      <c r="B26" s="27"/>
      <c r="C26" s="16" t="str">
        <f>IFERROR(VLOOKUP(G26,COPY!$F$2:$J$1000,2,FALSE)," ")</f>
        <v xml:space="preserve"> </v>
      </c>
      <c r="D26" s="17" t="str">
        <f>IFERROR(VLOOKUP(G26,COPY!$F$2:$J$1000,3,FALSE)," ")</f>
        <v xml:space="preserve"> </v>
      </c>
      <c r="E26" s="18">
        <f>SUMIF(COPY!$F$2:$F$1000,'Rekap Alat'!G26,COPY!$J$2:$J$1000)</f>
        <v>0</v>
      </c>
      <c r="G26" s="1" t="s">
        <v>121</v>
      </c>
      <c r="H26" s="6" t="str">
        <f t="shared" si="0"/>
        <v/>
      </c>
    </row>
    <row r="27" spans="1:8" x14ac:dyDescent="0.2">
      <c r="A27" s="15" t="str">
        <f>IF(H27=1,COUNTIF($H$11:H27,1)," ")</f>
        <v xml:space="preserve"> </v>
      </c>
      <c r="B27" s="27"/>
      <c r="C27" s="16" t="str">
        <f>IFERROR(VLOOKUP(G27,COPY!$F$2:$J$1000,2,FALSE)," ")</f>
        <v xml:space="preserve"> </v>
      </c>
      <c r="D27" s="17" t="str">
        <f>IFERROR(VLOOKUP(G27,COPY!$F$2:$J$1000,3,FALSE)," ")</f>
        <v xml:space="preserve"> </v>
      </c>
      <c r="E27" s="18">
        <f>SUMIF(COPY!$F$2:$F$1000,'Rekap Alat'!G27,COPY!$J$2:$J$1000)</f>
        <v>0</v>
      </c>
      <c r="G27" s="1" t="s">
        <v>122</v>
      </c>
      <c r="H27" s="6" t="str">
        <f t="shared" si="0"/>
        <v/>
      </c>
    </row>
    <row r="28" spans="1:8" x14ac:dyDescent="0.2">
      <c r="A28" s="15" t="str">
        <f>IF(H28=1,COUNTIF($H$11:H28,1)," ")</f>
        <v xml:space="preserve"> </v>
      </c>
      <c r="B28" s="27"/>
      <c r="C28" s="16" t="str">
        <f>IFERROR(VLOOKUP(G28,COPY!$F$2:$J$1000,2,FALSE)," ")</f>
        <v xml:space="preserve"> </v>
      </c>
      <c r="D28" s="17" t="str">
        <f>IFERROR(VLOOKUP(G28,COPY!$F$2:$J$1000,3,FALSE)," ")</f>
        <v xml:space="preserve"> </v>
      </c>
      <c r="E28" s="18">
        <f>SUMIF(COPY!$F$2:$F$1000,'Rekap Alat'!G28,COPY!$J$2:$J$1000)</f>
        <v>0</v>
      </c>
      <c r="G28" s="1" t="s">
        <v>123</v>
      </c>
      <c r="H28" s="6" t="str">
        <f t="shared" si="0"/>
        <v/>
      </c>
    </row>
    <row r="29" spans="1:8" x14ac:dyDescent="0.2">
      <c r="A29" s="15" t="str">
        <f>IF(H29=1,COUNTIF($H$11:H29,1)," ")</f>
        <v xml:space="preserve"> </v>
      </c>
      <c r="B29" s="27"/>
      <c r="C29" s="16" t="str">
        <f>IFERROR(VLOOKUP(G29,COPY!$F$2:$J$1000,2,FALSE)," ")</f>
        <v xml:space="preserve"> </v>
      </c>
      <c r="D29" s="17" t="str">
        <f>IFERROR(VLOOKUP(G29,COPY!$F$2:$J$1000,3,FALSE)," ")</f>
        <v xml:space="preserve"> </v>
      </c>
      <c r="E29" s="18">
        <f>SUMIF(COPY!$F$2:$F$1000,'Rekap Alat'!G29,COPY!$J$2:$J$1000)</f>
        <v>0</v>
      </c>
      <c r="G29" s="1" t="s">
        <v>124</v>
      </c>
      <c r="H29" s="6" t="str">
        <f t="shared" si="0"/>
        <v/>
      </c>
    </row>
    <row r="30" spans="1:8" x14ac:dyDescent="0.2">
      <c r="A30" s="15" t="str">
        <f>IF(H30=1,COUNTIF($H$11:H30,1)," ")</f>
        <v xml:space="preserve"> </v>
      </c>
      <c r="B30" s="27"/>
      <c r="C30" s="16" t="str">
        <f>IFERROR(VLOOKUP(G30,COPY!$F$2:$J$1000,2,FALSE)," ")</f>
        <v xml:space="preserve"> </v>
      </c>
      <c r="D30" s="17" t="str">
        <f>IFERROR(VLOOKUP(G30,COPY!$F$2:$J$1000,3,FALSE)," ")</f>
        <v xml:space="preserve"> </v>
      </c>
      <c r="E30" s="18">
        <f>SUMIF(COPY!$F$2:$F$1000,'Rekap Alat'!G30,COPY!$J$2:$J$1000)</f>
        <v>0</v>
      </c>
      <c r="G30" s="1" t="s">
        <v>125</v>
      </c>
      <c r="H30" s="6" t="str">
        <f t="shared" si="0"/>
        <v/>
      </c>
    </row>
    <row r="31" spans="1:8" x14ac:dyDescent="0.2">
      <c r="A31" s="15" t="str">
        <f>IF(H31=1,COUNTIF($H$11:H31,1)," ")</f>
        <v xml:space="preserve"> </v>
      </c>
      <c r="B31" s="27"/>
      <c r="C31" s="16" t="str">
        <f>IFERROR(VLOOKUP(G31,COPY!$F$2:$J$1000,2,FALSE)," ")</f>
        <v xml:space="preserve"> </v>
      </c>
      <c r="D31" s="17" t="str">
        <f>IFERROR(VLOOKUP(G31,COPY!$F$2:$J$1000,3,FALSE)," ")</f>
        <v xml:space="preserve"> </v>
      </c>
      <c r="E31" s="18">
        <f>SUMIF(COPY!$F$2:$F$1000,'Rekap Alat'!G31,COPY!$J$2:$J$1000)</f>
        <v>0</v>
      </c>
      <c r="G31" s="1" t="s">
        <v>126</v>
      </c>
      <c r="H31" s="6" t="str">
        <f t="shared" si="0"/>
        <v/>
      </c>
    </row>
    <row r="32" spans="1:8" x14ac:dyDescent="0.2">
      <c r="A32" s="15" t="str">
        <f>IF(H32=1,COUNTIF($H$11:H32,1)," ")</f>
        <v xml:space="preserve"> </v>
      </c>
      <c r="B32" s="27"/>
      <c r="C32" s="16" t="str">
        <f>IFERROR(VLOOKUP(G32,COPY!$F$2:$J$1000,2,FALSE)," ")</f>
        <v xml:space="preserve"> </v>
      </c>
      <c r="D32" s="17" t="str">
        <f>IFERROR(VLOOKUP(G32,COPY!$F$2:$J$1000,3,FALSE)," ")</f>
        <v xml:space="preserve"> </v>
      </c>
      <c r="E32" s="18">
        <f>SUMIF(COPY!$F$2:$F$1000,'Rekap Alat'!G32,COPY!$J$2:$J$1000)</f>
        <v>0</v>
      </c>
      <c r="G32" s="1" t="s">
        <v>127</v>
      </c>
      <c r="H32" s="6" t="str">
        <f t="shared" si="0"/>
        <v/>
      </c>
    </row>
    <row r="33" spans="1:8" x14ac:dyDescent="0.2">
      <c r="A33" s="15" t="str">
        <f>IF(H33=1,COUNTIF($H$11:H33,1)," ")</f>
        <v xml:space="preserve"> </v>
      </c>
      <c r="B33" s="27"/>
      <c r="C33" s="16" t="str">
        <f>IFERROR(VLOOKUP(G33,COPY!$F$2:$J$1000,2,FALSE)," ")</f>
        <v xml:space="preserve"> </v>
      </c>
      <c r="D33" s="17" t="str">
        <f>IFERROR(VLOOKUP(G33,COPY!$F$2:$J$1000,3,FALSE)," ")</f>
        <v xml:space="preserve"> </v>
      </c>
      <c r="E33" s="18">
        <f>SUMIF(COPY!$F$2:$F$1000,'Rekap Alat'!G33,COPY!$J$2:$J$1000)</f>
        <v>0</v>
      </c>
      <c r="G33" s="1" t="s">
        <v>128</v>
      </c>
      <c r="H33" s="6" t="str">
        <f t="shared" si="0"/>
        <v/>
      </c>
    </row>
    <row r="34" spans="1:8" x14ac:dyDescent="0.2">
      <c r="A34" s="15" t="str">
        <f>IF(H34=1,COUNTIF($H$11:H34,1)," ")</f>
        <v xml:space="preserve"> </v>
      </c>
      <c r="B34" s="27"/>
      <c r="C34" s="16" t="str">
        <f>IFERROR(VLOOKUP(G34,COPY!$F$2:$J$1000,2,FALSE)," ")</f>
        <v xml:space="preserve"> </v>
      </c>
      <c r="D34" s="17" t="str">
        <f>IFERROR(VLOOKUP(G34,COPY!$F$2:$J$1000,3,FALSE)," ")</f>
        <v xml:space="preserve"> </v>
      </c>
      <c r="E34" s="18">
        <f>SUMIF(COPY!$F$2:$F$1000,'Rekap Alat'!G34,COPY!$J$2:$J$1000)</f>
        <v>0</v>
      </c>
      <c r="G34" s="1" t="s">
        <v>129</v>
      </c>
      <c r="H34" s="6" t="str">
        <f t="shared" si="0"/>
        <v/>
      </c>
    </row>
    <row r="35" spans="1:8" x14ac:dyDescent="0.2">
      <c r="A35" s="15" t="str">
        <f>IF(H35=1,COUNTIF($H$11:H35,1)," ")</f>
        <v xml:space="preserve"> </v>
      </c>
      <c r="B35" s="27"/>
      <c r="C35" s="16" t="str">
        <f>IFERROR(VLOOKUP(G35,COPY!$F$2:$J$1000,2,FALSE)," ")</f>
        <v xml:space="preserve"> </v>
      </c>
      <c r="D35" s="17" t="str">
        <f>IFERROR(VLOOKUP(G35,COPY!$F$2:$J$1000,3,FALSE)," ")</f>
        <v xml:space="preserve"> </v>
      </c>
      <c r="E35" s="18">
        <f>SUMIF(COPY!$F$2:$F$1000,'Rekap Alat'!G35,COPY!$J$2:$J$1000)</f>
        <v>0</v>
      </c>
      <c r="G35" s="1" t="s">
        <v>130</v>
      </c>
      <c r="H35" s="6" t="str">
        <f t="shared" si="0"/>
        <v/>
      </c>
    </row>
    <row r="36" spans="1:8" x14ac:dyDescent="0.2">
      <c r="A36" s="15" t="str">
        <f>IF(H36=1,COUNTIF($H$11:H36,1)," ")</f>
        <v xml:space="preserve"> </v>
      </c>
      <c r="B36" s="27"/>
      <c r="C36" s="16" t="str">
        <f>IFERROR(VLOOKUP(G36,COPY!$F$2:$J$1000,2,FALSE)," ")</f>
        <v xml:space="preserve"> </v>
      </c>
      <c r="D36" s="17" t="str">
        <f>IFERROR(VLOOKUP(G36,COPY!$F$2:$J$1000,3,FALSE)," ")</f>
        <v xml:space="preserve"> </v>
      </c>
      <c r="E36" s="18">
        <f>SUMIF(COPY!$F$2:$F$1000,'Rekap Alat'!G36,COPY!$J$2:$J$1000)</f>
        <v>0</v>
      </c>
      <c r="G36" s="1" t="s">
        <v>131</v>
      </c>
      <c r="H36" s="6" t="str">
        <f t="shared" si="0"/>
        <v/>
      </c>
    </row>
    <row r="37" spans="1:8" x14ac:dyDescent="0.2">
      <c r="A37" s="15" t="str">
        <f>IF(H37=1,COUNTIF($H$11:H37,1)," ")</f>
        <v xml:space="preserve"> </v>
      </c>
      <c r="B37" s="27"/>
      <c r="C37" s="16" t="str">
        <f>IFERROR(VLOOKUP(G37,COPY!$F$2:$J$1000,2,FALSE)," ")</f>
        <v xml:space="preserve"> </v>
      </c>
      <c r="D37" s="17" t="str">
        <f>IFERROR(VLOOKUP(G37,COPY!$F$2:$J$1000,3,FALSE)," ")</f>
        <v xml:space="preserve"> </v>
      </c>
      <c r="E37" s="18">
        <f>SUMIF(COPY!$F$2:$F$1000,'Rekap Alat'!G37,COPY!$J$2:$J$1000)</f>
        <v>0</v>
      </c>
      <c r="G37" s="1" t="s">
        <v>132</v>
      </c>
      <c r="H37" s="6" t="str">
        <f t="shared" si="0"/>
        <v/>
      </c>
    </row>
    <row r="38" spans="1:8" x14ac:dyDescent="0.2">
      <c r="A38" s="15" t="str">
        <f>IF(H38=1,COUNTIF($H$11:H38,1)," ")</f>
        <v xml:space="preserve"> </v>
      </c>
      <c r="B38" s="27"/>
      <c r="C38" s="16" t="str">
        <f>IFERROR(VLOOKUP(G38,COPY!$F$2:$J$1000,2,FALSE)," ")</f>
        <v xml:space="preserve"> </v>
      </c>
      <c r="D38" s="17" t="str">
        <f>IFERROR(VLOOKUP(G38,COPY!$F$2:$J$1000,3,FALSE)," ")</f>
        <v xml:space="preserve"> </v>
      </c>
      <c r="E38" s="18">
        <f>SUMIF(COPY!$F$2:$F$1000,'Rekap Alat'!G38,COPY!$J$2:$J$1000)</f>
        <v>0</v>
      </c>
      <c r="G38" s="1" t="s">
        <v>133</v>
      </c>
      <c r="H38" s="6" t="str">
        <f t="shared" si="0"/>
        <v/>
      </c>
    </row>
    <row r="39" spans="1:8" x14ac:dyDescent="0.2">
      <c r="A39" s="15" t="str">
        <f>IF(H39=1,COUNTIF($H$11:H39,1)," ")</f>
        <v xml:space="preserve"> </v>
      </c>
      <c r="B39" s="27"/>
      <c r="C39" s="16" t="str">
        <f>IFERROR(VLOOKUP(G39,COPY!$F$2:$J$1000,2,FALSE)," ")</f>
        <v xml:space="preserve"> </v>
      </c>
      <c r="D39" s="17" t="str">
        <f>IFERROR(VLOOKUP(G39,COPY!$F$2:$J$1000,3,FALSE)," ")</f>
        <v xml:space="preserve"> </v>
      </c>
      <c r="E39" s="18">
        <f>SUMIF(COPY!$F$2:$F$1000,'Rekap Alat'!G39,COPY!$J$2:$J$1000)</f>
        <v>0</v>
      </c>
      <c r="G39" s="1" t="s">
        <v>134</v>
      </c>
      <c r="H39" s="6" t="str">
        <f t="shared" si="0"/>
        <v/>
      </c>
    </row>
    <row r="40" spans="1:8" x14ac:dyDescent="0.2">
      <c r="A40" s="15" t="str">
        <f>IF(H40=1,COUNTIF($H$11:H40,1)," ")</f>
        <v xml:space="preserve"> </v>
      </c>
      <c r="B40" s="27"/>
      <c r="C40" s="16" t="str">
        <f>IFERROR(VLOOKUP(G40,COPY!$F$2:$J$1000,2,FALSE)," ")</f>
        <v xml:space="preserve"> </v>
      </c>
      <c r="D40" s="17" t="str">
        <f>IFERROR(VLOOKUP(G40,COPY!$F$2:$J$1000,3,FALSE)," ")</f>
        <v xml:space="preserve"> </v>
      </c>
      <c r="E40" s="18">
        <f>SUMIF(COPY!$F$2:$F$1000,'Rekap Alat'!G40,COPY!$J$2:$J$1000)</f>
        <v>0</v>
      </c>
      <c r="G40" s="1" t="s">
        <v>135</v>
      </c>
      <c r="H40" s="6" t="str">
        <f t="shared" si="0"/>
        <v/>
      </c>
    </row>
    <row r="41" spans="1:8" x14ac:dyDescent="0.2">
      <c r="A41" s="15" t="str">
        <f>IF(H41=1,COUNTIF($H$11:H41,1)," ")</f>
        <v xml:space="preserve"> </v>
      </c>
      <c r="B41" s="27"/>
      <c r="C41" s="16" t="str">
        <f>IFERROR(VLOOKUP(G41,COPY!$F$2:$J$1000,2,FALSE)," ")</f>
        <v xml:space="preserve"> </v>
      </c>
      <c r="D41" s="17" t="str">
        <f>IFERROR(VLOOKUP(G41,COPY!$F$2:$J$1000,3,FALSE)," ")</f>
        <v xml:space="preserve"> </v>
      </c>
      <c r="E41" s="18">
        <f>SUMIF(COPY!$F$2:$F$1000,'Rekap Alat'!G41,COPY!$J$2:$J$1000)</f>
        <v>0</v>
      </c>
      <c r="G41" s="1" t="s">
        <v>136</v>
      </c>
      <c r="H41" s="6" t="str">
        <f t="shared" si="0"/>
        <v/>
      </c>
    </row>
    <row r="42" spans="1:8" x14ac:dyDescent="0.2">
      <c r="A42" s="15" t="str">
        <f>IF(H42=1,COUNTIF($H$11:H42,1)," ")</f>
        <v xml:space="preserve"> </v>
      </c>
      <c r="B42" s="27"/>
      <c r="C42" s="16" t="str">
        <f>IFERROR(VLOOKUP(G42,COPY!$F$2:$J$1000,2,FALSE)," ")</f>
        <v xml:space="preserve"> </v>
      </c>
      <c r="D42" s="17" t="str">
        <f>IFERROR(VLOOKUP(G42,COPY!$F$2:$J$1000,3,FALSE)," ")</f>
        <v xml:space="preserve"> </v>
      </c>
      <c r="E42" s="18">
        <f>SUMIF(COPY!$F$2:$F$1000,'Rekap Alat'!G42,COPY!$J$2:$J$1000)</f>
        <v>0</v>
      </c>
      <c r="G42" s="1" t="s">
        <v>137</v>
      </c>
      <c r="H42" s="6" t="str">
        <f t="shared" si="0"/>
        <v/>
      </c>
    </row>
    <row r="43" spans="1:8" x14ac:dyDescent="0.2">
      <c r="A43" s="15" t="str">
        <f>IF(H43=1,COUNTIF($H$11:H43,1)," ")</f>
        <v xml:space="preserve"> </v>
      </c>
      <c r="B43" s="27"/>
      <c r="C43" s="16" t="str">
        <f>IFERROR(VLOOKUP(G43,COPY!$F$2:$J$1000,2,FALSE)," ")</f>
        <v xml:space="preserve"> </v>
      </c>
      <c r="D43" s="17" t="str">
        <f>IFERROR(VLOOKUP(G43,COPY!$F$2:$J$1000,3,FALSE)," ")</f>
        <v xml:space="preserve"> </v>
      </c>
      <c r="E43" s="18">
        <f>SUMIF(COPY!$F$2:$F$1000,'Rekap Alat'!G43,COPY!$J$2:$J$1000)</f>
        <v>0</v>
      </c>
      <c r="G43" s="1" t="s">
        <v>138</v>
      </c>
      <c r="H43" s="6" t="str">
        <f t="shared" si="0"/>
        <v/>
      </c>
    </row>
    <row r="44" spans="1:8" x14ac:dyDescent="0.2">
      <c r="A44" s="15" t="str">
        <f>IF(H44=1,COUNTIF($H$11:H44,1)," ")</f>
        <v xml:space="preserve"> </v>
      </c>
      <c r="B44" s="27"/>
      <c r="C44" s="16" t="str">
        <f>IFERROR(VLOOKUP(G44,COPY!$F$2:$J$1000,2,FALSE)," ")</f>
        <v xml:space="preserve"> </v>
      </c>
      <c r="D44" s="17" t="str">
        <f>IFERROR(VLOOKUP(G44,COPY!$F$2:$J$1000,3,FALSE)," ")</f>
        <v xml:space="preserve"> </v>
      </c>
      <c r="E44" s="18">
        <f>SUMIF(COPY!$F$2:$F$1000,'Rekap Alat'!G44,COPY!$J$2:$J$1000)</f>
        <v>0</v>
      </c>
      <c r="G44" s="1" t="s">
        <v>139</v>
      </c>
      <c r="H44" s="6" t="str">
        <f t="shared" si="0"/>
        <v/>
      </c>
    </row>
    <row r="45" spans="1:8" x14ac:dyDescent="0.2">
      <c r="A45" s="15" t="str">
        <f>IF(H45=1,COUNTIF($H$11:H45,1)," ")</f>
        <v xml:space="preserve"> </v>
      </c>
      <c r="B45" s="27"/>
      <c r="C45" s="16" t="str">
        <f>IFERROR(VLOOKUP(G45,COPY!$F$2:$J$1000,2,FALSE)," ")</f>
        <v xml:space="preserve"> </v>
      </c>
      <c r="D45" s="17" t="str">
        <f>IFERROR(VLOOKUP(G45,COPY!$F$2:$J$1000,3,FALSE)," ")</f>
        <v xml:space="preserve"> </v>
      </c>
      <c r="E45" s="18">
        <f>SUMIF(COPY!$F$2:$F$1000,'Rekap Alat'!G45,COPY!$J$2:$J$1000)</f>
        <v>0</v>
      </c>
      <c r="G45" s="1" t="s">
        <v>140</v>
      </c>
      <c r="H45" s="6" t="str">
        <f t="shared" si="0"/>
        <v/>
      </c>
    </row>
    <row r="46" spans="1:8" x14ac:dyDescent="0.2">
      <c r="A46" s="15" t="str">
        <f>IF(H46=1,COUNTIF($H$11:H46,1)," ")</f>
        <v xml:space="preserve"> </v>
      </c>
      <c r="B46" s="27"/>
      <c r="C46" s="16" t="str">
        <f>IFERROR(VLOOKUP(G46,COPY!$F$2:$J$1000,2,FALSE)," ")</f>
        <v xml:space="preserve"> </v>
      </c>
      <c r="D46" s="17" t="str">
        <f>IFERROR(VLOOKUP(G46,COPY!$F$2:$J$1000,3,FALSE)," ")</f>
        <v xml:space="preserve"> </v>
      </c>
      <c r="E46" s="18">
        <f>SUMIF(COPY!$F$2:$F$1000,'Rekap Alat'!G46,COPY!$J$2:$J$1000)</f>
        <v>0</v>
      </c>
      <c r="G46" s="1" t="s">
        <v>141</v>
      </c>
      <c r="H46" s="6" t="str">
        <f t="shared" si="0"/>
        <v/>
      </c>
    </row>
    <row r="47" spans="1:8" x14ac:dyDescent="0.2">
      <c r="A47" s="15" t="str">
        <f>IF(H47=1,COUNTIF($H$11:H47,1)," ")</f>
        <v xml:space="preserve"> </v>
      </c>
      <c r="B47" s="27"/>
      <c r="C47" s="16" t="str">
        <f>IFERROR(VLOOKUP(G47,COPY!$F$2:$J$1000,2,FALSE)," ")</f>
        <v xml:space="preserve"> </v>
      </c>
      <c r="D47" s="17" t="str">
        <f>IFERROR(VLOOKUP(G47,COPY!$F$2:$J$1000,3,FALSE)," ")</f>
        <v xml:space="preserve"> </v>
      </c>
      <c r="E47" s="18">
        <f>SUMIF(COPY!$F$2:$F$1000,'Rekap Alat'!G47,COPY!$J$2:$J$1000)</f>
        <v>0</v>
      </c>
      <c r="G47" s="1" t="s">
        <v>142</v>
      </c>
      <c r="H47" s="6" t="str">
        <f t="shared" si="0"/>
        <v/>
      </c>
    </row>
    <row r="48" spans="1:8" x14ac:dyDescent="0.2">
      <c r="A48" s="15" t="str">
        <f>IF(H48=1,COUNTIF($H$11:H48,1)," ")</f>
        <v xml:space="preserve"> </v>
      </c>
      <c r="B48" s="27"/>
      <c r="C48" s="16" t="str">
        <f>IFERROR(VLOOKUP(G48,COPY!$F$2:$J$1000,2,FALSE)," ")</f>
        <v xml:space="preserve"> </v>
      </c>
      <c r="D48" s="17" t="str">
        <f>IFERROR(VLOOKUP(G48,COPY!$F$2:$J$1000,3,FALSE)," ")</f>
        <v xml:space="preserve"> </v>
      </c>
      <c r="E48" s="18">
        <f>SUMIF(COPY!$F$2:$F$1000,'Rekap Alat'!G48,COPY!$J$2:$J$1000)</f>
        <v>0</v>
      </c>
      <c r="G48" s="1" t="s">
        <v>143</v>
      </c>
      <c r="H48" s="6" t="str">
        <f t="shared" si="0"/>
        <v/>
      </c>
    </row>
    <row r="49" spans="1:8" x14ac:dyDescent="0.2">
      <c r="A49" s="15" t="str">
        <f>IF(H49=1,COUNTIF($H$11:H49,1)," ")</f>
        <v xml:space="preserve"> </v>
      </c>
      <c r="B49" s="27"/>
      <c r="C49" s="16" t="str">
        <f>IFERROR(VLOOKUP(G49,COPY!$F$2:$J$1000,2,FALSE)," ")</f>
        <v xml:space="preserve"> </v>
      </c>
      <c r="D49" s="17" t="str">
        <f>IFERROR(VLOOKUP(G49,COPY!$F$2:$J$1000,3,FALSE)," ")</f>
        <v xml:space="preserve"> </v>
      </c>
      <c r="E49" s="18">
        <f>SUMIF(COPY!$F$2:$F$1000,'Rekap Alat'!G49,COPY!$J$2:$J$1000)</f>
        <v>0</v>
      </c>
      <c r="G49" s="1" t="s">
        <v>144</v>
      </c>
      <c r="H49" s="6" t="str">
        <f t="shared" si="0"/>
        <v/>
      </c>
    </row>
    <row r="50" spans="1:8" x14ac:dyDescent="0.2">
      <c r="A50" s="15" t="str">
        <f>IF(H50=1,COUNTIF($H$11:H50,1)," ")</f>
        <v xml:space="preserve"> </v>
      </c>
      <c r="B50" s="27"/>
      <c r="C50" s="16" t="str">
        <f>IFERROR(VLOOKUP(G50,COPY!$F$2:$J$1000,2,FALSE)," ")</f>
        <v xml:space="preserve"> </v>
      </c>
      <c r="D50" s="17" t="str">
        <f>IFERROR(VLOOKUP(G50,COPY!$F$2:$J$1000,3,FALSE)," ")</f>
        <v xml:space="preserve"> </v>
      </c>
      <c r="E50" s="18">
        <f>SUMIF(COPY!$F$2:$F$1000,'Rekap Alat'!G50,COPY!$J$2:$J$1000)</f>
        <v>0</v>
      </c>
      <c r="G50" s="1" t="s">
        <v>145</v>
      </c>
      <c r="H50" s="6" t="str">
        <f t="shared" si="0"/>
        <v/>
      </c>
    </row>
    <row r="51" spans="1:8" x14ac:dyDescent="0.2">
      <c r="A51" s="15" t="str">
        <f>IF(H51=1,COUNTIF($H$11:H51,1)," ")</f>
        <v xml:space="preserve"> </v>
      </c>
      <c r="B51" s="27"/>
      <c r="C51" s="16" t="str">
        <f>IFERROR(VLOOKUP(G51,COPY!$F$2:$J$1000,2,FALSE)," ")</f>
        <v xml:space="preserve"> </v>
      </c>
      <c r="D51" s="17" t="str">
        <f>IFERROR(VLOOKUP(G51,COPY!$F$2:$J$1000,3,FALSE)," ")</f>
        <v xml:space="preserve"> </v>
      </c>
      <c r="E51" s="18">
        <f>SUMIF(COPY!$F$2:$F$1000,'Rekap Alat'!G51,COPY!$J$2:$J$1000)</f>
        <v>0</v>
      </c>
      <c r="G51" s="1" t="s">
        <v>146</v>
      </c>
      <c r="H51" s="6" t="str">
        <f t="shared" si="0"/>
        <v/>
      </c>
    </row>
    <row r="52" spans="1:8" x14ac:dyDescent="0.2">
      <c r="A52" s="15" t="str">
        <f>IF(H52=1,COUNTIF($H$11:H52,1)," ")</f>
        <v xml:space="preserve"> </v>
      </c>
      <c r="B52" s="27"/>
      <c r="C52" s="16" t="str">
        <f>IFERROR(VLOOKUP(G52,COPY!$F$2:$J$1000,2,FALSE)," ")</f>
        <v xml:space="preserve"> </v>
      </c>
      <c r="D52" s="17" t="str">
        <f>IFERROR(VLOOKUP(G52,COPY!$F$2:$J$1000,3,FALSE)," ")</f>
        <v xml:space="preserve"> </v>
      </c>
      <c r="E52" s="18">
        <f>SUMIF(COPY!$F$2:$F$1000,'Rekap Alat'!G52,COPY!$J$2:$J$1000)</f>
        <v>0</v>
      </c>
      <c r="G52" s="1" t="s">
        <v>147</v>
      </c>
      <c r="H52" s="6" t="str">
        <f t="shared" si="0"/>
        <v/>
      </c>
    </row>
    <row r="53" spans="1:8" x14ac:dyDescent="0.2">
      <c r="A53" s="15" t="str">
        <f>IF(H53=1,COUNTIF($H$11:H53,1)," ")</f>
        <v xml:space="preserve"> </v>
      </c>
      <c r="B53" s="27"/>
      <c r="C53" s="16" t="str">
        <f>IFERROR(VLOOKUP(G53,COPY!$F$2:$J$1000,2,FALSE)," ")</f>
        <v xml:space="preserve"> </v>
      </c>
      <c r="D53" s="17" t="str">
        <f>IFERROR(VLOOKUP(G53,COPY!$F$2:$J$1000,3,FALSE)," ")</f>
        <v xml:space="preserve"> </v>
      </c>
      <c r="E53" s="18">
        <f>SUMIF(COPY!$F$2:$F$1000,'Rekap Alat'!G53,COPY!$J$2:$J$1000)</f>
        <v>0</v>
      </c>
      <c r="G53" s="1" t="s">
        <v>148</v>
      </c>
      <c r="H53" s="6" t="str">
        <f t="shared" si="0"/>
        <v/>
      </c>
    </row>
    <row r="54" spans="1:8" x14ac:dyDescent="0.2">
      <c r="A54" s="15" t="str">
        <f>IF(H54=1,COUNTIF($H$11:H54,1)," ")</f>
        <v xml:space="preserve"> </v>
      </c>
      <c r="B54" s="27"/>
      <c r="C54" s="16" t="str">
        <f>IFERROR(VLOOKUP(G54,COPY!$F$2:$J$1000,2,FALSE)," ")</f>
        <v xml:space="preserve"> </v>
      </c>
      <c r="D54" s="17" t="str">
        <f>IFERROR(VLOOKUP(G54,COPY!$F$2:$J$1000,3,FALSE)," ")</f>
        <v xml:space="preserve"> </v>
      </c>
      <c r="E54" s="18">
        <f>SUMIF(COPY!$F$2:$F$1000,'Rekap Alat'!G54,COPY!$J$2:$J$1000)</f>
        <v>0</v>
      </c>
      <c r="G54" s="1" t="s">
        <v>149</v>
      </c>
      <c r="H54" s="6" t="str">
        <f t="shared" si="0"/>
        <v/>
      </c>
    </row>
    <row r="55" spans="1:8" x14ac:dyDescent="0.2">
      <c r="A55" s="15" t="str">
        <f>IF(H55=1,COUNTIF($H$11:H55,1)," ")</f>
        <v xml:space="preserve"> </v>
      </c>
      <c r="B55" s="27"/>
      <c r="C55" s="16" t="str">
        <f>IFERROR(VLOOKUP(G55,COPY!$F$2:$J$1000,2,FALSE)," ")</f>
        <v xml:space="preserve"> </v>
      </c>
      <c r="D55" s="17" t="str">
        <f>IFERROR(VLOOKUP(G55,COPY!$F$2:$J$1000,3,FALSE)," ")</f>
        <v xml:space="preserve"> </v>
      </c>
      <c r="E55" s="18">
        <f>SUMIF(COPY!$F$2:$F$1000,'Rekap Alat'!G55,COPY!$J$2:$J$1000)</f>
        <v>0</v>
      </c>
      <c r="G55" s="1" t="s">
        <v>150</v>
      </c>
      <c r="H55" s="6" t="str">
        <f t="shared" si="0"/>
        <v/>
      </c>
    </row>
    <row r="56" spans="1:8" x14ac:dyDescent="0.2">
      <c r="A56" s="15" t="str">
        <f>IF(H56=1,COUNTIF($H$11:H56,1)," ")</f>
        <v xml:space="preserve"> </v>
      </c>
      <c r="B56" s="27"/>
      <c r="C56" s="16" t="str">
        <f>IFERROR(VLOOKUP(G56,COPY!$F$2:$J$1000,2,FALSE)," ")</f>
        <v xml:space="preserve"> </v>
      </c>
      <c r="D56" s="17" t="str">
        <f>IFERROR(VLOOKUP(G56,COPY!$F$2:$J$1000,3,FALSE)," ")</f>
        <v xml:space="preserve"> </v>
      </c>
      <c r="E56" s="18">
        <f>SUMIF(COPY!$F$2:$F$1000,'Rekap Alat'!G56,COPY!$J$2:$J$1000)</f>
        <v>0</v>
      </c>
      <c r="G56" s="1" t="s">
        <v>151</v>
      </c>
      <c r="H56" s="6" t="str">
        <f t="shared" si="0"/>
        <v/>
      </c>
    </row>
    <row r="57" spans="1:8" x14ac:dyDescent="0.2">
      <c r="A57" s="15" t="str">
        <f>IF(H57=1,COUNTIF($H$11:H57,1)," ")</f>
        <v xml:space="preserve"> </v>
      </c>
      <c r="B57" s="27"/>
      <c r="C57" s="16" t="str">
        <f>IFERROR(VLOOKUP(G57,COPY!$F$2:$J$1000,2,FALSE)," ")</f>
        <v xml:space="preserve"> </v>
      </c>
      <c r="D57" s="17" t="str">
        <f>IFERROR(VLOOKUP(G57,COPY!$F$2:$J$1000,3,FALSE)," ")</f>
        <v xml:space="preserve"> </v>
      </c>
      <c r="E57" s="18">
        <f>SUMIF(COPY!$F$2:$F$1000,'Rekap Alat'!G57,COPY!$J$2:$J$1000)</f>
        <v>0</v>
      </c>
      <c r="G57" s="1" t="s">
        <v>152</v>
      </c>
      <c r="H57" s="6" t="str">
        <f t="shared" si="0"/>
        <v/>
      </c>
    </row>
    <row r="58" spans="1:8" x14ac:dyDescent="0.2">
      <c r="A58" s="15" t="str">
        <f>IF(H58=1,COUNTIF($H$11:H58,1)," ")</f>
        <v xml:space="preserve"> </v>
      </c>
      <c r="B58" s="27"/>
      <c r="C58" s="16" t="str">
        <f>IFERROR(VLOOKUP(G58,COPY!$F$2:$J$1000,2,FALSE)," ")</f>
        <v xml:space="preserve"> </v>
      </c>
      <c r="D58" s="17" t="str">
        <f>IFERROR(VLOOKUP(G58,COPY!$F$2:$J$1000,3,FALSE)," ")</f>
        <v xml:space="preserve"> </v>
      </c>
      <c r="E58" s="18">
        <f>SUMIF(COPY!$F$2:$F$1000,'Rekap Alat'!G58,COPY!$J$2:$J$1000)</f>
        <v>0</v>
      </c>
      <c r="G58" s="1" t="s">
        <v>153</v>
      </c>
      <c r="H58" s="6" t="str">
        <f t="shared" si="0"/>
        <v/>
      </c>
    </row>
    <row r="59" spans="1:8" x14ac:dyDescent="0.2">
      <c r="A59" s="15" t="str">
        <f>IF(H59=1,COUNTIF($H$11:H59,1)," ")</f>
        <v xml:space="preserve"> </v>
      </c>
      <c r="B59" s="27"/>
      <c r="C59" s="16" t="str">
        <f>IFERROR(VLOOKUP(G59,COPY!$F$2:$J$1000,2,FALSE)," ")</f>
        <v xml:space="preserve"> </v>
      </c>
      <c r="D59" s="17" t="str">
        <f>IFERROR(VLOOKUP(G59,COPY!$F$2:$J$1000,3,FALSE)," ")</f>
        <v xml:space="preserve"> </v>
      </c>
      <c r="E59" s="18">
        <f>SUMIF(COPY!$F$2:$F$1000,'Rekap Alat'!G59,COPY!$J$2:$J$1000)</f>
        <v>0</v>
      </c>
      <c r="G59" s="1" t="s">
        <v>154</v>
      </c>
      <c r="H59" s="6" t="str">
        <f t="shared" si="0"/>
        <v/>
      </c>
    </row>
    <row r="60" spans="1:8" x14ac:dyDescent="0.2">
      <c r="A60" s="15" t="str">
        <f>IF(H60=1,COUNTIF($H$11:H60,1)," ")</f>
        <v xml:space="preserve"> </v>
      </c>
      <c r="B60" s="27"/>
      <c r="C60" s="16" t="str">
        <f>IFERROR(VLOOKUP(G60,COPY!$F$2:$J$1000,2,FALSE)," ")</f>
        <v xml:space="preserve"> </v>
      </c>
      <c r="D60" s="17" t="str">
        <f>IFERROR(VLOOKUP(G60,COPY!$F$2:$J$1000,3,FALSE)," ")</f>
        <v xml:space="preserve"> </v>
      </c>
      <c r="E60" s="18">
        <f>SUMIF(COPY!$F$2:$F$1000,'Rekap Alat'!G60,COPY!$J$2:$J$1000)</f>
        <v>0</v>
      </c>
      <c r="G60" s="1" t="s">
        <v>155</v>
      </c>
      <c r="H60" s="6" t="str">
        <f t="shared" si="0"/>
        <v/>
      </c>
    </row>
    <row r="61" spans="1:8" x14ac:dyDescent="0.2">
      <c r="A61" s="15" t="str">
        <f>IF(H61=1,COUNTIF($H$11:H61,1)," ")</f>
        <v xml:space="preserve"> </v>
      </c>
      <c r="B61" s="27"/>
      <c r="C61" s="16" t="str">
        <f>IFERROR(VLOOKUP(G61,COPY!$F$2:$J$1000,2,FALSE)," ")</f>
        <v xml:space="preserve"> </v>
      </c>
      <c r="D61" s="17" t="str">
        <f>IFERROR(VLOOKUP(G61,COPY!$F$2:$J$1000,3,FALSE)," ")</f>
        <v xml:space="preserve"> </v>
      </c>
      <c r="E61" s="18">
        <f>SUMIF(COPY!$F$2:$F$1000,'Rekap Alat'!G61,COPY!$J$2:$J$1000)</f>
        <v>0</v>
      </c>
      <c r="G61" s="1" t="s">
        <v>156</v>
      </c>
      <c r="H61" s="6" t="str">
        <f t="shared" si="0"/>
        <v/>
      </c>
    </row>
    <row r="62" spans="1:8" x14ac:dyDescent="0.2">
      <c r="A62" s="15" t="str">
        <f>IF(H62=1,COUNTIF($H$11:H62,1)," ")</f>
        <v xml:space="preserve"> </v>
      </c>
      <c r="B62" s="27"/>
      <c r="C62" s="16" t="str">
        <f>IFERROR(VLOOKUP(G62,COPY!$F$2:$J$1000,2,FALSE)," ")</f>
        <v xml:space="preserve"> </v>
      </c>
      <c r="D62" s="17" t="str">
        <f>IFERROR(VLOOKUP(G62,COPY!$F$2:$J$1000,3,FALSE)," ")</f>
        <v xml:space="preserve"> </v>
      </c>
      <c r="E62" s="18">
        <f>SUMIF(COPY!$F$2:$F$1000,'Rekap Alat'!G62,COPY!$J$2:$J$1000)</f>
        <v>0</v>
      </c>
      <c r="G62" s="1" t="s">
        <v>157</v>
      </c>
      <c r="H62" s="6" t="str">
        <f t="shared" si="0"/>
        <v/>
      </c>
    </row>
    <row r="63" spans="1:8" x14ac:dyDescent="0.2">
      <c r="A63" s="15" t="str">
        <f>IF(H63=1,COUNTIF($H$11:H63,1)," ")</f>
        <v xml:space="preserve"> </v>
      </c>
      <c r="B63" s="27"/>
      <c r="C63" s="16" t="str">
        <f>IFERROR(VLOOKUP(G63,COPY!$F$2:$J$1000,2,FALSE)," ")</f>
        <v xml:space="preserve"> </v>
      </c>
      <c r="D63" s="17" t="str">
        <f>IFERROR(VLOOKUP(G63,COPY!$F$2:$J$1000,3,FALSE)," ")</f>
        <v xml:space="preserve"> </v>
      </c>
      <c r="E63" s="18">
        <f>SUMIF(COPY!$F$2:$F$1000,'Rekap Alat'!G63,COPY!$J$2:$J$1000)</f>
        <v>0</v>
      </c>
      <c r="G63" s="1" t="s">
        <v>158</v>
      </c>
      <c r="H63" s="6" t="str">
        <f t="shared" si="0"/>
        <v/>
      </c>
    </row>
    <row r="64" spans="1:8" x14ac:dyDescent="0.2">
      <c r="A64" s="15" t="str">
        <f>IF(H64=1,COUNTIF($H$11:H64,1)," ")</f>
        <v xml:space="preserve"> </v>
      </c>
      <c r="B64" s="27"/>
      <c r="C64" s="16" t="str">
        <f>IFERROR(VLOOKUP(G64,COPY!$F$2:$J$1000,2,FALSE)," ")</f>
        <v xml:space="preserve"> </v>
      </c>
      <c r="D64" s="17" t="str">
        <f>IFERROR(VLOOKUP(G64,COPY!$F$2:$J$1000,3,FALSE)," ")</f>
        <v xml:space="preserve"> </v>
      </c>
      <c r="E64" s="18">
        <f>SUMIF(COPY!$F$2:$F$1000,'Rekap Alat'!G64,COPY!$J$2:$J$1000)</f>
        <v>0</v>
      </c>
      <c r="G64" s="1" t="s">
        <v>159</v>
      </c>
      <c r="H64" s="6" t="str">
        <f t="shared" si="0"/>
        <v/>
      </c>
    </row>
    <row r="65" spans="1:8" x14ac:dyDescent="0.2">
      <c r="A65" s="15" t="str">
        <f>IF(H65=1,COUNTIF($H$11:H65,1)," ")</f>
        <v xml:space="preserve"> </v>
      </c>
      <c r="B65" s="27"/>
      <c r="C65" s="16" t="str">
        <f>IFERROR(VLOOKUP(G65,COPY!$F$2:$J$1000,2,FALSE)," ")</f>
        <v xml:space="preserve"> </v>
      </c>
      <c r="D65" s="17" t="str">
        <f>IFERROR(VLOOKUP(G65,COPY!$F$2:$J$1000,3,FALSE)," ")</f>
        <v xml:space="preserve"> </v>
      </c>
      <c r="E65" s="18">
        <f>SUMIF(COPY!$F$2:$F$1000,'Rekap Alat'!G65,COPY!$J$2:$J$1000)</f>
        <v>0</v>
      </c>
      <c r="G65" s="1" t="s">
        <v>160</v>
      </c>
      <c r="H65" s="6" t="str">
        <f t="shared" si="0"/>
        <v/>
      </c>
    </row>
    <row r="66" spans="1:8" x14ac:dyDescent="0.2">
      <c r="A66" s="15" t="str">
        <f>IF(H66=1,COUNTIF($H$11:H66,1)," ")</f>
        <v xml:space="preserve"> </v>
      </c>
      <c r="B66" s="27"/>
      <c r="C66" s="16" t="str">
        <f>IFERROR(VLOOKUP(G66,COPY!$F$2:$J$1000,2,FALSE)," ")</f>
        <v xml:space="preserve"> </v>
      </c>
      <c r="D66" s="17" t="str">
        <f>IFERROR(VLOOKUP(G66,COPY!$F$2:$J$1000,3,FALSE)," ")</f>
        <v xml:space="preserve"> </v>
      </c>
      <c r="E66" s="18">
        <f>SUMIF(COPY!$F$2:$F$1000,'Rekap Alat'!G66,COPY!$J$2:$J$1000)</f>
        <v>0</v>
      </c>
      <c r="G66" s="1" t="s">
        <v>161</v>
      </c>
      <c r="H66" s="6" t="str">
        <f t="shared" si="0"/>
        <v/>
      </c>
    </row>
    <row r="67" spans="1:8" x14ac:dyDescent="0.2">
      <c r="A67" s="15" t="str">
        <f>IF(H67=1,COUNTIF($H$11:H67,1)," ")</f>
        <v xml:space="preserve"> </v>
      </c>
      <c r="B67" s="27"/>
      <c r="C67" s="16" t="str">
        <f>IFERROR(VLOOKUP(G67,COPY!$F$2:$J$1000,2,FALSE)," ")</f>
        <v xml:space="preserve"> </v>
      </c>
      <c r="D67" s="17" t="str">
        <f>IFERROR(VLOOKUP(G67,COPY!$F$2:$J$1000,3,FALSE)," ")</f>
        <v xml:space="preserve"> </v>
      </c>
      <c r="E67" s="18">
        <f>SUMIF(COPY!$F$2:$F$1000,'Rekap Alat'!G67,COPY!$J$2:$J$1000)</f>
        <v>0</v>
      </c>
      <c r="G67" s="1" t="s">
        <v>162</v>
      </c>
      <c r="H67" s="6" t="str">
        <f t="shared" si="0"/>
        <v/>
      </c>
    </row>
    <row r="68" spans="1:8" x14ac:dyDescent="0.2">
      <c r="A68" s="15" t="str">
        <f>IF(H68=1,COUNTIF($H$11:H68,1)," ")</f>
        <v xml:space="preserve"> </v>
      </c>
      <c r="B68" s="27"/>
      <c r="C68" s="16" t="str">
        <f>IFERROR(VLOOKUP(G68,COPY!$F$2:$J$1000,2,FALSE)," ")</f>
        <v xml:space="preserve"> </v>
      </c>
      <c r="D68" s="17" t="str">
        <f>IFERROR(VLOOKUP(G68,COPY!$F$2:$J$1000,3,FALSE)," ")</f>
        <v xml:space="preserve"> </v>
      </c>
      <c r="E68" s="18">
        <f>SUMIF(COPY!$F$2:$F$1000,'Rekap Alat'!G68,COPY!$J$2:$J$1000)</f>
        <v>0</v>
      </c>
      <c r="G68" s="1" t="s">
        <v>163</v>
      </c>
      <c r="H68" s="6" t="str">
        <f t="shared" si="0"/>
        <v/>
      </c>
    </row>
    <row r="69" spans="1:8" x14ac:dyDescent="0.2">
      <c r="A69" s="15" t="str">
        <f>IF(H69=1,COUNTIF($H$11:H69,1)," ")</f>
        <v xml:space="preserve"> </v>
      </c>
      <c r="B69" s="27"/>
      <c r="C69" s="16" t="str">
        <f>IFERROR(VLOOKUP(G69,COPY!$F$2:$J$1000,2,FALSE)," ")</f>
        <v xml:space="preserve"> </v>
      </c>
      <c r="D69" s="17" t="str">
        <f>IFERROR(VLOOKUP(G69,COPY!$F$2:$J$1000,3,FALSE)," ")</f>
        <v xml:space="preserve"> </v>
      </c>
      <c r="E69" s="18">
        <f>SUMIF(COPY!$F$2:$F$1000,'Rekap Alat'!G69,COPY!$J$2:$J$1000)</f>
        <v>0</v>
      </c>
      <c r="G69" s="1" t="s">
        <v>164</v>
      </c>
      <c r="H69" s="6" t="str">
        <f t="shared" si="0"/>
        <v/>
      </c>
    </row>
    <row r="70" spans="1:8" x14ac:dyDescent="0.2">
      <c r="A70" s="15" t="str">
        <f>IF(H70=1,COUNTIF($H$11:H70,1)," ")</f>
        <v xml:space="preserve"> </v>
      </c>
      <c r="B70" s="27"/>
      <c r="C70" s="16" t="str">
        <f>IFERROR(VLOOKUP(G70,COPY!$F$2:$J$1000,2,FALSE)," ")</f>
        <v xml:space="preserve"> </v>
      </c>
      <c r="D70" s="17" t="str">
        <f>IFERROR(VLOOKUP(G70,COPY!$F$2:$J$1000,3,FALSE)," ")</f>
        <v xml:space="preserve"> </v>
      </c>
      <c r="E70" s="18">
        <f>SUMIF(COPY!$F$2:$F$1000,'Rekap Alat'!G70,COPY!$J$2:$J$1000)</f>
        <v>0</v>
      </c>
      <c r="G70" s="1" t="s">
        <v>165</v>
      </c>
      <c r="H70" s="6" t="str">
        <f t="shared" si="0"/>
        <v/>
      </c>
    </row>
    <row r="71" spans="1:8" x14ac:dyDescent="0.2">
      <c r="A71" s="15" t="str">
        <f>IF(H71=1,COUNTIF($H$11:H71,1)," ")</f>
        <v xml:space="preserve"> </v>
      </c>
      <c r="B71" s="27"/>
      <c r="C71" s="16" t="str">
        <f>IFERROR(VLOOKUP(G71,COPY!$F$2:$J$1000,2,FALSE)," ")</f>
        <v xml:space="preserve"> </v>
      </c>
      <c r="D71" s="17" t="str">
        <f>IFERROR(VLOOKUP(G71,COPY!$F$2:$J$1000,3,FALSE)," ")</f>
        <v xml:space="preserve"> </v>
      </c>
      <c r="E71" s="18">
        <f>SUMIF(COPY!$F$2:$F$1000,'Rekap Alat'!G71,COPY!$J$2:$J$1000)</f>
        <v>0</v>
      </c>
      <c r="G71" s="1" t="s">
        <v>166</v>
      </c>
      <c r="H71" s="6" t="str">
        <f t="shared" si="0"/>
        <v/>
      </c>
    </row>
    <row r="72" spans="1:8" x14ac:dyDescent="0.2">
      <c r="A72" s="15" t="str">
        <f>IF(H72=1,COUNTIF($H$11:H72,1)," ")</f>
        <v xml:space="preserve"> </v>
      </c>
      <c r="B72" s="27"/>
      <c r="C72" s="16" t="str">
        <f>IFERROR(VLOOKUP(G72,COPY!$F$2:$J$1000,2,FALSE)," ")</f>
        <v xml:space="preserve"> </v>
      </c>
      <c r="D72" s="17" t="str">
        <f>IFERROR(VLOOKUP(G72,COPY!$F$2:$J$1000,3,FALSE)," ")</f>
        <v xml:space="preserve"> </v>
      </c>
      <c r="E72" s="18">
        <f>SUMIF(COPY!$F$2:$F$1000,'Rekap Alat'!G72,COPY!$J$2:$J$1000)</f>
        <v>0</v>
      </c>
      <c r="G72" s="1" t="s">
        <v>167</v>
      </c>
      <c r="H72" s="6" t="str">
        <f t="shared" si="0"/>
        <v/>
      </c>
    </row>
    <row r="73" spans="1:8" x14ac:dyDescent="0.2">
      <c r="A73" s="15" t="str">
        <f>IF(H73=1,COUNTIF($H$11:H73,1)," ")</f>
        <v xml:space="preserve"> </v>
      </c>
      <c r="B73" s="27"/>
      <c r="C73" s="16" t="str">
        <f>IFERROR(VLOOKUP(G73,COPY!$F$2:$J$1000,2,FALSE)," ")</f>
        <v xml:space="preserve"> </v>
      </c>
      <c r="D73" s="17" t="str">
        <f>IFERROR(VLOOKUP(G73,COPY!$F$2:$J$1000,3,FALSE)," ")</f>
        <v xml:space="preserve"> </v>
      </c>
      <c r="E73" s="18">
        <f>SUMIF(COPY!$F$2:$F$1000,'Rekap Alat'!G73,COPY!$J$2:$J$1000)</f>
        <v>0</v>
      </c>
      <c r="G73" s="1" t="s">
        <v>168</v>
      </c>
      <c r="H73" s="6" t="str">
        <f t="shared" si="0"/>
        <v/>
      </c>
    </row>
    <row r="74" spans="1:8" x14ac:dyDescent="0.2">
      <c r="A74" s="15" t="str">
        <f>IF(H74=1,COUNTIF($H$11:H74,1)," ")</f>
        <v xml:space="preserve"> </v>
      </c>
      <c r="B74" s="27"/>
      <c r="C74" s="16" t="str">
        <f>IFERROR(VLOOKUP(G74,COPY!$F$2:$J$1000,2,FALSE)," ")</f>
        <v xml:space="preserve"> </v>
      </c>
      <c r="D74" s="17" t="str">
        <f>IFERROR(VLOOKUP(G74,COPY!$F$2:$J$1000,3,FALSE)," ")</f>
        <v xml:space="preserve"> </v>
      </c>
      <c r="E74" s="18">
        <f>SUMIF(COPY!$F$2:$F$1000,'Rekap Alat'!G74,COPY!$J$2:$J$1000)</f>
        <v>0</v>
      </c>
      <c r="G74" s="1" t="s">
        <v>169</v>
      </c>
      <c r="H74" s="6" t="str">
        <f t="shared" si="0"/>
        <v/>
      </c>
    </row>
    <row r="75" spans="1:8" x14ac:dyDescent="0.2">
      <c r="A75" s="15" t="str">
        <f>IF(H75=1,COUNTIF($H$11:H75,1)," ")</f>
        <v xml:space="preserve"> </v>
      </c>
      <c r="B75" s="27"/>
      <c r="C75" s="16" t="str">
        <f>IFERROR(VLOOKUP(G75,COPY!$F$2:$J$1000,2,FALSE)," ")</f>
        <v xml:space="preserve"> </v>
      </c>
      <c r="D75" s="17" t="str">
        <f>IFERROR(VLOOKUP(G75,COPY!$F$2:$J$1000,3,FALSE)," ")</f>
        <v xml:space="preserve"> </v>
      </c>
      <c r="E75" s="18">
        <f>SUMIF(COPY!$F$2:$F$1000,'Rekap Alat'!G75,COPY!$J$2:$J$1000)</f>
        <v>0</v>
      </c>
      <c r="G75" s="1" t="s">
        <v>170</v>
      </c>
      <c r="H75" s="6" t="str">
        <f t="shared" si="0"/>
        <v/>
      </c>
    </row>
    <row r="76" spans="1:8" x14ac:dyDescent="0.2">
      <c r="A76" s="15" t="str">
        <f>IF(H76=1,COUNTIF($H$11:H76,1)," ")</f>
        <v xml:space="preserve"> </v>
      </c>
      <c r="B76" s="27"/>
      <c r="C76" s="16" t="str">
        <f>IFERROR(VLOOKUP(G76,COPY!$F$2:$J$1000,2,FALSE)," ")</f>
        <v xml:space="preserve"> </v>
      </c>
      <c r="D76" s="17" t="str">
        <f>IFERROR(VLOOKUP(G76,COPY!$F$2:$J$1000,3,FALSE)," ")</f>
        <v xml:space="preserve"> </v>
      </c>
      <c r="E76" s="18">
        <f>SUMIF(COPY!$F$2:$F$1000,'Rekap Alat'!G76,COPY!$J$2:$J$1000)</f>
        <v>0</v>
      </c>
      <c r="G76" s="1" t="s">
        <v>171</v>
      </c>
      <c r="H76" s="6" t="str">
        <f t="shared" si="0"/>
        <v/>
      </c>
    </row>
    <row r="77" spans="1:8" x14ac:dyDescent="0.2">
      <c r="A77" s="15" t="str">
        <f>IF(H77=1,COUNTIF($H$11:H77,1)," ")</f>
        <v xml:space="preserve"> </v>
      </c>
      <c r="B77" s="27"/>
      <c r="C77" s="16" t="str">
        <f>IFERROR(VLOOKUP(G77,COPY!$F$2:$J$1000,2,FALSE)," ")</f>
        <v xml:space="preserve"> </v>
      </c>
      <c r="D77" s="17" t="str">
        <f>IFERROR(VLOOKUP(G77,COPY!$F$2:$J$1000,3,FALSE)," ")</f>
        <v xml:space="preserve"> </v>
      </c>
      <c r="E77" s="18">
        <f>SUMIF(COPY!$F$2:$F$1000,'Rekap Alat'!G77,COPY!$J$2:$J$1000)</f>
        <v>0</v>
      </c>
      <c r="G77" s="1" t="s">
        <v>172</v>
      </c>
      <c r="H77" s="6" t="str">
        <f t="shared" ref="H77:H140" si="1">IF(E77&gt;0,1,"")</f>
        <v/>
      </c>
    </row>
    <row r="78" spans="1:8" x14ac:dyDescent="0.2">
      <c r="A78" s="15" t="str">
        <f>IF(H78=1,COUNTIF($H$11:H78,1)," ")</f>
        <v xml:space="preserve"> </v>
      </c>
      <c r="B78" s="27"/>
      <c r="C78" s="16" t="str">
        <f>IFERROR(VLOOKUP(G78,COPY!$F$2:$J$1000,2,FALSE)," ")</f>
        <v xml:space="preserve"> </v>
      </c>
      <c r="D78" s="17" t="str">
        <f>IFERROR(VLOOKUP(G78,COPY!$F$2:$J$1000,3,FALSE)," ")</f>
        <v xml:space="preserve"> </v>
      </c>
      <c r="E78" s="18">
        <f>SUMIF(COPY!$F$2:$F$1000,'Rekap Alat'!G78,COPY!$J$2:$J$1000)</f>
        <v>0</v>
      </c>
      <c r="G78" s="1" t="s">
        <v>173</v>
      </c>
      <c r="H78" s="6" t="str">
        <f t="shared" si="1"/>
        <v/>
      </c>
    </row>
    <row r="79" spans="1:8" x14ac:dyDescent="0.2">
      <c r="A79" s="15" t="str">
        <f>IF(H79=1,COUNTIF($H$11:H79,1)," ")</f>
        <v xml:space="preserve"> </v>
      </c>
      <c r="B79" s="27"/>
      <c r="C79" s="16" t="str">
        <f>IFERROR(VLOOKUP(G79,COPY!$F$2:$J$1000,2,FALSE)," ")</f>
        <v xml:space="preserve"> </v>
      </c>
      <c r="D79" s="17" t="str">
        <f>IFERROR(VLOOKUP(G79,COPY!$F$2:$J$1000,3,FALSE)," ")</f>
        <v xml:space="preserve"> </v>
      </c>
      <c r="E79" s="18">
        <f>SUMIF(COPY!$F$2:$F$1000,'Rekap Alat'!G79,COPY!$J$2:$J$1000)</f>
        <v>0</v>
      </c>
      <c r="G79" s="1" t="s">
        <v>174</v>
      </c>
      <c r="H79" s="6" t="str">
        <f t="shared" si="1"/>
        <v/>
      </c>
    </row>
    <row r="80" spans="1:8" x14ac:dyDescent="0.2">
      <c r="A80" s="15" t="str">
        <f>IF(H80=1,COUNTIF($H$11:H80,1)," ")</f>
        <v xml:space="preserve"> </v>
      </c>
      <c r="B80" s="27"/>
      <c r="C80" s="16" t="str">
        <f>IFERROR(VLOOKUP(G80,COPY!$F$2:$J$1000,2,FALSE)," ")</f>
        <v xml:space="preserve"> </v>
      </c>
      <c r="D80" s="17" t="str">
        <f>IFERROR(VLOOKUP(G80,COPY!$F$2:$J$1000,3,FALSE)," ")</f>
        <v xml:space="preserve"> </v>
      </c>
      <c r="E80" s="18">
        <f>SUMIF(COPY!$F$2:$F$1000,'Rekap Alat'!G80,COPY!$J$2:$J$1000)</f>
        <v>0</v>
      </c>
      <c r="G80" s="1" t="s">
        <v>175</v>
      </c>
      <c r="H80" s="6" t="str">
        <f t="shared" si="1"/>
        <v/>
      </c>
    </row>
    <row r="81" spans="1:8" x14ac:dyDescent="0.2">
      <c r="A81" s="15" t="str">
        <f>IF(H81=1,COUNTIF($H$11:H81,1)," ")</f>
        <v xml:space="preserve"> </v>
      </c>
      <c r="B81" s="27"/>
      <c r="C81" s="16" t="str">
        <f>IFERROR(VLOOKUP(G81,COPY!$F$2:$J$1000,2,FALSE)," ")</f>
        <v xml:space="preserve"> </v>
      </c>
      <c r="D81" s="17" t="str">
        <f>IFERROR(VLOOKUP(G81,COPY!$F$2:$J$1000,3,FALSE)," ")</f>
        <v xml:space="preserve"> </v>
      </c>
      <c r="E81" s="18">
        <f>SUMIF(COPY!$F$2:$F$1000,'Rekap Alat'!G81,COPY!$J$2:$J$1000)</f>
        <v>0</v>
      </c>
      <c r="G81" s="1" t="s">
        <v>176</v>
      </c>
      <c r="H81" s="6" t="str">
        <f t="shared" si="1"/>
        <v/>
      </c>
    </row>
    <row r="82" spans="1:8" x14ac:dyDescent="0.2">
      <c r="A82" s="15" t="str">
        <f>IF(H82=1,COUNTIF($H$11:H82,1)," ")</f>
        <v xml:space="preserve"> </v>
      </c>
      <c r="B82" s="27"/>
      <c r="C82" s="16" t="str">
        <f>IFERROR(VLOOKUP(G82,COPY!$F$2:$J$1000,2,FALSE)," ")</f>
        <v xml:space="preserve"> </v>
      </c>
      <c r="D82" s="17" t="str">
        <f>IFERROR(VLOOKUP(G82,COPY!$F$2:$J$1000,3,FALSE)," ")</f>
        <v xml:space="preserve"> </v>
      </c>
      <c r="E82" s="18">
        <f>SUMIF(COPY!$F$2:$F$1000,'Rekap Alat'!G82,COPY!$J$2:$J$1000)</f>
        <v>0</v>
      </c>
      <c r="G82" s="1" t="s">
        <v>177</v>
      </c>
      <c r="H82" s="6" t="str">
        <f t="shared" si="1"/>
        <v/>
      </c>
    </row>
    <row r="83" spans="1:8" x14ac:dyDescent="0.2">
      <c r="A83" s="15" t="str">
        <f>IF(H83=1,COUNTIF($H$11:H83,1)," ")</f>
        <v xml:space="preserve"> </v>
      </c>
      <c r="B83" s="27"/>
      <c r="C83" s="16" t="str">
        <f>IFERROR(VLOOKUP(G83,COPY!$F$2:$J$1000,2,FALSE)," ")</f>
        <v xml:space="preserve"> </v>
      </c>
      <c r="D83" s="17" t="str">
        <f>IFERROR(VLOOKUP(G83,COPY!$F$2:$J$1000,3,FALSE)," ")</f>
        <v xml:space="preserve"> </v>
      </c>
      <c r="E83" s="18">
        <f>SUMIF(COPY!$F$2:$F$1000,'Rekap Alat'!G83,COPY!$J$2:$J$1000)</f>
        <v>0</v>
      </c>
      <c r="G83" s="1" t="s">
        <v>178</v>
      </c>
      <c r="H83" s="6" t="str">
        <f t="shared" si="1"/>
        <v/>
      </c>
    </row>
    <row r="84" spans="1:8" x14ac:dyDescent="0.2">
      <c r="A84" s="15" t="str">
        <f>IF(H84=1,COUNTIF($H$11:H84,1)," ")</f>
        <v xml:space="preserve"> </v>
      </c>
      <c r="B84" s="27"/>
      <c r="C84" s="16" t="str">
        <f>IFERROR(VLOOKUP(G84,COPY!$F$2:$J$1000,2,FALSE)," ")</f>
        <v xml:space="preserve"> </v>
      </c>
      <c r="D84" s="17" t="str">
        <f>IFERROR(VLOOKUP(G84,COPY!$F$2:$J$1000,3,FALSE)," ")</f>
        <v xml:space="preserve"> </v>
      </c>
      <c r="E84" s="18">
        <f>SUMIF(COPY!$F$2:$F$1000,'Rekap Alat'!G84,COPY!$J$2:$J$1000)</f>
        <v>0</v>
      </c>
      <c r="G84" s="1" t="s">
        <v>179</v>
      </c>
      <c r="H84" s="6" t="str">
        <f t="shared" si="1"/>
        <v/>
      </c>
    </row>
    <row r="85" spans="1:8" x14ac:dyDescent="0.2">
      <c r="A85" s="15" t="str">
        <f>IF(H85=1,COUNTIF($H$11:H85,1)," ")</f>
        <v xml:space="preserve"> </v>
      </c>
      <c r="B85" s="27"/>
      <c r="C85" s="16" t="str">
        <f>IFERROR(VLOOKUP(G85,COPY!$F$2:$J$1000,2,FALSE)," ")</f>
        <v xml:space="preserve"> </v>
      </c>
      <c r="D85" s="17" t="str">
        <f>IFERROR(VLOOKUP(G85,COPY!$F$2:$J$1000,3,FALSE)," ")</f>
        <v xml:space="preserve"> </v>
      </c>
      <c r="E85" s="18">
        <f>SUMIF(COPY!$F$2:$F$1000,'Rekap Alat'!G85,COPY!$J$2:$J$1000)</f>
        <v>0</v>
      </c>
      <c r="G85" s="1" t="s">
        <v>180</v>
      </c>
      <c r="H85" s="6" t="str">
        <f t="shared" si="1"/>
        <v/>
      </c>
    </row>
    <row r="86" spans="1:8" x14ac:dyDescent="0.2">
      <c r="A86" s="15" t="str">
        <f>IF(H86=1,COUNTIF($H$11:H86,1)," ")</f>
        <v xml:space="preserve"> </v>
      </c>
      <c r="B86" s="27"/>
      <c r="C86" s="16" t="str">
        <f>IFERROR(VLOOKUP(G86,COPY!$F$2:$J$1000,2,FALSE)," ")</f>
        <v xml:space="preserve"> </v>
      </c>
      <c r="D86" s="17" t="str">
        <f>IFERROR(VLOOKUP(G86,COPY!$F$2:$J$1000,3,FALSE)," ")</f>
        <v xml:space="preserve"> </v>
      </c>
      <c r="E86" s="18">
        <f>SUMIF(COPY!$F$2:$F$1000,'Rekap Alat'!G86,COPY!$J$2:$J$1000)</f>
        <v>0</v>
      </c>
      <c r="G86" s="1" t="s">
        <v>181</v>
      </c>
      <c r="H86" s="6" t="str">
        <f t="shared" si="1"/>
        <v/>
      </c>
    </row>
    <row r="87" spans="1:8" x14ac:dyDescent="0.2">
      <c r="A87" s="15" t="str">
        <f>IF(H87=1,COUNTIF($H$11:H87,1)," ")</f>
        <v xml:space="preserve"> </v>
      </c>
      <c r="B87" s="27"/>
      <c r="C87" s="16" t="str">
        <f>IFERROR(VLOOKUP(G87,COPY!$F$2:$J$1000,2,FALSE)," ")</f>
        <v xml:space="preserve"> </v>
      </c>
      <c r="D87" s="17" t="str">
        <f>IFERROR(VLOOKUP(G87,COPY!$F$2:$J$1000,3,FALSE)," ")</f>
        <v xml:space="preserve"> </v>
      </c>
      <c r="E87" s="18">
        <f>SUMIF(COPY!$F$2:$F$1000,'Rekap Alat'!G87,COPY!$J$2:$J$1000)</f>
        <v>0</v>
      </c>
      <c r="G87" s="1" t="s">
        <v>182</v>
      </c>
      <c r="H87" s="6" t="str">
        <f t="shared" si="1"/>
        <v/>
      </c>
    </row>
    <row r="88" spans="1:8" x14ac:dyDescent="0.2">
      <c r="A88" s="15" t="str">
        <f>IF(H88=1,COUNTIF($H$11:H88,1)," ")</f>
        <v xml:space="preserve"> </v>
      </c>
      <c r="B88" s="27"/>
      <c r="C88" s="16" t="str">
        <f>IFERROR(VLOOKUP(G88,COPY!$F$2:$J$1000,2,FALSE)," ")</f>
        <v xml:space="preserve"> </v>
      </c>
      <c r="D88" s="17" t="str">
        <f>IFERROR(VLOOKUP(G88,COPY!$F$2:$J$1000,3,FALSE)," ")</f>
        <v xml:space="preserve"> </v>
      </c>
      <c r="E88" s="18">
        <f>SUMIF(COPY!$F$2:$F$1000,'Rekap Alat'!G88,COPY!$J$2:$J$1000)</f>
        <v>0</v>
      </c>
      <c r="G88" s="1" t="s">
        <v>183</v>
      </c>
      <c r="H88" s="6" t="str">
        <f t="shared" si="1"/>
        <v/>
      </c>
    </row>
    <row r="89" spans="1:8" x14ac:dyDescent="0.2">
      <c r="A89" s="15" t="str">
        <f>IF(H89=1,COUNTIF($H$11:H89,1)," ")</f>
        <v xml:space="preserve"> </v>
      </c>
      <c r="B89" s="27"/>
      <c r="C89" s="16" t="str">
        <f>IFERROR(VLOOKUP(G89,COPY!$F$2:$J$1000,2,FALSE)," ")</f>
        <v xml:space="preserve"> </v>
      </c>
      <c r="D89" s="17" t="str">
        <f>IFERROR(VLOOKUP(G89,COPY!$F$2:$J$1000,3,FALSE)," ")</f>
        <v xml:space="preserve"> </v>
      </c>
      <c r="E89" s="18">
        <f>SUMIF(COPY!$F$2:$F$1000,'Rekap Alat'!G89,COPY!$J$2:$J$1000)</f>
        <v>0</v>
      </c>
      <c r="G89" s="1" t="s">
        <v>184</v>
      </c>
      <c r="H89" s="6" t="str">
        <f t="shared" si="1"/>
        <v/>
      </c>
    </row>
    <row r="90" spans="1:8" x14ac:dyDescent="0.2">
      <c r="A90" s="15" t="str">
        <f>IF(H90=1,COUNTIF($H$11:H90,1)," ")</f>
        <v xml:space="preserve"> </v>
      </c>
      <c r="B90" s="27"/>
      <c r="C90" s="16" t="str">
        <f>IFERROR(VLOOKUP(G90,COPY!$F$2:$J$1000,2,FALSE)," ")</f>
        <v xml:space="preserve"> </v>
      </c>
      <c r="D90" s="17" t="str">
        <f>IFERROR(VLOOKUP(G90,COPY!$F$2:$J$1000,3,FALSE)," ")</f>
        <v xml:space="preserve"> </v>
      </c>
      <c r="E90" s="18">
        <f>SUMIF(COPY!$F$2:$F$1000,'Rekap Alat'!G90,COPY!$J$2:$J$1000)</f>
        <v>0</v>
      </c>
      <c r="G90" s="1" t="s">
        <v>185</v>
      </c>
      <c r="H90" s="6" t="str">
        <f t="shared" si="1"/>
        <v/>
      </c>
    </row>
    <row r="91" spans="1:8" x14ac:dyDescent="0.2">
      <c r="A91" s="15" t="str">
        <f>IF(H91=1,COUNTIF($H$11:H91,1)," ")</f>
        <v xml:space="preserve"> </v>
      </c>
      <c r="B91" s="27"/>
      <c r="C91" s="16" t="str">
        <f>IFERROR(VLOOKUP(G91,COPY!$F$2:$J$1000,2,FALSE)," ")</f>
        <v xml:space="preserve"> </v>
      </c>
      <c r="D91" s="17" t="str">
        <f>IFERROR(VLOOKUP(G91,COPY!$F$2:$J$1000,3,FALSE)," ")</f>
        <v xml:space="preserve"> </v>
      </c>
      <c r="E91" s="18">
        <f>SUMIF(COPY!$F$2:$F$1000,'Rekap Alat'!G91,COPY!$J$2:$J$1000)</f>
        <v>0</v>
      </c>
      <c r="G91" s="1" t="s">
        <v>186</v>
      </c>
      <c r="H91" s="6" t="str">
        <f t="shared" si="1"/>
        <v/>
      </c>
    </row>
    <row r="92" spans="1:8" x14ac:dyDescent="0.2">
      <c r="A92" s="15" t="str">
        <f>IF(H92=1,COUNTIF($H$11:H92,1)," ")</f>
        <v xml:space="preserve"> </v>
      </c>
      <c r="B92" s="27"/>
      <c r="C92" s="16" t="str">
        <f>IFERROR(VLOOKUP(G92,COPY!$F$2:$J$1000,2,FALSE)," ")</f>
        <v xml:space="preserve"> </v>
      </c>
      <c r="D92" s="17" t="str">
        <f>IFERROR(VLOOKUP(G92,COPY!$F$2:$J$1000,3,FALSE)," ")</f>
        <v xml:space="preserve"> </v>
      </c>
      <c r="E92" s="18">
        <f>SUMIF(COPY!$F$2:$F$1000,'Rekap Alat'!G92,COPY!$J$2:$J$1000)</f>
        <v>0</v>
      </c>
      <c r="G92" s="1" t="s">
        <v>187</v>
      </c>
      <c r="H92" s="6" t="str">
        <f t="shared" si="1"/>
        <v/>
      </c>
    </row>
    <row r="93" spans="1:8" x14ac:dyDescent="0.2">
      <c r="A93" s="15" t="str">
        <f>IF(H93=1,COUNTIF($H$11:H93,1)," ")</f>
        <v xml:space="preserve"> </v>
      </c>
      <c r="B93" s="27"/>
      <c r="C93" s="16" t="str">
        <f>IFERROR(VLOOKUP(G93,COPY!$F$2:$J$1000,2,FALSE)," ")</f>
        <v xml:space="preserve"> </v>
      </c>
      <c r="D93" s="17" t="str">
        <f>IFERROR(VLOOKUP(G93,COPY!$F$2:$J$1000,3,FALSE)," ")</f>
        <v xml:space="preserve"> </v>
      </c>
      <c r="E93" s="18">
        <f>SUMIF(COPY!$F$2:$F$1000,'Rekap Alat'!G93,COPY!$J$2:$J$1000)</f>
        <v>0</v>
      </c>
      <c r="G93" s="1" t="s">
        <v>188</v>
      </c>
      <c r="H93" s="6" t="str">
        <f t="shared" si="1"/>
        <v/>
      </c>
    </row>
    <row r="94" spans="1:8" x14ac:dyDescent="0.2">
      <c r="A94" s="15" t="str">
        <f>IF(H94=1,COUNTIF($H$11:H94,1)," ")</f>
        <v xml:space="preserve"> </v>
      </c>
      <c r="B94" s="27"/>
      <c r="C94" s="16" t="str">
        <f>IFERROR(VLOOKUP(G94,COPY!$F$2:$J$1000,2,FALSE)," ")</f>
        <v xml:space="preserve"> </v>
      </c>
      <c r="D94" s="17" t="str">
        <f>IFERROR(VLOOKUP(G94,COPY!$F$2:$J$1000,3,FALSE)," ")</f>
        <v xml:space="preserve"> </v>
      </c>
      <c r="E94" s="18">
        <f>SUMIF(COPY!$F$2:$F$1000,'Rekap Alat'!G94,COPY!$J$2:$J$1000)</f>
        <v>0</v>
      </c>
      <c r="G94" s="1" t="s">
        <v>189</v>
      </c>
      <c r="H94" s="6" t="str">
        <f t="shared" si="1"/>
        <v/>
      </c>
    </row>
    <row r="95" spans="1:8" x14ac:dyDescent="0.2">
      <c r="A95" s="15" t="str">
        <f>IF(H95=1,COUNTIF($H$11:H95,1)," ")</f>
        <v xml:space="preserve"> </v>
      </c>
      <c r="B95" s="27"/>
      <c r="C95" s="16" t="str">
        <f>IFERROR(VLOOKUP(G95,COPY!$F$2:$J$1000,2,FALSE)," ")</f>
        <v xml:space="preserve"> </v>
      </c>
      <c r="D95" s="17" t="str">
        <f>IFERROR(VLOOKUP(G95,COPY!$F$2:$J$1000,3,FALSE)," ")</f>
        <v xml:space="preserve"> </v>
      </c>
      <c r="E95" s="18">
        <f>SUMIF(COPY!$F$2:$F$1000,'Rekap Alat'!G95,COPY!$J$2:$J$1000)</f>
        <v>0</v>
      </c>
      <c r="G95" s="1" t="s">
        <v>190</v>
      </c>
      <c r="H95" s="6" t="str">
        <f t="shared" si="1"/>
        <v/>
      </c>
    </row>
    <row r="96" spans="1:8" x14ac:dyDescent="0.2">
      <c r="A96" s="15" t="str">
        <f>IF(H96=1,COUNTIF($H$11:H96,1)," ")</f>
        <v xml:space="preserve"> </v>
      </c>
      <c r="B96" s="27"/>
      <c r="C96" s="16" t="str">
        <f>IFERROR(VLOOKUP(G96,COPY!$F$2:$J$1000,2,FALSE)," ")</f>
        <v xml:space="preserve"> </v>
      </c>
      <c r="D96" s="17" t="str">
        <f>IFERROR(VLOOKUP(G96,COPY!$F$2:$J$1000,3,FALSE)," ")</f>
        <v xml:space="preserve"> </v>
      </c>
      <c r="E96" s="18">
        <f>SUMIF(COPY!$F$2:$F$1000,'Rekap Alat'!G96,COPY!$J$2:$J$1000)</f>
        <v>0</v>
      </c>
      <c r="G96" s="1" t="s">
        <v>191</v>
      </c>
      <c r="H96" s="6" t="str">
        <f t="shared" si="1"/>
        <v/>
      </c>
    </row>
    <row r="97" spans="1:8" x14ac:dyDescent="0.2">
      <c r="A97" s="15" t="str">
        <f>IF(H97=1,COUNTIF($H$11:H97,1)," ")</f>
        <v xml:space="preserve"> </v>
      </c>
      <c r="B97" s="27"/>
      <c r="C97" s="16" t="str">
        <f>IFERROR(VLOOKUP(G97,COPY!$F$2:$J$1000,2,FALSE)," ")</f>
        <v xml:space="preserve"> </v>
      </c>
      <c r="D97" s="17" t="str">
        <f>IFERROR(VLOOKUP(G97,COPY!$F$2:$J$1000,3,FALSE)," ")</f>
        <v xml:space="preserve"> </v>
      </c>
      <c r="E97" s="18">
        <f>SUMIF(COPY!$F$2:$F$1000,'Rekap Alat'!G97,COPY!$J$2:$J$1000)</f>
        <v>0</v>
      </c>
      <c r="G97" s="1" t="s">
        <v>192</v>
      </c>
      <c r="H97" s="6" t="str">
        <f t="shared" si="1"/>
        <v/>
      </c>
    </row>
    <row r="98" spans="1:8" x14ac:dyDescent="0.2">
      <c r="A98" s="15" t="str">
        <f>IF(H98=1,COUNTIF($H$11:H98,1)," ")</f>
        <v xml:space="preserve"> </v>
      </c>
      <c r="B98" s="27"/>
      <c r="C98" s="16" t="str">
        <f>IFERROR(VLOOKUP(G98,COPY!$F$2:$J$1000,2,FALSE)," ")</f>
        <v xml:space="preserve"> </v>
      </c>
      <c r="D98" s="17" t="str">
        <f>IFERROR(VLOOKUP(G98,COPY!$F$2:$J$1000,3,FALSE)," ")</f>
        <v xml:space="preserve"> </v>
      </c>
      <c r="E98" s="18">
        <f>SUMIF(COPY!$F$2:$F$1000,'Rekap Alat'!G98,COPY!$J$2:$J$1000)</f>
        <v>0</v>
      </c>
      <c r="G98" s="1" t="s">
        <v>193</v>
      </c>
      <c r="H98" s="6" t="str">
        <f t="shared" si="1"/>
        <v/>
      </c>
    </row>
    <row r="99" spans="1:8" x14ac:dyDescent="0.2">
      <c r="A99" s="15" t="str">
        <f>IF(H99=1,COUNTIF($H$11:H99,1)," ")</f>
        <v xml:space="preserve"> </v>
      </c>
      <c r="B99" s="27"/>
      <c r="C99" s="16" t="str">
        <f>IFERROR(VLOOKUP(G99,COPY!$F$2:$J$1000,2,FALSE)," ")</f>
        <v xml:space="preserve"> </v>
      </c>
      <c r="D99" s="17" t="str">
        <f>IFERROR(VLOOKUP(G99,COPY!$F$2:$J$1000,3,FALSE)," ")</f>
        <v xml:space="preserve"> </v>
      </c>
      <c r="E99" s="18">
        <f>SUMIF(COPY!$F$2:$F$1000,'Rekap Alat'!G99,COPY!$J$2:$J$1000)</f>
        <v>0</v>
      </c>
      <c r="G99" s="1" t="s">
        <v>194</v>
      </c>
      <c r="H99" s="6" t="str">
        <f t="shared" si="1"/>
        <v/>
      </c>
    </row>
    <row r="100" spans="1:8" x14ac:dyDescent="0.2">
      <c r="A100" s="15" t="str">
        <f>IF(H100=1,COUNTIF($H$11:H100,1)," ")</f>
        <v xml:space="preserve"> </v>
      </c>
      <c r="B100" s="27"/>
      <c r="C100" s="16" t="str">
        <f>IFERROR(VLOOKUP(G100,COPY!$F$2:$J$1000,2,FALSE)," ")</f>
        <v xml:space="preserve"> </v>
      </c>
      <c r="D100" s="17" t="str">
        <f>IFERROR(VLOOKUP(G100,COPY!$F$2:$J$1000,3,FALSE)," ")</f>
        <v xml:space="preserve"> </v>
      </c>
      <c r="E100" s="18">
        <f>SUMIF(COPY!$F$2:$F$1000,'Rekap Alat'!G100,COPY!$J$2:$J$1000)</f>
        <v>0</v>
      </c>
      <c r="G100" s="1" t="s">
        <v>195</v>
      </c>
      <c r="H100" s="6" t="str">
        <f t="shared" si="1"/>
        <v/>
      </c>
    </row>
    <row r="101" spans="1:8" x14ac:dyDescent="0.2">
      <c r="A101" s="15" t="str">
        <f>IF(H101=1,COUNTIF($H$11:H101,1)," ")</f>
        <v xml:space="preserve"> </v>
      </c>
      <c r="B101" s="27"/>
      <c r="C101" s="16" t="str">
        <f>IFERROR(VLOOKUP(G101,COPY!$F$2:$J$1000,2,FALSE)," ")</f>
        <v xml:space="preserve"> </v>
      </c>
      <c r="D101" s="17" t="str">
        <f>IFERROR(VLOOKUP(G101,COPY!$F$2:$J$1000,3,FALSE)," ")</f>
        <v xml:space="preserve"> </v>
      </c>
      <c r="E101" s="18">
        <f>SUMIF(COPY!$F$2:$F$1000,'Rekap Alat'!G101,COPY!$J$2:$J$1000)</f>
        <v>0</v>
      </c>
      <c r="G101" s="1" t="s">
        <v>196</v>
      </c>
      <c r="H101" s="6" t="str">
        <f t="shared" si="1"/>
        <v/>
      </c>
    </row>
    <row r="102" spans="1:8" x14ac:dyDescent="0.2">
      <c r="A102" s="15" t="str">
        <f>IF(H102=1,COUNTIF($H$11:H102,1)," ")</f>
        <v xml:space="preserve"> </v>
      </c>
      <c r="B102" s="27"/>
      <c r="C102" s="16" t="str">
        <f>IFERROR(VLOOKUP(G102,COPY!$F$2:$J$1000,2,FALSE)," ")</f>
        <v xml:space="preserve"> </v>
      </c>
      <c r="D102" s="17" t="str">
        <f>IFERROR(VLOOKUP(G102,COPY!$F$2:$J$1000,3,FALSE)," ")</f>
        <v xml:space="preserve"> </v>
      </c>
      <c r="E102" s="18">
        <f>SUMIF(COPY!$F$2:$F$1000,'Rekap Alat'!G102,COPY!$J$2:$J$1000)</f>
        <v>0</v>
      </c>
      <c r="G102" s="1" t="s">
        <v>197</v>
      </c>
      <c r="H102" s="6" t="str">
        <f t="shared" si="1"/>
        <v/>
      </c>
    </row>
    <row r="103" spans="1:8" x14ac:dyDescent="0.2">
      <c r="A103" s="15" t="str">
        <f>IF(H103=1,COUNTIF($H$11:H103,1)," ")</f>
        <v xml:space="preserve"> </v>
      </c>
      <c r="B103" s="27"/>
      <c r="C103" s="16" t="str">
        <f>IFERROR(VLOOKUP(G103,COPY!$F$2:$J$1000,2,FALSE)," ")</f>
        <v xml:space="preserve"> </v>
      </c>
      <c r="D103" s="17" t="str">
        <f>IFERROR(VLOOKUP(G103,COPY!$F$2:$J$1000,3,FALSE)," ")</f>
        <v xml:space="preserve"> </v>
      </c>
      <c r="E103" s="18">
        <f>SUMIF(COPY!$F$2:$F$1000,'Rekap Alat'!G103,COPY!$J$2:$J$1000)</f>
        <v>0</v>
      </c>
      <c r="G103" s="1" t="s">
        <v>198</v>
      </c>
      <c r="H103" s="6" t="str">
        <f t="shared" si="1"/>
        <v/>
      </c>
    </row>
    <row r="104" spans="1:8" x14ac:dyDescent="0.2">
      <c r="A104" s="15" t="str">
        <f>IF(H104=1,COUNTIF($H$11:H104,1)," ")</f>
        <v xml:space="preserve"> </v>
      </c>
      <c r="B104" s="27"/>
      <c r="C104" s="16" t="str">
        <f>IFERROR(VLOOKUP(G104,COPY!$F$2:$J$1000,2,FALSE)," ")</f>
        <v xml:space="preserve"> </v>
      </c>
      <c r="D104" s="17" t="str">
        <f>IFERROR(VLOOKUP(G104,COPY!$F$2:$J$1000,3,FALSE)," ")</f>
        <v xml:space="preserve"> </v>
      </c>
      <c r="E104" s="18">
        <f>SUMIF(COPY!$F$2:$F$1000,'Rekap Alat'!G104,COPY!$J$2:$J$1000)</f>
        <v>0</v>
      </c>
      <c r="G104" s="1" t="s">
        <v>199</v>
      </c>
      <c r="H104" s="6" t="str">
        <f t="shared" si="1"/>
        <v/>
      </c>
    </row>
    <row r="105" spans="1:8" x14ac:dyDescent="0.2">
      <c r="A105" s="15" t="str">
        <f>IF(H105=1,COUNTIF($H$11:H105,1)," ")</f>
        <v xml:space="preserve"> </v>
      </c>
      <c r="B105" s="27"/>
      <c r="C105" s="16" t="str">
        <f>IFERROR(VLOOKUP(G105,COPY!$F$2:$J$1000,2,FALSE)," ")</f>
        <v xml:space="preserve"> </v>
      </c>
      <c r="D105" s="17" t="str">
        <f>IFERROR(VLOOKUP(G105,COPY!$F$2:$J$1000,3,FALSE)," ")</f>
        <v xml:space="preserve"> </v>
      </c>
      <c r="E105" s="18">
        <f>SUMIF(COPY!$F$2:$F$1000,'Rekap Alat'!G105,COPY!$J$2:$J$1000)</f>
        <v>0</v>
      </c>
      <c r="G105" s="1" t="s">
        <v>200</v>
      </c>
      <c r="H105" s="6" t="str">
        <f t="shared" si="1"/>
        <v/>
      </c>
    </row>
    <row r="106" spans="1:8" x14ac:dyDescent="0.2">
      <c r="A106" s="15" t="str">
        <f>IF(H106=1,COUNTIF($H$11:H106,1)," ")</f>
        <v xml:space="preserve"> </v>
      </c>
      <c r="B106" s="27"/>
      <c r="C106" s="16" t="str">
        <f>IFERROR(VLOOKUP(G106,COPY!$F$2:$J$1000,2,FALSE)," ")</f>
        <v xml:space="preserve"> </v>
      </c>
      <c r="D106" s="17" t="str">
        <f>IFERROR(VLOOKUP(G106,COPY!$F$2:$J$1000,3,FALSE)," ")</f>
        <v xml:space="preserve"> </v>
      </c>
      <c r="E106" s="18">
        <f>SUMIF(COPY!$F$2:$F$1000,'Rekap Alat'!G106,COPY!$J$2:$J$1000)</f>
        <v>0</v>
      </c>
      <c r="G106" s="1" t="s">
        <v>201</v>
      </c>
      <c r="H106" s="6" t="str">
        <f t="shared" si="1"/>
        <v/>
      </c>
    </row>
    <row r="107" spans="1:8" x14ac:dyDescent="0.2">
      <c r="A107" s="15" t="str">
        <f>IF(H107=1,COUNTIF($H$11:H107,1)," ")</f>
        <v xml:space="preserve"> </v>
      </c>
      <c r="B107" s="27"/>
      <c r="C107" s="16" t="str">
        <f>IFERROR(VLOOKUP(G107,COPY!$F$2:$J$1000,2,FALSE)," ")</f>
        <v xml:space="preserve"> </v>
      </c>
      <c r="D107" s="17" t="str">
        <f>IFERROR(VLOOKUP(G107,COPY!$F$2:$J$1000,3,FALSE)," ")</f>
        <v xml:space="preserve"> </v>
      </c>
      <c r="E107" s="18">
        <f>SUMIF(COPY!$F$2:$F$1000,'Rekap Alat'!G107,COPY!$J$2:$J$1000)</f>
        <v>0</v>
      </c>
      <c r="G107" s="1" t="s">
        <v>202</v>
      </c>
      <c r="H107" s="6" t="str">
        <f t="shared" si="1"/>
        <v/>
      </c>
    </row>
    <row r="108" spans="1:8" x14ac:dyDescent="0.2">
      <c r="A108" s="15" t="str">
        <f>IF(H108=1,COUNTIF($H$11:H108,1)," ")</f>
        <v xml:space="preserve"> </v>
      </c>
      <c r="B108" s="27"/>
      <c r="C108" s="16" t="str">
        <f>IFERROR(VLOOKUP(G108,COPY!$F$2:$J$1000,2,FALSE)," ")</f>
        <v xml:space="preserve"> </v>
      </c>
      <c r="D108" s="17" t="str">
        <f>IFERROR(VLOOKUP(G108,COPY!$F$2:$J$1000,3,FALSE)," ")</f>
        <v xml:space="preserve"> </v>
      </c>
      <c r="E108" s="18">
        <f>SUMIF(COPY!$F$2:$F$1000,'Rekap Alat'!G108,COPY!$J$2:$J$1000)</f>
        <v>0</v>
      </c>
      <c r="G108" s="1" t="s">
        <v>203</v>
      </c>
      <c r="H108" s="6" t="str">
        <f t="shared" si="1"/>
        <v/>
      </c>
    </row>
    <row r="109" spans="1:8" x14ac:dyDescent="0.2">
      <c r="A109" s="15" t="str">
        <f>IF(H109=1,COUNTIF($H$11:H109,1)," ")</f>
        <v xml:space="preserve"> </v>
      </c>
      <c r="B109" s="27"/>
      <c r="C109" s="16" t="str">
        <f>IFERROR(VLOOKUP(G109,COPY!$F$2:$J$1000,2,FALSE)," ")</f>
        <v xml:space="preserve"> </v>
      </c>
      <c r="D109" s="17" t="str">
        <f>IFERROR(VLOOKUP(G109,COPY!$F$2:$J$1000,3,FALSE)," ")</f>
        <v xml:space="preserve"> </v>
      </c>
      <c r="E109" s="18">
        <f>SUMIF(COPY!$F$2:$F$1000,'Rekap Alat'!G109,COPY!$J$2:$J$1000)</f>
        <v>0</v>
      </c>
      <c r="G109" s="1" t="s">
        <v>204</v>
      </c>
      <c r="H109" s="6" t="str">
        <f t="shared" si="1"/>
        <v/>
      </c>
    </row>
    <row r="110" spans="1:8" x14ac:dyDescent="0.2">
      <c r="A110" s="15" t="str">
        <f>IF(H110=1,COUNTIF($H$11:H110,1)," ")</f>
        <v xml:space="preserve"> </v>
      </c>
      <c r="B110" s="27"/>
      <c r="C110" s="16" t="str">
        <f>IFERROR(VLOOKUP(G110,COPY!$F$2:$J$1000,2,FALSE)," ")</f>
        <v xml:space="preserve"> </v>
      </c>
      <c r="D110" s="17" t="str">
        <f>IFERROR(VLOOKUP(G110,COPY!$F$2:$J$1000,3,FALSE)," ")</f>
        <v xml:space="preserve"> </v>
      </c>
      <c r="E110" s="18">
        <f>SUMIF(COPY!$F$2:$F$1000,'Rekap Alat'!G110,COPY!$J$2:$J$1000)</f>
        <v>0</v>
      </c>
      <c r="G110" s="1" t="s">
        <v>205</v>
      </c>
      <c r="H110" s="6" t="str">
        <f t="shared" si="1"/>
        <v/>
      </c>
    </row>
    <row r="111" spans="1:8" x14ac:dyDescent="0.2">
      <c r="A111" s="15" t="str">
        <f>IF(H111=1,COUNTIF($H$11:H111,1)," ")</f>
        <v xml:space="preserve"> </v>
      </c>
      <c r="B111" s="27"/>
      <c r="C111" s="16" t="str">
        <f>IFERROR(VLOOKUP(G111,COPY!$F$2:$J$1000,2,FALSE)," ")</f>
        <v xml:space="preserve"> </v>
      </c>
      <c r="D111" s="17" t="str">
        <f>IFERROR(VLOOKUP(G111,COPY!$F$2:$J$1000,3,FALSE)," ")</f>
        <v xml:space="preserve"> </v>
      </c>
      <c r="E111" s="18">
        <f>SUMIF(COPY!$F$2:$F$1000,'Rekap Alat'!G111,COPY!$J$2:$J$1000)</f>
        <v>0</v>
      </c>
      <c r="G111" s="1" t="s">
        <v>206</v>
      </c>
      <c r="H111" s="6" t="str">
        <f t="shared" si="1"/>
        <v/>
      </c>
    </row>
    <row r="112" spans="1:8" x14ac:dyDescent="0.2">
      <c r="A112" s="15" t="str">
        <f>IF(H112=1,COUNTIF($H$11:H112,1)," ")</f>
        <v xml:space="preserve"> </v>
      </c>
      <c r="B112" s="27"/>
      <c r="C112" s="16" t="str">
        <f>IFERROR(VLOOKUP(G112,COPY!$F$2:$J$1000,2,FALSE)," ")</f>
        <v xml:space="preserve"> </v>
      </c>
      <c r="D112" s="17" t="str">
        <f>IFERROR(VLOOKUP(G112,COPY!$F$2:$J$1000,3,FALSE)," ")</f>
        <v xml:space="preserve"> </v>
      </c>
      <c r="E112" s="18">
        <f>SUMIF(COPY!$F$2:$F$1000,'Rekap Alat'!G112,COPY!$J$2:$J$1000)</f>
        <v>0</v>
      </c>
      <c r="G112" s="1" t="s">
        <v>207</v>
      </c>
      <c r="H112" s="6" t="str">
        <f t="shared" si="1"/>
        <v/>
      </c>
    </row>
    <row r="113" spans="1:8" x14ac:dyDescent="0.2">
      <c r="A113" s="15" t="str">
        <f>IF(H113=1,COUNTIF($H$11:H113,1)," ")</f>
        <v xml:space="preserve"> </v>
      </c>
      <c r="B113" s="27"/>
      <c r="C113" s="16" t="str">
        <f>IFERROR(VLOOKUP(G113,COPY!$F$2:$J$1000,2,FALSE)," ")</f>
        <v xml:space="preserve"> </v>
      </c>
      <c r="D113" s="17" t="str">
        <f>IFERROR(VLOOKUP(G113,COPY!$F$2:$J$1000,3,FALSE)," ")</f>
        <v xml:space="preserve"> </v>
      </c>
      <c r="E113" s="18">
        <f>SUMIF(COPY!$F$2:$F$1000,'Rekap Alat'!G113,COPY!$J$2:$J$1000)</f>
        <v>0</v>
      </c>
      <c r="G113" s="1" t="s">
        <v>208</v>
      </c>
      <c r="H113" s="6" t="str">
        <f t="shared" si="1"/>
        <v/>
      </c>
    </row>
    <row r="114" spans="1:8" x14ac:dyDescent="0.2">
      <c r="A114" s="15" t="str">
        <f>IF(H114=1,COUNTIF($H$11:H114,1)," ")</f>
        <v xml:space="preserve"> </v>
      </c>
      <c r="B114" s="27"/>
      <c r="C114" s="16" t="str">
        <f>IFERROR(VLOOKUP(G114,COPY!$F$2:$J$1000,2,FALSE)," ")</f>
        <v xml:space="preserve"> </v>
      </c>
      <c r="D114" s="17" t="str">
        <f>IFERROR(VLOOKUP(G114,COPY!$F$2:$J$1000,3,FALSE)," ")</f>
        <v xml:space="preserve"> </v>
      </c>
      <c r="E114" s="18">
        <f>SUMIF(COPY!$F$2:$F$1000,'Rekap Alat'!G114,COPY!$J$2:$J$1000)</f>
        <v>0</v>
      </c>
      <c r="G114" s="1" t="s">
        <v>209</v>
      </c>
      <c r="H114" s="6" t="str">
        <f t="shared" si="1"/>
        <v/>
      </c>
    </row>
    <row r="115" spans="1:8" x14ac:dyDescent="0.2">
      <c r="A115" s="15" t="str">
        <f>IF(H115=1,COUNTIF($H$11:H115,1)," ")</f>
        <v xml:space="preserve"> </v>
      </c>
      <c r="B115" s="27"/>
      <c r="C115" s="16" t="str">
        <f>IFERROR(VLOOKUP(G115,COPY!$F$2:$J$1000,2,FALSE)," ")</f>
        <v xml:space="preserve"> </v>
      </c>
      <c r="D115" s="17" t="str">
        <f>IFERROR(VLOOKUP(G115,COPY!$F$2:$J$1000,3,FALSE)," ")</f>
        <v xml:space="preserve"> </v>
      </c>
      <c r="E115" s="18">
        <f>SUMIF(COPY!$F$2:$F$1000,'Rekap Alat'!G115,COPY!$J$2:$J$1000)</f>
        <v>0</v>
      </c>
      <c r="G115" s="1" t="s">
        <v>210</v>
      </c>
      <c r="H115" s="6" t="str">
        <f t="shared" si="1"/>
        <v/>
      </c>
    </row>
    <row r="116" spans="1:8" x14ac:dyDescent="0.2">
      <c r="A116" s="15" t="str">
        <f>IF(H116=1,COUNTIF($H$11:H116,1)," ")</f>
        <v xml:space="preserve"> </v>
      </c>
      <c r="B116" s="27"/>
      <c r="C116" s="16" t="str">
        <f>IFERROR(VLOOKUP(G116,COPY!$F$2:$J$1000,2,FALSE)," ")</f>
        <v xml:space="preserve"> </v>
      </c>
      <c r="D116" s="17" t="str">
        <f>IFERROR(VLOOKUP(G116,COPY!$F$2:$J$1000,3,FALSE)," ")</f>
        <v xml:space="preserve"> </v>
      </c>
      <c r="E116" s="18">
        <f>SUMIF(COPY!$F$2:$F$1000,'Rekap Alat'!G116,COPY!$J$2:$J$1000)</f>
        <v>0</v>
      </c>
      <c r="G116" s="1" t="s">
        <v>211</v>
      </c>
      <c r="H116" s="6" t="str">
        <f t="shared" si="1"/>
        <v/>
      </c>
    </row>
    <row r="117" spans="1:8" x14ac:dyDescent="0.2">
      <c r="A117" s="15" t="str">
        <f>IF(H117=1,COUNTIF($H$11:H117,1)," ")</f>
        <v xml:space="preserve"> </v>
      </c>
      <c r="B117" s="27"/>
      <c r="C117" s="16" t="str">
        <f>IFERROR(VLOOKUP(G117,COPY!$F$2:$J$1000,2,FALSE)," ")</f>
        <v xml:space="preserve"> </v>
      </c>
      <c r="D117" s="17" t="str">
        <f>IFERROR(VLOOKUP(G117,COPY!$F$2:$J$1000,3,FALSE)," ")</f>
        <v xml:space="preserve"> </v>
      </c>
      <c r="E117" s="18">
        <f>SUMIF(COPY!$F$2:$F$1000,'Rekap Alat'!G117,COPY!$J$2:$J$1000)</f>
        <v>0</v>
      </c>
      <c r="G117" s="1" t="s">
        <v>212</v>
      </c>
      <c r="H117" s="6" t="str">
        <f t="shared" si="1"/>
        <v/>
      </c>
    </row>
    <row r="118" spans="1:8" x14ac:dyDescent="0.2">
      <c r="A118" s="15" t="str">
        <f>IF(H118=1,COUNTIF($H$11:H118,1)," ")</f>
        <v xml:space="preserve"> </v>
      </c>
      <c r="B118" s="27"/>
      <c r="C118" s="16" t="str">
        <f>IFERROR(VLOOKUP(G118,COPY!$F$2:$J$1000,2,FALSE)," ")</f>
        <v xml:space="preserve"> </v>
      </c>
      <c r="D118" s="17" t="str">
        <f>IFERROR(VLOOKUP(G118,COPY!$F$2:$J$1000,3,FALSE)," ")</f>
        <v xml:space="preserve"> </v>
      </c>
      <c r="E118" s="18">
        <f>SUMIF(COPY!$F$2:$F$1000,'Rekap Alat'!G118,COPY!$J$2:$J$1000)</f>
        <v>0</v>
      </c>
      <c r="G118" s="1" t="s">
        <v>213</v>
      </c>
      <c r="H118" s="6" t="str">
        <f t="shared" si="1"/>
        <v/>
      </c>
    </row>
    <row r="119" spans="1:8" x14ac:dyDescent="0.2">
      <c r="A119" s="15" t="str">
        <f>IF(H119=1,COUNTIF($H$11:H119,1)," ")</f>
        <v xml:space="preserve"> </v>
      </c>
      <c r="B119" s="27"/>
      <c r="C119" s="16" t="str">
        <f>IFERROR(VLOOKUP(G119,COPY!$F$2:$J$1000,2,FALSE)," ")</f>
        <v xml:space="preserve"> </v>
      </c>
      <c r="D119" s="17" t="str">
        <f>IFERROR(VLOOKUP(G119,COPY!$F$2:$J$1000,3,FALSE)," ")</f>
        <v xml:space="preserve"> </v>
      </c>
      <c r="E119" s="18">
        <f>SUMIF(COPY!$F$2:$F$1000,'Rekap Alat'!G119,COPY!$J$2:$J$1000)</f>
        <v>0</v>
      </c>
      <c r="G119" s="1" t="s">
        <v>214</v>
      </c>
      <c r="H119" s="6" t="str">
        <f t="shared" si="1"/>
        <v/>
      </c>
    </row>
    <row r="120" spans="1:8" x14ac:dyDescent="0.2">
      <c r="A120" s="15" t="str">
        <f>IF(H120=1,COUNTIF($H$11:H120,1)," ")</f>
        <v xml:space="preserve"> </v>
      </c>
      <c r="B120" s="28"/>
      <c r="C120" s="16" t="str">
        <f>IFERROR(VLOOKUP(G120,COPY!$F$2:$J$1000,2,FALSE)," ")</f>
        <v xml:space="preserve"> </v>
      </c>
      <c r="D120" s="17" t="str">
        <f>IFERROR(VLOOKUP(G120,COPY!$F$2:$J$1000,3,FALSE)," ")</f>
        <v xml:space="preserve"> </v>
      </c>
      <c r="E120" s="18">
        <f>SUMIF(COPY!$F$2:$F$1000,'Rekap Alat'!G120,COPY!$J$2:$J$1000)</f>
        <v>0</v>
      </c>
      <c r="G120" s="1" t="s">
        <v>315</v>
      </c>
      <c r="H120" s="6" t="str">
        <f t="shared" si="1"/>
        <v/>
      </c>
    </row>
    <row r="121" spans="1:8" x14ac:dyDescent="0.2">
      <c r="A121" s="15" t="str">
        <f>IF(H121=1,COUNTIF($H$11:H121,1)," ")</f>
        <v xml:space="preserve"> </v>
      </c>
      <c r="B121" s="28"/>
      <c r="C121" s="16" t="str">
        <f>IFERROR(VLOOKUP(G121,COPY!$F$2:$J$1000,2,FALSE)," ")</f>
        <v xml:space="preserve"> </v>
      </c>
      <c r="D121" s="17" t="str">
        <f>IFERROR(VLOOKUP(G121,COPY!$F$2:$J$1000,3,FALSE)," ")</f>
        <v xml:space="preserve"> </v>
      </c>
      <c r="E121" s="18">
        <f>SUMIF(COPY!$F$2:$F$1000,'Rekap Alat'!G121,COPY!$J$2:$J$1000)</f>
        <v>0</v>
      </c>
      <c r="G121" s="1" t="s">
        <v>316</v>
      </c>
      <c r="H121" s="6" t="str">
        <f t="shared" si="1"/>
        <v/>
      </c>
    </row>
    <row r="122" spans="1:8" x14ac:dyDescent="0.2">
      <c r="A122" s="15" t="str">
        <f>IF(H122=1,COUNTIF($H$11:H122,1)," ")</f>
        <v xml:space="preserve"> </v>
      </c>
      <c r="B122" s="28"/>
      <c r="C122" s="16" t="str">
        <f>IFERROR(VLOOKUP(G122,COPY!$F$2:$J$1000,2,FALSE)," ")</f>
        <v xml:space="preserve"> </v>
      </c>
      <c r="D122" s="17" t="str">
        <f>IFERROR(VLOOKUP(G122,COPY!$F$2:$J$1000,3,FALSE)," ")</f>
        <v xml:space="preserve"> </v>
      </c>
      <c r="E122" s="18">
        <f>SUMIF(COPY!$F$2:$F$1000,'Rekap Alat'!G122,COPY!$J$2:$J$1000)</f>
        <v>0</v>
      </c>
      <c r="G122" s="1" t="s">
        <v>317</v>
      </c>
      <c r="H122" s="6" t="str">
        <f t="shared" si="1"/>
        <v/>
      </c>
    </row>
    <row r="123" spans="1:8" x14ac:dyDescent="0.2">
      <c r="A123" s="15" t="str">
        <f>IF(H123=1,COUNTIF($H$11:H123,1)," ")</f>
        <v xml:space="preserve"> </v>
      </c>
      <c r="B123" s="28"/>
      <c r="C123" s="16" t="str">
        <f>IFERROR(VLOOKUP(G123,COPY!$F$2:$J$1000,2,FALSE)," ")</f>
        <v xml:space="preserve"> </v>
      </c>
      <c r="D123" s="17" t="str">
        <f>IFERROR(VLOOKUP(G123,COPY!$F$2:$J$1000,3,FALSE)," ")</f>
        <v xml:space="preserve"> </v>
      </c>
      <c r="E123" s="18">
        <f>SUMIF(COPY!$F$2:$F$1000,'Rekap Alat'!G123,COPY!$J$2:$J$1000)</f>
        <v>0</v>
      </c>
      <c r="G123" s="1" t="s">
        <v>318</v>
      </c>
      <c r="H123" s="6" t="str">
        <f t="shared" si="1"/>
        <v/>
      </c>
    </row>
    <row r="124" spans="1:8" x14ac:dyDescent="0.2">
      <c r="A124" s="15" t="str">
        <f>IF(H124=1,COUNTIF($H$11:H124,1)," ")</f>
        <v xml:space="preserve"> </v>
      </c>
      <c r="B124" s="28"/>
      <c r="C124" s="16" t="str">
        <f>IFERROR(VLOOKUP(G124,COPY!$F$2:$J$1000,2,FALSE)," ")</f>
        <v xml:space="preserve"> </v>
      </c>
      <c r="D124" s="17" t="str">
        <f>IFERROR(VLOOKUP(G124,COPY!$F$2:$J$1000,3,FALSE)," ")</f>
        <v xml:space="preserve"> </v>
      </c>
      <c r="E124" s="18">
        <f>SUMIF(COPY!$F$2:$F$1000,'Rekap Alat'!G124,COPY!$J$2:$J$1000)</f>
        <v>0</v>
      </c>
      <c r="G124" s="1" t="s">
        <v>319</v>
      </c>
      <c r="H124" s="6" t="str">
        <f t="shared" si="1"/>
        <v/>
      </c>
    </row>
    <row r="125" spans="1:8" x14ac:dyDescent="0.2">
      <c r="A125" s="15" t="str">
        <f>IF(H125=1,COUNTIF($H$11:H125,1)," ")</f>
        <v xml:space="preserve"> </v>
      </c>
      <c r="B125" s="28"/>
      <c r="C125" s="16" t="str">
        <f>IFERROR(VLOOKUP(G125,COPY!$F$2:$J$1000,2,FALSE)," ")</f>
        <v xml:space="preserve"> </v>
      </c>
      <c r="D125" s="17" t="str">
        <f>IFERROR(VLOOKUP(G125,COPY!$F$2:$J$1000,3,FALSE)," ")</f>
        <v xml:space="preserve"> </v>
      </c>
      <c r="E125" s="18">
        <f>SUMIF(COPY!$F$2:$F$1000,'Rekap Alat'!G125,COPY!$J$2:$J$1000)</f>
        <v>0</v>
      </c>
      <c r="G125" s="1" t="s">
        <v>320</v>
      </c>
      <c r="H125" s="6" t="str">
        <f t="shared" si="1"/>
        <v/>
      </c>
    </row>
    <row r="126" spans="1:8" x14ac:dyDescent="0.2">
      <c r="A126" s="15">
        <f>IF(H126=1,COUNTIF($H$11:H126,1)," ")</f>
        <v>1</v>
      </c>
      <c r="B126" s="28"/>
      <c r="C126" s="16" t="str">
        <f>IFERROR(VLOOKUP(G126,COPY!$F$2:$J$1000,2,FALSE)," ")</f>
        <v>Keramik Kia 30X30</v>
      </c>
      <c r="D126" s="17" t="str">
        <f>IFERROR(VLOOKUP(G126,COPY!$F$2:$J$1000,3,FALSE)," ")</f>
        <v>Dus</v>
      </c>
      <c r="E126" s="18">
        <f>SUMIF(COPY!$F$2:$F$1000,'Rekap Alat'!G126,COPY!$J$2:$J$1000)</f>
        <v>15</v>
      </c>
      <c r="G126" s="1" t="s">
        <v>321</v>
      </c>
      <c r="H126" s="6">
        <f t="shared" si="1"/>
        <v>1</v>
      </c>
    </row>
    <row r="127" spans="1:8" x14ac:dyDescent="0.2">
      <c r="A127" s="15" t="str">
        <f>IF(H127=1,COUNTIF($H$11:H127,1)," ")</f>
        <v xml:space="preserve"> </v>
      </c>
      <c r="B127" s="28"/>
      <c r="C127" s="16" t="str">
        <f>IFERROR(VLOOKUP(G127,COPY!$F$2:$J$1000,2,FALSE)," ")</f>
        <v xml:space="preserve"> </v>
      </c>
      <c r="D127" s="17" t="str">
        <f>IFERROR(VLOOKUP(G127,COPY!$F$2:$J$1000,3,FALSE)," ")</f>
        <v xml:space="preserve"> </v>
      </c>
      <c r="E127" s="18">
        <f>SUMIF(COPY!$F$2:$F$1000,'Rekap Alat'!G127,COPY!$J$2:$J$1000)</f>
        <v>0</v>
      </c>
      <c r="G127" s="1" t="s">
        <v>322</v>
      </c>
      <c r="H127" s="6" t="str">
        <f t="shared" si="1"/>
        <v/>
      </c>
    </row>
    <row r="128" spans="1:8" x14ac:dyDescent="0.2">
      <c r="A128" s="15" t="str">
        <f>IF(H128=1,COUNTIF($H$11:H128,1)," ")</f>
        <v xml:space="preserve"> </v>
      </c>
      <c r="B128" s="28"/>
      <c r="C128" s="16" t="str">
        <f>IFERROR(VLOOKUP(G128,COPY!$F$2:$J$1000,2,FALSE)," ")</f>
        <v xml:space="preserve"> </v>
      </c>
      <c r="D128" s="17" t="str">
        <f>IFERROR(VLOOKUP(G128,COPY!$F$2:$J$1000,3,FALSE)," ")</f>
        <v xml:space="preserve"> </v>
      </c>
      <c r="E128" s="18">
        <f>SUMIF(COPY!$F$2:$F$1000,'Rekap Alat'!G128,COPY!$J$2:$J$1000)</f>
        <v>0</v>
      </c>
      <c r="G128" s="1" t="s">
        <v>323</v>
      </c>
      <c r="H128" s="6" t="str">
        <f t="shared" si="1"/>
        <v/>
      </c>
    </row>
    <row r="129" spans="1:8" x14ac:dyDescent="0.2">
      <c r="A129" s="15" t="str">
        <f>IF(H129=1,COUNTIF($H$11:H129,1)," ")</f>
        <v xml:space="preserve"> </v>
      </c>
      <c r="B129" s="28"/>
      <c r="C129" s="16" t="str">
        <f>IFERROR(VLOOKUP(G129,COPY!$F$2:$J$1000,2,FALSE)," ")</f>
        <v xml:space="preserve"> </v>
      </c>
      <c r="D129" s="17" t="str">
        <f>IFERROR(VLOOKUP(G129,COPY!$F$2:$J$1000,3,FALSE)," ")</f>
        <v xml:space="preserve"> </v>
      </c>
      <c r="E129" s="18">
        <f>SUMIF(COPY!$F$2:$F$1000,'Rekap Alat'!G129,COPY!$J$2:$J$1000)</f>
        <v>0</v>
      </c>
      <c r="G129" s="1" t="s">
        <v>324</v>
      </c>
      <c r="H129" s="6" t="str">
        <f t="shared" si="1"/>
        <v/>
      </c>
    </row>
    <row r="130" spans="1:8" x14ac:dyDescent="0.2">
      <c r="A130" s="15" t="str">
        <f>IF(H130=1,COUNTIF($H$11:H130,1)," ")</f>
        <v xml:space="preserve"> </v>
      </c>
      <c r="B130" s="28"/>
      <c r="C130" s="16" t="str">
        <f>IFERROR(VLOOKUP(G130,COPY!$F$2:$J$1000,2,FALSE)," ")</f>
        <v xml:space="preserve"> </v>
      </c>
      <c r="D130" s="17" t="str">
        <f>IFERROR(VLOOKUP(G130,COPY!$F$2:$J$1000,3,FALSE)," ")</f>
        <v xml:space="preserve"> </v>
      </c>
      <c r="E130" s="18">
        <f>SUMIF(COPY!$F$2:$F$1000,'Rekap Alat'!G130,COPY!$J$2:$J$1000)</f>
        <v>0</v>
      </c>
      <c r="G130" s="1" t="s">
        <v>325</v>
      </c>
      <c r="H130" s="6" t="str">
        <f t="shared" si="1"/>
        <v/>
      </c>
    </row>
    <row r="131" spans="1:8" x14ac:dyDescent="0.2">
      <c r="A131" s="15" t="str">
        <f>IF(H131=1,COUNTIF($H$11:H131,1)," ")</f>
        <v xml:space="preserve"> </v>
      </c>
      <c r="B131" s="28"/>
      <c r="C131" s="16" t="str">
        <f>IFERROR(VLOOKUP(G131,COPY!$F$2:$J$1000,2,FALSE)," ")</f>
        <v xml:space="preserve"> </v>
      </c>
      <c r="D131" s="17" t="str">
        <f>IFERROR(VLOOKUP(G131,COPY!$F$2:$J$1000,3,FALSE)," ")</f>
        <v xml:space="preserve"> </v>
      </c>
      <c r="E131" s="18">
        <f>SUMIF(COPY!$F$2:$F$1000,'Rekap Alat'!G131,COPY!$J$2:$J$1000)</f>
        <v>0</v>
      </c>
      <c r="G131" s="1" t="s">
        <v>326</v>
      </c>
      <c r="H131" s="6" t="str">
        <f t="shared" si="1"/>
        <v/>
      </c>
    </row>
    <row r="132" spans="1:8" x14ac:dyDescent="0.2">
      <c r="A132" s="15" t="str">
        <f>IF(H132=1,COUNTIF($H$11:H132,1)," ")</f>
        <v xml:space="preserve"> </v>
      </c>
      <c r="B132" s="28"/>
      <c r="C132" s="16" t="str">
        <f>IFERROR(VLOOKUP(G132,COPY!$F$2:$J$1000,2,FALSE)," ")</f>
        <v xml:space="preserve"> </v>
      </c>
      <c r="D132" s="17" t="str">
        <f>IFERROR(VLOOKUP(G132,COPY!$F$2:$J$1000,3,FALSE)," ")</f>
        <v xml:space="preserve"> </v>
      </c>
      <c r="E132" s="18">
        <f>SUMIF(COPY!$F$2:$F$1000,'Rekap Alat'!G132,COPY!$J$2:$J$1000)</f>
        <v>0</v>
      </c>
      <c r="G132" s="1" t="s">
        <v>327</v>
      </c>
      <c r="H132" s="6" t="str">
        <f t="shared" si="1"/>
        <v/>
      </c>
    </row>
    <row r="133" spans="1:8" x14ac:dyDescent="0.2">
      <c r="A133" s="15" t="str">
        <f>IF(H133=1,COUNTIF($H$11:H133,1)," ")</f>
        <v xml:space="preserve"> </v>
      </c>
      <c r="B133" s="28"/>
      <c r="C133" s="16" t="str">
        <f>IFERROR(VLOOKUP(G133,COPY!$F$2:$J$1000,2,FALSE)," ")</f>
        <v xml:space="preserve"> </v>
      </c>
      <c r="D133" s="17" t="str">
        <f>IFERROR(VLOOKUP(G133,COPY!$F$2:$J$1000,3,FALSE)," ")</f>
        <v xml:space="preserve"> </v>
      </c>
      <c r="E133" s="18">
        <f>SUMIF(COPY!$F$2:$F$1000,'Rekap Alat'!G133,COPY!$J$2:$J$1000)</f>
        <v>0</v>
      </c>
      <c r="G133" s="1" t="s">
        <v>328</v>
      </c>
      <c r="H133" s="6" t="str">
        <f t="shared" si="1"/>
        <v/>
      </c>
    </row>
    <row r="134" spans="1:8" x14ac:dyDescent="0.2">
      <c r="A134" s="15" t="str">
        <f>IF(H134=1,COUNTIF($H$11:H134,1)," ")</f>
        <v xml:space="preserve"> </v>
      </c>
      <c r="B134" s="28"/>
      <c r="C134" s="16" t="str">
        <f>IFERROR(VLOOKUP(G134,COPY!$F$2:$J$1000,2,FALSE)," ")</f>
        <v xml:space="preserve"> </v>
      </c>
      <c r="D134" s="17" t="str">
        <f>IFERROR(VLOOKUP(G134,COPY!$F$2:$J$1000,3,FALSE)," ")</f>
        <v xml:space="preserve"> </v>
      </c>
      <c r="E134" s="18">
        <f>SUMIF(COPY!$F$2:$F$1000,'Rekap Alat'!G134,COPY!$J$2:$J$1000)</f>
        <v>0</v>
      </c>
      <c r="G134" s="1" t="s">
        <v>329</v>
      </c>
      <c r="H134" s="6" t="str">
        <f t="shared" si="1"/>
        <v/>
      </c>
    </row>
    <row r="135" spans="1:8" x14ac:dyDescent="0.2">
      <c r="A135" s="15" t="str">
        <f>IF(H135=1,COUNTIF($H$11:H135,1)," ")</f>
        <v xml:space="preserve"> </v>
      </c>
      <c r="B135" s="28"/>
      <c r="C135" s="16" t="str">
        <f>IFERROR(VLOOKUP(G135,COPY!$F$2:$J$1000,2,FALSE)," ")</f>
        <v xml:space="preserve"> </v>
      </c>
      <c r="D135" s="17" t="str">
        <f>IFERROR(VLOOKUP(G135,COPY!$F$2:$J$1000,3,FALSE)," ")</f>
        <v xml:space="preserve"> </v>
      </c>
      <c r="E135" s="18">
        <f>SUMIF(COPY!$F$2:$F$1000,'Rekap Alat'!G135,COPY!$J$2:$J$1000)</f>
        <v>0</v>
      </c>
      <c r="G135" s="1" t="s">
        <v>330</v>
      </c>
      <c r="H135" s="6" t="str">
        <f t="shared" si="1"/>
        <v/>
      </c>
    </row>
    <row r="136" spans="1:8" x14ac:dyDescent="0.2">
      <c r="A136" s="15" t="str">
        <f>IF(H136=1,COUNTIF($H$11:H136,1)," ")</f>
        <v xml:space="preserve"> </v>
      </c>
      <c r="B136" s="28"/>
      <c r="C136" s="16" t="str">
        <f>IFERROR(VLOOKUP(G136,COPY!$F$2:$J$1000,2,FALSE)," ")</f>
        <v xml:space="preserve"> </v>
      </c>
      <c r="D136" s="17" t="str">
        <f>IFERROR(VLOOKUP(G136,COPY!$F$2:$J$1000,3,FALSE)," ")</f>
        <v xml:space="preserve"> </v>
      </c>
      <c r="E136" s="18">
        <f>SUMIF(COPY!$F$2:$F$1000,'Rekap Alat'!G136,COPY!$J$2:$J$1000)</f>
        <v>0</v>
      </c>
      <c r="G136" s="1" t="s">
        <v>331</v>
      </c>
      <c r="H136" s="6" t="str">
        <f t="shared" si="1"/>
        <v/>
      </c>
    </row>
    <row r="137" spans="1:8" x14ac:dyDescent="0.2">
      <c r="A137" s="15" t="str">
        <f>IF(H137=1,COUNTIF($H$11:H137,1)," ")</f>
        <v xml:space="preserve"> </v>
      </c>
      <c r="B137" s="28"/>
      <c r="C137" s="16" t="str">
        <f>IFERROR(VLOOKUP(G137,COPY!$F$2:$J$1000,2,FALSE)," ")</f>
        <v xml:space="preserve"> </v>
      </c>
      <c r="D137" s="17" t="str">
        <f>IFERROR(VLOOKUP(G137,COPY!$F$2:$J$1000,3,FALSE)," ")</f>
        <v xml:space="preserve"> </v>
      </c>
      <c r="E137" s="18">
        <f>SUMIF(COPY!$F$2:$F$1000,'Rekap Alat'!G137,COPY!$J$2:$J$1000)</f>
        <v>0</v>
      </c>
      <c r="G137" s="1" t="s">
        <v>332</v>
      </c>
      <c r="H137" s="6" t="str">
        <f t="shared" si="1"/>
        <v/>
      </c>
    </row>
    <row r="138" spans="1:8" x14ac:dyDescent="0.2">
      <c r="A138" s="15" t="str">
        <f>IF(H138=1,COUNTIF($H$11:H138,1)," ")</f>
        <v xml:space="preserve"> </v>
      </c>
      <c r="B138" s="28"/>
      <c r="C138" s="16" t="str">
        <f>IFERROR(VLOOKUP(G138,COPY!$F$2:$J$1000,2,FALSE)," ")</f>
        <v xml:space="preserve"> </v>
      </c>
      <c r="D138" s="17" t="str">
        <f>IFERROR(VLOOKUP(G138,COPY!$F$2:$J$1000,3,FALSE)," ")</f>
        <v xml:space="preserve"> </v>
      </c>
      <c r="E138" s="18">
        <f>SUMIF(COPY!$F$2:$F$1000,'Rekap Alat'!G138,COPY!$J$2:$J$1000)</f>
        <v>0</v>
      </c>
      <c r="G138" s="1" t="s">
        <v>333</v>
      </c>
      <c r="H138" s="6" t="str">
        <f t="shared" si="1"/>
        <v/>
      </c>
    </row>
    <row r="139" spans="1:8" x14ac:dyDescent="0.2">
      <c r="A139" s="15" t="str">
        <f>IF(H139=1,COUNTIF($H$11:H139,1)," ")</f>
        <v xml:space="preserve"> </v>
      </c>
      <c r="B139" s="28"/>
      <c r="C139" s="16" t="str">
        <f>IFERROR(VLOOKUP(G139,COPY!$F$2:$J$1000,2,FALSE)," ")</f>
        <v xml:space="preserve"> </v>
      </c>
      <c r="D139" s="17" t="str">
        <f>IFERROR(VLOOKUP(G139,COPY!$F$2:$J$1000,3,FALSE)," ")</f>
        <v xml:space="preserve"> </v>
      </c>
      <c r="E139" s="18">
        <f>SUMIF(COPY!$F$2:$F$1000,'Rekap Alat'!G139,COPY!$J$2:$J$1000)</f>
        <v>0</v>
      </c>
      <c r="G139" s="1" t="s">
        <v>334</v>
      </c>
      <c r="H139" s="6" t="str">
        <f t="shared" si="1"/>
        <v/>
      </c>
    </row>
    <row r="140" spans="1:8" x14ac:dyDescent="0.2">
      <c r="A140" s="15" t="str">
        <f>IF(H140=1,COUNTIF($H$11:H140,1)," ")</f>
        <v xml:space="preserve"> </v>
      </c>
      <c r="B140" s="28"/>
      <c r="C140" s="16" t="str">
        <f>IFERROR(VLOOKUP(G140,COPY!$F$2:$J$1000,2,FALSE)," ")</f>
        <v xml:space="preserve"> </v>
      </c>
      <c r="D140" s="17" t="str">
        <f>IFERROR(VLOOKUP(G140,COPY!$F$2:$J$1000,3,FALSE)," ")</f>
        <v xml:space="preserve"> </v>
      </c>
      <c r="E140" s="18">
        <f>SUMIF(COPY!$F$2:$F$1000,'Rekap Alat'!G140,COPY!$J$2:$J$1000)</f>
        <v>0</v>
      </c>
      <c r="G140" s="1" t="s">
        <v>435</v>
      </c>
      <c r="H140" s="6" t="str">
        <f t="shared" si="1"/>
        <v/>
      </c>
    </row>
    <row r="141" spans="1:8" x14ac:dyDescent="0.2">
      <c r="A141" s="15" t="str">
        <f>IF(H141=1,COUNTIF($H$11:H141,1)," ")</f>
        <v xml:space="preserve"> </v>
      </c>
      <c r="B141" s="28"/>
      <c r="C141" s="16" t="str">
        <f>IFERROR(VLOOKUP(G141,COPY!$F$2:$J$1000,2,FALSE)," ")</f>
        <v xml:space="preserve"> </v>
      </c>
      <c r="D141" s="17" t="str">
        <f>IFERROR(VLOOKUP(G141,COPY!$F$2:$J$1000,3,FALSE)," ")</f>
        <v xml:space="preserve"> </v>
      </c>
      <c r="E141" s="18">
        <f>SUMIF(COPY!$F$2:$F$1000,'Rekap Alat'!G141,COPY!$J$2:$J$1000)</f>
        <v>0</v>
      </c>
      <c r="G141" s="1" t="s">
        <v>436</v>
      </c>
      <c r="H141" s="6" t="str">
        <f>IF(E141&gt;0,1,"")</f>
        <v/>
      </c>
    </row>
    <row r="142" spans="1:8" x14ac:dyDescent="0.2">
      <c r="A142" s="15" t="str">
        <f>IF(H142=1,COUNTIF($H$11:H142,1)," ")</f>
        <v xml:space="preserve"> </v>
      </c>
      <c r="B142" s="28"/>
      <c r="C142" s="16" t="str">
        <f>IFERROR(VLOOKUP(G142,COPY!$F$2:$J$1000,2,FALSE)," ")</f>
        <v xml:space="preserve"> </v>
      </c>
      <c r="D142" s="17" t="str">
        <f>IFERROR(VLOOKUP(G142,COPY!$F$2:$J$1000,3,FALSE)," ")</f>
        <v xml:space="preserve"> </v>
      </c>
      <c r="E142" s="18">
        <f>SUMIF(COPY!$F$2:$F$1000,'Rekap Alat'!G142,COPY!$J$2:$J$1000)</f>
        <v>0</v>
      </c>
      <c r="G142" s="1" t="s">
        <v>437</v>
      </c>
      <c r="H142" s="6" t="str">
        <f>IF(E142&gt;0,1,"")</f>
        <v/>
      </c>
    </row>
    <row r="143" spans="1:8" ht="12.75" thickBot="1" x14ac:dyDescent="0.25">
      <c r="A143" s="19"/>
      <c r="B143" s="29"/>
      <c r="C143" s="20"/>
      <c r="D143" s="21"/>
      <c r="E143" s="22"/>
    </row>
    <row r="145" spans="1:5" x14ac:dyDescent="0.2">
      <c r="B145" s="2"/>
      <c r="C145" s="9"/>
      <c r="D145" s="9" t="str">
        <f>'BKU 1'!$K$353</f>
        <v>NGANTANG</v>
      </c>
      <c r="E145" s="7">
        <f>'Rekap Gaji'!I29</f>
        <v>45961</v>
      </c>
    </row>
    <row r="146" spans="1:5" x14ac:dyDescent="0.2">
      <c r="A146" s="12" t="str">
        <f>'BKU 1'!C354</f>
        <v>Mengetahui,</v>
      </c>
      <c r="B146" s="2"/>
      <c r="D146" s="10" t="str">
        <f>'BKU 1'!$L$354</f>
        <v>Dibuat Oleh ;</v>
      </c>
    </row>
    <row r="147" spans="1:5" x14ac:dyDescent="0.2">
      <c r="A147" s="12" t="str">
        <f>'BKU 1'!$C$355</f>
        <v>Kepala Sekolah SDN 1 SIDODADI</v>
      </c>
      <c r="B147" s="2"/>
      <c r="D147" s="10" t="str">
        <f>'BKU 1'!$L$355</f>
        <v>Bendahara Pembangunan</v>
      </c>
    </row>
    <row r="148" spans="1:5" x14ac:dyDescent="0.2">
      <c r="A148" s="12"/>
      <c r="B148" s="2"/>
      <c r="D148" s="10"/>
    </row>
    <row r="149" spans="1:5" x14ac:dyDescent="0.2">
      <c r="A149" s="12"/>
      <c r="B149" s="2"/>
      <c r="D149" s="10"/>
    </row>
    <row r="150" spans="1:5" x14ac:dyDescent="0.2">
      <c r="A150" s="12"/>
      <c r="B150" s="2"/>
      <c r="D150" s="10"/>
    </row>
    <row r="151" spans="1:5" x14ac:dyDescent="0.2">
      <c r="A151" s="12"/>
      <c r="B151" s="2"/>
      <c r="D151" s="10"/>
    </row>
    <row r="152" spans="1:5" x14ac:dyDescent="0.2">
      <c r="A152" s="13" t="str">
        <f>'BKU 1'!$C$360</f>
        <v>MELIA FITRIANI, S.Pd.SD</v>
      </c>
      <c r="B152" s="2"/>
      <c r="D152" s="11" t="str">
        <f>'BKU 1'!$L$360</f>
        <v>ARIF NUR UDIN, S.Pd.SD</v>
      </c>
    </row>
    <row r="153" spans="1:5" x14ac:dyDescent="0.2">
      <c r="A153" s="12" t="str">
        <f>'BKU 1'!$C$361</f>
        <v>NIP. 19850619 200904 2 000</v>
      </c>
      <c r="B153" s="2"/>
      <c r="D153" s="10" t="str">
        <f>'BKU 1'!$L$361</f>
        <v>NIP. 19840719 200903 1 002</v>
      </c>
    </row>
  </sheetData>
  <autoFilter ref="A10:E142" xr:uid="{00000000-0009-0000-0000-000005000000}">
    <filterColumn colId="1" showButton="0"/>
  </autoFilter>
  <mergeCells count="3">
    <mergeCell ref="B10:C10"/>
    <mergeCell ref="A1:E1"/>
    <mergeCell ref="A2:E2"/>
  </mergeCells>
  <phoneticPr fontId="12" type="noConversion"/>
  <pageMargins left="1.2" right="0.5" top="0.7" bottom="0.7" header="0.31496062992126" footer="0.31496062992126"/>
  <pageSetup paperSize="9" scale="95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autoPageBreaks="0" fitToPage="1"/>
  </sheetPr>
  <dimension ref="B1:AB288"/>
  <sheetViews>
    <sheetView showZeros="0" view="pageBreakPreview" zoomScale="85" zoomScaleNormal="70" zoomScaleSheetLayoutView="85" workbookViewId="0">
      <selection activeCell="Q11" sqref="Q11"/>
    </sheetView>
  </sheetViews>
  <sheetFormatPr defaultColWidth="9.140625" defaultRowHeight="14.25" x14ac:dyDescent="0.2"/>
  <cols>
    <col min="1" max="2" width="9.140625" style="75"/>
    <col min="3" max="3" width="2.5703125" style="75" customWidth="1"/>
    <col min="4" max="4" width="20.85546875" style="75" customWidth="1"/>
    <col min="5" max="10" width="14.5703125" style="75" customWidth="1"/>
    <col min="11" max="12" width="2.7109375" style="75" customWidth="1"/>
    <col min="13" max="13" width="27.5703125" style="75" customWidth="1"/>
    <col min="14" max="14" width="9.140625" style="75"/>
    <col min="15" max="15" width="36.7109375" style="75" customWidth="1"/>
    <col min="16" max="16" width="10.140625" style="75" bestFit="1" customWidth="1"/>
    <col min="17" max="17" width="17.28515625" style="75" bestFit="1" customWidth="1"/>
    <col min="18" max="18" width="17.85546875" style="75" bestFit="1" customWidth="1"/>
    <col min="19" max="19" width="18" style="75" bestFit="1" customWidth="1"/>
    <col min="20" max="16384" width="9.140625" style="75"/>
  </cols>
  <sheetData>
    <row r="1" spans="2:28" ht="18.75" thickBot="1" x14ac:dyDescent="0.25">
      <c r="B1" s="769" t="s">
        <v>81</v>
      </c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131"/>
      <c r="O1" s="131"/>
      <c r="P1" s="131"/>
    </row>
    <row r="2" spans="2:28" ht="18" x14ac:dyDescent="0.2">
      <c r="B2" s="770" t="str">
        <f>'BKU 1'!$D$22</f>
        <v>PEMBANGUNAN TOILET BESERTA SANITASINYA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132"/>
      <c r="O2" s="132"/>
      <c r="P2" s="133">
        <v>23</v>
      </c>
      <c r="U2" s="780" t="s">
        <v>17</v>
      </c>
      <c r="V2" s="772" t="s">
        <v>100</v>
      </c>
      <c r="W2" s="773"/>
      <c r="X2" s="773"/>
      <c r="Y2" s="773"/>
      <c r="Z2" s="774"/>
      <c r="AA2" s="778" t="s">
        <v>0</v>
      </c>
      <c r="AB2" s="776" t="s">
        <v>2</v>
      </c>
    </row>
    <row r="3" spans="2:28" ht="15" thickBot="1" x14ac:dyDescent="0.25">
      <c r="U3" s="781"/>
      <c r="V3" s="775" t="s">
        <v>1</v>
      </c>
      <c r="W3" s="775"/>
      <c r="X3" s="775" t="s">
        <v>101</v>
      </c>
      <c r="Y3" s="775"/>
      <c r="Z3" s="134" t="s">
        <v>102</v>
      </c>
      <c r="AA3" s="779"/>
      <c r="AB3" s="777"/>
    </row>
    <row r="4" spans="2:28" x14ac:dyDescent="0.2">
      <c r="C4" s="2"/>
    </row>
    <row r="5" spans="2:28" x14ac:dyDescent="0.2">
      <c r="B5" s="135" t="s">
        <v>61</v>
      </c>
      <c r="C5" s="2" t="s">
        <v>49</v>
      </c>
      <c r="D5" s="1" t="str">
        <f>'BKU 1'!$D$25</f>
        <v>SDN 1 SIDODADI</v>
      </c>
      <c r="E5" s="1"/>
      <c r="H5" s="135" t="s">
        <v>66</v>
      </c>
      <c r="J5" s="135" t="s">
        <v>66</v>
      </c>
      <c r="K5" s="2" t="s">
        <v>49</v>
      </c>
      <c r="L5" s="2"/>
      <c r="M5" s="136" t="s">
        <v>68</v>
      </c>
    </row>
    <row r="6" spans="2:28" x14ac:dyDescent="0.2">
      <c r="B6" s="135" t="s">
        <v>62</v>
      </c>
      <c r="C6" s="2" t="s">
        <v>49</v>
      </c>
      <c r="D6" s="1" t="str">
        <f>'BKU 1'!$D$26</f>
        <v>Jl. Kawi No.36 Rt. 1 Rw. 1 Dusun Sekar, Rt / Rw : 1 / 1, Dusun : Sekar, Kelurahan : Sidodadi</v>
      </c>
      <c r="E6" s="1"/>
      <c r="H6" s="135" t="s">
        <v>67</v>
      </c>
      <c r="J6" s="135" t="s">
        <v>67</v>
      </c>
      <c r="K6" s="2" t="s">
        <v>49</v>
      </c>
      <c r="L6" s="2"/>
      <c r="M6" s="136" t="s">
        <v>69</v>
      </c>
    </row>
    <row r="7" spans="2:28" x14ac:dyDescent="0.2">
      <c r="B7" s="135" t="s">
        <v>63</v>
      </c>
      <c r="C7" s="2" t="s">
        <v>49</v>
      </c>
      <c r="D7" s="1" t="str">
        <f>'BKU 1'!$I$25</f>
        <v>NGANTANG</v>
      </c>
      <c r="E7" s="1"/>
    </row>
    <row r="8" spans="2:28" x14ac:dyDescent="0.2">
      <c r="B8" s="135" t="s">
        <v>80</v>
      </c>
      <c r="C8" s="2" t="s">
        <v>49</v>
      </c>
      <c r="D8" s="137">
        <f>'BKU 1'!E17</f>
        <v>0</v>
      </c>
      <c r="E8" s="137"/>
    </row>
    <row r="10" spans="2:28" s="138" customFormat="1" ht="15" customHeight="1" x14ac:dyDescent="0.25">
      <c r="B10" s="798" t="s">
        <v>17</v>
      </c>
      <c r="C10" s="798" t="s">
        <v>79</v>
      </c>
      <c r="D10" s="798"/>
      <c r="E10" s="798" t="s">
        <v>456</v>
      </c>
      <c r="F10" s="798"/>
      <c r="G10" s="798" t="s">
        <v>78</v>
      </c>
      <c r="H10" s="798"/>
      <c r="I10" s="798" t="s">
        <v>553</v>
      </c>
      <c r="J10" s="798"/>
      <c r="K10" s="798" t="s">
        <v>8</v>
      </c>
      <c r="L10" s="798"/>
      <c r="M10" s="798"/>
    </row>
    <row r="11" spans="2:28" s="138" customFormat="1" ht="27" customHeight="1" x14ac:dyDescent="0.25">
      <c r="B11" s="798"/>
      <c r="C11" s="798"/>
      <c r="D11" s="798"/>
      <c r="E11" s="612" t="s">
        <v>457</v>
      </c>
      <c r="F11" s="612" t="s">
        <v>458</v>
      </c>
      <c r="G11" s="612" t="s">
        <v>457</v>
      </c>
      <c r="H11" s="612" t="s">
        <v>458</v>
      </c>
      <c r="I11" s="612" t="s">
        <v>457</v>
      </c>
      <c r="J11" s="612" t="s">
        <v>458</v>
      </c>
      <c r="K11" s="798"/>
      <c r="L11" s="798"/>
      <c r="M11" s="798"/>
      <c r="Q11" s="138" t="s">
        <v>554</v>
      </c>
      <c r="R11" s="138" t="s">
        <v>529</v>
      </c>
      <c r="S11" s="138" t="s">
        <v>528</v>
      </c>
    </row>
    <row r="12" spans="2:28" s="141" customFormat="1" ht="15" customHeight="1" x14ac:dyDescent="0.25">
      <c r="B12" s="139">
        <v>1</v>
      </c>
      <c r="C12" s="794" t="str">
        <f>TEXT(O12,"MMMM - YYYY")</f>
        <v>Januari - 2025</v>
      </c>
      <c r="D12" s="794"/>
      <c r="E12" s="616"/>
      <c r="F12" s="617">
        <f>R12</f>
        <v>0</v>
      </c>
      <c r="G12" s="617"/>
      <c r="H12" s="617">
        <f>S12</f>
        <v>0</v>
      </c>
      <c r="I12" s="617">
        <f>Q12</f>
        <v>0</v>
      </c>
      <c r="J12" s="617">
        <f>Q12</f>
        <v>0</v>
      </c>
      <c r="K12" s="797"/>
      <c r="L12" s="797"/>
      <c r="M12" s="797"/>
      <c r="N12" s="140"/>
      <c r="O12" s="613">
        <v>45658</v>
      </c>
      <c r="P12" s="141" t="str">
        <f>TEXT(O12,"MM")</f>
        <v>01</v>
      </c>
      <c r="Q12" s="615">
        <f>SUMIFS(COPY!$AT$2:$AT$1000,COPY!$AQ$2:$AQ$1000,'REKAP PAJAK'!$P12,COPY!$AS$2:$AS$1000,'REKAP PAJAK'!Q$11)</f>
        <v>0</v>
      </c>
      <c r="R12" s="615">
        <f>SUMIFS(COPY!$AT$2:$AT$1000,COPY!$AQ$2:$AQ$1000,'REKAP PAJAK'!$P12,COPY!$AS$2:$AS$1000,'REKAP PAJAK'!R$11)</f>
        <v>0</v>
      </c>
      <c r="S12" s="615">
        <f>SUMIFS(COPY!$AT$2:$AT$1000,COPY!$AQ$2:$AQ$1000,'REKAP PAJAK'!$P12,COPY!$AS$2:$AS$1000,'REKAP PAJAK'!S$11)</f>
        <v>0</v>
      </c>
    </row>
    <row r="13" spans="2:28" s="141" customFormat="1" ht="15" customHeight="1" x14ac:dyDescent="0.25">
      <c r="B13" s="142">
        <v>2</v>
      </c>
      <c r="C13" s="794" t="str">
        <f t="shared" ref="C13:C23" si="0">TEXT(O13,"MMMM - YYYY")</f>
        <v>Februari - 2025</v>
      </c>
      <c r="D13" s="794"/>
      <c r="E13" s="618"/>
      <c r="F13" s="143">
        <f t="shared" ref="F13:F23" si="1">R13</f>
        <v>0</v>
      </c>
      <c r="G13" s="143"/>
      <c r="H13" s="143">
        <f t="shared" ref="H13:H23" si="2">S13</f>
        <v>0</v>
      </c>
      <c r="I13" s="143">
        <f t="shared" ref="I13:I23" si="3">Q13</f>
        <v>0</v>
      </c>
      <c r="J13" s="143">
        <f t="shared" ref="J13:J23" si="4">Q13</f>
        <v>0</v>
      </c>
      <c r="K13" s="795"/>
      <c r="L13" s="795"/>
      <c r="M13" s="795"/>
      <c r="N13" s="140"/>
      <c r="O13" s="613">
        <f>EOMONTH(O12,1)</f>
        <v>45716</v>
      </c>
      <c r="P13" s="141" t="str">
        <f t="shared" ref="P13:P23" si="5">TEXT(O13,"MM")</f>
        <v>02</v>
      </c>
      <c r="Q13" s="615">
        <f>SUMIFS(COPY!$AT$2:$AT$1000,COPY!$AQ$2:$AQ$1000,'REKAP PAJAK'!P13,COPY!$AS$2:$AS$1000,'REKAP PAJAK'!Q$11)</f>
        <v>0</v>
      </c>
      <c r="R13" s="615">
        <f>SUMIFS(COPY!$AT$2:$AT$1000,COPY!$AQ$2:$AQ$1000,'REKAP PAJAK'!$P13,COPY!$AS$2:$AS$1000,'REKAP PAJAK'!R$11)</f>
        <v>0</v>
      </c>
      <c r="S13" s="615">
        <f>SUMIFS(COPY!$AT$2:$AT$1000,COPY!$AQ$2:$AQ$1000,'REKAP PAJAK'!$P13,COPY!$AS$2:$AS$1000,'REKAP PAJAK'!S$11)</f>
        <v>0</v>
      </c>
    </row>
    <row r="14" spans="2:28" s="141" customFormat="1" ht="15" customHeight="1" x14ac:dyDescent="0.25">
      <c r="B14" s="142">
        <v>3</v>
      </c>
      <c r="C14" s="794" t="str">
        <f t="shared" si="0"/>
        <v>Maret - 2025</v>
      </c>
      <c r="D14" s="794"/>
      <c r="E14" s="618"/>
      <c r="F14" s="143">
        <f t="shared" si="1"/>
        <v>0</v>
      </c>
      <c r="G14" s="143"/>
      <c r="H14" s="143">
        <f t="shared" si="2"/>
        <v>0</v>
      </c>
      <c r="I14" s="143">
        <f t="shared" si="3"/>
        <v>0</v>
      </c>
      <c r="J14" s="143">
        <f t="shared" si="4"/>
        <v>0</v>
      </c>
      <c r="K14" s="795"/>
      <c r="L14" s="795"/>
      <c r="M14" s="795"/>
      <c r="N14" s="140"/>
      <c r="O14" s="613">
        <f t="shared" ref="O14:O23" si="6">EOMONTH(O13,1)</f>
        <v>45747</v>
      </c>
      <c r="P14" s="141" t="str">
        <f t="shared" si="5"/>
        <v>03</v>
      </c>
      <c r="Q14" s="615">
        <f>SUMIFS(COPY!$AT$2:$AT$1000,COPY!$AQ$2:$AQ$1000,'REKAP PAJAK'!P14,COPY!$AS$2:$AS$1000,'REKAP PAJAK'!Q$11)</f>
        <v>0</v>
      </c>
      <c r="R14" s="615">
        <f>SUMIFS(COPY!$AT$2:$AT$1000,COPY!$AQ$2:$AQ$1000,'REKAP PAJAK'!$P14,COPY!$AS$2:$AS$1000,'REKAP PAJAK'!R$11)</f>
        <v>0</v>
      </c>
      <c r="S14" s="615">
        <f>SUMIFS(COPY!$AT$2:$AT$1000,COPY!$AQ$2:$AQ$1000,'REKAP PAJAK'!$P14,COPY!$AS$2:$AS$1000,'REKAP PAJAK'!S$11)</f>
        <v>0</v>
      </c>
    </row>
    <row r="15" spans="2:28" s="141" customFormat="1" ht="15" customHeight="1" x14ac:dyDescent="0.25">
      <c r="B15" s="142">
        <v>4</v>
      </c>
      <c r="C15" s="794" t="str">
        <f t="shared" si="0"/>
        <v>April - 2025</v>
      </c>
      <c r="D15" s="794"/>
      <c r="E15" s="618"/>
      <c r="F15" s="143">
        <f t="shared" si="1"/>
        <v>0</v>
      </c>
      <c r="G15" s="143"/>
      <c r="H15" s="143">
        <f t="shared" si="2"/>
        <v>0</v>
      </c>
      <c r="I15" s="143">
        <f t="shared" si="3"/>
        <v>0</v>
      </c>
      <c r="J15" s="143">
        <f t="shared" si="4"/>
        <v>0</v>
      </c>
      <c r="K15" s="795"/>
      <c r="L15" s="795"/>
      <c r="M15" s="795"/>
      <c r="N15" s="140"/>
      <c r="O15" s="613">
        <f t="shared" si="6"/>
        <v>45777</v>
      </c>
      <c r="P15" s="141" t="str">
        <f t="shared" si="5"/>
        <v>04</v>
      </c>
      <c r="Q15" s="615">
        <f>SUMIFS(COPY!$AT$2:$AT$1000,COPY!$AQ$2:$AQ$1000,'REKAP PAJAK'!P15,COPY!$AS$2:$AS$1000,'REKAP PAJAK'!Q$11)</f>
        <v>0</v>
      </c>
      <c r="R15" s="615">
        <f>SUMIFS(COPY!$AT$2:$AT$1000,COPY!$AQ$2:$AQ$1000,'REKAP PAJAK'!$P15,COPY!$AS$2:$AS$1000,'REKAP PAJAK'!R$11)</f>
        <v>0</v>
      </c>
      <c r="S15" s="615">
        <f>SUMIFS(COPY!$AT$2:$AT$1000,COPY!$AQ$2:$AQ$1000,'REKAP PAJAK'!$P15,COPY!$AS$2:$AS$1000,'REKAP PAJAK'!S$11)</f>
        <v>0</v>
      </c>
    </row>
    <row r="16" spans="2:28" s="141" customFormat="1" ht="15" customHeight="1" x14ac:dyDescent="0.25">
      <c r="B16" s="142">
        <v>5</v>
      </c>
      <c r="C16" s="794" t="str">
        <f t="shared" si="0"/>
        <v>Mei - 2025</v>
      </c>
      <c r="D16" s="794"/>
      <c r="E16" s="618"/>
      <c r="F16" s="143">
        <f t="shared" si="1"/>
        <v>0</v>
      </c>
      <c r="G16" s="143"/>
      <c r="H16" s="143">
        <f t="shared" si="2"/>
        <v>0</v>
      </c>
      <c r="I16" s="143">
        <f t="shared" si="3"/>
        <v>0</v>
      </c>
      <c r="J16" s="143">
        <f t="shared" si="4"/>
        <v>0</v>
      </c>
      <c r="K16" s="795"/>
      <c r="L16" s="795"/>
      <c r="M16" s="795"/>
      <c r="N16" s="140"/>
      <c r="O16" s="613">
        <f t="shared" si="6"/>
        <v>45808</v>
      </c>
      <c r="P16" s="141" t="str">
        <f t="shared" si="5"/>
        <v>05</v>
      </c>
      <c r="Q16" s="615">
        <f>SUMIFS(COPY!$AT$2:$AT$1000,COPY!$AQ$2:$AQ$1000,'REKAP PAJAK'!P16,COPY!$AS$2:$AS$1000,'REKAP PAJAK'!Q$11)</f>
        <v>0</v>
      </c>
      <c r="R16" s="615">
        <f>SUMIFS(COPY!$AT$2:$AT$1000,COPY!$AQ$2:$AQ$1000,'REKAP PAJAK'!$P16,COPY!$AS$2:$AS$1000,'REKAP PAJAK'!R$11)</f>
        <v>0</v>
      </c>
      <c r="S16" s="615">
        <f>SUMIFS(COPY!$AT$2:$AT$1000,COPY!$AQ$2:$AQ$1000,'REKAP PAJAK'!$P16,COPY!$AS$2:$AS$1000,'REKAP PAJAK'!S$11)</f>
        <v>0</v>
      </c>
    </row>
    <row r="17" spans="2:19" s="145" customFormat="1" ht="15" customHeight="1" x14ac:dyDescent="0.25">
      <c r="B17" s="144">
        <v>6</v>
      </c>
      <c r="C17" s="794" t="str">
        <f t="shared" si="0"/>
        <v>Juni - 2025</v>
      </c>
      <c r="D17" s="794"/>
      <c r="E17" s="619"/>
      <c r="F17" s="143">
        <f t="shared" si="1"/>
        <v>0</v>
      </c>
      <c r="G17" s="143"/>
      <c r="H17" s="143">
        <f t="shared" si="2"/>
        <v>0</v>
      </c>
      <c r="I17" s="143">
        <f t="shared" si="3"/>
        <v>0</v>
      </c>
      <c r="J17" s="143">
        <f t="shared" si="4"/>
        <v>0</v>
      </c>
      <c r="K17" s="795"/>
      <c r="L17" s="795"/>
      <c r="M17" s="795"/>
      <c r="N17" s="140"/>
      <c r="O17" s="613">
        <f t="shared" si="6"/>
        <v>45838</v>
      </c>
      <c r="P17" s="141" t="str">
        <f t="shared" si="5"/>
        <v>06</v>
      </c>
      <c r="Q17" s="615">
        <f>SUMIFS(COPY!$AT$2:$AT$1000,COPY!$AQ$2:$AQ$1000,'REKAP PAJAK'!P17,COPY!$AS$2:$AS$1000,'REKAP PAJAK'!Q$11)</f>
        <v>0</v>
      </c>
      <c r="R17" s="615">
        <f>SUMIFS(COPY!$AT$2:$AT$1000,COPY!$AQ$2:$AQ$1000,'REKAP PAJAK'!$P17,COPY!$AS$2:$AS$1000,'REKAP PAJAK'!R$11)</f>
        <v>0</v>
      </c>
      <c r="S17" s="615">
        <f>SUMIFS(COPY!$AT$2:$AT$1000,COPY!$AQ$2:$AQ$1000,'REKAP PAJAK'!$P17,COPY!$AS$2:$AS$1000,'REKAP PAJAK'!S$11)</f>
        <v>0</v>
      </c>
    </row>
    <row r="18" spans="2:19" s="145" customFormat="1" ht="15" customHeight="1" x14ac:dyDescent="0.25">
      <c r="B18" s="144">
        <v>7</v>
      </c>
      <c r="C18" s="794" t="str">
        <f t="shared" si="0"/>
        <v>Juli - 2025</v>
      </c>
      <c r="D18" s="794"/>
      <c r="E18" s="619"/>
      <c r="F18" s="143">
        <f t="shared" si="1"/>
        <v>0</v>
      </c>
      <c r="G18" s="143"/>
      <c r="H18" s="143">
        <f t="shared" si="2"/>
        <v>0</v>
      </c>
      <c r="I18" s="143">
        <f t="shared" si="3"/>
        <v>0</v>
      </c>
      <c r="J18" s="143">
        <f t="shared" si="4"/>
        <v>0</v>
      </c>
      <c r="K18" s="795"/>
      <c r="L18" s="795"/>
      <c r="M18" s="795"/>
      <c r="N18" s="140"/>
      <c r="O18" s="613">
        <f t="shared" si="6"/>
        <v>45869</v>
      </c>
      <c r="P18" s="141" t="str">
        <f t="shared" si="5"/>
        <v>07</v>
      </c>
      <c r="Q18" s="615">
        <f>SUMIFS(COPY!$AT$2:$AT$1000,COPY!$AQ$2:$AQ$1000,'REKAP PAJAK'!P18,COPY!$AS$2:$AS$1000,'REKAP PAJAK'!Q$11)</f>
        <v>0</v>
      </c>
      <c r="R18" s="615">
        <f>SUMIFS(COPY!$AT$2:$AT$1000,COPY!$AQ$2:$AQ$1000,'REKAP PAJAK'!$P18,COPY!$AS$2:$AS$1000,'REKAP PAJAK'!R$11)</f>
        <v>0</v>
      </c>
      <c r="S18" s="615">
        <f>SUMIFS(COPY!$AT$2:$AT$1000,COPY!$AQ$2:$AQ$1000,'REKAP PAJAK'!$P18,COPY!$AS$2:$AS$1000,'REKAP PAJAK'!S$11)</f>
        <v>0</v>
      </c>
    </row>
    <row r="19" spans="2:19" s="145" customFormat="1" ht="15" customHeight="1" x14ac:dyDescent="0.25">
      <c r="B19" s="144">
        <v>8</v>
      </c>
      <c r="C19" s="794" t="str">
        <f t="shared" si="0"/>
        <v>Agustus - 2025</v>
      </c>
      <c r="D19" s="794"/>
      <c r="E19" s="143"/>
      <c r="F19" s="143">
        <f t="shared" si="1"/>
        <v>0</v>
      </c>
      <c r="G19" s="143"/>
      <c r="H19" s="143">
        <f t="shared" si="2"/>
        <v>0</v>
      </c>
      <c r="I19" s="143">
        <f t="shared" si="3"/>
        <v>0</v>
      </c>
      <c r="J19" s="143">
        <f t="shared" si="4"/>
        <v>0</v>
      </c>
      <c r="K19" s="795"/>
      <c r="L19" s="795"/>
      <c r="M19" s="795"/>
      <c r="N19" s="140"/>
      <c r="O19" s="613">
        <f t="shared" si="6"/>
        <v>45900</v>
      </c>
      <c r="P19" s="141" t="str">
        <f t="shared" si="5"/>
        <v>08</v>
      </c>
      <c r="Q19" s="615">
        <f>SUMIFS(COPY!$AT$2:$AT$1000,COPY!$AQ$2:$AQ$1000,'REKAP PAJAK'!P19,COPY!$AS$2:$AS$1000,'REKAP PAJAK'!Q$11)</f>
        <v>0</v>
      </c>
      <c r="R19" s="615">
        <f>SUMIFS(COPY!$AT$2:$AT$1000,COPY!$AQ$2:$AQ$1000,'REKAP PAJAK'!$P19,COPY!$AS$2:$AS$1000,'REKAP PAJAK'!R$11)</f>
        <v>0</v>
      </c>
      <c r="S19" s="615">
        <f>SUMIFS(COPY!$AT$2:$AT$1000,COPY!$AQ$2:$AQ$1000,'REKAP PAJAK'!$P19,COPY!$AS$2:$AS$1000,'REKAP PAJAK'!S$11)</f>
        <v>0</v>
      </c>
    </row>
    <row r="20" spans="2:19" s="145" customFormat="1" ht="15" customHeight="1" x14ac:dyDescent="0.25">
      <c r="B20" s="144">
        <v>9</v>
      </c>
      <c r="C20" s="794" t="str">
        <f t="shared" si="0"/>
        <v>September - 2025</v>
      </c>
      <c r="D20" s="794"/>
      <c r="E20" s="143"/>
      <c r="F20" s="143">
        <f t="shared" si="1"/>
        <v>0</v>
      </c>
      <c r="G20" s="143"/>
      <c r="H20" s="143">
        <f t="shared" si="2"/>
        <v>0</v>
      </c>
      <c r="I20" s="143">
        <f t="shared" si="3"/>
        <v>96649.35</v>
      </c>
      <c r="J20" s="143">
        <f t="shared" si="4"/>
        <v>96649.35</v>
      </c>
      <c r="K20" s="795"/>
      <c r="L20" s="795"/>
      <c r="M20" s="795"/>
      <c r="N20" s="140"/>
      <c r="O20" s="613">
        <f t="shared" si="6"/>
        <v>45930</v>
      </c>
      <c r="P20" s="141" t="str">
        <f t="shared" si="5"/>
        <v>09</v>
      </c>
      <c r="Q20" s="615">
        <f>SUMIFS(COPY!$AT$2:$AT$1000,COPY!$AQ$2:$AQ$1000,'REKAP PAJAK'!P20,COPY!$AS$2:$AS$1000,'REKAP PAJAK'!Q$11)</f>
        <v>96649.35</v>
      </c>
      <c r="R20" s="615">
        <f>SUMIFS(COPY!$AT$2:$AT$1000,COPY!$AQ$2:$AQ$1000,'REKAP PAJAK'!$P20,COPY!$AS$2:$AS$1000,'REKAP PAJAK'!R$11)</f>
        <v>0</v>
      </c>
      <c r="S20" s="615">
        <f>SUMIFS(COPY!$AT$2:$AT$1000,COPY!$AQ$2:$AQ$1000,'REKAP PAJAK'!$P20,COPY!$AS$2:$AS$1000,'REKAP PAJAK'!S$11)</f>
        <v>0</v>
      </c>
    </row>
    <row r="21" spans="2:19" s="145" customFormat="1" ht="15" customHeight="1" x14ac:dyDescent="0.25">
      <c r="B21" s="144">
        <v>10</v>
      </c>
      <c r="C21" s="794" t="str">
        <f t="shared" si="0"/>
        <v>Oktober - 2025</v>
      </c>
      <c r="D21" s="794"/>
      <c r="E21" s="620"/>
      <c r="F21" s="143">
        <f t="shared" si="1"/>
        <v>1312080</v>
      </c>
      <c r="G21" s="620"/>
      <c r="H21" s="143">
        <f t="shared" si="2"/>
        <v>178920</v>
      </c>
      <c r="I21" s="620">
        <f t="shared" si="3"/>
        <v>119162.05000000002</v>
      </c>
      <c r="J21" s="143">
        <f t="shared" si="4"/>
        <v>119162.05000000002</v>
      </c>
      <c r="K21" s="795"/>
      <c r="L21" s="795"/>
      <c r="M21" s="795"/>
      <c r="N21" s="140"/>
      <c r="O21" s="613">
        <f t="shared" si="6"/>
        <v>45961</v>
      </c>
      <c r="P21" s="141" t="str">
        <f t="shared" si="5"/>
        <v>10</v>
      </c>
      <c r="Q21" s="615">
        <f>SUMIFS(COPY!$AT$2:$AT$1000,COPY!$AQ$2:$AQ$1000,'REKAP PAJAK'!P21,COPY!$AS$2:$AS$1000,'REKAP PAJAK'!Q$11)</f>
        <v>119162.05000000002</v>
      </c>
      <c r="R21" s="615">
        <f>SUMIFS(COPY!$AT$2:$AT$1000,COPY!$AQ$2:$AQ$1000,'REKAP PAJAK'!$P21,COPY!$AS$2:$AS$1000,'REKAP PAJAK'!R$11)</f>
        <v>1312080</v>
      </c>
      <c r="S21" s="615">
        <f>SUMIFS(COPY!$AT$2:$AT$1000,COPY!$AQ$2:$AQ$1000,'REKAP PAJAK'!$P21,COPY!$AS$2:$AS$1000,'REKAP PAJAK'!S$11)</f>
        <v>178920</v>
      </c>
    </row>
    <row r="22" spans="2:19" s="141" customFormat="1" ht="15" customHeight="1" x14ac:dyDescent="0.25">
      <c r="B22" s="142">
        <v>11</v>
      </c>
      <c r="C22" s="794" t="str">
        <f t="shared" si="0"/>
        <v>November - 2025</v>
      </c>
      <c r="D22" s="794"/>
      <c r="E22" s="620"/>
      <c r="F22" s="143">
        <f t="shared" si="1"/>
        <v>0</v>
      </c>
      <c r="G22" s="620"/>
      <c r="H22" s="143">
        <f t="shared" si="2"/>
        <v>0</v>
      </c>
      <c r="I22" s="620">
        <f t="shared" si="3"/>
        <v>0</v>
      </c>
      <c r="J22" s="143">
        <f t="shared" si="4"/>
        <v>0</v>
      </c>
      <c r="K22" s="795"/>
      <c r="L22" s="795"/>
      <c r="M22" s="795"/>
      <c r="N22" s="140"/>
      <c r="O22" s="613">
        <f t="shared" si="6"/>
        <v>45991</v>
      </c>
      <c r="P22" s="141" t="str">
        <f t="shared" si="5"/>
        <v>11</v>
      </c>
      <c r="Q22" s="615">
        <f>SUMIFS(COPY!$AT$2:$AT$1000,COPY!$AQ$2:$AQ$1000,'REKAP PAJAK'!P22,COPY!$AS$2:$AS$1000,'REKAP PAJAK'!Q$11)</f>
        <v>0</v>
      </c>
      <c r="R22" s="615">
        <f>SUMIFS(COPY!$AT$2:$AT$1000,COPY!$AQ$2:$AQ$1000,'REKAP PAJAK'!$P22,COPY!$AS$2:$AS$1000,'REKAP PAJAK'!R$11)</f>
        <v>0</v>
      </c>
      <c r="S22" s="615">
        <f>SUMIFS(COPY!$AT$2:$AT$1000,COPY!$AQ$2:$AQ$1000,'REKAP PAJAK'!$P22,COPY!$AS$2:$AS$1000,'REKAP PAJAK'!S$11)</f>
        <v>0</v>
      </c>
    </row>
    <row r="23" spans="2:19" s="141" customFormat="1" ht="15" customHeight="1" thickBot="1" x14ac:dyDescent="0.3">
      <c r="B23" s="369">
        <v>12</v>
      </c>
      <c r="C23" s="794" t="str">
        <f t="shared" si="0"/>
        <v>Desember - 2025</v>
      </c>
      <c r="D23" s="794"/>
      <c r="E23" s="621"/>
      <c r="F23" s="143">
        <f t="shared" si="1"/>
        <v>0</v>
      </c>
      <c r="G23" s="143"/>
      <c r="H23" s="143">
        <f t="shared" si="2"/>
        <v>0</v>
      </c>
      <c r="I23" s="143">
        <f t="shared" si="3"/>
        <v>0</v>
      </c>
      <c r="J23" s="143">
        <f t="shared" si="4"/>
        <v>0</v>
      </c>
      <c r="K23" s="796"/>
      <c r="L23" s="796"/>
      <c r="M23" s="796"/>
      <c r="N23" s="140"/>
      <c r="O23" s="613">
        <f t="shared" si="6"/>
        <v>46022</v>
      </c>
      <c r="P23" s="141" t="str">
        <f t="shared" si="5"/>
        <v>12</v>
      </c>
      <c r="Q23" s="615">
        <f>SUMIFS(COPY!$AT$2:$AT$1000,COPY!$AQ$2:$AQ$1000,'REKAP PAJAK'!P23,COPY!$AS$2:$AS$1000,'REKAP PAJAK'!Q$11)</f>
        <v>0</v>
      </c>
      <c r="R23" s="615">
        <f>SUMIFS(COPY!$AT$2:$AT$1000,COPY!$AQ$2:$AQ$1000,'REKAP PAJAK'!$P23,COPY!$AS$2:$AS$1000,'REKAP PAJAK'!R$11)</f>
        <v>0</v>
      </c>
      <c r="S23" s="615">
        <f>SUMIFS(COPY!$AT$2:$AT$1000,COPY!$AQ$2:$AQ$1000,'REKAP PAJAK'!$P23,COPY!$AS$2:$AS$1000,'REKAP PAJAK'!S$11)</f>
        <v>0</v>
      </c>
    </row>
    <row r="24" spans="2:19" s="373" customFormat="1" ht="15" customHeight="1" thickBot="1" x14ac:dyDescent="0.25">
      <c r="B24" s="789" t="s">
        <v>77</v>
      </c>
      <c r="C24" s="790"/>
      <c r="D24" s="790"/>
      <c r="E24" s="622">
        <f>SUM(E20:E23)</f>
        <v>0</v>
      </c>
      <c r="F24" s="623">
        <f>SUM(F17:F23)</f>
        <v>1312080</v>
      </c>
      <c r="G24" s="623">
        <f>SUM(G20:G23)</f>
        <v>0</v>
      </c>
      <c r="H24" s="623">
        <f>SUM(H19:H23)</f>
        <v>178920</v>
      </c>
      <c r="I24" s="623">
        <f>SUM(I20:I23)</f>
        <v>215811.40000000002</v>
      </c>
      <c r="J24" s="623">
        <f>SUM(J19:J23)</f>
        <v>215811.40000000002</v>
      </c>
      <c r="K24" s="791"/>
      <c r="L24" s="791"/>
      <c r="M24" s="791"/>
      <c r="N24" s="370"/>
      <c r="O24" s="371"/>
      <c r="P24" s="372">
        <f>O24/'BKU 1'!Q9</f>
        <v>0</v>
      </c>
    </row>
    <row r="25" spans="2:19" s="373" customFormat="1" ht="15" customHeight="1" thickBot="1" x14ac:dyDescent="0.25">
      <c r="B25" s="789" t="s">
        <v>459</v>
      </c>
      <c r="C25" s="790"/>
      <c r="D25" s="790"/>
      <c r="E25" s="792">
        <f>F24-E24</f>
        <v>1312080</v>
      </c>
      <c r="F25" s="792"/>
      <c r="G25" s="791">
        <f>H24-G24</f>
        <v>178920</v>
      </c>
      <c r="H25" s="791"/>
      <c r="I25" s="791">
        <f>J24-I24</f>
        <v>0</v>
      </c>
      <c r="J25" s="791"/>
      <c r="K25" s="791">
        <f>I25+G25+E25</f>
        <v>1491000</v>
      </c>
      <c r="L25" s="791"/>
      <c r="M25" s="793"/>
      <c r="N25" s="370"/>
      <c r="O25" s="371"/>
      <c r="P25" s="372"/>
    </row>
    <row r="26" spans="2:19" s="373" customFormat="1" ht="15" customHeight="1" x14ac:dyDescent="0.2">
      <c r="B26" s="375"/>
      <c r="C26" s="375"/>
      <c r="D26" s="375"/>
      <c r="E26" s="375"/>
      <c r="F26" s="376"/>
      <c r="G26" s="376"/>
      <c r="H26" s="376"/>
      <c r="I26" s="376"/>
      <c r="J26" s="376"/>
      <c r="K26" s="376"/>
      <c r="L26" s="376"/>
      <c r="M26" s="376"/>
      <c r="N26" s="370"/>
      <c r="O26" s="371"/>
      <c r="P26" s="372"/>
    </row>
    <row r="27" spans="2:19" s="94" customFormat="1" ht="12.75" x14ac:dyDescent="0.2">
      <c r="B27" s="786" t="s">
        <v>43</v>
      </c>
      <c r="C27" s="786"/>
      <c r="D27" s="786"/>
      <c r="E27" s="97"/>
      <c r="G27" s="94" t="s">
        <v>44</v>
      </c>
      <c r="K27" s="94" t="str">
        <f>'BKU 1'!L354</f>
        <v>Dibuat Oleh ;</v>
      </c>
    </row>
    <row r="28" spans="2:19" s="94" customFormat="1" ht="12.75" x14ac:dyDescent="0.2">
      <c r="B28" s="788" t="str">
        <f>'BKU 1'!C355</f>
        <v>Kepala Sekolah SDN 1 SIDODADI</v>
      </c>
      <c r="C28" s="788"/>
      <c r="D28" s="788"/>
      <c r="E28" s="377"/>
      <c r="G28" s="94" t="s">
        <v>45</v>
      </c>
      <c r="K28" s="94" t="str">
        <f>'BKU 1'!L355</f>
        <v>Bendahara Pembangunan</v>
      </c>
    </row>
    <row r="29" spans="2:19" s="94" customFormat="1" ht="12.75" x14ac:dyDescent="0.2">
      <c r="B29" s="788"/>
      <c r="C29" s="788"/>
      <c r="D29" s="788"/>
      <c r="E29" s="377"/>
    </row>
    <row r="30" spans="2:19" s="94" customFormat="1" ht="12.75" x14ac:dyDescent="0.2">
      <c r="B30" s="786"/>
      <c r="C30" s="786"/>
      <c r="D30" s="786"/>
      <c r="E30" s="97"/>
    </row>
    <row r="31" spans="2:19" s="94" customFormat="1" ht="12.75" x14ac:dyDescent="0.2">
      <c r="B31" s="97"/>
      <c r="C31" s="97"/>
      <c r="D31" s="97"/>
      <c r="E31" s="97"/>
      <c r="G31" s="97"/>
      <c r="I31" s="97"/>
      <c r="K31" s="97"/>
      <c r="O31" s="146"/>
    </row>
    <row r="32" spans="2:19" s="94" customFormat="1" ht="12.75" x14ac:dyDescent="0.2">
      <c r="B32" s="97"/>
      <c r="C32" s="97"/>
      <c r="D32" s="97"/>
      <c r="E32" s="97"/>
      <c r="G32" s="97"/>
      <c r="I32" s="97"/>
      <c r="K32" s="97"/>
    </row>
    <row r="33" spans="2:25" s="94" customFormat="1" ht="12.75" x14ac:dyDescent="0.2">
      <c r="B33" s="786"/>
      <c r="C33" s="786"/>
      <c r="D33" s="786"/>
      <c r="E33" s="97"/>
    </row>
    <row r="34" spans="2:25" s="94" customFormat="1" ht="12.75" x14ac:dyDescent="0.2">
      <c r="B34" s="787" t="str">
        <f>'BKU 1'!C360</f>
        <v>MELIA FITRIANI, S.Pd.SD</v>
      </c>
      <c r="C34" s="787"/>
      <c r="D34" s="787"/>
      <c r="E34" s="147"/>
      <c r="G34" s="148" t="str">
        <f>'BKU 1'!H360</f>
        <v>HARTATIK</v>
      </c>
      <c r="I34" s="148"/>
      <c r="K34" s="149" t="str">
        <f>'BKU 1'!L360</f>
        <v>ARIF NUR UDIN, S.Pd.SD</v>
      </c>
    </row>
    <row r="35" spans="2:25" s="94" customFormat="1" ht="12.75" x14ac:dyDescent="0.2">
      <c r="B35" s="786" t="str">
        <f>'BKU 1'!C361</f>
        <v>NIP. 19850619 200904 2 000</v>
      </c>
      <c r="C35" s="786"/>
      <c r="D35" s="786"/>
      <c r="E35" s="97"/>
      <c r="F35" s="150"/>
      <c r="G35" s="150"/>
      <c r="I35" s="150"/>
      <c r="K35" s="94" t="str">
        <f>'BKU 1'!L361</f>
        <v>NIP. 19840719 200903 1 002</v>
      </c>
    </row>
    <row r="37" spans="2:25" x14ac:dyDescent="0.2">
      <c r="X37" s="75">
        <f>COUNTIF(COPY!AP1:$AP$1000,1)</f>
        <v>58</v>
      </c>
    </row>
    <row r="39" spans="2:25" x14ac:dyDescent="0.2">
      <c r="E39" s="75" t="s">
        <v>460</v>
      </c>
      <c r="W39" s="75" t="str">
        <f t="shared" ref="W39:W102" si="7">IF(Y39&lt;0,"BKK."&amp;X39,"")</f>
        <v>BKK.1</v>
      </c>
      <c r="X39" s="75">
        <v>1</v>
      </c>
      <c r="Y39" s="75">
        <f>X39-$X$37</f>
        <v>-57</v>
      </c>
    </row>
    <row r="40" spans="2:25" x14ac:dyDescent="0.2">
      <c r="W40" s="75" t="str">
        <f t="shared" si="7"/>
        <v>BKK.2</v>
      </c>
      <c r="X40" s="75">
        <f>X39+1</f>
        <v>2</v>
      </c>
      <c r="Y40" s="75">
        <f t="shared" ref="Y40:Y103" si="8">X40-$X$37</f>
        <v>-56</v>
      </c>
    </row>
    <row r="41" spans="2:25" x14ac:dyDescent="0.2">
      <c r="W41" s="75" t="str">
        <f t="shared" si="7"/>
        <v>BKK.3</v>
      </c>
      <c r="X41" s="75">
        <f t="shared" ref="X41:X104" si="9">X40+1</f>
        <v>3</v>
      </c>
      <c r="Y41" s="75">
        <f t="shared" si="8"/>
        <v>-55</v>
      </c>
    </row>
    <row r="42" spans="2:25" x14ac:dyDescent="0.2">
      <c r="W42" s="75" t="str">
        <f t="shared" si="7"/>
        <v>BKK.4</v>
      </c>
      <c r="X42" s="75">
        <f t="shared" si="9"/>
        <v>4</v>
      </c>
      <c r="Y42" s="75">
        <f t="shared" si="8"/>
        <v>-54</v>
      </c>
    </row>
    <row r="43" spans="2:25" x14ac:dyDescent="0.2">
      <c r="W43" s="75" t="str">
        <f t="shared" si="7"/>
        <v>BKK.5</v>
      </c>
      <c r="X43" s="75">
        <f t="shared" si="9"/>
        <v>5</v>
      </c>
      <c r="Y43" s="75">
        <f t="shared" si="8"/>
        <v>-53</v>
      </c>
    </row>
    <row r="44" spans="2:25" x14ac:dyDescent="0.2">
      <c r="H44" s="75" t="e">
        <f>+#REF!*3%</f>
        <v>#REF!</v>
      </c>
      <c r="J44" s="75" t="e">
        <f>+#REF!*3%</f>
        <v>#REF!</v>
      </c>
      <c r="W44" s="75" t="str">
        <f t="shared" si="7"/>
        <v>BKK.6</v>
      </c>
      <c r="X44" s="75">
        <f t="shared" si="9"/>
        <v>6</v>
      </c>
      <c r="Y44" s="75">
        <f t="shared" si="8"/>
        <v>-52</v>
      </c>
    </row>
    <row r="45" spans="2:25" x14ac:dyDescent="0.2">
      <c r="W45" s="75" t="str">
        <f t="shared" si="7"/>
        <v>BKK.7</v>
      </c>
      <c r="X45" s="75">
        <f t="shared" si="9"/>
        <v>7</v>
      </c>
      <c r="Y45" s="75">
        <f t="shared" si="8"/>
        <v>-51</v>
      </c>
    </row>
    <row r="46" spans="2:25" x14ac:dyDescent="0.2">
      <c r="W46" s="75" t="str">
        <f t="shared" si="7"/>
        <v>BKK.8</v>
      </c>
      <c r="X46" s="75">
        <f t="shared" si="9"/>
        <v>8</v>
      </c>
      <c r="Y46" s="75">
        <f t="shared" si="8"/>
        <v>-50</v>
      </c>
    </row>
    <row r="47" spans="2:25" x14ac:dyDescent="0.2">
      <c r="W47" s="75" t="str">
        <f t="shared" si="7"/>
        <v>BKK.9</v>
      </c>
      <c r="X47" s="75">
        <f t="shared" si="9"/>
        <v>9</v>
      </c>
      <c r="Y47" s="75">
        <f t="shared" si="8"/>
        <v>-49</v>
      </c>
    </row>
    <row r="48" spans="2:25" x14ac:dyDescent="0.2">
      <c r="W48" s="75" t="str">
        <f t="shared" si="7"/>
        <v>BKK.10</v>
      </c>
      <c r="X48" s="75">
        <f t="shared" si="9"/>
        <v>10</v>
      </c>
      <c r="Y48" s="75">
        <f t="shared" si="8"/>
        <v>-48</v>
      </c>
    </row>
    <row r="49" spans="23:25" x14ac:dyDescent="0.2">
      <c r="W49" s="75" t="str">
        <f t="shared" si="7"/>
        <v>BKK.11</v>
      </c>
      <c r="X49" s="75">
        <f t="shared" si="9"/>
        <v>11</v>
      </c>
      <c r="Y49" s="75">
        <f t="shared" si="8"/>
        <v>-47</v>
      </c>
    </row>
    <row r="50" spans="23:25" x14ac:dyDescent="0.2">
      <c r="W50" s="75" t="str">
        <f t="shared" si="7"/>
        <v>BKK.12</v>
      </c>
      <c r="X50" s="75">
        <f t="shared" si="9"/>
        <v>12</v>
      </c>
      <c r="Y50" s="75">
        <f t="shared" si="8"/>
        <v>-46</v>
      </c>
    </row>
    <row r="51" spans="23:25" x14ac:dyDescent="0.2">
      <c r="W51" s="75" t="str">
        <f t="shared" si="7"/>
        <v>BKK.13</v>
      </c>
      <c r="X51" s="75">
        <f t="shared" si="9"/>
        <v>13</v>
      </c>
      <c r="Y51" s="75">
        <f t="shared" si="8"/>
        <v>-45</v>
      </c>
    </row>
    <row r="52" spans="23:25" x14ac:dyDescent="0.2">
      <c r="W52" s="75" t="str">
        <f t="shared" si="7"/>
        <v>BKK.14</v>
      </c>
      <c r="X52" s="75">
        <f t="shared" si="9"/>
        <v>14</v>
      </c>
      <c r="Y52" s="75">
        <f t="shared" si="8"/>
        <v>-44</v>
      </c>
    </row>
    <row r="53" spans="23:25" x14ac:dyDescent="0.2">
      <c r="W53" s="75" t="str">
        <f t="shared" si="7"/>
        <v>BKK.15</v>
      </c>
      <c r="X53" s="75">
        <f t="shared" si="9"/>
        <v>15</v>
      </c>
      <c r="Y53" s="75">
        <f t="shared" si="8"/>
        <v>-43</v>
      </c>
    </row>
    <row r="54" spans="23:25" x14ac:dyDescent="0.2">
      <c r="W54" s="75" t="str">
        <f t="shared" si="7"/>
        <v>BKK.16</v>
      </c>
      <c r="X54" s="75">
        <f t="shared" si="9"/>
        <v>16</v>
      </c>
      <c r="Y54" s="75">
        <f t="shared" si="8"/>
        <v>-42</v>
      </c>
    </row>
    <row r="55" spans="23:25" x14ac:dyDescent="0.2">
      <c r="W55" s="75" t="str">
        <f t="shared" si="7"/>
        <v>BKK.17</v>
      </c>
      <c r="X55" s="75">
        <f t="shared" si="9"/>
        <v>17</v>
      </c>
      <c r="Y55" s="75">
        <f t="shared" si="8"/>
        <v>-41</v>
      </c>
    </row>
    <row r="56" spans="23:25" x14ac:dyDescent="0.2">
      <c r="W56" s="75" t="str">
        <f t="shared" si="7"/>
        <v>BKK.18</v>
      </c>
      <c r="X56" s="75">
        <f t="shared" si="9"/>
        <v>18</v>
      </c>
      <c r="Y56" s="75">
        <f t="shared" si="8"/>
        <v>-40</v>
      </c>
    </row>
    <row r="57" spans="23:25" x14ac:dyDescent="0.2">
      <c r="W57" s="75" t="str">
        <f t="shared" si="7"/>
        <v>BKK.19</v>
      </c>
      <c r="X57" s="75">
        <f t="shared" si="9"/>
        <v>19</v>
      </c>
      <c r="Y57" s="75">
        <f t="shared" si="8"/>
        <v>-39</v>
      </c>
    </row>
    <row r="58" spans="23:25" x14ac:dyDescent="0.2">
      <c r="W58" s="75" t="str">
        <f t="shared" si="7"/>
        <v>BKK.20</v>
      </c>
      <c r="X58" s="75">
        <f t="shared" si="9"/>
        <v>20</v>
      </c>
      <c r="Y58" s="75">
        <f t="shared" si="8"/>
        <v>-38</v>
      </c>
    </row>
    <row r="59" spans="23:25" x14ac:dyDescent="0.2">
      <c r="W59" s="75" t="str">
        <f t="shared" si="7"/>
        <v>BKK.21</v>
      </c>
      <c r="X59" s="75">
        <f t="shared" si="9"/>
        <v>21</v>
      </c>
      <c r="Y59" s="75">
        <f t="shared" si="8"/>
        <v>-37</v>
      </c>
    </row>
    <row r="60" spans="23:25" x14ac:dyDescent="0.2">
      <c r="W60" s="75" t="str">
        <f t="shared" si="7"/>
        <v>BKK.22</v>
      </c>
      <c r="X60" s="75">
        <f t="shared" si="9"/>
        <v>22</v>
      </c>
      <c r="Y60" s="75">
        <f t="shared" si="8"/>
        <v>-36</v>
      </c>
    </row>
    <row r="61" spans="23:25" x14ac:dyDescent="0.2">
      <c r="W61" s="75" t="str">
        <f t="shared" si="7"/>
        <v>BKK.23</v>
      </c>
      <c r="X61" s="75">
        <f t="shared" si="9"/>
        <v>23</v>
      </c>
      <c r="Y61" s="75">
        <f t="shared" si="8"/>
        <v>-35</v>
      </c>
    </row>
    <row r="62" spans="23:25" x14ac:dyDescent="0.2">
      <c r="W62" s="75" t="str">
        <f t="shared" si="7"/>
        <v>BKK.24</v>
      </c>
      <c r="X62" s="75">
        <f t="shared" si="9"/>
        <v>24</v>
      </c>
      <c r="Y62" s="75">
        <f t="shared" si="8"/>
        <v>-34</v>
      </c>
    </row>
    <row r="63" spans="23:25" x14ac:dyDescent="0.2">
      <c r="W63" s="75" t="str">
        <f t="shared" si="7"/>
        <v>BKK.25</v>
      </c>
      <c r="X63" s="75">
        <f t="shared" si="9"/>
        <v>25</v>
      </c>
      <c r="Y63" s="75">
        <f t="shared" si="8"/>
        <v>-33</v>
      </c>
    </row>
    <row r="64" spans="23:25" x14ac:dyDescent="0.2">
      <c r="W64" s="75" t="str">
        <f t="shared" si="7"/>
        <v>BKK.26</v>
      </c>
      <c r="X64" s="75">
        <f t="shared" si="9"/>
        <v>26</v>
      </c>
      <c r="Y64" s="75">
        <f t="shared" si="8"/>
        <v>-32</v>
      </c>
    </row>
    <row r="65" spans="23:25" x14ac:dyDescent="0.2">
      <c r="W65" s="75" t="str">
        <f t="shared" si="7"/>
        <v>BKK.27</v>
      </c>
      <c r="X65" s="75">
        <f t="shared" si="9"/>
        <v>27</v>
      </c>
      <c r="Y65" s="75">
        <f t="shared" si="8"/>
        <v>-31</v>
      </c>
    </row>
    <row r="66" spans="23:25" x14ac:dyDescent="0.2">
      <c r="W66" s="75" t="str">
        <f t="shared" si="7"/>
        <v>BKK.28</v>
      </c>
      <c r="X66" s="75">
        <f t="shared" si="9"/>
        <v>28</v>
      </c>
      <c r="Y66" s="75">
        <f t="shared" si="8"/>
        <v>-30</v>
      </c>
    </row>
    <row r="67" spans="23:25" x14ac:dyDescent="0.2">
      <c r="W67" s="75" t="str">
        <f t="shared" si="7"/>
        <v>BKK.29</v>
      </c>
      <c r="X67" s="75">
        <f t="shared" si="9"/>
        <v>29</v>
      </c>
      <c r="Y67" s="75">
        <f t="shared" si="8"/>
        <v>-29</v>
      </c>
    </row>
    <row r="68" spans="23:25" x14ac:dyDescent="0.2">
      <c r="W68" s="75" t="str">
        <f t="shared" si="7"/>
        <v>BKK.30</v>
      </c>
      <c r="X68" s="75">
        <f t="shared" si="9"/>
        <v>30</v>
      </c>
      <c r="Y68" s="75">
        <f t="shared" si="8"/>
        <v>-28</v>
      </c>
    </row>
    <row r="69" spans="23:25" x14ac:dyDescent="0.2">
      <c r="W69" s="75" t="str">
        <f t="shared" si="7"/>
        <v>BKK.31</v>
      </c>
      <c r="X69" s="75">
        <f t="shared" si="9"/>
        <v>31</v>
      </c>
      <c r="Y69" s="75">
        <f t="shared" si="8"/>
        <v>-27</v>
      </c>
    </row>
    <row r="70" spans="23:25" x14ac:dyDescent="0.2">
      <c r="W70" s="75" t="str">
        <f t="shared" si="7"/>
        <v>BKK.32</v>
      </c>
      <c r="X70" s="75">
        <f t="shared" si="9"/>
        <v>32</v>
      </c>
      <c r="Y70" s="75">
        <f t="shared" si="8"/>
        <v>-26</v>
      </c>
    </row>
    <row r="71" spans="23:25" x14ac:dyDescent="0.2">
      <c r="W71" s="75" t="str">
        <f t="shared" si="7"/>
        <v>BKK.33</v>
      </c>
      <c r="X71" s="75">
        <f t="shared" si="9"/>
        <v>33</v>
      </c>
      <c r="Y71" s="75">
        <f t="shared" si="8"/>
        <v>-25</v>
      </c>
    </row>
    <row r="72" spans="23:25" x14ac:dyDescent="0.2">
      <c r="W72" s="75" t="str">
        <f t="shared" si="7"/>
        <v>BKK.34</v>
      </c>
      <c r="X72" s="75">
        <f t="shared" si="9"/>
        <v>34</v>
      </c>
      <c r="Y72" s="75">
        <f t="shared" si="8"/>
        <v>-24</v>
      </c>
    </row>
    <row r="73" spans="23:25" x14ac:dyDescent="0.2">
      <c r="W73" s="75" t="str">
        <f t="shared" si="7"/>
        <v>BKK.35</v>
      </c>
      <c r="X73" s="75">
        <f t="shared" si="9"/>
        <v>35</v>
      </c>
      <c r="Y73" s="75">
        <f t="shared" si="8"/>
        <v>-23</v>
      </c>
    </row>
    <row r="74" spans="23:25" x14ac:dyDescent="0.2">
      <c r="W74" s="75" t="str">
        <f t="shared" si="7"/>
        <v>BKK.36</v>
      </c>
      <c r="X74" s="75">
        <f t="shared" si="9"/>
        <v>36</v>
      </c>
      <c r="Y74" s="75">
        <f t="shared" si="8"/>
        <v>-22</v>
      </c>
    </row>
    <row r="75" spans="23:25" x14ac:dyDescent="0.2">
      <c r="W75" s="75" t="str">
        <f t="shared" si="7"/>
        <v>BKK.37</v>
      </c>
      <c r="X75" s="75">
        <f t="shared" si="9"/>
        <v>37</v>
      </c>
      <c r="Y75" s="75">
        <f t="shared" si="8"/>
        <v>-21</v>
      </c>
    </row>
    <row r="76" spans="23:25" x14ac:dyDescent="0.2">
      <c r="W76" s="75" t="str">
        <f t="shared" si="7"/>
        <v>BKK.38</v>
      </c>
      <c r="X76" s="75">
        <f t="shared" si="9"/>
        <v>38</v>
      </c>
      <c r="Y76" s="75">
        <f t="shared" si="8"/>
        <v>-20</v>
      </c>
    </row>
    <row r="77" spans="23:25" x14ac:dyDescent="0.2">
      <c r="W77" s="75" t="str">
        <f t="shared" si="7"/>
        <v>BKK.39</v>
      </c>
      <c r="X77" s="75">
        <f t="shared" si="9"/>
        <v>39</v>
      </c>
      <c r="Y77" s="75">
        <f t="shared" si="8"/>
        <v>-19</v>
      </c>
    </row>
    <row r="78" spans="23:25" x14ac:dyDescent="0.2">
      <c r="W78" s="75" t="str">
        <f t="shared" si="7"/>
        <v>BKK.40</v>
      </c>
      <c r="X78" s="75">
        <f t="shared" si="9"/>
        <v>40</v>
      </c>
      <c r="Y78" s="75">
        <f t="shared" si="8"/>
        <v>-18</v>
      </c>
    </row>
    <row r="79" spans="23:25" x14ac:dyDescent="0.2">
      <c r="W79" s="75" t="str">
        <f t="shared" si="7"/>
        <v>BKK.41</v>
      </c>
      <c r="X79" s="75">
        <f t="shared" si="9"/>
        <v>41</v>
      </c>
      <c r="Y79" s="75">
        <f t="shared" si="8"/>
        <v>-17</v>
      </c>
    </row>
    <row r="80" spans="23:25" x14ac:dyDescent="0.2">
      <c r="W80" s="75" t="str">
        <f t="shared" si="7"/>
        <v>BKK.42</v>
      </c>
      <c r="X80" s="75">
        <f t="shared" si="9"/>
        <v>42</v>
      </c>
      <c r="Y80" s="75">
        <f t="shared" si="8"/>
        <v>-16</v>
      </c>
    </row>
    <row r="81" spans="23:25" x14ac:dyDescent="0.2">
      <c r="W81" s="75" t="str">
        <f t="shared" si="7"/>
        <v>BKK.43</v>
      </c>
      <c r="X81" s="75">
        <f t="shared" si="9"/>
        <v>43</v>
      </c>
      <c r="Y81" s="75">
        <f t="shared" si="8"/>
        <v>-15</v>
      </c>
    </row>
    <row r="82" spans="23:25" x14ac:dyDescent="0.2">
      <c r="W82" s="75" t="str">
        <f t="shared" si="7"/>
        <v>BKK.44</v>
      </c>
      <c r="X82" s="75">
        <f t="shared" si="9"/>
        <v>44</v>
      </c>
      <c r="Y82" s="75">
        <f t="shared" si="8"/>
        <v>-14</v>
      </c>
    </row>
    <row r="83" spans="23:25" x14ac:dyDescent="0.2">
      <c r="W83" s="75" t="str">
        <f t="shared" si="7"/>
        <v>BKK.45</v>
      </c>
      <c r="X83" s="75">
        <f t="shared" si="9"/>
        <v>45</v>
      </c>
      <c r="Y83" s="75">
        <f t="shared" si="8"/>
        <v>-13</v>
      </c>
    </row>
    <row r="84" spans="23:25" x14ac:dyDescent="0.2">
      <c r="W84" s="75" t="str">
        <f t="shared" si="7"/>
        <v>BKK.46</v>
      </c>
      <c r="X84" s="75">
        <f t="shared" si="9"/>
        <v>46</v>
      </c>
      <c r="Y84" s="75">
        <f t="shared" si="8"/>
        <v>-12</v>
      </c>
    </row>
    <row r="85" spans="23:25" x14ac:dyDescent="0.2">
      <c r="W85" s="75" t="str">
        <f t="shared" si="7"/>
        <v>BKK.47</v>
      </c>
      <c r="X85" s="75">
        <f t="shared" si="9"/>
        <v>47</v>
      </c>
      <c r="Y85" s="75">
        <f t="shared" si="8"/>
        <v>-11</v>
      </c>
    </row>
    <row r="86" spans="23:25" x14ac:dyDescent="0.2">
      <c r="W86" s="75" t="str">
        <f t="shared" si="7"/>
        <v>BKK.48</v>
      </c>
      <c r="X86" s="75">
        <f t="shared" si="9"/>
        <v>48</v>
      </c>
      <c r="Y86" s="75">
        <f t="shared" si="8"/>
        <v>-10</v>
      </c>
    </row>
    <row r="87" spans="23:25" x14ac:dyDescent="0.2">
      <c r="W87" s="75" t="str">
        <f t="shared" si="7"/>
        <v>BKK.49</v>
      </c>
      <c r="X87" s="75">
        <f t="shared" si="9"/>
        <v>49</v>
      </c>
      <c r="Y87" s="75">
        <f t="shared" si="8"/>
        <v>-9</v>
      </c>
    </row>
    <row r="88" spans="23:25" x14ac:dyDescent="0.2">
      <c r="W88" s="75" t="str">
        <f t="shared" si="7"/>
        <v>BKK.50</v>
      </c>
      <c r="X88" s="75">
        <f t="shared" si="9"/>
        <v>50</v>
      </c>
      <c r="Y88" s="75">
        <f t="shared" si="8"/>
        <v>-8</v>
      </c>
    </row>
    <row r="89" spans="23:25" x14ac:dyDescent="0.2">
      <c r="W89" s="75" t="str">
        <f t="shared" si="7"/>
        <v>BKK.51</v>
      </c>
      <c r="X89" s="75">
        <f t="shared" si="9"/>
        <v>51</v>
      </c>
      <c r="Y89" s="75">
        <f t="shared" si="8"/>
        <v>-7</v>
      </c>
    </row>
    <row r="90" spans="23:25" x14ac:dyDescent="0.2">
      <c r="W90" s="75" t="str">
        <f t="shared" si="7"/>
        <v>BKK.52</v>
      </c>
      <c r="X90" s="75">
        <f t="shared" si="9"/>
        <v>52</v>
      </c>
      <c r="Y90" s="75">
        <f t="shared" si="8"/>
        <v>-6</v>
      </c>
    </row>
    <row r="91" spans="23:25" x14ac:dyDescent="0.2">
      <c r="W91" s="75" t="str">
        <f t="shared" si="7"/>
        <v>BKK.53</v>
      </c>
      <c r="X91" s="75">
        <f t="shared" si="9"/>
        <v>53</v>
      </c>
      <c r="Y91" s="75">
        <f t="shared" si="8"/>
        <v>-5</v>
      </c>
    </row>
    <row r="92" spans="23:25" x14ac:dyDescent="0.2">
      <c r="W92" s="75" t="str">
        <f t="shared" si="7"/>
        <v>BKK.54</v>
      </c>
      <c r="X92" s="75">
        <f t="shared" si="9"/>
        <v>54</v>
      </c>
      <c r="Y92" s="75">
        <f t="shared" si="8"/>
        <v>-4</v>
      </c>
    </row>
    <row r="93" spans="23:25" x14ac:dyDescent="0.2">
      <c r="W93" s="75" t="str">
        <f t="shared" si="7"/>
        <v>BKK.55</v>
      </c>
      <c r="X93" s="75">
        <f t="shared" si="9"/>
        <v>55</v>
      </c>
      <c r="Y93" s="75">
        <f t="shared" si="8"/>
        <v>-3</v>
      </c>
    </row>
    <row r="94" spans="23:25" x14ac:dyDescent="0.2">
      <c r="W94" s="75" t="str">
        <f t="shared" si="7"/>
        <v>BKK.56</v>
      </c>
      <c r="X94" s="75">
        <f t="shared" si="9"/>
        <v>56</v>
      </c>
      <c r="Y94" s="75">
        <f t="shared" si="8"/>
        <v>-2</v>
      </c>
    </row>
    <row r="95" spans="23:25" x14ac:dyDescent="0.2">
      <c r="W95" s="75" t="str">
        <f t="shared" si="7"/>
        <v>BKK.57</v>
      </c>
      <c r="X95" s="75">
        <f t="shared" si="9"/>
        <v>57</v>
      </c>
      <c r="Y95" s="75">
        <f t="shared" si="8"/>
        <v>-1</v>
      </c>
    </row>
    <row r="96" spans="23:25" x14ac:dyDescent="0.2">
      <c r="W96" s="75" t="str">
        <f t="shared" si="7"/>
        <v/>
      </c>
      <c r="X96" s="75">
        <f t="shared" si="9"/>
        <v>58</v>
      </c>
      <c r="Y96" s="75">
        <f t="shared" si="8"/>
        <v>0</v>
      </c>
    </row>
    <row r="97" spans="23:25" x14ac:dyDescent="0.2">
      <c r="W97" s="75" t="str">
        <f t="shared" si="7"/>
        <v/>
      </c>
      <c r="X97" s="75">
        <f t="shared" si="9"/>
        <v>59</v>
      </c>
      <c r="Y97" s="75">
        <f t="shared" si="8"/>
        <v>1</v>
      </c>
    </row>
    <row r="98" spans="23:25" x14ac:dyDescent="0.2">
      <c r="W98" s="75" t="str">
        <f t="shared" si="7"/>
        <v/>
      </c>
      <c r="X98" s="75">
        <f t="shared" si="9"/>
        <v>60</v>
      </c>
      <c r="Y98" s="75">
        <f t="shared" si="8"/>
        <v>2</v>
      </c>
    </row>
    <row r="99" spans="23:25" x14ac:dyDescent="0.2">
      <c r="W99" s="75" t="str">
        <f t="shared" si="7"/>
        <v/>
      </c>
      <c r="X99" s="75">
        <f t="shared" si="9"/>
        <v>61</v>
      </c>
      <c r="Y99" s="75">
        <f t="shared" si="8"/>
        <v>3</v>
      </c>
    </row>
    <row r="100" spans="23:25" x14ac:dyDescent="0.2">
      <c r="W100" s="75" t="str">
        <f t="shared" si="7"/>
        <v/>
      </c>
      <c r="X100" s="75">
        <f t="shared" si="9"/>
        <v>62</v>
      </c>
      <c r="Y100" s="75">
        <f t="shared" si="8"/>
        <v>4</v>
      </c>
    </row>
    <row r="101" spans="23:25" x14ac:dyDescent="0.2">
      <c r="W101" s="75" t="str">
        <f t="shared" si="7"/>
        <v/>
      </c>
      <c r="X101" s="75">
        <f t="shared" si="9"/>
        <v>63</v>
      </c>
      <c r="Y101" s="75">
        <f t="shared" si="8"/>
        <v>5</v>
      </c>
    </row>
    <row r="102" spans="23:25" x14ac:dyDescent="0.2">
      <c r="W102" s="75" t="str">
        <f t="shared" si="7"/>
        <v/>
      </c>
      <c r="X102" s="75">
        <f t="shared" si="9"/>
        <v>64</v>
      </c>
      <c r="Y102" s="75">
        <f t="shared" si="8"/>
        <v>6</v>
      </c>
    </row>
    <row r="103" spans="23:25" x14ac:dyDescent="0.2">
      <c r="W103" s="75" t="str">
        <f t="shared" ref="W103:W166" si="10">IF(Y103&lt;0,"BKK."&amp;X103,"")</f>
        <v/>
      </c>
      <c r="X103" s="75">
        <f t="shared" si="9"/>
        <v>65</v>
      </c>
      <c r="Y103" s="75">
        <f t="shared" si="8"/>
        <v>7</v>
      </c>
    </row>
    <row r="104" spans="23:25" x14ac:dyDescent="0.2">
      <c r="W104" s="75" t="str">
        <f t="shared" si="10"/>
        <v/>
      </c>
      <c r="X104" s="75">
        <f t="shared" si="9"/>
        <v>66</v>
      </c>
      <c r="Y104" s="75">
        <f t="shared" ref="Y104:Y167" si="11">X104-$X$37</f>
        <v>8</v>
      </c>
    </row>
    <row r="105" spans="23:25" x14ac:dyDescent="0.2">
      <c r="W105" s="75" t="str">
        <f t="shared" si="10"/>
        <v/>
      </c>
      <c r="X105" s="75">
        <f t="shared" ref="X105:X168" si="12">X104+1</f>
        <v>67</v>
      </c>
      <c r="Y105" s="75">
        <f t="shared" si="11"/>
        <v>9</v>
      </c>
    </row>
    <row r="106" spans="23:25" x14ac:dyDescent="0.2">
      <c r="W106" s="75" t="str">
        <f t="shared" si="10"/>
        <v/>
      </c>
      <c r="X106" s="75">
        <f t="shared" si="12"/>
        <v>68</v>
      </c>
      <c r="Y106" s="75">
        <f t="shared" si="11"/>
        <v>10</v>
      </c>
    </row>
    <row r="107" spans="23:25" x14ac:dyDescent="0.2">
      <c r="W107" s="75" t="str">
        <f t="shared" si="10"/>
        <v/>
      </c>
      <c r="X107" s="75">
        <f t="shared" si="12"/>
        <v>69</v>
      </c>
      <c r="Y107" s="75">
        <f t="shared" si="11"/>
        <v>11</v>
      </c>
    </row>
    <row r="108" spans="23:25" x14ac:dyDescent="0.2">
      <c r="W108" s="75" t="str">
        <f t="shared" si="10"/>
        <v/>
      </c>
      <c r="X108" s="75">
        <f t="shared" si="12"/>
        <v>70</v>
      </c>
      <c r="Y108" s="75">
        <f t="shared" si="11"/>
        <v>12</v>
      </c>
    </row>
    <row r="109" spans="23:25" x14ac:dyDescent="0.2">
      <c r="W109" s="75" t="str">
        <f t="shared" si="10"/>
        <v/>
      </c>
      <c r="X109" s="75">
        <f t="shared" si="12"/>
        <v>71</v>
      </c>
      <c r="Y109" s="75">
        <f t="shared" si="11"/>
        <v>13</v>
      </c>
    </row>
    <row r="110" spans="23:25" x14ac:dyDescent="0.2">
      <c r="W110" s="75" t="str">
        <f t="shared" si="10"/>
        <v/>
      </c>
      <c r="X110" s="75">
        <f t="shared" si="12"/>
        <v>72</v>
      </c>
      <c r="Y110" s="75">
        <f t="shared" si="11"/>
        <v>14</v>
      </c>
    </row>
    <row r="111" spans="23:25" x14ac:dyDescent="0.2">
      <c r="W111" s="75" t="str">
        <f t="shared" si="10"/>
        <v/>
      </c>
      <c r="X111" s="75">
        <f t="shared" si="12"/>
        <v>73</v>
      </c>
      <c r="Y111" s="75">
        <f t="shared" si="11"/>
        <v>15</v>
      </c>
    </row>
    <row r="112" spans="23:25" x14ac:dyDescent="0.2">
      <c r="W112" s="75" t="str">
        <f t="shared" si="10"/>
        <v/>
      </c>
      <c r="X112" s="75">
        <f t="shared" si="12"/>
        <v>74</v>
      </c>
      <c r="Y112" s="75">
        <f t="shared" si="11"/>
        <v>16</v>
      </c>
    </row>
    <row r="113" spans="23:25" x14ac:dyDescent="0.2">
      <c r="W113" s="75" t="str">
        <f t="shared" si="10"/>
        <v/>
      </c>
      <c r="X113" s="75">
        <f t="shared" si="12"/>
        <v>75</v>
      </c>
      <c r="Y113" s="75">
        <f t="shared" si="11"/>
        <v>17</v>
      </c>
    </row>
    <row r="114" spans="23:25" x14ac:dyDescent="0.2">
      <c r="W114" s="75" t="str">
        <f t="shared" si="10"/>
        <v/>
      </c>
      <c r="X114" s="75">
        <f t="shared" si="12"/>
        <v>76</v>
      </c>
      <c r="Y114" s="75">
        <f t="shared" si="11"/>
        <v>18</v>
      </c>
    </row>
    <row r="115" spans="23:25" x14ac:dyDescent="0.2">
      <c r="W115" s="75" t="str">
        <f t="shared" si="10"/>
        <v/>
      </c>
      <c r="X115" s="75">
        <f t="shared" si="12"/>
        <v>77</v>
      </c>
      <c r="Y115" s="75">
        <f t="shared" si="11"/>
        <v>19</v>
      </c>
    </row>
    <row r="116" spans="23:25" x14ac:dyDescent="0.2">
      <c r="W116" s="75" t="str">
        <f t="shared" si="10"/>
        <v/>
      </c>
      <c r="X116" s="75">
        <f t="shared" si="12"/>
        <v>78</v>
      </c>
      <c r="Y116" s="75">
        <f t="shared" si="11"/>
        <v>20</v>
      </c>
    </row>
    <row r="117" spans="23:25" x14ac:dyDescent="0.2">
      <c r="W117" s="75" t="str">
        <f t="shared" si="10"/>
        <v/>
      </c>
      <c r="X117" s="75">
        <f t="shared" si="12"/>
        <v>79</v>
      </c>
      <c r="Y117" s="75">
        <f t="shared" si="11"/>
        <v>21</v>
      </c>
    </row>
    <row r="118" spans="23:25" x14ac:dyDescent="0.2">
      <c r="W118" s="75" t="str">
        <f t="shared" si="10"/>
        <v/>
      </c>
      <c r="X118" s="75">
        <f t="shared" si="12"/>
        <v>80</v>
      </c>
      <c r="Y118" s="75">
        <f t="shared" si="11"/>
        <v>22</v>
      </c>
    </row>
    <row r="119" spans="23:25" x14ac:dyDescent="0.2">
      <c r="W119" s="75" t="str">
        <f t="shared" si="10"/>
        <v/>
      </c>
      <c r="X119" s="75">
        <f t="shared" si="12"/>
        <v>81</v>
      </c>
      <c r="Y119" s="75">
        <f t="shared" si="11"/>
        <v>23</v>
      </c>
    </row>
    <row r="120" spans="23:25" x14ac:dyDescent="0.2">
      <c r="W120" s="75" t="str">
        <f t="shared" si="10"/>
        <v/>
      </c>
      <c r="X120" s="75">
        <f t="shared" si="12"/>
        <v>82</v>
      </c>
      <c r="Y120" s="75">
        <f t="shared" si="11"/>
        <v>24</v>
      </c>
    </row>
    <row r="121" spans="23:25" x14ac:dyDescent="0.2">
      <c r="W121" s="75" t="str">
        <f t="shared" si="10"/>
        <v/>
      </c>
      <c r="X121" s="75">
        <f t="shared" si="12"/>
        <v>83</v>
      </c>
      <c r="Y121" s="75">
        <f t="shared" si="11"/>
        <v>25</v>
      </c>
    </row>
    <row r="122" spans="23:25" x14ac:dyDescent="0.2">
      <c r="W122" s="75" t="str">
        <f t="shared" si="10"/>
        <v/>
      </c>
      <c r="X122" s="75">
        <f t="shared" si="12"/>
        <v>84</v>
      </c>
      <c r="Y122" s="75">
        <f t="shared" si="11"/>
        <v>26</v>
      </c>
    </row>
    <row r="123" spans="23:25" x14ac:dyDescent="0.2">
      <c r="W123" s="75" t="str">
        <f t="shared" si="10"/>
        <v/>
      </c>
      <c r="X123" s="75">
        <f t="shared" si="12"/>
        <v>85</v>
      </c>
      <c r="Y123" s="75">
        <f t="shared" si="11"/>
        <v>27</v>
      </c>
    </row>
    <row r="124" spans="23:25" x14ac:dyDescent="0.2">
      <c r="W124" s="75" t="str">
        <f t="shared" si="10"/>
        <v/>
      </c>
      <c r="X124" s="75">
        <f t="shared" si="12"/>
        <v>86</v>
      </c>
      <c r="Y124" s="75">
        <f t="shared" si="11"/>
        <v>28</v>
      </c>
    </row>
    <row r="125" spans="23:25" x14ac:dyDescent="0.2">
      <c r="W125" s="75" t="str">
        <f t="shared" si="10"/>
        <v/>
      </c>
      <c r="X125" s="75">
        <f t="shared" si="12"/>
        <v>87</v>
      </c>
      <c r="Y125" s="75">
        <f t="shared" si="11"/>
        <v>29</v>
      </c>
    </row>
    <row r="126" spans="23:25" x14ac:dyDescent="0.2">
      <c r="W126" s="75" t="str">
        <f t="shared" si="10"/>
        <v/>
      </c>
      <c r="X126" s="75">
        <f t="shared" si="12"/>
        <v>88</v>
      </c>
      <c r="Y126" s="75">
        <f t="shared" si="11"/>
        <v>30</v>
      </c>
    </row>
    <row r="127" spans="23:25" x14ac:dyDescent="0.2">
      <c r="W127" s="75" t="str">
        <f t="shared" si="10"/>
        <v/>
      </c>
      <c r="X127" s="75">
        <f t="shared" si="12"/>
        <v>89</v>
      </c>
      <c r="Y127" s="75">
        <f t="shared" si="11"/>
        <v>31</v>
      </c>
    </row>
    <row r="128" spans="23:25" x14ac:dyDescent="0.2">
      <c r="W128" s="75" t="str">
        <f t="shared" si="10"/>
        <v/>
      </c>
      <c r="X128" s="75">
        <f t="shared" si="12"/>
        <v>90</v>
      </c>
      <c r="Y128" s="75">
        <f t="shared" si="11"/>
        <v>32</v>
      </c>
    </row>
    <row r="129" spans="23:25" x14ac:dyDescent="0.2">
      <c r="W129" s="75" t="str">
        <f t="shared" si="10"/>
        <v/>
      </c>
      <c r="X129" s="75">
        <f t="shared" si="12"/>
        <v>91</v>
      </c>
      <c r="Y129" s="75">
        <f t="shared" si="11"/>
        <v>33</v>
      </c>
    </row>
    <row r="130" spans="23:25" x14ac:dyDescent="0.2">
      <c r="W130" s="75" t="str">
        <f t="shared" si="10"/>
        <v/>
      </c>
      <c r="X130" s="75">
        <f t="shared" si="12"/>
        <v>92</v>
      </c>
      <c r="Y130" s="75">
        <f t="shared" si="11"/>
        <v>34</v>
      </c>
    </row>
    <row r="131" spans="23:25" x14ac:dyDescent="0.2">
      <c r="W131" s="75" t="str">
        <f t="shared" si="10"/>
        <v/>
      </c>
      <c r="X131" s="75">
        <f t="shared" si="12"/>
        <v>93</v>
      </c>
      <c r="Y131" s="75">
        <f t="shared" si="11"/>
        <v>35</v>
      </c>
    </row>
    <row r="132" spans="23:25" x14ac:dyDescent="0.2">
      <c r="W132" s="75" t="str">
        <f t="shared" si="10"/>
        <v/>
      </c>
      <c r="X132" s="75">
        <f t="shared" si="12"/>
        <v>94</v>
      </c>
      <c r="Y132" s="75">
        <f t="shared" si="11"/>
        <v>36</v>
      </c>
    </row>
    <row r="133" spans="23:25" x14ac:dyDescent="0.2">
      <c r="W133" s="75" t="str">
        <f t="shared" si="10"/>
        <v/>
      </c>
      <c r="X133" s="75">
        <f t="shared" si="12"/>
        <v>95</v>
      </c>
      <c r="Y133" s="75">
        <f t="shared" si="11"/>
        <v>37</v>
      </c>
    </row>
    <row r="134" spans="23:25" x14ac:dyDescent="0.2">
      <c r="W134" s="75" t="str">
        <f t="shared" si="10"/>
        <v/>
      </c>
      <c r="X134" s="75">
        <f t="shared" si="12"/>
        <v>96</v>
      </c>
      <c r="Y134" s="75">
        <f t="shared" si="11"/>
        <v>38</v>
      </c>
    </row>
    <row r="135" spans="23:25" x14ac:dyDescent="0.2">
      <c r="W135" s="75" t="str">
        <f t="shared" si="10"/>
        <v/>
      </c>
      <c r="X135" s="75">
        <f t="shared" si="12"/>
        <v>97</v>
      </c>
      <c r="Y135" s="75">
        <f t="shared" si="11"/>
        <v>39</v>
      </c>
    </row>
    <row r="136" spans="23:25" x14ac:dyDescent="0.2">
      <c r="W136" s="75" t="str">
        <f t="shared" si="10"/>
        <v/>
      </c>
      <c r="X136" s="75">
        <f t="shared" si="12"/>
        <v>98</v>
      </c>
      <c r="Y136" s="75">
        <f t="shared" si="11"/>
        <v>40</v>
      </c>
    </row>
    <row r="137" spans="23:25" x14ac:dyDescent="0.2">
      <c r="W137" s="75" t="str">
        <f t="shared" si="10"/>
        <v/>
      </c>
      <c r="X137" s="75">
        <f t="shared" si="12"/>
        <v>99</v>
      </c>
      <c r="Y137" s="75">
        <f t="shared" si="11"/>
        <v>41</v>
      </c>
    </row>
    <row r="138" spans="23:25" x14ac:dyDescent="0.2">
      <c r="W138" s="75" t="str">
        <f t="shared" si="10"/>
        <v/>
      </c>
      <c r="X138" s="75">
        <f t="shared" si="12"/>
        <v>100</v>
      </c>
      <c r="Y138" s="75">
        <f t="shared" si="11"/>
        <v>42</v>
      </c>
    </row>
    <row r="139" spans="23:25" x14ac:dyDescent="0.2">
      <c r="W139" s="75" t="str">
        <f t="shared" si="10"/>
        <v/>
      </c>
      <c r="X139" s="75">
        <f t="shared" si="12"/>
        <v>101</v>
      </c>
      <c r="Y139" s="75">
        <f t="shared" si="11"/>
        <v>43</v>
      </c>
    </row>
    <row r="140" spans="23:25" x14ac:dyDescent="0.2">
      <c r="W140" s="75" t="str">
        <f t="shared" si="10"/>
        <v/>
      </c>
      <c r="X140" s="75">
        <f t="shared" si="12"/>
        <v>102</v>
      </c>
      <c r="Y140" s="75">
        <f t="shared" si="11"/>
        <v>44</v>
      </c>
    </row>
    <row r="141" spans="23:25" x14ac:dyDescent="0.2">
      <c r="W141" s="75" t="str">
        <f t="shared" si="10"/>
        <v/>
      </c>
      <c r="X141" s="75">
        <f t="shared" si="12"/>
        <v>103</v>
      </c>
      <c r="Y141" s="75">
        <f t="shared" si="11"/>
        <v>45</v>
      </c>
    </row>
    <row r="142" spans="23:25" x14ac:dyDescent="0.2">
      <c r="W142" s="75" t="str">
        <f t="shared" si="10"/>
        <v/>
      </c>
      <c r="X142" s="75">
        <f t="shared" si="12"/>
        <v>104</v>
      </c>
      <c r="Y142" s="75">
        <f t="shared" si="11"/>
        <v>46</v>
      </c>
    </row>
    <row r="143" spans="23:25" x14ac:dyDescent="0.2">
      <c r="W143" s="75" t="str">
        <f t="shared" si="10"/>
        <v/>
      </c>
      <c r="X143" s="75">
        <f t="shared" si="12"/>
        <v>105</v>
      </c>
      <c r="Y143" s="75">
        <f t="shared" si="11"/>
        <v>47</v>
      </c>
    </row>
    <row r="144" spans="23:25" x14ac:dyDescent="0.2">
      <c r="W144" s="75" t="str">
        <f t="shared" si="10"/>
        <v/>
      </c>
      <c r="X144" s="75">
        <f t="shared" si="12"/>
        <v>106</v>
      </c>
      <c r="Y144" s="75">
        <f t="shared" si="11"/>
        <v>48</v>
      </c>
    </row>
    <row r="145" spans="23:25" x14ac:dyDescent="0.2">
      <c r="W145" s="75" t="str">
        <f t="shared" si="10"/>
        <v/>
      </c>
      <c r="X145" s="75">
        <f t="shared" si="12"/>
        <v>107</v>
      </c>
      <c r="Y145" s="75">
        <f t="shared" si="11"/>
        <v>49</v>
      </c>
    </row>
    <row r="146" spans="23:25" x14ac:dyDescent="0.2">
      <c r="W146" s="75" t="str">
        <f t="shared" si="10"/>
        <v/>
      </c>
      <c r="X146" s="75">
        <f t="shared" si="12"/>
        <v>108</v>
      </c>
      <c r="Y146" s="75">
        <f t="shared" si="11"/>
        <v>50</v>
      </c>
    </row>
    <row r="147" spans="23:25" x14ac:dyDescent="0.2">
      <c r="W147" s="75" t="str">
        <f t="shared" si="10"/>
        <v/>
      </c>
      <c r="X147" s="75">
        <f t="shared" si="12"/>
        <v>109</v>
      </c>
      <c r="Y147" s="75">
        <f t="shared" si="11"/>
        <v>51</v>
      </c>
    </row>
    <row r="148" spans="23:25" x14ac:dyDescent="0.2">
      <c r="W148" s="75" t="str">
        <f t="shared" si="10"/>
        <v/>
      </c>
      <c r="X148" s="75">
        <f t="shared" si="12"/>
        <v>110</v>
      </c>
      <c r="Y148" s="75">
        <f t="shared" si="11"/>
        <v>52</v>
      </c>
    </row>
    <row r="149" spans="23:25" x14ac:dyDescent="0.2">
      <c r="W149" s="75" t="str">
        <f t="shared" si="10"/>
        <v/>
      </c>
      <c r="X149" s="75">
        <f t="shared" si="12"/>
        <v>111</v>
      </c>
      <c r="Y149" s="75">
        <f t="shared" si="11"/>
        <v>53</v>
      </c>
    </row>
    <row r="150" spans="23:25" x14ac:dyDescent="0.2">
      <c r="W150" s="75" t="str">
        <f t="shared" si="10"/>
        <v/>
      </c>
      <c r="X150" s="75">
        <f t="shared" si="12"/>
        <v>112</v>
      </c>
      <c r="Y150" s="75">
        <f t="shared" si="11"/>
        <v>54</v>
      </c>
    </row>
    <row r="151" spans="23:25" x14ac:dyDescent="0.2">
      <c r="W151" s="75" t="str">
        <f t="shared" si="10"/>
        <v/>
      </c>
      <c r="X151" s="75">
        <f t="shared" si="12"/>
        <v>113</v>
      </c>
      <c r="Y151" s="75">
        <f t="shared" si="11"/>
        <v>55</v>
      </c>
    </row>
    <row r="152" spans="23:25" x14ac:dyDescent="0.2">
      <c r="W152" s="75" t="str">
        <f t="shared" si="10"/>
        <v/>
      </c>
      <c r="X152" s="75">
        <f t="shared" si="12"/>
        <v>114</v>
      </c>
      <c r="Y152" s="75">
        <f t="shared" si="11"/>
        <v>56</v>
      </c>
    </row>
    <row r="153" spans="23:25" x14ac:dyDescent="0.2">
      <c r="W153" s="75" t="str">
        <f t="shared" si="10"/>
        <v/>
      </c>
      <c r="X153" s="75">
        <f t="shared" si="12"/>
        <v>115</v>
      </c>
      <c r="Y153" s="75">
        <f t="shared" si="11"/>
        <v>57</v>
      </c>
    </row>
    <row r="154" spans="23:25" x14ac:dyDescent="0.2">
      <c r="W154" s="75" t="str">
        <f t="shared" si="10"/>
        <v/>
      </c>
      <c r="X154" s="75">
        <f t="shared" si="12"/>
        <v>116</v>
      </c>
      <c r="Y154" s="75">
        <f t="shared" si="11"/>
        <v>58</v>
      </c>
    </row>
    <row r="155" spans="23:25" x14ac:dyDescent="0.2">
      <c r="W155" s="75" t="str">
        <f t="shared" si="10"/>
        <v/>
      </c>
      <c r="X155" s="75">
        <f t="shared" si="12"/>
        <v>117</v>
      </c>
      <c r="Y155" s="75">
        <f t="shared" si="11"/>
        <v>59</v>
      </c>
    </row>
    <row r="156" spans="23:25" x14ac:dyDescent="0.2">
      <c r="W156" s="75" t="str">
        <f t="shared" si="10"/>
        <v/>
      </c>
      <c r="X156" s="75">
        <f t="shared" si="12"/>
        <v>118</v>
      </c>
      <c r="Y156" s="75">
        <f t="shared" si="11"/>
        <v>60</v>
      </c>
    </row>
    <row r="157" spans="23:25" x14ac:dyDescent="0.2">
      <c r="W157" s="75" t="str">
        <f t="shared" si="10"/>
        <v/>
      </c>
      <c r="X157" s="75">
        <f t="shared" si="12"/>
        <v>119</v>
      </c>
      <c r="Y157" s="75">
        <f t="shared" si="11"/>
        <v>61</v>
      </c>
    </row>
    <row r="158" spans="23:25" x14ac:dyDescent="0.2">
      <c r="W158" s="75" t="str">
        <f t="shared" si="10"/>
        <v/>
      </c>
      <c r="X158" s="75">
        <f t="shared" si="12"/>
        <v>120</v>
      </c>
      <c r="Y158" s="75">
        <f t="shared" si="11"/>
        <v>62</v>
      </c>
    </row>
    <row r="159" spans="23:25" x14ac:dyDescent="0.2">
      <c r="W159" s="75" t="str">
        <f t="shared" si="10"/>
        <v/>
      </c>
      <c r="X159" s="75">
        <f t="shared" si="12"/>
        <v>121</v>
      </c>
      <c r="Y159" s="75">
        <f t="shared" si="11"/>
        <v>63</v>
      </c>
    </row>
    <row r="160" spans="23:25" x14ac:dyDescent="0.2">
      <c r="W160" s="75" t="str">
        <f t="shared" si="10"/>
        <v/>
      </c>
      <c r="X160" s="75">
        <f t="shared" si="12"/>
        <v>122</v>
      </c>
      <c r="Y160" s="75">
        <f t="shared" si="11"/>
        <v>64</v>
      </c>
    </row>
    <row r="161" spans="23:25" x14ac:dyDescent="0.2">
      <c r="W161" s="75" t="str">
        <f t="shared" si="10"/>
        <v/>
      </c>
      <c r="X161" s="75">
        <f t="shared" si="12"/>
        <v>123</v>
      </c>
      <c r="Y161" s="75">
        <f t="shared" si="11"/>
        <v>65</v>
      </c>
    </row>
    <row r="162" spans="23:25" x14ac:dyDescent="0.2">
      <c r="W162" s="75" t="str">
        <f t="shared" si="10"/>
        <v/>
      </c>
      <c r="X162" s="75">
        <f t="shared" si="12"/>
        <v>124</v>
      </c>
      <c r="Y162" s="75">
        <f t="shared" si="11"/>
        <v>66</v>
      </c>
    </row>
    <row r="163" spans="23:25" x14ac:dyDescent="0.2">
      <c r="W163" s="75" t="str">
        <f t="shared" si="10"/>
        <v/>
      </c>
      <c r="X163" s="75">
        <f t="shared" si="12"/>
        <v>125</v>
      </c>
      <c r="Y163" s="75">
        <f t="shared" si="11"/>
        <v>67</v>
      </c>
    </row>
    <row r="164" spans="23:25" x14ac:dyDescent="0.2">
      <c r="W164" s="75" t="str">
        <f t="shared" si="10"/>
        <v/>
      </c>
      <c r="X164" s="75">
        <f t="shared" si="12"/>
        <v>126</v>
      </c>
      <c r="Y164" s="75">
        <f t="shared" si="11"/>
        <v>68</v>
      </c>
    </row>
    <row r="165" spans="23:25" x14ac:dyDescent="0.2">
      <c r="W165" s="75" t="str">
        <f t="shared" si="10"/>
        <v/>
      </c>
      <c r="X165" s="75">
        <f t="shared" si="12"/>
        <v>127</v>
      </c>
      <c r="Y165" s="75">
        <f t="shared" si="11"/>
        <v>69</v>
      </c>
    </row>
    <row r="166" spans="23:25" x14ac:dyDescent="0.2">
      <c r="W166" s="75" t="str">
        <f t="shared" si="10"/>
        <v/>
      </c>
      <c r="X166" s="75">
        <f t="shared" si="12"/>
        <v>128</v>
      </c>
      <c r="Y166" s="75">
        <f t="shared" si="11"/>
        <v>70</v>
      </c>
    </row>
    <row r="167" spans="23:25" x14ac:dyDescent="0.2">
      <c r="W167" s="75" t="str">
        <f t="shared" ref="W167:W196" si="13">IF(Y167&lt;0,"BKK."&amp;X167,"")</f>
        <v/>
      </c>
      <c r="X167" s="75">
        <f t="shared" si="12"/>
        <v>129</v>
      </c>
      <c r="Y167" s="75">
        <f t="shared" si="11"/>
        <v>71</v>
      </c>
    </row>
    <row r="168" spans="23:25" x14ac:dyDescent="0.2">
      <c r="W168" s="75" t="str">
        <f t="shared" si="13"/>
        <v/>
      </c>
      <c r="X168" s="75">
        <f t="shared" si="12"/>
        <v>130</v>
      </c>
      <c r="Y168" s="75">
        <f t="shared" ref="Y168:Y231" si="14">X168-$X$37</f>
        <v>72</v>
      </c>
    </row>
    <row r="169" spans="23:25" x14ac:dyDescent="0.2">
      <c r="W169" s="75" t="str">
        <f t="shared" si="13"/>
        <v/>
      </c>
      <c r="X169" s="75">
        <f t="shared" ref="X169:X232" si="15">X168+1</f>
        <v>131</v>
      </c>
      <c r="Y169" s="75">
        <f t="shared" si="14"/>
        <v>73</v>
      </c>
    </row>
    <row r="170" spans="23:25" x14ac:dyDescent="0.2">
      <c r="W170" s="75" t="str">
        <f t="shared" si="13"/>
        <v/>
      </c>
      <c r="X170" s="75">
        <f t="shared" si="15"/>
        <v>132</v>
      </c>
      <c r="Y170" s="75">
        <f t="shared" si="14"/>
        <v>74</v>
      </c>
    </row>
    <row r="171" spans="23:25" x14ac:dyDescent="0.2">
      <c r="W171" s="75" t="str">
        <f t="shared" si="13"/>
        <v/>
      </c>
      <c r="X171" s="75">
        <f t="shared" si="15"/>
        <v>133</v>
      </c>
      <c r="Y171" s="75">
        <f t="shared" si="14"/>
        <v>75</v>
      </c>
    </row>
    <row r="172" spans="23:25" x14ac:dyDescent="0.2">
      <c r="W172" s="75" t="str">
        <f t="shared" si="13"/>
        <v/>
      </c>
      <c r="X172" s="75">
        <f t="shared" si="15"/>
        <v>134</v>
      </c>
      <c r="Y172" s="75">
        <f t="shared" si="14"/>
        <v>76</v>
      </c>
    </row>
    <row r="173" spans="23:25" x14ac:dyDescent="0.2">
      <c r="W173" s="75" t="str">
        <f t="shared" si="13"/>
        <v/>
      </c>
      <c r="X173" s="75">
        <f t="shared" si="15"/>
        <v>135</v>
      </c>
      <c r="Y173" s="75">
        <f t="shared" si="14"/>
        <v>77</v>
      </c>
    </row>
    <row r="174" spans="23:25" x14ac:dyDescent="0.2">
      <c r="W174" s="75" t="str">
        <f t="shared" si="13"/>
        <v/>
      </c>
      <c r="X174" s="75">
        <f t="shared" si="15"/>
        <v>136</v>
      </c>
      <c r="Y174" s="75">
        <f t="shared" si="14"/>
        <v>78</v>
      </c>
    </row>
    <row r="175" spans="23:25" x14ac:dyDescent="0.2">
      <c r="W175" s="75" t="str">
        <f t="shared" si="13"/>
        <v/>
      </c>
      <c r="X175" s="75">
        <f t="shared" si="15"/>
        <v>137</v>
      </c>
      <c r="Y175" s="75">
        <f t="shared" si="14"/>
        <v>79</v>
      </c>
    </row>
    <row r="176" spans="23:25" x14ac:dyDescent="0.2">
      <c r="W176" s="75" t="str">
        <f t="shared" si="13"/>
        <v/>
      </c>
      <c r="X176" s="75">
        <f t="shared" si="15"/>
        <v>138</v>
      </c>
      <c r="Y176" s="75">
        <f t="shared" si="14"/>
        <v>80</v>
      </c>
    </row>
    <row r="177" spans="23:25" x14ac:dyDescent="0.2">
      <c r="W177" s="75" t="str">
        <f t="shared" si="13"/>
        <v/>
      </c>
      <c r="X177" s="75">
        <f t="shared" si="15"/>
        <v>139</v>
      </c>
      <c r="Y177" s="75">
        <f t="shared" si="14"/>
        <v>81</v>
      </c>
    </row>
    <row r="178" spans="23:25" x14ac:dyDescent="0.2">
      <c r="W178" s="75" t="str">
        <f t="shared" si="13"/>
        <v/>
      </c>
      <c r="X178" s="75">
        <f t="shared" si="15"/>
        <v>140</v>
      </c>
      <c r="Y178" s="75">
        <f t="shared" si="14"/>
        <v>82</v>
      </c>
    </row>
    <row r="179" spans="23:25" x14ac:dyDescent="0.2">
      <c r="W179" s="75" t="str">
        <f t="shared" si="13"/>
        <v/>
      </c>
      <c r="X179" s="75">
        <f t="shared" si="15"/>
        <v>141</v>
      </c>
      <c r="Y179" s="75">
        <f t="shared" si="14"/>
        <v>83</v>
      </c>
    </row>
    <row r="180" spans="23:25" x14ac:dyDescent="0.2">
      <c r="W180" s="75" t="str">
        <f t="shared" si="13"/>
        <v/>
      </c>
      <c r="X180" s="75">
        <f t="shared" si="15"/>
        <v>142</v>
      </c>
      <c r="Y180" s="75">
        <f t="shared" si="14"/>
        <v>84</v>
      </c>
    </row>
    <row r="181" spans="23:25" x14ac:dyDescent="0.2">
      <c r="W181" s="75" t="str">
        <f t="shared" si="13"/>
        <v/>
      </c>
      <c r="X181" s="75">
        <f t="shared" si="15"/>
        <v>143</v>
      </c>
      <c r="Y181" s="75">
        <f t="shared" si="14"/>
        <v>85</v>
      </c>
    </row>
    <row r="182" spans="23:25" x14ac:dyDescent="0.2">
      <c r="W182" s="75" t="str">
        <f t="shared" si="13"/>
        <v/>
      </c>
      <c r="X182" s="75">
        <f t="shared" si="15"/>
        <v>144</v>
      </c>
      <c r="Y182" s="75">
        <f t="shared" si="14"/>
        <v>86</v>
      </c>
    </row>
    <row r="183" spans="23:25" x14ac:dyDescent="0.2">
      <c r="W183" s="75" t="str">
        <f t="shared" si="13"/>
        <v/>
      </c>
      <c r="X183" s="75">
        <f t="shared" si="15"/>
        <v>145</v>
      </c>
      <c r="Y183" s="75">
        <f t="shared" si="14"/>
        <v>87</v>
      </c>
    </row>
    <row r="184" spans="23:25" x14ac:dyDescent="0.2">
      <c r="W184" s="75" t="str">
        <f t="shared" si="13"/>
        <v/>
      </c>
      <c r="X184" s="75">
        <f t="shared" si="15"/>
        <v>146</v>
      </c>
      <c r="Y184" s="75">
        <f t="shared" si="14"/>
        <v>88</v>
      </c>
    </row>
    <row r="185" spans="23:25" x14ac:dyDescent="0.2">
      <c r="W185" s="75" t="str">
        <f t="shared" si="13"/>
        <v/>
      </c>
      <c r="X185" s="75">
        <f t="shared" si="15"/>
        <v>147</v>
      </c>
      <c r="Y185" s="75">
        <f t="shared" si="14"/>
        <v>89</v>
      </c>
    </row>
    <row r="186" spans="23:25" x14ac:dyDescent="0.2">
      <c r="W186" s="75" t="str">
        <f t="shared" si="13"/>
        <v/>
      </c>
      <c r="X186" s="75">
        <f t="shared" si="15"/>
        <v>148</v>
      </c>
      <c r="Y186" s="75">
        <f t="shared" si="14"/>
        <v>90</v>
      </c>
    </row>
    <row r="187" spans="23:25" x14ac:dyDescent="0.2">
      <c r="W187" s="75" t="str">
        <f t="shared" si="13"/>
        <v/>
      </c>
      <c r="X187" s="75">
        <f t="shared" si="15"/>
        <v>149</v>
      </c>
      <c r="Y187" s="75">
        <f t="shared" si="14"/>
        <v>91</v>
      </c>
    </row>
    <row r="188" spans="23:25" x14ac:dyDescent="0.2">
      <c r="W188" s="75" t="str">
        <f t="shared" si="13"/>
        <v/>
      </c>
      <c r="X188" s="75">
        <f t="shared" si="15"/>
        <v>150</v>
      </c>
      <c r="Y188" s="75">
        <f t="shared" si="14"/>
        <v>92</v>
      </c>
    </row>
    <row r="189" spans="23:25" x14ac:dyDescent="0.2">
      <c r="W189" s="75" t="str">
        <f t="shared" si="13"/>
        <v/>
      </c>
      <c r="X189" s="75">
        <f t="shared" si="15"/>
        <v>151</v>
      </c>
      <c r="Y189" s="75">
        <f t="shared" si="14"/>
        <v>93</v>
      </c>
    </row>
    <row r="190" spans="23:25" x14ac:dyDescent="0.2">
      <c r="W190" s="75" t="str">
        <f t="shared" si="13"/>
        <v/>
      </c>
      <c r="X190" s="75">
        <f t="shared" si="15"/>
        <v>152</v>
      </c>
      <c r="Y190" s="75">
        <f t="shared" si="14"/>
        <v>94</v>
      </c>
    </row>
    <row r="191" spans="23:25" x14ac:dyDescent="0.2">
      <c r="W191" s="75" t="str">
        <f t="shared" si="13"/>
        <v/>
      </c>
      <c r="X191" s="75">
        <f t="shared" si="15"/>
        <v>153</v>
      </c>
      <c r="Y191" s="75">
        <f t="shared" si="14"/>
        <v>95</v>
      </c>
    </row>
    <row r="192" spans="23:25" x14ac:dyDescent="0.2">
      <c r="W192" s="75" t="str">
        <f t="shared" si="13"/>
        <v/>
      </c>
      <c r="X192" s="75">
        <f t="shared" si="15"/>
        <v>154</v>
      </c>
      <c r="Y192" s="75">
        <f t="shared" si="14"/>
        <v>96</v>
      </c>
    </row>
    <row r="193" spans="23:25" x14ac:dyDescent="0.2">
      <c r="W193" s="75" t="str">
        <f t="shared" si="13"/>
        <v/>
      </c>
      <c r="X193" s="75">
        <f t="shared" si="15"/>
        <v>155</v>
      </c>
      <c r="Y193" s="75">
        <f t="shared" si="14"/>
        <v>97</v>
      </c>
    </row>
    <row r="194" spans="23:25" x14ac:dyDescent="0.2">
      <c r="W194" s="75" t="str">
        <f t="shared" si="13"/>
        <v/>
      </c>
      <c r="X194" s="75">
        <f t="shared" si="15"/>
        <v>156</v>
      </c>
      <c r="Y194" s="75">
        <f t="shared" si="14"/>
        <v>98</v>
      </c>
    </row>
    <row r="195" spans="23:25" x14ac:dyDescent="0.2">
      <c r="W195" s="75" t="str">
        <f t="shared" si="13"/>
        <v/>
      </c>
      <c r="X195" s="75">
        <f t="shared" si="15"/>
        <v>157</v>
      </c>
      <c r="Y195" s="75">
        <f t="shared" si="14"/>
        <v>99</v>
      </c>
    </row>
    <row r="196" spans="23:25" x14ac:dyDescent="0.2">
      <c r="W196" s="75" t="str">
        <f t="shared" si="13"/>
        <v/>
      </c>
      <c r="X196" s="75">
        <f t="shared" si="15"/>
        <v>158</v>
      </c>
      <c r="Y196" s="75">
        <f t="shared" si="14"/>
        <v>100</v>
      </c>
    </row>
    <row r="197" spans="23:25" x14ac:dyDescent="0.2">
      <c r="W197" s="75" t="str">
        <f>IF(Y197&lt;0,"BKK."&amp;X197,"")</f>
        <v/>
      </c>
      <c r="X197" s="75">
        <f t="shared" si="15"/>
        <v>159</v>
      </c>
      <c r="Y197" s="75">
        <f t="shared" si="14"/>
        <v>101</v>
      </c>
    </row>
    <row r="198" spans="23:25" x14ac:dyDescent="0.2">
      <c r="W198" s="75" t="str">
        <f t="shared" ref="W198:W261" si="16">IF(Y198&lt;0,"BKK."&amp;X198,"")</f>
        <v/>
      </c>
      <c r="X198" s="75">
        <f t="shared" si="15"/>
        <v>160</v>
      </c>
      <c r="Y198" s="75">
        <f t="shared" si="14"/>
        <v>102</v>
      </c>
    </row>
    <row r="199" spans="23:25" x14ac:dyDescent="0.2">
      <c r="W199" s="75" t="str">
        <f t="shared" si="16"/>
        <v/>
      </c>
      <c r="X199" s="75">
        <f t="shared" si="15"/>
        <v>161</v>
      </c>
      <c r="Y199" s="75">
        <f t="shared" si="14"/>
        <v>103</v>
      </c>
    </row>
    <row r="200" spans="23:25" x14ac:dyDescent="0.2">
      <c r="W200" s="75" t="str">
        <f t="shared" si="16"/>
        <v/>
      </c>
      <c r="X200" s="75">
        <f t="shared" si="15"/>
        <v>162</v>
      </c>
      <c r="Y200" s="75">
        <f t="shared" si="14"/>
        <v>104</v>
      </c>
    </row>
    <row r="201" spans="23:25" x14ac:dyDescent="0.2">
      <c r="W201" s="75" t="str">
        <f t="shared" si="16"/>
        <v/>
      </c>
      <c r="X201" s="75">
        <f t="shared" si="15"/>
        <v>163</v>
      </c>
      <c r="Y201" s="75">
        <f t="shared" si="14"/>
        <v>105</v>
      </c>
    </row>
    <row r="202" spans="23:25" x14ac:dyDescent="0.2">
      <c r="W202" s="75" t="str">
        <f t="shared" si="16"/>
        <v/>
      </c>
      <c r="X202" s="75">
        <f t="shared" si="15"/>
        <v>164</v>
      </c>
      <c r="Y202" s="75">
        <f t="shared" si="14"/>
        <v>106</v>
      </c>
    </row>
    <row r="203" spans="23:25" x14ac:dyDescent="0.2">
      <c r="W203" s="75" t="str">
        <f t="shared" si="16"/>
        <v/>
      </c>
      <c r="X203" s="75">
        <f t="shared" si="15"/>
        <v>165</v>
      </c>
      <c r="Y203" s="75">
        <f t="shared" si="14"/>
        <v>107</v>
      </c>
    </row>
    <row r="204" spans="23:25" x14ac:dyDescent="0.2">
      <c r="W204" s="75" t="str">
        <f t="shared" si="16"/>
        <v/>
      </c>
      <c r="X204" s="75">
        <f t="shared" si="15"/>
        <v>166</v>
      </c>
      <c r="Y204" s="75">
        <f t="shared" si="14"/>
        <v>108</v>
      </c>
    </row>
    <row r="205" spans="23:25" x14ac:dyDescent="0.2">
      <c r="W205" s="75" t="str">
        <f t="shared" si="16"/>
        <v/>
      </c>
      <c r="X205" s="75">
        <f t="shared" si="15"/>
        <v>167</v>
      </c>
      <c r="Y205" s="75">
        <f t="shared" si="14"/>
        <v>109</v>
      </c>
    </row>
    <row r="206" spans="23:25" x14ac:dyDescent="0.2">
      <c r="W206" s="75" t="str">
        <f t="shared" si="16"/>
        <v/>
      </c>
      <c r="X206" s="75">
        <f t="shared" si="15"/>
        <v>168</v>
      </c>
      <c r="Y206" s="75">
        <f t="shared" si="14"/>
        <v>110</v>
      </c>
    </row>
    <row r="207" spans="23:25" x14ac:dyDescent="0.2">
      <c r="W207" s="75" t="str">
        <f t="shared" si="16"/>
        <v/>
      </c>
      <c r="X207" s="75">
        <f t="shared" si="15"/>
        <v>169</v>
      </c>
      <c r="Y207" s="75">
        <f t="shared" si="14"/>
        <v>111</v>
      </c>
    </row>
    <row r="208" spans="23:25" x14ac:dyDescent="0.2">
      <c r="W208" s="75" t="str">
        <f t="shared" si="16"/>
        <v/>
      </c>
      <c r="X208" s="75">
        <f t="shared" si="15"/>
        <v>170</v>
      </c>
      <c r="Y208" s="75">
        <f t="shared" si="14"/>
        <v>112</v>
      </c>
    </row>
    <row r="209" spans="23:25" x14ac:dyDescent="0.2">
      <c r="W209" s="75" t="str">
        <f t="shared" si="16"/>
        <v/>
      </c>
      <c r="X209" s="75">
        <f t="shared" si="15"/>
        <v>171</v>
      </c>
      <c r="Y209" s="75">
        <f t="shared" si="14"/>
        <v>113</v>
      </c>
    </row>
    <row r="210" spans="23:25" x14ac:dyDescent="0.2">
      <c r="W210" s="75" t="str">
        <f t="shared" si="16"/>
        <v/>
      </c>
      <c r="X210" s="75">
        <f t="shared" si="15"/>
        <v>172</v>
      </c>
      <c r="Y210" s="75">
        <f t="shared" si="14"/>
        <v>114</v>
      </c>
    </row>
    <row r="211" spans="23:25" x14ac:dyDescent="0.2">
      <c r="W211" s="75" t="str">
        <f t="shared" si="16"/>
        <v/>
      </c>
      <c r="X211" s="75">
        <f t="shared" si="15"/>
        <v>173</v>
      </c>
      <c r="Y211" s="75">
        <f t="shared" si="14"/>
        <v>115</v>
      </c>
    </row>
    <row r="212" spans="23:25" x14ac:dyDescent="0.2">
      <c r="W212" s="75" t="str">
        <f t="shared" si="16"/>
        <v/>
      </c>
      <c r="X212" s="75">
        <f t="shared" si="15"/>
        <v>174</v>
      </c>
      <c r="Y212" s="75">
        <f t="shared" si="14"/>
        <v>116</v>
      </c>
    </row>
    <row r="213" spans="23:25" x14ac:dyDescent="0.2">
      <c r="W213" s="75" t="str">
        <f t="shared" si="16"/>
        <v/>
      </c>
      <c r="X213" s="75">
        <f t="shared" si="15"/>
        <v>175</v>
      </c>
      <c r="Y213" s="75">
        <f t="shared" si="14"/>
        <v>117</v>
      </c>
    </row>
    <row r="214" spans="23:25" x14ac:dyDescent="0.2">
      <c r="W214" s="75" t="str">
        <f t="shared" si="16"/>
        <v/>
      </c>
      <c r="X214" s="75">
        <f t="shared" si="15"/>
        <v>176</v>
      </c>
      <c r="Y214" s="75">
        <f t="shared" si="14"/>
        <v>118</v>
      </c>
    </row>
    <row r="215" spans="23:25" x14ac:dyDescent="0.2">
      <c r="W215" s="75" t="str">
        <f t="shared" si="16"/>
        <v/>
      </c>
      <c r="X215" s="75">
        <f t="shared" si="15"/>
        <v>177</v>
      </c>
      <c r="Y215" s="75">
        <f t="shared" si="14"/>
        <v>119</v>
      </c>
    </row>
    <row r="216" spans="23:25" x14ac:dyDescent="0.2">
      <c r="W216" s="75" t="str">
        <f t="shared" si="16"/>
        <v/>
      </c>
      <c r="X216" s="75">
        <f t="shared" si="15"/>
        <v>178</v>
      </c>
      <c r="Y216" s="75">
        <f t="shared" si="14"/>
        <v>120</v>
      </c>
    </row>
    <row r="217" spans="23:25" x14ac:dyDescent="0.2">
      <c r="W217" s="75" t="str">
        <f t="shared" si="16"/>
        <v/>
      </c>
      <c r="X217" s="75">
        <f t="shared" si="15"/>
        <v>179</v>
      </c>
      <c r="Y217" s="75">
        <f t="shared" si="14"/>
        <v>121</v>
      </c>
    </row>
    <row r="218" spans="23:25" x14ac:dyDescent="0.2">
      <c r="W218" s="75" t="str">
        <f t="shared" si="16"/>
        <v/>
      </c>
      <c r="X218" s="75">
        <f t="shared" si="15"/>
        <v>180</v>
      </c>
      <c r="Y218" s="75">
        <f t="shared" si="14"/>
        <v>122</v>
      </c>
    </row>
    <row r="219" spans="23:25" x14ac:dyDescent="0.2">
      <c r="W219" s="75" t="str">
        <f t="shared" si="16"/>
        <v/>
      </c>
      <c r="X219" s="75">
        <f t="shared" si="15"/>
        <v>181</v>
      </c>
      <c r="Y219" s="75">
        <f t="shared" si="14"/>
        <v>123</v>
      </c>
    </row>
    <row r="220" spans="23:25" x14ac:dyDescent="0.2">
      <c r="W220" s="75" t="str">
        <f t="shared" si="16"/>
        <v/>
      </c>
      <c r="X220" s="75">
        <f t="shared" si="15"/>
        <v>182</v>
      </c>
      <c r="Y220" s="75">
        <f t="shared" si="14"/>
        <v>124</v>
      </c>
    </row>
    <row r="221" spans="23:25" x14ac:dyDescent="0.2">
      <c r="W221" s="75" t="str">
        <f t="shared" si="16"/>
        <v/>
      </c>
      <c r="X221" s="75">
        <f t="shared" si="15"/>
        <v>183</v>
      </c>
      <c r="Y221" s="75">
        <f t="shared" si="14"/>
        <v>125</v>
      </c>
    </row>
    <row r="222" spans="23:25" x14ac:dyDescent="0.2">
      <c r="W222" s="75" t="str">
        <f t="shared" si="16"/>
        <v/>
      </c>
      <c r="X222" s="75">
        <f t="shared" si="15"/>
        <v>184</v>
      </c>
      <c r="Y222" s="75">
        <f t="shared" si="14"/>
        <v>126</v>
      </c>
    </row>
    <row r="223" spans="23:25" x14ac:dyDescent="0.2">
      <c r="W223" s="75" t="str">
        <f t="shared" si="16"/>
        <v/>
      </c>
      <c r="X223" s="75">
        <f t="shared" si="15"/>
        <v>185</v>
      </c>
      <c r="Y223" s="75">
        <f t="shared" si="14"/>
        <v>127</v>
      </c>
    </row>
    <row r="224" spans="23:25" x14ac:dyDescent="0.2">
      <c r="W224" s="75" t="str">
        <f t="shared" si="16"/>
        <v/>
      </c>
      <c r="X224" s="75">
        <f t="shared" si="15"/>
        <v>186</v>
      </c>
      <c r="Y224" s="75">
        <f t="shared" si="14"/>
        <v>128</v>
      </c>
    </row>
    <row r="225" spans="23:25" x14ac:dyDescent="0.2">
      <c r="W225" s="75" t="str">
        <f t="shared" si="16"/>
        <v/>
      </c>
      <c r="X225" s="75">
        <f t="shared" si="15"/>
        <v>187</v>
      </c>
      <c r="Y225" s="75">
        <f t="shared" si="14"/>
        <v>129</v>
      </c>
    </row>
    <row r="226" spans="23:25" x14ac:dyDescent="0.2">
      <c r="W226" s="75" t="str">
        <f t="shared" si="16"/>
        <v/>
      </c>
      <c r="X226" s="75">
        <f t="shared" si="15"/>
        <v>188</v>
      </c>
      <c r="Y226" s="75">
        <f t="shared" si="14"/>
        <v>130</v>
      </c>
    </row>
    <row r="227" spans="23:25" x14ac:dyDescent="0.2">
      <c r="W227" s="75" t="str">
        <f t="shared" si="16"/>
        <v/>
      </c>
      <c r="X227" s="75">
        <f t="shared" si="15"/>
        <v>189</v>
      </c>
      <c r="Y227" s="75">
        <f t="shared" si="14"/>
        <v>131</v>
      </c>
    </row>
    <row r="228" spans="23:25" x14ac:dyDescent="0.2">
      <c r="W228" s="75" t="str">
        <f t="shared" si="16"/>
        <v/>
      </c>
      <c r="X228" s="75">
        <f t="shared" si="15"/>
        <v>190</v>
      </c>
      <c r="Y228" s="75">
        <f t="shared" si="14"/>
        <v>132</v>
      </c>
    </row>
    <row r="229" spans="23:25" x14ac:dyDescent="0.2">
      <c r="W229" s="75" t="str">
        <f t="shared" si="16"/>
        <v/>
      </c>
      <c r="X229" s="75">
        <f t="shared" si="15"/>
        <v>191</v>
      </c>
      <c r="Y229" s="75">
        <f t="shared" si="14"/>
        <v>133</v>
      </c>
    </row>
    <row r="230" spans="23:25" x14ac:dyDescent="0.2">
      <c r="W230" s="75" t="str">
        <f t="shared" si="16"/>
        <v/>
      </c>
      <c r="X230" s="75">
        <f t="shared" si="15"/>
        <v>192</v>
      </c>
      <c r="Y230" s="75">
        <f t="shared" si="14"/>
        <v>134</v>
      </c>
    </row>
    <row r="231" spans="23:25" x14ac:dyDescent="0.2">
      <c r="W231" s="75" t="str">
        <f t="shared" si="16"/>
        <v/>
      </c>
      <c r="X231" s="75">
        <f t="shared" si="15"/>
        <v>193</v>
      </c>
      <c r="Y231" s="75">
        <f t="shared" si="14"/>
        <v>135</v>
      </c>
    </row>
    <row r="232" spans="23:25" x14ac:dyDescent="0.2">
      <c r="W232" s="75" t="str">
        <f t="shared" si="16"/>
        <v/>
      </c>
      <c r="X232" s="75">
        <f t="shared" si="15"/>
        <v>194</v>
      </c>
      <c r="Y232" s="75">
        <f t="shared" ref="Y232:Y288" si="17">X232-$X$37</f>
        <v>136</v>
      </c>
    </row>
    <row r="233" spans="23:25" x14ac:dyDescent="0.2">
      <c r="W233" s="75" t="str">
        <f t="shared" si="16"/>
        <v/>
      </c>
      <c r="X233" s="75">
        <f t="shared" ref="X233:X288" si="18">X232+1</f>
        <v>195</v>
      </c>
      <c r="Y233" s="75">
        <f t="shared" si="17"/>
        <v>137</v>
      </c>
    </row>
    <row r="234" spans="23:25" x14ac:dyDescent="0.2">
      <c r="W234" s="75" t="str">
        <f t="shared" si="16"/>
        <v/>
      </c>
      <c r="X234" s="75">
        <f t="shared" si="18"/>
        <v>196</v>
      </c>
      <c r="Y234" s="75">
        <f t="shared" si="17"/>
        <v>138</v>
      </c>
    </row>
    <row r="235" spans="23:25" x14ac:dyDescent="0.2">
      <c r="W235" s="75" t="str">
        <f t="shared" si="16"/>
        <v/>
      </c>
      <c r="X235" s="75">
        <f t="shared" si="18"/>
        <v>197</v>
      </c>
      <c r="Y235" s="75">
        <f t="shared" si="17"/>
        <v>139</v>
      </c>
    </row>
    <row r="236" spans="23:25" x14ac:dyDescent="0.2">
      <c r="W236" s="75" t="str">
        <f t="shared" si="16"/>
        <v/>
      </c>
      <c r="X236" s="75">
        <f t="shared" si="18"/>
        <v>198</v>
      </c>
      <c r="Y236" s="75">
        <f t="shared" si="17"/>
        <v>140</v>
      </c>
    </row>
    <row r="237" spans="23:25" x14ac:dyDescent="0.2">
      <c r="W237" s="75" t="str">
        <f t="shared" si="16"/>
        <v/>
      </c>
      <c r="X237" s="75">
        <f t="shared" si="18"/>
        <v>199</v>
      </c>
      <c r="Y237" s="75">
        <f t="shared" si="17"/>
        <v>141</v>
      </c>
    </row>
    <row r="238" spans="23:25" x14ac:dyDescent="0.2">
      <c r="W238" s="75" t="str">
        <f t="shared" si="16"/>
        <v/>
      </c>
      <c r="X238" s="75">
        <f t="shared" si="18"/>
        <v>200</v>
      </c>
      <c r="Y238" s="75">
        <f t="shared" si="17"/>
        <v>142</v>
      </c>
    </row>
    <row r="239" spans="23:25" x14ac:dyDescent="0.2">
      <c r="W239" s="75" t="str">
        <f t="shared" si="16"/>
        <v/>
      </c>
      <c r="X239" s="75">
        <f t="shared" si="18"/>
        <v>201</v>
      </c>
      <c r="Y239" s="75">
        <f t="shared" si="17"/>
        <v>143</v>
      </c>
    </row>
    <row r="240" spans="23:25" x14ac:dyDescent="0.2">
      <c r="W240" s="75" t="str">
        <f t="shared" si="16"/>
        <v/>
      </c>
      <c r="X240" s="75">
        <f t="shared" si="18"/>
        <v>202</v>
      </c>
      <c r="Y240" s="75">
        <f t="shared" si="17"/>
        <v>144</v>
      </c>
    </row>
    <row r="241" spans="23:25" x14ac:dyDescent="0.2">
      <c r="W241" s="75" t="str">
        <f t="shared" si="16"/>
        <v/>
      </c>
      <c r="X241" s="75">
        <f t="shared" si="18"/>
        <v>203</v>
      </c>
      <c r="Y241" s="75">
        <f t="shared" si="17"/>
        <v>145</v>
      </c>
    </row>
    <row r="242" spans="23:25" x14ac:dyDescent="0.2">
      <c r="W242" s="75" t="str">
        <f t="shared" si="16"/>
        <v/>
      </c>
      <c r="X242" s="75">
        <f t="shared" si="18"/>
        <v>204</v>
      </c>
      <c r="Y242" s="75">
        <f t="shared" si="17"/>
        <v>146</v>
      </c>
    </row>
    <row r="243" spans="23:25" x14ac:dyDescent="0.2">
      <c r="W243" s="75" t="str">
        <f t="shared" si="16"/>
        <v/>
      </c>
      <c r="X243" s="75">
        <f t="shared" si="18"/>
        <v>205</v>
      </c>
      <c r="Y243" s="75">
        <f t="shared" si="17"/>
        <v>147</v>
      </c>
    </row>
    <row r="244" spans="23:25" x14ac:dyDescent="0.2">
      <c r="W244" s="75" t="str">
        <f t="shared" si="16"/>
        <v/>
      </c>
      <c r="X244" s="75">
        <f t="shared" si="18"/>
        <v>206</v>
      </c>
      <c r="Y244" s="75">
        <f t="shared" si="17"/>
        <v>148</v>
      </c>
    </row>
    <row r="245" spans="23:25" x14ac:dyDescent="0.2">
      <c r="W245" s="75" t="str">
        <f t="shared" si="16"/>
        <v/>
      </c>
      <c r="X245" s="75">
        <f t="shared" si="18"/>
        <v>207</v>
      </c>
      <c r="Y245" s="75">
        <f t="shared" si="17"/>
        <v>149</v>
      </c>
    </row>
    <row r="246" spans="23:25" x14ac:dyDescent="0.2">
      <c r="W246" s="75" t="str">
        <f t="shared" si="16"/>
        <v/>
      </c>
      <c r="X246" s="75">
        <f t="shared" si="18"/>
        <v>208</v>
      </c>
      <c r="Y246" s="75">
        <f t="shared" si="17"/>
        <v>150</v>
      </c>
    </row>
    <row r="247" spans="23:25" x14ac:dyDescent="0.2">
      <c r="W247" s="75" t="str">
        <f t="shared" si="16"/>
        <v/>
      </c>
      <c r="X247" s="75">
        <f t="shared" si="18"/>
        <v>209</v>
      </c>
      <c r="Y247" s="75">
        <f t="shared" si="17"/>
        <v>151</v>
      </c>
    </row>
    <row r="248" spans="23:25" x14ac:dyDescent="0.2">
      <c r="W248" s="75" t="str">
        <f t="shared" si="16"/>
        <v/>
      </c>
      <c r="X248" s="75">
        <f t="shared" si="18"/>
        <v>210</v>
      </c>
      <c r="Y248" s="75">
        <f t="shared" si="17"/>
        <v>152</v>
      </c>
    </row>
    <row r="249" spans="23:25" x14ac:dyDescent="0.2">
      <c r="W249" s="75" t="str">
        <f t="shared" si="16"/>
        <v/>
      </c>
      <c r="X249" s="75">
        <f t="shared" si="18"/>
        <v>211</v>
      </c>
      <c r="Y249" s="75">
        <f t="shared" si="17"/>
        <v>153</v>
      </c>
    </row>
    <row r="250" spans="23:25" x14ac:dyDescent="0.2">
      <c r="W250" s="75" t="str">
        <f t="shared" si="16"/>
        <v/>
      </c>
      <c r="X250" s="75">
        <f t="shared" si="18"/>
        <v>212</v>
      </c>
      <c r="Y250" s="75">
        <f t="shared" si="17"/>
        <v>154</v>
      </c>
    </row>
    <row r="251" spans="23:25" x14ac:dyDescent="0.2">
      <c r="W251" s="75" t="str">
        <f t="shared" si="16"/>
        <v/>
      </c>
      <c r="X251" s="75">
        <f t="shared" si="18"/>
        <v>213</v>
      </c>
      <c r="Y251" s="75">
        <f t="shared" si="17"/>
        <v>155</v>
      </c>
    </row>
    <row r="252" spans="23:25" x14ac:dyDescent="0.2">
      <c r="W252" s="75" t="str">
        <f t="shared" si="16"/>
        <v/>
      </c>
      <c r="X252" s="75">
        <f t="shared" si="18"/>
        <v>214</v>
      </c>
      <c r="Y252" s="75">
        <f t="shared" si="17"/>
        <v>156</v>
      </c>
    </row>
    <row r="253" spans="23:25" x14ac:dyDescent="0.2">
      <c r="W253" s="75" t="str">
        <f t="shared" si="16"/>
        <v/>
      </c>
      <c r="X253" s="75">
        <f t="shared" si="18"/>
        <v>215</v>
      </c>
      <c r="Y253" s="75">
        <f t="shared" si="17"/>
        <v>157</v>
      </c>
    </row>
    <row r="254" spans="23:25" x14ac:dyDescent="0.2">
      <c r="W254" s="75" t="str">
        <f t="shared" si="16"/>
        <v/>
      </c>
      <c r="X254" s="75">
        <f t="shared" si="18"/>
        <v>216</v>
      </c>
      <c r="Y254" s="75">
        <f t="shared" si="17"/>
        <v>158</v>
      </c>
    </row>
    <row r="255" spans="23:25" x14ac:dyDescent="0.2">
      <c r="W255" s="75" t="str">
        <f t="shared" si="16"/>
        <v/>
      </c>
      <c r="X255" s="75">
        <f t="shared" si="18"/>
        <v>217</v>
      </c>
      <c r="Y255" s="75">
        <f t="shared" si="17"/>
        <v>159</v>
      </c>
    </row>
    <row r="256" spans="23:25" x14ac:dyDescent="0.2">
      <c r="W256" s="75" t="str">
        <f t="shared" si="16"/>
        <v/>
      </c>
      <c r="X256" s="75">
        <f t="shared" si="18"/>
        <v>218</v>
      </c>
      <c r="Y256" s="75">
        <f t="shared" si="17"/>
        <v>160</v>
      </c>
    </row>
    <row r="257" spans="23:25" x14ac:dyDescent="0.2">
      <c r="W257" s="75" t="str">
        <f t="shared" si="16"/>
        <v/>
      </c>
      <c r="X257" s="75">
        <f t="shared" si="18"/>
        <v>219</v>
      </c>
      <c r="Y257" s="75">
        <f t="shared" si="17"/>
        <v>161</v>
      </c>
    </row>
    <row r="258" spans="23:25" x14ac:dyDescent="0.2">
      <c r="W258" s="75" t="str">
        <f t="shared" si="16"/>
        <v/>
      </c>
      <c r="X258" s="75">
        <f t="shared" si="18"/>
        <v>220</v>
      </c>
      <c r="Y258" s="75">
        <f t="shared" si="17"/>
        <v>162</v>
      </c>
    </row>
    <row r="259" spans="23:25" x14ac:dyDescent="0.2">
      <c r="W259" s="75" t="str">
        <f t="shared" si="16"/>
        <v/>
      </c>
      <c r="X259" s="75">
        <f t="shared" si="18"/>
        <v>221</v>
      </c>
      <c r="Y259" s="75">
        <f t="shared" si="17"/>
        <v>163</v>
      </c>
    </row>
    <row r="260" spans="23:25" x14ac:dyDescent="0.2">
      <c r="W260" s="75" t="str">
        <f t="shared" si="16"/>
        <v/>
      </c>
      <c r="X260" s="75">
        <f t="shared" si="18"/>
        <v>222</v>
      </c>
      <c r="Y260" s="75">
        <f t="shared" si="17"/>
        <v>164</v>
      </c>
    </row>
    <row r="261" spans="23:25" x14ac:dyDescent="0.2">
      <c r="W261" s="75" t="str">
        <f t="shared" si="16"/>
        <v/>
      </c>
      <c r="X261" s="75">
        <f t="shared" si="18"/>
        <v>223</v>
      </c>
      <c r="Y261" s="75">
        <f t="shared" si="17"/>
        <v>165</v>
      </c>
    </row>
    <row r="262" spans="23:25" x14ac:dyDescent="0.2">
      <c r="W262" s="75" t="str">
        <f t="shared" ref="W262:W288" si="19">IF(Y262&lt;0,"BKK."&amp;X262,"")</f>
        <v/>
      </c>
      <c r="X262" s="75">
        <f t="shared" si="18"/>
        <v>224</v>
      </c>
      <c r="Y262" s="75">
        <f t="shared" si="17"/>
        <v>166</v>
      </c>
    </row>
    <row r="263" spans="23:25" x14ac:dyDescent="0.2">
      <c r="W263" s="75" t="str">
        <f t="shared" si="19"/>
        <v/>
      </c>
      <c r="X263" s="75">
        <f t="shared" si="18"/>
        <v>225</v>
      </c>
      <c r="Y263" s="75">
        <f t="shared" si="17"/>
        <v>167</v>
      </c>
    </row>
    <row r="264" spans="23:25" x14ac:dyDescent="0.2">
      <c r="W264" s="75" t="str">
        <f t="shared" si="19"/>
        <v/>
      </c>
      <c r="X264" s="75">
        <f t="shared" si="18"/>
        <v>226</v>
      </c>
      <c r="Y264" s="75">
        <f t="shared" si="17"/>
        <v>168</v>
      </c>
    </row>
    <row r="265" spans="23:25" x14ac:dyDescent="0.2">
      <c r="W265" s="75" t="str">
        <f t="shared" si="19"/>
        <v/>
      </c>
      <c r="X265" s="75">
        <f t="shared" si="18"/>
        <v>227</v>
      </c>
      <c r="Y265" s="75">
        <f t="shared" si="17"/>
        <v>169</v>
      </c>
    </row>
    <row r="266" spans="23:25" x14ac:dyDescent="0.2">
      <c r="W266" s="75" t="str">
        <f t="shared" si="19"/>
        <v/>
      </c>
      <c r="X266" s="75">
        <f t="shared" si="18"/>
        <v>228</v>
      </c>
      <c r="Y266" s="75">
        <f t="shared" si="17"/>
        <v>170</v>
      </c>
    </row>
    <row r="267" spans="23:25" x14ac:dyDescent="0.2">
      <c r="W267" s="75" t="str">
        <f t="shared" si="19"/>
        <v/>
      </c>
      <c r="X267" s="75">
        <f t="shared" si="18"/>
        <v>229</v>
      </c>
      <c r="Y267" s="75">
        <f t="shared" si="17"/>
        <v>171</v>
      </c>
    </row>
    <row r="268" spans="23:25" x14ac:dyDescent="0.2">
      <c r="W268" s="75" t="str">
        <f t="shared" si="19"/>
        <v/>
      </c>
      <c r="X268" s="75">
        <f t="shared" si="18"/>
        <v>230</v>
      </c>
      <c r="Y268" s="75">
        <f t="shared" si="17"/>
        <v>172</v>
      </c>
    </row>
    <row r="269" spans="23:25" x14ac:dyDescent="0.2">
      <c r="W269" s="75" t="str">
        <f t="shared" si="19"/>
        <v/>
      </c>
      <c r="X269" s="75">
        <f t="shared" si="18"/>
        <v>231</v>
      </c>
      <c r="Y269" s="75">
        <f t="shared" si="17"/>
        <v>173</v>
      </c>
    </row>
    <row r="270" spans="23:25" x14ac:dyDescent="0.2">
      <c r="W270" s="75" t="str">
        <f t="shared" si="19"/>
        <v/>
      </c>
      <c r="X270" s="75">
        <f t="shared" si="18"/>
        <v>232</v>
      </c>
      <c r="Y270" s="75">
        <f t="shared" si="17"/>
        <v>174</v>
      </c>
    </row>
    <row r="271" spans="23:25" x14ac:dyDescent="0.2">
      <c r="W271" s="75" t="str">
        <f t="shared" si="19"/>
        <v/>
      </c>
      <c r="X271" s="75">
        <f t="shared" si="18"/>
        <v>233</v>
      </c>
      <c r="Y271" s="75">
        <f t="shared" si="17"/>
        <v>175</v>
      </c>
    </row>
    <row r="272" spans="23:25" x14ac:dyDescent="0.2">
      <c r="W272" s="75" t="str">
        <f t="shared" si="19"/>
        <v/>
      </c>
      <c r="X272" s="75">
        <f t="shared" si="18"/>
        <v>234</v>
      </c>
      <c r="Y272" s="75">
        <f t="shared" si="17"/>
        <v>176</v>
      </c>
    </row>
    <row r="273" spans="23:25" x14ac:dyDescent="0.2">
      <c r="W273" s="75" t="str">
        <f t="shared" si="19"/>
        <v/>
      </c>
      <c r="X273" s="75">
        <f t="shared" si="18"/>
        <v>235</v>
      </c>
      <c r="Y273" s="75">
        <f t="shared" si="17"/>
        <v>177</v>
      </c>
    </row>
    <row r="274" spans="23:25" x14ac:dyDescent="0.2">
      <c r="W274" s="75" t="str">
        <f t="shared" si="19"/>
        <v/>
      </c>
      <c r="X274" s="75">
        <f t="shared" si="18"/>
        <v>236</v>
      </c>
      <c r="Y274" s="75">
        <f t="shared" si="17"/>
        <v>178</v>
      </c>
    </row>
    <row r="275" spans="23:25" x14ac:dyDescent="0.2">
      <c r="W275" s="75" t="str">
        <f t="shared" si="19"/>
        <v/>
      </c>
      <c r="X275" s="75">
        <f t="shared" si="18"/>
        <v>237</v>
      </c>
      <c r="Y275" s="75">
        <f t="shared" si="17"/>
        <v>179</v>
      </c>
    </row>
    <row r="276" spans="23:25" x14ac:dyDescent="0.2">
      <c r="W276" s="75" t="str">
        <f t="shared" si="19"/>
        <v/>
      </c>
      <c r="X276" s="75">
        <f t="shared" si="18"/>
        <v>238</v>
      </c>
      <c r="Y276" s="75">
        <f t="shared" si="17"/>
        <v>180</v>
      </c>
    </row>
    <row r="277" spans="23:25" x14ac:dyDescent="0.2">
      <c r="W277" s="75" t="str">
        <f t="shared" si="19"/>
        <v/>
      </c>
      <c r="X277" s="75">
        <f t="shared" si="18"/>
        <v>239</v>
      </c>
      <c r="Y277" s="75">
        <f t="shared" si="17"/>
        <v>181</v>
      </c>
    </row>
    <row r="278" spans="23:25" x14ac:dyDescent="0.2">
      <c r="W278" s="75" t="str">
        <f t="shared" si="19"/>
        <v/>
      </c>
      <c r="X278" s="75">
        <f t="shared" si="18"/>
        <v>240</v>
      </c>
      <c r="Y278" s="75">
        <f t="shared" si="17"/>
        <v>182</v>
      </c>
    </row>
    <row r="279" spans="23:25" x14ac:dyDescent="0.2">
      <c r="W279" s="75" t="str">
        <f t="shared" si="19"/>
        <v/>
      </c>
      <c r="X279" s="75">
        <f t="shared" si="18"/>
        <v>241</v>
      </c>
      <c r="Y279" s="75">
        <f t="shared" si="17"/>
        <v>183</v>
      </c>
    </row>
    <row r="280" spans="23:25" x14ac:dyDescent="0.2">
      <c r="W280" s="75" t="str">
        <f t="shared" si="19"/>
        <v/>
      </c>
      <c r="X280" s="75">
        <f t="shared" si="18"/>
        <v>242</v>
      </c>
      <c r="Y280" s="75">
        <f t="shared" si="17"/>
        <v>184</v>
      </c>
    </row>
    <row r="281" spans="23:25" x14ac:dyDescent="0.2">
      <c r="W281" s="75" t="str">
        <f t="shared" si="19"/>
        <v/>
      </c>
      <c r="X281" s="75">
        <f t="shared" si="18"/>
        <v>243</v>
      </c>
      <c r="Y281" s="75">
        <f t="shared" si="17"/>
        <v>185</v>
      </c>
    </row>
    <row r="282" spans="23:25" x14ac:dyDescent="0.2">
      <c r="W282" s="75" t="str">
        <f t="shared" si="19"/>
        <v/>
      </c>
      <c r="X282" s="75">
        <f t="shared" si="18"/>
        <v>244</v>
      </c>
      <c r="Y282" s="75">
        <f t="shared" si="17"/>
        <v>186</v>
      </c>
    </row>
    <row r="283" spans="23:25" x14ac:dyDescent="0.2">
      <c r="W283" s="75" t="str">
        <f t="shared" si="19"/>
        <v/>
      </c>
      <c r="X283" s="75">
        <f t="shared" si="18"/>
        <v>245</v>
      </c>
      <c r="Y283" s="75">
        <f t="shared" si="17"/>
        <v>187</v>
      </c>
    </row>
    <row r="284" spans="23:25" x14ac:dyDescent="0.2">
      <c r="W284" s="75" t="str">
        <f t="shared" si="19"/>
        <v/>
      </c>
      <c r="X284" s="75">
        <f t="shared" si="18"/>
        <v>246</v>
      </c>
      <c r="Y284" s="75">
        <f t="shared" si="17"/>
        <v>188</v>
      </c>
    </row>
    <row r="285" spans="23:25" x14ac:dyDescent="0.2">
      <c r="W285" s="75" t="str">
        <f t="shared" si="19"/>
        <v/>
      </c>
      <c r="X285" s="75">
        <f t="shared" si="18"/>
        <v>247</v>
      </c>
      <c r="Y285" s="75">
        <f t="shared" si="17"/>
        <v>189</v>
      </c>
    </row>
    <row r="286" spans="23:25" x14ac:dyDescent="0.2">
      <c r="W286" s="75" t="str">
        <f t="shared" si="19"/>
        <v/>
      </c>
      <c r="X286" s="75">
        <f t="shared" si="18"/>
        <v>248</v>
      </c>
      <c r="Y286" s="75">
        <f t="shared" si="17"/>
        <v>190</v>
      </c>
    </row>
    <row r="287" spans="23:25" x14ac:dyDescent="0.2">
      <c r="W287" s="75" t="str">
        <f t="shared" si="19"/>
        <v/>
      </c>
      <c r="X287" s="75">
        <f t="shared" si="18"/>
        <v>249</v>
      </c>
      <c r="Y287" s="75">
        <f t="shared" si="17"/>
        <v>191</v>
      </c>
    </row>
    <row r="288" spans="23:25" x14ac:dyDescent="0.2">
      <c r="W288" s="75" t="str">
        <f t="shared" si="19"/>
        <v/>
      </c>
      <c r="X288" s="75">
        <f t="shared" si="18"/>
        <v>250</v>
      </c>
      <c r="Y288" s="75">
        <f t="shared" si="17"/>
        <v>192</v>
      </c>
    </row>
  </sheetData>
  <mergeCells count="51">
    <mergeCell ref="U2:U3"/>
    <mergeCell ref="V2:Z2"/>
    <mergeCell ref="AA2:AA3"/>
    <mergeCell ref="AB2:AB3"/>
    <mergeCell ref="V3:W3"/>
    <mergeCell ref="X3:Y3"/>
    <mergeCell ref="B1:M1"/>
    <mergeCell ref="B2:M2"/>
    <mergeCell ref="C12:D12"/>
    <mergeCell ref="K12:M12"/>
    <mergeCell ref="E10:F10"/>
    <mergeCell ref="G10:H10"/>
    <mergeCell ref="K10:M11"/>
    <mergeCell ref="C10:D11"/>
    <mergeCell ref="B10:B11"/>
    <mergeCell ref="I10:J10"/>
    <mergeCell ref="C13:D13"/>
    <mergeCell ref="K13:M13"/>
    <mergeCell ref="C14:D14"/>
    <mergeCell ref="K14:M14"/>
    <mergeCell ref="C15:D15"/>
    <mergeCell ref="K15:M15"/>
    <mergeCell ref="C16:D16"/>
    <mergeCell ref="K16:M16"/>
    <mergeCell ref="C17:D17"/>
    <mergeCell ref="K17:M17"/>
    <mergeCell ref="C18:D18"/>
    <mergeCell ref="K18:M18"/>
    <mergeCell ref="C22:D22"/>
    <mergeCell ref="C23:D23"/>
    <mergeCell ref="K22:M22"/>
    <mergeCell ref="K23:M23"/>
    <mergeCell ref="C19:D19"/>
    <mergeCell ref="K19:M19"/>
    <mergeCell ref="C20:D20"/>
    <mergeCell ref="K20:M20"/>
    <mergeCell ref="C21:D21"/>
    <mergeCell ref="K21:M21"/>
    <mergeCell ref="B27:D27"/>
    <mergeCell ref="B24:D24"/>
    <mergeCell ref="K24:M24"/>
    <mergeCell ref="E25:F25"/>
    <mergeCell ref="G25:H25"/>
    <mergeCell ref="B25:D25"/>
    <mergeCell ref="I25:J25"/>
    <mergeCell ref="K25:M25"/>
    <mergeCell ref="B35:D35"/>
    <mergeCell ref="B33:D33"/>
    <mergeCell ref="B34:D34"/>
    <mergeCell ref="B30:D30"/>
    <mergeCell ref="B28:D29"/>
  </mergeCells>
  <pageMargins left="0.39370078740157483" right="0.39370078740157483" top="0.98425196850393704" bottom="0.51181102362204722" header="0.31496062992125984" footer="0.31496062992125984"/>
  <pageSetup paperSize="9" scale="90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3B73700E-04E2-4FB3-ADB0-3D136549C048}">
            <xm:f>'BKU 1'!$E$1=7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7" id="{94BA10C4-3E00-46FF-8DFB-6C69E939144B}">
            <xm:f>'BKU 1'!$E$1=6</xm:f>
            <x14:dxf>
              <fill>
                <patternFill>
                  <bgColor rgb="FFFFC000"/>
                </patternFill>
              </fill>
            </x14:dxf>
          </x14:cfRule>
          <x14:cfRule type="expression" priority="8" id="{49A5D7B1-5FE0-40DD-8199-5EA7EA5C6F2A}">
            <xm:f>'BKU 1'!$E$1=5</xm:f>
            <x14:dxf>
              <fill>
                <patternFill>
                  <bgColor rgb="FF92D050"/>
                </patternFill>
              </fill>
            </x14:dxf>
          </x14:cfRule>
          <x14:cfRule type="expression" priority="9" id="{04E00A98-9CC8-490B-9512-D7295A83A7FB}">
            <xm:f>'BKU 1'!$E$1=4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" id="{0C9C12BE-9302-4B19-B06F-3348109B1D6D}">
            <xm:f>'BKU 1'!$E$1=3</xm:f>
            <x14:dxf>
              <fill>
                <patternFill>
                  <bgColor rgb="FF00B0F0"/>
                </patternFill>
              </fill>
            </x14:dxf>
          </x14:cfRule>
          <x14:cfRule type="expression" priority="11" id="{04264D7F-2167-40BD-B3AC-6107F9B710B2}">
            <xm:f>'BKU 1'!$E$1=2</xm:f>
            <x14:dxf>
              <fill>
                <patternFill>
                  <bgColor theme="2" tint="-0.24994659260841701"/>
                </patternFill>
              </fill>
            </x14:dxf>
          </x14:cfRule>
          <x14:cfRule type="expression" priority="12" id="{41289070-5DB2-43F2-A78B-C6D8D36B82C7}">
            <xm:f>'BKU 1'!$E$1=1</xm:f>
            <x14:dxf>
              <fill>
                <patternFill>
                  <bgColor theme="0" tint="-0.14996795556505021"/>
                </patternFill>
              </fill>
            </x14:dxf>
          </x14:cfRule>
          <xm:sqref>B10:M11 B24:M24 B25:K25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I6838"/>
  <sheetViews>
    <sheetView showZeros="0" view="pageBreakPreview" zoomScale="70" zoomScaleNormal="100" zoomScaleSheetLayoutView="70" workbookViewId="0">
      <selection activeCell="N6791" sqref="N6791"/>
    </sheetView>
  </sheetViews>
  <sheetFormatPr defaultColWidth="9.140625" defaultRowHeight="12.75" x14ac:dyDescent="0.2"/>
  <cols>
    <col min="1" max="1" width="9.5703125" style="93" customWidth="1"/>
    <col min="2" max="2" width="26.42578125" style="94" customWidth="1"/>
    <col min="3" max="3" width="33.42578125" style="94" customWidth="1"/>
    <col min="4" max="4" width="9" style="94" customWidth="1"/>
    <col min="5" max="5" width="11.5703125" style="94" customWidth="1"/>
    <col min="6" max="6" width="9.5703125" style="94" customWidth="1"/>
    <col min="7" max="8" width="17.5703125" style="95" customWidth="1"/>
    <col min="9" max="9" width="17.7109375" style="96" customWidth="1"/>
    <col min="10" max="16384" width="9.140625" style="94"/>
  </cols>
  <sheetData>
    <row r="1" spans="1:9" ht="15" customHeight="1" x14ac:dyDescent="0.2">
      <c r="A1" s="799" t="s">
        <v>314</v>
      </c>
      <c r="B1" s="799"/>
      <c r="C1" s="799"/>
      <c r="D1" s="800"/>
      <c r="E1" s="800"/>
      <c r="F1" s="799"/>
      <c r="G1" s="799"/>
      <c r="H1" s="799"/>
      <c r="I1" s="799"/>
    </row>
    <row r="2" spans="1:9" x14ac:dyDescent="0.2">
      <c r="A2" s="799" t="str">
        <f>'BKU 1'!D22</f>
        <v>PEMBANGUNAN TOILET BESERTA SANITASINYA</v>
      </c>
      <c r="B2" s="799"/>
      <c r="C2" s="799"/>
      <c r="D2" s="800"/>
      <c r="E2" s="800"/>
      <c r="F2" s="799"/>
      <c r="G2" s="799"/>
      <c r="H2" s="799"/>
      <c r="I2" s="799"/>
    </row>
    <row r="4" spans="1:9" x14ac:dyDescent="0.2">
      <c r="A4" s="97" t="str">
        <f>'REKAP PAJAK'!B5</f>
        <v>Sekolah</v>
      </c>
      <c r="B4" s="94" t="str">
        <f>": "&amp;'REKAP PAJAK'!D5</f>
        <v>: SDN 1 SIDODADI</v>
      </c>
    </row>
    <row r="5" spans="1:9" x14ac:dyDescent="0.2">
      <c r="A5" s="97" t="str">
        <f>'REKAP PAJAK'!B6</f>
        <v>Alamat</v>
      </c>
      <c r="B5" s="94" t="str">
        <f>": "&amp;'REKAP PAJAK'!D6</f>
        <v>: Jl. Kawi No.36 Rt. 1 Rw. 1 Dusun Sekar, Rt / Rw : 1 / 1, Dusun : Sekar, Kelurahan : Sidodadi</v>
      </c>
    </row>
    <row r="6" spans="1:9" x14ac:dyDescent="0.2">
      <c r="A6" s="97" t="str">
        <f>'REKAP PAJAK'!B7</f>
        <v>Kecamatan</v>
      </c>
      <c r="B6" s="94" t="str">
        <f>": "&amp;'REKAP PAJAK'!D7</f>
        <v>: NGANTANG</v>
      </c>
    </row>
    <row r="7" spans="1:9" x14ac:dyDescent="0.2">
      <c r="A7" s="97" t="str">
        <f>'REKAP PAJAK'!B8</f>
        <v>NPWP</v>
      </c>
      <c r="B7" s="98" t="str">
        <f>": "&amp;'REKAP PAJAK'!D8</f>
        <v>: 0</v>
      </c>
    </row>
    <row r="8" spans="1:9" ht="7.5" customHeight="1" x14ac:dyDescent="0.2"/>
    <row r="9" spans="1:9" s="92" customFormat="1" x14ac:dyDescent="0.2">
      <c r="A9" s="99" t="s">
        <v>312</v>
      </c>
      <c r="B9" s="100" t="s">
        <v>0</v>
      </c>
      <c r="C9" s="100" t="s">
        <v>1</v>
      </c>
      <c r="D9" s="94" t="s">
        <v>340</v>
      </c>
      <c r="E9" s="101" t="s">
        <v>341</v>
      </c>
      <c r="F9" s="100" t="s">
        <v>313</v>
      </c>
      <c r="G9" s="102" t="s">
        <v>2</v>
      </c>
      <c r="H9" s="103" t="s">
        <v>399</v>
      </c>
      <c r="I9" s="104" t="s">
        <v>311</v>
      </c>
    </row>
    <row r="10" spans="1:9" ht="19.5" hidden="1" customHeight="1" x14ac:dyDescent="0.2">
      <c r="A10" s="105" t="str">
        <f>IF(D10=1,COUNTIF($D$10:D10,1)," ")</f>
        <v xml:space="preserve"> </v>
      </c>
      <c r="B10" s="106" t="str">
        <f>COPY!AR2</f>
        <v/>
      </c>
      <c r="C10" s="107">
        <f>COPY!AC2</f>
        <v>0</v>
      </c>
      <c r="D10" s="108" t="str">
        <f>IF(LEN(Table1722[[#This Row],[Uraian]])&gt;2,1," ")</f>
        <v xml:space="preserve"> </v>
      </c>
      <c r="E10" s="109" t="str">
        <f>IF(Table1722[[#This Row],[Lawan Transaksi]]="CV AGUNG KARYA",COUNTIF($I$10:I10,"CV AGUNG KARYA")," ")</f>
        <v xml:space="preserve"> </v>
      </c>
      <c r="F10" s="107" t="str">
        <f>IF(LEN(Table1722[[#This Row],[Uraian]])&gt;2,TRIM(RIGHT(SUBSTITUTE(TRIM(C10)," ",REPT(" ",255)),255))," ")</f>
        <v xml:space="preserve"> </v>
      </c>
      <c r="G10" s="110">
        <f>COPY!Z2</f>
        <v>0</v>
      </c>
      <c r="H10" s="111" t="str">
        <f>IFERROR(VLOOKUP(Table1722[[#This Row],[Bukti]],'Un nOTA'!$A$4:$K$5003,10,FALSE),"")</f>
        <v/>
      </c>
      <c r="I10" s="112" t="str">
        <f>IFERROR(VLOOKUP(Table1722[[#This Row],[Bukti]],Table13[#Data],11,FALSE),"")</f>
        <v/>
      </c>
    </row>
    <row r="11" spans="1:9" ht="19.5" hidden="1" customHeight="1" x14ac:dyDescent="0.2">
      <c r="A11" s="105" t="str">
        <f>IF(D11=1,COUNTIF($D$10:D11,1)," ")</f>
        <v xml:space="preserve"> </v>
      </c>
      <c r="B11" s="106" t="str">
        <f>COPY!AR3</f>
        <v/>
      </c>
      <c r="C11" s="107">
        <f>COPY!AC3</f>
        <v>0</v>
      </c>
      <c r="D11" s="107" t="str">
        <f>IF(LEN(Table1722[[#This Row],[Uraian]])&gt;2,1," ")</f>
        <v xml:space="preserve"> </v>
      </c>
      <c r="E11" s="113" t="str">
        <f>IF(Table1722[[#This Row],[Lawan Transaksi]]="CV AGUNG KARYA",COUNTIF($I$10:I11,"CV AGUNG KARYA")," ")</f>
        <v xml:space="preserve"> </v>
      </c>
      <c r="F11" s="107" t="str">
        <f>IF(LEN(Table1722[[#This Row],[Uraian]])&gt;2,TRIM(RIGHT(SUBSTITUTE(TRIM(C11)," ",REPT(" ",255)),255))," ")</f>
        <v xml:space="preserve"> </v>
      </c>
      <c r="G11" s="110">
        <f>COPY!Z3</f>
        <v>0</v>
      </c>
      <c r="H11" s="111" t="str">
        <f>IFERROR(VLOOKUP(Table1722[[#This Row],[Bukti]],'Un nOTA'!$A$4:$K$5003,10,FALSE),"")</f>
        <v/>
      </c>
      <c r="I11" s="112" t="str">
        <f>IFERROR(VLOOKUP(Table1722[[#This Row],[Bukti]],Table13[#Data],11,FALSE),"")</f>
        <v/>
      </c>
    </row>
    <row r="12" spans="1:9" ht="19.5" hidden="1" customHeight="1" x14ac:dyDescent="0.2">
      <c r="A12" s="105" t="str">
        <f>IF(D12=1,COUNTIF($D$10:D12,1)," ")</f>
        <v xml:space="preserve"> </v>
      </c>
      <c r="B12" s="106" t="str">
        <f>COPY!AR4</f>
        <v/>
      </c>
      <c r="C12" s="107">
        <f>COPY!AC4</f>
        <v>0</v>
      </c>
      <c r="D12" s="107" t="str">
        <f>IF(LEN(Table1722[[#This Row],[Uraian]])&gt;2,1," ")</f>
        <v xml:space="preserve"> </v>
      </c>
      <c r="E12" s="113" t="str">
        <f>IF(Table1722[[#This Row],[Lawan Transaksi]]="CV AGUNG KARYA",COUNTIF($I$10:I12,"CV AGUNG KARYA")," ")</f>
        <v xml:space="preserve"> </v>
      </c>
      <c r="F12" s="107" t="str">
        <f>IF(LEN(Table1722[[#This Row],[Uraian]])&gt;2,TRIM(RIGHT(SUBSTITUTE(TRIM(C12)," ",REPT(" ",255)),255))," ")</f>
        <v xml:space="preserve"> </v>
      </c>
      <c r="G12" s="110">
        <f>COPY!Z4</f>
        <v>0</v>
      </c>
      <c r="H12" s="111" t="str">
        <f>IFERROR(VLOOKUP(Table1722[[#This Row],[Bukti]],'Un nOTA'!$A$4:$K$5003,10,FALSE),"")</f>
        <v/>
      </c>
      <c r="I12" s="112" t="str">
        <f>IFERROR(VLOOKUP(Table1722[[#This Row],[Bukti]],Table13[#Data],11,FALSE),"")</f>
        <v/>
      </c>
    </row>
    <row r="13" spans="1:9" ht="19.5" hidden="1" customHeight="1" x14ac:dyDescent="0.2">
      <c r="A13" s="105" t="str">
        <f>IF(D13=1,COUNTIF($D$10:D13,1)," ")</f>
        <v xml:space="preserve"> </v>
      </c>
      <c r="B13" s="106" t="str">
        <f>COPY!AR5</f>
        <v/>
      </c>
      <c r="C13" s="107">
        <f>COPY!AC5</f>
        <v>0</v>
      </c>
      <c r="D13" s="107" t="str">
        <f>IF(LEN(Table1722[[#This Row],[Uraian]])&gt;2,1," ")</f>
        <v xml:space="preserve"> </v>
      </c>
      <c r="E13" s="113" t="str">
        <f>IF(Table1722[[#This Row],[Lawan Transaksi]]="CV AGUNG KARYA",COUNTIF($I$10:I13,"CV AGUNG KARYA")," ")</f>
        <v xml:space="preserve"> </v>
      </c>
      <c r="F13" s="107" t="str">
        <f>IF(LEN(Table1722[[#This Row],[Uraian]])&gt;2,TRIM(RIGHT(SUBSTITUTE(TRIM(C13)," ",REPT(" ",255)),255))," ")</f>
        <v xml:space="preserve"> </v>
      </c>
      <c r="G13" s="110">
        <f>COPY!Z5</f>
        <v>0</v>
      </c>
      <c r="H13" s="111" t="str">
        <f>IFERROR(VLOOKUP(Table1722[[#This Row],[Bukti]],'Un nOTA'!$A$4:$K$5003,10,FALSE),"")</f>
        <v/>
      </c>
      <c r="I13" s="112" t="str">
        <f>IFERROR(VLOOKUP(Table1722[[#This Row],[Bukti]],Table13[#Data],11,FALSE),"")</f>
        <v/>
      </c>
    </row>
    <row r="14" spans="1:9" ht="19.5" hidden="1" customHeight="1" x14ac:dyDescent="0.2">
      <c r="A14" s="105" t="str">
        <f>IF(D14=1,COUNTIF($D$10:D14,1)," ")</f>
        <v xml:space="preserve"> </v>
      </c>
      <c r="B14" s="106" t="str">
        <f>COPY!AR6</f>
        <v/>
      </c>
      <c r="C14" s="107">
        <f>COPY!AC6</f>
        <v>0</v>
      </c>
      <c r="D14" s="107" t="str">
        <f>IF(LEN(Table1722[[#This Row],[Uraian]])&gt;2,1," ")</f>
        <v xml:space="preserve"> </v>
      </c>
      <c r="E14" s="113" t="str">
        <f>IF(Table1722[[#This Row],[Lawan Transaksi]]="CV AGUNG KARYA",COUNTIF($I$10:I14,"CV AGUNG KARYA")," ")</f>
        <v xml:space="preserve"> </v>
      </c>
      <c r="F14" s="107" t="str">
        <f>IF(LEN(Table1722[[#This Row],[Uraian]])&gt;2,TRIM(RIGHT(SUBSTITUTE(TRIM(C14)," ",REPT(" ",255)),255))," ")</f>
        <v xml:space="preserve"> </v>
      </c>
      <c r="G14" s="110">
        <f>COPY!Z6</f>
        <v>0</v>
      </c>
      <c r="H14" s="111" t="str">
        <f>IFERROR(VLOOKUP(Table1722[[#This Row],[Bukti]],'Un nOTA'!$A$4:$K$5003,10,FALSE),"")</f>
        <v/>
      </c>
      <c r="I14" s="112" t="str">
        <f>IFERROR(VLOOKUP(Table1722[[#This Row],[Bukti]],Table13[#Data],11,FALSE),"")</f>
        <v/>
      </c>
    </row>
    <row r="15" spans="1:9" ht="19.5" hidden="1" customHeight="1" x14ac:dyDescent="0.2">
      <c r="A15" s="105" t="str">
        <f>IF(D15=1,COUNTIF($D$10:D15,1)," ")</f>
        <v xml:space="preserve"> </v>
      </c>
      <c r="B15" s="106" t="str">
        <f>COPY!AR7</f>
        <v/>
      </c>
      <c r="C15" s="107">
        <f>COPY!AC7</f>
        <v>0</v>
      </c>
      <c r="D15" s="107" t="str">
        <f>IF(LEN(Table1722[[#This Row],[Uraian]])&gt;2,1," ")</f>
        <v xml:space="preserve"> </v>
      </c>
      <c r="E15" s="113" t="str">
        <f>IF(Table1722[[#This Row],[Lawan Transaksi]]="CV AGUNG KARYA",COUNTIF($I$10:I15,"CV AGUNG KARYA")," ")</f>
        <v xml:space="preserve"> </v>
      </c>
      <c r="F15" s="107" t="str">
        <f>IF(LEN(Table1722[[#This Row],[Uraian]])&gt;2,TRIM(RIGHT(SUBSTITUTE(TRIM(C15)," ",REPT(" ",255)),255))," ")</f>
        <v xml:space="preserve"> </v>
      </c>
      <c r="G15" s="110">
        <f>COPY!Z7</f>
        <v>0</v>
      </c>
      <c r="H15" s="111" t="str">
        <f>IFERROR(VLOOKUP(Table1722[[#This Row],[Bukti]],'Un nOTA'!$A$4:$K$5003,10,FALSE),"")</f>
        <v/>
      </c>
      <c r="I15" s="112" t="str">
        <f>IFERROR(VLOOKUP(Table1722[[#This Row],[Bukti]],Table13[#Data],11,FALSE),"")</f>
        <v/>
      </c>
    </row>
    <row r="16" spans="1:9" ht="19.5" hidden="1" customHeight="1" x14ac:dyDescent="0.2">
      <c r="A16" s="105" t="str">
        <f>IF(D16=1,COUNTIF($D$10:D16,1)," ")</f>
        <v xml:space="preserve"> </v>
      </c>
      <c r="B16" s="106" t="str">
        <f>COPY!AR8</f>
        <v/>
      </c>
      <c r="C16" s="107">
        <f>COPY!AC8</f>
        <v>0</v>
      </c>
      <c r="D16" s="107" t="str">
        <f>IF(LEN(Table1722[[#This Row],[Uraian]])&gt;2,1," ")</f>
        <v xml:space="preserve"> </v>
      </c>
      <c r="E16" s="113" t="str">
        <f>IF(Table1722[[#This Row],[Lawan Transaksi]]="CV AGUNG KARYA",COUNTIF($I$10:I16,"CV AGUNG KARYA")," ")</f>
        <v xml:space="preserve"> </v>
      </c>
      <c r="F16" s="107" t="str">
        <f>IF(LEN(Table1722[[#This Row],[Uraian]])&gt;2,TRIM(RIGHT(SUBSTITUTE(TRIM(C16)," ",REPT(" ",255)),255))," ")</f>
        <v xml:space="preserve"> </v>
      </c>
      <c r="G16" s="110">
        <f>COPY!Z8</f>
        <v>0</v>
      </c>
      <c r="H16" s="111" t="str">
        <f>IFERROR(VLOOKUP(Table1722[[#This Row],[Bukti]],'Un nOTA'!$A$4:$K$5003,10,FALSE),"")</f>
        <v/>
      </c>
      <c r="I16" s="112" t="str">
        <f>IFERROR(VLOOKUP(Table1722[[#This Row],[Bukti]],Table13[#Data],11,FALSE),"")</f>
        <v/>
      </c>
    </row>
    <row r="17" spans="1:9" ht="19.5" hidden="1" customHeight="1" x14ac:dyDescent="0.2">
      <c r="A17" s="105" t="str">
        <f>IF(D17=1,COUNTIF($D$10:D17,1)," ")</f>
        <v xml:space="preserve"> </v>
      </c>
      <c r="B17" s="106" t="str">
        <f>COPY!AR9</f>
        <v/>
      </c>
      <c r="C17" s="107">
        <f>COPY!AC9</f>
        <v>0</v>
      </c>
      <c r="D17" s="107" t="str">
        <f>IF(LEN(Table1722[[#This Row],[Uraian]])&gt;2,1," ")</f>
        <v xml:space="preserve"> </v>
      </c>
      <c r="E17" s="113" t="str">
        <f>IF(Table1722[[#This Row],[Lawan Transaksi]]="CV AGUNG KARYA",COUNTIF($I$10:I17,"CV AGUNG KARYA")," ")</f>
        <v xml:space="preserve"> </v>
      </c>
      <c r="F17" s="107" t="str">
        <f>IF(LEN(Table1722[[#This Row],[Uraian]])&gt;2,TRIM(RIGHT(SUBSTITUTE(TRIM(C17)," ",REPT(" ",255)),255))," ")</f>
        <v xml:space="preserve"> </v>
      </c>
      <c r="G17" s="110">
        <f>COPY!Z9</f>
        <v>0</v>
      </c>
      <c r="H17" s="111" t="str">
        <f>IFERROR(VLOOKUP(Table1722[[#This Row],[Bukti]],'Un nOTA'!$A$4:$K$5003,10,FALSE),"")</f>
        <v/>
      </c>
      <c r="I17" s="112" t="str">
        <f>IFERROR(VLOOKUP(Table1722[[#This Row],[Bukti]],Table13[#Data],11,FALSE),"")</f>
        <v/>
      </c>
    </row>
    <row r="18" spans="1:9" ht="19.5" hidden="1" customHeight="1" x14ac:dyDescent="0.2">
      <c r="A18" s="105" t="str">
        <f>IF(D18=1,COUNTIF($D$10:D18,1)," ")</f>
        <v xml:space="preserve"> </v>
      </c>
      <c r="B18" s="106" t="str">
        <f>COPY!AR10</f>
        <v/>
      </c>
      <c r="C18" s="107">
        <f>COPY!AC10</f>
        <v>0</v>
      </c>
      <c r="D18" s="107" t="str">
        <f>IF(LEN(Table1722[[#This Row],[Uraian]])&gt;2,1," ")</f>
        <v xml:space="preserve"> </v>
      </c>
      <c r="E18" s="113" t="str">
        <f>IF(Table1722[[#This Row],[Lawan Transaksi]]="CV AGUNG KARYA",COUNTIF($I$10:I18,"CV AGUNG KARYA")," ")</f>
        <v xml:space="preserve"> </v>
      </c>
      <c r="F18" s="107" t="str">
        <f>IF(LEN(Table1722[[#This Row],[Uraian]])&gt;2,TRIM(RIGHT(SUBSTITUTE(TRIM(C18)," ",REPT(" ",255)),255))," ")</f>
        <v xml:space="preserve"> </v>
      </c>
      <c r="G18" s="110">
        <f>COPY!Z10</f>
        <v>0</v>
      </c>
      <c r="H18" s="111" t="str">
        <f>IFERROR(VLOOKUP(Table1722[[#This Row],[Bukti]],'Un nOTA'!$A$4:$K$5003,10,FALSE),"")</f>
        <v/>
      </c>
      <c r="I18" s="112" t="str">
        <f>IFERROR(VLOOKUP(Table1722[[#This Row],[Bukti]],Table13[#Data],11,FALSE),"")</f>
        <v/>
      </c>
    </row>
    <row r="19" spans="1:9" ht="19.5" hidden="1" customHeight="1" x14ac:dyDescent="0.2">
      <c r="A19" s="105" t="str">
        <f>IF(D19=1,COUNTIF($D$10:D19,1)," ")</f>
        <v xml:space="preserve"> </v>
      </c>
      <c r="B19" s="106" t="str">
        <f>COPY!AR11</f>
        <v/>
      </c>
      <c r="C19" s="107">
        <f>COPY!AC11</f>
        <v>0</v>
      </c>
      <c r="D19" s="107" t="str">
        <f>IF(LEN(Table1722[[#This Row],[Uraian]])&gt;2,1," ")</f>
        <v xml:space="preserve"> </v>
      </c>
      <c r="E19" s="113" t="str">
        <f>IF(Table1722[[#This Row],[Lawan Transaksi]]="CV AGUNG KARYA",COUNTIF($I$10:I19,"CV AGUNG KARYA")," ")</f>
        <v xml:space="preserve"> </v>
      </c>
      <c r="F19" s="107" t="str">
        <f>IF(LEN(Table1722[[#This Row],[Uraian]])&gt;2,TRIM(RIGHT(SUBSTITUTE(TRIM(C19)," ",REPT(" ",255)),255))," ")</f>
        <v xml:space="preserve"> </v>
      </c>
      <c r="G19" s="110">
        <f>COPY!Z11</f>
        <v>0</v>
      </c>
      <c r="H19" s="111" t="str">
        <f>IFERROR(VLOOKUP(Table1722[[#This Row],[Bukti]],'Un nOTA'!$A$4:$K$5003,10,FALSE),"")</f>
        <v/>
      </c>
      <c r="I19" s="112" t="str">
        <f>IFERROR(VLOOKUP(Table1722[[#This Row],[Bukti]],Table13[#Data],11,FALSE),"")</f>
        <v/>
      </c>
    </row>
    <row r="20" spans="1:9" ht="19.5" hidden="1" customHeight="1" x14ac:dyDescent="0.2">
      <c r="A20" s="105" t="str">
        <f>IF(D20=1,COUNTIF($D$10:D20,1)," ")</f>
        <v xml:space="preserve"> </v>
      </c>
      <c r="B20" s="106" t="str">
        <f>COPY!AR12</f>
        <v/>
      </c>
      <c r="C20" s="107">
        <f>COPY!AC12</f>
        <v>0</v>
      </c>
      <c r="D20" s="107" t="str">
        <f>IF(LEN(Table1722[[#This Row],[Uraian]])&gt;2,1," ")</f>
        <v xml:space="preserve"> </v>
      </c>
      <c r="E20" s="113" t="str">
        <f>IF(Table1722[[#This Row],[Lawan Transaksi]]="CV AGUNG KARYA",COUNTIF($I$10:I20,"CV AGUNG KARYA")," ")</f>
        <v xml:space="preserve"> </v>
      </c>
      <c r="F20" s="107" t="str">
        <f>IF(LEN(Table1722[[#This Row],[Uraian]])&gt;2,TRIM(RIGHT(SUBSTITUTE(TRIM(C20)," ",REPT(" ",255)),255))," ")</f>
        <v xml:space="preserve"> </v>
      </c>
      <c r="G20" s="110">
        <f>COPY!Z12</f>
        <v>0</v>
      </c>
      <c r="H20" s="111" t="str">
        <f>IFERROR(VLOOKUP(Table1722[[#This Row],[Bukti]],'Un nOTA'!$A$4:$K$5003,10,FALSE),"")</f>
        <v/>
      </c>
      <c r="I20" s="112" t="str">
        <f>IFERROR(VLOOKUP(Table1722[[#This Row],[Bukti]],Table13[#Data],11,FALSE),"")</f>
        <v/>
      </c>
    </row>
    <row r="21" spans="1:9" ht="19.5" hidden="1" customHeight="1" x14ac:dyDescent="0.2">
      <c r="A21" s="105" t="str">
        <f>IF(D21=1,COUNTIF($D$10:D21,1)," ")</f>
        <v xml:space="preserve"> </v>
      </c>
      <c r="B21" s="106" t="str">
        <f>COPY!AR13</f>
        <v/>
      </c>
      <c r="C21" s="107">
        <f>COPY!AC13</f>
        <v>0</v>
      </c>
      <c r="D21" s="107" t="str">
        <f>IF(LEN(Table1722[[#This Row],[Uraian]])&gt;2,1," ")</f>
        <v xml:space="preserve"> </v>
      </c>
      <c r="E21" s="113" t="str">
        <f>IF(Table1722[[#This Row],[Lawan Transaksi]]="CV AGUNG KARYA",COUNTIF($I$10:I21,"CV AGUNG KARYA")," ")</f>
        <v xml:space="preserve"> </v>
      </c>
      <c r="F21" s="107" t="str">
        <f>IF(LEN(Table1722[[#This Row],[Uraian]])&gt;2,TRIM(RIGHT(SUBSTITUTE(TRIM(C21)," ",REPT(" ",255)),255))," ")</f>
        <v xml:space="preserve"> </v>
      </c>
      <c r="G21" s="110">
        <f>COPY!Z13</f>
        <v>0</v>
      </c>
      <c r="H21" s="111" t="str">
        <f>IFERROR(VLOOKUP(Table1722[[#This Row],[Bukti]],'Un nOTA'!$A$4:$K$5003,10,FALSE),"")</f>
        <v/>
      </c>
      <c r="I21" s="112" t="str">
        <f>IFERROR(VLOOKUP(Table1722[[#This Row],[Bukti]],Table13[#Data],11,FALSE),"")</f>
        <v/>
      </c>
    </row>
    <row r="22" spans="1:9" ht="19.5" hidden="1" customHeight="1" x14ac:dyDescent="0.2">
      <c r="A22" s="105" t="str">
        <f>IF(D22=1,COUNTIF($D$10:D22,1)," ")</f>
        <v xml:space="preserve"> </v>
      </c>
      <c r="B22" s="106" t="str">
        <f>COPY!AR14</f>
        <v/>
      </c>
      <c r="C22" s="107">
        <f>COPY!AC14</f>
        <v>0</v>
      </c>
      <c r="D22" s="107" t="str">
        <f>IF(LEN(Table1722[[#This Row],[Uraian]])&gt;2,1," ")</f>
        <v xml:space="preserve"> </v>
      </c>
      <c r="E22" s="113" t="str">
        <f>IF(Table1722[[#This Row],[Lawan Transaksi]]="CV AGUNG KARYA",COUNTIF($I$10:I22,"CV AGUNG KARYA")," ")</f>
        <v xml:space="preserve"> </v>
      </c>
      <c r="F22" s="107" t="str">
        <f>IF(LEN(Table1722[[#This Row],[Uraian]])&gt;2,TRIM(RIGHT(SUBSTITUTE(TRIM(C22)," ",REPT(" ",255)),255))," ")</f>
        <v xml:space="preserve"> </v>
      </c>
      <c r="G22" s="110">
        <f>COPY!Z14</f>
        <v>0</v>
      </c>
      <c r="H22" s="111" t="str">
        <f>IFERROR(VLOOKUP(Table1722[[#This Row],[Bukti]],'Un nOTA'!$A$4:$K$5003,10,FALSE),"")</f>
        <v/>
      </c>
      <c r="I22" s="112" t="str">
        <f>IFERROR(VLOOKUP(Table1722[[#This Row],[Bukti]],Table13[#Data],11,FALSE),"")</f>
        <v/>
      </c>
    </row>
    <row r="23" spans="1:9" ht="19.5" hidden="1" customHeight="1" x14ac:dyDescent="0.2">
      <c r="A23" s="105" t="str">
        <f>IF(D23=1,COUNTIF($D$10:D23,1)," ")</f>
        <v xml:space="preserve"> </v>
      </c>
      <c r="B23" s="106" t="str">
        <f>COPY!AR15</f>
        <v/>
      </c>
      <c r="C23" s="107">
        <f>COPY!AC15</f>
        <v>0</v>
      </c>
      <c r="D23" s="107" t="str">
        <f>IF(LEN(Table1722[[#This Row],[Uraian]])&gt;2,1," ")</f>
        <v xml:space="preserve"> </v>
      </c>
      <c r="E23" s="113" t="str">
        <f>IF(Table1722[[#This Row],[Lawan Transaksi]]="CV AGUNG KARYA",COUNTIF($I$10:I23,"CV AGUNG KARYA")," ")</f>
        <v xml:space="preserve"> </v>
      </c>
      <c r="F23" s="107" t="str">
        <f>IF(LEN(Table1722[[#This Row],[Uraian]])&gt;2,TRIM(RIGHT(SUBSTITUTE(TRIM(C23)," ",REPT(" ",255)),255))," ")</f>
        <v xml:space="preserve"> </v>
      </c>
      <c r="G23" s="110">
        <f>COPY!Z15</f>
        <v>0</v>
      </c>
      <c r="H23" s="111" t="str">
        <f>IFERROR(VLOOKUP(Table1722[[#This Row],[Bukti]],'Un nOTA'!$A$4:$K$5003,10,FALSE),"")</f>
        <v/>
      </c>
      <c r="I23" s="112" t="str">
        <f>IFERROR(VLOOKUP(Table1722[[#This Row],[Bukti]],Table13[#Data],11,FALSE),"")</f>
        <v/>
      </c>
    </row>
    <row r="24" spans="1:9" ht="19.5" hidden="1" customHeight="1" x14ac:dyDescent="0.2">
      <c r="A24" s="105" t="str">
        <f>IF(D24=1,COUNTIF($D$10:D24,1)," ")</f>
        <v xml:space="preserve"> </v>
      </c>
      <c r="B24" s="106" t="str">
        <f>COPY!AR16</f>
        <v/>
      </c>
      <c r="C24" s="107">
        <f>COPY!AC16</f>
        <v>0</v>
      </c>
      <c r="D24" s="107" t="str">
        <f>IF(LEN(Table1722[[#This Row],[Uraian]])&gt;2,1," ")</f>
        <v xml:space="preserve"> </v>
      </c>
      <c r="E24" s="113" t="str">
        <f>IF(Table1722[[#This Row],[Lawan Transaksi]]="CV AGUNG KARYA",COUNTIF($I$10:I24,"CV AGUNG KARYA")," ")</f>
        <v xml:space="preserve"> </v>
      </c>
      <c r="F24" s="107" t="str">
        <f>IF(LEN(Table1722[[#This Row],[Uraian]])&gt;2,TRIM(RIGHT(SUBSTITUTE(TRIM(C24)," ",REPT(" ",255)),255))," ")</f>
        <v xml:space="preserve"> </v>
      </c>
      <c r="G24" s="110">
        <f>COPY!Z16</f>
        <v>0</v>
      </c>
      <c r="H24" s="111" t="str">
        <f>IFERROR(VLOOKUP(Table1722[[#This Row],[Bukti]],'Un nOTA'!$A$4:$K$5003,10,FALSE),"")</f>
        <v/>
      </c>
      <c r="I24" s="112" t="str">
        <f>IFERROR(VLOOKUP(Table1722[[#This Row],[Bukti]],Table13[#Data],11,FALSE),"")</f>
        <v/>
      </c>
    </row>
    <row r="25" spans="1:9" ht="19.5" hidden="1" customHeight="1" x14ac:dyDescent="0.2">
      <c r="A25" s="105" t="str">
        <f>IF(D25=1,COUNTIF($D$10:D25,1)," ")</f>
        <v xml:space="preserve"> </v>
      </c>
      <c r="B25" s="106" t="str">
        <f>COPY!AR17</f>
        <v/>
      </c>
      <c r="C25" s="107">
        <f>COPY!AC17</f>
        <v>0</v>
      </c>
      <c r="D25" s="107" t="str">
        <f>IF(LEN(Table1722[[#This Row],[Uraian]])&gt;2,1," ")</f>
        <v xml:space="preserve"> </v>
      </c>
      <c r="E25" s="113" t="str">
        <f>IF(Table1722[[#This Row],[Lawan Transaksi]]="CV AGUNG KARYA",COUNTIF($I$10:I25,"CV AGUNG KARYA")," ")</f>
        <v xml:space="preserve"> </v>
      </c>
      <c r="F25" s="107" t="str">
        <f>IF(LEN(Table1722[[#This Row],[Uraian]])&gt;2,TRIM(RIGHT(SUBSTITUTE(TRIM(C25)," ",REPT(" ",255)),255))," ")</f>
        <v xml:space="preserve"> </v>
      </c>
      <c r="G25" s="110">
        <f>COPY!Z17</f>
        <v>0</v>
      </c>
      <c r="H25" s="111" t="str">
        <f>IFERROR(VLOOKUP(Table1722[[#This Row],[Bukti]],'Un nOTA'!$A$4:$K$5003,10,FALSE),"")</f>
        <v/>
      </c>
      <c r="I25" s="112" t="str">
        <f>IFERROR(VLOOKUP(Table1722[[#This Row],[Bukti]],Table13[#Data],11,FALSE),"")</f>
        <v/>
      </c>
    </row>
    <row r="26" spans="1:9" ht="19.5" hidden="1" customHeight="1" x14ac:dyDescent="0.2">
      <c r="A26" s="105" t="str">
        <f>IF(D26=1,COUNTIF($D$10:D26,1)," ")</f>
        <v xml:space="preserve"> </v>
      </c>
      <c r="B26" s="106" t="str">
        <f>COPY!AR18</f>
        <v/>
      </c>
      <c r="C26" s="107">
        <f>COPY!AC18</f>
        <v>0</v>
      </c>
      <c r="D26" s="107" t="str">
        <f>IF(LEN(Table1722[[#This Row],[Uraian]])&gt;2,1," ")</f>
        <v xml:space="preserve"> </v>
      </c>
      <c r="E26" s="113" t="str">
        <f>IF(Table1722[[#This Row],[Lawan Transaksi]]="CV AGUNG KARYA",COUNTIF($I$10:I26,"CV AGUNG KARYA")," ")</f>
        <v xml:space="preserve"> </v>
      </c>
      <c r="F26" s="107" t="str">
        <f>IF(LEN(Table1722[[#This Row],[Uraian]])&gt;2,TRIM(RIGHT(SUBSTITUTE(TRIM(C26)," ",REPT(" ",255)),255))," ")</f>
        <v xml:space="preserve"> </v>
      </c>
      <c r="G26" s="110">
        <f>COPY!Z18</f>
        <v>0</v>
      </c>
      <c r="H26" s="111" t="str">
        <f>IFERROR(VLOOKUP(Table1722[[#This Row],[Bukti]],'Un nOTA'!$A$4:$K$5003,10,FALSE),"")</f>
        <v/>
      </c>
      <c r="I26" s="112" t="str">
        <f>IFERROR(VLOOKUP(Table1722[[#This Row],[Bukti]],Table13[#Data],11,FALSE),"")</f>
        <v/>
      </c>
    </row>
    <row r="27" spans="1:9" ht="19.5" hidden="1" customHeight="1" x14ac:dyDescent="0.2">
      <c r="A27" s="105" t="str">
        <f>IF(D27=1,COUNTIF($D$10:D27,1)," ")</f>
        <v xml:space="preserve"> </v>
      </c>
      <c r="B27" s="106" t="str">
        <f>COPY!AR19</f>
        <v/>
      </c>
      <c r="C27" s="107">
        <f>COPY!AC19</f>
        <v>0</v>
      </c>
      <c r="D27" s="107" t="str">
        <f>IF(LEN(Table1722[[#This Row],[Uraian]])&gt;2,1," ")</f>
        <v xml:space="preserve"> </v>
      </c>
      <c r="E27" s="113" t="str">
        <f>IF(Table1722[[#This Row],[Lawan Transaksi]]="CV AGUNG KARYA",COUNTIF($I$10:I27,"CV AGUNG KARYA")," ")</f>
        <v xml:space="preserve"> </v>
      </c>
      <c r="F27" s="107" t="str">
        <f>IF(LEN(Table1722[[#This Row],[Uraian]])&gt;2,TRIM(RIGHT(SUBSTITUTE(TRIM(C27)," ",REPT(" ",255)),255))," ")</f>
        <v xml:space="preserve"> </v>
      </c>
      <c r="G27" s="110">
        <f>COPY!Z19</f>
        <v>0</v>
      </c>
      <c r="H27" s="111" t="str">
        <f>IFERROR(VLOOKUP(Table1722[[#This Row],[Bukti]],'Un nOTA'!$A$4:$K$5003,10,FALSE),"")</f>
        <v/>
      </c>
      <c r="I27" s="112" t="str">
        <f>IFERROR(VLOOKUP(Table1722[[#This Row],[Bukti]],Table13[#Data],11,FALSE),"")</f>
        <v/>
      </c>
    </row>
    <row r="28" spans="1:9" ht="19.5" hidden="1" customHeight="1" x14ac:dyDescent="0.2">
      <c r="A28" s="105" t="str">
        <f>IF(D28=1,COUNTIF($D$10:D28,1)," ")</f>
        <v xml:space="preserve"> </v>
      </c>
      <c r="B28" s="106" t="str">
        <f>COPY!AR20</f>
        <v/>
      </c>
      <c r="C28" s="107">
        <f>COPY!AC20</f>
        <v>0</v>
      </c>
      <c r="D28" s="107" t="str">
        <f>IF(LEN(Table1722[[#This Row],[Uraian]])&gt;2,1," ")</f>
        <v xml:space="preserve"> </v>
      </c>
      <c r="E28" s="113" t="str">
        <f>IF(Table1722[[#This Row],[Lawan Transaksi]]="CV AGUNG KARYA",COUNTIF($I$10:I28,"CV AGUNG KARYA")," ")</f>
        <v xml:space="preserve"> </v>
      </c>
      <c r="F28" s="107" t="str">
        <f>IF(LEN(Table1722[[#This Row],[Uraian]])&gt;2,TRIM(RIGHT(SUBSTITUTE(TRIM(C28)," ",REPT(" ",255)),255))," ")</f>
        <v xml:space="preserve"> </v>
      </c>
      <c r="G28" s="110">
        <f>COPY!Z20</f>
        <v>0</v>
      </c>
      <c r="H28" s="111" t="str">
        <f>IFERROR(VLOOKUP(Table1722[[#This Row],[Bukti]],'Un nOTA'!$A$4:$K$5003,10,FALSE),"")</f>
        <v/>
      </c>
      <c r="I28" s="112" t="str">
        <f>IFERROR(VLOOKUP(Table1722[[#This Row],[Bukti]],Table13[#Data],11,FALSE),"")</f>
        <v/>
      </c>
    </row>
    <row r="29" spans="1:9" ht="19.5" hidden="1" customHeight="1" x14ac:dyDescent="0.2">
      <c r="A29" s="105" t="str">
        <f>IF(D29=1,COUNTIF($D$10:D29,1)," ")</f>
        <v xml:space="preserve"> </v>
      </c>
      <c r="B29" s="106" t="str">
        <f>COPY!AR21</f>
        <v/>
      </c>
      <c r="C29" s="107">
        <f>COPY!AC21</f>
        <v>0</v>
      </c>
      <c r="D29" s="107" t="str">
        <f>IF(LEN(Table1722[[#This Row],[Uraian]])&gt;2,1," ")</f>
        <v xml:space="preserve"> </v>
      </c>
      <c r="E29" s="113" t="str">
        <f>IF(Table1722[[#This Row],[Lawan Transaksi]]="CV AGUNG KARYA",COUNTIF($I$10:I29,"CV AGUNG KARYA")," ")</f>
        <v xml:space="preserve"> </v>
      </c>
      <c r="F29" s="107" t="str">
        <f>IF(LEN(Table1722[[#This Row],[Uraian]])&gt;2,TRIM(RIGHT(SUBSTITUTE(TRIM(C29)," ",REPT(" ",255)),255))," ")</f>
        <v xml:space="preserve"> </v>
      </c>
      <c r="G29" s="110">
        <f>COPY!Z21</f>
        <v>0</v>
      </c>
      <c r="H29" s="111" t="str">
        <f>IFERROR(VLOOKUP(Table1722[[#This Row],[Bukti]],'Un nOTA'!$A$4:$K$5003,10,FALSE),"")</f>
        <v/>
      </c>
      <c r="I29" s="112" t="str">
        <f>IFERROR(VLOOKUP(Table1722[[#This Row],[Bukti]],Table13[#Data],11,FALSE),"")</f>
        <v/>
      </c>
    </row>
    <row r="30" spans="1:9" ht="19.5" hidden="1" customHeight="1" x14ac:dyDescent="0.2">
      <c r="A30" s="105" t="str">
        <f>IF(D30=1,COUNTIF($D$10:D30,1)," ")</f>
        <v xml:space="preserve"> </v>
      </c>
      <c r="B30" s="106" t="str">
        <f>COPY!AR22</f>
        <v/>
      </c>
      <c r="C30" s="107">
        <f>COPY!AC22</f>
        <v>0</v>
      </c>
      <c r="D30" s="107" t="str">
        <f>IF(LEN(Table1722[[#This Row],[Uraian]])&gt;2,1," ")</f>
        <v xml:space="preserve"> </v>
      </c>
      <c r="E30" s="113" t="str">
        <f>IF(Table1722[[#This Row],[Lawan Transaksi]]="CV AGUNG KARYA",COUNTIF($I$10:I30,"CV AGUNG KARYA")," ")</f>
        <v xml:space="preserve"> </v>
      </c>
      <c r="F30" s="107" t="str">
        <f>IF(LEN(Table1722[[#This Row],[Uraian]])&gt;2,TRIM(RIGHT(SUBSTITUTE(TRIM(C30)," ",REPT(" ",255)),255))," ")</f>
        <v xml:space="preserve"> </v>
      </c>
      <c r="G30" s="110">
        <f>COPY!Z22</f>
        <v>0</v>
      </c>
      <c r="H30" s="111" t="str">
        <f>IFERROR(VLOOKUP(Table1722[[#This Row],[Bukti]],'Un nOTA'!$A$4:$K$5003,10,FALSE),"")</f>
        <v/>
      </c>
      <c r="I30" s="112" t="str">
        <f>IFERROR(VLOOKUP(Table1722[[#This Row],[Bukti]],Table13[#Data],11,FALSE),"")</f>
        <v/>
      </c>
    </row>
    <row r="31" spans="1:9" ht="19.5" hidden="1" customHeight="1" x14ac:dyDescent="0.2">
      <c r="A31" s="105" t="str">
        <f>IF(D31=1,COUNTIF($D$10:D31,1)," ")</f>
        <v xml:space="preserve"> </v>
      </c>
      <c r="B31" s="106" t="str">
        <f>COPY!AR23</f>
        <v/>
      </c>
      <c r="C31" s="107">
        <f>COPY!AC23</f>
        <v>0</v>
      </c>
      <c r="D31" s="107" t="str">
        <f>IF(LEN(Table1722[[#This Row],[Uraian]])&gt;2,1," ")</f>
        <v xml:space="preserve"> </v>
      </c>
      <c r="E31" s="113" t="str">
        <f>IF(Table1722[[#This Row],[Lawan Transaksi]]="CV AGUNG KARYA",COUNTIF($I$10:I31,"CV AGUNG KARYA")," ")</f>
        <v xml:space="preserve"> </v>
      </c>
      <c r="F31" s="107" t="str">
        <f>IF(LEN(Table1722[[#This Row],[Uraian]])&gt;2,TRIM(RIGHT(SUBSTITUTE(TRIM(C31)," ",REPT(" ",255)),255))," ")</f>
        <v xml:space="preserve"> </v>
      </c>
      <c r="G31" s="110">
        <f>COPY!Z23</f>
        <v>0</v>
      </c>
      <c r="H31" s="111" t="str">
        <f>IFERROR(VLOOKUP(Table1722[[#This Row],[Bukti]],'Un nOTA'!$A$4:$K$5003,10,FALSE),"")</f>
        <v/>
      </c>
      <c r="I31" s="112" t="str">
        <f>IFERROR(VLOOKUP(Table1722[[#This Row],[Bukti]],Table13[#Data],11,FALSE),"")</f>
        <v/>
      </c>
    </row>
    <row r="32" spans="1:9" ht="19.5" hidden="1" customHeight="1" x14ac:dyDescent="0.2">
      <c r="A32" s="105" t="str">
        <f>IF(D32=1,COUNTIF($D$10:D32,1)," ")</f>
        <v xml:space="preserve"> </v>
      </c>
      <c r="B32" s="106" t="str">
        <f>COPY!AR24</f>
        <v/>
      </c>
      <c r="C32" s="107">
        <f>COPY!AC24</f>
        <v>0</v>
      </c>
      <c r="D32" s="107" t="str">
        <f>IF(LEN(Table1722[[#This Row],[Uraian]])&gt;2,1," ")</f>
        <v xml:space="preserve"> </v>
      </c>
      <c r="E32" s="113" t="str">
        <f>IF(Table1722[[#This Row],[Lawan Transaksi]]="CV AGUNG KARYA",COUNTIF($I$10:I32,"CV AGUNG KARYA")," ")</f>
        <v xml:space="preserve"> </v>
      </c>
      <c r="F32" s="107" t="str">
        <f>IF(LEN(Table1722[[#This Row],[Uraian]])&gt;2,TRIM(RIGHT(SUBSTITUTE(TRIM(C32)," ",REPT(" ",255)),255))," ")</f>
        <v xml:space="preserve"> </v>
      </c>
      <c r="G32" s="110">
        <f>COPY!Z24</f>
        <v>0</v>
      </c>
      <c r="H32" s="111" t="str">
        <f>IFERROR(VLOOKUP(Table1722[[#This Row],[Bukti]],'Un nOTA'!$A$4:$K$5003,10,FALSE),"")</f>
        <v/>
      </c>
      <c r="I32" s="112" t="str">
        <f>IFERROR(VLOOKUP(Table1722[[#This Row],[Bukti]],Table13[#Data],11,FALSE),"")</f>
        <v/>
      </c>
    </row>
    <row r="33" spans="1:9" ht="19.5" hidden="1" customHeight="1" x14ac:dyDescent="0.2">
      <c r="A33" s="105" t="str">
        <f>IF(D33=1,COUNTIF($D$10:D33,1)," ")</f>
        <v xml:space="preserve"> </v>
      </c>
      <c r="B33" s="106" t="str">
        <f>COPY!AR25</f>
        <v/>
      </c>
      <c r="C33" s="107">
        <f>COPY!AC25</f>
        <v>0</v>
      </c>
      <c r="D33" s="107" t="str">
        <f>IF(LEN(Table1722[[#This Row],[Uraian]])&gt;2,1," ")</f>
        <v xml:space="preserve"> </v>
      </c>
      <c r="E33" s="113" t="str">
        <f>IF(Table1722[[#This Row],[Lawan Transaksi]]="CV AGUNG KARYA",COUNTIF($I$10:I33,"CV AGUNG KARYA")," ")</f>
        <v xml:space="preserve"> </v>
      </c>
      <c r="F33" s="107" t="str">
        <f>IF(LEN(Table1722[[#This Row],[Uraian]])&gt;2,TRIM(RIGHT(SUBSTITUTE(TRIM(C33)," ",REPT(" ",255)),255))," ")</f>
        <v xml:space="preserve"> </v>
      </c>
      <c r="G33" s="110">
        <f>COPY!Z25</f>
        <v>0</v>
      </c>
      <c r="H33" s="111" t="str">
        <f>IFERROR(VLOOKUP(Table1722[[#This Row],[Bukti]],'Un nOTA'!$A$4:$K$5003,10,FALSE),"")</f>
        <v/>
      </c>
      <c r="I33" s="112" t="str">
        <f>IFERROR(VLOOKUP(Table1722[[#This Row],[Bukti]],Table13[#Data],11,FALSE),"")</f>
        <v/>
      </c>
    </row>
    <row r="34" spans="1:9" ht="19.5" hidden="1" customHeight="1" x14ac:dyDescent="0.2">
      <c r="A34" s="105" t="str">
        <f>IF(D34=1,COUNTIF($D$10:D34,1)," ")</f>
        <v xml:space="preserve"> </v>
      </c>
      <c r="B34" s="106" t="str">
        <f>COPY!AR26</f>
        <v/>
      </c>
      <c r="C34" s="107">
        <f>COPY!AC26</f>
        <v>0</v>
      </c>
      <c r="D34" s="107" t="str">
        <f>IF(LEN(Table1722[[#This Row],[Uraian]])&gt;2,1," ")</f>
        <v xml:space="preserve"> </v>
      </c>
      <c r="E34" s="113" t="str">
        <f>IF(Table1722[[#This Row],[Lawan Transaksi]]="CV AGUNG KARYA",COUNTIF($I$10:I34,"CV AGUNG KARYA")," ")</f>
        <v xml:space="preserve"> </v>
      </c>
      <c r="F34" s="107" t="str">
        <f>IF(LEN(Table1722[[#This Row],[Uraian]])&gt;2,TRIM(RIGHT(SUBSTITUTE(TRIM(C34)," ",REPT(" ",255)),255))," ")</f>
        <v xml:space="preserve"> </v>
      </c>
      <c r="G34" s="110">
        <f>COPY!Z26</f>
        <v>0</v>
      </c>
      <c r="H34" s="111" t="str">
        <f>IFERROR(VLOOKUP(Table1722[[#This Row],[Bukti]],'Un nOTA'!$A$4:$K$5003,10,FALSE),"")</f>
        <v/>
      </c>
      <c r="I34" s="112" t="str">
        <f>IFERROR(VLOOKUP(Table1722[[#This Row],[Bukti]],Table13[#Data],11,FALSE),"")</f>
        <v/>
      </c>
    </row>
    <row r="35" spans="1:9" ht="19.5" hidden="1" customHeight="1" x14ac:dyDescent="0.2">
      <c r="A35" s="105" t="str">
        <f>IF(D35=1,COUNTIF($D$10:D35,1)," ")</f>
        <v xml:space="preserve"> </v>
      </c>
      <c r="B35" s="106" t="str">
        <f>COPY!AR27</f>
        <v/>
      </c>
      <c r="C35" s="107">
        <f>COPY!AC27</f>
        <v>0</v>
      </c>
      <c r="D35" s="107" t="str">
        <f>IF(LEN(Table1722[[#This Row],[Uraian]])&gt;2,1," ")</f>
        <v xml:space="preserve"> </v>
      </c>
      <c r="E35" s="113" t="str">
        <f>IF(Table1722[[#This Row],[Lawan Transaksi]]="CV AGUNG KARYA",COUNTIF($I$10:I35,"CV AGUNG KARYA")," ")</f>
        <v xml:space="preserve"> </v>
      </c>
      <c r="F35" s="107" t="str">
        <f>IF(LEN(Table1722[[#This Row],[Uraian]])&gt;2,TRIM(RIGHT(SUBSTITUTE(TRIM(C35)," ",REPT(" ",255)),255))," ")</f>
        <v xml:space="preserve"> </v>
      </c>
      <c r="G35" s="110">
        <f>COPY!Z27</f>
        <v>0</v>
      </c>
      <c r="H35" s="111" t="str">
        <f>IFERROR(VLOOKUP(Table1722[[#This Row],[Bukti]],'Un nOTA'!$A$4:$K$5003,10,FALSE),"")</f>
        <v/>
      </c>
      <c r="I35" s="112" t="str">
        <f>IFERROR(VLOOKUP(Table1722[[#This Row],[Bukti]],Table13[#Data],11,FALSE),"")</f>
        <v/>
      </c>
    </row>
    <row r="36" spans="1:9" ht="19.5" hidden="1" customHeight="1" x14ac:dyDescent="0.2">
      <c r="A36" s="105" t="str">
        <f>IF(D36=1,COUNTIF($D$10:D36,1)," ")</f>
        <v xml:space="preserve"> </v>
      </c>
      <c r="B36" s="106" t="str">
        <f>COPY!AR28</f>
        <v/>
      </c>
      <c r="C36" s="107">
        <f>COPY!AC28</f>
        <v>0</v>
      </c>
      <c r="D36" s="107" t="str">
        <f>IF(LEN(Table1722[[#This Row],[Uraian]])&gt;2,1," ")</f>
        <v xml:space="preserve"> </v>
      </c>
      <c r="E36" s="113" t="str">
        <f>IF(Table1722[[#This Row],[Lawan Transaksi]]="CV AGUNG KARYA",COUNTIF($I$10:I36,"CV AGUNG KARYA")," ")</f>
        <v xml:space="preserve"> </v>
      </c>
      <c r="F36" s="107" t="str">
        <f>IF(LEN(Table1722[[#This Row],[Uraian]])&gt;2,TRIM(RIGHT(SUBSTITUTE(TRIM(C36)," ",REPT(" ",255)),255))," ")</f>
        <v xml:space="preserve"> </v>
      </c>
      <c r="G36" s="110">
        <f>COPY!Z28</f>
        <v>0</v>
      </c>
      <c r="H36" s="111" t="str">
        <f>IFERROR(VLOOKUP(Table1722[[#This Row],[Bukti]],'Un nOTA'!$A$4:$K$5003,10,FALSE),"")</f>
        <v/>
      </c>
      <c r="I36" s="112" t="str">
        <f>IFERROR(VLOOKUP(Table1722[[#This Row],[Bukti]],Table13[#Data],11,FALSE),"")</f>
        <v/>
      </c>
    </row>
    <row r="37" spans="1:9" ht="19.5" hidden="1" customHeight="1" x14ac:dyDescent="0.2">
      <c r="A37" s="105" t="str">
        <f>IF(D37=1,COUNTIF($D$10:D37,1)," ")</f>
        <v xml:space="preserve"> </v>
      </c>
      <c r="B37" s="106" t="str">
        <f>COPY!AR29</f>
        <v/>
      </c>
      <c r="C37" s="107">
        <f>COPY!AC29</f>
        <v>0</v>
      </c>
      <c r="D37" s="107" t="str">
        <f>IF(LEN(Table1722[[#This Row],[Uraian]])&gt;2,1," ")</f>
        <v xml:space="preserve"> </v>
      </c>
      <c r="E37" s="113" t="str">
        <f>IF(Table1722[[#This Row],[Lawan Transaksi]]="CV AGUNG KARYA",COUNTIF($I$10:I37,"CV AGUNG KARYA")," ")</f>
        <v xml:space="preserve"> </v>
      </c>
      <c r="F37" s="107" t="str">
        <f>IF(LEN(Table1722[[#This Row],[Uraian]])&gt;2,TRIM(RIGHT(SUBSTITUTE(TRIM(C37)," ",REPT(" ",255)),255))," ")</f>
        <v xml:space="preserve"> </v>
      </c>
      <c r="G37" s="110">
        <f>COPY!Z29</f>
        <v>0</v>
      </c>
      <c r="H37" s="111" t="str">
        <f>IFERROR(VLOOKUP(Table1722[[#This Row],[Bukti]],'Un nOTA'!$A$4:$K$5003,10,FALSE),"")</f>
        <v/>
      </c>
      <c r="I37" s="112" t="str">
        <f>IFERROR(VLOOKUP(Table1722[[#This Row],[Bukti]],Table13[#Data],11,FALSE),"")</f>
        <v/>
      </c>
    </row>
    <row r="38" spans="1:9" ht="19.5" hidden="1" customHeight="1" x14ac:dyDescent="0.2">
      <c r="A38" s="105" t="str">
        <f>IF(D38=1,COUNTIF($D$10:D38,1)," ")</f>
        <v xml:space="preserve"> </v>
      </c>
      <c r="B38" s="106" t="str">
        <f>COPY!AR30</f>
        <v/>
      </c>
      <c r="C38" s="107">
        <f>COPY!AC30</f>
        <v>0</v>
      </c>
      <c r="D38" s="107" t="str">
        <f>IF(LEN(Table1722[[#This Row],[Uraian]])&gt;2,1," ")</f>
        <v xml:space="preserve"> </v>
      </c>
      <c r="E38" s="113" t="str">
        <f>IF(Table1722[[#This Row],[Lawan Transaksi]]="CV AGUNG KARYA",COUNTIF($I$10:I38,"CV AGUNG KARYA")," ")</f>
        <v xml:space="preserve"> </v>
      </c>
      <c r="F38" s="107" t="str">
        <f>IF(LEN(Table1722[[#This Row],[Uraian]])&gt;2,TRIM(RIGHT(SUBSTITUTE(TRIM(C38)," ",REPT(" ",255)),255))," ")</f>
        <v xml:space="preserve"> </v>
      </c>
      <c r="G38" s="110">
        <f>COPY!Z30</f>
        <v>0</v>
      </c>
      <c r="H38" s="111" t="str">
        <f>IFERROR(VLOOKUP(Table1722[[#This Row],[Bukti]],'Un nOTA'!$A$4:$K$5003,10,FALSE),"")</f>
        <v/>
      </c>
      <c r="I38" s="112" t="str">
        <f>IFERROR(VLOOKUP(Table1722[[#This Row],[Bukti]],Table13[#Data],11,FALSE),"")</f>
        <v/>
      </c>
    </row>
    <row r="39" spans="1:9" ht="19.5" hidden="1" customHeight="1" x14ac:dyDescent="0.2">
      <c r="A39" s="105" t="str">
        <f>IF(D39=1,COUNTIF($D$10:D39,1)," ")</f>
        <v xml:space="preserve"> </v>
      </c>
      <c r="B39" s="106" t="str">
        <f>COPY!AR31</f>
        <v/>
      </c>
      <c r="C39" s="107">
        <f>COPY!AC31</f>
        <v>0</v>
      </c>
      <c r="D39" s="107" t="str">
        <f>IF(LEN(Table1722[[#This Row],[Uraian]])&gt;2,1," ")</f>
        <v xml:space="preserve"> </v>
      </c>
      <c r="E39" s="113" t="str">
        <f>IF(Table1722[[#This Row],[Lawan Transaksi]]="CV AGUNG KARYA",COUNTIF($I$10:I39,"CV AGUNG KARYA")," ")</f>
        <v xml:space="preserve"> </v>
      </c>
      <c r="F39" s="107" t="str">
        <f>IF(LEN(Table1722[[#This Row],[Uraian]])&gt;2,TRIM(RIGHT(SUBSTITUTE(TRIM(C39)," ",REPT(" ",255)),255))," ")</f>
        <v xml:space="preserve"> </v>
      </c>
      <c r="G39" s="110">
        <f>COPY!Z31</f>
        <v>0</v>
      </c>
      <c r="H39" s="111" t="str">
        <f>IFERROR(VLOOKUP(Table1722[[#This Row],[Bukti]],'Un nOTA'!$A$4:$K$5003,10,FALSE),"")</f>
        <v/>
      </c>
      <c r="I39" s="112" t="str">
        <f>IFERROR(VLOOKUP(Table1722[[#This Row],[Bukti]],Table13[#Data],11,FALSE),"")</f>
        <v/>
      </c>
    </row>
    <row r="40" spans="1:9" ht="19.5" hidden="1" customHeight="1" x14ac:dyDescent="0.2">
      <c r="A40" s="105" t="str">
        <f>IF(D40=1,COUNTIF($D$10:D40,1)," ")</f>
        <v xml:space="preserve"> </v>
      </c>
      <c r="B40" s="106" t="str">
        <f>COPY!AR32</f>
        <v/>
      </c>
      <c r="C40" s="107">
        <f>COPY!AC32</f>
        <v>0</v>
      </c>
      <c r="D40" s="107" t="str">
        <f>IF(LEN(Table1722[[#This Row],[Uraian]])&gt;2,1," ")</f>
        <v xml:space="preserve"> </v>
      </c>
      <c r="E40" s="113" t="str">
        <f>IF(Table1722[[#This Row],[Lawan Transaksi]]="CV AGUNG KARYA",COUNTIF($I$10:I40,"CV AGUNG KARYA")," ")</f>
        <v xml:space="preserve"> </v>
      </c>
      <c r="F40" s="107" t="str">
        <f>IF(LEN(Table1722[[#This Row],[Uraian]])&gt;2,TRIM(RIGHT(SUBSTITUTE(TRIM(C40)," ",REPT(" ",255)),255))," ")</f>
        <v xml:space="preserve"> </v>
      </c>
      <c r="G40" s="110">
        <f>COPY!Z32</f>
        <v>0</v>
      </c>
      <c r="H40" s="111" t="str">
        <f>IFERROR(VLOOKUP(Table1722[[#This Row],[Bukti]],'Un nOTA'!$A$4:$K$5003,10,FALSE),"")</f>
        <v/>
      </c>
      <c r="I40" s="112" t="str">
        <f>IFERROR(VLOOKUP(Table1722[[#This Row],[Bukti]],Table13[#Data],11,FALSE),"")</f>
        <v/>
      </c>
    </row>
    <row r="41" spans="1:9" ht="19.5" hidden="1" customHeight="1" x14ac:dyDescent="0.2">
      <c r="A41" s="105" t="str">
        <f>IF(D41=1,COUNTIF($D$10:D41,1)," ")</f>
        <v xml:space="preserve"> </v>
      </c>
      <c r="B41" s="106" t="str">
        <f>COPY!AR33</f>
        <v/>
      </c>
      <c r="C41" s="107">
        <f>COPY!AC33</f>
        <v>0</v>
      </c>
      <c r="D41" s="107" t="str">
        <f>IF(LEN(Table1722[[#This Row],[Uraian]])&gt;2,1," ")</f>
        <v xml:space="preserve"> </v>
      </c>
      <c r="E41" s="113" t="str">
        <f>IF(Table1722[[#This Row],[Lawan Transaksi]]="CV AGUNG KARYA",COUNTIF($I$10:I41,"CV AGUNG KARYA")," ")</f>
        <v xml:space="preserve"> </v>
      </c>
      <c r="F41" s="107" t="str">
        <f>IF(LEN(Table1722[[#This Row],[Uraian]])&gt;2,TRIM(RIGHT(SUBSTITUTE(TRIM(C41)," ",REPT(" ",255)),255))," ")</f>
        <v xml:space="preserve"> </v>
      </c>
      <c r="G41" s="110">
        <f>COPY!Z33</f>
        <v>0</v>
      </c>
      <c r="H41" s="111" t="str">
        <f>IFERROR(VLOOKUP(Table1722[[#This Row],[Bukti]],'Un nOTA'!$A$4:$K$5003,10,FALSE),"")</f>
        <v/>
      </c>
      <c r="I41" s="112" t="str">
        <f>IFERROR(VLOOKUP(Table1722[[#This Row],[Bukti]],Table13[#Data],11,FALSE),"")</f>
        <v/>
      </c>
    </row>
    <row r="42" spans="1:9" ht="19.5" hidden="1" customHeight="1" x14ac:dyDescent="0.2">
      <c r="A42" s="105" t="str">
        <f>IF(D42=1,COUNTIF($D$10:D42,1)," ")</f>
        <v xml:space="preserve"> </v>
      </c>
      <c r="B42" s="106" t="str">
        <f>COPY!AR34</f>
        <v/>
      </c>
      <c r="C42" s="107">
        <f>COPY!AC34</f>
        <v>0</v>
      </c>
      <c r="D42" s="107" t="str">
        <f>IF(LEN(Table1722[[#This Row],[Uraian]])&gt;2,1," ")</f>
        <v xml:space="preserve"> </v>
      </c>
      <c r="E42" s="113" t="str">
        <f>IF(Table1722[[#This Row],[Lawan Transaksi]]="CV AGUNG KARYA",COUNTIF($I$10:I42,"CV AGUNG KARYA")," ")</f>
        <v xml:space="preserve"> </v>
      </c>
      <c r="F42" s="107" t="str">
        <f>IF(LEN(Table1722[[#This Row],[Uraian]])&gt;2,TRIM(RIGHT(SUBSTITUTE(TRIM(C42)," ",REPT(" ",255)),255))," ")</f>
        <v xml:space="preserve"> </v>
      </c>
      <c r="G42" s="110">
        <f>COPY!Z34</f>
        <v>0</v>
      </c>
      <c r="H42" s="111" t="str">
        <f>IFERROR(VLOOKUP(Table1722[[#This Row],[Bukti]],'Un nOTA'!$A$4:$K$5003,10,FALSE),"")</f>
        <v/>
      </c>
      <c r="I42" s="112" t="str">
        <f>IFERROR(VLOOKUP(Table1722[[#This Row],[Bukti]],Table13[#Data],11,FALSE),"")</f>
        <v/>
      </c>
    </row>
    <row r="43" spans="1:9" ht="19.5" hidden="1" customHeight="1" x14ac:dyDescent="0.2">
      <c r="A43" s="105" t="str">
        <f>IF(D43=1,COUNTIF($D$10:D43,1)," ")</f>
        <v xml:space="preserve"> </v>
      </c>
      <c r="B43" s="106" t="str">
        <f>COPY!AR35</f>
        <v/>
      </c>
      <c r="C43" s="107">
        <f>COPY!AC35</f>
        <v>0</v>
      </c>
      <c r="D43" s="107" t="str">
        <f>IF(LEN(Table1722[[#This Row],[Uraian]])&gt;2,1," ")</f>
        <v xml:space="preserve"> </v>
      </c>
      <c r="E43" s="113" t="str">
        <f>IF(Table1722[[#This Row],[Lawan Transaksi]]="CV AGUNG KARYA",COUNTIF($I$10:I43,"CV AGUNG KARYA")," ")</f>
        <v xml:space="preserve"> </v>
      </c>
      <c r="F43" s="107" t="str">
        <f>IF(LEN(Table1722[[#This Row],[Uraian]])&gt;2,TRIM(RIGHT(SUBSTITUTE(TRIM(C43)," ",REPT(" ",255)),255))," ")</f>
        <v xml:space="preserve"> </v>
      </c>
      <c r="G43" s="110">
        <f>COPY!Z35</f>
        <v>0</v>
      </c>
      <c r="H43" s="111" t="str">
        <f>IFERROR(VLOOKUP(Table1722[[#This Row],[Bukti]],'Un nOTA'!$A$4:$K$5003,10,FALSE),"")</f>
        <v/>
      </c>
      <c r="I43" s="112" t="str">
        <f>IFERROR(VLOOKUP(Table1722[[#This Row],[Bukti]],Table13[#Data],11,FALSE),"")</f>
        <v/>
      </c>
    </row>
    <row r="44" spans="1:9" ht="19.5" hidden="1" customHeight="1" x14ac:dyDescent="0.2">
      <c r="A44" s="105" t="str">
        <f>IF(D44=1,COUNTIF($D$10:D44,1)," ")</f>
        <v xml:space="preserve"> </v>
      </c>
      <c r="B44" s="106" t="str">
        <f>COPY!AR36</f>
        <v/>
      </c>
      <c r="C44" s="107">
        <f>COPY!AC36</f>
        <v>0</v>
      </c>
      <c r="D44" s="107" t="str">
        <f>IF(LEN(Table1722[[#This Row],[Uraian]])&gt;2,1," ")</f>
        <v xml:space="preserve"> </v>
      </c>
      <c r="E44" s="113" t="str">
        <f>IF(Table1722[[#This Row],[Lawan Transaksi]]="CV AGUNG KARYA",COUNTIF($I$10:I44,"CV AGUNG KARYA")," ")</f>
        <v xml:space="preserve"> </v>
      </c>
      <c r="F44" s="107" t="str">
        <f>IF(LEN(Table1722[[#This Row],[Uraian]])&gt;2,TRIM(RIGHT(SUBSTITUTE(TRIM(C44)," ",REPT(" ",255)),255))," ")</f>
        <v xml:space="preserve"> </v>
      </c>
      <c r="G44" s="110">
        <f>COPY!Z36</f>
        <v>0</v>
      </c>
      <c r="H44" s="111" t="str">
        <f>IFERROR(VLOOKUP(Table1722[[#This Row],[Bukti]],'Un nOTA'!$A$4:$K$5003,10,FALSE),"")</f>
        <v/>
      </c>
      <c r="I44" s="112" t="str">
        <f>IFERROR(VLOOKUP(Table1722[[#This Row],[Bukti]],Table13[#Data],11,FALSE),"")</f>
        <v/>
      </c>
    </row>
    <row r="45" spans="1:9" ht="19.5" hidden="1" customHeight="1" x14ac:dyDescent="0.2">
      <c r="A45" s="105" t="str">
        <f>IF(D45=1,COUNTIF($D$10:D45,1)," ")</f>
        <v xml:space="preserve"> </v>
      </c>
      <c r="B45" s="106" t="str">
        <f>COPY!AR37</f>
        <v/>
      </c>
      <c r="C45" s="107">
        <f>COPY!AC37</f>
        <v>0</v>
      </c>
      <c r="D45" s="107" t="str">
        <f>IF(LEN(Table1722[[#This Row],[Uraian]])&gt;2,1," ")</f>
        <v xml:space="preserve"> </v>
      </c>
      <c r="E45" s="113" t="str">
        <f>IF(Table1722[[#This Row],[Lawan Transaksi]]="CV AGUNG KARYA",COUNTIF($I$10:I45,"CV AGUNG KARYA")," ")</f>
        <v xml:space="preserve"> </v>
      </c>
      <c r="F45" s="107" t="str">
        <f>IF(LEN(Table1722[[#This Row],[Uraian]])&gt;2,TRIM(RIGHT(SUBSTITUTE(TRIM(C45)," ",REPT(" ",255)),255))," ")</f>
        <v xml:space="preserve"> </v>
      </c>
      <c r="G45" s="110">
        <f>COPY!Z37</f>
        <v>0</v>
      </c>
      <c r="H45" s="111" t="str">
        <f>IFERROR(VLOOKUP(Table1722[[#This Row],[Bukti]],'Un nOTA'!$A$4:$K$5003,10,FALSE),"")</f>
        <v/>
      </c>
      <c r="I45" s="112" t="str">
        <f>IFERROR(VLOOKUP(Table1722[[#This Row],[Bukti]],Table13[#Data],11,FALSE),"")</f>
        <v/>
      </c>
    </row>
    <row r="46" spans="1:9" ht="19.5" hidden="1" customHeight="1" x14ac:dyDescent="0.2">
      <c r="A46" s="105" t="str">
        <f>IF(D46=1,COUNTIF($D$10:D46,1)," ")</f>
        <v xml:space="preserve"> </v>
      </c>
      <c r="B46" s="106" t="str">
        <f>COPY!AR38</f>
        <v/>
      </c>
      <c r="C46" s="107">
        <f>COPY!AC38</f>
        <v>0</v>
      </c>
      <c r="D46" s="107" t="str">
        <f>IF(LEN(Table1722[[#This Row],[Uraian]])&gt;2,1," ")</f>
        <v xml:space="preserve"> </v>
      </c>
      <c r="E46" s="113" t="str">
        <f>IF(Table1722[[#This Row],[Lawan Transaksi]]="CV AGUNG KARYA",COUNTIF($I$10:I46,"CV AGUNG KARYA")," ")</f>
        <v xml:space="preserve"> </v>
      </c>
      <c r="F46" s="107" t="str">
        <f>IF(LEN(Table1722[[#This Row],[Uraian]])&gt;2,TRIM(RIGHT(SUBSTITUTE(TRIM(C46)," ",REPT(" ",255)),255))," ")</f>
        <v xml:space="preserve"> </v>
      </c>
      <c r="G46" s="110">
        <f>COPY!Z38</f>
        <v>0</v>
      </c>
      <c r="H46" s="111" t="str">
        <f>IFERROR(VLOOKUP(Table1722[[#This Row],[Bukti]],'Un nOTA'!$A$4:$K$5003,10,FALSE),"")</f>
        <v/>
      </c>
      <c r="I46" s="112" t="str">
        <f>IFERROR(VLOOKUP(Table1722[[#This Row],[Bukti]],Table13[#Data],11,FALSE),"")</f>
        <v/>
      </c>
    </row>
    <row r="47" spans="1:9" ht="19.5" customHeight="1" x14ac:dyDescent="0.2">
      <c r="A47" s="105">
        <f>IF(D47=1,COUNTIF($D$10:D47,1)," ")</f>
        <v>1</v>
      </c>
      <c r="B47" s="106">
        <f>COPY!AR39</f>
        <v>45905</v>
      </c>
      <c r="C47" s="107" t="str">
        <f>COPY!AC39</f>
        <v>Terima PPh Pasal 4 ayat 2 (3,5 %) BKK.8</v>
      </c>
      <c r="D47" s="107">
        <f>IF(LEN(Table1722[[#This Row],[Uraian]])&gt;2,1," ")</f>
        <v>1</v>
      </c>
      <c r="E47" s="113" t="str">
        <f>IF(Table1722[[#This Row],[Lawan Transaksi]]="CV AGUNG KARYA",COUNTIF($I$10:I47,"CV AGUNG KARYA")," ")</f>
        <v xml:space="preserve"> </v>
      </c>
      <c r="F47" s="107" t="str">
        <f>IF(LEN(Table1722[[#This Row],[Uraian]])&gt;2,TRIM(RIGHT(SUBSTITUTE(TRIM(C47)," ",REPT(" ",255)),255))," ")</f>
        <v>BKK.8</v>
      </c>
      <c r="G47" s="110">
        <f>COPY!Z39</f>
        <v>96649.35</v>
      </c>
      <c r="H47" s="111">
        <f>IFERROR(VLOOKUP(Table1722[[#This Row],[Bukti]],'Un nOTA'!$A$4:$K$5003,10,FALSE),"")</f>
        <v>2761410</v>
      </c>
      <c r="I47" s="112" t="str">
        <f>IFERROR(VLOOKUP(Table1722[[#This Row],[Bukti]],Table13[#Data],11,FALSE),"")</f>
        <v>KWITANSI</v>
      </c>
    </row>
    <row r="48" spans="1:9" ht="19.5" hidden="1" customHeight="1" x14ac:dyDescent="0.2">
      <c r="A48" s="105" t="str">
        <f>IF(D48=1,COUNTIF($D$10:D48,1)," ")</f>
        <v xml:space="preserve"> </v>
      </c>
      <c r="B48" s="106" t="str">
        <f>COPY!AR40</f>
        <v/>
      </c>
      <c r="C48" s="107">
        <f>COPY!AC40</f>
        <v>0</v>
      </c>
      <c r="D48" s="107" t="str">
        <f>IF(LEN(Table1722[[#This Row],[Uraian]])&gt;2,1," ")</f>
        <v xml:space="preserve"> </v>
      </c>
      <c r="E48" s="113" t="str">
        <f>IF(Table1722[[#This Row],[Lawan Transaksi]]="CV AGUNG KARYA",COUNTIF($I$10:I48,"CV AGUNG KARYA")," ")</f>
        <v xml:space="preserve"> </v>
      </c>
      <c r="F48" s="107" t="str">
        <f>IF(LEN(Table1722[[#This Row],[Uraian]])&gt;2,TRIM(RIGHT(SUBSTITUTE(TRIM(C48)," ",REPT(" ",255)),255))," ")</f>
        <v xml:space="preserve"> </v>
      </c>
      <c r="G48" s="110">
        <f>COPY!Z40</f>
        <v>0</v>
      </c>
      <c r="H48" s="111" t="str">
        <f>IFERROR(VLOOKUP(Table1722[[#This Row],[Bukti]],'Un nOTA'!$A$4:$K$5003,10,FALSE),"")</f>
        <v/>
      </c>
      <c r="I48" s="112" t="str">
        <f>IFERROR(VLOOKUP(Table1722[[#This Row],[Bukti]],Table13[#Data],11,FALSE),"")</f>
        <v/>
      </c>
    </row>
    <row r="49" spans="1:9" ht="19.5" hidden="1" customHeight="1" x14ac:dyDescent="0.2">
      <c r="A49" s="105" t="str">
        <f>IF(D49=1,COUNTIF($D$10:D49,1)," ")</f>
        <v xml:space="preserve"> </v>
      </c>
      <c r="B49" s="106" t="str">
        <f>COPY!AR41</f>
        <v/>
      </c>
      <c r="C49" s="107">
        <f>COPY!AC41</f>
        <v>0</v>
      </c>
      <c r="D49" s="107" t="str">
        <f>IF(LEN(Table1722[[#This Row],[Uraian]])&gt;2,1," ")</f>
        <v xml:space="preserve"> </v>
      </c>
      <c r="E49" s="113" t="str">
        <f>IF(Table1722[[#This Row],[Lawan Transaksi]]="CV AGUNG KARYA",COUNTIF($I$10:I49,"CV AGUNG KARYA")," ")</f>
        <v xml:space="preserve"> </v>
      </c>
      <c r="F49" s="107" t="str">
        <f>IF(LEN(Table1722[[#This Row],[Uraian]])&gt;2,TRIM(RIGHT(SUBSTITUTE(TRIM(C49)," ",REPT(" ",255)),255))," ")</f>
        <v xml:space="preserve"> </v>
      </c>
      <c r="G49" s="110">
        <f>COPY!Z41</f>
        <v>0</v>
      </c>
      <c r="H49" s="111" t="str">
        <f>IFERROR(VLOOKUP(Table1722[[#This Row],[Bukti]],'Un nOTA'!$A$4:$K$5003,10,FALSE),"")</f>
        <v/>
      </c>
      <c r="I49" s="112" t="str">
        <f>IFERROR(VLOOKUP(Table1722[[#This Row],[Bukti]],Table13[#Data],11,FALSE),"")</f>
        <v/>
      </c>
    </row>
    <row r="50" spans="1:9" ht="19.5" hidden="1" customHeight="1" x14ac:dyDescent="0.2">
      <c r="A50" s="105" t="str">
        <f>IF(D50=1,COUNTIF($D$10:D50,1)," ")</f>
        <v xml:space="preserve"> </v>
      </c>
      <c r="B50" s="106" t="str">
        <f>COPY!AR42</f>
        <v/>
      </c>
      <c r="C50" s="107">
        <f>COPY!AC42</f>
        <v>0</v>
      </c>
      <c r="D50" s="107" t="str">
        <f>IF(LEN(Table1722[[#This Row],[Uraian]])&gt;2,1," ")</f>
        <v xml:space="preserve"> </v>
      </c>
      <c r="E50" s="113" t="str">
        <f>IF(Table1722[[#This Row],[Lawan Transaksi]]="CV AGUNG KARYA",COUNTIF($I$10:I50,"CV AGUNG KARYA")," ")</f>
        <v xml:space="preserve"> </v>
      </c>
      <c r="F50" s="107" t="str">
        <f>IF(LEN(Table1722[[#This Row],[Uraian]])&gt;2,TRIM(RIGHT(SUBSTITUTE(TRIM(C50)," ",REPT(" ",255)),255))," ")</f>
        <v xml:space="preserve"> </v>
      </c>
      <c r="G50" s="110">
        <f>COPY!Z42</f>
        <v>0</v>
      </c>
      <c r="H50" s="111" t="str">
        <f>IFERROR(VLOOKUP(Table1722[[#This Row],[Bukti]],'Un nOTA'!$A$4:$K$5003,10,FALSE),"")</f>
        <v/>
      </c>
      <c r="I50" s="112" t="str">
        <f>IFERROR(VLOOKUP(Table1722[[#This Row],[Bukti]],Table13[#Data],11,FALSE),"")</f>
        <v/>
      </c>
    </row>
    <row r="51" spans="1:9" ht="19.5" hidden="1" customHeight="1" x14ac:dyDescent="0.2">
      <c r="A51" s="105" t="str">
        <f>IF(D51=1,COUNTIF($D$10:D51,1)," ")</f>
        <v xml:space="preserve"> </v>
      </c>
      <c r="B51" s="106" t="str">
        <f>COPY!AR43</f>
        <v/>
      </c>
      <c r="C51" s="107">
        <f>COPY!AC43</f>
        <v>0</v>
      </c>
      <c r="D51" s="107" t="str">
        <f>IF(LEN(Table1722[[#This Row],[Uraian]])&gt;2,1," ")</f>
        <v xml:space="preserve"> </v>
      </c>
      <c r="E51" s="113" t="str">
        <f>IF(Table1722[[#This Row],[Lawan Transaksi]]="CV AGUNG KARYA",COUNTIF($I$10:I51,"CV AGUNG KARYA")," ")</f>
        <v xml:space="preserve"> </v>
      </c>
      <c r="F51" s="107" t="str">
        <f>IF(LEN(Table1722[[#This Row],[Uraian]])&gt;2,TRIM(RIGHT(SUBSTITUTE(TRIM(C51)," ",REPT(" ",255)),255))," ")</f>
        <v xml:space="preserve"> </v>
      </c>
      <c r="G51" s="110">
        <f>COPY!Z43</f>
        <v>0</v>
      </c>
      <c r="H51" s="111" t="str">
        <f>IFERROR(VLOOKUP(Table1722[[#This Row],[Bukti]],'Un nOTA'!$A$4:$K$5003,10,FALSE),"")</f>
        <v/>
      </c>
      <c r="I51" s="112" t="str">
        <f>IFERROR(VLOOKUP(Table1722[[#This Row],[Bukti]],Table13[#Data],11,FALSE),"")</f>
        <v/>
      </c>
    </row>
    <row r="52" spans="1:9" ht="19.5" hidden="1" customHeight="1" x14ac:dyDescent="0.2">
      <c r="A52" s="105" t="str">
        <f>IF(D52=1,COUNTIF($D$10:D52,1)," ")</f>
        <v xml:space="preserve"> </v>
      </c>
      <c r="B52" s="106" t="str">
        <f>COPY!AR44</f>
        <v/>
      </c>
      <c r="C52" s="107">
        <f>COPY!AC44</f>
        <v>0</v>
      </c>
      <c r="D52" s="107" t="str">
        <f>IF(LEN(Table1722[[#This Row],[Uraian]])&gt;2,1," ")</f>
        <v xml:space="preserve"> </v>
      </c>
      <c r="E52" s="113" t="str">
        <f>IF(Table1722[[#This Row],[Lawan Transaksi]]="CV AGUNG KARYA",COUNTIF($I$10:I52,"CV AGUNG KARYA")," ")</f>
        <v xml:space="preserve"> </v>
      </c>
      <c r="F52" s="107" t="str">
        <f>IF(LEN(Table1722[[#This Row],[Uraian]])&gt;2,TRIM(RIGHT(SUBSTITUTE(TRIM(C52)," ",REPT(" ",255)),255))," ")</f>
        <v xml:space="preserve"> </v>
      </c>
      <c r="G52" s="110">
        <f>COPY!Z44</f>
        <v>0</v>
      </c>
      <c r="H52" s="111" t="str">
        <f>IFERROR(VLOOKUP(Table1722[[#This Row],[Bukti]],'Un nOTA'!$A$4:$K$5003,10,FALSE),"")</f>
        <v/>
      </c>
      <c r="I52" s="112" t="str">
        <f>IFERROR(VLOOKUP(Table1722[[#This Row],[Bukti]],Table13[#Data],11,FALSE),"")</f>
        <v/>
      </c>
    </row>
    <row r="53" spans="1:9" ht="19.5" hidden="1" customHeight="1" x14ac:dyDescent="0.2">
      <c r="A53" s="105" t="str">
        <f>IF(D53=1,COUNTIF($D$10:D53,1)," ")</f>
        <v xml:space="preserve"> </v>
      </c>
      <c r="B53" s="106" t="str">
        <f>COPY!AR45</f>
        <v/>
      </c>
      <c r="C53" s="107">
        <f>COPY!AC45</f>
        <v>0</v>
      </c>
      <c r="D53" s="107" t="str">
        <f>IF(LEN(Table1722[[#This Row],[Uraian]])&gt;2,1," ")</f>
        <v xml:space="preserve"> </v>
      </c>
      <c r="E53" s="113" t="str">
        <f>IF(Table1722[[#This Row],[Lawan Transaksi]]="CV AGUNG KARYA",COUNTIF($I$10:I53,"CV AGUNG KARYA")," ")</f>
        <v xml:space="preserve"> </v>
      </c>
      <c r="F53" s="107" t="str">
        <f>IF(LEN(Table1722[[#This Row],[Uraian]])&gt;2,TRIM(RIGHT(SUBSTITUTE(TRIM(C53)," ",REPT(" ",255)),255))," ")</f>
        <v xml:space="preserve"> </v>
      </c>
      <c r="G53" s="110">
        <f>COPY!Z45</f>
        <v>0</v>
      </c>
      <c r="H53" s="111" t="str">
        <f>IFERROR(VLOOKUP(Table1722[[#This Row],[Bukti]],'Un nOTA'!$A$4:$K$5003,10,FALSE),"")</f>
        <v/>
      </c>
      <c r="I53" s="112" t="str">
        <f>IFERROR(VLOOKUP(Table1722[[#This Row],[Bukti]],Table13[#Data],11,FALSE),"")</f>
        <v/>
      </c>
    </row>
    <row r="54" spans="1:9" ht="19.5" hidden="1" customHeight="1" x14ac:dyDescent="0.2">
      <c r="A54" s="105" t="str">
        <f>IF(D54=1,COUNTIF($D$10:D54,1)," ")</f>
        <v xml:space="preserve"> </v>
      </c>
      <c r="B54" s="106" t="str">
        <f>COPY!AR46</f>
        <v/>
      </c>
      <c r="C54" s="107">
        <f>COPY!AC46</f>
        <v>0</v>
      </c>
      <c r="D54" s="107" t="str">
        <f>IF(LEN(Table1722[[#This Row],[Uraian]])&gt;2,1," ")</f>
        <v xml:space="preserve"> </v>
      </c>
      <c r="E54" s="113" t="str">
        <f>IF(Table1722[[#This Row],[Lawan Transaksi]]="CV AGUNG KARYA",COUNTIF($I$10:I54,"CV AGUNG KARYA")," ")</f>
        <v xml:space="preserve"> </v>
      </c>
      <c r="F54" s="107" t="str">
        <f>IF(LEN(Table1722[[#This Row],[Uraian]])&gt;2,TRIM(RIGHT(SUBSTITUTE(TRIM(C54)," ",REPT(" ",255)),255))," ")</f>
        <v xml:space="preserve"> </v>
      </c>
      <c r="G54" s="110">
        <f>COPY!Z46</f>
        <v>0</v>
      </c>
      <c r="H54" s="111" t="str">
        <f>IFERROR(VLOOKUP(Table1722[[#This Row],[Bukti]],'Un nOTA'!$A$4:$K$5003,10,FALSE),"")</f>
        <v/>
      </c>
      <c r="I54" s="112" t="str">
        <f>IFERROR(VLOOKUP(Table1722[[#This Row],[Bukti]],Table13[#Data],11,FALSE),"")</f>
        <v/>
      </c>
    </row>
    <row r="55" spans="1:9" ht="19.5" hidden="1" customHeight="1" x14ac:dyDescent="0.2">
      <c r="A55" s="105" t="str">
        <f>IF(D55=1,COUNTIF($D$10:D55,1)," ")</f>
        <v xml:space="preserve"> </v>
      </c>
      <c r="B55" s="106" t="str">
        <f>COPY!AR47</f>
        <v/>
      </c>
      <c r="C55" s="107">
        <f>COPY!AC47</f>
        <v>0</v>
      </c>
      <c r="D55" s="107" t="str">
        <f>IF(LEN(Table1722[[#This Row],[Uraian]])&gt;2,1," ")</f>
        <v xml:space="preserve"> </v>
      </c>
      <c r="E55" s="113" t="str">
        <f>IF(Table1722[[#This Row],[Lawan Transaksi]]="CV AGUNG KARYA",COUNTIF($I$10:I55,"CV AGUNG KARYA")," ")</f>
        <v xml:space="preserve"> </v>
      </c>
      <c r="F55" s="107" t="str">
        <f>IF(LEN(Table1722[[#This Row],[Uraian]])&gt;2,TRIM(RIGHT(SUBSTITUTE(TRIM(C55)," ",REPT(" ",255)),255))," ")</f>
        <v xml:space="preserve"> </v>
      </c>
      <c r="G55" s="110">
        <f>COPY!Z47</f>
        <v>0</v>
      </c>
      <c r="H55" s="111" t="str">
        <f>IFERROR(VLOOKUP(Table1722[[#This Row],[Bukti]],'Un nOTA'!$A$4:$K$5003,10,FALSE),"")</f>
        <v/>
      </c>
      <c r="I55" s="112" t="str">
        <f>IFERROR(VLOOKUP(Table1722[[#This Row],[Bukti]],Table13[#Data],11,FALSE),"")</f>
        <v/>
      </c>
    </row>
    <row r="56" spans="1:9" ht="19.5" hidden="1" customHeight="1" x14ac:dyDescent="0.2">
      <c r="A56" s="105" t="str">
        <f>IF(D56=1,COUNTIF($D$10:D56,1)," ")</f>
        <v xml:space="preserve"> </v>
      </c>
      <c r="B56" s="106" t="str">
        <f>COPY!AR48</f>
        <v/>
      </c>
      <c r="C56" s="107">
        <f>COPY!AC48</f>
        <v>0</v>
      </c>
      <c r="D56" s="107" t="str">
        <f>IF(LEN(Table1722[[#This Row],[Uraian]])&gt;2,1," ")</f>
        <v xml:space="preserve"> </v>
      </c>
      <c r="E56" s="113" t="str">
        <f>IF(Table1722[[#This Row],[Lawan Transaksi]]="CV AGUNG KARYA",COUNTIF($I$10:I56,"CV AGUNG KARYA")," ")</f>
        <v xml:space="preserve"> </v>
      </c>
      <c r="F56" s="107" t="str">
        <f>IF(LEN(Table1722[[#This Row],[Uraian]])&gt;2,TRIM(RIGHT(SUBSTITUTE(TRIM(C56)," ",REPT(" ",255)),255))," ")</f>
        <v xml:space="preserve"> </v>
      </c>
      <c r="G56" s="110">
        <f>COPY!Z48</f>
        <v>0</v>
      </c>
      <c r="H56" s="111" t="str">
        <f>IFERROR(VLOOKUP(Table1722[[#This Row],[Bukti]],'Un nOTA'!$A$4:$K$5003,10,FALSE),"")</f>
        <v/>
      </c>
      <c r="I56" s="112" t="str">
        <f>IFERROR(VLOOKUP(Table1722[[#This Row],[Bukti]],Table13[#Data],11,FALSE),"")</f>
        <v/>
      </c>
    </row>
    <row r="57" spans="1:9" ht="19.5" hidden="1" customHeight="1" x14ac:dyDescent="0.2">
      <c r="A57" s="105" t="str">
        <f>IF(D57=1,COUNTIF($D$10:D57,1)," ")</f>
        <v xml:space="preserve"> </v>
      </c>
      <c r="B57" s="106" t="str">
        <f>COPY!AR49</f>
        <v/>
      </c>
      <c r="C57" s="107">
        <f>COPY!AC49</f>
        <v>0</v>
      </c>
      <c r="D57" s="107" t="str">
        <f>IF(LEN(Table1722[[#This Row],[Uraian]])&gt;2,1," ")</f>
        <v xml:space="preserve"> </v>
      </c>
      <c r="E57" s="113" t="str">
        <f>IF(Table1722[[#This Row],[Lawan Transaksi]]="CV AGUNG KARYA",COUNTIF($I$10:I57,"CV AGUNG KARYA")," ")</f>
        <v xml:space="preserve"> </v>
      </c>
      <c r="F57" s="107" t="str">
        <f>IF(LEN(Table1722[[#This Row],[Uraian]])&gt;2,TRIM(RIGHT(SUBSTITUTE(TRIM(C57)," ",REPT(" ",255)),255))," ")</f>
        <v xml:space="preserve"> </v>
      </c>
      <c r="G57" s="110">
        <f>COPY!Z49</f>
        <v>0</v>
      </c>
      <c r="H57" s="111" t="str">
        <f>IFERROR(VLOOKUP(Table1722[[#This Row],[Bukti]],'Un nOTA'!$A$4:$K$5003,10,FALSE),"")</f>
        <v/>
      </c>
      <c r="I57" s="112" t="str">
        <f>IFERROR(VLOOKUP(Table1722[[#This Row],[Bukti]],Table13[#Data],11,FALSE),"")</f>
        <v/>
      </c>
    </row>
    <row r="58" spans="1:9" ht="19.5" hidden="1" customHeight="1" x14ac:dyDescent="0.2">
      <c r="A58" s="105" t="str">
        <f>IF(D58=1,COUNTIF($D$10:D58,1)," ")</f>
        <v xml:space="preserve"> </v>
      </c>
      <c r="B58" s="106" t="str">
        <f>COPY!AR50</f>
        <v/>
      </c>
      <c r="C58" s="107">
        <f>COPY!AC50</f>
        <v>0</v>
      </c>
      <c r="D58" s="107" t="str">
        <f>IF(LEN(Table1722[[#This Row],[Uraian]])&gt;2,1," ")</f>
        <v xml:space="preserve"> </v>
      </c>
      <c r="E58" s="113" t="str">
        <f>IF(Table1722[[#This Row],[Lawan Transaksi]]="CV AGUNG KARYA",COUNTIF($I$10:I58,"CV AGUNG KARYA")," ")</f>
        <v xml:space="preserve"> </v>
      </c>
      <c r="F58" s="107" t="str">
        <f>IF(LEN(Table1722[[#This Row],[Uraian]])&gt;2,TRIM(RIGHT(SUBSTITUTE(TRIM(C58)," ",REPT(" ",255)),255))," ")</f>
        <v xml:space="preserve"> </v>
      </c>
      <c r="G58" s="110">
        <f>COPY!Z50</f>
        <v>0</v>
      </c>
      <c r="H58" s="111" t="str">
        <f>IFERROR(VLOOKUP(Table1722[[#This Row],[Bukti]],'Un nOTA'!$A$4:$K$5003,10,FALSE),"")</f>
        <v/>
      </c>
      <c r="I58" s="112" t="str">
        <f>IFERROR(VLOOKUP(Table1722[[#This Row],[Bukti]],Table13[#Data],11,FALSE),"")</f>
        <v/>
      </c>
    </row>
    <row r="59" spans="1:9" ht="19.5" hidden="1" customHeight="1" x14ac:dyDescent="0.2">
      <c r="A59" s="105" t="str">
        <f>IF(D59=1,COUNTIF($D$10:D59,1)," ")</f>
        <v xml:space="preserve"> </v>
      </c>
      <c r="B59" s="106" t="str">
        <f>COPY!AR51</f>
        <v/>
      </c>
      <c r="C59" s="107">
        <f>COPY!AC51</f>
        <v>0</v>
      </c>
      <c r="D59" s="107" t="str">
        <f>IF(LEN(Table1722[[#This Row],[Uraian]])&gt;2,1," ")</f>
        <v xml:space="preserve"> </v>
      </c>
      <c r="E59" s="113" t="str">
        <f>IF(Table1722[[#This Row],[Lawan Transaksi]]="CV AGUNG KARYA",COUNTIF($I$10:I59,"CV AGUNG KARYA")," ")</f>
        <v xml:space="preserve"> </v>
      </c>
      <c r="F59" s="107" t="str">
        <f>IF(LEN(Table1722[[#This Row],[Uraian]])&gt;2,TRIM(RIGHT(SUBSTITUTE(TRIM(C59)," ",REPT(" ",255)),255))," ")</f>
        <v xml:space="preserve"> </v>
      </c>
      <c r="G59" s="110">
        <f>COPY!Z51</f>
        <v>0</v>
      </c>
      <c r="H59" s="111" t="str">
        <f>IFERROR(VLOOKUP(Table1722[[#This Row],[Bukti]],'Un nOTA'!$A$4:$K$5003,10,FALSE),"")</f>
        <v/>
      </c>
      <c r="I59" s="112" t="str">
        <f>IFERROR(VLOOKUP(Table1722[[#This Row],[Bukti]],Table13[#Data],11,FALSE),"")</f>
        <v/>
      </c>
    </row>
    <row r="60" spans="1:9" ht="19.5" hidden="1" customHeight="1" x14ac:dyDescent="0.2">
      <c r="A60" s="105" t="str">
        <f>IF(D60=1,COUNTIF($D$10:D60,1)," ")</f>
        <v xml:space="preserve"> </v>
      </c>
      <c r="B60" s="106" t="str">
        <f>COPY!AR52</f>
        <v/>
      </c>
      <c r="C60" s="107">
        <f>COPY!AC52</f>
        <v>0</v>
      </c>
      <c r="D60" s="107" t="str">
        <f>IF(LEN(Table1722[[#This Row],[Uraian]])&gt;2,1," ")</f>
        <v xml:space="preserve"> </v>
      </c>
      <c r="E60" s="113" t="str">
        <f>IF(Table1722[[#This Row],[Lawan Transaksi]]="CV AGUNG KARYA",COUNTIF($I$10:I60,"CV AGUNG KARYA")," ")</f>
        <v xml:space="preserve"> </v>
      </c>
      <c r="F60" s="107" t="str">
        <f>IF(LEN(Table1722[[#This Row],[Uraian]])&gt;2,TRIM(RIGHT(SUBSTITUTE(TRIM(C60)," ",REPT(" ",255)),255))," ")</f>
        <v xml:space="preserve"> </v>
      </c>
      <c r="G60" s="110">
        <f>COPY!Z52</f>
        <v>0</v>
      </c>
      <c r="H60" s="111" t="str">
        <f>IFERROR(VLOOKUP(Table1722[[#This Row],[Bukti]],'Un nOTA'!$A$4:$K$5003,10,FALSE),"")</f>
        <v/>
      </c>
      <c r="I60" s="112" t="str">
        <f>IFERROR(VLOOKUP(Table1722[[#This Row],[Bukti]],Table13[#Data],11,FALSE),"")</f>
        <v/>
      </c>
    </row>
    <row r="61" spans="1:9" ht="19.5" hidden="1" customHeight="1" x14ac:dyDescent="0.2">
      <c r="A61" s="105" t="str">
        <f>IF(D61=1,COUNTIF($D$10:D61,1)," ")</f>
        <v xml:space="preserve"> </v>
      </c>
      <c r="B61" s="106" t="str">
        <f>COPY!AR53</f>
        <v/>
      </c>
      <c r="C61" s="107">
        <f>COPY!AC53</f>
        <v>0</v>
      </c>
      <c r="D61" s="107" t="str">
        <f>IF(LEN(Table1722[[#This Row],[Uraian]])&gt;2,1," ")</f>
        <v xml:space="preserve"> </v>
      </c>
      <c r="E61" s="113" t="str">
        <f>IF(Table1722[[#This Row],[Lawan Transaksi]]="CV AGUNG KARYA",COUNTIF($I$10:I61,"CV AGUNG KARYA")," ")</f>
        <v xml:space="preserve"> </v>
      </c>
      <c r="F61" s="107" t="str">
        <f>IF(LEN(Table1722[[#This Row],[Uraian]])&gt;2,TRIM(RIGHT(SUBSTITUTE(TRIM(C61)," ",REPT(" ",255)),255))," ")</f>
        <v xml:space="preserve"> </v>
      </c>
      <c r="G61" s="110">
        <f>COPY!Z53</f>
        <v>0</v>
      </c>
      <c r="H61" s="111" t="str">
        <f>IFERROR(VLOOKUP(Table1722[[#This Row],[Bukti]],'Un nOTA'!$A$4:$K$5003,10,FALSE),"")</f>
        <v/>
      </c>
      <c r="I61" s="112" t="str">
        <f>IFERROR(VLOOKUP(Table1722[[#This Row],[Bukti]],Table13[#Data],11,FALSE),"")</f>
        <v/>
      </c>
    </row>
    <row r="62" spans="1:9" ht="19.5" hidden="1" customHeight="1" x14ac:dyDescent="0.2">
      <c r="A62" s="105" t="str">
        <f>IF(D62=1,COUNTIF($D$10:D62,1)," ")</f>
        <v xml:space="preserve"> </v>
      </c>
      <c r="B62" s="106" t="str">
        <f>COPY!AR54</f>
        <v/>
      </c>
      <c r="C62" s="107">
        <f>COPY!AC54</f>
        <v>0</v>
      </c>
      <c r="D62" s="107" t="str">
        <f>IF(LEN(Table1722[[#This Row],[Uraian]])&gt;2,1," ")</f>
        <v xml:space="preserve"> </v>
      </c>
      <c r="E62" s="113" t="str">
        <f>IF(Table1722[[#This Row],[Lawan Transaksi]]="CV AGUNG KARYA",COUNTIF($I$10:I62,"CV AGUNG KARYA")," ")</f>
        <v xml:space="preserve"> </v>
      </c>
      <c r="F62" s="107" t="str">
        <f>IF(LEN(Table1722[[#This Row],[Uraian]])&gt;2,TRIM(RIGHT(SUBSTITUTE(TRIM(C62)," ",REPT(" ",255)),255))," ")</f>
        <v xml:space="preserve"> </v>
      </c>
      <c r="G62" s="110">
        <f>COPY!Z54</f>
        <v>0</v>
      </c>
      <c r="H62" s="111" t="str">
        <f>IFERROR(VLOOKUP(Table1722[[#This Row],[Bukti]],'Un nOTA'!$A$4:$K$5003,10,FALSE),"")</f>
        <v/>
      </c>
      <c r="I62" s="112" t="str">
        <f>IFERROR(VLOOKUP(Table1722[[#This Row],[Bukti]],Table13[#Data],11,FALSE),"")</f>
        <v/>
      </c>
    </row>
    <row r="63" spans="1:9" ht="19.5" hidden="1" customHeight="1" x14ac:dyDescent="0.2">
      <c r="A63" s="105" t="str">
        <f>IF(D63=1,COUNTIF($D$10:D63,1)," ")</f>
        <v xml:space="preserve"> </v>
      </c>
      <c r="B63" s="106" t="str">
        <f>COPY!AR55</f>
        <v/>
      </c>
      <c r="C63" s="107">
        <f>COPY!AC55</f>
        <v>0</v>
      </c>
      <c r="D63" s="107" t="str">
        <f>IF(LEN(Table1722[[#This Row],[Uraian]])&gt;2,1," ")</f>
        <v xml:space="preserve"> </v>
      </c>
      <c r="E63" s="113" t="str">
        <f>IF(Table1722[[#This Row],[Lawan Transaksi]]="CV AGUNG KARYA",COUNTIF($I$10:I63,"CV AGUNG KARYA")," ")</f>
        <v xml:space="preserve"> </v>
      </c>
      <c r="F63" s="107" t="str">
        <f>IF(LEN(Table1722[[#This Row],[Uraian]])&gt;2,TRIM(RIGHT(SUBSTITUTE(TRIM(C63)," ",REPT(" ",255)),255))," ")</f>
        <v xml:space="preserve"> </v>
      </c>
      <c r="G63" s="110">
        <f>COPY!Z55</f>
        <v>0</v>
      </c>
      <c r="H63" s="111" t="str">
        <f>IFERROR(VLOOKUP(Table1722[[#This Row],[Bukti]],'Un nOTA'!$A$4:$K$5003,10,FALSE),"")</f>
        <v/>
      </c>
      <c r="I63" s="112" t="str">
        <f>IFERROR(VLOOKUP(Table1722[[#This Row],[Bukti]],Table13[#Data],11,FALSE),"")</f>
        <v/>
      </c>
    </row>
    <row r="64" spans="1:9" ht="19.5" hidden="1" customHeight="1" x14ac:dyDescent="0.2">
      <c r="A64" s="105" t="str">
        <f>IF(D64=1,COUNTIF($D$10:D64,1)," ")</f>
        <v xml:space="preserve"> </v>
      </c>
      <c r="B64" s="106" t="str">
        <f>COPY!AR56</f>
        <v/>
      </c>
      <c r="C64" s="107">
        <f>COPY!AC56</f>
        <v>0</v>
      </c>
      <c r="D64" s="107" t="str">
        <f>IF(LEN(Table1722[[#This Row],[Uraian]])&gt;2,1," ")</f>
        <v xml:space="preserve"> </v>
      </c>
      <c r="E64" s="113" t="str">
        <f>IF(Table1722[[#This Row],[Lawan Transaksi]]="CV AGUNG KARYA",COUNTIF($I$10:I64,"CV AGUNG KARYA")," ")</f>
        <v xml:space="preserve"> </v>
      </c>
      <c r="F64" s="107" t="str">
        <f>IF(LEN(Table1722[[#This Row],[Uraian]])&gt;2,TRIM(RIGHT(SUBSTITUTE(TRIM(C64)," ",REPT(" ",255)),255))," ")</f>
        <v xml:space="preserve"> </v>
      </c>
      <c r="G64" s="110">
        <f>COPY!Z56</f>
        <v>0</v>
      </c>
      <c r="H64" s="111" t="str">
        <f>IFERROR(VLOOKUP(Table1722[[#This Row],[Bukti]],'Un nOTA'!$A$4:$K$5003,10,FALSE),"")</f>
        <v/>
      </c>
      <c r="I64" s="112" t="str">
        <f>IFERROR(VLOOKUP(Table1722[[#This Row],[Bukti]],Table13[#Data],11,FALSE),"")</f>
        <v/>
      </c>
    </row>
    <row r="65" spans="1:9" ht="19.5" hidden="1" customHeight="1" x14ac:dyDescent="0.2">
      <c r="A65" s="105" t="str">
        <f>IF(D65=1,COUNTIF($D$10:D65,1)," ")</f>
        <v xml:space="preserve"> </v>
      </c>
      <c r="B65" s="106" t="str">
        <f>COPY!AR57</f>
        <v/>
      </c>
      <c r="C65" s="107">
        <f>COPY!AC57</f>
        <v>0</v>
      </c>
      <c r="D65" s="107" t="str">
        <f>IF(LEN(Table1722[[#This Row],[Uraian]])&gt;2,1," ")</f>
        <v xml:space="preserve"> </v>
      </c>
      <c r="E65" s="113" t="str">
        <f>IF(Table1722[[#This Row],[Lawan Transaksi]]="CV AGUNG KARYA",COUNTIF($I$10:I65,"CV AGUNG KARYA")," ")</f>
        <v xml:space="preserve"> </v>
      </c>
      <c r="F65" s="107" t="str">
        <f>IF(LEN(Table1722[[#This Row],[Uraian]])&gt;2,TRIM(RIGHT(SUBSTITUTE(TRIM(C65)," ",REPT(" ",255)),255))," ")</f>
        <v xml:space="preserve"> </v>
      </c>
      <c r="G65" s="110">
        <f>COPY!Z57</f>
        <v>0</v>
      </c>
      <c r="H65" s="111" t="str">
        <f>IFERROR(VLOOKUP(Table1722[[#This Row],[Bukti]],'Un nOTA'!$A$4:$K$5003,10,FALSE),"")</f>
        <v/>
      </c>
      <c r="I65" s="112" t="str">
        <f>IFERROR(VLOOKUP(Table1722[[#This Row],[Bukti]],Table13[#Data],11,FALSE),"")</f>
        <v/>
      </c>
    </row>
    <row r="66" spans="1:9" ht="19.5" hidden="1" customHeight="1" x14ac:dyDescent="0.2">
      <c r="A66" s="105" t="str">
        <f>IF(D66=1,COUNTIF($D$10:D66,1)," ")</f>
        <v xml:space="preserve"> </v>
      </c>
      <c r="B66" s="106" t="str">
        <f>COPY!AR58</f>
        <v/>
      </c>
      <c r="C66" s="107">
        <f>COPY!AC58</f>
        <v>0</v>
      </c>
      <c r="D66" s="107" t="str">
        <f>IF(LEN(Table1722[[#This Row],[Uraian]])&gt;2,1," ")</f>
        <v xml:space="preserve"> </v>
      </c>
      <c r="E66" s="113" t="str">
        <f>IF(Table1722[[#This Row],[Lawan Transaksi]]="CV AGUNG KARYA",COUNTIF($I$10:I66,"CV AGUNG KARYA")," ")</f>
        <v xml:space="preserve"> </v>
      </c>
      <c r="F66" s="107" t="str">
        <f>IF(LEN(Table1722[[#This Row],[Uraian]])&gt;2,TRIM(RIGHT(SUBSTITUTE(TRIM(C66)," ",REPT(" ",255)),255))," ")</f>
        <v xml:space="preserve"> </v>
      </c>
      <c r="G66" s="110">
        <f>COPY!Z58</f>
        <v>0</v>
      </c>
      <c r="H66" s="111" t="str">
        <f>IFERROR(VLOOKUP(Table1722[[#This Row],[Bukti]],'Un nOTA'!$A$4:$K$5003,10,FALSE),"")</f>
        <v/>
      </c>
      <c r="I66" s="112" t="str">
        <f>IFERROR(VLOOKUP(Table1722[[#This Row],[Bukti]],Table13[#Data],11,FALSE),"")</f>
        <v/>
      </c>
    </row>
    <row r="67" spans="1:9" ht="19.5" hidden="1" customHeight="1" x14ac:dyDescent="0.2">
      <c r="A67" s="105" t="str">
        <f>IF(D67=1,COUNTIF($D$10:D67,1)," ")</f>
        <v xml:space="preserve"> </v>
      </c>
      <c r="B67" s="106" t="str">
        <f>COPY!AR59</f>
        <v/>
      </c>
      <c r="C67" s="107">
        <f>COPY!AC59</f>
        <v>0</v>
      </c>
      <c r="D67" s="107" t="str">
        <f>IF(LEN(Table1722[[#This Row],[Uraian]])&gt;2,1," ")</f>
        <v xml:space="preserve"> </v>
      </c>
      <c r="E67" s="113" t="str">
        <f>IF(Table1722[[#This Row],[Lawan Transaksi]]="CV AGUNG KARYA",COUNTIF($I$10:I67,"CV AGUNG KARYA")," ")</f>
        <v xml:space="preserve"> </v>
      </c>
      <c r="F67" s="107" t="str">
        <f>IF(LEN(Table1722[[#This Row],[Uraian]])&gt;2,TRIM(RIGHT(SUBSTITUTE(TRIM(C67)," ",REPT(" ",255)),255))," ")</f>
        <v xml:space="preserve"> </v>
      </c>
      <c r="G67" s="110">
        <f>COPY!Z59</f>
        <v>0</v>
      </c>
      <c r="H67" s="111" t="str">
        <f>IFERROR(VLOOKUP(Table1722[[#This Row],[Bukti]],'Un nOTA'!$A$4:$K$5003,10,FALSE),"")</f>
        <v/>
      </c>
      <c r="I67" s="112" t="str">
        <f>IFERROR(VLOOKUP(Table1722[[#This Row],[Bukti]],Table13[#Data],11,FALSE),"")</f>
        <v/>
      </c>
    </row>
    <row r="68" spans="1:9" ht="19.5" hidden="1" customHeight="1" x14ac:dyDescent="0.2">
      <c r="A68" s="105" t="str">
        <f>IF(D68=1,COUNTIF($D$10:D68,1)," ")</f>
        <v xml:space="preserve"> </v>
      </c>
      <c r="B68" s="106" t="str">
        <f>COPY!AR60</f>
        <v/>
      </c>
      <c r="C68" s="107">
        <f>COPY!AC60</f>
        <v>0</v>
      </c>
      <c r="D68" s="107" t="str">
        <f>IF(LEN(Table1722[[#This Row],[Uraian]])&gt;2,1," ")</f>
        <v xml:space="preserve"> </v>
      </c>
      <c r="E68" s="113" t="str">
        <f>IF(Table1722[[#This Row],[Lawan Transaksi]]="CV AGUNG KARYA",COUNTIF($I$10:I68,"CV AGUNG KARYA")," ")</f>
        <v xml:space="preserve"> </v>
      </c>
      <c r="F68" s="107" t="str">
        <f>IF(LEN(Table1722[[#This Row],[Uraian]])&gt;2,TRIM(RIGHT(SUBSTITUTE(TRIM(C68)," ",REPT(" ",255)),255))," ")</f>
        <v xml:space="preserve"> </v>
      </c>
      <c r="G68" s="110">
        <f>COPY!Z60</f>
        <v>0</v>
      </c>
      <c r="H68" s="111" t="str">
        <f>IFERROR(VLOOKUP(Table1722[[#This Row],[Bukti]],'Un nOTA'!$A$4:$K$5003,10,FALSE),"")</f>
        <v/>
      </c>
      <c r="I68" s="112" t="str">
        <f>IFERROR(VLOOKUP(Table1722[[#This Row],[Bukti]],Table13[#Data],11,FALSE),"")</f>
        <v/>
      </c>
    </row>
    <row r="69" spans="1:9" ht="19.5" hidden="1" customHeight="1" x14ac:dyDescent="0.2">
      <c r="A69" s="105" t="str">
        <f>IF(D69=1,COUNTIF($D$10:D69,1)," ")</f>
        <v xml:space="preserve"> </v>
      </c>
      <c r="B69" s="106" t="str">
        <f>COPY!AR61</f>
        <v/>
      </c>
      <c r="C69" s="107">
        <f>COPY!AC61</f>
        <v>0</v>
      </c>
      <c r="D69" s="107" t="str">
        <f>IF(LEN(Table1722[[#This Row],[Uraian]])&gt;2,1," ")</f>
        <v xml:space="preserve"> </v>
      </c>
      <c r="E69" s="113" t="str">
        <f>IF(Table1722[[#This Row],[Lawan Transaksi]]="CV AGUNG KARYA",COUNTIF($I$10:I69,"CV AGUNG KARYA")," ")</f>
        <v xml:space="preserve"> </v>
      </c>
      <c r="F69" s="107" t="str">
        <f>IF(LEN(Table1722[[#This Row],[Uraian]])&gt;2,TRIM(RIGHT(SUBSTITUTE(TRIM(C69)," ",REPT(" ",255)),255))," ")</f>
        <v xml:space="preserve"> </v>
      </c>
      <c r="G69" s="110">
        <f>COPY!Z61</f>
        <v>0</v>
      </c>
      <c r="H69" s="111" t="str">
        <f>IFERROR(VLOOKUP(Table1722[[#This Row],[Bukti]],'Un nOTA'!$A$4:$K$5003,10,FALSE),"")</f>
        <v/>
      </c>
      <c r="I69" s="112" t="str">
        <f>IFERROR(VLOOKUP(Table1722[[#This Row],[Bukti]],Table13[#Data],11,FALSE),"")</f>
        <v/>
      </c>
    </row>
    <row r="70" spans="1:9" ht="19.5" hidden="1" customHeight="1" x14ac:dyDescent="0.2">
      <c r="A70" s="105" t="str">
        <f>IF(D70=1,COUNTIF($D$10:D70,1)," ")</f>
        <v xml:space="preserve"> </v>
      </c>
      <c r="B70" s="106" t="str">
        <f>COPY!AR62</f>
        <v/>
      </c>
      <c r="C70" s="107">
        <f>COPY!AC62</f>
        <v>0</v>
      </c>
      <c r="D70" s="107" t="str">
        <f>IF(LEN(Table1722[[#This Row],[Uraian]])&gt;2,1," ")</f>
        <v xml:space="preserve"> </v>
      </c>
      <c r="E70" s="113" t="str">
        <f>IF(Table1722[[#This Row],[Lawan Transaksi]]="CV AGUNG KARYA",COUNTIF($I$10:I70,"CV AGUNG KARYA")," ")</f>
        <v xml:space="preserve"> </v>
      </c>
      <c r="F70" s="107" t="str">
        <f>IF(LEN(Table1722[[#This Row],[Uraian]])&gt;2,TRIM(RIGHT(SUBSTITUTE(TRIM(C70)," ",REPT(" ",255)),255))," ")</f>
        <v xml:space="preserve"> </v>
      </c>
      <c r="G70" s="110">
        <f>COPY!Z62</f>
        <v>0</v>
      </c>
      <c r="H70" s="111" t="str">
        <f>IFERROR(VLOOKUP(Table1722[[#This Row],[Bukti]],'Un nOTA'!$A$4:$K$5003,10,FALSE),"")</f>
        <v/>
      </c>
      <c r="I70" s="112" t="str">
        <f>IFERROR(VLOOKUP(Table1722[[#This Row],[Bukti]],Table13[#Data],11,FALSE),"")</f>
        <v/>
      </c>
    </row>
    <row r="71" spans="1:9" ht="19.5" hidden="1" customHeight="1" x14ac:dyDescent="0.2">
      <c r="A71" s="105" t="str">
        <f>IF(D71=1,COUNTIF($D$10:D71,1)," ")</f>
        <v xml:space="preserve"> </v>
      </c>
      <c r="B71" s="106" t="str">
        <f>COPY!AR63</f>
        <v/>
      </c>
      <c r="C71" s="107">
        <f>COPY!AC63</f>
        <v>0</v>
      </c>
      <c r="D71" s="107" t="str">
        <f>IF(LEN(Table1722[[#This Row],[Uraian]])&gt;2,1," ")</f>
        <v xml:space="preserve"> </v>
      </c>
      <c r="E71" s="113" t="str">
        <f>IF(Table1722[[#This Row],[Lawan Transaksi]]="CV AGUNG KARYA",COUNTIF($I$10:I71,"CV AGUNG KARYA")," ")</f>
        <v xml:space="preserve"> </v>
      </c>
      <c r="F71" s="107" t="str">
        <f>IF(LEN(Table1722[[#This Row],[Uraian]])&gt;2,TRIM(RIGHT(SUBSTITUTE(TRIM(C71)," ",REPT(" ",255)),255))," ")</f>
        <v xml:space="preserve"> </v>
      </c>
      <c r="G71" s="110">
        <f>COPY!Z63</f>
        <v>0</v>
      </c>
      <c r="H71" s="111" t="str">
        <f>IFERROR(VLOOKUP(Table1722[[#This Row],[Bukti]],'Un nOTA'!$A$4:$K$5003,10,FALSE),"")</f>
        <v/>
      </c>
      <c r="I71" s="112" t="str">
        <f>IFERROR(VLOOKUP(Table1722[[#This Row],[Bukti]],Table13[#Data],11,FALSE),"")</f>
        <v/>
      </c>
    </row>
    <row r="72" spans="1:9" ht="19.5" hidden="1" customHeight="1" x14ac:dyDescent="0.2">
      <c r="A72" s="105" t="str">
        <f>IF(D72=1,COUNTIF($D$10:D72,1)," ")</f>
        <v xml:space="preserve"> </v>
      </c>
      <c r="B72" s="106" t="str">
        <f>COPY!AR64</f>
        <v/>
      </c>
      <c r="C72" s="107">
        <f>COPY!AC64</f>
        <v>0</v>
      </c>
      <c r="D72" s="107" t="str">
        <f>IF(LEN(Table1722[[#This Row],[Uraian]])&gt;2,1," ")</f>
        <v xml:space="preserve"> </v>
      </c>
      <c r="E72" s="113" t="str">
        <f>IF(Table1722[[#This Row],[Lawan Transaksi]]="CV AGUNG KARYA",COUNTIF($I$10:I72,"CV AGUNG KARYA")," ")</f>
        <v xml:space="preserve"> </v>
      </c>
      <c r="F72" s="107" t="str">
        <f>IF(LEN(Table1722[[#This Row],[Uraian]])&gt;2,TRIM(RIGHT(SUBSTITUTE(TRIM(C72)," ",REPT(" ",255)),255))," ")</f>
        <v xml:space="preserve"> </v>
      </c>
      <c r="G72" s="110">
        <f>COPY!Z64</f>
        <v>0</v>
      </c>
      <c r="H72" s="111" t="str">
        <f>IFERROR(VLOOKUP(Table1722[[#This Row],[Bukti]],'Un nOTA'!$A$4:$K$5003,10,FALSE),"")</f>
        <v/>
      </c>
      <c r="I72" s="112" t="str">
        <f>IFERROR(VLOOKUP(Table1722[[#This Row],[Bukti]],Table13[#Data],11,FALSE),"")</f>
        <v/>
      </c>
    </row>
    <row r="73" spans="1:9" ht="19.5" hidden="1" customHeight="1" x14ac:dyDescent="0.2">
      <c r="A73" s="105" t="str">
        <f>IF(D73=1,COUNTIF($D$10:D73,1)," ")</f>
        <v xml:space="preserve"> </v>
      </c>
      <c r="B73" s="106" t="str">
        <f>COPY!AR65</f>
        <v/>
      </c>
      <c r="C73" s="107">
        <f>COPY!AC65</f>
        <v>0</v>
      </c>
      <c r="D73" s="107" t="str">
        <f>IF(LEN(Table1722[[#This Row],[Uraian]])&gt;2,1," ")</f>
        <v xml:space="preserve"> </v>
      </c>
      <c r="E73" s="113" t="str">
        <f>IF(Table1722[[#This Row],[Lawan Transaksi]]="CV AGUNG KARYA",COUNTIF($I$10:I73,"CV AGUNG KARYA")," ")</f>
        <v xml:space="preserve"> </v>
      </c>
      <c r="F73" s="107" t="str">
        <f>IF(LEN(Table1722[[#This Row],[Uraian]])&gt;2,TRIM(RIGHT(SUBSTITUTE(TRIM(C73)," ",REPT(" ",255)),255))," ")</f>
        <v xml:space="preserve"> </v>
      </c>
      <c r="G73" s="110">
        <f>COPY!Z65</f>
        <v>0</v>
      </c>
      <c r="H73" s="111" t="str">
        <f>IFERROR(VLOOKUP(Table1722[[#This Row],[Bukti]],'Un nOTA'!$A$4:$K$5003,10,FALSE),"")</f>
        <v/>
      </c>
      <c r="I73" s="112" t="str">
        <f>IFERROR(VLOOKUP(Table1722[[#This Row],[Bukti]],Table13[#Data],11,FALSE),"")</f>
        <v/>
      </c>
    </row>
    <row r="74" spans="1:9" ht="19.5" hidden="1" customHeight="1" x14ac:dyDescent="0.2">
      <c r="A74" s="105" t="str">
        <f>IF(D74=1,COUNTIF($D$10:D74,1)," ")</f>
        <v xml:space="preserve"> </v>
      </c>
      <c r="B74" s="106" t="str">
        <f>COPY!AR66</f>
        <v/>
      </c>
      <c r="C74" s="107">
        <f>COPY!AC66</f>
        <v>0</v>
      </c>
      <c r="D74" s="107" t="str">
        <f>IF(LEN(Table1722[[#This Row],[Uraian]])&gt;2,1," ")</f>
        <v xml:space="preserve"> </v>
      </c>
      <c r="E74" s="113" t="str">
        <f>IF(Table1722[[#This Row],[Lawan Transaksi]]="CV AGUNG KARYA",COUNTIF($I$10:I74,"CV AGUNG KARYA")," ")</f>
        <v xml:space="preserve"> </v>
      </c>
      <c r="F74" s="107" t="str">
        <f>IF(LEN(Table1722[[#This Row],[Uraian]])&gt;2,TRIM(RIGHT(SUBSTITUTE(TRIM(C74)," ",REPT(" ",255)),255))," ")</f>
        <v xml:space="preserve"> </v>
      </c>
      <c r="G74" s="110">
        <f>COPY!Z66</f>
        <v>0</v>
      </c>
      <c r="H74" s="111" t="str">
        <f>IFERROR(VLOOKUP(Table1722[[#This Row],[Bukti]],'Un nOTA'!$A$4:$K$5003,10,FALSE),"")</f>
        <v/>
      </c>
      <c r="I74" s="112" t="str">
        <f>IFERROR(VLOOKUP(Table1722[[#This Row],[Bukti]],Table13[#Data],11,FALSE),"")</f>
        <v/>
      </c>
    </row>
    <row r="75" spans="1:9" ht="19.5" hidden="1" customHeight="1" x14ac:dyDescent="0.2">
      <c r="A75" s="105" t="str">
        <f>IF(D75=1,COUNTIF($D$10:D75,1)," ")</f>
        <v xml:space="preserve"> </v>
      </c>
      <c r="B75" s="106" t="str">
        <f>COPY!AR67</f>
        <v/>
      </c>
      <c r="C75" s="107">
        <f>COPY!AC67</f>
        <v>0</v>
      </c>
      <c r="D75" s="107" t="str">
        <f>IF(LEN(Table1722[[#This Row],[Uraian]])&gt;2,1," ")</f>
        <v xml:space="preserve"> </v>
      </c>
      <c r="E75" s="113" t="str">
        <f>IF(Table1722[[#This Row],[Lawan Transaksi]]="CV AGUNG KARYA",COUNTIF($I$10:I75,"CV AGUNG KARYA")," ")</f>
        <v xml:space="preserve"> </v>
      </c>
      <c r="F75" s="107" t="str">
        <f>IF(LEN(Table1722[[#This Row],[Uraian]])&gt;2,TRIM(RIGHT(SUBSTITUTE(TRIM(C75)," ",REPT(" ",255)),255))," ")</f>
        <v xml:space="preserve"> </v>
      </c>
      <c r="G75" s="110">
        <f>COPY!Z67</f>
        <v>0</v>
      </c>
      <c r="H75" s="111" t="str">
        <f>IFERROR(VLOOKUP(Table1722[[#This Row],[Bukti]],'Un nOTA'!$A$4:$K$5003,10,FALSE),"")</f>
        <v/>
      </c>
      <c r="I75" s="112" t="str">
        <f>IFERROR(VLOOKUP(Table1722[[#This Row],[Bukti]],Table13[#Data],11,FALSE),"")</f>
        <v/>
      </c>
    </row>
    <row r="76" spans="1:9" ht="19.5" hidden="1" customHeight="1" x14ac:dyDescent="0.2">
      <c r="A76" s="105" t="str">
        <f>IF(D76=1,COUNTIF($D$10:D76,1)," ")</f>
        <v xml:space="preserve"> </v>
      </c>
      <c r="B76" s="106" t="str">
        <f>COPY!AR68</f>
        <v/>
      </c>
      <c r="C76" s="107">
        <f>COPY!AC68</f>
        <v>0</v>
      </c>
      <c r="D76" s="107" t="str">
        <f>IF(LEN(Table1722[[#This Row],[Uraian]])&gt;2,1," ")</f>
        <v xml:space="preserve"> </v>
      </c>
      <c r="E76" s="113" t="str">
        <f>IF(Table1722[[#This Row],[Lawan Transaksi]]="CV AGUNG KARYA",COUNTIF($I$10:I76,"CV AGUNG KARYA")," ")</f>
        <v xml:space="preserve"> </v>
      </c>
      <c r="F76" s="107" t="str">
        <f>IF(LEN(Table1722[[#This Row],[Uraian]])&gt;2,TRIM(RIGHT(SUBSTITUTE(TRIM(C76)," ",REPT(" ",255)),255))," ")</f>
        <v xml:space="preserve"> </v>
      </c>
      <c r="G76" s="110">
        <f>COPY!Z68</f>
        <v>0</v>
      </c>
      <c r="H76" s="111" t="str">
        <f>IFERROR(VLOOKUP(Table1722[[#This Row],[Bukti]],'Un nOTA'!$A$4:$K$5003,10,FALSE),"")</f>
        <v/>
      </c>
      <c r="I76" s="112" t="str">
        <f>IFERROR(VLOOKUP(Table1722[[#This Row],[Bukti]],Table13[#Data],11,FALSE),"")</f>
        <v/>
      </c>
    </row>
    <row r="77" spans="1:9" ht="19.5" hidden="1" customHeight="1" x14ac:dyDescent="0.2">
      <c r="A77" s="105" t="str">
        <f>IF(D77=1,COUNTIF($D$10:D77,1)," ")</f>
        <v xml:space="preserve"> </v>
      </c>
      <c r="B77" s="106" t="str">
        <f>COPY!AR69</f>
        <v/>
      </c>
      <c r="C77" s="107">
        <f>COPY!AC69</f>
        <v>0</v>
      </c>
      <c r="D77" s="107" t="str">
        <f>IF(LEN(Table1722[[#This Row],[Uraian]])&gt;2,1," ")</f>
        <v xml:space="preserve"> </v>
      </c>
      <c r="E77" s="113" t="str">
        <f>IF(Table1722[[#This Row],[Lawan Transaksi]]="CV AGUNG KARYA",COUNTIF($I$10:I77,"CV AGUNG KARYA")," ")</f>
        <v xml:space="preserve"> </v>
      </c>
      <c r="F77" s="107" t="str">
        <f>IF(LEN(Table1722[[#This Row],[Uraian]])&gt;2,TRIM(RIGHT(SUBSTITUTE(TRIM(C77)," ",REPT(" ",255)),255))," ")</f>
        <v xml:space="preserve"> </v>
      </c>
      <c r="G77" s="110">
        <f>COPY!Z69</f>
        <v>0</v>
      </c>
      <c r="H77" s="111" t="str">
        <f>IFERROR(VLOOKUP(Table1722[[#This Row],[Bukti]],'Un nOTA'!$A$4:$K$5003,10,FALSE),"")</f>
        <v/>
      </c>
      <c r="I77" s="112" t="str">
        <f>IFERROR(VLOOKUP(Table1722[[#This Row],[Bukti]],Table13[#Data],11,FALSE),"")</f>
        <v/>
      </c>
    </row>
    <row r="78" spans="1:9" ht="19.5" hidden="1" customHeight="1" x14ac:dyDescent="0.2">
      <c r="A78" s="105" t="str">
        <f>IF(D78=1,COUNTIF($D$10:D78,1)," ")</f>
        <v xml:space="preserve"> </v>
      </c>
      <c r="B78" s="106" t="str">
        <f>COPY!AR70</f>
        <v/>
      </c>
      <c r="C78" s="107">
        <f>COPY!AC70</f>
        <v>0</v>
      </c>
      <c r="D78" s="107" t="str">
        <f>IF(LEN(Table1722[[#This Row],[Uraian]])&gt;2,1," ")</f>
        <v xml:space="preserve"> </v>
      </c>
      <c r="E78" s="113" t="str">
        <f>IF(Table1722[[#This Row],[Lawan Transaksi]]="CV AGUNG KARYA",COUNTIF($I$10:I78,"CV AGUNG KARYA")," ")</f>
        <v xml:space="preserve"> </v>
      </c>
      <c r="F78" s="107" t="str">
        <f>IF(LEN(Table1722[[#This Row],[Uraian]])&gt;2,TRIM(RIGHT(SUBSTITUTE(TRIM(C78)," ",REPT(" ",255)),255))," ")</f>
        <v xml:space="preserve"> </v>
      </c>
      <c r="G78" s="110">
        <f>COPY!Z70</f>
        <v>0</v>
      </c>
      <c r="H78" s="111" t="str">
        <f>IFERROR(VLOOKUP(Table1722[[#This Row],[Bukti]],'Un nOTA'!$A$4:$K$5003,10,FALSE),"")</f>
        <v/>
      </c>
      <c r="I78" s="112" t="str">
        <f>IFERROR(VLOOKUP(Table1722[[#This Row],[Bukti]],Table13[#Data],11,FALSE),"")</f>
        <v/>
      </c>
    </row>
    <row r="79" spans="1:9" ht="19.5" hidden="1" customHeight="1" x14ac:dyDescent="0.2">
      <c r="A79" s="105" t="str">
        <f>IF(D79=1,COUNTIF($D$10:D79,1)," ")</f>
        <v xml:space="preserve"> </v>
      </c>
      <c r="B79" s="106" t="str">
        <f>COPY!AR71</f>
        <v/>
      </c>
      <c r="C79" s="107">
        <f>COPY!AC71</f>
        <v>0</v>
      </c>
      <c r="D79" s="107" t="str">
        <f>IF(LEN(Table1722[[#This Row],[Uraian]])&gt;2,1," ")</f>
        <v xml:space="preserve"> </v>
      </c>
      <c r="E79" s="113" t="str">
        <f>IF(Table1722[[#This Row],[Lawan Transaksi]]="CV AGUNG KARYA",COUNTIF($I$10:I79,"CV AGUNG KARYA")," ")</f>
        <v xml:space="preserve"> </v>
      </c>
      <c r="F79" s="107" t="str">
        <f>IF(LEN(Table1722[[#This Row],[Uraian]])&gt;2,TRIM(RIGHT(SUBSTITUTE(TRIM(C79)," ",REPT(" ",255)),255))," ")</f>
        <v xml:space="preserve"> </v>
      </c>
      <c r="G79" s="110">
        <f>COPY!Z71</f>
        <v>0</v>
      </c>
      <c r="H79" s="111" t="str">
        <f>IFERROR(VLOOKUP(Table1722[[#This Row],[Bukti]],'Un nOTA'!$A$4:$K$5003,10,FALSE),"")</f>
        <v/>
      </c>
      <c r="I79" s="112" t="str">
        <f>IFERROR(VLOOKUP(Table1722[[#This Row],[Bukti]],Table13[#Data],11,FALSE),"")</f>
        <v/>
      </c>
    </row>
    <row r="80" spans="1:9" ht="19.5" hidden="1" customHeight="1" x14ac:dyDescent="0.2">
      <c r="A80" s="105" t="str">
        <f>IF(D80=1,COUNTIF($D$10:D80,1)," ")</f>
        <v xml:space="preserve"> </v>
      </c>
      <c r="B80" s="106" t="str">
        <f>COPY!AR72</f>
        <v/>
      </c>
      <c r="C80" s="107">
        <f>COPY!AC72</f>
        <v>0</v>
      </c>
      <c r="D80" s="107" t="str">
        <f>IF(LEN(Table1722[[#This Row],[Uraian]])&gt;2,1," ")</f>
        <v xml:space="preserve"> </v>
      </c>
      <c r="E80" s="113" t="str">
        <f>IF(Table1722[[#This Row],[Lawan Transaksi]]="CV AGUNG KARYA",COUNTIF($I$10:I80,"CV AGUNG KARYA")," ")</f>
        <v xml:space="preserve"> </v>
      </c>
      <c r="F80" s="107" t="str">
        <f>IF(LEN(Table1722[[#This Row],[Uraian]])&gt;2,TRIM(RIGHT(SUBSTITUTE(TRIM(C80)," ",REPT(" ",255)),255))," ")</f>
        <v xml:space="preserve"> </v>
      </c>
      <c r="G80" s="110">
        <f>COPY!Z72</f>
        <v>0</v>
      </c>
      <c r="H80" s="111" t="str">
        <f>IFERROR(VLOOKUP(Table1722[[#This Row],[Bukti]],'Un nOTA'!$A$4:$K$5003,10,FALSE),"")</f>
        <v/>
      </c>
      <c r="I80" s="112" t="str">
        <f>IFERROR(VLOOKUP(Table1722[[#This Row],[Bukti]],Table13[#Data],11,FALSE),"")</f>
        <v/>
      </c>
    </row>
    <row r="81" spans="1:9" ht="19.5" hidden="1" customHeight="1" x14ac:dyDescent="0.2">
      <c r="A81" s="105" t="str">
        <f>IF(D81=1,COUNTIF($D$10:D81,1)," ")</f>
        <v xml:space="preserve"> </v>
      </c>
      <c r="B81" s="106" t="str">
        <f>COPY!AR73</f>
        <v/>
      </c>
      <c r="C81" s="107">
        <f>COPY!AC73</f>
        <v>0</v>
      </c>
      <c r="D81" s="107" t="str">
        <f>IF(LEN(Table1722[[#This Row],[Uraian]])&gt;2,1," ")</f>
        <v xml:space="preserve"> </v>
      </c>
      <c r="E81" s="113" t="str">
        <f>IF(Table1722[[#This Row],[Lawan Transaksi]]="CV AGUNG KARYA",COUNTIF($I$10:I81,"CV AGUNG KARYA")," ")</f>
        <v xml:space="preserve"> </v>
      </c>
      <c r="F81" s="107" t="str">
        <f>IF(LEN(Table1722[[#This Row],[Uraian]])&gt;2,TRIM(RIGHT(SUBSTITUTE(TRIM(C81)," ",REPT(" ",255)),255))," ")</f>
        <v xml:space="preserve"> </v>
      </c>
      <c r="G81" s="110">
        <f>COPY!Z73</f>
        <v>0</v>
      </c>
      <c r="H81" s="111" t="str">
        <f>IFERROR(VLOOKUP(Table1722[[#This Row],[Bukti]],'Un nOTA'!$A$4:$K$5003,10,FALSE),"")</f>
        <v/>
      </c>
      <c r="I81" s="112" t="str">
        <f>IFERROR(VLOOKUP(Table1722[[#This Row],[Bukti]],Table13[#Data],11,FALSE),"")</f>
        <v/>
      </c>
    </row>
    <row r="82" spans="1:9" ht="19.5" hidden="1" customHeight="1" x14ac:dyDescent="0.2">
      <c r="A82" s="105" t="str">
        <f>IF(D82=1,COUNTIF($D$10:D82,1)," ")</f>
        <v xml:space="preserve"> </v>
      </c>
      <c r="B82" s="106" t="str">
        <f>COPY!AR74</f>
        <v/>
      </c>
      <c r="C82" s="107">
        <f>COPY!AC74</f>
        <v>0</v>
      </c>
      <c r="D82" s="107" t="str">
        <f>IF(LEN(Table1722[[#This Row],[Uraian]])&gt;2,1," ")</f>
        <v xml:space="preserve"> </v>
      </c>
      <c r="E82" s="113" t="str">
        <f>IF(Table1722[[#This Row],[Lawan Transaksi]]="CV AGUNG KARYA",COUNTIF($I$10:I82,"CV AGUNG KARYA")," ")</f>
        <v xml:space="preserve"> </v>
      </c>
      <c r="F82" s="107" t="str">
        <f>IF(LEN(Table1722[[#This Row],[Uraian]])&gt;2,TRIM(RIGHT(SUBSTITUTE(TRIM(C82)," ",REPT(" ",255)),255))," ")</f>
        <v xml:space="preserve"> </v>
      </c>
      <c r="G82" s="110">
        <f>COPY!Z74</f>
        <v>0</v>
      </c>
      <c r="H82" s="111" t="str">
        <f>IFERROR(VLOOKUP(Table1722[[#This Row],[Bukti]],'Un nOTA'!$A$4:$K$5003,10,FALSE),"")</f>
        <v/>
      </c>
      <c r="I82" s="112" t="str">
        <f>IFERROR(VLOOKUP(Table1722[[#This Row],[Bukti]],Table13[#Data],11,FALSE),"")</f>
        <v/>
      </c>
    </row>
    <row r="83" spans="1:9" ht="19.5" hidden="1" customHeight="1" x14ac:dyDescent="0.2">
      <c r="A83" s="105" t="str">
        <f>IF(D83=1,COUNTIF($D$10:D83,1)," ")</f>
        <v xml:space="preserve"> </v>
      </c>
      <c r="B83" s="106" t="str">
        <f>COPY!AR75</f>
        <v/>
      </c>
      <c r="C83" s="107">
        <f>COPY!AC75</f>
        <v>0</v>
      </c>
      <c r="D83" s="107" t="str">
        <f>IF(LEN(Table1722[[#This Row],[Uraian]])&gt;2,1," ")</f>
        <v xml:space="preserve"> </v>
      </c>
      <c r="E83" s="113" t="str">
        <f>IF(Table1722[[#This Row],[Lawan Transaksi]]="CV AGUNG KARYA",COUNTIF($I$10:I83,"CV AGUNG KARYA")," ")</f>
        <v xml:space="preserve"> </v>
      </c>
      <c r="F83" s="107" t="str">
        <f>IF(LEN(Table1722[[#This Row],[Uraian]])&gt;2,TRIM(RIGHT(SUBSTITUTE(TRIM(C83)," ",REPT(" ",255)),255))," ")</f>
        <v xml:space="preserve"> </v>
      </c>
      <c r="G83" s="110">
        <f>COPY!Z75</f>
        <v>0</v>
      </c>
      <c r="H83" s="111" t="str">
        <f>IFERROR(VLOOKUP(Table1722[[#This Row],[Bukti]],'Un nOTA'!$A$4:$K$5003,10,FALSE),"")</f>
        <v/>
      </c>
      <c r="I83" s="112" t="str">
        <f>IFERROR(VLOOKUP(Table1722[[#This Row],[Bukti]],Table13[#Data],11,FALSE),"")</f>
        <v/>
      </c>
    </row>
    <row r="84" spans="1:9" ht="19.5" hidden="1" customHeight="1" x14ac:dyDescent="0.2">
      <c r="A84" s="105" t="str">
        <f>IF(D84=1,COUNTIF($D$10:D84,1)," ")</f>
        <v xml:space="preserve"> </v>
      </c>
      <c r="B84" s="106" t="str">
        <f>COPY!AR76</f>
        <v/>
      </c>
      <c r="C84" s="107">
        <f>COPY!AC76</f>
        <v>0</v>
      </c>
      <c r="D84" s="107" t="str">
        <f>IF(LEN(Table1722[[#This Row],[Uraian]])&gt;2,1," ")</f>
        <v xml:space="preserve"> </v>
      </c>
      <c r="E84" s="113" t="str">
        <f>IF(Table1722[[#This Row],[Lawan Transaksi]]="CV AGUNG KARYA",COUNTIF($I$10:I84,"CV AGUNG KARYA")," ")</f>
        <v xml:space="preserve"> </v>
      </c>
      <c r="F84" s="107" t="str">
        <f>IF(LEN(Table1722[[#This Row],[Uraian]])&gt;2,TRIM(RIGHT(SUBSTITUTE(TRIM(C84)," ",REPT(" ",255)),255))," ")</f>
        <v xml:space="preserve"> </v>
      </c>
      <c r="G84" s="110">
        <f>COPY!Z76</f>
        <v>0</v>
      </c>
      <c r="H84" s="111" t="str">
        <f>IFERROR(VLOOKUP(Table1722[[#This Row],[Bukti]],'Un nOTA'!$A$4:$K$5003,10,FALSE),"")</f>
        <v/>
      </c>
      <c r="I84" s="112" t="str">
        <f>IFERROR(VLOOKUP(Table1722[[#This Row],[Bukti]],Table13[#Data],11,FALSE),"")</f>
        <v/>
      </c>
    </row>
    <row r="85" spans="1:9" ht="19.5" hidden="1" customHeight="1" x14ac:dyDescent="0.2">
      <c r="A85" s="105" t="str">
        <f>IF(D85=1,COUNTIF($D$10:D85,1)," ")</f>
        <v xml:space="preserve"> </v>
      </c>
      <c r="B85" s="106" t="str">
        <f>COPY!AR77</f>
        <v/>
      </c>
      <c r="C85" s="107">
        <f>COPY!AC77</f>
        <v>0</v>
      </c>
      <c r="D85" s="107" t="str">
        <f>IF(LEN(Table1722[[#This Row],[Uraian]])&gt;2,1," ")</f>
        <v xml:space="preserve"> </v>
      </c>
      <c r="E85" s="113" t="str">
        <f>IF(Table1722[[#This Row],[Lawan Transaksi]]="CV AGUNG KARYA",COUNTIF($I$10:I85,"CV AGUNG KARYA")," ")</f>
        <v xml:space="preserve"> </v>
      </c>
      <c r="F85" s="107" t="str">
        <f>IF(LEN(Table1722[[#This Row],[Uraian]])&gt;2,TRIM(RIGHT(SUBSTITUTE(TRIM(C85)," ",REPT(" ",255)),255))," ")</f>
        <v xml:space="preserve"> </v>
      </c>
      <c r="G85" s="110">
        <f>COPY!Z77</f>
        <v>0</v>
      </c>
      <c r="H85" s="111" t="str">
        <f>IFERROR(VLOOKUP(Table1722[[#This Row],[Bukti]],'Un nOTA'!$A$4:$K$5003,10,FALSE),"")</f>
        <v/>
      </c>
      <c r="I85" s="112" t="str">
        <f>IFERROR(VLOOKUP(Table1722[[#This Row],[Bukti]],Table13[#Data],11,FALSE),"")</f>
        <v/>
      </c>
    </row>
    <row r="86" spans="1:9" ht="19.5" hidden="1" customHeight="1" x14ac:dyDescent="0.2">
      <c r="A86" s="105" t="str">
        <f>IF(D86=1,COUNTIF($D$10:D86,1)," ")</f>
        <v xml:space="preserve"> </v>
      </c>
      <c r="B86" s="106" t="str">
        <f>COPY!AR78</f>
        <v/>
      </c>
      <c r="C86" s="107">
        <f>COPY!AC78</f>
        <v>0</v>
      </c>
      <c r="D86" s="107" t="str">
        <f>IF(LEN(Table1722[[#This Row],[Uraian]])&gt;2,1," ")</f>
        <v xml:space="preserve"> </v>
      </c>
      <c r="E86" s="113" t="str">
        <f>IF(Table1722[[#This Row],[Lawan Transaksi]]="CV AGUNG KARYA",COUNTIF($I$10:I86,"CV AGUNG KARYA")," ")</f>
        <v xml:space="preserve"> </v>
      </c>
      <c r="F86" s="107" t="str">
        <f>IF(LEN(Table1722[[#This Row],[Uraian]])&gt;2,TRIM(RIGHT(SUBSTITUTE(TRIM(C86)," ",REPT(" ",255)),255))," ")</f>
        <v xml:space="preserve"> </v>
      </c>
      <c r="G86" s="110">
        <f>COPY!Z78</f>
        <v>0</v>
      </c>
      <c r="H86" s="111" t="str">
        <f>IFERROR(VLOOKUP(Table1722[[#This Row],[Bukti]],'Un nOTA'!$A$4:$K$5003,10,FALSE),"")</f>
        <v/>
      </c>
      <c r="I86" s="112" t="str">
        <f>IFERROR(VLOOKUP(Table1722[[#This Row],[Bukti]],Table13[#Data],11,FALSE),"")</f>
        <v/>
      </c>
    </row>
    <row r="87" spans="1:9" ht="19.5" hidden="1" customHeight="1" x14ac:dyDescent="0.2">
      <c r="A87" s="105" t="str">
        <f>IF(D87=1,COUNTIF($D$10:D87,1)," ")</f>
        <v xml:space="preserve"> </v>
      </c>
      <c r="B87" s="106" t="str">
        <f>COPY!AR79</f>
        <v/>
      </c>
      <c r="C87" s="107">
        <f>COPY!AC79</f>
        <v>0</v>
      </c>
      <c r="D87" s="107" t="str">
        <f>IF(LEN(Table1722[[#This Row],[Uraian]])&gt;2,1," ")</f>
        <v xml:space="preserve"> </v>
      </c>
      <c r="E87" s="113" t="str">
        <f>IF(Table1722[[#This Row],[Lawan Transaksi]]="CV AGUNG KARYA",COUNTIF($I$10:I87,"CV AGUNG KARYA")," ")</f>
        <v xml:space="preserve"> </v>
      </c>
      <c r="F87" s="107" t="str">
        <f>IF(LEN(Table1722[[#This Row],[Uraian]])&gt;2,TRIM(RIGHT(SUBSTITUTE(TRIM(C87)," ",REPT(" ",255)),255))," ")</f>
        <v xml:space="preserve"> </v>
      </c>
      <c r="G87" s="110">
        <f>COPY!Z79</f>
        <v>0</v>
      </c>
      <c r="H87" s="111" t="str">
        <f>IFERROR(VLOOKUP(Table1722[[#This Row],[Bukti]],'Un nOTA'!$A$4:$K$5003,10,FALSE),"")</f>
        <v/>
      </c>
      <c r="I87" s="112" t="str">
        <f>IFERROR(VLOOKUP(Table1722[[#This Row],[Bukti]],Table13[#Data],11,FALSE),"")</f>
        <v/>
      </c>
    </row>
    <row r="88" spans="1:9" ht="19.5" hidden="1" customHeight="1" x14ac:dyDescent="0.2">
      <c r="A88" s="105" t="str">
        <f>IF(D88=1,COUNTIF($D$10:D88,1)," ")</f>
        <v xml:space="preserve"> </v>
      </c>
      <c r="B88" s="106" t="str">
        <f>COPY!AR80</f>
        <v/>
      </c>
      <c r="C88" s="107">
        <f>COPY!AC80</f>
        <v>0</v>
      </c>
      <c r="D88" s="107" t="str">
        <f>IF(LEN(Table1722[[#This Row],[Uraian]])&gt;2,1," ")</f>
        <v xml:space="preserve"> </v>
      </c>
      <c r="E88" s="113" t="str">
        <f>IF(Table1722[[#This Row],[Lawan Transaksi]]="CV AGUNG KARYA",COUNTIF($I$10:I88,"CV AGUNG KARYA")," ")</f>
        <v xml:space="preserve"> </v>
      </c>
      <c r="F88" s="107" t="str">
        <f>IF(LEN(Table1722[[#This Row],[Uraian]])&gt;2,TRIM(RIGHT(SUBSTITUTE(TRIM(C88)," ",REPT(" ",255)),255))," ")</f>
        <v xml:space="preserve"> </v>
      </c>
      <c r="G88" s="110">
        <f>COPY!Z80</f>
        <v>0</v>
      </c>
      <c r="H88" s="111" t="str">
        <f>IFERROR(VLOOKUP(Table1722[[#This Row],[Bukti]],'Un nOTA'!$A$4:$K$5003,10,FALSE),"")</f>
        <v/>
      </c>
      <c r="I88" s="112" t="str">
        <f>IFERROR(VLOOKUP(Table1722[[#This Row],[Bukti]],Table13[#Data],11,FALSE),"")</f>
        <v/>
      </c>
    </row>
    <row r="89" spans="1:9" ht="19.5" hidden="1" customHeight="1" x14ac:dyDescent="0.2">
      <c r="A89" s="105" t="str">
        <f>IF(D89=1,COUNTIF($D$10:D89,1)," ")</f>
        <v xml:space="preserve"> </v>
      </c>
      <c r="B89" s="106" t="str">
        <f>COPY!AR81</f>
        <v/>
      </c>
      <c r="C89" s="107">
        <f>COPY!AC81</f>
        <v>0</v>
      </c>
      <c r="D89" s="107" t="str">
        <f>IF(LEN(Table1722[[#This Row],[Uraian]])&gt;2,1," ")</f>
        <v xml:space="preserve"> </v>
      </c>
      <c r="E89" s="113" t="str">
        <f>IF(Table1722[[#This Row],[Lawan Transaksi]]="CV AGUNG KARYA",COUNTIF($I$10:I89,"CV AGUNG KARYA")," ")</f>
        <v xml:space="preserve"> </v>
      </c>
      <c r="F89" s="107" t="str">
        <f>IF(LEN(Table1722[[#This Row],[Uraian]])&gt;2,TRIM(RIGHT(SUBSTITUTE(TRIM(C89)," ",REPT(" ",255)),255))," ")</f>
        <v xml:space="preserve"> </v>
      </c>
      <c r="G89" s="110">
        <f>COPY!Z81</f>
        <v>0</v>
      </c>
      <c r="H89" s="111" t="str">
        <f>IFERROR(VLOOKUP(Table1722[[#This Row],[Bukti]],'Un nOTA'!$A$4:$K$5003,10,FALSE),"")</f>
        <v/>
      </c>
      <c r="I89" s="112" t="str">
        <f>IFERROR(VLOOKUP(Table1722[[#This Row],[Bukti]],Table13[#Data],11,FALSE),"")</f>
        <v/>
      </c>
    </row>
    <row r="90" spans="1:9" ht="19.5" hidden="1" customHeight="1" x14ac:dyDescent="0.2">
      <c r="A90" s="105" t="str">
        <f>IF(D90=1,COUNTIF($D$10:D90,1)," ")</f>
        <v xml:space="preserve"> </v>
      </c>
      <c r="B90" s="106" t="str">
        <f>COPY!AR82</f>
        <v/>
      </c>
      <c r="C90" s="107">
        <f>COPY!AC82</f>
        <v>0</v>
      </c>
      <c r="D90" s="107" t="str">
        <f>IF(LEN(Table1722[[#This Row],[Uraian]])&gt;2,1," ")</f>
        <v xml:space="preserve"> </v>
      </c>
      <c r="E90" s="113" t="str">
        <f>IF(Table1722[[#This Row],[Lawan Transaksi]]="CV AGUNG KARYA",COUNTIF($I$10:I90,"CV AGUNG KARYA")," ")</f>
        <v xml:space="preserve"> </v>
      </c>
      <c r="F90" s="107" t="str">
        <f>IF(LEN(Table1722[[#This Row],[Uraian]])&gt;2,TRIM(RIGHT(SUBSTITUTE(TRIM(C90)," ",REPT(" ",255)),255))," ")</f>
        <v xml:space="preserve"> </v>
      </c>
      <c r="G90" s="110">
        <f>COPY!Z82</f>
        <v>0</v>
      </c>
      <c r="H90" s="111" t="str">
        <f>IFERROR(VLOOKUP(Table1722[[#This Row],[Bukti]],'Un nOTA'!$A$4:$K$5003,10,FALSE),"")</f>
        <v/>
      </c>
      <c r="I90" s="112" t="str">
        <f>IFERROR(VLOOKUP(Table1722[[#This Row],[Bukti]],Table13[#Data],11,FALSE),"")</f>
        <v/>
      </c>
    </row>
    <row r="91" spans="1:9" ht="19.5" hidden="1" customHeight="1" x14ac:dyDescent="0.2">
      <c r="A91" s="105" t="str">
        <f>IF(D91=1,COUNTIF($D$10:D91,1)," ")</f>
        <v xml:space="preserve"> </v>
      </c>
      <c r="B91" s="106" t="str">
        <f>COPY!AR83</f>
        <v/>
      </c>
      <c r="C91" s="107">
        <f>COPY!AC83</f>
        <v>0</v>
      </c>
      <c r="D91" s="107" t="str">
        <f>IF(LEN(Table1722[[#This Row],[Uraian]])&gt;2,1," ")</f>
        <v xml:space="preserve"> </v>
      </c>
      <c r="E91" s="113" t="str">
        <f>IF(Table1722[[#This Row],[Lawan Transaksi]]="CV AGUNG KARYA",COUNTIF($I$10:I91,"CV AGUNG KARYA")," ")</f>
        <v xml:space="preserve"> </v>
      </c>
      <c r="F91" s="107" t="str">
        <f>IF(LEN(Table1722[[#This Row],[Uraian]])&gt;2,TRIM(RIGHT(SUBSTITUTE(TRIM(C91)," ",REPT(" ",255)),255))," ")</f>
        <v xml:space="preserve"> </v>
      </c>
      <c r="G91" s="110">
        <f>COPY!Z83</f>
        <v>0</v>
      </c>
      <c r="H91" s="111" t="str">
        <f>IFERROR(VLOOKUP(Table1722[[#This Row],[Bukti]],'Un nOTA'!$A$4:$K$5003,10,FALSE),"")</f>
        <v/>
      </c>
      <c r="I91" s="112" t="str">
        <f>IFERROR(VLOOKUP(Table1722[[#This Row],[Bukti]],Table13[#Data],11,FALSE),"")</f>
        <v/>
      </c>
    </row>
    <row r="92" spans="1:9" ht="19.5" hidden="1" customHeight="1" x14ac:dyDescent="0.2">
      <c r="A92" s="105" t="str">
        <f>IF(D92=1,COUNTIF($D$10:D92,1)," ")</f>
        <v xml:space="preserve"> </v>
      </c>
      <c r="B92" s="106" t="str">
        <f>COPY!AR84</f>
        <v/>
      </c>
      <c r="C92" s="107">
        <f>COPY!AC84</f>
        <v>0</v>
      </c>
      <c r="D92" s="107" t="str">
        <f>IF(LEN(Table1722[[#This Row],[Uraian]])&gt;2,1," ")</f>
        <v xml:space="preserve"> </v>
      </c>
      <c r="E92" s="113" t="str">
        <f>IF(Table1722[[#This Row],[Lawan Transaksi]]="CV AGUNG KARYA",COUNTIF($I$10:I92,"CV AGUNG KARYA")," ")</f>
        <v xml:space="preserve"> </v>
      </c>
      <c r="F92" s="107" t="str">
        <f>IF(LEN(Table1722[[#This Row],[Uraian]])&gt;2,TRIM(RIGHT(SUBSTITUTE(TRIM(C92)," ",REPT(" ",255)),255))," ")</f>
        <v xml:space="preserve"> </v>
      </c>
      <c r="G92" s="110">
        <f>COPY!Z84</f>
        <v>0</v>
      </c>
      <c r="H92" s="111" t="str">
        <f>IFERROR(VLOOKUP(Table1722[[#This Row],[Bukti]],'Un nOTA'!$A$4:$K$5003,10,FALSE),"")</f>
        <v/>
      </c>
      <c r="I92" s="112" t="str">
        <f>IFERROR(VLOOKUP(Table1722[[#This Row],[Bukti]],Table13[#Data],11,FALSE),"")</f>
        <v/>
      </c>
    </row>
    <row r="93" spans="1:9" ht="19.5" hidden="1" customHeight="1" x14ac:dyDescent="0.2">
      <c r="A93" s="105" t="str">
        <f>IF(D93=1,COUNTIF($D$10:D93,1)," ")</f>
        <v xml:space="preserve"> </v>
      </c>
      <c r="B93" s="106" t="str">
        <f>COPY!AR85</f>
        <v/>
      </c>
      <c r="C93" s="107">
        <f>COPY!AC85</f>
        <v>0</v>
      </c>
      <c r="D93" s="107" t="str">
        <f>IF(LEN(Table1722[[#This Row],[Uraian]])&gt;2,1," ")</f>
        <v xml:space="preserve"> </v>
      </c>
      <c r="E93" s="113" t="str">
        <f>IF(Table1722[[#This Row],[Lawan Transaksi]]="CV AGUNG KARYA",COUNTIF($I$10:I93,"CV AGUNG KARYA")," ")</f>
        <v xml:space="preserve"> </v>
      </c>
      <c r="F93" s="107" t="str">
        <f>IF(LEN(Table1722[[#This Row],[Uraian]])&gt;2,TRIM(RIGHT(SUBSTITUTE(TRIM(C93)," ",REPT(" ",255)),255))," ")</f>
        <v xml:space="preserve"> </v>
      </c>
      <c r="G93" s="110">
        <f>COPY!Z85</f>
        <v>0</v>
      </c>
      <c r="H93" s="111" t="str">
        <f>IFERROR(VLOOKUP(Table1722[[#This Row],[Bukti]],'Un nOTA'!$A$4:$K$5003,10,FALSE),"")</f>
        <v/>
      </c>
      <c r="I93" s="112" t="str">
        <f>IFERROR(VLOOKUP(Table1722[[#This Row],[Bukti]],Table13[#Data],11,FALSE),"")</f>
        <v/>
      </c>
    </row>
    <row r="94" spans="1:9" ht="19.5" hidden="1" customHeight="1" x14ac:dyDescent="0.2">
      <c r="A94" s="105" t="str">
        <f>IF(D94=1,COUNTIF($D$10:D94,1)," ")</f>
        <v xml:space="preserve"> </v>
      </c>
      <c r="B94" s="106" t="str">
        <f>COPY!AR86</f>
        <v/>
      </c>
      <c r="C94" s="107">
        <f>COPY!AC86</f>
        <v>0</v>
      </c>
      <c r="D94" s="107" t="str">
        <f>IF(LEN(Table1722[[#This Row],[Uraian]])&gt;2,1," ")</f>
        <v xml:space="preserve"> </v>
      </c>
      <c r="E94" s="113" t="str">
        <f>IF(Table1722[[#This Row],[Lawan Transaksi]]="CV AGUNG KARYA",COUNTIF($I$10:I94,"CV AGUNG KARYA")," ")</f>
        <v xml:space="preserve"> </v>
      </c>
      <c r="F94" s="107" t="str">
        <f>IF(LEN(Table1722[[#This Row],[Uraian]])&gt;2,TRIM(RIGHT(SUBSTITUTE(TRIM(C94)," ",REPT(" ",255)),255))," ")</f>
        <v xml:space="preserve"> </v>
      </c>
      <c r="G94" s="110">
        <f>COPY!Z86</f>
        <v>0</v>
      </c>
      <c r="H94" s="111" t="str">
        <f>IFERROR(VLOOKUP(Table1722[[#This Row],[Bukti]],'Un nOTA'!$A$4:$K$5003,10,FALSE),"")</f>
        <v/>
      </c>
      <c r="I94" s="112" t="str">
        <f>IFERROR(VLOOKUP(Table1722[[#This Row],[Bukti]],Table13[#Data],11,FALSE),"")</f>
        <v/>
      </c>
    </row>
    <row r="95" spans="1:9" ht="19.5" hidden="1" customHeight="1" x14ac:dyDescent="0.2">
      <c r="A95" s="105" t="str">
        <f>IF(D95=1,COUNTIF($D$10:D95,1)," ")</f>
        <v xml:space="preserve"> </v>
      </c>
      <c r="B95" s="106" t="str">
        <f>COPY!AR87</f>
        <v/>
      </c>
      <c r="C95" s="107">
        <f>COPY!AC87</f>
        <v>0</v>
      </c>
      <c r="D95" s="107" t="str">
        <f>IF(LEN(Table1722[[#This Row],[Uraian]])&gt;2,1," ")</f>
        <v xml:space="preserve"> </v>
      </c>
      <c r="E95" s="113" t="str">
        <f>IF(Table1722[[#This Row],[Lawan Transaksi]]="CV AGUNG KARYA",COUNTIF($I$10:I95,"CV AGUNG KARYA")," ")</f>
        <v xml:space="preserve"> </v>
      </c>
      <c r="F95" s="107" t="str">
        <f>IF(LEN(Table1722[[#This Row],[Uraian]])&gt;2,TRIM(RIGHT(SUBSTITUTE(TRIM(C95)," ",REPT(" ",255)),255))," ")</f>
        <v xml:space="preserve"> </v>
      </c>
      <c r="G95" s="110">
        <f>COPY!Z87</f>
        <v>0</v>
      </c>
      <c r="H95" s="111" t="str">
        <f>IFERROR(VLOOKUP(Table1722[[#This Row],[Bukti]],'Un nOTA'!$A$4:$K$5003,10,FALSE),"")</f>
        <v/>
      </c>
      <c r="I95" s="112" t="str">
        <f>IFERROR(VLOOKUP(Table1722[[#This Row],[Bukti]],Table13[#Data],11,FALSE),"")</f>
        <v/>
      </c>
    </row>
    <row r="96" spans="1:9" ht="19.5" hidden="1" customHeight="1" x14ac:dyDescent="0.2">
      <c r="A96" s="105" t="str">
        <f>IF(D96=1,COUNTIF($D$10:D96,1)," ")</f>
        <v xml:space="preserve"> </v>
      </c>
      <c r="B96" s="106" t="str">
        <f>COPY!AR88</f>
        <v/>
      </c>
      <c r="C96" s="107">
        <f>COPY!AC88</f>
        <v>0</v>
      </c>
      <c r="D96" s="107" t="str">
        <f>IF(LEN(Table1722[[#This Row],[Uraian]])&gt;2,1," ")</f>
        <v xml:space="preserve"> </v>
      </c>
      <c r="E96" s="113" t="str">
        <f>IF(Table1722[[#This Row],[Lawan Transaksi]]="CV AGUNG KARYA",COUNTIF($I$10:I96,"CV AGUNG KARYA")," ")</f>
        <v xml:space="preserve"> </v>
      </c>
      <c r="F96" s="107" t="str">
        <f>IF(LEN(Table1722[[#This Row],[Uraian]])&gt;2,TRIM(RIGHT(SUBSTITUTE(TRIM(C96)," ",REPT(" ",255)),255))," ")</f>
        <v xml:space="preserve"> </v>
      </c>
      <c r="G96" s="110">
        <f>COPY!Z88</f>
        <v>0</v>
      </c>
      <c r="H96" s="111" t="str">
        <f>IFERROR(VLOOKUP(Table1722[[#This Row],[Bukti]],'Un nOTA'!$A$4:$K$5003,10,FALSE),"")</f>
        <v/>
      </c>
      <c r="I96" s="112" t="str">
        <f>IFERROR(VLOOKUP(Table1722[[#This Row],[Bukti]],Table13[#Data],11,FALSE),"")</f>
        <v/>
      </c>
    </row>
    <row r="97" spans="1:9" ht="19.5" hidden="1" customHeight="1" x14ac:dyDescent="0.2">
      <c r="A97" s="105" t="str">
        <f>IF(D97=1,COUNTIF($D$10:D97,1)," ")</f>
        <v xml:space="preserve"> </v>
      </c>
      <c r="B97" s="106" t="str">
        <f>COPY!AR89</f>
        <v/>
      </c>
      <c r="C97" s="107">
        <f>COPY!AC89</f>
        <v>0</v>
      </c>
      <c r="D97" s="107" t="str">
        <f>IF(LEN(Table1722[[#This Row],[Uraian]])&gt;2,1," ")</f>
        <v xml:space="preserve"> </v>
      </c>
      <c r="E97" s="113" t="str">
        <f>IF(Table1722[[#This Row],[Lawan Transaksi]]="CV AGUNG KARYA",COUNTIF($I$10:I97,"CV AGUNG KARYA")," ")</f>
        <v xml:space="preserve"> </v>
      </c>
      <c r="F97" s="107" t="str">
        <f>IF(LEN(Table1722[[#This Row],[Uraian]])&gt;2,TRIM(RIGHT(SUBSTITUTE(TRIM(C97)," ",REPT(" ",255)),255))," ")</f>
        <v xml:space="preserve"> </v>
      </c>
      <c r="G97" s="110">
        <f>COPY!Z89</f>
        <v>0</v>
      </c>
      <c r="H97" s="111" t="str">
        <f>IFERROR(VLOOKUP(Table1722[[#This Row],[Bukti]],'Un nOTA'!$A$4:$K$5003,10,FALSE),"")</f>
        <v/>
      </c>
      <c r="I97" s="112" t="str">
        <f>IFERROR(VLOOKUP(Table1722[[#This Row],[Bukti]],Table13[#Data],11,FALSE),"")</f>
        <v/>
      </c>
    </row>
    <row r="98" spans="1:9" ht="19.5" hidden="1" customHeight="1" x14ac:dyDescent="0.2">
      <c r="A98" s="105" t="str">
        <f>IF(D98=1,COUNTIF($D$10:D98,1)," ")</f>
        <v xml:space="preserve"> </v>
      </c>
      <c r="B98" s="106" t="str">
        <f>COPY!AR90</f>
        <v/>
      </c>
      <c r="C98" s="107">
        <f>COPY!AC90</f>
        <v>0</v>
      </c>
      <c r="D98" s="107" t="str">
        <f>IF(LEN(Table1722[[#This Row],[Uraian]])&gt;2,1," ")</f>
        <v xml:space="preserve"> </v>
      </c>
      <c r="E98" s="113" t="str">
        <f>IF(Table1722[[#This Row],[Lawan Transaksi]]="CV AGUNG KARYA",COUNTIF($I$10:I98,"CV AGUNG KARYA")," ")</f>
        <v xml:space="preserve"> </v>
      </c>
      <c r="F98" s="107" t="str">
        <f>IF(LEN(Table1722[[#This Row],[Uraian]])&gt;2,TRIM(RIGHT(SUBSTITUTE(TRIM(C98)," ",REPT(" ",255)),255))," ")</f>
        <v xml:space="preserve"> </v>
      </c>
      <c r="G98" s="110">
        <f>COPY!Z90</f>
        <v>0</v>
      </c>
      <c r="H98" s="111" t="str">
        <f>IFERROR(VLOOKUP(Table1722[[#This Row],[Bukti]],'Un nOTA'!$A$4:$K$5003,10,FALSE),"")</f>
        <v/>
      </c>
      <c r="I98" s="112" t="str">
        <f>IFERROR(VLOOKUP(Table1722[[#This Row],[Bukti]],Table13[#Data],11,FALSE),"")</f>
        <v/>
      </c>
    </row>
    <row r="99" spans="1:9" ht="19.5" hidden="1" customHeight="1" x14ac:dyDescent="0.2">
      <c r="A99" s="105" t="str">
        <f>IF(D99=1,COUNTIF($D$10:D99,1)," ")</f>
        <v xml:space="preserve"> </v>
      </c>
      <c r="B99" s="106" t="str">
        <f>COPY!AR91</f>
        <v/>
      </c>
      <c r="C99" s="107">
        <f>COPY!AC91</f>
        <v>0</v>
      </c>
      <c r="D99" s="107" t="str">
        <f>IF(LEN(Table1722[[#This Row],[Uraian]])&gt;2,1," ")</f>
        <v xml:space="preserve"> </v>
      </c>
      <c r="E99" s="113" t="str">
        <f>IF(Table1722[[#This Row],[Lawan Transaksi]]="CV AGUNG KARYA",COUNTIF($I$10:I99,"CV AGUNG KARYA")," ")</f>
        <v xml:space="preserve"> </v>
      </c>
      <c r="F99" s="107" t="str">
        <f>IF(LEN(Table1722[[#This Row],[Uraian]])&gt;2,TRIM(RIGHT(SUBSTITUTE(TRIM(C99)," ",REPT(" ",255)),255))," ")</f>
        <v xml:space="preserve"> </v>
      </c>
      <c r="G99" s="110">
        <f>COPY!Z91</f>
        <v>0</v>
      </c>
      <c r="H99" s="111" t="str">
        <f>IFERROR(VLOOKUP(Table1722[[#This Row],[Bukti]],'Un nOTA'!$A$4:$K$5003,10,FALSE),"")</f>
        <v/>
      </c>
      <c r="I99" s="112" t="str">
        <f>IFERROR(VLOOKUP(Table1722[[#This Row],[Bukti]],Table13[#Data],11,FALSE),"")</f>
        <v/>
      </c>
    </row>
    <row r="100" spans="1:9" ht="19.5" hidden="1" customHeight="1" x14ac:dyDescent="0.2">
      <c r="A100" s="105" t="str">
        <f>IF(D100=1,COUNTIF($D$10:D100,1)," ")</f>
        <v xml:space="preserve"> </v>
      </c>
      <c r="B100" s="106" t="str">
        <f>COPY!AR92</f>
        <v/>
      </c>
      <c r="C100" s="107">
        <f>COPY!AC92</f>
        <v>0</v>
      </c>
      <c r="D100" s="107" t="str">
        <f>IF(LEN(Table1722[[#This Row],[Uraian]])&gt;2,1," ")</f>
        <v xml:space="preserve"> </v>
      </c>
      <c r="E100" s="113" t="str">
        <f>IF(Table1722[[#This Row],[Lawan Transaksi]]="CV AGUNG KARYA",COUNTIF($I$10:I100,"CV AGUNG KARYA")," ")</f>
        <v xml:space="preserve"> </v>
      </c>
      <c r="F100" s="107" t="str">
        <f>IF(LEN(Table1722[[#This Row],[Uraian]])&gt;2,TRIM(RIGHT(SUBSTITUTE(TRIM(C100)," ",REPT(" ",255)),255))," ")</f>
        <v xml:space="preserve"> </v>
      </c>
      <c r="G100" s="110">
        <f>COPY!Z92</f>
        <v>0</v>
      </c>
      <c r="H100" s="111" t="str">
        <f>IFERROR(VLOOKUP(Table1722[[#This Row],[Bukti]],'Un nOTA'!$A$4:$K$5003,10,FALSE),"")</f>
        <v/>
      </c>
      <c r="I100" s="112" t="str">
        <f>IFERROR(VLOOKUP(Table1722[[#This Row],[Bukti]],Table13[#Data],11,FALSE),"")</f>
        <v/>
      </c>
    </row>
    <row r="101" spans="1:9" ht="19.5" hidden="1" customHeight="1" x14ac:dyDescent="0.2">
      <c r="A101" s="105" t="str">
        <f>IF(D101=1,COUNTIF($D$10:D101,1)," ")</f>
        <v xml:space="preserve"> </v>
      </c>
      <c r="B101" s="106" t="str">
        <f>COPY!AR93</f>
        <v/>
      </c>
      <c r="C101" s="107">
        <f>COPY!AC93</f>
        <v>0</v>
      </c>
      <c r="D101" s="107" t="str">
        <f>IF(LEN(Table1722[[#This Row],[Uraian]])&gt;2,1," ")</f>
        <v xml:space="preserve"> </v>
      </c>
      <c r="E101" s="113" t="str">
        <f>IF(Table1722[[#This Row],[Lawan Transaksi]]="CV AGUNG KARYA",COUNTIF($I$10:I101,"CV AGUNG KARYA")," ")</f>
        <v xml:space="preserve"> </v>
      </c>
      <c r="F101" s="107" t="str">
        <f>IF(LEN(Table1722[[#This Row],[Uraian]])&gt;2,TRIM(RIGHT(SUBSTITUTE(TRIM(C101)," ",REPT(" ",255)),255))," ")</f>
        <v xml:space="preserve"> </v>
      </c>
      <c r="G101" s="110">
        <f>COPY!Z93</f>
        <v>0</v>
      </c>
      <c r="H101" s="111" t="str">
        <f>IFERROR(VLOOKUP(Table1722[[#This Row],[Bukti]],'Un nOTA'!$A$4:$K$5003,10,FALSE),"")</f>
        <v/>
      </c>
      <c r="I101" s="112" t="str">
        <f>IFERROR(VLOOKUP(Table1722[[#This Row],[Bukti]],Table13[#Data],11,FALSE),"")</f>
        <v/>
      </c>
    </row>
    <row r="102" spans="1:9" ht="19.5" hidden="1" customHeight="1" x14ac:dyDescent="0.2">
      <c r="A102" s="105" t="str">
        <f>IF(D102=1,COUNTIF($D$10:D102,1)," ")</f>
        <v xml:space="preserve"> </v>
      </c>
      <c r="B102" s="106" t="str">
        <f>COPY!AR94</f>
        <v/>
      </c>
      <c r="C102" s="107">
        <f>COPY!AC94</f>
        <v>0</v>
      </c>
      <c r="D102" s="107" t="str">
        <f>IF(LEN(Table1722[[#This Row],[Uraian]])&gt;2,1," ")</f>
        <v xml:space="preserve"> </v>
      </c>
      <c r="E102" s="113" t="str">
        <f>IF(Table1722[[#This Row],[Lawan Transaksi]]="CV AGUNG KARYA",COUNTIF($I$10:I102,"CV AGUNG KARYA")," ")</f>
        <v xml:space="preserve"> </v>
      </c>
      <c r="F102" s="107" t="str">
        <f>IF(LEN(Table1722[[#This Row],[Uraian]])&gt;2,TRIM(RIGHT(SUBSTITUTE(TRIM(C102)," ",REPT(" ",255)),255))," ")</f>
        <v xml:space="preserve"> </v>
      </c>
      <c r="G102" s="110">
        <f>COPY!Z94</f>
        <v>0</v>
      </c>
      <c r="H102" s="111" t="str">
        <f>IFERROR(VLOOKUP(Table1722[[#This Row],[Bukti]],'Un nOTA'!$A$4:$K$5003,10,FALSE),"")</f>
        <v/>
      </c>
      <c r="I102" s="112" t="str">
        <f>IFERROR(VLOOKUP(Table1722[[#This Row],[Bukti]],Table13[#Data],11,FALSE),"")</f>
        <v/>
      </c>
    </row>
    <row r="103" spans="1:9" ht="19.5" hidden="1" customHeight="1" x14ac:dyDescent="0.2">
      <c r="A103" s="105" t="str">
        <f>IF(D103=1,COUNTIF($D$10:D103,1)," ")</f>
        <v xml:space="preserve"> </v>
      </c>
      <c r="B103" s="106" t="str">
        <f>COPY!AR95</f>
        <v/>
      </c>
      <c r="C103" s="107">
        <f>COPY!AC95</f>
        <v>0</v>
      </c>
      <c r="D103" s="107" t="str">
        <f>IF(LEN(Table1722[[#This Row],[Uraian]])&gt;2,1," ")</f>
        <v xml:space="preserve"> </v>
      </c>
      <c r="E103" s="113" t="str">
        <f>IF(Table1722[[#This Row],[Lawan Transaksi]]="CV AGUNG KARYA",COUNTIF($I$10:I103,"CV AGUNG KARYA")," ")</f>
        <v xml:space="preserve"> </v>
      </c>
      <c r="F103" s="107" t="str">
        <f>IF(LEN(Table1722[[#This Row],[Uraian]])&gt;2,TRIM(RIGHT(SUBSTITUTE(TRIM(C103)," ",REPT(" ",255)),255))," ")</f>
        <v xml:space="preserve"> </v>
      </c>
      <c r="G103" s="110">
        <f>COPY!Z95</f>
        <v>0</v>
      </c>
      <c r="H103" s="111" t="str">
        <f>IFERROR(VLOOKUP(Table1722[[#This Row],[Bukti]],'Un nOTA'!$A$4:$K$5003,10,FALSE),"")</f>
        <v/>
      </c>
      <c r="I103" s="112" t="str">
        <f>IFERROR(VLOOKUP(Table1722[[#This Row],[Bukti]],Table13[#Data],11,FALSE),"")</f>
        <v/>
      </c>
    </row>
    <row r="104" spans="1:9" ht="19.5" hidden="1" customHeight="1" x14ac:dyDescent="0.2">
      <c r="A104" s="105" t="str">
        <f>IF(D104=1,COUNTIF($D$10:D104,1)," ")</f>
        <v xml:space="preserve"> </v>
      </c>
      <c r="B104" s="106" t="str">
        <f>COPY!AR96</f>
        <v/>
      </c>
      <c r="C104" s="107">
        <f>COPY!AC96</f>
        <v>0</v>
      </c>
      <c r="D104" s="107" t="str">
        <f>IF(LEN(Table1722[[#This Row],[Uraian]])&gt;2,1," ")</f>
        <v xml:space="preserve"> </v>
      </c>
      <c r="E104" s="113" t="str">
        <f>IF(Table1722[[#This Row],[Lawan Transaksi]]="CV AGUNG KARYA",COUNTIF($I$10:I104,"CV AGUNG KARYA")," ")</f>
        <v xml:space="preserve"> </v>
      </c>
      <c r="F104" s="107" t="str">
        <f>IF(LEN(Table1722[[#This Row],[Uraian]])&gt;2,TRIM(RIGHT(SUBSTITUTE(TRIM(C104)," ",REPT(" ",255)),255))," ")</f>
        <v xml:space="preserve"> </v>
      </c>
      <c r="G104" s="110">
        <f>COPY!Z96</f>
        <v>0</v>
      </c>
      <c r="H104" s="111" t="str">
        <f>IFERROR(VLOOKUP(Table1722[[#This Row],[Bukti]],'Un nOTA'!$A$4:$K$5003,10,FALSE),"")</f>
        <v/>
      </c>
      <c r="I104" s="112" t="str">
        <f>IFERROR(VLOOKUP(Table1722[[#This Row],[Bukti]],Table13[#Data],11,FALSE),"")</f>
        <v/>
      </c>
    </row>
    <row r="105" spans="1:9" ht="19.5" hidden="1" customHeight="1" x14ac:dyDescent="0.2">
      <c r="A105" s="105" t="str">
        <f>IF(D105=1,COUNTIF($D$10:D105,1)," ")</f>
        <v xml:space="preserve"> </v>
      </c>
      <c r="B105" s="106" t="str">
        <f>COPY!AR97</f>
        <v/>
      </c>
      <c r="C105" s="107">
        <f>COPY!AC97</f>
        <v>0</v>
      </c>
      <c r="D105" s="107" t="str">
        <f>IF(LEN(Table1722[[#This Row],[Uraian]])&gt;2,1," ")</f>
        <v xml:space="preserve"> </v>
      </c>
      <c r="E105" s="113" t="str">
        <f>IF(Table1722[[#This Row],[Lawan Transaksi]]="CV AGUNG KARYA",COUNTIF($I$10:I105,"CV AGUNG KARYA")," ")</f>
        <v xml:space="preserve"> </v>
      </c>
      <c r="F105" s="107" t="str">
        <f>IF(LEN(Table1722[[#This Row],[Uraian]])&gt;2,TRIM(RIGHT(SUBSTITUTE(TRIM(C105)," ",REPT(" ",255)),255))," ")</f>
        <v xml:space="preserve"> </v>
      </c>
      <c r="G105" s="110">
        <f>COPY!Z97</f>
        <v>0</v>
      </c>
      <c r="H105" s="111" t="str">
        <f>IFERROR(VLOOKUP(Table1722[[#This Row],[Bukti]],'Un nOTA'!$A$4:$K$5003,10,FALSE),"")</f>
        <v/>
      </c>
      <c r="I105" s="112" t="str">
        <f>IFERROR(VLOOKUP(Table1722[[#This Row],[Bukti]],Table13[#Data],11,FALSE),"")</f>
        <v/>
      </c>
    </row>
    <row r="106" spans="1:9" ht="19.5" hidden="1" customHeight="1" x14ac:dyDescent="0.2">
      <c r="A106" s="105" t="str">
        <f>IF(D106=1,COUNTIF($D$10:D106,1)," ")</f>
        <v xml:space="preserve"> </v>
      </c>
      <c r="B106" s="106" t="str">
        <f>COPY!AR98</f>
        <v/>
      </c>
      <c r="C106" s="107">
        <f>COPY!AC98</f>
        <v>0</v>
      </c>
      <c r="D106" s="107" t="str">
        <f>IF(LEN(Table1722[[#This Row],[Uraian]])&gt;2,1," ")</f>
        <v xml:space="preserve"> </v>
      </c>
      <c r="E106" s="113" t="str">
        <f>IF(Table1722[[#This Row],[Lawan Transaksi]]="CV AGUNG KARYA",COUNTIF($I$10:I106,"CV AGUNG KARYA")," ")</f>
        <v xml:space="preserve"> </v>
      </c>
      <c r="F106" s="107" t="str">
        <f>IF(LEN(Table1722[[#This Row],[Uraian]])&gt;2,TRIM(RIGHT(SUBSTITUTE(TRIM(C106)," ",REPT(" ",255)),255))," ")</f>
        <v xml:space="preserve"> </v>
      </c>
      <c r="G106" s="110">
        <f>COPY!Z98</f>
        <v>0</v>
      </c>
      <c r="H106" s="111" t="str">
        <f>IFERROR(VLOOKUP(Table1722[[#This Row],[Bukti]],'Un nOTA'!$A$4:$K$5003,10,FALSE),"")</f>
        <v/>
      </c>
      <c r="I106" s="112" t="str">
        <f>IFERROR(VLOOKUP(Table1722[[#This Row],[Bukti]],Table13[#Data],11,FALSE),"")</f>
        <v/>
      </c>
    </row>
    <row r="107" spans="1:9" ht="19.5" hidden="1" customHeight="1" x14ac:dyDescent="0.2">
      <c r="A107" s="105" t="str">
        <f>IF(D107=1,COUNTIF($D$10:D107,1)," ")</f>
        <v xml:space="preserve"> </v>
      </c>
      <c r="B107" s="106" t="str">
        <f>COPY!AR99</f>
        <v/>
      </c>
      <c r="C107" s="107">
        <f>COPY!AC99</f>
        <v>0</v>
      </c>
      <c r="D107" s="107" t="str">
        <f>IF(LEN(Table1722[[#This Row],[Uraian]])&gt;2,1," ")</f>
        <v xml:space="preserve"> </v>
      </c>
      <c r="E107" s="113" t="str">
        <f>IF(Table1722[[#This Row],[Lawan Transaksi]]="CV AGUNG KARYA",COUNTIF($I$10:I107,"CV AGUNG KARYA")," ")</f>
        <v xml:space="preserve"> </v>
      </c>
      <c r="F107" s="107" t="str">
        <f>IF(LEN(Table1722[[#This Row],[Uraian]])&gt;2,TRIM(RIGHT(SUBSTITUTE(TRIM(C107)," ",REPT(" ",255)),255))," ")</f>
        <v xml:space="preserve"> </v>
      </c>
      <c r="G107" s="110">
        <f>COPY!Z99</f>
        <v>0</v>
      </c>
      <c r="H107" s="111" t="str">
        <f>IFERROR(VLOOKUP(Table1722[[#This Row],[Bukti]],'Un nOTA'!$A$4:$K$5003,10,FALSE),"")</f>
        <v/>
      </c>
      <c r="I107" s="112" t="str">
        <f>IFERROR(VLOOKUP(Table1722[[#This Row],[Bukti]],Table13[#Data],11,FALSE),"")</f>
        <v/>
      </c>
    </row>
    <row r="108" spans="1:9" ht="19.5" hidden="1" customHeight="1" x14ac:dyDescent="0.2">
      <c r="A108" s="105" t="str">
        <f>IF(D108=1,COUNTIF($D$10:D108,1)," ")</f>
        <v xml:space="preserve"> </v>
      </c>
      <c r="B108" s="106" t="str">
        <f>COPY!AR100</f>
        <v/>
      </c>
      <c r="C108" s="107">
        <f>COPY!AC100</f>
        <v>0</v>
      </c>
      <c r="D108" s="107" t="str">
        <f>IF(LEN(Table1722[[#This Row],[Uraian]])&gt;2,1," ")</f>
        <v xml:space="preserve"> </v>
      </c>
      <c r="E108" s="113" t="str">
        <f>IF(Table1722[[#This Row],[Lawan Transaksi]]="CV AGUNG KARYA",COUNTIF($I$10:I108,"CV AGUNG KARYA")," ")</f>
        <v xml:space="preserve"> </v>
      </c>
      <c r="F108" s="107" t="str">
        <f>IF(LEN(Table1722[[#This Row],[Uraian]])&gt;2,TRIM(RIGHT(SUBSTITUTE(TRIM(C108)," ",REPT(" ",255)),255))," ")</f>
        <v xml:space="preserve"> </v>
      </c>
      <c r="G108" s="110">
        <f>COPY!Z100</f>
        <v>0</v>
      </c>
      <c r="H108" s="111" t="str">
        <f>IFERROR(VLOOKUP(Table1722[[#This Row],[Bukti]],'Un nOTA'!$A$4:$K$5003,10,FALSE),"")</f>
        <v/>
      </c>
      <c r="I108" s="112" t="str">
        <f>IFERROR(VLOOKUP(Table1722[[#This Row],[Bukti]],Table13[#Data],11,FALSE),"")</f>
        <v/>
      </c>
    </row>
    <row r="109" spans="1:9" ht="19.5" hidden="1" customHeight="1" x14ac:dyDescent="0.2">
      <c r="A109" s="105" t="str">
        <f>IF(D109=1,COUNTIF($D$10:D109,1)," ")</f>
        <v xml:space="preserve"> </v>
      </c>
      <c r="B109" s="106" t="str">
        <f>COPY!AR101</f>
        <v/>
      </c>
      <c r="C109" s="107">
        <f>COPY!AC101</f>
        <v>0</v>
      </c>
      <c r="D109" s="107" t="str">
        <f>IF(LEN(Table1722[[#This Row],[Uraian]])&gt;2,1," ")</f>
        <v xml:space="preserve"> </v>
      </c>
      <c r="E109" s="113" t="str">
        <f>IF(Table1722[[#This Row],[Lawan Transaksi]]="CV AGUNG KARYA",COUNTIF($I$10:I109,"CV AGUNG KARYA")," ")</f>
        <v xml:space="preserve"> </v>
      </c>
      <c r="F109" s="107" t="str">
        <f>IF(LEN(Table1722[[#This Row],[Uraian]])&gt;2,TRIM(RIGHT(SUBSTITUTE(TRIM(C109)," ",REPT(" ",255)),255))," ")</f>
        <v xml:space="preserve"> </v>
      </c>
      <c r="G109" s="110">
        <f>COPY!Z101</f>
        <v>0</v>
      </c>
      <c r="H109" s="111" t="str">
        <f>IFERROR(VLOOKUP(Table1722[[#This Row],[Bukti]],'Un nOTA'!$A$4:$K$5003,10,FALSE),"")</f>
        <v/>
      </c>
      <c r="I109" s="112" t="str">
        <f>IFERROR(VLOOKUP(Table1722[[#This Row],[Bukti]],Table13[#Data],11,FALSE),"")</f>
        <v/>
      </c>
    </row>
    <row r="110" spans="1:9" ht="19.5" hidden="1" customHeight="1" x14ac:dyDescent="0.2">
      <c r="A110" s="105" t="str">
        <f>IF(D110=1,COUNTIF($D$10:D110,1)," ")</f>
        <v xml:space="preserve"> </v>
      </c>
      <c r="B110" s="106" t="str">
        <f>COPY!AR102</f>
        <v/>
      </c>
      <c r="C110" s="107">
        <f>COPY!AC102</f>
        <v>0</v>
      </c>
      <c r="D110" s="107" t="str">
        <f>IF(LEN(Table1722[[#This Row],[Uraian]])&gt;2,1," ")</f>
        <v xml:space="preserve"> </v>
      </c>
      <c r="E110" s="113" t="str">
        <f>IF(Table1722[[#This Row],[Lawan Transaksi]]="CV AGUNG KARYA",COUNTIF($I$10:I110,"CV AGUNG KARYA")," ")</f>
        <v xml:space="preserve"> </v>
      </c>
      <c r="F110" s="107" t="str">
        <f>IF(LEN(Table1722[[#This Row],[Uraian]])&gt;2,TRIM(RIGHT(SUBSTITUTE(TRIM(C110)," ",REPT(" ",255)),255))," ")</f>
        <v xml:space="preserve"> </v>
      </c>
      <c r="G110" s="110">
        <f>COPY!Z102</f>
        <v>0</v>
      </c>
      <c r="H110" s="111" t="str">
        <f>IFERROR(VLOOKUP(Table1722[[#This Row],[Bukti]],'Un nOTA'!$A$4:$K$5003,10,FALSE),"")</f>
        <v/>
      </c>
      <c r="I110" s="112" t="str">
        <f>IFERROR(VLOOKUP(Table1722[[#This Row],[Bukti]],Table13[#Data],11,FALSE),"")</f>
        <v/>
      </c>
    </row>
    <row r="111" spans="1:9" ht="19.5" hidden="1" customHeight="1" x14ac:dyDescent="0.2">
      <c r="A111" s="105" t="str">
        <f>IF(D111=1,COUNTIF($D$10:D111,1)," ")</f>
        <v xml:space="preserve"> </v>
      </c>
      <c r="B111" s="106" t="str">
        <f>COPY!AR103</f>
        <v/>
      </c>
      <c r="C111" s="107">
        <f>COPY!AC103</f>
        <v>0</v>
      </c>
      <c r="D111" s="107" t="str">
        <f>IF(LEN(Table1722[[#This Row],[Uraian]])&gt;2,1," ")</f>
        <v xml:space="preserve"> </v>
      </c>
      <c r="E111" s="113" t="str">
        <f>IF(Table1722[[#This Row],[Lawan Transaksi]]="CV AGUNG KARYA",COUNTIF($I$10:I111,"CV AGUNG KARYA")," ")</f>
        <v xml:space="preserve"> </v>
      </c>
      <c r="F111" s="107" t="str">
        <f>IF(LEN(Table1722[[#This Row],[Uraian]])&gt;2,TRIM(RIGHT(SUBSTITUTE(TRIM(C111)," ",REPT(" ",255)),255))," ")</f>
        <v xml:space="preserve"> </v>
      </c>
      <c r="G111" s="110">
        <f>COPY!Z103</f>
        <v>0</v>
      </c>
      <c r="H111" s="111" t="str">
        <f>IFERROR(VLOOKUP(Table1722[[#This Row],[Bukti]],'Un nOTA'!$A$4:$K$5003,10,FALSE),"")</f>
        <v/>
      </c>
      <c r="I111" s="112" t="str">
        <f>IFERROR(VLOOKUP(Table1722[[#This Row],[Bukti]],Table13[#Data],11,FALSE),"")</f>
        <v/>
      </c>
    </row>
    <row r="112" spans="1:9" ht="19.5" hidden="1" customHeight="1" x14ac:dyDescent="0.2">
      <c r="A112" s="105" t="str">
        <f>IF(D112=1,COUNTIF($D$10:D112,1)," ")</f>
        <v xml:space="preserve"> </v>
      </c>
      <c r="B112" s="106" t="str">
        <f>COPY!AR104</f>
        <v/>
      </c>
      <c r="C112" s="107">
        <f>COPY!AC104</f>
        <v>0</v>
      </c>
      <c r="D112" s="107" t="str">
        <f>IF(LEN(Table1722[[#This Row],[Uraian]])&gt;2,1," ")</f>
        <v xml:space="preserve"> </v>
      </c>
      <c r="E112" s="113" t="str">
        <f>IF(Table1722[[#This Row],[Lawan Transaksi]]="CV AGUNG KARYA",COUNTIF($I$10:I112,"CV AGUNG KARYA")," ")</f>
        <v xml:space="preserve"> </v>
      </c>
      <c r="F112" s="107" t="str">
        <f>IF(LEN(Table1722[[#This Row],[Uraian]])&gt;2,TRIM(RIGHT(SUBSTITUTE(TRIM(C112)," ",REPT(" ",255)),255))," ")</f>
        <v xml:space="preserve"> </v>
      </c>
      <c r="G112" s="110">
        <f>COPY!Z104</f>
        <v>0</v>
      </c>
      <c r="H112" s="111" t="str">
        <f>IFERROR(VLOOKUP(Table1722[[#This Row],[Bukti]],'Un nOTA'!$A$4:$K$5003,10,FALSE),"")</f>
        <v/>
      </c>
      <c r="I112" s="112" t="str">
        <f>IFERROR(VLOOKUP(Table1722[[#This Row],[Bukti]],Table13[#Data],11,FALSE),"")</f>
        <v/>
      </c>
    </row>
    <row r="113" spans="1:9" ht="19.5" hidden="1" customHeight="1" x14ac:dyDescent="0.2">
      <c r="A113" s="105" t="str">
        <f>IF(D113=1,COUNTIF($D$10:D113,1)," ")</f>
        <v xml:space="preserve"> </v>
      </c>
      <c r="B113" s="106" t="str">
        <f>COPY!AR105</f>
        <v/>
      </c>
      <c r="C113" s="107">
        <f>COPY!AC105</f>
        <v>0</v>
      </c>
      <c r="D113" s="107" t="str">
        <f>IF(LEN(Table1722[[#This Row],[Uraian]])&gt;2,1," ")</f>
        <v xml:space="preserve"> </v>
      </c>
      <c r="E113" s="113" t="str">
        <f>IF(Table1722[[#This Row],[Lawan Transaksi]]="CV AGUNG KARYA",COUNTIF($I$10:I113,"CV AGUNG KARYA")," ")</f>
        <v xml:space="preserve"> </v>
      </c>
      <c r="F113" s="107" t="str">
        <f>IF(LEN(Table1722[[#This Row],[Uraian]])&gt;2,TRIM(RIGHT(SUBSTITUTE(TRIM(C113)," ",REPT(" ",255)),255))," ")</f>
        <v xml:space="preserve"> </v>
      </c>
      <c r="G113" s="110">
        <f>COPY!Z105</f>
        <v>0</v>
      </c>
      <c r="H113" s="111" t="str">
        <f>IFERROR(VLOOKUP(Table1722[[#This Row],[Bukti]],'Un nOTA'!$A$4:$K$5003,10,FALSE),"")</f>
        <v/>
      </c>
      <c r="I113" s="112" t="str">
        <f>IFERROR(VLOOKUP(Table1722[[#This Row],[Bukti]],Table13[#Data],11,FALSE),"")</f>
        <v/>
      </c>
    </row>
    <row r="114" spans="1:9" ht="19.5" hidden="1" customHeight="1" x14ac:dyDescent="0.2">
      <c r="A114" s="105" t="str">
        <f>IF(D114=1,COUNTIF($D$10:D114,1)," ")</f>
        <v xml:space="preserve"> </v>
      </c>
      <c r="B114" s="106" t="str">
        <f>COPY!AR106</f>
        <v/>
      </c>
      <c r="C114" s="107">
        <f>COPY!AC106</f>
        <v>0</v>
      </c>
      <c r="D114" s="107" t="str">
        <f>IF(LEN(Table1722[[#This Row],[Uraian]])&gt;2,1," ")</f>
        <v xml:space="preserve"> </v>
      </c>
      <c r="E114" s="113" t="str">
        <f>IF(Table1722[[#This Row],[Lawan Transaksi]]="CV AGUNG KARYA",COUNTIF($I$10:I114,"CV AGUNG KARYA")," ")</f>
        <v xml:space="preserve"> </v>
      </c>
      <c r="F114" s="107" t="str">
        <f>IF(LEN(Table1722[[#This Row],[Uraian]])&gt;2,TRIM(RIGHT(SUBSTITUTE(TRIM(C114)," ",REPT(" ",255)),255))," ")</f>
        <v xml:space="preserve"> </v>
      </c>
      <c r="G114" s="110">
        <f>COPY!Z106</f>
        <v>0</v>
      </c>
      <c r="H114" s="111" t="str">
        <f>IFERROR(VLOOKUP(Table1722[[#This Row],[Bukti]],'Un nOTA'!$A$4:$K$5003,10,FALSE),"")</f>
        <v/>
      </c>
      <c r="I114" s="112" t="str">
        <f>IFERROR(VLOOKUP(Table1722[[#This Row],[Bukti]],Table13[#Data],11,FALSE),"")</f>
        <v/>
      </c>
    </row>
    <row r="115" spans="1:9" ht="19.5" hidden="1" customHeight="1" x14ac:dyDescent="0.2">
      <c r="A115" s="105" t="str">
        <f>IF(D115=1,COUNTIF($D$10:D115,1)," ")</f>
        <v xml:space="preserve"> </v>
      </c>
      <c r="B115" s="106" t="str">
        <f>COPY!AR107</f>
        <v/>
      </c>
      <c r="C115" s="107">
        <f>COPY!AC107</f>
        <v>0</v>
      </c>
      <c r="D115" s="107" t="str">
        <f>IF(LEN(Table1722[[#This Row],[Uraian]])&gt;2,1," ")</f>
        <v xml:space="preserve"> </v>
      </c>
      <c r="E115" s="113" t="str">
        <f>IF(Table1722[[#This Row],[Lawan Transaksi]]="CV AGUNG KARYA",COUNTIF($I$10:I115,"CV AGUNG KARYA")," ")</f>
        <v xml:space="preserve"> </v>
      </c>
      <c r="F115" s="107" t="str">
        <f>IF(LEN(Table1722[[#This Row],[Uraian]])&gt;2,TRIM(RIGHT(SUBSTITUTE(TRIM(C115)," ",REPT(" ",255)),255))," ")</f>
        <v xml:space="preserve"> </v>
      </c>
      <c r="G115" s="110">
        <f>COPY!Z107</f>
        <v>0</v>
      </c>
      <c r="H115" s="111" t="str">
        <f>IFERROR(VLOOKUP(Table1722[[#This Row],[Bukti]],'Un nOTA'!$A$4:$K$5003,10,FALSE),"")</f>
        <v/>
      </c>
      <c r="I115" s="112" t="str">
        <f>IFERROR(VLOOKUP(Table1722[[#This Row],[Bukti]],Table13[#Data],11,FALSE),"")</f>
        <v/>
      </c>
    </row>
    <row r="116" spans="1:9" ht="19.5" hidden="1" customHeight="1" x14ac:dyDescent="0.2">
      <c r="A116" s="105" t="str">
        <f>IF(D116=1,COUNTIF($D$10:D116,1)," ")</f>
        <v xml:space="preserve"> </v>
      </c>
      <c r="B116" s="106" t="str">
        <f>COPY!AR108</f>
        <v/>
      </c>
      <c r="C116" s="107">
        <f>COPY!AC108</f>
        <v>0</v>
      </c>
      <c r="D116" s="107" t="str">
        <f>IF(LEN(Table1722[[#This Row],[Uraian]])&gt;2,1," ")</f>
        <v xml:space="preserve"> </v>
      </c>
      <c r="E116" s="113" t="str">
        <f>IF(Table1722[[#This Row],[Lawan Transaksi]]="CV AGUNG KARYA",COUNTIF($I$10:I116,"CV AGUNG KARYA")," ")</f>
        <v xml:space="preserve"> </v>
      </c>
      <c r="F116" s="107" t="str">
        <f>IF(LEN(Table1722[[#This Row],[Uraian]])&gt;2,TRIM(RIGHT(SUBSTITUTE(TRIM(C116)," ",REPT(" ",255)),255))," ")</f>
        <v xml:space="preserve"> </v>
      </c>
      <c r="G116" s="110">
        <f>COPY!Z108</f>
        <v>0</v>
      </c>
      <c r="H116" s="111" t="str">
        <f>IFERROR(VLOOKUP(Table1722[[#This Row],[Bukti]],'Un nOTA'!$A$4:$K$5003,10,FALSE),"")</f>
        <v/>
      </c>
      <c r="I116" s="112" t="str">
        <f>IFERROR(VLOOKUP(Table1722[[#This Row],[Bukti]],Table13[#Data],11,FALSE),"")</f>
        <v/>
      </c>
    </row>
    <row r="117" spans="1:9" ht="19.5" hidden="1" customHeight="1" x14ac:dyDescent="0.2">
      <c r="A117" s="105" t="str">
        <f>IF(D117=1,COUNTIF($D$10:D117,1)," ")</f>
        <v xml:space="preserve"> </v>
      </c>
      <c r="B117" s="106" t="str">
        <f>COPY!AR109</f>
        <v/>
      </c>
      <c r="C117" s="107">
        <f>COPY!AC109</f>
        <v>0</v>
      </c>
      <c r="D117" s="107" t="str">
        <f>IF(LEN(Table1722[[#This Row],[Uraian]])&gt;2,1," ")</f>
        <v xml:space="preserve"> </v>
      </c>
      <c r="E117" s="113" t="str">
        <f>IF(Table1722[[#This Row],[Lawan Transaksi]]="CV AGUNG KARYA",COUNTIF($I$10:I117,"CV AGUNG KARYA")," ")</f>
        <v xml:space="preserve"> </v>
      </c>
      <c r="F117" s="107" t="str">
        <f>IF(LEN(Table1722[[#This Row],[Uraian]])&gt;2,TRIM(RIGHT(SUBSTITUTE(TRIM(C117)," ",REPT(" ",255)),255))," ")</f>
        <v xml:space="preserve"> </v>
      </c>
      <c r="G117" s="110">
        <f>COPY!Z109</f>
        <v>0</v>
      </c>
      <c r="H117" s="111" t="str">
        <f>IFERROR(VLOOKUP(Table1722[[#This Row],[Bukti]],'Un nOTA'!$A$4:$K$5003,10,FALSE),"")</f>
        <v/>
      </c>
      <c r="I117" s="112" t="str">
        <f>IFERROR(VLOOKUP(Table1722[[#This Row],[Bukti]],Table13[#Data],11,FALSE),"")</f>
        <v/>
      </c>
    </row>
    <row r="118" spans="1:9" ht="19.5" hidden="1" customHeight="1" x14ac:dyDescent="0.2">
      <c r="A118" s="105" t="str">
        <f>IF(D118=1,COUNTIF($D$10:D118,1)," ")</f>
        <v xml:space="preserve"> </v>
      </c>
      <c r="B118" s="106" t="str">
        <f>COPY!AR110</f>
        <v/>
      </c>
      <c r="C118" s="107">
        <f>COPY!AC110</f>
        <v>0</v>
      </c>
      <c r="D118" s="107" t="str">
        <f>IF(LEN(Table1722[[#This Row],[Uraian]])&gt;2,1," ")</f>
        <v xml:space="preserve"> </v>
      </c>
      <c r="E118" s="113" t="str">
        <f>IF(Table1722[[#This Row],[Lawan Transaksi]]="CV AGUNG KARYA",COUNTIF($I$10:I118,"CV AGUNG KARYA")," ")</f>
        <v xml:space="preserve"> </v>
      </c>
      <c r="F118" s="107" t="str">
        <f>IF(LEN(Table1722[[#This Row],[Uraian]])&gt;2,TRIM(RIGHT(SUBSTITUTE(TRIM(C118)," ",REPT(" ",255)),255))," ")</f>
        <v xml:space="preserve"> </v>
      </c>
      <c r="G118" s="110">
        <f>COPY!Z110</f>
        <v>0</v>
      </c>
      <c r="H118" s="111" t="str">
        <f>IFERROR(VLOOKUP(Table1722[[#This Row],[Bukti]],'Un nOTA'!$A$4:$K$5003,10,FALSE),"")</f>
        <v/>
      </c>
      <c r="I118" s="112" t="str">
        <f>IFERROR(VLOOKUP(Table1722[[#This Row],[Bukti]],Table13[#Data],11,FALSE),"")</f>
        <v/>
      </c>
    </row>
    <row r="119" spans="1:9" ht="19.5" hidden="1" customHeight="1" x14ac:dyDescent="0.2">
      <c r="A119" s="105" t="str">
        <f>IF(D119=1,COUNTIF($D$10:D119,1)," ")</f>
        <v xml:space="preserve"> </v>
      </c>
      <c r="B119" s="106" t="str">
        <f>COPY!AR111</f>
        <v/>
      </c>
      <c r="C119" s="107">
        <f>COPY!AC111</f>
        <v>0</v>
      </c>
      <c r="D119" s="107" t="str">
        <f>IF(LEN(Table1722[[#This Row],[Uraian]])&gt;2,1," ")</f>
        <v xml:space="preserve"> </v>
      </c>
      <c r="E119" s="113" t="str">
        <f>IF(Table1722[[#This Row],[Lawan Transaksi]]="CV AGUNG KARYA",COUNTIF($I$10:I119,"CV AGUNG KARYA")," ")</f>
        <v xml:space="preserve"> </v>
      </c>
      <c r="F119" s="107" t="str">
        <f>IF(LEN(Table1722[[#This Row],[Uraian]])&gt;2,TRIM(RIGHT(SUBSTITUTE(TRIM(C119)," ",REPT(" ",255)),255))," ")</f>
        <v xml:space="preserve"> </v>
      </c>
      <c r="G119" s="110">
        <f>COPY!Z111</f>
        <v>0</v>
      </c>
      <c r="H119" s="111" t="str">
        <f>IFERROR(VLOOKUP(Table1722[[#This Row],[Bukti]],'Un nOTA'!$A$4:$K$5003,10,FALSE),"")</f>
        <v/>
      </c>
      <c r="I119" s="112" t="str">
        <f>IFERROR(VLOOKUP(Table1722[[#This Row],[Bukti]],Table13[#Data],11,FALSE),"")</f>
        <v/>
      </c>
    </row>
    <row r="120" spans="1:9" ht="19.5" hidden="1" customHeight="1" x14ac:dyDescent="0.2">
      <c r="A120" s="105" t="str">
        <f>IF(D120=1,COUNTIF($D$10:D120,1)," ")</f>
        <v xml:space="preserve"> </v>
      </c>
      <c r="B120" s="106" t="str">
        <f>COPY!AR112</f>
        <v/>
      </c>
      <c r="C120" s="107">
        <f>COPY!AC112</f>
        <v>0</v>
      </c>
      <c r="D120" s="107" t="str">
        <f>IF(LEN(Table1722[[#This Row],[Uraian]])&gt;2,1," ")</f>
        <v xml:space="preserve"> </v>
      </c>
      <c r="E120" s="113" t="str">
        <f>IF(Table1722[[#This Row],[Lawan Transaksi]]="CV AGUNG KARYA",COUNTIF($I$10:I120,"CV AGUNG KARYA")," ")</f>
        <v xml:space="preserve"> </v>
      </c>
      <c r="F120" s="107" t="str">
        <f>IF(LEN(Table1722[[#This Row],[Uraian]])&gt;2,TRIM(RIGHT(SUBSTITUTE(TRIM(C120)," ",REPT(" ",255)),255))," ")</f>
        <v xml:space="preserve"> </v>
      </c>
      <c r="G120" s="110">
        <f>COPY!Z112</f>
        <v>0</v>
      </c>
      <c r="H120" s="111" t="str">
        <f>IFERROR(VLOOKUP(Table1722[[#This Row],[Bukti]],'Un nOTA'!$A$4:$K$5003,10,FALSE),"")</f>
        <v/>
      </c>
      <c r="I120" s="112" t="str">
        <f>IFERROR(VLOOKUP(Table1722[[#This Row],[Bukti]],Table13[#Data],11,FALSE),"")</f>
        <v/>
      </c>
    </row>
    <row r="121" spans="1:9" ht="19.5" hidden="1" customHeight="1" x14ac:dyDescent="0.2">
      <c r="A121" s="105" t="str">
        <f>IF(D121=1,COUNTIF($D$10:D121,1)," ")</f>
        <v xml:space="preserve"> </v>
      </c>
      <c r="B121" s="106" t="str">
        <f>COPY!AR113</f>
        <v/>
      </c>
      <c r="C121" s="107">
        <f>COPY!AC113</f>
        <v>0</v>
      </c>
      <c r="D121" s="107" t="str">
        <f>IF(LEN(Table1722[[#This Row],[Uraian]])&gt;2,1," ")</f>
        <v xml:space="preserve"> </v>
      </c>
      <c r="E121" s="113" t="str">
        <f>IF(Table1722[[#This Row],[Lawan Transaksi]]="CV AGUNG KARYA",COUNTIF($I$10:I121,"CV AGUNG KARYA")," ")</f>
        <v xml:space="preserve"> </v>
      </c>
      <c r="F121" s="107" t="str">
        <f>IF(LEN(Table1722[[#This Row],[Uraian]])&gt;2,TRIM(RIGHT(SUBSTITUTE(TRIM(C121)," ",REPT(" ",255)),255))," ")</f>
        <v xml:space="preserve"> </v>
      </c>
      <c r="G121" s="110">
        <f>COPY!Z113</f>
        <v>0</v>
      </c>
      <c r="H121" s="111" t="str">
        <f>IFERROR(VLOOKUP(Table1722[[#This Row],[Bukti]],'Un nOTA'!$A$4:$K$5003,10,FALSE),"")</f>
        <v/>
      </c>
      <c r="I121" s="112" t="str">
        <f>IFERROR(VLOOKUP(Table1722[[#This Row],[Bukti]],Table13[#Data],11,FALSE),"")</f>
        <v/>
      </c>
    </row>
    <row r="122" spans="1:9" ht="19.5" hidden="1" customHeight="1" x14ac:dyDescent="0.2">
      <c r="A122" s="105" t="str">
        <f>IF(D122=1,COUNTIF($D$10:D122,1)," ")</f>
        <v xml:space="preserve"> </v>
      </c>
      <c r="B122" s="106" t="str">
        <f>COPY!AR114</f>
        <v/>
      </c>
      <c r="C122" s="107">
        <f>COPY!AC114</f>
        <v>0</v>
      </c>
      <c r="D122" s="107" t="str">
        <f>IF(LEN(Table1722[[#This Row],[Uraian]])&gt;2,1," ")</f>
        <v xml:space="preserve"> </v>
      </c>
      <c r="E122" s="113" t="str">
        <f>IF(Table1722[[#This Row],[Lawan Transaksi]]="CV AGUNG KARYA",COUNTIF($I$10:I122,"CV AGUNG KARYA")," ")</f>
        <v xml:space="preserve"> </v>
      </c>
      <c r="F122" s="107" t="str">
        <f>IF(LEN(Table1722[[#This Row],[Uraian]])&gt;2,TRIM(RIGHT(SUBSTITUTE(TRIM(C122)," ",REPT(" ",255)),255))," ")</f>
        <v xml:space="preserve"> </v>
      </c>
      <c r="G122" s="110">
        <f>COPY!Z114</f>
        <v>0</v>
      </c>
      <c r="H122" s="111" t="str">
        <f>IFERROR(VLOOKUP(Table1722[[#This Row],[Bukti]],'Un nOTA'!$A$4:$K$5003,10,FALSE),"")</f>
        <v/>
      </c>
      <c r="I122" s="112" t="str">
        <f>IFERROR(VLOOKUP(Table1722[[#This Row],[Bukti]],Table13[#Data],11,FALSE),"")</f>
        <v/>
      </c>
    </row>
    <row r="123" spans="1:9" ht="19.5" hidden="1" customHeight="1" x14ac:dyDescent="0.2">
      <c r="A123" s="105" t="str">
        <f>IF(D123=1,COUNTIF($D$10:D123,1)," ")</f>
        <v xml:space="preserve"> </v>
      </c>
      <c r="B123" s="106" t="str">
        <f>COPY!AR115</f>
        <v/>
      </c>
      <c r="C123" s="107">
        <f>COPY!AC115</f>
        <v>0</v>
      </c>
      <c r="D123" s="107" t="str">
        <f>IF(LEN(Table1722[[#This Row],[Uraian]])&gt;2,1," ")</f>
        <v xml:space="preserve"> </v>
      </c>
      <c r="E123" s="113" t="str">
        <f>IF(Table1722[[#This Row],[Lawan Transaksi]]="CV AGUNG KARYA",COUNTIF($I$10:I123,"CV AGUNG KARYA")," ")</f>
        <v xml:space="preserve"> </v>
      </c>
      <c r="F123" s="107" t="str">
        <f>IF(LEN(Table1722[[#This Row],[Uraian]])&gt;2,TRIM(RIGHT(SUBSTITUTE(TRIM(C123)," ",REPT(" ",255)),255))," ")</f>
        <v xml:space="preserve"> </v>
      </c>
      <c r="G123" s="110">
        <f>COPY!Z115</f>
        <v>0</v>
      </c>
      <c r="H123" s="111" t="str">
        <f>IFERROR(VLOOKUP(Table1722[[#This Row],[Bukti]],'Un nOTA'!$A$4:$K$5003,10,FALSE),"")</f>
        <v/>
      </c>
      <c r="I123" s="112" t="str">
        <f>IFERROR(VLOOKUP(Table1722[[#This Row],[Bukti]],Table13[#Data],11,FALSE),"")</f>
        <v/>
      </c>
    </row>
    <row r="124" spans="1:9" ht="19.5" hidden="1" customHeight="1" x14ac:dyDescent="0.2">
      <c r="A124" s="105" t="str">
        <f>IF(D124=1,COUNTIF($D$10:D124,1)," ")</f>
        <v xml:space="preserve"> </v>
      </c>
      <c r="B124" s="106" t="str">
        <f>COPY!AR116</f>
        <v/>
      </c>
      <c r="C124" s="107">
        <f>COPY!AC116</f>
        <v>0</v>
      </c>
      <c r="D124" s="107" t="str">
        <f>IF(LEN(Table1722[[#This Row],[Uraian]])&gt;2,1," ")</f>
        <v xml:space="preserve"> </v>
      </c>
      <c r="E124" s="113" t="str">
        <f>IF(Table1722[[#This Row],[Lawan Transaksi]]="CV AGUNG KARYA",COUNTIF($I$10:I124,"CV AGUNG KARYA")," ")</f>
        <v xml:space="preserve"> </v>
      </c>
      <c r="F124" s="107" t="str">
        <f>IF(LEN(Table1722[[#This Row],[Uraian]])&gt;2,TRIM(RIGHT(SUBSTITUTE(TRIM(C124)," ",REPT(" ",255)),255))," ")</f>
        <v xml:space="preserve"> </v>
      </c>
      <c r="G124" s="110">
        <f>COPY!Z116</f>
        <v>0</v>
      </c>
      <c r="H124" s="111" t="str">
        <f>IFERROR(VLOOKUP(Table1722[[#This Row],[Bukti]],'Un nOTA'!$A$4:$K$5003,10,FALSE),"")</f>
        <v/>
      </c>
      <c r="I124" s="112" t="str">
        <f>IFERROR(VLOOKUP(Table1722[[#This Row],[Bukti]],Table13[#Data],11,FALSE),"")</f>
        <v/>
      </c>
    </row>
    <row r="125" spans="1:9" ht="19.5" customHeight="1" x14ac:dyDescent="0.2">
      <c r="A125" s="105">
        <f>IF(D125=1,COUNTIF($D$10:D125,1)," ")</f>
        <v>2</v>
      </c>
      <c r="B125" s="106">
        <f>COPY!AR117</f>
        <v>45936</v>
      </c>
      <c r="C125" s="107" t="str">
        <f>COPY!AC117</f>
        <v>Bayar Pajak PPN (11 %) BKK.35</v>
      </c>
      <c r="D125" s="107">
        <f>IF(LEN(Table1722[[#This Row],[Uraian]])&gt;2,1," ")</f>
        <v>1</v>
      </c>
      <c r="E125" s="113" t="str">
        <f>IF(Table1722[[#This Row],[Lawan Transaksi]]="CV AGUNG KARYA",COUNTIF($I$10:I125,"CV AGUNG KARYA")," ")</f>
        <v xml:space="preserve"> </v>
      </c>
      <c r="F125" s="107" t="str">
        <f>IF(LEN(Table1722[[#This Row],[Uraian]])&gt;2,TRIM(RIGHT(SUBSTITUTE(TRIM(C125)," ",REPT(" ",255)),255))," ")</f>
        <v>BKK.35</v>
      </c>
      <c r="G125" s="110">
        <f>COPY!Z117</f>
        <v>292930</v>
      </c>
      <c r="H125" s="111">
        <f>IFERROR(VLOOKUP(Table1722[[#This Row],[Bukti]],'Un nOTA'!$A$4:$K$5003,10,FALSE),"")</f>
        <v>2663000</v>
      </c>
      <c r="I125" s="112" t="str">
        <f>IFERROR(VLOOKUP(Table1722[[#This Row],[Bukti]],Table13[#Data],11,FALSE),"")</f>
        <v/>
      </c>
    </row>
    <row r="126" spans="1:9" ht="19.5" customHeight="1" x14ac:dyDescent="0.2">
      <c r="A126" s="105">
        <f>IF(D126=1,COUNTIF($D$10:D126,1)," ")</f>
        <v>3</v>
      </c>
      <c r="B126" s="106">
        <f>COPY!AR118</f>
        <v>45936</v>
      </c>
      <c r="C126" s="107" t="str">
        <f>COPY!AC118</f>
        <v>Bayar Pajak PPH (1,5 %) BKK.35</v>
      </c>
      <c r="D126" s="107">
        <f>IF(LEN(Table1722[[#This Row],[Uraian]])&gt;2,1," ")</f>
        <v>1</v>
      </c>
      <c r="E126" s="113" t="str">
        <f>IF(Table1722[[#This Row],[Lawan Transaksi]]="CV AGUNG KARYA",COUNTIF($I$10:I126,"CV AGUNG KARYA")," ")</f>
        <v xml:space="preserve"> </v>
      </c>
      <c r="F126" s="107" t="str">
        <f>IF(LEN(Table1722[[#This Row],[Uraian]])&gt;2,TRIM(RIGHT(SUBSTITUTE(TRIM(C126)," ",REPT(" ",255)),255))," ")</f>
        <v>BKK.35</v>
      </c>
      <c r="G126" s="110">
        <f>COPY!Z118</f>
        <v>39945</v>
      </c>
      <c r="H126" s="111">
        <f>IFERROR(VLOOKUP(Table1722[[#This Row],[Bukti]],'Un nOTA'!$A$4:$K$5003,10,FALSE),"")</f>
        <v>2663000</v>
      </c>
      <c r="I126" s="112" t="str">
        <f>IFERROR(VLOOKUP(Table1722[[#This Row],[Bukti]],Table13[#Data],11,FALSE),"")</f>
        <v/>
      </c>
    </row>
    <row r="127" spans="1:9" ht="19.5" hidden="1" customHeight="1" x14ac:dyDescent="0.2">
      <c r="A127" s="105" t="str">
        <f>IF(D127=1,COUNTIF($D$10:D127,1)," ")</f>
        <v xml:space="preserve"> </v>
      </c>
      <c r="B127" s="106" t="str">
        <f>COPY!AR119</f>
        <v/>
      </c>
      <c r="C127" s="107">
        <f>COPY!AC119</f>
        <v>0</v>
      </c>
      <c r="D127" s="107" t="str">
        <f>IF(LEN(Table1722[[#This Row],[Uraian]])&gt;2,1," ")</f>
        <v xml:space="preserve"> </v>
      </c>
      <c r="E127" s="113" t="str">
        <f>IF(Table1722[[#This Row],[Lawan Transaksi]]="CV AGUNG KARYA",COUNTIF($I$10:I127,"CV AGUNG KARYA")," ")</f>
        <v xml:space="preserve"> </v>
      </c>
      <c r="F127" s="107" t="str">
        <f>IF(LEN(Table1722[[#This Row],[Uraian]])&gt;2,TRIM(RIGHT(SUBSTITUTE(TRIM(C127)," ",REPT(" ",255)),255))," ")</f>
        <v xml:space="preserve"> </v>
      </c>
      <c r="G127" s="110">
        <f>COPY!Z119</f>
        <v>0</v>
      </c>
      <c r="H127" s="111" t="str">
        <f>IFERROR(VLOOKUP(Table1722[[#This Row],[Bukti]],'Un nOTA'!$A$4:$K$5003,10,FALSE),"")</f>
        <v/>
      </c>
      <c r="I127" s="112" t="str">
        <f>IFERROR(VLOOKUP(Table1722[[#This Row],[Bukti]],Table13[#Data],11,FALSE),"")</f>
        <v/>
      </c>
    </row>
    <row r="128" spans="1:9" ht="19.5" hidden="1" customHeight="1" x14ac:dyDescent="0.2">
      <c r="A128" s="105" t="str">
        <f>IF(D128=1,COUNTIF($D$10:D128,1)," ")</f>
        <v xml:space="preserve"> </v>
      </c>
      <c r="B128" s="106" t="str">
        <f>COPY!AR120</f>
        <v/>
      </c>
      <c r="C128" s="107">
        <f>COPY!AC120</f>
        <v>0</v>
      </c>
      <c r="D128" s="107" t="str">
        <f>IF(LEN(Table1722[[#This Row],[Uraian]])&gt;2,1," ")</f>
        <v xml:space="preserve"> </v>
      </c>
      <c r="E128" s="113" t="str">
        <f>IF(Table1722[[#This Row],[Lawan Transaksi]]="CV AGUNG KARYA",COUNTIF($I$10:I128,"CV AGUNG KARYA")," ")</f>
        <v xml:space="preserve"> </v>
      </c>
      <c r="F128" s="107" t="str">
        <f>IF(LEN(Table1722[[#This Row],[Uraian]])&gt;2,TRIM(RIGHT(SUBSTITUTE(TRIM(C128)," ",REPT(" ",255)),255))," ")</f>
        <v xml:space="preserve"> </v>
      </c>
      <c r="G128" s="110">
        <f>COPY!Z120</f>
        <v>0</v>
      </c>
      <c r="H128" s="111" t="str">
        <f>IFERROR(VLOOKUP(Table1722[[#This Row],[Bukti]],'Un nOTA'!$A$4:$K$5003,10,FALSE),"")</f>
        <v/>
      </c>
      <c r="I128" s="112" t="str">
        <f>IFERROR(VLOOKUP(Table1722[[#This Row],[Bukti]],Table13[#Data],11,FALSE),"")</f>
        <v/>
      </c>
    </row>
    <row r="129" spans="1:9" ht="19.5" hidden="1" customHeight="1" x14ac:dyDescent="0.2">
      <c r="A129" s="105" t="str">
        <f>IF(D129=1,COUNTIF($D$10:D129,1)," ")</f>
        <v xml:space="preserve"> </v>
      </c>
      <c r="B129" s="106" t="str">
        <f>COPY!AR121</f>
        <v/>
      </c>
      <c r="C129" s="107">
        <f>COPY!AC121</f>
        <v>0</v>
      </c>
      <c r="D129" s="107" t="str">
        <f>IF(LEN(Table1722[[#This Row],[Uraian]])&gt;2,1," ")</f>
        <v xml:space="preserve"> </v>
      </c>
      <c r="E129" s="113" t="str">
        <f>IF(Table1722[[#This Row],[Lawan Transaksi]]="CV AGUNG KARYA",COUNTIF($I$10:I129,"CV AGUNG KARYA")," ")</f>
        <v xml:space="preserve"> </v>
      </c>
      <c r="F129" s="107" t="str">
        <f>IF(LEN(Table1722[[#This Row],[Uraian]])&gt;2,TRIM(RIGHT(SUBSTITUTE(TRIM(C129)," ",REPT(" ",255)),255))," ")</f>
        <v xml:space="preserve"> </v>
      </c>
      <c r="G129" s="110">
        <f>COPY!Z121</f>
        <v>0</v>
      </c>
      <c r="H129" s="111" t="str">
        <f>IFERROR(VLOOKUP(Table1722[[#This Row],[Bukti]],'Un nOTA'!$A$4:$K$5003,10,FALSE),"")</f>
        <v/>
      </c>
      <c r="I129" s="112" t="str">
        <f>IFERROR(VLOOKUP(Table1722[[#This Row],[Bukti]],Table13[#Data],11,FALSE),"")</f>
        <v/>
      </c>
    </row>
    <row r="130" spans="1:9" ht="19.5" hidden="1" customHeight="1" x14ac:dyDescent="0.2">
      <c r="A130" s="105" t="str">
        <f>IF(D130=1,COUNTIF($D$10:D130,1)," ")</f>
        <v xml:space="preserve"> </v>
      </c>
      <c r="B130" s="106" t="str">
        <f>COPY!AR122</f>
        <v/>
      </c>
      <c r="C130" s="107">
        <f>COPY!AC122</f>
        <v>0</v>
      </c>
      <c r="D130" s="107" t="str">
        <f>IF(LEN(Table1722[[#This Row],[Uraian]])&gt;2,1," ")</f>
        <v xml:space="preserve"> </v>
      </c>
      <c r="E130" s="113" t="str">
        <f>IF(Table1722[[#This Row],[Lawan Transaksi]]="CV AGUNG KARYA",COUNTIF($I$10:I130,"CV AGUNG KARYA")," ")</f>
        <v xml:space="preserve"> </v>
      </c>
      <c r="F130" s="107" t="str">
        <f>IF(LEN(Table1722[[#This Row],[Uraian]])&gt;2,TRIM(RIGHT(SUBSTITUTE(TRIM(C130)," ",REPT(" ",255)),255))," ")</f>
        <v xml:space="preserve"> </v>
      </c>
      <c r="G130" s="110">
        <f>COPY!Z122</f>
        <v>0</v>
      </c>
      <c r="H130" s="111" t="str">
        <f>IFERROR(VLOOKUP(Table1722[[#This Row],[Bukti]],'Un nOTA'!$A$4:$K$5003,10,FALSE),"")</f>
        <v/>
      </c>
      <c r="I130" s="112" t="str">
        <f>IFERROR(VLOOKUP(Table1722[[#This Row],[Bukti]],Table13[#Data],11,FALSE),"")</f>
        <v/>
      </c>
    </row>
    <row r="131" spans="1:9" ht="19.5" hidden="1" customHeight="1" x14ac:dyDescent="0.2">
      <c r="A131" s="105" t="str">
        <f>IF(D131=1,COUNTIF($D$10:D131,1)," ")</f>
        <v xml:space="preserve"> </v>
      </c>
      <c r="B131" s="106" t="str">
        <f>COPY!AR123</f>
        <v/>
      </c>
      <c r="C131" s="107">
        <f>COPY!AC123</f>
        <v>0</v>
      </c>
      <c r="D131" s="107" t="str">
        <f>IF(LEN(Table1722[[#This Row],[Uraian]])&gt;2,1," ")</f>
        <v xml:space="preserve"> </v>
      </c>
      <c r="E131" s="113" t="str">
        <f>IF(Table1722[[#This Row],[Lawan Transaksi]]="CV AGUNG KARYA",COUNTIF($I$10:I131,"CV AGUNG KARYA")," ")</f>
        <v xml:space="preserve"> </v>
      </c>
      <c r="F131" s="107" t="str">
        <f>IF(LEN(Table1722[[#This Row],[Uraian]])&gt;2,TRIM(RIGHT(SUBSTITUTE(TRIM(C131)," ",REPT(" ",255)),255))," ")</f>
        <v xml:space="preserve"> </v>
      </c>
      <c r="G131" s="110">
        <f>COPY!Z123</f>
        <v>0</v>
      </c>
      <c r="H131" s="111" t="str">
        <f>IFERROR(VLOOKUP(Table1722[[#This Row],[Bukti]],'Un nOTA'!$A$4:$K$5003,10,FALSE),"")</f>
        <v/>
      </c>
      <c r="I131" s="112" t="str">
        <f>IFERROR(VLOOKUP(Table1722[[#This Row],[Bukti]],Table13[#Data],11,FALSE),"")</f>
        <v/>
      </c>
    </row>
    <row r="132" spans="1:9" ht="19.5" hidden="1" customHeight="1" x14ac:dyDescent="0.2">
      <c r="A132" s="105" t="str">
        <f>IF(D132=1,COUNTIF($D$10:D132,1)," ")</f>
        <v xml:space="preserve"> </v>
      </c>
      <c r="B132" s="106" t="str">
        <f>COPY!AR124</f>
        <v/>
      </c>
      <c r="C132" s="107">
        <f>COPY!AC124</f>
        <v>0</v>
      </c>
      <c r="D132" s="107" t="str">
        <f>IF(LEN(Table1722[[#This Row],[Uraian]])&gt;2,1," ")</f>
        <v xml:space="preserve"> </v>
      </c>
      <c r="E132" s="113" t="str">
        <f>IF(Table1722[[#This Row],[Lawan Transaksi]]="CV AGUNG KARYA",COUNTIF($I$10:I132,"CV AGUNG KARYA")," ")</f>
        <v xml:space="preserve"> </v>
      </c>
      <c r="F132" s="107" t="str">
        <f>IF(LEN(Table1722[[#This Row],[Uraian]])&gt;2,TRIM(RIGHT(SUBSTITUTE(TRIM(C132)," ",REPT(" ",255)),255))," ")</f>
        <v xml:space="preserve"> </v>
      </c>
      <c r="G132" s="110">
        <f>COPY!Z124</f>
        <v>0</v>
      </c>
      <c r="H132" s="111" t="str">
        <f>IFERROR(VLOOKUP(Table1722[[#This Row],[Bukti]],'Un nOTA'!$A$4:$K$5003,10,FALSE),"")</f>
        <v/>
      </c>
      <c r="I132" s="112" t="str">
        <f>IFERROR(VLOOKUP(Table1722[[#This Row],[Bukti]],Table13[#Data],11,FALSE),"")</f>
        <v/>
      </c>
    </row>
    <row r="133" spans="1:9" ht="19.5" hidden="1" customHeight="1" x14ac:dyDescent="0.2">
      <c r="A133" s="105" t="str">
        <f>IF(D133=1,COUNTIF($D$10:D133,1)," ")</f>
        <v xml:space="preserve"> </v>
      </c>
      <c r="B133" s="106" t="str">
        <f>COPY!AR125</f>
        <v/>
      </c>
      <c r="C133" s="107">
        <f>COPY!AC125</f>
        <v>0</v>
      </c>
      <c r="D133" s="107" t="str">
        <f>IF(LEN(Table1722[[#This Row],[Uraian]])&gt;2,1," ")</f>
        <v xml:space="preserve"> </v>
      </c>
      <c r="E133" s="113" t="str">
        <f>IF(Table1722[[#This Row],[Lawan Transaksi]]="CV AGUNG KARYA",COUNTIF($I$10:I133,"CV AGUNG KARYA")," ")</f>
        <v xml:space="preserve"> </v>
      </c>
      <c r="F133" s="107" t="str">
        <f>IF(LEN(Table1722[[#This Row],[Uraian]])&gt;2,TRIM(RIGHT(SUBSTITUTE(TRIM(C133)," ",REPT(" ",255)),255))," ")</f>
        <v xml:space="preserve"> </v>
      </c>
      <c r="G133" s="110">
        <f>COPY!Z125</f>
        <v>0</v>
      </c>
      <c r="H133" s="111" t="str">
        <f>IFERROR(VLOOKUP(Table1722[[#This Row],[Bukti]],'Un nOTA'!$A$4:$K$5003,10,FALSE),"")</f>
        <v/>
      </c>
      <c r="I133" s="112" t="str">
        <f>IFERROR(VLOOKUP(Table1722[[#This Row],[Bukti]],Table13[#Data],11,FALSE),"")</f>
        <v/>
      </c>
    </row>
    <row r="134" spans="1:9" ht="19.5" hidden="1" customHeight="1" x14ac:dyDescent="0.2">
      <c r="A134" s="105" t="str">
        <f>IF(D134=1,COUNTIF($D$10:D134,1)," ")</f>
        <v xml:space="preserve"> </v>
      </c>
      <c r="B134" s="106" t="str">
        <f>COPY!AR126</f>
        <v/>
      </c>
      <c r="C134" s="107">
        <f>COPY!AC126</f>
        <v>0</v>
      </c>
      <c r="D134" s="107" t="str">
        <f>IF(LEN(Table1722[[#This Row],[Uraian]])&gt;2,1," ")</f>
        <v xml:space="preserve"> </v>
      </c>
      <c r="E134" s="113" t="str">
        <f>IF(Table1722[[#This Row],[Lawan Transaksi]]="CV AGUNG KARYA",COUNTIF($I$10:I134,"CV AGUNG KARYA")," ")</f>
        <v xml:space="preserve"> </v>
      </c>
      <c r="F134" s="107" t="str">
        <f>IF(LEN(Table1722[[#This Row],[Uraian]])&gt;2,TRIM(RIGHT(SUBSTITUTE(TRIM(C134)," ",REPT(" ",255)),255))," ")</f>
        <v xml:space="preserve"> </v>
      </c>
      <c r="G134" s="110">
        <f>COPY!Z126</f>
        <v>0</v>
      </c>
      <c r="H134" s="111" t="str">
        <f>IFERROR(VLOOKUP(Table1722[[#This Row],[Bukti]],'Un nOTA'!$A$4:$K$5003,10,FALSE),"")</f>
        <v/>
      </c>
      <c r="I134" s="112" t="str">
        <f>IFERROR(VLOOKUP(Table1722[[#This Row],[Bukti]],Table13[#Data],11,FALSE),"")</f>
        <v/>
      </c>
    </row>
    <row r="135" spans="1:9" ht="19.5" hidden="1" customHeight="1" x14ac:dyDescent="0.2">
      <c r="A135" s="105" t="str">
        <f>IF(D135=1,COUNTIF($D$10:D135,1)," ")</f>
        <v xml:space="preserve"> </v>
      </c>
      <c r="B135" s="106" t="str">
        <f>COPY!AR127</f>
        <v/>
      </c>
      <c r="C135" s="107">
        <f>COPY!AC127</f>
        <v>0</v>
      </c>
      <c r="D135" s="107" t="str">
        <f>IF(LEN(Table1722[[#This Row],[Uraian]])&gt;2,1," ")</f>
        <v xml:space="preserve"> </v>
      </c>
      <c r="E135" s="113" t="str">
        <f>IF(Table1722[[#This Row],[Lawan Transaksi]]="CV AGUNG KARYA",COUNTIF($I$10:I135,"CV AGUNG KARYA")," ")</f>
        <v xml:space="preserve"> </v>
      </c>
      <c r="F135" s="107" t="str">
        <f>IF(LEN(Table1722[[#This Row],[Uraian]])&gt;2,TRIM(RIGHT(SUBSTITUTE(TRIM(C135)," ",REPT(" ",255)),255))," ")</f>
        <v xml:space="preserve"> </v>
      </c>
      <c r="G135" s="110">
        <f>COPY!Z127</f>
        <v>0</v>
      </c>
      <c r="H135" s="111" t="str">
        <f>IFERROR(VLOOKUP(Table1722[[#This Row],[Bukti]],'Un nOTA'!$A$4:$K$5003,10,FALSE),"")</f>
        <v/>
      </c>
      <c r="I135" s="112" t="str">
        <f>IFERROR(VLOOKUP(Table1722[[#This Row],[Bukti]],Table13[#Data],11,FALSE),"")</f>
        <v/>
      </c>
    </row>
    <row r="136" spans="1:9" ht="19.5" hidden="1" customHeight="1" x14ac:dyDescent="0.2">
      <c r="A136" s="105" t="str">
        <f>IF(D136=1,COUNTIF($D$10:D136,1)," ")</f>
        <v xml:space="preserve"> </v>
      </c>
      <c r="B136" s="106" t="str">
        <f>COPY!AR128</f>
        <v/>
      </c>
      <c r="C136" s="107">
        <f>COPY!AC128</f>
        <v>0</v>
      </c>
      <c r="D136" s="107" t="str">
        <f>IF(LEN(Table1722[[#This Row],[Uraian]])&gt;2,1," ")</f>
        <v xml:space="preserve"> </v>
      </c>
      <c r="E136" s="113" t="str">
        <f>IF(Table1722[[#This Row],[Lawan Transaksi]]="CV AGUNG KARYA",COUNTIF($I$10:I136,"CV AGUNG KARYA")," ")</f>
        <v xml:space="preserve"> </v>
      </c>
      <c r="F136" s="107" t="str">
        <f>IF(LEN(Table1722[[#This Row],[Uraian]])&gt;2,TRIM(RIGHT(SUBSTITUTE(TRIM(C136)," ",REPT(" ",255)),255))," ")</f>
        <v xml:space="preserve"> </v>
      </c>
      <c r="G136" s="110">
        <f>COPY!Z128</f>
        <v>0</v>
      </c>
      <c r="H136" s="111" t="str">
        <f>IFERROR(VLOOKUP(Table1722[[#This Row],[Bukti]],'Un nOTA'!$A$4:$K$5003,10,FALSE),"")</f>
        <v/>
      </c>
      <c r="I136" s="112" t="str">
        <f>IFERROR(VLOOKUP(Table1722[[#This Row],[Bukti]],Table13[#Data],11,FALSE),"")</f>
        <v/>
      </c>
    </row>
    <row r="137" spans="1:9" ht="19.5" hidden="1" customHeight="1" x14ac:dyDescent="0.2">
      <c r="A137" s="105" t="str">
        <f>IF(D137=1,COUNTIF($D$10:D137,1)," ")</f>
        <v xml:space="preserve"> </v>
      </c>
      <c r="B137" s="106" t="str">
        <f>COPY!AR129</f>
        <v/>
      </c>
      <c r="C137" s="107">
        <f>COPY!AC129</f>
        <v>0</v>
      </c>
      <c r="D137" s="107" t="str">
        <f>IF(LEN(Table1722[[#This Row],[Uraian]])&gt;2,1," ")</f>
        <v xml:space="preserve"> </v>
      </c>
      <c r="E137" s="113" t="str">
        <f>IF(Table1722[[#This Row],[Lawan Transaksi]]="CV AGUNG KARYA",COUNTIF($I$10:I137,"CV AGUNG KARYA")," ")</f>
        <v xml:space="preserve"> </v>
      </c>
      <c r="F137" s="107" t="str">
        <f>IF(LEN(Table1722[[#This Row],[Uraian]])&gt;2,TRIM(RIGHT(SUBSTITUTE(TRIM(C137)," ",REPT(" ",255)),255))," ")</f>
        <v xml:space="preserve"> </v>
      </c>
      <c r="G137" s="110">
        <f>COPY!Z129</f>
        <v>0</v>
      </c>
      <c r="H137" s="111" t="str">
        <f>IFERROR(VLOOKUP(Table1722[[#This Row],[Bukti]],'Un nOTA'!$A$4:$K$5003,10,FALSE),"")</f>
        <v/>
      </c>
      <c r="I137" s="112" t="str">
        <f>IFERROR(VLOOKUP(Table1722[[#This Row],[Bukti]],Table13[#Data],11,FALSE),"")</f>
        <v/>
      </c>
    </row>
    <row r="138" spans="1:9" ht="19.5" customHeight="1" x14ac:dyDescent="0.2">
      <c r="A138" s="105">
        <f>IF(D138=1,COUNTIF($D$10:D138,1)," ")</f>
        <v>4</v>
      </c>
      <c r="B138" s="106">
        <f>COPY!AR130</f>
        <v>45938</v>
      </c>
      <c r="C138" s="107" t="str">
        <f>COPY!AC130</f>
        <v>Bayar Pajak PPN (11 %) BKK.37</v>
      </c>
      <c r="D138" s="107">
        <f>IF(LEN(Table1722[[#This Row],[Uraian]])&gt;2,1," ")</f>
        <v>1</v>
      </c>
      <c r="E138" s="113" t="str">
        <f>IF(Table1722[[#This Row],[Lawan Transaksi]]="CV AGUNG KARYA",COUNTIF($I$10:I138,"CV AGUNG KARYA")," ")</f>
        <v xml:space="preserve"> </v>
      </c>
      <c r="F138" s="107" t="str">
        <f>IF(LEN(Table1722[[#This Row],[Uraian]])&gt;2,TRIM(RIGHT(SUBSTITUTE(TRIM(C138)," ",REPT(" ",255)),255))," ")</f>
        <v>BKK.37</v>
      </c>
      <c r="G138" s="110">
        <f>COPY!Z130</f>
        <v>303600</v>
      </c>
      <c r="H138" s="111">
        <f>IFERROR(VLOOKUP(Table1722[[#This Row],[Bukti]],'Un nOTA'!$A$4:$K$5003,10,FALSE),"")</f>
        <v>2760000</v>
      </c>
      <c r="I138" s="112" t="str">
        <f>IFERROR(VLOOKUP(Table1722[[#This Row],[Bukti]],Table13[#Data],11,FALSE),"")</f>
        <v/>
      </c>
    </row>
    <row r="139" spans="1:9" ht="19.5" customHeight="1" x14ac:dyDescent="0.2">
      <c r="A139" s="105">
        <f>IF(D139=1,COUNTIF($D$10:D139,1)," ")</f>
        <v>5</v>
      </c>
      <c r="B139" s="106">
        <f>COPY!AR131</f>
        <v>45938</v>
      </c>
      <c r="C139" s="107" t="str">
        <f>COPY!AC131</f>
        <v>Bayar Pajak PPH (1,5 %) BKK.37</v>
      </c>
      <c r="D139" s="107">
        <f>IF(LEN(Table1722[[#This Row],[Uraian]])&gt;2,1," ")</f>
        <v>1</v>
      </c>
      <c r="E139" s="113" t="str">
        <f>IF(Table1722[[#This Row],[Lawan Transaksi]]="CV AGUNG KARYA",COUNTIF($I$10:I139,"CV AGUNG KARYA")," ")</f>
        <v xml:space="preserve"> </v>
      </c>
      <c r="F139" s="107" t="str">
        <f>IF(LEN(Table1722[[#This Row],[Uraian]])&gt;2,TRIM(RIGHT(SUBSTITUTE(TRIM(C139)," ",REPT(" ",255)),255))," ")</f>
        <v>BKK.37</v>
      </c>
      <c r="G139" s="110">
        <f>COPY!Z131</f>
        <v>41400</v>
      </c>
      <c r="H139" s="111">
        <f>IFERROR(VLOOKUP(Table1722[[#This Row],[Bukti]],'Un nOTA'!$A$4:$K$5003,10,FALSE),"")</f>
        <v>2760000</v>
      </c>
      <c r="I139" s="112" t="str">
        <f>IFERROR(VLOOKUP(Table1722[[#This Row],[Bukti]],Table13[#Data],11,FALSE),"")</f>
        <v/>
      </c>
    </row>
    <row r="140" spans="1:9" ht="19.5" hidden="1" customHeight="1" x14ac:dyDescent="0.2">
      <c r="A140" s="105" t="str">
        <f>IF(D140=1,COUNTIF($D$10:D140,1)," ")</f>
        <v xml:space="preserve"> </v>
      </c>
      <c r="B140" s="106" t="str">
        <f>COPY!AR132</f>
        <v/>
      </c>
      <c r="C140" s="107">
        <f>COPY!AC132</f>
        <v>0</v>
      </c>
      <c r="D140" s="107" t="str">
        <f>IF(LEN(Table1722[[#This Row],[Uraian]])&gt;2,1," ")</f>
        <v xml:space="preserve"> </v>
      </c>
      <c r="E140" s="113" t="str">
        <f>IF(Table1722[[#This Row],[Lawan Transaksi]]="CV AGUNG KARYA",COUNTIF($I$10:I140,"CV AGUNG KARYA")," ")</f>
        <v xml:space="preserve"> </v>
      </c>
      <c r="F140" s="107" t="str">
        <f>IF(LEN(Table1722[[#This Row],[Uraian]])&gt;2,TRIM(RIGHT(SUBSTITUTE(TRIM(C140)," ",REPT(" ",255)),255))," ")</f>
        <v xml:space="preserve"> </v>
      </c>
      <c r="G140" s="110">
        <f>COPY!Z132</f>
        <v>0</v>
      </c>
      <c r="H140" s="111" t="str">
        <f>IFERROR(VLOOKUP(Table1722[[#This Row],[Bukti]],'Un nOTA'!$A$4:$K$5003,10,FALSE),"")</f>
        <v/>
      </c>
      <c r="I140" s="112" t="str">
        <f>IFERROR(VLOOKUP(Table1722[[#This Row],[Bukti]],Table13[#Data],11,FALSE),"")</f>
        <v/>
      </c>
    </row>
    <row r="141" spans="1:9" ht="19.5" hidden="1" customHeight="1" x14ac:dyDescent="0.2">
      <c r="A141" s="105" t="str">
        <f>IF(D141=1,COUNTIF($D$10:D141,1)," ")</f>
        <v xml:space="preserve"> </v>
      </c>
      <c r="B141" s="106" t="str">
        <f>COPY!AR133</f>
        <v/>
      </c>
      <c r="C141" s="107">
        <f>COPY!AC133</f>
        <v>0</v>
      </c>
      <c r="D141" s="107" t="str">
        <f>IF(LEN(Table1722[[#This Row],[Uraian]])&gt;2,1," ")</f>
        <v xml:space="preserve"> </v>
      </c>
      <c r="E141" s="113" t="str">
        <f>IF(Table1722[[#This Row],[Lawan Transaksi]]="CV AGUNG KARYA",COUNTIF($I$10:I141,"CV AGUNG KARYA")," ")</f>
        <v xml:space="preserve"> </v>
      </c>
      <c r="F141" s="107" t="str">
        <f>IF(LEN(Table1722[[#This Row],[Uraian]])&gt;2,TRIM(RIGHT(SUBSTITUTE(TRIM(C141)," ",REPT(" ",255)),255))," ")</f>
        <v xml:space="preserve"> </v>
      </c>
      <c r="G141" s="110">
        <f>COPY!Z133</f>
        <v>0</v>
      </c>
      <c r="H141" s="111" t="str">
        <f>IFERROR(VLOOKUP(Table1722[[#This Row],[Bukti]],'Un nOTA'!$A$4:$K$5003,10,FALSE),"")</f>
        <v/>
      </c>
      <c r="I141" s="112" t="str">
        <f>IFERROR(VLOOKUP(Table1722[[#This Row],[Bukti]],Table13[#Data],11,FALSE),"")</f>
        <v/>
      </c>
    </row>
    <row r="142" spans="1:9" ht="19.5" hidden="1" customHeight="1" x14ac:dyDescent="0.2">
      <c r="A142" s="105" t="str">
        <f>IF(D142=1,COUNTIF($D$10:D142,1)," ")</f>
        <v xml:space="preserve"> </v>
      </c>
      <c r="B142" s="106" t="str">
        <f>COPY!AR134</f>
        <v/>
      </c>
      <c r="C142" s="107">
        <f>COPY!AC134</f>
        <v>0</v>
      </c>
      <c r="D142" s="107" t="str">
        <f>IF(LEN(Table1722[[#This Row],[Uraian]])&gt;2,1," ")</f>
        <v xml:space="preserve"> </v>
      </c>
      <c r="E142" s="113" t="str">
        <f>IF(Table1722[[#This Row],[Lawan Transaksi]]="CV AGUNG KARYA",COUNTIF($I$10:I142,"CV AGUNG KARYA")," ")</f>
        <v xml:space="preserve"> </v>
      </c>
      <c r="F142" s="107" t="str">
        <f>IF(LEN(Table1722[[#This Row],[Uraian]])&gt;2,TRIM(RIGHT(SUBSTITUTE(TRIM(C142)," ",REPT(" ",255)),255))," ")</f>
        <v xml:space="preserve"> </v>
      </c>
      <c r="G142" s="110">
        <f>COPY!Z134</f>
        <v>0</v>
      </c>
      <c r="H142" s="111" t="str">
        <f>IFERROR(VLOOKUP(Table1722[[#This Row],[Bukti]],'Un nOTA'!$A$4:$K$5003,10,FALSE),"")</f>
        <v/>
      </c>
      <c r="I142" s="112" t="str">
        <f>IFERROR(VLOOKUP(Table1722[[#This Row],[Bukti]],Table13[#Data],11,FALSE),"")</f>
        <v/>
      </c>
    </row>
    <row r="143" spans="1:9" ht="19.5" hidden="1" customHeight="1" x14ac:dyDescent="0.2">
      <c r="A143" s="105" t="str">
        <f>IF(D143=1,COUNTIF($D$10:D143,1)," ")</f>
        <v xml:space="preserve"> </v>
      </c>
      <c r="B143" s="106" t="str">
        <f>COPY!AR135</f>
        <v/>
      </c>
      <c r="C143" s="107">
        <f>COPY!AC135</f>
        <v>0</v>
      </c>
      <c r="D143" s="107" t="str">
        <f>IF(LEN(Table1722[[#This Row],[Uraian]])&gt;2,1," ")</f>
        <v xml:space="preserve"> </v>
      </c>
      <c r="E143" s="113" t="str">
        <f>IF(Table1722[[#This Row],[Lawan Transaksi]]="CV AGUNG KARYA",COUNTIF($I$10:I143,"CV AGUNG KARYA")," ")</f>
        <v xml:space="preserve"> </v>
      </c>
      <c r="F143" s="107" t="str">
        <f>IF(LEN(Table1722[[#This Row],[Uraian]])&gt;2,TRIM(RIGHT(SUBSTITUTE(TRIM(C143)," ",REPT(" ",255)),255))," ")</f>
        <v xml:space="preserve"> </v>
      </c>
      <c r="G143" s="110">
        <f>COPY!Z135</f>
        <v>0</v>
      </c>
      <c r="H143" s="111" t="str">
        <f>IFERROR(VLOOKUP(Table1722[[#This Row],[Bukti]],'Un nOTA'!$A$4:$K$5003,10,FALSE),"")</f>
        <v/>
      </c>
      <c r="I143" s="112" t="str">
        <f>IFERROR(VLOOKUP(Table1722[[#This Row],[Bukti]],Table13[#Data],11,FALSE),"")</f>
        <v/>
      </c>
    </row>
    <row r="144" spans="1:9" ht="19.5" hidden="1" customHeight="1" x14ac:dyDescent="0.2">
      <c r="A144" s="105" t="str">
        <f>IF(D144=1,COUNTIF($D$10:D144,1)," ")</f>
        <v xml:space="preserve"> </v>
      </c>
      <c r="B144" s="106" t="str">
        <f>COPY!AR136</f>
        <v/>
      </c>
      <c r="C144" s="107">
        <f>COPY!AC136</f>
        <v>0</v>
      </c>
      <c r="D144" s="107" t="str">
        <f>IF(LEN(Table1722[[#This Row],[Uraian]])&gt;2,1," ")</f>
        <v xml:space="preserve"> </v>
      </c>
      <c r="E144" s="113" t="str">
        <f>IF(Table1722[[#This Row],[Lawan Transaksi]]="CV AGUNG KARYA",COUNTIF($I$10:I144,"CV AGUNG KARYA")," ")</f>
        <v xml:space="preserve"> </v>
      </c>
      <c r="F144" s="107" t="str">
        <f>IF(LEN(Table1722[[#This Row],[Uraian]])&gt;2,TRIM(RIGHT(SUBSTITUTE(TRIM(C144)," ",REPT(" ",255)),255))," ")</f>
        <v xml:space="preserve"> </v>
      </c>
      <c r="G144" s="110">
        <f>COPY!Z136</f>
        <v>0</v>
      </c>
      <c r="H144" s="111" t="str">
        <f>IFERROR(VLOOKUP(Table1722[[#This Row],[Bukti]],'Un nOTA'!$A$4:$K$5003,10,FALSE),"")</f>
        <v/>
      </c>
      <c r="I144" s="112" t="str">
        <f>IFERROR(VLOOKUP(Table1722[[#This Row],[Bukti]],Table13[#Data],11,FALSE),"")</f>
        <v/>
      </c>
    </row>
    <row r="145" spans="1:9" ht="19.5" hidden="1" customHeight="1" x14ac:dyDescent="0.2">
      <c r="A145" s="105" t="str">
        <f>IF(D145=1,COUNTIF($D$10:D145,1)," ")</f>
        <v xml:space="preserve"> </v>
      </c>
      <c r="B145" s="106" t="str">
        <f>COPY!AR137</f>
        <v/>
      </c>
      <c r="C145" s="107">
        <f>COPY!AC137</f>
        <v>0</v>
      </c>
      <c r="D145" s="107" t="str">
        <f>IF(LEN(Table1722[[#This Row],[Uraian]])&gt;2,1," ")</f>
        <v xml:space="preserve"> </v>
      </c>
      <c r="E145" s="113" t="str">
        <f>IF(Table1722[[#This Row],[Lawan Transaksi]]="CV AGUNG KARYA",COUNTIF($I$10:I145,"CV AGUNG KARYA")," ")</f>
        <v xml:space="preserve"> </v>
      </c>
      <c r="F145" s="107" t="str">
        <f>IF(LEN(Table1722[[#This Row],[Uraian]])&gt;2,TRIM(RIGHT(SUBSTITUTE(TRIM(C145)," ",REPT(" ",255)),255))," ")</f>
        <v xml:space="preserve"> </v>
      </c>
      <c r="G145" s="110">
        <f>COPY!Z137</f>
        <v>0</v>
      </c>
      <c r="H145" s="111" t="str">
        <f>IFERROR(VLOOKUP(Table1722[[#This Row],[Bukti]],'Un nOTA'!$A$4:$K$5003,10,FALSE),"")</f>
        <v/>
      </c>
      <c r="I145" s="112" t="str">
        <f>IFERROR(VLOOKUP(Table1722[[#This Row],[Bukti]],Table13[#Data],11,FALSE),"")</f>
        <v/>
      </c>
    </row>
    <row r="146" spans="1:9" ht="19.5" hidden="1" customHeight="1" x14ac:dyDescent="0.2">
      <c r="A146" s="105" t="str">
        <f>IF(D146=1,COUNTIF($D$10:D146,1)," ")</f>
        <v xml:space="preserve"> </v>
      </c>
      <c r="B146" s="106" t="str">
        <f>COPY!AR138</f>
        <v/>
      </c>
      <c r="C146" s="107">
        <f>COPY!AC138</f>
        <v>0</v>
      </c>
      <c r="D146" s="107" t="str">
        <f>IF(LEN(Table1722[[#This Row],[Uraian]])&gt;2,1," ")</f>
        <v xml:space="preserve"> </v>
      </c>
      <c r="E146" s="113" t="str">
        <f>IF(Table1722[[#This Row],[Lawan Transaksi]]="CV AGUNG KARYA",COUNTIF($I$10:I146,"CV AGUNG KARYA")," ")</f>
        <v xml:space="preserve"> </v>
      </c>
      <c r="F146" s="107" t="str">
        <f>IF(LEN(Table1722[[#This Row],[Uraian]])&gt;2,TRIM(RIGHT(SUBSTITUTE(TRIM(C146)," ",REPT(" ",255)),255))," ")</f>
        <v xml:space="preserve"> </v>
      </c>
      <c r="G146" s="110">
        <f>COPY!Z138</f>
        <v>0</v>
      </c>
      <c r="H146" s="111" t="str">
        <f>IFERROR(VLOOKUP(Table1722[[#This Row],[Bukti]],'Un nOTA'!$A$4:$K$5003,10,FALSE),"")</f>
        <v/>
      </c>
      <c r="I146" s="112" t="str">
        <f>IFERROR(VLOOKUP(Table1722[[#This Row],[Bukti]],Table13[#Data],11,FALSE),"")</f>
        <v/>
      </c>
    </row>
    <row r="147" spans="1:9" ht="19.5" hidden="1" customHeight="1" x14ac:dyDescent="0.2">
      <c r="A147" s="105" t="str">
        <f>IF(D147=1,COUNTIF($D$10:D147,1)," ")</f>
        <v xml:space="preserve"> </v>
      </c>
      <c r="B147" s="106" t="str">
        <f>COPY!AR139</f>
        <v/>
      </c>
      <c r="C147" s="107">
        <f>COPY!AC139</f>
        <v>0</v>
      </c>
      <c r="D147" s="107" t="str">
        <f>IF(LEN(Table1722[[#This Row],[Uraian]])&gt;2,1," ")</f>
        <v xml:space="preserve"> </v>
      </c>
      <c r="E147" s="113" t="str">
        <f>IF(Table1722[[#This Row],[Lawan Transaksi]]="CV AGUNG KARYA",COUNTIF($I$10:I147,"CV AGUNG KARYA")," ")</f>
        <v xml:space="preserve"> </v>
      </c>
      <c r="F147" s="107" t="str">
        <f>IF(LEN(Table1722[[#This Row],[Uraian]])&gt;2,TRIM(RIGHT(SUBSTITUTE(TRIM(C147)," ",REPT(" ",255)),255))," ")</f>
        <v xml:space="preserve"> </v>
      </c>
      <c r="G147" s="110">
        <f>COPY!Z139</f>
        <v>0</v>
      </c>
      <c r="H147" s="111" t="str">
        <f>IFERROR(VLOOKUP(Table1722[[#This Row],[Bukti]],'Un nOTA'!$A$4:$K$5003,10,FALSE),"")</f>
        <v/>
      </c>
      <c r="I147" s="112" t="str">
        <f>IFERROR(VLOOKUP(Table1722[[#This Row],[Bukti]],Table13[#Data],11,FALSE),"")</f>
        <v/>
      </c>
    </row>
    <row r="148" spans="1:9" ht="19.5" hidden="1" customHeight="1" x14ac:dyDescent="0.2">
      <c r="A148" s="105" t="str">
        <f>IF(D148=1,COUNTIF($D$10:D148,1)," ")</f>
        <v xml:space="preserve"> </v>
      </c>
      <c r="B148" s="106" t="str">
        <f>COPY!AR140</f>
        <v/>
      </c>
      <c r="C148" s="107">
        <f>COPY!AC140</f>
        <v>0</v>
      </c>
      <c r="D148" s="107" t="str">
        <f>IF(LEN(Table1722[[#This Row],[Uraian]])&gt;2,1," ")</f>
        <v xml:space="preserve"> </v>
      </c>
      <c r="E148" s="113" t="str">
        <f>IF(Table1722[[#This Row],[Lawan Transaksi]]="CV AGUNG KARYA",COUNTIF($I$10:I148,"CV AGUNG KARYA")," ")</f>
        <v xml:space="preserve"> </v>
      </c>
      <c r="F148" s="107" t="str">
        <f>IF(LEN(Table1722[[#This Row],[Uraian]])&gt;2,TRIM(RIGHT(SUBSTITUTE(TRIM(C148)," ",REPT(" ",255)),255))," ")</f>
        <v xml:space="preserve"> </v>
      </c>
      <c r="G148" s="110">
        <f>COPY!Z140</f>
        <v>0</v>
      </c>
      <c r="H148" s="111" t="str">
        <f>IFERROR(VLOOKUP(Table1722[[#This Row],[Bukti]],'Un nOTA'!$A$4:$K$5003,10,FALSE),"")</f>
        <v/>
      </c>
      <c r="I148" s="112" t="str">
        <f>IFERROR(VLOOKUP(Table1722[[#This Row],[Bukti]],Table13[#Data],11,FALSE),"")</f>
        <v/>
      </c>
    </row>
    <row r="149" spans="1:9" ht="19.5" hidden="1" customHeight="1" x14ac:dyDescent="0.2">
      <c r="A149" s="105" t="str">
        <f>IF(D149=1,COUNTIF($D$10:D149,1)," ")</f>
        <v xml:space="preserve"> </v>
      </c>
      <c r="B149" s="106" t="str">
        <f>COPY!AR141</f>
        <v/>
      </c>
      <c r="C149" s="107">
        <f>COPY!AC141</f>
        <v>0</v>
      </c>
      <c r="D149" s="107" t="str">
        <f>IF(LEN(Table1722[[#This Row],[Uraian]])&gt;2,1," ")</f>
        <v xml:space="preserve"> </v>
      </c>
      <c r="E149" s="113" t="str">
        <f>IF(Table1722[[#This Row],[Lawan Transaksi]]="CV AGUNG KARYA",COUNTIF($I$10:I149,"CV AGUNG KARYA")," ")</f>
        <v xml:space="preserve"> </v>
      </c>
      <c r="F149" s="107" t="str">
        <f>IF(LEN(Table1722[[#This Row],[Uraian]])&gt;2,TRIM(RIGHT(SUBSTITUTE(TRIM(C149)," ",REPT(" ",255)),255))," ")</f>
        <v xml:space="preserve"> </v>
      </c>
      <c r="G149" s="110">
        <f>COPY!Z141</f>
        <v>0</v>
      </c>
      <c r="H149" s="111" t="str">
        <f>IFERROR(VLOOKUP(Table1722[[#This Row],[Bukti]],'Un nOTA'!$A$4:$K$5003,10,FALSE),"")</f>
        <v/>
      </c>
      <c r="I149" s="112" t="str">
        <f>IFERROR(VLOOKUP(Table1722[[#This Row],[Bukti]],Table13[#Data],11,FALSE),"")</f>
        <v/>
      </c>
    </row>
    <row r="150" spans="1:9" ht="19.5" hidden="1" customHeight="1" x14ac:dyDescent="0.2">
      <c r="A150" s="105" t="str">
        <f>IF(D150=1,COUNTIF($D$10:D150,1)," ")</f>
        <v xml:space="preserve"> </v>
      </c>
      <c r="B150" s="106" t="str">
        <f>COPY!AR142</f>
        <v/>
      </c>
      <c r="C150" s="107">
        <f>COPY!AC142</f>
        <v>0</v>
      </c>
      <c r="D150" s="107" t="str">
        <f>IF(LEN(Table1722[[#This Row],[Uraian]])&gt;2,1," ")</f>
        <v xml:space="preserve"> </v>
      </c>
      <c r="E150" s="113" t="str">
        <f>IF(Table1722[[#This Row],[Lawan Transaksi]]="CV AGUNG KARYA",COUNTIF($I$10:I150,"CV AGUNG KARYA")," ")</f>
        <v xml:space="preserve"> </v>
      </c>
      <c r="F150" s="107" t="str">
        <f>IF(LEN(Table1722[[#This Row],[Uraian]])&gt;2,TRIM(RIGHT(SUBSTITUTE(TRIM(C150)," ",REPT(" ",255)),255))," ")</f>
        <v xml:space="preserve"> </v>
      </c>
      <c r="G150" s="110">
        <f>COPY!Z142</f>
        <v>0</v>
      </c>
      <c r="H150" s="111" t="str">
        <f>IFERROR(VLOOKUP(Table1722[[#This Row],[Bukti]],'Un nOTA'!$A$4:$K$5003,10,FALSE),"")</f>
        <v/>
      </c>
      <c r="I150" s="112" t="str">
        <f>IFERROR(VLOOKUP(Table1722[[#This Row],[Bukti]],Table13[#Data],11,FALSE),"")</f>
        <v/>
      </c>
    </row>
    <row r="151" spans="1:9" ht="19.5" hidden="1" customHeight="1" x14ac:dyDescent="0.2">
      <c r="A151" s="105" t="str">
        <f>IF(D151=1,COUNTIF($D$10:D151,1)," ")</f>
        <v xml:space="preserve"> </v>
      </c>
      <c r="B151" s="106" t="str">
        <f>COPY!AR143</f>
        <v/>
      </c>
      <c r="C151" s="107">
        <f>COPY!AC143</f>
        <v>0</v>
      </c>
      <c r="D151" s="107" t="str">
        <f>IF(LEN(Table1722[[#This Row],[Uraian]])&gt;2,1," ")</f>
        <v xml:space="preserve"> </v>
      </c>
      <c r="E151" s="113" t="str">
        <f>IF(Table1722[[#This Row],[Lawan Transaksi]]="CV AGUNG KARYA",COUNTIF($I$10:I151,"CV AGUNG KARYA")," ")</f>
        <v xml:space="preserve"> </v>
      </c>
      <c r="F151" s="107" t="str">
        <f>IF(LEN(Table1722[[#This Row],[Uraian]])&gt;2,TRIM(RIGHT(SUBSTITUTE(TRIM(C151)," ",REPT(" ",255)),255))," ")</f>
        <v xml:space="preserve"> </v>
      </c>
      <c r="G151" s="110">
        <f>COPY!Z143</f>
        <v>0</v>
      </c>
      <c r="H151" s="111" t="str">
        <f>IFERROR(VLOOKUP(Table1722[[#This Row],[Bukti]],'Un nOTA'!$A$4:$K$5003,10,FALSE),"")</f>
        <v/>
      </c>
      <c r="I151" s="112" t="str">
        <f>IFERROR(VLOOKUP(Table1722[[#This Row],[Bukti]],Table13[#Data],11,FALSE),"")</f>
        <v/>
      </c>
    </row>
    <row r="152" spans="1:9" ht="19.5" hidden="1" customHeight="1" x14ac:dyDescent="0.2">
      <c r="A152" s="105" t="str">
        <f>IF(D152=1,COUNTIF($D$10:D152,1)," ")</f>
        <v xml:space="preserve"> </v>
      </c>
      <c r="B152" s="106" t="str">
        <f>COPY!AR144</f>
        <v/>
      </c>
      <c r="C152" s="107">
        <f>COPY!AC144</f>
        <v>0</v>
      </c>
      <c r="D152" s="107" t="str">
        <f>IF(LEN(Table1722[[#This Row],[Uraian]])&gt;2,1," ")</f>
        <v xml:space="preserve"> </v>
      </c>
      <c r="E152" s="113" t="str">
        <f>IF(Table1722[[#This Row],[Lawan Transaksi]]="CV AGUNG KARYA",COUNTIF($I$10:I152,"CV AGUNG KARYA")," ")</f>
        <v xml:space="preserve"> </v>
      </c>
      <c r="F152" s="107" t="str">
        <f>IF(LEN(Table1722[[#This Row],[Uraian]])&gt;2,TRIM(RIGHT(SUBSTITUTE(TRIM(C152)," ",REPT(" ",255)),255))," ")</f>
        <v xml:space="preserve"> </v>
      </c>
      <c r="G152" s="110">
        <f>COPY!Z144</f>
        <v>0</v>
      </c>
      <c r="H152" s="111" t="str">
        <f>IFERROR(VLOOKUP(Table1722[[#This Row],[Bukti]],'Un nOTA'!$A$4:$K$5003,10,FALSE),"")</f>
        <v/>
      </c>
      <c r="I152" s="112" t="str">
        <f>IFERROR(VLOOKUP(Table1722[[#This Row],[Bukti]],Table13[#Data],11,FALSE),"")</f>
        <v/>
      </c>
    </row>
    <row r="153" spans="1:9" ht="19.5" hidden="1" customHeight="1" x14ac:dyDescent="0.2">
      <c r="A153" s="105" t="str">
        <f>IF(D153=1,COUNTIF($D$10:D153,1)," ")</f>
        <v xml:space="preserve"> </v>
      </c>
      <c r="B153" s="106" t="str">
        <f>COPY!AR145</f>
        <v/>
      </c>
      <c r="C153" s="107">
        <f>COPY!AC145</f>
        <v>0</v>
      </c>
      <c r="D153" s="107" t="str">
        <f>IF(LEN(Table1722[[#This Row],[Uraian]])&gt;2,1," ")</f>
        <v xml:space="preserve"> </v>
      </c>
      <c r="E153" s="113" t="str">
        <f>IF(Table1722[[#This Row],[Lawan Transaksi]]="CV AGUNG KARYA",COUNTIF($I$10:I153,"CV AGUNG KARYA")," ")</f>
        <v xml:space="preserve"> </v>
      </c>
      <c r="F153" s="107" t="str">
        <f>IF(LEN(Table1722[[#This Row],[Uraian]])&gt;2,TRIM(RIGHT(SUBSTITUTE(TRIM(C153)," ",REPT(" ",255)),255))," ")</f>
        <v xml:space="preserve"> </v>
      </c>
      <c r="G153" s="110">
        <f>COPY!Z145</f>
        <v>0</v>
      </c>
      <c r="H153" s="111" t="str">
        <f>IFERROR(VLOOKUP(Table1722[[#This Row],[Bukti]],'Un nOTA'!$A$4:$K$5003,10,FALSE),"")</f>
        <v/>
      </c>
      <c r="I153" s="112" t="str">
        <f>IFERROR(VLOOKUP(Table1722[[#This Row],[Bukti]],Table13[#Data],11,FALSE),"")</f>
        <v/>
      </c>
    </row>
    <row r="154" spans="1:9" ht="19.5" hidden="1" customHeight="1" x14ac:dyDescent="0.2">
      <c r="A154" s="105" t="str">
        <f>IF(D154=1,COUNTIF($D$10:D154,1)," ")</f>
        <v xml:space="preserve"> </v>
      </c>
      <c r="B154" s="106" t="str">
        <f>COPY!AR146</f>
        <v/>
      </c>
      <c r="C154" s="107">
        <f>COPY!AC146</f>
        <v>0</v>
      </c>
      <c r="D154" s="107" t="str">
        <f>IF(LEN(Table1722[[#This Row],[Uraian]])&gt;2,1," ")</f>
        <v xml:space="preserve"> </v>
      </c>
      <c r="E154" s="113" t="str">
        <f>IF(Table1722[[#This Row],[Lawan Transaksi]]="CV AGUNG KARYA",COUNTIF($I$10:I154,"CV AGUNG KARYA")," ")</f>
        <v xml:space="preserve"> </v>
      </c>
      <c r="F154" s="107" t="str">
        <f>IF(LEN(Table1722[[#This Row],[Uraian]])&gt;2,TRIM(RIGHT(SUBSTITUTE(TRIM(C154)," ",REPT(" ",255)),255))," ")</f>
        <v xml:space="preserve"> </v>
      </c>
      <c r="G154" s="110">
        <f>COPY!Z146</f>
        <v>0</v>
      </c>
      <c r="H154" s="111" t="str">
        <f>IFERROR(VLOOKUP(Table1722[[#This Row],[Bukti]],'Un nOTA'!$A$4:$K$5003,10,FALSE),"")</f>
        <v/>
      </c>
      <c r="I154" s="112" t="str">
        <f>IFERROR(VLOOKUP(Table1722[[#This Row],[Bukti]],Table13[#Data],11,FALSE),"")</f>
        <v/>
      </c>
    </row>
    <row r="155" spans="1:9" ht="19.5" hidden="1" customHeight="1" x14ac:dyDescent="0.2">
      <c r="A155" s="105" t="str">
        <f>IF(D155=1,COUNTIF($D$10:D155,1)," ")</f>
        <v xml:space="preserve"> </v>
      </c>
      <c r="B155" s="106" t="str">
        <f>COPY!AR147</f>
        <v/>
      </c>
      <c r="C155" s="107">
        <f>COPY!AC147</f>
        <v>0</v>
      </c>
      <c r="D155" s="107" t="str">
        <f>IF(LEN(Table1722[[#This Row],[Uraian]])&gt;2,1," ")</f>
        <v xml:space="preserve"> </v>
      </c>
      <c r="E155" s="113" t="str">
        <f>IF(Table1722[[#This Row],[Lawan Transaksi]]="CV AGUNG KARYA",COUNTIF($I$10:I155,"CV AGUNG KARYA")," ")</f>
        <v xml:space="preserve"> </v>
      </c>
      <c r="F155" s="107" t="str">
        <f>IF(LEN(Table1722[[#This Row],[Uraian]])&gt;2,TRIM(RIGHT(SUBSTITUTE(TRIM(C155)," ",REPT(" ",255)),255))," ")</f>
        <v xml:space="preserve"> </v>
      </c>
      <c r="G155" s="110">
        <f>COPY!Z147</f>
        <v>0</v>
      </c>
      <c r="H155" s="111" t="str">
        <f>IFERROR(VLOOKUP(Table1722[[#This Row],[Bukti]],'Un nOTA'!$A$4:$K$5003,10,FALSE),"")</f>
        <v/>
      </c>
      <c r="I155" s="112" t="str">
        <f>IFERROR(VLOOKUP(Table1722[[#This Row],[Bukti]],Table13[#Data],11,FALSE),"")</f>
        <v/>
      </c>
    </row>
    <row r="156" spans="1:9" ht="19.5" hidden="1" customHeight="1" x14ac:dyDescent="0.2">
      <c r="A156" s="105" t="str">
        <f>IF(D156=1,COUNTIF($D$10:D156,1)," ")</f>
        <v xml:space="preserve"> </v>
      </c>
      <c r="B156" s="106" t="str">
        <f>COPY!AR148</f>
        <v/>
      </c>
      <c r="C156" s="107">
        <f>COPY!AC148</f>
        <v>0</v>
      </c>
      <c r="D156" s="107" t="str">
        <f>IF(LEN(Table1722[[#This Row],[Uraian]])&gt;2,1," ")</f>
        <v xml:space="preserve"> </v>
      </c>
      <c r="E156" s="113" t="str">
        <f>IF(Table1722[[#This Row],[Lawan Transaksi]]="CV AGUNG KARYA",COUNTIF($I$10:I156,"CV AGUNG KARYA")," ")</f>
        <v xml:space="preserve"> </v>
      </c>
      <c r="F156" s="107" t="str">
        <f>IF(LEN(Table1722[[#This Row],[Uraian]])&gt;2,TRIM(RIGHT(SUBSTITUTE(TRIM(C156)," ",REPT(" ",255)),255))," ")</f>
        <v xml:space="preserve"> </v>
      </c>
      <c r="G156" s="110">
        <f>COPY!Z148</f>
        <v>0</v>
      </c>
      <c r="H156" s="111" t="str">
        <f>IFERROR(VLOOKUP(Table1722[[#This Row],[Bukti]],'Un nOTA'!$A$4:$K$5003,10,FALSE),"")</f>
        <v/>
      </c>
      <c r="I156" s="112" t="str">
        <f>IFERROR(VLOOKUP(Table1722[[#This Row],[Bukti]],Table13[#Data],11,FALSE),"")</f>
        <v/>
      </c>
    </row>
    <row r="157" spans="1:9" ht="19.5" hidden="1" customHeight="1" x14ac:dyDescent="0.2">
      <c r="A157" s="105" t="str">
        <f>IF(D157=1,COUNTIF($D$10:D157,1)," ")</f>
        <v xml:space="preserve"> </v>
      </c>
      <c r="B157" s="106" t="str">
        <f>COPY!AR149</f>
        <v/>
      </c>
      <c r="C157" s="107">
        <f>COPY!AC149</f>
        <v>0</v>
      </c>
      <c r="D157" s="107" t="str">
        <f>IF(LEN(Table1722[[#This Row],[Uraian]])&gt;2,1," ")</f>
        <v xml:space="preserve"> </v>
      </c>
      <c r="E157" s="113" t="str">
        <f>IF(Table1722[[#This Row],[Lawan Transaksi]]="CV AGUNG KARYA",COUNTIF($I$10:I157,"CV AGUNG KARYA")," ")</f>
        <v xml:space="preserve"> </v>
      </c>
      <c r="F157" s="107" t="str">
        <f>IF(LEN(Table1722[[#This Row],[Uraian]])&gt;2,TRIM(RIGHT(SUBSTITUTE(TRIM(C157)," ",REPT(" ",255)),255))," ")</f>
        <v xml:space="preserve"> </v>
      </c>
      <c r="G157" s="110">
        <f>COPY!Z149</f>
        <v>0</v>
      </c>
      <c r="H157" s="111" t="str">
        <f>IFERROR(VLOOKUP(Table1722[[#This Row],[Bukti]],'Un nOTA'!$A$4:$K$5003,10,FALSE),"")</f>
        <v/>
      </c>
      <c r="I157" s="112" t="str">
        <f>IFERROR(VLOOKUP(Table1722[[#This Row],[Bukti]],Table13[#Data],11,FALSE),"")</f>
        <v/>
      </c>
    </row>
    <row r="158" spans="1:9" ht="19.5" hidden="1" customHeight="1" x14ac:dyDescent="0.2">
      <c r="A158" s="105" t="str">
        <f>IF(D158=1,COUNTIF($D$10:D158,1)," ")</f>
        <v xml:space="preserve"> </v>
      </c>
      <c r="B158" s="106" t="str">
        <f>COPY!AR150</f>
        <v/>
      </c>
      <c r="C158" s="107">
        <f>COPY!AC150</f>
        <v>0</v>
      </c>
      <c r="D158" s="107" t="str">
        <f>IF(LEN(Table1722[[#This Row],[Uraian]])&gt;2,1," ")</f>
        <v xml:space="preserve"> </v>
      </c>
      <c r="E158" s="113" t="str">
        <f>IF(Table1722[[#This Row],[Lawan Transaksi]]="CV AGUNG KARYA",COUNTIF($I$10:I158,"CV AGUNG KARYA")," ")</f>
        <v xml:space="preserve"> </v>
      </c>
      <c r="F158" s="107" t="str">
        <f>IF(LEN(Table1722[[#This Row],[Uraian]])&gt;2,TRIM(RIGHT(SUBSTITUTE(TRIM(C158)," ",REPT(" ",255)),255))," ")</f>
        <v xml:space="preserve"> </v>
      </c>
      <c r="G158" s="110">
        <f>COPY!Z150</f>
        <v>0</v>
      </c>
      <c r="H158" s="111" t="str">
        <f>IFERROR(VLOOKUP(Table1722[[#This Row],[Bukti]],'Un nOTA'!$A$4:$K$5003,10,FALSE),"")</f>
        <v/>
      </c>
      <c r="I158" s="112" t="str">
        <f>IFERROR(VLOOKUP(Table1722[[#This Row],[Bukti]],Table13[#Data],11,FALSE),"")</f>
        <v/>
      </c>
    </row>
    <row r="159" spans="1:9" ht="19.5" hidden="1" customHeight="1" x14ac:dyDescent="0.2">
      <c r="A159" s="105" t="str">
        <f>IF(D159=1,COUNTIF($D$10:D159,1)," ")</f>
        <v xml:space="preserve"> </v>
      </c>
      <c r="B159" s="106" t="str">
        <f>COPY!AR151</f>
        <v/>
      </c>
      <c r="C159" s="107">
        <f>COPY!AC151</f>
        <v>0</v>
      </c>
      <c r="D159" s="107" t="str">
        <f>IF(LEN(Table1722[[#This Row],[Uraian]])&gt;2,1," ")</f>
        <v xml:space="preserve"> </v>
      </c>
      <c r="E159" s="113" t="str">
        <f>IF(Table1722[[#This Row],[Lawan Transaksi]]="CV AGUNG KARYA",COUNTIF($I$10:I159,"CV AGUNG KARYA")," ")</f>
        <v xml:space="preserve"> </v>
      </c>
      <c r="F159" s="107" t="str">
        <f>IF(LEN(Table1722[[#This Row],[Uraian]])&gt;2,TRIM(RIGHT(SUBSTITUTE(TRIM(C159)," ",REPT(" ",255)),255))," ")</f>
        <v xml:space="preserve"> </v>
      </c>
      <c r="G159" s="110">
        <f>COPY!Z151</f>
        <v>0</v>
      </c>
      <c r="H159" s="111" t="str">
        <f>IFERROR(VLOOKUP(Table1722[[#This Row],[Bukti]],'Un nOTA'!$A$4:$K$5003,10,FALSE),"")</f>
        <v/>
      </c>
      <c r="I159" s="112" t="str">
        <f>IFERROR(VLOOKUP(Table1722[[#This Row],[Bukti]],Table13[#Data],11,FALSE),"")</f>
        <v/>
      </c>
    </row>
    <row r="160" spans="1:9" ht="19.5" hidden="1" customHeight="1" x14ac:dyDescent="0.2">
      <c r="A160" s="105" t="str">
        <f>IF(D160=1,COUNTIF($D$10:D160,1)," ")</f>
        <v xml:space="preserve"> </v>
      </c>
      <c r="B160" s="106" t="str">
        <f>COPY!AR152</f>
        <v/>
      </c>
      <c r="C160" s="107">
        <f>COPY!AC152</f>
        <v>0</v>
      </c>
      <c r="D160" s="107" t="str">
        <f>IF(LEN(Table1722[[#This Row],[Uraian]])&gt;2,1," ")</f>
        <v xml:space="preserve"> </v>
      </c>
      <c r="E160" s="113" t="str">
        <f>IF(Table1722[[#This Row],[Lawan Transaksi]]="CV AGUNG KARYA",COUNTIF($I$10:I160,"CV AGUNG KARYA")," ")</f>
        <v xml:space="preserve"> </v>
      </c>
      <c r="F160" s="107" t="str">
        <f>IF(LEN(Table1722[[#This Row],[Uraian]])&gt;2,TRIM(RIGHT(SUBSTITUTE(TRIM(C160)," ",REPT(" ",255)),255))," ")</f>
        <v xml:space="preserve"> </v>
      </c>
      <c r="G160" s="110">
        <f>COPY!Z152</f>
        <v>0</v>
      </c>
      <c r="H160" s="111" t="str">
        <f>IFERROR(VLOOKUP(Table1722[[#This Row],[Bukti]],'Un nOTA'!$A$4:$K$5003,10,FALSE),"")</f>
        <v/>
      </c>
      <c r="I160" s="112" t="str">
        <f>IFERROR(VLOOKUP(Table1722[[#This Row],[Bukti]],Table13[#Data],11,FALSE),"")</f>
        <v/>
      </c>
    </row>
    <row r="161" spans="1:9" ht="19.5" hidden="1" customHeight="1" x14ac:dyDescent="0.2">
      <c r="A161" s="105" t="str">
        <f>IF(D161=1,COUNTIF($D$10:D161,1)," ")</f>
        <v xml:space="preserve"> </v>
      </c>
      <c r="B161" s="106" t="str">
        <f>COPY!AR153</f>
        <v/>
      </c>
      <c r="C161" s="107">
        <f>COPY!AC153</f>
        <v>0</v>
      </c>
      <c r="D161" s="107" t="str">
        <f>IF(LEN(Table1722[[#This Row],[Uraian]])&gt;2,1," ")</f>
        <v xml:space="preserve"> </v>
      </c>
      <c r="E161" s="113" t="str">
        <f>IF(Table1722[[#This Row],[Lawan Transaksi]]="CV AGUNG KARYA",COUNTIF($I$10:I161,"CV AGUNG KARYA")," ")</f>
        <v xml:space="preserve"> </v>
      </c>
      <c r="F161" s="107" t="str">
        <f>IF(LEN(Table1722[[#This Row],[Uraian]])&gt;2,TRIM(RIGHT(SUBSTITUTE(TRIM(C161)," ",REPT(" ",255)),255))," ")</f>
        <v xml:space="preserve"> </v>
      </c>
      <c r="G161" s="110">
        <f>COPY!Z153</f>
        <v>0</v>
      </c>
      <c r="H161" s="111" t="str">
        <f>IFERROR(VLOOKUP(Table1722[[#This Row],[Bukti]],'Un nOTA'!$A$4:$K$5003,10,FALSE),"")</f>
        <v/>
      </c>
      <c r="I161" s="112" t="str">
        <f>IFERROR(VLOOKUP(Table1722[[#This Row],[Bukti]],Table13[#Data],11,FALSE),"")</f>
        <v/>
      </c>
    </row>
    <row r="162" spans="1:9" ht="19.5" hidden="1" customHeight="1" x14ac:dyDescent="0.2">
      <c r="A162" s="105" t="str">
        <f>IF(D162=1,COUNTIF($D$10:D162,1)," ")</f>
        <v xml:space="preserve"> </v>
      </c>
      <c r="B162" s="106" t="str">
        <f>COPY!AR154</f>
        <v/>
      </c>
      <c r="C162" s="107">
        <f>COPY!AC154</f>
        <v>0</v>
      </c>
      <c r="D162" s="107" t="str">
        <f>IF(LEN(Table1722[[#This Row],[Uraian]])&gt;2,1," ")</f>
        <v xml:space="preserve"> </v>
      </c>
      <c r="E162" s="113" t="str">
        <f>IF(Table1722[[#This Row],[Lawan Transaksi]]="CV AGUNG KARYA",COUNTIF($I$10:I162,"CV AGUNG KARYA")," ")</f>
        <v xml:space="preserve"> </v>
      </c>
      <c r="F162" s="107" t="str">
        <f>IF(LEN(Table1722[[#This Row],[Uraian]])&gt;2,TRIM(RIGHT(SUBSTITUTE(TRIM(C162)," ",REPT(" ",255)),255))," ")</f>
        <v xml:space="preserve"> </v>
      </c>
      <c r="G162" s="110">
        <f>COPY!Z154</f>
        <v>0</v>
      </c>
      <c r="H162" s="111" t="str">
        <f>IFERROR(VLOOKUP(Table1722[[#This Row],[Bukti]],'Un nOTA'!$A$4:$K$5003,10,FALSE),"")</f>
        <v/>
      </c>
      <c r="I162" s="112" t="str">
        <f>IFERROR(VLOOKUP(Table1722[[#This Row],[Bukti]],Table13[#Data],11,FALSE),"")</f>
        <v/>
      </c>
    </row>
    <row r="163" spans="1:9" ht="19.5" hidden="1" customHeight="1" x14ac:dyDescent="0.2">
      <c r="A163" s="105" t="str">
        <f>IF(D163=1,COUNTIF($D$10:D163,1)," ")</f>
        <v xml:space="preserve"> </v>
      </c>
      <c r="B163" s="106" t="str">
        <f>COPY!AR155</f>
        <v/>
      </c>
      <c r="C163" s="107">
        <f>COPY!AC155</f>
        <v>0</v>
      </c>
      <c r="D163" s="107" t="str">
        <f>IF(LEN(Table1722[[#This Row],[Uraian]])&gt;2,1," ")</f>
        <v xml:space="preserve"> </v>
      </c>
      <c r="E163" s="113" t="str">
        <f>IF(Table1722[[#This Row],[Lawan Transaksi]]="CV AGUNG KARYA",COUNTIF($I$10:I163,"CV AGUNG KARYA")," ")</f>
        <v xml:space="preserve"> </v>
      </c>
      <c r="F163" s="107" t="str">
        <f>IF(LEN(Table1722[[#This Row],[Uraian]])&gt;2,TRIM(RIGHT(SUBSTITUTE(TRIM(C163)," ",REPT(" ",255)),255))," ")</f>
        <v xml:space="preserve"> </v>
      </c>
      <c r="G163" s="110">
        <f>COPY!Z155</f>
        <v>0</v>
      </c>
      <c r="H163" s="111" t="str">
        <f>IFERROR(VLOOKUP(Table1722[[#This Row],[Bukti]],'Un nOTA'!$A$4:$K$5003,10,FALSE),"")</f>
        <v/>
      </c>
      <c r="I163" s="112" t="str">
        <f>IFERROR(VLOOKUP(Table1722[[#This Row],[Bukti]],Table13[#Data],11,FALSE),"")</f>
        <v/>
      </c>
    </row>
    <row r="164" spans="1:9" ht="19.5" hidden="1" customHeight="1" x14ac:dyDescent="0.2">
      <c r="A164" s="105" t="str">
        <f>IF(D164=1,COUNTIF($D$10:D164,1)," ")</f>
        <v xml:space="preserve"> </v>
      </c>
      <c r="B164" s="106" t="str">
        <f>COPY!AR156</f>
        <v/>
      </c>
      <c r="C164" s="107">
        <f>COPY!AC156</f>
        <v>0</v>
      </c>
      <c r="D164" s="107" t="str">
        <f>IF(LEN(Table1722[[#This Row],[Uraian]])&gt;2,1," ")</f>
        <v xml:space="preserve"> </v>
      </c>
      <c r="E164" s="113" t="str">
        <f>IF(Table1722[[#This Row],[Lawan Transaksi]]="CV AGUNG KARYA",COUNTIF($I$10:I164,"CV AGUNG KARYA")," ")</f>
        <v xml:space="preserve"> </v>
      </c>
      <c r="F164" s="107" t="str">
        <f>IF(LEN(Table1722[[#This Row],[Uraian]])&gt;2,TRIM(RIGHT(SUBSTITUTE(TRIM(C164)," ",REPT(" ",255)),255))," ")</f>
        <v xml:space="preserve"> </v>
      </c>
      <c r="G164" s="110">
        <f>COPY!Z156</f>
        <v>0</v>
      </c>
      <c r="H164" s="111" t="str">
        <f>IFERROR(VLOOKUP(Table1722[[#This Row],[Bukti]],'Un nOTA'!$A$4:$K$5003,10,FALSE),"")</f>
        <v/>
      </c>
      <c r="I164" s="112" t="str">
        <f>IFERROR(VLOOKUP(Table1722[[#This Row],[Bukti]],Table13[#Data],11,FALSE),"")</f>
        <v/>
      </c>
    </row>
    <row r="165" spans="1:9" ht="19.5" hidden="1" customHeight="1" x14ac:dyDescent="0.2">
      <c r="A165" s="105" t="str">
        <f>IF(D165=1,COUNTIF($D$10:D165,1)," ")</f>
        <v xml:space="preserve"> </v>
      </c>
      <c r="B165" s="106" t="str">
        <f>COPY!AR157</f>
        <v/>
      </c>
      <c r="C165" s="107">
        <f>COPY!AC157</f>
        <v>0</v>
      </c>
      <c r="D165" s="107" t="str">
        <f>IF(LEN(Table1722[[#This Row],[Uraian]])&gt;2,1," ")</f>
        <v xml:space="preserve"> </v>
      </c>
      <c r="E165" s="113" t="str">
        <f>IF(Table1722[[#This Row],[Lawan Transaksi]]="CV AGUNG KARYA",COUNTIF($I$10:I165,"CV AGUNG KARYA")," ")</f>
        <v xml:space="preserve"> </v>
      </c>
      <c r="F165" s="107" t="str">
        <f>IF(LEN(Table1722[[#This Row],[Uraian]])&gt;2,TRIM(RIGHT(SUBSTITUTE(TRIM(C165)," ",REPT(" ",255)),255))," ")</f>
        <v xml:space="preserve"> </v>
      </c>
      <c r="G165" s="110">
        <f>COPY!Z157</f>
        <v>0</v>
      </c>
      <c r="H165" s="111" t="str">
        <f>IFERROR(VLOOKUP(Table1722[[#This Row],[Bukti]],'Un nOTA'!$A$4:$K$5003,10,FALSE),"")</f>
        <v/>
      </c>
      <c r="I165" s="112" t="str">
        <f>IFERROR(VLOOKUP(Table1722[[#This Row],[Bukti]],Table13[#Data],11,FALSE),"")</f>
        <v/>
      </c>
    </row>
    <row r="166" spans="1:9" ht="19.5" hidden="1" customHeight="1" x14ac:dyDescent="0.2">
      <c r="A166" s="105" t="str">
        <f>IF(D166=1,COUNTIF($D$10:D166,1)," ")</f>
        <v xml:space="preserve"> </v>
      </c>
      <c r="B166" s="106" t="str">
        <f>COPY!AR158</f>
        <v/>
      </c>
      <c r="C166" s="107">
        <f>COPY!AC158</f>
        <v>0</v>
      </c>
      <c r="D166" s="107" t="str">
        <f>IF(LEN(Table1722[[#This Row],[Uraian]])&gt;2,1," ")</f>
        <v xml:space="preserve"> </v>
      </c>
      <c r="E166" s="113" t="str">
        <f>IF(Table1722[[#This Row],[Lawan Transaksi]]="CV AGUNG KARYA",COUNTIF($I$10:I166,"CV AGUNG KARYA")," ")</f>
        <v xml:space="preserve"> </v>
      </c>
      <c r="F166" s="107" t="str">
        <f>IF(LEN(Table1722[[#This Row],[Uraian]])&gt;2,TRIM(RIGHT(SUBSTITUTE(TRIM(C166)," ",REPT(" ",255)),255))," ")</f>
        <v xml:space="preserve"> </v>
      </c>
      <c r="G166" s="110">
        <f>COPY!Z158</f>
        <v>0</v>
      </c>
      <c r="H166" s="111" t="str">
        <f>IFERROR(VLOOKUP(Table1722[[#This Row],[Bukti]],'Un nOTA'!$A$4:$K$5003,10,FALSE),"")</f>
        <v/>
      </c>
      <c r="I166" s="112" t="str">
        <f>IFERROR(VLOOKUP(Table1722[[#This Row],[Bukti]],Table13[#Data],11,FALSE),"")</f>
        <v/>
      </c>
    </row>
    <row r="167" spans="1:9" ht="19.5" hidden="1" customHeight="1" x14ac:dyDescent="0.2">
      <c r="A167" s="105" t="str">
        <f>IF(D167=1,COUNTIF($D$10:D167,1)," ")</f>
        <v xml:space="preserve"> </v>
      </c>
      <c r="B167" s="106" t="str">
        <f>COPY!AR159</f>
        <v/>
      </c>
      <c r="C167" s="107">
        <f>COPY!AC159</f>
        <v>0</v>
      </c>
      <c r="D167" s="107" t="str">
        <f>IF(LEN(Table1722[[#This Row],[Uraian]])&gt;2,1," ")</f>
        <v xml:space="preserve"> </v>
      </c>
      <c r="E167" s="113" t="str">
        <f>IF(Table1722[[#This Row],[Lawan Transaksi]]="CV AGUNG KARYA",COUNTIF($I$10:I167,"CV AGUNG KARYA")," ")</f>
        <v xml:space="preserve"> </v>
      </c>
      <c r="F167" s="107" t="str">
        <f>IF(LEN(Table1722[[#This Row],[Uraian]])&gt;2,TRIM(RIGHT(SUBSTITUTE(TRIM(C167)," ",REPT(" ",255)),255))," ")</f>
        <v xml:space="preserve"> </v>
      </c>
      <c r="G167" s="110">
        <f>COPY!Z159</f>
        <v>0</v>
      </c>
      <c r="H167" s="111" t="str">
        <f>IFERROR(VLOOKUP(Table1722[[#This Row],[Bukti]],'Un nOTA'!$A$4:$K$5003,10,FALSE),"")</f>
        <v/>
      </c>
      <c r="I167" s="112" t="str">
        <f>IFERROR(VLOOKUP(Table1722[[#This Row],[Bukti]],Table13[#Data],11,FALSE),"")</f>
        <v/>
      </c>
    </row>
    <row r="168" spans="1:9" ht="19.5" customHeight="1" x14ac:dyDescent="0.2">
      <c r="A168" s="105">
        <f>IF(D168=1,COUNTIF($D$10:D168,1)," ")</f>
        <v>6</v>
      </c>
      <c r="B168" s="106">
        <f>COPY!AR160</f>
        <v>45948</v>
      </c>
      <c r="C168" s="107" t="str">
        <f>COPY!AC160</f>
        <v>Bayar Pajak PPN (11 %) BKK.47</v>
      </c>
      <c r="D168" s="107">
        <f>IF(LEN(Table1722[[#This Row],[Uraian]])&gt;2,1," ")</f>
        <v>1</v>
      </c>
      <c r="E168" s="113" t="str">
        <f>IF(Table1722[[#This Row],[Lawan Transaksi]]="CV AGUNG KARYA",COUNTIF($I$10:I168,"CV AGUNG KARYA")," ")</f>
        <v xml:space="preserve"> </v>
      </c>
      <c r="F168" s="107" t="str">
        <f>IF(LEN(Table1722[[#This Row],[Uraian]])&gt;2,TRIM(RIGHT(SUBSTITUTE(TRIM(C168)," ",REPT(" ",255)),255))," ")</f>
        <v>BKK.47</v>
      </c>
      <c r="G168" s="110">
        <f>COPY!Z160</f>
        <v>242000</v>
      </c>
      <c r="H168" s="111">
        <f>IFERROR(VLOOKUP(Table1722[[#This Row],[Bukti]],'Un nOTA'!$A$4:$K$5003,10,FALSE),"")</f>
        <v>2200000</v>
      </c>
      <c r="I168" s="112" t="str">
        <f>IFERROR(VLOOKUP(Table1722[[#This Row],[Bukti]],Table13[#Data],11,FALSE),"")</f>
        <v/>
      </c>
    </row>
    <row r="169" spans="1:9" ht="19.5" customHeight="1" x14ac:dyDescent="0.2">
      <c r="A169" s="105">
        <f>IF(D169=1,COUNTIF($D$10:D169,1)," ")</f>
        <v>7</v>
      </c>
      <c r="B169" s="106">
        <f>COPY!AR161</f>
        <v>45948</v>
      </c>
      <c r="C169" s="107" t="str">
        <f>COPY!AC161</f>
        <v>Bayar Pajak PPH (1,5 %) BKK.47</v>
      </c>
      <c r="D169" s="107">
        <f>IF(LEN(Table1722[[#This Row],[Uraian]])&gt;2,1," ")</f>
        <v>1</v>
      </c>
      <c r="E169" s="113" t="str">
        <f>IF(Table1722[[#This Row],[Lawan Transaksi]]="CV AGUNG KARYA",COUNTIF($I$10:I169,"CV AGUNG KARYA")," ")</f>
        <v xml:space="preserve"> </v>
      </c>
      <c r="F169" s="107" t="str">
        <f>IF(LEN(Table1722[[#This Row],[Uraian]])&gt;2,TRIM(RIGHT(SUBSTITUTE(TRIM(C169)," ",REPT(" ",255)),255))," ")</f>
        <v>BKK.47</v>
      </c>
      <c r="G169" s="110">
        <f>COPY!Z161</f>
        <v>33000</v>
      </c>
      <c r="H169" s="111">
        <f>IFERROR(VLOOKUP(Table1722[[#This Row],[Bukti]],'Un nOTA'!$A$4:$K$5003,10,FALSE),"")</f>
        <v>2200000</v>
      </c>
      <c r="I169" s="112" t="str">
        <f>IFERROR(VLOOKUP(Table1722[[#This Row],[Bukti]],Table13[#Data],11,FALSE),"")</f>
        <v/>
      </c>
    </row>
    <row r="170" spans="1:9" ht="19.5" hidden="1" customHeight="1" x14ac:dyDescent="0.2">
      <c r="A170" s="105" t="str">
        <f>IF(D170=1,COUNTIF($D$10:D170,1)," ")</f>
        <v xml:space="preserve"> </v>
      </c>
      <c r="B170" s="106" t="str">
        <f>COPY!AR162</f>
        <v/>
      </c>
      <c r="C170" s="107">
        <f>COPY!AC162</f>
        <v>0</v>
      </c>
      <c r="D170" s="107" t="str">
        <f>IF(LEN(Table1722[[#This Row],[Uraian]])&gt;2,1," ")</f>
        <v xml:space="preserve"> </v>
      </c>
      <c r="E170" s="113" t="str">
        <f>IF(Table1722[[#This Row],[Lawan Transaksi]]="CV AGUNG KARYA",COUNTIF($I$10:I170,"CV AGUNG KARYA")," ")</f>
        <v xml:space="preserve"> </v>
      </c>
      <c r="F170" s="107" t="str">
        <f>IF(LEN(Table1722[[#This Row],[Uraian]])&gt;2,TRIM(RIGHT(SUBSTITUTE(TRIM(C170)," ",REPT(" ",255)),255))," ")</f>
        <v xml:space="preserve"> </v>
      </c>
      <c r="G170" s="110">
        <f>COPY!Z162</f>
        <v>0</v>
      </c>
      <c r="H170" s="111" t="str">
        <f>IFERROR(VLOOKUP(Table1722[[#This Row],[Bukti]],'Un nOTA'!$A$4:$K$5003,10,FALSE),"")</f>
        <v/>
      </c>
      <c r="I170" s="112" t="str">
        <f>IFERROR(VLOOKUP(Table1722[[#This Row],[Bukti]],Table13[#Data],11,FALSE),"")</f>
        <v/>
      </c>
    </row>
    <row r="171" spans="1:9" ht="19.5" hidden="1" customHeight="1" x14ac:dyDescent="0.2">
      <c r="A171" s="105" t="str">
        <f>IF(D171=1,COUNTIF($D$10:D171,1)," ")</f>
        <v xml:space="preserve"> </v>
      </c>
      <c r="B171" s="106" t="str">
        <f>COPY!AR163</f>
        <v/>
      </c>
      <c r="C171" s="107">
        <f>COPY!AC163</f>
        <v>0</v>
      </c>
      <c r="D171" s="107" t="str">
        <f>IF(LEN(Table1722[[#This Row],[Uraian]])&gt;2,1," ")</f>
        <v xml:space="preserve"> </v>
      </c>
      <c r="E171" s="113" t="str">
        <f>IF(Table1722[[#This Row],[Lawan Transaksi]]="CV AGUNG KARYA",COUNTIF($I$10:I171,"CV AGUNG KARYA")," ")</f>
        <v xml:space="preserve"> </v>
      </c>
      <c r="F171" s="107" t="str">
        <f>IF(LEN(Table1722[[#This Row],[Uraian]])&gt;2,TRIM(RIGHT(SUBSTITUTE(TRIM(C171)," ",REPT(" ",255)),255))," ")</f>
        <v xml:space="preserve"> </v>
      </c>
      <c r="G171" s="110">
        <f>COPY!Z163</f>
        <v>0</v>
      </c>
      <c r="H171" s="111" t="str">
        <f>IFERROR(VLOOKUP(Table1722[[#This Row],[Bukti]],'Un nOTA'!$A$4:$K$5003,10,FALSE),"")</f>
        <v/>
      </c>
      <c r="I171" s="112" t="str">
        <f>IFERROR(VLOOKUP(Table1722[[#This Row],[Bukti]],Table13[#Data],11,FALSE),"")</f>
        <v/>
      </c>
    </row>
    <row r="172" spans="1:9" ht="19.5" hidden="1" customHeight="1" x14ac:dyDescent="0.2">
      <c r="A172" s="105" t="str">
        <f>IF(D172=1,COUNTIF($D$10:D172,1)," ")</f>
        <v xml:space="preserve"> </v>
      </c>
      <c r="B172" s="106" t="str">
        <f>COPY!AR164</f>
        <v/>
      </c>
      <c r="C172" s="107">
        <f>COPY!AC164</f>
        <v>0</v>
      </c>
      <c r="D172" s="107" t="str">
        <f>IF(LEN(Table1722[[#This Row],[Uraian]])&gt;2,1," ")</f>
        <v xml:space="preserve"> </v>
      </c>
      <c r="E172" s="113" t="str">
        <f>IF(Table1722[[#This Row],[Lawan Transaksi]]="CV AGUNG KARYA",COUNTIF($I$10:I172,"CV AGUNG KARYA")," ")</f>
        <v xml:space="preserve"> </v>
      </c>
      <c r="F172" s="107" t="str">
        <f>IF(LEN(Table1722[[#This Row],[Uraian]])&gt;2,TRIM(RIGHT(SUBSTITUTE(TRIM(C172)," ",REPT(" ",255)),255))," ")</f>
        <v xml:space="preserve"> </v>
      </c>
      <c r="G172" s="110">
        <f>COPY!Z164</f>
        <v>0</v>
      </c>
      <c r="H172" s="111" t="str">
        <f>IFERROR(VLOOKUP(Table1722[[#This Row],[Bukti]],'Un nOTA'!$A$4:$K$5003,10,FALSE),"")</f>
        <v/>
      </c>
      <c r="I172" s="112" t="str">
        <f>IFERROR(VLOOKUP(Table1722[[#This Row],[Bukti]],Table13[#Data],11,FALSE),"")</f>
        <v/>
      </c>
    </row>
    <row r="173" spans="1:9" ht="19.5" hidden="1" customHeight="1" x14ac:dyDescent="0.2">
      <c r="A173" s="105" t="str">
        <f>IF(D173=1,COUNTIF($D$10:D173,1)," ")</f>
        <v xml:space="preserve"> </v>
      </c>
      <c r="B173" s="106" t="str">
        <f>COPY!AR165</f>
        <v/>
      </c>
      <c r="C173" s="107">
        <f>COPY!AC165</f>
        <v>0</v>
      </c>
      <c r="D173" s="107" t="str">
        <f>IF(LEN(Table1722[[#This Row],[Uraian]])&gt;2,1," ")</f>
        <v xml:space="preserve"> </v>
      </c>
      <c r="E173" s="113" t="str">
        <f>IF(Table1722[[#This Row],[Lawan Transaksi]]="CV AGUNG KARYA",COUNTIF($I$10:I173,"CV AGUNG KARYA")," ")</f>
        <v xml:space="preserve"> </v>
      </c>
      <c r="F173" s="107" t="str">
        <f>IF(LEN(Table1722[[#This Row],[Uraian]])&gt;2,TRIM(RIGHT(SUBSTITUTE(TRIM(C173)," ",REPT(" ",255)),255))," ")</f>
        <v xml:space="preserve"> </v>
      </c>
      <c r="G173" s="110">
        <f>COPY!Z165</f>
        <v>0</v>
      </c>
      <c r="H173" s="111" t="str">
        <f>IFERROR(VLOOKUP(Table1722[[#This Row],[Bukti]],'Un nOTA'!$A$4:$K$5003,10,FALSE),"")</f>
        <v/>
      </c>
      <c r="I173" s="112" t="str">
        <f>IFERROR(VLOOKUP(Table1722[[#This Row],[Bukti]],Table13[#Data],11,FALSE),"")</f>
        <v/>
      </c>
    </row>
    <row r="174" spans="1:9" ht="19.5" hidden="1" customHeight="1" x14ac:dyDescent="0.2">
      <c r="A174" s="105" t="str">
        <f>IF(D174=1,COUNTIF($D$10:D174,1)," ")</f>
        <v xml:space="preserve"> </v>
      </c>
      <c r="B174" s="106" t="str">
        <f>COPY!AR166</f>
        <v/>
      </c>
      <c r="C174" s="107">
        <f>COPY!AC166</f>
        <v>0</v>
      </c>
      <c r="D174" s="107" t="str">
        <f>IF(LEN(Table1722[[#This Row],[Uraian]])&gt;2,1," ")</f>
        <v xml:space="preserve"> </v>
      </c>
      <c r="E174" s="113" t="str">
        <f>IF(Table1722[[#This Row],[Lawan Transaksi]]="CV AGUNG KARYA",COUNTIF($I$10:I174,"CV AGUNG KARYA")," ")</f>
        <v xml:space="preserve"> </v>
      </c>
      <c r="F174" s="107" t="str">
        <f>IF(LEN(Table1722[[#This Row],[Uraian]])&gt;2,TRIM(RIGHT(SUBSTITUTE(TRIM(C174)," ",REPT(" ",255)),255))," ")</f>
        <v xml:space="preserve"> </v>
      </c>
      <c r="G174" s="110">
        <f>COPY!Z166</f>
        <v>0</v>
      </c>
      <c r="H174" s="111" t="str">
        <f>IFERROR(VLOOKUP(Table1722[[#This Row],[Bukti]],'Un nOTA'!$A$4:$K$5003,10,FALSE),"")</f>
        <v/>
      </c>
      <c r="I174" s="112" t="str">
        <f>IFERROR(VLOOKUP(Table1722[[#This Row],[Bukti]],Table13[#Data],11,FALSE),"")</f>
        <v/>
      </c>
    </row>
    <row r="175" spans="1:9" ht="19.5" hidden="1" customHeight="1" x14ac:dyDescent="0.2">
      <c r="A175" s="105" t="str">
        <f>IF(D175=1,COUNTIF($D$10:D175,1)," ")</f>
        <v xml:space="preserve"> </v>
      </c>
      <c r="B175" s="106" t="str">
        <f>COPY!AR167</f>
        <v/>
      </c>
      <c r="C175" s="107">
        <f>COPY!AC167</f>
        <v>0</v>
      </c>
      <c r="D175" s="107" t="str">
        <f>IF(LEN(Table1722[[#This Row],[Uraian]])&gt;2,1," ")</f>
        <v xml:space="preserve"> </v>
      </c>
      <c r="E175" s="113" t="str">
        <f>IF(Table1722[[#This Row],[Lawan Transaksi]]="CV AGUNG KARYA",COUNTIF($I$10:I175,"CV AGUNG KARYA")," ")</f>
        <v xml:space="preserve"> </v>
      </c>
      <c r="F175" s="107" t="str">
        <f>IF(LEN(Table1722[[#This Row],[Uraian]])&gt;2,TRIM(RIGHT(SUBSTITUTE(TRIM(C175)," ",REPT(" ",255)),255))," ")</f>
        <v xml:space="preserve"> </v>
      </c>
      <c r="G175" s="110">
        <f>COPY!Z167</f>
        <v>0</v>
      </c>
      <c r="H175" s="111" t="str">
        <f>IFERROR(VLOOKUP(Table1722[[#This Row],[Bukti]],'Un nOTA'!$A$4:$K$5003,10,FALSE),"")</f>
        <v/>
      </c>
      <c r="I175" s="112" t="str">
        <f>IFERROR(VLOOKUP(Table1722[[#This Row],[Bukti]],Table13[#Data],11,FALSE),"")</f>
        <v/>
      </c>
    </row>
    <row r="176" spans="1:9" ht="19.5" hidden="1" customHeight="1" x14ac:dyDescent="0.2">
      <c r="A176" s="105" t="str">
        <f>IF(D176=1,COUNTIF($D$10:D176,1)," ")</f>
        <v xml:space="preserve"> </v>
      </c>
      <c r="B176" s="106" t="str">
        <f>COPY!AR168</f>
        <v/>
      </c>
      <c r="C176" s="107">
        <f>COPY!AC168</f>
        <v>0</v>
      </c>
      <c r="D176" s="107" t="str">
        <f>IF(LEN(Table1722[[#This Row],[Uraian]])&gt;2,1," ")</f>
        <v xml:space="preserve"> </v>
      </c>
      <c r="E176" s="113" t="str">
        <f>IF(Table1722[[#This Row],[Lawan Transaksi]]="CV AGUNG KARYA",COUNTIF($I$10:I176,"CV AGUNG KARYA")," ")</f>
        <v xml:space="preserve"> </v>
      </c>
      <c r="F176" s="107" t="str">
        <f>IF(LEN(Table1722[[#This Row],[Uraian]])&gt;2,TRIM(RIGHT(SUBSTITUTE(TRIM(C176)," ",REPT(" ",255)),255))," ")</f>
        <v xml:space="preserve"> </v>
      </c>
      <c r="G176" s="110">
        <f>COPY!Z168</f>
        <v>0</v>
      </c>
      <c r="H176" s="111" t="str">
        <f>IFERROR(VLOOKUP(Table1722[[#This Row],[Bukti]],'Un nOTA'!$A$4:$K$5003,10,FALSE),"")</f>
        <v/>
      </c>
      <c r="I176" s="112" t="str">
        <f>IFERROR(VLOOKUP(Table1722[[#This Row],[Bukti]],Table13[#Data],11,FALSE),"")</f>
        <v/>
      </c>
    </row>
    <row r="177" spans="1:9" ht="19.5" hidden="1" customHeight="1" x14ac:dyDescent="0.2">
      <c r="A177" s="105" t="str">
        <f>IF(D177=1,COUNTIF($D$10:D177,1)," ")</f>
        <v xml:space="preserve"> </v>
      </c>
      <c r="B177" s="106" t="str">
        <f>COPY!AR169</f>
        <v/>
      </c>
      <c r="C177" s="107">
        <f>COPY!AC169</f>
        <v>0</v>
      </c>
      <c r="D177" s="107" t="str">
        <f>IF(LEN(Table1722[[#This Row],[Uraian]])&gt;2,1," ")</f>
        <v xml:space="preserve"> </v>
      </c>
      <c r="E177" s="113" t="str">
        <f>IF(Table1722[[#This Row],[Lawan Transaksi]]="CV AGUNG KARYA",COUNTIF($I$10:I177,"CV AGUNG KARYA")," ")</f>
        <v xml:space="preserve"> </v>
      </c>
      <c r="F177" s="107" t="str">
        <f>IF(LEN(Table1722[[#This Row],[Uraian]])&gt;2,TRIM(RIGHT(SUBSTITUTE(TRIM(C177)," ",REPT(" ",255)),255))," ")</f>
        <v xml:space="preserve"> </v>
      </c>
      <c r="G177" s="110">
        <f>COPY!Z169</f>
        <v>0</v>
      </c>
      <c r="H177" s="111" t="str">
        <f>IFERROR(VLOOKUP(Table1722[[#This Row],[Bukti]],'Un nOTA'!$A$4:$K$5003,10,FALSE),"")</f>
        <v/>
      </c>
      <c r="I177" s="112" t="str">
        <f>IFERROR(VLOOKUP(Table1722[[#This Row],[Bukti]],Table13[#Data],11,FALSE),"")</f>
        <v/>
      </c>
    </row>
    <row r="178" spans="1:9" ht="19.5" hidden="1" customHeight="1" x14ac:dyDescent="0.2">
      <c r="A178" s="105" t="str">
        <f>IF(D178=1,COUNTIF($D$10:D178,1)," ")</f>
        <v xml:space="preserve"> </v>
      </c>
      <c r="B178" s="106" t="str">
        <f>COPY!AR170</f>
        <v/>
      </c>
      <c r="C178" s="107">
        <f>COPY!AC170</f>
        <v>0</v>
      </c>
      <c r="D178" s="107" t="str">
        <f>IF(LEN(Table1722[[#This Row],[Uraian]])&gt;2,1," ")</f>
        <v xml:space="preserve"> </v>
      </c>
      <c r="E178" s="113" t="str">
        <f>IF(Table1722[[#This Row],[Lawan Transaksi]]="CV AGUNG KARYA",COUNTIF($I$10:I178,"CV AGUNG KARYA")," ")</f>
        <v xml:space="preserve"> </v>
      </c>
      <c r="F178" s="107" t="str">
        <f>IF(LEN(Table1722[[#This Row],[Uraian]])&gt;2,TRIM(RIGHT(SUBSTITUTE(TRIM(C178)," ",REPT(" ",255)),255))," ")</f>
        <v xml:space="preserve"> </v>
      </c>
      <c r="G178" s="110">
        <f>COPY!Z170</f>
        <v>0</v>
      </c>
      <c r="H178" s="111" t="str">
        <f>IFERROR(VLOOKUP(Table1722[[#This Row],[Bukti]],'Un nOTA'!$A$4:$K$5003,10,FALSE),"")</f>
        <v/>
      </c>
      <c r="I178" s="112" t="str">
        <f>IFERROR(VLOOKUP(Table1722[[#This Row],[Bukti]],Table13[#Data],11,FALSE),"")</f>
        <v/>
      </c>
    </row>
    <row r="179" spans="1:9" ht="19.5" hidden="1" customHeight="1" x14ac:dyDescent="0.2">
      <c r="A179" s="105" t="str">
        <f>IF(D179=1,COUNTIF($D$10:D179,1)," ")</f>
        <v xml:space="preserve"> </v>
      </c>
      <c r="B179" s="106" t="str">
        <f>COPY!AR171</f>
        <v/>
      </c>
      <c r="C179" s="107">
        <f>COPY!AC171</f>
        <v>0</v>
      </c>
      <c r="D179" s="107" t="str">
        <f>IF(LEN(Table1722[[#This Row],[Uraian]])&gt;2,1," ")</f>
        <v xml:space="preserve"> </v>
      </c>
      <c r="E179" s="113" t="str">
        <f>IF(Table1722[[#This Row],[Lawan Transaksi]]="CV AGUNG KARYA",COUNTIF($I$10:I179,"CV AGUNG KARYA")," ")</f>
        <v xml:space="preserve"> </v>
      </c>
      <c r="F179" s="107" t="str">
        <f>IF(LEN(Table1722[[#This Row],[Uraian]])&gt;2,TRIM(RIGHT(SUBSTITUTE(TRIM(C179)," ",REPT(" ",255)),255))," ")</f>
        <v xml:space="preserve"> </v>
      </c>
      <c r="G179" s="110">
        <f>COPY!Z171</f>
        <v>0</v>
      </c>
      <c r="H179" s="111" t="str">
        <f>IFERROR(VLOOKUP(Table1722[[#This Row],[Bukti]],'Un nOTA'!$A$4:$K$5003,10,FALSE),"")</f>
        <v/>
      </c>
      <c r="I179" s="112" t="str">
        <f>IFERROR(VLOOKUP(Table1722[[#This Row],[Bukti]],Table13[#Data],11,FALSE),"")</f>
        <v/>
      </c>
    </row>
    <row r="180" spans="1:9" ht="19.5" hidden="1" customHeight="1" x14ac:dyDescent="0.2">
      <c r="A180" s="105" t="str">
        <f>IF(D180=1,COUNTIF($D$10:D180,1)," ")</f>
        <v xml:space="preserve"> </v>
      </c>
      <c r="B180" s="106" t="str">
        <f>COPY!AR172</f>
        <v/>
      </c>
      <c r="C180" s="107">
        <f>COPY!AC172</f>
        <v>0</v>
      </c>
      <c r="D180" s="107" t="str">
        <f>IF(LEN(Table1722[[#This Row],[Uraian]])&gt;2,1," ")</f>
        <v xml:space="preserve"> </v>
      </c>
      <c r="E180" s="113" t="str">
        <f>IF(Table1722[[#This Row],[Lawan Transaksi]]="CV AGUNG KARYA",COUNTIF($I$10:I180,"CV AGUNG KARYA")," ")</f>
        <v xml:space="preserve"> </v>
      </c>
      <c r="F180" s="107" t="str">
        <f>IF(LEN(Table1722[[#This Row],[Uraian]])&gt;2,TRIM(RIGHT(SUBSTITUTE(TRIM(C180)," ",REPT(" ",255)),255))," ")</f>
        <v xml:space="preserve"> </v>
      </c>
      <c r="G180" s="110">
        <f>COPY!Z172</f>
        <v>0</v>
      </c>
      <c r="H180" s="111" t="str">
        <f>IFERROR(VLOOKUP(Table1722[[#This Row],[Bukti]],'Un nOTA'!$A$4:$K$5003,10,FALSE),"")</f>
        <v/>
      </c>
      <c r="I180" s="112" t="str">
        <f>IFERROR(VLOOKUP(Table1722[[#This Row],[Bukti]],Table13[#Data],11,FALSE),"")</f>
        <v/>
      </c>
    </row>
    <row r="181" spans="1:9" ht="19.5" hidden="1" customHeight="1" x14ac:dyDescent="0.2">
      <c r="A181" s="105" t="str">
        <f>IF(D181=1,COUNTIF($D$10:D181,1)," ")</f>
        <v xml:space="preserve"> </v>
      </c>
      <c r="B181" s="106" t="str">
        <f>COPY!AR173</f>
        <v/>
      </c>
      <c r="C181" s="107">
        <f>COPY!AC173</f>
        <v>0</v>
      </c>
      <c r="D181" s="107" t="str">
        <f>IF(LEN(Table1722[[#This Row],[Uraian]])&gt;2,1," ")</f>
        <v xml:space="preserve"> </v>
      </c>
      <c r="E181" s="113" t="str">
        <f>IF(Table1722[[#This Row],[Lawan Transaksi]]="CV AGUNG KARYA",COUNTIF($I$10:I181,"CV AGUNG KARYA")," ")</f>
        <v xml:space="preserve"> </v>
      </c>
      <c r="F181" s="107" t="str">
        <f>IF(LEN(Table1722[[#This Row],[Uraian]])&gt;2,TRIM(RIGHT(SUBSTITUTE(TRIM(C181)," ",REPT(" ",255)),255))," ")</f>
        <v xml:space="preserve"> </v>
      </c>
      <c r="G181" s="110">
        <f>COPY!Z173</f>
        <v>0</v>
      </c>
      <c r="H181" s="111" t="str">
        <f>IFERROR(VLOOKUP(Table1722[[#This Row],[Bukti]],'Un nOTA'!$A$4:$K$5003,10,FALSE),"")</f>
        <v/>
      </c>
      <c r="I181" s="112" t="str">
        <f>IFERROR(VLOOKUP(Table1722[[#This Row],[Bukti]],Table13[#Data],11,FALSE),"")</f>
        <v/>
      </c>
    </row>
    <row r="182" spans="1:9" ht="19.5" hidden="1" customHeight="1" x14ac:dyDescent="0.2">
      <c r="A182" s="105" t="str">
        <f>IF(D182=1,COUNTIF($D$10:D182,1)," ")</f>
        <v xml:space="preserve"> </v>
      </c>
      <c r="B182" s="106" t="str">
        <f>COPY!AR174</f>
        <v/>
      </c>
      <c r="C182" s="107">
        <f>COPY!AC174</f>
        <v>0</v>
      </c>
      <c r="D182" s="107" t="str">
        <f>IF(LEN(Table1722[[#This Row],[Uraian]])&gt;2,1," ")</f>
        <v xml:space="preserve"> </v>
      </c>
      <c r="E182" s="113" t="str">
        <f>IF(Table1722[[#This Row],[Lawan Transaksi]]="CV AGUNG KARYA",COUNTIF($I$10:I182,"CV AGUNG KARYA")," ")</f>
        <v xml:space="preserve"> </v>
      </c>
      <c r="F182" s="107" t="str">
        <f>IF(LEN(Table1722[[#This Row],[Uraian]])&gt;2,TRIM(RIGHT(SUBSTITUTE(TRIM(C182)," ",REPT(" ",255)),255))," ")</f>
        <v xml:space="preserve"> </v>
      </c>
      <c r="G182" s="110">
        <f>COPY!Z174</f>
        <v>0</v>
      </c>
      <c r="H182" s="111" t="str">
        <f>IFERROR(VLOOKUP(Table1722[[#This Row],[Bukti]],'Un nOTA'!$A$4:$K$5003,10,FALSE),"")</f>
        <v/>
      </c>
      <c r="I182" s="112" t="str">
        <f>IFERROR(VLOOKUP(Table1722[[#This Row],[Bukti]],Table13[#Data],11,FALSE),"")</f>
        <v/>
      </c>
    </row>
    <row r="183" spans="1:9" ht="19.5" customHeight="1" x14ac:dyDescent="0.2">
      <c r="A183" s="105">
        <f>IF(D183=1,COUNTIF($D$10:D183,1)," ")</f>
        <v>8</v>
      </c>
      <c r="B183" s="106">
        <f>COPY!AR175</f>
        <v>45954</v>
      </c>
      <c r="C183" s="107" t="str">
        <f>COPY!AC175</f>
        <v>Bayar Pajak PPN (11 %) BKK.53</v>
      </c>
      <c r="D183" s="107">
        <f>IF(LEN(Table1722[[#This Row],[Uraian]])&gt;2,1," ")</f>
        <v>1</v>
      </c>
      <c r="E183" s="113" t="str">
        <f>IF(Table1722[[#This Row],[Lawan Transaksi]]="CV AGUNG KARYA",COUNTIF($I$10:I183,"CV AGUNG KARYA")," ")</f>
        <v xml:space="preserve"> </v>
      </c>
      <c r="F183" s="107" t="str">
        <f>IF(LEN(Table1722[[#This Row],[Uraian]])&gt;2,TRIM(RIGHT(SUBSTITUTE(TRIM(C183)," ",REPT(" ",255)),255))," ")</f>
        <v>BKK.53</v>
      </c>
      <c r="G183" s="110">
        <f>COPY!Z175</f>
        <v>227700</v>
      </c>
      <c r="H183" s="111">
        <f>IFERROR(VLOOKUP(Table1722[[#This Row],[Bukti]],'Un nOTA'!$A$4:$K$5003,10,FALSE),"")</f>
        <v>2070000</v>
      </c>
      <c r="I183" s="112" t="str">
        <f>IFERROR(VLOOKUP(Table1722[[#This Row],[Bukti]],Table13[#Data],11,FALSE),"")</f>
        <v/>
      </c>
    </row>
    <row r="184" spans="1:9" ht="19.5" customHeight="1" x14ac:dyDescent="0.2">
      <c r="A184" s="105">
        <f>IF(D184=1,COUNTIF($D$10:D184,1)," ")</f>
        <v>9</v>
      </c>
      <c r="B184" s="106">
        <f>COPY!AR176</f>
        <v>45954</v>
      </c>
      <c r="C184" s="107" t="str">
        <f>COPY!AC176</f>
        <v>Bayar Pajak PPH (1,5 %) BKK.53</v>
      </c>
      <c r="D184" s="107">
        <f>IF(LEN(Table1722[[#This Row],[Uraian]])&gt;2,1," ")</f>
        <v>1</v>
      </c>
      <c r="E184" s="113" t="str">
        <f>IF(Table1722[[#This Row],[Lawan Transaksi]]="CV AGUNG KARYA",COUNTIF($I$10:I184,"CV AGUNG KARYA")," ")</f>
        <v xml:space="preserve"> </v>
      </c>
      <c r="F184" s="107" t="str">
        <f>IF(LEN(Table1722[[#This Row],[Uraian]])&gt;2,TRIM(RIGHT(SUBSTITUTE(TRIM(C184)," ",REPT(" ",255)),255))," ")</f>
        <v>BKK.53</v>
      </c>
      <c r="G184" s="110">
        <f>COPY!Z176</f>
        <v>31050</v>
      </c>
      <c r="H184" s="111">
        <f>IFERROR(VLOOKUP(Table1722[[#This Row],[Bukti]],'Un nOTA'!$A$4:$K$5003,10,FALSE),"")</f>
        <v>2070000</v>
      </c>
      <c r="I184" s="112" t="str">
        <f>IFERROR(VLOOKUP(Table1722[[#This Row],[Bukti]],Table13[#Data],11,FALSE),"")</f>
        <v/>
      </c>
    </row>
    <row r="185" spans="1:9" ht="19.5" customHeight="1" x14ac:dyDescent="0.2">
      <c r="A185" s="105">
        <f>IF(D185=1,COUNTIF($D$10:D185,1)," ")</f>
        <v>10</v>
      </c>
      <c r="B185" s="106">
        <f>COPY!AR177</f>
        <v>45954</v>
      </c>
      <c r="C185" s="107" t="str">
        <f>COPY!AC177</f>
        <v>Bayar Pajak PPN (11 %) BKK.54</v>
      </c>
      <c r="D185" s="107">
        <f>IF(LEN(Table1722[[#This Row],[Uraian]])&gt;2,1," ")</f>
        <v>1</v>
      </c>
      <c r="E185" s="113" t="str">
        <f>IF(Table1722[[#This Row],[Lawan Transaksi]]="CV AGUNG KARYA",COUNTIF($I$10:I185,"CV AGUNG KARYA")," ")</f>
        <v xml:space="preserve"> </v>
      </c>
      <c r="F185" s="107" t="str">
        <f>IF(LEN(Table1722[[#This Row],[Uraian]])&gt;2,TRIM(RIGHT(SUBSTITUTE(TRIM(C185)," ",REPT(" ",255)),255))," ")</f>
        <v>BKK.54</v>
      </c>
      <c r="G185" s="110">
        <f>COPY!Z177</f>
        <v>245850</v>
      </c>
      <c r="H185" s="111">
        <f>IFERROR(VLOOKUP(Table1722[[#This Row],[Bukti]],'Un nOTA'!$A$4:$K$5003,10,FALSE),"")</f>
        <v>2235000</v>
      </c>
      <c r="I185" s="112" t="str">
        <f>IFERROR(VLOOKUP(Table1722[[#This Row],[Bukti]],Table13[#Data],11,FALSE),"")</f>
        <v/>
      </c>
    </row>
    <row r="186" spans="1:9" ht="19.5" customHeight="1" x14ac:dyDescent="0.2">
      <c r="A186" s="105">
        <f>IF(D186=1,COUNTIF($D$10:D186,1)," ")</f>
        <v>11</v>
      </c>
      <c r="B186" s="106">
        <f>COPY!AR178</f>
        <v>45954</v>
      </c>
      <c r="C186" s="107" t="str">
        <f>COPY!AC178</f>
        <v>Bayar Pajak PPH (1,5 %) BKK.54</v>
      </c>
      <c r="D186" s="107">
        <f>IF(LEN(Table1722[[#This Row],[Uraian]])&gt;2,1," ")</f>
        <v>1</v>
      </c>
      <c r="E186" s="113" t="str">
        <f>IF(Table1722[[#This Row],[Lawan Transaksi]]="CV AGUNG KARYA",COUNTIF($I$10:I186,"CV AGUNG KARYA")," ")</f>
        <v xml:space="preserve"> </v>
      </c>
      <c r="F186" s="107" t="str">
        <f>IF(LEN(Table1722[[#This Row],[Uraian]])&gt;2,TRIM(RIGHT(SUBSTITUTE(TRIM(C186)," ",REPT(" ",255)),255))," ")</f>
        <v>BKK.54</v>
      </c>
      <c r="G186" s="110">
        <f>COPY!Z178</f>
        <v>33525</v>
      </c>
      <c r="H186" s="111">
        <f>IFERROR(VLOOKUP(Table1722[[#This Row],[Bukti]],'Un nOTA'!$A$4:$K$5003,10,FALSE),"")</f>
        <v>2235000</v>
      </c>
      <c r="I186" s="112" t="str">
        <f>IFERROR(VLOOKUP(Table1722[[#This Row],[Bukti]],Table13[#Data],11,FALSE),"")</f>
        <v/>
      </c>
    </row>
    <row r="187" spans="1:9" ht="19.5" hidden="1" customHeight="1" x14ac:dyDescent="0.2">
      <c r="A187" s="105" t="str">
        <f>IF(D187=1,COUNTIF($D$10:D187,1)," ")</f>
        <v xml:space="preserve"> </v>
      </c>
      <c r="B187" s="106" t="str">
        <f>COPY!AR179</f>
        <v/>
      </c>
      <c r="C187" s="107">
        <f>COPY!AC179</f>
        <v>0</v>
      </c>
      <c r="D187" s="107" t="str">
        <f>IF(LEN(Table1722[[#This Row],[Uraian]])&gt;2,1," ")</f>
        <v xml:space="preserve"> </v>
      </c>
      <c r="E187" s="113" t="str">
        <f>IF(Table1722[[#This Row],[Lawan Transaksi]]="CV AGUNG KARYA",COUNTIF($I$10:I187,"CV AGUNG KARYA")," ")</f>
        <v xml:space="preserve"> </v>
      </c>
      <c r="F187" s="107" t="str">
        <f>IF(LEN(Table1722[[#This Row],[Uraian]])&gt;2,TRIM(RIGHT(SUBSTITUTE(TRIM(C187)," ",REPT(" ",255)),255))," ")</f>
        <v xml:space="preserve"> </v>
      </c>
      <c r="G187" s="110">
        <f>COPY!Z179</f>
        <v>0</v>
      </c>
      <c r="H187" s="111" t="str">
        <f>IFERROR(VLOOKUP(Table1722[[#This Row],[Bukti]],'Un nOTA'!$A$4:$K$5003,10,FALSE),"")</f>
        <v/>
      </c>
      <c r="I187" s="112" t="str">
        <f>IFERROR(VLOOKUP(Table1722[[#This Row],[Bukti]],Table13[#Data],11,FALSE),"")</f>
        <v/>
      </c>
    </row>
    <row r="188" spans="1:9" ht="19.5" hidden="1" customHeight="1" x14ac:dyDescent="0.2">
      <c r="A188" s="105" t="str">
        <f>IF(D188=1,COUNTIF($D$10:D188,1)," ")</f>
        <v xml:space="preserve"> </v>
      </c>
      <c r="B188" s="106" t="str">
        <f>COPY!AR180</f>
        <v/>
      </c>
      <c r="C188" s="107">
        <f>COPY!AC180</f>
        <v>0</v>
      </c>
      <c r="D188" s="107" t="str">
        <f>IF(LEN(Table1722[[#This Row],[Uraian]])&gt;2,1," ")</f>
        <v xml:space="preserve"> </v>
      </c>
      <c r="E188" s="113" t="str">
        <f>IF(Table1722[[#This Row],[Lawan Transaksi]]="CV AGUNG KARYA",COUNTIF($I$10:I188,"CV AGUNG KARYA")," ")</f>
        <v xml:space="preserve"> </v>
      </c>
      <c r="F188" s="107" t="str">
        <f>IF(LEN(Table1722[[#This Row],[Uraian]])&gt;2,TRIM(RIGHT(SUBSTITUTE(TRIM(C188)," ",REPT(" ",255)),255))," ")</f>
        <v xml:space="preserve"> </v>
      </c>
      <c r="G188" s="110">
        <f>COPY!Z180</f>
        <v>0</v>
      </c>
      <c r="H188" s="111" t="str">
        <f>IFERROR(VLOOKUP(Table1722[[#This Row],[Bukti]],'Un nOTA'!$A$4:$K$5003,10,FALSE),"")</f>
        <v/>
      </c>
      <c r="I188" s="112" t="str">
        <f>IFERROR(VLOOKUP(Table1722[[#This Row],[Bukti]],Table13[#Data],11,FALSE),"")</f>
        <v/>
      </c>
    </row>
    <row r="189" spans="1:9" ht="19.5" hidden="1" customHeight="1" x14ac:dyDescent="0.2">
      <c r="A189" s="105" t="str">
        <f>IF(D189=1,COUNTIF($D$10:D189,1)," ")</f>
        <v xml:space="preserve"> </v>
      </c>
      <c r="B189" s="106" t="str">
        <f>COPY!AR181</f>
        <v/>
      </c>
      <c r="C189" s="107">
        <f>COPY!AC181</f>
        <v>0</v>
      </c>
      <c r="D189" s="107" t="str">
        <f>IF(LEN(Table1722[[#This Row],[Uraian]])&gt;2,1," ")</f>
        <v xml:space="preserve"> </v>
      </c>
      <c r="E189" s="113" t="str">
        <f>IF(Table1722[[#This Row],[Lawan Transaksi]]="CV AGUNG KARYA",COUNTIF($I$10:I189,"CV AGUNG KARYA")," ")</f>
        <v xml:space="preserve"> </v>
      </c>
      <c r="F189" s="107" t="str">
        <f>IF(LEN(Table1722[[#This Row],[Uraian]])&gt;2,TRIM(RIGHT(SUBSTITUTE(TRIM(C189)," ",REPT(" ",255)),255))," ")</f>
        <v xml:space="preserve"> </v>
      </c>
      <c r="G189" s="110">
        <f>COPY!Z181</f>
        <v>0</v>
      </c>
      <c r="H189" s="111" t="str">
        <f>IFERROR(VLOOKUP(Table1722[[#This Row],[Bukti]],'Un nOTA'!$A$4:$K$5003,10,FALSE),"")</f>
        <v/>
      </c>
      <c r="I189" s="112" t="str">
        <f>IFERROR(VLOOKUP(Table1722[[#This Row],[Bukti]],Table13[#Data],11,FALSE),"")</f>
        <v/>
      </c>
    </row>
    <row r="190" spans="1:9" ht="19.5" hidden="1" customHeight="1" x14ac:dyDescent="0.2">
      <c r="A190" s="105" t="str">
        <f>IF(D190=1,COUNTIF($D$10:D190,1)," ")</f>
        <v xml:space="preserve"> </v>
      </c>
      <c r="B190" s="106" t="str">
        <f>COPY!AR182</f>
        <v/>
      </c>
      <c r="C190" s="107">
        <f>COPY!AC182</f>
        <v>0</v>
      </c>
      <c r="D190" s="107" t="str">
        <f>IF(LEN(Table1722[[#This Row],[Uraian]])&gt;2,1," ")</f>
        <v xml:space="preserve"> </v>
      </c>
      <c r="E190" s="113" t="str">
        <f>IF(Table1722[[#This Row],[Lawan Transaksi]]="CV AGUNG KARYA",COUNTIF($I$10:I190,"CV AGUNG KARYA")," ")</f>
        <v xml:space="preserve"> </v>
      </c>
      <c r="F190" s="107" t="str">
        <f>IF(LEN(Table1722[[#This Row],[Uraian]])&gt;2,TRIM(RIGHT(SUBSTITUTE(TRIM(C190)," ",REPT(" ",255)),255))," ")</f>
        <v xml:space="preserve"> </v>
      </c>
      <c r="G190" s="110">
        <f>COPY!Z182</f>
        <v>0</v>
      </c>
      <c r="H190" s="111" t="str">
        <f>IFERROR(VLOOKUP(Table1722[[#This Row],[Bukti]],'Un nOTA'!$A$4:$K$5003,10,FALSE),"")</f>
        <v/>
      </c>
      <c r="I190" s="112" t="str">
        <f>IFERROR(VLOOKUP(Table1722[[#This Row],[Bukti]],Table13[#Data],11,FALSE),"")</f>
        <v/>
      </c>
    </row>
    <row r="191" spans="1:9" ht="19.5" hidden="1" customHeight="1" x14ac:dyDescent="0.2">
      <c r="A191" s="105" t="str">
        <f>IF(D191=1,COUNTIF($D$10:D191,1)," ")</f>
        <v xml:space="preserve"> </v>
      </c>
      <c r="B191" s="106" t="str">
        <f>COPY!AR183</f>
        <v/>
      </c>
      <c r="C191" s="107">
        <f>COPY!AC183</f>
        <v>0</v>
      </c>
      <c r="D191" s="107" t="str">
        <f>IF(LEN(Table1722[[#This Row],[Uraian]])&gt;2,1," ")</f>
        <v xml:space="preserve"> </v>
      </c>
      <c r="E191" s="113" t="str">
        <f>IF(Table1722[[#This Row],[Lawan Transaksi]]="CV AGUNG KARYA",COUNTIF($I$10:I191,"CV AGUNG KARYA")," ")</f>
        <v xml:space="preserve"> </v>
      </c>
      <c r="F191" s="107" t="str">
        <f>IF(LEN(Table1722[[#This Row],[Uraian]])&gt;2,TRIM(RIGHT(SUBSTITUTE(TRIM(C191)," ",REPT(" ",255)),255))," ")</f>
        <v xml:space="preserve"> </v>
      </c>
      <c r="G191" s="110">
        <f>COPY!Z183</f>
        <v>0</v>
      </c>
      <c r="H191" s="111" t="str">
        <f>IFERROR(VLOOKUP(Table1722[[#This Row],[Bukti]],'Un nOTA'!$A$4:$K$5003,10,FALSE),"")</f>
        <v/>
      </c>
      <c r="I191" s="112" t="str">
        <f>IFERROR(VLOOKUP(Table1722[[#This Row],[Bukti]],Table13[#Data],11,FALSE),"")</f>
        <v/>
      </c>
    </row>
    <row r="192" spans="1:9" ht="19.5" hidden="1" customHeight="1" x14ac:dyDescent="0.2">
      <c r="A192" s="105" t="str">
        <f>IF(D192=1,COUNTIF($D$10:D192,1)," ")</f>
        <v xml:space="preserve"> </v>
      </c>
      <c r="B192" s="106" t="str">
        <f>COPY!AR184</f>
        <v/>
      </c>
      <c r="C192" s="107">
        <f>COPY!AC184</f>
        <v>0</v>
      </c>
      <c r="D192" s="107" t="str">
        <f>IF(LEN(Table1722[[#This Row],[Uraian]])&gt;2,1," ")</f>
        <v xml:space="preserve"> </v>
      </c>
      <c r="E192" s="113" t="str">
        <f>IF(Table1722[[#This Row],[Lawan Transaksi]]="CV AGUNG KARYA",COUNTIF($I$10:I192,"CV AGUNG KARYA")," ")</f>
        <v xml:space="preserve"> </v>
      </c>
      <c r="F192" s="107" t="str">
        <f>IF(LEN(Table1722[[#This Row],[Uraian]])&gt;2,TRIM(RIGHT(SUBSTITUTE(TRIM(C192)," ",REPT(" ",255)),255))," ")</f>
        <v xml:space="preserve"> </v>
      </c>
      <c r="G192" s="110">
        <f>COPY!Z184</f>
        <v>0</v>
      </c>
      <c r="H192" s="111" t="str">
        <f>IFERROR(VLOOKUP(Table1722[[#This Row],[Bukti]],'Un nOTA'!$A$4:$K$5003,10,FALSE),"")</f>
        <v/>
      </c>
      <c r="I192" s="112" t="str">
        <f>IFERROR(VLOOKUP(Table1722[[#This Row],[Bukti]],Table13[#Data],11,FALSE),"")</f>
        <v/>
      </c>
    </row>
    <row r="193" spans="1:9" ht="19.5" hidden="1" customHeight="1" x14ac:dyDescent="0.2">
      <c r="A193" s="105" t="str">
        <f>IF(D193=1,COUNTIF($D$10:D193,1)," ")</f>
        <v xml:space="preserve"> </v>
      </c>
      <c r="B193" s="106" t="str">
        <f>COPY!AR185</f>
        <v/>
      </c>
      <c r="C193" s="107">
        <f>COPY!AC185</f>
        <v>0</v>
      </c>
      <c r="D193" s="107" t="str">
        <f>IF(LEN(Table1722[[#This Row],[Uraian]])&gt;2,1," ")</f>
        <v xml:space="preserve"> </v>
      </c>
      <c r="E193" s="113" t="str">
        <f>IF(Table1722[[#This Row],[Lawan Transaksi]]="CV AGUNG KARYA",COUNTIF($I$10:I193,"CV AGUNG KARYA")," ")</f>
        <v xml:space="preserve"> </v>
      </c>
      <c r="F193" s="107" t="str">
        <f>IF(LEN(Table1722[[#This Row],[Uraian]])&gt;2,TRIM(RIGHT(SUBSTITUTE(TRIM(C193)," ",REPT(" ",255)),255))," ")</f>
        <v xml:space="preserve"> </v>
      </c>
      <c r="G193" s="110">
        <f>COPY!Z185</f>
        <v>0</v>
      </c>
      <c r="H193" s="111" t="str">
        <f>IFERROR(VLOOKUP(Table1722[[#This Row],[Bukti]],'Un nOTA'!$A$4:$K$5003,10,FALSE),"")</f>
        <v/>
      </c>
      <c r="I193" s="112" t="str">
        <f>IFERROR(VLOOKUP(Table1722[[#This Row],[Bukti]],Table13[#Data],11,FALSE),"")</f>
        <v/>
      </c>
    </row>
    <row r="194" spans="1:9" ht="19.5" hidden="1" customHeight="1" x14ac:dyDescent="0.2">
      <c r="A194" s="105" t="str">
        <f>IF(D194=1,COUNTIF($D$10:D194,1)," ")</f>
        <v xml:space="preserve"> </v>
      </c>
      <c r="B194" s="106" t="str">
        <f>COPY!AR186</f>
        <v/>
      </c>
      <c r="C194" s="107">
        <f>COPY!AC186</f>
        <v>0</v>
      </c>
      <c r="D194" s="107" t="str">
        <f>IF(LEN(Table1722[[#This Row],[Uraian]])&gt;2,1," ")</f>
        <v xml:space="preserve"> </v>
      </c>
      <c r="E194" s="113" t="str">
        <f>IF(Table1722[[#This Row],[Lawan Transaksi]]="CV AGUNG KARYA",COUNTIF($I$10:I194,"CV AGUNG KARYA")," ")</f>
        <v xml:space="preserve"> </v>
      </c>
      <c r="F194" s="107" t="str">
        <f>IF(LEN(Table1722[[#This Row],[Uraian]])&gt;2,TRIM(RIGHT(SUBSTITUTE(TRIM(C194)," ",REPT(" ",255)),255))," ")</f>
        <v xml:space="preserve"> </v>
      </c>
      <c r="G194" s="110">
        <f>COPY!Z186</f>
        <v>0</v>
      </c>
      <c r="H194" s="111" t="str">
        <f>IFERROR(VLOOKUP(Table1722[[#This Row],[Bukti]],'Un nOTA'!$A$4:$K$5003,10,FALSE),"")</f>
        <v/>
      </c>
      <c r="I194" s="112" t="str">
        <f>IFERROR(VLOOKUP(Table1722[[#This Row],[Bukti]],Table13[#Data],11,FALSE),"")</f>
        <v/>
      </c>
    </row>
    <row r="195" spans="1:9" ht="19.5" hidden="1" customHeight="1" x14ac:dyDescent="0.2">
      <c r="A195" s="105" t="str">
        <f>IF(D195=1,COUNTIF($D$10:D195,1)," ")</f>
        <v xml:space="preserve"> </v>
      </c>
      <c r="B195" s="106" t="str">
        <f>COPY!AR187</f>
        <v/>
      </c>
      <c r="C195" s="107">
        <f>COPY!AC187</f>
        <v>0</v>
      </c>
      <c r="D195" s="107" t="str">
        <f>IF(LEN(Table1722[[#This Row],[Uraian]])&gt;2,1," ")</f>
        <v xml:space="preserve"> </v>
      </c>
      <c r="E195" s="113" t="str">
        <f>IF(Table1722[[#This Row],[Lawan Transaksi]]="CV AGUNG KARYA",COUNTIF($I$10:I195,"CV AGUNG KARYA")," ")</f>
        <v xml:space="preserve"> </v>
      </c>
      <c r="F195" s="107" t="str">
        <f>IF(LEN(Table1722[[#This Row],[Uraian]])&gt;2,TRIM(RIGHT(SUBSTITUTE(TRIM(C195)," ",REPT(" ",255)),255))," ")</f>
        <v xml:space="preserve"> </v>
      </c>
      <c r="G195" s="110">
        <f>COPY!Z187</f>
        <v>0</v>
      </c>
      <c r="H195" s="111" t="str">
        <f>IFERROR(VLOOKUP(Table1722[[#This Row],[Bukti]],'Un nOTA'!$A$4:$K$5003,10,FALSE),"")</f>
        <v/>
      </c>
      <c r="I195" s="112" t="str">
        <f>IFERROR(VLOOKUP(Table1722[[#This Row],[Bukti]],Table13[#Data],11,FALSE),"")</f>
        <v/>
      </c>
    </row>
    <row r="196" spans="1:9" ht="19.5" customHeight="1" x14ac:dyDescent="0.2">
      <c r="A196" s="105">
        <f>IF(D196=1,COUNTIF($D$10:D196,1)," ")</f>
        <v>12</v>
      </c>
      <c r="B196" s="106">
        <f>COPY!AR188</f>
        <v>45961</v>
      </c>
      <c r="C196" s="107" t="str">
        <f>COPY!AC188</f>
        <v>Terima PPh Pasal 4 ayat 2 (3,5 %) BKK.57</v>
      </c>
      <c r="D196" s="107">
        <f>IF(LEN(Table1722[[#This Row],[Uraian]])&gt;2,1," ")</f>
        <v>1</v>
      </c>
      <c r="E196" s="113" t="str">
        <f>IF(Table1722[[#This Row],[Lawan Transaksi]]="CV AGUNG KARYA",COUNTIF($I$10:I196,"CV AGUNG KARYA")," ")</f>
        <v xml:space="preserve"> </v>
      </c>
      <c r="F196" s="107" t="str">
        <f>IF(LEN(Table1722[[#This Row],[Uraian]])&gt;2,TRIM(RIGHT(SUBSTITUTE(TRIM(C196)," ",REPT(" ",255)),255))," ")</f>
        <v>BKK.57</v>
      </c>
      <c r="G196" s="110">
        <f>COPY!Z188</f>
        <v>119162.05000000002</v>
      </c>
      <c r="H196" s="111">
        <f>IFERROR(VLOOKUP(Table1722[[#This Row],[Bukti]],'Un nOTA'!$A$4:$K$5003,10,FALSE),"")</f>
        <v>3404630</v>
      </c>
      <c r="I196" s="112" t="str">
        <f>IFERROR(VLOOKUP(Table1722[[#This Row],[Bukti]],Table13[#Data],11,FALSE),"")</f>
        <v>KWITANSI</v>
      </c>
    </row>
    <row r="197" spans="1:9" ht="19.5" hidden="1" customHeight="1" x14ac:dyDescent="0.2">
      <c r="A197" s="105" t="str">
        <f>IF(D197=1,COUNTIF($D$10:D197,1)," ")</f>
        <v xml:space="preserve"> </v>
      </c>
      <c r="B197" s="106" t="str">
        <f>COPY!AR189</f>
        <v/>
      </c>
      <c r="C197" s="107">
        <f>COPY!AC189</f>
        <v>0</v>
      </c>
      <c r="D197" s="107" t="str">
        <f>IF(LEN(Table1722[[#This Row],[Uraian]])&gt;2,1," ")</f>
        <v xml:space="preserve"> </v>
      </c>
      <c r="E197" s="113" t="str">
        <f>IF(Table1722[[#This Row],[Lawan Transaksi]]="CV AGUNG KARYA",COUNTIF($I$10:I197,"CV AGUNG KARYA")," ")</f>
        <v xml:space="preserve"> </v>
      </c>
      <c r="F197" s="107" t="str">
        <f>IF(LEN(Table1722[[#This Row],[Uraian]])&gt;2,TRIM(RIGHT(SUBSTITUTE(TRIM(C197)," ",REPT(" ",255)),255))," ")</f>
        <v xml:space="preserve"> </v>
      </c>
      <c r="G197" s="110">
        <f>COPY!Z189</f>
        <v>0</v>
      </c>
      <c r="H197" s="111" t="str">
        <f>IFERROR(VLOOKUP(Table1722[[#This Row],[Bukti]],'Un nOTA'!$A$4:$K$5003,10,FALSE),"")</f>
        <v/>
      </c>
      <c r="I197" s="112" t="str">
        <f>IFERROR(VLOOKUP(Table1722[[#This Row],[Bukti]],Table13[#Data],11,FALSE),"")</f>
        <v/>
      </c>
    </row>
    <row r="198" spans="1:9" ht="19.5" hidden="1" customHeight="1" x14ac:dyDescent="0.2">
      <c r="A198" s="105" t="str">
        <f>IF(D198=1,COUNTIF($D$10:D198,1)," ")</f>
        <v xml:space="preserve"> </v>
      </c>
      <c r="B198" s="106" t="str">
        <f>COPY!AR190</f>
        <v/>
      </c>
      <c r="C198" s="107">
        <f>COPY!AC190</f>
        <v>0</v>
      </c>
      <c r="D198" s="107" t="str">
        <f>IF(LEN(Table1722[[#This Row],[Uraian]])&gt;2,1," ")</f>
        <v xml:space="preserve"> </v>
      </c>
      <c r="E198" s="113" t="str">
        <f>IF(Table1722[[#This Row],[Lawan Transaksi]]="CV AGUNG KARYA",COUNTIF($I$10:I198,"CV AGUNG KARYA")," ")</f>
        <v xml:space="preserve"> </v>
      </c>
      <c r="F198" s="107" t="str">
        <f>IF(LEN(Table1722[[#This Row],[Uraian]])&gt;2,TRIM(RIGHT(SUBSTITUTE(TRIM(C198)," ",REPT(" ",255)),255))," ")</f>
        <v xml:space="preserve"> </v>
      </c>
      <c r="G198" s="110">
        <f>COPY!Z190</f>
        <v>0</v>
      </c>
      <c r="H198" s="111" t="str">
        <f>IFERROR(VLOOKUP(Table1722[[#This Row],[Bukti]],'Un nOTA'!$A$4:$K$5003,10,FALSE),"")</f>
        <v/>
      </c>
      <c r="I198" s="112" t="str">
        <f>IFERROR(VLOOKUP(Table1722[[#This Row],[Bukti]],Table13[#Data],11,FALSE),"")</f>
        <v/>
      </c>
    </row>
    <row r="199" spans="1:9" ht="19.5" hidden="1" customHeight="1" x14ac:dyDescent="0.2">
      <c r="A199" s="105" t="str">
        <f>IF(D199=1,COUNTIF($D$10:D199,1)," ")</f>
        <v xml:space="preserve"> </v>
      </c>
      <c r="B199" s="106" t="str">
        <f>COPY!AR191</f>
        <v/>
      </c>
      <c r="C199" s="107">
        <f>COPY!AC191</f>
        <v>0</v>
      </c>
      <c r="D199" s="107" t="str">
        <f>IF(LEN(Table1722[[#This Row],[Uraian]])&gt;2,1," ")</f>
        <v xml:space="preserve"> </v>
      </c>
      <c r="E199" s="113" t="str">
        <f>IF(Table1722[[#This Row],[Lawan Transaksi]]="CV AGUNG KARYA",COUNTIF($I$10:I199,"CV AGUNG KARYA")," ")</f>
        <v xml:space="preserve"> </v>
      </c>
      <c r="F199" s="107" t="str">
        <f>IF(LEN(Table1722[[#This Row],[Uraian]])&gt;2,TRIM(RIGHT(SUBSTITUTE(TRIM(C199)," ",REPT(" ",255)),255))," ")</f>
        <v xml:space="preserve"> </v>
      </c>
      <c r="G199" s="110">
        <f>COPY!Z191</f>
        <v>0</v>
      </c>
      <c r="H199" s="111" t="str">
        <f>IFERROR(VLOOKUP(Table1722[[#This Row],[Bukti]],'Un nOTA'!$A$4:$K$5003,10,FALSE),"")</f>
        <v/>
      </c>
      <c r="I199" s="112" t="str">
        <f>IFERROR(VLOOKUP(Table1722[[#This Row],[Bukti]],Table13[#Data],11,FALSE),"")</f>
        <v/>
      </c>
    </row>
    <row r="200" spans="1:9" ht="19.5" hidden="1" customHeight="1" x14ac:dyDescent="0.2">
      <c r="A200" s="105" t="str">
        <f>IF(D200=1,COUNTIF($D$10:D200,1)," ")</f>
        <v xml:space="preserve"> </v>
      </c>
      <c r="B200" s="106" t="str">
        <f>COPY!AR192</f>
        <v/>
      </c>
      <c r="C200" s="107">
        <f>COPY!AC192</f>
        <v>0</v>
      </c>
      <c r="D200" s="107" t="str">
        <f>IF(LEN(Table1722[[#This Row],[Uraian]])&gt;2,1," ")</f>
        <v xml:space="preserve"> </v>
      </c>
      <c r="E200" s="113" t="str">
        <f>IF(Table1722[[#This Row],[Lawan Transaksi]]="CV AGUNG KARYA",COUNTIF($I$10:I200,"CV AGUNG KARYA")," ")</f>
        <v xml:space="preserve"> </v>
      </c>
      <c r="F200" s="107" t="str">
        <f>IF(LEN(Table1722[[#This Row],[Uraian]])&gt;2,TRIM(RIGHT(SUBSTITUTE(TRIM(C200)," ",REPT(" ",255)),255))," ")</f>
        <v xml:space="preserve"> </v>
      </c>
      <c r="G200" s="110">
        <f>COPY!Z192</f>
        <v>0</v>
      </c>
      <c r="H200" s="111" t="str">
        <f>IFERROR(VLOOKUP(Table1722[[#This Row],[Bukti]],'Un nOTA'!$A$4:$K$5003,10,FALSE),"")</f>
        <v/>
      </c>
      <c r="I200" s="112" t="str">
        <f>IFERROR(VLOOKUP(Table1722[[#This Row],[Bukti]],Table13[#Data],11,FALSE),"")</f>
        <v/>
      </c>
    </row>
    <row r="201" spans="1:9" ht="19.5" hidden="1" customHeight="1" x14ac:dyDescent="0.2">
      <c r="A201" s="105" t="str">
        <f>IF(D201=1,COUNTIF($D$10:D201,1)," ")</f>
        <v xml:space="preserve"> </v>
      </c>
      <c r="B201" s="106" t="str">
        <f>COPY!AR193</f>
        <v/>
      </c>
      <c r="C201" s="107">
        <f>COPY!AC193</f>
        <v>0</v>
      </c>
      <c r="D201" s="107" t="str">
        <f>IF(LEN(Table1722[[#This Row],[Uraian]])&gt;2,1," ")</f>
        <v xml:space="preserve"> </v>
      </c>
      <c r="E201" s="113" t="str">
        <f>IF(Table1722[[#This Row],[Lawan Transaksi]]="CV AGUNG KARYA",COUNTIF($I$10:I201,"CV AGUNG KARYA")," ")</f>
        <v xml:space="preserve"> </v>
      </c>
      <c r="F201" s="107" t="str">
        <f>IF(LEN(Table1722[[#This Row],[Uraian]])&gt;2,TRIM(RIGHT(SUBSTITUTE(TRIM(C201)," ",REPT(" ",255)),255))," ")</f>
        <v xml:space="preserve"> </v>
      </c>
      <c r="G201" s="110">
        <f>COPY!Z193</f>
        <v>0</v>
      </c>
      <c r="H201" s="111" t="str">
        <f>IFERROR(VLOOKUP(Table1722[[#This Row],[Bukti]],'Un nOTA'!$A$4:$K$5003,10,FALSE),"")</f>
        <v/>
      </c>
      <c r="I201" s="112" t="str">
        <f>IFERROR(VLOOKUP(Table1722[[#This Row],[Bukti]],Table13[#Data],11,FALSE),"")</f>
        <v/>
      </c>
    </row>
    <row r="202" spans="1:9" ht="19.5" hidden="1" customHeight="1" x14ac:dyDescent="0.2">
      <c r="A202" s="105" t="str">
        <f>IF(D202=1,COUNTIF($D$10:D202,1)," ")</f>
        <v xml:space="preserve"> </v>
      </c>
      <c r="B202" s="106" t="str">
        <f>COPY!AR194</f>
        <v/>
      </c>
      <c r="C202" s="107">
        <f>COPY!AC194</f>
        <v>0</v>
      </c>
      <c r="D202" s="107" t="str">
        <f>IF(LEN(Table1722[[#This Row],[Uraian]])&gt;2,1," ")</f>
        <v xml:space="preserve"> </v>
      </c>
      <c r="E202" s="113" t="str">
        <f>IF(Table1722[[#This Row],[Lawan Transaksi]]="CV AGUNG KARYA",COUNTIF($I$10:I202,"CV AGUNG KARYA")," ")</f>
        <v xml:space="preserve"> </v>
      </c>
      <c r="F202" s="107" t="str">
        <f>IF(LEN(Table1722[[#This Row],[Uraian]])&gt;2,TRIM(RIGHT(SUBSTITUTE(TRIM(C202)," ",REPT(" ",255)),255))," ")</f>
        <v xml:space="preserve"> </v>
      </c>
      <c r="G202" s="110">
        <f>COPY!Z194</f>
        <v>0</v>
      </c>
      <c r="H202" s="111" t="str">
        <f>IFERROR(VLOOKUP(Table1722[[#This Row],[Bukti]],'Un nOTA'!$A$4:$K$5003,10,FALSE),"")</f>
        <v/>
      </c>
      <c r="I202" s="112" t="str">
        <f>IFERROR(VLOOKUP(Table1722[[#This Row],[Bukti]],Table13[#Data],11,FALSE),"")</f>
        <v/>
      </c>
    </row>
    <row r="203" spans="1:9" ht="19.5" hidden="1" customHeight="1" x14ac:dyDescent="0.2">
      <c r="A203" s="105" t="str">
        <f>IF(D203=1,COUNTIF($D$10:D203,1)," ")</f>
        <v xml:space="preserve"> </v>
      </c>
      <c r="B203" s="106" t="str">
        <f>COPY!AR195</f>
        <v/>
      </c>
      <c r="C203" s="107">
        <f>COPY!AC195</f>
        <v>0</v>
      </c>
      <c r="D203" s="107" t="str">
        <f>IF(LEN(Table1722[[#This Row],[Uraian]])&gt;2,1," ")</f>
        <v xml:space="preserve"> </v>
      </c>
      <c r="E203" s="113" t="str">
        <f>IF(Table1722[[#This Row],[Lawan Transaksi]]="CV AGUNG KARYA",COUNTIF($I$10:I203,"CV AGUNG KARYA")," ")</f>
        <v xml:space="preserve"> </v>
      </c>
      <c r="F203" s="107" t="str">
        <f>IF(LEN(Table1722[[#This Row],[Uraian]])&gt;2,TRIM(RIGHT(SUBSTITUTE(TRIM(C203)," ",REPT(" ",255)),255))," ")</f>
        <v xml:space="preserve"> </v>
      </c>
      <c r="G203" s="110">
        <f>COPY!Z195</f>
        <v>0</v>
      </c>
      <c r="H203" s="111" t="str">
        <f>IFERROR(VLOOKUP(Table1722[[#This Row],[Bukti]],'Un nOTA'!$A$4:$K$5003,10,FALSE),"")</f>
        <v/>
      </c>
      <c r="I203" s="112" t="str">
        <f>IFERROR(VLOOKUP(Table1722[[#This Row],[Bukti]],Table13[#Data],11,FALSE),"")</f>
        <v/>
      </c>
    </row>
    <row r="204" spans="1:9" ht="19.5" hidden="1" customHeight="1" x14ac:dyDescent="0.2">
      <c r="A204" s="105" t="str">
        <f>IF(D204=1,COUNTIF($D$10:D204,1)," ")</f>
        <v xml:space="preserve"> </v>
      </c>
      <c r="B204" s="106" t="str">
        <f>COPY!AR196</f>
        <v/>
      </c>
      <c r="C204" s="107">
        <f>COPY!AC196</f>
        <v>0</v>
      </c>
      <c r="D204" s="107" t="str">
        <f>IF(LEN(Table1722[[#This Row],[Uraian]])&gt;2,1," ")</f>
        <v xml:space="preserve"> </v>
      </c>
      <c r="E204" s="113" t="str">
        <f>IF(Table1722[[#This Row],[Lawan Transaksi]]="CV AGUNG KARYA",COUNTIF($I$10:I204,"CV AGUNG KARYA")," ")</f>
        <v xml:space="preserve"> </v>
      </c>
      <c r="F204" s="107" t="str">
        <f>IF(LEN(Table1722[[#This Row],[Uraian]])&gt;2,TRIM(RIGHT(SUBSTITUTE(TRIM(C204)," ",REPT(" ",255)),255))," ")</f>
        <v xml:space="preserve"> </v>
      </c>
      <c r="G204" s="110">
        <f>COPY!Z196</f>
        <v>0</v>
      </c>
      <c r="H204" s="111" t="str">
        <f>IFERROR(VLOOKUP(Table1722[[#This Row],[Bukti]],'Un nOTA'!$A$4:$K$5003,10,FALSE),"")</f>
        <v/>
      </c>
      <c r="I204" s="112" t="str">
        <f>IFERROR(VLOOKUP(Table1722[[#This Row],[Bukti]],Table13[#Data],11,FALSE),"")</f>
        <v/>
      </c>
    </row>
    <row r="205" spans="1:9" ht="19.5" hidden="1" customHeight="1" x14ac:dyDescent="0.2">
      <c r="A205" s="105" t="str">
        <f>IF(D205=1,COUNTIF($D$10:D205,1)," ")</f>
        <v xml:space="preserve"> </v>
      </c>
      <c r="B205" s="106" t="str">
        <f>COPY!AR197</f>
        <v/>
      </c>
      <c r="C205" s="107">
        <f>COPY!AC197</f>
        <v>0</v>
      </c>
      <c r="D205" s="107" t="str">
        <f>IF(LEN(Table1722[[#This Row],[Uraian]])&gt;2,1," ")</f>
        <v xml:space="preserve"> </v>
      </c>
      <c r="E205" s="113" t="str">
        <f>IF(Table1722[[#This Row],[Lawan Transaksi]]="CV AGUNG KARYA",COUNTIF($I$10:I205,"CV AGUNG KARYA")," ")</f>
        <v xml:space="preserve"> </v>
      </c>
      <c r="F205" s="107" t="str">
        <f>IF(LEN(Table1722[[#This Row],[Uraian]])&gt;2,TRIM(RIGHT(SUBSTITUTE(TRIM(C205)," ",REPT(" ",255)),255))," ")</f>
        <v xml:space="preserve"> </v>
      </c>
      <c r="G205" s="110">
        <f>COPY!Z197</f>
        <v>0</v>
      </c>
      <c r="H205" s="111" t="str">
        <f>IFERROR(VLOOKUP(Table1722[[#This Row],[Bukti]],'Un nOTA'!$A$4:$K$5003,10,FALSE),"")</f>
        <v/>
      </c>
      <c r="I205" s="112" t="str">
        <f>IFERROR(VLOOKUP(Table1722[[#This Row],[Bukti]],Table13[#Data],11,FALSE),"")</f>
        <v/>
      </c>
    </row>
    <row r="206" spans="1:9" ht="19.5" hidden="1" customHeight="1" x14ac:dyDescent="0.2">
      <c r="A206" s="105" t="str">
        <f>IF(D206=1,COUNTIF($D$10:D206,1)," ")</f>
        <v xml:space="preserve"> </v>
      </c>
      <c r="B206" s="106" t="str">
        <f>COPY!AR198</f>
        <v/>
      </c>
      <c r="C206" s="107">
        <f>COPY!AC198</f>
        <v>0</v>
      </c>
      <c r="D206" s="107" t="str">
        <f>IF(LEN(Table1722[[#This Row],[Uraian]])&gt;2,1," ")</f>
        <v xml:space="preserve"> </v>
      </c>
      <c r="E206" s="113" t="str">
        <f>IF(Table1722[[#This Row],[Lawan Transaksi]]="CV AGUNG KARYA",COUNTIF($I$10:I206,"CV AGUNG KARYA")," ")</f>
        <v xml:space="preserve"> </v>
      </c>
      <c r="F206" s="107" t="str">
        <f>IF(LEN(Table1722[[#This Row],[Uraian]])&gt;2,TRIM(RIGHT(SUBSTITUTE(TRIM(C206)," ",REPT(" ",255)),255))," ")</f>
        <v xml:space="preserve"> </v>
      </c>
      <c r="G206" s="110">
        <f>COPY!Z198</f>
        <v>0</v>
      </c>
      <c r="H206" s="111" t="str">
        <f>IFERROR(VLOOKUP(Table1722[[#This Row],[Bukti]],'Un nOTA'!$A$4:$K$5003,10,FALSE),"")</f>
        <v/>
      </c>
      <c r="I206" s="112" t="str">
        <f>IFERROR(VLOOKUP(Table1722[[#This Row],[Bukti]],Table13[#Data],11,FALSE),"")</f>
        <v/>
      </c>
    </row>
    <row r="207" spans="1:9" ht="19.5" hidden="1" customHeight="1" x14ac:dyDescent="0.2">
      <c r="A207" s="105" t="str">
        <f>IF(D207=1,COUNTIF($D$10:D207,1)," ")</f>
        <v xml:space="preserve"> </v>
      </c>
      <c r="B207" s="106" t="str">
        <f>COPY!AR199</f>
        <v/>
      </c>
      <c r="C207" s="107">
        <f>COPY!AC199</f>
        <v>0</v>
      </c>
      <c r="D207" s="107" t="str">
        <f>IF(LEN(Table1722[[#This Row],[Uraian]])&gt;2,1," ")</f>
        <v xml:space="preserve"> </v>
      </c>
      <c r="E207" s="113" t="str">
        <f>IF(Table1722[[#This Row],[Lawan Transaksi]]="CV AGUNG KARYA",COUNTIF($I$10:I207,"CV AGUNG KARYA")," ")</f>
        <v xml:space="preserve"> </v>
      </c>
      <c r="F207" s="107" t="str">
        <f>IF(LEN(Table1722[[#This Row],[Uraian]])&gt;2,TRIM(RIGHT(SUBSTITUTE(TRIM(C207)," ",REPT(" ",255)),255))," ")</f>
        <v xml:space="preserve"> </v>
      </c>
      <c r="G207" s="110">
        <f>COPY!Z199</f>
        <v>0</v>
      </c>
      <c r="H207" s="111" t="str">
        <f>IFERROR(VLOOKUP(Table1722[[#This Row],[Bukti]],'Un nOTA'!$A$4:$K$5003,10,FALSE),"")</f>
        <v/>
      </c>
      <c r="I207" s="112" t="str">
        <f>IFERROR(VLOOKUP(Table1722[[#This Row],[Bukti]],Table13[#Data],11,FALSE),"")</f>
        <v/>
      </c>
    </row>
    <row r="208" spans="1:9" ht="19.5" hidden="1" customHeight="1" x14ac:dyDescent="0.2">
      <c r="A208" s="105" t="str">
        <f>IF(D208=1,COUNTIF($D$10:D208,1)," ")</f>
        <v xml:space="preserve"> </v>
      </c>
      <c r="B208" s="106" t="str">
        <f>COPY!AR200</f>
        <v/>
      </c>
      <c r="C208" s="107">
        <f>COPY!AC200</f>
        <v>0</v>
      </c>
      <c r="D208" s="107" t="str">
        <f>IF(LEN(Table1722[[#This Row],[Uraian]])&gt;2,1," ")</f>
        <v xml:space="preserve"> </v>
      </c>
      <c r="E208" s="113" t="str">
        <f>IF(Table1722[[#This Row],[Lawan Transaksi]]="CV AGUNG KARYA",COUNTIF($I$10:I208,"CV AGUNG KARYA")," ")</f>
        <v xml:space="preserve"> </v>
      </c>
      <c r="F208" s="107" t="str">
        <f>IF(LEN(Table1722[[#This Row],[Uraian]])&gt;2,TRIM(RIGHT(SUBSTITUTE(TRIM(C208)," ",REPT(" ",255)),255))," ")</f>
        <v xml:space="preserve"> </v>
      </c>
      <c r="G208" s="110">
        <f>COPY!Z200</f>
        <v>0</v>
      </c>
      <c r="H208" s="111" t="str">
        <f>IFERROR(VLOOKUP(Table1722[[#This Row],[Bukti]],'Un nOTA'!$A$4:$K$5003,10,FALSE),"")</f>
        <v/>
      </c>
      <c r="I208" s="112" t="str">
        <f>IFERROR(VLOOKUP(Table1722[[#This Row],[Bukti]],Table13[#Data],11,FALSE),"")</f>
        <v/>
      </c>
    </row>
    <row r="209" spans="1:9" ht="19.5" hidden="1" customHeight="1" x14ac:dyDescent="0.2">
      <c r="A209" s="105" t="str">
        <f>IF(D209=1,COUNTIF($D$10:D209,1)," ")</f>
        <v xml:space="preserve"> </v>
      </c>
      <c r="B209" s="106" t="str">
        <f>COPY!AR201</f>
        <v/>
      </c>
      <c r="C209" s="107">
        <f>COPY!AC201</f>
        <v>0</v>
      </c>
      <c r="D209" s="107" t="str">
        <f>IF(LEN(Table1722[[#This Row],[Uraian]])&gt;2,1," ")</f>
        <v xml:space="preserve"> </v>
      </c>
      <c r="E209" s="113" t="str">
        <f>IF(Table1722[[#This Row],[Lawan Transaksi]]="CV AGUNG KARYA",COUNTIF($I$10:I209,"CV AGUNG KARYA")," ")</f>
        <v xml:space="preserve"> </v>
      </c>
      <c r="F209" s="107" t="str">
        <f>IF(LEN(Table1722[[#This Row],[Uraian]])&gt;2,TRIM(RIGHT(SUBSTITUTE(TRIM(C209)," ",REPT(" ",255)),255))," ")</f>
        <v xml:space="preserve"> </v>
      </c>
      <c r="G209" s="110">
        <f>COPY!Z201</f>
        <v>0</v>
      </c>
      <c r="H209" s="111" t="str">
        <f>IFERROR(VLOOKUP(Table1722[[#This Row],[Bukti]],'Un nOTA'!$A$4:$K$5003,10,FALSE),"")</f>
        <v/>
      </c>
      <c r="I209" s="112" t="str">
        <f>IFERROR(VLOOKUP(Table1722[[#This Row],[Bukti]],Table13[#Data],11,FALSE),"")</f>
        <v/>
      </c>
    </row>
    <row r="210" spans="1:9" ht="19.5" hidden="1" customHeight="1" x14ac:dyDescent="0.2">
      <c r="A210" s="105" t="str">
        <f>IF(D210=1,COUNTIF($D$10:D210,1)," ")</f>
        <v xml:space="preserve"> </v>
      </c>
      <c r="B210" s="106" t="str">
        <f>COPY!AR202</f>
        <v/>
      </c>
      <c r="C210" s="107">
        <f>COPY!AC202</f>
        <v>0</v>
      </c>
      <c r="D210" s="107" t="str">
        <f>IF(LEN(Table1722[[#This Row],[Uraian]])&gt;2,1," ")</f>
        <v xml:space="preserve"> </v>
      </c>
      <c r="E210" s="113" t="str">
        <f>IF(Table1722[[#This Row],[Lawan Transaksi]]="CV AGUNG KARYA",COUNTIF($I$10:I210,"CV AGUNG KARYA")," ")</f>
        <v xml:space="preserve"> </v>
      </c>
      <c r="F210" s="107" t="str">
        <f>IF(LEN(Table1722[[#This Row],[Uraian]])&gt;2,TRIM(RIGHT(SUBSTITUTE(TRIM(C210)," ",REPT(" ",255)),255))," ")</f>
        <v xml:space="preserve"> </v>
      </c>
      <c r="G210" s="110">
        <f>COPY!Z202</f>
        <v>0</v>
      </c>
      <c r="H210" s="111" t="str">
        <f>IFERROR(VLOOKUP(Table1722[[#This Row],[Bukti]],'Un nOTA'!$A$4:$K$5003,10,FALSE),"")</f>
        <v/>
      </c>
      <c r="I210" s="112" t="str">
        <f>IFERROR(VLOOKUP(Table1722[[#This Row],[Bukti]],Table13[#Data],11,FALSE),"")</f>
        <v/>
      </c>
    </row>
    <row r="211" spans="1:9" ht="19.5" hidden="1" customHeight="1" x14ac:dyDescent="0.2">
      <c r="A211" s="105" t="str">
        <f>IF(D211=1,COUNTIF($D$10:D211,1)," ")</f>
        <v xml:space="preserve"> </v>
      </c>
      <c r="B211" s="106" t="str">
        <f>COPY!AR203</f>
        <v/>
      </c>
      <c r="C211" s="107">
        <f>COPY!AC203</f>
        <v>0</v>
      </c>
      <c r="D211" s="107" t="str">
        <f>IF(LEN(Table1722[[#This Row],[Uraian]])&gt;2,1," ")</f>
        <v xml:space="preserve"> </v>
      </c>
      <c r="E211" s="113" t="str">
        <f>IF(Table1722[[#This Row],[Lawan Transaksi]]="CV AGUNG KARYA",COUNTIF($I$10:I211,"CV AGUNG KARYA")," ")</f>
        <v xml:space="preserve"> </v>
      </c>
      <c r="F211" s="107" t="str">
        <f>IF(LEN(Table1722[[#This Row],[Uraian]])&gt;2,TRIM(RIGHT(SUBSTITUTE(TRIM(C211)," ",REPT(" ",255)),255))," ")</f>
        <v xml:space="preserve"> </v>
      </c>
      <c r="G211" s="110">
        <f>COPY!Z203</f>
        <v>0</v>
      </c>
      <c r="H211" s="111" t="str">
        <f>IFERROR(VLOOKUP(Table1722[[#This Row],[Bukti]],'Un nOTA'!$A$4:$K$5003,10,FALSE),"")</f>
        <v/>
      </c>
      <c r="I211" s="112" t="str">
        <f>IFERROR(VLOOKUP(Table1722[[#This Row],[Bukti]],Table13[#Data],11,FALSE),"")</f>
        <v/>
      </c>
    </row>
    <row r="212" spans="1:9" ht="19.5" hidden="1" customHeight="1" x14ac:dyDescent="0.2">
      <c r="A212" s="105" t="str">
        <f>IF(D212=1,COUNTIF($D$10:D212,1)," ")</f>
        <v xml:space="preserve"> </v>
      </c>
      <c r="B212" s="106" t="str">
        <f>COPY!AR204</f>
        <v/>
      </c>
      <c r="C212" s="107">
        <f>COPY!AC204</f>
        <v>0</v>
      </c>
      <c r="D212" s="107" t="str">
        <f>IF(LEN(Table1722[[#This Row],[Uraian]])&gt;2,1," ")</f>
        <v xml:space="preserve"> </v>
      </c>
      <c r="E212" s="113" t="str">
        <f>IF(Table1722[[#This Row],[Lawan Transaksi]]="CV AGUNG KARYA",COUNTIF($I$10:I212,"CV AGUNG KARYA")," ")</f>
        <v xml:space="preserve"> </v>
      </c>
      <c r="F212" s="107" t="str">
        <f>IF(LEN(Table1722[[#This Row],[Uraian]])&gt;2,TRIM(RIGHT(SUBSTITUTE(TRIM(C212)," ",REPT(" ",255)),255))," ")</f>
        <v xml:space="preserve"> </v>
      </c>
      <c r="G212" s="110">
        <f>COPY!Z204</f>
        <v>0</v>
      </c>
      <c r="H212" s="111" t="str">
        <f>IFERROR(VLOOKUP(Table1722[[#This Row],[Bukti]],'Un nOTA'!$A$4:$K$5003,10,FALSE),"")</f>
        <v/>
      </c>
      <c r="I212" s="112" t="str">
        <f>IFERROR(VLOOKUP(Table1722[[#This Row],[Bukti]],Table13[#Data],11,FALSE),"")</f>
        <v/>
      </c>
    </row>
    <row r="213" spans="1:9" ht="19.5" hidden="1" customHeight="1" x14ac:dyDescent="0.2">
      <c r="A213" s="105" t="str">
        <f>IF(D213=1,COUNTIF($D$10:D213,1)," ")</f>
        <v xml:space="preserve"> </v>
      </c>
      <c r="B213" s="106" t="str">
        <f>COPY!AR205</f>
        <v/>
      </c>
      <c r="C213" s="107">
        <f>COPY!AC205</f>
        <v>0</v>
      </c>
      <c r="D213" s="107" t="str">
        <f>IF(LEN(Table1722[[#This Row],[Uraian]])&gt;2,1," ")</f>
        <v xml:space="preserve"> </v>
      </c>
      <c r="E213" s="113" t="str">
        <f>IF(Table1722[[#This Row],[Lawan Transaksi]]="CV AGUNG KARYA",COUNTIF($I$10:I213,"CV AGUNG KARYA")," ")</f>
        <v xml:space="preserve"> </v>
      </c>
      <c r="F213" s="107" t="str">
        <f>IF(LEN(Table1722[[#This Row],[Uraian]])&gt;2,TRIM(RIGHT(SUBSTITUTE(TRIM(C213)," ",REPT(" ",255)),255))," ")</f>
        <v xml:space="preserve"> </v>
      </c>
      <c r="G213" s="110">
        <f>COPY!Z205</f>
        <v>0</v>
      </c>
      <c r="H213" s="111" t="str">
        <f>IFERROR(VLOOKUP(Table1722[[#This Row],[Bukti]],'Un nOTA'!$A$4:$K$5003,10,FALSE),"")</f>
        <v/>
      </c>
      <c r="I213" s="112" t="str">
        <f>IFERROR(VLOOKUP(Table1722[[#This Row],[Bukti]],Table13[#Data],11,FALSE),"")</f>
        <v/>
      </c>
    </row>
    <row r="214" spans="1:9" ht="19.5" hidden="1" customHeight="1" x14ac:dyDescent="0.2">
      <c r="A214" s="105" t="str">
        <f>IF(D214=1,COUNTIF($D$10:D214,1)," ")</f>
        <v xml:space="preserve"> </v>
      </c>
      <c r="B214" s="106" t="str">
        <f>COPY!AR206</f>
        <v/>
      </c>
      <c r="C214" s="107">
        <f>COPY!AC206</f>
        <v>0</v>
      </c>
      <c r="D214" s="107" t="str">
        <f>IF(LEN(Table1722[[#This Row],[Uraian]])&gt;2,1," ")</f>
        <v xml:space="preserve"> </v>
      </c>
      <c r="E214" s="113" t="str">
        <f>IF(Table1722[[#This Row],[Lawan Transaksi]]="CV AGUNG KARYA",COUNTIF($I$10:I214,"CV AGUNG KARYA")," ")</f>
        <v xml:space="preserve"> </v>
      </c>
      <c r="F214" s="107" t="str">
        <f>IF(LEN(Table1722[[#This Row],[Uraian]])&gt;2,TRIM(RIGHT(SUBSTITUTE(TRIM(C214)," ",REPT(" ",255)),255))," ")</f>
        <v xml:space="preserve"> </v>
      </c>
      <c r="G214" s="110">
        <f>COPY!Z206</f>
        <v>0</v>
      </c>
      <c r="H214" s="111" t="str">
        <f>IFERROR(VLOOKUP(Table1722[[#This Row],[Bukti]],'Un nOTA'!$A$4:$K$5003,10,FALSE),"")</f>
        <v/>
      </c>
      <c r="I214" s="112" t="str">
        <f>IFERROR(VLOOKUP(Table1722[[#This Row],[Bukti]],Table13[#Data],11,FALSE),"")</f>
        <v/>
      </c>
    </row>
    <row r="215" spans="1:9" ht="19.5" hidden="1" customHeight="1" x14ac:dyDescent="0.2">
      <c r="A215" s="105" t="str">
        <f>IF(D215=1,COUNTIF($D$10:D215,1)," ")</f>
        <v xml:space="preserve"> </v>
      </c>
      <c r="B215" s="106" t="str">
        <f>COPY!AR207</f>
        <v/>
      </c>
      <c r="C215" s="107">
        <f>COPY!AC207</f>
        <v>0</v>
      </c>
      <c r="D215" s="107" t="str">
        <f>IF(LEN(Table1722[[#This Row],[Uraian]])&gt;2,1," ")</f>
        <v xml:space="preserve"> </v>
      </c>
      <c r="E215" s="113" t="str">
        <f>IF(Table1722[[#This Row],[Lawan Transaksi]]="CV AGUNG KARYA",COUNTIF($I$10:I215,"CV AGUNG KARYA")," ")</f>
        <v xml:space="preserve"> </v>
      </c>
      <c r="F215" s="107" t="str">
        <f>IF(LEN(Table1722[[#This Row],[Uraian]])&gt;2,TRIM(RIGHT(SUBSTITUTE(TRIM(C215)," ",REPT(" ",255)),255))," ")</f>
        <v xml:space="preserve"> </v>
      </c>
      <c r="G215" s="110">
        <f>COPY!Z207</f>
        <v>0</v>
      </c>
      <c r="H215" s="111" t="str">
        <f>IFERROR(VLOOKUP(Table1722[[#This Row],[Bukti]],'Un nOTA'!$A$4:$K$5003,10,FALSE),"")</f>
        <v/>
      </c>
      <c r="I215" s="112" t="str">
        <f>IFERROR(VLOOKUP(Table1722[[#This Row],[Bukti]],Table13[#Data],11,FALSE),"")</f>
        <v/>
      </c>
    </row>
    <row r="216" spans="1:9" ht="19.5" hidden="1" customHeight="1" x14ac:dyDescent="0.2">
      <c r="A216" s="105" t="str">
        <f>IF(D216=1,COUNTIF($D$10:D216,1)," ")</f>
        <v xml:space="preserve"> </v>
      </c>
      <c r="B216" s="106" t="str">
        <f>COPY!AR208</f>
        <v/>
      </c>
      <c r="C216" s="107">
        <f>COPY!AC208</f>
        <v>0</v>
      </c>
      <c r="D216" s="107" t="str">
        <f>IF(LEN(Table1722[[#This Row],[Uraian]])&gt;2,1," ")</f>
        <v xml:space="preserve"> </v>
      </c>
      <c r="E216" s="113" t="str">
        <f>IF(Table1722[[#This Row],[Lawan Transaksi]]="CV AGUNG KARYA",COUNTIF($I$10:I216,"CV AGUNG KARYA")," ")</f>
        <v xml:space="preserve"> </v>
      </c>
      <c r="F216" s="107" t="str">
        <f>IF(LEN(Table1722[[#This Row],[Uraian]])&gt;2,TRIM(RIGHT(SUBSTITUTE(TRIM(C216)," ",REPT(" ",255)),255))," ")</f>
        <v xml:space="preserve"> </v>
      </c>
      <c r="G216" s="110">
        <f>COPY!Z208</f>
        <v>0</v>
      </c>
      <c r="H216" s="111" t="str">
        <f>IFERROR(VLOOKUP(Table1722[[#This Row],[Bukti]],'Un nOTA'!$A$4:$K$5003,10,FALSE),"")</f>
        <v/>
      </c>
      <c r="I216" s="112" t="str">
        <f>IFERROR(VLOOKUP(Table1722[[#This Row],[Bukti]],Table13[#Data],11,FALSE),"")</f>
        <v/>
      </c>
    </row>
    <row r="217" spans="1:9" ht="19.5" hidden="1" customHeight="1" x14ac:dyDescent="0.2">
      <c r="A217" s="105" t="str">
        <f>IF(D217=1,COUNTIF($D$10:D217,1)," ")</f>
        <v xml:space="preserve"> </v>
      </c>
      <c r="B217" s="106" t="str">
        <f>COPY!AR209</f>
        <v/>
      </c>
      <c r="C217" s="107">
        <f>COPY!AC209</f>
        <v>0</v>
      </c>
      <c r="D217" s="107" t="str">
        <f>IF(LEN(Table1722[[#This Row],[Uraian]])&gt;2,1," ")</f>
        <v xml:space="preserve"> </v>
      </c>
      <c r="E217" s="113" t="str">
        <f>IF(Table1722[[#This Row],[Lawan Transaksi]]="CV AGUNG KARYA",COUNTIF($I$10:I217,"CV AGUNG KARYA")," ")</f>
        <v xml:space="preserve"> </v>
      </c>
      <c r="F217" s="107" t="str">
        <f>IF(LEN(Table1722[[#This Row],[Uraian]])&gt;2,TRIM(RIGHT(SUBSTITUTE(TRIM(C217)," ",REPT(" ",255)),255))," ")</f>
        <v xml:space="preserve"> </v>
      </c>
      <c r="G217" s="110">
        <f>COPY!Z209</f>
        <v>0</v>
      </c>
      <c r="H217" s="111" t="str">
        <f>IFERROR(VLOOKUP(Table1722[[#This Row],[Bukti]],'Un nOTA'!$A$4:$K$5003,10,FALSE),"")</f>
        <v/>
      </c>
      <c r="I217" s="112" t="str">
        <f>IFERROR(VLOOKUP(Table1722[[#This Row],[Bukti]],Table13[#Data],11,FALSE),"")</f>
        <v/>
      </c>
    </row>
    <row r="218" spans="1:9" ht="19.5" hidden="1" customHeight="1" x14ac:dyDescent="0.2">
      <c r="A218" s="105" t="str">
        <f>IF(D218=1,COUNTIF($D$10:D218,1)," ")</f>
        <v xml:space="preserve"> </v>
      </c>
      <c r="B218" s="106" t="str">
        <f>COPY!AR210</f>
        <v/>
      </c>
      <c r="C218" s="107">
        <f>COPY!AC210</f>
        <v>0</v>
      </c>
      <c r="D218" s="107" t="str">
        <f>IF(LEN(Table1722[[#This Row],[Uraian]])&gt;2,1," ")</f>
        <v xml:space="preserve"> </v>
      </c>
      <c r="E218" s="113" t="str">
        <f>IF(Table1722[[#This Row],[Lawan Transaksi]]="CV AGUNG KARYA",COUNTIF($I$10:I218,"CV AGUNG KARYA")," ")</f>
        <v xml:space="preserve"> </v>
      </c>
      <c r="F218" s="107" t="str">
        <f>IF(LEN(Table1722[[#This Row],[Uraian]])&gt;2,TRIM(RIGHT(SUBSTITUTE(TRIM(C218)," ",REPT(" ",255)),255))," ")</f>
        <v xml:space="preserve"> </v>
      </c>
      <c r="G218" s="110">
        <f>COPY!Z210</f>
        <v>0</v>
      </c>
      <c r="H218" s="111" t="str">
        <f>IFERROR(VLOOKUP(Table1722[[#This Row],[Bukti]],'Un nOTA'!$A$4:$K$5003,10,FALSE),"")</f>
        <v/>
      </c>
      <c r="I218" s="112" t="str">
        <f>IFERROR(VLOOKUP(Table1722[[#This Row],[Bukti]],Table13[#Data],11,FALSE),"")</f>
        <v/>
      </c>
    </row>
    <row r="219" spans="1:9" ht="19.5" hidden="1" customHeight="1" x14ac:dyDescent="0.2">
      <c r="A219" s="105" t="str">
        <f>IF(D219=1,COUNTIF($D$10:D219,1)," ")</f>
        <v xml:space="preserve"> </v>
      </c>
      <c r="B219" s="106" t="str">
        <f>COPY!AR211</f>
        <v/>
      </c>
      <c r="C219" s="107">
        <f>COPY!AC211</f>
        <v>0</v>
      </c>
      <c r="D219" s="107" t="str">
        <f>IF(LEN(Table1722[[#This Row],[Uraian]])&gt;2,1," ")</f>
        <v xml:space="preserve"> </v>
      </c>
      <c r="E219" s="113" t="str">
        <f>IF(Table1722[[#This Row],[Lawan Transaksi]]="CV AGUNG KARYA",COUNTIF($I$10:I219,"CV AGUNG KARYA")," ")</f>
        <v xml:space="preserve"> </v>
      </c>
      <c r="F219" s="107" t="str">
        <f>IF(LEN(Table1722[[#This Row],[Uraian]])&gt;2,TRIM(RIGHT(SUBSTITUTE(TRIM(C219)," ",REPT(" ",255)),255))," ")</f>
        <v xml:space="preserve"> </v>
      </c>
      <c r="G219" s="110">
        <f>COPY!Z211</f>
        <v>0</v>
      </c>
      <c r="H219" s="111" t="str">
        <f>IFERROR(VLOOKUP(Table1722[[#This Row],[Bukti]],'Un nOTA'!$A$4:$K$5003,10,FALSE),"")</f>
        <v/>
      </c>
      <c r="I219" s="112" t="str">
        <f>IFERROR(VLOOKUP(Table1722[[#This Row],[Bukti]],Table13[#Data],11,FALSE),"")</f>
        <v/>
      </c>
    </row>
    <row r="220" spans="1:9" ht="19.5" hidden="1" customHeight="1" x14ac:dyDescent="0.2">
      <c r="A220" s="105" t="str">
        <f>IF(D220=1,COUNTIF($D$10:D220,1)," ")</f>
        <v xml:space="preserve"> </v>
      </c>
      <c r="B220" s="106" t="str">
        <f>COPY!AR212</f>
        <v/>
      </c>
      <c r="C220" s="107">
        <f>COPY!AC212</f>
        <v>0</v>
      </c>
      <c r="D220" s="107" t="str">
        <f>IF(LEN(Table1722[[#This Row],[Uraian]])&gt;2,1," ")</f>
        <v xml:space="preserve"> </v>
      </c>
      <c r="E220" s="113" t="str">
        <f>IF(Table1722[[#This Row],[Lawan Transaksi]]="CV AGUNG KARYA",COUNTIF($I$10:I220,"CV AGUNG KARYA")," ")</f>
        <v xml:space="preserve"> </v>
      </c>
      <c r="F220" s="107" t="str">
        <f>IF(LEN(Table1722[[#This Row],[Uraian]])&gt;2,TRIM(RIGHT(SUBSTITUTE(TRIM(C220)," ",REPT(" ",255)),255))," ")</f>
        <v xml:space="preserve"> </v>
      </c>
      <c r="G220" s="110">
        <f>COPY!Z212</f>
        <v>0</v>
      </c>
      <c r="H220" s="111" t="str">
        <f>IFERROR(VLOOKUP(Table1722[[#This Row],[Bukti]],'Un nOTA'!$A$4:$K$5003,10,FALSE),"")</f>
        <v/>
      </c>
      <c r="I220" s="112" t="str">
        <f>IFERROR(VLOOKUP(Table1722[[#This Row],[Bukti]],Table13[#Data],11,FALSE),"")</f>
        <v/>
      </c>
    </row>
    <row r="221" spans="1:9" ht="19.5" hidden="1" customHeight="1" x14ac:dyDescent="0.2">
      <c r="A221" s="105" t="str">
        <f>IF(D221=1,COUNTIF($D$10:D221,1)," ")</f>
        <v xml:space="preserve"> </v>
      </c>
      <c r="B221" s="106" t="str">
        <f>COPY!AR213</f>
        <v/>
      </c>
      <c r="C221" s="107">
        <f>COPY!AC213</f>
        <v>0</v>
      </c>
      <c r="D221" s="107" t="str">
        <f>IF(LEN(Table1722[[#This Row],[Uraian]])&gt;2,1," ")</f>
        <v xml:space="preserve"> </v>
      </c>
      <c r="E221" s="113" t="str">
        <f>IF(Table1722[[#This Row],[Lawan Transaksi]]="CV AGUNG KARYA",COUNTIF($I$10:I221,"CV AGUNG KARYA")," ")</f>
        <v xml:space="preserve"> </v>
      </c>
      <c r="F221" s="107" t="str">
        <f>IF(LEN(Table1722[[#This Row],[Uraian]])&gt;2,TRIM(RIGHT(SUBSTITUTE(TRIM(C221)," ",REPT(" ",255)),255))," ")</f>
        <v xml:space="preserve"> </v>
      </c>
      <c r="G221" s="110">
        <f>COPY!Z213</f>
        <v>0</v>
      </c>
      <c r="H221" s="111" t="str">
        <f>IFERROR(VLOOKUP(Table1722[[#This Row],[Bukti]],'Un nOTA'!$A$4:$K$5003,10,FALSE),"")</f>
        <v/>
      </c>
      <c r="I221" s="112" t="str">
        <f>IFERROR(VLOOKUP(Table1722[[#This Row],[Bukti]],Table13[#Data],11,FALSE),"")</f>
        <v/>
      </c>
    </row>
    <row r="222" spans="1:9" ht="19.5" hidden="1" customHeight="1" x14ac:dyDescent="0.2">
      <c r="A222" s="105" t="str">
        <f>IF(D222=1,COUNTIF($D$10:D222,1)," ")</f>
        <v xml:space="preserve"> </v>
      </c>
      <c r="B222" s="106" t="str">
        <f>COPY!AR214</f>
        <v/>
      </c>
      <c r="C222" s="107">
        <f>COPY!AC214</f>
        <v>0</v>
      </c>
      <c r="D222" s="107" t="str">
        <f>IF(LEN(Table1722[[#This Row],[Uraian]])&gt;2,1," ")</f>
        <v xml:space="preserve"> </v>
      </c>
      <c r="E222" s="113" t="str">
        <f>IF(Table1722[[#This Row],[Lawan Transaksi]]="CV AGUNG KARYA",COUNTIF($I$10:I222,"CV AGUNG KARYA")," ")</f>
        <v xml:space="preserve"> </v>
      </c>
      <c r="F222" s="107" t="str">
        <f>IF(LEN(Table1722[[#This Row],[Uraian]])&gt;2,TRIM(RIGHT(SUBSTITUTE(TRIM(C222)," ",REPT(" ",255)),255))," ")</f>
        <v xml:space="preserve"> </v>
      </c>
      <c r="G222" s="110">
        <f>COPY!Z214</f>
        <v>0</v>
      </c>
      <c r="H222" s="111" t="str">
        <f>IFERROR(VLOOKUP(Table1722[[#This Row],[Bukti]],'Un nOTA'!$A$4:$K$5003,10,FALSE),"")</f>
        <v/>
      </c>
      <c r="I222" s="112" t="str">
        <f>IFERROR(VLOOKUP(Table1722[[#This Row],[Bukti]],Table13[#Data],11,FALSE),"")</f>
        <v/>
      </c>
    </row>
    <row r="223" spans="1:9" ht="19.5" hidden="1" customHeight="1" x14ac:dyDescent="0.2">
      <c r="A223" s="105" t="str">
        <f>IF(D223=1,COUNTIF($D$10:D223,1)," ")</f>
        <v xml:space="preserve"> </v>
      </c>
      <c r="B223" s="106" t="str">
        <f>COPY!AR215</f>
        <v/>
      </c>
      <c r="C223" s="107">
        <f>COPY!AC215</f>
        <v>0</v>
      </c>
      <c r="D223" s="107" t="str">
        <f>IF(LEN(Table1722[[#This Row],[Uraian]])&gt;2,1," ")</f>
        <v xml:space="preserve"> </v>
      </c>
      <c r="E223" s="113" t="str">
        <f>IF(Table1722[[#This Row],[Lawan Transaksi]]="CV AGUNG KARYA",COUNTIF($I$10:I223,"CV AGUNG KARYA")," ")</f>
        <v xml:space="preserve"> </v>
      </c>
      <c r="F223" s="107" t="str">
        <f>IF(LEN(Table1722[[#This Row],[Uraian]])&gt;2,TRIM(RIGHT(SUBSTITUTE(TRIM(C223)," ",REPT(" ",255)),255))," ")</f>
        <v xml:space="preserve"> </v>
      </c>
      <c r="G223" s="110">
        <f>COPY!Z215</f>
        <v>0</v>
      </c>
      <c r="H223" s="111" t="str">
        <f>IFERROR(VLOOKUP(Table1722[[#This Row],[Bukti]],'Un nOTA'!$A$4:$K$5003,10,FALSE),"")</f>
        <v/>
      </c>
      <c r="I223" s="112" t="str">
        <f>IFERROR(VLOOKUP(Table1722[[#This Row],[Bukti]],Table13[#Data],11,FALSE),"")</f>
        <v/>
      </c>
    </row>
    <row r="224" spans="1:9" ht="19.5" hidden="1" customHeight="1" x14ac:dyDescent="0.2">
      <c r="A224" s="105" t="str">
        <f>IF(D224=1,COUNTIF($D$10:D224,1)," ")</f>
        <v xml:space="preserve"> </v>
      </c>
      <c r="B224" s="106" t="str">
        <f>COPY!AR216</f>
        <v/>
      </c>
      <c r="C224" s="107">
        <f>COPY!AC216</f>
        <v>0</v>
      </c>
      <c r="D224" s="107" t="str">
        <f>IF(LEN(Table1722[[#This Row],[Uraian]])&gt;2,1," ")</f>
        <v xml:space="preserve"> </v>
      </c>
      <c r="E224" s="113" t="str">
        <f>IF(Table1722[[#This Row],[Lawan Transaksi]]="CV AGUNG KARYA",COUNTIF($I$10:I224,"CV AGUNG KARYA")," ")</f>
        <v xml:space="preserve"> </v>
      </c>
      <c r="F224" s="107" t="str">
        <f>IF(LEN(Table1722[[#This Row],[Uraian]])&gt;2,TRIM(RIGHT(SUBSTITUTE(TRIM(C224)," ",REPT(" ",255)),255))," ")</f>
        <v xml:space="preserve"> </v>
      </c>
      <c r="G224" s="110">
        <f>COPY!Z216</f>
        <v>0</v>
      </c>
      <c r="H224" s="111" t="str">
        <f>IFERROR(VLOOKUP(Table1722[[#This Row],[Bukti]],'Un nOTA'!$A$4:$K$5003,10,FALSE),"")</f>
        <v/>
      </c>
      <c r="I224" s="112" t="str">
        <f>IFERROR(VLOOKUP(Table1722[[#This Row],[Bukti]],Table13[#Data],11,FALSE),"")</f>
        <v/>
      </c>
    </row>
    <row r="225" spans="1:9" ht="19.5" hidden="1" customHeight="1" x14ac:dyDescent="0.2">
      <c r="A225" s="105" t="str">
        <f>IF(D225=1,COUNTIF($D$10:D225,1)," ")</f>
        <v xml:space="preserve"> </v>
      </c>
      <c r="B225" s="106" t="str">
        <f>COPY!AR217</f>
        <v/>
      </c>
      <c r="C225" s="107">
        <f>COPY!AC217</f>
        <v>0</v>
      </c>
      <c r="D225" s="107" t="str">
        <f>IF(LEN(Table1722[[#This Row],[Uraian]])&gt;2,1," ")</f>
        <v xml:space="preserve"> </v>
      </c>
      <c r="E225" s="113" t="str">
        <f>IF(Table1722[[#This Row],[Lawan Transaksi]]="CV AGUNG KARYA",COUNTIF($I$10:I225,"CV AGUNG KARYA")," ")</f>
        <v xml:space="preserve"> </v>
      </c>
      <c r="F225" s="107" t="str">
        <f>IF(LEN(Table1722[[#This Row],[Uraian]])&gt;2,TRIM(RIGHT(SUBSTITUTE(TRIM(C225)," ",REPT(" ",255)),255))," ")</f>
        <v xml:space="preserve"> </v>
      </c>
      <c r="G225" s="110">
        <f>COPY!Z217</f>
        <v>0</v>
      </c>
      <c r="H225" s="111" t="str">
        <f>IFERROR(VLOOKUP(Table1722[[#This Row],[Bukti]],'Un nOTA'!$A$4:$K$5003,10,FALSE),"")</f>
        <v/>
      </c>
      <c r="I225" s="112" t="str">
        <f>IFERROR(VLOOKUP(Table1722[[#This Row],[Bukti]],Table13[#Data],11,FALSE),"")</f>
        <v/>
      </c>
    </row>
    <row r="226" spans="1:9" ht="19.5" hidden="1" customHeight="1" x14ac:dyDescent="0.2">
      <c r="A226" s="105" t="str">
        <f>IF(D226=1,COUNTIF($D$10:D226,1)," ")</f>
        <v xml:space="preserve"> </v>
      </c>
      <c r="B226" s="106" t="str">
        <f>COPY!AR218</f>
        <v/>
      </c>
      <c r="C226" s="107">
        <f>COPY!AC218</f>
        <v>0</v>
      </c>
      <c r="D226" s="107" t="str">
        <f>IF(LEN(Table1722[[#This Row],[Uraian]])&gt;2,1," ")</f>
        <v xml:space="preserve"> </v>
      </c>
      <c r="E226" s="113" t="str">
        <f>IF(Table1722[[#This Row],[Lawan Transaksi]]="CV AGUNG KARYA",COUNTIF($I$10:I226,"CV AGUNG KARYA")," ")</f>
        <v xml:space="preserve"> </v>
      </c>
      <c r="F226" s="107" t="str">
        <f>IF(LEN(Table1722[[#This Row],[Uraian]])&gt;2,TRIM(RIGHT(SUBSTITUTE(TRIM(C226)," ",REPT(" ",255)),255))," ")</f>
        <v xml:space="preserve"> </v>
      </c>
      <c r="G226" s="110">
        <f>COPY!Z218</f>
        <v>0</v>
      </c>
      <c r="H226" s="111" t="str">
        <f>IFERROR(VLOOKUP(Table1722[[#This Row],[Bukti]],'Un nOTA'!$A$4:$K$5003,10,FALSE),"")</f>
        <v/>
      </c>
      <c r="I226" s="112" t="str">
        <f>IFERROR(VLOOKUP(Table1722[[#This Row],[Bukti]],Table13[#Data],11,FALSE),"")</f>
        <v/>
      </c>
    </row>
    <row r="227" spans="1:9" ht="19.5" hidden="1" customHeight="1" x14ac:dyDescent="0.2">
      <c r="A227" s="105" t="str">
        <f>IF(D227=1,COUNTIF($D$10:D227,1)," ")</f>
        <v xml:space="preserve"> </v>
      </c>
      <c r="B227" s="106" t="str">
        <f>COPY!AR219</f>
        <v/>
      </c>
      <c r="C227" s="107">
        <f>COPY!AC219</f>
        <v>0</v>
      </c>
      <c r="D227" s="107" t="str">
        <f>IF(LEN(Table1722[[#This Row],[Uraian]])&gt;2,1," ")</f>
        <v xml:space="preserve"> </v>
      </c>
      <c r="E227" s="113" t="str">
        <f>IF(Table1722[[#This Row],[Lawan Transaksi]]="CV AGUNG KARYA",COUNTIF($I$10:I227,"CV AGUNG KARYA")," ")</f>
        <v xml:space="preserve"> </v>
      </c>
      <c r="F227" s="107" t="str">
        <f>IF(LEN(Table1722[[#This Row],[Uraian]])&gt;2,TRIM(RIGHT(SUBSTITUTE(TRIM(C227)," ",REPT(" ",255)),255))," ")</f>
        <v xml:space="preserve"> </v>
      </c>
      <c r="G227" s="110">
        <f>COPY!Z219</f>
        <v>0</v>
      </c>
      <c r="H227" s="111" t="str">
        <f>IFERROR(VLOOKUP(Table1722[[#This Row],[Bukti]],'Un nOTA'!$A$4:$K$5003,10,FALSE),"")</f>
        <v/>
      </c>
      <c r="I227" s="112" t="str">
        <f>IFERROR(VLOOKUP(Table1722[[#This Row],[Bukti]],Table13[#Data],11,FALSE),"")</f>
        <v/>
      </c>
    </row>
    <row r="228" spans="1:9" ht="19.5" hidden="1" customHeight="1" x14ac:dyDescent="0.2">
      <c r="A228" s="105" t="str">
        <f>IF(D228=1,COUNTIF($D$10:D228,1)," ")</f>
        <v xml:space="preserve"> </v>
      </c>
      <c r="B228" s="106" t="str">
        <f>COPY!AR220</f>
        <v/>
      </c>
      <c r="C228" s="107">
        <f>COPY!AC220</f>
        <v>0</v>
      </c>
      <c r="D228" s="107" t="str">
        <f>IF(LEN(Table1722[[#This Row],[Uraian]])&gt;2,1," ")</f>
        <v xml:space="preserve"> </v>
      </c>
      <c r="E228" s="113" t="str">
        <f>IF(Table1722[[#This Row],[Lawan Transaksi]]="CV AGUNG KARYA",COUNTIF($I$10:I228,"CV AGUNG KARYA")," ")</f>
        <v xml:space="preserve"> </v>
      </c>
      <c r="F228" s="107" t="str">
        <f>IF(LEN(Table1722[[#This Row],[Uraian]])&gt;2,TRIM(RIGHT(SUBSTITUTE(TRIM(C228)," ",REPT(" ",255)),255))," ")</f>
        <v xml:space="preserve"> </v>
      </c>
      <c r="G228" s="110">
        <f>COPY!Z220</f>
        <v>0</v>
      </c>
      <c r="H228" s="111" t="str">
        <f>IFERROR(VLOOKUP(Table1722[[#This Row],[Bukti]],'Un nOTA'!$A$4:$K$5003,10,FALSE),"")</f>
        <v/>
      </c>
      <c r="I228" s="112" t="str">
        <f>IFERROR(VLOOKUP(Table1722[[#This Row],[Bukti]],Table13[#Data],11,FALSE),"")</f>
        <v/>
      </c>
    </row>
    <row r="229" spans="1:9" ht="19.5" hidden="1" customHeight="1" x14ac:dyDescent="0.2">
      <c r="A229" s="105" t="str">
        <f>IF(D229=1,COUNTIF($D$10:D229,1)," ")</f>
        <v xml:space="preserve"> </v>
      </c>
      <c r="B229" s="106" t="str">
        <f>COPY!AR221</f>
        <v/>
      </c>
      <c r="C229" s="107">
        <f>COPY!AC221</f>
        <v>0</v>
      </c>
      <c r="D229" s="107" t="str">
        <f>IF(LEN(Table1722[[#This Row],[Uraian]])&gt;2,1," ")</f>
        <v xml:space="preserve"> </v>
      </c>
      <c r="E229" s="113" t="str">
        <f>IF(Table1722[[#This Row],[Lawan Transaksi]]="CV AGUNG KARYA",COUNTIF($I$10:I229,"CV AGUNG KARYA")," ")</f>
        <v xml:space="preserve"> </v>
      </c>
      <c r="F229" s="107" t="str">
        <f>IF(LEN(Table1722[[#This Row],[Uraian]])&gt;2,TRIM(RIGHT(SUBSTITUTE(TRIM(C229)," ",REPT(" ",255)),255))," ")</f>
        <v xml:space="preserve"> </v>
      </c>
      <c r="G229" s="110">
        <f>COPY!Z221</f>
        <v>0</v>
      </c>
      <c r="H229" s="111" t="str">
        <f>IFERROR(VLOOKUP(Table1722[[#This Row],[Bukti]],'Un nOTA'!$A$4:$K$5003,10,FALSE),"")</f>
        <v/>
      </c>
      <c r="I229" s="112" t="str">
        <f>IFERROR(VLOOKUP(Table1722[[#This Row],[Bukti]],Table13[#Data],11,FALSE),"")</f>
        <v/>
      </c>
    </row>
    <row r="230" spans="1:9" ht="19.5" hidden="1" customHeight="1" x14ac:dyDescent="0.2">
      <c r="A230" s="105" t="str">
        <f>IF(D230=1,COUNTIF($D$10:D230,1)," ")</f>
        <v xml:space="preserve"> </v>
      </c>
      <c r="B230" s="106" t="str">
        <f>COPY!AR222</f>
        <v/>
      </c>
      <c r="C230" s="107">
        <f>COPY!AC222</f>
        <v>0</v>
      </c>
      <c r="D230" s="107" t="str">
        <f>IF(LEN(Table1722[[#This Row],[Uraian]])&gt;2,1," ")</f>
        <v xml:space="preserve"> </v>
      </c>
      <c r="E230" s="113" t="str">
        <f>IF(Table1722[[#This Row],[Lawan Transaksi]]="CV AGUNG KARYA",COUNTIF($I$10:I230,"CV AGUNG KARYA")," ")</f>
        <v xml:space="preserve"> </v>
      </c>
      <c r="F230" s="107" t="str">
        <f>IF(LEN(Table1722[[#This Row],[Uraian]])&gt;2,TRIM(RIGHT(SUBSTITUTE(TRIM(C230)," ",REPT(" ",255)),255))," ")</f>
        <v xml:space="preserve"> </v>
      </c>
      <c r="G230" s="110">
        <f>COPY!Z222</f>
        <v>0</v>
      </c>
      <c r="H230" s="111" t="str">
        <f>IFERROR(VLOOKUP(Table1722[[#This Row],[Bukti]],'Un nOTA'!$A$4:$K$5003,10,FALSE),"")</f>
        <v/>
      </c>
      <c r="I230" s="112" t="str">
        <f>IFERROR(VLOOKUP(Table1722[[#This Row],[Bukti]],Table13[#Data],11,FALSE),"")</f>
        <v/>
      </c>
    </row>
    <row r="231" spans="1:9" ht="19.5" hidden="1" customHeight="1" x14ac:dyDescent="0.2">
      <c r="A231" s="105" t="str">
        <f>IF(D231=1,COUNTIF($D$10:D231,1)," ")</f>
        <v xml:space="preserve"> </v>
      </c>
      <c r="B231" s="106" t="str">
        <f>COPY!AR223</f>
        <v/>
      </c>
      <c r="C231" s="107">
        <f>COPY!AC223</f>
        <v>0</v>
      </c>
      <c r="D231" s="107" t="str">
        <f>IF(LEN(Table1722[[#This Row],[Uraian]])&gt;2,1," ")</f>
        <v xml:space="preserve"> </v>
      </c>
      <c r="E231" s="113" t="str">
        <f>IF(Table1722[[#This Row],[Lawan Transaksi]]="CV AGUNG KARYA",COUNTIF($I$10:I231,"CV AGUNG KARYA")," ")</f>
        <v xml:space="preserve"> </v>
      </c>
      <c r="F231" s="107" t="str">
        <f>IF(LEN(Table1722[[#This Row],[Uraian]])&gt;2,TRIM(RIGHT(SUBSTITUTE(TRIM(C231)," ",REPT(" ",255)),255))," ")</f>
        <v xml:space="preserve"> </v>
      </c>
      <c r="G231" s="110">
        <f>COPY!Z223</f>
        <v>0</v>
      </c>
      <c r="H231" s="111" t="str">
        <f>IFERROR(VLOOKUP(Table1722[[#This Row],[Bukti]],'Un nOTA'!$A$4:$K$5003,10,FALSE),"")</f>
        <v/>
      </c>
      <c r="I231" s="112" t="str">
        <f>IFERROR(VLOOKUP(Table1722[[#This Row],[Bukti]],Table13[#Data],11,FALSE),"")</f>
        <v/>
      </c>
    </row>
    <row r="232" spans="1:9" ht="19.5" hidden="1" customHeight="1" x14ac:dyDescent="0.2">
      <c r="A232" s="105" t="str">
        <f>IF(D232=1,COUNTIF($D$10:D232,1)," ")</f>
        <v xml:space="preserve"> </v>
      </c>
      <c r="B232" s="106" t="str">
        <f>COPY!AR224</f>
        <v/>
      </c>
      <c r="C232" s="107">
        <f>COPY!AC224</f>
        <v>0</v>
      </c>
      <c r="D232" s="107" t="str">
        <f>IF(LEN(Table1722[[#This Row],[Uraian]])&gt;2,1," ")</f>
        <v xml:space="preserve"> </v>
      </c>
      <c r="E232" s="113" t="str">
        <f>IF(Table1722[[#This Row],[Lawan Transaksi]]="CV AGUNG KARYA",COUNTIF($I$10:I232,"CV AGUNG KARYA")," ")</f>
        <v xml:space="preserve"> </v>
      </c>
      <c r="F232" s="107" t="str">
        <f>IF(LEN(Table1722[[#This Row],[Uraian]])&gt;2,TRIM(RIGHT(SUBSTITUTE(TRIM(C232)," ",REPT(" ",255)),255))," ")</f>
        <v xml:space="preserve"> </v>
      </c>
      <c r="G232" s="110">
        <f>COPY!Z224</f>
        <v>0</v>
      </c>
      <c r="H232" s="111" t="str">
        <f>IFERROR(VLOOKUP(Table1722[[#This Row],[Bukti]],'Un nOTA'!$A$4:$K$5003,10,FALSE),"")</f>
        <v/>
      </c>
      <c r="I232" s="112" t="str">
        <f>IFERROR(VLOOKUP(Table1722[[#This Row],[Bukti]],Table13[#Data],11,FALSE),"")</f>
        <v/>
      </c>
    </row>
    <row r="233" spans="1:9" ht="19.5" hidden="1" customHeight="1" x14ac:dyDescent="0.2">
      <c r="A233" s="105" t="str">
        <f>IF(D233=1,COUNTIF($D$10:D233,1)," ")</f>
        <v xml:space="preserve"> </v>
      </c>
      <c r="B233" s="106" t="str">
        <f>COPY!AR225</f>
        <v/>
      </c>
      <c r="C233" s="107">
        <f>COPY!AC225</f>
        <v>0</v>
      </c>
      <c r="D233" s="107" t="str">
        <f>IF(LEN(Table1722[[#This Row],[Uraian]])&gt;2,1," ")</f>
        <v xml:space="preserve"> </v>
      </c>
      <c r="E233" s="113" t="str">
        <f>IF(Table1722[[#This Row],[Lawan Transaksi]]="CV AGUNG KARYA",COUNTIF($I$10:I233,"CV AGUNG KARYA")," ")</f>
        <v xml:space="preserve"> </v>
      </c>
      <c r="F233" s="107" t="str">
        <f>IF(LEN(Table1722[[#This Row],[Uraian]])&gt;2,TRIM(RIGHT(SUBSTITUTE(TRIM(C233)," ",REPT(" ",255)),255))," ")</f>
        <v xml:space="preserve"> </v>
      </c>
      <c r="G233" s="110">
        <f>COPY!Z225</f>
        <v>0</v>
      </c>
      <c r="H233" s="111" t="str">
        <f>IFERROR(VLOOKUP(Table1722[[#This Row],[Bukti]],'Un nOTA'!$A$4:$K$5003,10,FALSE),"")</f>
        <v/>
      </c>
      <c r="I233" s="112" t="str">
        <f>IFERROR(VLOOKUP(Table1722[[#This Row],[Bukti]],Table13[#Data],11,FALSE),"")</f>
        <v/>
      </c>
    </row>
    <row r="234" spans="1:9" ht="19.5" hidden="1" customHeight="1" x14ac:dyDescent="0.2">
      <c r="A234" s="105" t="str">
        <f>IF(D234=1,COUNTIF($D$10:D234,1)," ")</f>
        <v xml:space="preserve"> </v>
      </c>
      <c r="B234" s="106" t="str">
        <f>COPY!AR226</f>
        <v/>
      </c>
      <c r="C234" s="107">
        <f>COPY!AC226</f>
        <v>0</v>
      </c>
      <c r="D234" s="107" t="str">
        <f>IF(LEN(Table1722[[#This Row],[Uraian]])&gt;2,1," ")</f>
        <v xml:space="preserve"> </v>
      </c>
      <c r="E234" s="113" t="str">
        <f>IF(Table1722[[#This Row],[Lawan Transaksi]]="CV AGUNG KARYA",COUNTIF($I$10:I234,"CV AGUNG KARYA")," ")</f>
        <v xml:space="preserve"> </v>
      </c>
      <c r="F234" s="107" t="str">
        <f>IF(LEN(Table1722[[#This Row],[Uraian]])&gt;2,TRIM(RIGHT(SUBSTITUTE(TRIM(C234)," ",REPT(" ",255)),255))," ")</f>
        <v xml:space="preserve"> </v>
      </c>
      <c r="G234" s="110">
        <f>COPY!Z226</f>
        <v>0</v>
      </c>
      <c r="H234" s="111" t="str">
        <f>IFERROR(VLOOKUP(Table1722[[#This Row],[Bukti]],'Un nOTA'!$A$4:$K$5003,10,FALSE),"")</f>
        <v/>
      </c>
      <c r="I234" s="112" t="str">
        <f>IFERROR(VLOOKUP(Table1722[[#This Row],[Bukti]],Table13[#Data],11,FALSE),"")</f>
        <v/>
      </c>
    </row>
    <row r="235" spans="1:9" ht="19.5" hidden="1" customHeight="1" x14ac:dyDescent="0.2">
      <c r="A235" s="105" t="str">
        <f>IF(D235=1,COUNTIF($D$10:D235,1)," ")</f>
        <v xml:space="preserve"> </v>
      </c>
      <c r="B235" s="106" t="str">
        <f>COPY!AR227</f>
        <v/>
      </c>
      <c r="C235" s="107">
        <f>COPY!AC227</f>
        <v>0</v>
      </c>
      <c r="D235" s="107" t="str">
        <f>IF(LEN(Table1722[[#This Row],[Uraian]])&gt;2,1," ")</f>
        <v xml:space="preserve"> </v>
      </c>
      <c r="E235" s="113" t="str">
        <f>IF(Table1722[[#This Row],[Lawan Transaksi]]="CV AGUNG KARYA",COUNTIF($I$10:I235,"CV AGUNG KARYA")," ")</f>
        <v xml:space="preserve"> </v>
      </c>
      <c r="F235" s="107" t="str">
        <f>IF(LEN(Table1722[[#This Row],[Uraian]])&gt;2,TRIM(RIGHT(SUBSTITUTE(TRIM(C235)," ",REPT(" ",255)),255))," ")</f>
        <v xml:space="preserve"> </v>
      </c>
      <c r="G235" s="110">
        <f>COPY!Z227</f>
        <v>0</v>
      </c>
      <c r="H235" s="111" t="str">
        <f>IFERROR(VLOOKUP(Table1722[[#This Row],[Bukti]],'Un nOTA'!$A$4:$K$5003,10,FALSE),"")</f>
        <v/>
      </c>
      <c r="I235" s="112" t="str">
        <f>IFERROR(VLOOKUP(Table1722[[#This Row],[Bukti]],Table13[#Data],11,FALSE),"")</f>
        <v/>
      </c>
    </row>
    <row r="236" spans="1:9" ht="19.5" hidden="1" customHeight="1" x14ac:dyDescent="0.2">
      <c r="A236" s="105" t="str">
        <f>IF(D236=1,COUNTIF($D$10:D236,1)," ")</f>
        <v xml:space="preserve"> </v>
      </c>
      <c r="B236" s="106" t="str">
        <f>COPY!AR228</f>
        <v/>
      </c>
      <c r="C236" s="107">
        <f>COPY!AC228</f>
        <v>0</v>
      </c>
      <c r="D236" s="107" t="str">
        <f>IF(LEN(Table1722[[#This Row],[Uraian]])&gt;2,1," ")</f>
        <v xml:space="preserve"> </v>
      </c>
      <c r="E236" s="113" t="str">
        <f>IF(Table1722[[#This Row],[Lawan Transaksi]]="CV AGUNG KARYA",COUNTIF($I$10:I236,"CV AGUNG KARYA")," ")</f>
        <v xml:space="preserve"> </v>
      </c>
      <c r="F236" s="107" t="str">
        <f>IF(LEN(Table1722[[#This Row],[Uraian]])&gt;2,TRIM(RIGHT(SUBSTITUTE(TRIM(C236)," ",REPT(" ",255)),255))," ")</f>
        <v xml:space="preserve"> </v>
      </c>
      <c r="G236" s="110">
        <f>COPY!Z228</f>
        <v>0</v>
      </c>
      <c r="H236" s="111" t="str">
        <f>IFERROR(VLOOKUP(Table1722[[#This Row],[Bukti]],'Un nOTA'!$A$4:$K$5003,10,FALSE),"")</f>
        <v/>
      </c>
      <c r="I236" s="112" t="str">
        <f>IFERROR(VLOOKUP(Table1722[[#This Row],[Bukti]],Table13[#Data],11,FALSE),"")</f>
        <v/>
      </c>
    </row>
    <row r="237" spans="1:9" ht="19.5" hidden="1" customHeight="1" x14ac:dyDescent="0.2">
      <c r="A237" s="105" t="str">
        <f>IF(D237=1,COUNTIF($D$10:D237,1)," ")</f>
        <v xml:space="preserve"> </v>
      </c>
      <c r="B237" s="106" t="str">
        <f>COPY!AR229</f>
        <v/>
      </c>
      <c r="C237" s="107">
        <f>COPY!AC229</f>
        <v>0</v>
      </c>
      <c r="D237" s="107" t="str">
        <f>IF(LEN(Table1722[[#This Row],[Uraian]])&gt;2,1," ")</f>
        <v xml:space="preserve"> </v>
      </c>
      <c r="E237" s="113" t="str">
        <f>IF(Table1722[[#This Row],[Lawan Transaksi]]="CV AGUNG KARYA",COUNTIF($I$10:I237,"CV AGUNG KARYA")," ")</f>
        <v xml:space="preserve"> </v>
      </c>
      <c r="F237" s="107" t="str">
        <f>IF(LEN(Table1722[[#This Row],[Uraian]])&gt;2,TRIM(RIGHT(SUBSTITUTE(TRIM(C237)," ",REPT(" ",255)),255))," ")</f>
        <v xml:space="preserve"> </v>
      </c>
      <c r="G237" s="110">
        <f>COPY!Z229</f>
        <v>0</v>
      </c>
      <c r="H237" s="111" t="str">
        <f>IFERROR(VLOOKUP(Table1722[[#This Row],[Bukti]],'Un nOTA'!$A$4:$K$5003,10,FALSE),"")</f>
        <v/>
      </c>
      <c r="I237" s="112" t="str">
        <f>IFERROR(VLOOKUP(Table1722[[#This Row],[Bukti]],Table13[#Data],11,FALSE),"")</f>
        <v/>
      </c>
    </row>
    <row r="238" spans="1:9" ht="19.5" hidden="1" customHeight="1" x14ac:dyDescent="0.2">
      <c r="A238" s="105" t="str">
        <f>IF(D238=1,COUNTIF($D$10:D238,1)," ")</f>
        <v xml:space="preserve"> </v>
      </c>
      <c r="B238" s="106" t="str">
        <f>COPY!AR230</f>
        <v/>
      </c>
      <c r="C238" s="107">
        <f>COPY!AC230</f>
        <v>0</v>
      </c>
      <c r="D238" s="107" t="str">
        <f>IF(LEN(Table1722[[#This Row],[Uraian]])&gt;2,1," ")</f>
        <v xml:space="preserve"> </v>
      </c>
      <c r="E238" s="113" t="str">
        <f>IF(Table1722[[#This Row],[Lawan Transaksi]]="CV AGUNG KARYA",COUNTIF($I$10:I238,"CV AGUNG KARYA")," ")</f>
        <v xml:space="preserve"> </v>
      </c>
      <c r="F238" s="107" t="str">
        <f>IF(LEN(Table1722[[#This Row],[Uraian]])&gt;2,TRIM(RIGHT(SUBSTITUTE(TRIM(C238)," ",REPT(" ",255)),255))," ")</f>
        <v xml:space="preserve"> </v>
      </c>
      <c r="G238" s="110">
        <f>COPY!Z230</f>
        <v>0</v>
      </c>
      <c r="H238" s="111" t="str">
        <f>IFERROR(VLOOKUP(Table1722[[#This Row],[Bukti]],'Un nOTA'!$A$4:$K$5003,10,FALSE),"")</f>
        <v/>
      </c>
      <c r="I238" s="112" t="str">
        <f>IFERROR(VLOOKUP(Table1722[[#This Row],[Bukti]],Table13[#Data],11,FALSE),"")</f>
        <v/>
      </c>
    </row>
    <row r="239" spans="1:9" ht="19.5" hidden="1" customHeight="1" x14ac:dyDescent="0.2">
      <c r="A239" s="105" t="str">
        <f>IF(D239=1,COUNTIF($D$10:D239,1)," ")</f>
        <v xml:space="preserve"> </v>
      </c>
      <c r="B239" s="106" t="str">
        <f>COPY!AR231</f>
        <v/>
      </c>
      <c r="C239" s="107">
        <f>COPY!AC231</f>
        <v>0</v>
      </c>
      <c r="D239" s="107" t="str">
        <f>IF(LEN(Table1722[[#This Row],[Uraian]])&gt;2,1," ")</f>
        <v xml:space="preserve"> </v>
      </c>
      <c r="E239" s="113" t="str">
        <f>IF(Table1722[[#This Row],[Lawan Transaksi]]="CV AGUNG KARYA",COUNTIF($I$10:I239,"CV AGUNG KARYA")," ")</f>
        <v xml:space="preserve"> </v>
      </c>
      <c r="F239" s="107" t="str">
        <f>IF(LEN(Table1722[[#This Row],[Uraian]])&gt;2,TRIM(RIGHT(SUBSTITUTE(TRIM(C239)," ",REPT(" ",255)),255))," ")</f>
        <v xml:space="preserve"> </v>
      </c>
      <c r="G239" s="110">
        <f>COPY!Z231</f>
        <v>0</v>
      </c>
      <c r="H239" s="111" t="str">
        <f>IFERROR(VLOOKUP(Table1722[[#This Row],[Bukti]],'Un nOTA'!$A$4:$K$5003,10,FALSE),"")</f>
        <v/>
      </c>
      <c r="I239" s="112" t="str">
        <f>IFERROR(VLOOKUP(Table1722[[#This Row],[Bukti]],Table13[#Data],11,FALSE),"")</f>
        <v/>
      </c>
    </row>
    <row r="240" spans="1:9" ht="19.5" hidden="1" customHeight="1" x14ac:dyDescent="0.2">
      <c r="A240" s="105" t="str">
        <f>IF(D240=1,COUNTIF($D$10:D240,1)," ")</f>
        <v xml:space="preserve"> </v>
      </c>
      <c r="B240" s="106" t="str">
        <f>COPY!AR232</f>
        <v/>
      </c>
      <c r="C240" s="107">
        <f>COPY!AC232</f>
        <v>0</v>
      </c>
      <c r="D240" s="107" t="str">
        <f>IF(LEN(Table1722[[#This Row],[Uraian]])&gt;2,1," ")</f>
        <v xml:space="preserve"> </v>
      </c>
      <c r="E240" s="113" t="str">
        <f>IF(Table1722[[#This Row],[Lawan Transaksi]]="CV AGUNG KARYA",COUNTIF($I$10:I240,"CV AGUNG KARYA")," ")</f>
        <v xml:space="preserve"> </v>
      </c>
      <c r="F240" s="107" t="str">
        <f>IF(LEN(Table1722[[#This Row],[Uraian]])&gt;2,TRIM(RIGHT(SUBSTITUTE(TRIM(C240)," ",REPT(" ",255)),255))," ")</f>
        <v xml:space="preserve"> </v>
      </c>
      <c r="G240" s="110">
        <f>COPY!Z232</f>
        <v>0</v>
      </c>
      <c r="H240" s="111" t="str">
        <f>IFERROR(VLOOKUP(Table1722[[#This Row],[Bukti]],'Un nOTA'!$A$4:$K$5003,10,FALSE),"")</f>
        <v/>
      </c>
      <c r="I240" s="112" t="str">
        <f>IFERROR(VLOOKUP(Table1722[[#This Row],[Bukti]],Table13[#Data],11,FALSE),"")</f>
        <v/>
      </c>
    </row>
    <row r="241" spans="1:9" ht="19.5" hidden="1" customHeight="1" x14ac:dyDescent="0.2">
      <c r="A241" s="105" t="str">
        <f>IF(D241=1,COUNTIF($D$10:D241,1)," ")</f>
        <v xml:space="preserve"> </v>
      </c>
      <c r="B241" s="106" t="str">
        <f>COPY!AR233</f>
        <v/>
      </c>
      <c r="C241" s="107">
        <f>COPY!AC233</f>
        <v>0</v>
      </c>
      <c r="D241" s="107" t="str">
        <f>IF(LEN(Table1722[[#This Row],[Uraian]])&gt;2,1," ")</f>
        <v xml:space="preserve"> </v>
      </c>
      <c r="E241" s="113" t="str">
        <f>IF(Table1722[[#This Row],[Lawan Transaksi]]="CV AGUNG KARYA",COUNTIF($I$10:I241,"CV AGUNG KARYA")," ")</f>
        <v xml:space="preserve"> </v>
      </c>
      <c r="F241" s="107" t="str">
        <f>IF(LEN(Table1722[[#This Row],[Uraian]])&gt;2,TRIM(RIGHT(SUBSTITUTE(TRIM(C241)," ",REPT(" ",255)),255))," ")</f>
        <v xml:space="preserve"> </v>
      </c>
      <c r="G241" s="110">
        <f>COPY!Z233</f>
        <v>0</v>
      </c>
      <c r="H241" s="111" t="str">
        <f>IFERROR(VLOOKUP(Table1722[[#This Row],[Bukti]],'Un nOTA'!$A$4:$K$5003,10,FALSE),"")</f>
        <v/>
      </c>
      <c r="I241" s="112" t="str">
        <f>IFERROR(VLOOKUP(Table1722[[#This Row],[Bukti]],Table13[#Data],11,FALSE),"")</f>
        <v/>
      </c>
    </row>
    <row r="242" spans="1:9" ht="19.5" hidden="1" customHeight="1" x14ac:dyDescent="0.2">
      <c r="A242" s="105" t="str">
        <f>IF(D242=1,COUNTIF($D$10:D242,1)," ")</f>
        <v xml:space="preserve"> </v>
      </c>
      <c r="B242" s="106" t="str">
        <f>COPY!AR234</f>
        <v/>
      </c>
      <c r="C242" s="107">
        <f>COPY!AC234</f>
        <v>0</v>
      </c>
      <c r="D242" s="107" t="str">
        <f>IF(LEN(Table1722[[#This Row],[Uraian]])&gt;2,1," ")</f>
        <v xml:space="preserve"> </v>
      </c>
      <c r="E242" s="113" t="str">
        <f>IF(Table1722[[#This Row],[Lawan Transaksi]]="CV AGUNG KARYA",COUNTIF($I$10:I242,"CV AGUNG KARYA")," ")</f>
        <v xml:space="preserve"> </v>
      </c>
      <c r="F242" s="107" t="str">
        <f>IF(LEN(Table1722[[#This Row],[Uraian]])&gt;2,TRIM(RIGHT(SUBSTITUTE(TRIM(C242)," ",REPT(" ",255)),255))," ")</f>
        <v xml:space="preserve"> </v>
      </c>
      <c r="G242" s="110">
        <f>COPY!Z234</f>
        <v>0</v>
      </c>
      <c r="H242" s="111" t="str">
        <f>IFERROR(VLOOKUP(Table1722[[#This Row],[Bukti]],'Un nOTA'!$A$4:$K$5003,10,FALSE),"")</f>
        <v/>
      </c>
      <c r="I242" s="112" t="str">
        <f>IFERROR(VLOOKUP(Table1722[[#This Row],[Bukti]],Table13[#Data],11,FALSE),"")</f>
        <v/>
      </c>
    </row>
    <row r="243" spans="1:9" ht="19.5" hidden="1" customHeight="1" x14ac:dyDescent="0.2">
      <c r="A243" s="105" t="str">
        <f>IF(D243=1,COUNTIF($D$10:D243,1)," ")</f>
        <v xml:space="preserve"> </v>
      </c>
      <c r="B243" s="106" t="str">
        <f>COPY!AR235</f>
        <v/>
      </c>
      <c r="C243" s="107">
        <f>COPY!AC235</f>
        <v>0</v>
      </c>
      <c r="D243" s="107" t="str">
        <f>IF(LEN(Table1722[[#This Row],[Uraian]])&gt;2,1," ")</f>
        <v xml:space="preserve"> </v>
      </c>
      <c r="E243" s="113" t="str">
        <f>IF(Table1722[[#This Row],[Lawan Transaksi]]="CV AGUNG KARYA",COUNTIF($I$10:I243,"CV AGUNG KARYA")," ")</f>
        <v xml:space="preserve"> </v>
      </c>
      <c r="F243" s="107" t="str">
        <f>IF(LEN(Table1722[[#This Row],[Uraian]])&gt;2,TRIM(RIGHT(SUBSTITUTE(TRIM(C243)," ",REPT(" ",255)),255))," ")</f>
        <v xml:space="preserve"> </v>
      </c>
      <c r="G243" s="110">
        <f>COPY!Z235</f>
        <v>0</v>
      </c>
      <c r="H243" s="111" t="str">
        <f>IFERROR(VLOOKUP(Table1722[[#This Row],[Bukti]],'Un nOTA'!$A$4:$K$5003,10,FALSE),"")</f>
        <v/>
      </c>
      <c r="I243" s="112" t="str">
        <f>IFERROR(VLOOKUP(Table1722[[#This Row],[Bukti]],Table13[#Data],11,FALSE),"")</f>
        <v/>
      </c>
    </row>
    <row r="244" spans="1:9" ht="19.5" hidden="1" customHeight="1" x14ac:dyDescent="0.2">
      <c r="A244" s="105" t="str">
        <f>IF(D244=1,COUNTIF($D$10:D244,1)," ")</f>
        <v xml:space="preserve"> </v>
      </c>
      <c r="B244" s="106" t="str">
        <f>COPY!AR236</f>
        <v/>
      </c>
      <c r="C244" s="107">
        <f>COPY!AC236</f>
        <v>0</v>
      </c>
      <c r="D244" s="107" t="str">
        <f>IF(LEN(Table1722[[#This Row],[Uraian]])&gt;2,1," ")</f>
        <v xml:space="preserve"> </v>
      </c>
      <c r="E244" s="113" t="str">
        <f>IF(Table1722[[#This Row],[Lawan Transaksi]]="CV AGUNG KARYA",COUNTIF($I$10:I244,"CV AGUNG KARYA")," ")</f>
        <v xml:space="preserve"> </v>
      </c>
      <c r="F244" s="107" t="str">
        <f>IF(LEN(Table1722[[#This Row],[Uraian]])&gt;2,TRIM(RIGHT(SUBSTITUTE(TRIM(C244)," ",REPT(" ",255)),255))," ")</f>
        <v xml:space="preserve"> </v>
      </c>
      <c r="G244" s="110">
        <f>COPY!Z236</f>
        <v>0</v>
      </c>
      <c r="H244" s="111" t="str">
        <f>IFERROR(VLOOKUP(Table1722[[#This Row],[Bukti]],'Un nOTA'!$A$4:$K$5003,10,FALSE),"")</f>
        <v/>
      </c>
      <c r="I244" s="112" t="str">
        <f>IFERROR(VLOOKUP(Table1722[[#This Row],[Bukti]],Table13[#Data],11,FALSE),"")</f>
        <v/>
      </c>
    </row>
    <row r="245" spans="1:9" ht="19.5" hidden="1" customHeight="1" x14ac:dyDescent="0.2">
      <c r="A245" s="105" t="str">
        <f>IF(D245=1,COUNTIF($D$10:D245,1)," ")</f>
        <v xml:space="preserve"> </v>
      </c>
      <c r="B245" s="106" t="str">
        <f>COPY!AR237</f>
        <v/>
      </c>
      <c r="C245" s="107">
        <f>COPY!AC237</f>
        <v>0</v>
      </c>
      <c r="D245" s="107" t="str">
        <f>IF(LEN(Table1722[[#This Row],[Uraian]])&gt;2,1," ")</f>
        <v xml:space="preserve"> </v>
      </c>
      <c r="E245" s="113" t="str">
        <f>IF(Table1722[[#This Row],[Lawan Transaksi]]="CV AGUNG KARYA",COUNTIF($I$10:I245,"CV AGUNG KARYA")," ")</f>
        <v xml:space="preserve"> </v>
      </c>
      <c r="F245" s="107" t="str">
        <f>IF(LEN(Table1722[[#This Row],[Uraian]])&gt;2,TRIM(RIGHT(SUBSTITUTE(TRIM(C245)," ",REPT(" ",255)),255))," ")</f>
        <v xml:space="preserve"> </v>
      </c>
      <c r="G245" s="110">
        <f>COPY!Z237</f>
        <v>0</v>
      </c>
      <c r="H245" s="111" t="str">
        <f>IFERROR(VLOOKUP(Table1722[[#This Row],[Bukti]],'Un nOTA'!$A$4:$K$5003,10,FALSE),"")</f>
        <v/>
      </c>
      <c r="I245" s="112" t="str">
        <f>IFERROR(VLOOKUP(Table1722[[#This Row],[Bukti]],Table13[#Data],11,FALSE),"")</f>
        <v/>
      </c>
    </row>
    <row r="246" spans="1:9" ht="19.5" hidden="1" customHeight="1" x14ac:dyDescent="0.2">
      <c r="A246" s="105" t="str">
        <f>IF(D246=1,COUNTIF($D$10:D246,1)," ")</f>
        <v xml:space="preserve"> </v>
      </c>
      <c r="B246" s="106" t="str">
        <f>COPY!AR238</f>
        <v/>
      </c>
      <c r="C246" s="107">
        <f>COPY!AC238</f>
        <v>0</v>
      </c>
      <c r="D246" s="107" t="str">
        <f>IF(LEN(Table1722[[#This Row],[Uraian]])&gt;2,1," ")</f>
        <v xml:space="preserve"> </v>
      </c>
      <c r="E246" s="113" t="str">
        <f>IF(Table1722[[#This Row],[Lawan Transaksi]]="CV AGUNG KARYA",COUNTIF($I$10:I246,"CV AGUNG KARYA")," ")</f>
        <v xml:space="preserve"> </v>
      </c>
      <c r="F246" s="107" t="str">
        <f>IF(LEN(Table1722[[#This Row],[Uraian]])&gt;2,TRIM(RIGHT(SUBSTITUTE(TRIM(C246)," ",REPT(" ",255)),255))," ")</f>
        <v xml:space="preserve"> </v>
      </c>
      <c r="G246" s="110">
        <f>COPY!Z238</f>
        <v>0</v>
      </c>
      <c r="H246" s="111" t="str">
        <f>IFERROR(VLOOKUP(Table1722[[#This Row],[Bukti]],'Un nOTA'!$A$4:$K$5003,10,FALSE),"")</f>
        <v/>
      </c>
      <c r="I246" s="112" t="str">
        <f>IFERROR(VLOOKUP(Table1722[[#This Row],[Bukti]],Table13[#Data],11,FALSE),"")</f>
        <v/>
      </c>
    </row>
    <row r="247" spans="1:9" ht="19.5" hidden="1" customHeight="1" x14ac:dyDescent="0.2">
      <c r="A247" s="105" t="str">
        <f>IF(D247=1,COUNTIF($D$10:D247,1)," ")</f>
        <v xml:space="preserve"> </v>
      </c>
      <c r="B247" s="106" t="str">
        <f>COPY!AR239</f>
        <v/>
      </c>
      <c r="C247" s="107">
        <f>COPY!AC239</f>
        <v>0</v>
      </c>
      <c r="D247" s="107" t="str">
        <f>IF(LEN(Table1722[[#This Row],[Uraian]])&gt;2,1," ")</f>
        <v xml:space="preserve"> </v>
      </c>
      <c r="E247" s="113" t="str">
        <f>IF(Table1722[[#This Row],[Lawan Transaksi]]="CV AGUNG KARYA",COUNTIF($I$10:I247,"CV AGUNG KARYA")," ")</f>
        <v xml:space="preserve"> </v>
      </c>
      <c r="F247" s="107" t="str">
        <f>IF(LEN(Table1722[[#This Row],[Uraian]])&gt;2,TRIM(RIGHT(SUBSTITUTE(TRIM(C247)," ",REPT(" ",255)),255))," ")</f>
        <v xml:space="preserve"> </v>
      </c>
      <c r="G247" s="110">
        <f>COPY!Z239</f>
        <v>0</v>
      </c>
      <c r="H247" s="111" t="str">
        <f>IFERROR(VLOOKUP(Table1722[[#This Row],[Bukti]],'Un nOTA'!$A$4:$K$5003,10,FALSE),"")</f>
        <v/>
      </c>
      <c r="I247" s="112" t="str">
        <f>IFERROR(VLOOKUP(Table1722[[#This Row],[Bukti]],Table13[#Data],11,FALSE),"")</f>
        <v/>
      </c>
    </row>
    <row r="248" spans="1:9" ht="19.5" hidden="1" customHeight="1" x14ac:dyDescent="0.2">
      <c r="A248" s="105" t="str">
        <f>IF(D248=1,COUNTIF($D$10:D248,1)," ")</f>
        <v xml:space="preserve"> </v>
      </c>
      <c r="B248" s="106" t="str">
        <f>COPY!AR240</f>
        <v/>
      </c>
      <c r="C248" s="107">
        <f>COPY!AC240</f>
        <v>0</v>
      </c>
      <c r="D248" s="107" t="str">
        <f>IF(LEN(Table1722[[#This Row],[Uraian]])&gt;2,1," ")</f>
        <v xml:space="preserve"> </v>
      </c>
      <c r="E248" s="113" t="str">
        <f>IF(Table1722[[#This Row],[Lawan Transaksi]]="CV AGUNG KARYA",COUNTIF($I$10:I248,"CV AGUNG KARYA")," ")</f>
        <v xml:space="preserve"> </v>
      </c>
      <c r="F248" s="107" t="str">
        <f>IF(LEN(Table1722[[#This Row],[Uraian]])&gt;2,TRIM(RIGHT(SUBSTITUTE(TRIM(C248)," ",REPT(" ",255)),255))," ")</f>
        <v xml:space="preserve"> </v>
      </c>
      <c r="G248" s="110">
        <f>COPY!Z240</f>
        <v>0</v>
      </c>
      <c r="H248" s="111" t="str">
        <f>IFERROR(VLOOKUP(Table1722[[#This Row],[Bukti]],'Un nOTA'!$A$4:$K$5003,10,FALSE),"")</f>
        <v/>
      </c>
      <c r="I248" s="112" t="str">
        <f>IFERROR(VLOOKUP(Table1722[[#This Row],[Bukti]],Table13[#Data],11,FALSE),"")</f>
        <v/>
      </c>
    </row>
    <row r="249" spans="1:9" ht="19.5" hidden="1" customHeight="1" x14ac:dyDescent="0.2">
      <c r="A249" s="105" t="str">
        <f>IF(D249=1,COUNTIF($D$10:D249,1)," ")</f>
        <v xml:space="preserve"> </v>
      </c>
      <c r="B249" s="106" t="str">
        <f>COPY!AR241</f>
        <v/>
      </c>
      <c r="C249" s="107">
        <f>COPY!AC241</f>
        <v>0</v>
      </c>
      <c r="D249" s="107" t="str">
        <f>IF(LEN(Table1722[[#This Row],[Uraian]])&gt;2,1," ")</f>
        <v xml:space="preserve"> </v>
      </c>
      <c r="E249" s="113" t="str">
        <f>IF(Table1722[[#This Row],[Lawan Transaksi]]="CV AGUNG KARYA",COUNTIF($I$10:I249,"CV AGUNG KARYA")," ")</f>
        <v xml:space="preserve"> </v>
      </c>
      <c r="F249" s="107" t="str">
        <f>IF(LEN(Table1722[[#This Row],[Uraian]])&gt;2,TRIM(RIGHT(SUBSTITUTE(TRIM(C249)," ",REPT(" ",255)),255))," ")</f>
        <v xml:space="preserve"> </v>
      </c>
      <c r="G249" s="110">
        <f>COPY!Z241</f>
        <v>0</v>
      </c>
      <c r="H249" s="111" t="str">
        <f>IFERROR(VLOOKUP(Table1722[[#This Row],[Bukti]],'Un nOTA'!$A$4:$K$5003,10,FALSE),"")</f>
        <v/>
      </c>
      <c r="I249" s="112" t="str">
        <f>IFERROR(VLOOKUP(Table1722[[#This Row],[Bukti]],Table13[#Data],11,FALSE),"")</f>
        <v/>
      </c>
    </row>
    <row r="250" spans="1:9" ht="19.5" hidden="1" customHeight="1" x14ac:dyDescent="0.2">
      <c r="A250" s="105" t="str">
        <f>IF(D250=1,COUNTIF($D$10:D250,1)," ")</f>
        <v xml:space="preserve"> </v>
      </c>
      <c r="B250" s="106" t="str">
        <f>COPY!AR242</f>
        <v/>
      </c>
      <c r="C250" s="107">
        <f>COPY!AC242</f>
        <v>0</v>
      </c>
      <c r="D250" s="107" t="str">
        <f>IF(LEN(Table1722[[#This Row],[Uraian]])&gt;2,1," ")</f>
        <v xml:space="preserve"> </v>
      </c>
      <c r="E250" s="113" t="str">
        <f>IF(Table1722[[#This Row],[Lawan Transaksi]]="CV AGUNG KARYA",COUNTIF($I$10:I250,"CV AGUNG KARYA")," ")</f>
        <v xml:space="preserve"> </v>
      </c>
      <c r="F250" s="107" t="str">
        <f>IF(LEN(Table1722[[#This Row],[Uraian]])&gt;2,TRIM(RIGHT(SUBSTITUTE(TRIM(C250)," ",REPT(" ",255)),255))," ")</f>
        <v xml:space="preserve"> </v>
      </c>
      <c r="G250" s="110">
        <f>COPY!Z242</f>
        <v>0</v>
      </c>
      <c r="H250" s="111" t="str">
        <f>IFERROR(VLOOKUP(Table1722[[#This Row],[Bukti]],'Un nOTA'!$A$4:$K$5003,10,FALSE),"")</f>
        <v/>
      </c>
      <c r="I250" s="112" t="str">
        <f>IFERROR(VLOOKUP(Table1722[[#This Row],[Bukti]],Table13[#Data],11,FALSE),"")</f>
        <v/>
      </c>
    </row>
    <row r="251" spans="1:9" ht="19.5" hidden="1" customHeight="1" x14ac:dyDescent="0.2">
      <c r="A251" s="105" t="str">
        <f>IF(D251=1,COUNTIF($D$10:D251,1)," ")</f>
        <v xml:space="preserve"> </v>
      </c>
      <c r="B251" s="106" t="str">
        <f>COPY!AR243</f>
        <v/>
      </c>
      <c r="C251" s="107">
        <f>COPY!AC243</f>
        <v>0</v>
      </c>
      <c r="D251" s="107" t="str">
        <f>IF(LEN(Table1722[[#This Row],[Uraian]])&gt;2,1," ")</f>
        <v xml:space="preserve"> </v>
      </c>
      <c r="E251" s="113" t="str">
        <f>IF(Table1722[[#This Row],[Lawan Transaksi]]="CV AGUNG KARYA",COUNTIF($I$10:I251,"CV AGUNG KARYA")," ")</f>
        <v xml:space="preserve"> </v>
      </c>
      <c r="F251" s="107" t="str">
        <f>IF(LEN(Table1722[[#This Row],[Uraian]])&gt;2,TRIM(RIGHT(SUBSTITUTE(TRIM(C251)," ",REPT(" ",255)),255))," ")</f>
        <v xml:space="preserve"> </v>
      </c>
      <c r="G251" s="110">
        <f>COPY!Z243</f>
        <v>0</v>
      </c>
      <c r="H251" s="111" t="str">
        <f>IFERROR(VLOOKUP(Table1722[[#This Row],[Bukti]],'Un nOTA'!$A$4:$K$5003,10,FALSE),"")</f>
        <v/>
      </c>
      <c r="I251" s="112" t="str">
        <f>IFERROR(VLOOKUP(Table1722[[#This Row],[Bukti]],Table13[#Data],11,FALSE),"")</f>
        <v/>
      </c>
    </row>
    <row r="252" spans="1:9" ht="19.5" hidden="1" customHeight="1" x14ac:dyDescent="0.2">
      <c r="A252" s="105" t="str">
        <f>IF(D252=1,COUNTIF($D$10:D252,1)," ")</f>
        <v xml:space="preserve"> </v>
      </c>
      <c r="B252" s="106" t="str">
        <f>COPY!AR244</f>
        <v/>
      </c>
      <c r="C252" s="107">
        <f>COPY!AC244</f>
        <v>0</v>
      </c>
      <c r="D252" s="107" t="str">
        <f>IF(LEN(Table1722[[#This Row],[Uraian]])&gt;2,1," ")</f>
        <v xml:space="preserve"> </v>
      </c>
      <c r="E252" s="113" t="str">
        <f>IF(Table1722[[#This Row],[Lawan Transaksi]]="CV AGUNG KARYA",COUNTIF($I$10:I252,"CV AGUNG KARYA")," ")</f>
        <v xml:space="preserve"> </v>
      </c>
      <c r="F252" s="107" t="str">
        <f>IF(LEN(Table1722[[#This Row],[Uraian]])&gt;2,TRIM(RIGHT(SUBSTITUTE(TRIM(C252)," ",REPT(" ",255)),255))," ")</f>
        <v xml:space="preserve"> </v>
      </c>
      <c r="G252" s="110">
        <f>COPY!Z244</f>
        <v>0</v>
      </c>
      <c r="H252" s="111" t="str">
        <f>IFERROR(VLOOKUP(Table1722[[#This Row],[Bukti]],'Un nOTA'!$A$4:$K$5003,10,FALSE),"")</f>
        <v/>
      </c>
      <c r="I252" s="112" t="str">
        <f>IFERROR(VLOOKUP(Table1722[[#This Row],[Bukti]],Table13[#Data],11,FALSE),"")</f>
        <v/>
      </c>
    </row>
    <row r="253" spans="1:9" ht="19.5" hidden="1" customHeight="1" x14ac:dyDescent="0.2">
      <c r="A253" s="105" t="str">
        <f>IF(D253=1,COUNTIF($D$10:D253,1)," ")</f>
        <v xml:space="preserve"> </v>
      </c>
      <c r="B253" s="106" t="str">
        <f>COPY!AR245</f>
        <v/>
      </c>
      <c r="C253" s="107">
        <f>COPY!AC245</f>
        <v>0</v>
      </c>
      <c r="D253" s="107" t="str">
        <f>IF(LEN(Table1722[[#This Row],[Uraian]])&gt;2,1," ")</f>
        <v xml:space="preserve"> </v>
      </c>
      <c r="E253" s="113" t="str">
        <f>IF(Table1722[[#This Row],[Lawan Transaksi]]="CV AGUNG KARYA",COUNTIF($I$10:I253,"CV AGUNG KARYA")," ")</f>
        <v xml:space="preserve"> </v>
      </c>
      <c r="F253" s="107" t="str">
        <f>IF(LEN(Table1722[[#This Row],[Uraian]])&gt;2,TRIM(RIGHT(SUBSTITUTE(TRIM(C253)," ",REPT(" ",255)),255))," ")</f>
        <v xml:space="preserve"> </v>
      </c>
      <c r="G253" s="110">
        <f>COPY!Z245</f>
        <v>0</v>
      </c>
      <c r="H253" s="111" t="str">
        <f>IFERROR(VLOOKUP(Table1722[[#This Row],[Bukti]],'Un nOTA'!$A$4:$K$5003,10,FALSE),"")</f>
        <v/>
      </c>
      <c r="I253" s="112" t="str">
        <f>IFERROR(VLOOKUP(Table1722[[#This Row],[Bukti]],Table13[#Data],11,FALSE),"")</f>
        <v/>
      </c>
    </row>
    <row r="254" spans="1:9" ht="19.5" hidden="1" customHeight="1" x14ac:dyDescent="0.2">
      <c r="A254" s="105" t="str">
        <f>IF(D254=1,COUNTIF($D$10:D254,1)," ")</f>
        <v xml:space="preserve"> </v>
      </c>
      <c r="B254" s="106" t="str">
        <f>COPY!AR246</f>
        <v/>
      </c>
      <c r="C254" s="107">
        <f>COPY!AC246</f>
        <v>0</v>
      </c>
      <c r="D254" s="107" t="str">
        <f>IF(LEN(Table1722[[#This Row],[Uraian]])&gt;2,1," ")</f>
        <v xml:space="preserve"> </v>
      </c>
      <c r="E254" s="113" t="str">
        <f>IF(Table1722[[#This Row],[Lawan Transaksi]]="CV AGUNG KARYA",COUNTIF($I$10:I254,"CV AGUNG KARYA")," ")</f>
        <v xml:space="preserve"> </v>
      </c>
      <c r="F254" s="107" t="str">
        <f>IF(LEN(Table1722[[#This Row],[Uraian]])&gt;2,TRIM(RIGHT(SUBSTITUTE(TRIM(C254)," ",REPT(" ",255)),255))," ")</f>
        <v xml:space="preserve"> </v>
      </c>
      <c r="G254" s="110">
        <f>COPY!Z246</f>
        <v>0</v>
      </c>
      <c r="H254" s="111" t="str">
        <f>IFERROR(VLOOKUP(Table1722[[#This Row],[Bukti]],'Un nOTA'!$A$4:$K$5003,10,FALSE),"")</f>
        <v/>
      </c>
      <c r="I254" s="112" t="str">
        <f>IFERROR(VLOOKUP(Table1722[[#This Row],[Bukti]],Table13[#Data],11,FALSE),"")</f>
        <v/>
      </c>
    </row>
    <row r="255" spans="1:9" ht="19.5" hidden="1" customHeight="1" x14ac:dyDescent="0.2">
      <c r="A255" s="105" t="str">
        <f>IF(D255=1,COUNTIF($D$10:D255,1)," ")</f>
        <v xml:space="preserve"> </v>
      </c>
      <c r="B255" s="106" t="str">
        <f>COPY!AR247</f>
        <v/>
      </c>
      <c r="C255" s="107">
        <f>COPY!AC247</f>
        <v>0</v>
      </c>
      <c r="D255" s="107" t="str">
        <f>IF(LEN(Table1722[[#This Row],[Uraian]])&gt;2,1," ")</f>
        <v xml:space="preserve"> </v>
      </c>
      <c r="E255" s="113" t="str">
        <f>IF(Table1722[[#This Row],[Lawan Transaksi]]="CV AGUNG KARYA",COUNTIF($I$10:I255,"CV AGUNG KARYA")," ")</f>
        <v xml:space="preserve"> </v>
      </c>
      <c r="F255" s="107" t="str">
        <f>IF(LEN(Table1722[[#This Row],[Uraian]])&gt;2,TRIM(RIGHT(SUBSTITUTE(TRIM(C255)," ",REPT(" ",255)),255))," ")</f>
        <v xml:space="preserve"> </v>
      </c>
      <c r="G255" s="110">
        <f>COPY!Z247</f>
        <v>0</v>
      </c>
      <c r="H255" s="111" t="str">
        <f>IFERROR(VLOOKUP(Table1722[[#This Row],[Bukti]],'Un nOTA'!$A$4:$K$5003,10,FALSE),"")</f>
        <v/>
      </c>
      <c r="I255" s="112" t="str">
        <f>IFERROR(VLOOKUP(Table1722[[#This Row],[Bukti]],Table13[#Data],11,FALSE),"")</f>
        <v/>
      </c>
    </row>
    <row r="256" spans="1:9" ht="19.5" hidden="1" customHeight="1" x14ac:dyDescent="0.2">
      <c r="A256" s="105" t="str">
        <f>IF(D256=1,COUNTIF($D$10:D256,1)," ")</f>
        <v xml:space="preserve"> </v>
      </c>
      <c r="B256" s="106" t="str">
        <f>COPY!AR248</f>
        <v/>
      </c>
      <c r="C256" s="107">
        <f>COPY!AC248</f>
        <v>0</v>
      </c>
      <c r="D256" s="107" t="str">
        <f>IF(LEN(Table1722[[#This Row],[Uraian]])&gt;2,1," ")</f>
        <v xml:space="preserve"> </v>
      </c>
      <c r="E256" s="113" t="str">
        <f>IF(Table1722[[#This Row],[Lawan Transaksi]]="CV AGUNG KARYA",COUNTIF($I$10:I256,"CV AGUNG KARYA")," ")</f>
        <v xml:space="preserve"> </v>
      </c>
      <c r="F256" s="107" t="str">
        <f>IF(LEN(Table1722[[#This Row],[Uraian]])&gt;2,TRIM(RIGHT(SUBSTITUTE(TRIM(C256)," ",REPT(" ",255)),255))," ")</f>
        <v xml:space="preserve"> </v>
      </c>
      <c r="G256" s="110">
        <f>COPY!Z248</f>
        <v>0</v>
      </c>
      <c r="H256" s="111" t="str">
        <f>IFERROR(VLOOKUP(Table1722[[#This Row],[Bukti]],'Un nOTA'!$A$4:$K$5003,10,FALSE),"")</f>
        <v/>
      </c>
      <c r="I256" s="112" t="str">
        <f>IFERROR(VLOOKUP(Table1722[[#This Row],[Bukti]],Table13[#Data],11,FALSE),"")</f>
        <v/>
      </c>
    </row>
    <row r="257" spans="1:9" ht="19.5" hidden="1" customHeight="1" x14ac:dyDescent="0.2">
      <c r="A257" s="105" t="str">
        <f>IF(D257=1,COUNTIF($D$10:D257,1)," ")</f>
        <v xml:space="preserve"> </v>
      </c>
      <c r="B257" s="106" t="str">
        <f>COPY!AR249</f>
        <v/>
      </c>
      <c r="C257" s="107">
        <f>COPY!AC249</f>
        <v>0</v>
      </c>
      <c r="D257" s="107" t="str">
        <f>IF(LEN(Table1722[[#This Row],[Uraian]])&gt;2,1," ")</f>
        <v xml:space="preserve"> </v>
      </c>
      <c r="E257" s="113" t="str">
        <f>IF(Table1722[[#This Row],[Lawan Transaksi]]="CV AGUNG KARYA",COUNTIF($I$10:I257,"CV AGUNG KARYA")," ")</f>
        <v xml:space="preserve"> </v>
      </c>
      <c r="F257" s="107" t="str">
        <f>IF(LEN(Table1722[[#This Row],[Uraian]])&gt;2,TRIM(RIGHT(SUBSTITUTE(TRIM(C257)," ",REPT(" ",255)),255))," ")</f>
        <v xml:space="preserve"> </v>
      </c>
      <c r="G257" s="110">
        <f>COPY!Z249</f>
        <v>0</v>
      </c>
      <c r="H257" s="111" t="str">
        <f>IFERROR(VLOOKUP(Table1722[[#This Row],[Bukti]],'Un nOTA'!$A$4:$K$5003,10,FALSE),"")</f>
        <v/>
      </c>
      <c r="I257" s="112" t="str">
        <f>IFERROR(VLOOKUP(Table1722[[#This Row],[Bukti]],Table13[#Data],11,FALSE),"")</f>
        <v/>
      </c>
    </row>
    <row r="258" spans="1:9" ht="19.5" hidden="1" customHeight="1" x14ac:dyDescent="0.2">
      <c r="A258" s="105" t="str">
        <f>IF(D258=1,COUNTIF($D$10:D258,1)," ")</f>
        <v xml:space="preserve"> </v>
      </c>
      <c r="B258" s="106" t="str">
        <f>COPY!AR250</f>
        <v/>
      </c>
      <c r="C258" s="107">
        <f>COPY!AC250</f>
        <v>0</v>
      </c>
      <c r="D258" s="107" t="str">
        <f>IF(LEN(Table1722[[#This Row],[Uraian]])&gt;2,1," ")</f>
        <v xml:space="preserve"> </v>
      </c>
      <c r="E258" s="113" t="str">
        <f>IF(Table1722[[#This Row],[Lawan Transaksi]]="CV AGUNG KARYA",COUNTIF($I$10:I258,"CV AGUNG KARYA")," ")</f>
        <v xml:space="preserve"> </v>
      </c>
      <c r="F258" s="107" t="str">
        <f>IF(LEN(Table1722[[#This Row],[Uraian]])&gt;2,TRIM(RIGHT(SUBSTITUTE(TRIM(C258)," ",REPT(" ",255)),255))," ")</f>
        <v xml:space="preserve"> </v>
      </c>
      <c r="G258" s="110">
        <f>COPY!Z250</f>
        <v>0</v>
      </c>
      <c r="H258" s="111" t="str">
        <f>IFERROR(VLOOKUP(Table1722[[#This Row],[Bukti]],'Un nOTA'!$A$4:$K$5003,10,FALSE),"")</f>
        <v/>
      </c>
      <c r="I258" s="112" t="str">
        <f>IFERROR(VLOOKUP(Table1722[[#This Row],[Bukti]],Table13[#Data],11,FALSE),"")</f>
        <v/>
      </c>
    </row>
    <row r="259" spans="1:9" ht="19.5" hidden="1" customHeight="1" x14ac:dyDescent="0.2">
      <c r="A259" s="105" t="str">
        <f>IF(D259=1,COUNTIF($D$10:D259,1)," ")</f>
        <v xml:space="preserve"> </v>
      </c>
      <c r="B259" s="106" t="str">
        <f>COPY!AR251</f>
        <v/>
      </c>
      <c r="C259" s="107">
        <f>COPY!AC251</f>
        <v>0</v>
      </c>
      <c r="D259" s="107" t="str">
        <f>IF(LEN(Table1722[[#This Row],[Uraian]])&gt;2,1," ")</f>
        <v xml:space="preserve"> </v>
      </c>
      <c r="E259" s="113" t="str">
        <f>IF(Table1722[[#This Row],[Lawan Transaksi]]="CV AGUNG KARYA",COUNTIF($I$10:I259,"CV AGUNG KARYA")," ")</f>
        <v xml:space="preserve"> </v>
      </c>
      <c r="F259" s="107" t="str">
        <f>IF(LEN(Table1722[[#This Row],[Uraian]])&gt;2,TRIM(RIGHT(SUBSTITUTE(TRIM(C259)," ",REPT(" ",255)),255))," ")</f>
        <v xml:space="preserve"> </v>
      </c>
      <c r="G259" s="110">
        <f>COPY!Z251</f>
        <v>0</v>
      </c>
      <c r="H259" s="111" t="str">
        <f>IFERROR(VLOOKUP(Table1722[[#This Row],[Bukti]],'Un nOTA'!$A$4:$K$5003,10,FALSE),"")</f>
        <v/>
      </c>
      <c r="I259" s="112" t="str">
        <f>IFERROR(VLOOKUP(Table1722[[#This Row],[Bukti]],Table13[#Data],11,FALSE),"")</f>
        <v/>
      </c>
    </row>
    <row r="260" spans="1:9" ht="19.5" hidden="1" customHeight="1" x14ac:dyDescent="0.2">
      <c r="A260" s="105" t="str">
        <f>IF(D260=1,COUNTIF($D$10:D260,1)," ")</f>
        <v xml:space="preserve"> </v>
      </c>
      <c r="B260" s="106" t="str">
        <f>COPY!AR252</f>
        <v/>
      </c>
      <c r="C260" s="107">
        <f>COPY!AC252</f>
        <v>0</v>
      </c>
      <c r="D260" s="107" t="str">
        <f>IF(LEN(Table1722[[#This Row],[Uraian]])&gt;2,1," ")</f>
        <v xml:space="preserve"> </v>
      </c>
      <c r="E260" s="113" t="str">
        <f>IF(Table1722[[#This Row],[Lawan Transaksi]]="CV AGUNG KARYA",COUNTIF($I$10:I260,"CV AGUNG KARYA")," ")</f>
        <v xml:space="preserve"> </v>
      </c>
      <c r="F260" s="107" t="str">
        <f>IF(LEN(Table1722[[#This Row],[Uraian]])&gt;2,TRIM(RIGHT(SUBSTITUTE(TRIM(C260)," ",REPT(" ",255)),255))," ")</f>
        <v xml:space="preserve"> </v>
      </c>
      <c r="G260" s="110">
        <f>COPY!Z252</f>
        <v>0</v>
      </c>
      <c r="H260" s="111" t="str">
        <f>IFERROR(VLOOKUP(Table1722[[#This Row],[Bukti]],'Un nOTA'!$A$4:$K$5003,10,FALSE),"")</f>
        <v/>
      </c>
      <c r="I260" s="112" t="str">
        <f>IFERROR(VLOOKUP(Table1722[[#This Row],[Bukti]],Table13[#Data],11,FALSE),"")</f>
        <v/>
      </c>
    </row>
    <row r="261" spans="1:9" ht="19.5" hidden="1" customHeight="1" x14ac:dyDescent="0.2">
      <c r="A261" s="105" t="str">
        <f>IF(D261=1,COUNTIF($D$10:D261,1)," ")</f>
        <v xml:space="preserve"> </v>
      </c>
      <c r="B261" s="106" t="str">
        <f>COPY!AR253</f>
        <v/>
      </c>
      <c r="C261" s="107">
        <f>COPY!AC253</f>
        <v>0</v>
      </c>
      <c r="D261" s="107" t="str">
        <f>IF(LEN(Table1722[[#This Row],[Uraian]])&gt;2,1," ")</f>
        <v xml:space="preserve"> </v>
      </c>
      <c r="E261" s="113" t="str">
        <f>IF(Table1722[[#This Row],[Lawan Transaksi]]="CV AGUNG KARYA",COUNTIF($I$10:I261,"CV AGUNG KARYA")," ")</f>
        <v xml:space="preserve"> </v>
      </c>
      <c r="F261" s="107" t="str">
        <f>IF(LEN(Table1722[[#This Row],[Uraian]])&gt;2,TRIM(RIGHT(SUBSTITUTE(TRIM(C261)," ",REPT(" ",255)),255))," ")</f>
        <v xml:space="preserve"> </v>
      </c>
      <c r="G261" s="110">
        <f>COPY!Z253</f>
        <v>0</v>
      </c>
      <c r="H261" s="111" t="str">
        <f>IFERROR(VLOOKUP(Table1722[[#This Row],[Bukti]],'Un nOTA'!$A$4:$K$5003,10,FALSE),"")</f>
        <v/>
      </c>
      <c r="I261" s="112" t="str">
        <f>IFERROR(VLOOKUP(Table1722[[#This Row],[Bukti]],Table13[#Data],11,FALSE),"")</f>
        <v/>
      </c>
    </row>
    <row r="262" spans="1:9" ht="19.5" hidden="1" customHeight="1" x14ac:dyDescent="0.2">
      <c r="A262" s="105" t="str">
        <f>IF(D262=1,COUNTIF($D$10:D262,1)," ")</f>
        <v xml:space="preserve"> </v>
      </c>
      <c r="B262" s="106" t="str">
        <f>COPY!AR254</f>
        <v/>
      </c>
      <c r="C262" s="107">
        <f>COPY!AC254</f>
        <v>0</v>
      </c>
      <c r="D262" s="107" t="str">
        <f>IF(LEN(Table1722[[#This Row],[Uraian]])&gt;2,1," ")</f>
        <v xml:space="preserve"> </v>
      </c>
      <c r="E262" s="113" t="str">
        <f>IF(Table1722[[#This Row],[Lawan Transaksi]]="CV AGUNG KARYA",COUNTIF($I$10:I262,"CV AGUNG KARYA")," ")</f>
        <v xml:space="preserve"> </v>
      </c>
      <c r="F262" s="107" t="str">
        <f>IF(LEN(Table1722[[#This Row],[Uraian]])&gt;2,TRIM(RIGHT(SUBSTITUTE(TRIM(C262)," ",REPT(" ",255)),255))," ")</f>
        <v xml:space="preserve"> </v>
      </c>
      <c r="G262" s="110">
        <f>COPY!Z254</f>
        <v>0</v>
      </c>
      <c r="H262" s="111" t="str">
        <f>IFERROR(VLOOKUP(Table1722[[#This Row],[Bukti]],'Un nOTA'!$A$4:$K$5003,10,FALSE),"")</f>
        <v/>
      </c>
      <c r="I262" s="112" t="str">
        <f>IFERROR(VLOOKUP(Table1722[[#This Row],[Bukti]],Table13[#Data],11,FALSE),"")</f>
        <v/>
      </c>
    </row>
    <row r="263" spans="1:9" ht="19.5" hidden="1" customHeight="1" x14ac:dyDescent="0.2">
      <c r="A263" s="105" t="str">
        <f>IF(D263=1,COUNTIF($D$10:D263,1)," ")</f>
        <v xml:space="preserve"> </v>
      </c>
      <c r="B263" s="106" t="str">
        <f>COPY!AR255</f>
        <v/>
      </c>
      <c r="C263" s="107">
        <f>COPY!AC255</f>
        <v>0</v>
      </c>
      <c r="D263" s="107" t="str">
        <f>IF(LEN(Table1722[[#This Row],[Uraian]])&gt;2,1," ")</f>
        <v xml:space="preserve"> </v>
      </c>
      <c r="E263" s="113" t="str">
        <f>IF(Table1722[[#This Row],[Lawan Transaksi]]="CV AGUNG KARYA",COUNTIF($I$10:I263,"CV AGUNG KARYA")," ")</f>
        <v xml:space="preserve"> </v>
      </c>
      <c r="F263" s="107" t="str">
        <f>IF(LEN(Table1722[[#This Row],[Uraian]])&gt;2,TRIM(RIGHT(SUBSTITUTE(TRIM(C263)," ",REPT(" ",255)),255))," ")</f>
        <v xml:space="preserve"> </v>
      </c>
      <c r="G263" s="110">
        <f>COPY!Z255</f>
        <v>0</v>
      </c>
      <c r="H263" s="111" t="str">
        <f>IFERROR(VLOOKUP(Table1722[[#This Row],[Bukti]],'Un nOTA'!$A$4:$K$5003,10,FALSE),"")</f>
        <v/>
      </c>
      <c r="I263" s="112" t="str">
        <f>IFERROR(VLOOKUP(Table1722[[#This Row],[Bukti]],Table13[#Data],11,FALSE),"")</f>
        <v/>
      </c>
    </row>
    <row r="264" spans="1:9" ht="19.5" hidden="1" customHeight="1" x14ac:dyDescent="0.2">
      <c r="A264" s="105" t="str">
        <f>IF(D264=1,COUNTIF($D$10:D264,1)," ")</f>
        <v xml:space="preserve"> </v>
      </c>
      <c r="B264" s="106" t="str">
        <f>COPY!AR256</f>
        <v/>
      </c>
      <c r="C264" s="107">
        <f>COPY!AC256</f>
        <v>0</v>
      </c>
      <c r="D264" s="107" t="str">
        <f>IF(LEN(Table1722[[#This Row],[Uraian]])&gt;2,1," ")</f>
        <v xml:space="preserve"> </v>
      </c>
      <c r="E264" s="113" t="str">
        <f>IF(Table1722[[#This Row],[Lawan Transaksi]]="CV AGUNG KARYA",COUNTIF($I$10:I264,"CV AGUNG KARYA")," ")</f>
        <v xml:space="preserve"> </v>
      </c>
      <c r="F264" s="107" t="str">
        <f>IF(LEN(Table1722[[#This Row],[Uraian]])&gt;2,TRIM(RIGHT(SUBSTITUTE(TRIM(C264)," ",REPT(" ",255)),255))," ")</f>
        <v xml:space="preserve"> </v>
      </c>
      <c r="G264" s="110">
        <f>COPY!Z256</f>
        <v>0</v>
      </c>
      <c r="H264" s="111" t="str">
        <f>IFERROR(VLOOKUP(Table1722[[#This Row],[Bukti]],'Un nOTA'!$A$4:$K$5003,10,FALSE),"")</f>
        <v/>
      </c>
      <c r="I264" s="112" t="str">
        <f>IFERROR(VLOOKUP(Table1722[[#This Row],[Bukti]],Table13[#Data],11,FALSE),"")</f>
        <v/>
      </c>
    </row>
    <row r="265" spans="1:9" ht="19.5" hidden="1" customHeight="1" x14ac:dyDescent="0.2">
      <c r="A265" s="105" t="str">
        <f>IF(D265=1,COUNTIF($D$10:D265,1)," ")</f>
        <v xml:space="preserve"> </v>
      </c>
      <c r="B265" s="106" t="str">
        <f>COPY!AR257</f>
        <v/>
      </c>
      <c r="C265" s="107">
        <f>COPY!AC257</f>
        <v>0</v>
      </c>
      <c r="D265" s="107" t="str">
        <f>IF(LEN(Table1722[[#This Row],[Uraian]])&gt;2,1," ")</f>
        <v xml:space="preserve"> </v>
      </c>
      <c r="E265" s="113" t="str">
        <f>IF(Table1722[[#This Row],[Lawan Transaksi]]="CV AGUNG KARYA",COUNTIF($I$10:I265,"CV AGUNG KARYA")," ")</f>
        <v xml:space="preserve"> </v>
      </c>
      <c r="F265" s="107" t="str">
        <f>IF(LEN(Table1722[[#This Row],[Uraian]])&gt;2,TRIM(RIGHT(SUBSTITUTE(TRIM(C265)," ",REPT(" ",255)),255))," ")</f>
        <v xml:space="preserve"> </v>
      </c>
      <c r="G265" s="110">
        <f>COPY!Z257</f>
        <v>0</v>
      </c>
      <c r="H265" s="111" t="str">
        <f>IFERROR(VLOOKUP(Table1722[[#This Row],[Bukti]],'Un nOTA'!$A$4:$K$5003,10,FALSE),"")</f>
        <v/>
      </c>
      <c r="I265" s="112" t="str">
        <f>IFERROR(VLOOKUP(Table1722[[#This Row],[Bukti]],Table13[#Data],11,FALSE),"")</f>
        <v/>
      </c>
    </row>
    <row r="266" spans="1:9" ht="19.5" hidden="1" customHeight="1" x14ac:dyDescent="0.2">
      <c r="A266" s="105" t="str">
        <f>IF(D266=1,COUNTIF($D$10:D266,1)," ")</f>
        <v xml:space="preserve"> </v>
      </c>
      <c r="B266" s="106" t="str">
        <f>COPY!AR258</f>
        <v/>
      </c>
      <c r="C266" s="107">
        <f>COPY!AC258</f>
        <v>0</v>
      </c>
      <c r="D266" s="107" t="str">
        <f>IF(LEN(Table1722[[#This Row],[Uraian]])&gt;2,1," ")</f>
        <v xml:space="preserve"> </v>
      </c>
      <c r="E266" s="113" t="str">
        <f>IF(Table1722[[#This Row],[Lawan Transaksi]]="CV AGUNG KARYA",COUNTIF($I$10:I266,"CV AGUNG KARYA")," ")</f>
        <v xml:space="preserve"> </v>
      </c>
      <c r="F266" s="107" t="str">
        <f>IF(LEN(Table1722[[#This Row],[Uraian]])&gt;2,TRIM(RIGHT(SUBSTITUTE(TRIM(C266)," ",REPT(" ",255)),255))," ")</f>
        <v xml:space="preserve"> </v>
      </c>
      <c r="G266" s="110">
        <f>COPY!Z258</f>
        <v>0</v>
      </c>
      <c r="H266" s="111" t="str">
        <f>IFERROR(VLOOKUP(Table1722[[#This Row],[Bukti]],'Un nOTA'!$A$4:$K$5003,10,FALSE),"")</f>
        <v/>
      </c>
      <c r="I266" s="112" t="str">
        <f>IFERROR(VLOOKUP(Table1722[[#This Row],[Bukti]],Table13[#Data],11,FALSE),"")</f>
        <v/>
      </c>
    </row>
    <row r="267" spans="1:9" ht="19.5" hidden="1" customHeight="1" x14ac:dyDescent="0.2">
      <c r="A267" s="105" t="str">
        <f>IF(D267=1,COUNTIF($D$10:D267,1)," ")</f>
        <v xml:space="preserve"> </v>
      </c>
      <c r="B267" s="106" t="str">
        <f>COPY!AR259</f>
        <v/>
      </c>
      <c r="C267" s="107">
        <f>COPY!AC259</f>
        <v>0</v>
      </c>
      <c r="D267" s="107" t="str">
        <f>IF(LEN(Table1722[[#This Row],[Uraian]])&gt;2,1," ")</f>
        <v xml:space="preserve"> </v>
      </c>
      <c r="E267" s="113" t="str">
        <f>IF(Table1722[[#This Row],[Lawan Transaksi]]="CV AGUNG KARYA",COUNTIF($I$10:I267,"CV AGUNG KARYA")," ")</f>
        <v xml:space="preserve"> </v>
      </c>
      <c r="F267" s="107" t="str">
        <f>IF(LEN(Table1722[[#This Row],[Uraian]])&gt;2,TRIM(RIGHT(SUBSTITUTE(TRIM(C267)," ",REPT(" ",255)),255))," ")</f>
        <v xml:space="preserve"> </v>
      </c>
      <c r="G267" s="110">
        <f>COPY!Z259</f>
        <v>0</v>
      </c>
      <c r="H267" s="111" t="str">
        <f>IFERROR(VLOOKUP(Table1722[[#This Row],[Bukti]],'Un nOTA'!$A$4:$K$5003,10,FALSE),"")</f>
        <v/>
      </c>
      <c r="I267" s="112" t="str">
        <f>IFERROR(VLOOKUP(Table1722[[#This Row],[Bukti]],Table13[#Data],11,FALSE),"")</f>
        <v/>
      </c>
    </row>
    <row r="268" spans="1:9" ht="19.5" hidden="1" customHeight="1" x14ac:dyDescent="0.2">
      <c r="A268" s="105" t="str">
        <f>IF(D268=1,COUNTIF($D$10:D268,1)," ")</f>
        <v xml:space="preserve"> </v>
      </c>
      <c r="B268" s="106" t="str">
        <f>COPY!AR260</f>
        <v/>
      </c>
      <c r="C268" s="107">
        <f>COPY!AC260</f>
        <v>0</v>
      </c>
      <c r="D268" s="107" t="str">
        <f>IF(LEN(Table1722[[#This Row],[Uraian]])&gt;2,1," ")</f>
        <v xml:space="preserve"> </v>
      </c>
      <c r="E268" s="113" t="str">
        <f>IF(Table1722[[#This Row],[Lawan Transaksi]]="CV AGUNG KARYA",COUNTIF($I$10:I268,"CV AGUNG KARYA")," ")</f>
        <v xml:space="preserve"> </v>
      </c>
      <c r="F268" s="107" t="str">
        <f>IF(LEN(Table1722[[#This Row],[Uraian]])&gt;2,TRIM(RIGHT(SUBSTITUTE(TRIM(C268)," ",REPT(" ",255)),255))," ")</f>
        <v xml:space="preserve"> </v>
      </c>
      <c r="G268" s="110">
        <f>COPY!Z260</f>
        <v>0</v>
      </c>
      <c r="H268" s="111" t="str">
        <f>IFERROR(VLOOKUP(Table1722[[#This Row],[Bukti]],'Un nOTA'!$A$4:$K$5003,10,FALSE),"")</f>
        <v/>
      </c>
      <c r="I268" s="112" t="str">
        <f>IFERROR(VLOOKUP(Table1722[[#This Row],[Bukti]],Table13[#Data],11,FALSE),"")</f>
        <v/>
      </c>
    </row>
    <row r="269" spans="1:9" ht="19.5" hidden="1" customHeight="1" x14ac:dyDescent="0.2">
      <c r="A269" s="105" t="str">
        <f>IF(D269=1,COUNTIF($D$10:D269,1)," ")</f>
        <v xml:space="preserve"> </v>
      </c>
      <c r="B269" s="106" t="str">
        <f>COPY!AR261</f>
        <v/>
      </c>
      <c r="C269" s="107">
        <f>COPY!AC261</f>
        <v>0</v>
      </c>
      <c r="D269" s="107" t="str">
        <f>IF(LEN(Table1722[[#This Row],[Uraian]])&gt;2,1," ")</f>
        <v xml:space="preserve"> </v>
      </c>
      <c r="E269" s="113" t="str">
        <f>IF(Table1722[[#This Row],[Lawan Transaksi]]="CV AGUNG KARYA",COUNTIF($I$10:I269,"CV AGUNG KARYA")," ")</f>
        <v xml:space="preserve"> </v>
      </c>
      <c r="F269" s="107" t="str">
        <f>IF(LEN(Table1722[[#This Row],[Uraian]])&gt;2,TRIM(RIGHT(SUBSTITUTE(TRIM(C269)," ",REPT(" ",255)),255))," ")</f>
        <v xml:space="preserve"> </v>
      </c>
      <c r="G269" s="110">
        <f>COPY!Z261</f>
        <v>0</v>
      </c>
      <c r="H269" s="111" t="str">
        <f>IFERROR(VLOOKUP(Table1722[[#This Row],[Bukti]],'Un nOTA'!$A$4:$K$5003,10,FALSE),"")</f>
        <v/>
      </c>
      <c r="I269" s="112" t="str">
        <f>IFERROR(VLOOKUP(Table1722[[#This Row],[Bukti]],Table13[#Data],11,FALSE),"")</f>
        <v/>
      </c>
    </row>
    <row r="270" spans="1:9" ht="19.5" hidden="1" customHeight="1" x14ac:dyDescent="0.2">
      <c r="A270" s="105" t="str">
        <f>IF(D270=1,COUNTIF($D$10:D270,1)," ")</f>
        <v xml:space="preserve"> </v>
      </c>
      <c r="B270" s="106" t="str">
        <f>COPY!AR262</f>
        <v/>
      </c>
      <c r="C270" s="107">
        <f>COPY!AC262</f>
        <v>0</v>
      </c>
      <c r="D270" s="107" t="str">
        <f>IF(LEN(Table1722[[#This Row],[Uraian]])&gt;2,1," ")</f>
        <v xml:space="preserve"> </v>
      </c>
      <c r="E270" s="113" t="str">
        <f>IF(Table1722[[#This Row],[Lawan Transaksi]]="CV AGUNG KARYA",COUNTIF($I$10:I270,"CV AGUNG KARYA")," ")</f>
        <v xml:space="preserve"> </v>
      </c>
      <c r="F270" s="107" t="str">
        <f>IF(LEN(Table1722[[#This Row],[Uraian]])&gt;2,TRIM(RIGHT(SUBSTITUTE(TRIM(C270)," ",REPT(" ",255)),255))," ")</f>
        <v xml:space="preserve"> </v>
      </c>
      <c r="G270" s="110">
        <f>COPY!Z262</f>
        <v>0</v>
      </c>
      <c r="H270" s="111" t="str">
        <f>IFERROR(VLOOKUP(Table1722[[#This Row],[Bukti]],'Un nOTA'!$A$4:$K$5003,10,FALSE),"")</f>
        <v/>
      </c>
      <c r="I270" s="112" t="str">
        <f>IFERROR(VLOOKUP(Table1722[[#This Row],[Bukti]],Table13[#Data],11,FALSE),"")</f>
        <v/>
      </c>
    </row>
    <row r="271" spans="1:9" ht="19.5" hidden="1" customHeight="1" x14ac:dyDescent="0.2">
      <c r="A271" s="105" t="str">
        <f>IF(D271=1,COUNTIF($D$10:D271,1)," ")</f>
        <v xml:space="preserve"> </v>
      </c>
      <c r="B271" s="106" t="str">
        <f>COPY!AR263</f>
        <v/>
      </c>
      <c r="C271" s="107">
        <f>COPY!AC263</f>
        <v>0</v>
      </c>
      <c r="D271" s="107" t="str">
        <f>IF(LEN(Table1722[[#This Row],[Uraian]])&gt;2,1," ")</f>
        <v xml:space="preserve"> </v>
      </c>
      <c r="E271" s="113" t="str">
        <f>IF(Table1722[[#This Row],[Lawan Transaksi]]="CV AGUNG KARYA",COUNTIF($I$10:I271,"CV AGUNG KARYA")," ")</f>
        <v xml:space="preserve"> </v>
      </c>
      <c r="F271" s="107" t="str">
        <f>IF(LEN(Table1722[[#This Row],[Uraian]])&gt;2,TRIM(RIGHT(SUBSTITUTE(TRIM(C271)," ",REPT(" ",255)),255))," ")</f>
        <v xml:space="preserve"> </v>
      </c>
      <c r="G271" s="110">
        <f>COPY!Z263</f>
        <v>0</v>
      </c>
      <c r="H271" s="111" t="str">
        <f>IFERROR(VLOOKUP(Table1722[[#This Row],[Bukti]],'Un nOTA'!$A$4:$K$5003,10,FALSE),"")</f>
        <v/>
      </c>
      <c r="I271" s="112" t="str">
        <f>IFERROR(VLOOKUP(Table1722[[#This Row],[Bukti]],Table13[#Data],11,FALSE),"")</f>
        <v/>
      </c>
    </row>
    <row r="272" spans="1:9" ht="19.5" hidden="1" customHeight="1" x14ac:dyDescent="0.2">
      <c r="A272" s="105" t="str">
        <f>IF(D272=1,COUNTIF($D$10:D272,1)," ")</f>
        <v xml:space="preserve"> </v>
      </c>
      <c r="B272" s="106" t="str">
        <f>COPY!AR264</f>
        <v/>
      </c>
      <c r="C272" s="107">
        <f>COPY!AC264</f>
        <v>0</v>
      </c>
      <c r="D272" s="107" t="str">
        <f>IF(LEN(Table1722[[#This Row],[Uraian]])&gt;2,1," ")</f>
        <v xml:space="preserve"> </v>
      </c>
      <c r="E272" s="113" t="str">
        <f>IF(Table1722[[#This Row],[Lawan Transaksi]]="CV AGUNG KARYA",COUNTIF($I$10:I272,"CV AGUNG KARYA")," ")</f>
        <v xml:space="preserve"> </v>
      </c>
      <c r="F272" s="107" t="str">
        <f>IF(LEN(Table1722[[#This Row],[Uraian]])&gt;2,TRIM(RIGHT(SUBSTITUTE(TRIM(C272)," ",REPT(" ",255)),255))," ")</f>
        <v xml:space="preserve"> </v>
      </c>
      <c r="G272" s="110">
        <f>COPY!Z264</f>
        <v>0</v>
      </c>
      <c r="H272" s="111" t="str">
        <f>IFERROR(VLOOKUP(Table1722[[#This Row],[Bukti]],'Un nOTA'!$A$4:$K$5003,10,FALSE),"")</f>
        <v/>
      </c>
      <c r="I272" s="112" t="str">
        <f>IFERROR(VLOOKUP(Table1722[[#This Row],[Bukti]],Table13[#Data],11,FALSE),"")</f>
        <v/>
      </c>
    </row>
    <row r="273" spans="1:9" ht="19.5" hidden="1" customHeight="1" x14ac:dyDescent="0.2">
      <c r="A273" s="105" t="str">
        <f>IF(D273=1,COUNTIF($D$10:D273,1)," ")</f>
        <v xml:space="preserve"> </v>
      </c>
      <c r="B273" s="106" t="str">
        <f>COPY!AR265</f>
        <v/>
      </c>
      <c r="C273" s="107">
        <f>COPY!AC265</f>
        <v>0</v>
      </c>
      <c r="D273" s="107" t="str">
        <f>IF(LEN(Table1722[[#This Row],[Uraian]])&gt;2,1," ")</f>
        <v xml:space="preserve"> </v>
      </c>
      <c r="E273" s="113" t="str">
        <f>IF(Table1722[[#This Row],[Lawan Transaksi]]="CV AGUNG KARYA",COUNTIF($I$10:I273,"CV AGUNG KARYA")," ")</f>
        <v xml:space="preserve"> </v>
      </c>
      <c r="F273" s="107" t="str">
        <f>IF(LEN(Table1722[[#This Row],[Uraian]])&gt;2,TRIM(RIGHT(SUBSTITUTE(TRIM(C273)," ",REPT(" ",255)),255))," ")</f>
        <v xml:space="preserve"> </v>
      </c>
      <c r="G273" s="110">
        <f>COPY!Z265</f>
        <v>0</v>
      </c>
      <c r="H273" s="111" t="str">
        <f>IFERROR(VLOOKUP(Table1722[[#This Row],[Bukti]],'Un nOTA'!$A$4:$K$5003,10,FALSE),"")</f>
        <v/>
      </c>
      <c r="I273" s="112" t="str">
        <f>IFERROR(VLOOKUP(Table1722[[#This Row],[Bukti]],Table13[#Data],11,FALSE),"")</f>
        <v/>
      </c>
    </row>
    <row r="274" spans="1:9" ht="19.5" hidden="1" customHeight="1" x14ac:dyDescent="0.2">
      <c r="A274" s="105" t="str">
        <f>IF(D274=1,COUNTIF($D$10:D274,1)," ")</f>
        <v xml:space="preserve"> </v>
      </c>
      <c r="B274" s="106" t="str">
        <f>COPY!AR266</f>
        <v/>
      </c>
      <c r="C274" s="107">
        <f>COPY!AC266</f>
        <v>0</v>
      </c>
      <c r="D274" s="107" t="str">
        <f>IF(LEN(Table1722[[#This Row],[Uraian]])&gt;2,1," ")</f>
        <v xml:space="preserve"> </v>
      </c>
      <c r="E274" s="113" t="str">
        <f>IF(Table1722[[#This Row],[Lawan Transaksi]]="CV AGUNG KARYA",COUNTIF($I$10:I274,"CV AGUNG KARYA")," ")</f>
        <v xml:space="preserve"> </v>
      </c>
      <c r="F274" s="107" t="str">
        <f>IF(LEN(Table1722[[#This Row],[Uraian]])&gt;2,TRIM(RIGHT(SUBSTITUTE(TRIM(C274)," ",REPT(" ",255)),255))," ")</f>
        <v xml:space="preserve"> </v>
      </c>
      <c r="G274" s="110">
        <f>COPY!Z266</f>
        <v>0</v>
      </c>
      <c r="H274" s="111" t="str">
        <f>IFERROR(VLOOKUP(Table1722[[#This Row],[Bukti]],'Un nOTA'!$A$4:$K$5003,10,FALSE),"")</f>
        <v/>
      </c>
      <c r="I274" s="112" t="str">
        <f>IFERROR(VLOOKUP(Table1722[[#This Row],[Bukti]],Table13[#Data],11,FALSE),"")</f>
        <v/>
      </c>
    </row>
    <row r="275" spans="1:9" ht="19.5" hidden="1" customHeight="1" x14ac:dyDescent="0.2">
      <c r="A275" s="105" t="str">
        <f>IF(D275=1,COUNTIF($D$10:D275,1)," ")</f>
        <v xml:space="preserve"> </v>
      </c>
      <c r="B275" s="106" t="str">
        <f>COPY!AR267</f>
        <v/>
      </c>
      <c r="C275" s="107">
        <f>COPY!AC267</f>
        <v>0</v>
      </c>
      <c r="D275" s="107" t="str">
        <f>IF(LEN(Table1722[[#This Row],[Uraian]])&gt;2,1," ")</f>
        <v xml:space="preserve"> </v>
      </c>
      <c r="E275" s="113" t="str">
        <f>IF(Table1722[[#This Row],[Lawan Transaksi]]="CV AGUNG KARYA",COUNTIF($I$10:I275,"CV AGUNG KARYA")," ")</f>
        <v xml:space="preserve"> </v>
      </c>
      <c r="F275" s="107" t="str">
        <f>IF(LEN(Table1722[[#This Row],[Uraian]])&gt;2,TRIM(RIGHT(SUBSTITUTE(TRIM(C275)," ",REPT(" ",255)),255))," ")</f>
        <v xml:space="preserve"> </v>
      </c>
      <c r="G275" s="110">
        <f>COPY!Z267</f>
        <v>0</v>
      </c>
      <c r="H275" s="111" t="str">
        <f>IFERROR(VLOOKUP(Table1722[[#This Row],[Bukti]],'Un nOTA'!$A$4:$K$5003,10,FALSE),"")</f>
        <v/>
      </c>
      <c r="I275" s="112" t="str">
        <f>IFERROR(VLOOKUP(Table1722[[#This Row],[Bukti]],Table13[#Data],11,FALSE),"")</f>
        <v/>
      </c>
    </row>
    <row r="276" spans="1:9" ht="19.5" hidden="1" customHeight="1" x14ac:dyDescent="0.2">
      <c r="A276" s="105" t="str">
        <f>IF(D276=1,COUNTIF($D$10:D276,1)," ")</f>
        <v xml:space="preserve"> </v>
      </c>
      <c r="B276" s="106" t="str">
        <f>COPY!AR268</f>
        <v/>
      </c>
      <c r="C276" s="107">
        <f>COPY!AC268</f>
        <v>0</v>
      </c>
      <c r="D276" s="107" t="str">
        <f>IF(LEN(Table1722[[#This Row],[Uraian]])&gt;2,1," ")</f>
        <v xml:space="preserve"> </v>
      </c>
      <c r="E276" s="113" t="str">
        <f>IF(Table1722[[#This Row],[Lawan Transaksi]]="CV AGUNG KARYA",COUNTIF($I$10:I276,"CV AGUNG KARYA")," ")</f>
        <v xml:space="preserve"> </v>
      </c>
      <c r="F276" s="107" t="str">
        <f>IF(LEN(Table1722[[#This Row],[Uraian]])&gt;2,TRIM(RIGHT(SUBSTITUTE(TRIM(C276)," ",REPT(" ",255)),255))," ")</f>
        <v xml:space="preserve"> </v>
      </c>
      <c r="G276" s="110">
        <f>COPY!Z268</f>
        <v>0</v>
      </c>
      <c r="H276" s="111" t="str">
        <f>IFERROR(VLOOKUP(Table1722[[#This Row],[Bukti]],'Un nOTA'!$A$4:$K$5003,10,FALSE),"")</f>
        <v/>
      </c>
      <c r="I276" s="112" t="str">
        <f>IFERROR(VLOOKUP(Table1722[[#This Row],[Bukti]],Table13[#Data],11,FALSE),"")</f>
        <v/>
      </c>
    </row>
    <row r="277" spans="1:9" ht="19.5" hidden="1" customHeight="1" x14ac:dyDescent="0.2">
      <c r="A277" s="105" t="str">
        <f>IF(D277=1,COUNTIF($D$10:D277,1)," ")</f>
        <v xml:space="preserve"> </v>
      </c>
      <c r="B277" s="106" t="str">
        <f>COPY!AR269</f>
        <v/>
      </c>
      <c r="C277" s="107">
        <f>COPY!AC269</f>
        <v>0</v>
      </c>
      <c r="D277" s="107" t="str">
        <f>IF(LEN(Table1722[[#This Row],[Uraian]])&gt;2,1," ")</f>
        <v xml:space="preserve"> </v>
      </c>
      <c r="E277" s="113" t="str">
        <f>IF(Table1722[[#This Row],[Lawan Transaksi]]="CV AGUNG KARYA",COUNTIF($I$10:I277,"CV AGUNG KARYA")," ")</f>
        <v xml:space="preserve"> </v>
      </c>
      <c r="F277" s="107" t="str">
        <f>IF(LEN(Table1722[[#This Row],[Uraian]])&gt;2,TRIM(RIGHT(SUBSTITUTE(TRIM(C277)," ",REPT(" ",255)),255))," ")</f>
        <v xml:space="preserve"> </v>
      </c>
      <c r="G277" s="110">
        <f>COPY!Z269</f>
        <v>0</v>
      </c>
      <c r="H277" s="111" t="str">
        <f>IFERROR(VLOOKUP(Table1722[[#This Row],[Bukti]],'Un nOTA'!$A$4:$K$5003,10,FALSE),"")</f>
        <v/>
      </c>
      <c r="I277" s="112" t="str">
        <f>IFERROR(VLOOKUP(Table1722[[#This Row],[Bukti]],Table13[#Data],11,FALSE),"")</f>
        <v/>
      </c>
    </row>
    <row r="278" spans="1:9" ht="19.5" hidden="1" customHeight="1" x14ac:dyDescent="0.2">
      <c r="A278" s="105" t="str">
        <f>IF(D278=1,COUNTIF($D$10:D278,1)," ")</f>
        <v xml:space="preserve"> </v>
      </c>
      <c r="B278" s="106" t="str">
        <f>COPY!AR270</f>
        <v/>
      </c>
      <c r="C278" s="107">
        <f>COPY!AC270</f>
        <v>0</v>
      </c>
      <c r="D278" s="107" t="str">
        <f>IF(LEN(Table1722[[#This Row],[Uraian]])&gt;2,1," ")</f>
        <v xml:space="preserve"> </v>
      </c>
      <c r="E278" s="113" t="str">
        <f>IF(Table1722[[#This Row],[Lawan Transaksi]]="CV AGUNG KARYA",COUNTIF($I$10:I278,"CV AGUNG KARYA")," ")</f>
        <v xml:space="preserve"> </v>
      </c>
      <c r="F278" s="107" t="str">
        <f>IF(LEN(Table1722[[#This Row],[Uraian]])&gt;2,TRIM(RIGHT(SUBSTITUTE(TRIM(C278)," ",REPT(" ",255)),255))," ")</f>
        <v xml:space="preserve"> </v>
      </c>
      <c r="G278" s="110">
        <f>COPY!Z270</f>
        <v>0</v>
      </c>
      <c r="H278" s="111" t="str">
        <f>IFERROR(VLOOKUP(Table1722[[#This Row],[Bukti]],'Un nOTA'!$A$4:$K$5003,10,FALSE),"")</f>
        <v/>
      </c>
      <c r="I278" s="112" t="str">
        <f>IFERROR(VLOOKUP(Table1722[[#This Row],[Bukti]],Table13[#Data],11,FALSE),"")</f>
        <v/>
      </c>
    </row>
    <row r="279" spans="1:9" ht="19.5" hidden="1" customHeight="1" x14ac:dyDescent="0.2">
      <c r="A279" s="105" t="str">
        <f>IF(D279=1,COUNTIF($D$10:D279,1)," ")</f>
        <v xml:space="preserve"> </v>
      </c>
      <c r="B279" s="106" t="str">
        <f>COPY!AR271</f>
        <v/>
      </c>
      <c r="C279" s="107">
        <f>COPY!AC271</f>
        <v>0</v>
      </c>
      <c r="D279" s="107" t="str">
        <f>IF(LEN(Table1722[[#This Row],[Uraian]])&gt;2,1," ")</f>
        <v xml:space="preserve"> </v>
      </c>
      <c r="E279" s="113" t="str">
        <f>IF(Table1722[[#This Row],[Lawan Transaksi]]="CV AGUNG KARYA",COUNTIF($I$10:I279,"CV AGUNG KARYA")," ")</f>
        <v xml:space="preserve"> </v>
      </c>
      <c r="F279" s="107" t="str">
        <f>IF(LEN(Table1722[[#This Row],[Uraian]])&gt;2,TRIM(RIGHT(SUBSTITUTE(TRIM(C279)," ",REPT(" ",255)),255))," ")</f>
        <v xml:space="preserve"> </v>
      </c>
      <c r="G279" s="110">
        <f>COPY!Z271</f>
        <v>0</v>
      </c>
      <c r="H279" s="111" t="str">
        <f>IFERROR(VLOOKUP(Table1722[[#This Row],[Bukti]],'Un nOTA'!$A$4:$K$5003,10,FALSE),"")</f>
        <v/>
      </c>
      <c r="I279" s="112" t="str">
        <f>IFERROR(VLOOKUP(Table1722[[#This Row],[Bukti]],Table13[#Data],11,FALSE),"")</f>
        <v/>
      </c>
    </row>
    <row r="280" spans="1:9" ht="19.5" hidden="1" customHeight="1" x14ac:dyDescent="0.2">
      <c r="A280" s="105" t="str">
        <f>IF(D280=1,COUNTIF($D$10:D280,1)," ")</f>
        <v xml:space="preserve"> </v>
      </c>
      <c r="B280" s="106" t="str">
        <f>COPY!AR272</f>
        <v/>
      </c>
      <c r="C280" s="107">
        <f>COPY!AC272</f>
        <v>0</v>
      </c>
      <c r="D280" s="107" t="str">
        <f>IF(LEN(Table1722[[#This Row],[Uraian]])&gt;2,1," ")</f>
        <v xml:space="preserve"> </v>
      </c>
      <c r="E280" s="113" t="str">
        <f>IF(Table1722[[#This Row],[Lawan Transaksi]]="CV AGUNG KARYA",COUNTIF($I$10:I280,"CV AGUNG KARYA")," ")</f>
        <v xml:space="preserve"> </v>
      </c>
      <c r="F280" s="107" t="str">
        <f>IF(LEN(Table1722[[#This Row],[Uraian]])&gt;2,TRIM(RIGHT(SUBSTITUTE(TRIM(C280)," ",REPT(" ",255)),255))," ")</f>
        <v xml:space="preserve"> </v>
      </c>
      <c r="G280" s="110">
        <f>COPY!Z272</f>
        <v>0</v>
      </c>
      <c r="H280" s="111" t="str">
        <f>IFERROR(VLOOKUP(Table1722[[#This Row],[Bukti]],'Un nOTA'!$A$4:$K$5003,10,FALSE),"")</f>
        <v/>
      </c>
      <c r="I280" s="112" t="str">
        <f>IFERROR(VLOOKUP(Table1722[[#This Row],[Bukti]],Table13[#Data],11,FALSE),"")</f>
        <v/>
      </c>
    </row>
    <row r="281" spans="1:9" ht="19.5" hidden="1" customHeight="1" x14ac:dyDescent="0.2">
      <c r="A281" s="105" t="str">
        <f>IF(D281=1,COUNTIF($D$10:D281,1)," ")</f>
        <v xml:space="preserve"> </v>
      </c>
      <c r="B281" s="106" t="str">
        <f>COPY!AR273</f>
        <v/>
      </c>
      <c r="C281" s="107">
        <f>COPY!AC273</f>
        <v>0</v>
      </c>
      <c r="D281" s="107" t="str">
        <f>IF(LEN(Table1722[[#This Row],[Uraian]])&gt;2,1," ")</f>
        <v xml:space="preserve"> </v>
      </c>
      <c r="E281" s="113" t="str">
        <f>IF(Table1722[[#This Row],[Lawan Transaksi]]="CV AGUNG KARYA",COUNTIF($I$10:I281,"CV AGUNG KARYA")," ")</f>
        <v xml:space="preserve"> </v>
      </c>
      <c r="F281" s="107" t="str">
        <f>IF(LEN(Table1722[[#This Row],[Uraian]])&gt;2,TRIM(RIGHT(SUBSTITUTE(TRIM(C281)," ",REPT(" ",255)),255))," ")</f>
        <v xml:space="preserve"> </v>
      </c>
      <c r="G281" s="110">
        <f>COPY!Z273</f>
        <v>0</v>
      </c>
      <c r="H281" s="111" t="str">
        <f>IFERROR(VLOOKUP(Table1722[[#This Row],[Bukti]],'Un nOTA'!$A$4:$K$5003,10,FALSE),"")</f>
        <v/>
      </c>
      <c r="I281" s="112" t="str">
        <f>IFERROR(VLOOKUP(Table1722[[#This Row],[Bukti]],Table13[#Data],11,FALSE),"")</f>
        <v/>
      </c>
    </row>
    <row r="282" spans="1:9" ht="19.5" hidden="1" customHeight="1" x14ac:dyDescent="0.2">
      <c r="A282" s="105" t="str">
        <f>IF(D282=1,COUNTIF($D$10:D282,1)," ")</f>
        <v xml:space="preserve"> </v>
      </c>
      <c r="B282" s="106" t="str">
        <f>COPY!AR274</f>
        <v/>
      </c>
      <c r="C282" s="107">
        <f>COPY!AC274</f>
        <v>0</v>
      </c>
      <c r="D282" s="107" t="str">
        <f>IF(LEN(Table1722[[#This Row],[Uraian]])&gt;2,1," ")</f>
        <v xml:space="preserve"> </v>
      </c>
      <c r="E282" s="113" t="str">
        <f>IF(Table1722[[#This Row],[Lawan Transaksi]]="CV AGUNG KARYA",COUNTIF($I$10:I282,"CV AGUNG KARYA")," ")</f>
        <v xml:space="preserve"> </v>
      </c>
      <c r="F282" s="107" t="str">
        <f>IF(LEN(Table1722[[#This Row],[Uraian]])&gt;2,TRIM(RIGHT(SUBSTITUTE(TRIM(C282)," ",REPT(" ",255)),255))," ")</f>
        <v xml:space="preserve"> </v>
      </c>
      <c r="G282" s="110">
        <f>COPY!Z274</f>
        <v>0</v>
      </c>
      <c r="H282" s="111" t="str">
        <f>IFERROR(VLOOKUP(Table1722[[#This Row],[Bukti]],'Un nOTA'!$A$4:$K$5003,10,FALSE),"")</f>
        <v/>
      </c>
      <c r="I282" s="112" t="str">
        <f>IFERROR(VLOOKUP(Table1722[[#This Row],[Bukti]],Table13[#Data],11,FALSE),"")</f>
        <v/>
      </c>
    </row>
    <row r="283" spans="1:9" ht="19.5" hidden="1" customHeight="1" x14ac:dyDescent="0.2">
      <c r="A283" s="105" t="str">
        <f>IF(D283=1,COUNTIF($D$10:D283,1)," ")</f>
        <v xml:space="preserve"> </v>
      </c>
      <c r="B283" s="106" t="str">
        <f>COPY!AR275</f>
        <v/>
      </c>
      <c r="C283" s="107">
        <f>COPY!AC275</f>
        <v>0</v>
      </c>
      <c r="D283" s="107" t="str">
        <f>IF(LEN(Table1722[[#This Row],[Uraian]])&gt;2,1," ")</f>
        <v xml:space="preserve"> </v>
      </c>
      <c r="E283" s="113" t="str">
        <f>IF(Table1722[[#This Row],[Lawan Transaksi]]="CV AGUNG KARYA",COUNTIF($I$10:I283,"CV AGUNG KARYA")," ")</f>
        <v xml:space="preserve"> </v>
      </c>
      <c r="F283" s="107" t="str">
        <f>IF(LEN(Table1722[[#This Row],[Uraian]])&gt;2,TRIM(RIGHT(SUBSTITUTE(TRIM(C283)," ",REPT(" ",255)),255))," ")</f>
        <v xml:space="preserve"> </v>
      </c>
      <c r="G283" s="110">
        <f>COPY!Z275</f>
        <v>0</v>
      </c>
      <c r="H283" s="111" t="str">
        <f>IFERROR(VLOOKUP(Table1722[[#This Row],[Bukti]],'Un nOTA'!$A$4:$K$5003,10,FALSE),"")</f>
        <v/>
      </c>
      <c r="I283" s="112" t="str">
        <f>IFERROR(VLOOKUP(Table1722[[#This Row],[Bukti]],Table13[#Data],11,FALSE),"")</f>
        <v/>
      </c>
    </row>
    <row r="284" spans="1:9" ht="19.5" hidden="1" customHeight="1" x14ac:dyDescent="0.2">
      <c r="A284" s="105" t="str">
        <f>IF(D284=1,COUNTIF($D$10:D284,1)," ")</f>
        <v xml:space="preserve"> </v>
      </c>
      <c r="B284" s="106" t="str">
        <f>COPY!AR276</f>
        <v/>
      </c>
      <c r="C284" s="107">
        <f>COPY!AC276</f>
        <v>0</v>
      </c>
      <c r="D284" s="107" t="str">
        <f>IF(LEN(Table1722[[#This Row],[Uraian]])&gt;2,1," ")</f>
        <v xml:space="preserve"> </v>
      </c>
      <c r="E284" s="113" t="str">
        <f>IF(Table1722[[#This Row],[Lawan Transaksi]]="CV AGUNG KARYA",COUNTIF($I$10:I284,"CV AGUNG KARYA")," ")</f>
        <v xml:space="preserve"> </v>
      </c>
      <c r="F284" s="107" t="str">
        <f>IF(LEN(Table1722[[#This Row],[Uraian]])&gt;2,TRIM(RIGHT(SUBSTITUTE(TRIM(C284)," ",REPT(" ",255)),255))," ")</f>
        <v xml:space="preserve"> </v>
      </c>
      <c r="G284" s="110">
        <f>COPY!Z276</f>
        <v>0</v>
      </c>
      <c r="H284" s="111" t="str">
        <f>IFERROR(VLOOKUP(Table1722[[#This Row],[Bukti]],'Un nOTA'!$A$4:$K$5003,10,FALSE),"")</f>
        <v/>
      </c>
      <c r="I284" s="112" t="str">
        <f>IFERROR(VLOOKUP(Table1722[[#This Row],[Bukti]],Table13[#Data],11,FALSE),"")</f>
        <v/>
      </c>
    </row>
    <row r="285" spans="1:9" ht="19.5" hidden="1" customHeight="1" x14ac:dyDescent="0.2">
      <c r="A285" s="105" t="str">
        <f>IF(D285=1,COUNTIF($D$10:D285,1)," ")</f>
        <v xml:space="preserve"> </v>
      </c>
      <c r="B285" s="106" t="str">
        <f>COPY!AR277</f>
        <v/>
      </c>
      <c r="C285" s="107">
        <f>COPY!AC277</f>
        <v>0</v>
      </c>
      <c r="D285" s="107" t="str">
        <f>IF(LEN(Table1722[[#This Row],[Uraian]])&gt;2,1," ")</f>
        <v xml:space="preserve"> </v>
      </c>
      <c r="E285" s="113" t="str">
        <f>IF(Table1722[[#This Row],[Lawan Transaksi]]="CV AGUNG KARYA",COUNTIF($I$10:I285,"CV AGUNG KARYA")," ")</f>
        <v xml:space="preserve"> </v>
      </c>
      <c r="F285" s="107" t="str">
        <f>IF(LEN(Table1722[[#This Row],[Uraian]])&gt;2,TRIM(RIGHT(SUBSTITUTE(TRIM(C285)," ",REPT(" ",255)),255))," ")</f>
        <v xml:space="preserve"> </v>
      </c>
      <c r="G285" s="110">
        <f>COPY!Z277</f>
        <v>0</v>
      </c>
      <c r="H285" s="111" t="str">
        <f>IFERROR(VLOOKUP(Table1722[[#This Row],[Bukti]],'Un nOTA'!$A$4:$K$5003,10,FALSE),"")</f>
        <v/>
      </c>
      <c r="I285" s="112" t="str">
        <f>IFERROR(VLOOKUP(Table1722[[#This Row],[Bukti]],Table13[#Data],11,FALSE),"")</f>
        <v/>
      </c>
    </row>
    <row r="286" spans="1:9" ht="19.5" hidden="1" customHeight="1" x14ac:dyDescent="0.2">
      <c r="A286" s="105" t="str">
        <f>IF(D286=1,COUNTIF($D$10:D286,1)," ")</f>
        <v xml:space="preserve"> </v>
      </c>
      <c r="B286" s="106" t="str">
        <f>COPY!AR278</f>
        <v/>
      </c>
      <c r="C286" s="107">
        <f>COPY!AC278</f>
        <v>0</v>
      </c>
      <c r="D286" s="107" t="str">
        <f>IF(LEN(Table1722[[#This Row],[Uraian]])&gt;2,1," ")</f>
        <v xml:space="preserve"> </v>
      </c>
      <c r="E286" s="113" t="str">
        <f>IF(Table1722[[#This Row],[Lawan Transaksi]]="CV AGUNG KARYA",COUNTIF($I$10:I286,"CV AGUNG KARYA")," ")</f>
        <v xml:space="preserve"> </v>
      </c>
      <c r="F286" s="107" t="str">
        <f>IF(LEN(Table1722[[#This Row],[Uraian]])&gt;2,TRIM(RIGHT(SUBSTITUTE(TRIM(C286)," ",REPT(" ",255)),255))," ")</f>
        <v xml:space="preserve"> </v>
      </c>
      <c r="G286" s="110">
        <f>COPY!Z278</f>
        <v>0</v>
      </c>
      <c r="H286" s="111" t="str">
        <f>IFERROR(VLOOKUP(Table1722[[#This Row],[Bukti]],'Un nOTA'!$A$4:$K$5003,10,FALSE),"")</f>
        <v/>
      </c>
      <c r="I286" s="112" t="str">
        <f>IFERROR(VLOOKUP(Table1722[[#This Row],[Bukti]],Table13[#Data],11,FALSE),"")</f>
        <v/>
      </c>
    </row>
    <row r="287" spans="1:9" ht="19.5" hidden="1" customHeight="1" x14ac:dyDescent="0.2">
      <c r="A287" s="105" t="str">
        <f>IF(D287=1,COUNTIF($D$10:D287,1)," ")</f>
        <v xml:space="preserve"> </v>
      </c>
      <c r="B287" s="106" t="str">
        <f>COPY!AR279</f>
        <v/>
      </c>
      <c r="C287" s="107">
        <f>COPY!AC279</f>
        <v>0</v>
      </c>
      <c r="D287" s="107" t="str">
        <f>IF(LEN(Table1722[[#This Row],[Uraian]])&gt;2,1," ")</f>
        <v xml:space="preserve"> </v>
      </c>
      <c r="E287" s="113" t="str">
        <f>IF(Table1722[[#This Row],[Lawan Transaksi]]="CV AGUNG KARYA",COUNTIF($I$10:I287,"CV AGUNG KARYA")," ")</f>
        <v xml:space="preserve"> </v>
      </c>
      <c r="F287" s="107" t="str">
        <f>IF(LEN(Table1722[[#This Row],[Uraian]])&gt;2,TRIM(RIGHT(SUBSTITUTE(TRIM(C287)," ",REPT(" ",255)),255))," ")</f>
        <v xml:space="preserve"> </v>
      </c>
      <c r="G287" s="110">
        <f>COPY!Z279</f>
        <v>0</v>
      </c>
      <c r="H287" s="111" t="str">
        <f>IFERROR(VLOOKUP(Table1722[[#This Row],[Bukti]],'Un nOTA'!$A$4:$K$5003,10,FALSE),"")</f>
        <v/>
      </c>
      <c r="I287" s="112" t="str">
        <f>IFERROR(VLOOKUP(Table1722[[#This Row],[Bukti]],Table13[#Data],11,FALSE),"")</f>
        <v/>
      </c>
    </row>
    <row r="288" spans="1:9" ht="19.5" hidden="1" customHeight="1" x14ac:dyDescent="0.2">
      <c r="A288" s="105" t="str">
        <f>IF(D288=1,COUNTIF($D$10:D288,1)," ")</f>
        <v xml:space="preserve"> </v>
      </c>
      <c r="B288" s="106" t="str">
        <f>COPY!AR280</f>
        <v/>
      </c>
      <c r="C288" s="107">
        <f>COPY!AC280</f>
        <v>0</v>
      </c>
      <c r="D288" s="107" t="str">
        <f>IF(LEN(Table1722[[#This Row],[Uraian]])&gt;2,1," ")</f>
        <v xml:space="preserve"> </v>
      </c>
      <c r="E288" s="113" t="str">
        <f>IF(Table1722[[#This Row],[Lawan Transaksi]]="CV AGUNG KARYA",COUNTIF($I$10:I288,"CV AGUNG KARYA")," ")</f>
        <v xml:space="preserve"> </v>
      </c>
      <c r="F288" s="107" t="str">
        <f>IF(LEN(Table1722[[#This Row],[Uraian]])&gt;2,TRIM(RIGHT(SUBSTITUTE(TRIM(C288)," ",REPT(" ",255)),255))," ")</f>
        <v xml:space="preserve"> </v>
      </c>
      <c r="G288" s="110">
        <f>COPY!Z280</f>
        <v>0</v>
      </c>
      <c r="H288" s="111" t="str">
        <f>IFERROR(VLOOKUP(Table1722[[#This Row],[Bukti]],'Un nOTA'!$A$4:$K$5003,10,FALSE),"")</f>
        <v/>
      </c>
      <c r="I288" s="112" t="str">
        <f>IFERROR(VLOOKUP(Table1722[[#This Row],[Bukti]],Table13[#Data],11,FALSE),"")</f>
        <v/>
      </c>
    </row>
    <row r="289" spans="1:9" ht="19.5" hidden="1" customHeight="1" x14ac:dyDescent="0.2">
      <c r="A289" s="105" t="str">
        <f>IF(D289=1,COUNTIF($D$10:D289,1)," ")</f>
        <v xml:space="preserve"> </v>
      </c>
      <c r="B289" s="106" t="str">
        <f>COPY!AR281</f>
        <v/>
      </c>
      <c r="C289" s="107">
        <f>COPY!AC281</f>
        <v>0</v>
      </c>
      <c r="D289" s="107" t="str">
        <f>IF(LEN(Table1722[[#This Row],[Uraian]])&gt;2,1," ")</f>
        <v xml:space="preserve"> </v>
      </c>
      <c r="E289" s="113" t="str">
        <f>IF(Table1722[[#This Row],[Lawan Transaksi]]="CV AGUNG KARYA",COUNTIF($I$10:I289,"CV AGUNG KARYA")," ")</f>
        <v xml:space="preserve"> </v>
      </c>
      <c r="F289" s="107" t="str">
        <f>IF(LEN(Table1722[[#This Row],[Uraian]])&gt;2,TRIM(RIGHT(SUBSTITUTE(TRIM(C289)," ",REPT(" ",255)),255))," ")</f>
        <v xml:space="preserve"> </v>
      </c>
      <c r="G289" s="110">
        <f>COPY!Z281</f>
        <v>0</v>
      </c>
      <c r="H289" s="111" t="str">
        <f>IFERROR(VLOOKUP(Table1722[[#This Row],[Bukti]],'Un nOTA'!$A$4:$K$5003,10,FALSE),"")</f>
        <v/>
      </c>
      <c r="I289" s="112" t="str">
        <f>IFERROR(VLOOKUP(Table1722[[#This Row],[Bukti]],Table13[#Data],11,FALSE),"")</f>
        <v/>
      </c>
    </row>
    <row r="290" spans="1:9" ht="19.5" hidden="1" customHeight="1" x14ac:dyDescent="0.2">
      <c r="A290" s="105" t="str">
        <f>IF(D290=1,COUNTIF($D$10:D290,1)," ")</f>
        <v xml:space="preserve"> </v>
      </c>
      <c r="B290" s="106" t="str">
        <f>COPY!AR282</f>
        <v/>
      </c>
      <c r="C290" s="107">
        <f>COPY!AC282</f>
        <v>0</v>
      </c>
      <c r="D290" s="107" t="str">
        <f>IF(LEN(Table1722[[#This Row],[Uraian]])&gt;2,1," ")</f>
        <v xml:space="preserve"> </v>
      </c>
      <c r="E290" s="113" t="str">
        <f>IF(Table1722[[#This Row],[Lawan Transaksi]]="CV AGUNG KARYA",COUNTIF($I$10:I290,"CV AGUNG KARYA")," ")</f>
        <v xml:space="preserve"> </v>
      </c>
      <c r="F290" s="107" t="str">
        <f>IF(LEN(Table1722[[#This Row],[Uraian]])&gt;2,TRIM(RIGHT(SUBSTITUTE(TRIM(C290)," ",REPT(" ",255)),255))," ")</f>
        <v xml:space="preserve"> </v>
      </c>
      <c r="G290" s="110">
        <f>COPY!Z282</f>
        <v>0</v>
      </c>
      <c r="H290" s="111" t="str">
        <f>IFERROR(VLOOKUP(Table1722[[#This Row],[Bukti]],'Un nOTA'!$A$4:$K$5003,10,FALSE),"")</f>
        <v/>
      </c>
      <c r="I290" s="112" t="str">
        <f>IFERROR(VLOOKUP(Table1722[[#This Row],[Bukti]],Table13[#Data],11,FALSE),"")</f>
        <v/>
      </c>
    </row>
    <row r="291" spans="1:9" ht="19.5" hidden="1" customHeight="1" x14ac:dyDescent="0.2">
      <c r="A291" s="105" t="str">
        <f>IF(D291=1,COUNTIF($D$10:D291,1)," ")</f>
        <v xml:space="preserve"> </v>
      </c>
      <c r="B291" s="106" t="str">
        <f>COPY!AR283</f>
        <v/>
      </c>
      <c r="C291" s="107">
        <f>COPY!AC283</f>
        <v>0</v>
      </c>
      <c r="D291" s="107" t="str">
        <f>IF(LEN(Table1722[[#This Row],[Uraian]])&gt;2,1," ")</f>
        <v xml:space="preserve"> </v>
      </c>
      <c r="E291" s="113" t="str">
        <f>IF(Table1722[[#This Row],[Lawan Transaksi]]="CV AGUNG KARYA",COUNTIF($I$10:I291,"CV AGUNG KARYA")," ")</f>
        <v xml:space="preserve"> </v>
      </c>
      <c r="F291" s="107" t="str">
        <f>IF(LEN(Table1722[[#This Row],[Uraian]])&gt;2,TRIM(RIGHT(SUBSTITUTE(TRIM(C291)," ",REPT(" ",255)),255))," ")</f>
        <v xml:space="preserve"> </v>
      </c>
      <c r="G291" s="110">
        <f>COPY!Z283</f>
        <v>0</v>
      </c>
      <c r="H291" s="111" t="str">
        <f>IFERROR(VLOOKUP(Table1722[[#This Row],[Bukti]],'Un nOTA'!$A$4:$K$5003,10,FALSE),"")</f>
        <v/>
      </c>
      <c r="I291" s="112" t="str">
        <f>IFERROR(VLOOKUP(Table1722[[#This Row],[Bukti]],Table13[#Data],11,FALSE),"")</f>
        <v/>
      </c>
    </row>
    <row r="292" spans="1:9" ht="19.5" hidden="1" customHeight="1" x14ac:dyDescent="0.2">
      <c r="A292" s="105" t="str">
        <f>IF(D292=1,COUNTIF($D$10:D292,1)," ")</f>
        <v xml:space="preserve"> </v>
      </c>
      <c r="B292" s="106" t="str">
        <f>COPY!AR284</f>
        <v/>
      </c>
      <c r="C292" s="107">
        <f>COPY!AC284</f>
        <v>0</v>
      </c>
      <c r="D292" s="107" t="str">
        <f>IF(LEN(Table1722[[#This Row],[Uraian]])&gt;2,1," ")</f>
        <v xml:space="preserve"> </v>
      </c>
      <c r="E292" s="113" t="str">
        <f>IF(Table1722[[#This Row],[Lawan Transaksi]]="CV AGUNG KARYA",COUNTIF($I$10:I292,"CV AGUNG KARYA")," ")</f>
        <v xml:space="preserve"> </v>
      </c>
      <c r="F292" s="107" t="str">
        <f>IF(LEN(Table1722[[#This Row],[Uraian]])&gt;2,TRIM(RIGHT(SUBSTITUTE(TRIM(C292)," ",REPT(" ",255)),255))," ")</f>
        <v xml:space="preserve"> </v>
      </c>
      <c r="G292" s="110">
        <f>COPY!Z284</f>
        <v>0</v>
      </c>
      <c r="H292" s="111" t="str">
        <f>IFERROR(VLOOKUP(Table1722[[#This Row],[Bukti]],'Un nOTA'!$A$4:$K$5003,10,FALSE),"")</f>
        <v/>
      </c>
      <c r="I292" s="112" t="str">
        <f>IFERROR(VLOOKUP(Table1722[[#This Row],[Bukti]],Table13[#Data],11,FALSE),"")</f>
        <v/>
      </c>
    </row>
    <row r="293" spans="1:9" ht="19.5" hidden="1" customHeight="1" x14ac:dyDescent="0.2">
      <c r="A293" s="105" t="str">
        <f>IF(D293=1,COUNTIF($D$10:D293,1)," ")</f>
        <v xml:space="preserve"> </v>
      </c>
      <c r="B293" s="106" t="str">
        <f>COPY!AR285</f>
        <v/>
      </c>
      <c r="C293" s="107">
        <f>COPY!AC285</f>
        <v>0</v>
      </c>
      <c r="D293" s="107" t="str">
        <f>IF(LEN(Table1722[[#This Row],[Uraian]])&gt;2,1," ")</f>
        <v xml:space="preserve"> </v>
      </c>
      <c r="E293" s="113" t="str">
        <f>IF(Table1722[[#This Row],[Lawan Transaksi]]="CV AGUNG KARYA",COUNTIF($I$10:I293,"CV AGUNG KARYA")," ")</f>
        <v xml:space="preserve"> </v>
      </c>
      <c r="F293" s="107" t="str">
        <f>IF(LEN(Table1722[[#This Row],[Uraian]])&gt;2,TRIM(RIGHT(SUBSTITUTE(TRIM(C293)," ",REPT(" ",255)),255))," ")</f>
        <v xml:space="preserve"> </v>
      </c>
      <c r="G293" s="110">
        <f>COPY!Z285</f>
        <v>0</v>
      </c>
      <c r="H293" s="111" t="str">
        <f>IFERROR(VLOOKUP(Table1722[[#This Row],[Bukti]],'Un nOTA'!$A$4:$K$5003,10,FALSE),"")</f>
        <v/>
      </c>
      <c r="I293" s="112" t="str">
        <f>IFERROR(VLOOKUP(Table1722[[#This Row],[Bukti]],Table13[#Data],11,FALSE),"")</f>
        <v/>
      </c>
    </row>
    <row r="294" spans="1:9" ht="19.5" hidden="1" customHeight="1" x14ac:dyDescent="0.2">
      <c r="A294" s="105" t="str">
        <f>IF(D294=1,COUNTIF($D$10:D294,1)," ")</f>
        <v xml:space="preserve"> </v>
      </c>
      <c r="B294" s="106" t="str">
        <f>COPY!AR286</f>
        <v/>
      </c>
      <c r="C294" s="107">
        <f>COPY!AC286</f>
        <v>0</v>
      </c>
      <c r="D294" s="107" t="str">
        <f>IF(LEN(Table1722[[#This Row],[Uraian]])&gt;2,1," ")</f>
        <v xml:space="preserve"> </v>
      </c>
      <c r="E294" s="113" t="str">
        <f>IF(Table1722[[#This Row],[Lawan Transaksi]]="CV AGUNG KARYA",COUNTIF($I$10:I294,"CV AGUNG KARYA")," ")</f>
        <v xml:space="preserve"> </v>
      </c>
      <c r="F294" s="107" t="str">
        <f>IF(LEN(Table1722[[#This Row],[Uraian]])&gt;2,TRIM(RIGHT(SUBSTITUTE(TRIM(C294)," ",REPT(" ",255)),255))," ")</f>
        <v xml:space="preserve"> </v>
      </c>
      <c r="G294" s="110">
        <f>COPY!Z286</f>
        <v>0</v>
      </c>
      <c r="H294" s="111" t="str">
        <f>IFERROR(VLOOKUP(Table1722[[#This Row],[Bukti]],'Un nOTA'!$A$4:$K$5003,10,FALSE),"")</f>
        <v/>
      </c>
      <c r="I294" s="112" t="str">
        <f>IFERROR(VLOOKUP(Table1722[[#This Row],[Bukti]],Table13[#Data],11,FALSE),"")</f>
        <v/>
      </c>
    </row>
    <row r="295" spans="1:9" ht="19.5" hidden="1" customHeight="1" x14ac:dyDescent="0.2">
      <c r="A295" s="105" t="str">
        <f>IF(D295=1,COUNTIF($D$10:D295,1)," ")</f>
        <v xml:space="preserve"> </v>
      </c>
      <c r="B295" s="106" t="str">
        <f>COPY!AR287</f>
        <v/>
      </c>
      <c r="C295" s="107">
        <f>COPY!AC287</f>
        <v>0</v>
      </c>
      <c r="D295" s="107" t="str">
        <f>IF(LEN(Table1722[[#This Row],[Uraian]])&gt;2,1," ")</f>
        <v xml:space="preserve"> </v>
      </c>
      <c r="E295" s="113" t="str">
        <f>IF(Table1722[[#This Row],[Lawan Transaksi]]="CV AGUNG KARYA",COUNTIF($I$10:I295,"CV AGUNG KARYA")," ")</f>
        <v xml:space="preserve"> </v>
      </c>
      <c r="F295" s="107" t="str">
        <f>IF(LEN(Table1722[[#This Row],[Uraian]])&gt;2,TRIM(RIGHT(SUBSTITUTE(TRIM(C295)," ",REPT(" ",255)),255))," ")</f>
        <v xml:space="preserve"> </v>
      </c>
      <c r="G295" s="110">
        <f>COPY!Z287</f>
        <v>0</v>
      </c>
      <c r="H295" s="111" t="str">
        <f>IFERROR(VLOOKUP(Table1722[[#This Row],[Bukti]],'Un nOTA'!$A$4:$K$5003,10,FALSE),"")</f>
        <v/>
      </c>
      <c r="I295" s="112" t="str">
        <f>IFERROR(VLOOKUP(Table1722[[#This Row],[Bukti]],Table13[#Data],11,FALSE),"")</f>
        <v/>
      </c>
    </row>
    <row r="296" spans="1:9" ht="19.5" hidden="1" customHeight="1" x14ac:dyDescent="0.2">
      <c r="A296" s="105" t="str">
        <f>IF(D296=1,COUNTIF($D$10:D296,1)," ")</f>
        <v xml:space="preserve"> </v>
      </c>
      <c r="B296" s="106" t="str">
        <f>COPY!AR288</f>
        <v/>
      </c>
      <c r="C296" s="107">
        <f>COPY!AC288</f>
        <v>0</v>
      </c>
      <c r="D296" s="107" t="str">
        <f>IF(LEN(Table1722[[#This Row],[Uraian]])&gt;2,1," ")</f>
        <v xml:space="preserve"> </v>
      </c>
      <c r="E296" s="113" t="str">
        <f>IF(Table1722[[#This Row],[Lawan Transaksi]]="CV AGUNG KARYA",COUNTIF($I$10:I296,"CV AGUNG KARYA")," ")</f>
        <v xml:space="preserve"> </v>
      </c>
      <c r="F296" s="107" t="str">
        <f>IF(LEN(Table1722[[#This Row],[Uraian]])&gt;2,TRIM(RIGHT(SUBSTITUTE(TRIM(C296)," ",REPT(" ",255)),255))," ")</f>
        <v xml:space="preserve"> </v>
      </c>
      <c r="G296" s="110">
        <f>COPY!Z288</f>
        <v>0</v>
      </c>
      <c r="H296" s="111" t="str">
        <f>IFERROR(VLOOKUP(Table1722[[#This Row],[Bukti]],'Un nOTA'!$A$4:$K$5003,10,FALSE),"")</f>
        <v/>
      </c>
      <c r="I296" s="112" t="str">
        <f>IFERROR(VLOOKUP(Table1722[[#This Row],[Bukti]],Table13[#Data],11,FALSE),"")</f>
        <v/>
      </c>
    </row>
    <row r="297" spans="1:9" ht="19.5" hidden="1" customHeight="1" x14ac:dyDescent="0.2">
      <c r="A297" s="105" t="str">
        <f>IF(D297=1,COUNTIF($D$10:D297,1)," ")</f>
        <v xml:space="preserve"> </v>
      </c>
      <c r="B297" s="106" t="str">
        <f>COPY!AR289</f>
        <v/>
      </c>
      <c r="C297" s="107">
        <f>COPY!AC289</f>
        <v>0</v>
      </c>
      <c r="D297" s="107" t="str">
        <f>IF(LEN(Table1722[[#This Row],[Uraian]])&gt;2,1," ")</f>
        <v xml:space="preserve"> </v>
      </c>
      <c r="E297" s="113" t="str">
        <f>IF(Table1722[[#This Row],[Lawan Transaksi]]="CV AGUNG KARYA",COUNTIF($I$10:I297,"CV AGUNG KARYA")," ")</f>
        <v xml:space="preserve"> </v>
      </c>
      <c r="F297" s="107" t="str">
        <f>IF(LEN(Table1722[[#This Row],[Uraian]])&gt;2,TRIM(RIGHT(SUBSTITUTE(TRIM(C297)," ",REPT(" ",255)),255))," ")</f>
        <v xml:space="preserve"> </v>
      </c>
      <c r="G297" s="110">
        <f>COPY!Z289</f>
        <v>0</v>
      </c>
      <c r="H297" s="111" t="str">
        <f>IFERROR(VLOOKUP(Table1722[[#This Row],[Bukti]],'Un nOTA'!$A$4:$K$5003,10,FALSE),"")</f>
        <v/>
      </c>
      <c r="I297" s="112" t="str">
        <f>IFERROR(VLOOKUP(Table1722[[#This Row],[Bukti]],Table13[#Data],11,FALSE),"")</f>
        <v/>
      </c>
    </row>
    <row r="298" spans="1:9" ht="19.5" hidden="1" customHeight="1" x14ac:dyDescent="0.2">
      <c r="A298" s="105" t="str">
        <f>IF(D298=1,COUNTIF($D$10:D298,1)," ")</f>
        <v xml:space="preserve"> </v>
      </c>
      <c r="B298" s="106" t="str">
        <f>COPY!AR290</f>
        <v/>
      </c>
      <c r="C298" s="107">
        <f>COPY!AC290</f>
        <v>0</v>
      </c>
      <c r="D298" s="107" t="str">
        <f>IF(LEN(Table1722[[#This Row],[Uraian]])&gt;2,1," ")</f>
        <v xml:space="preserve"> </v>
      </c>
      <c r="E298" s="113" t="str">
        <f>IF(Table1722[[#This Row],[Lawan Transaksi]]="CV AGUNG KARYA",COUNTIF($I$10:I298,"CV AGUNG KARYA")," ")</f>
        <v xml:space="preserve"> </v>
      </c>
      <c r="F298" s="107" t="str">
        <f>IF(LEN(Table1722[[#This Row],[Uraian]])&gt;2,TRIM(RIGHT(SUBSTITUTE(TRIM(C298)," ",REPT(" ",255)),255))," ")</f>
        <v xml:space="preserve"> </v>
      </c>
      <c r="G298" s="110">
        <f>COPY!Z290</f>
        <v>0</v>
      </c>
      <c r="H298" s="111" t="str">
        <f>IFERROR(VLOOKUP(Table1722[[#This Row],[Bukti]],'Un nOTA'!$A$4:$K$5003,10,FALSE),"")</f>
        <v/>
      </c>
      <c r="I298" s="112" t="str">
        <f>IFERROR(VLOOKUP(Table1722[[#This Row],[Bukti]],Table13[#Data],11,FALSE),"")</f>
        <v/>
      </c>
    </row>
    <row r="299" spans="1:9" ht="19.5" hidden="1" customHeight="1" x14ac:dyDescent="0.2">
      <c r="A299" s="105" t="str">
        <f>IF(D299=1,COUNTIF($D$10:D299,1)," ")</f>
        <v xml:space="preserve"> </v>
      </c>
      <c r="B299" s="106" t="str">
        <f>COPY!AR291</f>
        <v/>
      </c>
      <c r="C299" s="107">
        <f>COPY!AC291</f>
        <v>0</v>
      </c>
      <c r="D299" s="107" t="str">
        <f>IF(LEN(Table1722[[#This Row],[Uraian]])&gt;2,1," ")</f>
        <v xml:space="preserve"> </v>
      </c>
      <c r="E299" s="113" t="str">
        <f>IF(Table1722[[#This Row],[Lawan Transaksi]]="CV AGUNG KARYA",COUNTIF($I$10:I299,"CV AGUNG KARYA")," ")</f>
        <v xml:space="preserve"> </v>
      </c>
      <c r="F299" s="107" t="str">
        <f>IF(LEN(Table1722[[#This Row],[Uraian]])&gt;2,TRIM(RIGHT(SUBSTITUTE(TRIM(C299)," ",REPT(" ",255)),255))," ")</f>
        <v xml:space="preserve"> </v>
      </c>
      <c r="G299" s="110">
        <f>COPY!Z291</f>
        <v>0</v>
      </c>
      <c r="H299" s="111" t="str">
        <f>IFERROR(VLOOKUP(Table1722[[#This Row],[Bukti]],'Un nOTA'!$A$4:$K$5003,10,FALSE),"")</f>
        <v/>
      </c>
      <c r="I299" s="112" t="str">
        <f>IFERROR(VLOOKUP(Table1722[[#This Row],[Bukti]],Table13[#Data],11,FALSE),"")</f>
        <v/>
      </c>
    </row>
    <row r="300" spans="1:9" ht="19.5" hidden="1" customHeight="1" x14ac:dyDescent="0.2">
      <c r="A300" s="105"/>
      <c r="B300" s="106" t="str">
        <f>COPY!AR292</f>
        <v/>
      </c>
      <c r="C300" s="107">
        <f>COPY!AC292</f>
        <v>0</v>
      </c>
      <c r="D300" s="107" t="str">
        <f>IF(LEN(Table1722[[#This Row],[Uraian]])&gt;2,1," ")</f>
        <v xml:space="preserve"> </v>
      </c>
      <c r="E300" s="113"/>
      <c r="F300" s="107" t="str">
        <f>IF(LEN(Table1722[[#This Row],[Uraian]])&gt;2,TRIM(RIGHT(SUBSTITUTE(TRIM(C300)," ",REPT(" ",255)),255))," ")</f>
        <v xml:space="preserve"> </v>
      </c>
      <c r="G300" s="110">
        <f>COPY!Z292</f>
        <v>0</v>
      </c>
      <c r="H300" s="111"/>
      <c r="I300" s="112" t="str">
        <f>IFERROR(VLOOKUP(Table1722[[#This Row],[Bukti]],Table13[#Data],11,FALSE),"")</f>
        <v/>
      </c>
    </row>
    <row r="301" spans="1:9" ht="19.5" hidden="1" customHeight="1" x14ac:dyDescent="0.2">
      <c r="A301" s="105" t="str">
        <f>IF(D301=1,COUNTIF($D$10:D301,1)," ")</f>
        <v xml:space="preserve"> </v>
      </c>
      <c r="B301" s="106" t="str">
        <f>COPY!AR293</f>
        <v/>
      </c>
      <c r="C301" s="107">
        <f>COPY!AC293</f>
        <v>0</v>
      </c>
      <c r="D301" s="107" t="str">
        <f>IF(LEN(Table1722[[#This Row],[Uraian]])&gt;2,1," ")</f>
        <v xml:space="preserve"> </v>
      </c>
      <c r="E301" s="113" t="str">
        <f>IF(Table1722[[#This Row],[Lawan Transaksi]]="CV AGUNG KARYA",COUNTIF($I$10:I301,"CV AGUNG KARYA")," ")</f>
        <v xml:space="preserve"> </v>
      </c>
      <c r="F301" s="107" t="str">
        <f>IF(LEN(Table1722[[#This Row],[Uraian]])&gt;2,TRIM(RIGHT(SUBSTITUTE(TRIM(C301)," ",REPT(" ",255)),255))," ")</f>
        <v xml:space="preserve"> </v>
      </c>
      <c r="G301" s="110">
        <f>COPY!Z293</f>
        <v>0</v>
      </c>
      <c r="H301" s="111" t="str">
        <f>IFERROR(VLOOKUP(Table1722[[#This Row],[Bukti]],'Un nOTA'!$A$4:$K$5003,10,FALSE),"")</f>
        <v/>
      </c>
      <c r="I301" s="112" t="str">
        <f>IFERROR(VLOOKUP(Table1722[[#This Row],[Bukti]],Table13[#Data],11,FALSE),"")</f>
        <v/>
      </c>
    </row>
    <row r="302" spans="1:9" ht="19.5" hidden="1" customHeight="1" x14ac:dyDescent="0.2">
      <c r="A302" s="105" t="str">
        <f>IF(D302=1,COUNTIF($D$10:D302,1)," ")</f>
        <v xml:space="preserve"> </v>
      </c>
      <c r="B302" s="106" t="str">
        <f>COPY!AR294</f>
        <v/>
      </c>
      <c r="C302" s="107">
        <f>COPY!AC294</f>
        <v>0</v>
      </c>
      <c r="D302" s="107" t="str">
        <f>IF(LEN(Table1722[[#This Row],[Uraian]])&gt;2,1," ")</f>
        <v xml:space="preserve"> </v>
      </c>
      <c r="E302" s="113" t="str">
        <f>IF(Table1722[[#This Row],[Lawan Transaksi]]="CV AGUNG KARYA",COUNTIF($I$10:I302,"CV AGUNG KARYA")," ")</f>
        <v xml:space="preserve"> </v>
      </c>
      <c r="F302" s="107" t="str">
        <f>IF(LEN(Table1722[[#This Row],[Uraian]])&gt;2,TRIM(RIGHT(SUBSTITUTE(TRIM(C302)," ",REPT(" ",255)),255))," ")</f>
        <v xml:space="preserve"> </v>
      </c>
      <c r="G302" s="110">
        <f>COPY!Z294</f>
        <v>0</v>
      </c>
      <c r="H302" s="111" t="str">
        <f>IFERROR(VLOOKUP(Table1722[[#This Row],[Bukti]],'Un nOTA'!$A$4:$K$5003,10,FALSE),"")</f>
        <v/>
      </c>
      <c r="I302" s="112" t="str">
        <f>IFERROR(VLOOKUP(Table1722[[#This Row],[Bukti]],Table13[#Data],11,FALSE),"")</f>
        <v/>
      </c>
    </row>
    <row r="303" spans="1:9" ht="19.5" hidden="1" customHeight="1" x14ac:dyDescent="0.2">
      <c r="A303" s="105" t="str">
        <f>IF(D303=1,COUNTIF($D$10:D303,1)," ")</f>
        <v xml:space="preserve"> </v>
      </c>
      <c r="B303" s="106" t="str">
        <f>COPY!AR295</f>
        <v/>
      </c>
      <c r="C303" s="107">
        <f>COPY!AC295</f>
        <v>0</v>
      </c>
      <c r="D303" s="107" t="str">
        <f>IF(LEN(Table1722[[#This Row],[Uraian]])&gt;2,1," ")</f>
        <v xml:space="preserve"> </v>
      </c>
      <c r="E303" s="113" t="str">
        <f>IF(Table1722[[#This Row],[Lawan Transaksi]]="CV AGUNG KARYA",COUNTIF($I$10:I303,"CV AGUNG KARYA")," ")</f>
        <v xml:space="preserve"> </v>
      </c>
      <c r="F303" s="107" t="str">
        <f>IF(LEN(Table1722[[#This Row],[Uraian]])&gt;2,TRIM(RIGHT(SUBSTITUTE(TRIM(C303)," ",REPT(" ",255)),255))," ")</f>
        <v xml:space="preserve"> </v>
      </c>
      <c r="G303" s="110">
        <f>COPY!Z295</f>
        <v>0</v>
      </c>
      <c r="H303" s="111" t="str">
        <f>IFERROR(VLOOKUP(Table1722[[#This Row],[Bukti]],'Un nOTA'!$A$4:$K$5003,10,FALSE),"")</f>
        <v/>
      </c>
      <c r="I303" s="112" t="str">
        <f>IFERROR(VLOOKUP(Table1722[[#This Row],[Bukti]],Table13[#Data],11,FALSE),"")</f>
        <v/>
      </c>
    </row>
    <row r="304" spans="1:9" ht="19.5" hidden="1" customHeight="1" x14ac:dyDescent="0.2">
      <c r="A304" s="105" t="str">
        <f>IF(D304=1,COUNTIF($D$10:D304,1)," ")</f>
        <v xml:space="preserve"> </v>
      </c>
      <c r="B304" s="106" t="str">
        <f>COPY!AR296</f>
        <v/>
      </c>
      <c r="C304" s="107">
        <f>COPY!AC296</f>
        <v>0</v>
      </c>
      <c r="D304" s="107" t="str">
        <f>IF(LEN(Table1722[[#This Row],[Uraian]])&gt;2,1," ")</f>
        <v xml:space="preserve"> </v>
      </c>
      <c r="E304" s="113" t="str">
        <f>IF(Table1722[[#This Row],[Lawan Transaksi]]="CV AGUNG KARYA",COUNTIF($I$10:I304,"CV AGUNG KARYA")," ")</f>
        <v xml:space="preserve"> </v>
      </c>
      <c r="F304" s="107" t="str">
        <f>IF(LEN(Table1722[[#This Row],[Uraian]])&gt;2,TRIM(RIGHT(SUBSTITUTE(TRIM(C304)," ",REPT(" ",255)),255))," ")</f>
        <v xml:space="preserve"> </v>
      </c>
      <c r="G304" s="110">
        <f>COPY!Z296</f>
        <v>0</v>
      </c>
      <c r="H304" s="111" t="str">
        <f>IFERROR(VLOOKUP(Table1722[[#This Row],[Bukti]],'Un nOTA'!$A$4:$K$5003,10,FALSE),"")</f>
        <v/>
      </c>
      <c r="I304" s="112" t="str">
        <f>IFERROR(VLOOKUP(Table1722[[#This Row],[Bukti]],Table13[#Data],11,FALSE),"")</f>
        <v/>
      </c>
    </row>
    <row r="305" spans="1:9" ht="19.5" hidden="1" customHeight="1" x14ac:dyDescent="0.2">
      <c r="A305" s="105" t="str">
        <f>IF(D305=1,COUNTIF($D$10:D305,1)," ")</f>
        <v xml:space="preserve"> </v>
      </c>
      <c r="B305" s="106" t="str">
        <f>COPY!AR297</f>
        <v/>
      </c>
      <c r="C305" s="107">
        <f>COPY!AC297</f>
        <v>0</v>
      </c>
      <c r="D305" s="107" t="str">
        <f>IF(LEN(Table1722[[#This Row],[Uraian]])&gt;2,1," ")</f>
        <v xml:space="preserve"> </v>
      </c>
      <c r="E305" s="113" t="str">
        <f>IF(Table1722[[#This Row],[Lawan Transaksi]]="CV AGUNG KARYA",COUNTIF($I$10:I305,"CV AGUNG KARYA")," ")</f>
        <v xml:space="preserve"> </v>
      </c>
      <c r="F305" s="107" t="str">
        <f>IF(LEN(Table1722[[#This Row],[Uraian]])&gt;2,TRIM(RIGHT(SUBSTITUTE(TRIM(C305)," ",REPT(" ",255)),255))," ")</f>
        <v xml:space="preserve"> </v>
      </c>
      <c r="G305" s="110">
        <f>COPY!Z297</f>
        <v>0</v>
      </c>
      <c r="H305" s="111" t="str">
        <f>IFERROR(VLOOKUP(Table1722[[#This Row],[Bukti]],'Un nOTA'!$A$4:$K$5003,10,FALSE),"")</f>
        <v/>
      </c>
      <c r="I305" s="112" t="str">
        <f>IFERROR(VLOOKUP(Table1722[[#This Row],[Bukti]],Table13[#Data],11,FALSE),"")</f>
        <v/>
      </c>
    </row>
    <row r="306" spans="1:9" ht="19.5" hidden="1" customHeight="1" x14ac:dyDescent="0.2">
      <c r="A306" s="105" t="str">
        <f>IF(D306=1,COUNTIF($D$10:D306,1)," ")</f>
        <v xml:space="preserve"> </v>
      </c>
      <c r="B306" s="106" t="str">
        <f>COPY!AR298</f>
        <v/>
      </c>
      <c r="C306" s="107">
        <f>COPY!AC298</f>
        <v>0</v>
      </c>
      <c r="D306" s="107" t="str">
        <f>IF(LEN(Table1722[[#This Row],[Uraian]])&gt;2,1," ")</f>
        <v xml:space="preserve"> </v>
      </c>
      <c r="E306" s="113" t="str">
        <f>IF(Table1722[[#This Row],[Lawan Transaksi]]="CV AGUNG KARYA",COUNTIF($I$10:I306,"CV AGUNG KARYA")," ")</f>
        <v xml:space="preserve"> </v>
      </c>
      <c r="F306" s="107" t="str">
        <f>IF(LEN(Table1722[[#This Row],[Uraian]])&gt;2,TRIM(RIGHT(SUBSTITUTE(TRIM(C306)," ",REPT(" ",255)),255))," ")</f>
        <v xml:space="preserve"> </v>
      </c>
      <c r="G306" s="110">
        <f>COPY!Z298</f>
        <v>0</v>
      </c>
      <c r="H306" s="111" t="str">
        <f>IFERROR(VLOOKUP(Table1722[[#This Row],[Bukti]],'Un nOTA'!$A$4:$K$5003,10,FALSE),"")</f>
        <v/>
      </c>
      <c r="I306" s="112" t="str">
        <f>IFERROR(VLOOKUP(Table1722[[#This Row],[Bukti]],Table13[#Data],11,FALSE),"")</f>
        <v/>
      </c>
    </row>
    <row r="307" spans="1:9" ht="19.5" hidden="1" customHeight="1" x14ac:dyDescent="0.2">
      <c r="A307" s="105" t="str">
        <f>IF(D307=1,COUNTIF($D$10:D307,1)," ")</f>
        <v xml:space="preserve"> </v>
      </c>
      <c r="B307" s="106" t="str">
        <f>COPY!AR299</f>
        <v/>
      </c>
      <c r="C307" s="107">
        <f>COPY!AC299</f>
        <v>0</v>
      </c>
      <c r="D307" s="107" t="str">
        <f>IF(LEN(Table1722[[#This Row],[Uraian]])&gt;2,1," ")</f>
        <v xml:space="preserve"> </v>
      </c>
      <c r="E307" s="113" t="str">
        <f>IF(Table1722[[#This Row],[Lawan Transaksi]]="CV AGUNG KARYA",COUNTIF($I$10:I307,"CV AGUNG KARYA")," ")</f>
        <v xml:space="preserve"> </v>
      </c>
      <c r="F307" s="107" t="str">
        <f>IF(LEN(Table1722[[#This Row],[Uraian]])&gt;2,TRIM(RIGHT(SUBSTITUTE(TRIM(C307)," ",REPT(" ",255)),255))," ")</f>
        <v xml:space="preserve"> </v>
      </c>
      <c r="G307" s="110">
        <f>COPY!Z299</f>
        <v>0</v>
      </c>
      <c r="H307" s="111" t="str">
        <f>IFERROR(VLOOKUP(Table1722[[#This Row],[Bukti]],'Un nOTA'!$A$4:$K$5003,10,FALSE),"")</f>
        <v/>
      </c>
      <c r="I307" s="112" t="str">
        <f>IFERROR(VLOOKUP(Table1722[[#This Row],[Bukti]],Table13[#Data],11,FALSE),"")</f>
        <v/>
      </c>
    </row>
    <row r="308" spans="1:9" ht="19.5" hidden="1" customHeight="1" x14ac:dyDescent="0.2">
      <c r="A308" s="105" t="str">
        <f>IF(D308=1,COUNTIF($D$10:D308,1)," ")</f>
        <v xml:space="preserve"> </v>
      </c>
      <c r="B308" s="106" t="str">
        <f>COPY!AR300</f>
        <v/>
      </c>
      <c r="C308" s="107">
        <f>COPY!AC300</f>
        <v>0</v>
      </c>
      <c r="D308" s="107" t="str">
        <f>IF(LEN(Table1722[[#This Row],[Uraian]])&gt;2,1," ")</f>
        <v xml:space="preserve"> </v>
      </c>
      <c r="E308" s="113" t="str">
        <f>IF(Table1722[[#This Row],[Lawan Transaksi]]="CV AGUNG KARYA",COUNTIF($I$10:I308,"CV AGUNG KARYA")," ")</f>
        <v xml:space="preserve"> </v>
      </c>
      <c r="F308" s="107" t="str">
        <f>IF(LEN(Table1722[[#This Row],[Uraian]])&gt;2,TRIM(RIGHT(SUBSTITUTE(TRIM(C308)," ",REPT(" ",255)),255))," ")</f>
        <v xml:space="preserve"> </v>
      </c>
      <c r="G308" s="110">
        <f>COPY!Z300</f>
        <v>0</v>
      </c>
      <c r="H308" s="111" t="str">
        <f>IFERROR(VLOOKUP(Table1722[[#This Row],[Bukti]],'Un nOTA'!$A$4:$K$5003,10,FALSE),"")</f>
        <v/>
      </c>
      <c r="I308" s="112" t="str">
        <f>IFERROR(VLOOKUP(Table1722[[#This Row],[Bukti]],Table13[#Data],11,FALSE),"")</f>
        <v/>
      </c>
    </row>
    <row r="309" spans="1:9" ht="19.5" hidden="1" customHeight="1" x14ac:dyDescent="0.2">
      <c r="A309" s="105" t="str">
        <f>IF(D309=1,COUNTIF($D$10:D309,1)," ")</f>
        <v xml:space="preserve"> </v>
      </c>
      <c r="B309" s="106" t="str">
        <f>COPY!AR301</f>
        <v/>
      </c>
      <c r="C309" s="107">
        <f>COPY!AC301</f>
        <v>0</v>
      </c>
      <c r="D309" s="107" t="str">
        <f>IF(LEN(Table1722[[#This Row],[Uraian]])&gt;2,1," ")</f>
        <v xml:space="preserve"> </v>
      </c>
      <c r="E309" s="113" t="str">
        <f>IF(Table1722[[#This Row],[Lawan Transaksi]]="CV AGUNG KARYA",COUNTIF($I$10:I309,"CV AGUNG KARYA")," ")</f>
        <v xml:space="preserve"> </v>
      </c>
      <c r="F309" s="107" t="str">
        <f>IF(LEN(Table1722[[#This Row],[Uraian]])&gt;2,TRIM(RIGHT(SUBSTITUTE(TRIM(C309)," ",REPT(" ",255)),255))," ")</f>
        <v xml:space="preserve"> </v>
      </c>
      <c r="G309" s="110">
        <f>COPY!Z301</f>
        <v>0</v>
      </c>
      <c r="H309" s="111" t="str">
        <f>IFERROR(VLOOKUP(Table1722[[#This Row],[Bukti]],'Un nOTA'!$A$4:$K$5003,10,FALSE),"")</f>
        <v/>
      </c>
      <c r="I309" s="112" t="str">
        <f>IFERROR(VLOOKUP(Table1722[[#This Row],[Bukti]],Table13[#Data],11,FALSE),"")</f>
        <v/>
      </c>
    </row>
    <row r="310" spans="1:9" ht="19.5" hidden="1" customHeight="1" x14ac:dyDescent="0.2">
      <c r="A310" s="105" t="str">
        <f>IF(D310=1,COUNTIF($D$10:D310,1)," ")</f>
        <v xml:space="preserve"> </v>
      </c>
      <c r="B310" s="106" t="str">
        <f>COPY!AR302</f>
        <v/>
      </c>
      <c r="C310" s="107">
        <f>COPY!AC302</f>
        <v>0</v>
      </c>
      <c r="D310" s="107" t="str">
        <f>IF(LEN(Table1722[[#This Row],[Uraian]])&gt;2,1," ")</f>
        <v xml:space="preserve"> </v>
      </c>
      <c r="E310" s="113" t="str">
        <f>IF(Table1722[[#This Row],[Lawan Transaksi]]="CV AGUNG KARYA",COUNTIF($I$10:I310,"CV AGUNG KARYA")," ")</f>
        <v xml:space="preserve"> </v>
      </c>
      <c r="F310" s="107" t="str">
        <f>IF(LEN(Table1722[[#This Row],[Uraian]])&gt;2,TRIM(RIGHT(SUBSTITUTE(TRIM(C310)," ",REPT(" ",255)),255))," ")</f>
        <v xml:space="preserve"> </v>
      </c>
      <c r="G310" s="110">
        <f>COPY!Z302</f>
        <v>0</v>
      </c>
      <c r="H310" s="111" t="str">
        <f>IFERROR(VLOOKUP(Table1722[[#This Row],[Bukti]],'Un nOTA'!$A$4:$K$5003,10,FALSE),"")</f>
        <v/>
      </c>
      <c r="I310" s="112" t="str">
        <f>IFERROR(VLOOKUP(Table1722[[#This Row],[Bukti]],Table13[#Data],11,FALSE),"")</f>
        <v/>
      </c>
    </row>
    <row r="311" spans="1:9" ht="19.5" hidden="1" customHeight="1" x14ac:dyDescent="0.2">
      <c r="A311" s="105" t="str">
        <f>IF(D311=1,COUNTIF($D$10:D311,1)," ")</f>
        <v xml:space="preserve"> </v>
      </c>
      <c r="B311" s="106" t="str">
        <f>COPY!AR303</f>
        <v/>
      </c>
      <c r="C311" s="107">
        <f>COPY!AC303</f>
        <v>0</v>
      </c>
      <c r="D311" s="107" t="str">
        <f>IF(LEN(Table1722[[#This Row],[Uraian]])&gt;2,1," ")</f>
        <v xml:space="preserve"> </v>
      </c>
      <c r="E311" s="113" t="str">
        <f>IF(Table1722[[#This Row],[Lawan Transaksi]]="CV AGUNG KARYA",COUNTIF($I$10:I311,"CV AGUNG KARYA")," ")</f>
        <v xml:space="preserve"> </v>
      </c>
      <c r="F311" s="107" t="str">
        <f>IF(LEN(Table1722[[#This Row],[Uraian]])&gt;2,TRIM(RIGHT(SUBSTITUTE(TRIM(C311)," ",REPT(" ",255)),255))," ")</f>
        <v xml:space="preserve"> </v>
      </c>
      <c r="G311" s="110">
        <f>COPY!Z303</f>
        <v>0</v>
      </c>
      <c r="H311" s="111" t="str">
        <f>IFERROR(VLOOKUP(Table1722[[#This Row],[Bukti]],'Un nOTA'!$A$4:$K$5003,10,FALSE),"")</f>
        <v/>
      </c>
      <c r="I311" s="112" t="str">
        <f>IFERROR(VLOOKUP(Table1722[[#This Row],[Bukti]],Table13[#Data],11,FALSE),"")</f>
        <v/>
      </c>
    </row>
    <row r="312" spans="1:9" ht="19.5" hidden="1" customHeight="1" x14ac:dyDescent="0.2">
      <c r="A312" s="105" t="str">
        <f>IF(D312=1,COUNTIF($D$10:D312,1)," ")</f>
        <v xml:space="preserve"> </v>
      </c>
      <c r="B312" s="106" t="str">
        <f>COPY!AR304</f>
        <v/>
      </c>
      <c r="C312" s="107">
        <f>COPY!AC304</f>
        <v>0</v>
      </c>
      <c r="D312" s="107" t="str">
        <f>IF(LEN(Table1722[[#This Row],[Uraian]])&gt;2,1," ")</f>
        <v xml:space="preserve"> </v>
      </c>
      <c r="E312" s="113" t="str">
        <f>IF(Table1722[[#This Row],[Lawan Transaksi]]="CV AGUNG KARYA",COUNTIF($I$10:I312,"CV AGUNG KARYA")," ")</f>
        <v xml:space="preserve"> </v>
      </c>
      <c r="F312" s="107" t="str">
        <f>IF(LEN(Table1722[[#This Row],[Uraian]])&gt;2,TRIM(RIGHT(SUBSTITUTE(TRIM(C312)," ",REPT(" ",255)),255))," ")</f>
        <v xml:space="preserve"> </v>
      </c>
      <c r="G312" s="110">
        <f>COPY!Z304</f>
        <v>0</v>
      </c>
      <c r="H312" s="111" t="str">
        <f>IFERROR(VLOOKUP(Table1722[[#This Row],[Bukti]],'Un nOTA'!$A$4:$K$5003,10,FALSE),"")</f>
        <v/>
      </c>
      <c r="I312" s="112" t="str">
        <f>IFERROR(VLOOKUP(Table1722[[#This Row],[Bukti]],Table13[#Data],11,FALSE),"")</f>
        <v/>
      </c>
    </row>
    <row r="313" spans="1:9" ht="19.5" hidden="1" customHeight="1" x14ac:dyDescent="0.2">
      <c r="A313" s="105" t="str">
        <f>IF(D313=1,COUNTIF($D$10:D313,1)," ")</f>
        <v xml:space="preserve"> </v>
      </c>
      <c r="B313" s="106" t="str">
        <f>COPY!AR305</f>
        <v/>
      </c>
      <c r="C313" s="107">
        <f>COPY!AC305</f>
        <v>0</v>
      </c>
      <c r="D313" s="107" t="str">
        <f>IF(LEN(Table1722[[#This Row],[Uraian]])&gt;2,1," ")</f>
        <v xml:space="preserve"> </v>
      </c>
      <c r="E313" s="113" t="str">
        <f>IF(Table1722[[#This Row],[Lawan Transaksi]]="CV AGUNG KARYA",COUNTIF($I$10:I313,"CV AGUNG KARYA")," ")</f>
        <v xml:space="preserve"> </v>
      </c>
      <c r="F313" s="107" t="str">
        <f>IF(LEN(Table1722[[#This Row],[Uraian]])&gt;2,TRIM(RIGHT(SUBSTITUTE(TRIM(C313)," ",REPT(" ",255)),255))," ")</f>
        <v xml:space="preserve"> </v>
      </c>
      <c r="G313" s="110">
        <f>COPY!Z305</f>
        <v>0</v>
      </c>
      <c r="H313" s="111" t="str">
        <f>IFERROR(VLOOKUP(Table1722[[#This Row],[Bukti]],'Un nOTA'!$A$4:$K$5003,10,FALSE),"")</f>
        <v/>
      </c>
      <c r="I313" s="112" t="str">
        <f>IFERROR(VLOOKUP(Table1722[[#This Row],[Bukti]],Table13[#Data],11,FALSE),"")</f>
        <v/>
      </c>
    </row>
    <row r="314" spans="1:9" ht="19.5" hidden="1" customHeight="1" x14ac:dyDescent="0.2">
      <c r="A314" s="105" t="str">
        <f>IF(D314=1,COUNTIF($D$10:D314,1)," ")</f>
        <v xml:space="preserve"> </v>
      </c>
      <c r="B314" s="106" t="str">
        <f>COPY!AR306</f>
        <v/>
      </c>
      <c r="C314" s="107">
        <f>COPY!AC306</f>
        <v>0</v>
      </c>
      <c r="D314" s="107" t="str">
        <f>IF(LEN(Table1722[[#This Row],[Uraian]])&gt;2,1," ")</f>
        <v xml:space="preserve"> </v>
      </c>
      <c r="E314" s="113" t="str">
        <f>IF(Table1722[[#This Row],[Lawan Transaksi]]="CV AGUNG KARYA",COUNTIF($I$10:I314,"CV AGUNG KARYA")," ")</f>
        <v xml:space="preserve"> </v>
      </c>
      <c r="F314" s="107" t="str">
        <f>IF(LEN(Table1722[[#This Row],[Uraian]])&gt;2,TRIM(RIGHT(SUBSTITUTE(TRIM(C314)," ",REPT(" ",255)),255))," ")</f>
        <v xml:space="preserve"> </v>
      </c>
      <c r="G314" s="110">
        <f>COPY!Z306</f>
        <v>0</v>
      </c>
      <c r="H314" s="111" t="str">
        <f>IFERROR(VLOOKUP(Table1722[[#This Row],[Bukti]],'Un nOTA'!$A$4:$K$5003,10,FALSE),"")</f>
        <v/>
      </c>
      <c r="I314" s="112" t="str">
        <f>IFERROR(VLOOKUP(Table1722[[#This Row],[Bukti]],Table13[#Data],11,FALSE),"")</f>
        <v/>
      </c>
    </row>
    <row r="315" spans="1:9" ht="19.5" hidden="1" customHeight="1" x14ac:dyDescent="0.2">
      <c r="A315" s="114" t="str">
        <f>IF(D315=1,COUNTIF($D$10:D315,1)," ")</f>
        <v xml:space="preserve"> </v>
      </c>
      <c r="B315" s="115" t="str">
        <f>COPY!AR307</f>
        <v/>
      </c>
      <c r="C315" s="116">
        <f>COPY!AC307</f>
        <v>0</v>
      </c>
      <c r="D315" s="107" t="str">
        <f>IF(LEN(Table1722[[#This Row],[Uraian]])&gt;2,1," ")</f>
        <v xml:space="preserve"> </v>
      </c>
      <c r="E315" s="117" t="str">
        <f>IF(Table1722[[#This Row],[Lawan Transaksi]]="CV AGUNG KARYA",COUNTIF($I$10:I315,"CV AGUNG KARYA")," ")</f>
        <v xml:space="preserve"> </v>
      </c>
      <c r="F315" s="116" t="str">
        <f>IF(LEN(Table1722[[#This Row],[Uraian]])&gt;2,TRIM(RIGHT(SUBSTITUTE(TRIM(C315)," ",REPT(" ",255)),255))," ")</f>
        <v xml:space="preserve"> </v>
      </c>
      <c r="G315" s="118">
        <f>COPY!Z307</f>
        <v>0</v>
      </c>
      <c r="H315" s="119" t="str">
        <f>IFERROR(VLOOKUP(Table1722[[#This Row],[Bukti]],'Un nOTA'!$A$4:$K$5003,10,FALSE),"")</f>
        <v/>
      </c>
      <c r="I315" s="112" t="str">
        <f>IFERROR(VLOOKUP(Table1722[[#This Row],[Bukti]],Table13[#Data],11,FALSE),"")</f>
        <v/>
      </c>
    </row>
    <row r="316" spans="1:9" ht="19.5" hidden="1" customHeight="1" x14ac:dyDescent="0.2">
      <c r="A316" s="105" t="str">
        <f>IF(D316=1,COUNTIF($D$10:D316,1)," ")</f>
        <v xml:space="preserve"> </v>
      </c>
      <c r="B316" s="106" t="str">
        <f>COPY!AR308</f>
        <v/>
      </c>
      <c r="C316" s="107">
        <f>COPY!AC308</f>
        <v>0</v>
      </c>
      <c r="D316" s="108" t="str">
        <f>IF(LEN(Table1722[[#This Row],[Uraian]])&gt;2,1," ")</f>
        <v xml:space="preserve"> </v>
      </c>
      <c r="E316" s="109" t="str">
        <f>IF(Table1722[[#This Row],[Lawan Transaksi]]="CV AGUNG KARYA",COUNTIF($I$10:I316,"CV AGUNG KARYA")," ")</f>
        <v xml:space="preserve"> </v>
      </c>
      <c r="F316" s="107" t="str">
        <f>IF(LEN(Table1722[[#This Row],[Uraian]])&gt;2,TRIM(RIGHT(SUBSTITUTE(TRIM(C316)," ",REPT(" ",255)),255))," ")</f>
        <v xml:space="preserve"> </v>
      </c>
      <c r="G316" s="110">
        <f>COPY!Z308</f>
        <v>0</v>
      </c>
      <c r="H316" s="111" t="str">
        <f>IFERROR(VLOOKUP(Table1722[[#This Row],[Bukti]],'Un nOTA'!$A$4:$K$5003,10,FALSE),"")</f>
        <v/>
      </c>
      <c r="I316" s="112" t="str">
        <f>IFERROR(VLOOKUP(Table1722[[#This Row],[Bukti]],Table13[#Data],11,FALSE),"")</f>
        <v/>
      </c>
    </row>
    <row r="317" spans="1:9" ht="19.5" hidden="1" customHeight="1" x14ac:dyDescent="0.2">
      <c r="A317" s="105" t="str">
        <f>IF(D317=1,COUNTIF($D$10:D317,1)," ")</f>
        <v xml:space="preserve"> </v>
      </c>
      <c r="B317" s="106" t="str">
        <f>COPY!AR309</f>
        <v/>
      </c>
      <c r="C317" s="107">
        <f>COPY!AC309</f>
        <v>0</v>
      </c>
      <c r="D317" s="107" t="str">
        <f>IF(LEN(Table1722[[#This Row],[Uraian]])&gt;2,1," ")</f>
        <v xml:space="preserve"> </v>
      </c>
      <c r="E317" s="113" t="str">
        <f>IF(Table1722[[#This Row],[Lawan Transaksi]]="CV AGUNG KARYA",COUNTIF($I$10:I317,"CV AGUNG KARYA")," ")</f>
        <v xml:space="preserve"> </v>
      </c>
      <c r="F317" s="107" t="str">
        <f>IF(LEN(Table1722[[#This Row],[Uraian]])&gt;2,TRIM(RIGHT(SUBSTITUTE(TRIM(C317)," ",REPT(" ",255)),255))," ")</f>
        <v xml:space="preserve"> </v>
      </c>
      <c r="G317" s="110">
        <f>COPY!Z309</f>
        <v>0</v>
      </c>
      <c r="H317" s="111" t="str">
        <f>IFERROR(VLOOKUP(Table1722[[#This Row],[Bukti]],'Un nOTA'!$A$4:$K$5003,10,FALSE),"")</f>
        <v/>
      </c>
      <c r="I317" s="112" t="str">
        <f>IFERROR(VLOOKUP(Table1722[[#This Row],[Bukti]],Table13[#Data],11,FALSE),"")</f>
        <v/>
      </c>
    </row>
    <row r="318" spans="1:9" ht="19.5" hidden="1" customHeight="1" x14ac:dyDescent="0.2">
      <c r="A318" s="105" t="str">
        <f>IF(D318=1,COUNTIF($D$10:D318,1)," ")</f>
        <v xml:space="preserve"> </v>
      </c>
      <c r="B318" s="106" t="str">
        <f>COPY!AR310</f>
        <v/>
      </c>
      <c r="C318" s="107">
        <f>COPY!AC310</f>
        <v>0</v>
      </c>
      <c r="D318" s="107" t="str">
        <f>IF(LEN(Table1722[[#This Row],[Uraian]])&gt;2,1," ")</f>
        <v xml:space="preserve"> </v>
      </c>
      <c r="E318" s="113" t="str">
        <f>IF(Table1722[[#This Row],[Lawan Transaksi]]="CV AGUNG KARYA",COUNTIF($I$10:I318,"CV AGUNG KARYA")," ")</f>
        <v xml:space="preserve"> </v>
      </c>
      <c r="F318" s="107" t="str">
        <f>IF(LEN(Table1722[[#This Row],[Uraian]])&gt;2,TRIM(RIGHT(SUBSTITUTE(TRIM(C318)," ",REPT(" ",255)),255))," ")</f>
        <v xml:space="preserve"> </v>
      </c>
      <c r="G318" s="110">
        <f>COPY!Z310</f>
        <v>0</v>
      </c>
      <c r="H318" s="111" t="str">
        <f>IFERROR(VLOOKUP(Table1722[[#This Row],[Bukti]],'Un nOTA'!$A$4:$K$5003,10,FALSE),"")</f>
        <v/>
      </c>
      <c r="I318" s="112" t="str">
        <f>IFERROR(VLOOKUP(Table1722[[#This Row],[Bukti]],Table13[#Data],11,FALSE),"")</f>
        <v/>
      </c>
    </row>
    <row r="319" spans="1:9" ht="19.5" hidden="1" customHeight="1" x14ac:dyDescent="0.2">
      <c r="A319" s="105" t="str">
        <f>IF(D319=1,COUNTIF($D$10:D319,1)," ")</f>
        <v xml:space="preserve"> </v>
      </c>
      <c r="B319" s="106" t="str">
        <f>COPY!AR311</f>
        <v/>
      </c>
      <c r="C319" s="107">
        <f>COPY!AC311</f>
        <v>0</v>
      </c>
      <c r="D319" s="107" t="str">
        <f>IF(LEN(Table1722[[#This Row],[Uraian]])&gt;2,1," ")</f>
        <v xml:space="preserve"> </v>
      </c>
      <c r="E319" s="113" t="str">
        <f>IF(Table1722[[#This Row],[Lawan Transaksi]]="CV AGUNG KARYA",COUNTIF($I$10:I319,"CV AGUNG KARYA")," ")</f>
        <v xml:space="preserve"> </v>
      </c>
      <c r="F319" s="107" t="str">
        <f>IF(LEN(Table1722[[#This Row],[Uraian]])&gt;2,TRIM(RIGHT(SUBSTITUTE(TRIM(C319)," ",REPT(" ",255)),255))," ")</f>
        <v xml:space="preserve"> </v>
      </c>
      <c r="G319" s="110">
        <f>COPY!Z311</f>
        <v>0</v>
      </c>
      <c r="H319" s="111" t="str">
        <f>IFERROR(VLOOKUP(Table1722[[#This Row],[Bukti]],'Un nOTA'!$A$4:$K$5003,10,FALSE),"")</f>
        <v/>
      </c>
      <c r="I319" s="112" t="str">
        <f>IFERROR(VLOOKUP(Table1722[[#This Row],[Bukti]],Table13[#Data],11,FALSE),"")</f>
        <v/>
      </c>
    </row>
    <row r="320" spans="1:9" ht="19.5" hidden="1" customHeight="1" x14ac:dyDescent="0.2">
      <c r="A320" s="105" t="str">
        <f>IF(D320=1,COUNTIF($D$10:D320,1)," ")</f>
        <v xml:space="preserve"> </v>
      </c>
      <c r="B320" s="106" t="str">
        <f>COPY!AR312</f>
        <v/>
      </c>
      <c r="C320" s="107">
        <f>COPY!AC312</f>
        <v>0</v>
      </c>
      <c r="D320" s="107" t="str">
        <f>IF(LEN(Table1722[[#This Row],[Uraian]])&gt;2,1," ")</f>
        <v xml:space="preserve"> </v>
      </c>
      <c r="E320" s="113" t="str">
        <f>IF(Table1722[[#This Row],[Lawan Transaksi]]="CV AGUNG KARYA",COUNTIF($I$10:I320,"CV AGUNG KARYA")," ")</f>
        <v xml:space="preserve"> </v>
      </c>
      <c r="F320" s="107" t="str">
        <f>IF(LEN(Table1722[[#This Row],[Uraian]])&gt;2,TRIM(RIGHT(SUBSTITUTE(TRIM(C320)," ",REPT(" ",255)),255))," ")</f>
        <v xml:space="preserve"> </v>
      </c>
      <c r="G320" s="110">
        <f>COPY!Z312</f>
        <v>0</v>
      </c>
      <c r="H320" s="111" t="str">
        <f>IFERROR(VLOOKUP(Table1722[[#This Row],[Bukti]],'Un nOTA'!$A$4:$K$5003,10,FALSE),"")</f>
        <v/>
      </c>
      <c r="I320" s="112" t="str">
        <f>IFERROR(VLOOKUP(Table1722[[#This Row],[Bukti]],Table13[#Data],11,FALSE),"")</f>
        <v/>
      </c>
    </row>
    <row r="321" spans="1:9" ht="19.5" hidden="1" customHeight="1" x14ac:dyDescent="0.2">
      <c r="A321" s="105" t="str">
        <f>IF(D321=1,COUNTIF($D$10:D321,1)," ")</f>
        <v xml:space="preserve"> </v>
      </c>
      <c r="B321" s="106" t="str">
        <f>COPY!AR313</f>
        <v/>
      </c>
      <c r="C321" s="107">
        <f>COPY!AC313</f>
        <v>0</v>
      </c>
      <c r="D321" s="107" t="str">
        <f>IF(LEN(Table1722[[#This Row],[Uraian]])&gt;2,1," ")</f>
        <v xml:space="preserve"> </v>
      </c>
      <c r="E321" s="113" t="str">
        <f>IF(Table1722[[#This Row],[Lawan Transaksi]]="CV AGUNG KARYA",COUNTIF($I$10:I321,"CV AGUNG KARYA")," ")</f>
        <v xml:space="preserve"> </v>
      </c>
      <c r="F321" s="107" t="str">
        <f>IF(LEN(Table1722[[#This Row],[Uraian]])&gt;2,TRIM(RIGHT(SUBSTITUTE(TRIM(C321)," ",REPT(" ",255)),255))," ")</f>
        <v xml:space="preserve"> </v>
      </c>
      <c r="G321" s="110">
        <f>COPY!Z313</f>
        <v>0</v>
      </c>
      <c r="H321" s="111" t="str">
        <f>IFERROR(VLOOKUP(Table1722[[#This Row],[Bukti]],'Un nOTA'!$A$4:$K$5003,10,FALSE),"")</f>
        <v/>
      </c>
      <c r="I321" s="112" t="str">
        <f>IFERROR(VLOOKUP(Table1722[[#This Row],[Bukti]],Table13[#Data],11,FALSE),"")</f>
        <v/>
      </c>
    </row>
    <row r="322" spans="1:9" ht="19.5" hidden="1" customHeight="1" x14ac:dyDescent="0.2">
      <c r="A322" s="105" t="str">
        <f>IF(D322=1,COUNTIF($D$10:D322,1)," ")</f>
        <v xml:space="preserve"> </v>
      </c>
      <c r="B322" s="106" t="str">
        <f>COPY!AR314</f>
        <v/>
      </c>
      <c r="C322" s="107">
        <f>COPY!AC314</f>
        <v>0</v>
      </c>
      <c r="D322" s="107" t="str">
        <f>IF(LEN(Table1722[[#This Row],[Uraian]])&gt;2,1," ")</f>
        <v xml:space="preserve"> </v>
      </c>
      <c r="E322" s="113" t="str">
        <f>IF(Table1722[[#This Row],[Lawan Transaksi]]="CV AGUNG KARYA",COUNTIF($I$10:I322,"CV AGUNG KARYA")," ")</f>
        <v xml:space="preserve"> </v>
      </c>
      <c r="F322" s="107" t="str">
        <f>IF(LEN(Table1722[[#This Row],[Uraian]])&gt;2,TRIM(RIGHT(SUBSTITUTE(TRIM(C322)," ",REPT(" ",255)),255))," ")</f>
        <v xml:space="preserve"> </v>
      </c>
      <c r="G322" s="110">
        <f>COPY!Z314</f>
        <v>0</v>
      </c>
      <c r="H322" s="111" t="str">
        <f>IFERROR(VLOOKUP(Table1722[[#This Row],[Bukti]],'Un nOTA'!$A$4:$K$5003,10,FALSE),"")</f>
        <v/>
      </c>
      <c r="I322" s="112" t="str">
        <f>IFERROR(VLOOKUP(Table1722[[#This Row],[Bukti]],Table13[#Data],11,FALSE),"")</f>
        <v/>
      </c>
    </row>
    <row r="323" spans="1:9" ht="19.5" hidden="1" customHeight="1" x14ac:dyDescent="0.2">
      <c r="A323" s="105" t="str">
        <f>IF(D323=1,COUNTIF($D$10:D323,1)," ")</f>
        <v xml:space="preserve"> </v>
      </c>
      <c r="B323" s="106" t="str">
        <f>COPY!AR315</f>
        <v/>
      </c>
      <c r="C323" s="107">
        <f>COPY!AC315</f>
        <v>0</v>
      </c>
      <c r="D323" s="107" t="str">
        <f>IF(LEN(Table1722[[#This Row],[Uraian]])&gt;2,1," ")</f>
        <v xml:space="preserve"> </v>
      </c>
      <c r="E323" s="113" t="str">
        <f>IF(Table1722[[#This Row],[Lawan Transaksi]]="CV AGUNG KARYA",COUNTIF($I$10:I323,"CV AGUNG KARYA")," ")</f>
        <v xml:space="preserve"> </v>
      </c>
      <c r="F323" s="107" t="str">
        <f>IF(LEN(Table1722[[#This Row],[Uraian]])&gt;2,TRIM(RIGHT(SUBSTITUTE(TRIM(C323)," ",REPT(" ",255)),255))," ")</f>
        <v xml:space="preserve"> </v>
      </c>
      <c r="G323" s="110">
        <f>COPY!Z315</f>
        <v>0</v>
      </c>
      <c r="H323" s="111" t="str">
        <f>IFERROR(VLOOKUP(Table1722[[#This Row],[Bukti]],'Un nOTA'!$A$4:$K$5003,10,FALSE),"")</f>
        <v/>
      </c>
      <c r="I323" s="112" t="str">
        <f>IFERROR(VLOOKUP(Table1722[[#This Row],[Bukti]],Table13[#Data],11,FALSE),"")</f>
        <v/>
      </c>
    </row>
    <row r="324" spans="1:9" ht="19.5" hidden="1" customHeight="1" x14ac:dyDescent="0.2">
      <c r="A324" s="114" t="str">
        <f>IF(D324=1,COUNTIF($D$10:D324,1)," ")</f>
        <v xml:space="preserve"> </v>
      </c>
      <c r="B324" s="115" t="str">
        <f>COPY!AR316</f>
        <v/>
      </c>
      <c r="C324" s="116">
        <f>COPY!AC316</f>
        <v>0</v>
      </c>
      <c r="D324" s="107" t="str">
        <f>IF(LEN(Table1722[[#This Row],[Uraian]])&gt;2,1," ")</f>
        <v xml:space="preserve"> </v>
      </c>
      <c r="E324" s="117" t="str">
        <f>IF(Table1722[[#This Row],[Lawan Transaksi]]="CV AGUNG KARYA",COUNTIF($I$10:I324,"CV AGUNG KARYA")," ")</f>
        <v xml:space="preserve"> </v>
      </c>
      <c r="F324" s="116" t="str">
        <f>IF(LEN(Table1722[[#This Row],[Uraian]])&gt;2,TRIM(RIGHT(SUBSTITUTE(TRIM(C324)," ",REPT(" ",255)),255))," ")</f>
        <v xml:space="preserve"> </v>
      </c>
      <c r="G324" s="118">
        <f>COPY!Z316</f>
        <v>0</v>
      </c>
      <c r="H324" s="119" t="str">
        <f>IFERROR(VLOOKUP(Table1722[[#This Row],[Bukti]],'Un nOTA'!$A$4:$K$5003,10,FALSE),"")</f>
        <v/>
      </c>
      <c r="I324" s="112" t="str">
        <f>IFERROR(VLOOKUP(Table1722[[#This Row],[Bukti]],Table13[#Data],11,FALSE),"")</f>
        <v/>
      </c>
    </row>
    <row r="325" spans="1:9" ht="19.5" hidden="1" customHeight="1" x14ac:dyDescent="0.2">
      <c r="A325" s="105" t="str">
        <f>IF(D325=1,COUNTIF($D$10:D325,1)," ")</f>
        <v xml:space="preserve"> </v>
      </c>
      <c r="B325" s="106" t="str">
        <f>COPY!AR317</f>
        <v/>
      </c>
      <c r="C325" s="107">
        <f>COPY!AC317</f>
        <v>0</v>
      </c>
      <c r="D325" s="108" t="str">
        <f>IF(LEN(Table1722[[#This Row],[Uraian]])&gt;2,1," ")</f>
        <v xml:space="preserve"> </v>
      </c>
      <c r="E325" s="109" t="str">
        <f>IF(Table1722[[#This Row],[Lawan Transaksi]]="CV AGUNG KARYA",COUNTIF($I$10:I325,"CV AGUNG KARYA")," ")</f>
        <v xml:space="preserve"> </v>
      </c>
      <c r="F325" s="107" t="str">
        <f>IF(LEN(Table1722[[#This Row],[Uraian]])&gt;2,TRIM(RIGHT(SUBSTITUTE(TRIM(C325)," ",REPT(" ",255)),255))," ")</f>
        <v xml:space="preserve"> </v>
      </c>
      <c r="G325" s="110">
        <f>COPY!Z317</f>
        <v>0</v>
      </c>
      <c r="H325" s="111" t="str">
        <f>IFERROR(VLOOKUP(Table1722[[#This Row],[Bukti]],'Un nOTA'!$A$4:$K$5003,10,FALSE),"")</f>
        <v/>
      </c>
      <c r="I325" s="112" t="str">
        <f>IFERROR(VLOOKUP(Table1722[[#This Row],[Bukti]],Table13[#Data],11,FALSE),"")</f>
        <v/>
      </c>
    </row>
    <row r="326" spans="1:9" ht="19.5" hidden="1" customHeight="1" x14ac:dyDescent="0.2">
      <c r="A326" s="105" t="str">
        <f>IF(D326=1,COUNTIF($D$10:D326,1)," ")</f>
        <v xml:space="preserve"> </v>
      </c>
      <c r="B326" s="106" t="str">
        <f>COPY!AR318</f>
        <v/>
      </c>
      <c r="C326" s="107">
        <f>COPY!AC318</f>
        <v>0</v>
      </c>
      <c r="D326" s="107" t="str">
        <f>IF(LEN(Table1722[[#This Row],[Uraian]])&gt;2,1," ")</f>
        <v xml:space="preserve"> </v>
      </c>
      <c r="E326" s="113" t="str">
        <f>IF(Table1722[[#This Row],[Lawan Transaksi]]="CV AGUNG KARYA",COUNTIF($I$10:I326,"CV AGUNG KARYA")," ")</f>
        <v xml:space="preserve"> </v>
      </c>
      <c r="F326" s="107" t="str">
        <f>IF(LEN(Table1722[[#This Row],[Uraian]])&gt;2,TRIM(RIGHT(SUBSTITUTE(TRIM(C326)," ",REPT(" ",255)),255))," ")</f>
        <v xml:space="preserve"> </v>
      </c>
      <c r="G326" s="110">
        <f>COPY!Z318</f>
        <v>0</v>
      </c>
      <c r="H326" s="111" t="str">
        <f>IFERROR(VLOOKUP(Table1722[[#This Row],[Bukti]],'Un nOTA'!$A$4:$K$5003,10,FALSE),"")</f>
        <v/>
      </c>
      <c r="I326" s="112" t="str">
        <f>IFERROR(VLOOKUP(Table1722[[#This Row],[Bukti]],Table13[#Data],11,FALSE),"")</f>
        <v/>
      </c>
    </row>
    <row r="327" spans="1:9" ht="19.5" hidden="1" customHeight="1" x14ac:dyDescent="0.2">
      <c r="A327" s="105" t="str">
        <f>IF(D327=1,COUNTIF($D$10:D327,1)," ")</f>
        <v xml:space="preserve"> </v>
      </c>
      <c r="B327" s="106" t="str">
        <f>COPY!AR319</f>
        <v/>
      </c>
      <c r="C327" s="107">
        <f>COPY!AC319</f>
        <v>0</v>
      </c>
      <c r="D327" s="107" t="str">
        <f>IF(LEN(Table1722[[#This Row],[Uraian]])&gt;2,1," ")</f>
        <v xml:space="preserve"> </v>
      </c>
      <c r="E327" s="113" t="str">
        <f>IF(Table1722[[#This Row],[Lawan Transaksi]]="CV AGUNG KARYA",COUNTIF($I$10:I327,"CV AGUNG KARYA")," ")</f>
        <v xml:space="preserve"> </v>
      </c>
      <c r="F327" s="107" t="str">
        <f>IF(LEN(Table1722[[#This Row],[Uraian]])&gt;2,TRIM(RIGHT(SUBSTITUTE(TRIM(C327)," ",REPT(" ",255)),255))," ")</f>
        <v xml:space="preserve"> </v>
      </c>
      <c r="G327" s="110">
        <f>COPY!Z319</f>
        <v>0</v>
      </c>
      <c r="H327" s="111" t="str">
        <f>IFERROR(VLOOKUP(Table1722[[#This Row],[Bukti]],'Un nOTA'!$A$4:$K$5003,10,FALSE),"")</f>
        <v/>
      </c>
      <c r="I327" s="112" t="str">
        <f>IFERROR(VLOOKUP(Table1722[[#This Row],[Bukti]],Table13[#Data],11,FALSE),"")</f>
        <v/>
      </c>
    </row>
    <row r="328" spans="1:9" ht="19.5" hidden="1" customHeight="1" x14ac:dyDescent="0.2">
      <c r="A328" s="105" t="str">
        <f>IF(D328=1,COUNTIF($D$10:D328,1)," ")</f>
        <v xml:space="preserve"> </v>
      </c>
      <c r="B328" s="106" t="str">
        <f>COPY!AR320</f>
        <v/>
      </c>
      <c r="C328" s="107">
        <f>COPY!AC320</f>
        <v>0</v>
      </c>
      <c r="D328" s="107" t="str">
        <f>IF(LEN(Table1722[[#This Row],[Uraian]])&gt;2,1," ")</f>
        <v xml:space="preserve"> </v>
      </c>
      <c r="E328" s="113" t="str">
        <f>IF(Table1722[[#This Row],[Lawan Transaksi]]="CV AGUNG KARYA",COUNTIF($I$10:I328,"CV AGUNG KARYA")," ")</f>
        <v xml:space="preserve"> </v>
      </c>
      <c r="F328" s="107" t="str">
        <f>IF(LEN(Table1722[[#This Row],[Uraian]])&gt;2,TRIM(RIGHT(SUBSTITUTE(TRIM(C328)," ",REPT(" ",255)),255))," ")</f>
        <v xml:space="preserve"> </v>
      </c>
      <c r="G328" s="110">
        <f>COPY!Z320</f>
        <v>0</v>
      </c>
      <c r="H328" s="111" t="str">
        <f>IFERROR(VLOOKUP(Table1722[[#This Row],[Bukti]],'Un nOTA'!$A$4:$K$5003,10,FALSE),"")</f>
        <v/>
      </c>
      <c r="I328" s="112" t="str">
        <f>IFERROR(VLOOKUP(Table1722[[#This Row],[Bukti]],Table13[#Data],11,FALSE),"")</f>
        <v/>
      </c>
    </row>
    <row r="329" spans="1:9" ht="19.5" hidden="1" customHeight="1" x14ac:dyDescent="0.2">
      <c r="A329" s="105" t="str">
        <f>IF(D329=1,COUNTIF($D$10:D329,1)," ")</f>
        <v xml:space="preserve"> </v>
      </c>
      <c r="B329" s="106" t="str">
        <f>COPY!AR321</f>
        <v/>
      </c>
      <c r="C329" s="107">
        <f>COPY!AC321</f>
        <v>0</v>
      </c>
      <c r="D329" s="107" t="str">
        <f>IF(LEN(Table1722[[#This Row],[Uraian]])&gt;2,1," ")</f>
        <v xml:space="preserve"> </v>
      </c>
      <c r="E329" s="113" t="str">
        <f>IF(Table1722[[#This Row],[Lawan Transaksi]]="CV AGUNG KARYA",COUNTIF($I$10:I329,"CV AGUNG KARYA")," ")</f>
        <v xml:space="preserve"> </v>
      </c>
      <c r="F329" s="107" t="str">
        <f>IF(LEN(Table1722[[#This Row],[Uraian]])&gt;2,TRIM(RIGHT(SUBSTITUTE(TRIM(C329)," ",REPT(" ",255)),255))," ")</f>
        <v xml:space="preserve"> </v>
      </c>
      <c r="G329" s="110">
        <f>COPY!Z321</f>
        <v>0</v>
      </c>
      <c r="H329" s="111" t="str">
        <f>IFERROR(VLOOKUP(Table1722[[#This Row],[Bukti]],'Un nOTA'!$A$4:$K$5003,10,FALSE),"")</f>
        <v/>
      </c>
      <c r="I329" s="112" t="str">
        <f>IFERROR(VLOOKUP(Table1722[[#This Row],[Bukti]],Table13[#Data],11,FALSE),"")</f>
        <v/>
      </c>
    </row>
    <row r="330" spans="1:9" ht="19.5" hidden="1" customHeight="1" x14ac:dyDescent="0.2">
      <c r="A330" s="105" t="str">
        <f>IF(D330=1,COUNTIF($D$10:D330,1)," ")</f>
        <v xml:space="preserve"> </v>
      </c>
      <c r="B330" s="106" t="str">
        <f>COPY!AR322</f>
        <v/>
      </c>
      <c r="C330" s="107">
        <f>COPY!AC322</f>
        <v>0</v>
      </c>
      <c r="D330" s="107" t="str">
        <f>IF(LEN(Table1722[[#This Row],[Uraian]])&gt;2,1," ")</f>
        <v xml:space="preserve"> </v>
      </c>
      <c r="E330" s="113" t="str">
        <f>IF(Table1722[[#This Row],[Lawan Transaksi]]="CV AGUNG KARYA",COUNTIF($I$10:I330,"CV AGUNG KARYA")," ")</f>
        <v xml:space="preserve"> </v>
      </c>
      <c r="F330" s="107" t="str">
        <f>IF(LEN(Table1722[[#This Row],[Uraian]])&gt;2,TRIM(RIGHT(SUBSTITUTE(TRIM(C330)," ",REPT(" ",255)),255))," ")</f>
        <v xml:space="preserve"> </v>
      </c>
      <c r="G330" s="110">
        <f>COPY!Z322</f>
        <v>0</v>
      </c>
      <c r="H330" s="111" t="str">
        <f>IFERROR(VLOOKUP(Table1722[[#This Row],[Bukti]],'Un nOTA'!$A$4:$K$5003,10,FALSE),"")</f>
        <v/>
      </c>
      <c r="I330" s="112" t="str">
        <f>IFERROR(VLOOKUP(Table1722[[#This Row],[Bukti]],Table13[#Data],11,FALSE),"")</f>
        <v/>
      </c>
    </row>
    <row r="331" spans="1:9" ht="19.5" hidden="1" customHeight="1" x14ac:dyDescent="0.2">
      <c r="A331" s="105" t="str">
        <f>IF(D331=1,COUNTIF($D$10:D331,1)," ")</f>
        <v xml:space="preserve"> </v>
      </c>
      <c r="B331" s="106" t="str">
        <f>COPY!AR323</f>
        <v/>
      </c>
      <c r="C331" s="107">
        <f>COPY!AC323</f>
        <v>0</v>
      </c>
      <c r="D331" s="107" t="str">
        <f>IF(LEN(Table1722[[#This Row],[Uraian]])&gt;2,1," ")</f>
        <v xml:space="preserve"> </v>
      </c>
      <c r="E331" s="113" t="str">
        <f>IF(Table1722[[#This Row],[Lawan Transaksi]]="CV AGUNG KARYA",COUNTIF($I$10:I331,"CV AGUNG KARYA")," ")</f>
        <v xml:space="preserve"> </v>
      </c>
      <c r="F331" s="107" t="str">
        <f>IF(LEN(Table1722[[#This Row],[Uraian]])&gt;2,TRIM(RIGHT(SUBSTITUTE(TRIM(C331)," ",REPT(" ",255)),255))," ")</f>
        <v xml:space="preserve"> </v>
      </c>
      <c r="G331" s="110">
        <f>COPY!Z323</f>
        <v>0</v>
      </c>
      <c r="H331" s="111" t="str">
        <f>IFERROR(VLOOKUP(Table1722[[#This Row],[Bukti]],'Un nOTA'!$A$4:$K$5003,10,FALSE),"")</f>
        <v/>
      </c>
      <c r="I331" s="112" t="str">
        <f>IFERROR(VLOOKUP(Table1722[[#This Row],[Bukti]],Table13[#Data],11,FALSE),"")</f>
        <v/>
      </c>
    </row>
    <row r="332" spans="1:9" ht="19.5" hidden="1" customHeight="1" x14ac:dyDescent="0.2">
      <c r="A332" s="105" t="str">
        <f>IF(D332=1,COUNTIF($D$10:D332,1)," ")</f>
        <v xml:space="preserve"> </v>
      </c>
      <c r="B332" s="106" t="str">
        <f>COPY!AR324</f>
        <v/>
      </c>
      <c r="C332" s="107">
        <f>COPY!AC324</f>
        <v>0</v>
      </c>
      <c r="D332" s="107" t="str">
        <f>IF(LEN(Table1722[[#This Row],[Uraian]])&gt;2,1," ")</f>
        <v xml:space="preserve"> </v>
      </c>
      <c r="E332" s="113" t="str">
        <f>IF(Table1722[[#This Row],[Lawan Transaksi]]="CV AGUNG KARYA",COUNTIF($I$10:I332,"CV AGUNG KARYA")," ")</f>
        <v xml:space="preserve"> </v>
      </c>
      <c r="F332" s="107" t="str">
        <f>IF(LEN(Table1722[[#This Row],[Uraian]])&gt;2,TRIM(RIGHT(SUBSTITUTE(TRIM(C332)," ",REPT(" ",255)),255))," ")</f>
        <v xml:space="preserve"> </v>
      </c>
      <c r="G332" s="110">
        <f>COPY!Z324</f>
        <v>0</v>
      </c>
      <c r="H332" s="111" t="str">
        <f>IFERROR(VLOOKUP(Table1722[[#This Row],[Bukti]],'Un nOTA'!$A$4:$K$5003,10,FALSE),"")</f>
        <v/>
      </c>
      <c r="I332" s="112" t="str">
        <f>IFERROR(VLOOKUP(Table1722[[#This Row],[Bukti]],Table13[#Data],11,FALSE),"")</f>
        <v/>
      </c>
    </row>
    <row r="333" spans="1:9" ht="19.5" hidden="1" customHeight="1" x14ac:dyDescent="0.2">
      <c r="A333" s="105" t="str">
        <f>IF(D333=1,COUNTIF($D$10:D333,1)," ")</f>
        <v xml:space="preserve"> </v>
      </c>
      <c r="B333" s="106" t="str">
        <f>COPY!AR325</f>
        <v/>
      </c>
      <c r="C333" s="107">
        <f>COPY!AC325</f>
        <v>0</v>
      </c>
      <c r="D333" s="107" t="str">
        <f>IF(LEN(Table1722[[#This Row],[Uraian]])&gt;2,1," ")</f>
        <v xml:space="preserve"> </v>
      </c>
      <c r="E333" s="113" t="str">
        <f>IF(Table1722[[#This Row],[Lawan Transaksi]]="CV AGUNG KARYA",COUNTIF($I$10:I333,"CV AGUNG KARYA")," ")</f>
        <v xml:space="preserve"> </v>
      </c>
      <c r="F333" s="107" t="str">
        <f>IF(LEN(Table1722[[#This Row],[Uraian]])&gt;2,TRIM(RIGHT(SUBSTITUTE(TRIM(C333)," ",REPT(" ",255)),255))," ")</f>
        <v xml:space="preserve"> </v>
      </c>
      <c r="G333" s="110">
        <f>COPY!Z325</f>
        <v>0</v>
      </c>
      <c r="H333" s="111" t="str">
        <f>IFERROR(VLOOKUP(Table1722[[#This Row],[Bukti]],'Un nOTA'!$A$4:$K$5003,10,FALSE),"")</f>
        <v/>
      </c>
      <c r="I333" s="112" t="str">
        <f>IFERROR(VLOOKUP(Table1722[[#This Row],[Bukti]],Table13[#Data],11,FALSE),"")</f>
        <v/>
      </c>
    </row>
    <row r="334" spans="1:9" ht="19.5" hidden="1" customHeight="1" x14ac:dyDescent="0.2">
      <c r="A334" s="105" t="str">
        <f>IF(D334=1,COUNTIF($D$10:D334,1)," ")</f>
        <v xml:space="preserve"> </v>
      </c>
      <c r="B334" s="106" t="str">
        <f>COPY!AR326</f>
        <v/>
      </c>
      <c r="C334" s="107">
        <f>COPY!AC326</f>
        <v>0</v>
      </c>
      <c r="D334" s="107" t="str">
        <f>IF(LEN(Table1722[[#This Row],[Uraian]])&gt;2,1," ")</f>
        <v xml:space="preserve"> </v>
      </c>
      <c r="E334" s="113" t="str">
        <f>IF(Table1722[[#This Row],[Lawan Transaksi]]="CV AGUNG KARYA",COUNTIF($I$10:I334,"CV AGUNG KARYA")," ")</f>
        <v xml:space="preserve"> </v>
      </c>
      <c r="F334" s="107" t="str">
        <f>IF(LEN(Table1722[[#This Row],[Uraian]])&gt;2,TRIM(RIGHT(SUBSTITUTE(TRIM(C334)," ",REPT(" ",255)),255))," ")</f>
        <v xml:space="preserve"> </v>
      </c>
      <c r="G334" s="110">
        <f>COPY!Z326</f>
        <v>0</v>
      </c>
      <c r="H334" s="111" t="str">
        <f>IFERROR(VLOOKUP(Table1722[[#This Row],[Bukti]],'Un nOTA'!$A$4:$K$5003,10,FALSE),"")</f>
        <v/>
      </c>
      <c r="I334" s="112" t="str">
        <f>IFERROR(VLOOKUP(Table1722[[#This Row],[Bukti]],Table13[#Data],11,FALSE),"")</f>
        <v/>
      </c>
    </row>
    <row r="335" spans="1:9" ht="19.5" hidden="1" customHeight="1" x14ac:dyDescent="0.2">
      <c r="A335" s="105" t="str">
        <f>IF(D335=1,COUNTIF($D$10:D335,1)," ")</f>
        <v xml:space="preserve"> </v>
      </c>
      <c r="B335" s="106" t="str">
        <f>COPY!AR327</f>
        <v/>
      </c>
      <c r="C335" s="107">
        <f>COPY!AC327</f>
        <v>0</v>
      </c>
      <c r="D335" s="107" t="str">
        <f>IF(LEN(Table1722[[#This Row],[Uraian]])&gt;2,1," ")</f>
        <v xml:space="preserve"> </v>
      </c>
      <c r="E335" s="113" t="str">
        <f>IF(Table1722[[#This Row],[Lawan Transaksi]]="CV AGUNG KARYA",COUNTIF($I$10:I335,"CV AGUNG KARYA")," ")</f>
        <v xml:space="preserve"> </v>
      </c>
      <c r="F335" s="107" t="str">
        <f>IF(LEN(Table1722[[#This Row],[Uraian]])&gt;2,TRIM(RIGHT(SUBSTITUTE(TRIM(C335)," ",REPT(" ",255)),255))," ")</f>
        <v xml:space="preserve"> </v>
      </c>
      <c r="G335" s="110">
        <f>COPY!Z327</f>
        <v>0</v>
      </c>
      <c r="H335" s="111" t="str">
        <f>IFERROR(VLOOKUP(Table1722[[#This Row],[Bukti]],'Un nOTA'!$A$4:$K$5003,10,FALSE),"")</f>
        <v/>
      </c>
      <c r="I335" s="112" t="str">
        <f>IFERROR(VLOOKUP(Table1722[[#This Row],[Bukti]],Table13[#Data],11,FALSE),"")</f>
        <v/>
      </c>
    </row>
    <row r="336" spans="1:9" ht="19.5" hidden="1" customHeight="1" x14ac:dyDescent="0.2">
      <c r="A336" s="105" t="str">
        <f>IF(D336=1,COUNTIF($D$10:D336,1)," ")</f>
        <v xml:space="preserve"> </v>
      </c>
      <c r="B336" s="106" t="str">
        <f>COPY!AR328</f>
        <v/>
      </c>
      <c r="C336" s="107">
        <f>COPY!AC328</f>
        <v>0</v>
      </c>
      <c r="D336" s="107" t="str">
        <f>IF(LEN(Table1722[[#This Row],[Uraian]])&gt;2,1," ")</f>
        <v xml:space="preserve"> </v>
      </c>
      <c r="E336" s="113" t="str">
        <f>IF(Table1722[[#This Row],[Lawan Transaksi]]="CV AGUNG KARYA",COUNTIF($I$10:I336,"CV AGUNG KARYA")," ")</f>
        <v xml:space="preserve"> </v>
      </c>
      <c r="F336" s="107" t="str">
        <f>IF(LEN(Table1722[[#This Row],[Uraian]])&gt;2,TRIM(RIGHT(SUBSTITUTE(TRIM(C336)," ",REPT(" ",255)),255))," ")</f>
        <v xml:space="preserve"> </v>
      </c>
      <c r="G336" s="110">
        <f>COPY!Z328</f>
        <v>0</v>
      </c>
      <c r="H336" s="111" t="str">
        <f>IFERROR(VLOOKUP(Table1722[[#This Row],[Bukti]],'Un nOTA'!$A$4:$K$5003,10,FALSE),"")</f>
        <v/>
      </c>
      <c r="I336" s="112" t="str">
        <f>IFERROR(VLOOKUP(Table1722[[#This Row],[Bukti]],Table13[#Data],11,FALSE),"")</f>
        <v/>
      </c>
    </row>
    <row r="337" spans="1:9" ht="19.5" hidden="1" customHeight="1" x14ac:dyDescent="0.2">
      <c r="A337" s="105" t="str">
        <f>IF(D337=1,COUNTIF($D$10:D337,1)," ")</f>
        <v xml:space="preserve"> </v>
      </c>
      <c r="B337" s="106" t="str">
        <f>COPY!AR329</f>
        <v/>
      </c>
      <c r="C337" s="107">
        <f>COPY!AC329</f>
        <v>0</v>
      </c>
      <c r="D337" s="107" t="str">
        <f>IF(LEN(Table1722[[#This Row],[Uraian]])&gt;2,1," ")</f>
        <v xml:space="preserve"> </v>
      </c>
      <c r="E337" s="113" t="str">
        <f>IF(Table1722[[#This Row],[Lawan Transaksi]]="CV AGUNG KARYA",COUNTIF($I$10:I337,"CV AGUNG KARYA")," ")</f>
        <v xml:space="preserve"> </v>
      </c>
      <c r="F337" s="107" t="str">
        <f>IF(LEN(Table1722[[#This Row],[Uraian]])&gt;2,TRIM(RIGHT(SUBSTITUTE(TRIM(C337)," ",REPT(" ",255)),255))," ")</f>
        <v xml:space="preserve"> </v>
      </c>
      <c r="G337" s="110">
        <f>COPY!Z329</f>
        <v>0</v>
      </c>
      <c r="H337" s="111" t="str">
        <f>IFERROR(VLOOKUP(Table1722[[#This Row],[Bukti]],'Un nOTA'!$A$4:$K$5003,10,FALSE),"")</f>
        <v/>
      </c>
      <c r="I337" s="112" t="str">
        <f>IFERROR(VLOOKUP(Table1722[[#This Row],[Bukti]],Table13[#Data],11,FALSE),"")</f>
        <v/>
      </c>
    </row>
    <row r="338" spans="1:9" ht="19.5" hidden="1" customHeight="1" x14ac:dyDescent="0.2">
      <c r="A338" s="105" t="str">
        <f>IF(D338=1,COUNTIF($D$10:D338,1)," ")</f>
        <v xml:space="preserve"> </v>
      </c>
      <c r="B338" s="106" t="str">
        <f>COPY!AR330</f>
        <v/>
      </c>
      <c r="C338" s="107">
        <f>COPY!AC330</f>
        <v>0</v>
      </c>
      <c r="D338" s="107" t="str">
        <f>IF(LEN(Table1722[[#This Row],[Uraian]])&gt;2,1," ")</f>
        <v xml:space="preserve"> </v>
      </c>
      <c r="E338" s="113" t="str">
        <f>IF(Table1722[[#This Row],[Lawan Transaksi]]="CV AGUNG KARYA",COUNTIF($I$10:I338,"CV AGUNG KARYA")," ")</f>
        <v xml:space="preserve"> </v>
      </c>
      <c r="F338" s="107" t="str">
        <f>IF(LEN(Table1722[[#This Row],[Uraian]])&gt;2,TRIM(RIGHT(SUBSTITUTE(TRIM(C338)," ",REPT(" ",255)),255))," ")</f>
        <v xml:space="preserve"> </v>
      </c>
      <c r="G338" s="110">
        <f>COPY!Z330</f>
        <v>0</v>
      </c>
      <c r="H338" s="111" t="str">
        <f>IFERROR(VLOOKUP(Table1722[[#This Row],[Bukti]],'Un nOTA'!$A$4:$K$5003,10,FALSE),"")</f>
        <v/>
      </c>
      <c r="I338" s="112" t="str">
        <f>IFERROR(VLOOKUP(Table1722[[#This Row],[Bukti]],Table13[#Data],11,FALSE),"")</f>
        <v/>
      </c>
    </row>
    <row r="339" spans="1:9" ht="19.5" hidden="1" customHeight="1" x14ac:dyDescent="0.2">
      <c r="A339" s="105" t="str">
        <f>IF(D339=1,COUNTIF($D$10:D339,1)," ")</f>
        <v xml:space="preserve"> </v>
      </c>
      <c r="B339" s="106" t="str">
        <f>COPY!AR331</f>
        <v/>
      </c>
      <c r="C339" s="107">
        <f>COPY!AC331</f>
        <v>0</v>
      </c>
      <c r="D339" s="107" t="str">
        <f>IF(LEN(Table1722[[#This Row],[Uraian]])&gt;2,1," ")</f>
        <v xml:space="preserve"> </v>
      </c>
      <c r="E339" s="113" t="str">
        <f>IF(Table1722[[#This Row],[Lawan Transaksi]]="CV AGUNG KARYA",COUNTIF($I$10:I339,"CV AGUNG KARYA")," ")</f>
        <v xml:space="preserve"> </v>
      </c>
      <c r="F339" s="107" t="str">
        <f>IF(LEN(Table1722[[#This Row],[Uraian]])&gt;2,TRIM(RIGHT(SUBSTITUTE(TRIM(C339)," ",REPT(" ",255)),255))," ")</f>
        <v xml:space="preserve"> </v>
      </c>
      <c r="G339" s="110">
        <f>COPY!Z331</f>
        <v>0</v>
      </c>
      <c r="H339" s="111" t="str">
        <f>IFERROR(VLOOKUP(Table1722[[#This Row],[Bukti]],'Un nOTA'!$A$4:$K$5003,10,FALSE),"")</f>
        <v/>
      </c>
      <c r="I339" s="112" t="str">
        <f>IFERROR(VLOOKUP(Table1722[[#This Row],[Bukti]],Table13[#Data],11,FALSE),"")</f>
        <v/>
      </c>
    </row>
    <row r="340" spans="1:9" ht="19.5" hidden="1" customHeight="1" x14ac:dyDescent="0.2">
      <c r="A340" s="105" t="str">
        <f>IF(D340=1,COUNTIF($D$10:D340,1)," ")</f>
        <v xml:space="preserve"> </v>
      </c>
      <c r="B340" s="106" t="str">
        <f>COPY!AR332</f>
        <v/>
      </c>
      <c r="C340" s="107">
        <f>COPY!AC332</f>
        <v>0</v>
      </c>
      <c r="D340" s="107" t="str">
        <f>IF(LEN(Table1722[[#This Row],[Uraian]])&gt;2,1," ")</f>
        <v xml:space="preserve"> </v>
      </c>
      <c r="E340" s="113" t="str">
        <f>IF(Table1722[[#This Row],[Lawan Transaksi]]="CV AGUNG KARYA",COUNTIF($I$10:I340,"CV AGUNG KARYA")," ")</f>
        <v xml:space="preserve"> </v>
      </c>
      <c r="F340" s="107" t="str">
        <f>IF(LEN(Table1722[[#This Row],[Uraian]])&gt;2,TRIM(RIGHT(SUBSTITUTE(TRIM(C340)," ",REPT(" ",255)),255))," ")</f>
        <v xml:space="preserve"> </v>
      </c>
      <c r="G340" s="110">
        <f>COPY!Z332</f>
        <v>0</v>
      </c>
      <c r="H340" s="111" t="str">
        <f>IFERROR(VLOOKUP(Table1722[[#This Row],[Bukti]],'Un nOTA'!$A$4:$K$5003,10,FALSE),"")</f>
        <v/>
      </c>
      <c r="I340" s="112" t="str">
        <f>IFERROR(VLOOKUP(Table1722[[#This Row],[Bukti]],Table13[#Data],11,FALSE),"")</f>
        <v/>
      </c>
    </row>
    <row r="341" spans="1:9" ht="19.5" hidden="1" customHeight="1" x14ac:dyDescent="0.2">
      <c r="A341" s="114" t="str">
        <f>IF(D341=1,COUNTIF($D$10:D341,1)," ")</f>
        <v xml:space="preserve"> </v>
      </c>
      <c r="B341" s="115" t="str">
        <f>COPY!AR333</f>
        <v/>
      </c>
      <c r="C341" s="116">
        <f>COPY!AC333</f>
        <v>0</v>
      </c>
      <c r="D341" s="107" t="str">
        <f>IF(LEN(Table1722[[#This Row],[Uraian]])&gt;2,1," ")</f>
        <v xml:space="preserve"> </v>
      </c>
      <c r="E341" s="117" t="str">
        <f>IF(Table1722[[#This Row],[Lawan Transaksi]]="CV AGUNG KARYA",COUNTIF($I$10:I341,"CV AGUNG KARYA")," ")</f>
        <v xml:space="preserve"> </v>
      </c>
      <c r="F341" s="116" t="str">
        <f>IF(LEN(Table1722[[#This Row],[Uraian]])&gt;2,TRIM(RIGHT(SUBSTITUTE(TRIM(C341)," ",REPT(" ",255)),255))," ")</f>
        <v xml:space="preserve"> </v>
      </c>
      <c r="G341" s="118">
        <f>COPY!Z333</f>
        <v>0</v>
      </c>
      <c r="H341" s="119" t="str">
        <f>IFERROR(VLOOKUP(Table1722[[#This Row],[Bukti]],'Un nOTA'!$A$4:$K$5003,10,FALSE),"")</f>
        <v/>
      </c>
      <c r="I341" s="112" t="str">
        <f>IFERROR(VLOOKUP(Table1722[[#This Row],[Bukti]],Table13[#Data],11,FALSE),"")</f>
        <v/>
      </c>
    </row>
    <row r="342" spans="1:9" ht="19.5" hidden="1" customHeight="1" x14ac:dyDescent="0.2">
      <c r="A342" s="105" t="str">
        <f>IF(D342=1,COUNTIF($D$10:D342,1)," ")</f>
        <v xml:space="preserve"> </v>
      </c>
      <c r="B342" s="106" t="str">
        <f>COPY!AR334</f>
        <v/>
      </c>
      <c r="C342" s="107">
        <f>COPY!AC334</f>
        <v>0</v>
      </c>
      <c r="D342" s="108" t="str">
        <f>IF(LEN(Table1722[[#This Row],[Uraian]])&gt;2,1," ")</f>
        <v xml:space="preserve"> </v>
      </c>
      <c r="E342" s="109" t="str">
        <f>IF(Table1722[[#This Row],[Lawan Transaksi]]="CV AGUNG KARYA",COUNTIF($I$10:I342,"CV AGUNG KARYA")," ")</f>
        <v xml:space="preserve"> </v>
      </c>
      <c r="F342" s="107" t="str">
        <f>IF(LEN(Table1722[[#This Row],[Uraian]])&gt;2,TRIM(RIGHT(SUBSTITUTE(TRIM(C342)," ",REPT(" ",255)),255))," ")</f>
        <v xml:space="preserve"> </v>
      </c>
      <c r="G342" s="110">
        <f>COPY!Z334</f>
        <v>0</v>
      </c>
      <c r="H342" s="111" t="str">
        <f>IFERROR(VLOOKUP(Table1722[[#This Row],[Bukti]],'Un nOTA'!$A$4:$K$5003,10,FALSE),"")</f>
        <v/>
      </c>
      <c r="I342" s="112" t="str">
        <f>IFERROR(VLOOKUP(Table1722[[#This Row],[Bukti]],Table13[#Data],11,FALSE),"")</f>
        <v/>
      </c>
    </row>
    <row r="343" spans="1:9" ht="19.5" hidden="1" customHeight="1" x14ac:dyDescent="0.2">
      <c r="A343" s="105" t="str">
        <f>IF(D343=1,COUNTIF($D$10:D343,1)," ")</f>
        <v xml:space="preserve"> </v>
      </c>
      <c r="B343" s="106" t="str">
        <f>COPY!AR335</f>
        <v/>
      </c>
      <c r="C343" s="107">
        <f>COPY!AC335</f>
        <v>0</v>
      </c>
      <c r="D343" s="108" t="str">
        <f>IF(LEN(Table1722[[#This Row],[Uraian]])&gt;2,1," ")</f>
        <v xml:space="preserve"> </v>
      </c>
      <c r="E343" s="109" t="str">
        <f>IF(Table1722[[#This Row],[Lawan Transaksi]]="CV AGUNG KARYA",COUNTIF($I$10:I343,"CV AGUNG KARYA")," ")</f>
        <v xml:space="preserve"> </v>
      </c>
      <c r="F343" s="107" t="str">
        <f>IF(LEN(Table1722[[#This Row],[Uraian]])&gt;2,TRIM(RIGHT(SUBSTITUTE(TRIM(C343)," ",REPT(" ",255)),255))," ")</f>
        <v xml:space="preserve"> </v>
      </c>
      <c r="G343" s="110">
        <f>COPY!Z335</f>
        <v>0</v>
      </c>
      <c r="H343" s="111" t="str">
        <f>IFERROR(VLOOKUP(Table1722[[#This Row],[Bukti]],'Un nOTA'!$A$4:$K$5003,10,FALSE),"")</f>
        <v/>
      </c>
      <c r="I343" s="112" t="str">
        <f>IFERROR(VLOOKUP(Table1722[[#This Row],[Bukti]],Table13[#Data],11,FALSE),"")</f>
        <v/>
      </c>
    </row>
    <row r="344" spans="1:9" ht="19.5" hidden="1" customHeight="1" x14ac:dyDescent="0.2">
      <c r="A344" s="105" t="str">
        <f>IF(D344=1,COUNTIF($D$10:D344,1)," ")</f>
        <v xml:space="preserve"> </v>
      </c>
      <c r="B344" s="106" t="str">
        <f>COPY!AR336</f>
        <v/>
      </c>
      <c r="C344" s="107">
        <f>COPY!AC336</f>
        <v>0</v>
      </c>
      <c r="D344" s="107" t="str">
        <f>IF(LEN(Table1722[[#This Row],[Uraian]])&gt;2,1," ")</f>
        <v xml:space="preserve"> </v>
      </c>
      <c r="E344" s="113" t="str">
        <f>IF(Table1722[[#This Row],[Lawan Transaksi]]="CV AGUNG KARYA",COUNTIF($I$10:I344,"CV AGUNG KARYA")," ")</f>
        <v xml:space="preserve"> </v>
      </c>
      <c r="F344" s="107" t="str">
        <f>IF(LEN(Table1722[[#This Row],[Uraian]])&gt;2,TRIM(RIGHT(SUBSTITUTE(TRIM(C344)," ",REPT(" ",255)),255))," ")</f>
        <v xml:space="preserve"> </v>
      </c>
      <c r="G344" s="110">
        <f>COPY!Z336</f>
        <v>0</v>
      </c>
      <c r="H344" s="111" t="str">
        <f>IFERROR(VLOOKUP(Table1722[[#This Row],[Bukti]],'Un nOTA'!$A$4:$K$5003,10,FALSE),"")</f>
        <v/>
      </c>
      <c r="I344" s="112" t="str">
        <f>IFERROR(VLOOKUP(Table1722[[#This Row],[Bukti]],Table13[#Data],11,FALSE),"")</f>
        <v/>
      </c>
    </row>
    <row r="345" spans="1:9" ht="19.5" hidden="1" customHeight="1" x14ac:dyDescent="0.2">
      <c r="A345" s="105" t="str">
        <f>IF(D345=1,COUNTIF($D$10:D345,1)," ")</f>
        <v xml:space="preserve"> </v>
      </c>
      <c r="B345" s="106" t="str">
        <f>COPY!AR337</f>
        <v/>
      </c>
      <c r="C345" s="107">
        <f>COPY!AC337</f>
        <v>0</v>
      </c>
      <c r="D345" s="107" t="str">
        <f>IF(LEN(Table1722[[#This Row],[Uraian]])&gt;2,1," ")</f>
        <v xml:space="preserve"> </v>
      </c>
      <c r="E345" s="113" t="str">
        <f>IF(Table1722[[#This Row],[Lawan Transaksi]]="CV AGUNG KARYA",COUNTIF($I$10:I345,"CV AGUNG KARYA")," ")</f>
        <v xml:space="preserve"> </v>
      </c>
      <c r="F345" s="107" t="str">
        <f>IF(LEN(Table1722[[#This Row],[Uraian]])&gt;2,TRIM(RIGHT(SUBSTITUTE(TRIM(C345)," ",REPT(" ",255)),255))," ")</f>
        <v xml:space="preserve"> </v>
      </c>
      <c r="G345" s="110">
        <f>COPY!Z337</f>
        <v>0</v>
      </c>
      <c r="H345" s="111" t="str">
        <f>IFERROR(VLOOKUP(Table1722[[#This Row],[Bukti]],'Un nOTA'!$A$4:$K$5003,10,FALSE),"")</f>
        <v/>
      </c>
      <c r="I345" s="112" t="str">
        <f>IFERROR(VLOOKUP(Table1722[[#This Row],[Bukti]],Table13[#Data],11,FALSE),"")</f>
        <v/>
      </c>
    </row>
    <row r="346" spans="1:9" ht="19.5" hidden="1" customHeight="1" x14ac:dyDescent="0.2">
      <c r="A346" s="105" t="str">
        <f>IF(D346=1,COUNTIF($D$10:D346,1)," ")</f>
        <v xml:space="preserve"> </v>
      </c>
      <c r="B346" s="106" t="str">
        <f>COPY!AR338</f>
        <v/>
      </c>
      <c r="C346" s="107">
        <f>COPY!AC338</f>
        <v>0</v>
      </c>
      <c r="D346" s="107" t="str">
        <f>IF(LEN(Table1722[[#This Row],[Uraian]])&gt;2,1," ")</f>
        <v xml:space="preserve"> </v>
      </c>
      <c r="E346" s="113" t="str">
        <f>IF(Table1722[[#This Row],[Lawan Transaksi]]="CV AGUNG KARYA",COUNTIF($I$10:I346,"CV AGUNG KARYA")," ")</f>
        <v xml:space="preserve"> </v>
      </c>
      <c r="F346" s="107" t="str">
        <f>IF(LEN(Table1722[[#This Row],[Uraian]])&gt;2,TRIM(RIGHT(SUBSTITUTE(TRIM(C346)," ",REPT(" ",255)),255))," ")</f>
        <v xml:space="preserve"> </v>
      </c>
      <c r="G346" s="110">
        <f>COPY!Z338</f>
        <v>0</v>
      </c>
      <c r="H346" s="111" t="str">
        <f>IFERROR(VLOOKUP(Table1722[[#This Row],[Bukti]],'Un nOTA'!$A$4:$K$5003,10,FALSE),"")</f>
        <v/>
      </c>
      <c r="I346" s="112" t="str">
        <f>IFERROR(VLOOKUP(Table1722[[#This Row],[Bukti]],Table13[#Data],11,FALSE),"")</f>
        <v/>
      </c>
    </row>
    <row r="347" spans="1:9" ht="19.5" hidden="1" customHeight="1" x14ac:dyDescent="0.2">
      <c r="A347" s="105" t="str">
        <f>IF(D347=1,COUNTIF($D$10:D347,1)," ")</f>
        <v xml:space="preserve"> </v>
      </c>
      <c r="B347" s="106" t="str">
        <f>COPY!AR339</f>
        <v/>
      </c>
      <c r="C347" s="107">
        <f>COPY!AC339</f>
        <v>0</v>
      </c>
      <c r="D347" s="107" t="str">
        <f>IF(LEN(Table1722[[#This Row],[Uraian]])&gt;2,1," ")</f>
        <v xml:space="preserve"> </v>
      </c>
      <c r="E347" s="113" t="str">
        <f>IF(Table1722[[#This Row],[Lawan Transaksi]]="CV AGUNG KARYA",COUNTIF($I$10:I347,"CV AGUNG KARYA")," ")</f>
        <v xml:space="preserve"> </v>
      </c>
      <c r="F347" s="107" t="str">
        <f>IF(LEN(Table1722[[#This Row],[Uraian]])&gt;2,TRIM(RIGHT(SUBSTITUTE(TRIM(C347)," ",REPT(" ",255)),255))," ")</f>
        <v xml:space="preserve"> </v>
      </c>
      <c r="G347" s="110">
        <f>COPY!Z339</f>
        <v>0</v>
      </c>
      <c r="H347" s="111" t="str">
        <f>IFERROR(VLOOKUP(Table1722[[#This Row],[Bukti]],'Un nOTA'!$A$4:$K$5003,10,FALSE),"")</f>
        <v/>
      </c>
      <c r="I347" s="112" t="str">
        <f>IFERROR(VLOOKUP(Table1722[[#This Row],[Bukti]],Table13[#Data],11,FALSE),"")</f>
        <v/>
      </c>
    </row>
    <row r="348" spans="1:9" ht="19.5" hidden="1" customHeight="1" x14ac:dyDescent="0.2">
      <c r="A348" s="105" t="str">
        <f>IF(D348=1,COUNTIF($D$10:D348,1)," ")</f>
        <v xml:space="preserve"> </v>
      </c>
      <c r="B348" s="106" t="str">
        <f>COPY!AR340</f>
        <v/>
      </c>
      <c r="C348" s="107">
        <f>COPY!AC340</f>
        <v>0</v>
      </c>
      <c r="D348" s="107" t="str">
        <f>IF(LEN(Table1722[[#This Row],[Uraian]])&gt;2,1," ")</f>
        <v xml:space="preserve"> </v>
      </c>
      <c r="E348" s="113" t="str">
        <f>IF(Table1722[[#This Row],[Lawan Transaksi]]="CV AGUNG KARYA",COUNTIF($I$10:I348,"CV AGUNG KARYA")," ")</f>
        <v xml:space="preserve"> </v>
      </c>
      <c r="F348" s="107" t="str">
        <f>IF(LEN(Table1722[[#This Row],[Uraian]])&gt;2,TRIM(RIGHT(SUBSTITUTE(TRIM(C348)," ",REPT(" ",255)),255))," ")</f>
        <v xml:space="preserve"> </v>
      </c>
      <c r="G348" s="110">
        <f>COPY!Z340</f>
        <v>0</v>
      </c>
      <c r="H348" s="111" t="str">
        <f>IFERROR(VLOOKUP(Table1722[[#This Row],[Bukti]],'Un nOTA'!$A$4:$K$5003,10,FALSE),"")</f>
        <v/>
      </c>
      <c r="I348" s="112" t="str">
        <f>IFERROR(VLOOKUP(Table1722[[#This Row],[Bukti]],Table13[#Data],11,FALSE),"")</f>
        <v/>
      </c>
    </row>
    <row r="349" spans="1:9" ht="19.5" hidden="1" customHeight="1" x14ac:dyDescent="0.2">
      <c r="A349" s="105" t="str">
        <f>IF(D349=1,COUNTIF($D$10:D349,1)," ")</f>
        <v xml:space="preserve"> </v>
      </c>
      <c r="B349" s="106" t="str">
        <f>COPY!AR341</f>
        <v/>
      </c>
      <c r="C349" s="107">
        <f>COPY!AC341</f>
        <v>0</v>
      </c>
      <c r="D349" s="107" t="str">
        <f>IF(LEN(Table1722[[#This Row],[Uraian]])&gt;2,1," ")</f>
        <v xml:space="preserve"> </v>
      </c>
      <c r="E349" s="113" t="str">
        <f>IF(Table1722[[#This Row],[Lawan Transaksi]]="CV AGUNG KARYA",COUNTIF($I$10:I349,"CV AGUNG KARYA")," ")</f>
        <v xml:space="preserve"> </v>
      </c>
      <c r="F349" s="107" t="str">
        <f>IF(LEN(Table1722[[#This Row],[Uraian]])&gt;2,TRIM(RIGHT(SUBSTITUTE(TRIM(C349)," ",REPT(" ",255)),255))," ")</f>
        <v xml:space="preserve"> </v>
      </c>
      <c r="G349" s="110">
        <f>COPY!Z341</f>
        <v>0</v>
      </c>
      <c r="H349" s="111" t="str">
        <f>IFERROR(VLOOKUP(Table1722[[#This Row],[Bukti]],'Un nOTA'!$A$4:$K$5003,10,FALSE),"")</f>
        <v/>
      </c>
      <c r="I349" s="112" t="str">
        <f>IFERROR(VLOOKUP(Table1722[[#This Row],[Bukti]],Table13[#Data],11,FALSE),"")</f>
        <v/>
      </c>
    </row>
    <row r="350" spans="1:9" ht="19.5" hidden="1" customHeight="1" x14ac:dyDescent="0.2">
      <c r="A350" s="105" t="str">
        <f>IF(D350=1,COUNTIF($D$10:D350,1)," ")</f>
        <v xml:space="preserve"> </v>
      </c>
      <c r="B350" s="106" t="str">
        <f>COPY!AR342</f>
        <v/>
      </c>
      <c r="C350" s="107">
        <f>COPY!AC342</f>
        <v>0</v>
      </c>
      <c r="D350" s="107" t="str">
        <f>IF(LEN(Table1722[[#This Row],[Uraian]])&gt;2,1," ")</f>
        <v xml:space="preserve"> </v>
      </c>
      <c r="E350" s="113" t="str">
        <f>IF(Table1722[[#This Row],[Lawan Transaksi]]="CV AGUNG KARYA",COUNTIF($I$10:I350,"CV AGUNG KARYA")," ")</f>
        <v xml:space="preserve"> </v>
      </c>
      <c r="F350" s="107" t="str">
        <f>IF(LEN(Table1722[[#This Row],[Uraian]])&gt;2,TRIM(RIGHT(SUBSTITUTE(TRIM(C350)," ",REPT(" ",255)),255))," ")</f>
        <v xml:space="preserve"> </v>
      </c>
      <c r="G350" s="110">
        <f>COPY!Z342</f>
        <v>0</v>
      </c>
      <c r="H350" s="111" t="str">
        <f>IFERROR(VLOOKUP(Table1722[[#This Row],[Bukti]],'Un nOTA'!$A$4:$K$5003,10,FALSE),"")</f>
        <v/>
      </c>
      <c r="I350" s="112" t="str">
        <f>IFERROR(VLOOKUP(Table1722[[#This Row],[Bukti]],Table13[#Data],11,FALSE),"")</f>
        <v/>
      </c>
    </row>
    <row r="351" spans="1:9" ht="19.5" hidden="1" customHeight="1" x14ac:dyDescent="0.2">
      <c r="A351" s="105" t="str">
        <f>IF(D351=1,COUNTIF($D$10:D351,1)," ")</f>
        <v xml:space="preserve"> </v>
      </c>
      <c r="B351" s="106" t="str">
        <f>COPY!AR343</f>
        <v/>
      </c>
      <c r="C351" s="107">
        <f>COPY!AC343</f>
        <v>0</v>
      </c>
      <c r="D351" s="107" t="str">
        <f>IF(LEN(Table1722[[#This Row],[Uraian]])&gt;2,1," ")</f>
        <v xml:space="preserve"> </v>
      </c>
      <c r="E351" s="113" t="str">
        <f>IF(Table1722[[#This Row],[Lawan Transaksi]]="CV AGUNG KARYA",COUNTIF($I$10:I351,"CV AGUNG KARYA")," ")</f>
        <v xml:space="preserve"> </v>
      </c>
      <c r="F351" s="107" t="str">
        <f>IF(LEN(Table1722[[#This Row],[Uraian]])&gt;2,TRIM(RIGHT(SUBSTITUTE(TRIM(C351)," ",REPT(" ",255)),255))," ")</f>
        <v xml:space="preserve"> </v>
      </c>
      <c r="G351" s="110">
        <f>COPY!Z343</f>
        <v>0</v>
      </c>
      <c r="H351" s="111" t="str">
        <f>IFERROR(VLOOKUP(Table1722[[#This Row],[Bukti]],'Un nOTA'!$A$4:$K$5003,10,FALSE),"")</f>
        <v/>
      </c>
      <c r="I351" s="112" t="str">
        <f>IFERROR(VLOOKUP(Table1722[[#This Row],[Bukti]],Table13[#Data],11,FALSE),"")</f>
        <v/>
      </c>
    </row>
    <row r="352" spans="1:9" ht="19.5" hidden="1" customHeight="1" x14ac:dyDescent="0.2">
      <c r="A352" s="105" t="str">
        <f>IF(D352=1,COUNTIF($D$10:D352,1)," ")</f>
        <v xml:space="preserve"> </v>
      </c>
      <c r="B352" s="106" t="str">
        <f>COPY!AR344</f>
        <v/>
      </c>
      <c r="C352" s="107">
        <f>COPY!AC344</f>
        <v>0</v>
      </c>
      <c r="D352" s="107" t="str">
        <f>IF(LEN(Table1722[[#This Row],[Uraian]])&gt;2,1," ")</f>
        <v xml:space="preserve"> </v>
      </c>
      <c r="E352" s="113" t="str">
        <f>IF(Table1722[[#This Row],[Lawan Transaksi]]="CV AGUNG KARYA",COUNTIF($I$10:I352,"CV AGUNG KARYA")," ")</f>
        <v xml:space="preserve"> </v>
      </c>
      <c r="F352" s="107" t="str">
        <f>IF(LEN(Table1722[[#This Row],[Uraian]])&gt;2,TRIM(RIGHT(SUBSTITUTE(TRIM(C352)," ",REPT(" ",255)),255))," ")</f>
        <v xml:space="preserve"> </v>
      </c>
      <c r="G352" s="110">
        <f>COPY!Z344</f>
        <v>0</v>
      </c>
      <c r="H352" s="111" t="str">
        <f>IFERROR(VLOOKUP(Table1722[[#This Row],[Bukti]],'Un nOTA'!$A$4:$K$5003,10,FALSE),"")</f>
        <v/>
      </c>
      <c r="I352" s="112" t="str">
        <f>IFERROR(VLOOKUP(Table1722[[#This Row],[Bukti]],Table13[#Data],11,FALSE),"")</f>
        <v/>
      </c>
    </row>
    <row r="353" spans="1:9" ht="19.5" hidden="1" customHeight="1" x14ac:dyDescent="0.2">
      <c r="A353" s="105" t="str">
        <f>IF(D353=1,COUNTIF($D$10:D353,1)," ")</f>
        <v xml:space="preserve"> </v>
      </c>
      <c r="B353" s="106" t="str">
        <f>COPY!AR345</f>
        <v/>
      </c>
      <c r="C353" s="107">
        <f>COPY!AC345</f>
        <v>0</v>
      </c>
      <c r="D353" s="107" t="str">
        <f>IF(LEN(Table1722[[#This Row],[Uraian]])&gt;2,1," ")</f>
        <v xml:space="preserve"> </v>
      </c>
      <c r="E353" s="113" t="str">
        <f>IF(Table1722[[#This Row],[Lawan Transaksi]]="CV AGUNG KARYA",COUNTIF($I$10:I353,"CV AGUNG KARYA")," ")</f>
        <v xml:space="preserve"> </v>
      </c>
      <c r="F353" s="107" t="str">
        <f>IF(LEN(Table1722[[#This Row],[Uraian]])&gt;2,TRIM(RIGHT(SUBSTITUTE(TRIM(C353)," ",REPT(" ",255)),255))," ")</f>
        <v xml:space="preserve"> </v>
      </c>
      <c r="G353" s="110">
        <f>COPY!Z345</f>
        <v>0</v>
      </c>
      <c r="H353" s="111" t="str">
        <f>IFERROR(VLOOKUP(Table1722[[#This Row],[Bukti]],'Un nOTA'!$A$4:$K$5003,10,FALSE),"")</f>
        <v/>
      </c>
      <c r="I353" s="112" t="str">
        <f>IFERROR(VLOOKUP(Table1722[[#This Row],[Bukti]],Table13[#Data],11,FALSE),"")</f>
        <v/>
      </c>
    </row>
    <row r="354" spans="1:9" ht="19.5" hidden="1" customHeight="1" x14ac:dyDescent="0.2">
      <c r="A354" s="105" t="str">
        <f>IF(D354=1,COUNTIF($D$10:D354,1)," ")</f>
        <v xml:space="preserve"> </v>
      </c>
      <c r="B354" s="106" t="str">
        <f>COPY!AR346</f>
        <v/>
      </c>
      <c r="C354" s="107">
        <f>COPY!AC346</f>
        <v>0</v>
      </c>
      <c r="D354" s="107" t="str">
        <f>IF(LEN(Table1722[[#This Row],[Uraian]])&gt;2,1," ")</f>
        <v xml:space="preserve"> </v>
      </c>
      <c r="E354" s="113" t="str">
        <f>IF(Table1722[[#This Row],[Lawan Transaksi]]="CV AGUNG KARYA",COUNTIF($I$10:I354,"CV AGUNG KARYA")," ")</f>
        <v xml:space="preserve"> </v>
      </c>
      <c r="F354" s="107" t="str">
        <f>IF(LEN(Table1722[[#This Row],[Uraian]])&gt;2,TRIM(RIGHT(SUBSTITUTE(TRIM(C354)," ",REPT(" ",255)),255))," ")</f>
        <v xml:space="preserve"> </v>
      </c>
      <c r="G354" s="110">
        <f>COPY!Z346</f>
        <v>0</v>
      </c>
      <c r="H354" s="111" t="str">
        <f>IFERROR(VLOOKUP(Table1722[[#This Row],[Bukti]],'Un nOTA'!$A$4:$K$5003,10,FALSE),"")</f>
        <v/>
      </c>
      <c r="I354" s="112" t="str">
        <f>IFERROR(VLOOKUP(Table1722[[#This Row],[Bukti]],Table13[#Data],11,FALSE),"")</f>
        <v/>
      </c>
    </row>
    <row r="355" spans="1:9" ht="19.5" hidden="1" customHeight="1" x14ac:dyDescent="0.2">
      <c r="A355" s="105" t="str">
        <f>IF(D355=1,COUNTIF($D$10:D355,1)," ")</f>
        <v xml:space="preserve"> </v>
      </c>
      <c r="B355" s="106" t="str">
        <f>COPY!AR347</f>
        <v/>
      </c>
      <c r="C355" s="107">
        <f>COPY!AC347</f>
        <v>0</v>
      </c>
      <c r="D355" s="107" t="str">
        <f>IF(LEN(Table1722[[#This Row],[Uraian]])&gt;2,1," ")</f>
        <v xml:space="preserve"> </v>
      </c>
      <c r="E355" s="113" t="str">
        <f>IF(Table1722[[#This Row],[Lawan Transaksi]]="CV AGUNG KARYA",COUNTIF($I$10:I355,"CV AGUNG KARYA")," ")</f>
        <v xml:space="preserve"> </v>
      </c>
      <c r="F355" s="107" t="str">
        <f>IF(LEN(Table1722[[#This Row],[Uraian]])&gt;2,TRIM(RIGHT(SUBSTITUTE(TRIM(C355)," ",REPT(" ",255)),255))," ")</f>
        <v xml:space="preserve"> </v>
      </c>
      <c r="G355" s="110">
        <f>COPY!Z347</f>
        <v>0</v>
      </c>
      <c r="H355" s="111" t="str">
        <f>IFERROR(VLOOKUP(Table1722[[#This Row],[Bukti]],'Un nOTA'!$A$4:$K$5003,10,FALSE),"")</f>
        <v/>
      </c>
      <c r="I355" s="112" t="str">
        <f>IFERROR(VLOOKUP(Table1722[[#This Row],[Bukti]],Table13[#Data],11,FALSE),"")</f>
        <v/>
      </c>
    </row>
    <row r="356" spans="1:9" ht="19.5" hidden="1" customHeight="1" x14ac:dyDescent="0.2">
      <c r="A356" s="105" t="str">
        <f>IF(D356=1,COUNTIF($D$10:D356,1)," ")</f>
        <v xml:space="preserve"> </v>
      </c>
      <c r="B356" s="106" t="str">
        <f>COPY!AR348</f>
        <v/>
      </c>
      <c r="C356" s="107">
        <f>COPY!AC348</f>
        <v>0</v>
      </c>
      <c r="D356" s="107" t="str">
        <f>IF(LEN(Table1722[[#This Row],[Uraian]])&gt;2,1," ")</f>
        <v xml:space="preserve"> </v>
      </c>
      <c r="E356" s="113" t="str">
        <f>IF(Table1722[[#This Row],[Lawan Transaksi]]="CV AGUNG KARYA",COUNTIF($I$10:I356,"CV AGUNG KARYA")," ")</f>
        <v xml:space="preserve"> </v>
      </c>
      <c r="F356" s="107" t="str">
        <f>IF(LEN(Table1722[[#This Row],[Uraian]])&gt;2,TRIM(RIGHT(SUBSTITUTE(TRIM(C356)," ",REPT(" ",255)),255))," ")</f>
        <v xml:space="preserve"> </v>
      </c>
      <c r="G356" s="110">
        <f>COPY!Z348</f>
        <v>0</v>
      </c>
      <c r="H356" s="111" t="str">
        <f>IFERROR(VLOOKUP(Table1722[[#This Row],[Bukti]],'Un nOTA'!$A$4:$K$5003,10,FALSE),"")</f>
        <v/>
      </c>
      <c r="I356" s="112" t="str">
        <f>IFERROR(VLOOKUP(Table1722[[#This Row],[Bukti]],Table13[#Data],11,FALSE),"")</f>
        <v/>
      </c>
    </row>
    <row r="357" spans="1:9" ht="19.5" hidden="1" customHeight="1" x14ac:dyDescent="0.2">
      <c r="A357" s="105" t="str">
        <f>IF(D357=1,COUNTIF($D$10:D357,1)," ")</f>
        <v xml:space="preserve"> </v>
      </c>
      <c r="B357" s="106" t="str">
        <f>COPY!AR349</f>
        <v/>
      </c>
      <c r="C357" s="107">
        <f>COPY!AC349</f>
        <v>0</v>
      </c>
      <c r="D357" s="107" t="str">
        <f>IF(LEN(Table1722[[#This Row],[Uraian]])&gt;2,1," ")</f>
        <v xml:space="preserve"> </v>
      </c>
      <c r="E357" s="113" t="str">
        <f>IF(Table1722[[#This Row],[Lawan Transaksi]]="CV AGUNG KARYA",COUNTIF($I$10:I357,"CV AGUNG KARYA")," ")</f>
        <v xml:space="preserve"> </v>
      </c>
      <c r="F357" s="107" t="str">
        <f>IF(LEN(Table1722[[#This Row],[Uraian]])&gt;2,TRIM(RIGHT(SUBSTITUTE(TRIM(C357)," ",REPT(" ",255)),255))," ")</f>
        <v xml:space="preserve"> </v>
      </c>
      <c r="G357" s="110">
        <f>COPY!Z349</f>
        <v>0</v>
      </c>
      <c r="H357" s="111" t="str">
        <f>IFERROR(VLOOKUP(Table1722[[#This Row],[Bukti]],'Un nOTA'!$A$4:$K$5003,10,FALSE),"")</f>
        <v/>
      </c>
      <c r="I357" s="112" t="str">
        <f>IFERROR(VLOOKUP(Table1722[[#This Row],[Bukti]],Table13[#Data],11,FALSE),"")</f>
        <v/>
      </c>
    </row>
    <row r="358" spans="1:9" ht="19.5" hidden="1" customHeight="1" x14ac:dyDescent="0.2">
      <c r="A358" s="105" t="str">
        <f>IF(D358=1,COUNTIF($D$10:D358,1)," ")</f>
        <v xml:space="preserve"> </v>
      </c>
      <c r="B358" s="106" t="str">
        <f>COPY!AR350</f>
        <v/>
      </c>
      <c r="C358" s="107">
        <f>COPY!AC350</f>
        <v>0</v>
      </c>
      <c r="D358" s="107" t="str">
        <f>IF(LEN(Table1722[[#This Row],[Uraian]])&gt;2,1," ")</f>
        <v xml:space="preserve"> </v>
      </c>
      <c r="E358" s="113" t="str">
        <f>IF(Table1722[[#This Row],[Lawan Transaksi]]="CV AGUNG KARYA",COUNTIF($I$10:I358,"CV AGUNG KARYA")," ")</f>
        <v xml:space="preserve"> </v>
      </c>
      <c r="F358" s="107" t="str">
        <f>IF(LEN(Table1722[[#This Row],[Uraian]])&gt;2,TRIM(RIGHT(SUBSTITUTE(TRIM(C358)," ",REPT(" ",255)),255))," ")</f>
        <v xml:space="preserve"> </v>
      </c>
      <c r="G358" s="110">
        <f>COPY!Z350</f>
        <v>0</v>
      </c>
      <c r="H358" s="111" t="str">
        <f>IFERROR(VLOOKUP(Table1722[[#This Row],[Bukti]],'Un nOTA'!$A$4:$K$5003,10,FALSE),"")</f>
        <v/>
      </c>
      <c r="I358" s="112" t="str">
        <f>IFERROR(VLOOKUP(Table1722[[#This Row],[Bukti]],Table13[#Data],11,FALSE),"")</f>
        <v/>
      </c>
    </row>
    <row r="359" spans="1:9" ht="19.5" hidden="1" customHeight="1" x14ac:dyDescent="0.2">
      <c r="A359" s="105" t="str">
        <f>IF(D359=1,COUNTIF($D$10:D359,1)," ")</f>
        <v xml:space="preserve"> </v>
      </c>
      <c r="B359" s="106" t="str">
        <f>COPY!AR351</f>
        <v/>
      </c>
      <c r="C359" s="107">
        <f>COPY!AC351</f>
        <v>0</v>
      </c>
      <c r="D359" s="107" t="str">
        <f>IF(LEN(Table1722[[#This Row],[Uraian]])&gt;2,1," ")</f>
        <v xml:space="preserve"> </v>
      </c>
      <c r="E359" s="113" t="str">
        <f>IF(Table1722[[#This Row],[Lawan Transaksi]]="CV AGUNG KARYA",COUNTIF($I$10:I359,"CV AGUNG KARYA")," ")</f>
        <v xml:space="preserve"> </v>
      </c>
      <c r="F359" s="107" t="str">
        <f>IF(LEN(Table1722[[#This Row],[Uraian]])&gt;2,TRIM(RIGHT(SUBSTITUTE(TRIM(C359)," ",REPT(" ",255)),255))," ")</f>
        <v xml:space="preserve"> </v>
      </c>
      <c r="G359" s="110">
        <f>COPY!Z351</f>
        <v>0</v>
      </c>
      <c r="H359" s="111" t="str">
        <f>IFERROR(VLOOKUP(Table1722[[#This Row],[Bukti]],'Un nOTA'!$A$4:$K$5003,10,FALSE),"")</f>
        <v/>
      </c>
      <c r="I359" s="112" t="str">
        <f>IFERROR(VLOOKUP(Table1722[[#This Row],[Bukti]],Table13[#Data],11,FALSE),"")</f>
        <v/>
      </c>
    </row>
    <row r="360" spans="1:9" ht="19.5" hidden="1" customHeight="1" x14ac:dyDescent="0.2">
      <c r="A360" s="105" t="str">
        <f>IF(D360=1,COUNTIF($D$10:D360,1)," ")</f>
        <v xml:space="preserve"> </v>
      </c>
      <c r="B360" s="106" t="str">
        <f>COPY!AR352</f>
        <v/>
      </c>
      <c r="C360" s="107">
        <f>COPY!AC352</f>
        <v>0</v>
      </c>
      <c r="D360" s="107" t="str">
        <f>IF(LEN(Table1722[[#This Row],[Uraian]])&gt;2,1," ")</f>
        <v xml:space="preserve"> </v>
      </c>
      <c r="E360" s="113" t="str">
        <f>IF(Table1722[[#This Row],[Lawan Transaksi]]="CV AGUNG KARYA",COUNTIF($I$10:I360,"CV AGUNG KARYA")," ")</f>
        <v xml:space="preserve"> </v>
      </c>
      <c r="F360" s="107" t="str">
        <f>IF(LEN(Table1722[[#This Row],[Uraian]])&gt;2,TRIM(RIGHT(SUBSTITUTE(TRIM(C360)," ",REPT(" ",255)),255))," ")</f>
        <v xml:space="preserve"> </v>
      </c>
      <c r="G360" s="110">
        <f>COPY!Z352</f>
        <v>0</v>
      </c>
      <c r="H360" s="111" t="str">
        <f>IFERROR(VLOOKUP(Table1722[[#This Row],[Bukti]],'Un nOTA'!$A$4:$K$5003,10,FALSE),"")</f>
        <v/>
      </c>
      <c r="I360" s="112" t="str">
        <f>IFERROR(VLOOKUP(Table1722[[#This Row],[Bukti]],Table13[#Data],11,FALSE),"")</f>
        <v/>
      </c>
    </row>
    <row r="361" spans="1:9" ht="19.5" hidden="1" customHeight="1" x14ac:dyDescent="0.2">
      <c r="A361" s="105" t="str">
        <f>IF(D361=1,COUNTIF($D$10:D361,1)," ")</f>
        <v xml:space="preserve"> </v>
      </c>
      <c r="B361" s="106" t="str">
        <f>COPY!AR353</f>
        <v/>
      </c>
      <c r="C361" s="107">
        <f>COPY!AC353</f>
        <v>0</v>
      </c>
      <c r="D361" s="107" t="str">
        <f>IF(LEN(Table1722[[#This Row],[Uraian]])&gt;2,1," ")</f>
        <v xml:space="preserve"> </v>
      </c>
      <c r="E361" s="113" t="str">
        <f>IF(Table1722[[#This Row],[Lawan Transaksi]]="CV AGUNG KARYA",COUNTIF($I$10:I361,"CV AGUNG KARYA")," ")</f>
        <v xml:space="preserve"> </v>
      </c>
      <c r="F361" s="107" t="str">
        <f>IF(LEN(Table1722[[#This Row],[Uraian]])&gt;2,TRIM(RIGHT(SUBSTITUTE(TRIM(C361)," ",REPT(" ",255)),255))," ")</f>
        <v xml:space="preserve"> </v>
      </c>
      <c r="G361" s="110">
        <f>COPY!Z353</f>
        <v>0</v>
      </c>
      <c r="H361" s="111" t="str">
        <f>IFERROR(VLOOKUP(Table1722[[#This Row],[Bukti]],'Un nOTA'!$A$4:$K$5003,10,FALSE),"")</f>
        <v/>
      </c>
      <c r="I361" s="112" t="str">
        <f>IFERROR(VLOOKUP(Table1722[[#This Row],[Bukti]],Table13[#Data],11,FALSE),"")</f>
        <v/>
      </c>
    </row>
    <row r="362" spans="1:9" ht="19.5" hidden="1" customHeight="1" x14ac:dyDescent="0.2">
      <c r="A362" s="105" t="str">
        <f>IF(D362=1,COUNTIF($D$10:D362,1)," ")</f>
        <v xml:space="preserve"> </v>
      </c>
      <c r="B362" s="106" t="str">
        <f>COPY!AR354</f>
        <v/>
      </c>
      <c r="C362" s="107">
        <f>COPY!AC354</f>
        <v>0</v>
      </c>
      <c r="D362" s="107" t="str">
        <f>IF(LEN(Table1722[[#This Row],[Uraian]])&gt;2,1," ")</f>
        <v xml:space="preserve"> </v>
      </c>
      <c r="E362" s="113" t="str">
        <f>IF(Table1722[[#This Row],[Lawan Transaksi]]="CV AGUNG KARYA",COUNTIF($I$10:I362,"CV AGUNG KARYA")," ")</f>
        <v xml:space="preserve"> </v>
      </c>
      <c r="F362" s="107" t="str">
        <f>IF(LEN(Table1722[[#This Row],[Uraian]])&gt;2,TRIM(RIGHT(SUBSTITUTE(TRIM(C362)," ",REPT(" ",255)),255))," ")</f>
        <v xml:space="preserve"> </v>
      </c>
      <c r="G362" s="110">
        <f>COPY!Z354</f>
        <v>0</v>
      </c>
      <c r="H362" s="111" t="str">
        <f>IFERROR(VLOOKUP(Table1722[[#This Row],[Bukti]],'Un nOTA'!$A$4:$K$5003,10,FALSE),"")</f>
        <v/>
      </c>
      <c r="I362" s="112" t="str">
        <f>IFERROR(VLOOKUP(Table1722[[#This Row],[Bukti]],Table13[#Data],11,FALSE),"")</f>
        <v/>
      </c>
    </row>
    <row r="363" spans="1:9" ht="19.5" hidden="1" customHeight="1" x14ac:dyDescent="0.2">
      <c r="A363" s="105" t="str">
        <f>IF(D363=1,COUNTIF($D$10:D363,1)," ")</f>
        <v xml:space="preserve"> </v>
      </c>
      <c r="B363" s="106" t="str">
        <f>COPY!AR355</f>
        <v/>
      </c>
      <c r="C363" s="107">
        <f>COPY!AC355</f>
        <v>0</v>
      </c>
      <c r="D363" s="107" t="str">
        <f>IF(LEN(Table1722[[#This Row],[Uraian]])&gt;2,1," ")</f>
        <v xml:space="preserve"> </v>
      </c>
      <c r="E363" s="113" t="str">
        <f>IF(Table1722[[#This Row],[Lawan Transaksi]]="CV AGUNG KARYA",COUNTIF($I$10:I363,"CV AGUNG KARYA")," ")</f>
        <v xml:space="preserve"> </v>
      </c>
      <c r="F363" s="107" t="str">
        <f>IF(LEN(Table1722[[#This Row],[Uraian]])&gt;2,TRIM(RIGHT(SUBSTITUTE(TRIM(C363)," ",REPT(" ",255)),255))," ")</f>
        <v xml:space="preserve"> </v>
      </c>
      <c r="G363" s="110">
        <f>COPY!Z355</f>
        <v>0</v>
      </c>
      <c r="H363" s="111" t="str">
        <f>IFERROR(VLOOKUP(Table1722[[#This Row],[Bukti]],'Un nOTA'!$A$4:$K$5003,10,FALSE),"")</f>
        <v/>
      </c>
      <c r="I363" s="112" t="str">
        <f>IFERROR(VLOOKUP(Table1722[[#This Row],[Bukti]],Table13[#Data],11,FALSE),"")</f>
        <v/>
      </c>
    </row>
    <row r="364" spans="1:9" ht="19.5" hidden="1" customHeight="1" x14ac:dyDescent="0.2">
      <c r="A364" s="105" t="str">
        <f>IF(D364=1,COUNTIF($D$10:D364,1)," ")</f>
        <v xml:space="preserve"> </v>
      </c>
      <c r="B364" s="106" t="str">
        <f>COPY!AR356</f>
        <v/>
      </c>
      <c r="C364" s="107">
        <f>COPY!AC356</f>
        <v>0</v>
      </c>
      <c r="D364" s="107" t="str">
        <f>IF(LEN(Table1722[[#This Row],[Uraian]])&gt;2,1," ")</f>
        <v xml:space="preserve"> </v>
      </c>
      <c r="E364" s="113" t="str">
        <f>IF(Table1722[[#This Row],[Lawan Transaksi]]="CV AGUNG KARYA",COUNTIF($I$10:I364,"CV AGUNG KARYA")," ")</f>
        <v xml:space="preserve"> </v>
      </c>
      <c r="F364" s="107" t="str">
        <f>IF(LEN(Table1722[[#This Row],[Uraian]])&gt;2,TRIM(RIGHT(SUBSTITUTE(TRIM(C364)," ",REPT(" ",255)),255))," ")</f>
        <v xml:space="preserve"> </v>
      </c>
      <c r="G364" s="110">
        <f>COPY!Z356</f>
        <v>0</v>
      </c>
      <c r="H364" s="111" t="str">
        <f>IFERROR(VLOOKUP(Table1722[[#This Row],[Bukti]],'Un nOTA'!$A$4:$K$5003,10,FALSE),"")</f>
        <v/>
      </c>
      <c r="I364" s="112" t="str">
        <f>IFERROR(VLOOKUP(Table1722[[#This Row],[Bukti]],Table13[#Data],11,FALSE),"")</f>
        <v/>
      </c>
    </row>
    <row r="365" spans="1:9" ht="19.5" hidden="1" customHeight="1" x14ac:dyDescent="0.2">
      <c r="A365" s="105" t="str">
        <f>IF(D365=1,COUNTIF($D$10:D365,1)," ")</f>
        <v xml:space="preserve"> </v>
      </c>
      <c r="B365" s="106" t="str">
        <f>COPY!AR357</f>
        <v/>
      </c>
      <c r="C365" s="107">
        <f>COPY!AC357</f>
        <v>0</v>
      </c>
      <c r="D365" s="107" t="str">
        <f>IF(LEN(Table1722[[#This Row],[Uraian]])&gt;2,1," ")</f>
        <v xml:space="preserve"> </v>
      </c>
      <c r="E365" s="113" t="str">
        <f>IF(Table1722[[#This Row],[Lawan Transaksi]]="CV AGUNG KARYA",COUNTIF($I$10:I365,"CV AGUNG KARYA")," ")</f>
        <v xml:space="preserve"> </v>
      </c>
      <c r="F365" s="107" t="str">
        <f>IF(LEN(Table1722[[#This Row],[Uraian]])&gt;2,TRIM(RIGHT(SUBSTITUTE(TRIM(C365)," ",REPT(" ",255)),255))," ")</f>
        <v xml:space="preserve"> </v>
      </c>
      <c r="G365" s="110">
        <f>COPY!Z357</f>
        <v>0</v>
      </c>
      <c r="H365" s="111" t="str">
        <f>IFERROR(VLOOKUP(Table1722[[#This Row],[Bukti]],'Un nOTA'!$A$4:$K$5003,10,FALSE),"")</f>
        <v/>
      </c>
      <c r="I365" s="112" t="str">
        <f>IFERROR(VLOOKUP(Table1722[[#This Row],[Bukti]],Table13[#Data],11,FALSE),"")</f>
        <v/>
      </c>
    </row>
    <row r="366" spans="1:9" ht="19.5" hidden="1" customHeight="1" x14ac:dyDescent="0.2">
      <c r="A366" s="105" t="str">
        <f>IF(D366=1,COUNTIF($D$10:D366,1)," ")</f>
        <v xml:space="preserve"> </v>
      </c>
      <c r="B366" s="106" t="str">
        <f>COPY!AR358</f>
        <v/>
      </c>
      <c r="C366" s="107">
        <f>COPY!AC358</f>
        <v>0</v>
      </c>
      <c r="D366" s="107" t="str">
        <f>IF(LEN(Table1722[[#This Row],[Uraian]])&gt;2,1," ")</f>
        <v xml:space="preserve"> </v>
      </c>
      <c r="E366" s="113" t="str">
        <f>IF(Table1722[[#This Row],[Lawan Transaksi]]="CV AGUNG KARYA",COUNTIF($I$10:I366,"CV AGUNG KARYA")," ")</f>
        <v xml:space="preserve"> </v>
      </c>
      <c r="F366" s="107" t="str">
        <f>IF(LEN(Table1722[[#This Row],[Uraian]])&gt;2,TRIM(RIGHT(SUBSTITUTE(TRIM(C366)," ",REPT(" ",255)),255))," ")</f>
        <v xml:space="preserve"> </v>
      </c>
      <c r="G366" s="110">
        <f>COPY!Z358</f>
        <v>0</v>
      </c>
      <c r="H366" s="111" t="str">
        <f>IFERROR(VLOOKUP(Table1722[[#This Row],[Bukti]],'Un nOTA'!$A$4:$K$5003,10,FALSE),"")</f>
        <v/>
      </c>
      <c r="I366" s="112" t="str">
        <f>IFERROR(VLOOKUP(Table1722[[#This Row],[Bukti]],Table13[#Data],11,FALSE),"")</f>
        <v/>
      </c>
    </row>
    <row r="367" spans="1:9" ht="19.5" hidden="1" customHeight="1" x14ac:dyDescent="0.2">
      <c r="A367" s="105" t="str">
        <f>IF(D367=1,COUNTIF($D$10:D367,1)," ")</f>
        <v xml:space="preserve"> </v>
      </c>
      <c r="B367" s="106" t="str">
        <f>COPY!AR359</f>
        <v/>
      </c>
      <c r="C367" s="107">
        <f>COPY!AC359</f>
        <v>0</v>
      </c>
      <c r="D367" s="107" t="str">
        <f>IF(LEN(Table1722[[#This Row],[Uraian]])&gt;2,1," ")</f>
        <v xml:space="preserve"> </v>
      </c>
      <c r="E367" s="113" t="str">
        <f>IF(Table1722[[#This Row],[Lawan Transaksi]]="CV AGUNG KARYA",COUNTIF($I$10:I367,"CV AGUNG KARYA")," ")</f>
        <v xml:space="preserve"> </v>
      </c>
      <c r="F367" s="107" t="str">
        <f>IF(LEN(Table1722[[#This Row],[Uraian]])&gt;2,TRIM(RIGHT(SUBSTITUTE(TRIM(C367)," ",REPT(" ",255)),255))," ")</f>
        <v xml:space="preserve"> </v>
      </c>
      <c r="G367" s="110">
        <f>COPY!Z359</f>
        <v>0</v>
      </c>
      <c r="H367" s="111" t="str">
        <f>IFERROR(VLOOKUP(Table1722[[#This Row],[Bukti]],'Un nOTA'!$A$4:$K$5003,10,FALSE),"")</f>
        <v/>
      </c>
      <c r="I367" s="112" t="str">
        <f>IFERROR(VLOOKUP(Table1722[[#This Row],[Bukti]],Table13[#Data],11,FALSE),"")</f>
        <v/>
      </c>
    </row>
    <row r="368" spans="1:9" ht="19.5" hidden="1" customHeight="1" x14ac:dyDescent="0.2">
      <c r="A368" s="105" t="str">
        <f>IF(D368=1,COUNTIF($D$10:D368,1)," ")</f>
        <v xml:space="preserve"> </v>
      </c>
      <c r="B368" s="106" t="str">
        <f>COPY!AR360</f>
        <v/>
      </c>
      <c r="C368" s="107">
        <f>COPY!AC360</f>
        <v>0</v>
      </c>
      <c r="D368" s="107" t="str">
        <f>IF(LEN(Table1722[[#This Row],[Uraian]])&gt;2,1," ")</f>
        <v xml:space="preserve"> </v>
      </c>
      <c r="E368" s="113" t="str">
        <f>IF(Table1722[[#This Row],[Lawan Transaksi]]="CV AGUNG KARYA",COUNTIF($I$10:I368,"CV AGUNG KARYA")," ")</f>
        <v xml:space="preserve"> </v>
      </c>
      <c r="F368" s="107" t="str">
        <f>IF(LEN(Table1722[[#This Row],[Uraian]])&gt;2,TRIM(RIGHT(SUBSTITUTE(TRIM(C368)," ",REPT(" ",255)),255))," ")</f>
        <v xml:space="preserve"> </v>
      </c>
      <c r="G368" s="110">
        <f>COPY!Z360</f>
        <v>0</v>
      </c>
      <c r="H368" s="111" t="str">
        <f>IFERROR(VLOOKUP(Table1722[[#This Row],[Bukti]],'Un nOTA'!$A$4:$K$5003,10,FALSE),"")</f>
        <v/>
      </c>
      <c r="I368" s="112" t="str">
        <f>IFERROR(VLOOKUP(Table1722[[#This Row],[Bukti]],Table13[#Data],11,FALSE),"")</f>
        <v/>
      </c>
    </row>
    <row r="369" spans="1:9" ht="19.5" hidden="1" customHeight="1" x14ac:dyDescent="0.2">
      <c r="A369" s="105" t="str">
        <f>IF(D369=1,COUNTIF($D$10:D369,1)," ")</f>
        <v xml:space="preserve"> </v>
      </c>
      <c r="B369" s="106" t="str">
        <f>COPY!AR361</f>
        <v/>
      </c>
      <c r="C369" s="107">
        <f>COPY!AC361</f>
        <v>0</v>
      </c>
      <c r="D369" s="107" t="str">
        <f>IF(LEN(Table1722[[#This Row],[Uraian]])&gt;2,1," ")</f>
        <v xml:space="preserve"> </v>
      </c>
      <c r="E369" s="113" t="str">
        <f>IF(Table1722[[#This Row],[Lawan Transaksi]]="CV AGUNG KARYA",COUNTIF($I$10:I369,"CV AGUNG KARYA")," ")</f>
        <v xml:space="preserve"> </v>
      </c>
      <c r="F369" s="107" t="str">
        <f>IF(LEN(Table1722[[#This Row],[Uraian]])&gt;2,TRIM(RIGHT(SUBSTITUTE(TRIM(C369)," ",REPT(" ",255)),255))," ")</f>
        <v xml:space="preserve"> </v>
      </c>
      <c r="G369" s="110">
        <f>COPY!Z361</f>
        <v>0</v>
      </c>
      <c r="H369" s="111" t="str">
        <f>IFERROR(VLOOKUP(Table1722[[#This Row],[Bukti]],'Un nOTA'!$A$4:$K$5003,10,FALSE),"")</f>
        <v/>
      </c>
      <c r="I369" s="112" t="str">
        <f>IFERROR(VLOOKUP(Table1722[[#This Row],[Bukti]],Table13[#Data],11,FALSE),"")</f>
        <v/>
      </c>
    </row>
    <row r="370" spans="1:9" ht="19.5" hidden="1" customHeight="1" x14ac:dyDescent="0.2">
      <c r="A370" s="105" t="str">
        <f>IF(D370=1,COUNTIF($D$10:D370,1)," ")</f>
        <v xml:space="preserve"> </v>
      </c>
      <c r="B370" s="106" t="str">
        <f>COPY!AR362</f>
        <v/>
      </c>
      <c r="C370" s="107">
        <f>COPY!AC362</f>
        <v>0</v>
      </c>
      <c r="D370" s="107" t="str">
        <f>IF(LEN(Table1722[[#This Row],[Uraian]])&gt;2,1," ")</f>
        <v xml:space="preserve"> </v>
      </c>
      <c r="E370" s="113" t="str">
        <f>IF(Table1722[[#This Row],[Lawan Transaksi]]="CV AGUNG KARYA",COUNTIF($I$10:I370,"CV AGUNG KARYA")," ")</f>
        <v xml:space="preserve"> </v>
      </c>
      <c r="F370" s="107" t="str">
        <f>IF(LEN(Table1722[[#This Row],[Uraian]])&gt;2,TRIM(RIGHT(SUBSTITUTE(TRIM(C370)," ",REPT(" ",255)),255))," ")</f>
        <v xml:space="preserve"> </v>
      </c>
      <c r="G370" s="110">
        <f>COPY!Z362</f>
        <v>0</v>
      </c>
      <c r="H370" s="111" t="str">
        <f>IFERROR(VLOOKUP(Table1722[[#This Row],[Bukti]],'Un nOTA'!$A$4:$K$5003,10,FALSE),"")</f>
        <v/>
      </c>
      <c r="I370" s="112" t="str">
        <f>IFERROR(VLOOKUP(Table1722[[#This Row],[Bukti]],Table13[#Data],11,FALSE),"")</f>
        <v/>
      </c>
    </row>
    <row r="371" spans="1:9" ht="19.5" hidden="1" customHeight="1" x14ac:dyDescent="0.2">
      <c r="A371" s="105" t="str">
        <f>IF(D371=1,COUNTIF($D$10:D371,1)," ")</f>
        <v xml:space="preserve"> </v>
      </c>
      <c r="B371" s="106" t="str">
        <f>COPY!AR363</f>
        <v/>
      </c>
      <c r="C371" s="107">
        <f>COPY!AC363</f>
        <v>0</v>
      </c>
      <c r="D371" s="107" t="str">
        <f>IF(LEN(Table1722[[#This Row],[Uraian]])&gt;2,1," ")</f>
        <v xml:space="preserve"> </v>
      </c>
      <c r="E371" s="113" t="str">
        <f>IF(Table1722[[#This Row],[Lawan Transaksi]]="CV AGUNG KARYA",COUNTIF($I$10:I371,"CV AGUNG KARYA")," ")</f>
        <v xml:space="preserve"> </v>
      </c>
      <c r="F371" s="107" t="str">
        <f>IF(LEN(Table1722[[#This Row],[Uraian]])&gt;2,TRIM(RIGHT(SUBSTITUTE(TRIM(C371)," ",REPT(" ",255)),255))," ")</f>
        <v xml:space="preserve"> </v>
      </c>
      <c r="G371" s="110">
        <f>COPY!Z363</f>
        <v>0</v>
      </c>
      <c r="H371" s="111" t="str">
        <f>IFERROR(VLOOKUP(Table1722[[#This Row],[Bukti]],'Un nOTA'!$A$4:$K$5003,10,FALSE),"")</f>
        <v/>
      </c>
      <c r="I371" s="112" t="str">
        <f>IFERROR(VLOOKUP(Table1722[[#This Row],[Bukti]],Table13[#Data],11,FALSE),"")</f>
        <v/>
      </c>
    </row>
    <row r="372" spans="1:9" ht="19.5" hidden="1" customHeight="1" x14ac:dyDescent="0.2">
      <c r="A372" s="105" t="str">
        <f>IF(D372=1,COUNTIF($D$10:D372,1)," ")</f>
        <v xml:space="preserve"> </v>
      </c>
      <c r="B372" s="106" t="str">
        <f>COPY!AR364</f>
        <v/>
      </c>
      <c r="C372" s="107">
        <f>COPY!AC364</f>
        <v>0</v>
      </c>
      <c r="D372" s="107" t="str">
        <f>IF(LEN(Table1722[[#This Row],[Uraian]])&gt;2,1," ")</f>
        <v xml:space="preserve"> </v>
      </c>
      <c r="E372" s="113" t="str">
        <f>IF(Table1722[[#This Row],[Lawan Transaksi]]="CV AGUNG KARYA",COUNTIF($I$10:I372,"CV AGUNG KARYA")," ")</f>
        <v xml:space="preserve"> </v>
      </c>
      <c r="F372" s="107" t="str">
        <f>IF(LEN(Table1722[[#This Row],[Uraian]])&gt;2,TRIM(RIGHT(SUBSTITUTE(TRIM(C372)," ",REPT(" ",255)),255))," ")</f>
        <v xml:space="preserve"> </v>
      </c>
      <c r="G372" s="110">
        <f>COPY!Z364</f>
        <v>0</v>
      </c>
      <c r="H372" s="111" t="str">
        <f>IFERROR(VLOOKUP(Table1722[[#This Row],[Bukti]],'Un nOTA'!$A$4:$K$5003,10,FALSE),"")</f>
        <v/>
      </c>
      <c r="I372" s="112" t="str">
        <f>IFERROR(VLOOKUP(Table1722[[#This Row],[Bukti]],Table13[#Data],11,FALSE),"")</f>
        <v/>
      </c>
    </row>
    <row r="373" spans="1:9" ht="19.5" hidden="1" customHeight="1" x14ac:dyDescent="0.2">
      <c r="A373" s="105" t="str">
        <f>IF(D373=1,COUNTIF($D$10:D373,1)," ")</f>
        <v xml:space="preserve"> </v>
      </c>
      <c r="B373" s="106" t="str">
        <f>COPY!AR365</f>
        <v/>
      </c>
      <c r="C373" s="107">
        <f>COPY!AC365</f>
        <v>0</v>
      </c>
      <c r="D373" s="107" t="str">
        <f>IF(LEN(Table1722[[#This Row],[Uraian]])&gt;2,1," ")</f>
        <v xml:space="preserve"> </v>
      </c>
      <c r="E373" s="113" t="str">
        <f>IF(Table1722[[#This Row],[Lawan Transaksi]]="CV AGUNG KARYA",COUNTIF($I$10:I373,"CV AGUNG KARYA")," ")</f>
        <v xml:space="preserve"> </v>
      </c>
      <c r="F373" s="107" t="str">
        <f>IF(LEN(Table1722[[#This Row],[Uraian]])&gt;2,TRIM(RIGHT(SUBSTITUTE(TRIM(C373)," ",REPT(" ",255)),255))," ")</f>
        <v xml:space="preserve"> </v>
      </c>
      <c r="G373" s="110">
        <f>COPY!Z365</f>
        <v>0</v>
      </c>
      <c r="H373" s="111" t="str">
        <f>IFERROR(VLOOKUP(Table1722[[#This Row],[Bukti]],'Un nOTA'!$A$4:$K$5003,10,FALSE),"")</f>
        <v/>
      </c>
      <c r="I373" s="112" t="str">
        <f>IFERROR(VLOOKUP(Table1722[[#This Row],[Bukti]],Table13[#Data],11,FALSE),"")</f>
        <v/>
      </c>
    </row>
    <row r="374" spans="1:9" ht="19.5" hidden="1" customHeight="1" x14ac:dyDescent="0.2">
      <c r="A374" s="105" t="str">
        <f>IF(D374=1,COUNTIF($D$10:D374,1)," ")</f>
        <v xml:space="preserve"> </v>
      </c>
      <c r="B374" s="106" t="str">
        <f>COPY!AR366</f>
        <v/>
      </c>
      <c r="C374" s="107">
        <f>COPY!AC366</f>
        <v>0</v>
      </c>
      <c r="D374" s="107" t="str">
        <f>IF(LEN(Table1722[[#This Row],[Uraian]])&gt;2,1," ")</f>
        <v xml:space="preserve"> </v>
      </c>
      <c r="E374" s="113" t="str">
        <f>IF(Table1722[[#This Row],[Lawan Transaksi]]="CV AGUNG KARYA",COUNTIF($I$10:I374,"CV AGUNG KARYA")," ")</f>
        <v xml:space="preserve"> </v>
      </c>
      <c r="F374" s="107" t="str">
        <f>IF(LEN(Table1722[[#This Row],[Uraian]])&gt;2,TRIM(RIGHT(SUBSTITUTE(TRIM(C374)," ",REPT(" ",255)),255))," ")</f>
        <v xml:space="preserve"> </v>
      </c>
      <c r="G374" s="110">
        <f>COPY!Z366</f>
        <v>0</v>
      </c>
      <c r="H374" s="111" t="str">
        <f>IFERROR(VLOOKUP(Table1722[[#This Row],[Bukti]],'Un nOTA'!$A$4:$K$5003,10,FALSE),"")</f>
        <v/>
      </c>
      <c r="I374" s="112" t="str">
        <f>IFERROR(VLOOKUP(Table1722[[#This Row],[Bukti]],Table13[#Data],11,FALSE),"")</f>
        <v/>
      </c>
    </row>
    <row r="375" spans="1:9" ht="19.5" hidden="1" customHeight="1" x14ac:dyDescent="0.2">
      <c r="A375" s="105" t="str">
        <f>IF(D375=1,COUNTIF($D$10:D375,1)," ")</f>
        <v xml:space="preserve"> </v>
      </c>
      <c r="B375" s="106" t="str">
        <f>COPY!AR367</f>
        <v/>
      </c>
      <c r="C375" s="107">
        <f>COPY!AC367</f>
        <v>0</v>
      </c>
      <c r="D375" s="107" t="str">
        <f>IF(LEN(Table1722[[#This Row],[Uraian]])&gt;2,1," ")</f>
        <v xml:space="preserve"> </v>
      </c>
      <c r="E375" s="113" t="str">
        <f>IF(Table1722[[#This Row],[Lawan Transaksi]]="CV AGUNG KARYA",COUNTIF($I$10:I375,"CV AGUNG KARYA")," ")</f>
        <v xml:space="preserve"> </v>
      </c>
      <c r="F375" s="107" t="str">
        <f>IF(LEN(Table1722[[#This Row],[Uraian]])&gt;2,TRIM(RIGHT(SUBSTITUTE(TRIM(C375)," ",REPT(" ",255)),255))," ")</f>
        <v xml:space="preserve"> </v>
      </c>
      <c r="G375" s="110">
        <f>COPY!Z367</f>
        <v>0</v>
      </c>
      <c r="H375" s="111" t="str">
        <f>IFERROR(VLOOKUP(Table1722[[#This Row],[Bukti]],'Un nOTA'!$A$4:$K$5003,10,FALSE),"")</f>
        <v/>
      </c>
      <c r="I375" s="112" t="str">
        <f>IFERROR(VLOOKUP(Table1722[[#This Row],[Bukti]],Table13[#Data],11,FALSE),"")</f>
        <v/>
      </c>
    </row>
    <row r="376" spans="1:9" ht="19.5" hidden="1" customHeight="1" x14ac:dyDescent="0.2">
      <c r="A376" s="105" t="str">
        <f>IF(D376=1,COUNTIF($D$10:D376,1)," ")</f>
        <v xml:space="preserve"> </v>
      </c>
      <c r="B376" s="106" t="str">
        <f>COPY!AR368</f>
        <v/>
      </c>
      <c r="C376" s="107">
        <f>COPY!AC368</f>
        <v>0</v>
      </c>
      <c r="D376" s="107" t="str">
        <f>IF(LEN(Table1722[[#This Row],[Uraian]])&gt;2,1," ")</f>
        <v xml:space="preserve"> </v>
      </c>
      <c r="E376" s="113" t="str">
        <f>IF(Table1722[[#This Row],[Lawan Transaksi]]="CV AGUNG KARYA",COUNTIF($I$10:I376,"CV AGUNG KARYA")," ")</f>
        <v xml:space="preserve"> </v>
      </c>
      <c r="F376" s="107" t="str">
        <f>IF(LEN(Table1722[[#This Row],[Uraian]])&gt;2,TRIM(RIGHT(SUBSTITUTE(TRIM(C376)," ",REPT(" ",255)),255))," ")</f>
        <v xml:space="preserve"> </v>
      </c>
      <c r="G376" s="110">
        <f>COPY!Z368</f>
        <v>0</v>
      </c>
      <c r="H376" s="111" t="str">
        <f>IFERROR(VLOOKUP(Table1722[[#This Row],[Bukti]],'Un nOTA'!$A$4:$K$5003,10,FALSE),"")</f>
        <v/>
      </c>
      <c r="I376" s="112" t="str">
        <f>IFERROR(VLOOKUP(Table1722[[#This Row],[Bukti]],Table13[#Data],11,FALSE),"")</f>
        <v/>
      </c>
    </row>
    <row r="377" spans="1:9" ht="19.5" hidden="1" customHeight="1" x14ac:dyDescent="0.2">
      <c r="A377" s="105" t="str">
        <f>IF(D377=1,COUNTIF($D$10:D377,1)," ")</f>
        <v xml:space="preserve"> </v>
      </c>
      <c r="B377" s="106" t="str">
        <f>COPY!AR369</f>
        <v/>
      </c>
      <c r="C377" s="107">
        <f>COPY!AC369</f>
        <v>0</v>
      </c>
      <c r="D377" s="107" t="str">
        <f>IF(LEN(Table1722[[#This Row],[Uraian]])&gt;2,1," ")</f>
        <v xml:space="preserve"> </v>
      </c>
      <c r="E377" s="113" t="str">
        <f>IF(Table1722[[#This Row],[Lawan Transaksi]]="CV AGUNG KARYA",COUNTIF($I$10:I377,"CV AGUNG KARYA")," ")</f>
        <v xml:space="preserve"> </v>
      </c>
      <c r="F377" s="107" t="str">
        <f>IF(LEN(Table1722[[#This Row],[Uraian]])&gt;2,TRIM(RIGHT(SUBSTITUTE(TRIM(C377)," ",REPT(" ",255)),255))," ")</f>
        <v xml:space="preserve"> </v>
      </c>
      <c r="G377" s="110">
        <f>COPY!Z369</f>
        <v>0</v>
      </c>
      <c r="H377" s="111" t="str">
        <f>IFERROR(VLOOKUP(Table1722[[#This Row],[Bukti]],'Un nOTA'!$A$4:$K$5003,10,FALSE),"")</f>
        <v/>
      </c>
      <c r="I377" s="112" t="str">
        <f>IFERROR(VLOOKUP(Table1722[[#This Row],[Bukti]],Table13[#Data],11,FALSE),"")</f>
        <v/>
      </c>
    </row>
    <row r="378" spans="1:9" ht="19.5" hidden="1" customHeight="1" x14ac:dyDescent="0.2">
      <c r="A378" s="105" t="str">
        <f>IF(D378=1,COUNTIF($D$10:D378,1)," ")</f>
        <v xml:space="preserve"> </v>
      </c>
      <c r="B378" s="106" t="str">
        <f>COPY!AR370</f>
        <v/>
      </c>
      <c r="C378" s="107">
        <f>COPY!AC370</f>
        <v>0</v>
      </c>
      <c r="D378" s="107" t="str">
        <f>IF(LEN(Table1722[[#This Row],[Uraian]])&gt;2,1," ")</f>
        <v xml:space="preserve"> </v>
      </c>
      <c r="E378" s="113" t="str">
        <f>IF(Table1722[[#This Row],[Lawan Transaksi]]="CV AGUNG KARYA",COUNTIF($I$10:I378,"CV AGUNG KARYA")," ")</f>
        <v xml:space="preserve"> </v>
      </c>
      <c r="F378" s="107" t="str">
        <f>IF(LEN(Table1722[[#This Row],[Uraian]])&gt;2,TRIM(RIGHT(SUBSTITUTE(TRIM(C378)," ",REPT(" ",255)),255))," ")</f>
        <v xml:space="preserve"> </v>
      </c>
      <c r="G378" s="110">
        <f>COPY!Z370</f>
        <v>0</v>
      </c>
      <c r="H378" s="111" t="str">
        <f>IFERROR(VLOOKUP(Table1722[[#This Row],[Bukti]],'Un nOTA'!$A$4:$K$5003,10,FALSE),"")</f>
        <v/>
      </c>
      <c r="I378" s="112" t="str">
        <f>IFERROR(VLOOKUP(Table1722[[#This Row],[Bukti]],Table13[#Data],11,FALSE),"")</f>
        <v/>
      </c>
    </row>
    <row r="379" spans="1:9" ht="19.5" hidden="1" customHeight="1" x14ac:dyDescent="0.2">
      <c r="A379" s="105" t="str">
        <f>IF(D379=1,COUNTIF($D$10:D379,1)," ")</f>
        <v xml:space="preserve"> </v>
      </c>
      <c r="B379" s="106" t="str">
        <f>COPY!AR371</f>
        <v/>
      </c>
      <c r="C379" s="107">
        <f>COPY!AC371</f>
        <v>0</v>
      </c>
      <c r="D379" s="107" t="str">
        <f>IF(LEN(Table1722[[#This Row],[Uraian]])&gt;2,1," ")</f>
        <v xml:space="preserve"> </v>
      </c>
      <c r="E379" s="113" t="str">
        <f>IF(Table1722[[#This Row],[Lawan Transaksi]]="CV AGUNG KARYA",COUNTIF($I$10:I379,"CV AGUNG KARYA")," ")</f>
        <v xml:space="preserve"> </v>
      </c>
      <c r="F379" s="107" t="str">
        <f>IF(LEN(Table1722[[#This Row],[Uraian]])&gt;2,TRIM(RIGHT(SUBSTITUTE(TRIM(C379)," ",REPT(" ",255)),255))," ")</f>
        <v xml:space="preserve"> </v>
      </c>
      <c r="G379" s="110">
        <f>COPY!Z371</f>
        <v>0</v>
      </c>
      <c r="H379" s="111" t="str">
        <f>IFERROR(VLOOKUP(Table1722[[#This Row],[Bukti]],'Un nOTA'!$A$4:$K$5003,10,FALSE),"")</f>
        <v/>
      </c>
      <c r="I379" s="112" t="str">
        <f>IFERROR(VLOOKUP(Table1722[[#This Row],[Bukti]],Table13[#Data],11,FALSE),"")</f>
        <v/>
      </c>
    </row>
    <row r="380" spans="1:9" ht="19.5" hidden="1" customHeight="1" x14ac:dyDescent="0.2">
      <c r="A380" s="105" t="str">
        <f>IF(D380=1,COUNTIF($D$10:D380,1)," ")</f>
        <v xml:space="preserve"> </v>
      </c>
      <c r="B380" s="106" t="str">
        <f>COPY!AR372</f>
        <v/>
      </c>
      <c r="C380" s="107">
        <f>COPY!AC372</f>
        <v>0</v>
      </c>
      <c r="D380" s="107" t="str">
        <f>IF(LEN(Table1722[[#This Row],[Uraian]])&gt;2,1," ")</f>
        <v xml:space="preserve"> </v>
      </c>
      <c r="E380" s="113" t="str">
        <f>IF(Table1722[[#This Row],[Lawan Transaksi]]="CV AGUNG KARYA",COUNTIF($I$10:I380,"CV AGUNG KARYA")," ")</f>
        <v xml:space="preserve"> </v>
      </c>
      <c r="F380" s="107" t="str">
        <f>IF(LEN(Table1722[[#This Row],[Uraian]])&gt;2,TRIM(RIGHT(SUBSTITUTE(TRIM(C380)," ",REPT(" ",255)),255))," ")</f>
        <v xml:space="preserve"> </v>
      </c>
      <c r="G380" s="110">
        <f>COPY!Z372</f>
        <v>0</v>
      </c>
      <c r="H380" s="111" t="str">
        <f>IFERROR(VLOOKUP(Table1722[[#This Row],[Bukti]],'Un nOTA'!$A$4:$K$5003,10,FALSE),"")</f>
        <v/>
      </c>
      <c r="I380" s="112" t="str">
        <f>IFERROR(VLOOKUP(Table1722[[#This Row],[Bukti]],Table13[#Data],11,FALSE),"")</f>
        <v/>
      </c>
    </row>
    <row r="381" spans="1:9" ht="19.5" hidden="1" customHeight="1" x14ac:dyDescent="0.2">
      <c r="A381" s="105" t="str">
        <f>IF(D381=1,COUNTIF($D$10:D381,1)," ")</f>
        <v xml:space="preserve"> </v>
      </c>
      <c r="B381" s="106" t="str">
        <f>COPY!AR373</f>
        <v/>
      </c>
      <c r="C381" s="107">
        <f>COPY!AC373</f>
        <v>0</v>
      </c>
      <c r="D381" s="107" t="str">
        <f>IF(LEN(Table1722[[#This Row],[Uraian]])&gt;2,1," ")</f>
        <v xml:space="preserve"> </v>
      </c>
      <c r="E381" s="113" t="str">
        <f>IF(Table1722[[#This Row],[Lawan Transaksi]]="CV AGUNG KARYA",COUNTIF($I$10:I381,"CV AGUNG KARYA")," ")</f>
        <v xml:space="preserve"> </v>
      </c>
      <c r="F381" s="107" t="str">
        <f>IF(LEN(Table1722[[#This Row],[Uraian]])&gt;2,TRIM(RIGHT(SUBSTITUTE(TRIM(C381)," ",REPT(" ",255)),255))," ")</f>
        <v xml:space="preserve"> </v>
      </c>
      <c r="G381" s="110">
        <f>COPY!Z373</f>
        <v>0</v>
      </c>
      <c r="H381" s="111" t="str">
        <f>IFERROR(VLOOKUP(Table1722[[#This Row],[Bukti]],'Un nOTA'!$A$4:$K$5003,10,FALSE),"")</f>
        <v/>
      </c>
      <c r="I381" s="112" t="str">
        <f>IFERROR(VLOOKUP(Table1722[[#This Row],[Bukti]],Table13[#Data],11,FALSE),"")</f>
        <v/>
      </c>
    </row>
    <row r="382" spans="1:9" ht="19.5" hidden="1" customHeight="1" x14ac:dyDescent="0.2">
      <c r="A382" s="105" t="str">
        <f>IF(D382=1,COUNTIF($D$10:D382,1)," ")</f>
        <v xml:space="preserve"> </v>
      </c>
      <c r="B382" s="106" t="str">
        <f>COPY!AR374</f>
        <v/>
      </c>
      <c r="C382" s="107">
        <f>COPY!AC374</f>
        <v>0</v>
      </c>
      <c r="D382" s="107" t="str">
        <f>IF(LEN(Table1722[[#This Row],[Uraian]])&gt;2,1," ")</f>
        <v xml:space="preserve"> </v>
      </c>
      <c r="E382" s="113" t="str">
        <f>IF(Table1722[[#This Row],[Lawan Transaksi]]="CV AGUNG KARYA",COUNTIF($I$10:I382,"CV AGUNG KARYA")," ")</f>
        <v xml:space="preserve"> </v>
      </c>
      <c r="F382" s="107" t="str">
        <f>IF(LEN(Table1722[[#This Row],[Uraian]])&gt;2,TRIM(RIGHT(SUBSTITUTE(TRIM(C382)," ",REPT(" ",255)),255))," ")</f>
        <v xml:space="preserve"> </v>
      </c>
      <c r="G382" s="110">
        <f>COPY!Z374</f>
        <v>0</v>
      </c>
      <c r="H382" s="111" t="str">
        <f>IFERROR(VLOOKUP(Table1722[[#This Row],[Bukti]],'Un nOTA'!$A$4:$K$5003,10,FALSE),"")</f>
        <v/>
      </c>
      <c r="I382" s="112" t="str">
        <f>IFERROR(VLOOKUP(Table1722[[#This Row],[Bukti]],Table13[#Data],11,FALSE),"")</f>
        <v/>
      </c>
    </row>
    <row r="383" spans="1:9" ht="19.5" hidden="1" customHeight="1" x14ac:dyDescent="0.2">
      <c r="A383" s="105" t="str">
        <f>IF(D383=1,COUNTIF($D$10:D383,1)," ")</f>
        <v xml:space="preserve"> </v>
      </c>
      <c r="B383" s="106" t="str">
        <f>COPY!AR375</f>
        <v/>
      </c>
      <c r="C383" s="107">
        <f>COPY!AC375</f>
        <v>0</v>
      </c>
      <c r="D383" s="107" t="str">
        <f>IF(LEN(Table1722[[#This Row],[Uraian]])&gt;2,1," ")</f>
        <v xml:space="preserve"> </v>
      </c>
      <c r="E383" s="113" t="str">
        <f>IF(Table1722[[#This Row],[Lawan Transaksi]]="CV AGUNG KARYA",COUNTIF($I$10:I383,"CV AGUNG KARYA")," ")</f>
        <v xml:space="preserve"> </v>
      </c>
      <c r="F383" s="107" t="str">
        <f>IF(LEN(Table1722[[#This Row],[Uraian]])&gt;2,TRIM(RIGHT(SUBSTITUTE(TRIM(C383)," ",REPT(" ",255)),255))," ")</f>
        <v xml:space="preserve"> </v>
      </c>
      <c r="G383" s="110">
        <f>COPY!Z375</f>
        <v>0</v>
      </c>
      <c r="H383" s="111" t="str">
        <f>IFERROR(VLOOKUP(Table1722[[#This Row],[Bukti]],'Un nOTA'!$A$4:$K$5003,10,FALSE),"")</f>
        <v/>
      </c>
      <c r="I383" s="112" t="str">
        <f>IFERROR(VLOOKUP(Table1722[[#This Row],[Bukti]],Table13[#Data],11,FALSE),"")</f>
        <v/>
      </c>
    </row>
    <row r="384" spans="1:9" ht="19.5" hidden="1" customHeight="1" x14ac:dyDescent="0.2">
      <c r="A384" s="105" t="str">
        <f>IF(D384=1,COUNTIF($D$10:D384,1)," ")</f>
        <v xml:space="preserve"> </v>
      </c>
      <c r="B384" s="106" t="str">
        <f>COPY!AR376</f>
        <v/>
      </c>
      <c r="C384" s="107">
        <f>COPY!AC376</f>
        <v>0</v>
      </c>
      <c r="D384" s="107" t="str">
        <f>IF(LEN(Table1722[[#This Row],[Uraian]])&gt;2,1," ")</f>
        <v xml:space="preserve"> </v>
      </c>
      <c r="E384" s="113" t="str">
        <f>IF(Table1722[[#This Row],[Lawan Transaksi]]="CV AGUNG KARYA",COUNTIF($I$10:I384,"CV AGUNG KARYA")," ")</f>
        <v xml:space="preserve"> </v>
      </c>
      <c r="F384" s="107" t="str">
        <f>IF(LEN(Table1722[[#This Row],[Uraian]])&gt;2,TRIM(RIGHT(SUBSTITUTE(TRIM(C384)," ",REPT(" ",255)),255))," ")</f>
        <v xml:space="preserve"> </v>
      </c>
      <c r="G384" s="110">
        <f>COPY!Z376</f>
        <v>0</v>
      </c>
      <c r="H384" s="111" t="str">
        <f>IFERROR(VLOOKUP(Table1722[[#This Row],[Bukti]],'Un nOTA'!$A$4:$K$5003,10,FALSE),"")</f>
        <v/>
      </c>
      <c r="I384" s="112" t="str">
        <f>IFERROR(VLOOKUP(Table1722[[#This Row],[Bukti]],Table13[#Data],11,FALSE),"")</f>
        <v/>
      </c>
    </row>
    <row r="385" spans="1:9" ht="19.5" hidden="1" customHeight="1" x14ac:dyDescent="0.2">
      <c r="A385" s="105" t="str">
        <f>IF(D385=1,COUNTIF($D$10:D385,1)," ")</f>
        <v xml:space="preserve"> </v>
      </c>
      <c r="B385" s="106" t="str">
        <f>COPY!AR377</f>
        <v/>
      </c>
      <c r="C385" s="107">
        <f>COPY!AC377</f>
        <v>0</v>
      </c>
      <c r="D385" s="107" t="str">
        <f>IF(LEN(Table1722[[#This Row],[Uraian]])&gt;2,1," ")</f>
        <v xml:space="preserve"> </v>
      </c>
      <c r="E385" s="113" t="str">
        <f>IF(Table1722[[#This Row],[Lawan Transaksi]]="CV AGUNG KARYA",COUNTIF($I$10:I385,"CV AGUNG KARYA")," ")</f>
        <v xml:space="preserve"> </v>
      </c>
      <c r="F385" s="107" t="str">
        <f>IF(LEN(Table1722[[#This Row],[Uraian]])&gt;2,TRIM(RIGHT(SUBSTITUTE(TRIM(C385)," ",REPT(" ",255)),255))," ")</f>
        <v xml:space="preserve"> </v>
      </c>
      <c r="G385" s="110">
        <f>COPY!Z377</f>
        <v>0</v>
      </c>
      <c r="H385" s="111" t="str">
        <f>IFERROR(VLOOKUP(Table1722[[#This Row],[Bukti]],'Un nOTA'!$A$4:$K$5003,10,FALSE),"")</f>
        <v/>
      </c>
      <c r="I385" s="112" t="str">
        <f>IFERROR(VLOOKUP(Table1722[[#This Row],[Bukti]],Table13[#Data],11,FALSE),"")</f>
        <v/>
      </c>
    </row>
    <row r="386" spans="1:9" ht="19.5" hidden="1" customHeight="1" x14ac:dyDescent="0.2">
      <c r="A386" s="105" t="str">
        <f>IF(D386=1,COUNTIF($D$10:D386,1)," ")</f>
        <v xml:space="preserve"> </v>
      </c>
      <c r="B386" s="106" t="str">
        <f>COPY!AR378</f>
        <v/>
      </c>
      <c r="C386" s="107">
        <f>COPY!AC378</f>
        <v>0</v>
      </c>
      <c r="D386" s="107" t="str">
        <f>IF(LEN(Table1722[[#This Row],[Uraian]])&gt;2,1," ")</f>
        <v xml:space="preserve"> </v>
      </c>
      <c r="E386" s="113" t="str">
        <f>IF(Table1722[[#This Row],[Lawan Transaksi]]="CV AGUNG KARYA",COUNTIF($I$10:I386,"CV AGUNG KARYA")," ")</f>
        <v xml:space="preserve"> </v>
      </c>
      <c r="F386" s="107" t="str">
        <f>IF(LEN(Table1722[[#This Row],[Uraian]])&gt;2,TRIM(RIGHT(SUBSTITUTE(TRIM(C386)," ",REPT(" ",255)),255))," ")</f>
        <v xml:space="preserve"> </v>
      </c>
      <c r="G386" s="110">
        <f>COPY!Z378</f>
        <v>0</v>
      </c>
      <c r="H386" s="111" t="str">
        <f>IFERROR(VLOOKUP(Table1722[[#This Row],[Bukti]],'Un nOTA'!$A$4:$K$5003,10,FALSE),"")</f>
        <v/>
      </c>
      <c r="I386" s="112" t="str">
        <f>IFERROR(VLOOKUP(Table1722[[#This Row],[Bukti]],Table13[#Data],11,FALSE),"")</f>
        <v/>
      </c>
    </row>
    <row r="387" spans="1:9" ht="19.5" hidden="1" customHeight="1" x14ac:dyDescent="0.2">
      <c r="A387" s="105" t="str">
        <f>IF(D387=1,COUNTIF($D$10:D387,1)," ")</f>
        <v xml:space="preserve"> </v>
      </c>
      <c r="B387" s="106" t="str">
        <f>COPY!AR379</f>
        <v/>
      </c>
      <c r="C387" s="107">
        <f>COPY!AC379</f>
        <v>0</v>
      </c>
      <c r="D387" s="107" t="str">
        <f>IF(LEN(Table1722[[#This Row],[Uraian]])&gt;2,1," ")</f>
        <v xml:space="preserve"> </v>
      </c>
      <c r="E387" s="113" t="str">
        <f>IF(Table1722[[#This Row],[Lawan Transaksi]]="CV AGUNG KARYA",COUNTIF($I$10:I387,"CV AGUNG KARYA")," ")</f>
        <v xml:space="preserve"> </v>
      </c>
      <c r="F387" s="107" t="str">
        <f>IF(LEN(Table1722[[#This Row],[Uraian]])&gt;2,TRIM(RIGHT(SUBSTITUTE(TRIM(C387)," ",REPT(" ",255)),255))," ")</f>
        <v xml:space="preserve"> </v>
      </c>
      <c r="G387" s="110">
        <f>COPY!Z379</f>
        <v>0</v>
      </c>
      <c r="H387" s="111" t="str">
        <f>IFERROR(VLOOKUP(Table1722[[#This Row],[Bukti]],'Un nOTA'!$A$4:$K$5003,10,FALSE),"")</f>
        <v/>
      </c>
      <c r="I387" s="112" t="str">
        <f>IFERROR(VLOOKUP(Table1722[[#This Row],[Bukti]],Table13[#Data],11,FALSE),"")</f>
        <v/>
      </c>
    </row>
    <row r="388" spans="1:9" ht="19.5" hidden="1" customHeight="1" x14ac:dyDescent="0.2">
      <c r="A388" s="105" t="str">
        <f>IF(D388=1,COUNTIF($D$10:D388,1)," ")</f>
        <v xml:space="preserve"> </v>
      </c>
      <c r="B388" s="106" t="str">
        <f>COPY!AR380</f>
        <v/>
      </c>
      <c r="C388" s="107">
        <f>COPY!AC380</f>
        <v>0</v>
      </c>
      <c r="D388" s="107" t="str">
        <f>IF(LEN(Table1722[[#This Row],[Uraian]])&gt;2,1," ")</f>
        <v xml:space="preserve"> </v>
      </c>
      <c r="E388" s="113" t="str">
        <f>IF(Table1722[[#This Row],[Lawan Transaksi]]="CV AGUNG KARYA",COUNTIF($I$10:I388,"CV AGUNG KARYA")," ")</f>
        <v xml:space="preserve"> </v>
      </c>
      <c r="F388" s="107" t="str">
        <f>IF(LEN(Table1722[[#This Row],[Uraian]])&gt;2,TRIM(RIGHT(SUBSTITUTE(TRIM(C388)," ",REPT(" ",255)),255))," ")</f>
        <v xml:space="preserve"> </v>
      </c>
      <c r="G388" s="110">
        <f>COPY!Z380</f>
        <v>0</v>
      </c>
      <c r="H388" s="111" t="str">
        <f>IFERROR(VLOOKUP(Table1722[[#This Row],[Bukti]],'Un nOTA'!$A$4:$K$5003,10,FALSE),"")</f>
        <v/>
      </c>
      <c r="I388" s="112" t="str">
        <f>IFERROR(VLOOKUP(Table1722[[#This Row],[Bukti]],Table13[#Data],11,FALSE),"")</f>
        <v/>
      </c>
    </row>
    <row r="389" spans="1:9" ht="19.5" hidden="1" customHeight="1" x14ac:dyDescent="0.2">
      <c r="A389" s="105" t="str">
        <f>IF(D389=1,COUNTIF($D$10:D389,1)," ")</f>
        <v xml:space="preserve"> </v>
      </c>
      <c r="B389" s="106" t="str">
        <f>COPY!AR381</f>
        <v/>
      </c>
      <c r="C389" s="107">
        <f>COPY!AC381</f>
        <v>0</v>
      </c>
      <c r="D389" s="107" t="str">
        <f>IF(LEN(Table1722[[#This Row],[Uraian]])&gt;2,1," ")</f>
        <v xml:space="preserve"> </v>
      </c>
      <c r="E389" s="113" t="str">
        <f>IF(Table1722[[#This Row],[Lawan Transaksi]]="CV AGUNG KARYA",COUNTIF($I$10:I389,"CV AGUNG KARYA")," ")</f>
        <v xml:space="preserve"> </v>
      </c>
      <c r="F389" s="107" t="str">
        <f>IF(LEN(Table1722[[#This Row],[Uraian]])&gt;2,TRIM(RIGHT(SUBSTITUTE(TRIM(C389)," ",REPT(" ",255)),255))," ")</f>
        <v xml:space="preserve"> </v>
      </c>
      <c r="G389" s="110">
        <f>COPY!Z381</f>
        <v>0</v>
      </c>
      <c r="H389" s="111" t="str">
        <f>IFERROR(VLOOKUP(Table1722[[#This Row],[Bukti]],'Un nOTA'!$A$4:$K$5003,10,FALSE),"")</f>
        <v/>
      </c>
      <c r="I389" s="112" t="str">
        <f>IFERROR(VLOOKUP(Table1722[[#This Row],[Bukti]],Table13[#Data],11,FALSE),"")</f>
        <v/>
      </c>
    </row>
    <row r="390" spans="1:9" ht="19.5" hidden="1" customHeight="1" x14ac:dyDescent="0.2">
      <c r="A390" s="105" t="str">
        <f>IF(D390=1,COUNTIF($D$10:D390,1)," ")</f>
        <v xml:space="preserve"> </v>
      </c>
      <c r="B390" s="106" t="str">
        <f>COPY!AR382</f>
        <v/>
      </c>
      <c r="C390" s="107">
        <f>COPY!AC382</f>
        <v>0</v>
      </c>
      <c r="D390" s="107" t="str">
        <f>IF(LEN(Table1722[[#This Row],[Uraian]])&gt;2,1," ")</f>
        <v xml:space="preserve"> </v>
      </c>
      <c r="E390" s="113" t="str">
        <f>IF(Table1722[[#This Row],[Lawan Transaksi]]="CV AGUNG KARYA",COUNTIF($I$10:I390,"CV AGUNG KARYA")," ")</f>
        <v xml:space="preserve"> </v>
      </c>
      <c r="F390" s="107" t="str">
        <f>IF(LEN(Table1722[[#This Row],[Uraian]])&gt;2,TRIM(RIGHT(SUBSTITUTE(TRIM(C390)," ",REPT(" ",255)),255))," ")</f>
        <v xml:space="preserve"> </v>
      </c>
      <c r="G390" s="110">
        <f>COPY!Z382</f>
        <v>0</v>
      </c>
      <c r="H390" s="111" t="str">
        <f>IFERROR(VLOOKUP(Table1722[[#This Row],[Bukti]],'Un nOTA'!$A$4:$K$5003,10,FALSE),"")</f>
        <v/>
      </c>
      <c r="I390" s="112" t="str">
        <f>IFERROR(VLOOKUP(Table1722[[#This Row],[Bukti]],Table13[#Data],11,FALSE),"")</f>
        <v/>
      </c>
    </row>
    <row r="391" spans="1:9" ht="19.5" hidden="1" customHeight="1" x14ac:dyDescent="0.2">
      <c r="A391" s="105" t="str">
        <f>IF(D391=1,COUNTIF($D$10:D391,1)," ")</f>
        <v xml:space="preserve"> </v>
      </c>
      <c r="B391" s="106" t="str">
        <f>COPY!AR383</f>
        <v/>
      </c>
      <c r="C391" s="107">
        <f>COPY!AC383</f>
        <v>0</v>
      </c>
      <c r="D391" s="107" t="str">
        <f>IF(LEN(Table1722[[#This Row],[Uraian]])&gt;2,1," ")</f>
        <v xml:space="preserve"> </v>
      </c>
      <c r="E391" s="113" t="str">
        <f>IF(Table1722[[#This Row],[Lawan Transaksi]]="CV AGUNG KARYA",COUNTIF($I$10:I391,"CV AGUNG KARYA")," ")</f>
        <v xml:space="preserve"> </v>
      </c>
      <c r="F391" s="107" t="str">
        <f>IF(LEN(Table1722[[#This Row],[Uraian]])&gt;2,TRIM(RIGHT(SUBSTITUTE(TRIM(C391)," ",REPT(" ",255)),255))," ")</f>
        <v xml:space="preserve"> </v>
      </c>
      <c r="G391" s="110">
        <f>COPY!Z383</f>
        <v>0</v>
      </c>
      <c r="H391" s="111" t="str">
        <f>IFERROR(VLOOKUP(Table1722[[#This Row],[Bukti]],'Un nOTA'!$A$4:$K$5003,10,FALSE),"")</f>
        <v/>
      </c>
      <c r="I391" s="112" t="str">
        <f>IFERROR(VLOOKUP(Table1722[[#This Row],[Bukti]],Table13[#Data],11,FALSE),"")</f>
        <v/>
      </c>
    </row>
    <row r="392" spans="1:9" ht="19.5" hidden="1" customHeight="1" x14ac:dyDescent="0.2">
      <c r="A392" s="105" t="str">
        <f>IF(D392=1,COUNTIF($D$10:D392,1)," ")</f>
        <v xml:space="preserve"> </v>
      </c>
      <c r="B392" s="106" t="str">
        <f>COPY!AR384</f>
        <v/>
      </c>
      <c r="C392" s="107">
        <f>COPY!AC384</f>
        <v>0</v>
      </c>
      <c r="D392" s="107" t="str">
        <f>IF(LEN(Table1722[[#This Row],[Uraian]])&gt;2,1," ")</f>
        <v xml:space="preserve"> </v>
      </c>
      <c r="E392" s="113" t="str">
        <f>IF(Table1722[[#This Row],[Lawan Transaksi]]="CV AGUNG KARYA",COUNTIF($I$10:I392,"CV AGUNG KARYA")," ")</f>
        <v xml:space="preserve"> </v>
      </c>
      <c r="F392" s="107" t="str">
        <f>IF(LEN(Table1722[[#This Row],[Uraian]])&gt;2,TRIM(RIGHT(SUBSTITUTE(TRIM(C392)," ",REPT(" ",255)),255))," ")</f>
        <v xml:space="preserve"> </v>
      </c>
      <c r="G392" s="110">
        <f>COPY!Z384</f>
        <v>0</v>
      </c>
      <c r="H392" s="111" t="str">
        <f>IFERROR(VLOOKUP(Table1722[[#This Row],[Bukti]],'Un nOTA'!$A$4:$K$5003,10,FALSE),"")</f>
        <v/>
      </c>
      <c r="I392" s="112" t="str">
        <f>IFERROR(VLOOKUP(Table1722[[#This Row],[Bukti]],Table13[#Data],11,FALSE),"")</f>
        <v/>
      </c>
    </row>
    <row r="393" spans="1:9" ht="19.5" hidden="1" customHeight="1" x14ac:dyDescent="0.2">
      <c r="A393" s="105" t="str">
        <f>IF(D393=1,COUNTIF($D$10:D393,1)," ")</f>
        <v xml:space="preserve"> </v>
      </c>
      <c r="B393" s="106" t="str">
        <f>COPY!AR385</f>
        <v/>
      </c>
      <c r="C393" s="107">
        <f>COPY!AC385</f>
        <v>0</v>
      </c>
      <c r="D393" s="107" t="str">
        <f>IF(LEN(Table1722[[#This Row],[Uraian]])&gt;2,1," ")</f>
        <v xml:space="preserve"> </v>
      </c>
      <c r="E393" s="113" t="str">
        <f>IF(Table1722[[#This Row],[Lawan Transaksi]]="CV AGUNG KARYA",COUNTIF($I$10:I393,"CV AGUNG KARYA")," ")</f>
        <v xml:space="preserve"> </v>
      </c>
      <c r="F393" s="107" t="str">
        <f>IF(LEN(Table1722[[#This Row],[Uraian]])&gt;2,TRIM(RIGHT(SUBSTITUTE(TRIM(C393)," ",REPT(" ",255)),255))," ")</f>
        <v xml:space="preserve"> </v>
      </c>
      <c r="G393" s="110">
        <f>COPY!Z385</f>
        <v>0</v>
      </c>
      <c r="H393" s="111" t="str">
        <f>IFERROR(VLOOKUP(Table1722[[#This Row],[Bukti]],'Un nOTA'!$A$4:$K$5003,10,FALSE),"")</f>
        <v/>
      </c>
      <c r="I393" s="112" t="str">
        <f>IFERROR(VLOOKUP(Table1722[[#This Row],[Bukti]],Table13[#Data],11,FALSE),"")</f>
        <v/>
      </c>
    </row>
    <row r="394" spans="1:9" ht="19.5" hidden="1" customHeight="1" x14ac:dyDescent="0.2">
      <c r="A394" s="105" t="str">
        <f>IF(D394=1,COUNTIF($D$10:D394,1)," ")</f>
        <v xml:space="preserve"> </v>
      </c>
      <c r="B394" s="106" t="str">
        <f>COPY!AR386</f>
        <v/>
      </c>
      <c r="C394" s="107">
        <f>COPY!AC386</f>
        <v>0</v>
      </c>
      <c r="D394" s="107" t="str">
        <f>IF(LEN(Table1722[[#This Row],[Uraian]])&gt;2,1," ")</f>
        <v xml:space="preserve"> </v>
      </c>
      <c r="E394" s="113" t="str">
        <f>IF(Table1722[[#This Row],[Lawan Transaksi]]="CV AGUNG KARYA",COUNTIF($I$10:I394,"CV AGUNG KARYA")," ")</f>
        <v xml:space="preserve"> </v>
      </c>
      <c r="F394" s="107" t="str">
        <f>IF(LEN(Table1722[[#This Row],[Uraian]])&gt;2,TRIM(RIGHT(SUBSTITUTE(TRIM(C394)," ",REPT(" ",255)),255))," ")</f>
        <v xml:space="preserve"> </v>
      </c>
      <c r="G394" s="110">
        <f>COPY!Z386</f>
        <v>0</v>
      </c>
      <c r="H394" s="111" t="str">
        <f>IFERROR(VLOOKUP(Table1722[[#This Row],[Bukti]],'Un nOTA'!$A$4:$K$5003,10,FALSE),"")</f>
        <v/>
      </c>
      <c r="I394" s="112" t="str">
        <f>IFERROR(VLOOKUP(Table1722[[#This Row],[Bukti]],Table13[#Data],11,FALSE),"")</f>
        <v/>
      </c>
    </row>
    <row r="395" spans="1:9" ht="19.5" hidden="1" customHeight="1" x14ac:dyDescent="0.2">
      <c r="A395" s="105" t="str">
        <f>IF(D395=1,COUNTIF($D$10:D395,1)," ")</f>
        <v xml:space="preserve"> </v>
      </c>
      <c r="B395" s="106" t="str">
        <f>COPY!AR387</f>
        <v/>
      </c>
      <c r="C395" s="107">
        <f>COPY!AC387</f>
        <v>0</v>
      </c>
      <c r="D395" s="107" t="str">
        <f>IF(LEN(Table1722[[#This Row],[Uraian]])&gt;2,1," ")</f>
        <v xml:space="preserve"> </v>
      </c>
      <c r="E395" s="113" t="str">
        <f>IF(Table1722[[#This Row],[Lawan Transaksi]]="CV AGUNG KARYA",COUNTIF($I$10:I395,"CV AGUNG KARYA")," ")</f>
        <v xml:space="preserve"> </v>
      </c>
      <c r="F395" s="107" t="str">
        <f>IF(LEN(Table1722[[#This Row],[Uraian]])&gt;2,TRIM(RIGHT(SUBSTITUTE(TRIM(C395)," ",REPT(" ",255)),255))," ")</f>
        <v xml:space="preserve"> </v>
      </c>
      <c r="G395" s="110">
        <f>COPY!Z387</f>
        <v>0</v>
      </c>
      <c r="H395" s="111" t="str">
        <f>IFERROR(VLOOKUP(Table1722[[#This Row],[Bukti]],'Un nOTA'!$A$4:$K$5003,10,FALSE),"")</f>
        <v/>
      </c>
      <c r="I395" s="112" t="str">
        <f>IFERROR(VLOOKUP(Table1722[[#This Row],[Bukti]],Table13[#Data],11,FALSE),"")</f>
        <v/>
      </c>
    </row>
    <row r="396" spans="1:9" ht="19.5" hidden="1" customHeight="1" x14ac:dyDescent="0.2">
      <c r="A396" s="105" t="str">
        <f>IF(D396=1,COUNTIF($D$10:D396,1)," ")</f>
        <v xml:space="preserve"> </v>
      </c>
      <c r="B396" s="106" t="str">
        <f>COPY!AR388</f>
        <v/>
      </c>
      <c r="C396" s="107">
        <f>COPY!AC388</f>
        <v>0</v>
      </c>
      <c r="D396" s="107" t="str">
        <f>IF(LEN(Table1722[[#This Row],[Uraian]])&gt;2,1," ")</f>
        <v xml:space="preserve"> </v>
      </c>
      <c r="E396" s="113" t="str">
        <f>IF(Table1722[[#This Row],[Lawan Transaksi]]="CV AGUNG KARYA",COUNTIF($I$10:I396,"CV AGUNG KARYA")," ")</f>
        <v xml:space="preserve"> </v>
      </c>
      <c r="F396" s="107" t="str">
        <f>IF(LEN(Table1722[[#This Row],[Uraian]])&gt;2,TRIM(RIGHT(SUBSTITUTE(TRIM(C396)," ",REPT(" ",255)),255))," ")</f>
        <v xml:space="preserve"> </v>
      </c>
      <c r="G396" s="110">
        <f>COPY!Z388</f>
        <v>0</v>
      </c>
      <c r="H396" s="111" t="str">
        <f>IFERROR(VLOOKUP(Table1722[[#This Row],[Bukti]],'Un nOTA'!$A$4:$K$5003,10,FALSE),"")</f>
        <v/>
      </c>
      <c r="I396" s="112" t="str">
        <f>IFERROR(VLOOKUP(Table1722[[#This Row],[Bukti]],Table13[#Data],11,FALSE),"")</f>
        <v/>
      </c>
    </row>
    <row r="397" spans="1:9" ht="19.5" hidden="1" customHeight="1" x14ac:dyDescent="0.2">
      <c r="A397" s="105" t="str">
        <f>IF(D397=1,COUNTIF($D$10:D397,1)," ")</f>
        <v xml:space="preserve"> </v>
      </c>
      <c r="B397" s="106" t="str">
        <f>COPY!AR389</f>
        <v/>
      </c>
      <c r="C397" s="107">
        <f>COPY!AC389</f>
        <v>0</v>
      </c>
      <c r="D397" s="107" t="str">
        <f>IF(LEN(Table1722[[#This Row],[Uraian]])&gt;2,1," ")</f>
        <v xml:space="preserve"> </v>
      </c>
      <c r="E397" s="113" t="str">
        <f>IF(Table1722[[#This Row],[Lawan Transaksi]]="CV AGUNG KARYA",COUNTIF($I$10:I397,"CV AGUNG KARYA")," ")</f>
        <v xml:space="preserve"> </v>
      </c>
      <c r="F397" s="107" t="str">
        <f>IF(LEN(Table1722[[#This Row],[Uraian]])&gt;2,TRIM(RIGHT(SUBSTITUTE(TRIM(C397)," ",REPT(" ",255)),255))," ")</f>
        <v xml:space="preserve"> </v>
      </c>
      <c r="G397" s="110">
        <f>COPY!Z389</f>
        <v>0</v>
      </c>
      <c r="H397" s="111" t="str">
        <f>IFERROR(VLOOKUP(Table1722[[#This Row],[Bukti]],'Un nOTA'!$A$4:$K$5003,10,FALSE),"")</f>
        <v/>
      </c>
      <c r="I397" s="112" t="str">
        <f>IFERROR(VLOOKUP(Table1722[[#This Row],[Bukti]],Table13[#Data],11,FALSE),"")</f>
        <v/>
      </c>
    </row>
    <row r="398" spans="1:9" ht="19.5" hidden="1" customHeight="1" x14ac:dyDescent="0.2">
      <c r="A398" s="105" t="str">
        <f>IF(D398=1,COUNTIF($D$10:D398,1)," ")</f>
        <v xml:space="preserve"> </v>
      </c>
      <c r="B398" s="106" t="str">
        <f>COPY!AR390</f>
        <v/>
      </c>
      <c r="C398" s="107">
        <f>COPY!AC390</f>
        <v>0</v>
      </c>
      <c r="D398" s="107" t="str">
        <f>IF(LEN(Table1722[[#This Row],[Uraian]])&gt;2,1," ")</f>
        <v xml:space="preserve"> </v>
      </c>
      <c r="E398" s="113" t="str">
        <f>IF(Table1722[[#This Row],[Lawan Transaksi]]="CV AGUNG KARYA",COUNTIF($I$10:I398,"CV AGUNG KARYA")," ")</f>
        <v xml:space="preserve"> </v>
      </c>
      <c r="F398" s="107" t="str">
        <f>IF(LEN(Table1722[[#This Row],[Uraian]])&gt;2,TRIM(RIGHT(SUBSTITUTE(TRIM(C398)," ",REPT(" ",255)),255))," ")</f>
        <v xml:space="preserve"> </v>
      </c>
      <c r="G398" s="110">
        <f>COPY!Z390</f>
        <v>0</v>
      </c>
      <c r="H398" s="111" t="str">
        <f>IFERROR(VLOOKUP(Table1722[[#This Row],[Bukti]],'Un nOTA'!$A$4:$K$5003,10,FALSE),"")</f>
        <v/>
      </c>
      <c r="I398" s="112" t="str">
        <f>IFERROR(VLOOKUP(Table1722[[#This Row],[Bukti]],Table13[#Data],11,FALSE),"")</f>
        <v/>
      </c>
    </row>
    <row r="399" spans="1:9" ht="19.5" hidden="1" customHeight="1" x14ac:dyDescent="0.2">
      <c r="A399" s="105" t="str">
        <f>IF(D399=1,COUNTIF($D$10:D399,1)," ")</f>
        <v xml:space="preserve"> </v>
      </c>
      <c r="B399" s="106" t="str">
        <f>COPY!AR391</f>
        <v/>
      </c>
      <c r="C399" s="107">
        <f>COPY!AC391</f>
        <v>0</v>
      </c>
      <c r="D399" s="107" t="str">
        <f>IF(LEN(Table1722[[#This Row],[Uraian]])&gt;2,1," ")</f>
        <v xml:space="preserve"> </v>
      </c>
      <c r="E399" s="113" t="str">
        <f>IF(Table1722[[#This Row],[Lawan Transaksi]]="CV AGUNG KARYA",COUNTIF($I$10:I399,"CV AGUNG KARYA")," ")</f>
        <v xml:space="preserve"> </v>
      </c>
      <c r="F399" s="107" t="str">
        <f>IF(LEN(Table1722[[#This Row],[Uraian]])&gt;2,TRIM(RIGHT(SUBSTITUTE(TRIM(C399)," ",REPT(" ",255)),255))," ")</f>
        <v xml:space="preserve"> </v>
      </c>
      <c r="G399" s="110">
        <f>COPY!Z391</f>
        <v>0</v>
      </c>
      <c r="H399" s="111" t="str">
        <f>IFERROR(VLOOKUP(Table1722[[#This Row],[Bukti]],'Un nOTA'!$A$4:$K$5003,10,FALSE),"")</f>
        <v/>
      </c>
      <c r="I399" s="112" t="str">
        <f>IFERROR(VLOOKUP(Table1722[[#This Row],[Bukti]],Table13[#Data],11,FALSE),"")</f>
        <v/>
      </c>
    </row>
    <row r="400" spans="1:9" ht="19.5" hidden="1" customHeight="1" x14ac:dyDescent="0.2">
      <c r="A400" s="105" t="str">
        <f>IF(D400=1,COUNTIF($D$10:D400,1)," ")</f>
        <v xml:space="preserve"> </v>
      </c>
      <c r="B400" s="106" t="str">
        <f>COPY!AR392</f>
        <v/>
      </c>
      <c r="C400" s="107">
        <f>COPY!AC392</f>
        <v>0</v>
      </c>
      <c r="D400" s="107" t="str">
        <f>IF(LEN(Table1722[[#This Row],[Uraian]])&gt;2,1," ")</f>
        <v xml:space="preserve"> </v>
      </c>
      <c r="E400" s="113" t="str">
        <f>IF(Table1722[[#This Row],[Lawan Transaksi]]="CV AGUNG KARYA",COUNTIF($I$10:I400,"CV AGUNG KARYA")," ")</f>
        <v xml:space="preserve"> </v>
      </c>
      <c r="F400" s="107" t="str">
        <f>IF(LEN(Table1722[[#This Row],[Uraian]])&gt;2,TRIM(RIGHT(SUBSTITUTE(TRIM(C400)," ",REPT(" ",255)),255))," ")</f>
        <v xml:space="preserve"> </v>
      </c>
      <c r="G400" s="110">
        <f>COPY!Z392</f>
        <v>0</v>
      </c>
      <c r="H400" s="111" t="str">
        <f>IFERROR(VLOOKUP(Table1722[[#This Row],[Bukti]],'Un nOTA'!$A$4:$K$5003,10,FALSE),"")</f>
        <v/>
      </c>
      <c r="I400" s="112" t="str">
        <f>IFERROR(VLOOKUP(Table1722[[#This Row],[Bukti]],Table13[#Data],11,FALSE),"")</f>
        <v/>
      </c>
    </row>
    <row r="401" spans="1:9" ht="19.5" hidden="1" customHeight="1" x14ac:dyDescent="0.2">
      <c r="A401" s="105" t="str">
        <f>IF(D401=1,COUNTIF($D$10:D401,1)," ")</f>
        <v xml:space="preserve"> </v>
      </c>
      <c r="B401" s="106" t="str">
        <f>COPY!AR393</f>
        <v/>
      </c>
      <c r="C401" s="107">
        <f>COPY!AC393</f>
        <v>0</v>
      </c>
      <c r="D401" s="107" t="str">
        <f>IF(LEN(Table1722[[#This Row],[Uraian]])&gt;2,1," ")</f>
        <v xml:space="preserve"> </v>
      </c>
      <c r="E401" s="113" t="str">
        <f>IF(Table1722[[#This Row],[Lawan Transaksi]]="CV AGUNG KARYA",COUNTIF($I$10:I401,"CV AGUNG KARYA")," ")</f>
        <v xml:space="preserve"> </v>
      </c>
      <c r="F401" s="107" t="str">
        <f>IF(LEN(Table1722[[#This Row],[Uraian]])&gt;2,TRIM(RIGHT(SUBSTITUTE(TRIM(C401)," ",REPT(" ",255)),255))," ")</f>
        <v xml:space="preserve"> </v>
      </c>
      <c r="G401" s="110">
        <f>COPY!Z393</f>
        <v>0</v>
      </c>
      <c r="H401" s="111" t="str">
        <f>IFERROR(VLOOKUP(Table1722[[#This Row],[Bukti]],'Un nOTA'!$A$4:$K$5003,10,FALSE),"")</f>
        <v/>
      </c>
      <c r="I401" s="112" t="str">
        <f>IFERROR(VLOOKUP(Table1722[[#This Row],[Bukti]],Table13[#Data],11,FALSE),"")</f>
        <v/>
      </c>
    </row>
    <row r="402" spans="1:9" ht="19.5" hidden="1" customHeight="1" x14ac:dyDescent="0.2">
      <c r="A402" s="105" t="str">
        <f>IF(D402=1,COUNTIF($D$10:D402,1)," ")</f>
        <v xml:space="preserve"> </v>
      </c>
      <c r="B402" s="106" t="str">
        <f>COPY!AR394</f>
        <v/>
      </c>
      <c r="C402" s="107">
        <f>COPY!AC394</f>
        <v>0</v>
      </c>
      <c r="D402" s="107" t="str">
        <f>IF(LEN(Table1722[[#This Row],[Uraian]])&gt;2,1," ")</f>
        <v xml:space="preserve"> </v>
      </c>
      <c r="E402" s="113" t="str">
        <f>IF(Table1722[[#This Row],[Lawan Transaksi]]="CV AGUNG KARYA",COUNTIF($I$10:I402,"CV AGUNG KARYA")," ")</f>
        <v xml:space="preserve"> </v>
      </c>
      <c r="F402" s="107" t="str">
        <f>IF(LEN(Table1722[[#This Row],[Uraian]])&gt;2,TRIM(RIGHT(SUBSTITUTE(TRIM(C402)," ",REPT(" ",255)),255))," ")</f>
        <v xml:space="preserve"> </v>
      </c>
      <c r="G402" s="110">
        <f>COPY!Z394</f>
        <v>0</v>
      </c>
      <c r="H402" s="111" t="str">
        <f>IFERROR(VLOOKUP(Table1722[[#This Row],[Bukti]],'Un nOTA'!$A$4:$K$5003,10,FALSE),"")</f>
        <v/>
      </c>
      <c r="I402" s="112" t="str">
        <f>IFERROR(VLOOKUP(Table1722[[#This Row],[Bukti]],Table13[#Data],11,FALSE),"")</f>
        <v/>
      </c>
    </row>
    <row r="403" spans="1:9" ht="19.5" hidden="1" customHeight="1" x14ac:dyDescent="0.2">
      <c r="A403" s="105" t="str">
        <f>IF(D403=1,COUNTIF($D$10:D403,1)," ")</f>
        <v xml:space="preserve"> </v>
      </c>
      <c r="B403" s="106" t="str">
        <f>COPY!AR395</f>
        <v/>
      </c>
      <c r="C403" s="107">
        <f>COPY!AC395</f>
        <v>0</v>
      </c>
      <c r="D403" s="107" t="str">
        <f>IF(LEN(Table1722[[#This Row],[Uraian]])&gt;2,1," ")</f>
        <v xml:space="preserve"> </v>
      </c>
      <c r="E403" s="113" t="str">
        <f>IF(Table1722[[#This Row],[Lawan Transaksi]]="CV AGUNG KARYA",COUNTIF($I$10:I403,"CV AGUNG KARYA")," ")</f>
        <v xml:space="preserve"> </v>
      </c>
      <c r="F403" s="107" t="str">
        <f>IF(LEN(Table1722[[#This Row],[Uraian]])&gt;2,TRIM(RIGHT(SUBSTITUTE(TRIM(C403)," ",REPT(" ",255)),255))," ")</f>
        <v xml:space="preserve"> </v>
      </c>
      <c r="G403" s="110">
        <f>COPY!Z395</f>
        <v>0</v>
      </c>
      <c r="H403" s="111" t="str">
        <f>IFERROR(VLOOKUP(Table1722[[#This Row],[Bukti]],'Un nOTA'!$A$4:$K$5003,10,FALSE),"")</f>
        <v/>
      </c>
      <c r="I403" s="112" t="str">
        <f>IFERROR(VLOOKUP(Table1722[[#This Row],[Bukti]],Table13[#Data],11,FALSE),"")</f>
        <v/>
      </c>
    </row>
    <row r="404" spans="1:9" ht="19.5" hidden="1" customHeight="1" x14ac:dyDescent="0.2">
      <c r="A404" s="105" t="str">
        <f>IF(D404=1,COUNTIF($D$10:D404,1)," ")</f>
        <v xml:space="preserve"> </v>
      </c>
      <c r="B404" s="106" t="str">
        <f>COPY!AR396</f>
        <v/>
      </c>
      <c r="C404" s="107">
        <f>COPY!AC396</f>
        <v>0</v>
      </c>
      <c r="D404" s="107" t="str">
        <f>IF(LEN(Table1722[[#This Row],[Uraian]])&gt;2,1," ")</f>
        <v xml:space="preserve"> </v>
      </c>
      <c r="E404" s="113" t="str">
        <f>IF(Table1722[[#This Row],[Lawan Transaksi]]="CV AGUNG KARYA",COUNTIF($I$10:I404,"CV AGUNG KARYA")," ")</f>
        <v xml:space="preserve"> </v>
      </c>
      <c r="F404" s="107" t="str">
        <f>IF(LEN(Table1722[[#This Row],[Uraian]])&gt;2,TRIM(RIGHT(SUBSTITUTE(TRIM(C404)," ",REPT(" ",255)),255))," ")</f>
        <v xml:space="preserve"> </v>
      </c>
      <c r="G404" s="110">
        <f>COPY!Z396</f>
        <v>0</v>
      </c>
      <c r="H404" s="111" t="str">
        <f>IFERROR(VLOOKUP(Table1722[[#This Row],[Bukti]],'Un nOTA'!$A$4:$K$5003,10,FALSE),"")</f>
        <v/>
      </c>
      <c r="I404" s="112" t="str">
        <f>IFERROR(VLOOKUP(Table1722[[#This Row],[Bukti]],Table13[#Data],11,FALSE),"")</f>
        <v/>
      </c>
    </row>
    <row r="405" spans="1:9" ht="19.5" hidden="1" customHeight="1" x14ac:dyDescent="0.2">
      <c r="A405" s="105" t="str">
        <f>IF(D405=1,COUNTIF($D$10:D405,1)," ")</f>
        <v xml:space="preserve"> </v>
      </c>
      <c r="B405" s="106" t="str">
        <f>COPY!AR397</f>
        <v/>
      </c>
      <c r="C405" s="107">
        <f>COPY!AC397</f>
        <v>0</v>
      </c>
      <c r="D405" s="107" t="str">
        <f>IF(LEN(Table1722[[#This Row],[Uraian]])&gt;2,1," ")</f>
        <v xml:space="preserve"> </v>
      </c>
      <c r="E405" s="113" t="str">
        <f>IF(Table1722[[#This Row],[Lawan Transaksi]]="CV AGUNG KARYA",COUNTIF($I$10:I405,"CV AGUNG KARYA")," ")</f>
        <v xml:space="preserve"> </v>
      </c>
      <c r="F405" s="107" t="str">
        <f>IF(LEN(Table1722[[#This Row],[Uraian]])&gt;2,TRIM(RIGHT(SUBSTITUTE(TRIM(C405)," ",REPT(" ",255)),255))," ")</f>
        <v xml:space="preserve"> </v>
      </c>
      <c r="G405" s="110">
        <f>COPY!Z397</f>
        <v>0</v>
      </c>
      <c r="H405" s="111" t="str">
        <f>IFERROR(VLOOKUP(Table1722[[#This Row],[Bukti]],'Un nOTA'!$A$4:$K$5003,10,FALSE),"")</f>
        <v/>
      </c>
      <c r="I405" s="112" t="str">
        <f>IFERROR(VLOOKUP(Table1722[[#This Row],[Bukti]],Table13[#Data],11,FALSE),"")</f>
        <v/>
      </c>
    </row>
    <row r="406" spans="1:9" ht="19.5" hidden="1" customHeight="1" x14ac:dyDescent="0.2">
      <c r="A406" s="105" t="str">
        <f>IF(D406=1,COUNTIF($D$10:D406,1)," ")</f>
        <v xml:space="preserve"> </v>
      </c>
      <c r="B406" s="106" t="str">
        <f>COPY!AR398</f>
        <v/>
      </c>
      <c r="C406" s="107">
        <f>COPY!AC398</f>
        <v>0</v>
      </c>
      <c r="D406" s="107" t="str">
        <f>IF(LEN(Table1722[[#This Row],[Uraian]])&gt;2,1," ")</f>
        <v xml:space="preserve"> </v>
      </c>
      <c r="E406" s="113" t="str">
        <f>IF(Table1722[[#This Row],[Lawan Transaksi]]="CV AGUNG KARYA",COUNTIF($I$10:I406,"CV AGUNG KARYA")," ")</f>
        <v xml:space="preserve"> </v>
      </c>
      <c r="F406" s="107" t="str">
        <f>IF(LEN(Table1722[[#This Row],[Uraian]])&gt;2,TRIM(RIGHT(SUBSTITUTE(TRIM(C406)," ",REPT(" ",255)),255))," ")</f>
        <v xml:space="preserve"> </v>
      </c>
      <c r="G406" s="110">
        <f>COPY!Z398</f>
        <v>0</v>
      </c>
      <c r="H406" s="111" t="str">
        <f>IFERROR(VLOOKUP(Table1722[[#This Row],[Bukti]],'Un nOTA'!$A$4:$K$5003,10,FALSE),"")</f>
        <v/>
      </c>
      <c r="I406" s="112" t="str">
        <f>IFERROR(VLOOKUP(Table1722[[#This Row],[Bukti]],Table13[#Data],11,FALSE),"")</f>
        <v/>
      </c>
    </row>
    <row r="407" spans="1:9" ht="19.5" hidden="1" customHeight="1" x14ac:dyDescent="0.2">
      <c r="A407" s="105" t="str">
        <f>IF(D407=1,COUNTIF($D$10:D407,1)," ")</f>
        <v xml:space="preserve"> </v>
      </c>
      <c r="B407" s="106" t="str">
        <f>COPY!AR399</f>
        <v/>
      </c>
      <c r="C407" s="107">
        <f>COPY!AC399</f>
        <v>0</v>
      </c>
      <c r="D407" s="107" t="str">
        <f>IF(LEN(Table1722[[#This Row],[Uraian]])&gt;2,1," ")</f>
        <v xml:space="preserve"> </v>
      </c>
      <c r="E407" s="113" t="str">
        <f>IF(Table1722[[#This Row],[Lawan Transaksi]]="CV AGUNG KARYA",COUNTIF($I$10:I407,"CV AGUNG KARYA")," ")</f>
        <v xml:space="preserve"> </v>
      </c>
      <c r="F407" s="107" t="str">
        <f>IF(LEN(Table1722[[#This Row],[Uraian]])&gt;2,TRIM(RIGHT(SUBSTITUTE(TRIM(C407)," ",REPT(" ",255)),255))," ")</f>
        <v xml:space="preserve"> </v>
      </c>
      <c r="G407" s="110">
        <f>COPY!Z399</f>
        <v>0</v>
      </c>
      <c r="H407" s="111" t="str">
        <f>IFERROR(VLOOKUP(Table1722[[#This Row],[Bukti]],'Un nOTA'!$A$4:$K$5003,10,FALSE),"")</f>
        <v/>
      </c>
      <c r="I407" s="112" t="str">
        <f>IFERROR(VLOOKUP(Table1722[[#This Row],[Bukti]],Table13[#Data],11,FALSE),"")</f>
        <v/>
      </c>
    </row>
    <row r="408" spans="1:9" ht="19.5" hidden="1" customHeight="1" x14ac:dyDescent="0.2">
      <c r="A408" s="105" t="str">
        <f>IF(D408=1,COUNTIF($D$10:D408,1)," ")</f>
        <v xml:space="preserve"> </v>
      </c>
      <c r="B408" s="106" t="str">
        <f>COPY!AR400</f>
        <v/>
      </c>
      <c r="C408" s="107">
        <f>COPY!AC400</f>
        <v>0</v>
      </c>
      <c r="D408" s="107" t="str">
        <f>IF(LEN(Table1722[[#This Row],[Uraian]])&gt;2,1," ")</f>
        <v xml:space="preserve"> </v>
      </c>
      <c r="E408" s="113" t="str">
        <f>IF(Table1722[[#This Row],[Lawan Transaksi]]="CV AGUNG KARYA",COUNTIF($I$10:I408,"CV AGUNG KARYA")," ")</f>
        <v xml:space="preserve"> </v>
      </c>
      <c r="F408" s="107" t="str">
        <f>IF(LEN(Table1722[[#This Row],[Uraian]])&gt;2,TRIM(RIGHT(SUBSTITUTE(TRIM(C408)," ",REPT(" ",255)),255))," ")</f>
        <v xml:space="preserve"> </v>
      </c>
      <c r="G408" s="110">
        <f>COPY!Z400</f>
        <v>0</v>
      </c>
      <c r="H408" s="111" t="str">
        <f>IFERROR(VLOOKUP(Table1722[[#This Row],[Bukti]],'Un nOTA'!$A$4:$K$5003,10,FALSE),"")</f>
        <v/>
      </c>
      <c r="I408" s="112" t="str">
        <f>IFERROR(VLOOKUP(Table1722[[#This Row],[Bukti]],Table13[#Data],11,FALSE),"")</f>
        <v/>
      </c>
    </row>
    <row r="409" spans="1:9" ht="19.5" hidden="1" customHeight="1" x14ac:dyDescent="0.2">
      <c r="A409" s="105" t="str">
        <f>IF(D409=1,COUNTIF($D$10:D409,1)," ")</f>
        <v xml:space="preserve"> </v>
      </c>
      <c r="B409" s="106" t="str">
        <f>COPY!AR401</f>
        <v/>
      </c>
      <c r="C409" s="107">
        <f>COPY!AC401</f>
        <v>0</v>
      </c>
      <c r="D409" s="107" t="str">
        <f>IF(LEN(Table1722[[#This Row],[Uraian]])&gt;2,1," ")</f>
        <v xml:space="preserve"> </v>
      </c>
      <c r="E409" s="113" t="str">
        <f>IF(Table1722[[#This Row],[Lawan Transaksi]]="CV AGUNG KARYA",COUNTIF($I$10:I409,"CV AGUNG KARYA")," ")</f>
        <v xml:space="preserve"> </v>
      </c>
      <c r="F409" s="107" t="str">
        <f>IF(LEN(Table1722[[#This Row],[Uraian]])&gt;2,TRIM(RIGHT(SUBSTITUTE(TRIM(C409)," ",REPT(" ",255)),255))," ")</f>
        <v xml:space="preserve"> </v>
      </c>
      <c r="G409" s="110">
        <f>COPY!Z401</f>
        <v>0</v>
      </c>
      <c r="H409" s="111" t="str">
        <f>IFERROR(VLOOKUP(Table1722[[#This Row],[Bukti]],'Un nOTA'!$A$4:$K$5003,10,FALSE),"")</f>
        <v/>
      </c>
      <c r="I409" s="112" t="str">
        <f>IFERROR(VLOOKUP(Table1722[[#This Row],[Bukti]],Table13[#Data],11,FALSE),"")</f>
        <v/>
      </c>
    </row>
    <row r="410" spans="1:9" ht="19.5" hidden="1" customHeight="1" x14ac:dyDescent="0.2">
      <c r="A410" s="105" t="str">
        <f>IF(D410=1,COUNTIF($D$10:D410,1)," ")</f>
        <v xml:space="preserve"> </v>
      </c>
      <c r="B410" s="106" t="str">
        <f>COPY!AR402</f>
        <v/>
      </c>
      <c r="C410" s="107">
        <f>COPY!AC402</f>
        <v>0</v>
      </c>
      <c r="D410" s="107" t="str">
        <f>IF(LEN(Table1722[[#This Row],[Uraian]])&gt;2,1," ")</f>
        <v xml:space="preserve"> </v>
      </c>
      <c r="E410" s="113" t="str">
        <f>IF(Table1722[[#This Row],[Lawan Transaksi]]="CV AGUNG KARYA",COUNTIF($I$10:I410,"CV AGUNG KARYA")," ")</f>
        <v xml:space="preserve"> </v>
      </c>
      <c r="F410" s="107" t="str">
        <f>IF(LEN(Table1722[[#This Row],[Uraian]])&gt;2,TRIM(RIGHT(SUBSTITUTE(TRIM(C410)," ",REPT(" ",255)),255))," ")</f>
        <v xml:space="preserve"> </v>
      </c>
      <c r="G410" s="110">
        <f>COPY!Z402</f>
        <v>0</v>
      </c>
      <c r="H410" s="111" t="str">
        <f>IFERROR(VLOOKUP(Table1722[[#This Row],[Bukti]],'Un nOTA'!$A$4:$K$5003,10,FALSE),"")</f>
        <v/>
      </c>
      <c r="I410" s="112" t="str">
        <f>IFERROR(VLOOKUP(Table1722[[#This Row],[Bukti]],Table13[#Data],11,FALSE),"")</f>
        <v/>
      </c>
    </row>
    <row r="411" spans="1:9" ht="19.5" hidden="1" customHeight="1" x14ac:dyDescent="0.2">
      <c r="A411" s="105" t="str">
        <f>IF(D411=1,COUNTIF($D$10:D411,1)," ")</f>
        <v xml:space="preserve"> </v>
      </c>
      <c r="B411" s="106" t="str">
        <f>COPY!AR403</f>
        <v/>
      </c>
      <c r="C411" s="107">
        <f>COPY!AC403</f>
        <v>0</v>
      </c>
      <c r="D411" s="107" t="str">
        <f>IF(LEN(Table1722[[#This Row],[Uraian]])&gt;2,1," ")</f>
        <v xml:space="preserve"> </v>
      </c>
      <c r="E411" s="113" t="str">
        <f>IF(Table1722[[#This Row],[Lawan Transaksi]]="CV AGUNG KARYA",COUNTIF($I$10:I411,"CV AGUNG KARYA")," ")</f>
        <v xml:space="preserve"> </v>
      </c>
      <c r="F411" s="107" t="str">
        <f>IF(LEN(Table1722[[#This Row],[Uraian]])&gt;2,TRIM(RIGHT(SUBSTITUTE(TRIM(C411)," ",REPT(" ",255)),255))," ")</f>
        <v xml:space="preserve"> </v>
      </c>
      <c r="G411" s="110">
        <f>COPY!Z403</f>
        <v>0</v>
      </c>
      <c r="H411" s="111" t="str">
        <f>IFERROR(VLOOKUP(Table1722[[#This Row],[Bukti]],'Un nOTA'!$A$4:$K$5003,10,FALSE),"")</f>
        <v/>
      </c>
      <c r="I411" s="112" t="str">
        <f>IFERROR(VLOOKUP(Table1722[[#This Row],[Bukti]],Table13[#Data],11,FALSE),"")</f>
        <v/>
      </c>
    </row>
    <row r="412" spans="1:9" ht="19.5" hidden="1" customHeight="1" x14ac:dyDescent="0.2">
      <c r="A412" s="105" t="str">
        <f>IF(D412=1,COUNTIF($D$10:D412,1)," ")</f>
        <v xml:space="preserve"> </v>
      </c>
      <c r="B412" s="106" t="str">
        <f>COPY!AR404</f>
        <v/>
      </c>
      <c r="C412" s="107">
        <f>COPY!AC404</f>
        <v>0</v>
      </c>
      <c r="D412" s="107" t="str">
        <f>IF(LEN(Table1722[[#This Row],[Uraian]])&gt;2,1," ")</f>
        <v xml:space="preserve"> </v>
      </c>
      <c r="E412" s="113" t="str">
        <f>IF(Table1722[[#This Row],[Lawan Transaksi]]="CV AGUNG KARYA",COUNTIF($I$10:I412,"CV AGUNG KARYA")," ")</f>
        <v xml:space="preserve"> </v>
      </c>
      <c r="F412" s="107" t="str">
        <f>IF(LEN(Table1722[[#This Row],[Uraian]])&gt;2,TRIM(RIGHT(SUBSTITUTE(TRIM(C412)," ",REPT(" ",255)),255))," ")</f>
        <v xml:space="preserve"> </v>
      </c>
      <c r="G412" s="110">
        <f>COPY!Z404</f>
        <v>0</v>
      </c>
      <c r="H412" s="111" t="str">
        <f>IFERROR(VLOOKUP(Table1722[[#This Row],[Bukti]],'Un nOTA'!$A$4:$K$5003,10,FALSE),"")</f>
        <v/>
      </c>
      <c r="I412" s="112" t="str">
        <f>IFERROR(VLOOKUP(Table1722[[#This Row],[Bukti]],Table13[#Data],11,FALSE),"")</f>
        <v/>
      </c>
    </row>
    <row r="413" spans="1:9" ht="19.5" hidden="1" customHeight="1" x14ac:dyDescent="0.2">
      <c r="A413" s="105" t="str">
        <f>IF(D413=1,COUNTIF($D$10:D413,1)," ")</f>
        <v xml:space="preserve"> </v>
      </c>
      <c r="B413" s="106" t="str">
        <f>COPY!AR405</f>
        <v/>
      </c>
      <c r="C413" s="107">
        <f>COPY!AC405</f>
        <v>0</v>
      </c>
      <c r="D413" s="107" t="str">
        <f>IF(LEN(Table1722[[#This Row],[Uraian]])&gt;2,1," ")</f>
        <v xml:space="preserve"> </v>
      </c>
      <c r="E413" s="113" t="str">
        <f>IF(Table1722[[#This Row],[Lawan Transaksi]]="CV AGUNG KARYA",COUNTIF($I$10:I413,"CV AGUNG KARYA")," ")</f>
        <v xml:space="preserve"> </v>
      </c>
      <c r="F413" s="107" t="str">
        <f>IF(LEN(Table1722[[#This Row],[Uraian]])&gt;2,TRIM(RIGHT(SUBSTITUTE(TRIM(C413)," ",REPT(" ",255)),255))," ")</f>
        <v xml:space="preserve"> </v>
      </c>
      <c r="G413" s="110">
        <f>COPY!Z405</f>
        <v>0</v>
      </c>
      <c r="H413" s="111" t="str">
        <f>IFERROR(VLOOKUP(Table1722[[#This Row],[Bukti]],'Un nOTA'!$A$4:$K$5003,10,FALSE),"")</f>
        <v/>
      </c>
      <c r="I413" s="112" t="str">
        <f>IFERROR(VLOOKUP(Table1722[[#This Row],[Bukti]],Table13[#Data],11,FALSE),"")</f>
        <v/>
      </c>
    </row>
    <row r="414" spans="1:9" ht="19.5" hidden="1" customHeight="1" x14ac:dyDescent="0.2">
      <c r="A414" s="105" t="str">
        <f>IF(D414=1,COUNTIF($D$10:D414,1)," ")</f>
        <v xml:space="preserve"> </v>
      </c>
      <c r="B414" s="106" t="str">
        <f>COPY!AR406</f>
        <v/>
      </c>
      <c r="C414" s="107">
        <f>COPY!AC406</f>
        <v>0</v>
      </c>
      <c r="D414" s="107" t="str">
        <f>IF(LEN(Table1722[[#This Row],[Uraian]])&gt;2,1," ")</f>
        <v xml:space="preserve"> </v>
      </c>
      <c r="E414" s="113" t="str">
        <f>IF(Table1722[[#This Row],[Lawan Transaksi]]="CV AGUNG KARYA",COUNTIF($I$10:I414,"CV AGUNG KARYA")," ")</f>
        <v xml:space="preserve"> </v>
      </c>
      <c r="F414" s="107" t="str">
        <f>IF(LEN(Table1722[[#This Row],[Uraian]])&gt;2,TRIM(RIGHT(SUBSTITUTE(TRIM(C414)," ",REPT(" ",255)),255))," ")</f>
        <v xml:space="preserve"> </v>
      </c>
      <c r="G414" s="110">
        <f>COPY!Z406</f>
        <v>0</v>
      </c>
      <c r="H414" s="111" t="str">
        <f>IFERROR(VLOOKUP(Table1722[[#This Row],[Bukti]],'Un nOTA'!$A$4:$K$5003,10,FALSE),"")</f>
        <v/>
      </c>
      <c r="I414" s="112" t="str">
        <f>IFERROR(VLOOKUP(Table1722[[#This Row],[Bukti]],Table13[#Data],11,FALSE),"")</f>
        <v/>
      </c>
    </row>
    <row r="415" spans="1:9" ht="19.5" hidden="1" customHeight="1" x14ac:dyDescent="0.2">
      <c r="A415" s="105" t="str">
        <f>IF(D415=1,COUNTIF($D$10:D415,1)," ")</f>
        <v xml:space="preserve"> </v>
      </c>
      <c r="B415" s="106" t="str">
        <f>COPY!AR407</f>
        <v/>
      </c>
      <c r="C415" s="107">
        <f>COPY!AC407</f>
        <v>0</v>
      </c>
      <c r="D415" s="107" t="str">
        <f>IF(LEN(Table1722[[#This Row],[Uraian]])&gt;2,1," ")</f>
        <v xml:space="preserve"> </v>
      </c>
      <c r="E415" s="113" t="str">
        <f>IF(Table1722[[#This Row],[Lawan Transaksi]]="CV AGUNG KARYA",COUNTIF($I$10:I415,"CV AGUNG KARYA")," ")</f>
        <v xml:space="preserve"> </v>
      </c>
      <c r="F415" s="107" t="str">
        <f>IF(LEN(Table1722[[#This Row],[Uraian]])&gt;2,TRIM(RIGHT(SUBSTITUTE(TRIM(C415)," ",REPT(" ",255)),255))," ")</f>
        <v xml:space="preserve"> </v>
      </c>
      <c r="G415" s="110">
        <f>COPY!Z407</f>
        <v>0</v>
      </c>
      <c r="H415" s="111" t="str">
        <f>IFERROR(VLOOKUP(Table1722[[#This Row],[Bukti]],'Un nOTA'!$A$4:$K$5003,10,FALSE),"")</f>
        <v/>
      </c>
      <c r="I415" s="112" t="str">
        <f>IFERROR(VLOOKUP(Table1722[[#This Row],[Bukti]],Table13[#Data],11,FALSE),"")</f>
        <v/>
      </c>
    </row>
    <row r="416" spans="1:9" ht="19.5" hidden="1" customHeight="1" x14ac:dyDescent="0.2">
      <c r="A416" s="105" t="str">
        <f>IF(D416=1,COUNTIF($D$10:D416,1)," ")</f>
        <v xml:space="preserve"> </v>
      </c>
      <c r="B416" s="106" t="str">
        <f>COPY!AR408</f>
        <v/>
      </c>
      <c r="C416" s="107">
        <f>COPY!AC408</f>
        <v>0</v>
      </c>
      <c r="D416" s="107" t="str">
        <f>IF(LEN(Table1722[[#This Row],[Uraian]])&gt;2,1," ")</f>
        <v xml:space="preserve"> </v>
      </c>
      <c r="E416" s="113" t="str">
        <f>IF(Table1722[[#This Row],[Lawan Transaksi]]="CV AGUNG KARYA",COUNTIF($I$10:I416,"CV AGUNG KARYA")," ")</f>
        <v xml:space="preserve"> </v>
      </c>
      <c r="F416" s="107" t="str">
        <f>IF(LEN(Table1722[[#This Row],[Uraian]])&gt;2,TRIM(RIGHT(SUBSTITUTE(TRIM(C416)," ",REPT(" ",255)),255))," ")</f>
        <v xml:space="preserve"> </v>
      </c>
      <c r="G416" s="110">
        <f>COPY!Z408</f>
        <v>0</v>
      </c>
      <c r="H416" s="111" t="str">
        <f>IFERROR(VLOOKUP(Table1722[[#This Row],[Bukti]],'Un nOTA'!$A$4:$K$5003,10,FALSE),"")</f>
        <v/>
      </c>
      <c r="I416" s="112" t="str">
        <f>IFERROR(VLOOKUP(Table1722[[#This Row],[Bukti]],Table13[#Data],11,FALSE),"")</f>
        <v/>
      </c>
    </row>
    <row r="417" spans="1:9" ht="19.5" hidden="1" customHeight="1" x14ac:dyDescent="0.2">
      <c r="A417" s="105" t="str">
        <f>IF(D417=1,COUNTIF($D$10:D417,1)," ")</f>
        <v xml:space="preserve"> </v>
      </c>
      <c r="B417" s="106" t="str">
        <f>COPY!AR409</f>
        <v/>
      </c>
      <c r="C417" s="107">
        <f>COPY!AC409</f>
        <v>0</v>
      </c>
      <c r="D417" s="107" t="str">
        <f>IF(LEN(Table1722[[#This Row],[Uraian]])&gt;2,1," ")</f>
        <v xml:space="preserve"> </v>
      </c>
      <c r="E417" s="113" t="str">
        <f>IF(Table1722[[#This Row],[Lawan Transaksi]]="CV AGUNG KARYA",COUNTIF($I$10:I417,"CV AGUNG KARYA")," ")</f>
        <v xml:space="preserve"> </v>
      </c>
      <c r="F417" s="107" t="str">
        <f>IF(LEN(Table1722[[#This Row],[Uraian]])&gt;2,TRIM(RIGHT(SUBSTITUTE(TRIM(C417)," ",REPT(" ",255)),255))," ")</f>
        <v xml:space="preserve"> </v>
      </c>
      <c r="G417" s="110">
        <f>COPY!Z409</f>
        <v>0</v>
      </c>
      <c r="H417" s="111" t="str">
        <f>IFERROR(VLOOKUP(Table1722[[#This Row],[Bukti]],'Un nOTA'!$A$4:$K$5003,10,FALSE),"")</f>
        <v/>
      </c>
      <c r="I417" s="112" t="str">
        <f>IFERROR(VLOOKUP(Table1722[[#This Row],[Bukti]],Table13[#Data],11,FALSE),"")</f>
        <v/>
      </c>
    </row>
    <row r="418" spans="1:9" ht="19.5" hidden="1" customHeight="1" x14ac:dyDescent="0.2">
      <c r="A418" s="105" t="str">
        <f>IF(D418=1,COUNTIF($D$10:D418,1)," ")</f>
        <v xml:space="preserve"> </v>
      </c>
      <c r="B418" s="106" t="str">
        <f>COPY!AR410</f>
        <v/>
      </c>
      <c r="C418" s="107">
        <f>COPY!AC410</f>
        <v>0</v>
      </c>
      <c r="D418" s="107" t="str">
        <f>IF(LEN(Table1722[[#This Row],[Uraian]])&gt;2,1," ")</f>
        <v xml:space="preserve"> </v>
      </c>
      <c r="E418" s="113" t="str">
        <f>IF(Table1722[[#This Row],[Lawan Transaksi]]="CV AGUNG KARYA",COUNTIF($I$10:I418,"CV AGUNG KARYA")," ")</f>
        <v xml:space="preserve"> </v>
      </c>
      <c r="F418" s="107" t="str">
        <f>IF(LEN(Table1722[[#This Row],[Uraian]])&gt;2,TRIM(RIGHT(SUBSTITUTE(TRIM(C418)," ",REPT(" ",255)),255))," ")</f>
        <v xml:space="preserve"> </v>
      </c>
      <c r="G418" s="110">
        <f>COPY!Z410</f>
        <v>0</v>
      </c>
      <c r="H418" s="111" t="str">
        <f>IFERROR(VLOOKUP(Table1722[[#This Row],[Bukti]],'Un nOTA'!$A$4:$K$5003,10,FALSE),"")</f>
        <v/>
      </c>
      <c r="I418" s="112" t="str">
        <f>IFERROR(VLOOKUP(Table1722[[#This Row],[Bukti]],Table13[#Data],11,FALSE),"")</f>
        <v/>
      </c>
    </row>
    <row r="419" spans="1:9" ht="19.5" hidden="1" customHeight="1" x14ac:dyDescent="0.2">
      <c r="A419" s="105" t="str">
        <f>IF(D419=1,COUNTIF($D$10:D419,1)," ")</f>
        <v xml:space="preserve"> </v>
      </c>
      <c r="B419" s="106" t="str">
        <f>COPY!AR411</f>
        <v/>
      </c>
      <c r="C419" s="107">
        <f>COPY!AC411</f>
        <v>0</v>
      </c>
      <c r="D419" s="107" t="str">
        <f>IF(LEN(Table1722[[#This Row],[Uraian]])&gt;2,1," ")</f>
        <v xml:space="preserve"> </v>
      </c>
      <c r="E419" s="113" t="str">
        <f>IF(Table1722[[#This Row],[Lawan Transaksi]]="CV AGUNG KARYA",COUNTIF($I$10:I419,"CV AGUNG KARYA")," ")</f>
        <v xml:space="preserve"> </v>
      </c>
      <c r="F419" s="107" t="str">
        <f>IF(LEN(Table1722[[#This Row],[Uraian]])&gt;2,TRIM(RIGHT(SUBSTITUTE(TRIM(C419)," ",REPT(" ",255)),255))," ")</f>
        <v xml:space="preserve"> </v>
      </c>
      <c r="G419" s="110">
        <f>COPY!Z411</f>
        <v>0</v>
      </c>
      <c r="H419" s="111" t="str">
        <f>IFERROR(VLOOKUP(Table1722[[#This Row],[Bukti]],'Un nOTA'!$A$4:$K$5003,10,FALSE),"")</f>
        <v/>
      </c>
      <c r="I419" s="112" t="str">
        <f>IFERROR(VLOOKUP(Table1722[[#This Row],[Bukti]],Table13[#Data],11,FALSE),"")</f>
        <v/>
      </c>
    </row>
    <row r="420" spans="1:9" ht="19.5" hidden="1" customHeight="1" x14ac:dyDescent="0.2">
      <c r="A420" s="105" t="str">
        <f>IF(D420=1,COUNTIF($D$10:D420,1)," ")</f>
        <v xml:space="preserve"> </v>
      </c>
      <c r="B420" s="106" t="str">
        <f>COPY!AR412</f>
        <v/>
      </c>
      <c r="C420" s="107">
        <f>COPY!AC412</f>
        <v>0</v>
      </c>
      <c r="D420" s="107" t="str">
        <f>IF(LEN(Table1722[[#This Row],[Uraian]])&gt;2,1," ")</f>
        <v xml:space="preserve"> </v>
      </c>
      <c r="E420" s="113" t="str">
        <f>IF(Table1722[[#This Row],[Lawan Transaksi]]="CV AGUNG KARYA",COUNTIF($I$10:I420,"CV AGUNG KARYA")," ")</f>
        <v xml:space="preserve"> </v>
      </c>
      <c r="F420" s="107" t="str">
        <f>IF(LEN(Table1722[[#This Row],[Uraian]])&gt;2,TRIM(RIGHT(SUBSTITUTE(TRIM(C420)," ",REPT(" ",255)),255))," ")</f>
        <v xml:space="preserve"> </v>
      </c>
      <c r="G420" s="110">
        <f>COPY!Z412</f>
        <v>0</v>
      </c>
      <c r="H420" s="111" t="str">
        <f>IFERROR(VLOOKUP(Table1722[[#This Row],[Bukti]],'Un nOTA'!$A$4:$K$5003,10,FALSE),"")</f>
        <v/>
      </c>
      <c r="I420" s="112" t="str">
        <f>IFERROR(VLOOKUP(Table1722[[#This Row],[Bukti]],Table13[#Data],11,FALSE),"")</f>
        <v/>
      </c>
    </row>
    <row r="421" spans="1:9" ht="19.5" hidden="1" customHeight="1" x14ac:dyDescent="0.2">
      <c r="A421" s="105" t="str">
        <f>IF(D421=1,COUNTIF($D$10:D421,1)," ")</f>
        <v xml:space="preserve"> </v>
      </c>
      <c r="B421" s="106" t="str">
        <f>COPY!AR413</f>
        <v/>
      </c>
      <c r="C421" s="107">
        <f>COPY!AC413</f>
        <v>0</v>
      </c>
      <c r="D421" s="107" t="str">
        <f>IF(LEN(Table1722[[#This Row],[Uraian]])&gt;2,1," ")</f>
        <v xml:space="preserve"> </v>
      </c>
      <c r="E421" s="113" t="str">
        <f>IF(Table1722[[#This Row],[Lawan Transaksi]]="CV AGUNG KARYA",COUNTIF($I$10:I421,"CV AGUNG KARYA")," ")</f>
        <v xml:space="preserve"> </v>
      </c>
      <c r="F421" s="107" t="str">
        <f>IF(LEN(Table1722[[#This Row],[Uraian]])&gt;2,TRIM(RIGHT(SUBSTITUTE(TRIM(C421)," ",REPT(" ",255)),255))," ")</f>
        <v xml:space="preserve"> </v>
      </c>
      <c r="G421" s="110">
        <f>COPY!Z413</f>
        <v>0</v>
      </c>
      <c r="H421" s="111" t="str">
        <f>IFERROR(VLOOKUP(Table1722[[#This Row],[Bukti]],'Un nOTA'!$A$4:$K$5003,10,FALSE),"")</f>
        <v/>
      </c>
      <c r="I421" s="112" t="str">
        <f>IFERROR(VLOOKUP(Table1722[[#This Row],[Bukti]],Table13[#Data],11,FALSE),"")</f>
        <v/>
      </c>
    </row>
    <row r="422" spans="1:9" ht="19.5" hidden="1" customHeight="1" x14ac:dyDescent="0.2">
      <c r="A422" s="105" t="str">
        <f>IF(D422=1,COUNTIF($D$10:D422,1)," ")</f>
        <v xml:space="preserve"> </v>
      </c>
      <c r="B422" s="106" t="str">
        <f>COPY!AR414</f>
        <v/>
      </c>
      <c r="C422" s="107">
        <f>COPY!AC414</f>
        <v>0</v>
      </c>
      <c r="D422" s="107" t="str">
        <f>IF(LEN(Table1722[[#This Row],[Uraian]])&gt;2,1," ")</f>
        <v xml:space="preserve"> </v>
      </c>
      <c r="E422" s="113" t="str">
        <f>IF(Table1722[[#This Row],[Lawan Transaksi]]="CV AGUNG KARYA",COUNTIF($I$10:I422,"CV AGUNG KARYA")," ")</f>
        <v xml:space="preserve"> </v>
      </c>
      <c r="F422" s="107" t="str">
        <f>IF(LEN(Table1722[[#This Row],[Uraian]])&gt;2,TRIM(RIGHT(SUBSTITUTE(TRIM(C422)," ",REPT(" ",255)),255))," ")</f>
        <v xml:space="preserve"> </v>
      </c>
      <c r="G422" s="110">
        <f>COPY!Z414</f>
        <v>0</v>
      </c>
      <c r="H422" s="111" t="str">
        <f>IFERROR(VLOOKUP(Table1722[[#This Row],[Bukti]],'Un nOTA'!$A$4:$K$5003,10,FALSE),"")</f>
        <v/>
      </c>
      <c r="I422" s="112" t="str">
        <f>IFERROR(VLOOKUP(Table1722[[#This Row],[Bukti]],Table13[#Data],11,FALSE),"")</f>
        <v/>
      </c>
    </row>
    <row r="423" spans="1:9" ht="19.5" hidden="1" customHeight="1" x14ac:dyDescent="0.2">
      <c r="A423" s="105" t="str">
        <f>IF(D423=1,COUNTIF($D$10:D423,1)," ")</f>
        <v xml:space="preserve"> </v>
      </c>
      <c r="B423" s="106" t="str">
        <f>COPY!AR415</f>
        <v/>
      </c>
      <c r="C423" s="107">
        <f>COPY!AC415</f>
        <v>0</v>
      </c>
      <c r="D423" s="107" t="str">
        <f>IF(LEN(Table1722[[#This Row],[Uraian]])&gt;2,1," ")</f>
        <v xml:space="preserve"> </v>
      </c>
      <c r="E423" s="113" t="str">
        <f>IF(Table1722[[#This Row],[Lawan Transaksi]]="CV AGUNG KARYA",COUNTIF($I$10:I423,"CV AGUNG KARYA")," ")</f>
        <v xml:space="preserve"> </v>
      </c>
      <c r="F423" s="107" t="str">
        <f>IF(LEN(Table1722[[#This Row],[Uraian]])&gt;2,TRIM(RIGHT(SUBSTITUTE(TRIM(C423)," ",REPT(" ",255)),255))," ")</f>
        <v xml:space="preserve"> </v>
      </c>
      <c r="G423" s="110">
        <f>COPY!Z415</f>
        <v>0</v>
      </c>
      <c r="H423" s="111" t="str">
        <f>IFERROR(VLOOKUP(Table1722[[#This Row],[Bukti]],'Un nOTA'!$A$4:$K$5003,10,FALSE),"")</f>
        <v/>
      </c>
      <c r="I423" s="112" t="str">
        <f>IFERROR(VLOOKUP(Table1722[[#This Row],[Bukti]],Table13[#Data],11,FALSE),"")</f>
        <v/>
      </c>
    </row>
    <row r="424" spans="1:9" ht="19.5" hidden="1" customHeight="1" x14ac:dyDescent="0.2">
      <c r="A424" s="105" t="str">
        <f>IF(D424=1,COUNTIF($D$10:D424,1)," ")</f>
        <v xml:space="preserve"> </v>
      </c>
      <c r="B424" s="106" t="str">
        <f>COPY!AR416</f>
        <v/>
      </c>
      <c r="C424" s="107">
        <f>COPY!AC416</f>
        <v>0</v>
      </c>
      <c r="D424" s="107" t="str">
        <f>IF(LEN(Table1722[[#This Row],[Uraian]])&gt;2,1," ")</f>
        <v xml:space="preserve"> </v>
      </c>
      <c r="E424" s="113" t="str">
        <f>IF(Table1722[[#This Row],[Lawan Transaksi]]="CV AGUNG KARYA",COUNTIF($I$10:I424,"CV AGUNG KARYA")," ")</f>
        <v xml:space="preserve"> </v>
      </c>
      <c r="F424" s="107" t="str">
        <f>IF(LEN(Table1722[[#This Row],[Uraian]])&gt;2,TRIM(RIGHT(SUBSTITUTE(TRIM(C424)," ",REPT(" ",255)),255))," ")</f>
        <v xml:space="preserve"> </v>
      </c>
      <c r="G424" s="110">
        <f>COPY!Z416</f>
        <v>0</v>
      </c>
      <c r="H424" s="111" t="str">
        <f>IFERROR(VLOOKUP(Table1722[[#This Row],[Bukti]],'Un nOTA'!$A$4:$K$5003,10,FALSE),"")</f>
        <v/>
      </c>
      <c r="I424" s="112" t="str">
        <f>IFERROR(VLOOKUP(Table1722[[#This Row],[Bukti]],Table13[#Data],11,FALSE),"")</f>
        <v/>
      </c>
    </row>
    <row r="425" spans="1:9" ht="19.5" hidden="1" customHeight="1" x14ac:dyDescent="0.2">
      <c r="A425" s="105" t="str">
        <f>IF(D425=1,COUNTIF($D$10:D425,1)," ")</f>
        <v xml:space="preserve"> </v>
      </c>
      <c r="B425" s="106" t="str">
        <f>COPY!AR417</f>
        <v/>
      </c>
      <c r="C425" s="107">
        <f>COPY!AC417</f>
        <v>0</v>
      </c>
      <c r="D425" s="107" t="str">
        <f>IF(LEN(Table1722[[#This Row],[Uraian]])&gt;2,1," ")</f>
        <v xml:space="preserve"> </v>
      </c>
      <c r="E425" s="113" t="str">
        <f>IF(Table1722[[#This Row],[Lawan Transaksi]]="CV AGUNG KARYA",COUNTIF($I$10:I425,"CV AGUNG KARYA")," ")</f>
        <v xml:space="preserve"> </v>
      </c>
      <c r="F425" s="107" t="str">
        <f>IF(LEN(Table1722[[#This Row],[Uraian]])&gt;2,TRIM(RIGHT(SUBSTITUTE(TRIM(C425)," ",REPT(" ",255)),255))," ")</f>
        <v xml:space="preserve"> </v>
      </c>
      <c r="G425" s="110">
        <f>COPY!Z417</f>
        <v>0</v>
      </c>
      <c r="H425" s="111" t="str">
        <f>IFERROR(VLOOKUP(Table1722[[#This Row],[Bukti]],'Un nOTA'!$A$4:$K$5003,10,FALSE),"")</f>
        <v/>
      </c>
      <c r="I425" s="112" t="str">
        <f>IFERROR(VLOOKUP(Table1722[[#This Row],[Bukti]],Table13[#Data],11,FALSE),"")</f>
        <v/>
      </c>
    </row>
    <row r="426" spans="1:9" ht="19.5" hidden="1" customHeight="1" x14ac:dyDescent="0.2">
      <c r="A426" s="105" t="str">
        <f>IF(D426=1,COUNTIF($D$10:D426,1)," ")</f>
        <v xml:space="preserve"> </v>
      </c>
      <c r="B426" s="106" t="str">
        <f>COPY!AR418</f>
        <v/>
      </c>
      <c r="C426" s="107">
        <f>COPY!AC418</f>
        <v>0</v>
      </c>
      <c r="D426" s="107" t="str">
        <f>IF(LEN(Table1722[[#This Row],[Uraian]])&gt;2,1," ")</f>
        <v xml:space="preserve"> </v>
      </c>
      <c r="E426" s="113" t="str">
        <f>IF(Table1722[[#This Row],[Lawan Transaksi]]="CV AGUNG KARYA",COUNTIF($I$10:I426,"CV AGUNG KARYA")," ")</f>
        <v xml:space="preserve"> </v>
      </c>
      <c r="F426" s="107" t="str">
        <f>IF(LEN(Table1722[[#This Row],[Uraian]])&gt;2,TRIM(RIGHT(SUBSTITUTE(TRIM(C426)," ",REPT(" ",255)),255))," ")</f>
        <v xml:space="preserve"> </v>
      </c>
      <c r="G426" s="110">
        <f>COPY!Z418</f>
        <v>0</v>
      </c>
      <c r="H426" s="111" t="str">
        <f>IFERROR(VLOOKUP(Table1722[[#This Row],[Bukti]],'Un nOTA'!$A$4:$K$5003,10,FALSE),"")</f>
        <v/>
      </c>
      <c r="I426" s="112" t="str">
        <f>IFERROR(VLOOKUP(Table1722[[#This Row],[Bukti]],Table13[#Data],11,FALSE),"")</f>
        <v/>
      </c>
    </row>
    <row r="427" spans="1:9" ht="19.5" hidden="1" customHeight="1" x14ac:dyDescent="0.2">
      <c r="A427" s="105" t="str">
        <f>IF(D427=1,COUNTIF($D$10:D427,1)," ")</f>
        <v xml:space="preserve"> </v>
      </c>
      <c r="B427" s="106" t="str">
        <f>COPY!AR419</f>
        <v/>
      </c>
      <c r="C427" s="107">
        <f>COPY!AC419</f>
        <v>0</v>
      </c>
      <c r="D427" s="107" t="str">
        <f>IF(LEN(Table1722[[#This Row],[Uraian]])&gt;2,1," ")</f>
        <v xml:space="preserve"> </v>
      </c>
      <c r="E427" s="113" t="str">
        <f>IF(Table1722[[#This Row],[Lawan Transaksi]]="CV AGUNG KARYA",COUNTIF($I$10:I427,"CV AGUNG KARYA")," ")</f>
        <v xml:space="preserve"> </v>
      </c>
      <c r="F427" s="107" t="str">
        <f>IF(LEN(Table1722[[#This Row],[Uraian]])&gt;2,TRIM(RIGHT(SUBSTITUTE(TRIM(C427)," ",REPT(" ",255)),255))," ")</f>
        <v xml:space="preserve"> </v>
      </c>
      <c r="G427" s="110">
        <f>COPY!Z419</f>
        <v>0</v>
      </c>
      <c r="H427" s="111" t="str">
        <f>IFERROR(VLOOKUP(Table1722[[#This Row],[Bukti]],'Un nOTA'!$A$4:$K$5003,10,FALSE),"")</f>
        <v/>
      </c>
      <c r="I427" s="112" t="str">
        <f>IFERROR(VLOOKUP(Table1722[[#This Row],[Bukti]],Table13[#Data],11,FALSE),"")</f>
        <v/>
      </c>
    </row>
    <row r="428" spans="1:9" ht="19.5" hidden="1" customHeight="1" x14ac:dyDescent="0.2">
      <c r="A428" s="105" t="str">
        <f>IF(D428=1,COUNTIF($D$10:D428,1)," ")</f>
        <v xml:space="preserve"> </v>
      </c>
      <c r="B428" s="106" t="str">
        <f>COPY!AR420</f>
        <v/>
      </c>
      <c r="C428" s="107">
        <f>COPY!AC420</f>
        <v>0</v>
      </c>
      <c r="D428" s="107" t="str">
        <f>IF(LEN(Table1722[[#This Row],[Uraian]])&gt;2,1," ")</f>
        <v xml:space="preserve"> </v>
      </c>
      <c r="E428" s="113" t="str">
        <f>IF(Table1722[[#This Row],[Lawan Transaksi]]="CV AGUNG KARYA",COUNTIF($I$10:I428,"CV AGUNG KARYA")," ")</f>
        <v xml:space="preserve"> </v>
      </c>
      <c r="F428" s="107" t="str">
        <f>IF(LEN(Table1722[[#This Row],[Uraian]])&gt;2,TRIM(RIGHT(SUBSTITUTE(TRIM(C428)," ",REPT(" ",255)),255))," ")</f>
        <v xml:space="preserve"> </v>
      </c>
      <c r="G428" s="110">
        <f>COPY!Z420</f>
        <v>0</v>
      </c>
      <c r="H428" s="111" t="str">
        <f>IFERROR(VLOOKUP(Table1722[[#This Row],[Bukti]],'Un nOTA'!$A$4:$K$5003,10,FALSE),"")</f>
        <v/>
      </c>
      <c r="I428" s="112" t="str">
        <f>IFERROR(VLOOKUP(Table1722[[#This Row],[Bukti]],Table13[#Data],11,FALSE),"")</f>
        <v/>
      </c>
    </row>
    <row r="429" spans="1:9" ht="19.5" hidden="1" customHeight="1" x14ac:dyDescent="0.2">
      <c r="A429" s="105" t="str">
        <f>IF(D429=1,COUNTIF($D$10:D429,1)," ")</f>
        <v xml:space="preserve"> </v>
      </c>
      <c r="B429" s="106" t="str">
        <f>COPY!AR421</f>
        <v/>
      </c>
      <c r="C429" s="107">
        <f>COPY!AC421</f>
        <v>0</v>
      </c>
      <c r="D429" s="107" t="str">
        <f>IF(LEN(Table1722[[#This Row],[Uraian]])&gt;2,1," ")</f>
        <v xml:space="preserve"> </v>
      </c>
      <c r="E429" s="113" t="str">
        <f>IF(Table1722[[#This Row],[Lawan Transaksi]]="CV AGUNG KARYA",COUNTIF($I$10:I429,"CV AGUNG KARYA")," ")</f>
        <v xml:space="preserve"> </v>
      </c>
      <c r="F429" s="107" t="str">
        <f>IF(LEN(Table1722[[#This Row],[Uraian]])&gt;2,TRIM(RIGHT(SUBSTITUTE(TRIM(C429)," ",REPT(" ",255)),255))," ")</f>
        <v xml:space="preserve"> </v>
      </c>
      <c r="G429" s="110">
        <f>COPY!Z421</f>
        <v>0</v>
      </c>
      <c r="H429" s="111" t="str">
        <f>IFERROR(VLOOKUP(Table1722[[#This Row],[Bukti]],'Un nOTA'!$A$4:$K$5003,10,FALSE),"")</f>
        <v/>
      </c>
      <c r="I429" s="112" t="str">
        <f>IFERROR(VLOOKUP(Table1722[[#This Row],[Bukti]],Table13[#Data],11,FALSE),"")</f>
        <v/>
      </c>
    </row>
    <row r="430" spans="1:9" ht="19.5" hidden="1" customHeight="1" x14ac:dyDescent="0.2">
      <c r="A430" s="105" t="str">
        <f>IF(D430=1,COUNTIF($D$10:D430,1)," ")</f>
        <v xml:space="preserve"> </v>
      </c>
      <c r="B430" s="106" t="str">
        <f>COPY!AR422</f>
        <v/>
      </c>
      <c r="C430" s="107">
        <f>COPY!AC422</f>
        <v>0</v>
      </c>
      <c r="D430" s="107" t="str">
        <f>IF(LEN(Table1722[[#This Row],[Uraian]])&gt;2,1," ")</f>
        <v xml:space="preserve"> </v>
      </c>
      <c r="E430" s="113" t="str">
        <f>IF(Table1722[[#This Row],[Lawan Transaksi]]="CV AGUNG KARYA",COUNTIF($I$10:I430,"CV AGUNG KARYA")," ")</f>
        <v xml:space="preserve"> </v>
      </c>
      <c r="F430" s="107" t="str">
        <f>IF(LEN(Table1722[[#This Row],[Uraian]])&gt;2,TRIM(RIGHT(SUBSTITUTE(TRIM(C430)," ",REPT(" ",255)),255))," ")</f>
        <v xml:space="preserve"> </v>
      </c>
      <c r="G430" s="110">
        <f>COPY!Z422</f>
        <v>0</v>
      </c>
      <c r="H430" s="111" t="str">
        <f>IFERROR(VLOOKUP(Table1722[[#This Row],[Bukti]],'Un nOTA'!$A$4:$K$5003,10,FALSE),"")</f>
        <v/>
      </c>
      <c r="I430" s="112" t="str">
        <f>IFERROR(VLOOKUP(Table1722[[#This Row],[Bukti]],Table13[#Data],11,FALSE),"")</f>
        <v/>
      </c>
    </row>
    <row r="431" spans="1:9" ht="19.5" hidden="1" customHeight="1" x14ac:dyDescent="0.2">
      <c r="A431" s="105" t="str">
        <f>IF(D431=1,COUNTIF($D$10:D431,1)," ")</f>
        <v xml:space="preserve"> </v>
      </c>
      <c r="B431" s="106" t="str">
        <f>COPY!AR423</f>
        <v/>
      </c>
      <c r="C431" s="107">
        <f>COPY!AC423</f>
        <v>0</v>
      </c>
      <c r="D431" s="107" t="str">
        <f>IF(LEN(Table1722[[#This Row],[Uraian]])&gt;2,1," ")</f>
        <v xml:space="preserve"> </v>
      </c>
      <c r="E431" s="113" t="str">
        <f>IF(Table1722[[#This Row],[Lawan Transaksi]]="CV AGUNG KARYA",COUNTIF($I$10:I431,"CV AGUNG KARYA")," ")</f>
        <v xml:space="preserve"> </v>
      </c>
      <c r="F431" s="107" t="str">
        <f>IF(LEN(Table1722[[#This Row],[Uraian]])&gt;2,TRIM(RIGHT(SUBSTITUTE(TRIM(C431)," ",REPT(" ",255)),255))," ")</f>
        <v xml:space="preserve"> </v>
      </c>
      <c r="G431" s="110">
        <f>COPY!Z423</f>
        <v>0</v>
      </c>
      <c r="H431" s="111" t="str">
        <f>IFERROR(VLOOKUP(Table1722[[#This Row],[Bukti]],'Un nOTA'!$A$4:$K$5003,10,FALSE),"")</f>
        <v/>
      </c>
      <c r="I431" s="112" t="str">
        <f>IFERROR(VLOOKUP(Table1722[[#This Row],[Bukti]],Table13[#Data],11,FALSE),"")</f>
        <v/>
      </c>
    </row>
    <row r="432" spans="1:9" ht="19.5" hidden="1" customHeight="1" x14ac:dyDescent="0.2">
      <c r="A432" s="105" t="str">
        <f>IF(D432=1,COUNTIF($D$10:D432,1)," ")</f>
        <v xml:space="preserve"> </v>
      </c>
      <c r="B432" s="106" t="str">
        <f>COPY!AR424</f>
        <v/>
      </c>
      <c r="C432" s="107">
        <f>COPY!AC424</f>
        <v>0</v>
      </c>
      <c r="D432" s="107" t="str">
        <f>IF(LEN(Table1722[[#This Row],[Uraian]])&gt;2,1," ")</f>
        <v xml:space="preserve"> </v>
      </c>
      <c r="E432" s="113" t="str">
        <f>IF(Table1722[[#This Row],[Lawan Transaksi]]="CV AGUNG KARYA",COUNTIF($I$10:I432,"CV AGUNG KARYA")," ")</f>
        <v xml:space="preserve"> </v>
      </c>
      <c r="F432" s="107" t="str">
        <f>IF(LEN(Table1722[[#This Row],[Uraian]])&gt;2,TRIM(RIGHT(SUBSTITUTE(TRIM(C432)," ",REPT(" ",255)),255))," ")</f>
        <v xml:space="preserve"> </v>
      </c>
      <c r="G432" s="110">
        <f>COPY!Z424</f>
        <v>0</v>
      </c>
      <c r="H432" s="111" t="str">
        <f>IFERROR(VLOOKUP(Table1722[[#This Row],[Bukti]],'Un nOTA'!$A$4:$K$5003,10,FALSE),"")</f>
        <v/>
      </c>
      <c r="I432" s="112" t="str">
        <f>IFERROR(VLOOKUP(Table1722[[#This Row],[Bukti]],Table13[#Data],11,FALSE),"")</f>
        <v/>
      </c>
    </row>
    <row r="433" spans="1:9" ht="19.5" hidden="1" customHeight="1" x14ac:dyDescent="0.2">
      <c r="A433" s="105" t="str">
        <f>IF(D433=1,COUNTIF($D$10:D433,1)," ")</f>
        <v xml:space="preserve"> </v>
      </c>
      <c r="B433" s="106" t="str">
        <f>COPY!AR425</f>
        <v/>
      </c>
      <c r="C433" s="107">
        <f>COPY!AC425</f>
        <v>0</v>
      </c>
      <c r="D433" s="107" t="str">
        <f>IF(LEN(Table1722[[#This Row],[Uraian]])&gt;2,1," ")</f>
        <v xml:space="preserve"> </v>
      </c>
      <c r="E433" s="113" t="str">
        <f>IF(Table1722[[#This Row],[Lawan Transaksi]]="CV AGUNG KARYA",COUNTIF($I$10:I433,"CV AGUNG KARYA")," ")</f>
        <v xml:space="preserve"> </v>
      </c>
      <c r="F433" s="107" t="str">
        <f>IF(LEN(Table1722[[#This Row],[Uraian]])&gt;2,TRIM(RIGHT(SUBSTITUTE(TRIM(C433)," ",REPT(" ",255)),255))," ")</f>
        <v xml:space="preserve"> </v>
      </c>
      <c r="G433" s="110">
        <f>COPY!Z425</f>
        <v>0</v>
      </c>
      <c r="H433" s="111" t="str">
        <f>IFERROR(VLOOKUP(Table1722[[#This Row],[Bukti]],'Un nOTA'!$A$4:$K$5003,10,FALSE),"")</f>
        <v/>
      </c>
      <c r="I433" s="112" t="str">
        <f>IFERROR(VLOOKUP(Table1722[[#This Row],[Bukti]],Table13[#Data],11,FALSE),"")</f>
        <v/>
      </c>
    </row>
    <row r="434" spans="1:9" ht="19.5" hidden="1" customHeight="1" x14ac:dyDescent="0.2">
      <c r="A434" s="105" t="str">
        <f>IF(D434=1,COUNTIF($D$10:D434,1)," ")</f>
        <v xml:space="preserve"> </v>
      </c>
      <c r="B434" s="106" t="str">
        <f>COPY!AR426</f>
        <v/>
      </c>
      <c r="C434" s="107">
        <f>COPY!AC426</f>
        <v>0</v>
      </c>
      <c r="D434" s="107" t="str">
        <f>IF(LEN(Table1722[[#This Row],[Uraian]])&gt;2,1," ")</f>
        <v xml:space="preserve"> </v>
      </c>
      <c r="E434" s="113" t="str">
        <f>IF(Table1722[[#This Row],[Lawan Transaksi]]="CV AGUNG KARYA",COUNTIF($I$10:I434,"CV AGUNG KARYA")," ")</f>
        <v xml:space="preserve"> </v>
      </c>
      <c r="F434" s="107" t="str">
        <f>IF(LEN(Table1722[[#This Row],[Uraian]])&gt;2,TRIM(RIGHT(SUBSTITUTE(TRIM(C434)," ",REPT(" ",255)),255))," ")</f>
        <v xml:space="preserve"> </v>
      </c>
      <c r="G434" s="110">
        <f>COPY!Z426</f>
        <v>0</v>
      </c>
      <c r="H434" s="111" t="str">
        <f>IFERROR(VLOOKUP(Table1722[[#This Row],[Bukti]],'Un nOTA'!$A$4:$K$5003,10,FALSE),"")</f>
        <v/>
      </c>
      <c r="I434" s="112" t="str">
        <f>IFERROR(VLOOKUP(Table1722[[#This Row],[Bukti]],Table13[#Data],11,FALSE),"")</f>
        <v/>
      </c>
    </row>
    <row r="435" spans="1:9" ht="19.5" hidden="1" customHeight="1" x14ac:dyDescent="0.2">
      <c r="A435" s="105" t="str">
        <f>IF(D435=1,COUNTIF($D$10:D435,1)," ")</f>
        <v xml:space="preserve"> </v>
      </c>
      <c r="B435" s="106" t="str">
        <f>COPY!AR427</f>
        <v/>
      </c>
      <c r="C435" s="107">
        <f>COPY!AC427</f>
        <v>0</v>
      </c>
      <c r="D435" s="107" t="str">
        <f>IF(LEN(Table1722[[#This Row],[Uraian]])&gt;2,1," ")</f>
        <v xml:space="preserve"> </v>
      </c>
      <c r="E435" s="113" t="str">
        <f>IF(Table1722[[#This Row],[Lawan Transaksi]]="CV AGUNG KARYA",COUNTIF($I$10:I435,"CV AGUNG KARYA")," ")</f>
        <v xml:space="preserve"> </v>
      </c>
      <c r="F435" s="107" t="str">
        <f>IF(LEN(Table1722[[#This Row],[Uraian]])&gt;2,TRIM(RIGHT(SUBSTITUTE(TRIM(C435)," ",REPT(" ",255)),255))," ")</f>
        <v xml:space="preserve"> </v>
      </c>
      <c r="G435" s="110">
        <f>COPY!Z427</f>
        <v>0</v>
      </c>
      <c r="H435" s="111" t="str">
        <f>IFERROR(VLOOKUP(Table1722[[#This Row],[Bukti]],'Un nOTA'!$A$4:$K$5003,10,FALSE),"")</f>
        <v/>
      </c>
      <c r="I435" s="112" t="str">
        <f>IFERROR(VLOOKUP(Table1722[[#This Row],[Bukti]],Table13[#Data],11,FALSE),"")</f>
        <v/>
      </c>
    </row>
    <row r="436" spans="1:9" ht="19.5" hidden="1" customHeight="1" x14ac:dyDescent="0.2">
      <c r="A436" s="105" t="str">
        <f>IF(D436=1,COUNTIF($D$10:D436,1)," ")</f>
        <v xml:space="preserve"> </v>
      </c>
      <c r="B436" s="106" t="str">
        <f>COPY!AR428</f>
        <v/>
      </c>
      <c r="C436" s="107">
        <f>COPY!AC428</f>
        <v>0</v>
      </c>
      <c r="D436" s="107" t="str">
        <f>IF(LEN(Table1722[[#This Row],[Uraian]])&gt;2,1," ")</f>
        <v xml:space="preserve"> </v>
      </c>
      <c r="E436" s="113" t="str">
        <f>IF(Table1722[[#This Row],[Lawan Transaksi]]="CV AGUNG KARYA",COUNTIF($I$10:I436,"CV AGUNG KARYA")," ")</f>
        <v xml:space="preserve"> </v>
      </c>
      <c r="F436" s="107" t="str">
        <f>IF(LEN(Table1722[[#This Row],[Uraian]])&gt;2,TRIM(RIGHT(SUBSTITUTE(TRIM(C436)," ",REPT(" ",255)),255))," ")</f>
        <v xml:space="preserve"> </v>
      </c>
      <c r="G436" s="110">
        <f>COPY!Z428</f>
        <v>0</v>
      </c>
      <c r="H436" s="111" t="str">
        <f>IFERROR(VLOOKUP(Table1722[[#This Row],[Bukti]],'Un nOTA'!$A$4:$K$5003,10,FALSE),"")</f>
        <v/>
      </c>
      <c r="I436" s="112" t="str">
        <f>IFERROR(VLOOKUP(Table1722[[#This Row],[Bukti]],Table13[#Data],11,FALSE),"")</f>
        <v/>
      </c>
    </row>
    <row r="437" spans="1:9" ht="19.5" hidden="1" customHeight="1" x14ac:dyDescent="0.2">
      <c r="A437" s="105" t="str">
        <f>IF(D437=1,COUNTIF($D$10:D437,1)," ")</f>
        <v xml:space="preserve"> </v>
      </c>
      <c r="B437" s="106" t="str">
        <f>COPY!AR429</f>
        <v/>
      </c>
      <c r="C437" s="107">
        <f>COPY!AC429</f>
        <v>0</v>
      </c>
      <c r="D437" s="107" t="str">
        <f>IF(LEN(Table1722[[#This Row],[Uraian]])&gt;2,1," ")</f>
        <v xml:space="preserve"> </v>
      </c>
      <c r="E437" s="113" t="str">
        <f>IF(Table1722[[#This Row],[Lawan Transaksi]]="CV AGUNG KARYA",COUNTIF($I$10:I437,"CV AGUNG KARYA")," ")</f>
        <v xml:space="preserve"> </v>
      </c>
      <c r="F437" s="107" t="str">
        <f>IF(LEN(Table1722[[#This Row],[Uraian]])&gt;2,TRIM(RIGHT(SUBSTITUTE(TRIM(C437)," ",REPT(" ",255)),255))," ")</f>
        <v xml:space="preserve"> </v>
      </c>
      <c r="G437" s="110">
        <f>COPY!Z429</f>
        <v>0</v>
      </c>
      <c r="H437" s="111" t="str">
        <f>IFERROR(VLOOKUP(Table1722[[#This Row],[Bukti]],'Un nOTA'!$A$4:$K$5003,10,FALSE),"")</f>
        <v/>
      </c>
      <c r="I437" s="112" t="str">
        <f>IFERROR(VLOOKUP(Table1722[[#This Row],[Bukti]],Table13[#Data],11,FALSE),"")</f>
        <v/>
      </c>
    </row>
    <row r="438" spans="1:9" ht="19.5" hidden="1" customHeight="1" x14ac:dyDescent="0.2">
      <c r="A438" s="105" t="str">
        <f>IF(D438=1,COUNTIF($D$10:D438,1)," ")</f>
        <v xml:space="preserve"> </v>
      </c>
      <c r="B438" s="106" t="str">
        <f>COPY!AR430</f>
        <v/>
      </c>
      <c r="C438" s="107">
        <f>COPY!AC430</f>
        <v>0</v>
      </c>
      <c r="D438" s="107" t="str">
        <f>IF(LEN(Table1722[[#This Row],[Uraian]])&gt;2,1," ")</f>
        <v xml:space="preserve"> </v>
      </c>
      <c r="E438" s="113" t="str">
        <f>IF(Table1722[[#This Row],[Lawan Transaksi]]="CV AGUNG KARYA",COUNTIF($I$10:I438,"CV AGUNG KARYA")," ")</f>
        <v xml:space="preserve"> </v>
      </c>
      <c r="F438" s="107" t="str">
        <f>IF(LEN(Table1722[[#This Row],[Uraian]])&gt;2,TRIM(RIGHT(SUBSTITUTE(TRIM(C438)," ",REPT(" ",255)),255))," ")</f>
        <v xml:space="preserve"> </v>
      </c>
      <c r="G438" s="110">
        <f>COPY!Z430</f>
        <v>0</v>
      </c>
      <c r="H438" s="111" t="str">
        <f>IFERROR(VLOOKUP(Table1722[[#This Row],[Bukti]],'Un nOTA'!$A$4:$K$5003,10,FALSE),"")</f>
        <v/>
      </c>
      <c r="I438" s="112" t="str">
        <f>IFERROR(VLOOKUP(Table1722[[#This Row],[Bukti]],Table13[#Data],11,FALSE),"")</f>
        <v/>
      </c>
    </row>
    <row r="439" spans="1:9" ht="19.5" hidden="1" customHeight="1" x14ac:dyDescent="0.2">
      <c r="A439" s="105" t="str">
        <f>IF(D439=1,COUNTIF($D$10:D439,1)," ")</f>
        <v xml:space="preserve"> </v>
      </c>
      <c r="B439" s="106" t="str">
        <f>COPY!AR431</f>
        <v/>
      </c>
      <c r="C439" s="107">
        <f>COPY!AC431</f>
        <v>0</v>
      </c>
      <c r="D439" s="107" t="str">
        <f>IF(LEN(Table1722[[#This Row],[Uraian]])&gt;2,1," ")</f>
        <v xml:space="preserve"> </v>
      </c>
      <c r="E439" s="113" t="str">
        <f>IF(Table1722[[#This Row],[Lawan Transaksi]]="CV AGUNG KARYA",COUNTIF($I$10:I439,"CV AGUNG KARYA")," ")</f>
        <v xml:space="preserve"> </v>
      </c>
      <c r="F439" s="107" t="str">
        <f>IF(LEN(Table1722[[#This Row],[Uraian]])&gt;2,TRIM(RIGHT(SUBSTITUTE(TRIM(C439)," ",REPT(" ",255)),255))," ")</f>
        <v xml:space="preserve"> </v>
      </c>
      <c r="G439" s="110">
        <f>COPY!Z431</f>
        <v>0</v>
      </c>
      <c r="H439" s="111" t="str">
        <f>IFERROR(VLOOKUP(Table1722[[#This Row],[Bukti]],'Un nOTA'!$A$4:$K$5003,10,FALSE),"")</f>
        <v/>
      </c>
      <c r="I439" s="112" t="str">
        <f>IFERROR(VLOOKUP(Table1722[[#This Row],[Bukti]],Table13[#Data],11,FALSE),"")</f>
        <v/>
      </c>
    </row>
    <row r="440" spans="1:9" ht="19.5" hidden="1" customHeight="1" x14ac:dyDescent="0.2">
      <c r="A440" s="105" t="str">
        <f>IF(D440=1,COUNTIF($D$10:D440,1)," ")</f>
        <v xml:space="preserve"> </v>
      </c>
      <c r="B440" s="106" t="str">
        <f>COPY!AR432</f>
        <v/>
      </c>
      <c r="C440" s="107">
        <f>COPY!AC432</f>
        <v>0</v>
      </c>
      <c r="D440" s="107" t="str">
        <f>IF(LEN(Table1722[[#This Row],[Uraian]])&gt;2,1," ")</f>
        <v xml:space="preserve"> </v>
      </c>
      <c r="E440" s="113" t="str">
        <f>IF(Table1722[[#This Row],[Lawan Transaksi]]="CV AGUNG KARYA",COUNTIF($I$10:I440,"CV AGUNG KARYA")," ")</f>
        <v xml:space="preserve"> </v>
      </c>
      <c r="F440" s="107" t="str">
        <f>IF(LEN(Table1722[[#This Row],[Uraian]])&gt;2,TRIM(RIGHT(SUBSTITUTE(TRIM(C440)," ",REPT(" ",255)),255))," ")</f>
        <v xml:space="preserve"> </v>
      </c>
      <c r="G440" s="110">
        <f>COPY!Z432</f>
        <v>0</v>
      </c>
      <c r="H440" s="111" t="str">
        <f>IFERROR(VLOOKUP(Table1722[[#This Row],[Bukti]],'Un nOTA'!$A$4:$K$5003,10,FALSE),"")</f>
        <v/>
      </c>
      <c r="I440" s="112" t="str">
        <f>IFERROR(VLOOKUP(Table1722[[#This Row],[Bukti]],Table13[#Data],11,FALSE),"")</f>
        <v/>
      </c>
    </row>
    <row r="441" spans="1:9" ht="19.5" hidden="1" customHeight="1" x14ac:dyDescent="0.2">
      <c r="A441" s="105" t="str">
        <f>IF(D441=1,COUNTIF($D$10:D441,1)," ")</f>
        <v xml:space="preserve"> </v>
      </c>
      <c r="B441" s="106" t="str">
        <f>COPY!AR433</f>
        <v/>
      </c>
      <c r="C441" s="107">
        <f>COPY!AC433</f>
        <v>0</v>
      </c>
      <c r="D441" s="107" t="str">
        <f>IF(LEN(Table1722[[#This Row],[Uraian]])&gt;2,1," ")</f>
        <v xml:space="preserve"> </v>
      </c>
      <c r="E441" s="113" t="str">
        <f>IF(Table1722[[#This Row],[Lawan Transaksi]]="CV AGUNG KARYA",COUNTIF($I$10:I441,"CV AGUNG KARYA")," ")</f>
        <v xml:space="preserve"> </v>
      </c>
      <c r="F441" s="107" t="str">
        <f>IF(LEN(Table1722[[#This Row],[Uraian]])&gt;2,TRIM(RIGHT(SUBSTITUTE(TRIM(C441)," ",REPT(" ",255)),255))," ")</f>
        <v xml:space="preserve"> </v>
      </c>
      <c r="G441" s="110">
        <f>COPY!Z433</f>
        <v>0</v>
      </c>
      <c r="H441" s="111" t="str">
        <f>IFERROR(VLOOKUP(Table1722[[#This Row],[Bukti]],'Un nOTA'!$A$4:$K$5003,10,FALSE),"")</f>
        <v/>
      </c>
      <c r="I441" s="112" t="str">
        <f>IFERROR(VLOOKUP(Table1722[[#This Row],[Bukti]],Table13[#Data],11,FALSE),"")</f>
        <v/>
      </c>
    </row>
    <row r="442" spans="1:9" ht="19.5" hidden="1" customHeight="1" x14ac:dyDescent="0.2">
      <c r="A442" s="105" t="str">
        <f>IF(D442=1,COUNTIF($D$10:D442,1)," ")</f>
        <v xml:space="preserve"> </v>
      </c>
      <c r="B442" s="106" t="str">
        <f>COPY!AR434</f>
        <v/>
      </c>
      <c r="C442" s="107">
        <f>COPY!AC434</f>
        <v>0</v>
      </c>
      <c r="D442" s="107" t="str">
        <f>IF(LEN(Table1722[[#This Row],[Uraian]])&gt;2,1," ")</f>
        <v xml:space="preserve"> </v>
      </c>
      <c r="E442" s="113" t="str">
        <f>IF(Table1722[[#This Row],[Lawan Transaksi]]="CV AGUNG KARYA",COUNTIF($I$10:I442,"CV AGUNG KARYA")," ")</f>
        <v xml:space="preserve"> </v>
      </c>
      <c r="F442" s="107" t="str">
        <f>IF(LEN(Table1722[[#This Row],[Uraian]])&gt;2,TRIM(RIGHT(SUBSTITUTE(TRIM(C442)," ",REPT(" ",255)),255))," ")</f>
        <v xml:space="preserve"> </v>
      </c>
      <c r="G442" s="110">
        <f>COPY!Z434</f>
        <v>0</v>
      </c>
      <c r="H442" s="111" t="str">
        <f>IFERROR(VLOOKUP(Table1722[[#This Row],[Bukti]],'Un nOTA'!$A$4:$K$5003,10,FALSE),"")</f>
        <v/>
      </c>
      <c r="I442" s="112" t="str">
        <f>IFERROR(VLOOKUP(Table1722[[#This Row],[Bukti]],Table13[#Data],11,FALSE),"")</f>
        <v/>
      </c>
    </row>
    <row r="443" spans="1:9" ht="19.5" hidden="1" customHeight="1" x14ac:dyDescent="0.2">
      <c r="A443" s="105" t="str">
        <f>IF(D443=1,COUNTIF($D$10:D443,1)," ")</f>
        <v xml:space="preserve"> </v>
      </c>
      <c r="B443" s="106" t="str">
        <f>COPY!AR435</f>
        <v/>
      </c>
      <c r="C443" s="107">
        <f>COPY!AC435</f>
        <v>0</v>
      </c>
      <c r="D443" s="107" t="str">
        <f>IF(LEN(Table1722[[#This Row],[Uraian]])&gt;2,1," ")</f>
        <v xml:space="preserve"> </v>
      </c>
      <c r="E443" s="113" t="str">
        <f>IF(Table1722[[#This Row],[Lawan Transaksi]]="CV AGUNG KARYA",COUNTIF($I$10:I443,"CV AGUNG KARYA")," ")</f>
        <v xml:space="preserve"> </v>
      </c>
      <c r="F443" s="107" t="str">
        <f>IF(LEN(Table1722[[#This Row],[Uraian]])&gt;2,TRIM(RIGHT(SUBSTITUTE(TRIM(C443)," ",REPT(" ",255)),255))," ")</f>
        <v xml:space="preserve"> </v>
      </c>
      <c r="G443" s="110">
        <f>COPY!Z435</f>
        <v>0</v>
      </c>
      <c r="H443" s="111" t="str">
        <f>IFERROR(VLOOKUP(Table1722[[#This Row],[Bukti]],'Un nOTA'!$A$4:$K$5003,10,FALSE),"")</f>
        <v/>
      </c>
      <c r="I443" s="112" t="str">
        <f>IFERROR(VLOOKUP(Table1722[[#This Row],[Bukti]],Table13[#Data],11,FALSE),"")</f>
        <v/>
      </c>
    </row>
    <row r="444" spans="1:9" ht="19.5" hidden="1" customHeight="1" x14ac:dyDescent="0.2">
      <c r="A444" s="105" t="str">
        <f>IF(D444=1,COUNTIF($D$10:D444,1)," ")</f>
        <v xml:space="preserve"> </v>
      </c>
      <c r="B444" s="106" t="str">
        <f>COPY!AR436</f>
        <v/>
      </c>
      <c r="C444" s="107">
        <f>COPY!AC436</f>
        <v>0</v>
      </c>
      <c r="D444" s="107" t="str">
        <f>IF(LEN(Table1722[[#This Row],[Uraian]])&gt;2,1," ")</f>
        <v xml:space="preserve"> </v>
      </c>
      <c r="E444" s="113" t="str">
        <f>IF(Table1722[[#This Row],[Lawan Transaksi]]="CV AGUNG KARYA",COUNTIF($I$10:I444,"CV AGUNG KARYA")," ")</f>
        <v xml:space="preserve"> </v>
      </c>
      <c r="F444" s="107" t="str">
        <f>IF(LEN(Table1722[[#This Row],[Uraian]])&gt;2,TRIM(RIGHT(SUBSTITUTE(TRIM(C444)," ",REPT(" ",255)),255))," ")</f>
        <v xml:space="preserve"> </v>
      </c>
      <c r="G444" s="110">
        <f>COPY!Z436</f>
        <v>0</v>
      </c>
      <c r="H444" s="111" t="str">
        <f>IFERROR(VLOOKUP(Table1722[[#This Row],[Bukti]],'Un nOTA'!$A$4:$K$5003,10,FALSE),"")</f>
        <v/>
      </c>
      <c r="I444" s="112" t="str">
        <f>IFERROR(VLOOKUP(Table1722[[#This Row],[Bukti]],Table13[#Data],11,FALSE),"")</f>
        <v/>
      </c>
    </row>
    <row r="445" spans="1:9" ht="19.5" hidden="1" customHeight="1" x14ac:dyDescent="0.2">
      <c r="A445" s="105" t="str">
        <f>IF(D445=1,COUNTIF($D$10:D445,1)," ")</f>
        <v xml:space="preserve"> </v>
      </c>
      <c r="B445" s="106" t="str">
        <f>COPY!AR437</f>
        <v/>
      </c>
      <c r="C445" s="107">
        <f>COPY!AC437</f>
        <v>0</v>
      </c>
      <c r="D445" s="107" t="str">
        <f>IF(LEN(Table1722[[#This Row],[Uraian]])&gt;2,1," ")</f>
        <v xml:space="preserve"> </v>
      </c>
      <c r="E445" s="113" t="str">
        <f>IF(Table1722[[#This Row],[Lawan Transaksi]]="CV AGUNG KARYA",COUNTIF($I$10:I445,"CV AGUNG KARYA")," ")</f>
        <v xml:space="preserve"> </v>
      </c>
      <c r="F445" s="107" t="str">
        <f>IF(LEN(Table1722[[#This Row],[Uraian]])&gt;2,TRIM(RIGHT(SUBSTITUTE(TRIM(C445)," ",REPT(" ",255)),255))," ")</f>
        <v xml:space="preserve"> </v>
      </c>
      <c r="G445" s="110">
        <f>COPY!Z437</f>
        <v>0</v>
      </c>
      <c r="H445" s="111" t="str">
        <f>IFERROR(VLOOKUP(Table1722[[#This Row],[Bukti]],'Un nOTA'!$A$4:$K$5003,10,FALSE),"")</f>
        <v/>
      </c>
      <c r="I445" s="112" t="str">
        <f>IFERROR(VLOOKUP(Table1722[[#This Row],[Bukti]],Table13[#Data],11,FALSE),"")</f>
        <v/>
      </c>
    </row>
    <row r="446" spans="1:9" ht="19.5" hidden="1" customHeight="1" x14ac:dyDescent="0.2">
      <c r="A446" s="105" t="str">
        <f>IF(D446=1,COUNTIF($D$10:D446,1)," ")</f>
        <v xml:space="preserve"> </v>
      </c>
      <c r="B446" s="106" t="str">
        <f>COPY!AR438</f>
        <v/>
      </c>
      <c r="C446" s="107">
        <f>COPY!AC438</f>
        <v>0</v>
      </c>
      <c r="D446" s="107" t="str">
        <f>IF(LEN(Table1722[[#This Row],[Uraian]])&gt;2,1," ")</f>
        <v xml:space="preserve"> </v>
      </c>
      <c r="E446" s="113" t="str">
        <f>IF(Table1722[[#This Row],[Lawan Transaksi]]="CV AGUNG KARYA",COUNTIF($I$10:I446,"CV AGUNG KARYA")," ")</f>
        <v xml:space="preserve"> </v>
      </c>
      <c r="F446" s="107" t="str">
        <f>IF(LEN(Table1722[[#This Row],[Uraian]])&gt;2,TRIM(RIGHT(SUBSTITUTE(TRIM(C446)," ",REPT(" ",255)),255))," ")</f>
        <v xml:space="preserve"> </v>
      </c>
      <c r="G446" s="110">
        <f>COPY!Z438</f>
        <v>0</v>
      </c>
      <c r="H446" s="111" t="str">
        <f>IFERROR(VLOOKUP(Table1722[[#This Row],[Bukti]],'Un nOTA'!$A$4:$K$5003,10,FALSE),"")</f>
        <v/>
      </c>
      <c r="I446" s="112" t="str">
        <f>IFERROR(VLOOKUP(Table1722[[#This Row],[Bukti]],Table13[#Data],11,FALSE),"")</f>
        <v/>
      </c>
    </row>
    <row r="447" spans="1:9" ht="19.5" hidden="1" customHeight="1" x14ac:dyDescent="0.2">
      <c r="A447" s="105" t="str">
        <f>IF(D447=1,COUNTIF($D$10:D447,1)," ")</f>
        <v xml:space="preserve"> </v>
      </c>
      <c r="B447" s="106" t="str">
        <f>COPY!AR439</f>
        <v/>
      </c>
      <c r="C447" s="107">
        <f>COPY!AC439</f>
        <v>0</v>
      </c>
      <c r="D447" s="107" t="str">
        <f>IF(LEN(Table1722[[#This Row],[Uraian]])&gt;2,1," ")</f>
        <v xml:space="preserve"> </v>
      </c>
      <c r="E447" s="113" t="str">
        <f>IF(Table1722[[#This Row],[Lawan Transaksi]]="CV AGUNG KARYA",COUNTIF($I$10:I447,"CV AGUNG KARYA")," ")</f>
        <v xml:space="preserve"> </v>
      </c>
      <c r="F447" s="107" t="str">
        <f>IF(LEN(Table1722[[#This Row],[Uraian]])&gt;2,TRIM(RIGHT(SUBSTITUTE(TRIM(C447)," ",REPT(" ",255)),255))," ")</f>
        <v xml:space="preserve"> </v>
      </c>
      <c r="G447" s="110">
        <f>COPY!Z439</f>
        <v>0</v>
      </c>
      <c r="H447" s="111" t="str">
        <f>IFERROR(VLOOKUP(Table1722[[#This Row],[Bukti]],'Un nOTA'!$A$4:$K$5003,10,FALSE),"")</f>
        <v/>
      </c>
      <c r="I447" s="112" t="str">
        <f>IFERROR(VLOOKUP(Table1722[[#This Row],[Bukti]],Table13[#Data],11,FALSE),"")</f>
        <v/>
      </c>
    </row>
    <row r="448" spans="1:9" ht="19.5" hidden="1" customHeight="1" x14ac:dyDescent="0.2">
      <c r="A448" s="105" t="str">
        <f>IF(D448=1,COUNTIF($D$10:D448,1)," ")</f>
        <v xml:space="preserve"> </v>
      </c>
      <c r="B448" s="106" t="str">
        <f>COPY!AR440</f>
        <v/>
      </c>
      <c r="C448" s="107">
        <f>COPY!AC440</f>
        <v>0</v>
      </c>
      <c r="D448" s="107" t="str">
        <f>IF(LEN(Table1722[[#This Row],[Uraian]])&gt;2,1," ")</f>
        <v xml:space="preserve"> </v>
      </c>
      <c r="E448" s="113" t="str">
        <f>IF(Table1722[[#This Row],[Lawan Transaksi]]="CV AGUNG KARYA",COUNTIF($I$10:I448,"CV AGUNG KARYA")," ")</f>
        <v xml:space="preserve"> </v>
      </c>
      <c r="F448" s="107" t="str">
        <f>IF(LEN(Table1722[[#This Row],[Uraian]])&gt;2,TRIM(RIGHT(SUBSTITUTE(TRIM(C448)," ",REPT(" ",255)),255))," ")</f>
        <v xml:space="preserve"> </v>
      </c>
      <c r="G448" s="110">
        <f>COPY!Z440</f>
        <v>0</v>
      </c>
      <c r="H448" s="111" t="str">
        <f>IFERROR(VLOOKUP(Table1722[[#This Row],[Bukti]],'Un nOTA'!$A$4:$K$5003,10,FALSE),"")</f>
        <v/>
      </c>
      <c r="I448" s="112" t="str">
        <f>IFERROR(VLOOKUP(Table1722[[#This Row],[Bukti]],Table13[#Data],11,FALSE),"")</f>
        <v/>
      </c>
    </row>
    <row r="449" spans="1:9" ht="19.5" hidden="1" customHeight="1" x14ac:dyDescent="0.2">
      <c r="A449" s="105" t="str">
        <f>IF(D449=1,COUNTIF($D$10:D449,1)," ")</f>
        <v xml:space="preserve"> </v>
      </c>
      <c r="B449" s="106" t="str">
        <f>COPY!AR441</f>
        <v/>
      </c>
      <c r="C449" s="107">
        <f>COPY!AC441</f>
        <v>0</v>
      </c>
      <c r="D449" s="107" t="str">
        <f>IF(LEN(Table1722[[#This Row],[Uraian]])&gt;2,1," ")</f>
        <v xml:space="preserve"> </v>
      </c>
      <c r="E449" s="113" t="str">
        <f>IF(Table1722[[#This Row],[Lawan Transaksi]]="CV AGUNG KARYA",COUNTIF($I$10:I449,"CV AGUNG KARYA")," ")</f>
        <v xml:space="preserve"> </v>
      </c>
      <c r="F449" s="107" t="str">
        <f>IF(LEN(Table1722[[#This Row],[Uraian]])&gt;2,TRIM(RIGHT(SUBSTITUTE(TRIM(C449)," ",REPT(" ",255)),255))," ")</f>
        <v xml:space="preserve"> </v>
      </c>
      <c r="G449" s="110">
        <f>COPY!Z441</f>
        <v>0</v>
      </c>
      <c r="H449" s="111" t="str">
        <f>IFERROR(VLOOKUP(Table1722[[#This Row],[Bukti]],'Un nOTA'!$A$4:$K$5003,10,FALSE),"")</f>
        <v/>
      </c>
      <c r="I449" s="112" t="str">
        <f>IFERROR(VLOOKUP(Table1722[[#This Row],[Bukti]],Table13[#Data],11,FALSE),"")</f>
        <v/>
      </c>
    </row>
    <row r="450" spans="1:9" ht="19.5" hidden="1" customHeight="1" x14ac:dyDescent="0.2">
      <c r="A450" s="105" t="str">
        <f>IF(D450=1,COUNTIF($D$10:D450,1)," ")</f>
        <v xml:space="preserve"> </v>
      </c>
      <c r="B450" s="106" t="str">
        <f>COPY!AR442</f>
        <v/>
      </c>
      <c r="C450" s="107">
        <f>COPY!AC442</f>
        <v>0</v>
      </c>
      <c r="D450" s="107" t="str">
        <f>IF(LEN(Table1722[[#This Row],[Uraian]])&gt;2,1," ")</f>
        <v xml:space="preserve"> </v>
      </c>
      <c r="E450" s="113" t="str">
        <f>IF(Table1722[[#This Row],[Lawan Transaksi]]="CV AGUNG KARYA",COUNTIF($I$10:I450,"CV AGUNG KARYA")," ")</f>
        <v xml:space="preserve"> </v>
      </c>
      <c r="F450" s="107" t="str">
        <f>IF(LEN(Table1722[[#This Row],[Uraian]])&gt;2,TRIM(RIGHT(SUBSTITUTE(TRIM(C450)," ",REPT(" ",255)),255))," ")</f>
        <v xml:space="preserve"> </v>
      </c>
      <c r="G450" s="110">
        <f>COPY!Z442</f>
        <v>0</v>
      </c>
      <c r="H450" s="111" t="str">
        <f>IFERROR(VLOOKUP(Table1722[[#This Row],[Bukti]],'Un nOTA'!$A$4:$K$5003,10,FALSE),"")</f>
        <v/>
      </c>
      <c r="I450" s="112" t="str">
        <f>IFERROR(VLOOKUP(Table1722[[#This Row],[Bukti]],Table13[#Data],11,FALSE),"")</f>
        <v/>
      </c>
    </row>
    <row r="451" spans="1:9" ht="19.5" hidden="1" customHeight="1" x14ac:dyDescent="0.2">
      <c r="A451" s="105" t="str">
        <f>IF(D451=1,COUNTIF($D$10:D451,1)," ")</f>
        <v xml:space="preserve"> </v>
      </c>
      <c r="B451" s="106" t="str">
        <f>COPY!AR443</f>
        <v/>
      </c>
      <c r="C451" s="107">
        <f>COPY!AC443</f>
        <v>0</v>
      </c>
      <c r="D451" s="107" t="str">
        <f>IF(LEN(Table1722[[#This Row],[Uraian]])&gt;2,1," ")</f>
        <v xml:space="preserve"> </v>
      </c>
      <c r="E451" s="113" t="str">
        <f>IF(Table1722[[#This Row],[Lawan Transaksi]]="CV AGUNG KARYA",COUNTIF($I$10:I451,"CV AGUNG KARYA")," ")</f>
        <v xml:space="preserve"> </v>
      </c>
      <c r="F451" s="107" t="str">
        <f>IF(LEN(Table1722[[#This Row],[Uraian]])&gt;2,TRIM(RIGHT(SUBSTITUTE(TRIM(C451)," ",REPT(" ",255)),255))," ")</f>
        <v xml:space="preserve"> </v>
      </c>
      <c r="G451" s="110">
        <f>COPY!Z443</f>
        <v>0</v>
      </c>
      <c r="H451" s="111" t="str">
        <f>IFERROR(VLOOKUP(Table1722[[#This Row],[Bukti]],'Un nOTA'!$A$4:$K$5003,10,FALSE),"")</f>
        <v/>
      </c>
      <c r="I451" s="112" t="str">
        <f>IFERROR(VLOOKUP(Table1722[[#This Row],[Bukti]],Table13[#Data],11,FALSE),"")</f>
        <v/>
      </c>
    </row>
    <row r="452" spans="1:9" ht="19.5" hidden="1" customHeight="1" x14ac:dyDescent="0.2">
      <c r="A452" s="105" t="str">
        <f>IF(D452=1,COUNTIF($D$10:D452,1)," ")</f>
        <v xml:space="preserve"> </v>
      </c>
      <c r="B452" s="106" t="str">
        <f>COPY!AR444</f>
        <v/>
      </c>
      <c r="C452" s="107">
        <f>COPY!AC444</f>
        <v>0</v>
      </c>
      <c r="D452" s="107" t="str">
        <f>IF(LEN(Table1722[[#This Row],[Uraian]])&gt;2,1," ")</f>
        <v xml:space="preserve"> </v>
      </c>
      <c r="E452" s="113" t="str">
        <f>IF(Table1722[[#This Row],[Lawan Transaksi]]="CV AGUNG KARYA",COUNTIF($I$10:I452,"CV AGUNG KARYA")," ")</f>
        <v xml:space="preserve"> </v>
      </c>
      <c r="F452" s="107" t="str">
        <f>IF(LEN(Table1722[[#This Row],[Uraian]])&gt;2,TRIM(RIGHT(SUBSTITUTE(TRIM(C452)," ",REPT(" ",255)),255))," ")</f>
        <v xml:space="preserve"> </v>
      </c>
      <c r="G452" s="110">
        <f>COPY!Z444</f>
        <v>0</v>
      </c>
      <c r="H452" s="111" t="str">
        <f>IFERROR(VLOOKUP(Table1722[[#This Row],[Bukti]],'Un nOTA'!$A$4:$K$5003,10,FALSE),"")</f>
        <v/>
      </c>
      <c r="I452" s="112" t="str">
        <f>IFERROR(VLOOKUP(Table1722[[#This Row],[Bukti]],Table13[#Data],11,FALSE),"")</f>
        <v/>
      </c>
    </row>
    <row r="453" spans="1:9" ht="19.5" hidden="1" customHeight="1" x14ac:dyDescent="0.2">
      <c r="A453" s="105" t="str">
        <f>IF(D453=1,COUNTIF($D$10:D453,1)," ")</f>
        <v xml:space="preserve"> </v>
      </c>
      <c r="B453" s="106" t="str">
        <f>COPY!AR445</f>
        <v/>
      </c>
      <c r="C453" s="107">
        <f>COPY!AC445</f>
        <v>0</v>
      </c>
      <c r="D453" s="107" t="str">
        <f>IF(LEN(Table1722[[#This Row],[Uraian]])&gt;2,1," ")</f>
        <v xml:space="preserve"> </v>
      </c>
      <c r="E453" s="113" t="str">
        <f>IF(Table1722[[#This Row],[Lawan Transaksi]]="CV AGUNG KARYA",COUNTIF($I$10:I453,"CV AGUNG KARYA")," ")</f>
        <v xml:space="preserve"> </v>
      </c>
      <c r="F453" s="107" t="str">
        <f>IF(LEN(Table1722[[#This Row],[Uraian]])&gt;2,TRIM(RIGHT(SUBSTITUTE(TRIM(C453)," ",REPT(" ",255)),255))," ")</f>
        <v xml:space="preserve"> </v>
      </c>
      <c r="G453" s="110">
        <f>COPY!Z445</f>
        <v>0</v>
      </c>
      <c r="H453" s="111" t="str">
        <f>IFERROR(VLOOKUP(Table1722[[#This Row],[Bukti]],'Un nOTA'!$A$4:$K$5003,10,FALSE),"")</f>
        <v/>
      </c>
      <c r="I453" s="112" t="str">
        <f>IFERROR(VLOOKUP(Table1722[[#This Row],[Bukti]],Table13[#Data],11,FALSE),"")</f>
        <v/>
      </c>
    </row>
    <row r="454" spans="1:9" ht="19.5" hidden="1" customHeight="1" x14ac:dyDescent="0.2">
      <c r="A454" s="105" t="str">
        <f>IF(D454=1,COUNTIF($D$10:D454,1)," ")</f>
        <v xml:space="preserve"> </v>
      </c>
      <c r="B454" s="106" t="str">
        <f>COPY!AR446</f>
        <v/>
      </c>
      <c r="C454" s="107">
        <f>COPY!AC446</f>
        <v>0</v>
      </c>
      <c r="D454" s="107" t="str">
        <f>IF(LEN(Table1722[[#This Row],[Uraian]])&gt;2,1," ")</f>
        <v xml:space="preserve"> </v>
      </c>
      <c r="E454" s="113" t="str">
        <f>IF(Table1722[[#This Row],[Lawan Transaksi]]="CV AGUNG KARYA",COUNTIF($I$10:I454,"CV AGUNG KARYA")," ")</f>
        <v xml:space="preserve"> </v>
      </c>
      <c r="F454" s="107" t="str">
        <f>IF(LEN(Table1722[[#This Row],[Uraian]])&gt;2,TRIM(RIGHT(SUBSTITUTE(TRIM(C454)," ",REPT(" ",255)),255))," ")</f>
        <v xml:space="preserve"> </v>
      </c>
      <c r="G454" s="110">
        <f>COPY!Z446</f>
        <v>0</v>
      </c>
      <c r="H454" s="111" t="str">
        <f>IFERROR(VLOOKUP(Table1722[[#This Row],[Bukti]],'Un nOTA'!$A$4:$K$5003,10,FALSE),"")</f>
        <v/>
      </c>
      <c r="I454" s="112" t="str">
        <f>IFERROR(VLOOKUP(Table1722[[#This Row],[Bukti]],Table13[#Data],11,FALSE),"")</f>
        <v/>
      </c>
    </row>
    <row r="455" spans="1:9" ht="19.5" hidden="1" customHeight="1" x14ac:dyDescent="0.2">
      <c r="A455" s="105" t="str">
        <f>IF(D455=1,COUNTIF($D$10:D455,1)," ")</f>
        <v xml:space="preserve"> </v>
      </c>
      <c r="B455" s="106" t="str">
        <f>COPY!AR447</f>
        <v/>
      </c>
      <c r="C455" s="107">
        <f>COPY!AC447</f>
        <v>0</v>
      </c>
      <c r="D455" s="107" t="str">
        <f>IF(LEN(Table1722[[#This Row],[Uraian]])&gt;2,1," ")</f>
        <v xml:space="preserve"> </v>
      </c>
      <c r="E455" s="113" t="str">
        <f>IF(Table1722[[#This Row],[Lawan Transaksi]]="CV AGUNG KARYA",COUNTIF($I$10:I455,"CV AGUNG KARYA")," ")</f>
        <v xml:space="preserve"> </v>
      </c>
      <c r="F455" s="107" t="str">
        <f>IF(LEN(Table1722[[#This Row],[Uraian]])&gt;2,TRIM(RIGHT(SUBSTITUTE(TRIM(C455)," ",REPT(" ",255)),255))," ")</f>
        <v xml:space="preserve"> </v>
      </c>
      <c r="G455" s="110">
        <f>COPY!Z447</f>
        <v>0</v>
      </c>
      <c r="H455" s="111" t="str">
        <f>IFERROR(VLOOKUP(Table1722[[#This Row],[Bukti]],'Un nOTA'!$A$4:$K$5003,10,FALSE),"")</f>
        <v/>
      </c>
      <c r="I455" s="112" t="str">
        <f>IFERROR(VLOOKUP(Table1722[[#This Row],[Bukti]],Table13[#Data],11,FALSE),"")</f>
        <v/>
      </c>
    </row>
    <row r="456" spans="1:9" ht="19.5" hidden="1" customHeight="1" x14ac:dyDescent="0.2">
      <c r="A456" s="105" t="str">
        <f>IF(D456=1,COUNTIF($D$10:D456,1)," ")</f>
        <v xml:space="preserve"> </v>
      </c>
      <c r="B456" s="106" t="str">
        <f>COPY!AR448</f>
        <v/>
      </c>
      <c r="C456" s="107">
        <f>COPY!AC448</f>
        <v>0</v>
      </c>
      <c r="D456" s="107" t="str">
        <f>IF(LEN(Table1722[[#This Row],[Uraian]])&gt;2,1," ")</f>
        <v xml:space="preserve"> </v>
      </c>
      <c r="E456" s="113" t="str">
        <f>IF(Table1722[[#This Row],[Lawan Transaksi]]="CV AGUNG KARYA",COUNTIF($I$10:I456,"CV AGUNG KARYA")," ")</f>
        <v xml:space="preserve"> </v>
      </c>
      <c r="F456" s="107" t="str">
        <f>IF(LEN(Table1722[[#This Row],[Uraian]])&gt;2,TRIM(RIGHT(SUBSTITUTE(TRIM(C456)," ",REPT(" ",255)),255))," ")</f>
        <v xml:space="preserve"> </v>
      </c>
      <c r="G456" s="110">
        <f>COPY!Z448</f>
        <v>0</v>
      </c>
      <c r="H456" s="111" t="str">
        <f>IFERROR(VLOOKUP(Table1722[[#This Row],[Bukti]],'Un nOTA'!$A$4:$K$5003,10,FALSE),"")</f>
        <v/>
      </c>
      <c r="I456" s="112" t="str">
        <f>IFERROR(VLOOKUP(Table1722[[#This Row],[Bukti]],Table13[#Data],11,FALSE),"")</f>
        <v/>
      </c>
    </row>
    <row r="457" spans="1:9" ht="19.5" hidden="1" customHeight="1" x14ac:dyDescent="0.2">
      <c r="A457" s="105" t="str">
        <f>IF(D457=1,COUNTIF($D$10:D457,1)," ")</f>
        <v xml:space="preserve"> </v>
      </c>
      <c r="B457" s="106" t="str">
        <f>COPY!AR449</f>
        <v/>
      </c>
      <c r="C457" s="107">
        <f>COPY!AC449</f>
        <v>0</v>
      </c>
      <c r="D457" s="107" t="str">
        <f>IF(LEN(Table1722[[#This Row],[Uraian]])&gt;2,1," ")</f>
        <v xml:space="preserve"> </v>
      </c>
      <c r="E457" s="113" t="str">
        <f>IF(Table1722[[#This Row],[Lawan Transaksi]]="CV AGUNG KARYA",COUNTIF($I$10:I457,"CV AGUNG KARYA")," ")</f>
        <v xml:space="preserve"> </v>
      </c>
      <c r="F457" s="107" t="str">
        <f>IF(LEN(Table1722[[#This Row],[Uraian]])&gt;2,TRIM(RIGHT(SUBSTITUTE(TRIM(C457)," ",REPT(" ",255)),255))," ")</f>
        <v xml:space="preserve"> </v>
      </c>
      <c r="G457" s="110">
        <f>COPY!Z449</f>
        <v>0</v>
      </c>
      <c r="H457" s="111" t="str">
        <f>IFERROR(VLOOKUP(Table1722[[#This Row],[Bukti]],'Un nOTA'!$A$4:$K$5003,10,FALSE),"")</f>
        <v/>
      </c>
      <c r="I457" s="112" t="str">
        <f>IFERROR(VLOOKUP(Table1722[[#This Row],[Bukti]],Table13[#Data],11,FALSE),"")</f>
        <v/>
      </c>
    </row>
    <row r="458" spans="1:9" ht="19.5" hidden="1" customHeight="1" x14ac:dyDescent="0.2">
      <c r="A458" s="105" t="str">
        <f>IF(D458=1,COUNTIF($D$10:D458,1)," ")</f>
        <v xml:space="preserve"> </v>
      </c>
      <c r="B458" s="106" t="str">
        <f>COPY!AR450</f>
        <v/>
      </c>
      <c r="C458" s="107">
        <f>COPY!AC450</f>
        <v>0</v>
      </c>
      <c r="D458" s="107" t="str">
        <f>IF(LEN(Table1722[[#This Row],[Uraian]])&gt;2,1," ")</f>
        <v xml:space="preserve"> </v>
      </c>
      <c r="E458" s="113" t="str">
        <f>IF(Table1722[[#This Row],[Lawan Transaksi]]="CV AGUNG KARYA",COUNTIF($I$10:I458,"CV AGUNG KARYA")," ")</f>
        <v xml:space="preserve"> </v>
      </c>
      <c r="F458" s="107" t="str">
        <f>IF(LEN(Table1722[[#This Row],[Uraian]])&gt;2,TRIM(RIGHT(SUBSTITUTE(TRIM(C458)," ",REPT(" ",255)),255))," ")</f>
        <v xml:space="preserve"> </v>
      </c>
      <c r="G458" s="110">
        <f>COPY!Z450</f>
        <v>0</v>
      </c>
      <c r="H458" s="111" t="str">
        <f>IFERROR(VLOOKUP(Table1722[[#This Row],[Bukti]],'Un nOTA'!$A$4:$K$5003,10,FALSE),"")</f>
        <v/>
      </c>
      <c r="I458" s="112" t="str">
        <f>IFERROR(VLOOKUP(Table1722[[#This Row],[Bukti]],Table13[#Data],11,FALSE),"")</f>
        <v/>
      </c>
    </row>
    <row r="459" spans="1:9" ht="19.5" hidden="1" customHeight="1" x14ac:dyDescent="0.2">
      <c r="A459" s="105" t="str">
        <f>IF(D459=1,COUNTIF($D$10:D459,1)," ")</f>
        <v xml:space="preserve"> </v>
      </c>
      <c r="B459" s="106" t="str">
        <f>COPY!AR451</f>
        <v/>
      </c>
      <c r="C459" s="107">
        <f>COPY!AC451</f>
        <v>0</v>
      </c>
      <c r="D459" s="107" t="str">
        <f>IF(LEN(Table1722[[#This Row],[Uraian]])&gt;2,1," ")</f>
        <v xml:space="preserve"> </v>
      </c>
      <c r="E459" s="113" t="str">
        <f>IF(Table1722[[#This Row],[Lawan Transaksi]]="CV AGUNG KARYA",COUNTIF($I$10:I459,"CV AGUNG KARYA")," ")</f>
        <v xml:space="preserve"> </v>
      </c>
      <c r="F459" s="107" t="str">
        <f>IF(LEN(Table1722[[#This Row],[Uraian]])&gt;2,TRIM(RIGHT(SUBSTITUTE(TRIM(C459)," ",REPT(" ",255)),255))," ")</f>
        <v xml:space="preserve"> </v>
      </c>
      <c r="G459" s="110">
        <f>COPY!Z451</f>
        <v>0</v>
      </c>
      <c r="H459" s="111" t="str">
        <f>IFERROR(VLOOKUP(Table1722[[#This Row],[Bukti]],'Un nOTA'!$A$4:$K$5003,10,FALSE),"")</f>
        <v/>
      </c>
      <c r="I459" s="112" t="str">
        <f>IFERROR(VLOOKUP(Table1722[[#This Row],[Bukti]],Table13[#Data],11,FALSE),"")</f>
        <v/>
      </c>
    </row>
    <row r="460" spans="1:9" ht="19.5" hidden="1" customHeight="1" x14ac:dyDescent="0.2">
      <c r="A460" s="105" t="str">
        <f>IF(D460=1,COUNTIF($D$10:D460,1)," ")</f>
        <v xml:space="preserve"> </v>
      </c>
      <c r="B460" s="106" t="str">
        <f>COPY!AR452</f>
        <v/>
      </c>
      <c r="C460" s="107">
        <f>COPY!AC452</f>
        <v>0</v>
      </c>
      <c r="D460" s="107" t="str">
        <f>IF(LEN(Table1722[[#This Row],[Uraian]])&gt;2,1," ")</f>
        <v xml:space="preserve"> </v>
      </c>
      <c r="E460" s="113" t="str">
        <f>IF(Table1722[[#This Row],[Lawan Transaksi]]="CV AGUNG KARYA",COUNTIF($I$10:I460,"CV AGUNG KARYA")," ")</f>
        <v xml:space="preserve"> </v>
      </c>
      <c r="F460" s="107" t="str">
        <f>IF(LEN(Table1722[[#This Row],[Uraian]])&gt;2,TRIM(RIGHT(SUBSTITUTE(TRIM(C460)," ",REPT(" ",255)),255))," ")</f>
        <v xml:space="preserve"> </v>
      </c>
      <c r="G460" s="110">
        <f>COPY!Z452</f>
        <v>0</v>
      </c>
      <c r="H460" s="111" t="str">
        <f>IFERROR(VLOOKUP(Table1722[[#This Row],[Bukti]],'Un nOTA'!$A$4:$K$5003,10,FALSE),"")</f>
        <v/>
      </c>
      <c r="I460" s="112" t="str">
        <f>IFERROR(VLOOKUP(Table1722[[#This Row],[Bukti]],Table13[#Data],11,FALSE),"")</f>
        <v/>
      </c>
    </row>
    <row r="461" spans="1:9" ht="19.5" hidden="1" customHeight="1" x14ac:dyDescent="0.2">
      <c r="A461" s="105" t="str">
        <f>IF(D461=1,COUNTIF($D$10:D461,1)," ")</f>
        <v xml:space="preserve"> </v>
      </c>
      <c r="B461" s="106" t="str">
        <f>COPY!AR453</f>
        <v/>
      </c>
      <c r="C461" s="107">
        <f>COPY!AC453</f>
        <v>0</v>
      </c>
      <c r="D461" s="107" t="str">
        <f>IF(LEN(Table1722[[#This Row],[Uraian]])&gt;2,1," ")</f>
        <v xml:space="preserve"> </v>
      </c>
      <c r="E461" s="113" t="str">
        <f>IF(Table1722[[#This Row],[Lawan Transaksi]]="CV AGUNG KARYA",COUNTIF($I$10:I461,"CV AGUNG KARYA")," ")</f>
        <v xml:space="preserve"> </v>
      </c>
      <c r="F461" s="107" t="str">
        <f>IF(LEN(Table1722[[#This Row],[Uraian]])&gt;2,TRIM(RIGHT(SUBSTITUTE(TRIM(C461)," ",REPT(" ",255)),255))," ")</f>
        <v xml:space="preserve"> </v>
      </c>
      <c r="G461" s="110">
        <f>COPY!Z453</f>
        <v>0</v>
      </c>
      <c r="H461" s="111" t="str">
        <f>IFERROR(VLOOKUP(Table1722[[#This Row],[Bukti]],'Un nOTA'!$A$4:$K$5003,10,FALSE),"")</f>
        <v/>
      </c>
      <c r="I461" s="112" t="str">
        <f>IFERROR(VLOOKUP(Table1722[[#This Row],[Bukti]],Table13[#Data],11,FALSE),"")</f>
        <v/>
      </c>
    </row>
    <row r="462" spans="1:9" ht="19.5" hidden="1" customHeight="1" x14ac:dyDescent="0.2">
      <c r="A462" s="105" t="str">
        <f>IF(D462=1,COUNTIF($D$10:D462,1)," ")</f>
        <v xml:space="preserve"> </v>
      </c>
      <c r="B462" s="106" t="str">
        <f>COPY!AR454</f>
        <v/>
      </c>
      <c r="C462" s="107">
        <f>COPY!AC454</f>
        <v>0</v>
      </c>
      <c r="D462" s="107" t="str">
        <f>IF(LEN(Table1722[[#This Row],[Uraian]])&gt;2,1," ")</f>
        <v xml:space="preserve"> </v>
      </c>
      <c r="E462" s="113" t="str">
        <f>IF(Table1722[[#This Row],[Lawan Transaksi]]="CV AGUNG KARYA",COUNTIF($I$10:I462,"CV AGUNG KARYA")," ")</f>
        <v xml:space="preserve"> </v>
      </c>
      <c r="F462" s="107" t="str">
        <f>IF(LEN(Table1722[[#This Row],[Uraian]])&gt;2,TRIM(RIGHT(SUBSTITUTE(TRIM(C462)," ",REPT(" ",255)),255))," ")</f>
        <v xml:space="preserve"> </v>
      </c>
      <c r="G462" s="110">
        <f>COPY!Z454</f>
        <v>0</v>
      </c>
      <c r="H462" s="111" t="str">
        <f>IFERROR(VLOOKUP(Table1722[[#This Row],[Bukti]],'Un nOTA'!$A$4:$K$5003,10,FALSE),"")</f>
        <v/>
      </c>
      <c r="I462" s="112" t="str">
        <f>IFERROR(VLOOKUP(Table1722[[#This Row],[Bukti]],Table13[#Data],11,FALSE),"")</f>
        <v/>
      </c>
    </row>
    <row r="463" spans="1:9" ht="19.5" hidden="1" customHeight="1" x14ac:dyDescent="0.2">
      <c r="A463" s="105" t="str">
        <f>IF(D463=1,COUNTIF($D$10:D463,1)," ")</f>
        <v xml:space="preserve"> </v>
      </c>
      <c r="B463" s="106" t="str">
        <f>COPY!AR455</f>
        <v/>
      </c>
      <c r="C463" s="107">
        <f>COPY!AC455</f>
        <v>0</v>
      </c>
      <c r="D463" s="107" t="str">
        <f>IF(LEN(Table1722[[#This Row],[Uraian]])&gt;2,1," ")</f>
        <v xml:space="preserve"> </v>
      </c>
      <c r="E463" s="113" t="str">
        <f>IF(Table1722[[#This Row],[Lawan Transaksi]]="CV AGUNG KARYA",COUNTIF($I$10:I463,"CV AGUNG KARYA")," ")</f>
        <v xml:space="preserve"> </v>
      </c>
      <c r="F463" s="107" t="str">
        <f>IF(LEN(Table1722[[#This Row],[Uraian]])&gt;2,TRIM(RIGHT(SUBSTITUTE(TRIM(C463)," ",REPT(" ",255)),255))," ")</f>
        <v xml:space="preserve"> </v>
      </c>
      <c r="G463" s="110">
        <f>COPY!Z455</f>
        <v>0</v>
      </c>
      <c r="H463" s="111" t="str">
        <f>IFERROR(VLOOKUP(Table1722[[#This Row],[Bukti]],'Un nOTA'!$A$4:$K$5003,10,FALSE),"")</f>
        <v/>
      </c>
      <c r="I463" s="112" t="str">
        <f>IFERROR(VLOOKUP(Table1722[[#This Row],[Bukti]],Table13[#Data],11,FALSE),"")</f>
        <v/>
      </c>
    </row>
    <row r="464" spans="1:9" ht="19.5" hidden="1" customHeight="1" x14ac:dyDescent="0.2">
      <c r="A464" s="105" t="str">
        <f>IF(D464=1,COUNTIF($D$10:D464,1)," ")</f>
        <v xml:space="preserve"> </v>
      </c>
      <c r="B464" s="106" t="str">
        <f>COPY!AR456</f>
        <v/>
      </c>
      <c r="C464" s="107">
        <f>COPY!AC456</f>
        <v>0</v>
      </c>
      <c r="D464" s="107" t="str">
        <f>IF(LEN(Table1722[[#This Row],[Uraian]])&gt;2,1," ")</f>
        <v xml:space="preserve"> </v>
      </c>
      <c r="E464" s="113" t="str">
        <f>IF(Table1722[[#This Row],[Lawan Transaksi]]="CV AGUNG KARYA",COUNTIF($I$10:I464,"CV AGUNG KARYA")," ")</f>
        <v xml:space="preserve"> </v>
      </c>
      <c r="F464" s="107" t="str">
        <f>IF(LEN(Table1722[[#This Row],[Uraian]])&gt;2,TRIM(RIGHT(SUBSTITUTE(TRIM(C464)," ",REPT(" ",255)),255))," ")</f>
        <v xml:space="preserve"> </v>
      </c>
      <c r="G464" s="110">
        <f>COPY!Z456</f>
        <v>0</v>
      </c>
      <c r="H464" s="111" t="str">
        <f>IFERROR(VLOOKUP(Table1722[[#This Row],[Bukti]],'Un nOTA'!$A$4:$K$5003,10,FALSE),"")</f>
        <v/>
      </c>
      <c r="I464" s="112" t="str">
        <f>IFERROR(VLOOKUP(Table1722[[#This Row],[Bukti]],Table13[#Data],11,FALSE),"")</f>
        <v/>
      </c>
    </row>
    <row r="465" spans="1:9" ht="19.5" hidden="1" customHeight="1" x14ac:dyDescent="0.2">
      <c r="A465" s="105" t="str">
        <f>IF(D465=1,COUNTIF($D$10:D465,1)," ")</f>
        <v xml:space="preserve"> </v>
      </c>
      <c r="B465" s="106" t="str">
        <f>COPY!AR457</f>
        <v/>
      </c>
      <c r="C465" s="107">
        <f>COPY!AC457</f>
        <v>0</v>
      </c>
      <c r="D465" s="107" t="str">
        <f>IF(LEN(Table1722[[#This Row],[Uraian]])&gt;2,1," ")</f>
        <v xml:space="preserve"> </v>
      </c>
      <c r="E465" s="113" t="str">
        <f>IF(Table1722[[#This Row],[Lawan Transaksi]]="CV AGUNG KARYA",COUNTIF($I$10:I465,"CV AGUNG KARYA")," ")</f>
        <v xml:space="preserve"> </v>
      </c>
      <c r="F465" s="107" t="str">
        <f>IF(LEN(Table1722[[#This Row],[Uraian]])&gt;2,TRIM(RIGHT(SUBSTITUTE(TRIM(C465)," ",REPT(" ",255)),255))," ")</f>
        <v xml:space="preserve"> </v>
      </c>
      <c r="G465" s="110">
        <f>COPY!Z457</f>
        <v>0</v>
      </c>
      <c r="H465" s="111" t="str">
        <f>IFERROR(VLOOKUP(Table1722[[#This Row],[Bukti]],'Un nOTA'!$A$4:$K$5003,10,FALSE),"")</f>
        <v/>
      </c>
      <c r="I465" s="112" t="str">
        <f>IFERROR(VLOOKUP(Table1722[[#This Row],[Bukti]],Table13[#Data],11,FALSE),"")</f>
        <v/>
      </c>
    </row>
    <row r="466" spans="1:9" ht="19.5" hidden="1" customHeight="1" x14ac:dyDescent="0.2">
      <c r="A466" s="105" t="str">
        <f>IF(D466=1,COUNTIF($D$10:D466,1)," ")</f>
        <v xml:space="preserve"> </v>
      </c>
      <c r="B466" s="106" t="str">
        <f>COPY!AR458</f>
        <v/>
      </c>
      <c r="C466" s="107">
        <f>COPY!AC458</f>
        <v>0</v>
      </c>
      <c r="D466" s="107" t="str">
        <f>IF(LEN(Table1722[[#This Row],[Uraian]])&gt;2,1," ")</f>
        <v xml:space="preserve"> </v>
      </c>
      <c r="E466" s="113" t="str">
        <f>IF(Table1722[[#This Row],[Lawan Transaksi]]="CV AGUNG KARYA",COUNTIF($I$10:I466,"CV AGUNG KARYA")," ")</f>
        <v xml:space="preserve"> </v>
      </c>
      <c r="F466" s="107" t="str">
        <f>IF(LEN(Table1722[[#This Row],[Uraian]])&gt;2,TRIM(RIGHT(SUBSTITUTE(TRIM(C466)," ",REPT(" ",255)),255))," ")</f>
        <v xml:space="preserve"> </v>
      </c>
      <c r="G466" s="110">
        <f>COPY!Z458</f>
        <v>0</v>
      </c>
      <c r="H466" s="111" t="str">
        <f>IFERROR(VLOOKUP(Table1722[[#This Row],[Bukti]],'Un nOTA'!$A$4:$K$5003,10,FALSE),"")</f>
        <v/>
      </c>
      <c r="I466" s="112" t="str">
        <f>IFERROR(VLOOKUP(Table1722[[#This Row],[Bukti]],Table13[#Data],11,FALSE),"")</f>
        <v/>
      </c>
    </row>
    <row r="467" spans="1:9" ht="19.5" hidden="1" customHeight="1" x14ac:dyDescent="0.2">
      <c r="A467" s="105" t="str">
        <f>IF(D467=1,COUNTIF($D$10:D467,1)," ")</f>
        <v xml:space="preserve"> </v>
      </c>
      <c r="B467" s="106" t="str">
        <f>COPY!AR459</f>
        <v/>
      </c>
      <c r="C467" s="107">
        <f>COPY!AC459</f>
        <v>0</v>
      </c>
      <c r="D467" s="107" t="str">
        <f>IF(LEN(Table1722[[#This Row],[Uraian]])&gt;2,1," ")</f>
        <v xml:space="preserve"> </v>
      </c>
      <c r="E467" s="113" t="str">
        <f>IF(Table1722[[#This Row],[Lawan Transaksi]]="CV AGUNG KARYA",COUNTIF($I$10:I467,"CV AGUNG KARYA")," ")</f>
        <v xml:space="preserve"> </v>
      </c>
      <c r="F467" s="107" t="str">
        <f>IF(LEN(Table1722[[#This Row],[Uraian]])&gt;2,TRIM(RIGHT(SUBSTITUTE(TRIM(C467)," ",REPT(" ",255)),255))," ")</f>
        <v xml:space="preserve"> </v>
      </c>
      <c r="G467" s="110">
        <f>COPY!Z459</f>
        <v>0</v>
      </c>
      <c r="H467" s="111" t="str">
        <f>IFERROR(VLOOKUP(Table1722[[#This Row],[Bukti]],'Un nOTA'!$A$4:$K$5003,10,FALSE),"")</f>
        <v/>
      </c>
      <c r="I467" s="112" t="str">
        <f>IFERROR(VLOOKUP(Table1722[[#This Row],[Bukti]],Table13[#Data],11,FALSE),"")</f>
        <v/>
      </c>
    </row>
    <row r="468" spans="1:9" ht="19.5" hidden="1" customHeight="1" x14ac:dyDescent="0.2">
      <c r="A468" s="105" t="str">
        <f>IF(D468=1,COUNTIF($D$10:D468,1)," ")</f>
        <v xml:space="preserve"> </v>
      </c>
      <c r="B468" s="106" t="str">
        <f>COPY!AR460</f>
        <v/>
      </c>
      <c r="C468" s="107">
        <f>COPY!AC460</f>
        <v>0</v>
      </c>
      <c r="D468" s="107" t="str">
        <f>IF(LEN(Table1722[[#This Row],[Uraian]])&gt;2,1," ")</f>
        <v xml:space="preserve"> </v>
      </c>
      <c r="E468" s="113" t="str">
        <f>IF(Table1722[[#This Row],[Lawan Transaksi]]="CV AGUNG KARYA",COUNTIF($I$10:I468,"CV AGUNG KARYA")," ")</f>
        <v xml:space="preserve"> </v>
      </c>
      <c r="F468" s="107" t="str">
        <f>IF(LEN(Table1722[[#This Row],[Uraian]])&gt;2,TRIM(RIGHT(SUBSTITUTE(TRIM(C468)," ",REPT(" ",255)),255))," ")</f>
        <v xml:space="preserve"> </v>
      </c>
      <c r="G468" s="110">
        <f>COPY!Z460</f>
        <v>0</v>
      </c>
      <c r="H468" s="111" t="str">
        <f>IFERROR(VLOOKUP(Table1722[[#This Row],[Bukti]],'Un nOTA'!$A$4:$K$5003,10,FALSE),"")</f>
        <v/>
      </c>
      <c r="I468" s="112" t="str">
        <f>IFERROR(VLOOKUP(Table1722[[#This Row],[Bukti]],Table13[#Data],11,FALSE),"")</f>
        <v/>
      </c>
    </row>
    <row r="469" spans="1:9" ht="19.5" hidden="1" customHeight="1" x14ac:dyDescent="0.2">
      <c r="A469" s="105" t="str">
        <f>IF(D469=1,COUNTIF($D$10:D469,1)," ")</f>
        <v xml:space="preserve"> </v>
      </c>
      <c r="B469" s="106" t="str">
        <f>COPY!AR461</f>
        <v/>
      </c>
      <c r="C469" s="107">
        <f>COPY!AC461</f>
        <v>0</v>
      </c>
      <c r="D469" s="107" t="str">
        <f>IF(LEN(Table1722[[#This Row],[Uraian]])&gt;2,1," ")</f>
        <v xml:space="preserve"> </v>
      </c>
      <c r="E469" s="113" t="str">
        <f>IF(Table1722[[#This Row],[Lawan Transaksi]]="CV AGUNG KARYA",COUNTIF($I$10:I469,"CV AGUNG KARYA")," ")</f>
        <v xml:space="preserve"> </v>
      </c>
      <c r="F469" s="107" t="str">
        <f>IF(LEN(Table1722[[#This Row],[Uraian]])&gt;2,TRIM(RIGHT(SUBSTITUTE(TRIM(C469)," ",REPT(" ",255)),255))," ")</f>
        <v xml:space="preserve"> </v>
      </c>
      <c r="G469" s="110">
        <f>COPY!Z461</f>
        <v>0</v>
      </c>
      <c r="H469" s="111" t="str">
        <f>IFERROR(VLOOKUP(Table1722[[#This Row],[Bukti]],'Un nOTA'!$A$4:$K$5003,10,FALSE),"")</f>
        <v/>
      </c>
      <c r="I469" s="112" t="str">
        <f>IFERROR(VLOOKUP(Table1722[[#This Row],[Bukti]],Table13[#Data],11,FALSE),"")</f>
        <v/>
      </c>
    </row>
    <row r="470" spans="1:9" ht="19.5" hidden="1" customHeight="1" x14ac:dyDescent="0.2">
      <c r="A470" s="105" t="str">
        <f>IF(D470=1,COUNTIF($D$10:D470,1)," ")</f>
        <v xml:space="preserve"> </v>
      </c>
      <c r="B470" s="106" t="str">
        <f>COPY!AR462</f>
        <v/>
      </c>
      <c r="C470" s="107">
        <f>COPY!AC462</f>
        <v>0</v>
      </c>
      <c r="D470" s="107" t="str">
        <f>IF(LEN(Table1722[[#This Row],[Uraian]])&gt;2,1," ")</f>
        <v xml:space="preserve"> </v>
      </c>
      <c r="E470" s="113" t="str">
        <f>IF(Table1722[[#This Row],[Lawan Transaksi]]="CV AGUNG KARYA",COUNTIF($I$10:I470,"CV AGUNG KARYA")," ")</f>
        <v xml:space="preserve"> </v>
      </c>
      <c r="F470" s="107" t="str">
        <f>IF(LEN(Table1722[[#This Row],[Uraian]])&gt;2,TRIM(RIGHT(SUBSTITUTE(TRIM(C470)," ",REPT(" ",255)),255))," ")</f>
        <v xml:space="preserve"> </v>
      </c>
      <c r="G470" s="110">
        <f>COPY!Z462</f>
        <v>0</v>
      </c>
      <c r="H470" s="111" t="str">
        <f>IFERROR(VLOOKUP(Table1722[[#This Row],[Bukti]],'Un nOTA'!$A$4:$K$5003,10,FALSE),"")</f>
        <v/>
      </c>
      <c r="I470" s="112" t="str">
        <f>IFERROR(VLOOKUP(Table1722[[#This Row],[Bukti]],Table13[#Data],11,FALSE),"")</f>
        <v/>
      </c>
    </row>
    <row r="471" spans="1:9" ht="19.5" hidden="1" customHeight="1" x14ac:dyDescent="0.2">
      <c r="A471" s="105" t="str">
        <f>IF(D471=1,COUNTIF($D$10:D471,1)," ")</f>
        <v xml:space="preserve"> </v>
      </c>
      <c r="B471" s="106" t="str">
        <f>COPY!AR463</f>
        <v/>
      </c>
      <c r="C471" s="107">
        <f>COPY!AC463</f>
        <v>0</v>
      </c>
      <c r="D471" s="107" t="str">
        <f>IF(LEN(Table1722[[#This Row],[Uraian]])&gt;2,1," ")</f>
        <v xml:space="preserve"> </v>
      </c>
      <c r="E471" s="113" t="str">
        <f>IF(Table1722[[#This Row],[Lawan Transaksi]]="CV AGUNG KARYA",COUNTIF($I$10:I471,"CV AGUNG KARYA")," ")</f>
        <v xml:space="preserve"> </v>
      </c>
      <c r="F471" s="107" t="str">
        <f>IF(LEN(Table1722[[#This Row],[Uraian]])&gt;2,TRIM(RIGHT(SUBSTITUTE(TRIM(C471)," ",REPT(" ",255)),255))," ")</f>
        <v xml:space="preserve"> </v>
      </c>
      <c r="G471" s="110">
        <f>COPY!Z463</f>
        <v>0</v>
      </c>
      <c r="H471" s="111" t="str">
        <f>IFERROR(VLOOKUP(Table1722[[#This Row],[Bukti]],'Un nOTA'!$A$4:$K$5003,10,FALSE),"")</f>
        <v/>
      </c>
      <c r="I471" s="112" t="str">
        <f>IFERROR(VLOOKUP(Table1722[[#This Row],[Bukti]],Table13[#Data],11,FALSE),"")</f>
        <v/>
      </c>
    </row>
    <row r="472" spans="1:9" ht="19.5" hidden="1" customHeight="1" x14ac:dyDescent="0.2">
      <c r="A472" s="105" t="str">
        <f>IF(D472=1,COUNTIF($D$10:D472,1)," ")</f>
        <v xml:space="preserve"> </v>
      </c>
      <c r="B472" s="106" t="str">
        <f>COPY!AR464</f>
        <v/>
      </c>
      <c r="C472" s="107">
        <f>COPY!AC464</f>
        <v>0</v>
      </c>
      <c r="D472" s="107" t="str">
        <f>IF(LEN(Table1722[[#This Row],[Uraian]])&gt;2,1," ")</f>
        <v xml:space="preserve"> </v>
      </c>
      <c r="E472" s="113" t="str">
        <f>IF(Table1722[[#This Row],[Lawan Transaksi]]="CV AGUNG KARYA",COUNTIF($I$10:I472,"CV AGUNG KARYA")," ")</f>
        <v xml:space="preserve"> </v>
      </c>
      <c r="F472" s="107" t="str">
        <f>IF(LEN(Table1722[[#This Row],[Uraian]])&gt;2,TRIM(RIGHT(SUBSTITUTE(TRIM(C472)," ",REPT(" ",255)),255))," ")</f>
        <v xml:space="preserve"> </v>
      </c>
      <c r="G472" s="110">
        <f>COPY!Z464</f>
        <v>0</v>
      </c>
      <c r="H472" s="111" t="str">
        <f>IFERROR(VLOOKUP(Table1722[[#This Row],[Bukti]],'Un nOTA'!$A$4:$K$5003,10,FALSE),"")</f>
        <v/>
      </c>
      <c r="I472" s="112" t="str">
        <f>IFERROR(VLOOKUP(Table1722[[#This Row],[Bukti]],Table13[#Data],11,FALSE),"")</f>
        <v/>
      </c>
    </row>
    <row r="473" spans="1:9" ht="19.5" hidden="1" customHeight="1" x14ac:dyDescent="0.2">
      <c r="A473" s="105" t="str">
        <f>IF(D473=1,COUNTIF($D$10:D473,1)," ")</f>
        <v xml:space="preserve"> </v>
      </c>
      <c r="B473" s="106" t="str">
        <f>COPY!AR465</f>
        <v/>
      </c>
      <c r="C473" s="107">
        <f>COPY!AC465</f>
        <v>0</v>
      </c>
      <c r="D473" s="107" t="str">
        <f>IF(LEN(Table1722[[#This Row],[Uraian]])&gt;2,1," ")</f>
        <v xml:space="preserve"> </v>
      </c>
      <c r="E473" s="113" t="str">
        <f>IF(Table1722[[#This Row],[Lawan Transaksi]]="CV AGUNG KARYA",COUNTIF($I$10:I473,"CV AGUNG KARYA")," ")</f>
        <v xml:space="preserve"> </v>
      </c>
      <c r="F473" s="107" t="str">
        <f>IF(LEN(Table1722[[#This Row],[Uraian]])&gt;2,TRIM(RIGHT(SUBSTITUTE(TRIM(C473)," ",REPT(" ",255)),255))," ")</f>
        <v xml:space="preserve"> </v>
      </c>
      <c r="G473" s="110">
        <f>COPY!Z465</f>
        <v>0</v>
      </c>
      <c r="H473" s="111" t="str">
        <f>IFERROR(VLOOKUP(Table1722[[#This Row],[Bukti]],'Un nOTA'!$A$4:$K$5003,10,FALSE),"")</f>
        <v/>
      </c>
      <c r="I473" s="112" t="str">
        <f>IFERROR(VLOOKUP(Table1722[[#This Row],[Bukti]],Table13[#Data],11,FALSE),"")</f>
        <v/>
      </c>
    </row>
    <row r="474" spans="1:9" ht="19.5" hidden="1" customHeight="1" x14ac:dyDescent="0.2">
      <c r="A474" s="105" t="str">
        <f>IF(D474=1,COUNTIF($D$10:D474,1)," ")</f>
        <v xml:space="preserve"> </v>
      </c>
      <c r="B474" s="106" t="str">
        <f>COPY!AR466</f>
        <v/>
      </c>
      <c r="C474" s="107">
        <f>COPY!AC466</f>
        <v>0</v>
      </c>
      <c r="D474" s="107" t="str">
        <f>IF(LEN(Table1722[[#This Row],[Uraian]])&gt;2,1," ")</f>
        <v xml:space="preserve"> </v>
      </c>
      <c r="E474" s="113" t="str">
        <f>IF(Table1722[[#This Row],[Lawan Transaksi]]="CV AGUNG KARYA",COUNTIF($I$10:I474,"CV AGUNG KARYA")," ")</f>
        <v xml:space="preserve"> </v>
      </c>
      <c r="F474" s="107" t="str">
        <f>IF(LEN(Table1722[[#This Row],[Uraian]])&gt;2,TRIM(RIGHT(SUBSTITUTE(TRIM(C474)," ",REPT(" ",255)),255))," ")</f>
        <v xml:space="preserve"> </v>
      </c>
      <c r="G474" s="110">
        <f>COPY!Z466</f>
        <v>0</v>
      </c>
      <c r="H474" s="111" t="str">
        <f>IFERROR(VLOOKUP(Table1722[[#This Row],[Bukti]],'Un nOTA'!$A$4:$K$5003,10,FALSE),"")</f>
        <v/>
      </c>
      <c r="I474" s="112" t="str">
        <f>IFERROR(VLOOKUP(Table1722[[#This Row],[Bukti]],Table13[#Data],11,FALSE),"")</f>
        <v/>
      </c>
    </row>
    <row r="475" spans="1:9" ht="19.5" hidden="1" customHeight="1" x14ac:dyDescent="0.2">
      <c r="A475" s="105" t="str">
        <f>IF(D475=1,COUNTIF($D$10:D475,1)," ")</f>
        <v xml:space="preserve"> </v>
      </c>
      <c r="B475" s="106" t="str">
        <f>COPY!AR467</f>
        <v/>
      </c>
      <c r="C475" s="107">
        <f>COPY!AC467</f>
        <v>0</v>
      </c>
      <c r="D475" s="107" t="str">
        <f>IF(LEN(Table1722[[#This Row],[Uraian]])&gt;2,1," ")</f>
        <v xml:space="preserve"> </v>
      </c>
      <c r="E475" s="113" t="str">
        <f>IF(Table1722[[#This Row],[Lawan Transaksi]]="CV AGUNG KARYA",COUNTIF($I$10:I475,"CV AGUNG KARYA")," ")</f>
        <v xml:space="preserve"> </v>
      </c>
      <c r="F475" s="107" t="str">
        <f>IF(LEN(Table1722[[#This Row],[Uraian]])&gt;2,TRIM(RIGHT(SUBSTITUTE(TRIM(C475)," ",REPT(" ",255)),255))," ")</f>
        <v xml:space="preserve"> </v>
      </c>
      <c r="G475" s="110">
        <f>COPY!Z467</f>
        <v>0</v>
      </c>
      <c r="H475" s="111" t="str">
        <f>IFERROR(VLOOKUP(Table1722[[#This Row],[Bukti]],'Un nOTA'!$A$4:$K$5003,10,FALSE),"")</f>
        <v/>
      </c>
      <c r="I475" s="112" t="str">
        <f>IFERROR(VLOOKUP(Table1722[[#This Row],[Bukti]],Table13[#Data],11,FALSE),"")</f>
        <v/>
      </c>
    </row>
    <row r="476" spans="1:9" ht="19.5" hidden="1" customHeight="1" x14ac:dyDescent="0.2">
      <c r="A476" s="105" t="str">
        <f>IF(D476=1,COUNTIF($D$10:D476,1)," ")</f>
        <v xml:space="preserve"> </v>
      </c>
      <c r="B476" s="106" t="str">
        <f>COPY!AR468</f>
        <v/>
      </c>
      <c r="C476" s="107">
        <f>COPY!AC468</f>
        <v>0</v>
      </c>
      <c r="D476" s="107" t="str">
        <f>IF(LEN(Table1722[[#This Row],[Uraian]])&gt;2,1," ")</f>
        <v xml:space="preserve"> </v>
      </c>
      <c r="E476" s="113" t="str">
        <f>IF(Table1722[[#This Row],[Lawan Transaksi]]="CV AGUNG KARYA",COUNTIF($I$10:I476,"CV AGUNG KARYA")," ")</f>
        <v xml:space="preserve"> </v>
      </c>
      <c r="F476" s="107" t="str">
        <f>IF(LEN(Table1722[[#This Row],[Uraian]])&gt;2,TRIM(RIGHT(SUBSTITUTE(TRIM(C476)," ",REPT(" ",255)),255))," ")</f>
        <v xml:space="preserve"> </v>
      </c>
      <c r="G476" s="110">
        <f>COPY!Z468</f>
        <v>0</v>
      </c>
      <c r="H476" s="111" t="str">
        <f>IFERROR(VLOOKUP(Table1722[[#This Row],[Bukti]],'Un nOTA'!$A$4:$K$5003,10,FALSE),"")</f>
        <v/>
      </c>
      <c r="I476" s="112" t="str">
        <f>IFERROR(VLOOKUP(Table1722[[#This Row],[Bukti]],Table13[#Data],11,FALSE),"")</f>
        <v/>
      </c>
    </row>
    <row r="477" spans="1:9" ht="19.5" hidden="1" customHeight="1" x14ac:dyDescent="0.2">
      <c r="A477" s="105" t="str">
        <f>IF(D477=1,COUNTIF($D$10:D477,1)," ")</f>
        <v xml:space="preserve"> </v>
      </c>
      <c r="B477" s="106" t="str">
        <f>COPY!AR469</f>
        <v/>
      </c>
      <c r="C477" s="107">
        <f>COPY!AC469</f>
        <v>0</v>
      </c>
      <c r="D477" s="107" t="str">
        <f>IF(LEN(Table1722[[#This Row],[Uraian]])&gt;2,1," ")</f>
        <v xml:space="preserve"> </v>
      </c>
      <c r="E477" s="113" t="str">
        <f>IF(Table1722[[#This Row],[Lawan Transaksi]]="CV AGUNG KARYA",COUNTIF($I$10:I477,"CV AGUNG KARYA")," ")</f>
        <v xml:space="preserve"> </v>
      </c>
      <c r="F477" s="107" t="str">
        <f>IF(LEN(Table1722[[#This Row],[Uraian]])&gt;2,TRIM(RIGHT(SUBSTITUTE(TRIM(C477)," ",REPT(" ",255)),255))," ")</f>
        <v xml:space="preserve"> </v>
      </c>
      <c r="G477" s="110">
        <f>COPY!Z469</f>
        <v>0</v>
      </c>
      <c r="H477" s="111" t="str">
        <f>IFERROR(VLOOKUP(Table1722[[#This Row],[Bukti]],'Un nOTA'!$A$4:$K$5003,10,FALSE),"")</f>
        <v/>
      </c>
      <c r="I477" s="112" t="str">
        <f>IFERROR(VLOOKUP(Table1722[[#This Row],[Bukti]],Table13[#Data],11,FALSE),"")</f>
        <v/>
      </c>
    </row>
    <row r="478" spans="1:9" ht="19.5" hidden="1" customHeight="1" x14ac:dyDescent="0.2">
      <c r="A478" s="105" t="str">
        <f>IF(D478=1,COUNTIF($D$10:D478,1)," ")</f>
        <v xml:space="preserve"> </v>
      </c>
      <c r="B478" s="106" t="str">
        <f>COPY!AR470</f>
        <v/>
      </c>
      <c r="C478" s="107">
        <f>COPY!AC470</f>
        <v>0</v>
      </c>
      <c r="D478" s="107" t="str">
        <f>IF(LEN(Table1722[[#This Row],[Uraian]])&gt;2,1," ")</f>
        <v xml:space="preserve"> </v>
      </c>
      <c r="E478" s="113" t="str">
        <f>IF(Table1722[[#This Row],[Lawan Transaksi]]="CV AGUNG KARYA",COUNTIF($I$10:I478,"CV AGUNG KARYA")," ")</f>
        <v xml:space="preserve"> </v>
      </c>
      <c r="F478" s="107" t="str">
        <f>IF(LEN(Table1722[[#This Row],[Uraian]])&gt;2,TRIM(RIGHT(SUBSTITUTE(TRIM(C478)," ",REPT(" ",255)),255))," ")</f>
        <v xml:space="preserve"> </v>
      </c>
      <c r="G478" s="110">
        <f>COPY!Z470</f>
        <v>0</v>
      </c>
      <c r="H478" s="111" t="str">
        <f>IFERROR(VLOOKUP(Table1722[[#This Row],[Bukti]],'Un nOTA'!$A$4:$K$5003,10,FALSE),"")</f>
        <v/>
      </c>
      <c r="I478" s="112" t="str">
        <f>IFERROR(VLOOKUP(Table1722[[#This Row],[Bukti]],Table13[#Data],11,FALSE),"")</f>
        <v/>
      </c>
    </row>
    <row r="479" spans="1:9" ht="19.5" hidden="1" customHeight="1" x14ac:dyDescent="0.2">
      <c r="A479" s="105" t="str">
        <f>IF(D479=1,COUNTIF($D$10:D479,1)," ")</f>
        <v xml:space="preserve"> </v>
      </c>
      <c r="B479" s="106" t="str">
        <f>COPY!AR471</f>
        <v/>
      </c>
      <c r="C479" s="107">
        <f>COPY!AC471</f>
        <v>0</v>
      </c>
      <c r="D479" s="107" t="str">
        <f>IF(LEN(Table1722[[#This Row],[Uraian]])&gt;2,1," ")</f>
        <v xml:space="preserve"> </v>
      </c>
      <c r="E479" s="113" t="str">
        <f>IF(Table1722[[#This Row],[Lawan Transaksi]]="CV AGUNG KARYA",COUNTIF($I$10:I479,"CV AGUNG KARYA")," ")</f>
        <v xml:space="preserve"> </v>
      </c>
      <c r="F479" s="107" t="str">
        <f>IF(LEN(Table1722[[#This Row],[Uraian]])&gt;2,TRIM(RIGHT(SUBSTITUTE(TRIM(C479)," ",REPT(" ",255)),255))," ")</f>
        <v xml:space="preserve"> </v>
      </c>
      <c r="G479" s="110">
        <f>COPY!Z471</f>
        <v>0</v>
      </c>
      <c r="H479" s="111" t="str">
        <f>IFERROR(VLOOKUP(Table1722[[#This Row],[Bukti]],'Un nOTA'!$A$4:$K$5003,10,FALSE),"")</f>
        <v/>
      </c>
      <c r="I479" s="112" t="str">
        <f>IFERROR(VLOOKUP(Table1722[[#This Row],[Bukti]],Table13[#Data],11,FALSE),"")</f>
        <v/>
      </c>
    </row>
    <row r="480" spans="1:9" ht="19.5" hidden="1" customHeight="1" x14ac:dyDescent="0.2">
      <c r="A480" s="105" t="str">
        <f>IF(D480=1,COUNTIF($D$10:D480,1)," ")</f>
        <v xml:space="preserve"> </v>
      </c>
      <c r="B480" s="106" t="str">
        <f>COPY!AR472</f>
        <v/>
      </c>
      <c r="C480" s="107">
        <f>COPY!AC472</f>
        <v>0</v>
      </c>
      <c r="D480" s="107" t="str">
        <f>IF(LEN(Table1722[[#This Row],[Uraian]])&gt;2,1," ")</f>
        <v xml:space="preserve"> </v>
      </c>
      <c r="E480" s="113" t="str">
        <f>IF(Table1722[[#This Row],[Lawan Transaksi]]="CV AGUNG KARYA",COUNTIF($I$10:I480,"CV AGUNG KARYA")," ")</f>
        <v xml:space="preserve"> </v>
      </c>
      <c r="F480" s="107" t="str">
        <f>IF(LEN(Table1722[[#This Row],[Uraian]])&gt;2,TRIM(RIGHT(SUBSTITUTE(TRIM(C480)," ",REPT(" ",255)),255))," ")</f>
        <v xml:space="preserve"> </v>
      </c>
      <c r="G480" s="110">
        <f>COPY!Z472</f>
        <v>0</v>
      </c>
      <c r="H480" s="111" t="str">
        <f>IFERROR(VLOOKUP(Table1722[[#This Row],[Bukti]],'Un nOTA'!$A$4:$K$5003,10,FALSE),"")</f>
        <v/>
      </c>
      <c r="I480" s="112" t="str">
        <f>IFERROR(VLOOKUP(Table1722[[#This Row],[Bukti]],Table13[#Data],11,FALSE),"")</f>
        <v/>
      </c>
    </row>
    <row r="481" spans="1:9" ht="19.5" hidden="1" customHeight="1" x14ac:dyDescent="0.2">
      <c r="A481" s="105" t="str">
        <f>IF(D481=1,COUNTIF($D$10:D481,1)," ")</f>
        <v xml:space="preserve"> </v>
      </c>
      <c r="B481" s="106" t="str">
        <f>COPY!AR473</f>
        <v/>
      </c>
      <c r="C481" s="107">
        <f>COPY!AC473</f>
        <v>0</v>
      </c>
      <c r="D481" s="107" t="str">
        <f>IF(LEN(Table1722[[#This Row],[Uraian]])&gt;2,1," ")</f>
        <v xml:space="preserve"> </v>
      </c>
      <c r="E481" s="113" t="str">
        <f>IF(Table1722[[#This Row],[Lawan Transaksi]]="CV AGUNG KARYA",COUNTIF($I$10:I481,"CV AGUNG KARYA")," ")</f>
        <v xml:space="preserve"> </v>
      </c>
      <c r="F481" s="107" t="str">
        <f>IF(LEN(Table1722[[#This Row],[Uraian]])&gt;2,TRIM(RIGHT(SUBSTITUTE(TRIM(C481)," ",REPT(" ",255)),255))," ")</f>
        <v xml:space="preserve"> </v>
      </c>
      <c r="G481" s="110">
        <f>COPY!Z473</f>
        <v>0</v>
      </c>
      <c r="H481" s="111" t="str">
        <f>IFERROR(VLOOKUP(Table1722[[#This Row],[Bukti]],'Un nOTA'!$A$4:$K$5003,10,FALSE),"")</f>
        <v/>
      </c>
      <c r="I481" s="112" t="str">
        <f>IFERROR(VLOOKUP(Table1722[[#This Row],[Bukti]],Table13[#Data],11,FALSE),"")</f>
        <v/>
      </c>
    </row>
    <row r="482" spans="1:9" ht="19.5" hidden="1" customHeight="1" x14ac:dyDescent="0.2">
      <c r="A482" s="105" t="str">
        <f>IF(D482=1,COUNTIF($D$10:D482,1)," ")</f>
        <v xml:space="preserve"> </v>
      </c>
      <c r="B482" s="106" t="str">
        <f>COPY!AR474</f>
        <v/>
      </c>
      <c r="C482" s="107">
        <f>COPY!AC474</f>
        <v>0</v>
      </c>
      <c r="D482" s="107" t="str">
        <f>IF(LEN(Table1722[[#This Row],[Uraian]])&gt;2,1," ")</f>
        <v xml:space="preserve"> </v>
      </c>
      <c r="E482" s="113" t="str">
        <f>IF(Table1722[[#This Row],[Lawan Transaksi]]="CV AGUNG KARYA",COUNTIF($I$10:I482,"CV AGUNG KARYA")," ")</f>
        <v xml:space="preserve"> </v>
      </c>
      <c r="F482" s="107" t="str">
        <f>IF(LEN(Table1722[[#This Row],[Uraian]])&gt;2,TRIM(RIGHT(SUBSTITUTE(TRIM(C482)," ",REPT(" ",255)),255))," ")</f>
        <v xml:space="preserve"> </v>
      </c>
      <c r="G482" s="110">
        <f>COPY!Z474</f>
        <v>0</v>
      </c>
      <c r="H482" s="111" t="str">
        <f>IFERROR(VLOOKUP(Table1722[[#This Row],[Bukti]],'Un nOTA'!$A$4:$K$5003,10,FALSE),"")</f>
        <v/>
      </c>
      <c r="I482" s="112" t="str">
        <f>IFERROR(VLOOKUP(Table1722[[#This Row],[Bukti]],Table13[#Data],11,FALSE),"")</f>
        <v/>
      </c>
    </row>
    <row r="483" spans="1:9" ht="19.5" hidden="1" customHeight="1" x14ac:dyDescent="0.2">
      <c r="A483" s="105" t="str">
        <f>IF(D483=1,COUNTIF($D$10:D483,1)," ")</f>
        <v xml:space="preserve"> </v>
      </c>
      <c r="B483" s="106" t="str">
        <f>COPY!AR475</f>
        <v/>
      </c>
      <c r="C483" s="107">
        <f>COPY!AC475</f>
        <v>0</v>
      </c>
      <c r="D483" s="107" t="str">
        <f>IF(LEN(Table1722[[#This Row],[Uraian]])&gt;2,1," ")</f>
        <v xml:space="preserve"> </v>
      </c>
      <c r="E483" s="113" t="str">
        <f>IF(Table1722[[#This Row],[Lawan Transaksi]]="CV AGUNG KARYA",COUNTIF($I$10:I483,"CV AGUNG KARYA")," ")</f>
        <v xml:space="preserve"> </v>
      </c>
      <c r="F483" s="107" t="str">
        <f>IF(LEN(Table1722[[#This Row],[Uraian]])&gt;2,TRIM(RIGHT(SUBSTITUTE(TRIM(C483)," ",REPT(" ",255)),255))," ")</f>
        <v xml:space="preserve"> </v>
      </c>
      <c r="G483" s="110">
        <f>COPY!Z475</f>
        <v>0</v>
      </c>
      <c r="H483" s="111" t="str">
        <f>IFERROR(VLOOKUP(Table1722[[#This Row],[Bukti]],'Un nOTA'!$A$4:$K$5003,10,FALSE),"")</f>
        <v/>
      </c>
      <c r="I483" s="112" t="str">
        <f>IFERROR(VLOOKUP(Table1722[[#This Row],[Bukti]],Table13[#Data],11,FALSE),"")</f>
        <v/>
      </c>
    </row>
    <row r="484" spans="1:9" ht="19.5" hidden="1" customHeight="1" x14ac:dyDescent="0.2">
      <c r="A484" s="105" t="str">
        <f>IF(D484=1,COUNTIF($D$10:D484,1)," ")</f>
        <v xml:space="preserve"> </v>
      </c>
      <c r="B484" s="106" t="str">
        <f>COPY!AR476</f>
        <v/>
      </c>
      <c r="C484" s="107">
        <f>COPY!AC476</f>
        <v>0</v>
      </c>
      <c r="D484" s="107" t="str">
        <f>IF(LEN(Table1722[[#This Row],[Uraian]])&gt;2,1," ")</f>
        <v xml:space="preserve"> </v>
      </c>
      <c r="E484" s="113" t="str">
        <f>IF(Table1722[[#This Row],[Lawan Transaksi]]="CV AGUNG KARYA",COUNTIF($I$10:I484,"CV AGUNG KARYA")," ")</f>
        <v xml:space="preserve"> </v>
      </c>
      <c r="F484" s="107" t="str">
        <f>IF(LEN(Table1722[[#This Row],[Uraian]])&gt;2,TRIM(RIGHT(SUBSTITUTE(TRIM(C484)," ",REPT(" ",255)),255))," ")</f>
        <v xml:space="preserve"> </v>
      </c>
      <c r="G484" s="110">
        <f>COPY!Z476</f>
        <v>0</v>
      </c>
      <c r="H484" s="111" t="str">
        <f>IFERROR(VLOOKUP(Table1722[[#This Row],[Bukti]],'Un nOTA'!$A$4:$K$5003,10,FALSE),"")</f>
        <v/>
      </c>
      <c r="I484" s="112" t="str">
        <f>IFERROR(VLOOKUP(Table1722[[#This Row],[Bukti]],Table13[#Data],11,FALSE),"")</f>
        <v/>
      </c>
    </row>
    <row r="485" spans="1:9" ht="19.5" hidden="1" customHeight="1" x14ac:dyDescent="0.2">
      <c r="A485" s="105" t="str">
        <f>IF(D485=1,COUNTIF($D$10:D485,1)," ")</f>
        <v xml:space="preserve"> </v>
      </c>
      <c r="B485" s="106" t="str">
        <f>COPY!AR477</f>
        <v/>
      </c>
      <c r="C485" s="107">
        <f>COPY!AC477</f>
        <v>0</v>
      </c>
      <c r="D485" s="107" t="str">
        <f>IF(LEN(Table1722[[#This Row],[Uraian]])&gt;2,1," ")</f>
        <v xml:space="preserve"> </v>
      </c>
      <c r="E485" s="113" t="str">
        <f>IF(Table1722[[#This Row],[Lawan Transaksi]]="CV AGUNG KARYA",COUNTIF($I$10:I485,"CV AGUNG KARYA")," ")</f>
        <v xml:space="preserve"> </v>
      </c>
      <c r="F485" s="107" t="str">
        <f>IF(LEN(Table1722[[#This Row],[Uraian]])&gt;2,TRIM(RIGHT(SUBSTITUTE(TRIM(C485)," ",REPT(" ",255)),255))," ")</f>
        <v xml:space="preserve"> </v>
      </c>
      <c r="G485" s="110">
        <f>COPY!Z477</f>
        <v>0</v>
      </c>
      <c r="H485" s="111" t="str">
        <f>IFERROR(VLOOKUP(Table1722[[#This Row],[Bukti]],'Un nOTA'!$A$4:$K$5003,10,FALSE),"")</f>
        <v/>
      </c>
      <c r="I485" s="112" t="str">
        <f>IFERROR(VLOOKUP(Table1722[[#This Row],[Bukti]],Table13[#Data],11,FALSE),"")</f>
        <v/>
      </c>
    </row>
    <row r="486" spans="1:9" ht="19.5" hidden="1" customHeight="1" x14ac:dyDescent="0.2">
      <c r="A486" s="105" t="str">
        <f>IF(D486=1,COUNTIF($D$10:D486,1)," ")</f>
        <v xml:space="preserve"> </v>
      </c>
      <c r="B486" s="106" t="str">
        <f>COPY!AR478</f>
        <v/>
      </c>
      <c r="C486" s="107">
        <f>COPY!AC478</f>
        <v>0</v>
      </c>
      <c r="D486" s="107" t="str">
        <f>IF(LEN(Table1722[[#This Row],[Uraian]])&gt;2,1," ")</f>
        <v xml:space="preserve"> </v>
      </c>
      <c r="E486" s="113" t="str">
        <f>IF(Table1722[[#This Row],[Lawan Transaksi]]="CV AGUNG KARYA",COUNTIF($I$10:I486,"CV AGUNG KARYA")," ")</f>
        <v xml:space="preserve"> </v>
      </c>
      <c r="F486" s="107" t="str">
        <f>IF(LEN(Table1722[[#This Row],[Uraian]])&gt;2,TRIM(RIGHT(SUBSTITUTE(TRIM(C486)," ",REPT(" ",255)),255))," ")</f>
        <v xml:space="preserve"> </v>
      </c>
      <c r="G486" s="110">
        <f>COPY!Z478</f>
        <v>0</v>
      </c>
      <c r="H486" s="111" t="str">
        <f>IFERROR(VLOOKUP(Table1722[[#This Row],[Bukti]],'Un nOTA'!$A$4:$K$5003,10,FALSE),"")</f>
        <v/>
      </c>
      <c r="I486" s="112" t="str">
        <f>IFERROR(VLOOKUP(Table1722[[#This Row],[Bukti]],Table13[#Data],11,FALSE),"")</f>
        <v/>
      </c>
    </row>
    <row r="487" spans="1:9" ht="19.5" hidden="1" customHeight="1" x14ac:dyDescent="0.2">
      <c r="A487" s="105" t="str">
        <f>IF(D487=1,COUNTIF($D$10:D487,1)," ")</f>
        <v xml:space="preserve"> </v>
      </c>
      <c r="B487" s="106" t="str">
        <f>COPY!AR479</f>
        <v/>
      </c>
      <c r="C487" s="107">
        <f>COPY!AC479</f>
        <v>0</v>
      </c>
      <c r="D487" s="107" t="str">
        <f>IF(LEN(Table1722[[#This Row],[Uraian]])&gt;2,1," ")</f>
        <v xml:space="preserve"> </v>
      </c>
      <c r="E487" s="113" t="str">
        <f>IF(Table1722[[#This Row],[Lawan Transaksi]]="CV AGUNG KARYA",COUNTIF($I$10:I487,"CV AGUNG KARYA")," ")</f>
        <v xml:space="preserve"> </v>
      </c>
      <c r="F487" s="107" t="str">
        <f>IF(LEN(Table1722[[#This Row],[Uraian]])&gt;2,TRIM(RIGHT(SUBSTITUTE(TRIM(C487)," ",REPT(" ",255)),255))," ")</f>
        <v xml:space="preserve"> </v>
      </c>
      <c r="G487" s="110">
        <f>COPY!Z479</f>
        <v>0</v>
      </c>
      <c r="H487" s="111" t="str">
        <f>IFERROR(VLOOKUP(Table1722[[#This Row],[Bukti]],'Un nOTA'!$A$4:$K$5003,10,FALSE),"")</f>
        <v/>
      </c>
      <c r="I487" s="112" t="str">
        <f>IFERROR(VLOOKUP(Table1722[[#This Row],[Bukti]],Table13[#Data],11,FALSE),"")</f>
        <v/>
      </c>
    </row>
    <row r="488" spans="1:9" ht="19.5" hidden="1" customHeight="1" x14ac:dyDescent="0.2">
      <c r="A488" s="105" t="str">
        <f>IF(D488=1,COUNTIF($D$10:D488,1)," ")</f>
        <v xml:space="preserve"> </v>
      </c>
      <c r="B488" s="106" t="str">
        <f>COPY!AR480</f>
        <v/>
      </c>
      <c r="C488" s="107">
        <f>COPY!AC480</f>
        <v>0</v>
      </c>
      <c r="D488" s="107" t="str">
        <f>IF(LEN(Table1722[[#This Row],[Uraian]])&gt;2,1," ")</f>
        <v xml:space="preserve"> </v>
      </c>
      <c r="E488" s="113" t="str">
        <f>IF(Table1722[[#This Row],[Lawan Transaksi]]="CV AGUNG KARYA",COUNTIF($I$10:I488,"CV AGUNG KARYA")," ")</f>
        <v xml:space="preserve"> </v>
      </c>
      <c r="F488" s="107" t="str">
        <f>IF(LEN(Table1722[[#This Row],[Uraian]])&gt;2,TRIM(RIGHT(SUBSTITUTE(TRIM(C488)," ",REPT(" ",255)),255))," ")</f>
        <v xml:space="preserve"> </v>
      </c>
      <c r="G488" s="110">
        <f>COPY!Z480</f>
        <v>0</v>
      </c>
      <c r="H488" s="111" t="str">
        <f>IFERROR(VLOOKUP(Table1722[[#This Row],[Bukti]],'Un nOTA'!$A$4:$K$5003,10,FALSE),"")</f>
        <v/>
      </c>
      <c r="I488" s="112" t="str">
        <f>IFERROR(VLOOKUP(Table1722[[#This Row],[Bukti]],Table13[#Data],11,FALSE),"")</f>
        <v/>
      </c>
    </row>
    <row r="489" spans="1:9" ht="19.5" hidden="1" customHeight="1" x14ac:dyDescent="0.2">
      <c r="A489" s="105" t="str">
        <f>IF(D489=1,COUNTIF($D$10:D489,1)," ")</f>
        <v xml:space="preserve"> </v>
      </c>
      <c r="B489" s="106" t="str">
        <f>COPY!AR481</f>
        <v/>
      </c>
      <c r="C489" s="107">
        <f>COPY!AC481</f>
        <v>0</v>
      </c>
      <c r="D489" s="107" t="str">
        <f>IF(LEN(Table1722[[#This Row],[Uraian]])&gt;2,1," ")</f>
        <v xml:space="preserve"> </v>
      </c>
      <c r="E489" s="113" t="str">
        <f>IF(Table1722[[#This Row],[Lawan Transaksi]]="CV AGUNG KARYA",COUNTIF($I$10:I489,"CV AGUNG KARYA")," ")</f>
        <v xml:space="preserve"> </v>
      </c>
      <c r="F489" s="107" t="str">
        <f>IF(LEN(Table1722[[#This Row],[Uraian]])&gt;2,TRIM(RIGHT(SUBSTITUTE(TRIM(C489)," ",REPT(" ",255)),255))," ")</f>
        <v xml:space="preserve"> </v>
      </c>
      <c r="G489" s="110">
        <f>COPY!Z481</f>
        <v>0</v>
      </c>
      <c r="H489" s="111" t="str">
        <f>IFERROR(VLOOKUP(Table1722[[#This Row],[Bukti]],'Un nOTA'!$A$4:$K$5003,10,FALSE),"")</f>
        <v/>
      </c>
      <c r="I489" s="112" t="str">
        <f>IFERROR(VLOOKUP(Table1722[[#This Row],[Bukti]],Table13[#Data],11,FALSE),"")</f>
        <v/>
      </c>
    </row>
    <row r="490" spans="1:9" ht="19.5" hidden="1" customHeight="1" x14ac:dyDescent="0.2">
      <c r="A490" s="105" t="str">
        <f>IF(D490=1,COUNTIF($D$10:D490,1)," ")</f>
        <v xml:space="preserve"> </v>
      </c>
      <c r="B490" s="106" t="str">
        <f>COPY!AR482</f>
        <v/>
      </c>
      <c r="C490" s="107">
        <f>COPY!AC482</f>
        <v>0</v>
      </c>
      <c r="D490" s="107" t="str">
        <f>IF(LEN(Table1722[[#This Row],[Uraian]])&gt;2,1," ")</f>
        <v xml:space="preserve"> </v>
      </c>
      <c r="E490" s="113" t="str">
        <f>IF(Table1722[[#This Row],[Lawan Transaksi]]="CV AGUNG KARYA",COUNTIF($I$10:I490,"CV AGUNG KARYA")," ")</f>
        <v xml:space="preserve"> </v>
      </c>
      <c r="F490" s="107" t="str">
        <f>IF(LEN(Table1722[[#This Row],[Uraian]])&gt;2,TRIM(RIGHT(SUBSTITUTE(TRIM(C490)," ",REPT(" ",255)),255))," ")</f>
        <v xml:space="preserve"> </v>
      </c>
      <c r="G490" s="110">
        <f>COPY!Z482</f>
        <v>0</v>
      </c>
      <c r="H490" s="111" t="str">
        <f>IFERROR(VLOOKUP(Table1722[[#This Row],[Bukti]],'Un nOTA'!$A$4:$K$5003,10,FALSE),"")</f>
        <v/>
      </c>
      <c r="I490" s="112" t="str">
        <f>IFERROR(VLOOKUP(Table1722[[#This Row],[Bukti]],Table13[#Data],11,FALSE),"")</f>
        <v/>
      </c>
    </row>
    <row r="491" spans="1:9" ht="19.5" hidden="1" customHeight="1" x14ac:dyDescent="0.2">
      <c r="A491" s="105" t="str">
        <f>IF(D491=1,COUNTIF($D$10:D491,1)," ")</f>
        <v xml:space="preserve"> </v>
      </c>
      <c r="B491" s="106" t="str">
        <f>COPY!AR483</f>
        <v/>
      </c>
      <c r="C491" s="107">
        <f>COPY!AC483</f>
        <v>0</v>
      </c>
      <c r="D491" s="107" t="str">
        <f>IF(LEN(Table1722[[#This Row],[Uraian]])&gt;2,1," ")</f>
        <v xml:space="preserve"> </v>
      </c>
      <c r="E491" s="113" t="str">
        <f>IF(Table1722[[#This Row],[Lawan Transaksi]]="CV AGUNG KARYA",COUNTIF($I$10:I491,"CV AGUNG KARYA")," ")</f>
        <v xml:space="preserve"> </v>
      </c>
      <c r="F491" s="107" t="str">
        <f>IF(LEN(Table1722[[#This Row],[Uraian]])&gt;2,TRIM(RIGHT(SUBSTITUTE(TRIM(C491)," ",REPT(" ",255)),255))," ")</f>
        <v xml:space="preserve"> </v>
      </c>
      <c r="G491" s="110">
        <f>COPY!Z483</f>
        <v>0</v>
      </c>
      <c r="H491" s="111" t="str">
        <f>IFERROR(VLOOKUP(Table1722[[#This Row],[Bukti]],'Un nOTA'!$A$4:$K$5003,10,FALSE),"")</f>
        <v/>
      </c>
      <c r="I491" s="112" t="str">
        <f>IFERROR(VLOOKUP(Table1722[[#This Row],[Bukti]],Table13[#Data],11,FALSE),"")</f>
        <v/>
      </c>
    </row>
    <row r="492" spans="1:9" ht="19.5" hidden="1" customHeight="1" x14ac:dyDescent="0.2">
      <c r="A492" s="105" t="str">
        <f>IF(D492=1,COUNTIF($D$10:D492,1)," ")</f>
        <v xml:space="preserve"> </v>
      </c>
      <c r="B492" s="106" t="str">
        <f>COPY!AR484</f>
        <v/>
      </c>
      <c r="C492" s="107">
        <f>COPY!AC484</f>
        <v>0</v>
      </c>
      <c r="D492" s="107" t="str">
        <f>IF(LEN(Table1722[[#This Row],[Uraian]])&gt;2,1," ")</f>
        <v xml:space="preserve"> </v>
      </c>
      <c r="E492" s="113" t="str">
        <f>IF(Table1722[[#This Row],[Lawan Transaksi]]="CV AGUNG KARYA",COUNTIF($I$10:I492,"CV AGUNG KARYA")," ")</f>
        <v xml:space="preserve"> </v>
      </c>
      <c r="F492" s="107" t="str">
        <f>IF(LEN(Table1722[[#This Row],[Uraian]])&gt;2,TRIM(RIGHT(SUBSTITUTE(TRIM(C492)," ",REPT(" ",255)),255))," ")</f>
        <v xml:space="preserve"> </v>
      </c>
      <c r="G492" s="110">
        <f>COPY!Z484</f>
        <v>0</v>
      </c>
      <c r="H492" s="111" t="str">
        <f>IFERROR(VLOOKUP(Table1722[[#This Row],[Bukti]],'Un nOTA'!$A$4:$K$5003,10,FALSE),"")</f>
        <v/>
      </c>
      <c r="I492" s="112" t="str">
        <f>IFERROR(VLOOKUP(Table1722[[#This Row],[Bukti]],Table13[#Data],11,FALSE),"")</f>
        <v/>
      </c>
    </row>
    <row r="493" spans="1:9" ht="19.5" hidden="1" customHeight="1" x14ac:dyDescent="0.2">
      <c r="A493" s="105" t="str">
        <f>IF(D493=1,COUNTIF($D$10:D493,1)," ")</f>
        <v xml:space="preserve"> </v>
      </c>
      <c r="B493" s="106" t="str">
        <f>COPY!AR485</f>
        <v/>
      </c>
      <c r="C493" s="107">
        <f>COPY!AC485</f>
        <v>0</v>
      </c>
      <c r="D493" s="107" t="str">
        <f>IF(LEN(Table1722[[#This Row],[Uraian]])&gt;2,1," ")</f>
        <v xml:space="preserve"> </v>
      </c>
      <c r="E493" s="113" t="str">
        <f>IF(Table1722[[#This Row],[Lawan Transaksi]]="CV AGUNG KARYA",COUNTIF($I$10:I493,"CV AGUNG KARYA")," ")</f>
        <v xml:space="preserve"> </v>
      </c>
      <c r="F493" s="107" t="str">
        <f>IF(LEN(Table1722[[#This Row],[Uraian]])&gt;2,TRIM(RIGHT(SUBSTITUTE(TRIM(C493)," ",REPT(" ",255)),255))," ")</f>
        <v xml:space="preserve"> </v>
      </c>
      <c r="G493" s="110">
        <f>COPY!Z485</f>
        <v>0</v>
      </c>
      <c r="H493" s="111" t="str">
        <f>IFERROR(VLOOKUP(Table1722[[#This Row],[Bukti]],'Un nOTA'!$A$4:$K$5003,10,FALSE),"")</f>
        <v/>
      </c>
      <c r="I493" s="112" t="str">
        <f>IFERROR(VLOOKUP(Table1722[[#This Row],[Bukti]],Table13[#Data],11,FALSE),"")</f>
        <v/>
      </c>
    </row>
    <row r="494" spans="1:9" ht="19.5" hidden="1" customHeight="1" x14ac:dyDescent="0.2">
      <c r="A494" s="105" t="str">
        <f>IF(D494=1,COUNTIF($D$10:D494,1)," ")</f>
        <v xml:space="preserve"> </v>
      </c>
      <c r="B494" s="106" t="str">
        <f>COPY!AR486</f>
        <v/>
      </c>
      <c r="C494" s="107">
        <f>COPY!AC486</f>
        <v>0</v>
      </c>
      <c r="D494" s="107" t="str">
        <f>IF(LEN(Table1722[[#This Row],[Uraian]])&gt;2,1," ")</f>
        <v xml:space="preserve"> </v>
      </c>
      <c r="E494" s="113" t="str">
        <f>IF(Table1722[[#This Row],[Lawan Transaksi]]="CV AGUNG KARYA",COUNTIF($I$10:I494,"CV AGUNG KARYA")," ")</f>
        <v xml:space="preserve"> </v>
      </c>
      <c r="F494" s="107" t="str">
        <f>IF(LEN(Table1722[[#This Row],[Uraian]])&gt;2,TRIM(RIGHT(SUBSTITUTE(TRIM(C494)," ",REPT(" ",255)),255))," ")</f>
        <v xml:space="preserve"> </v>
      </c>
      <c r="G494" s="110">
        <f>COPY!Z486</f>
        <v>0</v>
      </c>
      <c r="H494" s="111" t="str">
        <f>IFERROR(VLOOKUP(Table1722[[#This Row],[Bukti]],'Un nOTA'!$A$4:$K$5003,10,FALSE),"")</f>
        <v/>
      </c>
      <c r="I494" s="112" t="str">
        <f>IFERROR(VLOOKUP(Table1722[[#This Row],[Bukti]],Table13[#Data],11,FALSE),"")</f>
        <v/>
      </c>
    </row>
    <row r="495" spans="1:9" ht="19.5" hidden="1" customHeight="1" x14ac:dyDescent="0.2">
      <c r="A495" s="105" t="str">
        <f>IF(D495=1,COUNTIF($D$10:D495,1)," ")</f>
        <v xml:space="preserve"> </v>
      </c>
      <c r="B495" s="106" t="str">
        <f>COPY!AR487</f>
        <v/>
      </c>
      <c r="C495" s="107">
        <f>COPY!AC487</f>
        <v>0</v>
      </c>
      <c r="D495" s="107" t="str">
        <f>IF(LEN(Table1722[[#This Row],[Uraian]])&gt;2,1," ")</f>
        <v xml:space="preserve"> </v>
      </c>
      <c r="E495" s="113" t="str">
        <f>IF(Table1722[[#This Row],[Lawan Transaksi]]="CV AGUNG KARYA",COUNTIF($I$10:I495,"CV AGUNG KARYA")," ")</f>
        <v xml:space="preserve"> </v>
      </c>
      <c r="F495" s="107" t="str">
        <f>IF(LEN(Table1722[[#This Row],[Uraian]])&gt;2,TRIM(RIGHT(SUBSTITUTE(TRIM(C495)," ",REPT(" ",255)),255))," ")</f>
        <v xml:space="preserve"> </v>
      </c>
      <c r="G495" s="110">
        <f>COPY!Z487</f>
        <v>0</v>
      </c>
      <c r="H495" s="111" t="str">
        <f>IFERROR(VLOOKUP(Table1722[[#This Row],[Bukti]],'Un nOTA'!$A$4:$K$5003,10,FALSE),"")</f>
        <v/>
      </c>
      <c r="I495" s="112" t="str">
        <f>IFERROR(VLOOKUP(Table1722[[#This Row],[Bukti]],Table13[#Data],11,FALSE),"")</f>
        <v/>
      </c>
    </row>
    <row r="496" spans="1:9" ht="19.5" hidden="1" customHeight="1" x14ac:dyDescent="0.2">
      <c r="A496" s="105" t="str">
        <f>IF(D496=1,COUNTIF($D$10:D496,1)," ")</f>
        <v xml:space="preserve"> </v>
      </c>
      <c r="B496" s="106" t="str">
        <f>COPY!AR488</f>
        <v/>
      </c>
      <c r="C496" s="107">
        <f>COPY!AC488</f>
        <v>0</v>
      </c>
      <c r="D496" s="107" t="str">
        <f>IF(LEN(Table1722[[#This Row],[Uraian]])&gt;2,1," ")</f>
        <v xml:space="preserve"> </v>
      </c>
      <c r="E496" s="113" t="str">
        <f>IF(Table1722[[#This Row],[Lawan Transaksi]]="CV AGUNG KARYA",COUNTIF($I$10:I496,"CV AGUNG KARYA")," ")</f>
        <v xml:space="preserve"> </v>
      </c>
      <c r="F496" s="107" t="str">
        <f>IF(LEN(Table1722[[#This Row],[Uraian]])&gt;2,TRIM(RIGHT(SUBSTITUTE(TRIM(C496)," ",REPT(" ",255)),255))," ")</f>
        <v xml:space="preserve"> </v>
      </c>
      <c r="G496" s="110">
        <f>COPY!Z488</f>
        <v>0</v>
      </c>
      <c r="H496" s="111" t="str">
        <f>IFERROR(VLOOKUP(Table1722[[#This Row],[Bukti]],'Un nOTA'!$A$4:$K$5003,10,FALSE),"")</f>
        <v/>
      </c>
      <c r="I496" s="112" t="str">
        <f>IFERROR(VLOOKUP(Table1722[[#This Row],[Bukti]],Table13[#Data],11,FALSE),"")</f>
        <v/>
      </c>
    </row>
    <row r="497" spans="1:9" ht="19.5" hidden="1" customHeight="1" x14ac:dyDescent="0.2">
      <c r="A497" s="105" t="str">
        <f>IF(D497=1,COUNTIF($D$10:D497,1)," ")</f>
        <v xml:space="preserve"> </v>
      </c>
      <c r="B497" s="106" t="str">
        <f>COPY!AR489</f>
        <v/>
      </c>
      <c r="C497" s="107">
        <f>COPY!AC489</f>
        <v>0</v>
      </c>
      <c r="D497" s="107" t="str">
        <f>IF(LEN(Table1722[[#This Row],[Uraian]])&gt;2,1," ")</f>
        <v xml:space="preserve"> </v>
      </c>
      <c r="E497" s="113" t="str">
        <f>IF(Table1722[[#This Row],[Lawan Transaksi]]="CV AGUNG KARYA",COUNTIF($I$10:I497,"CV AGUNG KARYA")," ")</f>
        <v xml:space="preserve"> </v>
      </c>
      <c r="F497" s="107" t="str">
        <f>IF(LEN(Table1722[[#This Row],[Uraian]])&gt;2,TRIM(RIGHT(SUBSTITUTE(TRIM(C497)," ",REPT(" ",255)),255))," ")</f>
        <v xml:space="preserve"> </v>
      </c>
      <c r="G497" s="110">
        <f>COPY!Z489</f>
        <v>0</v>
      </c>
      <c r="H497" s="111" t="str">
        <f>IFERROR(VLOOKUP(Table1722[[#This Row],[Bukti]],'Un nOTA'!$A$4:$K$5003,10,FALSE),"")</f>
        <v/>
      </c>
      <c r="I497" s="112" t="str">
        <f>IFERROR(VLOOKUP(Table1722[[#This Row],[Bukti]],Table13[#Data],11,FALSE),"")</f>
        <v/>
      </c>
    </row>
    <row r="498" spans="1:9" ht="19.5" hidden="1" customHeight="1" x14ac:dyDescent="0.2">
      <c r="A498" s="105" t="str">
        <f>IF(D498=1,COUNTIF($D$10:D498,1)," ")</f>
        <v xml:space="preserve"> </v>
      </c>
      <c r="B498" s="106" t="str">
        <f>COPY!AR490</f>
        <v/>
      </c>
      <c r="C498" s="107">
        <f>COPY!AC490</f>
        <v>0</v>
      </c>
      <c r="D498" s="107" t="str">
        <f>IF(LEN(Table1722[[#This Row],[Uraian]])&gt;2,1," ")</f>
        <v xml:space="preserve"> </v>
      </c>
      <c r="E498" s="113" t="str">
        <f>IF(Table1722[[#This Row],[Lawan Transaksi]]="CV AGUNG KARYA",COUNTIF($I$10:I498,"CV AGUNG KARYA")," ")</f>
        <v xml:space="preserve"> </v>
      </c>
      <c r="F498" s="107" t="str">
        <f>IF(LEN(Table1722[[#This Row],[Uraian]])&gt;2,TRIM(RIGHT(SUBSTITUTE(TRIM(C498)," ",REPT(" ",255)),255))," ")</f>
        <v xml:space="preserve"> </v>
      </c>
      <c r="G498" s="110">
        <f>COPY!Z490</f>
        <v>0</v>
      </c>
      <c r="H498" s="111" t="str">
        <f>IFERROR(VLOOKUP(Table1722[[#This Row],[Bukti]],'Un nOTA'!$A$4:$K$5003,10,FALSE),"")</f>
        <v/>
      </c>
      <c r="I498" s="112" t="str">
        <f>IFERROR(VLOOKUP(Table1722[[#This Row],[Bukti]],Table13[#Data],11,FALSE),"")</f>
        <v/>
      </c>
    </row>
    <row r="499" spans="1:9" ht="19.5" hidden="1" customHeight="1" x14ac:dyDescent="0.2">
      <c r="A499" s="105" t="str">
        <f>IF(D499=1,COUNTIF($D$10:D499,1)," ")</f>
        <v xml:space="preserve"> </v>
      </c>
      <c r="B499" s="106" t="str">
        <f>COPY!AR491</f>
        <v/>
      </c>
      <c r="C499" s="107">
        <f>COPY!AC491</f>
        <v>0</v>
      </c>
      <c r="D499" s="107" t="str">
        <f>IF(LEN(Table1722[[#This Row],[Uraian]])&gt;2,1," ")</f>
        <v xml:space="preserve"> </v>
      </c>
      <c r="E499" s="113" t="str">
        <f>IF(Table1722[[#This Row],[Lawan Transaksi]]="CV AGUNG KARYA",COUNTIF($I$10:I499,"CV AGUNG KARYA")," ")</f>
        <v xml:space="preserve"> </v>
      </c>
      <c r="F499" s="107" t="str">
        <f>IF(LEN(Table1722[[#This Row],[Uraian]])&gt;2,TRIM(RIGHT(SUBSTITUTE(TRIM(C499)," ",REPT(" ",255)),255))," ")</f>
        <v xml:space="preserve"> </v>
      </c>
      <c r="G499" s="110">
        <f>COPY!Z491</f>
        <v>0</v>
      </c>
      <c r="H499" s="111" t="str">
        <f>IFERROR(VLOOKUP(Table1722[[#This Row],[Bukti]],'Un nOTA'!$A$4:$K$5003,10,FALSE),"")</f>
        <v/>
      </c>
      <c r="I499" s="112" t="str">
        <f>IFERROR(VLOOKUP(Table1722[[#This Row],[Bukti]],Table13[#Data],11,FALSE),"")</f>
        <v/>
      </c>
    </row>
    <row r="500" spans="1:9" ht="19.5" hidden="1" customHeight="1" x14ac:dyDescent="0.2">
      <c r="A500" s="105" t="str">
        <f>IF(D500=1,COUNTIF($D$10:D500,1)," ")</f>
        <v xml:space="preserve"> </v>
      </c>
      <c r="B500" s="106" t="str">
        <f>COPY!AR492</f>
        <v/>
      </c>
      <c r="C500" s="107">
        <f>COPY!AC492</f>
        <v>0</v>
      </c>
      <c r="D500" s="107" t="str">
        <f>IF(LEN(Table1722[[#This Row],[Uraian]])&gt;2,1," ")</f>
        <v xml:space="preserve"> </v>
      </c>
      <c r="E500" s="113" t="str">
        <f>IF(Table1722[[#This Row],[Lawan Transaksi]]="CV AGUNG KARYA",COUNTIF($I$10:I500,"CV AGUNG KARYA")," ")</f>
        <v xml:space="preserve"> </v>
      </c>
      <c r="F500" s="107" t="str">
        <f>IF(LEN(Table1722[[#This Row],[Uraian]])&gt;2,TRIM(RIGHT(SUBSTITUTE(TRIM(C500)," ",REPT(" ",255)),255))," ")</f>
        <v xml:space="preserve"> </v>
      </c>
      <c r="G500" s="110">
        <f>COPY!Z492</f>
        <v>0</v>
      </c>
      <c r="H500" s="111" t="str">
        <f>IFERROR(VLOOKUP(Table1722[[#This Row],[Bukti]],'Un nOTA'!$A$4:$K$5003,10,FALSE),"")</f>
        <v/>
      </c>
      <c r="I500" s="112" t="str">
        <f>IFERROR(VLOOKUP(Table1722[[#This Row],[Bukti]],Table13[#Data],11,FALSE),"")</f>
        <v/>
      </c>
    </row>
    <row r="501" spans="1:9" ht="19.5" hidden="1" customHeight="1" x14ac:dyDescent="0.2">
      <c r="A501" s="105" t="str">
        <f>IF(D501=1,COUNTIF($D$10:D501,1)," ")</f>
        <v xml:space="preserve"> </v>
      </c>
      <c r="B501" s="106" t="str">
        <f>COPY!AR493</f>
        <v/>
      </c>
      <c r="C501" s="107">
        <f>COPY!AC493</f>
        <v>0</v>
      </c>
      <c r="D501" s="107" t="str">
        <f>IF(LEN(Table1722[[#This Row],[Uraian]])&gt;2,1," ")</f>
        <v xml:space="preserve"> </v>
      </c>
      <c r="E501" s="113" t="str">
        <f>IF(Table1722[[#This Row],[Lawan Transaksi]]="CV AGUNG KARYA",COUNTIF($I$10:I501,"CV AGUNG KARYA")," ")</f>
        <v xml:space="preserve"> </v>
      </c>
      <c r="F501" s="107" t="str">
        <f>IF(LEN(Table1722[[#This Row],[Uraian]])&gt;2,TRIM(RIGHT(SUBSTITUTE(TRIM(C501)," ",REPT(" ",255)),255))," ")</f>
        <v xml:space="preserve"> </v>
      </c>
      <c r="G501" s="110">
        <f>COPY!Z493</f>
        <v>0</v>
      </c>
      <c r="H501" s="111" t="str">
        <f>IFERROR(VLOOKUP(Table1722[[#This Row],[Bukti]],'Un nOTA'!$A$4:$K$5003,10,FALSE),"")</f>
        <v/>
      </c>
      <c r="I501" s="112" t="str">
        <f>IFERROR(VLOOKUP(Table1722[[#This Row],[Bukti]],Table13[#Data],11,FALSE),"")</f>
        <v/>
      </c>
    </row>
    <row r="502" spans="1:9" ht="19.5" hidden="1" customHeight="1" x14ac:dyDescent="0.2">
      <c r="A502" s="105" t="str">
        <f>IF(D502=1,COUNTIF($D$10:D502,1)," ")</f>
        <v xml:space="preserve"> </v>
      </c>
      <c r="B502" s="106" t="str">
        <f>COPY!AR494</f>
        <v/>
      </c>
      <c r="C502" s="107">
        <f>COPY!AC494</f>
        <v>0</v>
      </c>
      <c r="D502" s="107" t="str">
        <f>IF(LEN(Table1722[[#This Row],[Uraian]])&gt;2,1," ")</f>
        <v xml:space="preserve"> </v>
      </c>
      <c r="E502" s="113" t="str">
        <f>IF(Table1722[[#This Row],[Lawan Transaksi]]="CV AGUNG KARYA",COUNTIF($I$10:I502,"CV AGUNG KARYA")," ")</f>
        <v xml:space="preserve"> </v>
      </c>
      <c r="F502" s="107" t="str">
        <f>IF(LEN(Table1722[[#This Row],[Uraian]])&gt;2,TRIM(RIGHT(SUBSTITUTE(TRIM(C502)," ",REPT(" ",255)),255))," ")</f>
        <v xml:space="preserve"> </v>
      </c>
      <c r="G502" s="110">
        <f>COPY!Z494</f>
        <v>0</v>
      </c>
      <c r="H502" s="111" t="str">
        <f>IFERROR(VLOOKUP(Table1722[[#This Row],[Bukti]],'Un nOTA'!$A$4:$K$5003,10,FALSE),"")</f>
        <v/>
      </c>
      <c r="I502" s="112" t="str">
        <f>IFERROR(VLOOKUP(Table1722[[#This Row],[Bukti]],Table13[#Data],11,FALSE),"")</f>
        <v/>
      </c>
    </row>
    <row r="503" spans="1:9" ht="19.5" hidden="1" customHeight="1" x14ac:dyDescent="0.2">
      <c r="A503" s="105" t="str">
        <f>IF(D503=1,COUNTIF($D$10:D503,1)," ")</f>
        <v xml:space="preserve"> </v>
      </c>
      <c r="B503" s="106" t="str">
        <f>COPY!AR495</f>
        <v/>
      </c>
      <c r="C503" s="107">
        <f>COPY!AC495</f>
        <v>0</v>
      </c>
      <c r="D503" s="107" t="str">
        <f>IF(LEN(Table1722[[#This Row],[Uraian]])&gt;2,1," ")</f>
        <v xml:space="preserve"> </v>
      </c>
      <c r="E503" s="113" t="str">
        <f>IF(Table1722[[#This Row],[Lawan Transaksi]]="CV AGUNG KARYA",COUNTIF($I$10:I503,"CV AGUNG KARYA")," ")</f>
        <v xml:space="preserve"> </v>
      </c>
      <c r="F503" s="107" t="str">
        <f>IF(LEN(Table1722[[#This Row],[Uraian]])&gt;2,TRIM(RIGHT(SUBSTITUTE(TRIM(C503)," ",REPT(" ",255)),255))," ")</f>
        <v xml:space="preserve"> </v>
      </c>
      <c r="G503" s="110">
        <f>COPY!Z495</f>
        <v>0</v>
      </c>
      <c r="H503" s="111" t="str">
        <f>IFERROR(VLOOKUP(Table1722[[#This Row],[Bukti]],'Un nOTA'!$A$4:$K$5003,10,FALSE),"")</f>
        <v/>
      </c>
      <c r="I503" s="112" t="str">
        <f>IFERROR(VLOOKUP(Table1722[[#This Row],[Bukti]],Table13[#Data],11,FALSE),"")</f>
        <v/>
      </c>
    </row>
    <row r="504" spans="1:9" ht="19.5" hidden="1" customHeight="1" x14ac:dyDescent="0.2">
      <c r="A504" s="105" t="str">
        <f>IF(D504=1,COUNTIF($D$10:D504,1)," ")</f>
        <v xml:space="preserve"> </v>
      </c>
      <c r="B504" s="106" t="str">
        <f>COPY!AR496</f>
        <v/>
      </c>
      <c r="C504" s="107">
        <f>COPY!AC496</f>
        <v>0</v>
      </c>
      <c r="D504" s="107" t="str">
        <f>IF(LEN(Table1722[[#This Row],[Uraian]])&gt;2,1," ")</f>
        <v xml:space="preserve"> </v>
      </c>
      <c r="E504" s="113" t="str">
        <f>IF(Table1722[[#This Row],[Lawan Transaksi]]="CV AGUNG KARYA",COUNTIF($I$10:I504,"CV AGUNG KARYA")," ")</f>
        <v xml:space="preserve"> </v>
      </c>
      <c r="F504" s="107" t="str">
        <f>IF(LEN(Table1722[[#This Row],[Uraian]])&gt;2,TRIM(RIGHT(SUBSTITUTE(TRIM(C504)," ",REPT(" ",255)),255))," ")</f>
        <v xml:space="preserve"> </v>
      </c>
      <c r="G504" s="110">
        <f>COPY!Z496</f>
        <v>0</v>
      </c>
      <c r="H504" s="111" t="str">
        <f>IFERROR(VLOOKUP(Table1722[[#This Row],[Bukti]],'Un nOTA'!$A$4:$K$5003,10,FALSE),"")</f>
        <v/>
      </c>
      <c r="I504" s="112" t="str">
        <f>IFERROR(VLOOKUP(Table1722[[#This Row],[Bukti]],Table13[#Data],11,FALSE),"")</f>
        <v/>
      </c>
    </row>
    <row r="505" spans="1:9" ht="19.5" hidden="1" customHeight="1" x14ac:dyDescent="0.2">
      <c r="A505" s="105" t="str">
        <f>IF(D505=1,COUNTIF($D$10:D505,1)," ")</f>
        <v xml:space="preserve"> </v>
      </c>
      <c r="B505" s="106" t="str">
        <f>COPY!AR497</f>
        <v/>
      </c>
      <c r="C505" s="107">
        <f>COPY!AC497</f>
        <v>0</v>
      </c>
      <c r="D505" s="107" t="str">
        <f>IF(LEN(Table1722[[#This Row],[Uraian]])&gt;2,1," ")</f>
        <v xml:space="preserve"> </v>
      </c>
      <c r="E505" s="113" t="str">
        <f>IF(Table1722[[#This Row],[Lawan Transaksi]]="CV AGUNG KARYA",COUNTIF($I$10:I505,"CV AGUNG KARYA")," ")</f>
        <v xml:space="preserve"> </v>
      </c>
      <c r="F505" s="107" t="str">
        <f>IF(LEN(Table1722[[#This Row],[Uraian]])&gt;2,TRIM(RIGHT(SUBSTITUTE(TRIM(C505)," ",REPT(" ",255)),255))," ")</f>
        <v xml:space="preserve"> </v>
      </c>
      <c r="G505" s="110">
        <f>COPY!Z497</f>
        <v>0</v>
      </c>
      <c r="H505" s="111" t="str">
        <f>IFERROR(VLOOKUP(Table1722[[#This Row],[Bukti]],'Un nOTA'!$A$4:$K$5003,10,FALSE),"")</f>
        <v/>
      </c>
      <c r="I505" s="112" t="str">
        <f>IFERROR(VLOOKUP(Table1722[[#This Row],[Bukti]],Table13[#Data],11,FALSE),"")</f>
        <v/>
      </c>
    </row>
    <row r="506" spans="1:9" ht="19.5" hidden="1" customHeight="1" x14ac:dyDescent="0.2">
      <c r="A506" s="105" t="str">
        <f>IF(D506=1,COUNTIF($D$10:D506,1)," ")</f>
        <v xml:space="preserve"> </v>
      </c>
      <c r="B506" s="106" t="str">
        <f>COPY!AR498</f>
        <v/>
      </c>
      <c r="C506" s="107">
        <f>COPY!AC498</f>
        <v>0</v>
      </c>
      <c r="D506" s="107" t="str">
        <f>IF(LEN(Table1722[[#This Row],[Uraian]])&gt;2,1," ")</f>
        <v xml:space="preserve"> </v>
      </c>
      <c r="E506" s="113" t="str">
        <f>IF(Table1722[[#This Row],[Lawan Transaksi]]="CV AGUNG KARYA",COUNTIF($I$10:I506,"CV AGUNG KARYA")," ")</f>
        <v xml:space="preserve"> </v>
      </c>
      <c r="F506" s="107" t="str">
        <f>IF(LEN(Table1722[[#This Row],[Uraian]])&gt;2,TRIM(RIGHT(SUBSTITUTE(TRIM(C506)," ",REPT(" ",255)),255))," ")</f>
        <v xml:space="preserve"> </v>
      </c>
      <c r="G506" s="110">
        <f>COPY!Z498</f>
        <v>0</v>
      </c>
      <c r="H506" s="111" t="str">
        <f>IFERROR(VLOOKUP(Table1722[[#This Row],[Bukti]],'Un nOTA'!$A$4:$K$5003,10,FALSE),"")</f>
        <v/>
      </c>
      <c r="I506" s="112" t="str">
        <f>IFERROR(VLOOKUP(Table1722[[#This Row],[Bukti]],Table13[#Data],11,FALSE),"")</f>
        <v/>
      </c>
    </row>
    <row r="507" spans="1:9" ht="19.5" hidden="1" customHeight="1" x14ac:dyDescent="0.2">
      <c r="A507" s="105" t="str">
        <f>IF(D507=1,COUNTIF($D$10:D507,1)," ")</f>
        <v xml:space="preserve"> </v>
      </c>
      <c r="B507" s="106" t="str">
        <f>COPY!AR499</f>
        <v/>
      </c>
      <c r="C507" s="107">
        <f>COPY!AC499</f>
        <v>0</v>
      </c>
      <c r="D507" s="107" t="str">
        <f>IF(LEN(Table1722[[#This Row],[Uraian]])&gt;2,1," ")</f>
        <v xml:space="preserve"> </v>
      </c>
      <c r="E507" s="113" t="str">
        <f>IF(Table1722[[#This Row],[Lawan Transaksi]]="CV AGUNG KARYA",COUNTIF($I$10:I507,"CV AGUNG KARYA")," ")</f>
        <v xml:space="preserve"> </v>
      </c>
      <c r="F507" s="107" t="str">
        <f>IF(LEN(Table1722[[#This Row],[Uraian]])&gt;2,TRIM(RIGHT(SUBSTITUTE(TRIM(C507)," ",REPT(" ",255)),255))," ")</f>
        <v xml:space="preserve"> </v>
      </c>
      <c r="G507" s="110">
        <f>COPY!Z499</f>
        <v>0</v>
      </c>
      <c r="H507" s="111" t="str">
        <f>IFERROR(VLOOKUP(Table1722[[#This Row],[Bukti]],'Un nOTA'!$A$4:$K$5003,10,FALSE),"")</f>
        <v/>
      </c>
      <c r="I507" s="112" t="str">
        <f>IFERROR(VLOOKUP(Table1722[[#This Row],[Bukti]],Table13[#Data],11,FALSE),"")</f>
        <v/>
      </c>
    </row>
    <row r="508" spans="1:9" ht="19.5" hidden="1" customHeight="1" x14ac:dyDescent="0.2">
      <c r="A508" s="105" t="str">
        <f>IF(D508=1,COUNTIF($D$10:D508,1)," ")</f>
        <v xml:space="preserve"> </v>
      </c>
      <c r="B508" s="106" t="str">
        <f>COPY!AR500</f>
        <v/>
      </c>
      <c r="C508" s="107">
        <f>COPY!AC500</f>
        <v>0</v>
      </c>
      <c r="D508" s="107" t="str">
        <f>IF(LEN(Table1722[[#This Row],[Uraian]])&gt;2,1," ")</f>
        <v xml:space="preserve"> </v>
      </c>
      <c r="E508" s="113" t="str">
        <f>IF(Table1722[[#This Row],[Lawan Transaksi]]="CV AGUNG KARYA",COUNTIF($I$10:I508,"CV AGUNG KARYA")," ")</f>
        <v xml:space="preserve"> </v>
      </c>
      <c r="F508" s="107" t="str">
        <f>IF(LEN(Table1722[[#This Row],[Uraian]])&gt;2,TRIM(RIGHT(SUBSTITUTE(TRIM(C508)," ",REPT(" ",255)),255))," ")</f>
        <v xml:space="preserve"> </v>
      </c>
      <c r="G508" s="110">
        <f>COPY!Z500</f>
        <v>0</v>
      </c>
      <c r="H508" s="111" t="str">
        <f>IFERROR(VLOOKUP(Table1722[[#This Row],[Bukti]],'Un nOTA'!$A$4:$K$5003,10,FALSE),"")</f>
        <v/>
      </c>
      <c r="I508" s="112" t="str">
        <f>IFERROR(VLOOKUP(Table1722[[#This Row],[Bukti]],Table13[#Data],11,FALSE),"")</f>
        <v/>
      </c>
    </row>
    <row r="509" spans="1:9" ht="19.5" hidden="1" customHeight="1" x14ac:dyDescent="0.2">
      <c r="A509" s="105" t="str">
        <f>IF(D509=1,COUNTIF($D$10:D509,1)," ")</f>
        <v xml:space="preserve"> </v>
      </c>
      <c r="B509" s="106" t="str">
        <f>COPY!AR501</f>
        <v/>
      </c>
      <c r="C509" s="107">
        <f>COPY!AC501</f>
        <v>0</v>
      </c>
      <c r="D509" s="107" t="str">
        <f>IF(LEN(Table1722[[#This Row],[Uraian]])&gt;2,1," ")</f>
        <v xml:space="preserve"> </v>
      </c>
      <c r="E509" s="113" t="str">
        <f>IF(Table1722[[#This Row],[Lawan Transaksi]]="CV AGUNG KARYA",COUNTIF($I$10:I509,"CV AGUNG KARYA")," ")</f>
        <v xml:space="preserve"> </v>
      </c>
      <c r="F509" s="107" t="str">
        <f>IF(LEN(Table1722[[#This Row],[Uraian]])&gt;2,TRIM(RIGHT(SUBSTITUTE(TRIM(C509)," ",REPT(" ",255)),255))," ")</f>
        <v xml:space="preserve"> </v>
      </c>
      <c r="G509" s="110">
        <f>COPY!Z501</f>
        <v>0</v>
      </c>
      <c r="H509" s="111" t="str">
        <f>IFERROR(VLOOKUP(Table1722[[#This Row],[Bukti]],'Un nOTA'!$A$4:$K$5003,10,FALSE),"")</f>
        <v/>
      </c>
      <c r="I509" s="112" t="str">
        <f>IFERROR(VLOOKUP(Table1722[[#This Row],[Bukti]],Table13[#Data],11,FALSE),"")</f>
        <v/>
      </c>
    </row>
    <row r="510" spans="1:9" ht="19.5" hidden="1" customHeight="1" x14ac:dyDescent="0.2">
      <c r="A510" s="105" t="str">
        <f>IF(D510=1,COUNTIF($D$10:D510,1)," ")</f>
        <v xml:space="preserve"> </v>
      </c>
      <c r="B510" s="106" t="str">
        <f>COPY!AR502</f>
        <v/>
      </c>
      <c r="C510" s="107">
        <f>COPY!AC502</f>
        <v>0</v>
      </c>
      <c r="D510" s="107" t="str">
        <f>IF(LEN(Table1722[[#This Row],[Uraian]])&gt;2,1," ")</f>
        <v xml:space="preserve"> </v>
      </c>
      <c r="E510" s="113" t="str">
        <f>IF(Table1722[[#This Row],[Lawan Transaksi]]="CV AGUNG KARYA",COUNTIF($I$10:I510,"CV AGUNG KARYA")," ")</f>
        <v xml:space="preserve"> </v>
      </c>
      <c r="F510" s="107" t="str">
        <f>IF(LEN(Table1722[[#This Row],[Uraian]])&gt;2,TRIM(RIGHT(SUBSTITUTE(TRIM(C510)," ",REPT(" ",255)),255))," ")</f>
        <v xml:space="preserve"> </v>
      </c>
      <c r="G510" s="110">
        <f>COPY!Z502</f>
        <v>0</v>
      </c>
      <c r="H510" s="111" t="str">
        <f>IFERROR(VLOOKUP(Table1722[[#This Row],[Bukti]],'Un nOTA'!$A$4:$K$5003,10,FALSE),"")</f>
        <v/>
      </c>
      <c r="I510" s="112" t="str">
        <f>IFERROR(VLOOKUP(Table1722[[#This Row],[Bukti]],Table13[#Data],11,FALSE),"")</f>
        <v/>
      </c>
    </row>
    <row r="511" spans="1:9" ht="19.5" hidden="1" customHeight="1" x14ac:dyDescent="0.2">
      <c r="A511" s="105" t="str">
        <f>IF(D511=1,COUNTIF($D$10:D511,1)," ")</f>
        <v xml:space="preserve"> </v>
      </c>
      <c r="B511" s="106" t="str">
        <f>COPY!AR503</f>
        <v/>
      </c>
      <c r="C511" s="107">
        <f>COPY!AC503</f>
        <v>0</v>
      </c>
      <c r="D511" s="107" t="str">
        <f>IF(LEN(Table1722[[#This Row],[Uraian]])&gt;2,1," ")</f>
        <v xml:space="preserve"> </v>
      </c>
      <c r="E511" s="113" t="str">
        <f>IF(Table1722[[#This Row],[Lawan Transaksi]]="CV AGUNG KARYA",COUNTIF($I$10:I511,"CV AGUNG KARYA")," ")</f>
        <v xml:space="preserve"> </v>
      </c>
      <c r="F511" s="107" t="str">
        <f>IF(LEN(Table1722[[#This Row],[Uraian]])&gt;2,TRIM(RIGHT(SUBSTITUTE(TRIM(C511)," ",REPT(" ",255)),255))," ")</f>
        <v xml:space="preserve"> </v>
      </c>
      <c r="G511" s="110">
        <f>COPY!Z503</f>
        <v>0</v>
      </c>
      <c r="H511" s="111" t="str">
        <f>IFERROR(VLOOKUP(Table1722[[#This Row],[Bukti]],'Un nOTA'!$A$4:$K$5003,10,FALSE),"")</f>
        <v/>
      </c>
      <c r="I511" s="112" t="str">
        <f>IFERROR(VLOOKUP(Table1722[[#This Row],[Bukti]],Table13[#Data],11,FALSE),"")</f>
        <v/>
      </c>
    </row>
    <row r="512" spans="1:9" ht="19.5" hidden="1" customHeight="1" x14ac:dyDescent="0.2">
      <c r="A512" s="105" t="str">
        <f>IF(D512=1,COUNTIF($D$10:D512,1)," ")</f>
        <v xml:space="preserve"> </v>
      </c>
      <c r="B512" s="106" t="str">
        <f>COPY!AR504</f>
        <v/>
      </c>
      <c r="C512" s="107">
        <f>COPY!AC504</f>
        <v>0</v>
      </c>
      <c r="D512" s="107" t="str">
        <f>IF(LEN(Table1722[[#This Row],[Uraian]])&gt;2,1," ")</f>
        <v xml:space="preserve"> </v>
      </c>
      <c r="E512" s="113" t="str">
        <f>IF(Table1722[[#This Row],[Lawan Transaksi]]="CV AGUNG KARYA",COUNTIF($I$10:I512,"CV AGUNG KARYA")," ")</f>
        <v xml:space="preserve"> </v>
      </c>
      <c r="F512" s="107" t="str">
        <f>IF(LEN(Table1722[[#This Row],[Uraian]])&gt;2,TRIM(RIGHT(SUBSTITUTE(TRIM(C512)," ",REPT(" ",255)),255))," ")</f>
        <v xml:space="preserve"> </v>
      </c>
      <c r="G512" s="110">
        <f>COPY!Z504</f>
        <v>0</v>
      </c>
      <c r="H512" s="111" t="str">
        <f>IFERROR(VLOOKUP(Table1722[[#This Row],[Bukti]],'Un nOTA'!$A$4:$K$5003,10,FALSE),"")</f>
        <v/>
      </c>
      <c r="I512" s="112" t="str">
        <f>IFERROR(VLOOKUP(Table1722[[#This Row],[Bukti]],Table13[#Data],11,FALSE),"")</f>
        <v/>
      </c>
    </row>
    <row r="513" spans="1:9" ht="19.5" hidden="1" customHeight="1" x14ac:dyDescent="0.2">
      <c r="A513" s="105" t="str">
        <f>IF(D513=1,COUNTIF($D$10:D513,1)," ")</f>
        <v xml:space="preserve"> </v>
      </c>
      <c r="B513" s="106" t="str">
        <f>COPY!AR505</f>
        <v/>
      </c>
      <c r="C513" s="107">
        <f>COPY!AC505</f>
        <v>0</v>
      </c>
      <c r="D513" s="107" t="str">
        <f>IF(LEN(Table1722[[#This Row],[Uraian]])&gt;2,1," ")</f>
        <v xml:space="preserve"> </v>
      </c>
      <c r="E513" s="113" t="str">
        <f>IF(Table1722[[#This Row],[Lawan Transaksi]]="CV AGUNG KARYA",COUNTIF($I$10:I513,"CV AGUNG KARYA")," ")</f>
        <v xml:space="preserve"> </v>
      </c>
      <c r="F513" s="107" t="str">
        <f>IF(LEN(Table1722[[#This Row],[Uraian]])&gt;2,TRIM(RIGHT(SUBSTITUTE(TRIM(C513)," ",REPT(" ",255)),255))," ")</f>
        <v xml:space="preserve"> </v>
      </c>
      <c r="G513" s="110">
        <f>COPY!Z505</f>
        <v>0</v>
      </c>
      <c r="H513" s="111" t="str">
        <f>IFERROR(VLOOKUP(Table1722[[#This Row],[Bukti]],'Un nOTA'!$A$4:$K$5003,10,FALSE),"")</f>
        <v/>
      </c>
      <c r="I513" s="112" t="str">
        <f>IFERROR(VLOOKUP(Table1722[[#This Row],[Bukti]],Table13[#Data],11,FALSE),"")</f>
        <v/>
      </c>
    </row>
    <row r="514" spans="1:9" ht="19.5" hidden="1" customHeight="1" x14ac:dyDescent="0.2">
      <c r="A514" s="105" t="str">
        <f>IF(D514=1,COUNTIF($D$10:D514,1)," ")</f>
        <v xml:space="preserve"> </v>
      </c>
      <c r="B514" s="106" t="str">
        <f>COPY!AR506</f>
        <v/>
      </c>
      <c r="C514" s="107">
        <f>COPY!AC506</f>
        <v>0</v>
      </c>
      <c r="D514" s="107" t="str">
        <f>IF(LEN(Table1722[[#This Row],[Uraian]])&gt;2,1," ")</f>
        <v xml:space="preserve"> </v>
      </c>
      <c r="E514" s="113" t="str">
        <f>IF(Table1722[[#This Row],[Lawan Transaksi]]="CV AGUNG KARYA",COUNTIF($I$10:I514,"CV AGUNG KARYA")," ")</f>
        <v xml:space="preserve"> </v>
      </c>
      <c r="F514" s="107" t="str">
        <f>IF(LEN(Table1722[[#This Row],[Uraian]])&gt;2,TRIM(RIGHT(SUBSTITUTE(TRIM(C514)," ",REPT(" ",255)),255))," ")</f>
        <v xml:space="preserve"> </v>
      </c>
      <c r="G514" s="110">
        <f>COPY!Z506</f>
        <v>0</v>
      </c>
      <c r="H514" s="111" t="str">
        <f>IFERROR(VLOOKUP(Table1722[[#This Row],[Bukti]],'Un nOTA'!$A$4:$K$5003,10,FALSE),"")</f>
        <v/>
      </c>
      <c r="I514" s="112" t="str">
        <f>IFERROR(VLOOKUP(Table1722[[#This Row],[Bukti]],Table13[#Data],11,FALSE),"")</f>
        <v/>
      </c>
    </row>
    <row r="515" spans="1:9" ht="19.5" hidden="1" customHeight="1" x14ac:dyDescent="0.2">
      <c r="A515" s="105" t="str">
        <f>IF(D515=1,COUNTIF($D$10:D515,1)," ")</f>
        <v xml:space="preserve"> </v>
      </c>
      <c r="B515" s="106" t="str">
        <f>COPY!AR507</f>
        <v/>
      </c>
      <c r="C515" s="107">
        <f>COPY!AC507</f>
        <v>0</v>
      </c>
      <c r="D515" s="107" t="str">
        <f>IF(LEN(Table1722[[#This Row],[Uraian]])&gt;2,1," ")</f>
        <v xml:space="preserve"> </v>
      </c>
      <c r="E515" s="113" t="str">
        <f>IF(Table1722[[#This Row],[Lawan Transaksi]]="CV AGUNG KARYA",COUNTIF($I$10:I515,"CV AGUNG KARYA")," ")</f>
        <v xml:space="preserve"> </v>
      </c>
      <c r="F515" s="107" t="str">
        <f>IF(LEN(Table1722[[#This Row],[Uraian]])&gt;2,TRIM(RIGHT(SUBSTITUTE(TRIM(C515)," ",REPT(" ",255)),255))," ")</f>
        <v xml:space="preserve"> </v>
      </c>
      <c r="G515" s="110">
        <f>COPY!Z507</f>
        <v>0</v>
      </c>
      <c r="H515" s="111" t="str">
        <f>IFERROR(VLOOKUP(Table1722[[#This Row],[Bukti]],'Un nOTA'!$A$4:$K$5003,10,FALSE),"")</f>
        <v/>
      </c>
      <c r="I515" s="112" t="str">
        <f>IFERROR(VLOOKUP(Table1722[[#This Row],[Bukti]],Table13[#Data],11,FALSE),"")</f>
        <v/>
      </c>
    </row>
    <row r="516" spans="1:9" ht="19.5" hidden="1" customHeight="1" x14ac:dyDescent="0.2">
      <c r="A516" s="105" t="str">
        <f>IF(D516=1,COUNTIF($D$10:D516,1)," ")</f>
        <v xml:space="preserve"> </v>
      </c>
      <c r="B516" s="106" t="str">
        <f>COPY!AR508</f>
        <v/>
      </c>
      <c r="C516" s="107">
        <f>COPY!AC508</f>
        <v>0</v>
      </c>
      <c r="D516" s="107" t="str">
        <f>IF(LEN(Table1722[[#This Row],[Uraian]])&gt;2,1," ")</f>
        <v xml:space="preserve"> </v>
      </c>
      <c r="E516" s="113" t="str">
        <f>IF(Table1722[[#This Row],[Lawan Transaksi]]="CV AGUNG KARYA",COUNTIF($I$10:I516,"CV AGUNG KARYA")," ")</f>
        <v xml:space="preserve"> </v>
      </c>
      <c r="F516" s="107" t="str">
        <f>IF(LEN(Table1722[[#This Row],[Uraian]])&gt;2,TRIM(RIGHT(SUBSTITUTE(TRIM(C516)," ",REPT(" ",255)),255))," ")</f>
        <v xml:space="preserve"> </v>
      </c>
      <c r="G516" s="110">
        <f>COPY!Z508</f>
        <v>0</v>
      </c>
      <c r="H516" s="111" t="str">
        <f>IFERROR(VLOOKUP(Table1722[[#This Row],[Bukti]],'Un nOTA'!$A$4:$K$5003,10,FALSE),"")</f>
        <v/>
      </c>
      <c r="I516" s="112" t="str">
        <f>IFERROR(VLOOKUP(Table1722[[#This Row],[Bukti]],Table13[#Data],11,FALSE),"")</f>
        <v/>
      </c>
    </row>
    <row r="517" spans="1:9" ht="19.5" hidden="1" customHeight="1" x14ac:dyDescent="0.2">
      <c r="A517" s="105" t="str">
        <f>IF(D517=1,COUNTIF($D$10:D517,1)," ")</f>
        <v xml:space="preserve"> </v>
      </c>
      <c r="B517" s="106" t="str">
        <f>COPY!AR509</f>
        <v/>
      </c>
      <c r="C517" s="107">
        <f>COPY!AC509</f>
        <v>0</v>
      </c>
      <c r="D517" s="107" t="str">
        <f>IF(LEN(Table1722[[#This Row],[Uraian]])&gt;2,1," ")</f>
        <v xml:space="preserve"> </v>
      </c>
      <c r="E517" s="113" t="str">
        <f>IF(Table1722[[#This Row],[Lawan Transaksi]]="CV AGUNG KARYA",COUNTIF($I$10:I517,"CV AGUNG KARYA")," ")</f>
        <v xml:space="preserve"> </v>
      </c>
      <c r="F517" s="107" t="str">
        <f>IF(LEN(Table1722[[#This Row],[Uraian]])&gt;2,TRIM(RIGHT(SUBSTITUTE(TRIM(C517)," ",REPT(" ",255)),255))," ")</f>
        <v xml:space="preserve"> </v>
      </c>
      <c r="G517" s="110">
        <f>COPY!Z509</f>
        <v>0</v>
      </c>
      <c r="H517" s="111" t="str">
        <f>IFERROR(VLOOKUP(Table1722[[#This Row],[Bukti]],'Un nOTA'!$A$4:$K$5003,10,FALSE),"")</f>
        <v/>
      </c>
      <c r="I517" s="112" t="str">
        <f>IFERROR(VLOOKUP(Table1722[[#This Row],[Bukti]],Table13[#Data],11,FALSE),"")</f>
        <v/>
      </c>
    </row>
    <row r="518" spans="1:9" ht="19.5" hidden="1" customHeight="1" x14ac:dyDescent="0.2">
      <c r="A518" s="105" t="str">
        <f>IF(D518=1,COUNTIF($D$10:D518,1)," ")</f>
        <v xml:space="preserve"> </v>
      </c>
      <c r="B518" s="106" t="str">
        <f>COPY!AR510</f>
        <v/>
      </c>
      <c r="C518" s="107">
        <f>COPY!AC510</f>
        <v>0</v>
      </c>
      <c r="D518" s="107" t="str">
        <f>IF(LEN(Table1722[[#This Row],[Uraian]])&gt;2,1," ")</f>
        <v xml:space="preserve"> </v>
      </c>
      <c r="E518" s="113" t="str">
        <f>IF(Table1722[[#This Row],[Lawan Transaksi]]="CV AGUNG KARYA",COUNTIF($I$10:I518,"CV AGUNG KARYA")," ")</f>
        <v xml:space="preserve"> </v>
      </c>
      <c r="F518" s="107" t="str">
        <f>IF(LEN(Table1722[[#This Row],[Uraian]])&gt;2,TRIM(RIGHT(SUBSTITUTE(TRIM(C518)," ",REPT(" ",255)),255))," ")</f>
        <v xml:space="preserve"> </v>
      </c>
      <c r="G518" s="110">
        <f>COPY!Z510</f>
        <v>0</v>
      </c>
      <c r="H518" s="111" t="str">
        <f>IFERROR(VLOOKUP(Table1722[[#This Row],[Bukti]],'Un nOTA'!$A$4:$K$5003,10,FALSE),"")</f>
        <v/>
      </c>
      <c r="I518" s="112" t="str">
        <f>IFERROR(VLOOKUP(Table1722[[#This Row],[Bukti]],Table13[#Data],11,FALSE),"")</f>
        <v/>
      </c>
    </row>
    <row r="519" spans="1:9" ht="19.5" hidden="1" customHeight="1" x14ac:dyDescent="0.2">
      <c r="A519" s="105" t="str">
        <f>IF(D519=1,COUNTIF($D$10:D519,1)," ")</f>
        <v xml:space="preserve"> </v>
      </c>
      <c r="B519" s="106" t="str">
        <f>COPY!AR511</f>
        <v/>
      </c>
      <c r="C519" s="107">
        <f>COPY!AC511</f>
        <v>0</v>
      </c>
      <c r="D519" s="107" t="str">
        <f>IF(LEN(Table1722[[#This Row],[Uraian]])&gt;2,1," ")</f>
        <v xml:space="preserve"> </v>
      </c>
      <c r="E519" s="113" t="str">
        <f>IF(Table1722[[#This Row],[Lawan Transaksi]]="CV AGUNG KARYA",COUNTIF($I$10:I519,"CV AGUNG KARYA")," ")</f>
        <v xml:space="preserve"> </v>
      </c>
      <c r="F519" s="107" t="str">
        <f>IF(LEN(Table1722[[#This Row],[Uraian]])&gt;2,TRIM(RIGHT(SUBSTITUTE(TRIM(C519)," ",REPT(" ",255)),255))," ")</f>
        <v xml:space="preserve"> </v>
      </c>
      <c r="G519" s="110">
        <f>COPY!Z511</f>
        <v>0</v>
      </c>
      <c r="H519" s="111" t="str">
        <f>IFERROR(VLOOKUP(Table1722[[#This Row],[Bukti]],'Un nOTA'!$A$4:$K$5003,10,FALSE),"")</f>
        <v/>
      </c>
      <c r="I519" s="112" t="str">
        <f>IFERROR(VLOOKUP(Table1722[[#This Row],[Bukti]],Table13[#Data],11,FALSE),"")</f>
        <v/>
      </c>
    </row>
    <row r="520" spans="1:9" ht="19.5" hidden="1" customHeight="1" x14ac:dyDescent="0.2">
      <c r="A520" s="105" t="str">
        <f>IF(D520=1,COUNTIF($D$10:D520,1)," ")</f>
        <v xml:space="preserve"> </v>
      </c>
      <c r="B520" s="106" t="str">
        <f>COPY!AR512</f>
        <v/>
      </c>
      <c r="C520" s="107">
        <f>COPY!AC512</f>
        <v>0</v>
      </c>
      <c r="D520" s="107" t="str">
        <f>IF(LEN(Table1722[[#This Row],[Uraian]])&gt;2,1," ")</f>
        <v xml:space="preserve"> </v>
      </c>
      <c r="E520" s="113" t="str">
        <f>IF(Table1722[[#This Row],[Lawan Transaksi]]="CV AGUNG KARYA",COUNTIF($I$10:I520,"CV AGUNG KARYA")," ")</f>
        <v xml:space="preserve"> </v>
      </c>
      <c r="F520" s="107" t="str">
        <f>IF(LEN(Table1722[[#This Row],[Uraian]])&gt;2,TRIM(RIGHT(SUBSTITUTE(TRIM(C520)," ",REPT(" ",255)),255))," ")</f>
        <v xml:space="preserve"> </v>
      </c>
      <c r="G520" s="110">
        <f>COPY!Z512</f>
        <v>0</v>
      </c>
      <c r="H520" s="111" t="str">
        <f>IFERROR(VLOOKUP(Table1722[[#This Row],[Bukti]],'Un nOTA'!$A$4:$K$5003,10,FALSE),"")</f>
        <v/>
      </c>
      <c r="I520" s="112" t="str">
        <f>IFERROR(VLOOKUP(Table1722[[#This Row],[Bukti]],Table13[#Data],11,FALSE),"")</f>
        <v/>
      </c>
    </row>
    <row r="521" spans="1:9" ht="19.5" hidden="1" customHeight="1" x14ac:dyDescent="0.2">
      <c r="A521" s="105" t="str">
        <f>IF(D521=1,COUNTIF($D$10:D521,1)," ")</f>
        <v xml:space="preserve"> </v>
      </c>
      <c r="B521" s="106" t="str">
        <f>COPY!AR513</f>
        <v/>
      </c>
      <c r="C521" s="107">
        <f>COPY!AC513</f>
        <v>0</v>
      </c>
      <c r="D521" s="107" t="str">
        <f>IF(LEN(Table1722[[#This Row],[Uraian]])&gt;2,1," ")</f>
        <v xml:space="preserve"> </v>
      </c>
      <c r="E521" s="113" t="str">
        <f>IF(Table1722[[#This Row],[Lawan Transaksi]]="CV AGUNG KARYA",COUNTIF($I$10:I521,"CV AGUNG KARYA")," ")</f>
        <v xml:space="preserve"> </v>
      </c>
      <c r="F521" s="107" t="str">
        <f>IF(LEN(Table1722[[#This Row],[Uraian]])&gt;2,TRIM(RIGHT(SUBSTITUTE(TRIM(C521)," ",REPT(" ",255)),255))," ")</f>
        <v xml:space="preserve"> </v>
      </c>
      <c r="G521" s="110">
        <f>COPY!Z513</f>
        <v>0</v>
      </c>
      <c r="H521" s="111" t="str">
        <f>IFERROR(VLOOKUP(Table1722[[#This Row],[Bukti]],'Un nOTA'!$A$4:$K$5003,10,FALSE),"")</f>
        <v/>
      </c>
      <c r="I521" s="112" t="str">
        <f>IFERROR(VLOOKUP(Table1722[[#This Row],[Bukti]],Table13[#Data],11,FALSE),"")</f>
        <v/>
      </c>
    </row>
    <row r="522" spans="1:9" ht="19.5" hidden="1" customHeight="1" x14ac:dyDescent="0.2">
      <c r="A522" s="105" t="str">
        <f>IF(D522=1,COUNTIF($D$10:D522,1)," ")</f>
        <v xml:space="preserve"> </v>
      </c>
      <c r="B522" s="106" t="str">
        <f>COPY!AR514</f>
        <v/>
      </c>
      <c r="C522" s="107">
        <f>COPY!AC514</f>
        <v>0</v>
      </c>
      <c r="D522" s="107" t="str">
        <f>IF(LEN(Table1722[[#This Row],[Uraian]])&gt;2,1," ")</f>
        <v xml:space="preserve"> </v>
      </c>
      <c r="E522" s="113" t="str">
        <f>IF(Table1722[[#This Row],[Lawan Transaksi]]="CV AGUNG KARYA",COUNTIF($I$10:I522,"CV AGUNG KARYA")," ")</f>
        <v xml:space="preserve"> </v>
      </c>
      <c r="F522" s="107" t="str">
        <f>IF(LEN(Table1722[[#This Row],[Uraian]])&gt;2,TRIM(RIGHT(SUBSTITUTE(TRIM(C522)," ",REPT(" ",255)),255))," ")</f>
        <v xml:space="preserve"> </v>
      </c>
      <c r="G522" s="110">
        <f>COPY!Z514</f>
        <v>0</v>
      </c>
      <c r="H522" s="111" t="str">
        <f>IFERROR(VLOOKUP(Table1722[[#This Row],[Bukti]],'Un nOTA'!$A$4:$K$5003,10,FALSE),"")</f>
        <v/>
      </c>
      <c r="I522" s="112" t="str">
        <f>IFERROR(VLOOKUP(Table1722[[#This Row],[Bukti]],Table13[#Data],11,FALSE),"")</f>
        <v/>
      </c>
    </row>
    <row r="523" spans="1:9" ht="19.5" hidden="1" customHeight="1" x14ac:dyDescent="0.2">
      <c r="A523" s="105" t="str">
        <f>IF(D523=1,COUNTIF($D$10:D523,1)," ")</f>
        <v xml:space="preserve"> </v>
      </c>
      <c r="B523" s="106" t="str">
        <f>COPY!AR515</f>
        <v/>
      </c>
      <c r="C523" s="107">
        <f>COPY!AC515</f>
        <v>0</v>
      </c>
      <c r="D523" s="107" t="str">
        <f>IF(LEN(Table1722[[#This Row],[Uraian]])&gt;2,1," ")</f>
        <v xml:space="preserve"> </v>
      </c>
      <c r="E523" s="113" t="str">
        <f>IF(Table1722[[#This Row],[Lawan Transaksi]]="CV AGUNG KARYA",COUNTIF($I$10:I523,"CV AGUNG KARYA")," ")</f>
        <v xml:space="preserve"> </v>
      </c>
      <c r="F523" s="107" t="str">
        <f>IF(LEN(Table1722[[#This Row],[Uraian]])&gt;2,TRIM(RIGHT(SUBSTITUTE(TRIM(C523)," ",REPT(" ",255)),255))," ")</f>
        <v xml:space="preserve"> </v>
      </c>
      <c r="G523" s="110">
        <f>COPY!Z515</f>
        <v>0</v>
      </c>
      <c r="H523" s="111" t="str">
        <f>IFERROR(VLOOKUP(Table1722[[#This Row],[Bukti]],'Un nOTA'!$A$4:$K$5003,10,FALSE),"")</f>
        <v/>
      </c>
      <c r="I523" s="112" t="str">
        <f>IFERROR(VLOOKUP(Table1722[[#This Row],[Bukti]],Table13[#Data],11,FALSE),"")</f>
        <v/>
      </c>
    </row>
    <row r="524" spans="1:9" ht="19.5" hidden="1" customHeight="1" x14ac:dyDescent="0.2">
      <c r="A524" s="105" t="str">
        <f>IF(D524=1,COUNTIF($D$10:D524,1)," ")</f>
        <v xml:space="preserve"> </v>
      </c>
      <c r="B524" s="106" t="str">
        <f>COPY!AR516</f>
        <v/>
      </c>
      <c r="C524" s="107">
        <f>COPY!AC516</f>
        <v>0</v>
      </c>
      <c r="D524" s="107" t="str">
        <f>IF(LEN(Table1722[[#This Row],[Uraian]])&gt;2,1," ")</f>
        <v xml:space="preserve"> </v>
      </c>
      <c r="E524" s="113" t="str">
        <f>IF(Table1722[[#This Row],[Lawan Transaksi]]="CV AGUNG KARYA",COUNTIF($I$10:I524,"CV AGUNG KARYA")," ")</f>
        <v xml:space="preserve"> </v>
      </c>
      <c r="F524" s="107" t="str">
        <f>IF(LEN(Table1722[[#This Row],[Uraian]])&gt;2,TRIM(RIGHT(SUBSTITUTE(TRIM(C524)," ",REPT(" ",255)),255))," ")</f>
        <v xml:space="preserve"> </v>
      </c>
      <c r="G524" s="110">
        <f>COPY!Z516</f>
        <v>0</v>
      </c>
      <c r="H524" s="111" t="str">
        <f>IFERROR(VLOOKUP(Table1722[[#This Row],[Bukti]],'Un nOTA'!$A$4:$K$5003,10,FALSE),"")</f>
        <v/>
      </c>
      <c r="I524" s="112" t="str">
        <f>IFERROR(VLOOKUP(Table1722[[#This Row],[Bukti]],Table13[#Data],11,FALSE),"")</f>
        <v/>
      </c>
    </row>
    <row r="525" spans="1:9" ht="19.5" hidden="1" customHeight="1" x14ac:dyDescent="0.2">
      <c r="A525" s="105" t="str">
        <f>IF(D525=1,COUNTIF($D$10:D525,1)," ")</f>
        <v xml:space="preserve"> </v>
      </c>
      <c r="B525" s="106" t="str">
        <f>COPY!AR517</f>
        <v/>
      </c>
      <c r="C525" s="107">
        <f>COPY!AC517</f>
        <v>0</v>
      </c>
      <c r="D525" s="107" t="str">
        <f>IF(LEN(Table1722[[#This Row],[Uraian]])&gt;2,1," ")</f>
        <v xml:space="preserve"> </v>
      </c>
      <c r="E525" s="113" t="str">
        <f>IF(Table1722[[#This Row],[Lawan Transaksi]]="CV AGUNG KARYA",COUNTIF($I$10:I525,"CV AGUNG KARYA")," ")</f>
        <v xml:space="preserve"> </v>
      </c>
      <c r="F525" s="107" t="str">
        <f>IF(LEN(Table1722[[#This Row],[Uraian]])&gt;2,TRIM(RIGHT(SUBSTITUTE(TRIM(C525)," ",REPT(" ",255)),255))," ")</f>
        <v xml:space="preserve"> </v>
      </c>
      <c r="G525" s="110">
        <f>COPY!Z517</f>
        <v>0</v>
      </c>
      <c r="H525" s="111" t="str">
        <f>IFERROR(VLOOKUP(Table1722[[#This Row],[Bukti]],'Un nOTA'!$A$4:$K$5003,10,FALSE),"")</f>
        <v/>
      </c>
      <c r="I525" s="112" t="str">
        <f>IFERROR(VLOOKUP(Table1722[[#This Row],[Bukti]],Table13[#Data],11,FALSE),"")</f>
        <v/>
      </c>
    </row>
    <row r="526" spans="1:9" ht="19.5" hidden="1" customHeight="1" x14ac:dyDescent="0.2">
      <c r="A526" s="105" t="str">
        <f>IF(D526=1,COUNTIF($D$10:D526,1)," ")</f>
        <v xml:space="preserve"> </v>
      </c>
      <c r="B526" s="106" t="str">
        <f>COPY!AR518</f>
        <v/>
      </c>
      <c r="C526" s="107">
        <f>COPY!AC518</f>
        <v>0</v>
      </c>
      <c r="D526" s="107" t="str">
        <f>IF(LEN(Table1722[[#This Row],[Uraian]])&gt;2,1," ")</f>
        <v xml:space="preserve"> </v>
      </c>
      <c r="E526" s="113" t="str">
        <f>IF(Table1722[[#This Row],[Lawan Transaksi]]="CV AGUNG KARYA",COUNTIF($I$10:I526,"CV AGUNG KARYA")," ")</f>
        <v xml:space="preserve"> </v>
      </c>
      <c r="F526" s="107" t="str">
        <f>IF(LEN(Table1722[[#This Row],[Uraian]])&gt;2,TRIM(RIGHT(SUBSTITUTE(TRIM(C526)," ",REPT(" ",255)),255))," ")</f>
        <v xml:space="preserve"> </v>
      </c>
      <c r="G526" s="110">
        <f>COPY!Z518</f>
        <v>0</v>
      </c>
      <c r="H526" s="111" t="str">
        <f>IFERROR(VLOOKUP(Table1722[[#This Row],[Bukti]],'Un nOTA'!$A$4:$K$5003,10,FALSE),"")</f>
        <v/>
      </c>
      <c r="I526" s="112" t="str">
        <f>IFERROR(VLOOKUP(Table1722[[#This Row],[Bukti]],Table13[#Data],11,FALSE),"")</f>
        <v/>
      </c>
    </row>
    <row r="527" spans="1:9" ht="19.5" hidden="1" customHeight="1" x14ac:dyDescent="0.2">
      <c r="A527" s="105" t="str">
        <f>IF(D527=1,COUNTIF($D$10:D527,1)," ")</f>
        <v xml:space="preserve"> </v>
      </c>
      <c r="B527" s="106" t="str">
        <f>COPY!AR519</f>
        <v/>
      </c>
      <c r="C527" s="107">
        <f>COPY!AC519</f>
        <v>0</v>
      </c>
      <c r="D527" s="107" t="str">
        <f>IF(LEN(Table1722[[#This Row],[Uraian]])&gt;2,1," ")</f>
        <v xml:space="preserve"> </v>
      </c>
      <c r="E527" s="113" t="str">
        <f>IF(Table1722[[#This Row],[Lawan Transaksi]]="CV AGUNG KARYA",COUNTIF($I$10:I527,"CV AGUNG KARYA")," ")</f>
        <v xml:space="preserve"> </v>
      </c>
      <c r="F527" s="107" t="str">
        <f>IF(LEN(Table1722[[#This Row],[Uraian]])&gt;2,TRIM(RIGHT(SUBSTITUTE(TRIM(C527)," ",REPT(" ",255)),255))," ")</f>
        <v xml:space="preserve"> </v>
      </c>
      <c r="G527" s="110">
        <f>COPY!Z519</f>
        <v>0</v>
      </c>
      <c r="H527" s="111" t="str">
        <f>IFERROR(VLOOKUP(Table1722[[#This Row],[Bukti]],'Un nOTA'!$A$4:$K$5003,10,FALSE),"")</f>
        <v/>
      </c>
      <c r="I527" s="112" t="str">
        <f>IFERROR(VLOOKUP(Table1722[[#This Row],[Bukti]],Table13[#Data],11,FALSE),"")</f>
        <v/>
      </c>
    </row>
    <row r="528" spans="1:9" ht="19.5" hidden="1" customHeight="1" x14ac:dyDescent="0.2">
      <c r="A528" s="105" t="str">
        <f>IF(D528=1,COUNTIF($D$10:D528,1)," ")</f>
        <v xml:space="preserve"> </v>
      </c>
      <c r="B528" s="106" t="str">
        <f>COPY!AR520</f>
        <v/>
      </c>
      <c r="C528" s="107">
        <f>COPY!AC520</f>
        <v>0</v>
      </c>
      <c r="D528" s="107" t="str">
        <f>IF(LEN(Table1722[[#This Row],[Uraian]])&gt;2,1," ")</f>
        <v xml:space="preserve"> </v>
      </c>
      <c r="E528" s="113" t="str">
        <f>IF(Table1722[[#This Row],[Lawan Transaksi]]="CV AGUNG KARYA",COUNTIF($I$10:I528,"CV AGUNG KARYA")," ")</f>
        <v xml:space="preserve"> </v>
      </c>
      <c r="F528" s="107" t="str">
        <f>IF(LEN(Table1722[[#This Row],[Uraian]])&gt;2,TRIM(RIGHT(SUBSTITUTE(TRIM(C528)," ",REPT(" ",255)),255))," ")</f>
        <v xml:space="preserve"> </v>
      </c>
      <c r="G528" s="110">
        <f>COPY!Z520</f>
        <v>0</v>
      </c>
      <c r="H528" s="111" t="str">
        <f>IFERROR(VLOOKUP(Table1722[[#This Row],[Bukti]],'Un nOTA'!$A$4:$K$5003,10,FALSE),"")</f>
        <v/>
      </c>
      <c r="I528" s="112" t="str">
        <f>IFERROR(VLOOKUP(Table1722[[#This Row],[Bukti]],Table13[#Data],11,FALSE),"")</f>
        <v/>
      </c>
    </row>
    <row r="529" spans="1:9" ht="19.5" hidden="1" customHeight="1" x14ac:dyDescent="0.2">
      <c r="A529" s="105" t="str">
        <f>IF(D529=1,COUNTIF($D$10:D529,1)," ")</f>
        <v xml:space="preserve"> </v>
      </c>
      <c r="B529" s="106" t="str">
        <f>COPY!AR521</f>
        <v/>
      </c>
      <c r="C529" s="107">
        <f>COPY!AC521</f>
        <v>0</v>
      </c>
      <c r="D529" s="107" t="str">
        <f>IF(LEN(Table1722[[#This Row],[Uraian]])&gt;2,1," ")</f>
        <v xml:space="preserve"> </v>
      </c>
      <c r="E529" s="113" t="str">
        <f>IF(Table1722[[#This Row],[Lawan Transaksi]]="CV AGUNG KARYA",COUNTIF($I$10:I529,"CV AGUNG KARYA")," ")</f>
        <v xml:space="preserve"> </v>
      </c>
      <c r="F529" s="107" t="str">
        <f>IF(LEN(Table1722[[#This Row],[Uraian]])&gt;2,TRIM(RIGHT(SUBSTITUTE(TRIM(C529)," ",REPT(" ",255)),255))," ")</f>
        <v xml:space="preserve"> </v>
      </c>
      <c r="G529" s="110">
        <f>COPY!Z521</f>
        <v>0</v>
      </c>
      <c r="H529" s="111" t="str">
        <f>IFERROR(VLOOKUP(Table1722[[#This Row],[Bukti]],'Un nOTA'!$A$4:$K$5003,10,FALSE),"")</f>
        <v/>
      </c>
      <c r="I529" s="112" t="str">
        <f>IFERROR(VLOOKUP(Table1722[[#This Row],[Bukti]],Table13[#Data],11,FALSE),"")</f>
        <v/>
      </c>
    </row>
    <row r="530" spans="1:9" ht="19.5" hidden="1" customHeight="1" x14ac:dyDescent="0.2">
      <c r="A530" s="105" t="str">
        <f>IF(D530=1,COUNTIF($D$10:D530,1)," ")</f>
        <v xml:space="preserve"> </v>
      </c>
      <c r="B530" s="106" t="str">
        <f>COPY!AR522</f>
        <v/>
      </c>
      <c r="C530" s="107">
        <f>COPY!AC522</f>
        <v>0</v>
      </c>
      <c r="D530" s="107" t="str">
        <f>IF(LEN(Table1722[[#This Row],[Uraian]])&gt;2,1," ")</f>
        <v xml:space="preserve"> </v>
      </c>
      <c r="E530" s="113" t="str">
        <f>IF(Table1722[[#This Row],[Lawan Transaksi]]="CV AGUNG KARYA",COUNTIF($I$10:I530,"CV AGUNG KARYA")," ")</f>
        <v xml:space="preserve"> </v>
      </c>
      <c r="F530" s="107" t="str">
        <f>IF(LEN(Table1722[[#This Row],[Uraian]])&gt;2,TRIM(RIGHT(SUBSTITUTE(TRIM(C530)," ",REPT(" ",255)),255))," ")</f>
        <v xml:space="preserve"> </v>
      </c>
      <c r="G530" s="110">
        <f>COPY!Z522</f>
        <v>0</v>
      </c>
      <c r="H530" s="111" t="str">
        <f>IFERROR(VLOOKUP(Table1722[[#This Row],[Bukti]],'Un nOTA'!$A$4:$K$5003,10,FALSE),"")</f>
        <v/>
      </c>
      <c r="I530" s="112" t="str">
        <f>IFERROR(VLOOKUP(Table1722[[#This Row],[Bukti]],Table13[#Data],11,FALSE),"")</f>
        <v/>
      </c>
    </row>
    <row r="531" spans="1:9" ht="19.5" hidden="1" customHeight="1" x14ac:dyDescent="0.2">
      <c r="A531" s="105" t="str">
        <f>IF(D531=1,COUNTIF($D$10:D531,1)," ")</f>
        <v xml:space="preserve"> </v>
      </c>
      <c r="B531" s="106" t="str">
        <f>COPY!AR523</f>
        <v/>
      </c>
      <c r="C531" s="107">
        <f>COPY!AC523</f>
        <v>0</v>
      </c>
      <c r="D531" s="107" t="str">
        <f>IF(LEN(Table1722[[#This Row],[Uraian]])&gt;2,1," ")</f>
        <v xml:space="preserve"> </v>
      </c>
      <c r="E531" s="113" t="str">
        <f>IF(Table1722[[#This Row],[Lawan Transaksi]]="CV AGUNG KARYA",COUNTIF($I$10:I531,"CV AGUNG KARYA")," ")</f>
        <v xml:space="preserve"> </v>
      </c>
      <c r="F531" s="107" t="str">
        <f>IF(LEN(Table1722[[#This Row],[Uraian]])&gt;2,TRIM(RIGHT(SUBSTITUTE(TRIM(C531)," ",REPT(" ",255)),255))," ")</f>
        <v xml:space="preserve"> </v>
      </c>
      <c r="G531" s="110">
        <f>COPY!Z523</f>
        <v>0</v>
      </c>
      <c r="H531" s="111" t="str">
        <f>IFERROR(VLOOKUP(Table1722[[#This Row],[Bukti]],'Un nOTA'!$A$4:$K$5003,10,FALSE),"")</f>
        <v/>
      </c>
      <c r="I531" s="112" t="str">
        <f>IFERROR(VLOOKUP(Table1722[[#This Row],[Bukti]],Table13[#Data],11,FALSE),"")</f>
        <v/>
      </c>
    </row>
    <row r="532" spans="1:9" ht="19.5" hidden="1" customHeight="1" x14ac:dyDescent="0.2">
      <c r="A532" s="105" t="str">
        <f>IF(D532=1,COUNTIF($D$10:D532,1)," ")</f>
        <v xml:space="preserve"> </v>
      </c>
      <c r="B532" s="106" t="str">
        <f>COPY!AR524</f>
        <v/>
      </c>
      <c r="C532" s="107">
        <f>COPY!AC524</f>
        <v>0</v>
      </c>
      <c r="D532" s="107" t="str">
        <f>IF(LEN(Table1722[[#This Row],[Uraian]])&gt;2,1," ")</f>
        <v xml:space="preserve"> </v>
      </c>
      <c r="E532" s="113" t="str">
        <f>IF(Table1722[[#This Row],[Lawan Transaksi]]="CV AGUNG KARYA",COUNTIF($I$10:I532,"CV AGUNG KARYA")," ")</f>
        <v xml:space="preserve"> </v>
      </c>
      <c r="F532" s="107" t="str">
        <f>IF(LEN(Table1722[[#This Row],[Uraian]])&gt;2,TRIM(RIGHT(SUBSTITUTE(TRIM(C532)," ",REPT(" ",255)),255))," ")</f>
        <v xml:space="preserve"> </v>
      </c>
      <c r="G532" s="110">
        <f>COPY!Z524</f>
        <v>0</v>
      </c>
      <c r="H532" s="111" t="str">
        <f>IFERROR(VLOOKUP(Table1722[[#This Row],[Bukti]],'Un nOTA'!$A$4:$K$5003,10,FALSE),"")</f>
        <v/>
      </c>
      <c r="I532" s="112" t="str">
        <f>IFERROR(VLOOKUP(Table1722[[#This Row],[Bukti]],Table13[#Data],11,FALSE),"")</f>
        <v/>
      </c>
    </row>
    <row r="533" spans="1:9" ht="19.5" hidden="1" customHeight="1" x14ac:dyDescent="0.2">
      <c r="A533" s="105" t="str">
        <f>IF(D533=1,COUNTIF($D$10:D533,1)," ")</f>
        <v xml:space="preserve"> </v>
      </c>
      <c r="B533" s="106" t="str">
        <f>COPY!AR525</f>
        <v/>
      </c>
      <c r="C533" s="107">
        <f>COPY!AC525</f>
        <v>0</v>
      </c>
      <c r="D533" s="107" t="str">
        <f>IF(LEN(Table1722[[#This Row],[Uraian]])&gt;2,1," ")</f>
        <v xml:space="preserve"> </v>
      </c>
      <c r="E533" s="113" t="str">
        <f>IF(Table1722[[#This Row],[Lawan Transaksi]]="CV AGUNG KARYA",COUNTIF($I$10:I533,"CV AGUNG KARYA")," ")</f>
        <v xml:space="preserve"> </v>
      </c>
      <c r="F533" s="107" t="str">
        <f>IF(LEN(Table1722[[#This Row],[Uraian]])&gt;2,TRIM(RIGHT(SUBSTITUTE(TRIM(C533)," ",REPT(" ",255)),255))," ")</f>
        <v xml:space="preserve"> </v>
      </c>
      <c r="G533" s="110">
        <f>COPY!Z525</f>
        <v>0</v>
      </c>
      <c r="H533" s="111" t="str">
        <f>IFERROR(VLOOKUP(Table1722[[#This Row],[Bukti]],'Un nOTA'!$A$4:$K$5003,10,FALSE),"")</f>
        <v/>
      </c>
      <c r="I533" s="112" t="str">
        <f>IFERROR(VLOOKUP(Table1722[[#This Row],[Bukti]],Table13[#Data],11,FALSE),"")</f>
        <v/>
      </c>
    </row>
    <row r="534" spans="1:9" ht="19.5" hidden="1" customHeight="1" x14ac:dyDescent="0.2">
      <c r="A534" s="105" t="str">
        <f>IF(D534=1,COUNTIF($D$10:D534,1)," ")</f>
        <v xml:space="preserve"> </v>
      </c>
      <c r="B534" s="106" t="str">
        <f>COPY!AR526</f>
        <v/>
      </c>
      <c r="C534" s="107">
        <f>COPY!AC526</f>
        <v>0</v>
      </c>
      <c r="D534" s="107" t="str">
        <f>IF(LEN(Table1722[[#This Row],[Uraian]])&gt;2,1," ")</f>
        <v xml:space="preserve"> </v>
      </c>
      <c r="E534" s="113" t="str">
        <f>IF(Table1722[[#This Row],[Lawan Transaksi]]="CV AGUNG KARYA",COUNTIF($I$10:I534,"CV AGUNG KARYA")," ")</f>
        <v xml:space="preserve"> </v>
      </c>
      <c r="F534" s="107" t="str">
        <f>IF(LEN(Table1722[[#This Row],[Uraian]])&gt;2,TRIM(RIGHT(SUBSTITUTE(TRIM(C534)," ",REPT(" ",255)),255))," ")</f>
        <v xml:space="preserve"> </v>
      </c>
      <c r="G534" s="110">
        <f>COPY!Z526</f>
        <v>0</v>
      </c>
      <c r="H534" s="111" t="str">
        <f>IFERROR(VLOOKUP(Table1722[[#This Row],[Bukti]],'Un nOTA'!$A$4:$K$5003,10,FALSE),"")</f>
        <v/>
      </c>
      <c r="I534" s="112" t="str">
        <f>IFERROR(VLOOKUP(Table1722[[#This Row],[Bukti]],Table13[#Data],11,FALSE),"")</f>
        <v/>
      </c>
    </row>
    <row r="535" spans="1:9" ht="19.5" hidden="1" customHeight="1" x14ac:dyDescent="0.2">
      <c r="A535" s="105" t="str">
        <f>IF(D535=1,COUNTIF($D$10:D535,1)," ")</f>
        <v xml:space="preserve"> </v>
      </c>
      <c r="B535" s="106" t="str">
        <f>COPY!AR527</f>
        <v/>
      </c>
      <c r="C535" s="107">
        <f>COPY!AC527</f>
        <v>0</v>
      </c>
      <c r="D535" s="107" t="str">
        <f>IF(LEN(Table1722[[#This Row],[Uraian]])&gt;2,1," ")</f>
        <v xml:space="preserve"> </v>
      </c>
      <c r="E535" s="113" t="str">
        <f>IF(Table1722[[#This Row],[Lawan Transaksi]]="CV AGUNG KARYA",COUNTIF($I$10:I535,"CV AGUNG KARYA")," ")</f>
        <v xml:space="preserve"> </v>
      </c>
      <c r="F535" s="107" t="str">
        <f>IF(LEN(Table1722[[#This Row],[Uraian]])&gt;2,TRIM(RIGHT(SUBSTITUTE(TRIM(C535)," ",REPT(" ",255)),255))," ")</f>
        <v xml:space="preserve"> </v>
      </c>
      <c r="G535" s="110">
        <f>COPY!Z527</f>
        <v>0</v>
      </c>
      <c r="H535" s="111" t="str">
        <f>IFERROR(VLOOKUP(Table1722[[#This Row],[Bukti]],'Un nOTA'!$A$4:$K$5003,10,FALSE),"")</f>
        <v/>
      </c>
      <c r="I535" s="112" t="str">
        <f>IFERROR(VLOOKUP(Table1722[[#This Row],[Bukti]],Table13[#Data],11,FALSE),"")</f>
        <v/>
      </c>
    </row>
    <row r="536" spans="1:9" ht="19.5" hidden="1" customHeight="1" x14ac:dyDescent="0.2">
      <c r="A536" s="105" t="str">
        <f>IF(D536=1,COUNTIF($D$10:D536,1)," ")</f>
        <v xml:space="preserve"> </v>
      </c>
      <c r="B536" s="106" t="str">
        <f>COPY!AR528</f>
        <v/>
      </c>
      <c r="C536" s="107">
        <f>COPY!AC528</f>
        <v>0</v>
      </c>
      <c r="D536" s="107" t="str">
        <f>IF(LEN(Table1722[[#This Row],[Uraian]])&gt;2,1," ")</f>
        <v xml:space="preserve"> </v>
      </c>
      <c r="E536" s="113" t="str">
        <f>IF(Table1722[[#This Row],[Lawan Transaksi]]="CV AGUNG KARYA",COUNTIF($I$10:I536,"CV AGUNG KARYA")," ")</f>
        <v xml:space="preserve"> </v>
      </c>
      <c r="F536" s="107" t="str">
        <f>IF(LEN(Table1722[[#This Row],[Uraian]])&gt;2,TRIM(RIGHT(SUBSTITUTE(TRIM(C536)," ",REPT(" ",255)),255))," ")</f>
        <v xml:space="preserve"> </v>
      </c>
      <c r="G536" s="110">
        <f>COPY!Z528</f>
        <v>0</v>
      </c>
      <c r="H536" s="111" t="str">
        <f>IFERROR(VLOOKUP(Table1722[[#This Row],[Bukti]],'Un nOTA'!$A$4:$K$5003,10,FALSE),"")</f>
        <v/>
      </c>
      <c r="I536" s="112" t="str">
        <f>IFERROR(VLOOKUP(Table1722[[#This Row],[Bukti]],Table13[#Data],11,FALSE),"")</f>
        <v/>
      </c>
    </row>
    <row r="537" spans="1:9" ht="19.5" hidden="1" customHeight="1" x14ac:dyDescent="0.2">
      <c r="A537" s="105" t="str">
        <f>IF(D537=1,COUNTIF($D$10:D537,1)," ")</f>
        <v xml:space="preserve"> </v>
      </c>
      <c r="B537" s="106" t="str">
        <f>COPY!AR529</f>
        <v/>
      </c>
      <c r="C537" s="107">
        <f>COPY!AC529</f>
        <v>0</v>
      </c>
      <c r="D537" s="107" t="str">
        <f>IF(LEN(Table1722[[#This Row],[Uraian]])&gt;2,1," ")</f>
        <v xml:space="preserve"> </v>
      </c>
      <c r="E537" s="113" t="str">
        <f>IF(Table1722[[#This Row],[Lawan Transaksi]]="CV AGUNG KARYA",COUNTIF($I$10:I537,"CV AGUNG KARYA")," ")</f>
        <v xml:space="preserve"> </v>
      </c>
      <c r="F537" s="107" t="str">
        <f>IF(LEN(Table1722[[#This Row],[Uraian]])&gt;2,TRIM(RIGHT(SUBSTITUTE(TRIM(C537)," ",REPT(" ",255)),255))," ")</f>
        <v xml:space="preserve"> </v>
      </c>
      <c r="G537" s="110">
        <f>COPY!Z529</f>
        <v>0</v>
      </c>
      <c r="H537" s="111" t="str">
        <f>IFERROR(VLOOKUP(Table1722[[#This Row],[Bukti]],'Un nOTA'!$A$4:$K$5003,10,FALSE),"")</f>
        <v/>
      </c>
      <c r="I537" s="112" t="str">
        <f>IFERROR(VLOOKUP(Table1722[[#This Row],[Bukti]],Table13[#Data],11,FALSE),"")</f>
        <v/>
      </c>
    </row>
    <row r="538" spans="1:9" ht="19.5" hidden="1" customHeight="1" x14ac:dyDescent="0.2">
      <c r="A538" s="105" t="str">
        <f>IF(D538=1,COUNTIF($D$10:D538,1)," ")</f>
        <v xml:space="preserve"> </v>
      </c>
      <c r="B538" s="106" t="str">
        <f>COPY!AR530</f>
        <v/>
      </c>
      <c r="C538" s="107">
        <f>COPY!AC530</f>
        <v>0</v>
      </c>
      <c r="D538" s="107" t="str">
        <f>IF(LEN(Table1722[[#This Row],[Uraian]])&gt;2,1," ")</f>
        <v xml:space="preserve"> </v>
      </c>
      <c r="E538" s="113" t="str">
        <f>IF(Table1722[[#This Row],[Lawan Transaksi]]="CV AGUNG KARYA",COUNTIF($I$10:I538,"CV AGUNG KARYA")," ")</f>
        <v xml:space="preserve"> </v>
      </c>
      <c r="F538" s="107" t="str">
        <f>IF(LEN(Table1722[[#This Row],[Uraian]])&gt;2,TRIM(RIGHT(SUBSTITUTE(TRIM(C538)," ",REPT(" ",255)),255))," ")</f>
        <v xml:space="preserve"> </v>
      </c>
      <c r="G538" s="110">
        <f>COPY!Z530</f>
        <v>0</v>
      </c>
      <c r="H538" s="111" t="str">
        <f>IFERROR(VLOOKUP(Table1722[[#This Row],[Bukti]],'Un nOTA'!$A$4:$K$5003,10,FALSE),"")</f>
        <v/>
      </c>
      <c r="I538" s="112" t="str">
        <f>IFERROR(VLOOKUP(Table1722[[#This Row],[Bukti]],Table13[#Data],11,FALSE),"")</f>
        <v/>
      </c>
    </row>
    <row r="539" spans="1:9" ht="19.5" hidden="1" customHeight="1" x14ac:dyDescent="0.2">
      <c r="A539" s="105" t="str">
        <f>IF(D539=1,COUNTIF($D$10:D539,1)," ")</f>
        <v xml:space="preserve"> </v>
      </c>
      <c r="B539" s="106" t="str">
        <f>COPY!AR531</f>
        <v/>
      </c>
      <c r="C539" s="107">
        <f>COPY!AC531</f>
        <v>0</v>
      </c>
      <c r="D539" s="107" t="str">
        <f>IF(LEN(Table1722[[#This Row],[Uraian]])&gt;2,1," ")</f>
        <v xml:space="preserve"> </v>
      </c>
      <c r="E539" s="113" t="str">
        <f>IF(Table1722[[#This Row],[Lawan Transaksi]]="CV AGUNG KARYA",COUNTIF($I$10:I539,"CV AGUNG KARYA")," ")</f>
        <v xml:space="preserve"> </v>
      </c>
      <c r="F539" s="107" t="str">
        <f>IF(LEN(Table1722[[#This Row],[Uraian]])&gt;2,TRIM(RIGHT(SUBSTITUTE(TRIM(C539)," ",REPT(" ",255)),255))," ")</f>
        <v xml:space="preserve"> </v>
      </c>
      <c r="G539" s="110">
        <f>COPY!Z531</f>
        <v>0</v>
      </c>
      <c r="H539" s="111" t="str">
        <f>IFERROR(VLOOKUP(Table1722[[#This Row],[Bukti]],'Un nOTA'!$A$4:$K$5003,10,FALSE),"")</f>
        <v/>
      </c>
      <c r="I539" s="112" t="str">
        <f>IFERROR(VLOOKUP(Table1722[[#This Row],[Bukti]],Table13[#Data],11,FALSE),"")</f>
        <v/>
      </c>
    </row>
    <row r="540" spans="1:9" ht="19.5" hidden="1" customHeight="1" x14ac:dyDescent="0.2">
      <c r="A540" s="105" t="str">
        <f>IF(D540=1,COUNTIF($D$10:D540,1)," ")</f>
        <v xml:space="preserve"> </v>
      </c>
      <c r="B540" s="106" t="str">
        <f>COPY!AR532</f>
        <v/>
      </c>
      <c r="C540" s="107">
        <f>COPY!AC532</f>
        <v>0</v>
      </c>
      <c r="D540" s="107" t="str">
        <f>IF(LEN(Table1722[[#This Row],[Uraian]])&gt;2,1," ")</f>
        <v xml:space="preserve"> </v>
      </c>
      <c r="E540" s="113" t="str">
        <f>IF(Table1722[[#This Row],[Lawan Transaksi]]="CV AGUNG KARYA",COUNTIF($I$10:I540,"CV AGUNG KARYA")," ")</f>
        <v xml:space="preserve"> </v>
      </c>
      <c r="F540" s="107" t="str">
        <f>IF(LEN(Table1722[[#This Row],[Uraian]])&gt;2,TRIM(RIGHT(SUBSTITUTE(TRIM(C540)," ",REPT(" ",255)),255))," ")</f>
        <v xml:space="preserve"> </v>
      </c>
      <c r="G540" s="110">
        <f>COPY!Z532</f>
        <v>0</v>
      </c>
      <c r="H540" s="111" t="str">
        <f>IFERROR(VLOOKUP(Table1722[[#This Row],[Bukti]],'Un nOTA'!$A$4:$K$5003,10,FALSE),"")</f>
        <v/>
      </c>
      <c r="I540" s="112" t="str">
        <f>IFERROR(VLOOKUP(Table1722[[#This Row],[Bukti]],Table13[#Data],11,FALSE),"")</f>
        <v/>
      </c>
    </row>
    <row r="541" spans="1:9" ht="19.5" hidden="1" customHeight="1" x14ac:dyDescent="0.2">
      <c r="A541" s="105" t="str">
        <f>IF(D541=1,COUNTIF($D$10:D541,1)," ")</f>
        <v xml:space="preserve"> </v>
      </c>
      <c r="B541" s="106" t="str">
        <f>COPY!AR533</f>
        <v/>
      </c>
      <c r="C541" s="107">
        <f>COPY!AC533</f>
        <v>0</v>
      </c>
      <c r="D541" s="107" t="str">
        <f>IF(LEN(Table1722[[#This Row],[Uraian]])&gt;2,1," ")</f>
        <v xml:space="preserve"> </v>
      </c>
      <c r="E541" s="113" t="str">
        <f>IF(Table1722[[#This Row],[Lawan Transaksi]]="CV AGUNG KARYA",COUNTIF($I$10:I541,"CV AGUNG KARYA")," ")</f>
        <v xml:space="preserve"> </v>
      </c>
      <c r="F541" s="107" t="str">
        <f>IF(LEN(Table1722[[#This Row],[Uraian]])&gt;2,TRIM(RIGHT(SUBSTITUTE(TRIM(C541)," ",REPT(" ",255)),255))," ")</f>
        <v xml:space="preserve"> </v>
      </c>
      <c r="G541" s="110">
        <f>COPY!Z533</f>
        <v>0</v>
      </c>
      <c r="H541" s="111" t="str">
        <f>IFERROR(VLOOKUP(Table1722[[#This Row],[Bukti]],'Un nOTA'!$A$4:$K$5003,10,FALSE),"")</f>
        <v/>
      </c>
      <c r="I541" s="112" t="str">
        <f>IFERROR(VLOOKUP(Table1722[[#This Row],[Bukti]],Table13[#Data],11,FALSE),"")</f>
        <v/>
      </c>
    </row>
    <row r="542" spans="1:9" ht="19.5" hidden="1" customHeight="1" x14ac:dyDescent="0.2">
      <c r="A542" s="105" t="str">
        <f>IF(D542=1,COUNTIF($D$10:D542,1)," ")</f>
        <v xml:space="preserve"> </v>
      </c>
      <c r="B542" s="106" t="str">
        <f>COPY!AR534</f>
        <v/>
      </c>
      <c r="C542" s="107">
        <f>COPY!AC534</f>
        <v>0</v>
      </c>
      <c r="D542" s="107" t="str">
        <f>IF(LEN(Table1722[[#This Row],[Uraian]])&gt;2,1," ")</f>
        <v xml:space="preserve"> </v>
      </c>
      <c r="E542" s="113" t="str">
        <f>IF(Table1722[[#This Row],[Lawan Transaksi]]="CV AGUNG KARYA",COUNTIF($I$10:I542,"CV AGUNG KARYA")," ")</f>
        <v xml:space="preserve"> </v>
      </c>
      <c r="F542" s="107" t="str">
        <f>IF(LEN(Table1722[[#This Row],[Uraian]])&gt;2,TRIM(RIGHT(SUBSTITUTE(TRIM(C542)," ",REPT(" ",255)),255))," ")</f>
        <v xml:space="preserve"> </v>
      </c>
      <c r="G542" s="110">
        <f>COPY!Z534</f>
        <v>0</v>
      </c>
      <c r="H542" s="111" t="str">
        <f>IFERROR(VLOOKUP(Table1722[[#This Row],[Bukti]],'Un nOTA'!$A$4:$K$5003,10,FALSE),"")</f>
        <v/>
      </c>
      <c r="I542" s="112" t="str">
        <f>IFERROR(VLOOKUP(Table1722[[#This Row],[Bukti]],Table13[#Data],11,FALSE),"")</f>
        <v/>
      </c>
    </row>
    <row r="543" spans="1:9" ht="19.5" hidden="1" customHeight="1" x14ac:dyDescent="0.2">
      <c r="A543" s="105" t="str">
        <f>IF(D543=1,COUNTIF($D$10:D543,1)," ")</f>
        <v xml:space="preserve"> </v>
      </c>
      <c r="B543" s="106" t="str">
        <f>COPY!AR535</f>
        <v/>
      </c>
      <c r="C543" s="107">
        <f>COPY!AC535</f>
        <v>0</v>
      </c>
      <c r="D543" s="107" t="str">
        <f>IF(LEN(Table1722[[#This Row],[Uraian]])&gt;2,1," ")</f>
        <v xml:space="preserve"> </v>
      </c>
      <c r="E543" s="113" t="str">
        <f>IF(Table1722[[#This Row],[Lawan Transaksi]]="CV AGUNG KARYA",COUNTIF($I$10:I543,"CV AGUNG KARYA")," ")</f>
        <v xml:space="preserve"> </v>
      </c>
      <c r="F543" s="107" t="str">
        <f>IF(LEN(Table1722[[#This Row],[Uraian]])&gt;2,TRIM(RIGHT(SUBSTITUTE(TRIM(C543)," ",REPT(" ",255)),255))," ")</f>
        <v xml:space="preserve"> </v>
      </c>
      <c r="G543" s="110">
        <f>COPY!Z535</f>
        <v>0</v>
      </c>
      <c r="H543" s="111" t="str">
        <f>IFERROR(VLOOKUP(Table1722[[#This Row],[Bukti]],'Un nOTA'!$A$4:$K$5003,10,FALSE),"")</f>
        <v/>
      </c>
      <c r="I543" s="112" t="str">
        <f>IFERROR(VLOOKUP(Table1722[[#This Row],[Bukti]],Table13[#Data],11,FALSE),"")</f>
        <v/>
      </c>
    </row>
    <row r="544" spans="1:9" ht="19.5" hidden="1" customHeight="1" x14ac:dyDescent="0.2">
      <c r="A544" s="105" t="str">
        <f>IF(D544=1,COUNTIF($D$10:D544,1)," ")</f>
        <v xml:space="preserve"> </v>
      </c>
      <c r="B544" s="106" t="str">
        <f>COPY!AR536</f>
        <v/>
      </c>
      <c r="C544" s="107">
        <f>COPY!AC536</f>
        <v>0</v>
      </c>
      <c r="D544" s="107" t="str">
        <f>IF(LEN(Table1722[[#This Row],[Uraian]])&gt;2,1," ")</f>
        <v xml:space="preserve"> </v>
      </c>
      <c r="E544" s="113" t="str">
        <f>IF(Table1722[[#This Row],[Lawan Transaksi]]="CV AGUNG KARYA",COUNTIF($I$10:I544,"CV AGUNG KARYA")," ")</f>
        <v xml:space="preserve"> </v>
      </c>
      <c r="F544" s="107" t="str">
        <f>IF(LEN(Table1722[[#This Row],[Uraian]])&gt;2,TRIM(RIGHT(SUBSTITUTE(TRIM(C544)," ",REPT(" ",255)),255))," ")</f>
        <v xml:space="preserve"> </v>
      </c>
      <c r="G544" s="110">
        <f>COPY!Z536</f>
        <v>0</v>
      </c>
      <c r="H544" s="111" t="str">
        <f>IFERROR(VLOOKUP(Table1722[[#This Row],[Bukti]],'Un nOTA'!$A$4:$K$5003,10,FALSE),"")</f>
        <v/>
      </c>
      <c r="I544" s="112" t="str">
        <f>IFERROR(VLOOKUP(Table1722[[#This Row],[Bukti]],Table13[#Data],11,FALSE),"")</f>
        <v/>
      </c>
    </row>
    <row r="545" spans="1:9" ht="19.5" hidden="1" customHeight="1" x14ac:dyDescent="0.2">
      <c r="A545" s="105" t="str">
        <f>IF(D545=1,COUNTIF($D$10:D545,1)," ")</f>
        <v xml:space="preserve"> </v>
      </c>
      <c r="B545" s="106" t="str">
        <f>COPY!AR537</f>
        <v/>
      </c>
      <c r="C545" s="107">
        <f>COPY!AC537</f>
        <v>0</v>
      </c>
      <c r="D545" s="107" t="str">
        <f>IF(LEN(Table1722[[#This Row],[Uraian]])&gt;2,1," ")</f>
        <v xml:space="preserve"> </v>
      </c>
      <c r="E545" s="113" t="str">
        <f>IF(Table1722[[#This Row],[Lawan Transaksi]]="CV AGUNG KARYA",COUNTIF($I$10:I545,"CV AGUNG KARYA")," ")</f>
        <v xml:space="preserve"> </v>
      </c>
      <c r="F545" s="107" t="str">
        <f>IF(LEN(Table1722[[#This Row],[Uraian]])&gt;2,TRIM(RIGHT(SUBSTITUTE(TRIM(C545)," ",REPT(" ",255)),255))," ")</f>
        <v xml:space="preserve"> </v>
      </c>
      <c r="G545" s="110">
        <f>COPY!Z537</f>
        <v>0</v>
      </c>
      <c r="H545" s="111" t="str">
        <f>IFERROR(VLOOKUP(Table1722[[#This Row],[Bukti]],'Un nOTA'!$A$4:$K$5003,10,FALSE),"")</f>
        <v/>
      </c>
      <c r="I545" s="112" t="str">
        <f>IFERROR(VLOOKUP(Table1722[[#This Row],[Bukti]],Table13[#Data],11,FALSE),"")</f>
        <v/>
      </c>
    </row>
    <row r="546" spans="1:9" ht="19.5" hidden="1" customHeight="1" x14ac:dyDescent="0.2">
      <c r="A546" s="105" t="str">
        <f>IF(D546=1,COUNTIF($D$10:D546,1)," ")</f>
        <v xml:space="preserve"> </v>
      </c>
      <c r="B546" s="106" t="str">
        <f>COPY!AR538</f>
        <v/>
      </c>
      <c r="C546" s="107">
        <f>COPY!AC538</f>
        <v>0</v>
      </c>
      <c r="D546" s="107" t="str">
        <f>IF(LEN(Table1722[[#This Row],[Uraian]])&gt;2,1," ")</f>
        <v xml:space="preserve"> </v>
      </c>
      <c r="E546" s="113" t="str">
        <f>IF(Table1722[[#This Row],[Lawan Transaksi]]="CV AGUNG KARYA",COUNTIF($I$10:I546,"CV AGUNG KARYA")," ")</f>
        <v xml:space="preserve"> </v>
      </c>
      <c r="F546" s="107" t="str">
        <f>IF(LEN(Table1722[[#This Row],[Uraian]])&gt;2,TRIM(RIGHT(SUBSTITUTE(TRIM(C546)," ",REPT(" ",255)),255))," ")</f>
        <v xml:space="preserve"> </v>
      </c>
      <c r="G546" s="110">
        <f>COPY!Z538</f>
        <v>0</v>
      </c>
      <c r="H546" s="111" t="str">
        <f>IFERROR(VLOOKUP(Table1722[[#This Row],[Bukti]],'Un nOTA'!$A$4:$K$5003,10,FALSE),"")</f>
        <v/>
      </c>
      <c r="I546" s="112" t="str">
        <f>IFERROR(VLOOKUP(Table1722[[#This Row],[Bukti]],Table13[#Data],11,FALSE),"")</f>
        <v/>
      </c>
    </row>
    <row r="547" spans="1:9" ht="19.5" hidden="1" customHeight="1" x14ac:dyDescent="0.2">
      <c r="A547" s="105" t="str">
        <f>IF(D547=1,COUNTIF($D$10:D547,1)," ")</f>
        <v xml:space="preserve"> </v>
      </c>
      <c r="B547" s="106" t="str">
        <f>COPY!AR539</f>
        <v/>
      </c>
      <c r="C547" s="107">
        <f>COPY!AC539</f>
        <v>0</v>
      </c>
      <c r="D547" s="107" t="str">
        <f>IF(LEN(Table1722[[#This Row],[Uraian]])&gt;2,1," ")</f>
        <v xml:space="preserve"> </v>
      </c>
      <c r="E547" s="113" t="str">
        <f>IF(Table1722[[#This Row],[Lawan Transaksi]]="CV AGUNG KARYA",COUNTIF($I$10:I547,"CV AGUNG KARYA")," ")</f>
        <v xml:space="preserve"> </v>
      </c>
      <c r="F547" s="107" t="str">
        <f>IF(LEN(Table1722[[#This Row],[Uraian]])&gt;2,TRIM(RIGHT(SUBSTITUTE(TRIM(C547)," ",REPT(" ",255)),255))," ")</f>
        <v xml:space="preserve"> </v>
      </c>
      <c r="G547" s="110">
        <f>COPY!Z539</f>
        <v>0</v>
      </c>
      <c r="H547" s="111" t="str">
        <f>IFERROR(VLOOKUP(Table1722[[#This Row],[Bukti]],'Un nOTA'!$A$4:$K$5003,10,FALSE),"")</f>
        <v/>
      </c>
      <c r="I547" s="112" t="str">
        <f>IFERROR(VLOOKUP(Table1722[[#This Row],[Bukti]],Table13[#Data],11,FALSE),"")</f>
        <v/>
      </c>
    </row>
    <row r="548" spans="1:9" ht="19.5" hidden="1" customHeight="1" x14ac:dyDescent="0.2">
      <c r="A548" s="105" t="str">
        <f>IF(D548=1,COUNTIF($D$10:D548,1)," ")</f>
        <v xml:space="preserve"> </v>
      </c>
      <c r="B548" s="106" t="str">
        <f>COPY!AR540</f>
        <v/>
      </c>
      <c r="C548" s="107">
        <f>COPY!AC540</f>
        <v>0</v>
      </c>
      <c r="D548" s="107" t="str">
        <f>IF(LEN(Table1722[[#This Row],[Uraian]])&gt;2,1," ")</f>
        <v xml:space="preserve"> </v>
      </c>
      <c r="E548" s="113" t="str">
        <f>IF(Table1722[[#This Row],[Lawan Transaksi]]="CV AGUNG KARYA",COUNTIF($I$10:I548,"CV AGUNG KARYA")," ")</f>
        <v xml:space="preserve"> </v>
      </c>
      <c r="F548" s="107" t="str">
        <f>IF(LEN(Table1722[[#This Row],[Uraian]])&gt;2,TRIM(RIGHT(SUBSTITUTE(TRIM(C548)," ",REPT(" ",255)),255))," ")</f>
        <v xml:space="preserve"> </v>
      </c>
      <c r="G548" s="110">
        <f>COPY!Z540</f>
        <v>0</v>
      </c>
      <c r="H548" s="111" t="str">
        <f>IFERROR(VLOOKUP(Table1722[[#This Row],[Bukti]],'Un nOTA'!$A$4:$K$5003,10,FALSE),"")</f>
        <v/>
      </c>
      <c r="I548" s="112" t="str">
        <f>IFERROR(VLOOKUP(Table1722[[#This Row],[Bukti]],Table13[#Data],11,FALSE),"")</f>
        <v/>
      </c>
    </row>
    <row r="549" spans="1:9" ht="19.5" hidden="1" customHeight="1" x14ac:dyDescent="0.2">
      <c r="A549" s="105" t="str">
        <f>IF(D549=1,COUNTIF($D$10:D549,1)," ")</f>
        <v xml:space="preserve"> </v>
      </c>
      <c r="B549" s="106" t="str">
        <f>COPY!AR541</f>
        <v/>
      </c>
      <c r="C549" s="107">
        <f>COPY!AC541</f>
        <v>0</v>
      </c>
      <c r="D549" s="107" t="str">
        <f>IF(LEN(Table1722[[#This Row],[Uraian]])&gt;2,1," ")</f>
        <v xml:space="preserve"> </v>
      </c>
      <c r="E549" s="113" t="str">
        <f>IF(Table1722[[#This Row],[Lawan Transaksi]]="CV AGUNG KARYA",COUNTIF($I$10:I549,"CV AGUNG KARYA")," ")</f>
        <v xml:space="preserve"> </v>
      </c>
      <c r="F549" s="107" t="str">
        <f>IF(LEN(Table1722[[#This Row],[Uraian]])&gt;2,TRIM(RIGHT(SUBSTITUTE(TRIM(C549)," ",REPT(" ",255)),255))," ")</f>
        <v xml:space="preserve"> </v>
      </c>
      <c r="G549" s="110">
        <f>COPY!Z541</f>
        <v>0</v>
      </c>
      <c r="H549" s="111" t="str">
        <f>IFERROR(VLOOKUP(Table1722[[#This Row],[Bukti]],'Un nOTA'!$A$4:$K$5003,10,FALSE),"")</f>
        <v/>
      </c>
      <c r="I549" s="112" t="str">
        <f>IFERROR(VLOOKUP(Table1722[[#This Row],[Bukti]],Table13[#Data],11,FALSE),"")</f>
        <v/>
      </c>
    </row>
    <row r="550" spans="1:9" ht="19.5" hidden="1" customHeight="1" x14ac:dyDescent="0.2">
      <c r="A550" s="105" t="str">
        <f>IF(D550=1,COUNTIF($D$10:D550,1)," ")</f>
        <v xml:space="preserve"> </v>
      </c>
      <c r="B550" s="106" t="str">
        <f>COPY!AR542</f>
        <v/>
      </c>
      <c r="C550" s="107">
        <f>COPY!AC542</f>
        <v>0</v>
      </c>
      <c r="D550" s="107" t="str">
        <f>IF(LEN(Table1722[[#This Row],[Uraian]])&gt;2,1," ")</f>
        <v xml:space="preserve"> </v>
      </c>
      <c r="E550" s="113" t="str">
        <f>IF(Table1722[[#This Row],[Lawan Transaksi]]="CV AGUNG KARYA",COUNTIF($I$10:I550,"CV AGUNG KARYA")," ")</f>
        <v xml:space="preserve"> </v>
      </c>
      <c r="F550" s="107" t="str">
        <f>IF(LEN(Table1722[[#This Row],[Uraian]])&gt;2,TRIM(RIGHT(SUBSTITUTE(TRIM(C550)," ",REPT(" ",255)),255))," ")</f>
        <v xml:space="preserve"> </v>
      </c>
      <c r="G550" s="110">
        <f>COPY!Z542</f>
        <v>0</v>
      </c>
      <c r="H550" s="111" t="str">
        <f>IFERROR(VLOOKUP(Table1722[[#This Row],[Bukti]],'Un nOTA'!$A$4:$K$5003,10,FALSE),"")</f>
        <v/>
      </c>
      <c r="I550" s="112" t="str">
        <f>IFERROR(VLOOKUP(Table1722[[#This Row],[Bukti]],Table13[#Data],11,FALSE),"")</f>
        <v/>
      </c>
    </row>
    <row r="551" spans="1:9" ht="19.5" hidden="1" customHeight="1" x14ac:dyDescent="0.2">
      <c r="A551" s="105" t="str">
        <f>IF(D551=1,COUNTIF($D$10:D551,1)," ")</f>
        <v xml:space="preserve"> </v>
      </c>
      <c r="B551" s="106" t="str">
        <f>COPY!AR543</f>
        <v/>
      </c>
      <c r="C551" s="107">
        <f>COPY!AC543</f>
        <v>0</v>
      </c>
      <c r="D551" s="107" t="str">
        <f>IF(LEN(Table1722[[#This Row],[Uraian]])&gt;2,1," ")</f>
        <v xml:space="preserve"> </v>
      </c>
      <c r="E551" s="113" t="str">
        <f>IF(Table1722[[#This Row],[Lawan Transaksi]]="CV AGUNG KARYA",COUNTIF($I$10:I551,"CV AGUNG KARYA")," ")</f>
        <v xml:space="preserve"> </v>
      </c>
      <c r="F551" s="107" t="str">
        <f>IF(LEN(Table1722[[#This Row],[Uraian]])&gt;2,TRIM(RIGHT(SUBSTITUTE(TRIM(C551)," ",REPT(" ",255)),255))," ")</f>
        <v xml:space="preserve"> </v>
      </c>
      <c r="G551" s="110">
        <f>COPY!Z543</f>
        <v>0</v>
      </c>
      <c r="H551" s="111" t="str">
        <f>IFERROR(VLOOKUP(Table1722[[#This Row],[Bukti]],'Un nOTA'!$A$4:$K$5003,10,FALSE),"")</f>
        <v/>
      </c>
      <c r="I551" s="112" t="str">
        <f>IFERROR(VLOOKUP(Table1722[[#This Row],[Bukti]],Table13[#Data],11,FALSE),"")</f>
        <v/>
      </c>
    </row>
    <row r="552" spans="1:9" ht="19.5" hidden="1" customHeight="1" x14ac:dyDescent="0.2">
      <c r="A552" s="105" t="str">
        <f>IF(D552=1,COUNTIF($D$10:D552,1)," ")</f>
        <v xml:space="preserve"> </v>
      </c>
      <c r="B552" s="106" t="str">
        <f>COPY!AR544</f>
        <v/>
      </c>
      <c r="C552" s="107">
        <f>COPY!AC544</f>
        <v>0</v>
      </c>
      <c r="D552" s="107" t="str">
        <f>IF(LEN(Table1722[[#This Row],[Uraian]])&gt;2,1," ")</f>
        <v xml:space="preserve"> </v>
      </c>
      <c r="E552" s="113" t="str">
        <f>IF(Table1722[[#This Row],[Lawan Transaksi]]="CV AGUNG KARYA",COUNTIF($I$10:I552,"CV AGUNG KARYA")," ")</f>
        <v xml:space="preserve"> </v>
      </c>
      <c r="F552" s="107" t="str">
        <f>IF(LEN(Table1722[[#This Row],[Uraian]])&gt;2,TRIM(RIGHT(SUBSTITUTE(TRIM(C552)," ",REPT(" ",255)),255))," ")</f>
        <v xml:space="preserve"> </v>
      </c>
      <c r="G552" s="110">
        <f>COPY!Z544</f>
        <v>0</v>
      </c>
      <c r="H552" s="111" t="str">
        <f>IFERROR(VLOOKUP(Table1722[[#This Row],[Bukti]],'Un nOTA'!$A$4:$K$5003,10,FALSE),"")</f>
        <v/>
      </c>
      <c r="I552" s="112" t="str">
        <f>IFERROR(VLOOKUP(Table1722[[#This Row],[Bukti]],Table13[#Data],11,FALSE),"")</f>
        <v/>
      </c>
    </row>
    <row r="553" spans="1:9" ht="19.5" hidden="1" customHeight="1" x14ac:dyDescent="0.2">
      <c r="A553" s="105" t="str">
        <f>IF(D553=1,COUNTIF($D$10:D553,1)," ")</f>
        <v xml:space="preserve"> </v>
      </c>
      <c r="B553" s="106" t="str">
        <f>COPY!AR545</f>
        <v/>
      </c>
      <c r="C553" s="107">
        <f>COPY!AC545</f>
        <v>0</v>
      </c>
      <c r="D553" s="107" t="str">
        <f>IF(LEN(Table1722[[#This Row],[Uraian]])&gt;2,1," ")</f>
        <v xml:space="preserve"> </v>
      </c>
      <c r="E553" s="113" t="str">
        <f>IF(Table1722[[#This Row],[Lawan Transaksi]]="CV AGUNG KARYA",COUNTIF($I$10:I553,"CV AGUNG KARYA")," ")</f>
        <v xml:space="preserve"> </v>
      </c>
      <c r="F553" s="107" t="str">
        <f>IF(LEN(Table1722[[#This Row],[Uraian]])&gt;2,TRIM(RIGHT(SUBSTITUTE(TRIM(C553)," ",REPT(" ",255)),255))," ")</f>
        <v xml:space="preserve"> </v>
      </c>
      <c r="G553" s="110">
        <f>COPY!Z545</f>
        <v>0</v>
      </c>
      <c r="H553" s="111" t="str">
        <f>IFERROR(VLOOKUP(Table1722[[#This Row],[Bukti]],'Un nOTA'!$A$4:$K$5003,10,FALSE),"")</f>
        <v/>
      </c>
      <c r="I553" s="112" t="str">
        <f>IFERROR(VLOOKUP(Table1722[[#This Row],[Bukti]],Table13[#Data],11,FALSE),"")</f>
        <v/>
      </c>
    </row>
    <row r="554" spans="1:9" ht="19.5" hidden="1" customHeight="1" x14ac:dyDescent="0.2">
      <c r="A554" s="105" t="str">
        <f>IF(D554=1,COUNTIF($D$10:D554,1)," ")</f>
        <v xml:space="preserve"> </v>
      </c>
      <c r="B554" s="106" t="str">
        <f>COPY!AR546</f>
        <v/>
      </c>
      <c r="C554" s="107">
        <f>COPY!AC546</f>
        <v>0</v>
      </c>
      <c r="D554" s="107" t="str">
        <f>IF(LEN(Table1722[[#This Row],[Uraian]])&gt;2,1," ")</f>
        <v xml:space="preserve"> </v>
      </c>
      <c r="E554" s="113" t="str">
        <f>IF(Table1722[[#This Row],[Lawan Transaksi]]="CV AGUNG KARYA",COUNTIF($I$10:I554,"CV AGUNG KARYA")," ")</f>
        <v xml:space="preserve"> </v>
      </c>
      <c r="F554" s="107" t="str">
        <f>IF(LEN(Table1722[[#This Row],[Uraian]])&gt;2,TRIM(RIGHT(SUBSTITUTE(TRIM(C554)," ",REPT(" ",255)),255))," ")</f>
        <v xml:space="preserve"> </v>
      </c>
      <c r="G554" s="110">
        <f>COPY!Z546</f>
        <v>0</v>
      </c>
      <c r="H554" s="111" t="str">
        <f>IFERROR(VLOOKUP(Table1722[[#This Row],[Bukti]],'Un nOTA'!$A$4:$K$5003,10,FALSE),"")</f>
        <v/>
      </c>
      <c r="I554" s="112" t="str">
        <f>IFERROR(VLOOKUP(Table1722[[#This Row],[Bukti]],Table13[#Data],11,FALSE),"")</f>
        <v/>
      </c>
    </row>
    <row r="555" spans="1:9" ht="19.5" hidden="1" customHeight="1" x14ac:dyDescent="0.2">
      <c r="A555" s="105" t="str">
        <f>IF(D555=1,COUNTIF($D$10:D555,1)," ")</f>
        <v xml:space="preserve"> </v>
      </c>
      <c r="B555" s="106" t="str">
        <f>COPY!AR547</f>
        <v/>
      </c>
      <c r="C555" s="107">
        <f>COPY!AC547</f>
        <v>0</v>
      </c>
      <c r="D555" s="107" t="str">
        <f>IF(LEN(Table1722[[#This Row],[Uraian]])&gt;2,1," ")</f>
        <v xml:space="preserve"> </v>
      </c>
      <c r="E555" s="113" t="str">
        <f>IF(Table1722[[#This Row],[Lawan Transaksi]]="CV AGUNG KARYA",COUNTIF($I$10:I555,"CV AGUNG KARYA")," ")</f>
        <v xml:space="preserve"> </v>
      </c>
      <c r="F555" s="107" t="str">
        <f>IF(LEN(Table1722[[#This Row],[Uraian]])&gt;2,TRIM(RIGHT(SUBSTITUTE(TRIM(C555)," ",REPT(" ",255)),255))," ")</f>
        <v xml:space="preserve"> </v>
      </c>
      <c r="G555" s="110">
        <f>COPY!Z547</f>
        <v>0</v>
      </c>
      <c r="H555" s="111" t="str">
        <f>IFERROR(VLOOKUP(Table1722[[#This Row],[Bukti]],'Un nOTA'!$A$4:$K$5003,10,FALSE),"")</f>
        <v/>
      </c>
      <c r="I555" s="112" t="str">
        <f>IFERROR(VLOOKUP(Table1722[[#This Row],[Bukti]],Table13[#Data],11,FALSE),"")</f>
        <v/>
      </c>
    </row>
    <row r="556" spans="1:9" ht="19.5" hidden="1" customHeight="1" x14ac:dyDescent="0.2">
      <c r="A556" s="105" t="str">
        <f>IF(D556=1,COUNTIF($D$10:D556,1)," ")</f>
        <v xml:space="preserve"> </v>
      </c>
      <c r="B556" s="106" t="str">
        <f>COPY!AR548</f>
        <v/>
      </c>
      <c r="C556" s="107">
        <f>COPY!AC548</f>
        <v>0</v>
      </c>
      <c r="D556" s="107" t="str">
        <f>IF(LEN(Table1722[[#This Row],[Uraian]])&gt;2,1," ")</f>
        <v xml:space="preserve"> </v>
      </c>
      <c r="E556" s="113" t="str">
        <f>IF(Table1722[[#This Row],[Lawan Transaksi]]="CV AGUNG KARYA",COUNTIF($I$10:I556,"CV AGUNG KARYA")," ")</f>
        <v xml:space="preserve"> </v>
      </c>
      <c r="F556" s="107" t="str">
        <f>IF(LEN(Table1722[[#This Row],[Uraian]])&gt;2,TRIM(RIGHT(SUBSTITUTE(TRIM(C556)," ",REPT(" ",255)),255))," ")</f>
        <v xml:space="preserve"> </v>
      </c>
      <c r="G556" s="110">
        <f>COPY!Z548</f>
        <v>0</v>
      </c>
      <c r="H556" s="111" t="str">
        <f>IFERROR(VLOOKUP(Table1722[[#This Row],[Bukti]],'Un nOTA'!$A$4:$K$5003,10,FALSE),"")</f>
        <v/>
      </c>
      <c r="I556" s="112" t="str">
        <f>IFERROR(VLOOKUP(Table1722[[#This Row],[Bukti]],Table13[#Data],11,FALSE),"")</f>
        <v/>
      </c>
    </row>
    <row r="557" spans="1:9" ht="19.5" hidden="1" customHeight="1" x14ac:dyDescent="0.2">
      <c r="A557" s="105" t="str">
        <f>IF(D557=1,COUNTIF($D$10:D557,1)," ")</f>
        <v xml:space="preserve"> </v>
      </c>
      <c r="B557" s="106" t="str">
        <f>COPY!AR549</f>
        <v/>
      </c>
      <c r="C557" s="107">
        <f>COPY!AC549</f>
        <v>0</v>
      </c>
      <c r="D557" s="107" t="str">
        <f>IF(LEN(Table1722[[#This Row],[Uraian]])&gt;2,1," ")</f>
        <v xml:space="preserve"> </v>
      </c>
      <c r="E557" s="113" t="str">
        <f>IF(Table1722[[#This Row],[Lawan Transaksi]]="CV AGUNG KARYA",COUNTIF($I$10:I557,"CV AGUNG KARYA")," ")</f>
        <v xml:space="preserve"> </v>
      </c>
      <c r="F557" s="107" t="str">
        <f>IF(LEN(Table1722[[#This Row],[Uraian]])&gt;2,TRIM(RIGHT(SUBSTITUTE(TRIM(C557)," ",REPT(" ",255)),255))," ")</f>
        <v xml:space="preserve"> </v>
      </c>
      <c r="G557" s="110">
        <f>COPY!Z549</f>
        <v>0</v>
      </c>
      <c r="H557" s="111" t="str">
        <f>IFERROR(VLOOKUP(Table1722[[#This Row],[Bukti]],'Un nOTA'!$A$4:$K$5003,10,FALSE),"")</f>
        <v/>
      </c>
      <c r="I557" s="112" t="str">
        <f>IFERROR(VLOOKUP(Table1722[[#This Row],[Bukti]],Table13[#Data],11,FALSE),"")</f>
        <v/>
      </c>
    </row>
    <row r="558" spans="1:9" ht="19.5" hidden="1" customHeight="1" x14ac:dyDescent="0.2">
      <c r="A558" s="105" t="str">
        <f>IF(D558=1,COUNTIF($D$10:D558,1)," ")</f>
        <v xml:space="preserve"> </v>
      </c>
      <c r="B558" s="106" t="str">
        <f>COPY!AR550</f>
        <v/>
      </c>
      <c r="C558" s="107">
        <f>COPY!AC550</f>
        <v>0</v>
      </c>
      <c r="D558" s="107" t="str">
        <f>IF(LEN(Table1722[[#This Row],[Uraian]])&gt;2,1," ")</f>
        <v xml:space="preserve"> </v>
      </c>
      <c r="E558" s="113" t="str">
        <f>IF(Table1722[[#This Row],[Lawan Transaksi]]="CV AGUNG KARYA",COUNTIF($I$10:I558,"CV AGUNG KARYA")," ")</f>
        <v xml:space="preserve"> </v>
      </c>
      <c r="F558" s="107" t="str">
        <f>IF(LEN(Table1722[[#This Row],[Uraian]])&gt;2,TRIM(RIGHT(SUBSTITUTE(TRIM(C558)," ",REPT(" ",255)),255))," ")</f>
        <v xml:space="preserve"> </v>
      </c>
      <c r="G558" s="110">
        <f>COPY!Z550</f>
        <v>0</v>
      </c>
      <c r="H558" s="111" t="str">
        <f>IFERROR(VLOOKUP(Table1722[[#This Row],[Bukti]],'Un nOTA'!$A$4:$K$5003,10,FALSE),"")</f>
        <v/>
      </c>
      <c r="I558" s="112" t="str">
        <f>IFERROR(VLOOKUP(Table1722[[#This Row],[Bukti]],Table13[#Data],11,FALSE),"")</f>
        <v/>
      </c>
    </row>
    <row r="559" spans="1:9" ht="19.5" hidden="1" customHeight="1" x14ac:dyDescent="0.2">
      <c r="A559" s="105" t="str">
        <f>IF(D559=1,COUNTIF($D$10:D559,1)," ")</f>
        <v xml:space="preserve"> </v>
      </c>
      <c r="B559" s="106" t="str">
        <f>COPY!AR551</f>
        <v/>
      </c>
      <c r="C559" s="107">
        <f>COPY!AC551</f>
        <v>0</v>
      </c>
      <c r="D559" s="107" t="str">
        <f>IF(LEN(Table1722[[#This Row],[Uraian]])&gt;2,1," ")</f>
        <v xml:space="preserve"> </v>
      </c>
      <c r="E559" s="113" t="str">
        <f>IF(Table1722[[#This Row],[Lawan Transaksi]]="CV AGUNG KARYA",COUNTIF($I$10:I559,"CV AGUNG KARYA")," ")</f>
        <v xml:space="preserve"> </v>
      </c>
      <c r="F559" s="107" t="str">
        <f>IF(LEN(Table1722[[#This Row],[Uraian]])&gt;2,TRIM(RIGHT(SUBSTITUTE(TRIM(C559)," ",REPT(" ",255)),255))," ")</f>
        <v xml:space="preserve"> </v>
      </c>
      <c r="G559" s="110">
        <f>COPY!Z551</f>
        <v>0</v>
      </c>
      <c r="H559" s="111" t="str">
        <f>IFERROR(VLOOKUP(Table1722[[#This Row],[Bukti]],'Un nOTA'!$A$4:$K$5003,10,FALSE),"")</f>
        <v/>
      </c>
      <c r="I559" s="112" t="str">
        <f>IFERROR(VLOOKUP(Table1722[[#This Row],[Bukti]],Table13[#Data],11,FALSE),"")</f>
        <v/>
      </c>
    </row>
    <row r="560" spans="1:9" ht="19.5" hidden="1" customHeight="1" x14ac:dyDescent="0.2">
      <c r="A560" s="105" t="str">
        <f>IF(D560=1,COUNTIF($D$10:D560,1)," ")</f>
        <v xml:space="preserve"> </v>
      </c>
      <c r="B560" s="106" t="str">
        <f>COPY!AR552</f>
        <v/>
      </c>
      <c r="C560" s="107">
        <f>COPY!AC552</f>
        <v>0</v>
      </c>
      <c r="D560" s="107" t="str">
        <f>IF(LEN(Table1722[[#This Row],[Uraian]])&gt;2,1," ")</f>
        <v xml:space="preserve"> </v>
      </c>
      <c r="E560" s="113" t="str">
        <f>IF(Table1722[[#This Row],[Lawan Transaksi]]="CV AGUNG KARYA",COUNTIF($I$10:I560,"CV AGUNG KARYA")," ")</f>
        <v xml:space="preserve"> </v>
      </c>
      <c r="F560" s="107" t="str">
        <f>IF(LEN(Table1722[[#This Row],[Uraian]])&gt;2,TRIM(RIGHT(SUBSTITUTE(TRIM(C560)," ",REPT(" ",255)),255))," ")</f>
        <v xml:space="preserve"> </v>
      </c>
      <c r="G560" s="110">
        <f>COPY!Z552</f>
        <v>0</v>
      </c>
      <c r="H560" s="111" t="str">
        <f>IFERROR(VLOOKUP(Table1722[[#This Row],[Bukti]],'Un nOTA'!$A$4:$K$5003,10,FALSE),"")</f>
        <v/>
      </c>
      <c r="I560" s="112" t="str">
        <f>IFERROR(VLOOKUP(Table1722[[#This Row],[Bukti]],Table13[#Data],11,FALSE),"")</f>
        <v/>
      </c>
    </row>
    <row r="561" spans="1:9" ht="19.5" hidden="1" customHeight="1" x14ac:dyDescent="0.2">
      <c r="A561" s="105" t="str">
        <f>IF(D561=1,COUNTIF($D$10:D561,1)," ")</f>
        <v xml:space="preserve"> </v>
      </c>
      <c r="B561" s="106" t="str">
        <f>COPY!AR553</f>
        <v/>
      </c>
      <c r="C561" s="107">
        <f>COPY!AC553</f>
        <v>0</v>
      </c>
      <c r="D561" s="107" t="str">
        <f>IF(LEN(Table1722[[#This Row],[Uraian]])&gt;2,1," ")</f>
        <v xml:space="preserve"> </v>
      </c>
      <c r="E561" s="113" t="str">
        <f>IF(Table1722[[#This Row],[Lawan Transaksi]]="CV AGUNG KARYA",COUNTIF($I$10:I561,"CV AGUNG KARYA")," ")</f>
        <v xml:space="preserve"> </v>
      </c>
      <c r="F561" s="107" t="str">
        <f>IF(LEN(Table1722[[#This Row],[Uraian]])&gt;2,TRIM(RIGHT(SUBSTITUTE(TRIM(C561)," ",REPT(" ",255)),255))," ")</f>
        <v xml:space="preserve"> </v>
      </c>
      <c r="G561" s="110">
        <f>COPY!Z553</f>
        <v>0</v>
      </c>
      <c r="H561" s="111" t="str">
        <f>IFERROR(VLOOKUP(Table1722[[#This Row],[Bukti]],'Un nOTA'!$A$4:$K$5003,10,FALSE),"")</f>
        <v/>
      </c>
      <c r="I561" s="112" t="str">
        <f>IFERROR(VLOOKUP(Table1722[[#This Row],[Bukti]],Table13[#Data],11,FALSE),"")</f>
        <v/>
      </c>
    </row>
    <row r="562" spans="1:9" ht="19.5" hidden="1" customHeight="1" x14ac:dyDescent="0.2">
      <c r="A562" s="105" t="str">
        <f>IF(D562=1,COUNTIF($D$10:D562,1)," ")</f>
        <v xml:space="preserve"> </v>
      </c>
      <c r="B562" s="106" t="str">
        <f>COPY!AR554</f>
        <v/>
      </c>
      <c r="C562" s="107">
        <f>COPY!AC554</f>
        <v>0</v>
      </c>
      <c r="D562" s="107" t="str">
        <f>IF(LEN(Table1722[[#This Row],[Uraian]])&gt;2,1," ")</f>
        <v xml:space="preserve"> </v>
      </c>
      <c r="E562" s="113" t="str">
        <f>IF(Table1722[[#This Row],[Lawan Transaksi]]="CV AGUNG KARYA",COUNTIF($I$10:I562,"CV AGUNG KARYA")," ")</f>
        <v xml:space="preserve"> </v>
      </c>
      <c r="F562" s="107" t="str">
        <f>IF(LEN(Table1722[[#This Row],[Uraian]])&gt;2,TRIM(RIGHT(SUBSTITUTE(TRIM(C562)," ",REPT(" ",255)),255))," ")</f>
        <v xml:space="preserve"> </v>
      </c>
      <c r="G562" s="110">
        <f>COPY!Z554</f>
        <v>0</v>
      </c>
      <c r="H562" s="111" t="str">
        <f>IFERROR(VLOOKUP(Table1722[[#This Row],[Bukti]],'Un nOTA'!$A$4:$K$5003,10,FALSE),"")</f>
        <v/>
      </c>
      <c r="I562" s="112" t="str">
        <f>IFERROR(VLOOKUP(Table1722[[#This Row],[Bukti]],Table13[#Data],11,FALSE),"")</f>
        <v/>
      </c>
    </row>
    <row r="563" spans="1:9" ht="19.5" hidden="1" customHeight="1" x14ac:dyDescent="0.2">
      <c r="A563" s="105" t="str">
        <f>IF(D563=1,COUNTIF($D$10:D563,1)," ")</f>
        <v xml:space="preserve"> </v>
      </c>
      <c r="B563" s="106" t="str">
        <f>COPY!AR555</f>
        <v/>
      </c>
      <c r="C563" s="107">
        <f>COPY!AC555</f>
        <v>0</v>
      </c>
      <c r="D563" s="107" t="str">
        <f>IF(LEN(Table1722[[#This Row],[Uraian]])&gt;2,1," ")</f>
        <v xml:space="preserve"> </v>
      </c>
      <c r="E563" s="113" t="str">
        <f>IF(Table1722[[#This Row],[Lawan Transaksi]]="CV AGUNG KARYA",COUNTIF($I$10:I563,"CV AGUNG KARYA")," ")</f>
        <v xml:space="preserve"> </v>
      </c>
      <c r="F563" s="107" t="str">
        <f>IF(LEN(Table1722[[#This Row],[Uraian]])&gt;2,TRIM(RIGHT(SUBSTITUTE(TRIM(C563)," ",REPT(" ",255)),255))," ")</f>
        <v xml:space="preserve"> </v>
      </c>
      <c r="G563" s="110">
        <f>COPY!Z555</f>
        <v>0</v>
      </c>
      <c r="H563" s="111" t="str">
        <f>IFERROR(VLOOKUP(Table1722[[#This Row],[Bukti]],'Un nOTA'!$A$4:$K$5003,10,FALSE),"")</f>
        <v/>
      </c>
      <c r="I563" s="112" t="str">
        <f>IFERROR(VLOOKUP(Table1722[[#This Row],[Bukti]],Table13[#Data],11,FALSE),"")</f>
        <v/>
      </c>
    </row>
    <row r="564" spans="1:9" ht="19.5" hidden="1" customHeight="1" x14ac:dyDescent="0.2">
      <c r="A564" s="105" t="str">
        <f>IF(D564=1,COUNTIF($D$10:D564,1)," ")</f>
        <v xml:space="preserve"> </v>
      </c>
      <c r="B564" s="106" t="str">
        <f>COPY!AR556</f>
        <v/>
      </c>
      <c r="C564" s="107">
        <f>COPY!AC556</f>
        <v>0</v>
      </c>
      <c r="D564" s="107" t="str">
        <f>IF(LEN(Table1722[[#This Row],[Uraian]])&gt;2,1," ")</f>
        <v xml:space="preserve"> </v>
      </c>
      <c r="E564" s="113" t="str">
        <f>IF(Table1722[[#This Row],[Lawan Transaksi]]="CV AGUNG KARYA",COUNTIF($I$10:I564,"CV AGUNG KARYA")," ")</f>
        <v xml:space="preserve"> </v>
      </c>
      <c r="F564" s="107" t="str">
        <f>IF(LEN(Table1722[[#This Row],[Uraian]])&gt;2,TRIM(RIGHT(SUBSTITUTE(TRIM(C564)," ",REPT(" ",255)),255))," ")</f>
        <v xml:space="preserve"> </v>
      </c>
      <c r="G564" s="110">
        <f>COPY!Z556</f>
        <v>0</v>
      </c>
      <c r="H564" s="111" t="str">
        <f>IFERROR(VLOOKUP(Table1722[[#This Row],[Bukti]],'Un nOTA'!$A$4:$K$5003,10,FALSE),"")</f>
        <v/>
      </c>
      <c r="I564" s="112" t="str">
        <f>IFERROR(VLOOKUP(Table1722[[#This Row],[Bukti]],Table13[#Data],11,FALSE),"")</f>
        <v/>
      </c>
    </row>
    <row r="565" spans="1:9" ht="19.5" hidden="1" customHeight="1" x14ac:dyDescent="0.2">
      <c r="A565" s="105" t="str">
        <f>IF(D565=1,COUNTIF($D$10:D565,1)," ")</f>
        <v xml:space="preserve"> </v>
      </c>
      <c r="B565" s="106" t="str">
        <f>COPY!AR557</f>
        <v/>
      </c>
      <c r="C565" s="107">
        <f>COPY!AC557</f>
        <v>0</v>
      </c>
      <c r="D565" s="107" t="str">
        <f>IF(LEN(Table1722[[#This Row],[Uraian]])&gt;2,1," ")</f>
        <v xml:space="preserve"> </v>
      </c>
      <c r="E565" s="113" t="str">
        <f>IF(Table1722[[#This Row],[Lawan Transaksi]]="CV AGUNG KARYA",COUNTIF($I$10:I565,"CV AGUNG KARYA")," ")</f>
        <v xml:space="preserve"> </v>
      </c>
      <c r="F565" s="107" t="str">
        <f>IF(LEN(Table1722[[#This Row],[Uraian]])&gt;2,TRIM(RIGHT(SUBSTITUTE(TRIM(C565)," ",REPT(" ",255)),255))," ")</f>
        <v xml:space="preserve"> </v>
      </c>
      <c r="G565" s="110">
        <f>COPY!Z557</f>
        <v>0</v>
      </c>
      <c r="H565" s="111" t="str">
        <f>IFERROR(VLOOKUP(Table1722[[#This Row],[Bukti]],'Un nOTA'!$A$4:$K$5003,10,FALSE),"")</f>
        <v/>
      </c>
      <c r="I565" s="112" t="str">
        <f>IFERROR(VLOOKUP(Table1722[[#This Row],[Bukti]],Table13[#Data],11,FALSE),"")</f>
        <v/>
      </c>
    </row>
    <row r="566" spans="1:9" ht="19.5" hidden="1" customHeight="1" x14ac:dyDescent="0.2">
      <c r="A566" s="105" t="str">
        <f>IF(D566=1,COUNTIF($D$10:D566,1)," ")</f>
        <v xml:space="preserve"> </v>
      </c>
      <c r="B566" s="106" t="str">
        <f>COPY!AR558</f>
        <v/>
      </c>
      <c r="C566" s="107">
        <f>COPY!AC558</f>
        <v>0</v>
      </c>
      <c r="D566" s="107" t="str">
        <f>IF(LEN(Table1722[[#This Row],[Uraian]])&gt;2,1," ")</f>
        <v xml:space="preserve"> </v>
      </c>
      <c r="E566" s="113" t="str">
        <f>IF(Table1722[[#This Row],[Lawan Transaksi]]="CV AGUNG KARYA",COUNTIF($I$10:I566,"CV AGUNG KARYA")," ")</f>
        <v xml:space="preserve"> </v>
      </c>
      <c r="F566" s="107" t="str">
        <f>IF(LEN(Table1722[[#This Row],[Uraian]])&gt;2,TRIM(RIGHT(SUBSTITUTE(TRIM(C566)," ",REPT(" ",255)),255))," ")</f>
        <v xml:space="preserve"> </v>
      </c>
      <c r="G566" s="110">
        <f>COPY!Z558</f>
        <v>0</v>
      </c>
      <c r="H566" s="111" t="str">
        <f>IFERROR(VLOOKUP(Table1722[[#This Row],[Bukti]],'Un nOTA'!$A$4:$K$5003,10,FALSE),"")</f>
        <v/>
      </c>
      <c r="I566" s="112" t="str">
        <f>IFERROR(VLOOKUP(Table1722[[#This Row],[Bukti]],Table13[#Data],11,FALSE),"")</f>
        <v/>
      </c>
    </row>
    <row r="567" spans="1:9" ht="19.5" hidden="1" customHeight="1" x14ac:dyDescent="0.2">
      <c r="A567" s="105" t="str">
        <f>IF(D567=1,COUNTIF($D$10:D567,1)," ")</f>
        <v xml:space="preserve"> </v>
      </c>
      <c r="B567" s="106" t="str">
        <f>COPY!AR559</f>
        <v/>
      </c>
      <c r="C567" s="107">
        <f>COPY!AC559</f>
        <v>0</v>
      </c>
      <c r="D567" s="107" t="str">
        <f>IF(LEN(Table1722[[#This Row],[Uraian]])&gt;2,1," ")</f>
        <v xml:space="preserve"> </v>
      </c>
      <c r="E567" s="113" t="str">
        <f>IF(Table1722[[#This Row],[Lawan Transaksi]]="CV AGUNG KARYA",COUNTIF($I$10:I567,"CV AGUNG KARYA")," ")</f>
        <v xml:space="preserve"> </v>
      </c>
      <c r="F567" s="107" t="str">
        <f>IF(LEN(Table1722[[#This Row],[Uraian]])&gt;2,TRIM(RIGHT(SUBSTITUTE(TRIM(C567)," ",REPT(" ",255)),255))," ")</f>
        <v xml:space="preserve"> </v>
      </c>
      <c r="G567" s="110">
        <f>COPY!Z559</f>
        <v>0</v>
      </c>
      <c r="H567" s="111" t="str">
        <f>IFERROR(VLOOKUP(Table1722[[#This Row],[Bukti]],'Un nOTA'!$A$4:$K$5003,10,FALSE),"")</f>
        <v/>
      </c>
      <c r="I567" s="112" t="str">
        <f>IFERROR(VLOOKUP(Table1722[[#This Row],[Bukti]],Table13[#Data],11,FALSE),"")</f>
        <v/>
      </c>
    </row>
    <row r="568" spans="1:9" ht="19.5" hidden="1" customHeight="1" x14ac:dyDescent="0.2">
      <c r="A568" s="105" t="str">
        <f>IF(D568=1,COUNTIF($D$10:D568,1)," ")</f>
        <v xml:space="preserve"> </v>
      </c>
      <c r="B568" s="106" t="str">
        <f>COPY!AR560</f>
        <v/>
      </c>
      <c r="C568" s="107">
        <f>COPY!AC560</f>
        <v>0</v>
      </c>
      <c r="D568" s="107" t="str">
        <f>IF(LEN(Table1722[[#This Row],[Uraian]])&gt;2,1," ")</f>
        <v xml:space="preserve"> </v>
      </c>
      <c r="E568" s="113" t="str">
        <f>IF(Table1722[[#This Row],[Lawan Transaksi]]="CV AGUNG KARYA",COUNTIF($I$10:I568,"CV AGUNG KARYA")," ")</f>
        <v xml:space="preserve"> </v>
      </c>
      <c r="F568" s="107" t="str">
        <f>IF(LEN(Table1722[[#This Row],[Uraian]])&gt;2,TRIM(RIGHT(SUBSTITUTE(TRIM(C568)," ",REPT(" ",255)),255))," ")</f>
        <v xml:space="preserve"> </v>
      </c>
      <c r="G568" s="110">
        <f>COPY!Z560</f>
        <v>0</v>
      </c>
      <c r="H568" s="111" t="str">
        <f>IFERROR(VLOOKUP(Table1722[[#This Row],[Bukti]],'Un nOTA'!$A$4:$K$5003,10,FALSE),"")</f>
        <v/>
      </c>
      <c r="I568" s="112" t="str">
        <f>IFERROR(VLOOKUP(Table1722[[#This Row],[Bukti]],Table13[#Data],11,FALSE),"")</f>
        <v/>
      </c>
    </row>
    <row r="569" spans="1:9" ht="19.5" hidden="1" customHeight="1" x14ac:dyDescent="0.2">
      <c r="A569" s="105" t="str">
        <f>IF(D569=1,COUNTIF($D$10:D569,1)," ")</f>
        <v xml:space="preserve"> </v>
      </c>
      <c r="B569" s="106" t="str">
        <f>COPY!AR561</f>
        <v/>
      </c>
      <c r="C569" s="107">
        <f>COPY!AC561</f>
        <v>0</v>
      </c>
      <c r="D569" s="107" t="str">
        <f>IF(LEN(Table1722[[#This Row],[Uraian]])&gt;2,1," ")</f>
        <v xml:space="preserve"> </v>
      </c>
      <c r="E569" s="113" t="str">
        <f>IF(Table1722[[#This Row],[Lawan Transaksi]]="CV AGUNG KARYA",COUNTIF($I$10:I569,"CV AGUNG KARYA")," ")</f>
        <v xml:space="preserve"> </v>
      </c>
      <c r="F569" s="107" t="str">
        <f>IF(LEN(Table1722[[#This Row],[Uraian]])&gt;2,TRIM(RIGHT(SUBSTITUTE(TRIM(C569)," ",REPT(" ",255)),255))," ")</f>
        <v xml:space="preserve"> </v>
      </c>
      <c r="G569" s="110">
        <f>COPY!Z561</f>
        <v>0</v>
      </c>
      <c r="H569" s="111" t="str">
        <f>IFERROR(VLOOKUP(Table1722[[#This Row],[Bukti]],'Un nOTA'!$A$4:$K$5003,10,FALSE),"")</f>
        <v/>
      </c>
      <c r="I569" s="112" t="str">
        <f>IFERROR(VLOOKUP(Table1722[[#This Row],[Bukti]],Table13[#Data],11,FALSE),"")</f>
        <v/>
      </c>
    </row>
    <row r="570" spans="1:9" ht="19.5" hidden="1" customHeight="1" x14ac:dyDescent="0.2">
      <c r="A570" s="105" t="str">
        <f>IF(D570=1,COUNTIF($D$10:D570,1)," ")</f>
        <v xml:space="preserve"> </v>
      </c>
      <c r="B570" s="106" t="str">
        <f>COPY!AR562</f>
        <v/>
      </c>
      <c r="C570" s="107">
        <f>COPY!AC562</f>
        <v>0</v>
      </c>
      <c r="D570" s="107" t="str">
        <f>IF(LEN(Table1722[[#This Row],[Uraian]])&gt;2,1," ")</f>
        <v xml:space="preserve"> </v>
      </c>
      <c r="E570" s="113" t="str">
        <f>IF(Table1722[[#This Row],[Lawan Transaksi]]="CV AGUNG KARYA",COUNTIF($I$10:I570,"CV AGUNG KARYA")," ")</f>
        <v xml:space="preserve"> </v>
      </c>
      <c r="F570" s="107" t="str">
        <f>IF(LEN(Table1722[[#This Row],[Uraian]])&gt;2,TRIM(RIGHT(SUBSTITUTE(TRIM(C570)," ",REPT(" ",255)),255))," ")</f>
        <v xml:space="preserve"> </v>
      </c>
      <c r="G570" s="110">
        <f>COPY!Z562</f>
        <v>0</v>
      </c>
      <c r="H570" s="111" t="str">
        <f>IFERROR(VLOOKUP(Table1722[[#This Row],[Bukti]],'Un nOTA'!$A$4:$K$5003,10,FALSE),"")</f>
        <v/>
      </c>
      <c r="I570" s="112" t="str">
        <f>IFERROR(VLOOKUP(Table1722[[#This Row],[Bukti]],Table13[#Data],11,FALSE),"")</f>
        <v/>
      </c>
    </row>
    <row r="571" spans="1:9" ht="19.5" hidden="1" customHeight="1" x14ac:dyDescent="0.2">
      <c r="A571" s="105" t="str">
        <f>IF(D571=1,COUNTIF($D$10:D571,1)," ")</f>
        <v xml:space="preserve"> </v>
      </c>
      <c r="B571" s="106" t="str">
        <f>COPY!AR563</f>
        <v/>
      </c>
      <c r="C571" s="107">
        <f>COPY!AC563</f>
        <v>0</v>
      </c>
      <c r="D571" s="107" t="str">
        <f>IF(LEN(Table1722[[#This Row],[Uraian]])&gt;2,1," ")</f>
        <v xml:space="preserve"> </v>
      </c>
      <c r="E571" s="113" t="str">
        <f>IF(Table1722[[#This Row],[Lawan Transaksi]]="CV AGUNG KARYA",COUNTIF($I$10:I571,"CV AGUNG KARYA")," ")</f>
        <v xml:space="preserve"> </v>
      </c>
      <c r="F571" s="107" t="str">
        <f>IF(LEN(Table1722[[#This Row],[Uraian]])&gt;2,TRIM(RIGHT(SUBSTITUTE(TRIM(C571)," ",REPT(" ",255)),255))," ")</f>
        <v xml:space="preserve"> </v>
      </c>
      <c r="G571" s="110">
        <f>COPY!Z563</f>
        <v>0</v>
      </c>
      <c r="H571" s="111" t="str">
        <f>IFERROR(VLOOKUP(Table1722[[#This Row],[Bukti]],'Un nOTA'!$A$4:$K$5003,10,FALSE),"")</f>
        <v/>
      </c>
      <c r="I571" s="112" t="str">
        <f>IFERROR(VLOOKUP(Table1722[[#This Row],[Bukti]],Table13[#Data],11,FALSE),"")</f>
        <v/>
      </c>
    </row>
    <row r="572" spans="1:9" ht="19.5" hidden="1" customHeight="1" x14ac:dyDescent="0.2">
      <c r="A572" s="105" t="str">
        <f>IF(D572=1,COUNTIF($D$10:D572,1)," ")</f>
        <v xml:space="preserve"> </v>
      </c>
      <c r="B572" s="106" t="str">
        <f>COPY!AR564</f>
        <v/>
      </c>
      <c r="C572" s="107">
        <f>COPY!AC564</f>
        <v>0</v>
      </c>
      <c r="D572" s="107" t="str">
        <f>IF(LEN(Table1722[[#This Row],[Uraian]])&gt;2,1," ")</f>
        <v xml:space="preserve"> </v>
      </c>
      <c r="E572" s="113" t="str">
        <f>IF(Table1722[[#This Row],[Lawan Transaksi]]="CV AGUNG KARYA",COUNTIF($I$10:I572,"CV AGUNG KARYA")," ")</f>
        <v xml:space="preserve"> </v>
      </c>
      <c r="F572" s="107" t="str">
        <f>IF(LEN(Table1722[[#This Row],[Uraian]])&gt;2,TRIM(RIGHT(SUBSTITUTE(TRIM(C572)," ",REPT(" ",255)),255))," ")</f>
        <v xml:space="preserve"> </v>
      </c>
      <c r="G572" s="110">
        <f>COPY!Z564</f>
        <v>0</v>
      </c>
      <c r="H572" s="111" t="str">
        <f>IFERROR(VLOOKUP(Table1722[[#This Row],[Bukti]],'Un nOTA'!$A$4:$K$5003,10,FALSE),"")</f>
        <v/>
      </c>
      <c r="I572" s="112" t="str">
        <f>IFERROR(VLOOKUP(Table1722[[#This Row],[Bukti]],Table13[#Data],11,FALSE),"")</f>
        <v/>
      </c>
    </row>
    <row r="573" spans="1:9" ht="19.5" hidden="1" customHeight="1" x14ac:dyDescent="0.2">
      <c r="A573" s="105" t="str">
        <f>IF(D573=1,COUNTIF($D$10:D573,1)," ")</f>
        <v xml:space="preserve"> </v>
      </c>
      <c r="B573" s="106" t="str">
        <f>COPY!AR565</f>
        <v/>
      </c>
      <c r="C573" s="107">
        <f>COPY!AC565</f>
        <v>0</v>
      </c>
      <c r="D573" s="107" t="str">
        <f>IF(LEN(Table1722[[#This Row],[Uraian]])&gt;2,1," ")</f>
        <v xml:space="preserve"> </v>
      </c>
      <c r="E573" s="113" t="str">
        <f>IF(Table1722[[#This Row],[Lawan Transaksi]]="CV AGUNG KARYA",COUNTIF($I$10:I573,"CV AGUNG KARYA")," ")</f>
        <v xml:space="preserve"> </v>
      </c>
      <c r="F573" s="107" t="str">
        <f>IF(LEN(Table1722[[#This Row],[Uraian]])&gt;2,TRIM(RIGHT(SUBSTITUTE(TRIM(C573)," ",REPT(" ",255)),255))," ")</f>
        <v xml:space="preserve"> </v>
      </c>
      <c r="G573" s="110">
        <f>COPY!Z565</f>
        <v>0</v>
      </c>
      <c r="H573" s="111" t="str">
        <f>IFERROR(VLOOKUP(Table1722[[#This Row],[Bukti]],'Un nOTA'!$A$4:$K$5003,10,FALSE),"")</f>
        <v/>
      </c>
      <c r="I573" s="112" t="str">
        <f>IFERROR(VLOOKUP(Table1722[[#This Row],[Bukti]],Table13[#Data],11,FALSE),"")</f>
        <v/>
      </c>
    </row>
    <row r="574" spans="1:9" ht="19.5" hidden="1" customHeight="1" x14ac:dyDescent="0.2">
      <c r="A574" s="105" t="str">
        <f>IF(D574=1,COUNTIF($D$10:D574,1)," ")</f>
        <v xml:space="preserve"> </v>
      </c>
      <c r="B574" s="106" t="str">
        <f>COPY!AR566</f>
        <v/>
      </c>
      <c r="C574" s="107">
        <f>COPY!AC566</f>
        <v>0</v>
      </c>
      <c r="D574" s="107" t="str">
        <f>IF(LEN(Table1722[[#This Row],[Uraian]])&gt;2,1," ")</f>
        <v xml:space="preserve"> </v>
      </c>
      <c r="E574" s="113" t="str">
        <f>IF(Table1722[[#This Row],[Lawan Transaksi]]="CV AGUNG KARYA",COUNTIF($I$10:I574,"CV AGUNG KARYA")," ")</f>
        <v xml:space="preserve"> </v>
      </c>
      <c r="F574" s="107" t="str">
        <f>IF(LEN(Table1722[[#This Row],[Uraian]])&gt;2,TRIM(RIGHT(SUBSTITUTE(TRIM(C574)," ",REPT(" ",255)),255))," ")</f>
        <v xml:space="preserve"> </v>
      </c>
      <c r="G574" s="110">
        <f>COPY!Z566</f>
        <v>0</v>
      </c>
      <c r="H574" s="111" t="str">
        <f>IFERROR(VLOOKUP(Table1722[[#This Row],[Bukti]],'Un nOTA'!$A$4:$K$5003,10,FALSE),"")</f>
        <v/>
      </c>
      <c r="I574" s="112" t="str">
        <f>IFERROR(VLOOKUP(Table1722[[#This Row],[Bukti]],Table13[#Data],11,FALSE),"")</f>
        <v/>
      </c>
    </row>
    <row r="575" spans="1:9" ht="19.5" hidden="1" customHeight="1" x14ac:dyDescent="0.2">
      <c r="A575" s="105" t="str">
        <f>IF(D575=1,COUNTIF($D$10:D575,1)," ")</f>
        <v xml:space="preserve"> </v>
      </c>
      <c r="B575" s="106" t="str">
        <f>COPY!AR567</f>
        <v/>
      </c>
      <c r="C575" s="107">
        <f>COPY!AC567</f>
        <v>0</v>
      </c>
      <c r="D575" s="107" t="str">
        <f>IF(LEN(Table1722[[#This Row],[Uraian]])&gt;2,1," ")</f>
        <v xml:space="preserve"> </v>
      </c>
      <c r="E575" s="113" t="str">
        <f>IF(Table1722[[#This Row],[Lawan Transaksi]]="CV AGUNG KARYA",COUNTIF($I$10:I575,"CV AGUNG KARYA")," ")</f>
        <v xml:space="preserve"> </v>
      </c>
      <c r="F575" s="107" t="str">
        <f>IF(LEN(Table1722[[#This Row],[Uraian]])&gt;2,TRIM(RIGHT(SUBSTITUTE(TRIM(C575)," ",REPT(" ",255)),255))," ")</f>
        <v xml:space="preserve"> </v>
      </c>
      <c r="G575" s="110">
        <f>COPY!Z567</f>
        <v>0</v>
      </c>
      <c r="H575" s="111" t="str">
        <f>IFERROR(VLOOKUP(Table1722[[#This Row],[Bukti]],'Un nOTA'!$A$4:$K$5003,10,FALSE),"")</f>
        <v/>
      </c>
      <c r="I575" s="112" t="str">
        <f>IFERROR(VLOOKUP(Table1722[[#This Row],[Bukti]],Table13[#Data],11,FALSE),"")</f>
        <v/>
      </c>
    </row>
    <row r="576" spans="1:9" ht="19.5" hidden="1" customHeight="1" x14ac:dyDescent="0.2">
      <c r="A576" s="105" t="str">
        <f>IF(D576=1,COUNTIF($D$10:D576,1)," ")</f>
        <v xml:space="preserve"> </v>
      </c>
      <c r="B576" s="106" t="str">
        <f>COPY!AR568</f>
        <v/>
      </c>
      <c r="C576" s="107">
        <f>COPY!AC568</f>
        <v>0</v>
      </c>
      <c r="D576" s="107" t="str">
        <f>IF(LEN(Table1722[[#This Row],[Uraian]])&gt;2,1," ")</f>
        <v xml:space="preserve"> </v>
      </c>
      <c r="E576" s="113" t="str">
        <f>IF(Table1722[[#This Row],[Lawan Transaksi]]="CV AGUNG KARYA",COUNTIF($I$10:I576,"CV AGUNG KARYA")," ")</f>
        <v xml:space="preserve"> </v>
      </c>
      <c r="F576" s="107" t="str">
        <f>IF(LEN(Table1722[[#This Row],[Uraian]])&gt;2,TRIM(RIGHT(SUBSTITUTE(TRIM(C576)," ",REPT(" ",255)),255))," ")</f>
        <v xml:space="preserve"> </v>
      </c>
      <c r="G576" s="110">
        <f>COPY!Z568</f>
        <v>0</v>
      </c>
      <c r="H576" s="111" t="str">
        <f>IFERROR(VLOOKUP(Table1722[[#This Row],[Bukti]],'Un nOTA'!$A$4:$K$5003,10,FALSE),"")</f>
        <v/>
      </c>
      <c r="I576" s="112" t="str">
        <f>IFERROR(VLOOKUP(Table1722[[#This Row],[Bukti]],Table13[#Data],11,FALSE),"")</f>
        <v/>
      </c>
    </row>
    <row r="577" spans="1:9" ht="19.5" hidden="1" customHeight="1" x14ac:dyDescent="0.2">
      <c r="A577" s="105" t="str">
        <f>IF(D577=1,COUNTIF($D$10:D577,1)," ")</f>
        <v xml:space="preserve"> </v>
      </c>
      <c r="B577" s="106" t="str">
        <f>COPY!AR569</f>
        <v/>
      </c>
      <c r="C577" s="107">
        <f>COPY!AC569</f>
        <v>0</v>
      </c>
      <c r="D577" s="107" t="str">
        <f>IF(LEN(Table1722[[#This Row],[Uraian]])&gt;2,1," ")</f>
        <v xml:space="preserve"> </v>
      </c>
      <c r="E577" s="113" t="str">
        <f>IF(Table1722[[#This Row],[Lawan Transaksi]]="CV AGUNG KARYA",COUNTIF($I$10:I577,"CV AGUNG KARYA")," ")</f>
        <v xml:space="preserve"> </v>
      </c>
      <c r="F577" s="107" t="str">
        <f>IF(LEN(Table1722[[#This Row],[Uraian]])&gt;2,TRIM(RIGHT(SUBSTITUTE(TRIM(C577)," ",REPT(" ",255)),255))," ")</f>
        <v xml:space="preserve"> </v>
      </c>
      <c r="G577" s="110">
        <f>COPY!Z569</f>
        <v>0</v>
      </c>
      <c r="H577" s="111" t="str">
        <f>IFERROR(VLOOKUP(Table1722[[#This Row],[Bukti]],'Un nOTA'!$A$4:$K$5003,10,FALSE),"")</f>
        <v/>
      </c>
      <c r="I577" s="112" t="str">
        <f>IFERROR(VLOOKUP(Table1722[[#This Row],[Bukti]],Table13[#Data],11,FALSE),"")</f>
        <v/>
      </c>
    </row>
    <row r="578" spans="1:9" ht="19.5" hidden="1" customHeight="1" x14ac:dyDescent="0.2">
      <c r="A578" s="105" t="str">
        <f>IF(D578=1,COUNTIF($D$10:D578,1)," ")</f>
        <v xml:space="preserve"> </v>
      </c>
      <c r="B578" s="106" t="str">
        <f>COPY!AR570</f>
        <v/>
      </c>
      <c r="C578" s="107">
        <f>COPY!AC570</f>
        <v>0</v>
      </c>
      <c r="D578" s="107" t="str">
        <f>IF(LEN(Table1722[[#This Row],[Uraian]])&gt;2,1," ")</f>
        <v xml:space="preserve"> </v>
      </c>
      <c r="E578" s="113" t="str">
        <f>IF(Table1722[[#This Row],[Lawan Transaksi]]="CV AGUNG KARYA",COUNTIF($I$10:I578,"CV AGUNG KARYA")," ")</f>
        <v xml:space="preserve"> </v>
      </c>
      <c r="F578" s="107" t="str">
        <f>IF(LEN(Table1722[[#This Row],[Uraian]])&gt;2,TRIM(RIGHT(SUBSTITUTE(TRIM(C578)," ",REPT(" ",255)),255))," ")</f>
        <v xml:space="preserve"> </v>
      </c>
      <c r="G578" s="110">
        <f>COPY!Z570</f>
        <v>0</v>
      </c>
      <c r="H578" s="111" t="str">
        <f>IFERROR(VLOOKUP(Table1722[[#This Row],[Bukti]],'Un nOTA'!$A$4:$K$5003,10,FALSE),"")</f>
        <v/>
      </c>
      <c r="I578" s="112" t="str">
        <f>IFERROR(VLOOKUP(Table1722[[#This Row],[Bukti]],Table13[#Data],11,FALSE),"")</f>
        <v/>
      </c>
    </row>
    <row r="579" spans="1:9" ht="19.5" hidden="1" customHeight="1" x14ac:dyDescent="0.2">
      <c r="A579" s="105" t="str">
        <f>IF(D579=1,COUNTIF($D$10:D579,1)," ")</f>
        <v xml:space="preserve"> </v>
      </c>
      <c r="B579" s="106" t="str">
        <f>COPY!AR571</f>
        <v/>
      </c>
      <c r="C579" s="107">
        <f>COPY!AC571</f>
        <v>0</v>
      </c>
      <c r="D579" s="107" t="str">
        <f>IF(LEN(Table1722[[#This Row],[Uraian]])&gt;2,1," ")</f>
        <v xml:space="preserve"> </v>
      </c>
      <c r="E579" s="113" t="str">
        <f>IF(Table1722[[#This Row],[Lawan Transaksi]]="CV AGUNG KARYA",COUNTIF($I$10:I579,"CV AGUNG KARYA")," ")</f>
        <v xml:space="preserve"> </v>
      </c>
      <c r="F579" s="107" t="str">
        <f>IF(LEN(Table1722[[#This Row],[Uraian]])&gt;2,TRIM(RIGHT(SUBSTITUTE(TRIM(C579)," ",REPT(" ",255)),255))," ")</f>
        <v xml:space="preserve"> </v>
      </c>
      <c r="G579" s="110">
        <f>COPY!Z571</f>
        <v>0</v>
      </c>
      <c r="H579" s="111" t="str">
        <f>IFERROR(VLOOKUP(Table1722[[#This Row],[Bukti]],'Un nOTA'!$A$4:$K$5003,10,FALSE),"")</f>
        <v/>
      </c>
      <c r="I579" s="112" t="str">
        <f>IFERROR(VLOOKUP(Table1722[[#This Row],[Bukti]],Table13[#Data],11,FALSE),"")</f>
        <v/>
      </c>
    </row>
    <row r="580" spans="1:9" ht="19.5" hidden="1" customHeight="1" x14ac:dyDescent="0.2">
      <c r="A580" s="105" t="str">
        <f>IF(D580=1,COUNTIF($D$10:D580,1)," ")</f>
        <v xml:space="preserve"> </v>
      </c>
      <c r="B580" s="106" t="str">
        <f>COPY!AR572</f>
        <v/>
      </c>
      <c r="C580" s="107">
        <f>COPY!AC572</f>
        <v>0</v>
      </c>
      <c r="D580" s="107" t="str">
        <f>IF(LEN(Table1722[[#This Row],[Uraian]])&gt;2,1," ")</f>
        <v xml:space="preserve"> </v>
      </c>
      <c r="E580" s="113" t="str">
        <f>IF(Table1722[[#This Row],[Lawan Transaksi]]="CV AGUNG KARYA",COUNTIF($I$10:I580,"CV AGUNG KARYA")," ")</f>
        <v xml:space="preserve"> </v>
      </c>
      <c r="F580" s="107" t="str">
        <f>IF(LEN(Table1722[[#This Row],[Uraian]])&gt;2,TRIM(RIGHT(SUBSTITUTE(TRIM(C580)," ",REPT(" ",255)),255))," ")</f>
        <v xml:space="preserve"> </v>
      </c>
      <c r="G580" s="110">
        <f>COPY!Z572</f>
        <v>0</v>
      </c>
      <c r="H580" s="111" t="str">
        <f>IFERROR(VLOOKUP(Table1722[[#This Row],[Bukti]],'Un nOTA'!$A$4:$K$5003,10,FALSE),"")</f>
        <v/>
      </c>
      <c r="I580" s="112" t="str">
        <f>IFERROR(VLOOKUP(Table1722[[#This Row],[Bukti]],Table13[#Data],11,FALSE),"")</f>
        <v/>
      </c>
    </row>
    <row r="581" spans="1:9" ht="19.5" hidden="1" customHeight="1" x14ac:dyDescent="0.2">
      <c r="A581" s="105" t="str">
        <f>IF(D581=1,COUNTIF($D$10:D581,1)," ")</f>
        <v xml:space="preserve"> </v>
      </c>
      <c r="B581" s="106" t="str">
        <f>COPY!AR573</f>
        <v/>
      </c>
      <c r="C581" s="107">
        <f>COPY!AC573</f>
        <v>0</v>
      </c>
      <c r="D581" s="107" t="str">
        <f>IF(LEN(Table1722[[#This Row],[Uraian]])&gt;2,1," ")</f>
        <v xml:space="preserve"> </v>
      </c>
      <c r="E581" s="113" t="str">
        <f>IF(Table1722[[#This Row],[Lawan Transaksi]]="CV AGUNG KARYA",COUNTIF($I$10:I581,"CV AGUNG KARYA")," ")</f>
        <v xml:space="preserve"> </v>
      </c>
      <c r="F581" s="107" t="str">
        <f>IF(LEN(Table1722[[#This Row],[Uraian]])&gt;2,TRIM(RIGHT(SUBSTITUTE(TRIM(C581)," ",REPT(" ",255)),255))," ")</f>
        <v xml:space="preserve"> </v>
      </c>
      <c r="G581" s="110">
        <f>COPY!Z573</f>
        <v>0</v>
      </c>
      <c r="H581" s="111" t="str">
        <f>IFERROR(VLOOKUP(Table1722[[#This Row],[Bukti]],'Un nOTA'!$A$4:$K$5003,10,FALSE),"")</f>
        <v/>
      </c>
      <c r="I581" s="112" t="str">
        <f>IFERROR(VLOOKUP(Table1722[[#This Row],[Bukti]],Table13[#Data],11,FALSE),"")</f>
        <v/>
      </c>
    </row>
    <row r="582" spans="1:9" ht="19.5" hidden="1" customHeight="1" x14ac:dyDescent="0.2">
      <c r="A582" s="105" t="str">
        <f>IF(D582=1,COUNTIF($D$10:D582,1)," ")</f>
        <v xml:space="preserve"> </v>
      </c>
      <c r="B582" s="106" t="str">
        <f>COPY!AR574</f>
        <v/>
      </c>
      <c r="C582" s="107">
        <f>COPY!AC574</f>
        <v>0</v>
      </c>
      <c r="D582" s="107" t="str">
        <f>IF(LEN(Table1722[[#This Row],[Uraian]])&gt;2,1," ")</f>
        <v xml:space="preserve"> </v>
      </c>
      <c r="E582" s="113" t="str">
        <f>IF(Table1722[[#This Row],[Lawan Transaksi]]="CV AGUNG KARYA",COUNTIF($I$10:I582,"CV AGUNG KARYA")," ")</f>
        <v xml:space="preserve"> </v>
      </c>
      <c r="F582" s="107" t="str">
        <f>IF(LEN(Table1722[[#This Row],[Uraian]])&gt;2,TRIM(RIGHT(SUBSTITUTE(TRIM(C582)," ",REPT(" ",255)),255))," ")</f>
        <v xml:space="preserve"> </v>
      </c>
      <c r="G582" s="110">
        <f>COPY!Z574</f>
        <v>0</v>
      </c>
      <c r="H582" s="111" t="str">
        <f>IFERROR(VLOOKUP(Table1722[[#This Row],[Bukti]],'Un nOTA'!$A$4:$K$5003,10,FALSE),"")</f>
        <v/>
      </c>
      <c r="I582" s="112" t="str">
        <f>IFERROR(VLOOKUP(Table1722[[#This Row],[Bukti]],Table13[#Data],11,FALSE),"")</f>
        <v/>
      </c>
    </row>
    <row r="583" spans="1:9" ht="19.5" hidden="1" customHeight="1" x14ac:dyDescent="0.2">
      <c r="A583" s="105" t="str">
        <f>IF(D583=1,COUNTIF($D$10:D583,1)," ")</f>
        <v xml:space="preserve"> </v>
      </c>
      <c r="B583" s="106" t="str">
        <f>COPY!AR575</f>
        <v/>
      </c>
      <c r="C583" s="107">
        <f>COPY!AC575</f>
        <v>0</v>
      </c>
      <c r="D583" s="107" t="str">
        <f>IF(LEN(Table1722[[#This Row],[Uraian]])&gt;2,1," ")</f>
        <v xml:space="preserve"> </v>
      </c>
      <c r="E583" s="113" t="str">
        <f>IF(Table1722[[#This Row],[Lawan Transaksi]]="CV AGUNG KARYA",COUNTIF($I$10:I583,"CV AGUNG KARYA")," ")</f>
        <v xml:space="preserve"> </v>
      </c>
      <c r="F583" s="107" t="str">
        <f>IF(LEN(Table1722[[#This Row],[Uraian]])&gt;2,TRIM(RIGHT(SUBSTITUTE(TRIM(C583)," ",REPT(" ",255)),255))," ")</f>
        <v xml:space="preserve"> </v>
      </c>
      <c r="G583" s="110">
        <f>COPY!Z575</f>
        <v>0</v>
      </c>
      <c r="H583" s="111" t="str">
        <f>IFERROR(VLOOKUP(Table1722[[#This Row],[Bukti]],'Un nOTA'!$A$4:$K$5003,10,FALSE),"")</f>
        <v/>
      </c>
      <c r="I583" s="112" t="str">
        <f>IFERROR(VLOOKUP(Table1722[[#This Row],[Bukti]],Table13[#Data],11,FALSE),"")</f>
        <v/>
      </c>
    </row>
    <row r="584" spans="1:9" ht="19.5" hidden="1" customHeight="1" x14ac:dyDescent="0.2">
      <c r="A584" s="105" t="str">
        <f>IF(D584=1,COUNTIF($D$10:D584,1)," ")</f>
        <v xml:space="preserve"> </v>
      </c>
      <c r="B584" s="106" t="str">
        <f>COPY!AR576</f>
        <v/>
      </c>
      <c r="C584" s="107">
        <f>COPY!AC576</f>
        <v>0</v>
      </c>
      <c r="D584" s="107" t="str">
        <f>IF(LEN(Table1722[[#This Row],[Uraian]])&gt;2,1," ")</f>
        <v xml:space="preserve"> </v>
      </c>
      <c r="E584" s="113" t="str">
        <f>IF(Table1722[[#This Row],[Lawan Transaksi]]="CV AGUNG KARYA",COUNTIF($I$10:I584,"CV AGUNG KARYA")," ")</f>
        <v xml:space="preserve"> </v>
      </c>
      <c r="F584" s="107" t="str">
        <f>IF(LEN(Table1722[[#This Row],[Uraian]])&gt;2,TRIM(RIGHT(SUBSTITUTE(TRIM(C584)," ",REPT(" ",255)),255))," ")</f>
        <v xml:space="preserve"> </v>
      </c>
      <c r="G584" s="110">
        <f>COPY!Z576</f>
        <v>0</v>
      </c>
      <c r="H584" s="111" t="str">
        <f>IFERROR(VLOOKUP(Table1722[[#This Row],[Bukti]],'Un nOTA'!$A$4:$K$5003,10,FALSE),"")</f>
        <v/>
      </c>
      <c r="I584" s="112" t="str">
        <f>IFERROR(VLOOKUP(Table1722[[#This Row],[Bukti]],Table13[#Data],11,FALSE),"")</f>
        <v/>
      </c>
    </row>
    <row r="585" spans="1:9" ht="19.5" hidden="1" customHeight="1" x14ac:dyDescent="0.2">
      <c r="A585" s="105" t="str">
        <f>IF(D585=1,COUNTIF($D$10:D585,1)," ")</f>
        <v xml:space="preserve"> </v>
      </c>
      <c r="B585" s="106" t="str">
        <f>COPY!AR577</f>
        <v/>
      </c>
      <c r="C585" s="107">
        <f>COPY!AC577</f>
        <v>0</v>
      </c>
      <c r="D585" s="107" t="str">
        <f>IF(LEN(Table1722[[#This Row],[Uraian]])&gt;2,1," ")</f>
        <v xml:space="preserve"> </v>
      </c>
      <c r="E585" s="113" t="str">
        <f>IF(Table1722[[#This Row],[Lawan Transaksi]]="CV AGUNG KARYA",COUNTIF($I$10:I585,"CV AGUNG KARYA")," ")</f>
        <v xml:space="preserve"> </v>
      </c>
      <c r="F585" s="107" t="str">
        <f>IF(LEN(Table1722[[#This Row],[Uraian]])&gt;2,TRIM(RIGHT(SUBSTITUTE(TRIM(C585)," ",REPT(" ",255)),255))," ")</f>
        <v xml:space="preserve"> </v>
      </c>
      <c r="G585" s="110">
        <f>COPY!Z577</f>
        <v>0</v>
      </c>
      <c r="H585" s="111" t="str">
        <f>IFERROR(VLOOKUP(Table1722[[#This Row],[Bukti]],'Un nOTA'!$A$4:$K$5003,10,FALSE),"")</f>
        <v/>
      </c>
      <c r="I585" s="112" t="str">
        <f>IFERROR(VLOOKUP(Table1722[[#This Row],[Bukti]],Table13[#Data],11,FALSE),"")</f>
        <v/>
      </c>
    </row>
    <row r="586" spans="1:9" ht="19.5" hidden="1" customHeight="1" x14ac:dyDescent="0.2">
      <c r="A586" s="105" t="str">
        <f>IF(D586=1,COUNTIF($D$10:D586,1)," ")</f>
        <v xml:space="preserve"> </v>
      </c>
      <c r="B586" s="106" t="str">
        <f>COPY!AR578</f>
        <v/>
      </c>
      <c r="C586" s="107">
        <f>COPY!AC578</f>
        <v>0</v>
      </c>
      <c r="D586" s="107" t="str">
        <f>IF(LEN(Table1722[[#This Row],[Uraian]])&gt;2,1," ")</f>
        <v xml:space="preserve"> </v>
      </c>
      <c r="E586" s="113" t="str">
        <f>IF(Table1722[[#This Row],[Lawan Transaksi]]="CV AGUNG KARYA",COUNTIF($I$10:I586,"CV AGUNG KARYA")," ")</f>
        <v xml:space="preserve"> </v>
      </c>
      <c r="F586" s="107" t="str">
        <f>IF(LEN(Table1722[[#This Row],[Uraian]])&gt;2,TRIM(RIGHT(SUBSTITUTE(TRIM(C586)," ",REPT(" ",255)),255))," ")</f>
        <v xml:space="preserve"> </v>
      </c>
      <c r="G586" s="110">
        <f>COPY!Z578</f>
        <v>0</v>
      </c>
      <c r="H586" s="111" t="str">
        <f>IFERROR(VLOOKUP(Table1722[[#This Row],[Bukti]],'Un nOTA'!$A$4:$K$5003,10,FALSE),"")</f>
        <v/>
      </c>
      <c r="I586" s="112" t="str">
        <f>IFERROR(VLOOKUP(Table1722[[#This Row],[Bukti]],Table13[#Data],11,FALSE),"")</f>
        <v/>
      </c>
    </row>
    <row r="587" spans="1:9" ht="19.5" hidden="1" customHeight="1" x14ac:dyDescent="0.2">
      <c r="A587" s="105" t="str">
        <f>IF(D587=1,COUNTIF($D$10:D587,1)," ")</f>
        <v xml:space="preserve"> </v>
      </c>
      <c r="B587" s="106" t="str">
        <f>COPY!AR579</f>
        <v/>
      </c>
      <c r="C587" s="107">
        <f>COPY!AC579</f>
        <v>0</v>
      </c>
      <c r="D587" s="107" t="str">
        <f>IF(LEN(Table1722[[#This Row],[Uraian]])&gt;2,1," ")</f>
        <v xml:space="preserve"> </v>
      </c>
      <c r="E587" s="113" t="str">
        <f>IF(Table1722[[#This Row],[Lawan Transaksi]]="CV AGUNG KARYA",COUNTIF($I$10:I587,"CV AGUNG KARYA")," ")</f>
        <v xml:space="preserve"> </v>
      </c>
      <c r="F587" s="107" t="str">
        <f>IF(LEN(Table1722[[#This Row],[Uraian]])&gt;2,TRIM(RIGHT(SUBSTITUTE(TRIM(C587)," ",REPT(" ",255)),255))," ")</f>
        <v xml:space="preserve"> </v>
      </c>
      <c r="G587" s="110">
        <f>COPY!Z579</f>
        <v>0</v>
      </c>
      <c r="H587" s="111" t="str">
        <f>IFERROR(VLOOKUP(Table1722[[#This Row],[Bukti]],'Un nOTA'!$A$4:$K$5003,10,FALSE),"")</f>
        <v/>
      </c>
      <c r="I587" s="112" t="str">
        <f>IFERROR(VLOOKUP(Table1722[[#This Row],[Bukti]],Table13[#Data],11,FALSE),"")</f>
        <v/>
      </c>
    </row>
    <row r="588" spans="1:9" ht="19.5" hidden="1" customHeight="1" x14ac:dyDescent="0.2">
      <c r="A588" s="114" t="str">
        <f>IF(D588=1,COUNTIF($D$10:D588,1)," ")</f>
        <v xml:space="preserve"> </v>
      </c>
      <c r="B588" s="115" t="str">
        <f>COPY!AR580</f>
        <v/>
      </c>
      <c r="C588" s="116">
        <f>COPY!AC580</f>
        <v>0</v>
      </c>
      <c r="D588" s="107" t="str">
        <f>IF(LEN(Table1722[[#This Row],[Uraian]])&gt;2,1," ")</f>
        <v xml:space="preserve"> </v>
      </c>
      <c r="E588" s="117" t="str">
        <f>IF(Table1722[[#This Row],[Lawan Transaksi]]="CV AGUNG KARYA",COUNTIF($I$10:I588,"CV AGUNG KARYA")," ")</f>
        <v xml:space="preserve"> </v>
      </c>
      <c r="F588" s="116" t="str">
        <f>IF(LEN(Table1722[[#This Row],[Uraian]])&gt;2,TRIM(RIGHT(SUBSTITUTE(TRIM(C588)," ",REPT(" ",255)),255))," ")</f>
        <v xml:space="preserve"> </v>
      </c>
      <c r="G588" s="118">
        <f>COPY!Z580</f>
        <v>0</v>
      </c>
      <c r="H588" s="119" t="str">
        <f>IFERROR(VLOOKUP(Table1722[[#This Row],[Bukti]],'Un nOTA'!$A$4:$K$5003,10,FALSE),"")</f>
        <v/>
      </c>
      <c r="I588" s="112" t="str">
        <f>IFERROR(VLOOKUP(Table1722[[#This Row],[Bukti]],Table13[#Data],11,FALSE),"")</f>
        <v/>
      </c>
    </row>
    <row r="589" spans="1:9" ht="19.5" hidden="1" customHeight="1" x14ac:dyDescent="0.2">
      <c r="A589" s="105" t="str">
        <f>IF(D589=1,COUNTIF($D$10:D589,1)," ")</f>
        <v xml:space="preserve"> </v>
      </c>
      <c r="B589" s="106" t="str">
        <f>COPY!AR581</f>
        <v/>
      </c>
      <c r="C589" s="107">
        <f>COPY!AC581</f>
        <v>0</v>
      </c>
      <c r="D589" s="108" t="str">
        <f>IF(LEN(Table1722[[#This Row],[Uraian]])&gt;2,1," ")</f>
        <v xml:space="preserve"> </v>
      </c>
      <c r="E589" s="109" t="str">
        <f>IF(Table1722[[#This Row],[Lawan Transaksi]]="CV AGUNG KARYA",COUNTIF($I$10:I589,"CV AGUNG KARYA")," ")</f>
        <v xml:space="preserve"> </v>
      </c>
      <c r="F589" s="107" t="str">
        <f>IF(LEN(Table1722[[#This Row],[Uraian]])&gt;2,TRIM(RIGHT(SUBSTITUTE(TRIM(C589)," ",REPT(" ",255)),255))," ")</f>
        <v xml:space="preserve"> </v>
      </c>
      <c r="G589" s="110">
        <f>COPY!Z581</f>
        <v>0</v>
      </c>
      <c r="H589" s="111" t="str">
        <f>IFERROR(VLOOKUP(Table1722[[#This Row],[Bukti]],'Un nOTA'!$A$4:$K$5003,10,FALSE),"")</f>
        <v/>
      </c>
      <c r="I589" s="112" t="str">
        <f>IFERROR(VLOOKUP(Table1722[[#This Row],[Bukti]],Table13[#Data],11,FALSE),"")</f>
        <v/>
      </c>
    </row>
    <row r="590" spans="1:9" ht="19.5" hidden="1" customHeight="1" x14ac:dyDescent="0.2">
      <c r="A590" s="105" t="str">
        <f>IF(D590=1,COUNTIF($D$10:D590,1)," ")</f>
        <v xml:space="preserve"> </v>
      </c>
      <c r="B590" s="106" t="str">
        <f>COPY!AR582</f>
        <v/>
      </c>
      <c r="C590" s="107">
        <f>COPY!AC582</f>
        <v>0</v>
      </c>
      <c r="D590" s="108" t="str">
        <f>IF(LEN(Table1722[[#This Row],[Uraian]])&gt;2,1," ")</f>
        <v xml:space="preserve"> </v>
      </c>
      <c r="E590" s="109" t="str">
        <f>IF(Table1722[[#This Row],[Lawan Transaksi]]="CV AGUNG KARYA",COUNTIF($I$10:I590,"CV AGUNG KARYA")," ")</f>
        <v xml:space="preserve"> </v>
      </c>
      <c r="F590" s="107" t="str">
        <f>IF(LEN(Table1722[[#This Row],[Uraian]])&gt;2,TRIM(RIGHT(SUBSTITUTE(TRIM(C590)," ",REPT(" ",255)),255))," ")</f>
        <v xml:space="preserve"> </v>
      </c>
      <c r="G590" s="110">
        <f>COPY!Z582</f>
        <v>0</v>
      </c>
      <c r="H590" s="111" t="str">
        <f>IFERROR(VLOOKUP(Table1722[[#This Row],[Bukti]],'Un nOTA'!$A$4:$K$5003,10,FALSE),"")</f>
        <v/>
      </c>
      <c r="I590" s="112" t="str">
        <f>IFERROR(VLOOKUP(Table1722[[#This Row],[Bukti]],Table13[#Data],11,FALSE),"")</f>
        <v/>
      </c>
    </row>
    <row r="591" spans="1:9" ht="19.5" hidden="1" customHeight="1" x14ac:dyDescent="0.2">
      <c r="A591" s="105" t="str">
        <f>IF(D591=1,COUNTIF($D$10:D591,1)," ")</f>
        <v xml:space="preserve"> </v>
      </c>
      <c r="B591" s="106" t="str">
        <f>COPY!AR583</f>
        <v/>
      </c>
      <c r="C591" s="107">
        <f>COPY!AC583</f>
        <v>0</v>
      </c>
      <c r="D591" s="107" t="str">
        <f>IF(LEN(Table1722[[#This Row],[Uraian]])&gt;2,1," ")</f>
        <v xml:space="preserve"> </v>
      </c>
      <c r="E591" s="113" t="str">
        <f>IF(Table1722[[#This Row],[Lawan Transaksi]]="CV AGUNG KARYA",COUNTIF($I$10:I591,"CV AGUNG KARYA")," ")</f>
        <v xml:space="preserve"> </v>
      </c>
      <c r="F591" s="107" t="str">
        <f>IF(LEN(Table1722[[#This Row],[Uraian]])&gt;2,TRIM(RIGHT(SUBSTITUTE(TRIM(C591)," ",REPT(" ",255)),255))," ")</f>
        <v xml:space="preserve"> </v>
      </c>
      <c r="G591" s="110">
        <f>COPY!Z583</f>
        <v>0</v>
      </c>
      <c r="H591" s="111" t="str">
        <f>IFERROR(VLOOKUP(Table1722[[#This Row],[Bukti]],'Un nOTA'!$A$4:$K$5003,10,FALSE),"")</f>
        <v/>
      </c>
      <c r="I591" s="112" t="str">
        <f>IFERROR(VLOOKUP(Table1722[[#This Row],[Bukti]],Table13[#Data],11,FALSE),"")</f>
        <v/>
      </c>
    </row>
    <row r="592" spans="1:9" ht="19.5" hidden="1" customHeight="1" x14ac:dyDescent="0.2">
      <c r="A592" s="105" t="str">
        <f>IF(D592=1,COUNTIF($D$10:D592,1)," ")</f>
        <v xml:space="preserve"> </v>
      </c>
      <c r="B592" s="106" t="str">
        <f>COPY!AR584</f>
        <v/>
      </c>
      <c r="C592" s="107">
        <f>COPY!AC584</f>
        <v>0</v>
      </c>
      <c r="D592" s="107" t="str">
        <f>IF(LEN(Table1722[[#This Row],[Uraian]])&gt;2,1," ")</f>
        <v xml:space="preserve"> </v>
      </c>
      <c r="E592" s="113" t="str">
        <f>IF(Table1722[[#This Row],[Lawan Transaksi]]="CV AGUNG KARYA",COUNTIF($I$10:I592,"CV AGUNG KARYA")," ")</f>
        <v xml:space="preserve"> </v>
      </c>
      <c r="F592" s="107" t="str">
        <f>IF(LEN(Table1722[[#This Row],[Uraian]])&gt;2,TRIM(RIGHT(SUBSTITUTE(TRIM(C592)," ",REPT(" ",255)),255))," ")</f>
        <v xml:space="preserve"> </v>
      </c>
      <c r="G592" s="110">
        <f>COPY!Z584</f>
        <v>0</v>
      </c>
      <c r="H592" s="111" t="str">
        <f>IFERROR(VLOOKUP(Table1722[[#This Row],[Bukti]],'Un nOTA'!$A$4:$K$5003,10,FALSE),"")</f>
        <v/>
      </c>
      <c r="I592" s="112" t="str">
        <f>IFERROR(VLOOKUP(Table1722[[#This Row],[Bukti]],Table13[#Data],11,FALSE),"")</f>
        <v/>
      </c>
    </row>
    <row r="593" spans="1:9" ht="19.5" hidden="1" customHeight="1" x14ac:dyDescent="0.2">
      <c r="A593" s="105" t="str">
        <f>IF(D593=1,COUNTIF($D$10:D593,1)," ")</f>
        <v xml:space="preserve"> </v>
      </c>
      <c r="B593" s="106" t="str">
        <f>COPY!AR585</f>
        <v/>
      </c>
      <c r="C593" s="107">
        <f>COPY!AC585</f>
        <v>0</v>
      </c>
      <c r="D593" s="107" t="str">
        <f>IF(LEN(Table1722[[#This Row],[Uraian]])&gt;2,1," ")</f>
        <v xml:space="preserve"> </v>
      </c>
      <c r="E593" s="113" t="str">
        <f>IF(Table1722[[#This Row],[Lawan Transaksi]]="CV AGUNG KARYA",COUNTIF($I$10:I593,"CV AGUNG KARYA")," ")</f>
        <v xml:space="preserve"> </v>
      </c>
      <c r="F593" s="107" t="str">
        <f>IF(LEN(Table1722[[#This Row],[Uraian]])&gt;2,TRIM(RIGHT(SUBSTITUTE(TRIM(C593)," ",REPT(" ",255)),255))," ")</f>
        <v xml:space="preserve"> </v>
      </c>
      <c r="G593" s="110">
        <f>COPY!Z585</f>
        <v>0</v>
      </c>
      <c r="H593" s="111" t="str">
        <f>IFERROR(VLOOKUP(Table1722[[#This Row],[Bukti]],'Un nOTA'!$A$4:$K$5003,10,FALSE),"")</f>
        <v/>
      </c>
      <c r="I593" s="112" t="str">
        <f>IFERROR(VLOOKUP(Table1722[[#This Row],[Bukti]],Table13[#Data],11,FALSE),"")</f>
        <v/>
      </c>
    </row>
    <row r="594" spans="1:9" ht="19.5" hidden="1" customHeight="1" x14ac:dyDescent="0.2">
      <c r="A594" s="105" t="str">
        <f>IF(D594=1,COUNTIF($D$10:D594,1)," ")</f>
        <v xml:space="preserve"> </v>
      </c>
      <c r="B594" s="106" t="str">
        <f>COPY!AR586</f>
        <v/>
      </c>
      <c r="C594" s="107">
        <f>COPY!AC586</f>
        <v>0</v>
      </c>
      <c r="D594" s="107" t="str">
        <f>IF(LEN(Table1722[[#This Row],[Uraian]])&gt;2,1," ")</f>
        <v xml:space="preserve"> </v>
      </c>
      <c r="E594" s="113" t="str">
        <f>IF(Table1722[[#This Row],[Lawan Transaksi]]="CV AGUNG KARYA",COUNTIF($I$10:I594,"CV AGUNG KARYA")," ")</f>
        <v xml:space="preserve"> </v>
      </c>
      <c r="F594" s="107" t="str">
        <f>IF(LEN(Table1722[[#This Row],[Uraian]])&gt;2,TRIM(RIGHT(SUBSTITUTE(TRIM(C594)," ",REPT(" ",255)),255))," ")</f>
        <v xml:space="preserve"> </v>
      </c>
      <c r="G594" s="110">
        <f>COPY!Z586</f>
        <v>0</v>
      </c>
      <c r="H594" s="111" t="str">
        <f>IFERROR(VLOOKUP(Table1722[[#This Row],[Bukti]],'Un nOTA'!$A$4:$K$5003,10,FALSE),"")</f>
        <v/>
      </c>
      <c r="I594" s="112" t="str">
        <f>IFERROR(VLOOKUP(Table1722[[#This Row],[Bukti]],Table13[#Data],11,FALSE),"")</f>
        <v/>
      </c>
    </row>
    <row r="595" spans="1:9" ht="19.5" hidden="1" customHeight="1" x14ac:dyDescent="0.2">
      <c r="A595" s="105" t="str">
        <f>IF(D595=1,COUNTIF($D$10:D595,1)," ")</f>
        <v xml:space="preserve"> </v>
      </c>
      <c r="B595" s="106" t="str">
        <f>COPY!AR587</f>
        <v/>
      </c>
      <c r="C595" s="107">
        <f>COPY!AC587</f>
        <v>0</v>
      </c>
      <c r="D595" s="107" t="str">
        <f>IF(LEN(Table1722[[#This Row],[Uraian]])&gt;2,1," ")</f>
        <v xml:space="preserve"> </v>
      </c>
      <c r="E595" s="113" t="str">
        <f>IF(Table1722[[#This Row],[Lawan Transaksi]]="CV AGUNG KARYA",COUNTIF($I$10:I595,"CV AGUNG KARYA")," ")</f>
        <v xml:space="preserve"> </v>
      </c>
      <c r="F595" s="107" t="str">
        <f>IF(LEN(Table1722[[#This Row],[Uraian]])&gt;2,TRIM(RIGHT(SUBSTITUTE(TRIM(C595)," ",REPT(" ",255)),255))," ")</f>
        <v xml:space="preserve"> </v>
      </c>
      <c r="G595" s="110">
        <f>COPY!Z587</f>
        <v>0</v>
      </c>
      <c r="H595" s="111" t="str">
        <f>IFERROR(VLOOKUP(Table1722[[#This Row],[Bukti]],'Un nOTA'!$A$4:$K$5003,10,FALSE),"")</f>
        <v/>
      </c>
      <c r="I595" s="112" t="str">
        <f>IFERROR(VLOOKUP(Table1722[[#This Row],[Bukti]],Table13[#Data],11,FALSE),"")</f>
        <v/>
      </c>
    </row>
    <row r="596" spans="1:9" ht="19.5" hidden="1" customHeight="1" x14ac:dyDescent="0.2">
      <c r="A596" s="105" t="str">
        <f>IF(D596=1,COUNTIF($D$10:D596,1)," ")</f>
        <v xml:space="preserve"> </v>
      </c>
      <c r="B596" s="106" t="str">
        <f>COPY!AR588</f>
        <v/>
      </c>
      <c r="C596" s="107">
        <f>COPY!AC588</f>
        <v>0</v>
      </c>
      <c r="D596" s="107" t="str">
        <f>IF(LEN(Table1722[[#This Row],[Uraian]])&gt;2,1," ")</f>
        <v xml:space="preserve"> </v>
      </c>
      <c r="E596" s="113" t="str">
        <f>IF(Table1722[[#This Row],[Lawan Transaksi]]="CV AGUNG KARYA",COUNTIF($I$10:I596,"CV AGUNG KARYA")," ")</f>
        <v xml:space="preserve"> </v>
      </c>
      <c r="F596" s="107" t="str">
        <f>IF(LEN(Table1722[[#This Row],[Uraian]])&gt;2,TRIM(RIGHT(SUBSTITUTE(TRIM(C596)," ",REPT(" ",255)),255))," ")</f>
        <v xml:space="preserve"> </v>
      </c>
      <c r="G596" s="110">
        <f>COPY!Z588</f>
        <v>0</v>
      </c>
      <c r="H596" s="111" t="str">
        <f>IFERROR(VLOOKUP(Table1722[[#This Row],[Bukti]],'Un nOTA'!$A$4:$K$5003,10,FALSE),"")</f>
        <v/>
      </c>
      <c r="I596" s="112" t="str">
        <f>IFERROR(VLOOKUP(Table1722[[#This Row],[Bukti]],Table13[#Data],11,FALSE),"")</f>
        <v/>
      </c>
    </row>
    <row r="597" spans="1:9" ht="19.5" hidden="1" customHeight="1" x14ac:dyDescent="0.2">
      <c r="A597" s="105" t="str">
        <f>IF(D597=1,COUNTIF($D$10:D597,1)," ")</f>
        <v xml:space="preserve"> </v>
      </c>
      <c r="B597" s="106" t="str">
        <f>COPY!AR589</f>
        <v/>
      </c>
      <c r="C597" s="107">
        <f>COPY!AC589</f>
        <v>0</v>
      </c>
      <c r="D597" s="107" t="str">
        <f>IF(LEN(Table1722[[#This Row],[Uraian]])&gt;2,1," ")</f>
        <v xml:space="preserve"> </v>
      </c>
      <c r="E597" s="113" t="str">
        <f>IF(Table1722[[#This Row],[Lawan Transaksi]]="CV AGUNG KARYA",COUNTIF($I$10:I597,"CV AGUNG KARYA")," ")</f>
        <v xml:space="preserve"> </v>
      </c>
      <c r="F597" s="107" t="str">
        <f>IF(LEN(Table1722[[#This Row],[Uraian]])&gt;2,TRIM(RIGHT(SUBSTITUTE(TRIM(C597)," ",REPT(" ",255)),255))," ")</f>
        <v xml:space="preserve"> </v>
      </c>
      <c r="G597" s="110">
        <f>COPY!Z589</f>
        <v>0</v>
      </c>
      <c r="H597" s="111" t="str">
        <f>IFERROR(VLOOKUP(Table1722[[#This Row],[Bukti]],'Un nOTA'!$A$4:$K$5003,10,FALSE),"")</f>
        <v/>
      </c>
      <c r="I597" s="112" t="str">
        <f>IFERROR(VLOOKUP(Table1722[[#This Row],[Bukti]],Table13[#Data],11,FALSE),"")</f>
        <v/>
      </c>
    </row>
    <row r="598" spans="1:9" ht="19.5" hidden="1" customHeight="1" x14ac:dyDescent="0.2">
      <c r="A598" s="105" t="str">
        <f>IF(D598=1,COUNTIF($D$10:D598,1)," ")</f>
        <v xml:space="preserve"> </v>
      </c>
      <c r="B598" s="106" t="str">
        <f>COPY!AR590</f>
        <v/>
      </c>
      <c r="C598" s="107">
        <f>COPY!AC590</f>
        <v>0</v>
      </c>
      <c r="D598" s="107" t="str">
        <f>IF(LEN(Table1722[[#This Row],[Uraian]])&gt;2,1," ")</f>
        <v xml:space="preserve"> </v>
      </c>
      <c r="E598" s="113" t="str">
        <f>IF(Table1722[[#This Row],[Lawan Transaksi]]="CV AGUNG KARYA",COUNTIF($I$10:I598,"CV AGUNG KARYA")," ")</f>
        <v xml:space="preserve"> </v>
      </c>
      <c r="F598" s="107" t="str">
        <f>IF(LEN(Table1722[[#This Row],[Uraian]])&gt;2,TRIM(RIGHT(SUBSTITUTE(TRIM(C598)," ",REPT(" ",255)),255))," ")</f>
        <v xml:space="preserve"> </v>
      </c>
      <c r="G598" s="110">
        <f>COPY!Z590</f>
        <v>0</v>
      </c>
      <c r="H598" s="111" t="str">
        <f>IFERROR(VLOOKUP(Table1722[[#This Row],[Bukti]],'Un nOTA'!$A$4:$K$5003,10,FALSE),"")</f>
        <v/>
      </c>
      <c r="I598" s="112" t="str">
        <f>IFERROR(VLOOKUP(Table1722[[#This Row],[Bukti]],Table13[#Data],11,FALSE),"")</f>
        <v/>
      </c>
    </row>
    <row r="599" spans="1:9" ht="19.5" hidden="1" customHeight="1" x14ac:dyDescent="0.2">
      <c r="A599" s="105" t="str">
        <f>IF(D599=1,COUNTIF($D$10:D599,1)," ")</f>
        <v xml:space="preserve"> </v>
      </c>
      <c r="B599" s="106" t="str">
        <f>COPY!AR591</f>
        <v/>
      </c>
      <c r="C599" s="107">
        <f>COPY!AC591</f>
        <v>0</v>
      </c>
      <c r="D599" s="107" t="str">
        <f>IF(LEN(Table1722[[#This Row],[Uraian]])&gt;2,1," ")</f>
        <v xml:space="preserve"> </v>
      </c>
      <c r="E599" s="113" t="str">
        <f>IF(Table1722[[#This Row],[Lawan Transaksi]]="CV AGUNG KARYA",COUNTIF($I$10:I599,"CV AGUNG KARYA")," ")</f>
        <v xml:space="preserve"> </v>
      </c>
      <c r="F599" s="107" t="str">
        <f>IF(LEN(Table1722[[#This Row],[Uraian]])&gt;2,TRIM(RIGHT(SUBSTITUTE(TRIM(C599)," ",REPT(" ",255)),255))," ")</f>
        <v xml:space="preserve"> </v>
      </c>
      <c r="G599" s="110">
        <f>COPY!Z591</f>
        <v>0</v>
      </c>
      <c r="H599" s="111" t="str">
        <f>IFERROR(VLOOKUP(Table1722[[#This Row],[Bukti]],'Un nOTA'!$A$4:$K$5003,10,FALSE),"")</f>
        <v/>
      </c>
      <c r="I599" s="112" t="str">
        <f>IFERROR(VLOOKUP(Table1722[[#This Row],[Bukti]],Table13[#Data],11,FALSE),"")</f>
        <v/>
      </c>
    </row>
    <row r="600" spans="1:9" ht="19.5" hidden="1" customHeight="1" x14ac:dyDescent="0.2">
      <c r="A600" s="105" t="str">
        <f>IF(D600=1,COUNTIF($D$10:D600,1)," ")</f>
        <v xml:space="preserve"> </v>
      </c>
      <c r="B600" s="106" t="str">
        <f>COPY!AR592</f>
        <v/>
      </c>
      <c r="C600" s="107">
        <f>COPY!AC592</f>
        <v>0</v>
      </c>
      <c r="D600" s="107" t="str">
        <f>IF(LEN(Table1722[[#This Row],[Uraian]])&gt;2,1," ")</f>
        <v xml:space="preserve"> </v>
      </c>
      <c r="E600" s="113" t="str">
        <f>IF(Table1722[[#This Row],[Lawan Transaksi]]="CV AGUNG KARYA",COUNTIF($I$10:I600,"CV AGUNG KARYA")," ")</f>
        <v xml:space="preserve"> </v>
      </c>
      <c r="F600" s="107" t="str">
        <f>IF(LEN(Table1722[[#This Row],[Uraian]])&gt;2,TRIM(RIGHT(SUBSTITUTE(TRIM(C600)," ",REPT(" ",255)),255))," ")</f>
        <v xml:space="preserve"> </v>
      </c>
      <c r="G600" s="110">
        <f>COPY!Z592</f>
        <v>0</v>
      </c>
      <c r="H600" s="111" t="str">
        <f>IFERROR(VLOOKUP(Table1722[[#This Row],[Bukti]],'Un nOTA'!$A$4:$K$5003,10,FALSE),"")</f>
        <v/>
      </c>
      <c r="I600" s="112" t="str">
        <f>IFERROR(VLOOKUP(Table1722[[#This Row],[Bukti]],Table13[#Data],11,FALSE),"")</f>
        <v/>
      </c>
    </row>
    <row r="601" spans="1:9" ht="19.5" hidden="1" customHeight="1" x14ac:dyDescent="0.2">
      <c r="A601" s="105" t="str">
        <f>IF(D601=1,COUNTIF($D$10:D601,1)," ")</f>
        <v xml:space="preserve"> </v>
      </c>
      <c r="B601" s="106" t="str">
        <f>COPY!AR593</f>
        <v/>
      </c>
      <c r="C601" s="107">
        <f>COPY!AC593</f>
        <v>0</v>
      </c>
      <c r="D601" s="107" t="str">
        <f>IF(LEN(Table1722[[#This Row],[Uraian]])&gt;2,1," ")</f>
        <v xml:space="preserve"> </v>
      </c>
      <c r="E601" s="113" t="str">
        <f>IF(Table1722[[#This Row],[Lawan Transaksi]]="CV AGUNG KARYA",COUNTIF($I$10:I601,"CV AGUNG KARYA")," ")</f>
        <v xml:space="preserve"> </v>
      </c>
      <c r="F601" s="107" t="str">
        <f>IF(LEN(Table1722[[#This Row],[Uraian]])&gt;2,TRIM(RIGHT(SUBSTITUTE(TRIM(C601)," ",REPT(" ",255)),255))," ")</f>
        <v xml:space="preserve"> </v>
      </c>
      <c r="G601" s="110">
        <f>COPY!Z593</f>
        <v>0</v>
      </c>
      <c r="H601" s="111" t="str">
        <f>IFERROR(VLOOKUP(Table1722[[#This Row],[Bukti]],'Un nOTA'!$A$4:$K$5003,10,FALSE),"")</f>
        <v/>
      </c>
      <c r="I601" s="112" t="str">
        <f>IFERROR(VLOOKUP(Table1722[[#This Row],[Bukti]],Table13[#Data],11,FALSE),"")</f>
        <v/>
      </c>
    </row>
    <row r="602" spans="1:9" ht="19.5" hidden="1" customHeight="1" x14ac:dyDescent="0.2">
      <c r="A602" s="105" t="str">
        <f>IF(D602=1,COUNTIF($D$10:D602,1)," ")</f>
        <v xml:space="preserve"> </v>
      </c>
      <c r="B602" s="106" t="str">
        <f>COPY!AR594</f>
        <v/>
      </c>
      <c r="C602" s="107">
        <f>COPY!AC594</f>
        <v>0</v>
      </c>
      <c r="D602" s="107" t="str">
        <f>IF(LEN(Table1722[[#This Row],[Uraian]])&gt;2,1," ")</f>
        <v xml:space="preserve"> </v>
      </c>
      <c r="E602" s="113" t="str">
        <f>IF(Table1722[[#This Row],[Lawan Transaksi]]="CV AGUNG KARYA",COUNTIF($I$10:I602,"CV AGUNG KARYA")," ")</f>
        <v xml:space="preserve"> </v>
      </c>
      <c r="F602" s="107" t="str">
        <f>IF(LEN(Table1722[[#This Row],[Uraian]])&gt;2,TRIM(RIGHT(SUBSTITUTE(TRIM(C602)," ",REPT(" ",255)),255))," ")</f>
        <v xml:space="preserve"> </v>
      </c>
      <c r="G602" s="110">
        <f>COPY!Z594</f>
        <v>0</v>
      </c>
      <c r="H602" s="111" t="str">
        <f>IFERROR(VLOOKUP(Table1722[[#This Row],[Bukti]],'Un nOTA'!$A$4:$K$5003,10,FALSE),"")</f>
        <v/>
      </c>
      <c r="I602" s="112" t="str">
        <f>IFERROR(VLOOKUP(Table1722[[#This Row],[Bukti]],Table13[#Data],11,FALSE),"")</f>
        <v/>
      </c>
    </row>
    <row r="603" spans="1:9" ht="19.5" hidden="1" customHeight="1" x14ac:dyDescent="0.2">
      <c r="A603" s="105" t="str">
        <f>IF(D603=1,COUNTIF($D$10:D603,1)," ")</f>
        <v xml:space="preserve"> </v>
      </c>
      <c r="B603" s="106" t="str">
        <f>COPY!AR595</f>
        <v/>
      </c>
      <c r="C603" s="107">
        <f>COPY!AC595</f>
        <v>0</v>
      </c>
      <c r="D603" s="107" t="str">
        <f>IF(LEN(Table1722[[#This Row],[Uraian]])&gt;2,1," ")</f>
        <v xml:space="preserve"> </v>
      </c>
      <c r="E603" s="113" t="str">
        <f>IF(Table1722[[#This Row],[Lawan Transaksi]]="CV AGUNG KARYA",COUNTIF($I$10:I603,"CV AGUNG KARYA")," ")</f>
        <v xml:space="preserve"> </v>
      </c>
      <c r="F603" s="107" t="str">
        <f>IF(LEN(Table1722[[#This Row],[Uraian]])&gt;2,TRIM(RIGHT(SUBSTITUTE(TRIM(C603)," ",REPT(" ",255)),255))," ")</f>
        <v xml:space="preserve"> </v>
      </c>
      <c r="G603" s="110">
        <f>COPY!Z595</f>
        <v>0</v>
      </c>
      <c r="H603" s="111" t="str">
        <f>IFERROR(VLOOKUP(Table1722[[#This Row],[Bukti]],'Un nOTA'!$A$4:$K$5003,10,FALSE),"")</f>
        <v/>
      </c>
      <c r="I603" s="112" t="str">
        <f>IFERROR(VLOOKUP(Table1722[[#This Row],[Bukti]],Table13[#Data],11,FALSE),"")</f>
        <v/>
      </c>
    </row>
    <row r="604" spans="1:9" ht="19.5" hidden="1" customHeight="1" x14ac:dyDescent="0.2">
      <c r="A604" s="105"/>
      <c r="B604" s="106" t="str">
        <f>COPY!AR596</f>
        <v/>
      </c>
      <c r="C604" s="107">
        <f>COPY!AC596</f>
        <v>0</v>
      </c>
      <c r="D604" s="107" t="str">
        <f>IF(LEN(Table1722[[#This Row],[Uraian]])&gt;2,1," ")</f>
        <v xml:space="preserve"> </v>
      </c>
      <c r="E604" s="113"/>
      <c r="F604" s="107" t="str">
        <f>IF(LEN(Table1722[[#This Row],[Uraian]])&gt;2,TRIM(RIGHT(SUBSTITUTE(TRIM(C604)," ",REPT(" ",255)),255))," ")</f>
        <v xml:space="preserve"> </v>
      </c>
      <c r="G604" s="110">
        <f>COPY!Z596</f>
        <v>0</v>
      </c>
      <c r="H604" s="111"/>
      <c r="I604" s="112" t="str">
        <f>IFERROR(VLOOKUP(Table1722[[#This Row],[Bukti]],Table13[#Data],11,FALSE),"")</f>
        <v/>
      </c>
    </row>
    <row r="605" spans="1:9" ht="19.5" hidden="1" customHeight="1" x14ac:dyDescent="0.2">
      <c r="A605" s="105" t="str">
        <f>IF(D605=1,COUNTIF($D$10:D605,1)," ")</f>
        <v xml:space="preserve"> </v>
      </c>
      <c r="B605" s="106" t="str">
        <f>COPY!AR597</f>
        <v/>
      </c>
      <c r="C605" s="107">
        <f>COPY!AC597</f>
        <v>0</v>
      </c>
      <c r="D605" s="107" t="str">
        <f>IF(LEN(Table1722[[#This Row],[Uraian]])&gt;2,1," ")</f>
        <v xml:space="preserve"> </v>
      </c>
      <c r="E605" s="113" t="str">
        <f>IF(Table1722[[#This Row],[Lawan Transaksi]]="CV AGUNG KARYA",COUNTIF($I$10:I605,"CV AGUNG KARYA")," ")</f>
        <v xml:space="preserve"> </v>
      </c>
      <c r="F605" s="107" t="str">
        <f>IF(LEN(Table1722[[#This Row],[Uraian]])&gt;2,TRIM(RIGHT(SUBSTITUTE(TRIM(C605)," ",REPT(" ",255)),255))," ")</f>
        <v xml:space="preserve"> </v>
      </c>
      <c r="G605" s="110">
        <f>COPY!Z597</f>
        <v>0</v>
      </c>
      <c r="H605" s="111" t="str">
        <f>IFERROR(VLOOKUP(Table1722[[#This Row],[Bukti]],'Un nOTA'!$A$4:$K$5003,10,FALSE),"")</f>
        <v/>
      </c>
      <c r="I605" s="112" t="str">
        <f>IFERROR(VLOOKUP(Table1722[[#This Row],[Bukti]],Table13[#Data],11,FALSE),"")</f>
        <v/>
      </c>
    </row>
    <row r="606" spans="1:9" ht="19.5" hidden="1" customHeight="1" x14ac:dyDescent="0.2">
      <c r="A606" s="105" t="str">
        <f>IF(D606=1,COUNTIF($D$10:D606,1)," ")</f>
        <v xml:space="preserve"> </v>
      </c>
      <c r="B606" s="106" t="str">
        <f>COPY!AR598</f>
        <v/>
      </c>
      <c r="C606" s="107">
        <f>COPY!AC598</f>
        <v>0</v>
      </c>
      <c r="D606" s="107" t="str">
        <f>IF(LEN(Table1722[[#This Row],[Uraian]])&gt;2,1," ")</f>
        <v xml:space="preserve"> </v>
      </c>
      <c r="E606" s="113" t="str">
        <f>IF(Table1722[[#This Row],[Lawan Transaksi]]="CV AGUNG KARYA",COUNTIF($I$10:I606,"CV AGUNG KARYA")," ")</f>
        <v xml:space="preserve"> </v>
      </c>
      <c r="F606" s="107" t="str">
        <f>IF(LEN(Table1722[[#This Row],[Uraian]])&gt;2,TRIM(RIGHT(SUBSTITUTE(TRIM(C606)," ",REPT(" ",255)),255))," ")</f>
        <v xml:space="preserve"> </v>
      </c>
      <c r="G606" s="110">
        <f>COPY!Z598</f>
        <v>0</v>
      </c>
      <c r="H606" s="111" t="str">
        <f>IFERROR(VLOOKUP(Table1722[[#This Row],[Bukti]],'Un nOTA'!$A$4:$K$5003,10,FALSE),"")</f>
        <v/>
      </c>
      <c r="I606" s="112" t="str">
        <f>IFERROR(VLOOKUP(Table1722[[#This Row],[Bukti]],Table13[#Data],11,FALSE),"")</f>
        <v/>
      </c>
    </row>
    <row r="607" spans="1:9" ht="19.5" hidden="1" customHeight="1" x14ac:dyDescent="0.2">
      <c r="A607" s="105" t="str">
        <f>IF(D607=1,COUNTIF($D$10:D607,1)," ")</f>
        <v xml:space="preserve"> </v>
      </c>
      <c r="B607" s="106" t="str">
        <f>COPY!AR599</f>
        <v/>
      </c>
      <c r="C607" s="107">
        <f>COPY!AC599</f>
        <v>0</v>
      </c>
      <c r="D607" s="107" t="str">
        <f>IF(LEN(Table1722[[#This Row],[Uraian]])&gt;2,1," ")</f>
        <v xml:space="preserve"> </v>
      </c>
      <c r="E607" s="113" t="str">
        <f>IF(Table1722[[#This Row],[Lawan Transaksi]]="CV AGUNG KARYA",COUNTIF($I$10:I607,"CV AGUNG KARYA")," ")</f>
        <v xml:space="preserve"> </v>
      </c>
      <c r="F607" s="107" t="str">
        <f>IF(LEN(Table1722[[#This Row],[Uraian]])&gt;2,TRIM(RIGHT(SUBSTITUTE(TRIM(C607)," ",REPT(" ",255)),255))," ")</f>
        <v xml:space="preserve"> </v>
      </c>
      <c r="G607" s="110">
        <f>COPY!Z599</f>
        <v>0</v>
      </c>
      <c r="H607" s="111" t="str">
        <f>IFERROR(VLOOKUP(Table1722[[#This Row],[Bukti]],'Un nOTA'!$A$4:$K$5003,10,FALSE),"")</f>
        <v/>
      </c>
      <c r="I607" s="112" t="str">
        <f>IFERROR(VLOOKUP(Table1722[[#This Row],[Bukti]],Table13[#Data],11,FALSE),"")</f>
        <v/>
      </c>
    </row>
    <row r="608" spans="1:9" ht="19.5" hidden="1" customHeight="1" x14ac:dyDescent="0.2">
      <c r="A608" s="105" t="str">
        <f>IF(D608=1,COUNTIF($D$10:D608,1)," ")</f>
        <v xml:space="preserve"> </v>
      </c>
      <c r="B608" s="106" t="str">
        <f>COPY!AR600</f>
        <v/>
      </c>
      <c r="C608" s="107">
        <f>COPY!AC600</f>
        <v>0</v>
      </c>
      <c r="D608" s="107" t="str">
        <f>IF(LEN(Table1722[[#This Row],[Uraian]])&gt;2,1," ")</f>
        <v xml:space="preserve"> </v>
      </c>
      <c r="E608" s="113" t="str">
        <f>IF(Table1722[[#This Row],[Lawan Transaksi]]="CV AGUNG KARYA",COUNTIF($I$10:I608,"CV AGUNG KARYA")," ")</f>
        <v xml:space="preserve"> </v>
      </c>
      <c r="F608" s="107" t="str">
        <f>IF(LEN(Table1722[[#This Row],[Uraian]])&gt;2,TRIM(RIGHT(SUBSTITUTE(TRIM(C608)," ",REPT(" ",255)),255))," ")</f>
        <v xml:space="preserve"> </v>
      </c>
      <c r="G608" s="110">
        <f>COPY!Z600</f>
        <v>0</v>
      </c>
      <c r="H608" s="111" t="str">
        <f>IFERROR(VLOOKUP(Table1722[[#This Row],[Bukti]],'Un nOTA'!$A$4:$K$5003,10,FALSE),"")</f>
        <v/>
      </c>
      <c r="I608" s="112" t="str">
        <f>IFERROR(VLOOKUP(Table1722[[#This Row],[Bukti]],Table13[#Data],11,FALSE),"")</f>
        <v/>
      </c>
    </row>
    <row r="609" spans="1:9" ht="19.5" hidden="1" customHeight="1" x14ac:dyDescent="0.2">
      <c r="A609" s="114" t="str">
        <f>IF(D609=1,COUNTIF($D$10:D609,1)," ")</f>
        <v xml:space="preserve"> </v>
      </c>
      <c r="B609" s="115" t="str">
        <f>COPY!AR601</f>
        <v/>
      </c>
      <c r="C609" s="116">
        <f>COPY!AC601</f>
        <v>0</v>
      </c>
      <c r="D609" s="107" t="str">
        <f>IF(LEN(Table1722[[#This Row],[Uraian]])&gt;2,1," ")</f>
        <v xml:space="preserve"> </v>
      </c>
      <c r="E609" s="117" t="str">
        <f>IF(Table1722[[#This Row],[Lawan Transaksi]]="CV AGUNG KARYA",COUNTIF($I$10:I609,"CV AGUNG KARYA")," ")</f>
        <v xml:space="preserve"> </v>
      </c>
      <c r="F609" s="116" t="str">
        <f>IF(LEN(Table1722[[#This Row],[Uraian]])&gt;2,TRIM(RIGHT(SUBSTITUTE(TRIM(C609)," ",REPT(" ",255)),255))," ")</f>
        <v xml:space="preserve"> </v>
      </c>
      <c r="G609" s="118">
        <f>COPY!Z601</f>
        <v>0</v>
      </c>
      <c r="H609" s="119" t="str">
        <f>IFERROR(VLOOKUP(Table1722[[#This Row],[Bukti]],'Un nOTA'!$A$4:$K$5003,10,FALSE),"")</f>
        <v/>
      </c>
      <c r="I609" s="112" t="str">
        <f>IFERROR(VLOOKUP(Table1722[[#This Row],[Bukti]],Table13[#Data],11,FALSE),"")</f>
        <v/>
      </c>
    </row>
    <row r="610" spans="1:9" ht="19.5" hidden="1" customHeight="1" x14ac:dyDescent="0.2">
      <c r="A610" s="105" t="str">
        <f>IF(D610=1,COUNTIF($D$10:D610,1)," ")</f>
        <v xml:space="preserve"> </v>
      </c>
      <c r="B610" s="106" t="str">
        <f>COPY!AR602</f>
        <v/>
      </c>
      <c r="C610" s="107">
        <f>COPY!AC602</f>
        <v>0</v>
      </c>
      <c r="D610" s="108" t="str">
        <f>IF(LEN(Table1722[[#This Row],[Uraian]])&gt;2,1," ")</f>
        <v xml:space="preserve"> </v>
      </c>
      <c r="E610" s="109" t="str">
        <f>IF(Table1722[[#This Row],[Lawan Transaksi]]="CV AGUNG KARYA",COUNTIF($I$10:I610,"CV AGUNG KARYA")," ")</f>
        <v xml:space="preserve"> </v>
      </c>
      <c r="F610" s="107" t="str">
        <f>IF(LEN(Table1722[[#This Row],[Uraian]])&gt;2,TRIM(RIGHT(SUBSTITUTE(TRIM(C610)," ",REPT(" ",255)),255))," ")</f>
        <v xml:space="preserve"> </v>
      </c>
      <c r="G610" s="110">
        <f>COPY!Z602</f>
        <v>0</v>
      </c>
      <c r="H610" s="111" t="str">
        <f>IFERROR(VLOOKUP(Table1722[[#This Row],[Bukti]],'Un nOTA'!$A$4:$K$5003,10,FALSE),"")</f>
        <v/>
      </c>
      <c r="I610" s="112" t="str">
        <f>IFERROR(VLOOKUP(Table1722[[#This Row],[Bukti]],Table13[#Data],11,FALSE),"")</f>
        <v/>
      </c>
    </row>
    <row r="611" spans="1:9" ht="19.5" hidden="1" customHeight="1" x14ac:dyDescent="0.2">
      <c r="A611" s="105" t="str">
        <f>IF(D611=1,COUNTIF($D$10:D611,1)," ")</f>
        <v xml:space="preserve"> </v>
      </c>
      <c r="B611" s="106" t="str">
        <f>COPY!AR603</f>
        <v/>
      </c>
      <c r="C611" s="107">
        <f>COPY!AC603</f>
        <v>0</v>
      </c>
      <c r="D611" s="108" t="str">
        <f>IF(LEN(Table1722[[#This Row],[Uraian]])&gt;2,1," ")</f>
        <v xml:space="preserve"> </v>
      </c>
      <c r="E611" s="109" t="str">
        <f>IF(Table1722[[#This Row],[Lawan Transaksi]]="CV AGUNG KARYA",COUNTIF($I$10:I611,"CV AGUNG KARYA")," ")</f>
        <v xml:space="preserve"> </v>
      </c>
      <c r="F611" s="107" t="str">
        <f>IF(LEN(Table1722[[#This Row],[Uraian]])&gt;2,TRIM(RIGHT(SUBSTITUTE(TRIM(C611)," ",REPT(" ",255)),255))," ")</f>
        <v xml:space="preserve"> </v>
      </c>
      <c r="G611" s="110">
        <f>COPY!Z603</f>
        <v>0</v>
      </c>
      <c r="H611" s="111" t="str">
        <f>IFERROR(VLOOKUP(Table1722[[#This Row],[Bukti]],'Un nOTA'!$A$4:$K$5003,10,FALSE),"")</f>
        <v/>
      </c>
      <c r="I611" s="112" t="str">
        <f>IFERROR(VLOOKUP(Table1722[[#This Row],[Bukti]],Table13[#Data],11,FALSE),"")</f>
        <v/>
      </c>
    </row>
    <row r="612" spans="1:9" ht="19.5" hidden="1" customHeight="1" x14ac:dyDescent="0.2">
      <c r="A612" s="105" t="str">
        <f>IF(D612=1,COUNTIF($D$10:D612,1)," ")</f>
        <v xml:space="preserve"> </v>
      </c>
      <c r="B612" s="106" t="str">
        <f>COPY!AR604</f>
        <v/>
      </c>
      <c r="C612" s="107">
        <f>COPY!AC604</f>
        <v>0</v>
      </c>
      <c r="D612" s="107" t="str">
        <f>IF(LEN(Table1722[[#This Row],[Uraian]])&gt;2,1," ")</f>
        <v xml:space="preserve"> </v>
      </c>
      <c r="E612" s="113" t="str">
        <f>IF(Table1722[[#This Row],[Lawan Transaksi]]="CV AGUNG KARYA",COUNTIF($I$10:I612,"CV AGUNG KARYA")," ")</f>
        <v xml:space="preserve"> </v>
      </c>
      <c r="F612" s="107" t="str">
        <f>IF(LEN(Table1722[[#This Row],[Uraian]])&gt;2,TRIM(RIGHT(SUBSTITUTE(TRIM(C612)," ",REPT(" ",255)),255))," ")</f>
        <v xml:space="preserve"> </v>
      </c>
      <c r="G612" s="110">
        <f>COPY!Z604</f>
        <v>0</v>
      </c>
      <c r="H612" s="111" t="str">
        <f>IFERROR(VLOOKUP(Table1722[[#This Row],[Bukti]],'Un nOTA'!$A$4:$K$5003,10,FALSE),"")</f>
        <v/>
      </c>
      <c r="I612" s="112" t="str">
        <f>IFERROR(VLOOKUP(Table1722[[#This Row],[Bukti]],Table13[#Data],11,FALSE),"")</f>
        <v/>
      </c>
    </row>
    <row r="613" spans="1:9" ht="19.5" hidden="1" customHeight="1" x14ac:dyDescent="0.2">
      <c r="A613" s="105" t="str">
        <f>IF(D613=1,COUNTIF($D$10:D613,1)," ")</f>
        <v xml:space="preserve"> </v>
      </c>
      <c r="B613" s="106" t="str">
        <f>COPY!AR605</f>
        <v/>
      </c>
      <c r="C613" s="107">
        <f>COPY!AC605</f>
        <v>0</v>
      </c>
      <c r="D613" s="107" t="str">
        <f>IF(LEN(Table1722[[#This Row],[Uraian]])&gt;2,1," ")</f>
        <v xml:space="preserve"> </v>
      </c>
      <c r="E613" s="113" t="str">
        <f>IF(Table1722[[#This Row],[Lawan Transaksi]]="CV AGUNG KARYA",COUNTIF($I$10:I613,"CV AGUNG KARYA")," ")</f>
        <v xml:space="preserve"> </v>
      </c>
      <c r="F613" s="107" t="str">
        <f>IF(LEN(Table1722[[#This Row],[Uraian]])&gt;2,TRIM(RIGHT(SUBSTITUTE(TRIM(C613)," ",REPT(" ",255)),255))," ")</f>
        <v xml:space="preserve"> </v>
      </c>
      <c r="G613" s="110">
        <f>COPY!Z605</f>
        <v>0</v>
      </c>
      <c r="H613" s="111" t="str">
        <f>IFERROR(VLOOKUP(Table1722[[#This Row],[Bukti]],'Un nOTA'!$A$4:$K$5003,10,FALSE),"")</f>
        <v/>
      </c>
      <c r="I613" s="112" t="str">
        <f>IFERROR(VLOOKUP(Table1722[[#This Row],[Bukti]],Table13[#Data],11,FALSE),"")</f>
        <v/>
      </c>
    </row>
    <row r="614" spans="1:9" ht="19.5" hidden="1" customHeight="1" x14ac:dyDescent="0.2">
      <c r="A614" s="105" t="str">
        <f>IF(D614=1,COUNTIF($D$10:D614,1)," ")</f>
        <v xml:space="preserve"> </v>
      </c>
      <c r="B614" s="106" t="str">
        <f>COPY!AR606</f>
        <v/>
      </c>
      <c r="C614" s="107">
        <f>COPY!AC606</f>
        <v>0</v>
      </c>
      <c r="D614" s="107" t="str">
        <f>IF(LEN(Table1722[[#This Row],[Uraian]])&gt;2,1," ")</f>
        <v xml:space="preserve"> </v>
      </c>
      <c r="E614" s="113" t="str">
        <f>IF(Table1722[[#This Row],[Lawan Transaksi]]="CV AGUNG KARYA",COUNTIF($I$10:I614,"CV AGUNG KARYA")," ")</f>
        <v xml:space="preserve"> </v>
      </c>
      <c r="F614" s="107" t="str">
        <f>IF(LEN(Table1722[[#This Row],[Uraian]])&gt;2,TRIM(RIGHT(SUBSTITUTE(TRIM(C614)," ",REPT(" ",255)),255))," ")</f>
        <v xml:space="preserve"> </v>
      </c>
      <c r="G614" s="110">
        <f>COPY!Z606</f>
        <v>0</v>
      </c>
      <c r="H614" s="111" t="str">
        <f>IFERROR(VLOOKUP(Table1722[[#This Row],[Bukti]],'Un nOTA'!$A$4:$K$5003,10,FALSE),"")</f>
        <v/>
      </c>
      <c r="I614" s="112" t="str">
        <f>IFERROR(VLOOKUP(Table1722[[#This Row],[Bukti]],Table13[#Data],11,FALSE),"")</f>
        <v/>
      </c>
    </row>
    <row r="615" spans="1:9" ht="19.5" hidden="1" customHeight="1" x14ac:dyDescent="0.2">
      <c r="A615" s="105" t="str">
        <f>IF(D615=1,COUNTIF($D$10:D615,1)," ")</f>
        <v xml:space="preserve"> </v>
      </c>
      <c r="B615" s="106" t="str">
        <f>COPY!AR607</f>
        <v/>
      </c>
      <c r="C615" s="107">
        <f>COPY!AC607</f>
        <v>0</v>
      </c>
      <c r="D615" s="107" t="str">
        <f>IF(LEN(Table1722[[#This Row],[Uraian]])&gt;2,1," ")</f>
        <v xml:space="preserve"> </v>
      </c>
      <c r="E615" s="113" t="str">
        <f>IF(Table1722[[#This Row],[Lawan Transaksi]]="CV AGUNG KARYA",COUNTIF($I$10:I615,"CV AGUNG KARYA")," ")</f>
        <v xml:space="preserve"> </v>
      </c>
      <c r="F615" s="107" t="str">
        <f>IF(LEN(Table1722[[#This Row],[Uraian]])&gt;2,TRIM(RIGHT(SUBSTITUTE(TRIM(C615)," ",REPT(" ",255)),255))," ")</f>
        <v xml:space="preserve"> </v>
      </c>
      <c r="G615" s="110">
        <f>COPY!Z607</f>
        <v>0</v>
      </c>
      <c r="H615" s="111" t="str">
        <f>IFERROR(VLOOKUP(Table1722[[#This Row],[Bukti]],'Un nOTA'!$A$4:$K$5003,10,FALSE),"")</f>
        <v/>
      </c>
      <c r="I615" s="112" t="str">
        <f>IFERROR(VLOOKUP(Table1722[[#This Row],[Bukti]],Table13[#Data],11,FALSE),"")</f>
        <v/>
      </c>
    </row>
    <row r="616" spans="1:9" ht="19.5" hidden="1" customHeight="1" x14ac:dyDescent="0.2">
      <c r="A616" s="105" t="str">
        <f>IF(D616=1,COUNTIF($D$10:D616,1)," ")</f>
        <v xml:space="preserve"> </v>
      </c>
      <c r="B616" s="106" t="str">
        <f>COPY!AR608</f>
        <v/>
      </c>
      <c r="C616" s="107">
        <f>COPY!AC608</f>
        <v>0</v>
      </c>
      <c r="D616" s="107" t="str">
        <f>IF(LEN(Table1722[[#This Row],[Uraian]])&gt;2,1," ")</f>
        <v xml:space="preserve"> </v>
      </c>
      <c r="E616" s="113" t="str">
        <f>IF(Table1722[[#This Row],[Lawan Transaksi]]="CV AGUNG KARYA",COUNTIF($I$10:I616,"CV AGUNG KARYA")," ")</f>
        <v xml:space="preserve"> </v>
      </c>
      <c r="F616" s="107" t="str">
        <f>IF(LEN(Table1722[[#This Row],[Uraian]])&gt;2,TRIM(RIGHT(SUBSTITUTE(TRIM(C616)," ",REPT(" ",255)),255))," ")</f>
        <v xml:space="preserve"> </v>
      </c>
      <c r="G616" s="110">
        <f>COPY!Z608</f>
        <v>0</v>
      </c>
      <c r="H616" s="111" t="str">
        <f>IFERROR(VLOOKUP(Table1722[[#This Row],[Bukti]],'Un nOTA'!$A$4:$K$5003,10,FALSE),"")</f>
        <v/>
      </c>
      <c r="I616" s="112" t="str">
        <f>IFERROR(VLOOKUP(Table1722[[#This Row],[Bukti]],Table13[#Data],11,FALSE),"")</f>
        <v/>
      </c>
    </row>
    <row r="617" spans="1:9" ht="19.5" hidden="1" customHeight="1" x14ac:dyDescent="0.2">
      <c r="A617" s="105" t="str">
        <f>IF(D617=1,COUNTIF($D$10:D617,1)," ")</f>
        <v xml:space="preserve"> </v>
      </c>
      <c r="B617" s="106" t="str">
        <f>COPY!AR609</f>
        <v/>
      </c>
      <c r="C617" s="107">
        <f>COPY!AC609</f>
        <v>0</v>
      </c>
      <c r="D617" s="107" t="str">
        <f>IF(LEN(Table1722[[#This Row],[Uraian]])&gt;2,1," ")</f>
        <v xml:space="preserve"> </v>
      </c>
      <c r="E617" s="113" t="str">
        <f>IF(Table1722[[#This Row],[Lawan Transaksi]]="CV AGUNG KARYA",COUNTIF($I$10:I617,"CV AGUNG KARYA")," ")</f>
        <v xml:space="preserve"> </v>
      </c>
      <c r="F617" s="107" t="str">
        <f>IF(LEN(Table1722[[#This Row],[Uraian]])&gt;2,TRIM(RIGHT(SUBSTITUTE(TRIM(C617)," ",REPT(" ",255)),255))," ")</f>
        <v xml:space="preserve"> </v>
      </c>
      <c r="G617" s="110">
        <f>COPY!Z609</f>
        <v>0</v>
      </c>
      <c r="H617" s="111" t="str">
        <f>IFERROR(VLOOKUP(Table1722[[#This Row],[Bukti]],'Un nOTA'!$A$4:$K$5003,10,FALSE),"")</f>
        <v/>
      </c>
      <c r="I617" s="112" t="str">
        <f>IFERROR(VLOOKUP(Table1722[[#This Row],[Bukti]],Table13[#Data],11,FALSE),"")</f>
        <v/>
      </c>
    </row>
    <row r="618" spans="1:9" ht="19.5" hidden="1" customHeight="1" x14ac:dyDescent="0.2">
      <c r="A618" s="105" t="str">
        <f>IF(D618=1,COUNTIF($D$10:D618,1)," ")</f>
        <v xml:space="preserve"> </v>
      </c>
      <c r="B618" s="106" t="str">
        <f>COPY!AR610</f>
        <v/>
      </c>
      <c r="C618" s="107">
        <f>COPY!AC610</f>
        <v>0</v>
      </c>
      <c r="D618" s="107" t="str">
        <f>IF(LEN(Table1722[[#This Row],[Uraian]])&gt;2,1," ")</f>
        <v xml:space="preserve"> </v>
      </c>
      <c r="E618" s="113" t="str">
        <f>IF(Table1722[[#This Row],[Lawan Transaksi]]="CV AGUNG KARYA",COUNTIF($I$10:I618,"CV AGUNG KARYA")," ")</f>
        <v xml:space="preserve"> </v>
      </c>
      <c r="F618" s="107" t="str">
        <f>IF(LEN(Table1722[[#This Row],[Uraian]])&gt;2,TRIM(RIGHT(SUBSTITUTE(TRIM(C618)," ",REPT(" ",255)),255))," ")</f>
        <v xml:space="preserve"> </v>
      </c>
      <c r="G618" s="110">
        <f>COPY!Z610</f>
        <v>0</v>
      </c>
      <c r="H618" s="111" t="str">
        <f>IFERROR(VLOOKUP(Table1722[[#This Row],[Bukti]],'Un nOTA'!$A$4:$K$5003,10,FALSE),"")</f>
        <v/>
      </c>
      <c r="I618" s="112" t="str">
        <f>IFERROR(VLOOKUP(Table1722[[#This Row],[Bukti]],Table13[#Data],11,FALSE),"")</f>
        <v/>
      </c>
    </row>
    <row r="619" spans="1:9" ht="19.5" hidden="1" customHeight="1" x14ac:dyDescent="0.2">
      <c r="A619" s="105" t="str">
        <f>IF(D619=1,COUNTIF($D$10:D619,1)," ")</f>
        <v xml:space="preserve"> </v>
      </c>
      <c r="B619" s="106" t="str">
        <f>COPY!AR611</f>
        <v/>
      </c>
      <c r="C619" s="107">
        <f>COPY!AC611</f>
        <v>0</v>
      </c>
      <c r="D619" s="107" t="str">
        <f>IF(LEN(Table1722[[#This Row],[Uraian]])&gt;2,1," ")</f>
        <v xml:space="preserve"> </v>
      </c>
      <c r="E619" s="113" t="str">
        <f>IF(Table1722[[#This Row],[Lawan Transaksi]]="CV AGUNG KARYA",COUNTIF($I$10:I619,"CV AGUNG KARYA")," ")</f>
        <v xml:space="preserve"> </v>
      </c>
      <c r="F619" s="107" t="str">
        <f>IF(LEN(Table1722[[#This Row],[Uraian]])&gt;2,TRIM(RIGHT(SUBSTITUTE(TRIM(C619)," ",REPT(" ",255)),255))," ")</f>
        <v xml:space="preserve"> </v>
      </c>
      <c r="G619" s="110">
        <f>COPY!Z611</f>
        <v>0</v>
      </c>
      <c r="H619" s="111" t="str">
        <f>IFERROR(VLOOKUP(Table1722[[#This Row],[Bukti]],'Un nOTA'!$A$4:$K$5003,10,FALSE),"")</f>
        <v/>
      </c>
      <c r="I619" s="112" t="str">
        <f>IFERROR(VLOOKUP(Table1722[[#This Row],[Bukti]],Table13[#Data],11,FALSE),"")</f>
        <v/>
      </c>
    </row>
    <row r="620" spans="1:9" ht="19.5" hidden="1" customHeight="1" x14ac:dyDescent="0.2">
      <c r="A620" s="105" t="str">
        <f>IF(D620=1,COUNTIF($D$10:D620,1)," ")</f>
        <v xml:space="preserve"> </v>
      </c>
      <c r="B620" s="106" t="str">
        <f>COPY!AR612</f>
        <v/>
      </c>
      <c r="C620" s="107">
        <f>COPY!AC612</f>
        <v>0</v>
      </c>
      <c r="D620" s="107" t="str">
        <f>IF(LEN(Table1722[[#This Row],[Uraian]])&gt;2,1," ")</f>
        <v xml:space="preserve"> </v>
      </c>
      <c r="E620" s="113" t="str">
        <f>IF(Table1722[[#This Row],[Lawan Transaksi]]="CV AGUNG KARYA",COUNTIF($I$10:I620,"CV AGUNG KARYA")," ")</f>
        <v xml:space="preserve"> </v>
      </c>
      <c r="F620" s="107" t="str">
        <f>IF(LEN(Table1722[[#This Row],[Uraian]])&gt;2,TRIM(RIGHT(SUBSTITUTE(TRIM(C620)," ",REPT(" ",255)),255))," ")</f>
        <v xml:space="preserve"> </v>
      </c>
      <c r="G620" s="110">
        <f>COPY!Z612</f>
        <v>0</v>
      </c>
      <c r="H620" s="111" t="str">
        <f>IFERROR(VLOOKUP(Table1722[[#This Row],[Bukti]],'Un nOTA'!$A$4:$K$5003,10,FALSE),"")</f>
        <v/>
      </c>
      <c r="I620" s="112" t="str">
        <f>IFERROR(VLOOKUP(Table1722[[#This Row],[Bukti]],Table13[#Data],11,FALSE),"")</f>
        <v/>
      </c>
    </row>
    <row r="621" spans="1:9" ht="19.5" hidden="1" customHeight="1" x14ac:dyDescent="0.2">
      <c r="A621" s="105" t="str">
        <f>IF(D621=1,COUNTIF($D$10:D621,1)," ")</f>
        <v xml:space="preserve"> </v>
      </c>
      <c r="B621" s="106" t="str">
        <f>COPY!AR613</f>
        <v/>
      </c>
      <c r="C621" s="107">
        <f>COPY!AC613</f>
        <v>0</v>
      </c>
      <c r="D621" s="107" t="str">
        <f>IF(LEN(Table1722[[#This Row],[Uraian]])&gt;2,1," ")</f>
        <v xml:space="preserve"> </v>
      </c>
      <c r="E621" s="113" t="str">
        <f>IF(Table1722[[#This Row],[Lawan Transaksi]]="CV AGUNG KARYA",COUNTIF($I$10:I621,"CV AGUNG KARYA")," ")</f>
        <v xml:space="preserve"> </v>
      </c>
      <c r="F621" s="107" t="str">
        <f>IF(LEN(Table1722[[#This Row],[Uraian]])&gt;2,TRIM(RIGHT(SUBSTITUTE(TRIM(C621)," ",REPT(" ",255)),255))," ")</f>
        <v xml:space="preserve"> </v>
      </c>
      <c r="G621" s="110">
        <f>COPY!Z613</f>
        <v>0</v>
      </c>
      <c r="H621" s="111" t="str">
        <f>IFERROR(VLOOKUP(Table1722[[#This Row],[Bukti]],'Un nOTA'!$A$4:$K$5003,10,FALSE),"")</f>
        <v/>
      </c>
      <c r="I621" s="112" t="str">
        <f>IFERROR(VLOOKUP(Table1722[[#This Row],[Bukti]],Table13[#Data],11,FALSE),"")</f>
        <v/>
      </c>
    </row>
    <row r="622" spans="1:9" ht="19.5" hidden="1" customHeight="1" x14ac:dyDescent="0.2">
      <c r="A622" s="105" t="str">
        <f>IF(D622=1,COUNTIF($D$10:D622,1)," ")</f>
        <v xml:space="preserve"> </v>
      </c>
      <c r="B622" s="106" t="str">
        <f>COPY!AR614</f>
        <v/>
      </c>
      <c r="C622" s="107">
        <f>COPY!AC614</f>
        <v>0</v>
      </c>
      <c r="D622" s="107" t="str">
        <f>IF(LEN(Table1722[[#This Row],[Uraian]])&gt;2,1," ")</f>
        <v xml:space="preserve"> </v>
      </c>
      <c r="E622" s="113" t="str">
        <f>IF(Table1722[[#This Row],[Lawan Transaksi]]="CV AGUNG KARYA",COUNTIF($I$10:I622,"CV AGUNG KARYA")," ")</f>
        <v xml:space="preserve"> </v>
      </c>
      <c r="F622" s="107" t="str">
        <f>IF(LEN(Table1722[[#This Row],[Uraian]])&gt;2,TRIM(RIGHT(SUBSTITUTE(TRIM(C622)," ",REPT(" ",255)),255))," ")</f>
        <v xml:space="preserve"> </v>
      </c>
      <c r="G622" s="110">
        <f>COPY!Z614</f>
        <v>0</v>
      </c>
      <c r="H622" s="111" t="str">
        <f>IFERROR(VLOOKUP(Table1722[[#This Row],[Bukti]],'Un nOTA'!$A$4:$K$5003,10,FALSE),"")</f>
        <v/>
      </c>
      <c r="I622" s="112" t="str">
        <f>IFERROR(VLOOKUP(Table1722[[#This Row],[Bukti]],Table13[#Data],11,FALSE),"")</f>
        <v/>
      </c>
    </row>
    <row r="623" spans="1:9" ht="19.5" hidden="1" customHeight="1" x14ac:dyDescent="0.2">
      <c r="A623" s="105" t="str">
        <f>IF(D623=1,COUNTIF($D$10:D623,1)," ")</f>
        <v xml:space="preserve"> </v>
      </c>
      <c r="B623" s="106" t="str">
        <f>COPY!AR615</f>
        <v/>
      </c>
      <c r="C623" s="107">
        <f>COPY!AC615</f>
        <v>0</v>
      </c>
      <c r="D623" s="107" t="str">
        <f>IF(LEN(Table1722[[#This Row],[Uraian]])&gt;2,1," ")</f>
        <v xml:space="preserve"> </v>
      </c>
      <c r="E623" s="113" t="str">
        <f>IF(Table1722[[#This Row],[Lawan Transaksi]]="CV AGUNG KARYA",COUNTIF($I$10:I623,"CV AGUNG KARYA")," ")</f>
        <v xml:space="preserve"> </v>
      </c>
      <c r="F623" s="107" t="str">
        <f>IF(LEN(Table1722[[#This Row],[Uraian]])&gt;2,TRIM(RIGHT(SUBSTITUTE(TRIM(C623)," ",REPT(" ",255)),255))," ")</f>
        <v xml:space="preserve"> </v>
      </c>
      <c r="G623" s="110">
        <f>COPY!Z615</f>
        <v>0</v>
      </c>
      <c r="H623" s="111" t="str">
        <f>IFERROR(VLOOKUP(Table1722[[#This Row],[Bukti]],'Un nOTA'!$A$4:$K$5003,10,FALSE),"")</f>
        <v/>
      </c>
      <c r="I623" s="112" t="str">
        <f>IFERROR(VLOOKUP(Table1722[[#This Row],[Bukti]],Table13[#Data],11,FALSE),"")</f>
        <v/>
      </c>
    </row>
    <row r="624" spans="1:9" ht="19.5" hidden="1" customHeight="1" x14ac:dyDescent="0.2">
      <c r="A624" s="105" t="str">
        <f>IF(D624=1,COUNTIF($D$10:D624,1)," ")</f>
        <v xml:space="preserve"> </v>
      </c>
      <c r="B624" s="106" t="str">
        <f>COPY!AR616</f>
        <v/>
      </c>
      <c r="C624" s="107">
        <f>COPY!AC616</f>
        <v>0</v>
      </c>
      <c r="D624" s="107" t="str">
        <f>IF(LEN(Table1722[[#This Row],[Uraian]])&gt;2,1," ")</f>
        <v xml:space="preserve"> </v>
      </c>
      <c r="E624" s="113" t="str">
        <f>IF(Table1722[[#This Row],[Lawan Transaksi]]="CV AGUNG KARYA",COUNTIF($I$10:I624,"CV AGUNG KARYA")," ")</f>
        <v xml:space="preserve"> </v>
      </c>
      <c r="F624" s="107" t="str">
        <f>IF(LEN(Table1722[[#This Row],[Uraian]])&gt;2,TRIM(RIGHT(SUBSTITUTE(TRIM(C624)," ",REPT(" ",255)),255))," ")</f>
        <v xml:space="preserve"> </v>
      </c>
      <c r="G624" s="110">
        <f>COPY!Z616</f>
        <v>0</v>
      </c>
      <c r="H624" s="111" t="str">
        <f>IFERROR(VLOOKUP(Table1722[[#This Row],[Bukti]],'Un nOTA'!$A$4:$K$5003,10,FALSE),"")</f>
        <v/>
      </c>
      <c r="I624" s="112" t="str">
        <f>IFERROR(VLOOKUP(Table1722[[#This Row],[Bukti]],Table13[#Data],11,FALSE),"")</f>
        <v/>
      </c>
    </row>
    <row r="625" spans="1:9" ht="19.5" hidden="1" customHeight="1" x14ac:dyDescent="0.2">
      <c r="A625" s="105" t="str">
        <f>IF(D625=1,COUNTIF($D$10:D625,1)," ")</f>
        <v xml:space="preserve"> </v>
      </c>
      <c r="B625" s="106" t="str">
        <f>COPY!AR617</f>
        <v/>
      </c>
      <c r="C625" s="107">
        <f>COPY!AC617</f>
        <v>0</v>
      </c>
      <c r="D625" s="107" t="str">
        <f>IF(LEN(Table1722[[#This Row],[Uraian]])&gt;2,1," ")</f>
        <v xml:space="preserve"> </v>
      </c>
      <c r="E625" s="113" t="str">
        <f>IF(Table1722[[#This Row],[Lawan Transaksi]]="CV AGUNG KARYA",COUNTIF($I$10:I625,"CV AGUNG KARYA")," ")</f>
        <v xml:space="preserve"> </v>
      </c>
      <c r="F625" s="107" t="str">
        <f>IF(LEN(Table1722[[#This Row],[Uraian]])&gt;2,TRIM(RIGHT(SUBSTITUTE(TRIM(C625)," ",REPT(" ",255)),255))," ")</f>
        <v xml:space="preserve"> </v>
      </c>
      <c r="G625" s="110">
        <f>COPY!Z617</f>
        <v>0</v>
      </c>
      <c r="H625" s="111" t="str">
        <f>IFERROR(VLOOKUP(Table1722[[#This Row],[Bukti]],'Un nOTA'!$A$4:$K$5003,10,FALSE),"")</f>
        <v/>
      </c>
      <c r="I625" s="112" t="str">
        <f>IFERROR(VLOOKUP(Table1722[[#This Row],[Bukti]],Table13[#Data],11,FALSE),"")</f>
        <v/>
      </c>
    </row>
    <row r="626" spans="1:9" ht="19.5" hidden="1" customHeight="1" x14ac:dyDescent="0.2">
      <c r="A626" s="105" t="str">
        <f>IF(D626=1,COUNTIF($D$10:D626,1)," ")</f>
        <v xml:space="preserve"> </v>
      </c>
      <c r="B626" s="106" t="str">
        <f>COPY!AR618</f>
        <v/>
      </c>
      <c r="C626" s="107">
        <f>COPY!AC618</f>
        <v>0</v>
      </c>
      <c r="D626" s="107" t="str">
        <f>IF(LEN(Table1722[[#This Row],[Uraian]])&gt;2,1," ")</f>
        <v xml:space="preserve"> </v>
      </c>
      <c r="E626" s="113" t="str">
        <f>IF(Table1722[[#This Row],[Lawan Transaksi]]="CV AGUNG KARYA",COUNTIF($I$10:I626,"CV AGUNG KARYA")," ")</f>
        <v xml:space="preserve"> </v>
      </c>
      <c r="F626" s="107" t="str">
        <f>IF(LEN(Table1722[[#This Row],[Uraian]])&gt;2,TRIM(RIGHT(SUBSTITUTE(TRIM(C626)," ",REPT(" ",255)),255))," ")</f>
        <v xml:space="preserve"> </v>
      </c>
      <c r="G626" s="110">
        <f>COPY!Z618</f>
        <v>0</v>
      </c>
      <c r="H626" s="111" t="str">
        <f>IFERROR(VLOOKUP(Table1722[[#This Row],[Bukti]],'Un nOTA'!$A$4:$K$5003,10,FALSE),"")</f>
        <v/>
      </c>
      <c r="I626" s="112" t="str">
        <f>IFERROR(VLOOKUP(Table1722[[#This Row],[Bukti]],Table13[#Data],11,FALSE),"")</f>
        <v/>
      </c>
    </row>
    <row r="627" spans="1:9" ht="19.5" hidden="1" customHeight="1" x14ac:dyDescent="0.2">
      <c r="A627" s="105" t="str">
        <f>IF(D627=1,COUNTIF($D$10:D627,1)," ")</f>
        <v xml:space="preserve"> </v>
      </c>
      <c r="B627" s="106" t="str">
        <f>COPY!AR619</f>
        <v/>
      </c>
      <c r="C627" s="107">
        <f>COPY!AC619</f>
        <v>0</v>
      </c>
      <c r="D627" s="107" t="str">
        <f>IF(LEN(Table1722[[#This Row],[Uraian]])&gt;2,1," ")</f>
        <v xml:space="preserve"> </v>
      </c>
      <c r="E627" s="113" t="str">
        <f>IF(Table1722[[#This Row],[Lawan Transaksi]]="CV AGUNG KARYA",COUNTIF($I$10:I627,"CV AGUNG KARYA")," ")</f>
        <v xml:space="preserve"> </v>
      </c>
      <c r="F627" s="107" t="str">
        <f>IF(LEN(Table1722[[#This Row],[Uraian]])&gt;2,TRIM(RIGHT(SUBSTITUTE(TRIM(C627)," ",REPT(" ",255)),255))," ")</f>
        <v xml:space="preserve"> </v>
      </c>
      <c r="G627" s="110">
        <f>COPY!Z619</f>
        <v>0</v>
      </c>
      <c r="H627" s="111" t="str">
        <f>IFERROR(VLOOKUP(Table1722[[#This Row],[Bukti]],'Un nOTA'!$A$4:$K$5003,10,FALSE),"")</f>
        <v/>
      </c>
      <c r="I627" s="112" t="str">
        <f>IFERROR(VLOOKUP(Table1722[[#This Row],[Bukti]],Table13[#Data],11,FALSE),"")</f>
        <v/>
      </c>
    </row>
    <row r="628" spans="1:9" ht="19.5" hidden="1" customHeight="1" x14ac:dyDescent="0.2">
      <c r="A628" s="105" t="str">
        <f>IF(D628=1,COUNTIF($D$10:D628,1)," ")</f>
        <v xml:space="preserve"> </v>
      </c>
      <c r="B628" s="106" t="str">
        <f>COPY!AR620</f>
        <v/>
      </c>
      <c r="C628" s="107">
        <f>COPY!AC620</f>
        <v>0</v>
      </c>
      <c r="D628" s="107" t="str">
        <f>IF(LEN(Table1722[[#This Row],[Uraian]])&gt;2,1," ")</f>
        <v xml:space="preserve"> </v>
      </c>
      <c r="E628" s="113" t="str">
        <f>IF(Table1722[[#This Row],[Lawan Transaksi]]="CV AGUNG KARYA",COUNTIF($I$10:I628,"CV AGUNG KARYA")," ")</f>
        <v xml:space="preserve"> </v>
      </c>
      <c r="F628" s="107" t="str">
        <f>IF(LEN(Table1722[[#This Row],[Uraian]])&gt;2,TRIM(RIGHT(SUBSTITUTE(TRIM(C628)," ",REPT(" ",255)),255))," ")</f>
        <v xml:space="preserve"> </v>
      </c>
      <c r="G628" s="110">
        <f>COPY!Z620</f>
        <v>0</v>
      </c>
      <c r="H628" s="111" t="str">
        <f>IFERROR(VLOOKUP(Table1722[[#This Row],[Bukti]],'Un nOTA'!$A$4:$K$5003,10,FALSE),"")</f>
        <v/>
      </c>
      <c r="I628" s="112" t="str">
        <f>IFERROR(VLOOKUP(Table1722[[#This Row],[Bukti]],Table13[#Data],11,FALSE),"")</f>
        <v/>
      </c>
    </row>
    <row r="629" spans="1:9" ht="19.5" hidden="1" customHeight="1" x14ac:dyDescent="0.2">
      <c r="A629" s="105" t="str">
        <f>IF(D629=1,COUNTIF($D$10:D629,1)," ")</f>
        <v xml:space="preserve"> </v>
      </c>
      <c r="B629" s="106" t="str">
        <f>COPY!AR621</f>
        <v/>
      </c>
      <c r="C629" s="107">
        <f>COPY!AC621</f>
        <v>0</v>
      </c>
      <c r="D629" s="107" t="str">
        <f>IF(LEN(Table1722[[#This Row],[Uraian]])&gt;2,1," ")</f>
        <v xml:space="preserve"> </v>
      </c>
      <c r="E629" s="113" t="str">
        <f>IF(Table1722[[#This Row],[Lawan Transaksi]]="CV AGUNG KARYA",COUNTIF($I$10:I629,"CV AGUNG KARYA")," ")</f>
        <v xml:space="preserve"> </v>
      </c>
      <c r="F629" s="107" t="str">
        <f>IF(LEN(Table1722[[#This Row],[Uraian]])&gt;2,TRIM(RIGHT(SUBSTITUTE(TRIM(C629)," ",REPT(" ",255)),255))," ")</f>
        <v xml:space="preserve"> </v>
      </c>
      <c r="G629" s="110">
        <f>COPY!Z621</f>
        <v>0</v>
      </c>
      <c r="H629" s="111" t="str">
        <f>IFERROR(VLOOKUP(Table1722[[#This Row],[Bukti]],'Un nOTA'!$A$4:$K$5003,10,FALSE),"")</f>
        <v/>
      </c>
      <c r="I629" s="112" t="str">
        <f>IFERROR(VLOOKUP(Table1722[[#This Row],[Bukti]],Table13[#Data],11,FALSE),"")</f>
        <v/>
      </c>
    </row>
    <row r="630" spans="1:9" ht="19.5" hidden="1" customHeight="1" x14ac:dyDescent="0.2">
      <c r="A630" s="105" t="str">
        <f>IF(D630=1,COUNTIF($D$10:D630,1)," ")</f>
        <v xml:space="preserve"> </v>
      </c>
      <c r="B630" s="106" t="str">
        <f>COPY!AR622</f>
        <v/>
      </c>
      <c r="C630" s="107">
        <f>COPY!AC622</f>
        <v>0</v>
      </c>
      <c r="D630" s="107" t="str">
        <f>IF(LEN(Table1722[[#This Row],[Uraian]])&gt;2,1," ")</f>
        <v xml:space="preserve"> </v>
      </c>
      <c r="E630" s="113" t="str">
        <f>IF(Table1722[[#This Row],[Lawan Transaksi]]="CV AGUNG KARYA",COUNTIF($I$10:I630,"CV AGUNG KARYA")," ")</f>
        <v xml:space="preserve"> </v>
      </c>
      <c r="F630" s="107" t="str">
        <f>IF(LEN(Table1722[[#This Row],[Uraian]])&gt;2,TRIM(RIGHT(SUBSTITUTE(TRIM(C630)," ",REPT(" ",255)),255))," ")</f>
        <v xml:space="preserve"> </v>
      </c>
      <c r="G630" s="110">
        <f>COPY!Z622</f>
        <v>0</v>
      </c>
      <c r="H630" s="111" t="str">
        <f>IFERROR(VLOOKUP(Table1722[[#This Row],[Bukti]],'Un nOTA'!$A$4:$K$5003,10,FALSE),"")</f>
        <v/>
      </c>
      <c r="I630" s="112" t="str">
        <f>IFERROR(VLOOKUP(Table1722[[#This Row],[Bukti]],Table13[#Data],11,FALSE),"")</f>
        <v/>
      </c>
    </row>
    <row r="631" spans="1:9" ht="19.5" hidden="1" customHeight="1" x14ac:dyDescent="0.2">
      <c r="A631" s="105" t="str">
        <f>IF(D631=1,COUNTIF($D$10:D631,1)," ")</f>
        <v xml:space="preserve"> </v>
      </c>
      <c r="B631" s="106" t="str">
        <f>COPY!AR623</f>
        <v/>
      </c>
      <c r="C631" s="107">
        <f>COPY!AC623</f>
        <v>0</v>
      </c>
      <c r="D631" s="107" t="str">
        <f>IF(LEN(Table1722[[#This Row],[Uraian]])&gt;2,1," ")</f>
        <v xml:space="preserve"> </v>
      </c>
      <c r="E631" s="113" t="str">
        <f>IF(Table1722[[#This Row],[Lawan Transaksi]]="CV AGUNG KARYA",COUNTIF($I$10:I631,"CV AGUNG KARYA")," ")</f>
        <v xml:space="preserve"> </v>
      </c>
      <c r="F631" s="107" t="str">
        <f>IF(LEN(Table1722[[#This Row],[Uraian]])&gt;2,TRIM(RIGHT(SUBSTITUTE(TRIM(C631)," ",REPT(" ",255)),255))," ")</f>
        <v xml:space="preserve"> </v>
      </c>
      <c r="G631" s="110">
        <f>COPY!Z623</f>
        <v>0</v>
      </c>
      <c r="H631" s="111" t="str">
        <f>IFERROR(VLOOKUP(Table1722[[#This Row],[Bukti]],'Un nOTA'!$A$4:$K$5003,10,FALSE),"")</f>
        <v/>
      </c>
      <c r="I631" s="112" t="str">
        <f>IFERROR(VLOOKUP(Table1722[[#This Row],[Bukti]],Table13[#Data],11,FALSE),"")</f>
        <v/>
      </c>
    </row>
    <row r="632" spans="1:9" ht="19.5" hidden="1" customHeight="1" x14ac:dyDescent="0.2">
      <c r="A632" s="105" t="str">
        <f>IF(D632=1,COUNTIF($D$10:D632,1)," ")</f>
        <v xml:space="preserve"> </v>
      </c>
      <c r="B632" s="106" t="str">
        <f>COPY!AR624</f>
        <v/>
      </c>
      <c r="C632" s="107">
        <f>COPY!AC624</f>
        <v>0</v>
      </c>
      <c r="D632" s="107" t="str">
        <f>IF(LEN(Table1722[[#This Row],[Uraian]])&gt;2,1," ")</f>
        <v xml:space="preserve"> </v>
      </c>
      <c r="E632" s="113" t="str">
        <f>IF(Table1722[[#This Row],[Lawan Transaksi]]="CV AGUNG KARYA",COUNTIF($I$10:I632,"CV AGUNG KARYA")," ")</f>
        <v xml:space="preserve"> </v>
      </c>
      <c r="F632" s="107" t="str">
        <f>IF(LEN(Table1722[[#This Row],[Uraian]])&gt;2,TRIM(RIGHT(SUBSTITUTE(TRIM(C632)," ",REPT(" ",255)),255))," ")</f>
        <v xml:space="preserve"> </v>
      </c>
      <c r="G632" s="110">
        <f>COPY!Z624</f>
        <v>0</v>
      </c>
      <c r="H632" s="111" t="str">
        <f>IFERROR(VLOOKUP(Table1722[[#This Row],[Bukti]],'Un nOTA'!$A$4:$K$5003,10,FALSE),"")</f>
        <v/>
      </c>
      <c r="I632" s="112" t="str">
        <f>IFERROR(VLOOKUP(Table1722[[#This Row],[Bukti]],Table13[#Data],11,FALSE),"")</f>
        <v/>
      </c>
    </row>
    <row r="633" spans="1:9" ht="19.5" hidden="1" customHeight="1" x14ac:dyDescent="0.2">
      <c r="A633" s="105" t="str">
        <f>IF(D633=1,COUNTIF($D$10:D633,1)," ")</f>
        <v xml:space="preserve"> </v>
      </c>
      <c r="B633" s="106" t="str">
        <f>COPY!AR625</f>
        <v/>
      </c>
      <c r="C633" s="107">
        <f>COPY!AC625</f>
        <v>0</v>
      </c>
      <c r="D633" s="107" t="str">
        <f>IF(LEN(Table1722[[#This Row],[Uraian]])&gt;2,1," ")</f>
        <v xml:space="preserve"> </v>
      </c>
      <c r="E633" s="113" t="str">
        <f>IF(Table1722[[#This Row],[Lawan Transaksi]]="CV AGUNG KARYA",COUNTIF($I$10:I633,"CV AGUNG KARYA")," ")</f>
        <v xml:space="preserve"> </v>
      </c>
      <c r="F633" s="107" t="str">
        <f>IF(LEN(Table1722[[#This Row],[Uraian]])&gt;2,TRIM(RIGHT(SUBSTITUTE(TRIM(C633)," ",REPT(" ",255)),255))," ")</f>
        <v xml:space="preserve"> </v>
      </c>
      <c r="G633" s="110">
        <f>COPY!Z625</f>
        <v>0</v>
      </c>
      <c r="H633" s="111" t="str">
        <f>IFERROR(VLOOKUP(Table1722[[#This Row],[Bukti]],'Un nOTA'!$A$4:$K$5003,10,FALSE),"")</f>
        <v/>
      </c>
      <c r="I633" s="112" t="str">
        <f>IFERROR(VLOOKUP(Table1722[[#This Row],[Bukti]],Table13[#Data],11,FALSE),"")</f>
        <v/>
      </c>
    </row>
    <row r="634" spans="1:9" ht="19.5" hidden="1" customHeight="1" x14ac:dyDescent="0.2">
      <c r="A634" s="105" t="str">
        <f>IF(D634=1,COUNTIF($D$10:D634,1)," ")</f>
        <v xml:space="preserve"> </v>
      </c>
      <c r="B634" s="106" t="str">
        <f>COPY!AR626</f>
        <v/>
      </c>
      <c r="C634" s="107">
        <f>COPY!AC626</f>
        <v>0</v>
      </c>
      <c r="D634" s="107" t="str">
        <f>IF(LEN(Table1722[[#This Row],[Uraian]])&gt;2,1," ")</f>
        <v xml:space="preserve"> </v>
      </c>
      <c r="E634" s="113" t="str">
        <f>IF(Table1722[[#This Row],[Lawan Transaksi]]="CV AGUNG KARYA",COUNTIF($I$10:I634,"CV AGUNG KARYA")," ")</f>
        <v xml:space="preserve"> </v>
      </c>
      <c r="F634" s="107" t="str">
        <f>IF(LEN(Table1722[[#This Row],[Uraian]])&gt;2,TRIM(RIGHT(SUBSTITUTE(TRIM(C634)," ",REPT(" ",255)),255))," ")</f>
        <v xml:space="preserve"> </v>
      </c>
      <c r="G634" s="110">
        <f>COPY!Z626</f>
        <v>0</v>
      </c>
      <c r="H634" s="111" t="str">
        <f>IFERROR(VLOOKUP(Table1722[[#This Row],[Bukti]],'Un nOTA'!$A$4:$K$5003,10,FALSE),"")</f>
        <v/>
      </c>
      <c r="I634" s="112" t="str">
        <f>IFERROR(VLOOKUP(Table1722[[#This Row],[Bukti]],Table13[#Data],11,FALSE),"")</f>
        <v/>
      </c>
    </row>
    <row r="635" spans="1:9" ht="19.5" hidden="1" customHeight="1" x14ac:dyDescent="0.2">
      <c r="A635" s="105" t="str">
        <f>IF(D635=1,COUNTIF($D$10:D635,1)," ")</f>
        <v xml:space="preserve"> </v>
      </c>
      <c r="B635" s="106" t="str">
        <f>COPY!AR627</f>
        <v/>
      </c>
      <c r="C635" s="107">
        <f>COPY!AC627</f>
        <v>0</v>
      </c>
      <c r="D635" s="107" t="str">
        <f>IF(LEN(Table1722[[#This Row],[Uraian]])&gt;2,1," ")</f>
        <v xml:space="preserve"> </v>
      </c>
      <c r="E635" s="113" t="str">
        <f>IF(Table1722[[#This Row],[Lawan Transaksi]]="CV AGUNG KARYA",COUNTIF($I$10:I635,"CV AGUNG KARYA")," ")</f>
        <v xml:space="preserve"> </v>
      </c>
      <c r="F635" s="107" t="str">
        <f>IF(LEN(Table1722[[#This Row],[Uraian]])&gt;2,TRIM(RIGHT(SUBSTITUTE(TRIM(C635)," ",REPT(" ",255)),255))," ")</f>
        <v xml:space="preserve"> </v>
      </c>
      <c r="G635" s="110">
        <f>COPY!Z627</f>
        <v>0</v>
      </c>
      <c r="H635" s="111" t="str">
        <f>IFERROR(VLOOKUP(Table1722[[#This Row],[Bukti]],'Un nOTA'!$A$4:$K$5003,10,FALSE),"")</f>
        <v/>
      </c>
      <c r="I635" s="112" t="str">
        <f>IFERROR(VLOOKUP(Table1722[[#This Row],[Bukti]],Table13[#Data],11,FALSE),"")</f>
        <v/>
      </c>
    </row>
    <row r="636" spans="1:9" ht="19.5" hidden="1" customHeight="1" x14ac:dyDescent="0.2">
      <c r="A636" s="105" t="str">
        <f>IF(D636=1,COUNTIF($D$10:D636,1)," ")</f>
        <v xml:space="preserve"> </v>
      </c>
      <c r="B636" s="106" t="str">
        <f>COPY!AR628</f>
        <v/>
      </c>
      <c r="C636" s="107">
        <f>COPY!AC628</f>
        <v>0</v>
      </c>
      <c r="D636" s="107" t="str">
        <f>IF(LEN(Table1722[[#This Row],[Uraian]])&gt;2,1," ")</f>
        <v xml:space="preserve"> </v>
      </c>
      <c r="E636" s="113" t="str">
        <f>IF(Table1722[[#This Row],[Lawan Transaksi]]="CV AGUNG KARYA",COUNTIF($I$10:I636,"CV AGUNG KARYA")," ")</f>
        <v xml:space="preserve"> </v>
      </c>
      <c r="F636" s="107" t="str">
        <f>IF(LEN(Table1722[[#This Row],[Uraian]])&gt;2,TRIM(RIGHT(SUBSTITUTE(TRIM(C636)," ",REPT(" ",255)),255))," ")</f>
        <v xml:space="preserve"> </v>
      </c>
      <c r="G636" s="110">
        <f>COPY!Z628</f>
        <v>0</v>
      </c>
      <c r="H636" s="111" t="str">
        <f>IFERROR(VLOOKUP(Table1722[[#This Row],[Bukti]],'Un nOTA'!$A$4:$K$5003,10,FALSE),"")</f>
        <v/>
      </c>
      <c r="I636" s="112" t="str">
        <f>IFERROR(VLOOKUP(Table1722[[#This Row],[Bukti]],Table13[#Data],11,FALSE),"")</f>
        <v/>
      </c>
    </row>
    <row r="637" spans="1:9" ht="19.5" hidden="1" customHeight="1" x14ac:dyDescent="0.2">
      <c r="A637" s="105" t="str">
        <f>IF(D637=1,COUNTIF($D$10:D637,1)," ")</f>
        <v xml:space="preserve"> </v>
      </c>
      <c r="B637" s="106" t="str">
        <f>COPY!AR629</f>
        <v/>
      </c>
      <c r="C637" s="107">
        <f>COPY!AC629</f>
        <v>0</v>
      </c>
      <c r="D637" s="107" t="str">
        <f>IF(LEN(Table1722[[#This Row],[Uraian]])&gt;2,1," ")</f>
        <v xml:space="preserve"> </v>
      </c>
      <c r="E637" s="113" t="str">
        <f>IF(Table1722[[#This Row],[Lawan Transaksi]]="CV AGUNG KARYA",COUNTIF($I$10:I637,"CV AGUNG KARYA")," ")</f>
        <v xml:space="preserve"> </v>
      </c>
      <c r="F637" s="107" t="str">
        <f>IF(LEN(Table1722[[#This Row],[Uraian]])&gt;2,TRIM(RIGHT(SUBSTITUTE(TRIM(C637)," ",REPT(" ",255)),255))," ")</f>
        <v xml:space="preserve"> </v>
      </c>
      <c r="G637" s="110">
        <f>COPY!Z629</f>
        <v>0</v>
      </c>
      <c r="H637" s="111" t="str">
        <f>IFERROR(VLOOKUP(Table1722[[#This Row],[Bukti]],'Un nOTA'!$A$4:$K$5003,10,FALSE),"")</f>
        <v/>
      </c>
      <c r="I637" s="112" t="str">
        <f>IFERROR(VLOOKUP(Table1722[[#This Row],[Bukti]],Table13[#Data],11,FALSE),"")</f>
        <v/>
      </c>
    </row>
    <row r="638" spans="1:9" ht="19.5" hidden="1" customHeight="1" x14ac:dyDescent="0.2">
      <c r="A638" s="105" t="str">
        <f>IF(D638=1,COUNTIF($D$10:D638,1)," ")</f>
        <v xml:space="preserve"> </v>
      </c>
      <c r="B638" s="106" t="str">
        <f>COPY!AR630</f>
        <v/>
      </c>
      <c r="C638" s="107">
        <f>COPY!AC630</f>
        <v>0</v>
      </c>
      <c r="D638" s="107" t="str">
        <f>IF(LEN(Table1722[[#This Row],[Uraian]])&gt;2,1," ")</f>
        <v xml:space="preserve"> </v>
      </c>
      <c r="E638" s="113" t="str">
        <f>IF(Table1722[[#This Row],[Lawan Transaksi]]="CV AGUNG KARYA",COUNTIF($I$10:I638,"CV AGUNG KARYA")," ")</f>
        <v xml:space="preserve"> </v>
      </c>
      <c r="F638" s="107" t="str">
        <f>IF(LEN(Table1722[[#This Row],[Uraian]])&gt;2,TRIM(RIGHT(SUBSTITUTE(TRIM(C638)," ",REPT(" ",255)),255))," ")</f>
        <v xml:space="preserve"> </v>
      </c>
      <c r="G638" s="110">
        <f>COPY!Z630</f>
        <v>0</v>
      </c>
      <c r="H638" s="111" t="str">
        <f>IFERROR(VLOOKUP(Table1722[[#This Row],[Bukti]],'Un nOTA'!$A$4:$K$5003,10,FALSE),"")</f>
        <v/>
      </c>
      <c r="I638" s="112" t="str">
        <f>IFERROR(VLOOKUP(Table1722[[#This Row],[Bukti]],Table13[#Data],11,FALSE),"")</f>
        <v/>
      </c>
    </row>
    <row r="639" spans="1:9" ht="19.5" hidden="1" customHeight="1" x14ac:dyDescent="0.2">
      <c r="A639" s="105" t="str">
        <f>IF(D639=1,COUNTIF($D$10:D639,1)," ")</f>
        <v xml:space="preserve"> </v>
      </c>
      <c r="B639" s="106" t="str">
        <f>COPY!AR631</f>
        <v/>
      </c>
      <c r="C639" s="107">
        <f>COPY!AC631</f>
        <v>0</v>
      </c>
      <c r="D639" s="107" t="str">
        <f>IF(LEN(Table1722[[#This Row],[Uraian]])&gt;2,1," ")</f>
        <v xml:space="preserve"> </v>
      </c>
      <c r="E639" s="113" t="str">
        <f>IF(Table1722[[#This Row],[Lawan Transaksi]]="CV AGUNG KARYA",COUNTIF($I$10:I639,"CV AGUNG KARYA")," ")</f>
        <v xml:space="preserve"> </v>
      </c>
      <c r="F639" s="107" t="str">
        <f>IF(LEN(Table1722[[#This Row],[Uraian]])&gt;2,TRIM(RIGHT(SUBSTITUTE(TRIM(C639)," ",REPT(" ",255)),255))," ")</f>
        <v xml:space="preserve"> </v>
      </c>
      <c r="G639" s="110">
        <f>COPY!Z631</f>
        <v>0</v>
      </c>
      <c r="H639" s="111" t="str">
        <f>IFERROR(VLOOKUP(Table1722[[#This Row],[Bukti]],'Un nOTA'!$A$4:$K$5003,10,FALSE),"")</f>
        <v/>
      </c>
      <c r="I639" s="112" t="str">
        <f>IFERROR(VLOOKUP(Table1722[[#This Row],[Bukti]],Table13[#Data],11,FALSE),"")</f>
        <v/>
      </c>
    </row>
    <row r="640" spans="1:9" ht="19.5" hidden="1" customHeight="1" x14ac:dyDescent="0.2">
      <c r="A640" s="105" t="str">
        <f>IF(D640=1,COUNTIF($D$10:D640,1)," ")</f>
        <v xml:space="preserve"> </v>
      </c>
      <c r="B640" s="106" t="str">
        <f>COPY!AR632</f>
        <v/>
      </c>
      <c r="C640" s="107">
        <f>COPY!AC632</f>
        <v>0</v>
      </c>
      <c r="D640" s="107" t="str">
        <f>IF(LEN(Table1722[[#This Row],[Uraian]])&gt;2,1," ")</f>
        <v xml:space="preserve"> </v>
      </c>
      <c r="E640" s="113" t="str">
        <f>IF(Table1722[[#This Row],[Lawan Transaksi]]="CV AGUNG KARYA",COUNTIF($I$10:I640,"CV AGUNG KARYA")," ")</f>
        <v xml:space="preserve"> </v>
      </c>
      <c r="F640" s="107" t="str">
        <f>IF(LEN(Table1722[[#This Row],[Uraian]])&gt;2,TRIM(RIGHT(SUBSTITUTE(TRIM(C640)," ",REPT(" ",255)),255))," ")</f>
        <v xml:space="preserve"> </v>
      </c>
      <c r="G640" s="110">
        <f>COPY!Z632</f>
        <v>0</v>
      </c>
      <c r="H640" s="111" t="str">
        <f>IFERROR(VLOOKUP(Table1722[[#This Row],[Bukti]],'Un nOTA'!$A$4:$K$5003,10,FALSE),"")</f>
        <v/>
      </c>
      <c r="I640" s="112" t="str">
        <f>IFERROR(VLOOKUP(Table1722[[#This Row],[Bukti]],Table13[#Data],11,FALSE),"")</f>
        <v/>
      </c>
    </row>
    <row r="641" spans="1:9" ht="19.5" hidden="1" customHeight="1" x14ac:dyDescent="0.2">
      <c r="A641" s="105" t="str">
        <f>IF(D641=1,COUNTIF($D$10:D641,1)," ")</f>
        <v xml:space="preserve"> </v>
      </c>
      <c r="B641" s="106" t="str">
        <f>COPY!AR633</f>
        <v/>
      </c>
      <c r="C641" s="107">
        <f>COPY!AC633</f>
        <v>0</v>
      </c>
      <c r="D641" s="107" t="str">
        <f>IF(LEN(Table1722[[#This Row],[Uraian]])&gt;2,1," ")</f>
        <v xml:space="preserve"> </v>
      </c>
      <c r="E641" s="113" t="str">
        <f>IF(Table1722[[#This Row],[Lawan Transaksi]]="CV AGUNG KARYA",COUNTIF($I$10:I641,"CV AGUNG KARYA")," ")</f>
        <v xml:space="preserve"> </v>
      </c>
      <c r="F641" s="107" t="str">
        <f>IF(LEN(Table1722[[#This Row],[Uraian]])&gt;2,TRIM(RIGHT(SUBSTITUTE(TRIM(C641)," ",REPT(" ",255)),255))," ")</f>
        <v xml:space="preserve"> </v>
      </c>
      <c r="G641" s="110">
        <f>COPY!Z633</f>
        <v>0</v>
      </c>
      <c r="H641" s="111" t="str">
        <f>IFERROR(VLOOKUP(Table1722[[#This Row],[Bukti]],'Un nOTA'!$A$4:$K$5003,10,FALSE),"")</f>
        <v/>
      </c>
      <c r="I641" s="112" t="str">
        <f>IFERROR(VLOOKUP(Table1722[[#This Row],[Bukti]],Table13[#Data],11,FALSE),"")</f>
        <v/>
      </c>
    </row>
    <row r="642" spans="1:9" ht="19.5" hidden="1" customHeight="1" x14ac:dyDescent="0.2">
      <c r="A642" s="105" t="str">
        <f>IF(D642=1,COUNTIF($D$10:D642,1)," ")</f>
        <v xml:space="preserve"> </v>
      </c>
      <c r="B642" s="106" t="str">
        <f>COPY!AR634</f>
        <v/>
      </c>
      <c r="C642" s="107">
        <f>COPY!AC634</f>
        <v>0</v>
      </c>
      <c r="D642" s="107" t="str">
        <f>IF(LEN(Table1722[[#This Row],[Uraian]])&gt;2,1," ")</f>
        <v xml:space="preserve"> </v>
      </c>
      <c r="E642" s="113" t="str">
        <f>IF(Table1722[[#This Row],[Lawan Transaksi]]="CV AGUNG KARYA",COUNTIF($I$10:I642,"CV AGUNG KARYA")," ")</f>
        <v xml:space="preserve"> </v>
      </c>
      <c r="F642" s="107" t="str">
        <f>IF(LEN(Table1722[[#This Row],[Uraian]])&gt;2,TRIM(RIGHT(SUBSTITUTE(TRIM(C642)," ",REPT(" ",255)),255))," ")</f>
        <v xml:space="preserve"> </v>
      </c>
      <c r="G642" s="110">
        <f>COPY!Z634</f>
        <v>0</v>
      </c>
      <c r="H642" s="111" t="str">
        <f>IFERROR(VLOOKUP(Table1722[[#This Row],[Bukti]],'Un nOTA'!$A$4:$K$5003,10,FALSE),"")</f>
        <v/>
      </c>
      <c r="I642" s="112" t="str">
        <f>IFERROR(VLOOKUP(Table1722[[#This Row],[Bukti]],Table13[#Data],11,FALSE),"")</f>
        <v/>
      </c>
    </row>
    <row r="643" spans="1:9" ht="19.5" hidden="1" customHeight="1" x14ac:dyDescent="0.2">
      <c r="A643" s="105" t="str">
        <f>IF(D643=1,COUNTIF($D$10:D643,1)," ")</f>
        <v xml:space="preserve"> </v>
      </c>
      <c r="B643" s="106" t="str">
        <f>COPY!AR635</f>
        <v/>
      </c>
      <c r="C643" s="107">
        <f>COPY!AC635</f>
        <v>0</v>
      </c>
      <c r="D643" s="107" t="str">
        <f>IF(LEN(Table1722[[#This Row],[Uraian]])&gt;2,1," ")</f>
        <v xml:space="preserve"> </v>
      </c>
      <c r="E643" s="113" t="str">
        <f>IF(Table1722[[#This Row],[Lawan Transaksi]]="CV AGUNG KARYA",COUNTIF($I$10:I643,"CV AGUNG KARYA")," ")</f>
        <v xml:space="preserve"> </v>
      </c>
      <c r="F643" s="107" t="str">
        <f>IF(LEN(Table1722[[#This Row],[Uraian]])&gt;2,TRIM(RIGHT(SUBSTITUTE(TRIM(C643)," ",REPT(" ",255)),255))," ")</f>
        <v xml:space="preserve"> </v>
      </c>
      <c r="G643" s="110">
        <f>COPY!Z635</f>
        <v>0</v>
      </c>
      <c r="H643" s="111" t="str">
        <f>IFERROR(VLOOKUP(Table1722[[#This Row],[Bukti]],'Un nOTA'!$A$4:$K$5003,10,FALSE),"")</f>
        <v/>
      </c>
      <c r="I643" s="112" t="str">
        <f>IFERROR(VLOOKUP(Table1722[[#This Row],[Bukti]],Table13[#Data],11,FALSE),"")</f>
        <v/>
      </c>
    </row>
    <row r="644" spans="1:9" ht="19.5" hidden="1" customHeight="1" x14ac:dyDescent="0.2">
      <c r="A644" s="105" t="str">
        <f>IF(D644=1,COUNTIF($D$10:D644,1)," ")</f>
        <v xml:space="preserve"> </v>
      </c>
      <c r="B644" s="106" t="str">
        <f>COPY!AR636</f>
        <v/>
      </c>
      <c r="C644" s="107">
        <f>COPY!AC636</f>
        <v>0</v>
      </c>
      <c r="D644" s="107" t="str">
        <f>IF(LEN(Table1722[[#This Row],[Uraian]])&gt;2,1," ")</f>
        <v xml:space="preserve"> </v>
      </c>
      <c r="E644" s="113" t="str">
        <f>IF(Table1722[[#This Row],[Lawan Transaksi]]="CV AGUNG KARYA",COUNTIF($I$10:I644,"CV AGUNG KARYA")," ")</f>
        <v xml:space="preserve"> </v>
      </c>
      <c r="F644" s="107" t="str">
        <f>IF(LEN(Table1722[[#This Row],[Uraian]])&gt;2,TRIM(RIGHT(SUBSTITUTE(TRIM(C644)," ",REPT(" ",255)),255))," ")</f>
        <v xml:space="preserve"> </v>
      </c>
      <c r="G644" s="110">
        <f>COPY!Z636</f>
        <v>0</v>
      </c>
      <c r="H644" s="111" t="str">
        <f>IFERROR(VLOOKUP(Table1722[[#This Row],[Bukti]],'Un nOTA'!$A$4:$K$5003,10,FALSE),"")</f>
        <v/>
      </c>
      <c r="I644" s="112" t="str">
        <f>IFERROR(VLOOKUP(Table1722[[#This Row],[Bukti]],Table13[#Data],11,FALSE),"")</f>
        <v/>
      </c>
    </row>
    <row r="645" spans="1:9" ht="19.5" hidden="1" customHeight="1" x14ac:dyDescent="0.2">
      <c r="A645" s="105" t="str">
        <f>IF(D645=1,COUNTIF($D$10:D645,1)," ")</f>
        <v xml:space="preserve"> </v>
      </c>
      <c r="B645" s="106" t="str">
        <f>COPY!AR637</f>
        <v/>
      </c>
      <c r="C645" s="107">
        <f>COPY!AC637</f>
        <v>0</v>
      </c>
      <c r="D645" s="107" t="str">
        <f>IF(LEN(Table1722[[#This Row],[Uraian]])&gt;2,1," ")</f>
        <v xml:space="preserve"> </v>
      </c>
      <c r="E645" s="113" t="str">
        <f>IF(Table1722[[#This Row],[Lawan Transaksi]]="CV AGUNG KARYA",COUNTIF($I$10:I645,"CV AGUNG KARYA")," ")</f>
        <v xml:space="preserve"> </v>
      </c>
      <c r="F645" s="107" t="str">
        <f>IF(LEN(Table1722[[#This Row],[Uraian]])&gt;2,TRIM(RIGHT(SUBSTITUTE(TRIM(C645)," ",REPT(" ",255)),255))," ")</f>
        <v xml:space="preserve"> </v>
      </c>
      <c r="G645" s="110">
        <f>COPY!Z637</f>
        <v>0</v>
      </c>
      <c r="H645" s="111" t="str">
        <f>IFERROR(VLOOKUP(Table1722[[#This Row],[Bukti]],'Un nOTA'!$A$4:$K$5003,10,FALSE),"")</f>
        <v/>
      </c>
      <c r="I645" s="112" t="str">
        <f>IFERROR(VLOOKUP(Table1722[[#This Row],[Bukti]],Table13[#Data],11,FALSE),"")</f>
        <v/>
      </c>
    </row>
    <row r="646" spans="1:9" ht="19.5" hidden="1" customHeight="1" x14ac:dyDescent="0.2">
      <c r="A646" s="114" t="str">
        <f>IF(D646=1,COUNTIF($D$10:D646,1)," ")</f>
        <v xml:space="preserve"> </v>
      </c>
      <c r="B646" s="115" t="str">
        <f>COPY!AR638</f>
        <v/>
      </c>
      <c r="C646" s="116">
        <f>COPY!AC638</f>
        <v>0</v>
      </c>
      <c r="D646" s="107" t="str">
        <f>IF(LEN(Table1722[[#This Row],[Uraian]])&gt;2,1," ")</f>
        <v xml:space="preserve"> </v>
      </c>
      <c r="E646" s="117" t="str">
        <f>IF(Table1722[[#This Row],[Lawan Transaksi]]="CV AGUNG KARYA",COUNTIF($I$10:I646,"CV AGUNG KARYA")," ")</f>
        <v xml:space="preserve"> </v>
      </c>
      <c r="F646" s="116" t="str">
        <f>IF(LEN(Table1722[[#This Row],[Uraian]])&gt;2,TRIM(RIGHT(SUBSTITUTE(TRIM(C646)," ",REPT(" ",255)),255))," ")</f>
        <v xml:space="preserve"> </v>
      </c>
      <c r="G646" s="118">
        <f>COPY!Z638</f>
        <v>0</v>
      </c>
      <c r="H646" s="119" t="str">
        <f>IFERROR(VLOOKUP(Table1722[[#This Row],[Bukti]],'Un nOTA'!$A$4:$K$5003,10,FALSE),"")</f>
        <v/>
      </c>
      <c r="I646" s="112" t="str">
        <f>IFERROR(VLOOKUP(Table1722[[#This Row],[Bukti]],Table13[#Data],11,FALSE),"")</f>
        <v/>
      </c>
    </row>
    <row r="647" spans="1:9" ht="19.5" hidden="1" customHeight="1" x14ac:dyDescent="0.2">
      <c r="A647" s="105" t="str">
        <f>IF(D647=1,COUNTIF($D$10:D647,1)," ")</f>
        <v xml:space="preserve"> </v>
      </c>
      <c r="B647" s="106" t="str">
        <f>COPY!AR639</f>
        <v/>
      </c>
      <c r="C647" s="107">
        <f>COPY!AC639</f>
        <v>0</v>
      </c>
      <c r="D647" s="108" t="str">
        <f>IF(LEN(Table1722[[#This Row],[Uraian]])&gt;2,1," ")</f>
        <v xml:space="preserve"> </v>
      </c>
      <c r="E647" s="109" t="str">
        <f>IF(Table1722[[#This Row],[Lawan Transaksi]]="CV AGUNG KARYA",COUNTIF($I$10:I647,"CV AGUNG KARYA")," ")</f>
        <v xml:space="preserve"> </v>
      </c>
      <c r="F647" s="107" t="str">
        <f>IF(LEN(Table1722[[#This Row],[Uraian]])&gt;2,TRIM(RIGHT(SUBSTITUTE(TRIM(C647)," ",REPT(" ",255)),255))," ")</f>
        <v xml:space="preserve"> </v>
      </c>
      <c r="G647" s="110">
        <f>COPY!Z639</f>
        <v>0</v>
      </c>
      <c r="H647" s="111" t="str">
        <f>IFERROR(VLOOKUP(Table1722[[#This Row],[Bukti]],'Un nOTA'!$A$4:$K$5003,10,FALSE),"")</f>
        <v/>
      </c>
      <c r="I647" s="112" t="str">
        <f>IFERROR(VLOOKUP(Table1722[[#This Row],[Bukti]],Table13[#Data],11,FALSE),"")</f>
        <v/>
      </c>
    </row>
    <row r="648" spans="1:9" ht="19.5" hidden="1" customHeight="1" x14ac:dyDescent="0.2">
      <c r="A648" s="105" t="str">
        <f>IF(D648=1,COUNTIF($D$10:D648,1)," ")</f>
        <v xml:space="preserve"> </v>
      </c>
      <c r="B648" s="106" t="str">
        <f>COPY!AR640</f>
        <v/>
      </c>
      <c r="C648" s="107">
        <f>COPY!AC640</f>
        <v>0</v>
      </c>
      <c r="D648" s="108" t="str">
        <f>IF(LEN(Table1722[[#This Row],[Uraian]])&gt;2,1," ")</f>
        <v xml:space="preserve"> </v>
      </c>
      <c r="E648" s="109" t="str">
        <f>IF(Table1722[[#This Row],[Lawan Transaksi]]="CV AGUNG KARYA",COUNTIF($I$10:I648,"CV AGUNG KARYA")," ")</f>
        <v xml:space="preserve"> </v>
      </c>
      <c r="F648" s="107" t="str">
        <f>IF(LEN(Table1722[[#This Row],[Uraian]])&gt;2,TRIM(RIGHT(SUBSTITUTE(TRIM(C648)," ",REPT(" ",255)),255))," ")</f>
        <v xml:space="preserve"> </v>
      </c>
      <c r="G648" s="110">
        <f>COPY!Z640</f>
        <v>0</v>
      </c>
      <c r="H648" s="111" t="str">
        <f>IFERROR(VLOOKUP(Table1722[[#This Row],[Bukti]],'Un nOTA'!$A$4:$K$5003,10,FALSE),"")</f>
        <v/>
      </c>
      <c r="I648" s="112" t="str">
        <f>IFERROR(VLOOKUP(Table1722[[#This Row],[Bukti]],Table13[#Data],11,FALSE),"")</f>
        <v/>
      </c>
    </row>
    <row r="649" spans="1:9" ht="19.5" hidden="1" customHeight="1" x14ac:dyDescent="0.2">
      <c r="A649" s="105" t="str">
        <f>IF(D649=1,COUNTIF($D$10:D649,1)," ")</f>
        <v xml:space="preserve"> </v>
      </c>
      <c r="B649" s="106" t="str">
        <f>COPY!AR641</f>
        <v/>
      </c>
      <c r="C649" s="107">
        <f>COPY!AC641</f>
        <v>0</v>
      </c>
      <c r="D649" s="107" t="str">
        <f>IF(LEN(Table1722[[#This Row],[Uraian]])&gt;2,1," ")</f>
        <v xml:space="preserve"> </v>
      </c>
      <c r="E649" s="113" t="str">
        <f>IF(Table1722[[#This Row],[Lawan Transaksi]]="CV AGUNG KARYA",COUNTIF($I$10:I649,"CV AGUNG KARYA")," ")</f>
        <v xml:space="preserve"> </v>
      </c>
      <c r="F649" s="107" t="str">
        <f>IF(LEN(Table1722[[#This Row],[Uraian]])&gt;2,TRIM(RIGHT(SUBSTITUTE(TRIM(C649)," ",REPT(" ",255)),255))," ")</f>
        <v xml:space="preserve"> </v>
      </c>
      <c r="G649" s="110">
        <f>COPY!Z641</f>
        <v>0</v>
      </c>
      <c r="H649" s="111" t="str">
        <f>IFERROR(VLOOKUP(Table1722[[#This Row],[Bukti]],'Un nOTA'!$A$4:$K$5003,10,FALSE),"")</f>
        <v/>
      </c>
      <c r="I649" s="112" t="str">
        <f>IFERROR(VLOOKUP(Table1722[[#This Row],[Bukti]],Table13[#Data],11,FALSE),"")</f>
        <v/>
      </c>
    </row>
    <row r="650" spans="1:9" ht="19.5" hidden="1" customHeight="1" x14ac:dyDescent="0.2">
      <c r="A650" s="105" t="str">
        <f>IF(D650=1,COUNTIF($D$10:D650,1)," ")</f>
        <v xml:space="preserve"> </v>
      </c>
      <c r="B650" s="106" t="str">
        <f>COPY!AR642</f>
        <v/>
      </c>
      <c r="C650" s="107">
        <f>COPY!AC642</f>
        <v>0</v>
      </c>
      <c r="D650" s="107" t="str">
        <f>IF(LEN(Table1722[[#This Row],[Uraian]])&gt;2,1," ")</f>
        <v xml:space="preserve"> </v>
      </c>
      <c r="E650" s="113" t="str">
        <f>IF(Table1722[[#This Row],[Lawan Transaksi]]="CV AGUNG KARYA",COUNTIF($I$10:I650,"CV AGUNG KARYA")," ")</f>
        <v xml:space="preserve"> </v>
      </c>
      <c r="F650" s="107" t="str">
        <f>IF(LEN(Table1722[[#This Row],[Uraian]])&gt;2,TRIM(RIGHT(SUBSTITUTE(TRIM(C650)," ",REPT(" ",255)),255))," ")</f>
        <v xml:space="preserve"> </v>
      </c>
      <c r="G650" s="110">
        <f>COPY!Z642</f>
        <v>0</v>
      </c>
      <c r="H650" s="111" t="str">
        <f>IFERROR(VLOOKUP(Table1722[[#This Row],[Bukti]],'Un nOTA'!$A$4:$K$5003,10,FALSE),"")</f>
        <v/>
      </c>
      <c r="I650" s="112" t="str">
        <f>IFERROR(VLOOKUP(Table1722[[#This Row],[Bukti]],Table13[#Data],11,FALSE),"")</f>
        <v/>
      </c>
    </row>
    <row r="651" spans="1:9" ht="19.5" hidden="1" customHeight="1" x14ac:dyDescent="0.2">
      <c r="A651" s="105" t="str">
        <f>IF(D651=1,COUNTIF($D$10:D651,1)," ")</f>
        <v xml:space="preserve"> </v>
      </c>
      <c r="B651" s="106" t="str">
        <f>COPY!AR643</f>
        <v/>
      </c>
      <c r="C651" s="107">
        <f>COPY!AC643</f>
        <v>0</v>
      </c>
      <c r="D651" s="107" t="str">
        <f>IF(LEN(Table1722[[#This Row],[Uraian]])&gt;2,1," ")</f>
        <v xml:space="preserve"> </v>
      </c>
      <c r="E651" s="113" t="str">
        <f>IF(Table1722[[#This Row],[Lawan Transaksi]]="CV AGUNG KARYA",COUNTIF($I$10:I651,"CV AGUNG KARYA")," ")</f>
        <v xml:space="preserve"> </v>
      </c>
      <c r="F651" s="107" t="str">
        <f>IF(LEN(Table1722[[#This Row],[Uraian]])&gt;2,TRIM(RIGHT(SUBSTITUTE(TRIM(C651)," ",REPT(" ",255)),255))," ")</f>
        <v xml:space="preserve"> </v>
      </c>
      <c r="G651" s="110">
        <f>COPY!Z643</f>
        <v>0</v>
      </c>
      <c r="H651" s="111" t="str">
        <f>IFERROR(VLOOKUP(Table1722[[#This Row],[Bukti]],'Un nOTA'!$A$4:$K$5003,10,FALSE),"")</f>
        <v/>
      </c>
      <c r="I651" s="112" t="str">
        <f>IFERROR(VLOOKUP(Table1722[[#This Row],[Bukti]],Table13[#Data],11,FALSE),"")</f>
        <v/>
      </c>
    </row>
    <row r="652" spans="1:9" ht="19.5" hidden="1" customHeight="1" x14ac:dyDescent="0.2">
      <c r="A652" s="105" t="str">
        <f>IF(D652=1,COUNTIF($D$10:D652,1)," ")</f>
        <v xml:space="preserve"> </v>
      </c>
      <c r="B652" s="106" t="str">
        <f>COPY!AR644</f>
        <v/>
      </c>
      <c r="C652" s="107">
        <f>COPY!AC644</f>
        <v>0</v>
      </c>
      <c r="D652" s="107" t="str">
        <f>IF(LEN(Table1722[[#This Row],[Uraian]])&gt;2,1," ")</f>
        <v xml:space="preserve"> </v>
      </c>
      <c r="E652" s="113" t="str">
        <f>IF(Table1722[[#This Row],[Lawan Transaksi]]="CV AGUNG KARYA",COUNTIF($I$10:I652,"CV AGUNG KARYA")," ")</f>
        <v xml:space="preserve"> </v>
      </c>
      <c r="F652" s="107" t="str">
        <f>IF(LEN(Table1722[[#This Row],[Uraian]])&gt;2,TRIM(RIGHT(SUBSTITUTE(TRIM(C652)," ",REPT(" ",255)),255))," ")</f>
        <v xml:space="preserve"> </v>
      </c>
      <c r="G652" s="110">
        <f>COPY!Z644</f>
        <v>0</v>
      </c>
      <c r="H652" s="111" t="str">
        <f>IFERROR(VLOOKUP(Table1722[[#This Row],[Bukti]],'Un nOTA'!$A$4:$K$5003,10,FALSE),"")</f>
        <v/>
      </c>
      <c r="I652" s="112" t="str">
        <f>IFERROR(VLOOKUP(Table1722[[#This Row],[Bukti]],Table13[#Data],11,FALSE),"")</f>
        <v/>
      </c>
    </row>
    <row r="653" spans="1:9" ht="19.5" hidden="1" customHeight="1" x14ac:dyDescent="0.2">
      <c r="A653" s="105" t="str">
        <f>IF(D653=1,COUNTIF($D$10:D653,1)," ")</f>
        <v xml:space="preserve"> </v>
      </c>
      <c r="B653" s="106" t="str">
        <f>COPY!AR645</f>
        <v/>
      </c>
      <c r="C653" s="107">
        <f>COPY!AC645</f>
        <v>0</v>
      </c>
      <c r="D653" s="107" t="str">
        <f>IF(LEN(Table1722[[#This Row],[Uraian]])&gt;2,1," ")</f>
        <v xml:space="preserve"> </v>
      </c>
      <c r="E653" s="113" t="str">
        <f>IF(Table1722[[#This Row],[Lawan Transaksi]]="CV AGUNG KARYA",COUNTIF($I$10:I653,"CV AGUNG KARYA")," ")</f>
        <v xml:space="preserve"> </v>
      </c>
      <c r="F653" s="107" t="str">
        <f>IF(LEN(Table1722[[#This Row],[Uraian]])&gt;2,TRIM(RIGHT(SUBSTITUTE(TRIM(C653)," ",REPT(" ",255)),255))," ")</f>
        <v xml:space="preserve"> </v>
      </c>
      <c r="G653" s="110">
        <f>COPY!Z645</f>
        <v>0</v>
      </c>
      <c r="H653" s="111" t="str">
        <f>IFERROR(VLOOKUP(Table1722[[#This Row],[Bukti]],'Un nOTA'!$A$4:$K$5003,10,FALSE),"")</f>
        <v/>
      </c>
      <c r="I653" s="112" t="str">
        <f>IFERROR(VLOOKUP(Table1722[[#This Row],[Bukti]],Table13[#Data],11,FALSE),"")</f>
        <v/>
      </c>
    </row>
    <row r="654" spans="1:9" ht="19.5" hidden="1" customHeight="1" x14ac:dyDescent="0.2">
      <c r="A654" s="105" t="str">
        <f>IF(D654=1,COUNTIF($D$10:D654,1)," ")</f>
        <v xml:space="preserve"> </v>
      </c>
      <c r="B654" s="106" t="str">
        <f>COPY!AR646</f>
        <v/>
      </c>
      <c r="C654" s="107">
        <f>COPY!AC646</f>
        <v>0</v>
      </c>
      <c r="D654" s="107" t="str">
        <f>IF(LEN(Table1722[[#This Row],[Uraian]])&gt;2,1," ")</f>
        <v xml:space="preserve"> </v>
      </c>
      <c r="E654" s="113" t="str">
        <f>IF(Table1722[[#This Row],[Lawan Transaksi]]="CV AGUNG KARYA",COUNTIF($I$10:I654,"CV AGUNG KARYA")," ")</f>
        <v xml:space="preserve"> </v>
      </c>
      <c r="F654" s="107" t="str">
        <f>IF(LEN(Table1722[[#This Row],[Uraian]])&gt;2,TRIM(RIGHT(SUBSTITUTE(TRIM(C654)," ",REPT(" ",255)),255))," ")</f>
        <v xml:space="preserve"> </v>
      </c>
      <c r="G654" s="110">
        <f>COPY!Z646</f>
        <v>0</v>
      </c>
      <c r="H654" s="111" t="str">
        <f>IFERROR(VLOOKUP(Table1722[[#This Row],[Bukti]],'Un nOTA'!$A$4:$K$5003,10,FALSE),"")</f>
        <v/>
      </c>
      <c r="I654" s="112" t="str">
        <f>IFERROR(VLOOKUP(Table1722[[#This Row],[Bukti]],Table13[#Data],11,FALSE),"")</f>
        <v/>
      </c>
    </row>
    <row r="655" spans="1:9" ht="19.5" hidden="1" customHeight="1" x14ac:dyDescent="0.2">
      <c r="A655" s="105" t="str">
        <f>IF(D655=1,COUNTIF($D$10:D655,1)," ")</f>
        <v xml:space="preserve"> </v>
      </c>
      <c r="B655" s="106" t="str">
        <f>COPY!AR647</f>
        <v/>
      </c>
      <c r="C655" s="107">
        <f>COPY!AC647</f>
        <v>0</v>
      </c>
      <c r="D655" s="107" t="str">
        <f>IF(LEN(Table1722[[#This Row],[Uraian]])&gt;2,1," ")</f>
        <v xml:space="preserve"> </v>
      </c>
      <c r="E655" s="113" t="str">
        <f>IF(Table1722[[#This Row],[Lawan Transaksi]]="CV AGUNG KARYA",COUNTIF($I$10:I655,"CV AGUNG KARYA")," ")</f>
        <v xml:space="preserve"> </v>
      </c>
      <c r="F655" s="107" t="str">
        <f>IF(LEN(Table1722[[#This Row],[Uraian]])&gt;2,TRIM(RIGHT(SUBSTITUTE(TRIM(C655)," ",REPT(" ",255)),255))," ")</f>
        <v xml:space="preserve"> </v>
      </c>
      <c r="G655" s="110">
        <f>COPY!Z647</f>
        <v>0</v>
      </c>
      <c r="H655" s="111" t="str">
        <f>IFERROR(VLOOKUP(Table1722[[#This Row],[Bukti]],'Un nOTA'!$A$4:$K$5003,10,FALSE),"")</f>
        <v/>
      </c>
      <c r="I655" s="112" t="str">
        <f>IFERROR(VLOOKUP(Table1722[[#This Row],[Bukti]],Table13[#Data],11,FALSE),"")</f>
        <v/>
      </c>
    </row>
    <row r="656" spans="1:9" ht="19.5" hidden="1" customHeight="1" x14ac:dyDescent="0.2">
      <c r="A656" s="105" t="str">
        <f>IF(D656=1,COUNTIF($D$10:D656,1)," ")</f>
        <v xml:space="preserve"> </v>
      </c>
      <c r="B656" s="106" t="str">
        <f>COPY!AR648</f>
        <v/>
      </c>
      <c r="C656" s="107">
        <f>COPY!AC648</f>
        <v>0</v>
      </c>
      <c r="D656" s="107" t="str">
        <f>IF(LEN(Table1722[[#This Row],[Uraian]])&gt;2,1," ")</f>
        <v xml:space="preserve"> </v>
      </c>
      <c r="E656" s="113" t="str">
        <f>IF(Table1722[[#This Row],[Lawan Transaksi]]="CV AGUNG KARYA",COUNTIF($I$10:I656,"CV AGUNG KARYA")," ")</f>
        <v xml:space="preserve"> </v>
      </c>
      <c r="F656" s="107" t="str">
        <f>IF(LEN(Table1722[[#This Row],[Uraian]])&gt;2,TRIM(RIGHT(SUBSTITUTE(TRIM(C656)," ",REPT(" ",255)),255))," ")</f>
        <v xml:space="preserve"> </v>
      </c>
      <c r="G656" s="110">
        <f>COPY!Z648</f>
        <v>0</v>
      </c>
      <c r="H656" s="111" t="str">
        <f>IFERROR(VLOOKUP(Table1722[[#This Row],[Bukti]],'Un nOTA'!$A$4:$K$5003,10,FALSE),"")</f>
        <v/>
      </c>
      <c r="I656" s="112" t="str">
        <f>IFERROR(VLOOKUP(Table1722[[#This Row],[Bukti]],Table13[#Data],11,FALSE),"")</f>
        <v/>
      </c>
    </row>
    <row r="657" spans="1:9" ht="19.5" hidden="1" customHeight="1" x14ac:dyDescent="0.2">
      <c r="A657" s="105" t="str">
        <f>IF(D657=1,COUNTIF($D$10:D657,1)," ")</f>
        <v xml:space="preserve"> </v>
      </c>
      <c r="B657" s="106" t="str">
        <f>COPY!AR649</f>
        <v/>
      </c>
      <c r="C657" s="107">
        <f>COPY!AC649</f>
        <v>0</v>
      </c>
      <c r="D657" s="107" t="str">
        <f>IF(LEN(Table1722[[#This Row],[Uraian]])&gt;2,1," ")</f>
        <v xml:space="preserve"> </v>
      </c>
      <c r="E657" s="113" t="str">
        <f>IF(Table1722[[#This Row],[Lawan Transaksi]]="CV AGUNG KARYA",COUNTIF($I$10:I657,"CV AGUNG KARYA")," ")</f>
        <v xml:space="preserve"> </v>
      </c>
      <c r="F657" s="107" t="str">
        <f>IF(LEN(Table1722[[#This Row],[Uraian]])&gt;2,TRIM(RIGHT(SUBSTITUTE(TRIM(C657)," ",REPT(" ",255)),255))," ")</f>
        <v xml:space="preserve"> </v>
      </c>
      <c r="G657" s="110">
        <f>COPY!Z649</f>
        <v>0</v>
      </c>
      <c r="H657" s="111" t="str">
        <f>IFERROR(VLOOKUP(Table1722[[#This Row],[Bukti]],'Un nOTA'!$A$4:$K$5003,10,FALSE),"")</f>
        <v/>
      </c>
      <c r="I657" s="112" t="str">
        <f>IFERROR(VLOOKUP(Table1722[[#This Row],[Bukti]],Table13[#Data],11,FALSE),"")</f>
        <v/>
      </c>
    </row>
    <row r="658" spans="1:9" ht="19.5" hidden="1" customHeight="1" x14ac:dyDescent="0.2">
      <c r="A658" s="105" t="str">
        <f>IF(D658=1,COUNTIF($D$10:D658,1)," ")</f>
        <v xml:space="preserve"> </v>
      </c>
      <c r="B658" s="106" t="str">
        <f>COPY!AR650</f>
        <v/>
      </c>
      <c r="C658" s="107">
        <f>COPY!AC650</f>
        <v>0</v>
      </c>
      <c r="D658" s="107" t="str">
        <f>IF(LEN(Table1722[[#This Row],[Uraian]])&gt;2,1," ")</f>
        <v xml:space="preserve"> </v>
      </c>
      <c r="E658" s="113" t="str">
        <f>IF(Table1722[[#This Row],[Lawan Transaksi]]="CV AGUNG KARYA",COUNTIF($I$10:I658,"CV AGUNG KARYA")," ")</f>
        <v xml:space="preserve"> </v>
      </c>
      <c r="F658" s="107" t="str">
        <f>IF(LEN(Table1722[[#This Row],[Uraian]])&gt;2,TRIM(RIGHT(SUBSTITUTE(TRIM(C658)," ",REPT(" ",255)),255))," ")</f>
        <v xml:space="preserve"> </v>
      </c>
      <c r="G658" s="110">
        <f>COPY!Z650</f>
        <v>0</v>
      </c>
      <c r="H658" s="111" t="str">
        <f>IFERROR(VLOOKUP(Table1722[[#This Row],[Bukti]],'Un nOTA'!$A$4:$K$5003,10,FALSE),"")</f>
        <v/>
      </c>
      <c r="I658" s="112" t="str">
        <f>IFERROR(VLOOKUP(Table1722[[#This Row],[Bukti]],Table13[#Data],11,FALSE),"")</f>
        <v/>
      </c>
    </row>
    <row r="659" spans="1:9" ht="19.5" hidden="1" customHeight="1" x14ac:dyDescent="0.2">
      <c r="A659" s="105" t="str">
        <f>IF(D659=1,COUNTIF($D$10:D659,1)," ")</f>
        <v xml:space="preserve"> </v>
      </c>
      <c r="B659" s="106" t="str">
        <f>COPY!AR651</f>
        <v/>
      </c>
      <c r="C659" s="107">
        <f>COPY!AC651</f>
        <v>0</v>
      </c>
      <c r="D659" s="107" t="str">
        <f>IF(LEN(Table1722[[#This Row],[Uraian]])&gt;2,1," ")</f>
        <v xml:space="preserve"> </v>
      </c>
      <c r="E659" s="113" t="str">
        <f>IF(Table1722[[#This Row],[Lawan Transaksi]]="CV AGUNG KARYA",COUNTIF($I$10:I659,"CV AGUNG KARYA")," ")</f>
        <v xml:space="preserve"> </v>
      </c>
      <c r="F659" s="107" t="str">
        <f>IF(LEN(Table1722[[#This Row],[Uraian]])&gt;2,TRIM(RIGHT(SUBSTITUTE(TRIM(C659)," ",REPT(" ",255)),255))," ")</f>
        <v xml:space="preserve"> </v>
      </c>
      <c r="G659" s="110">
        <f>COPY!Z651</f>
        <v>0</v>
      </c>
      <c r="H659" s="111" t="str">
        <f>IFERROR(VLOOKUP(Table1722[[#This Row],[Bukti]],'Un nOTA'!$A$4:$K$5003,10,FALSE),"")</f>
        <v/>
      </c>
      <c r="I659" s="112" t="str">
        <f>IFERROR(VLOOKUP(Table1722[[#This Row],[Bukti]],Table13[#Data],11,FALSE),"")</f>
        <v/>
      </c>
    </row>
    <row r="660" spans="1:9" ht="19.5" hidden="1" customHeight="1" x14ac:dyDescent="0.2">
      <c r="A660" s="105" t="str">
        <f>IF(D660=1,COUNTIF($D$10:D660,1)," ")</f>
        <v xml:space="preserve"> </v>
      </c>
      <c r="B660" s="106" t="str">
        <f>COPY!AR652</f>
        <v/>
      </c>
      <c r="C660" s="107">
        <f>COPY!AC652</f>
        <v>0</v>
      </c>
      <c r="D660" s="107" t="str">
        <f>IF(LEN(Table1722[[#This Row],[Uraian]])&gt;2,1," ")</f>
        <v xml:space="preserve"> </v>
      </c>
      <c r="E660" s="113" t="str">
        <f>IF(Table1722[[#This Row],[Lawan Transaksi]]="CV AGUNG KARYA",COUNTIF($I$10:I660,"CV AGUNG KARYA")," ")</f>
        <v xml:space="preserve"> </v>
      </c>
      <c r="F660" s="107" t="str">
        <f>IF(LEN(Table1722[[#This Row],[Uraian]])&gt;2,TRIM(RIGHT(SUBSTITUTE(TRIM(C660)," ",REPT(" ",255)),255))," ")</f>
        <v xml:space="preserve"> </v>
      </c>
      <c r="G660" s="110">
        <f>COPY!Z652</f>
        <v>0</v>
      </c>
      <c r="H660" s="111" t="str">
        <f>IFERROR(VLOOKUP(Table1722[[#This Row],[Bukti]],'Un nOTA'!$A$4:$K$5003,10,FALSE),"")</f>
        <v/>
      </c>
      <c r="I660" s="112" t="str">
        <f>IFERROR(VLOOKUP(Table1722[[#This Row],[Bukti]],Table13[#Data],11,FALSE),"")</f>
        <v/>
      </c>
    </row>
    <row r="661" spans="1:9" ht="19.5" hidden="1" customHeight="1" x14ac:dyDescent="0.2">
      <c r="A661" s="105" t="str">
        <f>IF(D661=1,COUNTIF($D$10:D661,1)," ")</f>
        <v xml:space="preserve"> </v>
      </c>
      <c r="B661" s="106" t="str">
        <f>COPY!AR653</f>
        <v/>
      </c>
      <c r="C661" s="107">
        <f>COPY!AC653</f>
        <v>0</v>
      </c>
      <c r="D661" s="107" t="str">
        <f>IF(LEN(Table1722[[#This Row],[Uraian]])&gt;2,1," ")</f>
        <v xml:space="preserve"> </v>
      </c>
      <c r="E661" s="113" t="str">
        <f>IF(Table1722[[#This Row],[Lawan Transaksi]]="CV AGUNG KARYA",COUNTIF($I$10:I661,"CV AGUNG KARYA")," ")</f>
        <v xml:space="preserve"> </v>
      </c>
      <c r="F661" s="107" t="str">
        <f>IF(LEN(Table1722[[#This Row],[Uraian]])&gt;2,TRIM(RIGHT(SUBSTITUTE(TRIM(C661)," ",REPT(" ",255)),255))," ")</f>
        <v xml:space="preserve"> </v>
      </c>
      <c r="G661" s="110">
        <f>COPY!Z653</f>
        <v>0</v>
      </c>
      <c r="H661" s="111" t="str">
        <f>IFERROR(VLOOKUP(Table1722[[#This Row],[Bukti]],'Un nOTA'!$A$4:$K$5003,10,FALSE),"")</f>
        <v/>
      </c>
      <c r="I661" s="112" t="str">
        <f>IFERROR(VLOOKUP(Table1722[[#This Row],[Bukti]],Table13[#Data],11,FALSE),"")</f>
        <v/>
      </c>
    </row>
    <row r="662" spans="1:9" ht="19.5" hidden="1" customHeight="1" x14ac:dyDescent="0.2">
      <c r="A662" s="105" t="str">
        <f>IF(D662=1,COUNTIF($D$10:D662,1)," ")</f>
        <v xml:space="preserve"> </v>
      </c>
      <c r="B662" s="106" t="str">
        <f>COPY!AR654</f>
        <v/>
      </c>
      <c r="C662" s="107">
        <f>COPY!AC654</f>
        <v>0</v>
      </c>
      <c r="D662" s="107" t="str">
        <f>IF(LEN(Table1722[[#This Row],[Uraian]])&gt;2,1," ")</f>
        <v xml:space="preserve"> </v>
      </c>
      <c r="E662" s="113" t="str">
        <f>IF(Table1722[[#This Row],[Lawan Transaksi]]="CV AGUNG KARYA",COUNTIF($I$10:I662,"CV AGUNG KARYA")," ")</f>
        <v xml:space="preserve"> </v>
      </c>
      <c r="F662" s="107" t="str">
        <f>IF(LEN(Table1722[[#This Row],[Uraian]])&gt;2,TRIM(RIGHT(SUBSTITUTE(TRIM(C662)," ",REPT(" ",255)),255))," ")</f>
        <v xml:space="preserve"> </v>
      </c>
      <c r="G662" s="110">
        <f>COPY!Z654</f>
        <v>0</v>
      </c>
      <c r="H662" s="111" t="str">
        <f>IFERROR(VLOOKUP(Table1722[[#This Row],[Bukti]],'Un nOTA'!$A$4:$K$5003,10,FALSE),"")</f>
        <v/>
      </c>
      <c r="I662" s="112" t="str">
        <f>IFERROR(VLOOKUP(Table1722[[#This Row],[Bukti]],Table13[#Data],11,FALSE),"")</f>
        <v/>
      </c>
    </row>
    <row r="663" spans="1:9" ht="19.5" hidden="1" customHeight="1" x14ac:dyDescent="0.2">
      <c r="A663" s="105" t="str">
        <f>IF(D663=1,COUNTIF($D$10:D663,1)," ")</f>
        <v xml:space="preserve"> </v>
      </c>
      <c r="B663" s="106" t="str">
        <f>COPY!AR655</f>
        <v/>
      </c>
      <c r="C663" s="107">
        <f>COPY!AC655</f>
        <v>0</v>
      </c>
      <c r="D663" s="107" t="str">
        <f>IF(LEN(Table1722[[#This Row],[Uraian]])&gt;2,1," ")</f>
        <v xml:space="preserve"> </v>
      </c>
      <c r="E663" s="113" t="str">
        <f>IF(Table1722[[#This Row],[Lawan Transaksi]]="CV AGUNG KARYA",COUNTIF($I$10:I663,"CV AGUNG KARYA")," ")</f>
        <v xml:space="preserve"> </v>
      </c>
      <c r="F663" s="107" t="str">
        <f>IF(LEN(Table1722[[#This Row],[Uraian]])&gt;2,TRIM(RIGHT(SUBSTITUTE(TRIM(C663)," ",REPT(" ",255)),255))," ")</f>
        <v xml:space="preserve"> </v>
      </c>
      <c r="G663" s="110">
        <f>COPY!Z655</f>
        <v>0</v>
      </c>
      <c r="H663" s="111" t="str">
        <f>IFERROR(VLOOKUP(Table1722[[#This Row],[Bukti]],'Un nOTA'!$A$4:$K$5003,10,FALSE),"")</f>
        <v/>
      </c>
      <c r="I663" s="112" t="str">
        <f>IFERROR(VLOOKUP(Table1722[[#This Row],[Bukti]],Table13[#Data],11,FALSE),"")</f>
        <v/>
      </c>
    </row>
    <row r="664" spans="1:9" ht="19.5" hidden="1" customHeight="1" x14ac:dyDescent="0.2">
      <c r="A664" s="105" t="str">
        <f>IF(D664=1,COUNTIF($D$10:D664,1)," ")</f>
        <v xml:space="preserve"> </v>
      </c>
      <c r="B664" s="106" t="str">
        <f>COPY!AR656</f>
        <v/>
      </c>
      <c r="C664" s="107">
        <f>COPY!AC656</f>
        <v>0</v>
      </c>
      <c r="D664" s="107" t="str">
        <f>IF(LEN(Table1722[[#This Row],[Uraian]])&gt;2,1," ")</f>
        <v xml:space="preserve"> </v>
      </c>
      <c r="E664" s="113" t="str">
        <f>IF(Table1722[[#This Row],[Lawan Transaksi]]="CV AGUNG KARYA",COUNTIF($I$10:I664,"CV AGUNG KARYA")," ")</f>
        <v xml:space="preserve"> </v>
      </c>
      <c r="F664" s="107" t="str">
        <f>IF(LEN(Table1722[[#This Row],[Uraian]])&gt;2,TRIM(RIGHT(SUBSTITUTE(TRIM(C664)," ",REPT(" ",255)),255))," ")</f>
        <v xml:space="preserve"> </v>
      </c>
      <c r="G664" s="110">
        <f>COPY!Z656</f>
        <v>0</v>
      </c>
      <c r="H664" s="111" t="str">
        <f>IFERROR(VLOOKUP(Table1722[[#This Row],[Bukti]],'Un nOTA'!$A$4:$K$5003,10,FALSE),"")</f>
        <v/>
      </c>
      <c r="I664" s="112" t="str">
        <f>IFERROR(VLOOKUP(Table1722[[#This Row],[Bukti]],Table13[#Data],11,FALSE),"")</f>
        <v/>
      </c>
    </row>
    <row r="665" spans="1:9" ht="19.5" hidden="1" customHeight="1" x14ac:dyDescent="0.2">
      <c r="A665" s="105" t="str">
        <f>IF(D665=1,COUNTIF($D$10:D665,1)," ")</f>
        <v xml:space="preserve"> </v>
      </c>
      <c r="B665" s="106" t="str">
        <f>COPY!AR657</f>
        <v/>
      </c>
      <c r="C665" s="107">
        <f>COPY!AC657</f>
        <v>0</v>
      </c>
      <c r="D665" s="107" t="str">
        <f>IF(LEN(Table1722[[#This Row],[Uraian]])&gt;2,1," ")</f>
        <v xml:space="preserve"> </v>
      </c>
      <c r="E665" s="113" t="str">
        <f>IF(Table1722[[#This Row],[Lawan Transaksi]]="CV AGUNG KARYA",COUNTIF($I$10:I665,"CV AGUNG KARYA")," ")</f>
        <v xml:space="preserve"> </v>
      </c>
      <c r="F665" s="107" t="str">
        <f>IF(LEN(Table1722[[#This Row],[Uraian]])&gt;2,TRIM(RIGHT(SUBSTITUTE(TRIM(C665)," ",REPT(" ",255)),255))," ")</f>
        <v xml:space="preserve"> </v>
      </c>
      <c r="G665" s="110">
        <f>COPY!Z657</f>
        <v>0</v>
      </c>
      <c r="H665" s="111" t="str">
        <f>IFERROR(VLOOKUP(Table1722[[#This Row],[Bukti]],'Un nOTA'!$A$4:$K$5003,10,FALSE),"")</f>
        <v/>
      </c>
      <c r="I665" s="112" t="str">
        <f>IFERROR(VLOOKUP(Table1722[[#This Row],[Bukti]],Table13[#Data],11,FALSE),"")</f>
        <v/>
      </c>
    </row>
    <row r="666" spans="1:9" ht="19.5" hidden="1" customHeight="1" x14ac:dyDescent="0.2">
      <c r="A666" s="105" t="str">
        <f>IF(D666=1,COUNTIF($D$10:D666,1)," ")</f>
        <v xml:space="preserve"> </v>
      </c>
      <c r="B666" s="106" t="str">
        <f>COPY!AR658</f>
        <v/>
      </c>
      <c r="C666" s="107">
        <f>COPY!AC658</f>
        <v>0</v>
      </c>
      <c r="D666" s="107" t="str">
        <f>IF(LEN(Table1722[[#This Row],[Uraian]])&gt;2,1," ")</f>
        <v xml:space="preserve"> </v>
      </c>
      <c r="E666" s="113" t="str">
        <f>IF(Table1722[[#This Row],[Lawan Transaksi]]="CV AGUNG KARYA",COUNTIF($I$10:I666,"CV AGUNG KARYA")," ")</f>
        <v xml:space="preserve"> </v>
      </c>
      <c r="F666" s="107" t="str">
        <f>IF(LEN(Table1722[[#This Row],[Uraian]])&gt;2,TRIM(RIGHT(SUBSTITUTE(TRIM(C666)," ",REPT(" ",255)),255))," ")</f>
        <v xml:space="preserve"> </v>
      </c>
      <c r="G666" s="110">
        <f>COPY!Z658</f>
        <v>0</v>
      </c>
      <c r="H666" s="111" t="str">
        <f>IFERROR(VLOOKUP(Table1722[[#This Row],[Bukti]],'Un nOTA'!$A$4:$K$5003,10,FALSE),"")</f>
        <v/>
      </c>
      <c r="I666" s="112" t="str">
        <f>IFERROR(VLOOKUP(Table1722[[#This Row],[Bukti]],Table13[#Data],11,FALSE),"")</f>
        <v/>
      </c>
    </row>
    <row r="667" spans="1:9" ht="19.5" hidden="1" customHeight="1" x14ac:dyDescent="0.2">
      <c r="A667" s="105" t="str">
        <f>IF(D667=1,COUNTIF($D$10:D667,1)," ")</f>
        <v xml:space="preserve"> </v>
      </c>
      <c r="B667" s="106" t="str">
        <f>COPY!AR659</f>
        <v/>
      </c>
      <c r="C667" s="107">
        <f>COPY!AC659</f>
        <v>0</v>
      </c>
      <c r="D667" s="107" t="str">
        <f>IF(LEN(Table1722[[#This Row],[Uraian]])&gt;2,1," ")</f>
        <v xml:space="preserve"> </v>
      </c>
      <c r="E667" s="113" t="str">
        <f>IF(Table1722[[#This Row],[Lawan Transaksi]]="CV AGUNG KARYA",COUNTIF($I$10:I667,"CV AGUNG KARYA")," ")</f>
        <v xml:space="preserve"> </v>
      </c>
      <c r="F667" s="107" t="str">
        <f>IF(LEN(Table1722[[#This Row],[Uraian]])&gt;2,TRIM(RIGHT(SUBSTITUTE(TRIM(C667)," ",REPT(" ",255)),255))," ")</f>
        <v xml:space="preserve"> </v>
      </c>
      <c r="G667" s="110">
        <f>COPY!Z659</f>
        <v>0</v>
      </c>
      <c r="H667" s="111" t="str">
        <f>IFERROR(VLOOKUP(Table1722[[#This Row],[Bukti]],'Un nOTA'!$A$4:$K$5003,10,FALSE),"")</f>
        <v/>
      </c>
      <c r="I667" s="112" t="str">
        <f>IFERROR(VLOOKUP(Table1722[[#This Row],[Bukti]],Table13[#Data],11,FALSE),"")</f>
        <v/>
      </c>
    </row>
    <row r="668" spans="1:9" ht="19.5" hidden="1" customHeight="1" x14ac:dyDescent="0.2">
      <c r="A668" s="105" t="str">
        <f>IF(D668=1,COUNTIF($D$10:D668,1)," ")</f>
        <v xml:space="preserve"> </v>
      </c>
      <c r="B668" s="106" t="str">
        <f>COPY!AR660</f>
        <v/>
      </c>
      <c r="C668" s="107">
        <f>COPY!AC660</f>
        <v>0</v>
      </c>
      <c r="D668" s="107" t="str">
        <f>IF(LEN(Table1722[[#This Row],[Uraian]])&gt;2,1," ")</f>
        <v xml:space="preserve"> </v>
      </c>
      <c r="E668" s="113" t="str">
        <f>IF(Table1722[[#This Row],[Lawan Transaksi]]="CV AGUNG KARYA",COUNTIF($I$10:I668,"CV AGUNG KARYA")," ")</f>
        <v xml:space="preserve"> </v>
      </c>
      <c r="F668" s="107" t="str">
        <f>IF(LEN(Table1722[[#This Row],[Uraian]])&gt;2,TRIM(RIGHT(SUBSTITUTE(TRIM(C668)," ",REPT(" ",255)),255))," ")</f>
        <v xml:space="preserve"> </v>
      </c>
      <c r="G668" s="110">
        <f>COPY!Z660</f>
        <v>0</v>
      </c>
      <c r="H668" s="111" t="str">
        <f>IFERROR(VLOOKUP(Table1722[[#This Row],[Bukti]],'Un nOTA'!$A$4:$K$5003,10,FALSE),"")</f>
        <v/>
      </c>
      <c r="I668" s="112" t="str">
        <f>IFERROR(VLOOKUP(Table1722[[#This Row],[Bukti]],Table13[#Data],11,FALSE),"")</f>
        <v/>
      </c>
    </row>
    <row r="669" spans="1:9" ht="19.5" hidden="1" customHeight="1" x14ac:dyDescent="0.2">
      <c r="A669" s="105" t="str">
        <f>IF(D669=1,COUNTIF($D$10:D669,1)," ")</f>
        <v xml:space="preserve"> </v>
      </c>
      <c r="B669" s="106" t="str">
        <f>COPY!AR661</f>
        <v/>
      </c>
      <c r="C669" s="107">
        <f>COPY!AC661</f>
        <v>0</v>
      </c>
      <c r="D669" s="107" t="str">
        <f>IF(LEN(Table1722[[#This Row],[Uraian]])&gt;2,1," ")</f>
        <v xml:space="preserve"> </v>
      </c>
      <c r="E669" s="113" t="str">
        <f>IF(Table1722[[#This Row],[Lawan Transaksi]]="CV AGUNG KARYA",COUNTIF($I$10:I669,"CV AGUNG KARYA")," ")</f>
        <v xml:space="preserve"> </v>
      </c>
      <c r="F669" s="107" t="str">
        <f>IF(LEN(Table1722[[#This Row],[Uraian]])&gt;2,TRIM(RIGHT(SUBSTITUTE(TRIM(C669)," ",REPT(" ",255)),255))," ")</f>
        <v xml:space="preserve"> </v>
      </c>
      <c r="G669" s="110">
        <f>COPY!Z661</f>
        <v>0</v>
      </c>
      <c r="H669" s="111" t="str">
        <f>IFERROR(VLOOKUP(Table1722[[#This Row],[Bukti]],'Un nOTA'!$A$4:$K$5003,10,FALSE),"")</f>
        <v/>
      </c>
      <c r="I669" s="112" t="str">
        <f>IFERROR(VLOOKUP(Table1722[[#This Row],[Bukti]],Table13[#Data],11,FALSE),"")</f>
        <v/>
      </c>
    </row>
    <row r="670" spans="1:9" ht="19.5" hidden="1" customHeight="1" x14ac:dyDescent="0.2">
      <c r="A670" s="105" t="str">
        <f>IF(D670=1,COUNTIF($D$10:D670,1)," ")</f>
        <v xml:space="preserve"> </v>
      </c>
      <c r="B670" s="106" t="str">
        <f>COPY!AR662</f>
        <v/>
      </c>
      <c r="C670" s="107">
        <f>COPY!AC662</f>
        <v>0</v>
      </c>
      <c r="D670" s="107" t="str">
        <f>IF(LEN(Table1722[[#This Row],[Uraian]])&gt;2,1," ")</f>
        <v xml:space="preserve"> </v>
      </c>
      <c r="E670" s="113" t="str">
        <f>IF(Table1722[[#This Row],[Lawan Transaksi]]="CV AGUNG KARYA",COUNTIF($I$10:I670,"CV AGUNG KARYA")," ")</f>
        <v xml:space="preserve"> </v>
      </c>
      <c r="F670" s="107" t="str">
        <f>IF(LEN(Table1722[[#This Row],[Uraian]])&gt;2,TRIM(RIGHT(SUBSTITUTE(TRIM(C670)," ",REPT(" ",255)),255))," ")</f>
        <v xml:space="preserve"> </v>
      </c>
      <c r="G670" s="110">
        <f>COPY!Z662</f>
        <v>0</v>
      </c>
      <c r="H670" s="111" t="str">
        <f>IFERROR(VLOOKUP(Table1722[[#This Row],[Bukti]],'Un nOTA'!$A$4:$K$5003,10,FALSE),"")</f>
        <v/>
      </c>
      <c r="I670" s="112" t="str">
        <f>IFERROR(VLOOKUP(Table1722[[#This Row],[Bukti]],Table13[#Data],11,FALSE),"")</f>
        <v/>
      </c>
    </row>
    <row r="671" spans="1:9" ht="19.5" hidden="1" customHeight="1" x14ac:dyDescent="0.2">
      <c r="A671" s="105" t="str">
        <f>IF(D671=1,COUNTIF($D$10:D671,1)," ")</f>
        <v xml:space="preserve"> </v>
      </c>
      <c r="B671" s="106" t="str">
        <f>COPY!AR663</f>
        <v/>
      </c>
      <c r="C671" s="107">
        <f>COPY!AC663</f>
        <v>0</v>
      </c>
      <c r="D671" s="107" t="str">
        <f>IF(LEN(Table1722[[#This Row],[Uraian]])&gt;2,1," ")</f>
        <v xml:space="preserve"> </v>
      </c>
      <c r="E671" s="113" t="str">
        <f>IF(Table1722[[#This Row],[Lawan Transaksi]]="CV AGUNG KARYA",COUNTIF($I$10:I671,"CV AGUNG KARYA")," ")</f>
        <v xml:space="preserve"> </v>
      </c>
      <c r="F671" s="107" t="str">
        <f>IF(LEN(Table1722[[#This Row],[Uraian]])&gt;2,TRIM(RIGHT(SUBSTITUTE(TRIM(C671)," ",REPT(" ",255)),255))," ")</f>
        <v xml:space="preserve"> </v>
      </c>
      <c r="G671" s="110">
        <f>COPY!Z663</f>
        <v>0</v>
      </c>
      <c r="H671" s="111" t="str">
        <f>IFERROR(VLOOKUP(Table1722[[#This Row],[Bukti]],'Un nOTA'!$A$4:$K$5003,10,FALSE),"")</f>
        <v/>
      </c>
      <c r="I671" s="112" t="str">
        <f>IFERROR(VLOOKUP(Table1722[[#This Row],[Bukti]],Table13[#Data],11,FALSE),"")</f>
        <v/>
      </c>
    </row>
    <row r="672" spans="1:9" ht="19.5" hidden="1" customHeight="1" x14ac:dyDescent="0.2">
      <c r="A672" s="105" t="str">
        <f>IF(D672=1,COUNTIF($D$10:D672,1)," ")</f>
        <v xml:space="preserve"> </v>
      </c>
      <c r="B672" s="106" t="str">
        <f>COPY!AR664</f>
        <v/>
      </c>
      <c r="C672" s="107">
        <f>COPY!AC664</f>
        <v>0</v>
      </c>
      <c r="D672" s="107" t="str">
        <f>IF(LEN(Table1722[[#This Row],[Uraian]])&gt;2,1," ")</f>
        <v xml:space="preserve"> </v>
      </c>
      <c r="E672" s="113" t="str">
        <f>IF(Table1722[[#This Row],[Lawan Transaksi]]="CV AGUNG KARYA",COUNTIF($I$10:I672,"CV AGUNG KARYA")," ")</f>
        <v xml:space="preserve"> </v>
      </c>
      <c r="F672" s="107" t="str">
        <f>IF(LEN(Table1722[[#This Row],[Uraian]])&gt;2,TRIM(RIGHT(SUBSTITUTE(TRIM(C672)," ",REPT(" ",255)),255))," ")</f>
        <v xml:space="preserve"> </v>
      </c>
      <c r="G672" s="110">
        <f>COPY!Z664</f>
        <v>0</v>
      </c>
      <c r="H672" s="111" t="str">
        <f>IFERROR(VLOOKUP(Table1722[[#This Row],[Bukti]],'Un nOTA'!$A$4:$K$5003,10,FALSE),"")</f>
        <v/>
      </c>
      <c r="I672" s="112" t="str">
        <f>IFERROR(VLOOKUP(Table1722[[#This Row],[Bukti]],Table13[#Data],11,FALSE),"")</f>
        <v/>
      </c>
    </row>
    <row r="673" spans="1:9" ht="19.5" hidden="1" customHeight="1" x14ac:dyDescent="0.2">
      <c r="A673" s="105" t="str">
        <f>IF(D673=1,COUNTIF($D$10:D673,1)," ")</f>
        <v xml:space="preserve"> </v>
      </c>
      <c r="B673" s="106" t="str">
        <f>COPY!AR665</f>
        <v/>
      </c>
      <c r="C673" s="107">
        <f>COPY!AC665</f>
        <v>0</v>
      </c>
      <c r="D673" s="107" t="str">
        <f>IF(LEN(Table1722[[#This Row],[Uraian]])&gt;2,1," ")</f>
        <v xml:space="preserve"> </v>
      </c>
      <c r="E673" s="113" t="str">
        <f>IF(Table1722[[#This Row],[Lawan Transaksi]]="CV AGUNG KARYA",COUNTIF($I$10:I673,"CV AGUNG KARYA")," ")</f>
        <v xml:space="preserve"> </v>
      </c>
      <c r="F673" s="107" t="str">
        <f>IF(LEN(Table1722[[#This Row],[Uraian]])&gt;2,TRIM(RIGHT(SUBSTITUTE(TRIM(C673)," ",REPT(" ",255)),255))," ")</f>
        <v xml:space="preserve"> </v>
      </c>
      <c r="G673" s="110">
        <f>COPY!Z665</f>
        <v>0</v>
      </c>
      <c r="H673" s="111" t="str">
        <f>IFERROR(VLOOKUP(Table1722[[#This Row],[Bukti]],'Un nOTA'!$A$4:$K$5003,10,FALSE),"")</f>
        <v/>
      </c>
      <c r="I673" s="112" t="str">
        <f>IFERROR(VLOOKUP(Table1722[[#This Row],[Bukti]],Table13[#Data],11,FALSE),"")</f>
        <v/>
      </c>
    </row>
    <row r="674" spans="1:9" ht="19.5" hidden="1" customHeight="1" x14ac:dyDescent="0.2">
      <c r="A674" s="105" t="str">
        <f>IF(D674=1,COUNTIF($D$10:D674,1)," ")</f>
        <v xml:space="preserve"> </v>
      </c>
      <c r="B674" s="106" t="str">
        <f>COPY!AR666</f>
        <v/>
      </c>
      <c r="C674" s="107">
        <f>COPY!AC666</f>
        <v>0</v>
      </c>
      <c r="D674" s="107" t="str">
        <f>IF(LEN(Table1722[[#This Row],[Uraian]])&gt;2,1," ")</f>
        <v xml:space="preserve"> </v>
      </c>
      <c r="E674" s="113" t="str">
        <f>IF(Table1722[[#This Row],[Lawan Transaksi]]="CV AGUNG KARYA",COUNTIF($I$10:I674,"CV AGUNG KARYA")," ")</f>
        <v xml:space="preserve"> </v>
      </c>
      <c r="F674" s="107" t="str">
        <f>IF(LEN(Table1722[[#This Row],[Uraian]])&gt;2,TRIM(RIGHT(SUBSTITUTE(TRIM(C674)," ",REPT(" ",255)),255))," ")</f>
        <v xml:space="preserve"> </v>
      </c>
      <c r="G674" s="110">
        <f>COPY!Z666</f>
        <v>0</v>
      </c>
      <c r="H674" s="111" t="str">
        <f>IFERROR(VLOOKUP(Table1722[[#This Row],[Bukti]],'Un nOTA'!$A$4:$K$5003,10,FALSE),"")</f>
        <v/>
      </c>
      <c r="I674" s="112" t="str">
        <f>IFERROR(VLOOKUP(Table1722[[#This Row],[Bukti]],Table13[#Data],11,FALSE),"")</f>
        <v/>
      </c>
    </row>
    <row r="675" spans="1:9" ht="19.5" hidden="1" customHeight="1" x14ac:dyDescent="0.2">
      <c r="A675" s="105" t="str">
        <f>IF(D675=1,COUNTIF($D$10:D675,1)," ")</f>
        <v xml:space="preserve"> </v>
      </c>
      <c r="B675" s="106" t="str">
        <f>COPY!AR667</f>
        <v/>
      </c>
      <c r="C675" s="107">
        <f>COPY!AC667</f>
        <v>0</v>
      </c>
      <c r="D675" s="107" t="str">
        <f>IF(LEN(Table1722[[#This Row],[Uraian]])&gt;2,1," ")</f>
        <v xml:space="preserve"> </v>
      </c>
      <c r="E675" s="113" t="str">
        <f>IF(Table1722[[#This Row],[Lawan Transaksi]]="CV AGUNG KARYA",COUNTIF($I$10:I675,"CV AGUNG KARYA")," ")</f>
        <v xml:space="preserve"> </v>
      </c>
      <c r="F675" s="107" t="str">
        <f>IF(LEN(Table1722[[#This Row],[Uraian]])&gt;2,TRIM(RIGHT(SUBSTITUTE(TRIM(C675)," ",REPT(" ",255)),255))," ")</f>
        <v xml:space="preserve"> </v>
      </c>
      <c r="G675" s="110">
        <f>COPY!Z667</f>
        <v>0</v>
      </c>
      <c r="H675" s="111" t="str">
        <f>IFERROR(VLOOKUP(Table1722[[#This Row],[Bukti]],'Un nOTA'!$A$4:$K$5003,10,FALSE),"")</f>
        <v/>
      </c>
      <c r="I675" s="112" t="str">
        <f>IFERROR(VLOOKUP(Table1722[[#This Row],[Bukti]],Table13[#Data],11,FALSE),"")</f>
        <v/>
      </c>
    </row>
    <row r="676" spans="1:9" ht="19.5" hidden="1" customHeight="1" x14ac:dyDescent="0.2">
      <c r="A676" s="105" t="str">
        <f>IF(D676=1,COUNTIF($D$10:D676,1)," ")</f>
        <v xml:space="preserve"> </v>
      </c>
      <c r="B676" s="106" t="str">
        <f>COPY!AR668</f>
        <v/>
      </c>
      <c r="C676" s="107">
        <f>COPY!AC668</f>
        <v>0</v>
      </c>
      <c r="D676" s="107" t="str">
        <f>IF(LEN(Table1722[[#This Row],[Uraian]])&gt;2,1," ")</f>
        <v xml:space="preserve"> </v>
      </c>
      <c r="E676" s="113" t="str">
        <f>IF(Table1722[[#This Row],[Lawan Transaksi]]="CV AGUNG KARYA",COUNTIF($I$10:I676,"CV AGUNG KARYA")," ")</f>
        <v xml:space="preserve"> </v>
      </c>
      <c r="F676" s="107" t="str">
        <f>IF(LEN(Table1722[[#This Row],[Uraian]])&gt;2,TRIM(RIGHT(SUBSTITUTE(TRIM(C676)," ",REPT(" ",255)),255))," ")</f>
        <v xml:space="preserve"> </v>
      </c>
      <c r="G676" s="110">
        <f>COPY!Z668</f>
        <v>0</v>
      </c>
      <c r="H676" s="111" t="str">
        <f>IFERROR(VLOOKUP(Table1722[[#This Row],[Bukti]],'Un nOTA'!$A$4:$K$5003,10,FALSE),"")</f>
        <v/>
      </c>
      <c r="I676" s="112" t="str">
        <f>IFERROR(VLOOKUP(Table1722[[#This Row],[Bukti]],Table13[#Data],11,FALSE),"")</f>
        <v/>
      </c>
    </row>
    <row r="677" spans="1:9" ht="19.5" hidden="1" customHeight="1" x14ac:dyDescent="0.2">
      <c r="A677" s="105" t="str">
        <f>IF(D677=1,COUNTIF($D$10:D677,1)," ")</f>
        <v xml:space="preserve"> </v>
      </c>
      <c r="B677" s="106" t="str">
        <f>COPY!AR669</f>
        <v/>
      </c>
      <c r="C677" s="107">
        <f>COPY!AC669</f>
        <v>0</v>
      </c>
      <c r="D677" s="107" t="str">
        <f>IF(LEN(Table1722[[#This Row],[Uraian]])&gt;2,1," ")</f>
        <v xml:space="preserve"> </v>
      </c>
      <c r="E677" s="113" t="str">
        <f>IF(Table1722[[#This Row],[Lawan Transaksi]]="CV AGUNG KARYA",COUNTIF($I$10:I677,"CV AGUNG KARYA")," ")</f>
        <v xml:space="preserve"> </v>
      </c>
      <c r="F677" s="107" t="str">
        <f>IF(LEN(Table1722[[#This Row],[Uraian]])&gt;2,TRIM(RIGHT(SUBSTITUTE(TRIM(C677)," ",REPT(" ",255)),255))," ")</f>
        <v xml:space="preserve"> </v>
      </c>
      <c r="G677" s="110">
        <f>COPY!Z669</f>
        <v>0</v>
      </c>
      <c r="H677" s="111" t="str">
        <f>IFERROR(VLOOKUP(Table1722[[#This Row],[Bukti]],'Un nOTA'!$A$4:$K$5003,10,FALSE),"")</f>
        <v/>
      </c>
      <c r="I677" s="112" t="str">
        <f>IFERROR(VLOOKUP(Table1722[[#This Row],[Bukti]],Table13[#Data],11,FALSE),"")</f>
        <v/>
      </c>
    </row>
    <row r="678" spans="1:9" ht="19.5" hidden="1" customHeight="1" x14ac:dyDescent="0.2">
      <c r="A678" s="105" t="str">
        <f>IF(D678=1,COUNTIF($D$10:D678,1)," ")</f>
        <v xml:space="preserve"> </v>
      </c>
      <c r="B678" s="106" t="str">
        <f>COPY!AR670</f>
        <v/>
      </c>
      <c r="C678" s="107">
        <f>COPY!AC670</f>
        <v>0</v>
      </c>
      <c r="D678" s="107" t="str">
        <f>IF(LEN(Table1722[[#This Row],[Uraian]])&gt;2,1," ")</f>
        <v xml:space="preserve"> </v>
      </c>
      <c r="E678" s="113" t="str">
        <f>IF(Table1722[[#This Row],[Lawan Transaksi]]="CV AGUNG KARYA",COUNTIF($I$10:I678,"CV AGUNG KARYA")," ")</f>
        <v xml:space="preserve"> </v>
      </c>
      <c r="F678" s="107" t="str">
        <f>IF(LEN(Table1722[[#This Row],[Uraian]])&gt;2,TRIM(RIGHT(SUBSTITUTE(TRIM(C678)," ",REPT(" ",255)),255))," ")</f>
        <v xml:space="preserve"> </v>
      </c>
      <c r="G678" s="110">
        <f>COPY!Z670</f>
        <v>0</v>
      </c>
      <c r="H678" s="111" t="str">
        <f>IFERROR(VLOOKUP(Table1722[[#This Row],[Bukti]],'Un nOTA'!$A$4:$K$5003,10,FALSE),"")</f>
        <v/>
      </c>
      <c r="I678" s="112" t="str">
        <f>IFERROR(VLOOKUP(Table1722[[#This Row],[Bukti]],Table13[#Data],11,FALSE),"")</f>
        <v/>
      </c>
    </row>
    <row r="679" spans="1:9" ht="19.5" hidden="1" customHeight="1" x14ac:dyDescent="0.2">
      <c r="A679" s="105" t="str">
        <f>IF(D679=1,COUNTIF($D$10:D679,1)," ")</f>
        <v xml:space="preserve"> </v>
      </c>
      <c r="B679" s="106" t="str">
        <f>COPY!AR671</f>
        <v/>
      </c>
      <c r="C679" s="107">
        <f>COPY!AC671</f>
        <v>0</v>
      </c>
      <c r="D679" s="107" t="str">
        <f>IF(LEN(Table1722[[#This Row],[Uraian]])&gt;2,1," ")</f>
        <v xml:space="preserve"> </v>
      </c>
      <c r="E679" s="113" t="str">
        <f>IF(Table1722[[#This Row],[Lawan Transaksi]]="CV AGUNG KARYA",COUNTIF($I$10:I679,"CV AGUNG KARYA")," ")</f>
        <v xml:space="preserve"> </v>
      </c>
      <c r="F679" s="107" t="str">
        <f>IF(LEN(Table1722[[#This Row],[Uraian]])&gt;2,TRIM(RIGHT(SUBSTITUTE(TRIM(C679)," ",REPT(" ",255)),255))," ")</f>
        <v xml:space="preserve"> </v>
      </c>
      <c r="G679" s="110">
        <f>COPY!Z671</f>
        <v>0</v>
      </c>
      <c r="H679" s="111" t="str">
        <f>IFERROR(VLOOKUP(Table1722[[#This Row],[Bukti]],'Un nOTA'!$A$4:$K$5003,10,FALSE),"")</f>
        <v/>
      </c>
      <c r="I679" s="112" t="str">
        <f>IFERROR(VLOOKUP(Table1722[[#This Row],[Bukti]],Table13[#Data],11,FALSE),"")</f>
        <v/>
      </c>
    </row>
    <row r="680" spans="1:9" ht="19.5" hidden="1" customHeight="1" x14ac:dyDescent="0.2">
      <c r="A680" s="105" t="str">
        <f>IF(D680=1,COUNTIF($D$10:D680,1)," ")</f>
        <v xml:space="preserve"> </v>
      </c>
      <c r="B680" s="106" t="str">
        <f>COPY!AR672</f>
        <v/>
      </c>
      <c r="C680" s="107">
        <f>COPY!AC672</f>
        <v>0</v>
      </c>
      <c r="D680" s="107" t="str">
        <f>IF(LEN(Table1722[[#This Row],[Uraian]])&gt;2,1," ")</f>
        <v xml:space="preserve"> </v>
      </c>
      <c r="E680" s="113" t="str">
        <f>IF(Table1722[[#This Row],[Lawan Transaksi]]="CV AGUNG KARYA",COUNTIF($I$10:I680,"CV AGUNG KARYA")," ")</f>
        <v xml:space="preserve"> </v>
      </c>
      <c r="F680" s="107" t="str">
        <f>IF(LEN(Table1722[[#This Row],[Uraian]])&gt;2,TRIM(RIGHT(SUBSTITUTE(TRIM(C680)," ",REPT(" ",255)),255))," ")</f>
        <v xml:space="preserve"> </v>
      </c>
      <c r="G680" s="110">
        <f>COPY!Z672</f>
        <v>0</v>
      </c>
      <c r="H680" s="111" t="str">
        <f>IFERROR(VLOOKUP(Table1722[[#This Row],[Bukti]],'Un nOTA'!$A$4:$K$5003,10,FALSE),"")</f>
        <v/>
      </c>
      <c r="I680" s="112" t="str">
        <f>IFERROR(VLOOKUP(Table1722[[#This Row],[Bukti]],Table13[#Data],11,FALSE),"")</f>
        <v/>
      </c>
    </row>
    <row r="681" spans="1:9" ht="19.5" hidden="1" customHeight="1" x14ac:dyDescent="0.2">
      <c r="A681" s="105" t="str">
        <f>IF(D681=1,COUNTIF($D$10:D681,1)," ")</f>
        <v xml:space="preserve"> </v>
      </c>
      <c r="B681" s="106" t="str">
        <f>COPY!AR673</f>
        <v/>
      </c>
      <c r="C681" s="107">
        <f>COPY!AC673</f>
        <v>0</v>
      </c>
      <c r="D681" s="107" t="str">
        <f>IF(LEN(Table1722[[#This Row],[Uraian]])&gt;2,1," ")</f>
        <v xml:space="preserve"> </v>
      </c>
      <c r="E681" s="113" t="str">
        <f>IF(Table1722[[#This Row],[Lawan Transaksi]]="CV AGUNG KARYA",COUNTIF($I$10:I681,"CV AGUNG KARYA")," ")</f>
        <v xml:space="preserve"> </v>
      </c>
      <c r="F681" s="107" t="str">
        <f>IF(LEN(Table1722[[#This Row],[Uraian]])&gt;2,TRIM(RIGHT(SUBSTITUTE(TRIM(C681)," ",REPT(" ",255)),255))," ")</f>
        <v xml:space="preserve"> </v>
      </c>
      <c r="G681" s="110">
        <f>COPY!Z673</f>
        <v>0</v>
      </c>
      <c r="H681" s="111" t="str">
        <f>IFERROR(VLOOKUP(Table1722[[#This Row],[Bukti]],'Un nOTA'!$A$4:$K$5003,10,FALSE),"")</f>
        <v/>
      </c>
      <c r="I681" s="112" t="str">
        <f>IFERROR(VLOOKUP(Table1722[[#This Row],[Bukti]],Table13[#Data],11,FALSE),"")</f>
        <v/>
      </c>
    </row>
    <row r="682" spans="1:9" ht="19.5" hidden="1" customHeight="1" x14ac:dyDescent="0.2">
      <c r="A682" s="105" t="str">
        <f>IF(D682=1,COUNTIF($D$10:D682,1)," ")</f>
        <v xml:space="preserve"> </v>
      </c>
      <c r="B682" s="106" t="str">
        <f>COPY!AR674</f>
        <v/>
      </c>
      <c r="C682" s="107">
        <f>COPY!AC674</f>
        <v>0</v>
      </c>
      <c r="D682" s="107" t="str">
        <f>IF(LEN(Table1722[[#This Row],[Uraian]])&gt;2,1," ")</f>
        <v xml:space="preserve"> </v>
      </c>
      <c r="E682" s="113" t="str">
        <f>IF(Table1722[[#This Row],[Lawan Transaksi]]="CV AGUNG KARYA",COUNTIF($I$10:I682,"CV AGUNG KARYA")," ")</f>
        <v xml:space="preserve"> </v>
      </c>
      <c r="F682" s="107" t="str">
        <f>IF(LEN(Table1722[[#This Row],[Uraian]])&gt;2,TRIM(RIGHT(SUBSTITUTE(TRIM(C682)," ",REPT(" ",255)),255))," ")</f>
        <v xml:space="preserve"> </v>
      </c>
      <c r="G682" s="110">
        <f>COPY!Z674</f>
        <v>0</v>
      </c>
      <c r="H682" s="111" t="str">
        <f>IFERROR(VLOOKUP(Table1722[[#This Row],[Bukti]],'Un nOTA'!$A$4:$K$5003,10,FALSE),"")</f>
        <v/>
      </c>
      <c r="I682" s="112" t="str">
        <f>IFERROR(VLOOKUP(Table1722[[#This Row],[Bukti]],Table13[#Data],11,FALSE),"")</f>
        <v/>
      </c>
    </row>
    <row r="683" spans="1:9" ht="19.5" hidden="1" customHeight="1" x14ac:dyDescent="0.2">
      <c r="A683" s="105" t="str">
        <f>IF(D683=1,COUNTIF($D$10:D683,1)," ")</f>
        <v xml:space="preserve"> </v>
      </c>
      <c r="B683" s="106" t="str">
        <f>COPY!AR675</f>
        <v/>
      </c>
      <c r="C683" s="107">
        <f>COPY!AC675</f>
        <v>0</v>
      </c>
      <c r="D683" s="107" t="str">
        <f>IF(LEN(Table1722[[#This Row],[Uraian]])&gt;2,1," ")</f>
        <v xml:space="preserve"> </v>
      </c>
      <c r="E683" s="113" t="str">
        <f>IF(Table1722[[#This Row],[Lawan Transaksi]]="CV AGUNG KARYA",COUNTIF($I$10:I683,"CV AGUNG KARYA")," ")</f>
        <v xml:space="preserve"> </v>
      </c>
      <c r="F683" s="107" t="str">
        <f>IF(LEN(Table1722[[#This Row],[Uraian]])&gt;2,TRIM(RIGHT(SUBSTITUTE(TRIM(C683)," ",REPT(" ",255)),255))," ")</f>
        <v xml:space="preserve"> </v>
      </c>
      <c r="G683" s="110">
        <f>COPY!Z675</f>
        <v>0</v>
      </c>
      <c r="H683" s="111" t="str">
        <f>IFERROR(VLOOKUP(Table1722[[#This Row],[Bukti]],'Un nOTA'!$A$4:$K$5003,10,FALSE),"")</f>
        <v/>
      </c>
      <c r="I683" s="112" t="str">
        <f>IFERROR(VLOOKUP(Table1722[[#This Row],[Bukti]],Table13[#Data],11,FALSE),"")</f>
        <v/>
      </c>
    </row>
    <row r="684" spans="1:9" ht="19.5" hidden="1" customHeight="1" x14ac:dyDescent="0.2">
      <c r="A684" s="105" t="str">
        <f>IF(D684=1,COUNTIF($D$10:D684,1)," ")</f>
        <v xml:space="preserve"> </v>
      </c>
      <c r="B684" s="106" t="str">
        <f>COPY!AR676</f>
        <v/>
      </c>
      <c r="C684" s="107">
        <f>COPY!AC676</f>
        <v>0</v>
      </c>
      <c r="D684" s="107" t="str">
        <f>IF(LEN(Table1722[[#This Row],[Uraian]])&gt;2,1," ")</f>
        <v xml:space="preserve"> </v>
      </c>
      <c r="E684" s="113" t="str">
        <f>IF(Table1722[[#This Row],[Lawan Transaksi]]="CV AGUNG KARYA",COUNTIF($I$10:I684,"CV AGUNG KARYA")," ")</f>
        <v xml:space="preserve"> </v>
      </c>
      <c r="F684" s="107" t="str">
        <f>IF(LEN(Table1722[[#This Row],[Uraian]])&gt;2,TRIM(RIGHT(SUBSTITUTE(TRIM(C684)," ",REPT(" ",255)),255))," ")</f>
        <v xml:space="preserve"> </v>
      </c>
      <c r="G684" s="110">
        <f>COPY!Z676</f>
        <v>0</v>
      </c>
      <c r="H684" s="111" t="str">
        <f>IFERROR(VLOOKUP(Table1722[[#This Row],[Bukti]],'Un nOTA'!$A$4:$K$5003,10,FALSE),"")</f>
        <v/>
      </c>
      <c r="I684" s="112" t="str">
        <f>IFERROR(VLOOKUP(Table1722[[#This Row],[Bukti]],Table13[#Data],11,FALSE),"")</f>
        <v/>
      </c>
    </row>
    <row r="685" spans="1:9" ht="19.5" hidden="1" customHeight="1" x14ac:dyDescent="0.2">
      <c r="A685" s="105" t="str">
        <f>IF(D685=1,COUNTIF($D$10:D685,1)," ")</f>
        <v xml:space="preserve"> </v>
      </c>
      <c r="B685" s="106" t="str">
        <f>COPY!AR677</f>
        <v/>
      </c>
      <c r="C685" s="107">
        <f>COPY!AC677</f>
        <v>0</v>
      </c>
      <c r="D685" s="107" t="str">
        <f>IF(LEN(Table1722[[#This Row],[Uraian]])&gt;2,1," ")</f>
        <v xml:space="preserve"> </v>
      </c>
      <c r="E685" s="113" t="str">
        <f>IF(Table1722[[#This Row],[Lawan Transaksi]]="CV AGUNG KARYA",COUNTIF($I$10:I685,"CV AGUNG KARYA")," ")</f>
        <v xml:space="preserve"> </v>
      </c>
      <c r="F685" s="107" t="str">
        <f>IF(LEN(Table1722[[#This Row],[Uraian]])&gt;2,TRIM(RIGHT(SUBSTITUTE(TRIM(C685)," ",REPT(" ",255)),255))," ")</f>
        <v xml:space="preserve"> </v>
      </c>
      <c r="G685" s="110">
        <f>COPY!Z677</f>
        <v>0</v>
      </c>
      <c r="H685" s="111" t="str">
        <f>IFERROR(VLOOKUP(Table1722[[#This Row],[Bukti]],'Un nOTA'!$A$4:$K$5003,10,FALSE),"")</f>
        <v/>
      </c>
      <c r="I685" s="112" t="str">
        <f>IFERROR(VLOOKUP(Table1722[[#This Row],[Bukti]],Table13[#Data],11,FALSE),"")</f>
        <v/>
      </c>
    </row>
    <row r="686" spans="1:9" ht="19.5" hidden="1" customHeight="1" x14ac:dyDescent="0.2">
      <c r="A686" s="105" t="str">
        <f>IF(D686=1,COUNTIF($D$10:D686,1)," ")</f>
        <v xml:space="preserve"> </v>
      </c>
      <c r="B686" s="106" t="str">
        <f>COPY!AR678</f>
        <v/>
      </c>
      <c r="C686" s="107">
        <f>COPY!AC678</f>
        <v>0</v>
      </c>
      <c r="D686" s="107" t="str">
        <f>IF(LEN(Table1722[[#This Row],[Uraian]])&gt;2,1," ")</f>
        <v xml:space="preserve"> </v>
      </c>
      <c r="E686" s="113" t="str">
        <f>IF(Table1722[[#This Row],[Lawan Transaksi]]="CV AGUNG KARYA",COUNTIF($I$10:I686,"CV AGUNG KARYA")," ")</f>
        <v xml:space="preserve"> </v>
      </c>
      <c r="F686" s="107" t="str">
        <f>IF(LEN(Table1722[[#This Row],[Uraian]])&gt;2,TRIM(RIGHT(SUBSTITUTE(TRIM(C686)," ",REPT(" ",255)),255))," ")</f>
        <v xml:space="preserve"> </v>
      </c>
      <c r="G686" s="110">
        <f>COPY!Z678</f>
        <v>0</v>
      </c>
      <c r="H686" s="111" t="str">
        <f>IFERROR(VLOOKUP(Table1722[[#This Row],[Bukti]],'Un nOTA'!$A$4:$K$5003,10,FALSE),"")</f>
        <v/>
      </c>
      <c r="I686" s="112" t="str">
        <f>IFERROR(VLOOKUP(Table1722[[#This Row],[Bukti]],Table13[#Data],11,FALSE),"")</f>
        <v/>
      </c>
    </row>
    <row r="687" spans="1:9" ht="19.5" hidden="1" customHeight="1" x14ac:dyDescent="0.2">
      <c r="A687" s="105" t="str">
        <f>IF(D687=1,COUNTIF($D$10:D687,1)," ")</f>
        <v xml:space="preserve"> </v>
      </c>
      <c r="B687" s="106" t="str">
        <f>COPY!AR679</f>
        <v/>
      </c>
      <c r="C687" s="107">
        <f>COPY!AC679</f>
        <v>0</v>
      </c>
      <c r="D687" s="107" t="str">
        <f>IF(LEN(Table1722[[#This Row],[Uraian]])&gt;2,1," ")</f>
        <v xml:space="preserve"> </v>
      </c>
      <c r="E687" s="113" t="str">
        <f>IF(Table1722[[#This Row],[Lawan Transaksi]]="CV AGUNG KARYA",COUNTIF($I$10:I687,"CV AGUNG KARYA")," ")</f>
        <v xml:space="preserve"> </v>
      </c>
      <c r="F687" s="107" t="str">
        <f>IF(LEN(Table1722[[#This Row],[Uraian]])&gt;2,TRIM(RIGHT(SUBSTITUTE(TRIM(C687)," ",REPT(" ",255)),255))," ")</f>
        <v xml:space="preserve"> </v>
      </c>
      <c r="G687" s="110">
        <f>COPY!Z679</f>
        <v>0</v>
      </c>
      <c r="H687" s="111" t="str">
        <f>IFERROR(VLOOKUP(Table1722[[#This Row],[Bukti]],'Un nOTA'!$A$4:$K$5003,10,FALSE),"")</f>
        <v/>
      </c>
      <c r="I687" s="112" t="str">
        <f>IFERROR(VLOOKUP(Table1722[[#This Row],[Bukti]],Table13[#Data],11,FALSE),"")</f>
        <v/>
      </c>
    </row>
    <row r="688" spans="1:9" ht="19.5" hidden="1" customHeight="1" x14ac:dyDescent="0.2">
      <c r="A688" s="105" t="str">
        <f>IF(D688=1,COUNTIF($D$10:D688,1)," ")</f>
        <v xml:space="preserve"> </v>
      </c>
      <c r="B688" s="106" t="str">
        <f>COPY!AR680</f>
        <v/>
      </c>
      <c r="C688" s="107">
        <f>COPY!AC680</f>
        <v>0</v>
      </c>
      <c r="D688" s="107" t="str">
        <f>IF(LEN(Table1722[[#This Row],[Uraian]])&gt;2,1," ")</f>
        <v xml:space="preserve"> </v>
      </c>
      <c r="E688" s="113" t="str">
        <f>IF(Table1722[[#This Row],[Lawan Transaksi]]="CV AGUNG KARYA",COUNTIF($I$10:I688,"CV AGUNG KARYA")," ")</f>
        <v xml:space="preserve"> </v>
      </c>
      <c r="F688" s="107" t="str">
        <f>IF(LEN(Table1722[[#This Row],[Uraian]])&gt;2,TRIM(RIGHT(SUBSTITUTE(TRIM(C688)," ",REPT(" ",255)),255))," ")</f>
        <v xml:space="preserve"> </v>
      </c>
      <c r="G688" s="110">
        <f>COPY!Z680</f>
        <v>0</v>
      </c>
      <c r="H688" s="111" t="str">
        <f>IFERROR(VLOOKUP(Table1722[[#This Row],[Bukti]],'Un nOTA'!$A$4:$K$5003,10,FALSE),"")</f>
        <v/>
      </c>
      <c r="I688" s="112" t="str">
        <f>IFERROR(VLOOKUP(Table1722[[#This Row],[Bukti]],Table13[#Data],11,FALSE),"")</f>
        <v/>
      </c>
    </row>
    <row r="689" spans="1:9" ht="19.5" hidden="1" customHeight="1" x14ac:dyDescent="0.2">
      <c r="A689" s="105" t="str">
        <f>IF(D689=1,COUNTIF($D$10:D689,1)," ")</f>
        <v xml:space="preserve"> </v>
      </c>
      <c r="B689" s="106" t="str">
        <f>COPY!AR681</f>
        <v/>
      </c>
      <c r="C689" s="107">
        <f>COPY!AC681</f>
        <v>0</v>
      </c>
      <c r="D689" s="107" t="str">
        <f>IF(LEN(Table1722[[#This Row],[Uraian]])&gt;2,1," ")</f>
        <v xml:space="preserve"> </v>
      </c>
      <c r="E689" s="113" t="str">
        <f>IF(Table1722[[#This Row],[Lawan Transaksi]]="CV AGUNG KARYA",COUNTIF($I$10:I689,"CV AGUNG KARYA")," ")</f>
        <v xml:space="preserve"> </v>
      </c>
      <c r="F689" s="107" t="str">
        <f>IF(LEN(Table1722[[#This Row],[Uraian]])&gt;2,TRIM(RIGHT(SUBSTITUTE(TRIM(C689)," ",REPT(" ",255)),255))," ")</f>
        <v xml:space="preserve"> </v>
      </c>
      <c r="G689" s="110">
        <f>COPY!Z681</f>
        <v>0</v>
      </c>
      <c r="H689" s="111" t="str">
        <f>IFERROR(VLOOKUP(Table1722[[#This Row],[Bukti]],'Un nOTA'!$A$4:$K$5003,10,FALSE),"")</f>
        <v/>
      </c>
      <c r="I689" s="112" t="str">
        <f>IFERROR(VLOOKUP(Table1722[[#This Row],[Bukti]],Table13[#Data],11,FALSE),"")</f>
        <v/>
      </c>
    </row>
    <row r="690" spans="1:9" ht="19.5" hidden="1" customHeight="1" x14ac:dyDescent="0.2">
      <c r="A690" s="105" t="str">
        <f>IF(D690=1,COUNTIF($D$10:D690,1)," ")</f>
        <v xml:space="preserve"> </v>
      </c>
      <c r="B690" s="106" t="str">
        <f>COPY!AR682</f>
        <v/>
      </c>
      <c r="C690" s="107">
        <f>COPY!AC682</f>
        <v>0</v>
      </c>
      <c r="D690" s="107" t="str">
        <f>IF(LEN(Table1722[[#This Row],[Uraian]])&gt;2,1," ")</f>
        <v xml:space="preserve"> </v>
      </c>
      <c r="E690" s="113" t="str">
        <f>IF(Table1722[[#This Row],[Lawan Transaksi]]="CV AGUNG KARYA",COUNTIF($I$10:I690,"CV AGUNG KARYA")," ")</f>
        <v xml:space="preserve"> </v>
      </c>
      <c r="F690" s="107" t="str">
        <f>IF(LEN(Table1722[[#This Row],[Uraian]])&gt;2,TRIM(RIGHT(SUBSTITUTE(TRIM(C690)," ",REPT(" ",255)),255))," ")</f>
        <v xml:space="preserve"> </v>
      </c>
      <c r="G690" s="110">
        <f>COPY!Z682</f>
        <v>0</v>
      </c>
      <c r="H690" s="111" t="str">
        <f>IFERROR(VLOOKUP(Table1722[[#This Row],[Bukti]],'Un nOTA'!$A$4:$K$5003,10,FALSE),"")</f>
        <v/>
      </c>
      <c r="I690" s="112" t="str">
        <f>IFERROR(VLOOKUP(Table1722[[#This Row],[Bukti]],Table13[#Data],11,FALSE),"")</f>
        <v/>
      </c>
    </row>
    <row r="691" spans="1:9" ht="19.5" hidden="1" customHeight="1" x14ac:dyDescent="0.2">
      <c r="A691" s="105" t="str">
        <f>IF(D691=1,COUNTIF($D$10:D691,1)," ")</f>
        <v xml:space="preserve"> </v>
      </c>
      <c r="B691" s="106" t="str">
        <f>COPY!AR683</f>
        <v/>
      </c>
      <c r="C691" s="107">
        <f>COPY!AC683</f>
        <v>0</v>
      </c>
      <c r="D691" s="107" t="str">
        <f>IF(LEN(Table1722[[#This Row],[Uraian]])&gt;2,1," ")</f>
        <v xml:space="preserve"> </v>
      </c>
      <c r="E691" s="113" t="str">
        <f>IF(Table1722[[#This Row],[Lawan Transaksi]]="CV AGUNG KARYA",COUNTIF($I$10:I691,"CV AGUNG KARYA")," ")</f>
        <v xml:space="preserve"> </v>
      </c>
      <c r="F691" s="107" t="str">
        <f>IF(LEN(Table1722[[#This Row],[Uraian]])&gt;2,TRIM(RIGHT(SUBSTITUTE(TRIM(C691)," ",REPT(" ",255)),255))," ")</f>
        <v xml:space="preserve"> </v>
      </c>
      <c r="G691" s="110">
        <f>COPY!Z683</f>
        <v>0</v>
      </c>
      <c r="H691" s="111" t="str">
        <f>IFERROR(VLOOKUP(Table1722[[#This Row],[Bukti]],'Un nOTA'!$A$4:$K$5003,10,FALSE),"")</f>
        <v/>
      </c>
      <c r="I691" s="112" t="str">
        <f>IFERROR(VLOOKUP(Table1722[[#This Row],[Bukti]],Table13[#Data],11,FALSE),"")</f>
        <v/>
      </c>
    </row>
    <row r="692" spans="1:9" ht="19.5" hidden="1" customHeight="1" x14ac:dyDescent="0.2">
      <c r="A692" s="105" t="str">
        <f>IF(D692=1,COUNTIF($D$10:D692,1)," ")</f>
        <v xml:space="preserve"> </v>
      </c>
      <c r="B692" s="106" t="str">
        <f>COPY!AR684</f>
        <v/>
      </c>
      <c r="C692" s="107">
        <f>COPY!AC684</f>
        <v>0</v>
      </c>
      <c r="D692" s="107" t="str">
        <f>IF(LEN(Table1722[[#This Row],[Uraian]])&gt;2,1," ")</f>
        <v xml:space="preserve"> </v>
      </c>
      <c r="E692" s="113" t="str">
        <f>IF(Table1722[[#This Row],[Lawan Transaksi]]="CV AGUNG KARYA",COUNTIF($I$10:I692,"CV AGUNG KARYA")," ")</f>
        <v xml:space="preserve"> </v>
      </c>
      <c r="F692" s="107" t="str">
        <f>IF(LEN(Table1722[[#This Row],[Uraian]])&gt;2,TRIM(RIGHT(SUBSTITUTE(TRIM(C692)," ",REPT(" ",255)),255))," ")</f>
        <v xml:space="preserve"> </v>
      </c>
      <c r="G692" s="110">
        <f>COPY!Z684</f>
        <v>0</v>
      </c>
      <c r="H692" s="111" t="str">
        <f>IFERROR(VLOOKUP(Table1722[[#This Row],[Bukti]],'Un nOTA'!$A$4:$K$5003,10,FALSE),"")</f>
        <v/>
      </c>
      <c r="I692" s="112" t="str">
        <f>IFERROR(VLOOKUP(Table1722[[#This Row],[Bukti]],Table13[#Data],11,FALSE),"")</f>
        <v/>
      </c>
    </row>
    <row r="693" spans="1:9" ht="19.5" hidden="1" customHeight="1" x14ac:dyDescent="0.2">
      <c r="A693" s="105" t="str">
        <f>IF(D693=1,COUNTIF($D$10:D693,1)," ")</f>
        <v xml:space="preserve"> </v>
      </c>
      <c r="B693" s="106" t="str">
        <f>COPY!AR685</f>
        <v/>
      </c>
      <c r="C693" s="107">
        <f>COPY!AC685</f>
        <v>0</v>
      </c>
      <c r="D693" s="107" t="str">
        <f>IF(LEN(Table1722[[#This Row],[Uraian]])&gt;2,1," ")</f>
        <v xml:space="preserve"> </v>
      </c>
      <c r="E693" s="113" t="str">
        <f>IF(Table1722[[#This Row],[Lawan Transaksi]]="CV AGUNG KARYA",COUNTIF($I$10:I693,"CV AGUNG KARYA")," ")</f>
        <v xml:space="preserve"> </v>
      </c>
      <c r="F693" s="107" t="str">
        <f>IF(LEN(Table1722[[#This Row],[Uraian]])&gt;2,TRIM(RIGHT(SUBSTITUTE(TRIM(C693)," ",REPT(" ",255)),255))," ")</f>
        <v xml:space="preserve"> </v>
      </c>
      <c r="G693" s="110">
        <f>COPY!Z685</f>
        <v>0</v>
      </c>
      <c r="H693" s="111" t="str">
        <f>IFERROR(VLOOKUP(Table1722[[#This Row],[Bukti]],'Un nOTA'!$A$4:$K$5003,10,FALSE),"")</f>
        <v/>
      </c>
      <c r="I693" s="112" t="str">
        <f>IFERROR(VLOOKUP(Table1722[[#This Row],[Bukti]],Table13[#Data],11,FALSE),"")</f>
        <v/>
      </c>
    </row>
    <row r="694" spans="1:9" ht="19.5" hidden="1" customHeight="1" x14ac:dyDescent="0.2">
      <c r="A694" s="105" t="str">
        <f>IF(D694=1,COUNTIF($D$10:D694,1)," ")</f>
        <v xml:space="preserve"> </v>
      </c>
      <c r="B694" s="106" t="str">
        <f>COPY!AR686</f>
        <v/>
      </c>
      <c r="C694" s="107">
        <f>COPY!AC686</f>
        <v>0</v>
      </c>
      <c r="D694" s="107" t="str">
        <f>IF(LEN(Table1722[[#This Row],[Uraian]])&gt;2,1," ")</f>
        <v xml:space="preserve"> </v>
      </c>
      <c r="E694" s="113" t="str">
        <f>IF(Table1722[[#This Row],[Lawan Transaksi]]="CV AGUNG KARYA",COUNTIF($I$10:I694,"CV AGUNG KARYA")," ")</f>
        <v xml:space="preserve"> </v>
      </c>
      <c r="F694" s="107" t="str">
        <f>IF(LEN(Table1722[[#This Row],[Uraian]])&gt;2,TRIM(RIGHT(SUBSTITUTE(TRIM(C694)," ",REPT(" ",255)),255))," ")</f>
        <v xml:space="preserve"> </v>
      </c>
      <c r="G694" s="110">
        <f>COPY!Z686</f>
        <v>0</v>
      </c>
      <c r="H694" s="111" t="str">
        <f>IFERROR(VLOOKUP(Table1722[[#This Row],[Bukti]],'Un nOTA'!$A$4:$K$5003,10,FALSE),"")</f>
        <v/>
      </c>
      <c r="I694" s="112" t="str">
        <f>IFERROR(VLOOKUP(Table1722[[#This Row],[Bukti]],Table13[#Data],11,FALSE),"")</f>
        <v/>
      </c>
    </row>
    <row r="695" spans="1:9" ht="19.5" hidden="1" customHeight="1" x14ac:dyDescent="0.2">
      <c r="A695" s="105" t="str">
        <f>IF(D695=1,COUNTIF($D$10:D695,1)," ")</f>
        <v xml:space="preserve"> </v>
      </c>
      <c r="B695" s="106" t="str">
        <f>COPY!AR687</f>
        <v/>
      </c>
      <c r="C695" s="107">
        <f>COPY!AC687</f>
        <v>0</v>
      </c>
      <c r="D695" s="107" t="str">
        <f>IF(LEN(Table1722[[#This Row],[Uraian]])&gt;2,1," ")</f>
        <v xml:space="preserve"> </v>
      </c>
      <c r="E695" s="113" t="str">
        <f>IF(Table1722[[#This Row],[Lawan Transaksi]]="CV AGUNG KARYA",COUNTIF($I$10:I695,"CV AGUNG KARYA")," ")</f>
        <v xml:space="preserve"> </v>
      </c>
      <c r="F695" s="107" t="str">
        <f>IF(LEN(Table1722[[#This Row],[Uraian]])&gt;2,TRIM(RIGHT(SUBSTITUTE(TRIM(C695)," ",REPT(" ",255)),255))," ")</f>
        <v xml:space="preserve"> </v>
      </c>
      <c r="G695" s="110">
        <f>COPY!Z687</f>
        <v>0</v>
      </c>
      <c r="H695" s="111" t="str">
        <f>IFERROR(VLOOKUP(Table1722[[#This Row],[Bukti]],'Un nOTA'!$A$4:$K$5003,10,FALSE),"")</f>
        <v/>
      </c>
      <c r="I695" s="112" t="str">
        <f>IFERROR(VLOOKUP(Table1722[[#This Row],[Bukti]],Table13[#Data],11,FALSE),"")</f>
        <v/>
      </c>
    </row>
    <row r="696" spans="1:9" ht="19.5" hidden="1" customHeight="1" x14ac:dyDescent="0.2">
      <c r="A696" s="105" t="str">
        <f>IF(D696=1,COUNTIF($D$10:D696,1)," ")</f>
        <v xml:space="preserve"> </v>
      </c>
      <c r="B696" s="106" t="str">
        <f>COPY!AR688</f>
        <v/>
      </c>
      <c r="C696" s="107">
        <f>COPY!AC688</f>
        <v>0</v>
      </c>
      <c r="D696" s="107" t="str">
        <f>IF(LEN(Table1722[[#This Row],[Uraian]])&gt;2,1," ")</f>
        <v xml:space="preserve"> </v>
      </c>
      <c r="E696" s="113" t="str">
        <f>IF(Table1722[[#This Row],[Lawan Transaksi]]="CV AGUNG KARYA",COUNTIF($I$10:I696,"CV AGUNG KARYA")," ")</f>
        <v xml:space="preserve"> </v>
      </c>
      <c r="F696" s="107" t="str">
        <f>IF(LEN(Table1722[[#This Row],[Uraian]])&gt;2,TRIM(RIGHT(SUBSTITUTE(TRIM(C696)," ",REPT(" ",255)),255))," ")</f>
        <v xml:space="preserve"> </v>
      </c>
      <c r="G696" s="110">
        <f>COPY!Z688</f>
        <v>0</v>
      </c>
      <c r="H696" s="111" t="str">
        <f>IFERROR(VLOOKUP(Table1722[[#This Row],[Bukti]],'Un nOTA'!$A$4:$K$5003,10,FALSE),"")</f>
        <v/>
      </c>
      <c r="I696" s="112" t="str">
        <f>IFERROR(VLOOKUP(Table1722[[#This Row],[Bukti]],Table13[#Data],11,FALSE),"")</f>
        <v/>
      </c>
    </row>
    <row r="697" spans="1:9" ht="19.5" hidden="1" customHeight="1" x14ac:dyDescent="0.2">
      <c r="A697" s="105" t="str">
        <f>IF(D697=1,COUNTIF($D$10:D697,1)," ")</f>
        <v xml:space="preserve"> </v>
      </c>
      <c r="B697" s="106" t="str">
        <f>COPY!AR689</f>
        <v/>
      </c>
      <c r="C697" s="107">
        <f>COPY!AC689</f>
        <v>0</v>
      </c>
      <c r="D697" s="107" t="str">
        <f>IF(LEN(Table1722[[#This Row],[Uraian]])&gt;2,1," ")</f>
        <v xml:space="preserve"> </v>
      </c>
      <c r="E697" s="113" t="str">
        <f>IF(Table1722[[#This Row],[Lawan Transaksi]]="CV AGUNG KARYA",COUNTIF($I$10:I697,"CV AGUNG KARYA")," ")</f>
        <v xml:space="preserve"> </v>
      </c>
      <c r="F697" s="107" t="str">
        <f>IF(LEN(Table1722[[#This Row],[Uraian]])&gt;2,TRIM(RIGHT(SUBSTITUTE(TRIM(C697)," ",REPT(" ",255)),255))," ")</f>
        <v xml:space="preserve"> </v>
      </c>
      <c r="G697" s="110">
        <f>COPY!Z689</f>
        <v>0</v>
      </c>
      <c r="H697" s="111" t="str">
        <f>IFERROR(VLOOKUP(Table1722[[#This Row],[Bukti]],'Un nOTA'!$A$4:$K$5003,10,FALSE),"")</f>
        <v/>
      </c>
      <c r="I697" s="112" t="str">
        <f>IFERROR(VLOOKUP(Table1722[[#This Row],[Bukti]],Table13[#Data],11,FALSE),"")</f>
        <v/>
      </c>
    </row>
    <row r="698" spans="1:9" ht="19.5" hidden="1" customHeight="1" x14ac:dyDescent="0.2">
      <c r="A698" s="105" t="str">
        <f>IF(D698=1,COUNTIF($D$10:D698,1)," ")</f>
        <v xml:space="preserve"> </v>
      </c>
      <c r="B698" s="106" t="str">
        <f>COPY!AR690</f>
        <v/>
      </c>
      <c r="C698" s="107">
        <f>COPY!AC690</f>
        <v>0</v>
      </c>
      <c r="D698" s="107" t="str">
        <f>IF(LEN(Table1722[[#This Row],[Uraian]])&gt;2,1," ")</f>
        <v xml:space="preserve"> </v>
      </c>
      <c r="E698" s="113" t="str">
        <f>IF(Table1722[[#This Row],[Lawan Transaksi]]="CV AGUNG KARYA",COUNTIF($I$10:I698,"CV AGUNG KARYA")," ")</f>
        <v xml:space="preserve"> </v>
      </c>
      <c r="F698" s="107" t="str">
        <f>IF(LEN(Table1722[[#This Row],[Uraian]])&gt;2,TRIM(RIGHT(SUBSTITUTE(TRIM(C698)," ",REPT(" ",255)),255))," ")</f>
        <v xml:space="preserve"> </v>
      </c>
      <c r="G698" s="110">
        <f>COPY!Z690</f>
        <v>0</v>
      </c>
      <c r="H698" s="111" t="str">
        <f>IFERROR(VLOOKUP(Table1722[[#This Row],[Bukti]],'Un nOTA'!$A$4:$K$5003,10,FALSE),"")</f>
        <v/>
      </c>
      <c r="I698" s="112" t="str">
        <f>IFERROR(VLOOKUP(Table1722[[#This Row],[Bukti]],Table13[#Data],11,FALSE),"")</f>
        <v/>
      </c>
    </row>
    <row r="699" spans="1:9" ht="19.5" hidden="1" customHeight="1" x14ac:dyDescent="0.2">
      <c r="A699" s="105" t="str">
        <f>IF(D699=1,COUNTIF($D$10:D699,1)," ")</f>
        <v xml:space="preserve"> </v>
      </c>
      <c r="B699" s="106" t="str">
        <f>COPY!AR691</f>
        <v/>
      </c>
      <c r="C699" s="107">
        <f>COPY!AC691</f>
        <v>0</v>
      </c>
      <c r="D699" s="107" t="str">
        <f>IF(LEN(Table1722[[#This Row],[Uraian]])&gt;2,1," ")</f>
        <v xml:space="preserve"> </v>
      </c>
      <c r="E699" s="113" t="str">
        <f>IF(Table1722[[#This Row],[Lawan Transaksi]]="CV AGUNG KARYA",COUNTIF($I$10:I699,"CV AGUNG KARYA")," ")</f>
        <v xml:space="preserve"> </v>
      </c>
      <c r="F699" s="107" t="str">
        <f>IF(LEN(Table1722[[#This Row],[Uraian]])&gt;2,TRIM(RIGHT(SUBSTITUTE(TRIM(C699)," ",REPT(" ",255)),255))," ")</f>
        <v xml:space="preserve"> </v>
      </c>
      <c r="G699" s="110">
        <f>COPY!Z691</f>
        <v>0</v>
      </c>
      <c r="H699" s="111" t="str">
        <f>IFERROR(VLOOKUP(Table1722[[#This Row],[Bukti]],'Un nOTA'!$A$4:$K$5003,10,FALSE),"")</f>
        <v/>
      </c>
      <c r="I699" s="112" t="str">
        <f>IFERROR(VLOOKUP(Table1722[[#This Row],[Bukti]],Table13[#Data],11,FALSE),"")</f>
        <v/>
      </c>
    </row>
    <row r="700" spans="1:9" ht="19.5" hidden="1" customHeight="1" x14ac:dyDescent="0.2">
      <c r="A700" s="105" t="str">
        <f>IF(D700=1,COUNTIF($D$10:D700,1)," ")</f>
        <v xml:space="preserve"> </v>
      </c>
      <c r="B700" s="106" t="str">
        <f>COPY!AR692</f>
        <v/>
      </c>
      <c r="C700" s="107">
        <f>COPY!AC692</f>
        <v>0</v>
      </c>
      <c r="D700" s="107" t="str">
        <f>IF(LEN(Table1722[[#This Row],[Uraian]])&gt;2,1," ")</f>
        <v xml:space="preserve"> </v>
      </c>
      <c r="E700" s="113" t="str">
        <f>IF(Table1722[[#This Row],[Lawan Transaksi]]="CV AGUNG KARYA",COUNTIF($I$10:I700,"CV AGUNG KARYA")," ")</f>
        <v xml:space="preserve"> </v>
      </c>
      <c r="F700" s="107" t="str">
        <f>IF(LEN(Table1722[[#This Row],[Uraian]])&gt;2,TRIM(RIGHT(SUBSTITUTE(TRIM(C700)," ",REPT(" ",255)),255))," ")</f>
        <v xml:space="preserve"> </v>
      </c>
      <c r="G700" s="110">
        <f>COPY!Z692</f>
        <v>0</v>
      </c>
      <c r="H700" s="111" t="str">
        <f>IFERROR(VLOOKUP(Table1722[[#This Row],[Bukti]],'Un nOTA'!$A$4:$K$5003,10,FALSE),"")</f>
        <v/>
      </c>
      <c r="I700" s="112" t="str">
        <f>IFERROR(VLOOKUP(Table1722[[#This Row],[Bukti]],Table13[#Data],11,FALSE),"")</f>
        <v/>
      </c>
    </row>
    <row r="701" spans="1:9" ht="19.5" hidden="1" customHeight="1" x14ac:dyDescent="0.2">
      <c r="A701" s="105" t="str">
        <f>IF(D701=1,COUNTIF($D$10:D701,1)," ")</f>
        <v xml:space="preserve"> </v>
      </c>
      <c r="B701" s="106" t="str">
        <f>COPY!AR693</f>
        <v/>
      </c>
      <c r="C701" s="107">
        <f>COPY!AC693</f>
        <v>0</v>
      </c>
      <c r="D701" s="107" t="str">
        <f>IF(LEN(Table1722[[#This Row],[Uraian]])&gt;2,1," ")</f>
        <v xml:space="preserve"> </v>
      </c>
      <c r="E701" s="113" t="str">
        <f>IF(Table1722[[#This Row],[Lawan Transaksi]]="CV AGUNG KARYA",COUNTIF($I$10:I701,"CV AGUNG KARYA")," ")</f>
        <v xml:space="preserve"> </v>
      </c>
      <c r="F701" s="107" t="str">
        <f>IF(LEN(Table1722[[#This Row],[Uraian]])&gt;2,TRIM(RIGHT(SUBSTITUTE(TRIM(C701)," ",REPT(" ",255)),255))," ")</f>
        <v xml:space="preserve"> </v>
      </c>
      <c r="G701" s="110">
        <f>COPY!Z693</f>
        <v>0</v>
      </c>
      <c r="H701" s="111" t="str">
        <f>IFERROR(VLOOKUP(Table1722[[#This Row],[Bukti]],'Un nOTA'!$A$4:$K$5003,10,FALSE),"")</f>
        <v/>
      </c>
      <c r="I701" s="112" t="str">
        <f>IFERROR(VLOOKUP(Table1722[[#This Row],[Bukti]],Table13[#Data],11,FALSE),"")</f>
        <v/>
      </c>
    </row>
    <row r="702" spans="1:9" ht="19.5" hidden="1" customHeight="1" x14ac:dyDescent="0.2">
      <c r="A702" s="105" t="str">
        <f>IF(D702=1,COUNTIF($D$10:D702,1)," ")</f>
        <v xml:space="preserve"> </v>
      </c>
      <c r="B702" s="106" t="str">
        <f>COPY!AR694</f>
        <v/>
      </c>
      <c r="C702" s="107">
        <f>COPY!AC694</f>
        <v>0</v>
      </c>
      <c r="D702" s="107" t="str">
        <f>IF(LEN(Table1722[[#This Row],[Uraian]])&gt;2,1," ")</f>
        <v xml:space="preserve"> </v>
      </c>
      <c r="E702" s="113" t="str">
        <f>IF(Table1722[[#This Row],[Lawan Transaksi]]="CV AGUNG KARYA",COUNTIF($I$10:I702,"CV AGUNG KARYA")," ")</f>
        <v xml:space="preserve"> </v>
      </c>
      <c r="F702" s="107" t="str">
        <f>IF(LEN(Table1722[[#This Row],[Uraian]])&gt;2,TRIM(RIGHT(SUBSTITUTE(TRIM(C702)," ",REPT(" ",255)),255))," ")</f>
        <v xml:space="preserve"> </v>
      </c>
      <c r="G702" s="110">
        <f>COPY!Z694</f>
        <v>0</v>
      </c>
      <c r="H702" s="111" t="str">
        <f>IFERROR(VLOOKUP(Table1722[[#This Row],[Bukti]],'Un nOTA'!$A$4:$K$5003,10,FALSE),"")</f>
        <v/>
      </c>
      <c r="I702" s="112" t="str">
        <f>IFERROR(VLOOKUP(Table1722[[#This Row],[Bukti]],Table13[#Data],11,FALSE),"")</f>
        <v/>
      </c>
    </row>
    <row r="703" spans="1:9" ht="19.5" hidden="1" customHeight="1" x14ac:dyDescent="0.2">
      <c r="A703" s="105" t="str">
        <f>IF(D703=1,COUNTIF($D$10:D703,1)," ")</f>
        <v xml:space="preserve"> </v>
      </c>
      <c r="B703" s="106" t="str">
        <f>COPY!AR695</f>
        <v/>
      </c>
      <c r="C703" s="107">
        <f>COPY!AC695</f>
        <v>0</v>
      </c>
      <c r="D703" s="107" t="str">
        <f>IF(LEN(Table1722[[#This Row],[Uraian]])&gt;2,1," ")</f>
        <v xml:space="preserve"> </v>
      </c>
      <c r="E703" s="113" t="str">
        <f>IF(Table1722[[#This Row],[Lawan Transaksi]]="CV AGUNG KARYA",COUNTIF($I$10:I703,"CV AGUNG KARYA")," ")</f>
        <v xml:space="preserve"> </v>
      </c>
      <c r="F703" s="107" t="str">
        <f>IF(LEN(Table1722[[#This Row],[Uraian]])&gt;2,TRIM(RIGHT(SUBSTITUTE(TRIM(C703)," ",REPT(" ",255)),255))," ")</f>
        <v xml:space="preserve"> </v>
      </c>
      <c r="G703" s="110">
        <f>COPY!Z695</f>
        <v>0</v>
      </c>
      <c r="H703" s="111" t="str">
        <f>IFERROR(VLOOKUP(Table1722[[#This Row],[Bukti]],'Un nOTA'!$A$4:$K$5003,10,FALSE),"")</f>
        <v/>
      </c>
      <c r="I703" s="112" t="str">
        <f>IFERROR(VLOOKUP(Table1722[[#This Row],[Bukti]],Table13[#Data],11,FALSE),"")</f>
        <v/>
      </c>
    </row>
    <row r="704" spans="1:9" ht="19.5" hidden="1" customHeight="1" x14ac:dyDescent="0.2">
      <c r="A704" s="105" t="str">
        <f>IF(D704=1,COUNTIF($D$10:D704,1)," ")</f>
        <v xml:space="preserve"> </v>
      </c>
      <c r="B704" s="106" t="str">
        <f>COPY!AR696</f>
        <v/>
      </c>
      <c r="C704" s="107">
        <f>COPY!AC696</f>
        <v>0</v>
      </c>
      <c r="D704" s="107" t="str">
        <f>IF(LEN(Table1722[[#This Row],[Uraian]])&gt;2,1," ")</f>
        <v xml:space="preserve"> </v>
      </c>
      <c r="E704" s="113" t="str">
        <f>IF(Table1722[[#This Row],[Lawan Transaksi]]="CV AGUNG KARYA",COUNTIF($I$10:I704,"CV AGUNG KARYA")," ")</f>
        <v xml:space="preserve"> </v>
      </c>
      <c r="F704" s="107" t="str">
        <f>IF(LEN(Table1722[[#This Row],[Uraian]])&gt;2,TRIM(RIGHT(SUBSTITUTE(TRIM(C704)," ",REPT(" ",255)),255))," ")</f>
        <v xml:space="preserve"> </v>
      </c>
      <c r="G704" s="110">
        <f>COPY!Z696</f>
        <v>0</v>
      </c>
      <c r="H704" s="111" t="str">
        <f>IFERROR(VLOOKUP(Table1722[[#This Row],[Bukti]],'Un nOTA'!$A$4:$K$5003,10,FALSE),"")</f>
        <v/>
      </c>
      <c r="I704" s="112" t="str">
        <f>IFERROR(VLOOKUP(Table1722[[#This Row],[Bukti]],Table13[#Data],11,FALSE),"")</f>
        <v/>
      </c>
    </row>
    <row r="705" spans="1:9" ht="19.5" hidden="1" customHeight="1" x14ac:dyDescent="0.2">
      <c r="A705" s="105" t="str">
        <f>IF(D705=1,COUNTIF($D$10:D705,1)," ")</f>
        <v xml:space="preserve"> </v>
      </c>
      <c r="B705" s="106" t="str">
        <f>COPY!AR697</f>
        <v/>
      </c>
      <c r="C705" s="107">
        <f>COPY!AC697</f>
        <v>0</v>
      </c>
      <c r="D705" s="107" t="str">
        <f>IF(LEN(Table1722[[#This Row],[Uraian]])&gt;2,1," ")</f>
        <v xml:space="preserve"> </v>
      </c>
      <c r="E705" s="113" t="str">
        <f>IF(Table1722[[#This Row],[Lawan Transaksi]]="CV AGUNG KARYA",COUNTIF($I$10:I705,"CV AGUNG KARYA")," ")</f>
        <v xml:space="preserve"> </v>
      </c>
      <c r="F705" s="107" t="str">
        <f>IF(LEN(Table1722[[#This Row],[Uraian]])&gt;2,TRIM(RIGHT(SUBSTITUTE(TRIM(C705)," ",REPT(" ",255)),255))," ")</f>
        <v xml:space="preserve"> </v>
      </c>
      <c r="G705" s="110">
        <f>COPY!Z697</f>
        <v>0</v>
      </c>
      <c r="H705" s="111" t="str">
        <f>IFERROR(VLOOKUP(Table1722[[#This Row],[Bukti]],'Un nOTA'!$A$4:$K$5003,10,FALSE),"")</f>
        <v/>
      </c>
      <c r="I705" s="112" t="str">
        <f>IFERROR(VLOOKUP(Table1722[[#This Row],[Bukti]],Table13[#Data],11,FALSE),"")</f>
        <v/>
      </c>
    </row>
    <row r="706" spans="1:9" ht="19.5" hidden="1" customHeight="1" x14ac:dyDescent="0.2">
      <c r="A706" s="105" t="str">
        <f>IF(D706=1,COUNTIF($D$10:D706,1)," ")</f>
        <v xml:space="preserve"> </v>
      </c>
      <c r="B706" s="106" t="str">
        <f>COPY!AR698</f>
        <v/>
      </c>
      <c r="C706" s="107">
        <f>COPY!AC698</f>
        <v>0</v>
      </c>
      <c r="D706" s="107" t="str">
        <f>IF(LEN(Table1722[[#This Row],[Uraian]])&gt;2,1," ")</f>
        <v xml:space="preserve"> </v>
      </c>
      <c r="E706" s="113" t="str">
        <f>IF(Table1722[[#This Row],[Lawan Transaksi]]="CV AGUNG KARYA",COUNTIF($I$10:I706,"CV AGUNG KARYA")," ")</f>
        <v xml:space="preserve"> </v>
      </c>
      <c r="F706" s="107" t="str">
        <f>IF(LEN(Table1722[[#This Row],[Uraian]])&gt;2,TRIM(RIGHT(SUBSTITUTE(TRIM(C706)," ",REPT(" ",255)),255))," ")</f>
        <v xml:space="preserve"> </v>
      </c>
      <c r="G706" s="110">
        <f>COPY!Z698</f>
        <v>0</v>
      </c>
      <c r="H706" s="111" t="str">
        <f>IFERROR(VLOOKUP(Table1722[[#This Row],[Bukti]],'Un nOTA'!$A$4:$K$5003,10,FALSE),"")</f>
        <v/>
      </c>
      <c r="I706" s="112" t="str">
        <f>IFERROR(VLOOKUP(Table1722[[#This Row],[Bukti]],Table13[#Data],11,FALSE),"")</f>
        <v/>
      </c>
    </row>
    <row r="707" spans="1:9" ht="19.5" hidden="1" customHeight="1" x14ac:dyDescent="0.2">
      <c r="A707" s="105" t="str">
        <f>IF(D707=1,COUNTIF($D$10:D707,1)," ")</f>
        <v xml:space="preserve"> </v>
      </c>
      <c r="B707" s="106" t="str">
        <f>COPY!AR699</f>
        <v/>
      </c>
      <c r="C707" s="107">
        <f>COPY!AC699</f>
        <v>0</v>
      </c>
      <c r="D707" s="107" t="str">
        <f>IF(LEN(Table1722[[#This Row],[Uraian]])&gt;2,1," ")</f>
        <v xml:space="preserve"> </v>
      </c>
      <c r="E707" s="113" t="str">
        <f>IF(Table1722[[#This Row],[Lawan Transaksi]]="CV AGUNG KARYA",COUNTIF($I$10:I707,"CV AGUNG KARYA")," ")</f>
        <v xml:space="preserve"> </v>
      </c>
      <c r="F707" s="107" t="str">
        <f>IF(LEN(Table1722[[#This Row],[Uraian]])&gt;2,TRIM(RIGHT(SUBSTITUTE(TRIM(C707)," ",REPT(" ",255)),255))," ")</f>
        <v xml:space="preserve"> </v>
      </c>
      <c r="G707" s="110">
        <f>COPY!Z699</f>
        <v>0</v>
      </c>
      <c r="H707" s="111" t="str">
        <f>IFERROR(VLOOKUP(Table1722[[#This Row],[Bukti]],'Un nOTA'!$A$4:$K$5003,10,FALSE),"")</f>
        <v/>
      </c>
      <c r="I707" s="112" t="str">
        <f>IFERROR(VLOOKUP(Table1722[[#This Row],[Bukti]],Table13[#Data],11,FALSE),"")</f>
        <v/>
      </c>
    </row>
    <row r="708" spans="1:9" ht="19.5" hidden="1" customHeight="1" x14ac:dyDescent="0.2">
      <c r="A708" s="105" t="str">
        <f>IF(D708=1,COUNTIF($D$10:D708,1)," ")</f>
        <v xml:space="preserve"> </v>
      </c>
      <c r="B708" s="106" t="str">
        <f>COPY!AR700</f>
        <v/>
      </c>
      <c r="C708" s="107">
        <f>COPY!AC700</f>
        <v>0</v>
      </c>
      <c r="D708" s="107" t="str">
        <f>IF(LEN(Table1722[[#This Row],[Uraian]])&gt;2,1," ")</f>
        <v xml:space="preserve"> </v>
      </c>
      <c r="E708" s="113" t="str">
        <f>IF(Table1722[[#This Row],[Lawan Transaksi]]="CV AGUNG KARYA",COUNTIF($I$10:I708,"CV AGUNG KARYA")," ")</f>
        <v xml:space="preserve"> </v>
      </c>
      <c r="F708" s="107" t="str">
        <f>IF(LEN(Table1722[[#This Row],[Uraian]])&gt;2,TRIM(RIGHT(SUBSTITUTE(TRIM(C708)," ",REPT(" ",255)),255))," ")</f>
        <v xml:space="preserve"> </v>
      </c>
      <c r="G708" s="110">
        <f>COPY!Z700</f>
        <v>0</v>
      </c>
      <c r="H708" s="111" t="str">
        <f>IFERROR(VLOOKUP(Table1722[[#This Row],[Bukti]],'Un nOTA'!$A$4:$K$5003,10,FALSE),"")</f>
        <v/>
      </c>
      <c r="I708" s="112" t="str">
        <f>IFERROR(VLOOKUP(Table1722[[#This Row],[Bukti]],Table13[#Data],11,FALSE),"")</f>
        <v/>
      </c>
    </row>
    <row r="709" spans="1:9" ht="19.5" hidden="1" customHeight="1" x14ac:dyDescent="0.2">
      <c r="A709" s="105" t="str">
        <f>IF(D709=1,COUNTIF($D$10:D709,1)," ")</f>
        <v xml:space="preserve"> </v>
      </c>
      <c r="B709" s="106" t="str">
        <f>COPY!AR701</f>
        <v/>
      </c>
      <c r="C709" s="107">
        <f>COPY!AC701</f>
        <v>0</v>
      </c>
      <c r="D709" s="107" t="str">
        <f>IF(LEN(Table1722[[#This Row],[Uraian]])&gt;2,1," ")</f>
        <v xml:space="preserve"> </v>
      </c>
      <c r="E709" s="113" t="str">
        <f>IF(Table1722[[#This Row],[Lawan Transaksi]]="CV AGUNG KARYA",COUNTIF($I$10:I709,"CV AGUNG KARYA")," ")</f>
        <v xml:space="preserve"> </v>
      </c>
      <c r="F709" s="107" t="str">
        <f>IF(LEN(Table1722[[#This Row],[Uraian]])&gt;2,TRIM(RIGHT(SUBSTITUTE(TRIM(C709)," ",REPT(" ",255)),255))," ")</f>
        <v xml:space="preserve"> </v>
      </c>
      <c r="G709" s="110">
        <f>COPY!Z701</f>
        <v>0</v>
      </c>
      <c r="H709" s="111" t="str">
        <f>IFERROR(VLOOKUP(Table1722[[#This Row],[Bukti]],'Un nOTA'!$A$4:$K$5003,10,FALSE),"")</f>
        <v/>
      </c>
      <c r="I709" s="112" t="str">
        <f>IFERROR(VLOOKUP(Table1722[[#This Row],[Bukti]],Table13[#Data],11,FALSE),"")</f>
        <v/>
      </c>
    </row>
    <row r="710" spans="1:9" ht="19.5" hidden="1" customHeight="1" x14ac:dyDescent="0.2">
      <c r="A710" s="105" t="str">
        <f>IF(D710=1,COUNTIF($D$10:D710,1)," ")</f>
        <v xml:space="preserve"> </v>
      </c>
      <c r="B710" s="106" t="str">
        <f>COPY!AR702</f>
        <v/>
      </c>
      <c r="C710" s="107">
        <f>COPY!AC702</f>
        <v>0</v>
      </c>
      <c r="D710" s="107" t="str">
        <f>IF(LEN(Table1722[[#This Row],[Uraian]])&gt;2,1," ")</f>
        <v xml:space="preserve"> </v>
      </c>
      <c r="E710" s="113" t="str">
        <f>IF(Table1722[[#This Row],[Lawan Transaksi]]="CV AGUNG KARYA",COUNTIF($I$10:I710,"CV AGUNG KARYA")," ")</f>
        <v xml:space="preserve"> </v>
      </c>
      <c r="F710" s="107" t="str">
        <f>IF(LEN(Table1722[[#This Row],[Uraian]])&gt;2,TRIM(RIGHT(SUBSTITUTE(TRIM(C710)," ",REPT(" ",255)),255))," ")</f>
        <v xml:space="preserve"> </v>
      </c>
      <c r="G710" s="110">
        <f>COPY!Z702</f>
        <v>0</v>
      </c>
      <c r="H710" s="111" t="str">
        <f>IFERROR(VLOOKUP(Table1722[[#This Row],[Bukti]],'Un nOTA'!$A$4:$K$5003,10,FALSE),"")</f>
        <v/>
      </c>
      <c r="I710" s="112" t="str">
        <f>IFERROR(VLOOKUP(Table1722[[#This Row],[Bukti]],Table13[#Data],11,FALSE),"")</f>
        <v/>
      </c>
    </row>
    <row r="711" spans="1:9" ht="19.5" hidden="1" customHeight="1" x14ac:dyDescent="0.2">
      <c r="A711" s="105" t="str">
        <f>IF(D711=1,COUNTIF($D$10:D711,1)," ")</f>
        <v xml:space="preserve"> </v>
      </c>
      <c r="B711" s="106" t="str">
        <f>COPY!AR703</f>
        <v/>
      </c>
      <c r="C711" s="107">
        <f>COPY!AC703</f>
        <v>0</v>
      </c>
      <c r="D711" s="107" t="str">
        <f>IF(LEN(Table1722[[#This Row],[Uraian]])&gt;2,1," ")</f>
        <v xml:space="preserve"> </v>
      </c>
      <c r="E711" s="113" t="str">
        <f>IF(Table1722[[#This Row],[Lawan Transaksi]]="CV AGUNG KARYA",COUNTIF($I$10:I711,"CV AGUNG KARYA")," ")</f>
        <v xml:space="preserve"> </v>
      </c>
      <c r="F711" s="107" t="str">
        <f>IF(LEN(Table1722[[#This Row],[Uraian]])&gt;2,TRIM(RIGHT(SUBSTITUTE(TRIM(C711)," ",REPT(" ",255)),255))," ")</f>
        <v xml:space="preserve"> </v>
      </c>
      <c r="G711" s="110">
        <f>COPY!Z703</f>
        <v>0</v>
      </c>
      <c r="H711" s="111" t="str">
        <f>IFERROR(VLOOKUP(Table1722[[#This Row],[Bukti]],'Un nOTA'!$A$4:$K$5003,10,FALSE),"")</f>
        <v/>
      </c>
      <c r="I711" s="112" t="str">
        <f>IFERROR(VLOOKUP(Table1722[[#This Row],[Bukti]],Table13[#Data],11,FALSE),"")</f>
        <v/>
      </c>
    </row>
    <row r="712" spans="1:9" ht="19.5" hidden="1" customHeight="1" x14ac:dyDescent="0.2">
      <c r="A712" s="105" t="str">
        <f>IF(D712=1,COUNTIF($D$10:D712,1)," ")</f>
        <v xml:space="preserve"> </v>
      </c>
      <c r="B712" s="106" t="str">
        <f>COPY!AR704</f>
        <v/>
      </c>
      <c r="C712" s="107">
        <f>COPY!AC704</f>
        <v>0</v>
      </c>
      <c r="D712" s="107" t="str">
        <f>IF(LEN(Table1722[[#This Row],[Uraian]])&gt;2,1," ")</f>
        <v xml:space="preserve"> </v>
      </c>
      <c r="E712" s="113" t="str">
        <f>IF(Table1722[[#This Row],[Lawan Transaksi]]="CV AGUNG KARYA",COUNTIF($I$10:I712,"CV AGUNG KARYA")," ")</f>
        <v xml:space="preserve"> </v>
      </c>
      <c r="F712" s="107" t="str">
        <f>IF(LEN(Table1722[[#This Row],[Uraian]])&gt;2,TRIM(RIGHT(SUBSTITUTE(TRIM(C712)," ",REPT(" ",255)),255))," ")</f>
        <v xml:space="preserve"> </v>
      </c>
      <c r="G712" s="110">
        <f>COPY!Z704</f>
        <v>0</v>
      </c>
      <c r="H712" s="111" t="str">
        <f>IFERROR(VLOOKUP(Table1722[[#This Row],[Bukti]],'Un nOTA'!$A$4:$K$5003,10,FALSE),"")</f>
        <v/>
      </c>
      <c r="I712" s="112" t="str">
        <f>IFERROR(VLOOKUP(Table1722[[#This Row],[Bukti]],Table13[#Data],11,FALSE),"")</f>
        <v/>
      </c>
    </row>
    <row r="713" spans="1:9" ht="19.5" hidden="1" customHeight="1" x14ac:dyDescent="0.2">
      <c r="A713" s="105" t="str">
        <f>IF(D713=1,COUNTIF($D$10:D713,1)," ")</f>
        <v xml:space="preserve"> </v>
      </c>
      <c r="B713" s="106" t="str">
        <f>COPY!AR705</f>
        <v/>
      </c>
      <c r="C713" s="107">
        <f>COPY!AC705</f>
        <v>0</v>
      </c>
      <c r="D713" s="107" t="str">
        <f>IF(LEN(Table1722[[#This Row],[Uraian]])&gt;2,1," ")</f>
        <v xml:space="preserve"> </v>
      </c>
      <c r="E713" s="113" t="str">
        <f>IF(Table1722[[#This Row],[Lawan Transaksi]]="CV AGUNG KARYA",COUNTIF($I$10:I713,"CV AGUNG KARYA")," ")</f>
        <v xml:space="preserve"> </v>
      </c>
      <c r="F713" s="107" t="str">
        <f>IF(LEN(Table1722[[#This Row],[Uraian]])&gt;2,TRIM(RIGHT(SUBSTITUTE(TRIM(C713)," ",REPT(" ",255)),255))," ")</f>
        <v xml:space="preserve"> </v>
      </c>
      <c r="G713" s="110">
        <f>COPY!Z705</f>
        <v>0</v>
      </c>
      <c r="H713" s="111" t="str">
        <f>IFERROR(VLOOKUP(Table1722[[#This Row],[Bukti]],'Un nOTA'!$A$4:$K$5003,10,FALSE),"")</f>
        <v/>
      </c>
      <c r="I713" s="112" t="str">
        <f>IFERROR(VLOOKUP(Table1722[[#This Row],[Bukti]],Table13[#Data],11,FALSE),"")</f>
        <v/>
      </c>
    </row>
    <row r="714" spans="1:9" ht="19.5" hidden="1" customHeight="1" x14ac:dyDescent="0.2">
      <c r="A714" s="105" t="str">
        <f>IF(D714=1,COUNTIF($D$10:D714,1)," ")</f>
        <v xml:space="preserve"> </v>
      </c>
      <c r="B714" s="106" t="str">
        <f>COPY!AR706</f>
        <v/>
      </c>
      <c r="C714" s="107">
        <f>COPY!AC706</f>
        <v>0</v>
      </c>
      <c r="D714" s="107" t="str">
        <f>IF(LEN(Table1722[[#This Row],[Uraian]])&gt;2,1," ")</f>
        <v xml:space="preserve"> </v>
      </c>
      <c r="E714" s="113" t="str">
        <f>IF(Table1722[[#This Row],[Lawan Transaksi]]="CV AGUNG KARYA",COUNTIF($I$10:I714,"CV AGUNG KARYA")," ")</f>
        <v xml:space="preserve"> </v>
      </c>
      <c r="F714" s="107" t="str">
        <f>IF(LEN(Table1722[[#This Row],[Uraian]])&gt;2,TRIM(RIGHT(SUBSTITUTE(TRIM(C714)," ",REPT(" ",255)),255))," ")</f>
        <v xml:space="preserve"> </v>
      </c>
      <c r="G714" s="110">
        <f>COPY!Z706</f>
        <v>0</v>
      </c>
      <c r="H714" s="111" t="str">
        <f>IFERROR(VLOOKUP(Table1722[[#This Row],[Bukti]],'Un nOTA'!$A$4:$K$5003,10,FALSE),"")</f>
        <v/>
      </c>
      <c r="I714" s="112" t="str">
        <f>IFERROR(VLOOKUP(Table1722[[#This Row],[Bukti]],Table13[#Data],11,FALSE),"")</f>
        <v/>
      </c>
    </row>
    <row r="715" spans="1:9" ht="19.5" hidden="1" customHeight="1" x14ac:dyDescent="0.2">
      <c r="A715" s="105" t="str">
        <f>IF(D715=1,COUNTIF($D$10:D715,1)," ")</f>
        <v xml:space="preserve"> </v>
      </c>
      <c r="B715" s="106" t="str">
        <f>COPY!AR707</f>
        <v/>
      </c>
      <c r="C715" s="107">
        <f>COPY!AC707</f>
        <v>0</v>
      </c>
      <c r="D715" s="107" t="str">
        <f>IF(LEN(Table1722[[#This Row],[Uraian]])&gt;2,1," ")</f>
        <v xml:space="preserve"> </v>
      </c>
      <c r="E715" s="113" t="str">
        <f>IF(Table1722[[#This Row],[Lawan Transaksi]]="CV AGUNG KARYA",COUNTIF($I$10:I715,"CV AGUNG KARYA")," ")</f>
        <v xml:space="preserve"> </v>
      </c>
      <c r="F715" s="107" t="str">
        <f>IF(LEN(Table1722[[#This Row],[Uraian]])&gt;2,TRIM(RIGHT(SUBSTITUTE(TRIM(C715)," ",REPT(" ",255)),255))," ")</f>
        <v xml:space="preserve"> </v>
      </c>
      <c r="G715" s="110">
        <f>COPY!Z707</f>
        <v>0</v>
      </c>
      <c r="H715" s="111" t="str">
        <f>IFERROR(VLOOKUP(Table1722[[#This Row],[Bukti]],'Un nOTA'!$A$4:$K$5003,10,FALSE),"")</f>
        <v/>
      </c>
      <c r="I715" s="112" t="str">
        <f>IFERROR(VLOOKUP(Table1722[[#This Row],[Bukti]],Table13[#Data],11,FALSE),"")</f>
        <v/>
      </c>
    </row>
    <row r="716" spans="1:9" ht="19.5" hidden="1" customHeight="1" x14ac:dyDescent="0.2">
      <c r="A716" s="105" t="str">
        <f>IF(D716=1,COUNTIF($D$10:D716,1)," ")</f>
        <v xml:space="preserve"> </v>
      </c>
      <c r="B716" s="106" t="str">
        <f>COPY!AR708</f>
        <v/>
      </c>
      <c r="C716" s="107">
        <f>COPY!AC708</f>
        <v>0</v>
      </c>
      <c r="D716" s="107" t="str">
        <f>IF(LEN(Table1722[[#This Row],[Uraian]])&gt;2,1," ")</f>
        <v xml:space="preserve"> </v>
      </c>
      <c r="E716" s="113" t="str">
        <f>IF(Table1722[[#This Row],[Lawan Transaksi]]="CV AGUNG KARYA",COUNTIF($I$10:I716,"CV AGUNG KARYA")," ")</f>
        <v xml:space="preserve"> </v>
      </c>
      <c r="F716" s="107" t="str">
        <f>IF(LEN(Table1722[[#This Row],[Uraian]])&gt;2,TRIM(RIGHT(SUBSTITUTE(TRIM(C716)," ",REPT(" ",255)),255))," ")</f>
        <v xml:space="preserve"> </v>
      </c>
      <c r="G716" s="110">
        <f>COPY!Z708</f>
        <v>0</v>
      </c>
      <c r="H716" s="111" t="str">
        <f>IFERROR(VLOOKUP(Table1722[[#This Row],[Bukti]],'Un nOTA'!$A$4:$K$5003,10,FALSE),"")</f>
        <v/>
      </c>
      <c r="I716" s="112" t="str">
        <f>IFERROR(VLOOKUP(Table1722[[#This Row],[Bukti]],Table13[#Data],11,FALSE),"")</f>
        <v/>
      </c>
    </row>
    <row r="717" spans="1:9" ht="19.5" hidden="1" customHeight="1" x14ac:dyDescent="0.2">
      <c r="A717" s="105" t="str">
        <f>IF(D717=1,COUNTIF($D$10:D717,1)," ")</f>
        <v xml:space="preserve"> </v>
      </c>
      <c r="B717" s="106" t="str">
        <f>COPY!AR709</f>
        <v/>
      </c>
      <c r="C717" s="107">
        <f>COPY!AC709</f>
        <v>0</v>
      </c>
      <c r="D717" s="107" t="str">
        <f>IF(LEN(Table1722[[#This Row],[Uraian]])&gt;2,1," ")</f>
        <v xml:space="preserve"> </v>
      </c>
      <c r="E717" s="113" t="str">
        <f>IF(Table1722[[#This Row],[Lawan Transaksi]]="CV AGUNG KARYA",COUNTIF($I$10:I717,"CV AGUNG KARYA")," ")</f>
        <v xml:space="preserve"> </v>
      </c>
      <c r="F717" s="107" t="str">
        <f>IF(LEN(Table1722[[#This Row],[Uraian]])&gt;2,TRIM(RIGHT(SUBSTITUTE(TRIM(C717)," ",REPT(" ",255)),255))," ")</f>
        <v xml:space="preserve"> </v>
      </c>
      <c r="G717" s="110">
        <f>COPY!Z709</f>
        <v>0</v>
      </c>
      <c r="H717" s="111" t="str">
        <f>IFERROR(VLOOKUP(Table1722[[#This Row],[Bukti]],'Un nOTA'!$A$4:$K$5003,10,FALSE),"")</f>
        <v/>
      </c>
      <c r="I717" s="112" t="str">
        <f>IFERROR(VLOOKUP(Table1722[[#This Row],[Bukti]],Table13[#Data],11,FALSE),"")</f>
        <v/>
      </c>
    </row>
    <row r="718" spans="1:9" ht="19.5" hidden="1" customHeight="1" x14ac:dyDescent="0.2">
      <c r="A718" s="105" t="str">
        <f>IF(D718=1,COUNTIF($D$10:D718,1)," ")</f>
        <v xml:space="preserve"> </v>
      </c>
      <c r="B718" s="106" t="str">
        <f>COPY!AR710</f>
        <v/>
      </c>
      <c r="C718" s="107">
        <f>COPY!AC710</f>
        <v>0</v>
      </c>
      <c r="D718" s="107" t="str">
        <f>IF(LEN(Table1722[[#This Row],[Uraian]])&gt;2,1," ")</f>
        <v xml:space="preserve"> </v>
      </c>
      <c r="E718" s="113" t="str">
        <f>IF(Table1722[[#This Row],[Lawan Transaksi]]="CV AGUNG KARYA",COUNTIF($I$10:I718,"CV AGUNG KARYA")," ")</f>
        <v xml:space="preserve"> </v>
      </c>
      <c r="F718" s="107" t="str">
        <f>IF(LEN(Table1722[[#This Row],[Uraian]])&gt;2,TRIM(RIGHT(SUBSTITUTE(TRIM(C718)," ",REPT(" ",255)),255))," ")</f>
        <v xml:space="preserve"> </v>
      </c>
      <c r="G718" s="110">
        <f>COPY!Z710</f>
        <v>0</v>
      </c>
      <c r="H718" s="111" t="str">
        <f>IFERROR(VLOOKUP(Table1722[[#This Row],[Bukti]],'Un nOTA'!$A$4:$K$5003,10,FALSE),"")</f>
        <v/>
      </c>
      <c r="I718" s="112" t="str">
        <f>IFERROR(VLOOKUP(Table1722[[#This Row],[Bukti]],Table13[#Data],11,FALSE),"")</f>
        <v/>
      </c>
    </row>
    <row r="719" spans="1:9" ht="19.5" hidden="1" customHeight="1" x14ac:dyDescent="0.2">
      <c r="A719" s="105" t="str">
        <f>IF(D719=1,COUNTIF($D$10:D719,1)," ")</f>
        <v xml:space="preserve"> </v>
      </c>
      <c r="B719" s="106" t="str">
        <f>COPY!AR711</f>
        <v/>
      </c>
      <c r="C719" s="107">
        <f>COPY!AC711</f>
        <v>0</v>
      </c>
      <c r="D719" s="107" t="str">
        <f>IF(LEN(Table1722[[#This Row],[Uraian]])&gt;2,1," ")</f>
        <v xml:space="preserve"> </v>
      </c>
      <c r="E719" s="113" t="str">
        <f>IF(Table1722[[#This Row],[Lawan Transaksi]]="CV AGUNG KARYA",COUNTIF($I$10:I719,"CV AGUNG KARYA")," ")</f>
        <v xml:space="preserve"> </v>
      </c>
      <c r="F719" s="107" t="str">
        <f>IF(LEN(Table1722[[#This Row],[Uraian]])&gt;2,TRIM(RIGHT(SUBSTITUTE(TRIM(C719)," ",REPT(" ",255)),255))," ")</f>
        <v xml:space="preserve"> </v>
      </c>
      <c r="G719" s="110">
        <f>COPY!Z711</f>
        <v>0</v>
      </c>
      <c r="H719" s="111" t="str">
        <f>IFERROR(VLOOKUP(Table1722[[#This Row],[Bukti]],'Un nOTA'!$A$4:$K$5003,10,FALSE),"")</f>
        <v/>
      </c>
      <c r="I719" s="112" t="str">
        <f>IFERROR(VLOOKUP(Table1722[[#This Row],[Bukti]],Table13[#Data],11,FALSE),"")</f>
        <v/>
      </c>
    </row>
    <row r="720" spans="1:9" ht="19.5" hidden="1" customHeight="1" x14ac:dyDescent="0.2">
      <c r="A720" s="105" t="str">
        <f>IF(D720=1,COUNTIF($D$10:D720,1)," ")</f>
        <v xml:space="preserve"> </v>
      </c>
      <c r="B720" s="106" t="str">
        <f>COPY!AR712</f>
        <v/>
      </c>
      <c r="C720" s="107">
        <f>COPY!AC712</f>
        <v>0</v>
      </c>
      <c r="D720" s="107" t="str">
        <f>IF(LEN(Table1722[[#This Row],[Uraian]])&gt;2,1," ")</f>
        <v xml:space="preserve"> </v>
      </c>
      <c r="E720" s="113" t="str">
        <f>IF(Table1722[[#This Row],[Lawan Transaksi]]="CV AGUNG KARYA",COUNTIF($I$10:I720,"CV AGUNG KARYA")," ")</f>
        <v xml:space="preserve"> </v>
      </c>
      <c r="F720" s="107" t="str">
        <f>IF(LEN(Table1722[[#This Row],[Uraian]])&gt;2,TRIM(RIGHT(SUBSTITUTE(TRIM(C720)," ",REPT(" ",255)),255))," ")</f>
        <v xml:space="preserve"> </v>
      </c>
      <c r="G720" s="110">
        <f>COPY!Z712</f>
        <v>0</v>
      </c>
      <c r="H720" s="111" t="str">
        <f>IFERROR(VLOOKUP(Table1722[[#This Row],[Bukti]],'Un nOTA'!$A$4:$K$5003,10,FALSE),"")</f>
        <v/>
      </c>
      <c r="I720" s="112" t="str">
        <f>IFERROR(VLOOKUP(Table1722[[#This Row],[Bukti]],Table13[#Data],11,FALSE),"")</f>
        <v/>
      </c>
    </row>
    <row r="721" spans="1:9" ht="19.5" hidden="1" customHeight="1" x14ac:dyDescent="0.2">
      <c r="A721" s="105" t="str">
        <f>IF(D721=1,COUNTIF($D$10:D721,1)," ")</f>
        <v xml:space="preserve"> </v>
      </c>
      <c r="B721" s="106" t="str">
        <f>COPY!AR713</f>
        <v/>
      </c>
      <c r="C721" s="107">
        <f>COPY!AC713</f>
        <v>0</v>
      </c>
      <c r="D721" s="107" t="str">
        <f>IF(LEN(Table1722[[#This Row],[Uraian]])&gt;2,1," ")</f>
        <v xml:space="preserve"> </v>
      </c>
      <c r="E721" s="113" t="str">
        <f>IF(Table1722[[#This Row],[Lawan Transaksi]]="CV AGUNG KARYA",COUNTIF($I$10:I721,"CV AGUNG KARYA")," ")</f>
        <v xml:space="preserve"> </v>
      </c>
      <c r="F721" s="107" t="str">
        <f>IF(LEN(Table1722[[#This Row],[Uraian]])&gt;2,TRIM(RIGHT(SUBSTITUTE(TRIM(C721)," ",REPT(" ",255)),255))," ")</f>
        <v xml:space="preserve"> </v>
      </c>
      <c r="G721" s="110">
        <f>COPY!Z713</f>
        <v>0</v>
      </c>
      <c r="H721" s="111" t="str">
        <f>IFERROR(VLOOKUP(Table1722[[#This Row],[Bukti]],'Un nOTA'!$A$4:$K$5003,10,FALSE),"")</f>
        <v/>
      </c>
      <c r="I721" s="112" t="str">
        <f>IFERROR(VLOOKUP(Table1722[[#This Row],[Bukti]],Table13[#Data],11,FALSE),"")</f>
        <v/>
      </c>
    </row>
    <row r="722" spans="1:9" ht="19.5" hidden="1" customHeight="1" x14ac:dyDescent="0.2">
      <c r="A722" s="105" t="str">
        <f>IF(D722=1,COUNTIF($D$10:D722,1)," ")</f>
        <v xml:space="preserve"> </v>
      </c>
      <c r="B722" s="106" t="str">
        <f>COPY!AR714</f>
        <v/>
      </c>
      <c r="C722" s="107">
        <f>COPY!AC714</f>
        <v>0</v>
      </c>
      <c r="D722" s="107" t="str">
        <f>IF(LEN(Table1722[[#This Row],[Uraian]])&gt;2,1," ")</f>
        <v xml:space="preserve"> </v>
      </c>
      <c r="E722" s="113" t="str">
        <f>IF(Table1722[[#This Row],[Lawan Transaksi]]="CV AGUNG KARYA",COUNTIF($I$10:I722,"CV AGUNG KARYA")," ")</f>
        <v xml:space="preserve"> </v>
      </c>
      <c r="F722" s="107" t="str">
        <f>IF(LEN(Table1722[[#This Row],[Uraian]])&gt;2,TRIM(RIGHT(SUBSTITUTE(TRIM(C722)," ",REPT(" ",255)),255))," ")</f>
        <v xml:space="preserve"> </v>
      </c>
      <c r="G722" s="110">
        <f>COPY!Z714</f>
        <v>0</v>
      </c>
      <c r="H722" s="111" t="str">
        <f>IFERROR(VLOOKUP(Table1722[[#This Row],[Bukti]],'Un nOTA'!$A$4:$K$5003,10,FALSE),"")</f>
        <v/>
      </c>
      <c r="I722" s="112" t="str">
        <f>IFERROR(VLOOKUP(Table1722[[#This Row],[Bukti]],Table13[#Data],11,FALSE),"")</f>
        <v/>
      </c>
    </row>
    <row r="723" spans="1:9" ht="19.5" hidden="1" customHeight="1" x14ac:dyDescent="0.2">
      <c r="A723" s="105" t="str">
        <f>IF(D723=1,COUNTIF($D$10:D723,1)," ")</f>
        <v xml:space="preserve"> </v>
      </c>
      <c r="B723" s="106" t="str">
        <f>COPY!AR715</f>
        <v/>
      </c>
      <c r="C723" s="107">
        <f>COPY!AC715</f>
        <v>0</v>
      </c>
      <c r="D723" s="107" t="str">
        <f>IF(LEN(Table1722[[#This Row],[Uraian]])&gt;2,1," ")</f>
        <v xml:space="preserve"> </v>
      </c>
      <c r="E723" s="113" t="str">
        <f>IF(Table1722[[#This Row],[Lawan Transaksi]]="CV AGUNG KARYA",COUNTIF($I$10:I723,"CV AGUNG KARYA")," ")</f>
        <v xml:space="preserve"> </v>
      </c>
      <c r="F723" s="107" t="str">
        <f>IF(LEN(Table1722[[#This Row],[Uraian]])&gt;2,TRIM(RIGHT(SUBSTITUTE(TRIM(C723)," ",REPT(" ",255)),255))," ")</f>
        <v xml:space="preserve"> </v>
      </c>
      <c r="G723" s="110">
        <f>COPY!Z715</f>
        <v>0</v>
      </c>
      <c r="H723" s="111" t="str">
        <f>IFERROR(VLOOKUP(Table1722[[#This Row],[Bukti]],'Un nOTA'!$A$4:$K$5003,10,FALSE),"")</f>
        <v/>
      </c>
      <c r="I723" s="112" t="str">
        <f>IFERROR(VLOOKUP(Table1722[[#This Row],[Bukti]],Table13[#Data],11,FALSE),"")</f>
        <v/>
      </c>
    </row>
    <row r="724" spans="1:9" ht="19.5" hidden="1" customHeight="1" x14ac:dyDescent="0.2">
      <c r="A724" s="105" t="str">
        <f>IF(D724=1,COUNTIF($D$10:D724,1)," ")</f>
        <v xml:space="preserve"> </v>
      </c>
      <c r="B724" s="106" t="str">
        <f>COPY!AR716</f>
        <v/>
      </c>
      <c r="C724" s="107">
        <f>COPY!AC716</f>
        <v>0</v>
      </c>
      <c r="D724" s="107" t="str">
        <f>IF(LEN(Table1722[[#This Row],[Uraian]])&gt;2,1," ")</f>
        <v xml:space="preserve"> </v>
      </c>
      <c r="E724" s="113" t="str">
        <f>IF(Table1722[[#This Row],[Lawan Transaksi]]="CV AGUNG KARYA",COUNTIF($I$10:I724,"CV AGUNG KARYA")," ")</f>
        <v xml:space="preserve"> </v>
      </c>
      <c r="F724" s="107" t="str">
        <f>IF(LEN(Table1722[[#This Row],[Uraian]])&gt;2,TRIM(RIGHT(SUBSTITUTE(TRIM(C724)," ",REPT(" ",255)),255))," ")</f>
        <v xml:space="preserve"> </v>
      </c>
      <c r="G724" s="110">
        <f>COPY!Z716</f>
        <v>0</v>
      </c>
      <c r="H724" s="111" t="str">
        <f>IFERROR(VLOOKUP(Table1722[[#This Row],[Bukti]],'Un nOTA'!$A$4:$K$5003,10,FALSE),"")</f>
        <v/>
      </c>
      <c r="I724" s="112" t="str">
        <f>IFERROR(VLOOKUP(Table1722[[#This Row],[Bukti]],Table13[#Data],11,FALSE),"")</f>
        <v/>
      </c>
    </row>
    <row r="725" spans="1:9" ht="19.5" hidden="1" customHeight="1" x14ac:dyDescent="0.2">
      <c r="A725" s="105" t="str">
        <f>IF(D725=1,COUNTIF($D$10:D725,1)," ")</f>
        <v xml:space="preserve"> </v>
      </c>
      <c r="B725" s="106" t="str">
        <f>COPY!AR717</f>
        <v/>
      </c>
      <c r="C725" s="107">
        <f>COPY!AC717</f>
        <v>0</v>
      </c>
      <c r="D725" s="107" t="str">
        <f>IF(LEN(Table1722[[#This Row],[Uraian]])&gt;2,1," ")</f>
        <v xml:space="preserve"> </v>
      </c>
      <c r="E725" s="113" t="str">
        <f>IF(Table1722[[#This Row],[Lawan Transaksi]]="CV AGUNG KARYA",COUNTIF($I$10:I725,"CV AGUNG KARYA")," ")</f>
        <v xml:space="preserve"> </v>
      </c>
      <c r="F725" s="107" t="str">
        <f>IF(LEN(Table1722[[#This Row],[Uraian]])&gt;2,TRIM(RIGHT(SUBSTITUTE(TRIM(C725)," ",REPT(" ",255)),255))," ")</f>
        <v xml:space="preserve"> </v>
      </c>
      <c r="G725" s="110">
        <f>COPY!Z717</f>
        <v>0</v>
      </c>
      <c r="H725" s="111" t="str">
        <f>IFERROR(VLOOKUP(Table1722[[#This Row],[Bukti]],'Un nOTA'!$A$4:$K$5003,10,FALSE),"")</f>
        <v/>
      </c>
      <c r="I725" s="112" t="str">
        <f>IFERROR(VLOOKUP(Table1722[[#This Row],[Bukti]],Table13[#Data],11,FALSE),"")</f>
        <v/>
      </c>
    </row>
    <row r="726" spans="1:9" ht="19.5" hidden="1" customHeight="1" x14ac:dyDescent="0.2">
      <c r="A726" s="105" t="str">
        <f>IF(D726=1,COUNTIF($D$10:D726,1)," ")</f>
        <v xml:space="preserve"> </v>
      </c>
      <c r="B726" s="106" t="str">
        <f>COPY!AR718</f>
        <v/>
      </c>
      <c r="C726" s="107">
        <f>COPY!AC718</f>
        <v>0</v>
      </c>
      <c r="D726" s="107" t="str">
        <f>IF(LEN(Table1722[[#This Row],[Uraian]])&gt;2,1," ")</f>
        <v xml:space="preserve"> </v>
      </c>
      <c r="E726" s="113" t="str">
        <f>IF(Table1722[[#This Row],[Lawan Transaksi]]="CV AGUNG KARYA",COUNTIF($I$10:I726,"CV AGUNG KARYA")," ")</f>
        <v xml:space="preserve"> </v>
      </c>
      <c r="F726" s="107" t="str">
        <f>IF(LEN(Table1722[[#This Row],[Uraian]])&gt;2,TRIM(RIGHT(SUBSTITUTE(TRIM(C726)," ",REPT(" ",255)),255))," ")</f>
        <v xml:space="preserve"> </v>
      </c>
      <c r="G726" s="110">
        <f>COPY!Z718</f>
        <v>0</v>
      </c>
      <c r="H726" s="111" t="str">
        <f>IFERROR(VLOOKUP(Table1722[[#This Row],[Bukti]],'Un nOTA'!$A$4:$K$5003,10,FALSE),"")</f>
        <v/>
      </c>
      <c r="I726" s="112" t="str">
        <f>IFERROR(VLOOKUP(Table1722[[#This Row],[Bukti]],Table13[#Data],11,FALSE),"")</f>
        <v/>
      </c>
    </row>
    <row r="727" spans="1:9" ht="19.5" hidden="1" customHeight="1" x14ac:dyDescent="0.2">
      <c r="A727" s="105" t="str">
        <f>IF(D727=1,COUNTIF($D$10:D727,1)," ")</f>
        <v xml:space="preserve"> </v>
      </c>
      <c r="B727" s="106" t="str">
        <f>COPY!AR719</f>
        <v/>
      </c>
      <c r="C727" s="107">
        <f>COPY!AC719</f>
        <v>0</v>
      </c>
      <c r="D727" s="107" t="str">
        <f>IF(LEN(Table1722[[#This Row],[Uraian]])&gt;2,1," ")</f>
        <v xml:space="preserve"> </v>
      </c>
      <c r="E727" s="113" t="str">
        <f>IF(Table1722[[#This Row],[Lawan Transaksi]]="CV AGUNG KARYA",COUNTIF($I$10:I727,"CV AGUNG KARYA")," ")</f>
        <v xml:space="preserve"> </v>
      </c>
      <c r="F727" s="107" t="str">
        <f>IF(LEN(Table1722[[#This Row],[Uraian]])&gt;2,TRIM(RIGHT(SUBSTITUTE(TRIM(C727)," ",REPT(" ",255)),255))," ")</f>
        <v xml:space="preserve"> </v>
      </c>
      <c r="G727" s="110">
        <f>COPY!Z719</f>
        <v>0</v>
      </c>
      <c r="H727" s="111" t="str">
        <f>IFERROR(VLOOKUP(Table1722[[#This Row],[Bukti]],'Un nOTA'!$A$4:$K$5003,10,FALSE),"")</f>
        <v/>
      </c>
      <c r="I727" s="112" t="str">
        <f>IFERROR(VLOOKUP(Table1722[[#This Row],[Bukti]],Table13[#Data],11,FALSE),"")</f>
        <v/>
      </c>
    </row>
    <row r="728" spans="1:9" ht="19.5" hidden="1" customHeight="1" x14ac:dyDescent="0.2">
      <c r="A728" s="105" t="str">
        <f>IF(D728=1,COUNTIF($D$10:D728,1)," ")</f>
        <v xml:space="preserve"> </v>
      </c>
      <c r="B728" s="106" t="str">
        <f>COPY!AR720</f>
        <v/>
      </c>
      <c r="C728" s="107">
        <f>COPY!AC720</f>
        <v>0</v>
      </c>
      <c r="D728" s="107" t="str">
        <f>IF(LEN(Table1722[[#This Row],[Uraian]])&gt;2,1," ")</f>
        <v xml:space="preserve"> </v>
      </c>
      <c r="E728" s="113" t="str">
        <f>IF(Table1722[[#This Row],[Lawan Transaksi]]="CV AGUNG KARYA",COUNTIF($I$10:I728,"CV AGUNG KARYA")," ")</f>
        <v xml:space="preserve"> </v>
      </c>
      <c r="F728" s="107" t="str">
        <f>IF(LEN(Table1722[[#This Row],[Uraian]])&gt;2,TRIM(RIGHT(SUBSTITUTE(TRIM(C728)," ",REPT(" ",255)),255))," ")</f>
        <v xml:space="preserve"> </v>
      </c>
      <c r="G728" s="110">
        <f>COPY!Z720</f>
        <v>0</v>
      </c>
      <c r="H728" s="111" t="str">
        <f>IFERROR(VLOOKUP(Table1722[[#This Row],[Bukti]],'Un nOTA'!$A$4:$K$5003,10,FALSE),"")</f>
        <v/>
      </c>
      <c r="I728" s="112" t="str">
        <f>IFERROR(VLOOKUP(Table1722[[#This Row],[Bukti]],Table13[#Data],11,FALSE),"")</f>
        <v/>
      </c>
    </row>
    <row r="729" spans="1:9" ht="19.5" hidden="1" customHeight="1" x14ac:dyDescent="0.2">
      <c r="A729" s="105" t="str">
        <f>IF(D729=1,COUNTIF($D$10:D729,1)," ")</f>
        <v xml:space="preserve"> </v>
      </c>
      <c r="B729" s="106" t="str">
        <f>COPY!AR721</f>
        <v/>
      </c>
      <c r="C729" s="107">
        <f>COPY!AC721</f>
        <v>0</v>
      </c>
      <c r="D729" s="107" t="str">
        <f>IF(LEN(Table1722[[#This Row],[Uraian]])&gt;2,1," ")</f>
        <v xml:space="preserve"> </v>
      </c>
      <c r="E729" s="113" t="str">
        <f>IF(Table1722[[#This Row],[Lawan Transaksi]]="CV AGUNG KARYA",COUNTIF($I$10:I729,"CV AGUNG KARYA")," ")</f>
        <v xml:space="preserve"> </v>
      </c>
      <c r="F729" s="107" t="str">
        <f>IF(LEN(Table1722[[#This Row],[Uraian]])&gt;2,TRIM(RIGHT(SUBSTITUTE(TRIM(C729)," ",REPT(" ",255)),255))," ")</f>
        <v xml:space="preserve"> </v>
      </c>
      <c r="G729" s="110">
        <f>COPY!Z721</f>
        <v>0</v>
      </c>
      <c r="H729" s="111" t="str">
        <f>IFERROR(VLOOKUP(Table1722[[#This Row],[Bukti]],'Un nOTA'!$A$4:$K$5003,10,FALSE),"")</f>
        <v/>
      </c>
      <c r="I729" s="112" t="str">
        <f>IFERROR(VLOOKUP(Table1722[[#This Row],[Bukti]],Table13[#Data],11,FALSE),"")</f>
        <v/>
      </c>
    </row>
    <row r="730" spans="1:9" ht="19.5" hidden="1" customHeight="1" x14ac:dyDescent="0.2">
      <c r="A730" s="105" t="str">
        <f>IF(D730=1,COUNTIF($D$10:D730,1)," ")</f>
        <v xml:space="preserve"> </v>
      </c>
      <c r="B730" s="106" t="str">
        <f>COPY!AR722</f>
        <v/>
      </c>
      <c r="C730" s="107">
        <f>COPY!AC722</f>
        <v>0</v>
      </c>
      <c r="D730" s="107" t="str">
        <f>IF(LEN(Table1722[[#This Row],[Uraian]])&gt;2,1," ")</f>
        <v xml:space="preserve"> </v>
      </c>
      <c r="E730" s="113" t="str">
        <f>IF(Table1722[[#This Row],[Lawan Transaksi]]="CV AGUNG KARYA",COUNTIF($I$10:I730,"CV AGUNG KARYA")," ")</f>
        <v xml:space="preserve"> </v>
      </c>
      <c r="F730" s="107" t="str">
        <f>IF(LEN(Table1722[[#This Row],[Uraian]])&gt;2,TRIM(RIGHT(SUBSTITUTE(TRIM(C730)," ",REPT(" ",255)),255))," ")</f>
        <v xml:space="preserve"> </v>
      </c>
      <c r="G730" s="110">
        <f>COPY!Z722</f>
        <v>0</v>
      </c>
      <c r="H730" s="111" t="str">
        <f>IFERROR(VLOOKUP(Table1722[[#This Row],[Bukti]],'Un nOTA'!$A$4:$K$5003,10,FALSE),"")</f>
        <v/>
      </c>
      <c r="I730" s="112" t="str">
        <f>IFERROR(VLOOKUP(Table1722[[#This Row],[Bukti]],Table13[#Data],11,FALSE),"")</f>
        <v/>
      </c>
    </row>
    <row r="731" spans="1:9" ht="19.5" hidden="1" customHeight="1" x14ac:dyDescent="0.2">
      <c r="A731" s="105" t="str">
        <f>IF(D731=1,COUNTIF($D$10:D731,1)," ")</f>
        <v xml:space="preserve"> </v>
      </c>
      <c r="B731" s="106" t="str">
        <f>COPY!AR723</f>
        <v/>
      </c>
      <c r="C731" s="107">
        <f>COPY!AC723</f>
        <v>0</v>
      </c>
      <c r="D731" s="107" t="str">
        <f>IF(LEN(Table1722[[#This Row],[Uraian]])&gt;2,1," ")</f>
        <v xml:space="preserve"> </v>
      </c>
      <c r="E731" s="113" t="str">
        <f>IF(Table1722[[#This Row],[Lawan Transaksi]]="CV AGUNG KARYA",COUNTIF($I$10:I731,"CV AGUNG KARYA")," ")</f>
        <v xml:space="preserve"> </v>
      </c>
      <c r="F731" s="107" t="str">
        <f>IF(LEN(Table1722[[#This Row],[Uraian]])&gt;2,TRIM(RIGHT(SUBSTITUTE(TRIM(C731)," ",REPT(" ",255)),255))," ")</f>
        <v xml:space="preserve"> </v>
      </c>
      <c r="G731" s="110">
        <f>COPY!Z723</f>
        <v>0</v>
      </c>
      <c r="H731" s="111" t="str">
        <f>IFERROR(VLOOKUP(Table1722[[#This Row],[Bukti]],'Un nOTA'!$A$4:$K$5003,10,FALSE),"")</f>
        <v/>
      </c>
      <c r="I731" s="112" t="str">
        <f>IFERROR(VLOOKUP(Table1722[[#This Row],[Bukti]],Table13[#Data],11,FALSE),"")</f>
        <v/>
      </c>
    </row>
    <row r="732" spans="1:9" ht="19.5" hidden="1" customHeight="1" x14ac:dyDescent="0.2">
      <c r="A732" s="105" t="str">
        <f>IF(D732=1,COUNTIF($D$10:D732,1)," ")</f>
        <v xml:space="preserve"> </v>
      </c>
      <c r="B732" s="106" t="str">
        <f>COPY!AR724</f>
        <v/>
      </c>
      <c r="C732" s="107">
        <f>COPY!AC724</f>
        <v>0</v>
      </c>
      <c r="D732" s="107" t="str">
        <f>IF(LEN(Table1722[[#This Row],[Uraian]])&gt;2,1," ")</f>
        <v xml:space="preserve"> </v>
      </c>
      <c r="E732" s="113" t="str">
        <f>IF(Table1722[[#This Row],[Lawan Transaksi]]="CV AGUNG KARYA",COUNTIF($I$10:I732,"CV AGUNG KARYA")," ")</f>
        <v xml:space="preserve"> </v>
      </c>
      <c r="F732" s="107" t="str">
        <f>IF(LEN(Table1722[[#This Row],[Uraian]])&gt;2,TRIM(RIGHT(SUBSTITUTE(TRIM(C732)," ",REPT(" ",255)),255))," ")</f>
        <v xml:space="preserve"> </v>
      </c>
      <c r="G732" s="110">
        <f>COPY!Z724</f>
        <v>0</v>
      </c>
      <c r="H732" s="111" t="str">
        <f>IFERROR(VLOOKUP(Table1722[[#This Row],[Bukti]],'Un nOTA'!$A$4:$K$5003,10,FALSE),"")</f>
        <v/>
      </c>
      <c r="I732" s="112" t="str">
        <f>IFERROR(VLOOKUP(Table1722[[#This Row],[Bukti]],Table13[#Data],11,FALSE),"")</f>
        <v/>
      </c>
    </row>
    <row r="733" spans="1:9" ht="19.5" hidden="1" customHeight="1" x14ac:dyDescent="0.2">
      <c r="A733" s="105" t="str">
        <f>IF(D733=1,COUNTIF($D$10:D733,1)," ")</f>
        <v xml:space="preserve"> </v>
      </c>
      <c r="B733" s="106" t="str">
        <f>COPY!AR725</f>
        <v/>
      </c>
      <c r="C733" s="107">
        <f>COPY!AC725</f>
        <v>0</v>
      </c>
      <c r="D733" s="107" t="str">
        <f>IF(LEN(Table1722[[#This Row],[Uraian]])&gt;2,1," ")</f>
        <v xml:space="preserve"> </v>
      </c>
      <c r="E733" s="113" t="str">
        <f>IF(Table1722[[#This Row],[Lawan Transaksi]]="CV AGUNG KARYA",COUNTIF($I$10:I733,"CV AGUNG KARYA")," ")</f>
        <v xml:space="preserve"> </v>
      </c>
      <c r="F733" s="107" t="str">
        <f>IF(LEN(Table1722[[#This Row],[Uraian]])&gt;2,TRIM(RIGHT(SUBSTITUTE(TRIM(C733)," ",REPT(" ",255)),255))," ")</f>
        <v xml:space="preserve"> </v>
      </c>
      <c r="G733" s="110">
        <f>COPY!Z725</f>
        <v>0</v>
      </c>
      <c r="H733" s="111" t="str">
        <f>IFERROR(VLOOKUP(Table1722[[#This Row],[Bukti]],'Un nOTA'!$A$4:$K$5003,10,FALSE),"")</f>
        <v/>
      </c>
      <c r="I733" s="112" t="str">
        <f>IFERROR(VLOOKUP(Table1722[[#This Row],[Bukti]],Table13[#Data],11,FALSE),"")</f>
        <v/>
      </c>
    </row>
    <row r="734" spans="1:9" ht="19.5" hidden="1" customHeight="1" x14ac:dyDescent="0.2">
      <c r="A734" s="105" t="str">
        <f>IF(D734=1,COUNTIF($D$10:D734,1)," ")</f>
        <v xml:space="preserve"> </v>
      </c>
      <c r="B734" s="106" t="str">
        <f>COPY!AR726</f>
        <v/>
      </c>
      <c r="C734" s="107">
        <f>COPY!AC726</f>
        <v>0</v>
      </c>
      <c r="D734" s="107" t="str">
        <f>IF(LEN(Table1722[[#This Row],[Uraian]])&gt;2,1," ")</f>
        <v xml:space="preserve"> </v>
      </c>
      <c r="E734" s="113" t="str">
        <f>IF(Table1722[[#This Row],[Lawan Transaksi]]="CV AGUNG KARYA",COUNTIF($I$10:I734,"CV AGUNG KARYA")," ")</f>
        <v xml:space="preserve"> </v>
      </c>
      <c r="F734" s="107" t="str">
        <f>IF(LEN(Table1722[[#This Row],[Uraian]])&gt;2,TRIM(RIGHT(SUBSTITUTE(TRIM(C734)," ",REPT(" ",255)),255))," ")</f>
        <v xml:space="preserve"> </v>
      </c>
      <c r="G734" s="110">
        <f>COPY!Z726</f>
        <v>0</v>
      </c>
      <c r="H734" s="111" t="str">
        <f>IFERROR(VLOOKUP(Table1722[[#This Row],[Bukti]],'Un nOTA'!$A$4:$K$5003,10,FALSE),"")</f>
        <v/>
      </c>
      <c r="I734" s="112" t="str">
        <f>IFERROR(VLOOKUP(Table1722[[#This Row],[Bukti]],Table13[#Data],11,FALSE),"")</f>
        <v/>
      </c>
    </row>
    <row r="735" spans="1:9" ht="19.5" hidden="1" customHeight="1" x14ac:dyDescent="0.2">
      <c r="A735" s="105" t="str">
        <f>IF(D735=1,COUNTIF($D$10:D735,1)," ")</f>
        <v xml:space="preserve"> </v>
      </c>
      <c r="B735" s="106" t="str">
        <f>COPY!AR727</f>
        <v/>
      </c>
      <c r="C735" s="107">
        <f>COPY!AC727</f>
        <v>0</v>
      </c>
      <c r="D735" s="107" t="str">
        <f>IF(LEN(Table1722[[#This Row],[Uraian]])&gt;2,1," ")</f>
        <v xml:space="preserve"> </v>
      </c>
      <c r="E735" s="113" t="str">
        <f>IF(Table1722[[#This Row],[Lawan Transaksi]]="CV AGUNG KARYA",COUNTIF($I$10:I735,"CV AGUNG KARYA")," ")</f>
        <v xml:space="preserve"> </v>
      </c>
      <c r="F735" s="107" t="str">
        <f>IF(LEN(Table1722[[#This Row],[Uraian]])&gt;2,TRIM(RIGHT(SUBSTITUTE(TRIM(C735)," ",REPT(" ",255)),255))," ")</f>
        <v xml:space="preserve"> </v>
      </c>
      <c r="G735" s="110">
        <f>COPY!Z727</f>
        <v>0</v>
      </c>
      <c r="H735" s="111" t="str">
        <f>IFERROR(VLOOKUP(Table1722[[#This Row],[Bukti]],'Un nOTA'!$A$4:$K$5003,10,FALSE),"")</f>
        <v/>
      </c>
      <c r="I735" s="112" t="str">
        <f>IFERROR(VLOOKUP(Table1722[[#This Row],[Bukti]],Table13[#Data],11,FALSE),"")</f>
        <v/>
      </c>
    </row>
    <row r="736" spans="1:9" ht="19.5" hidden="1" customHeight="1" x14ac:dyDescent="0.2">
      <c r="A736" s="105" t="str">
        <f>IF(D736=1,COUNTIF($D$10:D736,1)," ")</f>
        <v xml:space="preserve"> </v>
      </c>
      <c r="B736" s="106" t="str">
        <f>COPY!AR728</f>
        <v/>
      </c>
      <c r="C736" s="107">
        <f>COPY!AC728</f>
        <v>0</v>
      </c>
      <c r="D736" s="107" t="str">
        <f>IF(LEN(Table1722[[#This Row],[Uraian]])&gt;2,1," ")</f>
        <v xml:space="preserve"> </v>
      </c>
      <c r="E736" s="113" t="str">
        <f>IF(Table1722[[#This Row],[Lawan Transaksi]]="CV AGUNG KARYA",COUNTIF($I$10:I736,"CV AGUNG KARYA")," ")</f>
        <v xml:space="preserve"> </v>
      </c>
      <c r="F736" s="107" t="str">
        <f>IF(LEN(Table1722[[#This Row],[Uraian]])&gt;2,TRIM(RIGHT(SUBSTITUTE(TRIM(C736)," ",REPT(" ",255)),255))," ")</f>
        <v xml:space="preserve"> </v>
      </c>
      <c r="G736" s="110">
        <f>COPY!Z728</f>
        <v>0</v>
      </c>
      <c r="H736" s="111" t="str">
        <f>IFERROR(VLOOKUP(Table1722[[#This Row],[Bukti]],'Un nOTA'!$A$4:$K$5003,10,FALSE),"")</f>
        <v/>
      </c>
      <c r="I736" s="112" t="str">
        <f>IFERROR(VLOOKUP(Table1722[[#This Row],[Bukti]],Table13[#Data],11,FALSE),"")</f>
        <v/>
      </c>
    </row>
    <row r="737" spans="1:9" ht="19.5" hidden="1" customHeight="1" x14ac:dyDescent="0.2">
      <c r="A737" s="105" t="str">
        <f>IF(D737=1,COUNTIF($D$10:D737,1)," ")</f>
        <v xml:space="preserve"> </v>
      </c>
      <c r="B737" s="106" t="str">
        <f>COPY!AR729</f>
        <v/>
      </c>
      <c r="C737" s="107">
        <f>COPY!AC729</f>
        <v>0</v>
      </c>
      <c r="D737" s="107" t="str">
        <f>IF(LEN(Table1722[[#This Row],[Uraian]])&gt;2,1," ")</f>
        <v xml:space="preserve"> </v>
      </c>
      <c r="E737" s="113" t="str">
        <f>IF(Table1722[[#This Row],[Lawan Transaksi]]="CV AGUNG KARYA",COUNTIF($I$10:I737,"CV AGUNG KARYA")," ")</f>
        <v xml:space="preserve"> </v>
      </c>
      <c r="F737" s="107" t="str">
        <f>IF(LEN(Table1722[[#This Row],[Uraian]])&gt;2,TRIM(RIGHT(SUBSTITUTE(TRIM(C737)," ",REPT(" ",255)),255))," ")</f>
        <v xml:space="preserve"> </v>
      </c>
      <c r="G737" s="110">
        <f>COPY!Z729</f>
        <v>0</v>
      </c>
      <c r="H737" s="111" t="str">
        <f>IFERROR(VLOOKUP(Table1722[[#This Row],[Bukti]],'Un nOTA'!$A$4:$K$5003,10,FALSE),"")</f>
        <v/>
      </c>
      <c r="I737" s="112" t="str">
        <f>IFERROR(VLOOKUP(Table1722[[#This Row],[Bukti]],Table13[#Data],11,FALSE),"")</f>
        <v/>
      </c>
    </row>
    <row r="738" spans="1:9" ht="19.5" hidden="1" customHeight="1" x14ac:dyDescent="0.2">
      <c r="A738" s="105" t="str">
        <f>IF(D738=1,COUNTIF($D$10:D738,1)," ")</f>
        <v xml:space="preserve"> </v>
      </c>
      <c r="B738" s="106" t="str">
        <f>COPY!AR730</f>
        <v/>
      </c>
      <c r="C738" s="107">
        <f>COPY!AC730</f>
        <v>0</v>
      </c>
      <c r="D738" s="107" t="str">
        <f>IF(LEN(Table1722[[#This Row],[Uraian]])&gt;2,1," ")</f>
        <v xml:space="preserve"> </v>
      </c>
      <c r="E738" s="113" t="str">
        <f>IF(Table1722[[#This Row],[Lawan Transaksi]]="CV AGUNG KARYA",COUNTIF($I$10:I738,"CV AGUNG KARYA")," ")</f>
        <v xml:space="preserve"> </v>
      </c>
      <c r="F738" s="107" t="str">
        <f>IF(LEN(Table1722[[#This Row],[Uraian]])&gt;2,TRIM(RIGHT(SUBSTITUTE(TRIM(C738)," ",REPT(" ",255)),255))," ")</f>
        <v xml:space="preserve"> </v>
      </c>
      <c r="G738" s="110">
        <f>COPY!Z730</f>
        <v>0</v>
      </c>
      <c r="H738" s="111" t="str">
        <f>IFERROR(VLOOKUP(Table1722[[#This Row],[Bukti]],'Un nOTA'!$A$4:$K$5003,10,FALSE),"")</f>
        <v/>
      </c>
      <c r="I738" s="112" t="str">
        <f>IFERROR(VLOOKUP(Table1722[[#This Row],[Bukti]],Table13[#Data],11,FALSE),"")</f>
        <v/>
      </c>
    </row>
    <row r="739" spans="1:9" ht="19.5" hidden="1" customHeight="1" x14ac:dyDescent="0.2">
      <c r="A739" s="105" t="str">
        <f>IF(D739=1,COUNTIF($D$10:D739,1)," ")</f>
        <v xml:space="preserve"> </v>
      </c>
      <c r="B739" s="106" t="str">
        <f>COPY!AR731</f>
        <v/>
      </c>
      <c r="C739" s="107">
        <f>COPY!AC731</f>
        <v>0</v>
      </c>
      <c r="D739" s="107" t="str">
        <f>IF(LEN(Table1722[[#This Row],[Uraian]])&gt;2,1," ")</f>
        <v xml:space="preserve"> </v>
      </c>
      <c r="E739" s="113" t="str">
        <f>IF(Table1722[[#This Row],[Lawan Transaksi]]="CV AGUNG KARYA",COUNTIF($I$10:I739,"CV AGUNG KARYA")," ")</f>
        <v xml:space="preserve"> </v>
      </c>
      <c r="F739" s="107" t="str">
        <f>IF(LEN(Table1722[[#This Row],[Uraian]])&gt;2,TRIM(RIGHT(SUBSTITUTE(TRIM(C739)," ",REPT(" ",255)),255))," ")</f>
        <v xml:space="preserve"> </v>
      </c>
      <c r="G739" s="110">
        <f>COPY!Z731</f>
        <v>0</v>
      </c>
      <c r="H739" s="111" t="str">
        <f>IFERROR(VLOOKUP(Table1722[[#This Row],[Bukti]],'Un nOTA'!$A$4:$K$5003,10,FALSE),"")</f>
        <v/>
      </c>
      <c r="I739" s="112" t="str">
        <f>IFERROR(VLOOKUP(Table1722[[#This Row],[Bukti]],Table13[#Data],11,FALSE),"")</f>
        <v/>
      </c>
    </row>
    <row r="740" spans="1:9" ht="19.5" hidden="1" customHeight="1" x14ac:dyDescent="0.2">
      <c r="A740" s="105" t="str">
        <f>IF(D740=1,COUNTIF($D$10:D740,1)," ")</f>
        <v xml:space="preserve"> </v>
      </c>
      <c r="B740" s="106" t="str">
        <f>COPY!AR732</f>
        <v/>
      </c>
      <c r="C740" s="107">
        <f>COPY!AC732</f>
        <v>0</v>
      </c>
      <c r="D740" s="107" t="str">
        <f>IF(LEN(Table1722[[#This Row],[Uraian]])&gt;2,1," ")</f>
        <v xml:space="preserve"> </v>
      </c>
      <c r="E740" s="113" t="str">
        <f>IF(Table1722[[#This Row],[Lawan Transaksi]]="CV AGUNG KARYA",COUNTIF($I$10:I740,"CV AGUNG KARYA")," ")</f>
        <v xml:space="preserve"> </v>
      </c>
      <c r="F740" s="107" t="str">
        <f>IF(LEN(Table1722[[#This Row],[Uraian]])&gt;2,TRIM(RIGHT(SUBSTITUTE(TRIM(C740)," ",REPT(" ",255)),255))," ")</f>
        <v xml:space="preserve"> </v>
      </c>
      <c r="G740" s="110">
        <f>COPY!Z732</f>
        <v>0</v>
      </c>
      <c r="H740" s="111" t="str">
        <f>IFERROR(VLOOKUP(Table1722[[#This Row],[Bukti]],'Un nOTA'!$A$4:$K$5003,10,FALSE),"")</f>
        <v/>
      </c>
      <c r="I740" s="112" t="str">
        <f>IFERROR(VLOOKUP(Table1722[[#This Row],[Bukti]],Table13[#Data],11,FALSE),"")</f>
        <v/>
      </c>
    </row>
    <row r="741" spans="1:9" ht="19.5" hidden="1" customHeight="1" x14ac:dyDescent="0.2">
      <c r="A741" s="105" t="str">
        <f>IF(D741=1,COUNTIF($D$10:D741,1)," ")</f>
        <v xml:space="preserve"> </v>
      </c>
      <c r="B741" s="106" t="str">
        <f>COPY!AR733</f>
        <v/>
      </c>
      <c r="C741" s="107">
        <f>COPY!AC733</f>
        <v>0</v>
      </c>
      <c r="D741" s="107" t="str">
        <f>IF(LEN(Table1722[[#This Row],[Uraian]])&gt;2,1," ")</f>
        <v xml:space="preserve"> </v>
      </c>
      <c r="E741" s="113" t="str">
        <f>IF(Table1722[[#This Row],[Lawan Transaksi]]="CV AGUNG KARYA",COUNTIF($I$10:I741,"CV AGUNG KARYA")," ")</f>
        <v xml:space="preserve"> </v>
      </c>
      <c r="F741" s="107" t="str">
        <f>IF(LEN(Table1722[[#This Row],[Uraian]])&gt;2,TRIM(RIGHT(SUBSTITUTE(TRIM(C741)," ",REPT(" ",255)),255))," ")</f>
        <v xml:space="preserve"> </v>
      </c>
      <c r="G741" s="110">
        <f>COPY!Z733</f>
        <v>0</v>
      </c>
      <c r="H741" s="111" t="str">
        <f>IFERROR(VLOOKUP(Table1722[[#This Row],[Bukti]],'Un nOTA'!$A$4:$K$5003,10,FALSE),"")</f>
        <v/>
      </c>
      <c r="I741" s="112" t="str">
        <f>IFERROR(VLOOKUP(Table1722[[#This Row],[Bukti]],Table13[#Data],11,FALSE),"")</f>
        <v/>
      </c>
    </row>
    <row r="742" spans="1:9" ht="19.5" hidden="1" customHeight="1" x14ac:dyDescent="0.2">
      <c r="A742" s="105" t="str">
        <f>IF(D742=1,COUNTIF($D$10:D742,1)," ")</f>
        <v xml:space="preserve"> </v>
      </c>
      <c r="B742" s="106" t="str">
        <f>COPY!AR734</f>
        <v/>
      </c>
      <c r="C742" s="107">
        <f>COPY!AC734</f>
        <v>0</v>
      </c>
      <c r="D742" s="107" t="str">
        <f>IF(LEN(Table1722[[#This Row],[Uraian]])&gt;2,1," ")</f>
        <v xml:space="preserve"> </v>
      </c>
      <c r="E742" s="113" t="str">
        <f>IF(Table1722[[#This Row],[Lawan Transaksi]]="CV AGUNG KARYA",COUNTIF($I$10:I742,"CV AGUNG KARYA")," ")</f>
        <v xml:space="preserve"> </v>
      </c>
      <c r="F742" s="107" t="str">
        <f>IF(LEN(Table1722[[#This Row],[Uraian]])&gt;2,TRIM(RIGHT(SUBSTITUTE(TRIM(C742)," ",REPT(" ",255)),255))," ")</f>
        <v xml:space="preserve"> </v>
      </c>
      <c r="G742" s="110">
        <f>COPY!Z734</f>
        <v>0</v>
      </c>
      <c r="H742" s="111" t="str">
        <f>IFERROR(VLOOKUP(Table1722[[#This Row],[Bukti]],'Un nOTA'!$A$4:$K$5003,10,FALSE),"")</f>
        <v/>
      </c>
      <c r="I742" s="112" t="str">
        <f>IFERROR(VLOOKUP(Table1722[[#This Row],[Bukti]],Table13[#Data],11,FALSE),"")</f>
        <v/>
      </c>
    </row>
    <row r="743" spans="1:9" ht="19.5" hidden="1" customHeight="1" x14ac:dyDescent="0.2">
      <c r="A743" s="105" t="str">
        <f>IF(D743=1,COUNTIF($D$10:D743,1)," ")</f>
        <v xml:space="preserve"> </v>
      </c>
      <c r="B743" s="106" t="str">
        <f>COPY!AR735</f>
        <v/>
      </c>
      <c r="C743" s="107">
        <f>COPY!AC735</f>
        <v>0</v>
      </c>
      <c r="D743" s="107" t="str">
        <f>IF(LEN(Table1722[[#This Row],[Uraian]])&gt;2,1," ")</f>
        <v xml:space="preserve"> </v>
      </c>
      <c r="E743" s="113" t="str">
        <f>IF(Table1722[[#This Row],[Lawan Transaksi]]="CV AGUNG KARYA",COUNTIF($I$10:I743,"CV AGUNG KARYA")," ")</f>
        <v xml:space="preserve"> </v>
      </c>
      <c r="F743" s="107" t="str">
        <f>IF(LEN(Table1722[[#This Row],[Uraian]])&gt;2,TRIM(RIGHT(SUBSTITUTE(TRIM(C743)," ",REPT(" ",255)),255))," ")</f>
        <v xml:space="preserve"> </v>
      </c>
      <c r="G743" s="110">
        <f>COPY!Z735</f>
        <v>0</v>
      </c>
      <c r="H743" s="111" t="str">
        <f>IFERROR(VLOOKUP(Table1722[[#This Row],[Bukti]],'Un nOTA'!$A$4:$K$5003,10,FALSE),"")</f>
        <v/>
      </c>
      <c r="I743" s="112" t="str">
        <f>IFERROR(VLOOKUP(Table1722[[#This Row],[Bukti]],Table13[#Data],11,FALSE),"")</f>
        <v/>
      </c>
    </row>
    <row r="744" spans="1:9" ht="19.5" hidden="1" customHeight="1" x14ac:dyDescent="0.2">
      <c r="A744" s="105" t="str">
        <f>IF(D744=1,COUNTIF($D$10:D744,1)," ")</f>
        <v xml:space="preserve"> </v>
      </c>
      <c r="B744" s="106" t="str">
        <f>COPY!AR736</f>
        <v/>
      </c>
      <c r="C744" s="107">
        <f>COPY!AC736</f>
        <v>0</v>
      </c>
      <c r="D744" s="107" t="str">
        <f>IF(LEN(Table1722[[#This Row],[Uraian]])&gt;2,1," ")</f>
        <v xml:space="preserve"> </v>
      </c>
      <c r="E744" s="113" t="str">
        <f>IF(Table1722[[#This Row],[Lawan Transaksi]]="CV AGUNG KARYA",COUNTIF($I$10:I744,"CV AGUNG KARYA")," ")</f>
        <v xml:space="preserve"> </v>
      </c>
      <c r="F744" s="107" t="str">
        <f>IF(LEN(Table1722[[#This Row],[Uraian]])&gt;2,TRIM(RIGHT(SUBSTITUTE(TRIM(C744)," ",REPT(" ",255)),255))," ")</f>
        <v xml:space="preserve"> </v>
      </c>
      <c r="G744" s="110">
        <f>COPY!Z736</f>
        <v>0</v>
      </c>
      <c r="H744" s="111" t="str">
        <f>IFERROR(VLOOKUP(Table1722[[#This Row],[Bukti]],'Un nOTA'!$A$4:$K$5003,10,FALSE),"")</f>
        <v/>
      </c>
      <c r="I744" s="112" t="str">
        <f>IFERROR(VLOOKUP(Table1722[[#This Row],[Bukti]],Table13[#Data],11,FALSE),"")</f>
        <v/>
      </c>
    </row>
    <row r="745" spans="1:9" ht="19.5" hidden="1" customHeight="1" x14ac:dyDescent="0.2">
      <c r="A745" s="105" t="str">
        <f>IF(D745=1,COUNTIF($D$10:D745,1)," ")</f>
        <v xml:space="preserve"> </v>
      </c>
      <c r="B745" s="106" t="str">
        <f>COPY!AR737</f>
        <v/>
      </c>
      <c r="C745" s="107">
        <f>COPY!AC737</f>
        <v>0</v>
      </c>
      <c r="D745" s="107" t="str">
        <f>IF(LEN(Table1722[[#This Row],[Uraian]])&gt;2,1," ")</f>
        <v xml:space="preserve"> </v>
      </c>
      <c r="E745" s="113" t="str">
        <f>IF(Table1722[[#This Row],[Lawan Transaksi]]="CV AGUNG KARYA",COUNTIF($I$10:I745,"CV AGUNG KARYA")," ")</f>
        <v xml:space="preserve"> </v>
      </c>
      <c r="F745" s="107" t="str">
        <f>IF(LEN(Table1722[[#This Row],[Uraian]])&gt;2,TRIM(RIGHT(SUBSTITUTE(TRIM(C745)," ",REPT(" ",255)),255))," ")</f>
        <v xml:space="preserve"> </v>
      </c>
      <c r="G745" s="110">
        <f>COPY!Z737</f>
        <v>0</v>
      </c>
      <c r="H745" s="111" t="str">
        <f>IFERROR(VLOOKUP(Table1722[[#This Row],[Bukti]],'Un nOTA'!$A$4:$K$5003,10,FALSE),"")</f>
        <v/>
      </c>
      <c r="I745" s="112" t="str">
        <f>IFERROR(VLOOKUP(Table1722[[#This Row],[Bukti]],Table13[#Data],11,FALSE),"")</f>
        <v/>
      </c>
    </row>
    <row r="746" spans="1:9" ht="19.5" hidden="1" customHeight="1" x14ac:dyDescent="0.2">
      <c r="A746" s="105" t="str">
        <f>IF(D746=1,COUNTIF($D$10:D746,1)," ")</f>
        <v xml:space="preserve"> </v>
      </c>
      <c r="B746" s="106" t="str">
        <f>COPY!AR738</f>
        <v/>
      </c>
      <c r="C746" s="107">
        <f>COPY!AC738</f>
        <v>0</v>
      </c>
      <c r="D746" s="107" t="str">
        <f>IF(LEN(Table1722[[#This Row],[Uraian]])&gt;2,1," ")</f>
        <v xml:space="preserve"> </v>
      </c>
      <c r="E746" s="113" t="str">
        <f>IF(Table1722[[#This Row],[Lawan Transaksi]]="CV AGUNG KARYA",COUNTIF($I$10:I746,"CV AGUNG KARYA")," ")</f>
        <v xml:space="preserve"> </v>
      </c>
      <c r="F746" s="107" t="str">
        <f>IF(LEN(Table1722[[#This Row],[Uraian]])&gt;2,TRIM(RIGHT(SUBSTITUTE(TRIM(C746)," ",REPT(" ",255)),255))," ")</f>
        <v xml:space="preserve"> </v>
      </c>
      <c r="G746" s="110">
        <f>COPY!Z738</f>
        <v>0</v>
      </c>
      <c r="H746" s="111" t="str">
        <f>IFERROR(VLOOKUP(Table1722[[#This Row],[Bukti]],'Un nOTA'!$A$4:$K$5003,10,FALSE),"")</f>
        <v/>
      </c>
      <c r="I746" s="112" t="str">
        <f>IFERROR(VLOOKUP(Table1722[[#This Row],[Bukti]],Table13[#Data],11,FALSE),"")</f>
        <v/>
      </c>
    </row>
    <row r="747" spans="1:9" ht="19.5" hidden="1" customHeight="1" x14ac:dyDescent="0.2">
      <c r="A747" s="105" t="str">
        <f>IF(D747=1,COUNTIF($D$10:D747,1)," ")</f>
        <v xml:space="preserve"> </v>
      </c>
      <c r="B747" s="106" t="str">
        <f>COPY!AR739</f>
        <v/>
      </c>
      <c r="C747" s="107">
        <f>COPY!AC739</f>
        <v>0</v>
      </c>
      <c r="D747" s="107" t="str">
        <f>IF(LEN(Table1722[[#This Row],[Uraian]])&gt;2,1," ")</f>
        <v xml:space="preserve"> </v>
      </c>
      <c r="E747" s="113" t="str">
        <f>IF(Table1722[[#This Row],[Lawan Transaksi]]="CV AGUNG KARYA",COUNTIF($I$10:I747,"CV AGUNG KARYA")," ")</f>
        <v xml:space="preserve"> </v>
      </c>
      <c r="F747" s="107" t="str">
        <f>IF(LEN(Table1722[[#This Row],[Uraian]])&gt;2,TRIM(RIGHT(SUBSTITUTE(TRIM(C747)," ",REPT(" ",255)),255))," ")</f>
        <v xml:space="preserve"> </v>
      </c>
      <c r="G747" s="110">
        <f>COPY!Z739</f>
        <v>0</v>
      </c>
      <c r="H747" s="111" t="str">
        <f>IFERROR(VLOOKUP(Table1722[[#This Row],[Bukti]],'Un nOTA'!$A$4:$K$5003,10,FALSE),"")</f>
        <v/>
      </c>
      <c r="I747" s="112" t="str">
        <f>IFERROR(VLOOKUP(Table1722[[#This Row],[Bukti]],Table13[#Data],11,FALSE),"")</f>
        <v/>
      </c>
    </row>
    <row r="748" spans="1:9" ht="19.5" hidden="1" customHeight="1" x14ac:dyDescent="0.2">
      <c r="A748" s="105" t="str">
        <f>IF(D748=1,COUNTIF($D$10:D748,1)," ")</f>
        <v xml:space="preserve"> </v>
      </c>
      <c r="B748" s="106" t="str">
        <f>COPY!AR740</f>
        <v/>
      </c>
      <c r="C748" s="107">
        <f>COPY!AC740</f>
        <v>0</v>
      </c>
      <c r="D748" s="107" t="str">
        <f>IF(LEN(Table1722[[#This Row],[Uraian]])&gt;2,1," ")</f>
        <v xml:space="preserve"> </v>
      </c>
      <c r="E748" s="113" t="str">
        <f>IF(Table1722[[#This Row],[Lawan Transaksi]]="CV AGUNG KARYA",COUNTIF($I$10:I748,"CV AGUNG KARYA")," ")</f>
        <v xml:space="preserve"> </v>
      </c>
      <c r="F748" s="107" t="str">
        <f>IF(LEN(Table1722[[#This Row],[Uraian]])&gt;2,TRIM(RIGHT(SUBSTITUTE(TRIM(C748)," ",REPT(" ",255)),255))," ")</f>
        <v xml:space="preserve"> </v>
      </c>
      <c r="G748" s="110">
        <f>COPY!Z740</f>
        <v>0</v>
      </c>
      <c r="H748" s="111" t="str">
        <f>IFERROR(VLOOKUP(Table1722[[#This Row],[Bukti]],'Un nOTA'!$A$4:$K$5003,10,FALSE),"")</f>
        <v/>
      </c>
      <c r="I748" s="112" t="str">
        <f>IFERROR(VLOOKUP(Table1722[[#This Row],[Bukti]],Table13[#Data],11,FALSE),"")</f>
        <v/>
      </c>
    </row>
    <row r="749" spans="1:9" ht="19.5" hidden="1" customHeight="1" x14ac:dyDescent="0.2">
      <c r="A749" s="105" t="str">
        <f>IF(D749=1,COUNTIF($D$10:D749,1)," ")</f>
        <v xml:space="preserve"> </v>
      </c>
      <c r="B749" s="106" t="str">
        <f>COPY!AR741</f>
        <v/>
      </c>
      <c r="C749" s="107">
        <f>COPY!AC741</f>
        <v>0</v>
      </c>
      <c r="D749" s="107" t="str">
        <f>IF(LEN(Table1722[[#This Row],[Uraian]])&gt;2,1," ")</f>
        <v xml:space="preserve"> </v>
      </c>
      <c r="E749" s="113" t="str">
        <f>IF(Table1722[[#This Row],[Lawan Transaksi]]="CV AGUNG KARYA",COUNTIF($I$10:I749,"CV AGUNG KARYA")," ")</f>
        <v xml:space="preserve"> </v>
      </c>
      <c r="F749" s="107" t="str">
        <f>IF(LEN(Table1722[[#This Row],[Uraian]])&gt;2,TRIM(RIGHT(SUBSTITUTE(TRIM(C749)," ",REPT(" ",255)),255))," ")</f>
        <v xml:space="preserve"> </v>
      </c>
      <c r="G749" s="110">
        <f>COPY!Z741</f>
        <v>0</v>
      </c>
      <c r="H749" s="111" t="str">
        <f>IFERROR(VLOOKUP(Table1722[[#This Row],[Bukti]],'Un nOTA'!$A$4:$K$5003,10,FALSE),"")</f>
        <v/>
      </c>
      <c r="I749" s="112" t="str">
        <f>IFERROR(VLOOKUP(Table1722[[#This Row],[Bukti]],Table13[#Data],11,FALSE),"")</f>
        <v/>
      </c>
    </row>
    <row r="750" spans="1:9" ht="19.5" hidden="1" customHeight="1" x14ac:dyDescent="0.2">
      <c r="A750" s="105" t="str">
        <f>IF(D750=1,COUNTIF($D$10:D750,1)," ")</f>
        <v xml:space="preserve"> </v>
      </c>
      <c r="B750" s="106" t="str">
        <f>COPY!AR742</f>
        <v/>
      </c>
      <c r="C750" s="107">
        <f>COPY!AC742</f>
        <v>0</v>
      </c>
      <c r="D750" s="107" t="str">
        <f>IF(LEN(Table1722[[#This Row],[Uraian]])&gt;2,1," ")</f>
        <v xml:space="preserve"> </v>
      </c>
      <c r="E750" s="113" t="str">
        <f>IF(Table1722[[#This Row],[Lawan Transaksi]]="CV AGUNG KARYA",COUNTIF($I$10:I750,"CV AGUNG KARYA")," ")</f>
        <v xml:space="preserve"> </v>
      </c>
      <c r="F750" s="107" t="str">
        <f>IF(LEN(Table1722[[#This Row],[Uraian]])&gt;2,TRIM(RIGHT(SUBSTITUTE(TRIM(C750)," ",REPT(" ",255)),255))," ")</f>
        <v xml:space="preserve"> </v>
      </c>
      <c r="G750" s="110">
        <f>COPY!Z742</f>
        <v>0</v>
      </c>
      <c r="H750" s="111" t="str">
        <f>IFERROR(VLOOKUP(Table1722[[#This Row],[Bukti]],'Un nOTA'!$A$4:$K$5003,10,FALSE),"")</f>
        <v/>
      </c>
      <c r="I750" s="112" t="str">
        <f>IFERROR(VLOOKUP(Table1722[[#This Row],[Bukti]],Table13[#Data],11,FALSE),"")</f>
        <v/>
      </c>
    </row>
    <row r="751" spans="1:9" ht="19.5" hidden="1" customHeight="1" x14ac:dyDescent="0.2">
      <c r="A751" s="105" t="str">
        <f>IF(D751=1,COUNTIF($D$10:D751,1)," ")</f>
        <v xml:space="preserve"> </v>
      </c>
      <c r="B751" s="106" t="str">
        <f>COPY!AR743</f>
        <v/>
      </c>
      <c r="C751" s="107">
        <f>COPY!AC743</f>
        <v>0</v>
      </c>
      <c r="D751" s="107" t="str">
        <f>IF(LEN(Table1722[[#This Row],[Uraian]])&gt;2,1," ")</f>
        <v xml:space="preserve"> </v>
      </c>
      <c r="E751" s="113" t="str">
        <f>IF(Table1722[[#This Row],[Lawan Transaksi]]="CV AGUNG KARYA",COUNTIF($I$10:I751,"CV AGUNG KARYA")," ")</f>
        <v xml:space="preserve"> </v>
      </c>
      <c r="F751" s="107" t="str">
        <f>IF(LEN(Table1722[[#This Row],[Uraian]])&gt;2,TRIM(RIGHT(SUBSTITUTE(TRIM(C751)," ",REPT(" ",255)),255))," ")</f>
        <v xml:space="preserve"> </v>
      </c>
      <c r="G751" s="110">
        <f>COPY!Z743</f>
        <v>0</v>
      </c>
      <c r="H751" s="111" t="str">
        <f>IFERROR(VLOOKUP(Table1722[[#This Row],[Bukti]],'Un nOTA'!$A$4:$K$5003,10,FALSE),"")</f>
        <v/>
      </c>
      <c r="I751" s="112" t="str">
        <f>IFERROR(VLOOKUP(Table1722[[#This Row],[Bukti]],Table13[#Data],11,FALSE),"")</f>
        <v/>
      </c>
    </row>
    <row r="752" spans="1:9" ht="19.5" hidden="1" customHeight="1" x14ac:dyDescent="0.2">
      <c r="A752" s="105" t="str">
        <f>IF(D752=1,COUNTIF($D$10:D752,1)," ")</f>
        <v xml:space="preserve"> </v>
      </c>
      <c r="B752" s="106" t="str">
        <f>COPY!AR744</f>
        <v/>
      </c>
      <c r="C752" s="107">
        <f>COPY!AC744</f>
        <v>0</v>
      </c>
      <c r="D752" s="107" t="str">
        <f>IF(LEN(Table1722[[#This Row],[Uraian]])&gt;2,1," ")</f>
        <v xml:space="preserve"> </v>
      </c>
      <c r="E752" s="113" t="str">
        <f>IF(Table1722[[#This Row],[Lawan Transaksi]]="CV AGUNG KARYA",COUNTIF($I$10:I752,"CV AGUNG KARYA")," ")</f>
        <v xml:space="preserve"> </v>
      </c>
      <c r="F752" s="107" t="str">
        <f>IF(LEN(Table1722[[#This Row],[Uraian]])&gt;2,TRIM(RIGHT(SUBSTITUTE(TRIM(C752)," ",REPT(" ",255)),255))," ")</f>
        <v xml:space="preserve"> </v>
      </c>
      <c r="G752" s="110">
        <f>COPY!Z744</f>
        <v>0</v>
      </c>
      <c r="H752" s="111" t="str">
        <f>IFERROR(VLOOKUP(Table1722[[#This Row],[Bukti]],'Un nOTA'!$A$4:$K$5003,10,FALSE),"")</f>
        <v/>
      </c>
      <c r="I752" s="112" t="str">
        <f>IFERROR(VLOOKUP(Table1722[[#This Row],[Bukti]],Table13[#Data],11,FALSE),"")</f>
        <v/>
      </c>
    </row>
    <row r="753" spans="1:9" ht="19.5" hidden="1" customHeight="1" x14ac:dyDescent="0.2">
      <c r="A753" s="105" t="str">
        <f>IF(D753=1,COUNTIF($D$10:D753,1)," ")</f>
        <v xml:space="preserve"> </v>
      </c>
      <c r="B753" s="106" t="str">
        <f>COPY!AR745</f>
        <v/>
      </c>
      <c r="C753" s="107">
        <f>COPY!AC745</f>
        <v>0</v>
      </c>
      <c r="D753" s="107" t="str">
        <f>IF(LEN(Table1722[[#This Row],[Uraian]])&gt;2,1," ")</f>
        <v xml:space="preserve"> </v>
      </c>
      <c r="E753" s="113" t="str">
        <f>IF(Table1722[[#This Row],[Lawan Transaksi]]="CV AGUNG KARYA",COUNTIF($I$10:I753,"CV AGUNG KARYA")," ")</f>
        <v xml:space="preserve"> </v>
      </c>
      <c r="F753" s="107" t="str">
        <f>IF(LEN(Table1722[[#This Row],[Uraian]])&gt;2,TRIM(RIGHT(SUBSTITUTE(TRIM(C753)," ",REPT(" ",255)),255))," ")</f>
        <v xml:space="preserve"> </v>
      </c>
      <c r="G753" s="110">
        <f>COPY!Z745</f>
        <v>0</v>
      </c>
      <c r="H753" s="111" t="str">
        <f>IFERROR(VLOOKUP(Table1722[[#This Row],[Bukti]],'Un nOTA'!$A$4:$K$5003,10,FALSE),"")</f>
        <v/>
      </c>
      <c r="I753" s="112" t="str">
        <f>IFERROR(VLOOKUP(Table1722[[#This Row],[Bukti]],Table13[#Data],11,FALSE),"")</f>
        <v/>
      </c>
    </row>
    <row r="754" spans="1:9" ht="19.5" hidden="1" customHeight="1" x14ac:dyDescent="0.2">
      <c r="A754" s="105" t="str">
        <f>IF(D754=1,COUNTIF($D$10:D754,1)," ")</f>
        <v xml:space="preserve"> </v>
      </c>
      <c r="B754" s="106" t="str">
        <f>COPY!AR746</f>
        <v/>
      </c>
      <c r="C754" s="107">
        <f>COPY!AC746</f>
        <v>0</v>
      </c>
      <c r="D754" s="107" t="str">
        <f>IF(LEN(Table1722[[#This Row],[Uraian]])&gt;2,1," ")</f>
        <v xml:space="preserve"> </v>
      </c>
      <c r="E754" s="113" t="str">
        <f>IF(Table1722[[#This Row],[Lawan Transaksi]]="CV AGUNG KARYA",COUNTIF($I$10:I754,"CV AGUNG KARYA")," ")</f>
        <v xml:space="preserve"> </v>
      </c>
      <c r="F754" s="107" t="str">
        <f>IF(LEN(Table1722[[#This Row],[Uraian]])&gt;2,TRIM(RIGHT(SUBSTITUTE(TRIM(C754)," ",REPT(" ",255)),255))," ")</f>
        <v xml:space="preserve"> </v>
      </c>
      <c r="G754" s="110">
        <f>COPY!Z746</f>
        <v>0</v>
      </c>
      <c r="H754" s="111" t="str">
        <f>IFERROR(VLOOKUP(Table1722[[#This Row],[Bukti]],'Un nOTA'!$A$4:$K$5003,10,FALSE),"")</f>
        <v/>
      </c>
      <c r="I754" s="112" t="str">
        <f>IFERROR(VLOOKUP(Table1722[[#This Row],[Bukti]],Table13[#Data],11,FALSE),"")</f>
        <v/>
      </c>
    </row>
    <row r="755" spans="1:9" ht="19.5" hidden="1" customHeight="1" x14ac:dyDescent="0.2">
      <c r="A755" s="105" t="str">
        <f>IF(D755=1,COUNTIF($D$10:D755,1)," ")</f>
        <v xml:space="preserve"> </v>
      </c>
      <c r="B755" s="106" t="str">
        <f>COPY!AR747</f>
        <v/>
      </c>
      <c r="C755" s="107">
        <f>COPY!AC747</f>
        <v>0</v>
      </c>
      <c r="D755" s="107" t="str">
        <f>IF(LEN(Table1722[[#This Row],[Uraian]])&gt;2,1," ")</f>
        <v xml:space="preserve"> </v>
      </c>
      <c r="E755" s="113" t="str">
        <f>IF(Table1722[[#This Row],[Lawan Transaksi]]="CV AGUNG KARYA",COUNTIF($I$10:I755,"CV AGUNG KARYA")," ")</f>
        <v xml:space="preserve"> </v>
      </c>
      <c r="F755" s="107" t="str">
        <f>IF(LEN(Table1722[[#This Row],[Uraian]])&gt;2,TRIM(RIGHT(SUBSTITUTE(TRIM(C755)," ",REPT(" ",255)),255))," ")</f>
        <v xml:space="preserve"> </v>
      </c>
      <c r="G755" s="110">
        <f>COPY!Z747</f>
        <v>0</v>
      </c>
      <c r="H755" s="111" t="str">
        <f>IFERROR(VLOOKUP(Table1722[[#This Row],[Bukti]],'Un nOTA'!$A$4:$K$5003,10,FALSE),"")</f>
        <v/>
      </c>
      <c r="I755" s="112" t="str">
        <f>IFERROR(VLOOKUP(Table1722[[#This Row],[Bukti]],Table13[#Data],11,FALSE),"")</f>
        <v/>
      </c>
    </row>
    <row r="756" spans="1:9" ht="19.5" hidden="1" customHeight="1" x14ac:dyDescent="0.2">
      <c r="A756" s="105" t="str">
        <f>IF(D756=1,COUNTIF($D$10:D756,1)," ")</f>
        <v xml:space="preserve"> </v>
      </c>
      <c r="B756" s="106" t="str">
        <f>COPY!AR748</f>
        <v/>
      </c>
      <c r="C756" s="107">
        <f>COPY!AC748</f>
        <v>0</v>
      </c>
      <c r="D756" s="107" t="str">
        <f>IF(LEN(Table1722[[#This Row],[Uraian]])&gt;2,1," ")</f>
        <v xml:space="preserve"> </v>
      </c>
      <c r="E756" s="113" t="str">
        <f>IF(Table1722[[#This Row],[Lawan Transaksi]]="CV AGUNG KARYA",COUNTIF($I$10:I756,"CV AGUNG KARYA")," ")</f>
        <v xml:space="preserve"> </v>
      </c>
      <c r="F756" s="107" t="str">
        <f>IF(LEN(Table1722[[#This Row],[Uraian]])&gt;2,TRIM(RIGHT(SUBSTITUTE(TRIM(C756)," ",REPT(" ",255)),255))," ")</f>
        <v xml:space="preserve"> </v>
      </c>
      <c r="G756" s="110">
        <f>COPY!Z748</f>
        <v>0</v>
      </c>
      <c r="H756" s="111" t="str">
        <f>IFERROR(VLOOKUP(Table1722[[#This Row],[Bukti]],'Un nOTA'!$A$4:$K$5003,10,FALSE),"")</f>
        <v/>
      </c>
      <c r="I756" s="112" t="str">
        <f>IFERROR(VLOOKUP(Table1722[[#This Row],[Bukti]],Table13[#Data],11,FALSE),"")</f>
        <v/>
      </c>
    </row>
    <row r="757" spans="1:9" ht="19.5" hidden="1" customHeight="1" x14ac:dyDescent="0.2">
      <c r="A757" s="105" t="str">
        <f>IF(D757=1,COUNTIF($D$10:D757,1)," ")</f>
        <v xml:space="preserve"> </v>
      </c>
      <c r="B757" s="106" t="str">
        <f>COPY!AR749</f>
        <v/>
      </c>
      <c r="C757" s="107">
        <f>COPY!AC749</f>
        <v>0</v>
      </c>
      <c r="D757" s="107" t="str">
        <f>IF(LEN(Table1722[[#This Row],[Uraian]])&gt;2,1," ")</f>
        <v xml:space="preserve"> </v>
      </c>
      <c r="E757" s="113" t="str">
        <f>IF(Table1722[[#This Row],[Lawan Transaksi]]="CV AGUNG KARYA",COUNTIF($I$10:I757,"CV AGUNG KARYA")," ")</f>
        <v xml:space="preserve"> </v>
      </c>
      <c r="F757" s="107" t="str">
        <f>IF(LEN(Table1722[[#This Row],[Uraian]])&gt;2,TRIM(RIGHT(SUBSTITUTE(TRIM(C757)," ",REPT(" ",255)),255))," ")</f>
        <v xml:space="preserve"> </v>
      </c>
      <c r="G757" s="110">
        <f>COPY!Z749</f>
        <v>0</v>
      </c>
      <c r="H757" s="111" t="str">
        <f>IFERROR(VLOOKUP(Table1722[[#This Row],[Bukti]],'Un nOTA'!$A$4:$K$5003,10,FALSE),"")</f>
        <v/>
      </c>
      <c r="I757" s="112" t="str">
        <f>IFERROR(VLOOKUP(Table1722[[#This Row],[Bukti]],Table13[#Data],11,FALSE),"")</f>
        <v/>
      </c>
    </row>
    <row r="758" spans="1:9" ht="19.5" hidden="1" customHeight="1" x14ac:dyDescent="0.2">
      <c r="A758" s="105" t="str">
        <f>IF(D758=1,COUNTIF($D$10:D758,1)," ")</f>
        <v xml:space="preserve"> </v>
      </c>
      <c r="B758" s="106" t="str">
        <f>COPY!AR750</f>
        <v/>
      </c>
      <c r="C758" s="107">
        <f>COPY!AC750</f>
        <v>0</v>
      </c>
      <c r="D758" s="107" t="str">
        <f>IF(LEN(Table1722[[#This Row],[Uraian]])&gt;2,1," ")</f>
        <v xml:space="preserve"> </v>
      </c>
      <c r="E758" s="113" t="str">
        <f>IF(Table1722[[#This Row],[Lawan Transaksi]]="CV AGUNG KARYA",COUNTIF($I$10:I758,"CV AGUNG KARYA")," ")</f>
        <v xml:space="preserve"> </v>
      </c>
      <c r="F758" s="107" t="str">
        <f>IF(LEN(Table1722[[#This Row],[Uraian]])&gt;2,TRIM(RIGHT(SUBSTITUTE(TRIM(C758)," ",REPT(" ",255)),255))," ")</f>
        <v xml:space="preserve"> </v>
      </c>
      <c r="G758" s="110">
        <f>COPY!Z750</f>
        <v>0</v>
      </c>
      <c r="H758" s="111" t="str">
        <f>IFERROR(VLOOKUP(Table1722[[#This Row],[Bukti]],'Un nOTA'!$A$4:$K$5003,10,FALSE),"")</f>
        <v/>
      </c>
      <c r="I758" s="112" t="str">
        <f>IFERROR(VLOOKUP(Table1722[[#This Row],[Bukti]],Table13[#Data],11,FALSE),"")</f>
        <v/>
      </c>
    </row>
    <row r="759" spans="1:9" ht="19.5" hidden="1" customHeight="1" x14ac:dyDescent="0.2">
      <c r="A759" s="105" t="str">
        <f>IF(D759=1,COUNTIF($D$10:D759,1)," ")</f>
        <v xml:space="preserve"> </v>
      </c>
      <c r="B759" s="106" t="str">
        <f>COPY!AR751</f>
        <v/>
      </c>
      <c r="C759" s="107">
        <f>COPY!AC751</f>
        <v>0</v>
      </c>
      <c r="D759" s="107" t="str">
        <f>IF(LEN(Table1722[[#This Row],[Uraian]])&gt;2,1," ")</f>
        <v xml:space="preserve"> </v>
      </c>
      <c r="E759" s="113" t="str">
        <f>IF(Table1722[[#This Row],[Lawan Transaksi]]="CV AGUNG KARYA",COUNTIF($I$10:I759,"CV AGUNG KARYA")," ")</f>
        <v xml:space="preserve"> </v>
      </c>
      <c r="F759" s="107" t="str">
        <f>IF(LEN(Table1722[[#This Row],[Uraian]])&gt;2,TRIM(RIGHT(SUBSTITUTE(TRIM(C759)," ",REPT(" ",255)),255))," ")</f>
        <v xml:space="preserve"> </v>
      </c>
      <c r="G759" s="110">
        <f>COPY!Z751</f>
        <v>0</v>
      </c>
      <c r="H759" s="111" t="str">
        <f>IFERROR(VLOOKUP(Table1722[[#This Row],[Bukti]],'Un nOTA'!$A$4:$K$5003,10,FALSE),"")</f>
        <v/>
      </c>
      <c r="I759" s="112" t="str">
        <f>IFERROR(VLOOKUP(Table1722[[#This Row],[Bukti]],Table13[#Data],11,FALSE),"")</f>
        <v/>
      </c>
    </row>
    <row r="760" spans="1:9" ht="19.5" hidden="1" customHeight="1" x14ac:dyDescent="0.2">
      <c r="A760" s="105" t="str">
        <f>IF(D760=1,COUNTIF($D$10:D760,1)," ")</f>
        <v xml:space="preserve"> </v>
      </c>
      <c r="B760" s="106" t="str">
        <f>COPY!AR752</f>
        <v/>
      </c>
      <c r="C760" s="107">
        <f>COPY!AC752</f>
        <v>0</v>
      </c>
      <c r="D760" s="107" t="str">
        <f>IF(LEN(Table1722[[#This Row],[Uraian]])&gt;2,1," ")</f>
        <v xml:space="preserve"> </v>
      </c>
      <c r="E760" s="113" t="str">
        <f>IF(Table1722[[#This Row],[Lawan Transaksi]]="CV AGUNG KARYA",COUNTIF($I$10:I760,"CV AGUNG KARYA")," ")</f>
        <v xml:space="preserve"> </v>
      </c>
      <c r="F760" s="107" t="str">
        <f>IF(LEN(Table1722[[#This Row],[Uraian]])&gt;2,TRIM(RIGHT(SUBSTITUTE(TRIM(C760)," ",REPT(" ",255)),255))," ")</f>
        <v xml:space="preserve"> </v>
      </c>
      <c r="G760" s="110">
        <f>COPY!Z752</f>
        <v>0</v>
      </c>
      <c r="H760" s="111" t="str">
        <f>IFERROR(VLOOKUP(Table1722[[#This Row],[Bukti]],'Un nOTA'!$A$4:$K$5003,10,FALSE),"")</f>
        <v/>
      </c>
      <c r="I760" s="112" t="str">
        <f>IFERROR(VLOOKUP(Table1722[[#This Row],[Bukti]],Table13[#Data],11,FALSE),"")</f>
        <v/>
      </c>
    </row>
    <row r="761" spans="1:9" ht="19.5" hidden="1" customHeight="1" x14ac:dyDescent="0.2">
      <c r="A761" s="105" t="str">
        <f>IF(D761=1,COUNTIF($D$10:D761,1)," ")</f>
        <v xml:space="preserve"> </v>
      </c>
      <c r="B761" s="106" t="str">
        <f>COPY!AR753</f>
        <v/>
      </c>
      <c r="C761" s="107">
        <f>COPY!AC753</f>
        <v>0</v>
      </c>
      <c r="D761" s="107" t="str">
        <f>IF(LEN(Table1722[[#This Row],[Uraian]])&gt;2,1," ")</f>
        <v xml:space="preserve"> </v>
      </c>
      <c r="E761" s="113" t="str">
        <f>IF(Table1722[[#This Row],[Lawan Transaksi]]="CV AGUNG KARYA",COUNTIF($I$10:I761,"CV AGUNG KARYA")," ")</f>
        <v xml:space="preserve"> </v>
      </c>
      <c r="F761" s="107" t="str">
        <f>IF(LEN(Table1722[[#This Row],[Uraian]])&gt;2,TRIM(RIGHT(SUBSTITUTE(TRIM(C761)," ",REPT(" ",255)),255))," ")</f>
        <v xml:space="preserve"> </v>
      </c>
      <c r="G761" s="110">
        <f>COPY!Z753</f>
        <v>0</v>
      </c>
      <c r="H761" s="111" t="str">
        <f>IFERROR(VLOOKUP(Table1722[[#This Row],[Bukti]],'Un nOTA'!$A$4:$K$5003,10,FALSE),"")</f>
        <v/>
      </c>
      <c r="I761" s="112" t="str">
        <f>IFERROR(VLOOKUP(Table1722[[#This Row],[Bukti]],Table13[#Data],11,FALSE),"")</f>
        <v/>
      </c>
    </row>
    <row r="762" spans="1:9" ht="19.5" hidden="1" customHeight="1" x14ac:dyDescent="0.2">
      <c r="A762" s="105" t="str">
        <f>IF(D762=1,COUNTIF($D$10:D762,1)," ")</f>
        <v xml:space="preserve"> </v>
      </c>
      <c r="B762" s="106" t="str">
        <f>COPY!AR754</f>
        <v/>
      </c>
      <c r="C762" s="107">
        <f>COPY!AC754</f>
        <v>0</v>
      </c>
      <c r="D762" s="107" t="str">
        <f>IF(LEN(Table1722[[#This Row],[Uraian]])&gt;2,1," ")</f>
        <v xml:space="preserve"> </v>
      </c>
      <c r="E762" s="113" t="str">
        <f>IF(Table1722[[#This Row],[Lawan Transaksi]]="CV AGUNG KARYA",COUNTIF($I$10:I762,"CV AGUNG KARYA")," ")</f>
        <v xml:space="preserve"> </v>
      </c>
      <c r="F762" s="107" t="str">
        <f>IF(LEN(Table1722[[#This Row],[Uraian]])&gt;2,TRIM(RIGHT(SUBSTITUTE(TRIM(C762)," ",REPT(" ",255)),255))," ")</f>
        <v xml:space="preserve"> </v>
      </c>
      <c r="G762" s="110">
        <f>COPY!Z754</f>
        <v>0</v>
      </c>
      <c r="H762" s="111" t="str">
        <f>IFERROR(VLOOKUP(Table1722[[#This Row],[Bukti]],'Un nOTA'!$A$4:$K$5003,10,FALSE),"")</f>
        <v/>
      </c>
      <c r="I762" s="112" t="str">
        <f>IFERROR(VLOOKUP(Table1722[[#This Row],[Bukti]],Table13[#Data],11,FALSE),"")</f>
        <v/>
      </c>
    </row>
    <row r="763" spans="1:9" ht="19.5" hidden="1" customHeight="1" x14ac:dyDescent="0.2">
      <c r="A763" s="105" t="str">
        <f>IF(D763=1,COUNTIF($D$10:D763,1)," ")</f>
        <v xml:space="preserve"> </v>
      </c>
      <c r="B763" s="106" t="str">
        <f>COPY!AR755</f>
        <v/>
      </c>
      <c r="C763" s="107">
        <f>COPY!AC755</f>
        <v>0</v>
      </c>
      <c r="D763" s="107" t="str">
        <f>IF(LEN(Table1722[[#This Row],[Uraian]])&gt;2,1," ")</f>
        <v xml:space="preserve"> </v>
      </c>
      <c r="E763" s="113" t="str">
        <f>IF(Table1722[[#This Row],[Lawan Transaksi]]="CV AGUNG KARYA",COUNTIF($I$10:I763,"CV AGUNG KARYA")," ")</f>
        <v xml:space="preserve"> </v>
      </c>
      <c r="F763" s="107" t="str">
        <f>IF(LEN(Table1722[[#This Row],[Uraian]])&gt;2,TRIM(RIGHT(SUBSTITUTE(TRIM(C763)," ",REPT(" ",255)),255))," ")</f>
        <v xml:space="preserve"> </v>
      </c>
      <c r="G763" s="110">
        <f>COPY!Z755</f>
        <v>0</v>
      </c>
      <c r="H763" s="111" t="str">
        <f>IFERROR(VLOOKUP(Table1722[[#This Row],[Bukti]],'Un nOTA'!$A$4:$K$5003,10,FALSE),"")</f>
        <v/>
      </c>
      <c r="I763" s="112" t="str">
        <f>IFERROR(VLOOKUP(Table1722[[#This Row],[Bukti]],Table13[#Data],11,FALSE),"")</f>
        <v/>
      </c>
    </row>
    <row r="764" spans="1:9" ht="19.5" hidden="1" customHeight="1" x14ac:dyDescent="0.2">
      <c r="A764" s="105" t="str">
        <f>IF(D764=1,COUNTIF($D$10:D764,1)," ")</f>
        <v xml:space="preserve"> </v>
      </c>
      <c r="B764" s="106" t="str">
        <f>COPY!AR756</f>
        <v/>
      </c>
      <c r="C764" s="107">
        <f>COPY!AC756</f>
        <v>0</v>
      </c>
      <c r="D764" s="107" t="str">
        <f>IF(LEN(Table1722[[#This Row],[Uraian]])&gt;2,1," ")</f>
        <v xml:space="preserve"> </v>
      </c>
      <c r="E764" s="113" t="str">
        <f>IF(Table1722[[#This Row],[Lawan Transaksi]]="CV AGUNG KARYA",COUNTIF($I$10:I764,"CV AGUNG KARYA")," ")</f>
        <v xml:space="preserve"> </v>
      </c>
      <c r="F764" s="107" t="str">
        <f>IF(LEN(Table1722[[#This Row],[Uraian]])&gt;2,TRIM(RIGHT(SUBSTITUTE(TRIM(C764)," ",REPT(" ",255)),255))," ")</f>
        <v xml:space="preserve"> </v>
      </c>
      <c r="G764" s="110">
        <f>COPY!Z756</f>
        <v>0</v>
      </c>
      <c r="H764" s="111" t="str">
        <f>IFERROR(VLOOKUP(Table1722[[#This Row],[Bukti]],'Un nOTA'!$A$4:$K$5003,10,FALSE),"")</f>
        <v/>
      </c>
      <c r="I764" s="112" t="str">
        <f>IFERROR(VLOOKUP(Table1722[[#This Row],[Bukti]],Table13[#Data],11,FALSE),"")</f>
        <v/>
      </c>
    </row>
    <row r="765" spans="1:9" ht="19.5" hidden="1" customHeight="1" x14ac:dyDescent="0.2">
      <c r="A765" s="105" t="str">
        <f>IF(D765=1,COUNTIF($D$10:D765,1)," ")</f>
        <v xml:space="preserve"> </v>
      </c>
      <c r="B765" s="106" t="str">
        <f>COPY!AR757</f>
        <v/>
      </c>
      <c r="C765" s="107">
        <f>COPY!AC757</f>
        <v>0</v>
      </c>
      <c r="D765" s="107" t="str">
        <f>IF(LEN(Table1722[[#This Row],[Uraian]])&gt;2,1," ")</f>
        <v xml:space="preserve"> </v>
      </c>
      <c r="E765" s="113" t="str">
        <f>IF(Table1722[[#This Row],[Lawan Transaksi]]="CV AGUNG KARYA",COUNTIF($I$10:I765,"CV AGUNG KARYA")," ")</f>
        <v xml:space="preserve"> </v>
      </c>
      <c r="F765" s="107" t="str">
        <f>IF(LEN(Table1722[[#This Row],[Uraian]])&gt;2,TRIM(RIGHT(SUBSTITUTE(TRIM(C765)," ",REPT(" ",255)),255))," ")</f>
        <v xml:space="preserve"> </v>
      </c>
      <c r="G765" s="110">
        <f>COPY!Z757</f>
        <v>0</v>
      </c>
      <c r="H765" s="111" t="str">
        <f>IFERROR(VLOOKUP(Table1722[[#This Row],[Bukti]],'Un nOTA'!$A$4:$K$5003,10,FALSE),"")</f>
        <v/>
      </c>
      <c r="I765" s="112" t="str">
        <f>IFERROR(VLOOKUP(Table1722[[#This Row],[Bukti]],Table13[#Data],11,FALSE),"")</f>
        <v/>
      </c>
    </row>
    <row r="766" spans="1:9" ht="19.5" hidden="1" customHeight="1" x14ac:dyDescent="0.2">
      <c r="A766" s="105" t="str">
        <f>IF(D766=1,COUNTIF($D$10:D766,1)," ")</f>
        <v xml:space="preserve"> </v>
      </c>
      <c r="B766" s="106" t="str">
        <f>COPY!AR758</f>
        <v/>
      </c>
      <c r="C766" s="107">
        <f>COPY!AC758</f>
        <v>0</v>
      </c>
      <c r="D766" s="107" t="str">
        <f>IF(LEN(Table1722[[#This Row],[Uraian]])&gt;2,1," ")</f>
        <v xml:space="preserve"> </v>
      </c>
      <c r="E766" s="113" t="str">
        <f>IF(Table1722[[#This Row],[Lawan Transaksi]]="CV AGUNG KARYA",COUNTIF($I$10:I766,"CV AGUNG KARYA")," ")</f>
        <v xml:space="preserve"> </v>
      </c>
      <c r="F766" s="107" t="str">
        <f>IF(LEN(Table1722[[#This Row],[Uraian]])&gt;2,TRIM(RIGHT(SUBSTITUTE(TRIM(C766)," ",REPT(" ",255)),255))," ")</f>
        <v xml:space="preserve"> </v>
      </c>
      <c r="G766" s="110">
        <f>COPY!Z758</f>
        <v>0</v>
      </c>
      <c r="H766" s="111" t="str">
        <f>IFERROR(VLOOKUP(Table1722[[#This Row],[Bukti]],'Un nOTA'!$A$4:$K$5003,10,FALSE),"")</f>
        <v/>
      </c>
      <c r="I766" s="112" t="str">
        <f>IFERROR(VLOOKUP(Table1722[[#This Row],[Bukti]],Table13[#Data],11,FALSE),"")</f>
        <v/>
      </c>
    </row>
    <row r="767" spans="1:9" ht="19.5" hidden="1" customHeight="1" x14ac:dyDescent="0.2">
      <c r="A767" s="105" t="str">
        <f>IF(D767=1,COUNTIF($D$10:D767,1)," ")</f>
        <v xml:space="preserve"> </v>
      </c>
      <c r="B767" s="106" t="str">
        <f>COPY!AR759</f>
        <v/>
      </c>
      <c r="C767" s="107">
        <f>COPY!AC759</f>
        <v>0</v>
      </c>
      <c r="D767" s="107" t="str">
        <f>IF(LEN(Table1722[[#This Row],[Uraian]])&gt;2,1," ")</f>
        <v xml:space="preserve"> </v>
      </c>
      <c r="E767" s="113" t="str">
        <f>IF(Table1722[[#This Row],[Lawan Transaksi]]="CV AGUNG KARYA",COUNTIF($I$10:I767,"CV AGUNG KARYA")," ")</f>
        <v xml:space="preserve"> </v>
      </c>
      <c r="F767" s="107" t="str">
        <f>IF(LEN(Table1722[[#This Row],[Uraian]])&gt;2,TRIM(RIGHT(SUBSTITUTE(TRIM(C767)," ",REPT(" ",255)),255))," ")</f>
        <v xml:space="preserve"> </v>
      </c>
      <c r="G767" s="110">
        <f>COPY!Z759</f>
        <v>0</v>
      </c>
      <c r="H767" s="111" t="str">
        <f>IFERROR(VLOOKUP(Table1722[[#This Row],[Bukti]],'Un nOTA'!$A$4:$K$5003,10,FALSE),"")</f>
        <v/>
      </c>
      <c r="I767" s="112" t="str">
        <f>IFERROR(VLOOKUP(Table1722[[#This Row],[Bukti]],Table13[#Data],11,FALSE),"")</f>
        <v/>
      </c>
    </row>
    <row r="768" spans="1:9" ht="19.5" hidden="1" customHeight="1" x14ac:dyDescent="0.2">
      <c r="A768" s="105" t="str">
        <f>IF(D768=1,COUNTIF($D$10:D768,1)," ")</f>
        <v xml:space="preserve"> </v>
      </c>
      <c r="B768" s="106" t="str">
        <f>COPY!AR760</f>
        <v/>
      </c>
      <c r="C768" s="107">
        <f>COPY!AC760</f>
        <v>0</v>
      </c>
      <c r="D768" s="107" t="str">
        <f>IF(LEN(Table1722[[#This Row],[Uraian]])&gt;2,1," ")</f>
        <v xml:space="preserve"> </v>
      </c>
      <c r="E768" s="113" t="str">
        <f>IF(Table1722[[#This Row],[Lawan Transaksi]]="CV AGUNG KARYA",COUNTIF($I$10:I768,"CV AGUNG KARYA")," ")</f>
        <v xml:space="preserve"> </v>
      </c>
      <c r="F768" s="107" t="str">
        <f>IF(LEN(Table1722[[#This Row],[Uraian]])&gt;2,TRIM(RIGHT(SUBSTITUTE(TRIM(C768)," ",REPT(" ",255)),255))," ")</f>
        <v xml:space="preserve"> </v>
      </c>
      <c r="G768" s="110">
        <f>COPY!Z760</f>
        <v>0</v>
      </c>
      <c r="H768" s="111" t="str">
        <f>IFERROR(VLOOKUP(Table1722[[#This Row],[Bukti]],'Un nOTA'!$A$4:$K$5003,10,FALSE),"")</f>
        <v/>
      </c>
      <c r="I768" s="112" t="str">
        <f>IFERROR(VLOOKUP(Table1722[[#This Row],[Bukti]],Table13[#Data],11,FALSE),"")</f>
        <v/>
      </c>
    </row>
    <row r="769" spans="1:9" ht="19.5" hidden="1" customHeight="1" x14ac:dyDescent="0.2">
      <c r="A769" s="105" t="str">
        <f>IF(D769=1,COUNTIF($D$10:D769,1)," ")</f>
        <v xml:space="preserve"> </v>
      </c>
      <c r="B769" s="106" t="str">
        <f>COPY!AR761</f>
        <v/>
      </c>
      <c r="C769" s="107">
        <f>COPY!AC761</f>
        <v>0</v>
      </c>
      <c r="D769" s="107" t="str">
        <f>IF(LEN(Table1722[[#This Row],[Uraian]])&gt;2,1," ")</f>
        <v xml:space="preserve"> </v>
      </c>
      <c r="E769" s="113" t="str">
        <f>IF(Table1722[[#This Row],[Lawan Transaksi]]="CV AGUNG KARYA",COUNTIF($I$10:I769,"CV AGUNG KARYA")," ")</f>
        <v xml:space="preserve"> </v>
      </c>
      <c r="F769" s="107" t="str">
        <f>IF(LEN(Table1722[[#This Row],[Uraian]])&gt;2,TRIM(RIGHT(SUBSTITUTE(TRIM(C769)," ",REPT(" ",255)),255))," ")</f>
        <v xml:space="preserve"> </v>
      </c>
      <c r="G769" s="110">
        <f>COPY!Z761</f>
        <v>0</v>
      </c>
      <c r="H769" s="111" t="str">
        <f>IFERROR(VLOOKUP(Table1722[[#This Row],[Bukti]],'Un nOTA'!$A$4:$K$5003,10,FALSE),"")</f>
        <v/>
      </c>
      <c r="I769" s="112" t="str">
        <f>IFERROR(VLOOKUP(Table1722[[#This Row],[Bukti]],Table13[#Data],11,FALSE),"")</f>
        <v/>
      </c>
    </row>
    <row r="770" spans="1:9" ht="19.5" hidden="1" customHeight="1" x14ac:dyDescent="0.2">
      <c r="A770" s="105" t="str">
        <f>IF(D770=1,COUNTIF($D$10:D770,1)," ")</f>
        <v xml:space="preserve"> </v>
      </c>
      <c r="B770" s="106" t="str">
        <f>COPY!AR762</f>
        <v/>
      </c>
      <c r="C770" s="107">
        <f>COPY!AC762</f>
        <v>0</v>
      </c>
      <c r="D770" s="107" t="str">
        <f>IF(LEN(Table1722[[#This Row],[Uraian]])&gt;2,1," ")</f>
        <v xml:space="preserve"> </v>
      </c>
      <c r="E770" s="113" t="str">
        <f>IF(Table1722[[#This Row],[Lawan Transaksi]]="CV AGUNG KARYA",COUNTIF($I$10:I770,"CV AGUNG KARYA")," ")</f>
        <v xml:space="preserve"> </v>
      </c>
      <c r="F770" s="107" t="str">
        <f>IF(LEN(Table1722[[#This Row],[Uraian]])&gt;2,TRIM(RIGHT(SUBSTITUTE(TRIM(C770)," ",REPT(" ",255)),255))," ")</f>
        <v xml:space="preserve"> </v>
      </c>
      <c r="G770" s="110">
        <f>COPY!Z762</f>
        <v>0</v>
      </c>
      <c r="H770" s="111" t="str">
        <f>IFERROR(VLOOKUP(Table1722[[#This Row],[Bukti]],'Un nOTA'!$A$4:$K$5003,10,FALSE),"")</f>
        <v/>
      </c>
      <c r="I770" s="112" t="str">
        <f>IFERROR(VLOOKUP(Table1722[[#This Row],[Bukti]],Table13[#Data],11,FALSE),"")</f>
        <v/>
      </c>
    </row>
    <row r="771" spans="1:9" ht="19.5" hidden="1" customHeight="1" x14ac:dyDescent="0.2">
      <c r="A771" s="105" t="str">
        <f>IF(D771=1,COUNTIF($D$10:D771,1)," ")</f>
        <v xml:space="preserve"> </v>
      </c>
      <c r="B771" s="106" t="str">
        <f>COPY!AR763</f>
        <v/>
      </c>
      <c r="C771" s="107">
        <f>COPY!AC763</f>
        <v>0</v>
      </c>
      <c r="D771" s="107" t="str">
        <f>IF(LEN(Table1722[[#This Row],[Uraian]])&gt;2,1," ")</f>
        <v xml:space="preserve"> </v>
      </c>
      <c r="E771" s="113" t="str">
        <f>IF(Table1722[[#This Row],[Lawan Transaksi]]="CV AGUNG KARYA",COUNTIF($I$10:I771,"CV AGUNG KARYA")," ")</f>
        <v xml:space="preserve"> </v>
      </c>
      <c r="F771" s="107" t="str">
        <f>IF(LEN(Table1722[[#This Row],[Uraian]])&gt;2,TRIM(RIGHT(SUBSTITUTE(TRIM(C771)," ",REPT(" ",255)),255))," ")</f>
        <v xml:space="preserve"> </v>
      </c>
      <c r="G771" s="110">
        <f>COPY!Z763</f>
        <v>0</v>
      </c>
      <c r="H771" s="111" t="str">
        <f>IFERROR(VLOOKUP(Table1722[[#This Row],[Bukti]],'Un nOTA'!$A$4:$K$5003,10,FALSE),"")</f>
        <v/>
      </c>
      <c r="I771" s="112" t="str">
        <f>IFERROR(VLOOKUP(Table1722[[#This Row],[Bukti]],Table13[#Data],11,FALSE),"")</f>
        <v/>
      </c>
    </row>
    <row r="772" spans="1:9" ht="19.5" hidden="1" customHeight="1" x14ac:dyDescent="0.2">
      <c r="A772" s="105" t="str">
        <f>IF(D772=1,COUNTIF($D$10:D772,1)," ")</f>
        <v xml:space="preserve"> </v>
      </c>
      <c r="B772" s="106" t="str">
        <f>COPY!AR764</f>
        <v/>
      </c>
      <c r="C772" s="107">
        <f>COPY!AC764</f>
        <v>0</v>
      </c>
      <c r="D772" s="107" t="str">
        <f>IF(LEN(Table1722[[#This Row],[Uraian]])&gt;2,1," ")</f>
        <v xml:space="preserve"> </v>
      </c>
      <c r="E772" s="113" t="str">
        <f>IF(Table1722[[#This Row],[Lawan Transaksi]]="CV AGUNG KARYA",COUNTIF($I$10:I772,"CV AGUNG KARYA")," ")</f>
        <v xml:space="preserve"> </v>
      </c>
      <c r="F772" s="107" t="str">
        <f>IF(LEN(Table1722[[#This Row],[Uraian]])&gt;2,TRIM(RIGHT(SUBSTITUTE(TRIM(C772)," ",REPT(" ",255)),255))," ")</f>
        <v xml:space="preserve"> </v>
      </c>
      <c r="G772" s="110">
        <f>COPY!Z764</f>
        <v>0</v>
      </c>
      <c r="H772" s="111" t="str">
        <f>IFERROR(VLOOKUP(Table1722[[#This Row],[Bukti]],'Un nOTA'!$A$4:$K$5003,10,FALSE),"")</f>
        <v/>
      </c>
      <c r="I772" s="112" t="str">
        <f>IFERROR(VLOOKUP(Table1722[[#This Row],[Bukti]],Table13[#Data],11,FALSE),"")</f>
        <v/>
      </c>
    </row>
    <row r="773" spans="1:9" ht="19.5" hidden="1" customHeight="1" x14ac:dyDescent="0.2">
      <c r="A773" s="105" t="str">
        <f>IF(D773=1,COUNTIF($D$10:D773,1)," ")</f>
        <v xml:space="preserve"> </v>
      </c>
      <c r="B773" s="106" t="str">
        <f>COPY!AR765</f>
        <v/>
      </c>
      <c r="C773" s="107">
        <f>COPY!AC765</f>
        <v>0</v>
      </c>
      <c r="D773" s="107" t="str">
        <f>IF(LEN(Table1722[[#This Row],[Uraian]])&gt;2,1," ")</f>
        <v xml:space="preserve"> </v>
      </c>
      <c r="E773" s="113" t="str">
        <f>IF(Table1722[[#This Row],[Lawan Transaksi]]="CV AGUNG KARYA",COUNTIF($I$10:I773,"CV AGUNG KARYA")," ")</f>
        <v xml:space="preserve"> </v>
      </c>
      <c r="F773" s="107" t="str">
        <f>IF(LEN(Table1722[[#This Row],[Uraian]])&gt;2,TRIM(RIGHT(SUBSTITUTE(TRIM(C773)," ",REPT(" ",255)),255))," ")</f>
        <v xml:space="preserve"> </v>
      </c>
      <c r="G773" s="110">
        <f>COPY!Z765</f>
        <v>0</v>
      </c>
      <c r="H773" s="111" t="str">
        <f>IFERROR(VLOOKUP(Table1722[[#This Row],[Bukti]],'Un nOTA'!$A$4:$K$5003,10,FALSE),"")</f>
        <v/>
      </c>
      <c r="I773" s="112" t="str">
        <f>IFERROR(VLOOKUP(Table1722[[#This Row],[Bukti]],Table13[#Data],11,FALSE),"")</f>
        <v/>
      </c>
    </row>
    <row r="774" spans="1:9" ht="19.5" hidden="1" customHeight="1" x14ac:dyDescent="0.2">
      <c r="A774" s="105" t="str">
        <f>IF(D774=1,COUNTIF($D$10:D774,1)," ")</f>
        <v xml:space="preserve"> </v>
      </c>
      <c r="B774" s="106" t="str">
        <f>COPY!AR766</f>
        <v/>
      </c>
      <c r="C774" s="107">
        <f>COPY!AC766</f>
        <v>0</v>
      </c>
      <c r="D774" s="107" t="str">
        <f>IF(LEN(Table1722[[#This Row],[Uraian]])&gt;2,1," ")</f>
        <v xml:space="preserve"> </v>
      </c>
      <c r="E774" s="113" t="str">
        <f>IF(Table1722[[#This Row],[Lawan Transaksi]]="CV AGUNG KARYA",COUNTIF($I$10:I774,"CV AGUNG KARYA")," ")</f>
        <v xml:space="preserve"> </v>
      </c>
      <c r="F774" s="107" t="str">
        <f>IF(LEN(Table1722[[#This Row],[Uraian]])&gt;2,TRIM(RIGHT(SUBSTITUTE(TRIM(C774)," ",REPT(" ",255)),255))," ")</f>
        <v xml:space="preserve"> </v>
      </c>
      <c r="G774" s="110">
        <f>COPY!Z766</f>
        <v>0</v>
      </c>
      <c r="H774" s="111" t="str">
        <f>IFERROR(VLOOKUP(Table1722[[#This Row],[Bukti]],'Un nOTA'!$A$4:$K$5003,10,FALSE),"")</f>
        <v/>
      </c>
      <c r="I774" s="112" t="str">
        <f>IFERROR(VLOOKUP(Table1722[[#This Row],[Bukti]],Table13[#Data],11,FALSE),"")</f>
        <v/>
      </c>
    </row>
    <row r="775" spans="1:9" ht="19.5" hidden="1" customHeight="1" x14ac:dyDescent="0.2">
      <c r="A775" s="105" t="str">
        <f>IF(D775=1,COUNTIF($D$10:D775,1)," ")</f>
        <v xml:space="preserve"> </v>
      </c>
      <c r="B775" s="106" t="str">
        <f>COPY!AR767</f>
        <v/>
      </c>
      <c r="C775" s="107">
        <f>COPY!AC767</f>
        <v>0</v>
      </c>
      <c r="D775" s="107" t="str">
        <f>IF(LEN(Table1722[[#This Row],[Uraian]])&gt;2,1," ")</f>
        <v xml:space="preserve"> </v>
      </c>
      <c r="E775" s="113" t="str">
        <f>IF(Table1722[[#This Row],[Lawan Transaksi]]="CV AGUNG KARYA",COUNTIF($I$10:I775,"CV AGUNG KARYA")," ")</f>
        <v xml:space="preserve"> </v>
      </c>
      <c r="F775" s="107" t="str">
        <f>IF(LEN(Table1722[[#This Row],[Uraian]])&gt;2,TRIM(RIGHT(SUBSTITUTE(TRIM(C775)," ",REPT(" ",255)),255))," ")</f>
        <v xml:space="preserve"> </v>
      </c>
      <c r="G775" s="110">
        <f>COPY!Z767</f>
        <v>0</v>
      </c>
      <c r="H775" s="111" t="str">
        <f>IFERROR(VLOOKUP(Table1722[[#This Row],[Bukti]],'Un nOTA'!$A$4:$K$5003,10,FALSE),"")</f>
        <v/>
      </c>
      <c r="I775" s="112" t="str">
        <f>IFERROR(VLOOKUP(Table1722[[#This Row],[Bukti]],Table13[#Data],11,FALSE),"")</f>
        <v/>
      </c>
    </row>
    <row r="776" spans="1:9" ht="19.5" hidden="1" customHeight="1" x14ac:dyDescent="0.2">
      <c r="A776" s="105" t="str">
        <f>IF(D776=1,COUNTIF($D$10:D776,1)," ")</f>
        <v xml:space="preserve"> </v>
      </c>
      <c r="B776" s="106" t="str">
        <f>COPY!AR768</f>
        <v/>
      </c>
      <c r="C776" s="107">
        <f>COPY!AC768</f>
        <v>0</v>
      </c>
      <c r="D776" s="107" t="str">
        <f>IF(LEN(Table1722[[#This Row],[Uraian]])&gt;2,1," ")</f>
        <v xml:space="preserve"> </v>
      </c>
      <c r="E776" s="113" t="str">
        <f>IF(Table1722[[#This Row],[Lawan Transaksi]]="CV AGUNG KARYA",COUNTIF($I$10:I776,"CV AGUNG KARYA")," ")</f>
        <v xml:space="preserve"> </v>
      </c>
      <c r="F776" s="107" t="str">
        <f>IF(LEN(Table1722[[#This Row],[Uraian]])&gt;2,TRIM(RIGHT(SUBSTITUTE(TRIM(C776)," ",REPT(" ",255)),255))," ")</f>
        <v xml:space="preserve"> </v>
      </c>
      <c r="G776" s="110">
        <f>COPY!Z768</f>
        <v>0</v>
      </c>
      <c r="H776" s="111" t="str">
        <f>IFERROR(VLOOKUP(Table1722[[#This Row],[Bukti]],'Un nOTA'!$A$4:$K$5003,10,FALSE),"")</f>
        <v/>
      </c>
      <c r="I776" s="112" t="str">
        <f>IFERROR(VLOOKUP(Table1722[[#This Row],[Bukti]],Table13[#Data],11,FALSE),"")</f>
        <v/>
      </c>
    </row>
    <row r="777" spans="1:9" ht="19.5" hidden="1" customHeight="1" x14ac:dyDescent="0.2">
      <c r="A777" s="105" t="str">
        <f>IF(D777=1,COUNTIF($D$10:D777,1)," ")</f>
        <v xml:space="preserve"> </v>
      </c>
      <c r="B777" s="106" t="str">
        <f>COPY!AR769</f>
        <v/>
      </c>
      <c r="C777" s="107">
        <f>COPY!AC769</f>
        <v>0</v>
      </c>
      <c r="D777" s="107" t="str">
        <f>IF(LEN(Table1722[[#This Row],[Uraian]])&gt;2,1," ")</f>
        <v xml:space="preserve"> </v>
      </c>
      <c r="E777" s="113" t="str">
        <f>IF(Table1722[[#This Row],[Lawan Transaksi]]="CV AGUNG KARYA",COUNTIF($I$10:I777,"CV AGUNG KARYA")," ")</f>
        <v xml:space="preserve"> </v>
      </c>
      <c r="F777" s="107" t="str">
        <f>IF(LEN(Table1722[[#This Row],[Uraian]])&gt;2,TRIM(RIGHT(SUBSTITUTE(TRIM(C777)," ",REPT(" ",255)),255))," ")</f>
        <v xml:space="preserve"> </v>
      </c>
      <c r="G777" s="110">
        <f>COPY!Z769</f>
        <v>0</v>
      </c>
      <c r="H777" s="111" t="str">
        <f>IFERROR(VLOOKUP(Table1722[[#This Row],[Bukti]],'Un nOTA'!$A$4:$K$5003,10,FALSE),"")</f>
        <v/>
      </c>
      <c r="I777" s="112" t="str">
        <f>IFERROR(VLOOKUP(Table1722[[#This Row],[Bukti]],Table13[#Data],11,FALSE),"")</f>
        <v/>
      </c>
    </row>
    <row r="778" spans="1:9" ht="19.5" hidden="1" customHeight="1" x14ac:dyDescent="0.2">
      <c r="A778" s="105" t="str">
        <f>IF(D778=1,COUNTIF($D$10:D778,1)," ")</f>
        <v xml:space="preserve"> </v>
      </c>
      <c r="B778" s="106" t="str">
        <f>COPY!AR770</f>
        <v/>
      </c>
      <c r="C778" s="107">
        <f>COPY!AC770</f>
        <v>0</v>
      </c>
      <c r="D778" s="107" t="str">
        <f>IF(LEN(Table1722[[#This Row],[Uraian]])&gt;2,1," ")</f>
        <v xml:space="preserve"> </v>
      </c>
      <c r="E778" s="113" t="str">
        <f>IF(Table1722[[#This Row],[Lawan Transaksi]]="CV AGUNG KARYA",COUNTIF($I$10:I778,"CV AGUNG KARYA")," ")</f>
        <v xml:space="preserve"> </v>
      </c>
      <c r="F778" s="107" t="str">
        <f>IF(LEN(Table1722[[#This Row],[Uraian]])&gt;2,TRIM(RIGHT(SUBSTITUTE(TRIM(C778)," ",REPT(" ",255)),255))," ")</f>
        <v xml:space="preserve"> </v>
      </c>
      <c r="G778" s="110">
        <f>COPY!Z770</f>
        <v>0</v>
      </c>
      <c r="H778" s="111" t="str">
        <f>IFERROR(VLOOKUP(Table1722[[#This Row],[Bukti]],'Un nOTA'!$A$4:$K$5003,10,FALSE),"")</f>
        <v/>
      </c>
      <c r="I778" s="112" t="str">
        <f>IFERROR(VLOOKUP(Table1722[[#This Row],[Bukti]],Table13[#Data],11,FALSE),"")</f>
        <v/>
      </c>
    </row>
    <row r="779" spans="1:9" ht="19.5" hidden="1" customHeight="1" x14ac:dyDescent="0.2">
      <c r="A779" s="105" t="str">
        <f>IF(D779=1,COUNTIF($D$10:D779,1)," ")</f>
        <v xml:space="preserve"> </v>
      </c>
      <c r="B779" s="106" t="str">
        <f>COPY!AR771</f>
        <v/>
      </c>
      <c r="C779" s="107">
        <f>COPY!AC771</f>
        <v>0</v>
      </c>
      <c r="D779" s="107" t="str">
        <f>IF(LEN(Table1722[[#This Row],[Uraian]])&gt;2,1," ")</f>
        <v xml:space="preserve"> </v>
      </c>
      <c r="E779" s="113" t="str">
        <f>IF(Table1722[[#This Row],[Lawan Transaksi]]="CV AGUNG KARYA",COUNTIF($I$10:I779,"CV AGUNG KARYA")," ")</f>
        <v xml:space="preserve"> </v>
      </c>
      <c r="F779" s="107" t="str">
        <f>IF(LEN(Table1722[[#This Row],[Uraian]])&gt;2,TRIM(RIGHT(SUBSTITUTE(TRIM(C779)," ",REPT(" ",255)),255))," ")</f>
        <v xml:space="preserve"> </v>
      </c>
      <c r="G779" s="110">
        <f>COPY!Z771</f>
        <v>0</v>
      </c>
      <c r="H779" s="111" t="str">
        <f>IFERROR(VLOOKUP(Table1722[[#This Row],[Bukti]],'Un nOTA'!$A$4:$K$5003,10,FALSE),"")</f>
        <v/>
      </c>
      <c r="I779" s="112" t="str">
        <f>IFERROR(VLOOKUP(Table1722[[#This Row],[Bukti]],Table13[#Data],11,FALSE),"")</f>
        <v/>
      </c>
    </row>
    <row r="780" spans="1:9" ht="19.5" hidden="1" customHeight="1" x14ac:dyDescent="0.2">
      <c r="A780" s="105" t="str">
        <f>IF(D780=1,COUNTIF($D$10:D780,1)," ")</f>
        <v xml:space="preserve"> </v>
      </c>
      <c r="B780" s="106" t="str">
        <f>COPY!AR772</f>
        <v/>
      </c>
      <c r="C780" s="107">
        <f>COPY!AC772</f>
        <v>0</v>
      </c>
      <c r="D780" s="107" t="str">
        <f>IF(LEN(Table1722[[#This Row],[Uraian]])&gt;2,1," ")</f>
        <v xml:space="preserve"> </v>
      </c>
      <c r="E780" s="113" t="str">
        <f>IF(Table1722[[#This Row],[Lawan Transaksi]]="CV AGUNG KARYA",COUNTIF($I$10:I780,"CV AGUNG KARYA")," ")</f>
        <v xml:space="preserve"> </v>
      </c>
      <c r="F780" s="107" t="str">
        <f>IF(LEN(Table1722[[#This Row],[Uraian]])&gt;2,TRIM(RIGHT(SUBSTITUTE(TRIM(C780)," ",REPT(" ",255)),255))," ")</f>
        <v xml:space="preserve"> </v>
      </c>
      <c r="G780" s="110">
        <f>COPY!Z772</f>
        <v>0</v>
      </c>
      <c r="H780" s="111" t="str">
        <f>IFERROR(VLOOKUP(Table1722[[#This Row],[Bukti]],'Un nOTA'!$A$4:$K$5003,10,FALSE),"")</f>
        <v/>
      </c>
      <c r="I780" s="112" t="str">
        <f>IFERROR(VLOOKUP(Table1722[[#This Row],[Bukti]],Table13[#Data],11,FALSE),"")</f>
        <v/>
      </c>
    </row>
    <row r="781" spans="1:9" ht="19.5" hidden="1" customHeight="1" x14ac:dyDescent="0.2">
      <c r="A781" s="105" t="str">
        <f>IF(D781=1,COUNTIF($D$10:D781,1)," ")</f>
        <v xml:space="preserve"> </v>
      </c>
      <c r="B781" s="106" t="str">
        <f>COPY!AR773</f>
        <v/>
      </c>
      <c r="C781" s="107">
        <f>COPY!AC773</f>
        <v>0</v>
      </c>
      <c r="D781" s="107" t="str">
        <f>IF(LEN(Table1722[[#This Row],[Uraian]])&gt;2,1," ")</f>
        <v xml:space="preserve"> </v>
      </c>
      <c r="E781" s="113" t="str">
        <f>IF(Table1722[[#This Row],[Lawan Transaksi]]="CV AGUNG KARYA",COUNTIF($I$10:I781,"CV AGUNG KARYA")," ")</f>
        <v xml:space="preserve"> </v>
      </c>
      <c r="F781" s="107" t="str">
        <f>IF(LEN(Table1722[[#This Row],[Uraian]])&gt;2,TRIM(RIGHT(SUBSTITUTE(TRIM(C781)," ",REPT(" ",255)),255))," ")</f>
        <v xml:space="preserve"> </v>
      </c>
      <c r="G781" s="110">
        <f>COPY!Z773</f>
        <v>0</v>
      </c>
      <c r="H781" s="111" t="str">
        <f>IFERROR(VLOOKUP(Table1722[[#This Row],[Bukti]],'Un nOTA'!$A$4:$K$5003,10,FALSE),"")</f>
        <v/>
      </c>
      <c r="I781" s="112" t="str">
        <f>IFERROR(VLOOKUP(Table1722[[#This Row],[Bukti]],Table13[#Data],11,FALSE),"")</f>
        <v/>
      </c>
    </row>
    <row r="782" spans="1:9" ht="19.5" hidden="1" customHeight="1" x14ac:dyDescent="0.2">
      <c r="A782" s="105" t="str">
        <f>IF(D782=1,COUNTIF($D$10:D782,1)," ")</f>
        <v xml:space="preserve"> </v>
      </c>
      <c r="B782" s="106" t="str">
        <f>COPY!AR774</f>
        <v/>
      </c>
      <c r="C782" s="107">
        <f>COPY!AC774</f>
        <v>0</v>
      </c>
      <c r="D782" s="107" t="str">
        <f>IF(LEN(Table1722[[#This Row],[Uraian]])&gt;2,1," ")</f>
        <v xml:space="preserve"> </v>
      </c>
      <c r="E782" s="113" t="str">
        <f>IF(Table1722[[#This Row],[Lawan Transaksi]]="CV AGUNG KARYA",COUNTIF($I$10:I782,"CV AGUNG KARYA")," ")</f>
        <v xml:space="preserve"> </v>
      </c>
      <c r="F782" s="107" t="str">
        <f>IF(LEN(Table1722[[#This Row],[Uraian]])&gt;2,TRIM(RIGHT(SUBSTITUTE(TRIM(C782)," ",REPT(" ",255)),255))," ")</f>
        <v xml:space="preserve"> </v>
      </c>
      <c r="G782" s="110">
        <f>COPY!Z774</f>
        <v>0</v>
      </c>
      <c r="H782" s="111" t="str">
        <f>IFERROR(VLOOKUP(Table1722[[#This Row],[Bukti]],'Un nOTA'!$A$4:$K$5003,10,FALSE),"")</f>
        <v/>
      </c>
      <c r="I782" s="112" t="str">
        <f>IFERROR(VLOOKUP(Table1722[[#This Row],[Bukti]],Table13[#Data],11,FALSE),"")</f>
        <v/>
      </c>
    </row>
    <row r="783" spans="1:9" ht="19.5" hidden="1" customHeight="1" x14ac:dyDescent="0.2">
      <c r="A783" s="105" t="str">
        <f>IF(D783=1,COUNTIF($D$10:D783,1)," ")</f>
        <v xml:space="preserve"> </v>
      </c>
      <c r="B783" s="106" t="str">
        <f>COPY!AR775</f>
        <v/>
      </c>
      <c r="C783" s="107">
        <f>COPY!AC775</f>
        <v>0</v>
      </c>
      <c r="D783" s="107" t="str">
        <f>IF(LEN(Table1722[[#This Row],[Uraian]])&gt;2,1," ")</f>
        <v xml:space="preserve"> </v>
      </c>
      <c r="E783" s="113" t="str">
        <f>IF(Table1722[[#This Row],[Lawan Transaksi]]="CV AGUNG KARYA",COUNTIF($I$10:I783,"CV AGUNG KARYA")," ")</f>
        <v xml:space="preserve"> </v>
      </c>
      <c r="F783" s="107" t="str">
        <f>IF(LEN(Table1722[[#This Row],[Uraian]])&gt;2,TRIM(RIGHT(SUBSTITUTE(TRIM(C783)," ",REPT(" ",255)),255))," ")</f>
        <v xml:space="preserve"> </v>
      </c>
      <c r="G783" s="110">
        <f>COPY!Z775</f>
        <v>0</v>
      </c>
      <c r="H783" s="111" t="str">
        <f>IFERROR(VLOOKUP(Table1722[[#This Row],[Bukti]],'Un nOTA'!$A$4:$K$5003,10,FALSE),"")</f>
        <v/>
      </c>
      <c r="I783" s="112" t="str">
        <f>IFERROR(VLOOKUP(Table1722[[#This Row],[Bukti]],Table13[#Data],11,FALSE),"")</f>
        <v/>
      </c>
    </row>
    <row r="784" spans="1:9" ht="19.5" hidden="1" customHeight="1" x14ac:dyDescent="0.2">
      <c r="A784" s="105" t="str">
        <f>IF(D784=1,COUNTIF($D$10:D784,1)," ")</f>
        <v xml:space="preserve"> </v>
      </c>
      <c r="B784" s="106" t="str">
        <f>COPY!AR776</f>
        <v/>
      </c>
      <c r="C784" s="107">
        <f>COPY!AC776</f>
        <v>0</v>
      </c>
      <c r="D784" s="107" t="str">
        <f>IF(LEN(Table1722[[#This Row],[Uraian]])&gt;2,1," ")</f>
        <v xml:space="preserve"> </v>
      </c>
      <c r="E784" s="113" t="str">
        <f>IF(Table1722[[#This Row],[Lawan Transaksi]]="CV AGUNG KARYA",COUNTIF($I$10:I784,"CV AGUNG KARYA")," ")</f>
        <v xml:space="preserve"> </v>
      </c>
      <c r="F784" s="107" t="str">
        <f>IF(LEN(Table1722[[#This Row],[Uraian]])&gt;2,TRIM(RIGHT(SUBSTITUTE(TRIM(C784)," ",REPT(" ",255)),255))," ")</f>
        <v xml:space="preserve"> </v>
      </c>
      <c r="G784" s="110">
        <f>COPY!Z776</f>
        <v>0</v>
      </c>
      <c r="H784" s="111" t="str">
        <f>IFERROR(VLOOKUP(Table1722[[#This Row],[Bukti]],'Un nOTA'!$A$4:$K$5003,10,FALSE),"")</f>
        <v/>
      </c>
      <c r="I784" s="112" t="str">
        <f>IFERROR(VLOOKUP(Table1722[[#This Row],[Bukti]],Table13[#Data],11,FALSE),"")</f>
        <v/>
      </c>
    </row>
    <row r="785" spans="1:9" ht="19.5" hidden="1" customHeight="1" x14ac:dyDescent="0.2">
      <c r="A785" s="105" t="str">
        <f>IF(D785=1,COUNTIF($D$10:D785,1)," ")</f>
        <v xml:space="preserve"> </v>
      </c>
      <c r="B785" s="106" t="str">
        <f>COPY!AR777</f>
        <v/>
      </c>
      <c r="C785" s="107">
        <f>COPY!AC777</f>
        <v>0</v>
      </c>
      <c r="D785" s="107" t="str">
        <f>IF(LEN(Table1722[[#This Row],[Uraian]])&gt;2,1," ")</f>
        <v xml:space="preserve"> </v>
      </c>
      <c r="E785" s="113" t="str">
        <f>IF(Table1722[[#This Row],[Lawan Transaksi]]="CV AGUNG KARYA",COUNTIF($I$10:I785,"CV AGUNG KARYA")," ")</f>
        <v xml:space="preserve"> </v>
      </c>
      <c r="F785" s="107" t="str">
        <f>IF(LEN(Table1722[[#This Row],[Uraian]])&gt;2,TRIM(RIGHT(SUBSTITUTE(TRIM(C785)," ",REPT(" ",255)),255))," ")</f>
        <v xml:space="preserve"> </v>
      </c>
      <c r="G785" s="110">
        <f>COPY!Z777</f>
        <v>0</v>
      </c>
      <c r="H785" s="111" t="str">
        <f>IFERROR(VLOOKUP(Table1722[[#This Row],[Bukti]],'Un nOTA'!$A$4:$K$5003,10,FALSE),"")</f>
        <v/>
      </c>
      <c r="I785" s="112" t="str">
        <f>IFERROR(VLOOKUP(Table1722[[#This Row],[Bukti]],Table13[#Data],11,FALSE),"")</f>
        <v/>
      </c>
    </row>
    <row r="786" spans="1:9" ht="19.5" hidden="1" customHeight="1" x14ac:dyDescent="0.2">
      <c r="A786" s="105" t="str">
        <f>IF(D786=1,COUNTIF($D$10:D786,1)," ")</f>
        <v xml:space="preserve"> </v>
      </c>
      <c r="B786" s="106" t="str">
        <f>COPY!AR778</f>
        <v/>
      </c>
      <c r="C786" s="107">
        <f>COPY!AC778</f>
        <v>0</v>
      </c>
      <c r="D786" s="107" t="str">
        <f>IF(LEN(Table1722[[#This Row],[Uraian]])&gt;2,1," ")</f>
        <v xml:space="preserve"> </v>
      </c>
      <c r="E786" s="113" t="str">
        <f>IF(Table1722[[#This Row],[Lawan Transaksi]]="CV AGUNG KARYA",COUNTIF($I$10:I786,"CV AGUNG KARYA")," ")</f>
        <v xml:space="preserve"> </v>
      </c>
      <c r="F786" s="107" t="str">
        <f>IF(LEN(Table1722[[#This Row],[Uraian]])&gt;2,TRIM(RIGHT(SUBSTITUTE(TRIM(C786)," ",REPT(" ",255)),255))," ")</f>
        <v xml:space="preserve"> </v>
      </c>
      <c r="G786" s="110">
        <f>COPY!Z778</f>
        <v>0</v>
      </c>
      <c r="H786" s="111" t="str">
        <f>IFERROR(VLOOKUP(Table1722[[#This Row],[Bukti]],'Un nOTA'!$A$4:$K$5003,10,FALSE),"")</f>
        <v/>
      </c>
      <c r="I786" s="112" t="str">
        <f>IFERROR(VLOOKUP(Table1722[[#This Row],[Bukti]],Table13[#Data],11,FALSE),"")</f>
        <v/>
      </c>
    </row>
    <row r="787" spans="1:9" ht="19.5" hidden="1" customHeight="1" x14ac:dyDescent="0.2">
      <c r="A787" s="105" t="str">
        <f>IF(D787=1,COUNTIF($D$10:D787,1)," ")</f>
        <v xml:space="preserve"> </v>
      </c>
      <c r="B787" s="106" t="str">
        <f>COPY!AR779</f>
        <v/>
      </c>
      <c r="C787" s="107">
        <f>COPY!AC779</f>
        <v>0</v>
      </c>
      <c r="D787" s="107" t="str">
        <f>IF(LEN(Table1722[[#This Row],[Uraian]])&gt;2,1," ")</f>
        <v xml:space="preserve"> </v>
      </c>
      <c r="E787" s="113" t="str">
        <f>IF(Table1722[[#This Row],[Lawan Transaksi]]="CV AGUNG KARYA",COUNTIF($I$10:I787,"CV AGUNG KARYA")," ")</f>
        <v xml:space="preserve"> </v>
      </c>
      <c r="F787" s="107" t="str">
        <f>IF(LEN(Table1722[[#This Row],[Uraian]])&gt;2,TRIM(RIGHT(SUBSTITUTE(TRIM(C787)," ",REPT(" ",255)),255))," ")</f>
        <v xml:space="preserve"> </v>
      </c>
      <c r="G787" s="110">
        <f>COPY!Z779</f>
        <v>0</v>
      </c>
      <c r="H787" s="111" t="str">
        <f>IFERROR(VLOOKUP(Table1722[[#This Row],[Bukti]],'Un nOTA'!$A$4:$K$5003,10,FALSE),"")</f>
        <v/>
      </c>
      <c r="I787" s="112" t="str">
        <f>IFERROR(VLOOKUP(Table1722[[#This Row],[Bukti]],Table13[#Data],11,FALSE),"")</f>
        <v/>
      </c>
    </row>
    <row r="788" spans="1:9" ht="19.5" hidden="1" customHeight="1" x14ac:dyDescent="0.2">
      <c r="A788" s="105" t="str">
        <f>IF(D788=1,COUNTIF($D$10:D788,1)," ")</f>
        <v xml:space="preserve"> </v>
      </c>
      <c r="B788" s="106" t="str">
        <f>COPY!AR780</f>
        <v/>
      </c>
      <c r="C788" s="107">
        <f>COPY!AC780</f>
        <v>0</v>
      </c>
      <c r="D788" s="107" t="str">
        <f>IF(LEN(Table1722[[#This Row],[Uraian]])&gt;2,1," ")</f>
        <v xml:space="preserve"> </v>
      </c>
      <c r="E788" s="113" t="str">
        <f>IF(Table1722[[#This Row],[Lawan Transaksi]]="CV AGUNG KARYA",COUNTIF($I$10:I788,"CV AGUNG KARYA")," ")</f>
        <v xml:space="preserve"> </v>
      </c>
      <c r="F788" s="107" t="str">
        <f>IF(LEN(Table1722[[#This Row],[Uraian]])&gt;2,TRIM(RIGHT(SUBSTITUTE(TRIM(C788)," ",REPT(" ",255)),255))," ")</f>
        <v xml:space="preserve"> </v>
      </c>
      <c r="G788" s="110">
        <f>COPY!Z780</f>
        <v>0</v>
      </c>
      <c r="H788" s="111" t="str">
        <f>IFERROR(VLOOKUP(Table1722[[#This Row],[Bukti]],'Un nOTA'!$A$4:$K$5003,10,FALSE),"")</f>
        <v/>
      </c>
      <c r="I788" s="112" t="str">
        <f>IFERROR(VLOOKUP(Table1722[[#This Row],[Bukti]],Table13[#Data],11,FALSE),"")</f>
        <v/>
      </c>
    </row>
    <row r="789" spans="1:9" ht="19.5" hidden="1" customHeight="1" x14ac:dyDescent="0.2">
      <c r="A789" s="105" t="str">
        <f>IF(D789=1,COUNTIF($D$10:D789,1)," ")</f>
        <v xml:space="preserve"> </v>
      </c>
      <c r="B789" s="106" t="str">
        <f>COPY!AR781</f>
        <v/>
      </c>
      <c r="C789" s="107">
        <f>COPY!AC781</f>
        <v>0</v>
      </c>
      <c r="D789" s="107" t="str">
        <f>IF(LEN(Table1722[[#This Row],[Uraian]])&gt;2,1," ")</f>
        <v xml:space="preserve"> </v>
      </c>
      <c r="E789" s="113" t="str">
        <f>IF(Table1722[[#This Row],[Lawan Transaksi]]="CV AGUNG KARYA",COUNTIF($I$10:I789,"CV AGUNG KARYA")," ")</f>
        <v xml:space="preserve"> </v>
      </c>
      <c r="F789" s="107" t="str">
        <f>IF(LEN(Table1722[[#This Row],[Uraian]])&gt;2,TRIM(RIGHT(SUBSTITUTE(TRIM(C789)," ",REPT(" ",255)),255))," ")</f>
        <v xml:space="preserve"> </v>
      </c>
      <c r="G789" s="110">
        <f>COPY!Z781</f>
        <v>0</v>
      </c>
      <c r="H789" s="111" t="str">
        <f>IFERROR(VLOOKUP(Table1722[[#This Row],[Bukti]],'Un nOTA'!$A$4:$K$5003,10,FALSE),"")</f>
        <v/>
      </c>
      <c r="I789" s="112" t="str">
        <f>IFERROR(VLOOKUP(Table1722[[#This Row],[Bukti]],Table13[#Data],11,FALSE),"")</f>
        <v/>
      </c>
    </row>
    <row r="790" spans="1:9" ht="19.5" hidden="1" customHeight="1" x14ac:dyDescent="0.2">
      <c r="A790" s="105" t="str">
        <f>IF(D790=1,COUNTIF($D$10:D790,1)," ")</f>
        <v xml:space="preserve"> </v>
      </c>
      <c r="B790" s="106" t="str">
        <f>COPY!AR782</f>
        <v/>
      </c>
      <c r="C790" s="107">
        <f>COPY!AC782</f>
        <v>0</v>
      </c>
      <c r="D790" s="107" t="str">
        <f>IF(LEN(Table1722[[#This Row],[Uraian]])&gt;2,1," ")</f>
        <v xml:space="preserve"> </v>
      </c>
      <c r="E790" s="113" t="str">
        <f>IF(Table1722[[#This Row],[Lawan Transaksi]]="CV AGUNG KARYA",COUNTIF($I$10:I790,"CV AGUNG KARYA")," ")</f>
        <v xml:space="preserve"> </v>
      </c>
      <c r="F790" s="107" t="str">
        <f>IF(LEN(Table1722[[#This Row],[Uraian]])&gt;2,TRIM(RIGHT(SUBSTITUTE(TRIM(C790)," ",REPT(" ",255)),255))," ")</f>
        <v xml:space="preserve"> </v>
      </c>
      <c r="G790" s="110">
        <f>COPY!Z782</f>
        <v>0</v>
      </c>
      <c r="H790" s="111" t="str">
        <f>IFERROR(VLOOKUP(Table1722[[#This Row],[Bukti]],'Un nOTA'!$A$4:$K$5003,10,FALSE),"")</f>
        <v/>
      </c>
      <c r="I790" s="112" t="str">
        <f>IFERROR(VLOOKUP(Table1722[[#This Row],[Bukti]],Table13[#Data],11,FALSE),"")</f>
        <v/>
      </c>
    </row>
    <row r="791" spans="1:9" ht="19.5" hidden="1" customHeight="1" x14ac:dyDescent="0.2">
      <c r="A791" s="105" t="str">
        <f>IF(D791=1,COUNTIF($D$10:D791,1)," ")</f>
        <v xml:space="preserve"> </v>
      </c>
      <c r="B791" s="106" t="str">
        <f>COPY!AR783</f>
        <v/>
      </c>
      <c r="C791" s="107">
        <f>COPY!AC783</f>
        <v>0</v>
      </c>
      <c r="D791" s="107" t="str">
        <f>IF(LEN(Table1722[[#This Row],[Uraian]])&gt;2,1," ")</f>
        <v xml:space="preserve"> </v>
      </c>
      <c r="E791" s="113" t="str">
        <f>IF(Table1722[[#This Row],[Lawan Transaksi]]="CV AGUNG KARYA",COUNTIF($I$10:I791,"CV AGUNG KARYA")," ")</f>
        <v xml:space="preserve"> </v>
      </c>
      <c r="F791" s="107" t="str">
        <f>IF(LEN(Table1722[[#This Row],[Uraian]])&gt;2,TRIM(RIGHT(SUBSTITUTE(TRIM(C791)," ",REPT(" ",255)),255))," ")</f>
        <v xml:space="preserve"> </v>
      </c>
      <c r="G791" s="110">
        <f>COPY!Z783</f>
        <v>0</v>
      </c>
      <c r="H791" s="111" t="str">
        <f>IFERROR(VLOOKUP(Table1722[[#This Row],[Bukti]],'Un nOTA'!$A$4:$K$5003,10,FALSE),"")</f>
        <v/>
      </c>
      <c r="I791" s="112" t="str">
        <f>IFERROR(VLOOKUP(Table1722[[#This Row],[Bukti]],Table13[#Data],11,FALSE),"")</f>
        <v/>
      </c>
    </row>
    <row r="792" spans="1:9" ht="19.5" hidden="1" customHeight="1" x14ac:dyDescent="0.2">
      <c r="A792" s="105" t="str">
        <f>IF(D792=1,COUNTIF($D$10:D792,1)," ")</f>
        <v xml:space="preserve"> </v>
      </c>
      <c r="B792" s="106" t="str">
        <f>COPY!AR784</f>
        <v/>
      </c>
      <c r="C792" s="107">
        <f>COPY!AC784</f>
        <v>0</v>
      </c>
      <c r="D792" s="107" t="str">
        <f>IF(LEN(Table1722[[#This Row],[Uraian]])&gt;2,1," ")</f>
        <v xml:space="preserve"> </v>
      </c>
      <c r="E792" s="113" t="str">
        <f>IF(Table1722[[#This Row],[Lawan Transaksi]]="CV AGUNG KARYA",COUNTIF($I$10:I792,"CV AGUNG KARYA")," ")</f>
        <v xml:space="preserve"> </v>
      </c>
      <c r="F792" s="107" t="str">
        <f>IF(LEN(Table1722[[#This Row],[Uraian]])&gt;2,TRIM(RIGHT(SUBSTITUTE(TRIM(C792)," ",REPT(" ",255)),255))," ")</f>
        <v xml:space="preserve"> </v>
      </c>
      <c r="G792" s="110">
        <f>COPY!Z784</f>
        <v>0</v>
      </c>
      <c r="H792" s="111" t="str">
        <f>IFERROR(VLOOKUP(Table1722[[#This Row],[Bukti]],'Un nOTA'!$A$4:$K$5003,10,FALSE),"")</f>
        <v/>
      </c>
      <c r="I792" s="112" t="str">
        <f>IFERROR(VLOOKUP(Table1722[[#This Row],[Bukti]],Table13[#Data],11,FALSE),"")</f>
        <v/>
      </c>
    </row>
    <row r="793" spans="1:9" ht="19.5" hidden="1" customHeight="1" x14ac:dyDescent="0.2">
      <c r="A793" s="105" t="str">
        <f>IF(D793=1,COUNTIF($D$10:D793,1)," ")</f>
        <v xml:space="preserve"> </v>
      </c>
      <c r="B793" s="106" t="str">
        <f>COPY!AR785</f>
        <v/>
      </c>
      <c r="C793" s="107">
        <f>COPY!AC785</f>
        <v>0</v>
      </c>
      <c r="D793" s="107" t="str">
        <f>IF(LEN(Table1722[[#This Row],[Uraian]])&gt;2,1," ")</f>
        <v xml:space="preserve"> </v>
      </c>
      <c r="E793" s="113" t="str">
        <f>IF(Table1722[[#This Row],[Lawan Transaksi]]="CV AGUNG KARYA",COUNTIF($I$10:I793,"CV AGUNG KARYA")," ")</f>
        <v xml:space="preserve"> </v>
      </c>
      <c r="F793" s="107" t="str">
        <f>IF(LEN(Table1722[[#This Row],[Uraian]])&gt;2,TRIM(RIGHT(SUBSTITUTE(TRIM(C793)," ",REPT(" ",255)),255))," ")</f>
        <v xml:space="preserve"> </v>
      </c>
      <c r="G793" s="110">
        <f>COPY!Z785</f>
        <v>0</v>
      </c>
      <c r="H793" s="111" t="str">
        <f>IFERROR(VLOOKUP(Table1722[[#This Row],[Bukti]],'Un nOTA'!$A$4:$K$5003,10,FALSE),"")</f>
        <v/>
      </c>
      <c r="I793" s="112" t="str">
        <f>IFERROR(VLOOKUP(Table1722[[#This Row],[Bukti]],Table13[#Data],11,FALSE),"")</f>
        <v/>
      </c>
    </row>
    <row r="794" spans="1:9" ht="19.5" hidden="1" customHeight="1" x14ac:dyDescent="0.2">
      <c r="A794" s="105" t="str">
        <f>IF(D794=1,COUNTIF($D$10:D794,1)," ")</f>
        <v xml:space="preserve"> </v>
      </c>
      <c r="B794" s="106" t="str">
        <f>COPY!AR786</f>
        <v/>
      </c>
      <c r="C794" s="107">
        <f>COPY!AC786</f>
        <v>0</v>
      </c>
      <c r="D794" s="107" t="str">
        <f>IF(LEN(Table1722[[#This Row],[Uraian]])&gt;2,1," ")</f>
        <v xml:space="preserve"> </v>
      </c>
      <c r="E794" s="113" t="str">
        <f>IF(Table1722[[#This Row],[Lawan Transaksi]]="CV AGUNG KARYA",COUNTIF($I$10:I794,"CV AGUNG KARYA")," ")</f>
        <v xml:space="preserve"> </v>
      </c>
      <c r="F794" s="107" t="str">
        <f>IF(LEN(Table1722[[#This Row],[Uraian]])&gt;2,TRIM(RIGHT(SUBSTITUTE(TRIM(C794)," ",REPT(" ",255)),255))," ")</f>
        <v xml:space="preserve"> </v>
      </c>
      <c r="G794" s="110">
        <f>COPY!Z786</f>
        <v>0</v>
      </c>
      <c r="H794" s="111" t="str">
        <f>IFERROR(VLOOKUP(Table1722[[#This Row],[Bukti]],'Un nOTA'!$A$4:$K$5003,10,FALSE),"")</f>
        <v/>
      </c>
      <c r="I794" s="112" t="str">
        <f>IFERROR(VLOOKUP(Table1722[[#This Row],[Bukti]],Table13[#Data],11,FALSE),"")</f>
        <v/>
      </c>
    </row>
    <row r="795" spans="1:9" ht="19.5" hidden="1" customHeight="1" x14ac:dyDescent="0.2">
      <c r="A795" s="105" t="str">
        <f>IF(D795=1,COUNTIF($D$10:D795,1)," ")</f>
        <v xml:space="preserve"> </v>
      </c>
      <c r="B795" s="106" t="str">
        <f>COPY!AR787</f>
        <v/>
      </c>
      <c r="C795" s="107">
        <f>COPY!AC787</f>
        <v>0</v>
      </c>
      <c r="D795" s="107" t="str">
        <f>IF(LEN(Table1722[[#This Row],[Uraian]])&gt;2,1," ")</f>
        <v xml:space="preserve"> </v>
      </c>
      <c r="E795" s="113" t="str">
        <f>IF(Table1722[[#This Row],[Lawan Transaksi]]="CV AGUNG KARYA",COUNTIF($I$10:I795,"CV AGUNG KARYA")," ")</f>
        <v xml:space="preserve"> </v>
      </c>
      <c r="F795" s="107" t="str">
        <f>IF(LEN(Table1722[[#This Row],[Uraian]])&gt;2,TRIM(RIGHT(SUBSTITUTE(TRIM(C795)," ",REPT(" ",255)),255))," ")</f>
        <v xml:space="preserve"> </v>
      </c>
      <c r="G795" s="110">
        <f>COPY!Z787</f>
        <v>0</v>
      </c>
      <c r="H795" s="111" t="str">
        <f>IFERROR(VLOOKUP(Table1722[[#This Row],[Bukti]],'Un nOTA'!$A$4:$K$5003,10,FALSE),"")</f>
        <v/>
      </c>
      <c r="I795" s="112" t="str">
        <f>IFERROR(VLOOKUP(Table1722[[#This Row],[Bukti]],Table13[#Data],11,FALSE),"")</f>
        <v/>
      </c>
    </row>
    <row r="796" spans="1:9" ht="19.5" hidden="1" customHeight="1" x14ac:dyDescent="0.2">
      <c r="A796" s="105" t="str">
        <f>IF(D796=1,COUNTIF($D$10:D796,1)," ")</f>
        <v xml:space="preserve"> </v>
      </c>
      <c r="B796" s="106" t="str">
        <f>COPY!AR788</f>
        <v/>
      </c>
      <c r="C796" s="107">
        <f>COPY!AC788</f>
        <v>0</v>
      </c>
      <c r="D796" s="107" t="str">
        <f>IF(LEN(Table1722[[#This Row],[Uraian]])&gt;2,1," ")</f>
        <v xml:space="preserve"> </v>
      </c>
      <c r="E796" s="113" t="str">
        <f>IF(Table1722[[#This Row],[Lawan Transaksi]]="CV AGUNG KARYA",COUNTIF($I$10:I796,"CV AGUNG KARYA")," ")</f>
        <v xml:space="preserve"> </v>
      </c>
      <c r="F796" s="107" t="str">
        <f>IF(LEN(Table1722[[#This Row],[Uraian]])&gt;2,TRIM(RIGHT(SUBSTITUTE(TRIM(C796)," ",REPT(" ",255)),255))," ")</f>
        <v xml:space="preserve"> </v>
      </c>
      <c r="G796" s="110">
        <f>COPY!Z788</f>
        <v>0</v>
      </c>
      <c r="H796" s="111" t="str">
        <f>IFERROR(VLOOKUP(Table1722[[#This Row],[Bukti]],'Un nOTA'!$A$4:$K$5003,10,FALSE),"")</f>
        <v/>
      </c>
      <c r="I796" s="112" t="str">
        <f>IFERROR(VLOOKUP(Table1722[[#This Row],[Bukti]],Table13[#Data],11,FALSE),"")</f>
        <v/>
      </c>
    </row>
    <row r="797" spans="1:9" ht="19.5" hidden="1" customHeight="1" x14ac:dyDescent="0.2">
      <c r="A797" s="105" t="str">
        <f>IF(D797=1,COUNTIF($D$10:D797,1)," ")</f>
        <v xml:space="preserve"> </v>
      </c>
      <c r="B797" s="106" t="str">
        <f>COPY!AR789</f>
        <v/>
      </c>
      <c r="C797" s="107">
        <f>COPY!AC789</f>
        <v>0</v>
      </c>
      <c r="D797" s="107" t="str">
        <f>IF(LEN(Table1722[[#This Row],[Uraian]])&gt;2,1," ")</f>
        <v xml:space="preserve"> </v>
      </c>
      <c r="E797" s="113" t="str">
        <f>IF(Table1722[[#This Row],[Lawan Transaksi]]="CV AGUNG KARYA",COUNTIF($I$10:I797,"CV AGUNG KARYA")," ")</f>
        <v xml:space="preserve"> </v>
      </c>
      <c r="F797" s="107" t="str">
        <f>IF(LEN(Table1722[[#This Row],[Uraian]])&gt;2,TRIM(RIGHT(SUBSTITUTE(TRIM(C797)," ",REPT(" ",255)),255))," ")</f>
        <v xml:space="preserve"> </v>
      </c>
      <c r="G797" s="110">
        <f>COPY!Z789</f>
        <v>0</v>
      </c>
      <c r="H797" s="111" t="str">
        <f>IFERROR(VLOOKUP(Table1722[[#This Row],[Bukti]],'Un nOTA'!$A$4:$K$5003,10,FALSE),"")</f>
        <v/>
      </c>
      <c r="I797" s="112" t="str">
        <f>IFERROR(VLOOKUP(Table1722[[#This Row],[Bukti]],Table13[#Data],11,FALSE),"")</f>
        <v/>
      </c>
    </row>
    <row r="798" spans="1:9" ht="19.5" hidden="1" customHeight="1" x14ac:dyDescent="0.2">
      <c r="A798" s="105" t="str">
        <f>IF(D798=1,COUNTIF($D$10:D798,1)," ")</f>
        <v xml:space="preserve"> </v>
      </c>
      <c r="B798" s="106" t="str">
        <f>COPY!AR790</f>
        <v/>
      </c>
      <c r="C798" s="107">
        <f>COPY!AC790</f>
        <v>0</v>
      </c>
      <c r="D798" s="107" t="str">
        <f>IF(LEN(Table1722[[#This Row],[Uraian]])&gt;2,1," ")</f>
        <v xml:space="preserve"> </v>
      </c>
      <c r="E798" s="113" t="str">
        <f>IF(Table1722[[#This Row],[Lawan Transaksi]]="CV AGUNG KARYA",COUNTIF($I$10:I798,"CV AGUNG KARYA")," ")</f>
        <v xml:space="preserve"> </v>
      </c>
      <c r="F798" s="107" t="str">
        <f>IF(LEN(Table1722[[#This Row],[Uraian]])&gt;2,TRIM(RIGHT(SUBSTITUTE(TRIM(C798)," ",REPT(" ",255)),255))," ")</f>
        <v xml:space="preserve"> </v>
      </c>
      <c r="G798" s="110">
        <f>COPY!Z790</f>
        <v>0</v>
      </c>
      <c r="H798" s="111" t="str">
        <f>IFERROR(VLOOKUP(Table1722[[#This Row],[Bukti]],'Un nOTA'!$A$4:$K$5003,10,FALSE),"")</f>
        <v/>
      </c>
      <c r="I798" s="112" t="str">
        <f>IFERROR(VLOOKUP(Table1722[[#This Row],[Bukti]],Table13[#Data],11,FALSE),"")</f>
        <v/>
      </c>
    </row>
    <row r="799" spans="1:9" ht="19.5" hidden="1" customHeight="1" x14ac:dyDescent="0.2">
      <c r="A799" s="105" t="str">
        <f>IF(D799=1,COUNTIF($D$10:D799,1)," ")</f>
        <v xml:space="preserve"> </v>
      </c>
      <c r="B799" s="106" t="str">
        <f>COPY!AR791</f>
        <v/>
      </c>
      <c r="C799" s="107">
        <f>COPY!AC791</f>
        <v>0</v>
      </c>
      <c r="D799" s="107" t="str">
        <f>IF(LEN(Table1722[[#This Row],[Uraian]])&gt;2,1," ")</f>
        <v xml:space="preserve"> </v>
      </c>
      <c r="E799" s="113" t="str">
        <f>IF(Table1722[[#This Row],[Lawan Transaksi]]="CV AGUNG KARYA",COUNTIF($I$10:I799,"CV AGUNG KARYA")," ")</f>
        <v xml:space="preserve"> </v>
      </c>
      <c r="F799" s="107" t="str">
        <f>IF(LEN(Table1722[[#This Row],[Uraian]])&gt;2,TRIM(RIGHT(SUBSTITUTE(TRIM(C799)," ",REPT(" ",255)),255))," ")</f>
        <v xml:space="preserve"> </v>
      </c>
      <c r="G799" s="110">
        <f>COPY!Z791</f>
        <v>0</v>
      </c>
      <c r="H799" s="111" t="str">
        <f>IFERROR(VLOOKUP(Table1722[[#This Row],[Bukti]],'Un nOTA'!$A$4:$K$5003,10,FALSE),"")</f>
        <v/>
      </c>
      <c r="I799" s="112" t="str">
        <f>IFERROR(VLOOKUP(Table1722[[#This Row],[Bukti]],Table13[#Data],11,FALSE),"")</f>
        <v/>
      </c>
    </row>
    <row r="800" spans="1:9" ht="19.5" hidden="1" customHeight="1" x14ac:dyDescent="0.2">
      <c r="A800" s="105" t="str">
        <f>IF(D800=1,COUNTIF($D$10:D800,1)," ")</f>
        <v xml:space="preserve"> </v>
      </c>
      <c r="B800" s="106" t="str">
        <f>COPY!AR792</f>
        <v/>
      </c>
      <c r="C800" s="107">
        <f>COPY!AC792</f>
        <v>0</v>
      </c>
      <c r="D800" s="107" t="str">
        <f>IF(LEN(Table1722[[#This Row],[Uraian]])&gt;2,1," ")</f>
        <v xml:space="preserve"> </v>
      </c>
      <c r="E800" s="113" t="str">
        <f>IF(Table1722[[#This Row],[Lawan Transaksi]]="CV AGUNG KARYA",COUNTIF($I$10:I800,"CV AGUNG KARYA")," ")</f>
        <v xml:space="preserve"> </v>
      </c>
      <c r="F800" s="107" t="str">
        <f>IF(LEN(Table1722[[#This Row],[Uraian]])&gt;2,TRIM(RIGHT(SUBSTITUTE(TRIM(C800)," ",REPT(" ",255)),255))," ")</f>
        <v xml:space="preserve"> </v>
      </c>
      <c r="G800" s="110">
        <f>COPY!Z792</f>
        <v>0</v>
      </c>
      <c r="H800" s="111" t="str">
        <f>IFERROR(VLOOKUP(Table1722[[#This Row],[Bukti]],'Un nOTA'!$A$4:$K$5003,10,FALSE),"")</f>
        <v/>
      </c>
      <c r="I800" s="112" t="str">
        <f>IFERROR(VLOOKUP(Table1722[[#This Row],[Bukti]],Table13[#Data],11,FALSE),"")</f>
        <v/>
      </c>
    </row>
    <row r="801" spans="1:9" ht="19.5" hidden="1" customHeight="1" x14ac:dyDescent="0.2">
      <c r="A801" s="105" t="str">
        <f>IF(D801=1,COUNTIF($D$10:D801,1)," ")</f>
        <v xml:space="preserve"> </v>
      </c>
      <c r="B801" s="106" t="str">
        <f>COPY!AR793</f>
        <v/>
      </c>
      <c r="C801" s="107">
        <f>COPY!AC793</f>
        <v>0</v>
      </c>
      <c r="D801" s="107" t="str">
        <f>IF(LEN(Table1722[[#This Row],[Uraian]])&gt;2,1," ")</f>
        <v xml:space="preserve"> </v>
      </c>
      <c r="E801" s="113" t="str">
        <f>IF(Table1722[[#This Row],[Lawan Transaksi]]="CV AGUNG KARYA",COUNTIF($I$10:I801,"CV AGUNG KARYA")," ")</f>
        <v xml:space="preserve"> </v>
      </c>
      <c r="F801" s="107" t="str">
        <f>IF(LEN(Table1722[[#This Row],[Uraian]])&gt;2,TRIM(RIGHT(SUBSTITUTE(TRIM(C801)," ",REPT(" ",255)),255))," ")</f>
        <v xml:space="preserve"> </v>
      </c>
      <c r="G801" s="110">
        <f>COPY!Z793</f>
        <v>0</v>
      </c>
      <c r="H801" s="111" t="str">
        <f>IFERROR(VLOOKUP(Table1722[[#This Row],[Bukti]],'Un nOTA'!$A$4:$K$5003,10,FALSE),"")</f>
        <v/>
      </c>
      <c r="I801" s="112" t="str">
        <f>IFERROR(VLOOKUP(Table1722[[#This Row],[Bukti]],Table13[#Data],11,FALSE),"")</f>
        <v/>
      </c>
    </row>
    <row r="802" spans="1:9" ht="19.5" hidden="1" customHeight="1" x14ac:dyDescent="0.2">
      <c r="A802" s="105" t="str">
        <f>IF(D802=1,COUNTIF($D$10:D802,1)," ")</f>
        <v xml:space="preserve"> </v>
      </c>
      <c r="B802" s="106" t="str">
        <f>COPY!AR794</f>
        <v/>
      </c>
      <c r="C802" s="107">
        <f>COPY!AC794</f>
        <v>0</v>
      </c>
      <c r="D802" s="107" t="str">
        <f>IF(LEN(Table1722[[#This Row],[Uraian]])&gt;2,1," ")</f>
        <v xml:space="preserve"> </v>
      </c>
      <c r="E802" s="113" t="str">
        <f>IF(Table1722[[#This Row],[Lawan Transaksi]]="CV AGUNG KARYA",COUNTIF($I$10:I802,"CV AGUNG KARYA")," ")</f>
        <v xml:space="preserve"> </v>
      </c>
      <c r="F802" s="107" t="str">
        <f>IF(LEN(Table1722[[#This Row],[Uraian]])&gt;2,TRIM(RIGHT(SUBSTITUTE(TRIM(C802)," ",REPT(" ",255)),255))," ")</f>
        <v xml:space="preserve"> </v>
      </c>
      <c r="G802" s="110">
        <f>COPY!Z794</f>
        <v>0</v>
      </c>
      <c r="H802" s="111" t="str">
        <f>IFERROR(VLOOKUP(Table1722[[#This Row],[Bukti]],'Un nOTA'!$A$4:$K$5003,10,FALSE),"")</f>
        <v/>
      </c>
      <c r="I802" s="112" t="str">
        <f>IFERROR(VLOOKUP(Table1722[[#This Row],[Bukti]],Table13[#Data],11,FALSE),"")</f>
        <v/>
      </c>
    </row>
    <row r="803" spans="1:9" ht="19.5" hidden="1" customHeight="1" x14ac:dyDescent="0.2">
      <c r="A803" s="105" t="str">
        <f>IF(D803=1,COUNTIF($D$10:D803,1)," ")</f>
        <v xml:space="preserve"> </v>
      </c>
      <c r="B803" s="106" t="str">
        <f>COPY!AR795</f>
        <v/>
      </c>
      <c r="C803" s="107">
        <f>COPY!AC795</f>
        <v>0</v>
      </c>
      <c r="D803" s="107" t="str">
        <f>IF(LEN(Table1722[[#This Row],[Uraian]])&gt;2,1," ")</f>
        <v xml:space="preserve"> </v>
      </c>
      <c r="E803" s="113" t="str">
        <f>IF(Table1722[[#This Row],[Lawan Transaksi]]="CV AGUNG KARYA",COUNTIF($I$10:I803,"CV AGUNG KARYA")," ")</f>
        <v xml:space="preserve"> </v>
      </c>
      <c r="F803" s="107" t="str">
        <f>IF(LEN(Table1722[[#This Row],[Uraian]])&gt;2,TRIM(RIGHT(SUBSTITUTE(TRIM(C803)," ",REPT(" ",255)),255))," ")</f>
        <v xml:space="preserve"> </v>
      </c>
      <c r="G803" s="110">
        <f>COPY!Z795</f>
        <v>0</v>
      </c>
      <c r="H803" s="111" t="str">
        <f>IFERROR(VLOOKUP(Table1722[[#This Row],[Bukti]],'Un nOTA'!$A$4:$K$5003,10,FALSE),"")</f>
        <v/>
      </c>
      <c r="I803" s="112" t="str">
        <f>IFERROR(VLOOKUP(Table1722[[#This Row],[Bukti]],Table13[#Data],11,FALSE),"")</f>
        <v/>
      </c>
    </row>
    <row r="804" spans="1:9" ht="19.5" hidden="1" customHeight="1" x14ac:dyDescent="0.2">
      <c r="A804" s="105" t="str">
        <f>IF(D804=1,COUNTIF($D$10:D804,1)," ")</f>
        <v xml:space="preserve"> </v>
      </c>
      <c r="B804" s="106" t="str">
        <f>COPY!AR796</f>
        <v/>
      </c>
      <c r="C804" s="107">
        <f>COPY!AC796</f>
        <v>0</v>
      </c>
      <c r="D804" s="107" t="str">
        <f>IF(LEN(Table1722[[#This Row],[Uraian]])&gt;2,1," ")</f>
        <v xml:space="preserve"> </v>
      </c>
      <c r="E804" s="113" t="str">
        <f>IF(Table1722[[#This Row],[Lawan Transaksi]]="CV AGUNG KARYA",COUNTIF($I$10:I804,"CV AGUNG KARYA")," ")</f>
        <v xml:space="preserve"> </v>
      </c>
      <c r="F804" s="107" t="str">
        <f>IF(LEN(Table1722[[#This Row],[Uraian]])&gt;2,TRIM(RIGHT(SUBSTITUTE(TRIM(C804)," ",REPT(" ",255)),255))," ")</f>
        <v xml:space="preserve"> </v>
      </c>
      <c r="G804" s="110">
        <f>COPY!Z796</f>
        <v>0</v>
      </c>
      <c r="H804" s="111" t="str">
        <f>IFERROR(VLOOKUP(Table1722[[#This Row],[Bukti]],'Un nOTA'!$A$4:$K$5003,10,FALSE),"")</f>
        <v/>
      </c>
      <c r="I804" s="112" t="str">
        <f>IFERROR(VLOOKUP(Table1722[[#This Row],[Bukti]],Table13[#Data],11,FALSE),"")</f>
        <v/>
      </c>
    </row>
    <row r="805" spans="1:9" ht="19.5" hidden="1" customHeight="1" x14ac:dyDescent="0.2">
      <c r="A805" s="105" t="str">
        <f>IF(D805=1,COUNTIF($D$10:D805,1)," ")</f>
        <v xml:space="preserve"> </v>
      </c>
      <c r="B805" s="106" t="str">
        <f>COPY!AR797</f>
        <v/>
      </c>
      <c r="C805" s="107">
        <f>COPY!AC797</f>
        <v>0</v>
      </c>
      <c r="D805" s="107" t="str">
        <f>IF(LEN(Table1722[[#This Row],[Uraian]])&gt;2,1," ")</f>
        <v xml:space="preserve"> </v>
      </c>
      <c r="E805" s="113" t="str">
        <f>IF(Table1722[[#This Row],[Lawan Transaksi]]="CV AGUNG KARYA",COUNTIF($I$10:I805,"CV AGUNG KARYA")," ")</f>
        <v xml:space="preserve"> </v>
      </c>
      <c r="F805" s="107" t="str">
        <f>IF(LEN(Table1722[[#This Row],[Uraian]])&gt;2,TRIM(RIGHT(SUBSTITUTE(TRIM(C805)," ",REPT(" ",255)),255))," ")</f>
        <v xml:space="preserve"> </v>
      </c>
      <c r="G805" s="110">
        <f>COPY!Z797</f>
        <v>0</v>
      </c>
      <c r="H805" s="111" t="str">
        <f>IFERROR(VLOOKUP(Table1722[[#This Row],[Bukti]],'Un nOTA'!$A$4:$K$5003,10,FALSE),"")</f>
        <v/>
      </c>
      <c r="I805" s="112" t="str">
        <f>IFERROR(VLOOKUP(Table1722[[#This Row],[Bukti]],Table13[#Data],11,FALSE),"")</f>
        <v/>
      </c>
    </row>
    <row r="806" spans="1:9" ht="19.5" hidden="1" customHeight="1" x14ac:dyDescent="0.2">
      <c r="A806" s="105" t="str">
        <f>IF(D806=1,COUNTIF($D$10:D806,1)," ")</f>
        <v xml:space="preserve"> </v>
      </c>
      <c r="B806" s="106" t="str">
        <f>COPY!AR798</f>
        <v/>
      </c>
      <c r="C806" s="107">
        <f>COPY!AC798</f>
        <v>0</v>
      </c>
      <c r="D806" s="107" t="str">
        <f>IF(LEN(Table1722[[#This Row],[Uraian]])&gt;2,1," ")</f>
        <v xml:space="preserve"> </v>
      </c>
      <c r="E806" s="113" t="str">
        <f>IF(Table1722[[#This Row],[Lawan Transaksi]]="CV AGUNG KARYA",COUNTIF($I$10:I806,"CV AGUNG KARYA")," ")</f>
        <v xml:space="preserve"> </v>
      </c>
      <c r="F806" s="107" t="str">
        <f>IF(LEN(Table1722[[#This Row],[Uraian]])&gt;2,TRIM(RIGHT(SUBSTITUTE(TRIM(C806)," ",REPT(" ",255)),255))," ")</f>
        <v xml:space="preserve"> </v>
      </c>
      <c r="G806" s="110">
        <f>COPY!Z798</f>
        <v>0</v>
      </c>
      <c r="H806" s="111" t="str">
        <f>IFERROR(VLOOKUP(Table1722[[#This Row],[Bukti]],'Un nOTA'!$A$4:$K$5003,10,FALSE),"")</f>
        <v/>
      </c>
      <c r="I806" s="112" t="str">
        <f>IFERROR(VLOOKUP(Table1722[[#This Row],[Bukti]],Table13[#Data],11,FALSE),"")</f>
        <v/>
      </c>
    </row>
    <row r="807" spans="1:9" ht="19.5" hidden="1" customHeight="1" x14ac:dyDescent="0.2">
      <c r="A807" s="105" t="str">
        <f>IF(D807=1,COUNTIF($D$10:D807,1)," ")</f>
        <v xml:space="preserve"> </v>
      </c>
      <c r="B807" s="106" t="str">
        <f>COPY!AR799</f>
        <v/>
      </c>
      <c r="C807" s="107">
        <f>COPY!AC799</f>
        <v>0</v>
      </c>
      <c r="D807" s="107" t="str">
        <f>IF(LEN(Table1722[[#This Row],[Uraian]])&gt;2,1," ")</f>
        <v xml:space="preserve"> </v>
      </c>
      <c r="E807" s="113" t="str">
        <f>IF(Table1722[[#This Row],[Lawan Transaksi]]="CV AGUNG KARYA",COUNTIF($I$10:I807,"CV AGUNG KARYA")," ")</f>
        <v xml:space="preserve"> </v>
      </c>
      <c r="F807" s="107" t="str">
        <f>IF(LEN(Table1722[[#This Row],[Uraian]])&gt;2,TRIM(RIGHT(SUBSTITUTE(TRIM(C807)," ",REPT(" ",255)),255))," ")</f>
        <v xml:space="preserve"> </v>
      </c>
      <c r="G807" s="110">
        <f>COPY!Z799</f>
        <v>0</v>
      </c>
      <c r="H807" s="111" t="str">
        <f>IFERROR(VLOOKUP(Table1722[[#This Row],[Bukti]],'Un nOTA'!$A$4:$K$5003,10,FALSE),"")</f>
        <v/>
      </c>
      <c r="I807" s="112" t="str">
        <f>IFERROR(VLOOKUP(Table1722[[#This Row],[Bukti]],Table13[#Data],11,FALSE),"")</f>
        <v/>
      </c>
    </row>
    <row r="808" spans="1:9" ht="19.5" hidden="1" customHeight="1" x14ac:dyDescent="0.2">
      <c r="A808" s="105" t="str">
        <f>IF(D808=1,COUNTIF($D$10:D808,1)," ")</f>
        <v xml:space="preserve"> </v>
      </c>
      <c r="B808" s="106" t="str">
        <f>COPY!AR800</f>
        <v/>
      </c>
      <c r="C808" s="107">
        <f>COPY!AC800</f>
        <v>0</v>
      </c>
      <c r="D808" s="107" t="str">
        <f>IF(LEN(Table1722[[#This Row],[Uraian]])&gt;2,1," ")</f>
        <v xml:space="preserve"> </v>
      </c>
      <c r="E808" s="113" t="str">
        <f>IF(Table1722[[#This Row],[Lawan Transaksi]]="CV AGUNG KARYA",COUNTIF($I$10:I808,"CV AGUNG KARYA")," ")</f>
        <v xml:space="preserve"> </v>
      </c>
      <c r="F808" s="107" t="str">
        <f>IF(LEN(Table1722[[#This Row],[Uraian]])&gt;2,TRIM(RIGHT(SUBSTITUTE(TRIM(C808)," ",REPT(" ",255)),255))," ")</f>
        <v xml:space="preserve"> </v>
      </c>
      <c r="G808" s="110">
        <f>COPY!Z800</f>
        <v>0</v>
      </c>
      <c r="H808" s="111" t="str">
        <f>IFERROR(VLOOKUP(Table1722[[#This Row],[Bukti]],'Un nOTA'!$A$4:$K$5003,10,FALSE),"")</f>
        <v/>
      </c>
      <c r="I808" s="112" t="str">
        <f>IFERROR(VLOOKUP(Table1722[[#This Row],[Bukti]],Table13[#Data],11,FALSE),"")</f>
        <v/>
      </c>
    </row>
    <row r="809" spans="1:9" ht="19.5" hidden="1" customHeight="1" x14ac:dyDescent="0.2">
      <c r="A809" s="105" t="str">
        <f>IF(D809=1,COUNTIF($D$10:D809,1)," ")</f>
        <v xml:space="preserve"> </v>
      </c>
      <c r="B809" s="106" t="str">
        <f>COPY!AR801</f>
        <v/>
      </c>
      <c r="C809" s="107">
        <f>COPY!AC801</f>
        <v>0</v>
      </c>
      <c r="D809" s="107" t="str">
        <f>IF(LEN(Table1722[[#This Row],[Uraian]])&gt;2,1," ")</f>
        <v xml:space="preserve"> </v>
      </c>
      <c r="E809" s="113" t="str">
        <f>IF(Table1722[[#This Row],[Lawan Transaksi]]="CV AGUNG KARYA",COUNTIF($I$10:I809,"CV AGUNG KARYA")," ")</f>
        <v xml:space="preserve"> </v>
      </c>
      <c r="F809" s="107" t="str">
        <f>IF(LEN(Table1722[[#This Row],[Uraian]])&gt;2,TRIM(RIGHT(SUBSTITUTE(TRIM(C809)," ",REPT(" ",255)),255))," ")</f>
        <v xml:space="preserve"> </v>
      </c>
      <c r="G809" s="110">
        <f>COPY!Z801</f>
        <v>0</v>
      </c>
      <c r="H809" s="111" t="str">
        <f>IFERROR(VLOOKUP(Table1722[[#This Row],[Bukti]],'Un nOTA'!$A$4:$K$5003,10,FALSE),"")</f>
        <v/>
      </c>
      <c r="I809" s="112" t="str">
        <f>IFERROR(VLOOKUP(Table1722[[#This Row],[Bukti]],Table13[#Data],11,FALSE),"")</f>
        <v/>
      </c>
    </row>
    <row r="810" spans="1:9" ht="19.5" hidden="1" customHeight="1" x14ac:dyDescent="0.2">
      <c r="A810" s="105" t="str">
        <f>IF(D810=1,COUNTIF($D$10:D810,1)," ")</f>
        <v xml:space="preserve"> </v>
      </c>
      <c r="B810" s="106" t="str">
        <f>COPY!AR802</f>
        <v/>
      </c>
      <c r="C810" s="107">
        <f>COPY!AC802</f>
        <v>0</v>
      </c>
      <c r="D810" s="107" t="str">
        <f>IF(LEN(Table1722[[#This Row],[Uraian]])&gt;2,1," ")</f>
        <v xml:space="preserve"> </v>
      </c>
      <c r="E810" s="113" t="str">
        <f>IF(Table1722[[#This Row],[Lawan Transaksi]]="CV AGUNG KARYA",COUNTIF($I$10:I810,"CV AGUNG KARYA")," ")</f>
        <v xml:space="preserve"> </v>
      </c>
      <c r="F810" s="107" t="str">
        <f>IF(LEN(Table1722[[#This Row],[Uraian]])&gt;2,TRIM(RIGHT(SUBSTITUTE(TRIM(C810)," ",REPT(" ",255)),255))," ")</f>
        <v xml:space="preserve"> </v>
      </c>
      <c r="G810" s="110">
        <f>COPY!Z802</f>
        <v>0</v>
      </c>
      <c r="H810" s="111" t="str">
        <f>IFERROR(VLOOKUP(Table1722[[#This Row],[Bukti]],'Un nOTA'!$A$4:$K$5003,10,FALSE),"")</f>
        <v/>
      </c>
      <c r="I810" s="112" t="str">
        <f>IFERROR(VLOOKUP(Table1722[[#This Row],[Bukti]],Table13[#Data],11,FALSE),"")</f>
        <v/>
      </c>
    </row>
    <row r="811" spans="1:9" ht="19.5" hidden="1" customHeight="1" x14ac:dyDescent="0.2">
      <c r="A811" s="105" t="str">
        <f>IF(D811=1,COUNTIF($D$10:D811,1)," ")</f>
        <v xml:space="preserve"> </v>
      </c>
      <c r="B811" s="106" t="str">
        <f>COPY!AR803</f>
        <v/>
      </c>
      <c r="C811" s="107">
        <f>COPY!AC803</f>
        <v>0</v>
      </c>
      <c r="D811" s="107" t="str">
        <f>IF(LEN(Table1722[[#This Row],[Uraian]])&gt;2,1," ")</f>
        <v xml:space="preserve"> </v>
      </c>
      <c r="E811" s="113" t="str">
        <f>IF(Table1722[[#This Row],[Lawan Transaksi]]="CV AGUNG KARYA",COUNTIF($I$10:I811,"CV AGUNG KARYA")," ")</f>
        <v xml:space="preserve"> </v>
      </c>
      <c r="F811" s="107" t="str">
        <f>IF(LEN(Table1722[[#This Row],[Uraian]])&gt;2,TRIM(RIGHT(SUBSTITUTE(TRIM(C811)," ",REPT(" ",255)),255))," ")</f>
        <v xml:space="preserve"> </v>
      </c>
      <c r="G811" s="110">
        <f>COPY!Z803</f>
        <v>0</v>
      </c>
      <c r="H811" s="111" t="str">
        <f>IFERROR(VLOOKUP(Table1722[[#This Row],[Bukti]],'Un nOTA'!$A$4:$K$5003,10,FALSE),"")</f>
        <v/>
      </c>
      <c r="I811" s="112" t="str">
        <f>IFERROR(VLOOKUP(Table1722[[#This Row],[Bukti]],Table13[#Data],11,FALSE),"")</f>
        <v/>
      </c>
    </row>
    <row r="812" spans="1:9" ht="19.5" hidden="1" customHeight="1" x14ac:dyDescent="0.2">
      <c r="A812" s="105" t="str">
        <f>IF(D812=1,COUNTIF($D$10:D812,1)," ")</f>
        <v xml:space="preserve"> </v>
      </c>
      <c r="B812" s="106" t="str">
        <f>COPY!AR804</f>
        <v/>
      </c>
      <c r="C812" s="107">
        <f>COPY!AC804</f>
        <v>0</v>
      </c>
      <c r="D812" s="107" t="str">
        <f>IF(LEN(Table1722[[#This Row],[Uraian]])&gt;2,1," ")</f>
        <v xml:space="preserve"> </v>
      </c>
      <c r="E812" s="113" t="str">
        <f>IF(Table1722[[#This Row],[Lawan Transaksi]]="CV AGUNG KARYA",COUNTIF($I$10:I812,"CV AGUNG KARYA")," ")</f>
        <v xml:space="preserve"> </v>
      </c>
      <c r="F812" s="107" t="str">
        <f>IF(LEN(Table1722[[#This Row],[Uraian]])&gt;2,TRIM(RIGHT(SUBSTITUTE(TRIM(C812)," ",REPT(" ",255)),255))," ")</f>
        <v xml:space="preserve"> </v>
      </c>
      <c r="G812" s="110">
        <f>COPY!Z804</f>
        <v>0</v>
      </c>
      <c r="H812" s="111" t="str">
        <f>IFERROR(VLOOKUP(Table1722[[#This Row],[Bukti]],'Un nOTA'!$A$4:$K$5003,10,FALSE),"")</f>
        <v/>
      </c>
      <c r="I812" s="112" t="str">
        <f>IFERROR(VLOOKUP(Table1722[[#This Row],[Bukti]],Table13[#Data],11,FALSE),"")</f>
        <v/>
      </c>
    </row>
    <row r="813" spans="1:9" ht="19.5" hidden="1" customHeight="1" x14ac:dyDescent="0.2">
      <c r="A813" s="105" t="str">
        <f>IF(D813=1,COUNTIF($D$10:D813,1)," ")</f>
        <v xml:space="preserve"> </v>
      </c>
      <c r="B813" s="106" t="str">
        <f>COPY!AR805</f>
        <v/>
      </c>
      <c r="C813" s="107">
        <f>COPY!AC805</f>
        <v>0</v>
      </c>
      <c r="D813" s="107" t="str">
        <f>IF(LEN(Table1722[[#This Row],[Uraian]])&gt;2,1," ")</f>
        <v xml:space="preserve"> </v>
      </c>
      <c r="E813" s="113" t="str">
        <f>IF(Table1722[[#This Row],[Lawan Transaksi]]="CV AGUNG KARYA",COUNTIF($I$10:I813,"CV AGUNG KARYA")," ")</f>
        <v xml:space="preserve"> </v>
      </c>
      <c r="F813" s="107" t="str">
        <f>IF(LEN(Table1722[[#This Row],[Uraian]])&gt;2,TRIM(RIGHT(SUBSTITUTE(TRIM(C813)," ",REPT(" ",255)),255))," ")</f>
        <v xml:space="preserve"> </v>
      </c>
      <c r="G813" s="110">
        <f>COPY!Z805</f>
        <v>0</v>
      </c>
      <c r="H813" s="111" t="str">
        <f>IFERROR(VLOOKUP(Table1722[[#This Row],[Bukti]],'Un nOTA'!$A$4:$K$5003,10,FALSE),"")</f>
        <v/>
      </c>
      <c r="I813" s="112" t="str">
        <f>IFERROR(VLOOKUP(Table1722[[#This Row],[Bukti]],Table13[#Data],11,FALSE),"")</f>
        <v/>
      </c>
    </row>
    <row r="814" spans="1:9" ht="19.5" hidden="1" customHeight="1" x14ac:dyDescent="0.2">
      <c r="A814" s="105" t="str">
        <f>IF(D814=1,COUNTIF($D$10:D814,1)," ")</f>
        <v xml:space="preserve"> </v>
      </c>
      <c r="B814" s="106" t="str">
        <f>COPY!AR806</f>
        <v/>
      </c>
      <c r="C814" s="107">
        <f>COPY!AC806</f>
        <v>0</v>
      </c>
      <c r="D814" s="107" t="str">
        <f>IF(LEN(Table1722[[#This Row],[Uraian]])&gt;2,1," ")</f>
        <v xml:space="preserve"> </v>
      </c>
      <c r="E814" s="113" t="str">
        <f>IF(Table1722[[#This Row],[Lawan Transaksi]]="CV AGUNG KARYA",COUNTIF($I$10:I814,"CV AGUNG KARYA")," ")</f>
        <v xml:space="preserve"> </v>
      </c>
      <c r="F814" s="107" t="str">
        <f>IF(LEN(Table1722[[#This Row],[Uraian]])&gt;2,TRIM(RIGHT(SUBSTITUTE(TRIM(C814)," ",REPT(" ",255)),255))," ")</f>
        <v xml:space="preserve"> </v>
      </c>
      <c r="G814" s="110">
        <f>COPY!Z806</f>
        <v>0</v>
      </c>
      <c r="H814" s="111" t="str">
        <f>IFERROR(VLOOKUP(Table1722[[#This Row],[Bukti]],'Un nOTA'!$A$4:$K$5003,10,FALSE),"")</f>
        <v/>
      </c>
      <c r="I814" s="112" t="str">
        <f>IFERROR(VLOOKUP(Table1722[[#This Row],[Bukti]],Table13[#Data],11,FALSE),"")</f>
        <v/>
      </c>
    </row>
    <row r="815" spans="1:9" ht="19.5" hidden="1" customHeight="1" x14ac:dyDescent="0.2">
      <c r="A815" s="105" t="str">
        <f>IF(D815=1,COUNTIF($D$10:D815,1)," ")</f>
        <v xml:space="preserve"> </v>
      </c>
      <c r="B815" s="106" t="str">
        <f>COPY!AR807</f>
        <v/>
      </c>
      <c r="C815" s="107">
        <f>COPY!AC807</f>
        <v>0</v>
      </c>
      <c r="D815" s="107" t="str">
        <f>IF(LEN(Table1722[[#This Row],[Uraian]])&gt;2,1," ")</f>
        <v xml:space="preserve"> </v>
      </c>
      <c r="E815" s="113" t="str">
        <f>IF(Table1722[[#This Row],[Lawan Transaksi]]="CV AGUNG KARYA",COUNTIF($I$10:I815,"CV AGUNG KARYA")," ")</f>
        <v xml:space="preserve"> </v>
      </c>
      <c r="F815" s="107" t="str">
        <f>IF(LEN(Table1722[[#This Row],[Uraian]])&gt;2,TRIM(RIGHT(SUBSTITUTE(TRIM(C815)," ",REPT(" ",255)),255))," ")</f>
        <v xml:space="preserve"> </v>
      </c>
      <c r="G815" s="110">
        <f>COPY!Z807</f>
        <v>0</v>
      </c>
      <c r="H815" s="111" t="str">
        <f>IFERROR(VLOOKUP(Table1722[[#This Row],[Bukti]],'Un nOTA'!$A$4:$K$5003,10,FALSE),"")</f>
        <v/>
      </c>
      <c r="I815" s="112" t="str">
        <f>IFERROR(VLOOKUP(Table1722[[#This Row],[Bukti]],Table13[#Data],11,FALSE),"")</f>
        <v/>
      </c>
    </row>
    <row r="816" spans="1:9" ht="19.5" hidden="1" customHeight="1" x14ac:dyDescent="0.2">
      <c r="A816" s="105" t="str">
        <f>IF(D816=1,COUNTIF($D$10:D816,1)," ")</f>
        <v xml:space="preserve"> </v>
      </c>
      <c r="B816" s="106" t="str">
        <f>COPY!AR808</f>
        <v/>
      </c>
      <c r="C816" s="107">
        <f>COPY!AC808</f>
        <v>0</v>
      </c>
      <c r="D816" s="107" t="str">
        <f>IF(LEN(Table1722[[#This Row],[Uraian]])&gt;2,1," ")</f>
        <v xml:space="preserve"> </v>
      </c>
      <c r="E816" s="113" t="str">
        <f>IF(Table1722[[#This Row],[Lawan Transaksi]]="CV AGUNG KARYA",COUNTIF($I$10:I816,"CV AGUNG KARYA")," ")</f>
        <v xml:space="preserve"> </v>
      </c>
      <c r="F816" s="107" t="str">
        <f>IF(LEN(Table1722[[#This Row],[Uraian]])&gt;2,TRIM(RIGHT(SUBSTITUTE(TRIM(C816)," ",REPT(" ",255)),255))," ")</f>
        <v xml:space="preserve"> </v>
      </c>
      <c r="G816" s="110">
        <f>COPY!Z808</f>
        <v>0</v>
      </c>
      <c r="H816" s="111" t="str">
        <f>IFERROR(VLOOKUP(Table1722[[#This Row],[Bukti]],'Un nOTA'!$A$4:$K$5003,10,FALSE),"")</f>
        <v/>
      </c>
      <c r="I816" s="112" t="str">
        <f>IFERROR(VLOOKUP(Table1722[[#This Row],[Bukti]],Table13[#Data],11,FALSE),"")</f>
        <v/>
      </c>
    </row>
    <row r="817" spans="1:9" ht="19.5" hidden="1" customHeight="1" x14ac:dyDescent="0.2">
      <c r="A817" s="105" t="str">
        <f>IF(D817=1,COUNTIF($D$10:D817,1)," ")</f>
        <v xml:space="preserve"> </v>
      </c>
      <c r="B817" s="106" t="str">
        <f>COPY!AR809</f>
        <v/>
      </c>
      <c r="C817" s="107">
        <f>COPY!AC809</f>
        <v>0</v>
      </c>
      <c r="D817" s="107" t="str">
        <f>IF(LEN(Table1722[[#This Row],[Uraian]])&gt;2,1," ")</f>
        <v xml:space="preserve"> </v>
      </c>
      <c r="E817" s="113" t="str">
        <f>IF(Table1722[[#This Row],[Lawan Transaksi]]="CV AGUNG KARYA",COUNTIF($I$10:I817,"CV AGUNG KARYA")," ")</f>
        <v xml:space="preserve"> </v>
      </c>
      <c r="F817" s="107" t="str">
        <f>IF(LEN(Table1722[[#This Row],[Uraian]])&gt;2,TRIM(RIGHT(SUBSTITUTE(TRIM(C817)," ",REPT(" ",255)),255))," ")</f>
        <v xml:space="preserve"> </v>
      </c>
      <c r="G817" s="110">
        <f>COPY!Z809</f>
        <v>0</v>
      </c>
      <c r="H817" s="111" t="str">
        <f>IFERROR(VLOOKUP(Table1722[[#This Row],[Bukti]],'Un nOTA'!$A$4:$K$5003,10,FALSE),"")</f>
        <v/>
      </c>
      <c r="I817" s="112" t="str">
        <f>IFERROR(VLOOKUP(Table1722[[#This Row],[Bukti]],Table13[#Data],11,FALSE),"")</f>
        <v/>
      </c>
    </row>
    <row r="818" spans="1:9" ht="19.5" hidden="1" customHeight="1" x14ac:dyDescent="0.2">
      <c r="A818" s="105" t="str">
        <f>IF(D818=1,COUNTIF($D$10:D818,1)," ")</f>
        <v xml:space="preserve"> </v>
      </c>
      <c r="B818" s="106" t="str">
        <f>COPY!AR810</f>
        <v/>
      </c>
      <c r="C818" s="107">
        <f>COPY!AC810</f>
        <v>0</v>
      </c>
      <c r="D818" s="107" t="str">
        <f>IF(LEN(Table1722[[#This Row],[Uraian]])&gt;2,1," ")</f>
        <v xml:space="preserve"> </v>
      </c>
      <c r="E818" s="113" t="str">
        <f>IF(Table1722[[#This Row],[Lawan Transaksi]]="CV AGUNG KARYA",COUNTIF($I$10:I818,"CV AGUNG KARYA")," ")</f>
        <v xml:space="preserve"> </v>
      </c>
      <c r="F818" s="107" t="str">
        <f>IF(LEN(Table1722[[#This Row],[Uraian]])&gt;2,TRIM(RIGHT(SUBSTITUTE(TRIM(C818)," ",REPT(" ",255)),255))," ")</f>
        <v xml:space="preserve"> </v>
      </c>
      <c r="G818" s="110">
        <f>COPY!Z810</f>
        <v>0</v>
      </c>
      <c r="H818" s="111" t="str">
        <f>IFERROR(VLOOKUP(Table1722[[#This Row],[Bukti]],'Un nOTA'!$A$4:$K$5003,10,FALSE),"")</f>
        <v/>
      </c>
      <c r="I818" s="112" t="str">
        <f>IFERROR(VLOOKUP(Table1722[[#This Row],[Bukti]],Table13[#Data],11,FALSE),"")</f>
        <v/>
      </c>
    </row>
    <row r="819" spans="1:9" ht="19.5" hidden="1" customHeight="1" x14ac:dyDescent="0.2">
      <c r="A819" s="105" t="str">
        <f>IF(D819=1,COUNTIF($D$10:D819,1)," ")</f>
        <v xml:space="preserve"> </v>
      </c>
      <c r="B819" s="106" t="str">
        <f>COPY!AR811</f>
        <v/>
      </c>
      <c r="C819" s="107">
        <f>COPY!AC811</f>
        <v>0</v>
      </c>
      <c r="D819" s="107" t="str">
        <f>IF(LEN(Table1722[[#This Row],[Uraian]])&gt;2,1," ")</f>
        <v xml:space="preserve"> </v>
      </c>
      <c r="E819" s="113" t="str">
        <f>IF(Table1722[[#This Row],[Lawan Transaksi]]="CV AGUNG KARYA",COUNTIF($I$10:I819,"CV AGUNG KARYA")," ")</f>
        <v xml:space="preserve"> </v>
      </c>
      <c r="F819" s="107" t="str">
        <f>IF(LEN(Table1722[[#This Row],[Uraian]])&gt;2,TRIM(RIGHT(SUBSTITUTE(TRIM(C819)," ",REPT(" ",255)),255))," ")</f>
        <v xml:space="preserve"> </v>
      </c>
      <c r="G819" s="110">
        <f>COPY!Z811</f>
        <v>0</v>
      </c>
      <c r="H819" s="111" t="str">
        <f>IFERROR(VLOOKUP(Table1722[[#This Row],[Bukti]],'Un nOTA'!$A$4:$K$5003,10,FALSE),"")</f>
        <v/>
      </c>
      <c r="I819" s="112" t="str">
        <f>IFERROR(VLOOKUP(Table1722[[#This Row],[Bukti]],Table13[#Data],11,FALSE),"")</f>
        <v/>
      </c>
    </row>
    <row r="820" spans="1:9" ht="19.5" hidden="1" customHeight="1" x14ac:dyDescent="0.2">
      <c r="A820" s="105" t="str">
        <f>IF(D820=1,COUNTIF($D$10:D820,1)," ")</f>
        <v xml:space="preserve"> </v>
      </c>
      <c r="B820" s="106" t="str">
        <f>COPY!AR812</f>
        <v/>
      </c>
      <c r="C820" s="107">
        <f>COPY!AC812</f>
        <v>0</v>
      </c>
      <c r="D820" s="107" t="str">
        <f>IF(LEN(Table1722[[#This Row],[Uraian]])&gt;2,1," ")</f>
        <v xml:space="preserve"> </v>
      </c>
      <c r="E820" s="113" t="str">
        <f>IF(Table1722[[#This Row],[Lawan Transaksi]]="CV AGUNG KARYA",COUNTIF($I$10:I820,"CV AGUNG KARYA")," ")</f>
        <v xml:space="preserve"> </v>
      </c>
      <c r="F820" s="107" t="str">
        <f>IF(LEN(Table1722[[#This Row],[Uraian]])&gt;2,TRIM(RIGHT(SUBSTITUTE(TRIM(C820)," ",REPT(" ",255)),255))," ")</f>
        <v xml:space="preserve"> </v>
      </c>
      <c r="G820" s="110">
        <f>COPY!Z812</f>
        <v>0</v>
      </c>
      <c r="H820" s="111" t="str">
        <f>IFERROR(VLOOKUP(Table1722[[#This Row],[Bukti]],'Un nOTA'!$A$4:$K$5003,10,FALSE),"")</f>
        <v/>
      </c>
      <c r="I820" s="112" t="str">
        <f>IFERROR(VLOOKUP(Table1722[[#This Row],[Bukti]],Table13[#Data],11,FALSE),"")</f>
        <v/>
      </c>
    </row>
    <row r="821" spans="1:9" ht="19.5" hidden="1" customHeight="1" x14ac:dyDescent="0.2">
      <c r="A821" s="105" t="str">
        <f>IF(D821=1,COUNTIF($D$10:D821,1)," ")</f>
        <v xml:space="preserve"> </v>
      </c>
      <c r="B821" s="106" t="str">
        <f>COPY!AR813</f>
        <v/>
      </c>
      <c r="C821" s="107">
        <f>COPY!AC813</f>
        <v>0</v>
      </c>
      <c r="D821" s="107" t="str">
        <f>IF(LEN(Table1722[[#This Row],[Uraian]])&gt;2,1," ")</f>
        <v xml:space="preserve"> </v>
      </c>
      <c r="E821" s="113" t="str">
        <f>IF(Table1722[[#This Row],[Lawan Transaksi]]="CV AGUNG KARYA",COUNTIF($I$10:I821,"CV AGUNG KARYA")," ")</f>
        <v xml:space="preserve"> </v>
      </c>
      <c r="F821" s="107" t="str">
        <f>IF(LEN(Table1722[[#This Row],[Uraian]])&gt;2,TRIM(RIGHT(SUBSTITUTE(TRIM(C821)," ",REPT(" ",255)),255))," ")</f>
        <v xml:space="preserve"> </v>
      </c>
      <c r="G821" s="110">
        <f>COPY!Z813</f>
        <v>0</v>
      </c>
      <c r="H821" s="111" t="str">
        <f>IFERROR(VLOOKUP(Table1722[[#This Row],[Bukti]],'Un nOTA'!$A$4:$K$5003,10,FALSE),"")</f>
        <v/>
      </c>
      <c r="I821" s="112" t="str">
        <f>IFERROR(VLOOKUP(Table1722[[#This Row],[Bukti]],Table13[#Data],11,FALSE),"")</f>
        <v/>
      </c>
    </row>
    <row r="822" spans="1:9" ht="19.5" hidden="1" customHeight="1" x14ac:dyDescent="0.2">
      <c r="A822" s="105" t="str">
        <f>IF(D822=1,COUNTIF($D$10:D822,1)," ")</f>
        <v xml:space="preserve"> </v>
      </c>
      <c r="B822" s="106" t="str">
        <f>COPY!AR814</f>
        <v/>
      </c>
      <c r="C822" s="107">
        <f>COPY!AC814</f>
        <v>0</v>
      </c>
      <c r="D822" s="107" t="str">
        <f>IF(LEN(Table1722[[#This Row],[Uraian]])&gt;2,1," ")</f>
        <v xml:space="preserve"> </v>
      </c>
      <c r="E822" s="113" t="str">
        <f>IF(Table1722[[#This Row],[Lawan Transaksi]]="CV AGUNG KARYA",COUNTIF($I$10:I822,"CV AGUNG KARYA")," ")</f>
        <v xml:space="preserve"> </v>
      </c>
      <c r="F822" s="107" t="str">
        <f>IF(LEN(Table1722[[#This Row],[Uraian]])&gt;2,TRIM(RIGHT(SUBSTITUTE(TRIM(C822)," ",REPT(" ",255)),255))," ")</f>
        <v xml:space="preserve"> </v>
      </c>
      <c r="G822" s="110">
        <f>COPY!Z814</f>
        <v>0</v>
      </c>
      <c r="H822" s="111" t="str">
        <f>IFERROR(VLOOKUP(Table1722[[#This Row],[Bukti]],'Un nOTA'!$A$4:$K$5003,10,FALSE),"")</f>
        <v/>
      </c>
      <c r="I822" s="112" t="str">
        <f>IFERROR(VLOOKUP(Table1722[[#This Row],[Bukti]],Table13[#Data],11,FALSE),"")</f>
        <v/>
      </c>
    </row>
    <row r="823" spans="1:9" ht="19.5" hidden="1" customHeight="1" x14ac:dyDescent="0.2">
      <c r="A823" s="105" t="str">
        <f>IF(D823=1,COUNTIF($D$10:D823,1)," ")</f>
        <v xml:space="preserve"> </v>
      </c>
      <c r="B823" s="106" t="str">
        <f>COPY!AR815</f>
        <v/>
      </c>
      <c r="C823" s="107">
        <f>COPY!AC815</f>
        <v>0</v>
      </c>
      <c r="D823" s="107" t="str">
        <f>IF(LEN(Table1722[[#This Row],[Uraian]])&gt;2,1," ")</f>
        <v xml:space="preserve"> </v>
      </c>
      <c r="E823" s="113" t="str">
        <f>IF(Table1722[[#This Row],[Lawan Transaksi]]="CV AGUNG KARYA",COUNTIF($I$10:I823,"CV AGUNG KARYA")," ")</f>
        <v xml:space="preserve"> </v>
      </c>
      <c r="F823" s="107" t="str">
        <f>IF(LEN(Table1722[[#This Row],[Uraian]])&gt;2,TRIM(RIGHT(SUBSTITUTE(TRIM(C823)," ",REPT(" ",255)),255))," ")</f>
        <v xml:space="preserve"> </v>
      </c>
      <c r="G823" s="110">
        <f>COPY!Z815</f>
        <v>0</v>
      </c>
      <c r="H823" s="111" t="str">
        <f>IFERROR(VLOOKUP(Table1722[[#This Row],[Bukti]],'Un nOTA'!$A$4:$K$5003,10,FALSE),"")</f>
        <v/>
      </c>
      <c r="I823" s="112" t="str">
        <f>IFERROR(VLOOKUP(Table1722[[#This Row],[Bukti]],Table13[#Data],11,FALSE),"")</f>
        <v/>
      </c>
    </row>
    <row r="824" spans="1:9" ht="19.5" hidden="1" customHeight="1" x14ac:dyDescent="0.2">
      <c r="A824" s="105" t="str">
        <f>IF(D824=1,COUNTIF($D$10:D824,1)," ")</f>
        <v xml:space="preserve"> </v>
      </c>
      <c r="B824" s="106" t="str">
        <f>COPY!AR816</f>
        <v/>
      </c>
      <c r="C824" s="107">
        <f>COPY!AC816</f>
        <v>0</v>
      </c>
      <c r="D824" s="107" t="str">
        <f>IF(LEN(Table1722[[#This Row],[Uraian]])&gt;2,1," ")</f>
        <v xml:space="preserve"> </v>
      </c>
      <c r="E824" s="113" t="str">
        <f>IF(Table1722[[#This Row],[Lawan Transaksi]]="CV AGUNG KARYA",COUNTIF($I$10:I824,"CV AGUNG KARYA")," ")</f>
        <v xml:space="preserve"> </v>
      </c>
      <c r="F824" s="107" t="str">
        <f>IF(LEN(Table1722[[#This Row],[Uraian]])&gt;2,TRIM(RIGHT(SUBSTITUTE(TRIM(C824)," ",REPT(" ",255)),255))," ")</f>
        <v xml:space="preserve"> </v>
      </c>
      <c r="G824" s="110">
        <f>COPY!Z816</f>
        <v>0</v>
      </c>
      <c r="H824" s="111" t="str">
        <f>IFERROR(VLOOKUP(Table1722[[#This Row],[Bukti]],'Un nOTA'!$A$4:$K$5003,10,FALSE),"")</f>
        <v/>
      </c>
      <c r="I824" s="112" t="str">
        <f>IFERROR(VLOOKUP(Table1722[[#This Row],[Bukti]],Table13[#Data],11,FALSE),"")</f>
        <v/>
      </c>
    </row>
    <row r="825" spans="1:9" ht="19.5" hidden="1" customHeight="1" x14ac:dyDescent="0.2">
      <c r="A825" s="105" t="str">
        <f>IF(D825=1,COUNTIF($D$10:D825,1)," ")</f>
        <v xml:space="preserve"> </v>
      </c>
      <c r="B825" s="106" t="str">
        <f>COPY!AR817</f>
        <v/>
      </c>
      <c r="C825" s="107">
        <f>COPY!AC817</f>
        <v>0</v>
      </c>
      <c r="D825" s="107" t="str">
        <f>IF(LEN(Table1722[[#This Row],[Uraian]])&gt;2,1," ")</f>
        <v xml:space="preserve"> </v>
      </c>
      <c r="E825" s="113" t="str">
        <f>IF(Table1722[[#This Row],[Lawan Transaksi]]="CV AGUNG KARYA",COUNTIF($I$10:I825,"CV AGUNG KARYA")," ")</f>
        <v xml:space="preserve"> </v>
      </c>
      <c r="F825" s="107" t="str">
        <f>IF(LEN(Table1722[[#This Row],[Uraian]])&gt;2,TRIM(RIGHT(SUBSTITUTE(TRIM(C825)," ",REPT(" ",255)),255))," ")</f>
        <v xml:space="preserve"> </v>
      </c>
      <c r="G825" s="110">
        <f>COPY!Z817</f>
        <v>0</v>
      </c>
      <c r="H825" s="111" t="str">
        <f>IFERROR(VLOOKUP(Table1722[[#This Row],[Bukti]],'Un nOTA'!$A$4:$K$5003,10,FALSE),"")</f>
        <v/>
      </c>
      <c r="I825" s="112" t="str">
        <f>IFERROR(VLOOKUP(Table1722[[#This Row],[Bukti]],Table13[#Data],11,FALSE),"")</f>
        <v/>
      </c>
    </row>
    <row r="826" spans="1:9" ht="19.5" hidden="1" customHeight="1" x14ac:dyDescent="0.2">
      <c r="A826" s="105" t="str">
        <f>IF(D826=1,COUNTIF($D$10:D826,1)," ")</f>
        <v xml:space="preserve"> </v>
      </c>
      <c r="B826" s="106" t="str">
        <f>COPY!AR818</f>
        <v/>
      </c>
      <c r="C826" s="107">
        <f>COPY!AC818</f>
        <v>0</v>
      </c>
      <c r="D826" s="107" t="str">
        <f>IF(LEN(Table1722[[#This Row],[Uraian]])&gt;2,1," ")</f>
        <v xml:space="preserve"> </v>
      </c>
      <c r="E826" s="113" t="str">
        <f>IF(Table1722[[#This Row],[Lawan Transaksi]]="CV AGUNG KARYA",COUNTIF($I$10:I826,"CV AGUNG KARYA")," ")</f>
        <v xml:space="preserve"> </v>
      </c>
      <c r="F826" s="107" t="str">
        <f>IF(LEN(Table1722[[#This Row],[Uraian]])&gt;2,TRIM(RIGHT(SUBSTITUTE(TRIM(C826)," ",REPT(" ",255)),255))," ")</f>
        <v xml:space="preserve"> </v>
      </c>
      <c r="G826" s="110">
        <f>COPY!Z818</f>
        <v>0</v>
      </c>
      <c r="H826" s="111" t="str">
        <f>IFERROR(VLOOKUP(Table1722[[#This Row],[Bukti]],'Un nOTA'!$A$4:$K$5003,10,FALSE),"")</f>
        <v/>
      </c>
      <c r="I826" s="112" t="str">
        <f>IFERROR(VLOOKUP(Table1722[[#This Row],[Bukti]],Table13[#Data],11,FALSE),"")</f>
        <v/>
      </c>
    </row>
    <row r="827" spans="1:9" ht="19.5" hidden="1" customHeight="1" x14ac:dyDescent="0.2">
      <c r="A827" s="105" t="str">
        <f>IF(D827=1,COUNTIF($D$10:D827,1)," ")</f>
        <v xml:space="preserve"> </v>
      </c>
      <c r="B827" s="106" t="str">
        <f>COPY!AR819</f>
        <v/>
      </c>
      <c r="C827" s="107">
        <f>COPY!AC819</f>
        <v>0</v>
      </c>
      <c r="D827" s="107" t="str">
        <f>IF(LEN(Table1722[[#This Row],[Uraian]])&gt;2,1," ")</f>
        <v xml:space="preserve"> </v>
      </c>
      <c r="E827" s="113" t="str">
        <f>IF(Table1722[[#This Row],[Lawan Transaksi]]="CV AGUNG KARYA",COUNTIF($I$10:I827,"CV AGUNG KARYA")," ")</f>
        <v xml:space="preserve"> </v>
      </c>
      <c r="F827" s="107" t="str">
        <f>IF(LEN(Table1722[[#This Row],[Uraian]])&gt;2,TRIM(RIGHT(SUBSTITUTE(TRIM(C827)," ",REPT(" ",255)),255))," ")</f>
        <v xml:space="preserve"> </v>
      </c>
      <c r="G827" s="110">
        <f>COPY!Z819</f>
        <v>0</v>
      </c>
      <c r="H827" s="111" t="str">
        <f>IFERROR(VLOOKUP(Table1722[[#This Row],[Bukti]],'Un nOTA'!$A$4:$K$5003,10,FALSE),"")</f>
        <v/>
      </c>
      <c r="I827" s="112" t="str">
        <f>IFERROR(VLOOKUP(Table1722[[#This Row],[Bukti]],Table13[#Data],11,FALSE),"")</f>
        <v/>
      </c>
    </row>
    <row r="828" spans="1:9" ht="19.5" hidden="1" customHeight="1" x14ac:dyDescent="0.2">
      <c r="A828" s="105" t="str">
        <f>IF(D828=1,COUNTIF($D$10:D828,1)," ")</f>
        <v xml:space="preserve"> </v>
      </c>
      <c r="B828" s="106" t="str">
        <f>COPY!AR820</f>
        <v/>
      </c>
      <c r="C828" s="107">
        <f>COPY!AC820</f>
        <v>0</v>
      </c>
      <c r="D828" s="107" t="str">
        <f>IF(LEN(Table1722[[#This Row],[Uraian]])&gt;2,1," ")</f>
        <v xml:space="preserve"> </v>
      </c>
      <c r="E828" s="113" t="str">
        <f>IF(Table1722[[#This Row],[Lawan Transaksi]]="CV AGUNG KARYA",COUNTIF($I$10:I828,"CV AGUNG KARYA")," ")</f>
        <v xml:space="preserve"> </v>
      </c>
      <c r="F828" s="107" t="str">
        <f>IF(LEN(Table1722[[#This Row],[Uraian]])&gt;2,TRIM(RIGHT(SUBSTITUTE(TRIM(C828)," ",REPT(" ",255)),255))," ")</f>
        <v xml:space="preserve"> </v>
      </c>
      <c r="G828" s="110">
        <f>COPY!Z820</f>
        <v>0</v>
      </c>
      <c r="H828" s="111" t="str">
        <f>IFERROR(VLOOKUP(Table1722[[#This Row],[Bukti]],'Un nOTA'!$A$4:$K$5003,10,FALSE),"")</f>
        <v/>
      </c>
      <c r="I828" s="112" t="str">
        <f>IFERROR(VLOOKUP(Table1722[[#This Row],[Bukti]],Table13[#Data],11,FALSE),"")</f>
        <v/>
      </c>
    </row>
    <row r="829" spans="1:9" ht="19.5" hidden="1" customHeight="1" x14ac:dyDescent="0.2">
      <c r="A829" s="105" t="str">
        <f>IF(D829=1,COUNTIF($D$10:D829,1)," ")</f>
        <v xml:space="preserve"> </v>
      </c>
      <c r="B829" s="106" t="str">
        <f>COPY!AR821</f>
        <v/>
      </c>
      <c r="C829" s="107">
        <f>COPY!AC821</f>
        <v>0</v>
      </c>
      <c r="D829" s="107" t="str">
        <f>IF(LEN(Table1722[[#This Row],[Uraian]])&gt;2,1," ")</f>
        <v xml:space="preserve"> </v>
      </c>
      <c r="E829" s="113" t="str">
        <f>IF(Table1722[[#This Row],[Lawan Transaksi]]="CV AGUNG KARYA",COUNTIF($I$10:I829,"CV AGUNG KARYA")," ")</f>
        <v xml:space="preserve"> </v>
      </c>
      <c r="F829" s="107" t="str">
        <f>IF(LEN(Table1722[[#This Row],[Uraian]])&gt;2,TRIM(RIGHT(SUBSTITUTE(TRIM(C829)," ",REPT(" ",255)),255))," ")</f>
        <v xml:space="preserve"> </v>
      </c>
      <c r="G829" s="110">
        <f>COPY!Z821</f>
        <v>0</v>
      </c>
      <c r="H829" s="111" t="str">
        <f>IFERROR(VLOOKUP(Table1722[[#This Row],[Bukti]],'Un nOTA'!$A$4:$K$5003,10,FALSE),"")</f>
        <v/>
      </c>
      <c r="I829" s="112" t="str">
        <f>IFERROR(VLOOKUP(Table1722[[#This Row],[Bukti]],Table13[#Data],11,FALSE),"")</f>
        <v/>
      </c>
    </row>
    <row r="830" spans="1:9" ht="19.5" hidden="1" customHeight="1" x14ac:dyDescent="0.2">
      <c r="A830" s="105" t="str">
        <f>IF(D830=1,COUNTIF($D$10:D830,1)," ")</f>
        <v xml:space="preserve"> </v>
      </c>
      <c r="B830" s="106" t="str">
        <f>COPY!AR822</f>
        <v/>
      </c>
      <c r="C830" s="107">
        <f>COPY!AC822</f>
        <v>0</v>
      </c>
      <c r="D830" s="107" t="str">
        <f>IF(LEN(Table1722[[#This Row],[Uraian]])&gt;2,1," ")</f>
        <v xml:space="preserve"> </v>
      </c>
      <c r="E830" s="113" t="str">
        <f>IF(Table1722[[#This Row],[Lawan Transaksi]]="CV AGUNG KARYA",COUNTIF($I$10:I830,"CV AGUNG KARYA")," ")</f>
        <v xml:space="preserve"> </v>
      </c>
      <c r="F830" s="107" t="str">
        <f>IF(LEN(Table1722[[#This Row],[Uraian]])&gt;2,TRIM(RIGHT(SUBSTITUTE(TRIM(C830)," ",REPT(" ",255)),255))," ")</f>
        <v xml:space="preserve"> </v>
      </c>
      <c r="G830" s="110">
        <f>COPY!Z822</f>
        <v>0</v>
      </c>
      <c r="H830" s="111" t="str">
        <f>IFERROR(VLOOKUP(Table1722[[#This Row],[Bukti]],'Un nOTA'!$A$4:$K$5003,10,FALSE),"")</f>
        <v/>
      </c>
      <c r="I830" s="112" t="str">
        <f>IFERROR(VLOOKUP(Table1722[[#This Row],[Bukti]],Table13[#Data],11,FALSE),"")</f>
        <v/>
      </c>
    </row>
    <row r="831" spans="1:9" ht="19.5" hidden="1" customHeight="1" x14ac:dyDescent="0.2">
      <c r="A831" s="105" t="str">
        <f>IF(D831=1,COUNTIF($D$10:D831,1)," ")</f>
        <v xml:space="preserve"> </v>
      </c>
      <c r="B831" s="106" t="str">
        <f>COPY!AR823</f>
        <v/>
      </c>
      <c r="C831" s="107">
        <f>COPY!AC823</f>
        <v>0</v>
      </c>
      <c r="D831" s="107" t="str">
        <f>IF(LEN(Table1722[[#This Row],[Uraian]])&gt;2,1," ")</f>
        <v xml:space="preserve"> </v>
      </c>
      <c r="E831" s="113" t="str">
        <f>IF(Table1722[[#This Row],[Lawan Transaksi]]="CV AGUNG KARYA",COUNTIF($I$10:I831,"CV AGUNG KARYA")," ")</f>
        <v xml:space="preserve"> </v>
      </c>
      <c r="F831" s="107" t="str">
        <f>IF(LEN(Table1722[[#This Row],[Uraian]])&gt;2,TRIM(RIGHT(SUBSTITUTE(TRIM(C831)," ",REPT(" ",255)),255))," ")</f>
        <v xml:space="preserve"> </v>
      </c>
      <c r="G831" s="110">
        <f>COPY!Z823</f>
        <v>0</v>
      </c>
      <c r="H831" s="111" t="str">
        <f>IFERROR(VLOOKUP(Table1722[[#This Row],[Bukti]],'Un nOTA'!$A$4:$K$5003,10,FALSE),"")</f>
        <v/>
      </c>
      <c r="I831" s="112" t="str">
        <f>IFERROR(VLOOKUP(Table1722[[#This Row],[Bukti]],Table13[#Data],11,FALSE),"")</f>
        <v/>
      </c>
    </row>
    <row r="832" spans="1:9" ht="19.5" hidden="1" customHeight="1" x14ac:dyDescent="0.2">
      <c r="A832" s="105" t="str">
        <f>IF(D832=1,COUNTIF($D$10:D832,1)," ")</f>
        <v xml:space="preserve"> </v>
      </c>
      <c r="B832" s="106" t="str">
        <f>COPY!AR824</f>
        <v/>
      </c>
      <c r="C832" s="107">
        <f>COPY!AC824</f>
        <v>0</v>
      </c>
      <c r="D832" s="107" t="str">
        <f>IF(LEN(Table1722[[#This Row],[Uraian]])&gt;2,1," ")</f>
        <v xml:space="preserve"> </v>
      </c>
      <c r="E832" s="113" t="str">
        <f>IF(Table1722[[#This Row],[Lawan Transaksi]]="CV AGUNG KARYA",COUNTIF($I$10:I832,"CV AGUNG KARYA")," ")</f>
        <v xml:space="preserve"> </v>
      </c>
      <c r="F832" s="107" t="str">
        <f>IF(LEN(Table1722[[#This Row],[Uraian]])&gt;2,TRIM(RIGHT(SUBSTITUTE(TRIM(C832)," ",REPT(" ",255)),255))," ")</f>
        <v xml:space="preserve"> </v>
      </c>
      <c r="G832" s="110">
        <f>COPY!Z824</f>
        <v>0</v>
      </c>
      <c r="H832" s="111" t="str">
        <f>IFERROR(VLOOKUP(Table1722[[#This Row],[Bukti]],'Un nOTA'!$A$4:$K$5003,10,FALSE),"")</f>
        <v/>
      </c>
      <c r="I832" s="112" t="str">
        <f>IFERROR(VLOOKUP(Table1722[[#This Row],[Bukti]],Table13[#Data],11,FALSE),"")</f>
        <v/>
      </c>
    </row>
    <row r="833" spans="1:9" ht="19.5" hidden="1" customHeight="1" x14ac:dyDescent="0.2">
      <c r="A833" s="105" t="str">
        <f>IF(D833=1,COUNTIF($D$10:D833,1)," ")</f>
        <v xml:space="preserve"> </v>
      </c>
      <c r="B833" s="106" t="str">
        <f>COPY!AR825</f>
        <v/>
      </c>
      <c r="C833" s="107">
        <f>COPY!AC825</f>
        <v>0</v>
      </c>
      <c r="D833" s="107" t="str">
        <f>IF(LEN(Table1722[[#This Row],[Uraian]])&gt;2,1," ")</f>
        <v xml:space="preserve"> </v>
      </c>
      <c r="E833" s="113" t="str">
        <f>IF(Table1722[[#This Row],[Lawan Transaksi]]="CV AGUNG KARYA",COUNTIF($I$10:I833,"CV AGUNG KARYA")," ")</f>
        <v xml:space="preserve"> </v>
      </c>
      <c r="F833" s="107" t="str">
        <f>IF(LEN(Table1722[[#This Row],[Uraian]])&gt;2,TRIM(RIGHT(SUBSTITUTE(TRIM(C833)," ",REPT(" ",255)),255))," ")</f>
        <v xml:space="preserve"> </v>
      </c>
      <c r="G833" s="110">
        <f>COPY!Z825</f>
        <v>0</v>
      </c>
      <c r="H833" s="111" t="str">
        <f>IFERROR(VLOOKUP(Table1722[[#This Row],[Bukti]],'Un nOTA'!$A$4:$K$5003,10,FALSE),"")</f>
        <v/>
      </c>
      <c r="I833" s="112" t="str">
        <f>IFERROR(VLOOKUP(Table1722[[#This Row],[Bukti]],Table13[#Data],11,FALSE),"")</f>
        <v/>
      </c>
    </row>
    <row r="834" spans="1:9" ht="19.5" hidden="1" customHeight="1" x14ac:dyDescent="0.2">
      <c r="A834" s="105" t="str">
        <f>IF(D834=1,COUNTIF($D$10:D834,1)," ")</f>
        <v xml:space="preserve"> </v>
      </c>
      <c r="B834" s="106" t="str">
        <f>COPY!AR826</f>
        <v/>
      </c>
      <c r="C834" s="107">
        <f>COPY!AC826</f>
        <v>0</v>
      </c>
      <c r="D834" s="107" t="str">
        <f>IF(LEN(Table1722[[#This Row],[Uraian]])&gt;2,1," ")</f>
        <v xml:space="preserve"> </v>
      </c>
      <c r="E834" s="113" t="str">
        <f>IF(Table1722[[#This Row],[Lawan Transaksi]]="CV AGUNG KARYA",COUNTIF($I$10:I834,"CV AGUNG KARYA")," ")</f>
        <v xml:space="preserve"> </v>
      </c>
      <c r="F834" s="107" t="str">
        <f>IF(LEN(Table1722[[#This Row],[Uraian]])&gt;2,TRIM(RIGHT(SUBSTITUTE(TRIM(C834)," ",REPT(" ",255)),255))," ")</f>
        <v xml:space="preserve"> </v>
      </c>
      <c r="G834" s="110">
        <f>COPY!Z826</f>
        <v>0</v>
      </c>
      <c r="H834" s="111" t="str">
        <f>IFERROR(VLOOKUP(Table1722[[#This Row],[Bukti]],'Un nOTA'!$A$4:$K$5003,10,FALSE),"")</f>
        <v/>
      </c>
      <c r="I834" s="112" t="str">
        <f>IFERROR(VLOOKUP(Table1722[[#This Row],[Bukti]],Table13[#Data],11,FALSE),"")</f>
        <v/>
      </c>
    </row>
    <row r="835" spans="1:9" ht="19.5" hidden="1" customHeight="1" x14ac:dyDescent="0.2">
      <c r="A835" s="105" t="str">
        <f>IF(D835=1,COUNTIF($D$10:D835,1)," ")</f>
        <v xml:space="preserve"> </v>
      </c>
      <c r="B835" s="106" t="str">
        <f>COPY!AR827</f>
        <v/>
      </c>
      <c r="C835" s="107">
        <f>COPY!AC827</f>
        <v>0</v>
      </c>
      <c r="D835" s="107" t="str">
        <f>IF(LEN(Table1722[[#This Row],[Uraian]])&gt;2,1," ")</f>
        <v xml:space="preserve"> </v>
      </c>
      <c r="E835" s="113" t="str">
        <f>IF(Table1722[[#This Row],[Lawan Transaksi]]="CV AGUNG KARYA",COUNTIF($I$10:I835,"CV AGUNG KARYA")," ")</f>
        <v xml:space="preserve"> </v>
      </c>
      <c r="F835" s="107" t="str">
        <f>IF(LEN(Table1722[[#This Row],[Uraian]])&gt;2,TRIM(RIGHT(SUBSTITUTE(TRIM(C835)," ",REPT(" ",255)),255))," ")</f>
        <v xml:space="preserve"> </v>
      </c>
      <c r="G835" s="110">
        <f>COPY!Z827</f>
        <v>0</v>
      </c>
      <c r="H835" s="111" t="str">
        <f>IFERROR(VLOOKUP(Table1722[[#This Row],[Bukti]],'Un nOTA'!$A$4:$K$5003,10,FALSE),"")</f>
        <v/>
      </c>
      <c r="I835" s="112" t="str">
        <f>IFERROR(VLOOKUP(Table1722[[#This Row],[Bukti]],Table13[#Data],11,FALSE),"")</f>
        <v/>
      </c>
    </row>
    <row r="836" spans="1:9" ht="19.5" hidden="1" customHeight="1" x14ac:dyDescent="0.2">
      <c r="A836" s="105" t="str">
        <f>IF(D836=1,COUNTIF($D$10:D836,1)," ")</f>
        <v xml:space="preserve"> </v>
      </c>
      <c r="B836" s="106" t="str">
        <f>COPY!AR828</f>
        <v/>
      </c>
      <c r="C836" s="107">
        <f>COPY!AC828</f>
        <v>0</v>
      </c>
      <c r="D836" s="107" t="str">
        <f>IF(LEN(Table1722[[#This Row],[Uraian]])&gt;2,1," ")</f>
        <v xml:space="preserve"> </v>
      </c>
      <c r="E836" s="113" t="str">
        <f>IF(Table1722[[#This Row],[Lawan Transaksi]]="CV AGUNG KARYA",COUNTIF($I$10:I836,"CV AGUNG KARYA")," ")</f>
        <v xml:space="preserve"> </v>
      </c>
      <c r="F836" s="107" t="str">
        <f>IF(LEN(Table1722[[#This Row],[Uraian]])&gt;2,TRIM(RIGHT(SUBSTITUTE(TRIM(C836)," ",REPT(" ",255)),255))," ")</f>
        <v xml:space="preserve"> </v>
      </c>
      <c r="G836" s="110">
        <f>COPY!Z828</f>
        <v>0</v>
      </c>
      <c r="H836" s="111" t="str">
        <f>IFERROR(VLOOKUP(Table1722[[#This Row],[Bukti]],'Un nOTA'!$A$4:$K$5003,10,FALSE),"")</f>
        <v/>
      </c>
      <c r="I836" s="112" t="str">
        <f>IFERROR(VLOOKUP(Table1722[[#This Row],[Bukti]],Table13[#Data],11,FALSE),"")</f>
        <v/>
      </c>
    </row>
    <row r="837" spans="1:9" ht="19.5" hidden="1" customHeight="1" x14ac:dyDescent="0.2">
      <c r="A837" s="114" t="str">
        <f>IF(D837=1,COUNTIF($D$10:D837,1)," ")</f>
        <v xml:space="preserve"> </v>
      </c>
      <c r="B837" s="115" t="str">
        <f>COPY!AR829</f>
        <v/>
      </c>
      <c r="C837" s="116">
        <f>COPY!AC829</f>
        <v>0</v>
      </c>
      <c r="D837" s="107" t="str">
        <f>IF(LEN(Table1722[[#This Row],[Uraian]])&gt;2,1," ")</f>
        <v xml:space="preserve"> </v>
      </c>
      <c r="E837" s="117" t="str">
        <f>IF(Table1722[[#This Row],[Lawan Transaksi]]="CV AGUNG KARYA",COUNTIF($I$10:I837,"CV AGUNG KARYA")," ")</f>
        <v xml:space="preserve"> </v>
      </c>
      <c r="F837" s="116" t="str">
        <f>IF(LEN(Table1722[[#This Row],[Uraian]])&gt;2,TRIM(RIGHT(SUBSTITUTE(TRIM(C837)," ",REPT(" ",255)),255))," ")</f>
        <v xml:space="preserve"> </v>
      </c>
      <c r="G837" s="118">
        <f>COPY!Z829</f>
        <v>0</v>
      </c>
      <c r="H837" s="119" t="str">
        <f>IFERROR(VLOOKUP(Table1722[[#This Row],[Bukti]],'Un nOTA'!$A$4:$K$5003,10,FALSE),"")</f>
        <v/>
      </c>
      <c r="I837" s="112" t="str">
        <f>IFERROR(VLOOKUP(Table1722[[#This Row],[Bukti]],Table13[#Data],11,FALSE),"")</f>
        <v/>
      </c>
    </row>
    <row r="838" spans="1:9" ht="19.5" hidden="1" customHeight="1" x14ac:dyDescent="0.2">
      <c r="A838" s="105" t="str">
        <f>IF(D838=1,COUNTIF($D$10:D838,1)," ")</f>
        <v xml:space="preserve"> </v>
      </c>
      <c r="B838" s="106" t="str">
        <f>COPY!AR830</f>
        <v/>
      </c>
      <c r="C838" s="107">
        <f>COPY!AC830</f>
        <v>0</v>
      </c>
      <c r="D838" s="108" t="str">
        <f>IF(LEN(Table1722[[#This Row],[Uraian]])&gt;2,1," ")</f>
        <v xml:space="preserve"> </v>
      </c>
      <c r="E838" s="109" t="str">
        <f>IF(Table1722[[#This Row],[Lawan Transaksi]]="CV AGUNG KARYA",COUNTIF($I$10:I838,"CV AGUNG KARYA")," ")</f>
        <v xml:space="preserve"> </v>
      </c>
      <c r="F838" s="107" t="str">
        <f>IF(LEN(Table1722[[#This Row],[Uraian]])&gt;2,TRIM(RIGHT(SUBSTITUTE(TRIM(C838)," ",REPT(" ",255)),255))," ")</f>
        <v xml:space="preserve"> </v>
      </c>
      <c r="G838" s="110">
        <f>COPY!Z830</f>
        <v>0</v>
      </c>
      <c r="H838" s="111" t="str">
        <f>IFERROR(VLOOKUP(Table1722[[#This Row],[Bukti]],'Un nOTA'!$A$4:$K$5003,10,FALSE),"")</f>
        <v/>
      </c>
      <c r="I838" s="112" t="str">
        <f>IFERROR(VLOOKUP(Table1722[[#This Row],[Bukti]],Table13[#Data],11,FALSE),"")</f>
        <v/>
      </c>
    </row>
    <row r="839" spans="1:9" ht="19.5" hidden="1" customHeight="1" x14ac:dyDescent="0.2">
      <c r="A839" s="105" t="str">
        <f>IF(D839=1,COUNTIF($D$10:D839,1)," ")</f>
        <v xml:space="preserve"> </v>
      </c>
      <c r="B839" s="106" t="str">
        <f>COPY!AR831</f>
        <v/>
      </c>
      <c r="C839" s="107">
        <f>COPY!AC831</f>
        <v>0</v>
      </c>
      <c r="D839" s="108" t="str">
        <f>IF(LEN(Table1722[[#This Row],[Uraian]])&gt;2,1," ")</f>
        <v xml:space="preserve"> </v>
      </c>
      <c r="E839" s="109" t="str">
        <f>IF(Table1722[[#This Row],[Lawan Transaksi]]="CV AGUNG KARYA",COUNTIF($I$10:I839,"CV AGUNG KARYA")," ")</f>
        <v xml:space="preserve"> </v>
      </c>
      <c r="F839" s="107" t="str">
        <f>IF(LEN(Table1722[[#This Row],[Uraian]])&gt;2,TRIM(RIGHT(SUBSTITUTE(TRIM(C839)," ",REPT(" ",255)),255))," ")</f>
        <v xml:space="preserve"> </v>
      </c>
      <c r="G839" s="110">
        <f>COPY!Z831</f>
        <v>0</v>
      </c>
      <c r="H839" s="111" t="str">
        <f>IFERROR(VLOOKUP(Table1722[[#This Row],[Bukti]],'Un nOTA'!$A$4:$K$5003,10,FALSE),"")</f>
        <v/>
      </c>
      <c r="I839" s="112" t="str">
        <f>IFERROR(VLOOKUP(Table1722[[#This Row],[Bukti]],Table13[#Data],11,FALSE),"")</f>
        <v/>
      </c>
    </row>
    <row r="840" spans="1:9" ht="19.5" hidden="1" customHeight="1" x14ac:dyDescent="0.2">
      <c r="A840" s="105" t="str">
        <f>IF(D840=1,COUNTIF($D$10:D840,1)," ")</f>
        <v xml:space="preserve"> </v>
      </c>
      <c r="B840" s="106" t="str">
        <f>COPY!AR832</f>
        <v/>
      </c>
      <c r="C840" s="107">
        <f>COPY!AC832</f>
        <v>0</v>
      </c>
      <c r="D840" s="107" t="str">
        <f>IF(LEN(Table1722[[#This Row],[Uraian]])&gt;2,1," ")</f>
        <v xml:space="preserve"> </v>
      </c>
      <c r="E840" s="113" t="str">
        <f>IF(Table1722[[#This Row],[Lawan Transaksi]]="CV AGUNG KARYA",COUNTIF($I$10:I840,"CV AGUNG KARYA")," ")</f>
        <v xml:space="preserve"> </v>
      </c>
      <c r="F840" s="107" t="str">
        <f>IF(LEN(Table1722[[#This Row],[Uraian]])&gt;2,TRIM(RIGHT(SUBSTITUTE(TRIM(C840)," ",REPT(" ",255)),255))," ")</f>
        <v xml:space="preserve"> </v>
      </c>
      <c r="G840" s="110">
        <f>COPY!Z832</f>
        <v>0</v>
      </c>
      <c r="H840" s="111" t="str">
        <f>IFERROR(VLOOKUP(Table1722[[#This Row],[Bukti]],'Un nOTA'!$A$4:$K$5003,10,FALSE),"")</f>
        <v/>
      </c>
      <c r="I840" s="112" t="str">
        <f>IFERROR(VLOOKUP(Table1722[[#This Row],[Bukti]],Table13[#Data],11,FALSE),"")</f>
        <v/>
      </c>
    </row>
    <row r="841" spans="1:9" ht="19.5" hidden="1" customHeight="1" x14ac:dyDescent="0.2">
      <c r="A841" s="105" t="str">
        <f>IF(D841=1,COUNTIF($D$10:D841,1)," ")</f>
        <v xml:space="preserve"> </v>
      </c>
      <c r="B841" s="106" t="str">
        <f>COPY!AR833</f>
        <v/>
      </c>
      <c r="C841" s="107">
        <f>COPY!AC833</f>
        <v>0</v>
      </c>
      <c r="D841" s="107" t="str">
        <f>IF(LEN(Table1722[[#This Row],[Uraian]])&gt;2,1," ")</f>
        <v xml:space="preserve"> </v>
      </c>
      <c r="E841" s="113" t="str">
        <f>IF(Table1722[[#This Row],[Lawan Transaksi]]="CV AGUNG KARYA",COUNTIF($I$10:I841,"CV AGUNG KARYA")," ")</f>
        <v xml:space="preserve"> </v>
      </c>
      <c r="F841" s="107" t="str">
        <f>IF(LEN(Table1722[[#This Row],[Uraian]])&gt;2,TRIM(RIGHT(SUBSTITUTE(TRIM(C841)," ",REPT(" ",255)),255))," ")</f>
        <v xml:space="preserve"> </v>
      </c>
      <c r="G841" s="110">
        <f>COPY!Z833</f>
        <v>0</v>
      </c>
      <c r="H841" s="111" t="str">
        <f>IFERROR(VLOOKUP(Table1722[[#This Row],[Bukti]],'Un nOTA'!$A$4:$K$5003,10,FALSE),"")</f>
        <v/>
      </c>
      <c r="I841" s="112" t="str">
        <f>IFERROR(VLOOKUP(Table1722[[#This Row],[Bukti]],Table13[#Data],11,FALSE),"")</f>
        <v/>
      </c>
    </row>
    <row r="842" spans="1:9" ht="19.5" hidden="1" customHeight="1" x14ac:dyDescent="0.2">
      <c r="A842" s="105" t="str">
        <f>IF(D842=1,COUNTIF($D$10:D842,1)," ")</f>
        <v xml:space="preserve"> </v>
      </c>
      <c r="B842" s="106" t="str">
        <f>COPY!AR834</f>
        <v/>
      </c>
      <c r="C842" s="107">
        <f>COPY!AC834</f>
        <v>0</v>
      </c>
      <c r="D842" s="107" t="str">
        <f>IF(LEN(Table1722[[#This Row],[Uraian]])&gt;2,1," ")</f>
        <v xml:space="preserve"> </v>
      </c>
      <c r="E842" s="113" t="str">
        <f>IF(Table1722[[#This Row],[Lawan Transaksi]]="CV AGUNG KARYA",COUNTIF($I$10:I842,"CV AGUNG KARYA")," ")</f>
        <v xml:space="preserve"> </v>
      </c>
      <c r="F842" s="107" t="str">
        <f>IF(LEN(Table1722[[#This Row],[Uraian]])&gt;2,TRIM(RIGHT(SUBSTITUTE(TRIM(C842)," ",REPT(" ",255)),255))," ")</f>
        <v xml:space="preserve"> </v>
      </c>
      <c r="G842" s="110">
        <f>COPY!Z834</f>
        <v>0</v>
      </c>
      <c r="H842" s="111" t="str">
        <f>IFERROR(VLOOKUP(Table1722[[#This Row],[Bukti]],'Un nOTA'!$A$4:$K$5003,10,FALSE),"")</f>
        <v/>
      </c>
      <c r="I842" s="112" t="str">
        <f>IFERROR(VLOOKUP(Table1722[[#This Row],[Bukti]],Table13[#Data],11,FALSE),"")</f>
        <v/>
      </c>
    </row>
    <row r="843" spans="1:9" ht="19.5" hidden="1" customHeight="1" x14ac:dyDescent="0.2">
      <c r="A843" s="105" t="str">
        <f>IF(D843=1,COUNTIF($D$10:D843,1)," ")</f>
        <v xml:space="preserve"> </v>
      </c>
      <c r="B843" s="106" t="str">
        <f>COPY!AR835</f>
        <v/>
      </c>
      <c r="C843" s="107">
        <f>COPY!AC835</f>
        <v>0</v>
      </c>
      <c r="D843" s="107" t="str">
        <f>IF(LEN(Table1722[[#This Row],[Uraian]])&gt;2,1," ")</f>
        <v xml:space="preserve"> </v>
      </c>
      <c r="E843" s="113" t="str">
        <f>IF(Table1722[[#This Row],[Lawan Transaksi]]="CV AGUNG KARYA",COUNTIF($I$10:I843,"CV AGUNG KARYA")," ")</f>
        <v xml:space="preserve"> </v>
      </c>
      <c r="F843" s="107" t="str">
        <f>IF(LEN(Table1722[[#This Row],[Uraian]])&gt;2,TRIM(RIGHT(SUBSTITUTE(TRIM(C843)," ",REPT(" ",255)),255))," ")</f>
        <v xml:space="preserve"> </v>
      </c>
      <c r="G843" s="110">
        <f>COPY!Z835</f>
        <v>0</v>
      </c>
      <c r="H843" s="111" t="str">
        <f>IFERROR(VLOOKUP(Table1722[[#This Row],[Bukti]],'Un nOTA'!$A$4:$K$5003,10,FALSE),"")</f>
        <v/>
      </c>
      <c r="I843" s="112" t="str">
        <f>IFERROR(VLOOKUP(Table1722[[#This Row],[Bukti]],Table13[#Data],11,FALSE),"")</f>
        <v/>
      </c>
    </row>
    <row r="844" spans="1:9" ht="19.5" hidden="1" customHeight="1" x14ac:dyDescent="0.2">
      <c r="A844" s="105" t="str">
        <f>IF(D844=1,COUNTIF($D$10:D844,1)," ")</f>
        <v xml:space="preserve"> </v>
      </c>
      <c r="B844" s="106" t="str">
        <f>COPY!AR836</f>
        <v/>
      </c>
      <c r="C844" s="107">
        <f>COPY!AC836</f>
        <v>0</v>
      </c>
      <c r="D844" s="107" t="str">
        <f>IF(LEN(Table1722[[#This Row],[Uraian]])&gt;2,1," ")</f>
        <v xml:space="preserve"> </v>
      </c>
      <c r="E844" s="113" t="str">
        <f>IF(Table1722[[#This Row],[Lawan Transaksi]]="CV AGUNG KARYA",COUNTIF($I$10:I844,"CV AGUNG KARYA")," ")</f>
        <v xml:space="preserve"> </v>
      </c>
      <c r="F844" s="107" t="str">
        <f>IF(LEN(Table1722[[#This Row],[Uraian]])&gt;2,TRIM(RIGHT(SUBSTITUTE(TRIM(C844)," ",REPT(" ",255)),255))," ")</f>
        <v xml:space="preserve"> </v>
      </c>
      <c r="G844" s="110">
        <f>COPY!Z836</f>
        <v>0</v>
      </c>
      <c r="H844" s="111" t="str">
        <f>IFERROR(VLOOKUP(Table1722[[#This Row],[Bukti]],'Un nOTA'!$A$4:$K$5003,10,FALSE),"")</f>
        <v/>
      </c>
      <c r="I844" s="112" t="str">
        <f>IFERROR(VLOOKUP(Table1722[[#This Row],[Bukti]],Table13[#Data],11,FALSE),"")</f>
        <v/>
      </c>
    </row>
    <row r="845" spans="1:9" ht="19.5" hidden="1" customHeight="1" x14ac:dyDescent="0.2">
      <c r="A845" s="105" t="str">
        <f>IF(D845=1,COUNTIF($D$10:D845,1)," ")</f>
        <v xml:space="preserve"> </v>
      </c>
      <c r="B845" s="106" t="str">
        <f>COPY!AR837</f>
        <v/>
      </c>
      <c r="C845" s="107">
        <f>COPY!AC837</f>
        <v>0</v>
      </c>
      <c r="D845" s="107" t="str">
        <f>IF(LEN(Table1722[[#This Row],[Uraian]])&gt;2,1," ")</f>
        <v xml:space="preserve"> </v>
      </c>
      <c r="E845" s="113" t="str">
        <f>IF(Table1722[[#This Row],[Lawan Transaksi]]="CV AGUNG KARYA",COUNTIF($I$10:I845,"CV AGUNG KARYA")," ")</f>
        <v xml:space="preserve"> </v>
      </c>
      <c r="F845" s="107" t="str">
        <f>IF(LEN(Table1722[[#This Row],[Uraian]])&gt;2,TRIM(RIGHT(SUBSTITUTE(TRIM(C845)," ",REPT(" ",255)),255))," ")</f>
        <v xml:space="preserve"> </v>
      </c>
      <c r="G845" s="110">
        <f>COPY!Z837</f>
        <v>0</v>
      </c>
      <c r="H845" s="111" t="str">
        <f>IFERROR(VLOOKUP(Table1722[[#This Row],[Bukti]],'Un nOTA'!$A$4:$K$5003,10,FALSE),"")</f>
        <v/>
      </c>
      <c r="I845" s="112" t="str">
        <f>IFERROR(VLOOKUP(Table1722[[#This Row],[Bukti]],Table13[#Data],11,FALSE),"")</f>
        <v/>
      </c>
    </row>
    <row r="846" spans="1:9" ht="19.5" hidden="1" customHeight="1" x14ac:dyDescent="0.2">
      <c r="A846" s="105" t="str">
        <f>IF(D846=1,COUNTIF($D$10:D846,1)," ")</f>
        <v xml:space="preserve"> </v>
      </c>
      <c r="B846" s="106" t="str">
        <f>COPY!AR838</f>
        <v/>
      </c>
      <c r="C846" s="107">
        <f>COPY!AC838</f>
        <v>0</v>
      </c>
      <c r="D846" s="107" t="str">
        <f>IF(LEN(Table1722[[#This Row],[Uraian]])&gt;2,1," ")</f>
        <v xml:space="preserve"> </v>
      </c>
      <c r="E846" s="113" t="str">
        <f>IF(Table1722[[#This Row],[Lawan Transaksi]]="CV AGUNG KARYA",COUNTIF($I$10:I846,"CV AGUNG KARYA")," ")</f>
        <v xml:space="preserve"> </v>
      </c>
      <c r="F846" s="107" t="str">
        <f>IF(LEN(Table1722[[#This Row],[Uraian]])&gt;2,TRIM(RIGHT(SUBSTITUTE(TRIM(C846)," ",REPT(" ",255)),255))," ")</f>
        <v xml:space="preserve"> </v>
      </c>
      <c r="G846" s="110">
        <f>COPY!Z838</f>
        <v>0</v>
      </c>
      <c r="H846" s="111" t="str">
        <f>IFERROR(VLOOKUP(Table1722[[#This Row],[Bukti]],'Un nOTA'!$A$4:$K$5003,10,FALSE),"")</f>
        <v/>
      </c>
      <c r="I846" s="112" t="str">
        <f>IFERROR(VLOOKUP(Table1722[[#This Row],[Bukti]],Table13[#Data],11,FALSE),"")</f>
        <v/>
      </c>
    </row>
    <row r="847" spans="1:9" ht="19.5" hidden="1" customHeight="1" x14ac:dyDescent="0.2">
      <c r="A847" s="105" t="str">
        <f>IF(D847=1,COUNTIF($D$10:D847,1)," ")</f>
        <v xml:space="preserve"> </v>
      </c>
      <c r="B847" s="106" t="str">
        <f>COPY!AR839</f>
        <v/>
      </c>
      <c r="C847" s="107">
        <f>COPY!AC839</f>
        <v>0</v>
      </c>
      <c r="D847" s="107" t="str">
        <f>IF(LEN(Table1722[[#This Row],[Uraian]])&gt;2,1," ")</f>
        <v xml:space="preserve"> </v>
      </c>
      <c r="E847" s="113" t="str">
        <f>IF(Table1722[[#This Row],[Lawan Transaksi]]="CV AGUNG KARYA",COUNTIF($I$10:I847,"CV AGUNG KARYA")," ")</f>
        <v xml:space="preserve"> </v>
      </c>
      <c r="F847" s="107" t="str">
        <f>IF(LEN(Table1722[[#This Row],[Uraian]])&gt;2,TRIM(RIGHT(SUBSTITUTE(TRIM(C847)," ",REPT(" ",255)),255))," ")</f>
        <v xml:space="preserve"> </v>
      </c>
      <c r="G847" s="110">
        <f>COPY!Z839</f>
        <v>0</v>
      </c>
      <c r="H847" s="111" t="str">
        <f>IFERROR(VLOOKUP(Table1722[[#This Row],[Bukti]],'Un nOTA'!$A$4:$K$5003,10,FALSE),"")</f>
        <v/>
      </c>
      <c r="I847" s="112" t="str">
        <f>IFERROR(VLOOKUP(Table1722[[#This Row],[Bukti]],Table13[#Data],11,FALSE),"")</f>
        <v/>
      </c>
    </row>
    <row r="848" spans="1:9" ht="19.5" hidden="1" customHeight="1" x14ac:dyDescent="0.2">
      <c r="A848" s="105" t="str">
        <f>IF(D848=1,COUNTIF($D$10:D848,1)," ")</f>
        <v xml:space="preserve"> </v>
      </c>
      <c r="B848" s="106" t="str">
        <f>COPY!AR840</f>
        <v/>
      </c>
      <c r="C848" s="107">
        <f>COPY!AC840</f>
        <v>0</v>
      </c>
      <c r="D848" s="107" t="str">
        <f>IF(LEN(Table1722[[#This Row],[Uraian]])&gt;2,1," ")</f>
        <v xml:space="preserve"> </v>
      </c>
      <c r="E848" s="113" t="str">
        <f>IF(Table1722[[#This Row],[Lawan Transaksi]]="CV AGUNG KARYA",COUNTIF($I$10:I848,"CV AGUNG KARYA")," ")</f>
        <v xml:space="preserve"> </v>
      </c>
      <c r="F848" s="107" t="str">
        <f>IF(LEN(Table1722[[#This Row],[Uraian]])&gt;2,TRIM(RIGHT(SUBSTITUTE(TRIM(C848)," ",REPT(" ",255)),255))," ")</f>
        <v xml:space="preserve"> </v>
      </c>
      <c r="G848" s="110">
        <f>COPY!Z840</f>
        <v>0</v>
      </c>
      <c r="H848" s="111" t="str">
        <f>IFERROR(VLOOKUP(Table1722[[#This Row],[Bukti]],'Un nOTA'!$A$4:$K$5003,10,FALSE),"")</f>
        <v/>
      </c>
      <c r="I848" s="112" t="str">
        <f>IFERROR(VLOOKUP(Table1722[[#This Row],[Bukti]],Table13[#Data],11,FALSE),"")</f>
        <v/>
      </c>
    </row>
    <row r="849" spans="1:9" ht="19.5" hidden="1" customHeight="1" x14ac:dyDescent="0.2">
      <c r="A849" s="105" t="str">
        <f>IF(D849=1,COUNTIF($D$10:D849,1)," ")</f>
        <v xml:space="preserve"> </v>
      </c>
      <c r="B849" s="106" t="str">
        <f>COPY!AR841</f>
        <v/>
      </c>
      <c r="C849" s="107">
        <f>COPY!AC841</f>
        <v>0</v>
      </c>
      <c r="D849" s="107" t="str">
        <f>IF(LEN(Table1722[[#This Row],[Uraian]])&gt;2,1," ")</f>
        <v xml:space="preserve"> </v>
      </c>
      <c r="E849" s="113" t="str">
        <f>IF(Table1722[[#This Row],[Lawan Transaksi]]="CV AGUNG KARYA",COUNTIF($I$10:I849,"CV AGUNG KARYA")," ")</f>
        <v xml:space="preserve"> </v>
      </c>
      <c r="F849" s="107" t="str">
        <f>IF(LEN(Table1722[[#This Row],[Uraian]])&gt;2,TRIM(RIGHT(SUBSTITUTE(TRIM(C849)," ",REPT(" ",255)),255))," ")</f>
        <v xml:space="preserve"> </v>
      </c>
      <c r="G849" s="110">
        <f>COPY!Z841</f>
        <v>0</v>
      </c>
      <c r="H849" s="111" t="str">
        <f>IFERROR(VLOOKUP(Table1722[[#This Row],[Bukti]],'Un nOTA'!$A$4:$K$5003,10,FALSE),"")</f>
        <v/>
      </c>
      <c r="I849" s="112" t="str">
        <f>IFERROR(VLOOKUP(Table1722[[#This Row],[Bukti]],Table13[#Data],11,FALSE),"")</f>
        <v/>
      </c>
    </row>
    <row r="850" spans="1:9" ht="19.5" hidden="1" customHeight="1" x14ac:dyDescent="0.2">
      <c r="A850" s="105" t="str">
        <f>IF(D850=1,COUNTIF($D$10:D850,1)," ")</f>
        <v xml:space="preserve"> </v>
      </c>
      <c r="B850" s="106" t="str">
        <f>COPY!AR842</f>
        <v/>
      </c>
      <c r="C850" s="107">
        <f>COPY!AC842</f>
        <v>0</v>
      </c>
      <c r="D850" s="107" t="str">
        <f>IF(LEN(Table1722[[#This Row],[Uraian]])&gt;2,1," ")</f>
        <v xml:space="preserve"> </v>
      </c>
      <c r="E850" s="113" t="str">
        <f>IF(Table1722[[#This Row],[Lawan Transaksi]]="CV AGUNG KARYA",COUNTIF($I$10:I850,"CV AGUNG KARYA")," ")</f>
        <v xml:space="preserve"> </v>
      </c>
      <c r="F850" s="107" t="str">
        <f>IF(LEN(Table1722[[#This Row],[Uraian]])&gt;2,TRIM(RIGHT(SUBSTITUTE(TRIM(C850)," ",REPT(" ",255)),255))," ")</f>
        <v xml:space="preserve"> </v>
      </c>
      <c r="G850" s="110">
        <f>COPY!Z842</f>
        <v>0</v>
      </c>
      <c r="H850" s="111" t="str">
        <f>IFERROR(VLOOKUP(Table1722[[#This Row],[Bukti]],'Un nOTA'!$A$4:$K$5003,10,FALSE),"")</f>
        <v/>
      </c>
      <c r="I850" s="112" t="str">
        <f>IFERROR(VLOOKUP(Table1722[[#This Row],[Bukti]],Table13[#Data],11,FALSE),"")</f>
        <v/>
      </c>
    </row>
    <row r="851" spans="1:9" ht="19.5" hidden="1" customHeight="1" x14ac:dyDescent="0.2">
      <c r="A851" s="105" t="str">
        <f>IF(D851=1,COUNTIF($D$10:D851,1)," ")</f>
        <v xml:space="preserve"> </v>
      </c>
      <c r="B851" s="106" t="str">
        <f>COPY!AR843</f>
        <v/>
      </c>
      <c r="C851" s="107">
        <f>COPY!AC843</f>
        <v>0</v>
      </c>
      <c r="D851" s="107" t="str">
        <f>IF(LEN(Table1722[[#This Row],[Uraian]])&gt;2,1," ")</f>
        <v xml:space="preserve"> </v>
      </c>
      <c r="E851" s="113" t="str">
        <f>IF(Table1722[[#This Row],[Lawan Transaksi]]="CV AGUNG KARYA",COUNTIF($I$10:I851,"CV AGUNG KARYA")," ")</f>
        <v xml:space="preserve"> </v>
      </c>
      <c r="F851" s="107" t="str">
        <f>IF(LEN(Table1722[[#This Row],[Uraian]])&gt;2,TRIM(RIGHT(SUBSTITUTE(TRIM(C851)," ",REPT(" ",255)),255))," ")</f>
        <v xml:space="preserve"> </v>
      </c>
      <c r="G851" s="110">
        <f>COPY!Z843</f>
        <v>0</v>
      </c>
      <c r="H851" s="111" t="str">
        <f>IFERROR(VLOOKUP(Table1722[[#This Row],[Bukti]],'Un nOTA'!$A$4:$K$5003,10,FALSE),"")</f>
        <v/>
      </c>
      <c r="I851" s="112" t="str">
        <f>IFERROR(VLOOKUP(Table1722[[#This Row],[Bukti]],Table13[#Data],11,FALSE),"")</f>
        <v/>
      </c>
    </row>
    <row r="852" spans="1:9" ht="19.5" hidden="1" customHeight="1" x14ac:dyDescent="0.2">
      <c r="A852" s="105" t="str">
        <f>IF(D852=1,COUNTIF($D$10:D852,1)," ")</f>
        <v xml:space="preserve"> </v>
      </c>
      <c r="B852" s="106" t="str">
        <f>COPY!AR844</f>
        <v/>
      </c>
      <c r="C852" s="107">
        <f>COPY!AC844</f>
        <v>0</v>
      </c>
      <c r="D852" s="107" t="str">
        <f>IF(LEN(Table1722[[#This Row],[Uraian]])&gt;2,1," ")</f>
        <v xml:space="preserve"> </v>
      </c>
      <c r="E852" s="113" t="str">
        <f>IF(Table1722[[#This Row],[Lawan Transaksi]]="CV AGUNG KARYA",COUNTIF($I$10:I852,"CV AGUNG KARYA")," ")</f>
        <v xml:space="preserve"> </v>
      </c>
      <c r="F852" s="107" t="str">
        <f>IF(LEN(Table1722[[#This Row],[Uraian]])&gt;2,TRIM(RIGHT(SUBSTITUTE(TRIM(C852)," ",REPT(" ",255)),255))," ")</f>
        <v xml:space="preserve"> </v>
      </c>
      <c r="G852" s="110">
        <f>COPY!Z844</f>
        <v>0</v>
      </c>
      <c r="H852" s="111" t="str">
        <f>IFERROR(VLOOKUP(Table1722[[#This Row],[Bukti]],'Un nOTA'!$A$4:$K$5003,10,FALSE),"")</f>
        <v/>
      </c>
      <c r="I852" s="112" t="str">
        <f>IFERROR(VLOOKUP(Table1722[[#This Row],[Bukti]],Table13[#Data],11,FALSE),"")</f>
        <v/>
      </c>
    </row>
    <row r="853" spans="1:9" ht="19.5" hidden="1" customHeight="1" x14ac:dyDescent="0.2">
      <c r="A853" s="105" t="str">
        <f>IF(D853=1,COUNTIF($D$10:D853,1)," ")</f>
        <v xml:space="preserve"> </v>
      </c>
      <c r="B853" s="106" t="str">
        <f>COPY!AR845</f>
        <v/>
      </c>
      <c r="C853" s="107">
        <f>COPY!AC845</f>
        <v>0</v>
      </c>
      <c r="D853" s="107" t="str">
        <f>IF(LEN(Table1722[[#This Row],[Uraian]])&gt;2,1," ")</f>
        <v xml:space="preserve"> </v>
      </c>
      <c r="E853" s="113" t="str">
        <f>IF(Table1722[[#This Row],[Lawan Transaksi]]="CV AGUNG KARYA",COUNTIF($I$10:I853,"CV AGUNG KARYA")," ")</f>
        <v xml:space="preserve"> </v>
      </c>
      <c r="F853" s="107" t="str">
        <f>IF(LEN(Table1722[[#This Row],[Uraian]])&gt;2,TRIM(RIGHT(SUBSTITUTE(TRIM(C853)," ",REPT(" ",255)),255))," ")</f>
        <v xml:space="preserve"> </v>
      </c>
      <c r="G853" s="110">
        <f>COPY!Z845</f>
        <v>0</v>
      </c>
      <c r="H853" s="111" t="str">
        <f>IFERROR(VLOOKUP(Table1722[[#This Row],[Bukti]],'Un nOTA'!$A$4:$K$5003,10,FALSE),"")</f>
        <v/>
      </c>
      <c r="I853" s="112" t="str">
        <f>IFERROR(VLOOKUP(Table1722[[#This Row],[Bukti]],Table13[#Data],11,FALSE),"")</f>
        <v/>
      </c>
    </row>
    <row r="854" spans="1:9" ht="19.5" hidden="1" customHeight="1" x14ac:dyDescent="0.2">
      <c r="A854" s="105" t="str">
        <f>IF(D854=1,COUNTIF($D$10:D854,1)," ")</f>
        <v xml:space="preserve"> </v>
      </c>
      <c r="B854" s="106" t="str">
        <f>COPY!AR846</f>
        <v/>
      </c>
      <c r="C854" s="107">
        <f>COPY!AC846</f>
        <v>0</v>
      </c>
      <c r="D854" s="107" t="str">
        <f>IF(LEN(Table1722[[#This Row],[Uraian]])&gt;2,1," ")</f>
        <v xml:space="preserve"> </v>
      </c>
      <c r="E854" s="113" t="str">
        <f>IF(Table1722[[#This Row],[Lawan Transaksi]]="CV AGUNG KARYA",COUNTIF($I$10:I854,"CV AGUNG KARYA")," ")</f>
        <v xml:space="preserve"> </v>
      </c>
      <c r="F854" s="107" t="str">
        <f>IF(LEN(Table1722[[#This Row],[Uraian]])&gt;2,TRIM(RIGHT(SUBSTITUTE(TRIM(C854)," ",REPT(" ",255)),255))," ")</f>
        <v xml:space="preserve"> </v>
      </c>
      <c r="G854" s="110">
        <f>COPY!Z846</f>
        <v>0</v>
      </c>
      <c r="H854" s="111" t="str">
        <f>IFERROR(VLOOKUP(Table1722[[#This Row],[Bukti]],'Un nOTA'!$A$4:$K$5003,10,FALSE),"")</f>
        <v/>
      </c>
      <c r="I854" s="112" t="str">
        <f>IFERROR(VLOOKUP(Table1722[[#This Row],[Bukti]],Table13[#Data],11,FALSE),"")</f>
        <v/>
      </c>
    </row>
    <row r="855" spans="1:9" ht="19.5" hidden="1" customHeight="1" x14ac:dyDescent="0.2">
      <c r="A855" s="105" t="str">
        <f>IF(D855=1,COUNTIF($D$10:D855,1)," ")</f>
        <v xml:space="preserve"> </v>
      </c>
      <c r="B855" s="106" t="str">
        <f>COPY!AR847</f>
        <v/>
      </c>
      <c r="C855" s="107">
        <f>COPY!AC847</f>
        <v>0</v>
      </c>
      <c r="D855" s="107" t="str">
        <f>IF(LEN(Table1722[[#This Row],[Uraian]])&gt;2,1," ")</f>
        <v xml:space="preserve"> </v>
      </c>
      <c r="E855" s="113" t="str">
        <f>IF(Table1722[[#This Row],[Lawan Transaksi]]="CV AGUNG KARYA",COUNTIF($I$10:I855,"CV AGUNG KARYA")," ")</f>
        <v xml:space="preserve"> </v>
      </c>
      <c r="F855" s="107" t="str">
        <f>IF(LEN(Table1722[[#This Row],[Uraian]])&gt;2,TRIM(RIGHT(SUBSTITUTE(TRIM(C855)," ",REPT(" ",255)),255))," ")</f>
        <v xml:space="preserve"> </v>
      </c>
      <c r="G855" s="110">
        <f>COPY!Z847</f>
        <v>0</v>
      </c>
      <c r="H855" s="111" t="str">
        <f>IFERROR(VLOOKUP(Table1722[[#This Row],[Bukti]],'Un nOTA'!$A$4:$K$5003,10,FALSE),"")</f>
        <v/>
      </c>
      <c r="I855" s="112" t="str">
        <f>IFERROR(VLOOKUP(Table1722[[#This Row],[Bukti]],Table13[#Data],11,FALSE),"")</f>
        <v/>
      </c>
    </row>
    <row r="856" spans="1:9" ht="19.5" hidden="1" customHeight="1" x14ac:dyDescent="0.2">
      <c r="A856" s="105" t="str">
        <f>IF(D856=1,COUNTIF($D$10:D856,1)," ")</f>
        <v xml:space="preserve"> </v>
      </c>
      <c r="B856" s="106" t="str">
        <f>COPY!AR848</f>
        <v/>
      </c>
      <c r="C856" s="107">
        <f>COPY!AC848</f>
        <v>0</v>
      </c>
      <c r="D856" s="107" t="str">
        <f>IF(LEN(Table1722[[#This Row],[Uraian]])&gt;2,1," ")</f>
        <v xml:space="preserve"> </v>
      </c>
      <c r="E856" s="113" t="str">
        <f>IF(Table1722[[#This Row],[Lawan Transaksi]]="CV AGUNG KARYA",COUNTIF($I$10:I856,"CV AGUNG KARYA")," ")</f>
        <v xml:space="preserve"> </v>
      </c>
      <c r="F856" s="107" t="str">
        <f>IF(LEN(Table1722[[#This Row],[Uraian]])&gt;2,TRIM(RIGHT(SUBSTITUTE(TRIM(C856)," ",REPT(" ",255)),255))," ")</f>
        <v xml:space="preserve"> </v>
      </c>
      <c r="G856" s="110">
        <f>COPY!Z848</f>
        <v>0</v>
      </c>
      <c r="H856" s="111" t="str">
        <f>IFERROR(VLOOKUP(Table1722[[#This Row],[Bukti]],'Un nOTA'!$A$4:$K$5003,10,FALSE),"")</f>
        <v/>
      </c>
      <c r="I856" s="112" t="str">
        <f>IFERROR(VLOOKUP(Table1722[[#This Row],[Bukti]],Table13[#Data],11,FALSE),"")</f>
        <v/>
      </c>
    </row>
    <row r="857" spans="1:9" ht="19.5" hidden="1" customHeight="1" x14ac:dyDescent="0.2">
      <c r="A857" s="105" t="str">
        <f>IF(D857=1,COUNTIF($D$10:D857,1)," ")</f>
        <v xml:space="preserve"> </v>
      </c>
      <c r="B857" s="106" t="str">
        <f>COPY!AR849</f>
        <v/>
      </c>
      <c r="C857" s="107">
        <f>COPY!AC849</f>
        <v>0</v>
      </c>
      <c r="D857" s="107" t="str">
        <f>IF(LEN(Table1722[[#This Row],[Uraian]])&gt;2,1," ")</f>
        <v xml:space="preserve"> </v>
      </c>
      <c r="E857" s="113" t="str">
        <f>IF(Table1722[[#This Row],[Lawan Transaksi]]="CV AGUNG KARYA",COUNTIF($I$10:I857,"CV AGUNG KARYA")," ")</f>
        <v xml:space="preserve"> </v>
      </c>
      <c r="F857" s="107" t="str">
        <f>IF(LEN(Table1722[[#This Row],[Uraian]])&gt;2,TRIM(RIGHT(SUBSTITUTE(TRIM(C857)," ",REPT(" ",255)),255))," ")</f>
        <v xml:space="preserve"> </v>
      </c>
      <c r="G857" s="110">
        <f>COPY!Z849</f>
        <v>0</v>
      </c>
      <c r="H857" s="111" t="str">
        <f>IFERROR(VLOOKUP(Table1722[[#This Row],[Bukti]],'Un nOTA'!$A$4:$K$5003,10,FALSE),"")</f>
        <v/>
      </c>
      <c r="I857" s="112" t="str">
        <f>IFERROR(VLOOKUP(Table1722[[#This Row],[Bukti]],Table13[#Data],11,FALSE),"")</f>
        <v/>
      </c>
    </row>
    <row r="858" spans="1:9" ht="19.5" hidden="1" customHeight="1" x14ac:dyDescent="0.2">
      <c r="A858" s="105" t="str">
        <f>IF(D858=1,COUNTIF($D$10:D858,1)," ")</f>
        <v xml:space="preserve"> </v>
      </c>
      <c r="B858" s="106" t="str">
        <f>COPY!AR850</f>
        <v/>
      </c>
      <c r="C858" s="107">
        <f>COPY!AC850</f>
        <v>0</v>
      </c>
      <c r="D858" s="107" t="str">
        <f>IF(LEN(Table1722[[#This Row],[Uraian]])&gt;2,1," ")</f>
        <v xml:space="preserve"> </v>
      </c>
      <c r="E858" s="113" t="str">
        <f>IF(Table1722[[#This Row],[Lawan Transaksi]]="CV AGUNG KARYA",COUNTIF($I$10:I858,"CV AGUNG KARYA")," ")</f>
        <v xml:space="preserve"> </v>
      </c>
      <c r="F858" s="107" t="str">
        <f>IF(LEN(Table1722[[#This Row],[Uraian]])&gt;2,TRIM(RIGHT(SUBSTITUTE(TRIM(C858)," ",REPT(" ",255)),255))," ")</f>
        <v xml:space="preserve"> </v>
      </c>
      <c r="G858" s="110">
        <f>COPY!Z850</f>
        <v>0</v>
      </c>
      <c r="H858" s="111" t="str">
        <f>IFERROR(VLOOKUP(Table1722[[#This Row],[Bukti]],'Un nOTA'!$A$4:$K$5003,10,FALSE),"")</f>
        <v/>
      </c>
      <c r="I858" s="112" t="str">
        <f>IFERROR(VLOOKUP(Table1722[[#This Row],[Bukti]],Table13[#Data],11,FALSE),"")</f>
        <v/>
      </c>
    </row>
    <row r="859" spans="1:9" ht="19.5" hidden="1" customHeight="1" x14ac:dyDescent="0.2">
      <c r="A859" s="105" t="str">
        <f>IF(D859=1,COUNTIF($D$10:D859,1)," ")</f>
        <v xml:space="preserve"> </v>
      </c>
      <c r="B859" s="106" t="str">
        <f>COPY!AR851</f>
        <v/>
      </c>
      <c r="C859" s="107">
        <f>COPY!AC851</f>
        <v>0</v>
      </c>
      <c r="D859" s="107" t="str">
        <f>IF(LEN(Table1722[[#This Row],[Uraian]])&gt;2,1," ")</f>
        <v xml:space="preserve"> </v>
      </c>
      <c r="E859" s="113" t="str">
        <f>IF(Table1722[[#This Row],[Lawan Transaksi]]="CV AGUNG KARYA",COUNTIF($I$10:I859,"CV AGUNG KARYA")," ")</f>
        <v xml:space="preserve"> </v>
      </c>
      <c r="F859" s="107" t="str">
        <f>IF(LEN(Table1722[[#This Row],[Uraian]])&gt;2,TRIM(RIGHT(SUBSTITUTE(TRIM(C859)," ",REPT(" ",255)),255))," ")</f>
        <v xml:space="preserve"> </v>
      </c>
      <c r="G859" s="110">
        <f>COPY!Z851</f>
        <v>0</v>
      </c>
      <c r="H859" s="111" t="str">
        <f>IFERROR(VLOOKUP(Table1722[[#This Row],[Bukti]],'Un nOTA'!$A$4:$K$5003,10,FALSE),"")</f>
        <v/>
      </c>
      <c r="I859" s="112" t="str">
        <f>IFERROR(VLOOKUP(Table1722[[#This Row],[Bukti]],Table13[#Data],11,FALSE),"")</f>
        <v/>
      </c>
    </row>
    <row r="860" spans="1:9" ht="19.5" hidden="1" customHeight="1" x14ac:dyDescent="0.2">
      <c r="A860" s="105" t="str">
        <f>IF(D860=1,COUNTIF($D$10:D860,1)," ")</f>
        <v xml:space="preserve"> </v>
      </c>
      <c r="B860" s="106" t="str">
        <f>COPY!AR852</f>
        <v/>
      </c>
      <c r="C860" s="107">
        <f>COPY!AC852</f>
        <v>0</v>
      </c>
      <c r="D860" s="107" t="str">
        <f>IF(LEN(Table1722[[#This Row],[Uraian]])&gt;2,1," ")</f>
        <v xml:space="preserve"> </v>
      </c>
      <c r="E860" s="113" t="str">
        <f>IF(Table1722[[#This Row],[Lawan Transaksi]]="CV AGUNG KARYA",COUNTIF($I$10:I860,"CV AGUNG KARYA")," ")</f>
        <v xml:space="preserve"> </v>
      </c>
      <c r="F860" s="107" t="str">
        <f>IF(LEN(Table1722[[#This Row],[Uraian]])&gt;2,TRIM(RIGHT(SUBSTITUTE(TRIM(C860)," ",REPT(" ",255)),255))," ")</f>
        <v xml:space="preserve"> </v>
      </c>
      <c r="G860" s="110">
        <f>COPY!Z852</f>
        <v>0</v>
      </c>
      <c r="H860" s="111" t="str">
        <f>IFERROR(VLOOKUP(Table1722[[#This Row],[Bukti]],'Un nOTA'!$A$4:$K$5003,10,FALSE),"")</f>
        <v/>
      </c>
      <c r="I860" s="112" t="str">
        <f>IFERROR(VLOOKUP(Table1722[[#This Row],[Bukti]],Table13[#Data],11,FALSE),"")</f>
        <v/>
      </c>
    </row>
    <row r="861" spans="1:9" ht="19.5" hidden="1" customHeight="1" x14ac:dyDescent="0.2">
      <c r="A861" s="105" t="str">
        <f>IF(D861=1,COUNTIF($D$10:D861,1)," ")</f>
        <v xml:space="preserve"> </v>
      </c>
      <c r="B861" s="106" t="str">
        <f>COPY!AR853</f>
        <v/>
      </c>
      <c r="C861" s="107">
        <f>COPY!AC853</f>
        <v>0</v>
      </c>
      <c r="D861" s="107" t="str">
        <f>IF(LEN(Table1722[[#This Row],[Uraian]])&gt;2,1," ")</f>
        <v xml:space="preserve"> </v>
      </c>
      <c r="E861" s="113" t="str">
        <f>IF(Table1722[[#This Row],[Lawan Transaksi]]="CV AGUNG KARYA",COUNTIF($I$10:I861,"CV AGUNG KARYA")," ")</f>
        <v xml:space="preserve"> </v>
      </c>
      <c r="F861" s="107" t="str">
        <f>IF(LEN(Table1722[[#This Row],[Uraian]])&gt;2,TRIM(RIGHT(SUBSTITUTE(TRIM(C861)," ",REPT(" ",255)),255))," ")</f>
        <v xml:space="preserve"> </v>
      </c>
      <c r="G861" s="110">
        <f>COPY!Z853</f>
        <v>0</v>
      </c>
      <c r="H861" s="111" t="str">
        <f>IFERROR(VLOOKUP(Table1722[[#This Row],[Bukti]],'Un nOTA'!$A$4:$K$5003,10,FALSE),"")</f>
        <v/>
      </c>
      <c r="I861" s="112" t="str">
        <f>IFERROR(VLOOKUP(Table1722[[#This Row],[Bukti]],Table13[#Data],11,FALSE),"")</f>
        <v/>
      </c>
    </row>
    <row r="862" spans="1:9" ht="19.5" hidden="1" customHeight="1" x14ac:dyDescent="0.2">
      <c r="A862" s="105" t="str">
        <f>IF(D862=1,COUNTIF($D$10:D862,1)," ")</f>
        <v xml:space="preserve"> </v>
      </c>
      <c r="B862" s="106" t="str">
        <f>COPY!AR854</f>
        <v/>
      </c>
      <c r="C862" s="107">
        <f>COPY!AC854</f>
        <v>0</v>
      </c>
      <c r="D862" s="107" t="str">
        <f>IF(LEN(Table1722[[#This Row],[Uraian]])&gt;2,1," ")</f>
        <v xml:space="preserve"> </v>
      </c>
      <c r="E862" s="113" t="str">
        <f>IF(Table1722[[#This Row],[Lawan Transaksi]]="CV AGUNG KARYA",COUNTIF($I$10:I862,"CV AGUNG KARYA")," ")</f>
        <v xml:space="preserve"> </v>
      </c>
      <c r="F862" s="107" t="str">
        <f>IF(LEN(Table1722[[#This Row],[Uraian]])&gt;2,TRIM(RIGHT(SUBSTITUTE(TRIM(C862)," ",REPT(" ",255)),255))," ")</f>
        <v xml:space="preserve"> </v>
      </c>
      <c r="G862" s="110">
        <f>COPY!Z854</f>
        <v>0</v>
      </c>
      <c r="H862" s="111" t="str">
        <f>IFERROR(VLOOKUP(Table1722[[#This Row],[Bukti]],'Un nOTA'!$A$4:$K$5003,10,FALSE),"")</f>
        <v/>
      </c>
      <c r="I862" s="112" t="str">
        <f>IFERROR(VLOOKUP(Table1722[[#This Row],[Bukti]],Table13[#Data],11,FALSE),"")</f>
        <v/>
      </c>
    </row>
    <row r="863" spans="1:9" ht="19.5" hidden="1" customHeight="1" x14ac:dyDescent="0.2">
      <c r="A863" s="105" t="str">
        <f>IF(D863=1,COUNTIF($D$10:D863,1)," ")</f>
        <v xml:space="preserve"> </v>
      </c>
      <c r="B863" s="106" t="str">
        <f>COPY!AR855</f>
        <v/>
      </c>
      <c r="C863" s="107">
        <f>COPY!AC855</f>
        <v>0</v>
      </c>
      <c r="D863" s="107" t="str">
        <f>IF(LEN(Table1722[[#This Row],[Uraian]])&gt;2,1," ")</f>
        <v xml:space="preserve"> </v>
      </c>
      <c r="E863" s="113" t="str">
        <f>IF(Table1722[[#This Row],[Lawan Transaksi]]="CV AGUNG KARYA",COUNTIF($I$10:I863,"CV AGUNG KARYA")," ")</f>
        <v xml:space="preserve"> </v>
      </c>
      <c r="F863" s="107" t="str">
        <f>IF(LEN(Table1722[[#This Row],[Uraian]])&gt;2,TRIM(RIGHT(SUBSTITUTE(TRIM(C863)," ",REPT(" ",255)),255))," ")</f>
        <v xml:space="preserve"> </v>
      </c>
      <c r="G863" s="110">
        <f>COPY!Z855</f>
        <v>0</v>
      </c>
      <c r="H863" s="111" t="str">
        <f>IFERROR(VLOOKUP(Table1722[[#This Row],[Bukti]],'Un nOTA'!$A$4:$K$5003,10,FALSE),"")</f>
        <v/>
      </c>
      <c r="I863" s="112" t="str">
        <f>IFERROR(VLOOKUP(Table1722[[#This Row],[Bukti]],Table13[#Data],11,FALSE),"")</f>
        <v/>
      </c>
    </row>
    <row r="864" spans="1:9" ht="19.5" hidden="1" customHeight="1" x14ac:dyDescent="0.2">
      <c r="A864" s="105" t="str">
        <f>IF(D864=1,COUNTIF($D$10:D864,1)," ")</f>
        <v xml:space="preserve"> </v>
      </c>
      <c r="B864" s="106" t="str">
        <f>COPY!AR856</f>
        <v/>
      </c>
      <c r="C864" s="107">
        <f>COPY!AC856</f>
        <v>0</v>
      </c>
      <c r="D864" s="107" t="str">
        <f>IF(LEN(Table1722[[#This Row],[Uraian]])&gt;2,1," ")</f>
        <v xml:space="preserve"> </v>
      </c>
      <c r="E864" s="113" t="str">
        <f>IF(Table1722[[#This Row],[Lawan Transaksi]]="CV AGUNG KARYA",COUNTIF($I$10:I864,"CV AGUNG KARYA")," ")</f>
        <v xml:space="preserve"> </v>
      </c>
      <c r="F864" s="107" t="str">
        <f>IF(LEN(Table1722[[#This Row],[Uraian]])&gt;2,TRIM(RIGHT(SUBSTITUTE(TRIM(C864)," ",REPT(" ",255)),255))," ")</f>
        <v xml:space="preserve"> </v>
      </c>
      <c r="G864" s="110">
        <f>COPY!Z856</f>
        <v>0</v>
      </c>
      <c r="H864" s="111" t="str">
        <f>IFERROR(VLOOKUP(Table1722[[#This Row],[Bukti]],'Un nOTA'!$A$4:$K$5003,10,FALSE),"")</f>
        <v/>
      </c>
      <c r="I864" s="112" t="str">
        <f>IFERROR(VLOOKUP(Table1722[[#This Row],[Bukti]],Table13[#Data],11,FALSE),"")</f>
        <v/>
      </c>
    </row>
    <row r="865" spans="1:9" ht="19.5" hidden="1" customHeight="1" x14ac:dyDescent="0.2">
      <c r="A865" s="105" t="str">
        <f>IF(D865=1,COUNTIF($D$10:D865,1)," ")</f>
        <v xml:space="preserve"> </v>
      </c>
      <c r="B865" s="106" t="str">
        <f>COPY!AR857</f>
        <v/>
      </c>
      <c r="C865" s="107">
        <f>COPY!AC857</f>
        <v>0</v>
      </c>
      <c r="D865" s="107" t="str">
        <f>IF(LEN(Table1722[[#This Row],[Uraian]])&gt;2,1," ")</f>
        <v xml:space="preserve"> </v>
      </c>
      <c r="E865" s="113" t="str">
        <f>IF(Table1722[[#This Row],[Lawan Transaksi]]="CV AGUNG KARYA",COUNTIF($I$10:I865,"CV AGUNG KARYA")," ")</f>
        <v xml:space="preserve"> </v>
      </c>
      <c r="F865" s="107" t="str">
        <f>IF(LEN(Table1722[[#This Row],[Uraian]])&gt;2,TRIM(RIGHT(SUBSTITUTE(TRIM(C865)," ",REPT(" ",255)),255))," ")</f>
        <v xml:space="preserve"> </v>
      </c>
      <c r="G865" s="110">
        <f>COPY!Z857</f>
        <v>0</v>
      </c>
      <c r="H865" s="111" t="str">
        <f>IFERROR(VLOOKUP(Table1722[[#This Row],[Bukti]],'Un nOTA'!$A$4:$K$5003,10,FALSE),"")</f>
        <v/>
      </c>
      <c r="I865" s="112" t="str">
        <f>IFERROR(VLOOKUP(Table1722[[#This Row],[Bukti]],Table13[#Data],11,FALSE),"")</f>
        <v/>
      </c>
    </row>
    <row r="866" spans="1:9" ht="19.5" hidden="1" customHeight="1" x14ac:dyDescent="0.2">
      <c r="A866" s="105" t="str">
        <f>IF(D866=1,COUNTIF($D$10:D866,1)," ")</f>
        <v xml:space="preserve"> </v>
      </c>
      <c r="B866" s="106" t="str">
        <f>COPY!AR858</f>
        <v/>
      </c>
      <c r="C866" s="107">
        <f>COPY!AC858</f>
        <v>0</v>
      </c>
      <c r="D866" s="107" t="str">
        <f>IF(LEN(Table1722[[#This Row],[Uraian]])&gt;2,1," ")</f>
        <v xml:space="preserve"> </v>
      </c>
      <c r="E866" s="113" t="str">
        <f>IF(Table1722[[#This Row],[Lawan Transaksi]]="CV AGUNG KARYA",COUNTIF($I$10:I866,"CV AGUNG KARYA")," ")</f>
        <v xml:space="preserve"> </v>
      </c>
      <c r="F866" s="107" t="str">
        <f>IF(LEN(Table1722[[#This Row],[Uraian]])&gt;2,TRIM(RIGHT(SUBSTITUTE(TRIM(C866)," ",REPT(" ",255)),255))," ")</f>
        <v xml:space="preserve"> </v>
      </c>
      <c r="G866" s="110">
        <f>COPY!Z858</f>
        <v>0</v>
      </c>
      <c r="H866" s="111" t="str">
        <f>IFERROR(VLOOKUP(Table1722[[#This Row],[Bukti]],'Un nOTA'!$A$4:$K$5003,10,FALSE),"")</f>
        <v/>
      </c>
      <c r="I866" s="112" t="str">
        <f>IFERROR(VLOOKUP(Table1722[[#This Row],[Bukti]],Table13[#Data],11,FALSE),"")</f>
        <v/>
      </c>
    </row>
    <row r="867" spans="1:9" ht="19.5" hidden="1" customHeight="1" x14ac:dyDescent="0.2">
      <c r="A867" s="105" t="str">
        <f>IF(D867=1,COUNTIF($D$10:D867,1)," ")</f>
        <v xml:space="preserve"> </v>
      </c>
      <c r="B867" s="106" t="str">
        <f>COPY!AR859</f>
        <v/>
      </c>
      <c r="C867" s="107">
        <f>COPY!AC859</f>
        <v>0</v>
      </c>
      <c r="D867" s="107" t="str">
        <f>IF(LEN(Table1722[[#This Row],[Uraian]])&gt;2,1," ")</f>
        <v xml:space="preserve"> </v>
      </c>
      <c r="E867" s="113" t="str">
        <f>IF(Table1722[[#This Row],[Lawan Transaksi]]="CV AGUNG KARYA",COUNTIF($I$10:I867,"CV AGUNG KARYA")," ")</f>
        <v xml:space="preserve"> </v>
      </c>
      <c r="F867" s="107" t="str">
        <f>IF(LEN(Table1722[[#This Row],[Uraian]])&gt;2,TRIM(RIGHT(SUBSTITUTE(TRIM(C867)," ",REPT(" ",255)),255))," ")</f>
        <v xml:space="preserve"> </v>
      </c>
      <c r="G867" s="110">
        <f>COPY!Z859</f>
        <v>0</v>
      </c>
      <c r="H867" s="111" t="str">
        <f>IFERROR(VLOOKUP(Table1722[[#This Row],[Bukti]],'Un nOTA'!$A$4:$K$5003,10,FALSE),"")</f>
        <v/>
      </c>
      <c r="I867" s="112" t="str">
        <f>IFERROR(VLOOKUP(Table1722[[#This Row],[Bukti]],Table13[#Data],11,FALSE),"")</f>
        <v/>
      </c>
    </row>
    <row r="868" spans="1:9" ht="19.5" hidden="1" customHeight="1" x14ac:dyDescent="0.2">
      <c r="A868" s="105" t="str">
        <f>IF(D868=1,COUNTIF($D$10:D868,1)," ")</f>
        <v xml:space="preserve"> </v>
      </c>
      <c r="B868" s="106" t="str">
        <f>COPY!AR860</f>
        <v/>
      </c>
      <c r="C868" s="107">
        <f>COPY!AC860</f>
        <v>0</v>
      </c>
      <c r="D868" s="107" t="str">
        <f>IF(LEN(Table1722[[#This Row],[Uraian]])&gt;2,1," ")</f>
        <v xml:space="preserve"> </v>
      </c>
      <c r="E868" s="113" t="str">
        <f>IF(Table1722[[#This Row],[Lawan Transaksi]]="CV AGUNG KARYA",COUNTIF($I$10:I868,"CV AGUNG KARYA")," ")</f>
        <v xml:space="preserve"> </v>
      </c>
      <c r="F868" s="107" t="str">
        <f>IF(LEN(Table1722[[#This Row],[Uraian]])&gt;2,TRIM(RIGHT(SUBSTITUTE(TRIM(C868)," ",REPT(" ",255)),255))," ")</f>
        <v xml:space="preserve"> </v>
      </c>
      <c r="G868" s="110">
        <f>COPY!Z860</f>
        <v>0</v>
      </c>
      <c r="H868" s="111" t="str">
        <f>IFERROR(VLOOKUP(Table1722[[#This Row],[Bukti]],'Un nOTA'!$A$4:$K$5003,10,FALSE),"")</f>
        <v/>
      </c>
      <c r="I868" s="112" t="str">
        <f>IFERROR(VLOOKUP(Table1722[[#This Row],[Bukti]],Table13[#Data],11,FALSE),"")</f>
        <v/>
      </c>
    </row>
    <row r="869" spans="1:9" ht="19.5" hidden="1" customHeight="1" x14ac:dyDescent="0.2">
      <c r="A869" s="105" t="str">
        <f>IF(D869=1,COUNTIF($D$10:D869,1)," ")</f>
        <v xml:space="preserve"> </v>
      </c>
      <c r="B869" s="106" t="str">
        <f>COPY!AR861</f>
        <v/>
      </c>
      <c r="C869" s="107">
        <f>COPY!AC861</f>
        <v>0</v>
      </c>
      <c r="D869" s="107" t="str">
        <f>IF(LEN(Table1722[[#This Row],[Uraian]])&gt;2,1," ")</f>
        <v xml:space="preserve"> </v>
      </c>
      <c r="E869" s="113" t="str">
        <f>IF(Table1722[[#This Row],[Lawan Transaksi]]="CV AGUNG KARYA",COUNTIF($I$10:I869,"CV AGUNG KARYA")," ")</f>
        <v xml:space="preserve"> </v>
      </c>
      <c r="F869" s="107" t="str">
        <f>IF(LEN(Table1722[[#This Row],[Uraian]])&gt;2,TRIM(RIGHT(SUBSTITUTE(TRIM(C869)," ",REPT(" ",255)),255))," ")</f>
        <v xml:space="preserve"> </v>
      </c>
      <c r="G869" s="110">
        <f>COPY!Z861</f>
        <v>0</v>
      </c>
      <c r="H869" s="111" t="str">
        <f>IFERROR(VLOOKUP(Table1722[[#This Row],[Bukti]],'Un nOTA'!$A$4:$K$5003,10,FALSE),"")</f>
        <v/>
      </c>
      <c r="I869" s="112" t="str">
        <f>IFERROR(VLOOKUP(Table1722[[#This Row],[Bukti]],Table13[#Data],11,FALSE),"")</f>
        <v/>
      </c>
    </row>
    <row r="870" spans="1:9" ht="19.5" hidden="1" customHeight="1" x14ac:dyDescent="0.2">
      <c r="A870" s="105" t="str">
        <f>IF(D870=1,COUNTIF($D$10:D870,1)," ")</f>
        <v xml:space="preserve"> </v>
      </c>
      <c r="B870" s="106" t="str">
        <f>COPY!AR862</f>
        <v/>
      </c>
      <c r="C870" s="107">
        <f>COPY!AC862</f>
        <v>0</v>
      </c>
      <c r="D870" s="107" t="str">
        <f>IF(LEN(Table1722[[#This Row],[Uraian]])&gt;2,1," ")</f>
        <v xml:space="preserve"> </v>
      </c>
      <c r="E870" s="113" t="str">
        <f>IF(Table1722[[#This Row],[Lawan Transaksi]]="CV AGUNG KARYA",COUNTIF($I$10:I870,"CV AGUNG KARYA")," ")</f>
        <v xml:space="preserve"> </v>
      </c>
      <c r="F870" s="107" t="str">
        <f>IF(LEN(Table1722[[#This Row],[Uraian]])&gt;2,TRIM(RIGHT(SUBSTITUTE(TRIM(C870)," ",REPT(" ",255)),255))," ")</f>
        <v xml:space="preserve"> </v>
      </c>
      <c r="G870" s="110">
        <f>COPY!Z862</f>
        <v>0</v>
      </c>
      <c r="H870" s="111" t="str">
        <f>IFERROR(VLOOKUP(Table1722[[#This Row],[Bukti]],'Un nOTA'!$A$4:$K$5003,10,FALSE),"")</f>
        <v/>
      </c>
      <c r="I870" s="112" t="str">
        <f>IFERROR(VLOOKUP(Table1722[[#This Row],[Bukti]],Table13[#Data],11,FALSE),"")</f>
        <v/>
      </c>
    </row>
    <row r="871" spans="1:9" ht="19.5" hidden="1" customHeight="1" x14ac:dyDescent="0.2">
      <c r="A871" s="105" t="str">
        <f>IF(D871=1,COUNTIF($D$10:D871,1)," ")</f>
        <v xml:space="preserve"> </v>
      </c>
      <c r="B871" s="106" t="str">
        <f>COPY!AR863</f>
        <v/>
      </c>
      <c r="C871" s="107">
        <f>COPY!AC863</f>
        <v>0</v>
      </c>
      <c r="D871" s="107" t="str">
        <f>IF(LEN(Table1722[[#This Row],[Uraian]])&gt;2,1," ")</f>
        <v xml:space="preserve"> </v>
      </c>
      <c r="E871" s="113" t="str">
        <f>IF(Table1722[[#This Row],[Lawan Transaksi]]="CV AGUNG KARYA",COUNTIF($I$10:I871,"CV AGUNG KARYA")," ")</f>
        <v xml:space="preserve"> </v>
      </c>
      <c r="F871" s="107" t="str">
        <f>IF(LEN(Table1722[[#This Row],[Uraian]])&gt;2,TRIM(RIGHT(SUBSTITUTE(TRIM(C871)," ",REPT(" ",255)),255))," ")</f>
        <v xml:space="preserve"> </v>
      </c>
      <c r="G871" s="110">
        <f>COPY!Z863</f>
        <v>0</v>
      </c>
      <c r="H871" s="111" t="str">
        <f>IFERROR(VLOOKUP(Table1722[[#This Row],[Bukti]],'Un nOTA'!$A$4:$K$5003,10,FALSE),"")</f>
        <v/>
      </c>
      <c r="I871" s="112" t="str">
        <f>IFERROR(VLOOKUP(Table1722[[#This Row],[Bukti]],Table13[#Data],11,FALSE),"")</f>
        <v/>
      </c>
    </row>
    <row r="872" spans="1:9" ht="19.5" hidden="1" customHeight="1" x14ac:dyDescent="0.2">
      <c r="A872" s="105" t="str">
        <f>IF(D872=1,COUNTIF($D$10:D872,1)," ")</f>
        <v xml:space="preserve"> </v>
      </c>
      <c r="B872" s="106" t="str">
        <f>COPY!AR864</f>
        <v/>
      </c>
      <c r="C872" s="107">
        <f>COPY!AC864</f>
        <v>0</v>
      </c>
      <c r="D872" s="107" t="str">
        <f>IF(LEN(Table1722[[#This Row],[Uraian]])&gt;2,1," ")</f>
        <v xml:space="preserve"> </v>
      </c>
      <c r="E872" s="113" t="str">
        <f>IF(Table1722[[#This Row],[Lawan Transaksi]]="CV AGUNG KARYA",COUNTIF($I$10:I872,"CV AGUNG KARYA")," ")</f>
        <v xml:space="preserve"> </v>
      </c>
      <c r="F872" s="107" t="str">
        <f>IF(LEN(Table1722[[#This Row],[Uraian]])&gt;2,TRIM(RIGHT(SUBSTITUTE(TRIM(C872)," ",REPT(" ",255)),255))," ")</f>
        <v xml:space="preserve"> </v>
      </c>
      <c r="G872" s="110">
        <f>COPY!Z864</f>
        <v>0</v>
      </c>
      <c r="H872" s="111" t="str">
        <f>IFERROR(VLOOKUP(Table1722[[#This Row],[Bukti]],'Un nOTA'!$A$4:$K$5003,10,FALSE),"")</f>
        <v/>
      </c>
      <c r="I872" s="112" t="str">
        <f>IFERROR(VLOOKUP(Table1722[[#This Row],[Bukti]],Table13[#Data],11,FALSE),"")</f>
        <v/>
      </c>
    </row>
    <row r="873" spans="1:9" ht="19.5" hidden="1" customHeight="1" x14ac:dyDescent="0.2">
      <c r="A873" s="105" t="str">
        <f>IF(D873=1,COUNTIF($D$10:D873,1)," ")</f>
        <v xml:space="preserve"> </v>
      </c>
      <c r="B873" s="106" t="str">
        <f>COPY!AR865</f>
        <v/>
      </c>
      <c r="C873" s="107">
        <f>COPY!AC865</f>
        <v>0</v>
      </c>
      <c r="D873" s="107" t="str">
        <f>IF(LEN(Table1722[[#This Row],[Uraian]])&gt;2,1," ")</f>
        <v xml:space="preserve"> </v>
      </c>
      <c r="E873" s="113" t="str">
        <f>IF(Table1722[[#This Row],[Lawan Transaksi]]="CV AGUNG KARYA",COUNTIF($I$10:I873,"CV AGUNG KARYA")," ")</f>
        <v xml:space="preserve"> </v>
      </c>
      <c r="F873" s="107" t="str">
        <f>IF(LEN(Table1722[[#This Row],[Uraian]])&gt;2,TRIM(RIGHT(SUBSTITUTE(TRIM(C873)," ",REPT(" ",255)),255))," ")</f>
        <v xml:space="preserve"> </v>
      </c>
      <c r="G873" s="110">
        <f>COPY!Z865</f>
        <v>0</v>
      </c>
      <c r="H873" s="111" t="str">
        <f>IFERROR(VLOOKUP(Table1722[[#This Row],[Bukti]],'Un nOTA'!$A$4:$K$5003,10,FALSE),"")</f>
        <v/>
      </c>
      <c r="I873" s="112" t="str">
        <f>IFERROR(VLOOKUP(Table1722[[#This Row],[Bukti]],Table13[#Data],11,FALSE),"")</f>
        <v/>
      </c>
    </row>
    <row r="874" spans="1:9" ht="19.5" hidden="1" customHeight="1" x14ac:dyDescent="0.2">
      <c r="A874" s="105" t="str">
        <f>IF(D874=1,COUNTIF($D$10:D874,1)," ")</f>
        <v xml:space="preserve"> </v>
      </c>
      <c r="B874" s="106" t="str">
        <f>COPY!AR866</f>
        <v/>
      </c>
      <c r="C874" s="107">
        <f>COPY!AC866</f>
        <v>0</v>
      </c>
      <c r="D874" s="107" t="str">
        <f>IF(LEN(Table1722[[#This Row],[Uraian]])&gt;2,1," ")</f>
        <v xml:space="preserve"> </v>
      </c>
      <c r="E874" s="113" t="str">
        <f>IF(Table1722[[#This Row],[Lawan Transaksi]]="CV AGUNG KARYA",COUNTIF($I$10:I874,"CV AGUNG KARYA")," ")</f>
        <v xml:space="preserve"> </v>
      </c>
      <c r="F874" s="107" t="str">
        <f>IF(LEN(Table1722[[#This Row],[Uraian]])&gt;2,TRIM(RIGHT(SUBSTITUTE(TRIM(C874)," ",REPT(" ",255)),255))," ")</f>
        <v xml:space="preserve"> </v>
      </c>
      <c r="G874" s="110">
        <f>COPY!Z866</f>
        <v>0</v>
      </c>
      <c r="H874" s="111" t="str">
        <f>IFERROR(VLOOKUP(Table1722[[#This Row],[Bukti]],'Un nOTA'!$A$4:$K$5003,10,FALSE),"")</f>
        <v/>
      </c>
      <c r="I874" s="112" t="str">
        <f>IFERROR(VLOOKUP(Table1722[[#This Row],[Bukti]],Table13[#Data],11,FALSE),"")</f>
        <v/>
      </c>
    </row>
    <row r="875" spans="1:9" ht="19.5" hidden="1" customHeight="1" x14ac:dyDescent="0.2">
      <c r="A875" s="105" t="str">
        <f>IF(D875=1,COUNTIF($D$10:D875,1)," ")</f>
        <v xml:space="preserve"> </v>
      </c>
      <c r="B875" s="106" t="str">
        <f>COPY!AR867</f>
        <v/>
      </c>
      <c r="C875" s="107">
        <f>COPY!AC867</f>
        <v>0</v>
      </c>
      <c r="D875" s="107" t="str">
        <f>IF(LEN(Table1722[[#This Row],[Uraian]])&gt;2,1," ")</f>
        <v xml:space="preserve"> </v>
      </c>
      <c r="E875" s="113" t="str">
        <f>IF(Table1722[[#This Row],[Lawan Transaksi]]="CV AGUNG KARYA",COUNTIF($I$10:I875,"CV AGUNG KARYA")," ")</f>
        <v xml:space="preserve"> </v>
      </c>
      <c r="F875" s="107" t="str">
        <f>IF(LEN(Table1722[[#This Row],[Uraian]])&gt;2,TRIM(RIGHT(SUBSTITUTE(TRIM(C875)," ",REPT(" ",255)),255))," ")</f>
        <v xml:space="preserve"> </v>
      </c>
      <c r="G875" s="110">
        <f>COPY!Z867</f>
        <v>0</v>
      </c>
      <c r="H875" s="111" t="str">
        <f>IFERROR(VLOOKUP(Table1722[[#This Row],[Bukti]],'Un nOTA'!$A$4:$K$5003,10,FALSE),"")</f>
        <v/>
      </c>
      <c r="I875" s="112" t="str">
        <f>IFERROR(VLOOKUP(Table1722[[#This Row],[Bukti]],Table13[#Data],11,FALSE),"")</f>
        <v/>
      </c>
    </row>
    <row r="876" spans="1:9" ht="19.5" hidden="1" customHeight="1" x14ac:dyDescent="0.2">
      <c r="A876" s="105" t="str">
        <f>IF(D876=1,COUNTIF($D$10:D876,1)," ")</f>
        <v xml:space="preserve"> </v>
      </c>
      <c r="B876" s="106" t="str">
        <f>COPY!AR868</f>
        <v/>
      </c>
      <c r="C876" s="107">
        <f>COPY!AC868</f>
        <v>0</v>
      </c>
      <c r="D876" s="107" t="str">
        <f>IF(LEN(Table1722[[#This Row],[Uraian]])&gt;2,1," ")</f>
        <v xml:space="preserve"> </v>
      </c>
      <c r="E876" s="113" t="str">
        <f>IF(Table1722[[#This Row],[Lawan Transaksi]]="CV AGUNG KARYA",COUNTIF($I$10:I876,"CV AGUNG KARYA")," ")</f>
        <v xml:space="preserve"> </v>
      </c>
      <c r="F876" s="107" t="str">
        <f>IF(LEN(Table1722[[#This Row],[Uraian]])&gt;2,TRIM(RIGHT(SUBSTITUTE(TRIM(C876)," ",REPT(" ",255)),255))," ")</f>
        <v xml:space="preserve"> </v>
      </c>
      <c r="G876" s="110">
        <f>COPY!Z868</f>
        <v>0</v>
      </c>
      <c r="H876" s="111" t="str">
        <f>IFERROR(VLOOKUP(Table1722[[#This Row],[Bukti]],'Un nOTA'!$A$4:$K$5003,10,FALSE),"")</f>
        <v/>
      </c>
      <c r="I876" s="112" t="str">
        <f>IFERROR(VLOOKUP(Table1722[[#This Row],[Bukti]],Table13[#Data],11,FALSE),"")</f>
        <v/>
      </c>
    </row>
    <row r="877" spans="1:9" ht="19.5" hidden="1" customHeight="1" x14ac:dyDescent="0.2">
      <c r="A877" s="105" t="str">
        <f>IF(D877=1,COUNTIF($D$10:D877,1)," ")</f>
        <v xml:space="preserve"> </v>
      </c>
      <c r="B877" s="106" t="str">
        <f>COPY!AR869</f>
        <v/>
      </c>
      <c r="C877" s="107">
        <f>COPY!AC869</f>
        <v>0</v>
      </c>
      <c r="D877" s="107" t="str">
        <f>IF(LEN(Table1722[[#This Row],[Uraian]])&gt;2,1," ")</f>
        <v xml:space="preserve"> </v>
      </c>
      <c r="E877" s="113" t="str">
        <f>IF(Table1722[[#This Row],[Lawan Transaksi]]="CV AGUNG KARYA",COUNTIF($I$10:I877,"CV AGUNG KARYA")," ")</f>
        <v xml:space="preserve"> </v>
      </c>
      <c r="F877" s="107" t="str">
        <f>IF(LEN(Table1722[[#This Row],[Uraian]])&gt;2,TRIM(RIGHT(SUBSTITUTE(TRIM(C877)," ",REPT(" ",255)),255))," ")</f>
        <v xml:space="preserve"> </v>
      </c>
      <c r="G877" s="110">
        <f>COPY!Z869</f>
        <v>0</v>
      </c>
      <c r="H877" s="111" t="str">
        <f>IFERROR(VLOOKUP(Table1722[[#This Row],[Bukti]],'Un nOTA'!$A$4:$K$5003,10,FALSE),"")</f>
        <v/>
      </c>
      <c r="I877" s="112" t="str">
        <f>IFERROR(VLOOKUP(Table1722[[#This Row],[Bukti]],Table13[#Data],11,FALSE),"")</f>
        <v/>
      </c>
    </row>
    <row r="878" spans="1:9" ht="19.5" hidden="1" customHeight="1" x14ac:dyDescent="0.2">
      <c r="A878" s="105" t="str">
        <f>IF(D878=1,COUNTIF($D$10:D878,1)," ")</f>
        <v xml:space="preserve"> </v>
      </c>
      <c r="B878" s="106" t="str">
        <f>COPY!AR870</f>
        <v/>
      </c>
      <c r="C878" s="107">
        <f>COPY!AC870</f>
        <v>0</v>
      </c>
      <c r="D878" s="107" t="str">
        <f>IF(LEN(Table1722[[#This Row],[Uraian]])&gt;2,1," ")</f>
        <v xml:space="preserve"> </v>
      </c>
      <c r="E878" s="113" t="str">
        <f>IF(Table1722[[#This Row],[Lawan Transaksi]]="CV AGUNG KARYA",COUNTIF($I$10:I878,"CV AGUNG KARYA")," ")</f>
        <v xml:space="preserve"> </v>
      </c>
      <c r="F878" s="107" t="str">
        <f>IF(LEN(Table1722[[#This Row],[Uraian]])&gt;2,TRIM(RIGHT(SUBSTITUTE(TRIM(C878)," ",REPT(" ",255)),255))," ")</f>
        <v xml:space="preserve"> </v>
      </c>
      <c r="G878" s="110">
        <f>COPY!Z870</f>
        <v>0</v>
      </c>
      <c r="H878" s="111" t="str">
        <f>IFERROR(VLOOKUP(Table1722[[#This Row],[Bukti]],'Un nOTA'!$A$4:$K$5003,10,FALSE),"")</f>
        <v/>
      </c>
      <c r="I878" s="112" t="str">
        <f>IFERROR(VLOOKUP(Table1722[[#This Row],[Bukti]],Table13[#Data],11,FALSE),"")</f>
        <v/>
      </c>
    </row>
    <row r="879" spans="1:9" ht="19.5" hidden="1" customHeight="1" x14ac:dyDescent="0.2">
      <c r="A879" s="105" t="str">
        <f>IF(D879=1,COUNTIF($D$10:D879,1)," ")</f>
        <v xml:space="preserve"> </v>
      </c>
      <c r="B879" s="106" t="str">
        <f>COPY!AR871</f>
        <v/>
      </c>
      <c r="C879" s="107">
        <f>COPY!AC871</f>
        <v>0</v>
      </c>
      <c r="D879" s="107" t="str">
        <f>IF(LEN(Table1722[[#This Row],[Uraian]])&gt;2,1," ")</f>
        <v xml:space="preserve"> </v>
      </c>
      <c r="E879" s="113" t="str">
        <f>IF(Table1722[[#This Row],[Lawan Transaksi]]="CV AGUNG KARYA",COUNTIF($I$10:I879,"CV AGUNG KARYA")," ")</f>
        <v xml:space="preserve"> </v>
      </c>
      <c r="F879" s="107" t="str">
        <f>IF(LEN(Table1722[[#This Row],[Uraian]])&gt;2,TRIM(RIGHT(SUBSTITUTE(TRIM(C879)," ",REPT(" ",255)),255))," ")</f>
        <v xml:space="preserve"> </v>
      </c>
      <c r="G879" s="110">
        <f>COPY!Z871</f>
        <v>0</v>
      </c>
      <c r="H879" s="111" t="str">
        <f>IFERROR(VLOOKUP(Table1722[[#This Row],[Bukti]],'Un nOTA'!$A$4:$K$5003,10,FALSE),"")</f>
        <v/>
      </c>
      <c r="I879" s="112" t="str">
        <f>IFERROR(VLOOKUP(Table1722[[#This Row],[Bukti]],Table13[#Data],11,FALSE),"")</f>
        <v/>
      </c>
    </row>
    <row r="880" spans="1:9" ht="19.5" hidden="1" customHeight="1" x14ac:dyDescent="0.2">
      <c r="A880" s="105" t="str">
        <f>IF(D880=1,COUNTIF($D$10:D880,1)," ")</f>
        <v xml:space="preserve"> </v>
      </c>
      <c r="B880" s="106" t="str">
        <f>COPY!AR872</f>
        <v/>
      </c>
      <c r="C880" s="107">
        <f>COPY!AC872</f>
        <v>0</v>
      </c>
      <c r="D880" s="107" t="str">
        <f>IF(LEN(Table1722[[#This Row],[Uraian]])&gt;2,1," ")</f>
        <v xml:space="preserve"> </v>
      </c>
      <c r="E880" s="113" t="str">
        <f>IF(Table1722[[#This Row],[Lawan Transaksi]]="CV AGUNG KARYA",COUNTIF($I$10:I880,"CV AGUNG KARYA")," ")</f>
        <v xml:space="preserve"> </v>
      </c>
      <c r="F880" s="107" t="str">
        <f>IF(LEN(Table1722[[#This Row],[Uraian]])&gt;2,TRIM(RIGHT(SUBSTITUTE(TRIM(C880)," ",REPT(" ",255)),255))," ")</f>
        <v xml:space="preserve"> </v>
      </c>
      <c r="G880" s="110">
        <f>COPY!Z872</f>
        <v>0</v>
      </c>
      <c r="H880" s="111" t="str">
        <f>IFERROR(VLOOKUP(Table1722[[#This Row],[Bukti]],'Un nOTA'!$A$4:$K$5003,10,FALSE),"")</f>
        <v/>
      </c>
      <c r="I880" s="112" t="str">
        <f>IFERROR(VLOOKUP(Table1722[[#This Row],[Bukti]],Table13[#Data],11,FALSE),"")</f>
        <v/>
      </c>
    </row>
    <row r="881" spans="1:9" ht="19.5" hidden="1" customHeight="1" x14ac:dyDescent="0.2">
      <c r="A881" s="105" t="str">
        <f>IF(D881=1,COUNTIF($D$10:D881,1)," ")</f>
        <v xml:space="preserve"> </v>
      </c>
      <c r="B881" s="106" t="str">
        <f>COPY!AR873</f>
        <v/>
      </c>
      <c r="C881" s="107">
        <f>COPY!AC873</f>
        <v>0</v>
      </c>
      <c r="D881" s="107" t="str">
        <f>IF(LEN(Table1722[[#This Row],[Uraian]])&gt;2,1," ")</f>
        <v xml:space="preserve"> </v>
      </c>
      <c r="E881" s="113" t="str">
        <f>IF(Table1722[[#This Row],[Lawan Transaksi]]="CV AGUNG KARYA",COUNTIF($I$10:I881,"CV AGUNG KARYA")," ")</f>
        <v xml:space="preserve"> </v>
      </c>
      <c r="F881" s="107" t="str">
        <f>IF(LEN(Table1722[[#This Row],[Uraian]])&gt;2,TRIM(RIGHT(SUBSTITUTE(TRIM(C881)," ",REPT(" ",255)),255))," ")</f>
        <v xml:space="preserve"> </v>
      </c>
      <c r="G881" s="110">
        <f>COPY!Z873</f>
        <v>0</v>
      </c>
      <c r="H881" s="111" t="str">
        <f>IFERROR(VLOOKUP(Table1722[[#This Row],[Bukti]],'Un nOTA'!$A$4:$K$5003,10,FALSE),"")</f>
        <v/>
      </c>
      <c r="I881" s="112" t="str">
        <f>IFERROR(VLOOKUP(Table1722[[#This Row],[Bukti]],Table13[#Data],11,FALSE),"")</f>
        <v/>
      </c>
    </row>
    <row r="882" spans="1:9" ht="19.5" hidden="1" customHeight="1" x14ac:dyDescent="0.2">
      <c r="A882" s="105" t="str">
        <f>IF(D882=1,COUNTIF($D$10:D882,1)," ")</f>
        <v xml:space="preserve"> </v>
      </c>
      <c r="B882" s="106" t="str">
        <f>COPY!AR874</f>
        <v/>
      </c>
      <c r="C882" s="107">
        <f>COPY!AC874</f>
        <v>0</v>
      </c>
      <c r="D882" s="107" t="str">
        <f>IF(LEN(Table1722[[#This Row],[Uraian]])&gt;2,1," ")</f>
        <v xml:space="preserve"> </v>
      </c>
      <c r="E882" s="113" t="str">
        <f>IF(Table1722[[#This Row],[Lawan Transaksi]]="CV AGUNG KARYA",COUNTIF($I$10:I882,"CV AGUNG KARYA")," ")</f>
        <v xml:space="preserve"> </v>
      </c>
      <c r="F882" s="107" t="str">
        <f>IF(LEN(Table1722[[#This Row],[Uraian]])&gt;2,TRIM(RIGHT(SUBSTITUTE(TRIM(C882)," ",REPT(" ",255)),255))," ")</f>
        <v xml:space="preserve"> </v>
      </c>
      <c r="G882" s="110">
        <f>COPY!Z874</f>
        <v>0</v>
      </c>
      <c r="H882" s="111" t="str">
        <f>IFERROR(VLOOKUP(Table1722[[#This Row],[Bukti]],'Un nOTA'!$A$4:$K$5003,10,FALSE),"")</f>
        <v/>
      </c>
      <c r="I882" s="112" t="str">
        <f>IFERROR(VLOOKUP(Table1722[[#This Row],[Bukti]],Table13[#Data],11,FALSE),"")</f>
        <v/>
      </c>
    </row>
    <row r="883" spans="1:9" ht="19.5" hidden="1" customHeight="1" x14ac:dyDescent="0.2">
      <c r="A883" s="105" t="str">
        <f>IF(D883=1,COUNTIF($D$10:D883,1)," ")</f>
        <v xml:space="preserve"> </v>
      </c>
      <c r="B883" s="106" t="str">
        <f>COPY!AR875</f>
        <v/>
      </c>
      <c r="C883" s="107">
        <f>COPY!AC875</f>
        <v>0</v>
      </c>
      <c r="D883" s="107" t="str">
        <f>IF(LEN(Table1722[[#This Row],[Uraian]])&gt;2,1," ")</f>
        <v xml:space="preserve"> </v>
      </c>
      <c r="E883" s="113" t="str">
        <f>IF(Table1722[[#This Row],[Lawan Transaksi]]="CV AGUNG KARYA",COUNTIF($I$10:I883,"CV AGUNG KARYA")," ")</f>
        <v xml:space="preserve"> </v>
      </c>
      <c r="F883" s="107" t="str">
        <f>IF(LEN(Table1722[[#This Row],[Uraian]])&gt;2,TRIM(RIGHT(SUBSTITUTE(TRIM(C883)," ",REPT(" ",255)),255))," ")</f>
        <v xml:space="preserve"> </v>
      </c>
      <c r="G883" s="110">
        <f>COPY!Z875</f>
        <v>0</v>
      </c>
      <c r="H883" s="111" t="str">
        <f>IFERROR(VLOOKUP(Table1722[[#This Row],[Bukti]],'Un nOTA'!$A$4:$K$5003,10,FALSE),"")</f>
        <v/>
      </c>
      <c r="I883" s="112" t="str">
        <f>IFERROR(VLOOKUP(Table1722[[#This Row],[Bukti]],Table13[#Data],11,FALSE),"")</f>
        <v/>
      </c>
    </row>
    <row r="884" spans="1:9" ht="19.5" hidden="1" customHeight="1" x14ac:dyDescent="0.2">
      <c r="A884" s="105" t="str">
        <f>IF(D884=1,COUNTIF($D$10:D884,1)," ")</f>
        <v xml:space="preserve"> </v>
      </c>
      <c r="B884" s="106" t="str">
        <f>COPY!AR876</f>
        <v/>
      </c>
      <c r="C884" s="107">
        <f>COPY!AC876</f>
        <v>0</v>
      </c>
      <c r="D884" s="107" t="str">
        <f>IF(LEN(Table1722[[#This Row],[Uraian]])&gt;2,1," ")</f>
        <v xml:space="preserve"> </v>
      </c>
      <c r="E884" s="113" t="str">
        <f>IF(Table1722[[#This Row],[Lawan Transaksi]]="CV AGUNG KARYA",COUNTIF($I$10:I884,"CV AGUNG KARYA")," ")</f>
        <v xml:space="preserve"> </v>
      </c>
      <c r="F884" s="107" t="str">
        <f>IF(LEN(Table1722[[#This Row],[Uraian]])&gt;2,TRIM(RIGHT(SUBSTITUTE(TRIM(C884)," ",REPT(" ",255)),255))," ")</f>
        <v xml:space="preserve"> </v>
      </c>
      <c r="G884" s="110">
        <f>COPY!Z876</f>
        <v>0</v>
      </c>
      <c r="H884" s="111" t="str">
        <f>IFERROR(VLOOKUP(Table1722[[#This Row],[Bukti]],'Un nOTA'!$A$4:$K$5003,10,FALSE),"")</f>
        <v/>
      </c>
      <c r="I884" s="112" t="str">
        <f>IFERROR(VLOOKUP(Table1722[[#This Row],[Bukti]],Table13[#Data],11,FALSE),"")</f>
        <v/>
      </c>
    </row>
    <row r="885" spans="1:9" ht="19.5" hidden="1" customHeight="1" x14ac:dyDescent="0.2">
      <c r="A885" s="105" t="str">
        <f>IF(D885=1,COUNTIF($D$10:D885,1)," ")</f>
        <v xml:space="preserve"> </v>
      </c>
      <c r="B885" s="106" t="str">
        <f>COPY!AR877</f>
        <v/>
      </c>
      <c r="C885" s="107">
        <f>COPY!AC877</f>
        <v>0</v>
      </c>
      <c r="D885" s="107" t="str">
        <f>IF(LEN(Table1722[[#This Row],[Uraian]])&gt;2,1," ")</f>
        <v xml:space="preserve"> </v>
      </c>
      <c r="E885" s="113" t="str">
        <f>IF(Table1722[[#This Row],[Lawan Transaksi]]="CV AGUNG KARYA",COUNTIF($I$10:I885,"CV AGUNG KARYA")," ")</f>
        <v xml:space="preserve"> </v>
      </c>
      <c r="F885" s="107" t="str">
        <f>IF(LEN(Table1722[[#This Row],[Uraian]])&gt;2,TRIM(RIGHT(SUBSTITUTE(TRIM(C885)," ",REPT(" ",255)),255))," ")</f>
        <v xml:space="preserve"> </v>
      </c>
      <c r="G885" s="110">
        <f>COPY!Z877</f>
        <v>0</v>
      </c>
      <c r="H885" s="111" t="str">
        <f>IFERROR(VLOOKUP(Table1722[[#This Row],[Bukti]],'Un nOTA'!$A$4:$K$5003,10,FALSE),"")</f>
        <v/>
      </c>
      <c r="I885" s="112" t="str">
        <f>IFERROR(VLOOKUP(Table1722[[#This Row],[Bukti]],Table13[#Data],11,FALSE),"")</f>
        <v/>
      </c>
    </row>
    <row r="886" spans="1:9" ht="19.5" hidden="1" customHeight="1" x14ac:dyDescent="0.2">
      <c r="A886" s="105" t="str">
        <f>IF(D886=1,COUNTIF($D$10:D886,1)," ")</f>
        <v xml:space="preserve"> </v>
      </c>
      <c r="B886" s="106" t="str">
        <f>COPY!AR878</f>
        <v/>
      </c>
      <c r="C886" s="107">
        <f>COPY!AC878</f>
        <v>0</v>
      </c>
      <c r="D886" s="107" t="str">
        <f>IF(LEN(Table1722[[#This Row],[Uraian]])&gt;2,1," ")</f>
        <v xml:space="preserve"> </v>
      </c>
      <c r="E886" s="113" t="str">
        <f>IF(Table1722[[#This Row],[Lawan Transaksi]]="CV AGUNG KARYA",COUNTIF($I$10:I886,"CV AGUNG KARYA")," ")</f>
        <v xml:space="preserve"> </v>
      </c>
      <c r="F886" s="107" t="str">
        <f>IF(LEN(Table1722[[#This Row],[Uraian]])&gt;2,TRIM(RIGHT(SUBSTITUTE(TRIM(C886)," ",REPT(" ",255)),255))," ")</f>
        <v xml:space="preserve"> </v>
      </c>
      <c r="G886" s="110">
        <f>COPY!Z878</f>
        <v>0</v>
      </c>
      <c r="H886" s="111" t="str">
        <f>IFERROR(VLOOKUP(Table1722[[#This Row],[Bukti]],'Un nOTA'!$A$4:$K$5003,10,FALSE),"")</f>
        <v/>
      </c>
      <c r="I886" s="112" t="str">
        <f>IFERROR(VLOOKUP(Table1722[[#This Row],[Bukti]],Table13[#Data],11,FALSE),"")</f>
        <v/>
      </c>
    </row>
    <row r="887" spans="1:9" ht="19.5" hidden="1" customHeight="1" x14ac:dyDescent="0.2">
      <c r="A887" s="105" t="str">
        <f>IF(D887=1,COUNTIF($D$10:D887,1)," ")</f>
        <v xml:space="preserve"> </v>
      </c>
      <c r="B887" s="106" t="str">
        <f>COPY!AR879</f>
        <v/>
      </c>
      <c r="C887" s="107">
        <f>COPY!AC879</f>
        <v>0</v>
      </c>
      <c r="D887" s="107" t="str">
        <f>IF(LEN(Table1722[[#This Row],[Uraian]])&gt;2,1," ")</f>
        <v xml:space="preserve"> </v>
      </c>
      <c r="E887" s="113" t="str">
        <f>IF(Table1722[[#This Row],[Lawan Transaksi]]="CV AGUNG KARYA",COUNTIF($I$10:I887,"CV AGUNG KARYA")," ")</f>
        <v xml:space="preserve"> </v>
      </c>
      <c r="F887" s="107" t="str">
        <f>IF(LEN(Table1722[[#This Row],[Uraian]])&gt;2,TRIM(RIGHT(SUBSTITUTE(TRIM(C887)," ",REPT(" ",255)),255))," ")</f>
        <v xml:space="preserve"> </v>
      </c>
      <c r="G887" s="110">
        <f>COPY!Z879</f>
        <v>0</v>
      </c>
      <c r="H887" s="111" t="str">
        <f>IFERROR(VLOOKUP(Table1722[[#This Row],[Bukti]],'Un nOTA'!$A$4:$K$5003,10,FALSE),"")</f>
        <v/>
      </c>
      <c r="I887" s="112" t="str">
        <f>IFERROR(VLOOKUP(Table1722[[#This Row],[Bukti]],Table13[#Data],11,FALSE),"")</f>
        <v/>
      </c>
    </row>
    <row r="888" spans="1:9" ht="19.5" hidden="1" customHeight="1" x14ac:dyDescent="0.2">
      <c r="A888" s="105" t="str">
        <f>IF(D888=1,COUNTIF($D$10:D888,1)," ")</f>
        <v xml:space="preserve"> </v>
      </c>
      <c r="B888" s="106" t="str">
        <f>COPY!AR880</f>
        <v/>
      </c>
      <c r="C888" s="107">
        <f>COPY!AC880</f>
        <v>0</v>
      </c>
      <c r="D888" s="107" t="str">
        <f>IF(LEN(Table1722[[#This Row],[Uraian]])&gt;2,1," ")</f>
        <v xml:space="preserve"> </v>
      </c>
      <c r="E888" s="113" t="str">
        <f>IF(Table1722[[#This Row],[Lawan Transaksi]]="CV AGUNG KARYA",COUNTIF($I$10:I888,"CV AGUNG KARYA")," ")</f>
        <v xml:space="preserve"> </v>
      </c>
      <c r="F888" s="107" t="str">
        <f>IF(LEN(Table1722[[#This Row],[Uraian]])&gt;2,TRIM(RIGHT(SUBSTITUTE(TRIM(C888)," ",REPT(" ",255)),255))," ")</f>
        <v xml:space="preserve"> </v>
      </c>
      <c r="G888" s="110">
        <f>COPY!Z880</f>
        <v>0</v>
      </c>
      <c r="H888" s="111" t="str">
        <f>IFERROR(VLOOKUP(Table1722[[#This Row],[Bukti]],'Un nOTA'!$A$4:$K$5003,10,FALSE),"")</f>
        <v/>
      </c>
      <c r="I888" s="112" t="str">
        <f>IFERROR(VLOOKUP(Table1722[[#This Row],[Bukti]],Table13[#Data],11,FALSE),"")</f>
        <v/>
      </c>
    </row>
    <row r="889" spans="1:9" ht="19.5" hidden="1" customHeight="1" x14ac:dyDescent="0.2">
      <c r="A889" s="105" t="str">
        <f>IF(D889=1,COUNTIF($D$10:D889,1)," ")</f>
        <v xml:space="preserve"> </v>
      </c>
      <c r="B889" s="106" t="str">
        <f>COPY!AR881</f>
        <v/>
      </c>
      <c r="C889" s="107">
        <f>COPY!AC881</f>
        <v>0</v>
      </c>
      <c r="D889" s="107" t="str">
        <f>IF(LEN(Table1722[[#This Row],[Uraian]])&gt;2,1," ")</f>
        <v xml:space="preserve"> </v>
      </c>
      <c r="E889" s="113" t="str">
        <f>IF(Table1722[[#This Row],[Lawan Transaksi]]="CV AGUNG KARYA",COUNTIF($I$10:I889,"CV AGUNG KARYA")," ")</f>
        <v xml:space="preserve"> </v>
      </c>
      <c r="F889" s="107" t="str">
        <f>IF(LEN(Table1722[[#This Row],[Uraian]])&gt;2,TRIM(RIGHT(SUBSTITUTE(TRIM(C889)," ",REPT(" ",255)),255))," ")</f>
        <v xml:space="preserve"> </v>
      </c>
      <c r="G889" s="110">
        <f>COPY!Z881</f>
        <v>0</v>
      </c>
      <c r="H889" s="111" t="str">
        <f>IFERROR(VLOOKUP(Table1722[[#This Row],[Bukti]],'Un nOTA'!$A$4:$K$5003,10,FALSE),"")</f>
        <v/>
      </c>
      <c r="I889" s="112" t="str">
        <f>IFERROR(VLOOKUP(Table1722[[#This Row],[Bukti]],Table13[#Data],11,FALSE),"")</f>
        <v/>
      </c>
    </row>
    <row r="890" spans="1:9" ht="19.5" hidden="1" customHeight="1" x14ac:dyDescent="0.2">
      <c r="A890" s="105" t="str">
        <f>IF(D890=1,COUNTIF($D$10:D890,1)," ")</f>
        <v xml:space="preserve"> </v>
      </c>
      <c r="B890" s="106" t="str">
        <f>COPY!AR882</f>
        <v/>
      </c>
      <c r="C890" s="107">
        <f>COPY!AC882</f>
        <v>0</v>
      </c>
      <c r="D890" s="107" t="str">
        <f>IF(LEN(Table1722[[#This Row],[Uraian]])&gt;2,1," ")</f>
        <v xml:space="preserve"> </v>
      </c>
      <c r="E890" s="113" t="str">
        <f>IF(Table1722[[#This Row],[Lawan Transaksi]]="CV AGUNG KARYA",COUNTIF($I$10:I890,"CV AGUNG KARYA")," ")</f>
        <v xml:space="preserve"> </v>
      </c>
      <c r="F890" s="107" t="str">
        <f>IF(LEN(Table1722[[#This Row],[Uraian]])&gt;2,TRIM(RIGHT(SUBSTITUTE(TRIM(C890)," ",REPT(" ",255)),255))," ")</f>
        <v xml:space="preserve"> </v>
      </c>
      <c r="G890" s="110">
        <f>COPY!Z882</f>
        <v>0</v>
      </c>
      <c r="H890" s="111" t="str">
        <f>IFERROR(VLOOKUP(Table1722[[#This Row],[Bukti]],'Un nOTA'!$A$4:$K$5003,10,FALSE),"")</f>
        <v/>
      </c>
      <c r="I890" s="112" t="str">
        <f>IFERROR(VLOOKUP(Table1722[[#This Row],[Bukti]],Table13[#Data],11,FALSE),"")</f>
        <v/>
      </c>
    </row>
    <row r="891" spans="1:9" ht="19.5" hidden="1" customHeight="1" x14ac:dyDescent="0.2">
      <c r="A891" s="105" t="str">
        <f>IF(D891=1,COUNTIF($D$10:D891,1)," ")</f>
        <v xml:space="preserve"> </v>
      </c>
      <c r="B891" s="106" t="str">
        <f>COPY!AR883</f>
        <v/>
      </c>
      <c r="C891" s="107">
        <f>COPY!AC883</f>
        <v>0</v>
      </c>
      <c r="D891" s="107" t="str">
        <f>IF(LEN(Table1722[[#This Row],[Uraian]])&gt;2,1," ")</f>
        <v xml:space="preserve"> </v>
      </c>
      <c r="E891" s="113" t="str">
        <f>IF(Table1722[[#This Row],[Lawan Transaksi]]="CV AGUNG KARYA",COUNTIF($I$10:I891,"CV AGUNG KARYA")," ")</f>
        <v xml:space="preserve"> </v>
      </c>
      <c r="F891" s="107" t="str">
        <f>IF(LEN(Table1722[[#This Row],[Uraian]])&gt;2,TRIM(RIGHT(SUBSTITUTE(TRIM(C891)," ",REPT(" ",255)),255))," ")</f>
        <v xml:space="preserve"> </v>
      </c>
      <c r="G891" s="110">
        <f>COPY!Z883</f>
        <v>0</v>
      </c>
      <c r="H891" s="111" t="str">
        <f>IFERROR(VLOOKUP(Table1722[[#This Row],[Bukti]],'Un nOTA'!$A$4:$K$5003,10,FALSE),"")</f>
        <v/>
      </c>
      <c r="I891" s="112" t="str">
        <f>IFERROR(VLOOKUP(Table1722[[#This Row],[Bukti]],Table13[#Data],11,FALSE),"")</f>
        <v/>
      </c>
    </row>
    <row r="892" spans="1:9" ht="19.5" hidden="1" customHeight="1" x14ac:dyDescent="0.2">
      <c r="A892" s="105" t="str">
        <f>IF(D892=1,COUNTIF($D$10:D892,1)," ")</f>
        <v xml:space="preserve"> </v>
      </c>
      <c r="B892" s="106" t="str">
        <f>COPY!AR884</f>
        <v/>
      </c>
      <c r="C892" s="107">
        <f>COPY!AC884</f>
        <v>0</v>
      </c>
      <c r="D892" s="107" t="str">
        <f>IF(LEN(Table1722[[#This Row],[Uraian]])&gt;2,1," ")</f>
        <v xml:space="preserve"> </v>
      </c>
      <c r="E892" s="113" t="str">
        <f>IF(Table1722[[#This Row],[Lawan Transaksi]]="CV AGUNG KARYA",COUNTIF($I$10:I892,"CV AGUNG KARYA")," ")</f>
        <v xml:space="preserve"> </v>
      </c>
      <c r="F892" s="107" t="str">
        <f>IF(LEN(Table1722[[#This Row],[Uraian]])&gt;2,TRIM(RIGHT(SUBSTITUTE(TRIM(C892)," ",REPT(" ",255)),255))," ")</f>
        <v xml:space="preserve"> </v>
      </c>
      <c r="G892" s="110">
        <f>COPY!Z884</f>
        <v>0</v>
      </c>
      <c r="H892" s="111" t="str">
        <f>IFERROR(VLOOKUP(Table1722[[#This Row],[Bukti]],'Un nOTA'!$A$4:$K$5003,10,FALSE),"")</f>
        <v/>
      </c>
      <c r="I892" s="112" t="str">
        <f>IFERROR(VLOOKUP(Table1722[[#This Row],[Bukti]],Table13[#Data],11,FALSE),"")</f>
        <v/>
      </c>
    </row>
    <row r="893" spans="1:9" ht="19.5" hidden="1" customHeight="1" x14ac:dyDescent="0.2">
      <c r="A893" s="105" t="str">
        <f>IF(D893=1,COUNTIF($D$10:D893,1)," ")</f>
        <v xml:space="preserve"> </v>
      </c>
      <c r="B893" s="106" t="str">
        <f>COPY!AR885</f>
        <v/>
      </c>
      <c r="C893" s="107">
        <f>COPY!AC885</f>
        <v>0</v>
      </c>
      <c r="D893" s="107" t="str">
        <f>IF(LEN(Table1722[[#This Row],[Uraian]])&gt;2,1," ")</f>
        <v xml:space="preserve"> </v>
      </c>
      <c r="E893" s="113" t="str">
        <f>IF(Table1722[[#This Row],[Lawan Transaksi]]="CV AGUNG KARYA",COUNTIF($I$10:I893,"CV AGUNG KARYA")," ")</f>
        <v xml:space="preserve"> </v>
      </c>
      <c r="F893" s="107" t="str">
        <f>IF(LEN(Table1722[[#This Row],[Uraian]])&gt;2,TRIM(RIGHT(SUBSTITUTE(TRIM(C893)," ",REPT(" ",255)),255))," ")</f>
        <v xml:space="preserve"> </v>
      </c>
      <c r="G893" s="110">
        <f>COPY!Z885</f>
        <v>0</v>
      </c>
      <c r="H893" s="111" t="str">
        <f>IFERROR(VLOOKUP(Table1722[[#This Row],[Bukti]],'Un nOTA'!$A$4:$K$5003,10,FALSE),"")</f>
        <v/>
      </c>
      <c r="I893" s="112" t="str">
        <f>IFERROR(VLOOKUP(Table1722[[#This Row],[Bukti]],Table13[#Data],11,FALSE),"")</f>
        <v/>
      </c>
    </row>
    <row r="894" spans="1:9" ht="19.5" hidden="1" customHeight="1" x14ac:dyDescent="0.2">
      <c r="A894" s="105" t="str">
        <f>IF(D894=1,COUNTIF($D$10:D894,1)," ")</f>
        <v xml:space="preserve"> </v>
      </c>
      <c r="B894" s="106" t="str">
        <f>COPY!AR886</f>
        <v/>
      </c>
      <c r="C894" s="107">
        <f>COPY!AC886</f>
        <v>0</v>
      </c>
      <c r="D894" s="107" t="str">
        <f>IF(LEN(Table1722[[#This Row],[Uraian]])&gt;2,1," ")</f>
        <v xml:space="preserve"> </v>
      </c>
      <c r="E894" s="113" t="str">
        <f>IF(Table1722[[#This Row],[Lawan Transaksi]]="CV AGUNG KARYA",COUNTIF($I$10:I894,"CV AGUNG KARYA")," ")</f>
        <v xml:space="preserve"> </v>
      </c>
      <c r="F894" s="107" t="str">
        <f>IF(LEN(Table1722[[#This Row],[Uraian]])&gt;2,TRIM(RIGHT(SUBSTITUTE(TRIM(C894)," ",REPT(" ",255)),255))," ")</f>
        <v xml:space="preserve"> </v>
      </c>
      <c r="G894" s="110">
        <f>COPY!Z886</f>
        <v>0</v>
      </c>
      <c r="H894" s="111" t="str">
        <f>IFERROR(VLOOKUP(Table1722[[#This Row],[Bukti]],'Un nOTA'!$A$4:$K$5003,10,FALSE),"")</f>
        <v/>
      </c>
      <c r="I894" s="112" t="str">
        <f>IFERROR(VLOOKUP(Table1722[[#This Row],[Bukti]],Table13[#Data],11,FALSE),"")</f>
        <v/>
      </c>
    </row>
    <row r="895" spans="1:9" ht="19.5" hidden="1" customHeight="1" x14ac:dyDescent="0.2">
      <c r="A895" s="105" t="str">
        <f>IF(D895=1,COUNTIF($D$10:D895,1)," ")</f>
        <v xml:space="preserve"> </v>
      </c>
      <c r="B895" s="106" t="str">
        <f>COPY!AR887</f>
        <v/>
      </c>
      <c r="C895" s="107">
        <f>COPY!AC887</f>
        <v>0</v>
      </c>
      <c r="D895" s="107" t="str">
        <f>IF(LEN(Table1722[[#This Row],[Uraian]])&gt;2,1," ")</f>
        <v xml:space="preserve"> </v>
      </c>
      <c r="E895" s="113" t="str">
        <f>IF(Table1722[[#This Row],[Lawan Transaksi]]="CV AGUNG KARYA",COUNTIF($I$10:I895,"CV AGUNG KARYA")," ")</f>
        <v xml:space="preserve"> </v>
      </c>
      <c r="F895" s="107" t="str">
        <f>IF(LEN(Table1722[[#This Row],[Uraian]])&gt;2,TRIM(RIGHT(SUBSTITUTE(TRIM(C895)," ",REPT(" ",255)),255))," ")</f>
        <v xml:space="preserve"> </v>
      </c>
      <c r="G895" s="110">
        <f>COPY!Z887</f>
        <v>0</v>
      </c>
      <c r="H895" s="111" t="str">
        <f>IFERROR(VLOOKUP(Table1722[[#This Row],[Bukti]],'Un nOTA'!$A$4:$K$5003,10,FALSE),"")</f>
        <v/>
      </c>
      <c r="I895" s="112" t="str">
        <f>IFERROR(VLOOKUP(Table1722[[#This Row],[Bukti]],Table13[#Data],11,FALSE),"")</f>
        <v/>
      </c>
    </row>
    <row r="896" spans="1:9" ht="19.5" hidden="1" customHeight="1" x14ac:dyDescent="0.2">
      <c r="A896" s="105" t="str">
        <f>IF(D896=1,COUNTIF($D$10:D896,1)," ")</f>
        <v xml:space="preserve"> </v>
      </c>
      <c r="B896" s="106" t="str">
        <f>COPY!AR888</f>
        <v/>
      </c>
      <c r="C896" s="107">
        <f>COPY!AC888</f>
        <v>0</v>
      </c>
      <c r="D896" s="107" t="str">
        <f>IF(LEN(Table1722[[#This Row],[Uraian]])&gt;2,1," ")</f>
        <v xml:space="preserve"> </v>
      </c>
      <c r="E896" s="113" t="str">
        <f>IF(Table1722[[#This Row],[Lawan Transaksi]]="CV AGUNG KARYA",COUNTIF($I$10:I896,"CV AGUNG KARYA")," ")</f>
        <v xml:space="preserve"> </v>
      </c>
      <c r="F896" s="107" t="str">
        <f>IF(LEN(Table1722[[#This Row],[Uraian]])&gt;2,TRIM(RIGHT(SUBSTITUTE(TRIM(C896)," ",REPT(" ",255)),255))," ")</f>
        <v xml:space="preserve"> </v>
      </c>
      <c r="G896" s="110">
        <f>COPY!Z888</f>
        <v>0</v>
      </c>
      <c r="H896" s="111" t="str">
        <f>IFERROR(VLOOKUP(Table1722[[#This Row],[Bukti]],'Un nOTA'!$A$4:$K$5003,10,FALSE),"")</f>
        <v/>
      </c>
      <c r="I896" s="112" t="str">
        <f>IFERROR(VLOOKUP(Table1722[[#This Row],[Bukti]],Table13[#Data],11,FALSE),"")</f>
        <v/>
      </c>
    </row>
    <row r="897" spans="1:9" ht="19.5" hidden="1" customHeight="1" x14ac:dyDescent="0.2">
      <c r="A897" s="105" t="str">
        <f>IF(D897=1,COUNTIF($D$10:D897,1)," ")</f>
        <v xml:space="preserve"> </v>
      </c>
      <c r="B897" s="106" t="str">
        <f>COPY!AR889</f>
        <v/>
      </c>
      <c r="C897" s="107">
        <f>COPY!AC889</f>
        <v>0</v>
      </c>
      <c r="D897" s="107" t="str">
        <f>IF(LEN(Table1722[[#This Row],[Uraian]])&gt;2,1," ")</f>
        <v xml:space="preserve"> </v>
      </c>
      <c r="E897" s="113" t="str">
        <f>IF(Table1722[[#This Row],[Lawan Transaksi]]="CV AGUNG KARYA",COUNTIF($I$10:I897,"CV AGUNG KARYA")," ")</f>
        <v xml:space="preserve"> </v>
      </c>
      <c r="F897" s="107" t="str">
        <f>IF(LEN(Table1722[[#This Row],[Uraian]])&gt;2,TRIM(RIGHT(SUBSTITUTE(TRIM(C897)," ",REPT(" ",255)),255))," ")</f>
        <v xml:space="preserve"> </v>
      </c>
      <c r="G897" s="110">
        <f>COPY!Z889</f>
        <v>0</v>
      </c>
      <c r="H897" s="111" t="str">
        <f>IFERROR(VLOOKUP(Table1722[[#This Row],[Bukti]],'Un nOTA'!$A$4:$K$5003,10,FALSE),"")</f>
        <v/>
      </c>
      <c r="I897" s="112" t="str">
        <f>IFERROR(VLOOKUP(Table1722[[#This Row],[Bukti]],Table13[#Data],11,FALSE),"")</f>
        <v/>
      </c>
    </row>
    <row r="898" spans="1:9" ht="19.5" hidden="1" customHeight="1" x14ac:dyDescent="0.2">
      <c r="A898" s="105" t="str">
        <f>IF(D898=1,COUNTIF($D$10:D898,1)," ")</f>
        <v xml:space="preserve"> </v>
      </c>
      <c r="B898" s="106" t="str">
        <f>COPY!AR890</f>
        <v/>
      </c>
      <c r="C898" s="107">
        <f>COPY!AC890</f>
        <v>0</v>
      </c>
      <c r="D898" s="107" t="str">
        <f>IF(LEN(Table1722[[#This Row],[Uraian]])&gt;2,1," ")</f>
        <v xml:space="preserve"> </v>
      </c>
      <c r="E898" s="113" t="str">
        <f>IF(Table1722[[#This Row],[Lawan Transaksi]]="CV AGUNG KARYA",COUNTIF($I$10:I898,"CV AGUNG KARYA")," ")</f>
        <v xml:space="preserve"> </v>
      </c>
      <c r="F898" s="107" t="str">
        <f>IF(LEN(Table1722[[#This Row],[Uraian]])&gt;2,TRIM(RIGHT(SUBSTITUTE(TRIM(C898)," ",REPT(" ",255)),255))," ")</f>
        <v xml:space="preserve"> </v>
      </c>
      <c r="G898" s="110">
        <f>COPY!Z890</f>
        <v>0</v>
      </c>
      <c r="H898" s="111" t="str">
        <f>IFERROR(VLOOKUP(Table1722[[#This Row],[Bukti]],'Un nOTA'!$A$4:$K$5003,10,FALSE),"")</f>
        <v/>
      </c>
      <c r="I898" s="112" t="str">
        <f>IFERROR(VLOOKUP(Table1722[[#This Row],[Bukti]],Table13[#Data],11,FALSE),"")</f>
        <v/>
      </c>
    </row>
    <row r="899" spans="1:9" ht="19.5" hidden="1" customHeight="1" x14ac:dyDescent="0.2">
      <c r="A899" s="105" t="str">
        <f>IF(D899=1,COUNTIF($D$10:D899,1)," ")</f>
        <v xml:space="preserve"> </v>
      </c>
      <c r="B899" s="106" t="str">
        <f>COPY!AR891</f>
        <v/>
      </c>
      <c r="C899" s="107">
        <f>COPY!AC891</f>
        <v>0</v>
      </c>
      <c r="D899" s="107" t="str">
        <f>IF(LEN(Table1722[[#This Row],[Uraian]])&gt;2,1," ")</f>
        <v xml:space="preserve"> </v>
      </c>
      <c r="E899" s="113" t="str">
        <f>IF(Table1722[[#This Row],[Lawan Transaksi]]="CV AGUNG KARYA",COUNTIF($I$10:I899,"CV AGUNG KARYA")," ")</f>
        <v xml:space="preserve"> </v>
      </c>
      <c r="F899" s="107" t="str">
        <f>IF(LEN(Table1722[[#This Row],[Uraian]])&gt;2,TRIM(RIGHT(SUBSTITUTE(TRIM(C899)," ",REPT(" ",255)),255))," ")</f>
        <v xml:space="preserve"> </v>
      </c>
      <c r="G899" s="110">
        <f>COPY!Z891</f>
        <v>0</v>
      </c>
      <c r="H899" s="111" t="str">
        <f>IFERROR(VLOOKUP(Table1722[[#This Row],[Bukti]],'Un nOTA'!$A$4:$K$5003,10,FALSE),"")</f>
        <v/>
      </c>
      <c r="I899" s="112" t="str">
        <f>IFERROR(VLOOKUP(Table1722[[#This Row],[Bukti]],Table13[#Data],11,FALSE),"")</f>
        <v/>
      </c>
    </row>
    <row r="900" spans="1:9" ht="19.5" hidden="1" customHeight="1" x14ac:dyDescent="0.2">
      <c r="A900" s="105" t="str">
        <f>IF(D900=1,COUNTIF($D$10:D900,1)," ")</f>
        <v xml:space="preserve"> </v>
      </c>
      <c r="B900" s="106" t="str">
        <f>COPY!AR892</f>
        <v/>
      </c>
      <c r="C900" s="107">
        <f>COPY!AC892</f>
        <v>0</v>
      </c>
      <c r="D900" s="107" t="str">
        <f>IF(LEN(Table1722[[#This Row],[Uraian]])&gt;2,1," ")</f>
        <v xml:space="preserve"> </v>
      </c>
      <c r="E900" s="113" t="str">
        <f>IF(Table1722[[#This Row],[Lawan Transaksi]]="CV AGUNG KARYA",COUNTIF($I$10:I900,"CV AGUNG KARYA")," ")</f>
        <v xml:space="preserve"> </v>
      </c>
      <c r="F900" s="107" t="str">
        <f>IF(LEN(Table1722[[#This Row],[Uraian]])&gt;2,TRIM(RIGHT(SUBSTITUTE(TRIM(C900)," ",REPT(" ",255)),255))," ")</f>
        <v xml:space="preserve"> </v>
      </c>
      <c r="G900" s="110">
        <f>COPY!Z892</f>
        <v>0</v>
      </c>
      <c r="H900" s="111" t="str">
        <f>IFERROR(VLOOKUP(Table1722[[#This Row],[Bukti]],'Un nOTA'!$A$4:$K$5003,10,FALSE),"")</f>
        <v/>
      </c>
      <c r="I900" s="112" t="str">
        <f>IFERROR(VLOOKUP(Table1722[[#This Row],[Bukti]],Table13[#Data],11,FALSE),"")</f>
        <v/>
      </c>
    </row>
    <row r="901" spans="1:9" ht="19.5" hidden="1" customHeight="1" x14ac:dyDescent="0.2">
      <c r="A901" s="105" t="str">
        <f>IF(D901=1,COUNTIF($D$10:D901,1)," ")</f>
        <v xml:space="preserve"> </v>
      </c>
      <c r="B901" s="106" t="str">
        <f>COPY!AR893</f>
        <v/>
      </c>
      <c r="C901" s="107">
        <f>COPY!AC893</f>
        <v>0</v>
      </c>
      <c r="D901" s="107" t="str">
        <f>IF(LEN(Table1722[[#This Row],[Uraian]])&gt;2,1," ")</f>
        <v xml:space="preserve"> </v>
      </c>
      <c r="E901" s="113" t="str">
        <f>IF(Table1722[[#This Row],[Lawan Transaksi]]="CV AGUNG KARYA",COUNTIF($I$10:I901,"CV AGUNG KARYA")," ")</f>
        <v xml:space="preserve"> </v>
      </c>
      <c r="F901" s="107" t="str">
        <f>IF(LEN(Table1722[[#This Row],[Uraian]])&gt;2,TRIM(RIGHT(SUBSTITUTE(TRIM(C901)," ",REPT(" ",255)),255))," ")</f>
        <v xml:space="preserve"> </v>
      </c>
      <c r="G901" s="110">
        <f>COPY!Z893</f>
        <v>0</v>
      </c>
      <c r="H901" s="111" t="str">
        <f>IFERROR(VLOOKUP(Table1722[[#This Row],[Bukti]],'Un nOTA'!$A$4:$K$5003,10,FALSE),"")</f>
        <v/>
      </c>
      <c r="I901" s="112" t="str">
        <f>IFERROR(VLOOKUP(Table1722[[#This Row],[Bukti]],Table13[#Data],11,FALSE),"")</f>
        <v/>
      </c>
    </row>
    <row r="902" spans="1:9" ht="19.5" hidden="1" customHeight="1" x14ac:dyDescent="0.2">
      <c r="A902" s="105" t="str">
        <f>IF(D902=1,COUNTIF($D$10:D902,1)," ")</f>
        <v xml:space="preserve"> </v>
      </c>
      <c r="B902" s="106" t="str">
        <f>COPY!AR894</f>
        <v/>
      </c>
      <c r="C902" s="107">
        <f>COPY!AC894</f>
        <v>0</v>
      </c>
      <c r="D902" s="107" t="str">
        <f>IF(LEN(Table1722[[#This Row],[Uraian]])&gt;2,1," ")</f>
        <v xml:space="preserve"> </v>
      </c>
      <c r="E902" s="113" t="str">
        <f>IF(Table1722[[#This Row],[Lawan Transaksi]]="CV AGUNG KARYA",COUNTIF($I$10:I902,"CV AGUNG KARYA")," ")</f>
        <v xml:space="preserve"> </v>
      </c>
      <c r="F902" s="107" t="str">
        <f>IF(LEN(Table1722[[#This Row],[Uraian]])&gt;2,TRIM(RIGHT(SUBSTITUTE(TRIM(C902)," ",REPT(" ",255)),255))," ")</f>
        <v xml:space="preserve"> </v>
      </c>
      <c r="G902" s="110">
        <f>COPY!Z894</f>
        <v>0</v>
      </c>
      <c r="H902" s="111" t="str">
        <f>IFERROR(VLOOKUP(Table1722[[#This Row],[Bukti]],'Un nOTA'!$A$4:$K$5003,10,FALSE),"")</f>
        <v/>
      </c>
      <c r="I902" s="112" t="str">
        <f>IFERROR(VLOOKUP(Table1722[[#This Row],[Bukti]],Table13[#Data],11,FALSE),"")</f>
        <v/>
      </c>
    </row>
    <row r="903" spans="1:9" ht="19.5" hidden="1" customHeight="1" x14ac:dyDescent="0.2">
      <c r="A903" s="105" t="str">
        <f>IF(D903=1,COUNTIF($D$10:D903,1)," ")</f>
        <v xml:space="preserve"> </v>
      </c>
      <c r="B903" s="106" t="str">
        <f>COPY!AR895</f>
        <v/>
      </c>
      <c r="C903" s="107">
        <f>COPY!AC895</f>
        <v>0</v>
      </c>
      <c r="D903" s="107" t="str">
        <f>IF(LEN(Table1722[[#This Row],[Uraian]])&gt;2,1," ")</f>
        <v xml:space="preserve"> </v>
      </c>
      <c r="E903" s="113" t="str">
        <f>IF(Table1722[[#This Row],[Lawan Transaksi]]="CV AGUNG KARYA",COUNTIF($I$10:I903,"CV AGUNG KARYA")," ")</f>
        <v xml:space="preserve"> </v>
      </c>
      <c r="F903" s="107" t="str">
        <f>IF(LEN(Table1722[[#This Row],[Uraian]])&gt;2,TRIM(RIGHT(SUBSTITUTE(TRIM(C903)," ",REPT(" ",255)),255))," ")</f>
        <v xml:space="preserve"> </v>
      </c>
      <c r="G903" s="110">
        <f>COPY!Z895</f>
        <v>0</v>
      </c>
      <c r="H903" s="111" t="str">
        <f>IFERROR(VLOOKUP(Table1722[[#This Row],[Bukti]],'Un nOTA'!$A$4:$K$5003,10,FALSE),"")</f>
        <v/>
      </c>
      <c r="I903" s="112" t="str">
        <f>IFERROR(VLOOKUP(Table1722[[#This Row],[Bukti]],Table13[#Data],11,FALSE),"")</f>
        <v/>
      </c>
    </row>
    <row r="904" spans="1:9" ht="19.5" hidden="1" customHeight="1" x14ac:dyDescent="0.2">
      <c r="A904" s="105" t="str">
        <f>IF(D904=1,COUNTIF($D$10:D904,1)," ")</f>
        <v xml:space="preserve"> </v>
      </c>
      <c r="B904" s="106" t="str">
        <f>COPY!AR896</f>
        <v/>
      </c>
      <c r="C904" s="107">
        <f>COPY!AC896</f>
        <v>0</v>
      </c>
      <c r="D904" s="107" t="str">
        <f>IF(LEN(Table1722[[#This Row],[Uraian]])&gt;2,1," ")</f>
        <v xml:space="preserve"> </v>
      </c>
      <c r="E904" s="113" t="str">
        <f>IF(Table1722[[#This Row],[Lawan Transaksi]]="CV AGUNG KARYA",COUNTIF($I$10:I904,"CV AGUNG KARYA")," ")</f>
        <v xml:space="preserve"> </v>
      </c>
      <c r="F904" s="107" t="str">
        <f>IF(LEN(Table1722[[#This Row],[Uraian]])&gt;2,TRIM(RIGHT(SUBSTITUTE(TRIM(C904)," ",REPT(" ",255)),255))," ")</f>
        <v xml:space="preserve"> </v>
      </c>
      <c r="G904" s="110">
        <f>COPY!Z896</f>
        <v>0</v>
      </c>
      <c r="H904" s="111" t="str">
        <f>IFERROR(VLOOKUP(Table1722[[#This Row],[Bukti]],'Un nOTA'!$A$4:$K$5003,10,FALSE),"")</f>
        <v/>
      </c>
      <c r="I904" s="112" t="str">
        <f>IFERROR(VLOOKUP(Table1722[[#This Row],[Bukti]],Table13[#Data],11,FALSE),"")</f>
        <v/>
      </c>
    </row>
    <row r="905" spans="1:9" ht="19.5" hidden="1" customHeight="1" x14ac:dyDescent="0.2">
      <c r="A905" s="105" t="str">
        <f>IF(D905=1,COUNTIF($D$10:D905,1)," ")</f>
        <v xml:space="preserve"> </v>
      </c>
      <c r="B905" s="106" t="str">
        <f>COPY!AR897</f>
        <v/>
      </c>
      <c r="C905" s="107">
        <f>COPY!AC897</f>
        <v>0</v>
      </c>
      <c r="D905" s="107" t="str">
        <f>IF(LEN(Table1722[[#This Row],[Uraian]])&gt;2,1," ")</f>
        <v xml:space="preserve"> </v>
      </c>
      <c r="E905" s="113" t="str">
        <f>IF(Table1722[[#This Row],[Lawan Transaksi]]="CV AGUNG KARYA",COUNTIF($I$10:I905,"CV AGUNG KARYA")," ")</f>
        <v xml:space="preserve"> </v>
      </c>
      <c r="F905" s="107" t="str">
        <f>IF(LEN(Table1722[[#This Row],[Uraian]])&gt;2,TRIM(RIGHT(SUBSTITUTE(TRIM(C905)," ",REPT(" ",255)),255))," ")</f>
        <v xml:space="preserve"> </v>
      </c>
      <c r="G905" s="110">
        <f>COPY!Z897</f>
        <v>0</v>
      </c>
      <c r="H905" s="111" t="str">
        <f>IFERROR(VLOOKUP(Table1722[[#This Row],[Bukti]],'Un nOTA'!$A$4:$K$5003,10,FALSE),"")</f>
        <v/>
      </c>
      <c r="I905" s="112" t="str">
        <f>IFERROR(VLOOKUP(Table1722[[#This Row],[Bukti]],Table13[#Data],11,FALSE),"")</f>
        <v/>
      </c>
    </row>
    <row r="906" spans="1:9" ht="19.5" hidden="1" customHeight="1" x14ac:dyDescent="0.2">
      <c r="A906" s="105" t="str">
        <f>IF(D906=1,COUNTIF($D$10:D906,1)," ")</f>
        <v xml:space="preserve"> </v>
      </c>
      <c r="B906" s="106" t="str">
        <f>COPY!AR898</f>
        <v/>
      </c>
      <c r="C906" s="107">
        <f>COPY!AC898</f>
        <v>0</v>
      </c>
      <c r="D906" s="107" t="str">
        <f>IF(LEN(Table1722[[#This Row],[Uraian]])&gt;2,1," ")</f>
        <v xml:space="preserve"> </v>
      </c>
      <c r="E906" s="113" t="str">
        <f>IF(Table1722[[#This Row],[Lawan Transaksi]]="CV AGUNG KARYA",COUNTIF($I$10:I906,"CV AGUNG KARYA")," ")</f>
        <v xml:space="preserve"> </v>
      </c>
      <c r="F906" s="107" t="str">
        <f>IF(LEN(Table1722[[#This Row],[Uraian]])&gt;2,TRIM(RIGHT(SUBSTITUTE(TRIM(C906)," ",REPT(" ",255)),255))," ")</f>
        <v xml:space="preserve"> </v>
      </c>
      <c r="G906" s="110">
        <f>COPY!Z898</f>
        <v>0</v>
      </c>
      <c r="H906" s="111" t="str">
        <f>IFERROR(VLOOKUP(Table1722[[#This Row],[Bukti]],'Un nOTA'!$A$4:$K$5003,10,FALSE),"")</f>
        <v/>
      </c>
      <c r="I906" s="112" t="str">
        <f>IFERROR(VLOOKUP(Table1722[[#This Row],[Bukti]],Table13[#Data],11,FALSE),"")</f>
        <v/>
      </c>
    </row>
    <row r="907" spans="1:9" ht="19.5" hidden="1" customHeight="1" x14ac:dyDescent="0.2">
      <c r="A907" s="105" t="str">
        <f>IF(D907=1,COUNTIF($D$10:D907,1)," ")</f>
        <v xml:space="preserve"> </v>
      </c>
      <c r="B907" s="106" t="str">
        <f>COPY!AR899</f>
        <v/>
      </c>
      <c r="C907" s="107">
        <f>COPY!AC899</f>
        <v>0</v>
      </c>
      <c r="D907" s="107" t="str">
        <f>IF(LEN(Table1722[[#This Row],[Uraian]])&gt;2,1," ")</f>
        <v xml:space="preserve"> </v>
      </c>
      <c r="E907" s="113" t="str">
        <f>IF(Table1722[[#This Row],[Lawan Transaksi]]="CV AGUNG KARYA",COUNTIF($I$10:I907,"CV AGUNG KARYA")," ")</f>
        <v xml:space="preserve"> </v>
      </c>
      <c r="F907" s="107" t="str">
        <f>IF(LEN(Table1722[[#This Row],[Uraian]])&gt;2,TRIM(RIGHT(SUBSTITUTE(TRIM(C907)," ",REPT(" ",255)),255))," ")</f>
        <v xml:space="preserve"> </v>
      </c>
      <c r="G907" s="110">
        <f>COPY!Z899</f>
        <v>0</v>
      </c>
      <c r="H907" s="111" t="str">
        <f>IFERROR(VLOOKUP(Table1722[[#This Row],[Bukti]],'Un nOTA'!$A$4:$K$5003,10,FALSE),"")</f>
        <v/>
      </c>
      <c r="I907" s="112" t="str">
        <f>IFERROR(VLOOKUP(Table1722[[#This Row],[Bukti]],Table13[#Data],11,FALSE),"")</f>
        <v/>
      </c>
    </row>
    <row r="908" spans="1:9" ht="19.5" hidden="1" customHeight="1" x14ac:dyDescent="0.2">
      <c r="A908" s="105" t="str">
        <f>IF(D908=1,COUNTIF($D$10:D908,1)," ")</f>
        <v xml:space="preserve"> </v>
      </c>
      <c r="B908" s="106" t="str">
        <f>COPY!AR900</f>
        <v/>
      </c>
      <c r="C908" s="107">
        <f>COPY!AC900</f>
        <v>0</v>
      </c>
      <c r="D908" s="107" t="str">
        <f>IF(LEN(Table1722[[#This Row],[Uraian]])&gt;2,1," ")</f>
        <v xml:space="preserve"> </v>
      </c>
      <c r="E908" s="113" t="str">
        <f>IF(Table1722[[#This Row],[Lawan Transaksi]]="CV AGUNG KARYA",COUNTIF($I$10:I908,"CV AGUNG KARYA")," ")</f>
        <v xml:space="preserve"> </v>
      </c>
      <c r="F908" s="107" t="str">
        <f>IF(LEN(Table1722[[#This Row],[Uraian]])&gt;2,TRIM(RIGHT(SUBSTITUTE(TRIM(C908)," ",REPT(" ",255)),255))," ")</f>
        <v xml:space="preserve"> </v>
      </c>
      <c r="G908" s="110">
        <f>COPY!Z900</f>
        <v>0</v>
      </c>
      <c r="H908" s="111" t="str">
        <f>IFERROR(VLOOKUP(Table1722[[#This Row],[Bukti]],'Un nOTA'!$A$4:$K$5003,10,FALSE),"")</f>
        <v/>
      </c>
      <c r="I908" s="112" t="str">
        <f>IFERROR(VLOOKUP(Table1722[[#This Row],[Bukti]],Table13[#Data],11,FALSE),"")</f>
        <v/>
      </c>
    </row>
    <row r="909" spans="1:9" ht="19.5" hidden="1" customHeight="1" x14ac:dyDescent="0.2">
      <c r="A909" s="105" t="str">
        <f>IF(D909=1,COUNTIF($D$10:D909,1)," ")</f>
        <v xml:space="preserve"> </v>
      </c>
      <c r="B909" s="106" t="str">
        <f>COPY!AR901</f>
        <v/>
      </c>
      <c r="C909" s="107">
        <f>COPY!AC901</f>
        <v>0</v>
      </c>
      <c r="D909" s="107" t="str">
        <f>IF(LEN(Table1722[[#This Row],[Uraian]])&gt;2,1," ")</f>
        <v xml:space="preserve"> </v>
      </c>
      <c r="E909" s="113" t="str">
        <f>IF(Table1722[[#This Row],[Lawan Transaksi]]="CV AGUNG KARYA",COUNTIF($I$10:I909,"CV AGUNG KARYA")," ")</f>
        <v xml:space="preserve"> </v>
      </c>
      <c r="F909" s="107" t="str">
        <f>IF(LEN(Table1722[[#This Row],[Uraian]])&gt;2,TRIM(RIGHT(SUBSTITUTE(TRIM(C909)," ",REPT(" ",255)),255))," ")</f>
        <v xml:space="preserve"> </v>
      </c>
      <c r="G909" s="110">
        <f>COPY!Z901</f>
        <v>0</v>
      </c>
      <c r="H909" s="111" t="str">
        <f>IFERROR(VLOOKUP(Table1722[[#This Row],[Bukti]],'Un nOTA'!$A$4:$K$5003,10,FALSE),"")</f>
        <v/>
      </c>
      <c r="I909" s="112" t="str">
        <f>IFERROR(VLOOKUP(Table1722[[#This Row],[Bukti]],Table13[#Data],11,FALSE),"")</f>
        <v/>
      </c>
    </row>
    <row r="910" spans="1:9" ht="19.5" hidden="1" customHeight="1" x14ac:dyDescent="0.2">
      <c r="A910" s="105" t="str">
        <f>IF(D910=1,COUNTIF($D$10:D910,1)," ")</f>
        <v xml:space="preserve"> </v>
      </c>
      <c r="B910" s="106" t="str">
        <f>COPY!AR902</f>
        <v/>
      </c>
      <c r="C910" s="107">
        <f>COPY!AC902</f>
        <v>0</v>
      </c>
      <c r="D910" s="107" t="str">
        <f>IF(LEN(Table1722[[#This Row],[Uraian]])&gt;2,1," ")</f>
        <v xml:space="preserve"> </v>
      </c>
      <c r="E910" s="113" t="str">
        <f>IF(Table1722[[#This Row],[Lawan Transaksi]]="CV AGUNG KARYA",COUNTIF($I$10:I910,"CV AGUNG KARYA")," ")</f>
        <v xml:space="preserve"> </v>
      </c>
      <c r="F910" s="107" t="str">
        <f>IF(LEN(Table1722[[#This Row],[Uraian]])&gt;2,TRIM(RIGHT(SUBSTITUTE(TRIM(C910)," ",REPT(" ",255)),255))," ")</f>
        <v xml:space="preserve"> </v>
      </c>
      <c r="G910" s="110">
        <f>COPY!Z902</f>
        <v>0</v>
      </c>
      <c r="H910" s="111" t="str">
        <f>IFERROR(VLOOKUP(Table1722[[#This Row],[Bukti]],'Un nOTA'!$A$4:$K$5003,10,FALSE),"")</f>
        <v/>
      </c>
      <c r="I910" s="112" t="str">
        <f>IFERROR(VLOOKUP(Table1722[[#This Row],[Bukti]],Table13[#Data],11,FALSE),"")</f>
        <v/>
      </c>
    </row>
    <row r="911" spans="1:9" ht="19.5" hidden="1" customHeight="1" x14ac:dyDescent="0.2">
      <c r="A911" s="105" t="str">
        <f>IF(D911=1,COUNTIF($D$10:D911,1)," ")</f>
        <v xml:space="preserve"> </v>
      </c>
      <c r="B911" s="106" t="str">
        <f>COPY!AR903</f>
        <v/>
      </c>
      <c r="C911" s="107">
        <f>COPY!AC903</f>
        <v>0</v>
      </c>
      <c r="D911" s="107" t="str">
        <f>IF(LEN(Table1722[[#This Row],[Uraian]])&gt;2,1," ")</f>
        <v xml:space="preserve"> </v>
      </c>
      <c r="E911" s="113" t="str">
        <f>IF(Table1722[[#This Row],[Lawan Transaksi]]="CV AGUNG KARYA",COUNTIF($I$10:I911,"CV AGUNG KARYA")," ")</f>
        <v xml:space="preserve"> </v>
      </c>
      <c r="F911" s="107" t="str">
        <f>IF(LEN(Table1722[[#This Row],[Uraian]])&gt;2,TRIM(RIGHT(SUBSTITUTE(TRIM(C911)," ",REPT(" ",255)),255))," ")</f>
        <v xml:space="preserve"> </v>
      </c>
      <c r="G911" s="110">
        <f>COPY!Z903</f>
        <v>0</v>
      </c>
      <c r="H911" s="111" t="str">
        <f>IFERROR(VLOOKUP(Table1722[[#This Row],[Bukti]],'Un nOTA'!$A$4:$K$5003,10,FALSE),"")</f>
        <v/>
      </c>
      <c r="I911" s="112" t="str">
        <f>IFERROR(VLOOKUP(Table1722[[#This Row],[Bukti]],Table13[#Data],11,FALSE),"")</f>
        <v/>
      </c>
    </row>
    <row r="912" spans="1:9" ht="19.5" hidden="1" customHeight="1" x14ac:dyDescent="0.2">
      <c r="A912" s="105" t="str">
        <f>IF(D912=1,COUNTIF($D$10:D912,1)," ")</f>
        <v xml:space="preserve"> </v>
      </c>
      <c r="B912" s="106" t="str">
        <f>COPY!AR904</f>
        <v/>
      </c>
      <c r="C912" s="107">
        <f>COPY!AC904</f>
        <v>0</v>
      </c>
      <c r="D912" s="107" t="str">
        <f>IF(LEN(Table1722[[#This Row],[Uraian]])&gt;2,1," ")</f>
        <v xml:space="preserve"> </v>
      </c>
      <c r="E912" s="113" t="str">
        <f>IF(Table1722[[#This Row],[Lawan Transaksi]]="CV AGUNG KARYA",COUNTIF($I$10:I912,"CV AGUNG KARYA")," ")</f>
        <v xml:space="preserve"> </v>
      </c>
      <c r="F912" s="107" t="str">
        <f>IF(LEN(Table1722[[#This Row],[Uraian]])&gt;2,TRIM(RIGHT(SUBSTITUTE(TRIM(C912)," ",REPT(" ",255)),255))," ")</f>
        <v xml:space="preserve"> </v>
      </c>
      <c r="G912" s="110">
        <f>COPY!Z904</f>
        <v>0</v>
      </c>
      <c r="H912" s="111" t="str">
        <f>IFERROR(VLOOKUP(Table1722[[#This Row],[Bukti]],'Un nOTA'!$A$4:$K$5003,10,FALSE),"")</f>
        <v/>
      </c>
      <c r="I912" s="112" t="str">
        <f>IFERROR(VLOOKUP(Table1722[[#This Row],[Bukti]],Table13[#Data],11,FALSE),"")</f>
        <v/>
      </c>
    </row>
    <row r="913" spans="1:9" ht="19.5" hidden="1" customHeight="1" x14ac:dyDescent="0.2">
      <c r="A913" s="105" t="str">
        <f>IF(D913=1,COUNTIF($D$10:D913,1)," ")</f>
        <v xml:space="preserve"> </v>
      </c>
      <c r="B913" s="106" t="str">
        <f>COPY!AR905</f>
        <v/>
      </c>
      <c r="C913" s="107">
        <f>COPY!AC905</f>
        <v>0</v>
      </c>
      <c r="D913" s="107" t="str">
        <f>IF(LEN(Table1722[[#This Row],[Uraian]])&gt;2,1," ")</f>
        <v xml:space="preserve"> </v>
      </c>
      <c r="E913" s="113" t="str">
        <f>IF(Table1722[[#This Row],[Lawan Transaksi]]="CV AGUNG KARYA",COUNTIF($I$10:I913,"CV AGUNG KARYA")," ")</f>
        <v xml:space="preserve"> </v>
      </c>
      <c r="F913" s="107" t="str">
        <f>IF(LEN(Table1722[[#This Row],[Uraian]])&gt;2,TRIM(RIGHT(SUBSTITUTE(TRIM(C913)," ",REPT(" ",255)),255))," ")</f>
        <v xml:space="preserve"> </v>
      </c>
      <c r="G913" s="110">
        <f>COPY!Z905</f>
        <v>0</v>
      </c>
      <c r="H913" s="111" t="str">
        <f>IFERROR(VLOOKUP(Table1722[[#This Row],[Bukti]],'Un nOTA'!$A$4:$K$5003,10,FALSE),"")</f>
        <v/>
      </c>
      <c r="I913" s="112" t="str">
        <f>IFERROR(VLOOKUP(Table1722[[#This Row],[Bukti]],Table13[#Data],11,FALSE),"")</f>
        <v/>
      </c>
    </row>
    <row r="914" spans="1:9" ht="19.5" hidden="1" customHeight="1" x14ac:dyDescent="0.2">
      <c r="A914" s="105" t="str">
        <f>IF(D914=1,COUNTIF($D$10:D914,1)," ")</f>
        <v xml:space="preserve"> </v>
      </c>
      <c r="B914" s="106" t="str">
        <f>COPY!AR906</f>
        <v/>
      </c>
      <c r="C914" s="107">
        <f>COPY!AC906</f>
        <v>0</v>
      </c>
      <c r="D914" s="107" t="str">
        <f>IF(LEN(Table1722[[#This Row],[Uraian]])&gt;2,1," ")</f>
        <v xml:space="preserve"> </v>
      </c>
      <c r="E914" s="113" t="str">
        <f>IF(Table1722[[#This Row],[Lawan Transaksi]]="CV AGUNG KARYA",COUNTIF($I$10:I914,"CV AGUNG KARYA")," ")</f>
        <v xml:space="preserve"> </v>
      </c>
      <c r="F914" s="107" t="str">
        <f>IF(LEN(Table1722[[#This Row],[Uraian]])&gt;2,TRIM(RIGHT(SUBSTITUTE(TRIM(C914)," ",REPT(" ",255)),255))," ")</f>
        <v xml:space="preserve"> </v>
      </c>
      <c r="G914" s="110">
        <f>COPY!Z906</f>
        <v>0</v>
      </c>
      <c r="H914" s="111" t="str">
        <f>IFERROR(VLOOKUP(Table1722[[#This Row],[Bukti]],'Un nOTA'!$A$4:$K$5003,10,FALSE),"")</f>
        <v/>
      </c>
      <c r="I914" s="112" t="str">
        <f>IFERROR(VLOOKUP(Table1722[[#This Row],[Bukti]],Table13[#Data],11,FALSE),"")</f>
        <v/>
      </c>
    </row>
    <row r="915" spans="1:9" ht="19.5" hidden="1" customHeight="1" x14ac:dyDescent="0.2">
      <c r="A915" s="105" t="str">
        <f>IF(D915=1,COUNTIF($D$10:D915,1)," ")</f>
        <v xml:space="preserve"> </v>
      </c>
      <c r="B915" s="106" t="str">
        <f>COPY!AR907</f>
        <v/>
      </c>
      <c r="C915" s="107">
        <f>COPY!AC907</f>
        <v>0</v>
      </c>
      <c r="D915" s="107" t="str">
        <f>IF(LEN(Table1722[[#This Row],[Uraian]])&gt;2,1," ")</f>
        <v xml:space="preserve"> </v>
      </c>
      <c r="E915" s="113" t="str">
        <f>IF(Table1722[[#This Row],[Lawan Transaksi]]="CV AGUNG KARYA",COUNTIF($I$10:I915,"CV AGUNG KARYA")," ")</f>
        <v xml:space="preserve"> </v>
      </c>
      <c r="F915" s="107" t="str">
        <f>IF(LEN(Table1722[[#This Row],[Uraian]])&gt;2,TRIM(RIGHT(SUBSTITUTE(TRIM(C915)," ",REPT(" ",255)),255))," ")</f>
        <v xml:space="preserve"> </v>
      </c>
      <c r="G915" s="110">
        <f>COPY!Z907</f>
        <v>0</v>
      </c>
      <c r="H915" s="111" t="str">
        <f>IFERROR(VLOOKUP(Table1722[[#This Row],[Bukti]],'Un nOTA'!$A$4:$K$5003,10,FALSE),"")</f>
        <v/>
      </c>
      <c r="I915" s="112" t="str">
        <f>IFERROR(VLOOKUP(Table1722[[#This Row],[Bukti]],Table13[#Data],11,FALSE),"")</f>
        <v/>
      </c>
    </row>
    <row r="916" spans="1:9" ht="19.5" hidden="1" customHeight="1" x14ac:dyDescent="0.2">
      <c r="A916" s="105" t="str">
        <f>IF(D916=1,COUNTIF($D$10:D916,1)," ")</f>
        <v xml:space="preserve"> </v>
      </c>
      <c r="B916" s="106" t="str">
        <f>COPY!AR908</f>
        <v/>
      </c>
      <c r="C916" s="107">
        <f>COPY!AC908</f>
        <v>0</v>
      </c>
      <c r="D916" s="107" t="str">
        <f>IF(LEN(Table1722[[#This Row],[Uraian]])&gt;2,1," ")</f>
        <v xml:space="preserve"> </v>
      </c>
      <c r="E916" s="113" t="str">
        <f>IF(Table1722[[#This Row],[Lawan Transaksi]]="CV AGUNG KARYA",COUNTIF($I$10:I916,"CV AGUNG KARYA")," ")</f>
        <v xml:space="preserve"> </v>
      </c>
      <c r="F916" s="107" t="str">
        <f>IF(LEN(Table1722[[#This Row],[Uraian]])&gt;2,TRIM(RIGHT(SUBSTITUTE(TRIM(C916)," ",REPT(" ",255)),255))," ")</f>
        <v xml:space="preserve"> </v>
      </c>
      <c r="G916" s="110">
        <f>COPY!Z908</f>
        <v>0</v>
      </c>
      <c r="H916" s="111" t="str">
        <f>IFERROR(VLOOKUP(Table1722[[#This Row],[Bukti]],'Un nOTA'!$A$4:$K$5003,10,FALSE),"")</f>
        <v/>
      </c>
      <c r="I916" s="112" t="str">
        <f>IFERROR(VLOOKUP(Table1722[[#This Row],[Bukti]],Table13[#Data],11,FALSE),"")</f>
        <v/>
      </c>
    </row>
    <row r="917" spans="1:9" ht="19.5" hidden="1" customHeight="1" x14ac:dyDescent="0.2">
      <c r="A917" s="105" t="str">
        <f>IF(D917=1,COUNTIF($D$10:D917,1)," ")</f>
        <v xml:space="preserve"> </v>
      </c>
      <c r="B917" s="106" t="str">
        <f>COPY!AR909</f>
        <v/>
      </c>
      <c r="C917" s="107">
        <f>COPY!AC909</f>
        <v>0</v>
      </c>
      <c r="D917" s="107" t="str">
        <f>IF(LEN(Table1722[[#This Row],[Uraian]])&gt;2,1," ")</f>
        <v xml:space="preserve"> </v>
      </c>
      <c r="E917" s="113" t="str">
        <f>IF(Table1722[[#This Row],[Lawan Transaksi]]="CV AGUNG KARYA",COUNTIF($I$10:I917,"CV AGUNG KARYA")," ")</f>
        <v xml:space="preserve"> </v>
      </c>
      <c r="F917" s="107" t="str">
        <f>IF(LEN(Table1722[[#This Row],[Uraian]])&gt;2,TRIM(RIGHT(SUBSTITUTE(TRIM(C917)," ",REPT(" ",255)),255))," ")</f>
        <v xml:space="preserve"> </v>
      </c>
      <c r="G917" s="110">
        <f>COPY!Z909</f>
        <v>0</v>
      </c>
      <c r="H917" s="111" t="str">
        <f>IFERROR(VLOOKUP(Table1722[[#This Row],[Bukti]],'Un nOTA'!$A$4:$K$5003,10,FALSE),"")</f>
        <v/>
      </c>
      <c r="I917" s="112" t="str">
        <f>IFERROR(VLOOKUP(Table1722[[#This Row],[Bukti]],Table13[#Data],11,FALSE),"")</f>
        <v/>
      </c>
    </row>
    <row r="918" spans="1:9" ht="19.5" hidden="1" customHeight="1" x14ac:dyDescent="0.2">
      <c r="A918" s="105" t="str">
        <f>IF(D918=1,COUNTIF($D$10:D918,1)," ")</f>
        <v xml:space="preserve"> </v>
      </c>
      <c r="B918" s="106" t="str">
        <f>COPY!AR910</f>
        <v/>
      </c>
      <c r="C918" s="107">
        <f>COPY!AC910</f>
        <v>0</v>
      </c>
      <c r="D918" s="107" t="str">
        <f>IF(LEN(Table1722[[#This Row],[Uraian]])&gt;2,1," ")</f>
        <v xml:space="preserve"> </v>
      </c>
      <c r="E918" s="113" t="str">
        <f>IF(Table1722[[#This Row],[Lawan Transaksi]]="CV AGUNG KARYA",COUNTIF($I$10:I918,"CV AGUNG KARYA")," ")</f>
        <v xml:space="preserve"> </v>
      </c>
      <c r="F918" s="107" t="str">
        <f>IF(LEN(Table1722[[#This Row],[Uraian]])&gt;2,TRIM(RIGHT(SUBSTITUTE(TRIM(C918)," ",REPT(" ",255)),255))," ")</f>
        <v xml:space="preserve"> </v>
      </c>
      <c r="G918" s="110">
        <f>COPY!Z910</f>
        <v>0</v>
      </c>
      <c r="H918" s="111" t="str">
        <f>IFERROR(VLOOKUP(Table1722[[#This Row],[Bukti]],'Un nOTA'!$A$4:$K$5003,10,FALSE),"")</f>
        <v/>
      </c>
      <c r="I918" s="112" t="str">
        <f>IFERROR(VLOOKUP(Table1722[[#This Row],[Bukti]],Table13[#Data],11,FALSE),"")</f>
        <v/>
      </c>
    </row>
    <row r="919" spans="1:9" ht="19.5" hidden="1" customHeight="1" x14ac:dyDescent="0.2">
      <c r="A919" s="105" t="str">
        <f>IF(D919=1,COUNTIF($D$10:D919,1)," ")</f>
        <v xml:space="preserve"> </v>
      </c>
      <c r="B919" s="106" t="str">
        <f>COPY!AR911</f>
        <v/>
      </c>
      <c r="C919" s="107">
        <f>COPY!AC911</f>
        <v>0</v>
      </c>
      <c r="D919" s="107" t="str">
        <f>IF(LEN(Table1722[[#This Row],[Uraian]])&gt;2,1," ")</f>
        <v xml:space="preserve"> </v>
      </c>
      <c r="E919" s="113" t="str">
        <f>IF(Table1722[[#This Row],[Lawan Transaksi]]="CV AGUNG KARYA",COUNTIF($I$10:I919,"CV AGUNG KARYA")," ")</f>
        <v xml:space="preserve"> </v>
      </c>
      <c r="F919" s="107" t="str">
        <f>IF(LEN(Table1722[[#This Row],[Uraian]])&gt;2,TRIM(RIGHT(SUBSTITUTE(TRIM(C919)," ",REPT(" ",255)),255))," ")</f>
        <v xml:space="preserve"> </v>
      </c>
      <c r="G919" s="110">
        <f>COPY!Z911</f>
        <v>0</v>
      </c>
      <c r="H919" s="111" t="str">
        <f>IFERROR(VLOOKUP(Table1722[[#This Row],[Bukti]],'Un nOTA'!$A$4:$K$5003,10,FALSE),"")</f>
        <v/>
      </c>
      <c r="I919" s="112" t="str">
        <f>IFERROR(VLOOKUP(Table1722[[#This Row],[Bukti]],Table13[#Data],11,FALSE),"")</f>
        <v/>
      </c>
    </row>
    <row r="920" spans="1:9" ht="19.5" hidden="1" customHeight="1" x14ac:dyDescent="0.2">
      <c r="A920" s="105" t="str">
        <f>IF(D920=1,COUNTIF($D$10:D920,1)," ")</f>
        <v xml:space="preserve"> </v>
      </c>
      <c r="B920" s="106" t="str">
        <f>COPY!AR912</f>
        <v/>
      </c>
      <c r="C920" s="107">
        <f>COPY!AC912</f>
        <v>0</v>
      </c>
      <c r="D920" s="107" t="str">
        <f>IF(LEN(Table1722[[#This Row],[Uraian]])&gt;2,1," ")</f>
        <v xml:space="preserve"> </v>
      </c>
      <c r="E920" s="113" t="str">
        <f>IF(Table1722[[#This Row],[Lawan Transaksi]]="CV AGUNG KARYA",COUNTIF($I$10:I920,"CV AGUNG KARYA")," ")</f>
        <v xml:space="preserve"> </v>
      </c>
      <c r="F920" s="107" t="str">
        <f>IF(LEN(Table1722[[#This Row],[Uraian]])&gt;2,TRIM(RIGHT(SUBSTITUTE(TRIM(C920)," ",REPT(" ",255)),255))," ")</f>
        <v xml:space="preserve"> </v>
      </c>
      <c r="G920" s="110">
        <f>COPY!Z912</f>
        <v>0</v>
      </c>
      <c r="H920" s="111" t="str">
        <f>IFERROR(VLOOKUP(Table1722[[#This Row],[Bukti]],'Un nOTA'!$A$4:$K$5003,10,FALSE),"")</f>
        <v/>
      </c>
      <c r="I920" s="112" t="str">
        <f>IFERROR(VLOOKUP(Table1722[[#This Row],[Bukti]],Table13[#Data],11,FALSE),"")</f>
        <v/>
      </c>
    </row>
    <row r="921" spans="1:9" ht="19.5" hidden="1" customHeight="1" x14ac:dyDescent="0.2">
      <c r="A921" s="105" t="str">
        <f>IF(D921=1,COUNTIF($D$10:D921,1)," ")</f>
        <v xml:space="preserve"> </v>
      </c>
      <c r="B921" s="106" t="str">
        <f>COPY!AR913</f>
        <v/>
      </c>
      <c r="C921" s="107">
        <f>COPY!AC913</f>
        <v>0</v>
      </c>
      <c r="D921" s="107" t="str">
        <f>IF(LEN(Table1722[[#This Row],[Uraian]])&gt;2,1," ")</f>
        <v xml:space="preserve"> </v>
      </c>
      <c r="E921" s="113" t="str">
        <f>IF(Table1722[[#This Row],[Lawan Transaksi]]="CV AGUNG KARYA",COUNTIF($I$10:I921,"CV AGUNG KARYA")," ")</f>
        <v xml:space="preserve"> </v>
      </c>
      <c r="F921" s="107" t="str">
        <f>IF(LEN(Table1722[[#This Row],[Uraian]])&gt;2,TRIM(RIGHT(SUBSTITUTE(TRIM(C921)," ",REPT(" ",255)),255))," ")</f>
        <v xml:space="preserve"> </v>
      </c>
      <c r="G921" s="110">
        <f>COPY!Z913</f>
        <v>0</v>
      </c>
      <c r="H921" s="111" t="str">
        <f>IFERROR(VLOOKUP(Table1722[[#This Row],[Bukti]],'Un nOTA'!$A$4:$K$5003,10,FALSE),"")</f>
        <v/>
      </c>
      <c r="I921" s="112" t="str">
        <f>IFERROR(VLOOKUP(Table1722[[#This Row],[Bukti]],Table13[#Data],11,FALSE),"")</f>
        <v/>
      </c>
    </row>
    <row r="922" spans="1:9" ht="19.5" hidden="1" customHeight="1" x14ac:dyDescent="0.2">
      <c r="A922" s="105" t="str">
        <f>IF(D922=1,COUNTIF($D$10:D922,1)," ")</f>
        <v xml:space="preserve"> </v>
      </c>
      <c r="B922" s="106" t="str">
        <f>COPY!AR914</f>
        <v/>
      </c>
      <c r="C922" s="107">
        <f>COPY!AC914</f>
        <v>0</v>
      </c>
      <c r="D922" s="107" t="str">
        <f>IF(LEN(Table1722[[#This Row],[Uraian]])&gt;2,1," ")</f>
        <v xml:space="preserve"> </v>
      </c>
      <c r="E922" s="113" t="str">
        <f>IF(Table1722[[#This Row],[Lawan Transaksi]]="CV AGUNG KARYA",COUNTIF($I$10:I922,"CV AGUNG KARYA")," ")</f>
        <v xml:space="preserve"> </v>
      </c>
      <c r="F922" s="107" t="str">
        <f>IF(LEN(Table1722[[#This Row],[Uraian]])&gt;2,TRIM(RIGHT(SUBSTITUTE(TRIM(C922)," ",REPT(" ",255)),255))," ")</f>
        <v xml:space="preserve"> </v>
      </c>
      <c r="G922" s="110">
        <f>COPY!Z914</f>
        <v>0</v>
      </c>
      <c r="H922" s="111" t="str">
        <f>IFERROR(VLOOKUP(Table1722[[#This Row],[Bukti]],'Un nOTA'!$A$4:$K$5003,10,FALSE),"")</f>
        <v/>
      </c>
      <c r="I922" s="112" t="str">
        <f>IFERROR(VLOOKUP(Table1722[[#This Row],[Bukti]],Table13[#Data],11,FALSE),"")</f>
        <v/>
      </c>
    </row>
    <row r="923" spans="1:9" ht="19.5" hidden="1" customHeight="1" x14ac:dyDescent="0.2">
      <c r="A923" s="105" t="str">
        <f>IF(D923=1,COUNTIF($D$10:D923,1)," ")</f>
        <v xml:space="preserve"> </v>
      </c>
      <c r="B923" s="106" t="str">
        <f>COPY!AR915</f>
        <v/>
      </c>
      <c r="C923" s="107">
        <f>COPY!AC915</f>
        <v>0</v>
      </c>
      <c r="D923" s="107" t="str">
        <f>IF(LEN(Table1722[[#This Row],[Uraian]])&gt;2,1," ")</f>
        <v xml:space="preserve"> </v>
      </c>
      <c r="E923" s="113" t="str">
        <f>IF(Table1722[[#This Row],[Lawan Transaksi]]="CV AGUNG KARYA",COUNTIF($I$10:I923,"CV AGUNG KARYA")," ")</f>
        <v xml:space="preserve"> </v>
      </c>
      <c r="F923" s="107" t="str">
        <f>IF(LEN(Table1722[[#This Row],[Uraian]])&gt;2,TRIM(RIGHT(SUBSTITUTE(TRIM(C923)," ",REPT(" ",255)),255))," ")</f>
        <v xml:space="preserve"> </v>
      </c>
      <c r="G923" s="110">
        <f>COPY!Z915</f>
        <v>0</v>
      </c>
      <c r="H923" s="111" t="str">
        <f>IFERROR(VLOOKUP(Table1722[[#This Row],[Bukti]],'Un nOTA'!$A$4:$K$5003,10,FALSE),"")</f>
        <v/>
      </c>
      <c r="I923" s="112" t="str">
        <f>IFERROR(VLOOKUP(Table1722[[#This Row],[Bukti]],Table13[#Data],11,FALSE),"")</f>
        <v/>
      </c>
    </row>
    <row r="924" spans="1:9" ht="19.5" hidden="1" customHeight="1" x14ac:dyDescent="0.2">
      <c r="A924" s="105" t="str">
        <f>IF(D924=1,COUNTIF($D$10:D924,1)," ")</f>
        <v xml:space="preserve"> </v>
      </c>
      <c r="B924" s="106" t="str">
        <f>COPY!AR916</f>
        <v/>
      </c>
      <c r="C924" s="107">
        <f>COPY!AC916</f>
        <v>0</v>
      </c>
      <c r="D924" s="107" t="str">
        <f>IF(LEN(Table1722[[#This Row],[Uraian]])&gt;2,1," ")</f>
        <v xml:space="preserve"> </v>
      </c>
      <c r="E924" s="113" t="str">
        <f>IF(Table1722[[#This Row],[Lawan Transaksi]]="CV AGUNG KARYA",COUNTIF($I$10:I924,"CV AGUNG KARYA")," ")</f>
        <v xml:space="preserve"> </v>
      </c>
      <c r="F924" s="107" t="str">
        <f>IF(LEN(Table1722[[#This Row],[Uraian]])&gt;2,TRIM(RIGHT(SUBSTITUTE(TRIM(C924)," ",REPT(" ",255)),255))," ")</f>
        <v xml:space="preserve"> </v>
      </c>
      <c r="G924" s="110">
        <f>COPY!Z916</f>
        <v>0</v>
      </c>
      <c r="H924" s="111" t="str">
        <f>IFERROR(VLOOKUP(Table1722[[#This Row],[Bukti]],'Un nOTA'!$A$4:$K$5003,10,FALSE),"")</f>
        <v/>
      </c>
      <c r="I924" s="112" t="str">
        <f>IFERROR(VLOOKUP(Table1722[[#This Row],[Bukti]],Table13[#Data],11,FALSE),"")</f>
        <v/>
      </c>
    </row>
    <row r="925" spans="1:9" ht="19.5" hidden="1" customHeight="1" x14ac:dyDescent="0.2">
      <c r="A925" s="105" t="str">
        <f>IF(D925=1,COUNTIF($D$10:D925,1)," ")</f>
        <v xml:space="preserve"> </v>
      </c>
      <c r="B925" s="106" t="str">
        <f>COPY!AR917</f>
        <v/>
      </c>
      <c r="C925" s="107">
        <f>COPY!AC917</f>
        <v>0</v>
      </c>
      <c r="D925" s="107" t="str">
        <f>IF(LEN(Table1722[[#This Row],[Uraian]])&gt;2,1," ")</f>
        <v xml:space="preserve"> </v>
      </c>
      <c r="E925" s="113" t="str">
        <f>IF(Table1722[[#This Row],[Lawan Transaksi]]="CV AGUNG KARYA",COUNTIF($I$10:I925,"CV AGUNG KARYA")," ")</f>
        <v xml:space="preserve"> </v>
      </c>
      <c r="F925" s="107" t="str">
        <f>IF(LEN(Table1722[[#This Row],[Uraian]])&gt;2,TRIM(RIGHT(SUBSTITUTE(TRIM(C925)," ",REPT(" ",255)),255))," ")</f>
        <v xml:space="preserve"> </v>
      </c>
      <c r="G925" s="110">
        <f>COPY!Z917</f>
        <v>0</v>
      </c>
      <c r="H925" s="111" t="str">
        <f>IFERROR(VLOOKUP(Table1722[[#This Row],[Bukti]],'Un nOTA'!$A$4:$K$5003,10,FALSE),"")</f>
        <v/>
      </c>
      <c r="I925" s="112" t="str">
        <f>IFERROR(VLOOKUP(Table1722[[#This Row],[Bukti]],Table13[#Data],11,FALSE),"")</f>
        <v/>
      </c>
    </row>
    <row r="926" spans="1:9" ht="19.5" hidden="1" customHeight="1" x14ac:dyDescent="0.2">
      <c r="A926" s="105" t="str">
        <f>IF(D926=1,COUNTIF($D$10:D926,1)," ")</f>
        <v xml:space="preserve"> </v>
      </c>
      <c r="B926" s="106" t="str">
        <f>COPY!AR918</f>
        <v/>
      </c>
      <c r="C926" s="107">
        <f>COPY!AC918</f>
        <v>0</v>
      </c>
      <c r="D926" s="107" t="str">
        <f>IF(LEN(Table1722[[#This Row],[Uraian]])&gt;2,1," ")</f>
        <v xml:space="preserve"> </v>
      </c>
      <c r="E926" s="113" t="str">
        <f>IF(Table1722[[#This Row],[Lawan Transaksi]]="CV AGUNG KARYA",COUNTIF($I$10:I926,"CV AGUNG KARYA")," ")</f>
        <v xml:space="preserve"> </v>
      </c>
      <c r="F926" s="107" t="str">
        <f>IF(LEN(Table1722[[#This Row],[Uraian]])&gt;2,TRIM(RIGHT(SUBSTITUTE(TRIM(C926)," ",REPT(" ",255)),255))," ")</f>
        <v xml:space="preserve"> </v>
      </c>
      <c r="G926" s="110">
        <f>COPY!Z918</f>
        <v>0</v>
      </c>
      <c r="H926" s="111" t="str">
        <f>IFERROR(VLOOKUP(Table1722[[#This Row],[Bukti]],'Un nOTA'!$A$4:$K$5003,10,FALSE),"")</f>
        <v/>
      </c>
      <c r="I926" s="112" t="str">
        <f>IFERROR(VLOOKUP(Table1722[[#This Row],[Bukti]],Table13[#Data],11,FALSE),"")</f>
        <v/>
      </c>
    </row>
    <row r="927" spans="1:9" ht="19.5" hidden="1" customHeight="1" x14ac:dyDescent="0.2">
      <c r="A927" s="105" t="str">
        <f>IF(D927=1,COUNTIF($D$10:D927,1)," ")</f>
        <v xml:space="preserve"> </v>
      </c>
      <c r="B927" s="106" t="str">
        <f>COPY!AR919</f>
        <v/>
      </c>
      <c r="C927" s="107">
        <f>COPY!AC919</f>
        <v>0</v>
      </c>
      <c r="D927" s="107" t="str">
        <f>IF(LEN(Table1722[[#This Row],[Uraian]])&gt;2,1," ")</f>
        <v xml:space="preserve"> </v>
      </c>
      <c r="E927" s="113" t="str">
        <f>IF(Table1722[[#This Row],[Lawan Transaksi]]="CV AGUNG KARYA",COUNTIF($I$10:I927,"CV AGUNG KARYA")," ")</f>
        <v xml:space="preserve"> </v>
      </c>
      <c r="F927" s="107" t="str">
        <f>IF(LEN(Table1722[[#This Row],[Uraian]])&gt;2,TRIM(RIGHT(SUBSTITUTE(TRIM(C927)," ",REPT(" ",255)),255))," ")</f>
        <v xml:space="preserve"> </v>
      </c>
      <c r="G927" s="110">
        <f>COPY!Z919</f>
        <v>0</v>
      </c>
      <c r="H927" s="111" t="str">
        <f>IFERROR(VLOOKUP(Table1722[[#This Row],[Bukti]],'Un nOTA'!$A$4:$K$5003,10,FALSE),"")</f>
        <v/>
      </c>
      <c r="I927" s="112" t="str">
        <f>IFERROR(VLOOKUP(Table1722[[#This Row],[Bukti]],Table13[#Data],11,FALSE),"")</f>
        <v/>
      </c>
    </row>
    <row r="928" spans="1:9" ht="19.5" hidden="1" customHeight="1" x14ac:dyDescent="0.2">
      <c r="A928" s="105" t="str">
        <f>IF(D928=1,COUNTIF($D$10:D928,1)," ")</f>
        <v xml:space="preserve"> </v>
      </c>
      <c r="B928" s="106" t="str">
        <f>COPY!AR920</f>
        <v/>
      </c>
      <c r="C928" s="107">
        <f>COPY!AC920</f>
        <v>0</v>
      </c>
      <c r="D928" s="107" t="str">
        <f>IF(LEN(Table1722[[#This Row],[Uraian]])&gt;2,1," ")</f>
        <v xml:space="preserve"> </v>
      </c>
      <c r="E928" s="113" t="str">
        <f>IF(Table1722[[#This Row],[Lawan Transaksi]]="CV AGUNG KARYA",COUNTIF($I$10:I928,"CV AGUNG KARYA")," ")</f>
        <v xml:space="preserve"> </v>
      </c>
      <c r="F928" s="107" t="str">
        <f>IF(LEN(Table1722[[#This Row],[Uraian]])&gt;2,TRIM(RIGHT(SUBSTITUTE(TRIM(C928)," ",REPT(" ",255)),255))," ")</f>
        <v xml:space="preserve"> </v>
      </c>
      <c r="G928" s="110">
        <f>COPY!Z920</f>
        <v>0</v>
      </c>
      <c r="H928" s="111" t="str">
        <f>IFERROR(VLOOKUP(Table1722[[#This Row],[Bukti]],'Un nOTA'!$A$4:$K$5003,10,FALSE),"")</f>
        <v/>
      </c>
      <c r="I928" s="112" t="str">
        <f>IFERROR(VLOOKUP(Table1722[[#This Row],[Bukti]],Table13[#Data],11,FALSE),"")</f>
        <v/>
      </c>
    </row>
    <row r="929" spans="1:9" ht="19.5" hidden="1" customHeight="1" x14ac:dyDescent="0.2">
      <c r="A929" s="105" t="str">
        <f>IF(D929=1,COUNTIF($D$10:D929,1)," ")</f>
        <v xml:space="preserve"> </v>
      </c>
      <c r="B929" s="106" t="str">
        <f>COPY!AR921</f>
        <v/>
      </c>
      <c r="C929" s="107">
        <f>COPY!AC921</f>
        <v>0</v>
      </c>
      <c r="D929" s="107" t="str">
        <f>IF(LEN(Table1722[[#This Row],[Uraian]])&gt;2,1," ")</f>
        <v xml:space="preserve"> </v>
      </c>
      <c r="E929" s="113" t="str">
        <f>IF(Table1722[[#This Row],[Lawan Transaksi]]="CV AGUNG KARYA",COUNTIF($I$10:I929,"CV AGUNG KARYA")," ")</f>
        <v xml:space="preserve"> </v>
      </c>
      <c r="F929" s="107" t="str">
        <f>IF(LEN(Table1722[[#This Row],[Uraian]])&gt;2,TRIM(RIGHT(SUBSTITUTE(TRIM(C929)," ",REPT(" ",255)),255))," ")</f>
        <v xml:space="preserve"> </v>
      </c>
      <c r="G929" s="110">
        <f>COPY!Z921</f>
        <v>0</v>
      </c>
      <c r="H929" s="111" t="str">
        <f>IFERROR(VLOOKUP(Table1722[[#This Row],[Bukti]],'Un nOTA'!$A$4:$K$5003,10,FALSE),"")</f>
        <v/>
      </c>
      <c r="I929" s="112" t="str">
        <f>IFERROR(VLOOKUP(Table1722[[#This Row],[Bukti]],Table13[#Data],11,FALSE),"")</f>
        <v/>
      </c>
    </row>
    <row r="930" spans="1:9" ht="19.5" hidden="1" customHeight="1" x14ac:dyDescent="0.2">
      <c r="A930" s="105" t="str">
        <f>IF(D930=1,COUNTIF($D$10:D930,1)," ")</f>
        <v xml:space="preserve"> </v>
      </c>
      <c r="B930" s="106" t="str">
        <f>COPY!AR922</f>
        <v/>
      </c>
      <c r="C930" s="107">
        <f>COPY!AC922</f>
        <v>0</v>
      </c>
      <c r="D930" s="107" t="str">
        <f>IF(LEN(Table1722[[#This Row],[Uraian]])&gt;2,1," ")</f>
        <v xml:space="preserve"> </v>
      </c>
      <c r="E930" s="113" t="str">
        <f>IF(Table1722[[#This Row],[Lawan Transaksi]]="CV AGUNG KARYA",COUNTIF($I$10:I930,"CV AGUNG KARYA")," ")</f>
        <v xml:space="preserve"> </v>
      </c>
      <c r="F930" s="107" t="str">
        <f>IF(LEN(Table1722[[#This Row],[Uraian]])&gt;2,TRIM(RIGHT(SUBSTITUTE(TRIM(C930)," ",REPT(" ",255)),255))," ")</f>
        <v xml:space="preserve"> </v>
      </c>
      <c r="G930" s="110">
        <f>COPY!Z922</f>
        <v>0</v>
      </c>
      <c r="H930" s="111" t="str">
        <f>IFERROR(VLOOKUP(Table1722[[#This Row],[Bukti]],'Un nOTA'!$A$4:$K$5003,10,FALSE),"")</f>
        <v/>
      </c>
      <c r="I930" s="112" t="str">
        <f>IFERROR(VLOOKUP(Table1722[[#This Row],[Bukti]],Table13[#Data],11,FALSE),"")</f>
        <v/>
      </c>
    </row>
    <row r="931" spans="1:9" ht="19.5" hidden="1" customHeight="1" x14ac:dyDescent="0.2">
      <c r="A931" s="105" t="str">
        <f>IF(D931=1,COUNTIF($D$10:D931,1)," ")</f>
        <v xml:space="preserve"> </v>
      </c>
      <c r="B931" s="106" t="str">
        <f>COPY!AR923</f>
        <v/>
      </c>
      <c r="C931" s="107">
        <f>COPY!AC923</f>
        <v>0</v>
      </c>
      <c r="D931" s="107" t="str">
        <f>IF(LEN(Table1722[[#This Row],[Uraian]])&gt;2,1," ")</f>
        <v xml:space="preserve"> </v>
      </c>
      <c r="E931" s="113" t="str">
        <f>IF(Table1722[[#This Row],[Lawan Transaksi]]="CV AGUNG KARYA",COUNTIF($I$10:I931,"CV AGUNG KARYA")," ")</f>
        <v xml:space="preserve"> </v>
      </c>
      <c r="F931" s="107" t="str">
        <f>IF(LEN(Table1722[[#This Row],[Uraian]])&gt;2,TRIM(RIGHT(SUBSTITUTE(TRIM(C931)," ",REPT(" ",255)),255))," ")</f>
        <v xml:space="preserve"> </v>
      </c>
      <c r="G931" s="110">
        <f>COPY!Z923</f>
        <v>0</v>
      </c>
      <c r="H931" s="111" t="str">
        <f>IFERROR(VLOOKUP(Table1722[[#This Row],[Bukti]],'Un nOTA'!$A$4:$K$5003,10,FALSE),"")</f>
        <v/>
      </c>
      <c r="I931" s="112" t="str">
        <f>IFERROR(VLOOKUP(Table1722[[#This Row],[Bukti]],Table13[#Data],11,FALSE),"")</f>
        <v/>
      </c>
    </row>
    <row r="932" spans="1:9" ht="19.5" hidden="1" customHeight="1" x14ac:dyDescent="0.2">
      <c r="A932" s="105" t="str">
        <f>IF(D932=1,COUNTIF($D$10:D932,1)," ")</f>
        <v xml:space="preserve"> </v>
      </c>
      <c r="B932" s="106" t="str">
        <f>COPY!AR924</f>
        <v/>
      </c>
      <c r="C932" s="107">
        <f>COPY!AC924</f>
        <v>0</v>
      </c>
      <c r="D932" s="107" t="str">
        <f>IF(LEN(Table1722[[#This Row],[Uraian]])&gt;2,1," ")</f>
        <v xml:space="preserve"> </v>
      </c>
      <c r="E932" s="113" t="str">
        <f>IF(Table1722[[#This Row],[Lawan Transaksi]]="CV AGUNG KARYA",COUNTIF($I$10:I932,"CV AGUNG KARYA")," ")</f>
        <v xml:space="preserve"> </v>
      </c>
      <c r="F932" s="107" t="str">
        <f>IF(LEN(Table1722[[#This Row],[Uraian]])&gt;2,TRIM(RIGHT(SUBSTITUTE(TRIM(C932)," ",REPT(" ",255)),255))," ")</f>
        <v xml:space="preserve"> </v>
      </c>
      <c r="G932" s="110">
        <f>COPY!Z924</f>
        <v>0</v>
      </c>
      <c r="H932" s="111" t="str">
        <f>IFERROR(VLOOKUP(Table1722[[#This Row],[Bukti]],'Un nOTA'!$A$4:$K$5003,10,FALSE),"")</f>
        <v/>
      </c>
      <c r="I932" s="112" t="str">
        <f>IFERROR(VLOOKUP(Table1722[[#This Row],[Bukti]],Table13[#Data],11,FALSE),"")</f>
        <v/>
      </c>
    </row>
    <row r="933" spans="1:9" ht="19.5" hidden="1" customHeight="1" x14ac:dyDescent="0.2">
      <c r="A933" s="105" t="str">
        <f>IF(D933=1,COUNTIF($D$10:D933,1)," ")</f>
        <v xml:space="preserve"> </v>
      </c>
      <c r="B933" s="106" t="str">
        <f>COPY!AR925</f>
        <v/>
      </c>
      <c r="C933" s="107">
        <f>COPY!AC925</f>
        <v>0</v>
      </c>
      <c r="D933" s="107" t="str">
        <f>IF(LEN(Table1722[[#This Row],[Uraian]])&gt;2,1," ")</f>
        <v xml:space="preserve"> </v>
      </c>
      <c r="E933" s="113" t="str">
        <f>IF(Table1722[[#This Row],[Lawan Transaksi]]="CV AGUNG KARYA",COUNTIF($I$10:I933,"CV AGUNG KARYA")," ")</f>
        <v xml:space="preserve"> </v>
      </c>
      <c r="F933" s="107" t="str">
        <f>IF(LEN(Table1722[[#This Row],[Uraian]])&gt;2,TRIM(RIGHT(SUBSTITUTE(TRIM(C933)," ",REPT(" ",255)),255))," ")</f>
        <v xml:space="preserve"> </v>
      </c>
      <c r="G933" s="110">
        <f>COPY!Z925</f>
        <v>0</v>
      </c>
      <c r="H933" s="111" t="str">
        <f>IFERROR(VLOOKUP(Table1722[[#This Row],[Bukti]],'Un nOTA'!$A$4:$K$5003,10,FALSE),"")</f>
        <v/>
      </c>
      <c r="I933" s="112" t="str">
        <f>IFERROR(VLOOKUP(Table1722[[#This Row],[Bukti]],Table13[#Data],11,FALSE),"")</f>
        <v/>
      </c>
    </row>
    <row r="934" spans="1:9" ht="19.5" hidden="1" customHeight="1" x14ac:dyDescent="0.2">
      <c r="A934" s="105" t="str">
        <f>IF(D934=1,COUNTIF($D$10:D934,1)," ")</f>
        <v xml:space="preserve"> </v>
      </c>
      <c r="B934" s="106" t="str">
        <f>COPY!AR926</f>
        <v/>
      </c>
      <c r="C934" s="107">
        <f>COPY!AC926</f>
        <v>0</v>
      </c>
      <c r="D934" s="107" t="str">
        <f>IF(LEN(Table1722[[#This Row],[Uraian]])&gt;2,1," ")</f>
        <v xml:space="preserve"> </v>
      </c>
      <c r="E934" s="113" t="str">
        <f>IF(Table1722[[#This Row],[Lawan Transaksi]]="CV AGUNG KARYA",COUNTIF($I$10:I934,"CV AGUNG KARYA")," ")</f>
        <v xml:space="preserve"> </v>
      </c>
      <c r="F934" s="107" t="str">
        <f>IF(LEN(Table1722[[#This Row],[Uraian]])&gt;2,TRIM(RIGHT(SUBSTITUTE(TRIM(C934)," ",REPT(" ",255)),255))," ")</f>
        <v xml:space="preserve"> </v>
      </c>
      <c r="G934" s="110">
        <f>COPY!Z926</f>
        <v>0</v>
      </c>
      <c r="H934" s="111" t="str">
        <f>IFERROR(VLOOKUP(Table1722[[#This Row],[Bukti]],'Un nOTA'!$A$4:$K$5003,10,FALSE),"")</f>
        <v/>
      </c>
      <c r="I934" s="112" t="str">
        <f>IFERROR(VLOOKUP(Table1722[[#This Row],[Bukti]],Table13[#Data],11,FALSE),"")</f>
        <v/>
      </c>
    </row>
    <row r="935" spans="1:9" ht="19.5" hidden="1" customHeight="1" x14ac:dyDescent="0.2">
      <c r="A935" s="105" t="str">
        <f>IF(D935=1,COUNTIF($D$10:D935,1)," ")</f>
        <v xml:space="preserve"> </v>
      </c>
      <c r="B935" s="106" t="str">
        <f>COPY!AR927</f>
        <v/>
      </c>
      <c r="C935" s="107">
        <f>COPY!AC927</f>
        <v>0</v>
      </c>
      <c r="D935" s="107" t="str">
        <f>IF(LEN(Table1722[[#This Row],[Uraian]])&gt;2,1," ")</f>
        <v xml:space="preserve"> </v>
      </c>
      <c r="E935" s="113" t="str">
        <f>IF(Table1722[[#This Row],[Lawan Transaksi]]="CV AGUNG KARYA",COUNTIF($I$10:I935,"CV AGUNG KARYA")," ")</f>
        <v xml:space="preserve"> </v>
      </c>
      <c r="F935" s="107" t="str">
        <f>IF(LEN(Table1722[[#This Row],[Uraian]])&gt;2,TRIM(RIGHT(SUBSTITUTE(TRIM(C935)," ",REPT(" ",255)),255))," ")</f>
        <v xml:space="preserve"> </v>
      </c>
      <c r="G935" s="110">
        <f>COPY!Z927</f>
        <v>0</v>
      </c>
      <c r="H935" s="111" t="str">
        <f>IFERROR(VLOOKUP(Table1722[[#This Row],[Bukti]],'Un nOTA'!$A$4:$K$5003,10,FALSE),"")</f>
        <v/>
      </c>
      <c r="I935" s="112" t="str">
        <f>IFERROR(VLOOKUP(Table1722[[#This Row],[Bukti]],Table13[#Data],11,FALSE),"")</f>
        <v/>
      </c>
    </row>
    <row r="936" spans="1:9" ht="19.5" hidden="1" customHeight="1" x14ac:dyDescent="0.2">
      <c r="A936" s="105" t="str">
        <f>IF(D936=1,COUNTIF($D$10:D936,1)," ")</f>
        <v xml:space="preserve"> </v>
      </c>
      <c r="B936" s="106" t="str">
        <f>COPY!AR928</f>
        <v/>
      </c>
      <c r="C936" s="107">
        <f>COPY!AC928</f>
        <v>0</v>
      </c>
      <c r="D936" s="107" t="str">
        <f>IF(LEN(Table1722[[#This Row],[Uraian]])&gt;2,1," ")</f>
        <v xml:space="preserve"> </v>
      </c>
      <c r="E936" s="113" t="str">
        <f>IF(Table1722[[#This Row],[Lawan Transaksi]]="CV AGUNG KARYA",COUNTIF($I$10:I936,"CV AGUNG KARYA")," ")</f>
        <v xml:space="preserve"> </v>
      </c>
      <c r="F936" s="107" t="str">
        <f>IF(LEN(Table1722[[#This Row],[Uraian]])&gt;2,TRIM(RIGHT(SUBSTITUTE(TRIM(C936)," ",REPT(" ",255)),255))," ")</f>
        <v xml:space="preserve"> </v>
      </c>
      <c r="G936" s="110">
        <f>COPY!Z928</f>
        <v>0</v>
      </c>
      <c r="H936" s="111" t="str">
        <f>IFERROR(VLOOKUP(Table1722[[#This Row],[Bukti]],'Un nOTA'!$A$4:$K$5003,10,FALSE),"")</f>
        <v/>
      </c>
      <c r="I936" s="112" t="str">
        <f>IFERROR(VLOOKUP(Table1722[[#This Row],[Bukti]],Table13[#Data],11,FALSE),"")</f>
        <v/>
      </c>
    </row>
    <row r="937" spans="1:9" ht="19.5" hidden="1" customHeight="1" x14ac:dyDescent="0.2">
      <c r="A937" s="105" t="str">
        <f>IF(D937=1,COUNTIF($D$10:D937,1)," ")</f>
        <v xml:space="preserve"> </v>
      </c>
      <c r="B937" s="106" t="str">
        <f>COPY!AR929</f>
        <v/>
      </c>
      <c r="C937" s="107">
        <f>COPY!AC929</f>
        <v>0</v>
      </c>
      <c r="D937" s="107" t="str">
        <f>IF(LEN(Table1722[[#This Row],[Uraian]])&gt;2,1," ")</f>
        <v xml:space="preserve"> </v>
      </c>
      <c r="E937" s="113" t="str">
        <f>IF(Table1722[[#This Row],[Lawan Transaksi]]="CV AGUNG KARYA",COUNTIF($I$10:I937,"CV AGUNG KARYA")," ")</f>
        <v xml:space="preserve"> </v>
      </c>
      <c r="F937" s="107" t="str">
        <f>IF(LEN(Table1722[[#This Row],[Uraian]])&gt;2,TRIM(RIGHT(SUBSTITUTE(TRIM(C937)," ",REPT(" ",255)),255))," ")</f>
        <v xml:space="preserve"> </v>
      </c>
      <c r="G937" s="110">
        <f>COPY!Z929</f>
        <v>0</v>
      </c>
      <c r="H937" s="111" t="str">
        <f>IFERROR(VLOOKUP(Table1722[[#This Row],[Bukti]],'Un nOTA'!$A$4:$K$5003,10,FALSE),"")</f>
        <v/>
      </c>
      <c r="I937" s="112" t="str">
        <f>IFERROR(VLOOKUP(Table1722[[#This Row],[Bukti]],Table13[#Data],11,FALSE),"")</f>
        <v/>
      </c>
    </row>
    <row r="938" spans="1:9" ht="19.5" hidden="1" customHeight="1" x14ac:dyDescent="0.2">
      <c r="A938" s="105" t="str">
        <f>IF(D938=1,COUNTIF($D$10:D938,1)," ")</f>
        <v xml:space="preserve"> </v>
      </c>
      <c r="B938" s="106" t="str">
        <f>COPY!AR930</f>
        <v/>
      </c>
      <c r="C938" s="107">
        <f>COPY!AC930</f>
        <v>0</v>
      </c>
      <c r="D938" s="107" t="str">
        <f>IF(LEN(Table1722[[#This Row],[Uraian]])&gt;2,1," ")</f>
        <v xml:space="preserve"> </v>
      </c>
      <c r="E938" s="113" t="str">
        <f>IF(Table1722[[#This Row],[Lawan Transaksi]]="CV AGUNG KARYA",COUNTIF($I$10:I938,"CV AGUNG KARYA")," ")</f>
        <v xml:space="preserve"> </v>
      </c>
      <c r="F938" s="107" t="str">
        <f>IF(LEN(Table1722[[#This Row],[Uraian]])&gt;2,TRIM(RIGHT(SUBSTITUTE(TRIM(C938)," ",REPT(" ",255)),255))," ")</f>
        <v xml:space="preserve"> </v>
      </c>
      <c r="G938" s="110">
        <f>COPY!Z930</f>
        <v>0</v>
      </c>
      <c r="H938" s="111" t="str">
        <f>IFERROR(VLOOKUP(Table1722[[#This Row],[Bukti]],'Un nOTA'!$A$4:$K$5003,10,FALSE),"")</f>
        <v/>
      </c>
      <c r="I938" s="112" t="str">
        <f>IFERROR(VLOOKUP(Table1722[[#This Row],[Bukti]],Table13[#Data],11,FALSE),"")</f>
        <v/>
      </c>
    </row>
    <row r="939" spans="1:9" ht="19.5" hidden="1" customHeight="1" x14ac:dyDescent="0.2">
      <c r="A939" s="105" t="str">
        <f>IF(D939=1,COUNTIF($D$10:D939,1)," ")</f>
        <v xml:space="preserve"> </v>
      </c>
      <c r="B939" s="106" t="str">
        <f>COPY!AR931</f>
        <v/>
      </c>
      <c r="C939" s="107">
        <f>COPY!AC931</f>
        <v>0</v>
      </c>
      <c r="D939" s="107" t="str">
        <f>IF(LEN(Table1722[[#This Row],[Uraian]])&gt;2,1," ")</f>
        <v xml:space="preserve"> </v>
      </c>
      <c r="E939" s="113" t="str">
        <f>IF(Table1722[[#This Row],[Lawan Transaksi]]="CV AGUNG KARYA",COUNTIF($I$10:I939,"CV AGUNG KARYA")," ")</f>
        <v xml:space="preserve"> </v>
      </c>
      <c r="F939" s="107" t="str">
        <f>IF(LEN(Table1722[[#This Row],[Uraian]])&gt;2,TRIM(RIGHT(SUBSTITUTE(TRIM(C939)," ",REPT(" ",255)),255))," ")</f>
        <v xml:space="preserve"> </v>
      </c>
      <c r="G939" s="110">
        <f>COPY!Z931</f>
        <v>0</v>
      </c>
      <c r="H939" s="111" t="str">
        <f>IFERROR(VLOOKUP(Table1722[[#This Row],[Bukti]],'Un nOTA'!$A$4:$K$5003,10,FALSE),"")</f>
        <v/>
      </c>
      <c r="I939" s="112" t="str">
        <f>IFERROR(VLOOKUP(Table1722[[#This Row],[Bukti]],Table13[#Data],11,FALSE),"")</f>
        <v/>
      </c>
    </row>
    <row r="940" spans="1:9" ht="19.5" hidden="1" customHeight="1" x14ac:dyDescent="0.2">
      <c r="A940" s="105" t="str">
        <f>IF(D940=1,COUNTIF($D$10:D940,1)," ")</f>
        <v xml:space="preserve"> </v>
      </c>
      <c r="B940" s="106" t="str">
        <f>COPY!AR932</f>
        <v/>
      </c>
      <c r="C940" s="107">
        <f>COPY!AC932</f>
        <v>0</v>
      </c>
      <c r="D940" s="107" t="str">
        <f>IF(LEN(Table1722[[#This Row],[Uraian]])&gt;2,1," ")</f>
        <v xml:space="preserve"> </v>
      </c>
      <c r="E940" s="113" t="str">
        <f>IF(Table1722[[#This Row],[Lawan Transaksi]]="CV AGUNG KARYA",COUNTIF($I$10:I940,"CV AGUNG KARYA")," ")</f>
        <v xml:space="preserve"> </v>
      </c>
      <c r="F940" s="107" t="str">
        <f>IF(LEN(Table1722[[#This Row],[Uraian]])&gt;2,TRIM(RIGHT(SUBSTITUTE(TRIM(C940)," ",REPT(" ",255)),255))," ")</f>
        <v xml:space="preserve"> </v>
      </c>
      <c r="G940" s="110">
        <f>COPY!Z932</f>
        <v>0</v>
      </c>
      <c r="H940" s="111" t="str">
        <f>IFERROR(VLOOKUP(Table1722[[#This Row],[Bukti]],'Un nOTA'!$A$4:$K$5003,10,FALSE),"")</f>
        <v/>
      </c>
      <c r="I940" s="112" t="str">
        <f>IFERROR(VLOOKUP(Table1722[[#This Row],[Bukti]],Table13[#Data],11,FALSE),"")</f>
        <v/>
      </c>
    </row>
    <row r="941" spans="1:9" ht="19.5" hidden="1" customHeight="1" x14ac:dyDescent="0.2">
      <c r="A941" s="105" t="str">
        <f>IF(D941=1,COUNTIF($D$10:D941,1)," ")</f>
        <v xml:space="preserve"> </v>
      </c>
      <c r="B941" s="106" t="str">
        <f>COPY!AR933</f>
        <v/>
      </c>
      <c r="C941" s="107">
        <f>COPY!AC933</f>
        <v>0</v>
      </c>
      <c r="D941" s="107" t="str">
        <f>IF(LEN(Table1722[[#This Row],[Uraian]])&gt;2,1," ")</f>
        <v xml:space="preserve"> </v>
      </c>
      <c r="E941" s="113" t="str">
        <f>IF(Table1722[[#This Row],[Lawan Transaksi]]="CV AGUNG KARYA",COUNTIF($I$10:I941,"CV AGUNG KARYA")," ")</f>
        <v xml:space="preserve"> </v>
      </c>
      <c r="F941" s="107" t="str">
        <f>IF(LEN(Table1722[[#This Row],[Uraian]])&gt;2,TRIM(RIGHT(SUBSTITUTE(TRIM(C941)," ",REPT(" ",255)),255))," ")</f>
        <v xml:space="preserve"> </v>
      </c>
      <c r="G941" s="110">
        <f>COPY!Z933</f>
        <v>0</v>
      </c>
      <c r="H941" s="111" t="str">
        <f>IFERROR(VLOOKUP(Table1722[[#This Row],[Bukti]],'Un nOTA'!$A$4:$K$5003,10,FALSE),"")</f>
        <v/>
      </c>
      <c r="I941" s="112" t="str">
        <f>IFERROR(VLOOKUP(Table1722[[#This Row],[Bukti]],Table13[#Data],11,FALSE),"")</f>
        <v/>
      </c>
    </row>
    <row r="942" spans="1:9" ht="19.5" hidden="1" customHeight="1" x14ac:dyDescent="0.2">
      <c r="A942" s="105" t="str">
        <f>IF(D942=1,COUNTIF($D$10:D942,1)," ")</f>
        <v xml:space="preserve"> </v>
      </c>
      <c r="B942" s="106" t="str">
        <f>COPY!AR934</f>
        <v/>
      </c>
      <c r="C942" s="107">
        <f>COPY!AC934</f>
        <v>0</v>
      </c>
      <c r="D942" s="107" t="str">
        <f>IF(LEN(Table1722[[#This Row],[Uraian]])&gt;2,1," ")</f>
        <v xml:space="preserve"> </v>
      </c>
      <c r="E942" s="113" t="str">
        <f>IF(Table1722[[#This Row],[Lawan Transaksi]]="CV AGUNG KARYA",COUNTIF($I$10:I942,"CV AGUNG KARYA")," ")</f>
        <v xml:space="preserve"> </v>
      </c>
      <c r="F942" s="107" t="str">
        <f>IF(LEN(Table1722[[#This Row],[Uraian]])&gt;2,TRIM(RIGHT(SUBSTITUTE(TRIM(C942)," ",REPT(" ",255)),255))," ")</f>
        <v xml:space="preserve"> </v>
      </c>
      <c r="G942" s="110">
        <f>COPY!Z934</f>
        <v>0</v>
      </c>
      <c r="H942" s="111" t="str">
        <f>IFERROR(VLOOKUP(Table1722[[#This Row],[Bukti]],'Un nOTA'!$A$4:$K$5003,10,FALSE),"")</f>
        <v/>
      </c>
      <c r="I942" s="112" t="str">
        <f>IFERROR(VLOOKUP(Table1722[[#This Row],[Bukti]],Table13[#Data],11,FALSE),"")</f>
        <v/>
      </c>
    </row>
    <row r="943" spans="1:9" ht="19.5" hidden="1" customHeight="1" x14ac:dyDescent="0.2">
      <c r="A943" s="105" t="str">
        <f>IF(D943=1,COUNTIF($D$10:D943,1)," ")</f>
        <v xml:space="preserve"> </v>
      </c>
      <c r="B943" s="106" t="str">
        <f>COPY!AR935</f>
        <v/>
      </c>
      <c r="C943" s="107">
        <f>COPY!AC935</f>
        <v>0</v>
      </c>
      <c r="D943" s="107" t="str">
        <f>IF(LEN(Table1722[[#This Row],[Uraian]])&gt;2,1," ")</f>
        <v xml:space="preserve"> </v>
      </c>
      <c r="E943" s="113" t="str">
        <f>IF(Table1722[[#This Row],[Lawan Transaksi]]="CV AGUNG KARYA",COUNTIF($I$10:I943,"CV AGUNG KARYA")," ")</f>
        <v xml:space="preserve"> </v>
      </c>
      <c r="F943" s="107" t="str">
        <f>IF(LEN(Table1722[[#This Row],[Uraian]])&gt;2,TRIM(RIGHT(SUBSTITUTE(TRIM(C943)," ",REPT(" ",255)),255))," ")</f>
        <v xml:space="preserve"> </v>
      </c>
      <c r="G943" s="110">
        <f>COPY!Z935</f>
        <v>0</v>
      </c>
      <c r="H943" s="111" t="str">
        <f>IFERROR(VLOOKUP(Table1722[[#This Row],[Bukti]],'Un nOTA'!$A$4:$K$5003,10,FALSE),"")</f>
        <v/>
      </c>
      <c r="I943" s="112" t="str">
        <f>IFERROR(VLOOKUP(Table1722[[#This Row],[Bukti]],Table13[#Data],11,FALSE),"")</f>
        <v/>
      </c>
    </row>
    <row r="944" spans="1:9" ht="19.5" hidden="1" customHeight="1" x14ac:dyDescent="0.2">
      <c r="A944" s="105" t="str">
        <f>IF(D944=1,COUNTIF($D$10:D944,1)," ")</f>
        <v xml:space="preserve"> </v>
      </c>
      <c r="B944" s="106" t="str">
        <f>COPY!AR936</f>
        <v/>
      </c>
      <c r="C944" s="107">
        <f>COPY!AC936</f>
        <v>0</v>
      </c>
      <c r="D944" s="107" t="str">
        <f>IF(LEN(Table1722[[#This Row],[Uraian]])&gt;2,1," ")</f>
        <v xml:space="preserve"> </v>
      </c>
      <c r="E944" s="113" t="str">
        <f>IF(Table1722[[#This Row],[Lawan Transaksi]]="CV AGUNG KARYA",COUNTIF($I$10:I944,"CV AGUNG KARYA")," ")</f>
        <v xml:space="preserve"> </v>
      </c>
      <c r="F944" s="107" t="str">
        <f>IF(LEN(Table1722[[#This Row],[Uraian]])&gt;2,TRIM(RIGHT(SUBSTITUTE(TRIM(C944)," ",REPT(" ",255)),255))," ")</f>
        <v xml:space="preserve"> </v>
      </c>
      <c r="G944" s="110">
        <f>COPY!Z936</f>
        <v>0</v>
      </c>
      <c r="H944" s="111" t="str">
        <f>IFERROR(VLOOKUP(Table1722[[#This Row],[Bukti]],'Un nOTA'!$A$4:$K$5003,10,FALSE),"")</f>
        <v/>
      </c>
      <c r="I944" s="112" t="str">
        <f>IFERROR(VLOOKUP(Table1722[[#This Row],[Bukti]],Table13[#Data],11,FALSE),"")</f>
        <v/>
      </c>
    </row>
    <row r="945" spans="1:9" ht="19.5" hidden="1" customHeight="1" x14ac:dyDescent="0.2">
      <c r="A945" s="105" t="str">
        <f>IF(D945=1,COUNTIF($D$10:D945,1)," ")</f>
        <v xml:space="preserve"> </v>
      </c>
      <c r="B945" s="106" t="str">
        <f>COPY!AR937</f>
        <v/>
      </c>
      <c r="C945" s="107">
        <f>COPY!AC937</f>
        <v>0</v>
      </c>
      <c r="D945" s="107" t="str">
        <f>IF(LEN(Table1722[[#This Row],[Uraian]])&gt;2,1," ")</f>
        <v xml:space="preserve"> </v>
      </c>
      <c r="E945" s="113" t="str">
        <f>IF(Table1722[[#This Row],[Lawan Transaksi]]="CV AGUNG KARYA",COUNTIF($I$10:I945,"CV AGUNG KARYA")," ")</f>
        <v xml:space="preserve"> </v>
      </c>
      <c r="F945" s="107" t="str">
        <f>IF(LEN(Table1722[[#This Row],[Uraian]])&gt;2,TRIM(RIGHT(SUBSTITUTE(TRIM(C945)," ",REPT(" ",255)),255))," ")</f>
        <v xml:space="preserve"> </v>
      </c>
      <c r="G945" s="110">
        <f>COPY!Z937</f>
        <v>0</v>
      </c>
      <c r="H945" s="111" t="str">
        <f>IFERROR(VLOOKUP(Table1722[[#This Row],[Bukti]],'Un nOTA'!$A$4:$K$5003,10,FALSE),"")</f>
        <v/>
      </c>
      <c r="I945" s="112" t="str">
        <f>IFERROR(VLOOKUP(Table1722[[#This Row],[Bukti]],Table13[#Data],11,FALSE),"")</f>
        <v/>
      </c>
    </row>
    <row r="946" spans="1:9" ht="19.5" hidden="1" customHeight="1" x14ac:dyDescent="0.2">
      <c r="A946" s="105" t="str">
        <f>IF(D946=1,COUNTIF($D$10:D946,1)," ")</f>
        <v xml:space="preserve"> </v>
      </c>
      <c r="B946" s="106" t="str">
        <f>COPY!AR938</f>
        <v/>
      </c>
      <c r="C946" s="107">
        <f>COPY!AC938</f>
        <v>0</v>
      </c>
      <c r="D946" s="107" t="str">
        <f>IF(LEN(Table1722[[#This Row],[Uraian]])&gt;2,1," ")</f>
        <v xml:space="preserve"> </v>
      </c>
      <c r="E946" s="113" t="str">
        <f>IF(Table1722[[#This Row],[Lawan Transaksi]]="CV AGUNG KARYA",COUNTIF($I$10:I946,"CV AGUNG KARYA")," ")</f>
        <v xml:space="preserve"> </v>
      </c>
      <c r="F946" s="107" t="str">
        <f>IF(LEN(Table1722[[#This Row],[Uraian]])&gt;2,TRIM(RIGHT(SUBSTITUTE(TRIM(C946)," ",REPT(" ",255)),255))," ")</f>
        <v xml:space="preserve"> </v>
      </c>
      <c r="G946" s="110">
        <f>COPY!Z938</f>
        <v>0</v>
      </c>
      <c r="H946" s="111" t="str">
        <f>IFERROR(VLOOKUP(Table1722[[#This Row],[Bukti]],'Un nOTA'!$A$4:$K$5003,10,FALSE),"")</f>
        <v/>
      </c>
      <c r="I946" s="112" t="str">
        <f>IFERROR(VLOOKUP(Table1722[[#This Row],[Bukti]],Table13[#Data],11,FALSE),"")</f>
        <v/>
      </c>
    </row>
    <row r="947" spans="1:9" ht="19.5" hidden="1" customHeight="1" x14ac:dyDescent="0.2">
      <c r="A947" s="105" t="str">
        <f>IF(D947=1,COUNTIF($D$10:D947,1)," ")</f>
        <v xml:space="preserve"> </v>
      </c>
      <c r="B947" s="106" t="str">
        <f>COPY!AR939</f>
        <v/>
      </c>
      <c r="C947" s="107">
        <f>COPY!AC939</f>
        <v>0</v>
      </c>
      <c r="D947" s="107" t="str">
        <f>IF(LEN(Table1722[[#This Row],[Uraian]])&gt;2,1," ")</f>
        <v xml:space="preserve"> </v>
      </c>
      <c r="E947" s="113" t="str">
        <f>IF(Table1722[[#This Row],[Lawan Transaksi]]="CV AGUNG KARYA",COUNTIF($I$10:I947,"CV AGUNG KARYA")," ")</f>
        <v xml:space="preserve"> </v>
      </c>
      <c r="F947" s="107" t="str">
        <f>IF(LEN(Table1722[[#This Row],[Uraian]])&gt;2,TRIM(RIGHT(SUBSTITUTE(TRIM(C947)," ",REPT(" ",255)),255))," ")</f>
        <v xml:space="preserve"> </v>
      </c>
      <c r="G947" s="110">
        <f>COPY!Z939</f>
        <v>0</v>
      </c>
      <c r="H947" s="111" t="str">
        <f>IFERROR(VLOOKUP(Table1722[[#This Row],[Bukti]],'Un nOTA'!$A$4:$K$5003,10,FALSE),"")</f>
        <v/>
      </c>
      <c r="I947" s="112" t="str">
        <f>IFERROR(VLOOKUP(Table1722[[#This Row],[Bukti]],Table13[#Data],11,FALSE),"")</f>
        <v/>
      </c>
    </row>
    <row r="948" spans="1:9" ht="19.5" hidden="1" customHeight="1" x14ac:dyDescent="0.2">
      <c r="A948" s="105" t="str">
        <f>IF(D948=1,COUNTIF($D$10:D948,1)," ")</f>
        <v xml:space="preserve"> </v>
      </c>
      <c r="B948" s="106" t="str">
        <f>COPY!AR940</f>
        <v/>
      </c>
      <c r="C948" s="107">
        <f>COPY!AC940</f>
        <v>0</v>
      </c>
      <c r="D948" s="107" t="str">
        <f>IF(LEN(Table1722[[#This Row],[Uraian]])&gt;2,1," ")</f>
        <v xml:space="preserve"> </v>
      </c>
      <c r="E948" s="113" t="str">
        <f>IF(Table1722[[#This Row],[Lawan Transaksi]]="CV AGUNG KARYA",COUNTIF($I$10:I948,"CV AGUNG KARYA")," ")</f>
        <v xml:space="preserve"> </v>
      </c>
      <c r="F948" s="107" t="str">
        <f>IF(LEN(Table1722[[#This Row],[Uraian]])&gt;2,TRIM(RIGHT(SUBSTITUTE(TRIM(C948)," ",REPT(" ",255)),255))," ")</f>
        <v xml:space="preserve"> </v>
      </c>
      <c r="G948" s="110">
        <f>COPY!Z940</f>
        <v>0</v>
      </c>
      <c r="H948" s="111" t="str">
        <f>IFERROR(VLOOKUP(Table1722[[#This Row],[Bukti]],'Un nOTA'!$A$4:$K$5003,10,FALSE),"")</f>
        <v/>
      </c>
      <c r="I948" s="112" t="str">
        <f>IFERROR(VLOOKUP(Table1722[[#This Row],[Bukti]],Table13[#Data],11,FALSE),"")</f>
        <v/>
      </c>
    </row>
    <row r="949" spans="1:9" ht="19.5" hidden="1" customHeight="1" x14ac:dyDescent="0.2">
      <c r="A949" s="105" t="str">
        <f>IF(D949=1,COUNTIF($D$10:D949,1)," ")</f>
        <v xml:space="preserve"> </v>
      </c>
      <c r="B949" s="106" t="str">
        <f>COPY!AR941</f>
        <v/>
      </c>
      <c r="C949" s="107">
        <f>COPY!AC941</f>
        <v>0</v>
      </c>
      <c r="D949" s="107" t="str">
        <f>IF(LEN(Table1722[[#This Row],[Uraian]])&gt;2,1," ")</f>
        <v xml:space="preserve"> </v>
      </c>
      <c r="E949" s="113" t="str">
        <f>IF(Table1722[[#This Row],[Lawan Transaksi]]="CV AGUNG KARYA",COUNTIF($I$10:I949,"CV AGUNG KARYA")," ")</f>
        <v xml:space="preserve"> </v>
      </c>
      <c r="F949" s="107" t="str">
        <f>IF(LEN(Table1722[[#This Row],[Uraian]])&gt;2,TRIM(RIGHT(SUBSTITUTE(TRIM(C949)," ",REPT(" ",255)),255))," ")</f>
        <v xml:space="preserve"> </v>
      </c>
      <c r="G949" s="110">
        <f>COPY!Z941</f>
        <v>0</v>
      </c>
      <c r="H949" s="111" t="str">
        <f>IFERROR(VLOOKUP(Table1722[[#This Row],[Bukti]],'Un nOTA'!$A$4:$K$5003,10,FALSE),"")</f>
        <v/>
      </c>
      <c r="I949" s="112" t="str">
        <f>IFERROR(VLOOKUP(Table1722[[#This Row],[Bukti]],Table13[#Data],11,FALSE),"")</f>
        <v/>
      </c>
    </row>
    <row r="950" spans="1:9" ht="19.5" hidden="1" customHeight="1" x14ac:dyDescent="0.2">
      <c r="A950" s="105" t="str">
        <f>IF(D950=1,COUNTIF($D$10:D950,1)," ")</f>
        <v xml:space="preserve"> </v>
      </c>
      <c r="B950" s="106" t="str">
        <f>COPY!AR942</f>
        <v/>
      </c>
      <c r="C950" s="107">
        <f>COPY!AC942</f>
        <v>0</v>
      </c>
      <c r="D950" s="107" t="str">
        <f>IF(LEN(Table1722[[#This Row],[Uraian]])&gt;2,1," ")</f>
        <v xml:space="preserve"> </v>
      </c>
      <c r="E950" s="113" t="str">
        <f>IF(Table1722[[#This Row],[Lawan Transaksi]]="CV AGUNG KARYA",COUNTIF($I$10:I950,"CV AGUNG KARYA")," ")</f>
        <v xml:space="preserve"> </v>
      </c>
      <c r="F950" s="107" t="str">
        <f>IF(LEN(Table1722[[#This Row],[Uraian]])&gt;2,TRIM(RIGHT(SUBSTITUTE(TRIM(C950)," ",REPT(" ",255)),255))," ")</f>
        <v xml:space="preserve"> </v>
      </c>
      <c r="G950" s="110">
        <f>COPY!Z942</f>
        <v>0</v>
      </c>
      <c r="H950" s="111" t="str">
        <f>IFERROR(VLOOKUP(Table1722[[#This Row],[Bukti]],'Un nOTA'!$A$4:$K$5003,10,FALSE),"")</f>
        <v/>
      </c>
      <c r="I950" s="112" t="str">
        <f>IFERROR(VLOOKUP(Table1722[[#This Row],[Bukti]],Table13[#Data],11,FALSE),"")</f>
        <v/>
      </c>
    </row>
    <row r="951" spans="1:9" ht="19.5" hidden="1" customHeight="1" x14ac:dyDescent="0.2">
      <c r="A951" s="105" t="str">
        <f>IF(D951=1,COUNTIF($D$10:D951,1)," ")</f>
        <v xml:space="preserve"> </v>
      </c>
      <c r="B951" s="106" t="str">
        <f>COPY!AR943</f>
        <v/>
      </c>
      <c r="C951" s="107">
        <f>COPY!AC943</f>
        <v>0</v>
      </c>
      <c r="D951" s="107" t="str">
        <f>IF(LEN(Table1722[[#This Row],[Uraian]])&gt;2,1," ")</f>
        <v xml:space="preserve"> </v>
      </c>
      <c r="E951" s="113" t="str">
        <f>IF(Table1722[[#This Row],[Lawan Transaksi]]="CV AGUNG KARYA",COUNTIF($I$10:I951,"CV AGUNG KARYA")," ")</f>
        <v xml:space="preserve"> </v>
      </c>
      <c r="F951" s="107" t="str">
        <f>IF(LEN(Table1722[[#This Row],[Uraian]])&gt;2,TRIM(RIGHT(SUBSTITUTE(TRIM(C951)," ",REPT(" ",255)),255))," ")</f>
        <v xml:space="preserve"> </v>
      </c>
      <c r="G951" s="110">
        <f>COPY!Z943</f>
        <v>0</v>
      </c>
      <c r="H951" s="111" t="str">
        <f>IFERROR(VLOOKUP(Table1722[[#This Row],[Bukti]],'Un nOTA'!$A$4:$K$5003,10,FALSE),"")</f>
        <v/>
      </c>
      <c r="I951" s="112" t="str">
        <f>IFERROR(VLOOKUP(Table1722[[#This Row],[Bukti]],Table13[#Data],11,FALSE),"")</f>
        <v/>
      </c>
    </row>
    <row r="952" spans="1:9" ht="19.5" hidden="1" customHeight="1" x14ac:dyDescent="0.2">
      <c r="A952" s="105" t="str">
        <f>IF(D952=1,COUNTIF($D$10:D952,1)," ")</f>
        <v xml:space="preserve"> </v>
      </c>
      <c r="B952" s="106" t="str">
        <f>COPY!AR944</f>
        <v/>
      </c>
      <c r="C952" s="107">
        <f>COPY!AC944</f>
        <v>0</v>
      </c>
      <c r="D952" s="107" t="str">
        <f>IF(LEN(Table1722[[#This Row],[Uraian]])&gt;2,1," ")</f>
        <v xml:space="preserve"> </v>
      </c>
      <c r="E952" s="113" t="str">
        <f>IF(Table1722[[#This Row],[Lawan Transaksi]]="CV AGUNG KARYA",COUNTIF($I$10:I952,"CV AGUNG KARYA")," ")</f>
        <v xml:space="preserve"> </v>
      </c>
      <c r="F952" s="107" t="str">
        <f>IF(LEN(Table1722[[#This Row],[Uraian]])&gt;2,TRIM(RIGHT(SUBSTITUTE(TRIM(C952)," ",REPT(" ",255)),255))," ")</f>
        <v xml:space="preserve"> </v>
      </c>
      <c r="G952" s="110">
        <f>COPY!Z944</f>
        <v>0</v>
      </c>
      <c r="H952" s="111" t="str">
        <f>IFERROR(VLOOKUP(Table1722[[#This Row],[Bukti]],'Un nOTA'!$A$4:$K$5003,10,FALSE),"")</f>
        <v/>
      </c>
      <c r="I952" s="112" t="str">
        <f>IFERROR(VLOOKUP(Table1722[[#This Row],[Bukti]],Table13[#Data],11,FALSE),"")</f>
        <v/>
      </c>
    </row>
    <row r="953" spans="1:9" ht="19.5" hidden="1" customHeight="1" x14ac:dyDescent="0.2">
      <c r="A953" s="105" t="str">
        <f>IF(D953=1,COUNTIF($D$10:D953,1)," ")</f>
        <v xml:space="preserve"> </v>
      </c>
      <c r="B953" s="106" t="str">
        <f>COPY!AR945</f>
        <v/>
      </c>
      <c r="C953" s="107">
        <f>COPY!AC945</f>
        <v>0</v>
      </c>
      <c r="D953" s="107" t="str">
        <f>IF(LEN(Table1722[[#This Row],[Uraian]])&gt;2,1," ")</f>
        <v xml:space="preserve"> </v>
      </c>
      <c r="E953" s="113" t="str">
        <f>IF(Table1722[[#This Row],[Lawan Transaksi]]="CV AGUNG KARYA",COUNTIF($I$10:I953,"CV AGUNG KARYA")," ")</f>
        <v xml:space="preserve"> </v>
      </c>
      <c r="F953" s="107" t="str">
        <f>IF(LEN(Table1722[[#This Row],[Uraian]])&gt;2,TRIM(RIGHT(SUBSTITUTE(TRIM(C953)," ",REPT(" ",255)),255))," ")</f>
        <v xml:space="preserve"> </v>
      </c>
      <c r="G953" s="110">
        <f>COPY!Z945</f>
        <v>0</v>
      </c>
      <c r="H953" s="111" t="str">
        <f>IFERROR(VLOOKUP(Table1722[[#This Row],[Bukti]],'Un nOTA'!$A$4:$K$5003,10,FALSE),"")</f>
        <v/>
      </c>
      <c r="I953" s="112" t="str">
        <f>IFERROR(VLOOKUP(Table1722[[#This Row],[Bukti]],Table13[#Data],11,FALSE),"")</f>
        <v/>
      </c>
    </row>
    <row r="954" spans="1:9" ht="19.5" hidden="1" customHeight="1" x14ac:dyDescent="0.2">
      <c r="A954" s="105" t="str">
        <f>IF(D954=1,COUNTIF($D$10:D954,1)," ")</f>
        <v xml:space="preserve"> </v>
      </c>
      <c r="B954" s="106" t="str">
        <f>COPY!AR946</f>
        <v/>
      </c>
      <c r="C954" s="107">
        <f>COPY!AC946</f>
        <v>0</v>
      </c>
      <c r="D954" s="107" t="str">
        <f>IF(LEN(Table1722[[#This Row],[Uraian]])&gt;2,1," ")</f>
        <v xml:space="preserve"> </v>
      </c>
      <c r="E954" s="113" t="str">
        <f>IF(Table1722[[#This Row],[Lawan Transaksi]]="CV AGUNG KARYA",COUNTIF($I$10:I954,"CV AGUNG KARYA")," ")</f>
        <v xml:space="preserve"> </v>
      </c>
      <c r="F954" s="107" t="str">
        <f>IF(LEN(Table1722[[#This Row],[Uraian]])&gt;2,TRIM(RIGHT(SUBSTITUTE(TRIM(C954)," ",REPT(" ",255)),255))," ")</f>
        <v xml:space="preserve"> </v>
      </c>
      <c r="G954" s="110">
        <f>COPY!Z946</f>
        <v>0</v>
      </c>
      <c r="H954" s="111" t="str">
        <f>IFERROR(VLOOKUP(Table1722[[#This Row],[Bukti]],'Un nOTA'!$A$4:$K$5003,10,FALSE),"")</f>
        <v/>
      </c>
      <c r="I954" s="112" t="str">
        <f>IFERROR(VLOOKUP(Table1722[[#This Row],[Bukti]],Table13[#Data],11,FALSE),"")</f>
        <v/>
      </c>
    </row>
    <row r="955" spans="1:9" ht="19.5" hidden="1" customHeight="1" x14ac:dyDescent="0.2">
      <c r="A955" s="105" t="str">
        <f>IF(D955=1,COUNTIF($D$10:D955,1)," ")</f>
        <v xml:space="preserve"> </v>
      </c>
      <c r="B955" s="106" t="str">
        <f>COPY!AR947</f>
        <v/>
      </c>
      <c r="C955" s="107">
        <f>COPY!AC947</f>
        <v>0</v>
      </c>
      <c r="D955" s="107" t="str">
        <f>IF(LEN(Table1722[[#This Row],[Uraian]])&gt;2,1," ")</f>
        <v xml:space="preserve"> </v>
      </c>
      <c r="E955" s="113" t="str">
        <f>IF(Table1722[[#This Row],[Lawan Transaksi]]="CV AGUNG KARYA",COUNTIF($I$10:I955,"CV AGUNG KARYA")," ")</f>
        <v xml:space="preserve"> </v>
      </c>
      <c r="F955" s="107" t="str">
        <f>IF(LEN(Table1722[[#This Row],[Uraian]])&gt;2,TRIM(RIGHT(SUBSTITUTE(TRIM(C955)," ",REPT(" ",255)),255))," ")</f>
        <v xml:space="preserve"> </v>
      </c>
      <c r="G955" s="110">
        <f>COPY!Z947</f>
        <v>0</v>
      </c>
      <c r="H955" s="111" t="str">
        <f>IFERROR(VLOOKUP(Table1722[[#This Row],[Bukti]],'Un nOTA'!$A$4:$K$5003,10,FALSE),"")</f>
        <v/>
      </c>
      <c r="I955" s="112" t="str">
        <f>IFERROR(VLOOKUP(Table1722[[#This Row],[Bukti]],Table13[#Data],11,FALSE),"")</f>
        <v/>
      </c>
    </row>
    <row r="956" spans="1:9" ht="19.5" hidden="1" customHeight="1" x14ac:dyDescent="0.2">
      <c r="A956" s="105" t="str">
        <f>IF(D956=1,COUNTIF($D$10:D956,1)," ")</f>
        <v xml:space="preserve"> </v>
      </c>
      <c r="B956" s="106" t="str">
        <f>COPY!AR948</f>
        <v/>
      </c>
      <c r="C956" s="107">
        <f>COPY!AC948</f>
        <v>0</v>
      </c>
      <c r="D956" s="107" t="str">
        <f>IF(LEN(Table1722[[#This Row],[Uraian]])&gt;2,1," ")</f>
        <v xml:space="preserve"> </v>
      </c>
      <c r="E956" s="113" t="str">
        <f>IF(Table1722[[#This Row],[Lawan Transaksi]]="CV AGUNG KARYA",COUNTIF($I$10:I956,"CV AGUNG KARYA")," ")</f>
        <v xml:space="preserve"> </v>
      </c>
      <c r="F956" s="107" t="str">
        <f>IF(LEN(Table1722[[#This Row],[Uraian]])&gt;2,TRIM(RIGHT(SUBSTITUTE(TRIM(C956)," ",REPT(" ",255)),255))," ")</f>
        <v xml:space="preserve"> </v>
      </c>
      <c r="G956" s="110">
        <f>COPY!Z948</f>
        <v>0</v>
      </c>
      <c r="H956" s="111" t="str">
        <f>IFERROR(VLOOKUP(Table1722[[#This Row],[Bukti]],'Un nOTA'!$A$4:$K$5003,10,FALSE),"")</f>
        <v/>
      </c>
      <c r="I956" s="112" t="str">
        <f>IFERROR(VLOOKUP(Table1722[[#This Row],[Bukti]],Table13[#Data],11,FALSE),"")</f>
        <v/>
      </c>
    </row>
    <row r="957" spans="1:9" ht="19.5" hidden="1" customHeight="1" x14ac:dyDescent="0.2">
      <c r="A957" s="105" t="str">
        <f>IF(D957=1,COUNTIF($D$10:D957,1)," ")</f>
        <v xml:space="preserve"> </v>
      </c>
      <c r="B957" s="106" t="str">
        <f>COPY!AR949</f>
        <v/>
      </c>
      <c r="C957" s="107">
        <f>COPY!AC949</f>
        <v>0</v>
      </c>
      <c r="D957" s="107" t="str">
        <f>IF(LEN(Table1722[[#This Row],[Uraian]])&gt;2,1," ")</f>
        <v xml:space="preserve"> </v>
      </c>
      <c r="E957" s="113" t="str">
        <f>IF(Table1722[[#This Row],[Lawan Transaksi]]="CV AGUNG KARYA",COUNTIF($I$10:I957,"CV AGUNG KARYA")," ")</f>
        <v xml:space="preserve"> </v>
      </c>
      <c r="F957" s="107" t="str">
        <f>IF(LEN(Table1722[[#This Row],[Uraian]])&gt;2,TRIM(RIGHT(SUBSTITUTE(TRIM(C957)," ",REPT(" ",255)),255))," ")</f>
        <v xml:space="preserve"> </v>
      </c>
      <c r="G957" s="110">
        <f>COPY!Z949</f>
        <v>0</v>
      </c>
      <c r="H957" s="111" t="str">
        <f>IFERROR(VLOOKUP(Table1722[[#This Row],[Bukti]],'Un nOTA'!$A$4:$K$5003,10,FALSE),"")</f>
        <v/>
      </c>
      <c r="I957" s="112" t="str">
        <f>IFERROR(VLOOKUP(Table1722[[#This Row],[Bukti]],Table13[#Data],11,FALSE),"")</f>
        <v/>
      </c>
    </row>
    <row r="958" spans="1:9" ht="19.5" hidden="1" customHeight="1" x14ac:dyDescent="0.2">
      <c r="A958" s="105" t="str">
        <f>IF(D958=1,COUNTIF($D$10:D958,1)," ")</f>
        <v xml:space="preserve"> </v>
      </c>
      <c r="B958" s="106" t="str">
        <f>COPY!AR950</f>
        <v/>
      </c>
      <c r="C958" s="107">
        <f>COPY!AC950</f>
        <v>0</v>
      </c>
      <c r="D958" s="107" t="str">
        <f>IF(LEN(Table1722[[#This Row],[Uraian]])&gt;2,1," ")</f>
        <v xml:space="preserve"> </v>
      </c>
      <c r="E958" s="113" t="str">
        <f>IF(Table1722[[#This Row],[Lawan Transaksi]]="CV AGUNG KARYA",COUNTIF($I$10:I958,"CV AGUNG KARYA")," ")</f>
        <v xml:space="preserve"> </v>
      </c>
      <c r="F958" s="107" t="str">
        <f>IF(LEN(Table1722[[#This Row],[Uraian]])&gt;2,TRIM(RIGHT(SUBSTITUTE(TRIM(C958)," ",REPT(" ",255)),255))," ")</f>
        <v xml:space="preserve"> </v>
      </c>
      <c r="G958" s="110">
        <f>COPY!Z950</f>
        <v>0</v>
      </c>
      <c r="H958" s="111" t="str">
        <f>IFERROR(VLOOKUP(Table1722[[#This Row],[Bukti]],'Un nOTA'!$A$4:$K$5003,10,FALSE),"")</f>
        <v/>
      </c>
      <c r="I958" s="112" t="str">
        <f>IFERROR(VLOOKUP(Table1722[[#This Row],[Bukti]],Table13[#Data],11,FALSE),"")</f>
        <v/>
      </c>
    </row>
    <row r="959" spans="1:9" ht="19.5" hidden="1" customHeight="1" x14ac:dyDescent="0.2">
      <c r="A959" s="105" t="str">
        <f>IF(D959=1,COUNTIF($D$10:D959,1)," ")</f>
        <v xml:space="preserve"> </v>
      </c>
      <c r="B959" s="106" t="str">
        <f>COPY!AR951</f>
        <v/>
      </c>
      <c r="C959" s="107">
        <f>COPY!AC951</f>
        <v>0</v>
      </c>
      <c r="D959" s="107" t="str">
        <f>IF(LEN(Table1722[[#This Row],[Uraian]])&gt;2,1," ")</f>
        <v xml:space="preserve"> </v>
      </c>
      <c r="E959" s="113" t="str">
        <f>IF(Table1722[[#This Row],[Lawan Transaksi]]="CV AGUNG KARYA",COUNTIF($I$10:I959,"CV AGUNG KARYA")," ")</f>
        <v xml:space="preserve"> </v>
      </c>
      <c r="F959" s="107" t="str">
        <f>IF(LEN(Table1722[[#This Row],[Uraian]])&gt;2,TRIM(RIGHT(SUBSTITUTE(TRIM(C959)," ",REPT(" ",255)),255))," ")</f>
        <v xml:space="preserve"> </v>
      </c>
      <c r="G959" s="110">
        <f>COPY!Z951</f>
        <v>0</v>
      </c>
      <c r="H959" s="111" t="str">
        <f>IFERROR(VLOOKUP(Table1722[[#This Row],[Bukti]],'Un nOTA'!$A$4:$K$5003,10,FALSE),"")</f>
        <v/>
      </c>
      <c r="I959" s="112" t="str">
        <f>IFERROR(VLOOKUP(Table1722[[#This Row],[Bukti]],Table13[#Data],11,FALSE),"")</f>
        <v/>
      </c>
    </row>
    <row r="960" spans="1:9" ht="19.5" hidden="1" customHeight="1" x14ac:dyDescent="0.2">
      <c r="A960" s="105" t="str">
        <f>IF(D960=1,COUNTIF($D$10:D960,1)," ")</f>
        <v xml:space="preserve"> </v>
      </c>
      <c r="B960" s="106" t="str">
        <f>COPY!AR952</f>
        <v/>
      </c>
      <c r="C960" s="107">
        <f>COPY!AC952</f>
        <v>0</v>
      </c>
      <c r="D960" s="107" t="str">
        <f>IF(LEN(Table1722[[#This Row],[Uraian]])&gt;2,1," ")</f>
        <v xml:space="preserve"> </v>
      </c>
      <c r="E960" s="113" t="str">
        <f>IF(Table1722[[#This Row],[Lawan Transaksi]]="CV AGUNG KARYA",COUNTIF($I$10:I960,"CV AGUNG KARYA")," ")</f>
        <v xml:space="preserve"> </v>
      </c>
      <c r="F960" s="107" t="str">
        <f>IF(LEN(Table1722[[#This Row],[Uraian]])&gt;2,TRIM(RIGHT(SUBSTITUTE(TRIM(C960)," ",REPT(" ",255)),255))," ")</f>
        <v xml:space="preserve"> </v>
      </c>
      <c r="G960" s="110">
        <f>COPY!Z952</f>
        <v>0</v>
      </c>
      <c r="H960" s="111" t="str">
        <f>IFERROR(VLOOKUP(Table1722[[#This Row],[Bukti]],'Un nOTA'!$A$4:$K$5003,10,FALSE),"")</f>
        <v/>
      </c>
      <c r="I960" s="112" t="str">
        <f>IFERROR(VLOOKUP(Table1722[[#This Row],[Bukti]],Table13[#Data],11,FALSE),"")</f>
        <v/>
      </c>
    </row>
    <row r="961" spans="1:9" ht="19.5" hidden="1" customHeight="1" x14ac:dyDescent="0.2">
      <c r="A961" s="105" t="str">
        <f>IF(D961=1,COUNTIF($D$10:D961,1)," ")</f>
        <v xml:space="preserve"> </v>
      </c>
      <c r="B961" s="106" t="str">
        <f>COPY!AR953</f>
        <v/>
      </c>
      <c r="C961" s="107">
        <f>COPY!AC953</f>
        <v>0</v>
      </c>
      <c r="D961" s="107" t="str">
        <f>IF(LEN(Table1722[[#This Row],[Uraian]])&gt;2,1," ")</f>
        <v xml:space="preserve"> </v>
      </c>
      <c r="E961" s="113" t="str">
        <f>IF(Table1722[[#This Row],[Lawan Transaksi]]="CV AGUNG KARYA",COUNTIF($I$10:I961,"CV AGUNG KARYA")," ")</f>
        <v xml:space="preserve"> </v>
      </c>
      <c r="F961" s="107" t="str">
        <f>IF(LEN(Table1722[[#This Row],[Uraian]])&gt;2,TRIM(RIGHT(SUBSTITUTE(TRIM(C961)," ",REPT(" ",255)),255))," ")</f>
        <v xml:space="preserve"> </v>
      </c>
      <c r="G961" s="110">
        <f>COPY!Z953</f>
        <v>0</v>
      </c>
      <c r="H961" s="111" t="str">
        <f>IFERROR(VLOOKUP(Table1722[[#This Row],[Bukti]],'Un nOTA'!$A$4:$K$5003,10,FALSE),"")</f>
        <v/>
      </c>
      <c r="I961" s="112" t="str">
        <f>IFERROR(VLOOKUP(Table1722[[#This Row],[Bukti]],Table13[#Data],11,FALSE),"")</f>
        <v/>
      </c>
    </row>
    <row r="962" spans="1:9" ht="19.5" hidden="1" customHeight="1" x14ac:dyDescent="0.2">
      <c r="A962" s="105" t="str">
        <f>IF(D962=1,COUNTIF($D$10:D962,1)," ")</f>
        <v xml:space="preserve"> </v>
      </c>
      <c r="B962" s="106" t="str">
        <f>COPY!AR954</f>
        <v/>
      </c>
      <c r="C962" s="107">
        <f>COPY!AC954</f>
        <v>0</v>
      </c>
      <c r="D962" s="107" t="str">
        <f>IF(LEN(Table1722[[#This Row],[Uraian]])&gt;2,1," ")</f>
        <v xml:space="preserve"> </v>
      </c>
      <c r="E962" s="113" t="str">
        <f>IF(Table1722[[#This Row],[Lawan Transaksi]]="CV AGUNG KARYA",COUNTIF($I$10:I962,"CV AGUNG KARYA")," ")</f>
        <v xml:space="preserve"> </v>
      </c>
      <c r="F962" s="107" t="str">
        <f>IF(LEN(Table1722[[#This Row],[Uraian]])&gt;2,TRIM(RIGHT(SUBSTITUTE(TRIM(C962)," ",REPT(" ",255)),255))," ")</f>
        <v xml:space="preserve"> </v>
      </c>
      <c r="G962" s="110">
        <f>COPY!Z954</f>
        <v>0</v>
      </c>
      <c r="H962" s="111" t="str">
        <f>IFERROR(VLOOKUP(Table1722[[#This Row],[Bukti]],'Un nOTA'!$A$4:$K$5003,10,FALSE),"")</f>
        <v/>
      </c>
      <c r="I962" s="112" t="str">
        <f>IFERROR(VLOOKUP(Table1722[[#This Row],[Bukti]],Table13[#Data],11,FALSE),"")</f>
        <v/>
      </c>
    </row>
    <row r="963" spans="1:9" ht="19.5" hidden="1" customHeight="1" x14ac:dyDescent="0.2">
      <c r="A963" s="105" t="str">
        <f>IF(D963=1,COUNTIF($D$10:D963,1)," ")</f>
        <v xml:space="preserve"> </v>
      </c>
      <c r="B963" s="106" t="str">
        <f>COPY!AR955</f>
        <v/>
      </c>
      <c r="C963" s="107">
        <f>COPY!AC955</f>
        <v>0</v>
      </c>
      <c r="D963" s="107" t="str">
        <f>IF(LEN(Table1722[[#This Row],[Uraian]])&gt;2,1," ")</f>
        <v xml:space="preserve"> </v>
      </c>
      <c r="E963" s="113" t="str">
        <f>IF(Table1722[[#This Row],[Lawan Transaksi]]="CV AGUNG KARYA",COUNTIF($I$10:I963,"CV AGUNG KARYA")," ")</f>
        <v xml:space="preserve"> </v>
      </c>
      <c r="F963" s="107" t="str">
        <f>IF(LEN(Table1722[[#This Row],[Uraian]])&gt;2,TRIM(RIGHT(SUBSTITUTE(TRIM(C963)," ",REPT(" ",255)),255))," ")</f>
        <v xml:space="preserve"> </v>
      </c>
      <c r="G963" s="110">
        <f>COPY!Z955</f>
        <v>0</v>
      </c>
      <c r="H963" s="111" t="str">
        <f>IFERROR(VLOOKUP(Table1722[[#This Row],[Bukti]],'Un nOTA'!$A$4:$K$5003,10,FALSE),"")</f>
        <v/>
      </c>
      <c r="I963" s="112" t="str">
        <f>IFERROR(VLOOKUP(Table1722[[#This Row],[Bukti]],Table13[#Data],11,FALSE),"")</f>
        <v/>
      </c>
    </row>
    <row r="964" spans="1:9" ht="19.5" hidden="1" customHeight="1" x14ac:dyDescent="0.2">
      <c r="A964" s="105" t="str">
        <f>IF(D964=1,COUNTIF($D$10:D964,1)," ")</f>
        <v xml:space="preserve"> </v>
      </c>
      <c r="B964" s="106" t="str">
        <f>COPY!AR956</f>
        <v/>
      </c>
      <c r="C964" s="107">
        <f>COPY!AC956</f>
        <v>0</v>
      </c>
      <c r="D964" s="107" t="str">
        <f>IF(LEN(Table1722[[#This Row],[Uraian]])&gt;2,1," ")</f>
        <v xml:space="preserve"> </v>
      </c>
      <c r="E964" s="113" t="str">
        <f>IF(Table1722[[#This Row],[Lawan Transaksi]]="CV AGUNG KARYA",COUNTIF($I$10:I964,"CV AGUNG KARYA")," ")</f>
        <v xml:space="preserve"> </v>
      </c>
      <c r="F964" s="107" t="str">
        <f>IF(LEN(Table1722[[#This Row],[Uraian]])&gt;2,TRIM(RIGHT(SUBSTITUTE(TRIM(C964)," ",REPT(" ",255)),255))," ")</f>
        <v xml:space="preserve"> </v>
      </c>
      <c r="G964" s="110">
        <f>COPY!Z956</f>
        <v>0</v>
      </c>
      <c r="H964" s="111" t="str">
        <f>IFERROR(VLOOKUP(Table1722[[#This Row],[Bukti]],'Un nOTA'!$A$4:$K$5003,10,FALSE),"")</f>
        <v/>
      </c>
      <c r="I964" s="112" t="str">
        <f>IFERROR(VLOOKUP(Table1722[[#This Row],[Bukti]],Table13[#Data],11,FALSE),"")</f>
        <v/>
      </c>
    </row>
    <row r="965" spans="1:9" ht="19.5" hidden="1" customHeight="1" x14ac:dyDescent="0.2">
      <c r="A965" s="105" t="str">
        <f>IF(D965=1,COUNTIF($D$10:D965,1)," ")</f>
        <v xml:space="preserve"> </v>
      </c>
      <c r="B965" s="106" t="str">
        <f>COPY!AR957</f>
        <v/>
      </c>
      <c r="C965" s="107">
        <f>COPY!AC957</f>
        <v>0</v>
      </c>
      <c r="D965" s="107" t="str">
        <f>IF(LEN(Table1722[[#This Row],[Uraian]])&gt;2,1," ")</f>
        <v xml:space="preserve"> </v>
      </c>
      <c r="E965" s="113" t="str">
        <f>IF(Table1722[[#This Row],[Lawan Transaksi]]="CV AGUNG KARYA",COUNTIF($I$10:I965,"CV AGUNG KARYA")," ")</f>
        <v xml:space="preserve"> </v>
      </c>
      <c r="F965" s="107" t="str">
        <f>IF(LEN(Table1722[[#This Row],[Uraian]])&gt;2,TRIM(RIGHT(SUBSTITUTE(TRIM(C965)," ",REPT(" ",255)),255))," ")</f>
        <v xml:space="preserve"> </v>
      </c>
      <c r="G965" s="110">
        <f>COPY!Z957</f>
        <v>0</v>
      </c>
      <c r="H965" s="111" t="str">
        <f>IFERROR(VLOOKUP(Table1722[[#This Row],[Bukti]],'Un nOTA'!$A$4:$K$5003,10,FALSE),"")</f>
        <v/>
      </c>
      <c r="I965" s="112" t="str">
        <f>IFERROR(VLOOKUP(Table1722[[#This Row],[Bukti]],Table13[#Data],11,FALSE),"")</f>
        <v/>
      </c>
    </row>
    <row r="966" spans="1:9" ht="19.5" hidden="1" customHeight="1" x14ac:dyDescent="0.2">
      <c r="A966" s="105" t="str">
        <f>IF(D966=1,COUNTIF($D$10:D966,1)," ")</f>
        <v xml:space="preserve"> </v>
      </c>
      <c r="B966" s="106" t="str">
        <f>COPY!AR958</f>
        <v/>
      </c>
      <c r="C966" s="107">
        <f>COPY!AC958</f>
        <v>0</v>
      </c>
      <c r="D966" s="107" t="str">
        <f>IF(LEN(Table1722[[#This Row],[Uraian]])&gt;2,1," ")</f>
        <v xml:space="preserve"> </v>
      </c>
      <c r="E966" s="113" t="str">
        <f>IF(Table1722[[#This Row],[Lawan Transaksi]]="CV AGUNG KARYA",COUNTIF($I$10:I966,"CV AGUNG KARYA")," ")</f>
        <v xml:space="preserve"> </v>
      </c>
      <c r="F966" s="107" t="str">
        <f>IF(LEN(Table1722[[#This Row],[Uraian]])&gt;2,TRIM(RIGHT(SUBSTITUTE(TRIM(C966)," ",REPT(" ",255)),255))," ")</f>
        <v xml:space="preserve"> </v>
      </c>
      <c r="G966" s="110">
        <f>COPY!Z958</f>
        <v>0</v>
      </c>
      <c r="H966" s="111" t="str">
        <f>IFERROR(VLOOKUP(Table1722[[#This Row],[Bukti]],'Un nOTA'!$A$4:$K$5003,10,FALSE),"")</f>
        <v/>
      </c>
      <c r="I966" s="112" t="str">
        <f>IFERROR(VLOOKUP(Table1722[[#This Row],[Bukti]],Table13[#Data],11,FALSE),"")</f>
        <v/>
      </c>
    </row>
    <row r="967" spans="1:9" ht="19.5" hidden="1" customHeight="1" x14ac:dyDescent="0.2">
      <c r="A967" s="105" t="str">
        <f>IF(D967=1,COUNTIF($D$10:D967,1)," ")</f>
        <v xml:space="preserve"> </v>
      </c>
      <c r="B967" s="106" t="str">
        <f>COPY!AR959</f>
        <v/>
      </c>
      <c r="C967" s="107">
        <f>COPY!AC959</f>
        <v>0</v>
      </c>
      <c r="D967" s="107" t="str">
        <f>IF(LEN(Table1722[[#This Row],[Uraian]])&gt;2,1," ")</f>
        <v xml:space="preserve"> </v>
      </c>
      <c r="E967" s="113" t="str">
        <f>IF(Table1722[[#This Row],[Lawan Transaksi]]="CV AGUNG KARYA",COUNTIF($I$10:I967,"CV AGUNG KARYA")," ")</f>
        <v xml:space="preserve"> </v>
      </c>
      <c r="F967" s="107" t="str">
        <f>IF(LEN(Table1722[[#This Row],[Uraian]])&gt;2,TRIM(RIGHT(SUBSTITUTE(TRIM(C967)," ",REPT(" ",255)),255))," ")</f>
        <v xml:space="preserve"> </v>
      </c>
      <c r="G967" s="110">
        <f>COPY!Z959</f>
        <v>0</v>
      </c>
      <c r="H967" s="111" t="str">
        <f>IFERROR(VLOOKUP(Table1722[[#This Row],[Bukti]],'Un nOTA'!$A$4:$K$5003,10,FALSE),"")</f>
        <v/>
      </c>
      <c r="I967" s="112" t="str">
        <f>IFERROR(VLOOKUP(Table1722[[#This Row],[Bukti]],Table13[#Data],11,FALSE),"")</f>
        <v/>
      </c>
    </row>
    <row r="968" spans="1:9" ht="19.5" hidden="1" customHeight="1" x14ac:dyDescent="0.2">
      <c r="A968" s="105" t="str">
        <f>IF(D968=1,COUNTIF($D$10:D968,1)," ")</f>
        <v xml:space="preserve"> </v>
      </c>
      <c r="B968" s="106" t="str">
        <f>COPY!AR960</f>
        <v/>
      </c>
      <c r="C968" s="107">
        <f>COPY!AC960</f>
        <v>0</v>
      </c>
      <c r="D968" s="107" t="str">
        <f>IF(LEN(Table1722[[#This Row],[Uraian]])&gt;2,1," ")</f>
        <v xml:space="preserve"> </v>
      </c>
      <c r="E968" s="113" t="str">
        <f>IF(Table1722[[#This Row],[Lawan Transaksi]]="CV AGUNG KARYA",COUNTIF($I$10:I968,"CV AGUNG KARYA")," ")</f>
        <v xml:space="preserve"> </v>
      </c>
      <c r="F968" s="107" t="str">
        <f>IF(LEN(Table1722[[#This Row],[Uraian]])&gt;2,TRIM(RIGHT(SUBSTITUTE(TRIM(C968)," ",REPT(" ",255)),255))," ")</f>
        <v xml:space="preserve"> </v>
      </c>
      <c r="G968" s="110">
        <f>COPY!Z960</f>
        <v>0</v>
      </c>
      <c r="H968" s="111" t="str">
        <f>IFERROR(VLOOKUP(Table1722[[#This Row],[Bukti]],'Un nOTA'!$A$4:$K$5003,10,FALSE),"")</f>
        <v/>
      </c>
      <c r="I968" s="112" t="str">
        <f>IFERROR(VLOOKUP(Table1722[[#This Row],[Bukti]],Table13[#Data],11,FALSE),"")</f>
        <v/>
      </c>
    </row>
    <row r="969" spans="1:9" ht="19.5" hidden="1" customHeight="1" x14ac:dyDescent="0.2">
      <c r="A969" s="105" t="str">
        <f>IF(D969=1,COUNTIF($D$10:D969,1)," ")</f>
        <v xml:space="preserve"> </v>
      </c>
      <c r="B969" s="106" t="str">
        <f>COPY!AR961</f>
        <v/>
      </c>
      <c r="C969" s="107">
        <f>COPY!AC961</f>
        <v>0</v>
      </c>
      <c r="D969" s="107" t="str">
        <f>IF(LEN(Table1722[[#This Row],[Uraian]])&gt;2,1," ")</f>
        <v xml:space="preserve"> </v>
      </c>
      <c r="E969" s="113" t="str">
        <f>IF(Table1722[[#This Row],[Lawan Transaksi]]="CV AGUNG KARYA",COUNTIF($I$10:I969,"CV AGUNG KARYA")," ")</f>
        <v xml:space="preserve"> </v>
      </c>
      <c r="F969" s="107" t="str">
        <f>IF(LEN(Table1722[[#This Row],[Uraian]])&gt;2,TRIM(RIGHT(SUBSTITUTE(TRIM(C969)," ",REPT(" ",255)),255))," ")</f>
        <v xml:space="preserve"> </v>
      </c>
      <c r="G969" s="110">
        <f>COPY!Z961</f>
        <v>0</v>
      </c>
      <c r="H969" s="111" t="str">
        <f>IFERROR(VLOOKUP(Table1722[[#This Row],[Bukti]],'Un nOTA'!$A$4:$K$5003,10,FALSE),"")</f>
        <v/>
      </c>
      <c r="I969" s="112" t="str">
        <f>IFERROR(VLOOKUP(Table1722[[#This Row],[Bukti]],Table13[#Data],11,FALSE),"")</f>
        <v/>
      </c>
    </row>
    <row r="970" spans="1:9" ht="19.5" hidden="1" customHeight="1" x14ac:dyDescent="0.2">
      <c r="A970" s="105" t="str">
        <f>IF(D970=1,COUNTIF($D$10:D970,1)," ")</f>
        <v xml:space="preserve"> </v>
      </c>
      <c r="B970" s="106" t="str">
        <f>COPY!AR962</f>
        <v/>
      </c>
      <c r="C970" s="107">
        <f>COPY!AC962</f>
        <v>0</v>
      </c>
      <c r="D970" s="107" t="str">
        <f>IF(LEN(Table1722[[#This Row],[Uraian]])&gt;2,1," ")</f>
        <v xml:space="preserve"> </v>
      </c>
      <c r="E970" s="113" t="str">
        <f>IF(Table1722[[#This Row],[Lawan Transaksi]]="CV AGUNG KARYA",COUNTIF($I$10:I970,"CV AGUNG KARYA")," ")</f>
        <v xml:space="preserve"> </v>
      </c>
      <c r="F970" s="107" t="str">
        <f>IF(LEN(Table1722[[#This Row],[Uraian]])&gt;2,TRIM(RIGHT(SUBSTITUTE(TRIM(C970)," ",REPT(" ",255)),255))," ")</f>
        <v xml:space="preserve"> </v>
      </c>
      <c r="G970" s="110">
        <f>COPY!Z962</f>
        <v>0</v>
      </c>
      <c r="H970" s="111" t="str">
        <f>IFERROR(VLOOKUP(Table1722[[#This Row],[Bukti]],'Un nOTA'!$A$4:$K$5003,10,FALSE),"")</f>
        <v/>
      </c>
      <c r="I970" s="112" t="str">
        <f>IFERROR(VLOOKUP(Table1722[[#This Row],[Bukti]],Table13[#Data],11,FALSE),"")</f>
        <v/>
      </c>
    </row>
    <row r="971" spans="1:9" ht="19.5" hidden="1" customHeight="1" x14ac:dyDescent="0.2">
      <c r="A971" s="105" t="str">
        <f>IF(D971=1,COUNTIF($D$10:D971,1)," ")</f>
        <v xml:space="preserve"> </v>
      </c>
      <c r="B971" s="106" t="str">
        <f>COPY!AR963</f>
        <v/>
      </c>
      <c r="C971" s="107">
        <f>COPY!AC963</f>
        <v>0</v>
      </c>
      <c r="D971" s="107" t="str">
        <f>IF(LEN(Table1722[[#This Row],[Uraian]])&gt;2,1," ")</f>
        <v xml:space="preserve"> </v>
      </c>
      <c r="E971" s="113" t="str">
        <f>IF(Table1722[[#This Row],[Lawan Transaksi]]="CV AGUNG KARYA",COUNTIF($I$10:I971,"CV AGUNG KARYA")," ")</f>
        <v xml:space="preserve"> </v>
      </c>
      <c r="F971" s="107" t="str">
        <f>IF(LEN(Table1722[[#This Row],[Uraian]])&gt;2,TRIM(RIGHT(SUBSTITUTE(TRIM(C971)," ",REPT(" ",255)),255))," ")</f>
        <v xml:space="preserve"> </v>
      </c>
      <c r="G971" s="110">
        <f>COPY!Z963</f>
        <v>0</v>
      </c>
      <c r="H971" s="111" t="str">
        <f>IFERROR(VLOOKUP(Table1722[[#This Row],[Bukti]],'Un nOTA'!$A$4:$K$5003,10,FALSE),"")</f>
        <v/>
      </c>
      <c r="I971" s="112" t="str">
        <f>IFERROR(VLOOKUP(Table1722[[#This Row],[Bukti]],Table13[#Data],11,FALSE),"")</f>
        <v/>
      </c>
    </row>
    <row r="972" spans="1:9" ht="19.5" hidden="1" customHeight="1" x14ac:dyDescent="0.2">
      <c r="A972" s="105" t="str">
        <f>IF(D972=1,COUNTIF($D$10:D972,1)," ")</f>
        <v xml:space="preserve"> </v>
      </c>
      <c r="B972" s="106" t="str">
        <f>COPY!AR964</f>
        <v/>
      </c>
      <c r="C972" s="107">
        <f>COPY!AC964</f>
        <v>0</v>
      </c>
      <c r="D972" s="107" t="str">
        <f>IF(LEN(Table1722[[#This Row],[Uraian]])&gt;2,1," ")</f>
        <v xml:space="preserve"> </v>
      </c>
      <c r="E972" s="113" t="str">
        <f>IF(Table1722[[#This Row],[Lawan Transaksi]]="CV AGUNG KARYA",COUNTIF($I$10:I972,"CV AGUNG KARYA")," ")</f>
        <v xml:space="preserve"> </v>
      </c>
      <c r="F972" s="107" t="str">
        <f>IF(LEN(Table1722[[#This Row],[Uraian]])&gt;2,TRIM(RIGHT(SUBSTITUTE(TRIM(C972)," ",REPT(" ",255)),255))," ")</f>
        <v xml:space="preserve"> </v>
      </c>
      <c r="G972" s="110">
        <f>COPY!Z964</f>
        <v>0</v>
      </c>
      <c r="H972" s="111" t="str">
        <f>IFERROR(VLOOKUP(Table1722[[#This Row],[Bukti]],'Un nOTA'!$A$4:$K$5003,10,FALSE),"")</f>
        <v/>
      </c>
      <c r="I972" s="112" t="str">
        <f>IFERROR(VLOOKUP(Table1722[[#This Row],[Bukti]],Table13[#Data],11,FALSE),"")</f>
        <v/>
      </c>
    </row>
    <row r="973" spans="1:9" ht="19.5" hidden="1" customHeight="1" x14ac:dyDescent="0.2">
      <c r="A973" s="105" t="str">
        <f>IF(D973=1,COUNTIF($D$10:D973,1)," ")</f>
        <v xml:space="preserve"> </v>
      </c>
      <c r="B973" s="106" t="str">
        <f>COPY!AR965</f>
        <v/>
      </c>
      <c r="C973" s="107">
        <f>COPY!AC965</f>
        <v>0</v>
      </c>
      <c r="D973" s="107" t="str">
        <f>IF(LEN(Table1722[[#This Row],[Uraian]])&gt;2,1," ")</f>
        <v xml:space="preserve"> </v>
      </c>
      <c r="E973" s="113" t="str">
        <f>IF(Table1722[[#This Row],[Lawan Transaksi]]="CV AGUNG KARYA",COUNTIF($I$10:I973,"CV AGUNG KARYA")," ")</f>
        <v xml:space="preserve"> </v>
      </c>
      <c r="F973" s="107" t="str">
        <f>IF(LEN(Table1722[[#This Row],[Uraian]])&gt;2,TRIM(RIGHT(SUBSTITUTE(TRIM(C973)," ",REPT(" ",255)),255))," ")</f>
        <v xml:space="preserve"> </v>
      </c>
      <c r="G973" s="110">
        <f>COPY!Z965</f>
        <v>0</v>
      </c>
      <c r="H973" s="111" t="str">
        <f>IFERROR(VLOOKUP(Table1722[[#This Row],[Bukti]],'Un nOTA'!$A$4:$K$5003,10,FALSE),"")</f>
        <v/>
      </c>
      <c r="I973" s="112" t="str">
        <f>IFERROR(VLOOKUP(Table1722[[#This Row],[Bukti]],Table13[#Data],11,FALSE),"")</f>
        <v/>
      </c>
    </row>
    <row r="974" spans="1:9" ht="19.5" hidden="1" customHeight="1" x14ac:dyDescent="0.2">
      <c r="A974" s="105" t="str">
        <f>IF(D974=1,COUNTIF($D$10:D974,1)," ")</f>
        <v xml:space="preserve"> </v>
      </c>
      <c r="B974" s="106" t="str">
        <f>COPY!AR966</f>
        <v/>
      </c>
      <c r="C974" s="107">
        <f>COPY!AC966</f>
        <v>0</v>
      </c>
      <c r="D974" s="107" t="str">
        <f>IF(LEN(Table1722[[#This Row],[Uraian]])&gt;2,1," ")</f>
        <v xml:space="preserve"> </v>
      </c>
      <c r="E974" s="113" t="str">
        <f>IF(Table1722[[#This Row],[Lawan Transaksi]]="CV AGUNG KARYA",COUNTIF($I$10:I974,"CV AGUNG KARYA")," ")</f>
        <v xml:space="preserve"> </v>
      </c>
      <c r="F974" s="107" t="str">
        <f>IF(LEN(Table1722[[#This Row],[Uraian]])&gt;2,TRIM(RIGHT(SUBSTITUTE(TRIM(C974)," ",REPT(" ",255)),255))," ")</f>
        <v xml:space="preserve"> </v>
      </c>
      <c r="G974" s="110">
        <f>COPY!Z966</f>
        <v>0</v>
      </c>
      <c r="H974" s="111" t="str">
        <f>IFERROR(VLOOKUP(Table1722[[#This Row],[Bukti]],'Un nOTA'!$A$4:$K$5003,10,FALSE),"")</f>
        <v/>
      </c>
      <c r="I974" s="112" t="str">
        <f>IFERROR(VLOOKUP(Table1722[[#This Row],[Bukti]],Table13[#Data],11,FALSE),"")</f>
        <v/>
      </c>
    </row>
    <row r="975" spans="1:9" ht="19.5" hidden="1" customHeight="1" x14ac:dyDescent="0.2">
      <c r="A975" s="105" t="str">
        <f>IF(D975=1,COUNTIF($D$10:D975,1)," ")</f>
        <v xml:space="preserve"> </v>
      </c>
      <c r="B975" s="106" t="str">
        <f>COPY!AR967</f>
        <v/>
      </c>
      <c r="C975" s="107">
        <f>COPY!AC967</f>
        <v>0</v>
      </c>
      <c r="D975" s="107" t="str">
        <f>IF(LEN(Table1722[[#This Row],[Uraian]])&gt;2,1," ")</f>
        <v xml:space="preserve"> </v>
      </c>
      <c r="E975" s="113" t="str">
        <f>IF(Table1722[[#This Row],[Lawan Transaksi]]="CV AGUNG KARYA",COUNTIF($I$10:I975,"CV AGUNG KARYA")," ")</f>
        <v xml:space="preserve"> </v>
      </c>
      <c r="F975" s="107" t="str">
        <f>IF(LEN(Table1722[[#This Row],[Uraian]])&gt;2,TRIM(RIGHT(SUBSTITUTE(TRIM(C975)," ",REPT(" ",255)),255))," ")</f>
        <v xml:space="preserve"> </v>
      </c>
      <c r="G975" s="110">
        <f>COPY!Z967</f>
        <v>0</v>
      </c>
      <c r="H975" s="111" t="str">
        <f>IFERROR(VLOOKUP(Table1722[[#This Row],[Bukti]],'Un nOTA'!$A$4:$K$5003,10,FALSE),"")</f>
        <v/>
      </c>
      <c r="I975" s="112" t="str">
        <f>IFERROR(VLOOKUP(Table1722[[#This Row],[Bukti]],Table13[#Data],11,FALSE),"")</f>
        <v/>
      </c>
    </row>
    <row r="976" spans="1:9" ht="19.5" hidden="1" customHeight="1" x14ac:dyDescent="0.2">
      <c r="A976" s="105" t="str">
        <f>IF(D976=1,COUNTIF($D$10:D976,1)," ")</f>
        <v xml:space="preserve"> </v>
      </c>
      <c r="B976" s="106" t="str">
        <f>COPY!AR968</f>
        <v/>
      </c>
      <c r="C976" s="107">
        <f>COPY!AC968</f>
        <v>0</v>
      </c>
      <c r="D976" s="107" t="str">
        <f>IF(LEN(Table1722[[#This Row],[Uraian]])&gt;2,1," ")</f>
        <v xml:space="preserve"> </v>
      </c>
      <c r="E976" s="113" t="str">
        <f>IF(Table1722[[#This Row],[Lawan Transaksi]]="CV AGUNG KARYA",COUNTIF($I$10:I976,"CV AGUNG KARYA")," ")</f>
        <v xml:space="preserve"> </v>
      </c>
      <c r="F976" s="107" t="str">
        <f>IF(LEN(Table1722[[#This Row],[Uraian]])&gt;2,TRIM(RIGHT(SUBSTITUTE(TRIM(C976)," ",REPT(" ",255)),255))," ")</f>
        <v xml:space="preserve"> </v>
      </c>
      <c r="G976" s="110">
        <f>COPY!Z968</f>
        <v>0</v>
      </c>
      <c r="H976" s="111" t="str">
        <f>IFERROR(VLOOKUP(Table1722[[#This Row],[Bukti]],'Un nOTA'!$A$4:$K$5003,10,FALSE),"")</f>
        <v/>
      </c>
      <c r="I976" s="112" t="str">
        <f>IFERROR(VLOOKUP(Table1722[[#This Row],[Bukti]],Table13[#Data],11,FALSE),"")</f>
        <v/>
      </c>
    </row>
    <row r="977" spans="1:9" ht="19.5" hidden="1" customHeight="1" x14ac:dyDescent="0.2">
      <c r="A977" s="105" t="str">
        <f>IF(D977=1,COUNTIF($D$10:D977,1)," ")</f>
        <v xml:space="preserve"> </v>
      </c>
      <c r="B977" s="106" t="str">
        <f>COPY!AR969</f>
        <v/>
      </c>
      <c r="C977" s="107">
        <f>COPY!AC969</f>
        <v>0</v>
      </c>
      <c r="D977" s="107" t="str">
        <f>IF(LEN(Table1722[[#This Row],[Uraian]])&gt;2,1," ")</f>
        <v xml:space="preserve"> </v>
      </c>
      <c r="E977" s="113" t="str">
        <f>IF(Table1722[[#This Row],[Lawan Transaksi]]="CV AGUNG KARYA",COUNTIF($I$10:I977,"CV AGUNG KARYA")," ")</f>
        <v xml:space="preserve"> </v>
      </c>
      <c r="F977" s="107" t="str">
        <f>IF(LEN(Table1722[[#This Row],[Uraian]])&gt;2,TRIM(RIGHT(SUBSTITUTE(TRIM(C977)," ",REPT(" ",255)),255))," ")</f>
        <v xml:space="preserve"> </v>
      </c>
      <c r="G977" s="110">
        <f>COPY!Z969</f>
        <v>0</v>
      </c>
      <c r="H977" s="111" t="str">
        <f>IFERROR(VLOOKUP(Table1722[[#This Row],[Bukti]],'Un nOTA'!$A$4:$K$5003,10,FALSE),"")</f>
        <v/>
      </c>
      <c r="I977" s="112" t="str">
        <f>IFERROR(VLOOKUP(Table1722[[#This Row],[Bukti]],Table13[#Data],11,FALSE),"")</f>
        <v/>
      </c>
    </row>
    <row r="978" spans="1:9" ht="19.5" hidden="1" customHeight="1" x14ac:dyDescent="0.2">
      <c r="A978" s="105" t="str">
        <f>IF(D978=1,COUNTIF($D$10:D978,1)," ")</f>
        <v xml:space="preserve"> </v>
      </c>
      <c r="B978" s="106" t="str">
        <f>COPY!AR970</f>
        <v/>
      </c>
      <c r="C978" s="107">
        <f>COPY!AC970</f>
        <v>0</v>
      </c>
      <c r="D978" s="107" t="str">
        <f>IF(LEN(Table1722[[#This Row],[Uraian]])&gt;2,1," ")</f>
        <v xml:space="preserve"> </v>
      </c>
      <c r="E978" s="113" t="str">
        <f>IF(Table1722[[#This Row],[Lawan Transaksi]]="CV AGUNG KARYA",COUNTIF($I$10:I978,"CV AGUNG KARYA")," ")</f>
        <v xml:space="preserve"> </v>
      </c>
      <c r="F978" s="107" t="str">
        <f>IF(LEN(Table1722[[#This Row],[Uraian]])&gt;2,TRIM(RIGHT(SUBSTITUTE(TRIM(C978)," ",REPT(" ",255)),255))," ")</f>
        <v xml:space="preserve"> </v>
      </c>
      <c r="G978" s="110">
        <f>COPY!Z970</f>
        <v>0</v>
      </c>
      <c r="H978" s="111" t="str">
        <f>IFERROR(VLOOKUP(Table1722[[#This Row],[Bukti]],'Un nOTA'!$A$4:$K$5003,10,FALSE),"")</f>
        <v/>
      </c>
      <c r="I978" s="112" t="str">
        <f>IFERROR(VLOOKUP(Table1722[[#This Row],[Bukti]],Table13[#Data],11,FALSE),"")</f>
        <v/>
      </c>
    </row>
    <row r="979" spans="1:9" ht="19.5" hidden="1" customHeight="1" x14ac:dyDescent="0.2">
      <c r="A979" s="105" t="str">
        <f>IF(D979=1,COUNTIF($D$10:D979,1)," ")</f>
        <v xml:space="preserve"> </v>
      </c>
      <c r="B979" s="106" t="str">
        <f>COPY!AR971</f>
        <v/>
      </c>
      <c r="C979" s="107">
        <f>COPY!AC971</f>
        <v>0</v>
      </c>
      <c r="D979" s="107" t="str">
        <f>IF(LEN(Table1722[[#This Row],[Uraian]])&gt;2,1," ")</f>
        <v xml:space="preserve"> </v>
      </c>
      <c r="E979" s="113" t="str">
        <f>IF(Table1722[[#This Row],[Lawan Transaksi]]="CV AGUNG KARYA",COUNTIF($I$10:I979,"CV AGUNG KARYA")," ")</f>
        <v xml:space="preserve"> </v>
      </c>
      <c r="F979" s="107" t="str">
        <f>IF(LEN(Table1722[[#This Row],[Uraian]])&gt;2,TRIM(RIGHT(SUBSTITUTE(TRIM(C979)," ",REPT(" ",255)),255))," ")</f>
        <v xml:space="preserve"> </v>
      </c>
      <c r="G979" s="110">
        <f>COPY!Z971</f>
        <v>0</v>
      </c>
      <c r="H979" s="111" t="str">
        <f>IFERROR(VLOOKUP(Table1722[[#This Row],[Bukti]],'Un nOTA'!$A$4:$K$5003,10,FALSE),"")</f>
        <v/>
      </c>
      <c r="I979" s="112" t="str">
        <f>IFERROR(VLOOKUP(Table1722[[#This Row],[Bukti]],Table13[#Data],11,FALSE),"")</f>
        <v/>
      </c>
    </row>
    <row r="980" spans="1:9" ht="19.5" hidden="1" customHeight="1" x14ac:dyDescent="0.2">
      <c r="A980" s="105" t="str">
        <f>IF(D980=1,COUNTIF($D$10:D980,1)," ")</f>
        <v xml:space="preserve"> </v>
      </c>
      <c r="B980" s="106" t="str">
        <f>COPY!AR972</f>
        <v/>
      </c>
      <c r="C980" s="107">
        <f>COPY!AC972</f>
        <v>0</v>
      </c>
      <c r="D980" s="107" t="str">
        <f>IF(LEN(Table1722[[#This Row],[Uraian]])&gt;2,1," ")</f>
        <v xml:space="preserve"> </v>
      </c>
      <c r="E980" s="113" t="str">
        <f>IF(Table1722[[#This Row],[Lawan Transaksi]]="CV AGUNG KARYA",COUNTIF($I$10:I980,"CV AGUNG KARYA")," ")</f>
        <v xml:space="preserve"> </v>
      </c>
      <c r="F980" s="107" t="str">
        <f>IF(LEN(Table1722[[#This Row],[Uraian]])&gt;2,TRIM(RIGHT(SUBSTITUTE(TRIM(C980)," ",REPT(" ",255)),255))," ")</f>
        <v xml:space="preserve"> </v>
      </c>
      <c r="G980" s="110">
        <f>COPY!Z972</f>
        <v>0</v>
      </c>
      <c r="H980" s="111" t="str">
        <f>IFERROR(VLOOKUP(Table1722[[#This Row],[Bukti]],'Un nOTA'!$A$4:$K$5003,10,FALSE),"")</f>
        <v/>
      </c>
      <c r="I980" s="112" t="str">
        <f>IFERROR(VLOOKUP(Table1722[[#This Row],[Bukti]],Table13[#Data],11,FALSE),"")</f>
        <v/>
      </c>
    </row>
    <row r="981" spans="1:9" ht="19.5" hidden="1" customHeight="1" x14ac:dyDescent="0.2">
      <c r="A981" s="105" t="str">
        <f>IF(D981=1,COUNTIF($D$10:D981,1)," ")</f>
        <v xml:space="preserve"> </v>
      </c>
      <c r="B981" s="106" t="str">
        <f>COPY!AR973</f>
        <v/>
      </c>
      <c r="C981" s="107">
        <f>COPY!AC973</f>
        <v>0</v>
      </c>
      <c r="D981" s="107" t="str">
        <f>IF(LEN(Table1722[[#This Row],[Uraian]])&gt;2,1," ")</f>
        <v xml:space="preserve"> </v>
      </c>
      <c r="E981" s="113" t="str">
        <f>IF(Table1722[[#This Row],[Lawan Transaksi]]="CV AGUNG KARYA",COUNTIF($I$10:I981,"CV AGUNG KARYA")," ")</f>
        <v xml:space="preserve"> </v>
      </c>
      <c r="F981" s="107" t="str">
        <f>IF(LEN(Table1722[[#This Row],[Uraian]])&gt;2,TRIM(RIGHT(SUBSTITUTE(TRIM(C981)," ",REPT(" ",255)),255))," ")</f>
        <v xml:space="preserve"> </v>
      </c>
      <c r="G981" s="110">
        <f>COPY!Z973</f>
        <v>0</v>
      </c>
      <c r="H981" s="111" t="str">
        <f>IFERROR(VLOOKUP(Table1722[[#This Row],[Bukti]],'Un nOTA'!$A$4:$K$5003,10,FALSE),"")</f>
        <v/>
      </c>
      <c r="I981" s="112" t="str">
        <f>IFERROR(VLOOKUP(Table1722[[#This Row],[Bukti]],Table13[#Data],11,FALSE),"")</f>
        <v/>
      </c>
    </row>
    <row r="982" spans="1:9" ht="19.5" hidden="1" customHeight="1" x14ac:dyDescent="0.2">
      <c r="A982" s="105" t="str">
        <f>IF(D982=1,COUNTIF($D$10:D982,1)," ")</f>
        <v xml:space="preserve"> </v>
      </c>
      <c r="B982" s="106" t="str">
        <f>COPY!AR974</f>
        <v/>
      </c>
      <c r="C982" s="107">
        <f>COPY!AC974</f>
        <v>0</v>
      </c>
      <c r="D982" s="107" t="str">
        <f>IF(LEN(Table1722[[#This Row],[Uraian]])&gt;2,1," ")</f>
        <v xml:space="preserve"> </v>
      </c>
      <c r="E982" s="113" t="str">
        <f>IF(Table1722[[#This Row],[Lawan Transaksi]]="CV AGUNG KARYA",COUNTIF($I$10:I982,"CV AGUNG KARYA")," ")</f>
        <v xml:space="preserve"> </v>
      </c>
      <c r="F982" s="107" t="str">
        <f>IF(LEN(Table1722[[#This Row],[Uraian]])&gt;2,TRIM(RIGHT(SUBSTITUTE(TRIM(C982)," ",REPT(" ",255)),255))," ")</f>
        <v xml:space="preserve"> </v>
      </c>
      <c r="G982" s="110">
        <f>COPY!Z974</f>
        <v>0</v>
      </c>
      <c r="H982" s="111" t="str">
        <f>IFERROR(VLOOKUP(Table1722[[#This Row],[Bukti]],'Un nOTA'!$A$4:$K$5003,10,FALSE),"")</f>
        <v/>
      </c>
      <c r="I982" s="112" t="str">
        <f>IFERROR(VLOOKUP(Table1722[[#This Row],[Bukti]],Table13[#Data],11,FALSE),"")</f>
        <v/>
      </c>
    </row>
    <row r="983" spans="1:9" ht="19.5" hidden="1" customHeight="1" x14ac:dyDescent="0.2">
      <c r="A983" s="105" t="str">
        <f>IF(D983=1,COUNTIF($D$10:D983,1)," ")</f>
        <v xml:space="preserve"> </v>
      </c>
      <c r="B983" s="106" t="str">
        <f>COPY!AR975</f>
        <v/>
      </c>
      <c r="C983" s="107">
        <f>COPY!AC975</f>
        <v>0</v>
      </c>
      <c r="D983" s="107" t="str">
        <f>IF(LEN(Table1722[[#This Row],[Uraian]])&gt;2,1," ")</f>
        <v xml:space="preserve"> </v>
      </c>
      <c r="E983" s="113" t="str">
        <f>IF(Table1722[[#This Row],[Lawan Transaksi]]="CV AGUNG KARYA",COUNTIF($I$10:I983,"CV AGUNG KARYA")," ")</f>
        <v xml:space="preserve"> </v>
      </c>
      <c r="F983" s="107" t="str">
        <f>IF(LEN(Table1722[[#This Row],[Uraian]])&gt;2,TRIM(RIGHT(SUBSTITUTE(TRIM(C983)," ",REPT(" ",255)),255))," ")</f>
        <v xml:space="preserve"> </v>
      </c>
      <c r="G983" s="110">
        <f>COPY!Z975</f>
        <v>0</v>
      </c>
      <c r="H983" s="111" t="str">
        <f>IFERROR(VLOOKUP(Table1722[[#This Row],[Bukti]],'Un nOTA'!$A$4:$K$5003,10,FALSE),"")</f>
        <v/>
      </c>
      <c r="I983" s="112" t="str">
        <f>IFERROR(VLOOKUP(Table1722[[#This Row],[Bukti]],Table13[#Data],11,FALSE),"")</f>
        <v/>
      </c>
    </row>
    <row r="984" spans="1:9" ht="19.5" hidden="1" customHeight="1" x14ac:dyDescent="0.2">
      <c r="A984" s="105" t="str">
        <f>IF(D984=1,COUNTIF($D$10:D984,1)," ")</f>
        <v xml:space="preserve"> </v>
      </c>
      <c r="B984" s="106" t="str">
        <f>COPY!AR976</f>
        <v/>
      </c>
      <c r="C984" s="107">
        <f>COPY!AC976</f>
        <v>0</v>
      </c>
      <c r="D984" s="107" t="str">
        <f>IF(LEN(Table1722[[#This Row],[Uraian]])&gt;2,1," ")</f>
        <v xml:space="preserve"> </v>
      </c>
      <c r="E984" s="113" t="str">
        <f>IF(Table1722[[#This Row],[Lawan Transaksi]]="CV AGUNG KARYA",COUNTIF($I$10:I984,"CV AGUNG KARYA")," ")</f>
        <v xml:space="preserve"> </v>
      </c>
      <c r="F984" s="107" t="str">
        <f>IF(LEN(Table1722[[#This Row],[Uraian]])&gt;2,TRIM(RIGHT(SUBSTITUTE(TRIM(C984)," ",REPT(" ",255)),255))," ")</f>
        <v xml:space="preserve"> </v>
      </c>
      <c r="G984" s="110">
        <f>COPY!Z976</f>
        <v>0</v>
      </c>
      <c r="H984" s="111" t="str">
        <f>IFERROR(VLOOKUP(Table1722[[#This Row],[Bukti]],'Un nOTA'!$A$4:$K$5003,10,FALSE),"")</f>
        <v/>
      </c>
      <c r="I984" s="112" t="str">
        <f>IFERROR(VLOOKUP(Table1722[[#This Row],[Bukti]],Table13[#Data],11,FALSE),"")</f>
        <v/>
      </c>
    </row>
    <row r="985" spans="1:9" ht="19.5" hidden="1" customHeight="1" x14ac:dyDescent="0.2">
      <c r="A985" s="105" t="str">
        <f>IF(D985=1,COUNTIF($D$10:D985,1)," ")</f>
        <v xml:space="preserve"> </v>
      </c>
      <c r="B985" s="106" t="str">
        <f>COPY!AR977</f>
        <v/>
      </c>
      <c r="C985" s="107">
        <f>COPY!AC977</f>
        <v>0</v>
      </c>
      <c r="D985" s="107" t="str">
        <f>IF(LEN(Table1722[[#This Row],[Uraian]])&gt;2,1," ")</f>
        <v xml:space="preserve"> </v>
      </c>
      <c r="E985" s="113" t="str">
        <f>IF(Table1722[[#This Row],[Lawan Transaksi]]="CV AGUNG KARYA",COUNTIF($I$10:I985,"CV AGUNG KARYA")," ")</f>
        <v xml:space="preserve"> </v>
      </c>
      <c r="F985" s="107" t="str">
        <f>IF(LEN(Table1722[[#This Row],[Uraian]])&gt;2,TRIM(RIGHT(SUBSTITUTE(TRIM(C985)," ",REPT(" ",255)),255))," ")</f>
        <v xml:space="preserve"> </v>
      </c>
      <c r="G985" s="110">
        <f>COPY!Z977</f>
        <v>0</v>
      </c>
      <c r="H985" s="111" t="str">
        <f>IFERROR(VLOOKUP(Table1722[[#This Row],[Bukti]],'Un nOTA'!$A$4:$K$5003,10,FALSE),"")</f>
        <v/>
      </c>
      <c r="I985" s="112" t="str">
        <f>IFERROR(VLOOKUP(Table1722[[#This Row],[Bukti]],Table13[#Data],11,FALSE),"")</f>
        <v/>
      </c>
    </row>
    <row r="986" spans="1:9" ht="19.5" hidden="1" customHeight="1" x14ac:dyDescent="0.2">
      <c r="A986" s="105" t="str">
        <f>IF(D986=1,COUNTIF($D$10:D986,1)," ")</f>
        <v xml:space="preserve"> </v>
      </c>
      <c r="B986" s="106" t="str">
        <f>COPY!AR978</f>
        <v/>
      </c>
      <c r="C986" s="107">
        <f>COPY!AC978</f>
        <v>0</v>
      </c>
      <c r="D986" s="107" t="str">
        <f>IF(LEN(Table1722[[#This Row],[Uraian]])&gt;2,1," ")</f>
        <v xml:space="preserve"> </v>
      </c>
      <c r="E986" s="113" t="str">
        <f>IF(Table1722[[#This Row],[Lawan Transaksi]]="CV AGUNG KARYA",COUNTIF($I$10:I986,"CV AGUNG KARYA")," ")</f>
        <v xml:space="preserve"> </v>
      </c>
      <c r="F986" s="107" t="str">
        <f>IF(LEN(Table1722[[#This Row],[Uraian]])&gt;2,TRIM(RIGHT(SUBSTITUTE(TRIM(C986)," ",REPT(" ",255)),255))," ")</f>
        <v xml:space="preserve"> </v>
      </c>
      <c r="G986" s="110">
        <f>COPY!Z978</f>
        <v>0</v>
      </c>
      <c r="H986" s="111" t="str">
        <f>IFERROR(VLOOKUP(Table1722[[#This Row],[Bukti]],'Un nOTA'!$A$4:$K$5003,10,FALSE),"")</f>
        <v/>
      </c>
      <c r="I986" s="112" t="str">
        <f>IFERROR(VLOOKUP(Table1722[[#This Row],[Bukti]],Table13[#Data],11,FALSE),"")</f>
        <v/>
      </c>
    </row>
    <row r="987" spans="1:9" ht="19.5" hidden="1" customHeight="1" x14ac:dyDescent="0.2">
      <c r="A987" s="105" t="str">
        <f>IF(D987=1,COUNTIF($D$10:D987,1)," ")</f>
        <v xml:space="preserve"> </v>
      </c>
      <c r="B987" s="106" t="str">
        <f>COPY!AR979</f>
        <v/>
      </c>
      <c r="C987" s="107">
        <f>COPY!AC979</f>
        <v>0</v>
      </c>
      <c r="D987" s="107" t="str">
        <f>IF(LEN(Table1722[[#This Row],[Uraian]])&gt;2,1," ")</f>
        <v xml:space="preserve"> </v>
      </c>
      <c r="E987" s="113" t="str">
        <f>IF(Table1722[[#This Row],[Lawan Transaksi]]="CV AGUNG KARYA",COUNTIF($I$10:I987,"CV AGUNG KARYA")," ")</f>
        <v xml:space="preserve"> </v>
      </c>
      <c r="F987" s="107" t="str">
        <f>IF(LEN(Table1722[[#This Row],[Uraian]])&gt;2,TRIM(RIGHT(SUBSTITUTE(TRIM(C987)," ",REPT(" ",255)),255))," ")</f>
        <v xml:space="preserve"> </v>
      </c>
      <c r="G987" s="110">
        <f>COPY!Z979</f>
        <v>0</v>
      </c>
      <c r="H987" s="111" t="str">
        <f>IFERROR(VLOOKUP(Table1722[[#This Row],[Bukti]],'Un nOTA'!$A$4:$K$5003,10,FALSE),"")</f>
        <v/>
      </c>
      <c r="I987" s="112" t="str">
        <f>IFERROR(VLOOKUP(Table1722[[#This Row],[Bukti]],Table13[#Data],11,FALSE),"")</f>
        <v/>
      </c>
    </row>
    <row r="988" spans="1:9" ht="19.5" hidden="1" customHeight="1" x14ac:dyDescent="0.2">
      <c r="A988" s="105" t="str">
        <f>IF(D988=1,COUNTIF($D$10:D988,1)," ")</f>
        <v xml:space="preserve"> </v>
      </c>
      <c r="B988" s="106" t="str">
        <f>COPY!AR980</f>
        <v/>
      </c>
      <c r="C988" s="107">
        <f>COPY!AC980</f>
        <v>0</v>
      </c>
      <c r="D988" s="107" t="str">
        <f>IF(LEN(Table1722[[#This Row],[Uraian]])&gt;2,1," ")</f>
        <v xml:space="preserve"> </v>
      </c>
      <c r="E988" s="113" t="str">
        <f>IF(Table1722[[#This Row],[Lawan Transaksi]]="CV AGUNG KARYA",COUNTIF($I$10:I988,"CV AGUNG KARYA")," ")</f>
        <v xml:space="preserve"> </v>
      </c>
      <c r="F988" s="107" t="str">
        <f>IF(LEN(Table1722[[#This Row],[Uraian]])&gt;2,TRIM(RIGHT(SUBSTITUTE(TRIM(C988)," ",REPT(" ",255)),255))," ")</f>
        <v xml:space="preserve"> </v>
      </c>
      <c r="G988" s="110">
        <f>COPY!Z980</f>
        <v>0</v>
      </c>
      <c r="H988" s="111" t="str">
        <f>IFERROR(VLOOKUP(Table1722[[#This Row],[Bukti]],'Un nOTA'!$A$4:$K$5003,10,FALSE),"")</f>
        <v/>
      </c>
      <c r="I988" s="112" t="str">
        <f>IFERROR(VLOOKUP(Table1722[[#This Row],[Bukti]],Table13[#Data],11,FALSE),"")</f>
        <v/>
      </c>
    </row>
    <row r="989" spans="1:9" ht="19.5" hidden="1" customHeight="1" x14ac:dyDescent="0.2">
      <c r="A989" s="105" t="str">
        <f>IF(D989=1,COUNTIF($D$10:D989,1)," ")</f>
        <v xml:space="preserve"> </v>
      </c>
      <c r="B989" s="106" t="str">
        <f>COPY!AR981</f>
        <v/>
      </c>
      <c r="C989" s="107">
        <f>COPY!AC981</f>
        <v>0</v>
      </c>
      <c r="D989" s="107" t="str">
        <f>IF(LEN(Table1722[[#This Row],[Uraian]])&gt;2,1," ")</f>
        <v xml:space="preserve"> </v>
      </c>
      <c r="E989" s="113" t="str">
        <f>IF(Table1722[[#This Row],[Lawan Transaksi]]="CV AGUNG KARYA",COUNTIF($I$10:I989,"CV AGUNG KARYA")," ")</f>
        <v xml:space="preserve"> </v>
      </c>
      <c r="F989" s="107" t="str">
        <f>IF(LEN(Table1722[[#This Row],[Uraian]])&gt;2,TRIM(RIGHT(SUBSTITUTE(TRIM(C989)," ",REPT(" ",255)),255))," ")</f>
        <v xml:space="preserve"> </v>
      </c>
      <c r="G989" s="110">
        <f>COPY!Z981</f>
        <v>0</v>
      </c>
      <c r="H989" s="111" t="str">
        <f>IFERROR(VLOOKUP(Table1722[[#This Row],[Bukti]],'Un nOTA'!$A$4:$K$5003,10,FALSE),"")</f>
        <v/>
      </c>
      <c r="I989" s="112" t="str">
        <f>IFERROR(VLOOKUP(Table1722[[#This Row],[Bukti]],Table13[#Data],11,FALSE),"")</f>
        <v/>
      </c>
    </row>
    <row r="990" spans="1:9" ht="19.5" hidden="1" customHeight="1" x14ac:dyDescent="0.2">
      <c r="A990" s="105" t="str">
        <f>IF(D990=1,COUNTIF($D$10:D990,1)," ")</f>
        <v xml:space="preserve"> </v>
      </c>
      <c r="B990" s="106" t="str">
        <f>COPY!AR982</f>
        <v/>
      </c>
      <c r="C990" s="107">
        <f>COPY!AC982</f>
        <v>0</v>
      </c>
      <c r="D990" s="107" t="str">
        <f>IF(LEN(Table1722[[#This Row],[Uraian]])&gt;2,1," ")</f>
        <v xml:space="preserve"> </v>
      </c>
      <c r="E990" s="113" t="str">
        <f>IF(Table1722[[#This Row],[Lawan Transaksi]]="CV AGUNG KARYA",COUNTIF($I$10:I990,"CV AGUNG KARYA")," ")</f>
        <v xml:space="preserve"> </v>
      </c>
      <c r="F990" s="107" t="str">
        <f>IF(LEN(Table1722[[#This Row],[Uraian]])&gt;2,TRIM(RIGHT(SUBSTITUTE(TRIM(C990)," ",REPT(" ",255)),255))," ")</f>
        <v xml:space="preserve"> </v>
      </c>
      <c r="G990" s="110">
        <f>COPY!Z982</f>
        <v>0</v>
      </c>
      <c r="H990" s="111" t="str">
        <f>IFERROR(VLOOKUP(Table1722[[#This Row],[Bukti]],'Un nOTA'!$A$4:$K$5003,10,FALSE),"")</f>
        <v/>
      </c>
      <c r="I990" s="112" t="str">
        <f>IFERROR(VLOOKUP(Table1722[[#This Row],[Bukti]],Table13[#Data],11,FALSE),"")</f>
        <v/>
      </c>
    </row>
    <row r="991" spans="1:9" ht="19.5" hidden="1" customHeight="1" x14ac:dyDescent="0.2">
      <c r="A991" s="105" t="str">
        <f>IF(D991=1,COUNTIF($D$10:D991,1)," ")</f>
        <v xml:space="preserve"> </v>
      </c>
      <c r="B991" s="106" t="str">
        <f>COPY!AR983</f>
        <v/>
      </c>
      <c r="C991" s="107">
        <f>COPY!AC983</f>
        <v>0</v>
      </c>
      <c r="D991" s="107" t="str">
        <f>IF(LEN(Table1722[[#This Row],[Uraian]])&gt;2,1," ")</f>
        <v xml:space="preserve"> </v>
      </c>
      <c r="E991" s="113" t="str">
        <f>IF(Table1722[[#This Row],[Lawan Transaksi]]="CV AGUNG KARYA",COUNTIF($I$10:I991,"CV AGUNG KARYA")," ")</f>
        <v xml:space="preserve"> </v>
      </c>
      <c r="F991" s="107" t="str">
        <f>IF(LEN(Table1722[[#This Row],[Uraian]])&gt;2,TRIM(RIGHT(SUBSTITUTE(TRIM(C991)," ",REPT(" ",255)),255))," ")</f>
        <v xml:space="preserve"> </v>
      </c>
      <c r="G991" s="110">
        <f>COPY!Z983</f>
        <v>0</v>
      </c>
      <c r="H991" s="111" t="str">
        <f>IFERROR(VLOOKUP(Table1722[[#This Row],[Bukti]],'Un nOTA'!$A$4:$K$5003,10,FALSE),"")</f>
        <v/>
      </c>
      <c r="I991" s="112" t="str">
        <f>IFERROR(VLOOKUP(Table1722[[#This Row],[Bukti]],Table13[#Data],11,FALSE),"")</f>
        <v/>
      </c>
    </row>
    <row r="992" spans="1:9" ht="19.5" hidden="1" customHeight="1" x14ac:dyDescent="0.2">
      <c r="A992" s="105" t="str">
        <f>IF(D992=1,COUNTIF($D$10:D992,1)," ")</f>
        <v xml:space="preserve"> </v>
      </c>
      <c r="B992" s="106" t="str">
        <f>COPY!AR984</f>
        <v/>
      </c>
      <c r="C992" s="107">
        <f>COPY!AC984</f>
        <v>0</v>
      </c>
      <c r="D992" s="107" t="str">
        <f>IF(LEN(Table1722[[#This Row],[Uraian]])&gt;2,1," ")</f>
        <v xml:space="preserve"> </v>
      </c>
      <c r="E992" s="113" t="str">
        <f>IF(Table1722[[#This Row],[Lawan Transaksi]]="CV AGUNG KARYA",COUNTIF($I$10:I992,"CV AGUNG KARYA")," ")</f>
        <v xml:space="preserve"> </v>
      </c>
      <c r="F992" s="107" t="str">
        <f>IF(LEN(Table1722[[#This Row],[Uraian]])&gt;2,TRIM(RIGHT(SUBSTITUTE(TRIM(C992)," ",REPT(" ",255)),255))," ")</f>
        <v xml:space="preserve"> </v>
      </c>
      <c r="G992" s="110">
        <f>COPY!Z984</f>
        <v>0</v>
      </c>
      <c r="H992" s="111" t="str">
        <f>IFERROR(VLOOKUP(Table1722[[#This Row],[Bukti]],'Un nOTA'!$A$4:$K$5003,10,FALSE),"")</f>
        <v/>
      </c>
      <c r="I992" s="112" t="str">
        <f>IFERROR(VLOOKUP(Table1722[[#This Row],[Bukti]],Table13[#Data],11,FALSE),"")</f>
        <v/>
      </c>
    </row>
    <row r="993" spans="1:9" ht="19.5" hidden="1" customHeight="1" x14ac:dyDescent="0.2">
      <c r="A993" s="105" t="str">
        <f>IF(D993=1,COUNTIF($D$10:D993,1)," ")</f>
        <v xml:space="preserve"> </v>
      </c>
      <c r="B993" s="106" t="str">
        <f>COPY!AR985</f>
        <v/>
      </c>
      <c r="C993" s="107">
        <f>COPY!AC985</f>
        <v>0</v>
      </c>
      <c r="D993" s="107" t="str">
        <f>IF(LEN(Table1722[[#This Row],[Uraian]])&gt;2,1," ")</f>
        <v xml:space="preserve"> </v>
      </c>
      <c r="E993" s="113" t="str">
        <f>IF(Table1722[[#This Row],[Lawan Transaksi]]="CV AGUNG KARYA",COUNTIF($I$10:I993,"CV AGUNG KARYA")," ")</f>
        <v xml:space="preserve"> </v>
      </c>
      <c r="F993" s="107" t="str">
        <f>IF(LEN(Table1722[[#This Row],[Uraian]])&gt;2,TRIM(RIGHT(SUBSTITUTE(TRIM(C993)," ",REPT(" ",255)),255))," ")</f>
        <v xml:space="preserve"> </v>
      </c>
      <c r="G993" s="110">
        <f>COPY!Z985</f>
        <v>0</v>
      </c>
      <c r="H993" s="111" t="str">
        <f>IFERROR(VLOOKUP(Table1722[[#This Row],[Bukti]],'Un nOTA'!$A$4:$K$5003,10,FALSE),"")</f>
        <v/>
      </c>
      <c r="I993" s="112" t="str">
        <f>IFERROR(VLOOKUP(Table1722[[#This Row],[Bukti]],Table13[#Data],11,FALSE),"")</f>
        <v/>
      </c>
    </row>
    <row r="994" spans="1:9" ht="19.5" hidden="1" customHeight="1" x14ac:dyDescent="0.2">
      <c r="A994" s="105" t="str">
        <f>IF(D994=1,COUNTIF($D$10:D994,1)," ")</f>
        <v xml:space="preserve"> </v>
      </c>
      <c r="B994" s="106" t="str">
        <f>COPY!AR986</f>
        <v/>
      </c>
      <c r="C994" s="107">
        <f>COPY!AC986</f>
        <v>0</v>
      </c>
      <c r="D994" s="107" t="str">
        <f>IF(LEN(Table1722[[#This Row],[Uraian]])&gt;2,1," ")</f>
        <v xml:space="preserve"> </v>
      </c>
      <c r="E994" s="113" t="str">
        <f>IF(Table1722[[#This Row],[Lawan Transaksi]]="CV AGUNG KARYA",COUNTIF($I$10:I994,"CV AGUNG KARYA")," ")</f>
        <v xml:space="preserve"> </v>
      </c>
      <c r="F994" s="107" t="str">
        <f>IF(LEN(Table1722[[#This Row],[Uraian]])&gt;2,TRIM(RIGHT(SUBSTITUTE(TRIM(C994)," ",REPT(" ",255)),255))," ")</f>
        <v xml:space="preserve"> </v>
      </c>
      <c r="G994" s="110">
        <f>COPY!Z986</f>
        <v>0</v>
      </c>
      <c r="H994" s="111" t="str">
        <f>IFERROR(VLOOKUP(Table1722[[#This Row],[Bukti]],'Un nOTA'!$A$4:$K$5003,10,FALSE),"")</f>
        <v/>
      </c>
      <c r="I994" s="112" t="str">
        <f>IFERROR(VLOOKUP(Table1722[[#This Row],[Bukti]],Table13[#Data],11,FALSE),"")</f>
        <v/>
      </c>
    </row>
    <row r="995" spans="1:9" ht="19.5" hidden="1" customHeight="1" x14ac:dyDescent="0.2">
      <c r="A995" s="105" t="str">
        <f>IF(D995=1,COUNTIF($D$10:D995,1)," ")</f>
        <v xml:space="preserve"> </v>
      </c>
      <c r="B995" s="106" t="str">
        <f>COPY!AR987</f>
        <v/>
      </c>
      <c r="C995" s="107">
        <f>COPY!AC987</f>
        <v>0</v>
      </c>
      <c r="D995" s="107" t="str">
        <f>IF(LEN(Table1722[[#This Row],[Uraian]])&gt;2,1," ")</f>
        <v xml:space="preserve"> </v>
      </c>
      <c r="E995" s="113" t="str">
        <f>IF(Table1722[[#This Row],[Lawan Transaksi]]="CV AGUNG KARYA",COUNTIF($I$10:I995,"CV AGUNG KARYA")," ")</f>
        <v xml:space="preserve"> </v>
      </c>
      <c r="F995" s="107" t="str">
        <f>IF(LEN(Table1722[[#This Row],[Uraian]])&gt;2,TRIM(RIGHT(SUBSTITUTE(TRIM(C995)," ",REPT(" ",255)),255))," ")</f>
        <v xml:space="preserve"> </v>
      </c>
      <c r="G995" s="110">
        <f>COPY!Z987</f>
        <v>0</v>
      </c>
      <c r="H995" s="111" t="str">
        <f>IFERROR(VLOOKUP(Table1722[[#This Row],[Bukti]],'Un nOTA'!$A$4:$K$5003,10,FALSE),"")</f>
        <v/>
      </c>
      <c r="I995" s="112" t="str">
        <f>IFERROR(VLOOKUP(Table1722[[#This Row],[Bukti]],Table13[#Data],11,FALSE),"")</f>
        <v/>
      </c>
    </row>
    <row r="996" spans="1:9" ht="19.5" hidden="1" customHeight="1" x14ac:dyDescent="0.2">
      <c r="A996" s="105" t="str">
        <f>IF(D996=1,COUNTIF($D$10:D996,1)," ")</f>
        <v xml:space="preserve"> </v>
      </c>
      <c r="B996" s="106" t="str">
        <f>COPY!AR988</f>
        <v/>
      </c>
      <c r="C996" s="107">
        <f>COPY!AC988</f>
        <v>0</v>
      </c>
      <c r="D996" s="107" t="str">
        <f>IF(LEN(Table1722[[#This Row],[Uraian]])&gt;2,1," ")</f>
        <v xml:space="preserve"> </v>
      </c>
      <c r="E996" s="113" t="str">
        <f>IF(Table1722[[#This Row],[Lawan Transaksi]]="CV AGUNG KARYA",COUNTIF($I$10:I996,"CV AGUNG KARYA")," ")</f>
        <v xml:space="preserve"> </v>
      </c>
      <c r="F996" s="107" t="str">
        <f>IF(LEN(Table1722[[#This Row],[Uraian]])&gt;2,TRIM(RIGHT(SUBSTITUTE(TRIM(C996)," ",REPT(" ",255)),255))," ")</f>
        <v xml:space="preserve"> </v>
      </c>
      <c r="G996" s="110">
        <f>COPY!Z988</f>
        <v>0</v>
      </c>
      <c r="H996" s="111" t="str">
        <f>IFERROR(VLOOKUP(Table1722[[#This Row],[Bukti]],'Un nOTA'!$A$4:$K$5003,10,FALSE),"")</f>
        <v/>
      </c>
      <c r="I996" s="112" t="str">
        <f>IFERROR(VLOOKUP(Table1722[[#This Row],[Bukti]],Table13[#Data],11,FALSE),"")</f>
        <v/>
      </c>
    </row>
    <row r="997" spans="1:9" ht="19.5" hidden="1" customHeight="1" x14ac:dyDescent="0.2">
      <c r="A997" s="105" t="str">
        <f>IF(D997=1,COUNTIF($D$10:D997,1)," ")</f>
        <v xml:space="preserve"> </v>
      </c>
      <c r="B997" s="106" t="str">
        <f>COPY!AR989</f>
        <v/>
      </c>
      <c r="C997" s="107">
        <f>COPY!AC989</f>
        <v>0</v>
      </c>
      <c r="D997" s="107" t="str">
        <f>IF(LEN(Table1722[[#This Row],[Uraian]])&gt;2,1," ")</f>
        <v xml:space="preserve"> </v>
      </c>
      <c r="E997" s="113" t="str">
        <f>IF(Table1722[[#This Row],[Lawan Transaksi]]="CV AGUNG KARYA",COUNTIF($I$10:I997,"CV AGUNG KARYA")," ")</f>
        <v xml:space="preserve"> </v>
      </c>
      <c r="F997" s="107" t="str">
        <f>IF(LEN(Table1722[[#This Row],[Uraian]])&gt;2,TRIM(RIGHT(SUBSTITUTE(TRIM(C997)," ",REPT(" ",255)),255))," ")</f>
        <v xml:space="preserve"> </v>
      </c>
      <c r="G997" s="110">
        <f>COPY!Z989</f>
        <v>0</v>
      </c>
      <c r="H997" s="111" t="str">
        <f>IFERROR(VLOOKUP(Table1722[[#This Row],[Bukti]],'Un nOTA'!$A$4:$K$5003,10,FALSE),"")</f>
        <v/>
      </c>
      <c r="I997" s="112" t="str">
        <f>IFERROR(VLOOKUP(Table1722[[#This Row],[Bukti]],Table13[#Data],11,FALSE),"")</f>
        <v/>
      </c>
    </row>
    <row r="998" spans="1:9" ht="19.5" hidden="1" customHeight="1" x14ac:dyDescent="0.2">
      <c r="A998" s="105" t="str">
        <f>IF(D998=1,COUNTIF($D$10:D998,1)," ")</f>
        <v xml:space="preserve"> </v>
      </c>
      <c r="B998" s="106" t="str">
        <f>COPY!AR990</f>
        <v/>
      </c>
      <c r="C998" s="107">
        <f>COPY!AC990</f>
        <v>0</v>
      </c>
      <c r="D998" s="107" t="str">
        <f>IF(LEN(Table1722[[#This Row],[Uraian]])&gt;2,1," ")</f>
        <v xml:space="preserve"> </v>
      </c>
      <c r="E998" s="113" t="str">
        <f>IF(Table1722[[#This Row],[Lawan Transaksi]]="CV AGUNG KARYA",COUNTIF($I$10:I998,"CV AGUNG KARYA")," ")</f>
        <v xml:space="preserve"> </v>
      </c>
      <c r="F998" s="107" t="str">
        <f>IF(LEN(Table1722[[#This Row],[Uraian]])&gt;2,TRIM(RIGHT(SUBSTITUTE(TRIM(C998)," ",REPT(" ",255)),255))," ")</f>
        <v xml:space="preserve"> </v>
      </c>
      <c r="G998" s="110">
        <f>COPY!Z990</f>
        <v>0</v>
      </c>
      <c r="H998" s="111" t="str">
        <f>IFERROR(VLOOKUP(Table1722[[#This Row],[Bukti]],'Un nOTA'!$A$4:$K$5003,10,FALSE),"")</f>
        <v/>
      </c>
      <c r="I998" s="112" t="str">
        <f>IFERROR(VLOOKUP(Table1722[[#This Row],[Bukti]],Table13[#Data],11,FALSE),"")</f>
        <v/>
      </c>
    </row>
    <row r="999" spans="1:9" ht="19.5" hidden="1" customHeight="1" x14ac:dyDescent="0.2">
      <c r="A999" s="105" t="str">
        <f>IF(D999=1,COUNTIF($D$10:D999,1)," ")</f>
        <v xml:space="preserve"> </v>
      </c>
      <c r="B999" s="106" t="str">
        <f>COPY!AR991</f>
        <v/>
      </c>
      <c r="C999" s="107">
        <f>COPY!AC991</f>
        <v>0</v>
      </c>
      <c r="D999" s="107" t="str">
        <f>IF(LEN(Table1722[[#This Row],[Uraian]])&gt;2,1," ")</f>
        <v xml:space="preserve"> </v>
      </c>
      <c r="E999" s="113" t="str">
        <f>IF(Table1722[[#This Row],[Lawan Transaksi]]="CV AGUNG KARYA",COUNTIF($I$10:I999,"CV AGUNG KARYA")," ")</f>
        <v xml:space="preserve"> </v>
      </c>
      <c r="F999" s="107" t="str">
        <f>IF(LEN(Table1722[[#This Row],[Uraian]])&gt;2,TRIM(RIGHT(SUBSTITUTE(TRIM(C999)," ",REPT(" ",255)),255))," ")</f>
        <v xml:space="preserve"> </v>
      </c>
      <c r="G999" s="110">
        <f>COPY!Z991</f>
        <v>0</v>
      </c>
      <c r="H999" s="111" t="str">
        <f>IFERROR(VLOOKUP(Table1722[[#This Row],[Bukti]],'Un nOTA'!$A$4:$K$5003,10,FALSE),"")</f>
        <v/>
      </c>
      <c r="I999" s="112" t="str">
        <f>IFERROR(VLOOKUP(Table1722[[#This Row],[Bukti]],Table13[#Data],11,FALSE),"")</f>
        <v/>
      </c>
    </row>
    <row r="1000" spans="1:9" ht="19.5" hidden="1" customHeight="1" x14ac:dyDescent="0.2">
      <c r="A1000" s="105" t="str">
        <f>IF(D1000=1,COUNTIF($D$10:D1000,1)," ")</f>
        <v xml:space="preserve"> </v>
      </c>
      <c r="B1000" s="106" t="str">
        <f>COPY!AR992</f>
        <v/>
      </c>
      <c r="C1000" s="107">
        <f>COPY!AC992</f>
        <v>0</v>
      </c>
      <c r="D1000" s="107" t="str">
        <f>IF(LEN(Table1722[[#This Row],[Uraian]])&gt;2,1," ")</f>
        <v xml:space="preserve"> </v>
      </c>
      <c r="E1000" s="113" t="str">
        <f>IF(Table1722[[#This Row],[Lawan Transaksi]]="CV AGUNG KARYA",COUNTIF($I$10:I1000,"CV AGUNG KARYA")," ")</f>
        <v xml:space="preserve"> </v>
      </c>
      <c r="F1000" s="107" t="str">
        <f>IF(LEN(Table1722[[#This Row],[Uraian]])&gt;2,TRIM(RIGHT(SUBSTITUTE(TRIM(C1000)," ",REPT(" ",255)),255))," ")</f>
        <v xml:space="preserve"> </v>
      </c>
      <c r="G1000" s="110">
        <f>COPY!Z992</f>
        <v>0</v>
      </c>
      <c r="H1000" s="111" t="str">
        <f>IFERROR(VLOOKUP(Table1722[[#This Row],[Bukti]],'Un nOTA'!$A$4:$K$5003,10,FALSE),"")</f>
        <v/>
      </c>
      <c r="I1000" s="112" t="str">
        <f>IFERROR(VLOOKUP(Table1722[[#This Row],[Bukti]],Table13[#Data],11,FALSE),"")</f>
        <v/>
      </c>
    </row>
    <row r="1001" spans="1:9" ht="19.5" hidden="1" customHeight="1" x14ac:dyDescent="0.2">
      <c r="A1001" s="105" t="str">
        <f>IF(D1001=1,COUNTIF($D$10:D1001,1)," ")</f>
        <v xml:space="preserve"> </v>
      </c>
      <c r="B1001" s="106" t="str">
        <f>COPY!AR993</f>
        <v/>
      </c>
      <c r="C1001" s="107">
        <f>COPY!AC993</f>
        <v>0</v>
      </c>
      <c r="D1001" s="107" t="str">
        <f>IF(LEN(Table1722[[#This Row],[Uraian]])&gt;2,1," ")</f>
        <v xml:space="preserve"> </v>
      </c>
      <c r="E1001" s="113" t="str">
        <f>IF(Table1722[[#This Row],[Lawan Transaksi]]="CV AGUNG KARYA",COUNTIF($I$10:I1001,"CV AGUNG KARYA")," ")</f>
        <v xml:space="preserve"> </v>
      </c>
      <c r="F1001" s="107" t="str">
        <f>IF(LEN(Table1722[[#This Row],[Uraian]])&gt;2,TRIM(RIGHT(SUBSTITUTE(TRIM(C1001)," ",REPT(" ",255)),255))," ")</f>
        <v xml:space="preserve"> </v>
      </c>
      <c r="G1001" s="110">
        <f>COPY!Z993</f>
        <v>0</v>
      </c>
      <c r="H1001" s="111" t="str">
        <f>IFERROR(VLOOKUP(Table1722[[#This Row],[Bukti]],'Un nOTA'!$A$4:$K$5003,10,FALSE),"")</f>
        <v/>
      </c>
      <c r="I1001" s="112" t="str">
        <f>IFERROR(VLOOKUP(Table1722[[#This Row],[Bukti]],Table13[#Data],11,FALSE),"")</f>
        <v/>
      </c>
    </row>
    <row r="1002" spans="1:9" ht="19.5" hidden="1" customHeight="1" x14ac:dyDescent="0.2">
      <c r="A1002" s="105" t="str">
        <f>IF(D1002=1,COUNTIF($D$10:D1002,1)," ")</f>
        <v xml:space="preserve"> </v>
      </c>
      <c r="B1002" s="106" t="str">
        <f>COPY!AR994</f>
        <v/>
      </c>
      <c r="C1002" s="107">
        <f>COPY!AC994</f>
        <v>0</v>
      </c>
      <c r="D1002" s="107" t="str">
        <f>IF(LEN(Table1722[[#This Row],[Uraian]])&gt;2,1," ")</f>
        <v xml:space="preserve"> </v>
      </c>
      <c r="E1002" s="113" t="str">
        <f>IF(Table1722[[#This Row],[Lawan Transaksi]]="CV AGUNG KARYA",COUNTIF($I$10:I1002,"CV AGUNG KARYA")," ")</f>
        <v xml:space="preserve"> </v>
      </c>
      <c r="F1002" s="107" t="str">
        <f>IF(LEN(Table1722[[#This Row],[Uraian]])&gt;2,TRIM(RIGHT(SUBSTITUTE(TRIM(C1002)," ",REPT(" ",255)),255))," ")</f>
        <v xml:space="preserve"> </v>
      </c>
      <c r="G1002" s="110">
        <f>COPY!Z994</f>
        <v>0</v>
      </c>
      <c r="H1002" s="111" t="str">
        <f>IFERROR(VLOOKUP(Table1722[[#This Row],[Bukti]],'Un nOTA'!$A$4:$K$5003,10,FALSE),"")</f>
        <v/>
      </c>
      <c r="I1002" s="112" t="str">
        <f>IFERROR(VLOOKUP(Table1722[[#This Row],[Bukti]],Table13[#Data],11,FALSE),"")</f>
        <v/>
      </c>
    </row>
    <row r="1003" spans="1:9" ht="19.5" hidden="1" customHeight="1" x14ac:dyDescent="0.2">
      <c r="A1003" s="105" t="str">
        <f>IF(D1003=1,COUNTIF($D$10:D1003,1)," ")</f>
        <v xml:space="preserve"> </v>
      </c>
      <c r="B1003" s="106" t="str">
        <f>COPY!AR995</f>
        <v/>
      </c>
      <c r="C1003" s="107">
        <f>COPY!AC995</f>
        <v>0</v>
      </c>
      <c r="D1003" s="107" t="str">
        <f>IF(LEN(Table1722[[#This Row],[Uraian]])&gt;2,1," ")</f>
        <v xml:space="preserve"> </v>
      </c>
      <c r="E1003" s="113" t="str">
        <f>IF(Table1722[[#This Row],[Lawan Transaksi]]="CV AGUNG KARYA",COUNTIF($I$10:I1003,"CV AGUNG KARYA")," ")</f>
        <v xml:space="preserve"> </v>
      </c>
      <c r="F1003" s="107" t="str">
        <f>IF(LEN(Table1722[[#This Row],[Uraian]])&gt;2,TRIM(RIGHT(SUBSTITUTE(TRIM(C1003)," ",REPT(" ",255)),255))," ")</f>
        <v xml:space="preserve"> </v>
      </c>
      <c r="G1003" s="110">
        <f>COPY!Z995</f>
        <v>0</v>
      </c>
      <c r="H1003" s="111" t="str">
        <f>IFERROR(VLOOKUP(Table1722[[#This Row],[Bukti]],'Un nOTA'!$A$4:$K$5003,10,FALSE),"")</f>
        <v/>
      </c>
      <c r="I1003" s="112" t="str">
        <f>IFERROR(VLOOKUP(Table1722[[#This Row],[Bukti]],Table13[#Data],11,FALSE),"")</f>
        <v/>
      </c>
    </row>
    <row r="1004" spans="1:9" ht="19.5" hidden="1" customHeight="1" x14ac:dyDescent="0.2">
      <c r="A1004" s="105" t="str">
        <f>IF(D1004=1,COUNTIF($D$10:D1004,1)," ")</f>
        <v xml:space="preserve"> </v>
      </c>
      <c r="B1004" s="106" t="str">
        <f>COPY!AR996</f>
        <v/>
      </c>
      <c r="C1004" s="107">
        <f>COPY!AC996</f>
        <v>0</v>
      </c>
      <c r="D1004" s="107" t="str">
        <f>IF(LEN(Table1722[[#This Row],[Uraian]])&gt;2,1," ")</f>
        <v xml:space="preserve"> </v>
      </c>
      <c r="E1004" s="113" t="str">
        <f>IF(Table1722[[#This Row],[Lawan Transaksi]]="CV AGUNG KARYA",COUNTIF($I$10:I1004,"CV AGUNG KARYA")," ")</f>
        <v xml:space="preserve"> </v>
      </c>
      <c r="F1004" s="107" t="str">
        <f>IF(LEN(Table1722[[#This Row],[Uraian]])&gt;2,TRIM(RIGHT(SUBSTITUTE(TRIM(C1004)," ",REPT(" ",255)),255))," ")</f>
        <v xml:space="preserve"> </v>
      </c>
      <c r="G1004" s="110">
        <f>COPY!Z996</f>
        <v>0</v>
      </c>
      <c r="H1004" s="111" t="str">
        <f>IFERROR(VLOOKUP(Table1722[[#This Row],[Bukti]],'Un nOTA'!$A$4:$K$5003,10,FALSE),"")</f>
        <v/>
      </c>
      <c r="I1004" s="112" t="str">
        <f>IFERROR(VLOOKUP(Table1722[[#This Row],[Bukti]],Table13[#Data],11,FALSE),"")</f>
        <v/>
      </c>
    </row>
    <row r="1005" spans="1:9" ht="19.5" hidden="1" customHeight="1" x14ac:dyDescent="0.2">
      <c r="A1005" s="105" t="str">
        <f>IF(D1005=1,COUNTIF($D$10:D1005,1)," ")</f>
        <v xml:space="preserve"> </v>
      </c>
      <c r="B1005" s="106" t="str">
        <f>COPY!AR997</f>
        <v/>
      </c>
      <c r="C1005" s="107">
        <f>COPY!AC997</f>
        <v>0</v>
      </c>
      <c r="D1005" s="107" t="str">
        <f>IF(LEN(Table1722[[#This Row],[Uraian]])&gt;2,1," ")</f>
        <v xml:space="preserve"> </v>
      </c>
      <c r="E1005" s="113" t="str">
        <f>IF(Table1722[[#This Row],[Lawan Transaksi]]="CV AGUNG KARYA",COUNTIF($I$10:I1005,"CV AGUNG KARYA")," ")</f>
        <v xml:space="preserve"> </v>
      </c>
      <c r="F1005" s="107" t="str">
        <f>IF(LEN(Table1722[[#This Row],[Uraian]])&gt;2,TRIM(RIGHT(SUBSTITUTE(TRIM(C1005)," ",REPT(" ",255)),255))," ")</f>
        <v xml:space="preserve"> </v>
      </c>
      <c r="G1005" s="110">
        <f>COPY!Z997</f>
        <v>0</v>
      </c>
      <c r="H1005" s="111" t="str">
        <f>IFERROR(VLOOKUP(Table1722[[#This Row],[Bukti]],'Un nOTA'!$A$4:$K$5003,10,FALSE),"")</f>
        <v/>
      </c>
      <c r="I1005" s="112" t="str">
        <f>IFERROR(VLOOKUP(Table1722[[#This Row],[Bukti]],Table13[#Data],11,FALSE),"")</f>
        <v/>
      </c>
    </row>
    <row r="1006" spans="1:9" ht="19.5" hidden="1" customHeight="1" x14ac:dyDescent="0.2">
      <c r="A1006" s="105" t="str">
        <f>IF(D1006=1,COUNTIF($D$10:D1006,1)," ")</f>
        <v xml:space="preserve"> </v>
      </c>
      <c r="B1006" s="106" t="str">
        <f>COPY!AR998</f>
        <v/>
      </c>
      <c r="C1006" s="107">
        <f>COPY!AC998</f>
        <v>0</v>
      </c>
      <c r="D1006" s="107" t="str">
        <f>IF(LEN(Table1722[[#This Row],[Uraian]])&gt;2,1," ")</f>
        <v xml:space="preserve"> </v>
      </c>
      <c r="E1006" s="113" t="str">
        <f>IF(Table1722[[#This Row],[Lawan Transaksi]]="CV AGUNG KARYA",COUNTIF($I$10:I1006,"CV AGUNG KARYA")," ")</f>
        <v xml:space="preserve"> </v>
      </c>
      <c r="F1006" s="107" t="str">
        <f>IF(LEN(Table1722[[#This Row],[Uraian]])&gt;2,TRIM(RIGHT(SUBSTITUTE(TRIM(C1006)," ",REPT(" ",255)),255))," ")</f>
        <v xml:space="preserve"> </v>
      </c>
      <c r="G1006" s="110">
        <f>COPY!Z998</f>
        <v>0</v>
      </c>
      <c r="H1006" s="111" t="str">
        <f>IFERROR(VLOOKUP(Table1722[[#This Row],[Bukti]],'Un nOTA'!$A$4:$K$5003,10,FALSE),"")</f>
        <v/>
      </c>
      <c r="I1006" s="112" t="str">
        <f>IFERROR(VLOOKUP(Table1722[[#This Row],[Bukti]],Table13[#Data],11,FALSE),"")</f>
        <v/>
      </c>
    </row>
    <row r="1007" spans="1:9" ht="19.5" hidden="1" customHeight="1" x14ac:dyDescent="0.2">
      <c r="A1007" s="105" t="str">
        <f>IF(D1007=1,COUNTIF($D$10:D1007,1)," ")</f>
        <v xml:space="preserve"> </v>
      </c>
      <c r="B1007" s="106" t="str">
        <f>COPY!AR999</f>
        <v/>
      </c>
      <c r="C1007" s="107">
        <f>COPY!AC999</f>
        <v>0</v>
      </c>
      <c r="D1007" s="107" t="str">
        <f>IF(LEN(Table1722[[#This Row],[Uraian]])&gt;2,1," ")</f>
        <v xml:space="preserve"> </v>
      </c>
      <c r="E1007" s="113" t="str">
        <f>IF(Table1722[[#This Row],[Lawan Transaksi]]="CV AGUNG KARYA",COUNTIF($I$10:I1007,"CV AGUNG KARYA")," ")</f>
        <v xml:space="preserve"> </v>
      </c>
      <c r="F1007" s="107" t="str">
        <f>IF(LEN(Table1722[[#This Row],[Uraian]])&gt;2,TRIM(RIGHT(SUBSTITUTE(TRIM(C1007)," ",REPT(" ",255)),255))," ")</f>
        <v xml:space="preserve"> </v>
      </c>
      <c r="G1007" s="110">
        <f>COPY!Z999</f>
        <v>0</v>
      </c>
      <c r="H1007" s="111" t="str">
        <f>IFERROR(VLOOKUP(Table1722[[#This Row],[Bukti]],'Un nOTA'!$A$4:$K$5003,10,FALSE),"")</f>
        <v/>
      </c>
      <c r="I1007" s="112" t="str">
        <f>IFERROR(VLOOKUP(Table1722[[#This Row],[Bukti]],Table13[#Data],11,FALSE),"")</f>
        <v/>
      </c>
    </row>
    <row r="1008" spans="1:9" ht="19.5" hidden="1" customHeight="1" x14ac:dyDescent="0.2">
      <c r="A1008" s="105" t="str">
        <f>IF(D1008=1,COUNTIF($D$10:D1008,1)," ")</f>
        <v xml:space="preserve"> </v>
      </c>
      <c r="B1008" s="106" t="str">
        <f>COPY!AR1000</f>
        <v/>
      </c>
      <c r="C1008" s="107">
        <f>COPY!AC1000</f>
        <v>0</v>
      </c>
      <c r="D1008" s="107" t="str">
        <f>IF(LEN(Table1722[[#This Row],[Uraian]])&gt;2,1," ")</f>
        <v xml:space="preserve"> </v>
      </c>
      <c r="E1008" s="113" t="str">
        <f>IF(Table1722[[#This Row],[Lawan Transaksi]]="CV AGUNG KARYA",COUNTIF($I$10:I1008,"CV AGUNG KARYA")," ")</f>
        <v xml:space="preserve"> </v>
      </c>
      <c r="F1008" s="107" t="str">
        <f>IF(LEN(Table1722[[#This Row],[Uraian]])&gt;2,TRIM(RIGHT(SUBSTITUTE(TRIM(C1008)," ",REPT(" ",255)),255))," ")</f>
        <v xml:space="preserve"> </v>
      </c>
      <c r="G1008" s="110">
        <f>COPY!Z1000</f>
        <v>0</v>
      </c>
      <c r="H1008" s="111" t="str">
        <f>IFERROR(VLOOKUP(Table1722[[#This Row],[Bukti]],'Un nOTA'!$A$4:$K$5003,10,FALSE),"")</f>
        <v/>
      </c>
      <c r="I1008" s="112" t="str">
        <f>IFERROR(VLOOKUP(Table1722[[#This Row],[Bukti]],Table13[#Data],11,FALSE),"")</f>
        <v/>
      </c>
    </row>
    <row r="1009" spans="1:9" ht="19.5" hidden="1" customHeight="1" x14ac:dyDescent="0.2">
      <c r="A1009" s="105" t="str">
        <f>IF(D1009=1,COUNTIF($D$10:D1009,1)," ")</f>
        <v xml:space="preserve"> </v>
      </c>
      <c r="B1009" s="106">
        <f>COPY!AR1001</f>
        <v>0</v>
      </c>
      <c r="C1009" s="107">
        <f>COPY!AC1001</f>
        <v>0</v>
      </c>
      <c r="D1009" s="107" t="str">
        <f>IF(LEN(Table1722[[#This Row],[Uraian]])&gt;2,1," ")</f>
        <v xml:space="preserve"> </v>
      </c>
      <c r="E1009" s="113" t="str">
        <f>IF(Table1722[[#This Row],[Lawan Transaksi]]="CV AGUNG KARYA",COUNTIF($I$10:I1009,"CV AGUNG KARYA")," ")</f>
        <v xml:space="preserve"> </v>
      </c>
      <c r="F1009" s="107" t="str">
        <f>IF(LEN(Table1722[[#This Row],[Uraian]])&gt;2,TRIM(RIGHT(SUBSTITUTE(TRIM(C1009)," ",REPT(" ",255)),255))," ")</f>
        <v xml:space="preserve"> </v>
      </c>
      <c r="G1009" s="110">
        <f>COPY!Z1001</f>
        <v>0</v>
      </c>
      <c r="H1009" s="111" t="str">
        <f>IFERROR(VLOOKUP(Table1722[[#This Row],[Bukti]],'Un nOTA'!$A$4:$K$5003,10,FALSE),"")</f>
        <v/>
      </c>
      <c r="I1009" s="112" t="str">
        <f>IFERROR(VLOOKUP(Table1722[[#This Row],[Bukti]],Table13[#Data],11,FALSE),"")</f>
        <v/>
      </c>
    </row>
    <row r="1010" spans="1:9" ht="19.5" hidden="1" customHeight="1" x14ac:dyDescent="0.2">
      <c r="A1010" s="105" t="str">
        <f>IF(D1010=1,COUNTIF($D$10:D1010,1)," ")</f>
        <v xml:space="preserve"> </v>
      </c>
      <c r="B1010" s="106">
        <f>COPY!AR1002</f>
        <v>0</v>
      </c>
      <c r="C1010" s="107">
        <f>COPY!AC1002</f>
        <v>0</v>
      </c>
      <c r="D1010" s="107" t="str">
        <f>IF(LEN(Table1722[[#This Row],[Uraian]])&gt;2,1," ")</f>
        <v xml:space="preserve"> </v>
      </c>
      <c r="E1010" s="113" t="str">
        <f>IF(Table1722[[#This Row],[Lawan Transaksi]]="CV AGUNG KARYA",COUNTIF($I$10:I1010,"CV AGUNG KARYA")," ")</f>
        <v xml:space="preserve"> </v>
      </c>
      <c r="F1010" s="107" t="str">
        <f>IF(LEN(Table1722[[#This Row],[Uraian]])&gt;2,TRIM(RIGHT(SUBSTITUTE(TRIM(C1010)," ",REPT(" ",255)),255))," ")</f>
        <v xml:space="preserve"> </v>
      </c>
      <c r="G1010" s="110">
        <f>COPY!Z1002</f>
        <v>0</v>
      </c>
      <c r="H1010" s="111" t="str">
        <f>IFERROR(VLOOKUP(Table1722[[#This Row],[Bukti]],'Un nOTA'!$A$4:$K$5003,10,FALSE),"")</f>
        <v/>
      </c>
      <c r="I1010" s="112" t="str">
        <f>IFERROR(VLOOKUP(Table1722[[#This Row],[Bukti]],Table13[#Data],11,FALSE),"")</f>
        <v/>
      </c>
    </row>
    <row r="1011" spans="1:9" ht="19.5" hidden="1" customHeight="1" x14ac:dyDescent="0.2">
      <c r="A1011" s="105" t="str">
        <f>IF(D1011=1,COUNTIF($D$10:D1011,1)," ")</f>
        <v xml:space="preserve"> </v>
      </c>
      <c r="B1011" s="106">
        <f>COPY!AR1003</f>
        <v>0</v>
      </c>
      <c r="C1011" s="107">
        <f>COPY!AC1003</f>
        <v>0</v>
      </c>
      <c r="D1011" s="107" t="str">
        <f>IF(LEN(Table1722[[#This Row],[Uraian]])&gt;2,1," ")</f>
        <v xml:space="preserve"> </v>
      </c>
      <c r="E1011" s="113" t="str">
        <f>IF(Table1722[[#This Row],[Lawan Transaksi]]="CV AGUNG KARYA",COUNTIF($I$10:I1011,"CV AGUNG KARYA")," ")</f>
        <v xml:space="preserve"> </v>
      </c>
      <c r="F1011" s="107" t="str">
        <f>IF(LEN(Table1722[[#This Row],[Uraian]])&gt;2,TRIM(RIGHT(SUBSTITUTE(TRIM(C1011)," ",REPT(" ",255)),255))," ")</f>
        <v xml:space="preserve"> </v>
      </c>
      <c r="G1011" s="110">
        <f>COPY!Z1003</f>
        <v>0</v>
      </c>
      <c r="H1011" s="111" t="str">
        <f>IFERROR(VLOOKUP(Table1722[[#This Row],[Bukti]],'Un nOTA'!$A$4:$K$5003,10,FALSE),"")</f>
        <v/>
      </c>
      <c r="I1011" s="112" t="str">
        <f>IFERROR(VLOOKUP(Table1722[[#This Row],[Bukti]],Table13[#Data],11,FALSE),"")</f>
        <v/>
      </c>
    </row>
    <row r="1012" spans="1:9" ht="19.5" hidden="1" customHeight="1" x14ac:dyDescent="0.2">
      <c r="A1012" s="105" t="str">
        <f>IF(D1012=1,COUNTIF($D$10:D1012,1)," ")</f>
        <v xml:space="preserve"> </v>
      </c>
      <c r="B1012" s="106">
        <f>COPY!AR1004</f>
        <v>0</v>
      </c>
      <c r="C1012" s="107">
        <f>COPY!AC1004</f>
        <v>0</v>
      </c>
      <c r="D1012" s="107" t="str">
        <f>IF(LEN(Table1722[[#This Row],[Uraian]])&gt;2,1," ")</f>
        <v xml:space="preserve"> </v>
      </c>
      <c r="E1012" s="113" t="str">
        <f>IF(Table1722[[#This Row],[Lawan Transaksi]]="CV AGUNG KARYA",COUNTIF($I$10:I1012,"CV AGUNG KARYA")," ")</f>
        <v xml:space="preserve"> </v>
      </c>
      <c r="F1012" s="107" t="str">
        <f>IF(LEN(Table1722[[#This Row],[Uraian]])&gt;2,TRIM(RIGHT(SUBSTITUTE(TRIM(C1012)," ",REPT(" ",255)),255))," ")</f>
        <v xml:space="preserve"> </v>
      </c>
      <c r="G1012" s="110">
        <f>COPY!Z1004</f>
        <v>0</v>
      </c>
      <c r="H1012" s="111" t="str">
        <f>IFERROR(VLOOKUP(Table1722[[#This Row],[Bukti]],'Un nOTA'!$A$4:$K$5003,10,FALSE),"")</f>
        <v/>
      </c>
      <c r="I1012" s="112" t="str">
        <f>IFERROR(VLOOKUP(Table1722[[#This Row],[Bukti]],Table13[#Data],11,FALSE),"")</f>
        <v/>
      </c>
    </row>
    <row r="1013" spans="1:9" ht="19.5" hidden="1" customHeight="1" x14ac:dyDescent="0.2">
      <c r="A1013" s="105" t="str">
        <f>IF(D1013=1,COUNTIF($D$10:D1013,1)," ")</f>
        <v xml:space="preserve"> </v>
      </c>
      <c r="B1013" s="106">
        <f>COPY!AR1005</f>
        <v>0</v>
      </c>
      <c r="C1013" s="107">
        <f>COPY!AC1005</f>
        <v>0</v>
      </c>
      <c r="D1013" s="107" t="str">
        <f>IF(LEN(Table1722[[#This Row],[Uraian]])&gt;2,1," ")</f>
        <v xml:space="preserve"> </v>
      </c>
      <c r="E1013" s="113" t="str">
        <f>IF(Table1722[[#This Row],[Lawan Transaksi]]="CV AGUNG KARYA",COUNTIF($I$10:I1013,"CV AGUNG KARYA")," ")</f>
        <v xml:space="preserve"> </v>
      </c>
      <c r="F1013" s="107" t="str">
        <f>IF(LEN(Table1722[[#This Row],[Uraian]])&gt;2,TRIM(RIGHT(SUBSTITUTE(TRIM(C1013)," ",REPT(" ",255)),255))," ")</f>
        <v xml:space="preserve"> </v>
      </c>
      <c r="G1013" s="110">
        <f>COPY!Z1005</f>
        <v>0</v>
      </c>
      <c r="H1013" s="111" t="str">
        <f>IFERROR(VLOOKUP(Table1722[[#This Row],[Bukti]],'Un nOTA'!$A$4:$K$5003,10,FALSE),"")</f>
        <v/>
      </c>
      <c r="I1013" s="112" t="str">
        <f>IFERROR(VLOOKUP(Table1722[[#This Row],[Bukti]],Table13[#Data],11,FALSE),"")</f>
        <v/>
      </c>
    </row>
    <row r="1014" spans="1:9" ht="19.5" hidden="1" customHeight="1" x14ac:dyDescent="0.2">
      <c r="A1014" s="105" t="str">
        <f>IF(D1014=1,COUNTIF($D$10:D1014,1)," ")</f>
        <v xml:space="preserve"> </v>
      </c>
      <c r="B1014" s="106">
        <f>COPY!AR1006</f>
        <v>0</v>
      </c>
      <c r="C1014" s="107">
        <f>COPY!AC1006</f>
        <v>0</v>
      </c>
      <c r="D1014" s="107" t="str">
        <f>IF(LEN(Table1722[[#This Row],[Uraian]])&gt;2,1," ")</f>
        <v xml:space="preserve"> </v>
      </c>
      <c r="E1014" s="113" t="str">
        <f>IF(Table1722[[#This Row],[Lawan Transaksi]]="CV AGUNG KARYA",COUNTIF($I$10:I1014,"CV AGUNG KARYA")," ")</f>
        <v xml:space="preserve"> </v>
      </c>
      <c r="F1014" s="107" t="str">
        <f>IF(LEN(Table1722[[#This Row],[Uraian]])&gt;2,TRIM(RIGHT(SUBSTITUTE(TRIM(C1014)," ",REPT(" ",255)),255))," ")</f>
        <v xml:space="preserve"> </v>
      </c>
      <c r="G1014" s="110">
        <f>COPY!Z1006</f>
        <v>0</v>
      </c>
      <c r="H1014" s="111" t="str">
        <f>IFERROR(VLOOKUP(Table1722[[#This Row],[Bukti]],'Un nOTA'!$A$4:$K$5003,10,FALSE),"")</f>
        <v/>
      </c>
      <c r="I1014" s="112" t="str">
        <f>IFERROR(VLOOKUP(Table1722[[#This Row],[Bukti]],Table13[#Data],11,FALSE),"")</f>
        <v/>
      </c>
    </row>
    <row r="1015" spans="1:9" ht="19.5" hidden="1" customHeight="1" x14ac:dyDescent="0.2">
      <c r="A1015" s="105" t="str">
        <f>IF(D1015=1,COUNTIF($D$10:D1015,1)," ")</f>
        <v xml:space="preserve"> </v>
      </c>
      <c r="B1015" s="106">
        <f>COPY!AR1007</f>
        <v>0</v>
      </c>
      <c r="C1015" s="107">
        <f>COPY!AC1007</f>
        <v>0</v>
      </c>
      <c r="D1015" s="107" t="str">
        <f>IF(LEN(Table1722[[#This Row],[Uraian]])&gt;2,1," ")</f>
        <v xml:space="preserve"> </v>
      </c>
      <c r="E1015" s="113" t="str">
        <f>IF(Table1722[[#This Row],[Lawan Transaksi]]="CV AGUNG KARYA",COUNTIF($I$10:I1015,"CV AGUNG KARYA")," ")</f>
        <v xml:space="preserve"> </v>
      </c>
      <c r="F1015" s="107" t="str">
        <f>IF(LEN(Table1722[[#This Row],[Uraian]])&gt;2,TRIM(RIGHT(SUBSTITUTE(TRIM(C1015)," ",REPT(" ",255)),255))," ")</f>
        <v xml:space="preserve"> </v>
      </c>
      <c r="G1015" s="110">
        <f>COPY!Z1007</f>
        <v>0</v>
      </c>
      <c r="H1015" s="111" t="str">
        <f>IFERROR(VLOOKUP(Table1722[[#This Row],[Bukti]],'Un nOTA'!$A$4:$K$5003,10,FALSE),"")</f>
        <v/>
      </c>
      <c r="I1015" s="112" t="str">
        <f>IFERROR(VLOOKUP(Table1722[[#This Row],[Bukti]],Table13[#Data],11,FALSE),"")</f>
        <v/>
      </c>
    </row>
    <row r="1016" spans="1:9" ht="19.5" hidden="1" customHeight="1" x14ac:dyDescent="0.2">
      <c r="A1016" s="105" t="str">
        <f>IF(D1016=1,COUNTIF($D$10:D1016,1)," ")</f>
        <v xml:space="preserve"> </v>
      </c>
      <c r="B1016" s="106">
        <f>COPY!AR1008</f>
        <v>0</v>
      </c>
      <c r="C1016" s="107">
        <f>COPY!AC1008</f>
        <v>0</v>
      </c>
      <c r="D1016" s="107" t="str">
        <f>IF(LEN(Table1722[[#This Row],[Uraian]])&gt;2,1," ")</f>
        <v xml:space="preserve"> </v>
      </c>
      <c r="E1016" s="113" t="str">
        <f>IF(Table1722[[#This Row],[Lawan Transaksi]]="CV AGUNG KARYA",COUNTIF($I$10:I1016,"CV AGUNG KARYA")," ")</f>
        <v xml:space="preserve"> </v>
      </c>
      <c r="F1016" s="107" t="str">
        <f>IF(LEN(Table1722[[#This Row],[Uraian]])&gt;2,TRIM(RIGHT(SUBSTITUTE(TRIM(C1016)," ",REPT(" ",255)),255))," ")</f>
        <v xml:space="preserve"> </v>
      </c>
      <c r="G1016" s="110">
        <f>COPY!Z1008</f>
        <v>0</v>
      </c>
      <c r="H1016" s="111" t="str">
        <f>IFERROR(VLOOKUP(Table1722[[#This Row],[Bukti]],'Un nOTA'!$A$4:$K$5003,10,FALSE),"")</f>
        <v/>
      </c>
      <c r="I1016" s="112" t="str">
        <f>IFERROR(VLOOKUP(Table1722[[#This Row],[Bukti]],Table13[#Data],11,FALSE),"")</f>
        <v/>
      </c>
    </row>
    <row r="1017" spans="1:9" ht="19.5" hidden="1" customHeight="1" x14ac:dyDescent="0.2">
      <c r="A1017" s="105" t="str">
        <f>IF(D1017=1,COUNTIF($D$10:D1017,1)," ")</f>
        <v xml:space="preserve"> </v>
      </c>
      <c r="B1017" s="106">
        <f>COPY!AR1009</f>
        <v>0</v>
      </c>
      <c r="C1017" s="107">
        <f>COPY!AC1009</f>
        <v>0</v>
      </c>
      <c r="D1017" s="107" t="str">
        <f>IF(LEN(Table1722[[#This Row],[Uraian]])&gt;2,1," ")</f>
        <v xml:space="preserve"> </v>
      </c>
      <c r="E1017" s="113" t="str">
        <f>IF(Table1722[[#This Row],[Lawan Transaksi]]="CV AGUNG KARYA",COUNTIF($I$10:I1017,"CV AGUNG KARYA")," ")</f>
        <v xml:space="preserve"> </v>
      </c>
      <c r="F1017" s="107" t="str">
        <f>IF(LEN(Table1722[[#This Row],[Uraian]])&gt;2,TRIM(RIGHT(SUBSTITUTE(TRIM(C1017)," ",REPT(" ",255)),255))," ")</f>
        <v xml:space="preserve"> </v>
      </c>
      <c r="G1017" s="110">
        <f>COPY!Z1009</f>
        <v>0</v>
      </c>
      <c r="H1017" s="111" t="str">
        <f>IFERROR(VLOOKUP(Table1722[[#This Row],[Bukti]],'Un nOTA'!$A$4:$K$5003,10,FALSE),"")</f>
        <v/>
      </c>
      <c r="I1017" s="112" t="str">
        <f>IFERROR(VLOOKUP(Table1722[[#This Row],[Bukti]],Table13[#Data],11,FALSE),"")</f>
        <v/>
      </c>
    </row>
    <row r="1018" spans="1:9" ht="19.5" hidden="1" customHeight="1" x14ac:dyDescent="0.2">
      <c r="A1018" s="105" t="str">
        <f>IF(D1018=1,COUNTIF($D$10:D1018,1)," ")</f>
        <v xml:space="preserve"> </v>
      </c>
      <c r="B1018" s="106">
        <f>COPY!AR1010</f>
        <v>0</v>
      </c>
      <c r="C1018" s="107">
        <f>COPY!AC1010</f>
        <v>0</v>
      </c>
      <c r="D1018" s="107" t="str">
        <f>IF(LEN(Table1722[[#This Row],[Uraian]])&gt;2,1," ")</f>
        <v xml:space="preserve"> </v>
      </c>
      <c r="E1018" s="113" t="str">
        <f>IF(Table1722[[#This Row],[Lawan Transaksi]]="CV AGUNG KARYA",COUNTIF($I$10:I1018,"CV AGUNG KARYA")," ")</f>
        <v xml:space="preserve"> </v>
      </c>
      <c r="F1018" s="107" t="str">
        <f>IF(LEN(Table1722[[#This Row],[Uraian]])&gt;2,TRIM(RIGHT(SUBSTITUTE(TRIM(C1018)," ",REPT(" ",255)),255))," ")</f>
        <v xml:space="preserve"> </v>
      </c>
      <c r="G1018" s="110">
        <f>COPY!Z1010</f>
        <v>0</v>
      </c>
      <c r="H1018" s="111" t="str">
        <f>IFERROR(VLOOKUP(Table1722[[#This Row],[Bukti]],'Un nOTA'!$A$4:$K$5003,10,FALSE),"")</f>
        <v/>
      </c>
      <c r="I1018" s="112" t="str">
        <f>IFERROR(VLOOKUP(Table1722[[#This Row],[Bukti]],Table13[#Data],11,FALSE),"")</f>
        <v/>
      </c>
    </row>
    <row r="1019" spans="1:9" ht="19.5" hidden="1" customHeight="1" x14ac:dyDescent="0.2">
      <c r="A1019" s="105" t="str">
        <f>IF(D1019=1,COUNTIF($D$10:D1019,1)," ")</f>
        <v xml:space="preserve"> </v>
      </c>
      <c r="B1019" s="106">
        <f>COPY!AR1011</f>
        <v>0</v>
      </c>
      <c r="C1019" s="107">
        <f>COPY!AC1011</f>
        <v>0</v>
      </c>
      <c r="D1019" s="107" t="str">
        <f>IF(LEN(Table1722[[#This Row],[Uraian]])&gt;2,1," ")</f>
        <v xml:space="preserve"> </v>
      </c>
      <c r="E1019" s="113" t="str">
        <f>IF(Table1722[[#This Row],[Lawan Transaksi]]="CV AGUNG KARYA",COUNTIF($I$10:I1019,"CV AGUNG KARYA")," ")</f>
        <v xml:space="preserve"> </v>
      </c>
      <c r="F1019" s="107" t="str">
        <f>IF(LEN(Table1722[[#This Row],[Uraian]])&gt;2,TRIM(RIGHT(SUBSTITUTE(TRIM(C1019)," ",REPT(" ",255)),255))," ")</f>
        <v xml:space="preserve"> </v>
      </c>
      <c r="G1019" s="110">
        <f>COPY!Z1011</f>
        <v>0</v>
      </c>
      <c r="H1019" s="111" t="str">
        <f>IFERROR(VLOOKUP(Table1722[[#This Row],[Bukti]],'Un nOTA'!$A$4:$K$5003,10,FALSE),"")</f>
        <v/>
      </c>
      <c r="I1019" s="112" t="str">
        <f>IFERROR(VLOOKUP(Table1722[[#This Row],[Bukti]],Table13[#Data],11,FALSE),"")</f>
        <v/>
      </c>
    </row>
    <row r="1020" spans="1:9" ht="19.5" hidden="1" customHeight="1" x14ac:dyDescent="0.2">
      <c r="A1020" s="105" t="str">
        <f>IF(D1020=1,COUNTIF($D$10:D1020,1)," ")</f>
        <v xml:space="preserve"> </v>
      </c>
      <c r="B1020" s="106">
        <f>COPY!AR1012</f>
        <v>0</v>
      </c>
      <c r="C1020" s="107">
        <f>COPY!AC1012</f>
        <v>0</v>
      </c>
      <c r="D1020" s="107" t="str">
        <f>IF(LEN(Table1722[[#This Row],[Uraian]])&gt;2,1," ")</f>
        <v xml:space="preserve"> </v>
      </c>
      <c r="E1020" s="113" t="str">
        <f>IF(Table1722[[#This Row],[Lawan Transaksi]]="CV AGUNG KARYA",COUNTIF($I$10:I1020,"CV AGUNG KARYA")," ")</f>
        <v xml:space="preserve"> </v>
      </c>
      <c r="F1020" s="107" t="str">
        <f>IF(LEN(Table1722[[#This Row],[Uraian]])&gt;2,TRIM(RIGHT(SUBSTITUTE(TRIM(C1020)," ",REPT(" ",255)),255))," ")</f>
        <v xml:space="preserve"> </v>
      </c>
      <c r="G1020" s="110">
        <f>COPY!Z1012</f>
        <v>0</v>
      </c>
      <c r="H1020" s="111" t="str">
        <f>IFERROR(VLOOKUP(Table1722[[#This Row],[Bukti]],'Un nOTA'!$A$4:$K$5003,10,FALSE),"")</f>
        <v/>
      </c>
      <c r="I1020" s="112" t="str">
        <f>IFERROR(VLOOKUP(Table1722[[#This Row],[Bukti]],Table13[#Data],11,FALSE),"")</f>
        <v/>
      </c>
    </row>
    <row r="1021" spans="1:9" ht="19.5" hidden="1" customHeight="1" x14ac:dyDescent="0.2">
      <c r="A1021" s="105" t="str">
        <f>IF(D1021=1,COUNTIF($D$10:D1021,1)," ")</f>
        <v xml:space="preserve"> </v>
      </c>
      <c r="B1021" s="106">
        <f>COPY!AR1013</f>
        <v>0</v>
      </c>
      <c r="C1021" s="107">
        <f>COPY!AC1013</f>
        <v>0</v>
      </c>
      <c r="D1021" s="107" t="str">
        <f>IF(LEN(Table1722[[#This Row],[Uraian]])&gt;2,1," ")</f>
        <v xml:space="preserve"> </v>
      </c>
      <c r="E1021" s="113" t="str">
        <f>IF(Table1722[[#This Row],[Lawan Transaksi]]="CV AGUNG KARYA",COUNTIF($I$10:I1021,"CV AGUNG KARYA")," ")</f>
        <v xml:space="preserve"> </v>
      </c>
      <c r="F1021" s="107" t="str">
        <f>IF(LEN(Table1722[[#This Row],[Uraian]])&gt;2,TRIM(RIGHT(SUBSTITUTE(TRIM(C1021)," ",REPT(" ",255)),255))," ")</f>
        <v xml:space="preserve"> </v>
      </c>
      <c r="G1021" s="110">
        <f>COPY!Z1013</f>
        <v>0</v>
      </c>
      <c r="H1021" s="111" t="str">
        <f>IFERROR(VLOOKUP(Table1722[[#This Row],[Bukti]],'Un nOTA'!$A$4:$K$5003,10,FALSE),"")</f>
        <v/>
      </c>
      <c r="I1021" s="112" t="str">
        <f>IFERROR(VLOOKUP(Table1722[[#This Row],[Bukti]],Table13[#Data],11,FALSE),"")</f>
        <v/>
      </c>
    </row>
    <row r="1022" spans="1:9" ht="19.5" hidden="1" customHeight="1" x14ac:dyDescent="0.2">
      <c r="A1022" s="105" t="str">
        <f>IF(D1022=1,COUNTIF($D$10:D1022,1)," ")</f>
        <v xml:space="preserve"> </v>
      </c>
      <c r="B1022" s="106">
        <f>COPY!AR1014</f>
        <v>0</v>
      </c>
      <c r="C1022" s="107">
        <f>COPY!AC1014</f>
        <v>0</v>
      </c>
      <c r="D1022" s="107" t="str">
        <f>IF(LEN(Table1722[[#This Row],[Uraian]])&gt;2,1," ")</f>
        <v xml:space="preserve"> </v>
      </c>
      <c r="E1022" s="113" t="str">
        <f>IF(Table1722[[#This Row],[Lawan Transaksi]]="CV AGUNG KARYA",COUNTIF($I$10:I1022,"CV AGUNG KARYA")," ")</f>
        <v xml:space="preserve"> </v>
      </c>
      <c r="F1022" s="107" t="str">
        <f>IF(LEN(Table1722[[#This Row],[Uraian]])&gt;2,TRIM(RIGHT(SUBSTITUTE(TRIM(C1022)," ",REPT(" ",255)),255))," ")</f>
        <v xml:space="preserve"> </v>
      </c>
      <c r="G1022" s="110">
        <f>COPY!Z1014</f>
        <v>0</v>
      </c>
      <c r="H1022" s="111" t="str">
        <f>IFERROR(VLOOKUP(Table1722[[#This Row],[Bukti]],'Un nOTA'!$A$4:$K$5003,10,FALSE),"")</f>
        <v/>
      </c>
      <c r="I1022" s="112" t="str">
        <f>IFERROR(VLOOKUP(Table1722[[#This Row],[Bukti]],Table13[#Data],11,FALSE),"")</f>
        <v/>
      </c>
    </row>
    <row r="1023" spans="1:9" ht="19.5" hidden="1" customHeight="1" x14ac:dyDescent="0.2">
      <c r="A1023" s="105" t="str">
        <f>IF(D1023=1,COUNTIF($D$10:D1023,1)," ")</f>
        <v xml:space="preserve"> </v>
      </c>
      <c r="B1023" s="106">
        <f>COPY!AR1015</f>
        <v>0</v>
      </c>
      <c r="C1023" s="107">
        <f>COPY!AC1015</f>
        <v>0</v>
      </c>
      <c r="D1023" s="107" t="str">
        <f>IF(LEN(Table1722[[#This Row],[Uraian]])&gt;2,1," ")</f>
        <v xml:space="preserve"> </v>
      </c>
      <c r="E1023" s="113" t="str">
        <f>IF(Table1722[[#This Row],[Lawan Transaksi]]="CV AGUNG KARYA",COUNTIF($I$10:I1023,"CV AGUNG KARYA")," ")</f>
        <v xml:space="preserve"> </v>
      </c>
      <c r="F1023" s="107" t="str">
        <f>IF(LEN(Table1722[[#This Row],[Uraian]])&gt;2,TRIM(RIGHT(SUBSTITUTE(TRIM(C1023)," ",REPT(" ",255)),255))," ")</f>
        <v xml:space="preserve"> </v>
      </c>
      <c r="G1023" s="110">
        <f>COPY!Z1015</f>
        <v>0</v>
      </c>
      <c r="H1023" s="111" t="str">
        <f>IFERROR(VLOOKUP(Table1722[[#This Row],[Bukti]],'Un nOTA'!$A$4:$K$5003,10,FALSE),"")</f>
        <v/>
      </c>
      <c r="I1023" s="112" t="str">
        <f>IFERROR(VLOOKUP(Table1722[[#This Row],[Bukti]],Table13[#Data],11,FALSE),"")</f>
        <v/>
      </c>
    </row>
    <row r="1024" spans="1:9" ht="19.5" hidden="1" customHeight="1" x14ac:dyDescent="0.2">
      <c r="A1024" s="105" t="str">
        <f>IF(D1024=1,COUNTIF($D$10:D1024,1)," ")</f>
        <v xml:space="preserve"> </v>
      </c>
      <c r="B1024" s="106">
        <f>COPY!AR1016</f>
        <v>0</v>
      </c>
      <c r="C1024" s="107">
        <f>COPY!AC1016</f>
        <v>0</v>
      </c>
      <c r="D1024" s="107" t="str">
        <f>IF(LEN(Table1722[[#This Row],[Uraian]])&gt;2,1," ")</f>
        <v xml:space="preserve"> </v>
      </c>
      <c r="E1024" s="113" t="str">
        <f>IF(Table1722[[#This Row],[Lawan Transaksi]]="CV AGUNG KARYA",COUNTIF($I$10:I1024,"CV AGUNG KARYA")," ")</f>
        <v xml:space="preserve"> </v>
      </c>
      <c r="F1024" s="107" t="str">
        <f>IF(LEN(Table1722[[#This Row],[Uraian]])&gt;2,TRIM(RIGHT(SUBSTITUTE(TRIM(C1024)," ",REPT(" ",255)),255))," ")</f>
        <v xml:space="preserve"> </v>
      </c>
      <c r="G1024" s="110">
        <f>COPY!Z1016</f>
        <v>0</v>
      </c>
      <c r="H1024" s="111" t="str">
        <f>IFERROR(VLOOKUP(Table1722[[#This Row],[Bukti]],'Un nOTA'!$A$4:$K$5003,10,FALSE),"")</f>
        <v/>
      </c>
      <c r="I1024" s="112" t="str">
        <f>IFERROR(VLOOKUP(Table1722[[#This Row],[Bukti]],Table13[#Data],11,FALSE),"")</f>
        <v/>
      </c>
    </row>
    <row r="1025" spans="1:9" ht="19.5" hidden="1" customHeight="1" x14ac:dyDescent="0.2">
      <c r="A1025" s="105" t="str">
        <f>IF(D1025=1,COUNTIF($D$10:D1025,1)," ")</f>
        <v xml:space="preserve"> </v>
      </c>
      <c r="B1025" s="106">
        <f>COPY!AR1017</f>
        <v>0</v>
      </c>
      <c r="C1025" s="107">
        <f>COPY!AC1017</f>
        <v>0</v>
      </c>
      <c r="D1025" s="107" t="str">
        <f>IF(LEN(Table1722[[#This Row],[Uraian]])&gt;2,1," ")</f>
        <v xml:space="preserve"> </v>
      </c>
      <c r="E1025" s="113" t="str">
        <f>IF(Table1722[[#This Row],[Lawan Transaksi]]="CV AGUNG KARYA",COUNTIF($I$10:I1025,"CV AGUNG KARYA")," ")</f>
        <v xml:space="preserve"> </v>
      </c>
      <c r="F1025" s="107" t="str">
        <f>IF(LEN(Table1722[[#This Row],[Uraian]])&gt;2,TRIM(RIGHT(SUBSTITUTE(TRIM(C1025)," ",REPT(" ",255)),255))," ")</f>
        <v xml:space="preserve"> </v>
      </c>
      <c r="G1025" s="110">
        <f>COPY!Z1017</f>
        <v>0</v>
      </c>
      <c r="H1025" s="111" t="str">
        <f>IFERROR(VLOOKUP(Table1722[[#This Row],[Bukti]],'Un nOTA'!$A$4:$K$5003,10,FALSE),"")</f>
        <v/>
      </c>
      <c r="I1025" s="112" t="str">
        <f>IFERROR(VLOOKUP(Table1722[[#This Row],[Bukti]],Table13[#Data],11,FALSE),"")</f>
        <v/>
      </c>
    </row>
    <row r="1026" spans="1:9" ht="19.5" hidden="1" customHeight="1" x14ac:dyDescent="0.2">
      <c r="A1026" s="105" t="str">
        <f>IF(D1026=1,COUNTIF($D$10:D1026,1)," ")</f>
        <v xml:space="preserve"> </v>
      </c>
      <c r="B1026" s="106">
        <f>COPY!AR1018</f>
        <v>0</v>
      </c>
      <c r="C1026" s="107">
        <f>COPY!AC1018</f>
        <v>0</v>
      </c>
      <c r="D1026" s="107" t="str">
        <f>IF(LEN(Table1722[[#This Row],[Uraian]])&gt;2,1," ")</f>
        <v xml:space="preserve"> </v>
      </c>
      <c r="E1026" s="113" t="str">
        <f>IF(Table1722[[#This Row],[Lawan Transaksi]]="CV AGUNG KARYA",COUNTIF($I$10:I1026,"CV AGUNG KARYA")," ")</f>
        <v xml:space="preserve"> </v>
      </c>
      <c r="F1026" s="107" t="str">
        <f>IF(LEN(Table1722[[#This Row],[Uraian]])&gt;2,TRIM(RIGHT(SUBSTITUTE(TRIM(C1026)," ",REPT(" ",255)),255))," ")</f>
        <v xml:space="preserve"> </v>
      </c>
      <c r="G1026" s="110">
        <f>COPY!Z1018</f>
        <v>0</v>
      </c>
      <c r="H1026" s="111" t="str">
        <f>IFERROR(VLOOKUP(Table1722[[#This Row],[Bukti]],'Un nOTA'!$A$4:$K$5003,10,FALSE),"")</f>
        <v/>
      </c>
      <c r="I1026" s="112" t="str">
        <f>IFERROR(VLOOKUP(Table1722[[#This Row],[Bukti]],Table13[#Data],11,FALSE),"")</f>
        <v/>
      </c>
    </row>
    <row r="1027" spans="1:9" ht="19.5" hidden="1" customHeight="1" x14ac:dyDescent="0.2">
      <c r="A1027" s="105" t="str">
        <f>IF(D1027=1,COUNTIF($D$10:D1027,1)," ")</f>
        <v xml:space="preserve"> </v>
      </c>
      <c r="B1027" s="106">
        <f>COPY!AR1019</f>
        <v>0</v>
      </c>
      <c r="C1027" s="107">
        <f>COPY!AC1019</f>
        <v>0</v>
      </c>
      <c r="D1027" s="107" t="str">
        <f>IF(LEN(Table1722[[#This Row],[Uraian]])&gt;2,1," ")</f>
        <v xml:space="preserve"> </v>
      </c>
      <c r="E1027" s="113" t="str">
        <f>IF(Table1722[[#This Row],[Lawan Transaksi]]="CV AGUNG KARYA",COUNTIF($I$10:I1027,"CV AGUNG KARYA")," ")</f>
        <v xml:space="preserve"> </v>
      </c>
      <c r="F1027" s="107" t="str">
        <f>IF(LEN(Table1722[[#This Row],[Uraian]])&gt;2,TRIM(RIGHT(SUBSTITUTE(TRIM(C1027)," ",REPT(" ",255)),255))," ")</f>
        <v xml:space="preserve"> </v>
      </c>
      <c r="G1027" s="110">
        <f>COPY!Z1019</f>
        <v>0</v>
      </c>
      <c r="H1027" s="111" t="str">
        <f>IFERROR(VLOOKUP(Table1722[[#This Row],[Bukti]],'Un nOTA'!$A$4:$K$5003,10,FALSE),"")</f>
        <v/>
      </c>
      <c r="I1027" s="112" t="str">
        <f>IFERROR(VLOOKUP(Table1722[[#This Row],[Bukti]],Table13[#Data],11,FALSE),"")</f>
        <v/>
      </c>
    </row>
    <row r="1028" spans="1:9" ht="19.5" hidden="1" customHeight="1" x14ac:dyDescent="0.2">
      <c r="A1028" s="105" t="str">
        <f>IF(D1028=1,COUNTIF($D$10:D1028,1)," ")</f>
        <v xml:space="preserve"> </v>
      </c>
      <c r="B1028" s="106">
        <f>COPY!AR1020</f>
        <v>0</v>
      </c>
      <c r="C1028" s="107">
        <f>COPY!AC1020</f>
        <v>0</v>
      </c>
      <c r="D1028" s="107" t="str">
        <f>IF(LEN(Table1722[[#This Row],[Uraian]])&gt;2,1," ")</f>
        <v xml:space="preserve"> </v>
      </c>
      <c r="E1028" s="113" t="str">
        <f>IF(Table1722[[#This Row],[Lawan Transaksi]]="CV AGUNG KARYA",COUNTIF($I$10:I1028,"CV AGUNG KARYA")," ")</f>
        <v xml:space="preserve"> </v>
      </c>
      <c r="F1028" s="107" t="str">
        <f>IF(LEN(Table1722[[#This Row],[Uraian]])&gt;2,TRIM(RIGHT(SUBSTITUTE(TRIM(C1028)," ",REPT(" ",255)),255))," ")</f>
        <v xml:space="preserve"> </v>
      </c>
      <c r="G1028" s="110">
        <f>COPY!Z1020</f>
        <v>0</v>
      </c>
      <c r="H1028" s="111" t="str">
        <f>IFERROR(VLOOKUP(Table1722[[#This Row],[Bukti]],'Un nOTA'!$A$4:$K$5003,10,FALSE),"")</f>
        <v/>
      </c>
      <c r="I1028" s="112" t="str">
        <f>IFERROR(VLOOKUP(Table1722[[#This Row],[Bukti]],Table13[#Data],11,FALSE),"")</f>
        <v/>
      </c>
    </row>
    <row r="1029" spans="1:9" ht="19.5" hidden="1" customHeight="1" x14ac:dyDescent="0.2">
      <c r="A1029" s="105" t="str">
        <f>IF(D1029=1,COUNTIF($D$10:D1029,1)," ")</f>
        <v xml:space="preserve"> </v>
      </c>
      <c r="B1029" s="106">
        <f>COPY!AR1021</f>
        <v>0</v>
      </c>
      <c r="C1029" s="107">
        <f>COPY!AC1021</f>
        <v>0</v>
      </c>
      <c r="D1029" s="107" t="str">
        <f>IF(LEN(Table1722[[#This Row],[Uraian]])&gt;2,1," ")</f>
        <v xml:space="preserve"> </v>
      </c>
      <c r="E1029" s="113" t="str">
        <f>IF(Table1722[[#This Row],[Lawan Transaksi]]="CV AGUNG KARYA",COUNTIF($I$10:I1029,"CV AGUNG KARYA")," ")</f>
        <v xml:space="preserve"> </v>
      </c>
      <c r="F1029" s="107" t="str">
        <f>IF(LEN(Table1722[[#This Row],[Uraian]])&gt;2,TRIM(RIGHT(SUBSTITUTE(TRIM(C1029)," ",REPT(" ",255)),255))," ")</f>
        <v xml:space="preserve"> </v>
      </c>
      <c r="G1029" s="110">
        <f>COPY!Z1021</f>
        <v>0</v>
      </c>
      <c r="H1029" s="111" t="str">
        <f>IFERROR(VLOOKUP(Table1722[[#This Row],[Bukti]],'Un nOTA'!$A$4:$K$5003,10,FALSE),"")</f>
        <v/>
      </c>
      <c r="I1029" s="112" t="str">
        <f>IFERROR(VLOOKUP(Table1722[[#This Row],[Bukti]],Table13[#Data],11,FALSE),"")</f>
        <v/>
      </c>
    </row>
    <row r="1030" spans="1:9" ht="19.5" hidden="1" customHeight="1" x14ac:dyDescent="0.2">
      <c r="A1030" s="105" t="str">
        <f>IF(D1030=1,COUNTIF($D$10:D1030,1)," ")</f>
        <v xml:space="preserve"> </v>
      </c>
      <c r="B1030" s="106">
        <f>COPY!AR1022</f>
        <v>0</v>
      </c>
      <c r="C1030" s="107">
        <f>COPY!AC1022</f>
        <v>0</v>
      </c>
      <c r="D1030" s="107" t="str">
        <f>IF(LEN(Table1722[[#This Row],[Uraian]])&gt;2,1," ")</f>
        <v xml:space="preserve"> </v>
      </c>
      <c r="E1030" s="113" t="str">
        <f>IF(Table1722[[#This Row],[Lawan Transaksi]]="CV AGUNG KARYA",COUNTIF($I$10:I1030,"CV AGUNG KARYA")," ")</f>
        <v xml:space="preserve"> </v>
      </c>
      <c r="F1030" s="107" t="str">
        <f>IF(LEN(Table1722[[#This Row],[Uraian]])&gt;2,TRIM(RIGHT(SUBSTITUTE(TRIM(C1030)," ",REPT(" ",255)),255))," ")</f>
        <v xml:space="preserve"> </v>
      </c>
      <c r="G1030" s="110">
        <f>COPY!Z1022</f>
        <v>0</v>
      </c>
      <c r="H1030" s="111" t="str">
        <f>IFERROR(VLOOKUP(Table1722[[#This Row],[Bukti]],'Un nOTA'!$A$4:$K$5003,10,FALSE),"")</f>
        <v/>
      </c>
      <c r="I1030" s="112" t="str">
        <f>IFERROR(VLOOKUP(Table1722[[#This Row],[Bukti]],Table13[#Data],11,FALSE),"")</f>
        <v/>
      </c>
    </row>
    <row r="1031" spans="1:9" ht="19.5" hidden="1" customHeight="1" x14ac:dyDescent="0.2">
      <c r="A1031" s="105" t="str">
        <f>IF(D1031=1,COUNTIF($D$10:D1031,1)," ")</f>
        <v xml:space="preserve"> </v>
      </c>
      <c r="B1031" s="106">
        <f>COPY!AR1023</f>
        <v>0</v>
      </c>
      <c r="C1031" s="107">
        <f>COPY!AC1023</f>
        <v>0</v>
      </c>
      <c r="D1031" s="107" t="str">
        <f>IF(LEN(Table1722[[#This Row],[Uraian]])&gt;2,1," ")</f>
        <v xml:space="preserve"> </v>
      </c>
      <c r="E1031" s="113" t="str">
        <f>IF(Table1722[[#This Row],[Lawan Transaksi]]="CV AGUNG KARYA",COUNTIF($I$10:I1031,"CV AGUNG KARYA")," ")</f>
        <v xml:space="preserve"> </v>
      </c>
      <c r="F1031" s="107" t="str">
        <f>IF(LEN(Table1722[[#This Row],[Uraian]])&gt;2,TRIM(RIGHT(SUBSTITUTE(TRIM(C1031)," ",REPT(" ",255)),255))," ")</f>
        <v xml:space="preserve"> </v>
      </c>
      <c r="G1031" s="110">
        <f>COPY!Z1023</f>
        <v>0</v>
      </c>
      <c r="H1031" s="111" t="str">
        <f>IFERROR(VLOOKUP(Table1722[[#This Row],[Bukti]],'Un nOTA'!$A$4:$K$5003,10,FALSE),"")</f>
        <v/>
      </c>
      <c r="I1031" s="112" t="str">
        <f>IFERROR(VLOOKUP(Table1722[[#This Row],[Bukti]],Table13[#Data],11,FALSE),"")</f>
        <v/>
      </c>
    </row>
    <row r="1032" spans="1:9" ht="19.5" hidden="1" customHeight="1" x14ac:dyDescent="0.2">
      <c r="A1032" s="105" t="str">
        <f>IF(D1032=1,COUNTIF($D$10:D1032,1)," ")</f>
        <v xml:space="preserve"> </v>
      </c>
      <c r="B1032" s="106">
        <f>COPY!AR1024</f>
        <v>0</v>
      </c>
      <c r="C1032" s="107">
        <f>COPY!AC1024</f>
        <v>0</v>
      </c>
      <c r="D1032" s="107" t="str">
        <f>IF(LEN(Table1722[[#This Row],[Uraian]])&gt;2,1," ")</f>
        <v xml:space="preserve"> </v>
      </c>
      <c r="E1032" s="113" t="str">
        <f>IF(Table1722[[#This Row],[Lawan Transaksi]]="CV AGUNG KARYA",COUNTIF($I$10:I1032,"CV AGUNG KARYA")," ")</f>
        <v xml:space="preserve"> </v>
      </c>
      <c r="F1032" s="107" t="str">
        <f>IF(LEN(Table1722[[#This Row],[Uraian]])&gt;2,TRIM(RIGHT(SUBSTITUTE(TRIM(C1032)," ",REPT(" ",255)),255))," ")</f>
        <v xml:space="preserve"> </v>
      </c>
      <c r="G1032" s="110">
        <f>COPY!Z1024</f>
        <v>0</v>
      </c>
      <c r="H1032" s="111" t="str">
        <f>IFERROR(VLOOKUP(Table1722[[#This Row],[Bukti]],'Un nOTA'!$A$4:$K$5003,10,FALSE),"")</f>
        <v/>
      </c>
      <c r="I1032" s="112" t="str">
        <f>IFERROR(VLOOKUP(Table1722[[#This Row],[Bukti]],Table13[#Data],11,FALSE),"")</f>
        <v/>
      </c>
    </row>
    <row r="1033" spans="1:9" ht="19.5" hidden="1" customHeight="1" x14ac:dyDescent="0.2">
      <c r="A1033" s="105" t="str">
        <f>IF(D1033=1,COUNTIF($D$10:D1033,1)," ")</f>
        <v xml:space="preserve"> </v>
      </c>
      <c r="B1033" s="106">
        <f>COPY!AR1025</f>
        <v>0</v>
      </c>
      <c r="C1033" s="107">
        <f>COPY!AC1025</f>
        <v>0</v>
      </c>
      <c r="D1033" s="107" t="str">
        <f>IF(LEN(Table1722[[#This Row],[Uraian]])&gt;2,1," ")</f>
        <v xml:space="preserve"> </v>
      </c>
      <c r="E1033" s="113" t="str">
        <f>IF(Table1722[[#This Row],[Lawan Transaksi]]="CV AGUNG KARYA",COUNTIF($I$10:I1033,"CV AGUNG KARYA")," ")</f>
        <v xml:space="preserve"> </v>
      </c>
      <c r="F1033" s="107" t="str">
        <f>IF(LEN(Table1722[[#This Row],[Uraian]])&gt;2,TRIM(RIGHT(SUBSTITUTE(TRIM(C1033)," ",REPT(" ",255)),255))," ")</f>
        <v xml:space="preserve"> </v>
      </c>
      <c r="G1033" s="110">
        <f>COPY!Z1025</f>
        <v>0</v>
      </c>
      <c r="H1033" s="111" t="str">
        <f>IFERROR(VLOOKUP(Table1722[[#This Row],[Bukti]],'Un nOTA'!$A$4:$K$5003,10,FALSE),"")</f>
        <v/>
      </c>
      <c r="I1033" s="112" t="str">
        <f>IFERROR(VLOOKUP(Table1722[[#This Row],[Bukti]],Table13[#Data],11,FALSE),"")</f>
        <v/>
      </c>
    </row>
    <row r="1034" spans="1:9" ht="19.5" hidden="1" customHeight="1" x14ac:dyDescent="0.2">
      <c r="A1034" s="105" t="str">
        <f>IF(D1034=1,COUNTIF($D$10:D1034,1)," ")</f>
        <v xml:space="preserve"> </v>
      </c>
      <c r="B1034" s="106">
        <f>COPY!AR1026</f>
        <v>0</v>
      </c>
      <c r="C1034" s="107">
        <f>COPY!AC1026</f>
        <v>0</v>
      </c>
      <c r="D1034" s="107" t="str">
        <f>IF(LEN(Table1722[[#This Row],[Uraian]])&gt;2,1," ")</f>
        <v xml:space="preserve"> </v>
      </c>
      <c r="E1034" s="113" t="str">
        <f>IF(Table1722[[#This Row],[Lawan Transaksi]]="CV AGUNG KARYA",COUNTIF($I$10:I1034,"CV AGUNG KARYA")," ")</f>
        <v xml:space="preserve"> </v>
      </c>
      <c r="F1034" s="107" t="str">
        <f>IF(LEN(Table1722[[#This Row],[Uraian]])&gt;2,TRIM(RIGHT(SUBSTITUTE(TRIM(C1034)," ",REPT(" ",255)),255))," ")</f>
        <v xml:space="preserve"> </v>
      </c>
      <c r="G1034" s="110">
        <f>COPY!Z1026</f>
        <v>0</v>
      </c>
      <c r="H1034" s="111" t="str">
        <f>IFERROR(VLOOKUP(Table1722[[#This Row],[Bukti]],'Un nOTA'!$A$4:$K$5003,10,FALSE),"")</f>
        <v/>
      </c>
      <c r="I1034" s="112" t="str">
        <f>IFERROR(VLOOKUP(Table1722[[#This Row],[Bukti]],Table13[#Data],11,FALSE),"")</f>
        <v/>
      </c>
    </row>
    <row r="1035" spans="1:9" ht="19.5" hidden="1" customHeight="1" x14ac:dyDescent="0.2">
      <c r="A1035" s="105" t="str">
        <f>IF(D1035=1,COUNTIF($D$10:D1035,1)," ")</f>
        <v xml:space="preserve"> </v>
      </c>
      <c r="B1035" s="106">
        <f>COPY!AR1027</f>
        <v>0</v>
      </c>
      <c r="C1035" s="107">
        <f>COPY!AC1027</f>
        <v>0</v>
      </c>
      <c r="D1035" s="107" t="str">
        <f>IF(LEN(Table1722[[#This Row],[Uraian]])&gt;2,1," ")</f>
        <v xml:space="preserve"> </v>
      </c>
      <c r="E1035" s="113" t="str">
        <f>IF(Table1722[[#This Row],[Lawan Transaksi]]="CV AGUNG KARYA",COUNTIF($I$10:I1035,"CV AGUNG KARYA")," ")</f>
        <v xml:space="preserve"> </v>
      </c>
      <c r="F1035" s="107" t="str">
        <f>IF(LEN(Table1722[[#This Row],[Uraian]])&gt;2,TRIM(RIGHT(SUBSTITUTE(TRIM(C1035)," ",REPT(" ",255)),255))," ")</f>
        <v xml:space="preserve"> </v>
      </c>
      <c r="G1035" s="110">
        <f>COPY!Z1027</f>
        <v>0</v>
      </c>
      <c r="H1035" s="111" t="str">
        <f>IFERROR(VLOOKUP(Table1722[[#This Row],[Bukti]],'Un nOTA'!$A$4:$K$5003,10,FALSE),"")</f>
        <v/>
      </c>
      <c r="I1035" s="112" t="str">
        <f>IFERROR(VLOOKUP(Table1722[[#This Row],[Bukti]],Table13[#Data],11,FALSE),"")</f>
        <v/>
      </c>
    </row>
    <row r="1036" spans="1:9" ht="19.5" hidden="1" customHeight="1" x14ac:dyDescent="0.2">
      <c r="A1036" s="105" t="str">
        <f>IF(D1036=1,COUNTIF($D$10:D1036,1)," ")</f>
        <v xml:space="preserve"> </v>
      </c>
      <c r="B1036" s="106">
        <f>COPY!AR1028</f>
        <v>0</v>
      </c>
      <c r="C1036" s="107">
        <f>COPY!AC1028</f>
        <v>0</v>
      </c>
      <c r="D1036" s="107" t="str">
        <f>IF(LEN(Table1722[[#This Row],[Uraian]])&gt;2,1," ")</f>
        <v xml:space="preserve"> </v>
      </c>
      <c r="E1036" s="113" t="str">
        <f>IF(Table1722[[#This Row],[Lawan Transaksi]]="CV AGUNG KARYA",COUNTIF($I$10:I1036,"CV AGUNG KARYA")," ")</f>
        <v xml:space="preserve"> </v>
      </c>
      <c r="F1036" s="107" t="str">
        <f>IF(LEN(Table1722[[#This Row],[Uraian]])&gt;2,TRIM(RIGHT(SUBSTITUTE(TRIM(C1036)," ",REPT(" ",255)),255))," ")</f>
        <v xml:space="preserve"> </v>
      </c>
      <c r="G1036" s="110">
        <f>COPY!Z1028</f>
        <v>0</v>
      </c>
      <c r="H1036" s="111" t="str">
        <f>IFERROR(VLOOKUP(Table1722[[#This Row],[Bukti]],'Un nOTA'!$A$4:$K$5003,10,FALSE),"")</f>
        <v/>
      </c>
      <c r="I1036" s="112" t="str">
        <f>IFERROR(VLOOKUP(Table1722[[#This Row],[Bukti]],Table13[#Data],11,FALSE),"")</f>
        <v/>
      </c>
    </row>
    <row r="1037" spans="1:9" ht="19.5" hidden="1" customHeight="1" x14ac:dyDescent="0.2">
      <c r="A1037" s="105" t="str">
        <f>IF(D1037=1,COUNTIF($D$10:D1037,1)," ")</f>
        <v xml:space="preserve"> </v>
      </c>
      <c r="B1037" s="106">
        <f>COPY!AR1029</f>
        <v>0</v>
      </c>
      <c r="C1037" s="107">
        <f>COPY!AC1029</f>
        <v>0</v>
      </c>
      <c r="D1037" s="107" t="str">
        <f>IF(LEN(Table1722[[#This Row],[Uraian]])&gt;2,1," ")</f>
        <v xml:space="preserve"> </v>
      </c>
      <c r="E1037" s="113" t="str">
        <f>IF(Table1722[[#This Row],[Lawan Transaksi]]="CV AGUNG KARYA",COUNTIF($I$10:I1037,"CV AGUNG KARYA")," ")</f>
        <v xml:space="preserve"> </v>
      </c>
      <c r="F1037" s="107" t="str">
        <f>IF(LEN(Table1722[[#This Row],[Uraian]])&gt;2,TRIM(RIGHT(SUBSTITUTE(TRIM(C1037)," ",REPT(" ",255)),255))," ")</f>
        <v xml:space="preserve"> </v>
      </c>
      <c r="G1037" s="110">
        <f>COPY!Z1029</f>
        <v>0</v>
      </c>
      <c r="H1037" s="111" t="str">
        <f>IFERROR(VLOOKUP(Table1722[[#This Row],[Bukti]],'Un nOTA'!$A$4:$K$5003,10,FALSE),"")</f>
        <v/>
      </c>
      <c r="I1037" s="112" t="str">
        <f>IFERROR(VLOOKUP(Table1722[[#This Row],[Bukti]],Table13[#Data],11,FALSE),"")</f>
        <v/>
      </c>
    </row>
    <row r="1038" spans="1:9" ht="19.5" hidden="1" customHeight="1" x14ac:dyDescent="0.2">
      <c r="A1038" s="105" t="str">
        <f>IF(D1038=1,COUNTIF($D$10:D1038,1)," ")</f>
        <v xml:space="preserve"> </v>
      </c>
      <c r="B1038" s="106">
        <f>COPY!AR1030</f>
        <v>0</v>
      </c>
      <c r="C1038" s="107">
        <f>COPY!AC1030</f>
        <v>0</v>
      </c>
      <c r="D1038" s="107" t="str">
        <f>IF(LEN(Table1722[[#This Row],[Uraian]])&gt;2,1," ")</f>
        <v xml:space="preserve"> </v>
      </c>
      <c r="E1038" s="113" t="str">
        <f>IF(Table1722[[#This Row],[Lawan Transaksi]]="CV AGUNG KARYA",COUNTIF($I$10:I1038,"CV AGUNG KARYA")," ")</f>
        <v xml:space="preserve"> </v>
      </c>
      <c r="F1038" s="107" t="str">
        <f>IF(LEN(Table1722[[#This Row],[Uraian]])&gt;2,TRIM(RIGHT(SUBSTITUTE(TRIM(C1038)," ",REPT(" ",255)),255))," ")</f>
        <v xml:space="preserve"> </v>
      </c>
      <c r="G1038" s="110">
        <f>COPY!Z1030</f>
        <v>0</v>
      </c>
      <c r="H1038" s="111" t="str">
        <f>IFERROR(VLOOKUP(Table1722[[#This Row],[Bukti]],'Un nOTA'!$A$4:$K$5003,10,FALSE),"")</f>
        <v/>
      </c>
      <c r="I1038" s="112" t="str">
        <f>IFERROR(VLOOKUP(Table1722[[#This Row],[Bukti]],Table13[#Data],11,FALSE),"")</f>
        <v/>
      </c>
    </row>
    <row r="1039" spans="1:9" ht="19.5" hidden="1" customHeight="1" x14ac:dyDescent="0.2">
      <c r="A1039" s="105" t="str">
        <f>IF(D1039=1,COUNTIF($D$10:D1039,1)," ")</f>
        <v xml:space="preserve"> </v>
      </c>
      <c r="B1039" s="106">
        <f>COPY!AR1031</f>
        <v>0</v>
      </c>
      <c r="C1039" s="107">
        <f>COPY!AC1031</f>
        <v>0</v>
      </c>
      <c r="D1039" s="107" t="str">
        <f>IF(LEN(Table1722[[#This Row],[Uraian]])&gt;2,1," ")</f>
        <v xml:space="preserve"> </v>
      </c>
      <c r="E1039" s="113" t="str">
        <f>IF(Table1722[[#This Row],[Lawan Transaksi]]="CV AGUNG KARYA",COUNTIF($I$10:I1039,"CV AGUNG KARYA")," ")</f>
        <v xml:space="preserve"> </v>
      </c>
      <c r="F1039" s="107" t="str">
        <f>IF(LEN(Table1722[[#This Row],[Uraian]])&gt;2,TRIM(RIGHT(SUBSTITUTE(TRIM(C1039)," ",REPT(" ",255)),255))," ")</f>
        <v xml:space="preserve"> </v>
      </c>
      <c r="G1039" s="110">
        <f>COPY!Z1031</f>
        <v>0</v>
      </c>
      <c r="H1039" s="111" t="str">
        <f>IFERROR(VLOOKUP(Table1722[[#This Row],[Bukti]],'Un nOTA'!$A$4:$K$5003,10,FALSE),"")</f>
        <v/>
      </c>
      <c r="I1039" s="112" t="str">
        <f>IFERROR(VLOOKUP(Table1722[[#This Row],[Bukti]],Table13[#Data],11,FALSE),"")</f>
        <v/>
      </c>
    </row>
    <row r="1040" spans="1:9" ht="19.5" hidden="1" customHeight="1" x14ac:dyDescent="0.2">
      <c r="A1040" s="105" t="str">
        <f>IF(D1040=1,COUNTIF($D$10:D1040,1)," ")</f>
        <v xml:space="preserve"> </v>
      </c>
      <c r="B1040" s="106">
        <f>COPY!AR1032</f>
        <v>0</v>
      </c>
      <c r="C1040" s="107">
        <f>COPY!AC1032</f>
        <v>0</v>
      </c>
      <c r="D1040" s="107" t="str">
        <f>IF(LEN(Table1722[[#This Row],[Uraian]])&gt;2,1," ")</f>
        <v xml:space="preserve"> </v>
      </c>
      <c r="E1040" s="113" t="str">
        <f>IF(Table1722[[#This Row],[Lawan Transaksi]]="CV AGUNG KARYA",COUNTIF($I$10:I1040,"CV AGUNG KARYA")," ")</f>
        <v xml:space="preserve"> </v>
      </c>
      <c r="F1040" s="107" t="str">
        <f>IF(LEN(Table1722[[#This Row],[Uraian]])&gt;2,TRIM(RIGHT(SUBSTITUTE(TRIM(C1040)," ",REPT(" ",255)),255))," ")</f>
        <v xml:space="preserve"> </v>
      </c>
      <c r="G1040" s="110">
        <f>COPY!Z1032</f>
        <v>0</v>
      </c>
      <c r="H1040" s="111" t="str">
        <f>IFERROR(VLOOKUP(Table1722[[#This Row],[Bukti]],'Un nOTA'!$A$4:$K$5003,10,FALSE),"")</f>
        <v/>
      </c>
      <c r="I1040" s="112" t="str">
        <f>IFERROR(VLOOKUP(Table1722[[#This Row],[Bukti]],Table13[#Data],11,FALSE),"")</f>
        <v/>
      </c>
    </row>
    <row r="1041" spans="1:9" ht="19.5" hidden="1" customHeight="1" x14ac:dyDescent="0.2">
      <c r="A1041" s="105" t="str">
        <f>IF(D1041=1,COUNTIF($D$10:D1041,1)," ")</f>
        <v xml:space="preserve"> </v>
      </c>
      <c r="B1041" s="106">
        <f>COPY!AR1033</f>
        <v>0</v>
      </c>
      <c r="C1041" s="107">
        <f>COPY!AC1033</f>
        <v>0</v>
      </c>
      <c r="D1041" s="107" t="str">
        <f>IF(LEN(Table1722[[#This Row],[Uraian]])&gt;2,1," ")</f>
        <v xml:space="preserve"> </v>
      </c>
      <c r="E1041" s="113" t="str">
        <f>IF(Table1722[[#This Row],[Lawan Transaksi]]="CV AGUNG KARYA",COUNTIF($I$10:I1041,"CV AGUNG KARYA")," ")</f>
        <v xml:space="preserve"> </v>
      </c>
      <c r="F1041" s="107" t="str">
        <f>IF(LEN(Table1722[[#This Row],[Uraian]])&gt;2,TRIM(RIGHT(SUBSTITUTE(TRIM(C1041)," ",REPT(" ",255)),255))," ")</f>
        <v xml:space="preserve"> </v>
      </c>
      <c r="G1041" s="110">
        <f>COPY!Z1033</f>
        <v>0</v>
      </c>
      <c r="H1041" s="111" t="str">
        <f>IFERROR(VLOOKUP(Table1722[[#This Row],[Bukti]],'Un nOTA'!$A$4:$K$5003,10,FALSE),"")</f>
        <v/>
      </c>
      <c r="I1041" s="112" t="str">
        <f>IFERROR(VLOOKUP(Table1722[[#This Row],[Bukti]],Table13[#Data],11,FALSE),"")</f>
        <v/>
      </c>
    </row>
    <row r="1042" spans="1:9" ht="19.5" hidden="1" customHeight="1" x14ac:dyDescent="0.2">
      <c r="A1042" s="105" t="str">
        <f>IF(D1042=1,COUNTIF($D$10:D1042,1)," ")</f>
        <v xml:space="preserve"> </v>
      </c>
      <c r="B1042" s="106">
        <f>COPY!AR1034</f>
        <v>0</v>
      </c>
      <c r="C1042" s="107">
        <f>COPY!AC1034</f>
        <v>0</v>
      </c>
      <c r="D1042" s="107" t="str">
        <f>IF(LEN(Table1722[[#This Row],[Uraian]])&gt;2,1," ")</f>
        <v xml:space="preserve"> </v>
      </c>
      <c r="E1042" s="113" t="str">
        <f>IF(Table1722[[#This Row],[Lawan Transaksi]]="CV AGUNG KARYA",COUNTIF($I$10:I1042,"CV AGUNG KARYA")," ")</f>
        <v xml:space="preserve"> </v>
      </c>
      <c r="F1042" s="107" t="str">
        <f>IF(LEN(Table1722[[#This Row],[Uraian]])&gt;2,TRIM(RIGHT(SUBSTITUTE(TRIM(C1042)," ",REPT(" ",255)),255))," ")</f>
        <v xml:space="preserve"> </v>
      </c>
      <c r="G1042" s="110">
        <f>COPY!Z1034</f>
        <v>0</v>
      </c>
      <c r="H1042" s="111" t="str">
        <f>IFERROR(VLOOKUP(Table1722[[#This Row],[Bukti]],'Un nOTA'!$A$4:$K$5003,10,FALSE),"")</f>
        <v/>
      </c>
      <c r="I1042" s="112" t="str">
        <f>IFERROR(VLOOKUP(Table1722[[#This Row],[Bukti]],Table13[#Data],11,FALSE),"")</f>
        <v/>
      </c>
    </row>
    <row r="1043" spans="1:9" ht="19.5" hidden="1" customHeight="1" x14ac:dyDescent="0.2">
      <c r="A1043" s="105" t="str">
        <f>IF(D1043=1,COUNTIF($D$10:D1043,1)," ")</f>
        <v xml:space="preserve"> </v>
      </c>
      <c r="B1043" s="106">
        <f>COPY!AR1035</f>
        <v>0</v>
      </c>
      <c r="C1043" s="107">
        <f>COPY!AC1035</f>
        <v>0</v>
      </c>
      <c r="D1043" s="107" t="str">
        <f>IF(LEN(Table1722[[#This Row],[Uraian]])&gt;2,1," ")</f>
        <v xml:space="preserve"> </v>
      </c>
      <c r="E1043" s="113" t="str">
        <f>IF(Table1722[[#This Row],[Lawan Transaksi]]="CV AGUNG KARYA",COUNTIF($I$10:I1043,"CV AGUNG KARYA")," ")</f>
        <v xml:space="preserve"> </v>
      </c>
      <c r="F1043" s="107" t="str">
        <f>IF(LEN(Table1722[[#This Row],[Uraian]])&gt;2,TRIM(RIGHT(SUBSTITUTE(TRIM(C1043)," ",REPT(" ",255)),255))," ")</f>
        <v xml:space="preserve"> </v>
      </c>
      <c r="G1043" s="110">
        <f>COPY!Z1035</f>
        <v>0</v>
      </c>
      <c r="H1043" s="111" t="str">
        <f>IFERROR(VLOOKUP(Table1722[[#This Row],[Bukti]],'Un nOTA'!$A$4:$K$5003,10,FALSE),"")</f>
        <v/>
      </c>
      <c r="I1043" s="112" t="str">
        <f>IFERROR(VLOOKUP(Table1722[[#This Row],[Bukti]],Table13[#Data],11,FALSE),"")</f>
        <v/>
      </c>
    </row>
    <row r="1044" spans="1:9" ht="19.5" hidden="1" customHeight="1" x14ac:dyDescent="0.2">
      <c r="A1044" s="105" t="str">
        <f>IF(D1044=1,COUNTIF($D$10:D1044,1)," ")</f>
        <v xml:space="preserve"> </v>
      </c>
      <c r="B1044" s="106">
        <f>COPY!AR1036</f>
        <v>0</v>
      </c>
      <c r="C1044" s="107">
        <f>COPY!AC1036</f>
        <v>0</v>
      </c>
      <c r="D1044" s="107" t="str">
        <f>IF(LEN(Table1722[[#This Row],[Uraian]])&gt;2,1," ")</f>
        <v xml:space="preserve"> </v>
      </c>
      <c r="E1044" s="113" t="str">
        <f>IF(Table1722[[#This Row],[Lawan Transaksi]]="CV AGUNG KARYA",COUNTIF($I$10:I1044,"CV AGUNG KARYA")," ")</f>
        <v xml:space="preserve"> </v>
      </c>
      <c r="F1044" s="107" t="str">
        <f>IF(LEN(Table1722[[#This Row],[Uraian]])&gt;2,TRIM(RIGHT(SUBSTITUTE(TRIM(C1044)," ",REPT(" ",255)),255))," ")</f>
        <v xml:space="preserve"> </v>
      </c>
      <c r="G1044" s="110">
        <f>COPY!Z1036</f>
        <v>0</v>
      </c>
      <c r="H1044" s="111" t="str">
        <f>IFERROR(VLOOKUP(Table1722[[#This Row],[Bukti]],'Un nOTA'!$A$4:$K$5003,10,FALSE),"")</f>
        <v/>
      </c>
      <c r="I1044" s="112" t="str">
        <f>IFERROR(VLOOKUP(Table1722[[#This Row],[Bukti]],Table13[#Data],11,FALSE),"")</f>
        <v/>
      </c>
    </row>
    <row r="1045" spans="1:9" ht="19.5" hidden="1" customHeight="1" x14ac:dyDescent="0.2">
      <c r="A1045" s="105" t="str">
        <f>IF(D1045=1,COUNTIF($D$10:D1045,1)," ")</f>
        <v xml:space="preserve"> </v>
      </c>
      <c r="B1045" s="106">
        <f>COPY!AR1037</f>
        <v>0</v>
      </c>
      <c r="C1045" s="107">
        <f>COPY!AC1037</f>
        <v>0</v>
      </c>
      <c r="D1045" s="107" t="str">
        <f>IF(LEN(Table1722[[#This Row],[Uraian]])&gt;2,1," ")</f>
        <v xml:space="preserve"> </v>
      </c>
      <c r="E1045" s="113" t="str">
        <f>IF(Table1722[[#This Row],[Lawan Transaksi]]="CV AGUNG KARYA",COUNTIF($I$10:I1045,"CV AGUNG KARYA")," ")</f>
        <v xml:space="preserve"> </v>
      </c>
      <c r="F1045" s="107" t="str">
        <f>IF(LEN(Table1722[[#This Row],[Uraian]])&gt;2,TRIM(RIGHT(SUBSTITUTE(TRIM(C1045)," ",REPT(" ",255)),255))," ")</f>
        <v xml:space="preserve"> </v>
      </c>
      <c r="G1045" s="110">
        <f>COPY!Z1037</f>
        <v>0</v>
      </c>
      <c r="H1045" s="111" t="str">
        <f>IFERROR(VLOOKUP(Table1722[[#This Row],[Bukti]],'Un nOTA'!$A$4:$K$5003,10,FALSE),"")</f>
        <v/>
      </c>
      <c r="I1045" s="112" t="str">
        <f>IFERROR(VLOOKUP(Table1722[[#This Row],[Bukti]],Table13[#Data],11,FALSE),"")</f>
        <v/>
      </c>
    </row>
    <row r="1046" spans="1:9" ht="19.5" hidden="1" customHeight="1" x14ac:dyDescent="0.2">
      <c r="A1046" s="105" t="str">
        <f>IF(D1046=1,COUNTIF($D$10:D1046,1)," ")</f>
        <v xml:space="preserve"> </v>
      </c>
      <c r="B1046" s="106">
        <f>COPY!AR1038</f>
        <v>0</v>
      </c>
      <c r="C1046" s="107">
        <f>COPY!AC1038</f>
        <v>0</v>
      </c>
      <c r="D1046" s="107" t="str">
        <f>IF(LEN(Table1722[[#This Row],[Uraian]])&gt;2,1," ")</f>
        <v xml:space="preserve"> </v>
      </c>
      <c r="E1046" s="113" t="str">
        <f>IF(Table1722[[#This Row],[Lawan Transaksi]]="CV AGUNG KARYA",COUNTIF($I$10:I1046,"CV AGUNG KARYA")," ")</f>
        <v xml:space="preserve"> </v>
      </c>
      <c r="F1046" s="107" t="str">
        <f>IF(LEN(Table1722[[#This Row],[Uraian]])&gt;2,TRIM(RIGHT(SUBSTITUTE(TRIM(C1046)," ",REPT(" ",255)),255))," ")</f>
        <v xml:space="preserve"> </v>
      </c>
      <c r="G1046" s="110">
        <f>COPY!Z1038</f>
        <v>0</v>
      </c>
      <c r="H1046" s="111" t="str">
        <f>IFERROR(VLOOKUP(Table1722[[#This Row],[Bukti]],'Un nOTA'!$A$4:$K$5003,10,FALSE),"")</f>
        <v/>
      </c>
      <c r="I1046" s="112" t="str">
        <f>IFERROR(VLOOKUP(Table1722[[#This Row],[Bukti]],Table13[#Data],11,FALSE),"")</f>
        <v/>
      </c>
    </row>
    <row r="1047" spans="1:9" ht="19.5" hidden="1" customHeight="1" x14ac:dyDescent="0.2">
      <c r="A1047" s="105" t="str">
        <f>IF(D1047=1,COUNTIF($D$10:D1047,1)," ")</f>
        <v xml:space="preserve"> </v>
      </c>
      <c r="B1047" s="106">
        <f>COPY!AR1039</f>
        <v>0</v>
      </c>
      <c r="C1047" s="107">
        <f>COPY!AC1039</f>
        <v>0</v>
      </c>
      <c r="D1047" s="107" t="str">
        <f>IF(LEN(Table1722[[#This Row],[Uraian]])&gt;2,1," ")</f>
        <v xml:space="preserve"> </v>
      </c>
      <c r="E1047" s="113" t="str">
        <f>IF(Table1722[[#This Row],[Lawan Transaksi]]="CV AGUNG KARYA",COUNTIF($I$10:I1047,"CV AGUNG KARYA")," ")</f>
        <v xml:space="preserve"> </v>
      </c>
      <c r="F1047" s="107" t="str">
        <f>IF(LEN(Table1722[[#This Row],[Uraian]])&gt;2,TRIM(RIGHT(SUBSTITUTE(TRIM(C1047)," ",REPT(" ",255)),255))," ")</f>
        <v xml:space="preserve"> </v>
      </c>
      <c r="G1047" s="110">
        <f>COPY!Z1039</f>
        <v>0</v>
      </c>
      <c r="H1047" s="111" t="str">
        <f>IFERROR(VLOOKUP(Table1722[[#This Row],[Bukti]],'Un nOTA'!$A$4:$K$5003,10,FALSE),"")</f>
        <v/>
      </c>
      <c r="I1047" s="112" t="str">
        <f>IFERROR(VLOOKUP(Table1722[[#This Row],[Bukti]],Table13[#Data],11,FALSE),"")</f>
        <v/>
      </c>
    </row>
    <row r="1048" spans="1:9" ht="19.5" hidden="1" customHeight="1" x14ac:dyDescent="0.2">
      <c r="A1048" s="105" t="str">
        <f>IF(D1048=1,COUNTIF($D$10:D1048,1)," ")</f>
        <v xml:space="preserve"> </v>
      </c>
      <c r="B1048" s="106">
        <f>COPY!AR1040</f>
        <v>0</v>
      </c>
      <c r="C1048" s="107">
        <f>COPY!AC1040</f>
        <v>0</v>
      </c>
      <c r="D1048" s="107" t="str">
        <f>IF(LEN(Table1722[[#This Row],[Uraian]])&gt;2,1," ")</f>
        <v xml:space="preserve"> </v>
      </c>
      <c r="E1048" s="113" t="str">
        <f>IF(Table1722[[#This Row],[Lawan Transaksi]]="CV AGUNG KARYA",COUNTIF($I$10:I1048,"CV AGUNG KARYA")," ")</f>
        <v xml:space="preserve"> </v>
      </c>
      <c r="F1048" s="107" t="str">
        <f>IF(LEN(Table1722[[#This Row],[Uraian]])&gt;2,TRIM(RIGHT(SUBSTITUTE(TRIM(C1048)," ",REPT(" ",255)),255))," ")</f>
        <v xml:space="preserve"> </v>
      </c>
      <c r="G1048" s="110">
        <f>COPY!Z1040</f>
        <v>0</v>
      </c>
      <c r="H1048" s="111" t="str">
        <f>IFERROR(VLOOKUP(Table1722[[#This Row],[Bukti]],'Un nOTA'!$A$4:$K$5003,10,FALSE),"")</f>
        <v/>
      </c>
      <c r="I1048" s="112" t="str">
        <f>IFERROR(VLOOKUP(Table1722[[#This Row],[Bukti]],Table13[#Data],11,FALSE),"")</f>
        <v/>
      </c>
    </row>
    <row r="1049" spans="1:9" ht="19.5" hidden="1" customHeight="1" x14ac:dyDescent="0.2">
      <c r="A1049" s="105" t="str">
        <f>IF(D1049=1,COUNTIF($D$10:D1049,1)," ")</f>
        <v xml:space="preserve"> </v>
      </c>
      <c r="B1049" s="106">
        <f>COPY!AR1041</f>
        <v>0</v>
      </c>
      <c r="C1049" s="107">
        <f>COPY!AC1041</f>
        <v>0</v>
      </c>
      <c r="D1049" s="107" t="str">
        <f>IF(LEN(Table1722[[#This Row],[Uraian]])&gt;2,1," ")</f>
        <v xml:space="preserve"> </v>
      </c>
      <c r="E1049" s="113" t="str">
        <f>IF(Table1722[[#This Row],[Lawan Transaksi]]="CV AGUNG KARYA",COUNTIF($I$10:I1049,"CV AGUNG KARYA")," ")</f>
        <v xml:space="preserve"> </v>
      </c>
      <c r="F1049" s="107" t="str">
        <f>IF(LEN(Table1722[[#This Row],[Uraian]])&gt;2,TRIM(RIGHT(SUBSTITUTE(TRIM(C1049)," ",REPT(" ",255)),255))," ")</f>
        <v xml:space="preserve"> </v>
      </c>
      <c r="G1049" s="110">
        <f>COPY!Z1041</f>
        <v>0</v>
      </c>
      <c r="H1049" s="111" t="str">
        <f>IFERROR(VLOOKUP(Table1722[[#This Row],[Bukti]],'Un nOTA'!$A$4:$K$5003,10,FALSE),"")</f>
        <v/>
      </c>
      <c r="I1049" s="112" t="str">
        <f>IFERROR(VLOOKUP(Table1722[[#This Row],[Bukti]],Table13[#Data],11,FALSE),"")</f>
        <v/>
      </c>
    </row>
    <row r="1050" spans="1:9" ht="19.5" hidden="1" customHeight="1" x14ac:dyDescent="0.2">
      <c r="A1050" s="105" t="str">
        <f>IF(D1050=1,COUNTIF($D$10:D1050,1)," ")</f>
        <v xml:space="preserve"> </v>
      </c>
      <c r="B1050" s="106">
        <f>COPY!AR1042</f>
        <v>0</v>
      </c>
      <c r="C1050" s="107">
        <f>COPY!AC1042</f>
        <v>0</v>
      </c>
      <c r="D1050" s="107" t="str">
        <f>IF(LEN(Table1722[[#This Row],[Uraian]])&gt;2,1," ")</f>
        <v xml:space="preserve"> </v>
      </c>
      <c r="E1050" s="113" t="str">
        <f>IF(Table1722[[#This Row],[Lawan Transaksi]]="CV AGUNG KARYA",COUNTIF($I$10:I1050,"CV AGUNG KARYA")," ")</f>
        <v xml:space="preserve"> </v>
      </c>
      <c r="F1050" s="107" t="str">
        <f>IF(LEN(Table1722[[#This Row],[Uraian]])&gt;2,TRIM(RIGHT(SUBSTITUTE(TRIM(C1050)," ",REPT(" ",255)),255))," ")</f>
        <v xml:space="preserve"> </v>
      </c>
      <c r="G1050" s="110">
        <f>COPY!Z1042</f>
        <v>0</v>
      </c>
      <c r="H1050" s="111" t="str">
        <f>IFERROR(VLOOKUP(Table1722[[#This Row],[Bukti]],'Un nOTA'!$A$4:$K$5003,10,FALSE),"")</f>
        <v/>
      </c>
      <c r="I1050" s="112" t="str">
        <f>IFERROR(VLOOKUP(Table1722[[#This Row],[Bukti]],Table13[#Data],11,FALSE),"")</f>
        <v/>
      </c>
    </row>
    <row r="1051" spans="1:9" ht="19.5" hidden="1" customHeight="1" x14ac:dyDescent="0.2">
      <c r="A1051" s="105" t="str">
        <f>IF(D1051=1,COUNTIF($D$10:D1051,1)," ")</f>
        <v xml:space="preserve"> </v>
      </c>
      <c r="B1051" s="106">
        <f>COPY!AR1043</f>
        <v>0</v>
      </c>
      <c r="C1051" s="107">
        <f>COPY!AC1043</f>
        <v>0</v>
      </c>
      <c r="D1051" s="107" t="str">
        <f>IF(LEN(Table1722[[#This Row],[Uraian]])&gt;2,1," ")</f>
        <v xml:space="preserve"> </v>
      </c>
      <c r="E1051" s="113" t="str">
        <f>IF(Table1722[[#This Row],[Lawan Transaksi]]="CV AGUNG KARYA",COUNTIF($I$10:I1051,"CV AGUNG KARYA")," ")</f>
        <v xml:space="preserve"> </v>
      </c>
      <c r="F1051" s="107" t="str">
        <f>IF(LEN(Table1722[[#This Row],[Uraian]])&gt;2,TRIM(RIGHT(SUBSTITUTE(TRIM(C1051)," ",REPT(" ",255)),255))," ")</f>
        <v xml:space="preserve"> </v>
      </c>
      <c r="G1051" s="110">
        <f>COPY!Z1043</f>
        <v>0</v>
      </c>
      <c r="H1051" s="111" t="str">
        <f>IFERROR(VLOOKUP(Table1722[[#This Row],[Bukti]],'Un nOTA'!$A$4:$K$5003,10,FALSE),"")</f>
        <v/>
      </c>
      <c r="I1051" s="112" t="str">
        <f>IFERROR(VLOOKUP(Table1722[[#This Row],[Bukti]],Table13[#Data],11,FALSE),"")</f>
        <v/>
      </c>
    </row>
    <row r="1052" spans="1:9" ht="19.5" hidden="1" customHeight="1" x14ac:dyDescent="0.2">
      <c r="A1052" s="105" t="str">
        <f>IF(D1052=1,COUNTIF($D$10:D1052,1)," ")</f>
        <v xml:space="preserve"> </v>
      </c>
      <c r="B1052" s="106">
        <f>COPY!AR1044</f>
        <v>0</v>
      </c>
      <c r="C1052" s="107">
        <f>COPY!AC1044</f>
        <v>0</v>
      </c>
      <c r="D1052" s="107" t="str">
        <f>IF(LEN(Table1722[[#This Row],[Uraian]])&gt;2,1," ")</f>
        <v xml:space="preserve"> </v>
      </c>
      <c r="E1052" s="113" t="str">
        <f>IF(Table1722[[#This Row],[Lawan Transaksi]]="CV AGUNG KARYA",COUNTIF($I$10:I1052,"CV AGUNG KARYA")," ")</f>
        <v xml:space="preserve"> </v>
      </c>
      <c r="F1052" s="107" t="str">
        <f>IF(LEN(Table1722[[#This Row],[Uraian]])&gt;2,TRIM(RIGHT(SUBSTITUTE(TRIM(C1052)," ",REPT(" ",255)),255))," ")</f>
        <v xml:space="preserve"> </v>
      </c>
      <c r="G1052" s="110">
        <f>COPY!Z1044</f>
        <v>0</v>
      </c>
      <c r="H1052" s="111" t="str">
        <f>IFERROR(VLOOKUP(Table1722[[#This Row],[Bukti]],'Un nOTA'!$A$4:$K$5003,10,FALSE),"")</f>
        <v/>
      </c>
      <c r="I1052" s="112" t="str">
        <f>IFERROR(VLOOKUP(Table1722[[#This Row],[Bukti]],Table13[#Data],11,FALSE),"")</f>
        <v/>
      </c>
    </row>
    <row r="1053" spans="1:9" ht="19.5" hidden="1" customHeight="1" x14ac:dyDescent="0.2">
      <c r="A1053" s="105" t="str">
        <f>IF(D1053=1,COUNTIF($D$10:D1053,1)," ")</f>
        <v xml:space="preserve"> </v>
      </c>
      <c r="B1053" s="106">
        <f>COPY!AR1045</f>
        <v>0</v>
      </c>
      <c r="C1053" s="107">
        <f>COPY!AC1045</f>
        <v>0</v>
      </c>
      <c r="D1053" s="107" t="str">
        <f>IF(LEN(Table1722[[#This Row],[Uraian]])&gt;2,1," ")</f>
        <v xml:space="preserve"> </v>
      </c>
      <c r="E1053" s="113" t="str">
        <f>IF(Table1722[[#This Row],[Lawan Transaksi]]="CV AGUNG KARYA",COUNTIF($I$10:I1053,"CV AGUNG KARYA")," ")</f>
        <v xml:space="preserve"> </v>
      </c>
      <c r="F1053" s="107" t="str">
        <f>IF(LEN(Table1722[[#This Row],[Uraian]])&gt;2,TRIM(RIGHT(SUBSTITUTE(TRIM(C1053)," ",REPT(" ",255)),255))," ")</f>
        <v xml:space="preserve"> </v>
      </c>
      <c r="G1053" s="110">
        <f>COPY!Z1045</f>
        <v>0</v>
      </c>
      <c r="H1053" s="111" t="str">
        <f>IFERROR(VLOOKUP(Table1722[[#This Row],[Bukti]],'Un nOTA'!$A$4:$K$5003,10,FALSE),"")</f>
        <v/>
      </c>
      <c r="I1053" s="112" t="str">
        <f>IFERROR(VLOOKUP(Table1722[[#This Row],[Bukti]],Table13[#Data],11,FALSE),"")</f>
        <v/>
      </c>
    </row>
    <row r="1054" spans="1:9" ht="19.5" hidden="1" customHeight="1" x14ac:dyDescent="0.2">
      <c r="A1054" s="105" t="str">
        <f>IF(D1054=1,COUNTIF($D$10:D1054,1)," ")</f>
        <v xml:space="preserve"> </v>
      </c>
      <c r="B1054" s="106">
        <f>COPY!AR1046</f>
        <v>0</v>
      </c>
      <c r="C1054" s="107">
        <f>COPY!AC1046</f>
        <v>0</v>
      </c>
      <c r="D1054" s="107" t="str">
        <f>IF(LEN(Table1722[[#This Row],[Uraian]])&gt;2,1," ")</f>
        <v xml:space="preserve"> </v>
      </c>
      <c r="E1054" s="113" t="str">
        <f>IF(Table1722[[#This Row],[Lawan Transaksi]]="CV AGUNG KARYA",COUNTIF($I$10:I1054,"CV AGUNG KARYA")," ")</f>
        <v xml:space="preserve"> </v>
      </c>
      <c r="F1054" s="107" t="str">
        <f>IF(LEN(Table1722[[#This Row],[Uraian]])&gt;2,TRIM(RIGHT(SUBSTITUTE(TRIM(C1054)," ",REPT(" ",255)),255))," ")</f>
        <v xml:space="preserve"> </v>
      </c>
      <c r="G1054" s="110">
        <f>COPY!Z1046</f>
        <v>0</v>
      </c>
      <c r="H1054" s="111" t="str">
        <f>IFERROR(VLOOKUP(Table1722[[#This Row],[Bukti]],'Un nOTA'!$A$4:$K$5003,10,FALSE),"")</f>
        <v/>
      </c>
      <c r="I1054" s="112" t="str">
        <f>IFERROR(VLOOKUP(Table1722[[#This Row],[Bukti]],Table13[#Data],11,FALSE),"")</f>
        <v/>
      </c>
    </row>
    <row r="1055" spans="1:9" ht="19.5" hidden="1" customHeight="1" x14ac:dyDescent="0.2">
      <c r="A1055" s="105" t="str">
        <f>IF(D1055=1,COUNTIF($D$10:D1055,1)," ")</f>
        <v xml:space="preserve"> </v>
      </c>
      <c r="B1055" s="106">
        <f>COPY!AR1047</f>
        <v>0</v>
      </c>
      <c r="C1055" s="107">
        <f>COPY!AC1047</f>
        <v>0</v>
      </c>
      <c r="D1055" s="107" t="str">
        <f>IF(LEN(Table1722[[#This Row],[Uraian]])&gt;2,1," ")</f>
        <v xml:space="preserve"> </v>
      </c>
      <c r="E1055" s="113" t="str">
        <f>IF(Table1722[[#This Row],[Lawan Transaksi]]="CV AGUNG KARYA",COUNTIF($I$10:I1055,"CV AGUNG KARYA")," ")</f>
        <v xml:space="preserve"> </v>
      </c>
      <c r="F1055" s="107" t="str">
        <f>IF(LEN(Table1722[[#This Row],[Uraian]])&gt;2,TRIM(RIGHT(SUBSTITUTE(TRIM(C1055)," ",REPT(" ",255)),255))," ")</f>
        <v xml:space="preserve"> </v>
      </c>
      <c r="G1055" s="110">
        <f>COPY!Z1047</f>
        <v>0</v>
      </c>
      <c r="H1055" s="111" t="str">
        <f>IFERROR(VLOOKUP(Table1722[[#This Row],[Bukti]],'Un nOTA'!$A$4:$K$5003,10,FALSE),"")</f>
        <v/>
      </c>
      <c r="I1055" s="112" t="str">
        <f>IFERROR(VLOOKUP(Table1722[[#This Row],[Bukti]],Table13[#Data],11,FALSE),"")</f>
        <v/>
      </c>
    </row>
    <row r="1056" spans="1:9" ht="19.5" hidden="1" customHeight="1" x14ac:dyDescent="0.2">
      <c r="A1056" s="105" t="str">
        <f>IF(D1056=1,COUNTIF($D$10:D1056,1)," ")</f>
        <v xml:space="preserve"> </v>
      </c>
      <c r="B1056" s="106">
        <f>COPY!AR1048</f>
        <v>0</v>
      </c>
      <c r="C1056" s="107">
        <f>COPY!AC1048</f>
        <v>0</v>
      </c>
      <c r="D1056" s="107" t="str">
        <f>IF(LEN(Table1722[[#This Row],[Uraian]])&gt;2,1," ")</f>
        <v xml:space="preserve"> </v>
      </c>
      <c r="E1056" s="113" t="str">
        <f>IF(Table1722[[#This Row],[Lawan Transaksi]]="CV AGUNG KARYA",COUNTIF($I$10:I1056,"CV AGUNG KARYA")," ")</f>
        <v xml:space="preserve"> </v>
      </c>
      <c r="F1056" s="107" t="str">
        <f>IF(LEN(Table1722[[#This Row],[Uraian]])&gt;2,TRIM(RIGHT(SUBSTITUTE(TRIM(C1056)," ",REPT(" ",255)),255))," ")</f>
        <v xml:space="preserve"> </v>
      </c>
      <c r="G1056" s="110">
        <f>COPY!Z1048</f>
        <v>0</v>
      </c>
      <c r="H1056" s="111" t="str">
        <f>IFERROR(VLOOKUP(Table1722[[#This Row],[Bukti]],'Un nOTA'!$A$4:$K$5003,10,FALSE),"")</f>
        <v/>
      </c>
      <c r="I1056" s="112" t="str">
        <f>IFERROR(VLOOKUP(Table1722[[#This Row],[Bukti]],Table13[#Data],11,FALSE),"")</f>
        <v/>
      </c>
    </row>
    <row r="1057" spans="1:9" ht="19.5" hidden="1" customHeight="1" x14ac:dyDescent="0.2">
      <c r="A1057" s="105" t="str">
        <f>IF(D1057=1,COUNTIF($D$10:D1057,1)," ")</f>
        <v xml:space="preserve"> </v>
      </c>
      <c r="B1057" s="106">
        <f>COPY!AR1049</f>
        <v>0</v>
      </c>
      <c r="C1057" s="107">
        <f>COPY!AC1049</f>
        <v>0</v>
      </c>
      <c r="D1057" s="107" t="str">
        <f>IF(LEN(Table1722[[#This Row],[Uraian]])&gt;2,1," ")</f>
        <v xml:space="preserve"> </v>
      </c>
      <c r="E1057" s="113" t="str">
        <f>IF(Table1722[[#This Row],[Lawan Transaksi]]="CV AGUNG KARYA",COUNTIF($I$10:I1057,"CV AGUNG KARYA")," ")</f>
        <v xml:space="preserve"> </v>
      </c>
      <c r="F1057" s="107" t="str">
        <f>IF(LEN(Table1722[[#This Row],[Uraian]])&gt;2,TRIM(RIGHT(SUBSTITUTE(TRIM(C1057)," ",REPT(" ",255)),255))," ")</f>
        <v xml:space="preserve"> </v>
      </c>
      <c r="G1057" s="110">
        <f>COPY!Z1049</f>
        <v>0</v>
      </c>
      <c r="H1057" s="111" t="str">
        <f>IFERROR(VLOOKUP(Table1722[[#This Row],[Bukti]],'Un nOTA'!$A$4:$K$5003,10,FALSE),"")</f>
        <v/>
      </c>
      <c r="I1057" s="112" t="str">
        <f>IFERROR(VLOOKUP(Table1722[[#This Row],[Bukti]],Table13[#Data],11,FALSE),"")</f>
        <v/>
      </c>
    </row>
    <row r="1058" spans="1:9" ht="19.5" hidden="1" customHeight="1" x14ac:dyDescent="0.2">
      <c r="A1058" s="105" t="str">
        <f>IF(D1058=1,COUNTIF($D$10:D1058,1)," ")</f>
        <v xml:space="preserve"> </v>
      </c>
      <c r="B1058" s="106">
        <f>COPY!AR1050</f>
        <v>0</v>
      </c>
      <c r="C1058" s="107">
        <f>COPY!AC1050</f>
        <v>0</v>
      </c>
      <c r="D1058" s="107" t="str">
        <f>IF(LEN(Table1722[[#This Row],[Uraian]])&gt;2,1," ")</f>
        <v xml:space="preserve"> </v>
      </c>
      <c r="E1058" s="113" t="str">
        <f>IF(Table1722[[#This Row],[Lawan Transaksi]]="CV AGUNG KARYA",COUNTIF($I$10:I1058,"CV AGUNG KARYA")," ")</f>
        <v xml:space="preserve"> </v>
      </c>
      <c r="F1058" s="107" t="str">
        <f>IF(LEN(Table1722[[#This Row],[Uraian]])&gt;2,TRIM(RIGHT(SUBSTITUTE(TRIM(C1058)," ",REPT(" ",255)),255))," ")</f>
        <v xml:space="preserve"> </v>
      </c>
      <c r="G1058" s="110">
        <f>COPY!Z1050</f>
        <v>0</v>
      </c>
      <c r="H1058" s="111" t="str">
        <f>IFERROR(VLOOKUP(Table1722[[#This Row],[Bukti]],'Un nOTA'!$A$4:$K$5003,10,FALSE),"")</f>
        <v/>
      </c>
      <c r="I1058" s="112" t="str">
        <f>IFERROR(VLOOKUP(Table1722[[#This Row],[Bukti]],Table13[#Data],11,FALSE),"")</f>
        <v/>
      </c>
    </row>
    <row r="1059" spans="1:9" ht="19.5" hidden="1" customHeight="1" x14ac:dyDescent="0.2">
      <c r="A1059" s="105" t="str">
        <f>IF(D1059=1,COUNTIF($D$10:D1059,1)," ")</f>
        <v xml:space="preserve"> </v>
      </c>
      <c r="B1059" s="106">
        <f>COPY!AR1051</f>
        <v>0</v>
      </c>
      <c r="C1059" s="107">
        <f>COPY!AC1051</f>
        <v>0</v>
      </c>
      <c r="D1059" s="107" t="str">
        <f>IF(LEN(Table1722[[#This Row],[Uraian]])&gt;2,1," ")</f>
        <v xml:space="preserve"> </v>
      </c>
      <c r="E1059" s="113" t="str">
        <f>IF(Table1722[[#This Row],[Lawan Transaksi]]="CV AGUNG KARYA",COUNTIF($I$10:I1059,"CV AGUNG KARYA")," ")</f>
        <v xml:space="preserve"> </v>
      </c>
      <c r="F1059" s="107" t="str">
        <f>IF(LEN(Table1722[[#This Row],[Uraian]])&gt;2,TRIM(RIGHT(SUBSTITUTE(TRIM(C1059)," ",REPT(" ",255)),255))," ")</f>
        <v xml:space="preserve"> </v>
      </c>
      <c r="G1059" s="110">
        <f>COPY!Z1051</f>
        <v>0</v>
      </c>
      <c r="H1059" s="111" t="str">
        <f>IFERROR(VLOOKUP(Table1722[[#This Row],[Bukti]],'Un nOTA'!$A$4:$K$5003,10,FALSE),"")</f>
        <v/>
      </c>
      <c r="I1059" s="112" t="str">
        <f>IFERROR(VLOOKUP(Table1722[[#This Row],[Bukti]],Table13[#Data],11,FALSE),"")</f>
        <v/>
      </c>
    </row>
    <row r="1060" spans="1:9" ht="19.5" hidden="1" customHeight="1" x14ac:dyDescent="0.2">
      <c r="A1060" s="105" t="str">
        <f>IF(D1060=1,COUNTIF($D$10:D1060,1)," ")</f>
        <v xml:space="preserve"> </v>
      </c>
      <c r="B1060" s="106">
        <f>COPY!AR1052</f>
        <v>0</v>
      </c>
      <c r="C1060" s="107">
        <f>COPY!AC1052</f>
        <v>0</v>
      </c>
      <c r="D1060" s="107" t="str">
        <f>IF(LEN(Table1722[[#This Row],[Uraian]])&gt;2,1," ")</f>
        <v xml:space="preserve"> </v>
      </c>
      <c r="E1060" s="113" t="str">
        <f>IF(Table1722[[#This Row],[Lawan Transaksi]]="CV AGUNG KARYA",COUNTIF($I$10:I1060,"CV AGUNG KARYA")," ")</f>
        <v xml:space="preserve"> </v>
      </c>
      <c r="F1060" s="107" t="str">
        <f>IF(LEN(Table1722[[#This Row],[Uraian]])&gt;2,TRIM(RIGHT(SUBSTITUTE(TRIM(C1060)," ",REPT(" ",255)),255))," ")</f>
        <v xml:space="preserve"> </v>
      </c>
      <c r="G1060" s="110">
        <f>COPY!Z1052</f>
        <v>0</v>
      </c>
      <c r="H1060" s="111" t="str">
        <f>IFERROR(VLOOKUP(Table1722[[#This Row],[Bukti]],'Un nOTA'!$A$4:$K$5003,10,FALSE),"")</f>
        <v/>
      </c>
      <c r="I1060" s="112" t="str">
        <f>IFERROR(VLOOKUP(Table1722[[#This Row],[Bukti]],Table13[#Data],11,FALSE),"")</f>
        <v/>
      </c>
    </row>
    <row r="1061" spans="1:9" ht="19.5" hidden="1" customHeight="1" x14ac:dyDescent="0.2">
      <c r="A1061" s="105" t="str">
        <f>IF(D1061=1,COUNTIF($D$10:D1061,1)," ")</f>
        <v xml:space="preserve"> </v>
      </c>
      <c r="B1061" s="106">
        <f>COPY!AR1053</f>
        <v>0</v>
      </c>
      <c r="C1061" s="107">
        <f>COPY!AC1053</f>
        <v>0</v>
      </c>
      <c r="D1061" s="107" t="str">
        <f>IF(LEN(Table1722[[#This Row],[Uraian]])&gt;2,1," ")</f>
        <v xml:space="preserve"> </v>
      </c>
      <c r="E1061" s="113" t="str">
        <f>IF(Table1722[[#This Row],[Lawan Transaksi]]="CV AGUNG KARYA",COUNTIF($I$10:I1061,"CV AGUNG KARYA")," ")</f>
        <v xml:space="preserve"> </v>
      </c>
      <c r="F1061" s="107" t="str">
        <f>IF(LEN(Table1722[[#This Row],[Uraian]])&gt;2,TRIM(RIGHT(SUBSTITUTE(TRIM(C1061)," ",REPT(" ",255)),255))," ")</f>
        <v xml:space="preserve"> </v>
      </c>
      <c r="G1061" s="110">
        <f>COPY!Z1053</f>
        <v>0</v>
      </c>
      <c r="H1061" s="111" t="str">
        <f>IFERROR(VLOOKUP(Table1722[[#This Row],[Bukti]],'Un nOTA'!$A$4:$K$5003,10,FALSE),"")</f>
        <v/>
      </c>
      <c r="I1061" s="112" t="str">
        <f>IFERROR(VLOOKUP(Table1722[[#This Row],[Bukti]],Table13[#Data],11,FALSE),"")</f>
        <v/>
      </c>
    </row>
    <row r="1062" spans="1:9" ht="19.5" hidden="1" customHeight="1" x14ac:dyDescent="0.2">
      <c r="A1062" s="105" t="str">
        <f>IF(D1062=1,COUNTIF($D$10:D1062,1)," ")</f>
        <v xml:space="preserve"> </v>
      </c>
      <c r="B1062" s="106">
        <f>COPY!AR1054</f>
        <v>0</v>
      </c>
      <c r="C1062" s="107">
        <f>COPY!AC1054</f>
        <v>0</v>
      </c>
      <c r="D1062" s="107" t="str">
        <f>IF(LEN(Table1722[[#This Row],[Uraian]])&gt;2,1," ")</f>
        <v xml:space="preserve"> </v>
      </c>
      <c r="E1062" s="113" t="str">
        <f>IF(Table1722[[#This Row],[Lawan Transaksi]]="CV AGUNG KARYA",COUNTIF($I$10:I1062,"CV AGUNG KARYA")," ")</f>
        <v xml:space="preserve"> </v>
      </c>
      <c r="F1062" s="107" t="str">
        <f>IF(LEN(Table1722[[#This Row],[Uraian]])&gt;2,TRIM(RIGHT(SUBSTITUTE(TRIM(C1062)," ",REPT(" ",255)),255))," ")</f>
        <v xml:space="preserve"> </v>
      </c>
      <c r="G1062" s="110">
        <f>COPY!Z1054</f>
        <v>0</v>
      </c>
      <c r="H1062" s="111" t="str">
        <f>IFERROR(VLOOKUP(Table1722[[#This Row],[Bukti]],'Un nOTA'!$A$4:$K$5003,10,FALSE),"")</f>
        <v/>
      </c>
      <c r="I1062" s="112" t="str">
        <f>IFERROR(VLOOKUP(Table1722[[#This Row],[Bukti]],Table13[#Data],11,FALSE),"")</f>
        <v/>
      </c>
    </row>
    <row r="1063" spans="1:9" ht="19.5" hidden="1" customHeight="1" x14ac:dyDescent="0.2">
      <c r="A1063" s="105" t="str">
        <f>IF(D1063=1,COUNTIF($D$10:D1063,1)," ")</f>
        <v xml:space="preserve"> </v>
      </c>
      <c r="B1063" s="106">
        <f>COPY!AR1055</f>
        <v>0</v>
      </c>
      <c r="C1063" s="107">
        <f>COPY!AC1055</f>
        <v>0</v>
      </c>
      <c r="D1063" s="107" t="str">
        <f>IF(LEN(Table1722[[#This Row],[Uraian]])&gt;2,1," ")</f>
        <v xml:space="preserve"> </v>
      </c>
      <c r="E1063" s="113" t="str">
        <f>IF(Table1722[[#This Row],[Lawan Transaksi]]="CV AGUNG KARYA",COUNTIF($I$10:I1063,"CV AGUNG KARYA")," ")</f>
        <v xml:space="preserve"> </v>
      </c>
      <c r="F1063" s="107" t="str">
        <f>IF(LEN(Table1722[[#This Row],[Uraian]])&gt;2,TRIM(RIGHT(SUBSTITUTE(TRIM(C1063)," ",REPT(" ",255)),255))," ")</f>
        <v xml:space="preserve"> </v>
      </c>
      <c r="G1063" s="110">
        <f>COPY!Z1055</f>
        <v>0</v>
      </c>
      <c r="H1063" s="111" t="str">
        <f>IFERROR(VLOOKUP(Table1722[[#This Row],[Bukti]],'Un nOTA'!$A$4:$K$5003,10,FALSE),"")</f>
        <v/>
      </c>
      <c r="I1063" s="112" t="str">
        <f>IFERROR(VLOOKUP(Table1722[[#This Row],[Bukti]],Table13[#Data],11,FALSE),"")</f>
        <v/>
      </c>
    </row>
    <row r="1064" spans="1:9" ht="19.5" hidden="1" customHeight="1" x14ac:dyDescent="0.2">
      <c r="A1064" s="105" t="str">
        <f>IF(D1064=1,COUNTIF($D$10:D1064,1)," ")</f>
        <v xml:space="preserve"> </v>
      </c>
      <c r="B1064" s="106">
        <f>COPY!AR1056</f>
        <v>0</v>
      </c>
      <c r="C1064" s="107">
        <f>COPY!AC1056</f>
        <v>0</v>
      </c>
      <c r="D1064" s="107" t="str">
        <f>IF(LEN(Table1722[[#This Row],[Uraian]])&gt;2,1," ")</f>
        <v xml:space="preserve"> </v>
      </c>
      <c r="E1064" s="113" t="str">
        <f>IF(Table1722[[#This Row],[Lawan Transaksi]]="CV AGUNG KARYA",COUNTIF($I$10:I1064,"CV AGUNG KARYA")," ")</f>
        <v xml:space="preserve"> </v>
      </c>
      <c r="F1064" s="107" t="str">
        <f>IF(LEN(Table1722[[#This Row],[Uraian]])&gt;2,TRIM(RIGHT(SUBSTITUTE(TRIM(C1064)," ",REPT(" ",255)),255))," ")</f>
        <v xml:space="preserve"> </v>
      </c>
      <c r="G1064" s="110">
        <f>COPY!Z1056</f>
        <v>0</v>
      </c>
      <c r="H1064" s="111" t="str">
        <f>IFERROR(VLOOKUP(Table1722[[#This Row],[Bukti]],'Un nOTA'!$A$4:$K$5003,10,FALSE),"")</f>
        <v/>
      </c>
      <c r="I1064" s="112" t="str">
        <f>IFERROR(VLOOKUP(Table1722[[#This Row],[Bukti]],Table13[#Data],11,FALSE),"")</f>
        <v/>
      </c>
    </row>
    <row r="1065" spans="1:9" ht="19.5" hidden="1" customHeight="1" x14ac:dyDescent="0.2">
      <c r="A1065" s="105" t="str">
        <f>IF(D1065=1,COUNTIF($D$10:D1065,1)," ")</f>
        <v xml:space="preserve"> </v>
      </c>
      <c r="B1065" s="106">
        <f>COPY!AR1057</f>
        <v>0</v>
      </c>
      <c r="C1065" s="107">
        <f>COPY!AC1057</f>
        <v>0</v>
      </c>
      <c r="D1065" s="107" t="str">
        <f>IF(LEN(Table1722[[#This Row],[Uraian]])&gt;2,1," ")</f>
        <v xml:space="preserve"> </v>
      </c>
      <c r="E1065" s="113" t="str">
        <f>IF(Table1722[[#This Row],[Lawan Transaksi]]="CV AGUNG KARYA",COUNTIF($I$10:I1065,"CV AGUNG KARYA")," ")</f>
        <v xml:space="preserve"> </v>
      </c>
      <c r="F1065" s="107" t="str">
        <f>IF(LEN(Table1722[[#This Row],[Uraian]])&gt;2,TRIM(RIGHT(SUBSTITUTE(TRIM(C1065)," ",REPT(" ",255)),255))," ")</f>
        <v xml:space="preserve"> </v>
      </c>
      <c r="G1065" s="110">
        <f>COPY!Z1057</f>
        <v>0</v>
      </c>
      <c r="H1065" s="111" t="str">
        <f>IFERROR(VLOOKUP(Table1722[[#This Row],[Bukti]],'Un nOTA'!$A$4:$K$5003,10,FALSE),"")</f>
        <v/>
      </c>
      <c r="I1065" s="112" t="str">
        <f>IFERROR(VLOOKUP(Table1722[[#This Row],[Bukti]],Table13[#Data],11,FALSE),"")</f>
        <v/>
      </c>
    </row>
    <row r="1066" spans="1:9" ht="19.5" hidden="1" customHeight="1" x14ac:dyDescent="0.2">
      <c r="A1066" s="105" t="str">
        <f>IF(D1066=1,COUNTIF($D$10:D1066,1)," ")</f>
        <v xml:space="preserve"> </v>
      </c>
      <c r="B1066" s="106">
        <f>COPY!AR1058</f>
        <v>0</v>
      </c>
      <c r="C1066" s="107">
        <f>COPY!AC1058</f>
        <v>0</v>
      </c>
      <c r="D1066" s="107" t="str">
        <f>IF(LEN(Table1722[[#This Row],[Uraian]])&gt;2,1," ")</f>
        <v xml:space="preserve"> </v>
      </c>
      <c r="E1066" s="113" t="str">
        <f>IF(Table1722[[#This Row],[Lawan Transaksi]]="CV AGUNG KARYA",COUNTIF($I$10:I1066,"CV AGUNG KARYA")," ")</f>
        <v xml:space="preserve"> </v>
      </c>
      <c r="F1066" s="107" t="str">
        <f>IF(LEN(Table1722[[#This Row],[Uraian]])&gt;2,TRIM(RIGHT(SUBSTITUTE(TRIM(C1066)," ",REPT(" ",255)),255))," ")</f>
        <v xml:space="preserve"> </v>
      </c>
      <c r="G1066" s="110">
        <f>COPY!Z1058</f>
        <v>0</v>
      </c>
      <c r="H1066" s="111" t="str">
        <f>IFERROR(VLOOKUP(Table1722[[#This Row],[Bukti]],'Un nOTA'!$A$4:$K$5003,10,FALSE),"")</f>
        <v/>
      </c>
      <c r="I1066" s="112" t="str">
        <f>IFERROR(VLOOKUP(Table1722[[#This Row],[Bukti]],Table13[#Data],11,FALSE),"")</f>
        <v/>
      </c>
    </row>
    <row r="1067" spans="1:9" ht="19.5" hidden="1" customHeight="1" x14ac:dyDescent="0.2">
      <c r="A1067" s="105" t="str">
        <f>IF(D1067=1,COUNTIF($D$10:D1067,1)," ")</f>
        <v xml:space="preserve"> </v>
      </c>
      <c r="B1067" s="106">
        <f>COPY!AR1059</f>
        <v>0</v>
      </c>
      <c r="C1067" s="107">
        <f>COPY!AC1059</f>
        <v>0</v>
      </c>
      <c r="D1067" s="107" t="str">
        <f>IF(LEN(Table1722[[#This Row],[Uraian]])&gt;2,1," ")</f>
        <v xml:space="preserve"> </v>
      </c>
      <c r="E1067" s="113" t="str">
        <f>IF(Table1722[[#This Row],[Lawan Transaksi]]="CV AGUNG KARYA",COUNTIF($I$10:I1067,"CV AGUNG KARYA")," ")</f>
        <v xml:space="preserve"> </v>
      </c>
      <c r="F1067" s="107" t="str">
        <f>IF(LEN(Table1722[[#This Row],[Uraian]])&gt;2,TRIM(RIGHT(SUBSTITUTE(TRIM(C1067)," ",REPT(" ",255)),255))," ")</f>
        <v xml:space="preserve"> </v>
      </c>
      <c r="G1067" s="110">
        <f>COPY!Z1059</f>
        <v>0</v>
      </c>
      <c r="H1067" s="111" t="str">
        <f>IFERROR(VLOOKUP(Table1722[[#This Row],[Bukti]],'Un nOTA'!$A$4:$K$5003,10,FALSE),"")</f>
        <v/>
      </c>
      <c r="I1067" s="112" t="str">
        <f>IFERROR(VLOOKUP(Table1722[[#This Row],[Bukti]],Table13[#Data],11,FALSE),"")</f>
        <v/>
      </c>
    </row>
    <row r="1068" spans="1:9" ht="19.5" hidden="1" customHeight="1" x14ac:dyDescent="0.2">
      <c r="A1068" s="105" t="str">
        <f>IF(D1068=1,COUNTIF($D$10:D1068,1)," ")</f>
        <v xml:space="preserve"> </v>
      </c>
      <c r="B1068" s="106">
        <f>COPY!AR1060</f>
        <v>0</v>
      </c>
      <c r="C1068" s="107">
        <f>COPY!AC1060</f>
        <v>0</v>
      </c>
      <c r="D1068" s="107" t="str">
        <f>IF(LEN(Table1722[[#This Row],[Uraian]])&gt;2,1," ")</f>
        <v xml:space="preserve"> </v>
      </c>
      <c r="E1068" s="113" t="str">
        <f>IF(Table1722[[#This Row],[Lawan Transaksi]]="CV AGUNG KARYA",COUNTIF($I$10:I1068,"CV AGUNG KARYA")," ")</f>
        <v xml:space="preserve"> </v>
      </c>
      <c r="F1068" s="107" t="str">
        <f>IF(LEN(Table1722[[#This Row],[Uraian]])&gt;2,TRIM(RIGHT(SUBSTITUTE(TRIM(C1068)," ",REPT(" ",255)),255))," ")</f>
        <v xml:space="preserve"> </v>
      </c>
      <c r="G1068" s="110">
        <f>COPY!Z1060</f>
        <v>0</v>
      </c>
      <c r="H1068" s="111" t="str">
        <f>IFERROR(VLOOKUP(Table1722[[#This Row],[Bukti]],'Un nOTA'!$A$4:$K$5003,10,FALSE),"")</f>
        <v/>
      </c>
      <c r="I1068" s="112" t="str">
        <f>IFERROR(VLOOKUP(Table1722[[#This Row],[Bukti]],Table13[#Data],11,FALSE),"")</f>
        <v/>
      </c>
    </row>
    <row r="1069" spans="1:9" ht="19.5" hidden="1" customHeight="1" x14ac:dyDescent="0.2">
      <c r="A1069" s="105" t="str">
        <f>IF(D1069=1,COUNTIF($D$10:D1069,1)," ")</f>
        <v xml:space="preserve"> </v>
      </c>
      <c r="B1069" s="106">
        <f>COPY!AR1061</f>
        <v>0</v>
      </c>
      <c r="C1069" s="107">
        <f>COPY!AC1061</f>
        <v>0</v>
      </c>
      <c r="D1069" s="107" t="str">
        <f>IF(LEN(Table1722[[#This Row],[Uraian]])&gt;2,1," ")</f>
        <v xml:space="preserve"> </v>
      </c>
      <c r="E1069" s="113" t="str">
        <f>IF(Table1722[[#This Row],[Lawan Transaksi]]="CV AGUNG KARYA",COUNTIF($I$10:I1069,"CV AGUNG KARYA")," ")</f>
        <v xml:space="preserve"> </v>
      </c>
      <c r="F1069" s="107" t="str">
        <f>IF(LEN(Table1722[[#This Row],[Uraian]])&gt;2,TRIM(RIGHT(SUBSTITUTE(TRIM(C1069)," ",REPT(" ",255)),255))," ")</f>
        <v xml:space="preserve"> </v>
      </c>
      <c r="G1069" s="110">
        <f>COPY!Z1061</f>
        <v>0</v>
      </c>
      <c r="H1069" s="111" t="str">
        <f>IFERROR(VLOOKUP(Table1722[[#This Row],[Bukti]],'Un nOTA'!$A$4:$K$5003,10,FALSE),"")</f>
        <v/>
      </c>
      <c r="I1069" s="112" t="str">
        <f>IFERROR(VLOOKUP(Table1722[[#This Row],[Bukti]],Table13[#Data],11,FALSE),"")</f>
        <v/>
      </c>
    </row>
    <row r="1070" spans="1:9" ht="19.5" hidden="1" customHeight="1" x14ac:dyDescent="0.2">
      <c r="A1070" s="105" t="str">
        <f>IF(D1070=1,COUNTIF($D$10:D1070,1)," ")</f>
        <v xml:space="preserve"> </v>
      </c>
      <c r="B1070" s="106">
        <f>COPY!AR1062</f>
        <v>0</v>
      </c>
      <c r="C1070" s="107">
        <f>COPY!AC1062</f>
        <v>0</v>
      </c>
      <c r="D1070" s="107" t="str">
        <f>IF(LEN(Table1722[[#This Row],[Uraian]])&gt;2,1," ")</f>
        <v xml:space="preserve"> </v>
      </c>
      <c r="E1070" s="113" t="str">
        <f>IF(Table1722[[#This Row],[Lawan Transaksi]]="CV AGUNG KARYA",COUNTIF($I$10:I1070,"CV AGUNG KARYA")," ")</f>
        <v xml:space="preserve"> </v>
      </c>
      <c r="F1070" s="107" t="str">
        <f>IF(LEN(Table1722[[#This Row],[Uraian]])&gt;2,TRIM(RIGHT(SUBSTITUTE(TRIM(C1070)," ",REPT(" ",255)),255))," ")</f>
        <v xml:space="preserve"> </v>
      </c>
      <c r="G1070" s="110">
        <f>COPY!Z1062</f>
        <v>0</v>
      </c>
      <c r="H1070" s="111" t="str">
        <f>IFERROR(VLOOKUP(Table1722[[#This Row],[Bukti]],'Un nOTA'!$A$4:$K$5003,10,FALSE),"")</f>
        <v/>
      </c>
      <c r="I1070" s="112" t="str">
        <f>IFERROR(VLOOKUP(Table1722[[#This Row],[Bukti]],Table13[#Data],11,FALSE),"")</f>
        <v/>
      </c>
    </row>
    <row r="1071" spans="1:9" ht="19.5" hidden="1" customHeight="1" x14ac:dyDescent="0.2">
      <c r="A1071" s="105" t="str">
        <f>IF(D1071=1,COUNTIF($D$10:D1071,1)," ")</f>
        <v xml:space="preserve"> </v>
      </c>
      <c r="B1071" s="106">
        <f>COPY!AR1063</f>
        <v>0</v>
      </c>
      <c r="C1071" s="107">
        <f>COPY!AC1063</f>
        <v>0</v>
      </c>
      <c r="D1071" s="107" t="str">
        <f>IF(LEN(Table1722[[#This Row],[Uraian]])&gt;2,1," ")</f>
        <v xml:space="preserve"> </v>
      </c>
      <c r="E1071" s="113" t="str">
        <f>IF(Table1722[[#This Row],[Lawan Transaksi]]="CV AGUNG KARYA",COUNTIF($I$10:I1071,"CV AGUNG KARYA")," ")</f>
        <v xml:space="preserve"> </v>
      </c>
      <c r="F1071" s="107" t="str">
        <f>IF(LEN(Table1722[[#This Row],[Uraian]])&gt;2,TRIM(RIGHT(SUBSTITUTE(TRIM(C1071)," ",REPT(" ",255)),255))," ")</f>
        <v xml:space="preserve"> </v>
      </c>
      <c r="G1071" s="110">
        <f>COPY!Z1063</f>
        <v>0</v>
      </c>
      <c r="H1071" s="111" t="str">
        <f>IFERROR(VLOOKUP(Table1722[[#This Row],[Bukti]],'Un nOTA'!$A$4:$K$5003,10,FALSE),"")</f>
        <v/>
      </c>
      <c r="I1071" s="112" t="str">
        <f>IFERROR(VLOOKUP(Table1722[[#This Row],[Bukti]],Table13[#Data],11,FALSE),"")</f>
        <v/>
      </c>
    </row>
    <row r="1072" spans="1:9" ht="19.5" hidden="1" customHeight="1" x14ac:dyDescent="0.2">
      <c r="A1072" s="105" t="str">
        <f>IF(D1072=1,COUNTIF($D$10:D1072,1)," ")</f>
        <v xml:space="preserve"> </v>
      </c>
      <c r="B1072" s="106">
        <f>COPY!AR1064</f>
        <v>0</v>
      </c>
      <c r="C1072" s="107">
        <f>COPY!AC1064</f>
        <v>0</v>
      </c>
      <c r="D1072" s="107" t="str">
        <f>IF(LEN(Table1722[[#This Row],[Uraian]])&gt;2,1," ")</f>
        <v xml:space="preserve"> </v>
      </c>
      <c r="E1072" s="113" t="str">
        <f>IF(Table1722[[#This Row],[Lawan Transaksi]]="CV AGUNG KARYA",COUNTIF($I$10:I1072,"CV AGUNG KARYA")," ")</f>
        <v xml:space="preserve"> </v>
      </c>
      <c r="F1072" s="107" t="str">
        <f>IF(LEN(Table1722[[#This Row],[Uraian]])&gt;2,TRIM(RIGHT(SUBSTITUTE(TRIM(C1072)," ",REPT(" ",255)),255))," ")</f>
        <v xml:space="preserve"> </v>
      </c>
      <c r="G1072" s="110">
        <f>COPY!Z1064</f>
        <v>0</v>
      </c>
      <c r="H1072" s="111" t="str">
        <f>IFERROR(VLOOKUP(Table1722[[#This Row],[Bukti]],'Un nOTA'!$A$4:$K$5003,10,FALSE),"")</f>
        <v/>
      </c>
      <c r="I1072" s="112" t="str">
        <f>IFERROR(VLOOKUP(Table1722[[#This Row],[Bukti]],Table13[#Data],11,FALSE),"")</f>
        <v/>
      </c>
    </row>
    <row r="1073" spans="1:9" ht="19.5" hidden="1" customHeight="1" x14ac:dyDescent="0.2">
      <c r="A1073" s="105" t="str">
        <f>IF(D1073=1,COUNTIF($D$10:D1073,1)," ")</f>
        <v xml:space="preserve"> </v>
      </c>
      <c r="B1073" s="106">
        <f>COPY!AR1065</f>
        <v>0</v>
      </c>
      <c r="C1073" s="107">
        <f>COPY!AC1065</f>
        <v>0</v>
      </c>
      <c r="D1073" s="107" t="str">
        <f>IF(LEN(Table1722[[#This Row],[Uraian]])&gt;2,1," ")</f>
        <v xml:space="preserve"> </v>
      </c>
      <c r="E1073" s="113" t="str">
        <f>IF(Table1722[[#This Row],[Lawan Transaksi]]="CV AGUNG KARYA",COUNTIF($I$10:I1073,"CV AGUNG KARYA")," ")</f>
        <v xml:space="preserve"> </v>
      </c>
      <c r="F1073" s="107" t="str">
        <f>IF(LEN(Table1722[[#This Row],[Uraian]])&gt;2,TRIM(RIGHT(SUBSTITUTE(TRIM(C1073)," ",REPT(" ",255)),255))," ")</f>
        <v xml:space="preserve"> </v>
      </c>
      <c r="G1073" s="110">
        <f>COPY!Z1065</f>
        <v>0</v>
      </c>
      <c r="H1073" s="111" t="str">
        <f>IFERROR(VLOOKUP(Table1722[[#This Row],[Bukti]],'Un nOTA'!$A$4:$K$5003,10,FALSE),"")</f>
        <v/>
      </c>
      <c r="I1073" s="112" t="str">
        <f>IFERROR(VLOOKUP(Table1722[[#This Row],[Bukti]],Table13[#Data],11,FALSE),"")</f>
        <v/>
      </c>
    </row>
    <row r="1074" spans="1:9" ht="19.5" hidden="1" customHeight="1" x14ac:dyDescent="0.2">
      <c r="A1074" s="105" t="str">
        <f>IF(D1074=1,COUNTIF($D$10:D1074,1)," ")</f>
        <v xml:space="preserve"> </v>
      </c>
      <c r="B1074" s="106">
        <f>COPY!AR1066</f>
        <v>0</v>
      </c>
      <c r="C1074" s="107">
        <f>COPY!AC1066</f>
        <v>0</v>
      </c>
      <c r="D1074" s="107" t="str">
        <f>IF(LEN(Table1722[[#This Row],[Uraian]])&gt;2,1," ")</f>
        <v xml:space="preserve"> </v>
      </c>
      <c r="E1074" s="113" t="str">
        <f>IF(Table1722[[#This Row],[Lawan Transaksi]]="CV AGUNG KARYA",COUNTIF($I$10:I1074,"CV AGUNG KARYA")," ")</f>
        <v xml:space="preserve"> </v>
      </c>
      <c r="F1074" s="107" t="str">
        <f>IF(LEN(Table1722[[#This Row],[Uraian]])&gt;2,TRIM(RIGHT(SUBSTITUTE(TRIM(C1074)," ",REPT(" ",255)),255))," ")</f>
        <v xml:space="preserve"> </v>
      </c>
      <c r="G1074" s="110">
        <f>COPY!Z1066</f>
        <v>0</v>
      </c>
      <c r="H1074" s="111" t="str">
        <f>IFERROR(VLOOKUP(Table1722[[#This Row],[Bukti]],'Un nOTA'!$A$4:$K$5003,10,FALSE),"")</f>
        <v/>
      </c>
      <c r="I1074" s="112" t="str">
        <f>IFERROR(VLOOKUP(Table1722[[#This Row],[Bukti]],Table13[#Data],11,FALSE),"")</f>
        <v/>
      </c>
    </row>
    <row r="1075" spans="1:9" ht="19.5" hidden="1" customHeight="1" x14ac:dyDescent="0.2">
      <c r="A1075" s="105" t="str">
        <f>IF(D1075=1,COUNTIF($D$10:D1075,1)," ")</f>
        <v xml:space="preserve"> </v>
      </c>
      <c r="B1075" s="106">
        <f>COPY!AR1067</f>
        <v>0</v>
      </c>
      <c r="C1075" s="107">
        <f>COPY!AC1067</f>
        <v>0</v>
      </c>
      <c r="D1075" s="107" t="str">
        <f>IF(LEN(Table1722[[#This Row],[Uraian]])&gt;2,1," ")</f>
        <v xml:space="preserve"> </v>
      </c>
      <c r="E1075" s="113" t="str">
        <f>IF(Table1722[[#This Row],[Lawan Transaksi]]="CV AGUNG KARYA",COUNTIF($I$10:I1075,"CV AGUNG KARYA")," ")</f>
        <v xml:space="preserve"> </v>
      </c>
      <c r="F1075" s="107" t="str">
        <f>IF(LEN(Table1722[[#This Row],[Uraian]])&gt;2,TRIM(RIGHT(SUBSTITUTE(TRIM(C1075)," ",REPT(" ",255)),255))," ")</f>
        <v xml:space="preserve"> </v>
      </c>
      <c r="G1075" s="110">
        <f>COPY!Z1067</f>
        <v>0</v>
      </c>
      <c r="H1075" s="111" t="str">
        <f>IFERROR(VLOOKUP(Table1722[[#This Row],[Bukti]],'Un nOTA'!$A$4:$K$5003,10,FALSE),"")</f>
        <v/>
      </c>
      <c r="I1075" s="112" t="str">
        <f>IFERROR(VLOOKUP(Table1722[[#This Row],[Bukti]],Table13[#Data],11,FALSE),"")</f>
        <v/>
      </c>
    </row>
    <row r="1076" spans="1:9" ht="19.5" hidden="1" customHeight="1" x14ac:dyDescent="0.2">
      <c r="A1076" s="105" t="str">
        <f>IF(D1076=1,COUNTIF($D$10:D1076,1)," ")</f>
        <v xml:space="preserve"> </v>
      </c>
      <c r="B1076" s="106">
        <f>COPY!AR1068</f>
        <v>0</v>
      </c>
      <c r="C1076" s="107">
        <f>COPY!AC1068</f>
        <v>0</v>
      </c>
      <c r="D1076" s="107" t="str">
        <f>IF(LEN(Table1722[[#This Row],[Uraian]])&gt;2,1," ")</f>
        <v xml:space="preserve"> </v>
      </c>
      <c r="E1076" s="113" t="str">
        <f>IF(Table1722[[#This Row],[Lawan Transaksi]]="CV AGUNG KARYA",COUNTIF($I$10:I1076,"CV AGUNG KARYA")," ")</f>
        <v xml:space="preserve"> </v>
      </c>
      <c r="F1076" s="107" t="str">
        <f>IF(LEN(Table1722[[#This Row],[Uraian]])&gt;2,TRIM(RIGHT(SUBSTITUTE(TRIM(C1076)," ",REPT(" ",255)),255))," ")</f>
        <v xml:space="preserve"> </v>
      </c>
      <c r="G1076" s="110">
        <f>COPY!Z1068</f>
        <v>0</v>
      </c>
      <c r="H1076" s="111" t="str">
        <f>IFERROR(VLOOKUP(Table1722[[#This Row],[Bukti]],'Un nOTA'!$A$4:$K$5003,10,FALSE),"")</f>
        <v/>
      </c>
      <c r="I1076" s="112" t="str">
        <f>IFERROR(VLOOKUP(Table1722[[#This Row],[Bukti]],Table13[#Data],11,FALSE),"")</f>
        <v/>
      </c>
    </row>
    <row r="1077" spans="1:9" ht="19.5" hidden="1" customHeight="1" x14ac:dyDescent="0.2">
      <c r="A1077" s="105" t="str">
        <f>IF(D1077=1,COUNTIF($D$10:D1077,1)," ")</f>
        <v xml:space="preserve"> </v>
      </c>
      <c r="B1077" s="106">
        <f>COPY!AR1069</f>
        <v>0</v>
      </c>
      <c r="C1077" s="107">
        <f>COPY!AC1069</f>
        <v>0</v>
      </c>
      <c r="D1077" s="107" t="str">
        <f>IF(LEN(Table1722[[#This Row],[Uraian]])&gt;2,1," ")</f>
        <v xml:space="preserve"> </v>
      </c>
      <c r="E1077" s="113" t="str">
        <f>IF(Table1722[[#This Row],[Lawan Transaksi]]="CV AGUNG KARYA",COUNTIF($I$10:I1077,"CV AGUNG KARYA")," ")</f>
        <v xml:space="preserve"> </v>
      </c>
      <c r="F1077" s="107" t="str">
        <f>IF(LEN(Table1722[[#This Row],[Uraian]])&gt;2,TRIM(RIGHT(SUBSTITUTE(TRIM(C1077)," ",REPT(" ",255)),255))," ")</f>
        <v xml:space="preserve"> </v>
      </c>
      <c r="G1077" s="110">
        <f>COPY!Z1069</f>
        <v>0</v>
      </c>
      <c r="H1077" s="111" t="str">
        <f>IFERROR(VLOOKUP(Table1722[[#This Row],[Bukti]],'Un nOTA'!$A$4:$K$5003,10,FALSE),"")</f>
        <v/>
      </c>
      <c r="I1077" s="112" t="str">
        <f>IFERROR(VLOOKUP(Table1722[[#This Row],[Bukti]],Table13[#Data],11,FALSE),"")</f>
        <v/>
      </c>
    </row>
    <row r="1078" spans="1:9" ht="19.5" hidden="1" customHeight="1" x14ac:dyDescent="0.2">
      <c r="A1078" s="105" t="str">
        <f>IF(D1078=1,COUNTIF($D$10:D1078,1)," ")</f>
        <v xml:space="preserve"> </v>
      </c>
      <c r="B1078" s="106">
        <f>COPY!AR1070</f>
        <v>0</v>
      </c>
      <c r="C1078" s="107">
        <f>COPY!AC1070</f>
        <v>0</v>
      </c>
      <c r="D1078" s="107" t="str">
        <f>IF(LEN(Table1722[[#This Row],[Uraian]])&gt;2,1," ")</f>
        <v xml:space="preserve"> </v>
      </c>
      <c r="E1078" s="113" t="str">
        <f>IF(Table1722[[#This Row],[Lawan Transaksi]]="CV AGUNG KARYA",COUNTIF($I$10:I1078,"CV AGUNG KARYA")," ")</f>
        <v xml:space="preserve"> </v>
      </c>
      <c r="F1078" s="107" t="str">
        <f>IF(LEN(Table1722[[#This Row],[Uraian]])&gt;2,TRIM(RIGHT(SUBSTITUTE(TRIM(C1078)," ",REPT(" ",255)),255))," ")</f>
        <v xml:space="preserve"> </v>
      </c>
      <c r="G1078" s="110">
        <f>COPY!Z1070</f>
        <v>0</v>
      </c>
      <c r="H1078" s="111" t="str">
        <f>IFERROR(VLOOKUP(Table1722[[#This Row],[Bukti]],'Un nOTA'!$A$4:$K$5003,10,FALSE),"")</f>
        <v/>
      </c>
      <c r="I1078" s="112" t="str">
        <f>IFERROR(VLOOKUP(Table1722[[#This Row],[Bukti]],Table13[#Data],11,FALSE),"")</f>
        <v/>
      </c>
    </row>
    <row r="1079" spans="1:9" ht="19.5" hidden="1" customHeight="1" x14ac:dyDescent="0.2">
      <c r="A1079" s="105" t="str">
        <f>IF(D1079=1,COUNTIF($D$10:D1079,1)," ")</f>
        <v xml:space="preserve"> </v>
      </c>
      <c r="B1079" s="106">
        <f>COPY!AR1071</f>
        <v>0</v>
      </c>
      <c r="C1079" s="107">
        <f>COPY!AC1071</f>
        <v>0</v>
      </c>
      <c r="D1079" s="107" t="str">
        <f>IF(LEN(Table1722[[#This Row],[Uraian]])&gt;2,1," ")</f>
        <v xml:space="preserve"> </v>
      </c>
      <c r="E1079" s="113" t="str">
        <f>IF(Table1722[[#This Row],[Lawan Transaksi]]="CV AGUNG KARYA",COUNTIF($I$10:I1079,"CV AGUNG KARYA")," ")</f>
        <v xml:space="preserve"> </v>
      </c>
      <c r="F1079" s="107" t="str">
        <f>IF(LEN(Table1722[[#This Row],[Uraian]])&gt;2,TRIM(RIGHT(SUBSTITUTE(TRIM(C1079)," ",REPT(" ",255)),255))," ")</f>
        <v xml:space="preserve"> </v>
      </c>
      <c r="G1079" s="110">
        <f>COPY!Z1071</f>
        <v>0</v>
      </c>
      <c r="H1079" s="111" t="str">
        <f>IFERROR(VLOOKUP(Table1722[[#This Row],[Bukti]],'Un nOTA'!$A$4:$K$5003,10,FALSE),"")</f>
        <v/>
      </c>
      <c r="I1079" s="112" t="str">
        <f>IFERROR(VLOOKUP(Table1722[[#This Row],[Bukti]],Table13[#Data],11,FALSE),"")</f>
        <v/>
      </c>
    </row>
    <row r="1080" spans="1:9" ht="19.5" hidden="1" customHeight="1" x14ac:dyDescent="0.2">
      <c r="A1080" s="105" t="str">
        <f>IF(D1080=1,COUNTIF($D$10:D1080,1)," ")</f>
        <v xml:space="preserve"> </v>
      </c>
      <c r="B1080" s="106">
        <f>COPY!AR1072</f>
        <v>0</v>
      </c>
      <c r="C1080" s="107">
        <f>COPY!AC1072</f>
        <v>0</v>
      </c>
      <c r="D1080" s="107" t="str">
        <f>IF(LEN(Table1722[[#This Row],[Uraian]])&gt;2,1," ")</f>
        <v xml:space="preserve"> </v>
      </c>
      <c r="E1080" s="113" t="str">
        <f>IF(Table1722[[#This Row],[Lawan Transaksi]]="CV AGUNG KARYA",COUNTIF($I$10:I1080,"CV AGUNG KARYA")," ")</f>
        <v xml:space="preserve"> </v>
      </c>
      <c r="F1080" s="107" t="str">
        <f>IF(LEN(Table1722[[#This Row],[Uraian]])&gt;2,TRIM(RIGHT(SUBSTITUTE(TRIM(C1080)," ",REPT(" ",255)),255))," ")</f>
        <v xml:space="preserve"> </v>
      </c>
      <c r="G1080" s="110">
        <f>COPY!Z1072</f>
        <v>0</v>
      </c>
      <c r="H1080" s="111" t="str">
        <f>IFERROR(VLOOKUP(Table1722[[#This Row],[Bukti]],'Un nOTA'!$A$4:$K$5003,10,FALSE),"")</f>
        <v/>
      </c>
      <c r="I1080" s="112" t="str">
        <f>IFERROR(VLOOKUP(Table1722[[#This Row],[Bukti]],Table13[#Data],11,FALSE),"")</f>
        <v/>
      </c>
    </row>
    <row r="1081" spans="1:9" ht="19.5" hidden="1" customHeight="1" x14ac:dyDescent="0.2">
      <c r="A1081" s="105" t="str">
        <f>IF(D1081=1,COUNTIF($D$10:D1081,1)," ")</f>
        <v xml:space="preserve"> </v>
      </c>
      <c r="B1081" s="106">
        <f>COPY!AR1073</f>
        <v>0</v>
      </c>
      <c r="C1081" s="107">
        <f>COPY!AC1073</f>
        <v>0</v>
      </c>
      <c r="D1081" s="107" t="str">
        <f>IF(LEN(Table1722[[#This Row],[Uraian]])&gt;2,1," ")</f>
        <v xml:space="preserve"> </v>
      </c>
      <c r="E1081" s="113" t="str">
        <f>IF(Table1722[[#This Row],[Lawan Transaksi]]="CV AGUNG KARYA",COUNTIF($I$10:I1081,"CV AGUNG KARYA")," ")</f>
        <v xml:space="preserve"> </v>
      </c>
      <c r="F1081" s="107" t="str">
        <f>IF(LEN(Table1722[[#This Row],[Uraian]])&gt;2,TRIM(RIGHT(SUBSTITUTE(TRIM(C1081)," ",REPT(" ",255)),255))," ")</f>
        <v xml:space="preserve"> </v>
      </c>
      <c r="G1081" s="110">
        <f>COPY!Z1073</f>
        <v>0</v>
      </c>
      <c r="H1081" s="111" t="str">
        <f>IFERROR(VLOOKUP(Table1722[[#This Row],[Bukti]],'Un nOTA'!$A$4:$K$5003,10,FALSE),"")</f>
        <v/>
      </c>
      <c r="I1081" s="112" t="str">
        <f>IFERROR(VLOOKUP(Table1722[[#This Row],[Bukti]],Table13[#Data],11,FALSE),"")</f>
        <v/>
      </c>
    </row>
    <row r="1082" spans="1:9" ht="19.5" hidden="1" customHeight="1" x14ac:dyDescent="0.2">
      <c r="A1082" s="105" t="str">
        <f>IF(D1082=1,COUNTIF($D$10:D1082,1)," ")</f>
        <v xml:space="preserve"> </v>
      </c>
      <c r="B1082" s="106">
        <f>COPY!AR1074</f>
        <v>0</v>
      </c>
      <c r="C1082" s="107">
        <f>COPY!AC1074</f>
        <v>0</v>
      </c>
      <c r="D1082" s="107" t="str">
        <f>IF(LEN(Table1722[[#This Row],[Uraian]])&gt;2,1," ")</f>
        <v xml:space="preserve"> </v>
      </c>
      <c r="E1082" s="113" t="str">
        <f>IF(Table1722[[#This Row],[Lawan Transaksi]]="CV AGUNG KARYA",COUNTIF($I$10:I1082,"CV AGUNG KARYA")," ")</f>
        <v xml:space="preserve"> </v>
      </c>
      <c r="F1082" s="107" t="str">
        <f>IF(LEN(Table1722[[#This Row],[Uraian]])&gt;2,TRIM(RIGHT(SUBSTITUTE(TRIM(C1082)," ",REPT(" ",255)),255))," ")</f>
        <v xml:space="preserve"> </v>
      </c>
      <c r="G1082" s="110">
        <f>COPY!Z1074</f>
        <v>0</v>
      </c>
      <c r="H1082" s="111" t="str">
        <f>IFERROR(VLOOKUP(Table1722[[#This Row],[Bukti]],'Un nOTA'!$A$4:$K$5003,10,FALSE),"")</f>
        <v/>
      </c>
      <c r="I1082" s="112" t="str">
        <f>IFERROR(VLOOKUP(Table1722[[#This Row],[Bukti]],Table13[#Data],11,FALSE),"")</f>
        <v/>
      </c>
    </row>
    <row r="1083" spans="1:9" ht="19.5" hidden="1" customHeight="1" x14ac:dyDescent="0.2">
      <c r="A1083" s="105" t="str">
        <f>IF(D1083=1,COUNTIF($D$10:D1083,1)," ")</f>
        <v xml:space="preserve"> </v>
      </c>
      <c r="B1083" s="106">
        <f>COPY!AR1075</f>
        <v>0</v>
      </c>
      <c r="C1083" s="107">
        <f>COPY!AC1075</f>
        <v>0</v>
      </c>
      <c r="D1083" s="107" t="str">
        <f>IF(LEN(Table1722[[#This Row],[Uraian]])&gt;2,1," ")</f>
        <v xml:space="preserve"> </v>
      </c>
      <c r="E1083" s="113" t="str">
        <f>IF(Table1722[[#This Row],[Lawan Transaksi]]="CV AGUNG KARYA",COUNTIF($I$10:I1083,"CV AGUNG KARYA")," ")</f>
        <v xml:space="preserve"> </v>
      </c>
      <c r="F1083" s="107" t="str">
        <f>IF(LEN(Table1722[[#This Row],[Uraian]])&gt;2,TRIM(RIGHT(SUBSTITUTE(TRIM(C1083)," ",REPT(" ",255)),255))," ")</f>
        <v xml:space="preserve"> </v>
      </c>
      <c r="G1083" s="110">
        <f>COPY!Z1075</f>
        <v>0</v>
      </c>
      <c r="H1083" s="111" t="str">
        <f>IFERROR(VLOOKUP(Table1722[[#This Row],[Bukti]],'Un nOTA'!$A$4:$K$5003,10,FALSE),"")</f>
        <v/>
      </c>
      <c r="I1083" s="112" t="str">
        <f>IFERROR(VLOOKUP(Table1722[[#This Row],[Bukti]],Table13[#Data],11,FALSE),"")</f>
        <v/>
      </c>
    </row>
    <row r="1084" spans="1:9" ht="19.5" hidden="1" customHeight="1" x14ac:dyDescent="0.2">
      <c r="A1084" s="105" t="str">
        <f>IF(D1084=1,COUNTIF($D$10:D1084,1)," ")</f>
        <v xml:space="preserve"> </v>
      </c>
      <c r="B1084" s="106">
        <f>COPY!AR1076</f>
        <v>0</v>
      </c>
      <c r="C1084" s="107">
        <f>COPY!AC1076</f>
        <v>0</v>
      </c>
      <c r="D1084" s="107" t="str">
        <f>IF(LEN(Table1722[[#This Row],[Uraian]])&gt;2,1," ")</f>
        <v xml:space="preserve"> </v>
      </c>
      <c r="E1084" s="113" t="str">
        <f>IF(Table1722[[#This Row],[Lawan Transaksi]]="CV AGUNG KARYA",COUNTIF($I$10:I1084,"CV AGUNG KARYA")," ")</f>
        <v xml:space="preserve"> </v>
      </c>
      <c r="F1084" s="107" t="str">
        <f>IF(LEN(Table1722[[#This Row],[Uraian]])&gt;2,TRIM(RIGHT(SUBSTITUTE(TRIM(C1084)," ",REPT(" ",255)),255))," ")</f>
        <v xml:space="preserve"> </v>
      </c>
      <c r="G1084" s="110">
        <f>COPY!Z1076</f>
        <v>0</v>
      </c>
      <c r="H1084" s="111" t="str">
        <f>IFERROR(VLOOKUP(Table1722[[#This Row],[Bukti]],'Un nOTA'!$A$4:$K$5003,10,FALSE),"")</f>
        <v/>
      </c>
      <c r="I1084" s="112" t="str">
        <f>IFERROR(VLOOKUP(Table1722[[#This Row],[Bukti]],Table13[#Data],11,FALSE),"")</f>
        <v/>
      </c>
    </row>
    <row r="1085" spans="1:9" ht="19.5" hidden="1" customHeight="1" x14ac:dyDescent="0.2">
      <c r="A1085" s="105" t="str">
        <f>IF(D1085=1,COUNTIF($D$10:D1085,1)," ")</f>
        <v xml:space="preserve"> </v>
      </c>
      <c r="B1085" s="106">
        <f>COPY!AR1077</f>
        <v>0</v>
      </c>
      <c r="C1085" s="107">
        <f>COPY!AC1077</f>
        <v>0</v>
      </c>
      <c r="D1085" s="107" t="str">
        <f>IF(LEN(Table1722[[#This Row],[Uraian]])&gt;2,1," ")</f>
        <v xml:space="preserve"> </v>
      </c>
      <c r="E1085" s="113" t="str">
        <f>IF(Table1722[[#This Row],[Lawan Transaksi]]="CV AGUNG KARYA",COUNTIF($I$10:I1085,"CV AGUNG KARYA")," ")</f>
        <v xml:space="preserve"> </v>
      </c>
      <c r="F1085" s="107" t="str">
        <f>IF(LEN(Table1722[[#This Row],[Uraian]])&gt;2,TRIM(RIGHT(SUBSTITUTE(TRIM(C1085)," ",REPT(" ",255)),255))," ")</f>
        <v xml:space="preserve"> </v>
      </c>
      <c r="G1085" s="110">
        <f>COPY!Z1077</f>
        <v>0</v>
      </c>
      <c r="H1085" s="111" t="str">
        <f>IFERROR(VLOOKUP(Table1722[[#This Row],[Bukti]],'Un nOTA'!$A$4:$K$5003,10,FALSE),"")</f>
        <v/>
      </c>
      <c r="I1085" s="112" t="str">
        <f>IFERROR(VLOOKUP(Table1722[[#This Row],[Bukti]],Table13[#Data],11,FALSE),"")</f>
        <v/>
      </c>
    </row>
    <row r="1086" spans="1:9" ht="19.5" hidden="1" customHeight="1" x14ac:dyDescent="0.2">
      <c r="A1086" s="105" t="str">
        <f>IF(D1086=1,COUNTIF($D$10:D1086,1)," ")</f>
        <v xml:space="preserve"> </v>
      </c>
      <c r="B1086" s="106">
        <f>COPY!AR1078</f>
        <v>0</v>
      </c>
      <c r="C1086" s="107">
        <f>COPY!AC1078</f>
        <v>0</v>
      </c>
      <c r="D1086" s="107" t="str">
        <f>IF(LEN(Table1722[[#This Row],[Uraian]])&gt;2,1," ")</f>
        <v xml:space="preserve"> </v>
      </c>
      <c r="E1086" s="113" t="str">
        <f>IF(Table1722[[#This Row],[Lawan Transaksi]]="CV AGUNG KARYA",COUNTIF($I$10:I1086,"CV AGUNG KARYA")," ")</f>
        <v xml:space="preserve"> </v>
      </c>
      <c r="F1086" s="107" t="str">
        <f>IF(LEN(Table1722[[#This Row],[Uraian]])&gt;2,TRIM(RIGHT(SUBSTITUTE(TRIM(C1086)," ",REPT(" ",255)),255))," ")</f>
        <v xml:space="preserve"> </v>
      </c>
      <c r="G1086" s="110">
        <f>COPY!Z1078</f>
        <v>0</v>
      </c>
      <c r="H1086" s="111" t="str">
        <f>IFERROR(VLOOKUP(Table1722[[#This Row],[Bukti]],'Un nOTA'!$A$4:$K$5003,10,FALSE),"")</f>
        <v/>
      </c>
      <c r="I1086" s="112" t="str">
        <f>IFERROR(VLOOKUP(Table1722[[#This Row],[Bukti]],Table13[#Data],11,FALSE),"")</f>
        <v/>
      </c>
    </row>
    <row r="1087" spans="1:9" ht="19.5" hidden="1" customHeight="1" x14ac:dyDescent="0.2">
      <c r="A1087" s="105" t="str">
        <f>IF(D1087=1,COUNTIF($D$10:D1087,1)," ")</f>
        <v xml:space="preserve"> </v>
      </c>
      <c r="B1087" s="106">
        <f>COPY!AR1079</f>
        <v>0</v>
      </c>
      <c r="C1087" s="107">
        <f>COPY!AC1079</f>
        <v>0</v>
      </c>
      <c r="D1087" s="107" t="str">
        <f>IF(LEN(Table1722[[#This Row],[Uraian]])&gt;2,1," ")</f>
        <v xml:space="preserve"> </v>
      </c>
      <c r="E1087" s="113" t="str">
        <f>IF(Table1722[[#This Row],[Lawan Transaksi]]="CV AGUNG KARYA",COUNTIF($I$10:I1087,"CV AGUNG KARYA")," ")</f>
        <v xml:space="preserve"> </v>
      </c>
      <c r="F1087" s="107" t="str">
        <f>IF(LEN(Table1722[[#This Row],[Uraian]])&gt;2,TRIM(RIGHT(SUBSTITUTE(TRIM(C1087)," ",REPT(" ",255)),255))," ")</f>
        <v xml:space="preserve"> </v>
      </c>
      <c r="G1087" s="110">
        <f>COPY!Z1079</f>
        <v>0</v>
      </c>
      <c r="H1087" s="111" t="str">
        <f>IFERROR(VLOOKUP(Table1722[[#This Row],[Bukti]],'Un nOTA'!$A$4:$K$5003,10,FALSE),"")</f>
        <v/>
      </c>
      <c r="I1087" s="112" t="str">
        <f>IFERROR(VLOOKUP(Table1722[[#This Row],[Bukti]],Table13[#Data],11,FALSE),"")</f>
        <v/>
      </c>
    </row>
    <row r="1088" spans="1:9" ht="19.5" hidden="1" customHeight="1" x14ac:dyDescent="0.2">
      <c r="A1088" s="105" t="str">
        <f>IF(D1088=1,COUNTIF($D$10:D1088,1)," ")</f>
        <v xml:space="preserve"> </v>
      </c>
      <c r="B1088" s="106">
        <f>COPY!AR1080</f>
        <v>0</v>
      </c>
      <c r="C1088" s="107">
        <f>COPY!AC1080</f>
        <v>0</v>
      </c>
      <c r="D1088" s="107" t="str">
        <f>IF(LEN(Table1722[[#This Row],[Uraian]])&gt;2,1," ")</f>
        <v xml:space="preserve"> </v>
      </c>
      <c r="E1088" s="113" t="str">
        <f>IF(Table1722[[#This Row],[Lawan Transaksi]]="CV AGUNG KARYA",COUNTIF($I$10:I1088,"CV AGUNG KARYA")," ")</f>
        <v xml:space="preserve"> </v>
      </c>
      <c r="F1088" s="107" t="str">
        <f>IF(LEN(Table1722[[#This Row],[Uraian]])&gt;2,TRIM(RIGHT(SUBSTITUTE(TRIM(C1088)," ",REPT(" ",255)),255))," ")</f>
        <v xml:space="preserve"> </v>
      </c>
      <c r="G1088" s="110">
        <f>COPY!Z1080</f>
        <v>0</v>
      </c>
      <c r="H1088" s="111" t="str">
        <f>IFERROR(VLOOKUP(Table1722[[#This Row],[Bukti]],'Un nOTA'!$A$4:$K$5003,10,FALSE),"")</f>
        <v/>
      </c>
      <c r="I1088" s="112" t="str">
        <f>IFERROR(VLOOKUP(Table1722[[#This Row],[Bukti]],Table13[#Data],11,FALSE),"")</f>
        <v/>
      </c>
    </row>
    <row r="1089" spans="1:9" ht="19.5" hidden="1" customHeight="1" x14ac:dyDescent="0.2">
      <c r="A1089" s="105" t="str">
        <f>IF(D1089=1,COUNTIF($D$10:D1089,1)," ")</f>
        <v xml:space="preserve"> </v>
      </c>
      <c r="B1089" s="106">
        <f>COPY!AR1081</f>
        <v>0</v>
      </c>
      <c r="C1089" s="107">
        <f>COPY!AC1081</f>
        <v>0</v>
      </c>
      <c r="D1089" s="107" t="str">
        <f>IF(LEN(Table1722[[#This Row],[Uraian]])&gt;2,1," ")</f>
        <v xml:space="preserve"> </v>
      </c>
      <c r="E1089" s="113" t="str">
        <f>IF(Table1722[[#This Row],[Lawan Transaksi]]="CV AGUNG KARYA",COUNTIF($I$10:I1089,"CV AGUNG KARYA")," ")</f>
        <v xml:space="preserve"> </v>
      </c>
      <c r="F1089" s="107" t="str">
        <f>IF(LEN(Table1722[[#This Row],[Uraian]])&gt;2,TRIM(RIGHT(SUBSTITUTE(TRIM(C1089)," ",REPT(" ",255)),255))," ")</f>
        <v xml:space="preserve"> </v>
      </c>
      <c r="G1089" s="110">
        <f>COPY!Z1081</f>
        <v>0</v>
      </c>
      <c r="H1089" s="111" t="str">
        <f>IFERROR(VLOOKUP(Table1722[[#This Row],[Bukti]],'Un nOTA'!$A$4:$K$5003,10,FALSE),"")</f>
        <v/>
      </c>
      <c r="I1089" s="112" t="str">
        <f>IFERROR(VLOOKUP(Table1722[[#This Row],[Bukti]],Table13[#Data],11,FALSE),"")</f>
        <v/>
      </c>
    </row>
    <row r="1090" spans="1:9" ht="19.5" hidden="1" customHeight="1" x14ac:dyDescent="0.2">
      <c r="A1090" s="105" t="str">
        <f>IF(D1090=1,COUNTIF($D$10:D1090,1)," ")</f>
        <v xml:space="preserve"> </v>
      </c>
      <c r="B1090" s="106">
        <f>COPY!AR1082</f>
        <v>0</v>
      </c>
      <c r="C1090" s="107">
        <f>COPY!AC1082</f>
        <v>0</v>
      </c>
      <c r="D1090" s="107" t="str">
        <f>IF(LEN(Table1722[[#This Row],[Uraian]])&gt;2,1," ")</f>
        <v xml:space="preserve"> </v>
      </c>
      <c r="E1090" s="113" t="str">
        <f>IF(Table1722[[#This Row],[Lawan Transaksi]]="CV AGUNG KARYA",COUNTIF($I$10:I1090,"CV AGUNG KARYA")," ")</f>
        <v xml:space="preserve"> </v>
      </c>
      <c r="F1090" s="107" t="str">
        <f>IF(LEN(Table1722[[#This Row],[Uraian]])&gt;2,TRIM(RIGHT(SUBSTITUTE(TRIM(C1090)," ",REPT(" ",255)),255))," ")</f>
        <v xml:space="preserve"> </v>
      </c>
      <c r="G1090" s="110">
        <f>COPY!Z1082</f>
        <v>0</v>
      </c>
      <c r="H1090" s="111" t="str">
        <f>IFERROR(VLOOKUP(Table1722[[#This Row],[Bukti]],'Un nOTA'!$A$4:$K$5003,10,FALSE),"")</f>
        <v/>
      </c>
      <c r="I1090" s="112" t="str">
        <f>IFERROR(VLOOKUP(Table1722[[#This Row],[Bukti]],Table13[#Data],11,FALSE),"")</f>
        <v/>
      </c>
    </row>
    <row r="1091" spans="1:9" ht="19.5" hidden="1" customHeight="1" x14ac:dyDescent="0.2">
      <c r="A1091" s="105" t="str">
        <f>IF(D1091=1,COUNTIF($D$10:D1091,1)," ")</f>
        <v xml:space="preserve"> </v>
      </c>
      <c r="B1091" s="106">
        <f>COPY!AR1083</f>
        <v>0</v>
      </c>
      <c r="C1091" s="107">
        <f>COPY!AC1083</f>
        <v>0</v>
      </c>
      <c r="D1091" s="107" t="str">
        <f>IF(LEN(Table1722[[#This Row],[Uraian]])&gt;2,1," ")</f>
        <v xml:space="preserve"> </v>
      </c>
      <c r="E1091" s="113" t="str">
        <f>IF(Table1722[[#This Row],[Lawan Transaksi]]="CV AGUNG KARYA",COUNTIF($I$10:I1091,"CV AGUNG KARYA")," ")</f>
        <v xml:space="preserve"> </v>
      </c>
      <c r="F1091" s="107" t="str">
        <f>IF(LEN(Table1722[[#This Row],[Uraian]])&gt;2,TRIM(RIGHT(SUBSTITUTE(TRIM(C1091)," ",REPT(" ",255)),255))," ")</f>
        <v xml:space="preserve"> </v>
      </c>
      <c r="G1091" s="110">
        <f>COPY!Z1083</f>
        <v>0</v>
      </c>
      <c r="H1091" s="111" t="str">
        <f>IFERROR(VLOOKUP(Table1722[[#This Row],[Bukti]],'Un nOTA'!$A$4:$K$5003,10,FALSE),"")</f>
        <v/>
      </c>
      <c r="I1091" s="112" t="str">
        <f>IFERROR(VLOOKUP(Table1722[[#This Row],[Bukti]],Table13[#Data],11,FALSE),"")</f>
        <v/>
      </c>
    </row>
    <row r="1092" spans="1:9" ht="19.5" hidden="1" customHeight="1" x14ac:dyDescent="0.2">
      <c r="A1092" s="105" t="str">
        <f>IF(D1092=1,COUNTIF($D$10:D1092,1)," ")</f>
        <v xml:space="preserve"> </v>
      </c>
      <c r="B1092" s="106">
        <f>COPY!AR1084</f>
        <v>0</v>
      </c>
      <c r="C1092" s="107">
        <f>COPY!AC1084</f>
        <v>0</v>
      </c>
      <c r="D1092" s="107" t="str">
        <f>IF(LEN(Table1722[[#This Row],[Uraian]])&gt;2,1," ")</f>
        <v xml:space="preserve"> </v>
      </c>
      <c r="E1092" s="113" t="str">
        <f>IF(Table1722[[#This Row],[Lawan Transaksi]]="CV AGUNG KARYA",COUNTIF($I$10:I1092,"CV AGUNG KARYA")," ")</f>
        <v xml:space="preserve"> </v>
      </c>
      <c r="F1092" s="107" t="str">
        <f>IF(LEN(Table1722[[#This Row],[Uraian]])&gt;2,TRIM(RIGHT(SUBSTITUTE(TRIM(C1092)," ",REPT(" ",255)),255))," ")</f>
        <v xml:space="preserve"> </v>
      </c>
      <c r="G1092" s="110">
        <f>COPY!Z1084</f>
        <v>0</v>
      </c>
      <c r="H1092" s="111" t="str">
        <f>IFERROR(VLOOKUP(Table1722[[#This Row],[Bukti]],'Un nOTA'!$A$4:$K$5003,10,FALSE),"")</f>
        <v/>
      </c>
      <c r="I1092" s="112" t="str">
        <f>IFERROR(VLOOKUP(Table1722[[#This Row],[Bukti]],Table13[#Data],11,FALSE),"")</f>
        <v/>
      </c>
    </row>
    <row r="1093" spans="1:9" ht="19.5" hidden="1" customHeight="1" x14ac:dyDescent="0.2">
      <c r="A1093" s="105" t="str">
        <f>IF(D1093=1,COUNTIF($D$10:D1093,1)," ")</f>
        <v xml:space="preserve"> </v>
      </c>
      <c r="B1093" s="106">
        <f>COPY!AR1085</f>
        <v>0</v>
      </c>
      <c r="C1093" s="107">
        <f>COPY!AC1085</f>
        <v>0</v>
      </c>
      <c r="D1093" s="107" t="str">
        <f>IF(LEN(Table1722[[#This Row],[Uraian]])&gt;2,1," ")</f>
        <v xml:space="preserve"> </v>
      </c>
      <c r="E1093" s="113" t="str">
        <f>IF(Table1722[[#This Row],[Lawan Transaksi]]="CV AGUNG KARYA",COUNTIF($I$10:I1093,"CV AGUNG KARYA")," ")</f>
        <v xml:space="preserve"> </v>
      </c>
      <c r="F1093" s="107" t="str">
        <f>IF(LEN(Table1722[[#This Row],[Uraian]])&gt;2,TRIM(RIGHT(SUBSTITUTE(TRIM(C1093)," ",REPT(" ",255)),255))," ")</f>
        <v xml:space="preserve"> </v>
      </c>
      <c r="G1093" s="110">
        <f>COPY!Z1085</f>
        <v>0</v>
      </c>
      <c r="H1093" s="111" t="str">
        <f>IFERROR(VLOOKUP(Table1722[[#This Row],[Bukti]],'Un nOTA'!$A$4:$K$5003,10,FALSE),"")</f>
        <v/>
      </c>
      <c r="I1093" s="112" t="str">
        <f>IFERROR(VLOOKUP(Table1722[[#This Row],[Bukti]],Table13[#Data],11,FALSE),"")</f>
        <v/>
      </c>
    </row>
    <row r="1094" spans="1:9" ht="19.5" hidden="1" customHeight="1" x14ac:dyDescent="0.2">
      <c r="A1094" s="105" t="str">
        <f>IF(D1094=1,COUNTIF($D$10:D1094,1)," ")</f>
        <v xml:space="preserve"> </v>
      </c>
      <c r="B1094" s="106">
        <f>COPY!AR1086</f>
        <v>0</v>
      </c>
      <c r="C1094" s="107">
        <f>COPY!AC1086</f>
        <v>0</v>
      </c>
      <c r="D1094" s="107" t="str">
        <f>IF(LEN(Table1722[[#This Row],[Uraian]])&gt;2,1," ")</f>
        <v xml:space="preserve"> </v>
      </c>
      <c r="E1094" s="113" t="str">
        <f>IF(Table1722[[#This Row],[Lawan Transaksi]]="CV AGUNG KARYA",COUNTIF($I$10:I1094,"CV AGUNG KARYA")," ")</f>
        <v xml:space="preserve"> </v>
      </c>
      <c r="F1094" s="107" t="str">
        <f>IF(LEN(Table1722[[#This Row],[Uraian]])&gt;2,TRIM(RIGHT(SUBSTITUTE(TRIM(C1094)," ",REPT(" ",255)),255))," ")</f>
        <v xml:space="preserve"> </v>
      </c>
      <c r="G1094" s="110">
        <f>COPY!Z1086</f>
        <v>0</v>
      </c>
      <c r="H1094" s="111" t="str">
        <f>IFERROR(VLOOKUP(Table1722[[#This Row],[Bukti]],'Un nOTA'!$A$4:$K$5003,10,FALSE),"")</f>
        <v/>
      </c>
      <c r="I1094" s="112" t="str">
        <f>IFERROR(VLOOKUP(Table1722[[#This Row],[Bukti]],Table13[#Data],11,FALSE),"")</f>
        <v/>
      </c>
    </row>
    <row r="1095" spans="1:9" ht="19.5" hidden="1" customHeight="1" x14ac:dyDescent="0.2">
      <c r="A1095" s="105" t="str">
        <f>IF(D1095=1,COUNTIF($D$10:D1095,1)," ")</f>
        <v xml:space="preserve"> </v>
      </c>
      <c r="B1095" s="106">
        <f>COPY!AR1087</f>
        <v>0</v>
      </c>
      <c r="C1095" s="107">
        <f>COPY!AC1087</f>
        <v>0</v>
      </c>
      <c r="D1095" s="107" t="str">
        <f>IF(LEN(Table1722[[#This Row],[Uraian]])&gt;2,1," ")</f>
        <v xml:space="preserve"> </v>
      </c>
      <c r="E1095" s="113" t="str">
        <f>IF(Table1722[[#This Row],[Lawan Transaksi]]="CV AGUNG KARYA",COUNTIF($I$10:I1095,"CV AGUNG KARYA")," ")</f>
        <v xml:space="preserve"> </v>
      </c>
      <c r="F1095" s="107" t="str">
        <f>IF(LEN(Table1722[[#This Row],[Uraian]])&gt;2,TRIM(RIGHT(SUBSTITUTE(TRIM(C1095)," ",REPT(" ",255)),255))," ")</f>
        <v xml:space="preserve"> </v>
      </c>
      <c r="G1095" s="110">
        <f>COPY!Z1087</f>
        <v>0</v>
      </c>
      <c r="H1095" s="111" t="str">
        <f>IFERROR(VLOOKUP(Table1722[[#This Row],[Bukti]],'Un nOTA'!$A$4:$K$5003,10,FALSE),"")</f>
        <v/>
      </c>
      <c r="I1095" s="112" t="str">
        <f>IFERROR(VLOOKUP(Table1722[[#This Row],[Bukti]],Table13[#Data],11,FALSE),"")</f>
        <v/>
      </c>
    </row>
    <row r="1096" spans="1:9" ht="19.5" hidden="1" customHeight="1" x14ac:dyDescent="0.2">
      <c r="A1096" s="105" t="str">
        <f>IF(D1096=1,COUNTIF($D$10:D1096,1)," ")</f>
        <v xml:space="preserve"> </v>
      </c>
      <c r="B1096" s="106">
        <f>COPY!AR1088</f>
        <v>0</v>
      </c>
      <c r="C1096" s="107">
        <f>COPY!AC1088</f>
        <v>0</v>
      </c>
      <c r="D1096" s="107" t="str">
        <f>IF(LEN(Table1722[[#This Row],[Uraian]])&gt;2,1," ")</f>
        <v xml:space="preserve"> </v>
      </c>
      <c r="E1096" s="113" t="str">
        <f>IF(Table1722[[#This Row],[Lawan Transaksi]]="CV AGUNG KARYA",COUNTIF($I$10:I1096,"CV AGUNG KARYA")," ")</f>
        <v xml:space="preserve"> </v>
      </c>
      <c r="F1096" s="107" t="str">
        <f>IF(LEN(Table1722[[#This Row],[Uraian]])&gt;2,TRIM(RIGHT(SUBSTITUTE(TRIM(C1096)," ",REPT(" ",255)),255))," ")</f>
        <v xml:space="preserve"> </v>
      </c>
      <c r="G1096" s="110">
        <f>COPY!Z1088</f>
        <v>0</v>
      </c>
      <c r="H1096" s="111" t="str">
        <f>IFERROR(VLOOKUP(Table1722[[#This Row],[Bukti]],'Un nOTA'!$A$4:$K$5003,10,FALSE),"")</f>
        <v/>
      </c>
      <c r="I1096" s="112" t="str">
        <f>IFERROR(VLOOKUP(Table1722[[#This Row],[Bukti]],Table13[#Data],11,FALSE),"")</f>
        <v/>
      </c>
    </row>
    <row r="1097" spans="1:9" ht="19.5" hidden="1" customHeight="1" x14ac:dyDescent="0.2">
      <c r="A1097" s="105" t="str">
        <f>IF(D1097=1,COUNTIF($D$10:D1097,1)," ")</f>
        <v xml:space="preserve"> </v>
      </c>
      <c r="B1097" s="106">
        <f>COPY!AR1089</f>
        <v>0</v>
      </c>
      <c r="C1097" s="107">
        <f>COPY!AC1089</f>
        <v>0</v>
      </c>
      <c r="D1097" s="107" t="str">
        <f>IF(LEN(Table1722[[#This Row],[Uraian]])&gt;2,1," ")</f>
        <v xml:space="preserve"> </v>
      </c>
      <c r="E1097" s="113" t="str">
        <f>IF(Table1722[[#This Row],[Lawan Transaksi]]="CV AGUNG KARYA",COUNTIF($I$10:I1097,"CV AGUNG KARYA")," ")</f>
        <v xml:space="preserve"> </v>
      </c>
      <c r="F1097" s="107" t="str">
        <f>IF(LEN(Table1722[[#This Row],[Uraian]])&gt;2,TRIM(RIGHT(SUBSTITUTE(TRIM(C1097)," ",REPT(" ",255)),255))," ")</f>
        <v xml:space="preserve"> </v>
      </c>
      <c r="G1097" s="110">
        <f>COPY!Z1089</f>
        <v>0</v>
      </c>
      <c r="H1097" s="111" t="str">
        <f>IFERROR(VLOOKUP(Table1722[[#This Row],[Bukti]],'Un nOTA'!$A$4:$K$5003,10,FALSE),"")</f>
        <v/>
      </c>
      <c r="I1097" s="112" t="str">
        <f>IFERROR(VLOOKUP(Table1722[[#This Row],[Bukti]],Table13[#Data],11,FALSE),"")</f>
        <v/>
      </c>
    </row>
    <row r="1098" spans="1:9" ht="19.5" hidden="1" customHeight="1" x14ac:dyDescent="0.2">
      <c r="A1098" s="105" t="str">
        <f>IF(D1098=1,COUNTIF($D$10:D1098,1)," ")</f>
        <v xml:space="preserve"> </v>
      </c>
      <c r="B1098" s="106">
        <f>COPY!AR1090</f>
        <v>0</v>
      </c>
      <c r="C1098" s="107">
        <f>COPY!AC1090</f>
        <v>0</v>
      </c>
      <c r="D1098" s="107" t="str">
        <f>IF(LEN(Table1722[[#This Row],[Uraian]])&gt;2,1," ")</f>
        <v xml:space="preserve"> </v>
      </c>
      <c r="E1098" s="113" t="str">
        <f>IF(Table1722[[#This Row],[Lawan Transaksi]]="CV AGUNG KARYA",COUNTIF($I$10:I1098,"CV AGUNG KARYA")," ")</f>
        <v xml:space="preserve"> </v>
      </c>
      <c r="F1098" s="107" t="str">
        <f>IF(LEN(Table1722[[#This Row],[Uraian]])&gt;2,TRIM(RIGHT(SUBSTITUTE(TRIM(C1098)," ",REPT(" ",255)),255))," ")</f>
        <v xml:space="preserve"> </v>
      </c>
      <c r="G1098" s="110">
        <f>COPY!Z1090</f>
        <v>0</v>
      </c>
      <c r="H1098" s="111" t="str">
        <f>IFERROR(VLOOKUP(Table1722[[#This Row],[Bukti]],'Un nOTA'!$A$4:$K$5003,10,FALSE),"")</f>
        <v/>
      </c>
      <c r="I1098" s="112" t="str">
        <f>IFERROR(VLOOKUP(Table1722[[#This Row],[Bukti]],Table13[#Data],11,FALSE),"")</f>
        <v/>
      </c>
    </row>
    <row r="1099" spans="1:9" ht="19.5" hidden="1" customHeight="1" x14ac:dyDescent="0.2">
      <c r="A1099" s="105" t="str">
        <f>IF(D1099=1,COUNTIF($D$10:D1099,1)," ")</f>
        <v xml:space="preserve"> </v>
      </c>
      <c r="B1099" s="106">
        <f>COPY!AR1091</f>
        <v>0</v>
      </c>
      <c r="C1099" s="107">
        <f>COPY!AC1091</f>
        <v>0</v>
      </c>
      <c r="D1099" s="107" t="str">
        <f>IF(LEN(Table1722[[#This Row],[Uraian]])&gt;2,1," ")</f>
        <v xml:space="preserve"> </v>
      </c>
      <c r="E1099" s="113" t="str">
        <f>IF(Table1722[[#This Row],[Lawan Transaksi]]="CV AGUNG KARYA",COUNTIF($I$10:I1099,"CV AGUNG KARYA")," ")</f>
        <v xml:space="preserve"> </v>
      </c>
      <c r="F1099" s="107" t="str">
        <f>IF(LEN(Table1722[[#This Row],[Uraian]])&gt;2,TRIM(RIGHT(SUBSTITUTE(TRIM(C1099)," ",REPT(" ",255)),255))," ")</f>
        <v xml:space="preserve"> </v>
      </c>
      <c r="G1099" s="110">
        <f>COPY!Z1091</f>
        <v>0</v>
      </c>
      <c r="H1099" s="111" t="str">
        <f>IFERROR(VLOOKUP(Table1722[[#This Row],[Bukti]],'Un nOTA'!$A$4:$K$5003,10,FALSE),"")</f>
        <v/>
      </c>
      <c r="I1099" s="112" t="str">
        <f>IFERROR(VLOOKUP(Table1722[[#This Row],[Bukti]],Table13[#Data],11,FALSE),"")</f>
        <v/>
      </c>
    </row>
    <row r="1100" spans="1:9" ht="19.5" hidden="1" customHeight="1" x14ac:dyDescent="0.2">
      <c r="A1100" s="105" t="str">
        <f>IF(D1100=1,COUNTIF($D$10:D1100,1)," ")</f>
        <v xml:space="preserve"> </v>
      </c>
      <c r="B1100" s="106">
        <f>COPY!AR1092</f>
        <v>0</v>
      </c>
      <c r="C1100" s="107">
        <f>COPY!AC1092</f>
        <v>0</v>
      </c>
      <c r="D1100" s="107" t="str">
        <f>IF(LEN(Table1722[[#This Row],[Uraian]])&gt;2,1," ")</f>
        <v xml:space="preserve"> </v>
      </c>
      <c r="E1100" s="113" t="str">
        <f>IF(Table1722[[#This Row],[Lawan Transaksi]]="CV AGUNG KARYA",COUNTIF($I$10:I1100,"CV AGUNG KARYA")," ")</f>
        <v xml:space="preserve"> </v>
      </c>
      <c r="F1100" s="107" t="str">
        <f>IF(LEN(Table1722[[#This Row],[Uraian]])&gt;2,TRIM(RIGHT(SUBSTITUTE(TRIM(C1100)," ",REPT(" ",255)),255))," ")</f>
        <v xml:space="preserve"> </v>
      </c>
      <c r="G1100" s="110">
        <f>COPY!Z1092</f>
        <v>0</v>
      </c>
      <c r="H1100" s="111" t="str">
        <f>IFERROR(VLOOKUP(Table1722[[#This Row],[Bukti]],'Un nOTA'!$A$4:$K$5003,10,FALSE),"")</f>
        <v/>
      </c>
      <c r="I1100" s="112" t="str">
        <f>IFERROR(VLOOKUP(Table1722[[#This Row],[Bukti]],Table13[#Data],11,FALSE),"")</f>
        <v/>
      </c>
    </row>
    <row r="1101" spans="1:9" ht="19.5" hidden="1" customHeight="1" x14ac:dyDescent="0.2">
      <c r="A1101" s="105" t="str">
        <f>IF(D1101=1,COUNTIF($D$10:D1101,1)," ")</f>
        <v xml:space="preserve"> </v>
      </c>
      <c r="B1101" s="106">
        <f>COPY!AR1093</f>
        <v>0</v>
      </c>
      <c r="C1101" s="107">
        <f>COPY!AC1093</f>
        <v>0</v>
      </c>
      <c r="D1101" s="107" t="str">
        <f>IF(LEN(Table1722[[#This Row],[Uraian]])&gt;2,1," ")</f>
        <v xml:space="preserve"> </v>
      </c>
      <c r="E1101" s="113" t="str">
        <f>IF(Table1722[[#This Row],[Lawan Transaksi]]="CV AGUNG KARYA",COUNTIF($I$10:I1101,"CV AGUNG KARYA")," ")</f>
        <v xml:space="preserve"> </v>
      </c>
      <c r="F1101" s="107" t="str">
        <f>IF(LEN(Table1722[[#This Row],[Uraian]])&gt;2,TRIM(RIGHT(SUBSTITUTE(TRIM(C1101)," ",REPT(" ",255)),255))," ")</f>
        <v xml:space="preserve"> </v>
      </c>
      <c r="G1101" s="110">
        <f>COPY!Z1093</f>
        <v>0</v>
      </c>
      <c r="H1101" s="111" t="str">
        <f>IFERROR(VLOOKUP(Table1722[[#This Row],[Bukti]],'Un nOTA'!$A$4:$K$5003,10,FALSE),"")</f>
        <v/>
      </c>
      <c r="I1101" s="112" t="str">
        <f>IFERROR(VLOOKUP(Table1722[[#This Row],[Bukti]],Table13[#Data],11,FALSE),"")</f>
        <v/>
      </c>
    </row>
    <row r="1102" spans="1:9" ht="19.5" hidden="1" customHeight="1" x14ac:dyDescent="0.2">
      <c r="A1102" s="105" t="str">
        <f>IF(D1102=1,COUNTIF($D$10:D1102,1)," ")</f>
        <v xml:space="preserve"> </v>
      </c>
      <c r="B1102" s="106">
        <f>COPY!AR1094</f>
        <v>0</v>
      </c>
      <c r="C1102" s="107">
        <f>COPY!AC1094</f>
        <v>0</v>
      </c>
      <c r="D1102" s="107" t="str">
        <f>IF(LEN(Table1722[[#This Row],[Uraian]])&gt;2,1," ")</f>
        <v xml:space="preserve"> </v>
      </c>
      <c r="E1102" s="113" t="str">
        <f>IF(Table1722[[#This Row],[Lawan Transaksi]]="CV AGUNG KARYA",COUNTIF($I$10:I1102,"CV AGUNG KARYA")," ")</f>
        <v xml:space="preserve"> </v>
      </c>
      <c r="F1102" s="107" t="str">
        <f>IF(LEN(Table1722[[#This Row],[Uraian]])&gt;2,TRIM(RIGHT(SUBSTITUTE(TRIM(C1102)," ",REPT(" ",255)),255))," ")</f>
        <v xml:space="preserve"> </v>
      </c>
      <c r="G1102" s="110">
        <f>COPY!Z1094</f>
        <v>0</v>
      </c>
      <c r="H1102" s="111" t="str">
        <f>IFERROR(VLOOKUP(Table1722[[#This Row],[Bukti]],'Un nOTA'!$A$4:$K$5003,10,FALSE),"")</f>
        <v/>
      </c>
      <c r="I1102" s="112" t="str">
        <f>IFERROR(VLOOKUP(Table1722[[#This Row],[Bukti]],Table13[#Data],11,FALSE),"")</f>
        <v/>
      </c>
    </row>
    <row r="1103" spans="1:9" ht="19.5" hidden="1" customHeight="1" x14ac:dyDescent="0.2">
      <c r="A1103" s="105" t="str">
        <f>IF(D1103=1,COUNTIF($D$10:D1103,1)," ")</f>
        <v xml:space="preserve"> </v>
      </c>
      <c r="B1103" s="106">
        <f>COPY!AR1095</f>
        <v>0</v>
      </c>
      <c r="C1103" s="107">
        <f>COPY!AC1095</f>
        <v>0</v>
      </c>
      <c r="D1103" s="107" t="str">
        <f>IF(LEN(Table1722[[#This Row],[Uraian]])&gt;2,1," ")</f>
        <v xml:space="preserve"> </v>
      </c>
      <c r="E1103" s="113" t="str">
        <f>IF(Table1722[[#This Row],[Lawan Transaksi]]="CV AGUNG KARYA",COUNTIF($I$10:I1103,"CV AGUNG KARYA")," ")</f>
        <v xml:space="preserve"> </v>
      </c>
      <c r="F1103" s="107" t="str">
        <f>IF(LEN(Table1722[[#This Row],[Uraian]])&gt;2,TRIM(RIGHT(SUBSTITUTE(TRIM(C1103)," ",REPT(" ",255)),255))," ")</f>
        <v xml:space="preserve"> </v>
      </c>
      <c r="G1103" s="110">
        <f>COPY!Z1095</f>
        <v>0</v>
      </c>
      <c r="H1103" s="111" t="str">
        <f>IFERROR(VLOOKUP(Table1722[[#This Row],[Bukti]],'Un nOTA'!$A$4:$K$5003,10,FALSE),"")</f>
        <v/>
      </c>
      <c r="I1103" s="112" t="str">
        <f>IFERROR(VLOOKUP(Table1722[[#This Row],[Bukti]],Table13[#Data],11,FALSE),"")</f>
        <v/>
      </c>
    </row>
    <row r="1104" spans="1:9" ht="19.5" hidden="1" customHeight="1" x14ac:dyDescent="0.2">
      <c r="A1104" s="105" t="str">
        <f>IF(D1104=1,COUNTIF($D$10:D1104,1)," ")</f>
        <v xml:space="preserve"> </v>
      </c>
      <c r="B1104" s="106">
        <f>COPY!AR1096</f>
        <v>0</v>
      </c>
      <c r="C1104" s="107">
        <f>COPY!AC1096</f>
        <v>0</v>
      </c>
      <c r="D1104" s="107" t="str">
        <f>IF(LEN(Table1722[[#This Row],[Uraian]])&gt;2,1," ")</f>
        <v xml:space="preserve"> </v>
      </c>
      <c r="E1104" s="113" t="str">
        <f>IF(Table1722[[#This Row],[Lawan Transaksi]]="CV AGUNG KARYA",COUNTIF($I$10:I1104,"CV AGUNG KARYA")," ")</f>
        <v xml:space="preserve"> </v>
      </c>
      <c r="F1104" s="107" t="str">
        <f>IF(LEN(Table1722[[#This Row],[Uraian]])&gt;2,TRIM(RIGHT(SUBSTITUTE(TRIM(C1104)," ",REPT(" ",255)),255))," ")</f>
        <v xml:space="preserve"> </v>
      </c>
      <c r="G1104" s="110">
        <f>COPY!Z1096</f>
        <v>0</v>
      </c>
      <c r="H1104" s="111" t="str">
        <f>IFERROR(VLOOKUP(Table1722[[#This Row],[Bukti]],'Un nOTA'!$A$4:$K$5003,10,FALSE),"")</f>
        <v/>
      </c>
      <c r="I1104" s="112" t="str">
        <f>IFERROR(VLOOKUP(Table1722[[#This Row],[Bukti]],Table13[#Data],11,FALSE),"")</f>
        <v/>
      </c>
    </row>
    <row r="1105" spans="1:9" ht="19.5" hidden="1" customHeight="1" x14ac:dyDescent="0.2">
      <c r="A1105" s="105" t="str">
        <f>IF(D1105=1,COUNTIF($D$10:D1105,1)," ")</f>
        <v xml:space="preserve"> </v>
      </c>
      <c r="B1105" s="106">
        <f>COPY!AR1097</f>
        <v>0</v>
      </c>
      <c r="C1105" s="107">
        <f>COPY!AC1097</f>
        <v>0</v>
      </c>
      <c r="D1105" s="107" t="str">
        <f>IF(LEN(Table1722[[#This Row],[Uraian]])&gt;2,1," ")</f>
        <v xml:space="preserve"> </v>
      </c>
      <c r="E1105" s="113" t="str">
        <f>IF(Table1722[[#This Row],[Lawan Transaksi]]="CV AGUNG KARYA",COUNTIF($I$10:I1105,"CV AGUNG KARYA")," ")</f>
        <v xml:space="preserve"> </v>
      </c>
      <c r="F1105" s="107" t="str">
        <f>IF(LEN(Table1722[[#This Row],[Uraian]])&gt;2,TRIM(RIGHT(SUBSTITUTE(TRIM(C1105)," ",REPT(" ",255)),255))," ")</f>
        <v xml:space="preserve"> </v>
      </c>
      <c r="G1105" s="110">
        <f>COPY!Z1097</f>
        <v>0</v>
      </c>
      <c r="H1105" s="111" t="str">
        <f>IFERROR(VLOOKUP(Table1722[[#This Row],[Bukti]],'Un nOTA'!$A$4:$K$5003,10,FALSE),"")</f>
        <v/>
      </c>
      <c r="I1105" s="112" t="str">
        <f>IFERROR(VLOOKUP(Table1722[[#This Row],[Bukti]],Table13[#Data],11,FALSE),"")</f>
        <v/>
      </c>
    </row>
    <row r="1106" spans="1:9" ht="19.5" hidden="1" customHeight="1" x14ac:dyDescent="0.2">
      <c r="A1106" s="105" t="str">
        <f>IF(D1106=1,COUNTIF($D$10:D1106,1)," ")</f>
        <v xml:space="preserve"> </v>
      </c>
      <c r="B1106" s="106">
        <f>COPY!AR1098</f>
        <v>0</v>
      </c>
      <c r="C1106" s="107">
        <f>COPY!AC1098</f>
        <v>0</v>
      </c>
      <c r="D1106" s="107" t="str">
        <f>IF(LEN(Table1722[[#This Row],[Uraian]])&gt;2,1," ")</f>
        <v xml:space="preserve"> </v>
      </c>
      <c r="E1106" s="113" t="str">
        <f>IF(Table1722[[#This Row],[Lawan Transaksi]]="CV AGUNG KARYA",COUNTIF($I$10:I1106,"CV AGUNG KARYA")," ")</f>
        <v xml:space="preserve"> </v>
      </c>
      <c r="F1106" s="107" t="str">
        <f>IF(LEN(Table1722[[#This Row],[Uraian]])&gt;2,TRIM(RIGHT(SUBSTITUTE(TRIM(C1106)," ",REPT(" ",255)),255))," ")</f>
        <v xml:space="preserve"> </v>
      </c>
      <c r="G1106" s="110">
        <f>COPY!Z1098</f>
        <v>0</v>
      </c>
      <c r="H1106" s="111" t="str">
        <f>IFERROR(VLOOKUP(Table1722[[#This Row],[Bukti]],'Un nOTA'!$A$4:$K$5003,10,FALSE),"")</f>
        <v/>
      </c>
      <c r="I1106" s="112" t="str">
        <f>IFERROR(VLOOKUP(Table1722[[#This Row],[Bukti]],Table13[#Data],11,FALSE),"")</f>
        <v/>
      </c>
    </row>
    <row r="1107" spans="1:9" ht="19.5" hidden="1" customHeight="1" x14ac:dyDescent="0.2">
      <c r="A1107" s="105" t="str">
        <f>IF(D1107=1,COUNTIF($D$10:D1107,1)," ")</f>
        <v xml:space="preserve"> </v>
      </c>
      <c r="B1107" s="106">
        <f>COPY!AR1099</f>
        <v>0</v>
      </c>
      <c r="C1107" s="107">
        <f>COPY!AC1099</f>
        <v>0</v>
      </c>
      <c r="D1107" s="107" t="str">
        <f>IF(LEN(Table1722[[#This Row],[Uraian]])&gt;2,1," ")</f>
        <v xml:space="preserve"> </v>
      </c>
      <c r="E1107" s="113" t="str">
        <f>IF(Table1722[[#This Row],[Lawan Transaksi]]="CV AGUNG KARYA",COUNTIF($I$10:I1107,"CV AGUNG KARYA")," ")</f>
        <v xml:space="preserve"> </v>
      </c>
      <c r="F1107" s="107" t="str">
        <f>IF(LEN(Table1722[[#This Row],[Uraian]])&gt;2,TRIM(RIGHT(SUBSTITUTE(TRIM(C1107)," ",REPT(" ",255)),255))," ")</f>
        <v xml:space="preserve"> </v>
      </c>
      <c r="G1107" s="110">
        <f>COPY!Z1099</f>
        <v>0</v>
      </c>
      <c r="H1107" s="111" t="str">
        <f>IFERROR(VLOOKUP(Table1722[[#This Row],[Bukti]],'Un nOTA'!$A$4:$K$5003,10,FALSE),"")</f>
        <v/>
      </c>
      <c r="I1107" s="112" t="str">
        <f>IFERROR(VLOOKUP(Table1722[[#This Row],[Bukti]],Table13[#Data],11,FALSE),"")</f>
        <v/>
      </c>
    </row>
    <row r="1108" spans="1:9" ht="19.5" hidden="1" customHeight="1" x14ac:dyDescent="0.2">
      <c r="A1108" s="105" t="str">
        <f>IF(D1108=1,COUNTIF($D$10:D1108,1)," ")</f>
        <v xml:space="preserve"> </v>
      </c>
      <c r="B1108" s="106">
        <f>COPY!AR1100</f>
        <v>0</v>
      </c>
      <c r="C1108" s="107">
        <f>COPY!AC1100</f>
        <v>0</v>
      </c>
      <c r="D1108" s="107" t="str">
        <f>IF(LEN(Table1722[[#This Row],[Uraian]])&gt;2,1," ")</f>
        <v xml:space="preserve"> </v>
      </c>
      <c r="E1108" s="113" t="str">
        <f>IF(Table1722[[#This Row],[Lawan Transaksi]]="CV AGUNG KARYA",COUNTIF($I$10:I1108,"CV AGUNG KARYA")," ")</f>
        <v xml:space="preserve"> </v>
      </c>
      <c r="F1108" s="107" t="str">
        <f>IF(LEN(Table1722[[#This Row],[Uraian]])&gt;2,TRIM(RIGHT(SUBSTITUTE(TRIM(C1108)," ",REPT(" ",255)),255))," ")</f>
        <v xml:space="preserve"> </v>
      </c>
      <c r="G1108" s="110">
        <f>COPY!Z1100</f>
        <v>0</v>
      </c>
      <c r="H1108" s="111" t="str">
        <f>IFERROR(VLOOKUP(Table1722[[#This Row],[Bukti]],'Un nOTA'!$A$4:$K$5003,10,FALSE),"")</f>
        <v/>
      </c>
      <c r="I1108" s="112" t="str">
        <f>IFERROR(VLOOKUP(Table1722[[#This Row],[Bukti]],Table13[#Data],11,FALSE),"")</f>
        <v/>
      </c>
    </row>
    <row r="1109" spans="1:9" ht="19.5" hidden="1" customHeight="1" x14ac:dyDescent="0.2">
      <c r="A1109" s="105" t="str">
        <f>IF(D1109=1,COUNTIF($D$10:D1109,1)," ")</f>
        <v xml:space="preserve"> </v>
      </c>
      <c r="B1109" s="106">
        <f>COPY!AR1101</f>
        <v>0</v>
      </c>
      <c r="C1109" s="107">
        <f>COPY!AC1101</f>
        <v>0</v>
      </c>
      <c r="D1109" s="107" t="str">
        <f>IF(LEN(Table1722[[#This Row],[Uraian]])&gt;2,1," ")</f>
        <v xml:space="preserve"> </v>
      </c>
      <c r="E1109" s="113" t="str">
        <f>IF(Table1722[[#This Row],[Lawan Transaksi]]="CV AGUNG KARYA",COUNTIF($I$10:I1109,"CV AGUNG KARYA")," ")</f>
        <v xml:space="preserve"> </v>
      </c>
      <c r="F1109" s="107" t="str">
        <f>IF(LEN(Table1722[[#This Row],[Uraian]])&gt;2,TRIM(RIGHT(SUBSTITUTE(TRIM(C1109)," ",REPT(" ",255)),255))," ")</f>
        <v xml:space="preserve"> </v>
      </c>
      <c r="G1109" s="110">
        <f>COPY!Z1101</f>
        <v>0</v>
      </c>
      <c r="H1109" s="111" t="str">
        <f>IFERROR(VLOOKUP(Table1722[[#This Row],[Bukti]],'Un nOTA'!$A$4:$K$5003,10,FALSE),"")</f>
        <v/>
      </c>
      <c r="I1109" s="112" t="str">
        <f>IFERROR(VLOOKUP(Table1722[[#This Row],[Bukti]],Table13[#Data],11,FALSE),"")</f>
        <v/>
      </c>
    </row>
    <row r="1110" spans="1:9" ht="19.5" hidden="1" customHeight="1" x14ac:dyDescent="0.2">
      <c r="A1110" s="105" t="str">
        <f>IF(D1110=1,COUNTIF($D$10:D1110,1)," ")</f>
        <v xml:space="preserve"> </v>
      </c>
      <c r="B1110" s="106">
        <f>COPY!AR1102</f>
        <v>0</v>
      </c>
      <c r="C1110" s="107">
        <f>COPY!AC1102</f>
        <v>0</v>
      </c>
      <c r="D1110" s="107" t="str">
        <f>IF(LEN(Table1722[[#This Row],[Uraian]])&gt;2,1," ")</f>
        <v xml:space="preserve"> </v>
      </c>
      <c r="E1110" s="113" t="str">
        <f>IF(Table1722[[#This Row],[Lawan Transaksi]]="CV AGUNG KARYA",COUNTIF($I$10:I1110,"CV AGUNG KARYA")," ")</f>
        <v xml:space="preserve"> </v>
      </c>
      <c r="F1110" s="107" t="str">
        <f>IF(LEN(Table1722[[#This Row],[Uraian]])&gt;2,TRIM(RIGHT(SUBSTITUTE(TRIM(C1110)," ",REPT(" ",255)),255))," ")</f>
        <v xml:space="preserve"> </v>
      </c>
      <c r="G1110" s="110">
        <f>COPY!Z1102</f>
        <v>0</v>
      </c>
      <c r="H1110" s="111" t="str">
        <f>IFERROR(VLOOKUP(Table1722[[#This Row],[Bukti]],'Un nOTA'!$A$4:$K$5003,10,FALSE),"")</f>
        <v/>
      </c>
      <c r="I1110" s="112" t="str">
        <f>IFERROR(VLOOKUP(Table1722[[#This Row],[Bukti]],Table13[#Data],11,FALSE),"")</f>
        <v/>
      </c>
    </row>
    <row r="1111" spans="1:9" ht="19.5" hidden="1" customHeight="1" x14ac:dyDescent="0.2">
      <c r="A1111" s="105" t="str">
        <f>IF(D1111=1,COUNTIF($D$10:D1111,1)," ")</f>
        <v xml:space="preserve"> </v>
      </c>
      <c r="B1111" s="106">
        <f>COPY!AR1103</f>
        <v>0</v>
      </c>
      <c r="C1111" s="107">
        <f>COPY!AC1103</f>
        <v>0</v>
      </c>
      <c r="D1111" s="107" t="str">
        <f>IF(LEN(Table1722[[#This Row],[Uraian]])&gt;2,1," ")</f>
        <v xml:space="preserve"> </v>
      </c>
      <c r="E1111" s="113" t="str">
        <f>IF(Table1722[[#This Row],[Lawan Transaksi]]="CV AGUNG KARYA",COUNTIF($I$10:I1111,"CV AGUNG KARYA")," ")</f>
        <v xml:space="preserve"> </v>
      </c>
      <c r="F1111" s="107" t="str">
        <f>IF(LEN(Table1722[[#This Row],[Uraian]])&gt;2,TRIM(RIGHT(SUBSTITUTE(TRIM(C1111)," ",REPT(" ",255)),255))," ")</f>
        <v xml:space="preserve"> </v>
      </c>
      <c r="G1111" s="110">
        <f>COPY!Z1103</f>
        <v>0</v>
      </c>
      <c r="H1111" s="111" t="str">
        <f>IFERROR(VLOOKUP(Table1722[[#This Row],[Bukti]],'Un nOTA'!$A$4:$K$5003,10,FALSE),"")</f>
        <v/>
      </c>
      <c r="I1111" s="112" t="str">
        <f>IFERROR(VLOOKUP(Table1722[[#This Row],[Bukti]],Table13[#Data],11,FALSE),"")</f>
        <v/>
      </c>
    </row>
    <row r="1112" spans="1:9" ht="19.5" hidden="1" customHeight="1" x14ac:dyDescent="0.2">
      <c r="A1112" s="105" t="str">
        <f>IF(D1112=1,COUNTIF($D$10:D1112,1)," ")</f>
        <v xml:space="preserve"> </v>
      </c>
      <c r="B1112" s="106">
        <f>COPY!AR1104</f>
        <v>0</v>
      </c>
      <c r="C1112" s="107">
        <f>COPY!AC1104</f>
        <v>0</v>
      </c>
      <c r="D1112" s="107" t="str">
        <f>IF(LEN(Table1722[[#This Row],[Uraian]])&gt;2,1," ")</f>
        <v xml:space="preserve"> </v>
      </c>
      <c r="E1112" s="113" t="str">
        <f>IF(Table1722[[#This Row],[Lawan Transaksi]]="CV AGUNG KARYA",COUNTIF($I$10:I1112,"CV AGUNG KARYA")," ")</f>
        <v xml:space="preserve"> </v>
      </c>
      <c r="F1112" s="107" t="str">
        <f>IF(LEN(Table1722[[#This Row],[Uraian]])&gt;2,TRIM(RIGHT(SUBSTITUTE(TRIM(C1112)," ",REPT(" ",255)),255))," ")</f>
        <v xml:space="preserve"> </v>
      </c>
      <c r="G1112" s="110">
        <f>COPY!Z1104</f>
        <v>0</v>
      </c>
      <c r="H1112" s="111" t="str">
        <f>IFERROR(VLOOKUP(Table1722[[#This Row],[Bukti]],'Un nOTA'!$A$4:$K$5003,10,FALSE),"")</f>
        <v/>
      </c>
      <c r="I1112" s="112" t="str">
        <f>IFERROR(VLOOKUP(Table1722[[#This Row],[Bukti]],Table13[#Data],11,FALSE),"")</f>
        <v/>
      </c>
    </row>
    <row r="1113" spans="1:9" ht="19.5" hidden="1" customHeight="1" x14ac:dyDescent="0.2">
      <c r="A1113" s="105" t="str">
        <f>IF(D1113=1,COUNTIF($D$10:D1113,1)," ")</f>
        <v xml:space="preserve"> </v>
      </c>
      <c r="B1113" s="106">
        <f>COPY!AR1105</f>
        <v>0</v>
      </c>
      <c r="C1113" s="107">
        <f>COPY!AC1105</f>
        <v>0</v>
      </c>
      <c r="D1113" s="107" t="str">
        <f>IF(LEN(Table1722[[#This Row],[Uraian]])&gt;2,1," ")</f>
        <v xml:space="preserve"> </v>
      </c>
      <c r="E1113" s="113" t="str">
        <f>IF(Table1722[[#This Row],[Lawan Transaksi]]="CV AGUNG KARYA",COUNTIF($I$10:I1113,"CV AGUNG KARYA")," ")</f>
        <v xml:space="preserve"> </v>
      </c>
      <c r="F1113" s="107" t="str">
        <f>IF(LEN(Table1722[[#This Row],[Uraian]])&gt;2,TRIM(RIGHT(SUBSTITUTE(TRIM(C1113)," ",REPT(" ",255)),255))," ")</f>
        <v xml:space="preserve"> </v>
      </c>
      <c r="G1113" s="110">
        <f>COPY!Z1105</f>
        <v>0</v>
      </c>
      <c r="H1113" s="111" t="str">
        <f>IFERROR(VLOOKUP(Table1722[[#This Row],[Bukti]],'Un nOTA'!$A$4:$K$5003,10,FALSE),"")</f>
        <v/>
      </c>
      <c r="I1113" s="112" t="str">
        <f>IFERROR(VLOOKUP(Table1722[[#This Row],[Bukti]],Table13[#Data],11,FALSE),"")</f>
        <v/>
      </c>
    </row>
    <row r="1114" spans="1:9" ht="19.5" hidden="1" customHeight="1" x14ac:dyDescent="0.2">
      <c r="A1114" s="105" t="str">
        <f>IF(D1114=1,COUNTIF($D$10:D1114,1)," ")</f>
        <v xml:space="preserve"> </v>
      </c>
      <c r="B1114" s="106">
        <f>COPY!AR1106</f>
        <v>0</v>
      </c>
      <c r="C1114" s="107">
        <f>COPY!AC1106</f>
        <v>0</v>
      </c>
      <c r="D1114" s="107" t="str">
        <f>IF(LEN(Table1722[[#This Row],[Uraian]])&gt;2,1," ")</f>
        <v xml:space="preserve"> </v>
      </c>
      <c r="E1114" s="113" t="str">
        <f>IF(Table1722[[#This Row],[Lawan Transaksi]]="CV AGUNG KARYA",COUNTIF($I$10:I1114,"CV AGUNG KARYA")," ")</f>
        <v xml:space="preserve"> </v>
      </c>
      <c r="F1114" s="107" t="str">
        <f>IF(LEN(Table1722[[#This Row],[Uraian]])&gt;2,TRIM(RIGHT(SUBSTITUTE(TRIM(C1114)," ",REPT(" ",255)),255))," ")</f>
        <v xml:space="preserve"> </v>
      </c>
      <c r="G1114" s="110">
        <f>COPY!Z1106</f>
        <v>0</v>
      </c>
      <c r="H1114" s="111" t="str">
        <f>IFERROR(VLOOKUP(Table1722[[#This Row],[Bukti]],'Un nOTA'!$A$4:$K$5003,10,FALSE),"")</f>
        <v/>
      </c>
      <c r="I1114" s="112" t="str">
        <f>IFERROR(VLOOKUP(Table1722[[#This Row],[Bukti]],Table13[#Data],11,FALSE),"")</f>
        <v/>
      </c>
    </row>
    <row r="1115" spans="1:9" ht="19.5" hidden="1" customHeight="1" x14ac:dyDescent="0.2">
      <c r="A1115" s="105" t="str">
        <f>IF(D1115=1,COUNTIF($D$10:D1115,1)," ")</f>
        <v xml:space="preserve"> </v>
      </c>
      <c r="B1115" s="106">
        <f>COPY!AR1107</f>
        <v>0</v>
      </c>
      <c r="C1115" s="107">
        <f>COPY!AC1107</f>
        <v>0</v>
      </c>
      <c r="D1115" s="107" t="str">
        <f>IF(LEN(Table1722[[#This Row],[Uraian]])&gt;2,1," ")</f>
        <v xml:space="preserve"> </v>
      </c>
      <c r="E1115" s="113" t="str">
        <f>IF(Table1722[[#This Row],[Lawan Transaksi]]="CV AGUNG KARYA",COUNTIF($I$10:I1115,"CV AGUNG KARYA")," ")</f>
        <v xml:space="preserve"> </v>
      </c>
      <c r="F1115" s="107" t="str">
        <f>IF(LEN(Table1722[[#This Row],[Uraian]])&gt;2,TRIM(RIGHT(SUBSTITUTE(TRIM(C1115)," ",REPT(" ",255)),255))," ")</f>
        <v xml:space="preserve"> </v>
      </c>
      <c r="G1115" s="110">
        <f>COPY!Z1107</f>
        <v>0</v>
      </c>
      <c r="H1115" s="111" t="str">
        <f>IFERROR(VLOOKUP(Table1722[[#This Row],[Bukti]],'Un nOTA'!$A$4:$K$5003,10,FALSE),"")</f>
        <v/>
      </c>
      <c r="I1115" s="112" t="str">
        <f>IFERROR(VLOOKUP(Table1722[[#This Row],[Bukti]],Table13[#Data],11,FALSE),"")</f>
        <v/>
      </c>
    </row>
    <row r="1116" spans="1:9" ht="19.5" hidden="1" customHeight="1" x14ac:dyDescent="0.2">
      <c r="A1116" s="105" t="str">
        <f>IF(D1116=1,COUNTIF($D$10:D1116,1)," ")</f>
        <v xml:space="preserve"> </v>
      </c>
      <c r="B1116" s="106">
        <f>COPY!AR1108</f>
        <v>0</v>
      </c>
      <c r="C1116" s="107">
        <f>COPY!AC1108</f>
        <v>0</v>
      </c>
      <c r="D1116" s="107" t="str">
        <f>IF(LEN(Table1722[[#This Row],[Uraian]])&gt;2,1," ")</f>
        <v xml:space="preserve"> </v>
      </c>
      <c r="E1116" s="113" t="str">
        <f>IF(Table1722[[#This Row],[Lawan Transaksi]]="CV AGUNG KARYA",COUNTIF($I$10:I1116,"CV AGUNG KARYA")," ")</f>
        <v xml:space="preserve"> </v>
      </c>
      <c r="F1116" s="107" t="str">
        <f>IF(LEN(Table1722[[#This Row],[Uraian]])&gt;2,TRIM(RIGHT(SUBSTITUTE(TRIM(C1116)," ",REPT(" ",255)),255))," ")</f>
        <v xml:space="preserve"> </v>
      </c>
      <c r="G1116" s="110">
        <f>COPY!Z1108</f>
        <v>0</v>
      </c>
      <c r="H1116" s="111" t="str">
        <f>IFERROR(VLOOKUP(Table1722[[#This Row],[Bukti]],'Un nOTA'!$A$4:$K$5003,10,FALSE),"")</f>
        <v/>
      </c>
      <c r="I1116" s="112" t="str">
        <f>IFERROR(VLOOKUP(Table1722[[#This Row],[Bukti]],Table13[#Data],11,FALSE),"")</f>
        <v/>
      </c>
    </row>
    <row r="1117" spans="1:9" ht="19.5" hidden="1" customHeight="1" x14ac:dyDescent="0.2">
      <c r="A1117" s="105" t="str">
        <f>IF(D1117=1,COUNTIF($D$10:D1117,1)," ")</f>
        <v xml:space="preserve"> </v>
      </c>
      <c r="B1117" s="106">
        <f>COPY!AR1109</f>
        <v>0</v>
      </c>
      <c r="C1117" s="107">
        <f>COPY!AC1109</f>
        <v>0</v>
      </c>
      <c r="D1117" s="107" t="str">
        <f>IF(LEN(Table1722[[#This Row],[Uraian]])&gt;2,1," ")</f>
        <v xml:space="preserve"> </v>
      </c>
      <c r="E1117" s="113" t="str">
        <f>IF(Table1722[[#This Row],[Lawan Transaksi]]="CV AGUNG KARYA",COUNTIF($I$10:I1117,"CV AGUNG KARYA")," ")</f>
        <v xml:space="preserve"> </v>
      </c>
      <c r="F1117" s="107" t="str">
        <f>IF(LEN(Table1722[[#This Row],[Uraian]])&gt;2,TRIM(RIGHT(SUBSTITUTE(TRIM(C1117)," ",REPT(" ",255)),255))," ")</f>
        <v xml:space="preserve"> </v>
      </c>
      <c r="G1117" s="110">
        <f>COPY!Z1109</f>
        <v>0</v>
      </c>
      <c r="H1117" s="111" t="str">
        <f>IFERROR(VLOOKUP(Table1722[[#This Row],[Bukti]],'Un nOTA'!$A$4:$K$5003,10,FALSE),"")</f>
        <v/>
      </c>
      <c r="I1117" s="112" t="str">
        <f>IFERROR(VLOOKUP(Table1722[[#This Row],[Bukti]],Table13[#Data],11,FALSE),"")</f>
        <v/>
      </c>
    </row>
    <row r="1118" spans="1:9" ht="19.5" hidden="1" customHeight="1" x14ac:dyDescent="0.2">
      <c r="A1118" s="105" t="str">
        <f>IF(D1118=1,COUNTIF($D$10:D1118,1)," ")</f>
        <v xml:space="preserve"> </v>
      </c>
      <c r="B1118" s="106">
        <f>COPY!AR1110</f>
        <v>0</v>
      </c>
      <c r="C1118" s="107">
        <f>COPY!AC1110</f>
        <v>0</v>
      </c>
      <c r="D1118" s="107" t="str">
        <f>IF(LEN(Table1722[[#This Row],[Uraian]])&gt;2,1," ")</f>
        <v xml:space="preserve"> </v>
      </c>
      <c r="E1118" s="113" t="str">
        <f>IF(Table1722[[#This Row],[Lawan Transaksi]]="CV AGUNG KARYA",COUNTIF($I$10:I1118,"CV AGUNG KARYA")," ")</f>
        <v xml:space="preserve"> </v>
      </c>
      <c r="F1118" s="107" t="str">
        <f>IF(LEN(Table1722[[#This Row],[Uraian]])&gt;2,TRIM(RIGHT(SUBSTITUTE(TRIM(C1118)," ",REPT(" ",255)),255))," ")</f>
        <v xml:space="preserve"> </v>
      </c>
      <c r="G1118" s="110">
        <f>COPY!Z1110</f>
        <v>0</v>
      </c>
      <c r="H1118" s="111" t="str">
        <f>IFERROR(VLOOKUP(Table1722[[#This Row],[Bukti]],'Un nOTA'!$A$4:$K$5003,10,FALSE),"")</f>
        <v/>
      </c>
      <c r="I1118" s="112" t="str">
        <f>IFERROR(VLOOKUP(Table1722[[#This Row],[Bukti]],Table13[#Data],11,FALSE),"")</f>
        <v/>
      </c>
    </row>
    <row r="1119" spans="1:9" ht="19.5" hidden="1" customHeight="1" x14ac:dyDescent="0.2">
      <c r="A1119" s="105" t="str">
        <f>IF(D1119=1,COUNTIF($D$10:D1119,1)," ")</f>
        <v xml:space="preserve"> </v>
      </c>
      <c r="B1119" s="106">
        <f>COPY!AR1111</f>
        <v>0</v>
      </c>
      <c r="C1119" s="107">
        <f>COPY!AC1111</f>
        <v>0</v>
      </c>
      <c r="D1119" s="107" t="str">
        <f>IF(LEN(Table1722[[#This Row],[Uraian]])&gt;2,1," ")</f>
        <v xml:space="preserve"> </v>
      </c>
      <c r="E1119" s="113" t="str">
        <f>IF(Table1722[[#This Row],[Lawan Transaksi]]="CV AGUNG KARYA",COUNTIF($I$10:I1119,"CV AGUNG KARYA")," ")</f>
        <v xml:space="preserve"> </v>
      </c>
      <c r="F1119" s="107" t="str">
        <f>IF(LEN(Table1722[[#This Row],[Uraian]])&gt;2,TRIM(RIGHT(SUBSTITUTE(TRIM(C1119)," ",REPT(" ",255)),255))," ")</f>
        <v xml:space="preserve"> </v>
      </c>
      <c r="G1119" s="110">
        <f>COPY!Z1111</f>
        <v>0</v>
      </c>
      <c r="H1119" s="111" t="str">
        <f>IFERROR(VLOOKUP(Table1722[[#This Row],[Bukti]],'Un nOTA'!$A$4:$K$5003,10,FALSE),"")</f>
        <v/>
      </c>
      <c r="I1119" s="112" t="str">
        <f>IFERROR(VLOOKUP(Table1722[[#This Row],[Bukti]],Table13[#Data],11,FALSE),"")</f>
        <v/>
      </c>
    </row>
    <row r="1120" spans="1:9" ht="19.5" hidden="1" customHeight="1" x14ac:dyDescent="0.2">
      <c r="A1120" s="105" t="str">
        <f>IF(D1120=1,COUNTIF($D$10:D1120,1)," ")</f>
        <v xml:space="preserve"> </v>
      </c>
      <c r="B1120" s="106">
        <f>COPY!AR1112</f>
        <v>0</v>
      </c>
      <c r="C1120" s="107">
        <f>COPY!AC1112</f>
        <v>0</v>
      </c>
      <c r="D1120" s="107" t="str">
        <f>IF(LEN(Table1722[[#This Row],[Uraian]])&gt;2,1," ")</f>
        <v xml:space="preserve"> </v>
      </c>
      <c r="E1120" s="113" t="str">
        <f>IF(Table1722[[#This Row],[Lawan Transaksi]]="CV AGUNG KARYA",COUNTIF($I$10:I1120,"CV AGUNG KARYA")," ")</f>
        <v xml:space="preserve"> </v>
      </c>
      <c r="F1120" s="107" t="str">
        <f>IF(LEN(Table1722[[#This Row],[Uraian]])&gt;2,TRIM(RIGHT(SUBSTITUTE(TRIM(C1120)," ",REPT(" ",255)),255))," ")</f>
        <v xml:space="preserve"> </v>
      </c>
      <c r="G1120" s="110">
        <f>COPY!Z1112</f>
        <v>0</v>
      </c>
      <c r="H1120" s="111" t="str">
        <f>IFERROR(VLOOKUP(Table1722[[#This Row],[Bukti]],'Un nOTA'!$A$4:$K$5003,10,FALSE),"")</f>
        <v/>
      </c>
      <c r="I1120" s="112" t="str">
        <f>IFERROR(VLOOKUP(Table1722[[#This Row],[Bukti]],Table13[#Data],11,FALSE),"")</f>
        <v/>
      </c>
    </row>
    <row r="1121" spans="1:9" ht="19.5" hidden="1" customHeight="1" x14ac:dyDescent="0.2">
      <c r="A1121" s="105" t="str">
        <f>IF(D1121=1,COUNTIF($D$10:D1121,1)," ")</f>
        <v xml:space="preserve"> </v>
      </c>
      <c r="B1121" s="106">
        <f>COPY!AR1113</f>
        <v>0</v>
      </c>
      <c r="C1121" s="107">
        <f>COPY!AC1113</f>
        <v>0</v>
      </c>
      <c r="D1121" s="107" t="str">
        <f>IF(LEN(Table1722[[#This Row],[Uraian]])&gt;2,1," ")</f>
        <v xml:space="preserve"> </v>
      </c>
      <c r="E1121" s="113" t="str">
        <f>IF(Table1722[[#This Row],[Lawan Transaksi]]="CV AGUNG KARYA",COUNTIF($I$10:I1121,"CV AGUNG KARYA")," ")</f>
        <v xml:space="preserve"> </v>
      </c>
      <c r="F1121" s="107" t="str">
        <f>IF(LEN(Table1722[[#This Row],[Uraian]])&gt;2,TRIM(RIGHT(SUBSTITUTE(TRIM(C1121)," ",REPT(" ",255)),255))," ")</f>
        <v xml:space="preserve"> </v>
      </c>
      <c r="G1121" s="110">
        <f>COPY!Z1113</f>
        <v>0</v>
      </c>
      <c r="H1121" s="111" t="str">
        <f>IFERROR(VLOOKUP(Table1722[[#This Row],[Bukti]],'Un nOTA'!$A$4:$K$5003,10,FALSE),"")</f>
        <v/>
      </c>
      <c r="I1121" s="112" t="str">
        <f>IFERROR(VLOOKUP(Table1722[[#This Row],[Bukti]],Table13[#Data],11,FALSE),"")</f>
        <v/>
      </c>
    </row>
    <row r="1122" spans="1:9" ht="19.5" hidden="1" customHeight="1" x14ac:dyDescent="0.2">
      <c r="A1122" s="105" t="str">
        <f>IF(D1122=1,COUNTIF($D$10:D1122,1)," ")</f>
        <v xml:space="preserve"> </v>
      </c>
      <c r="B1122" s="106">
        <f>COPY!AR1114</f>
        <v>0</v>
      </c>
      <c r="C1122" s="107">
        <f>COPY!AC1114</f>
        <v>0</v>
      </c>
      <c r="D1122" s="107" t="str">
        <f>IF(LEN(Table1722[[#This Row],[Uraian]])&gt;2,1," ")</f>
        <v xml:space="preserve"> </v>
      </c>
      <c r="E1122" s="113" t="str">
        <f>IF(Table1722[[#This Row],[Lawan Transaksi]]="CV AGUNG KARYA",COUNTIF($I$10:I1122,"CV AGUNG KARYA")," ")</f>
        <v xml:space="preserve"> </v>
      </c>
      <c r="F1122" s="107" t="str">
        <f>IF(LEN(Table1722[[#This Row],[Uraian]])&gt;2,TRIM(RIGHT(SUBSTITUTE(TRIM(C1122)," ",REPT(" ",255)),255))," ")</f>
        <v xml:space="preserve"> </v>
      </c>
      <c r="G1122" s="110">
        <f>COPY!Z1114</f>
        <v>0</v>
      </c>
      <c r="H1122" s="111" t="str">
        <f>IFERROR(VLOOKUP(Table1722[[#This Row],[Bukti]],'Un nOTA'!$A$4:$K$5003,10,FALSE),"")</f>
        <v/>
      </c>
      <c r="I1122" s="112" t="str">
        <f>IFERROR(VLOOKUP(Table1722[[#This Row],[Bukti]],Table13[#Data],11,FALSE),"")</f>
        <v/>
      </c>
    </row>
    <row r="1123" spans="1:9" ht="19.5" hidden="1" customHeight="1" x14ac:dyDescent="0.2">
      <c r="A1123" s="105" t="str">
        <f>IF(D1123=1,COUNTIF($D$10:D1123,1)," ")</f>
        <v xml:space="preserve"> </v>
      </c>
      <c r="B1123" s="106">
        <f>COPY!AR1115</f>
        <v>0</v>
      </c>
      <c r="C1123" s="107">
        <f>COPY!AC1115</f>
        <v>0</v>
      </c>
      <c r="D1123" s="107" t="str">
        <f>IF(LEN(Table1722[[#This Row],[Uraian]])&gt;2,1," ")</f>
        <v xml:space="preserve"> </v>
      </c>
      <c r="E1123" s="113" t="str">
        <f>IF(Table1722[[#This Row],[Lawan Transaksi]]="CV AGUNG KARYA",COUNTIF($I$10:I1123,"CV AGUNG KARYA")," ")</f>
        <v xml:space="preserve"> </v>
      </c>
      <c r="F1123" s="107" t="str">
        <f>IF(LEN(Table1722[[#This Row],[Uraian]])&gt;2,TRIM(RIGHT(SUBSTITUTE(TRIM(C1123)," ",REPT(" ",255)),255))," ")</f>
        <v xml:space="preserve"> </v>
      </c>
      <c r="G1123" s="110">
        <f>COPY!Z1115</f>
        <v>0</v>
      </c>
      <c r="H1123" s="111" t="str">
        <f>IFERROR(VLOOKUP(Table1722[[#This Row],[Bukti]],'Un nOTA'!$A$4:$K$5003,10,FALSE),"")</f>
        <v/>
      </c>
      <c r="I1123" s="112" t="str">
        <f>IFERROR(VLOOKUP(Table1722[[#This Row],[Bukti]],Table13[#Data],11,FALSE),"")</f>
        <v/>
      </c>
    </row>
    <row r="1124" spans="1:9" ht="19.5" hidden="1" customHeight="1" x14ac:dyDescent="0.2">
      <c r="A1124" s="105" t="str">
        <f>IF(D1124=1,COUNTIF($D$10:D1124,1)," ")</f>
        <v xml:space="preserve"> </v>
      </c>
      <c r="B1124" s="106">
        <f>COPY!AR1116</f>
        <v>0</v>
      </c>
      <c r="C1124" s="107">
        <f>COPY!AC1116</f>
        <v>0</v>
      </c>
      <c r="D1124" s="107" t="str">
        <f>IF(LEN(Table1722[[#This Row],[Uraian]])&gt;2,1," ")</f>
        <v xml:space="preserve"> </v>
      </c>
      <c r="E1124" s="113" t="str">
        <f>IF(Table1722[[#This Row],[Lawan Transaksi]]="CV AGUNG KARYA",COUNTIF($I$10:I1124,"CV AGUNG KARYA")," ")</f>
        <v xml:space="preserve"> </v>
      </c>
      <c r="F1124" s="107" t="str">
        <f>IF(LEN(Table1722[[#This Row],[Uraian]])&gt;2,TRIM(RIGHT(SUBSTITUTE(TRIM(C1124)," ",REPT(" ",255)),255))," ")</f>
        <v xml:space="preserve"> </v>
      </c>
      <c r="G1124" s="110">
        <f>COPY!Z1116</f>
        <v>0</v>
      </c>
      <c r="H1124" s="111" t="str">
        <f>IFERROR(VLOOKUP(Table1722[[#This Row],[Bukti]],'Un nOTA'!$A$4:$K$5003,10,FALSE),"")</f>
        <v/>
      </c>
      <c r="I1124" s="112" t="str">
        <f>IFERROR(VLOOKUP(Table1722[[#This Row],[Bukti]],Table13[#Data],11,FALSE),"")</f>
        <v/>
      </c>
    </row>
    <row r="1125" spans="1:9" ht="19.5" hidden="1" customHeight="1" x14ac:dyDescent="0.2">
      <c r="A1125" s="105" t="str">
        <f>IF(D1125=1,COUNTIF($D$10:D1125,1)," ")</f>
        <v xml:space="preserve"> </v>
      </c>
      <c r="B1125" s="106">
        <f>COPY!AR1117</f>
        <v>0</v>
      </c>
      <c r="C1125" s="107">
        <f>COPY!AC1117</f>
        <v>0</v>
      </c>
      <c r="D1125" s="107" t="str">
        <f>IF(LEN(Table1722[[#This Row],[Uraian]])&gt;2,1," ")</f>
        <v xml:space="preserve"> </v>
      </c>
      <c r="E1125" s="113" t="str">
        <f>IF(Table1722[[#This Row],[Lawan Transaksi]]="CV AGUNG KARYA",COUNTIF($I$10:I1125,"CV AGUNG KARYA")," ")</f>
        <v xml:space="preserve"> </v>
      </c>
      <c r="F1125" s="107" t="str">
        <f>IF(LEN(Table1722[[#This Row],[Uraian]])&gt;2,TRIM(RIGHT(SUBSTITUTE(TRIM(C1125)," ",REPT(" ",255)),255))," ")</f>
        <v xml:space="preserve"> </v>
      </c>
      <c r="G1125" s="110">
        <f>COPY!Z1117</f>
        <v>0</v>
      </c>
      <c r="H1125" s="111" t="str">
        <f>IFERROR(VLOOKUP(Table1722[[#This Row],[Bukti]],'Un nOTA'!$A$4:$K$5003,10,FALSE),"")</f>
        <v/>
      </c>
      <c r="I1125" s="112" t="str">
        <f>IFERROR(VLOOKUP(Table1722[[#This Row],[Bukti]],Table13[#Data],11,FALSE),"")</f>
        <v/>
      </c>
    </row>
    <row r="1126" spans="1:9" ht="19.5" hidden="1" customHeight="1" x14ac:dyDescent="0.2">
      <c r="A1126" s="105" t="str">
        <f>IF(D1126=1,COUNTIF($D$10:D1126,1)," ")</f>
        <v xml:space="preserve"> </v>
      </c>
      <c r="B1126" s="106">
        <f>COPY!AR1118</f>
        <v>0</v>
      </c>
      <c r="C1126" s="107">
        <f>COPY!AC1118</f>
        <v>0</v>
      </c>
      <c r="D1126" s="107" t="str">
        <f>IF(LEN(Table1722[[#This Row],[Uraian]])&gt;2,1," ")</f>
        <v xml:space="preserve"> </v>
      </c>
      <c r="E1126" s="113" t="str">
        <f>IF(Table1722[[#This Row],[Lawan Transaksi]]="CV AGUNG KARYA",COUNTIF($I$10:I1126,"CV AGUNG KARYA")," ")</f>
        <v xml:space="preserve"> </v>
      </c>
      <c r="F1126" s="107" t="str">
        <f>IF(LEN(Table1722[[#This Row],[Uraian]])&gt;2,TRIM(RIGHT(SUBSTITUTE(TRIM(C1126)," ",REPT(" ",255)),255))," ")</f>
        <v xml:space="preserve"> </v>
      </c>
      <c r="G1126" s="110">
        <f>COPY!Z1118</f>
        <v>0</v>
      </c>
      <c r="H1126" s="111" t="str">
        <f>IFERROR(VLOOKUP(Table1722[[#This Row],[Bukti]],'Un nOTA'!$A$4:$K$5003,10,FALSE),"")</f>
        <v/>
      </c>
      <c r="I1126" s="112" t="str">
        <f>IFERROR(VLOOKUP(Table1722[[#This Row],[Bukti]],Table13[#Data],11,FALSE),"")</f>
        <v/>
      </c>
    </row>
    <row r="1127" spans="1:9" ht="19.5" hidden="1" customHeight="1" x14ac:dyDescent="0.2">
      <c r="A1127" s="114" t="str">
        <f>IF(D1127=1,COUNTIF($D$10:D1127,1)," ")</f>
        <v xml:space="preserve"> </v>
      </c>
      <c r="B1127" s="115">
        <f>COPY!AR1119</f>
        <v>0</v>
      </c>
      <c r="C1127" s="116">
        <f>COPY!AC1119</f>
        <v>0</v>
      </c>
      <c r="D1127" s="107" t="str">
        <f>IF(LEN(Table1722[[#This Row],[Uraian]])&gt;2,1," ")</f>
        <v xml:space="preserve"> </v>
      </c>
      <c r="E1127" s="117" t="str">
        <f>IF(Table1722[[#This Row],[Lawan Transaksi]]="CV AGUNG KARYA",COUNTIF($I$10:I1127,"CV AGUNG KARYA")," ")</f>
        <v xml:space="preserve"> </v>
      </c>
      <c r="F1127" s="116" t="str">
        <f>IF(LEN(Table1722[[#This Row],[Uraian]])&gt;2,TRIM(RIGHT(SUBSTITUTE(TRIM(C1127)," ",REPT(" ",255)),255))," ")</f>
        <v xml:space="preserve"> </v>
      </c>
      <c r="G1127" s="118">
        <f>COPY!Z1119</f>
        <v>0</v>
      </c>
      <c r="H1127" s="119" t="str">
        <f>IFERROR(VLOOKUP(Table1722[[#This Row],[Bukti]],'Un nOTA'!$A$4:$K$5003,10,FALSE),"")</f>
        <v/>
      </c>
      <c r="I1127" s="112" t="str">
        <f>IFERROR(VLOOKUP(Table1722[[#This Row],[Bukti]],Table13[#Data],11,FALSE),"")</f>
        <v/>
      </c>
    </row>
    <row r="1128" spans="1:9" ht="19.5" hidden="1" customHeight="1" x14ac:dyDescent="0.2">
      <c r="A1128" s="105" t="str">
        <f>IF(D1128=1,COUNTIF($D$10:D1128,1)," ")</f>
        <v xml:space="preserve"> </v>
      </c>
      <c r="B1128" s="106">
        <f>COPY!AR1120</f>
        <v>0</v>
      </c>
      <c r="C1128" s="107">
        <f>COPY!AC1120</f>
        <v>0</v>
      </c>
      <c r="D1128" s="108" t="str">
        <f>IF(LEN(Table1722[[#This Row],[Uraian]])&gt;2,1," ")</f>
        <v xml:space="preserve"> </v>
      </c>
      <c r="E1128" s="109" t="str">
        <f>IF(Table1722[[#This Row],[Lawan Transaksi]]="CV AGUNG KARYA",COUNTIF($I$10:I1128,"CV AGUNG KARYA")," ")</f>
        <v xml:space="preserve"> </v>
      </c>
      <c r="F1128" s="107" t="str">
        <f>IF(LEN(Table1722[[#This Row],[Uraian]])&gt;2,TRIM(RIGHT(SUBSTITUTE(TRIM(C1128)," ",REPT(" ",255)),255))," ")</f>
        <v xml:space="preserve"> </v>
      </c>
      <c r="G1128" s="110">
        <f>COPY!Z1120</f>
        <v>0</v>
      </c>
      <c r="H1128" s="111" t="str">
        <f>IFERROR(VLOOKUP(Table1722[[#This Row],[Bukti]],'Un nOTA'!$A$4:$K$5003,10,FALSE),"")</f>
        <v/>
      </c>
      <c r="I1128" s="112" t="str">
        <f>IFERROR(VLOOKUP(Table1722[[#This Row],[Bukti]],Table13[#Data],11,FALSE),"")</f>
        <v/>
      </c>
    </row>
    <row r="1129" spans="1:9" ht="19.5" hidden="1" customHeight="1" x14ac:dyDescent="0.2">
      <c r="A1129" s="105" t="str">
        <f>IF(D1129=1,COUNTIF($D$10:D1129,1)," ")</f>
        <v xml:space="preserve"> </v>
      </c>
      <c r="B1129" s="106">
        <f>COPY!AR1121</f>
        <v>0</v>
      </c>
      <c r="C1129" s="107">
        <f>COPY!AC1121</f>
        <v>0</v>
      </c>
      <c r="D1129" s="108" t="str">
        <f>IF(LEN(Table1722[[#This Row],[Uraian]])&gt;2,1," ")</f>
        <v xml:space="preserve"> </v>
      </c>
      <c r="E1129" s="109" t="str">
        <f>IF(Table1722[[#This Row],[Lawan Transaksi]]="CV AGUNG KARYA",COUNTIF($I$10:I1129,"CV AGUNG KARYA")," ")</f>
        <v xml:space="preserve"> </v>
      </c>
      <c r="F1129" s="107" t="str">
        <f>IF(LEN(Table1722[[#This Row],[Uraian]])&gt;2,TRIM(RIGHT(SUBSTITUTE(TRIM(C1129)," ",REPT(" ",255)),255))," ")</f>
        <v xml:space="preserve"> </v>
      </c>
      <c r="G1129" s="110">
        <f>COPY!Z1121</f>
        <v>0</v>
      </c>
      <c r="H1129" s="111" t="str">
        <f>IFERROR(VLOOKUP(Table1722[[#This Row],[Bukti]],'Un nOTA'!$A$4:$K$5003,10,FALSE),"")</f>
        <v/>
      </c>
      <c r="I1129" s="112" t="str">
        <f>IFERROR(VLOOKUP(Table1722[[#This Row],[Bukti]],Table13[#Data],11,FALSE),"")</f>
        <v/>
      </c>
    </row>
    <row r="1130" spans="1:9" ht="19.5" hidden="1" customHeight="1" x14ac:dyDescent="0.2">
      <c r="A1130" s="105" t="str">
        <f>IF(D1130=1,COUNTIF($D$10:D1130,1)," ")</f>
        <v xml:space="preserve"> </v>
      </c>
      <c r="B1130" s="106">
        <f>COPY!AR1122</f>
        <v>0</v>
      </c>
      <c r="C1130" s="107">
        <f>COPY!AC1122</f>
        <v>0</v>
      </c>
      <c r="D1130" s="107" t="str">
        <f>IF(LEN(Table1722[[#This Row],[Uraian]])&gt;2,1," ")</f>
        <v xml:space="preserve"> </v>
      </c>
      <c r="E1130" s="113" t="str">
        <f>IF(Table1722[[#This Row],[Lawan Transaksi]]="CV AGUNG KARYA",COUNTIF($I$10:I1130,"CV AGUNG KARYA")," ")</f>
        <v xml:space="preserve"> </v>
      </c>
      <c r="F1130" s="107" t="str">
        <f>IF(LEN(Table1722[[#This Row],[Uraian]])&gt;2,TRIM(RIGHT(SUBSTITUTE(TRIM(C1130)," ",REPT(" ",255)),255))," ")</f>
        <v xml:space="preserve"> </v>
      </c>
      <c r="G1130" s="110">
        <f>COPY!Z1122</f>
        <v>0</v>
      </c>
      <c r="H1130" s="111" t="str">
        <f>IFERROR(VLOOKUP(Table1722[[#This Row],[Bukti]],'Un nOTA'!$A$4:$K$5003,10,FALSE),"")</f>
        <v/>
      </c>
      <c r="I1130" s="112" t="str">
        <f>IFERROR(VLOOKUP(Table1722[[#This Row],[Bukti]],Table13[#Data],11,FALSE),"")</f>
        <v/>
      </c>
    </row>
    <row r="1131" spans="1:9" ht="19.5" hidden="1" customHeight="1" x14ac:dyDescent="0.2">
      <c r="A1131" s="105" t="str">
        <f>IF(D1131=1,COUNTIF($D$10:D1131,1)," ")</f>
        <v xml:space="preserve"> </v>
      </c>
      <c r="B1131" s="106">
        <f>COPY!AR1123</f>
        <v>0</v>
      </c>
      <c r="C1131" s="107">
        <f>COPY!AC1123</f>
        <v>0</v>
      </c>
      <c r="D1131" s="107" t="str">
        <f>IF(LEN(Table1722[[#This Row],[Uraian]])&gt;2,1," ")</f>
        <v xml:space="preserve"> </v>
      </c>
      <c r="E1131" s="113" t="str">
        <f>IF(Table1722[[#This Row],[Lawan Transaksi]]="CV AGUNG KARYA",COUNTIF($I$10:I1131,"CV AGUNG KARYA")," ")</f>
        <v xml:space="preserve"> </v>
      </c>
      <c r="F1131" s="107" t="str">
        <f>IF(LEN(Table1722[[#This Row],[Uraian]])&gt;2,TRIM(RIGHT(SUBSTITUTE(TRIM(C1131)," ",REPT(" ",255)),255))," ")</f>
        <v xml:space="preserve"> </v>
      </c>
      <c r="G1131" s="110">
        <f>COPY!Z1123</f>
        <v>0</v>
      </c>
      <c r="H1131" s="111" t="str">
        <f>IFERROR(VLOOKUP(Table1722[[#This Row],[Bukti]],'Un nOTA'!$A$4:$K$5003,10,FALSE),"")</f>
        <v/>
      </c>
      <c r="I1131" s="112" t="str">
        <f>IFERROR(VLOOKUP(Table1722[[#This Row],[Bukti]],Table13[#Data],11,FALSE),"")</f>
        <v/>
      </c>
    </row>
    <row r="1132" spans="1:9" ht="19.5" hidden="1" customHeight="1" x14ac:dyDescent="0.2">
      <c r="A1132" s="105" t="str">
        <f>IF(D1132=1,COUNTIF($D$10:D1132,1)," ")</f>
        <v xml:space="preserve"> </v>
      </c>
      <c r="B1132" s="106">
        <f>COPY!AR1124</f>
        <v>0</v>
      </c>
      <c r="C1132" s="107">
        <f>COPY!AC1124</f>
        <v>0</v>
      </c>
      <c r="D1132" s="107" t="str">
        <f>IF(LEN(Table1722[[#This Row],[Uraian]])&gt;2,1," ")</f>
        <v xml:space="preserve"> </v>
      </c>
      <c r="E1132" s="113" t="str">
        <f>IF(Table1722[[#This Row],[Lawan Transaksi]]="CV AGUNG KARYA",COUNTIF($I$10:I1132,"CV AGUNG KARYA")," ")</f>
        <v xml:space="preserve"> </v>
      </c>
      <c r="F1132" s="107" t="str">
        <f>IF(LEN(Table1722[[#This Row],[Uraian]])&gt;2,TRIM(RIGHT(SUBSTITUTE(TRIM(C1132)," ",REPT(" ",255)),255))," ")</f>
        <v xml:space="preserve"> </v>
      </c>
      <c r="G1132" s="110">
        <f>COPY!Z1124</f>
        <v>0</v>
      </c>
      <c r="H1132" s="111" t="str">
        <f>IFERROR(VLOOKUP(Table1722[[#This Row],[Bukti]],'Un nOTA'!$A$4:$K$5003,10,FALSE),"")</f>
        <v/>
      </c>
      <c r="I1132" s="112" t="str">
        <f>IFERROR(VLOOKUP(Table1722[[#This Row],[Bukti]],Table13[#Data],11,FALSE),"")</f>
        <v/>
      </c>
    </row>
    <row r="1133" spans="1:9" ht="19.5" hidden="1" customHeight="1" x14ac:dyDescent="0.2">
      <c r="A1133" s="105" t="str">
        <f>IF(D1133=1,COUNTIF($D$10:D1133,1)," ")</f>
        <v xml:space="preserve"> </v>
      </c>
      <c r="B1133" s="106">
        <f>COPY!AR1125</f>
        <v>0</v>
      </c>
      <c r="C1133" s="107">
        <f>COPY!AC1125</f>
        <v>0</v>
      </c>
      <c r="D1133" s="107" t="str">
        <f>IF(LEN(Table1722[[#This Row],[Uraian]])&gt;2,1," ")</f>
        <v xml:space="preserve"> </v>
      </c>
      <c r="E1133" s="113" t="str">
        <f>IF(Table1722[[#This Row],[Lawan Transaksi]]="CV AGUNG KARYA",COUNTIF($I$10:I1133,"CV AGUNG KARYA")," ")</f>
        <v xml:space="preserve"> </v>
      </c>
      <c r="F1133" s="107" t="str">
        <f>IF(LEN(Table1722[[#This Row],[Uraian]])&gt;2,TRIM(RIGHT(SUBSTITUTE(TRIM(C1133)," ",REPT(" ",255)),255))," ")</f>
        <v xml:space="preserve"> </v>
      </c>
      <c r="G1133" s="110">
        <f>COPY!Z1125</f>
        <v>0</v>
      </c>
      <c r="H1133" s="111" t="str">
        <f>IFERROR(VLOOKUP(Table1722[[#This Row],[Bukti]],'Un nOTA'!$A$4:$K$5003,10,FALSE),"")</f>
        <v/>
      </c>
      <c r="I1133" s="112" t="str">
        <f>IFERROR(VLOOKUP(Table1722[[#This Row],[Bukti]],Table13[#Data],11,FALSE),"")</f>
        <v/>
      </c>
    </row>
    <row r="1134" spans="1:9" ht="19.5" hidden="1" customHeight="1" x14ac:dyDescent="0.2">
      <c r="A1134" s="105" t="str">
        <f>IF(D1134=1,COUNTIF($D$10:D1134,1)," ")</f>
        <v xml:space="preserve"> </v>
      </c>
      <c r="B1134" s="106">
        <f>COPY!AR1126</f>
        <v>0</v>
      </c>
      <c r="C1134" s="107">
        <f>COPY!AC1126</f>
        <v>0</v>
      </c>
      <c r="D1134" s="107" t="str">
        <f>IF(LEN(Table1722[[#This Row],[Uraian]])&gt;2,1," ")</f>
        <v xml:space="preserve"> </v>
      </c>
      <c r="E1134" s="113" t="str">
        <f>IF(Table1722[[#This Row],[Lawan Transaksi]]="CV AGUNG KARYA",COUNTIF($I$10:I1134,"CV AGUNG KARYA")," ")</f>
        <v xml:space="preserve"> </v>
      </c>
      <c r="F1134" s="107" t="str">
        <f>IF(LEN(Table1722[[#This Row],[Uraian]])&gt;2,TRIM(RIGHT(SUBSTITUTE(TRIM(C1134)," ",REPT(" ",255)),255))," ")</f>
        <v xml:space="preserve"> </v>
      </c>
      <c r="G1134" s="110">
        <f>COPY!Z1126</f>
        <v>0</v>
      </c>
      <c r="H1134" s="111" t="str">
        <f>IFERROR(VLOOKUP(Table1722[[#This Row],[Bukti]],'Un nOTA'!$A$4:$K$5003,10,FALSE),"")</f>
        <v/>
      </c>
      <c r="I1134" s="112" t="str">
        <f>IFERROR(VLOOKUP(Table1722[[#This Row],[Bukti]],Table13[#Data],11,FALSE),"")</f>
        <v/>
      </c>
    </row>
    <row r="1135" spans="1:9" ht="19.5" hidden="1" customHeight="1" x14ac:dyDescent="0.2">
      <c r="A1135" s="105" t="str">
        <f>IF(D1135=1,COUNTIF($D$10:D1135,1)," ")</f>
        <v xml:space="preserve"> </v>
      </c>
      <c r="B1135" s="106">
        <f>COPY!AR1127</f>
        <v>0</v>
      </c>
      <c r="C1135" s="107">
        <f>COPY!AC1127</f>
        <v>0</v>
      </c>
      <c r="D1135" s="107" t="str">
        <f>IF(LEN(Table1722[[#This Row],[Uraian]])&gt;2,1," ")</f>
        <v xml:space="preserve"> </v>
      </c>
      <c r="E1135" s="113" t="str">
        <f>IF(Table1722[[#This Row],[Lawan Transaksi]]="CV AGUNG KARYA",COUNTIF($I$10:I1135,"CV AGUNG KARYA")," ")</f>
        <v xml:space="preserve"> </v>
      </c>
      <c r="F1135" s="107" t="str">
        <f>IF(LEN(Table1722[[#This Row],[Uraian]])&gt;2,TRIM(RIGHT(SUBSTITUTE(TRIM(C1135)," ",REPT(" ",255)),255))," ")</f>
        <v xml:space="preserve"> </v>
      </c>
      <c r="G1135" s="110">
        <f>COPY!Z1127</f>
        <v>0</v>
      </c>
      <c r="H1135" s="111" t="str">
        <f>IFERROR(VLOOKUP(Table1722[[#This Row],[Bukti]],'Un nOTA'!$A$4:$K$5003,10,FALSE),"")</f>
        <v/>
      </c>
      <c r="I1135" s="112" t="str">
        <f>IFERROR(VLOOKUP(Table1722[[#This Row],[Bukti]],Table13[#Data],11,FALSE),"")</f>
        <v/>
      </c>
    </row>
    <row r="1136" spans="1:9" ht="19.5" hidden="1" customHeight="1" x14ac:dyDescent="0.2">
      <c r="A1136" s="105" t="str">
        <f>IF(D1136=1,COUNTIF($D$10:D1136,1)," ")</f>
        <v xml:space="preserve"> </v>
      </c>
      <c r="B1136" s="106">
        <f>COPY!AR1128</f>
        <v>0</v>
      </c>
      <c r="C1136" s="107">
        <f>COPY!AC1128</f>
        <v>0</v>
      </c>
      <c r="D1136" s="107" t="str">
        <f>IF(LEN(Table1722[[#This Row],[Uraian]])&gt;2,1," ")</f>
        <v xml:space="preserve"> </v>
      </c>
      <c r="E1136" s="113" t="str">
        <f>IF(Table1722[[#This Row],[Lawan Transaksi]]="CV AGUNG KARYA",COUNTIF($I$10:I1136,"CV AGUNG KARYA")," ")</f>
        <v xml:space="preserve"> </v>
      </c>
      <c r="F1136" s="107" t="str">
        <f>IF(LEN(Table1722[[#This Row],[Uraian]])&gt;2,TRIM(RIGHT(SUBSTITUTE(TRIM(C1136)," ",REPT(" ",255)),255))," ")</f>
        <v xml:space="preserve"> </v>
      </c>
      <c r="G1136" s="110">
        <f>COPY!Z1128</f>
        <v>0</v>
      </c>
      <c r="H1136" s="111" t="str">
        <f>IFERROR(VLOOKUP(Table1722[[#This Row],[Bukti]],'Un nOTA'!$A$4:$K$5003,10,FALSE),"")</f>
        <v/>
      </c>
      <c r="I1136" s="112" t="str">
        <f>IFERROR(VLOOKUP(Table1722[[#This Row],[Bukti]],Table13[#Data],11,FALSE),"")</f>
        <v/>
      </c>
    </row>
    <row r="1137" spans="1:9" ht="19.5" hidden="1" customHeight="1" x14ac:dyDescent="0.2">
      <c r="A1137" s="105" t="str">
        <f>IF(D1137=1,COUNTIF($D$10:D1137,1)," ")</f>
        <v xml:space="preserve"> </v>
      </c>
      <c r="B1137" s="106">
        <f>COPY!AR1129</f>
        <v>0</v>
      </c>
      <c r="C1137" s="107">
        <f>COPY!AC1129</f>
        <v>0</v>
      </c>
      <c r="D1137" s="107" t="str">
        <f>IF(LEN(Table1722[[#This Row],[Uraian]])&gt;2,1," ")</f>
        <v xml:space="preserve"> </v>
      </c>
      <c r="E1137" s="113" t="str">
        <f>IF(Table1722[[#This Row],[Lawan Transaksi]]="CV AGUNG KARYA",COUNTIF($I$10:I1137,"CV AGUNG KARYA")," ")</f>
        <v xml:space="preserve"> </v>
      </c>
      <c r="F1137" s="107" t="str">
        <f>IF(LEN(Table1722[[#This Row],[Uraian]])&gt;2,TRIM(RIGHT(SUBSTITUTE(TRIM(C1137)," ",REPT(" ",255)),255))," ")</f>
        <v xml:space="preserve"> </v>
      </c>
      <c r="G1137" s="110">
        <f>COPY!Z1129</f>
        <v>0</v>
      </c>
      <c r="H1137" s="111" t="str">
        <f>IFERROR(VLOOKUP(Table1722[[#This Row],[Bukti]],'Un nOTA'!$A$4:$K$5003,10,FALSE),"")</f>
        <v/>
      </c>
      <c r="I1137" s="112" t="str">
        <f>IFERROR(VLOOKUP(Table1722[[#This Row],[Bukti]],Table13[#Data],11,FALSE),"")</f>
        <v/>
      </c>
    </row>
    <row r="1138" spans="1:9" ht="19.5" hidden="1" customHeight="1" x14ac:dyDescent="0.2">
      <c r="A1138" s="105" t="str">
        <f>IF(D1138=1,COUNTIF($D$10:D1138,1)," ")</f>
        <v xml:space="preserve"> </v>
      </c>
      <c r="B1138" s="106">
        <f>COPY!AR1130</f>
        <v>0</v>
      </c>
      <c r="C1138" s="107">
        <f>COPY!AC1130</f>
        <v>0</v>
      </c>
      <c r="D1138" s="107" t="str">
        <f>IF(LEN(Table1722[[#This Row],[Uraian]])&gt;2,1," ")</f>
        <v xml:space="preserve"> </v>
      </c>
      <c r="E1138" s="113" t="str">
        <f>IF(Table1722[[#This Row],[Lawan Transaksi]]="CV AGUNG KARYA",COUNTIF($I$10:I1138,"CV AGUNG KARYA")," ")</f>
        <v xml:space="preserve"> </v>
      </c>
      <c r="F1138" s="107" t="str">
        <f>IF(LEN(Table1722[[#This Row],[Uraian]])&gt;2,TRIM(RIGHT(SUBSTITUTE(TRIM(C1138)," ",REPT(" ",255)),255))," ")</f>
        <v xml:space="preserve"> </v>
      </c>
      <c r="G1138" s="110">
        <f>COPY!Z1130</f>
        <v>0</v>
      </c>
      <c r="H1138" s="111" t="str">
        <f>IFERROR(VLOOKUP(Table1722[[#This Row],[Bukti]],'Un nOTA'!$A$4:$K$5003,10,FALSE),"")</f>
        <v/>
      </c>
      <c r="I1138" s="112" t="str">
        <f>IFERROR(VLOOKUP(Table1722[[#This Row],[Bukti]],Table13[#Data],11,FALSE),"")</f>
        <v/>
      </c>
    </row>
    <row r="1139" spans="1:9" ht="19.5" hidden="1" customHeight="1" x14ac:dyDescent="0.2">
      <c r="A1139" s="105" t="str">
        <f>IF(D1139=1,COUNTIF($D$10:D1139,1)," ")</f>
        <v xml:space="preserve"> </v>
      </c>
      <c r="B1139" s="106">
        <f>COPY!AR1131</f>
        <v>0</v>
      </c>
      <c r="C1139" s="107">
        <f>COPY!AC1131</f>
        <v>0</v>
      </c>
      <c r="D1139" s="107" t="str">
        <f>IF(LEN(Table1722[[#This Row],[Uraian]])&gt;2,1," ")</f>
        <v xml:space="preserve"> </v>
      </c>
      <c r="E1139" s="113" t="str">
        <f>IF(Table1722[[#This Row],[Lawan Transaksi]]="CV AGUNG KARYA",COUNTIF($I$10:I1139,"CV AGUNG KARYA")," ")</f>
        <v xml:space="preserve"> </v>
      </c>
      <c r="F1139" s="107" t="str">
        <f>IF(LEN(Table1722[[#This Row],[Uraian]])&gt;2,TRIM(RIGHT(SUBSTITUTE(TRIM(C1139)," ",REPT(" ",255)),255))," ")</f>
        <v xml:space="preserve"> </v>
      </c>
      <c r="G1139" s="110">
        <f>COPY!Z1131</f>
        <v>0</v>
      </c>
      <c r="H1139" s="111" t="str">
        <f>IFERROR(VLOOKUP(Table1722[[#This Row],[Bukti]],'Un nOTA'!$A$4:$K$5003,10,FALSE),"")</f>
        <v/>
      </c>
      <c r="I1139" s="112" t="str">
        <f>IFERROR(VLOOKUP(Table1722[[#This Row],[Bukti]],Table13[#Data],11,FALSE),"")</f>
        <v/>
      </c>
    </row>
    <row r="1140" spans="1:9" ht="19.5" hidden="1" customHeight="1" x14ac:dyDescent="0.2">
      <c r="A1140" s="105" t="str">
        <f>IF(D1140=1,COUNTIF($D$10:D1140,1)," ")</f>
        <v xml:space="preserve"> </v>
      </c>
      <c r="B1140" s="106">
        <f>COPY!AR1132</f>
        <v>0</v>
      </c>
      <c r="C1140" s="107">
        <f>COPY!AC1132</f>
        <v>0</v>
      </c>
      <c r="D1140" s="107" t="str">
        <f>IF(LEN(Table1722[[#This Row],[Uraian]])&gt;2,1," ")</f>
        <v xml:space="preserve"> </v>
      </c>
      <c r="E1140" s="113" t="str">
        <f>IF(Table1722[[#This Row],[Lawan Transaksi]]="CV AGUNG KARYA",COUNTIF($I$10:I1140,"CV AGUNG KARYA")," ")</f>
        <v xml:space="preserve"> </v>
      </c>
      <c r="F1140" s="107" t="str">
        <f>IF(LEN(Table1722[[#This Row],[Uraian]])&gt;2,TRIM(RIGHT(SUBSTITUTE(TRIM(C1140)," ",REPT(" ",255)),255))," ")</f>
        <v xml:space="preserve"> </v>
      </c>
      <c r="G1140" s="110">
        <f>COPY!Z1132</f>
        <v>0</v>
      </c>
      <c r="H1140" s="111" t="str">
        <f>IFERROR(VLOOKUP(Table1722[[#This Row],[Bukti]],'Un nOTA'!$A$4:$K$5003,10,FALSE),"")</f>
        <v/>
      </c>
      <c r="I1140" s="112" t="str">
        <f>IFERROR(VLOOKUP(Table1722[[#This Row],[Bukti]],Table13[#Data],11,FALSE),"")</f>
        <v/>
      </c>
    </row>
    <row r="1141" spans="1:9" ht="19.5" hidden="1" customHeight="1" x14ac:dyDescent="0.2">
      <c r="A1141" s="105" t="str">
        <f>IF(D1141=1,COUNTIF($D$10:D1141,1)," ")</f>
        <v xml:space="preserve"> </v>
      </c>
      <c r="B1141" s="106">
        <f>COPY!AR1133</f>
        <v>0</v>
      </c>
      <c r="C1141" s="107">
        <f>COPY!AC1133</f>
        <v>0</v>
      </c>
      <c r="D1141" s="107" t="str">
        <f>IF(LEN(Table1722[[#This Row],[Uraian]])&gt;2,1," ")</f>
        <v xml:space="preserve"> </v>
      </c>
      <c r="E1141" s="113" t="str">
        <f>IF(Table1722[[#This Row],[Lawan Transaksi]]="CV AGUNG KARYA",COUNTIF($I$10:I1141,"CV AGUNG KARYA")," ")</f>
        <v xml:space="preserve"> </v>
      </c>
      <c r="F1141" s="107" t="str">
        <f>IF(LEN(Table1722[[#This Row],[Uraian]])&gt;2,TRIM(RIGHT(SUBSTITUTE(TRIM(C1141)," ",REPT(" ",255)),255))," ")</f>
        <v xml:space="preserve"> </v>
      </c>
      <c r="G1141" s="110">
        <f>COPY!Z1133</f>
        <v>0</v>
      </c>
      <c r="H1141" s="111" t="str">
        <f>IFERROR(VLOOKUP(Table1722[[#This Row],[Bukti]],'Un nOTA'!$A$4:$K$5003,10,FALSE),"")</f>
        <v/>
      </c>
      <c r="I1141" s="112" t="str">
        <f>IFERROR(VLOOKUP(Table1722[[#This Row],[Bukti]],Table13[#Data],11,FALSE),"")</f>
        <v/>
      </c>
    </row>
    <row r="1142" spans="1:9" ht="19.5" hidden="1" customHeight="1" x14ac:dyDescent="0.2">
      <c r="A1142" s="105" t="str">
        <f>IF(D1142=1,COUNTIF($D$10:D1142,1)," ")</f>
        <v xml:space="preserve"> </v>
      </c>
      <c r="B1142" s="106">
        <f>COPY!AR1134</f>
        <v>0</v>
      </c>
      <c r="C1142" s="107">
        <f>COPY!AC1134</f>
        <v>0</v>
      </c>
      <c r="D1142" s="107" t="str">
        <f>IF(LEN(Table1722[[#This Row],[Uraian]])&gt;2,1," ")</f>
        <v xml:space="preserve"> </v>
      </c>
      <c r="E1142" s="113" t="str">
        <f>IF(Table1722[[#This Row],[Lawan Transaksi]]="CV AGUNG KARYA",COUNTIF($I$10:I1142,"CV AGUNG KARYA")," ")</f>
        <v xml:space="preserve"> </v>
      </c>
      <c r="F1142" s="107" t="str">
        <f>IF(LEN(Table1722[[#This Row],[Uraian]])&gt;2,TRIM(RIGHT(SUBSTITUTE(TRIM(C1142)," ",REPT(" ",255)),255))," ")</f>
        <v xml:space="preserve"> </v>
      </c>
      <c r="G1142" s="110">
        <f>COPY!Z1134</f>
        <v>0</v>
      </c>
      <c r="H1142" s="111" t="str">
        <f>IFERROR(VLOOKUP(Table1722[[#This Row],[Bukti]],'Un nOTA'!$A$4:$K$5003,10,FALSE),"")</f>
        <v/>
      </c>
      <c r="I1142" s="112" t="str">
        <f>IFERROR(VLOOKUP(Table1722[[#This Row],[Bukti]],Table13[#Data],11,FALSE),"")</f>
        <v/>
      </c>
    </row>
    <row r="1143" spans="1:9" ht="19.5" hidden="1" customHeight="1" x14ac:dyDescent="0.2">
      <c r="A1143" s="105" t="str">
        <f>IF(D1143=1,COUNTIF($D$10:D1143,1)," ")</f>
        <v xml:space="preserve"> </v>
      </c>
      <c r="B1143" s="106">
        <f>COPY!AR1135</f>
        <v>0</v>
      </c>
      <c r="C1143" s="107">
        <f>COPY!AC1135</f>
        <v>0</v>
      </c>
      <c r="D1143" s="107" t="str">
        <f>IF(LEN(Table1722[[#This Row],[Uraian]])&gt;2,1," ")</f>
        <v xml:space="preserve"> </v>
      </c>
      <c r="E1143" s="113" t="str">
        <f>IF(Table1722[[#This Row],[Lawan Transaksi]]="CV AGUNG KARYA",COUNTIF($I$10:I1143,"CV AGUNG KARYA")," ")</f>
        <v xml:space="preserve"> </v>
      </c>
      <c r="F1143" s="107" t="str">
        <f>IF(LEN(Table1722[[#This Row],[Uraian]])&gt;2,TRIM(RIGHT(SUBSTITUTE(TRIM(C1143)," ",REPT(" ",255)),255))," ")</f>
        <v xml:space="preserve"> </v>
      </c>
      <c r="G1143" s="110">
        <f>COPY!Z1135</f>
        <v>0</v>
      </c>
      <c r="H1143" s="111" t="str">
        <f>IFERROR(VLOOKUP(Table1722[[#This Row],[Bukti]],'Un nOTA'!$A$4:$K$5003,10,FALSE),"")</f>
        <v/>
      </c>
      <c r="I1143" s="112" t="str">
        <f>IFERROR(VLOOKUP(Table1722[[#This Row],[Bukti]],Table13[#Data],11,FALSE),"")</f>
        <v/>
      </c>
    </row>
    <row r="1144" spans="1:9" ht="19.5" hidden="1" customHeight="1" x14ac:dyDescent="0.2">
      <c r="A1144" s="105" t="str">
        <f>IF(D1144=1,COUNTIF($D$10:D1144,1)," ")</f>
        <v xml:space="preserve"> </v>
      </c>
      <c r="B1144" s="106">
        <f>COPY!AR1136</f>
        <v>0</v>
      </c>
      <c r="C1144" s="107">
        <f>COPY!AC1136</f>
        <v>0</v>
      </c>
      <c r="D1144" s="107" t="str">
        <f>IF(LEN(Table1722[[#This Row],[Uraian]])&gt;2,1," ")</f>
        <v xml:space="preserve"> </v>
      </c>
      <c r="E1144" s="113" t="str">
        <f>IF(Table1722[[#This Row],[Lawan Transaksi]]="CV AGUNG KARYA",COUNTIF($I$10:I1144,"CV AGUNG KARYA")," ")</f>
        <v xml:space="preserve"> </v>
      </c>
      <c r="F1144" s="107" t="str">
        <f>IF(LEN(Table1722[[#This Row],[Uraian]])&gt;2,TRIM(RIGHT(SUBSTITUTE(TRIM(C1144)," ",REPT(" ",255)),255))," ")</f>
        <v xml:space="preserve"> </v>
      </c>
      <c r="G1144" s="110">
        <f>COPY!Z1136</f>
        <v>0</v>
      </c>
      <c r="H1144" s="111" t="str">
        <f>IFERROR(VLOOKUP(Table1722[[#This Row],[Bukti]],'Un nOTA'!$A$4:$K$5003,10,FALSE),"")</f>
        <v/>
      </c>
      <c r="I1144" s="112" t="str">
        <f>IFERROR(VLOOKUP(Table1722[[#This Row],[Bukti]],Table13[#Data],11,FALSE),"")</f>
        <v/>
      </c>
    </row>
    <row r="1145" spans="1:9" ht="19.5" hidden="1" customHeight="1" x14ac:dyDescent="0.2">
      <c r="A1145" s="105" t="str">
        <f>IF(D1145=1,COUNTIF($D$10:D1145,1)," ")</f>
        <v xml:space="preserve"> </v>
      </c>
      <c r="B1145" s="106">
        <f>COPY!AR1137</f>
        <v>0</v>
      </c>
      <c r="C1145" s="107">
        <f>COPY!AC1137</f>
        <v>0</v>
      </c>
      <c r="D1145" s="107" t="str">
        <f>IF(LEN(Table1722[[#This Row],[Uraian]])&gt;2,1," ")</f>
        <v xml:space="preserve"> </v>
      </c>
      <c r="E1145" s="113" t="str">
        <f>IF(Table1722[[#This Row],[Lawan Transaksi]]="CV AGUNG KARYA",COUNTIF($I$10:I1145,"CV AGUNG KARYA")," ")</f>
        <v xml:space="preserve"> </v>
      </c>
      <c r="F1145" s="107" t="str">
        <f>IF(LEN(Table1722[[#This Row],[Uraian]])&gt;2,TRIM(RIGHT(SUBSTITUTE(TRIM(C1145)," ",REPT(" ",255)),255))," ")</f>
        <v xml:space="preserve"> </v>
      </c>
      <c r="G1145" s="110">
        <f>COPY!Z1137</f>
        <v>0</v>
      </c>
      <c r="H1145" s="111" t="str">
        <f>IFERROR(VLOOKUP(Table1722[[#This Row],[Bukti]],'Un nOTA'!$A$4:$K$5003,10,FALSE),"")</f>
        <v/>
      </c>
      <c r="I1145" s="112" t="str">
        <f>IFERROR(VLOOKUP(Table1722[[#This Row],[Bukti]],Table13[#Data],11,FALSE),"")</f>
        <v/>
      </c>
    </row>
    <row r="1146" spans="1:9" ht="19.5" hidden="1" customHeight="1" x14ac:dyDescent="0.2">
      <c r="A1146" s="105" t="str">
        <f>IF(D1146=1,COUNTIF($D$10:D1146,1)," ")</f>
        <v xml:space="preserve"> </v>
      </c>
      <c r="B1146" s="106">
        <f>COPY!AR1138</f>
        <v>0</v>
      </c>
      <c r="C1146" s="107">
        <f>COPY!AC1138</f>
        <v>0</v>
      </c>
      <c r="D1146" s="107" t="str">
        <f>IF(LEN(Table1722[[#This Row],[Uraian]])&gt;2,1," ")</f>
        <v xml:space="preserve"> </v>
      </c>
      <c r="E1146" s="113" t="str">
        <f>IF(Table1722[[#This Row],[Lawan Transaksi]]="CV AGUNG KARYA",COUNTIF($I$10:I1146,"CV AGUNG KARYA")," ")</f>
        <v xml:space="preserve"> </v>
      </c>
      <c r="F1146" s="107" t="str">
        <f>IF(LEN(Table1722[[#This Row],[Uraian]])&gt;2,TRIM(RIGHT(SUBSTITUTE(TRIM(C1146)," ",REPT(" ",255)),255))," ")</f>
        <v xml:space="preserve"> </v>
      </c>
      <c r="G1146" s="110">
        <f>COPY!Z1138</f>
        <v>0</v>
      </c>
      <c r="H1146" s="111" t="str">
        <f>IFERROR(VLOOKUP(Table1722[[#This Row],[Bukti]],'Un nOTA'!$A$4:$K$5003,10,FALSE),"")</f>
        <v/>
      </c>
      <c r="I1146" s="112" t="str">
        <f>IFERROR(VLOOKUP(Table1722[[#This Row],[Bukti]],Table13[#Data],11,FALSE),"")</f>
        <v/>
      </c>
    </row>
    <row r="1147" spans="1:9" ht="19.5" hidden="1" customHeight="1" x14ac:dyDescent="0.2">
      <c r="A1147" s="105" t="str">
        <f>IF(D1147=1,COUNTIF($D$10:D1147,1)," ")</f>
        <v xml:space="preserve"> </v>
      </c>
      <c r="B1147" s="106">
        <f>COPY!AR1139</f>
        <v>0</v>
      </c>
      <c r="C1147" s="107">
        <f>COPY!AC1139</f>
        <v>0</v>
      </c>
      <c r="D1147" s="107" t="str">
        <f>IF(LEN(Table1722[[#This Row],[Uraian]])&gt;2,1," ")</f>
        <v xml:space="preserve"> </v>
      </c>
      <c r="E1147" s="113" t="str">
        <f>IF(Table1722[[#This Row],[Lawan Transaksi]]="CV AGUNG KARYA",COUNTIF($I$10:I1147,"CV AGUNG KARYA")," ")</f>
        <v xml:space="preserve"> </v>
      </c>
      <c r="F1147" s="107" t="str">
        <f>IF(LEN(Table1722[[#This Row],[Uraian]])&gt;2,TRIM(RIGHT(SUBSTITUTE(TRIM(C1147)," ",REPT(" ",255)),255))," ")</f>
        <v xml:space="preserve"> </v>
      </c>
      <c r="G1147" s="110">
        <f>COPY!Z1139</f>
        <v>0</v>
      </c>
      <c r="H1147" s="111" t="str">
        <f>IFERROR(VLOOKUP(Table1722[[#This Row],[Bukti]],'Un nOTA'!$A$4:$K$5003,10,FALSE),"")</f>
        <v/>
      </c>
      <c r="I1147" s="112" t="str">
        <f>IFERROR(VLOOKUP(Table1722[[#This Row],[Bukti]],Table13[#Data],11,FALSE),"")</f>
        <v/>
      </c>
    </row>
    <row r="1148" spans="1:9" ht="19.5" hidden="1" customHeight="1" x14ac:dyDescent="0.2">
      <c r="A1148" s="105" t="str">
        <f>IF(D1148=1,COUNTIF($D$10:D1148,1)," ")</f>
        <v xml:space="preserve"> </v>
      </c>
      <c r="B1148" s="106">
        <f>COPY!AR1140</f>
        <v>0</v>
      </c>
      <c r="C1148" s="107">
        <f>COPY!AC1140</f>
        <v>0</v>
      </c>
      <c r="D1148" s="107" t="str">
        <f>IF(LEN(Table1722[[#This Row],[Uraian]])&gt;2,1," ")</f>
        <v xml:space="preserve"> </v>
      </c>
      <c r="E1148" s="113" t="str">
        <f>IF(Table1722[[#This Row],[Lawan Transaksi]]="CV AGUNG KARYA",COUNTIF($I$10:I1148,"CV AGUNG KARYA")," ")</f>
        <v xml:space="preserve"> </v>
      </c>
      <c r="F1148" s="107" t="str">
        <f>IF(LEN(Table1722[[#This Row],[Uraian]])&gt;2,TRIM(RIGHT(SUBSTITUTE(TRIM(C1148)," ",REPT(" ",255)),255))," ")</f>
        <v xml:space="preserve"> </v>
      </c>
      <c r="G1148" s="110">
        <f>COPY!Z1140</f>
        <v>0</v>
      </c>
      <c r="H1148" s="111" t="str">
        <f>IFERROR(VLOOKUP(Table1722[[#This Row],[Bukti]],'Un nOTA'!$A$4:$K$5003,10,FALSE),"")</f>
        <v/>
      </c>
      <c r="I1148" s="112" t="str">
        <f>IFERROR(VLOOKUP(Table1722[[#This Row],[Bukti]],Table13[#Data],11,FALSE),"")</f>
        <v/>
      </c>
    </row>
    <row r="1149" spans="1:9" ht="19.5" hidden="1" customHeight="1" x14ac:dyDescent="0.2">
      <c r="A1149" s="105" t="str">
        <f>IF(D1149=1,COUNTIF($D$10:D1149,1)," ")</f>
        <v xml:space="preserve"> </v>
      </c>
      <c r="B1149" s="106">
        <f>COPY!AR1141</f>
        <v>0</v>
      </c>
      <c r="C1149" s="107">
        <f>COPY!AC1141</f>
        <v>0</v>
      </c>
      <c r="D1149" s="107" t="str">
        <f>IF(LEN(Table1722[[#This Row],[Uraian]])&gt;2,1," ")</f>
        <v xml:space="preserve"> </v>
      </c>
      <c r="E1149" s="113" t="str">
        <f>IF(Table1722[[#This Row],[Lawan Transaksi]]="CV AGUNG KARYA",COUNTIF($I$10:I1149,"CV AGUNG KARYA")," ")</f>
        <v xml:space="preserve"> </v>
      </c>
      <c r="F1149" s="107" t="str">
        <f>IF(LEN(Table1722[[#This Row],[Uraian]])&gt;2,TRIM(RIGHT(SUBSTITUTE(TRIM(C1149)," ",REPT(" ",255)),255))," ")</f>
        <v xml:space="preserve"> </v>
      </c>
      <c r="G1149" s="110">
        <f>COPY!Z1141</f>
        <v>0</v>
      </c>
      <c r="H1149" s="111" t="str">
        <f>IFERROR(VLOOKUP(Table1722[[#This Row],[Bukti]],'Un nOTA'!$A$4:$K$5003,10,FALSE),"")</f>
        <v/>
      </c>
      <c r="I1149" s="112" t="str">
        <f>IFERROR(VLOOKUP(Table1722[[#This Row],[Bukti]],Table13[#Data],11,FALSE),"")</f>
        <v/>
      </c>
    </row>
    <row r="1150" spans="1:9" ht="19.5" hidden="1" customHeight="1" x14ac:dyDescent="0.2">
      <c r="A1150" s="105" t="str">
        <f>IF(D1150=1,COUNTIF($D$10:D1150,1)," ")</f>
        <v xml:space="preserve"> </v>
      </c>
      <c r="B1150" s="106">
        <f>COPY!AR1142</f>
        <v>0</v>
      </c>
      <c r="C1150" s="107">
        <f>COPY!AC1142</f>
        <v>0</v>
      </c>
      <c r="D1150" s="107" t="str">
        <f>IF(LEN(Table1722[[#This Row],[Uraian]])&gt;2,1," ")</f>
        <v xml:space="preserve"> </v>
      </c>
      <c r="E1150" s="113" t="str">
        <f>IF(Table1722[[#This Row],[Lawan Transaksi]]="CV AGUNG KARYA",COUNTIF($I$10:I1150,"CV AGUNG KARYA")," ")</f>
        <v xml:space="preserve"> </v>
      </c>
      <c r="F1150" s="107" t="str">
        <f>IF(LEN(Table1722[[#This Row],[Uraian]])&gt;2,TRIM(RIGHT(SUBSTITUTE(TRIM(C1150)," ",REPT(" ",255)),255))," ")</f>
        <v xml:space="preserve"> </v>
      </c>
      <c r="G1150" s="110">
        <f>COPY!Z1142</f>
        <v>0</v>
      </c>
      <c r="H1150" s="111" t="str">
        <f>IFERROR(VLOOKUP(Table1722[[#This Row],[Bukti]],'Un nOTA'!$A$4:$K$5003,10,FALSE),"")</f>
        <v/>
      </c>
      <c r="I1150" s="112" t="str">
        <f>IFERROR(VLOOKUP(Table1722[[#This Row],[Bukti]],Table13[#Data],11,FALSE),"")</f>
        <v/>
      </c>
    </row>
    <row r="1151" spans="1:9" ht="19.5" hidden="1" customHeight="1" x14ac:dyDescent="0.2">
      <c r="A1151" s="105" t="str">
        <f>IF(D1151=1,COUNTIF($D$10:D1151,1)," ")</f>
        <v xml:space="preserve"> </v>
      </c>
      <c r="B1151" s="106">
        <f>COPY!AR1143</f>
        <v>0</v>
      </c>
      <c r="C1151" s="107">
        <f>COPY!AC1143</f>
        <v>0</v>
      </c>
      <c r="D1151" s="107" t="str">
        <f>IF(LEN(Table1722[[#This Row],[Uraian]])&gt;2,1," ")</f>
        <v xml:space="preserve"> </v>
      </c>
      <c r="E1151" s="113" t="str">
        <f>IF(Table1722[[#This Row],[Lawan Transaksi]]="CV AGUNG KARYA",COUNTIF($I$10:I1151,"CV AGUNG KARYA")," ")</f>
        <v xml:space="preserve"> </v>
      </c>
      <c r="F1151" s="107" t="str">
        <f>IF(LEN(Table1722[[#This Row],[Uraian]])&gt;2,TRIM(RIGHT(SUBSTITUTE(TRIM(C1151)," ",REPT(" ",255)),255))," ")</f>
        <v xml:space="preserve"> </v>
      </c>
      <c r="G1151" s="110">
        <f>COPY!Z1143</f>
        <v>0</v>
      </c>
      <c r="H1151" s="111" t="str">
        <f>IFERROR(VLOOKUP(Table1722[[#This Row],[Bukti]],'Un nOTA'!$A$4:$K$5003,10,FALSE),"")</f>
        <v/>
      </c>
      <c r="I1151" s="112" t="str">
        <f>IFERROR(VLOOKUP(Table1722[[#This Row],[Bukti]],Table13[#Data],11,FALSE),"")</f>
        <v/>
      </c>
    </row>
    <row r="1152" spans="1:9" ht="19.5" hidden="1" customHeight="1" x14ac:dyDescent="0.2">
      <c r="A1152" s="105" t="str">
        <f>IF(D1152=1,COUNTIF($D$10:D1152,1)," ")</f>
        <v xml:space="preserve"> </v>
      </c>
      <c r="B1152" s="106">
        <f>COPY!AR1144</f>
        <v>0</v>
      </c>
      <c r="C1152" s="107">
        <f>COPY!AC1144</f>
        <v>0</v>
      </c>
      <c r="D1152" s="107" t="str">
        <f>IF(LEN(Table1722[[#This Row],[Uraian]])&gt;2,1," ")</f>
        <v xml:space="preserve"> </v>
      </c>
      <c r="E1152" s="113" t="str">
        <f>IF(Table1722[[#This Row],[Lawan Transaksi]]="CV AGUNG KARYA",COUNTIF($I$10:I1152,"CV AGUNG KARYA")," ")</f>
        <v xml:space="preserve"> </v>
      </c>
      <c r="F1152" s="107" t="str">
        <f>IF(LEN(Table1722[[#This Row],[Uraian]])&gt;2,TRIM(RIGHT(SUBSTITUTE(TRIM(C1152)," ",REPT(" ",255)),255))," ")</f>
        <v xml:space="preserve"> </v>
      </c>
      <c r="G1152" s="110">
        <f>COPY!Z1144</f>
        <v>0</v>
      </c>
      <c r="H1152" s="111" t="str">
        <f>IFERROR(VLOOKUP(Table1722[[#This Row],[Bukti]],'Un nOTA'!$A$4:$K$5003,10,FALSE),"")</f>
        <v/>
      </c>
      <c r="I1152" s="112" t="str">
        <f>IFERROR(VLOOKUP(Table1722[[#This Row],[Bukti]],Table13[#Data],11,FALSE),"")</f>
        <v/>
      </c>
    </row>
    <row r="1153" spans="1:9" ht="19.5" hidden="1" customHeight="1" x14ac:dyDescent="0.2">
      <c r="A1153" s="105" t="str">
        <f>IF(D1153=1,COUNTIF($D$10:D1153,1)," ")</f>
        <v xml:space="preserve"> </v>
      </c>
      <c r="B1153" s="106">
        <f>COPY!AR1145</f>
        <v>0</v>
      </c>
      <c r="C1153" s="107">
        <f>COPY!AC1145</f>
        <v>0</v>
      </c>
      <c r="D1153" s="107" t="str">
        <f>IF(LEN(Table1722[[#This Row],[Uraian]])&gt;2,1," ")</f>
        <v xml:space="preserve"> </v>
      </c>
      <c r="E1153" s="113" t="str">
        <f>IF(Table1722[[#This Row],[Lawan Transaksi]]="CV AGUNG KARYA",COUNTIF($I$10:I1153,"CV AGUNG KARYA")," ")</f>
        <v xml:space="preserve"> </v>
      </c>
      <c r="F1153" s="107" t="str">
        <f>IF(LEN(Table1722[[#This Row],[Uraian]])&gt;2,TRIM(RIGHT(SUBSTITUTE(TRIM(C1153)," ",REPT(" ",255)),255))," ")</f>
        <v xml:space="preserve"> </v>
      </c>
      <c r="G1153" s="110">
        <f>COPY!Z1145</f>
        <v>0</v>
      </c>
      <c r="H1153" s="111" t="str">
        <f>IFERROR(VLOOKUP(Table1722[[#This Row],[Bukti]],'Un nOTA'!$A$4:$K$5003,10,FALSE),"")</f>
        <v/>
      </c>
      <c r="I1153" s="112" t="str">
        <f>IFERROR(VLOOKUP(Table1722[[#This Row],[Bukti]],Table13[#Data],11,FALSE),"")</f>
        <v/>
      </c>
    </row>
    <row r="1154" spans="1:9" ht="19.5" hidden="1" customHeight="1" x14ac:dyDescent="0.2">
      <c r="A1154" s="105" t="str">
        <f>IF(D1154=1,COUNTIF($D$10:D1154,1)," ")</f>
        <v xml:space="preserve"> </v>
      </c>
      <c r="B1154" s="106">
        <f>COPY!AR1146</f>
        <v>0</v>
      </c>
      <c r="C1154" s="107">
        <f>COPY!AC1146</f>
        <v>0</v>
      </c>
      <c r="D1154" s="107" t="str">
        <f>IF(LEN(Table1722[[#This Row],[Uraian]])&gt;2,1," ")</f>
        <v xml:space="preserve"> </v>
      </c>
      <c r="E1154" s="113" t="str">
        <f>IF(Table1722[[#This Row],[Lawan Transaksi]]="CV AGUNG KARYA",COUNTIF($I$10:I1154,"CV AGUNG KARYA")," ")</f>
        <v xml:space="preserve"> </v>
      </c>
      <c r="F1154" s="107" t="str">
        <f>IF(LEN(Table1722[[#This Row],[Uraian]])&gt;2,TRIM(RIGHT(SUBSTITUTE(TRIM(C1154)," ",REPT(" ",255)),255))," ")</f>
        <v xml:space="preserve"> </v>
      </c>
      <c r="G1154" s="110">
        <f>COPY!Z1146</f>
        <v>0</v>
      </c>
      <c r="H1154" s="111" t="str">
        <f>IFERROR(VLOOKUP(Table1722[[#This Row],[Bukti]],'Un nOTA'!$A$4:$K$5003,10,FALSE),"")</f>
        <v/>
      </c>
      <c r="I1154" s="112" t="str">
        <f>IFERROR(VLOOKUP(Table1722[[#This Row],[Bukti]],Table13[#Data],11,FALSE),"")</f>
        <v/>
      </c>
    </row>
    <row r="1155" spans="1:9" ht="19.5" hidden="1" customHeight="1" x14ac:dyDescent="0.2">
      <c r="A1155" s="105" t="str">
        <f>IF(D1155=1,COUNTIF($D$10:D1155,1)," ")</f>
        <v xml:space="preserve"> </v>
      </c>
      <c r="B1155" s="106">
        <f>COPY!AR1147</f>
        <v>0</v>
      </c>
      <c r="C1155" s="107">
        <f>COPY!AC1147</f>
        <v>0</v>
      </c>
      <c r="D1155" s="107" t="str">
        <f>IF(LEN(Table1722[[#This Row],[Uraian]])&gt;2,1," ")</f>
        <v xml:space="preserve"> </v>
      </c>
      <c r="E1155" s="113" t="str">
        <f>IF(Table1722[[#This Row],[Lawan Transaksi]]="CV AGUNG KARYA",COUNTIF($I$10:I1155,"CV AGUNG KARYA")," ")</f>
        <v xml:space="preserve"> </v>
      </c>
      <c r="F1155" s="107" t="str">
        <f>IF(LEN(Table1722[[#This Row],[Uraian]])&gt;2,TRIM(RIGHT(SUBSTITUTE(TRIM(C1155)," ",REPT(" ",255)),255))," ")</f>
        <v xml:space="preserve"> </v>
      </c>
      <c r="G1155" s="110">
        <f>COPY!Z1147</f>
        <v>0</v>
      </c>
      <c r="H1155" s="111" t="str">
        <f>IFERROR(VLOOKUP(Table1722[[#This Row],[Bukti]],'Un nOTA'!$A$4:$K$5003,10,FALSE),"")</f>
        <v/>
      </c>
      <c r="I1155" s="112" t="str">
        <f>IFERROR(VLOOKUP(Table1722[[#This Row],[Bukti]],Table13[#Data],11,FALSE),"")</f>
        <v/>
      </c>
    </row>
    <row r="1156" spans="1:9" ht="19.5" hidden="1" customHeight="1" x14ac:dyDescent="0.2">
      <c r="A1156" s="105" t="str">
        <f>IF(D1156=1,COUNTIF($D$10:D1156,1)," ")</f>
        <v xml:space="preserve"> </v>
      </c>
      <c r="B1156" s="106">
        <f>COPY!AR1148</f>
        <v>0</v>
      </c>
      <c r="C1156" s="107">
        <f>COPY!AC1148</f>
        <v>0</v>
      </c>
      <c r="D1156" s="107" t="str">
        <f>IF(LEN(Table1722[[#This Row],[Uraian]])&gt;2,1," ")</f>
        <v xml:space="preserve"> </v>
      </c>
      <c r="E1156" s="113" t="str">
        <f>IF(Table1722[[#This Row],[Lawan Transaksi]]="CV AGUNG KARYA",COUNTIF($I$10:I1156,"CV AGUNG KARYA")," ")</f>
        <v xml:space="preserve"> </v>
      </c>
      <c r="F1156" s="107" t="str">
        <f>IF(LEN(Table1722[[#This Row],[Uraian]])&gt;2,TRIM(RIGHT(SUBSTITUTE(TRIM(C1156)," ",REPT(" ",255)),255))," ")</f>
        <v xml:space="preserve"> </v>
      </c>
      <c r="G1156" s="110">
        <f>COPY!Z1148</f>
        <v>0</v>
      </c>
      <c r="H1156" s="111" t="str">
        <f>IFERROR(VLOOKUP(Table1722[[#This Row],[Bukti]],'Un nOTA'!$A$4:$K$5003,10,FALSE),"")</f>
        <v/>
      </c>
      <c r="I1156" s="112" t="str">
        <f>IFERROR(VLOOKUP(Table1722[[#This Row],[Bukti]],Table13[#Data],11,FALSE),"")</f>
        <v/>
      </c>
    </row>
    <row r="1157" spans="1:9" ht="19.5" hidden="1" customHeight="1" x14ac:dyDescent="0.2">
      <c r="A1157" s="105" t="str">
        <f>IF(D1157=1,COUNTIF($D$10:D1157,1)," ")</f>
        <v xml:space="preserve"> </v>
      </c>
      <c r="B1157" s="106">
        <f>COPY!AR1149</f>
        <v>0</v>
      </c>
      <c r="C1157" s="107">
        <f>COPY!AC1149</f>
        <v>0</v>
      </c>
      <c r="D1157" s="107" t="str">
        <f>IF(LEN(Table1722[[#This Row],[Uraian]])&gt;2,1," ")</f>
        <v xml:space="preserve"> </v>
      </c>
      <c r="E1157" s="113" t="str">
        <f>IF(Table1722[[#This Row],[Lawan Transaksi]]="CV AGUNG KARYA",COUNTIF($I$10:I1157,"CV AGUNG KARYA")," ")</f>
        <v xml:space="preserve"> </v>
      </c>
      <c r="F1157" s="107" t="str">
        <f>IF(LEN(Table1722[[#This Row],[Uraian]])&gt;2,TRIM(RIGHT(SUBSTITUTE(TRIM(C1157)," ",REPT(" ",255)),255))," ")</f>
        <v xml:space="preserve"> </v>
      </c>
      <c r="G1157" s="110">
        <f>COPY!Z1149</f>
        <v>0</v>
      </c>
      <c r="H1157" s="111" t="str">
        <f>IFERROR(VLOOKUP(Table1722[[#This Row],[Bukti]],'Un nOTA'!$A$4:$K$5003,10,FALSE),"")</f>
        <v/>
      </c>
      <c r="I1157" s="112" t="str">
        <f>IFERROR(VLOOKUP(Table1722[[#This Row],[Bukti]],Table13[#Data],11,FALSE),"")</f>
        <v/>
      </c>
    </row>
    <row r="1158" spans="1:9" ht="19.5" hidden="1" customHeight="1" x14ac:dyDescent="0.2">
      <c r="A1158" s="105" t="str">
        <f>IF(D1158=1,COUNTIF($D$10:D1158,1)," ")</f>
        <v xml:space="preserve"> </v>
      </c>
      <c r="B1158" s="106">
        <f>COPY!AR1150</f>
        <v>0</v>
      </c>
      <c r="C1158" s="107">
        <f>COPY!AC1150</f>
        <v>0</v>
      </c>
      <c r="D1158" s="107" t="str">
        <f>IF(LEN(Table1722[[#This Row],[Uraian]])&gt;2,1," ")</f>
        <v xml:space="preserve"> </v>
      </c>
      <c r="E1158" s="113" t="str">
        <f>IF(Table1722[[#This Row],[Lawan Transaksi]]="CV AGUNG KARYA",COUNTIF($I$10:I1158,"CV AGUNG KARYA")," ")</f>
        <v xml:space="preserve"> </v>
      </c>
      <c r="F1158" s="107" t="str">
        <f>IF(LEN(Table1722[[#This Row],[Uraian]])&gt;2,TRIM(RIGHT(SUBSTITUTE(TRIM(C1158)," ",REPT(" ",255)),255))," ")</f>
        <v xml:space="preserve"> </v>
      </c>
      <c r="G1158" s="110">
        <f>COPY!Z1150</f>
        <v>0</v>
      </c>
      <c r="H1158" s="111" t="str">
        <f>IFERROR(VLOOKUP(Table1722[[#This Row],[Bukti]],'Un nOTA'!$A$4:$K$5003,10,FALSE),"")</f>
        <v/>
      </c>
      <c r="I1158" s="112" t="str">
        <f>IFERROR(VLOOKUP(Table1722[[#This Row],[Bukti]],Table13[#Data],11,FALSE),"")</f>
        <v/>
      </c>
    </row>
    <row r="1159" spans="1:9" ht="19.5" hidden="1" customHeight="1" x14ac:dyDescent="0.2">
      <c r="A1159" s="105" t="str">
        <f>IF(D1159=1,COUNTIF($D$10:D1159,1)," ")</f>
        <v xml:space="preserve"> </v>
      </c>
      <c r="B1159" s="106">
        <f>COPY!AR1151</f>
        <v>0</v>
      </c>
      <c r="C1159" s="107">
        <f>COPY!AC1151</f>
        <v>0</v>
      </c>
      <c r="D1159" s="107" t="str">
        <f>IF(LEN(Table1722[[#This Row],[Uraian]])&gt;2,1," ")</f>
        <v xml:space="preserve"> </v>
      </c>
      <c r="E1159" s="113" t="str">
        <f>IF(Table1722[[#This Row],[Lawan Transaksi]]="CV AGUNG KARYA",COUNTIF($I$10:I1159,"CV AGUNG KARYA")," ")</f>
        <v xml:space="preserve"> </v>
      </c>
      <c r="F1159" s="107" t="str">
        <f>IF(LEN(Table1722[[#This Row],[Uraian]])&gt;2,TRIM(RIGHT(SUBSTITUTE(TRIM(C1159)," ",REPT(" ",255)),255))," ")</f>
        <v xml:space="preserve"> </v>
      </c>
      <c r="G1159" s="110">
        <f>COPY!Z1151</f>
        <v>0</v>
      </c>
      <c r="H1159" s="111" t="str">
        <f>IFERROR(VLOOKUP(Table1722[[#This Row],[Bukti]],'Un nOTA'!$A$4:$K$5003,10,FALSE),"")</f>
        <v/>
      </c>
      <c r="I1159" s="112" t="str">
        <f>IFERROR(VLOOKUP(Table1722[[#This Row],[Bukti]],Table13[#Data],11,FALSE),"")</f>
        <v/>
      </c>
    </row>
    <row r="1160" spans="1:9" ht="19.5" hidden="1" customHeight="1" x14ac:dyDescent="0.2">
      <c r="A1160" s="105" t="str">
        <f>IF(D1160=1,COUNTIF($D$10:D1160,1)," ")</f>
        <v xml:space="preserve"> </v>
      </c>
      <c r="B1160" s="106">
        <f>COPY!AR1152</f>
        <v>0</v>
      </c>
      <c r="C1160" s="107">
        <f>COPY!AC1152</f>
        <v>0</v>
      </c>
      <c r="D1160" s="107" t="str">
        <f>IF(LEN(Table1722[[#This Row],[Uraian]])&gt;2,1," ")</f>
        <v xml:space="preserve"> </v>
      </c>
      <c r="E1160" s="113" t="str">
        <f>IF(Table1722[[#This Row],[Lawan Transaksi]]="CV AGUNG KARYA",COUNTIF($I$10:I1160,"CV AGUNG KARYA")," ")</f>
        <v xml:space="preserve"> </v>
      </c>
      <c r="F1160" s="107" t="str">
        <f>IF(LEN(Table1722[[#This Row],[Uraian]])&gt;2,TRIM(RIGHT(SUBSTITUTE(TRIM(C1160)," ",REPT(" ",255)),255))," ")</f>
        <v xml:space="preserve"> </v>
      </c>
      <c r="G1160" s="110">
        <f>COPY!Z1152</f>
        <v>0</v>
      </c>
      <c r="H1160" s="111" t="str">
        <f>IFERROR(VLOOKUP(Table1722[[#This Row],[Bukti]],'Un nOTA'!$A$4:$K$5003,10,FALSE),"")</f>
        <v/>
      </c>
      <c r="I1160" s="112" t="str">
        <f>IFERROR(VLOOKUP(Table1722[[#This Row],[Bukti]],Table13[#Data],11,FALSE),"")</f>
        <v/>
      </c>
    </row>
    <row r="1161" spans="1:9" ht="19.5" hidden="1" customHeight="1" x14ac:dyDescent="0.2">
      <c r="A1161" s="105" t="str">
        <f>IF(D1161=1,COUNTIF($D$10:D1161,1)," ")</f>
        <v xml:space="preserve"> </v>
      </c>
      <c r="B1161" s="106">
        <f>COPY!AR1153</f>
        <v>0</v>
      </c>
      <c r="C1161" s="107">
        <f>COPY!AC1153</f>
        <v>0</v>
      </c>
      <c r="D1161" s="107" t="str">
        <f>IF(LEN(Table1722[[#This Row],[Uraian]])&gt;2,1," ")</f>
        <v xml:space="preserve"> </v>
      </c>
      <c r="E1161" s="113" t="str">
        <f>IF(Table1722[[#This Row],[Lawan Transaksi]]="CV AGUNG KARYA",COUNTIF($I$10:I1161,"CV AGUNG KARYA")," ")</f>
        <v xml:space="preserve"> </v>
      </c>
      <c r="F1161" s="107" t="str">
        <f>IF(LEN(Table1722[[#This Row],[Uraian]])&gt;2,TRIM(RIGHT(SUBSTITUTE(TRIM(C1161)," ",REPT(" ",255)),255))," ")</f>
        <v xml:space="preserve"> </v>
      </c>
      <c r="G1161" s="110">
        <f>COPY!Z1153</f>
        <v>0</v>
      </c>
      <c r="H1161" s="111" t="str">
        <f>IFERROR(VLOOKUP(Table1722[[#This Row],[Bukti]],'Un nOTA'!$A$4:$K$5003,10,FALSE),"")</f>
        <v/>
      </c>
      <c r="I1161" s="112" t="str">
        <f>IFERROR(VLOOKUP(Table1722[[#This Row],[Bukti]],Table13[#Data],11,FALSE),"")</f>
        <v/>
      </c>
    </row>
    <row r="1162" spans="1:9" ht="19.5" hidden="1" customHeight="1" x14ac:dyDescent="0.2">
      <c r="A1162" s="105" t="str">
        <f>IF(D1162=1,COUNTIF($D$10:D1162,1)," ")</f>
        <v xml:space="preserve"> </v>
      </c>
      <c r="B1162" s="106">
        <f>COPY!AR1154</f>
        <v>0</v>
      </c>
      <c r="C1162" s="107">
        <f>COPY!AC1154</f>
        <v>0</v>
      </c>
      <c r="D1162" s="107" t="str">
        <f>IF(LEN(Table1722[[#This Row],[Uraian]])&gt;2,1," ")</f>
        <v xml:space="preserve"> </v>
      </c>
      <c r="E1162" s="113" t="str">
        <f>IF(Table1722[[#This Row],[Lawan Transaksi]]="CV AGUNG KARYA",COUNTIF($I$10:I1162,"CV AGUNG KARYA")," ")</f>
        <v xml:space="preserve"> </v>
      </c>
      <c r="F1162" s="107" t="str">
        <f>IF(LEN(Table1722[[#This Row],[Uraian]])&gt;2,TRIM(RIGHT(SUBSTITUTE(TRIM(C1162)," ",REPT(" ",255)),255))," ")</f>
        <v xml:space="preserve"> </v>
      </c>
      <c r="G1162" s="110">
        <f>COPY!Z1154</f>
        <v>0</v>
      </c>
      <c r="H1162" s="111" t="str">
        <f>IFERROR(VLOOKUP(Table1722[[#This Row],[Bukti]],'Un nOTA'!$A$4:$K$5003,10,FALSE),"")</f>
        <v/>
      </c>
      <c r="I1162" s="112" t="str">
        <f>IFERROR(VLOOKUP(Table1722[[#This Row],[Bukti]],Table13[#Data],11,FALSE),"")</f>
        <v/>
      </c>
    </row>
    <row r="1163" spans="1:9" ht="19.5" hidden="1" customHeight="1" x14ac:dyDescent="0.2">
      <c r="A1163" s="105" t="str">
        <f>IF(D1163=1,COUNTIF($D$10:D1163,1)," ")</f>
        <v xml:space="preserve"> </v>
      </c>
      <c r="B1163" s="106">
        <f>COPY!AR1155</f>
        <v>0</v>
      </c>
      <c r="C1163" s="107">
        <f>COPY!AC1155</f>
        <v>0</v>
      </c>
      <c r="D1163" s="107" t="str">
        <f>IF(LEN(Table1722[[#This Row],[Uraian]])&gt;2,1," ")</f>
        <v xml:space="preserve"> </v>
      </c>
      <c r="E1163" s="113" t="str">
        <f>IF(Table1722[[#This Row],[Lawan Transaksi]]="CV AGUNG KARYA",COUNTIF($I$10:I1163,"CV AGUNG KARYA")," ")</f>
        <v xml:space="preserve"> </v>
      </c>
      <c r="F1163" s="107" t="str">
        <f>IF(LEN(Table1722[[#This Row],[Uraian]])&gt;2,TRIM(RIGHT(SUBSTITUTE(TRIM(C1163)," ",REPT(" ",255)),255))," ")</f>
        <v xml:space="preserve"> </v>
      </c>
      <c r="G1163" s="110">
        <f>COPY!Z1155</f>
        <v>0</v>
      </c>
      <c r="H1163" s="111" t="str">
        <f>IFERROR(VLOOKUP(Table1722[[#This Row],[Bukti]],'Un nOTA'!$A$4:$K$5003,10,FALSE),"")</f>
        <v/>
      </c>
      <c r="I1163" s="112" t="str">
        <f>IFERROR(VLOOKUP(Table1722[[#This Row],[Bukti]],Table13[#Data],11,FALSE),"")</f>
        <v/>
      </c>
    </row>
    <row r="1164" spans="1:9" ht="19.5" hidden="1" customHeight="1" x14ac:dyDescent="0.2">
      <c r="A1164" s="105" t="str">
        <f>IF(D1164=1,COUNTIF($D$10:D1164,1)," ")</f>
        <v xml:space="preserve"> </v>
      </c>
      <c r="B1164" s="106">
        <f>COPY!AR1156</f>
        <v>0</v>
      </c>
      <c r="C1164" s="107">
        <f>COPY!AC1156</f>
        <v>0</v>
      </c>
      <c r="D1164" s="107" t="str">
        <f>IF(LEN(Table1722[[#This Row],[Uraian]])&gt;2,1," ")</f>
        <v xml:space="preserve"> </v>
      </c>
      <c r="E1164" s="113" t="str">
        <f>IF(Table1722[[#This Row],[Lawan Transaksi]]="CV AGUNG KARYA",COUNTIF($I$10:I1164,"CV AGUNG KARYA")," ")</f>
        <v xml:space="preserve"> </v>
      </c>
      <c r="F1164" s="107" t="str">
        <f>IF(LEN(Table1722[[#This Row],[Uraian]])&gt;2,TRIM(RIGHT(SUBSTITUTE(TRIM(C1164)," ",REPT(" ",255)),255))," ")</f>
        <v xml:space="preserve"> </v>
      </c>
      <c r="G1164" s="110">
        <f>COPY!Z1156</f>
        <v>0</v>
      </c>
      <c r="H1164" s="111" t="str">
        <f>IFERROR(VLOOKUP(Table1722[[#This Row],[Bukti]],'Un nOTA'!$A$4:$K$5003,10,FALSE),"")</f>
        <v/>
      </c>
      <c r="I1164" s="112" t="str">
        <f>IFERROR(VLOOKUP(Table1722[[#This Row],[Bukti]],Table13[#Data],11,FALSE),"")</f>
        <v/>
      </c>
    </row>
    <row r="1165" spans="1:9" ht="19.5" hidden="1" customHeight="1" x14ac:dyDescent="0.2">
      <c r="A1165" s="105" t="str">
        <f>IF(D1165=1,COUNTIF($D$10:D1165,1)," ")</f>
        <v xml:space="preserve"> </v>
      </c>
      <c r="B1165" s="106">
        <f>COPY!AR1157</f>
        <v>0</v>
      </c>
      <c r="C1165" s="107">
        <f>COPY!AC1157</f>
        <v>0</v>
      </c>
      <c r="D1165" s="107" t="str">
        <f>IF(LEN(Table1722[[#This Row],[Uraian]])&gt;2,1," ")</f>
        <v xml:space="preserve"> </v>
      </c>
      <c r="E1165" s="113" t="str">
        <f>IF(Table1722[[#This Row],[Lawan Transaksi]]="CV AGUNG KARYA",COUNTIF($I$10:I1165,"CV AGUNG KARYA")," ")</f>
        <v xml:space="preserve"> </v>
      </c>
      <c r="F1165" s="107" t="str">
        <f>IF(LEN(Table1722[[#This Row],[Uraian]])&gt;2,TRIM(RIGHT(SUBSTITUTE(TRIM(C1165)," ",REPT(" ",255)),255))," ")</f>
        <v xml:space="preserve"> </v>
      </c>
      <c r="G1165" s="110">
        <f>COPY!Z1157</f>
        <v>0</v>
      </c>
      <c r="H1165" s="111" t="str">
        <f>IFERROR(VLOOKUP(Table1722[[#This Row],[Bukti]],'Un nOTA'!$A$4:$K$5003,10,FALSE),"")</f>
        <v/>
      </c>
      <c r="I1165" s="112" t="str">
        <f>IFERROR(VLOOKUP(Table1722[[#This Row],[Bukti]],Table13[#Data],11,FALSE),"")</f>
        <v/>
      </c>
    </row>
    <row r="1166" spans="1:9" ht="19.5" hidden="1" customHeight="1" x14ac:dyDescent="0.2">
      <c r="A1166" s="105" t="str">
        <f>IF(D1166=1,COUNTIF($D$10:D1166,1)," ")</f>
        <v xml:space="preserve"> </v>
      </c>
      <c r="B1166" s="106">
        <f>COPY!AR1158</f>
        <v>0</v>
      </c>
      <c r="C1166" s="107">
        <f>COPY!AC1158</f>
        <v>0</v>
      </c>
      <c r="D1166" s="107" t="str">
        <f>IF(LEN(Table1722[[#This Row],[Uraian]])&gt;2,1," ")</f>
        <v xml:space="preserve"> </v>
      </c>
      <c r="E1166" s="113" t="str">
        <f>IF(Table1722[[#This Row],[Lawan Transaksi]]="CV AGUNG KARYA",COUNTIF($I$10:I1166,"CV AGUNG KARYA")," ")</f>
        <v xml:space="preserve"> </v>
      </c>
      <c r="F1166" s="107" t="str">
        <f>IF(LEN(Table1722[[#This Row],[Uraian]])&gt;2,TRIM(RIGHT(SUBSTITUTE(TRIM(C1166)," ",REPT(" ",255)),255))," ")</f>
        <v xml:space="preserve"> </v>
      </c>
      <c r="G1166" s="110">
        <f>COPY!Z1158</f>
        <v>0</v>
      </c>
      <c r="H1166" s="111" t="str">
        <f>IFERROR(VLOOKUP(Table1722[[#This Row],[Bukti]],'Un nOTA'!$A$4:$K$5003,10,FALSE),"")</f>
        <v/>
      </c>
      <c r="I1166" s="112" t="str">
        <f>IFERROR(VLOOKUP(Table1722[[#This Row],[Bukti]],Table13[#Data],11,FALSE),"")</f>
        <v/>
      </c>
    </row>
    <row r="1167" spans="1:9" ht="19.5" hidden="1" customHeight="1" x14ac:dyDescent="0.2">
      <c r="A1167" s="105" t="str">
        <f>IF(D1167=1,COUNTIF($D$10:D1167,1)," ")</f>
        <v xml:space="preserve"> </v>
      </c>
      <c r="B1167" s="106">
        <f>COPY!AR1159</f>
        <v>0</v>
      </c>
      <c r="C1167" s="107">
        <f>COPY!AC1159</f>
        <v>0</v>
      </c>
      <c r="D1167" s="107" t="str">
        <f>IF(LEN(Table1722[[#This Row],[Uraian]])&gt;2,1," ")</f>
        <v xml:space="preserve"> </v>
      </c>
      <c r="E1167" s="113" t="str">
        <f>IF(Table1722[[#This Row],[Lawan Transaksi]]="CV AGUNG KARYA",COUNTIF($I$10:I1167,"CV AGUNG KARYA")," ")</f>
        <v xml:space="preserve"> </v>
      </c>
      <c r="F1167" s="107" t="str">
        <f>IF(LEN(Table1722[[#This Row],[Uraian]])&gt;2,TRIM(RIGHT(SUBSTITUTE(TRIM(C1167)," ",REPT(" ",255)),255))," ")</f>
        <v xml:space="preserve"> </v>
      </c>
      <c r="G1167" s="110">
        <f>COPY!Z1159</f>
        <v>0</v>
      </c>
      <c r="H1167" s="111" t="str">
        <f>IFERROR(VLOOKUP(Table1722[[#This Row],[Bukti]],'Un nOTA'!$A$4:$K$5003,10,FALSE),"")</f>
        <v/>
      </c>
      <c r="I1167" s="112" t="str">
        <f>IFERROR(VLOOKUP(Table1722[[#This Row],[Bukti]],Table13[#Data],11,FALSE),"")</f>
        <v/>
      </c>
    </row>
    <row r="1168" spans="1:9" ht="19.5" hidden="1" customHeight="1" x14ac:dyDescent="0.2">
      <c r="A1168" s="105" t="str">
        <f>IF(D1168=1,COUNTIF($D$10:D1168,1)," ")</f>
        <v xml:space="preserve"> </v>
      </c>
      <c r="B1168" s="106">
        <f>COPY!AR1160</f>
        <v>0</v>
      </c>
      <c r="C1168" s="107">
        <f>COPY!AC1160</f>
        <v>0</v>
      </c>
      <c r="D1168" s="107" t="str">
        <f>IF(LEN(Table1722[[#This Row],[Uraian]])&gt;2,1," ")</f>
        <v xml:space="preserve"> </v>
      </c>
      <c r="E1168" s="113" t="str">
        <f>IF(Table1722[[#This Row],[Lawan Transaksi]]="CV AGUNG KARYA",COUNTIF($I$10:I1168,"CV AGUNG KARYA")," ")</f>
        <v xml:space="preserve"> </v>
      </c>
      <c r="F1168" s="107" t="str">
        <f>IF(LEN(Table1722[[#This Row],[Uraian]])&gt;2,TRIM(RIGHT(SUBSTITUTE(TRIM(C1168)," ",REPT(" ",255)),255))," ")</f>
        <v xml:space="preserve"> </v>
      </c>
      <c r="G1168" s="110">
        <f>COPY!Z1160</f>
        <v>0</v>
      </c>
      <c r="H1168" s="111" t="str">
        <f>IFERROR(VLOOKUP(Table1722[[#This Row],[Bukti]],'Un nOTA'!$A$4:$K$5003,10,FALSE),"")</f>
        <v/>
      </c>
      <c r="I1168" s="112" t="str">
        <f>IFERROR(VLOOKUP(Table1722[[#This Row],[Bukti]],Table13[#Data],11,FALSE),"")</f>
        <v/>
      </c>
    </row>
    <row r="1169" spans="1:9" ht="19.5" hidden="1" customHeight="1" x14ac:dyDescent="0.2">
      <c r="A1169" s="105" t="str">
        <f>IF(D1169=1,COUNTIF($D$10:D1169,1)," ")</f>
        <v xml:space="preserve"> </v>
      </c>
      <c r="B1169" s="106">
        <f>COPY!AR1161</f>
        <v>0</v>
      </c>
      <c r="C1169" s="107">
        <f>COPY!AC1161</f>
        <v>0</v>
      </c>
      <c r="D1169" s="107" t="str">
        <f>IF(LEN(Table1722[[#This Row],[Uraian]])&gt;2,1," ")</f>
        <v xml:space="preserve"> </v>
      </c>
      <c r="E1169" s="113" t="str">
        <f>IF(Table1722[[#This Row],[Lawan Transaksi]]="CV AGUNG KARYA",COUNTIF($I$10:I1169,"CV AGUNG KARYA")," ")</f>
        <v xml:space="preserve"> </v>
      </c>
      <c r="F1169" s="107" t="str">
        <f>IF(LEN(Table1722[[#This Row],[Uraian]])&gt;2,TRIM(RIGHT(SUBSTITUTE(TRIM(C1169)," ",REPT(" ",255)),255))," ")</f>
        <v xml:space="preserve"> </v>
      </c>
      <c r="G1169" s="110">
        <f>COPY!Z1161</f>
        <v>0</v>
      </c>
      <c r="H1169" s="111" t="str">
        <f>IFERROR(VLOOKUP(Table1722[[#This Row],[Bukti]],'Un nOTA'!$A$4:$K$5003,10,FALSE),"")</f>
        <v/>
      </c>
      <c r="I1169" s="112" t="str">
        <f>IFERROR(VLOOKUP(Table1722[[#This Row],[Bukti]],Table13[#Data],11,FALSE),"")</f>
        <v/>
      </c>
    </row>
    <row r="1170" spans="1:9" ht="19.5" hidden="1" customHeight="1" x14ac:dyDescent="0.2">
      <c r="A1170" s="105" t="str">
        <f>IF(D1170=1,COUNTIF($D$10:D1170,1)," ")</f>
        <v xml:space="preserve"> </v>
      </c>
      <c r="B1170" s="106">
        <f>COPY!AR1162</f>
        <v>0</v>
      </c>
      <c r="C1170" s="107">
        <f>COPY!AC1162</f>
        <v>0</v>
      </c>
      <c r="D1170" s="107" t="str">
        <f>IF(LEN(Table1722[[#This Row],[Uraian]])&gt;2,1," ")</f>
        <v xml:space="preserve"> </v>
      </c>
      <c r="E1170" s="113" t="str">
        <f>IF(Table1722[[#This Row],[Lawan Transaksi]]="CV AGUNG KARYA",COUNTIF($I$10:I1170,"CV AGUNG KARYA")," ")</f>
        <v xml:space="preserve"> </v>
      </c>
      <c r="F1170" s="107" t="str">
        <f>IF(LEN(Table1722[[#This Row],[Uraian]])&gt;2,TRIM(RIGHT(SUBSTITUTE(TRIM(C1170)," ",REPT(" ",255)),255))," ")</f>
        <v xml:space="preserve"> </v>
      </c>
      <c r="G1170" s="110">
        <f>COPY!Z1162</f>
        <v>0</v>
      </c>
      <c r="H1170" s="111" t="str">
        <f>IFERROR(VLOOKUP(Table1722[[#This Row],[Bukti]],'Un nOTA'!$A$4:$K$5003,10,FALSE),"")</f>
        <v/>
      </c>
      <c r="I1170" s="112" t="str">
        <f>IFERROR(VLOOKUP(Table1722[[#This Row],[Bukti]],Table13[#Data],11,FALSE),"")</f>
        <v/>
      </c>
    </row>
    <row r="1171" spans="1:9" ht="19.5" hidden="1" customHeight="1" x14ac:dyDescent="0.2">
      <c r="A1171" s="105" t="str">
        <f>IF(D1171=1,COUNTIF($D$10:D1171,1)," ")</f>
        <v xml:space="preserve"> </v>
      </c>
      <c r="B1171" s="106">
        <f>COPY!AR1163</f>
        <v>0</v>
      </c>
      <c r="C1171" s="107">
        <f>COPY!AC1163</f>
        <v>0</v>
      </c>
      <c r="D1171" s="107" t="str">
        <f>IF(LEN(Table1722[[#This Row],[Uraian]])&gt;2,1," ")</f>
        <v xml:space="preserve"> </v>
      </c>
      <c r="E1171" s="113" t="str">
        <f>IF(Table1722[[#This Row],[Lawan Transaksi]]="CV AGUNG KARYA",COUNTIF($I$10:I1171,"CV AGUNG KARYA")," ")</f>
        <v xml:space="preserve"> </v>
      </c>
      <c r="F1171" s="107" t="str">
        <f>IF(LEN(Table1722[[#This Row],[Uraian]])&gt;2,TRIM(RIGHT(SUBSTITUTE(TRIM(C1171)," ",REPT(" ",255)),255))," ")</f>
        <v xml:space="preserve"> </v>
      </c>
      <c r="G1171" s="110">
        <f>COPY!Z1163</f>
        <v>0</v>
      </c>
      <c r="H1171" s="111" t="str">
        <f>IFERROR(VLOOKUP(Table1722[[#This Row],[Bukti]],'Un nOTA'!$A$4:$K$5003,10,FALSE),"")</f>
        <v/>
      </c>
      <c r="I1171" s="112" t="str">
        <f>IFERROR(VLOOKUP(Table1722[[#This Row],[Bukti]],Table13[#Data],11,FALSE),"")</f>
        <v/>
      </c>
    </row>
    <row r="1172" spans="1:9" ht="19.5" hidden="1" customHeight="1" x14ac:dyDescent="0.2">
      <c r="A1172" s="105" t="str">
        <f>IF(D1172=1,COUNTIF($D$10:D1172,1)," ")</f>
        <v xml:space="preserve"> </v>
      </c>
      <c r="B1172" s="106">
        <f>COPY!AR1164</f>
        <v>0</v>
      </c>
      <c r="C1172" s="107">
        <f>COPY!AC1164</f>
        <v>0</v>
      </c>
      <c r="D1172" s="107" t="str">
        <f>IF(LEN(Table1722[[#This Row],[Uraian]])&gt;2,1," ")</f>
        <v xml:space="preserve"> </v>
      </c>
      <c r="E1172" s="113" t="str">
        <f>IF(Table1722[[#This Row],[Lawan Transaksi]]="CV AGUNG KARYA",COUNTIF($I$10:I1172,"CV AGUNG KARYA")," ")</f>
        <v xml:space="preserve"> </v>
      </c>
      <c r="F1172" s="107" t="str">
        <f>IF(LEN(Table1722[[#This Row],[Uraian]])&gt;2,TRIM(RIGHT(SUBSTITUTE(TRIM(C1172)," ",REPT(" ",255)),255))," ")</f>
        <v xml:space="preserve"> </v>
      </c>
      <c r="G1172" s="110">
        <f>COPY!Z1164</f>
        <v>0</v>
      </c>
      <c r="H1172" s="111" t="str">
        <f>IFERROR(VLOOKUP(Table1722[[#This Row],[Bukti]],'Un nOTA'!$A$4:$K$5003,10,FALSE),"")</f>
        <v/>
      </c>
      <c r="I1172" s="112" t="str">
        <f>IFERROR(VLOOKUP(Table1722[[#This Row],[Bukti]],Table13[#Data],11,FALSE),"")</f>
        <v/>
      </c>
    </row>
    <row r="1173" spans="1:9" ht="19.5" hidden="1" customHeight="1" x14ac:dyDescent="0.2">
      <c r="A1173" s="105" t="str">
        <f>IF(D1173=1,COUNTIF($D$10:D1173,1)," ")</f>
        <v xml:space="preserve"> </v>
      </c>
      <c r="B1173" s="106">
        <f>COPY!AR1165</f>
        <v>0</v>
      </c>
      <c r="C1173" s="107">
        <f>COPY!AC1165</f>
        <v>0</v>
      </c>
      <c r="D1173" s="107" t="str">
        <f>IF(LEN(Table1722[[#This Row],[Uraian]])&gt;2,1," ")</f>
        <v xml:space="preserve"> </v>
      </c>
      <c r="E1173" s="113" t="str">
        <f>IF(Table1722[[#This Row],[Lawan Transaksi]]="CV AGUNG KARYA",COUNTIF($I$10:I1173,"CV AGUNG KARYA")," ")</f>
        <v xml:space="preserve"> </v>
      </c>
      <c r="F1173" s="107" t="str">
        <f>IF(LEN(Table1722[[#This Row],[Uraian]])&gt;2,TRIM(RIGHT(SUBSTITUTE(TRIM(C1173)," ",REPT(" ",255)),255))," ")</f>
        <v xml:space="preserve"> </v>
      </c>
      <c r="G1173" s="110">
        <f>COPY!Z1165</f>
        <v>0</v>
      </c>
      <c r="H1173" s="111" t="str">
        <f>IFERROR(VLOOKUP(Table1722[[#This Row],[Bukti]],'Un nOTA'!$A$4:$K$5003,10,FALSE),"")</f>
        <v/>
      </c>
      <c r="I1173" s="112" t="str">
        <f>IFERROR(VLOOKUP(Table1722[[#This Row],[Bukti]],Table13[#Data],11,FALSE),"")</f>
        <v/>
      </c>
    </row>
    <row r="1174" spans="1:9" ht="19.5" hidden="1" customHeight="1" x14ac:dyDescent="0.2">
      <c r="A1174" s="105" t="str">
        <f>IF(D1174=1,COUNTIF($D$10:D1174,1)," ")</f>
        <v xml:space="preserve"> </v>
      </c>
      <c r="B1174" s="106">
        <f>COPY!AR1166</f>
        <v>0</v>
      </c>
      <c r="C1174" s="107">
        <f>COPY!AC1166</f>
        <v>0</v>
      </c>
      <c r="D1174" s="107" t="str">
        <f>IF(LEN(Table1722[[#This Row],[Uraian]])&gt;2,1," ")</f>
        <v xml:space="preserve"> </v>
      </c>
      <c r="E1174" s="113" t="str">
        <f>IF(Table1722[[#This Row],[Lawan Transaksi]]="CV AGUNG KARYA",COUNTIF($I$10:I1174,"CV AGUNG KARYA")," ")</f>
        <v xml:space="preserve"> </v>
      </c>
      <c r="F1174" s="107" t="str">
        <f>IF(LEN(Table1722[[#This Row],[Uraian]])&gt;2,TRIM(RIGHT(SUBSTITUTE(TRIM(C1174)," ",REPT(" ",255)),255))," ")</f>
        <v xml:space="preserve"> </v>
      </c>
      <c r="G1174" s="110">
        <f>COPY!Z1166</f>
        <v>0</v>
      </c>
      <c r="H1174" s="111" t="str">
        <f>IFERROR(VLOOKUP(Table1722[[#This Row],[Bukti]],'Un nOTA'!$A$4:$K$5003,10,FALSE),"")</f>
        <v/>
      </c>
      <c r="I1174" s="112" t="str">
        <f>IFERROR(VLOOKUP(Table1722[[#This Row],[Bukti]],Table13[#Data],11,FALSE),"")</f>
        <v/>
      </c>
    </row>
    <row r="1175" spans="1:9" ht="19.5" hidden="1" customHeight="1" x14ac:dyDescent="0.2">
      <c r="A1175" s="105" t="str">
        <f>IF(D1175=1,COUNTIF($D$10:D1175,1)," ")</f>
        <v xml:space="preserve"> </v>
      </c>
      <c r="B1175" s="106">
        <f>COPY!AR1167</f>
        <v>0</v>
      </c>
      <c r="C1175" s="107">
        <f>COPY!AC1167</f>
        <v>0</v>
      </c>
      <c r="D1175" s="107" t="str">
        <f>IF(LEN(Table1722[[#This Row],[Uraian]])&gt;2,1," ")</f>
        <v xml:space="preserve"> </v>
      </c>
      <c r="E1175" s="113" t="str">
        <f>IF(Table1722[[#This Row],[Lawan Transaksi]]="CV AGUNG KARYA",COUNTIF($I$10:I1175,"CV AGUNG KARYA")," ")</f>
        <v xml:space="preserve"> </v>
      </c>
      <c r="F1175" s="107" t="str">
        <f>IF(LEN(Table1722[[#This Row],[Uraian]])&gt;2,TRIM(RIGHT(SUBSTITUTE(TRIM(C1175)," ",REPT(" ",255)),255))," ")</f>
        <v xml:space="preserve"> </v>
      </c>
      <c r="G1175" s="110">
        <f>COPY!Z1167</f>
        <v>0</v>
      </c>
      <c r="H1175" s="111" t="str">
        <f>IFERROR(VLOOKUP(Table1722[[#This Row],[Bukti]],'Un nOTA'!$A$4:$K$5003,10,FALSE),"")</f>
        <v/>
      </c>
      <c r="I1175" s="112" t="str">
        <f>IFERROR(VLOOKUP(Table1722[[#This Row],[Bukti]],Table13[#Data],11,FALSE),"")</f>
        <v/>
      </c>
    </row>
    <row r="1176" spans="1:9" ht="19.5" hidden="1" customHeight="1" x14ac:dyDescent="0.2">
      <c r="A1176" s="105" t="str">
        <f>IF(D1176=1,COUNTIF($D$10:D1176,1)," ")</f>
        <v xml:space="preserve"> </v>
      </c>
      <c r="B1176" s="106">
        <f>COPY!AR1168</f>
        <v>0</v>
      </c>
      <c r="C1176" s="107">
        <f>COPY!AC1168</f>
        <v>0</v>
      </c>
      <c r="D1176" s="107" t="str">
        <f>IF(LEN(Table1722[[#This Row],[Uraian]])&gt;2,1," ")</f>
        <v xml:space="preserve"> </v>
      </c>
      <c r="E1176" s="113" t="str">
        <f>IF(Table1722[[#This Row],[Lawan Transaksi]]="CV AGUNG KARYA",COUNTIF($I$10:I1176,"CV AGUNG KARYA")," ")</f>
        <v xml:space="preserve"> </v>
      </c>
      <c r="F1176" s="107" t="str">
        <f>IF(LEN(Table1722[[#This Row],[Uraian]])&gt;2,TRIM(RIGHT(SUBSTITUTE(TRIM(C1176)," ",REPT(" ",255)),255))," ")</f>
        <v xml:space="preserve"> </v>
      </c>
      <c r="G1176" s="110">
        <f>COPY!Z1168</f>
        <v>0</v>
      </c>
      <c r="H1176" s="111" t="str">
        <f>IFERROR(VLOOKUP(Table1722[[#This Row],[Bukti]],'Un nOTA'!$A$4:$K$5003,10,FALSE),"")</f>
        <v/>
      </c>
      <c r="I1176" s="112" t="str">
        <f>IFERROR(VLOOKUP(Table1722[[#This Row],[Bukti]],Table13[#Data],11,FALSE),"")</f>
        <v/>
      </c>
    </row>
    <row r="1177" spans="1:9" ht="19.5" hidden="1" customHeight="1" x14ac:dyDescent="0.2">
      <c r="A1177" s="105" t="str">
        <f>IF(D1177=1,COUNTIF($D$10:D1177,1)," ")</f>
        <v xml:space="preserve"> </v>
      </c>
      <c r="B1177" s="106">
        <f>COPY!AR1169</f>
        <v>0</v>
      </c>
      <c r="C1177" s="107">
        <f>COPY!AC1169</f>
        <v>0</v>
      </c>
      <c r="D1177" s="107" t="str">
        <f>IF(LEN(Table1722[[#This Row],[Uraian]])&gt;2,1," ")</f>
        <v xml:space="preserve"> </v>
      </c>
      <c r="E1177" s="113" t="str">
        <f>IF(Table1722[[#This Row],[Lawan Transaksi]]="CV AGUNG KARYA",COUNTIF($I$10:I1177,"CV AGUNG KARYA")," ")</f>
        <v xml:space="preserve"> </v>
      </c>
      <c r="F1177" s="107" t="str">
        <f>IF(LEN(Table1722[[#This Row],[Uraian]])&gt;2,TRIM(RIGHT(SUBSTITUTE(TRIM(C1177)," ",REPT(" ",255)),255))," ")</f>
        <v xml:space="preserve"> </v>
      </c>
      <c r="G1177" s="110">
        <f>COPY!Z1169</f>
        <v>0</v>
      </c>
      <c r="H1177" s="111" t="str">
        <f>IFERROR(VLOOKUP(Table1722[[#This Row],[Bukti]],'Un nOTA'!$A$4:$K$5003,10,FALSE),"")</f>
        <v/>
      </c>
      <c r="I1177" s="112" t="str">
        <f>IFERROR(VLOOKUP(Table1722[[#This Row],[Bukti]],Table13[#Data],11,FALSE),"")</f>
        <v/>
      </c>
    </row>
    <row r="1178" spans="1:9" ht="19.5" hidden="1" customHeight="1" x14ac:dyDescent="0.2">
      <c r="A1178" s="105" t="str">
        <f>IF(D1178=1,COUNTIF($D$10:D1178,1)," ")</f>
        <v xml:space="preserve"> </v>
      </c>
      <c r="B1178" s="106">
        <f>COPY!AR1170</f>
        <v>0</v>
      </c>
      <c r="C1178" s="107">
        <f>COPY!AC1170</f>
        <v>0</v>
      </c>
      <c r="D1178" s="107" t="str">
        <f>IF(LEN(Table1722[[#This Row],[Uraian]])&gt;2,1," ")</f>
        <v xml:space="preserve"> </v>
      </c>
      <c r="E1178" s="113" t="str">
        <f>IF(Table1722[[#This Row],[Lawan Transaksi]]="CV AGUNG KARYA",COUNTIF($I$10:I1178,"CV AGUNG KARYA")," ")</f>
        <v xml:space="preserve"> </v>
      </c>
      <c r="F1178" s="107" t="str">
        <f>IF(LEN(Table1722[[#This Row],[Uraian]])&gt;2,TRIM(RIGHT(SUBSTITUTE(TRIM(C1178)," ",REPT(" ",255)),255))," ")</f>
        <v xml:space="preserve"> </v>
      </c>
      <c r="G1178" s="110">
        <f>COPY!Z1170</f>
        <v>0</v>
      </c>
      <c r="H1178" s="111" t="str">
        <f>IFERROR(VLOOKUP(Table1722[[#This Row],[Bukti]],'Un nOTA'!$A$4:$K$5003,10,FALSE),"")</f>
        <v/>
      </c>
      <c r="I1178" s="112" t="str">
        <f>IFERROR(VLOOKUP(Table1722[[#This Row],[Bukti]],Table13[#Data],11,FALSE),"")</f>
        <v/>
      </c>
    </row>
    <row r="1179" spans="1:9" ht="19.5" hidden="1" customHeight="1" x14ac:dyDescent="0.2">
      <c r="A1179" s="105" t="str">
        <f>IF(D1179=1,COUNTIF($D$10:D1179,1)," ")</f>
        <v xml:space="preserve"> </v>
      </c>
      <c r="B1179" s="106">
        <f>COPY!AR1171</f>
        <v>0</v>
      </c>
      <c r="C1179" s="107">
        <f>COPY!AC1171</f>
        <v>0</v>
      </c>
      <c r="D1179" s="107" t="str">
        <f>IF(LEN(Table1722[[#This Row],[Uraian]])&gt;2,1," ")</f>
        <v xml:space="preserve"> </v>
      </c>
      <c r="E1179" s="113" t="str">
        <f>IF(Table1722[[#This Row],[Lawan Transaksi]]="CV AGUNG KARYA",COUNTIF($I$10:I1179,"CV AGUNG KARYA")," ")</f>
        <v xml:space="preserve"> </v>
      </c>
      <c r="F1179" s="107" t="str">
        <f>IF(LEN(Table1722[[#This Row],[Uraian]])&gt;2,TRIM(RIGHT(SUBSTITUTE(TRIM(C1179)," ",REPT(" ",255)),255))," ")</f>
        <v xml:space="preserve"> </v>
      </c>
      <c r="G1179" s="110">
        <f>COPY!Z1171</f>
        <v>0</v>
      </c>
      <c r="H1179" s="111" t="str">
        <f>IFERROR(VLOOKUP(Table1722[[#This Row],[Bukti]],'Un nOTA'!$A$4:$K$5003,10,FALSE),"")</f>
        <v/>
      </c>
      <c r="I1179" s="112" t="str">
        <f>IFERROR(VLOOKUP(Table1722[[#This Row],[Bukti]],Table13[#Data],11,FALSE),"")</f>
        <v/>
      </c>
    </row>
    <row r="1180" spans="1:9" ht="19.5" hidden="1" customHeight="1" x14ac:dyDescent="0.2">
      <c r="A1180" s="105" t="str">
        <f>IF(D1180=1,COUNTIF($D$10:D1180,1)," ")</f>
        <v xml:space="preserve"> </v>
      </c>
      <c r="B1180" s="106">
        <f>COPY!AR1172</f>
        <v>0</v>
      </c>
      <c r="C1180" s="107">
        <f>COPY!AC1172</f>
        <v>0</v>
      </c>
      <c r="D1180" s="107" t="str">
        <f>IF(LEN(Table1722[[#This Row],[Uraian]])&gt;2,1," ")</f>
        <v xml:space="preserve"> </v>
      </c>
      <c r="E1180" s="113" t="str">
        <f>IF(Table1722[[#This Row],[Lawan Transaksi]]="CV AGUNG KARYA",COUNTIF($I$10:I1180,"CV AGUNG KARYA")," ")</f>
        <v xml:space="preserve"> </v>
      </c>
      <c r="F1180" s="107" t="str">
        <f>IF(LEN(Table1722[[#This Row],[Uraian]])&gt;2,TRIM(RIGHT(SUBSTITUTE(TRIM(C1180)," ",REPT(" ",255)),255))," ")</f>
        <v xml:space="preserve"> </v>
      </c>
      <c r="G1180" s="110">
        <f>COPY!Z1172</f>
        <v>0</v>
      </c>
      <c r="H1180" s="111" t="str">
        <f>IFERROR(VLOOKUP(Table1722[[#This Row],[Bukti]],'Un nOTA'!$A$4:$K$5003,10,FALSE),"")</f>
        <v/>
      </c>
      <c r="I1180" s="112" t="str">
        <f>IFERROR(VLOOKUP(Table1722[[#This Row],[Bukti]],Table13[#Data],11,FALSE),"")</f>
        <v/>
      </c>
    </row>
    <row r="1181" spans="1:9" ht="19.5" hidden="1" customHeight="1" x14ac:dyDescent="0.2">
      <c r="A1181" s="105" t="str">
        <f>IF(D1181=1,COUNTIF($D$10:D1181,1)," ")</f>
        <v xml:space="preserve"> </v>
      </c>
      <c r="B1181" s="106">
        <f>COPY!AR1173</f>
        <v>0</v>
      </c>
      <c r="C1181" s="107">
        <f>COPY!AC1173</f>
        <v>0</v>
      </c>
      <c r="D1181" s="107" t="str">
        <f>IF(LEN(Table1722[[#This Row],[Uraian]])&gt;2,1," ")</f>
        <v xml:space="preserve"> </v>
      </c>
      <c r="E1181" s="113" t="str">
        <f>IF(Table1722[[#This Row],[Lawan Transaksi]]="CV AGUNG KARYA",COUNTIF($I$10:I1181,"CV AGUNG KARYA")," ")</f>
        <v xml:space="preserve"> </v>
      </c>
      <c r="F1181" s="107" t="str">
        <f>IF(LEN(Table1722[[#This Row],[Uraian]])&gt;2,TRIM(RIGHT(SUBSTITUTE(TRIM(C1181)," ",REPT(" ",255)),255))," ")</f>
        <v xml:space="preserve"> </v>
      </c>
      <c r="G1181" s="110">
        <f>COPY!Z1173</f>
        <v>0</v>
      </c>
      <c r="H1181" s="111" t="str">
        <f>IFERROR(VLOOKUP(Table1722[[#This Row],[Bukti]],'Un nOTA'!$A$4:$K$5003,10,FALSE),"")</f>
        <v/>
      </c>
      <c r="I1181" s="112" t="str">
        <f>IFERROR(VLOOKUP(Table1722[[#This Row],[Bukti]],Table13[#Data],11,FALSE),"")</f>
        <v/>
      </c>
    </row>
    <row r="1182" spans="1:9" ht="19.5" hidden="1" customHeight="1" x14ac:dyDescent="0.2">
      <c r="A1182" s="105" t="str">
        <f>IF(D1182=1,COUNTIF($D$10:D1182,1)," ")</f>
        <v xml:space="preserve"> </v>
      </c>
      <c r="B1182" s="106">
        <f>COPY!AR1174</f>
        <v>0</v>
      </c>
      <c r="C1182" s="107">
        <f>COPY!AC1174</f>
        <v>0</v>
      </c>
      <c r="D1182" s="107" t="str">
        <f>IF(LEN(Table1722[[#This Row],[Uraian]])&gt;2,1," ")</f>
        <v xml:space="preserve"> </v>
      </c>
      <c r="E1182" s="113" t="str">
        <f>IF(Table1722[[#This Row],[Lawan Transaksi]]="CV AGUNG KARYA",COUNTIF($I$10:I1182,"CV AGUNG KARYA")," ")</f>
        <v xml:space="preserve"> </v>
      </c>
      <c r="F1182" s="107" t="str">
        <f>IF(LEN(Table1722[[#This Row],[Uraian]])&gt;2,TRIM(RIGHT(SUBSTITUTE(TRIM(C1182)," ",REPT(" ",255)),255))," ")</f>
        <v xml:space="preserve"> </v>
      </c>
      <c r="G1182" s="110">
        <f>COPY!Z1174</f>
        <v>0</v>
      </c>
      <c r="H1182" s="111" t="str">
        <f>IFERROR(VLOOKUP(Table1722[[#This Row],[Bukti]],'Un nOTA'!$A$4:$K$5003,10,FALSE),"")</f>
        <v/>
      </c>
      <c r="I1182" s="112" t="str">
        <f>IFERROR(VLOOKUP(Table1722[[#This Row],[Bukti]],Table13[#Data],11,FALSE),"")</f>
        <v/>
      </c>
    </row>
    <row r="1183" spans="1:9" ht="19.5" hidden="1" customHeight="1" x14ac:dyDescent="0.2">
      <c r="A1183" s="105" t="str">
        <f>IF(D1183=1,COUNTIF($D$10:D1183,1)," ")</f>
        <v xml:space="preserve"> </v>
      </c>
      <c r="B1183" s="106">
        <f>COPY!AR1175</f>
        <v>0</v>
      </c>
      <c r="C1183" s="107">
        <f>COPY!AC1175</f>
        <v>0</v>
      </c>
      <c r="D1183" s="107" t="str">
        <f>IF(LEN(Table1722[[#This Row],[Uraian]])&gt;2,1," ")</f>
        <v xml:space="preserve"> </v>
      </c>
      <c r="E1183" s="113" t="str">
        <f>IF(Table1722[[#This Row],[Lawan Transaksi]]="CV AGUNG KARYA",COUNTIF($I$10:I1183,"CV AGUNG KARYA")," ")</f>
        <v xml:space="preserve"> </v>
      </c>
      <c r="F1183" s="107" t="str">
        <f>IF(LEN(Table1722[[#This Row],[Uraian]])&gt;2,TRIM(RIGHT(SUBSTITUTE(TRIM(C1183)," ",REPT(" ",255)),255))," ")</f>
        <v xml:space="preserve"> </v>
      </c>
      <c r="G1183" s="110">
        <f>COPY!Z1175</f>
        <v>0</v>
      </c>
      <c r="H1183" s="111" t="str">
        <f>IFERROR(VLOOKUP(Table1722[[#This Row],[Bukti]],'Un nOTA'!$A$4:$K$5003,10,FALSE),"")</f>
        <v/>
      </c>
      <c r="I1183" s="112" t="str">
        <f>IFERROR(VLOOKUP(Table1722[[#This Row],[Bukti]],Table13[#Data],11,FALSE),"")</f>
        <v/>
      </c>
    </row>
    <row r="1184" spans="1:9" ht="19.5" hidden="1" customHeight="1" x14ac:dyDescent="0.2">
      <c r="A1184" s="105" t="str">
        <f>IF(D1184=1,COUNTIF($D$10:D1184,1)," ")</f>
        <v xml:space="preserve"> </v>
      </c>
      <c r="B1184" s="106">
        <f>COPY!AR1176</f>
        <v>0</v>
      </c>
      <c r="C1184" s="107">
        <f>COPY!AC1176</f>
        <v>0</v>
      </c>
      <c r="D1184" s="107" t="str">
        <f>IF(LEN(Table1722[[#This Row],[Uraian]])&gt;2,1," ")</f>
        <v xml:space="preserve"> </v>
      </c>
      <c r="E1184" s="113" t="str">
        <f>IF(Table1722[[#This Row],[Lawan Transaksi]]="CV AGUNG KARYA",COUNTIF($I$10:I1184,"CV AGUNG KARYA")," ")</f>
        <v xml:space="preserve"> </v>
      </c>
      <c r="F1184" s="107" t="str">
        <f>IF(LEN(Table1722[[#This Row],[Uraian]])&gt;2,TRIM(RIGHT(SUBSTITUTE(TRIM(C1184)," ",REPT(" ",255)),255))," ")</f>
        <v xml:space="preserve"> </v>
      </c>
      <c r="G1184" s="110">
        <f>COPY!Z1176</f>
        <v>0</v>
      </c>
      <c r="H1184" s="111" t="str">
        <f>IFERROR(VLOOKUP(Table1722[[#This Row],[Bukti]],'Un nOTA'!$A$4:$K$5003,10,FALSE),"")</f>
        <v/>
      </c>
      <c r="I1184" s="112" t="str">
        <f>IFERROR(VLOOKUP(Table1722[[#This Row],[Bukti]],Table13[#Data],11,FALSE),"")</f>
        <v/>
      </c>
    </row>
    <row r="1185" spans="1:9" ht="19.5" hidden="1" customHeight="1" x14ac:dyDescent="0.2">
      <c r="A1185" s="105" t="str">
        <f>IF(D1185=1,COUNTIF($D$10:D1185,1)," ")</f>
        <v xml:space="preserve"> </v>
      </c>
      <c r="B1185" s="106">
        <f>COPY!AR1177</f>
        <v>0</v>
      </c>
      <c r="C1185" s="107">
        <f>COPY!AC1177</f>
        <v>0</v>
      </c>
      <c r="D1185" s="107" t="str">
        <f>IF(LEN(Table1722[[#This Row],[Uraian]])&gt;2,1," ")</f>
        <v xml:space="preserve"> </v>
      </c>
      <c r="E1185" s="113" t="str">
        <f>IF(Table1722[[#This Row],[Lawan Transaksi]]="CV AGUNG KARYA",COUNTIF($I$10:I1185,"CV AGUNG KARYA")," ")</f>
        <v xml:space="preserve"> </v>
      </c>
      <c r="F1185" s="107" t="str">
        <f>IF(LEN(Table1722[[#This Row],[Uraian]])&gt;2,TRIM(RIGHT(SUBSTITUTE(TRIM(C1185)," ",REPT(" ",255)),255))," ")</f>
        <v xml:space="preserve"> </v>
      </c>
      <c r="G1185" s="110">
        <f>COPY!Z1177</f>
        <v>0</v>
      </c>
      <c r="H1185" s="111" t="str">
        <f>IFERROR(VLOOKUP(Table1722[[#This Row],[Bukti]],'Un nOTA'!$A$4:$K$5003,10,FALSE),"")</f>
        <v/>
      </c>
      <c r="I1185" s="112" t="str">
        <f>IFERROR(VLOOKUP(Table1722[[#This Row],[Bukti]],Table13[#Data],11,FALSE),"")</f>
        <v/>
      </c>
    </row>
    <row r="1186" spans="1:9" ht="19.5" hidden="1" customHeight="1" x14ac:dyDescent="0.2">
      <c r="A1186" s="105" t="str">
        <f>IF(D1186=1,COUNTIF($D$10:D1186,1)," ")</f>
        <v xml:space="preserve"> </v>
      </c>
      <c r="B1186" s="106">
        <f>COPY!AR1178</f>
        <v>0</v>
      </c>
      <c r="C1186" s="107">
        <f>COPY!AC1178</f>
        <v>0</v>
      </c>
      <c r="D1186" s="107" t="str">
        <f>IF(LEN(Table1722[[#This Row],[Uraian]])&gt;2,1," ")</f>
        <v xml:space="preserve"> </v>
      </c>
      <c r="E1186" s="113" t="str">
        <f>IF(Table1722[[#This Row],[Lawan Transaksi]]="CV AGUNG KARYA",COUNTIF($I$10:I1186,"CV AGUNG KARYA")," ")</f>
        <v xml:space="preserve"> </v>
      </c>
      <c r="F1186" s="107" t="str">
        <f>IF(LEN(Table1722[[#This Row],[Uraian]])&gt;2,TRIM(RIGHT(SUBSTITUTE(TRIM(C1186)," ",REPT(" ",255)),255))," ")</f>
        <v xml:space="preserve"> </v>
      </c>
      <c r="G1186" s="110">
        <f>COPY!Z1178</f>
        <v>0</v>
      </c>
      <c r="H1186" s="111" t="str">
        <f>IFERROR(VLOOKUP(Table1722[[#This Row],[Bukti]],'Un nOTA'!$A$4:$K$5003,10,FALSE),"")</f>
        <v/>
      </c>
      <c r="I1186" s="112" t="str">
        <f>IFERROR(VLOOKUP(Table1722[[#This Row],[Bukti]],Table13[#Data],11,FALSE),"")</f>
        <v/>
      </c>
    </row>
    <row r="1187" spans="1:9" ht="19.5" hidden="1" customHeight="1" x14ac:dyDescent="0.2">
      <c r="A1187" s="105" t="str">
        <f>IF(D1187=1,COUNTIF($D$10:D1187,1)," ")</f>
        <v xml:space="preserve"> </v>
      </c>
      <c r="B1187" s="106">
        <f>COPY!AR1179</f>
        <v>0</v>
      </c>
      <c r="C1187" s="107">
        <f>COPY!AC1179</f>
        <v>0</v>
      </c>
      <c r="D1187" s="107" t="str">
        <f>IF(LEN(Table1722[[#This Row],[Uraian]])&gt;2,1," ")</f>
        <v xml:space="preserve"> </v>
      </c>
      <c r="E1187" s="113" t="str">
        <f>IF(Table1722[[#This Row],[Lawan Transaksi]]="CV AGUNG KARYA",COUNTIF($I$10:I1187,"CV AGUNG KARYA")," ")</f>
        <v xml:space="preserve"> </v>
      </c>
      <c r="F1187" s="107" t="str">
        <f>IF(LEN(Table1722[[#This Row],[Uraian]])&gt;2,TRIM(RIGHT(SUBSTITUTE(TRIM(C1187)," ",REPT(" ",255)),255))," ")</f>
        <v xml:space="preserve"> </v>
      </c>
      <c r="G1187" s="110">
        <f>COPY!Z1179</f>
        <v>0</v>
      </c>
      <c r="H1187" s="111" t="str">
        <f>IFERROR(VLOOKUP(Table1722[[#This Row],[Bukti]],'Un nOTA'!$A$4:$K$5003,10,FALSE),"")</f>
        <v/>
      </c>
      <c r="I1187" s="112" t="str">
        <f>IFERROR(VLOOKUP(Table1722[[#This Row],[Bukti]],Table13[#Data],11,FALSE),"")</f>
        <v/>
      </c>
    </row>
    <row r="1188" spans="1:9" ht="19.5" hidden="1" customHeight="1" x14ac:dyDescent="0.2">
      <c r="A1188" s="105" t="str">
        <f>IF(D1188=1,COUNTIF($D$10:D1188,1)," ")</f>
        <v xml:space="preserve"> </v>
      </c>
      <c r="B1188" s="106">
        <f>COPY!AR1180</f>
        <v>0</v>
      </c>
      <c r="C1188" s="107">
        <f>COPY!AC1180</f>
        <v>0</v>
      </c>
      <c r="D1188" s="107" t="str">
        <f>IF(LEN(Table1722[[#This Row],[Uraian]])&gt;2,1," ")</f>
        <v xml:space="preserve"> </v>
      </c>
      <c r="E1188" s="113" t="str">
        <f>IF(Table1722[[#This Row],[Lawan Transaksi]]="CV AGUNG KARYA",COUNTIF($I$10:I1188,"CV AGUNG KARYA")," ")</f>
        <v xml:space="preserve"> </v>
      </c>
      <c r="F1188" s="107" t="str">
        <f>IF(LEN(Table1722[[#This Row],[Uraian]])&gt;2,TRIM(RIGHT(SUBSTITUTE(TRIM(C1188)," ",REPT(" ",255)),255))," ")</f>
        <v xml:space="preserve"> </v>
      </c>
      <c r="G1188" s="110">
        <f>COPY!Z1180</f>
        <v>0</v>
      </c>
      <c r="H1188" s="111" t="str">
        <f>IFERROR(VLOOKUP(Table1722[[#This Row],[Bukti]],'Un nOTA'!$A$4:$K$5003,10,FALSE),"")</f>
        <v/>
      </c>
      <c r="I1188" s="112" t="str">
        <f>IFERROR(VLOOKUP(Table1722[[#This Row],[Bukti]],Table13[#Data],11,FALSE),"")</f>
        <v/>
      </c>
    </row>
    <row r="1189" spans="1:9" ht="19.5" hidden="1" customHeight="1" x14ac:dyDescent="0.2">
      <c r="A1189" s="105" t="str">
        <f>IF(D1189=1,COUNTIF($D$10:D1189,1)," ")</f>
        <v xml:space="preserve"> </v>
      </c>
      <c r="B1189" s="106">
        <f>COPY!AR1181</f>
        <v>0</v>
      </c>
      <c r="C1189" s="107">
        <f>COPY!AC1181</f>
        <v>0</v>
      </c>
      <c r="D1189" s="107" t="str">
        <f>IF(LEN(Table1722[[#This Row],[Uraian]])&gt;2,1," ")</f>
        <v xml:space="preserve"> </v>
      </c>
      <c r="E1189" s="113" t="str">
        <f>IF(Table1722[[#This Row],[Lawan Transaksi]]="CV AGUNG KARYA",COUNTIF($I$10:I1189,"CV AGUNG KARYA")," ")</f>
        <v xml:space="preserve"> </v>
      </c>
      <c r="F1189" s="107" t="str">
        <f>IF(LEN(Table1722[[#This Row],[Uraian]])&gt;2,TRIM(RIGHT(SUBSTITUTE(TRIM(C1189)," ",REPT(" ",255)),255))," ")</f>
        <v xml:space="preserve"> </v>
      </c>
      <c r="G1189" s="110">
        <f>COPY!Z1181</f>
        <v>0</v>
      </c>
      <c r="H1189" s="111" t="str">
        <f>IFERROR(VLOOKUP(Table1722[[#This Row],[Bukti]],'Un nOTA'!$A$4:$K$5003,10,FALSE),"")</f>
        <v/>
      </c>
      <c r="I1189" s="112" t="str">
        <f>IFERROR(VLOOKUP(Table1722[[#This Row],[Bukti]],Table13[#Data],11,FALSE),"")</f>
        <v/>
      </c>
    </row>
    <row r="1190" spans="1:9" ht="19.5" hidden="1" customHeight="1" x14ac:dyDescent="0.2">
      <c r="A1190" s="105" t="str">
        <f>IF(D1190=1,COUNTIF($D$10:D1190,1)," ")</f>
        <v xml:space="preserve"> </v>
      </c>
      <c r="B1190" s="106">
        <f>COPY!AR1182</f>
        <v>0</v>
      </c>
      <c r="C1190" s="107">
        <f>COPY!AC1182</f>
        <v>0</v>
      </c>
      <c r="D1190" s="107" t="str">
        <f>IF(LEN(Table1722[[#This Row],[Uraian]])&gt;2,1," ")</f>
        <v xml:space="preserve"> </v>
      </c>
      <c r="E1190" s="113" t="str">
        <f>IF(Table1722[[#This Row],[Lawan Transaksi]]="CV AGUNG KARYA",COUNTIF($I$10:I1190,"CV AGUNG KARYA")," ")</f>
        <v xml:space="preserve"> </v>
      </c>
      <c r="F1190" s="107" t="str">
        <f>IF(LEN(Table1722[[#This Row],[Uraian]])&gt;2,TRIM(RIGHT(SUBSTITUTE(TRIM(C1190)," ",REPT(" ",255)),255))," ")</f>
        <v xml:space="preserve"> </v>
      </c>
      <c r="G1190" s="110">
        <f>COPY!Z1182</f>
        <v>0</v>
      </c>
      <c r="H1190" s="111" t="str">
        <f>IFERROR(VLOOKUP(Table1722[[#This Row],[Bukti]],'Un nOTA'!$A$4:$K$5003,10,FALSE),"")</f>
        <v/>
      </c>
      <c r="I1190" s="112" t="str">
        <f>IFERROR(VLOOKUP(Table1722[[#This Row],[Bukti]],Table13[#Data],11,FALSE),"")</f>
        <v/>
      </c>
    </row>
    <row r="1191" spans="1:9" ht="19.5" hidden="1" customHeight="1" x14ac:dyDescent="0.2">
      <c r="A1191" s="105" t="str">
        <f>IF(D1191=1,COUNTIF($D$10:D1191,1)," ")</f>
        <v xml:space="preserve"> </v>
      </c>
      <c r="B1191" s="106">
        <f>COPY!AR1183</f>
        <v>0</v>
      </c>
      <c r="C1191" s="107">
        <f>COPY!AC1183</f>
        <v>0</v>
      </c>
      <c r="D1191" s="107" t="str">
        <f>IF(LEN(Table1722[[#This Row],[Uraian]])&gt;2,1," ")</f>
        <v xml:space="preserve"> </v>
      </c>
      <c r="E1191" s="113" t="str">
        <f>IF(Table1722[[#This Row],[Lawan Transaksi]]="CV AGUNG KARYA",COUNTIF($I$10:I1191,"CV AGUNG KARYA")," ")</f>
        <v xml:space="preserve"> </v>
      </c>
      <c r="F1191" s="107" t="str">
        <f>IF(LEN(Table1722[[#This Row],[Uraian]])&gt;2,TRIM(RIGHT(SUBSTITUTE(TRIM(C1191)," ",REPT(" ",255)),255))," ")</f>
        <v xml:space="preserve"> </v>
      </c>
      <c r="G1191" s="110">
        <f>COPY!Z1183</f>
        <v>0</v>
      </c>
      <c r="H1191" s="111" t="str">
        <f>IFERROR(VLOOKUP(Table1722[[#This Row],[Bukti]],'Un nOTA'!$A$4:$K$5003,10,FALSE),"")</f>
        <v/>
      </c>
      <c r="I1191" s="112" t="str">
        <f>IFERROR(VLOOKUP(Table1722[[#This Row],[Bukti]],Table13[#Data],11,FALSE),"")</f>
        <v/>
      </c>
    </row>
    <row r="1192" spans="1:9" ht="19.5" hidden="1" customHeight="1" x14ac:dyDescent="0.2">
      <c r="A1192" s="105" t="str">
        <f>IF(D1192=1,COUNTIF($D$10:D1192,1)," ")</f>
        <v xml:space="preserve"> </v>
      </c>
      <c r="B1192" s="106">
        <f>COPY!AR1184</f>
        <v>0</v>
      </c>
      <c r="C1192" s="107">
        <f>COPY!AC1184</f>
        <v>0</v>
      </c>
      <c r="D1192" s="107" t="str">
        <f>IF(LEN(Table1722[[#This Row],[Uraian]])&gt;2,1," ")</f>
        <v xml:space="preserve"> </v>
      </c>
      <c r="E1192" s="113" t="str">
        <f>IF(Table1722[[#This Row],[Lawan Transaksi]]="CV AGUNG KARYA",COUNTIF($I$10:I1192,"CV AGUNG KARYA")," ")</f>
        <v xml:space="preserve"> </v>
      </c>
      <c r="F1192" s="107" t="str">
        <f>IF(LEN(Table1722[[#This Row],[Uraian]])&gt;2,TRIM(RIGHT(SUBSTITUTE(TRIM(C1192)," ",REPT(" ",255)),255))," ")</f>
        <v xml:space="preserve"> </v>
      </c>
      <c r="G1192" s="110">
        <f>COPY!Z1184</f>
        <v>0</v>
      </c>
      <c r="H1192" s="111" t="str">
        <f>IFERROR(VLOOKUP(Table1722[[#This Row],[Bukti]],'Un nOTA'!$A$4:$K$5003,10,FALSE),"")</f>
        <v/>
      </c>
      <c r="I1192" s="112" t="str">
        <f>IFERROR(VLOOKUP(Table1722[[#This Row],[Bukti]],Table13[#Data],11,FALSE),"")</f>
        <v/>
      </c>
    </row>
    <row r="1193" spans="1:9" ht="19.5" hidden="1" customHeight="1" x14ac:dyDescent="0.2">
      <c r="A1193" s="105" t="str">
        <f>IF(D1193=1,COUNTIF($D$10:D1193,1)," ")</f>
        <v xml:space="preserve"> </v>
      </c>
      <c r="B1193" s="106">
        <f>COPY!AR1185</f>
        <v>0</v>
      </c>
      <c r="C1193" s="107">
        <f>COPY!AC1185</f>
        <v>0</v>
      </c>
      <c r="D1193" s="107" t="str">
        <f>IF(LEN(Table1722[[#This Row],[Uraian]])&gt;2,1," ")</f>
        <v xml:space="preserve"> </v>
      </c>
      <c r="E1193" s="113" t="str">
        <f>IF(Table1722[[#This Row],[Lawan Transaksi]]="CV AGUNG KARYA",COUNTIF($I$10:I1193,"CV AGUNG KARYA")," ")</f>
        <v xml:space="preserve"> </v>
      </c>
      <c r="F1193" s="107" t="str">
        <f>IF(LEN(Table1722[[#This Row],[Uraian]])&gt;2,TRIM(RIGHT(SUBSTITUTE(TRIM(C1193)," ",REPT(" ",255)),255))," ")</f>
        <v xml:space="preserve"> </v>
      </c>
      <c r="G1193" s="110">
        <f>COPY!Z1185</f>
        <v>0</v>
      </c>
      <c r="H1193" s="111" t="str">
        <f>IFERROR(VLOOKUP(Table1722[[#This Row],[Bukti]],'Un nOTA'!$A$4:$K$5003,10,FALSE),"")</f>
        <v/>
      </c>
      <c r="I1193" s="112" t="str">
        <f>IFERROR(VLOOKUP(Table1722[[#This Row],[Bukti]],Table13[#Data],11,FALSE),"")</f>
        <v/>
      </c>
    </row>
    <row r="1194" spans="1:9" ht="19.5" hidden="1" customHeight="1" x14ac:dyDescent="0.2">
      <c r="A1194" s="105" t="str">
        <f>IF(D1194=1,COUNTIF($D$10:D1194,1)," ")</f>
        <v xml:space="preserve"> </v>
      </c>
      <c r="B1194" s="106">
        <f>COPY!AR1186</f>
        <v>0</v>
      </c>
      <c r="C1194" s="107">
        <f>COPY!AC1186</f>
        <v>0</v>
      </c>
      <c r="D1194" s="107" t="str">
        <f>IF(LEN(Table1722[[#This Row],[Uraian]])&gt;2,1," ")</f>
        <v xml:space="preserve"> </v>
      </c>
      <c r="E1194" s="113" t="str">
        <f>IF(Table1722[[#This Row],[Lawan Transaksi]]="CV AGUNG KARYA",COUNTIF($I$10:I1194,"CV AGUNG KARYA")," ")</f>
        <v xml:space="preserve"> </v>
      </c>
      <c r="F1194" s="107" t="str">
        <f>IF(LEN(Table1722[[#This Row],[Uraian]])&gt;2,TRIM(RIGHT(SUBSTITUTE(TRIM(C1194)," ",REPT(" ",255)),255))," ")</f>
        <v xml:space="preserve"> </v>
      </c>
      <c r="G1194" s="110">
        <f>COPY!Z1186</f>
        <v>0</v>
      </c>
      <c r="H1194" s="111" t="str">
        <f>IFERROR(VLOOKUP(Table1722[[#This Row],[Bukti]],'Un nOTA'!$A$4:$K$5003,10,FALSE),"")</f>
        <v/>
      </c>
      <c r="I1194" s="112" t="str">
        <f>IFERROR(VLOOKUP(Table1722[[#This Row],[Bukti]],Table13[#Data],11,FALSE),"")</f>
        <v/>
      </c>
    </row>
    <row r="1195" spans="1:9" ht="19.5" hidden="1" customHeight="1" x14ac:dyDescent="0.2">
      <c r="A1195" s="105" t="str">
        <f>IF(D1195=1,COUNTIF($D$10:D1195,1)," ")</f>
        <v xml:space="preserve"> </v>
      </c>
      <c r="B1195" s="106">
        <f>COPY!AR1187</f>
        <v>0</v>
      </c>
      <c r="C1195" s="107">
        <f>COPY!AC1187</f>
        <v>0</v>
      </c>
      <c r="D1195" s="107" t="str">
        <f>IF(LEN(Table1722[[#This Row],[Uraian]])&gt;2,1," ")</f>
        <v xml:space="preserve"> </v>
      </c>
      <c r="E1195" s="113" t="str">
        <f>IF(Table1722[[#This Row],[Lawan Transaksi]]="CV AGUNG KARYA",COUNTIF($I$10:I1195,"CV AGUNG KARYA")," ")</f>
        <v xml:space="preserve"> </v>
      </c>
      <c r="F1195" s="107" t="str">
        <f>IF(LEN(Table1722[[#This Row],[Uraian]])&gt;2,TRIM(RIGHT(SUBSTITUTE(TRIM(C1195)," ",REPT(" ",255)),255))," ")</f>
        <v xml:space="preserve"> </v>
      </c>
      <c r="G1195" s="110">
        <f>COPY!Z1187</f>
        <v>0</v>
      </c>
      <c r="H1195" s="111" t="str">
        <f>IFERROR(VLOOKUP(Table1722[[#This Row],[Bukti]],'Un nOTA'!$A$4:$K$5003,10,FALSE),"")</f>
        <v/>
      </c>
      <c r="I1195" s="112" t="str">
        <f>IFERROR(VLOOKUP(Table1722[[#This Row],[Bukti]],Table13[#Data],11,FALSE),"")</f>
        <v/>
      </c>
    </row>
    <row r="1196" spans="1:9" ht="19.5" hidden="1" customHeight="1" x14ac:dyDescent="0.2">
      <c r="A1196" s="105" t="str">
        <f>IF(D1196=1,COUNTIF($D$10:D1196,1)," ")</f>
        <v xml:space="preserve"> </v>
      </c>
      <c r="B1196" s="106">
        <f>COPY!AR1188</f>
        <v>0</v>
      </c>
      <c r="C1196" s="107">
        <f>COPY!AC1188</f>
        <v>0</v>
      </c>
      <c r="D1196" s="107" t="str">
        <f>IF(LEN(Table1722[[#This Row],[Uraian]])&gt;2,1," ")</f>
        <v xml:space="preserve"> </v>
      </c>
      <c r="E1196" s="113" t="str">
        <f>IF(Table1722[[#This Row],[Lawan Transaksi]]="CV AGUNG KARYA",COUNTIF($I$10:I1196,"CV AGUNG KARYA")," ")</f>
        <v xml:space="preserve"> </v>
      </c>
      <c r="F1196" s="107" t="str">
        <f>IF(LEN(Table1722[[#This Row],[Uraian]])&gt;2,TRIM(RIGHT(SUBSTITUTE(TRIM(C1196)," ",REPT(" ",255)),255))," ")</f>
        <v xml:space="preserve"> </v>
      </c>
      <c r="G1196" s="110">
        <f>COPY!Z1188</f>
        <v>0</v>
      </c>
      <c r="H1196" s="111" t="str">
        <f>IFERROR(VLOOKUP(Table1722[[#This Row],[Bukti]],'Un nOTA'!$A$4:$K$5003,10,FALSE),"")</f>
        <v/>
      </c>
      <c r="I1196" s="112" t="str">
        <f>IFERROR(VLOOKUP(Table1722[[#This Row],[Bukti]],Table13[#Data],11,FALSE),"")</f>
        <v/>
      </c>
    </row>
    <row r="1197" spans="1:9" ht="19.5" hidden="1" customHeight="1" x14ac:dyDescent="0.2">
      <c r="A1197" s="105" t="str">
        <f>IF(D1197=1,COUNTIF($D$10:D1197,1)," ")</f>
        <v xml:space="preserve"> </v>
      </c>
      <c r="B1197" s="106">
        <f>COPY!AR1189</f>
        <v>0</v>
      </c>
      <c r="C1197" s="107">
        <f>COPY!AC1189</f>
        <v>0</v>
      </c>
      <c r="D1197" s="107" t="str">
        <f>IF(LEN(Table1722[[#This Row],[Uraian]])&gt;2,1," ")</f>
        <v xml:space="preserve"> </v>
      </c>
      <c r="E1197" s="113" t="str">
        <f>IF(Table1722[[#This Row],[Lawan Transaksi]]="CV AGUNG KARYA",COUNTIF($I$10:I1197,"CV AGUNG KARYA")," ")</f>
        <v xml:space="preserve"> </v>
      </c>
      <c r="F1197" s="107" t="str">
        <f>IF(LEN(Table1722[[#This Row],[Uraian]])&gt;2,TRIM(RIGHT(SUBSTITUTE(TRIM(C1197)," ",REPT(" ",255)),255))," ")</f>
        <v xml:space="preserve"> </v>
      </c>
      <c r="G1197" s="110">
        <f>COPY!Z1189</f>
        <v>0</v>
      </c>
      <c r="H1197" s="111" t="str">
        <f>IFERROR(VLOOKUP(Table1722[[#This Row],[Bukti]],'Un nOTA'!$A$4:$K$5003,10,FALSE),"")</f>
        <v/>
      </c>
      <c r="I1197" s="112" t="str">
        <f>IFERROR(VLOOKUP(Table1722[[#This Row],[Bukti]],Table13[#Data],11,FALSE),"")</f>
        <v/>
      </c>
    </row>
    <row r="1198" spans="1:9" ht="19.5" hidden="1" customHeight="1" x14ac:dyDescent="0.2">
      <c r="A1198" s="105" t="str">
        <f>IF(D1198=1,COUNTIF($D$10:D1198,1)," ")</f>
        <v xml:space="preserve"> </v>
      </c>
      <c r="B1198" s="106">
        <f>COPY!AR1190</f>
        <v>0</v>
      </c>
      <c r="C1198" s="107">
        <f>COPY!AC1190</f>
        <v>0</v>
      </c>
      <c r="D1198" s="107" t="str">
        <f>IF(LEN(Table1722[[#This Row],[Uraian]])&gt;2,1," ")</f>
        <v xml:space="preserve"> </v>
      </c>
      <c r="E1198" s="113" t="str">
        <f>IF(Table1722[[#This Row],[Lawan Transaksi]]="CV AGUNG KARYA",COUNTIF($I$10:I1198,"CV AGUNG KARYA")," ")</f>
        <v xml:space="preserve"> </v>
      </c>
      <c r="F1198" s="107" t="str">
        <f>IF(LEN(Table1722[[#This Row],[Uraian]])&gt;2,TRIM(RIGHT(SUBSTITUTE(TRIM(C1198)," ",REPT(" ",255)),255))," ")</f>
        <v xml:space="preserve"> </v>
      </c>
      <c r="G1198" s="110">
        <f>COPY!Z1190</f>
        <v>0</v>
      </c>
      <c r="H1198" s="111" t="str">
        <f>IFERROR(VLOOKUP(Table1722[[#This Row],[Bukti]],'Un nOTA'!$A$4:$K$5003,10,FALSE),"")</f>
        <v/>
      </c>
      <c r="I1198" s="112" t="str">
        <f>IFERROR(VLOOKUP(Table1722[[#This Row],[Bukti]],Table13[#Data],11,FALSE),"")</f>
        <v/>
      </c>
    </row>
    <row r="1199" spans="1:9" ht="19.5" hidden="1" customHeight="1" x14ac:dyDescent="0.2">
      <c r="A1199" s="105" t="str">
        <f>IF(D1199=1,COUNTIF($D$10:D1199,1)," ")</f>
        <v xml:space="preserve"> </v>
      </c>
      <c r="B1199" s="106">
        <f>COPY!AR1191</f>
        <v>0</v>
      </c>
      <c r="C1199" s="107">
        <f>COPY!AC1191</f>
        <v>0</v>
      </c>
      <c r="D1199" s="107" t="str">
        <f>IF(LEN(Table1722[[#This Row],[Uraian]])&gt;2,1," ")</f>
        <v xml:space="preserve"> </v>
      </c>
      <c r="E1199" s="113" t="str">
        <f>IF(Table1722[[#This Row],[Lawan Transaksi]]="CV AGUNG KARYA",COUNTIF($I$10:I1199,"CV AGUNG KARYA")," ")</f>
        <v xml:space="preserve"> </v>
      </c>
      <c r="F1199" s="107" t="str">
        <f>IF(LEN(Table1722[[#This Row],[Uraian]])&gt;2,TRIM(RIGHT(SUBSTITUTE(TRIM(C1199)," ",REPT(" ",255)),255))," ")</f>
        <v xml:space="preserve"> </v>
      </c>
      <c r="G1199" s="110">
        <f>COPY!Z1191</f>
        <v>0</v>
      </c>
      <c r="H1199" s="111" t="str">
        <f>IFERROR(VLOOKUP(Table1722[[#This Row],[Bukti]],'Un nOTA'!$A$4:$K$5003,10,FALSE),"")</f>
        <v/>
      </c>
      <c r="I1199" s="112" t="str">
        <f>IFERROR(VLOOKUP(Table1722[[#This Row],[Bukti]],Table13[#Data],11,FALSE),"")</f>
        <v/>
      </c>
    </row>
    <row r="1200" spans="1:9" ht="19.5" hidden="1" customHeight="1" x14ac:dyDescent="0.2">
      <c r="A1200" s="105" t="str">
        <f>IF(D1200=1,COUNTIF($D$10:D1200,1)," ")</f>
        <v xml:space="preserve"> </v>
      </c>
      <c r="B1200" s="106">
        <f>COPY!AR1192</f>
        <v>0</v>
      </c>
      <c r="C1200" s="107">
        <f>COPY!AC1192</f>
        <v>0</v>
      </c>
      <c r="D1200" s="107" t="str">
        <f>IF(LEN(Table1722[[#This Row],[Uraian]])&gt;2,1," ")</f>
        <v xml:space="preserve"> </v>
      </c>
      <c r="E1200" s="113" t="str">
        <f>IF(Table1722[[#This Row],[Lawan Transaksi]]="CV AGUNG KARYA",COUNTIF($I$10:I1200,"CV AGUNG KARYA")," ")</f>
        <v xml:space="preserve"> </v>
      </c>
      <c r="F1200" s="107" t="str">
        <f>IF(LEN(Table1722[[#This Row],[Uraian]])&gt;2,TRIM(RIGHT(SUBSTITUTE(TRIM(C1200)," ",REPT(" ",255)),255))," ")</f>
        <v xml:space="preserve"> </v>
      </c>
      <c r="G1200" s="110">
        <f>COPY!Z1192</f>
        <v>0</v>
      </c>
      <c r="H1200" s="111" t="str">
        <f>IFERROR(VLOOKUP(Table1722[[#This Row],[Bukti]],'Un nOTA'!$A$4:$K$5003,10,FALSE),"")</f>
        <v/>
      </c>
      <c r="I1200" s="112" t="str">
        <f>IFERROR(VLOOKUP(Table1722[[#This Row],[Bukti]],Table13[#Data],11,FALSE),"")</f>
        <v/>
      </c>
    </row>
    <row r="1201" spans="1:9" ht="19.5" hidden="1" customHeight="1" x14ac:dyDescent="0.2">
      <c r="A1201" s="105" t="str">
        <f>IF(D1201=1,COUNTIF($D$10:D1201,1)," ")</f>
        <v xml:space="preserve"> </v>
      </c>
      <c r="B1201" s="106">
        <f>COPY!AR1193</f>
        <v>0</v>
      </c>
      <c r="C1201" s="107">
        <f>COPY!AC1193</f>
        <v>0</v>
      </c>
      <c r="D1201" s="107" t="str">
        <f>IF(LEN(Table1722[[#This Row],[Uraian]])&gt;2,1," ")</f>
        <v xml:space="preserve"> </v>
      </c>
      <c r="E1201" s="113" t="str">
        <f>IF(Table1722[[#This Row],[Lawan Transaksi]]="CV AGUNG KARYA",COUNTIF($I$10:I1201,"CV AGUNG KARYA")," ")</f>
        <v xml:space="preserve"> </v>
      </c>
      <c r="F1201" s="107" t="str">
        <f>IF(LEN(Table1722[[#This Row],[Uraian]])&gt;2,TRIM(RIGHT(SUBSTITUTE(TRIM(C1201)," ",REPT(" ",255)),255))," ")</f>
        <v xml:space="preserve"> </v>
      </c>
      <c r="G1201" s="110">
        <f>COPY!Z1193</f>
        <v>0</v>
      </c>
      <c r="H1201" s="111" t="str">
        <f>IFERROR(VLOOKUP(Table1722[[#This Row],[Bukti]],'Un nOTA'!$A$4:$K$5003,10,FALSE),"")</f>
        <v/>
      </c>
      <c r="I1201" s="112" t="str">
        <f>IFERROR(VLOOKUP(Table1722[[#This Row],[Bukti]],Table13[#Data],11,FALSE),"")</f>
        <v/>
      </c>
    </row>
    <row r="1202" spans="1:9" ht="19.5" hidden="1" customHeight="1" x14ac:dyDescent="0.2">
      <c r="A1202" s="105" t="str">
        <f>IF(D1202=1,COUNTIF($D$10:D1202,1)," ")</f>
        <v xml:space="preserve"> </v>
      </c>
      <c r="B1202" s="106">
        <f>COPY!AR1194</f>
        <v>0</v>
      </c>
      <c r="C1202" s="107">
        <f>COPY!AC1194</f>
        <v>0</v>
      </c>
      <c r="D1202" s="107" t="str">
        <f>IF(LEN(Table1722[[#This Row],[Uraian]])&gt;2,1," ")</f>
        <v xml:space="preserve"> </v>
      </c>
      <c r="E1202" s="113" t="str">
        <f>IF(Table1722[[#This Row],[Lawan Transaksi]]="CV AGUNG KARYA",COUNTIF($I$10:I1202,"CV AGUNG KARYA")," ")</f>
        <v xml:space="preserve"> </v>
      </c>
      <c r="F1202" s="107" t="str">
        <f>IF(LEN(Table1722[[#This Row],[Uraian]])&gt;2,TRIM(RIGHT(SUBSTITUTE(TRIM(C1202)," ",REPT(" ",255)),255))," ")</f>
        <v xml:space="preserve"> </v>
      </c>
      <c r="G1202" s="110">
        <f>COPY!Z1194</f>
        <v>0</v>
      </c>
      <c r="H1202" s="111" t="str">
        <f>IFERROR(VLOOKUP(Table1722[[#This Row],[Bukti]],'Un nOTA'!$A$4:$K$5003,10,FALSE),"")</f>
        <v/>
      </c>
      <c r="I1202" s="112" t="str">
        <f>IFERROR(VLOOKUP(Table1722[[#This Row],[Bukti]],Table13[#Data],11,FALSE),"")</f>
        <v/>
      </c>
    </row>
    <row r="1203" spans="1:9" ht="19.5" hidden="1" customHeight="1" x14ac:dyDescent="0.2">
      <c r="A1203" s="105" t="str">
        <f>IF(D1203=1,COUNTIF($D$10:D1203,1)," ")</f>
        <v xml:space="preserve"> </v>
      </c>
      <c r="B1203" s="106">
        <f>COPY!AR1195</f>
        <v>0</v>
      </c>
      <c r="C1203" s="107">
        <f>COPY!AC1195</f>
        <v>0</v>
      </c>
      <c r="D1203" s="107" t="str">
        <f>IF(LEN(Table1722[[#This Row],[Uraian]])&gt;2,1," ")</f>
        <v xml:space="preserve"> </v>
      </c>
      <c r="E1203" s="113" t="str">
        <f>IF(Table1722[[#This Row],[Lawan Transaksi]]="CV AGUNG KARYA",COUNTIF($I$10:I1203,"CV AGUNG KARYA")," ")</f>
        <v xml:space="preserve"> </v>
      </c>
      <c r="F1203" s="107" t="str">
        <f>IF(LEN(Table1722[[#This Row],[Uraian]])&gt;2,TRIM(RIGHT(SUBSTITUTE(TRIM(C1203)," ",REPT(" ",255)),255))," ")</f>
        <v xml:space="preserve"> </v>
      </c>
      <c r="G1203" s="110">
        <f>COPY!Z1195</f>
        <v>0</v>
      </c>
      <c r="H1203" s="111" t="str">
        <f>IFERROR(VLOOKUP(Table1722[[#This Row],[Bukti]],'Un nOTA'!$A$4:$K$5003,10,FALSE),"")</f>
        <v/>
      </c>
      <c r="I1203" s="112" t="str">
        <f>IFERROR(VLOOKUP(Table1722[[#This Row],[Bukti]],Table13[#Data],11,FALSE),"")</f>
        <v/>
      </c>
    </row>
    <row r="1204" spans="1:9" ht="19.5" hidden="1" customHeight="1" x14ac:dyDescent="0.2">
      <c r="A1204" s="105" t="str">
        <f>IF(D1204=1,COUNTIF($D$10:D1204,1)," ")</f>
        <v xml:space="preserve"> </v>
      </c>
      <c r="B1204" s="106">
        <f>COPY!AR1196</f>
        <v>0</v>
      </c>
      <c r="C1204" s="107">
        <f>COPY!AC1196</f>
        <v>0</v>
      </c>
      <c r="D1204" s="107" t="str">
        <f>IF(LEN(Table1722[[#This Row],[Uraian]])&gt;2,1," ")</f>
        <v xml:space="preserve"> </v>
      </c>
      <c r="E1204" s="113" t="str">
        <f>IF(Table1722[[#This Row],[Lawan Transaksi]]="CV AGUNG KARYA",COUNTIF($I$10:I1204,"CV AGUNG KARYA")," ")</f>
        <v xml:space="preserve"> </v>
      </c>
      <c r="F1204" s="107" t="str">
        <f>IF(LEN(Table1722[[#This Row],[Uraian]])&gt;2,TRIM(RIGHT(SUBSTITUTE(TRIM(C1204)," ",REPT(" ",255)),255))," ")</f>
        <v xml:space="preserve"> </v>
      </c>
      <c r="G1204" s="110">
        <f>COPY!Z1196</f>
        <v>0</v>
      </c>
      <c r="H1204" s="111" t="str">
        <f>IFERROR(VLOOKUP(Table1722[[#This Row],[Bukti]],'Un nOTA'!$A$4:$K$5003,10,FALSE),"")</f>
        <v/>
      </c>
      <c r="I1204" s="112" t="str">
        <f>IFERROR(VLOOKUP(Table1722[[#This Row],[Bukti]],Table13[#Data],11,FALSE),"")</f>
        <v/>
      </c>
    </row>
    <row r="1205" spans="1:9" ht="19.5" hidden="1" customHeight="1" x14ac:dyDescent="0.2">
      <c r="A1205" s="105" t="str">
        <f>IF(D1205=1,COUNTIF($D$10:D1205,1)," ")</f>
        <v xml:space="preserve"> </v>
      </c>
      <c r="B1205" s="106">
        <f>COPY!AR1197</f>
        <v>0</v>
      </c>
      <c r="C1205" s="107">
        <f>COPY!AC1197</f>
        <v>0</v>
      </c>
      <c r="D1205" s="107" t="str">
        <f>IF(LEN(Table1722[[#This Row],[Uraian]])&gt;2,1," ")</f>
        <v xml:space="preserve"> </v>
      </c>
      <c r="E1205" s="113" t="str">
        <f>IF(Table1722[[#This Row],[Lawan Transaksi]]="CV AGUNG KARYA",COUNTIF($I$10:I1205,"CV AGUNG KARYA")," ")</f>
        <v xml:space="preserve"> </v>
      </c>
      <c r="F1205" s="107" t="str">
        <f>IF(LEN(Table1722[[#This Row],[Uraian]])&gt;2,TRIM(RIGHT(SUBSTITUTE(TRIM(C1205)," ",REPT(" ",255)),255))," ")</f>
        <v xml:space="preserve"> </v>
      </c>
      <c r="G1205" s="110">
        <f>COPY!Z1197</f>
        <v>0</v>
      </c>
      <c r="H1205" s="111" t="str">
        <f>IFERROR(VLOOKUP(Table1722[[#This Row],[Bukti]],'Un nOTA'!$A$4:$K$5003,10,FALSE),"")</f>
        <v/>
      </c>
      <c r="I1205" s="112" t="str">
        <f>IFERROR(VLOOKUP(Table1722[[#This Row],[Bukti]],Table13[#Data],11,FALSE),"")</f>
        <v/>
      </c>
    </row>
    <row r="1206" spans="1:9" ht="19.5" hidden="1" customHeight="1" x14ac:dyDescent="0.2">
      <c r="A1206" s="105" t="str">
        <f>IF(D1206=1,COUNTIF($D$10:D1206,1)," ")</f>
        <v xml:space="preserve"> </v>
      </c>
      <c r="B1206" s="106">
        <f>COPY!AR1198</f>
        <v>0</v>
      </c>
      <c r="C1206" s="107">
        <f>COPY!AC1198</f>
        <v>0</v>
      </c>
      <c r="D1206" s="107" t="str">
        <f>IF(LEN(Table1722[[#This Row],[Uraian]])&gt;2,1," ")</f>
        <v xml:space="preserve"> </v>
      </c>
      <c r="E1206" s="113" t="str">
        <f>IF(Table1722[[#This Row],[Lawan Transaksi]]="CV AGUNG KARYA",COUNTIF($I$10:I1206,"CV AGUNG KARYA")," ")</f>
        <v xml:space="preserve"> </v>
      </c>
      <c r="F1206" s="107" t="str">
        <f>IF(LEN(Table1722[[#This Row],[Uraian]])&gt;2,TRIM(RIGHT(SUBSTITUTE(TRIM(C1206)," ",REPT(" ",255)),255))," ")</f>
        <v xml:space="preserve"> </v>
      </c>
      <c r="G1206" s="110">
        <f>COPY!Z1198</f>
        <v>0</v>
      </c>
      <c r="H1206" s="111" t="str">
        <f>IFERROR(VLOOKUP(Table1722[[#This Row],[Bukti]],'Un nOTA'!$A$4:$K$5003,10,FALSE),"")</f>
        <v/>
      </c>
      <c r="I1206" s="112" t="str">
        <f>IFERROR(VLOOKUP(Table1722[[#This Row],[Bukti]],Table13[#Data],11,FALSE),"")</f>
        <v/>
      </c>
    </row>
    <row r="1207" spans="1:9" ht="19.5" hidden="1" customHeight="1" x14ac:dyDescent="0.2">
      <c r="A1207" s="105" t="str">
        <f>IF(D1207=1,COUNTIF($D$10:D1207,1)," ")</f>
        <v xml:space="preserve"> </v>
      </c>
      <c r="B1207" s="106">
        <f>COPY!AR1199</f>
        <v>0</v>
      </c>
      <c r="C1207" s="107">
        <f>COPY!AC1199</f>
        <v>0</v>
      </c>
      <c r="D1207" s="107" t="str">
        <f>IF(LEN(Table1722[[#This Row],[Uraian]])&gt;2,1," ")</f>
        <v xml:space="preserve"> </v>
      </c>
      <c r="E1207" s="113" t="str">
        <f>IF(Table1722[[#This Row],[Lawan Transaksi]]="CV AGUNG KARYA",COUNTIF($I$10:I1207,"CV AGUNG KARYA")," ")</f>
        <v xml:space="preserve"> </v>
      </c>
      <c r="F1207" s="107" t="str">
        <f>IF(LEN(Table1722[[#This Row],[Uraian]])&gt;2,TRIM(RIGHT(SUBSTITUTE(TRIM(C1207)," ",REPT(" ",255)),255))," ")</f>
        <v xml:space="preserve"> </v>
      </c>
      <c r="G1207" s="110">
        <f>COPY!Z1199</f>
        <v>0</v>
      </c>
      <c r="H1207" s="111" t="str">
        <f>IFERROR(VLOOKUP(Table1722[[#This Row],[Bukti]],'Un nOTA'!$A$4:$K$5003,10,FALSE),"")</f>
        <v/>
      </c>
      <c r="I1207" s="112" t="str">
        <f>IFERROR(VLOOKUP(Table1722[[#This Row],[Bukti]],Table13[#Data],11,FALSE),"")</f>
        <v/>
      </c>
    </row>
    <row r="1208" spans="1:9" ht="19.5" hidden="1" customHeight="1" x14ac:dyDescent="0.2">
      <c r="A1208" s="105" t="str">
        <f>IF(D1208=1,COUNTIF($D$10:D1208,1)," ")</f>
        <v xml:space="preserve"> </v>
      </c>
      <c r="B1208" s="106">
        <f>COPY!AR1200</f>
        <v>0</v>
      </c>
      <c r="C1208" s="107">
        <f>COPY!AC1200</f>
        <v>0</v>
      </c>
      <c r="D1208" s="107" t="str">
        <f>IF(LEN(Table1722[[#This Row],[Uraian]])&gt;2,1," ")</f>
        <v xml:space="preserve"> </v>
      </c>
      <c r="E1208" s="113" t="str">
        <f>IF(Table1722[[#This Row],[Lawan Transaksi]]="CV AGUNG KARYA",COUNTIF($I$10:I1208,"CV AGUNG KARYA")," ")</f>
        <v xml:space="preserve"> </v>
      </c>
      <c r="F1208" s="107" t="str">
        <f>IF(LEN(Table1722[[#This Row],[Uraian]])&gt;2,TRIM(RIGHT(SUBSTITUTE(TRIM(C1208)," ",REPT(" ",255)),255))," ")</f>
        <v xml:space="preserve"> </v>
      </c>
      <c r="G1208" s="110">
        <f>COPY!Z1200</f>
        <v>0</v>
      </c>
      <c r="H1208" s="111" t="str">
        <f>IFERROR(VLOOKUP(Table1722[[#This Row],[Bukti]],'Un nOTA'!$A$4:$K$5003,10,FALSE),"")</f>
        <v/>
      </c>
      <c r="I1208" s="112" t="str">
        <f>IFERROR(VLOOKUP(Table1722[[#This Row],[Bukti]],Table13[#Data],11,FALSE),"")</f>
        <v/>
      </c>
    </row>
    <row r="1209" spans="1:9" ht="19.5" hidden="1" customHeight="1" x14ac:dyDescent="0.2">
      <c r="A1209" s="105" t="str">
        <f>IF(D1209=1,COUNTIF($D$10:D1209,1)," ")</f>
        <v xml:space="preserve"> </v>
      </c>
      <c r="B1209" s="106">
        <f>COPY!AR1201</f>
        <v>0</v>
      </c>
      <c r="C1209" s="107">
        <f>COPY!AC1201</f>
        <v>0</v>
      </c>
      <c r="D1209" s="107" t="str">
        <f>IF(LEN(Table1722[[#This Row],[Uraian]])&gt;2,1," ")</f>
        <v xml:space="preserve"> </v>
      </c>
      <c r="E1209" s="113" t="str">
        <f>IF(Table1722[[#This Row],[Lawan Transaksi]]="CV AGUNG KARYA",COUNTIF($I$10:I1209,"CV AGUNG KARYA")," ")</f>
        <v xml:space="preserve"> </v>
      </c>
      <c r="F1209" s="107" t="str">
        <f>IF(LEN(Table1722[[#This Row],[Uraian]])&gt;2,TRIM(RIGHT(SUBSTITUTE(TRIM(C1209)," ",REPT(" ",255)),255))," ")</f>
        <v xml:space="preserve"> </v>
      </c>
      <c r="G1209" s="110">
        <f>COPY!Z1201</f>
        <v>0</v>
      </c>
      <c r="H1209" s="111" t="str">
        <f>IFERROR(VLOOKUP(Table1722[[#This Row],[Bukti]],'Un nOTA'!$A$4:$K$5003,10,FALSE),"")</f>
        <v/>
      </c>
      <c r="I1209" s="112" t="str">
        <f>IFERROR(VLOOKUP(Table1722[[#This Row],[Bukti]],Table13[#Data],11,FALSE),"")</f>
        <v/>
      </c>
    </row>
    <row r="1210" spans="1:9" ht="19.5" hidden="1" customHeight="1" x14ac:dyDescent="0.2">
      <c r="A1210" s="105" t="str">
        <f>IF(D1210=1,COUNTIF($D$10:D1210,1)," ")</f>
        <v xml:space="preserve"> </v>
      </c>
      <c r="B1210" s="106">
        <f>COPY!AR1202</f>
        <v>0</v>
      </c>
      <c r="C1210" s="107">
        <f>COPY!AC1202</f>
        <v>0</v>
      </c>
      <c r="D1210" s="107" t="str">
        <f>IF(LEN(Table1722[[#This Row],[Uraian]])&gt;2,1," ")</f>
        <v xml:space="preserve"> </v>
      </c>
      <c r="E1210" s="113" t="str">
        <f>IF(Table1722[[#This Row],[Lawan Transaksi]]="CV AGUNG KARYA",COUNTIF($I$10:I1210,"CV AGUNG KARYA")," ")</f>
        <v xml:space="preserve"> </v>
      </c>
      <c r="F1210" s="107" t="str">
        <f>IF(LEN(Table1722[[#This Row],[Uraian]])&gt;2,TRIM(RIGHT(SUBSTITUTE(TRIM(C1210)," ",REPT(" ",255)),255))," ")</f>
        <v xml:space="preserve"> </v>
      </c>
      <c r="G1210" s="110">
        <f>COPY!Z1202</f>
        <v>0</v>
      </c>
      <c r="H1210" s="111" t="str">
        <f>IFERROR(VLOOKUP(Table1722[[#This Row],[Bukti]],'Un nOTA'!$A$4:$K$5003,10,FALSE),"")</f>
        <v/>
      </c>
      <c r="I1210" s="112" t="str">
        <f>IFERROR(VLOOKUP(Table1722[[#This Row],[Bukti]],Table13[#Data],11,FALSE),"")</f>
        <v/>
      </c>
    </row>
    <row r="1211" spans="1:9" ht="19.5" hidden="1" customHeight="1" x14ac:dyDescent="0.2">
      <c r="A1211" s="105" t="str">
        <f>IF(D1211=1,COUNTIF($D$10:D1211,1)," ")</f>
        <v xml:space="preserve"> </v>
      </c>
      <c r="B1211" s="106">
        <f>COPY!AR1203</f>
        <v>0</v>
      </c>
      <c r="C1211" s="107">
        <f>COPY!AC1203</f>
        <v>0</v>
      </c>
      <c r="D1211" s="107" t="str">
        <f>IF(LEN(Table1722[[#This Row],[Uraian]])&gt;2,1," ")</f>
        <v xml:space="preserve"> </v>
      </c>
      <c r="E1211" s="113" t="str">
        <f>IF(Table1722[[#This Row],[Lawan Transaksi]]="CV AGUNG KARYA",COUNTIF($I$10:I1211,"CV AGUNG KARYA")," ")</f>
        <v xml:space="preserve"> </v>
      </c>
      <c r="F1211" s="107" t="str">
        <f>IF(LEN(Table1722[[#This Row],[Uraian]])&gt;2,TRIM(RIGHT(SUBSTITUTE(TRIM(C1211)," ",REPT(" ",255)),255))," ")</f>
        <v xml:space="preserve"> </v>
      </c>
      <c r="G1211" s="110">
        <f>COPY!Z1203</f>
        <v>0</v>
      </c>
      <c r="H1211" s="111" t="str">
        <f>IFERROR(VLOOKUP(Table1722[[#This Row],[Bukti]],'Un nOTA'!$A$4:$K$5003,10,FALSE),"")</f>
        <v/>
      </c>
      <c r="I1211" s="112" t="str">
        <f>IFERROR(VLOOKUP(Table1722[[#This Row],[Bukti]],Table13[#Data],11,FALSE),"")</f>
        <v/>
      </c>
    </row>
    <row r="1212" spans="1:9" ht="19.5" hidden="1" customHeight="1" x14ac:dyDescent="0.2">
      <c r="A1212" s="105" t="str">
        <f>IF(D1212=1,COUNTIF($D$10:D1212,1)," ")</f>
        <v xml:space="preserve"> </v>
      </c>
      <c r="B1212" s="106">
        <f>COPY!AR1204</f>
        <v>0</v>
      </c>
      <c r="C1212" s="107">
        <f>COPY!AC1204</f>
        <v>0</v>
      </c>
      <c r="D1212" s="107" t="str">
        <f>IF(LEN(Table1722[[#This Row],[Uraian]])&gt;2,1," ")</f>
        <v xml:space="preserve"> </v>
      </c>
      <c r="E1212" s="113" t="str">
        <f>IF(Table1722[[#This Row],[Lawan Transaksi]]="CV AGUNG KARYA",COUNTIF($I$10:I1212,"CV AGUNG KARYA")," ")</f>
        <v xml:space="preserve"> </v>
      </c>
      <c r="F1212" s="107" t="str">
        <f>IF(LEN(Table1722[[#This Row],[Uraian]])&gt;2,TRIM(RIGHT(SUBSTITUTE(TRIM(C1212)," ",REPT(" ",255)),255))," ")</f>
        <v xml:space="preserve"> </v>
      </c>
      <c r="G1212" s="110">
        <f>COPY!Z1204</f>
        <v>0</v>
      </c>
      <c r="H1212" s="111" t="str">
        <f>IFERROR(VLOOKUP(Table1722[[#This Row],[Bukti]],'Un nOTA'!$A$4:$K$5003,10,FALSE),"")</f>
        <v/>
      </c>
      <c r="I1212" s="112" t="str">
        <f>IFERROR(VLOOKUP(Table1722[[#This Row],[Bukti]],Table13[#Data],11,FALSE),"")</f>
        <v/>
      </c>
    </row>
    <row r="1213" spans="1:9" ht="19.5" hidden="1" customHeight="1" x14ac:dyDescent="0.2">
      <c r="A1213" s="105" t="str">
        <f>IF(D1213=1,COUNTIF($D$10:D1213,1)," ")</f>
        <v xml:space="preserve"> </v>
      </c>
      <c r="B1213" s="106">
        <f>COPY!AR1205</f>
        <v>0</v>
      </c>
      <c r="C1213" s="107">
        <f>COPY!AC1205</f>
        <v>0</v>
      </c>
      <c r="D1213" s="107" t="str">
        <f>IF(LEN(Table1722[[#This Row],[Uraian]])&gt;2,1," ")</f>
        <v xml:space="preserve"> </v>
      </c>
      <c r="E1213" s="113" t="str">
        <f>IF(Table1722[[#This Row],[Lawan Transaksi]]="CV AGUNG KARYA",COUNTIF($I$10:I1213,"CV AGUNG KARYA")," ")</f>
        <v xml:space="preserve"> </v>
      </c>
      <c r="F1213" s="107" t="str">
        <f>IF(LEN(Table1722[[#This Row],[Uraian]])&gt;2,TRIM(RIGHT(SUBSTITUTE(TRIM(C1213)," ",REPT(" ",255)),255))," ")</f>
        <v xml:space="preserve"> </v>
      </c>
      <c r="G1213" s="110">
        <f>COPY!Z1205</f>
        <v>0</v>
      </c>
      <c r="H1213" s="111" t="str">
        <f>IFERROR(VLOOKUP(Table1722[[#This Row],[Bukti]],'Un nOTA'!$A$4:$K$5003,10,FALSE),"")</f>
        <v/>
      </c>
      <c r="I1213" s="112" t="str">
        <f>IFERROR(VLOOKUP(Table1722[[#This Row],[Bukti]],Table13[#Data],11,FALSE),"")</f>
        <v/>
      </c>
    </row>
    <row r="1214" spans="1:9" ht="19.5" hidden="1" customHeight="1" x14ac:dyDescent="0.2">
      <c r="A1214" s="105" t="str">
        <f>IF(D1214=1,COUNTIF($D$10:D1214,1)," ")</f>
        <v xml:space="preserve"> </v>
      </c>
      <c r="B1214" s="106">
        <f>COPY!AR1206</f>
        <v>0</v>
      </c>
      <c r="C1214" s="107">
        <f>COPY!AC1206</f>
        <v>0</v>
      </c>
      <c r="D1214" s="107" t="str">
        <f>IF(LEN(Table1722[[#This Row],[Uraian]])&gt;2,1," ")</f>
        <v xml:space="preserve"> </v>
      </c>
      <c r="E1214" s="113" t="str">
        <f>IF(Table1722[[#This Row],[Lawan Transaksi]]="CV AGUNG KARYA",COUNTIF($I$10:I1214,"CV AGUNG KARYA")," ")</f>
        <v xml:space="preserve"> </v>
      </c>
      <c r="F1214" s="107" t="str">
        <f>IF(LEN(Table1722[[#This Row],[Uraian]])&gt;2,TRIM(RIGHT(SUBSTITUTE(TRIM(C1214)," ",REPT(" ",255)),255))," ")</f>
        <v xml:space="preserve"> </v>
      </c>
      <c r="G1214" s="110">
        <f>COPY!Z1206</f>
        <v>0</v>
      </c>
      <c r="H1214" s="111" t="str">
        <f>IFERROR(VLOOKUP(Table1722[[#This Row],[Bukti]],'Un nOTA'!$A$4:$K$5003,10,FALSE),"")</f>
        <v/>
      </c>
      <c r="I1214" s="112" t="str">
        <f>IFERROR(VLOOKUP(Table1722[[#This Row],[Bukti]],Table13[#Data],11,FALSE),"")</f>
        <v/>
      </c>
    </row>
    <row r="1215" spans="1:9" ht="19.5" hidden="1" customHeight="1" x14ac:dyDescent="0.2">
      <c r="A1215" s="105" t="str">
        <f>IF(D1215=1,COUNTIF($D$10:D1215,1)," ")</f>
        <v xml:space="preserve"> </v>
      </c>
      <c r="B1215" s="106">
        <f>COPY!AR1207</f>
        <v>0</v>
      </c>
      <c r="C1215" s="107">
        <f>COPY!AC1207</f>
        <v>0</v>
      </c>
      <c r="D1215" s="107" t="str">
        <f>IF(LEN(Table1722[[#This Row],[Uraian]])&gt;2,1," ")</f>
        <v xml:space="preserve"> </v>
      </c>
      <c r="E1215" s="113" t="str">
        <f>IF(Table1722[[#This Row],[Lawan Transaksi]]="CV AGUNG KARYA",COUNTIF($I$10:I1215,"CV AGUNG KARYA")," ")</f>
        <v xml:space="preserve"> </v>
      </c>
      <c r="F1215" s="107" t="str">
        <f>IF(LEN(Table1722[[#This Row],[Uraian]])&gt;2,TRIM(RIGHT(SUBSTITUTE(TRIM(C1215)," ",REPT(" ",255)),255))," ")</f>
        <v xml:space="preserve"> </v>
      </c>
      <c r="G1215" s="110">
        <f>COPY!Z1207</f>
        <v>0</v>
      </c>
      <c r="H1215" s="111" t="str">
        <f>IFERROR(VLOOKUP(Table1722[[#This Row],[Bukti]],'Un nOTA'!$A$4:$K$5003,10,FALSE),"")</f>
        <v/>
      </c>
      <c r="I1215" s="112" t="str">
        <f>IFERROR(VLOOKUP(Table1722[[#This Row],[Bukti]],Table13[#Data],11,FALSE),"")</f>
        <v/>
      </c>
    </row>
    <row r="1216" spans="1:9" ht="19.5" hidden="1" customHeight="1" x14ac:dyDescent="0.2">
      <c r="A1216" s="105" t="str">
        <f>IF(D1216=1,COUNTIF($D$10:D1216,1)," ")</f>
        <v xml:space="preserve"> </v>
      </c>
      <c r="B1216" s="106">
        <f>COPY!AR1208</f>
        <v>0</v>
      </c>
      <c r="C1216" s="107">
        <f>COPY!AC1208</f>
        <v>0</v>
      </c>
      <c r="D1216" s="107" t="str">
        <f>IF(LEN(Table1722[[#This Row],[Uraian]])&gt;2,1," ")</f>
        <v xml:space="preserve"> </v>
      </c>
      <c r="E1216" s="113" t="str">
        <f>IF(Table1722[[#This Row],[Lawan Transaksi]]="CV AGUNG KARYA",COUNTIF($I$10:I1216,"CV AGUNG KARYA")," ")</f>
        <v xml:space="preserve"> </v>
      </c>
      <c r="F1216" s="107" t="str">
        <f>IF(LEN(Table1722[[#This Row],[Uraian]])&gt;2,TRIM(RIGHT(SUBSTITUTE(TRIM(C1216)," ",REPT(" ",255)),255))," ")</f>
        <v xml:space="preserve"> </v>
      </c>
      <c r="G1216" s="110">
        <f>COPY!Z1208</f>
        <v>0</v>
      </c>
      <c r="H1216" s="111" t="str">
        <f>IFERROR(VLOOKUP(Table1722[[#This Row],[Bukti]],'Un nOTA'!$A$4:$K$5003,10,FALSE),"")</f>
        <v/>
      </c>
      <c r="I1216" s="112" t="str">
        <f>IFERROR(VLOOKUP(Table1722[[#This Row],[Bukti]],Table13[#Data],11,FALSE),"")</f>
        <v/>
      </c>
    </row>
    <row r="1217" spans="1:9" ht="19.5" hidden="1" customHeight="1" x14ac:dyDescent="0.2">
      <c r="A1217" s="105" t="str">
        <f>IF(D1217=1,COUNTIF($D$10:D1217,1)," ")</f>
        <v xml:space="preserve"> </v>
      </c>
      <c r="B1217" s="106">
        <f>COPY!AR1209</f>
        <v>0</v>
      </c>
      <c r="C1217" s="107">
        <f>COPY!AC1209</f>
        <v>0</v>
      </c>
      <c r="D1217" s="107" t="str">
        <f>IF(LEN(Table1722[[#This Row],[Uraian]])&gt;2,1," ")</f>
        <v xml:space="preserve"> </v>
      </c>
      <c r="E1217" s="113" t="str">
        <f>IF(Table1722[[#This Row],[Lawan Transaksi]]="CV AGUNG KARYA",COUNTIF($I$10:I1217,"CV AGUNG KARYA")," ")</f>
        <v xml:space="preserve"> </v>
      </c>
      <c r="F1217" s="107" t="str">
        <f>IF(LEN(Table1722[[#This Row],[Uraian]])&gt;2,TRIM(RIGHT(SUBSTITUTE(TRIM(C1217)," ",REPT(" ",255)),255))," ")</f>
        <v xml:space="preserve"> </v>
      </c>
      <c r="G1217" s="110">
        <f>COPY!Z1209</f>
        <v>0</v>
      </c>
      <c r="H1217" s="111" t="str">
        <f>IFERROR(VLOOKUP(Table1722[[#This Row],[Bukti]],'Un nOTA'!$A$4:$K$5003,10,FALSE),"")</f>
        <v/>
      </c>
      <c r="I1217" s="112" t="str">
        <f>IFERROR(VLOOKUP(Table1722[[#This Row],[Bukti]],Table13[#Data],11,FALSE),"")</f>
        <v/>
      </c>
    </row>
    <row r="1218" spans="1:9" ht="19.5" hidden="1" customHeight="1" x14ac:dyDescent="0.2">
      <c r="A1218" s="105" t="str">
        <f>IF(D1218=1,COUNTIF($D$10:D1218,1)," ")</f>
        <v xml:space="preserve"> </v>
      </c>
      <c r="B1218" s="106">
        <f>COPY!AR1210</f>
        <v>0</v>
      </c>
      <c r="C1218" s="107">
        <f>COPY!AC1210</f>
        <v>0</v>
      </c>
      <c r="D1218" s="107" t="str">
        <f>IF(LEN(Table1722[[#This Row],[Uraian]])&gt;2,1," ")</f>
        <v xml:space="preserve"> </v>
      </c>
      <c r="E1218" s="113" t="str">
        <f>IF(Table1722[[#This Row],[Lawan Transaksi]]="CV AGUNG KARYA",COUNTIF($I$10:I1218,"CV AGUNG KARYA")," ")</f>
        <v xml:space="preserve"> </v>
      </c>
      <c r="F1218" s="107" t="str">
        <f>IF(LEN(Table1722[[#This Row],[Uraian]])&gt;2,TRIM(RIGHT(SUBSTITUTE(TRIM(C1218)," ",REPT(" ",255)),255))," ")</f>
        <v xml:space="preserve"> </v>
      </c>
      <c r="G1218" s="110">
        <f>COPY!Z1210</f>
        <v>0</v>
      </c>
      <c r="H1218" s="111" t="str">
        <f>IFERROR(VLOOKUP(Table1722[[#This Row],[Bukti]],'Un nOTA'!$A$4:$K$5003,10,FALSE),"")</f>
        <v/>
      </c>
      <c r="I1218" s="112" t="str">
        <f>IFERROR(VLOOKUP(Table1722[[#This Row],[Bukti]],Table13[#Data],11,FALSE),"")</f>
        <v/>
      </c>
    </row>
    <row r="1219" spans="1:9" ht="19.5" hidden="1" customHeight="1" x14ac:dyDescent="0.2">
      <c r="A1219" s="105" t="str">
        <f>IF(D1219=1,COUNTIF($D$10:D1219,1)," ")</f>
        <v xml:space="preserve"> </v>
      </c>
      <c r="B1219" s="106">
        <f>COPY!AR1211</f>
        <v>0</v>
      </c>
      <c r="C1219" s="107">
        <f>COPY!AC1211</f>
        <v>0</v>
      </c>
      <c r="D1219" s="107" t="str">
        <f>IF(LEN(Table1722[[#This Row],[Uraian]])&gt;2,1," ")</f>
        <v xml:space="preserve"> </v>
      </c>
      <c r="E1219" s="113" t="str">
        <f>IF(Table1722[[#This Row],[Lawan Transaksi]]="CV AGUNG KARYA",COUNTIF($I$10:I1219,"CV AGUNG KARYA")," ")</f>
        <v xml:space="preserve"> </v>
      </c>
      <c r="F1219" s="107" t="str">
        <f>IF(LEN(Table1722[[#This Row],[Uraian]])&gt;2,TRIM(RIGHT(SUBSTITUTE(TRIM(C1219)," ",REPT(" ",255)),255))," ")</f>
        <v xml:space="preserve"> </v>
      </c>
      <c r="G1219" s="110">
        <f>COPY!Z1211</f>
        <v>0</v>
      </c>
      <c r="H1219" s="111" t="str">
        <f>IFERROR(VLOOKUP(Table1722[[#This Row],[Bukti]],'Un nOTA'!$A$4:$K$5003,10,FALSE),"")</f>
        <v/>
      </c>
      <c r="I1219" s="112" t="str">
        <f>IFERROR(VLOOKUP(Table1722[[#This Row],[Bukti]],Table13[#Data],11,FALSE),"")</f>
        <v/>
      </c>
    </row>
    <row r="1220" spans="1:9" ht="19.5" hidden="1" customHeight="1" x14ac:dyDescent="0.2">
      <c r="A1220" s="105" t="str">
        <f>IF(D1220=1,COUNTIF($D$10:D1220,1)," ")</f>
        <v xml:space="preserve"> </v>
      </c>
      <c r="B1220" s="106">
        <f>COPY!AR1212</f>
        <v>0</v>
      </c>
      <c r="C1220" s="107">
        <f>COPY!AC1212</f>
        <v>0</v>
      </c>
      <c r="D1220" s="107" t="str">
        <f>IF(LEN(Table1722[[#This Row],[Uraian]])&gt;2,1," ")</f>
        <v xml:space="preserve"> </v>
      </c>
      <c r="E1220" s="113" t="str">
        <f>IF(Table1722[[#This Row],[Lawan Transaksi]]="CV AGUNG KARYA",COUNTIF($I$10:I1220,"CV AGUNG KARYA")," ")</f>
        <v xml:space="preserve"> </v>
      </c>
      <c r="F1220" s="107" t="str">
        <f>IF(LEN(Table1722[[#This Row],[Uraian]])&gt;2,TRIM(RIGHT(SUBSTITUTE(TRIM(C1220)," ",REPT(" ",255)),255))," ")</f>
        <v xml:space="preserve"> </v>
      </c>
      <c r="G1220" s="110">
        <f>COPY!Z1212</f>
        <v>0</v>
      </c>
      <c r="H1220" s="111" t="str">
        <f>IFERROR(VLOOKUP(Table1722[[#This Row],[Bukti]],'Un nOTA'!$A$4:$K$5003,10,FALSE),"")</f>
        <v/>
      </c>
      <c r="I1220" s="112" t="str">
        <f>IFERROR(VLOOKUP(Table1722[[#This Row],[Bukti]],Table13[#Data],11,FALSE),"")</f>
        <v/>
      </c>
    </row>
    <row r="1221" spans="1:9" ht="19.5" hidden="1" customHeight="1" x14ac:dyDescent="0.2">
      <c r="A1221" s="105" t="str">
        <f>IF(D1221=1,COUNTIF($D$10:D1221,1)," ")</f>
        <v xml:space="preserve"> </v>
      </c>
      <c r="B1221" s="106">
        <f>COPY!AR1213</f>
        <v>0</v>
      </c>
      <c r="C1221" s="107">
        <f>COPY!AC1213</f>
        <v>0</v>
      </c>
      <c r="D1221" s="107" t="str">
        <f>IF(LEN(Table1722[[#This Row],[Uraian]])&gt;2,1," ")</f>
        <v xml:space="preserve"> </v>
      </c>
      <c r="E1221" s="113" t="str">
        <f>IF(Table1722[[#This Row],[Lawan Transaksi]]="CV AGUNG KARYA",COUNTIF($I$10:I1221,"CV AGUNG KARYA")," ")</f>
        <v xml:space="preserve"> </v>
      </c>
      <c r="F1221" s="107" t="str">
        <f>IF(LEN(Table1722[[#This Row],[Uraian]])&gt;2,TRIM(RIGHT(SUBSTITUTE(TRIM(C1221)," ",REPT(" ",255)),255))," ")</f>
        <v xml:space="preserve"> </v>
      </c>
      <c r="G1221" s="110">
        <f>COPY!Z1213</f>
        <v>0</v>
      </c>
      <c r="H1221" s="111" t="str">
        <f>IFERROR(VLOOKUP(Table1722[[#This Row],[Bukti]],'Un nOTA'!$A$4:$K$5003,10,FALSE),"")</f>
        <v/>
      </c>
      <c r="I1221" s="112" t="str">
        <f>IFERROR(VLOOKUP(Table1722[[#This Row],[Bukti]],Table13[#Data],11,FALSE),"")</f>
        <v/>
      </c>
    </row>
    <row r="1222" spans="1:9" ht="19.5" hidden="1" customHeight="1" x14ac:dyDescent="0.2">
      <c r="A1222" s="105" t="str">
        <f>IF(D1222=1,COUNTIF($D$10:D1222,1)," ")</f>
        <v xml:space="preserve"> </v>
      </c>
      <c r="B1222" s="106">
        <f>COPY!AR1214</f>
        <v>0</v>
      </c>
      <c r="C1222" s="107">
        <f>COPY!AC1214</f>
        <v>0</v>
      </c>
      <c r="D1222" s="107" t="str">
        <f>IF(LEN(Table1722[[#This Row],[Uraian]])&gt;2,1," ")</f>
        <v xml:space="preserve"> </v>
      </c>
      <c r="E1222" s="113" t="str">
        <f>IF(Table1722[[#This Row],[Lawan Transaksi]]="CV AGUNG KARYA",COUNTIF($I$10:I1222,"CV AGUNG KARYA")," ")</f>
        <v xml:space="preserve"> </v>
      </c>
      <c r="F1222" s="107" t="str">
        <f>IF(LEN(Table1722[[#This Row],[Uraian]])&gt;2,TRIM(RIGHT(SUBSTITUTE(TRIM(C1222)," ",REPT(" ",255)),255))," ")</f>
        <v xml:space="preserve"> </v>
      </c>
      <c r="G1222" s="110">
        <f>COPY!Z1214</f>
        <v>0</v>
      </c>
      <c r="H1222" s="111" t="str">
        <f>IFERROR(VLOOKUP(Table1722[[#This Row],[Bukti]],'Un nOTA'!$A$4:$K$5003,10,FALSE),"")</f>
        <v/>
      </c>
      <c r="I1222" s="112" t="str">
        <f>IFERROR(VLOOKUP(Table1722[[#This Row],[Bukti]],Table13[#Data],11,FALSE),"")</f>
        <v/>
      </c>
    </row>
    <row r="1223" spans="1:9" ht="19.5" hidden="1" customHeight="1" x14ac:dyDescent="0.2">
      <c r="A1223" s="105" t="str">
        <f>IF(D1223=1,COUNTIF($D$10:D1223,1)," ")</f>
        <v xml:space="preserve"> </v>
      </c>
      <c r="B1223" s="106">
        <f>COPY!AR1215</f>
        <v>0</v>
      </c>
      <c r="C1223" s="107">
        <f>COPY!AC1215</f>
        <v>0</v>
      </c>
      <c r="D1223" s="107" t="str">
        <f>IF(LEN(Table1722[[#This Row],[Uraian]])&gt;2,1," ")</f>
        <v xml:space="preserve"> </v>
      </c>
      <c r="E1223" s="113" t="str">
        <f>IF(Table1722[[#This Row],[Lawan Transaksi]]="CV AGUNG KARYA",COUNTIF($I$10:I1223,"CV AGUNG KARYA")," ")</f>
        <v xml:space="preserve"> </v>
      </c>
      <c r="F1223" s="107" t="str">
        <f>IF(LEN(Table1722[[#This Row],[Uraian]])&gt;2,TRIM(RIGHT(SUBSTITUTE(TRIM(C1223)," ",REPT(" ",255)),255))," ")</f>
        <v xml:space="preserve"> </v>
      </c>
      <c r="G1223" s="110">
        <f>COPY!Z1215</f>
        <v>0</v>
      </c>
      <c r="H1223" s="111" t="str">
        <f>IFERROR(VLOOKUP(Table1722[[#This Row],[Bukti]],'Un nOTA'!$A$4:$K$5003,10,FALSE),"")</f>
        <v/>
      </c>
      <c r="I1223" s="112" t="str">
        <f>IFERROR(VLOOKUP(Table1722[[#This Row],[Bukti]],Table13[#Data],11,FALSE),"")</f>
        <v/>
      </c>
    </row>
    <row r="1224" spans="1:9" ht="19.5" hidden="1" customHeight="1" x14ac:dyDescent="0.2">
      <c r="A1224" s="105" t="str">
        <f>IF(D1224=1,COUNTIF($D$10:D1224,1)," ")</f>
        <v xml:space="preserve"> </v>
      </c>
      <c r="B1224" s="106">
        <f>COPY!AR1216</f>
        <v>0</v>
      </c>
      <c r="C1224" s="107">
        <f>COPY!AC1216</f>
        <v>0</v>
      </c>
      <c r="D1224" s="107" t="str">
        <f>IF(LEN(Table1722[[#This Row],[Uraian]])&gt;2,1," ")</f>
        <v xml:space="preserve"> </v>
      </c>
      <c r="E1224" s="113" t="str">
        <f>IF(Table1722[[#This Row],[Lawan Transaksi]]="CV AGUNG KARYA",COUNTIF($I$10:I1224,"CV AGUNG KARYA")," ")</f>
        <v xml:space="preserve"> </v>
      </c>
      <c r="F1224" s="107" t="str">
        <f>IF(LEN(Table1722[[#This Row],[Uraian]])&gt;2,TRIM(RIGHT(SUBSTITUTE(TRIM(C1224)," ",REPT(" ",255)),255))," ")</f>
        <v xml:space="preserve"> </v>
      </c>
      <c r="G1224" s="110">
        <f>COPY!Z1216</f>
        <v>0</v>
      </c>
      <c r="H1224" s="111" t="str">
        <f>IFERROR(VLOOKUP(Table1722[[#This Row],[Bukti]],'Un nOTA'!$A$4:$K$5003,10,FALSE),"")</f>
        <v/>
      </c>
      <c r="I1224" s="112" t="str">
        <f>IFERROR(VLOOKUP(Table1722[[#This Row],[Bukti]],Table13[#Data],11,FALSE),"")</f>
        <v/>
      </c>
    </row>
    <row r="1225" spans="1:9" ht="19.5" hidden="1" customHeight="1" x14ac:dyDescent="0.2">
      <c r="A1225" s="105" t="str">
        <f>IF(D1225=1,COUNTIF($D$10:D1225,1)," ")</f>
        <v xml:space="preserve"> </v>
      </c>
      <c r="B1225" s="106">
        <f>COPY!AR1217</f>
        <v>0</v>
      </c>
      <c r="C1225" s="107">
        <f>COPY!AC1217</f>
        <v>0</v>
      </c>
      <c r="D1225" s="107" t="str">
        <f>IF(LEN(Table1722[[#This Row],[Uraian]])&gt;2,1," ")</f>
        <v xml:space="preserve"> </v>
      </c>
      <c r="E1225" s="113" t="str">
        <f>IF(Table1722[[#This Row],[Lawan Transaksi]]="CV AGUNG KARYA",COUNTIF($I$10:I1225,"CV AGUNG KARYA")," ")</f>
        <v xml:space="preserve"> </v>
      </c>
      <c r="F1225" s="107" t="str">
        <f>IF(LEN(Table1722[[#This Row],[Uraian]])&gt;2,TRIM(RIGHT(SUBSTITUTE(TRIM(C1225)," ",REPT(" ",255)),255))," ")</f>
        <v xml:space="preserve"> </v>
      </c>
      <c r="G1225" s="110">
        <f>COPY!Z1217</f>
        <v>0</v>
      </c>
      <c r="H1225" s="111" t="str">
        <f>IFERROR(VLOOKUP(Table1722[[#This Row],[Bukti]],'Un nOTA'!$A$4:$K$5003,10,FALSE),"")</f>
        <v/>
      </c>
      <c r="I1225" s="112" t="str">
        <f>IFERROR(VLOOKUP(Table1722[[#This Row],[Bukti]],Table13[#Data],11,FALSE),"")</f>
        <v/>
      </c>
    </row>
    <row r="1226" spans="1:9" ht="19.5" hidden="1" customHeight="1" x14ac:dyDescent="0.2">
      <c r="A1226" s="105" t="str">
        <f>IF(D1226=1,COUNTIF($D$10:D1226,1)," ")</f>
        <v xml:space="preserve"> </v>
      </c>
      <c r="B1226" s="106">
        <f>COPY!AR1218</f>
        <v>0</v>
      </c>
      <c r="C1226" s="107">
        <f>COPY!AC1218</f>
        <v>0</v>
      </c>
      <c r="D1226" s="107" t="str">
        <f>IF(LEN(Table1722[[#This Row],[Uraian]])&gt;2,1," ")</f>
        <v xml:space="preserve"> </v>
      </c>
      <c r="E1226" s="113" t="str">
        <f>IF(Table1722[[#This Row],[Lawan Transaksi]]="CV AGUNG KARYA",COUNTIF($I$10:I1226,"CV AGUNG KARYA")," ")</f>
        <v xml:space="preserve"> </v>
      </c>
      <c r="F1226" s="107" t="str">
        <f>IF(LEN(Table1722[[#This Row],[Uraian]])&gt;2,TRIM(RIGHT(SUBSTITUTE(TRIM(C1226)," ",REPT(" ",255)),255))," ")</f>
        <v xml:space="preserve"> </v>
      </c>
      <c r="G1226" s="110">
        <f>COPY!Z1218</f>
        <v>0</v>
      </c>
      <c r="H1226" s="111" t="str">
        <f>IFERROR(VLOOKUP(Table1722[[#This Row],[Bukti]],'Un nOTA'!$A$4:$K$5003,10,FALSE),"")</f>
        <v/>
      </c>
      <c r="I1226" s="112" t="str">
        <f>IFERROR(VLOOKUP(Table1722[[#This Row],[Bukti]],Table13[#Data],11,FALSE),"")</f>
        <v/>
      </c>
    </row>
    <row r="1227" spans="1:9" ht="19.5" hidden="1" customHeight="1" x14ac:dyDescent="0.2">
      <c r="A1227" s="105" t="str">
        <f>IF(D1227=1,COUNTIF($D$10:D1227,1)," ")</f>
        <v xml:space="preserve"> </v>
      </c>
      <c r="B1227" s="106">
        <f>COPY!AR1219</f>
        <v>0</v>
      </c>
      <c r="C1227" s="107">
        <f>COPY!AC1219</f>
        <v>0</v>
      </c>
      <c r="D1227" s="107" t="str">
        <f>IF(LEN(Table1722[[#This Row],[Uraian]])&gt;2,1," ")</f>
        <v xml:space="preserve"> </v>
      </c>
      <c r="E1227" s="113" t="str">
        <f>IF(Table1722[[#This Row],[Lawan Transaksi]]="CV AGUNG KARYA",COUNTIF($I$10:I1227,"CV AGUNG KARYA")," ")</f>
        <v xml:space="preserve"> </v>
      </c>
      <c r="F1227" s="107" t="str">
        <f>IF(LEN(Table1722[[#This Row],[Uraian]])&gt;2,TRIM(RIGHT(SUBSTITUTE(TRIM(C1227)," ",REPT(" ",255)),255))," ")</f>
        <v xml:space="preserve"> </v>
      </c>
      <c r="G1227" s="110">
        <f>COPY!Z1219</f>
        <v>0</v>
      </c>
      <c r="H1227" s="111" t="str">
        <f>IFERROR(VLOOKUP(Table1722[[#This Row],[Bukti]],'Un nOTA'!$A$4:$K$5003,10,FALSE),"")</f>
        <v/>
      </c>
      <c r="I1227" s="112" t="str">
        <f>IFERROR(VLOOKUP(Table1722[[#This Row],[Bukti]],Table13[#Data],11,FALSE),"")</f>
        <v/>
      </c>
    </row>
    <row r="1228" spans="1:9" ht="19.5" hidden="1" customHeight="1" x14ac:dyDescent="0.2">
      <c r="A1228" s="105" t="str">
        <f>IF(D1228=1,COUNTIF($D$10:D1228,1)," ")</f>
        <v xml:space="preserve"> </v>
      </c>
      <c r="B1228" s="106">
        <f>COPY!AR1220</f>
        <v>0</v>
      </c>
      <c r="C1228" s="107">
        <f>COPY!AC1220</f>
        <v>0</v>
      </c>
      <c r="D1228" s="107" t="str">
        <f>IF(LEN(Table1722[[#This Row],[Uraian]])&gt;2,1," ")</f>
        <v xml:space="preserve"> </v>
      </c>
      <c r="E1228" s="113" t="str">
        <f>IF(Table1722[[#This Row],[Lawan Transaksi]]="CV AGUNG KARYA",COUNTIF($I$10:I1228,"CV AGUNG KARYA")," ")</f>
        <v xml:space="preserve"> </v>
      </c>
      <c r="F1228" s="107" t="str">
        <f>IF(LEN(Table1722[[#This Row],[Uraian]])&gt;2,TRIM(RIGHT(SUBSTITUTE(TRIM(C1228)," ",REPT(" ",255)),255))," ")</f>
        <v xml:space="preserve"> </v>
      </c>
      <c r="G1228" s="110">
        <f>COPY!Z1220</f>
        <v>0</v>
      </c>
      <c r="H1228" s="111" t="str">
        <f>IFERROR(VLOOKUP(Table1722[[#This Row],[Bukti]],'Un nOTA'!$A$4:$K$5003,10,FALSE),"")</f>
        <v/>
      </c>
      <c r="I1228" s="112" t="str">
        <f>IFERROR(VLOOKUP(Table1722[[#This Row],[Bukti]],Table13[#Data],11,FALSE),"")</f>
        <v/>
      </c>
    </row>
    <row r="1229" spans="1:9" ht="19.5" hidden="1" customHeight="1" x14ac:dyDescent="0.2">
      <c r="A1229" s="105" t="str">
        <f>IF(D1229=1,COUNTIF($D$10:D1229,1)," ")</f>
        <v xml:space="preserve"> </v>
      </c>
      <c r="B1229" s="106">
        <f>COPY!AR1221</f>
        <v>0</v>
      </c>
      <c r="C1229" s="107">
        <f>COPY!AC1221</f>
        <v>0</v>
      </c>
      <c r="D1229" s="107" t="str">
        <f>IF(LEN(Table1722[[#This Row],[Uraian]])&gt;2,1," ")</f>
        <v xml:space="preserve"> </v>
      </c>
      <c r="E1229" s="113" t="str">
        <f>IF(Table1722[[#This Row],[Lawan Transaksi]]="CV AGUNG KARYA",COUNTIF($I$10:I1229,"CV AGUNG KARYA")," ")</f>
        <v xml:space="preserve"> </v>
      </c>
      <c r="F1229" s="107" t="str">
        <f>IF(LEN(Table1722[[#This Row],[Uraian]])&gt;2,TRIM(RIGHT(SUBSTITUTE(TRIM(C1229)," ",REPT(" ",255)),255))," ")</f>
        <v xml:space="preserve"> </v>
      </c>
      <c r="G1229" s="110">
        <f>COPY!Z1221</f>
        <v>0</v>
      </c>
      <c r="H1229" s="111" t="str">
        <f>IFERROR(VLOOKUP(Table1722[[#This Row],[Bukti]],'Un nOTA'!$A$4:$K$5003,10,FALSE),"")</f>
        <v/>
      </c>
      <c r="I1229" s="112" t="str">
        <f>IFERROR(VLOOKUP(Table1722[[#This Row],[Bukti]],Table13[#Data],11,FALSE),"")</f>
        <v/>
      </c>
    </row>
    <row r="1230" spans="1:9" ht="19.5" hidden="1" customHeight="1" x14ac:dyDescent="0.2">
      <c r="A1230" s="105" t="str">
        <f>IF(D1230=1,COUNTIF($D$10:D1230,1)," ")</f>
        <v xml:space="preserve"> </v>
      </c>
      <c r="B1230" s="106">
        <f>COPY!AR1222</f>
        <v>0</v>
      </c>
      <c r="C1230" s="107">
        <f>COPY!AC1222</f>
        <v>0</v>
      </c>
      <c r="D1230" s="107" t="str">
        <f>IF(LEN(Table1722[[#This Row],[Uraian]])&gt;2,1," ")</f>
        <v xml:space="preserve"> </v>
      </c>
      <c r="E1230" s="113" t="str">
        <f>IF(Table1722[[#This Row],[Lawan Transaksi]]="CV AGUNG KARYA",COUNTIF($I$10:I1230,"CV AGUNG KARYA")," ")</f>
        <v xml:space="preserve"> </v>
      </c>
      <c r="F1230" s="107" t="str">
        <f>IF(LEN(Table1722[[#This Row],[Uraian]])&gt;2,TRIM(RIGHT(SUBSTITUTE(TRIM(C1230)," ",REPT(" ",255)),255))," ")</f>
        <v xml:space="preserve"> </v>
      </c>
      <c r="G1230" s="110">
        <f>COPY!Z1222</f>
        <v>0</v>
      </c>
      <c r="H1230" s="111" t="str">
        <f>IFERROR(VLOOKUP(Table1722[[#This Row],[Bukti]],'Un nOTA'!$A$4:$K$5003,10,FALSE),"")</f>
        <v/>
      </c>
      <c r="I1230" s="112" t="str">
        <f>IFERROR(VLOOKUP(Table1722[[#This Row],[Bukti]],Table13[#Data],11,FALSE),"")</f>
        <v/>
      </c>
    </row>
    <row r="1231" spans="1:9" ht="19.5" hidden="1" customHeight="1" x14ac:dyDescent="0.2">
      <c r="A1231" s="105" t="str">
        <f>IF(D1231=1,COUNTIF($D$10:D1231,1)," ")</f>
        <v xml:space="preserve"> </v>
      </c>
      <c r="B1231" s="106">
        <f>COPY!AR1223</f>
        <v>0</v>
      </c>
      <c r="C1231" s="107">
        <f>COPY!AC1223</f>
        <v>0</v>
      </c>
      <c r="D1231" s="107" t="str">
        <f>IF(LEN(Table1722[[#This Row],[Uraian]])&gt;2,1," ")</f>
        <v xml:space="preserve"> </v>
      </c>
      <c r="E1231" s="113" t="str">
        <f>IF(Table1722[[#This Row],[Lawan Transaksi]]="CV AGUNG KARYA",COUNTIF($I$10:I1231,"CV AGUNG KARYA")," ")</f>
        <v xml:space="preserve"> </v>
      </c>
      <c r="F1231" s="107" t="str">
        <f>IF(LEN(Table1722[[#This Row],[Uraian]])&gt;2,TRIM(RIGHT(SUBSTITUTE(TRIM(C1231)," ",REPT(" ",255)),255))," ")</f>
        <v xml:space="preserve"> </v>
      </c>
      <c r="G1231" s="110">
        <f>COPY!Z1223</f>
        <v>0</v>
      </c>
      <c r="H1231" s="111" t="str">
        <f>IFERROR(VLOOKUP(Table1722[[#This Row],[Bukti]],'Un nOTA'!$A$4:$K$5003,10,FALSE),"")</f>
        <v/>
      </c>
      <c r="I1231" s="112" t="str">
        <f>IFERROR(VLOOKUP(Table1722[[#This Row],[Bukti]],Table13[#Data],11,FALSE),"")</f>
        <v/>
      </c>
    </row>
    <row r="1232" spans="1:9" ht="19.5" hidden="1" customHeight="1" x14ac:dyDescent="0.2">
      <c r="A1232" s="105" t="str">
        <f>IF(D1232=1,COUNTIF($D$10:D1232,1)," ")</f>
        <v xml:space="preserve"> </v>
      </c>
      <c r="B1232" s="106">
        <f>COPY!AR1224</f>
        <v>0</v>
      </c>
      <c r="C1232" s="107">
        <f>COPY!AC1224</f>
        <v>0</v>
      </c>
      <c r="D1232" s="107" t="str">
        <f>IF(LEN(Table1722[[#This Row],[Uraian]])&gt;2,1," ")</f>
        <v xml:space="preserve"> </v>
      </c>
      <c r="E1232" s="113" t="str">
        <f>IF(Table1722[[#This Row],[Lawan Transaksi]]="CV AGUNG KARYA",COUNTIF($I$10:I1232,"CV AGUNG KARYA")," ")</f>
        <v xml:space="preserve"> </v>
      </c>
      <c r="F1232" s="107" t="str">
        <f>IF(LEN(Table1722[[#This Row],[Uraian]])&gt;2,TRIM(RIGHT(SUBSTITUTE(TRIM(C1232)," ",REPT(" ",255)),255))," ")</f>
        <v xml:space="preserve"> </v>
      </c>
      <c r="G1232" s="110">
        <f>COPY!Z1224</f>
        <v>0</v>
      </c>
      <c r="H1232" s="111" t="str">
        <f>IFERROR(VLOOKUP(Table1722[[#This Row],[Bukti]],'Un nOTA'!$A$4:$K$5003,10,FALSE),"")</f>
        <v/>
      </c>
      <c r="I1232" s="112" t="str">
        <f>IFERROR(VLOOKUP(Table1722[[#This Row],[Bukti]],Table13[#Data],11,FALSE),"")</f>
        <v/>
      </c>
    </row>
    <row r="1233" spans="1:9" ht="19.5" hidden="1" customHeight="1" x14ac:dyDescent="0.2">
      <c r="A1233" s="105" t="str">
        <f>IF(D1233=1,COUNTIF($D$10:D1233,1)," ")</f>
        <v xml:space="preserve"> </v>
      </c>
      <c r="B1233" s="106">
        <f>COPY!AR1225</f>
        <v>0</v>
      </c>
      <c r="C1233" s="107">
        <f>COPY!AC1225</f>
        <v>0</v>
      </c>
      <c r="D1233" s="107" t="str">
        <f>IF(LEN(Table1722[[#This Row],[Uraian]])&gt;2,1," ")</f>
        <v xml:space="preserve"> </v>
      </c>
      <c r="E1233" s="113" t="str">
        <f>IF(Table1722[[#This Row],[Lawan Transaksi]]="CV AGUNG KARYA",COUNTIF($I$10:I1233,"CV AGUNG KARYA")," ")</f>
        <v xml:space="preserve"> </v>
      </c>
      <c r="F1233" s="107" t="str">
        <f>IF(LEN(Table1722[[#This Row],[Uraian]])&gt;2,TRIM(RIGHT(SUBSTITUTE(TRIM(C1233)," ",REPT(" ",255)),255))," ")</f>
        <v xml:space="preserve"> </v>
      </c>
      <c r="G1233" s="110">
        <f>COPY!Z1225</f>
        <v>0</v>
      </c>
      <c r="H1233" s="111" t="str">
        <f>IFERROR(VLOOKUP(Table1722[[#This Row],[Bukti]],'Un nOTA'!$A$4:$K$5003,10,FALSE),"")</f>
        <v/>
      </c>
      <c r="I1233" s="112" t="str">
        <f>IFERROR(VLOOKUP(Table1722[[#This Row],[Bukti]],Table13[#Data],11,FALSE),"")</f>
        <v/>
      </c>
    </row>
    <row r="1234" spans="1:9" ht="19.5" hidden="1" customHeight="1" x14ac:dyDescent="0.2">
      <c r="A1234" s="105" t="str">
        <f>IF(D1234=1,COUNTIF($D$10:D1234,1)," ")</f>
        <v xml:space="preserve"> </v>
      </c>
      <c r="B1234" s="106">
        <f>COPY!AR1226</f>
        <v>0</v>
      </c>
      <c r="C1234" s="107">
        <f>COPY!AC1226</f>
        <v>0</v>
      </c>
      <c r="D1234" s="107" t="str">
        <f>IF(LEN(Table1722[[#This Row],[Uraian]])&gt;2,1," ")</f>
        <v xml:space="preserve"> </v>
      </c>
      <c r="E1234" s="113" t="str">
        <f>IF(Table1722[[#This Row],[Lawan Transaksi]]="CV AGUNG KARYA",COUNTIF($I$10:I1234,"CV AGUNG KARYA")," ")</f>
        <v xml:space="preserve"> </v>
      </c>
      <c r="F1234" s="107" t="str">
        <f>IF(LEN(Table1722[[#This Row],[Uraian]])&gt;2,TRIM(RIGHT(SUBSTITUTE(TRIM(C1234)," ",REPT(" ",255)),255))," ")</f>
        <v xml:space="preserve"> </v>
      </c>
      <c r="G1234" s="110">
        <f>COPY!Z1226</f>
        <v>0</v>
      </c>
      <c r="H1234" s="111" t="str">
        <f>IFERROR(VLOOKUP(Table1722[[#This Row],[Bukti]],'Un nOTA'!$A$4:$K$5003,10,FALSE),"")</f>
        <v/>
      </c>
      <c r="I1234" s="112" t="str">
        <f>IFERROR(VLOOKUP(Table1722[[#This Row],[Bukti]],Table13[#Data],11,FALSE),"")</f>
        <v/>
      </c>
    </row>
    <row r="1235" spans="1:9" ht="19.5" hidden="1" customHeight="1" x14ac:dyDescent="0.2">
      <c r="A1235" s="105" t="str">
        <f>IF(D1235=1,COUNTIF($D$10:D1235,1)," ")</f>
        <v xml:space="preserve"> </v>
      </c>
      <c r="B1235" s="106">
        <f>COPY!AR1227</f>
        <v>0</v>
      </c>
      <c r="C1235" s="107">
        <f>COPY!AC1227</f>
        <v>0</v>
      </c>
      <c r="D1235" s="107" t="str">
        <f>IF(LEN(Table1722[[#This Row],[Uraian]])&gt;2,1," ")</f>
        <v xml:space="preserve"> </v>
      </c>
      <c r="E1235" s="113" t="str">
        <f>IF(Table1722[[#This Row],[Lawan Transaksi]]="CV AGUNG KARYA",COUNTIF($I$10:I1235,"CV AGUNG KARYA")," ")</f>
        <v xml:space="preserve"> </v>
      </c>
      <c r="F1235" s="107" t="str">
        <f>IF(LEN(Table1722[[#This Row],[Uraian]])&gt;2,TRIM(RIGHT(SUBSTITUTE(TRIM(C1235)," ",REPT(" ",255)),255))," ")</f>
        <v xml:space="preserve"> </v>
      </c>
      <c r="G1235" s="110">
        <f>COPY!Z1227</f>
        <v>0</v>
      </c>
      <c r="H1235" s="111" t="str">
        <f>IFERROR(VLOOKUP(Table1722[[#This Row],[Bukti]],'Un nOTA'!$A$4:$K$5003,10,FALSE),"")</f>
        <v/>
      </c>
      <c r="I1235" s="112" t="str">
        <f>IFERROR(VLOOKUP(Table1722[[#This Row],[Bukti]],Table13[#Data],11,FALSE),"")</f>
        <v/>
      </c>
    </row>
    <row r="1236" spans="1:9" ht="19.5" hidden="1" customHeight="1" x14ac:dyDescent="0.2">
      <c r="A1236" s="105" t="str">
        <f>IF(D1236=1,COUNTIF($D$10:D1236,1)," ")</f>
        <v xml:space="preserve"> </v>
      </c>
      <c r="B1236" s="106">
        <f>COPY!AR1228</f>
        <v>0</v>
      </c>
      <c r="C1236" s="107">
        <f>COPY!AC1228</f>
        <v>0</v>
      </c>
      <c r="D1236" s="107" t="str">
        <f>IF(LEN(Table1722[[#This Row],[Uraian]])&gt;2,1," ")</f>
        <v xml:space="preserve"> </v>
      </c>
      <c r="E1236" s="113" t="str">
        <f>IF(Table1722[[#This Row],[Lawan Transaksi]]="CV AGUNG KARYA",COUNTIF($I$10:I1236,"CV AGUNG KARYA")," ")</f>
        <v xml:space="preserve"> </v>
      </c>
      <c r="F1236" s="107" t="str">
        <f>IF(LEN(Table1722[[#This Row],[Uraian]])&gt;2,TRIM(RIGHT(SUBSTITUTE(TRIM(C1236)," ",REPT(" ",255)),255))," ")</f>
        <v xml:space="preserve"> </v>
      </c>
      <c r="G1236" s="110">
        <f>COPY!Z1228</f>
        <v>0</v>
      </c>
      <c r="H1236" s="111" t="str">
        <f>IFERROR(VLOOKUP(Table1722[[#This Row],[Bukti]],'Un nOTA'!$A$4:$K$5003,10,FALSE),"")</f>
        <v/>
      </c>
      <c r="I1236" s="112" t="str">
        <f>IFERROR(VLOOKUP(Table1722[[#This Row],[Bukti]],Table13[#Data],11,FALSE),"")</f>
        <v/>
      </c>
    </row>
    <row r="1237" spans="1:9" ht="19.5" hidden="1" customHeight="1" x14ac:dyDescent="0.2">
      <c r="A1237" s="105" t="str">
        <f>IF(D1237=1,COUNTIF($D$10:D1237,1)," ")</f>
        <v xml:space="preserve"> </v>
      </c>
      <c r="B1237" s="106">
        <f>COPY!AR1229</f>
        <v>0</v>
      </c>
      <c r="C1237" s="107">
        <f>COPY!AC1229</f>
        <v>0</v>
      </c>
      <c r="D1237" s="107" t="str">
        <f>IF(LEN(Table1722[[#This Row],[Uraian]])&gt;2,1," ")</f>
        <v xml:space="preserve"> </v>
      </c>
      <c r="E1237" s="113" t="str">
        <f>IF(Table1722[[#This Row],[Lawan Transaksi]]="CV AGUNG KARYA",COUNTIF($I$10:I1237,"CV AGUNG KARYA")," ")</f>
        <v xml:space="preserve"> </v>
      </c>
      <c r="F1237" s="107" t="str">
        <f>IF(LEN(Table1722[[#This Row],[Uraian]])&gt;2,TRIM(RIGHT(SUBSTITUTE(TRIM(C1237)," ",REPT(" ",255)),255))," ")</f>
        <v xml:space="preserve"> </v>
      </c>
      <c r="G1237" s="110">
        <f>COPY!Z1229</f>
        <v>0</v>
      </c>
      <c r="H1237" s="111" t="str">
        <f>IFERROR(VLOOKUP(Table1722[[#This Row],[Bukti]],'Un nOTA'!$A$4:$K$5003,10,FALSE),"")</f>
        <v/>
      </c>
      <c r="I1237" s="112" t="str">
        <f>IFERROR(VLOOKUP(Table1722[[#This Row],[Bukti]],Table13[#Data],11,FALSE),"")</f>
        <v/>
      </c>
    </row>
    <row r="1238" spans="1:9" ht="19.5" hidden="1" customHeight="1" x14ac:dyDescent="0.2">
      <c r="A1238" s="105" t="str">
        <f>IF(D1238=1,COUNTIF($D$10:D1238,1)," ")</f>
        <v xml:space="preserve"> </v>
      </c>
      <c r="B1238" s="106">
        <f>COPY!AR1230</f>
        <v>0</v>
      </c>
      <c r="C1238" s="107">
        <f>COPY!AC1230</f>
        <v>0</v>
      </c>
      <c r="D1238" s="107" t="str">
        <f>IF(LEN(Table1722[[#This Row],[Uraian]])&gt;2,1," ")</f>
        <v xml:space="preserve"> </v>
      </c>
      <c r="E1238" s="113" t="str">
        <f>IF(Table1722[[#This Row],[Lawan Transaksi]]="CV AGUNG KARYA",COUNTIF($I$10:I1238,"CV AGUNG KARYA")," ")</f>
        <v xml:space="preserve"> </v>
      </c>
      <c r="F1238" s="107" t="str">
        <f>IF(LEN(Table1722[[#This Row],[Uraian]])&gt;2,TRIM(RIGHT(SUBSTITUTE(TRIM(C1238)," ",REPT(" ",255)),255))," ")</f>
        <v xml:space="preserve"> </v>
      </c>
      <c r="G1238" s="110">
        <f>COPY!Z1230</f>
        <v>0</v>
      </c>
      <c r="H1238" s="111" t="str">
        <f>IFERROR(VLOOKUP(Table1722[[#This Row],[Bukti]],'Un nOTA'!$A$4:$K$5003,10,FALSE),"")</f>
        <v/>
      </c>
      <c r="I1238" s="112" t="str">
        <f>IFERROR(VLOOKUP(Table1722[[#This Row],[Bukti]],Table13[#Data],11,FALSE),"")</f>
        <v/>
      </c>
    </row>
    <row r="1239" spans="1:9" ht="19.5" hidden="1" customHeight="1" x14ac:dyDescent="0.2">
      <c r="A1239" s="105" t="str">
        <f>IF(D1239=1,COUNTIF($D$10:D1239,1)," ")</f>
        <v xml:space="preserve"> </v>
      </c>
      <c r="B1239" s="106">
        <f>COPY!AR1231</f>
        <v>0</v>
      </c>
      <c r="C1239" s="107">
        <f>COPY!AC1231</f>
        <v>0</v>
      </c>
      <c r="D1239" s="107" t="str">
        <f>IF(LEN(Table1722[[#This Row],[Uraian]])&gt;2,1," ")</f>
        <v xml:space="preserve"> </v>
      </c>
      <c r="E1239" s="113" t="str">
        <f>IF(Table1722[[#This Row],[Lawan Transaksi]]="CV AGUNG KARYA",COUNTIF($I$10:I1239,"CV AGUNG KARYA")," ")</f>
        <v xml:space="preserve"> </v>
      </c>
      <c r="F1239" s="107" t="str">
        <f>IF(LEN(Table1722[[#This Row],[Uraian]])&gt;2,TRIM(RIGHT(SUBSTITUTE(TRIM(C1239)," ",REPT(" ",255)),255))," ")</f>
        <v xml:space="preserve"> </v>
      </c>
      <c r="G1239" s="110">
        <f>COPY!Z1231</f>
        <v>0</v>
      </c>
      <c r="H1239" s="111" t="str">
        <f>IFERROR(VLOOKUP(Table1722[[#This Row],[Bukti]],'Un nOTA'!$A$4:$K$5003,10,FALSE),"")</f>
        <v/>
      </c>
      <c r="I1239" s="112" t="str">
        <f>IFERROR(VLOOKUP(Table1722[[#This Row],[Bukti]],Table13[#Data],11,FALSE),"")</f>
        <v/>
      </c>
    </row>
    <row r="1240" spans="1:9" ht="19.5" hidden="1" customHeight="1" x14ac:dyDescent="0.2">
      <c r="A1240" s="105" t="str">
        <f>IF(D1240=1,COUNTIF($D$10:D1240,1)," ")</f>
        <v xml:space="preserve"> </v>
      </c>
      <c r="B1240" s="106">
        <f>COPY!AR1232</f>
        <v>0</v>
      </c>
      <c r="C1240" s="107">
        <f>COPY!AC1232</f>
        <v>0</v>
      </c>
      <c r="D1240" s="107" t="str">
        <f>IF(LEN(Table1722[[#This Row],[Uraian]])&gt;2,1," ")</f>
        <v xml:space="preserve"> </v>
      </c>
      <c r="E1240" s="113" t="str">
        <f>IF(Table1722[[#This Row],[Lawan Transaksi]]="CV AGUNG KARYA",COUNTIF($I$10:I1240,"CV AGUNG KARYA")," ")</f>
        <v xml:space="preserve"> </v>
      </c>
      <c r="F1240" s="107" t="str">
        <f>IF(LEN(Table1722[[#This Row],[Uraian]])&gt;2,TRIM(RIGHT(SUBSTITUTE(TRIM(C1240)," ",REPT(" ",255)),255))," ")</f>
        <v xml:space="preserve"> </v>
      </c>
      <c r="G1240" s="110">
        <f>COPY!Z1232</f>
        <v>0</v>
      </c>
      <c r="H1240" s="111" t="str">
        <f>IFERROR(VLOOKUP(Table1722[[#This Row],[Bukti]],'Un nOTA'!$A$4:$K$5003,10,FALSE),"")</f>
        <v/>
      </c>
      <c r="I1240" s="112" t="str">
        <f>IFERROR(VLOOKUP(Table1722[[#This Row],[Bukti]],Table13[#Data],11,FALSE),"")</f>
        <v/>
      </c>
    </row>
    <row r="1241" spans="1:9" ht="19.5" hidden="1" customHeight="1" x14ac:dyDescent="0.2">
      <c r="A1241" s="105" t="str">
        <f>IF(D1241=1,COUNTIF($D$10:D1241,1)," ")</f>
        <v xml:space="preserve"> </v>
      </c>
      <c r="B1241" s="106">
        <f>COPY!AR1233</f>
        <v>0</v>
      </c>
      <c r="C1241" s="107">
        <f>COPY!AC1233</f>
        <v>0</v>
      </c>
      <c r="D1241" s="107" t="str">
        <f>IF(LEN(Table1722[[#This Row],[Uraian]])&gt;2,1," ")</f>
        <v xml:space="preserve"> </v>
      </c>
      <c r="E1241" s="113" t="str">
        <f>IF(Table1722[[#This Row],[Lawan Transaksi]]="CV AGUNG KARYA",COUNTIF($I$10:I1241,"CV AGUNG KARYA")," ")</f>
        <v xml:space="preserve"> </v>
      </c>
      <c r="F1241" s="107" t="str">
        <f>IF(LEN(Table1722[[#This Row],[Uraian]])&gt;2,TRIM(RIGHT(SUBSTITUTE(TRIM(C1241)," ",REPT(" ",255)),255))," ")</f>
        <v xml:space="preserve"> </v>
      </c>
      <c r="G1241" s="110">
        <f>COPY!Z1233</f>
        <v>0</v>
      </c>
      <c r="H1241" s="111" t="str">
        <f>IFERROR(VLOOKUP(Table1722[[#This Row],[Bukti]],'Un nOTA'!$A$4:$K$5003,10,FALSE),"")</f>
        <v/>
      </c>
      <c r="I1241" s="112" t="str">
        <f>IFERROR(VLOOKUP(Table1722[[#This Row],[Bukti]],Table13[#Data],11,FALSE),"")</f>
        <v/>
      </c>
    </row>
    <row r="1242" spans="1:9" ht="19.5" hidden="1" customHeight="1" x14ac:dyDescent="0.2">
      <c r="A1242" s="105" t="str">
        <f>IF(D1242=1,COUNTIF($D$10:D1242,1)," ")</f>
        <v xml:space="preserve"> </v>
      </c>
      <c r="B1242" s="106">
        <f>COPY!AR1234</f>
        <v>0</v>
      </c>
      <c r="C1242" s="107">
        <f>COPY!AC1234</f>
        <v>0</v>
      </c>
      <c r="D1242" s="107" t="str">
        <f>IF(LEN(Table1722[[#This Row],[Uraian]])&gt;2,1," ")</f>
        <v xml:space="preserve"> </v>
      </c>
      <c r="E1242" s="113" t="str">
        <f>IF(Table1722[[#This Row],[Lawan Transaksi]]="CV AGUNG KARYA",COUNTIF($I$10:I1242,"CV AGUNG KARYA")," ")</f>
        <v xml:space="preserve"> </v>
      </c>
      <c r="F1242" s="107" t="str">
        <f>IF(LEN(Table1722[[#This Row],[Uraian]])&gt;2,TRIM(RIGHT(SUBSTITUTE(TRIM(C1242)," ",REPT(" ",255)),255))," ")</f>
        <v xml:space="preserve"> </v>
      </c>
      <c r="G1242" s="110">
        <f>COPY!Z1234</f>
        <v>0</v>
      </c>
      <c r="H1242" s="111" t="str">
        <f>IFERROR(VLOOKUP(Table1722[[#This Row],[Bukti]],'Un nOTA'!$A$4:$K$5003,10,FALSE),"")</f>
        <v/>
      </c>
      <c r="I1242" s="112" t="str">
        <f>IFERROR(VLOOKUP(Table1722[[#This Row],[Bukti]],Table13[#Data],11,FALSE),"")</f>
        <v/>
      </c>
    </row>
    <row r="1243" spans="1:9" ht="19.5" hidden="1" customHeight="1" x14ac:dyDescent="0.2">
      <c r="A1243" s="105" t="str">
        <f>IF(D1243=1,COUNTIF($D$10:D1243,1)," ")</f>
        <v xml:space="preserve"> </v>
      </c>
      <c r="B1243" s="106">
        <f>COPY!AR1235</f>
        <v>0</v>
      </c>
      <c r="C1243" s="107">
        <f>COPY!AC1235</f>
        <v>0</v>
      </c>
      <c r="D1243" s="107" t="str">
        <f>IF(LEN(Table1722[[#This Row],[Uraian]])&gt;2,1," ")</f>
        <v xml:space="preserve"> </v>
      </c>
      <c r="E1243" s="113" t="str">
        <f>IF(Table1722[[#This Row],[Lawan Transaksi]]="CV AGUNG KARYA",COUNTIF($I$10:I1243,"CV AGUNG KARYA")," ")</f>
        <v xml:space="preserve"> </v>
      </c>
      <c r="F1243" s="107" t="str">
        <f>IF(LEN(Table1722[[#This Row],[Uraian]])&gt;2,TRIM(RIGHT(SUBSTITUTE(TRIM(C1243)," ",REPT(" ",255)),255))," ")</f>
        <v xml:space="preserve"> </v>
      </c>
      <c r="G1243" s="110">
        <f>COPY!Z1235</f>
        <v>0</v>
      </c>
      <c r="H1243" s="111" t="str">
        <f>IFERROR(VLOOKUP(Table1722[[#This Row],[Bukti]],'Un nOTA'!$A$4:$K$5003,10,FALSE),"")</f>
        <v/>
      </c>
      <c r="I1243" s="112" t="str">
        <f>IFERROR(VLOOKUP(Table1722[[#This Row],[Bukti]],Table13[#Data],11,FALSE),"")</f>
        <v/>
      </c>
    </row>
    <row r="1244" spans="1:9" ht="19.5" hidden="1" customHeight="1" x14ac:dyDescent="0.2">
      <c r="A1244" s="105" t="str">
        <f>IF(D1244=1,COUNTIF($D$10:D1244,1)," ")</f>
        <v xml:space="preserve"> </v>
      </c>
      <c r="B1244" s="106">
        <f>COPY!AR1236</f>
        <v>0</v>
      </c>
      <c r="C1244" s="107">
        <f>COPY!AC1236</f>
        <v>0</v>
      </c>
      <c r="D1244" s="107" t="str">
        <f>IF(LEN(Table1722[[#This Row],[Uraian]])&gt;2,1," ")</f>
        <v xml:space="preserve"> </v>
      </c>
      <c r="E1244" s="113" t="str">
        <f>IF(Table1722[[#This Row],[Lawan Transaksi]]="CV AGUNG KARYA",COUNTIF($I$10:I1244,"CV AGUNG KARYA")," ")</f>
        <v xml:space="preserve"> </v>
      </c>
      <c r="F1244" s="107" t="str">
        <f>IF(LEN(Table1722[[#This Row],[Uraian]])&gt;2,TRIM(RIGHT(SUBSTITUTE(TRIM(C1244)," ",REPT(" ",255)),255))," ")</f>
        <v xml:space="preserve"> </v>
      </c>
      <c r="G1244" s="110">
        <f>COPY!Z1236</f>
        <v>0</v>
      </c>
      <c r="H1244" s="111" t="str">
        <f>IFERROR(VLOOKUP(Table1722[[#This Row],[Bukti]],'Un nOTA'!$A$4:$K$5003,10,FALSE),"")</f>
        <v/>
      </c>
      <c r="I1244" s="112" t="str">
        <f>IFERROR(VLOOKUP(Table1722[[#This Row],[Bukti]],Table13[#Data],11,FALSE),"")</f>
        <v/>
      </c>
    </row>
    <row r="1245" spans="1:9" ht="19.5" hidden="1" customHeight="1" x14ac:dyDescent="0.2">
      <c r="A1245" s="105" t="str">
        <f>IF(D1245=1,COUNTIF($D$10:D1245,1)," ")</f>
        <v xml:space="preserve"> </v>
      </c>
      <c r="B1245" s="106">
        <f>COPY!AR1237</f>
        <v>0</v>
      </c>
      <c r="C1245" s="107">
        <f>COPY!AC1237</f>
        <v>0</v>
      </c>
      <c r="D1245" s="107" t="str">
        <f>IF(LEN(Table1722[[#This Row],[Uraian]])&gt;2,1," ")</f>
        <v xml:space="preserve"> </v>
      </c>
      <c r="E1245" s="113" t="str">
        <f>IF(Table1722[[#This Row],[Lawan Transaksi]]="CV AGUNG KARYA",COUNTIF($I$10:I1245,"CV AGUNG KARYA")," ")</f>
        <v xml:space="preserve"> </v>
      </c>
      <c r="F1245" s="107" t="str">
        <f>IF(LEN(Table1722[[#This Row],[Uraian]])&gt;2,TRIM(RIGHT(SUBSTITUTE(TRIM(C1245)," ",REPT(" ",255)),255))," ")</f>
        <v xml:space="preserve"> </v>
      </c>
      <c r="G1245" s="110">
        <f>COPY!Z1237</f>
        <v>0</v>
      </c>
      <c r="H1245" s="111" t="str">
        <f>IFERROR(VLOOKUP(Table1722[[#This Row],[Bukti]],'Un nOTA'!$A$4:$K$5003,10,FALSE),"")</f>
        <v/>
      </c>
      <c r="I1245" s="112" t="str">
        <f>IFERROR(VLOOKUP(Table1722[[#This Row],[Bukti]],Table13[#Data],11,FALSE),"")</f>
        <v/>
      </c>
    </row>
    <row r="1246" spans="1:9" ht="19.5" hidden="1" customHeight="1" x14ac:dyDescent="0.2">
      <c r="A1246" s="105" t="str">
        <f>IF(D1246=1,COUNTIF($D$10:D1246,1)," ")</f>
        <v xml:space="preserve"> </v>
      </c>
      <c r="B1246" s="106">
        <f>COPY!AR1238</f>
        <v>0</v>
      </c>
      <c r="C1246" s="107">
        <f>COPY!AC1238</f>
        <v>0</v>
      </c>
      <c r="D1246" s="107" t="str">
        <f>IF(LEN(Table1722[[#This Row],[Uraian]])&gt;2,1," ")</f>
        <v xml:space="preserve"> </v>
      </c>
      <c r="E1246" s="113" t="str">
        <f>IF(Table1722[[#This Row],[Lawan Transaksi]]="CV AGUNG KARYA",COUNTIF($I$10:I1246,"CV AGUNG KARYA")," ")</f>
        <v xml:space="preserve"> </v>
      </c>
      <c r="F1246" s="107" t="str">
        <f>IF(LEN(Table1722[[#This Row],[Uraian]])&gt;2,TRIM(RIGHT(SUBSTITUTE(TRIM(C1246)," ",REPT(" ",255)),255))," ")</f>
        <v xml:space="preserve"> </v>
      </c>
      <c r="G1246" s="110">
        <f>COPY!Z1238</f>
        <v>0</v>
      </c>
      <c r="H1246" s="111" t="str">
        <f>IFERROR(VLOOKUP(Table1722[[#This Row],[Bukti]],'Un nOTA'!$A$4:$K$5003,10,FALSE),"")</f>
        <v/>
      </c>
      <c r="I1246" s="112" t="str">
        <f>IFERROR(VLOOKUP(Table1722[[#This Row],[Bukti]],Table13[#Data],11,FALSE),"")</f>
        <v/>
      </c>
    </row>
    <row r="1247" spans="1:9" ht="19.5" hidden="1" customHeight="1" x14ac:dyDescent="0.2">
      <c r="A1247" s="105" t="str">
        <f>IF(D1247=1,COUNTIF($D$10:D1247,1)," ")</f>
        <v xml:space="preserve"> </v>
      </c>
      <c r="B1247" s="106">
        <f>COPY!AR1239</f>
        <v>0</v>
      </c>
      <c r="C1247" s="107">
        <f>COPY!AC1239</f>
        <v>0</v>
      </c>
      <c r="D1247" s="107" t="str">
        <f>IF(LEN(Table1722[[#This Row],[Uraian]])&gt;2,1," ")</f>
        <v xml:space="preserve"> </v>
      </c>
      <c r="E1247" s="113" t="str">
        <f>IF(Table1722[[#This Row],[Lawan Transaksi]]="CV AGUNG KARYA",COUNTIF($I$10:I1247,"CV AGUNG KARYA")," ")</f>
        <v xml:space="preserve"> </v>
      </c>
      <c r="F1247" s="107" t="str">
        <f>IF(LEN(Table1722[[#This Row],[Uraian]])&gt;2,TRIM(RIGHT(SUBSTITUTE(TRIM(C1247)," ",REPT(" ",255)),255))," ")</f>
        <v xml:space="preserve"> </v>
      </c>
      <c r="G1247" s="110">
        <f>COPY!Z1239</f>
        <v>0</v>
      </c>
      <c r="H1247" s="111" t="str">
        <f>IFERROR(VLOOKUP(Table1722[[#This Row],[Bukti]],'Un nOTA'!$A$4:$K$5003,10,FALSE),"")</f>
        <v/>
      </c>
      <c r="I1247" s="112" t="str">
        <f>IFERROR(VLOOKUP(Table1722[[#This Row],[Bukti]],Table13[#Data],11,FALSE),"")</f>
        <v/>
      </c>
    </row>
    <row r="1248" spans="1:9" ht="19.5" hidden="1" customHeight="1" x14ac:dyDescent="0.2">
      <c r="A1248" s="105" t="str">
        <f>IF(D1248=1,COUNTIF($D$10:D1248,1)," ")</f>
        <v xml:space="preserve"> </v>
      </c>
      <c r="B1248" s="106">
        <f>COPY!AR1240</f>
        <v>0</v>
      </c>
      <c r="C1248" s="107">
        <f>COPY!AC1240</f>
        <v>0</v>
      </c>
      <c r="D1248" s="107" t="str">
        <f>IF(LEN(Table1722[[#This Row],[Uraian]])&gt;2,1," ")</f>
        <v xml:space="preserve"> </v>
      </c>
      <c r="E1248" s="113" t="str">
        <f>IF(Table1722[[#This Row],[Lawan Transaksi]]="CV AGUNG KARYA",COUNTIF($I$10:I1248,"CV AGUNG KARYA")," ")</f>
        <v xml:space="preserve"> </v>
      </c>
      <c r="F1248" s="107" t="str">
        <f>IF(LEN(Table1722[[#This Row],[Uraian]])&gt;2,TRIM(RIGHT(SUBSTITUTE(TRIM(C1248)," ",REPT(" ",255)),255))," ")</f>
        <v xml:space="preserve"> </v>
      </c>
      <c r="G1248" s="110">
        <f>COPY!Z1240</f>
        <v>0</v>
      </c>
      <c r="H1248" s="111" t="str">
        <f>IFERROR(VLOOKUP(Table1722[[#This Row],[Bukti]],'Un nOTA'!$A$4:$K$5003,10,FALSE),"")</f>
        <v/>
      </c>
      <c r="I1248" s="112" t="str">
        <f>IFERROR(VLOOKUP(Table1722[[#This Row],[Bukti]],Table13[#Data],11,FALSE),"")</f>
        <v/>
      </c>
    </row>
    <row r="1249" spans="1:9" ht="19.5" hidden="1" customHeight="1" x14ac:dyDescent="0.2">
      <c r="A1249" s="105" t="str">
        <f>IF(D1249=1,COUNTIF($D$10:D1249,1)," ")</f>
        <v xml:space="preserve"> </v>
      </c>
      <c r="B1249" s="106">
        <f>COPY!AR1241</f>
        <v>0</v>
      </c>
      <c r="C1249" s="107">
        <f>COPY!AC1241</f>
        <v>0</v>
      </c>
      <c r="D1249" s="107" t="str">
        <f>IF(LEN(Table1722[[#This Row],[Uraian]])&gt;2,1," ")</f>
        <v xml:space="preserve"> </v>
      </c>
      <c r="E1249" s="113" t="str">
        <f>IF(Table1722[[#This Row],[Lawan Transaksi]]="CV AGUNG KARYA",COUNTIF($I$10:I1249,"CV AGUNG KARYA")," ")</f>
        <v xml:space="preserve"> </v>
      </c>
      <c r="F1249" s="107" t="str">
        <f>IF(LEN(Table1722[[#This Row],[Uraian]])&gt;2,TRIM(RIGHT(SUBSTITUTE(TRIM(C1249)," ",REPT(" ",255)),255))," ")</f>
        <v xml:space="preserve"> </v>
      </c>
      <c r="G1249" s="110">
        <f>COPY!Z1241</f>
        <v>0</v>
      </c>
      <c r="H1249" s="111" t="str">
        <f>IFERROR(VLOOKUP(Table1722[[#This Row],[Bukti]],'Un nOTA'!$A$4:$K$5003,10,FALSE),"")</f>
        <v/>
      </c>
      <c r="I1249" s="112" t="str">
        <f>IFERROR(VLOOKUP(Table1722[[#This Row],[Bukti]],Table13[#Data],11,FALSE),"")</f>
        <v/>
      </c>
    </row>
    <row r="1250" spans="1:9" ht="19.5" hidden="1" customHeight="1" x14ac:dyDescent="0.2">
      <c r="A1250" s="105" t="str">
        <f>IF(D1250=1,COUNTIF($D$10:D1250,1)," ")</f>
        <v xml:space="preserve"> </v>
      </c>
      <c r="B1250" s="106">
        <f>COPY!AR1242</f>
        <v>0</v>
      </c>
      <c r="C1250" s="107">
        <f>COPY!AC1242</f>
        <v>0</v>
      </c>
      <c r="D1250" s="107" t="str">
        <f>IF(LEN(Table1722[[#This Row],[Uraian]])&gt;2,1," ")</f>
        <v xml:space="preserve"> </v>
      </c>
      <c r="E1250" s="113" t="str">
        <f>IF(Table1722[[#This Row],[Lawan Transaksi]]="CV AGUNG KARYA",COUNTIF($I$10:I1250,"CV AGUNG KARYA")," ")</f>
        <v xml:space="preserve"> </v>
      </c>
      <c r="F1250" s="107" t="str">
        <f>IF(LEN(Table1722[[#This Row],[Uraian]])&gt;2,TRIM(RIGHT(SUBSTITUTE(TRIM(C1250)," ",REPT(" ",255)),255))," ")</f>
        <v xml:space="preserve"> </v>
      </c>
      <c r="G1250" s="110">
        <f>COPY!Z1242</f>
        <v>0</v>
      </c>
      <c r="H1250" s="111" t="str">
        <f>IFERROR(VLOOKUP(Table1722[[#This Row],[Bukti]],'Un nOTA'!$A$4:$K$5003,10,FALSE),"")</f>
        <v/>
      </c>
      <c r="I1250" s="112" t="str">
        <f>IFERROR(VLOOKUP(Table1722[[#This Row],[Bukti]],Table13[#Data],11,FALSE),"")</f>
        <v/>
      </c>
    </row>
    <row r="1251" spans="1:9" ht="19.5" hidden="1" customHeight="1" x14ac:dyDescent="0.2">
      <c r="A1251" s="105" t="str">
        <f>IF(D1251=1,COUNTIF($D$10:D1251,1)," ")</f>
        <v xml:space="preserve"> </v>
      </c>
      <c r="B1251" s="106">
        <f>COPY!AR1243</f>
        <v>0</v>
      </c>
      <c r="C1251" s="107">
        <f>COPY!AC1243</f>
        <v>0</v>
      </c>
      <c r="D1251" s="107" t="str">
        <f>IF(LEN(Table1722[[#This Row],[Uraian]])&gt;2,1," ")</f>
        <v xml:space="preserve"> </v>
      </c>
      <c r="E1251" s="113" t="str">
        <f>IF(Table1722[[#This Row],[Lawan Transaksi]]="CV AGUNG KARYA",COUNTIF($I$10:I1251,"CV AGUNG KARYA")," ")</f>
        <v xml:space="preserve"> </v>
      </c>
      <c r="F1251" s="107" t="str">
        <f>IF(LEN(Table1722[[#This Row],[Uraian]])&gt;2,TRIM(RIGHT(SUBSTITUTE(TRIM(C1251)," ",REPT(" ",255)),255))," ")</f>
        <v xml:space="preserve"> </v>
      </c>
      <c r="G1251" s="110">
        <f>COPY!Z1243</f>
        <v>0</v>
      </c>
      <c r="H1251" s="111" t="str">
        <f>IFERROR(VLOOKUP(Table1722[[#This Row],[Bukti]],'Un nOTA'!$A$4:$K$5003,10,FALSE),"")</f>
        <v/>
      </c>
      <c r="I1251" s="112" t="str">
        <f>IFERROR(VLOOKUP(Table1722[[#This Row],[Bukti]],Table13[#Data],11,FALSE),"")</f>
        <v/>
      </c>
    </row>
    <row r="1252" spans="1:9" ht="19.5" hidden="1" customHeight="1" x14ac:dyDescent="0.2">
      <c r="A1252" s="105" t="str">
        <f>IF(D1252=1,COUNTIF($D$10:D1252,1)," ")</f>
        <v xml:space="preserve"> </v>
      </c>
      <c r="B1252" s="106">
        <f>COPY!AR1244</f>
        <v>0</v>
      </c>
      <c r="C1252" s="107">
        <f>COPY!AC1244</f>
        <v>0</v>
      </c>
      <c r="D1252" s="107" t="str">
        <f>IF(LEN(Table1722[[#This Row],[Uraian]])&gt;2,1," ")</f>
        <v xml:space="preserve"> </v>
      </c>
      <c r="E1252" s="113" t="str">
        <f>IF(Table1722[[#This Row],[Lawan Transaksi]]="CV AGUNG KARYA",COUNTIF($I$10:I1252,"CV AGUNG KARYA")," ")</f>
        <v xml:space="preserve"> </v>
      </c>
      <c r="F1252" s="107" t="str">
        <f>IF(LEN(Table1722[[#This Row],[Uraian]])&gt;2,TRIM(RIGHT(SUBSTITUTE(TRIM(C1252)," ",REPT(" ",255)),255))," ")</f>
        <v xml:space="preserve"> </v>
      </c>
      <c r="G1252" s="110">
        <f>COPY!Z1244</f>
        <v>0</v>
      </c>
      <c r="H1252" s="111" t="str">
        <f>IFERROR(VLOOKUP(Table1722[[#This Row],[Bukti]],'Un nOTA'!$A$4:$K$5003,10,FALSE),"")</f>
        <v/>
      </c>
      <c r="I1252" s="112" t="str">
        <f>IFERROR(VLOOKUP(Table1722[[#This Row],[Bukti]],Table13[#Data],11,FALSE),"")</f>
        <v/>
      </c>
    </row>
    <row r="1253" spans="1:9" ht="19.5" hidden="1" customHeight="1" x14ac:dyDescent="0.2">
      <c r="A1253" s="105" t="str">
        <f>IF(D1253=1,COUNTIF($D$10:D1253,1)," ")</f>
        <v xml:space="preserve"> </v>
      </c>
      <c r="B1253" s="106">
        <f>COPY!AR1245</f>
        <v>0</v>
      </c>
      <c r="C1253" s="107">
        <f>COPY!AC1245</f>
        <v>0</v>
      </c>
      <c r="D1253" s="107" t="str">
        <f>IF(LEN(Table1722[[#This Row],[Uraian]])&gt;2,1," ")</f>
        <v xml:space="preserve"> </v>
      </c>
      <c r="E1253" s="113" t="str">
        <f>IF(Table1722[[#This Row],[Lawan Transaksi]]="CV AGUNG KARYA",COUNTIF($I$10:I1253,"CV AGUNG KARYA")," ")</f>
        <v xml:space="preserve"> </v>
      </c>
      <c r="F1253" s="107" t="str">
        <f>IF(LEN(Table1722[[#This Row],[Uraian]])&gt;2,TRIM(RIGHT(SUBSTITUTE(TRIM(C1253)," ",REPT(" ",255)),255))," ")</f>
        <v xml:space="preserve"> </v>
      </c>
      <c r="G1253" s="110">
        <f>COPY!Z1245</f>
        <v>0</v>
      </c>
      <c r="H1253" s="111" t="str">
        <f>IFERROR(VLOOKUP(Table1722[[#This Row],[Bukti]],'Un nOTA'!$A$4:$K$5003,10,FALSE),"")</f>
        <v/>
      </c>
      <c r="I1253" s="112" t="str">
        <f>IFERROR(VLOOKUP(Table1722[[#This Row],[Bukti]],Table13[#Data],11,FALSE),"")</f>
        <v/>
      </c>
    </row>
    <row r="1254" spans="1:9" ht="19.5" hidden="1" customHeight="1" x14ac:dyDescent="0.2">
      <c r="A1254" s="105" t="str">
        <f>IF(D1254=1,COUNTIF($D$10:D1254,1)," ")</f>
        <v xml:space="preserve"> </v>
      </c>
      <c r="B1254" s="106">
        <f>COPY!AR1246</f>
        <v>0</v>
      </c>
      <c r="C1254" s="107">
        <f>COPY!AC1246</f>
        <v>0</v>
      </c>
      <c r="D1254" s="107" t="str">
        <f>IF(LEN(Table1722[[#This Row],[Uraian]])&gt;2,1," ")</f>
        <v xml:space="preserve"> </v>
      </c>
      <c r="E1254" s="113" t="str">
        <f>IF(Table1722[[#This Row],[Lawan Transaksi]]="CV AGUNG KARYA",COUNTIF($I$10:I1254,"CV AGUNG KARYA")," ")</f>
        <v xml:space="preserve"> </v>
      </c>
      <c r="F1254" s="107" t="str">
        <f>IF(LEN(Table1722[[#This Row],[Uraian]])&gt;2,TRIM(RIGHT(SUBSTITUTE(TRIM(C1254)," ",REPT(" ",255)),255))," ")</f>
        <v xml:space="preserve"> </v>
      </c>
      <c r="G1254" s="110">
        <f>COPY!Z1246</f>
        <v>0</v>
      </c>
      <c r="H1254" s="111" t="str">
        <f>IFERROR(VLOOKUP(Table1722[[#This Row],[Bukti]],'Un nOTA'!$A$4:$K$5003,10,FALSE),"")</f>
        <v/>
      </c>
      <c r="I1254" s="112" t="str">
        <f>IFERROR(VLOOKUP(Table1722[[#This Row],[Bukti]],Table13[#Data],11,FALSE),"")</f>
        <v/>
      </c>
    </row>
    <row r="1255" spans="1:9" ht="19.5" hidden="1" customHeight="1" x14ac:dyDescent="0.2">
      <c r="A1255" s="105" t="str">
        <f>IF(D1255=1,COUNTIF($D$10:D1255,1)," ")</f>
        <v xml:space="preserve"> </v>
      </c>
      <c r="B1255" s="106">
        <f>COPY!AR1247</f>
        <v>0</v>
      </c>
      <c r="C1255" s="107">
        <f>COPY!AC1247</f>
        <v>0</v>
      </c>
      <c r="D1255" s="107" t="str">
        <f>IF(LEN(Table1722[[#This Row],[Uraian]])&gt;2,1," ")</f>
        <v xml:space="preserve"> </v>
      </c>
      <c r="E1255" s="113" t="str">
        <f>IF(Table1722[[#This Row],[Lawan Transaksi]]="CV AGUNG KARYA",COUNTIF($I$10:I1255,"CV AGUNG KARYA")," ")</f>
        <v xml:space="preserve"> </v>
      </c>
      <c r="F1255" s="107" t="str">
        <f>IF(LEN(Table1722[[#This Row],[Uraian]])&gt;2,TRIM(RIGHT(SUBSTITUTE(TRIM(C1255)," ",REPT(" ",255)),255))," ")</f>
        <v xml:space="preserve"> </v>
      </c>
      <c r="G1255" s="110">
        <f>COPY!Z1247</f>
        <v>0</v>
      </c>
      <c r="H1255" s="111" t="str">
        <f>IFERROR(VLOOKUP(Table1722[[#This Row],[Bukti]],'Un nOTA'!$A$4:$K$5003,10,FALSE),"")</f>
        <v/>
      </c>
      <c r="I1255" s="112" t="str">
        <f>IFERROR(VLOOKUP(Table1722[[#This Row],[Bukti]],Table13[#Data],11,FALSE),"")</f>
        <v/>
      </c>
    </row>
    <row r="1256" spans="1:9" ht="19.5" hidden="1" customHeight="1" x14ac:dyDescent="0.2">
      <c r="A1256" s="105" t="str">
        <f>IF(D1256=1,COUNTIF($D$10:D1256,1)," ")</f>
        <v xml:space="preserve"> </v>
      </c>
      <c r="B1256" s="106">
        <f>COPY!AR1248</f>
        <v>0</v>
      </c>
      <c r="C1256" s="107">
        <f>COPY!AC1248</f>
        <v>0</v>
      </c>
      <c r="D1256" s="107" t="str">
        <f>IF(LEN(Table1722[[#This Row],[Uraian]])&gt;2,1," ")</f>
        <v xml:space="preserve"> </v>
      </c>
      <c r="E1256" s="113" t="str">
        <f>IF(Table1722[[#This Row],[Lawan Transaksi]]="CV AGUNG KARYA",COUNTIF($I$10:I1256,"CV AGUNG KARYA")," ")</f>
        <v xml:space="preserve"> </v>
      </c>
      <c r="F1256" s="107" t="str">
        <f>IF(LEN(Table1722[[#This Row],[Uraian]])&gt;2,TRIM(RIGHT(SUBSTITUTE(TRIM(C1256)," ",REPT(" ",255)),255))," ")</f>
        <v xml:space="preserve"> </v>
      </c>
      <c r="G1256" s="110">
        <f>COPY!Z1248</f>
        <v>0</v>
      </c>
      <c r="H1256" s="111" t="str">
        <f>IFERROR(VLOOKUP(Table1722[[#This Row],[Bukti]],'Un nOTA'!$A$4:$K$5003,10,FALSE),"")</f>
        <v/>
      </c>
      <c r="I1256" s="112" t="str">
        <f>IFERROR(VLOOKUP(Table1722[[#This Row],[Bukti]],Table13[#Data],11,FALSE),"")</f>
        <v/>
      </c>
    </row>
    <row r="1257" spans="1:9" ht="19.5" hidden="1" customHeight="1" x14ac:dyDescent="0.2">
      <c r="A1257" s="105" t="str">
        <f>IF(D1257=1,COUNTIF($D$10:D1257,1)," ")</f>
        <v xml:space="preserve"> </v>
      </c>
      <c r="B1257" s="106">
        <f>COPY!AR1249</f>
        <v>0</v>
      </c>
      <c r="C1257" s="107">
        <f>COPY!AC1249</f>
        <v>0</v>
      </c>
      <c r="D1257" s="107" t="str">
        <f>IF(LEN(Table1722[[#This Row],[Uraian]])&gt;2,1," ")</f>
        <v xml:space="preserve"> </v>
      </c>
      <c r="E1257" s="113" t="str">
        <f>IF(Table1722[[#This Row],[Lawan Transaksi]]="CV AGUNG KARYA",COUNTIF($I$10:I1257,"CV AGUNG KARYA")," ")</f>
        <v xml:space="preserve"> </v>
      </c>
      <c r="F1257" s="107" t="str">
        <f>IF(LEN(Table1722[[#This Row],[Uraian]])&gt;2,TRIM(RIGHT(SUBSTITUTE(TRIM(C1257)," ",REPT(" ",255)),255))," ")</f>
        <v xml:space="preserve"> </v>
      </c>
      <c r="G1257" s="110">
        <f>COPY!Z1249</f>
        <v>0</v>
      </c>
      <c r="H1257" s="111" t="str">
        <f>IFERROR(VLOOKUP(Table1722[[#This Row],[Bukti]],'Un nOTA'!$A$4:$K$5003,10,FALSE),"")</f>
        <v/>
      </c>
      <c r="I1257" s="112" t="str">
        <f>IFERROR(VLOOKUP(Table1722[[#This Row],[Bukti]],Table13[#Data],11,FALSE),"")</f>
        <v/>
      </c>
    </row>
    <row r="1258" spans="1:9" ht="19.5" hidden="1" customHeight="1" x14ac:dyDescent="0.2">
      <c r="A1258" s="105" t="str">
        <f>IF(D1258=1,COUNTIF($D$10:D1258,1)," ")</f>
        <v xml:space="preserve"> </v>
      </c>
      <c r="B1258" s="106">
        <f>COPY!AR1250</f>
        <v>0</v>
      </c>
      <c r="C1258" s="107">
        <f>COPY!AC1250</f>
        <v>0</v>
      </c>
      <c r="D1258" s="107" t="str">
        <f>IF(LEN(Table1722[[#This Row],[Uraian]])&gt;2,1," ")</f>
        <v xml:space="preserve"> </v>
      </c>
      <c r="E1258" s="113" t="str">
        <f>IF(Table1722[[#This Row],[Lawan Transaksi]]="CV AGUNG KARYA",COUNTIF($I$10:I1258,"CV AGUNG KARYA")," ")</f>
        <v xml:space="preserve"> </v>
      </c>
      <c r="F1258" s="107" t="str">
        <f>IF(LEN(Table1722[[#This Row],[Uraian]])&gt;2,TRIM(RIGHT(SUBSTITUTE(TRIM(C1258)," ",REPT(" ",255)),255))," ")</f>
        <v xml:space="preserve"> </v>
      </c>
      <c r="G1258" s="110">
        <f>COPY!Z1250</f>
        <v>0</v>
      </c>
      <c r="H1258" s="111" t="str">
        <f>IFERROR(VLOOKUP(Table1722[[#This Row],[Bukti]],'Un nOTA'!$A$4:$K$5003,10,FALSE),"")</f>
        <v/>
      </c>
      <c r="I1258" s="112" t="str">
        <f>IFERROR(VLOOKUP(Table1722[[#This Row],[Bukti]],Table13[#Data],11,FALSE),"")</f>
        <v/>
      </c>
    </row>
    <row r="1259" spans="1:9" ht="19.5" hidden="1" customHeight="1" x14ac:dyDescent="0.2">
      <c r="A1259" s="105" t="str">
        <f>IF(D1259=1,COUNTIF($D$10:D1259,1)," ")</f>
        <v xml:space="preserve"> </v>
      </c>
      <c r="B1259" s="106">
        <f>COPY!AR1251</f>
        <v>0</v>
      </c>
      <c r="C1259" s="107">
        <f>COPY!AC1251</f>
        <v>0</v>
      </c>
      <c r="D1259" s="107" t="str">
        <f>IF(LEN(Table1722[[#This Row],[Uraian]])&gt;2,1," ")</f>
        <v xml:space="preserve"> </v>
      </c>
      <c r="E1259" s="113" t="str">
        <f>IF(Table1722[[#This Row],[Lawan Transaksi]]="CV AGUNG KARYA",COUNTIF($I$10:I1259,"CV AGUNG KARYA")," ")</f>
        <v xml:space="preserve"> </v>
      </c>
      <c r="F1259" s="107" t="str">
        <f>IF(LEN(Table1722[[#This Row],[Uraian]])&gt;2,TRIM(RIGHT(SUBSTITUTE(TRIM(C1259)," ",REPT(" ",255)),255))," ")</f>
        <v xml:space="preserve"> </v>
      </c>
      <c r="G1259" s="110">
        <f>COPY!Z1251</f>
        <v>0</v>
      </c>
      <c r="H1259" s="111" t="str">
        <f>IFERROR(VLOOKUP(Table1722[[#This Row],[Bukti]],'Un nOTA'!$A$4:$K$5003,10,FALSE),"")</f>
        <v/>
      </c>
      <c r="I1259" s="112" t="str">
        <f>IFERROR(VLOOKUP(Table1722[[#This Row],[Bukti]],Table13[#Data],11,FALSE),"")</f>
        <v/>
      </c>
    </row>
    <row r="1260" spans="1:9" ht="19.5" hidden="1" customHeight="1" x14ac:dyDescent="0.2">
      <c r="A1260" s="105" t="str">
        <f>IF(D1260=1,COUNTIF($D$10:D1260,1)," ")</f>
        <v xml:space="preserve"> </v>
      </c>
      <c r="B1260" s="106">
        <f>COPY!AR1252</f>
        <v>0</v>
      </c>
      <c r="C1260" s="107">
        <f>COPY!AC1252</f>
        <v>0</v>
      </c>
      <c r="D1260" s="107" t="str">
        <f>IF(LEN(Table1722[[#This Row],[Uraian]])&gt;2,1," ")</f>
        <v xml:space="preserve"> </v>
      </c>
      <c r="E1260" s="113" t="str">
        <f>IF(Table1722[[#This Row],[Lawan Transaksi]]="CV AGUNG KARYA",COUNTIF($I$10:I1260,"CV AGUNG KARYA")," ")</f>
        <v xml:space="preserve"> </v>
      </c>
      <c r="F1260" s="107" t="str">
        <f>IF(LEN(Table1722[[#This Row],[Uraian]])&gt;2,TRIM(RIGHT(SUBSTITUTE(TRIM(C1260)," ",REPT(" ",255)),255))," ")</f>
        <v xml:space="preserve"> </v>
      </c>
      <c r="G1260" s="110">
        <f>COPY!Z1252</f>
        <v>0</v>
      </c>
      <c r="H1260" s="111" t="str">
        <f>IFERROR(VLOOKUP(Table1722[[#This Row],[Bukti]],'Un nOTA'!$A$4:$K$5003,10,FALSE),"")</f>
        <v/>
      </c>
      <c r="I1260" s="112" t="str">
        <f>IFERROR(VLOOKUP(Table1722[[#This Row],[Bukti]],Table13[#Data],11,FALSE),"")</f>
        <v/>
      </c>
    </row>
    <row r="1261" spans="1:9" ht="19.5" hidden="1" customHeight="1" x14ac:dyDescent="0.2">
      <c r="A1261" s="105" t="str">
        <f>IF(D1261=1,COUNTIF($D$10:D1261,1)," ")</f>
        <v xml:space="preserve"> </v>
      </c>
      <c r="B1261" s="106">
        <f>COPY!AR1253</f>
        <v>0</v>
      </c>
      <c r="C1261" s="107">
        <f>COPY!AC1253</f>
        <v>0</v>
      </c>
      <c r="D1261" s="107" t="str">
        <f>IF(LEN(Table1722[[#This Row],[Uraian]])&gt;2,1," ")</f>
        <v xml:space="preserve"> </v>
      </c>
      <c r="E1261" s="113" t="str">
        <f>IF(Table1722[[#This Row],[Lawan Transaksi]]="CV AGUNG KARYA",COUNTIF($I$10:I1261,"CV AGUNG KARYA")," ")</f>
        <v xml:space="preserve"> </v>
      </c>
      <c r="F1261" s="107" t="str">
        <f>IF(LEN(Table1722[[#This Row],[Uraian]])&gt;2,TRIM(RIGHT(SUBSTITUTE(TRIM(C1261)," ",REPT(" ",255)),255))," ")</f>
        <v xml:space="preserve"> </v>
      </c>
      <c r="G1261" s="110">
        <f>COPY!Z1253</f>
        <v>0</v>
      </c>
      <c r="H1261" s="111" t="str">
        <f>IFERROR(VLOOKUP(Table1722[[#This Row],[Bukti]],'Un nOTA'!$A$4:$K$5003,10,FALSE),"")</f>
        <v/>
      </c>
      <c r="I1261" s="112" t="str">
        <f>IFERROR(VLOOKUP(Table1722[[#This Row],[Bukti]],Table13[#Data],11,FALSE),"")</f>
        <v/>
      </c>
    </row>
    <row r="1262" spans="1:9" ht="19.5" hidden="1" customHeight="1" x14ac:dyDescent="0.2">
      <c r="A1262" s="105" t="str">
        <f>IF(D1262=1,COUNTIF($D$10:D1262,1)," ")</f>
        <v xml:space="preserve"> </v>
      </c>
      <c r="B1262" s="106">
        <f>COPY!AR1254</f>
        <v>0</v>
      </c>
      <c r="C1262" s="107">
        <f>COPY!AC1254</f>
        <v>0</v>
      </c>
      <c r="D1262" s="107" t="str">
        <f>IF(LEN(Table1722[[#This Row],[Uraian]])&gt;2,1," ")</f>
        <v xml:space="preserve"> </v>
      </c>
      <c r="E1262" s="113" t="str">
        <f>IF(Table1722[[#This Row],[Lawan Transaksi]]="CV AGUNG KARYA",COUNTIF($I$10:I1262,"CV AGUNG KARYA")," ")</f>
        <v xml:space="preserve"> </v>
      </c>
      <c r="F1262" s="107" t="str">
        <f>IF(LEN(Table1722[[#This Row],[Uraian]])&gt;2,TRIM(RIGHT(SUBSTITUTE(TRIM(C1262)," ",REPT(" ",255)),255))," ")</f>
        <v xml:space="preserve"> </v>
      </c>
      <c r="G1262" s="110">
        <f>COPY!Z1254</f>
        <v>0</v>
      </c>
      <c r="H1262" s="111" t="str">
        <f>IFERROR(VLOOKUP(Table1722[[#This Row],[Bukti]],'Un nOTA'!$A$4:$K$5003,10,FALSE),"")</f>
        <v/>
      </c>
      <c r="I1262" s="112" t="str">
        <f>IFERROR(VLOOKUP(Table1722[[#This Row],[Bukti]],Table13[#Data],11,FALSE),"")</f>
        <v/>
      </c>
    </row>
    <row r="1263" spans="1:9" ht="19.5" hidden="1" customHeight="1" x14ac:dyDescent="0.2">
      <c r="A1263" s="105" t="str">
        <f>IF(D1263=1,COUNTIF($D$10:D1263,1)," ")</f>
        <v xml:space="preserve"> </v>
      </c>
      <c r="B1263" s="106">
        <f>COPY!AR1255</f>
        <v>0</v>
      </c>
      <c r="C1263" s="107">
        <f>COPY!AC1255</f>
        <v>0</v>
      </c>
      <c r="D1263" s="107" t="str">
        <f>IF(LEN(Table1722[[#This Row],[Uraian]])&gt;2,1," ")</f>
        <v xml:space="preserve"> </v>
      </c>
      <c r="E1263" s="113" t="str">
        <f>IF(Table1722[[#This Row],[Lawan Transaksi]]="CV AGUNG KARYA",COUNTIF($I$10:I1263,"CV AGUNG KARYA")," ")</f>
        <v xml:space="preserve"> </v>
      </c>
      <c r="F1263" s="107" t="str">
        <f>IF(LEN(Table1722[[#This Row],[Uraian]])&gt;2,TRIM(RIGHT(SUBSTITUTE(TRIM(C1263)," ",REPT(" ",255)),255))," ")</f>
        <v xml:space="preserve"> </v>
      </c>
      <c r="G1263" s="110">
        <f>COPY!Z1255</f>
        <v>0</v>
      </c>
      <c r="H1263" s="111" t="str">
        <f>IFERROR(VLOOKUP(Table1722[[#This Row],[Bukti]],'Un nOTA'!$A$4:$K$5003,10,FALSE),"")</f>
        <v/>
      </c>
      <c r="I1263" s="112" t="str">
        <f>IFERROR(VLOOKUP(Table1722[[#This Row],[Bukti]],Table13[#Data],11,FALSE),"")</f>
        <v/>
      </c>
    </row>
    <row r="1264" spans="1:9" ht="19.5" hidden="1" customHeight="1" x14ac:dyDescent="0.2">
      <c r="A1264" s="105" t="str">
        <f>IF(D1264=1,COUNTIF($D$10:D1264,1)," ")</f>
        <v xml:space="preserve"> </v>
      </c>
      <c r="B1264" s="106">
        <f>COPY!AR1256</f>
        <v>0</v>
      </c>
      <c r="C1264" s="107">
        <f>COPY!AC1256</f>
        <v>0</v>
      </c>
      <c r="D1264" s="107" t="str">
        <f>IF(LEN(Table1722[[#This Row],[Uraian]])&gt;2,1," ")</f>
        <v xml:space="preserve"> </v>
      </c>
      <c r="E1264" s="113" t="str">
        <f>IF(Table1722[[#This Row],[Lawan Transaksi]]="CV AGUNG KARYA",COUNTIF($I$10:I1264,"CV AGUNG KARYA")," ")</f>
        <v xml:space="preserve"> </v>
      </c>
      <c r="F1264" s="107" t="str">
        <f>IF(LEN(Table1722[[#This Row],[Uraian]])&gt;2,TRIM(RIGHT(SUBSTITUTE(TRIM(C1264)," ",REPT(" ",255)),255))," ")</f>
        <v xml:space="preserve"> </v>
      </c>
      <c r="G1264" s="110">
        <f>COPY!Z1256</f>
        <v>0</v>
      </c>
      <c r="H1264" s="111" t="str">
        <f>IFERROR(VLOOKUP(Table1722[[#This Row],[Bukti]],'Un nOTA'!$A$4:$K$5003,10,FALSE),"")</f>
        <v/>
      </c>
      <c r="I1264" s="112" t="str">
        <f>IFERROR(VLOOKUP(Table1722[[#This Row],[Bukti]],Table13[#Data],11,FALSE),"")</f>
        <v/>
      </c>
    </row>
    <row r="1265" spans="1:9" ht="19.5" hidden="1" customHeight="1" x14ac:dyDescent="0.2">
      <c r="A1265" s="105" t="str">
        <f>IF(D1265=1,COUNTIF($D$10:D1265,1)," ")</f>
        <v xml:space="preserve"> </v>
      </c>
      <c r="B1265" s="106">
        <f>COPY!AR1257</f>
        <v>0</v>
      </c>
      <c r="C1265" s="107">
        <f>COPY!AC1257</f>
        <v>0</v>
      </c>
      <c r="D1265" s="107" t="str">
        <f>IF(LEN(Table1722[[#This Row],[Uraian]])&gt;2,1," ")</f>
        <v xml:space="preserve"> </v>
      </c>
      <c r="E1265" s="113" t="str">
        <f>IF(Table1722[[#This Row],[Lawan Transaksi]]="CV AGUNG KARYA",COUNTIF($I$10:I1265,"CV AGUNG KARYA")," ")</f>
        <v xml:space="preserve"> </v>
      </c>
      <c r="F1265" s="107" t="str">
        <f>IF(LEN(Table1722[[#This Row],[Uraian]])&gt;2,TRIM(RIGHT(SUBSTITUTE(TRIM(C1265)," ",REPT(" ",255)),255))," ")</f>
        <v xml:space="preserve"> </v>
      </c>
      <c r="G1265" s="110">
        <f>COPY!Z1257</f>
        <v>0</v>
      </c>
      <c r="H1265" s="111" t="str">
        <f>IFERROR(VLOOKUP(Table1722[[#This Row],[Bukti]],'Un nOTA'!$A$4:$K$5003,10,FALSE),"")</f>
        <v/>
      </c>
      <c r="I1265" s="112" t="str">
        <f>IFERROR(VLOOKUP(Table1722[[#This Row],[Bukti]],Table13[#Data],11,FALSE),"")</f>
        <v/>
      </c>
    </row>
    <row r="1266" spans="1:9" ht="19.5" hidden="1" customHeight="1" x14ac:dyDescent="0.2">
      <c r="A1266" s="105" t="str">
        <f>IF(D1266=1,COUNTIF($D$10:D1266,1)," ")</f>
        <v xml:space="preserve"> </v>
      </c>
      <c r="B1266" s="106">
        <f>COPY!AR1258</f>
        <v>0</v>
      </c>
      <c r="C1266" s="107">
        <f>COPY!AC1258</f>
        <v>0</v>
      </c>
      <c r="D1266" s="107" t="str">
        <f>IF(LEN(Table1722[[#This Row],[Uraian]])&gt;2,1," ")</f>
        <v xml:space="preserve"> </v>
      </c>
      <c r="E1266" s="113" t="str">
        <f>IF(Table1722[[#This Row],[Lawan Transaksi]]="CV AGUNG KARYA",COUNTIF($I$10:I1266,"CV AGUNG KARYA")," ")</f>
        <v xml:space="preserve"> </v>
      </c>
      <c r="F1266" s="107" t="str">
        <f>IF(LEN(Table1722[[#This Row],[Uraian]])&gt;2,TRIM(RIGHT(SUBSTITUTE(TRIM(C1266)," ",REPT(" ",255)),255))," ")</f>
        <v xml:space="preserve"> </v>
      </c>
      <c r="G1266" s="110">
        <f>COPY!Z1258</f>
        <v>0</v>
      </c>
      <c r="H1266" s="111" t="str">
        <f>IFERROR(VLOOKUP(Table1722[[#This Row],[Bukti]],'Un nOTA'!$A$4:$K$5003,10,FALSE),"")</f>
        <v/>
      </c>
      <c r="I1266" s="112" t="str">
        <f>IFERROR(VLOOKUP(Table1722[[#This Row],[Bukti]],Table13[#Data],11,FALSE),"")</f>
        <v/>
      </c>
    </row>
    <row r="1267" spans="1:9" ht="19.5" hidden="1" customHeight="1" x14ac:dyDescent="0.2">
      <c r="A1267" s="105" t="str">
        <f>IF(D1267=1,COUNTIF($D$10:D1267,1)," ")</f>
        <v xml:space="preserve"> </v>
      </c>
      <c r="B1267" s="106">
        <f>COPY!AR1259</f>
        <v>0</v>
      </c>
      <c r="C1267" s="107">
        <f>COPY!AC1259</f>
        <v>0</v>
      </c>
      <c r="D1267" s="107" t="str">
        <f>IF(LEN(Table1722[[#This Row],[Uraian]])&gt;2,1," ")</f>
        <v xml:space="preserve"> </v>
      </c>
      <c r="E1267" s="113" t="str">
        <f>IF(Table1722[[#This Row],[Lawan Transaksi]]="CV AGUNG KARYA",COUNTIF($I$10:I1267,"CV AGUNG KARYA")," ")</f>
        <v xml:space="preserve"> </v>
      </c>
      <c r="F1267" s="107" t="str">
        <f>IF(LEN(Table1722[[#This Row],[Uraian]])&gt;2,TRIM(RIGHT(SUBSTITUTE(TRIM(C1267)," ",REPT(" ",255)),255))," ")</f>
        <v xml:space="preserve"> </v>
      </c>
      <c r="G1267" s="110">
        <f>COPY!Z1259</f>
        <v>0</v>
      </c>
      <c r="H1267" s="111" t="str">
        <f>IFERROR(VLOOKUP(Table1722[[#This Row],[Bukti]],'Un nOTA'!$A$4:$K$5003,10,FALSE),"")</f>
        <v/>
      </c>
      <c r="I1267" s="112" t="str">
        <f>IFERROR(VLOOKUP(Table1722[[#This Row],[Bukti]],Table13[#Data],11,FALSE),"")</f>
        <v/>
      </c>
    </row>
    <row r="1268" spans="1:9" ht="19.5" hidden="1" customHeight="1" x14ac:dyDescent="0.2">
      <c r="A1268" s="105" t="str">
        <f>IF(D1268=1,COUNTIF($D$10:D1268,1)," ")</f>
        <v xml:space="preserve"> </v>
      </c>
      <c r="B1268" s="106">
        <f>COPY!AR1260</f>
        <v>0</v>
      </c>
      <c r="C1268" s="107">
        <f>COPY!AC1260</f>
        <v>0</v>
      </c>
      <c r="D1268" s="107" t="str">
        <f>IF(LEN(Table1722[[#This Row],[Uraian]])&gt;2,1," ")</f>
        <v xml:space="preserve"> </v>
      </c>
      <c r="E1268" s="113" t="str">
        <f>IF(Table1722[[#This Row],[Lawan Transaksi]]="CV AGUNG KARYA",COUNTIF($I$10:I1268,"CV AGUNG KARYA")," ")</f>
        <v xml:space="preserve"> </v>
      </c>
      <c r="F1268" s="107" t="str">
        <f>IF(LEN(Table1722[[#This Row],[Uraian]])&gt;2,TRIM(RIGHT(SUBSTITUTE(TRIM(C1268)," ",REPT(" ",255)),255))," ")</f>
        <v xml:space="preserve"> </v>
      </c>
      <c r="G1268" s="110">
        <f>COPY!Z1260</f>
        <v>0</v>
      </c>
      <c r="H1268" s="111" t="str">
        <f>IFERROR(VLOOKUP(Table1722[[#This Row],[Bukti]],'Un nOTA'!$A$4:$K$5003,10,FALSE),"")</f>
        <v/>
      </c>
      <c r="I1268" s="112" t="str">
        <f>IFERROR(VLOOKUP(Table1722[[#This Row],[Bukti]],Table13[#Data],11,FALSE),"")</f>
        <v/>
      </c>
    </row>
    <row r="1269" spans="1:9" ht="19.5" hidden="1" customHeight="1" x14ac:dyDescent="0.2">
      <c r="A1269" s="105" t="str">
        <f>IF(D1269=1,COUNTIF($D$10:D1269,1)," ")</f>
        <v xml:space="preserve"> </v>
      </c>
      <c r="B1269" s="106">
        <f>COPY!AR1261</f>
        <v>0</v>
      </c>
      <c r="C1269" s="107">
        <f>COPY!AC1261</f>
        <v>0</v>
      </c>
      <c r="D1269" s="107" t="str">
        <f>IF(LEN(Table1722[[#This Row],[Uraian]])&gt;2,1," ")</f>
        <v xml:space="preserve"> </v>
      </c>
      <c r="E1269" s="113" t="str">
        <f>IF(Table1722[[#This Row],[Lawan Transaksi]]="CV AGUNG KARYA",COUNTIF($I$10:I1269,"CV AGUNG KARYA")," ")</f>
        <v xml:space="preserve"> </v>
      </c>
      <c r="F1269" s="107" t="str">
        <f>IF(LEN(Table1722[[#This Row],[Uraian]])&gt;2,TRIM(RIGHT(SUBSTITUTE(TRIM(C1269)," ",REPT(" ",255)),255))," ")</f>
        <v xml:space="preserve"> </v>
      </c>
      <c r="G1269" s="110">
        <f>COPY!Z1261</f>
        <v>0</v>
      </c>
      <c r="H1269" s="111" t="str">
        <f>IFERROR(VLOOKUP(Table1722[[#This Row],[Bukti]],'Un nOTA'!$A$4:$K$5003,10,FALSE),"")</f>
        <v/>
      </c>
      <c r="I1269" s="112" t="str">
        <f>IFERROR(VLOOKUP(Table1722[[#This Row],[Bukti]],Table13[#Data],11,FALSE),"")</f>
        <v/>
      </c>
    </row>
    <row r="1270" spans="1:9" ht="19.5" hidden="1" customHeight="1" x14ac:dyDescent="0.2">
      <c r="A1270" s="105" t="str">
        <f>IF(D1270=1,COUNTIF($D$10:D1270,1)," ")</f>
        <v xml:space="preserve"> </v>
      </c>
      <c r="B1270" s="106">
        <f>COPY!AR1262</f>
        <v>0</v>
      </c>
      <c r="C1270" s="107">
        <f>COPY!AC1262</f>
        <v>0</v>
      </c>
      <c r="D1270" s="107" t="str">
        <f>IF(LEN(Table1722[[#This Row],[Uraian]])&gt;2,1," ")</f>
        <v xml:space="preserve"> </v>
      </c>
      <c r="E1270" s="113" t="str">
        <f>IF(Table1722[[#This Row],[Lawan Transaksi]]="CV AGUNG KARYA",COUNTIF($I$10:I1270,"CV AGUNG KARYA")," ")</f>
        <v xml:space="preserve"> </v>
      </c>
      <c r="F1270" s="107" t="str">
        <f>IF(LEN(Table1722[[#This Row],[Uraian]])&gt;2,TRIM(RIGHT(SUBSTITUTE(TRIM(C1270)," ",REPT(" ",255)),255))," ")</f>
        <v xml:space="preserve"> </v>
      </c>
      <c r="G1270" s="110">
        <f>COPY!Z1262</f>
        <v>0</v>
      </c>
      <c r="H1270" s="111" t="str">
        <f>IFERROR(VLOOKUP(Table1722[[#This Row],[Bukti]],'Un nOTA'!$A$4:$K$5003,10,FALSE),"")</f>
        <v/>
      </c>
      <c r="I1270" s="112" t="str">
        <f>IFERROR(VLOOKUP(Table1722[[#This Row],[Bukti]],Table13[#Data],11,FALSE),"")</f>
        <v/>
      </c>
    </row>
    <row r="1271" spans="1:9" ht="19.5" hidden="1" customHeight="1" x14ac:dyDescent="0.2">
      <c r="A1271" s="105" t="str">
        <f>IF(D1271=1,COUNTIF($D$10:D1271,1)," ")</f>
        <v xml:space="preserve"> </v>
      </c>
      <c r="B1271" s="106">
        <f>COPY!AR1263</f>
        <v>0</v>
      </c>
      <c r="C1271" s="107">
        <f>COPY!AC1263</f>
        <v>0</v>
      </c>
      <c r="D1271" s="107" t="str">
        <f>IF(LEN(Table1722[[#This Row],[Uraian]])&gt;2,1," ")</f>
        <v xml:space="preserve"> </v>
      </c>
      <c r="E1271" s="113" t="str">
        <f>IF(Table1722[[#This Row],[Lawan Transaksi]]="CV AGUNG KARYA",COUNTIF($I$10:I1271,"CV AGUNG KARYA")," ")</f>
        <v xml:space="preserve"> </v>
      </c>
      <c r="F1271" s="107" t="str">
        <f>IF(LEN(Table1722[[#This Row],[Uraian]])&gt;2,TRIM(RIGHT(SUBSTITUTE(TRIM(C1271)," ",REPT(" ",255)),255))," ")</f>
        <v xml:space="preserve"> </v>
      </c>
      <c r="G1271" s="110">
        <f>COPY!Z1263</f>
        <v>0</v>
      </c>
      <c r="H1271" s="111" t="str">
        <f>IFERROR(VLOOKUP(Table1722[[#This Row],[Bukti]],'Un nOTA'!$A$4:$K$5003,10,FALSE),"")</f>
        <v/>
      </c>
      <c r="I1271" s="112" t="str">
        <f>IFERROR(VLOOKUP(Table1722[[#This Row],[Bukti]],Table13[#Data],11,FALSE),"")</f>
        <v/>
      </c>
    </row>
    <row r="1272" spans="1:9" ht="19.5" hidden="1" customHeight="1" x14ac:dyDescent="0.2">
      <c r="A1272" s="105" t="str">
        <f>IF(D1272=1,COUNTIF($D$10:D1272,1)," ")</f>
        <v xml:space="preserve"> </v>
      </c>
      <c r="B1272" s="106">
        <f>COPY!AR1264</f>
        <v>0</v>
      </c>
      <c r="C1272" s="107">
        <f>COPY!AC1264</f>
        <v>0</v>
      </c>
      <c r="D1272" s="107" t="str">
        <f>IF(LEN(Table1722[[#This Row],[Uraian]])&gt;2,1," ")</f>
        <v xml:space="preserve"> </v>
      </c>
      <c r="E1272" s="113" t="str">
        <f>IF(Table1722[[#This Row],[Lawan Transaksi]]="CV AGUNG KARYA",COUNTIF($I$10:I1272,"CV AGUNG KARYA")," ")</f>
        <v xml:space="preserve"> </v>
      </c>
      <c r="F1272" s="107" t="str">
        <f>IF(LEN(Table1722[[#This Row],[Uraian]])&gt;2,TRIM(RIGHT(SUBSTITUTE(TRIM(C1272)," ",REPT(" ",255)),255))," ")</f>
        <v xml:space="preserve"> </v>
      </c>
      <c r="G1272" s="110">
        <f>COPY!Z1264</f>
        <v>0</v>
      </c>
      <c r="H1272" s="111" t="str">
        <f>IFERROR(VLOOKUP(Table1722[[#This Row],[Bukti]],'Un nOTA'!$A$4:$K$5003,10,FALSE),"")</f>
        <v/>
      </c>
      <c r="I1272" s="112" t="str">
        <f>IFERROR(VLOOKUP(Table1722[[#This Row],[Bukti]],Table13[#Data],11,FALSE),"")</f>
        <v/>
      </c>
    </row>
    <row r="1273" spans="1:9" ht="19.5" hidden="1" customHeight="1" x14ac:dyDescent="0.2">
      <c r="A1273" s="105" t="str">
        <f>IF(D1273=1,COUNTIF($D$10:D1273,1)," ")</f>
        <v xml:space="preserve"> </v>
      </c>
      <c r="B1273" s="106">
        <f>COPY!AR1265</f>
        <v>0</v>
      </c>
      <c r="C1273" s="107">
        <f>COPY!AC1265</f>
        <v>0</v>
      </c>
      <c r="D1273" s="107" t="str">
        <f>IF(LEN(Table1722[[#This Row],[Uraian]])&gt;2,1," ")</f>
        <v xml:space="preserve"> </v>
      </c>
      <c r="E1273" s="113" t="str">
        <f>IF(Table1722[[#This Row],[Lawan Transaksi]]="CV AGUNG KARYA",COUNTIF($I$10:I1273,"CV AGUNG KARYA")," ")</f>
        <v xml:space="preserve"> </v>
      </c>
      <c r="F1273" s="107" t="str">
        <f>IF(LEN(Table1722[[#This Row],[Uraian]])&gt;2,TRIM(RIGHT(SUBSTITUTE(TRIM(C1273)," ",REPT(" ",255)),255))," ")</f>
        <v xml:space="preserve"> </v>
      </c>
      <c r="G1273" s="110">
        <f>COPY!Z1265</f>
        <v>0</v>
      </c>
      <c r="H1273" s="111" t="str">
        <f>IFERROR(VLOOKUP(Table1722[[#This Row],[Bukti]],'Un nOTA'!$A$4:$K$5003,10,FALSE),"")</f>
        <v/>
      </c>
      <c r="I1273" s="112" t="str">
        <f>IFERROR(VLOOKUP(Table1722[[#This Row],[Bukti]],Table13[#Data],11,FALSE),"")</f>
        <v/>
      </c>
    </row>
    <row r="1274" spans="1:9" ht="19.5" hidden="1" customHeight="1" x14ac:dyDescent="0.2">
      <c r="A1274" s="105" t="str">
        <f>IF(D1274=1,COUNTIF($D$10:D1274,1)," ")</f>
        <v xml:space="preserve"> </v>
      </c>
      <c r="B1274" s="106">
        <f>COPY!AR1266</f>
        <v>0</v>
      </c>
      <c r="C1274" s="107">
        <f>COPY!AC1266</f>
        <v>0</v>
      </c>
      <c r="D1274" s="107" t="str">
        <f>IF(LEN(Table1722[[#This Row],[Uraian]])&gt;2,1," ")</f>
        <v xml:space="preserve"> </v>
      </c>
      <c r="E1274" s="113" t="str">
        <f>IF(Table1722[[#This Row],[Lawan Transaksi]]="CV AGUNG KARYA",COUNTIF($I$10:I1274,"CV AGUNG KARYA")," ")</f>
        <v xml:space="preserve"> </v>
      </c>
      <c r="F1274" s="107" t="str">
        <f>IF(LEN(Table1722[[#This Row],[Uraian]])&gt;2,TRIM(RIGHT(SUBSTITUTE(TRIM(C1274)," ",REPT(" ",255)),255))," ")</f>
        <v xml:space="preserve"> </v>
      </c>
      <c r="G1274" s="110">
        <f>COPY!Z1266</f>
        <v>0</v>
      </c>
      <c r="H1274" s="111" t="str">
        <f>IFERROR(VLOOKUP(Table1722[[#This Row],[Bukti]],'Un nOTA'!$A$4:$K$5003,10,FALSE),"")</f>
        <v/>
      </c>
      <c r="I1274" s="112" t="str">
        <f>IFERROR(VLOOKUP(Table1722[[#This Row],[Bukti]],Table13[#Data],11,FALSE),"")</f>
        <v/>
      </c>
    </row>
    <row r="1275" spans="1:9" ht="19.5" hidden="1" customHeight="1" x14ac:dyDescent="0.2">
      <c r="A1275" s="105" t="str">
        <f>IF(D1275=1,COUNTIF($D$10:D1275,1)," ")</f>
        <v xml:space="preserve"> </v>
      </c>
      <c r="B1275" s="106">
        <f>COPY!AR1267</f>
        <v>0</v>
      </c>
      <c r="C1275" s="107">
        <f>COPY!AC1267</f>
        <v>0</v>
      </c>
      <c r="D1275" s="107" t="str">
        <f>IF(LEN(Table1722[[#This Row],[Uraian]])&gt;2,1," ")</f>
        <v xml:space="preserve"> </v>
      </c>
      <c r="E1275" s="113" t="str">
        <f>IF(Table1722[[#This Row],[Lawan Transaksi]]="CV AGUNG KARYA",COUNTIF($I$10:I1275,"CV AGUNG KARYA")," ")</f>
        <v xml:space="preserve"> </v>
      </c>
      <c r="F1275" s="107" t="str">
        <f>IF(LEN(Table1722[[#This Row],[Uraian]])&gt;2,TRIM(RIGHT(SUBSTITUTE(TRIM(C1275)," ",REPT(" ",255)),255))," ")</f>
        <v xml:space="preserve"> </v>
      </c>
      <c r="G1275" s="110">
        <f>COPY!Z1267</f>
        <v>0</v>
      </c>
      <c r="H1275" s="111" t="str">
        <f>IFERROR(VLOOKUP(Table1722[[#This Row],[Bukti]],'Un nOTA'!$A$4:$K$5003,10,FALSE),"")</f>
        <v/>
      </c>
      <c r="I1275" s="112" t="str">
        <f>IFERROR(VLOOKUP(Table1722[[#This Row],[Bukti]],Table13[#Data],11,FALSE),"")</f>
        <v/>
      </c>
    </row>
    <row r="1276" spans="1:9" ht="19.5" hidden="1" customHeight="1" x14ac:dyDescent="0.2">
      <c r="A1276" s="105" t="str">
        <f>IF(D1276=1,COUNTIF($D$10:D1276,1)," ")</f>
        <v xml:space="preserve"> </v>
      </c>
      <c r="B1276" s="106">
        <f>COPY!AR1268</f>
        <v>0</v>
      </c>
      <c r="C1276" s="107">
        <f>COPY!AC1268</f>
        <v>0</v>
      </c>
      <c r="D1276" s="107" t="str">
        <f>IF(LEN(Table1722[[#This Row],[Uraian]])&gt;2,1," ")</f>
        <v xml:space="preserve"> </v>
      </c>
      <c r="E1276" s="113" t="str">
        <f>IF(Table1722[[#This Row],[Lawan Transaksi]]="CV AGUNG KARYA",COUNTIF($I$10:I1276,"CV AGUNG KARYA")," ")</f>
        <v xml:space="preserve"> </v>
      </c>
      <c r="F1276" s="107" t="str">
        <f>IF(LEN(Table1722[[#This Row],[Uraian]])&gt;2,TRIM(RIGHT(SUBSTITUTE(TRIM(C1276)," ",REPT(" ",255)),255))," ")</f>
        <v xml:space="preserve"> </v>
      </c>
      <c r="G1276" s="110">
        <f>COPY!Z1268</f>
        <v>0</v>
      </c>
      <c r="H1276" s="111" t="str">
        <f>IFERROR(VLOOKUP(Table1722[[#This Row],[Bukti]],'Un nOTA'!$A$4:$K$5003,10,FALSE),"")</f>
        <v/>
      </c>
      <c r="I1276" s="112" t="str">
        <f>IFERROR(VLOOKUP(Table1722[[#This Row],[Bukti]],Table13[#Data],11,FALSE),"")</f>
        <v/>
      </c>
    </row>
    <row r="1277" spans="1:9" ht="19.5" hidden="1" customHeight="1" x14ac:dyDescent="0.2">
      <c r="A1277" s="105" t="str">
        <f>IF(D1277=1,COUNTIF($D$10:D1277,1)," ")</f>
        <v xml:space="preserve"> </v>
      </c>
      <c r="B1277" s="106">
        <f>COPY!AR1269</f>
        <v>0</v>
      </c>
      <c r="C1277" s="107">
        <f>COPY!AC1269</f>
        <v>0</v>
      </c>
      <c r="D1277" s="107" t="str">
        <f>IF(LEN(Table1722[[#This Row],[Uraian]])&gt;2,1," ")</f>
        <v xml:space="preserve"> </v>
      </c>
      <c r="E1277" s="113" t="str">
        <f>IF(Table1722[[#This Row],[Lawan Transaksi]]="CV AGUNG KARYA",COUNTIF($I$10:I1277,"CV AGUNG KARYA")," ")</f>
        <v xml:space="preserve"> </v>
      </c>
      <c r="F1277" s="107" t="str">
        <f>IF(LEN(Table1722[[#This Row],[Uraian]])&gt;2,TRIM(RIGHT(SUBSTITUTE(TRIM(C1277)," ",REPT(" ",255)),255))," ")</f>
        <v xml:space="preserve"> </v>
      </c>
      <c r="G1277" s="110">
        <f>COPY!Z1269</f>
        <v>0</v>
      </c>
      <c r="H1277" s="111" t="str">
        <f>IFERROR(VLOOKUP(Table1722[[#This Row],[Bukti]],'Un nOTA'!$A$4:$K$5003,10,FALSE),"")</f>
        <v/>
      </c>
      <c r="I1277" s="112" t="str">
        <f>IFERROR(VLOOKUP(Table1722[[#This Row],[Bukti]],Table13[#Data],11,FALSE),"")</f>
        <v/>
      </c>
    </row>
    <row r="1278" spans="1:9" ht="19.5" hidden="1" customHeight="1" x14ac:dyDescent="0.2">
      <c r="A1278" s="105" t="str">
        <f>IF(D1278=1,COUNTIF($D$10:D1278,1)," ")</f>
        <v xml:space="preserve"> </v>
      </c>
      <c r="B1278" s="106">
        <f>COPY!AR1270</f>
        <v>0</v>
      </c>
      <c r="C1278" s="107">
        <f>COPY!AC1270</f>
        <v>0</v>
      </c>
      <c r="D1278" s="107" t="str">
        <f>IF(LEN(Table1722[[#This Row],[Uraian]])&gt;2,1," ")</f>
        <v xml:space="preserve"> </v>
      </c>
      <c r="E1278" s="113" t="str">
        <f>IF(Table1722[[#This Row],[Lawan Transaksi]]="CV AGUNG KARYA",COUNTIF($I$10:I1278,"CV AGUNG KARYA")," ")</f>
        <v xml:space="preserve"> </v>
      </c>
      <c r="F1278" s="107" t="str">
        <f>IF(LEN(Table1722[[#This Row],[Uraian]])&gt;2,TRIM(RIGHT(SUBSTITUTE(TRIM(C1278)," ",REPT(" ",255)),255))," ")</f>
        <v xml:space="preserve"> </v>
      </c>
      <c r="G1278" s="110">
        <f>COPY!Z1270</f>
        <v>0</v>
      </c>
      <c r="H1278" s="111" t="str">
        <f>IFERROR(VLOOKUP(Table1722[[#This Row],[Bukti]],'Un nOTA'!$A$4:$K$5003,10,FALSE),"")</f>
        <v/>
      </c>
      <c r="I1278" s="112" t="str">
        <f>IFERROR(VLOOKUP(Table1722[[#This Row],[Bukti]],Table13[#Data],11,FALSE),"")</f>
        <v/>
      </c>
    </row>
    <row r="1279" spans="1:9" ht="19.5" hidden="1" customHeight="1" x14ac:dyDescent="0.2">
      <c r="A1279" s="105" t="str">
        <f>IF(D1279=1,COUNTIF($D$10:D1279,1)," ")</f>
        <v xml:space="preserve"> </v>
      </c>
      <c r="B1279" s="106">
        <f>COPY!AR1271</f>
        <v>0</v>
      </c>
      <c r="C1279" s="107">
        <f>COPY!AC1271</f>
        <v>0</v>
      </c>
      <c r="D1279" s="107" t="str">
        <f>IF(LEN(Table1722[[#This Row],[Uraian]])&gt;2,1," ")</f>
        <v xml:space="preserve"> </v>
      </c>
      <c r="E1279" s="113" t="str">
        <f>IF(Table1722[[#This Row],[Lawan Transaksi]]="CV AGUNG KARYA",COUNTIF($I$10:I1279,"CV AGUNG KARYA")," ")</f>
        <v xml:space="preserve"> </v>
      </c>
      <c r="F1279" s="107" t="str">
        <f>IF(LEN(Table1722[[#This Row],[Uraian]])&gt;2,TRIM(RIGHT(SUBSTITUTE(TRIM(C1279)," ",REPT(" ",255)),255))," ")</f>
        <v xml:space="preserve"> </v>
      </c>
      <c r="G1279" s="110">
        <f>COPY!Z1271</f>
        <v>0</v>
      </c>
      <c r="H1279" s="111" t="str">
        <f>IFERROR(VLOOKUP(Table1722[[#This Row],[Bukti]],'Un nOTA'!$A$4:$K$5003,10,FALSE),"")</f>
        <v/>
      </c>
      <c r="I1279" s="112" t="str">
        <f>IFERROR(VLOOKUP(Table1722[[#This Row],[Bukti]],Table13[#Data],11,FALSE),"")</f>
        <v/>
      </c>
    </row>
    <row r="1280" spans="1:9" ht="19.5" hidden="1" customHeight="1" x14ac:dyDescent="0.2">
      <c r="A1280" s="105" t="str">
        <f>IF(D1280=1,COUNTIF($D$10:D1280,1)," ")</f>
        <v xml:space="preserve"> </v>
      </c>
      <c r="B1280" s="106">
        <f>COPY!AR1272</f>
        <v>0</v>
      </c>
      <c r="C1280" s="107">
        <f>COPY!AC1272</f>
        <v>0</v>
      </c>
      <c r="D1280" s="107" t="str">
        <f>IF(LEN(Table1722[[#This Row],[Uraian]])&gt;2,1," ")</f>
        <v xml:space="preserve"> </v>
      </c>
      <c r="E1280" s="113" t="str">
        <f>IF(Table1722[[#This Row],[Lawan Transaksi]]="CV AGUNG KARYA",COUNTIF($I$10:I1280,"CV AGUNG KARYA")," ")</f>
        <v xml:space="preserve"> </v>
      </c>
      <c r="F1280" s="107" t="str">
        <f>IF(LEN(Table1722[[#This Row],[Uraian]])&gt;2,TRIM(RIGHT(SUBSTITUTE(TRIM(C1280)," ",REPT(" ",255)),255))," ")</f>
        <v xml:space="preserve"> </v>
      </c>
      <c r="G1280" s="110">
        <f>COPY!Z1272</f>
        <v>0</v>
      </c>
      <c r="H1280" s="111" t="str">
        <f>IFERROR(VLOOKUP(Table1722[[#This Row],[Bukti]],'Un nOTA'!$A$4:$K$5003,10,FALSE),"")</f>
        <v/>
      </c>
      <c r="I1280" s="112" t="str">
        <f>IFERROR(VLOOKUP(Table1722[[#This Row],[Bukti]],Table13[#Data],11,FALSE),"")</f>
        <v/>
      </c>
    </row>
    <row r="1281" spans="1:9" ht="19.5" hidden="1" customHeight="1" x14ac:dyDescent="0.2">
      <c r="A1281" s="105" t="str">
        <f>IF(D1281=1,COUNTIF($D$10:D1281,1)," ")</f>
        <v xml:space="preserve"> </v>
      </c>
      <c r="B1281" s="106">
        <f>COPY!AR1273</f>
        <v>0</v>
      </c>
      <c r="C1281" s="107">
        <f>COPY!AC1273</f>
        <v>0</v>
      </c>
      <c r="D1281" s="107" t="str">
        <f>IF(LEN(Table1722[[#This Row],[Uraian]])&gt;2,1," ")</f>
        <v xml:space="preserve"> </v>
      </c>
      <c r="E1281" s="113" t="str">
        <f>IF(Table1722[[#This Row],[Lawan Transaksi]]="CV AGUNG KARYA",COUNTIF($I$10:I1281,"CV AGUNG KARYA")," ")</f>
        <v xml:space="preserve"> </v>
      </c>
      <c r="F1281" s="107" t="str">
        <f>IF(LEN(Table1722[[#This Row],[Uraian]])&gt;2,TRIM(RIGHT(SUBSTITUTE(TRIM(C1281)," ",REPT(" ",255)),255))," ")</f>
        <v xml:space="preserve"> </v>
      </c>
      <c r="G1281" s="110">
        <f>COPY!Z1273</f>
        <v>0</v>
      </c>
      <c r="H1281" s="111" t="str">
        <f>IFERROR(VLOOKUP(Table1722[[#This Row],[Bukti]],'Un nOTA'!$A$4:$K$5003,10,FALSE),"")</f>
        <v/>
      </c>
      <c r="I1281" s="112" t="str">
        <f>IFERROR(VLOOKUP(Table1722[[#This Row],[Bukti]],Table13[#Data],11,FALSE),"")</f>
        <v/>
      </c>
    </row>
    <row r="1282" spans="1:9" ht="19.5" hidden="1" customHeight="1" x14ac:dyDescent="0.2">
      <c r="A1282" s="105" t="str">
        <f>IF(D1282=1,COUNTIF($D$10:D1282,1)," ")</f>
        <v xml:space="preserve"> </v>
      </c>
      <c r="B1282" s="106">
        <f>COPY!AR1274</f>
        <v>0</v>
      </c>
      <c r="C1282" s="107">
        <f>COPY!AC1274</f>
        <v>0</v>
      </c>
      <c r="D1282" s="107" t="str">
        <f>IF(LEN(Table1722[[#This Row],[Uraian]])&gt;2,1," ")</f>
        <v xml:space="preserve"> </v>
      </c>
      <c r="E1282" s="113" t="str">
        <f>IF(Table1722[[#This Row],[Lawan Transaksi]]="CV AGUNG KARYA",COUNTIF($I$10:I1282,"CV AGUNG KARYA")," ")</f>
        <v xml:space="preserve"> </v>
      </c>
      <c r="F1282" s="107" t="str">
        <f>IF(LEN(Table1722[[#This Row],[Uraian]])&gt;2,TRIM(RIGHT(SUBSTITUTE(TRIM(C1282)," ",REPT(" ",255)),255))," ")</f>
        <v xml:space="preserve"> </v>
      </c>
      <c r="G1282" s="110">
        <f>COPY!Z1274</f>
        <v>0</v>
      </c>
      <c r="H1282" s="111" t="str">
        <f>IFERROR(VLOOKUP(Table1722[[#This Row],[Bukti]],'Un nOTA'!$A$4:$K$5003,10,FALSE),"")</f>
        <v/>
      </c>
      <c r="I1282" s="112" t="str">
        <f>IFERROR(VLOOKUP(Table1722[[#This Row],[Bukti]],Table13[#Data],11,FALSE),"")</f>
        <v/>
      </c>
    </row>
    <row r="1283" spans="1:9" ht="19.5" hidden="1" customHeight="1" x14ac:dyDescent="0.2">
      <c r="A1283" s="105" t="str">
        <f>IF(D1283=1,COUNTIF($D$10:D1283,1)," ")</f>
        <v xml:space="preserve"> </v>
      </c>
      <c r="B1283" s="106">
        <f>COPY!AR1275</f>
        <v>0</v>
      </c>
      <c r="C1283" s="107">
        <f>COPY!AC1275</f>
        <v>0</v>
      </c>
      <c r="D1283" s="107" t="str">
        <f>IF(LEN(Table1722[[#This Row],[Uraian]])&gt;2,1," ")</f>
        <v xml:space="preserve"> </v>
      </c>
      <c r="E1283" s="113" t="str">
        <f>IF(Table1722[[#This Row],[Lawan Transaksi]]="CV AGUNG KARYA",COUNTIF($I$10:I1283,"CV AGUNG KARYA")," ")</f>
        <v xml:space="preserve"> </v>
      </c>
      <c r="F1283" s="107" t="str">
        <f>IF(LEN(Table1722[[#This Row],[Uraian]])&gt;2,TRIM(RIGHT(SUBSTITUTE(TRIM(C1283)," ",REPT(" ",255)),255))," ")</f>
        <v xml:space="preserve"> </v>
      </c>
      <c r="G1283" s="110">
        <f>COPY!Z1275</f>
        <v>0</v>
      </c>
      <c r="H1283" s="111" t="str">
        <f>IFERROR(VLOOKUP(Table1722[[#This Row],[Bukti]],'Un nOTA'!$A$4:$K$5003,10,FALSE),"")</f>
        <v/>
      </c>
      <c r="I1283" s="112" t="str">
        <f>IFERROR(VLOOKUP(Table1722[[#This Row],[Bukti]],Table13[#Data],11,FALSE),"")</f>
        <v/>
      </c>
    </row>
    <row r="1284" spans="1:9" ht="19.5" hidden="1" customHeight="1" x14ac:dyDescent="0.2">
      <c r="A1284" s="105" t="str">
        <f>IF(D1284=1,COUNTIF($D$10:D1284,1)," ")</f>
        <v xml:space="preserve"> </v>
      </c>
      <c r="B1284" s="106">
        <f>COPY!AR1276</f>
        <v>0</v>
      </c>
      <c r="C1284" s="107">
        <f>COPY!AC1276</f>
        <v>0</v>
      </c>
      <c r="D1284" s="107" t="str">
        <f>IF(LEN(Table1722[[#This Row],[Uraian]])&gt;2,1," ")</f>
        <v xml:space="preserve"> </v>
      </c>
      <c r="E1284" s="113" t="str">
        <f>IF(Table1722[[#This Row],[Lawan Transaksi]]="CV AGUNG KARYA",COUNTIF($I$10:I1284,"CV AGUNG KARYA")," ")</f>
        <v xml:space="preserve"> </v>
      </c>
      <c r="F1284" s="107" t="str">
        <f>IF(LEN(Table1722[[#This Row],[Uraian]])&gt;2,TRIM(RIGHT(SUBSTITUTE(TRIM(C1284)," ",REPT(" ",255)),255))," ")</f>
        <v xml:space="preserve"> </v>
      </c>
      <c r="G1284" s="110">
        <f>COPY!Z1276</f>
        <v>0</v>
      </c>
      <c r="H1284" s="111" t="str">
        <f>IFERROR(VLOOKUP(Table1722[[#This Row],[Bukti]],'Un nOTA'!$A$4:$K$5003,10,FALSE),"")</f>
        <v/>
      </c>
      <c r="I1284" s="112" t="str">
        <f>IFERROR(VLOOKUP(Table1722[[#This Row],[Bukti]],Table13[#Data],11,FALSE),"")</f>
        <v/>
      </c>
    </row>
    <row r="1285" spans="1:9" ht="19.5" hidden="1" customHeight="1" x14ac:dyDescent="0.2">
      <c r="A1285" s="105" t="str">
        <f>IF(D1285=1,COUNTIF($D$10:D1285,1)," ")</f>
        <v xml:space="preserve"> </v>
      </c>
      <c r="B1285" s="106">
        <f>COPY!AR1277</f>
        <v>0</v>
      </c>
      <c r="C1285" s="107">
        <f>COPY!AC1277</f>
        <v>0</v>
      </c>
      <c r="D1285" s="107" t="str">
        <f>IF(LEN(Table1722[[#This Row],[Uraian]])&gt;2,1," ")</f>
        <v xml:space="preserve"> </v>
      </c>
      <c r="E1285" s="113" t="str">
        <f>IF(Table1722[[#This Row],[Lawan Transaksi]]="CV AGUNG KARYA",COUNTIF($I$10:I1285,"CV AGUNG KARYA")," ")</f>
        <v xml:space="preserve"> </v>
      </c>
      <c r="F1285" s="107" t="str">
        <f>IF(LEN(Table1722[[#This Row],[Uraian]])&gt;2,TRIM(RIGHT(SUBSTITUTE(TRIM(C1285)," ",REPT(" ",255)),255))," ")</f>
        <v xml:space="preserve"> </v>
      </c>
      <c r="G1285" s="110">
        <f>COPY!Z1277</f>
        <v>0</v>
      </c>
      <c r="H1285" s="111" t="str">
        <f>IFERROR(VLOOKUP(Table1722[[#This Row],[Bukti]],'Un nOTA'!$A$4:$K$5003,10,FALSE),"")</f>
        <v/>
      </c>
      <c r="I1285" s="112" t="str">
        <f>IFERROR(VLOOKUP(Table1722[[#This Row],[Bukti]],Table13[#Data],11,FALSE),"")</f>
        <v/>
      </c>
    </row>
    <row r="1286" spans="1:9" ht="19.5" hidden="1" customHeight="1" x14ac:dyDescent="0.2">
      <c r="A1286" s="105" t="str">
        <f>IF(D1286=1,COUNTIF($D$10:D1286,1)," ")</f>
        <v xml:space="preserve"> </v>
      </c>
      <c r="B1286" s="106">
        <f>COPY!AR1278</f>
        <v>0</v>
      </c>
      <c r="C1286" s="107">
        <f>COPY!AC1278</f>
        <v>0</v>
      </c>
      <c r="D1286" s="107" t="str">
        <f>IF(LEN(Table1722[[#This Row],[Uraian]])&gt;2,1," ")</f>
        <v xml:space="preserve"> </v>
      </c>
      <c r="E1286" s="113" t="str">
        <f>IF(Table1722[[#This Row],[Lawan Transaksi]]="CV AGUNG KARYA",COUNTIF($I$10:I1286,"CV AGUNG KARYA")," ")</f>
        <v xml:space="preserve"> </v>
      </c>
      <c r="F1286" s="107" t="str">
        <f>IF(LEN(Table1722[[#This Row],[Uraian]])&gt;2,TRIM(RIGHT(SUBSTITUTE(TRIM(C1286)," ",REPT(" ",255)),255))," ")</f>
        <v xml:space="preserve"> </v>
      </c>
      <c r="G1286" s="110">
        <f>COPY!Z1278</f>
        <v>0</v>
      </c>
      <c r="H1286" s="111" t="str">
        <f>IFERROR(VLOOKUP(Table1722[[#This Row],[Bukti]],'Un nOTA'!$A$4:$K$5003,10,FALSE),"")</f>
        <v/>
      </c>
      <c r="I1286" s="112" t="str">
        <f>IFERROR(VLOOKUP(Table1722[[#This Row],[Bukti]],Table13[#Data],11,FALSE),"")</f>
        <v/>
      </c>
    </row>
    <row r="1287" spans="1:9" ht="19.5" hidden="1" customHeight="1" x14ac:dyDescent="0.2">
      <c r="A1287" s="105" t="str">
        <f>IF(D1287=1,COUNTIF($D$10:D1287,1)," ")</f>
        <v xml:space="preserve"> </v>
      </c>
      <c r="B1287" s="106">
        <f>COPY!AR1279</f>
        <v>0</v>
      </c>
      <c r="C1287" s="107">
        <f>COPY!AC1279</f>
        <v>0</v>
      </c>
      <c r="D1287" s="107" t="str">
        <f>IF(LEN(Table1722[[#This Row],[Uraian]])&gt;2,1," ")</f>
        <v xml:space="preserve"> </v>
      </c>
      <c r="E1287" s="113" t="str">
        <f>IF(Table1722[[#This Row],[Lawan Transaksi]]="CV AGUNG KARYA",COUNTIF($I$10:I1287,"CV AGUNG KARYA")," ")</f>
        <v xml:space="preserve"> </v>
      </c>
      <c r="F1287" s="107" t="str">
        <f>IF(LEN(Table1722[[#This Row],[Uraian]])&gt;2,TRIM(RIGHT(SUBSTITUTE(TRIM(C1287)," ",REPT(" ",255)),255))," ")</f>
        <v xml:space="preserve"> </v>
      </c>
      <c r="G1287" s="110">
        <f>COPY!Z1279</f>
        <v>0</v>
      </c>
      <c r="H1287" s="111" t="str">
        <f>IFERROR(VLOOKUP(Table1722[[#This Row],[Bukti]],'Un nOTA'!$A$4:$K$5003,10,FALSE),"")</f>
        <v/>
      </c>
      <c r="I1287" s="112" t="str">
        <f>IFERROR(VLOOKUP(Table1722[[#This Row],[Bukti]],Table13[#Data],11,FALSE),"")</f>
        <v/>
      </c>
    </row>
    <row r="1288" spans="1:9" ht="19.5" hidden="1" customHeight="1" x14ac:dyDescent="0.2">
      <c r="A1288" s="105" t="str">
        <f>IF(D1288=1,COUNTIF($D$10:D1288,1)," ")</f>
        <v xml:space="preserve"> </v>
      </c>
      <c r="B1288" s="106">
        <f>COPY!AR1280</f>
        <v>0</v>
      </c>
      <c r="C1288" s="107">
        <f>COPY!AC1280</f>
        <v>0</v>
      </c>
      <c r="D1288" s="107" t="str">
        <f>IF(LEN(Table1722[[#This Row],[Uraian]])&gt;2,1," ")</f>
        <v xml:space="preserve"> </v>
      </c>
      <c r="E1288" s="113" t="str">
        <f>IF(Table1722[[#This Row],[Lawan Transaksi]]="CV AGUNG KARYA",COUNTIF($I$10:I1288,"CV AGUNG KARYA")," ")</f>
        <v xml:space="preserve"> </v>
      </c>
      <c r="F1288" s="107" t="str">
        <f>IF(LEN(Table1722[[#This Row],[Uraian]])&gt;2,TRIM(RIGHT(SUBSTITUTE(TRIM(C1288)," ",REPT(" ",255)),255))," ")</f>
        <v xml:space="preserve"> </v>
      </c>
      <c r="G1288" s="110">
        <f>COPY!Z1280</f>
        <v>0</v>
      </c>
      <c r="H1288" s="111" t="str">
        <f>IFERROR(VLOOKUP(Table1722[[#This Row],[Bukti]],'Un nOTA'!$A$4:$K$5003,10,FALSE),"")</f>
        <v/>
      </c>
      <c r="I1288" s="112" t="str">
        <f>IFERROR(VLOOKUP(Table1722[[#This Row],[Bukti]],Table13[#Data],11,FALSE),"")</f>
        <v/>
      </c>
    </row>
    <row r="1289" spans="1:9" ht="19.5" hidden="1" customHeight="1" x14ac:dyDescent="0.2">
      <c r="A1289" s="105" t="str">
        <f>IF(D1289=1,COUNTIF($D$10:D1289,1)," ")</f>
        <v xml:space="preserve"> </v>
      </c>
      <c r="B1289" s="106">
        <f>COPY!AR1281</f>
        <v>0</v>
      </c>
      <c r="C1289" s="107">
        <f>COPY!AC1281</f>
        <v>0</v>
      </c>
      <c r="D1289" s="107" t="str">
        <f>IF(LEN(Table1722[[#This Row],[Uraian]])&gt;2,1," ")</f>
        <v xml:space="preserve"> </v>
      </c>
      <c r="E1289" s="113" t="str">
        <f>IF(Table1722[[#This Row],[Lawan Transaksi]]="CV AGUNG KARYA",COUNTIF($I$10:I1289,"CV AGUNG KARYA")," ")</f>
        <v xml:space="preserve"> </v>
      </c>
      <c r="F1289" s="107" t="str">
        <f>IF(LEN(Table1722[[#This Row],[Uraian]])&gt;2,TRIM(RIGHT(SUBSTITUTE(TRIM(C1289)," ",REPT(" ",255)),255))," ")</f>
        <v xml:space="preserve"> </v>
      </c>
      <c r="G1289" s="110">
        <f>COPY!Z1281</f>
        <v>0</v>
      </c>
      <c r="H1289" s="111" t="str">
        <f>IFERROR(VLOOKUP(Table1722[[#This Row],[Bukti]],'Un nOTA'!$A$4:$K$5003,10,FALSE),"")</f>
        <v/>
      </c>
      <c r="I1289" s="112" t="str">
        <f>IFERROR(VLOOKUP(Table1722[[#This Row],[Bukti]],Table13[#Data],11,FALSE),"")</f>
        <v/>
      </c>
    </row>
    <row r="1290" spans="1:9" ht="19.5" hidden="1" customHeight="1" x14ac:dyDescent="0.2">
      <c r="A1290" s="105" t="str">
        <f>IF(D1290=1,COUNTIF($D$10:D1290,1)," ")</f>
        <v xml:space="preserve"> </v>
      </c>
      <c r="B1290" s="106">
        <f>COPY!AR1282</f>
        <v>0</v>
      </c>
      <c r="C1290" s="107">
        <f>COPY!AC1282</f>
        <v>0</v>
      </c>
      <c r="D1290" s="107" t="str">
        <f>IF(LEN(Table1722[[#This Row],[Uraian]])&gt;2,1," ")</f>
        <v xml:space="preserve"> </v>
      </c>
      <c r="E1290" s="113" t="str">
        <f>IF(Table1722[[#This Row],[Lawan Transaksi]]="CV AGUNG KARYA",COUNTIF($I$10:I1290,"CV AGUNG KARYA")," ")</f>
        <v xml:space="preserve"> </v>
      </c>
      <c r="F1290" s="107" t="str">
        <f>IF(LEN(Table1722[[#This Row],[Uraian]])&gt;2,TRIM(RIGHT(SUBSTITUTE(TRIM(C1290)," ",REPT(" ",255)),255))," ")</f>
        <v xml:space="preserve"> </v>
      </c>
      <c r="G1290" s="110">
        <f>COPY!Z1282</f>
        <v>0</v>
      </c>
      <c r="H1290" s="111" t="str">
        <f>IFERROR(VLOOKUP(Table1722[[#This Row],[Bukti]],'Un nOTA'!$A$4:$K$5003,10,FALSE),"")</f>
        <v/>
      </c>
      <c r="I1290" s="112" t="str">
        <f>IFERROR(VLOOKUP(Table1722[[#This Row],[Bukti]],Table13[#Data],11,FALSE),"")</f>
        <v/>
      </c>
    </row>
    <row r="1291" spans="1:9" ht="19.5" hidden="1" customHeight="1" x14ac:dyDescent="0.2">
      <c r="A1291" s="105" t="str">
        <f>IF(D1291=1,COUNTIF($D$10:D1291,1)," ")</f>
        <v xml:space="preserve"> </v>
      </c>
      <c r="B1291" s="106">
        <f>COPY!AR1283</f>
        <v>0</v>
      </c>
      <c r="C1291" s="107">
        <f>COPY!AC1283</f>
        <v>0</v>
      </c>
      <c r="D1291" s="107" t="str">
        <f>IF(LEN(Table1722[[#This Row],[Uraian]])&gt;2,1," ")</f>
        <v xml:space="preserve"> </v>
      </c>
      <c r="E1291" s="113" t="str">
        <f>IF(Table1722[[#This Row],[Lawan Transaksi]]="CV AGUNG KARYA",COUNTIF($I$10:I1291,"CV AGUNG KARYA")," ")</f>
        <v xml:space="preserve"> </v>
      </c>
      <c r="F1291" s="107" t="str">
        <f>IF(LEN(Table1722[[#This Row],[Uraian]])&gt;2,TRIM(RIGHT(SUBSTITUTE(TRIM(C1291)," ",REPT(" ",255)),255))," ")</f>
        <v xml:space="preserve"> </v>
      </c>
      <c r="G1291" s="110">
        <f>COPY!Z1283</f>
        <v>0</v>
      </c>
      <c r="H1291" s="111" t="str">
        <f>IFERROR(VLOOKUP(Table1722[[#This Row],[Bukti]],'Un nOTA'!$A$4:$K$5003,10,FALSE),"")</f>
        <v/>
      </c>
      <c r="I1291" s="112" t="str">
        <f>IFERROR(VLOOKUP(Table1722[[#This Row],[Bukti]],Table13[#Data],11,FALSE),"")</f>
        <v/>
      </c>
    </row>
    <row r="1292" spans="1:9" ht="19.5" hidden="1" customHeight="1" x14ac:dyDescent="0.2">
      <c r="A1292" s="105" t="str">
        <f>IF(D1292=1,COUNTIF($D$10:D1292,1)," ")</f>
        <v xml:space="preserve"> </v>
      </c>
      <c r="B1292" s="106">
        <f>COPY!AR1284</f>
        <v>0</v>
      </c>
      <c r="C1292" s="107">
        <f>COPY!AC1284</f>
        <v>0</v>
      </c>
      <c r="D1292" s="107" t="str">
        <f>IF(LEN(Table1722[[#This Row],[Uraian]])&gt;2,1," ")</f>
        <v xml:space="preserve"> </v>
      </c>
      <c r="E1292" s="113" t="str">
        <f>IF(Table1722[[#This Row],[Lawan Transaksi]]="CV AGUNG KARYA",COUNTIF($I$10:I1292,"CV AGUNG KARYA")," ")</f>
        <v xml:space="preserve"> </v>
      </c>
      <c r="F1292" s="107" t="str">
        <f>IF(LEN(Table1722[[#This Row],[Uraian]])&gt;2,TRIM(RIGHT(SUBSTITUTE(TRIM(C1292)," ",REPT(" ",255)),255))," ")</f>
        <v xml:space="preserve"> </v>
      </c>
      <c r="G1292" s="110">
        <f>COPY!Z1284</f>
        <v>0</v>
      </c>
      <c r="H1292" s="111" t="str">
        <f>IFERROR(VLOOKUP(Table1722[[#This Row],[Bukti]],'Un nOTA'!$A$4:$K$5003,10,FALSE),"")</f>
        <v/>
      </c>
      <c r="I1292" s="112" t="str">
        <f>IFERROR(VLOOKUP(Table1722[[#This Row],[Bukti]],Table13[#Data],11,FALSE),"")</f>
        <v/>
      </c>
    </row>
    <row r="1293" spans="1:9" ht="19.5" hidden="1" customHeight="1" x14ac:dyDescent="0.2">
      <c r="A1293" s="105" t="str">
        <f>IF(D1293=1,COUNTIF($D$10:D1293,1)," ")</f>
        <v xml:space="preserve"> </v>
      </c>
      <c r="B1293" s="106">
        <f>COPY!AR1285</f>
        <v>0</v>
      </c>
      <c r="C1293" s="107">
        <f>COPY!AC1285</f>
        <v>0</v>
      </c>
      <c r="D1293" s="107" t="str">
        <f>IF(LEN(Table1722[[#This Row],[Uraian]])&gt;2,1," ")</f>
        <v xml:space="preserve"> </v>
      </c>
      <c r="E1293" s="113" t="str">
        <f>IF(Table1722[[#This Row],[Lawan Transaksi]]="CV AGUNG KARYA",COUNTIF($I$10:I1293,"CV AGUNG KARYA")," ")</f>
        <v xml:space="preserve"> </v>
      </c>
      <c r="F1293" s="107" t="str">
        <f>IF(LEN(Table1722[[#This Row],[Uraian]])&gt;2,TRIM(RIGHT(SUBSTITUTE(TRIM(C1293)," ",REPT(" ",255)),255))," ")</f>
        <v xml:space="preserve"> </v>
      </c>
      <c r="G1293" s="110">
        <f>COPY!Z1285</f>
        <v>0</v>
      </c>
      <c r="H1293" s="111" t="str">
        <f>IFERROR(VLOOKUP(Table1722[[#This Row],[Bukti]],'Un nOTA'!$A$4:$K$5003,10,FALSE),"")</f>
        <v/>
      </c>
      <c r="I1293" s="112" t="str">
        <f>IFERROR(VLOOKUP(Table1722[[#This Row],[Bukti]],Table13[#Data],11,FALSE),"")</f>
        <v/>
      </c>
    </row>
    <row r="1294" spans="1:9" ht="19.5" hidden="1" customHeight="1" x14ac:dyDescent="0.2">
      <c r="A1294" s="105" t="str">
        <f>IF(D1294=1,COUNTIF($D$10:D1294,1)," ")</f>
        <v xml:space="preserve"> </v>
      </c>
      <c r="B1294" s="106">
        <f>COPY!AR1286</f>
        <v>0</v>
      </c>
      <c r="C1294" s="107">
        <f>COPY!AC1286</f>
        <v>0</v>
      </c>
      <c r="D1294" s="107" t="str">
        <f>IF(LEN(Table1722[[#This Row],[Uraian]])&gt;2,1," ")</f>
        <v xml:space="preserve"> </v>
      </c>
      <c r="E1294" s="113" t="str">
        <f>IF(Table1722[[#This Row],[Lawan Transaksi]]="CV AGUNG KARYA",COUNTIF($I$10:I1294,"CV AGUNG KARYA")," ")</f>
        <v xml:space="preserve"> </v>
      </c>
      <c r="F1294" s="107" t="str">
        <f>IF(LEN(Table1722[[#This Row],[Uraian]])&gt;2,TRIM(RIGHT(SUBSTITUTE(TRIM(C1294)," ",REPT(" ",255)),255))," ")</f>
        <v xml:space="preserve"> </v>
      </c>
      <c r="G1294" s="110">
        <f>COPY!Z1286</f>
        <v>0</v>
      </c>
      <c r="H1294" s="111" t="str">
        <f>IFERROR(VLOOKUP(Table1722[[#This Row],[Bukti]],'Un nOTA'!$A$4:$K$5003,10,FALSE),"")</f>
        <v/>
      </c>
      <c r="I1294" s="112" t="str">
        <f>IFERROR(VLOOKUP(Table1722[[#This Row],[Bukti]],Table13[#Data],11,FALSE),"")</f>
        <v/>
      </c>
    </row>
    <row r="1295" spans="1:9" ht="19.5" hidden="1" customHeight="1" x14ac:dyDescent="0.2">
      <c r="A1295" s="105" t="str">
        <f>IF(D1295=1,COUNTIF($D$10:D1295,1)," ")</f>
        <v xml:space="preserve"> </v>
      </c>
      <c r="B1295" s="106">
        <f>COPY!AR1287</f>
        <v>0</v>
      </c>
      <c r="C1295" s="107">
        <f>COPY!AC1287</f>
        <v>0</v>
      </c>
      <c r="D1295" s="107" t="str">
        <f>IF(LEN(Table1722[[#This Row],[Uraian]])&gt;2,1," ")</f>
        <v xml:space="preserve"> </v>
      </c>
      <c r="E1295" s="113" t="str">
        <f>IF(Table1722[[#This Row],[Lawan Transaksi]]="CV AGUNG KARYA",COUNTIF($I$10:I1295,"CV AGUNG KARYA")," ")</f>
        <v xml:space="preserve"> </v>
      </c>
      <c r="F1295" s="107" t="str">
        <f>IF(LEN(Table1722[[#This Row],[Uraian]])&gt;2,TRIM(RIGHT(SUBSTITUTE(TRIM(C1295)," ",REPT(" ",255)),255))," ")</f>
        <v xml:space="preserve"> </v>
      </c>
      <c r="G1295" s="110">
        <f>COPY!Z1287</f>
        <v>0</v>
      </c>
      <c r="H1295" s="111" t="str">
        <f>IFERROR(VLOOKUP(Table1722[[#This Row],[Bukti]],'Un nOTA'!$A$4:$K$5003,10,FALSE),"")</f>
        <v/>
      </c>
      <c r="I1295" s="112" t="str">
        <f>IFERROR(VLOOKUP(Table1722[[#This Row],[Bukti]],Table13[#Data],11,FALSE),"")</f>
        <v/>
      </c>
    </row>
    <row r="1296" spans="1:9" ht="19.5" hidden="1" customHeight="1" x14ac:dyDescent="0.2">
      <c r="A1296" s="105" t="str">
        <f>IF(D1296=1,COUNTIF($D$10:D1296,1)," ")</f>
        <v xml:space="preserve"> </v>
      </c>
      <c r="B1296" s="106">
        <f>COPY!AR1288</f>
        <v>0</v>
      </c>
      <c r="C1296" s="107">
        <f>COPY!AC1288</f>
        <v>0</v>
      </c>
      <c r="D1296" s="107" t="str">
        <f>IF(LEN(Table1722[[#This Row],[Uraian]])&gt;2,1," ")</f>
        <v xml:space="preserve"> </v>
      </c>
      <c r="E1296" s="113" t="str">
        <f>IF(Table1722[[#This Row],[Lawan Transaksi]]="CV AGUNG KARYA",COUNTIF($I$10:I1296,"CV AGUNG KARYA")," ")</f>
        <v xml:space="preserve"> </v>
      </c>
      <c r="F1296" s="107" t="str">
        <f>IF(LEN(Table1722[[#This Row],[Uraian]])&gt;2,TRIM(RIGHT(SUBSTITUTE(TRIM(C1296)," ",REPT(" ",255)),255))," ")</f>
        <v xml:space="preserve"> </v>
      </c>
      <c r="G1296" s="110">
        <f>COPY!Z1288</f>
        <v>0</v>
      </c>
      <c r="H1296" s="111" t="str">
        <f>IFERROR(VLOOKUP(Table1722[[#This Row],[Bukti]],'Un nOTA'!$A$4:$K$5003,10,FALSE),"")</f>
        <v/>
      </c>
      <c r="I1296" s="112" t="str">
        <f>IFERROR(VLOOKUP(Table1722[[#This Row],[Bukti]],Table13[#Data],11,FALSE),"")</f>
        <v/>
      </c>
    </row>
    <row r="1297" spans="1:9" ht="19.5" hidden="1" customHeight="1" x14ac:dyDescent="0.2">
      <c r="A1297" s="105" t="str">
        <f>IF(D1297=1,COUNTIF($D$10:D1297,1)," ")</f>
        <v xml:space="preserve"> </v>
      </c>
      <c r="B1297" s="106">
        <f>COPY!AR1289</f>
        <v>0</v>
      </c>
      <c r="C1297" s="107">
        <f>COPY!AC1289</f>
        <v>0</v>
      </c>
      <c r="D1297" s="107" t="str">
        <f>IF(LEN(Table1722[[#This Row],[Uraian]])&gt;2,1," ")</f>
        <v xml:space="preserve"> </v>
      </c>
      <c r="E1297" s="113" t="str">
        <f>IF(Table1722[[#This Row],[Lawan Transaksi]]="CV AGUNG KARYA",COUNTIF($I$10:I1297,"CV AGUNG KARYA")," ")</f>
        <v xml:space="preserve"> </v>
      </c>
      <c r="F1297" s="107" t="str">
        <f>IF(LEN(Table1722[[#This Row],[Uraian]])&gt;2,TRIM(RIGHT(SUBSTITUTE(TRIM(C1297)," ",REPT(" ",255)),255))," ")</f>
        <v xml:space="preserve"> </v>
      </c>
      <c r="G1297" s="110">
        <f>COPY!Z1289</f>
        <v>0</v>
      </c>
      <c r="H1297" s="111" t="str">
        <f>IFERROR(VLOOKUP(Table1722[[#This Row],[Bukti]],'Un nOTA'!$A$4:$K$5003,10,FALSE),"")</f>
        <v/>
      </c>
      <c r="I1297" s="112" t="str">
        <f>IFERROR(VLOOKUP(Table1722[[#This Row],[Bukti]],Table13[#Data],11,FALSE),"")</f>
        <v/>
      </c>
    </row>
    <row r="1298" spans="1:9" ht="19.5" hidden="1" customHeight="1" x14ac:dyDescent="0.2">
      <c r="A1298" s="105" t="str">
        <f>IF(D1298=1,COUNTIF($D$10:D1298,1)," ")</f>
        <v xml:space="preserve"> </v>
      </c>
      <c r="B1298" s="106">
        <f>COPY!AR1290</f>
        <v>0</v>
      </c>
      <c r="C1298" s="107">
        <f>COPY!AC1290</f>
        <v>0</v>
      </c>
      <c r="D1298" s="107" t="str">
        <f>IF(LEN(Table1722[[#This Row],[Uraian]])&gt;2,1," ")</f>
        <v xml:space="preserve"> </v>
      </c>
      <c r="E1298" s="113" t="str">
        <f>IF(Table1722[[#This Row],[Lawan Transaksi]]="CV AGUNG KARYA",COUNTIF($I$10:I1298,"CV AGUNG KARYA")," ")</f>
        <v xml:space="preserve"> </v>
      </c>
      <c r="F1298" s="107" t="str">
        <f>IF(LEN(Table1722[[#This Row],[Uraian]])&gt;2,TRIM(RIGHT(SUBSTITUTE(TRIM(C1298)," ",REPT(" ",255)),255))," ")</f>
        <v xml:space="preserve"> </v>
      </c>
      <c r="G1298" s="110">
        <f>COPY!Z1290</f>
        <v>0</v>
      </c>
      <c r="H1298" s="111" t="str">
        <f>IFERROR(VLOOKUP(Table1722[[#This Row],[Bukti]],'Un nOTA'!$A$4:$K$5003,10,FALSE),"")</f>
        <v/>
      </c>
      <c r="I1298" s="112" t="str">
        <f>IFERROR(VLOOKUP(Table1722[[#This Row],[Bukti]],Table13[#Data],11,FALSE),"")</f>
        <v/>
      </c>
    </row>
    <row r="1299" spans="1:9" ht="19.5" hidden="1" customHeight="1" x14ac:dyDescent="0.2">
      <c r="A1299" s="105" t="str">
        <f>IF(D1299=1,COUNTIF($D$10:D1299,1)," ")</f>
        <v xml:space="preserve"> </v>
      </c>
      <c r="B1299" s="106">
        <f>COPY!AR1291</f>
        <v>0</v>
      </c>
      <c r="C1299" s="107">
        <f>COPY!AC1291</f>
        <v>0</v>
      </c>
      <c r="D1299" s="107" t="str">
        <f>IF(LEN(Table1722[[#This Row],[Uraian]])&gt;2,1," ")</f>
        <v xml:space="preserve"> </v>
      </c>
      <c r="E1299" s="113" t="str">
        <f>IF(Table1722[[#This Row],[Lawan Transaksi]]="CV AGUNG KARYA",COUNTIF($I$10:I1299,"CV AGUNG KARYA")," ")</f>
        <v xml:space="preserve"> </v>
      </c>
      <c r="F1299" s="107" t="str">
        <f>IF(LEN(Table1722[[#This Row],[Uraian]])&gt;2,TRIM(RIGHT(SUBSTITUTE(TRIM(C1299)," ",REPT(" ",255)),255))," ")</f>
        <v xml:space="preserve"> </v>
      </c>
      <c r="G1299" s="110">
        <f>COPY!Z1291</f>
        <v>0</v>
      </c>
      <c r="H1299" s="111" t="str">
        <f>IFERROR(VLOOKUP(Table1722[[#This Row],[Bukti]],'Un nOTA'!$A$4:$K$5003,10,FALSE),"")</f>
        <v/>
      </c>
      <c r="I1299" s="112" t="str">
        <f>IFERROR(VLOOKUP(Table1722[[#This Row],[Bukti]],Table13[#Data],11,FALSE),"")</f>
        <v/>
      </c>
    </row>
    <row r="1300" spans="1:9" ht="19.5" hidden="1" customHeight="1" x14ac:dyDescent="0.2">
      <c r="A1300" s="105" t="str">
        <f>IF(D1300=1,COUNTIF($D$10:D1300,1)," ")</f>
        <v xml:space="preserve"> </v>
      </c>
      <c r="B1300" s="106">
        <f>COPY!AR1292</f>
        <v>0</v>
      </c>
      <c r="C1300" s="107">
        <f>COPY!AC1292</f>
        <v>0</v>
      </c>
      <c r="D1300" s="107" t="str">
        <f>IF(LEN(Table1722[[#This Row],[Uraian]])&gt;2,1," ")</f>
        <v xml:space="preserve"> </v>
      </c>
      <c r="E1300" s="113" t="str">
        <f>IF(Table1722[[#This Row],[Lawan Transaksi]]="CV AGUNG KARYA",COUNTIF($I$10:I1300,"CV AGUNG KARYA")," ")</f>
        <v xml:space="preserve"> </v>
      </c>
      <c r="F1300" s="107" t="str">
        <f>IF(LEN(Table1722[[#This Row],[Uraian]])&gt;2,TRIM(RIGHT(SUBSTITUTE(TRIM(C1300)," ",REPT(" ",255)),255))," ")</f>
        <v xml:space="preserve"> </v>
      </c>
      <c r="G1300" s="110">
        <f>COPY!Z1292</f>
        <v>0</v>
      </c>
      <c r="H1300" s="111" t="str">
        <f>IFERROR(VLOOKUP(Table1722[[#This Row],[Bukti]],'Un nOTA'!$A$4:$K$5003,10,FALSE),"")</f>
        <v/>
      </c>
      <c r="I1300" s="112" t="str">
        <f>IFERROR(VLOOKUP(Table1722[[#This Row],[Bukti]],Table13[#Data],11,FALSE),"")</f>
        <v/>
      </c>
    </row>
    <row r="1301" spans="1:9" ht="19.5" hidden="1" customHeight="1" x14ac:dyDescent="0.2">
      <c r="A1301" s="105" t="str">
        <f>IF(D1301=1,COUNTIF($D$10:D1301,1)," ")</f>
        <v xml:space="preserve"> </v>
      </c>
      <c r="B1301" s="106">
        <f>COPY!AR1293</f>
        <v>0</v>
      </c>
      <c r="C1301" s="107">
        <f>COPY!AC1293</f>
        <v>0</v>
      </c>
      <c r="D1301" s="107" t="str">
        <f>IF(LEN(Table1722[[#This Row],[Uraian]])&gt;2,1," ")</f>
        <v xml:space="preserve"> </v>
      </c>
      <c r="E1301" s="113" t="str">
        <f>IF(Table1722[[#This Row],[Lawan Transaksi]]="CV AGUNG KARYA",COUNTIF($I$10:I1301,"CV AGUNG KARYA")," ")</f>
        <v xml:space="preserve"> </v>
      </c>
      <c r="F1301" s="107" t="str">
        <f>IF(LEN(Table1722[[#This Row],[Uraian]])&gt;2,TRIM(RIGHT(SUBSTITUTE(TRIM(C1301)," ",REPT(" ",255)),255))," ")</f>
        <v xml:space="preserve"> </v>
      </c>
      <c r="G1301" s="110">
        <f>COPY!Z1293</f>
        <v>0</v>
      </c>
      <c r="H1301" s="111" t="str">
        <f>IFERROR(VLOOKUP(Table1722[[#This Row],[Bukti]],'Un nOTA'!$A$4:$K$5003,10,FALSE),"")</f>
        <v/>
      </c>
      <c r="I1301" s="112" t="str">
        <f>IFERROR(VLOOKUP(Table1722[[#This Row],[Bukti]],Table13[#Data],11,FALSE),"")</f>
        <v/>
      </c>
    </row>
    <row r="1302" spans="1:9" ht="19.5" hidden="1" customHeight="1" x14ac:dyDescent="0.2">
      <c r="A1302" s="105" t="str">
        <f>IF(D1302=1,COUNTIF($D$10:D1302,1)," ")</f>
        <v xml:space="preserve"> </v>
      </c>
      <c r="B1302" s="106">
        <f>COPY!AR1294</f>
        <v>0</v>
      </c>
      <c r="C1302" s="107">
        <f>COPY!AC1294</f>
        <v>0</v>
      </c>
      <c r="D1302" s="107" t="str">
        <f>IF(LEN(Table1722[[#This Row],[Uraian]])&gt;2,1," ")</f>
        <v xml:space="preserve"> </v>
      </c>
      <c r="E1302" s="113" t="str">
        <f>IF(Table1722[[#This Row],[Lawan Transaksi]]="CV AGUNG KARYA",COUNTIF($I$10:I1302,"CV AGUNG KARYA")," ")</f>
        <v xml:space="preserve"> </v>
      </c>
      <c r="F1302" s="107" t="str">
        <f>IF(LEN(Table1722[[#This Row],[Uraian]])&gt;2,TRIM(RIGHT(SUBSTITUTE(TRIM(C1302)," ",REPT(" ",255)),255))," ")</f>
        <v xml:space="preserve"> </v>
      </c>
      <c r="G1302" s="110">
        <f>COPY!Z1294</f>
        <v>0</v>
      </c>
      <c r="H1302" s="111" t="str">
        <f>IFERROR(VLOOKUP(Table1722[[#This Row],[Bukti]],'Un nOTA'!$A$4:$K$5003,10,FALSE),"")</f>
        <v/>
      </c>
      <c r="I1302" s="112" t="str">
        <f>IFERROR(VLOOKUP(Table1722[[#This Row],[Bukti]],Table13[#Data],11,FALSE),"")</f>
        <v/>
      </c>
    </row>
    <row r="1303" spans="1:9" ht="19.5" hidden="1" customHeight="1" x14ac:dyDescent="0.2">
      <c r="A1303" s="105" t="str">
        <f>IF(D1303=1,COUNTIF($D$10:D1303,1)," ")</f>
        <v xml:space="preserve"> </v>
      </c>
      <c r="B1303" s="106">
        <f>COPY!AR1295</f>
        <v>0</v>
      </c>
      <c r="C1303" s="107">
        <f>COPY!AC1295</f>
        <v>0</v>
      </c>
      <c r="D1303" s="107" t="str">
        <f>IF(LEN(Table1722[[#This Row],[Uraian]])&gt;2,1," ")</f>
        <v xml:space="preserve"> </v>
      </c>
      <c r="E1303" s="113" t="str">
        <f>IF(Table1722[[#This Row],[Lawan Transaksi]]="CV AGUNG KARYA",COUNTIF($I$10:I1303,"CV AGUNG KARYA")," ")</f>
        <v xml:space="preserve"> </v>
      </c>
      <c r="F1303" s="107" t="str">
        <f>IF(LEN(Table1722[[#This Row],[Uraian]])&gt;2,TRIM(RIGHT(SUBSTITUTE(TRIM(C1303)," ",REPT(" ",255)),255))," ")</f>
        <v xml:space="preserve"> </v>
      </c>
      <c r="G1303" s="110">
        <f>COPY!Z1295</f>
        <v>0</v>
      </c>
      <c r="H1303" s="111" t="str">
        <f>IFERROR(VLOOKUP(Table1722[[#This Row],[Bukti]],'Un nOTA'!$A$4:$K$5003,10,FALSE),"")</f>
        <v/>
      </c>
      <c r="I1303" s="112" t="str">
        <f>IFERROR(VLOOKUP(Table1722[[#This Row],[Bukti]],Table13[#Data],11,FALSE),"")</f>
        <v/>
      </c>
    </row>
    <row r="1304" spans="1:9" ht="19.5" hidden="1" customHeight="1" x14ac:dyDescent="0.2">
      <c r="A1304" s="105" t="str">
        <f>IF(D1304=1,COUNTIF($D$10:D1304,1)," ")</f>
        <v xml:space="preserve"> </v>
      </c>
      <c r="B1304" s="106">
        <f>COPY!AR1296</f>
        <v>0</v>
      </c>
      <c r="C1304" s="107">
        <f>COPY!AC1296</f>
        <v>0</v>
      </c>
      <c r="D1304" s="107" t="str">
        <f>IF(LEN(Table1722[[#This Row],[Uraian]])&gt;2,1," ")</f>
        <v xml:space="preserve"> </v>
      </c>
      <c r="E1304" s="113" t="str">
        <f>IF(Table1722[[#This Row],[Lawan Transaksi]]="CV AGUNG KARYA",COUNTIF($I$10:I1304,"CV AGUNG KARYA")," ")</f>
        <v xml:space="preserve"> </v>
      </c>
      <c r="F1304" s="107" t="str">
        <f>IF(LEN(Table1722[[#This Row],[Uraian]])&gt;2,TRIM(RIGHT(SUBSTITUTE(TRIM(C1304)," ",REPT(" ",255)),255))," ")</f>
        <v xml:space="preserve"> </v>
      </c>
      <c r="G1304" s="110">
        <f>COPY!Z1296</f>
        <v>0</v>
      </c>
      <c r="H1304" s="111" t="str">
        <f>IFERROR(VLOOKUP(Table1722[[#This Row],[Bukti]],'Un nOTA'!$A$4:$K$5003,10,FALSE),"")</f>
        <v/>
      </c>
      <c r="I1304" s="112" t="str">
        <f>IFERROR(VLOOKUP(Table1722[[#This Row],[Bukti]],Table13[#Data],11,FALSE),"")</f>
        <v/>
      </c>
    </row>
    <row r="1305" spans="1:9" ht="19.5" hidden="1" customHeight="1" x14ac:dyDescent="0.2">
      <c r="A1305" s="105" t="str">
        <f>IF(D1305=1,COUNTIF($D$10:D1305,1)," ")</f>
        <v xml:space="preserve"> </v>
      </c>
      <c r="B1305" s="106">
        <f>COPY!AR1297</f>
        <v>0</v>
      </c>
      <c r="C1305" s="107">
        <f>COPY!AC1297</f>
        <v>0</v>
      </c>
      <c r="D1305" s="107" t="str">
        <f>IF(LEN(Table1722[[#This Row],[Uraian]])&gt;2,1," ")</f>
        <v xml:space="preserve"> </v>
      </c>
      <c r="E1305" s="113" t="str">
        <f>IF(Table1722[[#This Row],[Lawan Transaksi]]="CV AGUNG KARYA",COUNTIF($I$10:I1305,"CV AGUNG KARYA")," ")</f>
        <v xml:space="preserve"> </v>
      </c>
      <c r="F1305" s="107" t="str">
        <f>IF(LEN(Table1722[[#This Row],[Uraian]])&gt;2,TRIM(RIGHT(SUBSTITUTE(TRIM(C1305)," ",REPT(" ",255)),255))," ")</f>
        <v xml:space="preserve"> </v>
      </c>
      <c r="G1305" s="110">
        <f>COPY!Z1297</f>
        <v>0</v>
      </c>
      <c r="H1305" s="111" t="str">
        <f>IFERROR(VLOOKUP(Table1722[[#This Row],[Bukti]],'Un nOTA'!$A$4:$K$5003,10,FALSE),"")</f>
        <v/>
      </c>
      <c r="I1305" s="112" t="str">
        <f>IFERROR(VLOOKUP(Table1722[[#This Row],[Bukti]],Table13[#Data],11,FALSE),"")</f>
        <v/>
      </c>
    </row>
    <row r="1306" spans="1:9" ht="19.5" hidden="1" customHeight="1" x14ac:dyDescent="0.2">
      <c r="A1306" s="105" t="str">
        <f>IF(D1306=1,COUNTIF($D$10:D1306,1)," ")</f>
        <v xml:space="preserve"> </v>
      </c>
      <c r="B1306" s="106">
        <f>COPY!AR1298</f>
        <v>0</v>
      </c>
      <c r="C1306" s="107">
        <f>COPY!AC1298</f>
        <v>0</v>
      </c>
      <c r="D1306" s="107" t="str">
        <f>IF(LEN(Table1722[[#This Row],[Uraian]])&gt;2,1," ")</f>
        <v xml:space="preserve"> </v>
      </c>
      <c r="E1306" s="113" t="str">
        <f>IF(Table1722[[#This Row],[Lawan Transaksi]]="CV AGUNG KARYA",COUNTIF($I$10:I1306,"CV AGUNG KARYA")," ")</f>
        <v xml:space="preserve"> </v>
      </c>
      <c r="F1306" s="107" t="str">
        <f>IF(LEN(Table1722[[#This Row],[Uraian]])&gt;2,TRIM(RIGHT(SUBSTITUTE(TRIM(C1306)," ",REPT(" ",255)),255))," ")</f>
        <v xml:space="preserve"> </v>
      </c>
      <c r="G1306" s="110">
        <f>COPY!Z1298</f>
        <v>0</v>
      </c>
      <c r="H1306" s="111" t="str">
        <f>IFERROR(VLOOKUP(Table1722[[#This Row],[Bukti]],'Un nOTA'!$A$4:$K$5003,10,FALSE),"")</f>
        <v/>
      </c>
      <c r="I1306" s="112" t="str">
        <f>IFERROR(VLOOKUP(Table1722[[#This Row],[Bukti]],Table13[#Data],11,FALSE),"")</f>
        <v/>
      </c>
    </row>
    <row r="1307" spans="1:9" ht="19.5" hidden="1" customHeight="1" x14ac:dyDescent="0.2">
      <c r="A1307" s="105" t="str">
        <f>IF(D1307=1,COUNTIF($D$10:D1307,1)," ")</f>
        <v xml:space="preserve"> </v>
      </c>
      <c r="B1307" s="106">
        <f>COPY!AR1299</f>
        <v>0</v>
      </c>
      <c r="C1307" s="107">
        <f>COPY!AC1299</f>
        <v>0</v>
      </c>
      <c r="D1307" s="107" t="str">
        <f>IF(LEN(Table1722[[#This Row],[Uraian]])&gt;2,1," ")</f>
        <v xml:space="preserve"> </v>
      </c>
      <c r="E1307" s="113" t="str">
        <f>IF(Table1722[[#This Row],[Lawan Transaksi]]="CV AGUNG KARYA",COUNTIF($I$10:I1307,"CV AGUNG KARYA")," ")</f>
        <v xml:space="preserve"> </v>
      </c>
      <c r="F1307" s="107" t="str">
        <f>IF(LEN(Table1722[[#This Row],[Uraian]])&gt;2,TRIM(RIGHT(SUBSTITUTE(TRIM(C1307)," ",REPT(" ",255)),255))," ")</f>
        <v xml:space="preserve"> </v>
      </c>
      <c r="G1307" s="110">
        <f>COPY!Z1299</f>
        <v>0</v>
      </c>
      <c r="H1307" s="111" t="str">
        <f>IFERROR(VLOOKUP(Table1722[[#This Row],[Bukti]],'Un nOTA'!$A$4:$K$5003,10,FALSE),"")</f>
        <v/>
      </c>
      <c r="I1307" s="112" t="str">
        <f>IFERROR(VLOOKUP(Table1722[[#This Row],[Bukti]],Table13[#Data],11,FALSE),"")</f>
        <v/>
      </c>
    </row>
    <row r="1308" spans="1:9" ht="19.5" hidden="1" customHeight="1" x14ac:dyDescent="0.2">
      <c r="A1308" s="105" t="str">
        <f>IF(D1308=1,COUNTIF($D$10:D1308,1)," ")</f>
        <v xml:space="preserve"> </v>
      </c>
      <c r="B1308" s="106">
        <f>COPY!AR1300</f>
        <v>0</v>
      </c>
      <c r="C1308" s="107">
        <f>COPY!AC1300</f>
        <v>0</v>
      </c>
      <c r="D1308" s="107" t="str">
        <f>IF(LEN(Table1722[[#This Row],[Uraian]])&gt;2,1," ")</f>
        <v xml:space="preserve"> </v>
      </c>
      <c r="E1308" s="113" t="str">
        <f>IF(Table1722[[#This Row],[Lawan Transaksi]]="CV AGUNG KARYA",COUNTIF($I$10:I1308,"CV AGUNG KARYA")," ")</f>
        <v xml:space="preserve"> </v>
      </c>
      <c r="F1308" s="107" t="str">
        <f>IF(LEN(Table1722[[#This Row],[Uraian]])&gt;2,TRIM(RIGHT(SUBSTITUTE(TRIM(C1308)," ",REPT(" ",255)),255))," ")</f>
        <v xml:space="preserve"> </v>
      </c>
      <c r="G1308" s="110">
        <f>COPY!Z1300</f>
        <v>0</v>
      </c>
      <c r="H1308" s="111" t="str">
        <f>IFERROR(VLOOKUP(Table1722[[#This Row],[Bukti]],'Un nOTA'!$A$4:$K$5003,10,FALSE),"")</f>
        <v/>
      </c>
      <c r="I1308" s="112" t="str">
        <f>IFERROR(VLOOKUP(Table1722[[#This Row],[Bukti]],Table13[#Data],11,FALSE),"")</f>
        <v/>
      </c>
    </row>
    <row r="1309" spans="1:9" ht="19.5" hidden="1" customHeight="1" x14ac:dyDescent="0.2">
      <c r="A1309" s="105" t="str">
        <f>IF(D1309=1,COUNTIF($D$10:D1309,1)," ")</f>
        <v xml:space="preserve"> </v>
      </c>
      <c r="B1309" s="106">
        <f>COPY!AR1301</f>
        <v>0</v>
      </c>
      <c r="C1309" s="107">
        <f>COPY!AC1301</f>
        <v>0</v>
      </c>
      <c r="D1309" s="107" t="str">
        <f>IF(LEN(Table1722[[#This Row],[Uraian]])&gt;2,1," ")</f>
        <v xml:space="preserve"> </v>
      </c>
      <c r="E1309" s="113" t="str">
        <f>IF(Table1722[[#This Row],[Lawan Transaksi]]="CV AGUNG KARYA",COUNTIF($I$10:I1309,"CV AGUNG KARYA")," ")</f>
        <v xml:space="preserve"> </v>
      </c>
      <c r="F1309" s="107" t="str">
        <f>IF(LEN(Table1722[[#This Row],[Uraian]])&gt;2,TRIM(RIGHT(SUBSTITUTE(TRIM(C1309)," ",REPT(" ",255)),255))," ")</f>
        <v xml:space="preserve"> </v>
      </c>
      <c r="G1309" s="110">
        <f>COPY!Z1301</f>
        <v>0</v>
      </c>
      <c r="H1309" s="111" t="str">
        <f>IFERROR(VLOOKUP(Table1722[[#This Row],[Bukti]],'Un nOTA'!$A$4:$K$5003,10,FALSE),"")</f>
        <v/>
      </c>
      <c r="I1309" s="112" t="str">
        <f>IFERROR(VLOOKUP(Table1722[[#This Row],[Bukti]],Table13[#Data],11,FALSE),"")</f>
        <v/>
      </c>
    </row>
    <row r="1310" spans="1:9" ht="19.5" hidden="1" customHeight="1" x14ac:dyDescent="0.2">
      <c r="A1310" s="105" t="str">
        <f>IF(D1310=1,COUNTIF($D$10:D1310,1)," ")</f>
        <v xml:space="preserve"> </v>
      </c>
      <c r="B1310" s="106">
        <f>COPY!AR1302</f>
        <v>0</v>
      </c>
      <c r="C1310" s="107">
        <f>COPY!AC1302</f>
        <v>0</v>
      </c>
      <c r="D1310" s="107" t="str">
        <f>IF(LEN(Table1722[[#This Row],[Uraian]])&gt;2,1," ")</f>
        <v xml:space="preserve"> </v>
      </c>
      <c r="E1310" s="113" t="str">
        <f>IF(Table1722[[#This Row],[Lawan Transaksi]]="CV AGUNG KARYA",COUNTIF($I$10:I1310,"CV AGUNG KARYA")," ")</f>
        <v xml:space="preserve"> </v>
      </c>
      <c r="F1310" s="107" t="str">
        <f>IF(LEN(Table1722[[#This Row],[Uraian]])&gt;2,TRIM(RIGHT(SUBSTITUTE(TRIM(C1310)," ",REPT(" ",255)),255))," ")</f>
        <v xml:space="preserve"> </v>
      </c>
      <c r="G1310" s="110">
        <f>COPY!Z1302</f>
        <v>0</v>
      </c>
      <c r="H1310" s="111" t="str">
        <f>IFERROR(VLOOKUP(Table1722[[#This Row],[Bukti]],'Un nOTA'!$A$4:$K$5003,10,FALSE),"")</f>
        <v/>
      </c>
      <c r="I1310" s="112" t="str">
        <f>IFERROR(VLOOKUP(Table1722[[#This Row],[Bukti]],Table13[#Data],11,FALSE),"")</f>
        <v/>
      </c>
    </row>
    <row r="1311" spans="1:9" ht="19.5" hidden="1" customHeight="1" x14ac:dyDescent="0.2">
      <c r="A1311" s="105" t="str">
        <f>IF(D1311=1,COUNTIF($D$10:D1311,1)," ")</f>
        <v xml:space="preserve"> </v>
      </c>
      <c r="B1311" s="106">
        <f>COPY!AR1303</f>
        <v>0</v>
      </c>
      <c r="C1311" s="107">
        <f>COPY!AC1303</f>
        <v>0</v>
      </c>
      <c r="D1311" s="107" t="str">
        <f>IF(LEN(Table1722[[#This Row],[Uraian]])&gt;2,1," ")</f>
        <v xml:space="preserve"> </v>
      </c>
      <c r="E1311" s="113" t="str">
        <f>IF(Table1722[[#This Row],[Lawan Transaksi]]="CV AGUNG KARYA",COUNTIF($I$10:I1311,"CV AGUNG KARYA")," ")</f>
        <v xml:space="preserve"> </v>
      </c>
      <c r="F1311" s="107" t="str">
        <f>IF(LEN(Table1722[[#This Row],[Uraian]])&gt;2,TRIM(RIGHT(SUBSTITUTE(TRIM(C1311)," ",REPT(" ",255)),255))," ")</f>
        <v xml:space="preserve"> </v>
      </c>
      <c r="G1311" s="110">
        <f>COPY!Z1303</f>
        <v>0</v>
      </c>
      <c r="H1311" s="111" t="str">
        <f>IFERROR(VLOOKUP(Table1722[[#This Row],[Bukti]],'Un nOTA'!$A$4:$K$5003,10,FALSE),"")</f>
        <v/>
      </c>
      <c r="I1311" s="112" t="str">
        <f>IFERROR(VLOOKUP(Table1722[[#This Row],[Bukti]],Table13[#Data],11,FALSE),"")</f>
        <v/>
      </c>
    </row>
    <row r="1312" spans="1:9" ht="19.5" hidden="1" customHeight="1" x14ac:dyDescent="0.2">
      <c r="A1312" s="105" t="str">
        <f>IF(D1312=1,COUNTIF($D$10:D1312,1)," ")</f>
        <v xml:space="preserve"> </v>
      </c>
      <c r="B1312" s="106">
        <f>COPY!AR1304</f>
        <v>0</v>
      </c>
      <c r="C1312" s="107">
        <f>COPY!AC1304</f>
        <v>0</v>
      </c>
      <c r="D1312" s="107" t="str">
        <f>IF(LEN(Table1722[[#This Row],[Uraian]])&gt;2,1," ")</f>
        <v xml:space="preserve"> </v>
      </c>
      <c r="E1312" s="113" t="str">
        <f>IF(Table1722[[#This Row],[Lawan Transaksi]]="CV AGUNG KARYA",COUNTIF($I$10:I1312,"CV AGUNG KARYA")," ")</f>
        <v xml:space="preserve"> </v>
      </c>
      <c r="F1312" s="107" t="str">
        <f>IF(LEN(Table1722[[#This Row],[Uraian]])&gt;2,TRIM(RIGHT(SUBSTITUTE(TRIM(C1312)," ",REPT(" ",255)),255))," ")</f>
        <v xml:space="preserve"> </v>
      </c>
      <c r="G1312" s="110">
        <f>COPY!Z1304</f>
        <v>0</v>
      </c>
      <c r="H1312" s="111" t="str">
        <f>IFERROR(VLOOKUP(Table1722[[#This Row],[Bukti]],'Un nOTA'!$A$4:$K$5003,10,FALSE),"")</f>
        <v/>
      </c>
      <c r="I1312" s="112" t="str">
        <f>IFERROR(VLOOKUP(Table1722[[#This Row],[Bukti]],Table13[#Data],11,FALSE),"")</f>
        <v/>
      </c>
    </row>
    <row r="1313" spans="1:9" ht="19.5" hidden="1" customHeight="1" x14ac:dyDescent="0.2">
      <c r="A1313" s="105" t="str">
        <f>IF(D1313=1,COUNTIF($D$10:D1313,1)," ")</f>
        <v xml:space="preserve"> </v>
      </c>
      <c r="B1313" s="106">
        <f>COPY!AR1305</f>
        <v>0</v>
      </c>
      <c r="C1313" s="107">
        <f>COPY!AC1305</f>
        <v>0</v>
      </c>
      <c r="D1313" s="107" t="str">
        <f>IF(LEN(Table1722[[#This Row],[Uraian]])&gt;2,1," ")</f>
        <v xml:space="preserve"> </v>
      </c>
      <c r="E1313" s="113" t="str">
        <f>IF(Table1722[[#This Row],[Lawan Transaksi]]="CV AGUNG KARYA",COUNTIF($I$10:I1313,"CV AGUNG KARYA")," ")</f>
        <v xml:space="preserve"> </v>
      </c>
      <c r="F1313" s="107" t="str">
        <f>IF(LEN(Table1722[[#This Row],[Uraian]])&gt;2,TRIM(RIGHT(SUBSTITUTE(TRIM(C1313)," ",REPT(" ",255)),255))," ")</f>
        <v xml:space="preserve"> </v>
      </c>
      <c r="G1313" s="110">
        <f>COPY!Z1305</f>
        <v>0</v>
      </c>
      <c r="H1313" s="111" t="str">
        <f>IFERROR(VLOOKUP(Table1722[[#This Row],[Bukti]],'Un nOTA'!$A$4:$K$5003,10,FALSE),"")</f>
        <v/>
      </c>
      <c r="I1313" s="112" t="str">
        <f>IFERROR(VLOOKUP(Table1722[[#This Row],[Bukti]],Table13[#Data],11,FALSE),"")</f>
        <v/>
      </c>
    </row>
    <row r="1314" spans="1:9" ht="19.5" hidden="1" customHeight="1" x14ac:dyDescent="0.2">
      <c r="A1314" s="105" t="str">
        <f>IF(D1314=1,COUNTIF($D$10:D1314,1)," ")</f>
        <v xml:space="preserve"> </v>
      </c>
      <c r="B1314" s="106">
        <f>COPY!AR1306</f>
        <v>0</v>
      </c>
      <c r="C1314" s="107">
        <f>COPY!AC1306</f>
        <v>0</v>
      </c>
      <c r="D1314" s="107" t="str">
        <f>IF(LEN(Table1722[[#This Row],[Uraian]])&gt;2,1," ")</f>
        <v xml:space="preserve"> </v>
      </c>
      <c r="E1314" s="113" t="str">
        <f>IF(Table1722[[#This Row],[Lawan Transaksi]]="CV AGUNG KARYA",COUNTIF($I$10:I1314,"CV AGUNG KARYA")," ")</f>
        <v xml:space="preserve"> </v>
      </c>
      <c r="F1314" s="107" t="str">
        <f>IF(LEN(Table1722[[#This Row],[Uraian]])&gt;2,TRIM(RIGHT(SUBSTITUTE(TRIM(C1314)," ",REPT(" ",255)),255))," ")</f>
        <v xml:space="preserve"> </v>
      </c>
      <c r="G1314" s="110">
        <f>COPY!Z1306</f>
        <v>0</v>
      </c>
      <c r="H1314" s="111" t="str">
        <f>IFERROR(VLOOKUP(Table1722[[#This Row],[Bukti]],'Un nOTA'!$A$4:$K$5003,10,FALSE),"")</f>
        <v/>
      </c>
      <c r="I1314" s="112" t="str">
        <f>IFERROR(VLOOKUP(Table1722[[#This Row],[Bukti]],Table13[#Data],11,FALSE),"")</f>
        <v/>
      </c>
    </row>
    <row r="1315" spans="1:9" ht="19.5" hidden="1" customHeight="1" x14ac:dyDescent="0.2">
      <c r="A1315" s="105" t="str">
        <f>IF(D1315=1,COUNTIF($D$10:D1315,1)," ")</f>
        <v xml:space="preserve"> </v>
      </c>
      <c r="B1315" s="106">
        <f>COPY!AR1307</f>
        <v>0</v>
      </c>
      <c r="C1315" s="107">
        <f>COPY!AC1307</f>
        <v>0</v>
      </c>
      <c r="D1315" s="107" t="str">
        <f>IF(LEN(Table1722[[#This Row],[Uraian]])&gt;2,1," ")</f>
        <v xml:space="preserve"> </v>
      </c>
      <c r="E1315" s="113" t="str">
        <f>IF(Table1722[[#This Row],[Lawan Transaksi]]="CV AGUNG KARYA",COUNTIF($I$10:I1315,"CV AGUNG KARYA")," ")</f>
        <v xml:space="preserve"> </v>
      </c>
      <c r="F1315" s="107" t="str">
        <f>IF(LEN(Table1722[[#This Row],[Uraian]])&gt;2,TRIM(RIGHT(SUBSTITUTE(TRIM(C1315)," ",REPT(" ",255)),255))," ")</f>
        <v xml:space="preserve"> </v>
      </c>
      <c r="G1315" s="110">
        <f>COPY!Z1307</f>
        <v>0</v>
      </c>
      <c r="H1315" s="111" t="str">
        <f>IFERROR(VLOOKUP(Table1722[[#This Row],[Bukti]],'Un nOTA'!$A$4:$K$5003,10,FALSE),"")</f>
        <v/>
      </c>
      <c r="I1315" s="112" t="str">
        <f>IFERROR(VLOOKUP(Table1722[[#This Row],[Bukti]],Table13[#Data],11,FALSE),"")</f>
        <v/>
      </c>
    </row>
    <row r="1316" spans="1:9" ht="19.5" hidden="1" customHeight="1" x14ac:dyDescent="0.2">
      <c r="A1316" s="105" t="str">
        <f>IF(D1316=1,COUNTIF($D$10:D1316,1)," ")</f>
        <v xml:space="preserve"> </v>
      </c>
      <c r="B1316" s="106">
        <f>COPY!AR1308</f>
        <v>0</v>
      </c>
      <c r="C1316" s="107">
        <f>COPY!AC1308</f>
        <v>0</v>
      </c>
      <c r="D1316" s="107" t="str">
        <f>IF(LEN(Table1722[[#This Row],[Uraian]])&gt;2,1," ")</f>
        <v xml:space="preserve"> </v>
      </c>
      <c r="E1316" s="113" t="str">
        <f>IF(Table1722[[#This Row],[Lawan Transaksi]]="CV AGUNG KARYA",COUNTIF($I$10:I1316,"CV AGUNG KARYA")," ")</f>
        <v xml:space="preserve"> </v>
      </c>
      <c r="F1316" s="107" t="str">
        <f>IF(LEN(Table1722[[#This Row],[Uraian]])&gt;2,TRIM(RIGHT(SUBSTITUTE(TRIM(C1316)," ",REPT(" ",255)),255))," ")</f>
        <v xml:space="preserve"> </v>
      </c>
      <c r="G1316" s="110">
        <f>COPY!Z1308</f>
        <v>0</v>
      </c>
      <c r="H1316" s="111" t="str">
        <f>IFERROR(VLOOKUP(Table1722[[#This Row],[Bukti]],'Un nOTA'!$A$4:$K$5003,10,FALSE),"")</f>
        <v/>
      </c>
      <c r="I1316" s="112" t="str">
        <f>IFERROR(VLOOKUP(Table1722[[#This Row],[Bukti]],Table13[#Data],11,FALSE),"")</f>
        <v/>
      </c>
    </row>
    <row r="1317" spans="1:9" ht="19.5" hidden="1" customHeight="1" x14ac:dyDescent="0.2">
      <c r="A1317" s="105" t="str">
        <f>IF(D1317=1,COUNTIF($D$10:D1317,1)," ")</f>
        <v xml:space="preserve"> </v>
      </c>
      <c r="B1317" s="106">
        <f>COPY!AR1309</f>
        <v>0</v>
      </c>
      <c r="C1317" s="107">
        <f>COPY!AC1309</f>
        <v>0</v>
      </c>
      <c r="D1317" s="107" t="str">
        <f>IF(LEN(Table1722[[#This Row],[Uraian]])&gt;2,1," ")</f>
        <v xml:space="preserve"> </v>
      </c>
      <c r="E1317" s="113" t="str">
        <f>IF(Table1722[[#This Row],[Lawan Transaksi]]="CV AGUNG KARYA",COUNTIF($I$10:I1317,"CV AGUNG KARYA")," ")</f>
        <v xml:space="preserve"> </v>
      </c>
      <c r="F1317" s="107" t="str">
        <f>IF(LEN(Table1722[[#This Row],[Uraian]])&gt;2,TRIM(RIGHT(SUBSTITUTE(TRIM(C1317)," ",REPT(" ",255)),255))," ")</f>
        <v xml:space="preserve"> </v>
      </c>
      <c r="G1317" s="110">
        <f>COPY!Z1309</f>
        <v>0</v>
      </c>
      <c r="H1317" s="111" t="str">
        <f>IFERROR(VLOOKUP(Table1722[[#This Row],[Bukti]],'Un nOTA'!$A$4:$K$5003,10,FALSE),"")</f>
        <v/>
      </c>
      <c r="I1317" s="112" t="str">
        <f>IFERROR(VLOOKUP(Table1722[[#This Row],[Bukti]],Table13[#Data],11,FALSE),"")</f>
        <v/>
      </c>
    </row>
    <row r="1318" spans="1:9" ht="19.5" hidden="1" customHeight="1" x14ac:dyDescent="0.2">
      <c r="A1318" s="105" t="str">
        <f>IF(D1318=1,COUNTIF($D$10:D1318,1)," ")</f>
        <v xml:space="preserve"> </v>
      </c>
      <c r="B1318" s="106">
        <f>COPY!AR1310</f>
        <v>0</v>
      </c>
      <c r="C1318" s="107">
        <f>COPY!AC1310</f>
        <v>0</v>
      </c>
      <c r="D1318" s="107" t="str">
        <f>IF(LEN(Table1722[[#This Row],[Uraian]])&gt;2,1," ")</f>
        <v xml:space="preserve"> </v>
      </c>
      <c r="E1318" s="113" t="str">
        <f>IF(Table1722[[#This Row],[Lawan Transaksi]]="CV AGUNG KARYA",COUNTIF($I$10:I1318,"CV AGUNG KARYA")," ")</f>
        <v xml:space="preserve"> </v>
      </c>
      <c r="F1318" s="107" t="str">
        <f>IF(LEN(Table1722[[#This Row],[Uraian]])&gt;2,TRIM(RIGHT(SUBSTITUTE(TRIM(C1318)," ",REPT(" ",255)),255))," ")</f>
        <v xml:space="preserve"> </v>
      </c>
      <c r="G1318" s="110">
        <f>COPY!Z1310</f>
        <v>0</v>
      </c>
      <c r="H1318" s="111" t="str">
        <f>IFERROR(VLOOKUP(Table1722[[#This Row],[Bukti]],'Un nOTA'!$A$4:$K$5003,10,FALSE),"")</f>
        <v/>
      </c>
      <c r="I1318" s="112" t="str">
        <f>IFERROR(VLOOKUP(Table1722[[#This Row],[Bukti]],Table13[#Data],11,FALSE),"")</f>
        <v/>
      </c>
    </row>
    <row r="1319" spans="1:9" ht="19.5" hidden="1" customHeight="1" x14ac:dyDescent="0.2">
      <c r="A1319" s="105" t="str">
        <f>IF(D1319=1,COUNTIF($D$10:D1319,1)," ")</f>
        <v xml:space="preserve"> </v>
      </c>
      <c r="B1319" s="106">
        <f>COPY!AR1311</f>
        <v>0</v>
      </c>
      <c r="C1319" s="107">
        <f>COPY!AC1311</f>
        <v>0</v>
      </c>
      <c r="D1319" s="107" t="str">
        <f>IF(LEN(Table1722[[#This Row],[Uraian]])&gt;2,1," ")</f>
        <v xml:space="preserve"> </v>
      </c>
      <c r="E1319" s="113" t="str">
        <f>IF(Table1722[[#This Row],[Lawan Transaksi]]="CV AGUNG KARYA",COUNTIF($I$10:I1319,"CV AGUNG KARYA")," ")</f>
        <v xml:space="preserve"> </v>
      </c>
      <c r="F1319" s="107" t="str">
        <f>IF(LEN(Table1722[[#This Row],[Uraian]])&gt;2,TRIM(RIGHT(SUBSTITUTE(TRIM(C1319)," ",REPT(" ",255)),255))," ")</f>
        <v xml:space="preserve"> </v>
      </c>
      <c r="G1319" s="110">
        <f>COPY!Z1311</f>
        <v>0</v>
      </c>
      <c r="H1319" s="111" t="str">
        <f>IFERROR(VLOOKUP(Table1722[[#This Row],[Bukti]],'Un nOTA'!$A$4:$K$5003,10,FALSE),"")</f>
        <v/>
      </c>
      <c r="I1319" s="112" t="str">
        <f>IFERROR(VLOOKUP(Table1722[[#This Row],[Bukti]],Table13[#Data],11,FALSE),"")</f>
        <v/>
      </c>
    </row>
    <row r="1320" spans="1:9" ht="19.5" hidden="1" customHeight="1" x14ac:dyDescent="0.2">
      <c r="A1320" s="105" t="str">
        <f>IF(D1320=1,COUNTIF($D$10:D1320,1)," ")</f>
        <v xml:space="preserve"> </v>
      </c>
      <c r="B1320" s="106">
        <f>COPY!AR1312</f>
        <v>0</v>
      </c>
      <c r="C1320" s="107">
        <f>COPY!AC1312</f>
        <v>0</v>
      </c>
      <c r="D1320" s="107" t="str">
        <f>IF(LEN(Table1722[[#This Row],[Uraian]])&gt;2,1," ")</f>
        <v xml:space="preserve"> </v>
      </c>
      <c r="E1320" s="113" t="str">
        <f>IF(Table1722[[#This Row],[Lawan Transaksi]]="CV AGUNG KARYA",COUNTIF($I$10:I1320,"CV AGUNG KARYA")," ")</f>
        <v xml:space="preserve"> </v>
      </c>
      <c r="F1320" s="107" t="str">
        <f>IF(LEN(Table1722[[#This Row],[Uraian]])&gt;2,TRIM(RIGHT(SUBSTITUTE(TRIM(C1320)," ",REPT(" ",255)),255))," ")</f>
        <v xml:space="preserve"> </v>
      </c>
      <c r="G1320" s="110">
        <f>COPY!Z1312</f>
        <v>0</v>
      </c>
      <c r="H1320" s="111" t="str">
        <f>IFERROR(VLOOKUP(Table1722[[#This Row],[Bukti]],'Un nOTA'!$A$4:$K$5003,10,FALSE),"")</f>
        <v/>
      </c>
      <c r="I1320" s="112" t="str">
        <f>IFERROR(VLOOKUP(Table1722[[#This Row],[Bukti]],Table13[#Data],11,FALSE),"")</f>
        <v/>
      </c>
    </row>
    <row r="1321" spans="1:9" ht="19.5" hidden="1" customHeight="1" x14ac:dyDescent="0.2">
      <c r="A1321" s="105" t="str">
        <f>IF(D1321=1,COUNTIF($D$10:D1321,1)," ")</f>
        <v xml:space="preserve"> </v>
      </c>
      <c r="B1321" s="106">
        <f>COPY!AR1313</f>
        <v>0</v>
      </c>
      <c r="C1321" s="107">
        <f>COPY!AC1313</f>
        <v>0</v>
      </c>
      <c r="D1321" s="107" t="str">
        <f>IF(LEN(Table1722[[#This Row],[Uraian]])&gt;2,1," ")</f>
        <v xml:space="preserve"> </v>
      </c>
      <c r="E1321" s="113" t="str">
        <f>IF(Table1722[[#This Row],[Lawan Transaksi]]="CV AGUNG KARYA",COUNTIF($I$10:I1321,"CV AGUNG KARYA")," ")</f>
        <v xml:space="preserve"> </v>
      </c>
      <c r="F1321" s="107" t="str">
        <f>IF(LEN(Table1722[[#This Row],[Uraian]])&gt;2,TRIM(RIGHT(SUBSTITUTE(TRIM(C1321)," ",REPT(" ",255)),255))," ")</f>
        <v xml:space="preserve"> </v>
      </c>
      <c r="G1321" s="110">
        <f>COPY!Z1313</f>
        <v>0</v>
      </c>
      <c r="H1321" s="111" t="str">
        <f>IFERROR(VLOOKUP(Table1722[[#This Row],[Bukti]],'Un nOTA'!$A$4:$K$5003,10,FALSE),"")</f>
        <v/>
      </c>
      <c r="I1321" s="112" t="str">
        <f>IFERROR(VLOOKUP(Table1722[[#This Row],[Bukti]],Table13[#Data],11,FALSE),"")</f>
        <v/>
      </c>
    </row>
    <row r="1322" spans="1:9" ht="19.5" hidden="1" customHeight="1" x14ac:dyDescent="0.2">
      <c r="A1322" s="105" t="str">
        <f>IF(D1322=1,COUNTIF($D$10:D1322,1)," ")</f>
        <v xml:space="preserve"> </v>
      </c>
      <c r="B1322" s="106">
        <f>COPY!AR1314</f>
        <v>0</v>
      </c>
      <c r="C1322" s="107">
        <f>COPY!AC1314</f>
        <v>0</v>
      </c>
      <c r="D1322" s="107" t="str">
        <f>IF(LEN(Table1722[[#This Row],[Uraian]])&gt;2,1," ")</f>
        <v xml:space="preserve"> </v>
      </c>
      <c r="E1322" s="113" t="str">
        <f>IF(Table1722[[#This Row],[Lawan Transaksi]]="CV AGUNG KARYA",COUNTIF($I$10:I1322,"CV AGUNG KARYA")," ")</f>
        <v xml:space="preserve"> </v>
      </c>
      <c r="F1322" s="107" t="str">
        <f>IF(LEN(Table1722[[#This Row],[Uraian]])&gt;2,TRIM(RIGHT(SUBSTITUTE(TRIM(C1322)," ",REPT(" ",255)),255))," ")</f>
        <v xml:space="preserve"> </v>
      </c>
      <c r="G1322" s="110">
        <f>COPY!Z1314</f>
        <v>0</v>
      </c>
      <c r="H1322" s="111" t="str">
        <f>IFERROR(VLOOKUP(Table1722[[#This Row],[Bukti]],'Un nOTA'!$A$4:$K$5003,10,FALSE),"")</f>
        <v/>
      </c>
      <c r="I1322" s="112" t="str">
        <f>IFERROR(VLOOKUP(Table1722[[#This Row],[Bukti]],Table13[#Data],11,FALSE),"")</f>
        <v/>
      </c>
    </row>
    <row r="1323" spans="1:9" ht="19.5" hidden="1" customHeight="1" x14ac:dyDescent="0.2">
      <c r="A1323" s="105" t="str">
        <f>IF(D1323=1,COUNTIF($D$10:D1323,1)," ")</f>
        <v xml:space="preserve"> </v>
      </c>
      <c r="B1323" s="106">
        <f>COPY!AR1315</f>
        <v>0</v>
      </c>
      <c r="C1323" s="107">
        <f>COPY!AC1315</f>
        <v>0</v>
      </c>
      <c r="D1323" s="107" t="str">
        <f>IF(LEN(Table1722[[#This Row],[Uraian]])&gt;2,1," ")</f>
        <v xml:space="preserve"> </v>
      </c>
      <c r="E1323" s="113" t="str">
        <f>IF(Table1722[[#This Row],[Lawan Transaksi]]="CV AGUNG KARYA",COUNTIF($I$10:I1323,"CV AGUNG KARYA")," ")</f>
        <v xml:space="preserve"> </v>
      </c>
      <c r="F1323" s="107" t="str">
        <f>IF(LEN(Table1722[[#This Row],[Uraian]])&gt;2,TRIM(RIGHT(SUBSTITUTE(TRIM(C1323)," ",REPT(" ",255)),255))," ")</f>
        <v xml:space="preserve"> </v>
      </c>
      <c r="G1323" s="110">
        <f>COPY!Z1315</f>
        <v>0</v>
      </c>
      <c r="H1323" s="111" t="str">
        <f>IFERROR(VLOOKUP(Table1722[[#This Row],[Bukti]],'Un nOTA'!$A$4:$K$5003,10,FALSE),"")</f>
        <v/>
      </c>
      <c r="I1323" s="112" t="str">
        <f>IFERROR(VLOOKUP(Table1722[[#This Row],[Bukti]],Table13[#Data],11,FALSE),"")</f>
        <v/>
      </c>
    </row>
    <row r="1324" spans="1:9" ht="19.5" hidden="1" customHeight="1" x14ac:dyDescent="0.2">
      <c r="A1324" s="105" t="str">
        <f>IF(D1324=1,COUNTIF($D$10:D1324,1)," ")</f>
        <v xml:space="preserve"> </v>
      </c>
      <c r="B1324" s="106">
        <f>COPY!AR1316</f>
        <v>0</v>
      </c>
      <c r="C1324" s="107">
        <f>COPY!AC1316</f>
        <v>0</v>
      </c>
      <c r="D1324" s="107" t="str">
        <f>IF(LEN(Table1722[[#This Row],[Uraian]])&gt;2,1," ")</f>
        <v xml:space="preserve"> </v>
      </c>
      <c r="E1324" s="113" t="str">
        <f>IF(Table1722[[#This Row],[Lawan Transaksi]]="CV AGUNG KARYA",COUNTIF($I$10:I1324,"CV AGUNG KARYA")," ")</f>
        <v xml:space="preserve"> </v>
      </c>
      <c r="F1324" s="107" t="str">
        <f>IF(LEN(Table1722[[#This Row],[Uraian]])&gt;2,TRIM(RIGHT(SUBSTITUTE(TRIM(C1324)," ",REPT(" ",255)),255))," ")</f>
        <v xml:space="preserve"> </v>
      </c>
      <c r="G1324" s="110">
        <f>COPY!Z1316</f>
        <v>0</v>
      </c>
      <c r="H1324" s="111" t="str">
        <f>IFERROR(VLOOKUP(Table1722[[#This Row],[Bukti]],'Un nOTA'!$A$4:$K$5003,10,FALSE),"")</f>
        <v/>
      </c>
      <c r="I1324" s="112" t="str">
        <f>IFERROR(VLOOKUP(Table1722[[#This Row],[Bukti]],Table13[#Data],11,FALSE),"")</f>
        <v/>
      </c>
    </row>
    <row r="1325" spans="1:9" ht="19.5" hidden="1" customHeight="1" x14ac:dyDescent="0.2">
      <c r="A1325" s="105" t="str">
        <f>IF(D1325=1,COUNTIF($D$10:D1325,1)," ")</f>
        <v xml:space="preserve"> </v>
      </c>
      <c r="B1325" s="106">
        <f>COPY!AR1317</f>
        <v>0</v>
      </c>
      <c r="C1325" s="107">
        <f>COPY!AC1317</f>
        <v>0</v>
      </c>
      <c r="D1325" s="107" t="str">
        <f>IF(LEN(Table1722[[#This Row],[Uraian]])&gt;2,1," ")</f>
        <v xml:space="preserve"> </v>
      </c>
      <c r="E1325" s="113" t="str">
        <f>IF(Table1722[[#This Row],[Lawan Transaksi]]="CV AGUNG KARYA",COUNTIF($I$10:I1325,"CV AGUNG KARYA")," ")</f>
        <v xml:space="preserve"> </v>
      </c>
      <c r="F1325" s="107" t="str">
        <f>IF(LEN(Table1722[[#This Row],[Uraian]])&gt;2,TRIM(RIGHT(SUBSTITUTE(TRIM(C1325)," ",REPT(" ",255)),255))," ")</f>
        <v xml:space="preserve"> </v>
      </c>
      <c r="G1325" s="110">
        <f>COPY!Z1317</f>
        <v>0</v>
      </c>
      <c r="H1325" s="111" t="str">
        <f>IFERROR(VLOOKUP(Table1722[[#This Row],[Bukti]],'Un nOTA'!$A$4:$K$5003,10,FALSE),"")</f>
        <v/>
      </c>
      <c r="I1325" s="112" t="str">
        <f>IFERROR(VLOOKUP(Table1722[[#This Row],[Bukti]],Table13[#Data],11,FALSE),"")</f>
        <v/>
      </c>
    </row>
    <row r="1326" spans="1:9" ht="19.5" hidden="1" customHeight="1" x14ac:dyDescent="0.2">
      <c r="A1326" s="105" t="str">
        <f>IF(D1326=1,COUNTIF($D$10:D1326,1)," ")</f>
        <v xml:space="preserve"> </v>
      </c>
      <c r="B1326" s="106">
        <f>COPY!AR1318</f>
        <v>0</v>
      </c>
      <c r="C1326" s="107">
        <f>COPY!AC1318</f>
        <v>0</v>
      </c>
      <c r="D1326" s="107" t="str">
        <f>IF(LEN(Table1722[[#This Row],[Uraian]])&gt;2,1," ")</f>
        <v xml:space="preserve"> </v>
      </c>
      <c r="E1326" s="113" t="str">
        <f>IF(Table1722[[#This Row],[Lawan Transaksi]]="CV AGUNG KARYA",COUNTIF($I$10:I1326,"CV AGUNG KARYA")," ")</f>
        <v xml:space="preserve"> </v>
      </c>
      <c r="F1326" s="107" t="str">
        <f>IF(LEN(Table1722[[#This Row],[Uraian]])&gt;2,TRIM(RIGHT(SUBSTITUTE(TRIM(C1326)," ",REPT(" ",255)),255))," ")</f>
        <v xml:space="preserve"> </v>
      </c>
      <c r="G1326" s="110">
        <f>COPY!Z1318</f>
        <v>0</v>
      </c>
      <c r="H1326" s="111" t="str">
        <f>IFERROR(VLOOKUP(Table1722[[#This Row],[Bukti]],'Un nOTA'!$A$4:$K$5003,10,FALSE),"")</f>
        <v/>
      </c>
      <c r="I1326" s="112" t="str">
        <f>IFERROR(VLOOKUP(Table1722[[#This Row],[Bukti]],Table13[#Data],11,FALSE),"")</f>
        <v/>
      </c>
    </row>
    <row r="1327" spans="1:9" ht="19.5" hidden="1" customHeight="1" x14ac:dyDescent="0.2">
      <c r="A1327" s="105" t="str">
        <f>IF(D1327=1,COUNTIF($D$10:D1327,1)," ")</f>
        <v xml:space="preserve"> </v>
      </c>
      <c r="B1327" s="106">
        <f>COPY!AR1319</f>
        <v>0</v>
      </c>
      <c r="C1327" s="107">
        <f>COPY!AC1319</f>
        <v>0</v>
      </c>
      <c r="D1327" s="107" t="str">
        <f>IF(LEN(Table1722[[#This Row],[Uraian]])&gt;2,1," ")</f>
        <v xml:space="preserve"> </v>
      </c>
      <c r="E1327" s="113" t="str">
        <f>IF(Table1722[[#This Row],[Lawan Transaksi]]="CV AGUNG KARYA",COUNTIF($I$10:I1327,"CV AGUNG KARYA")," ")</f>
        <v xml:space="preserve"> </v>
      </c>
      <c r="F1327" s="107" t="str">
        <f>IF(LEN(Table1722[[#This Row],[Uraian]])&gt;2,TRIM(RIGHT(SUBSTITUTE(TRIM(C1327)," ",REPT(" ",255)),255))," ")</f>
        <v xml:space="preserve"> </v>
      </c>
      <c r="G1327" s="110">
        <f>COPY!Z1319</f>
        <v>0</v>
      </c>
      <c r="H1327" s="111" t="str">
        <f>IFERROR(VLOOKUP(Table1722[[#This Row],[Bukti]],'Un nOTA'!$A$4:$K$5003,10,FALSE),"")</f>
        <v/>
      </c>
      <c r="I1327" s="112" t="str">
        <f>IFERROR(VLOOKUP(Table1722[[#This Row],[Bukti]],Table13[#Data],11,FALSE),"")</f>
        <v/>
      </c>
    </row>
    <row r="1328" spans="1:9" ht="19.5" hidden="1" customHeight="1" x14ac:dyDescent="0.2">
      <c r="A1328" s="105" t="str">
        <f>IF(D1328=1,COUNTIF($D$10:D1328,1)," ")</f>
        <v xml:space="preserve"> </v>
      </c>
      <c r="B1328" s="106">
        <f>COPY!AR1320</f>
        <v>0</v>
      </c>
      <c r="C1328" s="107">
        <f>COPY!AC1320</f>
        <v>0</v>
      </c>
      <c r="D1328" s="107" t="str">
        <f>IF(LEN(Table1722[[#This Row],[Uraian]])&gt;2,1," ")</f>
        <v xml:space="preserve"> </v>
      </c>
      <c r="E1328" s="113" t="str">
        <f>IF(Table1722[[#This Row],[Lawan Transaksi]]="CV AGUNG KARYA",COUNTIF($I$10:I1328,"CV AGUNG KARYA")," ")</f>
        <v xml:space="preserve"> </v>
      </c>
      <c r="F1328" s="107" t="str">
        <f>IF(LEN(Table1722[[#This Row],[Uraian]])&gt;2,TRIM(RIGHT(SUBSTITUTE(TRIM(C1328)," ",REPT(" ",255)),255))," ")</f>
        <v xml:space="preserve"> </v>
      </c>
      <c r="G1328" s="110">
        <f>COPY!Z1320</f>
        <v>0</v>
      </c>
      <c r="H1328" s="111" t="str">
        <f>IFERROR(VLOOKUP(Table1722[[#This Row],[Bukti]],'Un nOTA'!$A$4:$K$5003,10,FALSE),"")</f>
        <v/>
      </c>
      <c r="I1328" s="112" t="str">
        <f>IFERROR(VLOOKUP(Table1722[[#This Row],[Bukti]],Table13[#Data],11,FALSE),"")</f>
        <v/>
      </c>
    </row>
    <row r="1329" spans="1:9" ht="19.5" hidden="1" customHeight="1" x14ac:dyDescent="0.2">
      <c r="A1329" s="105" t="str">
        <f>IF(D1329=1,COUNTIF($D$10:D1329,1)," ")</f>
        <v xml:space="preserve"> </v>
      </c>
      <c r="B1329" s="106">
        <f>COPY!AR1321</f>
        <v>0</v>
      </c>
      <c r="C1329" s="107">
        <f>COPY!AC1321</f>
        <v>0</v>
      </c>
      <c r="D1329" s="107" t="str">
        <f>IF(LEN(Table1722[[#This Row],[Uraian]])&gt;2,1," ")</f>
        <v xml:space="preserve"> </v>
      </c>
      <c r="E1329" s="113" t="str">
        <f>IF(Table1722[[#This Row],[Lawan Transaksi]]="CV AGUNG KARYA",COUNTIF($I$10:I1329,"CV AGUNG KARYA")," ")</f>
        <v xml:space="preserve"> </v>
      </c>
      <c r="F1329" s="107" t="str">
        <f>IF(LEN(Table1722[[#This Row],[Uraian]])&gt;2,TRIM(RIGHT(SUBSTITUTE(TRIM(C1329)," ",REPT(" ",255)),255))," ")</f>
        <v xml:space="preserve"> </v>
      </c>
      <c r="G1329" s="110">
        <f>COPY!Z1321</f>
        <v>0</v>
      </c>
      <c r="H1329" s="111" t="str">
        <f>IFERROR(VLOOKUP(Table1722[[#This Row],[Bukti]],'Un nOTA'!$A$4:$K$5003,10,FALSE),"")</f>
        <v/>
      </c>
      <c r="I1329" s="112" t="str">
        <f>IFERROR(VLOOKUP(Table1722[[#This Row],[Bukti]],Table13[#Data],11,FALSE),"")</f>
        <v/>
      </c>
    </row>
    <row r="1330" spans="1:9" ht="19.5" hidden="1" customHeight="1" x14ac:dyDescent="0.2">
      <c r="A1330" s="105" t="str">
        <f>IF(D1330=1,COUNTIF($D$10:D1330,1)," ")</f>
        <v xml:space="preserve"> </v>
      </c>
      <c r="B1330" s="106">
        <f>COPY!AR1322</f>
        <v>0</v>
      </c>
      <c r="C1330" s="107">
        <f>COPY!AC1322</f>
        <v>0</v>
      </c>
      <c r="D1330" s="107" t="str">
        <f>IF(LEN(Table1722[[#This Row],[Uraian]])&gt;2,1," ")</f>
        <v xml:space="preserve"> </v>
      </c>
      <c r="E1330" s="113" t="str">
        <f>IF(Table1722[[#This Row],[Lawan Transaksi]]="CV AGUNG KARYA",COUNTIF($I$10:I1330,"CV AGUNG KARYA")," ")</f>
        <v xml:space="preserve"> </v>
      </c>
      <c r="F1330" s="107" t="str">
        <f>IF(LEN(Table1722[[#This Row],[Uraian]])&gt;2,TRIM(RIGHT(SUBSTITUTE(TRIM(C1330)," ",REPT(" ",255)),255))," ")</f>
        <v xml:space="preserve"> </v>
      </c>
      <c r="G1330" s="110">
        <f>COPY!Z1322</f>
        <v>0</v>
      </c>
      <c r="H1330" s="111" t="str">
        <f>IFERROR(VLOOKUP(Table1722[[#This Row],[Bukti]],'Un nOTA'!$A$4:$K$5003,10,FALSE),"")</f>
        <v/>
      </c>
      <c r="I1330" s="112" t="str">
        <f>IFERROR(VLOOKUP(Table1722[[#This Row],[Bukti]],Table13[#Data],11,FALSE),"")</f>
        <v/>
      </c>
    </row>
    <row r="1331" spans="1:9" ht="19.5" hidden="1" customHeight="1" x14ac:dyDescent="0.2">
      <c r="A1331" s="105" t="str">
        <f>IF(D1331=1,COUNTIF($D$10:D1331,1)," ")</f>
        <v xml:space="preserve"> </v>
      </c>
      <c r="B1331" s="106">
        <f>COPY!AR1323</f>
        <v>0</v>
      </c>
      <c r="C1331" s="107">
        <f>COPY!AC1323</f>
        <v>0</v>
      </c>
      <c r="D1331" s="107" t="str">
        <f>IF(LEN(Table1722[[#This Row],[Uraian]])&gt;2,1," ")</f>
        <v xml:space="preserve"> </v>
      </c>
      <c r="E1331" s="113" t="str">
        <f>IF(Table1722[[#This Row],[Lawan Transaksi]]="CV AGUNG KARYA",COUNTIF($I$10:I1331,"CV AGUNG KARYA")," ")</f>
        <v xml:space="preserve"> </v>
      </c>
      <c r="F1331" s="107" t="str">
        <f>IF(LEN(Table1722[[#This Row],[Uraian]])&gt;2,TRIM(RIGHT(SUBSTITUTE(TRIM(C1331)," ",REPT(" ",255)),255))," ")</f>
        <v xml:space="preserve"> </v>
      </c>
      <c r="G1331" s="110">
        <f>COPY!Z1323</f>
        <v>0</v>
      </c>
      <c r="H1331" s="111" t="str">
        <f>IFERROR(VLOOKUP(Table1722[[#This Row],[Bukti]],'Un nOTA'!$A$4:$K$5003,10,FALSE),"")</f>
        <v/>
      </c>
      <c r="I1331" s="112" t="str">
        <f>IFERROR(VLOOKUP(Table1722[[#This Row],[Bukti]],Table13[#Data],11,FALSE),"")</f>
        <v/>
      </c>
    </row>
    <row r="1332" spans="1:9" ht="19.5" hidden="1" customHeight="1" x14ac:dyDescent="0.2">
      <c r="A1332" s="105" t="str">
        <f>IF(D1332=1,COUNTIF($D$10:D1332,1)," ")</f>
        <v xml:space="preserve"> </v>
      </c>
      <c r="B1332" s="106">
        <f>COPY!AR1324</f>
        <v>0</v>
      </c>
      <c r="C1332" s="107">
        <f>COPY!AC1324</f>
        <v>0</v>
      </c>
      <c r="D1332" s="107" t="str">
        <f>IF(LEN(Table1722[[#This Row],[Uraian]])&gt;2,1," ")</f>
        <v xml:space="preserve"> </v>
      </c>
      <c r="E1332" s="113" t="str">
        <f>IF(Table1722[[#This Row],[Lawan Transaksi]]="CV AGUNG KARYA",COUNTIF($I$10:I1332,"CV AGUNG KARYA")," ")</f>
        <v xml:space="preserve"> </v>
      </c>
      <c r="F1332" s="107" t="str">
        <f>IF(LEN(Table1722[[#This Row],[Uraian]])&gt;2,TRIM(RIGHT(SUBSTITUTE(TRIM(C1332)," ",REPT(" ",255)),255))," ")</f>
        <v xml:space="preserve"> </v>
      </c>
      <c r="G1332" s="110">
        <f>COPY!Z1324</f>
        <v>0</v>
      </c>
      <c r="H1332" s="111" t="str">
        <f>IFERROR(VLOOKUP(Table1722[[#This Row],[Bukti]],'Un nOTA'!$A$4:$K$5003,10,FALSE),"")</f>
        <v/>
      </c>
      <c r="I1332" s="112" t="str">
        <f>IFERROR(VLOOKUP(Table1722[[#This Row],[Bukti]],Table13[#Data],11,FALSE),"")</f>
        <v/>
      </c>
    </row>
    <row r="1333" spans="1:9" ht="19.5" hidden="1" customHeight="1" x14ac:dyDescent="0.2">
      <c r="A1333" s="105" t="str">
        <f>IF(D1333=1,COUNTIF($D$10:D1333,1)," ")</f>
        <v xml:space="preserve"> </v>
      </c>
      <c r="B1333" s="106">
        <f>COPY!AR1325</f>
        <v>0</v>
      </c>
      <c r="C1333" s="107">
        <f>COPY!AC1325</f>
        <v>0</v>
      </c>
      <c r="D1333" s="107" t="str">
        <f>IF(LEN(Table1722[[#This Row],[Uraian]])&gt;2,1," ")</f>
        <v xml:space="preserve"> </v>
      </c>
      <c r="E1333" s="113" t="str">
        <f>IF(Table1722[[#This Row],[Lawan Transaksi]]="CV AGUNG KARYA",COUNTIF($I$10:I1333,"CV AGUNG KARYA")," ")</f>
        <v xml:space="preserve"> </v>
      </c>
      <c r="F1333" s="107" t="str">
        <f>IF(LEN(Table1722[[#This Row],[Uraian]])&gt;2,TRIM(RIGHT(SUBSTITUTE(TRIM(C1333)," ",REPT(" ",255)),255))," ")</f>
        <v xml:space="preserve"> </v>
      </c>
      <c r="G1333" s="110">
        <f>COPY!Z1325</f>
        <v>0</v>
      </c>
      <c r="H1333" s="111" t="str">
        <f>IFERROR(VLOOKUP(Table1722[[#This Row],[Bukti]],'Un nOTA'!$A$4:$K$5003,10,FALSE),"")</f>
        <v/>
      </c>
      <c r="I1333" s="112" t="str">
        <f>IFERROR(VLOOKUP(Table1722[[#This Row],[Bukti]],Table13[#Data],11,FALSE),"")</f>
        <v/>
      </c>
    </row>
    <row r="1334" spans="1:9" ht="19.5" hidden="1" customHeight="1" x14ac:dyDescent="0.2">
      <c r="A1334" s="105" t="str">
        <f>IF(D1334=1,COUNTIF($D$10:D1334,1)," ")</f>
        <v xml:space="preserve"> </v>
      </c>
      <c r="B1334" s="106">
        <f>COPY!AR1326</f>
        <v>0</v>
      </c>
      <c r="C1334" s="107">
        <f>COPY!AC1326</f>
        <v>0</v>
      </c>
      <c r="D1334" s="107" t="str">
        <f>IF(LEN(Table1722[[#This Row],[Uraian]])&gt;2,1," ")</f>
        <v xml:space="preserve"> </v>
      </c>
      <c r="E1334" s="113" t="str">
        <f>IF(Table1722[[#This Row],[Lawan Transaksi]]="CV AGUNG KARYA",COUNTIF($I$10:I1334,"CV AGUNG KARYA")," ")</f>
        <v xml:space="preserve"> </v>
      </c>
      <c r="F1334" s="107" t="str">
        <f>IF(LEN(Table1722[[#This Row],[Uraian]])&gt;2,TRIM(RIGHT(SUBSTITUTE(TRIM(C1334)," ",REPT(" ",255)),255))," ")</f>
        <v xml:space="preserve"> </v>
      </c>
      <c r="G1334" s="110">
        <f>COPY!Z1326</f>
        <v>0</v>
      </c>
      <c r="H1334" s="111" t="str">
        <f>IFERROR(VLOOKUP(Table1722[[#This Row],[Bukti]],'Un nOTA'!$A$4:$K$5003,10,FALSE),"")</f>
        <v/>
      </c>
      <c r="I1334" s="112" t="str">
        <f>IFERROR(VLOOKUP(Table1722[[#This Row],[Bukti]],Table13[#Data],11,FALSE),"")</f>
        <v/>
      </c>
    </row>
    <row r="1335" spans="1:9" ht="19.5" hidden="1" customHeight="1" x14ac:dyDescent="0.2">
      <c r="A1335" s="105" t="str">
        <f>IF(D1335=1,COUNTIF($D$10:D1335,1)," ")</f>
        <v xml:space="preserve"> </v>
      </c>
      <c r="B1335" s="106">
        <f>COPY!AR1327</f>
        <v>0</v>
      </c>
      <c r="C1335" s="107">
        <f>COPY!AC1327</f>
        <v>0</v>
      </c>
      <c r="D1335" s="107" t="str">
        <f>IF(LEN(Table1722[[#This Row],[Uraian]])&gt;2,1," ")</f>
        <v xml:space="preserve"> </v>
      </c>
      <c r="E1335" s="113" t="str">
        <f>IF(Table1722[[#This Row],[Lawan Transaksi]]="CV AGUNG KARYA",COUNTIF($I$10:I1335,"CV AGUNG KARYA")," ")</f>
        <v xml:space="preserve"> </v>
      </c>
      <c r="F1335" s="107" t="str">
        <f>IF(LEN(Table1722[[#This Row],[Uraian]])&gt;2,TRIM(RIGHT(SUBSTITUTE(TRIM(C1335)," ",REPT(" ",255)),255))," ")</f>
        <v xml:space="preserve"> </v>
      </c>
      <c r="G1335" s="110">
        <f>COPY!Z1327</f>
        <v>0</v>
      </c>
      <c r="H1335" s="111" t="str">
        <f>IFERROR(VLOOKUP(Table1722[[#This Row],[Bukti]],'Un nOTA'!$A$4:$K$5003,10,FALSE),"")</f>
        <v/>
      </c>
      <c r="I1335" s="112" t="str">
        <f>IFERROR(VLOOKUP(Table1722[[#This Row],[Bukti]],Table13[#Data],11,FALSE),"")</f>
        <v/>
      </c>
    </row>
    <row r="1336" spans="1:9" ht="19.5" hidden="1" customHeight="1" x14ac:dyDescent="0.2">
      <c r="A1336" s="105" t="str">
        <f>IF(D1336=1,COUNTIF($D$10:D1336,1)," ")</f>
        <v xml:space="preserve"> </v>
      </c>
      <c r="B1336" s="106">
        <f>COPY!AR1328</f>
        <v>0</v>
      </c>
      <c r="C1336" s="107">
        <f>COPY!AC1328</f>
        <v>0</v>
      </c>
      <c r="D1336" s="107" t="str">
        <f>IF(LEN(Table1722[[#This Row],[Uraian]])&gt;2,1," ")</f>
        <v xml:space="preserve"> </v>
      </c>
      <c r="E1336" s="113" t="str">
        <f>IF(Table1722[[#This Row],[Lawan Transaksi]]="CV AGUNG KARYA",COUNTIF($I$10:I1336,"CV AGUNG KARYA")," ")</f>
        <v xml:space="preserve"> </v>
      </c>
      <c r="F1336" s="107" t="str">
        <f>IF(LEN(Table1722[[#This Row],[Uraian]])&gt;2,TRIM(RIGHT(SUBSTITUTE(TRIM(C1336)," ",REPT(" ",255)),255))," ")</f>
        <v xml:space="preserve"> </v>
      </c>
      <c r="G1336" s="110">
        <f>COPY!Z1328</f>
        <v>0</v>
      </c>
      <c r="H1336" s="111" t="str">
        <f>IFERROR(VLOOKUP(Table1722[[#This Row],[Bukti]],'Un nOTA'!$A$4:$K$5003,10,FALSE),"")</f>
        <v/>
      </c>
      <c r="I1336" s="112" t="str">
        <f>IFERROR(VLOOKUP(Table1722[[#This Row],[Bukti]],Table13[#Data],11,FALSE),"")</f>
        <v/>
      </c>
    </row>
    <row r="1337" spans="1:9" ht="19.5" hidden="1" customHeight="1" x14ac:dyDescent="0.2">
      <c r="A1337" s="105" t="str">
        <f>IF(D1337=1,COUNTIF($D$10:D1337,1)," ")</f>
        <v xml:space="preserve"> </v>
      </c>
      <c r="B1337" s="106">
        <f>COPY!AR1329</f>
        <v>0</v>
      </c>
      <c r="C1337" s="107">
        <f>COPY!AC1329</f>
        <v>0</v>
      </c>
      <c r="D1337" s="107" t="str">
        <f>IF(LEN(Table1722[[#This Row],[Uraian]])&gt;2,1," ")</f>
        <v xml:space="preserve"> </v>
      </c>
      <c r="E1337" s="113" t="str">
        <f>IF(Table1722[[#This Row],[Lawan Transaksi]]="CV AGUNG KARYA",COUNTIF($I$10:I1337,"CV AGUNG KARYA")," ")</f>
        <v xml:space="preserve"> </v>
      </c>
      <c r="F1337" s="107" t="str">
        <f>IF(LEN(Table1722[[#This Row],[Uraian]])&gt;2,TRIM(RIGHT(SUBSTITUTE(TRIM(C1337)," ",REPT(" ",255)),255))," ")</f>
        <v xml:space="preserve"> </v>
      </c>
      <c r="G1337" s="110">
        <f>COPY!Z1329</f>
        <v>0</v>
      </c>
      <c r="H1337" s="111" t="str">
        <f>IFERROR(VLOOKUP(Table1722[[#This Row],[Bukti]],'Un nOTA'!$A$4:$K$5003,10,FALSE),"")</f>
        <v/>
      </c>
      <c r="I1337" s="112" t="str">
        <f>IFERROR(VLOOKUP(Table1722[[#This Row],[Bukti]],Table13[#Data],11,FALSE),"")</f>
        <v/>
      </c>
    </row>
    <row r="1338" spans="1:9" ht="19.5" hidden="1" customHeight="1" x14ac:dyDescent="0.2">
      <c r="A1338" s="105" t="str">
        <f>IF(D1338=1,COUNTIF($D$10:D1338,1)," ")</f>
        <v xml:space="preserve"> </v>
      </c>
      <c r="B1338" s="106">
        <f>COPY!AR1330</f>
        <v>0</v>
      </c>
      <c r="C1338" s="107">
        <f>COPY!AC1330</f>
        <v>0</v>
      </c>
      <c r="D1338" s="107" t="str">
        <f>IF(LEN(Table1722[[#This Row],[Uraian]])&gt;2,1," ")</f>
        <v xml:space="preserve"> </v>
      </c>
      <c r="E1338" s="113" t="str">
        <f>IF(Table1722[[#This Row],[Lawan Transaksi]]="CV AGUNG KARYA",COUNTIF($I$10:I1338,"CV AGUNG KARYA")," ")</f>
        <v xml:space="preserve"> </v>
      </c>
      <c r="F1338" s="107" t="str">
        <f>IF(LEN(Table1722[[#This Row],[Uraian]])&gt;2,TRIM(RIGHT(SUBSTITUTE(TRIM(C1338)," ",REPT(" ",255)),255))," ")</f>
        <v xml:space="preserve"> </v>
      </c>
      <c r="G1338" s="110">
        <f>COPY!Z1330</f>
        <v>0</v>
      </c>
      <c r="H1338" s="111" t="str">
        <f>IFERROR(VLOOKUP(Table1722[[#This Row],[Bukti]],'Un nOTA'!$A$4:$K$5003,10,FALSE),"")</f>
        <v/>
      </c>
      <c r="I1338" s="112" t="str">
        <f>IFERROR(VLOOKUP(Table1722[[#This Row],[Bukti]],Table13[#Data],11,FALSE),"")</f>
        <v/>
      </c>
    </row>
    <row r="1339" spans="1:9" ht="19.5" hidden="1" customHeight="1" x14ac:dyDescent="0.2">
      <c r="A1339" s="105" t="str">
        <f>IF(D1339=1,COUNTIF($D$10:D1339,1)," ")</f>
        <v xml:space="preserve"> </v>
      </c>
      <c r="B1339" s="106">
        <f>COPY!AR1331</f>
        <v>0</v>
      </c>
      <c r="C1339" s="107">
        <f>COPY!AC1331</f>
        <v>0</v>
      </c>
      <c r="D1339" s="107" t="str">
        <f>IF(LEN(Table1722[[#This Row],[Uraian]])&gt;2,1," ")</f>
        <v xml:space="preserve"> </v>
      </c>
      <c r="E1339" s="113" t="str">
        <f>IF(Table1722[[#This Row],[Lawan Transaksi]]="CV AGUNG KARYA",COUNTIF($I$10:I1339,"CV AGUNG KARYA")," ")</f>
        <v xml:space="preserve"> </v>
      </c>
      <c r="F1339" s="107" t="str">
        <f>IF(LEN(Table1722[[#This Row],[Uraian]])&gt;2,TRIM(RIGHT(SUBSTITUTE(TRIM(C1339)," ",REPT(" ",255)),255))," ")</f>
        <v xml:space="preserve"> </v>
      </c>
      <c r="G1339" s="110">
        <f>COPY!Z1331</f>
        <v>0</v>
      </c>
      <c r="H1339" s="111" t="str">
        <f>IFERROR(VLOOKUP(Table1722[[#This Row],[Bukti]],'Un nOTA'!$A$4:$K$5003,10,FALSE),"")</f>
        <v/>
      </c>
      <c r="I1339" s="112" t="str">
        <f>IFERROR(VLOOKUP(Table1722[[#This Row],[Bukti]],Table13[#Data],11,FALSE),"")</f>
        <v/>
      </c>
    </row>
    <row r="1340" spans="1:9" ht="19.5" hidden="1" customHeight="1" x14ac:dyDescent="0.2">
      <c r="A1340" s="105" t="str">
        <f>IF(D1340=1,COUNTIF($D$10:D1340,1)," ")</f>
        <v xml:space="preserve"> </v>
      </c>
      <c r="B1340" s="106">
        <f>COPY!AR1332</f>
        <v>0</v>
      </c>
      <c r="C1340" s="107">
        <f>COPY!AC1332</f>
        <v>0</v>
      </c>
      <c r="D1340" s="107" t="str">
        <f>IF(LEN(Table1722[[#This Row],[Uraian]])&gt;2,1," ")</f>
        <v xml:space="preserve"> </v>
      </c>
      <c r="E1340" s="113" t="str">
        <f>IF(Table1722[[#This Row],[Lawan Transaksi]]="CV AGUNG KARYA",COUNTIF($I$10:I1340,"CV AGUNG KARYA")," ")</f>
        <v xml:space="preserve"> </v>
      </c>
      <c r="F1340" s="107" t="str">
        <f>IF(LEN(Table1722[[#This Row],[Uraian]])&gt;2,TRIM(RIGHT(SUBSTITUTE(TRIM(C1340)," ",REPT(" ",255)),255))," ")</f>
        <v xml:space="preserve"> </v>
      </c>
      <c r="G1340" s="110">
        <f>COPY!Z1332</f>
        <v>0</v>
      </c>
      <c r="H1340" s="111" t="str">
        <f>IFERROR(VLOOKUP(Table1722[[#This Row],[Bukti]],'Un nOTA'!$A$4:$K$5003,10,FALSE),"")</f>
        <v/>
      </c>
      <c r="I1340" s="112" t="str">
        <f>IFERROR(VLOOKUP(Table1722[[#This Row],[Bukti]],Table13[#Data],11,FALSE),"")</f>
        <v/>
      </c>
    </row>
    <row r="1341" spans="1:9" ht="19.5" hidden="1" customHeight="1" x14ac:dyDescent="0.2">
      <c r="A1341" s="105" t="str">
        <f>IF(D1341=1,COUNTIF($D$10:D1341,1)," ")</f>
        <v xml:space="preserve"> </v>
      </c>
      <c r="B1341" s="106">
        <f>COPY!AR1333</f>
        <v>0</v>
      </c>
      <c r="C1341" s="107">
        <f>COPY!AC1333</f>
        <v>0</v>
      </c>
      <c r="D1341" s="107" t="str">
        <f>IF(LEN(Table1722[[#This Row],[Uraian]])&gt;2,1," ")</f>
        <v xml:space="preserve"> </v>
      </c>
      <c r="E1341" s="113" t="str">
        <f>IF(Table1722[[#This Row],[Lawan Transaksi]]="CV AGUNG KARYA",COUNTIF($I$10:I1341,"CV AGUNG KARYA")," ")</f>
        <v xml:space="preserve"> </v>
      </c>
      <c r="F1341" s="107" t="str">
        <f>IF(LEN(Table1722[[#This Row],[Uraian]])&gt;2,TRIM(RIGHT(SUBSTITUTE(TRIM(C1341)," ",REPT(" ",255)),255))," ")</f>
        <v xml:space="preserve"> </v>
      </c>
      <c r="G1341" s="110">
        <f>COPY!Z1333</f>
        <v>0</v>
      </c>
      <c r="H1341" s="111" t="str">
        <f>IFERROR(VLOOKUP(Table1722[[#This Row],[Bukti]],'Un nOTA'!$A$4:$K$5003,10,FALSE),"")</f>
        <v/>
      </c>
      <c r="I1341" s="112" t="str">
        <f>IFERROR(VLOOKUP(Table1722[[#This Row],[Bukti]],Table13[#Data],11,FALSE),"")</f>
        <v/>
      </c>
    </row>
    <row r="1342" spans="1:9" ht="19.5" hidden="1" customHeight="1" x14ac:dyDescent="0.2">
      <c r="A1342" s="105" t="str">
        <f>IF(D1342=1,COUNTIF($D$10:D1342,1)," ")</f>
        <v xml:space="preserve"> </v>
      </c>
      <c r="B1342" s="106">
        <f>COPY!AR1334</f>
        <v>0</v>
      </c>
      <c r="C1342" s="107">
        <f>COPY!AC1334</f>
        <v>0</v>
      </c>
      <c r="D1342" s="107" t="str">
        <f>IF(LEN(Table1722[[#This Row],[Uraian]])&gt;2,1," ")</f>
        <v xml:space="preserve"> </v>
      </c>
      <c r="E1342" s="113" t="str">
        <f>IF(Table1722[[#This Row],[Lawan Transaksi]]="CV AGUNG KARYA",COUNTIF($I$10:I1342,"CV AGUNG KARYA")," ")</f>
        <v xml:space="preserve"> </v>
      </c>
      <c r="F1342" s="107" t="str">
        <f>IF(LEN(Table1722[[#This Row],[Uraian]])&gt;2,TRIM(RIGHT(SUBSTITUTE(TRIM(C1342)," ",REPT(" ",255)),255))," ")</f>
        <v xml:space="preserve"> </v>
      </c>
      <c r="G1342" s="110">
        <f>COPY!Z1334</f>
        <v>0</v>
      </c>
      <c r="H1342" s="111" t="str">
        <f>IFERROR(VLOOKUP(Table1722[[#This Row],[Bukti]],'Un nOTA'!$A$4:$K$5003,10,FALSE),"")</f>
        <v/>
      </c>
      <c r="I1342" s="112" t="str">
        <f>IFERROR(VLOOKUP(Table1722[[#This Row],[Bukti]],Table13[#Data],11,FALSE),"")</f>
        <v/>
      </c>
    </row>
    <row r="1343" spans="1:9" ht="19.5" hidden="1" customHeight="1" x14ac:dyDescent="0.2">
      <c r="A1343" s="105" t="str">
        <f>IF(D1343=1,COUNTIF($D$10:D1343,1)," ")</f>
        <v xml:space="preserve"> </v>
      </c>
      <c r="B1343" s="106">
        <f>COPY!AR1335</f>
        <v>0</v>
      </c>
      <c r="C1343" s="107">
        <f>COPY!AC1335</f>
        <v>0</v>
      </c>
      <c r="D1343" s="107" t="str">
        <f>IF(LEN(Table1722[[#This Row],[Uraian]])&gt;2,1," ")</f>
        <v xml:space="preserve"> </v>
      </c>
      <c r="E1343" s="113" t="str">
        <f>IF(Table1722[[#This Row],[Lawan Transaksi]]="CV AGUNG KARYA",COUNTIF($I$10:I1343,"CV AGUNG KARYA")," ")</f>
        <v xml:space="preserve"> </v>
      </c>
      <c r="F1343" s="107" t="str">
        <f>IF(LEN(Table1722[[#This Row],[Uraian]])&gt;2,TRIM(RIGHT(SUBSTITUTE(TRIM(C1343)," ",REPT(" ",255)),255))," ")</f>
        <v xml:space="preserve"> </v>
      </c>
      <c r="G1343" s="110">
        <f>COPY!Z1335</f>
        <v>0</v>
      </c>
      <c r="H1343" s="111" t="str">
        <f>IFERROR(VLOOKUP(Table1722[[#This Row],[Bukti]],'Un nOTA'!$A$4:$K$5003,10,FALSE),"")</f>
        <v/>
      </c>
      <c r="I1343" s="112" t="str">
        <f>IFERROR(VLOOKUP(Table1722[[#This Row],[Bukti]],Table13[#Data],11,FALSE),"")</f>
        <v/>
      </c>
    </row>
    <row r="1344" spans="1:9" ht="19.5" hidden="1" customHeight="1" x14ac:dyDescent="0.2">
      <c r="A1344" s="105" t="str">
        <f>IF(D1344=1,COUNTIF($D$10:D1344,1)," ")</f>
        <v xml:space="preserve"> </v>
      </c>
      <c r="B1344" s="106">
        <f>COPY!AR1336</f>
        <v>0</v>
      </c>
      <c r="C1344" s="107">
        <f>COPY!AC1336</f>
        <v>0</v>
      </c>
      <c r="D1344" s="107" t="str">
        <f>IF(LEN(Table1722[[#This Row],[Uraian]])&gt;2,1," ")</f>
        <v xml:space="preserve"> </v>
      </c>
      <c r="E1344" s="113" t="str">
        <f>IF(Table1722[[#This Row],[Lawan Transaksi]]="CV AGUNG KARYA",COUNTIF($I$10:I1344,"CV AGUNG KARYA")," ")</f>
        <v xml:space="preserve"> </v>
      </c>
      <c r="F1344" s="107" t="str">
        <f>IF(LEN(Table1722[[#This Row],[Uraian]])&gt;2,TRIM(RIGHT(SUBSTITUTE(TRIM(C1344)," ",REPT(" ",255)),255))," ")</f>
        <v xml:space="preserve"> </v>
      </c>
      <c r="G1344" s="110">
        <f>COPY!Z1336</f>
        <v>0</v>
      </c>
      <c r="H1344" s="111" t="str">
        <f>IFERROR(VLOOKUP(Table1722[[#This Row],[Bukti]],'Un nOTA'!$A$4:$K$5003,10,FALSE),"")</f>
        <v/>
      </c>
      <c r="I1344" s="112" t="str">
        <f>IFERROR(VLOOKUP(Table1722[[#This Row],[Bukti]],Table13[#Data],11,FALSE),"")</f>
        <v/>
      </c>
    </row>
    <row r="1345" spans="1:9" ht="19.5" hidden="1" customHeight="1" x14ac:dyDescent="0.2">
      <c r="A1345" s="105" t="str">
        <f>IF(D1345=1,COUNTIF($D$10:D1345,1)," ")</f>
        <v xml:space="preserve"> </v>
      </c>
      <c r="B1345" s="106">
        <f>COPY!AR1337</f>
        <v>0</v>
      </c>
      <c r="C1345" s="107">
        <f>COPY!AC1337</f>
        <v>0</v>
      </c>
      <c r="D1345" s="107" t="str">
        <f>IF(LEN(Table1722[[#This Row],[Uraian]])&gt;2,1," ")</f>
        <v xml:space="preserve"> </v>
      </c>
      <c r="E1345" s="113" t="str">
        <f>IF(Table1722[[#This Row],[Lawan Transaksi]]="CV AGUNG KARYA",COUNTIF($I$10:I1345,"CV AGUNG KARYA")," ")</f>
        <v xml:space="preserve"> </v>
      </c>
      <c r="F1345" s="107" t="str">
        <f>IF(LEN(Table1722[[#This Row],[Uraian]])&gt;2,TRIM(RIGHT(SUBSTITUTE(TRIM(C1345)," ",REPT(" ",255)),255))," ")</f>
        <v xml:space="preserve"> </v>
      </c>
      <c r="G1345" s="110">
        <f>COPY!Z1337</f>
        <v>0</v>
      </c>
      <c r="H1345" s="111" t="str">
        <f>IFERROR(VLOOKUP(Table1722[[#This Row],[Bukti]],'Un nOTA'!$A$4:$K$5003,10,FALSE),"")</f>
        <v/>
      </c>
      <c r="I1345" s="112" t="str">
        <f>IFERROR(VLOOKUP(Table1722[[#This Row],[Bukti]],Table13[#Data],11,FALSE),"")</f>
        <v/>
      </c>
    </row>
    <row r="1346" spans="1:9" ht="19.5" hidden="1" customHeight="1" x14ac:dyDescent="0.2">
      <c r="A1346" s="105" t="str">
        <f>IF(D1346=1,COUNTIF($D$10:D1346,1)," ")</f>
        <v xml:space="preserve"> </v>
      </c>
      <c r="B1346" s="106">
        <f>COPY!AR1338</f>
        <v>0</v>
      </c>
      <c r="C1346" s="107">
        <f>COPY!AC1338</f>
        <v>0</v>
      </c>
      <c r="D1346" s="107" t="str">
        <f>IF(LEN(Table1722[[#This Row],[Uraian]])&gt;2,1," ")</f>
        <v xml:space="preserve"> </v>
      </c>
      <c r="E1346" s="113" t="str">
        <f>IF(Table1722[[#This Row],[Lawan Transaksi]]="CV AGUNG KARYA",COUNTIF($I$10:I1346,"CV AGUNG KARYA")," ")</f>
        <v xml:space="preserve"> </v>
      </c>
      <c r="F1346" s="107" t="str">
        <f>IF(LEN(Table1722[[#This Row],[Uraian]])&gt;2,TRIM(RIGHT(SUBSTITUTE(TRIM(C1346)," ",REPT(" ",255)),255))," ")</f>
        <v xml:space="preserve"> </v>
      </c>
      <c r="G1346" s="110">
        <f>COPY!Z1338</f>
        <v>0</v>
      </c>
      <c r="H1346" s="111" t="str">
        <f>IFERROR(VLOOKUP(Table1722[[#This Row],[Bukti]],'Un nOTA'!$A$4:$K$5003,10,FALSE),"")</f>
        <v/>
      </c>
      <c r="I1346" s="112" t="str">
        <f>IFERROR(VLOOKUP(Table1722[[#This Row],[Bukti]],Table13[#Data],11,FALSE),"")</f>
        <v/>
      </c>
    </row>
    <row r="1347" spans="1:9" ht="19.5" hidden="1" customHeight="1" x14ac:dyDescent="0.2">
      <c r="A1347" s="105" t="str">
        <f>IF(D1347=1,COUNTIF($D$10:D1347,1)," ")</f>
        <v xml:space="preserve"> </v>
      </c>
      <c r="B1347" s="106">
        <f>COPY!AR1339</f>
        <v>0</v>
      </c>
      <c r="C1347" s="107">
        <f>COPY!AC1339</f>
        <v>0</v>
      </c>
      <c r="D1347" s="107" t="str">
        <f>IF(LEN(Table1722[[#This Row],[Uraian]])&gt;2,1," ")</f>
        <v xml:space="preserve"> </v>
      </c>
      <c r="E1347" s="113" t="str">
        <f>IF(Table1722[[#This Row],[Lawan Transaksi]]="CV AGUNG KARYA",COUNTIF($I$10:I1347,"CV AGUNG KARYA")," ")</f>
        <v xml:space="preserve"> </v>
      </c>
      <c r="F1347" s="107" t="str">
        <f>IF(LEN(Table1722[[#This Row],[Uraian]])&gt;2,TRIM(RIGHT(SUBSTITUTE(TRIM(C1347)," ",REPT(" ",255)),255))," ")</f>
        <v xml:space="preserve"> </v>
      </c>
      <c r="G1347" s="110">
        <f>COPY!Z1339</f>
        <v>0</v>
      </c>
      <c r="H1347" s="111" t="str">
        <f>IFERROR(VLOOKUP(Table1722[[#This Row],[Bukti]],'Un nOTA'!$A$4:$K$5003,10,FALSE),"")</f>
        <v/>
      </c>
      <c r="I1347" s="112" t="str">
        <f>IFERROR(VLOOKUP(Table1722[[#This Row],[Bukti]],Table13[#Data],11,FALSE),"")</f>
        <v/>
      </c>
    </row>
    <row r="1348" spans="1:9" ht="19.5" hidden="1" customHeight="1" x14ac:dyDescent="0.2">
      <c r="A1348" s="105" t="str">
        <f>IF(D1348=1,COUNTIF($D$10:D1348,1)," ")</f>
        <v xml:space="preserve"> </v>
      </c>
      <c r="B1348" s="106">
        <f>COPY!AR1340</f>
        <v>0</v>
      </c>
      <c r="C1348" s="107">
        <f>COPY!AC1340</f>
        <v>0</v>
      </c>
      <c r="D1348" s="107" t="str">
        <f>IF(LEN(Table1722[[#This Row],[Uraian]])&gt;2,1," ")</f>
        <v xml:space="preserve"> </v>
      </c>
      <c r="E1348" s="113" t="str">
        <f>IF(Table1722[[#This Row],[Lawan Transaksi]]="CV AGUNG KARYA",COUNTIF($I$10:I1348,"CV AGUNG KARYA")," ")</f>
        <v xml:space="preserve"> </v>
      </c>
      <c r="F1348" s="107" t="str">
        <f>IF(LEN(Table1722[[#This Row],[Uraian]])&gt;2,TRIM(RIGHT(SUBSTITUTE(TRIM(C1348)," ",REPT(" ",255)),255))," ")</f>
        <v xml:space="preserve"> </v>
      </c>
      <c r="G1348" s="110">
        <f>COPY!Z1340</f>
        <v>0</v>
      </c>
      <c r="H1348" s="111" t="str">
        <f>IFERROR(VLOOKUP(Table1722[[#This Row],[Bukti]],'Un nOTA'!$A$4:$K$5003,10,FALSE),"")</f>
        <v/>
      </c>
      <c r="I1348" s="112" t="str">
        <f>IFERROR(VLOOKUP(Table1722[[#This Row],[Bukti]],Table13[#Data],11,FALSE),"")</f>
        <v/>
      </c>
    </row>
    <row r="1349" spans="1:9" ht="19.5" hidden="1" customHeight="1" x14ac:dyDescent="0.2">
      <c r="A1349" s="105" t="str">
        <f>IF(D1349=1,COUNTIF($D$10:D1349,1)," ")</f>
        <v xml:space="preserve"> </v>
      </c>
      <c r="B1349" s="106">
        <f>COPY!AR1341</f>
        <v>0</v>
      </c>
      <c r="C1349" s="107">
        <f>COPY!AC1341</f>
        <v>0</v>
      </c>
      <c r="D1349" s="107" t="str">
        <f>IF(LEN(Table1722[[#This Row],[Uraian]])&gt;2,1," ")</f>
        <v xml:space="preserve"> </v>
      </c>
      <c r="E1349" s="113" t="str">
        <f>IF(Table1722[[#This Row],[Lawan Transaksi]]="CV AGUNG KARYA",COUNTIF($I$10:I1349,"CV AGUNG KARYA")," ")</f>
        <v xml:space="preserve"> </v>
      </c>
      <c r="F1349" s="107" t="str">
        <f>IF(LEN(Table1722[[#This Row],[Uraian]])&gt;2,TRIM(RIGHT(SUBSTITUTE(TRIM(C1349)," ",REPT(" ",255)),255))," ")</f>
        <v xml:space="preserve"> </v>
      </c>
      <c r="G1349" s="110">
        <f>COPY!Z1341</f>
        <v>0</v>
      </c>
      <c r="H1349" s="111" t="str">
        <f>IFERROR(VLOOKUP(Table1722[[#This Row],[Bukti]],'Un nOTA'!$A$4:$K$5003,10,FALSE),"")</f>
        <v/>
      </c>
      <c r="I1349" s="112" t="str">
        <f>IFERROR(VLOOKUP(Table1722[[#This Row],[Bukti]],Table13[#Data],11,FALSE),"")</f>
        <v/>
      </c>
    </row>
    <row r="1350" spans="1:9" ht="19.5" hidden="1" customHeight="1" x14ac:dyDescent="0.2">
      <c r="A1350" s="105" t="str">
        <f>IF(D1350=1,COUNTIF($D$10:D1350,1)," ")</f>
        <v xml:space="preserve"> </v>
      </c>
      <c r="B1350" s="106">
        <f>COPY!AR1342</f>
        <v>0</v>
      </c>
      <c r="C1350" s="107">
        <f>COPY!AC1342</f>
        <v>0</v>
      </c>
      <c r="D1350" s="107" t="str">
        <f>IF(LEN(Table1722[[#This Row],[Uraian]])&gt;2,1," ")</f>
        <v xml:space="preserve"> </v>
      </c>
      <c r="E1350" s="113" t="str">
        <f>IF(Table1722[[#This Row],[Lawan Transaksi]]="CV AGUNG KARYA",COUNTIF($I$10:I1350,"CV AGUNG KARYA")," ")</f>
        <v xml:space="preserve"> </v>
      </c>
      <c r="F1350" s="107" t="str">
        <f>IF(LEN(Table1722[[#This Row],[Uraian]])&gt;2,TRIM(RIGHT(SUBSTITUTE(TRIM(C1350)," ",REPT(" ",255)),255))," ")</f>
        <v xml:space="preserve"> </v>
      </c>
      <c r="G1350" s="110">
        <f>COPY!Z1342</f>
        <v>0</v>
      </c>
      <c r="H1350" s="111" t="str">
        <f>IFERROR(VLOOKUP(Table1722[[#This Row],[Bukti]],'Un nOTA'!$A$4:$K$5003,10,FALSE),"")</f>
        <v/>
      </c>
      <c r="I1350" s="112" t="str">
        <f>IFERROR(VLOOKUP(Table1722[[#This Row],[Bukti]],Table13[#Data],11,FALSE),"")</f>
        <v/>
      </c>
    </row>
    <row r="1351" spans="1:9" ht="19.5" hidden="1" customHeight="1" x14ac:dyDescent="0.2">
      <c r="A1351" s="105" t="str">
        <f>IF(D1351=1,COUNTIF($D$10:D1351,1)," ")</f>
        <v xml:space="preserve"> </v>
      </c>
      <c r="B1351" s="106">
        <f>COPY!AR1343</f>
        <v>0</v>
      </c>
      <c r="C1351" s="107">
        <f>COPY!AC1343</f>
        <v>0</v>
      </c>
      <c r="D1351" s="107" t="str">
        <f>IF(LEN(Table1722[[#This Row],[Uraian]])&gt;2,1," ")</f>
        <v xml:space="preserve"> </v>
      </c>
      <c r="E1351" s="113" t="str">
        <f>IF(Table1722[[#This Row],[Lawan Transaksi]]="CV AGUNG KARYA",COUNTIF($I$10:I1351,"CV AGUNG KARYA")," ")</f>
        <v xml:space="preserve"> </v>
      </c>
      <c r="F1351" s="107" t="str">
        <f>IF(LEN(Table1722[[#This Row],[Uraian]])&gt;2,TRIM(RIGHT(SUBSTITUTE(TRIM(C1351)," ",REPT(" ",255)),255))," ")</f>
        <v xml:space="preserve"> </v>
      </c>
      <c r="G1351" s="110">
        <f>COPY!Z1343</f>
        <v>0</v>
      </c>
      <c r="H1351" s="111" t="str">
        <f>IFERROR(VLOOKUP(Table1722[[#This Row],[Bukti]],'Un nOTA'!$A$4:$K$5003,10,FALSE),"")</f>
        <v/>
      </c>
      <c r="I1351" s="112" t="str">
        <f>IFERROR(VLOOKUP(Table1722[[#This Row],[Bukti]],Table13[#Data],11,FALSE),"")</f>
        <v/>
      </c>
    </row>
    <row r="1352" spans="1:9" ht="19.5" hidden="1" customHeight="1" x14ac:dyDescent="0.2">
      <c r="A1352" s="105" t="str">
        <f>IF(D1352=1,COUNTIF($D$10:D1352,1)," ")</f>
        <v xml:space="preserve"> </v>
      </c>
      <c r="B1352" s="106">
        <f>COPY!AR1344</f>
        <v>0</v>
      </c>
      <c r="C1352" s="107">
        <f>COPY!AC1344</f>
        <v>0</v>
      </c>
      <c r="D1352" s="107" t="str">
        <f>IF(LEN(Table1722[[#This Row],[Uraian]])&gt;2,1," ")</f>
        <v xml:space="preserve"> </v>
      </c>
      <c r="E1352" s="113" t="str">
        <f>IF(Table1722[[#This Row],[Lawan Transaksi]]="CV AGUNG KARYA",COUNTIF($I$10:I1352,"CV AGUNG KARYA")," ")</f>
        <v xml:space="preserve"> </v>
      </c>
      <c r="F1352" s="107" t="str">
        <f>IF(LEN(Table1722[[#This Row],[Uraian]])&gt;2,TRIM(RIGHT(SUBSTITUTE(TRIM(C1352)," ",REPT(" ",255)),255))," ")</f>
        <v xml:space="preserve"> </v>
      </c>
      <c r="G1352" s="110">
        <f>COPY!Z1344</f>
        <v>0</v>
      </c>
      <c r="H1352" s="111" t="str">
        <f>IFERROR(VLOOKUP(Table1722[[#This Row],[Bukti]],'Un nOTA'!$A$4:$K$5003,10,FALSE),"")</f>
        <v/>
      </c>
      <c r="I1352" s="112" t="str">
        <f>IFERROR(VLOOKUP(Table1722[[#This Row],[Bukti]],Table13[#Data],11,FALSE),"")</f>
        <v/>
      </c>
    </row>
    <row r="1353" spans="1:9" ht="19.5" hidden="1" customHeight="1" x14ac:dyDescent="0.2">
      <c r="A1353" s="105" t="str">
        <f>IF(D1353=1,COUNTIF($D$10:D1353,1)," ")</f>
        <v xml:space="preserve"> </v>
      </c>
      <c r="B1353" s="106">
        <f>COPY!AR1345</f>
        <v>0</v>
      </c>
      <c r="C1353" s="107">
        <f>COPY!AC1345</f>
        <v>0</v>
      </c>
      <c r="D1353" s="107" t="str">
        <f>IF(LEN(Table1722[[#This Row],[Uraian]])&gt;2,1," ")</f>
        <v xml:space="preserve"> </v>
      </c>
      <c r="E1353" s="113" t="str">
        <f>IF(Table1722[[#This Row],[Lawan Transaksi]]="CV AGUNG KARYA",COUNTIF($I$10:I1353,"CV AGUNG KARYA")," ")</f>
        <v xml:space="preserve"> </v>
      </c>
      <c r="F1353" s="107" t="str">
        <f>IF(LEN(Table1722[[#This Row],[Uraian]])&gt;2,TRIM(RIGHT(SUBSTITUTE(TRIM(C1353)," ",REPT(" ",255)),255))," ")</f>
        <v xml:space="preserve"> </v>
      </c>
      <c r="G1353" s="110">
        <f>COPY!Z1345</f>
        <v>0</v>
      </c>
      <c r="H1353" s="111" t="str">
        <f>IFERROR(VLOOKUP(Table1722[[#This Row],[Bukti]],'Un nOTA'!$A$4:$K$5003,10,FALSE),"")</f>
        <v/>
      </c>
      <c r="I1353" s="112" t="str">
        <f>IFERROR(VLOOKUP(Table1722[[#This Row],[Bukti]],Table13[#Data],11,FALSE),"")</f>
        <v/>
      </c>
    </row>
    <row r="1354" spans="1:9" ht="19.5" hidden="1" customHeight="1" x14ac:dyDescent="0.2">
      <c r="A1354" s="105" t="str">
        <f>IF(D1354=1,COUNTIF($D$10:D1354,1)," ")</f>
        <v xml:space="preserve"> </v>
      </c>
      <c r="B1354" s="106">
        <f>COPY!AR1346</f>
        <v>0</v>
      </c>
      <c r="C1354" s="107">
        <f>COPY!AC1346</f>
        <v>0</v>
      </c>
      <c r="D1354" s="107" t="str">
        <f>IF(LEN(Table1722[[#This Row],[Uraian]])&gt;2,1," ")</f>
        <v xml:space="preserve"> </v>
      </c>
      <c r="E1354" s="113" t="str">
        <f>IF(Table1722[[#This Row],[Lawan Transaksi]]="CV AGUNG KARYA",COUNTIF($I$10:I1354,"CV AGUNG KARYA")," ")</f>
        <v xml:space="preserve"> </v>
      </c>
      <c r="F1354" s="107" t="str">
        <f>IF(LEN(Table1722[[#This Row],[Uraian]])&gt;2,TRIM(RIGHT(SUBSTITUTE(TRIM(C1354)," ",REPT(" ",255)),255))," ")</f>
        <v xml:space="preserve"> </v>
      </c>
      <c r="G1354" s="110">
        <f>COPY!Z1346</f>
        <v>0</v>
      </c>
      <c r="H1354" s="111" t="str">
        <f>IFERROR(VLOOKUP(Table1722[[#This Row],[Bukti]],'Un nOTA'!$A$4:$K$5003,10,FALSE),"")</f>
        <v/>
      </c>
      <c r="I1354" s="112" t="str">
        <f>IFERROR(VLOOKUP(Table1722[[#This Row],[Bukti]],Table13[#Data],11,FALSE),"")</f>
        <v/>
      </c>
    </row>
    <row r="1355" spans="1:9" ht="19.5" hidden="1" customHeight="1" x14ac:dyDescent="0.2">
      <c r="A1355" s="105" t="str">
        <f>IF(D1355=1,COUNTIF($D$10:D1355,1)," ")</f>
        <v xml:space="preserve"> </v>
      </c>
      <c r="B1355" s="106">
        <f>COPY!AR1347</f>
        <v>0</v>
      </c>
      <c r="C1355" s="107">
        <f>COPY!AC1347</f>
        <v>0</v>
      </c>
      <c r="D1355" s="107" t="str">
        <f>IF(LEN(Table1722[[#This Row],[Uraian]])&gt;2,1," ")</f>
        <v xml:space="preserve"> </v>
      </c>
      <c r="E1355" s="113" t="str">
        <f>IF(Table1722[[#This Row],[Lawan Transaksi]]="CV AGUNG KARYA",COUNTIF($I$10:I1355,"CV AGUNG KARYA")," ")</f>
        <v xml:space="preserve"> </v>
      </c>
      <c r="F1355" s="107" t="str">
        <f>IF(LEN(Table1722[[#This Row],[Uraian]])&gt;2,TRIM(RIGHT(SUBSTITUTE(TRIM(C1355)," ",REPT(" ",255)),255))," ")</f>
        <v xml:space="preserve"> </v>
      </c>
      <c r="G1355" s="110">
        <f>COPY!Z1347</f>
        <v>0</v>
      </c>
      <c r="H1355" s="111" t="str">
        <f>IFERROR(VLOOKUP(Table1722[[#This Row],[Bukti]],'Un nOTA'!$A$4:$K$5003,10,FALSE),"")</f>
        <v/>
      </c>
      <c r="I1355" s="112" t="str">
        <f>IFERROR(VLOOKUP(Table1722[[#This Row],[Bukti]],Table13[#Data],11,FALSE),"")</f>
        <v/>
      </c>
    </row>
    <row r="1356" spans="1:9" ht="19.5" hidden="1" customHeight="1" x14ac:dyDescent="0.2">
      <c r="A1356" s="105" t="str">
        <f>IF(D1356=1,COUNTIF($D$10:D1356,1)," ")</f>
        <v xml:space="preserve"> </v>
      </c>
      <c r="B1356" s="106">
        <f>COPY!AR1348</f>
        <v>0</v>
      </c>
      <c r="C1356" s="107">
        <f>COPY!AC1348</f>
        <v>0</v>
      </c>
      <c r="D1356" s="107" t="str">
        <f>IF(LEN(Table1722[[#This Row],[Uraian]])&gt;2,1," ")</f>
        <v xml:space="preserve"> </v>
      </c>
      <c r="E1356" s="113" t="str">
        <f>IF(Table1722[[#This Row],[Lawan Transaksi]]="CV AGUNG KARYA",COUNTIF($I$10:I1356,"CV AGUNG KARYA")," ")</f>
        <v xml:space="preserve"> </v>
      </c>
      <c r="F1356" s="107" t="str">
        <f>IF(LEN(Table1722[[#This Row],[Uraian]])&gt;2,TRIM(RIGHT(SUBSTITUTE(TRIM(C1356)," ",REPT(" ",255)),255))," ")</f>
        <v xml:space="preserve"> </v>
      </c>
      <c r="G1356" s="110">
        <f>COPY!Z1348</f>
        <v>0</v>
      </c>
      <c r="H1356" s="111" t="str">
        <f>IFERROR(VLOOKUP(Table1722[[#This Row],[Bukti]],'Un nOTA'!$A$4:$K$5003,10,FALSE),"")</f>
        <v/>
      </c>
      <c r="I1356" s="112" t="str">
        <f>IFERROR(VLOOKUP(Table1722[[#This Row],[Bukti]],Table13[#Data],11,FALSE),"")</f>
        <v/>
      </c>
    </row>
    <row r="1357" spans="1:9" ht="19.5" hidden="1" customHeight="1" x14ac:dyDescent="0.2">
      <c r="A1357" s="105" t="str">
        <f>IF(D1357=1,COUNTIF($D$10:D1357,1)," ")</f>
        <v xml:space="preserve"> </v>
      </c>
      <c r="B1357" s="106">
        <f>COPY!AR1349</f>
        <v>0</v>
      </c>
      <c r="C1357" s="107">
        <f>COPY!AC1349</f>
        <v>0</v>
      </c>
      <c r="D1357" s="107" t="str">
        <f>IF(LEN(Table1722[[#This Row],[Uraian]])&gt;2,1," ")</f>
        <v xml:space="preserve"> </v>
      </c>
      <c r="E1357" s="113" t="str">
        <f>IF(Table1722[[#This Row],[Lawan Transaksi]]="CV AGUNG KARYA",COUNTIF($I$10:I1357,"CV AGUNG KARYA")," ")</f>
        <v xml:space="preserve"> </v>
      </c>
      <c r="F1357" s="107" t="str">
        <f>IF(LEN(Table1722[[#This Row],[Uraian]])&gt;2,TRIM(RIGHT(SUBSTITUTE(TRIM(C1357)," ",REPT(" ",255)),255))," ")</f>
        <v xml:space="preserve"> </v>
      </c>
      <c r="G1357" s="110">
        <f>COPY!Z1349</f>
        <v>0</v>
      </c>
      <c r="H1357" s="111" t="str">
        <f>IFERROR(VLOOKUP(Table1722[[#This Row],[Bukti]],'Un nOTA'!$A$4:$K$5003,10,FALSE),"")</f>
        <v/>
      </c>
      <c r="I1357" s="112" t="str">
        <f>IFERROR(VLOOKUP(Table1722[[#This Row],[Bukti]],Table13[#Data],11,FALSE),"")</f>
        <v/>
      </c>
    </row>
    <row r="1358" spans="1:9" ht="19.5" hidden="1" customHeight="1" x14ac:dyDescent="0.2">
      <c r="A1358" s="105" t="str">
        <f>IF(D1358=1,COUNTIF($D$10:D1358,1)," ")</f>
        <v xml:space="preserve"> </v>
      </c>
      <c r="B1358" s="106">
        <f>COPY!AR1350</f>
        <v>0</v>
      </c>
      <c r="C1358" s="107">
        <f>COPY!AC1350</f>
        <v>0</v>
      </c>
      <c r="D1358" s="107" t="str">
        <f>IF(LEN(Table1722[[#This Row],[Uraian]])&gt;2,1," ")</f>
        <v xml:space="preserve"> </v>
      </c>
      <c r="E1358" s="113" t="str">
        <f>IF(Table1722[[#This Row],[Lawan Transaksi]]="CV AGUNG KARYA",COUNTIF($I$10:I1358,"CV AGUNG KARYA")," ")</f>
        <v xml:space="preserve"> </v>
      </c>
      <c r="F1358" s="107" t="str">
        <f>IF(LEN(Table1722[[#This Row],[Uraian]])&gt;2,TRIM(RIGHT(SUBSTITUTE(TRIM(C1358)," ",REPT(" ",255)),255))," ")</f>
        <v xml:space="preserve"> </v>
      </c>
      <c r="G1358" s="110">
        <f>COPY!Z1350</f>
        <v>0</v>
      </c>
      <c r="H1358" s="111" t="str">
        <f>IFERROR(VLOOKUP(Table1722[[#This Row],[Bukti]],'Un nOTA'!$A$4:$K$5003,10,FALSE),"")</f>
        <v/>
      </c>
      <c r="I1358" s="112" t="str">
        <f>IFERROR(VLOOKUP(Table1722[[#This Row],[Bukti]],Table13[#Data],11,FALSE),"")</f>
        <v/>
      </c>
    </row>
    <row r="1359" spans="1:9" ht="19.5" hidden="1" customHeight="1" x14ac:dyDescent="0.2">
      <c r="A1359" s="105" t="str">
        <f>IF(D1359=1,COUNTIF($D$10:D1359,1)," ")</f>
        <v xml:space="preserve"> </v>
      </c>
      <c r="B1359" s="106">
        <f>COPY!AR1351</f>
        <v>0</v>
      </c>
      <c r="C1359" s="107">
        <f>COPY!AC1351</f>
        <v>0</v>
      </c>
      <c r="D1359" s="107" t="str">
        <f>IF(LEN(Table1722[[#This Row],[Uraian]])&gt;2,1," ")</f>
        <v xml:space="preserve"> </v>
      </c>
      <c r="E1359" s="113" t="str">
        <f>IF(Table1722[[#This Row],[Lawan Transaksi]]="CV AGUNG KARYA",COUNTIF($I$10:I1359,"CV AGUNG KARYA")," ")</f>
        <v xml:space="preserve"> </v>
      </c>
      <c r="F1359" s="107" t="str">
        <f>IF(LEN(Table1722[[#This Row],[Uraian]])&gt;2,TRIM(RIGHT(SUBSTITUTE(TRIM(C1359)," ",REPT(" ",255)),255))," ")</f>
        <v xml:space="preserve"> </v>
      </c>
      <c r="G1359" s="110">
        <f>COPY!Z1351</f>
        <v>0</v>
      </c>
      <c r="H1359" s="111" t="str">
        <f>IFERROR(VLOOKUP(Table1722[[#This Row],[Bukti]],'Un nOTA'!$A$4:$K$5003,10,FALSE),"")</f>
        <v/>
      </c>
      <c r="I1359" s="112" t="str">
        <f>IFERROR(VLOOKUP(Table1722[[#This Row],[Bukti]],Table13[#Data],11,FALSE),"")</f>
        <v/>
      </c>
    </row>
    <row r="1360" spans="1:9" ht="19.5" hidden="1" customHeight="1" x14ac:dyDescent="0.2">
      <c r="A1360" s="105" t="str">
        <f>IF(D1360=1,COUNTIF($D$10:D1360,1)," ")</f>
        <v xml:space="preserve"> </v>
      </c>
      <c r="B1360" s="106">
        <f>COPY!AR1352</f>
        <v>0</v>
      </c>
      <c r="C1360" s="107">
        <f>COPY!AC1352</f>
        <v>0</v>
      </c>
      <c r="D1360" s="107" t="str">
        <f>IF(LEN(Table1722[[#This Row],[Uraian]])&gt;2,1," ")</f>
        <v xml:space="preserve"> </v>
      </c>
      <c r="E1360" s="113" t="str">
        <f>IF(Table1722[[#This Row],[Lawan Transaksi]]="CV AGUNG KARYA",COUNTIF($I$10:I1360,"CV AGUNG KARYA")," ")</f>
        <v xml:space="preserve"> </v>
      </c>
      <c r="F1360" s="107" t="str">
        <f>IF(LEN(Table1722[[#This Row],[Uraian]])&gt;2,TRIM(RIGHT(SUBSTITUTE(TRIM(C1360)," ",REPT(" ",255)),255))," ")</f>
        <v xml:space="preserve"> </v>
      </c>
      <c r="G1360" s="110">
        <f>COPY!Z1352</f>
        <v>0</v>
      </c>
      <c r="H1360" s="111" t="str">
        <f>IFERROR(VLOOKUP(Table1722[[#This Row],[Bukti]],'Un nOTA'!$A$4:$K$5003,10,FALSE),"")</f>
        <v/>
      </c>
      <c r="I1360" s="112" t="str">
        <f>IFERROR(VLOOKUP(Table1722[[#This Row],[Bukti]],Table13[#Data],11,FALSE),"")</f>
        <v/>
      </c>
    </row>
    <row r="1361" spans="1:9" ht="19.5" hidden="1" customHeight="1" x14ac:dyDescent="0.2">
      <c r="A1361" s="105" t="str">
        <f>IF(D1361=1,COUNTIF($D$10:D1361,1)," ")</f>
        <v xml:space="preserve"> </v>
      </c>
      <c r="B1361" s="106">
        <f>COPY!AR1353</f>
        <v>0</v>
      </c>
      <c r="C1361" s="107">
        <f>COPY!AC1353</f>
        <v>0</v>
      </c>
      <c r="D1361" s="107" t="str">
        <f>IF(LEN(Table1722[[#This Row],[Uraian]])&gt;2,1," ")</f>
        <v xml:space="preserve"> </v>
      </c>
      <c r="E1361" s="113" t="str">
        <f>IF(Table1722[[#This Row],[Lawan Transaksi]]="CV AGUNG KARYA",COUNTIF($I$10:I1361,"CV AGUNG KARYA")," ")</f>
        <v xml:space="preserve"> </v>
      </c>
      <c r="F1361" s="107" t="str">
        <f>IF(LEN(Table1722[[#This Row],[Uraian]])&gt;2,TRIM(RIGHT(SUBSTITUTE(TRIM(C1361)," ",REPT(" ",255)),255))," ")</f>
        <v xml:space="preserve"> </v>
      </c>
      <c r="G1361" s="110">
        <f>COPY!Z1353</f>
        <v>0</v>
      </c>
      <c r="H1361" s="111" t="str">
        <f>IFERROR(VLOOKUP(Table1722[[#This Row],[Bukti]],'Un nOTA'!$A$4:$K$5003,10,FALSE),"")</f>
        <v/>
      </c>
      <c r="I1361" s="112" t="str">
        <f>IFERROR(VLOOKUP(Table1722[[#This Row],[Bukti]],Table13[#Data],11,FALSE),"")</f>
        <v/>
      </c>
    </row>
    <row r="1362" spans="1:9" ht="19.5" hidden="1" customHeight="1" x14ac:dyDescent="0.2">
      <c r="A1362" s="105" t="str">
        <f>IF(D1362=1,COUNTIF($D$10:D1362,1)," ")</f>
        <v xml:space="preserve"> </v>
      </c>
      <c r="B1362" s="106">
        <f>COPY!AR1354</f>
        <v>0</v>
      </c>
      <c r="C1362" s="107">
        <f>COPY!AC1354</f>
        <v>0</v>
      </c>
      <c r="D1362" s="107" t="str">
        <f>IF(LEN(Table1722[[#This Row],[Uraian]])&gt;2,1," ")</f>
        <v xml:space="preserve"> </v>
      </c>
      <c r="E1362" s="113" t="str">
        <f>IF(Table1722[[#This Row],[Lawan Transaksi]]="CV AGUNG KARYA",COUNTIF($I$10:I1362,"CV AGUNG KARYA")," ")</f>
        <v xml:space="preserve"> </v>
      </c>
      <c r="F1362" s="107" t="str">
        <f>IF(LEN(Table1722[[#This Row],[Uraian]])&gt;2,TRIM(RIGHT(SUBSTITUTE(TRIM(C1362)," ",REPT(" ",255)),255))," ")</f>
        <v xml:space="preserve"> </v>
      </c>
      <c r="G1362" s="110">
        <f>COPY!Z1354</f>
        <v>0</v>
      </c>
      <c r="H1362" s="111" t="str">
        <f>IFERROR(VLOOKUP(Table1722[[#This Row],[Bukti]],'Un nOTA'!$A$4:$K$5003,10,FALSE),"")</f>
        <v/>
      </c>
      <c r="I1362" s="112" t="str">
        <f>IFERROR(VLOOKUP(Table1722[[#This Row],[Bukti]],Table13[#Data],11,FALSE),"")</f>
        <v/>
      </c>
    </row>
    <row r="1363" spans="1:9" ht="19.5" hidden="1" customHeight="1" x14ac:dyDescent="0.2">
      <c r="A1363" s="105" t="str">
        <f>IF(D1363=1,COUNTIF($D$10:D1363,1)," ")</f>
        <v xml:space="preserve"> </v>
      </c>
      <c r="B1363" s="106">
        <f>COPY!AR1355</f>
        <v>0</v>
      </c>
      <c r="C1363" s="107">
        <f>COPY!AC1355</f>
        <v>0</v>
      </c>
      <c r="D1363" s="107" t="str">
        <f>IF(LEN(Table1722[[#This Row],[Uraian]])&gt;2,1," ")</f>
        <v xml:space="preserve"> </v>
      </c>
      <c r="E1363" s="113" t="str">
        <f>IF(Table1722[[#This Row],[Lawan Transaksi]]="CV AGUNG KARYA",COUNTIF($I$10:I1363,"CV AGUNG KARYA")," ")</f>
        <v xml:space="preserve"> </v>
      </c>
      <c r="F1363" s="107" t="str">
        <f>IF(LEN(Table1722[[#This Row],[Uraian]])&gt;2,TRIM(RIGHT(SUBSTITUTE(TRIM(C1363)," ",REPT(" ",255)),255))," ")</f>
        <v xml:space="preserve"> </v>
      </c>
      <c r="G1363" s="110">
        <f>COPY!Z1355</f>
        <v>0</v>
      </c>
      <c r="H1363" s="111" t="str">
        <f>IFERROR(VLOOKUP(Table1722[[#This Row],[Bukti]],'Un nOTA'!$A$4:$K$5003,10,FALSE),"")</f>
        <v/>
      </c>
      <c r="I1363" s="112" t="str">
        <f>IFERROR(VLOOKUP(Table1722[[#This Row],[Bukti]],Table13[#Data],11,FALSE),"")</f>
        <v/>
      </c>
    </row>
    <row r="1364" spans="1:9" ht="19.5" hidden="1" customHeight="1" x14ac:dyDescent="0.2">
      <c r="A1364" s="105" t="str">
        <f>IF(D1364=1,COUNTIF($D$10:D1364,1)," ")</f>
        <v xml:space="preserve"> </v>
      </c>
      <c r="B1364" s="106">
        <f>COPY!AR1356</f>
        <v>0</v>
      </c>
      <c r="C1364" s="107">
        <f>COPY!AC1356</f>
        <v>0</v>
      </c>
      <c r="D1364" s="107" t="str">
        <f>IF(LEN(Table1722[[#This Row],[Uraian]])&gt;2,1," ")</f>
        <v xml:space="preserve"> </v>
      </c>
      <c r="E1364" s="113" t="str">
        <f>IF(Table1722[[#This Row],[Lawan Transaksi]]="CV AGUNG KARYA",COUNTIF($I$10:I1364,"CV AGUNG KARYA")," ")</f>
        <v xml:space="preserve"> </v>
      </c>
      <c r="F1364" s="107" t="str">
        <f>IF(LEN(Table1722[[#This Row],[Uraian]])&gt;2,TRIM(RIGHT(SUBSTITUTE(TRIM(C1364)," ",REPT(" ",255)),255))," ")</f>
        <v xml:space="preserve"> </v>
      </c>
      <c r="G1364" s="110">
        <f>COPY!Z1356</f>
        <v>0</v>
      </c>
      <c r="H1364" s="111" t="str">
        <f>IFERROR(VLOOKUP(Table1722[[#This Row],[Bukti]],'Un nOTA'!$A$4:$K$5003,10,FALSE),"")</f>
        <v/>
      </c>
      <c r="I1364" s="112" t="str">
        <f>IFERROR(VLOOKUP(Table1722[[#This Row],[Bukti]],Table13[#Data],11,FALSE),"")</f>
        <v/>
      </c>
    </row>
    <row r="1365" spans="1:9" ht="19.5" hidden="1" customHeight="1" x14ac:dyDescent="0.2">
      <c r="A1365" s="105" t="str">
        <f>IF(D1365=1,COUNTIF($D$10:D1365,1)," ")</f>
        <v xml:space="preserve"> </v>
      </c>
      <c r="B1365" s="106">
        <f>COPY!AR1357</f>
        <v>0</v>
      </c>
      <c r="C1365" s="107">
        <f>COPY!AC1357</f>
        <v>0</v>
      </c>
      <c r="D1365" s="107" t="str">
        <f>IF(LEN(Table1722[[#This Row],[Uraian]])&gt;2,1," ")</f>
        <v xml:space="preserve"> </v>
      </c>
      <c r="E1365" s="113" t="str">
        <f>IF(Table1722[[#This Row],[Lawan Transaksi]]="CV AGUNG KARYA",COUNTIF($I$10:I1365,"CV AGUNG KARYA")," ")</f>
        <v xml:space="preserve"> </v>
      </c>
      <c r="F1365" s="107" t="str">
        <f>IF(LEN(Table1722[[#This Row],[Uraian]])&gt;2,TRIM(RIGHT(SUBSTITUTE(TRIM(C1365)," ",REPT(" ",255)),255))," ")</f>
        <v xml:space="preserve"> </v>
      </c>
      <c r="G1365" s="110">
        <f>COPY!Z1357</f>
        <v>0</v>
      </c>
      <c r="H1365" s="111" t="str">
        <f>IFERROR(VLOOKUP(Table1722[[#This Row],[Bukti]],'Un nOTA'!$A$4:$K$5003,10,FALSE),"")</f>
        <v/>
      </c>
      <c r="I1365" s="112" t="str">
        <f>IFERROR(VLOOKUP(Table1722[[#This Row],[Bukti]],Table13[#Data],11,FALSE),"")</f>
        <v/>
      </c>
    </row>
    <row r="1366" spans="1:9" ht="19.5" hidden="1" customHeight="1" x14ac:dyDescent="0.2">
      <c r="A1366" s="105" t="str">
        <f>IF(D1366=1,COUNTIF($D$10:D1366,1)," ")</f>
        <v xml:space="preserve"> </v>
      </c>
      <c r="B1366" s="106">
        <f>COPY!AR1358</f>
        <v>0</v>
      </c>
      <c r="C1366" s="107">
        <f>COPY!AC1358</f>
        <v>0</v>
      </c>
      <c r="D1366" s="107" t="str">
        <f>IF(LEN(Table1722[[#This Row],[Uraian]])&gt;2,1," ")</f>
        <v xml:space="preserve"> </v>
      </c>
      <c r="E1366" s="113" t="str">
        <f>IF(Table1722[[#This Row],[Lawan Transaksi]]="CV AGUNG KARYA",COUNTIF($I$10:I1366,"CV AGUNG KARYA")," ")</f>
        <v xml:space="preserve"> </v>
      </c>
      <c r="F1366" s="107" t="str">
        <f>IF(LEN(Table1722[[#This Row],[Uraian]])&gt;2,TRIM(RIGHT(SUBSTITUTE(TRIM(C1366)," ",REPT(" ",255)),255))," ")</f>
        <v xml:space="preserve"> </v>
      </c>
      <c r="G1366" s="110">
        <f>COPY!Z1358</f>
        <v>0</v>
      </c>
      <c r="H1366" s="111" t="str">
        <f>IFERROR(VLOOKUP(Table1722[[#This Row],[Bukti]],'Un nOTA'!$A$4:$K$5003,10,FALSE),"")</f>
        <v/>
      </c>
      <c r="I1366" s="112" t="str">
        <f>IFERROR(VLOOKUP(Table1722[[#This Row],[Bukti]],Table13[#Data],11,FALSE),"")</f>
        <v/>
      </c>
    </row>
    <row r="1367" spans="1:9" ht="19.5" hidden="1" customHeight="1" x14ac:dyDescent="0.2">
      <c r="A1367" s="105" t="str">
        <f>IF(D1367=1,COUNTIF($D$10:D1367,1)," ")</f>
        <v xml:space="preserve"> </v>
      </c>
      <c r="B1367" s="106">
        <f>COPY!AR1359</f>
        <v>0</v>
      </c>
      <c r="C1367" s="107">
        <f>COPY!AC1359</f>
        <v>0</v>
      </c>
      <c r="D1367" s="107" t="str">
        <f>IF(LEN(Table1722[[#This Row],[Uraian]])&gt;2,1," ")</f>
        <v xml:space="preserve"> </v>
      </c>
      <c r="E1367" s="113" t="str">
        <f>IF(Table1722[[#This Row],[Lawan Transaksi]]="CV AGUNG KARYA",COUNTIF($I$10:I1367,"CV AGUNG KARYA")," ")</f>
        <v xml:space="preserve"> </v>
      </c>
      <c r="F1367" s="107" t="str">
        <f>IF(LEN(Table1722[[#This Row],[Uraian]])&gt;2,TRIM(RIGHT(SUBSTITUTE(TRIM(C1367)," ",REPT(" ",255)),255))," ")</f>
        <v xml:space="preserve"> </v>
      </c>
      <c r="G1367" s="110">
        <f>COPY!Z1359</f>
        <v>0</v>
      </c>
      <c r="H1367" s="111" t="str">
        <f>IFERROR(VLOOKUP(Table1722[[#This Row],[Bukti]],'Un nOTA'!$A$4:$K$5003,10,FALSE),"")</f>
        <v/>
      </c>
      <c r="I1367" s="112" t="str">
        <f>IFERROR(VLOOKUP(Table1722[[#This Row],[Bukti]],Table13[#Data],11,FALSE),"")</f>
        <v/>
      </c>
    </row>
    <row r="1368" spans="1:9" ht="19.5" hidden="1" customHeight="1" x14ac:dyDescent="0.2">
      <c r="A1368" s="105" t="str">
        <f>IF(D1368=1,COUNTIF($D$10:D1368,1)," ")</f>
        <v xml:space="preserve"> </v>
      </c>
      <c r="B1368" s="106">
        <f>COPY!AR1360</f>
        <v>0</v>
      </c>
      <c r="C1368" s="107">
        <f>COPY!AC1360</f>
        <v>0</v>
      </c>
      <c r="D1368" s="107" t="str">
        <f>IF(LEN(Table1722[[#This Row],[Uraian]])&gt;2,1," ")</f>
        <v xml:space="preserve"> </v>
      </c>
      <c r="E1368" s="113" t="str">
        <f>IF(Table1722[[#This Row],[Lawan Transaksi]]="CV AGUNG KARYA",COUNTIF($I$10:I1368,"CV AGUNG KARYA")," ")</f>
        <v xml:space="preserve"> </v>
      </c>
      <c r="F1368" s="107" t="str">
        <f>IF(LEN(Table1722[[#This Row],[Uraian]])&gt;2,TRIM(RIGHT(SUBSTITUTE(TRIM(C1368)," ",REPT(" ",255)),255))," ")</f>
        <v xml:space="preserve"> </v>
      </c>
      <c r="G1368" s="110">
        <f>COPY!Z1360</f>
        <v>0</v>
      </c>
      <c r="H1368" s="111" t="str">
        <f>IFERROR(VLOOKUP(Table1722[[#This Row],[Bukti]],'Un nOTA'!$A$4:$K$5003,10,FALSE),"")</f>
        <v/>
      </c>
      <c r="I1368" s="112" t="str">
        <f>IFERROR(VLOOKUP(Table1722[[#This Row],[Bukti]],Table13[#Data],11,FALSE),"")</f>
        <v/>
      </c>
    </row>
    <row r="1369" spans="1:9" ht="19.5" hidden="1" customHeight="1" x14ac:dyDescent="0.2">
      <c r="A1369" s="105" t="str">
        <f>IF(D1369=1,COUNTIF($D$10:D1369,1)," ")</f>
        <v xml:space="preserve"> </v>
      </c>
      <c r="B1369" s="106">
        <f>COPY!AR1361</f>
        <v>0</v>
      </c>
      <c r="C1369" s="107">
        <f>COPY!AC1361</f>
        <v>0</v>
      </c>
      <c r="D1369" s="107" t="str">
        <f>IF(LEN(Table1722[[#This Row],[Uraian]])&gt;2,1," ")</f>
        <v xml:space="preserve"> </v>
      </c>
      <c r="E1369" s="113" t="str">
        <f>IF(Table1722[[#This Row],[Lawan Transaksi]]="CV AGUNG KARYA",COUNTIF($I$10:I1369,"CV AGUNG KARYA")," ")</f>
        <v xml:space="preserve"> </v>
      </c>
      <c r="F1369" s="107" t="str">
        <f>IF(LEN(Table1722[[#This Row],[Uraian]])&gt;2,TRIM(RIGHT(SUBSTITUTE(TRIM(C1369)," ",REPT(" ",255)),255))," ")</f>
        <v xml:space="preserve"> </v>
      </c>
      <c r="G1369" s="110">
        <f>COPY!Z1361</f>
        <v>0</v>
      </c>
      <c r="H1369" s="111" t="str">
        <f>IFERROR(VLOOKUP(Table1722[[#This Row],[Bukti]],'Un nOTA'!$A$4:$K$5003,10,FALSE),"")</f>
        <v/>
      </c>
      <c r="I1369" s="112" t="str">
        <f>IFERROR(VLOOKUP(Table1722[[#This Row],[Bukti]],Table13[#Data],11,FALSE),"")</f>
        <v/>
      </c>
    </row>
    <row r="1370" spans="1:9" ht="19.5" hidden="1" customHeight="1" x14ac:dyDescent="0.2">
      <c r="A1370" s="105" t="str">
        <f>IF(D1370=1,COUNTIF($D$10:D1370,1)," ")</f>
        <v xml:space="preserve"> </v>
      </c>
      <c r="B1370" s="106">
        <f>COPY!AR1362</f>
        <v>0</v>
      </c>
      <c r="C1370" s="107">
        <f>COPY!AC1362</f>
        <v>0</v>
      </c>
      <c r="D1370" s="107" t="str">
        <f>IF(LEN(Table1722[[#This Row],[Uraian]])&gt;2,1," ")</f>
        <v xml:space="preserve"> </v>
      </c>
      <c r="E1370" s="113" t="str">
        <f>IF(Table1722[[#This Row],[Lawan Transaksi]]="CV AGUNG KARYA",COUNTIF($I$10:I1370,"CV AGUNG KARYA")," ")</f>
        <v xml:space="preserve"> </v>
      </c>
      <c r="F1370" s="107" t="str">
        <f>IF(LEN(Table1722[[#This Row],[Uraian]])&gt;2,TRIM(RIGHT(SUBSTITUTE(TRIM(C1370)," ",REPT(" ",255)),255))," ")</f>
        <v xml:space="preserve"> </v>
      </c>
      <c r="G1370" s="110">
        <f>COPY!Z1362</f>
        <v>0</v>
      </c>
      <c r="H1370" s="111" t="str">
        <f>IFERROR(VLOOKUP(Table1722[[#This Row],[Bukti]],'Un nOTA'!$A$4:$K$5003,10,FALSE),"")</f>
        <v/>
      </c>
      <c r="I1370" s="112" t="str">
        <f>IFERROR(VLOOKUP(Table1722[[#This Row],[Bukti]],Table13[#Data],11,FALSE),"")</f>
        <v/>
      </c>
    </row>
    <row r="1371" spans="1:9" ht="19.5" hidden="1" customHeight="1" x14ac:dyDescent="0.2">
      <c r="A1371" s="105" t="str">
        <f>IF(D1371=1,COUNTIF($D$10:D1371,1)," ")</f>
        <v xml:space="preserve"> </v>
      </c>
      <c r="B1371" s="106">
        <f>COPY!AR1363</f>
        <v>0</v>
      </c>
      <c r="C1371" s="107">
        <f>COPY!AC1363</f>
        <v>0</v>
      </c>
      <c r="D1371" s="107" t="str">
        <f>IF(LEN(Table1722[[#This Row],[Uraian]])&gt;2,1," ")</f>
        <v xml:space="preserve"> </v>
      </c>
      <c r="E1371" s="113" t="str">
        <f>IF(Table1722[[#This Row],[Lawan Transaksi]]="CV AGUNG KARYA",COUNTIF($I$10:I1371,"CV AGUNG KARYA")," ")</f>
        <v xml:space="preserve"> </v>
      </c>
      <c r="F1371" s="107" t="str">
        <f>IF(LEN(Table1722[[#This Row],[Uraian]])&gt;2,TRIM(RIGHT(SUBSTITUTE(TRIM(C1371)," ",REPT(" ",255)),255))," ")</f>
        <v xml:space="preserve"> </v>
      </c>
      <c r="G1371" s="110">
        <f>COPY!Z1363</f>
        <v>0</v>
      </c>
      <c r="H1371" s="111" t="str">
        <f>IFERROR(VLOOKUP(Table1722[[#This Row],[Bukti]],'Un nOTA'!$A$4:$K$5003,10,FALSE),"")</f>
        <v/>
      </c>
      <c r="I1371" s="112" t="str">
        <f>IFERROR(VLOOKUP(Table1722[[#This Row],[Bukti]],Table13[#Data],11,FALSE),"")</f>
        <v/>
      </c>
    </row>
    <row r="1372" spans="1:9" ht="19.5" hidden="1" customHeight="1" x14ac:dyDescent="0.2">
      <c r="A1372" s="105" t="str">
        <f>IF(D1372=1,COUNTIF($D$10:D1372,1)," ")</f>
        <v xml:space="preserve"> </v>
      </c>
      <c r="B1372" s="106">
        <f>COPY!AR1364</f>
        <v>0</v>
      </c>
      <c r="C1372" s="107">
        <f>COPY!AC1364</f>
        <v>0</v>
      </c>
      <c r="D1372" s="107" t="str">
        <f>IF(LEN(Table1722[[#This Row],[Uraian]])&gt;2,1," ")</f>
        <v xml:space="preserve"> </v>
      </c>
      <c r="E1372" s="113" t="str">
        <f>IF(Table1722[[#This Row],[Lawan Transaksi]]="CV AGUNG KARYA",COUNTIF($I$10:I1372,"CV AGUNG KARYA")," ")</f>
        <v xml:space="preserve"> </v>
      </c>
      <c r="F1372" s="107" t="str">
        <f>IF(LEN(Table1722[[#This Row],[Uraian]])&gt;2,TRIM(RIGHT(SUBSTITUTE(TRIM(C1372)," ",REPT(" ",255)),255))," ")</f>
        <v xml:space="preserve"> </v>
      </c>
      <c r="G1372" s="110">
        <f>COPY!Z1364</f>
        <v>0</v>
      </c>
      <c r="H1372" s="111" t="str">
        <f>IFERROR(VLOOKUP(Table1722[[#This Row],[Bukti]],'Un nOTA'!$A$4:$K$5003,10,FALSE),"")</f>
        <v/>
      </c>
      <c r="I1372" s="112" t="str">
        <f>IFERROR(VLOOKUP(Table1722[[#This Row],[Bukti]],Table13[#Data],11,FALSE),"")</f>
        <v/>
      </c>
    </row>
    <row r="1373" spans="1:9" ht="19.5" hidden="1" customHeight="1" x14ac:dyDescent="0.2">
      <c r="A1373" s="105" t="str">
        <f>IF(D1373=1,COUNTIF($D$10:D1373,1)," ")</f>
        <v xml:space="preserve"> </v>
      </c>
      <c r="B1373" s="106">
        <f>COPY!AR1365</f>
        <v>0</v>
      </c>
      <c r="C1373" s="107">
        <f>COPY!AC1365</f>
        <v>0</v>
      </c>
      <c r="D1373" s="107" t="str">
        <f>IF(LEN(Table1722[[#This Row],[Uraian]])&gt;2,1," ")</f>
        <v xml:space="preserve"> </v>
      </c>
      <c r="E1373" s="113" t="str">
        <f>IF(Table1722[[#This Row],[Lawan Transaksi]]="CV AGUNG KARYA",COUNTIF($I$10:I1373,"CV AGUNG KARYA")," ")</f>
        <v xml:space="preserve"> </v>
      </c>
      <c r="F1373" s="107" t="str">
        <f>IF(LEN(Table1722[[#This Row],[Uraian]])&gt;2,TRIM(RIGHT(SUBSTITUTE(TRIM(C1373)," ",REPT(" ",255)),255))," ")</f>
        <v xml:space="preserve"> </v>
      </c>
      <c r="G1373" s="110">
        <f>COPY!Z1365</f>
        <v>0</v>
      </c>
      <c r="H1373" s="111" t="str">
        <f>IFERROR(VLOOKUP(Table1722[[#This Row],[Bukti]],'Un nOTA'!$A$4:$K$5003,10,FALSE),"")</f>
        <v/>
      </c>
      <c r="I1373" s="112" t="str">
        <f>IFERROR(VLOOKUP(Table1722[[#This Row],[Bukti]],Table13[#Data],11,FALSE),"")</f>
        <v/>
      </c>
    </row>
    <row r="1374" spans="1:9" ht="19.5" hidden="1" customHeight="1" x14ac:dyDescent="0.2">
      <c r="A1374" s="105" t="str">
        <f>IF(D1374=1,COUNTIF($D$10:D1374,1)," ")</f>
        <v xml:space="preserve"> </v>
      </c>
      <c r="B1374" s="106">
        <f>COPY!AR1366</f>
        <v>0</v>
      </c>
      <c r="C1374" s="107">
        <f>COPY!AC1366</f>
        <v>0</v>
      </c>
      <c r="D1374" s="107" t="str">
        <f>IF(LEN(Table1722[[#This Row],[Uraian]])&gt;2,1," ")</f>
        <v xml:space="preserve"> </v>
      </c>
      <c r="E1374" s="113" t="str">
        <f>IF(Table1722[[#This Row],[Lawan Transaksi]]="CV AGUNG KARYA",COUNTIF($I$10:I1374,"CV AGUNG KARYA")," ")</f>
        <v xml:space="preserve"> </v>
      </c>
      <c r="F1374" s="107" t="str">
        <f>IF(LEN(Table1722[[#This Row],[Uraian]])&gt;2,TRIM(RIGHT(SUBSTITUTE(TRIM(C1374)," ",REPT(" ",255)),255))," ")</f>
        <v xml:space="preserve"> </v>
      </c>
      <c r="G1374" s="110">
        <f>COPY!Z1366</f>
        <v>0</v>
      </c>
      <c r="H1374" s="111" t="str">
        <f>IFERROR(VLOOKUP(Table1722[[#This Row],[Bukti]],'Un nOTA'!$A$4:$K$5003,10,FALSE),"")</f>
        <v/>
      </c>
      <c r="I1374" s="112" t="str">
        <f>IFERROR(VLOOKUP(Table1722[[#This Row],[Bukti]],Table13[#Data],11,FALSE),"")</f>
        <v/>
      </c>
    </row>
    <row r="1375" spans="1:9" ht="19.5" hidden="1" customHeight="1" x14ac:dyDescent="0.2">
      <c r="A1375" s="105" t="str">
        <f>IF(D1375=1,COUNTIF($D$10:D1375,1)," ")</f>
        <v xml:space="preserve"> </v>
      </c>
      <c r="B1375" s="106">
        <f>COPY!AR1367</f>
        <v>0</v>
      </c>
      <c r="C1375" s="107">
        <f>COPY!AC1367</f>
        <v>0</v>
      </c>
      <c r="D1375" s="107" t="str">
        <f>IF(LEN(Table1722[[#This Row],[Uraian]])&gt;2,1," ")</f>
        <v xml:space="preserve"> </v>
      </c>
      <c r="E1375" s="113" t="str">
        <f>IF(Table1722[[#This Row],[Lawan Transaksi]]="CV AGUNG KARYA",COUNTIF($I$10:I1375,"CV AGUNG KARYA")," ")</f>
        <v xml:space="preserve"> </v>
      </c>
      <c r="F1375" s="107" t="str">
        <f>IF(LEN(Table1722[[#This Row],[Uraian]])&gt;2,TRIM(RIGHT(SUBSTITUTE(TRIM(C1375)," ",REPT(" ",255)),255))," ")</f>
        <v xml:space="preserve"> </v>
      </c>
      <c r="G1375" s="110">
        <f>COPY!Z1367</f>
        <v>0</v>
      </c>
      <c r="H1375" s="111" t="str">
        <f>IFERROR(VLOOKUP(Table1722[[#This Row],[Bukti]],'Un nOTA'!$A$4:$K$5003,10,FALSE),"")</f>
        <v/>
      </c>
      <c r="I1375" s="112" t="str">
        <f>IFERROR(VLOOKUP(Table1722[[#This Row],[Bukti]],Table13[#Data],11,FALSE),"")</f>
        <v/>
      </c>
    </row>
    <row r="1376" spans="1:9" ht="19.5" hidden="1" customHeight="1" x14ac:dyDescent="0.2">
      <c r="A1376" s="105" t="str">
        <f>IF(D1376=1,COUNTIF($D$10:D1376,1)," ")</f>
        <v xml:space="preserve"> </v>
      </c>
      <c r="B1376" s="106">
        <f>COPY!AR1368</f>
        <v>0</v>
      </c>
      <c r="C1376" s="107">
        <f>COPY!AC1368</f>
        <v>0</v>
      </c>
      <c r="D1376" s="107" t="str">
        <f>IF(LEN(Table1722[[#This Row],[Uraian]])&gt;2,1," ")</f>
        <v xml:space="preserve"> </v>
      </c>
      <c r="E1376" s="113" t="str">
        <f>IF(Table1722[[#This Row],[Lawan Transaksi]]="CV AGUNG KARYA",COUNTIF($I$10:I1376,"CV AGUNG KARYA")," ")</f>
        <v xml:space="preserve"> </v>
      </c>
      <c r="F1376" s="107" t="str">
        <f>IF(LEN(Table1722[[#This Row],[Uraian]])&gt;2,TRIM(RIGHT(SUBSTITUTE(TRIM(C1376)," ",REPT(" ",255)),255))," ")</f>
        <v xml:space="preserve"> </v>
      </c>
      <c r="G1376" s="110">
        <f>COPY!Z1368</f>
        <v>0</v>
      </c>
      <c r="H1376" s="111" t="str">
        <f>IFERROR(VLOOKUP(Table1722[[#This Row],[Bukti]],'Un nOTA'!$A$4:$K$5003,10,FALSE),"")</f>
        <v/>
      </c>
      <c r="I1376" s="112" t="str">
        <f>IFERROR(VLOOKUP(Table1722[[#This Row],[Bukti]],Table13[#Data],11,FALSE),"")</f>
        <v/>
      </c>
    </row>
    <row r="1377" spans="1:9" ht="19.5" hidden="1" customHeight="1" x14ac:dyDescent="0.2">
      <c r="A1377" s="105" t="str">
        <f>IF(D1377=1,COUNTIF($D$10:D1377,1)," ")</f>
        <v xml:space="preserve"> </v>
      </c>
      <c r="B1377" s="106">
        <f>COPY!AR1369</f>
        <v>0</v>
      </c>
      <c r="C1377" s="107">
        <f>COPY!AC1369</f>
        <v>0</v>
      </c>
      <c r="D1377" s="107" t="str">
        <f>IF(LEN(Table1722[[#This Row],[Uraian]])&gt;2,1," ")</f>
        <v xml:space="preserve"> </v>
      </c>
      <c r="E1377" s="113" t="str">
        <f>IF(Table1722[[#This Row],[Lawan Transaksi]]="CV AGUNG KARYA",COUNTIF($I$10:I1377,"CV AGUNG KARYA")," ")</f>
        <v xml:space="preserve"> </v>
      </c>
      <c r="F1377" s="107" t="str">
        <f>IF(LEN(Table1722[[#This Row],[Uraian]])&gt;2,TRIM(RIGHT(SUBSTITUTE(TRIM(C1377)," ",REPT(" ",255)),255))," ")</f>
        <v xml:space="preserve"> </v>
      </c>
      <c r="G1377" s="110">
        <f>COPY!Z1369</f>
        <v>0</v>
      </c>
      <c r="H1377" s="111" t="str">
        <f>IFERROR(VLOOKUP(Table1722[[#This Row],[Bukti]],'Un nOTA'!$A$4:$K$5003,10,FALSE),"")</f>
        <v/>
      </c>
      <c r="I1377" s="112" t="str">
        <f>IFERROR(VLOOKUP(Table1722[[#This Row],[Bukti]],Table13[#Data],11,FALSE),"")</f>
        <v/>
      </c>
    </row>
    <row r="1378" spans="1:9" ht="19.5" hidden="1" customHeight="1" x14ac:dyDescent="0.2">
      <c r="A1378" s="105" t="str">
        <f>IF(D1378=1,COUNTIF($D$10:D1378,1)," ")</f>
        <v xml:space="preserve"> </v>
      </c>
      <c r="B1378" s="106">
        <f>COPY!AR1370</f>
        <v>0</v>
      </c>
      <c r="C1378" s="107">
        <f>COPY!AC1370</f>
        <v>0</v>
      </c>
      <c r="D1378" s="107" t="str">
        <f>IF(LEN(Table1722[[#This Row],[Uraian]])&gt;2,1," ")</f>
        <v xml:space="preserve"> </v>
      </c>
      <c r="E1378" s="113" t="str">
        <f>IF(Table1722[[#This Row],[Lawan Transaksi]]="CV AGUNG KARYA",COUNTIF($I$10:I1378,"CV AGUNG KARYA")," ")</f>
        <v xml:space="preserve"> </v>
      </c>
      <c r="F1378" s="107" t="str">
        <f>IF(LEN(Table1722[[#This Row],[Uraian]])&gt;2,TRIM(RIGHT(SUBSTITUTE(TRIM(C1378)," ",REPT(" ",255)),255))," ")</f>
        <v xml:space="preserve"> </v>
      </c>
      <c r="G1378" s="110">
        <f>COPY!Z1370</f>
        <v>0</v>
      </c>
      <c r="H1378" s="111" t="str">
        <f>IFERROR(VLOOKUP(Table1722[[#This Row],[Bukti]],'Un nOTA'!$A$4:$K$5003,10,FALSE),"")</f>
        <v/>
      </c>
      <c r="I1378" s="112" t="str">
        <f>IFERROR(VLOOKUP(Table1722[[#This Row],[Bukti]],Table13[#Data],11,FALSE),"")</f>
        <v/>
      </c>
    </row>
    <row r="1379" spans="1:9" ht="19.5" hidden="1" customHeight="1" x14ac:dyDescent="0.2">
      <c r="A1379" s="105" t="str">
        <f>IF(D1379=1,COUNTIF($D$10:D1379,1)," ")</f>
        <v xml:space="preserve"> </v>
      </c>
      <c r="B1379" s="106">
        <f>COPY!AR1371</f>
        <v>0</v>
      </c>
      <c r="C1379" s="107">
        <f>COPY!AC1371</f>
        <v>0</v>
      </c>
      <c r="D1379" s="107" t="str">
        <f>IF(LEN(Table1722[[#This Row],[Uraian]])&gt;2,1," ")</f>
        <v xml:space="preserve"> </v>
      </c>
      <c r="E1379" s="113" t="str">
        <f>IF(Table1722[[#This Row],[Lawan Transaksi]]="CV AGUNG KARYA",COUNTIF($I$10:I1379,"CV AGUNG KARYA")," ")</f>
        <v xml:space="preserve"> </v>
      </c>
      <c r="F1379" s="107" t="str">
        <f>IF(LEN(Table1722[[#This Row],[Uraian]])&gt;2,TRIM(RIGHT(SUBSTITUTE(TRIM(C1379)," ",REPT(" ",255)),255))," ")</f>
        <v xml:space="preserve"> </v>
      </c>
      <c r="G1379" s="110">
        <f>COPY!Z1371</f>
        <v>0</v>
      </c>
      <c r="H1379" s="111" t="str">
        <f>IFERROR(VLOOKUP(Table1722[[#This Row],[Bukti]],'Un nOTA'!$A$4:$K$5003,10,FALSE),"")</f>
        <v/>
      </c>
      <c r="I1379" s="112" t="str">
        <f>IFERROR(VLOOKUP(Table1722[[#This Row],[Bukti]],Table13[#Data],11,FALSE),"")</f>
        <v/>
      </c>
    </row>
    <row r="1380" spans="1:9" ht="19.5" hidden="1" customHeight="1" x14ac:dyDescent="0.2">
      <c r="A1380" s="105" t="str">
        <f>IF(D1380=1,COUNTIF($D$10:D1380,1)," ")</f>
        <v xml:space="preserve"> </v>
      </c>
      <c r="B1380" s="106">
        <f>COPY!AR1372</f>
        <v>0</v>
      </c>
      <c r="C1380" s="107">
        <f>COPY!AC1372</f>
        <v>0</v>
      </c>
      <c r="D1380" s="107" t="str">
        <f>IF(LEN(Table1722[[#This Row],[Uraian]])&gt;2,1," ")</f>
        <v xml:space="preserve"> </v>
      </c>
      <c r="E1380" s="113" t="str">
        <f>IF(Table1722[[#This Row],[Lawan Transaksi]]="CV AGUNG KARYA",COUNTIF($I$10:I1380,"CV AGUNG KARYA")," ")</f>
        <v xml:space="preserve"> </v>
      </c>
      <c r="F1380" s="107" t="str">
        <f>IF(LEN(Table1722[[#This Row],[Uraian]])&gt;2,TRIM(RIGHT(SUBSTITUTE(TRIM(C1380)," ",REPT(" ",255)),255))," ")</f>
        <v xml:space="preserve"> </v>
      </c>
      <c r="G1380" s="110">
        <f>COPY!Z1372</f>
        <v>0</v>
      </c>
      <c r="H1380" s="111" t="str">
        <f>IFERROR(VLOOKUP(Table1722[[#This Row],[Bukti]],'Un nOTA'!$A$4:$K$5003,10,FALSE),"")</f>
        <v/>
      </c>
      <c r="I1380" s="112" t="str">
        <f>IFERROR(VLOOKUP(Table1722[[#This Row],[Bukti]],Table13[#Data],11,FALSE),"")</f>
        <v/>
      </c>
    </row>
    <row r="1381" spans="1:9" ht="19.5" hidden="1" customHeight="1" x14ac:dyDescent="0.2">
      <c r="A1381" s="105" t="str">
        <f>IF(D1381=1,COUNTIF($D$10:D1381,1)," ")</f>
        <v xml:space="preserve"> </v>
      </c>
      <c r="B1381" s="106">
        <f>COPY!AR1373</f>
        <v>0</v>
      </c>
      <c r="C1381" s="107">
        <f>COPY!AC1373</f>
        <v>0</v>
      </c>
      <c r="D1381" s="107" t="str">
        <f>IF(LEN(Table1722[[#This Row],[Uraian]])&gt;2,1," ")</f>
        <v xml:space="preserve"> </v>
      </c>
      <c r="E1381" s="113" t="str">
        <f>IF(Table1722[[#This Row],[Lawan Transaksi]]="CV AGUNG KARYA",COUNTIF($I$10:I1381,"CV AGUNG KARYA")," ")</f>
        <v xml:space="preserve"> </v>
      </c>
      <c r="F1381" s="107" t="str">
        <f>IF(LEN(Table1722[[#This Row],[Uraian]])&gt;2,TRIM(RIGHT(SUBSTITUTE(TRIM(C1381)," ",REPT(" ",255)),255))," ")</f>
        <v xml:space="preserve"> </v>
      </c>
      <c r="G1381" s="110">
        <f>COPY!Z1373</f>
        <v>0</v>
      </c>
      <c r="H1381" s="111" t="str">
        <f>IFERROR(VLOOKUP(Table1722[[#This Row],[Bukti]],'Un nOTA'!$A$4:$K$5003,10,FALSE),"")</f>
        <v/>
      </c>
      <c r="I1381" s="112" t="str">
        <f>IFERROR(VLOOKUP(Table1722[[#This Row],[Bukti]],Table13[#Data],11,FALSE),"")</f>
        <v/>
      </c>
    </row>
    <row r="1382" spans="1:9" ht="19.5" hidden="1" customHeight="1" x14ac:dyDescent="0.2">
      <c r="A1382" s="105" t="str">
        <f>IF(D1382=1,COUNTIF($D$10:D1382,1)," ")</f>
        <v xml:space="preserve"> </v>
      </c>
      <c r="B1382" s="106">
        <f>COPY!AR1374</f>
        <v>0</v>
      </c>
      <c r="C1382" s="107">
        <f>COPY!AC1374</f>
        <v>0</v>
      </c>
      <c r="D1382" s="107" t="str">
        <f>IF(LEN(Table1722[[#This Row],[Uraian]])&gt;2,1," ")</f>
        <v xml:space="preserve"> </v>
      </c>
      <c r="E1382" s="113" t="str">
        <f>IF(Table1722[[#This Row],[Lawan Transaksi]]="CV AGUNG KARYA",COUNTIF($I$10:I1382,"CV AGUNG KARYA")," ")</f>
        <v xml:space="preserve"> </v>
      </c>
      <c r="F1382" s="107" t="str">
        <f>IF(LEN(Table1722[[#This Row],[Uraian]])&gt;2,TRIM(RIGHT(SUBSTITUTE(TRIM(C1382)," ",REPT(" ",255)),255))," ")</f>
        <v xml:space="preserve"> </v>
      </c>
      <c r="G1382" s="110">
        <f>COPY!Z1374</f>
        <v>0</v>
      </c>
      <c r="H1382" s="111" t="str">
        <f>IFERROR(VLOOKUP(Table1722[[#This Row],[Bukti]],'Un nOTA'!$A$4:$K$5003,10,FALSE),"")</f>
        <v/>
      </c>
      <c r="I1382" s="112" t="str">
        <f>IFERROR(VLOOKUP(Table1722[[#This Row],[Bukti]],Table13[#Data],11,FALSE),"")</f>
        <v/>
      </c>
    </row>
    <row r="1383" spans="1:9" ht="19.5" hidden="1" customHeight="1" x14ac:dyDescent="0.2">
      <c r="A1383" s="105" t="str">
        <f>IF(D1383=1,COUNTIF($D$10:D1383,1)," ")</f>
        <v xml:space="preserve"> </v>
      </c>
      <c r="B1383" s="106">
        <f>COPY!AR1375</f>
        <v>0</v>
      </c>
      <c r="C1383" s="107">
        <f>COPY!AC1375</f>
        <v>0</v>
      </c>
      <c r="D1383" s="107" t="str">
        <f>IF(LEN(Table1722[[#This Row],[Uraian]])&gt;2,1," ")</f>
        <v xml:space="preserve"> </v>
      </c>
      <c r="E1383" s="113" t="str">
        <f>IF(Table1722[[#This Row],[Lawan Transaksi]]="CV AGUNG KARYA",COUNTIF($I$10:I1383,"CV AGUNG KARYA")," ")</f>
        <v xml:space="preserve"> </v>
      </c>
      <c r="F1383" s="107" t="str">
        <f>IF(LEN(Table1722[[#This Row],[Uraian]])&gt;2,TRIM(RIGHT(SUBSTITUTE(TRIM(C1383)," ",REPT(" ",255)),255))," ")</f>
        <v xml:space="preserve"> </v>
      </c>
      <c r="G1383" s="110">
        <f>COPY!Z1375</f>
        <v>0</v>
      </c>
      <c r="H1383" s="111" t="str">
        <f>IFERROR(VLOOKUP(Table1722[[#This Row],[Bukti]],'Un nOTA'!$A$4:$K$5003,10,FALSE),"")</f>
        <v/>
      </c>
      <c r="I1383" s="112" t="str">
        <f>IFERROR(VLOOKUP(Table1722[[#This Row],[Bukti]],Table13[#Data],11,FALSE),"")</f>
        <v/>
      </c>
    </row>
    <row r="1384" spans="1:9" ht="19.5" hidden="1" customHeight="1" x14ac:dyDescent="0.2">
      <c r="A1384" s="105" t="str">
        <f>IF(D1384=1,COUNTIF($D$10:D1384,1)," ")</f>
        <v xml:space="preserve"> </v>
      </c>
      <c r="B1384" s="106">
        <f>COPY!AR1376</f>
        <v>0</v>
      </c>
      <c r="C1384" s="107">
        <f>COPY!AC1376</f>
        <v>0</v>
      </c>
      <c r="D1384" s="107" t="str">
        <f>IF(LEN(Table1722[[#This Row],[Uraian]])&gt;2,1," ")</f>
        <v xml:space="preserve"> </v>
      </c>
      <c r="E1384" s="113" t="str">
        <f>IF(Table1722[[#This Row],[Lawan Transaksi]]="CV AGUNG KARYA",COUNTIF($I$10:I1384,"CV AGUNG KARYA")," ")</f>
        <v xml:space="preserve"> </v>
      </c>
      <c r="F1384" s="107" t="str">
        <f>IF(LEN(Table1722[[#This Row],[Uraian]])&gt;2,TRIM(RIGHT(SUBSTITUTE(TRIM(C1384)," ",REPT(" ",255)),255))," ")</f>
        <v xml:space="preserve"> </v>
      </c>
      <c r="G1384" s="110">
        <f>COPY!Z1376</f>
        <v>0</v>
      </c>
      <c r="H1384" s="111" t="str">
        <f>IFERROR(VLOOKUP(Table1722[[#This Row],[Bukti]],'Un nOTA'!$A$4:$K$5003,10,FALSE),"")</f>
        <v/>
      </c>
      <c r="I1384" s="112" t="str">
        <f>IFERROR(VLOOKUP(Table1722[[#This Row],[Bukti]],Table13[#Data],11,FALSE),"")</f>
        <v/>
      </c>
    </row>
    <row r="1385" spans="1:9" ht="19.5" hidden="1" customHeight="1" x14ac:dyDescent="0.2">
      <c r="A1385" s="105" t="str">
        <f>IF(D1385=1,COUNTIF($D$10:D1385,1)," ")</f>
        <v xml:space="preserve"> </v>
      </c>
      <c r="B1385" s="106">
        <f>COPY!AR1377</f>
        <v>0</v>
      </c>
      <c r="C1385" s="107">
        <f>COPY!AC1377</f>
        <v>0</v>
      </c>
      <c r="D1385" s="107" t="str">
        <f>IF(LEN(Table1722[[#This Row],[Uraian]])&gt;2,1," ")</f>
        <v xml:space="preserve"> </v>
      </c>
      <c r="E1385" s="113" t="str">
        <f>IF(Table1722[[#This Row],[Lawan Transaksi]]="CV AGUNG KARYA",COUNTIF($I$10:I1385,"CV AGUNG KARYA")," ")</f>
        <v xml:space="preserve"> </v>
      </c>
      <c r="F1385" s="107" t="str">
        <f>IF(LEN(Table1722[[#This Row],[Uraian]])&gt;2,TRIM(RIGHT(SUBSTITUTE(TRIM(C1385)," ",REPT(" ",255)),255))," ")</f>
        <v xml:space="preserve"> </v>
      </c>
      <c r="G1385" s="110">
        <f>COPY!Z1377</f>
        <v>0</v>
      </c>
      <c r="H1385" s="111" t="str">
        <f>IFERROR(VLOOKUP(Table1722[[#This Row],[Bukti]],'Un nOTA'!$A$4:$K$5003,10,FALSE),"")</f>
        <v/>
      </c>
      <c r="I1385" s="112" t="str">
        <f>IFERROR(VLOOKUP(Table1722[[#This Row],[Bukti]],Table13[#Data],11,FALSE),"")</f>
        <v/>
      </c>
    </row>
    <row r="1386" spans="1:9" ht="19.5" hidden="1" customHeight="1" x14ac:dyDescent="0.2">
      <c r="A1386" s="105" t="str">
        <f>IF(D1386=1,COUNTIF($D$10:D1386,1)," ")</f>
        <v xml:space="preserve"> </v>
      </c>
      <c r="B1386" s="106">
        <f>COPY!AR1378</f>
        <v>0</v>
      </c>
      <c r="C1386" s="107">
        <f>COPY!AC1378</f>
        <v>0</v>
      </c>
      <c r="D1386" s="107" t="str">
        <f>IF(LEN(Table1722[[#This Row],[Uraian]])&gt;2,1," ")</f>
        <v xml:space="preserve"> </v>
      </c>
      <c r="E1386" s="113" t="str">
        <f>IF(Table1722[[#This Row],[Lawan Transaksi]]="CV AGUNG KARYA",COUNTIF($I$10:I1386,"CV AGUNG KARYA")," ")</f>
        <v xml:space="preserve"> </v>
      </c>
      <c r="F1386" s="107" t="str">
        <f>IF(LEN(Table1722[[#This Row],[Uraian]])&gt;2,TRIM(RIGHT(SUBSTITUTE(TRIM(C1386)," ",REPT(" ",255)),255))," ")</f>
        <v xml:space="preserve"> </v>
      </c>
      <c r="G1386" s="110">
        <f>COPY!Z1378</f>
        <v>0</v>
      </c>
      <c r="H1386" s="111" t="str">
        <f>IFERROR(VLOOKUP(Table1722[[#This Row],[Bukti]],'Un nOTA'!$A$4:$K$5003,10,FALSE),"")</f>
        <v/>
      </c>
      <c r="I1386" s="112" t="str">
        <f>IFERROR(VLOOKUP(Table1722[[#This Row],[Bukti]],Table13[#Data],11,FALSE),"")</f>
        <v/>
      </c>
    </row>
    <row r="1387" spans="1:9" ht="19.5" hidden="1" customHeight="1" x14ac:dyDescent="0.2">
      <c r="A1387" s="105" t="str">
        <f>IF(D1387=1,COUNTIF($D$10:D1387,1)," ")</f>
        <v xml:space="preserve"> </v>
      </c>
      <c r="B1387" s="106">
        <f>COPY!AR1379</f>
        <v>0</v>
      </c>
      <c r="C1387" s="107">
        <f>COPY!AC1379</f>
        <v>0</v>
      </c>
      <c r="D1387" s="107" t="str">
        <f>IF(LEN(Table1722[[#This Row],[Uraian]])&gt;2,1," ")</f>
        <v xml:space="preserve"> </v>
      </c>
      <c r="E1387" s="113" t="str">
        <f>IF(Table1722[[#This Row],[Lawan Transaksi]]="CV AGUNG KARYA",COUNTIF($I$10:I1387,"CV AGUNG KARYA")," ")</f>
        <v xml:space="preserve"> </v>
      </c>
      <c r="F1387" s="107" t="str">
        <f>IF(LEN(Table1722[[#This Row],[Uraian]])&gt;2,TRIM(RIGHT(SUBSTITUTE(TRIM(C1387)," ",REPT(" ",255)),255))," ")</f>
        <v xml:space="preserve"> </v>
      </c>
      <c r="G1387" s="110">
        <f>COPY!Z1379</f>
        <v>0</v>
      </c>
      <c r="H1387" s="111" t="str">
        <f>IFERROR(VLOOKUP(Table1722[[#This Row],[Bukti]],'Un nOTA'!$A$4:$K$5003,10,FALSE),"")</f>
        <v/>
      </c>
      <c r="I1387" s="112" t="str">
        <f>IFERROR(VLOOKUP(Table1722[[#This Row],[Bukti]],Table13[#Data],11,FALSE),"")</f>
        <v/>
      </c>
    </row>
    <row r="1388" spans="1:9" ht="19.5" hidden="1" customHeight="1" x14ac:dyDescent="0.2">
      <c r="A1388" s="105" t="str">
        <f>IF(D1388=1,COUNTIF($D$10:D1388,1)," ")</f>
        <v xml:space="preserve"> </v>
      </c>
      <c r="B1388" s="106">
        <f>COPY!AR1380</f>
        <v>0</v>
      </c>
      <c r="C1388" s="107">
        <f>COPY!AC1380</f>
        <v>0</v>
      </c>
      <c r="D1388" s="107" t="str">
        <f>IF(LEN(Table1722[[#This Row],[Uraian]])&gt;2,1," ")</f>
        <v xml:space="preserve"> </v>
      </c>
      <c r="E1388" s="113" t="str">
        <f>IF(Table1722[[#This Row],[Lawan Transaksi]]="CV AGUNG KARYA",COUNTIF($I$10:I1388,"CV AGUNG KARYA")," ")</f>
        <v xml:space="preserve"> </v>
      </c>
      <c r="F1388" s="107" t="str">
        <f>IF(LEN(Table1722[[#This Row],[Uraian]])&gt;2,TRIM(RIGHT(SUBSTITUTE(TRIM(C1388)," ",REPT(" ",255)),255))," ")</f>
        <v xml:space="preserve"> </v>
      </c>
      <c r="G1388" s="110">
        <f>COPY!Z1380</f>
        <v>0</v>
      </c>
      <c r="H1388" s="111" t="str">
        <f>IFERROR(VLOOKUP(Table1722[[#This Row],[Bukti]],'Un nOTA'!$A$4:$K$5003,10,FALSE),"")</f>
        <v/>
      </c>
      <c r="I1388" s="112" t="str">
        <f>IFERROR(VLOOKUP(Table1722[[#This Row],[Bukti]],Table13[#Data],11,FALSE),"")</f>
        <v/>
      </c>
    </row>
    <row r="1389" spans="1:9" ht="19.5" hidden="1" customHeight="1" x14ac:dyDescent="0.2">
      <c r="A1389" s="105" t="str">
        <f>IF(D1389=1,COUNTIF($D$10:D1389,1)," ")</f>
        <v xml:space="preserve"> </v>
      </c>
      <c r="B1389" s="106">
        <f>COPY!AR1381</f>
        <v>0</v>
      </c>
      <c r="C1389" s="107">
        <f>COPY!AC1381</f>
        <v>0</v>
      </c>
      <c r="D1389" s="107" t="str">
        <f>IF(LEN(Table1722[[#This Row],[Uraian]])&gt;2,1," ")</f>
        <v xml:space="preserve"> </v>
      </c>
      <c r="E1389" s="113" t="str">
        <f>IF(Table1722[[#This Row],[Lawan Transaksi]]="CV AGUNG KARYA",COUNTIF($I$10:I1389,"CV AGUNG KARYA")," ")</f>
        <v xml:space="preserve"> </v>
      </c>
      <c r="F1389" s="107" t="str">
        <f>IF(LEN(Table1722[[#This Row],[Uraian]])&gt;2,TRIM(RIGHT(SUBSTITUTE(TRIM(C1389)," ",REPT(" ",255)),255))," ")</f>
        <v xml:space="preserve"> </v>
      </c>
      <c r="G1389" s="110">
        <f>COPY!Z1381</f>
        <v>0</v>
      </c>
      <c r="H1389" s="111" t="str">
        <f>IFERROR(VLOOKUP(Table1722[[#This Row],[Bukti]],'Un nOTA'!$A$4:$K$5003,10,FALSE),"")</f>
        <v/>
      </c>
      <c r="I1389" s="112" t="str">
        <f>IFERROR(VLOOKUP(Table1722[[#This Row],[Bukti]],Table13[#Data],11,FALSE),"")</f>
        <v/>
      </c>
    </row>
    <row r="1390" spans="1:9" ht="19.5" hidden="1" customHeight="1" x14ac:dyDescent="0.2">
      <c r="A1390" s="105" t="str">
        <f>IF(D1390=1,COUNTIF($D$10:D1390,1)," ")</f>
        <v xml:space="preserve"> </v>
      </c>
      <c r="B1390" s="106">
        <f>COPY!AR1382</f>
        <v>0</v>
      </c>
      <c r="C1390" s="107">
        <f>COPY!AC1382</f>
        <v>0</v>
      </c>
      <c r="D1390" s="107" t="str">
        <f>IF(LEN(Table1722[[#This Row],[Uraian]])&gt;2,1," ")</f>
        <v xml:space="preserve"> </v>
      </c>
      <c r="E1390" s="113" t="str">
        <f>IF(Table1722[[#This Row],[Lawan Transaksi]]="CV AGUNG KARYA",COUNTIF($I$10:I1390,"CV AGUNG KARYA")," ")</f>
        <v xml:space="preserve"> </v>
      </c>
      <c r="F1390" s="107" t="str">
        <f>IF(LEN(Table1722[[#This Row],[Uraian]])&gt;2,TRIM(RIGHT(SUBSTITUTE(TRIM(C1390)," ",REPT(" ",255)),255))," ")</f>
        <v xml:space="preserve"> </v>
      </c>
      <c r="G1390" s="110">
        <f>COPY!Z1382</f>
        <v>0</v>
      </c>
      <c r="H1390" s="111" t="str">
        <f>IFERROR(VLOOKUP(Table1722[[#This Row],[Bukti]],'Un nOTA'!$A$4:$K$5003,10,FALSE),"")</f>
        <v/>
      </c>
      <c r="I1390" s="112" t="str">
        <f>IFERROR(VLOOKUP(Table1722[[#This Row],[Bukti]],Table13[#Data],11,FALSE),"")</f>
        <v/>
      </c>
    </row>
    <row r="1391" spans="1:9" ht="19.5" hidden="1" customHeight="1" x14ac:dyDescent="0.2">
      <c r="A1391" s="105" t="str">
        <f>IF(D1391=1,COUNTIF($D$10:D1391,1)," ")</f>
        <v xml:space="preserve"> </v>
      </c>
      <c r="B1391" s="106">
        <f>COPY!AR1383</f>
        <v>0</v>
      </c>
      <c r="C1391" s="107">
        <f>COPY!AC1383</f>
        <v>0</v>
      </c>
      <c r="D1391" s="107" t="str">
        <f>IF(LEN(Table1722[[#This Row],[Uraian]])&gt;2,1," ")</f>
        <v xml:space="preserve"> </v>
      </c>
      <c r="E1391" s="113" t="str">
        <f>IF(Table1722[[#This Row],[Lawan Transaksi]]="CV AGUNG KARYA",COUNTIF($I$10:I1391,"CV AGUNG KARYA")," ")</f>
        <v xml:space="preserve"> </v>
      </c>
      <c r="F1391" s="107" t="str">
        <f>IF(LEN(Table1722[[#This Row],[Uraian]])&gt;2,TRIM(RIGHT(SUBSTITUTE(TRIM(C1391)," ",REPT(" ",255)),255))," ")</f>
        <v xml:space="preserve"> </v>
      </c>
      <c r="G1391" s="110">
        <f>COPY!Z1383</f>
        <v>0</v>
      </c>
      <c r="H1391" s="111" t="str">
        <f>IFERROR(VLOOKUP(Table1722[[#This Row],[Bukti]],'Un nOTA'!$A$4:$K$5003,10,FALSE),"")</f>
        <v/>
      </c>
      <c r="I1391" s="112" t="str">
        <f>IFERROR(VLOOKUP(Table1722[[#This Row],[Bukti]],Table13[#Data],11,FALSE),"")</f>
        <v/>
      </c>
    </row>
    <row r="1392" spans="1:9" ht="19.5" hidden="1" customHeight="1" x14ac:dyDescent="0.2">
      <c r="A1392" s="105" t="str">
        <f>IF(D1392=1,COUNTIF($D$10:D1392,1)," ")</f>
        <v xml:space="preserve"> </v>
      </c>
      <c r="B1392" s="106">
        <f>COPY!AR1384</f>
        <v>0</v>
      </c>
      <c r="C1392" s="107">
        <f>COPY!AC1384</f>
        <v>0</v>
      </c>
      <c r="D1392" s="107" t="str">
        <f>IF(LEN(Table1722[[#This Row],[Uraian]])&gt;2,1," ")</f>
        <v xml:space="preserve"> </v>
      </c>
      <c r="E1392" s="113" t="str">
        <f>IF(Table1722[[#This Row],[Lawan Transaksi]]="CV AGUNG KARYA",COUNTIF($I$10:I1392,"CV AGUNG KARYA")," ")</f>
        <v xml:space="preserve"> </v>
      </c>
      <c r="F1392" s="107" t="str">
        <f>IF(LEN(Table1722[[#This Row],[Uraian]])&gt;2,TRIM(RIGHT(SUBSTITUTE(TRIM(C1392)," ",REPT(" ",255)),255))," ")</f>
        <v xml:space="preserve"> </v>
      </c>
      <c r="G1392" s="110">
        <f>COPY!Z1384</f>
        <v>0</v>
      </c>
      <c r="H1392" s="111" t="str">
        <f>IFERROR(VLOOKUP(Table1722[[#This Row],[Bukti]],'Un nOTA'!$A$4:$K$5003,10,FALSE),"")</f>
        <v/>
      </c>
      <c r="I1392" s="112" t="str">
        <f>IFERROR(VLOOKUP(Table1722[[#This Row],[Bukti]],Table13[#Data],11,FALSE),"")</f>
        <v/>
      </c>
    </row>
    <row r="1393" spans="1:9" ht="19.5" hidden="1" customHeight="1" x14ac:dyDescent="0.2">
      <c r="A1393" s="105" t="str">
        <f>IF(D1393=1,COUNTIF($D$10:D1393,1)," ")</f>
        <v xml:space="preserve"> </v>
      </c>
      <c r="B1393" s="106">
        <f>COPY!AR1385</f>
        <v>0</v>
      </c>
      <c r="C1393" s="107">
        <f>COPY!AC1385</f>
        <v>0</v>
      </c>
      <c r="D1393" s="107" t="str">
        <f>IF(LEN(Table1722[[#This Row],[Uraian]])&gt;2,1," ")</f>
        <v xml:space="preserve"> </v>
      </c>
      <c r="E1393" s="113" t="str">
        <f>IF(Table1722[[#This Row],[Lawan Transaksi]]="CV AGUNG KARYA",COUNTIF($I$10:I1393,"CV AGUNG KARYA")," ")</f>
        <v xml:space="preserve"> </v>
      </c>
      <c r="F1393" s="107" t="str">
        <f>IF(LEN(Table1722[[#This Row],[Uraian]])&gt;2,TRIM(RIGHT(SUBSTITUTE(TRIM(C1393)," ",REPT(" ",255)),255))," ")</f>
        <v xml:space="preserve"> </v>
      </c>
      <c r="G1393" s="110">
        <f>COPY!Z1385</f>
        <v>0</v>
      </c>
      <c r="H1393" s="111" t="str">
        <f>IFERROR(VLOOKUP(Table1722[[#This Row],[Bukti]],'Un nOTA'!$A$4:$K$5003,10,FALSE),"")</f>
        <v/>
      </c>
      <c r="I1393" s="112" t="str">
        <f>IFERROR(VLOOKUP(Table1722[[#This Row],[Bukti]],Table13[#Data],11,FALSE),"")</f>
        <v/>
      </c>
    </row>
    <row r="1394" spans="1:9" ht="19.5" hidden="1" customHeight="1" x14ac:dyDescent="0.2">
      <c r="A1394" s="105" t="str">
        <f>IF(D1394=1,COUNTIF($D$10:D1394,1)," ")</f>
        <v xml:space="preserve"> </v>
      </c>
      <c r="B1394" s="106">
        <f>COPY!AR1386</f>
        <v>0</v>
      </c>
      <c r="C1394" s="107">
        <f>COPY!AC1386</f>
        <v>0</v>
      </c>
      <c r="D1394" s="107" t="str">
        <f>IF(LEN(Table1722[[#This Row],[Uraian]])&gt;2,1," ")</f>
        <v xml:space="preserve"> </v>
      </c>
      <c r="E1394" s="113" t="str">
        <f>IF(Table1722[[#This Row],[Lawan Transaksi]]="CV AGUNG KARYA",COUNTIF($I$10:I1394,"CV AGUNG KARYA")," ")</f>
        <v xml:space="preserve"> </v>
      </c>
      <c r="F1394" s="107" t="str">
        <f>IF(LEN(Table1722[[#This Row],[Uraian]])&gt;2,TRIM(RIGHT(SUBSTITUTE(TRIM(C1394)," ",REPT(" ",255)),255))," ")</f>
        <v xml:space="preserve"> </v>
      </c>
      <c r="G1394" s="110">
        <f>COPY!Z1386</f>
        <v>0</v>
      </c>
      <c r="H1394" s="111" t="str">
        <f>IFERROR(VLOOKUP(Table1722[[#This Row],[Bukti]],'Un nOTA'!$A$4:$K$5003,10,FALSE),"")</f>
        <v/>
      </c>
      <c r="I1394" s="112" t="str">
        <f>IFERROR(VLOOKUP(Table1722[[#This Row],[Bukti]],Table13[#Data],11,FALSE),"")</f>
        <v/>
      </c>
    </row>
    <row r="1395" spans="1:9" ht="19.5" hidden="1" customHeight="1" x14ac:dyDescent="0.2">
      <c r="A1395" s="105" t="str">
        <f>IF(D1395=1,COUNTIF($D$10:D1395,1)," ")</f>
        <v xml:space="preserve"> </v>
      </c>
      <c r="B1395" s="106">
        <f>COPY!AR1387</f>
        <v>0</v>
      </c>
      <c r="C1395" s="107">
        <f>COPY!AC1387</f>
        <v>0</v>
      </c>
      <c r="D1395" s="107" t="str">
        <f>IF(LEN(Table1722[[#This Row],[Uraian]])&gt;2,1," ")</f>
        <v xml:space="preserve"> </v>
      </c>
      <c r="E1395" s="113" t="str">
        <f>IF(Table1722[[#This Row],[Lawan Transaksi]]="CV AGUNG KARYA",COUNTIF($I$10:I1395,"CV AGUNG KARYA")," ")</f>
        <v xml:space="preserve"> </v>
      </c>
      <c r="F1395" s="107" t="str">
        <f>IF(LEN(Table1722[[#This Row],[Uraian]])&gt;2,TRIM(RIGHT(SUBSTITUTE(TRIM(C1395)," ",REPT(" ",255)),255))," ")</f>
        <v xml:space="preserve"> </v>
      </c>
      <c r="G1395" s="110">
        <f>COPY!Z1387</f>
        <v>0</v>
      </c>
      <c r="H1395" s="111" t="str">
        <f>IFERROR(VLOOKUP(Table1722[[#This Row],[Bukti]],'Un nOTA'!$A$4:$K$5003,10,FALSE),"")</f>
        <v/>
      </c>
      <c r="I1395" s="112" t="str">
        <f>IFERROR(VLOOKUP(Table1722[[#This Row],[Bukti]],Table13[#Data],11,FALSE),"")</f>
        <v/>
      </c>
    </row>
    <row r="1396" spans="1:9" ht="19.5" hidden="1" customHeight="1" x14ac:dyDescent="0.2">
      <c r="A1396" s="105" t="str">
        <f>IF(D1396=1,COUNTIF($D$10:D1396,1)," ")</f>
        <v xml:space="preserve"> </v>
      </c>
      <c r="B1396" s="106">
        <f>COPY!AR1388</f>
        <v>0</v>
      </c>
      <c r="C1396" s="107">
        <f>COPY!AC1388</f>
        <v>0</v>
      </c>
      <c r="D1396" s="107" t="str">
        <f>IF(LEN(Table1722[[#This Row],[Uraian]])&gt;2,1," ")</f>
        <v xml:space="preserve"> </v>
      </c>
      <c r="E1396" s="113" t="str">
        <f>IF(Table1722[[#This Row],[Lawan Transaksi]]="CV AGUNG KARYA",COUNTIF($I$10:I1396,"CV AGUNG KARYA")," ")</f>
        <v xml:space="preserve"> </v>
      </c>
      <c r="F1396" s="107" t="str">
        <f>IF(LEN(Table1722[[#This Row],[Uraian]])&gt;2,TRIM(RIGHT(SUBSTITUTE(TRIM(C1396)," ",REPT(" ",255)),255))," ")</f>
        <v xml:space="preserve"> </v>
      </c>
      <c r="G1396" s="110">
        <f>COPY!Z1388</f>
        <v>0</v>
      </c>
      <c r="H1396" s="111" t="str">
        <f>IFERROR(VLOOKUP(Table1722[[#This Row],[Bukti]],'Un nOTA'!$A$4:$K$5003,10,FALSE),"")</f>
        <v/>
      </c>
      <c r="I1396" s="112" t="str">
        <f>IFERROR(VLOOKUP(Table1722[[#This Row],[Bukti]],Table13[#Data],11,FALSE),"")</f>
        <v/>
      </c>
    </row>
    <row r="1397" spans="1:9" ht="19.5" hidden="1" customHeight="1" x14ac:dyDescent="0.2">
      <c r="A1397" s="105" t="str">
        <f>IF(D1397=1,COUNTIF($D$10:D1397,1)," ")</f>
        <v xml:space="preserve"> </v>
      </c>
      <c r="B1397" s="106">
        <f>COPY!AR1389</f>
        <v>0</v>
      </c>
      <c r="C1397" s="107">
        <f>COPY!AC1389</f>
        <v>0</v>
      </c>
      <c r="D1397" s="107" t="str">
        <f>IF(LEN(Table1722[[#This Row],[Uraian]])&gt;2,1," ")</f>
        <v xml:space="preserve"> </v>
      </c>
      <c r="E1397" s="113" t="str">
        <f>IF(Table1722[[#This Row],[Lawan Transaksi]]="CV AGUNG KARYA",COUNTIF($I$10:I1397,"CV AGUNG KARYA")," ")</f>
        <v xml:space="preserve"> </v>
      </c>
      <c r="F1397" s="107" t="str">
        <f>IF(LEN(Table1722[[#This Row],[Uraian]])&gt;2,TRIM(RIGHT(SUBSTITUTE(TRIM(C1397)," ",REPT(" ",255)),255))," ")</f>
        <v xml:space="preserve"> </v>
      </c>
      <c r="G1397" s="110">
        <f>COPY!Z1389</f>
        <v>0</v>
      </c>
      <c r="H1397" s="111" t="str">
        <f>IFERROR(VLOOKUP(Table1722[[#This Row],[Bukti]],'Un nOTA'!$A$4:$K$5003,10,FALSE),"")</f>
        <v/>
      </c>
      <c r="I1397" s="112" t="str">
        <f>IFERROR(VLOOKUP(Table1722[[#This Row],[Bukti]],Table13[#Data],11,FALSE),"")</f>
        <v/>
      </c>
    </row>
    <row r="1398" spans="1:9" ht="19.5" hidden="1" customHeight="1" x14ac:dyDescent="0.2">
      <c r="A1398" s="105" t="str">
        <f>IF(D1398=1,COUNTIF($D$10:D1398,1)," ")</f>
        <v xml:space="preserve"> </v>
      </c>
      <c r="B1398" s="106">
        <f>COPY!AR1390</f>
        <v>0</v>
      </c>
      <c r="C1398" s="107">
        <f>COPY!AC1390</f>
        <v>0</v>
      </c>
      <c r="D1398" s="107" t="str">
        <f>IF(LEN(Table1722[[#This Row],[Uraian]])&gt;2,1," ")</f>
        <v xml:space="preserve"> </v>
      </c>
      <c r="E1398" s="113" t="str">
        <f>IF(Table1722[[#This Row],[Lawan Transaksi]]="CV AGUNG KARYA",COUNTIF($I$10:I1398,"CV AGUNG KARYA")," ")</f>
        <v xml:space="preserve"> </v>
      </c>
      <c r="F1398" s="107" t="str">
        <f>IF(LEN(Table1722[[#This Row],[Uraian]])&gt;2,TRIM(RIGHT(SUBSTITUTE(TRIM(C1398)," ",REPT(" ",255)),255))," ")</f>
        <v xml:space="preserve"> </v>
      </c>
      <c r="G1398" s="110">
        <f>COPY!Z1390</f>
        <v>0</v>
      </c>
      <c r="H1398" s="111" t="str">
        <f>IFERROR(VLOOKUP(Table1722[[#This Row],[Bukti]],'Un nOTA'!$A$4:$K$5003,10,FALSE),"")</f>
        <v/>
      </c>
      <c r="I1398" s="112" t="str">
        <f>IFERROR(VLOOKUP(Table1722[[#This Row],[Bukti]],Table13[#Data],11,FALSE),"")</f>
        <v/>
      </c>
    </row>
    <row r="1399" spans="1:9" ht="19.5" hidden="1" customHeight="1" x14ac:dyDescent="0.2">
      <c r="A1399" s="105" t="str">
        <f>IF(D1399=1,COUNTIF($D$10:D1399,1)," ")</f>
        <v xml:space="preserve"> </v>
      </c>
      <c r="B1399" s="106">
        <f>COPY!AR1391</f>
        <v>0</v>
      </c>
      <c r="C1399" s="107">
        <f>COPY!AC1391</f>
        <v>0</v>
      </c>
      <c r="D1399" s="107" t="str">
        <f>IF(LEN(Table1722[[#This Row],[Uraian]])&gt;2,1," ")</f>
        <v xml:space="preserve"> </v>
      </c>
      <c r="E1399" s="113" t="str">
        <f>IF(Table1722[[#This Row],[Lawan Transaksi]]="CV AGUNG KARYA",COUNTIF($I$10:I1399,"CV AGUNG KARYA")," ")</f>
        <v xml:space="preserve"> </v>
      </c>
      <c r="F1399" s="107" t="str">
        <f>IF(LEN(Table1722[[#This Row],[Uraian]])&gt;2,TRIM(RIGHT(SUBSTITUTE(TRIM(C1399)," ",REPT(" ",255)),255))," ")</f>
        <v xml:space="preserve"> </v>
      </c>
      <c r="G1399" s="110">
        <f>COPY!Z1391</f>
        <v>0</v>
      </c>
      <c r="H1399" s="111" t="str">
        <f>IFERROR(VLOOKUP(Table1722[[#This Row],[Bukti]],'Un nOTA'!$A$4:$K$5003,10,FALSE),"")</f>
        <v/>
      </c>
      <c r="I1399" s="112" t="str">
        <f>IFERROR(VLOOKUP(Table1722[[#This Row],[Bukti]],Table13[#Data],11,FALSE),"")</f>
        <v/>
      </c>
    </row>
    <row r="1400" spans="1:9" ht="19.5" hidden="1" customHeight="1" x14ac:dyDescent="0.2">
      <c r="A1400" s="105" t="str">
        <f>IF(D1400=1,COUNTIF($D$10:D1400,1)," ")</f>
        <v xml:space="preserve"> </v>
      </c>
      <c r="B1400" s="106">
        <f>COPY!AR1392</f>
        <v>0</v>
      </c>
      <c r="C1400" s="107">
        <f>COPY!AC1392</f>
        <v>0</v>
      </c>
      <c r="D1400" s="107" t="str">
        <f>IF(LEN(Table1722[[#This Row],[Uraian]])&gt;2,1," ")</f>
        <v xml:space="preserve"> </v>
      </c>
      <c r="E1400" s="113" t="str">
        <f>IF(Table1722[[#This Row],[Lawan Transaksi]]="CV AGUNG KARYA",COUNTIF($I$10:I1400,"CV AGUNG KARYA")," ")</f>
        <v xml:space="preserve"> </v>
      </c>
      <c r="F1400" s="107" t="str">
        <f>IF(LEN(Table1722[[#This Row],[Uraian]])&gt;2,TRIM(RIGHT(SUBSTITUTE(TRIM(C1400)," ",REPT(" ",255)),255))," ")</f>
        <v xml:space="preserve"> </v>
      </c>
      <c r="G1400" s="110">
        <f>COPY!Z1392</f>
        <v>0</v>
      </c>
      <c r="H1400" s="111" t="str">
        <f>IFERROR(VLOOKUP(Table1722[[#This Row],[Bukti]],'Un nOTA'!$A$4:$K$5003,10,FALSE),"")</f>
        <v/>
      </c>
      <c r="I1400" s="112" t="str">
        <f>IFERROR(VLOOKUP(Table1722[[#This Row],[Bukti]],Table13[#Data],11,FALSE),"")</f>
        <v/>
      </c>
    </row>
    <row r="1401" spans="1:9" ht="19.5" hidden="1" customHeight="1" x14ac:dyDescent="0.2">
      <c r="A1401" s="105" t="str">
        <f>IF(D1401=1,COUNTIF($D$10:D1401,1)," ")</f>
        <v xml:space="preserve"> </v>
      </c>
      <c r="B1401" s="106">
        <f>COPY!AR1393</f>
        <v>0</v>
      </c>
      <c r="C1401" s="107">
        <f>COPY!AC1393</f>
        <v>0</v>
      </c>
      <c r="D1401" s="107" t="str">
        <f>IF(LEN(Table1722[[#This Row],[Uraian]])&gt;2,1," ")</f>
        <v xml:space="preserve"> </v>
      </c>
      <c r="E1401" s="113" t="str">
        <f>IF(Table1722[[#This Row],[Lawan Transaksi]]="CV AGUNG KARYA",COUNTIF($I$10:I1401,"CV AGUNG KARYA")," ")</f>
        <v xml:space="preserve"> </v>
      </c>
      <c r="F1401" s="107" t="str">
        <f>IF(LEN(Table1722[[#This Row],[Uraian]])&gt;2,TRIM(RIGHT(SUBSTITUTE(TRIM(C1401)," ",REPT(" ",255)),255))," ")</f>
        <v xml:space="preserve"> </v>
      </c>
      <c r="G1401" s="110">
        <f>COPY!Z1393</f>
        <v>0</v>
      </c>
      <c r="H1401" s="111" t="str">
        <f>IFERROR(VLOOKUP(Table1722[[#This Row],[Bukti]],'Un nOTA'!$A$4:$K$5003,10,FALSE),"")</f>
        <v/>
      </c>
      <c r="I1401" s="112" t="str">
        <f>IFERROR(VLOOKUP(Table1722[[#This Row],[Bukti]],Table13[#Data],11,FALSE),"")</f>
        <v/>
      </c>
    </row>
    <row r="1402" spans="1:9" ht="19.5" hidden="1" customHeight="1" x14ac:dyDescent="0.2">
      <c r="A1402" s="105" t="str">
        <f>IF(D1402=1,COUNTIF($D$10:D1402,1)," ")</f>
        <v xml:space="preserve"> </v>
      </c>
      <c r="B1402" s="106">
        <f>COPY!AR1394</f>
        <v>0</v>
      </c>
      <c r="C1402" s="107">
        <f>COPY!AC1394</f>
        <v>0</v>
      </c>
      <c r="D1402" s="107" t="str">
        <f>IF(LEN(Table1722[[#This Row],[Uraian]])&gt;2,1," ")</f>
        <v xml:space="preserve"> </v>
      </c>
      <c r="E1402" s="113" t="str">
        <f>IF(Table1722[[#This Row],[Lawan Transaksi]]="CV AGUNG KARYA",COUNTIF($I$10:I1402,"CV AGUNG KARYA")," ")</f>
        <v xml:space="preserve"> </v>
      </c>
      <c r="F1402" s="107" t="str">
        <f>IF(LEN(Table1722[[#This Row],[Uraian]])&gt;2,TRIM(RIGHT(SUBSTITUTE(TRIM(C1402)," ",REPT(" ",255)),255))," ")</f>
        <v xml:space="preserve"> </v>
      </c>
      <c r="G1402" s="110">
        <f>COPY!Z1394</f>
        <v>0</v>
      </c>
      <c r="H1402" s="111" t="str">
        <f>IFERROR(VLOOKUP(Table1722[[#This Row],[Bukti]],'Un nOTA'!$A$4:$K$5003,10,FALSE),"")</f>
        <v/>
      </c>
      <c r="I1402" s="112" t="str">
        <f>IFERROR(VLOOKUP(Table1722[[#This Row],[Bukti]],Table13[#Data],11,FALSE),"")</f>
        <v/>
      </c>
    </row>
    <row r="1403" spans="1:9" ht="19.5" hidden="1" customHeight="1" x14ac:dyDescent="0.2">
      <c r="A1403" s="105" t="str">
        <f>IF(D1403=1,COUNTIF($D$10:D1403,1)," ")</f>
        <v xml:space="preserve"> </v>
      </c>
      <c r="B1403" s="106">
        <f>COPY!AR1395</f>
        <v>0</v>
      </c>
      <c r="C1403" s="107">
        <f>COPY!AC1395</f>
        <v>0</v>
      </c>
      <c r="D1403" s="107" t="str">
        <f>IF(LEN(Table1722[[#This Row],[Uraian]])&gt;2,1," ")</f>
        <v xml:space="preserve"> </v>
      </c>
      <c r="E1403" s="113" t="str">
        <f>IF(Table1722[[#This Row],[Lawan Transaksi]]="CV AGUNG KARYA",COUNTIF($I$10:I1403,"CV AGUNG KARYA")," ")</f>
        <v xml:space="preserve"> </v>
      </c>
      <c r="F1403" s="107" t="str">
        <f>IF(LEN(Table1722[[#This Row],[Uraian]])&gt;2,TRIM(RIGHT(SUBSTITUTE(TRIM(C1403)," ",REPT(" ",255)),255))," ")</f>
        <v xml:space="preserve"> </v>
      </c>
      <c r="G1403" s="110">
        <f>COPY!Z1395</f>
        <v>0</v>
      </c>
      <c r="H1403" s="111" t="str">
        <f>IFERROR(VLOOKUP(Table1722[[#This Row],[Bukti]],'Un nOTA'!$A$4:$K$5003,10,FALSE),"")</f>
        <v/>
      </c>
      <c r="I1403" s="112" t="str">
        <f>IFERROR(VLOOKUP(Table1722[[#This Row],[Bukti]],Table13[#Data],11,FALSE),"")</f>
        <v/>
      </c>
    </row>
    <row r="1404" spans="1:9" ht="19.5" hidden="1" customHeight="1" x14ac:dyDescent="0.2">
      <c r="A1404" s="105" t="str">
        <f>IF(D1404=1,COUNTIF($D$10:D1404,1)," ")</f>
        <v xml:space="preserve"> </v>
      </c>
      <c r="B1404" s="106">
        <f>COPY!AR1396</f>
        <v>0</v>
      </c>
      <c r="C1404" s="107">
        <f>COPY!AC1396</f>
        <v>0</v>
      </c>
      <c r="D1404" s="107" t="str">
        <f>IF(LEN(Table1722[[#This Row],[Uraian]])&gt;2,1," ")</f>
        <v xml:space="preserve"> </v>
      </c>
      <c r="E1404" s="113" t="str">
        <f>IF(Table1722[[#This Row],[Lawan Transaksi]]="CV AGUNG KARYA",COUNTIF($I$10:I1404,"CV AGUNG KARYA")," ")</f>
        <v xml:space="preserve"> </v>
      </c>
      <c r="F1404" s="107" t="str">
        <f>IF(LEN(Table1722[[#This Row],[Uraian]])&gt;2,TRIM(RIGHT(SUBSTITUTE(TRIM(C1404)," ",REPT(" ",255)),255))," ")</f>
        <v xml:space="preserve"> </v>
      </c>
      <c r="G1404" s="110">
        <f>COPY!Z1396</f>
        <v>0</v>
      </c>
      <c r="H1404" s="111" t="str">
        <f>IFERROR(VLOOKUP(Table1722[[#This Row],[Bukti]],'Un nOTA'!$A$4:$K$5003,10,FALSE),"")</f>
        <v/>
      </c>
      <c r="I1404" s="112" t="str">
        <f>IFERROR(VLOOKUP(Table1722[[#This Row],[Bukti]],Table13[#Data],11,FALSE),"")</f>
        <v/>
      </c>
    </row>
    <row r="1405" spans="1:9" ht="19.5" hidden="1" customHeight="1" x14ac:dyDescent="0.2">
      <c r="A1405" s="105" t="str">
        <f>IF(D1405=1,COUNTIF($D$10:D1405,1)," ")</f>
        <v xml:space="preserve"> </v>
      </c>
      <c r="B1405" s="106">
        <f>COPY!AR1397</f>
        <v>0</v>
      </c>
      <c r="C1405" s="107">
        <f>COPY!AC1397</f>
        <v>0</v>
      </c>
      <c r="D1405" s="107" t="str">
        <f>IF(LEN(Table1722[[#This Row],[Uraian]])&gt;2,1," ")</f>
        <v xml:space="preserve"> </v>
      </c>
      <c r="E1405" s="113" t="str">
        <f>IF(Table1722[[#This Row],[Lawan Transaksi]]="CV AGUNG KARYA",COUNTIF($I$10:I1405,"CV AGUNG KARYA")," ")</f>
        <v xml:space="preserve"> </v>
      </c>
      <c r="F1405" s="107" t="str">
        <f>IF(LEN(Table1722[[#This Row],[Uraian]])&gt;2,TRIM(RIGHT(SUBSTITUTE(TRIM(C1405)," ",REPT(" ",255)),255))," ")</f>
        <v xml:space="preserve"> </v>
      </c>
      <c r="G1405" s="110">
        <f>COPY!Z1397</f>
        <v>0</v>
      </c>
      <c r="H1405" s="111" t="str">
        <f>IFERROR(VLOOKUP(Table1722[[#This Row],[Bukti]],'Un nOTA'!$A$4:$K$5003,10,FALSE),"")</f>
        <v/>
      </c>
      <c r="I1405" s="112" t="str">
        <f>IFERROR(VLOOKUP(Table1722[[#This Row],[Bukti]],Table13[#Data],11,FALSE),"")</f>
        <v/>
      </c>
    </row>
    <row r="1406" spans="1:9" ht="19.5" hidden="1" customHeight="1" x14ac:dyDescent="0.2">
      <c r="A1406" s="105" t="str">
        <f>IF(D1406=1,COUNTIF($D$10:D1406,1)," ")</f>
        <v xml:space="preserve"> </v>
      </c>
      <c r="B1406" s="106">
        <f>COPY!AR1398</f>
        <v>0</v>
      </c>
      <c r="C1406" s="107">
        <f>COPY!AC1398</f>
        <v>0</v>
      </c>
      <c r="D1406" s="107" t="str">
        <f>IF(LEN(Table1722[[#This Row],[Uraian]])&gt;2,1," ")</f>
        <v xml:space="preserve"> </v>
      </c>
      <c r="E1406" s="113" t="str">
        <f>IF(Table1722[[#This Row],[Lawan Transaksi]]="CV AGUNG KARYA",COUNTIF($I$10:I1406,"CV AGUNG KARYA")," ")</f>
        <v xml:space="preserve"> </v>
      </c>
      <c r="F1406" s="107" t="str">
        <f>IF(LEN(Table1722[[#This Row],[Uraian]])&gt;2,TRIM(RIGHT(SUBSTITUTE(TRIM(C1406)," ",REPT(" ",255)),255))," ")</f>
        <v xml:space="preserve"> </v>
      </c>
      <c r="G1406" s="110">
        <f>COPY!Z1398</f>
        <v>0</v>
      </c>
      <c r="H1406" s="111" t="str">
        <f>IFERROR(VLOOKUP(Table1722[[#This Row],[Bukti]],'Un nOTA'!$A$4:$K$5003,10,FALSE),"")</f>
        <v/>
      </c>
      <c r="I1406" s="112" t="str">
        <f>IFERROR(VLOOKUP(Table1722[[#This Row],[Bukti]],Table13[#Data],11,FALSE),"")</f>
        <v/>
      </c>
    </row>
    <row r="1407" spans="1:9" ht="19.5" hidden="1" customHeight="1" x14ac:dyDescent="0.2">
      <c r="A1407" s="105" t="str">
        <f>IF(D1407=1,COUNTIF($D$10:D1407,1)," ")</f>
        <v xml:space="preserve"> </v>
      </c>
      <c r="B1407" s="106">
        <f>COPY!AR1399</f>
        <v>0</v>
      </c>
      <c r="C1407" s="107">
        <f>COPY!AC1399</f>
        <v>0</v>
      </c>
      <c r="D1407" s="107" t="str">
        <f>IF(LEN(Table1722[[#This Row],[Uraian]])&gt;2,1," ")</f>
        <v xml:space="preserve"> </v>
      </c>
      <c r="E1407" s="113" t="str">
        <f>IF(Table1722[[#This Row],[Lawan Transaksi]]="CV AGUNG KARYA",COUNTIF($I$10:I1407,"CV AGUNG KARYA")," ")</f>
        <v xml:space="preserve"> </v>
      </c>
      <c r="F1407" s="107" t="str">
        <f>IF(LEN(Table1722[[#This Row],[Uraian]])&gt;2,TRIM(RIGHT(SUBSTITUTE(TRIM(C1407)," ",REPT(" ",255)),255))," ")</f>
        <v xml:space="preserve"> </v>
      </c>
      <c r="G1407" s="110">
        <f>COPY!Z1399</f>
        <v>0</v>
      </c>
      <c r="H1407" s="111" t="str">
        <f>IFERROR(VLOOKUP(Table1722[[#This Row],[Bukti]],'Un nOTA'!$A$4:$K$5003,10,FALSE),"")</f>
        <v/>
      </c>
      <c r="I1407" s="112" t="str">
        <f>IFERROR(VLOOKUP(Table1722[[#This Row],[Bukti]],Table13[#Data],11,FALSE),"")</f>
        <v/>
      </c>
    </row>
    <row r="1408" spans="1:9" ht="19.5" hidden="1" customHeight="1" x14ac:dyDescent="0.2">
      <c r="A1408" s="105" t="str">
        <f>IF(D1408=1,COUNTIF($D$10:D1408,1)," ")</f>
        <v xml:space="preserve"> </v>
      </c>
      <c r="B1408" s="106">
        <f>COPY!AR1400</f>
        <v>0</v>
      </c>
      <c r="C1408" s="107">
        <f>COPY!AC1400</f>
        <v>0</v>
      </c>
      <c r="D1408" s="107" t="str">
        <f>IF(LEN(Table1722[[#This Row],[Uraian]])&gt;2,1," ")</f>
        <v xml:space="preserve"> </v>
      </c>
      <c r="E1408" s="113" t="str">
        <f>IF(Table1722[[#This Row],[Lawan Transaksi]]="CV AGUNG KARYA",COUNTIF($I$10:I1408,"CV AGUNG KARYA")," ")</f>
        <v xml:space="preserve"> </v>
      </c>
      <c r="F1408" s="107" t="str">
        <f>IF(LEN(Table1722[[#This Row],[Uraian]])&gt;2,TRIM(RIGHT(SUBSTITUTE(TRIM(C1408)," ",REPT(" ",255)),255))," ")</f>
        <v xml:space="preserve"> </v>
      </c>
      <c r="G1408" s="110">
        <f>COPY!Z1400</f>
        <v>0</v>
      </c>
      <c r="H1408" s="111" t="str">
        <f>IFERROR(VLOOKUP(Table1722[[#This Row],[Bukti]],'Un nOTA'!$A$4:$K$5003,10,FALSE),"")</f>
        <v/>
      </c>
      <c r="I1408" s="112" t="str">
        <f>IFERROR(VLOOKUP(Table1722[[#This Row],[Bukti]],Table13[#Data],11,FALSE),"")</f>
        <v/>
      </c>
    </row>
    <row r="1409" spans="1:9" ht="19.5" hidden="1" customHeight="1" x14ac:dyDescent="0.2">
      <c r="A1409" s="105" t="str">
        <f>IF(D1409=1,COUNTIF($D$10:D1409,1)," ")</f>
        <v xml:space="preserve"> </v>
      </c>
      <c r="B1409" s="106">
        <f>COPY!AR1401</f>
        <v>0</v>
      </c>
      <c r="C1409" s="107">
        <f>COPY!AC1401</f>
        <v>0</v>
      </c>
      <c r="D1409" s="107" t="str">
        <f>IF(LEN(Table1722[[#This Row],[Uraian]])&gt;2,1," ")</f>
        <v xml:space="preserve"> </v>
      </c>
      <c r="E1409" s="113" t="str">
        <f>IF(Table1722[[#This Row],[Lawan Transaksi]]="CV AGUNG KARYA",COUNTIF($I$10:I1409,"CV AGUNG KARYA")," ")</f>
        <v xml:space="preserve"> </v>
      </c>
      <c r="F1409" s="107" t="str">
        <f>IF(LEN(Table1722[[#This Row],[Uraian]])&gt;2,TRIM(RIGHT(SUBSTITUTE(TRIM(C1409)," ",REPT(" ",255)),255))," ")</f>
        <v xml:space="preserve"> </v>
      </c>
      <c r="G1409" s="110">
        <f>COPY!Z1401</f>
        <v>0</v>
      </c>
      <c r="H1409" s="111" t="str">
        <f>IFERROR(VLOOKUP(Table1722[[#This Row],[Bukti]],'Un nOTA'!$A$4:$K$5003,10,FALSE),"")</f>
        <v/>
      </c>
      <c r="I1409" s="112" t="str">
        <f>IFERROR(VLOOKUP(Table1722[[#This Row],[Bukti]],Table13[#Data],11,FALSE),"")</f>
        <v/>
      </c>
    </row>
    <row r="1410" spans="1:9" ht="19.5" hidden="1" customHeight="1" x14ac:dyDescent="0.2">
      <c r="A1410" s="105" t="str">
        <f>IF(D1410=1,COUNTIF($D$10:D1410,1)," ")</f>
        <v xml:space="preserve"> </v>
      </c>
      <c r="B1410" s="106">
        <f>COPY!AR1402</f>
        <v>0</v>
      </c>
      <c r="C1410" s="107">
        <f>COPY!AC1402</f>
        <v>0</v>
      </c>
      <c r="D1410" s="107" t="str">
        <f>IF(LEN(Table1722[[#This Row],[Uraian]])&gt;2,1," ")</f>
        <v xml:space="preserve"> </v>
      </c>
      <c r="E1410" s="113" t="str">
        <f>IF(Table1722[[#This Row],[Lawan Transaksi]]="CV AGUNG KARYA",COUNTIF($I$10:I1410,"CV AGUNG KARYA")," ")</f>
        <v xml:space="preserve"> </v>
      </c>
      <c r="F1410" s="107" t="str">
        <f>IF(LEN(Table1722[[#This Row],[Uraian]])&gt;2,TRIM(RIGHT(SUBSTITUTE(TRIM(C1410)," ",REPT(" ",255)),255))," ")</f>
        <v xml:space="preserve"> </v>
      </c>
      <c r="G1410" s="110">
        <f>COPY!Z1402</f>
        <v>0</v>
      </c>
      <c r="H1410" s="111" t="str">
        <f>IFERROR(VLOOKUP(Table1722[[#This Row],[Bukti]],'Un nOTA'!$A$4:$K$5003,10,FALSE),"")</f>
        <v/>
      </c>
      <c r="I1410" s="112" t="str">
        <f>IFERROR(VLOOKUP(Table1722[[#This Row],[Bukti]],Table13[#Data],11,FALSE),"")</f>
        <v/>
      </c>
    </row>
    <row r="1411" spans="1:9" ht="19.5" hidden="1" customHeight="1" x14ac:dyDescent="0.2">
      <c r="A1411" s="105" t="str">
        <f>IF(D1411=1,COUNTIF($D$10:D1411,1)," ")</f>
        <v xml:space="preserve"> </v>
      </c>
      <c r="B1411" s="106">
        <f>COPY!AR1403</f>
        <v>0</v>
      </c>
      <c r="C1411" s="107">
        <f>COPY!AC1403</f>
        <v>0</v>
      </c>
      <c r="D1411" s="107" t="str">
        <f>IF(LEN(Table1722[[#This Row],[Uraian]])&gt;2,1," ")</f>
        <v xml:space="preserve"> </v>
      </c>
      <c r="E1411" s="113" t="str">
        <f>IF(Table1722[[#This Row],[Lawan Transaksi]]="CV AGUNG KARYA",COUNTIF($I$10:I1411,"CV AGUNG KARYA")," ")</f>
        <v xml:space="preserve"> </v>
      </c>
      <c r="F1411" s="107" t="str">
        <f>IF(LEN(Table1722[[#This Row],[Uraian]])&gt;2,TRIM(RIGHT(SUBSTITUTE(TRIM(C1411)," ",REPT(" ",255)),255))," ")</f>
        <v xml:space="preserve"> </v>
      </c>
      <c r="G1411" s="110">
        <f>COPY!Z1403</f>
        <v>0</v>
      </c>
      <c r="H1411" s="111" t="str">
        <f>IFERROR(VLOOKUP(Table1722[[#This Row],[Bukti]],'Un nOTA'!$A$4:$K$5003,10,FALSE),"")</f>
        <v/>
      </c>
      <c r="I1411" s="112" t="str">
        <f>IFERROR(VLOOKUP(Table1722[[#This Row],[Bukti]],Table13[#Data],11,FALSE),"")</f>
        <v/>
      </c>
    </row>
    <row r="1412" spans="1:9" ht="19.5" hidden="1" customHeight="1" x14ac:dyDescent="0.2">
      <c r="A1412" s="105" t="str">
        <f>IF(D1412=1,COUNTIF($D$10:D1412,1)," ")</f>
        <v xml:space="preserve"> </v>
      </c>
      <c r="B1412" s="106">
        <f>COPY!AR1404</f>
        <v>0</v>
      </c>
      <c r="C1412" s="107">
        <f>COPY!AC1404</f>
        <v>0</v>
      </c>
      <c r="D1412" s="107" t="str">
        <f>IF(LEN(Table1722[[#This Row],[Uraian]])&gt;2,1," ")</f>
        <v xml:space="preserve"> </v>
      </c>
      <c r="E1412" s="113" t="str">
        <f>IF(Table1722[[#This Row],[Lawan Transaksi]]="CV AGUNG KARYA",COUNTIF($I$10:I1412,"CV AGUNG KARYA")," ")</f>
        <v xml:space="preserve"> </v>
      </c>
      <c r="F1412" s="107" t="str">
        <f>IF(LEN(Table1722[[#This Row],[Uraian]])&gt;2,TRIM(RIGHT(SUBSTITUTE(TRIM(C1412)," ",REPT(" ",255)),255))," ")</f>
        <v xml:space="preserve"> </v>
      </c>
      <c r="G1412" s="110">
        <f>COPY!Z1404</f>
        <v>0</v>
      </c>
      <c r="H1412" s="111" t="str">
        <f>IFERROR(VLOOKUP(Table1722[[#This Row],[Bukti]],'Un nOTA'!$A$4:$K$5003,10,FALSE),"")</f>
        <v/>
      </c>
      <c r="I1412" s="112" t="str">
        <f>IFERROR(VLOOKUP(Table1722[[#This Row],[Bukti]],Table13[#Data],11,FALSE),"")</f>
        <v/>
      </c>
    </row>
    <row r="1413" spans="1:9" ht="19.5" hidden="1" customHeight="1" x14ac:dyDescent="0.2">
      <c r="A1413" s="105" t="str">
        <f>IF(D1413=1,COUNTIF($D$10:D1413,1)," ")</f>
        <v xml:space="preserve"> </v>
      </c>
      <c r="B1413" s="106">
        <f>COPY!AR1405</f>
        <v>0</v>
      </c>
      <c r="C1413" s="107">
        <f>COPY!AC1405</f>
        <v>0</v>
      </c>
      <c r="D1413" s="107" t="str">
        <f>IF(LEN(Table1722[[#This Row],[Uraian]])&gt;2,1," ")</f>
        <v xml:space="preserve"> </v>
      </c>
      <c r="E1413" s="113" t="str">
        <f>IF(Table1722[[#This Row],[Lawan Transaksi]]="CV AGUNG KARYA",COUNTIF($I$10:I1413,"CV AGUNG KARYA")," ")</f>
        <v xml:space="preserve"> </v>
      </c>
      <c r="F1413" s="107" t="str">
        <f>IF(LEN(Table1722[[#This Row],[Uraian]])&gt;2,TRIM(RIGHT(SUBSTITUTE(TRIM(C1413)," ",REPT(" ",255)),255))," ")</f>
        <v xml:space="preserve"> </v>
      </c>
      <c r="G1413" s="110">
        <f>COPY!Z1405</f>
        <v>0</v>
      </c>
      <c r="H1413" s="111" t="str">
        <f>IFERROR(VLOOKUP(Table1722[[#This Row],[Bukti]],'Un nOTA'!$A$4:$K$5003,10,FALSE),"")</f>
        <v/>
      </c>
      <c r="I1413" s="112" t="str">
        <f>IFERROR(VLOOKUP(Table1722[[#This Row],[Bukti]],Table13[#Data],11,FALSE),"")</f>
        <v/>
      </c>
    </row>
    <row r="1414" spans="1:9" ht="19.5" hidden="1" customHeight="1" x14ac:dyDescent="0.2">
      <c r="A1414" s="105" t="str">
        <f>IF(D1414=1,COUNTIF($D$10:D1414,1)," ")</f>
        <v xml:space="preserve"> </v>
      </c>
      <c r="B1414" s="106">
        <f>COPY!AR1406</f>
        <v>0</v>
      </c>
      <c r="C1414" s="107">
        <f>COPY!AC1406</f>
        <v>0</v>
      </c>
      <c r="D1414" s="107" t="str">
        <f>IF(LEN(Table1722[[#This Row],[Uraian]])&gt;2,1," ")</f>
        <v xml:space="preserve"> </v>
      </c>
      <c r="E1414" s="113" t="str">
        <f>IF(Table1722[[#This Row],[Lawan Transaksi]]="CV AGUNG KARYA",COUNTIF($I$10:I1414,"CV AGUNG KARYA")," ")</f>
        <v xml:space="preserve"> </v>
      </c>
      <c r="F1414" s="107" t="str">
        <f>IF(LEN(Table1722[[#This Row],[Uraian]])&gt;2,TRIM(RIGHT(SUBSTITUTE(TRIM(C1414)," ",REPT(" ",255)),255))," ")</f>
        <v xml:space="preserve"> </v>
      </c>
      <c r="G1414" s="110">
        <f>COPY!Z1406</f>
        <v>0</v>
      </c>
      <c r="H1414" s="111" t="str">
        <f>IFERROR(VLOOKUP(Table1722[[#This Row],[Bukti]],'Un nOTA'!$A$4:$K$5003,10,FALSE),"")</f>
        <v/>
      </c>
      <c r="I1414" s="112" t="str">
        <f>IFERROR(VLOOKUP(Table1722[[#This Row],[Bukti]],Table13[#Data],11,FALSE),"")</f>
        <v/>
      </c>
    </row>
    <row r="1415" spans="1:9" ht="19.5" hidden="1" customHeight="1" x14ac:dyDescent="0.2">
      <c r="A1415" s="105" t="str">
        <f>IF(D1415=1,COUNTIF($D$10:D1415,1)," ")</f>
        <v xml:space="preserve"> </v>
      </c>
      <c r="B1415" s="106">
        <f>COPY!AR1407</f>
        <v>0</v>
      </c>
      <c r="C1415" s="107">
        <f>COPY!AC1407</f>
        <v>0</v>
      </c>
      <c r="D1415" s="107" t="str">
        <f>IF(LEN(Table1722[[#This Row],[Uraian]])&gt;2,1," ")</f>
        <v xml:space="preserve"> </v>
      </c>
      <c r="E1415" s="113" t="str">
        <f>IF(Table1722[[#This Row],[Lawan Transaksi]]="CV AGUNG KARYA",COUNTIF($I$10:I1415,"CV AGUNG KARYA")," ")</f>
        <v xml:space="preserve"> </v>
      </c>
      <c r="F1415" s="107" t="str">
        <f>IF(LEN(Table1722[[#This Row],[Uraian]])&gt;2,TRIM(RIGHT(SUBSTITUTE(TRIM(C1415)," ",REPT(" ",255)),255))," ")</f>
        <v xml:space="preserve"> </v>
      </c>
      <c r="G1415" s="110">
        <f>COPY!Z1407</f>
        <v>0</v>
      </c>
      <c r="H1415" s="111" t="str">
        <f>IFERROR(VLOOKUP(Table1722[[#This Row],[Bukti]],'Un nOTA'!$A$4:$K$5003,10,FALSE),"")</f>
        <v/>
      </c>
      <c r="I1415" s="112" t="str">
        <f>IFERROR(VLOOKUP(Table1722[[#This Row],[Bukti]],Table13[#Data],11,FALSE),"")</f>
        <v/>
      </c>
    </row>
    <row r="1416" spans="1:9" ht="19.5" hidden="1" customHeight="1" x14ac:dyDescent="0.2">
      <c r="A1416" s="105" t="str">
        <f>IF(D1416=1,COUNTIF($D$10:D1416,1)," ")</f>
        <v xml:space="preserve"> </v>
      </c>
      <c r="B1416" s="106">
        <f>COPY!AR1408</f>
        <v>0</v>
      </c>
      <c r="C1416" s="107">
        <f>COPY!AC1408</f>
        <v>0</v>
      </c>
      <c r="D1416" s="107" t="str">
        <f>IF(LEN(Table1722[[#This Row],[Uraian]])&gt;2,1," ")</f>
        <v xml:space="preserve"> </v>
      </c>
      <c r="E1416" s="113" t="str">
        <f>IF(Table1722[[#This Row],[Lawan Transaksi]]="CV AGUNG KARYA",COUNTIF($I$10:I1416,"CV AGUNG KARYA")," ")</f>
        <v xml:space="preserve"> </v>
      </c>
      <c r="F1416" s="107" t="str">
        <f>IF(LEN(Table1722[[#This Row],[Uraian]])&gt;2,TRIM(RIGHT(SUBSTITUTE(TRIM(C1416)," ",REPT(" ",255)),255))," ")</f>
        <v xml:space="preserve"> </v>
      </c>
      <c r="G1416" s="110">
        <f>COPY!Z1408</f>
        <v>0</v>
      </c>
      <c r="H1416" s="111" t="str">
        <f>IFERROR(VLOOKUP(Table1722[[#This Row],[Bukti]],'Un nOTA'!$A$4:$K$5003,10,FALSE),"")</f>
        <v/>
      </c>
      <c r="I1416" s="112" t="str">
        <f>IFERROR(VLOOKUP(Table1722[[#This Row],[Bukti]],Table13[#Data],11,FALSE),"")</f>
        <v/>
      </c>
    </row>
    <row r="1417" spans="1:9" ht="19.5" hidden="1" customHeight="1" x14ac:dyDescent="0.2">
      <c r="A1417" s="105" t="str">
        <f>IF(D1417=1,COUNTIF($D$10:D1417,1)," ")</f>
        <v xml:space="preserve"> </v>
      </c>
      <c r="B1417" s="106">
        <f>COPY!AR1409</f>
        <v>0</v>
      </c>
      <c r="C1417" s="107">
        <f>COPY!AC1409</f>
        <v>0</v>
      </c>
      <c r="D1417" s="107" t="str">
        <f>IF(LEN(Table1722[[#This Row],[Uraian]])&gt;2,1," ")</f>
        <v xml:space="preserve"> </v>
      </c>
      <c r="E1417" s="113" t="str">
        <f>IF(Table1722[[#This Row],[Lawan Transaksi]]="CV AGUNG KARYA",COUNTIF($I$10:I1417,"CV AGUNG KARYA")," ")</f>
        <v xml:space="preserve"> </v>
      </c>
      <c r="F1417" s="107" t="str">
        <f>IF(LEN(Table1722[[#This Row],[Uraian]])&gt;2,TRIM(RIGHT(SUBSTITUTE(TRIM(C1417)," ",REPT(" ",255)),255))," ")</f>
        <v xml:space="preserve"> </v>
      </c>
      <c r="G1417" s="110">
        <f>COPY!Z1409</f>
        <v>0</v>
      </c>
      <c r="H1417" s="111" t="str">
        <f>IFERROR(VLOOKUP(Table1722[[#This Row],[Bukti]],'Un nOTA'!$A$4:$K$5003,10,FALSE),"")</f>
        <v/>
      </c>
      <c r="I1417" s="112" t="str">
        <f>IFERROR(VLOOKUP(Table1722[[#This Row],[Bukti]],Table13[#Data],11,FALSE),"")</f>
        <v/>
      </c>
    </row>
    <row r="1418" spans="1:9" ht="19.5" hidden="1" customHeight="1" x14ac:dyDescent="0.2">
      <c r="A1418" s="105" t="str">
        <f>IF(D1418=1,COUNTIF($D$10:D1418,1)," ")</f>
        <v xml:space="preserve"> </v>
      </c>
      <c r="B1418" s="106">
        <f>COPY!AR1410</f>
        <v>0</v>
      </c>
      <c r="C1418" s="107">
        <f>COPY!AC1410</f>
        <v>0</v>
      </c>
      <c r="D1418" s="107" t="str">
        <f>IF(LEN(Table1722[[#This Row],[Uraian]])&gt;2,1," ")</f>
        <v xml:space="preserve"> </v>
      </c>
      <c r="E1418" s="113" t="str">
        <f>IF(Table1722[[#This Row],[Lawan Transaksi]]="CV AGUNG KARYA",COUNTIF($I$10:I1418,"CV AGUNG KARYA")," ")</f>
        <v xml:space="preserve"> </v>
      </c>
      <c r="F1418" s="107" t="str">
        <f>IF(LEN(Table1722[[#This Row],[Uraian]])&gt;2,TRIM(RIGHT(SUBSTITUTE(TRIM(C1418)," ",REPT(" ",255)),255))," ")</f>
        <v xml:space="preserve"> </v>
      </c>
      <c r="G1418" s="110">
        <f>COPY!Z1410</f>
        <v>0</v>
      </c>
      <c r="H1418" s="111" t="str">
        <f>IFERROR(VLOOKUP(Table1722[[#This Row],[Bukti]],'Un nOTA'!$A$4:$K$5003,10,FALSE),"")</f>
        <v/>
      </c>
      <c r="I1418" s="112" t="str">
        <f>IFERROR(VLOOKUP(Table1722[[#This Row],[Bukti]],Table13[#Data],11,FALSE),"")</f>
        <v/>
      </c>
    </row>
    <row r="1419" spans="1:9" ht="19.5" hidden="1" customHeight="1" x14ac:dyDescent="0.2">
      <c r="A1419" s="105" t="str">
        <f>IF(D1419=1,COUNTIF($D$10:D1419,1)," ")</f>
        <v xml:space="preserve"> </v>
      </c>
      <c r="B1419" s="106">
        <f>COPY!AR1411</f>
        <v>0</v>
      </c>
      <c r="C1419" s="107">
        <f>COPY!AC1411</f>
        <v>0</v>
      </c>
      <c r="D1419" s="107" t="str">
        <f>IF(LEN(Table1722[[#This Row],[Uraian]])&gt;2,1," ")</f>
        <v xml:space="preserve"> </v>
      </c>
      <c r="E1419" s="113" t="str">
        <f>IF(Table1722[[#This Row],[Lawan Transaksi]]="CV AGUNG KARYA",COUNTIF($I$10:I1419,"CV AGUNG KARYA")," ")</f>
        <v xml:space="preserve"> </v>
      </c>
      <c r="F1419" s="107" t="str">
        <f>IF(LEN(Table1722[[#This Row],[Uraian]])&gt;2,TRIM(RIGHT(SUBSTITUTE(TRIM(C1419)," ",REPT(" ",255)),255))," ")</f>
        <v xml:space="preserve"> </v>
      </c>
      <c r="G1419" s="110">
        <f>COPY!Z1411</f>
        <v>0</v>
      </c>
      <c r="H1419" s="111" t="str">
        <f>IFERROR(VLOOKUP(Table1722[[#This Row],[Bukti]],'Un nOTA'!$A$4:$K$5003,10,FALSE),"")</f>
        <v/>
      </c>
      <c r="I1419" s="112" t="str">
        <f>IFERROR(VLOOKUP(Table1722[[#This Row],[Bukti]],Table13[#Data],11,FALSE),"")</f>
        <v/>
      </c>
    </row>
    <row r="1420" spans="1:9" ht="19.5" hidden="1" customHeight="1" x14ac:dyDescent="0.2">
      <c r="A1420" s="105" t="str">
        <f>IF(D1420=1,COUNTIF($D$10:D1420,1)," ")</f>
        <v xml:space="preserve"> </v>
      </c>
      <c r="B1420" s="106">
        <f>COPY!AR1412</f>
        <v>0</v>
      </c>
      <c r="C1420" s="107">
        <f>COPY!AC1412</f>
        <v>0</v>
      </c>
      <c r="D1420" s="107" t="str">
        <f>IF(LEN(Table1722[[#This Row],[Uraian]])&gt;2,1," ")</f>
        <v xml:space="preserve"> </v>
      </c>
      <c r="E1420" s="113" t="str">
        <f>IF(Table1722[[#This Row],[Lawan Transaksi]]="CV AGUNG KARYA",COUNTIF($I$10:I1420,"CV AGUNG KARYA")," ")</f>
        <v xml:space="preserve"> </v>
      </c>
      <c r="F1420" s="107" t="str">
        <f>IF(LEN(Table1722[[#This Row],[Uraian]])&gt;2,TRIM(RIGHT(SUBSTITUTE(TRIM(C1420)," ",REPT(" ",255)),255))," ")</f>
        <v xml:space="preserve"> </v>
      </c>
      <c r="G1420" s="110">
        <f>COPY!Z1412</f>
        <v>0</v>
      </c>
      <c r="H1420" s="111" t="str">
        <f>IFERROR(VLOOKUP(Table1722[[#This Row],[Bukti]],'Un nOTA'!$A$4:$K$5003,10,FALSE),"")</f>
        <v/>
      </c>
      <c r="I1420" s="112" t="str">
        <f>IFERROR(VLOOKUP(Table1722[[#This Row],[Bukti]],Table13[#Data],11,FALSE),"")</f>
        <v/>
      </c>
    </row>
    <row r="1421" spans="1:9" ht="19.5" hidden="1" customHeight="1" x14ac:dyDescent="0.2">
      <c r="A1421" s="105" t="str">
        <f>IF(D1421=1,COUNTIF($D$10:D1421,1)," ")</f>
        <v xml:space="preserve"> </v>
      </c>
      <c r="B1421" s="106">
        <f>COPY!AR1413</f>
        <v>0</v>
      </c>
      <c r="C1421" s="107">
        <f>COPY!AC1413</f>
        <v>0</v>
      </c>
      <c r="D1421" s="107" t="str">
        <f>IF(LEN(Table1722[[#This Row],[Uraian]])&gt;2,1," ")</f>
        <v xml:space="preserve"> </v>
      </c>
      <c r="E1421" s="113" t="str">
        <f>IF(Table1722[[#This Row],[Lawan Transaksi]]="CV AGUNG KARYA",COUNTIF($I$10:I1421,"CV AGUNG KARYA")," ")</f>
        <v xml:space="preserve"> </v>
      </c>
      <c r="F1421" s="107" t="str">
        <f>IF(LEN(Table1722[[#This Row],[Uraian]])&gt;2,TRIM(RIGHT(SUBSTITUTE(TRIM(C1421)," ",REPT(" ",255)),255))," ")</f>
        <v xml:space="preserve"> </v>
      </c>
      <c r="G1421" s="110">
        <f>COPY!Z1413</f>
        <v>0</v>
      </c>
      <c r="H1421" s="111" t="str">
        <f>IFERROR(VLOOKUP(Table1722[[#This Row],[Bukti]],'Un nOTA'!$A$4:$K$5003,10,FALSE),"")</f>
        <v/>
      </c>
      <c r="I1421" s="112" t="str">
        <f>IFERROR(VLOOKUP(Table1722[[#This Row],[Bukti]],Table13[#Data],11,FALSE),"")</f>
        <v/>
      </c>
    </row>
    <row r="1422" spans="1:9" ht="19.5" hidden="1" customHeight="1" x14ac:dyDescent="0.2">
      <c r="A1422" s="105" t="str">
        <f>IF(D1422=1,COUNTIF($D$10:D1422,1)," ")</f>
        <v xml:space="preserve"> </v>
      </c>
      <c r="B1422" s="106">
        <f>COPY!AR1414</f>
        <v>0</v>
      </c>
      <c r="C1422" s="107">
        <f>COPY!AC1414</f>
        <v>0</v>
      </c>
      <c r="D1422" s="107" t="str">
        <f>IF(LEN(Table1722[[#This Row],[Uraian]])&gt;2,1," ")</f>
        <v xml:space="preserve"> </v>
      </c>
      <c r="E1422" s="113" t="str">
        <f>IF(Table1722[[#This Row],[Lawan Transaksi]]="CV AGUNG KARYA",COUNTIF($I$10:I1422,"CV AGUNG KARYA")," ")</f>
        <v xml:space="preserve"> </v>
      </c>
      <c r="F1422" s="107" t="str">
        <f>IF(LEN(Table1722[[#This Row],[Uraian]])&gt;2,TRIM(RIGHT(SUBSTITUTE(TRIM(C1422)," ",REPT(" ",255)),255))," ")</f>
        <v xml:space="preserve"> </v>
      </c>
      <c r="G1422" s="110">
        <f>COPY!Z1414</f>
        <v>0</v>
      </c>
      <c r="H1422" s="111" t="str">
        <f>IFERROR(VLOOKUP(Table1722[[#This Row],[Bukti]],'Un nOTA'!$A$4:$K$5003,10,FALSE),"")</f>
        <v/>
      </c>
      <c r="I1422" s="112" t="str">
        <f>IFERROR(VLOOKUP(Table1722[[#This Row],[Bukti]],Table13[#Data],11,FALSE),"")</f>
        <v/>
      </c>
    </row>
    <row r="1423" spans="1:9" ht="19.5" hidden="1" customHeight="1" x14ac:dyDescent="0.2">
      <c r="A1423" s="105" t="str">
        <f>IF(D1423=1,COUNTIF($D$10:D1423,1)," ")</f>
        <v xml:space="preserve"> </v>
      </c>
      <c r="B1423" s="106">
        <f>COPY!AR1415</f>
        <v>0</v>
      </c>
      <c r="C1423" s="107">
        <f>COPY!AC1415</f>
        <v>0</v>
      </c>
      <c r="D1423" s="107" t="str">
        <f>IF(LEN(Table1722[[#This Row],[Uraian]])&gt;2,1," ")</f>
        <v xml:space="preserve"> </v>
      </c>
      <c r="E1423" s="113" t="str">
        <f>IF(Table1722[[#This Row],[Lawan Transaksi]]="CV AGUNG KARYA",COUNTIF($I$10:I1423,"CV AGUNG KARYA")," ")</f>
        <v xml:space="preserve"> </v>
      </c>
      <c r="F1423" s="107" t="str">
        <f>IF(LEN(Table1722[[#This Row],[Uraian]])&gt;2,TRIM(RIGHT(SUBSTITUTE(TRIM(C1423)," ",REPT(" ",255)),255))," ")</f>
        <v xml:space="preserve"> </v>
      </c>
      <c r="G1423" s="110">
        <f>COPY!Z1415</f>
        <v>0</v>
      </c>
      <c r="H1423" s="111" t="str">
        <f>IFERROR(VLOOKUP(Table1722[[#This Row],[Bukti]],'Un nOTA'!$A$4:$K$5003,10,FALSE),"")</f>
        <v/>
      </c>
      <c r="I1423" s="112" t="str">
        <f>IFERROR(VLOOKUP(Table1722[[#This Row],[Bukti]],Table13[#Data],11,FALSE),"")</f>
        <v/>
      </c>
    </row>
    <row r="1424" spans="1:9" ht="19.5" hidden="1" customHeight="1" x14ac:dyDescent="0.2">
      <c r="A1424" s="105" t="str">
        <f>IF(D1424=1,COUNTIF($D$10:D1424,1)," ")</f>
        <v xml:space="preserve"> </v>
      </c>
      <c r="B1424" s="106">
        <f>COPY!AR1416</f>
        <v>0</v>
      </c>
      <c r="C1424" s="107">
        <f>COPY!AC1416</f>
        <v>0</v>
      </c>
      <c r="D1424" s="107" t="str">
        <f>IF(LEN(Table1722[[#This Row],[Uraian]])&gt;2,1," ")</f>
        <v xml:space="preserve"> </v>
      </c>
      <c r="E1424" s="113" t="str">
        <f>IF(Table1722[[#This Row],[Lawan Transaksi]]="CV AGUNG KARYA",COUNTIF($I$10:I1424,"CV AGUNG KARYA")," ")</f>
        <v xml:space="preserve"> </v>
      </c>
      <c r="F1424" s="107" t="str">
        <f>IF(LEN(Table1722[[#This Row],[Uraian]])&gt;2,TRIM(RIGHT(SUBSTITUTE(TRIM(C1424)," ",REPT(" ",255)),255))," ")</f>
        <v xml:space="preserve"> </v>
      </c>
      <c r="G1424" s="110">
        <f>COPY!Z1416</f>
        <v>0</v>
      </c>
      <c r="H1424" s="111" t="str">
        <f>IFERROR(VLOOKUP(Table1722[[#This Row],[Bukti]],'Un nOTA'!$A$4:$K$5003,10,FALSE),"")</f>
        <v/>
      </c>
      <c r="I1424" s="112" t="str">
        <f>IFERROR(VLOOKUP(Table1722[[#This Row],[Bukti]],Table13[#Data],11,FALSE),"")</f>
        <v/>
      </c>
    </row>
    <row r="1425" spans="1:9" ht="19.5" hidden="1" customHeight="1" x14ac:dyDescent="0.2">
      <c r="A1425" s="105" t="str">
        <f>IF(D1425=1,COUNTIF($D$10:D1425,1)," ")</f>
        <v xml:space="preserve"> </v>
      </c>
      <c r="B1425" s="106">
        <f>COPY!AR1417</f>
        <v>0</v>
      </c>
      <c r="C1425" s="107">
        <f>COPY!AC1417</f>
        <v>0</v>
      </c>
      <c r="D1425" s="107" t="str">
        <f>IF(LEN(Table1722[[#This Row],[Uraian]])&gt;2,1," ")</f>
        <v xml:space="preserve"> </v>
      </c>
      <c r="E1425" s="113" t="str">
        <f>IF(Table1722[[#This Row],[Lawan Transaksi]]="CV AGUNG KARYA",COUNTIF($I$10:I1425,"CV AGUNG KARYA")," ")</f>
        <v xml:space="preserve"> </v>
      </c>
      <c r="F1425" s="107" t="str">
        <f>IF(LEN(Table1722[[#This Row],[Uraian]])&gt;2,TRIM(RIGHT(SUBSTITUTE(TRIM(C1425)," ",REPT(" ",255)),255))," ")</f>
        <v xml:space="preserve"> </v>
      </c>
      <c r="G1425" s="110">
        <f>COPY!Z1417</f>
        <v>0</v>
      </c>
      <c r="H1425" s="111" t="str">
        <f>IFERROR(VLOOKUP(Table1722[[#This Row],[Bukti]],'Un nOTA'!$A$4:$K$5003,10,FALSE),"")</f>
        <v/>
      </c>
      <c r="I1425" s="112" t="str">
        <f>IFERROR(VLOOKUP(Table1722[[#This Row],[Bukti]],Table13[#Data],11,FALSE),"")</f>
        <v/>
      </c>
    </row>
    <row r="1426" spans="1:9" ht="19.5" hidden="1" customHeight="1" x14ac:dyDescent="0.2">
      <c r="A1426" s="105" t="str">
        <f>IF(D1426=1,COUNTIF($D$10:D1426,1)," ")</f>
        <v xml:space="preserve"> </v>
      </c>
      <c r="B1426" s="106">
        <f>COPY!AR1418</f>
        <v>0</v>
      </c>
      <c r="C1426" s="107">
        <f>COPY!AC1418</f>
        <v>0</v>
      </c>
      <c r="D1426" s="107" t="str">
        <f>IF(LEN(Table1722[[#This Row],[Uraian]])&gt;2,1," ")</f>
        <v xml:space="preserve"> </v>
      </c>
      <c r="E1426" s="113" t="str">
        <f>IF(Table1722[[#This Row],[Lawan Transaksi]]="CV AGUNG KARYA",COUNTIF($I$10:I1426,"CV AGUNG KARYA")," ")</f>
        <v xml:space="preserve"> </v>
      </c>
      <c r="F1426" s="107" t="str">
        <f>IF(LEN(Table1722[[#This Row],[Uraian]])&gt;2,TRIM(RIGHT(SUBSTITUTE(TRIM(C1426)," ",REPT(" ",255)),255))," ")</f>
        <v xml:space="preserve"> </v>
      </c>
      <c r="G1426" s="110">
        <f>COPY!Z1418</f>
        <v>0</v>
      </c>
      <c r="H1426" s="111" t="str">
        <f>IFERROR(VLOOKUP(Table1722[[#This Row],[Bukti]],'Un nOTA'!$A$4:$K$5003,10,FALSE),"")</f>
        <v/>
      </c>
      <c r="I1426" s="112" t="str">
        <f>IFERROR(VLOOKUP(Table1722[[#This Row],[Bukti]],Table13[#Data],11,FALSE),"")</f>
        <v/>
      </c>
    </row>
    <row r="1427" spans="1:9" ht="19.5" hidden="1" customHeight="1" x14ac:dyDescent="0.2">
      <c r="A1427" s="105" t="str">
        <f>IF(D1427=1,COUNTIF($D$10:D1427,1)," ")</f>
        <v xml:space="preserve"> </v>
      </c>
      <c r="B1427" s="106">
        <f>COPY!AR1419</f>
        <v>0</v>
      </c>
      <c r="C1427" s="107">
        <f>COPY!AC1419</f>
        <v>0</v>
      </c>
      <c r="D1427" s="107" t="str">
        <f>IF(LEN(Table1722[[#This Row],[Uraian]])&gt;2,1," ")</f>
        <v xml:space="preserve"> </v>
      </c>
      <c r="E1427" s="113" t="str">
        <f>IF(Table1722[[#This Row],[Lawan Transaksi]]="CV AGUNG KARYA",COUNTIF($I$10:I1427,"CV AGUNG KARYA")," ")</f>
        <v xml:space="preserve"> </v>
      </c>
      <c r="F1427" s="107" t="str">
        <f>IF(LEN(Table1722[[#This Row],[Uraian]])&gt;2,TRIM(RIGHT(SUBSTITUTE(TRIM(C1427)," ",REPT(" ",255)),255))," ")</f>
        <v xml:space="preserve"> </v>
      </c>
      <c r="G1427" s="110">
        <f>COPY!Z1419</f>
        <v>0</v>
      </c>
      <c r="H1427" s="111" t="str">
        <f>IFERROR(VLOOKUP(Table1722[[#This Row],[Bukti]],'Un nOTA'!$A$4:$K$5003,10,FALSE),"")</f>
        <v/>
      </c>
      <c r="I1427" s="112" t="str">
        <f>IFERROR(VLOOKUP(Table1722[[#This Row],[Bukti]],Table13[#Data],11,FALSE),"")</f>
        <v/>
      </c>
    </row>
    <row r="1428" spans="1:9" ht="19.5" hidden="1" customHeight="1" x14ac:dyDescent="0.2">
      <c r="A1428" s="105" t="str">
        <f>IF(D1428=1,COUNTIF($D$10:D1428,1)," ")</f>
        <v xml:space="preserve"> </v>
      </c>
      <c r="B1428" s="106">
        <f>COPY!AR1420</f>
        <v>0</v>
      </c>
      <c r="C1428" s="107">
        <f>COPY!AC1420</f>
        <v>0</v>
      </c>
      <c r="D1428" s="107" t="str">
        <f>IF(LEN(Table1722[[#This Row],[Uraian]])&gt;2,1," ")</f>
        <v xml:space="preserve"> </v>
      </c>
      <c r="E1428" s="113" t="str">
        <f>IF(Table1722[[#This Row],[Lawan Transaksi]]="CV AGUNG KARYA",COUNTIF($I$10:I1428,"CV AGUNG KARYA")," ")</f>
        <v xml:space="preserve"> </v>
      </c>
      <c r="F1428" s="107" t="str">
        <f>IF(LEN(Table1722[[#This Row],[Uraian]])&gt;2,TRIM(RIGHT(SUBSTITUTE(TRIM(C1428)," ",REPT(" ",255)),255))," ")</f>
        <v xml:space="preserve"> </v>
      </c>
      <c r="G1428" s="110">
        <f>COPY!Z1420</f>
        <v>0</v>
      </c>
      <c r="H1428" s="111" t="str">
        <f>IFERROR(VLOOKUP(Table1722[[#This Row],[Bukti]],'Un nOTA'!$A$4:$K$5003,10,FALSE),"")</f>
        <v/>
      </c>
      <c r="I1428" s="112" t="str">
        <f>IFERROR(VLOOKUP(Table1722[[#This Row],[Bukti]],Table13[#Data],11,FALSE),"")</f>
        <v/>
      </c>
    </row>
    <row r="1429" spans="1:9" ht="19.5" hidden="1" customHeight="1" x14ac:dyDescent="0.2">
      <c r="A1429" s="105" t="str">
        <f>IF(D1429=1,COUNTIF($D$10:D1429,1)," ")</f>
        <v xml:space="preserve"> </v>
      </c>
      <c r="B1429" s="106">
        <f>COPY!AR1421</f>
        <v>0</v>
      </c>
      <c r="C1429" s="107">
        <f>COPY!AC1421</f>
        <v>0</v>
      </c>
      <c r="D1429" s="107" t="str">
        <f>IF(LEN(Table1722[[#This Row],[Uraian]])&gt;2,1," ")</f>
        <v xml:space="preserve"> </v>
      </c>
      <c r="E1429" s="113" t="str">
        <f>IF(Table1722[[#This Row],[Lawan Transaksi]]="CV AGUNG KARYA",COUNTIF($I$10:I1429,"CV AGUNG KARYA")," ")</f>
        <v xml:space="preserve"> </v>
      </c>
      <c r="F1429" s="107" t="str">
        <f>IF(LEN(Table1722[[#This Row],[Uraian]])&gt;2,TRIM(RIGHT(SUBSTITUTE(TRIM(C1429)," ",REPT(" ",255)),255))," ")</f>
        <v xml:space="preserve"> </v>
      </c>
      <c r="G1429" s="110">
        <f>COPY!Z1421</f>
        <v>0</v>
      </c>
      <c r="H1429" s="111" t="str">
        <f>IFERROR(VLOOKUP(Table1722[[#This Row],[Bukti]],'Un nOTA'!$A$4:$K$5003,10,FALSE),"")</f>
        <v/>
      </c>
      <c r="I1429" s="112" t="str">
        <f>IFERROR(VLOOKUP(Table1722[[#This Row],[Bukti]],Table13[#Data],11,FALSE),"")</f>
        <v/>
      </c>
    </row>
    <row r="1430" spans="1:9" ht="19.5" hidden="1" customHeight="1" x14ac:dyDescent="0.2">
      <c r="A1430" s="105" t="str">
        <f>IF(D1430=1,COUNTIF($D$10:D1430,1)," ")</f>
        <v xml:space="preserve"> </v>
      </c>
      <c r="B1430" s="106">
        <f>COPY!AR1422</f>
        <v>0</v>
      </c>
      <c r="C1430" s="107">
        <f>COPY!AC1422</f>
        <v>0</v>
      </c>
      <c r="D1430" s="107" t="str">
        <f>IF(LEN(Table1722[[#This Row],[Uraian]])&gt;2,1," ")</f>
        <v xml:space="preserve"> </v>
      </c>
      <c r="E1430" s="113" t="str">
        <f>IF(Table1722[[#This Row],[Lawan Transaksi]]="CV AGUNG KARYA",COUNTIF($I$10:I1430,"CV AGUNG KARYA")," ")</f>
        <v xml:space="preserve"> </v>
      </c>
      <c r="F1430" s="107" t="str">
        <f>IF(LEN(Table1722[[#This Row],[Uraian]])&gt;2,TRIM(RIGHT(SUBSTITUTE(TRIM(C1430)," ",REPT(" ",255)),255))," ")</f>
        <v xml:space="preserve"> </v>
      </c>
      <c r="G1430" s="110">
        <f>COPY!Z1422</f>
        <v>0</v>
      </c>
      <c r="H1430" s="111" t="str">
        <f>IFERROR(VLOOKUP(Table1722[[#This Row],[Bukti]],'Un nOTA'!$A$4:$K$5003,10,FALSE),"")</f>
        <v/>
      </c>
      <c r="I1430" s="112" t="str">
        <f>IFERROR(VLOOKUP(Table1722[[#This Row],[Bukti]],Table13[#Data],11,FALSE),"")</f>
        <v/>
      </c>
    </row>
    <row r="1431" spans="1:9" ht="19.5" hidden="1" customHeight="1" x14ac:dyDescent="0.2">
      <c r="A1431" s="105" t="str">
        <f>IF(D1431=1,COUNTIF($D$10:D1431,1)," ")</f>
        <v xml:space="preserve"> </v>
      </c>
      <c r="B1431" s="106">
        <f>COPY!AR1423</f>
        <v>0</v>
      </c>
      <c r="C1431" s="107">
        <f>COPY!AC1423</f>
        <v>0</v>
      </c>
      <c r="D1431" s="107" t="str">
        <f>IF(LEN(Table1722[[#This Row],[Uraian]])&gt;2,1," ")</f>
        <v xml:space="preserve"> </v>
      </c>
      <c r="E1431" s="113" t="str">
        <f>IF(Table1722[[#This Row],[Lawan Transaksi]]="CV AGUNG KARYA",COUNTIF($I$10:I1431,"CV AGUNG KARYA")," ")</f>
        <v xml:space="preserve"> </v>
      </c>
      <c r="F1431" s="107" t="str">
        <f>IF(LEN(Table1722[[#This Row],[Uraian]])&gt;2,TRIM(RIGHT(SUBSTITUTE(TRIM(C1431)," ",REPT(" ",255)),255))," ")</f>
        <v xml:space="preserve"> </v>
      </c>
      <c r="G1431" s="110">
        <f>COPY!Z1423</f>
        <v>0</v>
      </c>
      <c r="H1431" s="111" t="str">
        <f>IFERROR(VLOOKUP(Table1722[[#This Row],[Bukti]],'Un nOTA'!$A$4:$K$5003,10,FALSE),"")</f>
        <v/>
      </c>
      <c r="I1431" s="112" t="str">
        <f>IFERROR(VLOOKUP(Table1722[[#This Row],[Bukti]],Table13[#Data],11,FALSE),"")</f>
        <v/>
      </c>
    </row>
    <row r="1432" spans="1:9" ht="19.5" hidden="1" customHeight="1" x14ac:dyDescent="0.2">
      <c r="A1432" s="105" t="str">
        <f>IF(D1432=1,COUNTIF($D$10:D1432,1)," ")</f>
        <v xml:space="preserve"> </v>
      </c>
      <c r="B1432" s="106">
        <f>COPY!AR1424</f>
        <v>0</v>
      </c>
      <c r="C1432" s="107">
        <f>COPY!AC1424</f>
        <v>0</v>
      </c>
      <c r="D1432" s="107" t="str">
        <f>IF(LEN(Table1722[[#This Row],[Uraian]])&gt;2,1," ")</f>
        <v xml:space="preserve"> </v>
      </c>
      <c r="E1432" s="113" t="str">
        <f>IF(Table1722[[#This Row],[Lawan Transaksi]]="CV AGUNG KARYA",COUNTIF($I$10:I1432,"CV AGUNG KARYA")," ")</f>
        <v xml:space="preserve"> </v>
      </c>
      <c r="F1432" s="107" t="str">
        <f>IF(LEN(Table1722[[#This Row],[Uraian]])&gt;2,TRIM(RIGHT(SUBSTITUTE(TRIM(C1432)," ",REPT(" ",255)),255))," ")</f>
        <v xml:space="preserve"> </v>
      </c>
      <c r="G1432" s="110">
        <f>COPY!Z1424</f>
        <v>0</v>
      </c>
      <c r="H1432" s="111" t="str">
        <f>IFERROR(VLOOKUP(Table1722[[#This Row],[Bukti]],'Un nOTA'!$A$4:$K$5003,10,FALSE),"")</f>
        <v/>
      </c>
      <c r="I1432" s="112" t="str">
        <f>IFERROR(VLOOKUP(Table1722[[#This Row],[Bukti]],Table13[#Data],11,FALSE),"")</f>
        <v/>
      </c>
    </row>
    <row r="1433" spans="1:9" ht="19.5" hidden="1" customHeight="1" x14ac:dyDescent="0.2">
      <c r="A1433" s="105" t="str">
        <f>IF(D1433=1,COUNTIF($D$10:D1433,1)," ")</f>
        <v xml:space="preserve"> </v>
      </c>
      <c r="B1433" s="106">
        <f>COPY!AR1425</f>
        <v>0</v>
      </c>
      <c r="C1433" s="107">
        <f>COPY!AC1425</f>
        <v>0</v>
      </c>
      <c r="D1433" s="107" t="str">
        <f>IF(LEN(Table1722[[#This Row],[Uraian]])&gt;2,1," ")</f>
        <v xml:space="preserve"> </v>
      </c>
      <c r="E1433" s="113" t="str">
        <f>IF(Table1722[[#This Row],[Lawan Transaksi]]="CV AGUNG KARYA",COUNTIF($I$10:I1433,"CV AGUNG KARYA")," ")</f>
        <v xml:space="preserve"> </v>
      </c>
      <c r="F1433" s="107" t="str">
        <f>IF(LEN(Table1722[[#This Row],[Uraian]])&gt;2,TRIM(RIGHT(SUBSTITUTE(TRIM(C1433)," ",REPT(" ",255)),255))," ")</f>
        <v xml:space="preserve"> </v>
      </c>
      <c r="G1433" s="110">
        <f>COPY!Z1425</f>
        <v>0</v>
      </c>
      <c r="H1433" s="111" t="str">
        <f>IFERROR(VLOOKUP(Table1722[[#This Row],[Bukti]],'Un nOTA'!$A$4:$K$5003,10,FALSE),"")</f>
        <v/>
      </c>
      <c r="I1433" s="112" t="str">
        <f>IFERROR(VLOOKUP(Table1722[[#This Row],[Bukti]],Table13[#Data],11,FALSE),"")</f>
        <v/>
      </c>
    </row>
    <row r="1434" spans="1:9" ht="19.5" hidden="1" customHeight="1" x14ac:dyDescent="0.2">
      <c r="A1434" s="105" t="str">
        <f>IF(D1434=1,COUNTIF($D$10:D1434,1)," ")</f>
        <v xml:space="preserve"> </v>
      </c>
      <c r="B1434" s="106">
        <f>COPY!AR1426</f>
        <v>0</v>
      </c>
      <c r="C1434" s="107">
        <f>COPY!AC1426</f>
        <v>0</v>
      </c>
      <c r="D1434" s="107" t="str">
        <f>IF(LEN(Table1722[[#This Row],[Uraian]])&gt;2,1," ")</f>
        <v xml:space="preserve"> </v>
      </c>
      <c r="E1434" s="113" t="str">
        <f>IF(Table1722[[#This Row],[Lawan Transaksi]]="CV AGUNG KARYA",COUNTIF($I$10:I1434,"CV AGUNG KARYA")," ")</f>
        <v xml:space="preserve"> </v>
      </c>
      <c r="F1434" s="107" t="str">
        <f>IF(LEN(Table1722[[#This Row],[Uraian]])&gt;2,TRIM(RIGHT(SUBSTITUTE(TRIM(C1434)," ",REPT(" ",255)),255))," ")</f>
        <v xml:space="preserve"> </v>
      </c>
      <c r="G1434" s="110">
        <f>COPY!Z1426</f>
        <v>0</v>
      </c>
      <c r="H1434" s="111" t="str">
        <f>IFERROR(VLOOKUP(Table1722[[#This Row],[Bukti]],'Un nOTA'!$A$4:$K$5003,10,FALSE),"")</f>
        <v/>
      </c>
      <c r="I1434" s="112" t="str">
        <f>IFERROR(VLOOKUP(Table1722[[#This Row],[Bukti]],Table13[#Data],11,FALSE),"")</f>
        <v/>
      </c>
    </row>
    <row r="1435" spans="1:9" ht="19.5" hidden="1" customHeight="1" x14ac:dyDescent="0.2">
      <c r="A1435" s="105" t="str">
        <f>IF(D1435=1,COUNTIF($D$10:D1435,1)," ")</f>
        <v xml:space="preserve"> </v>
      </c>
      <c r="B1435" s="106">
        <f>COPY!AR1427</f>
        <v>0</v>
      </c>
      <c r="C1435" s="107">
        <f>COPY!AC1427</f>
        <v>0</v>
      </c>
      <c r="D1435" s="107" t="str">
        <f>IF(LEN(Table1722[[#This Row],[Uraian]])&gt;2,1," ")</f>
        <v xml:space="preserve"> </v>
      </c>
      <c r="E1435" s="113" t="str">
        <f>IF(Table1722[[#This Row],[Lawan Transaksi]]="CV AGUNG KARYA",COUNTIF($I$10:I1435,"CV AGUNG KARYA")," ")</f>
        <v xml:space="preserve"> </v>
      </c>
      <c r="F1435" s="107" t="str">
        <f>IF(LEN(Table1722[[#This Row],[Uraian]])&gt;2,TRIM(RIGHT(SUBSTITUTE(TRIM(C1435)," ",REPT(" ",255)),255))," ")</f>
        <v xml:space="preserve"> </v>
      </c>
      <c r="G1435" s="110">
        <f>COPY!Z1427</f>
        <v>0</v>
      </c>
      <c r="H1435" s="111" t="str">
        <f>IFERROR(VLOOKUP(Table1722[[#This Row],[Bukti]],'Un nOTA'!$A$4:$K$5003,10,FALSE),"")</f>
        <v/>
      </c>
      <c r="I1435" s="112" t="str">
        <f>IFERROR(VLOOKUP(Table1722[[#This Row],[Bukti]],Table13[#Data],11,FALSE),"")</f>
        <v/>
      </c>
    </row>
    <row r="1436" spans="1:9" ht="19.5" hidden="1" customHeight="1" x14ac:dyDescent="0.2">
      <c r="A1436" s="105" t="str">
        <f>IF(D1436=1,COUNTIF($D$10:D1436,1)," ")</f>
        <v xml:space="preserve"> </v>
      </c>
      <c r="B1436" s="106">
        <f>COPY!AR1428</f>
        <v>0</v>
      </c>
      <c r="C1436" s="107">
        <f>COPY!AC1428</f>
        <v>0</v>
      </c>
      <c r="D1436" s="107" t="str">
        <f>IF(LEN(Table1722[[#This Row],[Uraian]])&gt;2,1," ")</f>
        <v xml:space="preserve"> </v>
      </c>
      <c r="E1436" s="113" t="str">
        <f>IF(Table1722[[#This Row],[Lawan Transaksi]]="CV AGUNG KARYA",COUNTIF($I$10:I1436,"CV AGUNG KARYA")," ")</f>
        <v xml:space="preserve"> </v>
      </c>
      <c r="F1436" s="107" t="str">
        <f>IF(LEN(Table1722[[#This Row],[Uraian]])&gt;2,TRIM(RIGHT(SUBSTITUTE(TRIM(C1436)," ",REPT(" ",255)),255))," ")</f>
        <v xml:space="preserve"> </v>
      </c>
      <c r="G1436" s="110">
        <f>COPY!Z1428</f>
        <v>0</v>
      </c>
      <c r="H1436" s="111" t="str">
        <f>IFERROR(VLOOKUP(Table1722[[#This Row],[Bukti]],'Un nOTA'!$A$4:$K$5003,10,FALSE),"")</f>
        <v/>
      </c>
      <c r="I1436" s="112" t="str">
        <f>IFERROR(VLOOKUP(Table1722[[#This Row],[Bukti]],Table13[#Data],11,FALSE),"")</f>
        <v/>
      </c>
    </row>
    <row r="1437" spans="1:9" ht="19.5" hidden="1" customHeight="1" x14ac:dyDescent="0.2">
      <c r="A1437" s="105" t="str">
        <f>IF(D1437=1,COUNTIF($D$10:D1437,1)," ")</f>
        <v xml:space="preserve"> </v>
      </c>
      <c r="B1437" s="106">
        <f>COPY!AR1429</f>
        <v>0</v>
      </c>
      <c r="C1437" s="107">
        <f>COPY!AC1429</f>
        <v>0</v>
      </c>
      <c r="D1437" s="107" t="str">
        <f>IF(LEN(Table1722[[#This Row],[Uraian]])&gt;2,1," ")</f>
        <v xml:space="preserve"> </v>
      </c>
      <c r="E1437" s="113" t="str">
        <f>IF(Table1722[[#This Row],[Lawan Transaksi]]="CV AGUNG KARYA",COUNTIF($I$10:I1437,"CV AGUNG KARYA")," ")</f>
        <v xml:space="preserve"> </v>
      </c>
      <c r="F1437" s="107" t="str">
        <f>IF(LEN(Table1722[[#This Row],[Uraian]])&gt;2,TRIM(RIGHT(SUBSTITUTE(TRIM(C1437)," ",REPT(" ",255)),255))," ")</f>
        <v xml:space="preserve"> </v>
      </c>
      <c r="G1437" s="110">
        <f>COPY!Z1429</f>
        <v>0</v>
      </c>
      <c r="H1437" s="111" t="str">
        <f>IFERROR(VLOOKUP(Table1722[[#This Row],[Bukti]],'Un nOTA'!$A$4:$K$5003,10,FALSE),"")</f>
        <v/>
      </c>
      <c r="I1437" s="112" t="str">
        <f>IFERROR(VLOOKUP(Table1722[[#This Row],[Bukti]],Table13[#Data],11,FALSE),"")</f>
        <v/>
      </c>
    </row>
    <row r="1438" spans="1:9" ht="19.5" hidden="1" customHeight="1" x14ac:dyDescent="0.2">
      <c r="A1438" s="105" t="str">
        <f>IF(D1438=1,COUNTIF($D$10:D1438,1)," ")</f>
        <v xml:space="preserve"> </v>
      </c>
      <c r="B1438" s="106">
        <f>COPY!AR1430</f>
        <v>0</v>
      </c>
      <c r="C1438" s="107">
        <f>COPY!AC1430</f>
        <v>0</v>
      </c>
      <c r="D1438" s="107" t="str">
        <f>IF(LEN(Table1722[[#This Row],[Uraian]])&gt;2,1," ")</f>
        <v xml:space="preserve"> </v>
      </c>
      <c r="E1438" s="113" t="str">
        <f>IF(Table1722[[#This Row],[Lawan Transaksi]]="CV AGUNG KARYA",COUNTIF($I$10:I1438,"CV AGUNG KARYA")," ")</f>
        <v xml:space="preserve"> </v>
      </c>
      <c r="F1438" s="107" t="str">
        <f>IF(LEN(Table1722[[#This Row],[Uraian]])&gt;2,TRIM(RIGHT(SUBSTITUTE(TRIM(C1438)," ",REPT(" ",255)),255))," ")</f>
        <v xml:space="preserve"> </v>
      </c>
      <c r="G1438" s="110">
        <f>COPY!Z1430</f>
        <v>0</v>
      </c>
      <c r="H1438" s="111" t="str">
        <f>IFERROR(VLOOKUP(Table1722[[#This Row],[Bukti]],'Un nOTA'!$A$4:$K$5003,10,FALSE),"")</f>
        <v/>
      </c>
      <c r="I1438" s="112" t="str">
        <f>IFERROR(VLOOKUP(Table1722[[#This Row],[Bukti]],Table13[#Data],11,FALSE),"")</f>
        <v/>
      </c>
    </row>
    <row r="1439" spans="1:9" ht="19.5" hidden="1" customHeight="1" x14ac:dyDescent="0.2">
      <c r="A1439" s="105" t="str">
        <f>IF(D1439=1,COUNTIF($D$10:D1439,1)," ")</f>
        <v xml:space="preserve"> </v>
      </c>
      <c r="B1439" s="106">
        <f>COPY!AR1431</f>
        <v>0</v>
      </c>
      <c r="C1439" s="107">
        <f>COPY!AC1431</f>
        <v>0</v>
      </c>
      <c r="D1439" s="107" t="str">
        <f>IF(LEN(Table1722[[#This Row],[Uraian]])&gt;2,1," ")</f>
        <v xml:space="preserve"> </v>
      </c>
      <c r="E1439" s="113" t="str">
        <f>IF(Table1722[[#This Row],[Lawan Transaksi]]="CV AGUNG KARYA",COUNTIF($I$10:I1439,"CV AGUNG KARYA")," ")</f>
        <v xml:space="preserve"> </v>
      </c>
      <c r="F1439" s="107" t="str">
        <f>IF(LEN(Table1722[[#This Row],[Uraian]])&gt;2,TRIM(RIGHT(SUBSTITUTE(TRIM(C1439)," ",REPT(" ",255)),255))," ")</f>
        <v xml:space="preserve"> </v>
      </c>
      <c r="G1439" s="110">
        <f>COPY!Z1431</f>
        <v>0</v>
      </c>
      <c r="H1439" s="111" t="str">
        <f>IFERROR(VLOOKUP(Table1722[[#This Row],[Bukti]],'Un nOTA'!$A$4:$K$5003,10,FALSE),"")</f>
        <v/>
      </c>
      <c r="I1439" s="112" t="str">
        <f>IFERROR(VLOOKUP(Table1722[[#This Row],[Bukti]],Table13[#Data],11,FALSE),"")</f>
        <v/>
      </c>
    </row>
    <row r="1440" spans="1:9" ht="19.5" hidden="1" customHeight="1" x14ac:dyDescent="0.2">
      <c r="A1440" s="105" t="str">
        <f>IF(D1440=1,COUNTIF($D$10:D1440,1)," ")</f>
        <v xml:space="preserve"> </v>
      </c>
      <c r="B1440" s="106">
        <f>COPY!AR1432</f>
        <v>0</v>
      </c>
      <c r="C1440" s="107">
        <f>COPY!AC1432</f>
        <v>0</v>
      </c>
      <c r="D1440" s="107" t="str">
        <f>IF(LEN(Table1722[[#This Row],[Uraian]])&gt;2,1," ")</f>
        <v xml:space="preserve"> </v>
      </c>
      <c r="E1440" s="113" t="str">
        <f>IF(Table1722[[#This Row],[Lawan Transaksi]]="CV AGUNG KARYA",COUNTIF($I$10:I1440,"CV AGUNG KARYA")," ")</f>
        <v xml:space="preserve"> </v>
      </c>
      <c r="F1440" s="107" t="str">
        <f>IF(LEN(Table1722[[#This Row],[Uraian]])&gt;2,TRIM(RIGHT(SUBSTITUTE(TRIM(C1440)," ",REPT(" ",255)),255))," ")</f>
        <v xml:space="preserve"> </v>
      </c>
      <c r="G1440" s="110">
        <f>COPY!Z1432</f>
        <v>0</v>
      </c>
      <c r="H1440" s="111" t="str">
        <f>IFERROR(VLOOKUP(Table1722[[#This Row],[Bukti]],'Un nOTA'!$A$4:$K$5003,10,FALSE),"")</f>
        <v/>
      </c>
      <c r="I1440" s="112" t="str">
        <f>IFERROR(VLOOKUP(Table1722[[#This Row],[Bukti]],Table13[#Data],11,FALSE),"")</f>
        <v/>
      </c>
    </row>
    <row r="1441" spans="1:9" ht="19.5" hidden="1" customHeight="1" x14ac:dyDescent="0.2">
      <c r="A1441" s="105" t="str">
        <f>IF(D1441=1,COUNTIF($D$10:D1441,1)," ")</f>
        <v xml:space="preserve"> </v>
      </c>
      <c r="B1441" s="106">
        <f>COPY!AR1433</f>
        <v>0</v>
      </c>
      <c r="C1441" s="107">
        <f>COPY!AC1433</f>
        <v>0</v>
      </c>
      <c r="D1441" s="107" t="str">
        <f>IF(LEN(Table1722[[#This Row],[Uraian]])&gt;2,1," ")</f>
        <v xml:space="preserve"> </v>
      </c>
      <c r="E1441" s="113" t="str">
        <f>IF(Table1722[[#This Row],[Lawan Transaksi]]="CV AGUNG KARYA",COUNTIF($I$10:I1441,"CV AGUNG KARYA")," ")</f>
        <v xml:space="preserve"> </v>
      </c>
      <c r="F1441" s="107" t="str">
        <f>IF(LEN(Table1722[[#This Row],[Uraian]])&gt;2,TRIM(RIGHT(SUBSTITUTE(TRIM(C1441)," ",REPT(" ",255)),255))," ")</f>
        <v xml:space="preserve"> </v>
      </c>
      <c r="G1441" s="110">
        <f>COPY!Z1433</f>
        <v>0</v>
      </c>
      <c r="H1441" s="111" t="str">
        <f>IFERROR(VLOOKUP(Table1722[[#This Row],[Bukti]],'Un nOTA'!$A$4:$K$5003,10,FALSE),"")</f>
        <v/>
      </c>
      <c r="I1441" s="112" t="str">
        <f>IFERROR(VLOOKUP(Table1722[[#This Row],[Bukti]],Table13[#Data],11,FALSE),"")</f>
        <v/>
      </c>
    </row>
    <row r="1442" spans="1:9" ht="19.5" hidden="1" customHeight="1" x14ac:dyDescent="0.2">
      <c r="A1442" s="105" t="str">
        <f>IF(D1442=1,COUNTIF($D$10:D1442,1)," ")</f>
        <v xml:space="preserve"> </v>
      </c>
      <c r="B1442" s="106">
        <f>COPY!AR1434</f>
        <v>0</v>
      </c>
      <c r="C1442" s="107">
        <f>COPY!AC1434</f>
        <v>0</v>
      </c>
      <c r="D1442" s="107" t="str">
        <f>IF(LEN(Table1722[[#This Row],[Uraian]])&gt;2,1," ")</f>
        <v xml:space="preserve"> </v>
      </c>
      <c r="E1442" s="113" t="str">
        <f>IF(Table1722[[#This Row],[Lawan Transaksi]]="CV AGUNG KARYA",COUNTIF($I$10:I1442,"CV AGUNG KARYA")," ")</f>
        <v xml:space="preserve"> </v>
      </c>
      <c r="F1442" s="107" t="str">
        <f>IF(LEN(Table1722[[#This Row],[Uraian]])&gt;2,TRIM(RIGHT(SUBSTITUTE(TRIM(C1442)," ",REPT(" ",255)),255))," ")</f>
        <v xml:space="preserve"> </v>
      </c>
      <c r="G1442" s="110">
        <f>COPY!Z1434</f>
        <v>0</v>
      </c>
      <c r="H1442" s="111" t="str">
        <f>IFERROR(VLOOKUP(Table1722[[#This Row],[Bukti]],'Un nOTA'!$A$4:$K$5003,10,FALSE),"")</f>
        <v/>
      </c>
      <c r="I1442" s="112" t="str">
        <f>IFERROR(VLOOKUP(Table1722[[#This Row],[Bukti]],Table13[#Data],11,FALSE),"")</f>
        <v/>
      </c>
    </row>
    <row r="1443" spans="1:9" ht="19.5" hidden="1" customHeight="1" x14ac:dyDescent="0.2">
      <c r="A1443" s="105" t="str">
        <f>IF(D1443=1,COUNTIF($D$10:D1443,1)," ")</f>
        <v xml:space="preserve"> </v>
      </c>
      <c r="B1443" s="106">
        <f>COPY!AR1435</f>
        <v>0</v>
      </c>
      <c r="C1443" s="107">
        <f>COPY!AC1435</f>
        <v>0</v>
      </c>
      <c r="D1443" s="107" t="str">
        <f>IF(LEN(Table1722[[#This Row],[Uraian]])&gt;2,1," ")</f>
        <v xml:space="preserve"> </v>
      </c>
      <c r="E1443" s="113" t="str">
        <f>IF(Table1722[[#This Row],[Lawan Transaksi]]="CV AGUNG KARYA",COUNTIF($I$10:I1443,"CV AGUNG KARYA")," ")</f>
        <v xml:space="preserve"> </v>
      </c>
      <c r="F1443" s="107" t="str">
        <f>IF(LEN(Table1722[[#This Row],[Uraian]])&gt;2,TRIM(RIGHT(SUBSTITUTE(TRIM(C1443)," ",REPT(" ",255)),255))," ")</f>
        <v xml:space="preserve"> </v>
      </c>
      <c r="G1443" s="110">
        <f>COPY!Z1435</f>
        <v>0</v>
      </c>
      <c r="H1443" s="111" t="str">
        <f>IFERROR(VLOOKUP(Table1722[[#This Row],[Bukti]],'Un nOTA'!$A$4:$K$5003,10,FALSE),"")</f>
        <v/>
      </c>
      <c r="I1443" s="112" t="str">
        <f>IFERROR(VLOOKUP(Table1722[[#This Row],[Bukti]],Table13[#Data],11,FALSE),"")</f>
        <v/>
      </c>
    </row>
    <row r="1444" spans="1:9" ht="19.5" hidden="1" customHeight="1" x14ac:dyDescent="0.2">
      <c r="A1444" s="105" t="str">
        <f>IF(D1444=1,COUNTIF($D$10:D1444,1)," ")</f>
        <v xml:space="preserve"> </v>
      </c>
      <c r="B1444" s="106">
        <f>COPY!AR1436</f>
        <v>0</v>
      </c>
      <c r="C1444" s="107">
        <f>COPY!AC1436</f>
        <v>0</v>
      </c>
      <c r="D1444" s="107" t="str">
        <f>IF(LEN(Table1722[[#This Row],[Uraian]])&gt;2,1," ")</f>
        <v xml:space="preserve"> </v>
      </c>
      <c r="E1444" s="113" t="str">
        <f>IF(Table1722[[#This Row],[Lawan Transaksi]]="CV AGUNG KARYA",COUNTIF($I$10:I1444,"CV AGUNG KARYA")," ")</f>
        <v xml:space="preserve"> </v>
      </c>
      <c r="F1444" s="107" t="str">
        <f>IF(LEN(Table1722[[#This Row],[Uraian]])&gt;2,TRIM(RIGHT(SUBSTITUTE(TRIM(C1444)," ",REPT(" ",255)),255))," ")</f>
        <v xml:space="preserve"> </v>
      </c>
      <c r="G1444" s="110">
        <f>COPY!Z1436</f>
        <v>0</v>
      </c>
      <c r="H1444" s="111" t="str">
        <f>IFERROR(VLOOKUP(Table1722[[#This Row],[Bukti]],'Un nOTA'!$A$4:$K$5003,10,FALSE),"")</f>
        <v/>
      </c>
      <c r="I1444" s="112" t="str">
        <f>IFERROR(VLOOKUP(Table1722[[#This Row],[Bukti]],Table13[#Data],11,FALSE),"")</f>
        <v/>
      </c>
    </row>
    <row r="1445" spans="1:9" ht="19.5" hidden="1" customHeight="1" x14ac:dyDescent="0.2">
      <c r="A1445" s="105" t="str">
        <f>IF(D1445=1,COUNTIF($D$10:D1445,1)," ")</f>
        <v xml:space="preserve"> </v>
      </c>
      <c r="B1445" s="106">
        <f>COPY!AR1437</f>
        <v>0</v>
      </c>
      <c r="C1445" s="107">
        <f>COPY!AC1437</f>
        <v>0</v>
      </c>
      <c r="D1445" s="107" t="str">
        <f>IF(LEN(Table1722[[#This Row],[Uraian]])&gt;2,1," ")</f>
        <v xml:space="preserve"> </v>
      </c>
      <c r="E1445" s="113" t="str">
        <f>IF(Table1722[[#This Row],[Lawan Transaksi]]="CV AGUNG KARYA",COUNTIF($I$10:I1445,"CV AGUNG KARYA")," ")</f>
        <v xml:space="preserve"> </v>
      </c>
      <c r="F1445" s="107" t="str">
        <f>IF(LEN(Table1722[[#This Row],[Uraian]])&gt;2,TRIM(RIGHT(SUBSTITUTE(TRIM(C1445)," ",REPT(" ",255)),255))," ")</f>
        <v xml:space="preserve"> </v>
      </c>
      <c r="G1445" s="110">
        <f>COPY!Z1437</f>
        <v>0</v>
      </c>
      <c r="H1445" s="111" t="str">
        <f>IFERROR(VLOOKUP(Table1722[[#This Row],[Bukti]],'Un nOTA'!$A$4:$K$5003,10,FALSE),"")</f>
        <v/>
      </c>
      <c r="I1445" s="112" t="str">
        <f>IFERROR(VLOOKUP(Table1722[[#This Row],[Bukti]],Table13[#Data],11,FALSE),"")</f>
        <v/>
      </c>
    </row>
    <row r="1446" spans="1:9" ht="19.5" hidden="1" customHeight="1" x14ac:dyDescent="0.2">
      <c r="A1446" s="105" t="str">
        <f>IF(D1446=1,COUNTIF($D$10:D1446,1)," ")</f>
        <v xml:space="preserve"> </v>
      </c>
      <c r="B1446" s="106">
        <f>COPY!AR1438</f>
        <v>0</v>
      </c>
      <c r="C1446" s="107">
        <f>COPY!AC1438</f>
        <v>0</v>
      </c>
      <c r="D1446" s="107" t="str">
        <f>IF(LEN(Table1722[[#This Row],[Uraian]])&gt;2,1," ")</f>
        <v xml:space="preserve"> </v>
      </c>
      <c r="E1446" s="113" t="str">
        <f>IF(Table1722[[#This Row],[Lawan Transaksi]]="CV AGUNG KARYA",COUNTIF($I$10:I1446,"CV AGUNG KARYA")," ")</f>
        <v xml:space="preserve"> </v>
      </c>
      <c r="F1446" s="107" t="str">
        <f>IF(LEN(Table1722[[#This Row],[Uraian]])&gt;2,TRIM(RIGHT(SUBSTITUTE(TRIM(C1446)," ",REPT(" ",255)),255))," ")</f>
        <v xml:space="preserve"> </v>
      </c>
      <c r="G1446" s="110">
        <f>COPY!Z1438</f>
        <v>0</v>
      </c>
      <c r="H1446" s="111" t="str">
        <f>IFERROR(VLOOKUP(Table1722[[#This Row],[Bukti]],'Un nOTA'!$A$4:$K$5003,10,FALSE),"")</f>
        <v/>
      </c>
      <c r="I1446" s="112" t="str">
        <f>IFERROR(VLOOKUP(Table1722[[#This Row],[Bukti]],Table13[#Data],11,FALSE),"")</f>
        <v/>
      </c>
    </row>
    <row r="1447" spans="1:9" ht="19.5" hidden="1" customHeight="1" x14ac:dyDescent="0.2">
      <c r="A1447" s="105" t="str">
        <f>IF(D1447=1,COUNTIF($D$10:D1447,1)," ")</f>
        <v xml:space="preserve"> </v>
      </c>
      <c r="B1447" s="106">
        <f>COPY!AR1439</f>
        <v>0</v>
      </c>
      <c r="C1447" s="107">
        <f>COPY!AC1439</f>
        <v>0</v>
      </c>
      <c r="D1447" s="107" t="str">
        <f>IF(LEN(Table1722[[#This Row],[Uraian]])&gt;2,1," ")</f>
        <v xml:space="preserve"> </v>
      </c>
      <c r="E1447" s="113" t="str">
        <f>IF(Table1722[[#This Row],[Lawan Transaksi]]="CV AGUNG KARYA",COUNTIF($I$10:I1447,"CV AGUNG KARYA")," ")</f>
        <v xml:space="preserve"> </v>
      </c>
      <c r="F1447" s="107" t="str">
        <f>IF(LEN(Table1722[[#This Row],[Uraian]])&gt;2,TRIM(RIGHT(SUBSTITUTE(TRIM(C1447)," ",REPT(" ",255)),255))," ")</f>
        <v xml:space="preserve"> </v>
      </c>
      <c r="G1447" s="110">
        <f>COPY!Z1439</f>
        <v>0</v>
      </c>
      <c r="H1447" s="111" t="str">
        <f>IFERROR(VLOOKUP(Table1722[[#This Row],[Bukti]],'Un nOTA'!$A$4:$K$5003,10,FALSE),"")</f>
        <v/>
      </c>
      <c r="I1447" s="112" t="str">
        <f>IFERROR(VLOOKUP(Table1722[[#This Row],[Bukti]],Table13[#Data],11,FALSE),"")</f>
        <v/>
      </c>
    </row>
    <row r="1448" spans="1:9" ht="19.5" hidden="1" customHeight="1" x14ac:dyDescent="0.2">
      <c r="A1448" s="105" t="str">
        <f>IF(D1448=1,COUNTIF($D$10:D1448,1)," ")</f>
        <v xml:space="preserve"> </v>
      </c>
      <c r="B1448" s="106">
        <f>COPY!AR1440</f>
        <v>0</v>
      </c>
      <c r="C1448" s="107">
        <f>COPY!AC1440</f>
        <v>0</v>
      </c>
      <c r="D1448" s="107" t="str">
        <f>IF(LEN(Table1722[[#This Row],[Uraian]])&gt;2,1," ")</f>
        <v xml:space="preserve"> </v>
      </c>
      <c r="E1448" s="113" t="str">
        <f>IF(Table1722[[#This Row],[Lawan Transaksi]]="CV AGUNG KARYA",COUNTIF($I$10:I1448,"CV AGUNG KARYA")," ")</f>
        <v xml:space="preserve"> </v>
      </c>
      <c r="F1448" s="107" t="str">
        <f>IF(LEN(Table1722[[#This Row],[Uraian]])&gt;2,TRIM(RIGHT(SUBSTITUTE(TRIM(C1448)," ",REPT(" ",255)),255))," ")</f>
        <v xml:space="preserve"> </v>
      </c>
      <c r="G1448" s="110">
        <f>COPY!Z1440</f>
        <v>0</v>
      </c>
      <c r="H1448" s="111" t="str">
        <f>IFERROR(VLOOKUP(Table1722[[#This Row],[Bukti]],'Un nOTA'!$A$4:$K$5003,10,FALSE),"")</f>
        <v/>
      </c>
      <c r="I1448" s="112" t="str">
        <f>IFERROR(VLOOKUP(Table1722[[#This Row],[Bukti]],Table13[#Data],11,FALSE),"")</f>
        <v/>
      </c>
    </row>
    <row r="1449" spans="1:9" ht="19.5" hidden="1" customHeight="1" x14ac:dyDescent="0.2">
      <c r="A1449" s="105" t="str">
        <f>IF(D1449=1,COUNTIF($D$10:D1449,1)," ")</f>
        <v xml:space="preserve"> </v>
      </c>
      <c r="B1449" s="106">
        <f>COPY!AR1441</f>
        <v>0</v>
      </c>
      <c r="C1449" s="107">
        <f>COPY!AC1441</f>
        <v>0</v>
      </c>
      <c r="D1449" s="107" t="str">
        <f>IF(LEN(Table1722[[#This Row],[Uraian]])&gt;2,1," ")</f>
        <v xml:space="preserve"> </v>
      </c>
      <c r="E1449" s="113" t="str">
        <f>IF(Table1722[[#This Row],[Lawan Transaksi]]="CV AGUNG KARYA",COUNTIF($I$10:I1449,"CV AGUNG KARYA")," ")</f>
        <v xml:space="preserve"> </v>
      </c>
      <c r="F1449" s="107" t="str">
        <f>IF(LEN(Table1722[[#This Row],[Uraian]])&gt;2,TRIM(RIGHT(SUBSTITUTE(TRIM(C1449)," ",REPT(" ",255)),255))," ")</f>
        <v xml:space="preserve"> </v>
      </c>
      <c r="G1449" s="110">
        <f>COPY!Z1441</f>
        <v>0</v>
      </c>
      <c r="H1449" s="111" t="str">
        <f>IFERROR(VLOOKUP(Table1722[[#This Row],[Bukti]],'Un nOTA'!$A$4:$K$5003,10,FALSE),"")</f>
        <v/>
      </c>
      <c r="I1449" s="112" t="str">
        <f>IFERROR(VLOOKUP(Table1722[[#This Row],[Bukti]],Table13[#Data],11,FALSE),"")</f>
        <v/>
      </c>
    </row>
    <row r="1450" spans="1:9" ht="19.5" hidden="1" customHeight="1" x14ac:dyDescent="0.2">
      <c r="A1450" s="105" t="str">
        <f>IF(D1450=1,COUNTIF($D$10:D1450,1)," ")</f>
        <v xml:space="preserve"> </v>
      </c>
      <c r="B1450" s="106">
        <f>COPY!AR1442</f>
        <v>0</v>
      </c>
      <c r="C1450" s="107">
        <f>COPY!AC1442</f>
        <v>0</v>
      </c>
      <c r="D1450" s="107" t="str">
        <f>IF(LEN(Table1722[[#This Row],[Uraian]])&gt;2,1," ")</f>
        <v xml:space="preserve"> </v>
      </c>
      <c r="E1450" s="113" t="str">
        <f>IF(Table1722[[#This Row],[Lawan Transaksi]]="CV AGUNG KARYA",COUNTIF($I$10:I1450,"CV AGUNG KARYA")," ")</f>
        <v xml:space="preserve"> </v>
      </c>
      <c r="F1450" s="107" t="str">
        <f>IF(LEN(Table1722[[#This Row],[Uraian]])&gt;2,TRIM(RIGHT(SUBSTITUTE(TRIM(C1450)," ",REPT(" ",255)),255))," ")</f>
        <v xml:space="preserve"> </v>
      </c>
      <c r="G1450" s="110">
        <f>COPY!Z1442</f>
        <v>0</v>
      </c>
      <c r="H1450" s="111" t="str">
        <f>IFERROR(VLOOKUP(Table1722[[#This Row],[Bukti]],'Un nOTA'!$A$4:$K$5003,10,FALSE),"")</f>
        <v/>
      </c>
      <c r="I1450" s="112" t="str">
        <f>IFERROR(VLOOKUP(Table1722[[#This Row],[Bukti]],Table13[#Data],11,FALSE),"")</f>
        <v/>
      </c>
    </row>
    <row r="1451" spans="1:9" ht="19.5" hidden="1" customHeight="1" x14ac:dyDescent="0.2">
      <c r="A1451" s="105" t="str">
        <f>IF(D1451=1,COUNTIF($D$10:D1451,1)," ")</f>
        <v xml:space="preserve"> </v>
      </c>
      <c r="B1451" s="106">
        <f>COPY!AR1443</f>
        <v>0</v>
      </c>
      <c r="C1451" s="107">
        <f>COPY!AC1443</f>
        <v>0</v>
      </c>
      <c r="D1451" s="107" t="str">
        <f>IF(LEN(Table1722[[#This Row],[Uraian]])&gt;2,1," ")</f>
        <v xml:space="preserve"> </v>
      </c>
      <c r="E1451" s="113" t="str">
        <f>IF(Table1722[[#This Row],[Lawan Transaksi]]="CV AGUNG KARYA",COUNTIF($I$10:I1451,"CV AGUNG KARYA")," ")</f>
        <v xml:space="preserve"> </v>
      </c>
      <c r="F1451" s="107" t="str">
        <f>IF(LEN(Table1722[[#This Row],[Uraian]])&gt;2,TRIM(RIGHT(SUBSTITUTE(TRIM(C1451)," ",REPT(" ",255)),255))," ")</f>
        <v xml:space="preserve"> </v>
      </c>
      <c r="G1451" s="110">
        <f>COPY!Z1443</f>
        <v>0</v>
      </c>
      <c r="H1451" s="111" t="str">
        <f>IFERROR(VLOOKUP(Table1722[[#This Row],[Bukti]],'Un nOTA'!$A$4:$K$5003,10,FALSE),"")</f>
        <v/>
      </c>
      <c r="I1451" s="112" t="str">
        <f>IFERROR(VLOOKUP(Table1722[[#This Row],[Bukti]],Table13[#Data],11,FALSE),"")</f>
        <v/>
      </c>
    </row>
    <row r="1452" spans="1:9" ht="19.5" hidden="1" customHeight="1" x14ac:dyDescent="0.2">
      <c r="A1452" s="105" t="str">
        <f>IF(D1452=1,COUNTIF($D$10:D1452,1)," ")</f>
        <v xml:space="preserve"> </v>
      </c>
      <c r="B1452" s="106">
        <f>COPY!AR1444</f>
        <v>0</v>
      </c>
      <c r="C1452" s="107">
        <f>COPY!AC1444</f>
        <v>0</v>
      </c>
      <c r="D1452" s="107" t="str">
        <f>IF(LEN(Table1722[[#This Row],[Uraian]])&gt;2,1," ")</f>
        <v xml:space="preserve"> </v>
      </c>
      <c r="E1452" s="113" t="str">
        <f>IF(Table1722[[#This Row],[Lawan Transaksi]]="CV AGUNG KARYA",COUNTIF($I$10:I1452,"CV AGUNG KARYA")," ")</f>
        <v xml:space="preserve"> </v>
      </c>
      <c r="F1452" s="107" t="str">
        <f>IF(LEN(Table1722[[#This Row],[Uraian]])&gt;2,TRIM(RIGHT(SUBSTITUTE(TRIM(C1452)," ",REPT(" ",255)),255))," ")</f>
        <v xml:space="preserve"> </v>
      </c>
      <c r="G1452" s="110">
        <f>COPY!Z1444</f>
        <v>0</v>
      </c>
      <c r="H1452" s="111" t="str">
        <f>IFERROR(VLOOKUP(Table1722[[#This Row],[Bukti]],'Un nOTA'!$A$4:$K$5003,10,FALSE),"")</f>
        <v/>
      </c>
      <c r="I1452" s="112" t="str">
        <f>IFERROR(VLOOKUP(Table1722[[#This Row],[Bukti]],Table13[#Data],11,FALSE),"")</f>
        <v/>
      </c>
    </row>
    <row r="1453" spans="1:9" ht="19.5" hidden="1" customHeight="1" x14ac:dyDescent="0.2">
      <c r="A1453" s="105" t="str">
        <f>IF(D1453=1,COUNTIF($D$10:D1453,1)," ")</f>
        <v xml:space="preserve"> </v>
      </c>
      <c r="B1453" s="106">
        <f>COPY!AR1445</f>
        <v>0</v>
      </c>
      <c r="C1453" s="107">
        <f>COPY!AC1445</f>
        <v>0</v>
      </c>
      <c r="D1453" s="107" t="str">
        <f>IF(LEN(Table1722[[#This Row],[Uraian]])&gt;2,1," ")</f>
        <v xml:space="preserve"> </v>
      </c>
      <c r="E1453" s="113" t="str">
        <f>IF(Table1722[[#This Row],[Lawan Transaksi]]="CV AGUNG KARYA",COUNTIF($I$10:I1453,"CV AGUNG KARYA")," ")</f>
        <v xml:space="preserve"> </v>
      </c>
      <c r="F1453" s="107" t="str">
        <f>IF(LEN(Table1722[[#This Row],[Uraian]])&gt;2,TRIM(RIGHT(SUBSTITUTE(TRIM(C1453)," ",REPT(" ",255)),255))," ")</f>
        <v xml:space="preserve"> </v>
      </c>
      <c r="G1453" s="110">
        <f>COPY!Z1445</f>
        <v>0</v>
      </c>
      <c r="H1453" s="111" t="str">
        <f>IFERROR(VLOOKUP(Table1722[[#This Row],[Bukti]],'Un nOTA'!$A$4:$K$5003,10,FALSE),"")</f>
        <v/>
      </c>
      <c r="I1453" s="112" t="str">
        <f>IFERROR(VLOOKUP(Table1722[[#This Row],[Bukti]],Table13[#Data],11,FALSE),"")</f>
        <v/>
      </c>
    </row>
    <row r="1454" spans="1:9" ht="19.5" hidden="1" customHeight="1" x14ac:dyDescent="0.2">
      <c r="A1454" s="105" t="str">
        <f>IF(D1454=1,COUNTIF($D$10:D1454,1)," ")</f>
        <v xml:space="preserve"> </v>
      </c>
      <c r="B1454" s="106">
        <f>COPY!AR1446</f>
        <v>0</v>
      </c>
      <c r="C1454" s="107">
        <f>COPY!AC1446</f>
        <v>0</v>
      </c>
      <c r="D1454" s="107" t="str">
        <f>IF(LEN(Table1722[[#This Row],[Uraian]])&gt;2,1," ")</f>
        <v xml:space="preserve"> </v>
      </c>
      <c r="E1454" s="113" t="str">
        <f>IF(Table1722[[#This Row],[Lawan Transaksi]]="CV AGUNG KARYA",COUNTIF($I$10:I1454,"CV AGUNG KARYA")," ")</f>
        <v xml:space="preserve"> </v>
      </c>
      <c r="F1454" s="107" t="str">
        <f>IF(LEN(Table1722[[#This Row],[Uraian]])&gt;2,TRIM(RIGHT(SUBSTITUTE(TRIM(C1454)," ",REPT(" ",255)),255))," ")</f>
        <v xml:space="preserve"> </v>
      </c>
      <c r="G1454" s="110">
        <f>COPY!Z1446</f>
        <v>0</v>
      </c>
      <c r="H1454" s="111" t="str">
        <f>IFERROR(VLOOKUP(Table1722[[#This Row],[Bukti]],'Un nOTA'!$A$4:$K$5003,10,FALSE),"")</f>
        <v/>
      </c>
      <c r="I1454" s="112" t="str">
        <f>IFERROR(VLOOKUP(Table1722[[#This Row],[Bukti]],Table13[#Data],11,FALSE),"")</f>
        <v/>
      </c>
    </row>
    <row r="1455" spans="1:9" ht="19.5" hidden="1" customHeight="1" x14ac:dyDescent="0.2">
      <c r="A1455" s="105" t="str">
        <f>IF(D1455=1,COUNTIF($D$10:D1455,1)," ")</f>
        <v xml:space="preserve"> </v>
      </c>
      <c r="B1455" s="106">
        <f>COPY!AR1447</f>
        <v>0</v>
      </c>
      <c r="C1455" s="107">
        <f>COPY!AC1447</f>
        <v>0</v>
      </c>
      <c r="D1455" s="107" t="str">
        <f>IF(LEN(Table1722[[#This Row],[Uraian]])&gt;2,1," ")</f>
        <v xml:space="preserve"> </v>
      </c>
      <c r="E1455" s="113" t="str">
        <f>IF(Table1722[[#This Row],[Lawan Transaksi]]="CV AGUNG KARYA",COUNTIF($I$10:I1455,"CV AGUNG KARYA")," ")</f>
        <v xml:space="preserve"> </v>
      </c>
      <c r="F1455" s="107" t="str">
        <f>IF(LEN(Table1722[[#This Row],[Uraian]])&gt;2,TRIM(RIGHT(SUBSTITUTE(TRIM(C1455)," ",REPT(" ",255)),255))," ")</f>
        <v xml:space="preserve"> </v>
      </c>
      <c r="G1455" s="110">
        <f>COPY!Z1447</f>
        <v>0</v>
      </c>
      <c r="H1455" s="111" t="str">
        <f>IFERROR(VLOOKUP(Table1722[[#This Row],[Bukti]],'Un nOTA'!$A$4:$K$5003,10,FALSE),"")</f>
        <v/>
      </c>
      <c r="I1455" s="112" t="str">
        <f>IFERROR(VLOOKUP(Table1722[[#This Row],[Bukti]],Table13[#Data],11,FALSE),"")</f>
        <v/>
      </c>
    </row>
    <row r="1456" spans="1:9" ht="19.5" hidden="1" customHeight="1" x14ac:dyDescent="0.2">
      <c r="A1456" s="105" t="str">
        <f>IF(D1456=1,COUNTIF($D$10:D1456,1)," ")</f>
        <v xml:space="preserve"> </v>
      </c>
      <c r="B1456" s="106">
        <f>COPY!AR1448</f>
        <v>0</v>
      </c>
      <c r="C1456" s="107">
        <f>COPY!AC1448</f>
        <v>0</v>
      </c>
      <c r="D1456" s="107" t="str">
        <f>IF(LEN(Table1722[[#This Row],[Uraian]])&gt;2,1," ")</f>
        <v xml:space="preserve"> </v>
      </c>
      <c r="E1456" s="113" t="str">
        <f>IF(Table1722[[#This Row],[Lawan Transaksi]]="CV AGUNG KARYA",COUNTIF($I$10:I1456,"CV AGUNG KARYA")," ")</f>
        <v xml:space="preserve"> </v>
      </c>
      <c r="F1456" s="107" t="str">
        <f>IF(LEN(Table1722[[#This Row],[Uraian]])&gt;2,TRIM(RIGHT(SUBSTITUTE(TRIM(C1456)," ",REPT(" ",255)),255))," ")</f>
        <v xml:space="preserve"> </v>
      </c>
      <c r="G1456" s="110">
        <f>COPY!Z1448</f>
        <v>0</v>
      </c>
      <c r="H1456" s="111" t="str">
        <f>IFERROR(VLOOKUP(Table1722[[#This Row],[Bukti]],'Un nOTA'!$A$4:$K$5003,10,FALSE),"")</f>
        <v/>
      </c>
      <c r="I1456" s="112" t="str">
        <f>IFERROR(VLOOKUP(Table1722[[#This Row],[Bukti]],Table13[#Data],11,FALSE),"")</f>
        <v/>
      </c>
    </row>
    <row r="1457" spans="1:9" ht="19.5" hidden="1" customHeight="1" x14ac:dyDescent="0.2">
      <c r="A1457" s="105" t="str">
        <f>IF(D1457=1,COUNTIF($D$10:D1457,1)," ")</f>
        <v xml:space="preserve"> </v>
      </c>
      <c r="B1457" s="106">
        <f>COPY!AR1449</f>
        <v>0</v>
      </c>
      <c r="C1457" s="107">
        <f>COPY!AC1449</f>
        <v>0</v>
      </c>
      <c r="D1457" s="107" t="str">
        <f>IF(LEN(Table1722[[#This Row],[Uraian]])&gt;2,1," ")</f>
        <v xml:space="preserve"> </v>
      </c>
      <c r="E1457" s="113" t="str">
        <f>IF(Table1722[[#This Row],[Lawan Transaksi]]="CV AGUNG KARYA",COUNTIF($I$10:I1457,"CV AGUNG KARYA")," ")</f>
        <v xml:space="preserve"> </v>
      </c>
      <c r="F1457" s="107" t="str">
        <f>IF(LEN(Table1722[[#This Row],[Uraian]])&gt;2,TRIM(RIGHT(SUBSTITUTE(TRIM(C1457)," ",REPT(" ",255)),255))," ")</f>
        <v xml:space="preserve"> </v>
      </c>
      <c r="G1457" s="110">
        <f>COPY!Z1449</f>
        <v>0</v>
      </c>
      <c r="H1457" s="111" t="str">
        <f>IFERROR(VLOOKUP(Table1722[[#This Row],[Bukti]],'Un nOTA'!$A$4:$K$5003,10,FALSE),"")</f>
        <v/>
      </c>
      <c r="I1457" s="112" t="str">
        <f>IFERROR(VLOOKUP(Table1722[[#This Row],[Bukti]],Table13[#Data],11,FALSE),"")</f>
        <v/>
      </c>
    </row>
    <row r="1458" spans="1:9" ht="19.5" hidden="1" customHeight="1" x14ac:dyDescent="0.2">
      <c r="A1458" s="105" t="str">
        <f>IF(D1458=1,COUNTIF($D$10:D1458,1)," ")</f>
        <v xml:space="preserve"> </v>
      </c>
      <c r="B1458" s="106">
        <f>COPY!AR1450</f>
        <v>0</v>
      </c>
      <c r="C1458" s="107">
        <f>COPY!AC1450</f>
        <v>0</v>
      </c>
      <c r="D1458" s="107" t="str">
        <f>IF(LEN(Table1722[[#This Row],[Uraian]])&gt;2,1," ")</f>
        <v xml:space="preserve"> </v>
      </c>
      <c r="E1458" s="113" t="str">
        <f>IF(Table1722[[#This Row],[Lawan Transaksi]]="CV AGUNG KARYA",COUNTIF($I$10:I1458,"CV AGUNG KARYA")," ")</f>
        <v xml:space="preserve"> </v>
      </c>
      <c r="F1458" s="107" t="str">
        <f>IF(LEN(Table1722[[#This Row],[Uraian]])&gt;2,TRIM(RIGHT(SUBSTITUTE(TRIM(C1458)," ",REPT(" ",255)),255))," ")</f>
        <v xml:space="preserve"> </v>
      </c>
      <c r="G1458" s="110">
        <f>COPY!Z1450</f>
        <v>0</v>
      </c>
      <c r="H1458" s="111" t="str">
        <f>IFERROR(VLOOKUP(Table1722[[#This Row],[Bukti]],'Un nOTA'!$A$4:$K$5003,10,FALSE),"")</f>
        <v/>
      </c>
      <c r="I1458" s="112" t="str">
        <f>IFERROR(VLOOKUP(Table1722[[#This Row],[Bukti]],Table13[#Data],11,FALSE),"")</f>
        <v/>
      </c>
    </row>
    <row r="1459" spans="1:9" ht="19.5" hidden="1" customHeight="1" x14ac:dyDescent="0.2">
      <c r="A1459" s="105" t="str">
        <f>IF(D1459=1,COUNTIF($D$10:D1459,1)," ")</f>
        <v xml:space="preserve"> </v>
      </c>
      <c r="B1459" s="106">
        <f>COPY!AR1451</f>
        <v>0</v>
      </c>
      <c r="C1459" s="107">
        <f>COPY!AC1451</f>
        <v>0</v>
      </c>
      <c r="D1459" s="107" t="str">
        <f>IF(LEN(Table1722[[#This Row],[Uraian]])&gt;2,1," ")</f>
        <v xml:space="preserve"> </v>
      </c>
      <c r="E1459" s="113" t="str">
        <f>IF(Table1722[[#This Row],[Lawan Transaksi]]="CV AGUNG KARYA",COUNTIF($I$10:I1459,"CV AGUNG KARYA")," ")</f>
        <v xml:space="preserve"> </v>
      </c>
      <c r="F1459" s="107" t="str">
        <f>IF(LEN(Table1722[[#This Row],[Uraian]])&gt;2,TRIM(RIGHT(SUBSTITUTE(TRIM(C1459)," ",REPT(" ",255)),255))," ")</f>
        <v xml:space="preserve"> </v>
      </c>
      <c r="G1459" s="110">
        <f>COPY!Z1451</f>
        <v>0</v>
      </c>
      <c r="H1459" s="111" t="str">
        <f>IFERROR(VLOOKUP(Table1722[[#This Row],[Bukti]],'Un nOTA'!$A$4:$K$5003,10,FALSE),"")</f>
        <v/>
      </c>
      <c r="I1459" s="112" t="str">
        <f>IFERROR(VLOOKUP(Table1722[[#This Row],[Bukti]],Table13[#Data],11,FALSE),"")</f>
        <v/>
      </c>
    </row>
    <row r="1460" spans="1:9" ht="19.5" hidden="1" customHeight="1" x14ac:dyDescent="0.2">
      <c r="A1460" s="105" t="str">
        <f>IF(D1460=1,COUNTIF($D$10:D1460,1)," ")</f>
        <v xml:space="preserve"> </v>
      </c>
      <c r="B1460" s="106">
        <f>COPY!AR1452</f>
        <v>0</v>
      </c>
      <c r="C1460" s="107">
        <f>COPY!AC1452</f>
        <v>0</v>
      </c>
      <c r="D1460" s="107" t="str">
        <f>IF(LEN(Table1722[[#This Row],[Uraian]])&gt;2,1," ")</f>
        <v xml:space="preserve"> </v>
      </c>
      <c r="E1460" s="113" t="str">
        <f>IF(Table1722[[#This Row],[Lawan Transaksi]]="CV AGUNG KARYA",COUNTIF($I$10:I1460,"CV AGUNG KARYA")," ")</f>
        <v xml:space="preserve"> </v>
      </c>
      <c r="F1460" s="107" t="str">
        <f>IF(LEN(Table1722[[#This Row],[Uraian]])&gt;2,TRIM(RIGHT(SUBSTITUTE(TRIM(C1460)," ",REPT(" ",255)),255))," ")</f>
        <v xml:space="preserve"> </v>
      </c>
      <c r="G1460" s="110">
        <f>COPY!Z1452</f>
        <v>0</v>
      </c>
      <c r="H1460" s="111" t="str">
        <f>IFERROR(VLOOKUP(Table1722[[#This Row],[Bukti]],'Un nOTA'!$A$4:$K$5003,10,FALSE),"")</f>
        <v/>
      </c>
      <c r="I1460" s="112" t="str">
        <f>IFERROR(VLOOKUP(Table1722[[#This Row],[Bukti]],Table13[#Data],11,FALSE),"")</f>
        <v/>
      </c>
    </row>
    <row r="1461" spans="1:9" ht="19.5" hidden="1" customHeight="1" x14ac:dyDescent="0.2">
      <c r="A1461" s="105" t="str">
        <f>IF(D1461=1,COUNTIF($D$10:D1461,1)," ")</f>
        <v xml:space="preserve"> </v>
      </c>
      <c r="B1461" s="106">
        <f>COPY!AR1453</f>
        <v>0</v>
      </c>
      <c r="C1461" s="107">
        <f>COPY!AC1453</f>
        <v>0</v>
      </c>
      <c r="D1461" s="107" t="str">
        <f>IF(LEN(Table1722[[#This Row],[Uraian]])&gt;2,1," ")</f>
        <v xml:space="preserve"> </v>
      </c>
      <c r="E1461" s="113" t="str">
        <f>IF(Table1722[[#This Row],[Lawan Transaksi]]="CV AGUNG KARYA",COUNTIF($I$10:I1461,"CV AGUNG KARYA")," ")</f>
        <v xml:space="preserve"> </v>
      </c>
      <c r="F1461" s="107" t="str">
        <f>IF(LEN(Table1722[[#This Row],[Uraian]])&gt;2,TRIM(RIGHT(SUBSTITUTE(TRIM(C1461)," ",REPT(" ",255)),255))," ")</f>
        <v xml:space="preserve"> </v>
      </c>
      <c r="G1461" s="110">
        <f>COPY!Z1453</f>
        <v>0</v>
      </c>
      <c r="H1461" s="111" t="str">
        <f>IFERROR(VLOOKUP(Table1722[[#This Row],[Bukti]],'Un nOTA'!$A$4:$K$5003,10,FALSE),"")</f>
        <v/>
      </c>
      <c r="I1461" s="112" t="str">
        <f>IFERROR(VLOOKUP(Table1722[[#This Row],[Bukti]],Table13[#Data],11,FALSE),"")</f>
        <v/>
      </c>
    </row>
    <row r="1462" spans="1:9" ht="19.5" hidden="1" customHeight="1" x14ac:dyDescent="0.2">
      <c r="A1462" s="105" t="str">
        <f>IF(D1462=1,COUNTIF($D$10:D1462,1)," ")</f>
        <v xml:space="preserve"> </v>
      </c>
      <c r="B1462" s="106">
        <f>COPY!AR1454</f>
        <v>0</v>
      </c>
      <c r="C1462" s="107">
        <f>COPY!AC1454</f>
        <v>0</v>
      </c>
      <c r="D1462" s="107" t="str">
        <f>IF(LEN(Table1722[[#This Row],[Uraian]])&gt;2,1," ")</f>
        <v xml:space="preserve"> </v>
      </c>
      <c r="E1462" s="113" t="str">
        <f>IF(Table1722[[#This Row],[Lawan Transaksi]]="CV AGUNG KARYA",COUNTIF($I$10:I1462,"CV AGUNG KARYA")," ")</f>
        <v xml:space="preserve"> </v>
      </c>
      <c r="F1462" s="107" t="str">
        <f>IF(LEN(Table1722[[#This Row],[Uraian]])&gt;2,TRIM(RIGHT(SUBSTITUTE(TRIM(C1462)," ",REPT(" ",255)),255))," ")</f>
        <v xml:space="preserve"> </v>
      </c>
      <c r="G1462" s="110">
        <f>COPY!Z1454</f>
        <v>0</v>
      </c>
      <c r="H1462" s="111" t="str">
        <f>IFERROR(VLOOKUP(Table1722[[#This Row],[Bukti]],'Un nOTA'!$A$4:$K$5003,10,FALSE),"")</f>
        <v/>
      </c>
      <c r="I1462" s="112" t="str">
        <f>IFERROR(VLOOKUP(Table1722[[#This Row],[Bukti]],Table13[#Data],11,FALSE),"")</f>
        <v/>
      </c>
    </row>
    <row r="1463" spans="1:9" ht="19.5" hidden="1" customHeight="1" x14ac:dyDescent="0.2">
      <c r="A1463" s="105" t="str">
        <f>IF(D1463=1,COUNTIF($D$10:D1463,1)," ")</f>
        <v xml:space="preserve"> </v>
      </c>
      <c r="B1463" s="106">
        <f>COPY!AR1455</f>
        <v>0</v>
      </c>
      <c r="C1463" s="107">
        <f>COPY!AC1455</f>
        <v>0</v>
      </c>
      <c r="D1463" s="107" t="str">
        <f>IF(LEN(Table1722[[#This Row],[Uraian]])&gt;2,1," ")</f>
        <v xml:space="preserve"> </v>
      </c>
      <c r="E1463" s="113" t="str">
        <f>IF(Table1722[[#This Row],[Lawan Transaksi]]="CV AGUNG KARYA",COUNTIF($I$10:I1463,"CV AGUNG KARYA")," ")</f>
        <v xml:space="preserve"> </v>
      </c>
      <c r="F1463" s="107" t="str">
        <f>IF(LEN(Table1722[[#This Row],[Uraian]])&gt;2,TRIM(RIGHT(SUBSTITUTE(TRIM(C1463)," ",REPT(" ",255)),255))," ")</f>
        <v xml:space="preserve"> </v>
      </c>
      <c r="G1463" s="110">
        <f>COPY!Z1455</f>
        <v>0</v>
      </c>
      <c r="H1463" s="111" t="str">
        <f>IFERROR(VLOOKUP(Table1722[[#This Row],[Bukti]],'Un nOTA'!$A$4:$K$5003,10,FALSE),"")</f>
        <v/>
      </c>
      <c r="I1463" s="112" t="str">
        <f>IFERROR(VLOOKUP(Table1722[[#This Row],[Bukti]],Table13[#Data],11,FALSE),"")</f>
        <v/>
      </c>
    </row>
    <row r="1464" spans="1:9" ht="19.5" hidden="1" customHeight="1" x14ac:dyDescent="0.2">
      <c r="A1464" s="105" t="str">
        <f>IF(D1464=1,COUNTIF($D$10:D1464,1)," ")</f>
        <v xml:space="preserve"> </v>
      </c>
      <c r="B1464" s="106">
        <f>COPY!AR1456</f>
        <v>0</v>
      </c>
      <c r="C1464" s="107">
        <f>COPY!AC1456</f>
        <v>0</v>
      </c>
      <c r="D1464" s="107" t="str">
        <f>IF(LEN(Table1722[[#This Row],[Uraian]])&gt;2,1," ")</f>
        <v xml:space="preserve"> </v>
      </c>
      <c r="E1464" s="113" t="str">
        <f>IF(Table1722[[#This Row],[Lawan Transaksi]]="CV AGUNG KARYA",COUNTIF($I$10:I1464,"CV AGUNG KARYA")," ")</f>
        <v xml:space="preserve"> </v>
      </c>
      <c r="F1464" s="107" t="str">
        <f>IF(LEN(Table1722[[#This Row],[Uraian]])&gt;2,TRIM(RIGHT(SUBSTITUTE(TRIM(C1464)," ",REPT(" ",255)),255))," ")</f>
        <v xml:space="preserve"> </v>
      </c>
      <c r="G1464" s="110">
        <f>COPY!Z1456</f>
        <v>0</v>
      </c>
      <c r="H1464" s="111" t="str">
        <f>IFERROR(VLOOKUP(Table1722[[#This Row],[Bukti]],'Un nOTA'!$A$4:$K$5003,10,FALSE),"")</f>
        <v/>
      </c>
      <c r="I1464" s="112" t="str">
        <f>IFERROR(VLOOKUP(Table1722[[#This Row],[Bukti]],Table13[#Data],11,FALSE),"")</f>
        <v/>
      </c>
    </row>
    <row r="1465" spans="1:9" ht="19.5" hidden="1" customHeight="1" x14ac:dyDescent="0.2">
      <c r="A1465" s="105" t="str">
        <f>IF(D1465=1,COUNTIF($D$10:D1465,1)," ")</f>
        <v xml:space="preserve"> </v>
      </c>
      <c r="B1465" s="106">
        <f>COPY!AR1457</f>
        <v>0</v>
      </c>
      <c r="C1465" s="107">
        <f>COPY!AC1457</f>
        <v>0</v>
      </c>
      <c r="D1465" s="107" t="str">
        <f>IF(LEN(Table1722[[#This Row],[Uraian]])&gt;2,1," ")</f>
        <v xml:space="preserve"> </v>
      </c>
      <c r="E1465" s="113" t="str">
        <f>IF(Table1722[[#This Row],[Lawan Transaksi]]="CV AGUNG KARYA",COUNTIF($I$10:I1465,"CV AGUNG KARYA")," ")</f>
        <v xml:space="preserve"> </v>
      </c>
      <c r="F1465" s="107" t="str">
        <f>IF(LEN(Table1722[[#This Row],[Uraian]])&gt;2,TRIM(RIGHT(SUBSTITUTE(TRIM(C1465)," ",REPT(" ",255)),255))," ")</f>
        <v xml:space="preserve"> </v>
      </c>
      <c r="G1465" s="110">
        <f>COPY!Z1457</f>
        <v>0</v>
      </c>
      <c r="H1465" s="111" t="str">
        <f>IFERROR(VLOOKUP(Table1722[[#This Row],[Bukti]],'Un nOTA'!$A$4:$K$5003,10,FALSE),"")</f>
        <v/>
      </c>
      <c r="I1465" s="112" t="str">
        <f>IFERROR(VLOOKUP(Table1722[[#This Row],[Bukti]],Table13[#Data],11,FALSE),"")</f>
        <v/>
      </c>
    </row>
    <row r="1466" spans="1:9" ht="19.5" hidden="1" customHeight="1" x14ac:dyDescent="0.2">
      <c r="A1466" s="105" t="str">
        <f>IF(D1466=1,COUNTIF($D$10:D1466,1)," ")</f>
        <v xml:space="preserve"> </v>
      </c>
      <c r="B1466" s="106">
        <f>COPY!AR1458</f>
        <v>0</v>
      </c>
      <c r="C1466" s="107">
        <f>COPY!AC1458</f>
        <v>0</v>
      </c>
      <c r="D1466" s="107" t="str">
        <f>IF(LEN(Table1722[[#This Row],[Uraian]])&gt;2,1," ")</f>
        <v xml:space="preserve"> </v>
      </c>
      <c r="E1466" s="113" t="str">
        <f>IF(Table1722[[#This Row],[Lawan Transaksi]]="CV AGUNG KARYA",COUNTIF($I$10:I1466,"CV AGUNG KARYA")," ")</f>
        <v xml:space="preserve"> </v>
      </c>
      <c r="F1466" s="107" t="str">
        <f>IF(LEN(Table1722[[#This Row],[Uraian]])&gt;2,TRIM(RIGHT(SUBSTITUTE(TRIM(C1466)," ",REPT(" ",255)),255))," ")</f>
        <v xml:space="preserve"> </v>
      </c>
      <c r="G1466" s="110">
        <f>COPY!Z1458</f>
        <v>0</v>
      </c>
      <c r="H1466" s="111" t="str">
        <f>IFERROR(VLOOKUP(Table1722[[#This Row],[Bukti]],'Un nOTA'!$A$4:$K$5003,10,FALSE),"")</f>
        <v/>
      </c>
      <c r="I1466" s="112" t="str">
        <f>IFERROR(VLOOKUP(Table1722[[#This Row],[Bukti]],Table13[#Data],11,FALSE),"")</f>
        <v/>
      </c>
    </row>
    <row r="1467" spans="1:9" ht="19.5" hidden="1" customHeight="1" x14ac:dyDescent="0.2">
      <c r="A1467" s="105" t="str">
        <f>IF(D1467=1,COUNTIF($D$10:D1467,1)," ")</f>
        <v xml:space="preserve"> </v>
      </c>
      <c r="B1467" s="106">
        <f>COPY!AR1459</f>
        <v>0</v>
      </c>
      <c r="C1467" s="107">
        <f>COPY!AC1459</f>
        <v>0</v>
      </c>
      <c r="D1467" s="107" t="str">
        <f>IF(LEN(Table1722[[#This Row],[Uraian]])&gt;2,1," ")</f>
        <v xml:space="preserve"> </v>
      </c>
      <c r="E1467" s="113" t="str">
        <f>IF(Table1722[[#This Row],[Lawan Transaksi]]="CV AGUNG KARYA",COUNTIF($I$10:I1467,"CV AGUNG KARYA")," ")</f>
        <v xml:space="preserve"> </v>
      </c>
      <c r="F1467" s="107" t="str">
        <f>IF(LEN(Table1722[[#This Row],[Uraian]])&gt;2,TRIM(RIGHT(SUBSTITUTE(TRIM(C1467)," ",REPT(" ",255)),255))," ")</f>
        <v xml:space="preserve"> </v>
      </c>
      <c r="G1467" s="110">
        <f>COPY!Z1459</f>
        <v>0</v>
      </c>
      <c r="H1467" s="111" t="str">
        <f>IFERROR(VLOOKUP(Table1722[[#This Row],[Bukti]],'Un nOTA'!$A$4:$K$5003,10,FALSE),"")</f>
        <v/>
      </c>
      <c r="I1467" s="112" t="str">
        <f>IFERROR(VLOOKUP(Table1722[[#This Row],[Bukti]],Table13[#Data],11,FALSE),"")</f>
        <v/>
      </c>
    </row>
    <row r="1468" spans="1:9" ht="19.5" hidden="1" customHeight="1" x14ac:dyDescent="0.2">
      <c r="A1468" s="105" t="str">
        <f>IF(D1468=1,COUNTIF($D$10:D1468,1)," ")</f>
        <v xml:space="preserve"> </v>
      </c>
      <c r="B1468" s="106">
        <f>COPY!AR1460</f>
        <v>0</v>
      </c>
      <c r="C1468" s="107">
        <f>COPY!AC1460</f>
        <v>0</v>
      </c>
      <c r="D1468" s="107" t="str">
        <f>IF(LEN(Table1722[[#This Row],[Uraian]])&gt;2,1," ")</f>
        <v xml:space="preserve"> </v>
      </c>
      <c r="E1468" s="113" t="str">
        <f>IF(Table1722[[#This Row],[Lawan Transaksi]]="CV AGUNG KARYA",COUNTIF($I$10:I1468,"CV AGUNG KARYA")," ")</f>
        <v xml:space="preserve"> </v>
      </c>
      <c r="F1468" s="107" t="str">
        <f>IF(LEN(Table1722[[#This Row],[Uraian]])&gt;2,TRIM(RIGHT(SUBSTITUTE(TRIM(C1468)," ",REPT(" ",255)),255))," ")</f>
        <v xml:space="preserve"> </v>
      </c>
      <c r="G1468" s="110">
        <f>COPY!Z1460</f>
        <v>0</v>
      </c>
      <c r="H1468" s="111" t="str">
        <f>IFERROR(VLOOKUP(Table1722[[#This Row],[Bukti]],'Un nOTA'!$A$4:$K$5003,10,FALSE),"")</f>
        <v/>
      </c>
      <c r="I1468" s="112" t="str">
        <f>IFERROR(VLOOKUP(Table1722[[#This Row],[Bukti]],Table13[#Data],11,FALSE),"")</f>
        <v/>
      </c>
    </row>
    <row r="1469" spans="1:9" ht="19.5" hidden="1" customHeight="1" x14ac:dyDescent="0.2">
      <c r="A1469" s="105" t="str">
        <f>IF(D1469=1,COUNTIF($D$10:D1469,1)," ")</f>
        <v xml:space="preserve"> </v>
      </c>
      <c r="B1469" s="106">
        <f>COPY!AR1461</f>
        <v>0</v>
      </c>
      <c r="C1469" s="107">
        <f>COPY!AC1461</f>
        <v>0</v>
      </c>
      <c r="D1469" s="107" t="str">
        <f>IF(LEN(Table1722[[#This Row],[Uraian]])&gt;2,1," ")</f>
        <v xml:space="preserve"> </v>
      </c>
      <c r="E1469" s="113" t="str">
        <f>IF(Table1722[[#This Row],[Lawan Transaksi]]="CV AGUNG KARYA",COUNTIF($I$10:I1469,"CV AGUNG KARYA")," ")</f>
        <v xml:space="preserve"> </v>
      </c>
      <c r="F1469" s="107" t="str">
        <f>IF(LEN(Table1722[[#This Row],[Uraian]])&gt;2,TRIM(RIGHT(SUBSTITUTE(TRIM(C1469)," ",REPT(" ",255)),255))," ")</f>
        <v xml:space="preserve"> </v>
      </c>
      <c r="G1469" s="110">
        <f>COPY!Z1461</f>
        <v>0</v>
      </c>
      <c r="H1469" s="111" t="str">
        <f>IFERROR(VLOOKUP(Table1722[[#This Row],[Bukti]],'Un nOTA'!$A$4:$K$5003,10,FALSE),"")</f>
        <v/>
      </c>
      <c r="I1469" s="112" t="str">
        <f>IFERROR(VLOOKUP(Table1722[[#This Row],[Bukti]],Table13[#Data],11,FALSE),"")</f>
        <v/>
      </c>
    </row>
    <row r="1470" spans="1:9" ht="19.5" hidden="1" customHeight="1" x14ac:dyDescent="0.2">
      <c r="A1470" s="105" t="str">
        <f>IF(D1470=1,COUNTIF($D$10:D1470,1)," ")</f>
        <v xml:space="preserve"> </v>
      </c>
      <c r="B1470" s="106">
        <f>COPY!AR1462</f>
        <v>0</v>
      </c>
      <c r="C1470" s="107">
        <f>COPY!AC1462</f>
        <v>0</v>
      </c>
      <c r="D1470" s="107" t="str">
        <f>IF(LEN(Table1722[[#This Row],[Uraian]])&gt;2,1," ")</f>
        <v xml:space="preserve"> </v>
      </c>
      <c r="E1470" s="113" t="str">
        <f>IF(Table1722[[#This Row],[Lawan Transaksi]]="CV AGUNG KARYA",COUNTIF($I$10:I1470,"CV AGUNG KARYA")," ")</f>
        <v xml:space="preserve"> </v>
      </c>
      <c r="F1470" s="107" t="str">
        <f>IF(LEN(Table1722[[#This Row],[Uraian]])&gt;2,TRIM(RIGHT(SUBSTITUTE(TRIM(C1470)," ",REPT(" ",255)),255))," ")</f>
        <v xml:space="preserve"> </v>
      </c>
      <c r="G1470" s="110">
        <f>COPY!Z1462</f>
        <v>0</v>
      </c>
      <c r="H1470" s="111" t="str">
        <f>IFERROR(VLOOKUP(Table1722[[#This Row],[Bukti]],'Un nOTA'!$A$4:$K$5003,10,FALSE),"")</f>
        <v/>
      </c>
      <c r="I1470" s="112" t="str">
        <f>IFERROR(VLOOKUP(Table1722[[#This Row],[Bukti]],Table13[#Data],11,FALSE),"")</f>
        <v/>
      </c>
    </row>
    <row r="1471" spans="1:9" ht="19.5" hidden="1" customHeight="1" x14ac:dyDescent="0.2">
      <c r="A1471" s="105" t="str">
        <f>IF(D1471=1,COUNTIF($D$10:D1471,1)," ")</f>
        <v xml:space="preserve"> </v>
      </c>
      <c r="B1471" s="106">
        <f>COPY!AR1463</f>
        <v>0</v>
      </c>
      <c r="C1471" s="107">
        <f>COPY!AC1463</f>
        <v>0</v>
      </c>
      <c r="D1471" s="107" t="str">
        <f>IF(LEN(Table1722[[#This Row],[Uraian]])&gt;2,1," ")</f>
        <v xml:space="preserve"> </v>
      </c>
      <c r="E1471" s="113" t="str">
        <f>IF(Table1722[[#This Row],[Lawan Transaksi]]="CV AGUNG KARYA",COUNTIF($I$10:I1471,"CV AGUNG KARYA")," ")</f>
        <v xml:space="preserve"> </v>
      </c>
      <c r="F1471" s="107" t="str">
        <f>IF(LEN(Table1722[[#This Row],[Uraian]])&gt;2,TRIM(RIGHT(SUBSTITUTE(TRIM(C1471)," ",REPT(" ",255)),255))," ")</f>
        <v xml:space="preserve"> </v>
      </c>
      <c r="G1471" s="110">
        <f>COPY!Z1463</f>
        <v>0</v>
      </c>
      <c r="H1471" s="111" t="str">
        <f>IFERROR(VLOOKUP(Table1722[[#This Row],[Bukti]],'Un nOTA'!$A$4:$K$5003,10,FALSE),"")</f>
        <v/>
      </c>
      <c r="I1471" s="112" t="str">
        <f>IFERROR(VLOOKUP(Table1722[[#This Row],[Bukti]],Table13[#Data],11,FALSE),"")</f>
        <v/>
      </c>
    </row>
    <row r="1472" spans="1:9" ht="19.5" hidden="1" customHeight="1" x14ac:dyDescent="0.2">
      <c r="A1472" s="105" t="str">
        <f>IF(D1472=1,COUNTIF($D$10:D1472,1)," ")</f>
        <v xml:space="preserve"> </v>
      </c>
      <c r="B1472" s="106">
        <f>COPY!AR1464</f>
        <v>0</v>
      </c>
      <c r="C1472" s="107">
        <f>COPY!AC1464</f>
        <v>0</v>
      </c>
      <c r="D1472" s="107" t="str">
        <f>IF(LEN(Table1722[[#This Row],[Uraian]])&gt;2,1," ")</f>
        <v xml:space="preserve"> </v>
      </c>
      <c r="E1472" s="113" t="str">
        <f>IF(Table1722[[#This Row],[Lawan Transaksi]]="CV AGUNG KARYA",COUNTIF($I$10:I1472,"CV AGUNG KARYA")," ")</f>
        <v xml:space="preserve"> </v>
      </c>
      <c r="F1472" s="107" t="str">
        <f>IF(LEN(Table1722[[#This Row],[Uraian]])&gt;2,TRIM(RIGHT(SUBSTITUTE(TRIM(C1472)," ",REPT(" ",255)),255))," ")</f>
        <v xml:space="preserve"> </v>
      </c>
      <c r="G1472" s="110">
        <f>COPY!Z1464</f>
        <v>0</v>
      </c>
      <c r="H1472" s="111" t="str">
        <f>IFERROR(VLOOKUP(Table1722[[#This Row],[Bukti]],'Un nOTA'!$A$4:$K$5003,10,FALSE),"")</f>
        <v/>
      </c>
      <c r="I1472" s="112" t="str">
        <f>IFERROR(VLOOKUP(Table1722[[#This Row],[Bukti]],Table13[#Data],11,FALSE),"")</f>
        <v/>
      </c>
    </row>
    <row r="1473" spans="1:9" ht="19.5" hidden="1" customHeight="1" x14ac:dyDescent="0.2">
      <c r="A1473" s="105" t="str">
        <f>IF(D1473=1,COUNTIF($D$10:D1473,1)," ")</f>
        <v xml:space="preserve"> </v>
      </c>
      <c r="B1473" s="106">
        <f>COPY!AR1465</f>
        <v>0</v>
      </c>
      <c r="C1473" s="107">
        <f>COPY!AC1465</f>
        <v>0</v>
      </c>
      <c r="D1473" s="107" t="str">
        <f>IF(LEN(Table1722[[#This Row],[Uraian]])&gt;2,1," ")</f>
        <v xml:space="preserve"> </v>
      </c>
      <c r="E1473" s="113" t="str">
        <f>IF(Table1722[[#This Row],[Lawan Transaksi]]="CV AGUNG KARYA",COUNTIF($I$10:I1473,"CV AGUNG KARYA")," ")</f>
        <v xml:space="preserve"> </v>
      </c>
      <c r="F1473" s="107" t="str">
        <f>IF(LEN(Table1722[[#This Row],[Uraian]])&gt;2,TRIM(RIGHT(SUBSTITUTE(TRIM(C1473)," ",REPT(" ",255)),255))," ")</f>
        <v xml:space="preserve"> </v>
      </c>
      <c r="G1473" s="110">
        <f>COPY!Z1465</f>
        <v>0</v>
      </c>
      <c r="H1473" s="111" t="str">
        <f>IFERROR(VLOOKUP(Table1722[[#This Row],[Bukti]],'Un nOTA'!$A$4:$K$5003,10,FALSE),"")</f>
        <v/>
      </c>
      <c r="I1473" s="112" t="str">
        <f>IFERROR(VLOOKUP(Table1722[[#This Row],[Bukti]],Table13[#Data],11,FALSE),"")</f>
        <v/>
      </c>
    </row>
    <row r="1474" spans="1:9" ht="19.5" hidden="1" customHeight="1" x14ac:dyDescent="0.2">
      <c r="A1474" s="105" t="str">
        <f>IF(D1474=1,COUNTIF($D$10:D1474,1)," ")</f>
        <v xml:space="preserve"> </v>
      </c>
      <c r="B1474" s="106">
        <f>COPY!AR1466</f>
        <v>0</v>
      </c>
      <c r="C1474" s="107">
        <f>COPY!AC1466</f>
        <v>0</v>
      </c>
      <c r="D1474" s="107" t="str">
        <f>IF(LEN(Table1722[[#This Row],[Uraian]])&gt;2,1," ")</f>
        <v xml:space="preserve"> </v>
      </c>
      <c r="E1474" s="113" t="str">
        <f>IF(Table1722[[#This Row],[Lawan Transaksi]]="CV AGUNG KARYA",COUNTIF($I$10:I1474,"CV AGUNG KARYA")," ")</f>
        <v xml:space="preserve"> </v>
      </c>
      <c r="F1474" s="107" t="str">
        <f>IF(LEN(Table1722[[#This Row],[Uraian]])&gt;2,TRIM(RIGHT(SUBSTITUTE(TRIM(C1474)," ",REPT(" ",255)),255))," ")</f>
        <v xml:space="preserve"> </v>
      </c>
      <c r="G1474" s="110">
        <f>COPY!Z1466</f>
        <v>0</v>
      </c>
      <c r="H1474" s="111" t="str">
        <f>IFERROR(VLOOKUP(Table1722[[#This Row],[Bukti]],'Un nOTA'!$A$4:$K$5003,10,FALSE),"")</f>
        <v/>
      </c>
      <c r="I1474" s="112" t="str">
        <f>IFERROR(VLOOKUP(Table1722[[#This Row],[Bukti]],Table13[#Data],11,FALSE),"")</f>
        <v/>
      </c>
    </row>
    <row r="1475" spans="1:9" ht="19.5" hidden="1" customHeight="1" x14ac:dyDescent="0.2">
      <c r="A1475" s="105" t="str">
        <f>IF(D1475=1,COUNTIF($D$10:D1475,1)," ")</f>
        <v xml:space="preserve"> </v>
      </c>
      <c r="B1475" s="106">
        <f>COPY!AR1467</f>
        <v>0</v>
      </c>
      <c r="C1475" s="107">
        <f>COPY!AC1467</f>
        <v>0</v>
      </c>
      <c r="D1475" s="107" t="str">
        <f>IF(LEN(Table1722[[#This Row],[Uraian]])&gt;2,1," ")</f>
        <v xml:space="preserve"> </v>
      </c>
      <c r="E1475" s="113" t="str">
        <f>IF(Table1722[[#This Row],[Lawan Transaksi]]="CV AGUNG KARYA",COUNTIF($I$10:I1475,"CV AGUNG KARYA")," ")</f>
        <v xml:space="preserve"> </v>
      </c>
      <c r="F1475" s="107" t="str">
        <f>IF(LEN(Table1722[[#This Row],[Uraian]])&gt;2,TRIM(RIGHT(SUBSTITUTE(TRIM(C1475)," ",REPT(" ",255)),255))," ")</f>
        <v xml:space="preserve"> </v>
      </c>
      <c r="G1475" s="110">
        <f>COPY!Z1467</f>
        <v>0</v>
      </c>
      <c r="H1475" s="111" t="str">
        <f>IFERROR(VLOOKUP(Table1722[[#This Row],[Bukti]],'Un nOTA'!$A$4:$K$5003,10,FALSE),"")</f>
        <v/>
      </c>
      <c r="I1475" s="112" t="str">
        <f>IFERROR(VLOOKUP(Table1722[[#This Row],[Bukti]],Table13[#Data],11,FALSE),"")</f>
        <v/>
      </c>
    </row>
    <row r="1476" spans="1:9" ht="19.5" hidden="1" customHeight="1" x14ac:dyDescent="0.2">
      <c r="A1476" s="105" t="str">
        <f>IF(D1476=1,COUNTIF($D$10:D1476,1)," ")</f>
        <v xml:space="preserve"> </v>
      </c>
      <c r="B1476" s="106">
        <f>COPY!AR1468</f>
        <v>0</v>
      </c>
      <c r="C1476" s="107">
        <f>COPY!AC1468</f>
        <v>0</v>
      </c>
      <c r="D1476" s="107" t="str">
        <f>IF(LEN(Table1722[[#This Row],[Uraian]])&gt;2,1," ")</f>
        <v xml:space="preserve"> </v>
      </c>
      <c r="E1476" s="113" t="str">
        <f>IF(Table1722[[#This Row],[Lawan Transaksi]]="CV AGUNG KARYA",COUNTIF($I$10:I1476,"CV AGUNG KARYA")," ")</f>
        <v xml:space="preserve"> </v>
      </c>
      <c r="F1476" s="107" t="str">
        <f>IF(LEN(Table1722[[#This Row],[Uraian]])&gt;2,TRIM(RIGHT(SUBSTITUTE(TRIM(C1476)," ",REPT(" ",255)),255))," ")</f>
        <v xml:space="preserve"> </v>
      </c>
      <c r="G1476" s="110">
        <f>COPY!Z1468</f>
        <v>0</v>
      </c>
      <c r="H1476" s="111" t="str">
        <f>IFERROR(VLOOKUP(Table1722[[#This Row],[Bukti]],'Un nOTA'!$A$4:$K$5003,10,FALSE),"")</f>
        <v/>
      </c>
      <c r="I1476" s="112" t="str">
        <f>IFERROR(VLOOKUP(Table1722[[#This Row],[Bukti]],Table13[#Data],11,FALSE),"")</f>
        <v/>
      </c>
    </row>
    <row r="1477" spans="1:9" ht="19.5" hidden="1" customHeight="1" x14ac:dyDescent="0.2">
      <c r="A1477" s="105" t="str">
        <f>IF(D1477=1,COUNTIF($D$10:D1477,1)," ")</f>
        <v xml:space="preserve"> </v>
      </c>
      <c r="B1477" s="106">
        <f>COPY!AR1469</f>
        <v>0</v>
      </c>
      <c r="C1477" s="107">
        <f>COPY!AC1469</f>
        <v>0</v>
      </c>
      <c r="D1477" s="107" t="str">
        <f>IF(LEN(Table1722[[#This Row],[Uraian]])&gt;2,1," ")</f>
        <v xml:space="preserve"> </v>
      </c>
      <c r="E1477" s="113" t="str">
        <f>IF(Table1722[[#This Row],[Lawan Transaksi]]="CV AGUNG KARYA",COUNTIF($I$10:I1477,"CV AGUNG KARYA")," ")</f>
        <v xml:space="preserve"> </v>
      </c>
      <c r="F1477" s="107" t="str">
        <f>IF(LEN(Table1722[[#This Row],[Uraian]])&gt;2,TRIM(RIGHT(SUBSTITUTE(TRIM(C1477)," ",REPT(" ",255)),255))," ")</f>
        <v xml:space="preserve"> </v>
      </c>
      <c r="G1477" s="110">
        <f>COPY!Z1469</f>
        <v>0</v>
      </c>
      <c r="H1477" s="111" t="str">
        <f>IFERROR(VLOOKUP(Table1722[[#This Row],[Bukti]],'Un nOTA'!$A$4:$K$5003,10,FALSE),"")</f>
        <v/>
      </c>
      <c r="I1477" s="112" t="str">
        <f>IFERROR(VLOOKUP(Table1722[[#This Row],[Bukti]],Table13[#Data],11,FALSE),"")</f>
        <v/>
      </c>
    </row>
    <row r="1478" spans="1:9" ht="19.5" hidden="1" customHeight="1" x14ac:dyDescent="0.2">
      <c r="A1478" s="105" t="str">
        <f>IF(D1478=1,COUNTIF($D$10:D1478,1)," ")</f>
        <v xml:space="preserve"> </v>
      </c>
      <c r="B1478" s="106">
        <f>COPY!AR1470</f>
        <v>0</v>
      </c>
      <c r="C1478" s="107">
        <f>COPY!AC1470</f>
        <v>0</v>
      </c>
      <c r="D1478" s="107" t="str">
        <f>IF(LEN(Table1722[[#This Row],[Uraian]])&gt;2,1," ")</f>
        <v xml:space="preserve"> </v>
      </c>
      <c r="E1478" s="113" t="str">
        <f>IF(Table1722[[#This Row],[Lawan Transaksi]]="CV AGUNG KARYA",COUNTIF($I$10:I1478,"CV AGUNG KARYA")," ")</f>
        <v xml:space="preserve"> </v>
      </c>
      <c r="F1478" s="107" t="str">
        <f>IF(LEN(Table1722[[#This Row],[Uraian]])&gt;2,TRIM(RIGHT(SUBSTITUTE(TRIM(C1478)," ",REPT(" ",255)),255))," ")</f>
        <v xml:space="preserve"> </v>
      </c>
      <c r="G1478" s="110">
        <f>COPY!Z1470</f>
        <v>0</v>
      </c>
      <c r="H1478" s="111" t="str">
        <f>IFERROR(VLOOKUP(Table1722[[#This Row],[Bukti]],'Un nOTA'!$A$4:$K$5003,10,FALSE),"")</f>
        <v/>
      </c>
      <c r="I1478" s="112" t="str">
        <f>IFERROR(VLOOKUP(Table1722[[#This Row],[Bukti]],Table13[#Data],11,FALSE),"")</f>
        <v/>
      </c>
    </row>
    <row r="1479" spans="1:9" ht="19.5" hidden="1" customHeight="1" x14ac:dyDescent="0.2">
      <c r="A1479" s="105" t="str">
        <f>IF(D1479=1,COUNTIF($D$10:D1479,1)," ")</f>
        <v xml:space="preserve"> </v>
      </c>
      <c r="B1479" s="106">
        <f>COPY!AR1471</f>
        <v>0</v>
      </c>
      <c r="C1479" s="107">
        <f>COPY!AC1471</f>
        <v>0</v>
      </c>
      <c r="D1479" s="107" t="str">
        <f>IF(LEN(Table1722[[#This Row],[Uraian]])&gt;2,1," ")</f>
        <v xml:space="preserve"> </v>
      </c>
      <c r="E1479" s="113" t="str">
        <f>IF(Table1722[[#This Row],[Lawan Transaksi]]="CV AGUNG KARYA",COUNTIF($I$10:I1479,"CV AGUNG KARYA")," ")</f>
        <v xml:space="preserve"> </v>
      </c>
      <c r="F1479" s="107" t="str">
        <f>IF(LEN(Table1722[[#This Row],[Uraian]])&gt;2,TRIM(RIGHT(SUBSTITUTE(TRIM(C1479)," ",REPT(" ",255)),255))," ")</f>
        <v xml:space="preserve"> </v>
      </c>
      <c r="G1479" s="110">
        <f>COPY!Z1471</f>
        <v>0</v>
      </c>
      <c r="H1479" s="111" t="str">
        <f>IFERROR(VLOOKUP(Table1722[[#This Row],[Bukti]],'Un nOTA'!$A$4:$K$5003,10,FALSE),"")</f>
        <v/>
      </c>
      <c r="I1479" s="112" t="str">
        <f>IFERROR(VLOOKUP(Table1722[[#This Row],[Bukti]],Table13[#Data],11,FALSE),"")</f>
        <v/>
      </c>
    </row>
    <row r="1480" spans="1:9" ht="19.5" hidden="1" customHeight="1" x14ac:dyDescent="0.2">
      <c r="A1480" s="105" t="str">
        <f>IF(D1480=1,COUNTIF($D$10:D1480,1)," ")</f>
        <v xml:space="preserve"> </v>
      </c>
      <c r="B1480" s="106">
        <f>COPY!AR1472</f>
        <v>0</v>
      </c>
      <c r="C1480" s="107">
        <f>COPY!AC1472</f>
        <v>0</v>
      </c>
      <c r="D1480" s="107" t="str">
        <f>IF(LEN(Table1722[[#This Row],[Uraian]])&gt;2,1," ")</f>
        <v xml:space="preserve"> </v>
      </c>
      <c r="E1480" s="113" t="str">
        <f>IF(Table1722[[#This Row],[Lawan Transaksi]]="CV AGUNG KARYA",COUNTIF($I$10:I1480,"CV AGUNG KARYA")," ")</f>
        <v xml:space="preserve"> </v>
      </c>
      <c r="F1480" s="107" t="str">
        <f>IF(LEN(Table1722[[#This Row],[Uraian]])&gt;2,TRIM(RIGHT(SUBSTITUTE(TRIM(C1480)," ",REPT(" ",255)),255))," ")</f>
        <v xml:space="preserve"> </v>
      </c>
      <c r="G1480" s="110">
        <f>COPY!Z1472</f>
        <v>0</v>
      </c>
      <c r="H1480" s="111" t="str">
        <f>IFERROR(VLOOKUP(Table1722[[#This Row],[Bukti]],'Un nOTA'!$A$4:$K$5003,10,FALSE),"")</f>
        <v/>
      </c>
      <c r="I1480" s="112" t="str">
        <f>IFERROR(VLOOKUP(Table1722[[#This Row],[Bukti]],Table13[#Data],11,FALSE),"")</f>
        <v/>
      </c>
    </row>
    <row r="1481" spans="1:9" ht="19.5" hidden="1" customHeight="1" x14ac:dyDescent="0.2">
      <c r="A1481" s="105" t="str">
        <f>IF(D1481=1,COUNTIF($D$10:D1481,1)," ")</f>
        <v xml:space="preserve"> </v>
      </c>
      <c r="B1481" s="106">
        <f>COPY!AR1473</f>
        <v>0</v>
      </c>
      <c r="C1481" s="107">
        <f>COPY!AC1473</f>
        <v>0</v>
      </c>
      <c r="D1481" s="107" t="str">
        <f>IF(LEN(Table1722[[#This Row],[Uraian]])&gt;2,1," ")</f>
        <v xml:space="preserve"> </v>
      </c>
      <c r="E1481" s="113" t="str">
        <f>IF(Table1722[[#This Row],[Lawan Transaksi]]="CV AGUNG KARYA",COUNTIF($I$10:I1481,"CV AGUNG KARYA")," ")</f>
        <v xml:space="preserve"> </v>
      </c>
      <c r="F1481" s="107" t="str">
        <f>IF(LEN(Table1722[[#This Row],[Uraian]])&gt;2,TRIM(RIGHT(SUBSTITUTE(TRIM(C1481)," ",REPT(" ",255)),255))," ")</f>
        <v xml:space="preserve"> </v>
      </c>
      <c r="G1481" s="110">
        <f>COPY!Z1473</f>
        <v>0</v>
      </c>
      <c r="H1481" s="111" t="str">
        <f>IFERROR(VLOOKUP(Table1722[[#This Row],[Bukti]],'Un nOTA'!$A$4:$K$5003,10,FALSE),"")</f>
        <v/>
      </c>
      <c r="I1481" s="112" t="str">
        <f>IFERROR(VLOOKUP(Table1722[[#This Row],[Bukti]],Table13[#Data],11,FALSE),"")</f>
        <v/>
      </c>
    </row>
    <row r="1482" spans="1:9" ht="19.5" hidden="1" customHeight="1" x14ac:dyDescent="0.2">
      <c r="A1482" s="105" t="str">
        <f>IF(D1482=1,COUNTIF($D$10:D1482,1)," ")</f>
        <v xml:space="preserve"> </v>
      </c>
      <c r="B1482" s="106">
        <f>COPY!AR1474</f>
        <v>0</v>
      </c>
      <c r="C1482" s="107">
        <f>COPY!AC1474</f>
        <v>0</v>
      </c>
      <c r="D1482" s="107" t="str">
        <f>IF(LEN(Table1722[[#This Row],[Uraian]])&gt;2,1," ")</f>
        <v xml:space="preserve"> </v>
      </c>
      <c r="E1482" s="113" t="str">
        <f>IF(Table1722[[#This Row],[Lawan Transaksi]]="CV AGUNG KARYA",COUNTIF($I$10:I1482,"CV AGUNG KARYA")," ")</f>
        <v xml:space="preserve"> </v>
      </c>
      <c r="F1482" s="107" t="str">
        <f>IF(LEN(Table1722[[#This Row],[Uraian]])&gt;2,TRIM(RIGHT(SUBSTITUTE(TRIM(C1482)," ",REPT(" ",255)),255))," ")</f>
        <v xml:space="preserve"> </v>
      </c>
      <c r="G1482" s="110">
        <f>COPY!Z1474</f>
        <v>0</v>
      </c>
      <c r="H1482" s="111" t="str">
        <f>IFERROR(VLOOKUP(Table1722[[#This Row],[Bukti]],'Un nOTA'!$A$4:$K$5003,10,FALSE),"")</f>
        <v/>
      </c>
      <c r="I1482" s="112" t="str">
        <f>IFERROR(VLOOKUP(Table1722[[#This Row],[Bukti]],Table13[#Data],11,FALSE),"")</f>
        <v/>
      </c>
    </row>
    <row r="1483" spans="1:9" ht="19.5" hidden="1" customHeight="1" x14ac:dyDescent="0.2">
      <c r="A1483" s="105" t="str">
        <f>IF(D1483=1,COUNTIF($D$10:D1483,1)," ")</f>
        <v xml:space="preserve"> </v>
      </c>
      <c r="B1483" s="106">
        <f>COPY!AR1475</f>
        <v>0</v>
      </c>
      <c r="C1483" s="107">
        <f>COPY!AC1475</f>
        <v>0</v>
      </c>
      <c r="D1483" s="107" t="str">
        <f>IF(LEN(Table1722[[#This Row],[Uraian]])&gt;2,1," ")</f>
        <v xml:space="preserve"> </v>
      </c>
      <c r="E1483" s="113" t="str">
        <f>IF(Table1722[[#This Row],[Lawan Transaksi]]="CV AGUNG KARYA",COUNTIF($I$10:I1483,"CV AGUNG KARYA")," ")</f>
        <v xml:space="preserve"> </v>
      </c>
      <c r="F1483" s="107" t="str">
        <f>IF(LEN(Table1722[[#This Row],[Uraian]])&gt;2,TRIM(RIGHT(SUBSTITUTE(TRIM(C1483)," ",REPT(" ",255)),255))," ")</f>
        <v xml:space="preserve"> </v>
      </c>
      <c r="G1483" s="110">
        <f>COPY!Z1475</f>
        <v>0</v>
      </c>
      <c r="H1483" s="111" t="str">
        <f>IFERROR(VLOOKUP(Table1722[[#This Row],[Bukti]],'Un nOTA'!$A$4:$K$5003,10,FALSE),"")</f>
        <v/>
      </c>
      <c r="I1483" s="112" t="str">
        <f>IFERROR(VLOOKUP(Table1722[[#This Row],[Bukti]],Table13[#Data],11,FALSE),"")</f>
        <v/>
      </c>
    </row>
    <row r="1484" spans="1:9" ht="19.5" hidden="1" customHeight="1" x14ac:dyDescent="0.2">
      <c r="A1484" s="105" t="str">
        <f>IF(D1484=1,COUNTIF($D$10:D1484,1)," ")</f>
        <v xml:space="preserve"> </v>
      </c>
      <c r="B1484" s="106">
        <f>COPY!AR1476</f>
        <v>0</v>
      </c>
      <c r="C1484" s="107">
        <f>COPY!AC1476</f>
        <v>0</v>
      </c>
      <c r="D1484" s="107" t="str">
        <f>IF(LEN(Table1722[[#This Row],[Uraian]])&gt;2,1," ")</f>
        <v xml:space="preserve"> </v>
      </c>
      <c r="E1484" s="113" t="str">
        <f>IF(Table1722[[#This Row],[Lawan Transaksi]]="CV AGUNG KARYA",COUNTIF($I$10:I1484,"CV AGUNG KARYA")," ")</f>
        <v xml:space="preserve"> </v>
      </c>
      <c r="F1484" s="107" t="str">
        <f>IF(LEN(Table1722[[#This Row],[Uraian]])&gt;2,TRIM(RIGHT(SUBSTITUTE(TRIM(C1484)," ",REPT(" ",255)),255))," ")</f>
        <v xml:space="preserve"> </v>
      </c>
      <c r="G1484" s="110">
        <f>COPY!Z1476</f>
        <v>0</v>
      </c>
      <c r="H1484" s="111" t="str">
        <f>IFERROR(VLOOKUP(Table1722[[#This Row],[Bukti]],'Un nOTA'!$A$4:$K$5003,10,FALSE),"")</f>
        <v/>
      </c>
      <c r="I1484" s="112" t="str">
        <f>IFERROR(VLOOKUP(Table1722[[#This Row],[Bukti]],Table13[#Data],11,FALSE),"")</f>
        <v/>
      </c>
    </row>
    <row r="1485" spans="1:9" ht="19.5" hidden="1" customHeight="1" x14ac:dyDescent="0.2">
      <c r="A1485" s="105" t="str">
        <f>IF(D1485=1,COUNTIF($D$10:D1485,1)," ")</f>
        <v xml:space="preserve"> </v>
      </c>
      <c r="B1485" s="106">
        <f>COPY!AR1477</f>
        <v>0</v>
      </c>
      <c r="C1485" s="107">
        <f>COPY!AC1477</f>
        <v>0</v>
      </c>
      <c r="D1485" s="107" t="str">
        <f>IF(LEN(Table1722[[#This Row],[Uraian]])&gt;2,1," ")</f>
        <v xml:space="preserve"> </v>
      </c>
      <c r="E1485" s="113" t="str">
        <f>IF(Table1722[[#This Row],[Lawan Transaksi]]="CV AGUNG KARYA",COUNTIF($I$10:I1485,"CV AGUNG KARYA")," ")</f>
        <v xml:space="preserve"> </v>
      </c>
      <c r="F1485" s="107" t="str">
        <f>IF(LEN(Table1722[[#This Row],[Uraian]])&gt;2,TRIM(RIGHT(SUBSTITUTE(TRIM(C1485)," ",REPT(" ",255)),255))," ")</f>
        <v xml:space="preserve"> </v>
      </c>
      <c r="G1485" s="110">
        <f>COPY!Z1477</f>
        <v>0</v>
      </c>
      <c r="H1485" s="111" t="str">
        <f>IFERROR(VLOOKUP(Table1722[[#This Row],[Bukti]],'Un nOTA'!$A$4:$K$5003,10,FALSE),"")</f>
        <v/>
      </c>
      <c r="I1485" s="112" t="str">
        <f>IFERROR(VLOOKUP(Table1722[[#This Row],[Bukti]],Table13[#Data],11,FALSE),"")</f>
        <v/>
      </c>
    </row>
    <row r="1486" spans="1:9" ht="19.5" hidden="1" customHeight="1" x14ac:dyDescent="0.2">
      <c r="A1486" s="105" t="str">
        <f>IF(D1486=1,COUNTIF($D$10:D1486,1)," ")</f>
        <v xml:space="preserve"> </v>
      </c>
      <c r="B1486" s="106">
        <f>COPY!AR1478</f>
        <v>0</v>
      </c>
      <c r="C1486" s="107">
        <f>COPY!AC1478</f>
        <v>0</v>
      </c>
      <c r="D1486" s="107" t="str">
        <f>IF(LEN(Table1722[[#This Row],[Uraian]])&gt;2,1," ")</f>
        <v xml:space="preserve"> </v>
      </c>
      <c r="E1486" s="113" t="str">
        <f>IF(Table1722[[#This Row],[Lawan Transaksi]]="CV AGUNG KARYA",COUNTIF($I$10:I1486,"CV AGUNG KARYA")," ")</f>
        <v xml:space="preserve"> </v>
      </c>
      <c r="F1486" s="107" t="str">
        <f>IF(LEN(Table1722[[#This Row],[Uraian]])&gt;2,TRIM(RIGHT(SUBSTITUTE(TRIM(C1486)," ",REPT(" ",255)),255))," ")</f>
        <v xml:space="preserve"> </v>
      </c>
      <c r="G1486" s="110">
        <f>COPY!Z1478</f>
        <v>0</v>
      </c>
      <c r="H1486" s="111" t="str">
        <f>IFERROR(VLOOKUP(Table1722[[#This Row],[Bukti]],'Un nOTA'!$A$4:$K$5003,10,FALSE),"")</f>
        <v/>
      </c>
      <c r="I1486" s="112" t="str">
        <f>IFERROR(VLOOKUP(Table1722[[#This Row],[Bukti]],Table13[#Data],11,FALSE),"")</f>
        <v/>
      </c>
    </row>
    <row r="1487" spans="1:9" ht="19.5" hidden="1" customHeight="1" x14ac:dyDescent="0.2">
      <c r="A1487" s="105" t="str">
        <f>IF(D1487=1,COUNTIF($D$10:D1487,1)," ")</f>
        <v xml:space="preserve"> </v>
      </c>
      <c r="B1487" s="106">
        <f>COPY!AR1479</f>
        <v>0</v>
      </c>
      <c r="C1487" s="107">
        <f>COPY!AC1479</f>
        <v>0</v>
      </c>
      <c r="D1487" s="107" t="str">
        <f>IF(LEN(Table1722[[#This Row],[Uraian]])&gt;2,1," ")</f>
        <v xml:space="preserve"> </v>
      </c>
      <c r="E1487" s="113" t="str">
        <f>IF(Table1722[[#This Row],[Lawan Transaksi]]="CV AGUNG KARYA",COUNTIF($I$10:I1487,"CV AGUNG KARYA")," ")</f>
        <v xml:space="preserve"> </v>
      </c>
      <c r="F1487" s="107" t="str">
        <f>IF(LEN(Table1722[[#This Row],[Uraian]])&gt;2,TRIM(RIGHT(SUBSTITUTE(TRIM(C1487)," ",REPT(" ",255)),255))," ")</f>
        <v xml:space="preserve"> </v>
      </c>
      <c r="G1487" s="110">
        <f>COPY!Z1479</f>
        <v>0</v>
      </c>
      <c r="H1487" s="111" t="str">
        <f>IFERROR(VLOOKUP(Table1722[[#This Row],[Bukti]],'Un nOTA'!$A$4:$K$5003,10,FALSE),"")</f>
        <v/>
      </c>
      <c r="I1487" s="112" t="str">
        <f>IFERROR(VLOOKUP(Table1722[[#This Row],[Bukti]],Table13[#Data],11,FALSE),"")</f>
        <v/>
      </c>
    </row>
    <row r="1488" spans="1:9" ht="19.5" hidden="1" customHeight="1" x14ac:dyDescent="0.2">
      <c r="A1488" s="105" t="str">
        <f>IF(D1488=1,COUNTIF($D$10:D1488,1)," ")</f>
        <v xml:space="preserve"> </v>
      </c>
      <c r="B1488" s="106">
        <f>COPY!AR1480</f>
        <v>0</v>
      </c>
      <c r="C1488" s="107">
        <f>COPY!AC1480</f>
        <v>0</v>
      </c>
      <c r="D1488" s="107" t="str">
        <f>IF(LEN(Table1722[[#This Row],[Uraian]])&gt;2,1," ")</f>
        <v xml:space="preserve"> </v>
      </c>
      <c r="E1488" s="113" t="str">
        <f>IF(Table1722[[#This Row],[Lawan Transaksi]]="CV AGUNG KARYA",COUNTIF($I$10:I1488,"CV AGUNG KARYA")," ")</f>
        <v xml:space="preserve"> </v>
      </c>
      <c r="F1488" s="107" t="str">
        <f>IF(LEN(Table1722[[#This Row],[Uraian]])&gt;2,TRIM(RIGHT(SUBSTITUTE(TRIM(C1488)," ",REPT(" ",255)),255))," ")</f>
        <v xml:space="preserve"> </v>
      </c>
      <c r="G1488" s="110">
        <f>COPY!Z1480</f>
        <v>0</v>
      </c>
      <c r="H1488" s="111" t="str">
        <f>IFERROR(VLOOKUP(Table1722[[#This Row],[Bukti]],'Un nOTA'!$A$4:$K$5003,10,FALSE),"")</f>
        <v/>
      </c>
      <c r="I1488" s="112" t="str">
        <f>IFERROR(VLOOKUP(Table1722[[#This Row],[Bukti]],Table13[#Data],11,FALSE),"")</f>
        <v/>
      </c>
    </row>
    <row r="1489" spans="1:9" ht="19.5" hidden="1" customHeight="1" x14ac:dyDescent="0.2">
      <c r="A1489" s="105" t="str">
        <f>IF(D1489=1,COUNTIF($D$10:D1489,1)," ")</f>
        <v xml:space="preserve"> </v>
      </c>
      <c r="B1489" s="106">
        <f>COPY!AR1481</f>
        <v>0</v>
      </c>
      <c r="C1489" s="107">
        <f>COPY!AC1481</f>
        <v>0</v>
      </c>
      <c r="D1489" s="107" t="str">
        <f>IF(LEN(Table1722[[#This Row],[Uraian]])&gt;2,1," ")</f>
        <v xml:space="preserve"> </v>
      </c>
      <c r="E1489" s="113" t="str">
        <f>IF(Table1722[[#This Row],[Lawan Transaksi]]="CV AGUNG KARYA",COUNTIF($I$10:I1489,"CV AGUNG KARYA")," ")</f>
        <v xml:space="preserve"> </v>
      </c>
      <c r="F1489" s="107" t="str">
        <f>IF(LEN(Table1722[[#This Row],[Uraian]])&gt;2,TRIM(RIGHT(SUBSTITUTE(TRIM(C1489)," ",REPT(" ",255)),255))," ")</f>
        <v xml:space="preserve"> </v>
      </c>
      <c r="G1489" s="110">
        <f>COPY!Z1481</f>
        <v>0</v>
      </c>
      <c r="H1489" s="111" t="str">
        <f>IFERROR(VLOOKUP(Table1722[[#This Row],[Bukti]],'Un nOTA'!$A$4:$K$5003,10,FALSE),"")</f>
        <v/>
      </c>
      <c r="I1489" s="112" t="str">
        <f>IFERROR(VLOOKUP(Table1722[[#This Row],[Bukti]],Table13[#Data],11,FALSE),"")</f>
        <v/>
      </c>
    </row>
    <row r="1490" spans="1:9" ht="19.5" hidden="1" customHeight="1" x14ac:dyDescent="0.2">
      <c r="A1490" s="105" t="str">
        <f>IF(D1490=1,COUNTIF($D$10:D1490,1)," ")</f>
        <v xml:space="preserve"> </v>
      </c>
      <c r="B1490" s="106">
        <f>COPY!AR1482</f>
        <v>0</v>
      </c>
      <c r="C1490" s="107">
        <f>COPY!AC1482</f>
        <v>0</v>
      </c>
      <c r="D1490" s="107" t="str">
        <f>IF(LEN(Table1722[[#This Row],[Uraian]])&gt;2,1," ")</f>
        <v xml:space="preserve"> </v>
      </c>
      <c r="E1490" s="113" t="str">
        <f>IF(Table1722[[#This Row],[Lawan Transaksi]]="CV AGUNG KARYA",COUNTIF($I$10:I1490,"CV AGUNG KARYA")," ")</f>
        <v xml:space="preserve"> </v>
      </c>
      <c r="F1490" s="107" t="str">
        <f>IF(LEN(Table1722[[#This Row],[Uraian]])&gt;2,TRIM(RIGHT(SUBSTITUTE(TRIM(C1490)," ",REPT(" ",255)),255))," ")</f>
        <v xml:space="preserve"> </v>
      </c>
      <c r="G1490" s="110">
        <f>COPY!Z1482</f>
        <v>0</v>
      </c>
      <c r="H1490" s="111" t="str">
        <f>IFERROR(VLOOKUP(Table1722[[#This Row],[Bukti]],'Un nOTA'!$A$4:$K$5003,10,FALSE),"")</f>
        <v/>
      </c>
      <c r="I1490" s="112" t="str">
        <f>IFERROR(VLOOKUP(Table1722[[#This Row],[Bukti]],Table13[#Data],11,FALSE),"")</f>
        <v/>
      </c>
    </row>
    <row r="1491" spans="1:9" ht="19.5" hidden="1" customHeight="1" x14ac:dyDescent="0.2">
      <c r="A1491" s="105" t="str">
        <f>IF(D1491=1,COUNTIF($D$10:D1491,1)," ")</f>
        <v xml:space="preserve"> </v>
      </c>
      <c r="B1491" s="106">
        <f>COPY!AR1483</f>
        <v>0</v>
      </c>
      <c r="C1491" s="107">
        <f>COPY!AC1483</f>
        <v>0</v>
      </c>
      <c r="D1491" s="107" t="str">
        <f>IF(LEN(Table1722[[#This Row],[Uraian]])&gt;2,1," ")</f>
        <v xml:space="preserve"> </v>
      </c>
      <c r="E1491" s="113" t="str">
        <f>IF(Table1722[[#This Row],[Lawan Transaksi]]="CV AGUNG KARYA",COUNTIF($I$10:I1491,"CV AGUNG KARYA")," ")</f>
        <v xml:space="preserve"> </v>
      </c>
      <c r="F1491" s="107" t="str">
        <f>IF(LEN(Table1722[[#This Row],[Uraian]])&gt;2,TRIM(RIGHT(SUBSTITUTE(TRIM(C1491)," ",REPT(" ",255)),255))," ")</f>
        <v xml:space="preserve"> </v>
      </c>
      <c r="G1491" s="110">
        <f>COPY!Z1483</f>
        <v>0</v>
      </c>
      <c r="H1491" s="111" t="str">
        <f>IFERROR(VLOOKUP(Table1722[[#This Row],[Bukti]],'Un nOTA'!$A$4:$K$5003,10,FALSE),"")</f>
        <v/>
      </c>
      <c r="I1491" s="112" t="str">
        <f>IFERROR(VLOOKUP(Table1722[[#This Row],[Bukti]],Table13[#Data],11,FALSE),"")</f>
        <v/>
      </c>
    </row>
    <row r="1492" spans="1:9" ht="19.5" hidden="1" customHeight="1" x14ac:dyDescent="0.2">
      <c r="A1492" s="105" t="str">
        <f>IF(D1492=1,COUNTIF($D$10:D1492,1)," ")</f>
        <v xml:space="preserve"> </v>
      </c>
      <c r="B1492" s="106">
        <f>COPY!AR1484</f>
        <v>0</v>
      </c>
      <c r="C1492" s="107">
        <f>COPY!AC1484</f>
        <v>0</v>
      </c>
      <c r="D1492" s="107" t="str">
        <f>IF(LEN(Table1722[[#This Row],[Uraian]])&gt;2,1," ")</f>
        <v xml:space="preserve"> </v>
      </c>
      <c r="E1492" s="113" t="str">
        <f>IF(Table1722[[#This Row],[Lawan Transaksi]]="CV AGUNG KARYA",COUNTIF($I$10:I1492,"CV AGUNG KARYA")," ")</f>
        <v xml:space="preserve"> </v>
      </c>
      <c r="F1492" s="107" t="str">
        <f>IF(LEN(Table1722[[#This Row],[Uraian]])&gt;2,TRIM(RIGHT(SUBSTITUTE(TRIM(C1492)," ",REPT(" ",255)),255))," ")</f>
        <v xml:space="preserve"> </v>
      </c>
      <c r="G1492" s="110">
        <f>COPY!Z1484</f>
        <v>0</v>
      </c>
      <c r="H1492" s="111" t="str">
        <f>IFERROR(VLOOKUP(Table1722[[#This Row],[Bukti]],'Un nOTA'!$A$4:$K$5003,10,FALSE),"")</f>
        <v/>
      </c>
      <c r="I1492" s="112" t="str">
        <f>IFERROR(VLOOKUP(Table1722[[#This Row],[Bukti]],Table13[#Data],11,FALSE),"")</f>
        <v/>
      </c>
    </row>
    <row r="1493" spans="1:9" ht="19.5" hidden="1" customHeight="1" x14ac:dyDescent="0.2">
      <c r="A1493" s="105" t="str">
        <f>IF(D1493=1,COUNTIF($D$10:D1493,1)," ")</f>
        <v xml:space="preserve"> </v>
      </c>
      <c r="B1493" s="106">
        <f>COPY!AR1485</f>
        <v>0</v>
      </c>
      <c r="C1493" s="107">
        <f>COPY!AC1485</f>
        <v>0</v>
      </c>
      <c r="D1493" s="107" t="str">
        <f>IF(LEN(Table1722[[#This Row],[Uraian]])&gt;2,1," ")</f>
        <v xml:space="preserve"> </v>
      </c>
      <c r="E1493" s="113" t="str">
        <f>IF(Table1722[[#This Row],[Lawan Transaksi]]="CV AGUNG KARYA",COUNTIF($I$10:I1493,"CV AGUNG KARYA")," ")</f>
        <v xml:space="preserve"> </v>
      </c>
      <c r="F1493" s="107" t="str">
        <f>IF(LEN(Table1722[[#This Row],[Uraian]])&gt;2,TRIM(RIGHT(SUBSTITUTE(TRIM(C1493)," ",REPT(" ",255)),255))," ")</f>
        <v xml:space="preserve"> </v>
      </c>
      <c r="G1493" s="110">
        <f>COPY!Z1485</f>
        <v>0</v>
      </c>
      <c r="H1493" s="111" t="str">
        <f>IFERROR(VLOOKUP(Table1722[[#This Row],[Bukti]],'Un nOTA'!$A$4:$K$5003,10,FALSE),"")</f>
        <v/>
      </c>
      <c r="I1493" s="112" t="str">
        <f>IFERROR(VLOOKUP(Table1722[[#This Row],[Bukti]],Table13[#Data],11,FALSE),"")</f>
        <v/>
      </c>
    </row>
    <row r="1494" spans="1:9" ht="19.5" hidden="1" customHeight="1" x14ac:dyDescent="0.2">
      <c r="A1494" s="105" t="str">
        <f>IF(D1494=1,COUNTIF($D$10:D1494,1)," ")</f>
        <v xml:space="preserve"> </v>
      </c>
      <c r="B1494" s="106">
        <f>COPY!AR1486</f>
        <v>0</v>
      </c>
      <c r="C1494" s="107">
        <f>COPY!AC1486</f>
        <v>0</v>
      </c>
      <c r="D1494" s="107" t="str">
        <f>IF(LEN(Table1722[[#This Row],[Uraian]])&gt;2,1," ")</f>
        <v xml:space="preserve"> </v>
      </c>
      <c r="E1494" s="113" t="str">
        <f>IF(Table1722[[#This Row],[Lawan Transaksi]]="CV AGUNG KARYA",COUNTIF($I$10:I1494,"CV AGUNG KARYA")," ")</f>
        <v xml:space="preserve"> </v>
      </c>
      <c r="F1494" s="107" t="str">
        <f>IF(LEN(Table1722[[#This Row],[Uraian]])&gt;2,TRIM(RIGHT(SUBSTITUTE(TRIM(C1494)," ",REPT(" ",255)),255))," ")</f>
        <v xml:space="preserve"> </v>
      </c>
      <c r="G1494" s="110">
        <f>COPY!Z1486</f>
        <v>0</v>
      </c>
      <c r="H1494" s="111" t="str">
        <f>IFERROR(VLOOKUP(Table1722[[#This Row],[Bukti]],'Un nOTA'!$A$4:$K$5003,10,FALSE),"")</f>
        <v/>
      </c>
      <c r="I1494" s="112" t="str">
        <f>IFERROR(VLOOKUP(Table1722[[#This Row],[Bukti]],Table13[#Data],11,FALSE),"")</f>
        <v/>
      </c>
    </row>
    <row r="1495" spans="1:9" ht="19.5" hidden="1" customHeight="1" x14ac:dyDescent="0.2">
      <c r="A1495" s="105" t="str">
        <f>IF(D1495=1,COUNTIF($D$10:D1495,1)," ")</f>
        <v xml:space="preserve"> </v>
      </c>
      <c r="B1495" s="106">
        <f>COPY!AR1487</f>
        <v>0</v>
      </c>
      <c r="C1495" s="107">
        <f>COPY!AC1487</f>
        <v>0</v>
      </c>
      <c r="D1495" s="107" t="str">
        <f>IF(LEN(Table1722[[#This Row],[Uraian]])&gt;2,1," ")</f>
        <v xml:space="preserve"> </v>
      </c>
      <c r="E1495" s="113" t="str">
        <f>IF(Table1722[[#This Row],[Lawan Transaksi]]="CV AGUNG KARYA",COUNTIF($I$10:I1495,"CV AGUNG KARYA")," ")</f>
        <v xml:space="preserve"> </v>
      </c>
      <c r="F1495" s="107" t="str">
        <f>IF(LEN(Table1722[[#This Row],[Uraian]])&gt;2,TRIM(RIGHT(SUBSTITUTE(TRIM(C1495)," ",REPT(" ",255)),255))," ")</f>
        <v xml:space="preserve"> </v>
      </c>
      <c r="G1495" s="110">
        <f>COPY!Z1487</f>
        <v>0</v>
      </c>
      <c r="H1495" s="111" t="str">
        <f>IFERROR(VLOOKUP(Table1722[[#This Row],[Bukti]],'Un nOTA'!$A$4:$K$5003,10,FALSE),"")</f>
        <v/>
      </c>
      <c r="I1495" s="112" t="str">
        <f>IFERROR(VLOOKUP(Table1722[[#This Row],[Bukti]],Table13[#Data],11,FALSE),"")</f>
        <v/>
      </c>
    </row>
    <row r="1496" spans="1:9" ht="19.5" hidden="1" customHeight="1" x14ac:dyDescent="0.2">
      <c r="A1496" s="105" t="str">
        <f>IF(D1496=1,COUNTIF($D$10:D1496,1)," ")</f>
        <v xml:space="preserve"> </v>
      </c>
      <c r="B1496" s="106">
        <f>COPY!AR1488</f>
        <v>0</v>
      </c>
      <c r="C1496" s="107">
        <f>COPY!AC1488</f>
        <v>0</v>
      </c>
      <c r="D1496" s="107" t="str">
        <f>IF(LEN(Table1722[[#This Row],[Uraian]])&gt;2,1," ")</f>
        <v xml:space="preserve"> </v>
      </c>
      <c r="E1496" s="113" t="str">
        <f>IF(Table1722[[#This Row],[Lawan Transaksi]]="CV AGUNG KARYA",COUNTIF($I$10:I1496,"CV AGUNG KARYA")," ")</f>
        <v xml:space="preserve"> </v>
      </c>
      <c r="F1496" s="107" t="str">
        <f>IF(LEN(Table1722[[#This Row],[Uraian]])&gt;2,TRIM(RIGHT(SUBSTITUTE(TRIM(C1496)," ",REPT(" ",255)),255))," ")</f>
        <v xml:space="preserve"> </v>
      </c>
      <c r="G1496" s="110">
        <f>COPY!Z1488</f>
        <v>0</v>
      </c>
      <c r="H1496" s="111" t="str">
        <f>IFERROR(VLOOKUP(Table1722[[#This Row],[Bukti]],'Un nOTA'!$A$4:$K$5003,10,FALSE),"")</f>
        <v/>
      </c>
      <c r="I1496" s="112" t="str">
        <f>IFERROR(VLOOKUP(Table1722[[#This Row],[Bukti]],Table13[#Data],11,FALSE),"")</f>
        <v/>
      </c>
    </row>
    <row r="1497" spans="1:9" ht="19.5" hidden="1" customHeight="1" x14ac:dyDescent="0.2">
      <c r="A1497" s="105" t="str">
        <f>IF(D1497=1,COUNTIF($D$10:D1497,1)," ")</f>
        <v xml:space="preserve"> </v>
      </c>
      <c r="B1497" s="106">
        <f>COPY!AR1489</f>
        <v>0</v>
      </c>
      <c r="C1497" s="107">
        <f>COPY!AC1489</f>
        <v>0</v>
      </c>
      <c r="D1497" s="107" t="str">
        <f>IF(LEN(Table1722[[#This Row],[Uraian]])&gt;2,1," ")</f>
        <v xml:space="preserve"> </v>
      </c>
      <c r="E1497" s="113" t="str">
        <f>IF(Table1722[[#This Row],[Lawan Transaksi]]="CV AGUNG KARYA",COUNTIF($I$10:I1497,"CV AGUNG KARYA")," ")</f>
        <v xml:space="preserve"> </v>
      </c>
      <c r="F1497" s="107" t="str">
        <f>IF(LEN(Table1722[[#This Row],[Uraian]])&gt;2,TRIM(RIGHT(SUBSTITUTE(TRIM(C1497)," ",REPT(" ",255)),255))," ")</f>
        <v xml:space="preserve"> </v>
      </c>
      <c r="G1497" s="110">
        <f>COPY!Z1489</f>
        <v>0</v>
      </c>
      <c r="H1497" s="111" t="str">
        <f>IFERROR(VLOOKUP(Table1722[[#This Row],[Bukti]],'Un nOTA'!$A$4:$K$5003,10,FALSE),"")</f>
        <v/>
      </c>
      <c r="I1497" s="112" t="str">
        <f>IFERROR(VLOOKUP(Table1722[[#This Row],[Bukti]],Table13[#Data],11,FALSE),"")</f>
        <v/>
      </c>
    </row>
    <row r="1498" spans="1:9" ht="19.5" hidden="1" customHeight="1" x14ac:dyDescent="0.2">
      <c r="A1498" s="105" t="str">
        <f>IF(D1498=1,COUNTIF($D$10:D1498,1)," ")</f>
        <v xml:space="preserve"> </v>
      </c>
      <c r="B1498" s="106">
        <f>COPY!AR1490</f>
        <v>0</v>
      </c>
      <c r="C1498" s="107">
        <f>COPY!AC1490</f>
        <v>0</v>
      </c>
      <c r="D1498" s="107" t="str">
        <f>IF(LEN(Table1722[[#This Row],[Uraian]])&gt;2,1," ")</f>
        <v xml:space="preserve"> </v>
      </c>
      <c r="E1498" s="113" t="str">
        <f>IF(Table1722[[#This Row],[Lawan Transaksi]]="CV AGUNG KARYA",COUNTIF($I$10:I1498,"CV AGUNG KARYA")," ")</f>
        <v xml:space="preserve"> </v>
      </c>
      <c r="F1498" s="107" t="str">
        <f>IF(LEN(Table1722[[#This Row],[Uraian]])&gt;2,TRIM(RIGHT(SUBSTITUTE(TRIM(C1498)," ",REPT(" ",255)),255))," ")</f>
        <v xml:space="preserve"> </v>
      </c>
      <c r="G1498" s="110">
        <f>COPY!Z1490</f>
        <v>0</v>
      </c>
      <c r="H1498" s="111" t="str">
        <f>IFERROR(VLOOKUP(Table1722[[#This Row],[Bukti]],'Un nOTA'!$A$4:$K$5003,10,FALSE),"")</f>
        <v/>
      </c>
      <c r="I1498" s="112" t="str">
        <f>IFERROR(VLOOKUP(Table1722[[#This Row],[Bukti]],Table13[#Data],11,FALSE),"")</f>
        <v/>
      </c>
    </row>
    <row r="1499" spans="1:9" ht="19.5" hidden="1" customHeight="1" x14ac:dyDescent="0.2">
      <c r="A1499" s="105" t="str">
        <f>IF(D1499=1,COUNTIF($D$10:D1499,1)," ")</f>
        <v xml:space="preserve"> </v>
      </c>
      <c r="B1499" s="106">
        <f>COPY!AR1491</f>
        <v>0</v>
      </c>
      <c r="C1499" s="107">
        <f>COPY!AC1491</f>
        <v>0</v>
      </c>
      <c r="D1499" s="107" t="str">
        <f>IF(LEN(Table1722[[#This Row],[Uraian]])&gt;2,1," ")</f>
        <v xml:space="preserve"> </v>
      </c>
      <c r="E1499" s="113" t="str">
        <f>IF(Table1722[[#This Row],[Lawan Transaksi]]="CV AGUNG KARYA",COUNTIF($I$10:I1499,"CV AGUNG KARYA")," ")</f>
        <v xml:space="preserve"> </v>
      </c>
      <c r="F1499" s="107" t="str">
        <f>IF(LEN(Table1722[[#This Row],[Uraian]])&gt;2,TRIM(RIGHT(SUBSTITUTE(TRIM(C1499)," ",REPT(" ",255)),255))," ")</f>
        <v xml:space="preserve"> </v>
      </c>
      <c r="G1499" s="110">
        <f>COPY!Z1491</f>
        <v>0</v>
      </c>
      <c r="H1499" s="111" t="str">
        <f>IFERROR(VLOOKUP(Table1722[[#This Row],[Bukti]],'Un nOTA'!$A$4:$K$5003,10,FALSE),"")</f>
        <v/>
      </c>
      <c r="I1499" s="112" t="str">
        <f>IFERROR(VLOOKUP(Table1722[[#This Row],[Bukti]],Table13[#Data],11,FALSE),"")</f>
        <v/>
      </c>
    </row>
    <row r="1500" spans="1:9" ht="19.5" hidden="1" customHeight="1" x14ac:dyDescent="0.2">
      <c r="A1500" s="105" t="str">
        <f>IF(D1500=1,COUNTIF($D$10:D1500,1)," ")</f>
        <v xml:space="preserve"> </v>
      </c>
      <c r="B1500" s="106">
        <f>COPY!AR1492</f>
        <v>0</v>
      </c>
      <c r="C1500" s="107">
        <f>COPY!AC1492</f>
        <v>0</v>
      </c>
      <c r="D1500" s="107" t="str">
        <f>IF(LEN(Table1722[[#This Row],[Uraian]])&gt;2,1," ")</f>
        <v xml:space="preserve"> </v>
      </c>
      <c r="E1500" s="113" t="str">
        <f>IF(Table1722[[#This Row],[Lawan Transaksi]]="CV AGUNG KARYA",COUNTIF($I$10:I1500,"CV AGUNG KARYA")," ")</f>
        <v xml:space="preserve"> </v>
      </c>
      <c r="F1500" s="107" t="str">
        <f>IF(LEN(Table1722[[#This Row],[Uraian]])&gt;2,TRIM(RIGHT(SUBSTITUTE(TRIM(C1500)," ",REPT(" ",255)),255))," ")</f>
        <v xml:space="preserve"> </v>
      </c>
      <c r="G1500" s="110">
        <f>COPY!Z1492</f>
        <v>0</v>
      </c>
      <c r="H1500" s="111" t="str">
        <f>IFERROR(VLOOKUP(Table1722[[#This Row],[Bukti]],'Un nOTA'!$A$4:$K$5003,10,FALSE),"")</f>
        <v/>
      </c>
      <c r="I1500" s="112" t="str">
        <f>IFERROR(VLOOKUP(Table1722[[#This Row],[Bukti]],Table13[#Data],11,FALSE),"")</f>
        <v/>
      </c>
    </row>
    <row r="1501" spans="1:9" ht="19.5" hidden="1" customHeight="1" x14ac:dyDescent="0.2">
      <c r="A1501" s="105" t="str">
        <f>IF(D1501=1,COUNTIF($D$10:D1501,1)," ")</f>
        <v xml:space="preserve"> </v>
      </c>
      <c r="B1501" s="106">
        <f>COPY!AR1493</f>
        <v>0</v>
      </c>
      <c r="C1501" s="107">
        <f>COPY!AC1493</f>
        <v>0</v>
      </c>
      <c r="D1501" s="107" t="str">
        <f>IF(LEN(Table1722[[#This Row],[Uraian]])&gt;2,1," ")</f>
        <v xml:space="preserve"> </v>
      </c>
      <c r="E1501" s="113" t="str">
        <f>IF(Table1722[[#This Row],[Lawan Transaksi]]="CV AGUNG KARYA",COUNTIF($I$10:I1501,"CV AGUNG KARYA")," ")</f>
        <v xml:space="preserve"> </v>
      </c>
      <c r="F1501" s="107" t="str">
        <f>IF(LEN(Table1722[[#This Row],[Uraian]])&gt;2,TRIM(RIGHT(SUBSTITUTE(TRIM(C1501)," ",REPT(" ",255)),255))," ")</f>
        <v xml:space="preserve"> </v>
      </c>
      <c r="G1501" s="110">
        <f>COPY!Z1493</f>
        <v>0</v>
      </c>
      <c r="H1501" s="111" t="str">
        <f>IFERROR(VLOOKUP(Table1722[[#This Row],[Bukti]],'Un nOTA'!$A$4:$K$5003,10,FALSE),"")</f>
        <v/>
      </c>
      <c r="I1501" s="112" t="str">
        <f>IFERROR(VLOOKUP(Table1722[[#This Row],[Bukti]],Table13[#Data],11,FALSE),"")</f>
        <v/>
      </c>
    </row>
    <row r="1502" spans="1:9" ht="19.5" hidden="1" customHeight="1" x14ac:dyDescent="0.2">
      <c r="A1502" s="105" t="str">
        <f>IF(D1502=1,COUNTIF($D$10:D1502,1)," ")</f>
        <v xml:space="preserve"> </v>
      </c>
      <c r="B1502" s="106">
        <f>COPY!AR1494</f>
        <v>0</v>
      </c>
      <c r="C1502" s="107">
        <f>COPY!AC1494</f>
        <v>0</v>
      </c>
      <c r="D1502" s="107" t="str">
        <f>IF(LEN(Table1722[[#This Row],[Uraian]])&gt;2,1," ")</f>
        <v xml:space="preserve"> </v>
      </c>
      <c r="E1502" s="113" t="str">
        <f>IF(Table1722[[#This Row],[Lawan Transaksi]]="CV AGUNG KARYA",COUNTIF($I$10:I1502,"CV AGUNG KARYA")," ")</f>
        <v xml:space="preserve"> </v>
      </c>
      <c r="F1502" s="107" t="str">
        <f>IF(LEN(Table1722[[#This Row],[Uraian]])&gt;2,TRIM(RIGHT(SUBSTITUTE(TRIM(C1502)," ",REPT(" ",255)),255))," ")</f>
        <v xml:space="preserve"> </v>
      </c>
      <c r="G1502" s="110">
        <f>COPY!Z1494</f>
        <v>0</v>
      </c>
      <c r="H1502" s="111" t="str">
        <f>IFERROR(VLOOKUP(Table1722[[#This Row],[Bukti]],'Un nOTA'!$A$4:$K$5003,10,FALSE),"")</f>
        <v/>
      </c>
      <c r="I1502" s="112" t="str">
        <f>IFERROR(VLOOKUP(Table1722[[#This Row],[Bukti]],Table13[#Data],11,FALSE),"")</f>
        <v/>
      </c>
    </row>
    <row r="1503" spans="1:9" ht="19.5" hidden="1" customHeight="1" x14ac:dyDescent="0.2">
      <c r="A1503" s="105" t="str">
        <f>IF(D1503=1,COUNTIF($D$10:D1503,1)," ")</f>
        <v xml:space="preserve"> </v>
      </c>
      <c r="B1503" s="106">
        <f>COPY!AR1495</f>
        <v>0</v>
      </c>
      <c r="C1503" s="107">
        <f>COPY!AC1495</f>
        <v>0</v>
      </c>
      <c r="D1503" s="107" t="str">
        <f>IF(LEN(Table1722[[#This Row],[Uraian]])&gt;2,1," ")</f>
        <v xml:space="preserve"> </v>
      </c>
      <c r="E1503" s="113" t="str">
        <f>IF(Table1722[[#This Row],[Lawan Transaksi]]="CV AGUNG KARYA",COUNTIF($I$10:I1503,"CV AGUNG KARYA")," ")</f>
        <v xml:space="preserve"> </v>
      </c>
      <c r="F1503" s="107" t="str">
        <f>IF(LEN(Table1722[[#This Row],[Uraian]])&gt;2,TRIM(RIGHT(SUBSTITUTE(TRIM(C1503)," ",REPT(" ",255)),255))," ")</f>
        <v xml:space="preserve"> </v>
      </c>
      <c r="G1503" s="110">
        <f>COPY!Z1495</f>
        <v>0</v>
      </c>
      <c r="H1503" s="111" t="str">
        <f>IFERROR(VLOOKUP(Table1722[[#This Row],[Bukti]],'Un nOTA'!$A$4:$K$5003,10,FALSE),"")</f>
        <v/>
      </c>
      <c r="I1503" s="112" t="str">
        <f>IFERROR(VLOOKUP(Table1722[[#This Row],[Bukti]],Table13[#Data],11,FALSE),"")</f>
        <v/>
      </c>
    </row>
    <row r="1504" spans="1:9" ht="19.5" hidden="1" customHeight="1" x14ac:dyDescent="0.2">
      <c r="A1504" s="105" t="str">
        <f>IF(D1504=1,COUNTIF($D$10:D1504,1)," ")</f>
        <v xml:space="preserve"> </v>
      </c>
      <c r="B1504" s="106">
        <f>COPY!AR1496</f>
        <v>0</v>
      </c>
      <c r="C1504" s="107">
        <f>COPY!AC1496</f>
        <v>0</v>
      </c>
      <c r="D1504" s="107" t="str">
        <f>IF(LEN(Table1722[[#This Row],[Uraian]])&gt;2,1," ")</f>
        <v xml:space="preserve"> </v>
      </c>
      <c r="E1504" s="113" t="str">
        <f>IF(Table1722[[#This Row],[Lawan Transaksi]]="CV AGUNG KARYA",COUNTIF($I$10:I1504,"CV AGUNG KARYA")," ")</f>
        <v xml:space="preserve"> </v>
      </c>
      <c r="F1504" s="107" t="str">
        <f>IF(LEN(Table1722[[#This Row],[Uraian]])&gt;2,TRIM(RIGHT(SUBSTITUTE(TRIM(C1504)," ",REPT(" ",255)),255))," ")</f>
        <v xml:space="preserve"> </v>
      </c>
      <c r="G1504" s="110">
        <f>COPY!Z1496</f>
        <v>0</v>
      </c>
      <c r="H1504" s="111" t="str">
        <f>IFERROR(VLOOKUP(Table1722[[#This Row],[Bukti]],'Un nOTA'!$A$4:$K$5003,10,FALSE),"")</f>
        <v/>
      </c>
      <c r="I1504" s="112" t="str">
        <f>IFERROR(VLOOKUP(Table1722[[#This Row],[Bukti]],Table13[#Data],11,FALSE),"")</f>
        <v/>
      </c>
    </row>
    <row r="1505" spans="1:9" ht="19.5" hidden="1" customHeight="1" x14ac:dyDescent="0.2">
      <c r="A1505" s="105" t="str">
        <f>IF(D1505=1,COUNTIF($D$10:D1505,1)," ")</f>
        <v xml:space="preserve"> </v>
      </c>
      <c r="B1505" s="106">
        <f>COPY!AR1497</f>
        <v>0</v>
      </c>
      <c r="C1505" s="107">
        <f>COPY!AC1497</f>
        <v>0</v>
      </c>
      <c r="D1505" s="107" t="str">
        <f>IF(LEN(Table1722[[#This Row],[Uraian]])&gt;2,1," ")</f>
        <v xml:space="preserve"> </v>
      </c>
      <c r="E1505" s="113" t="str">
        <f>IF(Table1722[[#This Row],[Lawan Transaksi]]="CV AGUNG KARYA",COUNTIF($I$10:I1505,"CV AGUNG KARYA")," ")</f>
        <v xml:space="preserve"> </v>
      </c>
      <c r="F1505" s="107" t="str">
        <f>IF(LEN(Table1722[[#This Row],[Uraian]])&gt;2,TRIM(RIGHT(SUBSTITUTE(TRIM(C1505)," ",REPT(" ",255)),255))," ")</f>
        <v xml:space="preserve"> </v>
      </c>
      <c r="G1505" s="110">
        <f>COPY!Z1497</f>
        <v>0</v>
      </c>
      <c r="H1505" s="111" t="str">
        <f>IFERROR(VLOOKUP(Table1722[[#This Row],[Bukti]],'Un nOTA'!$A$4:$K$5003,10,FALSE),"")</f>
        <v/>
      </c>
      <c r="I1505" s="112" t="str">
        <f>IFERROR(VLOOKUP(Table1722[[#This Row],[Bukti]],Table13[#Data],11,FALSE),"")</f>
        <v/>
      </c>
    </row>
    <row r="1506" spans="1:9" ht="19.5" hidden="1" customHeight="1" x14ac:dyDescent="0.2">
      <c r="A1506" s="105" t="str">
        <f>IF(D1506=1,COUNTIF($D$10:D1506,1)," ")</f>
        <v xml:space="preserve"> </v>
      </c>
      <c r="B1506" s="106">
        <f>COPY!AR1498</f>
        <v>0</v>
      </c>
      <c r="C1506" s="107">
        <f>COPY!AC1498</f>
        <v>0</v>
      </c>
      <c r="D1506" s="107" t="str">
        <f>IF(LEN(Table1722[[#This Row],[Uraian]])&gt;2,1," ")</f>
        <v xml:space="preserve"> </v>
      </c>
      <c r="E1506" s="113" t="str">
        <f>IF(Table1722[[#This Row],[Lawan Transaksi]]="CV AGUNG KARYA",COUNTIF($I$10:I1506,"CV AGUNG KARYA")," ")</f>
        <v xml:space="preserve"> </v>
      </c>
      <c r="F1506" s="107" t="str">
        <f>IF(LEN(Table1722[[#This Row],[Uraian]])&gt;2,TRIM(RIGHT(SUBSTITUTE(TRIM(C1506)," ",REPT(" ",255)),255))," ")</f>
        <v xml:space="preserve"> </v>
      </c>
      <c r="G1506" s="110">
        <f>COPY!Z1498</f>
        <v>0</v>
      </c>
      <c r="H1506" s="111" t="str">
        <f>IFERROR(VLOOKUP(Table1722[[#This Row],[Bukti]],'Un nOTA'!$A$4:$K$5003,10,FALSE),"")</f>
        <v/>
      </c>
      <c r="I1506" s="112" t="str">
        <f>IFERROR(VLOOKUP(Table1722[[#This Row],[Bukti]],Table13[#Data],11,FALSE),"")</f>
        <v/>
      </c>
    </row>
    <row r="1507" spans="1:9" ht="19.5" hidden="1" customHeight="1" x14ac:dyDescent="0.2">
      <c r="A1507" s="105" t="str">
        <f>IF(D1507=1,COUNTIF($D$10:D1507,1)," ")</f>
        <v xml:space="preserve"> </v>
      </c>
      <c r="B1507" s="106">
        <f>COPY!AR1499</f>
        <v>0</v>
      </c>
      <c r="C1507" s="107">
        <f>COPY!AC1499</f>
        <v>0</v>
      </c>
      <c r="D1507" s="107" t="str">
        <f>IF(LEN(Table1722[[#This Row],[Uraian]])&gt;2,1," ")</f>
        <v xml:space="preserve"> </v>
      </c>
      <c r="E1507" s="113" t="str">
        <f>IF(Table1722[[#This Row],[Lawan Transaksi]]="CV AGUNG KARYA",COUNTIF($I$10:I1507,"CV AGUNG KARYA")," ")</f>
        <v xml:space="preserve"> </v>
      </c>
      <c r="F1507" s="107" t="str">
        <f>IF(LEN(Table1722[[#This Row],[Uraian]])&gt;2,TRIM(RIGHT(SUBSTITUTE(TRIM(C1507)," ",REPT(" ",255)),255))," ")</f>
        <v xml:space="preserve"> </v>
      </c>
      <c r="G1507" s="110">
        <f>COPY!Z1499</f>
        <v>0</v>
      </c>
      <c r="H1507" s="111" t="str">
        <f>IFERROR(VLOOKUP(Table1722[[#This Row],[Bukti]],'Un nOTA'!$A$4:$K$5003,10,FALSE),"")</f>
        <v/>
      </c>
      <c r="I1507" s="112" t="str">
        <f>IFERROR(VLOOKUP(Table1722[[#This Row],[Bukti]],Table13[#Data],11,FALSE),"")</f>
        <v/>
      </c>
    </row>
    <row r="1508" spans="1:9" ht="19.5" hidden="1" customHeight="1" x14ac:dyDescent="0.2">
      <c r="A1508" s="105" t="str">
        <f>IF(D1508=1,COUNTIF($D$10:D1508,1)," ")</f>
        <v xml:space="preserve"> </v>
      </c>
      <c r="B1508" s="106">
        <f>COPY!AR1500</f>
        <v>0</v>
      </c>
      <c r="C1508" s="107">
        <f>COPY!AC1500</f>
        <v>0</v>
      </c>
      <c r="D1508" s="107" t="str">
        <f>IF(LEN(Table1722[[#This Row],[Uraian]])&gt;2,1," ")</f>
        <v xml:space="preserve"> </v>
      </c>
      <c r="E1508" s="113" t="str">
        <f>IF(Table1722[[#This Row],[Lawan Transaksi]]="CV AGUNG KARYA",COUNTIF($I$10:I1508,"CV AGUNG KARYA")," ")</f>
        <v xml:space="preserve"> </v>
      </c>
      <c r="F1508" s="107" t="str">
        <f>IF(LEN(Table1722[[#This Row],[Uraian]])&gt;2,TRIM(RIGHT(SUBSTITUTE(TRIM(C1508)," ",REPT(" ",255)),255))," ")</f>
        <v xml:space="preserve"> </v>
      </c>
      <c r="G1508" s="110">
        <f>COPY!Z1500</f>
        <v>0</v>
      </c>
      <c r="H1508" s="111" t="str">
        <f>IFERROR(VLOOKUP(Table1722[[#This Row],[Bukti]],'Un nOTA'!$A$4:$K$5003,10,FALSE),"")</f>
        <v/>
      </c>
      <c r="I1508" s="112" t="str">
        <f>IFERROR(VLOOKUP(Table1722[[#This Row],[Bukti]],Table13[#Data],11,FALSE),"")</f>
        <v/>
      </c>
    </row>
    <row r="1509" spans="1:9" ht="19.5" hidden="1" customHeight="1" x14ac:dyDescent="0.2">
      <c r="A1509" s="105" t="str">
        <f>IF(D1509=1,COUNTIF($D$10:D1509,1)," ")</f>
        <v xml:space="preserve"> </v>
      </c>
      <c r="B1509" s="106">
        <f>COPY!AR1501</f>
        <v>0</v>
      </c>
      <c r="C1509" s="107">
        <f>COPY!AC1501</f>
        <v>0</v>
      </c>
      <c r="D1509" s="107" t="str">
        <f>IF(LEN(Table1722[[#This Row],[Uraian]])&gt;2,1," ")</f>
        <v xml:space="preserve"> </v>
      </c>
      <c r="E1509" s="113" t="str">
        <f>IF(Table1722[[#This Row],[Lawan Transaksi]]="CV AGUNG KARYA",COUNTIF($I$10:I1509,"CV AGUNG KARYA")," ")</f>
        <v xml:space="preserve"> </v>
      </c>
      <c r="F1509" s="107" t="str">
        <f>IF(LEN(Table1722[[#This Row],[Uraian]])&gt;2,TRIM(RIGHT(SUBSTITUTE(TRIM(C1509)," ",REPT(" ",255)),255))," ")</f>
        <v xml:space="preserve"> </v>
      </c>
      <c r="G1509" s="110">
        <f>COPY!Z1501</f>
        <v>0</v>
      </c>
      <c r="H1509" s="111" t="str">
        <f>IFERROR(VLOOKUP(Table1722[[#This Row],[Bukti]],'Un nOTA'!$A$4:$K$5003,10,FALSE),"")</f>
        <v/>
      </c>
      <c r="I1509" s="112" t="str">
        <f>IFERROR(VLOOKUP(Table1722[[#This Row],[Bukti]],Table13[#Data],11,FALSE),"")</f>
        <v/>
      </c>
    </row>
    <row r="1510" spans="1:9" ht="19.5" hidden="1" customHeight="1" x14ac:dyDescent="0.2">
      <c r="A1510" s="105" t="str">
        <f>IF(D1510=1,COUNTIF($D$10:D1510,1)," ")</f>
        <v xml:space="preserve"> </v>
      </c>
      <c r="B1510" s="106">
        <f>COPY!AR1502</f>
        <v>0</v>
      </c>
      <c r="C1510" s="107">
        <f>COPY!AC1502</f>
        <v>0</v>
      </c>
      <c r="D1510" s="107" t="str">
        <f>IF(LEN(Table1722[[#This Row],[Uraian]])&gt;2,1," ")</f>
        <v xml:space="preserve"> </v>
      </c>
      <c r="E1510" s="113" t="str">
        <f>IF(Table1722[[#This Row],[Lawan Transaksi]]="CV AGUNG KARYA",COUNTIF($I$10:I1510,"CV AGUNG KARYA")," ")</f>
        <v xml:space="preserve"> </v>
      </c>
      <c r="F1510" s="107" t="str">
        <f>IF(LEN(Table1722[[#This Row],[Uraian]])&gt;2,TRIM(RIGHT(SUBSTITUTE(TRIM(C1510)," ",REPT(" ",255)),255))," ")</f>
        <v xml:space="preserve"> </v>
      </c>
      <c r="G1510" s="110">
        <f>COPY!Z1502</f>
        <v>0</v>
      </c>
      <c r="H1510" s="111" t="str">
        <f>IFERROR(VLOOKUP(Table1722[[#This Row],[Bukti]],'Un nOTA'!$A$4:$K$5003,10,FALSE),"")</f>
        <v/>
      </c>
      <c r="I1510" s="112" t="str">
        <f>IFERROR(VLOOKUP(Table1722[[#This Row],[Bukti]],Table13[#Data],11,FALSE),"")</f>
        <v/>
      </c>
    </row>
    <row r="1511" spans="1:9" ht="19.5" hidden="1" customHeight="1" x14ac:dyDescent="0.2">
      <c r="A1511" s="105" t="str">
        <f>IF(D1511=1,COUNTIF($D$10:D1511,1)," ")</f>
        <v xml:space="preserve"> </v>
      </c>
      <c r="B1511" s="106">
        <f>COPY!AR1503</f>
        <v>0</v>
      </c>
      <c r="C1511" s="107">
        <f>COPY!AC1503</f>
        <v>0</v>
      </c>
      <c r="D1511" s="107" t="str">
        <f>IF(LEN(Table1722[[#This Row],[Uraian]])&gt;2,1," ")</f>
        <v xml:space="preserve"> </v>
      </c>
      <c r="E1511" s="113" t="str">
        <f>IF(Table1722[[#This Row],[Lawan Transaksi]]="CV AGUNG KARYA",COUNTIF($I$10:I1511,"CV AGUNG KARYA")," ")</f>
        <v xml:space="preserve"> </v>
      </c>
      <c r="F1511" s="107" t="str">
        <f>IF(LEN(Table1722[[#This Row],[Uraian]])&gt;2,TRIM(RIGHT(SUBSTITUTE(TRIM(C1511)," ",REPT(" ",255)),255))," ")</f>
        <v xml:space="preserve"> </v>
      </c>
      <c r="G1511" s="110">
        <f>COPY!Z1503</f>
        <v>0</v>
      </c>
      <c r="H1511" s="111" t="str">
        <f>IFERROR(VLOOKUP(Table1722[[#This Row],[Bukti]],'Un nOTA'!$A$4:$K$5003,10,FALSE),"")</f>
        <v/>
      </c>
      <c r="I1511" s="112" t="str">
        <f>IFERROR(VLOOKUP(Table1722[[#This Row],[Bukti]],Table13[#Data],11,FALSE),"")</f>
        <v/>
      </c>
    </row>
    <row r="1512" spans="1:9" ht="19.5" hidden="1" customHeight="1" x14ac:dyDescent="0.2">
      <c r="A1512" s="105" t="str">
        <f>IF(D1512=1,COUNTIF($D$10:D1512,1)," ")</f>
        <v xml:space="preserve"> </v>
      </c>
      <c r="B1512" s="106">
        <f>COPY!AR1504</f>
        <v>0</v>
      </c>
      <c r="C1512" s="107">
        <f>COPY!AC1504</f>
        <v>0</v>
      </c>
      <c r="D1512" s="107" t="str">
        <f>IF(LEN(Table1722[[#This Row],[Uraian]])&gt;2,1," ")</f>
        <v xml:space="preserve"> </v>
      </c>
      <c r="E1512" s="113" t="str">
        <f>IF(Table1722[[#This Row],[Lawan Transaksi]]="CV AGUNG KARYA",COUNTIF($I$10:I1512,"CV AGUNG KARYA")," ")</f>
        <v xml:space="preserve"> </v>
      </c>
      <c r="F1512" s="107" t="str">
        <f>IF(LEN(Table1722[[#This Row],[Uraian]])&gt;2,TRIM(RIGHT(SUBSTITUTE(TRIM(C1512)," ",REPT(" ",255)),255))," ")</f>
        <v xml:space="preserve"> </v>
      </c>
      <c r="G1512" s="110">
        <f>COPY!Z1504</f>
        <v>0</v>
      </c>
      <c r="H1512" s="111" t="str">
        <f>IFERROR(VLOOKUP(Table1722[[#This Row],[Bukti]],'Un nOTA'!$A$4:$K$5003,10,FALSE),"")</f>
        <v/>
      </c>
      <c r="I1512" s="112" t="str">
        <f>IFERROR(VLOOKUP(Table1722[[#This Row],[Bukti]],Table13[#Data],11,FALSE),"")</f>
        <v/>
      </c>
    </row>
    <row r="1513" spans="1:9" ht="19.5" hidden="1" customHeight="1" x14ac:dyDescent="0.2">
      <c r="A1513" s="105" t="str">
        <f>IF(D1513=1,COUNTIF($D$10:D1513,1)," ")</f>
        <v xml:space="preserve"> </v>
      </c>
      <c r="B1513" s="106">
        <f>COPY!AR1505</f>
        <v>0</v>
      </c>
      <c r="C1513" s="107">
        <f>COPY!AC1505</f>
        <v>0</v>
      </c>
      <c r="D1513" s="107" t="str">
        <f>IF(LEN(Table1722[[#This Row],[Uraian]])&gt;2,1," ")</f>
        <v xml:space="preserve"> </v>
      </c>
      <c r="E1513" s="113" t="str">
        <f>IF(Table1722[[#This Row],[Lawan Transaksi]]="CV AGUNG KARYA",COUNTIF($I$10:I1513,"CV AGUNG KARYA")," ")</f>
        <v xml:space="preserve"> </v>
      </c>
      <c r="F1513" s="107" t="str">
        <f>IF(LEN(Table1722[[#This Row],[Uraian]])&gt;2,TRIM(RIGHT(SUBSTITUTE(TRIM(C1513)," ",REPT(" ",255)),255))," ")</f>
        <v xml:space="preserve"> </v>
      </c>
      <c r="G1513" s="110">
        <f>COPY!Z1505</f>
        <v>0</v>
      </c>
      <c r="H1513" s="111" t="str">
        <f>IFERROR(VLOOKUP(Table1722[[#This Row],[Bukti]],'Un nOTA'!$A$4:$K$5003,10,FALSE),"")</f>
        <v/>
      </c>
      <c r="I1513" s="112" t="str">
        <f>IFERROR(VLOOKUP(Table1722[[#This Row],[Bukti]],Table13[#Data],11,FALSE),"")</f>
        <v/>
      </c>
    </row>
    <row r="1514" spans="1:9" ht="19.5" hidden="1" customHeight="1" x14ac:dyDescent="0.2">
      <c r="A1514" s="105" t="str">
        <f>IF(D1514=1,COUNTIF($D$10:D1514,1)," ")</f>
        <v xml:space="preserve"> </v>
      </c>
      <c r="B1514" s="106">
        <f>COPY!AR1506</f>
        <v>0</v>
      </c>
      <c r="C1514" s="107">
        <f>COPY!AC1506</f>
        <v>0</v>
      </c>
      <c r="D1514" s="107" t="str">
        <f>IF(LEN(Table1722[[#This Row],[Uraian]])&gt;2,1," ")</f>
        <v xml:space="preserve"> </v>
      </c>
      <c r="E1514" s="113" t="str">
        <f>IF(Table1722[[#This Row],[Lawan Transaksi]]="CV AGUNG KARYA",COUNTIF($I$10:I1514,"CV AGUNG KARYA")," ")</f>
        <v xml:space="preserve"> </v>
      </c>
      <c r="F1514" s="107" t="str">
        <f>IF(LEN(Table1722[[#This Row],[Uraian]])&gt;2,TRIM(RIGHT(SUBSTITUTE(TRIM(C1514)," ",REPT(" ",255)),255))," ")</f>
        <v xml:space="preserve"> </v>
      </c>
      <c r="G1514" s="110">
        <f>COPY!Z1506</f>
        <v>0</v>
      </c>
      <c r="H1514" s="111" t="str">
        <f>IFERROR(VLOOKUP(Table1722[[#This Row],[Bukti]],'Un nOTA'!$A$4:$K$5003,10,FALSE),"")</f>
        <v/>
      </c>
      <c r="I1514" s="112" t="str">
        <f>IFERROR(VLOOKUP(Table1722[[#This Row],[Bukti]],Table13[#Data],11,FALSE),"")</f>
        <v/>
      </c>
    </row>
    <row r="1515" spans="1:9" ht="19.5" hidden="1" customHeight="1" x14ac:dyDescent="0.2">
      <c r="A1515" s="105" t="str">
        <f>IF(D1515=1,COUNTIF($D$10:D1515,1)," ")</f>
        <v xml:space="preserve"> </v>
      </c>
      <c r="B1515" s="106">
        <f>COPY!AR1507</f>
        <v>0</v>
      </c>
      <c r="C1515" s="107">
        <f>COPY!AC1507</f>
        <v>0</v>
      </c>
      <c r="D1515" s="107" t="str">
        <f>IF(LEN(Table1722[[#This Row],[Uraian]])&gt;2,1," ")</f>
        <v xml:space="preserve"> </v>
      </c>
      <c r="E1515" s="113" t="str">
        <f>IF(Table1722[[#This Row],[Lawan Transaksi]]="CV AGUNG KARYA",COUNTIF($I$10:I1515,"CV AGUNG KARYA")," ")</f>
        <v xml:space="preserve"> </v>
      </c>
      <c r="F1515" s="107" t="str">
        <f>IF(LEN(Table1722[[#This Row],[Uraian]])&gt;2,TRIM(RIGHT(SUBSTITUTE(TRIM(C1515)," ",REPT(" ",255)),255))," ")</f>
        <v xml:space="preserve"> </v>
      </c>
      <c r="G1515" s="110">
        <f>COPY!Z1507</f>
        <v>0</v>
      </c>
      <c r="H1515" s="111" t="str">
        <f>IFERROR(VLOOKUP(Table1722[[#This Row],[Bukti]],'Un nOTA'!$A$4:$K$5003,10,FALSE),"")</f>
        <v/>
      </c>
      <c r="I1515" s="112" t="str">
        <f>IFERROR(VLOOKUP(Table1722[[#This Row],[Bukti]],Table13[#Data],11,FALSE),"")</f>
        <v/>
      </c>
    </row>
    <row r="1516" spans="1:9" ht="19.5" hidden="1" customHeight="1" x14ac:dyDescent="0.2">
      <c r="A1516" s="105" t="str">
        <f>IF(D1516=1,COUNTIF($D$10:D1516,1)," ")</f>
        <v xml:space="preserve"> </v>
      </c>
      <c r="B1516" s="106">
        <f>COPY!AR1508</f>
        <v>0</v>
      </c>
      <c r="C1516" s="107">
        <f>COPY!AC1508</f>
        <v>0</v>
      </c>
      <c r="D1516" s="107" t="str">
        <f>IF(LEN(Table1722[[#This Row],[Uraian]])&gt;2,1," ")</f>
        <v xml:space="preserve"> </v>
      </c>
      <c r="E1516" s="113" t="str">
        <f>IF(Table1722[[#This Row],[Lawan Transaksi]]="CV AGUNG KARYA",COUNTIF($I$10:I1516,"CV AGUNG KARYA")," ")</f>
        <v xml:space="preserve"> </v>
      </c>
      <c r="F1516" s="107" t="str">
        <f>IF(LEN(Table1722[[#This Row],[Uraian]])&gt;2,TRIM(RIGHT(SUBSTITUTE(TRIM(C1516)," ",REPT(" ",255)),255))," ")</f>
        <v xml:space="preserve"> </v>
      </c>
      <c r="G1516" s="110">
        <f>COPY!Z1508</f>
        <v>0</v>
      </c>
      <c r="H1516" s="111" t="str">
        <f>IFERROR(VLOOKUP(Table1722[[#This Row],[Bukti]],'Un nOTA'!$A$4:$K$5003,10,FALSE),"")</f>
        <v/>
      </c>
      <c r="I1516" s="112" t="str">
        <f>IFERROR(VLOOKUP(Table1722[[#This Row],[Bukti]],Table13[#Data],11,FALSE),"")</f>
        <v/>
      </c>
    </row>
    <row r="1517" spans="1:9" ht="19.5" hidden="1" customHeight="1" x14ac:dyDescent="0.2">
      <c r="A1517" s="105" t="str">
        <f>IF(D1517=1,COUNTIF($D$10:D1517,1)," ")</f>
        <v xml:space="preserve"> </v>
      </c>
      <c r="B1517" s="106">
        <f>COPY!AR1509</f>
        <v>0</v>
      </c>
      <c r="C1517" s="107">
        <f>COPY!AC1509</f>
        <v>0</v>
      </c>
      <c r="D1517" s="107" t="str">
        <f>IF(LEN(Table1722[[#This Row],[Uraian]])&gt;2,1," ")</f>
        <v xml:space="preserve"> </v>
      </c>
      <c r="E1517" s="113" t="str">
        <f>IF(Table1722[[#This Row],[Lawan Transaksi]]="CV AGUNG KARYA",COUNTIF($I$10:I1517,"CV AGUNG KARYA")," ")</f>
        <v xml:space="preserve"> </v>
      </c>
      <c r="F1517" s="107" t="str">
        <f>IF(LEN(Table1722[[#This Row],[Uraian]])&gt;2,TRIM(RIGHT(SUBSTITUTE(TRIM(C1517)," ",REPT(" ",255)),255))," ")</f>
        <v xml:space="preserve"> </v>
      </c>
      <c r="G1517" s="110">
        <f>COPY!Z1509</f>
        <v>0</v>
      </c>
      <c r="H1517" s="111" t="str">
        <f>IFERROR(VLOOKUP(Table1722[[#This Row],[Bukti]],'Un nOTA'!$A$4:$K$5003,10,FALSE),"")</f>
        <v/>
      </c>
      <c r="I1517" s="112" t="str">
        <f>IFERROR(VLOOKUP(Table1722[[#This Row],[Bukti]],Table13[#Data],11,FALSE),"")</f>
        <v/>
      </c>
    </row>
    <row r="1518" spans="1:9" ht="19.5" hidden="1" customHeight="1" x14ac:dyDescent="0.2">
      <c r="A1518" s="105" t="str">
        <f>IF(D1518=1,COUNTIF($D$10:D1518,1)," ")</f>
        <v xml:space="preserve"> </v>
      </c>
      <c r="B1518" s="106">
        <f>COPY!AR1510</f>
        <v>0</v>
      </c>
      <c r="C1518" s="107">
        <f>COPY!AC1510</f>
        <v>0</v>
      </c>
      <c r="D1518" s="107" t="str">
        <f>IF(LEN(Table1722[[#This Row],[Uraian]])&gt;2,1," ")</f>
        <v xml:space="preserve"> </v>
      </c>
      <c r="E1518" s="113" t="str">
        <f>IF(Table1722[[#This Row],[Lawan Transaksi]]="CV AGUNG KARYA",COUNTIF($I$10:I1518,"CV AGUNG KARYA")," ")</f>
        <v xml:space="preserve"> </v>
      </c>
      <c r="F1518" s="107" t="str">
        <f>IF(LEN(Table1722[[#This Row],[Uraian]])&gt;2,TRIM(RIGHT(SUBSTITUTE(TRIM(C1518)," ",REPT(" ",255)),255))," ")</f>
        <v xml:space="preserve"> </v>
      </c>
      <c r="G1518" s="110">
        <f>COPY!Z1510</f>
        <v>0</v>
      </c>
      <c r="H1518" s="111" t="str">
        <f>IFERROR(VLOOKUP(Table1722[[#This Row],[Bukti]],'Un nOTA'!$A$4:$K$5003,10,FALSE),"")</f>
        <v/>
      </c>
      <c r="I1518" s="112" t="str">
        <f>IFERROR(VLOOKUP(Table1722[[#This Row],[Bukti]],Table13[#Data],11,FALSE),"")</f>
        <v/>
      </c>
    </row>
    <row r="1519" spans="1:9" ht="19.5" hidden="1" customHeight="1" x14ac:dyDescent="0.2">
      <c r="A1519" s="105" t="str">
        <f>IF(D1519=1,COUNTIF($D$10:D1519,1)," ")</f>
        <v xml:space="preserve"> </v>
      </c>
      <c r="B1519" s="106">
        <f>COPY!AR1511</f>
        <v>0</v>
      </c>
      <c r="C1519" s="107">
        <f>COPY!AC1511</f>
        <v>0</v>
      </c>
      <c r="D1519" s="107" t="str">
        <f>IF(LEN(Table1722[[#This Row],[Uraian]])&gt;2,1," ")</f>
        <v xml:space="preserve"> </v>
      </c>
      <c r="E1519" s="113" t="str">
        <f>IF(Table1722[[#This Row],[Lawan Transaksi]]="CV AGUNG KARYA",COUNTIF($I$10:I1519,"CV AGUNG KARYA")," ")</f>
        <v xml:space="preserve"> </v>
      </c>
      <c r="F1519" s="107" t="str">
        <f>IF(LEN(Table1722[[#This Row],[Uraian]])&gt;2,TRIM(RIGHT(SUBSTITUTE(TRIM(C1519)," ",REPT(" ",255)),255))," ")</f>
        <v xml:space="preserve"> </v>
      </c>
      <c r="G1519" s="110">
        <f>COPY!Z1511</f>
        <v>0</v>
      </c>
      <c r="H1519" s="111" t="str">
        <f>IFERROR(VLOOKUP(Table1722[[#This Row],[Bukti]],'Un nOTA'!$A$4:$K$5003,10,FALSE),"")</f>
        <v/>
      </c>
      <c r="I1519" s="112" t="str">
        <f>IFERROR(VLOOKUP(Table1722[[#This Row],[Bukti]],Table13[#Data],11,FALSE),"")</f>
        <v/>
      </c>
    </row>
    <row r="1520" spans="1:9" ht="19.5" hidden="1" customHeight="1" x14ac:dyDescent="0.2">
      <c r="A1520" s="105" t="str">
        <f>IF(D1520=1,COUNTIF($D$10:D1520,1)," ")</f>
        <v xml:space="preserve"> </v>
      </c>
      <c r="B1520" s="106">
        <f>COPY!AR1512</f>
        <v>0</v>
      </c>
      <c r="C1520" s="107">
        <f>COPY!AC1512</f>
        <v>0</v>
      </c>
      <c r="D1520" s="107" t="str">
        <f>IF(LEN(Table1722[[#This Row],[Uraian]])&gt;2,1," ")</f>
        <v xml:space="preserve"> </v>
      </c>
      <c r="E1520" s="113" t="str">
        <f>IF(Table1722[[#This Row],[Lawan Transaksi]]="CV AGUNG KARYA",COUNTIF($I$10:I1520,"CV AGUNG KARYA")," ")</f>
        <v xml:space="preserve"> </v>
      </c>
      <c r="F1520" s="107" t="str">
        <f>IF(LEN(Table1722[[#This Row],[Uraian]])&gt;2,TRIM(RIGHT(SUBSTITUTE(TRIM(C1520)," ",REPT(" ",255)),255))," ")</f>
        <v xml:space="preserve"> </v>
      </c>
      <c r="G1520" s="110">
        <f>COPY!Z1512</f>
        <v>0</v>
      </c>
      <c r="H1520" s="111" t="str">
        <f>IFERROR(VLOOKUP(Table1722[[#This Row],[Bukti]],'Un nOTA'!$A$4:$K$5003,10,FALSE),"")</f>
        <v/>
      </c>
      <c r="I1520" s="112" t="str">
        <f>IFERROR(VLOOKUP(Table1722[[#This Row],[Bukti]],Table13[#Data],11,FALSE),"")</f>
        <v/>
      </c>
    </row>
    <row r="1521" spans="1:9" ht="19.5" hidden="1" customHeight="1" x14ac:dyDescent="0.2">
      <c r="A1521" s="105" t="str">
        <f>IF(D1521=1,COUNTIF($D$10:D1521,1)," ")</f>
        <v xml:space="preserve"> </v>
      </c>
      <c r="B1521" s="106">
        <f>COPY!AR1513</f>
        <v>0</v>
      </c>
      <c r="C1521" s="107">
        <f>COPY!AC1513</f>
        <v>0</v>
      </c>
      <c r="D1521" s="107" t="str">
        <f>IF(LEN(Table1722[[#This Row],[Uraian]])&gt;2,1," ")</f>
        <v xml:space="preserve"> </v>
      </c>
      <c r="E1521" s="113" t="str">
        <f>IF(Table1722[[#This Row],[Lawan Transaksi]]="CV AGUNG KARYA",COUNTIF($I$10:I1521,"CV AGUNG KARYA")," ")</f>
        <v xml:space="preserve"> </v>
      </c>
      <c r="F1521" s="107" t="str">
        <f>IF(LEN(Table1722[[#This Row],[Uraian]])&gt;2,TRIM(RIGHT(SUBSTITUTE(TRIM(C1521)," ",REPT(" ",255)),255))," ")</f>
        <v xml:space="preserve"> </v>
      </c>
      <c r="G1521" s="110">
        <f>COPY!Z1513</f>
        <v>0</v>
      </c>
      <c r="H1521" s="111" t="str">
        <f>IFERROR(VLOOKUP(Table1722[[#This Row],[Bukti]],'Un nOTA'!$A$4:$K$5003,10,FALSE),"")</f>
        <v/>
      </c>
      <c r="I1521" s="112" t="str">
        <f>IFERROR(VLOOKUP(Table1722[[#This Row],[Bukti]],Table13[#Data],11,FALSE),"")</f>
        <v/>
      </c>
    </row>
    <row r="1522" spans="1:9" ht="19.5" hidden="1" customHeight="1" x14ac:dyDescent="0.2">
      <c r="A1522" s="105" t="str">
        <f>IF(D1522=1,COUNTIF($D$10:D1522,1)," ")</f>
        <v xml:space="preserve"> </v>
      </c>
      <c r="B1522" s="106">
        <f>COPY!AR1514</f>
        <v>0</v>
      </c>
      <c r="C1522" s="107">
        <f>COPY!AC1514</f>
        <v>0</v>
      </c>
      <c r="D1522" s="107" t="str">
        <f>IF(LEN(Table1722[[#This Row],[Uraian]])&gt;2,1," ")</f>
        <v xml:space="preserve"> </v>
      </c>
      <c r="E1522" s="113" t="str">
        <f>IF(Table1722[[#This Row],[Lawan Transaksi]]="CV AGUNG KARYA",COUNTIF($I$10:I1522,"CV AGUNG KARYA")," ")</f>
        <v xml:space="preserve"> </v>
      </c>
      <c r="F1522" s="107" t="str">
        <f>IF(LEN(Table1722[[#This Row],[Uraian]])&gt;2,TRIM(RIGHT(SUBSTITUTE(TRIM(C1522)," ",REPT(" ",255)),255))," ")</f>
        <v xml:space="preserve"> </v>
      </c>
      <c r="G1522" s="110">
        <f>COPY!Z1514</f>
        <v>0</v>
      </c>
      <c r="H1522" s="111" t="str">
        <f>IFERROR(VLOOKUP(Table1722[[#This Row],[Bukti]],'Un nOTA'!$A$4:$K$5003,10,FALSE),"")</f>
        <v/>
      </c>
      <c r="I1522" s="112" t="str">
        <f>IFERROR(VLOOKUP(Table1722[[#This Row],[Bukti]],Table13[#Data],11,FALSE),"")</f>
        <v/>
      </c>
    </row>
    <row r="1523" spans="1:9" ht="19.5" hidden="1" customHeight="1" x14ac:dyDescent="0.2">
      <c r="A1523" s="105" t="str">
        <f>IF(D1523=1,COUNTIF($D$10:D1523,1)," ")</f>
        <v xml:space="preserve"> </v>
      </c>
      <c r="B1523" s="106">
        <f>COPY!AR1515</f>
        <v>0</v>
      </c>
      <c r="C1523" s="107">
        <f>COPY!AC1515</f>
        <v>0</v>
      </c>
      <c r="D1523" s="107" t="str">
        <f>IF(LEN(Table1722[[#This Row],[Uraian]])&gt;2,1," ")</f>
        <v xml:space="preserve"> </v>
      </c>
      <c r="E1523" s="113" t="str">
        <f>IF(Table1722[[#This Row],[Lawan Transaksi]]="CV AGUNG KARYA",COUNTIF($I$10:I1523,"CV AGUNG KARYA")," ")</f>
        <v xml:space="preserve"> </v>
      </c>
      <c r="F1523" s="107" t="str">
        <f>IF(LEN(Table1722[[#This Row],[Uraian]])&gt;2,TRIM(RIGHT(SUBSTITUTE(TRIM(C1523)," ",REPT(" ",255)),255))," ")</f>
        <v xml:space="preserve"> </v>
      </c>
      <c r="G1523" s="110">
        <f>COPY!Z1515</f>
        <v>0</v>
      </c>
      <c r="H1523" s="111" t="str">
        <f>IFERROR(VLOOKUP(Table1722[[#This Row],[Bukti]],'Un nOTA'!$A$4:$K$5003,10,FALSE),"")</f>
        <v/>
      </c>
      <c r="I1523" s="112" t="str">
        <f>IFERROR(VLOOKUP(Table1722[[#This Row],[Bukti]],Table13[#Data],11,FALSE),"")</f>
        <v/>
      </c>
    </row>
    <row r="1524" spans="1:9" ht="19.5" hidden="1" customHeight="1" x14ac:dyDescent="0.2">
      <c r="A1524" s="105" t="str">
        <f>IF(D1524=1,COUNTIF($D$10:D1524,1)," ")</f>
        <v xml:space="preserve"> </v>
      </c>
      <c r="B1524" s="106">
        <f>COPY!AR1516</f>
        <v>0</v>
      </c>
      <c r="C1524" s="107">
        <f>COPY!AC1516</f>
        <v>0</v>
      </c>
      <c r="D1524" s="107" t="str">
        <f>IF(LEN(Table1722[[#This Row],[Uraian]])&gt;2,1," ")</f>
        <v xml:space="preserve"> </v>
      </c>
      <c r="E1524" s="113" t="str">
        <f>IF(Table1722[[#This Row],[Lawan Transaksi]]="CV AGUNG KARYA",COUNTIF($I$10:I1524,"CV AGUNG KARYA")," ")</f>
        <v xml:space="preserve"> </v>
      </c>
      <c r="F1524" s="107" t="str">
        <f>IF(LEN(Table1722[[#This Row],[Uraian]])&gt;2,TRIM(RIGHT(SUBSTITUTE(TRIM(C1524)," ",REPT(" ",255)),255))," ")</f>
        <v xml:space="preserve"> </v>
      </c>
      <c r="G1524" s="110">
        <f>COPY!Z1516</f>
        <v>0</v>
      </c>
      <c r="H1524" s="111" t="str">
        <f>IFERROR(VLOOKUP(Table1722[[#This Row],[Bukti]],'Un nOTA'!$A$4:$K$5003,10,FALSE),"")</f>
        <v/>
      </c>
      <c r="I1524" s="112" t="str">
        <f>IFERROR(VLOOKUP(Table1722[[#This Row],[Bukti]],Table13[#Data],11,FALSE),"")</f>
        <v/>
      </c>
    </row>
    <row r="1525" spans="1:9" ht="19.5" hidden="1" customHeight="1" x14ac:dyDescent="0.2">
      <c r="A1525" s="105" t="str">
        <f>IF(D1525=1,COUNTIF($D$10:D1525,1)," ")</f>
        <v xml:space="preserve"> </v>
      </c>
      <c r="B1525" s="106">
        <f>COPY!AR1517</f>
        <v>0</v>
      </c>
      <c r="C1525" s="107">
        <f>COPY!AC1517</f>
        <v>0</v>
      </c>
      <c r="D1525" s="107" t="str">
        <f>IF(LEN(Table1722[[#This Row],[Uraian]])&gt;2,1," ")</f>
        <v xml:space="preserve"> </v>
      </c>
      <c r="E1525" s="113" t="str">
        <f>IF(Table1722[[#This Row],[Lawan Transaksi]]="CV AGUNG KARYA",COUNTIF($I$10:I1525,"CV AGUNG KARYA")," ")</f>
        <v xml:space="preserve"> </v>
      </c>
      <c r="F1525" s="107" t="str">
        <f>IF(LEN(Table1722[[#This Row],[Uraian]])&gt;2,TRIM(RIGHT(SUBSTITUTE(TRIM(C1525)," ",REPT(" ",255)),255))," ")</f>
        <v xml:space="preserve"> </v>
      </c>
      <c r="G1525" s="110">
        <f>COPY!Z1517</f>
        <v>0</v>
      </c>
      <c r="H1525" s="111" t="str">
        <f>IFERROR(VLOOKUP(Table1722[[#This Row],[Bukti]],'Un nOTA'!$A$4:$K$5003,10,FALSE),"")</f>
        <v/>
      </c>
      <c r="I1525" s="112" t="str">
        <f>IFERROR(VLOOKUP(Table1722[[#This Row],[Bukti]],Table13[#Data],11,FALSE),"")</f>
        <v/>
      </c>
    </row>
    <row r="1526" spans="1:9" ht="19.5" hidden="1" customHeight="1" x14ac:dyDescent="0.2">
      <c r="A1526" s="105" t="str">
        <f>IF(D1526=1,COUNTIF($D$10:D1526,1)," ")</f>
        <v xml:space="preserve"> </v>
      </c>
      <c r="B1526" s="106">
        <f>COPY!AR1518</f>
        <v>0</v>
      </c>
      <c r="C1526" s="107">
        <f>COPY!AC1518</f>
        <v>0</v>
      </c>
      <c r="D1526" s="107" t="str">
        <f>IF(LEN(Table1722[[#This Row],[Uraian]])&gt;2,1," ")</f>
        <v xml:space="preserve"> </v>
      </c>
      <c r="E1526" s="113" t="str">
        <f>IF(Table1722[[#This Row],[Lawan Transaksi]]="CV AGUNG KARYA",COUNTIF($I$10:I1526,"CV AGUNG KARYA")," ")</f>
        <v xml:space="preserve"> </v>
      </c>
      <c r="F1526" s="107" t="str">
        <f>IF(LEN(Table1722[[#This Row],[Uraian]])&gt;2,TRIM(RIGHT(SUBSTITUTE(TRIM(C1526)," ",REPT(" ",255)),255))," ")</f>
        <v xml:space="preserve"> </v>
      </c>
      <c r="G1526" s="110">
        <f>COPY!Z1518</f>
        <v>0</v>
      </c>
      <c r="H1526" s="111" t="str">
        <f>IFERROR(VLOOKUP(Table1722[[#This Row],[Bukti]],'Un nOTA'!$A$4:$K$5003,10,FALSE),"")</f>
        <v/>
      </c>
      <c r="I1526" s="112" t="str">
        <f>IFERROR(VLOOKUP(Table1722[[#This Row],[Bukti]],Table13[#Data],11,FALSE),"")</f>
        <v/>
      </c>
    </row>
    <row r="1527" spans="1:9" ht="19.5" hidden="1" customHeight="1" x14ac:dyDescent="0.2">
      <c r="A1527" s="105" t="str">
        <f>IF(D1527=1,COUNTIF($D$10:D1527,1)," ")</f>
        <v xml:space="preserve"> </v>
      </c>
      <c r="B1527" s="106">
        <f>COPY!AR1519</f>
        <v>0</v>
      </c>
      <c r="C1527" s="107">
        <f>COPY!AC1519</f>
        <v>0</v>
      </c>
      <c r="D1527" s="107" t="str">
        <f>IF(LEN(Table1722[[#This Row],[Uraian]])&gt;2,1," ")</f>
        <v xml:space="preserve"> </v>
      </c>
      <c r="E1527" s="113" t="str">
        <f>IF(Table1722[[#This Row],[Lawan Transaksi]]="CV AGUNG KARYA",COUNTIF($I$10:I1527,"CV AGUNG KARYA")," ")</f>
        <v xml:space="preserve"> </v>
      </c>
      <c r="F1527" s="107" t="str">
        <f>IF(LEN(Table1722[[#This Row],[Uraian]])&gt;2,TRIM(RIGHT(SUBSTITUTE(TRIM(C1527)," ",REPT(" ",255)),255))," ")</f>
        <v xml:space="preserve"> </v>
      </c>
      <c r="G1527" s="110">
        <f>COPY!Z1519</f>
        <v>0</v>
      </c>
      <c r="H1527" s="111" t="str">
        <f>IFERROR(VLOOKUP(Table1722[[#This Row],[Bukti]],'Un nOTA'!$A$4:$K$5003,10,FALSE),"")</f>
        <v/>
      </c>
      <c r="I1527" s="112" t="str">
        <f>IFERROR(VLOOKUP(Table1722[[#This Row],[Bukti]],Table13[#Data],11,FALSE),"")</f>
        <v/>
      </c>
    </row>
    <row r="1528" spans="1:9" ht="19.5" hidden="1" customHeight="1" x14ac:dyDescent="0.2">
      <c r="A1528" s="105" t="str">
        <f>IF(D1528=1,COUNTIF($D$10:D1528,1)," ")</f>
        <v xml:space="preserve"> </v>
      </c>
      <c r="B1528" s="106">
        <f>COPY!AR1520</f>
        <v>0</v>
      </c>
      <c r="C1528" s="107">
        <f>COPY!AC1520</f>
        <v>0</v>
      </c>
      <c r="D1528" s="107" t="str">
        <f>IF(LEN(Table1722[[#This Row],[Uraian]])&gt;2,1," ")</f>
        <v xml:space="preserve"> </v>
      </c>
      <c r="E1528" s="113" t="str">
        <f>IF(Table1722[[#This Row],[Lawan Transaksi]]="CV AGUNG KARYA",COUNTIF($I$10:I1528,"CV AGUNG KARYA")," ")</f>
        <v xml:space="preserve"> </v>
      </c>
      <c r="F1528" s="107" t="str">
        <f>IF(LEN(Table1722[[#This Row],[Uraian]])&gt;2,TRIM(RIGHT(SUBSTITUTE(TRIM(C1528)," ",REPT(" ",255)),255))," ")</f>
        <v xml:space="preserve"> </v>
      </c>
      <c r="G1528" s="110">
        <f>COPY!Z1520</f>
        <v>0</v>
      </c>
      <c r="H1528" s="111" t="str">
        <f>IFERROR(VLOOKUP(Table1722[[#This Row],[Bukti]],'Un nOTA'!$A$4:$K$5003,10,FALSE),"")</f>
        <v/>
      </c>
      <c r="I1528" s="112" t="str">
        <f>IFERROR(VLOOKUP(Table1722[[#This Row],[Bukti]],Table13[#Data],11,FALSE),"")</f>
        <v/>
      </c>
    </row>
    <row r="1529" spans="1:9" ht="19.5" hidden="1" customHeight="1" x14ac:dyDescent="0.2">
      <c r="A1529" s="105" t="str">
        <f>IF(D1529=1,COUNTIF($D$10:D1529,1)," ")</f>
        <v xml:space="preserve"> </v>
      </c>
      <c r="B1529" s="106">
        <f>COPY!AR1521</f>
        <v>0</v>
      </c>
      <c r="C1529" s="107">
        <f>COPY!AC1521</f>
        <v>0</v>
      </c>
      <c r="D1529" s="107" t="str">
        <f>IF(LEN(Table1722[[#This Row],[Uraian]])&gt;2,1," ")</f>
        <v xml:space="preserve"> </v>
      </c>
      <c r="E1529" s="113" t="str">
        <f>IF(Table1722[[#This Row],[Lawan Transaksi]]="CV AGUNG KARYA",COUNTIF($I$10:I1529,"CV AGUNG KARYA")," ")</f>
        <v xml:space="preserve"> </v>
      </c>
      <c r="F1529" s="107" t="str">
        <f>IF(LEN(Table1722[[#This Row],[Uraian]])&gt;2,TRIM(RIGHT(SUBSTITUTE(TRIM(C1529)," ",REPT(" ",255)),255))," ")</f>
        <v xml:space="preserve"> </v>
      </c>
      <c r="G1529" s="110">
        <f>COPY!Z1521</f>
        <v>0</v>
      </c>
      <c r="H1529" s="111" t="str">
        <f>IFERROR(VLOOKUP(Table1722[[#This Row],[Bukti]],'Un nOTA'!$A$4:$K$5003,10,FALSE),"")</f>
        <v/>
      </c>
      <c r="I1529" s="112" t="str">
        <f>IFERROR(VLOOKUP(Table1722[[#This Row],[Bukti]],Table13[#Data],11,FALSE),"")</f>
        <v/>
      </c>
    </row>
    <row r="1530" spans="1:9" ht="19.5" hidden="1" customHeight="1" x14ac:dyDescent="0.2">
      <c r="A1530" s="105" t="str">
        <f>IF(D1530=1,COUNTIF($D$10:D1530,1)," ")</f>
        <v xml:space="preserve"> </v>
      </c>
      <c r="B1530" s="106">
        <f>COPY!AR1522</f>
        <v>0</v>
      </c>
      <c r="C1530" s="107">
        <f>COPY!AC1522</f>
        <v>0</v>
      </c>
      <c r="D1530" s="107" t="str">
        <f>IF(LEN(Table1722[[#This Row],[Uraian]])&gt;2,1," ")</f>
        <v xml:space="preserve"> </v>
      </c>
      <c r="E1530" s="113" t="str">
        <f>IF(Table1722[[#This Row],[Lawan Transaksi]]="CV AGUNG KARYA",COUNTIF($I$10:I1530,"CV AGUNG KARYA")," ")</f>
        <v xml:space="preserve"> </v>
      </c>
      <c r="F1530" s="107" t="str">
        <f>IF(LEN(Table1722[[#This Row],[Uraian]])&gt;2,TRIM(RIGHT(SUBSTITUTE(TRIM(C1530)," ",REPT(" ",255)),255))," ")</f>
        <v xml:space="preserve"> </v>
      </c>
      <c r="G1530" s="110">
        <f>COPY!Z1522</f>
        <v>0</v>
      </c>
      <c r="H1530" s="111" t="str">
        <f>IFERROR(VLOOKUP(Table1722[[#This Row],[Bukti]],'Un nOTA'!$A$4:$K$5003,10,FALSE),"")</f>
        <v/>
      </c>
      <c r="I1530" s="112" t="str">
        <f>IFERROR(VLOOKUP(Table1722[[#This Row],[Bukti]],Table13[#Data],11,FALSE),"")</f>
        <v/>
      </c>
    </row>
    <row r="1531" spans="1:9" ht="19.5" hidden="1" customHeight="1" x14ac:dyDescent="0.2">
      <c r="A1531" s="105" t="str">
        <f>IF(D1531=1,COUNTIF($D$10:D1531,1)," ")</f>
        <v xml:space="preserve"> </v>
      </c>
      <c r="B1531" s="106">
        <f>COPY!AR1523</f>
        <v>0</v>
      </c>
      <c r="C1531" s="107">
        <f>COPY!AC1523</f>
        <v>0</v>
      </c>
      <c r="D1531" s="107" t="str">
        <f>IF(LEN(Table1722[[#This Row],[Uraian]])&gt;2,1," ")</f>
        <v xml:space="preserve"> </v>
      </c>
      <c r="E1531" s="113" t="str">
        <f>IF(Table1722[[#This Row],[Lawan Transaksi]]="CV AGUNG KARYA",COUNTIF($I$10:I1531,"CV AGUNG KARYA")," ")</f>
        <v xml:space="preserve"> </v>
      </c>
      <c r="F1531" s="107" t="str">
        <f>IF(LEN(Table1722[[#This Row],[Uraian]])&gt;2,TRIM(RIGHT(SUBSTITUTE(TRIM(C1531)," ",REPT(" ",255)),255))," ")</f>
        <v xml:space="preserve"> </v>
      </c>
      <c r="G1531" s="110">
        <f>COPY!Z1523</f>
        <v>0</v>
      </c>
      <c r="H1531" s="111" t="str">
        <f>IFERROR(VLOOKUP(Table1722[[#This Row],[Bukti]],'Un nOTA'!$A$4:$K$5003,10,FALSE),"")</f>
        <v/>
      </c>
      <c r="I1531" s="112" t="str">
        <f>IFERROR(VLOOKUP(Table1722[[#This Row],[Bukti]],Table13[#Data],11,FALSE),"")</f>
        <v/>
      </c>
    </row>
    <row r="1532" spans="1:9" ht="19.5" hidden="1" customHeight="1" x14ac:dyDescent="0.2">
      <c r="A1532" s="105" t="str">
        <f>IF(D1532=1,COUNTIF($D$10:D1532,1)," ")</f>
        <v xml:space="preserve"> </v>
      </c>
      <c r="B1532" s="106">
        <f>COPY!AR1524</f>
        <v>0</v>
      </c>
      <c r="C1532" s="107">
        <f>COPY!AC1524</f>
        <v>0</v>
      </c>
      <c r="D1532" s="107" t="str">
        <f>IF(LEN(Table1722[[#This Row],[Uraian]])&gt;2,1," ")</f>
        <v xml:space="preserve"> </v>
      </c>
      <c r="E1532" s="113" t="str">
        <f>IF(Table1722[[#This Row],[Lawan Transaksi]]="CV AGUNG KARYA",COUNTIF($I$10:I1532,"CV AGUNG KARYA")," ")</f>
        <v xml:space="preserve"> </v>
      </c>
      <c r="F1532" s="107" t="str">
        <f>IF(LEN(Table1722[[#This Row],[Uraian]])&gt;2,TRIM(RIGHT(SUBSTITUTE(TRIM(C1532)," ",REPT(" ",255)),255))," ")</f>
        <v xml:space="preserve"> </v>
      </c>
      <c r="G1532" s="110">
        <f>COPY!Z1524</f>
        <v>0</v>
      </c>
      <c r="H1532" s="111" t="str">
        <f>IFERROR(VLOOKUP(Table1722[[#This Row],[Bukti]],'Un nOTA'!$A$4:$K$5003,10,FALSE),"")</f>
        <v/>
      </c>
      <c r="I1532" s="112" t="str">
        <f>IFERROR(VLOOKUP(Table1722[[#This Row],[Bukti]],Table13[#Data],11,FALSE),"")</f>
        <v/>
      </c>
    </row>
    <row r="1533" spans="1:9" ht="19.5" hidden="1" customHeight="1" x14ac:dyDescent="0.2">
      <c r="A1533" s="105" t="str">
        <f>IF(D1533=1,COUNTIF($D$10:D1533,1)," ")</f>
        <v xml:space="preserve"> </v>
      </c>
      <c r="B1533" s="106">
        <f>COPY!AR1525</f>
        <v>0</v>
      </c>
      <c r="C1533" s="107">
        <f>COPY!AC1525</f>
        <v>0</v>
      </c>
      <c r="D1533" s="107" t="str">
        <f>IF(LEN(Table1722[[#This Row],[Uraian]])&gt;2,1," ")</f>
        <v xml:space="preserve"> </v>
      </c>
      <c r="E1533" s="113" t="str">
        <f>IF(Table1722[[#This Row],[Lawan Transaksi]]="CV AGUNG KARYA",COUNTIF($I$10:I1533,"CV AGUNG KARYA")," ")</f>
        <v xml:space="preserve"> </v>
      </c>
      <c r="F1533" s="107" t="str">
        <f>IF(LEN(Table1722[[#This Row],[Uraian]])&gt;2,TRIM(RIGHT(SUBSTITUTE(TRIM(C1533)," ",REPT(" ",255)),255))," ")</f>
        <v xml:space="preserve"> </v>
      </c>
      <c r="G1533" s="110">
        <f>COPY!Z1525</f>
        <v>0</v>
      </c>
      <c r="H1533" s="111" t="str">
        <f>IFERROR(VLOOKUP(Table1722[[#This Row],[Bukti]],'Un nOTA'!$A$4:$K$5003,10,FALSE),"")</f>
        <v/>
      </c>
      <c r="I1533" s="112" t="str">
        <f>IFERROR(VLOOKUP(Table1722[[#This Row],[Bukti]],Table13[#Data],11,FALSE),"")</f>
        <v/>
      </c>
    </row>
    <row r="1534" spans="1:9" ht="19.5" hidden="1" customHeight="1" x14ac:dyDescent="0.2">
      <c r="A1534" s="105" t="str">
        <f>IF(D1534=1,COUNTIF($D$10:D1534,1)," ")</f>
        <v xml:space="preserve"> </v>
      </c>
      <c r="B1534" s="106">
        <f>COPY!AR1526</f>
        <v>0</v>
      </c>
      <c r="C1534" s="107">
        <f>COPY!AC1526</f>
        <v>0</v>
      </c>
      <c r="D1534" s="107" t="str">
        <f>IF(LEN(Table1722[[#This Row],[Uraian]])&gt;2,1," ")</f>
        <v xml:space="preserve"> </v>
      </c>
      <c r="E1534" s="113" t="str">
        <f>IF(Table1722[[#This Row],[Lawan Transaksi]]="CV AGUNG KARYA",COUNTIF($I$10:I1534,"CV AGUNG KARYA")," ")</f>
        <v xml:space="preserve"> </v>
      </c>
      <c r="F1534" s="107" t="str">
        <f>IF(LEN(Table1722[[#This Row],[Uraian]])&gt;2,TRIM(RIGHT(SUBSTITUTE(TRIM(C1534)," ",REPT(" ",255)),255))," ")</f>
        <v xml:space="preserve"> </v>
      </c>
      <c r="G1534" s="110">
        <f>COPY!Z1526</f>
        <v>0</v>
      </c>
      <c r="H1534" s="111" t="str">
        <f>IFERROR(VLOOKUP(Table1722[[#This Row],[Bukti]],'Un nOTA'!$A$4:$K$5003,10,FALSE),"")</f>
        <v/>
      </c>
      <c r="I1534" s="112" t="str">
        <f>IFERROR(VLOOKUP(Table1722[[#This Row],[Bukti]],Table13[#Data],11,FALSE),"")</f>
        <v/>
      </c>
    </row>
    <row r="1535" spans="1:9" ht="19.5" hidden="1" customHeight="1" x14ac:dyDescent="0.2">
      <c r="A1535" s="105" t="str">
        <f>IF(D1535=1,COUNTIF($D$10:D1535,1)," ")</f>
        <v xml:space="preserve"> </v>
      </c>
      <c r="B1535" s="106">
        <f>COPY!AR1527</f>
        <v>0</v>
      </c>
      <c r="C1535" s="107">
        <f>COPY!AC1527</f>
        <v>0</v>
      </c>
      <c r="D1535" s="107" t="str">
        <f>IF(LEN(Table1722[[#This Row],[Uraian]])&gt;2,1," ")</f>
        <v xml:space="preserve"> </v>
      </c>
      <c r="E1535" s="113" t="str">
        <f>IF(Table1722[[#This Row],[Lawan Transaksi]]="CV AGUNG KARYA",COUNTIF($I$10:I1535,"CV AGUNG KARYA")," ")</f>
        <v xml:space="preserve"> </v>
      </c>
      <c r="F1535" s="107" t="str">
        <f>IF(LEN(Table1722[[#This Row],[Uraian]])&gt;2,TRIM(RIGHT(SUBSTITUTE(TRIM(C1535)," ",REPT(" ",255)),255))," ")</f>
        <v xml:space="preserve"> </v>
      </c>
      <c r="G1535" s="110">
        <f>COPY!Z1527</f>
        <v>0</v>
      </c>
      <c r="H1535" s="111" t="str">
        <f>IFERROR(VLOOKUP(Table1722[[#This Row],[Bukti]],'Un nOTA'!$A$4:$K$5003,10,FALSE),"")</f>
        <v/>
      </c>
      <c r="I1535" s="112" t="str">
        <f>IFERROR(VLOOKUP(Table1722[[#This Row],[Bukti]],Table13[#Data],11,FALSE),"")</f>
        <v/>
      </c>
    </row>
    <row r="1536" spans="1:9" ht="19.5" hidden="1" customHeight="1" x14ac:dyDescent="0.2">
      <c r="A1536" s="105" t="str">
        <f>IF(D1536=1,COUNTIF($D$10:D1536,1)," ")</f>
        <v xml:space="preserve"> </v>
      </c>
      <c r="B1536" s="106">
        <f>COPY!AR1528</f>
        <v>0</v>
      </c>
      <c r="C1536" s="107">
        <f>COPY!AC1528</f>
        <v>0</v>
      </c>
      <c r="D1536" s="107" t="str">
        <f>IF(LEN(Table1722[[#This Row],[Uraian]])&gt;2,1," ")</f>
        <v xml:space="preserve"> </v>
      </c>
      <c r="E1536" s="113" t="str">
        <f>IF(Table1722[[#This Row],[Lawan Transaksi]]="CV AGUNG KARYA",COUNTIF($I$10:I1536,"CV AGUNG KARYA")," ")</f>
        <v xml:space="preserve"> </v>
      </c>
      <c r="F1536" s="107" t="str">
        <f>IF(LEN(Table1722[[#This Row],[Uraian]])&gt;2,TRIM(RIGHT(SUBSTITUTE(TRIM(C1536)," ",REPT(" ",255)),255))," ")</f>
        <v xml:space="preserve"> </v>
      </c>
      <c r="G1536" s="110">
        <f>COPY!Z1528</f>
        <v>0</v>
      </c>
      <c r="H1536" s="111" t="str">
        <f>IFERROR(VLOOKUP(Table1722[[#This Row],[Bukti]],'Un nOTA'!$A$4:$K$5003,10,FALSE),"")</f>
        <v/>
      </c>
      <c r="I1536" s="112" t="str">
        <f>IFERROR(VLOOKUP(Table1722[[#This Row],[Bukti]],Table13[#Data],11,FALSE),"")</f>
        <v/>
      </c>
    </row>
    <row r="1537" spans="1:9" ht="19.5" hidden="1" customHeight="1" x14ac:dyDescent="0.2">
      <c r="A1537" s="105" t="str">
        <f>IF(D1537=1,COUNTIF($D$10:D1537,1)," ")</f>
        <v xml:space="preserve"> </v>
      </c>
      <c r="B1537" s="106">
        <f>COPY!AR1529</f>
        <v>0</v>
      </c>
      <c r="C1537" s="107">
        <f>COPY!AC1529</f>
        <v>0</v>
      </c>
      <c r="D1537" s="107" t="str">
        <f>IF(LEN(Table1722[[#This Row],[Uraian]])&gt;2,1," ")</f>
        <v xml:space="preserve"> </v>
      </c>
      <c r="E1537" s="113" t="str">
        <f>IF(Table1722[[#This Row],[Lawan Transaksi]]="CV AGUNG KARYA",COUNTIF($I$10:I1537,"CV AGUNG KARYA")," ")</f>
        <v xml:space="preserve"> </v>
      </c>
      <c r="F1537" s="107" t="str">
        <f>IF(LEN(Table1722[[#This Row],[Uraian]])&gt;2,TRIM(RIGHT(SUBSTITUTE(TRIM(C1537)," ",REPT(" ",255)),255))," ")</f>
        <v xml:space="preserve"> </v>
      </c>
      <c r="G1537" s="110">
        <f>COPY!Z1529</f>
        <v>0</v>
      </c>
      <c r="H1537" s="111" t="str">
        <f>IFERROR(VLOOKUP(Table1722[[#This Row],[Bukti]],'Un nOTA'!$A$4:$K$5003,10,FALSE),"")</f>
        <v/>
      </c>
      <c r="I1537" s="112" t="str">
        <f>IFERROR(VLOOKUP(Table1722[[#This Row],[Bukti]],Table13[#Data],11,FALSE),"")</f>
        <v/>
      </c>
    </row>
    <row r="1538" spans="1:9" ht="19.5" hidden="1" customHeight="1" x14ac:dyDescent="0.2">
      <c r="A1538" s="105" t="str">
        <f>IF(D1538=1,COUNTIF($D$10:D1538,1)," ")</f>
        <v xml:space="preserve"> </v>
      </c>
      <c r="B1538" s="106">
        <f>COPY!AR1530</f>
        <v>0</v>
      </c>
      <c r="C1538" s="107">
        <f>COPY!AC1530</f>
        <v>0</v>
      </c>
      <c r="D1538" s="107" t="str">
        <f>IF(LEN(Table1722[[#This Row],[Uraian]])&gt;2,1," ")</f>
        <v xml:space="preserve"> </v>
      </c>
      <c r="E1538" s="113" t="str">
        <f>IF(Table1722[[#This Row],[Lawan Transaksi]]="CV AGUNG KARYA",COUNTIF($I$10:I1538,"CV AGUNG KARYA")," ")</f>
        <v xml:space="preserve"> </v>
      </c>
      <c r="F1538" s="107" t="str">
        <f>IF(LEN(Table1722[[#This Row],[Uraian]])&gt;2,TRIM(RIGHT(SUBSTITUTE(TRIM(C1538)," ",REPT(" ",255)),255))," ")</f>
        <v xml:space="preserve"> </v>
      </c>
      <c r="G1538" s="110">
        <f>COPY!Z1530</f>
        <v>0</v>
      </c>
      <c r="H1538" s="111" t="str">
        <f>IFERROR(VLOOKUP(Table1722[[#This Row],[Bukti]],'Un nOTA'!$A$4:$K$5003,10,FALSE),"")</f>
        <v/>
      </c>
      <c r="I1538" s="112" t="str">
        <f>IFERROR(VLOOKUP(Table1722[[#This Row],[Bukti]],Table13[#Data],11,FALSE),"")</f>
        <v/>
      </c>
    </row>
    <row r="1539" spans="1:9" ht="19.5" hidden="1" customHeight="1" x14ac:dyDescent="0.2">
      <c r="A1539" s="105" t="str">
        <f>IF(D1539=1,COUNTIF($D$10:D1539,1)," ")</f>
        <v xml:space="preserve"> </v>
      </c>
      <c r="B1539" s="106">
        <f>COPY!AR1531</f>
        <v>0</v>
      </c>
      <c r="C1539" s="107">
        <f>COPY!AC1531</f>
        <v>0</v>
      </c>
      <c r="D1539" s="107" t="str">
        <f>IF(LEN(Table1722[[#This Row],[Uraian]])&gt;2,1," ")</f>
        <v xml:space="preserve"> </v>
      </c>
      <c r="E1539" s="113" t="str">
        <f>IF(Table1722[[#This Row],[Lawan Transaksi]]="CV AGUNG KARYA",COUNTIF($I$10:I1539,"CV AGUNG KARYA")," ")</f>
        <v xml:space="preserve"> </v>
      </c>
      <c r="F1539" s="107" t="str">
        <f>IF(LEN(Table1722[[#This Row],[Uraian]])&gt;2,TRIM(RIGHT(SUBSTITUTE(TRIM(C1539)," ",REPT(" ",255)),255))," ")</f>
        <v xml:space="preserve"> </v>
      </c>
      <c r="G1539" s="110">
        <f>COPY!Z1531</f>
        <v>0</v>
      </c>
      <c r="H1539" s="111" t="str">
        <f>IFERROR(VLOOKUP(Table1722[[#This Row],[Bukti]],'Un nOTA'!$A$4:$K$5003,10,FALSE),"")</f>
        <v/>
      </c>
      <c r="I1539" s="112" t="str">
        <f>IFERROR(VLOOKUP(Table1722[[#This Row],[Bukti]],Table13[#Data],11,FALSE),"")</f>
        <v/>
      </c>
    </row>
    <row r="1540" spans="1:9" ht="19.5" hidden="1" customHeight="1" x14ac:dyDescent="0.2">
      <c r="A1540" s="105" t="str">
        <f>IF(D1540=1,COUNTIF($D$10:D1540,1)," ")</f>
        <v xml:space="preserve"> </v>
      </c>
      <c r="B1540" s="106">
        <f>COPY!AR1532</f>
        <v>0</v>
      </c>
      <c r="C1540" s="107">
        <f>COPY!AC1532</f>
        <v>0</v>
      </c>
      <c r="D1540" s="107" t="str">
        <f>IF(LEN(Table1722[[#This Row],[Uraian]])&gt;2,1," ")</f>
        <v xml:space="preserve"> </v>
      </c>
      <c r="E1540" s="113" t="str">
        <f>IF(Table1722[[#This Row],[Lawan Transaksi]]="CV AGUNG KARYA",COUNTIF($I$10:I1540,"CV AGUNG KARYA")," ")</f>
        <v xml:space="preserve"> </v>
      </c>
      <c r="F1540" s="107" t="str">
        <f>IF(LEN(Table1722[[#This Row],[Uraian]])&gt;2,TRIM(RIGHT(SUBSTITUTE(TRIM(C1540)," ",REPT(" ",255)),255))," ")</f>
        <v xml:space="preserve"> </v>
      </c>
      <c r="G1540" s="110">
        <f>COPY!Z1532</f>
        <v>0</v>
      </c>
      <c r="H1540" s="111" t="str">
        <f>IFERROR(VLOOKUP(Table1722[[#This Row],[Bukti]],'Un nOTA'!$A$4:$K$5003,10,FALSE),"")</f>
        <v/>
      </c>
      <c r="I1540" s="112" t="str">
        <f>IFERROR(VLOOKUP(Table1722[[#This Row],[Bukti]],Table13[#Data],11,FALSE),"")</f>
        <v/>
      </c>
    </row>
    <row r="1541" spans="1:9" ht="19.5" hidden="1" customHeight="1" x14ac:dyDescent="0.2">
      <c r="A1541" s="105" t="str">
        <f>IF(D1541=1,COUNTIF($D$10:D1541,1)," ")</f>
        <v xml:space="preserve"> </v>
      </c>
      <c r="B1541" s="106">
        <f>COPY!AR1533</f>
        <v>0</v>
      </c>
      <c r="C1541" s="107">
        <f>COPY!AC1533</f>
        <v>0</v>
      </c>
      <c r="D1541" s="107" t="str">
        <f>IF(LEN(Table1722[[#This Row],[Uraian]])&gt;2,1," ")</f>
        <v xml:space="preserve"> </v>
      </c>
      <c r="E1541" s="113" t="str">
        <f>IF(Table1722[[#This Row],[Lawan Transaksi]]="CV AGUNG KARYA",COUNTIF($I$10:I1541,"CV AGUNG KARYA")," ")</f>
        <v xml:space="preserve"> </v>
      </c>
      <c r="F1541" s="107" t="str">
        <f>IF(LEN(Table1722[[#This Row],[Uraian]])&gt;2,TRIM(RIGHT(SUBSTITUTE(TRIM(C1541)," ",REPT(" ",255)),255))," ")</f>
        <v xml:space="preserve"> </v>
      </c>
      <c r="G1541" s="110">
        <f>COPY!Z1533</f>
        <v>0</v>
      </c>
      <c r="H1541" s="111" t="str">
        <f>IFERROR(VLOOKUP(Table1722[[#This Row],[Bukti]],'Un nOTA'!$A$4:$K$5003,10,FALSE),"")</f>
        <v/>
      </c>
      <c r="I1541" s="112" t="str">
        <f>IFERROR(VLOOKUP(Table1722[[#This Row],[Bukti]],Table13[#Data],11,FALSE),"")</f>
        <v/>
      </c>
    </row>
    <row r="1542" spans="1:9" ht="19.5" hidden="1" customHeight="1" x14ac:dyDescent="0.2">
      <c r="A1542" s="105" t="str">
        <f>IF(D1542=1,COUNTIF($D$10:D1542,1)," ")</f>
        <v xml:space="preserve"> </v>
      </c>
      <c r="B1542" s="106">
        <f>COPY!AR1534</f>
        <v>0</v>
      </c>
      <c r="C1542" s="107">
        <f>COPY!AC1534</f>
        <v>0</v>
      </c>
      <c r="D1542" s="107" t="str">
        <f>IF(LEN(Table1722[[#This Row],[Uraian]])&gt;2,1," ")</f>
        <v xml:space="preserve"> </v>
      </c>
      <c r="E1542" s="113" t="str">
        <f>IF(Table1722[[#This Row],[Lawan Transaksi]]="CV AGUNG KARYA",COUNTIF($I$10:I1542,"CV AGUNG KARYA")," ")</f>
        <v xml:space="preserve"> </v>
      </c>
      <c r="F1542" s="107" t="str">
        <f>IF(LEN(Table1722[[#This Row],[Uraian]])&gt;2,TRIM(RIGHT(SUBSTITUTE(TRIM(C1542)," ",REPT(" ",255)),255))," ")</f>
        <v xml:space="preserve"> </v>
      </c>
      <c r="G1542" s="110">
        <f>COPY!Z1534</f>
        <v>0</v>
      </c>
      <c r="H1542" s="111" t="str">
        <f>IFERROR(VLOOKUP(Table1722[[#This Row],[Bukti]],'Un nOTA'!$A$4:$K$5003,10,FALSE),"")</f>
        <v/>
      </c>
      <c r="I1542" s="112" t="str">
        <f>IFERROR(VLOOKUP(Table1722[[#This Row],[Bukti]],Table13[#Data],11,FALSE),"")</f>
        <v/>
      </c>
    </row>
    <row r="1543" spans="1:9" ht="19.5" hidden="1" customHeight="1" x14ac:dyDescent="0.2">
      <c r="A1543" s="105" t="str">
        <f>IF(D1543=1,COUNTIF($D$10:D1543,1)," ")</f>
        <v xml:space="preserve"> </v>
      </c>
      <c r="B1543" s="106">
        <f>COPY!AR1535</f>
        <v>0</v>
      </c>
      <c r="C1543" s="107">
        <f>COPY!AC1535</f>
        <v>0</v>
      </c>
      <c r="D1543" s="107" t="str">
        <f>IF(LEN(Table1722[[#This Row],[Uraian]])&gt;2,1," ")</f>
        <v xml:space="preserve"> </v>
      </c>
      <c r="E1543" s="113" t="str">
        <f>IF(Table1722[[#This Row],[Lawan Transaksi]]="CV AGUNG KARYA",COUNTIF($I$10:I1543,"CV AGUNG KARYA")," ")</f>
        <v xml:space="preserve"> </v>
      </c>
      <c r="F1543" s="107" t="str">
        <f>IF(LEN(Table1722[[#This Row],[Uraian]])&gt;2,TRIM(RIGHT(SUBSTITUTE(TRIM(C1543)," ",REPT(" ",255)),255))," ")</f>
        <v xml:space="preserve"> </v>
      </c>
      <c r="G1543" s="110">
        <f>COPY!Z1535</f>
        <v>0</v>
      </c>
      <c r="H1543" s="111" t="str">
        <f>IFERROR(VLOOKUP(Table1722[[#This Row],[Bukti]],'Un nOTA'!$A$4:$K$5003,10,FALSE),"")</f>
        <v/>
      </c>
      <c r="I1543" s="112" t="str">
        <f>IFERROR(VLOOKUP(Table1722[[#This Row],[Bukti]],Table13[#Data],11,FALSE),"")</f>
        <v/>
      </c>
    </row>
    <row r="1544" spans="1:9" ht="19.5" hidden="1" customHeight="1" x14ac:dyDescent="0.2">
      <c r="A1544" s="105" t="str">
        <f>IF(D1544=1,COUNTIF($D$10:D1544,1)," ")</f>
        <v xml:space="preserve"> </v>
      </c>
      <c r="B1544" s="106">
        <f>COPY!AR1536</f>
        <v>0</v>
      </c>
      <c r="C1544" s="107">
        <f>COPY!AC1536</f>
        <v>0</v>
      </c>
      <c r="D1544" s="107" t="str">
        <f>IF(LEN(Table1722[[#This Row],[Uraian]])&gt;2,1," ")</f>
        <v xml:space="preserve"> </v>
      </c>
      <c r="E1544" s="113" t="str">
        <f>IF(Table1722[[#This Row],[Lawan Transaksi]]="CV AGUNG KARYA",COUNTIF($I$10:I1544,"CV AGUNG KARYA")," ")</f>
        <v xml:space="preserve"> </v>
      </c>
      <c r="F1544" s="107" t="str">
        <f>IF(LEN(Table1722[[#This Row],[Uraian]])&gt;2,TRIM(RIGHT(SUBSTITUTE(TRIM(C1544)," ",REPT(" ",255)),255))," ")</f>
        <v xml:space="preserve"> </v>
      </c>
      <c r="G1544" s="110">
        <f>COPY!Z1536</f>
        <v>0</v>
      </c>
      <c r="H1544" s="111" t="str">
        <f>IFERROR(VLOOKUP(Table1722[[#This Row],[Bukti]],'Un nOTA'!$A$4:$K$5003,10,FALSE),"")</f>
        <v/>
      </c>
      <c r="I1544" s="112" t="str">
        <f>IFERROR(VLOOKUP(Table1722[[#This Row],[Bukti]],Table13[#Data],11,FALSE),"")</f>
        <v/>
      </c>
    </row>
    <row r="1545" spans="1:9" ht="19.5" hidden="1" customHeight="1" x14ac:dyDescent="0.2">
      <c r="A1545" s="105" t="str">
        <f>IF(D1545=1,COUNTIF($D$10:D1545,1)," ")</f>
        <v xml:space="preserve"> </v>
      </c>
      <c r="B1545" s="106">
        <f>COPY!AR1537</f>
        <v>0</v>
      </c>
      <c r="C1545" s="107">
        <f>COPY!AC1537</f>
        <v>0</v>
      </c>
      <c r="D1545" s="107" t="str">
        <f>IF(LEN(Table1722[[#This Row],[Uraian]])&gt;2,1," ")</f>
        <v xml:space="preserve"> </v>
      </c>
      <c r="E1545" s="113" t="str">
        <f>IF(Table1722[[#This Row],[Lawan Transaksi]]="CV AGUNG KARYA",COUNTIF($I$10:I1545,"CV AGUNG KARYA")," ")</f>
        <v xml:space="preserve"> </v>
      </c>
      <c r="F1545" s="107" t="str">
        <f>IF(LEN(Table1722[[#This Row],[Uraian]])&gt;2,TRIM(RIGHT(SUBSTITUTE(TRIM(C1545)," ",REPT(" ",255)),255))," ")</f>
        <v xml:space="preserve"> </v>
      </c>
      <c r="G1545" s="110">
        <f>COPY!Z1537</f>
        <v>0</v>
      </c>
      <c r="H1545" s="111" t="str">
        <f>IFERROR(VLOOKUP(Table1722[[#This Row],[Bukti]],'Un nOTA'!$A$4:$K$5003,10,FALSE),"")</f>
        <v/>
      </c>
      <c r="I1545" s="112" t="str">
        <f>IFERROR(VLOOKUP(Table1722[[#This Row],[Bukti]],Table13[#Data],11,FALSE),"")</f>
        <v/>
      </c>
    </row>
    <row r="1546" spans="1:9" ht="19.5" hidden="1" customHeight="1" x14ac:dyDescent="0.2">
      <c r="A1546" s="105" t="str">
        <f>IF(D1546=1,COUNTIF($D$10:D1546,1)," ")</f>
        <v xml:space="preserve"> </v>
      </c>
      <c r="B1546" s="106">
        <f>COPY!AR1538</f>
        <v>0</v>
      </c>
      <c r="C1546" s="107">
        <f>COPY!AC1538</f>
        <v>0</v>
      </c>
      <c r="D1546" s="107" t="str">
        <f>IF(LEN(Table1722[[#This Row],[Uraian]])&gt;2,1," ")</f>
        <v xml:space="preserve"> </v>
      </c>
      <c r="E1546" s="113" t="str">
        <f>IF(Table1722[[#This Row],[Lawan Transaksi]]="CV AGUNG KARYA",COUNTIF($I$10:I1546,"CV AGUNG KARYA")," ")</f>
        <v xml:space="preserve"> </v>
      </c>
      <c r="F1546" s="107" t="str">
        <f>IF(LEN(Table1722[[#This Row],[Uraian]])&gt;2,TRIM(RIGHT(SUBSTITUTE(TRIM(C1546)," ",REPT(" ",255)),255))," ")</f>
        <v xml:space="preserve"> </v>
      </c>
      <c r="G1546" s="110">
        <f>COPY!Z1538</f>
        <v>0</v>
      </c>
      <c r="H1546" s="111" t="str">
        <f>IFERROR(VLOOKUP(Table1722[[#This Row],[Bukti]],'Un nOTA'!$A$4:$K$5003,10,FALSE),"")</f>
        <v/>
      </c>
      <c r="I1546" s="112" t="str">
        <f>IFERROR(VLOOKUP(Table1722[[#This Row],[Bukti]],Table13[#Data],11,FALSE),"")</f>
        <v/>
      </c>
    </row>
    <row r="1547" spans="1:9" ht="19.5" hidden="1" customHeight="1" x14ac:dyDescent="0.2">
      <c r="A1547" s="105" t="str">
        <f>IF(D1547=1,COUNTIF($D$10:D1547,1)," ")</f>
        <v xml:space="preserve"> </v>
      </c>
      <c r="B1547" s="106">
        <f>COPY!AR1539</f>
        <v>0</v>
      </c>
      <c r="C1547" s="107">
        <f>COPY!AC1539</f>
        <v>0</v>
      </c>
      <c r="D1547" s="107" t="str">
        <f>IF(LEN(Table1722[[#This Row],[Uraian]])&gt;2,1," ")</f>
        <v xml:space="preserve"> </v>
      </c>
      <c r="E1547" s="113" t="str">
        <f>IF(Table1722[[#This Row],[Lawan Transaksi]]="CV AGUNG KARYA",COUNTIF($I$10:I1547,"CV AGUNG KARYA")," ")</f>
        <v xml:space="preserve"> </v>
      </c>
      <c r="F1547" s="107" t="str">
        <f>IF(LEN(Table1722[[#This Row],[Uraian]])&gt;2,TRIM(RIGHT(SUBSTITUTE(TRIM(C1547)," ",REPT(" ",255)),255))," ")</f>
        <v xml:space="preserve"> </v>
      </c>
      <c r="G1547" s="110">
        <f>COPY!Z1539</f>
        <v>0</v>
      </c>
      <c r="H1547" s="111" t="str">
        <f>IFERROR(VLOOKUP(Table1722[[#This Row],[Bukti]],'Un nOTA'!$A$4:$K$5003,10,FALSE),"")</f>
        <v/>
      </c>
      <c r="I1547" s="112" t="str">
        <f>IFERROR(VLOOKUP(Table1722[[#This Row],[Bukti]],Table13[#Data],11,FALSE),"")</f>
        <v/>
      </c>
    </row>
    <row r="1548" spans="1:9" ht="19.5" hidden="1" customHeight="1" x14ac:dyDescent="0.2">
      <c r="A1548" s="105" t="str">
        <f>IF(D1548=1,COUNTIF($D$10:D1548,1)," ")</f>
        <v xml:space="preserve"> </v>
      </c>
      <c r="B1548" s="106">
        <f>COPY!AR1540</f>
        <v>0</v>
      </c>
      <c r="C1548" s="107">
        <f>COPY!AC1540</f>
        <v>0</v>
      </c>
      <c r="D1548" s="107" t="str">
        <f>IF(LEN(Table1722[[#This Row],[Uraian]])&gt;2,1," ")</f>
        <v xml:space="preserve"> </v>
      </c>
      <c r="E1548" s="113" t="str">
        <f>IF(Table1722[[#This Row],[Lawan Transaksi]]="CV AGUNG KARYA",COUNTIF($I$10:I1548,"CV AGUNG KARYA")," ")</f>
        <v xml:space="preserve"> </v>
      </c>
      <c r="F1548" s="107" t="str">
        <f>IF(LEN(Table1722[[#This Row],[Uraian]])&gt;2,TRIM(RIGHT(SUBSTITUTE(TRIM(C1548)," ",REPT(" ",255)),255))," ")</f>
        <v xml:space="preserve"> </v>
      </c>
      <c r="G1548" s="110">
        <f>COPY!Z1540</f>
        <v>0</v>
      </c>
      <c r="H1548" s="111" t="str">
        <f>IFERROR(VLOOKUP(Table1722[[#This Row],[Bukti]],'Un nOTA'!$A$4:$K$5003,10,FALSE),"")</f>
        <v/>
      </c>
      <c r="I1548" s="112" t="str">
        <f>IFERROR(VLOOKUP(Table1722[[#This Row],[Bukti]],Table13[#Data],11,FALSE),"")</f>
        <v/>
      </c>
    </row>
    <row r="1549" spans="1:9" ht="19.5" hidden="1" customHeight="1" x14ac:dyDescent="0.2">
      <c r="A1549" s="105" t="str">
        <f>IF(D1549=1,COUNTIF($D$10:D1549,1)," ")</f>
        <v xml:space="preserve"> </v>
      </c>
      <c r="B1549" s="106">
        <f>COPY!AR1541</f>
        <v>0</v>
      </c>
      <c r="C1549" s="107">
        <f>COPY!AC1541</f>
        <v>0</v>
      </c>
      <c r="D1549" s="107" t="str">
        <f>IF(LEN(Table1722[[#This Row],[Uraian]])&gt;2,1," ")</f>
        <v xml:space="preserve"> </v>
      </c>
      <c r="E1549" s="113" t="str">
        <f>IF(Table1722[[#This Row],[Lawan Transaksi]]="CV AGUNG KARYA",COUNTIF($I$10:I1549,"CV AGUNG KARYA")," ")</f>
        <v xml:space="preserve"> </v>
      </c>
      <c r="F1549" s="107" t="str">
        <f>IF(LEN(Table1722[[#This Row],[Uraian]])&gt;2,TRIM(RIGHT(SUBSTITUTE(TRIM(C1549)," ",REPT(" ",255)),255))," ")</f>
        <v xml:space="preserve"> </v>
      </c>
      <c r="G1549" s="110">
        <f>COPY!Z1541</f>
        <v>0</v>
      </c>
      <c r="H1549" s="111" t="str">
        <f>IFERROR(VLOOKUP(Table1722[[#This Row],[Bukti]],'Un nOTA'!$A$4:$K$5003,10,FALSE),"")</f>
        <v/>
      </c>
      <c r="I1549" s="112" t="str">
        <f>IFERROR(VLOOKUP(Table1722[[#This Row],[Bukti]],Table13[#Data],11,FALSE),"")</f>
        <v/>
      </c>
    </row>
    <row r="1550" spans="1:9" ht="19.5" hidden="1" customHeight="1" x14ac:dyDescent="0.2">
      <c r="A1550" s="105" t="str">
        <f>IF(D1550=1,COUNTIF($D$10:D1550,1)," ")</f>
        <v xml:space="preserve"> </v>
      </c>
      <c r="B1550" s="106">
        <f>COPY!AR1542</f>
        <v>0</v>
      </c>
      <c r="C1550" s="107">
        <f>COPY!AC1542</f>
        <v>0</v>
      </c>
      <c r="D1550" s="107" t="str">
        <f>IF(LEN(Table1722[[#This Row],[Uraian]])&gt;2,1," ")</f>
        <v xml:space="preserve"> </v>
      </c>
      <c r="E1550" s="113" t="str">
        <f>IF(Table1722[[#This Row],[Lawan Transaksi]]="CV AGUNG KARYA",COUNTIF($I$10:I1550,"CV AGUNG KARYA")," ")</f>
        <v xml:space="preserve"> </v>
      </c>
      <c r="F1550" s="107" t="str">
        <f>IF(LEN(Table1722[[#This Row],[Uraian]])&gt;2,TRIM(RIGHT(SUBSTITUTE(TRIM(C1550)," ",REPT(" ",255)),255))," ")</f>
        <v xml:space="preserve"> </v>
      </c>
      <c r="G1550" s="110">
        <f>COPY!Z1542</f>
        <v>0</v>
      </c>
      <c r="H1550" s="111" t="str">
        <f>IFERROR(VLOOKUP(Table1722[[#This Row],[Bukti]],'Un nOTA'!$A$4:$K$5003,10,FALSE),"")</f>
        <v/>
      </c>
      <c r="I1550" s="112" t="str">
        <f>IFERROR(VLOOKUP(Table1722[[#This Row],[Bukti]],Table13[#Data],11,FALSE),"")</f>
        <v/>
      </c>
    </row>
    <row r="1551" spans="1:9" ht="19.5" hidden="1" customHeight="1" x14ac:dyDescent="0.2">
      <c r="A1551" s="105" t="str">
        <f>IF(D1551=1,COUNTIF($D$10:D1551,1)," ")</f>
        <v xml:space="preserve"> </v>
      </c>
      <c r="B1551" s="106">
        <f>COPY!AR1543</f>
        <v>0</v>
      </c>
      <c r="C1551" s="107">
        <f>COPY!AC1543</f>
        <v>0</v>
      </c>
      <c r="D1551" s="107" t="str">
        <f>IF(LEN(Table1722[[#This Row],[Uraian]])&gt;2,1," ")</f>
        <v xml:space="preserve"> </v>
      </c>
      <c r="E1551" s="113" t="str">
        <f>IF(Table1722[[#This Row],[Lawan Transaksi]]="CV AGUNG KARYA",COUNTIF($I$10:I1551,"CV AGUNG KARYA")," ")</f>
        <v xml:space="preserve"> </v>
      </c>
      <c r="F1551" s="107" t="str">
        <f>IF(LEN(Table1722[[#This Row],[Uraian]])&gt;2,TRIM(RIGHT(SUBSTITUTE(TRIM(C1551)," ",REPT(" ",255)),255))," ")</f>
        <v xml:space="preserve"> </v>
      </c>
      <c r="G1551" s="110">
        <f>COPY!Z1543</f>
        <v>0</v>
      </c>
      <c r="H1551" s="111" t="str">
        <f>IFERROR(VLOOKUP(Table1722[[#This Row],[Bukti]],'Un nOTA'!$A$4:$K$5003,10,FALSE),"")</f>
        <v/>
      </c>
      <c r="I1551" s="112" t="str">
        <f>IFERROR(VLOOKUP(Table1722[[#This Row],[Bukti]],Table13[#Data],11,FALSE),"")</f>
        <v/>
      </c>
    </row>
    <row r="1552" spans="1:9" ht="19.5" hidden="1" customHeight="1" x14ac:dyDescent="0.2">
      <c r="A1552" s="105" t="str">
        <f>IF(D1552=1,COUNTIF($D$10:D1552,1)," ")</f>
        <v xml:space="preserve"> </v>
      </c>
      <c r="B1552" s="106">
        <f>COPY!AR1544</f>
        <v>0</v>
      </c>
      <c r="C1552" s="107">
        <f>COPY!AC1544</f>
        <v>0</v>
      </c>
      <c r="D1552" s="107" t="str">
        <f>IF(LEN(Table1722[[#This Row],[Uraian]])&gt;2,1," ")</f>
        <v xml:space="preserve"> </v>
      </c>
      <c r="E1552" s="113" t="str">
        <f>IF(Table1722[[#This Row],[Lawan Transaksi]]="CV AGUNG KARYA",COUNTIF($I$10:I1552,"CV AGUNG KARYA")," ")</f>
        <v xml:space="preserve"> </v>
      </c>
      <c r="F1552" s="107" t="str">
        <f>IF(LEN(Table1722[[#This Row],[Uraian]])&gt;2,TRIM(RIGHT(SUBSTITUTE(TRIM(C1552)," ",REPT(" ",255)),255))," ")</f>
        <v xml:space="preserve"> </v>
      </c>
      <c r="G1552" s="110">
        <f>COPY!Z1544</f>
        <v>0</v>
      </c>
      <c r="H1552" s="111" t="str">
        <f>IFERROR(VLOOKUP(Table1722[[#This Row],[Bukti]],'Un nOTA'!$A$4:$K$5003,10,FALSE),"")</f>
        <v/>
      </c>
      <c r="I1552" s="112" t="str">
        <f>IFERROR(VLOOKUP(Table1722[[#This Row],[Bukti]],Table13[#Data],11,FALSE),"")</f>
        <v/>
      </c>
    </row>
    <row r="1553" spans="1:9" ht="19.5" hidden="1" customHeight="1" x14ac:dyDescent="0.2">
      <c r="A1553" s="105" t="str">
        <f>IF(D1553=1,COUNTIF($D$10:D1553,1)," ")</f>
        <v xml:space="preserve"> </v>
      </c>
      <c r="B1553" s="106">
        <f>COPY!AR1545</f>
        <v>0</v>
      </c>
      <c r="C1553" s="107">
        <f>COPY!AC1545</f>
        <v>0</v>
      </c>
      <c r="D1553" s="107" t="str">
        <f>IF(LEN(Table1722[[#This Row],[Uraian]])&gt;2,1," ")</f>
        <v xml:space="preserve"> </v>
      </c>
      <c r="E1553" s="113" t="str">
        <f>IF(Table1722[[#This Row],[Lawan Transaksi]]="CV AGUNG KARYA",COUNTIF($I$10:I1553,"CV AGUNG KARYA")," ")</f>
        <v xml:space="preserve"> </v>
      </c>
      <c r="F1553" s="107" t="str">
        <f>IF(LEN(Table1722[[#This Row],[Uraian]])&gt;2,TRIM(RIGHT(SUBSTITUTE(TRIM(C1553)," ",REPT(" ",255)),255))," ")</f>
        <v xml:space="preserve"> </v>
      </c>
      <c r="G1553" s="110">
        <f>COPY!Z1545</f>
        <v>0</v>
      </c>
      <c r="H1553" s="111" t="str">
        <f>IFERROR(VLOOKUP(Table1722[[#This Row],[Bukti]],'Un nOTA'!$A$4:$K$5003,10,FALSE),"")</f>
        <v/>
      </c>
      <c r="I1553" s="112" t="str">
        <f>IFERROR(VLOOKUP(Table1722[[#This Row],[Bukti]],Table13[#Data],11,FALSE),"")</f>
        <v/>
      </c>
    </row>
    <row r="1554" spans="1:9" ht="19.5" hidden="1" customHeight="1" x14ac:dyDescent="0.2">
      <c r="A1554" s="105" t="str">
        <f>IF(D1554=1,COUNTIF($D$10:D1554,1)," ")</f>
        <v xml:space="preserve"> </v>
      </c>
      <c r="B1554" s="106">
        <f>COPY!AR1546</f>
        <v>0</v>
      </c>
      <c r="C1554" s="107">
        <f>COPY!AC1546</f>
        <v>0</v>
      </c>
      <c r="D1554" s="107" t="str">
        <f>IF(LEN(Table1722[[#This Row],[Uraian]])&gt;2,1," ")</f>
        <v xml:space="preserve"> </v>
      </c>
      <c r="E1554" s="113" t="str">
        <f>IF(Table1722[[#This Row],[Lawan Transaksi]]="CV AGUNG KARYA",COUNTIF($I$10:I1554,"CV AGUNG KARYA")," ")</f>
        <v xml:space="preserve"> </v>
      </c>
      <c r="F1554" s="107" t="str">
        <f>IF(LEN(Table1722[[#This Row],[Uraian]])&gt;2,TRIM(RIGHT(SUBSTITUTE(TRIM(C1554)," ",REPT(" ",255)),255))," ")</f>
        <v xml:space="preserve"> </v>
      </c>
      <c r="G1554" s="110">
        <f>COPY!Z1546</f>
        <v>0</v>
      </c>
      <c r="H1554" s="111" t="str">
        <f>IFERROR(VLOOKUP(Table1722[[#This Row],[Bukti]],'Un nOTA'!$A$4:$K$5003,10,FALSE),"")</f>
        <v/>
      </c>
      <c r="I1554" s="112" t="str">
        <f>IFERROR(VLOOKUP(Table1722[[#This Row],[Bukti]],Table13[#Data],11,FALSE),"")</f>
        <v/>
      </c>
    </row>
    <row r="1555" spans="1:9" ht="19.5" hidden="1" customHeight="1" x14ac:dyDescent="0.2">
      <c r="A1555" s="105" t="str">
        <f>IF(D1555=1,COUNTIF($D$10:D1555,1)," ")</f>
        <v xml:space="preserve"> </v>
      </c>
      <c r="B1555" s="106">
        <f>COPY!AR1547</f>
        <v>0</v>
      </c>
      <c r="C1555" s="107">
        <f>COPY!AC1547</f>
        <v>0</v>
      </c>
      <c r="D1555" s="107" t="str">
        <f>IF(LEN(Table1722[[#This Row],[Uraian]])&gt;2,1," ")</f>
        <v xml:space="preserve"> </v>
      </c>
      <c r="E1555" s="113" t="str">
        <f>IF(Table1722[[#This Row],[Lawan Transaksi]]="CV AGUNG KARYA",COUNTIF($I$10:I1555,"CV AGUNG KARYA")," ")</f>
        <v xml:space="preserve"> </v>
      </c>
      <c r="F1555" s="107" t="str">
        <f>IF(LEN(Table1722[[#This Row],[Uraian]])&gt;2,TRIM(RIGHT(SUBSTITUTE(TRIM(C1555)," ",REPT(" ",255)),255))," ")</f>
        <v xml:space="preserve"> </v>
      </c>
      <c r="G1555" s="110">
        <f>COPY!Z1547</f>
        <v>0</v>
      </c>
      <c r="H1555" s="111" t="str">
        <f>IFERROR(VLOOKUP(Table1722[[#This Row],[Bukti]],'Un nOTA'!$A$4:$K$5003,10,FALSE),"")</f>
        <v/>
      </c>
      <c r="I1555" s="112" t="str">
        <f>IFERROR(VLOOKUP(Table1722[[#This Row],[Bukti]],Table13[#Data],11,FALSE),"")</f>
        <v/>
      </c>
    </row>
    <row r="1556" spans="1:9" ht="19.5" hidden="1" customHeight="1" x14ac:dyDescent="0.2">
      <c r="A1556" s="105" t="str">
        <f>IF(D1556=1,COUNTIF($D$10:D1556,1)," ")</f>
        <v xml:space="preserve"> </v>
      </c>
      <c r="B1556" s="106">
        <f>COPY!AR1548</f>
        <v>0</v>
      </c>
      <c r="C1556" s="107">
        <f>COPY!AC1548</f>
        <v>0</v>
      </c>
      <c r="D1556" s="107" t="str">
        <f>IF(LEN(Table1722[[#This Row],[Uraian]])&gt;2,1," ")</f>
        <v xml:space="preserve"> </v>
      </c>
      <c r="E1556" s="113" t="str">
        <f>IF(Table1722[[#This Row],[Lawan Transaksi]]="CV AGUNG KARYA",COUNTIF($I$10:I1556,"CV AGUNG KARYA")," ")</f>
        <v xml:space="preserve"> </v>
      </c>
      <c r="F1556" s="107" t="str">
        <f>IF(LEN(Table1722[[#This Row],[Uraian]])&gt;2,TRIM(RIGHT(SUBSTITUTE(TRIM(C1556)," ",REPT(" ",255)),255))," ")</f>
        <v xml:space="preserve"> </v>
      </c>
      <c r="G1556" s="110">
        <f>COPY!Z1548</f>
        <v>0</v>
      </c>
      <c r="H1556" s="111" t="str">
        <f>IFERROR(VLOOKUP(Table1722[[#This Row],[Bukti]],'Un nOTA'!$A$4:$K$5003,10,FALSE),"")</f>
        <v/>
      </c>
      <c r="I1556" s="112" t="str">
        <f>IFERROR(VLOOKUP(Table1722[[#This Row],[Bukti]],Table13[#Data],11,FALSE),"")</f>
        <v/>
      </c>
    </row>
    <row r="1557" spans="1:9" ht="19.5" hidden="1" customHeight="1" x14ac:dyDescent="0.2">
      <c r="A1557" s="105" t="str">
        <f>IF(D1557=1,COUNTIF($D$10:D1557,1)," ")</f>
        <v xml:space="preserve"> </v>
      </c>
      <c r="B1557" s="106">
        <f>COPY!AR1549</f>
        <v>0</v>
      </c>
      <c r="C1557" s="107">
        <f>COPY!AC1549</f>
        <v>0</v>
      </c>
      <c r="D1557" s="107" t="str">
        <f>IF(LEN(Table1722[[#This Row],[Uraian]])&gt;2,1," ")</f>
        <v xml:space="preserve"> </v>
      </c>
      <c r="E1557" s="113" t="str">
        <f>IF(Table1722[[#This Row],[Lawan Transaksi]]="CV AGUNG KARYA",COUNTIF($I$10:I1557,"CV AGUNG KARYA")," ")</f>
        <v xml:space="preserve"> </v>
      </c>
      <c r="F1557" s="107" t="str">
        <f>IF(LEN(Table1722[[#This Row],[Uraian]])&gt;2,TRIM(RIGHT(SUBSTITUTE(TRIM(C1557)," ",REPT(" ",255)),255))," ")</f>
        <v xml:space="preserve"> </v>
      </c>
      <c r="G1557" s="110">
        <f>COPY!Z1549</f>
        <v>0</v>
      </c>
      <c r="H1557" s="111" t="str">
        <f>IFERROR(VLOOKUP(Table1722[[#This Row],[Bukti]],'Un nOTA'!$A$4:$K$5003,10,FALSE),"")</f>
        <v/>
      </c>
      <c r="I1557" s="112" t="str">
        <f>IFERROR(VLOOKUP(Table1722[[#This Row],[Bukti]],Table13[#Data],11,FALSE),"")</f>
        <v/>
      </c>
    </row>
    <row r="1558" spans="1:9" ht="19.5" hidden="1" customHeight="1" x14ac:dyDescent="0.2">
      <c r="A1558" s="105" t="str">
        <f>IF(D1558=1,COUNTIF($D$10:D1558,1)," ")</f>
        <v xml:space="preserve"> </v>
      </c>
      <c r="B1558" s="106">
        <f>COPY!AR1550</f>
        <v>0</v>
      </c>
      <c r="C1558" s="107">
        <f>COPY!AC1550</f>
        <v>0</v>
      </c>
      <c r="D1558" s="107" t="str">
        <f>IF(LEN(Table1722[[#This Row],[Uraian]])&gt;2,1," ")</f>
        <v xml:space="preserve"> </v>
      </c>
      <c r="E1558" s="113" t="str">
        <f>IF(Table1722[[#This Row],[Lawan Transaksi]]="CV AGUNG KARYA",COUNTIF($I$10:I1558,"CV AGUNG KARYA")," ")</f>
        <v xml:space="preserve"> </v>
      </c>
      <c r="F1558" s="107" t="str">
        <f>IF(LEN(Table1722[[#This Row],[Uraian]])&gt;2,TRIM(RIGHT(SUBSTITUTE(TRIM(C1558)," ",REPT(" ",255)),255))," ")</f>
        <v xml:space="preserve"> </v>
      </c>
      <c r="G1558" s="110">
        <f>COPY!Z1550</f>
        <v>0</v>
      </c>
      <c r="H1558" s="111" t="str">
        <f>IFERROR(VLOOKUP(Table1722[[#This Row],[Bukti]],'Un nOTA'!$A$4:$K$5003,10,FALSE),"")</f>
        <v/>
      </c>
      <c r="I1558" s="112" t="str">
        <f>IFERROR(VLOOKUP(Table1722[[#This Row],[Bukti]],Table13[#Data],11,FALSE),"")</f>
        <v/>
      </c>
    </row>
    <row r="1559" spans="1:9" ht="19.5" hidden="1" customHeight="1" x14ac:dyDescent="0.2">
      <c r="A1559" s="105" t="str">
        <f>IF(D1559=1,COUNTIF($D$10:D1559,1)," ")</f>
        <v xml:space="preserve"> </v>
      </c>
      <c r="B1559" s="106">
        <f>COPY!AR1551</f>
        <v>0</v>
      </c>
      <c r="C1559" s="107">
        <f>COPY!AC1551</f>
        <v>0</v>
      </c>
      <c r="D1559" s="107" t="str">
        <f>IF(LEN(Table1722[[#This Row],[Uraian]])&gt;2,1," ")</f>
        <v xml:space="preserve"> </v>
      </c>
      <c r="E1559" s="113" t="str">
        <f>IF(Table1722[[#This Row],[Lawan Transaksi]]="CV AGUNG KARYA",COUNTIF($I$10:I1559,"CV AGUNG KARYA")," ")</f>
        <v xml:space="preserve"> </v>
      </c>
      <c r="F1559" s="107" t="str">
        <f>IF(LEN(Table1722[[#This Row],[Uraian]])&gt;2,TRIM(RIGHT(SUBSTITUTE(TRIM(C1559)," ",REPT(" ",255)),255))," ")</f>
        <v xml:space="preserve"> </v>
      </c>
      <c r="G1559" s="110">
        <f>COPY!Z1551</f>
        <v>0</v>
      </c>
      <c r="H1559" s="111" t="str">
        <f>IFERROR(VLOOKUP(Table1722[[#This Row],[Bukti]],'Un nOTA'!$A$4:$K$5003,10,FALSE),"")</f>
        <v/>
      </c>
      <c r="I1559" s="112" t="str">
        <f>IFERROR(VLOOKUP(Table1722[[#This Row],[Bukti]],Table13[#Data],11,FALSE),"")</f>
        <v/>
      </c>
    </row>
    <row r="1560" spans="1:9" ht="19.5" hidden="1" customHeight="1" x14ac:dyDescent="0.2">
      <c r="A1560" s="105" t="str">
        <f>IF(D1560=1,COUNTIF($D$10:D1560,1)," ")</f>
        <v xml:space="preserve"> </v>
      </c>
      <c r="B1560" s="106">
        <f>COPY!AR1552</f>
        <v>0</v>
      </c>
      <c r="C1560" s="107">
        <f>COPY!AC1552</f>
        <v>0</v>
      </c>
      <c r="D1560" s="107" t="str">
        <f>IF(LEN(Table1722[[#This Row],[Uraian]])&gt;2,1," ")</f>
        <v xml:space="preserve"> </v>
      </c>
      <c r="E1560" s="113" t="str">
        <f>IF(Table1722[[#This Row],[Lawan Transaksi]]="CV AGUNG KARYA",COUNTIF($I$10:I1560,"CV AGUNG KARYA")," ")</f>
        <v xml:space="preserve"> </v>
      </c>
      <c r="F1560" s="107" t="str">
        <f>IF(LEN(Table1722[[#This Row],[Uraian]])&gt;2,TRIM(RIGHT(SUBSTITUTE(TRIM(C1560)," ",REPT(" ",255)),255))," ")</f>
        <v xml:space="preserve"> </v>
      </c>
      <c r="G1560" s="110">
        <f>COPY!Z1552</f>
        <v>0</v>
      </c>
      <c r="H1560" s="111" t="str">
        <f>IFERROR(VLOOKUP(Table1722[[#This Row],[Bukti]],'Un nOTA'!$A$4:$K$5003,10,FALSE),"")</f>
        <v/>
      </c>
      <c r="I1560" s="112" t="str">
        <f>IFERROR(VLOOKUP(Table1722[[#This Row],[Bukti]],Table13[#Data],11,FALSE),"")</f>
        <v/>
      </c>
    </row>
    <row r="1561" spans="1:9" ht="19.5" hidden="1" customHeight="1" x14ac:dyDescent="0.2">
      <c r="A1561" s="105" t="str">
        <f>IF(D1561=1,COUNTIF($D$10:D1561,1)," ")</f>
        <v xml:space="preserve"> </v>
      </c>
      <c r="B1561" s="106">
        <f>COPY!AR1553</f>
        <v>0</v>
      </c>
      <c r="C1561" s="107">
        <f>COPY!AC1553</f>
        <v>0</v>
      </c>
      <c r="D1561" s="107" t="str">
        <f>IF(LEN(Table1722[[#This Row],[Uraian]])&gt;2,1," ")</f>
        <v xml:space="preserve"> </v>
      </c>
      <c r="E1561" s="113" t="str">
        <f>IF(Table1722[[#This Row],[Lawan Transaksi]]="CV AGUNG KARYA",COUNTIF($I$10:I1561,"CV AGUNG KARYA")," ")</f>
        <v xml:space="preserve"> </v>
      </c>
      <c r="F1561" s="107" t="str">
        <f>IF(LEN(Table1722[[#This Row],[Uraian]])&gt;2,TRIM(RIGHT(SUBSTITUTE(TRIM(C1561)," ",REPT(" ",255)),255))," ")</f>
        <v xml:space="preserve"> </v>
      </c>
      <c r="G1561" s="110">
        <f>COPY!Z1553</f>
        <v>0</v>
      </c>
      <c r="H1561" s="111" t="str">
        <f>IFERROR(VLOOKUP(Table1722[[#This Row],[Bukti]],'Un nOTA'!$A$4:$K$5003,10,FALSE),"")</f>
        <v/>
      </c>
      <c r="I1561" s="112" t="str">
        <f>IFERROR(VLOOKUP(Table1722[[#This Row],[Bukti]],Table13[#Data],11,FALSE),"")</f>
        <v/>
      </c>
    </row>
    <row r="1562" spans="1:9" ht="19.5" hidden="1" customHeight="1" x14ac:dyDescent="0.2">
      <c r="A1562" s="105" t="str">
        <f>IF(D1562=1,COUNTIF($D$10:D1562,1)," ")</f>
        <v xml:space="preserve"> </v>
      </c>
      <c r="B1562" s="106">
        <f>COPY!AR1554</f>
        <v>0</v>
      </c>
      <c r="C1562" s="107">
        <f>COPY!AC1554</f>
        <v>0</v>
      </c>
      <c r="D1562" s="107" t="str">
        <f>IF(LEN(Table1722[[#This Row],[Uraian]])&gt;2,1," ")</f>
        <v xml:space="preserve"> </v>
      </c>
      <c r="E1562" s="113" t="str">
        <f>IF(Table1722[[#This Row],[Lawan Transaksi]]="CV AGUNG KARYA",COUNTIF($I$10:I1562,"CV AGUNG KARYA")," ")</f>
        <v xml:space="preserve"> </v>
      </c>
      <c r="F1562" s="107" t="str">
        <f>IF(LEN(Table1722[[#This Row],[Uraian]])&gt;2,TRIM(RIGHT(SUBSTITUTE(TRIM(C1562)," ",REPT(" ",255)),255))," ")</f>
        <v xml:space="preserve"> </v>
      </c>
      <c r="G1562" s="110">
        <f>COPY!Z1554</f>
        <v>0</v>
      </c>
      <c r="H1562" s="111" t="str">
        <f>IFERROR(VLOOKUP(Table1722[[#This Row],[Bukti]],'Un nOTA'!$A$4:$K$5003,10,FALSE),"")</f>
        <v/>
      </c>
      <c r="I1562" s="112" t="str">
        <f>IFERROR(VLOOKUP(Table1722[[#This Row],[Bukti]],Table13[#Data],11,FALSE),"")</f>
        <v/>
      </c>
    </row>
    <row r="1563" spans="1:9" ht="19.5" hidden="1" customHeight="1" x14ac:dyDescent="0.2">
      <c r="A1563" s="105" t="str">
        <f>IF(D1563=1,COUNTIF($D$10:D1563,1)," ")</f>
        <v xml:space="preserve"> </v>
      </c>
      <c r="B1563" s="106">
        <f>COPY!AR1555</f>
        <v>0</v>
      </c>
      <c r="C1563" s="107">
        <f>COPY!AC1555</f>
        <v>0</v>
      </c>
      <c r="D1563" s="107" t="str">
        <f>IF(LEN(Table1722[[#This Row],[Uraian]])&gt;2,1," ")</f>
        <v xml:space="preserve"> </v>
      </c>
      <c r="E1563" s="113" t="str">
        <f>IF(Table1722[[#This Row],[Lawan Transaksi]]="CV AGUNG KARYA",COUNTIF($I$10:I1563,"CV AGUNG KARYA")," ")</f>
        <v xml:space="preserve"> </v>
      </c>
      <c r="F1563" s="107" t="str">
        <f>IF(LEN(Table1722[[#This Row],[Uraian]])&gt;2,TRIM(RIGHT(SUBSTITUTE(TRIM(C1563)," ",REPT(" ",255)),255))," ")</f>
        <v xml:space="preserve"> </v>
      </c>
      <c r="G1563" s="110">
        <f>COPY!Z1555</f>
        <v>0</v>
      </c>
      <c r="H1563" s="111" t="str">
        <f>IFERROR(VLOOKUP(Table1722[[#This Row],[Bukti]],'Un nOTA'!$A$4:$K$5003,10,FALSE),"")</f>
        <v/>
      </c>
      <c r="I1563" s="112" t="str">
        <f>IFERROR(VLOOKUP(Table1722[[#This Row],[Bukti]],Table13[#Data],11,FALSE),"")</f>
        <v/>
      </c>
    </row>
    <row r="1564" spans="1:9" ht="19.5" hidden="1" customHeight="1" x14ac:dyDescent="0.2">
      <c r="A1564" s="105" t="str">
        <f>IF(D1564=1,COUNTIF($D$10:D1564,1)," ")</f>
        <v xml:space="preserve"> </v>
      </c>
      <c r="B1564" s="106">
        <f>COPY!AR1556</f>
        <v>0</v>
      </c>
      <c r="C1564" s="107">
        <f>COPY!AC1556</f>
        <v>0</v>
      </c>
      <c r="D1564" s="107" t="str">
        <f>IF(LEN(Table1722[[#This Row],[Uraian]])&gt;2,1," ")</f>
        <v xml:space="preserve"> </v>
      </c>
      <c r="E1564" s="113" t="str">
        <f>IF(Table1722[[#This Row],[Lawan Transaksi]]="CV AGUNG KARYA",COUNTIF($I$10:I1564,"CV AGUNG KARYA")," ")</f>
        <v xml:space="preserve"> </v>
      </c>
      <c r="F1564" s="107" t="str">
        <f>IF(LEN(Table1722[[#This Row],[Uraian]])&gt;2,TRIM(RIGHT(SUBSTITUTE(TRIM(C1564)," ",REPT(" ",255)),255))," ")</f>
        <v xml:space="preserve"> </v>
      </c>
      <c r="G1564" s="110">
        <f>COPY!Z1556</f>
        <v>0</v>
      </c>
      <c r="H1564" s="111" t="str">
        <f>IFERROR(VLOOKUP(Table1722[[#This Row],[Bukti]],'Un nOTA'!$A$4:$K$5003,10,FALSE),"")</f>
        <v/>
      </c>
      <c r="I1564" s="112" t="str">
        <f>IFERROR(VLOOKUP(Table1722[[#This Row],[Bukti]],Table13[#Data],11,FALSE),"")</f>
        <v/>
      </c>
    </row>
    <row r="1565" spans="1:9" ht="19.5" hidden="1" customHeight="1" x14ac:dyDescent="0.2">
      <c r="A1565" s="105" t="str">
        <f>IF(D1565=1,COUNTIF($D$10:D1565,1)," ")</f>
        <v xml:space="preserve"> </v>
      </c>
      <c r="B1565" s="106">
        <f>COPY!AR1557</f>
        <v>0</v>
      </c>
      <c r="C1565" s="107">
        <f>COPY!AC1557</f>
        <v>0</v>
      </c>
      <c r="D1565" s="107" t="str">
        <f>IF(LEN(Table1722[[#This Row],[Uraian]])&gt;2,1," ")</f>
        <v xml:space="preserve"> </v>
      </c>
      <c r="E1565" s="113" t="str">
        <f>IF(Table1722[[#This Row],[Lawan Transaksi]]="CV AGUNG KARYA",COUNTIF($I$10:I1565,"CV AGUNG KARYA")," ")</f>
        <v xml:space="preserve"> </v>
      </c>
      <c r="F1565" s="107" t="str">
        <f>IF(LEN(Table1722[[#This Row],[Uraian]])&gt;2,TRIM(RIGHT(SUBSTITUTE(TRIM(C1565)," ",REPT(" ",255)),255))," ")</f>
        <v xml:space="preserve"> </v>
      </c>
      <c r="G1565" s="110">
        <f>COPY!Z1557</f>
        <v>0</v>
      </c>
      <c r="H1565" s="111" t="str">
        <f>IFERROR(VLOOKUP(Table1722[[#This Row],[Bukti]],'Un nOTA'!$A$4:$K$5003,10,FALSE),"")</f>
        <v/>
      </c>
      <c r="I1565" s="112" t="str">
        <f>IFERROR(VLOOKUP(Table1722[[#This Row],[Bukti]],Table13[#Data],11,FALSE),"")</f>
        <v/>
      </c>
    </row>
    <row r="1566" spans="1:9" ht="19.5" hidden="1" customHeight="1" x14ac:dyDescent="0.2">
      <c r="A1566" s="105" t="str">
        <f>IF(D1566=1,COUNTIF($D$10:D1566,1)," ")</f>
        <v xml:space="preserve"> </v>
      </c>
      <c r="B1566" s="106">
        <f>COPY!AR1558</f>
        <v>0</v>
      </c>
      <c r="C1566" s="107">
        <f>COPY!AC1558</f>
        <v>0</v>
      </c>
      <c r="D1566" s="107" t="str">
        <f>IF(LEN(Table1722[[#This Row],[Uraian]])&gt;2,1," ")</f>
        <v xml:space="preserve"> </v>
      </c>
      <c r="E1566" s="113" t="str">
        <f>IF(Table1722[[#This Row],[Lawan Transaksi]]="CV AGUNG KARYA",COUNTIF($I$10:I1566,"CV AGUNG KARYA")," ")</f>
        <v xml:space="preserve"> </v>
      </c>
      <c r="F1566" s="107" t="str">
        <f>IF(LEN(Table1722[[#This Row],[Uraian]])&gt;2,TRIM(RIGHT(SUBSTITUTE(TRIM(C1566)," ",REPT(" ",255)),255))," ")</f>
        <v xml:space="preserve"> </v>
      </c>
      <c r="G1566" s="110">
        <f>COPY!Z1558</f>
        <v>0</v>
      </c>
      <c r="H1566" s="111" t="str">
        <f>IFERROR(VLOOKUP(Table1722[[#This Row],[Bukti]],'Un nOTA'!$A$4:$K$5003,10,FALSE),"")</f>
        <v/>
      </c>
      <c r="I1566" s="112" t="str">
        <f>IFERROR(VLOOKUP(Table1722[[#This Row],[Bukti]],Table13[#Data],11,FALSE),"")</f>
        <v/>
      </c>
    </row>
    <row r="1567" spans="1:9" ht="19.5" hidden="1" customHeight="1" x14ac:dyDescent="0.2">
      <c r="A1567" s="105" t="str">
        <f>IF(D1567=1,COUNTIF($D$10:D1567,1)," ")</f>
        <v xml:space="preserve"> </v>
      </c>
      <c r="B1567" s="106">
        <f>COPY!AR1559</f>
        <v>0</v>
      </c>
      <c r="C1567" s="107">
        <f>COPY!AC1559</f>
        <v>0</v>
      </c>
      <c r="D1567" s="107" t="str">
        <f>IF(LEN(Table1722[[#This Row],[Uraian]])&gt;2,1," ")</f>
        <v xml:space="preserve"> </v>
      </c>
      <c r="E1567" s="113" t="str">
        <f>IF(Table1722[[#This Row],[Lawan Transaksi]]="CV AGUNG KARYA",COUNTIF($I$10:I1567,"CV AGUNG KARYA")," ")</f>
        <v xml:space="preserve"> </v>
      </c>
      <c r="F1567" s="107" t="str">
        <f>IF(LEN(Table1722[[#This Row],[Uraian]])&gt;2,TRIM(RIGHT(SUBSTITUTE(TRIM(C1567)," ",REPT(" ",255)),255))," ")</f>
        <v xml:space="preserve"> </v>
      </c>
      <c r="G1567" s="110">
        <f>COPY!Z1559</f>
        <v>0</v>
      </c>
      <c r="H1567" s="111" t="str">
        <f>IFERROR(VLOOKUP(Table1722[[#This Row],[Bukti]],'Un nOTA'!$A$4:$K$5003,10,FALSE),"")</f>
        <v/>
      </c>
      <c r="I1567" s="112" t="str">
        <f>IFERROR(VLOOKUP(Table1722[[#This Row],[Bukti]],Table13[#Data],11,FALSE),"")</f>
        <v/>
      </c>
    </row>
    <row r="1568" spans="1:9" ht="19.5" hidden="1" customHeight="1" x14ac:dyDescent="0.2">
      <c r="A1568" s="105" t="str">
        <f>IF(D1568=1,COUNTIF($D$10:D1568,1)," ")</f>
        <v xml:space="preserve"> </v>
      </c>
      <c r="B1568" s="106">
        <f>COPY!AR1560</f>
        <v>0</v>
      </c>
      <c r="C1568" s="107">
        <f>COPY!AC1560</f>
        <v>0</v>
      </c>
      <c r="D1568" s="107" t="str">
        <f>IF(LEN(Table1722[[#This Row],[Uraian]])&gt;2,1," ")</f>
        <v xml:space="preserve"> </v>
      </c>
      <c r="E1568" s="113" t="str">
        <f>IF(Table1722[[#This Row],[Lawan Transaksi]]="CV AGUNG KARYA",COUNTIF($I$10:I1568,"CV AGUNG KARYA")," ")</f>
        <v xml:space="preserve"> </v>
      </c>
      <c r="F1568" s="107" t="str">
        <f>IF(LEN(Table1722[[#This Row],[Uraian]])&gt;2,TRIM(RIGHT(SUBSTITUTE(TRIM(C1568)," ",REPT(" ",255)),255))," ")</f>
        <v xml:space="preserve"> </v>
      </c>
      <c r="G1568" s="110">
        <f>COPY!Z1560</f>
        <v>0</v>
      </c>
      <c r="H1568" s="111" t="str">
        <f>IFERROR(VLOOKUP(Table1722[[#This Row],[Bukti]],'Un nOTA'!$A$4:$K$5003,10,FALSE),"")</f>
        <v/>
      </c>
      <c r="I1568" s="112" t="str">
        <f>IFERROR(VLOOKUP(Table1722[[#This Row],[Bukti]],Table13[#Data],11,FALSE),"")</f>
        <v/>
      </c>
    </row>
    <row r="1569" spans="1:9" ht="19.5" hidden="1" customHeight="1" x14ac:dyDescent="0.2">
      <c r="A1569" s="105" t="str">
        <f>IF(D1569=1,COUNTIF($D$10:D1569,1)," ")</f>
        <v xml:space="preserve"> </v>
      </c>
      <c r="B1569" s="106">
        <f>COPY!AR1561</f>
        <v>0</v>
      </c>
      <c r="C1569" s="107">
        <f>COPY!AC1561</f>
        <v>0</v>
      </c>
      <c r="D1569" s="107" t="str">
        <f>IF(LEN(Table1722[[#This Row],[Uraian]])&gt;2,1," ")</f>
        <v xml:space="preserve"> </v>
      </c>
      <c r="E1569" s="113" t="str">
        <f>IF(Table1722[[#This Row],[Lawan Transaksi]]="CV AGUNG KARYA",COUNTIF($I$10:I1569,"CV AGUNG KARYA")," ")</f>
        <v xml:space="preserve"> </v>
      </c>
      <c r="F1569" s="107" t="str">
        <f>IF(LEN(Table1722[[#This Row],[Uraian]])&gt;2,TRIM(RIGHT(SUBSTITUTE(TRIM(C1569)," ",REPT(" ",255)),255))," ")</f>
        <v xml:space="preserve"> </v>
      </c>
      <c r="G1569" s="110">
        <f>COPY!Z1561</f>
        <v>0</v>
      </c>
      <c r="H1569" s="111" t="str">
        <f>IFERROR(VLOOKUP(Table1722[[#This Row],[Bukti]],'Un nOTA'!$A$4:$K$5003,10,FALSE),"")</f>
        <v/>
      </c>
      <c r="I1569" s="112" t="str">
        <f>IFERROR(VLOOKUP(Table1722[[#This Row],[Bukti]],Table13[#Data],11,FALSE),"")</f>
        <v/>
      </c>
    </row>
    <row r="1570" spans="1:9" ht="19.5" hidden="1" customHeight="1" x14ac:dyDescent="0.2">
      <c r="A1570" s="105" t="str">
        <f>IF(D1570=1,COUNTIF($D$10:D1570,1)," ")</f>
        <v xml:space="preserve"> </v>
      </c>
      <c r="B1570" s="106">
        <f>COPY!AR1562</f>
        <v>0</v>
      </c>
      <c r="C1570" s="107">
        <f>COPY!AC1562</f>
        <v>0</v>
      </c>
      <c r="D1570" s="107" t="str">
        <f>IF(LEN(Table1722[[#This Row],[Uraian]])&gt;2,1," ")</f>
        <v xml:space="preserve"> </v>
      </c>
      <c r="E1570" s="113" t="str">
        <f>IF(Table1722[[#This Row],[Lawan Transaksi]]="CV AGUNG KARYA",COUNTIF($I$10:I1570,"CV AGUNG KARYA")," ")</f>
        <v xml:space="preserve"> </v>
      </c>
      <c r="F1570" s="107" t="str">
        <f>IF(LEN(Table1722[[#This Row],[Uraian]])&gt;2,TRIM(RIGHT(SUBSTITUTE(TRIM(C1570)," ",REPT(" ",255)),255))," ")</f>
        <v xml:space="preserve"> </v>
      </c>
      <c r="G1570" s="110">
        <f>COPY!Z1562</f>
        <v>0</v>
      </c>
      <c r="H1570" s="111" t="str">
        <f>IFERROR(VLOOKUP(Table1722[[#This Row],[Bukti]],'Un nOTA'!$A$4:$K$5003,10,FALSE),"")</f>
        <v/>
      </c>
      <c r="I1570" s="112" t="str">
        <f>IFERROR(VLOOKUP(Table1722[[#This Row],[Bukti]],Table13[#Data],11,FALSE),"")</f>
        <v/>
      </c>
    </row>
    <row r="1571" spans="1:9" ht="19.5" hidden="1" customHeight="1" x14ac:dyDescent="0.2">
      <c r="A1571" s="105" t="str">
        <f>IF(D1571=1,COUNTIF($D$10:D1571,1)," ")</f>
        <v xml:space="preserve"> </v>
      </c>
      <c r="B1571" s="106">
        <f>COPY!AR1563</f>
        <v>0</v>
      </c>
      <c r="C1571" s="107">
        <f>COPY!AC1563</f>
        <v>0</v>
      </c>
      <c r="D1571" s="107" t="str">
        <f>IF(LEN(Table1722[[#This Row],[Uraian]])&gt;2,1," ")</f>
        <v xml:space="preserve"> </v>
      </c>
      <c r="E1571" s="113" t="str">
        <f>IF(Table1722[[#This Row],[Lawan Transaksi]]="CV AGUNG KARYA",COUNTIF($I$10:I1571,"CV AGUNG KARYA")," ")</f>
        <v xml:space="preserve"> </v>
      </c>
      <c r="F1571" s="107" t="str">
        <f>IF(LEN(Table1722[[#This Row],[Uraian]])&gt;2,TRIM(RIGHT(SUBSTITUTE(TRIM(C1571)," ",REPT(" ",255)),255))," ")</f>
        <v xml:space="preserve"> </v>
      </c>
      <c r="G1571" s="110">
        <f>COPY!Z1563</f>
        <v>0</v>
      </c>
      <c r="H1571" s="111" t="str">
        <f>IFERROR(VLOOKUP(Table1722[[#This Row],[Bukti]],'Un nOTA'!$A$4:$K$5003,10,FALSE),"")</f>
        <v/>
      </c>
      <c r="I1571" s="112" t="str">
        <f>IFERROR(VLOOKUP(Table1722[[#This Row],[Bukti]],Table13[#Data],11,FALSE),"")</f>
        <v/>
      </c>
    </row>
    <row r="1572" spans="1:9" ht="19.5" hidden="1" customHeight="1" x14ac:dyDescent="0.2">
      <c r="A1572" s="105" t="str">
        <f>IF(D1572=1,COUNTIF($D$10:D1572,1)," ")</f>
        <v xml:space="preserve"> </v>
      </c>
      <c r="B1572" s="106">
        <f>COPY!AR1564</f>
        <v>0</v>
      </c>
      <c r="C1572" s="107">
        <f>COPY!AC1564</f>
        <v>0</v>
      </c>
      <c r="D1572" s="107" t="str">
        <f>IF(LEN(Table1722[[#This Row],[Uraian]])&gt;2,1," ")</f>
        <v xml:space="preserve"> </v>
      </c>
      <c r="E1572" s="113" t="str">
        <f>IF(Table1722[[#This Row],[Lawan Transaksi]]="CV AGUNG KARYA",COUNTIF($I$10:I1572,"CV AGUNG KARYA")," ")</f>
        <v xml:space="preserve"> </v>
      </c>
      <c r="F1572" s="107" t="str">
        <f>IF(LEN(Table1722[[#This Row],[Uraian]])&gt;2,TRIM(RIGHT(SUBSTITUTE(TRIM(C1572)," ",REPT(" ",255)),255))," ")</f>
        <v xml:space="preserve"> </v>
      </c>
      <c r="G1572" s="110">
        <f>COPY!Z1564</f>
        <v>0</v>
      </c>
      <c r="H1572" s="111" t="str">
        <f>IFERROR(VLOOKUP(Table1722[[#This Row],[Bukti]],'Un nOTA'!$A$4:$K$5003,10,FALSE),"")</f>
        <v/>
      </c>
      <c r="I1572" s="112" t="str">
        <f>IFERROR(VLOOKUP(Table1722[[#This Row],[Bukti]],Table13[#Data],11,FALSE),"")</f>
        <v/>
      </c>
    </row>
    <row r="1573" spans="1:9" ht="19.5" hidden="1" customHeight="1" x14ac:dyDescent="0.2">
      <c r="A1573" s="105" t="str">
        <f>IF(D1573=1,COUNTIF($D$10:D1573,1)," ")</f>
        <v xml:space="preserve"> </v>
      </c>
      <c r="B1573" s="106">
        <f>COPY!AR1565</f>
        <v>0</v>
      </c>
      <c r="C1573" s="107">
        <f>COPY!AC1565</f>
        <v>0</v>
      </c>
      <c r="D1573" s="107" t="str">
        <f>IF(LEN(Table1722[[#This Row],[Uraian]])&gt;2,1," ")</f>
        <v xml:space="preserve"> </v>
      </c>
      <c r="E1573" s="113" t="str">
        <f>IF(Table1722[[#This Row],[Lawan Transaksi]]="CV AGUNG KARYA",COUNTIF($I$10:I1573,"CV AGUNG KARYA")," ")</f>
        <v xml:space="preserve"> </v>
      </c>
      <c r="F1573" s="107" t="str">
        <f>IF(LEN(Table1722[[#This Row],[Uraian]])&gt;2,TRIM(RIGHT(SUBSTITUTE(TRIM(C1573)," ",REPT(" ",255)),255))," ")</f>
        <v xml:space="preserve"> </v>
      </c>
      <c r="G1573" s="110">
        <f>COPY!Z1565</f>
        <v>0</v>
      </c>
      <c r="H1573" s="111" t="str">
        <f>IFERROR(VLOOKUP(Table1722[[#This Row],[Bukti]],'Un nOTA'!$A$4:$K$5003,10,FALSE),"")</f>
        <v/>
      </c>
      <c r="I1573" s="112" t="str">
        <f>IFERROR(VLOOKUP(Table1722[[#This Row],[Bukti]],Table13[#Data],11,FALSE),"")</f>
        <v/>
      </c>
    </row>
    <row r="1574" spans="1:9" ht="19.5" hidden="1" customHeight="1" x14ac:dyDescent="0.2">
      <c r="A1574" s="105" t="str">
        <f>IF(D1574=1,COUNTIF($D$10:D1574,1)," ")</f>
        <v xml:space="preserve"> </v>
      </c>
      <c r="B1574" s="106">
        <f>COPY!AR1566</f>
        <v>0</v>
      </c>
      <c r="C1574" s="107">
        <f>COPY!AC1566</f>
        <v>0</v>
      </c>
      <c r="D1574" s="107" t="str">
        <f>IF(LEN(Table1722[[#This Row],[Uraian]])&gt;2,1," ")</f>
        <v xml:space="preserve"> </v>
      </c>
      <c r="E1574" s="113" t="str">
        <f>IF(Table1722[[#This Row],[Lawan Transaksi]]="CV AGUNG KARYA",COUNTIF($I$10:I1574,"CV AGUNG KARYA")," ")</f>
        <v xml:space="preserve"> </v>
      </c>
      <c r="F1574" s="107" t="str">
        <f>IF(LEN(Table1722[[#This Row],[Uraian]])&gt;2,TRIM(RIGHT(SUBSTITUTE(TRIM(C1574)," ",REPT(" ",255)),255))," ")</f>
        <v xml:space="preserve"> </v>
      </c>
      <c r="G1574" s="110">
        <f>COPY!Z1566</f>
        <v>0</v>
      </c>
      <c r="H1574" s="111" t="str">
        <f>IFERROR(VLOOKUP(Table1722[[#This Row],[Bukti]],'Un nOTA'!$A$4:$K$5003,10,FALSE),"")</f>
        <v/>
      </c>
      <c r="I1574" s="112" t="str">
        <f>IFERROR(VLOOKUP(Table1722[[#This Row],[Bukti]],Table13[#Data],11,FALSE),"")</f>
        <v/>
      </c>
    </row>
    <row r="1575" spans="1:9" ht="19.5" hidden="1" customHeight="1" x14ac:dyDescent="0.2">
      <c r="A1575" s="105" t="str">
        <f>IF(D1575=1,COUNTIF($D$10:D1575,1)," ")</f>
        <v xml:space="preserve"> </v>
      </c>
      <c r="B1575" s="106">
        <f>COPY!AR1567</f>
        <v>0</v>
      </c>
      <c r="C1575" s="107">
        <f>COPY!AC1567</f>
        <v>0</v>
      </c>
      <c r="D1575" s="107" t="str">
        <f>IF(LEN(Table1722[[#This Row],[Uraian]])&gt;2,1," ")</f>
        <v xml:space="preserve"> </v>
      </c>
      <c r="E1575" s="113" t="str">
        <f>IF(Table1722[[#This Row],[Lawan Transaksi]]="CV AGUNG KARYA",COUNTIF($I$10:I1575,"CV AGUNG KARYA")," ")</f>
        <v xml:space="preserve"> </v>
      </c>
      <c r="F1575" s="107" t="str">
        <f>IF(LEN(Table1722[[#This Row],[Uraian]])&gt;2,TRIM(RIGHT(SUBSTITUTE(TRIM(C1575)," ",REPT(" ",255)),255))," ")</f>
        <v xml:space="preserve"> </v>
      </c>
      <c r="G1575" s="110">
        <f>COPY!Z1567</f>
        <v>0</v>
      </c>
      <c r="H1575" s="111" t="str">
        <f>IFERROR(VLOOKUP(Table1722[[#This Row],[Bukti]],'Un nOTA'!$A$4:$K$5003,10,FALSE),"")</f>
        <v/>
      </c>
      <c r="I1575" s="112" t="str">
        <f>IFERROR(VLOOKUP(Table1722[[#This Row],[Bukti]],Table13[#Data],11,FALSE),"")</f>
        <v/>
      </c>
    </row>
    <row r="1576" spans="1:9" ht="19.5" hidden="1" customHeight="1" x14ac:dyDescent="0.2">
      <c r="A1576" s="105" t="str">
        <f>IF(D1576=1,COUNTIF($D$10:D1576,1)," ")</f>
        <v xml:space="preserve"> </v>
      </c>
      <c r="B1576" s="106">
        <f>COPY!AR1568</f>
        <v>0</v>
      </c>
      <c r="C1576" s="107">
        <f>COPY!AC1568</f>
        <v>0</v>
      </c>
      <c r="D1576" s="107" t="str">
        <f>IF(LEN(Table1722[[#This Row],[Uraian]])&gt;2,1," ")</f>
        <v xml:space="preserve"> </v>
      </c>
      <c r="E1576" s="113" t="str">
        <f>IF(Table1722[[#This Row],[Lawan Transaksi]]="CV AGUNG KARYA",COUNTIF($I$10:I1576,"CV AGUNG KARYA")," ")</f>
        <v xml:space="preserve"> </v>
      </c>
      <c r="F1576" s="107" t="str">
        <f>IF(LEN(Table1722[[#This Row],[Uraian]])&gt;2,TRIM(RIGHT(SUBSTITUTE(TRIM(C1576)," ",REPT(" ",255)),255))," ")</f>
        <v xml:space="preserve"> </v>
      </c>
      <c r="G1576" s="110">
        <f>COPY!Z1568</f>
        <v>0</v>
      </c>
      <c r="H1576" s="111" t="str">
        <f>IFERROR(VLOOKUP(Table1722[[#This Row],[Bukti]],'Un nOTA'!$A$4:$K$5003,10,FALSE),"")</f>
        <v/>
      </c>
      <c r="I1576" s="112" t="str">
        <f>IFERROR(VLOOKUP(Table1722[[#This Row],[Bukti]],Table13[#Data],11,FALSE),"")</f>
        <v/>
      </c>
    </row>
    <row r="1577" spans="1:9" ht="19.5" hidden="1" customHeight="1" x14ac:dyDescent="0.2">
      <c r="A1577" s="105" t="str">
        <f>IF(D1577=1,COUNTIF($D$10:D1577,1)," ")</f>
        <v xml:space="preserve"> </v>
      </c>
      <c r="B1577" s="106">
        <f>COPY!AR1569</f>
        <v>0</v>
      </c>
      <c r="C1577" s="107">
        <f>COPY!AC1569</f>
        <v>0</v>
      </c>
      <c r="D1577" s="107" t="str">
        <f>IF(LEN(Table1722[[#This Row],[Uraian]])&gt;2,1," ")</f>
        <v xml:space="preserve"> </v>
      </c>
      <c r="E1577" s="113" t="str">
        <f>IF(Table1722[[#This Row],[Lawan Transaksi]]="CV AGUNG KARYA",COUNTIF($I$10:I1577,"CV AGUNG KARYA")," ")</f>
        <v xml:space="preserve"> </v>
      </c>
      <c r="F1577" s="107" t="str">
        <f>IF(LEN(Table1722[[#This Row],[Uraian]])&gt;2,TRIM(RIGHT(SUBSTITUTE(TRIM(C1577)," ",REPT(" ",255)),255))," ")</f>
        <v xml:space="preserve"> </v>
      </c>
      <c r="G1577" s="110">
        <f>COPY!Z1569</f>
        <v>0</v>
      </c>
      <c r="H1577" s="111" t="str">
        <f>IFERROR(VLOOKUP(Table1722[[#This Row],[Bukti]],'Un nOTA'!$A$4:$K$5003,10,FALSE),"")</f>
        <v/>
      </c>
      <c r="I1577" s="112" t="str">
        <f>IFERROR(VLOOKUP(Table1722[[#This Row],[Bukti]],Table13[#Data],11,FALSE),"")</f>
        <v/>
      </c>
    </row>
    <row r="1578" spans="1:9" ht="19.5" hidden="1" customHeight="1" x14ac:dyDescent="0.2">
      <c r="A1578" s="105" t="str">
        <f>IF(D1578=1,COUNTIF($D$10:D1578,1)," ")</f>
        <v xml:space="preserve"> </v>
      </c>
      <c r="B1578" s="106">
        <f>COPY!AR1570</f>
        <v>0</v>
      </c>
      <c r="C1578" s="107">
        <f>COPY!AC1570</f>
        <v>0</v>
      </c>
      <c r="D1578" s="107" t="str">
        <f>IF(LEN(Table1722[[#This Row],[Uraian]])&gt;2,1," ")</f>
        <v xml:space="preserve"> </v>
      </c>
      <c r="E1578" s="113" t="str">
        <f>IF(Table1722[[#This Row],[Lawan Transaksi]]="CV AGUNG KARYA",COUNTIF($I$10:I1578,"CV AGUNG KARYA")," ")</f>
        <v xml:space="preserve"> </v>
      </c>
      <c r="F1578" s="107" t="str">
        <f>IF(LEN(Table1722[[#This Row],[Uraian]])&gt;2,TRIM(RIGHT(SUBSTITUTE(TRIM(C1578)," ",REPT(" ",255)),255))," ")</f>
        <v xml:space="preserve"> </v>
      </c>
      <c r="G1578" s="110">
        <f>COPY!Z1570</f>
        <v>0</v>
      </c>
      <c r="H1578" s="111" t="str">
        <f>IFERROR(VLOOKUP(Table1722[[#This Row],[Bukti]],'Un nOTA'!$A$4:$K$5003,10,FALSE),"")</f>
        <v/>
      </c>
      <c r="I1578" s="112" t="str">
        <f>IFERROR(VLOOKUP(Table1722[[#This Row],[Bukti]],Table13[#Data],11,FALSE),"")</f>
        <v/>
      </c>
    </row>
    <row r="1579" spans="1:9" ht="19.5" hidden="1" customHeight="1" x14ac:dyDescent="0.2">
      <c r="A1579" s="105" t="str">
        <f>IF(D1579=1,COUNTIF($D$10:D1579,1)," ")</f>
        <v xml:space="preserve"> </v>
      </c>
      <c r="B1579" s="106">
        <f>COPY!AR1571</f>
        <v>0</v>
      </c>
      <c r="C1579" s="107">
        <f>COPY!AC1571</f>
        <v>0</v>
      </c>
      <c r="D1579" s="107" t="str">
        <f>IF(LEN(Table1722[[#This Row],[Uraian]])&gt;2,1," ")</f>
        <v xml:space="preserve"> </v>
      </c>
      <c r="E1579" s="113" t="str">
        <f>IF(Table1722[[#This Row],[Lawan Transaksi]]="CV AGUNG KARYA",COUNTIF($I$10:I1579,"CV AGUNG KARYA")," ")</f>
        <v xml:space="preserve"> </v>
      </c>
      <c r="F1579" s="107" t="str">
        <f>IF(LEN(Table1722[[#This Row],[Uraian]])&gt;2,TRIM(RIGHT(SUBSTITUTE(TRIM(C1579)," ",REPT(" ",255)),255))," ")</f>
        <v xml:space="preserve"> </v>
      </c>
      <c r="G1579" s="110">
        <f>COPY!Z1571</f>
        <v>0</v>
      </c>
      <c r="H1579" s="111" t="str">
        <f>IFERROR(VLOOKUP(Table1722[[#This Row],[Bukti]],'Un nOTA'!$A$4:$K$5003,10,FALSE),"")</f>
        <v/>
      </c>
      <c r="I1579" s="112" t="str">
        <f>IFERROR(VLOOKUP(Table1722[[#This Row],[Bukti]],Table13[#Data],11,FALSE),"")</f>
        <v/>
      </c>
    </row>
    <row r="1580" spans="1:9" ht="19.5" hidden="1" customHeight="1" x14ac:dyDescent="0.2">
      <c r="A1580" s="105" t="str">
        <f>IF(D1580=1,COUNTIF($D$10:D1580,1)," ")</f>
        <v xml:space="preserve"> </v>
      </c>
      <c r="B1580" s="106">
        <f>COPY!AR1572</f>
        <v>0</v>
      </c>
      <c r="C1580" s="107">
        <f>COPY!AC1572</f>
        <v>0</v>
      </c>
      <c r="D1580" s="107" t="str">
        <f>IF(LEN(Table1722[[#This Row],[Uraian]])&gt;2,1," ")</f>
        <v xml:space="preserve"> </v>
      </c>
      <c r="E1580" s="113" t="str">
        <f>IF(Table1722[[#This Row],[Lawan Transaksi]]="CV AGUNG KARYA",COUNTIF($I$10:I1580,"CV AGUNG KARYA")," ")</f>
        <v xml:space="preserve"> </v>
      </c>
      <c r="F1580" s="107" t="str">
        <f>IF(LEN(Table1722[[#This Row],[Uraian]])&gt;2,TRIM(RIGHT(SUBSTITUTE(TRIM(C1580)," ",REPT(" ",255)),255))," ")</f>
        <v xml:space="preserve"> </v>
      </c>
      <c r="G1580" s="110">
        <f>COPY!Z1572</f>
        <v>0</v>
      </c>
      <c r="H1580" s="111" t="str">
        <f>IFERROR(VLOOKUP(Table1722[[#This Row],[Bukti]],'Un nOTA'!$A$4:$K$5003,10,FALSE),"")</f>
        <v/>
      </c>
      <c r="I1580" s="112" t="str">
        <f>IFERROR(VLOOKUP(Table1722[[#This Row],[Bukti]],Table13[#Data],11,FALSE),"")</f>
        <v/>
      </c>
    </row>
    <row r="1581" spans="1:9" ht="19.5" hidden="1" customHeight="1" x14ac:dyDescent="0.2">
      <c r="A1581" s="105" t="str">
        <f>IF(D1581=1,COUNTIF($D$10:D1581,1)," ")</f>
        <v xml:space="preserve"> </v>
      </c>
      <c r="B1581" s="106">
        <f>COPY!AR1573</f>
        <v>0</v>
      </c>
      <c r="C1581" s="107">
        <f>COPY!AC1573</f>
        <v>0</v>
      </c>
      <c r="D1581" s="107" t="str">
        <f>IF(LEN(Table1722[[#This Row],[Uraian]])&gt;2,1," ")</f>
        <v xml:space="preserve"> </v>
      </c>
      <c r="E1581" s="113" t="str">
        <f>IF(Table1722[[#This Row],[Lawan Transaksi]]="CV AGUNG KARYA",COUNTIF($I$10:I1581,"CV AGUNG KARYA")," ")</f>
        <v xml:space="preserve"> </v>
      </c>
      <c r="F1581" s="107" t="str">
        <f>IF(LEN(Table1722[[#This Row],[Uraian]])&gt;2,TRIM(RIGHT(SUBSTITUTE(TRIM(C1581)," ",REPT(" ",255)),255))," ")</f>
        <v xml:space="preserve"> </v>
      </c>
      <c r="G1581" s="110">
        <f>COPY!Z1573</f>
        <v>0</v>
      </c>
      <c r="H1581" s="111" t="str">
        <f>IFERROR(VLOOKUP(Table1722[[#This Row],[Bukti]],'Un nOTA'!$A$4:$K$5003,10,FALSE),"")</f>
        <v/>
      </c>
      <c r="I1581" s="112" t="str">
        <f>IFERROR(VLOOKUP(Table1722[[#This Row],[Bukti]],Table13[#Data],11,FALSE),"")</f>
        <v/>
      </c>
    </row>
    <row r="1582" spans="1:9" ht="19.5" hidden="1" customHeight="1" x14ac:dyDescent="0.2">
      <c r="A1582" s="105" t="str">
        <f>IF(D1582=1,COUNTIF($D$10:D1582,1)," ")</f>
        <v xml:space="preserve"> </v>
      </c>
      <c r="B1582" s="106">
        <f>COPY!AR1574</f>
        <v>0</v>
      </c>
      <c r="C1582" s="107">
        <f>COPY!AC1574</f>
        <v>0</v>
      </c>
      <c r="D1582" s="107" t="str">
        <f>IF(LEN(Table1722[[#This Row],[Uraian]])&gt;2,1," ")</f>
        <v xml:space="preserve"> </v>
      </c>
      <c r="E1582" s="113" t="str">
        <f>IF(Table1722[[#This Row],[Lawan Transaksi]]="CV AGUNG KARYA",COUNTIF($I$10:I1582,"CV AGUNG KARYA")," ")</f>
        <v xml:space="preserve"> </v>
      </c>
      <c r="F1582" s="107" t="str">
        <f>IF(LEN(Table1722[[#This Row],[Uraian]])&gt;2,TRIM(RIGHT(SUBSTITUTE(TRIM(C1582)," ",REPT(" ",255)),255))," ")</f>
        <v xml:space="preserve"> </v>
      </c>
      <c r="G1582" s="110">
        <f>COPY!Z1574</f>
        <v>0</v>
      </c>
      <c r="H1582" s="111" t="str">
        <f>IFERROR(VLOOKUP(Table1722[[#This Row],[Bukti]],'Un nOTA'!$A$4:$K$5003,10,FALSE),"")</f>
        <v/>
      </c>
      <c r="I1582" s="112" t="str">
        <f>IFERROR(VLOOKUP(Table1722[[#This Row],[Bukti]],Table13[#Data],11,FALSE),"")</f>
        <v/>
      </c>
    </row>
    <row r="1583" spans="1:9" ht="19.5" hidden="1" customHeight="1" x14ac:dyDescent="0.2">
      <c r="A1583" s="105" t="str">
        <f>IF(D1583=1,COUNTIF($D$10:D1583,1)," ")</f>
        <v xml:space="preserve"> </v>
      </c>
      <c r="B1583" s="106">
        <f>COPY!AR1575</f>
        <v>0</v>
      </c>
      <c r="C1583" s="107">
        <f>COPY!AC1575</f>
        <v>0</v>
      </c>
      <c r="D1583" s="107" t="str">
        <f>IF(LEN(Table1722[[#This Row],[Uraian]])&gt;2,1," ")</f>
        <v xml:space="preserve"> </v>
      </c>
      <c r="E1583" s="113" t="str">
        <f>IF(Table1722[[#This Row],[Lawan Transaksi]]="CV AGUNG KARYA",COUNTIF($I$10:I1583,"CV AGUNG KARYA")," ")</f>
        <v xml:space="preserve"> </v>
      </c>
      <c r="F1583" s="107" t="str">
        <f>IF(LEN(Table1722[[#This Row],[Uraian]])&gt;2,TRIM(RIGHT(SUBSTITUTE(TRIM(C1583)," ",REPT(" ",255)),255))," ")</f>
        <v xml:space="preserve"> </v>
      </c>
      <c r="G1583" s="110">
        <f>COPY!Z1575</f>
        <v>0</v>
      </c>
      <c r="H1583" s="111" t="str">
        <f>IFERROR(VLOOKUP(Table1722[[#This Row],[Bukti]],'Un nOTA'!$A$4:$K$5003,10,FALSE),"")</f>
        <v/>
      </c>
      <c r="I1583" s="112" t="str">
        <f>IFERROR(VLOOKUP(Table1722[[#This Row],[Bukti]],Table13[#Data],11,FALSE),"")</f>
        <v/>
      </c>
    </row>
    <row r="1584" spans="1:9" ht="19.5" hidden="1" customHeight="1" x14ac:dyDescent="0.2">
      <c r="A1584" s="105" t="str">
        <f>IF(D1584=1,COUNTIF($D$10:D1584,1)," ")</f>
        <v xml:space="preserve"> </v>
      </c>
      <c r="B1584" s="106">
        <f>COPY!AR1576</f>
        <v>0</v>
      </c>
      <c r="C1584" s="107">
        <f>COPY!AC1576</f>
        <v>0</v>
      </c>
      <c r="D1584" s="107" t="str">
        <f>IF(LEN(Table1722[[#This Row],[Uraian]])&gt;2,1," ")</f>
        <v xml:space="preserve"> </v>
      </c>
      <c r="E1584" s="113" t="str">
        <f>IF(Table1722[[#This Row],[Lawan Transaksi]]="CV AGUNG KARYA",COUNTIF($I$10:I1584,"CV AGUNG KARYA")," ")</f>
        <v xml:space="preserve"> </v>
      </c>
      <c r="F1584" s="107" t="str">
        <f>IF(LEN(Table1722[[#This Row],[Uraian]])&gt;2,TRIM(RIGHT(SUBSTITUTE(TRIM(C1584)," ",REPT(" ",255)),255))," ")</f>
        <v xml:space="preserve"> </v>
      </c>
      <c r="G1584" s="110">
        <f>COPY!Z1576</f>
        <v>0</v>
      </c>
      <c r="H1584" s="111" t="str">
        <f>IFERROR(VLOOKUP(Table1722[[#This Row],[Bukti]],'Un nOTA'!$A$4:$K$5003,10,FALSE),"")</f>
        <v/>
      </c>
      <c r="I1584" s="112" t="str">
        <f>IFERROR(VLOOKUP(Table1722[[#This Row],[Bukti]],Table13[#Data],11,FALSE),"")</f>
        <v/>
      </c>
    </row>
    <row r="1585" spans="1:9" ht="19.5" hidden="1" customHeight="1" x14ac:dyDescent="0.2">
      <c r="A1585" s="105" t="str">
        <f>IF(D1585=1,COUNTIF($D$10:D1585,1)," ")</f>
        <v xml:space="preserve"> </v>
      </c>
      <c r="B1585" s="106">
        <f>COPY!AR1577</f>
        <v>0</v>
      </c>
      <c r="C1585" s="107">
        <f>COPY!AC1577</f>
        <v>0</v>
      </c>
      <c r="D1585" s="107" t="str">
        <f>IF(LEN(Table1722[[#This Row],[Uraian]])&gt;2,1," ")</f>
        <v xml:space="preserve"> </v>
      </c>
      <c r="E1585" s="113" t="str">
        <f>IF(Table1722[[#This Row],[Lawan Transaksi]]="CV AGUNG KARYA",COUNTIF($I$10:I1585,"CV AGUNG KARYA")," ")</f>
        <v xml:space="preserve"> </v>
      </c>
      <c r="F1585" s="107" t="str">
        <f>IF(LEN(Table1722[[#This Row],[Uraian]])&gt;2,TRIM(RIGHT(SUBSTITUTE(TRIM(C1585)," ",REPT(" ",255)),255))," ")</f>
        <v xml:space="preserve"> </v>
      </c>
      <c r="G1585" s="110">
        <f>COPY!Z1577</f>
        <v>0</v>
      </c>
      <c r="H1585" s="111" t="str">
        <f>IFERROR(VLOOKUP(Table1722[[#This Row],[Bukti]],'Un nOTA'!$A$4:$K$5003,10,FALSE),"")</f>
        <v/>
      </c>
      <c r="I1585" s="112" t="str">
        <f>IFERROR(VLOOKUP(Table1722[[#This Row],[Bukti]],Table13[#Data],11,FALSE),"")</f>
        <v/>
      </c>
    </row>
    <row r="1586" spans="1:9" ht="19.5" hidden="1" customHeight="1" x14ac:dyDescent="0.2">
      <c r="A1586" s="105" t="str">
        <f>IF(D1586=1,COUNTIF($D$10:D1586,1)," ")</f>
        <v xml:space="preserve"> </v>
      </c>
      <c r="B1586" s="106">
        <f>COPY!AR1578</f>
        <v>0</v>
      </c>
      <c r="C1586" s="107">
        <f>COPY!AC1578</f>
        <v>0</v>
      </c>
      <c r="D1586" s="107" t="str">
        <f>IF(LEN(Table1722[[#This Row],[Uraian]])&gt;2,1," ")</f>
        <v xml:space="preserve"> </v>
      </c>
      <c r="E1586" s="113" t="str">
        <f>IF(Table1722[[#This Row],[Lawan Transaksi]]="CV AGUNG KARYA",COUNTIF($I$10:I1586,"CV AGUNG KARYA")," ")</f>
        <v xml:space="preserve"> </v>
      </c>
      <c r="F1586" s="107" t="str">
        <f>IF(LEN(Table1722[[#This Row],[Uraian]])&gt;2,TRIM(RIGHT(SUBSTITUTE(TRIM(C1586)," ",REPT(" ",255)),255))," ")</f>
        <v xml:space="preserve"> </v>
      </c>
      <c r="G1586" s="110">
        <f>COPY!Z1578</f>
        <v>0</v>
      </c>
      <c r="H1586" s="111" t="str">
        <f>IFERROR(VLOOKUP(Table1722[[#This Row],[Bukti]],'Un nOTA'!$A$4:$K$5003,10,FALSE),"")</f>
        <v/>
      </c>
      <c r="I1586" s="112" t="str">
        <f>IFERROR(VLOOKUP(Table1722[[#This Row],[Bukti]],Table13[#Data],11,FALSE),"")</f>
        <v/>
      </c>
    </row>
    <row r="1587" spans="1:9" ht="19.5" hidden="1" customHeight="1" x14ac:dyDescent="0.2">
      <c r="A1587" s="105" t="str">
        <f>IF(D1587=1,COUNTIF($D$10:D1587,1)," ")</f>
        <v xml:space="preserve"> </v>
      </c>
      <c r="B1587" s="106">
        <f>COPY!AR1579</f>
        <v>0</v>
      </c>
      <c r="C1587" s="107">
        <f>COPY!AC1579</f>
        <v>0</v>
      </c>
      <c r="D1587" s="107" t="str">
        <f>IF(LEN(Table1722[[#This Row],[Uraian]])&gt;2,1," ")</f>
        <v xml:space="preserve"> </v>
      </c>
      <c r="E1587" s="113" t="str">
        <f>IF(Table1722[[#This Row],[Lawan Transaksi]]="CV AGUNG KARYA",COUNTIF($I$10:I1587,"CV AGUNG KARYA")," ")</f>
        <v xml:space="preserve"> </v>
      </c>
      <c r="F1587" s="107" t="str">
        <f>IF(LEN(Table1722[[#This Row],[Uraian]])&gt;2,TRIM(RIGHT(SUBSTITUTE(TRIM(C1587)," ",REPT(" ",255)),255))," ")</f>
        <v xml:space="preserve"> </v>
      </c>
      <c r="G1587" s="110">
        <f>COPY!Z1579</f>
        <v>0</v>
      </c>
      <c r="H1587" s="111" t="str">
        <f>IFERROR(VLOOKUP(Table1722[[#This Row],[Bukti]],'Un nOTA'!$A$4:$K$5003,10,FALSE),"")</f>
        <v/>
      </c>
      <c r="I1587" s="112" t="str">
        <f>IFERROR(VLOOKUP(Table1722[[#This Row],[Bukti]],Table13[#Data],11,FALSE),"")</f>
        <v/>
      </c>
    </row>
    <row r="1588" spans="1:9" ht="19.5" hidden="1" customHeight="1" x14ac:dyDescent="0.2">
      <c r="A1588" s="105" t="str">
        <f>IF(D1588=1,COUNTIF($D$10:D1588,1)," ")</f>
        <v xml:space="preserve"> </v>
      </c>
      <c r="B1588" s="106">
        <f>COPY!AR1580</f>
        <v>0</v>
      </c>
      <c r="C1588" s="107">
        <f>COPY!AC1580</f>
        <v>0</v>
      </c>
      <c r="D1588" s="107" t="str">
        <f>IF(LEN(Table1722[[#This Row],[Uraian]])&gt;2,1," ")</f>
        <v xml:space="preserve"> </v>
      </c>
      <c r="E1588" s="113" t="str">
        <f>IF(Table1722[[#This Row],[Lawan Transaksi]]="CV AGUNG KARYA",COUNTIF($I$10:I1588,"CV AGUNG KARYA")," ")</f>
        <v xml:space="preserve"> </v>
      </c>
      <c r="F1588" s="107" t="str">
        <f>IF(LEN(Table1722[[#This Row],[Uraian]])&gt;2,TRIM(RIGHT(SUBSTITUTE(TRIM(C1588)," ",REPT(" ",255)),255))," ")</f>
        <v xml:space="preserve"> </v>
      </c>
      <c r="G1588" s="110">
        <f>COPY!Z1580</f>
        <v>0</v>
      </c>
      <c r="H1588" s="111" t="str">
        <f>IFERROR(VLOOKUP(Table1722[[#This Row],[Bukti]],'Un nOTA'!$A$4:$K$5003,10,FALSE),"")</f>
        <v/>
      </c>
      <c r="I1588" s="112" t="str">
        <f>IFERROR(VLOOKUP(Table1722[[#This Row],[Bukti]],Table13[#Data],11,FALSE),"")</f>
        <v/>
      </c>
    </row>
    <row r="1589" spans="1:9" ht="19.5" hidden="1" customHeight="1" x14ac:dyDescent="0.2">
      <c r="A1589" s="105" t="str">
        <f>IF(D1589=1,COUNTIF($D$10:D1589,1)," ")</f>
        <v xml:space="preserve"> </v>
      </c>
      <c r="B1589" s="106">
        <f>COPY!AR1581</f>
        <v>0</v>
      </c>
      <c r="C1589" s="107">
        <f>COPY!AC1581</f>
        <v>0</v>
      </c>
      <c r="D1589" s="107" t="str">
        <f>IF(LEN(Table1722[[#This Row],[Uraian]])&gt;2,1," ")</f>
        <v xml:space="preserve"> </v>
      </c>
      <c r="E1589" s="113" t="str">
        <f>IF(Table1722[[#This Row],[Lawan Transaksi]]="CV AGUNG KARYA",COUNTIF($I$10:I1589,"CV AGUNG KARYA")," ")</f>
        <v xml:space="preserve"> </v>
      </c>
      <c r="F1589" s="107" t="str">
        <f>IF(LEN(Table1722[[#This Row],[Uraian]])&gt;2,TRIM(RIGHT(SUBSTITUTE(TRIM(C1589)," ",REPT(" ",255)),255))," ")</f>
        <v xml:space="preserve"> </v>
      </c>
      <c r="G1589" s="110">
        <f>COPY!Z1581</f>
        <v>0</v>
      </c>
      <c r="H1589" s="111" t="str">
        <f>IFERROR(VLOOKUP(Table1722[[#This Row],[Bukti]],'Un nOTA'!$A$4:$K$5003,10,FALSE),"")</f>
        <v/>
      </c>
      <c r="I1589" s="112" t="str">
        <f>IFERROR(VLOOKUP(Table1722[[#This Row],[Bukti]],Table13[#Data],11,FALSE),"")</f>
        <v/>
      </c>
    </row>
    <row r="1590" spans="1:9" ht="19.5" hidden="1" customHeight="1" x14ac:dyDescent="0.2">
      <c r="A1590" s="105" t="str">
        <f>IF(D1590=1,COUNTIF($D$10:D1590,1)," ")</f>
        <v xml:space="preserve"> </v>
      </c>
      <c r="B1590" s="106">
        <f>COPY!AR1582</f>
        <v>0</v>
      </c>
      <c r="C1590" s="107">
        <f>COPY!AC1582</f>
        <v>0</v>
      </c>
      <c r="D1590" s="107" t="str">
        <f>IF(LEN(Table1722[[#This Row],[Uraian]])&gt;2,1," ")</f>
        <v xml:space="preserve"> </v>
      </c>
      <c r="E1590" s="113" t="str">
        <f>IF(Table1722[[#This Row],[Lawan Transaksi]]="CV AGUNG KARYA",COUNTIF($I$10:I1590,"CV AGUNG KARYA")," ")</f>
        <v xml:space="preserve"> </v>
      </c>
      <c r="F1590" s="107" t="str">
        <f>IF(LEN(Table1722[[#This Row],[Uraian]])&gt;2,TRIM(RIGHT(SUBSTITUTE(TRIM(C1590)," ",REPT(" ",255)),255))," ")</f>
        <v xml:space="preserve"> </v>
      </c>
      <c r="G1590" s="110">
        <f>COPY!Z1582</f>
        <v>0</v>
      </c>
      <c r="H1590" s="111" t="str">
        <f>IFERROR(VLOOKUP(Table1722[[#This Row],[Bukti]],'Un nOTA'!$A$4:$K$5003,10,FALSE),"")</f>
        <v/>
      </c>
      <c r="I1590" s="112" t="str">
        <f>IFERROR(VLOOKUP(Table1722[[#This Row],[Bukti]],Table13[#Data],11,FALSE),"")</f>
        <v/>
      </c>
    </row>
    <row r="1591" spans="1:9" ht="19.5" hidden="1" customHeight="1" x14ac:dyDescent="0.2">
      <c r="A1591" s="105" t="str">
        <f>IF(D1591=1,COUNTIF($D$10:D1591,1)," ")</f>
        <v xml:space="preserve"> </v>
      </c>
      <c r="B1591" s="106">
        <f>COPY!AR1583</f>
        <v>0</v>
      </c>
      <c r="C1591" s="107">
        <f>COPY!AC1583</f>
        <v>0</v>
      </c>
      <c r="D1591" s="107" t="str">
        <f>IF(LEN(Table1722[[#This Row],[Uraian]])&gt;2,1," ")</f>
        <v xml:space="preserve"> </v>
      </c>
      <c r="E1591" s="113" t="str">
        <f>IF(Table1722[[#This Row],[Lawan Transaksi]]="CV AGUNG KARYA",COUNTIF($I$10:I1591,"CV AGUNG KARYA")," ")</f>
        <v xml:space="preserve"> </v>
      </c>
      <c r="F1591" s="107" t="str">
        <f>IF(LEN(Table1722[[#This Row],[Uraian]])&gt;2,TRIM(RIGHT(SUBSTITUTE(TRIM(C1591)," ",REPT(" ",255)),255))," ")</f>
        <v xml:space="preserve"> </v>
      </c>
      <c r="G1591" s="110">
        <f>COPY!Z1583</f>
        <v>0</v>
      </c>
      <c r="H1591" s="111" t="str">
        <f>IFERROR(VLOOKUP(Table1722[[#This Row],[Bukti]],'Un nOTA'!$A$4:$K$5003,10,FALSE),"")</f>
        <v/>
      </c>
      <c r="I1591" s="112" t="str">
        <f>IFERROR(VLOOKUP(Table1722[[#This Row],[Bukti]],Table13[#Data],11,FALSE),"")</f>
        <v/>
      </c>
    </row>
    <row r="1592" spans="1:9" ht="19.5" hidden="1" customHeight="1" x14ac:dyDescent="0.2">
      <c r="A1592" s="105" t="str">
        <f>IF(D1592=1,COUNTIF($D$10:D1592,1)," ")</f>
        <v xml:space="preserve"> </v>
      </c>
      <c r="B1592" s="106">
        <f>COPY!AR1584</f>
        <v>0</v>
      </c>
      <c r="C1592" s="107">
        <f>COPY!AC1584</f>
        <v>0</v>
      </c>
      <c r="D1592" s="107" t="str">
        <f>IF(LEN(Table1722[[#This Row],[Uraian]])&gt;2,1," ")</f>
        <v xml:space="preserve"> </v>
      </c>
      <c r="E1592" s="113" t="str">
        <f>IF(Table1722[[#This Row],[Lawan Transaksi]]="CV AGUNG KARYA",COUNTIF($I$10:I1592,"CV AGUNG KARYA")," ")</f>
        <v xml:space="preserve"> </v>
      </c>
      <c r="F1592" s="107" t="str">
        <f>IF(LEN(Table1722[[#This Row],[Uraian]])&gt;2,TRIM(RIGHT(SUBSTITUTE(TRIM(C1592)," ",REPT(" ",255)),255))," ")</f>
        <v xml:space="preserve"> </v>
      </c>
      <c r="G1592" s="110">
        <f>COPY!Z1584</f>
        <v>0</v>
      </c>
      <c r="H1592" s="111" t="str">
        <f>IFERROR(VLOOKUP(Table1722[[#This Row],[Bukti]],'Un nOTA'!$A$4:$K$5003,10,FALSE),"")</f>
        <v/>
      </c>
      <c r="I1592" s="112" t="str">
        <f>IFERROR(VLOOKUP(Table1722[[#This Row],[Bukti]],Table13[#Data],11,FALSE),"")</f>
        <v/>
      </c>
    </row>
    <row r="1593" spans="1:9" ht="19.5" hidden="1" customHeight="1" x14ac:dyDescent="0.2">
      <c r="A1593" s="105" t="str">
        <f>IF(D1593=1,COUNTIF($D$10:D1593,1)," ")</f>
        <v xml:space="preserve"> </v>
      </c>
      <c r="B1593" s="106">
        <f>COPY!AR1585</f>
        <v>0</v>
      </c>
      <c r="C1593" s="107">
        <f>COPY!AC1585</f>
        <v>0</v>
      </c>
      <c r="D1593" s="107" t="str">
        <f>IF(LEN(Table1722[[#This Row],[Uraian]])&gt;2,1," ")</f>
        <v xml:space="preserve"> </v>
      </c>
      <c r="E1593" s="113" t="str">
        <f>IF(Table1722[[#This Row],[Lawan Transaksi]]="CV AGUNG KARYA",COUNTIF($I$10:I1593,"CV AGUNG KARYA")," ")</f>
        <v xml:space="preserve"> </v>
      </c>
      <c r="F1593" s="107" t="str">
        <f>IF(LEN(Table1722[[#This Row],[Uraian]])&gt;2,TRIM(RIGHT(SUBSTITUTE(TRIM(C1593)," ",REPT(" ",255)),255))," ")</f>
        <v xml:space="preserve"> </v>
      </c>
      <c r="G1593" s="110">
        <f>COPY!Z1585</f>
        <v>0</v>
      </c>
      <c r="H1593" s="111" t="str">
        <f>IFERROR(VLOOKUP(Table1722[[#This Row],[Bukti]],'Un nOTA'!$A$4:$K$5003,10,FALSE),"")</f>
        <v/>
      </c>
      <c r="I1593" s="112" t="str">
        <f>IFERROR(VLOOKUP(Table1722[[#This Row],[Bukti]],Table13[#Data],11,FALSE),"")</f>
        <v/>
      </c>
    </row>
    <row r="1594" spans="1:9" ht="19.5" hidden="1" customHeight="1" x14ac:dyDescent="0.2">
      <c r="A1594" s="105" t="str">
        <f>IF(D1594=1,COUNTIF($D$10:D1594,1)," ")</f>
        <v xml:space="preserve"> </v>
      </c>
      <c r="B1594" s="106">
        <f>COPY!AR1586</f>
        <v>0</v>
      </c>
      <c r="C1594" s="107">
        <f>COPY!AC1586</f>
        <v>0</v>
      </c>
      <c r="D1594" s="107" t="str">
        <f>IF(LEN(Table1722[[#This Row],[Uraian]])&gt;2,1," ")</f>
        <v xml:space="preserve"> </v>
      </c>
      <c r="E1594" s="113" t="str">
        <f>IF(Table1722[[#This Row],[Lawan Transaksi]]="CV AGUNG KARYA",COUNTIF($I$10:I1594,"CV AGUNG KARYA")," ")</f>
        <v xml:space="preserve"> </v>
      </c>
      <c r="F1594" s="107" t="str">
        <f>IF(LEN(Table1722[[#This Row],[Uraian]])&gt;2,TRIM(RIGHT(SUBSTITUTE(TRIM(C1594)," ",REPT(" ",255)),255))," ")</f>
        <v xml:space="preserve"> </v>
      </c>
      <c r="G1594" s="110">
        <f>COPY!Z1586</f>
        <v>0</v>
      </c>
      <c r="H1594" s="111" t="str">
        <f>IFERROR(VLOOKUP(Table1722[[#This Row],[Bukti]],'Un nOTA'!$A$4:$K$5003,10,FALSE),"")</f>
        <v/>
      </c>
      <c r="I1594" s="112" t="str">
        <f>IFERROR(VLOOKUP(Table1722[[#This Row],[Bukti]],Table13[#Data],11,FALSE),"")</f>
        <v/>
      </c>
    </row>
    <row r="1595" spans="1:9" ht="19.5" hidden="1" customHeight="1" x14ac:dyDescent="0.2">
      <c r="A1595" s="105" t="str">
        <f>IF(D1595=1,COUNTIF($D$10:D1595,1)," ")</f>
        <v xml:space="preserve"> </v>
      </c>
      <c r="B1595" s="106">
        <f>COPY!AR1587</f>
        <v>0</v>
      </c>
      <c r="C1595" s="107">
        <f>COPY!AC1587</f>
        <v>0</v>
      </c>
      <c r="D1595" s="107" t="str">
        <f>IF(LEN(Table1722[[#This Row],[Uraian]])&gt;2,1," ")</f>
        <v xml:space="preserve"> </v>
      </c>
      <c r="E1595" s="113" t="str">
        <f>IF(Table1722[[#This Row],[Lawan Transaksi]]="CV AGUNG KARYA",COUNTIF($I$10:I1595,"CV AGUNG KARYA")," ")</f>
        <v xml:space="preserve"> </v>
      </c>
      <c r="F1595" s="107" t="str">
        <f>IF(LEN(Table1722[[#This Row],[Uraian]])&gt;2,TRIM(RIGHT(SUBSTITUTE(TRIM(C1595)," ",REPT(" ",255)),255))," ")</f>
        <v xml:space="preserve"> </v>
      </c>
      <c r="G1595" s="110">
        <f>COPY!Z1587</f>
        <v>0</v>
      </c>
      <c r="H1595" s="111" t="str">
        <f>IFERROR(VLOOKUP(Table1722[[#This Row],[Bukti]],'Un nOTA'!$A$4:$K$5003,10,FALSE),"")</f>
        <v/>
      </c>
      <c r="I1595" s="112" t="str">
        <f>IFERROR(VLOOKUP(Table1722[[#This Row],[Bukti]],Table13[#Data],11,FALSE),"")</f>
        <v/>
      </c>
    </row>
    <row r="1596" spans="1:9" ht="19.5" hidden="1" customHeight="1" x14ac:dyDescent="0.2">
      <c r="A1596" s="105" t="str">
        <f>IF(D1596=1,COUNTIF($D$10:D1596,1)," ")</f>
        <v xml:space="preserve"> </v>
      </c>
      <c r="B1596" s="106">
        <f>COPY!AR1588</f>
        <v>0</v>
      </c>
      <c r="C1596" s="107">
        <f>COPY!AC1588</f>
        <v>0</v>
      </c>
      <c r="D1596" s="107" t="str">
        <f>IF(LEN(Table1722[[#This Row],[Uraian]])&gt;2,1," ")</f>
        <v xml:space="preserve"> </v>
      </c>
      <c r="E1596" s="113" t="str">
        <f>IF(Table1722[[#This Row],[Lawan Transaksi]]="CV AGUNG KARYA",COUNTIF($I$10:I1596,"CV AGUNG KARYA")," ")</f>
        <v xml:space="preserve"> </v>
      </c>
      <c r="F1596" s="107" t="str">
        <f>IF(LEN(Table1722[[#This Row],[Uraian]])&gt;2,TRIM(RIGHT(SUBSTITUTE(TRIM(C1596)," ",REPT(" ",255)),255))," ")</f>
        <v xml:space="preserve"> </v>
      </c>
      <c r="G1596" s="110">
        <f>COPY!Z1588</f>
        <v>0</v>
      </c>
      <c r="H1596" s="111" t="str">
        <f>IFERROR(VLOOKUP(Table1722[[#This Row],[Bukti]],'Un nOTA'!$A$4:$K$5003,10,FALSE),"")</f>
        <v/>
      </c>
      <c r="I1596" s="112" t="str">
        <f>IFERROR(VLOOKUP(Table1722[[#This Row],[Bukti]],Table13[#Data],11,FALSE),"")</f>
        <v/>
      </c>
    </row>
    <row r="1597" spans="1:9" ht="19.5" hidden="1" customHeight="1" x14ac:dyDescent="0.2">
      <c r="A1597" s="105" t="str">
        <f>IF(D1597=1,COUNTIF($D$10:D1597,1)," ")</f>
        <v xml:space="preserve"> </v>
      </c>
      <c r="B1597" s="106">
        <f>COPY!AR1589</f>
        <v>0</v>
      </c>
      <c r="C1597" s="107">
        <f>COPY!AC1589</f>
        <v>0</v>
      </c>
      <c r="D1597" s="107" t="str">
        <f>IF(LEN(Table1722[[#This Row],[Uraian]])&gt;2,1," ")</f>
        <v xml:space="preserve"> </v>
      </c>
      <c r="E1597" s="113" t="str">
        <f>IF(Table1722[[#This Row],[Lawan Transaksi]]="CV AGUNG KARYA",COUNTIF($I$10:I1597,"CV AGUNG KARYA")," ")</f>
        <v xml:space="preserve"> </v>
      </c>
      <c r="F1597" s="107" t="str">
        <f>IF(LEN(Table1722[[#This Row],[Uraian]])&gt;2,TRIM(RIGHT(SUBSTITUTE(TRIM(C1597)," ",REPT(" ",255)),255))," ")</f>
        <v xml:space="preserve"> </v>
      </c>
      <c r="G1597" s="110">
        <f>COPY!Z1589</f>
        <v>0</v>
      </c>
      <c r="H1597" s="111" t="str">
        <f>IFERROR(VLOOKUP(Table1722[[#This Row],[Bukti]],'Un nOTA'!$A$4:$K$5003,10,FALSE),"")</f>
        <v/>
      </c>
      <c r="I1597" s="112" t="str">
        <f>IFERROR(VLOOKUP(Table1722[[#This Row],[Bukti]],Table13[#Data],11,FALSE),"")</f>
        <v/>
      </c>
    </row>
    <row r="1598" spans="1:9" ht="19.5" hidden="1" customHeight="1" x14ac:dyDescent="0.2">
      <c r="A1598" s="105" t="str">
        <f>IF(D1598=1,COUNTIF($D$10:D1598,1)," ")</f>
        <v xml:space="preserve"> </v>
      </c>
      <c r="B1598" s="106">
        <f>COPY!AR1590</f>
        <v>0</v>
      </c>
      <c r="C1598" s="107">
        <f>COPY!AC1590</f>
        <v>0</v>
      </c>
      <c r="D1598" s="107" t="str">
        <f>IF(LEN(Table1722[[#This Row],[Uraian]])&gt;2,1," ")</f>
        <v xml:space="preserve"> </v>
      </c>
      <c r="E1598" s="113" t="str">
        <f>IF(Table1722[[#This Row],[Lawan Transaksi]]="CV AGUNG KARYA",COUNTIF($I$10:I1598,"CV AGUNG KARYA")," ")</f>
        <v xml:space="preserve"> </v>
      </c>
      <c r="F1598" s="107" t="str">
        <f>IF(LEN(Table1722[[#This Row],[Uraian]])&gt;2,TRIM(RIGHT(SUBSTITUTE(TRIM(C1598)," ",REPT(" ",255)),255))," ")</f>
        <v xml:space="preserve"> </v>
      </c>
      <c r="G1598" s="110">
        <f>COPY!Z1590</f>
        <v>0</v>
      </c>
      <c r="H1598" s="111" t="str">
        <f>IFERROR(VLOOKUP(Table1722[[#This Row],[Bukti]],'Un nOTA'!$A$4:$K$5003,10,FALSE),"")</f>
        <v/>
      </c>
      <c r="I1598" s="112" t="str">
        <f>IFERROR(VLOOKUP(Table1722[[#This Row],[Bukti]],Table13[#Data],11,FALSE),"")</f>
        <v/>
      </c>
    </row>
    <row r="1599" spans="1:9" ht="19.5" hidden="1" customHeight="1" x14ac:dyDescent="0.2">
      <c r="A1599" s="105" t="str">
        <f>IF(D1599=1,COUNTIF($D$10:D1599,1)," ")</f>
        <v xml:space="preserve"> </v>
      </c>
      <c r="B1599" s="106">
        <f>COPY!AR1591</f>
        <v>0</v>
      </c>
      <c r="C1599" s="107">
        <f>COPY!AC1591</f>
        <v>0</v>
      </c>
      <c r="D1599" s="107" t="str">
        <f>IF(LEN(Table1722[[#This Row],[Uraian]])&gt;2,1," ")</f>
        <v xml:space="preserve"> </v>
      </c>
      <c r="E1599" s="113" t="str">
        <f>IF(Table1722[[#This Row],[Lawan Transaksi]]="CV AGUNG KARYA",COUNTIF($I$10:I1599,"CV AGUNG KARYA")," ")</f>
        <v xml:space="preserve"> </v>
      </c>
      <c r="F1599" s="107" t="str">
        <f>IF(LEN(Table1722[[#This Row],[Uraian]])&gt;2,TRIM(RIGHT(SUBSTITUTE(TRIM(C1599)," ",REPT(" ",255)),255))," ")</f>
        <v xml:space="preserve"> </v>
      </c>
      <c r="G1599" s="110">
        <f>COPY!Z1591</f>
        <v>0</v>
      </c>
      <c r="H1599" s="111" t="str">
        <f>IFERROR(VLOOKUP(Table1722[[#This Row],[Bukti]],'Un nOTA'!$A$4:$K$5003,10,FALSE),"")</f>
        <v/>
      </c>
      <c r="I1599" s="112" t="str">
        <f>IFERROR(VLOOKUP(Table1722[[#This Row],[Bukti]],Table13[#Data],11,FALSE),"")</f>
        <v/>
      </c>
    </row>
    <row r="1600" spans="1:9" ht="19.5" hidden="1" customHeight="1" x14ac:dyDescent="0.2">
      <c r="A1600" s="105" t="str">
        <f>IF(D1600=1,COUNTIF($D$10:D1600,1)," ")</f>
        <v xml:space="preserve"> </v>
      </c>
      <c r="B1600" s="106">
        <f>COPY!AR1592</f>
        <v>0</v>
      </c>
      <c r="C1600" s="107">
        <f>COPY!AC1592</f>
        <v>0</v>
      </c>
      <c r="D1600" s="107" t="str">
        <f>IF(LEN(Table1722[[#This Row],[Uraian]])&gt;2,1," ")</f>
        <v xml:space="preserve"> </v>
      </c>
      <c r="E1600" s="113" t="str">
        <f>IF(Table1722[[#This Row],[Lawan Transaksi]]="CV AGUNG KARYA",COUNTIF($I$10:I1600,"CV AGUNG KARYA")," ")</f>
        <v xml:space="preserve"> </v>
      </c>
      <c r="F1600" s="107" t="str">
        <f>IF(LEN(Table1722[[#This Row],[Uraian]])&gt;2,TRIM(RIGHT(SUBSTITUTE(TRIM(C1600)," ",REPT(" ",255)),255))," ")</f>
        <v xml:space="preserve"> </v>
      </c>
      <c r="G1600" s="110">
        <f>COPY!Z1592</f>
        <v>0</v>
      </c>
      <c r="H1600" s="111" t="str">
        <f>IFERROR(VLOOKUP(Table1722[[#This Row],[Bukti]],'Un nOTA'!$A$4:$K$5003,10,FALSE),"")</f>
        <v/>
      </c>
      <c r="I1600" s="112" t="str">
        <f>IFERROR(VLOOKUP(Table1722[[#This Row],[Bukti]],Table13[#Data],11,FALSE),"")</f>
        <v/>
      </c>
    </row>
    <row r="1601" spans="1:9" ht="19.5" hidden="1" customHeight="1" x14ac:dyDescent="0.2">
      <c r="A1601" s="105" t="str">
        <f>IF(D1601=1,COUNTIF($D$10:D1601,1)," ")</f>
        <v xml:space="preserve"> </v>
      </c>
      <c r="B1601" s="106">
        <f>COPY!AR1593</f>
        <v>0</v>
      </c>
      <c r="C1601" s="107">
        <f>COPY!AC1593</f>
        <v>0</v>
      </c>
      <c r="D1601" s="107" t="str">
        <f>IF(LEN(Table1722[[#This Row],[Uraian]])&gt;2,1," ")</f>
        <v xml:space="preserve"> </v>
      </c>
      <c r="E1601" s="113" t="str">
        <f>IF(Table1722[[#This Row],[Lawan Transaksi]]="CV AGUNG KARYA",COUNTIF($I$10:I1601,"CV AGUNG KARYA")," ")</f>
        <v xml:space="preserve"> </v>
      </c>
      <c r="F1601" s="107" t="str">
        <f>IF(LEN(Table1722[[#This Row],[Uraian]])&gt;2,TRIM(RIGHT(SUBSTITUTE(TRIM(C1601)," ",REPT(" ",255)),255))," ")</f>
        <v xml:space="preserve"> </v>
      </c>
      <c r="G1601" s="110">
        <f>COPY!Z1593</f>
        <v>0</v>
      </c>
      <c r="H1601" s="111" t="str">
        <f>IFERROR(VLOOKUP(Table1722[[#This Row],[Bukti]],'Un nOTA'!$A$4:$K$5003,10,FALSE),"")</f>
        <v/>
      </c>
      <c r="I1601" s="112" t="str">
        <f>IFERROR(VLOOKUP(Table1722[[#This Row],[Bukti]],Table13[#Data],11,FALSE),"")</f>
        <v/>
      </c>
    </row>
    <row r="1602" spans="1:9" ht="19.5" hidden="1" customHeight="1" x14ac:dyDescent="0.2">
      <c r="A1602" s="105" t="str">
        <f>IF(D1602=1,COUNTIF($D$10:D1602,1)," ")</f>
        <v xml:space="preserve"> </v>
      </c>
      <c r="B1602" s="106">
        <f>COPY!AR1594</f>
        <v>0</v>
      </c>
      <c r="C1602" s="107">
        <f>COPY!AC1594</f>
        <v>0</v>
      </c>
      <c r="D1602" s="107" t="str">
        <f>IF(LEN(Table1722[[#This Row],[Uraian]])&gt;2,1," ")</f>
        <v xml:space="preserve"> </v>
      </c>
      <c r="E1602" s="113" t="str">
        <f>IF(Table1722[[#This Row],[Lawan Transaksi]]="CV AGUNG KARYA",COUNTIF($I$10:I1602,"CV AGUNG KARYA")," ")</f>
        <v xml:space="preserve"> </v>
      </c>
      <c r="F1602" s="107" t="str">
        <f>IF(LEN(Table1722[[#This Row],[Uraian]])&gt;2,TRIM(RIGHT(SUBSTITUTE(TRIM(C1602)," ",REPT(" ",255)),255))," ")</f>
        <v xml:space="preserve"> </v>
      </c>
      <c r="G1602" s="110">
        <f>COPY!Z1594</f>
        <v>0</v>
      </c>
      <c r="H1602" s="111" t="str">
        <f>IFERROR(VLOOKUP(Table1722[[#This Row],[Bukti]],'Un nOTA'!$A$4:$K$5003,10,FALSE),"")</f>
        <v/>
      </c>
      <c r="I1602" s="112" t="str">
        <f>IFERROR(VLOOKUP(Table1722[[#This Row],[Bukti]],Table13[#Data],11,FALSE),"")</f>
        <v/>
      </c>
    </row>
    <row r="1603" spans="1:9" ht="19.5" hidden="1" customHeight="1" x14ac:dyDescent="0.2">
      <c r="A1603" s="105" t="str">
        <f>IF(D1603=1,COUNTIF($D$10:D1603,1)," ")</f>
        <v xml:space="preserve"> </v>
      </c>
      <c r="B1603" s="106">
        <f>COPY!AR1595</f>
        <v>0</v>
      </c>
      <c r="C1603" s="107">
        <f>COPY!AC1595</f>
        <v>0</v>
      </c>
      <c r="D1603" s="107" t="str">
        <f>IF(LEN(Table1722[[#This Row],[Uraian]])&gt;2,1," ")</f>
        <v xml:space="preserve"> </v>
      </c>
      <c r="E1603" s="113" t="str">
        <f>IF(Table1722[[#This Row],[Lawan Transaksi]]="CV AGUNG KARYA",COUNTIF($I$10:I1603,"CV AGUNG KARYA")," ")</f>
        <v xml:space="preserve"> </v>
      </c>
      <c r="F1603" s="107" t="str">
        <f>IF(LEN(Table1722[[#This Row],[Uraian]])&gt;2,TRIM(RIGHT(SUBSTITUTE(TRIM(C1603)," ",REPT(" ",255)),255))," ")</f>
        <v xml:space="preserve"> </v>
      </c>
      <c r="G1603" s="110">
        <f>COPY!Z1595</f>
        <v>0</v>
      </c>
      <c r="H1603" s="111" t="str">
        <f>IFERROR(VLOOKUP(Table1722[[#This Row],[Bukti]],'Un nOTA'!$A$4:$K$5003,10,FALSE),"")</f>
        <v/>
      </c>
      <c r="I1603" s="112" t="str">
        <f>IFERROR(VLOOKUP(Table1722[[#This Row],[Bukti]],Table13[#Data],11,FALSE),"")</f>
        <v/>
      </c>
    </row>
    <row r="1604" spans="1:9" ht="19.5" hidden="1" customHeight="1" x14ac:dyDescent="0.2">
      <c r="A1604" s="105" t="str">
        <f>IF(D1604=1,COUNTIF($D$10:D1604,1)," ")</f>
        <v xml:space="preserve"> </v>
      </c>
      <c r="B1604" s="106">
        <f>COPY!AR1596</f>
        <v>0</v>
      </c>
      <c r="C1604" s="107">
        <f>COPY!AC1596</f>
        <v>0</v>
      </c>
      <c r="D1604" s="107" t="str">
        <f>IF(LEN(Table1722[[#This Row],[Uraian]])&gt;2,1," ")</f>
        <v xml:space="preserve"> </v>
      </c>
      <c r="E1604" s="113" t="str">
        <f>IF(Table1722[[#This Row],[Lawan Transaksi]]="CV AGUNG KARYA",COUNTIF($I$10:I1604,"CV AGUNG KARYA")," ")</f>
        <v xml:space="preserve"> </v>
      </c>
      <c r="F1604" s="107" t="str">
        <f>IF(LEN(Table1722[[#This Row],[Uraian]])&gt;2,TRIM(RIGHT(SUBSTITUTE(TRIM(C1604)," ",REPT(" ",255)),255))," ")</f>
        <v xml:space="preserve"> </v>
      </c>
      <c r="G1604" s="110">
        <f>COPY!Z1596</f>
        <v>0</v>
      </c>
      <c r="H1604" s="111" t="str">
        <f>IFERROR(VLOOKUP(Table1722[[#This Row],[Bukti]],'Un nOTA'!$A$4:$K$5003,10,FALSE),"")</f>
        <v/>
      </c>
      <c r="I1604" s="112" t="str">
        <f>IFERROR(VLOOKUP(Table1722[[#This Row],[Bukti]],Table13[#Data],11,FALSE),"")</f>
        <v/>
      </c>
    </row>
    <row r="1605" spans="1:9" ht="19.5" hidden="1" customHeight="1" x14ac:dyDescent="0.2">
      <c r="A1605" s="105" t="str">
        <f>IF(D1605=1,COUNTIF($D$10:D1605,1)," ")</f>
        <v xml:space="preserve"> </v>
      </c>
      <c r="B1605" s="106">
        <f>COPY!AR1597</f>
        <v>0</v>
      </c>
      <c r="C1605" s="107">
        <f>COPY!AC1597</f>
        <v>0</v>
      </c>
      <c r="D1605" s="107" t="str">
        <f>IF(LEN(Table1722[[#This Row],[Uraian]])&gt;2,1," ")</f>
        <v xml:space="preserve"> </v>
      </c>
      <c r="E1605" s="113" t="str">
        <f>IF(Table1722[[#This Row],[Lawan Transaksi]]="CV AGUNG KARYA",COUNTIF($I$10:I1605,"CV AGUNG KARYA")," ")</f>
        <v xml:space="preserve"> </v>
      </c>
      <c r="F1605" s="107" t="str">
        <f>IF(LEN(Table1722[[#This Row],[Uraian]])&gt;2,TRIM(RIGHT(SUBSTITUTE(TRIM(C1605)," ",REPT(" ",255)),255))," ")</f>
        <v xml:space="preserve"> </v>
      </c>
      <c r="G1605" s="110">
        <f>COPY!Z1597</f>
        <v>0</v>
      </c>
      <c r="H1605" s="111" t="str">
        <f>IFERROR(VLOOKUP(Table1722[[#This Row],[Bukti]],'Un nOTA'!$A$4:$K$5003,10,FALSE),"")</f>
        <v/>
      </c>
      <c r="I1605" s="112" t="str">
        <f>IFERROR(VLOOKUP(Table1722[[#This Row],[Bukti]],Table13[#Data],11,FALSE),"")</f>
        <v/>
      </c>
    </row>
    <row r="1606" spans="1:9" ht="19.5" hidden="1" customHeight="1" x14ac:dyDescent="0.2">
      <c r="A1606" s="105" t="str">
        <f>IF(D1606=1,COUNTIF($D$10:D1606,1)," ")</f>
        <v xml:space="preserve"> </v>
      </c>
      <c r="B1606" s="106">
        <f>COPY!AR1598</f>
        <v>0</v>
      </c>
      <c r="C1606" s="107">
        <f>COPY!AC1598</f>
        <v>0</v>
      </c>
      <c r="D1606" s="107" t="str">
        <f>IF(LEN(Table1722[[#This Row],[Uraian]])&gt;2,1," ")</f>
        <v xml:space="preserve"> </v>
      </c>
      <c r="E1606" s="113" t="str">
        <f>IF(Table1722[[#This Row],[Lawan Transaksi]]="CV AGUNG KARYA",COUNTIF($I$10:I1606,"CV AGUNG KARYA")," ")</f>
        <v xml:space="preserve"> </v>
      </c>
      <c r="F1606" s="107" t="str">
        <f>IF(LEN(Table1722[[#This Row],[Uraian]])&gt;2,TRIM(RIGHT(SUBSTITUTE(TRIM(C1606)," ",REPT(" ",255)),255))," ")</f>
        <v xml:space="preserve"> </v>
      </c>
      <c r="G1606" s="110">
        <f>COPY!Z1598</f>
        <v>0</v>
      </c>
      <c r="H1606" s="111" t="str">
        <f>IFERROR(VLOOKUP(Table1722[[#This Row],[Bukti]],'Un nOTA'!$A$4:$K$5003,10,FALSE),"")</f>
        <v/>
      </c>
      <c r="I1606" s="112" t="str">
        <f>IFERROR(VLOOKUP(Table1722[[#This Row],[Bukti]],Table13[#Data],11,FALSE),"")</f>
        <v/>
      </c>
    </row>
    <row r="1607" spans="1:9" ht="19.5" hidden="1" customHeight="1" x14ac:dyDescent="0.2">
      <c r="A1607" s="105" t="str">
        <f>IF(D1607=1,COUNTIF($D$10:D1607,1)," ")</f>
        <v xml:space="preserve"> </v>
      </c>
      <c r="B1607" s="106">
        <f>COPY!AR1599</f>
        <v>0</v>
      </c>
      <c r="C1607" s="107">
        <f>COPY!AC1599</f>
        <v>0</v>
      </c>
      <c r="D1607" s="107" t="str">
        <f>IF(LEN(Table1722[[#This Row],[Uraian]])&gt;2,1," ")</f>
        <v xml:space="preserve"> </v>
      </c>
      <c r="E1607" s="113" t="str">
        <f>IF(Table1722[[#This Row],[Lawan Transaksi]]="CV AGUNG KARYA",COUNTIF($I$10:I1607,"CV AGUNG KARYA")," ")</f>
        <v xml:space="preserve"> </v>
      </c>
      <c r="F1607" s="107" t="str">
        <f>IF(LEN(Table1722[[#This Row],[Uraian]])&gt;2,TRIM(RIGHT(SUBSTITUTE(TRIM(C1607)," ",REPT(" ",255)),255))," ")</f>
        <v xml:space="preserve"> </v>
      </c>
      <c r="G1607" s="110">
        <f>COPY!Z1599</f>
        <v>0</v>
      </c>
      <c r="H1607" s="111" t="str">
        <f>IFERROR(VLOOKUP(Table1722[[#This Row],[Bukti]],'Un nOTA'!$A$4:$K$5003,10,FALSE),"")</f>
        <v/>
      </c>
      <c r="I1607" s="112" t="str">
        <f>IFERROR(VLOOKUP(Table1722[[#This Row],[Bukti]],Table13[#Data],11,FALSE),"")</f>
        <v/>
      </c>
    </row>
    <row r="1608" spans="1:9" ht="19.5" hidden="1" customHeight="1" x14ac:dyDescent="0.2">
      <c r="A1608" s="105" t="str">
        <f>IF(D1608=1,COUNTIF($D$10:D1608,1)," ")</f>
        <v xml:space="preserve"> </v>
      </c>
      <c r="B1608" s="106">
        <f>COPY!AR1600</f>
        <v>0</v>
      </c>
      <c r="C1608" s="107">
        <f>COPY!AC1600</f>
        <v>0</v>
      </c>
      <c r="D1608" s="107" t="str">
        <f>IF(LEN(Table1722[[#This Row],[Uraian]])&gt;2,1," ")</f>
        <v xml:space="preserve"> </v>
      </c>
      <c r="E1608" s="113" t="str">
        <f>IF(Table1722[[#This Row],[Lawan Transaksi]]="CV AGUNG KARYA",COUNTIF($I$10:I1608,"CV AGUNG KARYA")," ")</f>
        <v xml:space="preserve"> </v>
      </c>
      <c r="F1608" s="107" t="str">
        <f>IF(LEN(Table1722[[#This Row],[Uraian]])&gt;2,TRIM(RIGHT(SUBSTITUTE(TRIM(C1608)," ",REPT(" ",255)),255))," ")</f>
        <v xml:space="preserve"> </v>
      </c>
      <c r="G1608" s="110">
        <f>COPY!Z1600</f>
        <v>0</v>
      </c>
      <c r="H1608" s="111" t="str">
        <f>IFERROR(VLOOKUP(Table1722[[#This Row],[Bukti]],'Un nOTA'!$A$4:$K$5003,10,FALSE),"")</f>
        <v/>
      </c>
      <c r="I1608" s="112" t="str">
        <f>IFERROR(VLOOKUP(Table1722[[#This Row],[Bukti]],Table13[#Data],11,FALSE),"")</f>
        <v/>
      </c>
    </row>
    <row r="1609" spans="1:9" ht="19.5" hidden="1" customHeight="1" x14ac:dyDescent="0.2">
      <c r="A1609" s="105" t="str">
        <f>IF(D1609=1,COUNTIF($D$10:D1609,1)," ")</f>
        <v xml:space="preserve"> </v>
      </c>
      <c r="B1609" s="106">
        <f>COPY!AR1601</f>
        <v>0</v>
      </c>
      <c r="C1609" s="107">
        <f>COPY!AC1601</f>
        <v>0</v>
      </c>
      <c r="D1609" s="107" t="str">
        <f>IF(LEN(Table1722[[#This Row],[Uraian]])&gt;2,1," ")</f>
        <v xml:space="preserve"> </v>
      </c>
      <c r="E1609" s="113" t="str">
        <f>IF(Table1722[[#This Row],[Lawan Transaksi]]="CV AGUNG KARYA",COUNTIF($I$10:I1609,"CV AGUNG KARYA")," ")</f>
        <v xml:space="preserve"> </v>
      </c>
      <c r="F1609" s="107" t="str">
        <f>IF(LEN(Table1722[[#This Row],[Uraian]])&gt;2,TRIM(RIGHT(SUBSTITUTE(TRIM(C1609)," ",REPT(" ",255)),255))," ")</f>
        <v xml:space="preserve"> </v>
      </c>
      <c r="G1609" s="110">
        <f>COPY!Z1601</f>
        <v>0</v>
      </c>
      <c r="H1609" s="111" t="str">
        <f>IFERROR(VLOOKUP(Table1722[[#This Row],[Bukti]],'Un nOTA'!$A$4:$K$5003,10,FALSE),"")</f>
        <v/>
      </c>
      <c r="I1609" s="112" t="str">
        <f>IFERROR(VLOOKUP(Table1722[[#This Row],[Bukti]],Table13[#Data],11,FALSE),"")</f>
        <v/>
      </c>
    </row>
    <row r="1610" spans="1:9" ht="19.5" hidden="1" customHeight="1" x14ac:dyDescent="0.2">
      <c r="A1610" s="105" t="str">
        <f>IF(D1610=1,COUNTIF($D$10:D1610,1)," ")</f>
        <v xml:space="preserve"> </v>
      </c>
      <c r="B1610" s="106">
        <f>COPY!AR1602</f>
        <v>0</v>
      </c>
      <c r="C1610" s="107">
        <f>COPY!AC1602</f>
        <v>0</v>
      </c>
      <c r="D1610" s="107" t="str">
        <f>IF(LEN(Table1722[[#This Row],[Uraian]])&gt;2,1," ")</f>
        <v xml:space="preserve"> </v>
      </c>
      <c r="E1610" s="113" t="str">
        <f>IF(Table1722[[#This Row],[Lawan Transaksi]]="CV AGUNG KARYA",COUNTIF($I$10:I1610,"CV AGUNG KARYA")," ")</f>
        <v xml:space="preserve"> </v>
      </c>
      <c r="F1610" s="107" t="str">
        <f>IF(LEN(Table1722[[#This Row],[Uraian]])&gt;2,TRIM(RIGHT(SUBSTITUTE(TRIM(C1610)," ",REPT(" ",255)),255))," ")</f>
        <v xml:space="preserve"> </v>
      </c>
      <c r="G1610" s="110">
        <f>COPY!Z1602</f>
        <v>0</v>
      </c>
      <c r="H1610" s="111" t="str">
        <f>IFERROR(VLOOKUP(Table1722[[#This Row],[Bukti]],'Un nOTA'!$A$4:$K$5003,10,FALSE),"")</f>
        <v/>
      </c>
      <c r="I1610" s="112" t="str">
        <f>IFERROR(VLOOKUP(Table1722[[#This Row],[Bukti]],Table13[#Data],11,FALSE),"")</f>
        <v/>
      </c>
    </row>
    <row r="1611" spans="1:9" ht="19.5" hidden="1" customHeight="1" x14ac:dyDescent="0.2">
      <c r="A1611" s="105" t="str">
        <f>IF(D1611=1,COUNTIF($D$10:D1611,1)," ")</f>
        <v xml:space="preserve"> </v>
      </c>
      <c r="B1611" s="106">
        <f>COPY!AR1603</f>
        <v>0</v>
      </c>
      <c r="C1611" s="107">
        <f>COPY!AC1603</f>
        <v>0</v>
      </c>
      <c r="D1611" s="107" t="str">
        <f>IF(LEN(Table1722[[#This Row],[Uraian]])&gt;2,1," ")</f>
        <v xml:space="preserve"> </v>
      </c>
      <c r="E1611" s="113" t="str">
        <f>IF(Table1722[[#This Row],[Lawan Transaksi]]="CV AGUNG KARYA",COUNTIF($I$10:I1611,"CV AGUNG KARYA")," ")</f>
        <v xml:space="preserve"> </v>
      </c>
      <c r="F1611" s="107" t="str">
        <f>IF(LEN(Table1722[[#This Row],[Uraian]])&gt;2,TRIM(RIGHT(SUBSTITUTE(TRIM(C1611)," ",REPT(" ",255)),255))," ")</f>
        <v xml:space="preserve"> </v>
      </c>
      <c r="G1611" s="110">
        <f>COPY!Z1603</f>
        <v>0</v>
      </c>
      <c r="H1611" s="111" t="str">
        <f>IFERROR(VLOOKUP(Table1722[[#This Row],[Bukti]],'Un nOTA'!$A$4:$K$5003,10,FALSE),"")</f>
        <v/>
      </c>
      <c r="I1611" s="112" t="str">
        <f>IFERROR(VLOOKUP(Table1722[[#This Row],[Bukti]],Table13[#Data],11,FALSE),"")</f>
        <v/>
      </c>
    </row>
    <row r="1612" spans="1:9" ht="19.5" hidden="1" customHeight="1" x14ac:dyDescent="0.2">
      <c r="A1612" s="105" t="str">
        <f>IF(D1612=1,COUNTIF($D$10:D1612,1)," ")</f>
        <v xml:space="preserve"> </v>
      </c>
      <c r="B1612" s="106">
        <f>COPY!AR1604</f>
        <v>0</v>
      </c>
      <c r="C1612" s="107">
        <f>COPY!AC1604</f>
        <v>0</v>
      </c>
      <c r="D1612" s="107" t="str">
        <f>IF(LEN(Table1722[[#This Row],[Uraian]])&gt;2,1," ")</f>
        <v xml:space="preserve"> </v>
      </c>
      <c r="E1612" s="113" t="str">
        <f>IF(Table1722[[#This Row],[Lawan Transaksi]]="CV AGUNG KARYA",COUNTIF($I$10:I1612,"CV AGUNG KARYA")," ")</f>
        <v xml:space="preserve"> </v>
      </c>
      <c r="F1612" s="107" t="str">
        <f>IF(LEN(Table1722[[#This Row],[Uraian]])&gt;2,TRIM(RIGHT(SUBSTITUTE(TRIM(C1612)," ",REPT(" ",255)),255))," ")</f>
        <v xml:space="preserve"> </v>
      </c>
      <c r="G1612" s="110">
        <f>COPY!Z1604</f>
        <v>0</v>
      </c>
      <c r="H1612" s="111" t="str">
        <f>IFERROR(VLOOKUP(Table1722[[#This Row],[Bukti]],'Un nOTA'!$A$4:$K$5003,10,FALSE),"")</f>
        <v/>
      </c>
      <c r="I1612" s="112" t="str">
        <f>IFERROR(VLOOKUP(Table1722[[#This Row],[Bukti]],Table13[#Data],11,FALSE),"")</f>
        <v/>
      </c>
    </row>
    <row r="1613" spans="1:9" ht="19.5" hidden="1" customHeight="1" x14ac:dyDescent="0.2">
      <c r="A1613" s="105" t="str">
        <f>IF(D1613=1,COUNTIF($D$10:D1613,1)," ")</f>
        <v xml:space="preserve"> </v>
      </c>
      <c r="B1613" s="106">
        <f>COPY!AR1605</f>
        <v>0</v>
      </c>
      <c r="C1613" s="107">
        <f>COPY!AC1605</f>
        <v>0</v>
      </c>
      <c r="D1613" s="107" t="str">
        <f>IF(LEN(Table1722[[#This Row],[Uraian]])&gt;2,1," ")</f>
        <v xml:space="preserve"> </v>
      </c>
      <c r="E1613" s="113" t="str">
        <f>IF(Table1722[[#This Row],[Lawan Transaksi]]="CV AGUNG KARYA",COUNTIF($I$10:I1613,"CV AGUNG KARYA")," ")</f>
        <v xml:space="preserve"> </v>
      </c>
      <c r="F1613" s="107" t="str">
        <f>IF(LEN(Table1722[[#This Row],[Uraian]])&gt;2,TRIM(RIGHT(SUBSTITUTE(TRIM(C1613)," ",REPT(" ",255)),255))," ")</f>
        <v xml:space="preserve"> </v>
      </c>
      <c r="G1613" s="110">
        <f>COPY!Z1605</f>
        <v>0</v>
      </c>
      <c r="H1613" s="111" t="str">
        <f>IFERROR(VLOOKUP(Table1722[[#This Row],[Bukti]],'Un nOTA'!$A$4:$K$5003,10,FALSE),"")</f>
        <v/>
      </c>
      <c r="I1613" s="112" t="str">
        <f>IFERROR(VLOOKUP(Table1722[[#This Row],[Bukti]],Table13[#Data],11,FALSE),"")</f>
        <v/>
      </c>
    </row>
    <row r="1614" spans="1:9" ht="19.5" hidden="1" customHeight="1" x14ac:dyDescent="0.2">
      <c r="A1614" s="105" t="str">
        <f>IF(D1614=1,COUNTIF($D$10:D1614,1)," ")</f>
        <v xml:space="preserve"> </v>
      </c>
      <c r="B1614" s="106">
        <f>COPY!AR1606</f>
        <v>0</v>
      </c>
      <c r="C1614" s="107">
        <f>COPY!AC1606</f>
        <v>0</v>
      </c>
      <c r="D1614" s="107" t="str">
        <f>IF(LEN(Table1722[[#This Row],[Uraian]])&gt;2,1," ")</f>
        <v xml:space="preserve"> </v>
      </c>
      <c r="E1614" s="113" t="str">
        <f>IF(Table1722[[#This Row],[Lawan Transaksi]]="CV AGUNG KARYA",COUNTIF($I$10:I1614,"CV AGUNG KARYA")," ")</f>
        <v xml:space="preserve"> </v>
      </c>
      <c r="F1614" s="107" t="str">
        <f>IF(LEN(Table1722[[#This Row],[Uraian]])&gt;2,TRIM(RIGHT(SUBSTITUTE(TRIM(C1614)," ",REPT(" ",255)),255))," ")</f>
        <v xml:space="preserve"> </v>
      </c>
      <c r="G1614" s="110">
        <f>COPY!Z1606</f>
        <v>0</v>
      </c>
      <c r="H1614" s="111" t="str">
        <f>IFERROR(VLOOKUP(Table1722[[#This Row],[Bukti]],'Un nOTA'!$A$4:$K$5003,10,FALSE),"")</f>
        <v/>
      </c>
      <c r="I1614" s="112" t="str">
        <f>IFERROR(VLOOKUP(Table1722[[#This Row],[Bukti]],Table13[#Data],11,FALSE),"")</f>
        <v/>
      </c>
    </row>
    <row r="1615" spans="1:9" ht="19.5" hidden="1" customHeight="1" x14ac:dyDescent="0.2">
      <c r="A1615" s="105" t="str">
        <f>IF(D1615=1,COUNTIF($D$10:D1615,1)," ")</f>
        <v xml:space="preserve"> </v>
      </c>
      <c r="B1615" s="106">
        <f>COPY!AR1607</f>
        <v>0</v>
      </c>
      <c r="C1615" s="107">
        <f>COPY!AC1607</f>
        <v>0</v>
      </c>
      <c r="D1615" s="107" t="str">
        <f>IF(LEN(Table1722[[#This Row],[Uraian]])&gt;2,1," ")</f>
        <v xml:space="preserve"> </v>
      </c>
      <c r="E1615" s="113" t="str">
        <f>IF(Table1722[[#This Row],[Lawan Transaksi]]="CV AGUNG KARYA",COUNTIF($I$10:I1615,"CV AGUNG KARYA")," ")</f>
        <v xml:space="preserve"> </v>
      </c>
      <c r="F1615" s="107" t="str">
        <f>IF(LEN(Table1722[[#This Row],[Uraian]])&gt;2,TRIM(RIGHT(SUBSTITUTE(TRIM(C1615)," ",REPT(" ",255)),255))," ")</f>
        <v xml:space="preserve"> </v>
      </c>
      <c r="G1615" s="110">
        <f>COPY!Z1607</f>
        <v>0</v>
      </c>
      <c r="H1615" s="111" t="str">
        <f>IFERROR(VLOOKUP(Table1722[[#This Row],[Bukti]],'Un nOTA'!$A$4:$K$5003,10,FALSE),"")</f>
        <v/>
      </c>
      <c r="I1615" s="112" t="str">
        <f>IFERROR(VLOOKUP(Table1722[[#This Row],[Bukti]],Table13[#Data],11,FALSE),"")</f>
        <v/>
      </c>
    </row>
    <row r="1616" spans="1:9" ht="19.5" hidden="1" customHeight="1" x14ac:dyDescent="0.2">
      <c r="A1616" s="105" t="str">
        <f>IF(D1616=1,COUNTIF($D$10:D1616,1)," ")</f>
        <v xml:space="preserve"> </v>
      </c>
      <c r="B1616" s="106">
        <f>COPY!AR1608</f>
        <v>0</v>
      </c>
      <c r="C1616" s="107">
        <f>COPY!AC1608</f>
        <v>0</v>
      </c>
      <c r="D1616" s="107" t="str">
        <f>IF(LEN(Table1722[[#This Row],[Uraian]])&gt;2,1," ")</f>
        <v xml:space="preserve"> </v>
      </c>
      <c r="E1616" s="113" t="str">
        <f>IF(Table1722[[#This Row],[Lawan Transaksi]]="CV AGUNG KARYA",COUNTIF($I$10:I1616,"CV AGUNG KARYA")," ")</f>
        <v xml:space="preserve"> </v>
      </c>
      <c r="F1616" s="107" t="str">
        <f>IF(LEN(Table1722[[#This Row],[Uraian]])&gt;2,TRIM(RIGHT(SUBSTITUTE(TRIM(C1616)," ",REPT(" ",255)),255))," ")</f>
        <v xml:space="preserve"> </v>
      </c>
      <c r="G1616" s="110">
        <f>COPY!Z1608</f>
        <v>0</v>
      </c>
      <c r="H1616" s="111" t="str">
        <f>IFERROR(VLOOKUP(Table1722[[#This Row],[Bukti]],'Un nOTA'!$A$4:$K$5003,10,FALSE),"")</f>
        <v/>
      </c>
      <c r="I1616" s="112" t="str">
        <f>IFERROR(VLOOKUP(Table1722[[#This Row],[Bukti]],Table13[#Data],11,FALSE),"")</f>
        <v/>
      </c>
    </row>
    <row r="1617" spans="1:9" ht="19.5" hidden="1" customHeight="1" x14ac:dyDescent="0.2">
      <c r="A1617" s="105" t="str">
        <f>IF(D1617=1,COUNTIF($D$10:D1617,1)," ")</f>
        <v xml:space="preserve"> </v>
      </c>
      <c r="B1617" s="106">
        <f>COPY!AR1609</f>
        <v>0</v>
      </c>
      <c r="C1617" s="107">
        <f>COPY!AC1609</f>
        <v>0</v>
      </c>
      <c r="D1617" s="107" t="str">
        <f>IF(LEN(Table1722[[#This Row],[Uraian]])&gt;2,1," ")</f>
        <v xml:space="preserve"> </v>
      </c>
      <c r="E1617" s="113" t="str">
        <f>IF(Table1722[[#This Row],[Lawan Transaksi]]="CV AGUNG KARYA",COUNTIF($I$10:I1617,"CV AGUNG KARYA")," ")</f>
        <v xml:space="preserve"> </v>
      </c>
      <c r="F1617" s="107" t="str">
        <f>IF(LEN(Table1722[[#This Row],[Uraian]])&gt;2,TRIM(RIGHT(SUBSTITUTE(TRIM(C1617)," ",REPT(" ",255)),255))," ")</f>
        <v xml:space="preserve"> </v>
      </c>
      <c r="G1617" s="110">
        <f>COPY!Z1609</f>
        <v>0</v>
      </c>
      <c r="H1617" s="111" t="str">
        <f>IFERROR(VLOOKUP(Table1722[[#This Row],[Bukti]],'Un nOTA'!$A$4:$K$5003,10,FALSE),"")</f>
        <v/>
      </c>
      <c r="I1617" s="112" t="str">
        <f>IFERROR(VLOOKUP(Table1722[[#This Row],[Bukti]],Table13[#Data],11,FALSE),"")</f>
        <v/>
      </c>
    </row>
    <row r="1618" spans="1:9" ht="19.5" hidden="1" customHeight="1" x14ac:dyDescent="0.2">
      <c r="A1618" s="105" t="str">
        <f>IF(D1618=1,COUNTIF($D$10:D1618,1)," ")</f>
        <v xml:space="preserve"> </v>
      </c>
      <c r="B1618" s="106">
        <f>COPY!AR1610</f>
        <v>0</v>
      </c>
      <c r="C1618" s="107">
        <f>COPY!AC1610</f>
        <v>0</v>
      </c>
      <c r="D1618" s="107" t="str">
        <f>IF(LEN(Table1722[[#This Row],[Uraian]])&gt;2,1," ")</f>
        <v xml:space="preserve"> </v>
      </c>
      <c r="E1618" s="113" t="str">
        <f>IF(Table1722[[#This Row],[Lawan Transaksi]]="CV AGUNG KARYA",COUNTIF($I$10:I1618,"CV AGUNG KARYA")," ")</f>
        <v xml:space="preserve"> </v>
      </c>
      <c r="F1618" s="107" t="str">
        <f>IF(LEN(Table1722[[#This Row],[Uraian]])&gt;2,TRIM(RIGHT(SUBSTITUTE(TRIM(C1618)," ",REPT(" ",255)),255))," ")</f>
        <v xml:space="preserve"> </v>
      </c>
      <c r="G1618" s="110">
        <f>COPY!Z1610</f>
        <v>0</v>
      </c>
      <c r="H1618" s="111" t="str">
        <f>IFERROR(VLOOKUP(Table1722[[#This Row],[Bukti]],'Un nOTA'!$A$4:$K$5003,10,FALSE),"")</f>
        <v/>
      </c>
      <c r="I1618" s="112" t="str">
        <f>IFERROR(VLOOKUP(Table1722[[#This Row],[Bukti]],Table13[#Data],11,FALSE),"")</f>
        <v/>
      </c>
    </row>
    <row r="1619" spans="1:9" ht="19.5" hidden="1" customHeight="1" x14ac:dyDescent="0.2">
      <c r="A1619" s="105" t="str">
        <f>IF(D1619=1,COUNTIF($D$10:D1619,1)," ")</f>
        <v xml:space="preserve"> </v>
      </c>
      <c r="B1619" s="106">
        <f>COPY!AR1611</f>
        <v>0</v>
      </c>
      <c r="C1619" s="107">
        <f>COPY!AC1611</f>
        <v>0</v>
      </c>
      <c r="D1619" s="107" t="str">
        <f>IF(LEN(Table1722[[#This Row],[Uraian]])&gt;2,1," ")</f>
        <v xml:space="preserve"> </v>
      </c>
      <c r="E1619" s="113" t="str">
        <f>IF(Table1722[[#This Row],[Lawan Transaksi]]="CV AGUNG KARYA",COUNTIF($I$10:I1619,"CV AGUNG KARYA")," ")</f>
        <v xml:space="preserve"> </v>
      </c>
      <c r="F1619" s="107" t="str">
        <f>IF(LEN(Table1722[[#This Row],[Uraian]])&gt;2,TRIM(RIGHT(SUBSTITUTE(TRIM(C1619)," ",REPT(" ",255)),255))," ")</f>
        <v xml:space="preserve"> </v>
      </c>
      <c r="G1619" s="110">
        <f>COPY!Z1611</f>
        <v>0</v>
      </c>
      <c r="H1619" s="111" t="str">
        <f>IFERROR(VLOOKUP(Table1722[[#This Row],[Bukti]],'Un nOTA'!$A$4:$K$5003,10,FALSE),"")</f>
        <v/>
      </c>
      <c r="I1619" s="112" t="str">
        <f>IFERROR(VLOOKUP(Table1722[[#This Row],[Bukti]],Table13[#Data],11,FALSE),"")</f>
        <v/>
      </c>
    </row>
    <row r="1620" spans="1:9" ht="19.5" hidden="1" customHeight="1" x14ac:dyDescent="0.2">
      <c r="A1620" s="105" t="str">
        <f>IF(D1620=1,COUNTIF($D$10:D1620,1)," ")</f>
        <v xml:space="preserve"> </v>
      </c>
      <c r="B1620" s="106">
        <f>COPY!AR1612</f>
        <v>0</v>
      </c>
      <c r="C1620" s="107">
        <f>COPY!AC1612</f>
        <v>0</v>
      </c>
      <c r="D1620" s="107" t="str">
        <f>IF(LEN(Table1722[[#This Row],[Uraian]])&gt;2,1," ")</f>
        <v xml:space="preserve"> </v>
      </c>
      <c r="E1620" s="113" t="str">
        <f>IF(Table1722[[#This Row],[Lawan Transaksi]]="CV AGUNG KARYA",COUNTIF($I$10:I1620,"CV AGUNG KARYA")," ")</f>
        <v xml:space="preserve"> </v>
      </c>
      <c r="F1620" s="107" t="str">
        <f>IF(LEN(Table1722[[#This Row],[Uraian]])&gt;2,TRIM(RIGHT(SUBSTITUTE(TRIM(C1620)," ",REPT(" ",255)),255))," ")</f>
        <v xml:space="preserve"> </v>
      </c>
      <c r="G1620" s="110">
        <f>COPY!Z1612</f>
        <v>0</v>
      </c>
      <c r="H1620" s="111" t="str">
        <f>IFERROR(VLOOKUP(Table1722[[#This Row],[Bukti]],'Un nOTA'!$A$4:$K$5003,10,FALSE),"")</f>
        <v/>
      </c>
      <c r="I1620" s="112" t="str">
        <f>IFERROR(VLOOKUP(Table1722[[#This Row],[Bukti]],Table13[#Data],11,FALSE),"")</f>
        <v/>
      </c>
    </row>
    <row r="1621" spans="1:9" ht="19.5" hidden="1" customHeight="1" x14ac:dyDescent="0.2">
      <c r="A1621" s="105" t="str">
        <f>IF(D1621=1,COUNTIF($D$10:D1621,1)," ")</f>
        <v xml:space="preserve"> </v>
      </c>
      <c r="B1621" s="106">
        <f>COPY!AR1613</f>
        <v>0</v>
      </c>
      <c r="C1621" s="107">
        <f>COPY!AC1613</f>
        <v>0</v>
      </c>
      <c r="D1621" s="107" t="str">
        <f>IF(LEN(Table1722[[#This Row],[Uraian]])&gt;2,1," ")</f>
        <v xml:space="preserve"> </v>
      </c>
      <c r="E1621" s="113" t="str">
        <f>IF(Table1722[[#This Row],[Lawan Transaksi]]="CV AGUNG KARYA",COUNTIF($I$10:I1621,"CV AGUNG KARYA")," ")</f>
        <v xml:space="preserve"> </v>
      </c>
      <c r="F1621" s="107" t="str">
        <f>IF(LEN(Table1722[[#This Row],[Uraian]])&gt;2,TRIM(RIGHT(SUBSTITUTE(TRIM(C1621)," ",REPT(" ",255)),255))," ")</f>
        <v xml:space="preserve"> </v>
      </c>
      <c r="G1621" s="110">
        <f>COPY!Z1613</f>
        <v>0</v>
      </c>
      <c r="H1621" s="111" t="str">
        <f>IFERROR(VLOOKUP(Table1722[[#This Row],[Bukti]],'Un nOTA'!$A$4:$K$5003,10,FALSE),"")</f>
        <v/>
      </c>
      <c r="I1621" s="112" t="str">
        <f>IFERROR(VLOOKUP(Table1722[[#This Row],[Bukti]],Table13[#Data],11,FALSE),"")</f>
        <v/>
      </c>
    </row>
    <row r="1622" spans="1:9" ht="19.5" hidden="1" customHeight="1" x14ac:dyDescent="0.2">
      <c r="A1622" s="105" t="str">
        <f>IF(D1622=1,COUNTIF($D$10:D1622,1)," ")</f>
        <v xml:space="preserve"> </v>
      </c>
      <c r="B1622" s="106">
        <f>COPY!AR1614</f>
        <v>0</v>
      </c>
      <c r="C1622" s="107">
        <f>COPY!AC1614</f>
        <v>0</v>
      </c>
      <c r="D1622" s="107" t="str">
        <f>IF(LEN(Table1722[[#This Row],[Uraian]])&gt;2,1," ")</f>
        <v xml:space="preserve"> </v>
      </c>
      <c r="E1622" s="113" t="str">
        <f>IF(Table1722[[#This Row],[Lawan Transaksi]]="CV AGUNG KARYA",COUNTIF($I$10:I1622,"CV AGUNG KARYA")," ")</f>
        <v xml:space="preserve"> </v>
      </c>
      <c r="F1622" s="107" t="str">
        <f>IF(LEN(Table1722[[#This Row],[Uraian]])&gt;2,TRIM(RIGHT(SUBSTITUTE(TRIM(C1622)," ",REPT(" ",255)),255))," ")</f>
        <v xml:space="preserve"> </v>
      </c>
      <c r="G1622" s="110">
        <f>COPY!Z1614</f>
        <v>0</v>
      </c>
      <c r="H1622" s="111" t="str">
        <f>IFERROR(VLOOKUP(Table1722[[#This Row],[Bukti]],'Un nOTA'!$A$4:$K$5003,10,FALSE),"")</f>
        <v/>
      </c>
      <c r="I1622" s="112" t="str">
        <f>IFERROR(VLOOKUP(Table1722[[#This Row],[Bukti]],Table13[#Data],11,FALSE),"")</f>
        <v/>
      </c>
    </row>
    <row r="1623" spans="1:9" ht="19.5" hidden="1" customHeight="1" x14ac:dyDescent="0.2">
      <c r="A1623" s="105" t="str">
        <f>IF(D1623=1,COUNTIF($D$10:D1623,1)," ")</f>
        <v xml:space="preserve"> </v>
      </c>
      <c r="B1623" s="106">
        <f>COPY!AR1615</f>
        <v>0</v>
      </c>
      <c r="C1623" s="107">
        <f>COPY!AC1615</f>
        <v>0</v>
      </c>
      <c r="D1623" s="107" t="str">
        <f>IF(LEN(Table1722[[#This Row],[Uraian]])&gt;2,1," ")</f>
        <v xml:space="preserve"> </v>
      </c>
      <c r="E1623" s="113" t="str">
        <f>IF(Table1722[[#This Row],[Lawan Transaksi]]="CV AGUNG KARYA",COUNTIF($I$10:I1623,"CV AGUNG KARYA")," ")</f>
        <v xml:space="preserve"> </v>
      </c>
      <c r="F1623" s="107" t="str">
        <f>IF(LEN(Table1722[[#This Row],[Uraian]])&gt;2,TRIM(RIGHT(SUBSTITUTE(TRIM(C1623)," ",REPT(" ",255)),255))," ")</f>
        <v xml:space="preserve"> </v>
      </c>
      <c r="G1623" s="110">
        <f>COPY!Z1615</f>
        <v>0</v>
      </c>
      <c r="H1623" s="111" t="str">
        <f>IFERROR(VLOOKUP(Table1722[[#This Row],[Bukti]],'Un nOTA'!$A$4:$K$5003,10,FALSE),"")</f>
        <v/>
      </c>
      <c r="I1623" s="112" t="str">
        <f>IFERROR(VLOOKUP(Table1722[[#This Row],[Bukti]],Table13[#Data],11,FALSE),"")</f>
        <v/>
      </c>
    </row>
    <row r="1624" spans="1:9" ht="19.5" hidden="1" customHeight="1" x14ac:dyDescent="0.2">
      <c r="A1624" s="105" t="str">
        <f>IF(D1624=1,COUNTIF($D$10:D1624,1)," ")</f>
        <v xml:space="preserve"> </v>
      </c>
      <c r="B1624" s="106">
        <f>COPY!AR1616</f>
        <v>0</v>
      </c>
      <c r="C1624" s="107">
        <f>COPY!AC1616</f>
        <v>0</v>
      </c>
      <c r="D1624" s="107" t="str">
        <f>IF(LEN(Table1722[[#This Row],[Uraian]])&gt;2,1," ")</f>
        <v xml:space="preserve"> </v>
      </c>
      <c r="E1624" s="113" t="str">
        <f>IF(Table1722[[#This Row],[Lawan Transaksi]]="CV AGUNG KARYA",COUNTIF($I$10:I1624,"CV AGUNG KARYA")," ")</f>
        <v xml:space="preserve"> </v>
      </c>
      <c r="F1624" s="107" t="str">
        <f>IF(LEN(Table1722[[#This Row],[Uraian]])&gt;2,TRIM(RIGHT(SUBSTITUTE(TRIM(C1624)," ",REPT(" ",255)),255))," ")</f>
        <v xml:space="preserve"> </v>
      </c>
      <c r="G1624" s="110">
        <f>COPY!Z1616</f>
        <v>0</v>
      </c>
      <c r="H1624" s="111" t="str">
        <f>IFERROR(VLOOKUP(Table1722[[#This Row],[Bukti]],'Un nOTA'!$A$4:$K$5003,10,FALSE),"")</f>
        <v/>
      </c>
      <c r="I1624" s="112" t="str">
        <f>IFERROR(VLOOKUP(Table1722[[#This Row],[Bukti]],Table13[#Data],11,FALSE),"")</f>
        <v/>
      </c>
    </row>
    <row r="1625" spans="1:9" ht="19.5" hidden="1" customHeight="1" x14ac:dyDescent="0.2">
      <c r="A1625" s="105" t="str">
        <f>IF(D1625=1,COUNTIF($D$10:D1625,1)," ")</f>
        <v xml:space="preserve"> </v>
      </c>
      <c r="B1625" s="106">
        <f>COPY!AR1617</f>
        <v>0</v>
      </c>
      <c r="C1625" s="107">
        <f>COPY!AC1617</f>
        <v>0</v>
      </c>
      <c r="D1625" s="107" t="str">
        <f>IF(LEN(Table1722[[#This Row],[Uraian]])&gt;2,1," ")</f>
        <v xml:space="preserve"> </v>
      </c>
      <c r="E1625" s="113" t="str">
        <f>IF(Table1722[[#This Row],[Lawan Transaksi]]="CV AGUNG KARYA",COUNTIF($I$10:I1625,"CV AGUNG KARYA")," ")</f>
        <v xml:space="preserve"> </v>
      </c>
      <c r="F1625" s="107" t="str">
        <f>IF(LEN(Table1722[[#This Row],[Uraian]])&gt;2,TRIM(RIGHT(SUBSTITUTE(TRIM(C1625)," ",REPT(" ",255)),255))," ")</f>
        <v xml:space="preserve"> </v>
      </c>
      <c r="G1625" s="110">
        <f>COPY!Z1617</f>
        <v>0</v>
      </c>
      <c r="H1625" s="111" t="str">
        <f>IFERROR(VLOOKUP(Table1722[[#This Row],[Bukti]],'Un nOTA'!$A$4:$K$5003,10,FALSE),"")</f>
        <v/>
      </c>
      <c r="I1625" s="112" t="str">
        <f>IFERROR(VLOOKUP(Table1722[[#This Row],[Bukti]],Table13[#Data],11,FALSE),"")</f>
        <v/>
      </c>
    </row>
    <row r="1626" spans="1:9" ht="19.5" hidden="1" customHeight="1" x14ac:dyDescent="0.2">
      <c r="A1626" s="105" t="str">
        <f>IF(D1626=1,COUNTIF($D$10:D1626,1)," ")</f>
        <v xml:space="preserve"> </v>
      </c>
      <c r="B1626" s="106">
        <f>COPY!AR1618</f>
        <v>0</v>
      </c>
      <c r="C1626" s="107">
        <f>COPY!AC1618</f>
        <v>0</v>
      </c>
      <c r="D1626" s="107" t="str">
        <f>IF(LEN(Table1722[[#This Row],[Uraian]])&gt;2,1," ")</f>
        <v xml:space="preserve"> </v>
      </c>
      <c r="E1626" s="113" t="str">
        <f>IF(Table1722[[#This Row],[Lawan Transaksi]]="CV AGUNG KARYA",COUNTIF($I$10:I1626,"CV AGUNG KARYA")," ")</f>
        <v xml:space="preserve"> </v>
      </c>
      <c r="F1626" s="107" t="str">
        <f>IF(LEN(Table1722[[#This Row],[Uraian]])&gt;2,TRIM(RIGHT(SUBSTITUTE(TRIM(C1626)," ",REPT(" ",255)),255))," ")</f>
        <v xml:space="preserve"> </v>
      </c>
      <c r="G1626" s="110">
        <f>COPY!Z1618</f>
        <v>0</v>
      </c>
      <c r="H1626" s="111" t="str">
        <f>IFERROR(VLOOKUP(Table1722[[#This Row],[Bukti]],'Un nOTA'!$A$4:$K$5003,10,FALSE),"")</f>
        <v/>
      </c>
      <c r="I1626" s="112" t="str">
        <f>IFERROR(VLOOKUP(Table1722[[#This Row],[Bukti]],Table13[#Data],11,FALSE),"")</f>
        <v/>
      </c>
    </row>
    <row r="1627" spans="1:9" ht="19.5" hidden="1" customHeight="1" x14ac:dyDescent="0.2">
      <c r="A1627" s="105" t="str">
        <f>IF(D1627=1,COUNTIF($D$10:D1627,1)," ")</f>
        <v xml:space="preserve"> </v>
      </c>
      <c r="B1627" s="106">
        <f>COPY!AR1619</f>
        <v>0</v>
      </c>
      <c r="C1627" s="107">
        <f>COPY!AC1619</f>
        <v>0</v>
      </c>
      <c r="D1627" s="107" t="str">
        <f>IF(LEN(Table1722[[#This Row],[Uraian]])&gt;2,1," ")</f>
        <v xml:space="preserve"> </v>
      </c>
      <c r="E1627" s="113" t="str">
        <f>IF(Table1722[[#This Row],[Lawan Transaksi]]="CV AGUNG KARYA",COUNTIF($I$10:I1627,"CV AGUNG KARYA")," ")</f>
        <v xml:space="preserve"> </v>
      </c>
      <c r="F1627" s="107" t="str">
        <f>IF(LEN(Table1722[[#This Row],[Uraian]])&gt;2,TRIM(RIGHT(SUBSTITUTE(TRIM(C1627)," ",REPT(" ",255)),255))," ")</f>
        <v xml:space="preserve"> </v>
      </c>
      <c r="G1627" s="110">
        <f>COPY!Z1619</f>
        <v>0</v>
      </c>
      <c r="H1627" s="111" t="str">
        <f>IFERROR(VLOOKUP(Table1722[[#This Row],[Bukti]],'Un nOTA'!$A$4:$K$5003,10,FALSE),"")</f>
        <v/>
      </c>
      <c r="I1627" s="112" t="str">
        <f>IFERROR(VLOOKUP(Table1722[[#This Row],[Bukti]],Table13[#Data],11,FALSE),"")</f>
        <v/>
      </c>
    </row>
    <row r="1628" spans="1:9" ht="19.5" hidden="1" customHeight="1" x14ac:dyDescent="0.2">
      <c r="A1628" s="105" t="str">
        <f>IF(D1628=1,COUNTIF($D$10:D1628,1)," ")</f>
        <v xml:space="preserve"> </v>
      </c>
      <c r="B1628" s="106">
        <f>COPY!AR1620</f>
        <v>0</v>
      </c>
      <c r="C1628" s="107">
        <f>COPY!AC1620</f>
        <v>0</v>
      </c>
      <c r="D1628" s="107" t="str">
        <f>IF(LEN(Table1722[[#This Row],[Uraian]])&gt;2,1," ")</f>
        <v xml:space="preserve"> </v>
      </c>
      <c r="E1628" s="113" t="str">
        <f>IF(Table1722[[#This Row],[Lawan Transaksi]]="CV AGUNG KARYA",COUNTIF($I$10:I1628,"CV AGUNG KARYA")," ")</f>
        <v xml:space="preserve"> </v>
      </c>
      <c r="F1628" s="107" t="str">
        <f>IF(LEN(Table1722[[#This Row],[Uraian]])&gt;2,TRIM(RIGHT(SUBSTITUTE(TRIM(C1628)," ",REPT(" ",255)),255))," ")</f>
        <v xml:space="preserve"> </v>
      </c>
      <c r="G1628" s="110">
        <f>COPY!Z1620</f>
        <v>0</v>
      </c>
      <c r="H1628" s="111" t="str">
        <f>IFERROR(VLOOKUP(Table1722[[#This Row],[Bukti]],'Un nOTA'!$A$4:$K$5003,10,FALSE),"")</f>
        <v/>
      </c>
      <c r="I1628" s="112" t="str">
        <f>IFERROR(VLOOKUP(Table1722[[#This Row],[Bukti]],Table13[#Data],11,FALSE),"")</f>
        <v/>
      </c>
    </row>
    <row r="1629" spans="1:9" ht="19.5" hidden="1" customHeight="1" x14ac:dyDescent="0.2">
      <c r="A1629" s="105" t="str">
        <f>IF(D1629=1,COUNTIF($D$10:D1629,1)," ")</f>
        <v xml:space="preserve"> </v>
      </c>
      <c r="B1629" s="106">
        <f>COPY!AR1621</f>
        <v>0</v>
      </c>
      <c r="C1629" s="107">
        <f>COPY!AC1621</f>
        <v>0</v>
      </c>
      <c r="D1629" s="107" t="str">
        <f>IF(LEN(Table1722[[#This Row],[Uraian]])&gt;2,1," ")</f>
        <v xml:space="preserve"> </v>
      </c>
      <c r="E1629" s="113" t="str">
        <f>IF(Table1722[[#This Row],[Lawan Transaksi]]="CV AGUNG KARYA",COUNTIF($I$10:I1629,"CV AGUNG KARYA")," ")</f>
        <v xml:space="preserve"> </v>
      </c>
      <c r="F1629" s="107" t="str">
        <f>IF(LEN(Table1722[[#This Row],[Uraian]])&gt;2,TRIM(RIGHT(SUBSTITUTE(TRIM(C1629)," ",REPT(" ",255)),255))," ")</f>
        <v xml:space="preserve"> </v>
      </c>
      <c r="G1629" s="110">
        <f>COPY!Z1621</f>
        <v>0</v>
      </c>
      <c r="H1629" s="111" t="str">
        <f>IFERROR(VLOOKUP(Table1722[[#This Row],[Bukti]],'Un nOTA'!$A$4:$K$5003,10,FALSE),"")</f>
        <v/>
      </c>
      <c r="I1629" s="112" t="str">
        <f>IFERROR(VLOOKUP(Table1722[[#This Row],[Bukti]],Table13[#Data],11,FALSE),"")</f>
        <v/>
      </c>
    </row>
    <row r="1630" spans="1:9" ht="19.5" hidden="1" customHeight="1" x14ac:dyDescent="0.2">
      <c r="A1630" s="105" t="str">
        <f>IF(D1630=1,COUNTIF($D$10:D1630,1)," ")</f>
        <v xml:space="preserve"> </v>
      </c>
      <c r="B1630" s="106">
        <f>COPY!AR1622</f>
        <v>0</v>
      </c>
      <c r="C1630" s="107">
        <f>COPY!AC1622</f>
        <v>0</v>
      </c>
      <c r="D1630" s="107" t="str">
        <f>IF(LEN(Table1722[[#This Row],[Uraian]])&gt;2,1," ")</f>
        <v xml:space="preserve"> </v>
      </c>
      <c r="E1630" s="113" t="str">
        <f>IF(Table1722[[#This Row],[Lawan Transaksi]]="CV AGUNG KARYA",COUNTIF($I$10:I1630,"CV AGUNG KARYA")," ")</f>
        <v xml:space="preserve"> </v>
      </c>
      <c r="F1630" s="107" t="str">
        <f>IF(LEN(Table1722[[#This Row],[Uraian]])&gt;2,TRIM(RIGHT(SUBSTITUTE(TRIM(C1630)," ",REPT(" ",255)),255))," ")</f>
        <v xml:space="preserve"> </v>
      </c>
      <c r="G1630" s="110">
        <f>COPY!Z1622</f>
        <v>0</v>
      </c>
      <c r="H1630" s="111" t="str">
        <f>IFERROR(VLOOKUP(Table1722[[#This Row],[Bukti]],'Un nOTA'!$A$4:$K$5003,10,FALSE),"")</f>
        <v/>
      </c>
      <c r="I1630" s="112" t="str">
        <f>IFERROR(VLOOKUP(Table1722[[#This Row],[Bukti]],Table13[#Data],11,FALSE),"")</f>
        <v/>
      </c>
    </row>
    <row r="1631" spans="1:9" ht="19.5" hidden="1" customHeight="1" x14ac:dyDescent="0.2">
      <c r="A1631" s="105" t="str">
        <f>IF(D1631=1,COUNTIF($D$10:D1631,1)," ")</f>
        <v xml:space="preserve"> </v>
      </c>
      <c r="B1631" s="106">
        <f>COPY!AR1623</f>
        <v>0</v>
      </c>
      <c r="C1631" s="107">
        <f>COPY!AC1623</f>
        <v>0</v>
      </c>
      <c r="D1631" s="107" t="str">
        <f>IF(LEN(Table1722[[#This Row],[Uraian]])&gt;2,1," ")</f>
        <v xml:space="preserve"> </v>
      </c>
      <c r="E1631" s="113" t="str">
        <f>IF(Table1722[[#This Row],[Lawan Transaksi]]="CV AGUNG KARYA",COUNTIF($I$10:I1631,"CV AGUNG KARYA")," ")</f>
        <v xml:space="preserve"> </v>
      </c>
      <c r="F1631" s="107" t="str">
        <f>IF(LEN(Table1722[[#This Row],[Uraian]])&gt;2,TRIM(RIGHT(SUBSTITUTE(TRIM(C1631)," ",REPT(" ",255)),255))," ")</f>
        <v xml:space="preserve"> </v>
      </c>
      <c r="G1631" s="110">
        <f>COPY!Z1623</f>
        <v>0</v>
      </c>
      <c r="H1631" s="111" t="str">
        <f>IFERROR(VLOOKUP(Table1722[[#This Row],[Bukti]],'Un nOTA'!$A$4:$K$5003,10,FALSE),"")</f>
        <v/>
      </c>
      <c r="I1631" s="112" t="str">
        <f>IFERROR(VLOOKUP(Table1722[[#This Row],[Bukti]],Table13[#Data],11,FALSE),"")</f>
        <v/>
      </c>
    </row>
    <row r="1632" spans="1:9" ht="19.5" hidden="1" customHeight="1" x14ac:dyDescent="0.2">
      <c r="A1632" s="105" t="str">
        <f>IF(D1632=1,COUNTIF($D$10:D1632,1)," ")</f>
        <v xml:space="preserve"> </v>
      </c>
      <c r="B1632" s="106">
        <f>COPY!AR1624</f>
        <v>0</v>
      </c>
      <c r="C1632" s="107">
        <f>COPY!AC1624</f>
        <v>0</v>
      </c>
      <c r="D1632" s="107" t="str">
        <f>IF(LEN(Table1722[[#This Row],[Uraian]])&gt;2,1," ")</f>
        <v xml:space="preserve"> </v>
      </c>
      <c r="E1632" s="113" t="str">
        <f>IF(Table1722[[#This Row],[Lawan Transaksi]]="CV AGUNG KARYA",COUNTIF($I$10:I1632,"CV AGUNG KARYA")," ")</f>
        <v xml:space="preserve"> </v>
      </c>
      <c r="F1632" s="107" t="str">
        <f>IF(LEN(Table1722[[#This Row],[Uraian]])&gt;2,TRIM(RIGHT(SUBSTITUTE(TRIM(C1632)," ",REPT(" ",255)),255))," ")</f>
        <v xml:space="preserve"> </v>
      </c>
      <c r="G1632" s="110">
        <f>COPY!Z1624</f>
        <v>0</v>
      </c>
      <c r="H1632" s="111" t="str">
        <f>IFERROR(VLOOKUP(Table1722[[#This Row],[Bukti]],'Un nOTA'!$A$4:$K$5003,10,FALSE),"")</f>
        <v/>
      </c>
      <c r="I1632" s="112" t="str">
        <f>IFERROR(VLOOKUP(Table1722[[#This Row],[Bukti]],Table13[#Data],11,FALSE),"")</f>
        <v/>
      </c>
    </row>
    <row r="1633" spans="1:9" ht="19.5" hidden="1" customHeight="1" x14ac:dyDescent="0.2">
      <c r="A1633" s="105" t="str">
        <f>IF(D1633=1,COUNTIF($D$10:D1633,1)," ")</f>
        <v xml:space="preserve"> </v>
      </c>
      <c r="B1633" s="106">
        <f>COPY!AR1625</f>
        <v>0</v>
      </c>
      <c r="C1633" s="107">
        <f>COPY!AC1625</f>
        <v>0</v>
      </c>
      <c r="D1633" s="107" t="str">
        <f>IF(LEN(Table1722[[#This Row],[Uraian]])&gt;2,1," ")</f>
        <v xml:space="preserve"> </v>
      </c>
      <c r="E1633" s="113" t="str">
        <f>IF(Table1722[[#This Row],[Lawan Transaksi]]="CV AGUNG KARYA",COUNTIF($I$10:I1633,"CV AGUNG KARYA")," ")</f>
        <v xml:space="preserve"> </v>
      </c>
      <c r="F1633" s="107" t="str">
        <f>IF(LEN(Table1722[[#This Row],[Uraian]])&gt;2,TRIM(RIGHT(SUBSTITUTE(TRIM(C1633)," ",REPT(" ",255)),255))," ")</f>
        <v xml:space="preserve"> </v>
      </c>
      <c r="G1633" s="110">
        <f>COPY!Z1625</f>
        <v>0</v>
      </c>
      <c r="H1633" s="111" t="str">
        <f>IFERROR(VLOOKUP(Table1722[[#This Row],[Bukti]],'Un nOTA'!$A$4:$K$5003,10,FALSE),"")</f>
        <v/>
      </c>
      <c r="I1633" s="112" t="str">
        <f>IFERROR(VLOOKUP(Table1722[[#This Row],[Bukti]],Table13[#Data],11,FALSE),"")</f>
        <v/>
      </c>
    </row>
    <row r="1634" spans="1:9" ht="19.5" hidden="1" customHeight="1" x14ac:dyDescent="0.2">
      <c r="A1634" s="105" t="str">
        <f>IF(D1634=1,COUNTIF($D$10:D1634,1)," ")</f>
        <v xml:space="preserve"> </v>
      </c>
      <c r="B1634" s="106">
        <f>COPY!AR1626</f>
        <v>0</v>
      </c>
      <c r="C1634" s="107">
        <f>COPY!AC1626</f>
        <v>0</v>
      </c>
      <c r="D1634" s="107" t="str">
        <f>IF(LEN(Table1722[[#This Row],[Uraian]])&gt;2,1," ")</f>
        <v xml:space="preserve"> </v>
      </c>
      <c r="E1634" s="113" t="str">
        <f>IF(Table1722[[#This Row],[Lawan Transaksi]]="CV AGUNG KARYA",COUNTIF($I$10:I1634,"CV AGUNG KARYA")," ")</f>
        <v xml:space="preserve"> </v>
      </c>
      <c r="F1634" s="107" t="str">
        <f>IF(LEN(Table1722[[#This Row],[Uraian]])&gt;2,TRIM(RIGHT(SUBSTITUTE(TRIM(C1634)," ",REPT(" ",255)),255))," ")</f>
        <v xml:space="preserve"> </v>
      </c>
      <c r="G1634" s="110">
        <f>COPY!Z1626</f>
        <v>0</v>
      </c>
      <c r="H1634" s="111" t="str">
        <f>IFERROR(VLOOKUP(Table1722[[#This Row],[Bukti]],'Un nOTA'!$A$4:$K$5003,10,FALSE),"")</f>
        <v/>
      </c>
      <c r="I1634" s="112" t="str">
        <f>IFERROR(VLOOKUP(Table1722[[#This Row],[Bukti]],Table13[#Data],11,FALSE),"")</f>
        <v/>
      </c>
    </row>
    <row r="1635" spans="1:9" ht="19.5" hidden="1" customHeight="1" x14ac:dyDescent="0.2">
      <c r="A1635" s="105" t="str">
        <f>IF(D1635=1,COUNTIF($D$10:D1635,1)," ")</f>
        <v xml:space="preserve"> </v>
      </c>
      <c r="B1635" s="106">
        <f>COPY!AR1627</f>
        <v>0</v>
      </c>
      <c r="C1635" s="107">
        <f>COPY!AC1627</f>
        <v>0</v>
      </c>
      <c r="D1635" s="107" t="str">
        <f>IF(LEN(Table1722[[#This Row],[Uraian]])&gt;2,1," ")</f>
        <v xml:space="preserve"> </v>
      </c>
      <c r="E1635" s="113" t="str">
        <f>IF(Table1722[[#This Row],[Lawan Transaksi]]="CV AGUNG KARYA",COUNTIF($I$10:I1635,"CV AGUNG KARYA")," ")</f>
        <v xml:space="preserve"> </v>
      </c>
      <c r="F1635" s="107" t="str">
        <f>IF(LEN(Table1722[[#This Row],[Uraian]])&gt;2,TRIM(RIGHT(SUBSTITUTE(TRIM(C1635)," ",REPT(" ",255)),255))," ")</f>
        <v xml:space="preserve"> </v>
      </c>
      <c r="G1635" s="110">
        <f>COPY!Z1627</f>
        <v>0</v>
      </c>
      <c r="H1635" s="111" t="str">
        <f>IFERROR(VLOOKUP(Table1722[[#This Row],[Bukti]],'Un nOTA'!$A$4:$K$5003,10,FALSE),"")</f>
        <v/>
      </c>
      <c r="I1635" s="112" t="str">
        <f>IFERROR(VLOOKUP(Table1722[[#This Row],[Bukti]],Table13[#Data],11,FALSE),"")</f>
        <v/>
      </c>
    </row>
    <row r="1636" spans="1:9" ht="19.5" hidden="1" customHeight="1" x14ac:dyDescent="0.2">
      <c r="A1636" s="105" t="str">
        <f>IF(D1636=1,COUNTIF($D$10:D1636,1)," ")</f>
        <v xml:space="preserve"> </v>
      </c>
      <c r="B1636" s="106">
        <f>COPY!AR1628</f>
        <v>0</v>
      </c>
      <c r="C1636" s="107">
        <f>COPY!AC1628</f>
        <v>0</v>
      </c>
      <c r="D1636" s="107" t="str">
        <f>IF(LEN(Table1722[[#This Row],[Uraian]])&gt;2,1," ")</f>
        <v xml:space="preserve"> </v>
      </c>
      <c r="E1636" s="113" t="str">
        <f>IF(Table1722[[#This Row],[Lawan Transaksi]]="CV AGUNG KARYA",COUNTIF($I$10:I1636,"CV AGUNG KARYA")," ")</f>
        <v xml:space="preserve"> </v>
      </c>
      <c r="F1636" s="107" t="str">
        <f>IF(LEN(Table1722[[#This Row],[Uraian]])&gt;2,TRIM(RIGHT(SUBSTITUTE(TRIM(C1636)," ",REPT(" ",255)),255))," ")</f>
        <v xml:space="preserve"> </v>
      </c>
      <c r="G1636" s="110">
        <f>COPY!Z1628</f>
        <v>0</v>
      </c>
      <c r="H1636" s="111" t="str">
        <f>IFERROR(VLOOKUP(Table1722[[#This Row],[Bukti]],'Un nOTA'!$A$4:$K$5003,10,FALSE),"")</f>
        <v/>
      </c>
      <c r="I1636" s="112" t="str">
        <f>IFERROR(VLOOKUP(Table1722[[#This Row],[Bukti]],Table13[#Data],11,FALSE),"")</f>
        <v/>
      </c>
    </row>
    <row r="1637" spans="1:9" ht="19.5" hidden="1" customHeight="1" x14ac:dyDescent="0.2">
      <c r="A1637" s="105" t="str">
        <f>IF(D1637=1,COUNTIF($D$10:D1637,1)," ")</f>
        <v xml:space="preserve"> </v>
      </c>
      <c r="B1637" s="106">
        <f>COPY!AR1629</f>
        <v>0</v>
      </c>
      <c r="C1637" s="107">
        <f>COPY!AC1629</f>
        <v>0</v>
      </c>
      <c r="D1637" s="107" t="str">
        <f>IF(LEN(Table1722[[#This Row],[Uraian]])&gt;2,1," ")</f>
        <v xml:space="preserve"> </v>
      </c>
      <c r="E1637" s="113" t="str">
        <f>IF(Table1722[[#This Row],[Lawan Transaksi]]="CV AGUNG KARYA",COUNTIF($I$10:I1637,"CV AGUNG KARYA")," ")</f>
        <v xml:space="preserve"> </v>
      </c>
      <c r="F1637" s="107" t="str">
        <f>IF(LEN(Table1722[[#This Row],[Uraian]])&gt;2,TRIM(RIGHT(SUBSTITUTE(TRIM(C1637)," ",REPT(" ",255)),255))," ")</f>
        <v xml:space="preserve"> </v>
      </c>
      <c r="G1637" s="110">
        <f>COPY!Z1629</f>
        <v>0</v>
      </c>
      <c r="H1637" s="111" t="str">
        <f>IFERROR(VLOOKUP(Table1722[[#This Row],[Bukti]],'Un nOTA'!$A$4:$K$5003,10,FALSE),"")</f>
        <v/>
      </c>
      <c r="I1637" s="112" t="str">
        <f>IFERROR(VLOOKUP(Table1722[[#This Row],[Bukti]],Table13[#Data],11,FALSE),"")</f>
        <v/>
      </c>
    </row>
    <row r="1638" spans="1:9" ht="19.5" hidden="1" customHeight="1" x14ac:dyDescent="0.2">
      <c r="A1638" s="105" t="str">
        <f>IF(D1638=1,COUNTIF($D$10:D1638,1)," ")</f>
        <v xml:space="preserve"> </v>
      </c>
      <c r="B1638" s="106">
        <f>COPY!AR1630</f>
        <v>0</v>
      </c>
      <c r="C1638" s="107">
        <f>COPY!AC1630</f>
        <v>0</v>
      </c>
      <c r="D1638" s="107" t="str">
        <f>IF(LEN(Table1722[[#This Row],[Uraian]])&gt;2,1," ")</f>
        <v xml:space="preserve"> </v>
      </c>
      <c r="E1638" s="113" t="str">
        <f>IF(Table1722[[#This Row],[Lawan Transaksi]]="CV AGUNG KARYA",COUNTIF($I$10:I1638,"CV AGUNG KARYA")," ")</f>
        <v xml:space="preserve"> </v>
      </c>
      <c r="F1638" s="107" t="str">
        <f>IF(LEN(Table1722[[#This Row],[Uraian]])&gt;2,TRIM(RIGHT(SUBSTITUTE(TRIM(C1638)," ",REPT(" ",255)),255))," ")</f>
        <v xml:space="preserve"> </v>
      </c>
      <c r="G1638" s="110">
        <f>COPY!Z1630</f>
        <v>0</v>
      </c>
      <c r="H1638" s="111" t="str">
        <f>IFERROR(VLOOKUP(Table1722[[#This Row],[Bukti]],'Un nOTA'!$A$4:$K$5003,10,FALSE),"")</f>
        <v/>
      </c>
      <c r="I1638" s="112" t="str">
        <f>IFERROR(VLOOKUP(Table1722[[#This Row],[Bukti]],Table13[#Data],11,FALSE),"")</f>
        <v/>
      </c>
    </row>
    <row r="1639" spans="1:9" ht="19.5" hidden="1" customHeight="1" x14ac:dyDescent="0.2">
      <c r="A1639" s="105" t="str">
        <f>IF(D1639=1,COUNTIF($D$10:D1639,1)," ")</f>
        <v xml:space="preserve"> </v>
      </c>
      <c r="B1639" s="106">
        <f>COPY!AR1631</f>
        <v>0</v>
      </c>
      <c r="C1639" s="107">
        <f>COPY!AC1631</f>
        <v>0</v>
      </c>
      <c r="D1639" s="107" t="str">
        <f>IF(LEN(Table1722[[#This Row],[Uraian]])&gt;2,1," ")</f>
        <v xml:space="preserve"> </v>
      </c>
      <c r="E1639" s="113" t="str">
        <f>IF(Table1722[[#This Row],[Lawan Transaksi]]="CV AGUNG KARYA",COUNTIF($I$10:I1639,"CV AGUNG KARYA")," ")</f>
        <v xml:space="preserve"> </v>
      </c>
      <c r="F1639" s="107" t="str">
        <f>IF(LEN(Table1722[[#This Row],[Uraian]])&gt;2,TRIM(RIGHT(SUBSTITUTE(TRIM(C1639)," ",REPT(" ",255)),255))," ")</f>
        <v xml:space="preserve"> </v>
      </c>
      <c r="G1639" s="110">
        <f>COPY!Z1631</f>
        <v>0</v>
      </c>
      <c r="H1639" s="111" t="str">
        <f>IFERROR(VLOOKUP(Table1722[[#This Row],[Bukti]],'Un nOTA'!$A$4:$K$5003,10,FALSE),"")</f>
        <v/>
      </c>
      <c r="I1639" s="112" t="str">
        <f>IFERROR(VLOOKUP(Table1722[[#This Row],[Bukti]],Table13[#Data],11,FALSE),"")</f>
        <v/>
      </c>
    </row>
    <row r="1640" spans="1:9" ht="19.5" hidden="1" customHeight="1" x14ac:dyDescent="0.2">
      <c r="A1640" s="105" t="str">
        <f>IF(D1640=1,COUNTIF($D$10:D1640,1)," ")</f>
        <v xml:space="preserve"> </v>
      </c>
      <c r="B1640" s="106">
        <f>COPY!AR1632</f>
        <v>0</v>
      </c>
      <c r="C1640" s="107">
        <f>COPY!AC1632</f>
        <v>0</v>
      </c>
      <c r="D1640" s="107" t="str">
        <f>IF(LEN(Table1722[[#This Row],[Uraian]])&gt;2,1," ")</f>
        <v xml:space="preserve"> </v>
      </c>
      <c r="E1640" s="113" t="str">
        <f>IF(Table1722[[#This Row],[Lawan Transaksi]]="CV AGUNG KARYA",COUNTIF($I$10:I1640,"CV AGUNG KARYA")," ")</f>
        <v xml:space="preserve"> </v>
      </c>
      <c r="F1640" s="107" t="str">
        <f>IF(LEN(Table1722[[#This Row],[Uraian]])&gt;2,TRIM(RIGHT(SUBSTITUTE(TRIM(C1640)," ",REPT(" ",255)),255))," ")</f>
        <v xml:space="preserve"> </v>
      </c>
      <c r="G1640" s="110">
        <f>COPY!Z1632</f>
        <v>0</v>
      </c>
      <c r="H1640" s="111" t="str">
        <f>IFERROR(VLOOKUP(Table1722[[#This Row],[Bukti]],'Un nOTA'!$A$4:$K$5003,10,FALSE),"")</f>
        <v/>
      </c>
      <c r="I1640" s="112" t="str">
        <f>IFERROR(VLOOKUP(Table1722[[#This Row],[Bukti]],Table13[#Data],11,FALSE),"")</f>
        <v/>
      </c>
    </row>
    <row r="1641" spans="1:9" ht="19.5" hidden="1" customHeight="1" x14ac:dyDescent="0.2">
      <c r="A1641" s="105" t="str">
        <f>IF(D1641=1,COUNTIF($D$10:D1641,1)," ")</f>
        <v xml:space="preserve"> </v>
      </c>
      <c r="B1641" s="106">
        <f>COPY!AR1633</f>
        <v>0</v>
      </c>
      <c r="C1641" s="107">
        <f>COPY!AC1633</f>
        <v>0</v>
      </c>
      <c r="D1641" s="107" t="str">
        <f>IF(LEN(Table1722[[#This Row],[Uraian]])&gt;2,1," ")</f>
        <v xml:space="preserve"> </v>
      </c>
      <c r="E1641" s="113" t="str">
        <f>IF(Table1722[[#This Row],[Lawan Transaksi]]="CV AGUNG KARYA",COUNTIF($I$10:I1641,"CV AGUNG KARYA")," ")</f>
        <v xml:space="preserve"> </v>
      </c>
      <c r="F1641" s="107" t="str">
        <f>IF(LEN(Table1722[[#This Row],[Uraian]])&gt;2,TRIM(RIGHT(SUBSTITUTE(TRIM(C1641)," ",REPT(" ",255)),255))," ")</f>
        <v xml:space="preserve"> </v>
      </c>
      <c r="G1641" s="110">
        <f>COPY!Z1633</f>
        <v>0</v>
      </c>
      <c r="H1641" s="111" t="str">
        <f>IFERROR(VLOOKUP(Table1722[[#This Row],[Bukti]],'Un nOTA'!$A$4:$K$5003,10,FALSE),"")</f>
        <v/>
      </c>
      <c r="I1641" s="112" t="str">
        <f>IFERROR(VLOOKUP(Table1722[[#This Row],[Bukti]],Table13[#Data],11,FALSE),"")</f>
        <v/>
      </c>
    </row>
    <row r="1642" spans="1:9" ht="19.5" hidden="1" customHeight="1" x14ac:dyDescent="0.2">
      <c r="A1642" s="105" t="str">
        <f>IF(D1642=1,COUNTIF($D$10:D1642,1)," ")</f>
        <v xml:space="preserve"> </v>
      </c>
      <c r="B1642" s="106">
        <f>COPY!AR1634</f>
        <v>0</v>
      </c>
      <c r="C1642" s="107">
        <f>COPY!AC1634</f>
        <v>0</v>
      </c>
      <c r="D1642" s="107" t="str">
        <f>IF(LEN(Table1722[[#This Row],[Uraian]])&gt;2,1," ")</f>
        <v xml:space="preserve"> </v>
      </c>
      <c r="E1642" s="113" t="str">
        <f>IF(Table1722[[#This Row],[Lawan Transaksi]]="CV AGUNG KARYA",COUNTIF($I$10:I1642,"CV AGUNG KARYA")," ")</f>
        <v xml:space="preserve"> </v>
      </c>
      <c r="F1642" s="107" t="str">
        <f>IF(LEN(Table1722[[#This Row],[Uraian]])&gt;2,TRIM(RIGHT(SUBSTITUTE(TRIM(C1642)," ",REPT(" ",255)),255))," ")</f>
        <v xml:space="preserve"> </v>
      </c>
      <c r="G1642" s="110">
        <f>COPY!Z1634</f>
        <v>0</v>
      </c>
      <c r="H1642" s="111" t="str">
        <f>IFERROR(VLOOKUP(Table1722[[#This Row],[Bukti]],'Un nOTA'!$A$4:$K$5003,10,FALSE),"")</f>
        <v/>
      </c>
      <c r="I1642" s="112" t="str">
        <f>IFERROR(VLOOKUP(Table1722[[#This Row],[Bukti]],Table13[#Data],11,FALSE),"")</f>
        <v/>
      </c>
    </row>
    <row r="1643" spans="1:9" ht="19.5" hidden="1" customHeight="1" x14ac:dyDescent="0.2">
      <c r="A1643" s="105" t="str">
        <f>IF(D1643=1,COUNTIF($D$10:D1643,1)," ")</f>
        <v xml:space="preserve"> </v>
      </c>
      <c r="B1643" s="106">
        <f>COPY!AR1635</f>
        <v>0</v>
      </c>
      <c r="C1643" s="107">
        <f>COPY!AC1635</f>
        <v>0</v>
      </c>
      <c r="D1643" s="107" t="str">
        <f>IF(LEN(Table1722[[#This Row],[Uraian]])&gt;2,1," ")</f>
        <v xml:space="preserve"> </v>
      </c>
      <c r="E1643" s="113" t="str">
        <f>IF(Table1722[[#This Row],[Lawan Transaksi]]="CV AGUNG KARYA",COUNTIF($I$10:I1643,"CV AGUNG KARYA")," ")</f>
        <v xml:space="preserve"> </v>
      </c>
      <c r="F1643" s="107" t="str">
        <f>IF(LEN(Table1722[[#This Row],[Uraian]])&gt;2,TRIM(RIGHT(SUBSTITUTE(TRIM(C1643)," ",REPT(" ",255)),255))," ")</f>
        <v xml:space="preserve"> </v>
      </c>
      <c r="G1643" s="110">
        <f>COPY!Z1635</f>
        <v>0</v>
      </c>
      <c r="H1643" s="111" t="str">
        <f>IFERROR(VLOOKUP(Table1722[[#This Row],[Bukti]],'Un nOTA'!$A$4:$K$5003,10,FALSE),"")</f>
        <v/>
      </c>
      <c r="I1643" s="112" t="str">
        <f>IFERROR(VLOOKUP(Table1722[[#This Row],[Bukti]],Table13[#Data],11,FALSE),"")</f>
        <v/>
      </c>
    </row>
    <row r="1644" spans="1:9" ht="19.5" hidden="1" customHeight="1" x14ac:dyDescent="0.2">
      <c r="A1644" s="105" t="str">
        <f>IF(D1644=1,COUNTIF($D$10:D1644,1)," ")</f>
        <v xml:space="preserve"> </v>
      </c>
      <c r="B1644" s="106">
        <f>COPY!AR1636</f>
        <v>0</v>
      </c>
      <c r="C1644" s="107">
        <f>COPY!AC1636</f>
        <v>0</v>
      </c>
      <c r="D1644" s="107" t="str">
        <f>IF(LEN(Table1722[[#This Row],[Uraian]])&gt;2,1," ")</f>
        <v xml:space="preserve"> </v>
      </c>
      <c r="E1644" s="113" t="str">
        <f>IF(Table1722[[#This Row],[Lawan Transaksi]]="CV AGUNG KARYA",COUNTIF($I$10:I1644,"CV AGUNG KARYA")," ")</f>
        <v xml:space="preserve"> </v>
      </c>
      <c r="F1644" s="107" t="str">
        <f>IF(LEN(Table1722[[#This Row],[Uraian]])&gt;2,TRIM(RIGHT(SUBSTITUTE(TRIM(C1644)," ",REPT(" ",255)),255))," ")</f>
        <v xml:space="preserve"> </v>
      </c>
      <c r="G1644" s="110">
        <f>COPY!Z1636</f>
        <v>0</v>
      </c>
      <c r="H1644" s="111" t="str">
        <f>IFERROR(VLOOKUP(Table1722[[#This Row],[Bukti]],'Un nOTA'!$A$4:$K$5003,10,FALSE),"")</f>
        <v/>
      </c>
      <c r="I1644" s="112" t="str">
        <f>IFERROR(VLOOKUP(Table1722[[#This Row],[Bukti]],Table13[#Data],11,FALSE),"")</f>
        <v/>
      </c>
    </row>
    <row r="1645" spans="1:9" ht="19.5" hidden="1" customHeight="1" x14ac:dyDescent="0.2">
      <c r="A1645" s="105" t="str">
        <f>IF(D1645=1,COUNTIF($D$10:D1645,1)," ")</f>
        <v xml:space="preserve"> </v>
      </c>
      <c r="B1645" s="106">
        <f>COPY!AR1637</f>
        <v>0</v>
      </c>
      <c r="C1645" s="107">
        <f>COPY!AC1637</f>
        <v>0</v>
      </c>
      <c r="D1645" s="107" t="str">
        <f>IF(LEN(Table1722[[#This Row],[Uraian]])&gt;2,1," ")</f>
        <v xml:space="preserve"> </v>
      </c>
      <c r="E1645" s="113" t="str">
        <f>IF(Table1722[[#This Row],[Lawan Transaksi]]="CV AGUNG KARYA",COUNTIF($I$10:I1645,"CV AGUNG KARYA")," ")</f>
        <v xml:space="preserve"> </v>
      </c>
      <c r="F1645" s="107" t="str">
        <f>IF(LEN(Table1722[[#This Row],[Uraian]])&gt;2,TRIM(RIGHT(SUBSTITUTE(TRIM(C1645)," ",REPT(" ",255)),255))," ")</f>
        <v xml:space="preserve"> </v>
      </c>
      <c r="G1645" s="110">
        <f>COPY!Z1637</f>
        <v>0</v>
      </c>
      <c r="H1645" s="111" t="str">
        <f>IFERROR(VLOOKUP(Table1722[[#This Row],[Bukti]],'Un nOTA'!$A$4:$K$5003,10,FALSE),"")</f>
        <v/>
      </c>
      <c r="I1645" s="112" t="str">
        <f>IFERROR(VLOOKUP(Table1722[[#This Row],[Bukti]],Table13[#Data],11,FALSE),"")</f>
        <v/>
      </c>
    </row>
    <row r="1646" spans="1:9" ht="19.5" hidden="1" customHeight="1" x14ac:dyDescent="0.2">
      <c r="A1646" s="105" t="str">
        <f>IF(D1646=1,COUNTIF($D$10:D1646,1)," ")</f>
        <v xml:space="preserve"> </v>
      </c>
      <c r="B1646" s="106">
        <f>COPY!AR1638</f>
        <v>0</v>
      </c>
      <c r="C1646" s="107">
        <f>COPY!AC1638</f>
        <v>0</v>
      </c>
      <c r="D1646" s="107" t="str">
        <f>IF(LEN(Table1722[[#This Row],[Uraian]])&gt;2,1," ")</f>
        <v xml:space="preserve"> </v>
      </c>
      <c r="E1646" s="113" t="str">
        <f>IF(Table1722[[#This Row],[Lawan Transaksi]]="CV AGUNG KARYA",COUNTIF($I$10:I1646,"CV AGUNG KARYA")," ")</f>
        <v xml:space="preserve"> </v>
      </c>
      <c r="F1646" s="107" t="str">
        <f>IF(LEN(Table1722[[#This Row],[Uraian]])&gt;2,TRIM(RIGHT(SUBSTITUTE(TRIM(C1646)," ",REPT(" ",255)),255))," ")</f>
        <v xml:space="preserve"> </v>
      </c>
      <c r="G1646" s="110">
        <f>COPY!Z1638</f>
        <v>0</v>
      </c>
      <c r="H1646" s="111" t="str">
        <f>IFERROR(VLOOKUP(Table1722[[#This Row],[Bukti]],'Un nOTA'!$A$4:$K$5003,10,FALSE),"")</f>
        <v/>
      </c>
      <c r="I1646" s="112" t="str">
        <f>IFERROR(VLOOKUP(Table1722[[#This Row],[Bukti]],Table13[#Data],11,FALSE),"")</f>
        <v/>
      </c>
    </row>
    <row r="1647" spans="1:9" ht="19.5" hidden="1" customHeight="1" x14ac:dyDescent="0.2">
      <c r="A1647" s="105" t="str">
        <f>IF(D1647=1,COUNTIF($D$10:D1647,1)," ")</f>
        <v xml:space="preserve"> </v>
      </c>
      <c r="B1647" s="106">
        <f>COPY!AR1639</f>
        <v>0</v>
      </c>
      <c r="C1647" s="107">
        <f>COPY!AC1639</f>
        <v>0</v>
      </c>
      <c r="D1647" s="107" t="str">
        <f>IF(LEN(Table1722[[#This Row],[Uraian]])&gt;2,1," ")</f>
        <v xml:space="preserve"> </v>
      </c>
      <c r="E1647" s="113" t="str">
        <f>IF(Table1722[[#This Row],[Lawan Transaksi]]="CV AGUNG KARYA",COUNTIF($I$10:I1647,"CV AGUNG KARYA")," ")</f>
        <v xml:space="preserve"> </v>
      </c>
      <c r="F1647" s="107" t="str">
        <f>IF(LEN(Table1722[[#This Row],[Uraian]])&gt;2,TRIM(RIGHT(SUBSTITUTE(TRIM(C1647)," ",REPT(" ",255)),255))," ")</f>
        <v xml:space="preserve"> </v>
      </c>
      <c r="G1647" s="110">
        <f>COPY!Z1639</f>
        <v>0</v>
      </c>
      <c r="H1647" s="111" t="str">
        <f>IFERROR(VLOOKUP(Table1722[[#This Row],[Bukti]],'Un nOTA'!$A$4:$K$5003,10,FALSE),"")</f>
        <v/>
      </c>
      <c r="I1647" s="112" t="str">
        <f>IFERROR(VLOOKUP(Table1722[[#This Row],[Bukti]],Table13[#Data],11,FALSE),"")</f>
        <v/>
      </c>
    </row>
    <row r="1648" spans="1:9" ht="19.5" hidden="1" customHeight="1" x14ac:dyDescent="0.2">
      <c r="A1648" s="105" t="str">
        <f>IF(D1648=1,COUNTIF($D$10:D1648,1)," ")</f>
        <v xml:space="preserve"> </v>
      </c>
      <c r="B1648" s="106">
        <f>COPY!AR1640</f>
        <v>0</v>
      </c>
      <c r="C1648" s="107">
        <f>COPY!AC1640</f>
        <v>0</v>
      </c>
      <c r="D1648" s="107" t="str">
        <f>IF(LEN(Table1722[[#This Row],[Uraian]])&gt;2,1," ")</f>
        <v xml:space="preserve"> </v>
      </c>
      <c r="E1648" s="113" t="str">
        <f>IF(Table1722[[#This Row],[Lawan Transaksi]]="CV AGUNG KARYA",COUNTIF($I$10:I1648,"CV AGUNG KARYA")," ")</f>
        <v xml:space="preserve"> </v>
      </c>
      <c r="F1648" s="107" t="str">
        <f>IF(LEN(Table1722[[#This Row],[Uraian]])&gt;2,TRIM(RIGHT(SUBSTITUTE(TRIM(C1648)," ",REPT(" ",255)),255))," ")</f>
        <v xml:space="preserve"> </v>
      </c>
      <c r="G1648" s="110">
        <f>COPY!Z1640</f>
        <v>0</v>
      </c>
      <c r="H1648" s="111" t="str">
        <f>IFERROR(VLOOKUP(Table1722[[#This Row],[Bukti]],'Un nOTA'!$A$4:$K$5003,10,FALSE),"")</f>
        <v/>
      </c>
      <c r="I1648" s="112" t="str">
        <f>IFERROR(VLOOKUP(Table1722[[#This Row],[Bukti]],Table13[#Data],11,FALSE),"")</f>
        <v/>
      </c>
    </row>
    <row r="1649" spans="1:9" ht="19.5" hidden="1" customHeight="1" x14ac:dyDescent="0.2">
      <c r="A1649" s="105" t="str">
        <f>IF(D1649=1,COUNTIF($D$10:D1649,1)," ")</f>
        <v xml:space="preserve"> </v>
      </c>
      <c r="B1649" s="106">
        <f>COPY!AR1641</f>
        <v>0</v>
      </c>
      <c r="C1649" s="107">
        <f>COPY!AC1641</f>
        <v>0</v>
      </c>
      <c r="D1649" s="107" t="str">
        <f>IF(LEN(Table1722[[#This Row],[Uraian]])&gt;2,1," ")</f>
        <v xml:space="preserve"> </v>
      </c>
      <c r="E1649" s="113" t="str">
        <f>IF(Table1722[[#This Row],[Lawan Transaksi]]="CV AGUNG KARYA",COUNTIF($I$10:I1649,"CV AGUNG KARYA")," ")</f>
        <v xml:space="preserve"> </v>
      </c>
      <c r="F1649" s="107" t="str">
        <f>IF(LEN(Table1722[[#This Row],[Uraian]])&gt;2,TRIM(RIGHT(SUBSTITUTE(TRIM(C1649)," ",REPT(" ",255)),255))," ")</f>
        <v xml:space="preserve"> </v>
      </c>
      <c r="G1649" s="110">
        <f>COPY!Z1641</f>
        <v>0</v>
      </c>
      <c r="H1649" s="111" t="str">
        <f>IFERROR(VLOOKUP(Table1722[[#This Row],[Bukti]],'Un nOTA'!$A$4:$K$5003,10,FALSE),"")</f>
        <v/>
      </c>
      <c r="I1649" s="112" t="str">
        <f>IFERROR(VLOOKUP(Table1722[[#This Row],[Bukti]],Table13[#Data],11,FALSE),"")</f>
        <v/>
      </c>
    </row>
    <row r="1650" spans="1:9" ht="19.5" hidden="1" customHeight="1" x14ac:dyDescent="0.2">
      <c r="A1650" s="105" t="str">
        <f>IF(D1650=1,COUNTIF($D$10:D1650,1)," ")</f>
        <v xml:space="preserve"> </v>
      </c>
      <c r="B1650" s="106">
        <f>COPY!AR1642</f>
        <v>0</v>
      </c>
      <c r="C1650" s="107">
        <f>COPY!AC1642</f>
        <v>0</v>
      </c>
      <c r="D1650" s="107" t="str">
        <f>IF(LEN(Table1722[[#This Row],[Uraian]])&gt;2,1," ")</f>
        <v xml:space="preserve"> </v>
      </c>
      <c r="E1650" s="113" t="str">
        <f>IF(Table1722[[#This Row],[Lawan Transaksi]]="CV AGUNG KARYA",COUNTIF($I$10:I1650,"CV AGUNG KARYA")," ")</f>
        <v xml:space="preserve"> </v>
      </c>
      <c r="F1650" s="107" t="str">
        <f>IF(LEN(Table1722[[#This Row],[Uraian]])&gt;2,TRIM(RIGHT(SUBSTITUTE(TRIM(C1650)," ",REPT(" ",255)),255))," ")</f>
        <v xml:space="preserve"> </v>
      </c>
      <c r="G1650" s="110">
        <f>COPY!Z1642</f>
        <v>0</v>
      </c>
      <c r="H1650" s="111" t="str">
        <f>IFERROR(VLOOKUP(Table1722[[#This Row],[Bukti]],'Un nOTA'!$A$4:$K$5003,10,FALSE),"")</f>
        <v/>
      </c>
      <c r="I1650" s="112" t="str">
        <f>IFERROR(VLOOKUP(Table1722[[#This Row],[Bukti]],Table13[#Data],11,FALSE),"")</f>
        <v/>
      </c>
    </row>
    <row r="1651" spans="1:9" ht="19.5" hidden="1" customHeight="1" x14ac:dyDescent="0.2">
      <c r="A1651" s="105" t="str">
        <f>IF(D1651=1,COUNTIF($D$10:D1651,1)," ")</f>
        <v xml:space="preserve"> </v>
      </c>
      <c r="B1651" s="106">
        <f>COPY!AR1643</f>
        <v>0</v>
      </c>
      <c r="C1651" s="107">
        <f>COPY!AC1643</f>
        <v>0</v>
      </c>
      <c r="D1651" s="107" t="str">
        <f>IF(LEN(Table1722[[#This Row],[Uraian]])&gt;2,1," ")</f>
        <v xml:space="preserve"> </v>
      </c>
      <c r="E1651" s="113" t="str">
        <f>IF(Table1722[[#This Row],[Lawan Transaksi]]="CV AGUNG KARYA",COUNTIF($I$10:I1651,"CV AGUNG KARYA")," ")</f>
        <v xml:space="preserve"> </v>
      </c>
      <c r="F1651" s="107" t="str">
        <f>IF(LEN(Table1722[[#This Row],[Uraian]])&gt;2,TRIM(RIGHT(SUBSTITUTE(TRIM(C1651)," ",REPT(" ",255)),255))," ")</f>
        <v xml:space="preserve"> </v>
      </c>
      <c r="G1651" s="110">
        <f>COPY!Z1643</f>
        <v>0</v>
      </c>
      <c r="H1651" s="111" t="str">
        <f>IFERROR(VLOOKUP(Table1722[[#This Row],[Bukti]],'Un nOTA'!$A$4:$K$5003,10,FALSE),"")</f>
        <v/>
      </c>
      <c r="I1651" s="112" t="str">
        <f>IFERROR(VLOOKUP(Table1722[[#This Row],[Bukti]],Table13[#Data],11,FALSE),"")</f>
        <v/>
      </c>
    </row>
    <row r="1652" spans="1:9" ht="19.5" hidden="1" customHeight="1" x14ac:dyDescent="0.2">
      <c r="A1652" s="105" t="str">
        <f>IF(D1652=1,COUNTIF($D$10:D1652,1)," ")</f>
        <v xml:space="preserve"> </v>
      </c>
      <c r="B1652" s="106">
        <f>COPY!AR1644</f>
        <v>0</v>
      </c>
      <c r="C1652" s="107">
        <f>COPY!AC1644</f>
        <v>0</v>
      </c>
      <c r="D1652" s="107" t="str">
        <f>IF(LEN(Table1722[[#This Row],[Uraian]])&gt;2,1," ")</f>
        <v xml:space="preserve"> </v>
      </c>
      <c r="E1652" s="113" t="str">
        <f>IF(Table1722[[#This Row],[Lawan Transaksi]]="CV AGUNG KARYA",COUNTIF($I$10:I1652,"CV AGUNG KARYA")," ")</f>
        <v xml:space="preserve"> </v>
      </c>
      <c r="F1652" s="107" t="str">
        <f>IF(LEN(Table1722[[#This Row],[Uraian]])&gt;2,TRIM(RIGHT(SUBSTITUTE(TRIM(C1652)," ",REPT(" ",255)),255))," ")</f>
        <v xml:space="preserve"> </v>
      </c>
      <c r="G1652" s="110">
        <f>COPY!Z1644</f>
        <v>0</v>
      </c>
      <c r="H1652" s="111" t="str">
        <f>IFERROR(VLOOKUP(Table1722[[#This Row],[Bukti]],'Un nOTA'!$A$4:$K$5003,10,FALSE),"")</f>
        <v/>
      </c>
      <c r="I1652" s="112" t="str">
        <f>IFERROR(VLOOKUP(Table1722[[#This Row],[Bukti]],Table13[#Data],11,FALSE),"")</f>
        <v/>
      </c>
    </row>
    <row r="1653" spans="1:9" ht="19.5" hidden="1" customHeight="1" x14ac:dyDescent="0.2">
      <c r="A1653" s="105" t="str">
        <f>IF(D1653=1,COUNTIF($D$10:D1653,1)," ")</f>
        <v xml:space="preserve"> </v>
      </c>
      <c r="B1653" s="106">
        <f>COPY!AR1645</f>
        <v>0</v>
      </c>
      <c r="C1653" s="107">
        <f>COPY!AC1645</f>
        <v>0</v>
      </c>
      <c r="D1653" s="107" t="str">
        <f>IF(LEN(Table1722[[#This Row],[Uraian]])&gt;2,1," ")</f>
        <v xml:space="preserve"> </v>
      </c>
      <c r="E1653" s="113" t="str">
        <f>IF(Table1722[[#This Row],[Lawan Transaksi]]="CV AGUNG KARYA",COUNTIF($I$10:I1653,"CV AGUNG KARYA")," ")</f>
        <v xml:space="preserve"> </v>
      </c>
      <c r="F1653" s="107" t="str">
        <f>IF(LEN(Table1722[[#This Row],[Uraian]])&gt;2,TRIM(RIGHT(SUBSTITUTE(TRIM(C1653)," ",REPT(" ",255)),255))," ")</f>
        <v xml:space="preserve"> </v>
      </c>
      <c r="G1653" s="110">
        <f>COPY!Z1645</f>
        <v>0</v>
      </c>
      <c r="H1653" s="111" t="str">
        <f>IFERROR(VLOOKUP(Table1722[[#This Row],[Bukti]],'Un nOTA'!$A$4:$K$5003,10,FALSE),"")</f>
        <v/>
      </c>
      <c r="I1653" s="112" t="str">
        <f>IFERROR(VLOOKUP(Table1722[[#This Row],[Bukti]],Table13[#Data],11,FALSE),"")</f>
        <v/>
      </c>
    </row>
    <row r="1654" spans="1:9" ht="19.5" hidden="1" customHeight="1" x14ac:dyDescent="0.2">
      <c r="A1654" s="105" t="str">
        <f>IF(D1654=1,COUNTIF($D$10:D1654,1)," ")</f>
        <v xml:space="preserve"> </v>
      </c>
      <c r="B1654" s="106">
        <f>COPY!AR1646</f>
        <v>0</v>
      </c>
      <c r="C1654" s="107">
        <f>COPY!AC1646</f>
        <v>0</v>
      </c>
      <c r="D1654" s="107" t="str">
        <f>IF(LEN(Table1722[[#This Row],[Uraian]])&gt;2,1," ")</f>
        <v xml:space="preserve"> </v>
      </c>
      <c r="E1654" s="113" t="str">
        <f>IF(Table1722[[#This Row],[Lawan Transaksi]]="CV AGUNG KARYA",COUNTIF($I$10:I1654,"CV AGUNG KARYA")," ")</f>
        <v xml:space="preserve"> </v>
      </c>
      <c r="F1654" s="107" t="str">
        <f>IF(LEN(Table1722[[#This Row],[Uraian]])&gt;2,TRIM(RIGHT(SUBSTITUTE(TRIM(C1654)," ",REPT(" ",255)),255))," ")</f>
        <v xml:space="preserve"> </v>
      </c>
      <c r="G1654" s="110">
        <f>COPY!Z1646</f>
        <v>0</v>
      </c>
      <c r="H1654" s="111" t="str">
        <f>IFERROR(VLOOKUP(Table1722[[#This Row],[Bukti]],'Un nOTA'!$A$4:$K$5003,10,FALSE),"")</f>
        <v/>
      </c>
      <c r="I1654" s="112" t="str">
        <f>IFERROR(VLOOKUP(Table1722[[#This Row],[Bukti]],Table13[#Data],11,FALSE),"")</f>
        <v/>
      </c>
    </row>
    <row r="1655" spans="1:9" ht="19.5" hidden="1" customHeight="1" x14ac:dyDescent="0.2">
      <c r="A1655" s="105" t="str">
        <f>IF(D1655=1,COUNTIF($D$10:D1655,1)," ")</f>
        <v xml:space="preserve"> </v>
      </c>
      <c r="B1655" s="106">
        <f>COPY!AR1647</f>
        <v>0</v>
      </c>
      <c r="C1655" s="107">
        <f>COPY!AC1647</f>
        <v>0</v>
      </c>
      <c r="D1655" s="107" t="str">
        <f>IF(LEN(Table1722[[#This Row],[Uraian]])&gt;2,1," ")</f>
        <v xml:space="preserve"> </v>
      </c>
      <c r="E1655" s="113" t="str">
        <f>IF(Table1722[[#This Row],[Lawan Transaksi]]="CV AGUNG KARYA",COUNTIF($I$10:I1655,"CV AGUNG KARYA")," ")</f>
        <v xml:space="preserve"> </v>
      </c>
      <c r="F1655" s="107" t="str">
        <f>IF(LEN(Table1722[[#This Row],[Uraian]])&gt;2,TRIM(RIGHT(SUBSTITUTE(TRIM(C1655)," ",REPT(" ",255)),255))," ")</f>
        <v xml:space="preserve"> </v>
      </c>
      <c r="G1655" s="110">
        <f>COPY!Z1647</f>
        <v>0</v>
      </c>
      <c r="H1655" s="111" t="str">
        <f>IFERROR(VLOOKUP(Table1722[[#This Row],[Bukti]],'Un nOTA'!$A$4:$K$5003,10,FALSE),"")</f>
        <v/>
      </c>
      <c r="I1655" s="112" t="str">
        <f>IFERROR(VLOOKUP(Table1722[[#This Row],[Bukti]],Table13[#Data],11,FALSE),"")</f>
        <v/>
      </c>
    </row>
    <row r="1656" spans="1:9" ht="19.5" hidden="1" customHeight="1" x14ac:dyDescent="0.2">
      <c r="A1656" s="105" t="str">
        <f>IF(D1656=1,COUNTIF($D$10:D1656,1)," ")</f>
        <v xml:space="preserve"> </v>
      </c>
      <c r="B1656" s="106">
        <f>COPY!AR1648</f>
        <v>0</v>
      </c>
      <c r="C1656" s="107">
        <f>COPY!AC1648</f>
        <v>0</v>
      </c>
      <c r="D1656" s="107" t="str">
        <f>IF(LEN(Table1722[[#This Row],[Uraian]])&gt;2,1," ")</f>
        <v xml:space="preserve"> </v>
      </c>
      <c r="E1656" s="113" t="str">
        <f>IF(Table1722[[#This Row],[Lawan Transaksi]]="CV AGUNG KARYA",COUNTIF($I$10:I1656,"CV AGUNG KARYA")," ")</f>
        <v xml:space="preserve"> </v>
      </c>
      <c r="F1656" s="107" t="str">
        <f>IF(LEN(Table1722[[#This Row],[Uraian]])&gt;2,TRIM(RIGHT(SUBSTITUTE(TRIM(C1656)," ",REPT(" ",255)),255))," ")</f>
        <v xml:space="preserve"> </v>
      </c>
      <c r="G1656" s="110">
        <f>COPY!Z1648</f>
        <v>0</v>
      </c>
      <c r="H1656" s="111" t="str">
        <f>IFERROR(VLOOKUP(Table1722[[#This Row],[Bukti]],'Un nOTA'!$A$4:$K$5003,10,FALSE),"")</f>
        <v/>
      </c>
      <c r="I1656" s="112" t="str">
        <f>IFERROR(VLOOKUP(Table1722[[#This Row],[Bukti]],Table13[#Data],11,FALSE),"")</f>
        <v/>
      </c>
    </row>
    <row r="1657" spans="1:9" ht="19.5" hidden="1" customHeight="1" x14ac:dyDescent="0.2">
      <c r="A1657" s="105" t="str">
        <f>IF(D1657=1,COUNTIF($D$10:D1657,1)," ")</f>
        <v xml:space="preserve"> </v>
      </c>
      <c r="B1657" s="106">
        <f>COPY!AR1649</f>
        <v>0</v>
      </c>
      <c r="C1657" s="107">
        <f>COPY!AC1649</f>
        <v>0</v>
      </c>
      <c r="D1657" s="107" t="str">
        <f>IF(LEN(Table1722[[#This Row],[Uraian]])&gt;2,1," ")</f>
        <v xml:space="preserve"> </v>
      </c>
      <c r="E1657" s="113" t="str">
        <f>IF(Table1722[[#This Row],[Lawan Transaksi]]="CV AGUNG KARYA",COUNTIF($I$10:I1657,"CV AGUNG KARYA")," ")</f>
        <v xml:space="preserve"> </v>
      </c>
      <c r="F1657" s="107" t="str">
        <f>IF(LEN(Table1722[[#This Row],[Uraian]])&gt;2,TRIM(RIGHT(SUBSTITUTE(TRIM(C1657)," ",REPT(" ",255)),255))," ")</f>
        <v xml:space="preserve"> </v>
      </c>
      <c r="G1657" s="110">
        <f>COPY!Z1649</f>
        <v>0</v>
      </c>
      <c r="H1657" s="111" t="str">
        <f>IFERROR(VLOOKUP(Table1722[[#This Row],[Bukti]],'Un nOTA'!$A$4:$K$5003,10,FALSE),"")</f>
        <v/>
      </c>
      <c r="I1657" s="112" t="str">
        <f>IFERROR(VLOOKUP(Table1722[[#This Row],[Bukti]],Table13[#Data],11,FALSE),"")</f>
        <v/>
      </c>
    </row>
    <row r="1658" spans="1:9" ht="19.5" hidden="1" customHeight="1" x14ac:dyDescent="0.2">
      <c r="A1658" s="105" t="str">
        <f>IF(D1658=1,COUNTIF($D$10:D1658,1)," ")</f>
        <v xml:space="preserve"> </v>
      </c>
      <c r="B1658" s="106">
        <f>COPY!AR1650</f>
        <v>0</v>
      </c>
      <c r="C1658" s="107">
        <f>COPY!AC1650</f>
        <v>0</v>
      </c>
      <c r="D1658" s="107" t="str">
        <f>IF(LEN(Table1722[[#This Row],[Uraian]])&gt;2,1," ")</f>
        <v xml:space="preserve"> </v>
      </c>
      <c r="E1658" s="113" t="str">
        <f>IF(Table1722[[#This Row],[Lawan Transaksi]]="CV AGUNG KARYA",COUNTIF($I$10:I1658,"CV AGUNG KARYA")," ")</f>
        <v xml:space="preserve"> </v>
      </c>
      <c r="F1658" s="107" t="str">
        <f>IF(LEN(Table1722[[#This Row],[Uraian]])&gt;2,TRIM(RIGHT(SUBSTITUTE(TRIM(C1658)," ",REPT(" ",255)),255))," ")</f>
        <v xml:space="preserve"> </v>
      </c>
      <c r="G1658" s="110">
        <f>COPY!Z1650</f>
        <v>0</v>
      </c>
      <c r="H1658" s="111" t="str">
        <f>IFERROR(VLOOKUP(Table1722[[#This Row],[Bukti]],'Un nOTA'!$A$4:$K$5003,10,FALSE),"")</f>
        <v/>
      </c>
      <c r="I1658" s="112" t="str">
        <f>IFERROR(VLOOKUP(Table1722[[#This Row],[Bukti]],Table13[#Data],11,FALSE),"")</f>
        <v/>
      </c>
    </row>
    <row r="1659" spans="1:9" ht="19.5" hidden="1" customHeight="1" x14ac:dyDescent="0.2">
      <c r="A1659" s="105" t="str">
        <f>IF(D1659=1,COUNTIF($D$10:D1659,1)," ")</f>
        <v xml:space="preserve"> </v>
      </c>
      <c r="B1659" s="106">
        <f>COPY!AR1651</f>
        <v>0</v>
      </c>
      <c r="C1659" s="107">
        <f>COPY!AC1651</f>
        <v>0</v>
      </c>
      <c r="D1659" s="107" t="str">
        <f>IF(LEN(Table1722[[#This Row],[Uraian]])&gt;2,1," ")</f>
        <v xml:space="preserve"> </v>
      </c>
      <c r="E1659" s="113" t="str">
        <f>IF(Table1722[[#This Row],[Lawan Transaksi]]="CV AGUNG KARYA",COUNTIF($I$10:I1659,"CV AGUNG KARYA")," ")</f>
        <v xml:space="preserve"> </v>
      </c>
      <c r="F1659" s="107" t="str">
        <f>IF(LEN(Table1722[[#This Row],[Uraian]])&gt;2,TRIM(RIGHT(SUBSTITUTE(TRIM(C1659)," ",REPT(" ",255)),255))," ")</f>
        <v xml:space="preserve"> </v>
      </c>
      <c r="G1659" s="110">
        <f>COPY!Z1651</f>
        <v>0</v>
      </c>
      <c r="H1659" s="111" t="str">
        <f>IFERROR(VLOOKUP(Table1722[[#This Row],[Bukti]],'Un nOTA'!$A$4:$K$5003,10,FALSE),"")</f>
        <v/>
      </c>
      <c r="I1659" s="112" t="str">
        <f>IFERROR(VLOOKUP(Table1722[[#This Row],[Bukti]],Table13[#Data],11,FALSE),"")</f>
        <v/>
      </c>
    </row>
    <row r="1660" spans="1:9" ht="19.5" hidden="1" customHeight="1" x14ac:dyDescent="0.2">
      <c r="A1660" s="105" t="str">
        <f>IF(D1660=1,COUNTIF($D$10:D1660,1)," ")</f>
        <v xml:space="preserve"> </v>
      </c>
      <c r="B1660" s="106">
        <f>COPY!AR1652</f>
        <v>0</v>
      </c>
      <c r="C1660" s="107">
        <f>COPY!AC1652</f>
        <v>0</v>
      </c>
      <c r="D1660" s="107" t="str">
        <f>IF(LEN(Table1722[[#This Row],[Uraian]])&gt;2,1," ")</f>
        <v xml:space="preserve"> </v>
      </c>
      <c r="E1660" s="113" t="str">
        <f>IF(Table1722[[#This Row],[Lawan Transaksi]]="CV AGUNG KARYA",COUNTIF($I$10:I1660,"CV AGUNG KARYA")," ")</f>
        <v xml:space="preserve"> </v>
      </c>
      <c r="F1660" s="107" t="str">
        <f>IF(LEN(Table1722[[#This Row],[Uraian]])&gt;2,TRIM(RIGHT(SUBSTITUTE(TRIM(C1660)," ",REPT(" ",255)),255))," ")</f>
        <v xml:space="preserve"> </v>
      </c>
      <c r="G1660" s="110">
        <f>COPY!Z1652</f>
        <v>0</v>
      </c>
      <c r="H1660" s="111" t="str">
        <f>IFERROR(VLOOKUP(Table1722[[#This Row],[Bukti]],'Un nOTA'!$A$4:$K$5003,10,FALSE),"")</f>
        <v/>
      </c>
      <c r="I1660" s="112" t="str">
        <f>IFERROR(VLOOKUP(Table1722[[#This Row],[Bukti]],Table13[#Data],11,FALSE),"")</f>
        <v/>
      </c>
    </row>
    <row r="1661" spans="1:9" ht="19.5" hidden="1" customHeight="1" x14ac:dyDescent="0.2">
      <c r="A1661" s="105" t="str">
        <f>IF(D1661=1,COUNTIF($D$10:D1661,1)," ")</f>
        <v xml:space="preserve"> </v>
      </c>
      <c r="B1661" s="106">
        <f>COPY!AR1653</f>
        <v>0</v>
      </c>
      <c r="C1661" s="107">
        <f>COPY!AC1653</f>
        <v>0</v>
      </c>
      <c r="D1661" s="107" t="str">
        <f>IF(LEN(Table1722[[#This Row],[Uraian]])&gt;2,1," ")</f>
        <v xml:space="preserve"> </v>
      </c>
      <c r="E1661" s="113" t="str">
        <f>IF(Table1722[[#This Row],[Lawan Transaksi]]="CV AGUNG KARYA",COUNTIF($I$10:I1661,"CV AGUNG KARYA")," ")</f>
        <v xml:space="preserve"> </v>
      </c>
      <c r="F1661" s="107" t="str">
        <f>IF(LEN(Table1722[[#This Row],[Uraian]])&gt;2,TRIM(RIGHT(SUBSTITUTE(TRIM(C1661)," ",REPT(" ",255)),255))," ")</f>
        <v xml:space="preserve"> </v>
      </c>
      <c r="G1661" s="110">
        <f>COPY!Z1653</f>
        <v>0</v>
      </c>
      <c r="H1661" s="111" t="str">
        <f>IFERROR(VLOOKUP(Table1722[[#This Row],[Bukti]],'Un nOTA'!$A$4:$K$5003,10,FALSE),"")</f>
        <v/>
      </c>
      <c r="I1661" s="112" t="str">
        <f>IFERROR(VLOOKUP(Table1722[[#This Row],[Bukti]],Table13[#Data],11,FALSE),"")</f>
        <v/>
      </c>
    </row>
    <row r="1662" spans="1:9" ht="19.5" hidden="1" customHeight="1" x14ac:dyDescent="0.2">
      <c r="A1662" s="105" t="str">
        <f>IF(D1662=1,COUNTIF($D$10:D1662,1)," ")</f>
        <v xml:space="preserve"> </v>
      </c>
      <c r="B1662" s="106">
        <f>COPY!AR1654</f>
        <v>0</v>
      </c>
      <c r="C1662" s="107">
        <f>COPY!AC1654</f>
        <v>0</v>
      </c>
      <c r="D1662" s="107" t="str">
        <f>IF(LEN(Table1722[[#This Row],[Uraian]])&gt;2,1," ")</f>
        <v xml:space="preserve"> </v>
      </c>
      <c r="E1662" s="113" t="str">
        <f>IF(Table1722[[#This Row],[Lawan Transaksi]]="CV AGUNG KARYA",COUNTIF($I$10:I1662,"CV AGUNG KARYA")," ")</f>
        <v xml:space="preserve"> </v>
      </c>
      <c r="F1662" s="107" t="str">
        <f>IF(LEN(Table1722[[#This Row],[Uraian]])&gt;2,TRIM(RIGHT(SUBSTITUTE(TRIM(C1662)," ",REPT(" ",255)),255))," ")</f>
        <v xml:space="preserve"> </v>
      </c>
      <c r="G1662" s="110">
        <f>COPY!Z1654</f>
        <v>0</v>
      </c>
      <c r="H1662" s="111" t="str">
        <f>IFERROR(VLOOKUP(Table1722[[#This Row],[Bukti]],'Un nOTA'!$A$4:$K$5003,10,FALSE),"")</f>
        <v/>
      </c>
      <c r="I1662" s="112" t="str">
        <f>IFERROR(VLOOKUP(Table1722[[#This Row],[Bukti]],Table13[#Data],11,FALSE),"")</f>
        <v/>
      </c>
    </row>
    <row r="1663" spans="1:9" ht="19.5" hidden="1" customHeight="1" x14ac:dyDescent="0.2">
      <c r="A1663" s="105" t="str">
        <f>IF(D1663=1,COUNTIF($D$10:D1663,1)," ")</f>
        <v xml:space="preserve"> </v>
      </c>
      <c r="B1663" s="106">
        <f>COPY!AR1655</f>
        <v>0</v>
      </c>
      <c r="C1663" s="107">
        <f>COPY!AC1655</f>
        <v>0</v>
      </c>
      <c r="D1663" s="107" t="str">
        <f>IF(LEN(Table1722[[#This Row],[Uraian]])&gt;2,1," ")</f>
        <v xml:space="preserve"> </v>
      </c>
      <c r="E1663" s="113" t="str">
        <f>IF(Table1722[[#This Row],[Lawan Transaksi]]="CV AGUNG KARYA",COUNTIF($I$10:I1663,"CV AGUNG KARYA")," ")</f>
        <v xml:space="preserve"> </v>
      </c>
      <c r="F1663" s="107" t="str">
        <f>IF(LEN(Table1722[[#This Row],[Uraian]])&gt;2,TRIM(RIGHT(SUBSTITUTE(TRIM(C1663)," ",REPT(" ",255)),255))," ")</f>
        <v xml:space="preserve"> </v>
      </c>
      <c r="G1663" s="110">
        <f>COPY!Z1655</f>
        <v>0</v>
      </c>
      <c r="H1663" s="111" t="str">
        <f>IFERROR(VLOOKUP(Table1722[[#This Row],[Bukti]],'Un nOTA'!$A$4:$K$5003,10,FALSE),"")</f>
        <v/>
      </c>
      <c r="I1663" s="112" t="str">
        <f>IFERROR(VLOOKUP(Table1722[[#This Row],[Bukti]],Table13[#Data],11,FALSE),"")</f>
        <v/>
      </c>
    </row>
    <row r="1664" spans="1:9" ht="19.5" hidden="1" customHeight="1" x14ac:dyDescent="0.2">
      <c r="A1664" s="105" t="str">
        <f>IF(D1664=1,COUNTIF($D$10:D1664,1)," ")</f>
        <v xml:space="preserve"> </v>
      </c>
      <c r="B1664" s="106">
        <f>COPY!AR1656</f>
        <v>0</v>
      </c>
      <c r="C1664" s="107">
        <f>COPY!AC1656</f>
        <v>0</v>
      </c>
      <c r="D1664" s="107" t="str">
        <f>IF(LEN(Table1722[[#This Row],[Uraian]])&gt;2,1," ")</f>
        <v xml:space="preserve"> </v>
      </c>
      <c r="E1664" s="113" t="str">
        <f>IF(Table1722[[#This Row],[Lawan Transaksi]]="CV AGUNG KARYA",COUNTIF($I$10:I1664,"CV AGUNG KARYA")," ")</f>
        <v xml:space="preserve"> </v>
      </c>
      <c r="F1664" s="107" t="str">
        <f>IF(LEN(Table1722[[#This Row],[Uraian]])&gt;2,TRIM(RIGHT(SUBSTITUTE(TRIM(C1664)," ",REPT(" ",255)),255))," ")</f>
        <v xml:space="preserve"> </v>
      </c>
      <c r="G1664" s="110">
        <f>COPY!Z1656</f>
        <v>0</v>
      </c>
      <c r="H1664" s="111" t="str">
        <f>IFERROR(VLOOKUP(Table1722[[#This Row],[Bukti]],'Un nOTA'!$A$4:$K$5003,10,FALSE),"")</f>
        <v/>
      </c>
      <c r="I1664" s="112" t="str">
        <f>IFERROR(VLOOKUP(Table1722[[#This Row],[Bukti]],Table13[#Data],11,FALSE),"")</f>
        <v/>
      </c>
    </row>
    <row r="1665" spans="1:9" ht="19.5" hidden="1" customHeight="1" x14ac:dyDescent="0.2">
      <c r="A1665" s="105" t="str">
        <f>IF(D1665=1,COUNTIF($D$10:D1665,1)," ")</f>
        <v xml:space="preserve"> </v>
      </c>
      <c r="B1665" s="106">
        <f>COPY!AR1657</f>
        <v>0</v>
      </c>
      <c r="C1665" s="107">
        <f>COPY!AC1657</f>
        <v>0</v>
      </c>
      <c r="D1665" s="107" t="str">
        <f>IF(LEN(Table1722[[#This Row],[Uraian]])&gt;2,1," ")</f>
        <v xml:space="preserve"> </v>
      </c>
      <c r="E1665" s="113" t="str">
        <f>IF(Table1722[[#This Row],[Lawan Transaksi]]="CV AGUNG KARYA",COUNTIF($I$10:I1665,"CV AGUNG KARYA")," ")</f>
        <v xml:space="preserve"> </v>
      </c>
      <c r="F1665" s="107" t="str">
        <f>IF(LEN(Table1722[[#This Row],[Uraian]])&gt;2,TRIM(RIGHT(SUBSTITUTE(TRIM(C1665)," ",REPT(" ",255)),255))," ")</f>
        <v xml:space="preserve"> </v>
      </c>
      <c r="G1665" s="110">
        <f>COPY!Z1657</f>
        <v>0</v>
      </c>
      <c r="H1665" s="111" t="str">
        <f>IFERROR(VLOOKUP(Table1722[[#This Row],[Bukti]],'Un nOTA'!$A$4:$K$5003,10,FALSE),"")</f>
        <v/>
      </c>
      <c r="I1665" s="112" t="str">
        <f>IFERROR(VLOOKUP(Table1722[[#This Row],[Bukti]],Table13[#Data],11,FALSE),"")</f>
        <v/>
      </c>
    </row>
    <row r="1666" spans="1:9" ht="19.5" hidden="1" customHeight="1" x14ac:dyDescent="0.2">
      <c r="A1666" s="105" t="str">
        <f>IF(D1666=1,COUNTIF($D$10:D1666,1)," ")</f>
        <v xml:space="preserve"> </v>
      </c>
      <c r="B1666" s="106">
        <f>COPY!AR1658</f>
        <v>0</v>
      </c>
      <c r="C1666" s="107">
        <f>COPY!AC1658</f>
        <v>0</v>
      </c>
      <c r="D1666" s="107" t="str">
        <f>IF(LEN(Table1722[[#This Row],[Uraian]])&gt;2,1," ")</f>
        <v xml:space="preserve"> </v>
      </c>
      <c r="E1666" s="113" t="str">
        <f>IF(Table1722[[#This Row],[Lawan Transaksi]]="CV AGUNG KARYA",COUNTIF($I$10:I1666,"CV AGUNG KARYA")," ")</f>
        <v xml:space="preserve"> </v>
      </c>
      <c r="F1666" s="107" t="str">
        <f>IF(LEN(Table1722[[#This Row],[Uraian]])&gt;2,TRIM(RIGHT(SUBSTITUTE(TRIM(C1666)," ",REPT(" ",255)),255))," ")</f>
        <v xml:space="preserve"> </v>
      </c>
      <c r="G1666" s="110">
        <f>COPY!Z1658</f>
        <v>0</v>
      </c>
      <c r="H1666" s="111" t="str">
        <f>IFERROR(VLOOKUP(Table1722[[#This Row],[Bukti]],'Un nOTA'!$A$4:$K$5003,10,FALSE),"")</f>
        <v/>
      </c>
      <c r="I1666" s="112" t="str">
        <f>IFERROR(VLOOKUP(Table1722[[#This Row],[Bukti]],Table13[#Data],11,FALSE),"")</f>
        <v/>
      </c>
    </row>
    <row r="1667" spans="1:9" ht="19.5" hidden="1" customHeight="1" x14ac:dyDescent="0.2">
      <c r="A1667" s="105" t="str">
        <f>IF(D1667=1,COUNTIF($D$10:D1667,1)," ")</f>
        <v xml:space="preserve"> </v>
      </c>
      <c r="B1667" s="106">
        <f>COPY!AR1659</f>
        <v>0</v>
      </c>
      <c r="C1667" s="107">
        <f>COPY!AC1659</f>
        <v>0</v>
      </c>
      <c r="D1667" s="107" t="str">
        <f>IF(LEN(Table1722[[#This Row],[Uraian]])&gt;2,1," ")</f>
        <v xml:space="preserve"> </v>
      </c>
      <c r="E1667" s="113" t="str">
        <f>IF(Table1722[[#This Row],[Lawan Transaksi]]="CV AGUNG KARYA",COUNTIF($I$10:I1667,"CV AGUNG KARYA")," ")</f>
        <v xml:space="preserve"> </v>
      </c>
      <c r="F1667" s="107" t="str">
        <f>IF(LEN(Table1722[[#This Row],[Uraian]])&gt;2,TRIM(RIGHT(SUBSTITUTE(TRIM(C1667)," ",REPT(" ",255)),255))," ")</f>
        <v xml:space="preserve"> </v>
      </c>
      <c r="G1667" s="110">
        <f>COPY!Z1659</f>
        <v>0</v>
      </c>
      <c r="H1667" s="111" t="str">
        <f>IFERROR(VLOOKUP(Table1722[[#This Row],[Bukti]],'Un nOTA'!$A$4:$K$5003,10,FALSE),"")</f>
        <v/>
      </c>
      <c r="I1667" s="112" t="str">
        <f>IFERROR(VLOOKUP(Table1722[[#This Row],[Bukti]],Table13[#Data],11,FALSE),"")</f>
        <v/>
      </c>
    </row>
    <row r="1668" spans="1:9" ht="19.5" hidden="1" customHeight="1" x14ac:dyDescent="0.2">
      <c r="A1668" s="105" t="str">
        <f>IF(D1668=1,COUNTIF($D$10:D1668,1)," ")</f>
        <v xml:space="preserve"> </v>
      </c>
      <c r="B1668" s="106">
        <f>COPY!AR1660</f>
        <v>0</v>
      </c>
      <c r="C1668" s="107">
        <f>COPY!AC1660</f>
        <v>0</v>
      </c>
      <c r="D1668" s="107" t="str">
        <f>IF(LEN(Table1722[[#This Row],[Uraian]])&gt;2,1," ")</f>
        <v xml:space="preserve"> </v>
      </c>
      <c r="E1668" s="113" t="str">
        <f>IF(Table1722[[#This Row],[Lawan Transaksi]]="CV AGUNG KARYA",COUNTIF($I$10:I1668,"CV AGUNG KARYA")," ")</f>
        <v xml:space="preserve"> </v>
      </c>
      <c r="F1668" s="107" t="str">
        <f>IF(LEN(Table1722[[#This Row],[Uraian]])&gt;2,TRIM(RIGHT(SUBSTITUTE(TRIM(C1668)," ",REPT(" ",255)),255))," ")</f>
        <v xml:space="preserve"> </v>
      </c>
      <c r="G1668" s="110">
        <f>COPY!Z1660</f>
        <v>0</v>
      </c>
      <c r="H1668" s="111" t="str">
        <f>IFERROR(VLOOKUP(Table1722[[#This Row],[Bukti]],'Un nOTA'!$A$4:$K$5003,10,FALSE),"")</f>
        <v/>
      </c>
      <c r="I1668" s="112" t="str">
        <f>IFERROR(VLOOKUP(Table1722[[#This Row],[Bukti]],Table13[#Data],11,FALSE),"")</f>
        <v/>
      </c>
    </row>
    <row r="1669" spans="1:9" ht="19.5" hidden="1" customHeight="1" x14ac:dyDescent="0.2">
      <c r="A1669" s="105" t="str">
        <f>IF(D1669=1,COUNTIF($D$10:D1669,1)," ")</f>
        <v xml:space="preserve"> </v>
      </c>
      <c r="B1669" s="106">
        <f>COPY!AR1661</f>
        <v>0</v>
      </c>
      <c r="C1669" s="107">
        <f>COPY!AC1661</f>
        <v>0</v>
      </c>
      <c r="D1669" s="107" t="str">
        <f>IF(LEN(Table1722[[#This Row],[Uraian]])&gt;2,1," ")</f>
        <v xml:space="preserve"> </v>
      </c>
      <c r="E1669" s="113" t="str">
        <f>IF(Table1722[[#This Row],[Lawan Transaksi]]="CV AGUNG KARYA",COUNTIF($I$10:I1669,"CV AGUNG KARYA")," ")</f>
        <v xml:space="preserve"> </v>
      </c>
      <c r="F1669" s="107" t="str">
        <f>IF(LEN(Table1722[[#This Row],[Uraian]])&gt;2,TRIM(RIGHT(SUBSTITUTE(TRIM(C1669)," ",REPT(" ",255)),255))," ")</f>
        <v xml:space="preserve"> </v>
      </c>
      <c r="G1669" s="110">
        <f>COPY!Z1661</f>
        <v>0</v>
      </c>
      <c r="H1669" s="111" t="str">
        <f>IFERROR(VLOOKUP(Table1722[[#This Row],[Bukti]],'Un nOTA'!$A$4:$K$5003,10,FALSE),"")</f>
        <v/>
      </c>
      <c r="I1669" s="112" t="str">
        <f>IFERROR(VLOOKUP(Table1722[[#This Row],[Bukti]],Table13[#Data],11,FALSE),"")</f>
        <v/>
      </c>
    </row>
    <row r="1670" spans="1:9" ht="19.5" hidden="1" customHeight="1" x14ac:dyDescent="0.2">
      <c r="A1670" s="105" t="str">
        <f>IF(D1670=1,COUNTIF($D$10:D1670,1)," ")</f>
        <v xml:space="preserve"> </v>
      </c>
      <c r="B1670" s="106">
        <f>COPY!AR1662</f>
        <v>0</v>
      </c>
      <c r="C1670" s="107">
        <f>COPY!AC1662</f>
        <v>0</v>
      </c>
      <c r="D1670" s="107" t="str">
        <f>IF(LEN(Table1722[[#This Row],[Uraian]])&gt;2,1," ")</f>
        <v xml:space="preserve"> </v>
      </c>
      <c r="E1670" s="113" t="str">
        <f>IF(Table1722[[#This Row],[Lawan Transaksi]]="CV AGUNG KARYA",COUNTIF($I$10:I1670,"CV AGUNG KARYA")," ")</f>
        <v xml:space="preserve"> </v>
      </c>
      <c r="F1670" s="107" t="str">
        <f>IF(LEN(Table1722[[#This Row],[Uraian]])&gt;2,TRIM(RIGHT(SUBSTITUTE(TRIM(C1670)," ",REPT(" ",255)),255))," ")</f>
        <v xml:space="preserve"> </v>
      </c>
      <c r="G1670" s="110">
        <f>COPY!Z1662</f>
        <v>0</v>
      </c>
      <c r="H1670" s="111" t="str">
        <f>IFERROR(VLOOKUP(Table1722[[#This Row],[Bukti]],'Un nOTA'!$A$4:$K$5003,10,FALSE),"")</f>
        <v/>
      </c>
      <c r="I1670" s="112" t="str">
        <f>IFERROR(VLOOKUP(Table1722[[#This Row],[Bukti]],Table13[#Data],11,FALSE),"")</f>
        <v/>
      </c>
    </row>
    <row r="1671" spans="1:9" ht="19.5" hidden="1" customHeight="1" x14ac:dyDescent="0.2">
      <c r="A1671" s="105" t="str">
        <f>IF(D1671=1,COUNTIF($D$10:D1671,1)," ")</f>
        <v xml:space="preserve"> </v>
      </c>
      <c r="B1671" s="106">
        <f>COPY!AR1663</f>
        <v>0</v>
      </c>
      <c r="C1671" s="107">
        <f>COPY!AC1663</f>
        <v>0</v>
      </c>
      <c r="D1671" s="107" t="str">
        <f>IF(LEN(Table1722[[#This Row],[Uraian]])&gt;2,1," ")</f>
        <v xml:space="preserve"> </v>
      </c>
      <c r="E1671" s="113" t="str">
        <f>IF(Table1722[[#This Row],[Lawan Transaksi]]="CV AGUNG KARYA",COUNTIF($I$10:I1671,"CV AGUNG KARYA")," ")</f>
        <v xml:space="preserve"> </v>
      </c>
      <c r="F1671" s="107" t="str">
        <f>IF(LEN(Table1722[[#This Row],[Uraian]])&gt;2,TRIM(RIGHT(SUBSTITUTE(TRIM(C1671)," ",REPT(" ",255)),255))," ")</f>
        <v xml:space="preserve"> </v>
      </c>
      <c r="G1671" s="110">
        <f>COPY!Z1663</f>
        <v>0</v>
      </c>
      <c r="H1671" s="111" t="str">
        <f>IFERROR(VLOOKUP(Table1722[[#This Row],[Bukti]],'Un nOTA'!$A$4:$K$5003,10,FALSE),"")</f>
        <v/>
      </c>
      <c r="I1671" s="112" t="str">
        <f>IFERROR(VLOOKUP(Table1722[[#This Row],[Bukti]],Table13[#Data],11,FALSE),"")</f>
        <v/>
      </c>
    </row>
    <row r="1672" spans="1:9" ht="19.5" hidden="1" customHeight="1" x14ac:dyDescent="0.2">
      <c r="A1672" s="105" t="str">
        <f>IF(D1672=1,COUNTIF($D$10:D1672,1)," ")</f>
        <v xml:space="preserve"> </v>
      </c>
      <c r="B1672" s="106">
        <f>COPY!AR1664</f>
        <v>0</v>
      </c>
      <c r="C1672" s="107">
        <f>COPY!AC1664</f>
        <v>0</v>
      </c>
      <c r="D1672" s="107" t="str">
        <f>IF(LEN(Table1722[[#This Row],[Uraian]])&gt;2,1," ")</f>
        <v xml:space="preserve"> </v>
      </c>
      <c r="E1672" s="113" t="str">
        <f>IF(Table1722[[#This Row],[Lawan Transaksi]]="CV AGUNG KARYA",COUNTIF($I$10:I1672,"CV AGUNG KARYA")," ")</f>
        <v xml:space="preserve"> </v>
      </c>
      <c r="F1672" s="107" t="str">
        <f>IF(LEN(Table1722[[#This Row],[Uraian]])&gt;2,TRIM(RIGHT(SUBSTITUTE(TRIM(C1672)," ",REPT(" ",255)),255))," ")</f>
        <v xml:space="preserve"> </v>
      </c>
      <c r="G1672" s="110">
        <f>COPY!Z1664</f>
        <v>0</v>
      </c>
      <c r="H1672" s="111" t="str">
        <f>IFERROR(VLOOKUP(Table1722[[#This Row],[Bukti]],'Un nOTA'!$A$4:$K$5003,10,FALSE),"")</f>
        <v/>
      </c>
      <c r="I1672" s="112" t="str">
        <f>IFERROR(VLOOKUP(Table1722[[#This Row],[Bukti]],Table13[#Data],11,FALSE),"")</f>
        <v/>
      </c>
    </row>
    <row r="1673" spans="1:9" ht="19.5" hidden="1" customHeight="1" x14ac:dyDescent="0.2">
      <c r="A1673" s="105" t="str">
        <f>IF(D1673=1,COUNTIF($D$10:D1673,1)," ")</f>
        <v xml:space="preserve"> </v>
      </c>
      <c r="B1673" s="106">
        <f>COPY!AR1665</f>
        <v>0</v>
      </c>
      <c r="C1673" s="107">
        <f>COPY!AC1665</f>
        <v>0</v>
      </c>
      <c r="D1673" s="107" t="str">
        <f>IF(LEN(Table1722[[#This Row],[Uraian]])&gt;2,1," ")</f>
        <v xml:space="preserve"> </v>
      </c>
      <c r="E1673" s="113" t="str">
        <f>IF(Table1722[[#This Row],[Lawan Transaksi]]="CV AGUNG KARYA",COUNTIF($I$10:I1673,"CV AGUNG KARYA")," ")</f>
        <v xml:space="preserve"> </v>
      </c>
      <c r="F1673" s="107" t="str">
        <f>IF(LEN(Table1722[[#This Row],[Uraian]])&gt;2,TRIM(RIGHT(SUBSTITUTE(TRIM(C1673)," ",REPT(" ",255)),255))," ")</f>
        <v xml:space="preserve"> </v>
      </c>
      <c r="G1673" s="110">
        <f>COPY!Z1665</f>
        <v>0</v>
      </c>
      <c r="H1673" s="111" t="str">
        <f>IFERROR(VLOOKUP(Table1722[[#This Row],[Bukti]],'Un nOTA'!$A$4:$K$5003,10,FALSE),"")</f>
        <v/>
      </c>
      <c r="I1673" s="112" t="str">
        <f>IFERROR(VLOOKUP(Table1722[[#This Row],[Bukti]],Table13[#Data],11,FALSE),"")</f>
        <v/>
      </c>
    </row>
    <row r="1674" spans="1:9" ht="19.5" hidden="1" customHeight="1" x14ac:dyDescent="0.2">
      <c r="A1674" s="105" t="str">
        <f>IF(D1674=1,COUNTIF($D$10:D1674,1)," ")</f>
        <v xml:space="preserve"> </v>
      </c>
      <c r="B1674" s="106">
        <f>COPY!AR1666</f>
        <v>0</v>
      </c>
      <c r="C1674" s="107">
        <f>COPY!AC1666</f>
        <v>0</v>
      </c>
      <c r="D1674" s="107" t="str">
        <f>IF(LEN(Table1722[[#This Row],[Uraian]])&gt;2,1," ")</f>
        <v xml:space="preserve"> </v>
      </c>
      <c r="E1674" s="113" t="str">
        <f>IF(Table1722[[#This Row],[Lawan Transaksi]]="CV AGUNG KARYA",COUNTIF($I$10:I1674,"CV AGUNG KARYA")," ")</f>
        <v xml:space="preserve"> </v>
      </c>
      <c r="F1674" s="107" t="str">
        <f>IF(LEN(Table1722[[#This Row],[Uraian]])&gt;2,TRIM(RIGHT(SUBSTITUTE(TRIM(C1674)," ",REPT(" ",255)),255))," ")</f>
        <v xml:space="preserve"> </v>
      </c>
      <c r="G1674" s="110">
        <f>COPY!Z1666</f>
        <v>0</v>
      </c>
      <c r="H1674" s="111" t="str">
        <f>IFERROR(VLOOKUP(Table1722[[#This Row],[Bukti]],'Un nOTA'!$A$4:$K$5003,10,FALSE),"")</f>
        <v/>
      </c>
      <c r="I1674" s="112" t="str">
        <f>IFERROR(VLOOKUP(Table1722[[#This Row],[Bukti]],Table13[#Data],11,FALSE),"")</f>
        <v/>
      </c>
    </row>
    <row r="1675" spans="1:9" ht="19.5" hidden="1" customHeight="1" x14ac:dyDescent="0.2">
      <c r="A1675" s="105" t="str">
        <f>IF(D1675=1,COUNTIF($D$10:D1675,1)," ")</f>
        <v xml:space="preserve"> </v>
      </c>
      <c r="B1675" s="106">
        <f>COPY!AR1667</f>
        <v>0</v>
      </c>
      <c r="C1675" s="107">
        <f>COPY!AC1667</f>
        <v>0</v>
      </c>
      <c r="D1675" s="107" t="str">
        <f>IF(LEN(Table1722[[#This Row],[Uraian]])&gt;2,1," ")</f>
        <v xml:space="preserve"> </v>
      </c>
      <c r="E1675" s="113" t="str">
        <f>IF(Table1722[[#This Row],[Lawan Transaksi]]="CV AGUNG KARYA",COUNTIF($I$10:I1675,"CV AGUNG KARYA")," ")</f>
        <v xml:space="preserve"> </v>
      </c>
      <c r="F1675" s="107" t="str">
        <f>IF(LEN(Table1722[[#This Row],[Uraian]])&gt;2,TRIM(RIGHT(SUBSTITUTE(TRIM(C1675)," ",REPT(" ",255)),255))," ")</f>
        <v xml:space="preserve"> </v>
      </c>
      <c r="G1675" s="110">
        <f>COPY!Z1667</f>
        <v>0</v>
      </c>
      <c r="H1675" s="111" t="str">
        <f>IFERROR(VLOOKUP(Table1722[[#This Row],[Bukti]],'Un nOTA'!$A$4:$K$5003,10,FALSE),"")</f>
        <v/>
      </c>
      <c r="I1675" s="112" t="str">
        <f>IFERROR(VLOOKUP(Table1722[[#This Row],[Bukti]],Table13[#Data],11,FALSE),"")</f>
        <v/>
      </c>
    </row>
    <row r="1676" spans="1:9" ht="19.5" hidden="1" customHeight="1" x14ac:dyDescent="0.2">
      <c r="A1676" s="105" t="str">
        <f>IF(D1676=1,COUNTIF($D$10:D1676,1)," ")</f>
        <v xml:space="preserve"> </v>
      </c>
      <c r="B1676" s="106">
        <f>COPY!AR1668</f>
        <v>0</v>
      </c>
      <c r="C1676" s="107">
        <f>COPY!AC1668</f>
        <v>0</v>
      </c>
      <c r="D1676" s="107" t="str">
        <f>IF(LEN(Table1722[[#This Row],[Uraian]])&gt;2,1," ")</f>
        <v xml:space="preserve"> </v>
      </c>
      <c r="E1676" s="113" t="str">
        <f>IF(Table1722[[#This Row],[Lawan Transaksi]]="CV AGUNG KARYA",COUNTIF($I$10:I1676,"CV AGUNG KARYA")," ")</f>
        <v xml:space="preserve"> </v>
      </c>
      <c r="F1676" s="107" t="str">
        <f>IF(LEN(Table1722[[#This Row],[Uraian]])&gt;2,TRIM(RIGHT(SUBSTITUTE(TRIM(C1676)," ",REPT(" ",255)),255))," ")</f>
        <v xml:space="preserve"> </v>
      </c>
      <c r="G1676" s="110">
        <f>COPY!Z1668</f>
        <v>0</v>
      </c>
      <c r="H1676" s="111" t="str">
        <f>IFERROR(VLOOKUP(Table1722[[#This Row],[Bukti]],'Un nOTA'!$A$4:$K$5003,10,FALSE),"")</f>
        <v/>
      </c>
      <c r="I1676" s="112" t="str">
        <f>IFERROR(VLOOKUP(Table1722[[#This Row],[Bukti]],Table13[#Data],11,FALSE),"")</f>
        <v/>
      </c>
    </row>
    <row r="1677" spans="1:9" ht="19.5" hidden="1" customHeight="1" x14ac:dyDescent="0.2">
      <c r="A1677" s="105" t="str">
        <f>IF(D1677=1,COUNTIF($D$10:D1677,1)," ")</f>
        <v xml:space="preserve"> </v>
      </c>
      <c r="B1677" s="106">
        <f>COPY!AR1669</f>
        <v>0</v>
      </c>
      <c r="C1677" s="107">
        <f>COPY!AC1669</f>
        <v>0</v>
      </c>
      <c r="D1677" s="107" t="str">
        <f>IF(LEN(Table1722[[#This Row],[Uraian]])&gt;2,1," ")</f>
        <v xml:space="preserve"> </v>
      </c>
      <c r="E1677" s="113" t="str">
        <f>IF(Table1722[[#This Row],[Lawan Transaksi]]="CV AGUNG KARYA",COUNTIF($I$10:I1677,"CV AGUNG KARYA")," ")</f>
        <v xml:space="preserve"> </v>
      </c>
      <c r="F1677" s="107" t="str">
        <f>IF(LEN(Table1722[[#This Row],[Uraian]])&gt;2,TRIM(RIGHT(SUBSTITUTE(TRIM(C1677)," ",REPT(" ",255)),255))," ")</f>
        <v xml:space="preserve"> </v>
      </c>
      <c r="G1677" s="110">
        <f>COPY!Z1669</f>
        <v>0</v>
      </c>
      <c r="H1677" s="111" t="str">
        <f>IFERROR(VLOOKUP(Table1722[[#This Row],[Bukti]],'Un nOTA'!$A$4:$K$5003,10,FALSE),"")</f>
        <v/>
      </c>
      <c r="I1677" s="112" t="str">
        <f>IFERROR(VLOOKUP(Table1722[[#This Row],[Bukti]],Table13[#Data],11,FALSE),"")</f>
        <v/>
      </c>
    </row>
    <row r="1678" spans="1:9" ht="19.5" hidden="1" customHeight="1" x14ac:dyDescent="0.2">
      <c r="A1678" s="105" t="str">
        <f>IF(D1678=1,COUNTIF($D$10:D1678,1)," ")</f>
        <v xml:space="preserve"> </v>
      </c>
      <c r="B1678" s="106">
        <f>COPY!AR1670</f>
        <v>0</v>
      </c>
      <c r="C1678" s="107">
        <f>COPY!AC1670</f>
        <v>0</v>
      </c>
      <c r="D1678" s="107" t="str">
        <f>IF(LEN(Table1722[[#This Row],[Uraian]])&gt;2,1," ")</f>
        <v xml:space="preserve"> </v>
      </c>
      <c r="E1678" s="113" t="str">
        <f>IF(Table1722[[#This Row],[Lawan Transaksi]]="CV AGUNG KARYA",COUNTIF($I$10:I1678,"CV AGUNG KARYA")," ")</f>
        <v xml:space="preserve"> </v>
      </c>
      <c r="F1678" s="107" t="str">
        <f>IF(LEN(Table1722[[#This Row],[Uraian]])&gt;2,TRIM(RIGHT(SUBSTITUTE(TRIM(C1678)," ",REPT(" ",255)),255))," ")</f>
        <v xml:space="preserve"> </v>
      </c>
      <c r="G1678" s="110">
        <f>COPY!Z1670</f>
        <v>0</v>
      </c>
      <c r="H1678" s="111" t="str">
        <f>IFERROR(VLOOKUP(Table1722[[#This Row],[Bukti]],'Un nOTA'!$A$4:$K$5003,10,FALSE),"")</f>
        <v/>
      </c>
      <c r="I1678" s="112" t="str">
        <f>IFERROR(VLOOKUP(Table1722[[#This Row],[Bukti]],Table13[#Data],11,FALSE),"")</f>
        <v/>
      </c>
    </row>
    <row r="1679" spans="1:9" ht="19.5" hidden="1" customHeight="1" x14ac:dyDescent="0.2">
      <c r="A1679" s="105" t="str">
        <f>IF(D1679=1,COUNTIF($D$10:D1679,1)," ")</f>
        <v xml:space="preserve"> </v>
      </c>
      <c r="B1679" s="106">
        <f>COPY!AR1671</f>
        <v>0</v>
      </c>
      <c r="C1679" s="107">
        <f>COPY!AC1671</f>
        <v>0</v>
      </c>
      <c r="D1679" s="107" t="str">
        <f>IF(LEN(Table1722[[#This Row],[Uraian]])&gt;2,1," ")</f>
        <v xml:space="preserve"> </v>
      </c>
      <c r="E1679" s="113" t="str">
        <f>IF(Table1722[[#This Row],[Lawan Transaksi]]="CV AGUNG KARYA",COUNTIF($I$10:I1679,"CV AGUNG KARYA")," ")</f>
        <v xml:space="preserve"> </v>
      </c>
      <c r="F1679" s="107" t="str">
        <f>IF(LEN(Table1722[[#This Row],[Uraian]])&gt;2,TRIM(RIGHT(SUBSTITUTE(TRIM(C1679)," ",REPT(" ",255)),255))," ")</f>
        <v xml:space="preserve"> </v>
      </c>
      <c r="G1679" s="110">
        <f>COPY!Z1671</f>
        <v>0</v>
      </c>
      <c r="H1679" s="111" t="str">
        <f>IFERROR(VLOOKUP(Table1722[[#This Row],[Bukti]],'Un nOTA'!$A$4:$K$5003,10,FALSE),"")</f>
        <v/>
      </c>
      <c r="I1679" s="112" t="str">
        <f>IFERROR(VLOOKUP(Table1722[[#This Row],[Bukti]],Table13[#Data],11,FALSE),"")</f>
        <v/>
      </c>
    </row>
    <row r="1680" spans="1:9" ht="19.5" hidden="1" customHeight="1" x14ac:dyDescent="0.2">
      <c r="A1680" s="105" t="str">
        <f>IF(D1680=1,COUNTIF($D$10:D1680,1)," ")</f>
        <v xml:space="preserve"> </v>
      </c>
      <c r="B1680" s="106">
        <f>COPY!AR1672</f>
        <v>0</v>
      </c>
      <c r="C1680" s="107">
        <f>COPY!AC1672</f>
        <v>0</v>
      </c>
      <c r="D1680" s="107" t="str">
        <f>IF(LEN(Table1722[[#This Row],[Uraian]])&gt;2,1," ")</f>
        <v xml:space="preserve"> </v>
      </c>
      <c r="E1680" s="113" t="str">
        <f>IF(Table1722[[#This Row],[Lawan Transaksi]]="CV AGUNG KARYA",COUNTIF($I$10:I1680,"CV AGUNG KARYA")," ")</f>
        <v xml:space="preserve"> </v>
      </c>
      <c r="F1680" s="107" t="str">
        <f>IF(LEN(Table1722[[#This Row],[Uraian]])&gt;2,TRIM(RIGHT(SUBSTITUTE(TRIM(C1680)," ",REPT(" ",255)),255))," ")</f>
        <v xml:space="preserve"> </v>
      </c>
      <c r="G1680" s="110">
        <f>COPY!Z1672</f>
        <v>0</v>
      </c>
      <c r="H1680" s="111" t="str">
        <f>IFERROR(VLOOKUP(Table1722[[#This Row],[Bukti]],'Un nOTA'!$A$4:$K$5003,10,FALSE),"")</f>
        <v/>
      </c>
      <c r="I1680" s="112" t="str">
        <f>IFERROR(VLOOKUP(Table1722[[#This Row],[Bukti]],Table13[#Data],11,FALSE),"")</f>
        <v/>
      </c>
    </row>
    <row r="1681" spans="1:9" ht="19.5" hidden="1" customHeight="1" x14ac:dyDescent="0.2">
      <c r="A1681" s="105" t="str">
        <f>IF(D1681=1,COUNTIF($D$10:D1681,1)," ")</f>
        <v xml:space="preserve"> </v>
      </c>
      <c r="B1681" s="106">
        <f>COPY!AR1673</f>
        <v>0</v>
      </c>
      <c r="C1681" s="107">
        <f>COPY!AC1673</f>
        <v>0</v>
      </c>
      <c r="D1681" s="107" t="str">
        <f>IF(LEN(Table1722[[#This Row],[Uraian]])&gt;2,1," ")</f>
        <v xml:space="preserve"> </v>
      </c>
      <c r="E1681" s="113" t="str">
        <f>IF(Table1722[[#This Row],[Lawan Transaksi]]="CV AGUNG KARYA",COUNTIF($I$10:I1681,"CV AGUNG KARYA")," ")</f>
        <v xml:space="preserve"> </v>
      </c>
      <c r="F1681" s="107" t="str">
        <f>IF(LEN(Table1722[[#This Row],[Uraian]])&gt;2,TRIM(RIGHT(SUBSTITUTE(TRIM(C1681)," ",REPT(" ",255)),255))," ")</f>
        <v xml:space="preserve"> </v>
      </c>
      <c r="G1681" s="110">
        <f>COPY!Z1673</f>
        <v>0</v>
      </c>
      <c r="H1681" s="111" t="str">
        <f>IFERROR(VLOOKUP(Table1722[[#This Row],[Bukti]],'Un nOTA'!$A$4:$K$5003,10,FALSE),"")</f>
        <v/>
      </c>
      <c r="I1681" s="112" t="str">
        <f>IFERROR(VLOOKUP(Table1722[[#This Row],[Bukti]],Table13[#Data],11,FALSE),"")</f>
        <v/>
      </c>
    </row>
    <row r="1682" spans="1:9" ht="19.5" hidden="1" customHeight="1" x14ac:dyDescent="0.2">
      <c r="A1682" s="105" t="str">
        <f>IF(D1682=1,COUNTIF($D$10:D1682,1)," ")</f>
        <v xml:space="preserve"> </v>
      </c>
      <c r="B1682" s="106">
        <f>COPY!AR1674</f>
        <v>0</v>
      </c>
      <c r="C1682" s="107">
        <f>COPY!AC1674</f>
        <v>0</v>
      </c>
      <c r="D1682" s="107" t="str">
        <f>IF(LEN(Table1722[[#This Row],[Uraian]])&gt;2,1," ")</f>
        <v xml:space="preserve"> </v>
      </c>
      <c r="E1682" s="113" t="str">
        <f>IF(Table1722[[#This Row],[Lawan Transaksi]]="CV AGUNG KARYA",COUNTIF($I$10:I1682,"CV AGUNG KARYA")," ")</f>
        <v xml:space="preserve"> </v>
      </c>
      <c r="F1682" s="107" t="str">
        <f>IF(LEN(Table1722[[#This Row],[Uraian]])&gt;2,TRIM(RIGHT(SUBSTITUTE(TRIM(C1682)," ",REPT(" ",255)),255))," ")</f>
        <v xml:space="preserve"> </v>
      </c>
      <c r="G1682" s="110">
        <f>COPY!Z1674</f>
        <v>0</v>
      </c>
      <c r="H1682" s="111" t="str">
        <f>IFERROR(VLOOKUP(Table1722[[#This Row],[Bukti]],'Un nOTA'!$A$4:$K$5003,10,FALSE),"")</f>
        <v/>
      </c>
      <c r="I1682" s="112" t="str">
        <f>IFERROR(VLOOKUP(Table1722[[#This Row],[Bukti]],Table13[#Data],11,FALSE),"")</f>
        <v/>
      </c>
    </row>
    <row r="1683" spans="1:9" ht="19.5" hidden="1" customHeight="1" x14ac:dyDescent="0.2">
      <c r="A1683" s="105" t="str">
        <f>IF(D1683=1,COUNTIF($D$10:D1683,1)," ")</f>
        <v xml:space="preserve"> </v>
      </c>
      <c r="B1683" s="106">
        <f>COPY!AR1675</f>
        <v>0</v>
      </c>
      <c r="C1683" s="107">
        <f>COPY!AC1675</f>
        <v>0</v>
      </c>
      <c r="D1683" s="107" t="str">
        <f>IF(LEN(Table1722[[#This Row],[Uraian]])&gt;2,1," ")</f>
        <v xml:space="preserve"> </v>
      </c>
      <c r="E1683" s="113" t="str">
        <f>IF(Table1722[[#This Row],[Lawan Transaksi]]="CV AGUNG KARYA",COUNTIF($I$10:I1683,"CV AGUNG KARYA")," ")</f>
        <v xml:space="preserve"> </v>
      </c>
      <c r="F1683" s="107" t="str">
        <f>IF(LEN(Table1722[[#This Row],[Uraian]])&gt;2,TRIM(RIGHT(SUBSTITUTE(TRIM(C1683)," ",REPT(" ",255)),255))," ")</f>
        <v xml:space="preserve"> </v>
      </c>
      <c r="G1683" s="110">
        <f>COPY!Z1675</f>
        <v>0</v>
      </c>
      <c r="H1683" s="111" t="str">
        <f>IFERROR(VLOOKUP(Table1722[[#This Row],[Bukti]],'Un nOTA'!$A$4:$K$5003,10,FALSE),"")</f>
        <v/>
      </c>
      <c r="I1683" s="112" t="str">
        <f>IFERROR(VLOOKUP(Table1722[[#This Row],[Bukti]],Table13[#Data],11,FALSE),"")</f>
        <v/>
      </c>
    </row>
    <row r="1684" spans="1:9" ht="19.5" hidden="1" customHeight="1" x14ac:dyDescent="0.2">
      <c r="A1684" s="105" t="str">
        <f>IF(D1684=1,COUNTIF($D$10:D1684,1)," ")</f>
        <v xml:space="preserve"> </v>
      </c>
      <c r="B1684" s="106">
        <f>COPY!AR1676</f>
        <v>0</v>
      </c>
      <c r="C1684" s="107">
        <f>COPY!AC1676</f>
        <v>0</v>
      </c>
      <c r="D1684" s="107" t="str">
        <f>IF(LEN(Table1722[[#This Row],[Uraian]])&gt;2,1," ")</f>
        <v xml:space="preserve"> </v>
      </c>
      <c r="E1684" s="113" t="str">
        <f>IF(Table1722[[#This Row],[Lawan Transaksi]]="CV AGUNG KARYA",COUNTIF($I$10:I1684,"CV AGUNG KARYA")," ")</f>
        <v xml:space="preserve"> </v>
      </c>
      <c r="F1684" s="107" t="str">
        <f>IF(LEN(Table1722[[#This Row],[Uraian]])&gt;2,TRIM(RIGHT(SUBSTITUTE(TRIM(C1684)," ",REPT(" ",255)),255))," ")</f>
        <v xml:space="preserve"> </v>
      </c>
      <c r="G1684" s="110">
        <f>COPY!Z1676</f>
        <v>0</v>
      </c>
      <c r="H1684" s="111" t="str">
        <f>IFERROR(VLOOKUP(Table1722[[#This Row],[Bukti]],'Un nOTA'!$A$4:$K$5003,10,FALSE),"")</f>
        <v/>
      </c>
      <c r="I1684" s="112" t="str">
        <f>IFERROR(VLOOKUP(Table1722[[#This Row],[Bukti]],Table13[#Data],11,FALSE),"")</f>
        <v/>
      </c>
    </row>
    <row r="1685" spans="1:9" ht="19.5" hidden="1" customHeight="1" x14ac:dyDescent="0.2">
      <c r="A1685" s="105" t="str">
        <f>IF(D1685=1,COUNTIF($D$10:D1685,1)," ")</f>
        <v xml:space="preserve"> </v>
      </c>
      <c r="B1685" s="106">
        <f>COPY!AR1677</f>
        <v>0</v>
      </c>
      <c r="C1685" s="107">
        <f>COPY!AC1677</f>
        <v>0</v>
      </c>
      <c r="D1685" s="107" t="str">
        <f>IF(LEN(Table1722[[#This Row],[Uraian]])&gt;2,1," ")</f>
        <v xml:space="preserve"> </v>
      </c>
      <c r="E1685" s="113" t="str">
        <f>IF(Table1722[[#This Row],[Lawan Transaksi]]="CV AGUNG KARYA",COUNTIF($I$10:I1685,"CV AGUNG KARYA")," ")</f>
        <v xml:space="preserve"> </v>
      </c>
      <c r="F1685" s="107" t="str">
        <f>IF(LEN(Table1722[[#This Row],[Uraian]])&gt;2,TRIM(RIGHT(SUBSTITUTE(TRIM(C1685)," ",REPT(" ",255)),255))," ")</f>
        <v xml:space="preserve"> </v>
      </c>
      <c r="G1685" s="110">
        <f>COPY!Z1677</f>
        <v>0</v>
      </c>
      <c r="H1685" s="111" t="str">
        <f>IFERROR(VLOOKUP(Table1722[[#This Row],[Bukti]],'Un nOTA'!$A$4:$K$5003,10,FALSE),"")</f>
        <v/>
      </c>
      <c r="I1685" s="112" t="str">
        <f>IFERROR(VLOOKUP(Table1722[[#This Row],[Bukti]],Table13[#Data],11,FALSE),"")</f>
        <v/>
      </c>
    </row>
    <row r="1686" spans="1:9" ht="19.5" hidden="1" customHeight="1" x14ac:dyDescent="0.2">
      <c r="A1686" s="105" t="str">
        <f>IF(D1686=1,COUNTIF($D$10:D1686,1)," ")</f>
        <v xml:space="preserve"> </v>
      </c>
      <c r="B1686" s="106">
        <f>COPY!AR1678</f>
        <v>0</v>
      </c>
      <c r="C1686" s="107">
        <f>COPY!AC1678</f>
        <v>0</v>
      </c>
      <c r="D1686" s="107" t="str">
        <f>IF(LEN(Table1722[[#This Row],[Uraian]])&gt;2,1," ")</f>
        <v xml:space="preserve"> </v>
      </c>
      <c r="E1686" s="113" t="str">
        <f>IF(Table1722[[#This Row],[Lawan Transaksi]]="CV AGUNG KARYA",COUNTIF($I$10:I1686,"CV AGUNG KARYA")," ")</f>
        <v xml:space="preserve"> </v>
      </c>
      <c r="F1686" s="107" t="str">
        <f>IF(LEN(Table1722[[#This Row],[Uraian]])&gt;2,TRIM(RIGHT(SUBSTITUTE(TRIM(C1686)," ",REPT(" ",255)),255))," ")</f>
        <v xml:space="preserve"> </v>
      </c>
      <c r="G1686" s="110">
        <f>COPY!Z1678</f>
        <v>0</v>
      </c>
      <c r="H1686" s="111" t="str">
        <f>IFERROR(VLOOKUP(Table1722[[#This Row],[Bukti]],'Un nOTA'!$A$4:$K$5003,10,FALSE),"")</f>
        <v/>
      </c>
      <c r="I1686" s="112" t="str">
        <f>IFERROR(VLOOKUP(Table1722[[#This Row],[Bukti]],Table13[#Data],11,FALSE),"")</f>
        <v/>
      </c>
    </row>
    <row r="1687" spans="1:9" ht="19.5" hidden="1" customHeight="1" x14ac:dyDescent="0.2">
      <c r="A1687" s="105" t="str">
        <f>IF(D1687=1,COUNTIF($D$10:D1687,1)," ")</f>
        <v xml:space="preserve"> </v>
      </c>
      <c r="B1687" s="106">
        <f>COPY!AR1679</f>
        <v>0</v>
      </c>
      <c r="C1687" s="107">
        <f>COPY!AC1679</f>
        <v>0</v>
      </c>
      <c r="D1687" s="107" t="str">
        <f>IF(LEN(Table1722[[#This Row],[Uraian]])&gt;2,1," ")</f>
        <v xml:space="preserve"> </v>
      </c>
      <c r="E1687" s="113" t="str">
        <f>IF(Table1722[[#This Row],[Lawan Transaksi]]="CV AGUNG KARYA",COUNTIF($I$10:I1687,"CV AGUNG KARYA")," ")</f>
        <v xml:space="preserve"> </v>
      </c>
      <c r="F1687" s="107" t="str">
        <f>IF(LEN(Table1722[[#This Row],[Uraian]])&gt;2,TRIM(RIGHT(SUBSTITUTE(TRIM(C1687)," ",REPT(" ",255)),255))," ")</f>
        <v xml:space="preserve"> </v>
      </c>
      <c r="G1687" s="110">
        <f>COPY!Z1679</f>
        <v>0</v>
      </c>
      <c r="H1687" s="111" t="str">
        <f>IFERROR(VLOOKUP(Table1722[[#This Row],[Bukti]],'Un nOTA'!$A$4:$K$5003,10,FALSE),"")</f>
        <v/>
      </c>
      <c r="I1687" s="112" t="str">
        <f>IFERROR(VLOOKUP(Table1722[[#This Row],[Bukti]],Table13[#Data],11,FALSE),"")</f>
        <v/>
      </c>
    </row>
    <row r="1688" spans="1:9" ht="19.5" hidden="1" customHeight="1" x14ac:dyDescent="0.2">
      <c r="A1688" s="105" t="str">
        <f>IF(D1688=1,COUNTIF($D$10:D1688,1)," ")</f>
        <v xml:space="preserve"> </v>
      </c>
      <c r="B1688" s="106">
        <f>COPY!AR1680</f>
        <v>0</v>
      </c>
      <c r="C1688" s="107">
        <f>COPY!AC1680</f>
        <v>0</v>
      </c>
      <c r="D1688" s="107" t="str">
        <f>IF(LEN(Table1722[[#This Row],[Uraian]])&gt;2,1," ")</f>
        <v xml:space="preserve"> </v>
      </c>
      <c r="E1688" s="113" t="str">
        <f>IF(Table1722[[#This Row],[Lawan Transaksi]]="CV AGUNG KARYA",COUNTIF($I$10:I1688,"CV AGUNG KARYA")," ")</f>
        <v xml:space="preserve"> </v>
      </c>
      <c r="F1688" s="107" t="str">
        <f>IF(LEN(Table1722[[#This Row],[Uraian]])&gt;2,TRIM(RIGHT(SUBSTITUTE(TRIM(C1688)," ",REPT(" ",255)),255))," ")</f>
        <v xml:space="preserve"> </v>
      </c>
      <c r="G1688" s="110">
        <f>COPY!Z1680</f>
        <v>0</v>
      </c>
      <c r="H1688" s="111" t="str">
        <f>IFERROR(VLOOKUP(Table1722[[#This Row],[Bukti]],'Un nOTA'!$A$4:$K$5003,10,FALSE),"")</f>
        <v/>
      </c>
      <c r="I1688" s="112" t="str">
        <f>IFERROR(VLOOKUP(Table1722[[#This Row],[Bukti]],Table13[#Data],11,FALSE),"")</f>
        <v/>
      </c>
    </row>
    <row r="1689" spans="1:9" ht="19.5" hidden="1" customHeight="1" x14ac:dyDescent="0.2">
      <c r="A1689" s="105" t="str">
        <f>IF(D1689=1,COUNTIF($D$10:D1689,1)," ")</f>
        <v xml:space="preserve"> </v>
      </c>
      <c r="B1689" s="106">
        <f>COPY!AR1681</f>
        <v>0</v>
      </c>
      <c r="C1689" s="107">
        <f>COPY!AC1681</f>
        <v>0</v>
      </c>
      <c r="D1689" s="107" t="str">
        <f>IF(LEN(Table1722[[#This Row],[Uraian]])&gt;2,1," ")</f>
        <v xml:space="preserve"> </v>
      </c>
      <c r="E1689" s="113" t="str">
        <f>IF(Table1722[[#This Row],[Lawan Transaksi]]="CV AGUNG KARYA",COUNTIF($I$10:I1689,"CV AGUNG KARYA")," ")</f>
        <v xml:space="preserve"> </v>
      </c>
      <c r="F1689" s="107" t="str">
        <f>IF(LEN(Table1722[[#This Row],[Uraian]])&gt;2,TRIM(RIGHT(SUBSTITUTE(TRIM(C1689)," ",REPT(" ",255)),255))," ")</f>
        <v xml:space="preserve"> </v>
      </c>
      <c r="G1689" s="110">
        <f>COPY!Z1681</f>
        <v>0</v>
      </c>
      <c r="H1689" s="111" t="str">
        <f>IFERROR(VLOOKUP(Table1722[[#This Row],[Bukti]],'Un nOTA'!$A$4:$K$5003,10,FALSE),"")</f>
        <v/>
      </c>
      <c r="I1689" s="112" t="str">
        <f>IFERROR(VLOOKUP(Table1722[[#This Row],[Bukti]],Table13[#Data],11,FALSE),"")</f>
        <v/>
      </c>
    </row>
    <row r="1690" spans="1:9" ht="19.5" hidden="1" customHeight="1" x14ac:dyDescent="0.2">
      <c r="A1690" s="105" t="str">
        <f>IF(D1690=1,COUNTIF($D$10:D1690,1)," ")</f>
        <v xml:space="preserve"> </v>
      </c>
      <c r="B1690" s="106">
        <f>COPY!AR1682</f>
        <v>0</v>
      </c>
      <c r="C1690" s="107">
        <f>COPY!AC1682</f>
        <v>0</v>
      </c>
      <c r="D1690" s="107" t="str">
        <f>IF(LEN(Table1722[[#This Row],[Uraian]])&gt;2,1," ")</f>
        <v xml:space="preserve"> </v>
      </c>
      <c r="E1690" s="113" t="str">
        <f>IF(Table1722[[#This Row],[Lawan Transaksi]]="CV AGUNG KARYA",COUNTIF($I$10:I1690,"CV AGUNG KARYA")," ")</f>
        <v xml:space="preserve"> </v>
      </c>
      <c r="F1690" s="107" t="str">
        <f>IF(LEN(Table1722[[#This Row],[Uraian]])&gt;2,TRIM(RIGHT(SUBSTITUTE(TRIM(C1690)," ",REPT(" ",255)),255))," ")</f>
        <v xml:space="preserve"> </v>
      </c>
      <c r="G1690" s="110">
        <f>COPY!Z1682</f>
        <v>0</v>
      </c>
      <c r="H1690" s="111" t="str">
        <f>IFERROR(VLOOKUP(Table1722[[#This Row],[Bukti]],'Un nOTA'!$A$4:$K$5003,10,FALSE),"")</f>
        <v/>
      </c>
      <c r="I1690" s="112" t="str">
        <f>IFERROR(VLOOKUP(Table1722[[#This Row],[Bukti]],Table13[#Data],11,FALSE),"")</f>
        <v/>
      </c>
    </row>
    <row r="1691" spans="1:9" ht="19.5" hidden="1" customHeight="1" x14ac:dyDescent="0.2">
      <c r="A1691" s="105" t="str">
        <f>IF(D1691=1,COUNTIF($D$10:D1691,1)," ")</f>
        <v xml:space="preserve"> </v>
      </c>
      <c r="B1691" s="106">
        <f>COPY!AR1683</f>
        <v>0</v>
      </c>
      <c r="C1691" s="107">
        <f>COPY!AC1683</f>
        <v>0</v>
      </c>
      <c r="D1691" s="107" t="str">
        <f>IF(LEN(Table1722[[#This Row],[Uraian]])&gt;2,1," ")</f>
        <v xml:space="preserve"> </v>
      </c>
      <c r="E1691" s="113" t="str">
        <f>IF(Table1722[[#This Row],[Lawan Transaksi]]="CV AGUNG KARYA",COUNTIF($I$10:I1691,"CV AGUNG KARYA")," ")</f>
        <v xml:space="preserve"> </v>
      </c>
      <c r="F1691" s="107" t="str">
        <f>IF(LEN(Table1722[[#This Row],[Uraian]])&gt;2,TRIM(RIGHT(SUBSTITUTE(TRIM(C1691)," ",REPT(" ",255)),255))," ")</f>
        <v xml:space="preserve"> </v>
      </c>
      <c r="G1691" s="110">
        <f>COPY!Z1683</f>
        <v>0</v>
      </c>
      <c r="H1691" s="111" t="str">
        <f>IFERROR(VLOOKUP(Table1722[[#This Row],[Bukti]],'Un nOTA'!$A$4:$K$5003,10,FALSE),"")</f>
        <v/>
      </c>
      <c r="I1691" s="112" t="str">
        <f>IFERROR(VLOOKUP(Table1722[[#This Row],[Bukti]],Table13[#Data],11,FALSE),"")</f>
        <v/>
      </c>
    </row>
    <row r="1692" spans="1:9" ht="19.5" hidden="1" customHeight="1" x14ac:dyDescent="0.2">
      <c r="A1692" s="105" t="str">
        <f>IF(D1692=1,COUNTIF($D$10:D1692,1)," ")</f>
        <v xml:space="preserve"> </v>
      </c>
      <c r="B1692" s="106">
        <f>COPY!AR1684</f>
        <v>0</v>
      </c>
      <c r="C1692" s="107">
        <f>COPY!AC1684</f>
        <v>0</v>
      </c>
      <c r="D1692" s="107" t="str">
        <f>IF(LEN(Table1722[[#This Row],[Uraian]])&gt;2,1," ")</f>
        <v xml:space="preserve"> </v>
      </c>
      <c r="E1692" s="113" t="str">
        <f>IF(Table1722[[#This Row],[Lawan Transaksi]]="CV AGUNG KARYA",COUNTIF($I$10:I1692,"CV AGUNG KARYA")," ")</f>
        <v xml:space="preserve"> </v>
      </c>
      <c r="F1692" s="107" t="str">
        <f>IF(LEN(Table1722[[#This Row],[Uraian]])&gt;2,TRIM(RIGHT(SUBSTITUTE(TRIM(C1692)," ",REPT(" ",255)),255))," ")</f>
        <v xml:space="preserve"> </v>
      </c>
      <c r="G1692" s="110">
        <f>COPY!Z1684</f>
        <v>0</v>
      </c>
      <c r="H1692" s="111" t="str">
        <f>IFERROR(VLOOKUP(Table1722[[#This Row],[Bukti]],'Un nOTA'!$A$4:$K$5003,10,FALSE),"")</f>
        <v/>
      </c>
      <c r="I1692" s="112" t="str">
        <f>IFERROR(VLOOKUP(Table1722[[#This Row],[Bukti]],Table13[#Data],11,FALSE),"")</f>
        <v/>
      </c>
    </row>
    <row r="1693" spans="1:9" ht="19.5" hidden="1" customHeight="1" x14ac:dyDescent="0.2">
      <c r="A1693" s="105" t="str">
        <f>IF(D1693=1,COUNTIF($D$10:D1693,1)," ")</f>
        <v xml:space="preserve"> </v>
      </c>
      <c r="B1693" s="106">
        <f>COPY!AR1685</f>
        <v>0</v>
      </c>
      <c r="C1693" s="107">
        <f>COPY!AC1685</f>
        <v>0</v>
      </c>
      <c r="D1693" s="107" t="str">
        <f>IF(LEN(Table1722[[#This Row],[Uraian]])&gt;2,1," ")</f>
        <v xml:space="preserve"> </v>
      </c>
      <c r="E1693" s="113" t="str">
        <f>IF(Table1722[[#This Row],[Lawan Transaksi]]="CV AGUNG KARYA",COUNTIF($I$10:I1693,"CV AGUNG KARYA")," ")</f>
        <v xml:space="preserve"> </v>
      </c>
      <c r="F1693" s="107" t="str">
        <f>IF(LEN(Table1722[[#This Row],[Uraian]])&gt;2,TRIM(RIGHT(SUBSTITUTE(TRIM(C1693)," ",REPT(" ",255)),255))," ")</f>
        <v xml:space="preserve"> </v>
      </c>
      <c r="G1693" s="110">
        <f>COPY!Z1685</f>
        <v>0</v>
      </c>
      <c r="H1693" s="111" t="str">
        <f>IFERROR(VLOOKUP(Table1722[[#This Row],[Bukti]],'Un nOTA'!$A$4:$K$5003,10,FALSE),"")</f>
        <v/>
      </c>
      <c r="I1693" s="112" t="str">
        <f>IFERROR(VLOOKUP(Table1722[[#This Row],[Bukti]],Table13[#Data],11,FALSE),"")</f>
        <v/>
      </c>
    </row>
    <row r="1694" spans="1:9" ht="19.5" hidden="1" customHeight="1" x14ac:dyDescent="0.2">
      <c r="A1694" s="105" t="str">
        <f>IF(D1694=1,COUNTIF($D$10:D1694,1)," ")</f>
        <v xml:space="preserve"> </v>
      </c>
      <c r="B1694" s="106">
        <f>COPY!AR1686</f>
        <v>0</v>
      </c>
      <c r="C1694" s="107">
        <f>COPY!AC1686</f>
        <v>0</v>
      </c>
      <c r="D1694" s="107" t="str">
        <f>IF(LEN(Table1722[[#This Row],[Uraian]])&gt;2,1," ")</f>
        <v xml:space="preserve"> </v>
      </c>
      <c r="E1694" s="113" t="str">
        <f>IF(Table1722[[#This Row],[Lawan Transaksi]]="CV AGUNG KARYA",COUNTIF($I$10:I1694,"CV AGUNG KARYA")," ")</f>
        <v xml:space="preserve"> </v>
      </c>
      <c r="F1694" s="107" t="str">
        <f>IF(LEN(Table1722[[#This Row],[Uraian]])&gt;2,TRIM(RIGHT(SUBSTITUTE(TRIM(C1694)," ",REPT(" ",255)),255))," ")</f>
        <v xml:space="preserve"> </v>
      </c>
      <c r="G1694" s="110">
        <f>COPY!Z1686</f>
        <v>0</v>
      </c>
      <c r="H1694" s="111" t="str">
        <f>IFERROR(VLOOKUP(Table1722[[#This Row],[Bukti]],'Un nOTA'!$A$4:$K$5003,10,FALSE),"")</f>
        <v/>
      </c>
      <c r="I1694" s="112" t="str">
        <f>IFERROR(VLOOKUP(Table1722[[#This Row],[Bukti]],Table13[#Data],11,FALSE),"")</f>
        <v/>
      </c>
    </row>
    <row r="1695" spans="1:9" ht="19.5" hidden="1" customHeight="1" x14ac:dyDescent="0.2">
      <c r="A1695" s="105" t="str">
        <f>IF(D1695=1,COUNTIF($D$10:D1695,1)," ")</f>
        <v xml:space="preserve"> </v>
      </c>
      <c r="B1695" s="106">
        <f>COPY!AR1687</f>
        <v>0</v>
      </c>
      <c r="C1695" s="107">
        <f>COPY!AC1687</f>
        <v>0</v>
      </c>
      <c r="D1695" s="107" t="str">
        <f>IF(LEN(Table1722[[#This Row],[Uraian]])&gt;2,1," ")</f>
        <v xml:space="preserve"> </v>
      </c>
      <c r="E1695" s="113" t="str">
        <f>IF(Table1722[[#This Row],[Lawan Transaksi]]="CV AGUNG KARYA",COUNTIF($I$10:I1695,"CV AGUNG KARYA")," ")</f>
        <v xml:space="preserve"> </v>
      </c>
      <c r="F1695" s="107" t="str">
        <f>IF(LEN(Table1722[[#This Row],[Uraian]])&gt;2,TRIM(RIGHT(SUBSTITUTE(TRIM(C1695)," ",REPT(" ",255)),255))," ")</f>
        <v xml:space="preserve"> </v>
      </c>
      <c r="G1695" s="110">
        <f>COPY!Z1687</f>
        <v>0</v>
      </c>
      <c r="H1695" s="111" t="str">
        <f>IFERROR(VLOOKUP(Table1722[[#This Row],[Bukti]],'Un nOTA'!$A$4:$K$5003,10,FALSE),"")</f>
        <v/>
      </c>
      <c r="I1695" s="112" t="str">
        <f>IFERROR(VLOOKUP(Table1722[[#This Row],[Bukti]],Table13[#Data],11,FALSE),"")</f>
        <v/>
      </c>
    </row>
    <row r="1696" spans="1:9" ht="19.5" hidden="1" customHeight="1" x14ac:dyDescent="0.2">
      <c r="A1696" s="105" t="str">
        <f>IF(D1696=1,COUNTIF($D$10:D1696,1)," ")</f>
        <v xml:space="preserve"> </v>
      </c>
      <c r="B1696" s="106">
        <f>COPY!AR1688</f>
        <v>0</v>
      </c>
      <c r="C1696" s="107">
        <f>COPY!AC1688</f>
        <v>0</v>
      </c>
      <c r="D1696" s="107" t="str">
        <f>IF(LEN(Table1722[[#This Row],[Uraian]])&gt;2,1," ")</f>
        <v xml:space="preserve"> </v>
      </c>
      <c r="E1696" s="113" t="str">
        <f>IF(Table1722[[#This Row],[Lawan Transaksi]]="CV AGUNG KARYA",COUNTIF($I$10:I1696,"CV AGUNG KARYA")," ")</f>
        <v xml:space="preserve"> </v>
      </c>
      <c r="F1696" s="107" t="str">
        <f>IF(LEN(Table1722[[#This Row],[Uraian]])&gt;2,TRIM(RIGHT(SUBSTITUTE(TRIM(C1696)," ",REPT(" ",255)),255))," ")</f>
        <v xml:space="preserve"> </v>
      </c>
      <c r="G1696" s="110">
        <f>COPY!Z1688</f>
        <v>0</v>
      </c>
      <c r="H1696" s="111" t="str">
        <f>IFERROR(VLOOKUP(Table1722[[#This Row],[Bukti]],'Un nOTA'!$A$4:$K$5003,10,FALSE),"")</f>
        <v/>
      </c>
      <c r="I1696" s="112" t="str">
        <f>IFERROR(VLOOKUP(Table1722[[#This Row],[Bukti]],Table13[#Data],11,FALSE),"")</f>
        <v/>
      </c>
    </row>
    <row r="1697" spans="1:9" ht="19.5" hidden="1" customHeight="1" x14ac:dyDescent="0.2">
      <c r="A1697" s="105" t="str">
        <f>IF(D1697=1,COUNTIF($D$10:D1697,1)," ")</f>
        <v xml:space="preserve"> </v>
      </c>
      <c r="B1697" s="106">
        <f>COPY!AR1689</f>
        <v>0</v>
      </c>
      <c r="C1697" s="107">
        <f>COPY!AC1689</f>
        <v>0</v>
      </c>
      <c r="D1697" s="107" t="str">
        <f>IF(LEN(Table1722[[#This Row],[Uraian]])&gt;2,1," ")</f>
        <v xml:space="preserve"> </v>
      </c>
      <c r="E1697" s="113" t="str">
        <f>IF(Table1722[[#This Row],[Lawan Transaksi]]="CV AGUNG KARYA",COUNTIF($I$10:I1697,"CV AGUNG KARYA")," ")</f>
        <v xml:space="preserve"> </v>
      </c>
      <c r="F1697" s="107" t="str">
        <f>IF(LEN(Table1722[[#This Row],[Uraian]])&gt;2,TRIM(RIGHT(SUBSTITUTE(TRIM(C1697)," ",REPT(" ",255)),255))," ")</f>
        <v xml:space="preserve"> </v>
      </c>
      <c r="G1697" s="110">
        <f>COPY!Z1689</f>
        <v>0</v>
      </c>
      <c r="H1697" s="111" t="str">
        <f>IFERROR(VLOOKUP(Table1722[[#This Row],[Bukti]],'Un nOTA'!$A$4:$K$5003,10,FALSE),"")</f>
        <v/>
      </c>
      <c r="I1697" s="112" t="str">
        <f>IFERROR(VLOOKUP(Table1722[[#This Row],[Bukti]],Table13[#Data],11,FALSE),"")</f>
        <v/>
      </c>
    </row>
    <row r="1698" spans="1:9" ht="19.5" hidden="1" customHeight="1" x14ac:dyDescent="0.2">
      <c r="A1698" s="105" t="str">
        <f>IF(D1698=1,COUNTIF($D$10:D1698,1)," ")</f>
        <v xml:space="preserve"> </v>
      </c>
      <c r="B1698" s="106">
        <f>COPY!AR1690</f>
        <v>0</v>
      </c>
      <c r="C1698" s="107">
        <f>COPY!AC1690</f>
        <v>0</v>
      </c>
      <c r="D1698" s="107" t="str">
        <f>IF(LEN(Table1722[[#This Row],[Uraian]])&gt;2,1," ")</f>
        <v xml:space="preserve"> </v>
      </c>
      <c r="E1698" s="113" t="str">
        <f>IF(Table1722[[#This Row],[Lawan Transaksi]]="CV AGUNG KARYA",COUNTIF($I$10:I1698,"CV AGUNG KARYA")," ")</f>
        <v xml:space="preserve"> </v>
      </c>
      <c r="F1698" s="107" t="str">
        <f>IF(LEN(Table1722[[#This Row],[Uraian]])&gt;2,TRIM(RIGHT(SUBSTITUTE(TRIM(C1698)," ",REPT(" ",255)),255))," ")</f>
        <v xml:space="preserve"> </v>
      </c>
      <c r="G1698" s="110">
        <f>COPY!Z1690</f>
        <v>0</v>
      </c>
      <c r="H1698" s="111" t="str">
        <f>IFERROR(VLOOKUP(Table1722[[#This Row],[Bukti]],'Un nOTA'!$A$4:$K$5003,10,FALSE),"")</f>
        <v/>
      </c>
      <c r="I1698" s="112" t="str">
        <f>IFERROR(VLOOKUP(Table1722[[#This Row],[Bukti]],Table13[#Data],11,FALSE),"")</f>
        <v/>
      </c>
    </row>
    <row r="1699" spans="1:9" ht="19.5" hidden="1" customHeight="1" x14ac:dyDescent="0.2">
      <c r="A1699" s="105" t="str">
        <f>IF(D1699=1,COUNTIF($D$10:D1699,1)," ")</f>
        <v xml:space="preserve"> </v>
      </c>
      <c r="B1699" s="106">
        <f>COPY!AR1691</f>
        <v>0</v>
      </c>
      <c r="C1699" s="107">
        <f>COPY!AC1691</f>
        <v>0</v>
      </c>
      <c r="D1699" s="107" t="str">
        <f>IF(LEN(Table1722[[#This Row],[Uraian]])&gt;2,1," ")</f>
        <v xml:space="preserve"> </v>
      </c>
      <c r="E1699" s="113" t="str">
        <f>IF(Table1722[[#This Row],[Lawan Transaksi]]="CV AGUNG KARYA",COUNTIF($I$10:I1699,"CV AGUNG KARYA")," ")</f>
        <v xml:space="preserve"> </v>
      </c>
      <c r="F1699" s="107" t="str">
        <f>IF(LEN(Table1722[[#This Row],[Uraian]])&gt;2,TRIM(RIGHT(SUBSTITUTE(TRIM(C1699)," ",REPT(" ",255)),255))," ")</f>
        <v xml:space="preserve"> </v>
      </c>
      <c r="G1699" s="110">
        <f>COPY!Z1691</f>
        <v>0</v>
      </c>
      <c r="H1699" s="111" t="str">
        <f>IFERROR(VLOOKUP(Table1722[[#This Row],[Bukti]],'Un nOTA'!$A$4:$K$5003,10,FALSE),"")</f>
        <v/>
      </c>
      <c r="I1699" s="112" t="str">
        <f>IFERROR(VLOOKUP(Table1722[[#This Row],[Bukti]],Table13[#Data],11,FALSE),"")</f>
        <v/>
      </c>
    </row>
    <row r="1700" spans="1:9" ht="19.5" hidden="1" customHeight="1" x14ac:dyDescent="0.2">
      <c r="A1700" s="105" t="str">
        <f>IF(D1700=1,COUNTIF($D$10:D1700,1)," ")</f>
        <v xml:space="preserve"> </v>
      </c>
      <c r="B1700" s="106">
        <f>COPY!AR1692</f>
        <v>0</v>
      </c>
      <c r="C1700" s="107">
        <f>COPY!AC1692</f>
        <v>0</v>
      </c>
      <c r="D1700" s="107" t="str">
        <f>IF(LEN(Table1722[[#This Row],[Uraian]])&gt;2,1," ")</f>
        <v xml:space="preserve"> </v>
      </c>
      <c r="E1700" s="113" t="str">
        <f>IF(Table1722[[#This Row],[Lawan Transaksi]]="CV AGUNG KARYA",COUNTIF($I$10:I1700,"CV AGUNG KARYA")," ")</f>
        <v xml:space="preserve"> </v>
      </c>
      <c r="F1700" s="107" t="str">
        <f>IF(LEN(Table1722[[#This Row],[Uraian]])&gt;2,TRIM(RIGHT(SUBSTITUTE(TRIM(C1700)," ",REPT(" ",255)),255))," ")</f>
        <v xml:space="preserve"> </v>
      </c>
      <c r="G1700" s="110">
        <f>COPY!Z1692</f>
        <v>0</v>
      </c>
      <c r="H1700" s="111" t="str">
        <f>IFERROR(VLOOKUP(Table1722[[#This Row],[Bukti]],'Un nOTA'!$A$4:$K$5003,10,FALSE),"")</f>
        <v/>
      </c>
      <c r="I1700" s="112" t="str">
        <f>IFERROR(VLOOKUP(Table1722[[#This Row],[Bukti]],Table13[#Data],11,FALSE),"")</f>
        <v/>
      </c>
    </row>
    <row r="1701" spans="1:9" ht="19.5" hidden="1" customHeight="1" x14ac:dyDescent="0.2">
      <c r="A1701" s="105" t="str">
        <f>IF(D1701=1,COUNTIF($D$10:D1701,1)," ")</f>
        <v xml:space="preserve"> </v>
      </c>
      <c r="B1701" s="106">
        <f>COPY!AR1693</f>
        <v>0</v>
      </c>
      <c r="C1701" s="107">
        <f>COPY!AC1693</f>
        <v>0</v>
      </c>
      <c r="D1701" s="107" t="str">
        <f>IF(LEN(Table1722[[#This Row],[Uraian]])&gt;2,1," ")</f>
        <v xml:space="preserve"> </v>
      </c>
      <c r="E1701" s="113" t="str">
        <f>IF(Table1722[[#This Row],[Lawan Transaksi]]="CV AGUNG KARYA",COUNTIF($I$10:I1701,"CV AGUNG KARYA")," ")</f>
        <v xml:space="preserve"> </v>
      </c>
      <c r="F1701" s="107" t="str">
        <f>IF(LEN(Table1722[[#This Row],[Uraian]])&gt;2,TRIM(RIGHT(SUBSTITUTE(TRIM(C1701)," ",REPT(" ",255)),255))," ")</f>
        <v xml:space="preserve"> </v>
      </c>
      <c r="G1701" s="110">
        <f>COPY!Z1693</f>
        <v>0</v>
      </c>
      <c r="H1701" s="111" t="str">
        <f>IFERROR(VLOOKUP(Table1722[[#This Row],[Bukti]],'Un nOTA'!$A$4:$K$5003,10,FALSE),"")</f>
        <v/>
      </c>
      <c r="I1701" s="112" t="str">
        <f>IFERROR(VLOOKUP(Table1722[[#This Row],[Bukti]],Table13[#Data],11,FALSE),"")</f>
        <v/>
      </c>
    </row>
    <row r="1702" spans="1:9" ht="19.5" hidden="1" customHeight="1" x14ac:dyDescent="0.2">
      <c r="A1702" s="105" t="str">
        <f>IF(D1702=1,COUNTIF($D$10:D1702,1)," ")</f>
        <v xml:space="preserve"> </v>
      </c>
      <c r="B1702" s="106">
        <f>COPY!AR1694</f>
        <v>0</v>
      </c>
      <c r="C1702" s="107">
        <f>COPY!AC1694</f>
        <v>0</v>
      </c>
      <c r="D1702" s="107" t="str">
        <f>IF(LEN(Table1722[[#This Row],[Uraian]])&gt;2,1," ")</f>
        <v xml:space="preserve"> </v>
      </c>
      <c r="E1702" s="113" t="str">
        <f>IF(Table1722[[#This Row],[Lawan Transaksi]]="CV AGUNG KARYA",COUNTIF($I$10:I1702,"CV AGUNG KARYA")," ")</f>
        <v xml:space="preserve"> </v>
      </c>
      <c r="F1702" s="107" t="str">
        <f>IF(LEN(Table1722[[#This Row],[Uraian]])&gt;2,TRIM(RIGHT(SUBSTITUTE(TRIM(C1702)," ",REPT(" ",255)),255))," ")</f>
        <v xml:space="preserve"> </v>
      </c>
      <c r="G1702" s="110">
        <f>COPY!Z1694</f>
        <v>0</v>
      </c>
      <c r="H1702" s="111" t="str">
        <f>IFERROR(VLOOKUP(Table1722[[#This Row],[Bukti]],'Un nOTA'!$A$4:$K$5003,10,FALSE),"")</f>
        <v/>
      </c>
      <c r="I1702" s="112" t="str">
        <f>IFERROR(VLOOKUP(Table1722[[#This Row],[Bukti]],Table13[#Data],11,FALSE),"")</f>
        <v/>
      </c>
    </row>
    <row r="1703" spans="1:9" ht="19.5" hidden="1" customHeight="1" x14ac:dyDescent="0.2">
      <c r="A1703" s="105" t="str">
        <f>IF(D1703=1,COUNTIF($D$10:D1703,1)," ")</f>
        <v xml:space="preserve"> </v>
      </c>
      <c r="B1703" s="106">
        <f>COPY!AR1695</f>
        <v>0</v>
      </c>
      <c r="C1703" s="107">
        <f>COPY!AC1695</f>
        <v>0</v>
      </c>
      <c r="D1703" s="107" t="str">
        <f>IF(LEN(Table1722[[#This Row],[Uraian]])&gt;2,1," ")</f>
        <v xml:space="preserve"> </v>
      </c>
      <c r="E1703" s="113" t="str">
        <f>IF(Table1722[[#This Row],[Lawan Transaksi]]="CV AGUNG KARYA",COUNTIF($I$10:I1703,"CV AGUNG KARYA")," ")</f>
        <v xml:space="preserve"> </v>
      </c>
      <c r="F1703" s="107" t="str">
        <f>IF(LEN(Table1722[[#This Row],[Uraian]])&gt;2,TRIM(RIGHT(SUBSTITUTE(TRIM(C1703)," ",REPT(" ",255)),255))," ")</f>
        <v xml:space="preserve"> </v>
      </c>
      <c r="G1703" s="110">
        <f>COPY!Z1695</f>
        <v>0</v>
      </c>
      <c r="H1703" s="111" t="str">
        <f>IFERROR(VLOOKUP(Table1722[[#This Row],[Bukti]],'Un nOTA'!$A$4:$K$5003,10,FALSE),"")</f>
        <v/>
      </c>
      <c r="I1703" s="112" t="str">
        <f>IFERROR(VLOOKUP(Table1722[[#This Row],[Bukti]],Table13[#Data],11,FALSE),"")</f>
        <v/>
      </c>
    </row>
    <row r="1704" spans="1:9" ht="19.5" hidden="1" customHeight="1" x14ac:dyDescent="0.2">
      <c r="A1704" s="105" t="str">
        <f>IF(D1704=1,COUNTIF($D$10:D1704,1)," ")</f>
        <v xml:space="preserve"> </v>
      </c>
      <c r="B1704" s="106">
        <f>COPY!AR1696</f>
        <v>0</v>
      </c>
      <c r="C1704" s="107">
        <f>COPY!AC1696</f>
        <v>0</v>
      </c>
      <c r="D1704" s="107" t="str">
        <f>IF(LEN(Table1722[[#This Row],[Uraian]])&gt;2,1," ")</f>
        <v xml:space="preserve"> </v>
      </c>
      <c r="E1704" s="113" t="str">
        <f>IF(Table1722[[#This Row],[Lawan Transaksi]]="CV AGUNG KARYA",COUNTIF($I$10:I1704,"CV AGUNG KARYA")," ")</f>
        <v xml:space="preserve"> </v>
      </c>
      <c r="F1704" s="107" t="str">
        <f>IF(LEN(Table1722[[#This Row],[Uraian]])&gt;2,TRIM(RIGHT(SUBSTITUTE(TRIM(C1704)," ",REPT(" ",255)),255))," ")</f>
        <v xml:space="preserve"> </v>
      </c>
      <c r="G1704" s="110">
        <f>COPY!Z1696</f>
        <v>0</v>
      </c>
      <c r="H1704" s="111" t="str">
        <f>IFERROR(VLOOKUP(Table1722[[#This Row],[Bukti]],'Un nOTA'!$A$4:$K$5003,10,FALSE),"")</f>
        <v/>
      </c>
      <c r="I1704" s="112" t="str">
        <f>IFERROR(VLOOKUP(Table1722[[#This Row],[Bukti]],Table13[#Data],11,FALSE),"")</f>
        <v/>
      </c>
    </row>
    <row r="1705" spans="1:9" ht="19.5" hidden="1" customHeight="1" x14ac:dyDescent="0.2">
      <c r="A1705" s="105" t="str">
        <f>IF(D1705=1,COUNTIF($D$10:D1705,1)," ")</f>
        <v xml:space="preserve"> </v>
      </c>
      <c r="B1705" s="106">
        <f>COPY!AR1697</f>
        <v>0</v>
      </c>
      <c r="C1705" s="107">
        <f>COPY!AC1697</f>
        <v>0</v>
      </c>
      <c r="D1705" s="107" t="str">
        <f>IF(LEN(Table1722[[#This Row],[Uraian]])&gt;2,1," ")</f>
        <v xml:space="preserve"> </v>
      </c>
      <c r="E1705" s="113" t="str">
        <f>IF(Table1722[[#This Row],[Lawan Transaksi]]="CV AGUNG KARYA",COUNTIF($I$10:I1705,"CV AGUNG KARYA")," ")</f>
        <v xml:space="preserve"> </v>
      </c>
      <c r="F1705" s="107" t="str">
        <f>IF(LEN(Table1722[[#This Row],[Uraian]])&gt;2,TRIM(RIGHT(SUBSTITUTE(TRIM(C1705)," ",REPT(" ",255)),255))," ")</f>
        <v xml:space="preserve"> </v>
      </c>
      <c r="G1705" s="110">
        <f>COPY!Z1697</f>
        <v>0</v>
      </c>
      <c r="H1705" s="111" t="str">
        <f>IFERROR(VLOOKUP(Table1722[[#This Row],[Bukti]],'Un nOTA'!$A$4:$K$5003,10,FALSE),"")</f>
        <v/>
      </c>
      <c r="I1705" s="112" t="str">
        <f>IFERROR(VLOOKUP(Table1722[[#This Row],[Bukti]],Table13[#Data],11,FALSE),"")</f>
        <v/>
      </c>
    </row>
    <row r="1706" spans="1:9" ht="19.5" hidden="1" customHeight="1" x14ac:dyDescent="0.2">
      <c r="A1706" s="105" t="str">
        <f>IF(D1706=1,COUNTIF($D$10:D1706,1)," ")</f>
        <v xml:space="preserve"> </v>
      </c>
      <c r="B1706" s="106">
        <f>COPY!AR1698</f>
        <v>0</v>
      </c>
      <c r="C1706" s="107">
        <f>COPY!AC1698</f>
        <v>0</v>
      </c>
      <c r="D1706" s="107" t="str">
        <f>IF(LEN(Table1722[[#This Row],[Uraian]])&gt;2,1," ")</f>
        <v xml:space="preserve"> </v>
      </c>
      <c r="E1706" s="113" t="str">
        <f>IF(Table1722[[#This Row],[Lawan Transaksi]]="CV AGUNG KARYA",COUNTIF($I$10:I1706,"CV AGUNG KARYA")," ")</f>
        <v xml:space="preserve"> </v>
      </c>
      <c r="F1706" s="107" t="str">
        <f>IF(LEN(Table1722[[#This Row],[Uraian]])&gt;2,TRIM(RIGHT(SUBSTITUTE(TRIM(C1706)," ",REPT(" ",255)),255))," ")</f>
        <v xml:space="preserve"> </v>
      </c>
      <c r="G1706" s="110">
        <f>COPY!Z1698</f>
        <v>0</v>
      </c>
      <c r="H1706" s="111" t="str">
        <f>IFERROR(VLOOKUP(Table1722[[#This Row],[Bukti]],'Un nOTA'!$A$4:$K$5003,10,FALSE),"")</f>
        <v/>
      </c>
      <c r="I1706" s="112" t="str">
        <f>IFERROR(VLOOKUP(Table1722[[#This Row],[Bukti]],Table13[#Data],11,FALSE),"")</f>
        <v/>
      </c>
    </row>
    <row r="1707" spans="1:9" ht="19.5" hidden="1" customHeight="1" x14ac:dyDescent="0.2">
      <c r="A1707" s="105" t="str">
        <f>IF(D1707=1,COUNTIF($D$10:D1707,1)," ")</f>
        <v xml:space="preserve"> </v>
      </c>
      <c r="B1707" s="106">
        <f>COPY!AR1699</f>
        <v>0</v>
      </c>
      <c r="C1707" s="107">
        <f>COPY!AC1699</f>
        <v>0</v>
      </c>
      <c r="D1707" s="107" t="str">
        <f>IF(LEN(Table1722[[#This Row],[Uraian]])&gt;2,1," ")</f>
        <v xml:space="preserve"> </v>
      </c>
      <c r="E1707" s="113" t="str">
        <f>IF(Table1722[[#This Row],[Lawan Transaksi]]="CV AGUNG KARYA",COUNTIF($I$10:I1707,"CV AGUNG KARYA")," ")</f>
        <v xml:space="preserve"> </v>
      </c>
      <c r="F1707" s="107" t="str">
        <f>IF(LEN(Table1722[[#This Row],[Uraian]])&gt;2,TRIM(RIGHT(SUBSTITUTE(TRIM(C1707)," ",REPT(" ",255)),255))," ")</f>
        <v xml:space="preserve"> </v>
      </c>
      <c r="G1707" s="110">
        <f>COPY!Z1699</f>
        <v>0</v>
      </c>
      <c r="H1707" s="111" t="str">
        <f>IFERROR(VLOOKUP(Table1722[[#This Row],[Bukti]],'Un nOTA'!$A$4:$K$5003,10,FALSE),"")</f>
        <v/>
      </c>
      <c r="I1707" s="112" t="str">
        <f>IFERROR(VLOOKUP(Table1722[[#This Row],[Bukti]],Table13[#Data],11,FALSE),"")</f>
        <v/>
      </c>
    </row>
    <row r="1708" spans="1:9" ht="19.5" hidden="1" customHeight="1" x14ac:dyDescent="0.2">
      <c r="A1708" s="105" t="str">
        <f>IF(D1708=1,COUNTIF($D$10:D1708,1)," ")</f>
        <v xml:space="preserve"> </v>
      </c>
      <c r="B1708" s="106">
        <f>COPY!AR1700</f>
        <v>0</v>
      </c>
      <c r="C1708" s="107">
        <f>COPY!AC1700</f>
        <v>0</v>
      </c>
      <c r="D1708" s="107" t="str">
        <f>IF(LEN(Table1722[[#This Row],[Uraian]])&gt;2,1," ")</f>
        <v xml:space="preserve"> </v>
      </c>
      <c r="E1708" s="113" t="str">
        <f>IF(Table1722[[#This Row],[Lawan Transaksi]]="CV AGUNG KARYA",COUNTIF($I$10:I1708,"CV AGUNG KARYA")," ")</f>
        <v xml:space="preserve"> </v>
      </c>
      <c r="F1708" s="107" t="str">
        <f>IF(LEN(Table1722[[#This Row],[Uraian]])&gt;2,TRIM(RIGHT(SUBSTITUTE(TRIM(C1708)," ",REPT(" ",255)),255))," ")</f>
        <v xml:space="preserve"> </v>
      </c>
      <c r="G1708" s="110">
        <f>COPY!Z1700</f>
        <v>0</v>
      </c>
      <c r="H1708" s="111" t="str">
        <f>IFERROR(VLOOKUP(Table1722[[#This Row],[Bukti]],'Un nOTA'!$A$4:$K$5003,10,FALSE),"")</f>
        <v/>
      </c>
      <c r="I1708" s="112" t="str">
        <f>IFERROR(VLOOKUP(Table1722[[#This Row],[Bukti]],Table13[#Data],11,FALSE),"")</f>
        <v/>
      </c>
    </row>
    <row r="1709" spans="1:9" ht="19.5" hidden="1" customHeight="1" x14ac:dyDescent="0.2">
      <c r="A1709" s="105" t="str">
        <f>IF(D1709=1,COUNTIF($D$10:D1709,1)," ")</f>
        <v xml:space="preserve"> </v>
      </c>
      <c r="B1709" s="106">
        <f>COPY!AR1701</f>
        <v>0</v>
      </c>
      <c r="C1709" s="107">
        <f>COPY!AC1701</f>
        <v>0</v>
      </c>
      <c r="D1709" s="107" t="str">
        <f>IF(LEN(Table1722[[#This Row],[Uraian]])&gt;2,1," ")</f>
        <v xml:space="preserve"> </v>
      </c>
      <c r="E1709" s="113" t="str">
        <f>IF(Table1722[[#This Row],[Lawan Transaksi]]="CV AGUNG KARYA",COUNTIF($I$10:I1709,"CV AGUNG KARYA")," ")</f>
        <v xml:space="preserve"> </v>
      </c>
      <c r="F1709" s="107" t="str">
        <f>IF(LEN(Table1722[[#This Row],[Uraian]])&gt;2,TRIM(RIGHT(SUBSTITUTE(TRIM(C1709)," ",REPT(" ",255)),255))," ")</f>
        <v xml:space="preserve"> </v>
      </c>
      <c r="G1709" s="110">
        <f>COPY!Z1701</f>
        <v>0</v>
      </c>
      <c r="H1709" s="111" t="str">
        <f>IFERROR(VLOOKUP(Table1722[[#This Row],[Bukti]],'Un nOTA'!$A$4:$K$5003,10,FALSE),"")</f>
        <v/>
      </c>
      <c r="I1709" s="112" t="str">
        <f>IFERROR(VLOOKUP(Table1722[[#This Row],[Bukti]],Table13[#Data],11,FALSE),"")</f>
        <v/>
      </c>
    </row>
    <row r="1710" spans="1:9" ht="19.5" hidden="1" customHeight="1" x14ac:dyDescent="0.2">
      <c r="A1710" s="105" t="str">
        <f>IF(D1710=1,COUNTIF($D$10:D1710,1)," ")</f>
        <v xml:space="preserve"> </v>
      </c>
      <c r="B1710" s="106">
        <f>COPY!AR1702</f>
        <v>0</v>
      </c>
      <c r="C1710" s="107">
        <f>COPY!AC1702</f>
        <v>0</v>
      </c>
      <c r="D1710" s="107" t="str">
        <f>IF(LEN(Table1722[[#This Row],[Uraian]])&gt;2,1," ")</f>
        <v xml:space="preserve"> </v>
      </c>
      <c r="E1710" s="113" t="str">
        <f>IF(Table1722[[#This Row],[Lawan Transaksi]]="CV AGUNG KARYA",COUNTIF($I$10:I1710,"CV AGUNG KARYA")," ")</f>
        <v xml:space="preserve"> </v>
      </c>
      <c r="F1710" s="107" t="str">
        <f>IF(LEN(Table1722[[#This Row],[Uraian]])&gt;2,TRIM(RIGHT(SUBSTITUTE(TRIM(C1710)," ",REPT(" ",255)),255))," ")</f>
        <v xml:space="preserve"> </v>
      </c>
      <c r="G1710" s="110">
        <f>COPY!Z1702</f>
        <v>0</v>
      </c>
      <c r="H1710" s="111" t="str">
        <f>IFERROR(VLOOKUP(Table1722[[#This Row],[Bukti]],'Un nOTA'!$A$4:$K$5003,10,FALSE),"")</f>
        <v/>
      </c>
      <c r="I1710" s="112" t="str">
        <f>IFERROR(VLOOKUP(Table1722[[#This Row],[Bukti]],Table13[#Data],11,FALSE),"")</f>
        <v/>
      </c>
    </row>
    <row r="1711" spans="1:9" ht="19.5" hidden="1" customHeight="1" x14ac:dyDescent="0.2">
      <c r="A1711" s="105" t="str">
        <f>IF(D1711=1,COUNTIF($D$10:D1711,1)," ")</f>
        <v xml:space="preserve"> </v>
      </c>
      <c r="B1711" s="106">
        <f>COPY!AR1703</f>
        <v>0</v>
      </c>
      <c r="C1711" s="107">
        <f>COPY!AC1703</f>
        <v>0</v>
      </c>
      <c r="D1711" s="107" t="str">
        <f>IF(LEN(Table1722[[#This Row],[Uraian]])&gt;2,1," ")</f>
        <v xml:space="preserve"> </v>
      </c>
      <c r="E1711" s="113" t="str">
        <f>IF(Table1722[[#This Row],[Lawan Transaksi]]="CV AGUNG KARYA",COUNTIF($I$10:I1711,"CV AGUNG KARYA")," ")</f>
        <v xml:space="preserve"> </v>
      </c>
      <c r="F1711" s="107" t="str">
        <f>IF(LEN(Table1722[[#This Row],[Uraian]])&gt;2,TRIM(RIGHT(SUBSTITUTE(TRIM(C1711)," ",REPT(" ",255)),255))," ")</f>
        <v xml:space="preserve"> </v>
      </c>
      <c r="G1711" s="110">
        <f>COPY!Z1703</f>
        <v>0</v>
      </c>
      <c r="H1711" s="111" t="str">
        <f>IFERROR(VLOOKUP(Table1722[[#This Row],[Bukti]],'Un nOTA'!$A$4:$K$5003,10,FALSE),"")</f>
        <v/>
      </c>
      <c r="I1711" s="112" t="str">
        <f>IFERROR(VLOOKUP(Table1722[[#This Row],[Bukti]],Table13[#Data],11,FALSE),"")</f>
        <v/>
      </c>
    </row>
    <row r="1712" spans="1:9" ht="19.5" hidden="1" customHeight="1" x14ac:dyDescent="0.2">
      <c r="A1712" s="105" t="str">
        <f>IF(D1712=1,COUNTIF($D$10:D1712,1)," ")</f>
        <v xml:space="preserve"> </v>
      </c>
      <c r="B1712" s="106">
        <f>COPY!AR1704</f>
        <v>0</v>
      </c>
      <c r="C1712" s="107">
        <f>COPY!AC1704</f>
        <v>0</v>
      </c>
      <c r="D1712" s="107" t="str">
        <f>IF(LEN(Table1722[[#This Row],[Uraian]])&gt;2,1," ")</f>
        <v xml:space="preserve"> </v>
      </c>
      <c r="E1712" s="113" t="str">
        <f>IF(Table1722[[#This Row],[Lawan Transaksi]]="CV AGUNG KARYA",COUNTIF($I$10:I1712,"CV AGUNG KARYA")," ")</f>
        <v xml:space="preserve"> </v>
      </c>
      <c r="F1712" s="107" t="str">
        <f>IF(LEN(Table1722[[#This Row],[Uraian]])&gt;2,TRIM(RIGHT(SUBSTITUTE(TRIM(C1712)," ",REPT(" ",255)),255))," ")</f>
        <v xml:space="preserve"> </v>
      </c>
      <c r="G1712" s="110">
        <f>COPY!Z1704</f>
        <v>0</v>
      </c>
      <c r="H1712" s="111" t="str">
        <f>IFERROR(VLOOKUP(Table1722[[#This Row],[Bukti]],'Un nOTA'!$A$4:$K$5003,10,FALSE),"")</f>
        <v/>
      </c>
      <c r="I1712" s="112" t="str">
        <f>IFERROR(VLOOKUP(Table1722[[#This Row],[Bukti]],Table13[#Data],11,FALSE),"")</f>
        <v/>
      </c>
    </row>
    <row r="1713" spans="1:9" ht="19.5" hidden="1" customHeight="1" x14ac:dyDescent="0.2">
      <c r="A1713" s="105" t="str">
        <f>IF(D1713=1,COUNTIF($D$10:D1713,1)," ")</f>
        <v xml:space="preserve"> </v>
      </c>
      <c r="B1713" s="106">
        <f>COPY!AR1705</f>
        <v>0</v>
      </c>
      <c r="C1713" s="107">
        <f>COPY!AC1705</f>
        <v>0</v>
      </c>
      <c r="D1713" s="107" t="str">
        <f>IF(LEN(Table1722[[#This Row],[Uraian]])&gt;2,1," ")</f>
        <v xml:space="preserve"> </v>
      </c>
      <c r="E1713" s="113" t="str">
        <f>IF(Table1722[[#This Row],[Lawan Transaksi]]="CV AGUNG KARYA",COUNTIF($I$10:I1713,"CV AGUNG KARYA")," ")</f>
        <v xml:space="preserve"> </v>
      </c>
      <c r="F1713" s="107" t="str">
        <f>IF(LEN(Table1722[[#This Row],[Uraian]])&gt;2,TRIM(RIGHT(SUBSTITUTE(TRIM(C1713)," ",REPT(" ",255)),255))," ")</f>
        <v xml:space="preserve"> </v>
      </c>
      <c r="G1713" s="110">
        <f>COPY!Z1705</f>
        <v>0</v>
      </c>
      <c r="H1713" s="111" t="str">
        <f>IFERROR(VLOOKUP(Table1722[[#This Row],[Bukti]],'Un nOTA'!$A$4:$K$5003,10,FALSE),"")</f>
        <v/>
      </c>
      <c r="I1713" s="112" t="str">
        <f>IFERROR(VLOOKUP(Table1722[[#This Row],[Bukti]],Table13[#Data],11,FALSE),"")</f>
        <v/>
      </c>
    </row>
    <row r="1714" spans="1:9" ht="19.5" hidden="1" customHeight="1" x14ac:dyDescent="0.2">
      <c r="A1714" s="105" t="str">
        <f>IF(D1714=1,COUNTIF($D$10:D1714,1)," ")</f>
        <v xml:space="preserve"> </v>
      </c>
      <c r="B1714" s="106">
        <f>COPY!AR1706</f>
        <v>0</v>
      </c>
      <c r="C1714" s="107">
        <f>COPY!AC1706</f>
        <v>0</v>
      </c>
      <c r="D1714" s="107" t="str">
        <f>IF(LEN(Table1722[[#This Row],[Uraian]])&gt;2,1," ")</f>
        <v xml:space="preserve"> </v>
      </c>
      <c r="E1714" s="113" t="str">
        <f>IF(Table1722[[#This Row],[Lawan Transaksi]]="CV AGUNG KARYA",COUNTIF($I$10:I1714,"CV AGUNG KARYA")," ")</f>
        <v xml:space="preserve"> </v>
      </c>
      <c r="F1714" s="107" t="str">
        <f>IF(LEN(Table1722[[#This Row],[Uraian]])&gt;2,TRIM(RIGHT(SUBSTITUTE(TRIM(C1714)," ",REPT(" ",255)),255))," ")</f>
        <v xml:space="preserve"> </v>
      </c>
      <c r="G1714" s="110">
        <f>COPY!Z1706</f>
        <v>0</v>
      </c>
      <c r="H1714" s="111" t="str">
        <f>IFERROR(VLOOKUP(Table1722[[#This Row],[Bukti]],'Un nOTA'!$A$4:$K$5003,10,FALSE),"")</f>
        <v/>
      </c>
      <c r="I1714" s="112" t="str">
        <f>IFERROR(VLOOKUP(Table1722[[#This Row],[Bukti]],Table13[#Data],11,FALSE),"")</f>
        <v/>
      </c>
    </row>
    <row r="1715" spans="1:9" ht="19.5" hidden="1" customHeight="1" x14ac:dyDescent="0.2">
      <c r="A1715" s="105" t="str">
        <f>IF(D1715=1,COUNTIF($D$10:D1715,1)," ")</f>
        <v xml:space="preserve"> </v>
      </c>
      <c r="B1715" s="106">
        <f>COPY!AR1707</f>
        <v>0</v>
      </c>
      <c r="C1715" s="107">
        <f>COPY!AC1707</f>
        <v>0</v>
      </c>
      <c r="D1715" s="107" t="str">
        <f>IF(LEN(Table1722[[#This Row],[Uraian]])&gt;2,1," ")</f>
        <v xml:space="preserve"> </v>
      </c>
      <c r="E1715" s="113" t="str">
        <f>IF(Table1722[[#This Row],[Lawan Transaksi]]="CV AGUNG KARYA",COUNTIF($I$10:I1715,"CV AGUNG KARYA")," ")</f>
        <v xml:space="preserve"> </v>
      </c>
      <c r="F1715" s="107" t="str">
        <f>IF(LEN(Table1722[[#This Row],[Uraian]])&gt;2,TRIM(RIGHT(SUBSTITUTE(TRIM(C1715)," ",REPT(" ",255)),255))," ")</f>
        <v xml:space="preserve"> </v>
      </c>
      <c r="G1715" s="110">
        <f>COPY!Z1707</f>
        <v>0</v>
      </c>
      <c r="H1715" s="111" t="str">
        <f>IFERROR(VLOOKUP(Table1722[[#This Row],[Bukti]],'Un nOTA'!$A$4:$K$5003,10,FALSE),"")</f>
        <v/>
      </c>
      <c r="I1715" s="112" t="str">
        <f>IFERROR(VLOOKUP(Table1722[[#This Row],[Bukti]],Table13[#Data],11,FALSE),"")</f>
        <v/>
      </c>
    </row>
    <row r="1716" spans="1:9" ht="19.5" hidden="1" customHeight="1" x14ac:dyDescent="0.2">
      <c r="A1716" s="105" t="str">
        <f>IF(D1716=1,COUNTIF($D$10:D1716,1)," ")</f>
        <v xml:space="preserve"> </v>
      </c>
      <c r="B1716" s="106">
        <f>COPY!AR1708</f>
        <v>0</v>
      </c>
      <c r="C1716" s="107">
        <f>COPY!AC1708</f>
        <v>0</v>
      </c>
      <c r="D1716" s="107" t="str">
        <f>IF(LEN(Table1722[[#This Row],[Uraian]])&gt;2,1," ")</f>
        <v xml:space="preserve"> </v>
      </c>
      <c r="E1716" s="113" t="str">
        <f>IF(Table1722[[#This Row],[Lawan Transaksi]]="CV AGUNG KARYA",COUNTIF($I$10:I1716,"CV AGUNG KARYA")," ")</f>
        <v xml:space="preserve"> </v>
      </c>
      <c r="F1716" s="107" t="str">
        <f>IF(LEN(Table1722[[#This Row],[Uraian]])&gt;2,TRIM(RIGHT(SUBSTITUTE(TRIM(C1716)," ",REPT(" ",255)),255))," ")</f>
        <v xml:space="preserve"> </v>
      </c>
      <c r="G1716" s="110">
        <f>COPY!Z1708</f>
        <v>0</v>
      </c>
      <c r="H1716" s="111" t="str">
        <f>IFERROR(VLOOKUP(Table1722[[#This Row],[Bukti]],'Un nOTA'!$A$4:$K$5003,10,FALSE),"")</f>
        <v/>
      </c>
      <c r="I1716" s="112" t="str">
        <f>IFERROR(VLOOKUP(Table1722[[#This Row],[Bukti]],Table13[#Data],11,FALSE),"")</f>
        <v/>
      </c>
    </row>
    <row r="1717" spans="1:9" ht="19.5" hidden="1" customHeight="1" x14ac:dyDescent="0.2">
      <c r="A1717" s="105" t="str">
        <f>IF(D1717=1,COUNTIF($D$10:D1717,1)," ")</f>
        <v xml:space="preserve"> </v>
      </c>
      <c r="B1717" s="106">
        <f>COPY!AR1709</f>
        <v>0</v>
      </c>
      <c r="C1717" s="107">
        <f>COPY!AC1709</f>
        <v>0</v>
      </c>
      <c r="D1717" s="107" t="str">
        <f>IF(LEN(Table1722[[#This Row],[Uraian]])&gt;2,1," ")</f>
        <v xml:space="preserve"> </v>
      </c>
      <c r="E1717" s="113" t="str">
        <f>IF(Table1722[[#This Row],[Lawan Transaksi]]="CV AGUNG KARYA",COUNTIF($I$10:I1717,"CV AGUNG KARYA")," ")</f>
        <v xml:space="preserve"> </v>
      </c>
      <c r="F1717" s="107" t="str">
        <f>IF(LEN(Table1722[[#This Row],[Uraian]])&gt;2,TRIM(RIGHT(SUBSTITUTE(TRIM(C1717)," ",REPT(" ",255)),255))," ")</f>
        <v xml:space="preserve"> </v>
      </c>
      <c r="G1717" s="110">
        <f>COPY!Z1709</f>
        <v>0</v>
      </c>
      <c r="H1717" s="111" t="str">
        <f>IFERROR(VLOOKUP(Table1722[[#This Row],[Bukti]],'Un nOTA'!$A$4:$K$5003,10,FALSE),"")</f>
        <v/>
      </c>
      <c r="I1717" s="112" t="str">
        <f>IFERROR(VLOOKUP(Table1722[[#This Row],[Bukti]],Table13[#Data],11,FALSE),"")</f>
        <v/>
      </c>
    </row>
    <row r="1718" spans="1:9" ht="19.5" hidden="1" customHeight="1" x14ac:dyDescent="0.2">
      <c r="A1718" s="105" t="str">
        <f>IF(D1718=1,COUNTIF($D$10:D1718,1)," ")</f>
        <v xml:space="preserve"> </v>
      </c>
      <c r="B1718" s="106">
        <f>COPY!AR1710</f>
        <v>0</v>
      </c>
      <c r="C1718" s="107">
        <f>COPY!AC1710</f>
        <v>0</v>
      </c>
      <c r="D1718" s="107" t="str">
        <f>IF(LEN(Table1722[[#This Row],[Uraian]])&gt;2,1," ")</f>
        <v xml:space="preserve"> </v>
      </c>
      <c r="E1718" s="113" t="str">
        <f>IF(Table1722[[#This Row],[Lawan Transaksi]]="CV AGUNG KARYA",COUNTIF($I$10:I1718,"CV AGUNG KARYA")," ")</f>
        <v xml:space="preserve"> </v>
      </c>
      <c r="F1718" s="107" t="str">
        <f>IF(LEN(Table1722[[#This Row],[Uraian]])&gt;2,TRIM(RIGHT(SUBSTITUTE(TRIM(C1718)," ",REPT(" ",255)),255))," ")</f>
        <v xml:space="preserve"> </v>
      </c>
      <c r="G1718" s="110">
        <f>COPY!Z1710</f>
        <v>0</v>
      </c>
      <c r="H1718" s="111" t="str">
        <f>IFERROR(VLOOKUP(Table1722[[#This Row],[Bukti]],'Un nOTA'!$A$4:$K$5003,10,FALSE),"")</f>
        <v/>
      </c>
      <c r="I1718" s="112" t="str">
        <f>IFERROR(VLOOKUP(Table1722[[#This Row],[Bukti]],Table13[#Data],11,FALSE),"")</f>
        <v/>
      </c>
    </row>
    <row r="1719" spans="1:9" ht="19.5" hidden="1" customHeight="1" x14ac:dyDescent="0.2">
      <c r="A1719" s="105" t="str">
        <f>IF(D1719=1,COUNTIF($D$10:D1719,1)," ")</f>
        <v xml:space="preserve"> </v>
      </c>
      <c r="B1719" s="106">
        <f>COPY!AR1711</f>
        <v>0</v>
      </c>
      <c r="C1719" s="107">
        <f>COPY!AC1711</f>
        <v>0</v>
      </c>
      <c r="D1719" s="107" t="str">
        <f>IF(LEN(Table1722[[#This Row],[Uraian]])&gt;2,1," ")</f>
        <v xml:space="preserve"> </v>
      </c>
      <c r="E1719" s="113" t="str">
        <f>IF(Table1722[[#This Row],[Lawan Transaksi]]="CV AGUNG KARYA",COUNTIF($I$10:I1719,"CV AGUNG KARYA")," ")</f>
        <v xml:space="preserve"> </v>
      </c>
      <c r="F1719" s="107" t="str">
        <f>IF(LEN(Table1722[[#This Row],[Uraian]])&gt;2,TRIM(RIGHT(SUBSTITUTE(TRIM(C1719)," ",REPT(" ",255)),255))," ")</f>
        <v xml:space="preserve"> </v>
      </c>
      <c r="G1719" s="110">
        <f>COPY!Z1711</f>
        <v>0</v>
      </c>
      <c r="H1719" s="111" t="str">
        <f>IFERROR(VLOOKUP(Table1722[[#This Row],[Bukti]],'Un nOTA'!$A$4:$K$5003,10,FALSE),"")</f>
        <v/>
      </c>
      <c r="I1719" s="112" t="str">
        <f>IFERROR(VLOOKUP(Table1722[[#This Row],[Bukti]],Table13[#Data],11,FALSE),"")</f>
        <v/>
      </c>
    </row>
    <row r="1720" spans="1:9" ht="19.5" hidden="1" customHeight="1" x14ac:dyDescent="0.2">
      <c r="A1720" s="105" t="str">
        <f>IF(D1720=1,COUNTIF($D$10:D1720,1)," ")</f>
        <v xml:space="preserve"> </v>
      </c>
      <c r="B1720" s="106">
        <f>COPY!AR1712</f>
        <v>0</v>
      </c>
      <c r="C1720" s="107">
        <f>COPY!AC1712</f>
        <v>0</v>
      </c>
      <c r="D1720" s="107" t="str">
        <f>IF(LEN(Table1722[[#This Row],[Uraian]])&gt;2,1," ")</f>
        <v xml:space="preserve"> </v>
      </c>
      <c r="E1720" s="113" t="str">
        <f>IF(Table1722[[#This Row],[Lawan Transaksi]]="CV AGUNG KARYA",COUNTIF($I$10:I1720,"CV AGUNG KARYA")," ")</f>
        <v xml:space="preserve"> </v>
      </c>
      <c r="F1720" s="107" t="str">
        <f>IF(LEN(Table1722[[#This Row],[Uraian]])&gt;2,TRIM(RIGHT(SUBSTITUTE(TRIM(C1720)," ",REPT(" ",255)),255))," ")</f>
        <v xml:space="preserve"> </v>
      </c>
      <c r="G1720" s="110">
        <f>COPY!Z1712</f>
        <v>0</v>
      </c>
      <c r="H1720" s="111" t="str">
        <f>IFERROR(VLOOKUP(Table1722[[#This Row],[Bukti]],'Un nOTA'!$A$4:$K$5003,10,FALSE),"")</f>
        <v/>
      </c>
      <c r="I1720" s="112" t="str">
        <f>IFERROR(VLOOKUP(Table1722[[#This Row],[Bukti]],Table13[#Data],11,FALSE),"")</f>
        <v/>
      </c>
    </row>
    <row r="1721" spans="1:9" ht="19.5" hidden="1" customHeight="1" x14ac:dyDescent="0.2">
      <c r="A1721" s="105" t="str">
        <f>IF(D1721=1,COUNTIF($D$10:D1721,1)," ")</f>
        <v xml:space="preserve"> </v>
      </c>
      <c r="B1721" s="106">
        <f>COPY!AR1713</f>
        <v>0</v>
      </c>
      <c r="C1721" s="107">
        <f>COPY!AC1713</f>
        <v>0</v>
      </c>
      <c r="D1721" s="107" t="str">
        <f>IF(LEN(Table1722[[#This Row],[Uraian]])&gt;2,1," ")</f>
        <v xml:space="preserve"> </v>
      </c>
      <c r="E1721" s="113" t="str">
        <f>IF(Table1722[[#This Row],[Lawan Transaksi]]="CV AGUNG KARYA",COUNTIF($I$10:I1721,"CV AGUNG KARYA")," ")</f>
        <v xml:space="preserve"> </v>
      </c>
      <c r="F1721" s="107" t="str">
        <f>IF(LEN(Table1722[[#This Row],[Uraian]])&gt;2,TRIM(RIGHT(SUBSTITUTE(TRIM(C1721)," ",REPT(" ",255)),255))," ")</f>
        <v xml:space="preserve"> </v>
      </c>
      <c r="G1721" s="110">
        <f>COPY!Z1713</f>
        <v>0</v>
      </c>
      <c r="H1721" s="111" t="str">
        <f>IFERROR(VLOOKUP(Table1722[[#This Row],[Bukti]],'Un nOTA'!$A$4:$K$5003,10,FALSE),"")</f>
        <v/>
      </c>
      <c r="I1721" s="112" t="str">
        <f>IFERROR(VLOOKUP(Table1722[[#This Row],[Bukti]],Table13[#Data],11,FALSE),"")</f>
        <v/>
      </c>
    </row>
    <row r="1722" spans="1:9" ht="19.5" hidden="1" customHeight="1" x14ac:dyDescent="0.2">
      <c r="A1722" s="105" t="str">
        <f>IF(D1722=1,COUNTIF($D$10:D1722,1)," ")</f>
        <v xml:space="preserve"> </v>
      </c>
      <c r="B1722" s="106">
        <f>COPY!AR1714</f>
        <v>0</v>
      </c>
      <c r="C1722" s="107">
        <f>COPY!AC1714</f>
        <v>0</v>
      </c>
      <c r="D1722" s="107" t="str">
        <f>IF(LEN(Table1722[[#This Row],[Uraian]])&gt;2,1," ")</f>
        <v xml:space="preserve"> </v>
      </c>
      <c r="E1722" s="113" t="str">
        <f>IF(Table1722[[#This Row],[Lawan Transaksi]]="CV AGUNG KARYA",COUNTIF($I$10:I1722,"CV AGUNG KARYA")," ")</f>
        <v xml:space="preserve"> </v>
      </c>
      <c r="F1722" s="107" t="str">
        <f>IF(LEN(Table1722[[#This Row],[Uraian]])&gt;2,TRIM(RIGHT(SUBSTITUTE(TRIM(C1722)," ",REPT(" ",255)),255))," ")</f>
        <v xml:space="preserve"> </v>
      </c>
      <c r="G1722" s="110">
        <f>COPY!Z1714</f>
        <v>0</v>
      </c>
      <c r="H1722" s="111" t="str">
        <f>IFERROR(VLOOKUP(Table1722[[#This Row],[Bukti]],'Un nOTA'!$A$4:$K$5003,10,FALSE),"")</f>
        <v/>
      </c>
      <c r="I1722" s="112" t="str">
        <f>IFERROR(VLOOKUP(Table1722[[#This Row],[Bukti]],Table13[#Data],11,FALSE),"")</f>
        <v/>
      </c>
    </row>
    <row r="1723" spans="1:9" ht="19.5" hidden="1" customHeight="1" x14ac:dyDescent="0.2">
      <c r="A1723" s="105" t="str">
        <f>IF(D1723=1,COUNTIF($D$10:D1723,1)," ")</f>
        <v xml:space="preserve"> </v>
      </c>
      <c r="B1723" s="106">
        <f>COPY!AR1715</f>
        <v>0</v>
      </c>
      <c r="C1723" s="107">
        <f>COPY!AC1715</f>
        <v>0</v>
      </c>
      <c r="D1723" s="107" t="str">
        <f>IF(LEN(Table1722[[#This Row],[Uraian]])&gt;2,1," ")</f>
        <v xml:space="preserve"> </v>
      </c>
      <c r="E1723" s="113" t="str">
        <f>IF(Table1722[[#This Row],[Lawan Transaksi]]="CV AGUNG KARYA",COUNTIF($I$10:I1723,"CV AGUNG KARYA")," ")</f>
        <v xml:space="preserve"> </v>
      </c>
      <c r="F1723" s="107" t="str">
        <f>IF(LEN(Table1722[[#This Row],[Uraian]])&gt;2,TRIM(RIGHT(SUBSTITUTE(TRIM(C1723)," ",REPT(" ",255)),255))," ")</f>
        <v xml:space="preserve"> </v>
      </c>
      <c r="G1723" s="110">
        <f>COPY!Z1715</f>
        <v>0</v>
      </c>
      <c r="H1723" s="111" t="str">
        <f>IFERROR(VLOOKUP(Table1722[[#This Row],[Bukti]],'Un nOTA'!$A$4:$K$5003,10,FALSE),"")</f>
        <v/>
      </c>
      <c r="I1723" s="112" t="str">
        <f>IFERROR(VLOOKUP(Table1722[[#This Row],[Bukti]],Table13[#Data],11,FALSE),"")</f>
        <v/>
      </c>
    </row>
    <row r="1724" spans="1:9" ht="19.5" hidden="1" customHeight="1" x14ac:dyDescent="0.2">
      <c r="A1724" s="105" t="str">
        <f>IF(D1724=1,COUNTIF($D$10:D1724,1)," ")</f>
        <v xml:space="preserve"> </v>
      </c>
      <c r="B1724" s="106">
        <f>COPY!AR1716</f>
        <v>0</v>
      </c>
      <c r="C1724" s="107">
        <f>COPY!AC1716</f>
        <v>0</v>
      </c>
      <c r="D1724" s="107" t="str">
        <f>IF(LEN(Table1722[[#This Row],[Uraian]])&gt;2,1," ")</f>
        <v xml:space="preserve"> </v>
      </c>
      <c r="E1724" s="113" t="str">
        <f>IF(Table1722[[#This Row],[Lawan Transaksi]]="CV AGUNG KARYA",COUNTIF($I$10:I1724,"CV AGUNG KARYA")," ")</f>
        <v xml:space="preserve"> </v>
      </c>
      <c r="F1724" s="107" t="str">
        <f>IF(LEN(Table1722[[#This Row],[Uraian]])&gt;2,TRIM(RIGHT(SUBSTITUTE(TRIM(C1724)," ",REPT(" ",255)),255))," ")</f>
        <v xml:space="preserve"> </v>
      </c>
      <c r="G1724" s="110">
        <f>COPY!Z1716</f>
        <v>0</v>
      </c>
      <c r="H1724" s="111" t="str">
        <f>IFERROR(VLOOKUP(Table1722[[#This Row],[Bukti]],'Un nOTA'!$A$4:$K$5003,10,FALSE),"")</f>
        <v/>
      </c>
      <c r="I1724" s="112" t="str">
        <f>IFERROR(VLOOKUP(Table1722[[#This Row],[Bukti]],Table13[#Data],11,FALSE),"")</f>
        <v/>
      </c>
    </row>
    <row r="1725" spans="1:9" ht="19.5" hidden="1" customHeight="1" x14ac:dyDescent="0.2">
      <c r="A1725" s="105" t="str">
        <f>IF(D1725=1,COUNTIF($D$10:D1725,1)," ")</f>
        <v xml:space="preserve"> </v>
      </c>
      <c r="B1725" s="106">
        <f>COPY!AR1717</f>
        <v>0</v>
      </c>
      <c r="C1725" s="107">
        <f>COPY!AC1717</f>
        <v>0</v>
      </c>
      <c r="D1725" s="107" t="str">
        <f>IF(LEN(Table1722[[#This Row],[Uraian]])&gt;2,1," ")</f>
        <v xml:space="preserve"> </v>
      </c>
      <c r="E1725" s="113" t="str">
        <f>IF(Table1722[[#This Row],[Lawan Transaksi]]="CV AGUNG KARYA",COUNTIF($I$10:I1725,"CV AGUNG KARYA")," ")</f>
        <v xml:space="preserve"> </v>
      </c>
      <c r="F1725" s="107" t="str">
        <f>IF(LEN(Table1722[[#This Row],[Uraian]])&gt;2,TRIM(RIGHT(SUBSTITUTE(TRIM(C1725)," ",REPT(" ",255)),255))," ")</f>
        <v xml:space="preserve"> </v>
      </c>
      <c r="G1725" s="110">
        <f>COPY!Z1717</f>
        <v>0</v>
      </c>
      <c r="H1725" s="111" t="str">
        <f>IFERROR(VLOOKUP(Table1722[[#This Row],[Bukti]],'Un nOTA'!$A$4:$K$5003,10,FALSE),"")</f>
        <v/>
      </c>
      <c r="I1725" s="112" t="str">
        <f>IFERROR(VLOOKUP(Table1722[[#This Row],[Bukti]],Table13[#Data],11,FALSE),"")</f>
        <v/>
      </c>
    </row>
    <row r="1726" spans="1:9" ht="19.5" hidden="1" customHeight="1" x14ac:dyDescent="0.2">
      <c r="A1726" s="105" t="str">
        <f>IF(D1726=1,COUNTIF($D$10:D1726,1)," ")</f>
        <v xml:space="preserve"> </v>
      </c>
      <c r="B1726" s="106">
        <f>COPY!AR1718</f>
        <v>0</v>
      </c>
      <c r="C1726" s="107">
        <f>COPY!AC1718</f>
        <v>0</v>
      </c>
      <c r="D1726" s="107" t="str">
        <f>IF(LEN(Table1722[[#This Row],[Uraian]])&gt;2,1," ")</f>
        <v xml:space="preserve"> </v>
      </c>
      <c r="E1726" s="113" t="str">
        <f>IF(Table1722[[#This Row],[Lawan Transaksi]]="CV AGUNG KARYA",COUNTIF($I$10:I1726,"CV AGUNG KARYA")," ")</f>
        <v xml:space="preserve"> </v>
      </c>
      <c r="F1726" s="107" t="str">
        <f>IF(LEN(Table1722[[#This Row],[Uraian]])&gt;2,TRIM(RIGHT(SUBSTITUTE(TRIM(C1726)," ",REPT(" ",255)),255))," ")</f>
        <v xml:space="preserve"> </v>
      </c>
      <c r="G1726" s="110">
        <f>COPY!Z1718</f>
        <v>0</v>
      </c>
      <c r="H1726" s="111" t="str">
        <f>IFERROR(VLOOKUP(Table1722[[#This Row],[Bukti]],'Un nOTA'!$A$4:$K$5003,10,FALSE),"")</f>
        <v/>
      </c>
      <c r="I1726" s="112" t="str">
        <f>IFERROR(VLOOKUP(Table1722[[#This Row],[Bukti]],Table13[#Data],11,FALSE),"")</f>
        <v/>
      </c>
    </row>
    <row r="1727" spans="1:9" ht="19.5" hidden="1" customHeight="1" x14ac:dyDescent="0.2">
      <c r="A1727" s="105" t="str">
        <f>IF(D1727=1,COUNTIF($D$10:D1727,1)," ")</f>
        <v xml:space="preserve"> </v>
      </c>
      <c r="B1727" s="106">
        <f>COPY!AR1719</f>
        <v>0</v>
      </c>
      <c r="C1727" s="107">
        <f>COPY!AC1719</f>
        <v>0</v>
      </c>
      <c r="D1727" s="107" t="str">
        <f>IF(LEN(Table1722[[#This Row],[Uraian]])&gt;2,1," ")</f>
        <v xml:space="preserve"> </v>
      </c>
      <c r="E1727" s="113" t="str">
        <f>IF(Table1722[[#This Row],[Lawan Transaksi]]="CV AGUNG KARYA",COUNTIF($I$10:I1727,"CV AGUNG KARYA")," ")</f>
        <v xml:space="preserve"> </v>
      </c>
      <c r="F1727" s="107" t="str">
        <f>IF(LEN(Table1722[[#This Row],[Uraian]])&gt;2,TRIM(RIGHT(SUBSTITUTE(TRIM(C1727)," ",REPT(" ",255)),255))," ")</f>
        <v xml:space="preserve"> </v>
      </c>
      <c r="G1727" s="110">
        <f>COPY!Z1719</f>
        <v>0</v>
      </c>
      <c r="H1727" s="111" t="str">
        <f>IFERROR(VLOOKUP(Table1722[[#This Row],[Bukti]],'Un nOTA'!$A$4:$K$5003,10,FALSE),"")</f>
        <v/>
      </c>
      <c r="I1727" s="112" t="str">
        <f>IFERROR(VLOOKUP(Table1722[[#This Row],[Bukti]],Table13[#Data],11,FALSE),"")</f>
        <v/>
      </c>
    </row>
    <row r="1728" spans="1:9" ht="19.5" hidden="1" customHeight="1" x14ac:dyDescent="0.2">
      <c r="A1728" s="105" t="str">
        <f>IF(D1728=1,COUNTIF($D$10:D1728,1)," ")</f>
        <v xml:space="preserve"> </v>
      </c>
      <c r="B1728" s="106">
        <f>COPY!AR1720</f>
        <v>0</v>
      </c>
      <c r="C1728" s="107">
        <f>COPY!AC1720</f>
        <v>0</v>
      </c>
      <c r="D1728" s="107" t="str">
        <f>IF(LEN(Table1722[[#This Row],[Uraian]])&gt;2,1," ")</f>
        <v xml:space="preserve"> </v>
      </c>
      <c r="E1728" s="113" t="str">
        <f>IF(Table1722[[#This Row],[Lawan Transaksi]]="CV AGUNG KARYA",COUNTIF($I$10:I1728,"CV AGUNG KARYA")," ")</f>
        <v xml:space="preserve"> </v>
      </c>
      <c r="F1728" s="107" t="str">
        <f>IF(LEN(Table1722[[#This Row],[Uraian]])&gt;2,TRIM(RIGHT(SUBSTITUTE(TRIM(C1728)," ",REPT(" ",255)),255))," ")</f>
        <v xml:space="preserve"> </v>
      </c>
      <c r="G1728" s="110">
        <f>COPY!Z1720</f>
        <v>0</v>
      </c>
      <c r="H1728" s="111" t="str">
        <f>IFERROR(VLOOKUP(Table1722[[#This Row],[Bukti]],'Un nOTA'!$A$4:$K$5003,10,FALSE),"")</f>
        <v/>
      </c>
      <c r="I1728" s="112" t="str">
        <f>IFERROR(VLOOKUP(Table1722[[#This Row],[Bukti]],Table13[#Data],11,FALSE),"")</f>
        <v/>
      </c>
    </row>
    <row r="1729" spans="1:9" ht="19.5" hidden="1" customHeight="1" x14ac:dyDescent="0.2">
      <c r="A1729" s="105" t="str">
        <f>IF(D1729=1,COUNTIF($D$10:D1729,1)," ")</f>
        <v xml:space="preserve"> </v>
      </c>
      <c r="B1729" s="106">
        <f>COPY!AR1721</f>
        <v>0</v>
      </c>
      <c r="C1729" s="107">
        <f>COPY!AC1721</f>
        <v>0</v>
      </c>
      <c r="D1729" s="107" t="str">
        <f>IF(LEN(Table1722[[#This Row],[Uraian]])&gt;2,1," ")</f>
        <v xml:space="preserve"> </v>
      </c>
      <c r="E1729" s="113" t="str">
        <f>IF(Table1722[[#This Row],[Lawan Transaksi]]="CV AGUNG KARYA",COUNTIF($I$10:I1729,"CV AGUNG KARYA")," ")</f>
        <v xml:space="preserve"> </v>
      </c>
      <c r="F1729" s="107" t="str">
        <f>IF(LEN(Table1722[[#This Row],[Uraian]])&gt;2,TRIM(RIGHT(SUBSTITUTE(TRIM(C1729)," ",REPT(" ",255)),255))," ")</f>
        <v xml:space="preserve"> </v>
      </c>
      <c r="G1729" s="110">
        <f>COPY!Z1721</f>
        <v>0</v>
      </c>
      <c r="H1729" s="111" t="str">
        <f>IFERROR(VLOOKUP(Table1722[[#This Row],[Bukti]],'Un nOTA'!$A$4:$K$5003,10,FALSE),"")</f>
        <v/>
      </c>
      <c r="I1729" s="112" t="str">
        <f>IFERROR(VLOOKUP(Table1722[[#This Row],[Bukti]],Table13[#Data],11,FALSE),"")</f>
        <v/>
      </c>
    </row>
    <row r="1730" spans="1:9" ht="19.5" hidden="1" customHeight="1" x14ac:dyDescent="0.2">
      <c r="A1730" s="105" t="str">
        <f>IF(D1730=1,COUNTIF($D$10:D1730,1)," ")</f>
        <v xml:space="preserve"> </v>
      </c>
      <c r="B1730" s="106">
        <f>COPY!AR1722</f>
        <v>0</v>
      </c>
      <c r="C1730" s="107">
        <f>COPY!AC1722</f>
        <v>0</v>
      </c>
      <c r="D1730" s="107" t="str">
        <f>IF(LEN(Table1722[[#This Row],[Uraian]])&gt;2,1," ")</f>
        <v xml:space="preserve"> </v>
      </c>
      <c r="E1730" s="113" t="str">
        <f>IF(Table1722[[#This Row],[Lawan Transaksi]]="CV AGUNG KARYA",COUNTIF($I$10:I1730,"CV AGUNG KARYA")," ")</f>
        <v xml:space="preserve"> </v>
      </c>
      <c r="F1730" s="107" t="str">
        <f>IF(LEN(Table1722[[#This Row],[Uraian]])&gt;2,TRIM(RIGHT(SUBSTITUTE(TRIM(C1730)," ",REPT(" ",255)),255))," ")</f>
        <v xml:space="preserve"> </v>
      </c>
      <c r="G1730" s="110">
        <f>COPY!Z1722</f>
        <v>0</v>
      </c>
      <c r="H1730" s="111" t="str">
        <f>IFERROR(VLOOKUP(Table1722[[#This Row],[Bukti]],'Un nOTA'!$A$4:$K$5003,10,FALSE),"")</f>
        <v/>
      </c>
      <c r="I1730" s="112" t="str">
        <f>IFERROR(VLOOKUP(Table1722[[#This Row],[Bukti]],Table13[#Data],11,FALSE),"")</f>
        <v/>
      </c>
    </row>
    <row r="1731" spans="1:9" ht="19.5" hidden="1" customHeight="1" x14ac:dyDescent="0.2">
      <c r="A1731" s="105" t="str">
        <f>IF(D1731=1,COUNTIF($D$10:D1731,1)," ")</f>
        <v xml:space="preserve"> </v>
      </c>
      <c r="B1731" s="106">
        <f>COPY!AR1723</f>
        <v>0</v>
      </c>
      <c r="C1731" s="107">
        <f>COPY!AC1723</f>
        <v>0</v>
      </c>
      <c r="D1731" s="107" t="str">
        <f>IF(LEN(Table1722[[#This Row],[Uraian]])&gt;2,1," ")</f>
        <v xml:space="preserve"> </v>
      </c>
      <c r="E1731" s="113" t="str">
        <f>IF(Table1722[[#This Row],[Lawan Transaksi]]="CV AGUNG KARYA",COUNTIF($I$10:I1731,"CV AGUNG KARYA")," ")</f>
        <v xml:space="preserve"> </v>
      </c>
      <c r="F1731" s="107" t="str">
        <f>IF(LEN(Table1722[[#This Row],[Uraian]])&gt;2,TRIM(RIGHT(SUBSTITUTE(TRIM(C1731)," ",REPT(" ",255)),255))," ")</f>
        <v xml:space="preserve"> </v>
      </c>
      <c r="G1731" s="110">
        <f>COPY!Z1723</f>
        <v>0</v>
      </c>
      <c r="H1731" s="111" t="str">
        <f>IFERROR(VLOOKUP(Table1722[[#This Row],[Bukti]],'Un nOTA'!$A$4:$K$5003,10,FALSE),"")</f>
        <v/>
      </c>
      <c r="I1731" s="112" t="str">
        <f>IFERROR(VLOOKUP(Table1722[[#This Row],[Bukti]],Table13[#Data],11,FALSE),"")</f>
        <v/>
      </c>
    </row>
    <row r="1732" spans="1:9" ht="19.5" hidden="1" customHeight="1" x14ac:dyDescent="0.2">
      <c r="A1732" s="105" t="str">
        <f>IF(D1732=1,COUNTIF($D$10:D1732,1)," ")</f>
        <v xml:space="preserve"> </v>
      </c>
      <c r="B1732" s="106">
        <f>COPY!AR1724</f>
        <v>0</v>
      </c>
      <c r="C1732" s="107">
        <f>COPY!AC1724</f>
        <v>0</v>
      </c>
      <c r="D1732" s="107" t="str">
        <f>IF(LEN(Table1722[[#This Row],[Uraian]])&gt;2,1," ")</f>
        <v xml:space="preserve"> </v>
      </c>
      <c r="E1732" s="113" t="str">
        <f>IF(Table1722[[#This Row],[Lawan Transaksi]]="CV AGUNG KARYA",COUNTIF($I$10:I1732,"CV AGUNG KARYA")," ")</f>
        <v xml:space="preserve"> </v>
      </c>
      <c r="F1732" s="107" t="str">
        <f>IF(LEN(Table1722[[#This Row],[Uraian]])&gt;2,TRIM(RIGHT(SUBSTITUTE(TRIM(C1732)," ",REPT(" ",255)),255))," ")</f>
        <v xml:space="preserve"> </v>
      </c>
      <c r="G1732" s="110">
        <f>COPY!Z1724</f>
        <v>0</v>
      </c>
      <c r="H1732" s="111" t="str">
        <f>IFERROR(VLOOKUP(Table1722[[#This Row],[Bukti]],'Un nOTA'!$A$4:$K$5003,10,FALSE),"")</f>
        <v/>
      </c>
      <c r="I1732" s="112" t="str">
        <f>IFERROR(VLOOKUP(Table1722[[#This Row],[Bukti]],Table13[#Data],11,FALSE),"")</f>
        <v/>
      </c>
    </row>
    <row r="1733" spans="1:9" ht="19.5" hidden="1" customHeight="1" x14ac:dyDescent="0.2">
      <c r="A1733" s="105" t="str">
        <f>IF(D1733=1,COUNTIF($D$10:D1733,1)," ")</f>
        <v xml:space="preserve"> </v>
      </c>
      <c r="B1733" s="106">
        <f>COPY!AR1725</f>
        <v>0</v>
      </c>
      <c r="C1733" s="107">
        <f>COPY!AC1725</f>
        <v>0</v>
      </c>
      <c r="D1733" s="107" t="str">
        <f>IF(LEN(Table1722[[#This Row],[Uraian]])&gt;2,1," ")</f>
        <v xml:space="preserve"> </v>
      </c>
      <c r="E1733" s="113" t="str">
        <f>IF(Table1722[[#This Row],[Lawan Transaksi]]="CV AGUNG KARYA",COUNTIF($I$10:I1733,"CV AGUNG KARYA")," ")</f>
        <v xml:space="preserve"> </v>
      </c>
      <c r="F1733" s="107" t="str">
        <f>IF(LEN(Table1722[[#This Row],[Uraian]])&gt;2,TRIM(RIGHT(SUBSTITUTE(TRIM(C1733)," ",REPT(" ",255)),255))," ")</f>
        <v xml:space="preserve"> </v>
      </c>
      <c r="G1733" s="110">
        <f>COPY!Z1725</f>
        <v>0</v>
      </c>
      <c r="H1733" s="111" t="str">
        <f>IFERROR(VLOOKUP(Table1722[[#This Row],[Bukti]],'Un nOTA'!$A$4:$K$5003,10,FALSE),"")</f>
        <v/>
      </c>
      <c r="I1733" s="112" t="str">
        <f>IFERROR(VLOOKUP(Table1722[[#This Row],[Bukti]],Table13[#Data],11,FALSE),"")</f>
        <v/>
      </c>
    </row>
    <row r="1734" spans="1:9" ht="19.5" hidden="1" customHeight="1" x14ac:dyDescent="0.2">
      <c r="A1734" s="105" t="str">
        <f>IF(D1734=1,COUNTIF($D$10:D1734,1)," ")</f>
        <v xml:space="preserve"> </v>
      </c>
      <c r="B1734" s="106">
        <f>COPY!AR1726</f>
        <v>0</v>
      </c>
      <c r="C1734" s="107">
        <f>COPY!AC1726</f>
        <v>0</v>
      </c>
      <c r="D1734" s="107" t="str">
        <f>IF(LEN(Table1722[[#This Row],[Uraian]])&gt;2,1," ")</f>
        <v xml:space="preserve"> </v>
      </c>
      <c r="E1734" s="113" t="str">
        <f>IF(Table1722[[#This Row],[Lawan Transaksi]]="CV AGUNG KARYA",COUNTIF($I$10:I1734,"CV AGUNG KARYA")," ")</f>
        <v xml:space="preserve"> </v>
      </c>
      <c r="F1734" s="107" t="str">
        <f>IF(LEN(Table1722[[#This Row],[Uraian]])&gt;2,TRIM(RIGHT(SUBSTITUTE(TRIM(C1734)," ",REPT(" ",255)),255))," ")</f>
        <v xml:space="preserve"> </v>
      </c>
      <c r="G1734" s="110">
        <f>COPY!Z1726</f>
        <v>0</v>
      </c>
      <c r="H1734" s="111" t="str">
        <f>IFERROR(VLOOKUP(Table1722[[#This Row],[Bukti]],'Un nOTA'!$A$4:$K$5003,10,FALSE),"")</f>
        <v/>
      </c>
      <c r="I1734" s="112" t="str">
        <f>IFERROR(VLOOKUP(Table1722[[#This Row],[Bukti]],Table13[#Data],11,FALSE),"")</f>
        <v/>
      </c>
    </row>
    <row r="1735" spans="1:9" ht="19.5" hidden="1" customHeight="1" x14ac:dyDescent="0.2">
      <c r="A1735" s="105" t="str">
        <f>IF(D1735=1,COUNTIF($D$10:D1735,1)," ")</f>
        <v xml:space="preserve"> </v>
      </c>
      <c r="B1735" s="106">
        <f>COPY!AR1727</f>
        <v>0</v>
      </c>
      <c r="C1735" s="107">
        <f>COPY!AC1727</f>
        <v>0</v>
      </c>
      <c r="D1735" s="107" t="str">
        <f>IF(LEN(Table1722[[#This Row],[Uraian]])&gt;2,1," ")</f>
        <v xml:space="preserve"> </v>
      </c>
      <c r="E1735" s="113" t="str">
        <f>IF(Table1722[[#This Row],[Lawan Transaksi]]="CV AGUNG KARYA",COUNTIF($I$10:I1735,"CV AGUNG KARYA")," ")</f>
        <v xml:space="preserve"> </v>
      </c>
      <c r="F1735" s="107" t="str">
        <f>IF(LEN(Table1722[[#This Row],[Uraian]])&gt;2,TRIM(RIGHT(SUBSTITUTE(TRIM(C1735)," ",REPT(" ",255)),255))," ")</f>
        <v xml:space="preserve"> </v>
      </c>
      <c r="G1735" s="110">
        <f>COPY!Z1727</f>
        <v>0</v>
      </c>
      <c r="H1735" s="111" t="str">
        <f>IFERROR(VLOOKUP(Table1722[[#This Row],[Bukti]],'Un nOTA'!$A$4:$K$5003,10,FALSE),"")</f>
        <v/>
      </c>
      <c r="I1735" s="112" t="str">
        <f>IFERROR(VLOOKUP(Table1722[[#This Row],[Bukti]],Table13[#Data],11,FALSE),"")</f>
        <v/>
      </c>
    </row>
    <row r="1736" spans="1:9" ht="19.5" hidden="1" customHeight="1" x14ac:dyDescent="0.2">
      <c r="A1736" s="105" t="str">
        <f>IF(D1736=1,COUNTIF($D$10:D1736,1)," ")</f>
        <v xml:space="preserve"> </v>
      </c>
      <c r="B1736" s="106">
        <f>COPY!AR1728</f>
        <v>0</v>
      </c>
      <c r="C1736" s="107">
        <f>COPY!AC1728</f>
        <v>0</v>
      </c>
      <c r="D1736" s="107" t="str">
        <f>IF(LEN(Table1722[[#This Row],[Uraian]])&gt;2,1," ")</f>
        <v xml:space="preserve"> </v>
      </c>
      <c r="E1736" s="113" t="str">
        <f>IF(Table1722[[#This Row],[Lawan Transaksi]]="CV AGUNG KARYA",COUNTIF($I$10:I1736,"CV AGUNG KARYA")," ")</f>
        <v xml:space="preserve"> </v>
      </c>
      <c r="F1736" s="107" t="str">
        <f>IF(LEN(Table1722[[#This Row],[Uraian]])&gt;2,TRIM(RIGHT(SUBSTITUTE(TRIM(C1736)," ",REPT(" ",255)),255))," ")</f>
        <v xml:space="preserve"> </v>
      </c>
      <c r="G1736" s="110">
        <f>COPY!Z1728</f>
        <v>0</v>
      </c>
      <c r="H1736" s="111" t="str">
        <f>IFERROR(VLOOKUP(Table1722[[#This Row],[Bukti]],'Un nOTA'!$A$4:$K$5003,10,FALSE),"")</f>
        <v/>
      </c>
      <c r="I1736" s="112" t="str">
        <f>IFERROR(VLOOKUP(Table1722[[#This Row],[Bukti]],Table13[#Data],11,FALSE),"")</f>
        <v/>
      </c>
    </row>
    <row r="1737" spans="1:9" ht="19.5" hidden="1" customHeight="1" x14ac:dyDescent="0.2">
      <c r="A1737" s="105" t="str">
        <f>IF(D1737=1,COUNTIF($D$10:D1737,1)," ")</f>
        <v xml:space="preserve"> </v>
      </c>
      <c r="B1737" s="106">
        <f>COPY!AR1729</f>
        <v>0</v>
      </c>
      <c r="C1737" s="107">
        <f>COPY!AC1729</f>
        <v>0</v>
      </c>
      <c r="D1737" s="107" t="str">
        <f>IF(LEN(Table1722[[#This Row],[Uraian]])&gt;2,1," ")</f>
        <v xml:space="preserve"> </v>
      </c>
      <c r="E1737" s="113" t="str">
        <f>IF(Table1722[[#This Row],[Lawan Transaksi]]="CV AGUNG KARYA",COUNTIF($I$10:I1737,"CV AGUNG KARYA")," ")</f>
        <v xml:space="preserve"> </v>
      </c>
      <c r="F1737" s="107" t="str">
        <f>IF(LEN(Table1722[[#This Row],[Uraian]])&gt;2,TRIM(RIGHT(SUBSTITUTE(TRIM(C1737)," ",REPT(" ",255)),255))," ")</f>
        <v xml:space="preserve"> </v>
      </c>
      <c r="G1737" s="110">
        <f>COPY!Z1729</f>
        <v>0</v>
      </c>
      <c r="H1737" s="111" t="str">
        <f>IFERROR(VLOOKUP(Table1722[[#This Row],[Bukti]],'Un nOTA'!$A$4:$K$5003,10,FALSE),"")</f>
        <v/>
      </c>
      <c r="I1737" s="112" t="str">
        <f>IFERROR(VLOOKUP(Table1722[[#This Row],[Bukti]],Table13[#Data],11,FALSE),"")</f>
        <v/>
      </c>
    </row>
    <row r="1738" spans="1:9" ht="19.5" hidden="1" customHeight="1" x14ac:dyDescent="0.2">
      <c r="A1738" s="105" t="str">
        <f>IF(D1738=1,COUNTIF($D$10:D1738,1)," ")</f>
        <v xml:space="preserve"> </v>
      </c>
      <c r="B1738" s="106">
        <f>COPY!AR1730</f>
        <v>0</v>
      </c>
      <c r="C1738" s="107">
        <f>COPY!AC1730</f>
        <v>0</v>
      </c>
      <c r="D1738" s="107" t="str">
        <f>IF(LEN(Table1722[[#This Row],[Uraian]])&gt;2,1," ")</f>
        <v xml:space="preserve"> </v>
      </c>
      <c r="E1738" s="113" t="str">
        <f>IF(Table1722[[#This Row],[Lawan Transaksi]]="CV AGUNG KARYA",COUNTIF($I$10:I1738,"CV AGUNG KARYA")," ")</f>
        <v xml:space="preserve"> </v>
      </c>
      <c r="F1738" s="107" t="str">
        <f>IF(LEN(Table1722[[#This Row],[Uraian]])&gt;2,TRIM(RIGHT(SUBSTITUTE(TRIM(C1738)," ",REPT(" ",255)),255))," ")</f>
        <v xml:space="preserve"> </v>
      </c>
      <c r="G1738" s="110">
        <f>COPY!Z1730</f>
        <v>0</v>
      </c>
      <c r="H1738" s="111" t="str">
        <f>IFERROR(VLOOKUP(Table1722[[#This Row],[Bukti]],'Un nOTA'!$A$4:$K$5003,10,FALSE),"")</f>
        <v/>
      </c>
      <c r="I1738" s="112" t="str">
        <f>IFERROR(VLOOKUP(Table1722[[#This Row],[Bukti]],Table13[#Data],11,FALSE),"")</f>
        <v/>
      </c>
    </row>
    <row r="1739" spans="1:9" ht="19.5" hidden="1" customHeight="1" x14ac:dyDescent="0.2">
      <c r="A1739" s="105" t="str">
        <f>IF(D1739=1,COUNTIF($D$10:D1739,1)," ")</f>
        <v xml:space="preserve"> </v>
      </c>
      <c r="B1739" s="106">
        <f>COPY!AR1731</f>
        <v>0</v>
      </c>
      <c r="C1739" s="107">
        <f>COPY!AC1731</f>
        <v>0</v>
      </c>
      <c r="D1739" s="107" t="str">
        <f>IF(LEN(Table1722[[#This Row],[Uraian]])&gt;2,1," ")</f>
        <v xml:space="preserve"> </v>
      </c>
      <c r="E1739" s="113" t="str">
        <f>IF(Table1722[[#This Row],[Lawan Transaksi]]="CV AGUNG KARYA",COUNTIF($I$10:I1739,"CV AGUNG KARYA")," ")</f>
        <v xml:space="preserve"> </v>
      </c>
      <c r="F1739" s="107" t="str">
        <f>IF(LEN(Table1722[[#This Row],[Uraian]])&gt;2,TRIM(RIGHT(SUBSTITUTE(TRIM(C1739)," ",REPT(" ",255)),255))," ")</f>
        <v xml:space="preserve"> </v>
      </c>
      <c r="G1739" s="110">
        <f>COPY!Z1731</f>
        <v>0</v>
      </c>
      <c r="H1739" s="111" t="str">
        <f>IFERROR(VLOOKUP(Table1722[[#This Row],[Bukti]],'Un nOTA'!$A$4:$K$5003,10,FALSE),"")</f>
        <v/>
      </c>
      <c r="I1739" s="112" t="str">
        <f>IFERROR(VLOOKUP(Table1722[[#This Row],[Bukti]],Table13[#Data],11,FALSE),"")</f>
        <v/>
      </c>
    </row>
    <row r="1740" spans="1:9" ht="19.5" hidden="1" customHeight="1" x14ac:dyDescent="0.2">
      <c r="A1740" s="105" t="str">
        <f>IF(D1740=1,COUNTIF($D$10:D1740,1)," ")</f>
        <v xml:space="preserve"> </v>
      </c>
      <c r="B1740" s="106">
        <f>COPY!AR1732</f>
        <v>0</v>
      </c>
      <c r="C1740" s="107">
        <f>COPY!AC1732</f>
        <v>0</v>
      </c>
      <c r="D1740" s="107" t="str">
        <f>IF(LEN(Table1722[[#This Row],[Uraian]])&gt;2,1," ")</f>
        <v xml:space="preserve"> </v>
      </c>
      <c r="E1740" s="113" t="str">
        <f>IF(Table1722[[#This Row],[Lawan Transaksi]]="CV AGUNG KARYA",COUNTIF($I$10:I1740,"CV AGUNG KARYA")," ")</f>
        <v xml:space="preserve"> </v>
      </c>
      <c r="F1740" s="107" t="str">
        <f>IF(LEN(Table1722[[#This Row],[Uraian]])&gt;2,TRIM(RIGHT(SUBSTITUTE(TRIM(C1740)," ",REPT(" ",255)),255))," ")</f>
        <v xml:space="preserve"> </v>
      </c>
      <c r="G1740" s="110">
        <f>COPY!Z1732</f>
        <v>0</v>
      </c>
      <c r="H1740" s="111" t="str">
        <f>IFERROR(VLOOKUP(Table1722[[#This Row],[Bukti]],'Un nOTA'!$A$4:$K$5003,10,FALSE),"")</f>
        <v/>
      </c>
      <c r="I1740" s="112" t="str">
        <f>IFERROR(VLOOKUP(Table1722[[#This Row],[Bukti]],Table13[#Data],11,FALSE),"")</f>
        <v/>
      </c>
    </row>
    <row r="1741" spans="1:9" ht="19.5" hidden="1" customHeight="1" x14ac:dyDescent="0.2">
      <c r="A1741" s="105" t="str">
        <f>IF(D1741=1,COUNTIF($D$10:D1741,1)," ")</f>
        <v xml:space="preserve"> </v>
      </c>
      <c r="B1741" s="106">
        <f>COPY!AR1733</f>
        <v>0</v>
      </c>
      <c r="C1741" s="107">
        <f>COPY!AC1733</f>
        <v>0</v>
      </c>
      <c r="D1741" s="107" t="str">
        <f>IF(LEN(Table1722[[#This Row],[Uraian]])&gt;2,1," ")</f>
        <v xml:space="preserve"> </v>
      </c>
      <c r="E1741" s="113" t="str">
        <f>IF(Table1722[[#This Row],[Lawan Transaksi]]="CV AGUNG KARYA",COUNTIF($I$10:I1741,"CV AGUNG KARYA")," ")</f>
        <v xml:space="preserve"> </v>
      </c>
      <c r="F1741" s="107" t="str">
        <f>IF(LEN(Table1722[[#This Row],[Uraian]])&gt;2,TRIM(RIGHT(SUBSTITUTE(TRIM(C1741)," ",REPT(" ",255)),255))," ")</f>
        <v xml:space="preserve"> </v>
      </c>
      <c r="G1741" s="110">
        <f>COPY!Z1733</f>
        <v>0</v>
      </c>
      <c r="H1741" s="111" t="str">
        <f>IFERROR(VLOOKUP(Table1722[[#This Row],[Bukti]],'Un nOTA'!$A$4:$K$5003,10,FALSE),"")</f>
        <v/>
      </c>
      <c r="I1741" s="112" t="str">
        <f>IFERROR(VLOOKUP(Table1722[[#This Row],[Bukti]],Table13[#Data],11,FALSE),"")</f>
        <v/>
      </c>
    </row>
    <row r="1742" spans="1:9" ht="19.5" hidden="1" customHeight="1" x14ac:dyDescent="0.2">
      <c r="A1742" s="105" t="str">
        <f>IF(D1742=1,COUNTIF($D$10:D1742,1)," ")</f>
        <v xml:space="preserve"> </v>
      </c>
      <c r="B1742" s="106">
        <f>COPY!AR1734</f>
        <v>0</v>
      </c>
      <c r="C1742" s="107">
        <f>COPY!AC1734</f>
        <v>0</v>
      </c>
      <c r="D1742" s="107" t="str">
        <f>IF(LEN(Table1722[[#This Row],[Uraian]])&gt;2,1," ")</f>
        <v xml:space="preserve"> </v>
      </c>
      <c r="E1742" s="113" t="str">
        <f>IF(Table1722[[#This Row],[Lawan Transaksi]]="CV AGUNG KARYA",COUNTIF($I$10:I1742,"CV AGUNG KARYA")," ")</f>
        <v xml:space="preserve"> </v>
      </c>
      <c r="F1742" s="107" t="str">
        <f>IF(LEN(Table1722[[#This Row],[Uraian]])&gt;2,TRIM(RIGHT(SUBSTITUTE(TRIM(C1742)," ",REPT(" ",255)),255))," ")</f>
        <v xml:space="preserve"> </v>
      </c>
      <c r="G1742" s="110">
        <f>COPY!Z1734</f>
        <v>0</v>
      </c>
      <c r="H1742" s="111" t="str">
        <f>IFERROR(VLOOKUP(Table1722[[#This Row],[Bukti]],'Un nOTA'!$A$4:$K$5003,10,FALSE),"")</f>
        <v/>
      </c>
      <c r="I1742" s="112" t="str">
        <f>IFERROR(VLOOKUP(Table1722[[#This Row],[Bukti]],Table13[#Data],11,FALSE),"")</f>
        <v/>
      </c>
    </row>
    <row r="1743" spans="1:9" ht="19.5" hidden="1" customHeight="1" x14ac:dyDescent="0.2">
      <c r="A1743" s="105" t="str">
        <f>IF(D1743=1,COUNTIF($D$10:D1743,1)," ")</f>
        <v xml:space="preserve"> </v>
      </c>
      <c r="B1743" s="106">
        <f>COPY!AR1735</f>
        <v>0</v>
      </c>
      <c r="C1743" s="107">
        <f>COPY!AC1735</f>
        <v>0</v>
      </c>
      <c r="D1743" s="107" t="str">
        <f>IF(LEN(Table1722[[#This Row],[Uraian]])&gt;2,1," ")</f>
        <v xml:space="preserve"> </v>
      </c>
      <c r="E1743" s="113" t="str">
        <f>IF(Table1722[[#This Row],[Lawan Transaksi]]="CV AGUNG KARYA",COUNTIF($I$10:I1743,"CV AGUNG KARYA")," ")</f>
        <v xml:space="preserve"> </v>
      </c>
      <c r="F1743" s="107" t="str">
        <f>IF(LEN(Table1722[[#This Row],[Uraian]])&gt;2,TRIM(RIGHT(SUBSTITUTE(TRIM(C1743)," ",REPT(" ",255)),255))," ")</f>
        <v xml:space="preserve"> </v>
      </c>
      <c r="G1743" s="110">
        <f>COPY!Z1735</f>
        <v>0</v>
      </c>
      <c r="H1743" s="111" t="str">
        <f>IFERROR(VLOOKUP(Table1722[[#This Row],[Bukti]],'Un nOTA'!$A$4:$K$5003,10,FALSE),"")</f>
        <v/>
      </c>
      <c r="I1743" s="112" t="str">
        <f>IFERROR(VLOOKUP(Table1722[[#This Row],[Bukti]],Table13[#Data],11,FALSE),"")</f>
        <v/>
      </c>
    </row>
    <row r="1744" spans="1:9" ht="19.5" hidden="1" customHeight="1" x14ac:dyDescent="0.2">
      <c r="A1744" s="105" t="str">
        <f>IF(D1744=1,COUNTIF($D$10:D1744,1)," ")</f>
        <v xml:space="preserve"> </v>
      </c>
      <c r="B1744" s="106">
        <f>COPY!AR1736</f>
        <v>0</v>
      </c>
      <c r="C1744" s="107">
        <f>COPY!AC1736</f>
        <v>0</v>
      </c>
      <c r="D1744" s="107" t="str">
        <f>IF(LEN(Table1722[[#This Row],[Uraian]])&gt;2,1," ")</f>
        <v xml:space="preserve"> </v>
      </c>
      <c r="E1744" s="113" t="str">
        <f>IF(Table1722[[#This Row],[Lawan Transaksi]]="CV AGUNG KARYA",COUNTIF($I$10:I1744,"CV AGUNG KARYA")," ")</f>
        <v xml:space="preserve"> </v>
      </c>
      <c r="F1744" s="107" t="str">
        <f>IF(LEN(Table1722[[#This Row],[Uraian]])&gt;2,TRIM(RIGHT(SUBSTITUTE(TRIM(C1744)," ",REPT(" ",255)),255))," ")</f>
        <v xml:space="preserve"> </v>
      </c>
      <c r="G1744" s="110">
        <f>COPY!Z1736</f>
        <v>0</v>
      </c>
      <c r="H1744" s="111" t="str">
        <f>IFERROR(VLOOKUP(Table1722[[#This Row],[Bukti]],'Un nOTA'!$A$4:$K$5003,10,FALSE),"")</f>
        <v/>
      </c>
      <c r="I1744" s="112" t="str">
        <f>IFERROR(VLOOKUP(Table1722[[#This Row],[Bukti]],Table13[#Data],11,FALSE),"")</f>
        <v/>
      </c>
    </row>
    <row r="1745" spans="1:9" ht="19.5" hidden="1" customHeight="1" x14ac:dyDescent="0.2">
      <c r="A1745" s="105" t="str">
        <f>IF(D1745=1,COUNTIF($D$10:D1745,1)," ")</f>
        <v xml:space="preserve"> </v>
      </c>
      <c r="B1745" s="106">
        <f>COPY!AR1737</f>
        <v>0</v>
      </c>
      <c r="C1745" s="107">
        <f>COPY!AC1737</f>
        <v>0</v>
      </c>
      <c r="D1745" s="107" t="str">
        <f>IF(LEN(Table1722[[#This Row],[Uraian]])&gt;2,1," ")</f>
        <v xml:space="preserve"> </v>
      </c>
      <c r="E1745" s="113" t="str">
        <f>IF(Table1722[[#This Row],[Lawan Transaksi]]="CV AGUNG KARYA",COUNTIF($I$10:I1745,"CV AGUNG KARYA")," ")</f>
        <v xml:space="preserve"> </v>
      </c>
      <c r="F1745" s="107" t="str">
        <f>IF(LEN(Table1722[[#This Row],[Uraian]])&gt;2,TRIM(RIGHT(SUBSTITUTE(TRIM(C1745)," ",REPT(" ",255)),255))," ")</f>
        <v xml:space="preserve"> </v>
      </c>
      <c r="G1745" s="110">
        <f>COPY!Z1737</f>
        <v>0</v>
      </c>
      <c r="H1745" s="111" t="str">
        <f>IFERROR(VLOOKUP(Table1722[[#This Row],[Bukti]],'Un nOTA'!$A$4:$K$5003,10,FALSE),"")</f>
        <v/>
      </c>
      <c r="I1745" s="112" t="str">
        <f>IFERROR(VLOOKUP(Table1722[[#This Row],[Bukti]],Table13[#Data],11,FALSE),"")</f>
        <v/>
      </c>
    </row>
    <row r="1746" spans="1:9" ht="19.5" hidden="1" customHeight="1" x14ac:dyDescent="0.2">
      <c r="A1746" s="105" t="str">
        <f>IF(D1746=1,COUNTIF($D$10:D1746,1)," ")</f>
        <v xml:space="preserve"> </v>
      </c>
      <c r="B1746" s="106">
        <f>COPY!AR1738</f>
        <v>0</v>
      </c>
      <c r="C1746" s="107">
        <f>COPY!AC1738</f>
        <v>0</v>
      </c>
      <c r="D1746" s="107" t="str">
        <f>IF(LEN(Table1722[[#This Row],[Uraian]])&gt;2,1," ")</f>
        <v xml:space="preserve"> </v>
      </c>
      <c r="E1746" s="113" t="str">
        <f>IF(Table1722[[#This Row],[Lawan Transaksi]]="CV AGUNG KARYA",COUNTIF($I$10:I1746,"CV AGUNG KARYA")," ")</f>
        <v xml:space="preserve"> </v>
      </c>
      <c r="F1746" s="107" t="str">
        <f>IF(LEN(Table1722[[#This Row],[Uraian]])&gt;2,TRIM(RIGHT(SUBSTITUTE(TRIM(C1746)," ",REPT(" ",255)),255))," ")</f>
        <v xml:space="preserve"> </v>
      </c>
      <c r="G1746" s="110">
        <f>COPY!Z1738</f>
        <v>0</v>
      </c>
      <c r="H1746" s="111" t="str">
        <f>IFERROR(VLOOKUP(Table1722[[#This Row],[Bukti]],'Un nOTA'!$A$4:$K$5003,10,FALSE),"")</f>
        <v/>
      </c>
      <c r="I1746" s="112" t="str">
        <f>IFERROR(VLOOKUP(Table1722[[#This Row],[Bukti]],Table13[#Data],11,FALSE),"")</f>
        <v/>
      </c>
    </row>
    <row r="1747" spans="1:9" ht="19.5" hidden="1" customHeight="1" x14ac:dyDescent="0.2">
      <c r="A1747" s="105" t="str">
        <f>IF(D1747=1,COUNTIF($D$10:D1747,1)," ")</f>
        <v xml:space="preserve"> </v>
      </c>
      <c r="B1747" s="106">
        <f>COPY!AR1739</f>
        <v>0</v>
      </c>
      <c r="C1747" s="107">
        <f>COPY!AC1739</f>
        <v>0</v>
      </c>
      <c r="D1747" s="107" t="str">
        <f>IF(LEN(Table1722[[#This Row],[Uraian]])&gt;2,1," ")</f>
        <v xml:space="preserve"> </v>
      </c>
      <c r="E1747" s="113" t="str">
        <f>IF(Table1722[[#This Row],[Lawan Transaksi]]="CV AGUNG KARYA",COUNTIF($I$10:I1747,"CV AGUNG KARYA")," ")</f>
        <v xml:space="preserve"> </v>
      </c>
      <c r="F1747" s="107" t="str">
        <f>IF(LEN(Table1722[[#This Row],[Uraian]])&gt;2,TRIM(RIGHT(SUBSTITUTE(TRIM(C1747)," ",REPT(" ",255)),255))," ")</f>
        <v xml:space="preserve"> </v>
      </c>
      <c r="G1747" s="110">
        <f>COPY!Z1739</f>
        <v>0</v>
      </c>
      <c r="H1747" s="111" t="str">
        <f>IFERROR(VLOOKUP(Table1722[[#This Row],[Bukti]],'Un nOTA'!$A$4:$K$5003,10,FALSE),"")</f>
        <v/>
      </c>
      <c r="I1747" s="112" t="str">
        <f>IFERROR(VLOOKUP(Table1722[[#This Row],[Bukti]],Table13[#Data],11,FALSE),"")</f>
        <v/>
      </c>
    </row>
    <row r="1748" spans="1:9" ht="19.5" hidden="1" customHeight="1" x14ac:dyDescent="0.2">
      <c r="A1748" s="105" t="str">
        <f>IF(D1748=1,COUNTIF($D$10:D1748,1)," ")</f>
        <v xml:space="preserve"> </v>
      </c>
      <c r="B1748" s="106">
        <f>COPY!AR1740</f>
        <v>0</v>
      </c>
      <c r="C1748" s="107">
        <f>COPY!AC1740</f>
        <v>0</v>
      </c>
      <c r="D1748" s="107" t="str">
        <f>IF(LEN(Table1722[[#This Row],[Uraian]])&gt;2,1," ")</f>
        <v xml:space="preserve"> </v>
      </c>
      <c r="E1748" s="113" t="str">
        <f>IF(Table1722[[#This Row],[Lawan Transaksi]]="CV AGUNG KARYA",COUNTIF($I$10:I1748,"CV AGUNG KARYA")," ")</f>
        <v xml:space="preserve"> </v>
      </c>
      <c r="F1748" s="107" t="str">
        <f>IF(LEN(Table1722[[#This Row],[Uraian]])&gt;2,TRIM(RIGHT(SUBSTITUTE(TRIM(C1748)," ",REPT(" ",255)),255))," ")</f>
        <v xml:space="preserve"> </v>
      </c>
      <c r="G1748" s="110">
        <f>COPY!Z1740</f>
        <v>0</v>
      </c>
      <c r="H1748" s="111" t="str">
        <f>IFERROR(VLOOKUP(Table1722[[#This Row],[Bukti]],'Un nOTA'!$A$4:$K$5003,10,FALSE),"")</f>
        <v/>
      </c>
      <c r="I1748" s="112" t="str">
        <f>IFERROR(VLOOKUP(Table1722[[#This Row],[Bukti]],Table13[#Data],11,FALSE),"")</f>
        <v/>
      </c>
    </row>
    <row r="1749" spans="1:9" ht="19.5" hidden="1" customHeight="1" x14ac:dyDescent="0.2">
      <c r="A1749" s="105" t="str">
        <f>IF(D1749=1,COUNTIF($D$10:D1749,1)," ")</f>
        <v xml:space="preserve"> </v>
      </c>
      <c r="B1749" s="106">
        <f>COPY!AR1741</f>
        <v>0</v>
      </c>
      <c r="C1749" s="107">
        <f>COPY!AC1741</f>
        <v>0</v>
      </c>
      <c r="D1749" s="107" t="str">
        <f>IF(LEN(Table1722[[#This Row],[Uraian]])&gt;2,1," ")</f>
        <v xml:space="preserve"> </v>
      </c>
      <c r="E1749" s="113" t="str">
        <f>IF(Table1722[[#This Row],[Lawan Transaksi]]="CV AGUNG KARYA",COUNTIF($I$10:I1749,"CV AGUNG KARYA")," ")</f>
        <v xml:space="preserve"> </v>
      </c>
      <c r="F1749" s="107" t="str">
        <f>IF(LEN(Table1722[[#This Row],[Uraian]])&gt;2,TRIM(RIGHT(SUBSTITUTE(TRIM(C1749)," ",REPT(" ",255)),255))," ")</f>
        <v xml:space="preserve"> </v>
      </c>
      <c r="G1749" s="110">
        <f>COPY!Z1741</f>
        <v>0</v>
      </c>
      <c r="H1749" s="111" t="str">
        <f>IFERROR(VLOOKUP(Table1722[[#This Row],[Bukti]],'Un nOTA'!$A$4:$K$5003,10,FALSE),"")</f>
        <v/>
      </c>
      <c r="I1749" s="112" t="str">
        <f>IFERROR(VLOOKUP(Table1722[[#This Row],[Bukti]],Table13[#Data],11,FALSE),"")</f>
        <v/>
      </c>
    </row>
    <row r="1750" spans="1:9" ht="19.5" hidden="1" customHeight="1" x14ac:dyDescent="0.2">
      <c r="A1750" s="105" t="str">
        <f>IF(D1750=1,COUNTIF($D$10:D1750,1)," ")</f>
        <v xml:space="preserve"> </v>
      </c>
      <c r="B1750" s="106">
        <f>COPY!AR1742</f>
        <v>0</v>
      </c>
      <c r="C1750" s="107">
        <f>COPY!AC1742</f>
        <v>0</v>
      </c>
      <c r="D1750" s="107" t="str">
        <f>IF(LEN(Table1722[[#This Row],[Uraian]])&gt;2,1," ")</f>
        <v xml:space="preserve"> </v>
      </c>
      <c r="E1750" s="113" t="str">
        <f>IF(Table1722[[#This Row],[Lawan Transaksi]]="CV AGUNG KARYA",COUNTIF($I$10:I1750,"CV AGUNG KARYA")," ")</f>
        <v xml:space="preserve"> </v>
      </c>
      <c r="F1750" s="107" t="str">
        <f>IF(LEN(Table1722[[#This Row],[Uraian]])&gt;2,TRIM(RIGHT(SUBSTITUTE(TRIM(C1750)," ",REPT(" ",255)),255))," ")</f>
        <v xml:space="preserve"> </v>
      </c>
      <c r="G1750" s="110">
        <f>COPY!Z1742</f>
        <v>0</v>
      </c>
      <c r="H1750" s="111" t="str">
        <f>IFERROR(VLOOKUP(Table1722[[#This Row],[Bukti]],'Un nOTA'!$A$4:$K$5003,10,FALSE),"")</f>
        <v/>
      </c>
      <c r="I1750" s="112" t="str">
        <f>IFERROR(VLOOKUP(Table1722[[#This Row],[Bukti]],Table13[#Data],11,FALSE),"")</f>
        <v/>
      </c>
    </row>
    <row r="1751" spans="1:9" ht="19.5" hidden="1" customHeight="1" x14ac:dyDescent="0.2">
      <c r="A1751" s="105" t="str">
        <f>IF(D1751=1,COUNTIF($D$10:D1751,1)," ")</f>
        <v xml:space="preserve"> </v>
      </c>
      <c r="B1751" s="106">
        <f>COPY!AR1743</f>
        <v>0</v>
      </c>
      <c r="C1751" s="107">
        <f>COPY!AC1743</f>
        <v>0</v>
      </c>
      <c r="D1751" s="107" t="str">
        <f>IF(LEN(Table1722[[#This Row],[Uraian]])&gt;2,1," ")</f>
        <v xml:space="preserve"> </v>
      </c>
      <c r="E1751" s="113" t="str">
        <f>IF(Table1722[[#This Row],[Lawan Transaksi]]="CV AGUNG KARYA",COUNTIF($I$10:I1751,"CV AGUNG KARYA")," ")</f>
        <v xml:space="preserve"> </v>
      </c>
      <c r="F1751" s="107" t="str">
        <f>IF(LEN(Table1722[[#This Row],[Uraian]])&gt;2,TRIM(RIGHT(SUBSTITUTE(TRIM(C1751)," ",REPT(" ",255)),255))," ")</f>
        <v xml:space="preserve"> </v>
      </c>
      <c r="G1751" s="110">
        <f>COPY!Z1743</f>
        <v>0</v>
      </c>
      <c r="H1751" s="111" t="str">
        <f>IFERROR(VLOOKUP(Table1722[[#This Row],[Bukti]],'Un nOTA'!$A$4:$K$5003,10,FALSE),"")</f>
        <v/>
      </c>
      <c r="I1751" s="112" t="str">
        <f>IFERROR(VLOOKUP(Table1722[[#This Row],[Bukti]],Table13[#Data],11,FALSE),"")</f>
        <v/>
      </c>
    </row>
    <row r="1752" spans="1:9" ht="19.5" hidden="1" customHeight="1" x14ac:dyDescent="0.2">
      <c r="A1752" s="105" t="str">
        <f>IF(D1752=1,COUNTIF($D$10:D1752,1)," ")</f>
        <v xml:space="preserve"> </v>
      </c>
      <c r="B1752" s="106">
        <f>COPY!AR1744</f>
        <v>0</v>
      </c>
      <c r="C1752" s="107">
        <f>COPY!AC1744</f>
        <v>0</v>
      </c>
      <c r="D1752" s="107" t="str">
        <f>IF(LEN(Table1722[[#This Row],[Uraian]])&gt;2,1," ")</f>
        <v xml:space="preserve"> </v>
      </c>
      <c r="E1752" s="113" t="str">
        <f>IF(Table1722[[#This Row],[Lawan Transaksi]]="CV AGUNG KARYA",COUNTIF($I$10:I1752,"CV AGUNG KARYA")," ")</f>
        <v xml:space="preserve"> </v>
      </c>
      <c r="F1752" s="107" t="str">
        <f>IF(LEN(Table1722[[#This Row],[Uraian]])&gt;2,TRIM(RIGHT(SUBSTITUTE(TRIM(C1752)," ",REPT(" ",255)),255))," ")</f>
        <v xml:space="preserve"> </v>
      </c>
      <c r="G1752" s="110">
        <f>COPY!Z1744</f>
        <v>0</v>
      </c>
      <c r="H1752" s="111" t="str">
        <f>IFERROR(VLOOKUP(Table1722[[#This Row],[Bukti]],'Un nOTA'!$A$4:$K$5003,10,FALSE),"")</f>
        <v/>
      </c>
      <c r="I1752" s="112" t="str">
        <f>IFERROR(VLOOKUP(Table1722[[#This Row],[Bukti]],Table13[#Data],11,FALSE),"")</f>
        <v/>
      </c>
    </row>
    <row r="1753" spans="1:9" ht="19.5" hidden="1" customHeight="1" x14ac:dyDescent="0.2">
      <c r="A1753" s="105" t="str">
        <f>IF(D1753=1,COUNTIF($D$10:D1753,1)," ")</f>
        <v xml:space="preserve"> </v>
      </c>
      <c r="B1753" s="106">
        <f>COPY!AR1745</f>
        <v>0</v>
      </c>
      <c r="C1753" s="107">
        <f>COPY!AC1745</f>
        <v>0</v>
      </c>
      <c r="D1753" s="107" t="str">
        <f>IF(LEN(Table1722[[#This Row],[Uraian]])&gt;2,1," ")</f>
        <v xml:space="preserve"> </v>
      </c>
      <c r="E1753" s="113" t="str">
        <f>IF(Table1722[[#This Row],[Lawan Transaksi]]="CV AGUNG KARYA",COUNTIF($I$10:I1753,"CV AGUNG KARYA")," ")</f>
        <v xml:space="preserve"> </v>
      </c>
      <c r="F1753" s="107" t="str">
        <f>IF(LEN(Table1722[[#This Row],[Uraian]])&gt;2,TRIM(RIGHT(SUBSTITUTE(TRIM(C1753)," ",REPT(" ",255)),255))," ")</f>
        <v xml:space="preserve"> </v>
      </c>
      <c r="G1753" s="110">
        <f>COPY!Z1745</f>
        <v>0</v>
      </c>
      <c r="H1753" s="111" t="str">
        <f>IFERROR(VLOOKUP(Table1722[[#This Row],[Bukti]],'Un nOTA'!$A$4:$K$5003,10,FALSE),"")</f>
        <v/>
      </c>
      <c r="I1753" s="112" t="str">
        <f>IFERROR(VLOOKUP(Table1722[[#This Row],[Bukti]],Table13[#Data],11,FALSE),"")</f>
        <v/>
      </c>
    </row>
    <row r="1754" spans="1:9" ht="19.5" hidden="1" customHeight="1" x14ac:dyDescent="0.2">
      <c r="A1754" s="105" t="str">
        <f>IF(D1754=1,COUNTIF($D$10:D1754,1)," ")</f>
        <v xml:space="preserve"> </v>
      </c>
      <c r="B1754" s="106">
        <f>COPY!AR1746</f>
        <v>0</v>
      </c>
      <c r="C1754" s="107">
        <f>COPY!AC1746</f>
        <v>0</v>
      </c>
      <c r="D1754" s="107" t="str">
        <f>IF(LEN(Table1722[[#This Row],[Uraian]])&gt;2,1," ")</f>
        <v xml:space="preserve"> </v>
      </c>
      <c r="E1754" s="113" t="str">
        <f>IF(Table1722[[#This Row],[Lawan Transaksi]]="CV AGUNG KARYA",COUNTIF($I$10:I1754,"CV AGUNG KARYA")," ")</f>
        <v xml:space="preserve"> </v>
      </c>
      <c r="F1754" s="107" t="str">
        <f>IF(LEN(Table1722[[#This Row],[Uraian]])&gt;2,TRIM(RIGHT(SUBSTITUTE(TRIM(C1754)," ",REPT(" ",255)),255))," ")</f>
        <v xml:space="preserve"> </v>
      </c>
      <c r="G1754" s="110">
        <f>COPY!Z1746</f>
        <v>0</v>
      </c>
      <c r="H1754" s="111" t="str">
        <f>IFERROR(VLOOKUP(Table1722[[#This Row],[Bukti]],'Un nOTA'!$A$4:$K$5003,10,FALSE),"")</f>
        <v/>
      </c>
      <c r="I1754" s="112" t="str">
        <f>IFERROR(VLOOKUP(Table1722[[#This Row],[Bukti]],Table13[#Data],11,FALSE),"")</f>
        <v/>
      </c>
    </row>
    <row r="1755" spans="1:9" ht="19.5" hidden="1" customHeight="1" x14ac:dyDescent="0.2">
      <c r="A1755" s="105" t="str">
        <f>IF(D1755=1,COUNTIF($D$10:D1755,1)," ")</f>
        <v xml:space="preserve"> </v>
      </c>
      <c r="B1755" s="106">
        <f>COPY!AR1747</f>
        <v>0</v>
      </c>
      <c r="C1755" s="107">
        <f>COPY!AC1747</f>
        <v>0</v>
      </c>
      <c r="D1755" s="107" t="str">
        <f>IF(LEN(Table1722[[#This Row],[Uraian]])&gt;2,1," ")</f>
        <v xml:space="preserve"> </v>
      </c>
      <c r="E1755" s="113" t="str">
        <f>IF(Table1722[[#This Row],[Lawan Transaksi]]="CV AGUNG KARYA",COUNTIF($I$10:I1755,"CV AGUNG KARYA")," ")</f>
        <v xml:space="preserve"> </v>
      </c>
      <c r="F1755" s="107" t="str">
        <f>IF(LEN(Table1722[[#This Row],[Uraian]])&gt;2,TRIM(RIGHT(SUBSTITUTE(TRIM(C1755)," ",REPT(" ",255)),255))," ")</f>
        <v xml:space="preserve"> </v>
      </c>
      <c r="G1755" s="110">
        <f>COPY!Z1747</f>
        <v>0</v>
      </c>
      <c r="H1755" s="111" t="str">
        <f>IFERROR(VLOOKUP(Table1722[[#This Row],[Bukti]],'Un nOTA'!$A$4:$K$5003,10,FALSE),"")</f>
        <v/>
      </c>
      <c r="I1755" s="112" t="str">
        <f>IFERROR(VLOOKUP(Table1722[[#This Row],[Bukti]],Table13[#Data],11,FALSE),"")</f>
        <v/>
      </c>
    </row>
    <row r="1756" spans="1:9" ht="19.5" hidden="1" customHeight="1" x14ac:dyDescent="0.2">
      <c r="A1756" s="105" t="str">
        <f>IF(D1756=1,COUNTIF($D$10:D1756,1)," ")</f>
        <v xml:space="preserve"> </v>
      </c>
      <c r="B1756" s="106">
        <f>COPY!AR1748</f>
        <v>0</v>
      </c>
      <c r="C1756" s="107">
        <f>COPY!AC1748</f>
        <v>0</v>
      </c>
      <c r="D1756" s="107" t="str">
        <f>IF(LEN(Table1722[[#This Row],[Uraian]])&gt;2,1," ")</f>
        <v xml:space="preserve"> </v>
      </c>
      <c r="E1756" s="113" t="str">
        <f>IF(Table1722[[#This Row],[Lawan Transaksi]]="CV AGUNG KARYA",COUNTIF($I$10:I1756,"CV AGUNG KARYA")," ")</f>
        <v xml:space="preserve"> </v>
      </c>
      <c r="F1756" s="107" t="str">
        <f>IF(LEN(Table1722[[#This Row],[Uraian]])&gt;2,TRIM(RIGHT(SUBSTITUTE(TRIM(C1756)," ",REPT(" ",255)),255))," ")</f>
        <v xml:space="preserve"> </v>
      </c>
      <c r="G1756" s="110">
        <f>COPY!Z1748</f>
        <v>0</v>
      </c>
      <c r="H1756" s="111" t="str">
        <f>IFERROR(VLOOKUP(Table1722[[#This Row],[Bukti]],'Un nOTA'!$A$4:$K$5003,10,FALSE),"")</f>
        <v/>
      </c>
      <c r="I1756" s="112" t="str">
        <f>IFERROR(VLOOKUP(Table1722[[#This Row],[Bukti]],Table13[#Data],11,FALSE),"")</f>
        <v/>
      </c>
    </row>
    <row r="1757" spans="1:9" ht="19.5" hidden="1" customHeight="1" x14ac:dyDescent="0.2">
      <c r="A1757" s="105" t="str">
        <f>IF(D1757=1,COUNTIF($D$10:D1757,1)," ")</f>
        <v xml:space="preserve"> </v>
      </c>
      <c r="B1757" s="106">
        <f>COPY!AR1749</f>
        <v>0</v>
      </c>
      <c r="C1757" s="107">
        <f>COPY!AC1749</f>
        <v>0</v>
      </c>
      <c r="D1757" s="107" t="str">
        <f>IF(LEN(Table1722[[#This Row],[Uraian]])&gt;2,1," ")</f>
        <v xml:space="preserve"> </v>
      </c>
      <c r="E1757" s="113" t="str">
        <f>IF(Table1722[[#This Row],[Lawan Transaksi]]="CV AGUNG KARYA",COUNTIF($I$10:I1757,"CV AGUNG KARYA")," ")</f>
        <v xml:space="preserve"> </v>
      </c>
      <c r="F1757" s="107" t="str">
        <f>IF(LEN(Table1722[[#This Row],[Uraian]])&gt;2,TRIM(RIGHT(SUBSTITUTE(TRIM(C1757)," ",REPT(" ",255)),255))," ")</f>
        <v xml:space="preserve"> </v>
      </c>
      <c r="G1757" s="110">
        <f>COPY!Z1749</f>
        <v>0</v>
      </c>
      <c r="H1757" s="111" t="str">
        <f>IFERROR(VLOOKUP(Table1722[[#This Row],[Bukti]],'Un nOTA'!$A$4:$K$5003,10,FALSE),"")</f>
        <v/>
      </c>
      <c r="I1757" s="112" t="str">
        <f>IFERROR(VLOOKUP(Table1722[[#This Row],[Bukti]],Table13[#Data],11,FALSE),"")</f>
        <v/>
      </c>
    </row>
    <row r="1758" spans="1:9" ht="19.5" hidden="1" customHeight="1" x14ac:dyDescent="0.2">
      <c r="A1758" s="105" t="str">
        <f>IF(D1758=1,COUNTIF($D$10:D1758,1)," ")</f>
        <v xml:space="preserve"> </v>
      </c>
      <c r="B1758" s="106">
        <f>COPY!AR1750</f>
        <v>0</v>
      </c>
      <c r="C1758" s="107">
        <f>COPY!AC1750</f>
        <v>0</v>
      </c>
      <c r="D1758" s="107" t="str">
        <f>IF(LEN(Table1722[[#This Row],[Uraian]])&gt;2,1," ")</f>
        <v xml:space="preserve"> </v>
      </c>
      <c r="E1758" s="113" t="str">
        <f>IF(Table1722[[#This Row],[Lawan Transaksi]]="CV AGUNG KARYA",COUNTIF($I$10:I1758,"CV AGUNG KARYA")," ")</f>
        <v xml:space="preserve"> </v>
      </c>
      <c r="F1758" s="107" t="str">
        <f>IF(LEN(Table1722[[#This Row],[Uraian]])&gt;2,TRIM(RIGHT(SUBSTITUTE(TRIM(C1758)," ",REPT(" ",255)),255))," ")</f>
        <v xml:space="preserve"> </v>
      </c>
      <c r="G1758" s="110">
        <f>COPY!Z1750</f>
        <v>0</v>
      </c>
      <c r="H1758" s="111" t="str">
        <f>IFERROR(VLOOKUP(Table1722[[#This Row],[Bukti]],'Un nOTA'!$A$4:$K$5003,10,FALSE),"")</f>
        <v/>
      </c>
      <c r="I1758" s="112" t="str">
        <f>IFERROR(VLOOKUP(Table1722[[#This Row],[Bukti]],Table13[#Data],11,FALSE),"")</f>
        <v/>
      </c>
    </row>
    <row r="1759" spans="1:9" ht="19.5" hidden="1" customHeight="1" x14ac:dyDescent="0.2">
      <c r="A1759" s="105" t="str">
        <f>IF(D1759=1,COUNTIF($D$10:D1759,1)," ")</f>
        <v xml:space="preserve"> </v>
      </c>
      <c r="B1759" s="106">
        <f>COPY!AR1751</f>
        <v>0</v>
      </c>
      <c r="C1759" s="107">
        <f>COPY!AC1751</f>
        <v>0</v>
      </c>
      <c r="D1759" s="107" t="str">
        <f>IF(LEN(Table1722[[#This Row],[Uraian]])&gt;2,1," ")</f>
        <v xml:space="preserve"> </v>
      </c>
      <c r="E1759" s="113" t="str">
        <f>IF(Table1722[[#This Row],[Lawan Transaksi]]="CV AGUNG KARYA",COUNTIF($I$10:I1759,"CV AGUNG KARYA")," ")</f>
        <v xml:space="preserve"> </v>
      </c>
      <c r="F1759" s="107" t="str">
        <f>IF(LEN(Table1722[[#This Row],[Uraian]])&gt;2,TRIM(RIGHT(SUBSTITUTE(TRIM(C1759)," ",REPT(" ",255)),255))," ")</f>
        <v xml:space="preserve"> </v>
      </c>
      <c r="G1759" s="110">
        <f>COPY!Z1751</f>
        <v>0</v>
      </c>
      <c r="H1759" s="111" t="str">
        <f>IFERROR(VLOOKUP(Table1722[[#This Row],[Bukti]],'Un nOTA'!$A$4:$K$5003,10,FALSE),"")</f>
        <v/>
      </c>
      <c r="I1759" s="112" t="str">
        <f>IFERROR(VLOOKUP(Table1722[[#This Row],[Bukti]],Table13[#Data],11,FALSE),"")</f>
        <v/>
      </c>
    </row>
    <row r="1760" spans="1:9" ht="19.5" hidden="1" customHeight="1" x14ac:dyDescent="0.2">
      <c r="A1760" s="105" t="str">
        <f>IF(D1760=1,COUNTIF($D$10:D1760,1)," ")</f>
        <v xml:space="preserve"> </v>
      </c>
      <c r="B1760" s="106">
        <f>COPY!AR1752</f>
        <v>0</v>
      </c>
      <c r="C1760" s="107">
        <f>COPY!AC1752</f>
        <v>0</v>
      </c>
      <c r="D1760" s="107" t="str">
        <f>IF(LEN(Table1722[[#This Row],[Uraian]])&gt;2,1," ")</f>
        <v xml:space="preserve"> </v>
      </c>
      <c r="E1760" s="113" t="str">
        <f>IF(Table1722[[#This Row],[Lawan Transaksi]]="CV AGUNG KARYA",COUNTIF($I$10:I1760,"CV AGUNG KARYA")," ")</f>
        <v xml:space="preserve"> </v>
      </c>
      <c r="F1760" s="107" t="str">
        <f>IF(LEN(Table1722[[#This Row],[Uraian]])&gt;2,TRIM(RIGHT(SUBSTITUTE(TRIM(C1760)," ",REPT(" ",255)),255))," ")</f>
        <v xml:space="preserve"> </v>
      </c>
      <c r="G1760" s="110">
        <f>COPY!Z1752</f>
        <v>0</v>
      </c>
      <c r="H1760" s="111" t="str">
        <f>IFERROR(VLOOKUP(Table1722[[#This Row],[Bukti]],'Un nOTA'!$A$4:$K$5003,10,FALSE),"")</f>
        <v/>
      </c>
      <c r="I1760" s="112" t="str">
        <f>IFERROR(VLOOKUP(Table1722[[#This Row],[Bukti]],Table13[#Data],11,FALSE),"")</f>
        <v/>
      </c>
    </row>
    <row r="1761" spans="1:9" ht="19.5" hidden="1" customHeight="1" x14ac:dyDescent="0.2">
      <c r="A1761" s="105" t="str">
        <f>IF(D1761=1,COUNTIF($D$10:D1761,1)," ")</f>
        <v xml:space="preserve"> </v>
      </c>
      <c r="B1761" s="106">
        <f>COPY!AR1753</f>
        <v>0</v>
      </c>
      <c r="C1761" s="107">
        <f>COPY!AC1753</f>
        <v>0</v>
      </c>
      <c r="D1761" s="107" t="str">
        <f>IF(LEN(Table1722[[#This Row],[Uraian]])&gt;2,1," ")</f>
        <v xml:space="preserve"> </v>
      </c>
      <c r="E1761" s="113" t="str">
        <f>IF(Table1722[[#This Row],[Lawan Transaksi]]="CV AGUNG KARYA",COUNTIF($I$10:I1761,"CV AGUNG KARYA")," ")</f>
        <v xml:space="preserve"> </v>
      </c>
      <c r="F1761" s="107" t="str">
        <f>IF(LEN(Table1722[[#This Row],[Uraian]])&gt;2,TRIM(RIGHT(SUBSTITUTE(TRIM(C1761)," ",REPT(" ",255)),255))," ")</f>
        <v xml:space="preserve"> </v>
      </c>
      <c r="G1761" s="110">
        <f>COPY!Z1753</f>
        <v>0</v>
      </c>
      <c r="H1761" s="111" t="str">
        <f>IFERROR(VLOOKUP(Table1722[[#This Row],[Bukti]],'Un nOTA'!$A$4:$K$5003,10,FALSE),"")</f>
        <v/>
      </c>
      <c r="I1761" s="112" t="str">
        <f>IFERROR(VLOOKUP(Table1722[[#This Row],[Bukti]],Table13[#Data],11,FALSE),"")</f>
        <v/>
      </c>
    </row>
    <row r="1762" spans="1:9" ht="19.5" hidden="1" customHeight="1" x14ac:dyDescent="0.2">
      <c r="A1762" s="105" t="str">
        <f>IF(D1762=1,COUNTIF($D$10:D1762,1)," ")</f>
        <v xml:space="preserve"> </v>
      </c>
      <c r="B1762" s="106">
        <f>COPY!AR1754</f>
        <v>0</v>
      </c>
      <c r="C1762" s="107">
        <f>COPY!AC1754</f>
        <v>0</v>
      </c>
      <c r="D1762" s="107" t="str">
        <f>IF(LEN(Table1722[[#This Row],[Uraian]])&gt;2,1," ")</f>
        <v xml:space="preserve"> </v>
      </c>
      <c r="E1762" s="113" t="str">
        <f>IF(Table1722[[#This Row],[Lawan Transaksi]]="CV AGUNG KARYA",COUNTIF($I$10:I1762,"CV AGUNG KARYA")," ")</f>
        <v xml:space="preserve"> </v>
      </c>
      <c r="F1762" s="107" t="str">
        <f>IF(LEN(Table1722[[#This Row],[Uraian]])&gt;2,TRIM(RIGHT(SUBSTITUTE(TRIM(C1762)," ",REPT(" ",255)),255))," ")</f>
        <v xml:space="preserve"> </v>
      </c>
      <c r="G1762" s="110">
        <f>COPY!Z1754</f>
        <v>0</v>
      </c>
      <c r="H1762" s="111" t="str">
        <f>IFERROR(VLOOKUP(Table1722[[#This Row],[Bukti]],'Un nOTA'!$A$4:$K$5003,10,FALSE),"")</f>
        <v/>
      </c>
      <c r="I1762" s="112" t="str">
        <f>IFERROR(VLOOKUP(Table1722[[#This Row],[Bukti]],Table13[#Data],11,FALSE),"")</f>
        <v/>
      </c>
    </row>
    <row r="1763" spans="1:9" ht="19.5" hidden="1" customHeight="1" x14ac:dyDescent="0.2">
      <c r="A1763" s="105" t="str">
        <f>IF(D1763=1,COUNTIF($D$10:D1763,1)," ")</f>
        <v xml:space="preserve"> </v>
      </c>
      <c r="B1763" s="106">
        <f>COPY!AR1755</f>
        <v>0</v>
      </c>
      <c r="C1763" s="107">
        <f>COPY!AC1755</f>
        <v>0</v>
      </c>
      <c r="D1763" s="107" t="str">
        <f>IF(LEN(Table1722[[#This Row],[Uraian]])&gt;2,1," ")</f>
        <v xml:space="preserve"> </v>
      </c>
      <c r="E1763" s="113" t="str">
        <f>IF(Table1722[[#This Row],[Lawan Transaksi]]="CV AGUNG KARYA",COUNTIF($I$10:I1763,"CV AGUNG KARYA")," ")</f>
        <v xml:space="preserve"> </v>
      </c>
      <c r="F1763" s="107" t="str">
        <f>IF(LEN(Table1722[[#This Row],[Uraian]])&gt;2,TRIM(RIGHT(SUBSTITUTE(TRIM(C1763)," ",REPT(" ",255)),255))," ")</f>
        <v xml:space="preserve"> </v>
      </c>
      <c r="G1763" s="110">
        <f>COPY!Z1755</f>
        <v>0</v>
      </c>
      <c r="H1763" s="111" t="str">
        <f>IFERROR(VLOOKUP(Table1722[[#This Row],[Bukti]],'Un nOTA'!$A$4:$K$5003,10,FALSE),"")</f>
        <v/>
      </c>
      <c r="I1763" s="112" t="str">
        <f>IFERROR(VLOOKUP(Table1722[[#This Row],[Bukti]],Table13[#Data],11,FALSE),"")</f>
        <v/>
      </c>
    </row>
    <row r="1764" spans="1:9" ht="19.5" hidden="1" customHeight="1" x14ac:dyDescent="0.2">
      <c r="A1764" s="105" t="str">
        <f>IF(D1764=1,COUNTIF($D$10:D1764,1)," ")</f>
        <v xml:space="preserve"> </v>
      </c>
      <c r="B1764" s="106">
        <f>COPY!AR1756</f>
        <v>0</v>
      </c>
      <c r="C1764" s="107">
        <f>COPY!AC1756</f>
        <v>0</v>
      </c>
      <c r="D1764" s="107" t="str">
        <f>IF(LEN(Table1722[[#This Row],[Uraian]])&gt;2,1," ")</f>
        <v xml:space="preserve"> </v>
      </c>
      <c r="E1764" s="113" t="str">
        <f>IF(Table1722[[#This Row],[Lawan Transaksi]]="CV AGUNG KARYA",COUNTIF($I$10:I1764,"CV AGUNG KARYA")," ")</f>
        <v xml:space="preserve"> </v>
      </c>
      <c r="F1764" s="107" t="str">
        <f>IF(LEN(Table1722[[#This Row],[Uraian]])&gt;2,TRIM(RIGHT(SUBSTITUTE(TRIM(C1764)," ",REPT(" ",255)),255))," ")</f>
        <v xml:space="preserve"> </v>
      </c>
      <c r="G1764" s="110">
        <f>COPY!Z1756</f>
        <v>0</v>
      </c>
      <c r="H1764" s="111" t="str">
        <f>IFERROR(VLOOKUP(Table1722[[#This Row],[Bukti]],'Un nOTA'!$A$4:$K$5003,10,FALSE),"")</f>
        <v/>
      </c>
      <c r="I1764" s="112" t="str">
        <f>IFERROR(VLOOKUP(Table1722[[#This Row],[Bukti]],Table13[#Data],11,FALSE),"")</f>
        <v/>
      </c>
    </row>
    <row r="1765" spans="1:9" ht="19.5" hidden="1" customHeight="1" x14ac:dyDescent="0.2">
      <c r="A1765" s="105" t="str">
        <f>IF(D1765=1,COUNTIF($D$10:D1765,1)," ")</f>
        <v xml:space="preserve"> </v>
      </c>
      <c r="B1765" s="106">
        <f>COPY!AR1757</f>
        <v>0</v>
      </c>
      <c r="C1765" s="107">
        <f>COPY!AC1757</f>
        <v>0</v>
      </c>
      <c r="D1765" s="107" t="str">
        <f>IF(LEN(Table1722[[#This Row],[Uraian]])&gt;2,1," ")</f>
        <v xml:space="preserve"> </v>
      </c>
      <c r="E1765" s="113" t="str">
        <f>IF(Table1722[[#This Row],[Lawan Transaksi]]="CV AGUNG KARYA",COUNTIF($I$10:I1765,"CV AGUNG KARYA")," ")</f>
        <v xml:space="preserve"> </v>
      </c>
      <c r="F1765" s="107" t="str">
        <f>IF(LEN(Table1722[[#This Row],[Uraian]])&gt;2,TRIM(RIGHT(SUBSTITUTE(TRIM(C1765)," ",REPT(" ",255)),255))," ")</f>
        <v xml:space="preserve"> </v>
      </c>
      <c r="G1765" s="110">
        <f>COPY!Z1757</f>
        <v>0</v>
      </c>
      <c r="H1765" s="111" t="str">
        <f>IFERROR(VLOOKUP(Table1722[[#This Row],[Bukti]],'Un nOTA'!$A$4:$K$5003,10,FALSE),"")</f>
        <v/>
      </c>
      <c r="I1765" s="112" t="str">
        <f>IFERROR(VLOOKUP(Table1722[[#This Row],[Bukti]],Table13[#Data],11,FALSE),"")</f>
        <v/>
      </c>
    </row>
    <row r="1766" spans="1:9" ht="19.5" hidden="1" customHeight="1" x14ac:dyDescent="0.2">
      <c r="A1766" s="105" t="str">
        <f>IF(D1766=1,COUNTIF($D$10:D1766,1)," ")</f>
        <v xml:space="preserve"> </v>
      </c>
      <c r="B1766" s="106">
        <f>COPY!AR1758</f>
        <v>0</v>
      </c>
      <c r="C1766" s="107">
        <f>COPY!AC1758</f>
        <v>0</v>
      </c>
      <c r="D1766" s="107" t="str">
        <f>IF(LEN(Table1722[[#This Row],[Uraian]])&gt;2,1," ")</f>
        <v xml:space="preserve"> </v>
      </c>
      <c r="E1766" s="113" t="str">
        <f>IF(Table1722[[#This Row],[Lawan Transaksi]]="CV AGUNG KARYA",COUNTIF($I$10:I1766,"CV AGUNG KARYA")," ")</f>
        <v xml:space="preserve"> </v>
      </c>
      <c r="F1766" s="107" t="str">
        <f>IF(LEN(Table1722[[#This Row],[Uraian]])&gt;2,TRIM(RIGHT(SUBSTITUTE(TRIM(C1766)," ",REPT(" ",255)),255))," ")</f>
        <v xml:space="preserve"> </v>
      </c>
      <c r="G1766" s="110">
        <f>COPY!Z1758</f>
        <v>0</v>
      </c>
      <c r="H1766" s="111" t="str">
        <f>IFERROR(VLOOKUP(Table1722[[#This Row],[Bukti]],'Un nOTA'!$A$4:$K$5003,10,FALSE),"")</f>
        <v/>
      </c>
      <c r="I1766" s="112" t="str">
        <f>IFERROR(VLOOKUP(Table1722[[#This Row],[Bukti]],Table13[#Data],11,FALSE),"")</f>
        <v/>
      </c>
    </row>
    <row r="1767" spans="1:9" ht="19.5" hidden="1" customHeight="1" x14ac:dyDescent="0.2">
      <c r="A1767" s="105" t="str">
        <f>IF(D1767=1,COUNTIF($D$10:D1767,1)," ")</f>
        <v xml:space="preserve"> </v>
      </c>
      <c r="B1767" s="106">
        <f>COPY!AR1759</f>
        <v>0</v>
      </c>
      <c r="C1767" s="107">
        <f>COPY!AC1759</f>
        <v>0</v>
      </c>
      <c r="D1767" s="107" t="str">
        <f>IF(LEN(Table1722[[#This Row],[Uraian]])&gt;2,1," ")</f>
        <v xml:space="preserve"> </v>
      </c>
      <c r="E1767" s="113" t="str">
        <f>IF(Table1722[[#This Row],[Lawan Transaksi]]="CV AGUNG KARYA",COUNTIF($I$10:I1767,"CV AGUNG KARYA")," ")</f>
        <v xml:space="preserve"> </v>
      </c>
      <c r="F1767" s="107" t="str">
        <f>IF(LEN(Table1722[[#This Row],[Uraian]])&gt;2,TRIM(RIGHT(SUBSTITUTE(TRIM(C1767)," ",REPT(" ",255)),255))," ")</f>
        <v xml:space="preserve"> </v>
      </c>
      <c r="G1767" s="110">
        <f>COPY!Z1759</f>
        <v>0</v>
      </c>
      <c r="H1767" s="111" t="str">
        <f>IFERROR(VLOOKUP(Table1722[[#This Row],[Bukti]],'Un nOTA'!$A$4:$K$5003,10,FALSE),"")</f>
        <v/>
      </c>
      <c r="I1767" s="112" t="str">
        <f>IFERROR(VLOOKUP(Table1722[[#This Row],[Bukti]],Table13[#Data],11,FALSE),"")</f>
        <v/>
      </c>
    </row>
    <row r="1768" spans="1:9" ht="19.5" hidden="1" customHeight="1" x14ac:dyDescent="0.2">
      <c r="A1768" s="105" t="str">
        <f>IF(D1768=1,COUNTIF($D$10:D1768,1)," ")</f>
        <v xml:space="preserve"> </v>
      </c>
      <c r="B1768" s="106">
        <f>COPY!AR1760</f>
        <v>0</v>
      </c>
      <c r="C1768" s="107">
        <f>COPY!AC1760</f>
        <v>0</v>
      </c>
      <c r="D1768" s="107" t="str">
        <f>IF(LEN(Table1722[[#This Row],[Uraian]])&gt;2,1," ")</f>
        <v xml:space="preserve"> </v>
      </c>
      <c r="E1768" s="113" t="str">
        <f>IF(Table1722[[#This Row],[Lawan Transaksi]]="CV AGUNG KARYA",COUNTIF($I$10:I1768,"CV AGUNG KARYA")," ")</f>
        <v xml:space="preserve"> </v>
      </c>
      <c r="F1768" s="107" t="str">
        <f>IF(LEN(Table1722[[#This Row],[Uraian]])&gt;2,TRIM(RIGHT(SUBSTITUTE(TRIM(C1768)," ",REPT(" ",255)),255))," ")</f>
        <v xml:space="preserve"> </v>
      </c>
      <c r="G1768" s="110">
        <f>COPY!Z1760</f>
        <v>0</v>
      </c>
      <c r="H1768" s="111" t="str">
        <f>IFERROR(VLOOKUP(Table1722[[#This Row],[Bukti]],'Un nOTA'!$A$4:$K$5003,10,FALSE),"")</f>
        <v/>
      </c>
      <c r="I1768" s="112" t="str">
        <f>IFERROR(VLOOKUP(Table1722[[#This Row],[Bukti]],Table13[#Data],11,FALSE),"")</f>
        <v/>
      </c>
    </row>
    <row r="1769" spans="1:9" ht="19.5" hidden="1" customHeight="1" x14ac:dyDescent="0.2">
      <c r="A1769" s="105" t="str">
        <f>IF(D1769=1,COUNTIF($D$10:D1769,1)," ")</f>
        <v xml:space="preserve"> </v>
      </c>
      <c r="B1769" s="106">
        <f>COPY!AR1761</f>
        <v>0</v>
      </c>
      <c r="C1769" s="107">
        <f>COPY!AC1761</f>
        <v>0</v>
      </c>
      <c r="D1769" s="107" t="str">
        <f>IF(LEN(Table1722[[#This Row],[Uraian]])&gt;2,1," ")</f>
        <v xml:space="preserve"> </v>
      </c>
      <c r="E1769" s="113" t="str">
        <f>IF(Table1722[[#This Row],[Lawan Transaksi]]="CV AGUNG KARYA",COUNTIF($I$10:I1769,"CV AGUNG KARYA")," ")</f>
        <v xml:space="preserve"> </v>
      </c>
      <c r="F1769" s="107" t="str">
        <f>IF(LEN(Table1722[[#This Row],[Uraian]])&gt;2,TRIM(RIGHT(SUBSTITUTE(TRIM(C1769)," ",REPT(" ",255)),255))," ")</f>
        <v xml:space="preserve"> </v>
      </c>
      <c r="G1769" s="110">
        <f>COPY!Z1761</f>
        <v>0</v>
      </c>
      <c r="H1769" s="111" t="str">
        <f>IFERROR(VLOOKUP(Table1722[[#This Row],[Bukti]],'Un nOTA'!$A$4:$K$5003,10,FALSE),"")</f>
        <v/>
      </c>
      <c r="I1769" s="112" t="str">
        <f>IFERROR(VLOOKUP(Table1722[[#This Row],[Bukti]],Table13[#Data],11,FALSE),"")</f>
        <v/>
      </c>
    </row>
    <row r="1770" spans="1:9" ht="19.5" hidden="1" customHeight="1" x14ac:dyDescent="0.2">
      <c r="A1770" s="105" t="str">
        <f>IF(D1770=1,COUNTIF($D$10:D1770,1)," ")</f>
        <v xml:space="preserve"> </v>
      </c>
      <c r="B1770" s="106">
        <f>COPY!AR1762</f>
        <v>0</v>
      </c>
      <c r="C1770" s="107">
        <f>COPY!AC1762</f>
        <v>0</v>
      </c>
      <c r="D1770" s="107" t="str">
        <f>IF(LEN(Table1722[[#This Row],[Uraian]])&gt;2,1," ")</f>
        <v xml:space="preserve"> </v>
      </c>
      <c r="E1770" s="113" t="str">
        <f>IF(Table1722[[#This Row],[Lawan Transaksi]]="CV AGUNG KARYA",COUNTIF($I$10:I1770,"CV AGUNG KARYA")," ")</f>
        <v xml:space="preserve"> </v>
      </c>
      <c r="F1770" s="107" t="str">
        <f>IF(LEN(Table1722[[#This Row],[Uraian]])&gt;2,TRIM(RIGHT(SUBSTITUTE(TRIM(C1770)," ",REPT(" ",255)),255))," ")</f>
        <v xml:space="preserve"> </v>
      </c>
      <c r="G1770" s="110">
        <f>COPY!Z1762</f>
        <v>0</v>
      </c>
      <c r="H1770" s="111" t="str">
        <f>IFERROR(VLOOKUP(Table1722[[#This Row],[Bukti]],'Un nOTA'!$A$4:$K$5003,10,FALSE),"")</f>
        <v/>
      </c>
      <c r="I1770" s="112" t="str">
        <f>IFERROR(VLOOKUP(Table1722[[#This Row],[Bukti]],Table13[#Data],11,FALSE),"")</f>
        <v/>
      </c>
    </row>
    <row r="1771" spans="1:9" ht="19.5" hidden="1" customHeight="1" x14ac:dyDescent="0.2">
      <c r="A1771" s="105" t="str">
        <f>IF(D1771=1,COUNTIF($D$10:D1771,1)," ")</f>
        <v xml:space="preserve"> </v>
      </c>
      <c r="B1771" s="106">
        <f>COPY!AR1763</f>
        <v>0</v>
      </c>
      <c r="C1771" s="107">
        <f>COPY!AC1763</f>
        <v>0</v>
      </c>
      <c r="D1771" s="107" t="str">
        <f>IF(LEN(Table1722[[#This Row],[Uraian]])&gt;2,1," ")</f>
        <v xml:space="preserve"> </v>
      </c>
      <c r="E1771" s="113" t="str">
        <f>IF(Table1722[[#This Row],[Lawan Transaksi]]="CV AGUNG KARYA",COUNTIF($I$10:I1771,"CV AGUNG KARYA")," ")</f>
        <v xml:space="preserve"> </v>
      </c>
      <c r="F1771" s="107" t="str">
        <f>IF(LEN(Table1722[[#This Row],[Uraian]])&gt;2,TRIM(RIGHT(SUBSTITUTE(TRIM(C1771)," ",REPT(" ",255)),255))," ")</f>
        <v xml:space="preserve"> </v>
      </c>
      <c r="G1771" s="110">
        <f>COPY!Z1763</f>
        <v>0</v>
      </c>
      <c r="H1771" s="111" t="str">
        <f>IFERROR(VLOOKUP(Table1722[[#This Row],[Bukti]],'Un nOTA'!$A$4:$K$5003,10,FALSE),"")</f>
        <v/>
      </c>
      <c r="I1771" s="112" t="str">
        <f>IFERROR(VLOOKUP(Table1722[[#This Row],[Bukti]],Table13[#Data],11,FALSE),"")</f>
        <v/>
      </c>
    </row>
    <row r="1772" spans="1:9" ht="19.5" hidden="1" customHeight="1" x14ac:dyDescent="0.2">
      <c r="A1772" s="105" t="str">
        <f>IF(D1772=1,COUNTIF($D$10:D1772,1)," ")</f>
        <v xml:space="preserve"> </v>
      </c>
      <c r="B1772" s="106">
        <f>COPY!AR1764</f>
        <v>0</v>
      </c>
      <c r="C1772" s="107">
        <f>COPY!AC1764</f>
        <v>0</v>
      </c>
      <c r="D1772" s="107" t="str">
        <f>IF(LEN(Table1722[[#This Row],[Uraian]])&gt;2,1," ")</f>
        <v xml:space="preserve"> </v>
      </c>
      <c r="E1772" s="113" t="str">
        <f>IF(Table1722[[#This Row],[Lawan Transaksi]]="CV AGUNG KARYA",COUNTIF($I$10:I1772,"CV AGUNG KARYA")," ")</f>
        <v xml:space="preserve"> </v>
      </c>
      <c r="F1772" s="107" t="str">
        <f>IF(LEN(Table1722[[#This Row],[Uraian]])&gt;2,TRIM(RIGHT(SUBSTITUTE(TRIM(C1772)," ",REPT(" ",255)),255))," ")</f>
        <v xml:space="preserve"> </v>
      </c>
      <c r="G1772" s="110">
        <f>COPY!Z1764</f>
        <v>0</v>
      </c>
      <c r="H1772" s="111" t="str">
        <f>IFERROR(VLOOKUP(Table1722[[#This Row],[Bukti]],'Un nOTA'!$A$4:$K$5003,10,FALSE),"")</f>
        <v/>
      </c>
      <c r="I1772" s="112" t="str">
        <f>IFERROR(VLOOKUP(Table1722[[#This Row],[Bukti]],Table13[#Data],11,FALSE),"")</f>
        <v/>
      </c>
    </row>
    <row r="1773" spans="1:9" ht="19.5" hidden="1" customHeight="1" x14ac:dyDescent="0.2">
      <c r="A1773" s="105" t="str">
        <f>IF(D1773=1,COUNTIF($D$10:D1773,1)," ")</f>
        <v xml:space="preserve"> </v>
      </c>
      <c r="B1773" s="106">
        <f>COPY!AR1765</f>
        <v>0</v>
      </c>
      <c r="C1773" s="107">
        <f>COPY!AC1765</f>
        <v>0</v>
      </c>
      <c r="D1773" s="107" t="str">
        <f>IF(LEN(Table1722[[#This Row],[Uraian]])&gt;2,1," ")</f>
        <v xml:space="preserve"> </v>
      </c>
      <c r="E1773" s="113" t="str">
        <f>IF(Table1722[[#This Row],[Lawan Transaksi]]="CV AGUNG KARYA",COUNTIF($I$10:I1773,"CV AGUNG KARYA")," ")</f>
        <v xml:space="preserve"> </v>
      </c>
      <c r="F1773" s="107" t="str">
        <f>IF(LEN(Table1722[[#This Row],[Uraian]])&gt;2,TRIM(RIGHT(SUBSTITUTE(TRIM(C1773)," ",REPT(" ",255)),255))," ")</f>
        <v xml:space="preserve"> </v>
      </c>
      <c r="G1773" s="110">
        <f>COPY!Z1765</f>
        <v>0</v>
      </c>
      <c r="H1773" s="111" t="str">
        <f>IFERROR(VLOOKUP(Table1722[[#This Row],[Bukti]],'Un nOTA'!$A$4:$K$5003,10,FALSE),"")</f>
        <v/>
      </c>
      <c r="I1773" s="112" t="str">
        <f>IFERROR(VLOOKUP(Table1722[[#This Row],[Bukti]],Table13[#Data],11,FALSE),"")</f>
        <v/>
      </c>
    </row>
    <row r="1774" spans="1:9" ht="19.5" hidden="1" customHeight="1" x14ac:dyDescent="0.2">
      <c r="A1774" s="105" t="str">
        <f>IF(D1774=1,COUNTIF($D$10:D1774,1)," ")</f>
        <v xml:space="preserve"> </v>
      </c>
      <c r="B1774" s="106">
        <f>COPY!AR1766</f>
        <v>0</v>
      </c>
      <c r="C1774" s="107">
        <f>COPY!AC1766</f>
        <v>0</v>
      </c>
      <c r="D1774" s="107" t="str">
        <f>IF(LEN(Table1722[[#This Row],[Uraian]])&gt;2,1," ")</f>
        <v xml:space="preserve"> </v>
      </c>
      <c r="E1774" s="113" t="str">
        <f>IF(Table1722[[#This Row],[Lawan Transaksi]]="CV AGUNG KARYA",COUNTIF($I$10:I1774,"CV AGUNG KARYA")," ")</f>
        <v xml:space="preserve"> </v>
      </c>
      <c r="F1774" s="107" t="str">
        <f>IF(LEN(Table1722[[#This Row],[Uraian]])&gt;2,TRIM(RIGHT(SUBSTITUTE(TRIM(C1774)," ",REPT(" ",255)),255))," ")</f>
        <v xml:space="preserve"> </v>
      </c>
      <c r="G1774" s="110">
        <f>COPY!Z1766</f>
        <v>0</v>
      </c>
      <c r="H1774" s="111" t="str">
        <f>IFERROR(VLOOKUP(Table1722[[#This Row],[Bukti]],'Un nOTA'!$A$4:$K$5003,10,FALSE),"")</f>
        <v/>
      </c>
      <c r="I1774" s="112" t="str">
        <f>IFERROR(VLOOKUP(Table1722[[#This Row],[Bukti]],Table13[#Data],11,FALSE),"")</f>
        <v/>
      </c>
    </row>
    <row r="1775" spans="1:9" ht="19.5" hidden="1" customHeight="1" x14ac:dyDescent="0.2">
      <c r="A1775" s="105" t="str">
        <f>IF(D1775=1,COUNTIF($D$10:D1775,1)," ")</f>
        <v xml:space="preserve"> </v>
      </c>
      <c r="B1775" s="106">
        <f>COPY!AR1767</f>
        <v>0</v>
      </c>
      <c r="C1775" s="107">
        <f>COPY!AC1767</f>
        <v>0</v>
      </c>
      <c r="D1775" s="107" t="str">
        <f>IF(LEN(Table1722[[#This Row],[Uraian]])&gt;2,1," ")</f>
        <v xml:space="preserve"> </v>
      </c>
      <c r="E1775" s="113" t="str">
        <f>IF(Table1722[[#This Row],[Lawan Transaksi]]="CV AGUNG KARYA",COUNTIF($I$10:I1775,"CV AGUNG KARYA")," ")</f>
        <v xml:space="preserve"> </v>
      </c>
      <c r="F1775" s="107" t="str">
        <f>IF(LEN(Table1722[[#This Row],[Uraian]])&gt;2,TRIM(RIGHT(SUBSTITUTE(TRIM(C1775)," ",REPT(" ",255)),255))," ")</f>
        <v xml:space="preserve"> </v>
      </c>
      <c r="G1775" s="110">
        <f>COPY!Z1767</f>
        <v>0</v>
      </c>
      <c r="H1775" s="111" t="str">
        <f>IFERROR(VLOOKUP(Table1722[[#This Row],[Bukti]],'Un nOTA'!$A$4:$K$5003,10,FALSE),"")</f>
        <v/>
      </c>
      <c r="I1775" s="112" t="str">
        <f>IFERROR(VLOOKUP(Table1722[[#This Row],[Bukti]],Table13[#Data],11,FALSE),"")</f>
        <v/>
      </c>
    </row>
    <row r="1776" spans="1:9" ht="19.5" hidden="1" customHeight="1" x14ac:dyDescent="0.2">
      <c r="A1776" s="105" t="str">
        <f>IF(D1776=1,COUNTIF($D$10:D1776,1)," ")</f>
        <v xml:space="preserve"> </v>
      </c>
      <c r="B1776" s="106">
        <f>COPY!AR1768</f>
        <v>0</v>
      </c>
      <c r="C1776" s="107">
        <f>COPY!AC1768</f>
        <v>0</v>
      </c>
      <c r="D1776" s="107" t="str">
        <f>IF(LEN(Table1722[[#This Row],[Uraian]])&gt;2,1," ")</f>
        <v xml:space="preserve"> </v>
      </c>
      <c r="E1776" s="113" t="str">
        <f>IF(Table1722[[#This Row],[Lawan Transaksi]]="CV AGUNG KARYA",COUNTIF($I$10:I1776,"CV AGUNG KARYA")," ")</f>
        <v xml:space="preserve"> </v>
      </c>
      <c r="F1776" s="107" t="str">
        <f>IF(LEN(Table1722[[#This Row],[Uraian]])&gt;2,TRIM(RIGHT(SUBSTITUTE(TRIM(C1776)," ",REPT(" ",255)),255))," ")</f>
        <v xml:space="preserve"> </v>
      </c>
      <c r="G1776" s="110">
        <f>COPY!Z1768</f>
        <v>0</v>
      </c>
      <c r="H1776" s="111" t="str">
        <f>IFERROR(VLOOKUP(Table1722[[#This Row],[Bukti]],'Un nOTA'!$A$4:$K$5003,10,FALSE),"")</f>
        <v/>
      </c>
      <c r="I1776" s="112" t="str">
        <f>IFERROR(VLOOKUP(Table1722[[#This Row],[Bukti]],Table13[#Data],11,FALSE),"")</f>
        <v/>
      </c>
    </row>
    <row r="1777" spans="1:9" ht="19.5" hidden="1" customHeight="1" x14ac:dyDescent="0.2">
      <c r="A1777" s="105" t="str">
        <f>IF(D1777=1,COUNTIF($D$10:D1777,1)," ")</f>
        <v xml:space="preserve"> </v>
      </c>
      <c r="B1777" s="106">
        <f>COPY!AR1769</f>
        <v>0</v>
      </c>
      <c r="C1777" s="107">
        <f>COPY!AC1769</f>
        <v>0</v>
      </c>
      <c r="D1777" s="107" t="str">
        <f>IF(LEN(Table1722[[#This Row],[Uraian]])&gt;2,1," ")</f>
        <v xml:space="preserve"> </v>
      </c>
      <c r="E1777" s="113" t="str">
        <f>IF(Table1722[[#This Row],[Lawan Transaksi]]="CV AGUNG KARYA",COUNTIF($I$10:I1777,"CV AGUNG KARYA")," ")</f>
        <v xml:space="preserve"> </v>
      </c>
      <c r="F1777" s="107" t="str">
        <f>IF(LEN(Table1722[[#This Row],[Uraian]])&gt;2,TRIM(RIGHT(SUBSTITUTE(TRIM(C1777)," ",REPT(" ",255)),255))," ")</f>
        <v xml:space="preserve"> </v>
      </c>
      <c r="G1777" s="110">
        <f>COPY!Z1769</f>
        <v>0</v>
      </c>
      <c r="H1777" s="111" t="str">
        <f>IFERROR(VLOOKUP(Table1722[[#This Row],[Bukti]],'Un nOTA'!$A$4:$K$5003,10,FALSE),"")</f>
        <v/>
      </c>
      <c r="I1777" s="112" t="str">
        <f>IFERROR(VLOOKUP(Table1722[[#This Row],[Bukti]],Table13[#Data],11,FALSE),"")</f>
        <v/>
      </c>
    </row>
    <row r="1778" spans="1:9" ht="19.5" hidden="1" customHeight="1" x14ac:dyDescent="0.2">
      <c r="A1778" s="105" t="str">
        <f>IF(D1778=1,COUNTIF($D$10:D1778,1)," ")</f>
        <v xml:space="preserve"> </v>
      </c>
      <c r="B1778" s="106">
        <f>COPY!AR1770</f>
        <v>0</v>
      </c>
      <c r="C1778" s="107">
        <f>COPY!AC1770</f>
        <v>0</v>
      </c>
      <c r="D1778" s="107" t="str">
        <f>IF(LEN(Table1722[[#This Row],[Uraian]])&gt;2,1," ")</f>
        <v xml:space="preserve"> </v>
      </c>
      <c r="E1778" s="113" t="str">
        <f>IF(Table1722[[#This Row],[Lawan Transaksi]]="CV AGUNG KARYA",COUNTIF($I$10:I1778,"CV AGUNG KARYA")," ")</f>
        <v xml:space="preserve"> </v>
      </c>
      <c r="F1778" s="107" t="str">
        <f>IF(LEN(Table1722[[#This Row],[Uraian]])&gt;2,TRIM(RIGHT(SUBSTITUTE(TRIM(C1778)," ",REPT(" ",255)),255))," ")</f>
        <v xml:space="preserve"> </v>
      </c>
      <c r="G1778" s="110">
        <f>COPY!Z1770</f>
        <v>0</v>
      </c>
      <c r="H1778" s="111" t="str">
        <f>IFERROR(VLOOKUP(Table1722[[#This Row],[Bukti]],'Un nOTA'!$A$4:$K$5003,10,FALSE),"")</f>
        <v/>
      </c>
      <c r="I1778" s="112" t="str">
        <f>IFERROR(VLOOKUP(Table1722[[#This Row],[Bukti]],Table13[#Data],11,FALSE),"")</f>
        <v/>
      </c>
    </row>
    <row r="1779" spans="1:9" ht="19.5" hidden="1" customHeight="1" x14ac:dyDescent="0.2">
      <c r="A1779" s="105" t="str">
        <f>IF(D1779=1,COUNTIF($D$10:D1779,1)," ")</f>
        <v xml:space="preserve"> </v>
      </c>
      <c r="B1779" s="106">
        <f>COPY!AR1771</f>
        <v>0</v>
      </c>
      <c r="C1779" s="107">
        <f>COPY!AC1771</f>
        <v>0</v>
      </c>
      <c r="D1779" s="107" t="str">
        <f>IF(LEN(Table1722[[#This Row],[Uraian]])&gt;2,1," ")</f>
        <v xml:space="preserve"> </v>
      </c>
      <c r="E1779" s="113" t="str">
        <f>IF(Table1722[[#This Row],[Lawan Transaksi]]="CV AGUNG KARYA",COUNTIF($I$10:I1779,"CV AGUNG KARYA")," ")</f>
        <v xml:space="preserve"> </v>
      </c>
      <c r="F1779" s="107" t="str">
        <f>IF(LEN(Table1722[[#This Row],[Uraian]])&gt;2,TRIM(RIGHT(SUBSTITUTE(TRIM(C1779)," ",REPT(" ",255)),255))," ")</f>
        <v xml:space="preserve"> </v>
      </c>
      <c r="G1779" s="110">
        <f>COPY!Z1771</f>
        <v>0</v>
      </c>
      <c r="H1779" s="111" t="str">
        <f>IFERROR(VLOOKUP(Table1722[[#This Row],[Bukti]],'Un nOTA'!$A$4:$K$5003,10,FALSE),"")</f>
        <v/>
      </c>
      <c r="I1779" s="112" t="str">
        <f>IFERROR(VLOOKUP(Table1722[[#This Row],[Bukti]],Table13[#Data],11,FALSE),"")</f>
        <v/>
      </c>
    </row>
    <row r="1780" spans="1:9" ht="19.5" hidden="1" customHeight="1" x14ac:dyDescent="0.2">
      <c r="A1780" s="105" t="str">
        <f>IF(D1780=1,COUNTIF($D$10:D1780,1)," ")</f>
        <v xml:space="preserve"> </v>
      </c>
      <c r="B1780" s="106">
        <f>COPY!AR1772</f>
        <v>0</v>
      </c>
      <c r="C1780" s="107">
        <f>COPY!AC1772</f>
        <v>0</v>
      </c>
      <c r="D1780" s="107" t="str">
        <f>IF(LEN(Table1722[[#This Row],[Uraian]])&gt;2,1," ")</f>
        <v xml:space="preserve"> </v>
      </c>
      <c r="E1780" s="113" t="str">
        <f>IF(Table1722[[#This Row],[Lawan Transaksi]]="CV AGUNG KARYA",COUNTIF($I$10:I1780,"CV AGUNG KARYA")," ")</f>
        <v xml:space="preserve"> </v>
      </c>
      <c r="F1780" s="107" t="str">
        <f>IF(LEN(Table1722[[#This Row],[Uraian]])&gt;2,TRIM(RIGHT(SUBSTITUTE(TRIM(C1780)," ",REPT(" ",255)),255))," ")</f>
        <v xml:space="preserve"> </v>
      </c>
      <c r="G1780" s="110">
        <f>COPY!Z1772</f>
        <v>0</v>
      </c>
      <c r="H1780" s="111" t="str">
        <f>IFERROR(VLOOKUP(Table1722[[#This Row],[Bukti]],'Un nOTA'!$A$4:$K$5003,10,FALSE),"")</f>
        <v/>
      </c>
      <c r="I1780" s="112" t="str">
        <f>IFERROR(VLOOKUP(Table1722[[#This Row],[Bukti]],Table13[#Data],11,FALSE),"")</f>
        <v/>
      </c>
    </row>
    <row r="1781" spans="1:9" ht="19.5" hidden="1" customHeight="1" x14ac:dyDescent="0.2">
      <c r="A1781" s="105" t="str">
        <f>IF(D1781=1,COUNTIF($D$10:D1781,1)," ")</f>
        <v xml:space="preserve"> </v>
      </c>
      <c r="B1781" s="106">
        <f>COPY!AR1773</f>
        <v>0</v>
      </c>
      <c r="C1781" s="107">
        <f>COPY!AC1773</f>
        <v>0</v>
      </c>
      <c r="D1781" s="107" t="str">
        <f>IF(LEN(Table1722[[#This Row],[Uraian]])&gt;2,1," ")</f>
        <v xml:space="preserve"> </v>
      </c>
      <c r="E1781" s="113" t="str">
        <f>IF(Table1722[[#This Row],[Lawan Transaksi]]="CV AGUNG KARYA",COUNTIF($I$10:I1781,"CV AGUNG KARYA")," ")</f>
        <v xml:space="preserve"> </v>
      </c>
      <c r="F1781" s="107" t="str">
        <f>IF(LEN(Table1722[[#This Row],[Uraian]])&gt;2,TRIM(RIGHT(SUBSTITUTE(TRIM(C1781)," ",REPT(" ",255)),255))," ")</f>
        <v xml:space="preserve"> </v>
      </c>
      <c r="G1781" s="110">
        <f>COPY!Z1773</f>
        <v>0</v>
      </c>
      <c r="H1781" s="111" t="str">
        <f>IFERROR(VLOOKUP(Table1722[[#This Row],[Bukti]],'Un nOTA'!$A$4:$K$5003,10,FALSE),"")</f>
        <v/>
      </c>
      <c r="I1781" s="112" t="str">
        <f>IFERROR(VLOOKUP(Table1722[[#This Row],[Bukti]],Table13[#Data],11,FALSE),"")</f>
        <v/>
      </c>
    </row>
    <row r="1782" spans="1:9" ht="19.5" hidden="1" customHeight="1" x14ac:dyDescent="0.2">
      <c r="A1782" s="105" t="str">
        <f>IF(D1782=1,COUNTIF($D$10:D1782,1)," ")</f>
        <v xml:space="preserve"> </v>
      </c>
      <c r="B1782" s="106">
        <f>COPY!AR1774</f>
        <v>0</v>
      </c>
      <c r="C1782" s="107">
        <f>COPY!AC1774</f>
        <v>0</v>
      </c>
      <c r="D1782" s="107" t="str">
        <f>IF(LEN(Table1722[[#This Row],[Uraian]])&gt;2,1," ")</f>
        <v xml:space="preserve"> </v>
      </c>
      <c r="E1782" s="113" t="str">
        <f>IF(Table1722[[#This Row],[Lawan Transaksi]]="CV AGUNG KARYA",COUNTIF($I$10:I1782,"CV AGUNG KARYA")," ")</f>
        <v xml:space="preserve"> </v>
      </c>
      <c r="F1782" s="107" t="str">
        <f>IF(LEN(Table1722[[#This Row],[Uraian]])&gt;2,TRIM(RIGHT(SUBSTITUTE(TRIM(C1782)," ",REPT(" ",255)),255))," ")</f>
        <v xml:space="preserve"> </v>
      </c>
      <c r="G1782" s="110">
        <f>COPY!Z1774</f>
        <v>0</v>
      </c>
      <c r="H1782" s="111" t="str">
        <f>IFERROR(VLOOKUP(Table1722[[#This Row],[Bukti]],'Un nOTA'!$A$4:$K$5003,10,FALSE),"")</f>
        <v/>
      </c>
      <c r="I1782" s="112" t="str">
        <f>IFERROR(VLOOKUP(Table1722[[#This Row],[Bukti]],Table13[#Data],11,FALSE),"")</f>
        <v/>
      </c>
    </row>
    <row r="1783" spans="1:9" ht="19.5" hidden="1" customHeight="1" x14ac:dyDescent="0.2">
      <c r="A1783" s="105" t="str">
        <f>IF(D1783=1,COUNTIF($D$10:D1783,1)," ")</f>
        <v xml:space="preserve"> </v>
      </c>
      <c r="B1783" s="106">
        <f>COPY!AR1775</f>
        <v>0</v>
      </c>
      <c r="C1783" s="107">
        <f>COPY!AC1775</f>
        <v>0</v>
      </c>
      <c r="D1783" s="107" t="str">
        <f>IF(LEN(Table1722[[#This Row],[Uraian]])&gt;2,1," ")</f>
        <v xml:space="preserve"> </v>
      </c>
      <c r="E1783" s="113" t="str">
        <f>IF(Table1722[[#This Row],[Lawan Transaksi]]="CV AGUNG KARYA",COUNTIF($I$10:I1783,"CV AGUNG KARYA")," ")</f>
        <v xml:space="preserve"> </v>
      </c>
      <c r="F1783" s="107" t="str">
        <f>IF(LEN(Table1722[[#This Row],[Uraian]])&gt;2,TRIM(RIGHT(SUBSTITUTE(TRIM(C1783)," ",REPT(" ",255)),255))," ")</f>
        <v xml:space="preserve"> </v>
      </c>
      <c r="G1783" s="110">
        <f>COPY!Z1775</f>
        <v>0</v>
      </c>
      <c r="H1783" s="111" t="str">
        <f>IFERROR(VLOOKUP(Table1722[[#This Row],[Bukti]],'Un nOTA'!$A$4:$K$5003,10,FALSE),"")</f>
        <v/>
      </c>
      <c r="I1783" s="112" t="str">
        <f>IFERROR(VLOOKUP(Table1722[[#This Row],[Bukti]],Table13[#Data],11,FALSE),"")</f>
        <v/>
      </c>
    </row>
    <row r="1784" spans="1:9" ht="19.5" hidden="1" customHeight="1" x14ac:dyDescent="0.2">
      <c r="A1784" s="105" t="str">
        <f>IF(D1784=1,COUNTIF($D$10:D1784,1)," ")</f>
        <v xml:space="preserve"> </v>
      </c>
      <c r="B1784" s="106">
        <f>COPY!AR1776</f>
        <v>0</v>
      </c>
      <c r="C1784" s="107">
        <f>COPY!AC1776</f>
        <v>0</v>
      </c>
      <c r="D1784" s="107" t="str">
        <f>IF(LEN(Table1722[[#This Row],[Uraian]])&gt;2,1," ")</f>
        <v xml:space="preserve"> </v>
      </c>
      <c r="E1784" s="113" t="str">
        <f>IF(Table1722[[#This Row],[Lawan Transaksi]]="CV AGUNG KARYA",COUNTIF($I$10:I1784,"CV AGUNG KARYA")," ")</f>
        <v xml:space="preserve"> </v>
      </c>
      <c r="F1784" s="107" t="str">
        <f>IF(LEN(Table1722[[#This Row],[Uraian]])&gt;2,TRIM(RIGHT(SUBSTITUTE(TRIM(C1784)," ",REPT(" ",255)),255))," ")</f>
        <v xml:space="preserve"> </v>
      </c>
      <c r="G1784" s="110">
        <f>COPY!Z1776</f>
        <v>0</v>
      </c>
      <c r="H1784" s="111" t="str">
        <f>IFERROR(VLOOKUP(Table1722[[#This Row],[Bukti]],'Un nOTA'!$A$4:$K$5003,10,FALSE),"")</f>
        <v/>
      </c>
      <c r="I1784" s="112" t="str">
        <f>IFERROR(VLOOKUP(Table1722[[#This Row],[Bukti]],Table13[#Data],11,FALSE),"")</f>
        <v/>
      </c>
    </row>
    <row r="1785" spans="1:9" ht="19.5" hidden="1" customHeight="1" x14ac:dyDescent="0.2">
      <c r="A1785" s="105" t="str">
        <f>IF(D1785=1,COUNTIF($D$10:D1785,1)," ")</f>
        <v xml:space="preserve"> </v>
      </c>
      <c r="B1785" s="106">
        <f>COPY!AR1777</f>
        <v>0</v>
      </c>
      <c r="C1785" s="107">
        <f>COPY!AC1777</f>
        <v>0</v>
      </c>
      <c r="D1785" s="107" t="str">
        <f>IF(LEN(Table1722[[#This Row],[Uraian]])&gt;2,1," ")</f>
        <v xml:space="preserve"> </v>
      </c>
      <c r="E1785" s="113" t="str">
        <f>IF(Table1722[[#This Row],[Lawan Transaksi]]="CV AGUNG KARYA",COUNTIF($I$10:I1785,"CV AGUNG KARYA")," ")</f>
        <v xml:space="preserve"> </v>
      </c>
      <c r="F1785" s="107" t="str">
        <f>IF(LEN(Table1722[[#This Row],[Uraian]])&gt;2,TRIM(RIGHT(SUBSTITUTE(TRIM(C1785)," ",REPT(" ",255)),255))," ")</f>
        <v xml:space="preserve"> </v>
      </c>
      <c r="G1785" s="110">
        <f>COPY!Z1777</f>
        <v>0</v>
      </c>
      <c r="H1785" s="111" t="str">
        <f>IFERROR(VLOOKUP(Table1722[[#This Row],[Bukti]],'Un nOTA'!$A$4:$K$5003,10,FALSE),"")</f>
        <v/>
      </c>
      <c r="I1785" s="112" t="str">
        <f>IFERROR(VLOOKUP(Table1722[[#This Row],[Bukti]],Table13[#Data],11,FALSE),"")</f>
        <v/>
      </c>
    </row>
    <row r="1786" spans="1:9" ht="19.5" hidden="1" customHeight="1" x14ac:dyDescent="0.2">
      <c r="A1786" s="105" t="str">
        <f>IF(D1786=1,COUNTIF($D$10:D1786,1)," ")</f>
        <v xml:space="preserve"> </v>
      </c>
      <c r="B1786" s="106">
        <f>COPY!AR1778</f>
        <v>0</v>
      </c>
      <c r="C1786" s="107">
        <f>COPY!AC1778</f>
        <v>0</v>
      </c>
      <c r="D1786" s="107" t="str">
        <f>IF(LEN(Table1722[[#This Row],[Uraian]])&gt;2,1," ")</f>
        <v xml:space="preserve"> </v>
      </c>
      <c r="E1786" s="113" t="str">
        <f>IF(Table1722[[#This Row],[Lawan Transaksi]]="CV AGUNG KARYA",COUNTIF($I$10:I1786,"CV AGUNG KARYA")," ")</f>
        <v xml:space="preserve"> </v>
      </c>
      <c r="F1786" s="107" t="str">
        <f>IF(LEN(Table1722[[#This Row],[Uraian]])&gt;2,TRIM(RIGHT(SUBSTITUTE(TRIM(C1786)," ",REPT(" ",255)),255))," ")</f>
        <v xml:space="preserve"> </v>
      </c>
      <c r="G1786" s="110">
        <f>COPY!Z1778</f>
        <v>0</v>
      </c>
      <c r="H1786" s="111" t="str">
        <f>IFERROR(VLOOKUP(Table1722[[#This Row],[Bukti]],'Un nOTA'!$A$4:$K$5003,10,FALSE),"")</f>
        <v/>
      </c>
      <c r="I1786" s="112" t="str">
        <f>IFERROR(VLOOKUP(Table1722[[#This Row],[Bukti]],Table13[#Data],11,FALSE),"")</f>
        <v/>
      </c>
    </row>
    <row r="1787" spans="1:9" ht="19.5" hidden="1" customHeight="1" x14ac:dyDescent="0.2">
      <c r="A1787" s="105" t="str">
        <f>IF(D1787=1,COUNTIF($D$10:D1787,1)," ")</f>
        <v xml:space="preserve"> </v>
      </c>
      <c r="B1787" s="106">
        <f>COPY!AR1779</f>
        <v>0</v>
      </c>
      <c r="C1787" s="107">
        <f>COPY!AC1779</f>
        <v>0</v>
      </c>
      <c r="D1787" s="107" t="str">
        <f>IF(LEN(Table1722[[#This Row],[Uraian]])&gt;2,1," ")</f>
        <v xml:space="preserve"> </v>
      </c>
      <c r="E1787" s="113" t="str">
        <f>IF(Table1722[[#This Row],[Lawan Transaksi]]="CV AGUNG KARYA",COUNTIF($I$10:I1787,"CV AGUNG KARYA")," ")</f>
        <v xml:space="preserve"> </v>
      </c>
      <c r="F1787" s="107" t="str">
        <f>IF(LEN(Table1722[[#This Row],[Uraian]])&gt;2,TRIM(RIGHT(SUBSTITUTE(TRIM(C1787)," ",REPT(" ",255)),255))," ")</f>
        <v xml:space="preserve"> </v>
      </c>
      <c r="G1787" s="110">
        <f>COPY!Z1779</f>
        <v>0</v>
      </c>
      <c r="H1787" s="111" t="str">
        <f>IFERROR(VLOOKUP(Table1722[[#This Row],[Bukti]],'Un nOTA'!$A$4:$K$5003,10,FALSE),"")</f>
        <v/>
      </c>
      <c r="I1787" s="112" t="str">
        <f>IFERROR(VLOOKUP(Table1722[[#This Row],[Bukti]],Table13[#Data],11,FALSE),"")</f>
        <v/>
      </c>
    </row>
    <row r="1788" spans="1:9" ht="19.5" hidden="1" customHeight="1" x14ac:dyDescent="0.2">
      <c r="A1788" s="105" t="str">
        <f>IF(D1788=1,COUNTIF($D$10:D1788,1)," ")</f>
        <v xml:space="preserve"> </v>
      </c>
      <c r="B1788" s="106">
        <f>COPY!AR1780</f>
        <v>0</v>
      </c>
      <c r="C1788" s="107">
        <f>COPY!AC1780</f>
        <v>0</v>
      </c>
      <c r="D1788" s="107" t="str">
        <f>IF(LEN(Table1722[[#This Row],[Uraian]])&gt;2,1," ")</f>
        <v xml:space="preserve"> </v>
      </c>
      <c r="E1788" s="113" t="str">
        <f>IF(Table1722[[#This Row],[Lawan Transaksi]]="CV AGUNG KARYA",COUNTIF($I$10:I1788,"CV AGUNG KARYA")," ")</f>
        <v xml:space="preserve"> </v>
      </c>
      <c r="F1788" s="107" t="str">
        <f>IF(LEN(Table1722[[#This Row],[Uraian]])&gt;2,TRIM(RIGHT(SUBSTITUTE(TRIM(C1788)," ",REPT(" ",255)),255))," ")</f>
        <v xml:space="preserve"> </v>
      </c>
      <c r="G1788" s="110">
        <f>COPY!Z1780</f>
        <v>0</v>
      </c>
      <c r="H1788" s="111" t="str">
        <f>IFERROR(VLOOKUP(Table1722[[#This Row],[Bukti]],'Un nOTA'!$A$4:$K$5003,10,FALSE),"")</f>
        <v/>
      </c>
      <c r="I1788" s="112" t="str">
        <f>IFERROR(VLOOKUP(Table1722[[#This Row],[Bukti]],Table13[#Data],11,FALSE),"")</f>
        <v/>
      </c>
    </row>
    <row r="1789" spans="1:9" ht="19.5" hidden="1" customHeight="1" x14ac:dyDescent="0.2">
      <c r="A1789" s="105" t="str">
        <f>IF(D1789=1,COUNTIF($D$10:D1789,1)," ")</f>
        <v xml:space="preserve"> </v>
      </c>
      <c r="B1789" s="106">
        <f>COPY!AR1781</f>
        <v>0</v>
      </c>
      <c r="C1789" s="107">
        <f>COPY!AC1781</f>
        <v>0</v>
      </c>
      <c r="D1789" s="107" t="str">
        <f>IF(LEN(Table1722[[#This Row],[Uraian]])&gt;2,1," ")</f>
        <v xml:space="preserve"> </v>
      </c>
      <c r="E1789" s="113" t="str">
        <f>IF(Table1722[[#This Row],[Lawan Transaksi]]="CV AGUNG KARYA",COUNTIF($I$10:I1789,"CV AGUNG KARYA")," ")</f>
        <v xml:space="preserve"> </v>
      </c>
      <c r="F1789" s="107" t="str">
        <f>IF(LEN(Table1722[[#This Row],[Uraian]])&gt;2,TRIM(RIGHT(SUBSTITUTE(TRIM(C1789)," ",REPT(" ",255)),255))," ")</f>
        <v xml:space="preserve"> </v>
      </c>
      <c r="G1789" s="110">
        <f>COPY!Z1781</f>
        <v>0</v>
      </c>
      <c r="H1789" s="111" t="str">
        <f>IFERROR(VLOOKUP(Table1722[[#This Row],[Bukti]],'Un nOTA'!$A$4:$K$5003,10,FALSE),"")</f>
        <v/>
      </c>
      <c r="I1789" s="112" t="str">
        <f>IFERROR(VLOOKUP(Table1722[[#This Row],[Bukti]],Table13[#Data],11,FALSE),"")</f>
        <v/>
      </c>
    </row>
    <row r="1790" spans="1:9" ht="19.5" hidden="1" customHeight="1" x14ac:dyDescent="0.2">
      <c r="A1790" s="105" t="str">
        <f>IF(D1790=1,COUNTIF($D$10:D1790,1)," ")</f>
        <v xml:space="preserve"> </v>
      </c>
      <c r="B1790" s="106">
        <f>COPY!AR1782</f>
        <v>0</v>
      </c>
      <c r="C1790" s="107">
        <f>COPY!AC1782</f>
        <v>0</v>
      </c>
      <c r="D1790" s="107" t="str">
        <f>IF(LEN(Table1722[[#This Row],[Uraian]])&gt;2,1," ")</f>
        <v xml:space="preserve"> </v>
      </c>
      <c r="E1790" s="113" t="str">
        <f>IF(Table1722[[#This Row],[Lawan Transaksi]]="CV AGUNG KARYA",COUNTIF($I$10:I1790,"CV AGUNG KARYA")," ")</f>
        <v xml:space="preserve"> </v>
      </c>
      <c r="F1790" s="107" t="str">
        <f>IF(LEN(Table1722[[#This Row],[Uraian]])&gt;2,TRIM(RIGHT(SUBSTITUTE(TRIM(C1790)," ",REPT(" ",255)),255))," ")</f>
        <v xml:space="preserve"> </v>
      </c>
      <c r="G1790" s="110">
        <f>COPY!Z1782</f>
        <v>0</v>
      </c>
      <c r="H1790" s="111" t="str">
        <f>IFERROR(VLOOKUP(Table1722[[#This Row],[Bukti]],'Un nOTA'!$A$4:$K$5003,10,FALSE),"")</f>
        <v/>
      </c>
      <c r="I1790" s="112" t="str">
        <f>IFERROR(VLOOKUP(Table1722[[#This Row],[Bukti]],Table13[#Data],11,FALSE),"")</f>
        <v/>
      </c>
    </row>
    <row r="1791" spans="1:9" ht="19.5" hidden="1" customHeight="1" x14ac:dyDescent="0.2">
      <c r="A1791" s="105" t="str">
        <f>IF(D1791=1,COUNTIF($D$10:D1791,1)," ")</f>
        <v xml:space="preserve"> </v>
      </c>
      <c r="B1791" s="106">
        <f>COPY!AR1783</f>
        <v>0</v>
      </c>
      <c r="C1791" s="107">
        <f>COPY!AC1783</f>
        <v>0</v>
      </c>
      <c r="D1791" s="107" t="str">
        <f>IF(LEN(Table1722[[#This Row],[Uraian]])&gt;2,1," ")</f>
        <v xml:space="preserve"> </v>
      </c>
      <c r="E1791" s="113" t="str">
        <f>IF(Table1722[[#This Row],[Lawan Transaksi]]="CV AGUNG KARYA",COUNTIF($I$10:I1791,"CV AGUNG KARYA")," ")</f>
        <v xml:space="preserve"> </v>
      </c>
      <c r="F1791" s="107" t="str">
        <f>IF(LEN(Table1722[[#This Row],[Uraian]])&gt;2,TRIM(RIGHT(SUBSTITUTE(TRIM(C1791)," ",REPT(" ",255)),255))," ")</f>
        <v xml:space="preserve"> </v>
      </c>
      <c r="G1791" s="110">
        <f>COPY!Z1783</f>
        <v>0</v>
      </c>
      <c r="H1791" s="111" t="str">
        <f>IFERROR(VLOOKUP(Table1722[[#This Row],[Bukti]],'Un nOTA'!$A$4:$K$5003,10,FALSE),"")</f>
        <v/>
      </c>
      <c r="I1791" s="112" t="str">
        <f>IFERROR(VLOOKUP(Table1722[[#This Row],[Bukti]],Table13[#Data],11,FALSE),"")</f>
        <v/>
      </c>
    </row>
    <row r="1792" spans="1:9" ht="19.5" hidden="1" customHeight="1" x14ac:dyDescent="0.2">
      <c r="A1792" s="105" t="str">
        <f>IF(D1792=1,COUNTIF($D$10:D1792,1)," ")</f>
        <v xml:space="preserve"> </v>
      </c>
      <c r="B1792" s="106">
        <f>COPY!AR1784</f>
        <v>0</v>
      </c>
      <c r="C1792" s="107">
        <f>COPY!AC1784</f>
        <v>0</v>
      </c>
      <c r="D1792" s="107" t="str">
        <f>IF(LEN(Table1722[[#This Row],[Uraian]])&gt;2,1," ")</f>
        <v xml:space="preserve"> </v>
      </c>
      <c r="E1792" s="113" t="str">
        <f>IF(Table1722[[#This Row],[Lawan Transaksi]]="CV AGUNG KARYA",COUNTIF($I$10:I1792,"CV AGUNG KARYA")," ")</f>
        <v xml:space="preserve"> </v>
      </c>
      <c r="F1792" s="107" t="str">
        <f>IF(LEN(Table1722[[#This Row],[Uraian]])&gt;2,TRIM(RIGHT(SUBSTITUTE(TRIM(C1792)," ",REPT(" ",255)),255))," ")</f>
        <v xml:space="preserve"> </v>
      </c>
      <c r="G1792" s="110">
        <f>COPY!Z1784</f>
        <v>0</v>
      </c>
      <c r="H1792" s="111" t="str">
        <f>IFERROR(VLOOKUP(Table1722[[#This Row],[Bukti]],'Un nOTA'!$A$4:$K$5003,10,FALSE),"")</f>
        <v/>
      </c>
      <c r="I1792" s="112" t="str">
        <f>IFERROR(VLOOKUP(Table1722[[#This Row],[Bukti]],Table13[#Data],11,FALSE),"")</f>
        <v/>
      </c>
    </row>
    <row r="1793" spans="1:9" ht="19.5" hidden="1" customHeight="1" x14ac:dyDescent="0.2">
      <c r="A1793" s="105" t="str">
        <f>IF(D1793=1,COUNTIF($D$10:D1793,1)," ")</f>
        <v xml:space="preserve"> </v>
      </c>
      <c r="B1793" s="106">
        <f>COPY!AR1785</f>
        <v>0</v>
      </c>
      <c r="C1793" s="107">
        <f>COPY!AC1785</f>
        <v>0</v>
      </c>
      <c r="D1793" s="107" t="str">
        <f>IF(LEN(Table1722[[#This Row],[Uraian]])&gt;2,1," ")</f>
        <v xml:space="preserve"> </v>
      </c>
      <c r="E1793" s="113" t="str">
        <f>IF(Table1722[[#This Row],[Lawan Transaksi]]="CV AGUNG KARYA",COUNTIF($I$10:I1793,"CV AGUNG KARYA")," ")</f>
        <v xml:space="preserve"> </v>
      </c>
      <c r="F1793" s="107" t="str">
        <f>IF(LEN(Table1722[[#This Row],[Uraian]])&gt;2,TRIM(RIGHT(SUBSTITUTE(TRIM(C1793)," ",REPT(" ",255)),255))," ")</f>
        <v xml:space="preserve"> </v>
      </c>
      <c r="G1793" s="110">
        <f>COPY!Z1785</f>
        <v>0</v>
      </c>
      <c r="H1793" s="111" t="str">
        <f>IFERROR(VLOOKUP(Table1722[[#This Row],[Bukti]],'Un nOTA'!$A$4:$K$5003,10,FALSE),"")</f>
        <v/>
      </c>
      <c r="I1793" s="112" t="str">
        <f>IFERROR(VLOOKUP(Table1722[[#This Row],[Bukti]],Table13[#Data],11,FALSE),"")</f>
        <v/>
      </c>
    </row>
    <row r="1794" spans="1:9" ht="19.5" hidden="1" customHeight="1" x14ac:dyDescent="0.2">
      <c r="A1794" s="105" t="str">
        <f>IF(D1794=1,COUNTIF($D$10:D1794,1)," ")</f>
        <v xml:space="preserve"> </v>
      </c>
      <c r="B1794" s="106">
        <f>COPY!AR1786</f>
        <v>0</v>
      </c>
      <c r="C1794" s="107">
        <f>COPY!AC1786</f>
        <v>0</v>
      </c>
      <c r="D1794" s="107" t="str">
        <f>IF(LEN(Table1722[[#This Row],[Uraian]])&gt;2,1," ")</f>
        <v xml:space="preserve"> </v>
      </c>
      <c r="E1794" s="113" t="str">
        <f>IF(Table1722[[#This Row],[Lawan Transaksi]]="CV AGUNG KARYA",COUNTIF($I$10:I1794,"CV AGUNG KARYA")," ")</f>
        <v xml:space="preserve"> </v>
      </c>
      <c r="F1794" s="107" t="str">
        <f>IF(LEN(Table1722[[#This Row],[Uraian]])&gt;2,TRIM(RIGHT(SUBSTITUTE(TRIM(C1794)," ",REPT(" ",255)),255))," ")</f>
        <v xml:space="preserve"> </v>
      </c>
      <c r="G1794" s="110">
        <f>COPY!Z1786</f>
        <v>0</v>
      </c>
      <c r="H1794" s="111" t="str">
        <f>IFERROR(VLOOKUP(Table1722[[#This Row],[Bukti]],'Un nOTA'!$A$4:$K$5003,10,FALSE),"")</f>
        <v/>
      </c>
      <c r="I1794" s="112" t="str">
        <f>IFERROR(VLOOKUP(Table1722[[#This Row],[Bukti]],Table13[#Data],11,FALSE),"")</f>
        <v/>
      </c>
    </row>
    <row r="1795" spans="1:9" ht="19.5" hidden="1" customHeight="1" x14ac:dyDescent="0.2">
      <c r="A1795" s="105" t="str">
        <f>IF(D1795=1,COUNTIF($D$10:D1795,1)," ")</f>
        <v xml:space="preserve"> </v>
      </c>
      <c r="B1795" s="106">
        <f>COPY!AR1787</f>
        <v>0</v>
      </c>
      <c r="C1795" s="107">
        <f>COPY!AC1787</f>
        <v>0</v>
      </c>
      <c r="D1795" s="107" t="str">
        <f>IF(LEN(Table1722[[#This Row],[Uraian]])&gt;2,1," ")</f>
        <v xml:space="preserve"> </v>
      </c>
      <c r="E1795" s="113" t="str">
        <f>IF(Table1722[[#This Row],[Lawan Transaksi]]="CV AGUNG KARYA",COUNTIF($I$10:I1795,"CV AGUNG KARYA")," ")</f>
        <v xml:space="preserve"> </v>
      </c>
      <c r="F1795" s="107" t="str">
        <f>IF(LEN(Table1722[[#This Row],[Uraian]])&gt;2,TRIM(RIGHT(SUBSTITUTE(TRIM(C1795)," ",REPT(" ",255)),255))," ")</f>
        <v xml:space="preserve"> </v>
      </c>
      <c r="G1795" s="110">
        <f>COPY!Z1787</f>
        <v>0</v>
      </c>
      <c r="H1795" s="111" t="str">
        <f>IFERROR(VLOOKUP(Table1722[[#This Row],[Bukti]],'Un nOTA'!$A$4:$K$5003,10,FALSE),"")</f>
        <v/>
      </c>
      <c r="I1795" s="112" t="str">
        <f>IFERROR(VLOOKUP(Table1722[[#This Row],[Bukti]],Table13[#Data],11,FALSE),"")</f>
        <v/>
      </c>
    </row>
    <row r="1796" spans="1:9" ht="19.5" hidden="1" customHeight="1" x14ac:dyDescent="0.2">
      <c r="A1796" s="105" t="str">
        <f>IF(D1796=1,COUNTIF($D$10:D1796,1)," ")</f>
        <v xml:space="preserve"> </v>
      </c>
      <c r="B1796" s="106">
        <f>COPY!AR1788</f>
        <v>0</v>
      </c>
      <c r="C1796" s="107">
        <f>COPY!AC1788</f>
        <v>0</v>
      </c>
      <c r="D1796" s="107" t="str">
        <f>IF(LEN(Table1722[[#This Row],[Uraian]])&gt;2,1," ")</f>
        <v xml:space="preserve"> </v>
      </c>
      <c r="E1796" s="113" t="str">
        <f>IF(Table1722[[#This Row],[Lawan Transaksi]]="CV AGUNG KARYA",COUNTIF($I$10:I1796,"CV AGUNG KARYA")," ")</f>
        <v xml:space="preserve"> </v>
      </c>
      <c r="F1796" s="107" t="str">
        <f>IF(LEN(Table1722[[#This Row],[Uraian]])&gt;2,TRIM(RIGHT(SUBSTITUTE(TRIM(C1796)," ",REPT(" ",255)),255))," ")</f>
        <v xml:space="preserve"> </v>
      </c>
      <c r="G1796" s="110">
        <f>COPY!Z1788</f>
        <v>0</v>
      </c>
      <c r="H1796" s="111" t="str">
        <f>IFERROR(VLOOKUP(Table1722[[#This Row],[Bukti]],'Un nOTA'!$A$4:$K$5003,10,FALSE),"")</f>
        <v/>
      </c>
      <c r="I1796" s="112" t="str">
        <f>IFERROR(VLOOKUP(Table1722[[#This Row],[Bukti]],Table13[#Data],11,FALSE),"")</f>
        <v/>
      </c>
    </row>
    <row r="1797" spans="1:9" ht="19.5" hidden="1" customHeight="1" x14ac:dyDescent="0.2">
      <c r="A1797" s="105" t="str">
        <f>IF(D1797=1,COUNTIF($D$10:D1797,1)," ")</f>
        <v xml:space="preserve"> </v>
      </c>
      <c r="B1797" s="106">
        <f>COPY!AR1789</f>
        <v>0</v>
      </c>
      <c r="C1797" s="107">
        <f>COPY!AC1789</f>
        <v>0</v>
      </c>
      <c r="D1797" s="107" t="str">
        <f>IF(LEN(Table1722[[#This Row],[Uraian]])&gt;2,1," ")</f>
        <v xml:space="preserve"> </v>
      </c>
      <c r="E1797" s="113" t="str">
        <f>IF(Table1722[[#This Row],[Lawan Transaksi]]="CV AGUNG KARYA",COUNTIF($I$10:I1797,"CV AGUNG KARYA")," ")</f>
        <v xml:space="preserve"> </v>
      </c>
      <c r="F1797" s="107" t="str">
        <f>IF(LEN(Table1722[[#This Row],[Uraian]])&gt;2,TRIM(RIGHT(SUBSTITUTE(TRIM(C1797)," ",REPT(" ",255)),255))," ")</f>
        <v xml:space="preserve"> </v>
      </c>
      <c r="G1797" s="110">
        <f>COPY!Z1789</f>
        <v>0</v>
      </c>
      <c r="H1797" s="111" t="str">
        <f>IFERROR(VLOOKUP(Table1722[[#This Row],[Bukti]],'Un nOTA'!$A$4:$K$5003,10,FALSE),"")</f>
        <v/>
      </c>
      <c r="I1797" s="112" t="str">
        <f>IFERROR(VLOOKUP(Table1722[[#This Row],[Bukti]],Table13[#Data],11,FALSE),"")</f>
        <v/>
      </c>
    </row>
    <row r="1798" spans="1:9" ht="19.5" hidden="1" customHeight="1" x14ac:dyDescent="0.2">
      <c r="A1798" s="105" t="str">
        <f>IF(D1798=1,COUNTIF($D$10:D1798,1)," ")</f>
        <v xml:space="preserve"> </v>
      </c>
      <c r="B1798" s="106">
        <f>COPY!AR1790</f>
        <v>0</v>
      </c>
      <c r="C1798" s="107">
        <f>COPY!AC1790</f>
        <v>0</v>
      </c>
      <c r="D1798" s="107" t="str">
        <f>IF(LEN(Table1722[[#This Row],[Uraian]])&gt;2,1," ")</f>
        <v xml:space="preserve"> </v>
      </c>
      <c r="E1798" s="113" t="str">
        <f>IF(Table1722[[#This Row],[Lawan Transaksi]]="CV AGUNG KARYA",COUNTIF($I$10:I1798,"CV AGUNG KARYA")," ")</f>
        <v xml:space="preserve"> </v>
      </c>
      <c r="F1798" s="107" t="str">
        <f>IF(LEN(Table1722[[#This Row],[Uraian]])&gt;2,TRIM(RIGHT(SUBSTITUTE(TRIM(C1798)," ",REPT(" ",255)),255))," ")</f>
        <v xml:space="preserve"> </v>
      </c>
      <c r="G1798" s="110">
        <f>COPY!Z1790</f>
        <v>0</v>
      </c>
      <c r="H1798" s="111" t="str">
        <f>IFERROR(VLOOKUP(Table1722[[#This Row],[Bukti]],'Un nOTA'!$A$4:$K$5003,10,FALSE),"")</f>
        <v/>
      </c>
      <c r="I1798" s="112" t="str">
        <f>IFERROR(VLOOKUP(Table1722[[#This Row],[Bukti]],Table13[#Data],11,FALSE),"")</f>
        <v/>
      </c>
    </row>
    <row r="1799" spans="1:9" ht="19.5" hidden="1" customHeight="1" x14ac:dyDescent="0.2">
      <c r="A1799" s="105" t="str">
        <f>IF(D1799=1,COUNTIF($D$10:D1799,1)," ")</f>
        <v xml:space="preserve"> </v>
      </c>
      <c r="B1799" s="106">
        <f>COPY!AR1791</f>
        <v>0</v>
      </c>
      <c r="C1799" s="107">
        <f>COPY!AC1791</f>
        <v>0</v>
      </c>
      <c r="D1799" s="107" t="str">
        <f>IF(LEN(Table1722[[#This Row],[Uraian]])&gt;2,1," ")</f>
        <v xml:space="preserve"> </v>
      </c>
      <c r="E1799" s="113" t="str">
        <f>IF(Table1722[[#This Row],[Lawan Transaksi]]="CV AGUNG KARYA",COUNTIF($I$10:I1799,"CV AGUNG KARYA")," ")</f>
        <v xml:space="preserve"> </v>
      </c>
      <c r="F1799" s="107" t="str">
        <f>IF(LEN(Table1722[[#This Row],[Uraian]])&gt;2,TRIM(RIGHT(SUBSTITUTE(TRIM(C1799)," ",REPT(" ",255)),255))," ")</f>
        <v xml:space="preserve"> </v>
      </c>
      <c r="G1799" s="110">
        <f>COPY!Z1791</f>
        <v>0</v>
      </c>
      <c r="H1799" s="111" t="str">
        <f>IFERROR(VLOOKUP(Table1722[[#This Row],[Bukti]],'Un nOTA'!$A$4:$K$5003,10,FALSE),"")</f>
        <v/>
      </c>
      <c r="I1799" s="112" t="str">
        <f>IFERROR(VLOOKUP(Table1722[[#This Row],[Bukti]],Table13[#Data],11,FALSE),"")</f>
        <v/>
      </c>
    </row>
    <row r="1800" spans="1:9" ht="19.5" hidden="1" customHeight="1" x14ac:dyDescent="0.2">
      <c r="A1800" s="105" t="str">
        <f>IF(D1800=1,COUNTIF($D$10:D1800,1)," ")</f>
        <v xml:space="preserve"> </v>
      </c>
      <c r="B1800" s="106">
        <f>COPY!AR1792</f>
        <v>0</v>
      </c>
      <c r="C1800" s="107">
        <f>COPY!AC1792</f>
        <v>0</v>
      </c>
      <c r="D1800" s="107" t="str">
        <f>IF(LEN(Table1722[[#This Row],[Uraian]])&gt;2,1," ")</f>
        <v xml:space="preserve"> </v>
      </c>
      <c r="E1800" s="113" t="str">
        <f>IF(Table1722[[#This Row],[Lawan Transaksi]]="CV AGUNG KARYA",COUNTIF($I$10:I1800,"CV AGUNG KARYA")," ")</f>
        <v xml:space="preserve"> </v>
      </c>
      <c r="F1800" s="107" t="str">
        <f>IF(LEN(Table1722[[#This Row],[Uraian]])&gt;2,TRIM(RIGHT(SUBSTITUTE(TRIM(C1800)," ",REPT(" ",255)),255))," ")</f>
        <v xml:space="preserve"> </v>
      </c>
      <c r="G1800" s="110">
        <f>COPY!Z1792</f>
        <v>0</v>
      </c>
      <c r="H1800" s="111" t="str">
        <f>IFERROR(VLOOKUP(Table1722[[#This Row],[Bukti]],'Un nOTA'!$A$4:$K$5003,10,FALSE),"")</f>
        <v/>
      </c>
      <c r="I1800" s="112" t="str">
        <f>IFERROR(VLOOKUP(Table1722[[#This Row],[Bukti]],Table13[#Data],11,FALSE),"")</f>
        <v/>
      </c>
    </row>
    <row r="1801" spans="1:9" ht="19.5" hidden="1" customHeight="1" x14ac:dyDescent="0.2">
      <c r="A1801" s="105" t="str">
        <f>IF(D1801=1,COUNTIF($D$10:D1801,1)," ")</f>
        <v xml:space="preserve"> </v>
      </c>
      <c r="B1801" s="106">
        <f>COPY!AR1793</f>
        <v>0</v>
      </c>
      <c r="C1801" s="107">
        <f>COPY!AC1793</f>
        <v>0</v>
      </c>
      <c r="D1801" s="107" t="str">
        <f>IF(LEN(Table1722[[#This Row],[Uraian]])&gt;2,1," ")</f>
        <v xml:space="preserve"> </v>
      </c>
      <c r="E1801" s="113" t="str">
        <f>IF(Table1722[[#This Row],[Lawan Transaksi]]="CV AGUNG KARYA",COUNTIF($I$10:I1801,"CV AGUNG KARYA")," ")</f>
        <v xml:space="preserve"> </v>
      </c>
      <c r="F1801" s="107" t="str">
        <f>IF(LEN(Table1722[[#This Row],[Uraian]])&gt;2,TRIM(RIGHT(SUBSTITUTE(TRIM(C1801)," ",REPT(" ",255)),255))," ")</f>
        <v xml:space="preserve"> </v>
      </c>
      <c r="G1801" s="110">
        <f>COPY!Z1793</f>
        <v>0</v>
      </c>
      <c r="H1801" s="111" t="str">
        <f>IFERROR(VLOOKUP(Table1722[[#This Row],[Bukti]],'Un nOTA'!$A$4:$K$5003,10,FALSE),"")</f>
        <v/>
      </c>
      <c r="I1801" s="112" t="str">
        <f>IFERROR(VLOOKUP(Table1722[[#This Row],[Bukti]],Table13[#Data],11,FALSE),"")</f>
        <v/>
      </c>
    </row>
    <row r="1802" spans="1:9" ht="19.5" hidden="1" customHeight="1" x14ac:dyDescent="0.2">
      <c r="A1802" s="105" t="str">
        <f>IF(D1802=1,COUNTIF($D$10:D1802,1)," ")</f>
        <v xml:space="preserve"> </v>
      </c>
      <c r="B1802" s="106">
        <f>COPY!AR1794</f>
        <v>0</v>
      </c>
      <c r="C1802" s="107">
        <f>COPY!AC1794</f>
        <v>0</v>
      </c>
      <c r="D1802" s="107" t="str">
        <f>IF(LEN(Table1722[[#This Row],[Uraian]])&gt;2,1," ")</f>
        <v xml:space="preserve"> </v>
      </c>
      <c r="E1802" s="113" t="str">
        <f>IF(Table1722[[#This Row],[Lawan Transaksi]]="CV AGUNG KARYA",COUNTIF($I$10:I1802,"CV AGUNG KARYA")," ")</f>
        <v xml:space="preserve"> </v>
      </c>
      <c r="F1802" s="107" t="str">
        <f>IF(LEN(Table1722[[#This Row],[Uraian]])&gt;2,TRIM(RIGHT(SUBSTITUTE(TRIM(C1802)," ",REPT(" ",255)),255))," ")</f>
        <v xml:space="preserve"> </v>
      </c>
      <c r="G1802" s="110">
        <f>COPY!Z1794</f>
        <v>0</v>
      </c>
      <c r="H1802" s="111" t="str">
        <f>IFERROR(VLOOKUP(Table1722[[#This Row],[Bukti]],'Un nOTA'!$A$4:$K$5003,10,FALSE),"")</f>
        <v/>
      </c>
      <c r="I1802" s="112" t="str">
        <f>IFERROR(VLOOKUP(Table1722[[#This Row],[Bukti]],Table13[#Data],11,FALSE),"")</f>
        <v/>
      </c>
    </row>
    <row r="1803" spans="1:9" ht="19.5" hidden="1" customHeight="1" x14ac:dyDescent="0.2">
      <c r="A1803" s="105" t="str">
        <f>IF(D1803=1,COUNTIF($D$10:D1803,1)," ")</f>
        <v xml:space="preserve"> </v>
      </c>
      <c r="B1803" s="106">
        <f>COPY!AR1795</f>
        <v>0</v>
      </c>
      <c r="C1803" s="107">
        <f>COPY!AC1795</f>
        <v>0</v>
      </c>
      <c r="D1803" s="107" t="str">
        <f>IF(LEN(Table1722[[#This Row],[Uraian]])&gt;2,1," ")</f>
        <v xml:space="preserve"> </v>
      </c>
      <c r="E1803" s="113" t="str">
        <f>IF(Table1722[[#This Row],[Lawan Transaksi]]="CV AGUNG KARYA",COUNTIF($I$10:I1803,"CV AGUNG KARYA")," ")</f>
        <v xml:space="preserve"> </v>
      </c>
      <c r="F1803" s="107" t="str">
        <f>IF(LEN(Table1722[[#This Row],[Uraian]])&gt;2,TRIM(RIGHT(SUBSTITUTE(TRIM(C1803)," ",REPT(" ",255)),255))," ")</f>
        <v xml:space="preserve"> </v>
      </c>
      <c r="G1803" s="110">
        <f>COPY!Z1795</f>
        <v>0</v>
      </c>
      <c r="H1803" s="111" t="str">
        <f>IFERROR(VLOOKUP(Table1722[[#This Row],[Bukti]],'Un nOTA'!$A$4:$K$5003,10,FALSE),"")</f>
        <v/>
      </c>
      <c r="I1803" s="112" t="str">
        <f>IFERROR(VLOOKUP(Table1722[[#This Row],[Bukti]],Table13[#Data],11,FALSE),"")</f>
        <v/>
      </c>
    </row>
    <row r="1804" spans="1:9" ht="19.5" hidden="1" customHeight="1" x14ac:dyDescent="0.2">
      <c r="A1804" s="105" t="str">
        <f>IF(D1804=1,COUNTIF($D$10:D1804,1)," ")</f>
        <v xml:space="preserve"> </v>
      </c>
      <c r="B1804" s="106">
        <f>COPY!AR1796</f>
        <v>0</v>
      </c>
      <c r="C1804" s="107">
        <f>COPY!AC1796</f>
        <v>0</v>
      </c>
      <c r="D1804" s="107" t="str">
        <f>IF(LEN(Table1722[[#This Row],[Uraian]])&gt;2,1," ")</f>
        <v xml:space="preserve"> </v>
      </c>
      <c r="E1804" s="113" t="str">
        <f>IF(Table1722[[#This Row],[Lawan Transaksi]]="CV AGUNG KARYA",COUNTIF($I$10:I1804,"CV AGUNG KARYA")," ")</f>
        <v xml:space="preserve"> </v>
      </c>
      <c r="F1804" s="107" t="str">
        <f>IF(LEN(Table1722[[#This Row],[Uraian]])&gt;2,TRIM(RIGHT(SUBSTITUTE(TRIM(C1804)," ",REPT(" ",255)),255))," ")</f>
        <v xml:space="preserve"> </v>
      </c>
      <c r="G1804" s="110">
        <f>COPY!Z1796</f>
        <v>0</v>
      </c>
      <c r="H1804" s="111" t="str">
        <f>IFERROR(VLOOKUP(Table1722[[#This Row],[Bukti]],'Un nOTA'!$A$4:$K$5003,10,FALSE),"")</f>
        <v/>
      </c>
      <c r="I1804" s="112" t="str">
        <f>IFERROR(VLOOKUP(Table1722[[#This Row],[Bukti]],Table13[#Data],11,FALSE),"")</f>
        <v/>
      </c>
    </row>
    <row r="1805" spans="1:9" ht="19.5" hidden="1" customHeight="1" x14ac:dyDescent="0.2">
      <c r="A1805" s="105" t="str">
        <f>IF(D1805=1,COUNTIF($D$10:D1805,1)," ")</f>
        <v xml:space="preserve"> </v>
      </c>
      <c r="B1805" s="106">
        <f>COPY!AR1797</f>
        <v>0</v>
      </c>
      <c r="C1805" s="107">
        <f>COPY!AC1797</f>
        <v>0</v>
      </c>
      <c r="D1805" s="107" t="str">
        <f>IF(LEN(Table1722[[#This Row],[Uraian]])&gt;2,1," ")</f>
        <v xml:space="preserve"> </v>
      </c>
      <c r="E1805" s="113" t="str">
        <f>IF(Table1722[[#This Row],[Lawan Transaksi]]="CV AGUNG KARYA",COUNTIF($I$10:I1805,"CV AGUNG KARYA")," ")</f>
        <v xml:space="preserve"> </v>
      </c>
      <c r="F1805" s="107" t="str">
        <f>IF(LEN(Table1722[[#This Row],[Uraian]])&gt;2,TRIM(RIGHT(SUBSTITUTE(TRIM(C1805)," ",REPT(" ",255)),255))," ")</f>
        <v xml:space="preserve"> </v>
      </c>
      <c r="G1805" s="110">
        <f>COPY!Z1797</f>
        <v>0</v>
      </c>
      <c r="H1805" s="111" t="str">
        <f>IFERROR(VLOOKUP(Table1722[[#This Row],[Bukti]],'Un nOTA'!$A$4:$K$5003,10,FALSE),"")</f>
        <v/>
      </c>
      <c r="I1805" s="112" t="str">
        <f>IFERROR(VLOOKUP(Table1722[[#This Row],[Bukti]],Table13[#Data],11,FALSE),"")</f>
        <v/>
      </c>
    </row>
    <row r="1806" spans="1:9" ht="19.5" hidden="1" customHeight="1" x14ac:dyDescent="0.2">
      <c r="A1806" s="105" t="str">
        <f>IF(D1806=1,COUNTIF($D$10:D1806,1)," ")</f>
        <v xml:space="preserve"> </v>
      </c>
      <c r="B1806" s="106">
        <f>COPY!AR1798</f>
        <v>0</v>
      </c>
      <c r="C1806" s="107">
        <f>COPY!AC1798</f>
        <v>0</v>
      </c>
      <c r="D1806" s="107" t="str">
        <f>IF(LEN(Table1722[[#This Row],[Uraian]])&gt;2,1," ")</f>
        <v xml:space="preserve"> </v>
      </c>
      <c r="E1806" s="113" t="str">
        <f>IF(Table1722[[#This Row],[Lawan Transaksi]]="CV AGUNG KARYA",COUNTIF($I$10:I1806,"CV AGUNG KARYA")," ")</f>
        <v xml:space="preserve"> </v>
      </c>
      <c r="F1806" s="107" t="str">
        <f>IF(LEN(Table1722[[#This Row],[Uraian]])&gt;2,TRIM(RIGHT(SUBSTITUTE(TRIM(C1806)," ",REPT(" ",255)),255))," ")</f>
        <v xml:space="preserve"> </v>
      </c>
      <c r="G1806" s="110">
        <f>COPY!Z1798</f>
        <v>0</v>
      </c>
      <c r="H1806" s="111" t="str">
        <f>IFERROR(VLOOKUP(Table1722[[#This Row],[Bukti]],'Un nOTA'!$A$4:$K$5003,10,FALSE),"")</f>
        <v/>
      </c>
      <c r="I1806" s="112" t="str">
        <f>IFERROR(VLOOKUP(Table1722[[#This Row],[Bukti]],Table13[#Data],11,FALSE),"")</f>
        <v/>
      </c>
    </row>
    <row r="1807" spans="1:9" ht="19.5" hidden="1" customHeight="1" x14ac:dyDescent="0.2">
      <c r="A1807" s="105" t="str">
        <f>IF(D1807=1,COUNTIF($D$10:D1807,1)," ")</f>
        <v xml:space="preserve"> </v>
      </c>
      <c r="B1807" s="106">
        <f>COPY!AR1799</f>
        <v>0</v>
      </c>
      <c r="C1807" s="107">
        <f>COPY!AC1799</f>
        <v>0</v>
      </c>
      <c r="D1807" s="107" t="str">
        <f>IF(LEN(Table1722[[#This Row],[Uraian]])&gt;2,1," ")</f>
        <v xml:space="preserve"> </v>
      </c>
      <c r="E1807" s="113" t="str">
        <f>IF(Table1722[[#This Row],[Lawan Transaksi]]="CV AGUNG KARYA",COUNTIF($I$10:I1807,"CV AGUNG KARYA")," ")</f>
        <v xml:space="preserve"> </v>
      </c>
      <c r="F1807" s="107" t="str">
        <f>IF(LEN(Table1722[[#This Row],[Uraian]])&gt;2,TRIM(RIGHT(SUBSTITUTE(TRIM(C1807)," ",REPT(" ",255)),255))," ")</f>
        <v xml:space="preserve"> </v>
      </c>
      <c r="G1807" s="110">
        <f>COPY!Z1799</f>
        <v>0</v>
      </c>
      <c r="H1807" s="111" t="str">
        <f>IFERROR(VLOOKUP(Table1722[[#This Row],[Bukti]],'Un nOTA'!$A$4:$K$5003,10,FALSE),"")</f>
        <v/>
      </c>
      <c r="I1807" s="112" t="str">
        <f>IFERROR(VLOOKUP(Table1722[[#This Row],[Bukti]],Table13[#Data],11,FALSE),"")</f>
        <v/>
      </c>
    </row>
    <row r="1808" spans="1:9" ht="19.5" hidden="1" customHeight="1" x14ac:dyDescent="0.2">
      <c r="A1808" s="105" t="str">
        <f>IF(D1808=1,COUNTIF($D$10:D1808,1)," ")</f>
        <v xml:space="preserve"> </v>
      </c>
      <c r="B1808" s="106">
        <f>COPY!AR1800</f>
        <v>0</v>
      </c>
      <c r="C1808" s="107">
        <f>COPY!AC1800</f>
        <v>0</v>
      </c>
      <c r="D1808" s="107" t="str">
        <f>IF(LEN(Table1722[[#This Row],[Uraian]])&gt;2,1," ")</f>
        <v xml:space="preserve"> </v>
      </c>
      <c r="E1808" s="113" t="str">
        <f>IF(Table1722[[#This Row],[Lawan Transaksi]]="CV AGUNG KARYA",COUNTIF($I$10:I1808,"CV AGUNG KARYA")," ")</f>
        <v xml:space="preserve"> </v>
      </c>
      <c r="F1808" s="107" t="str">
        <f>IF(LEN(Table1722[[#This Row],[Uraian]])&gt;2,TRIM(RIGHT(SUBSTITUTE(TRIM(C1808)," ",REPT(" ",255)),255))," ")</f>
        <v xml:space="preserve"> </v>
      </c>
      <c r="G1808" s="110">
        <f>COPY!Z1800</f>
        <v>0</v>
      </c>
      <c r="H1808" s="111" t="str">
        <f>IFERROR(VLOOKUP(Table1722[[#This Row],[Bukti]],'Un nOTA'!$A$4:$K$5003,10,FALSE),"")</f>
        <v/>
      </c>
      <c r="I1808" s="112" t="str">
        <f>IFERROR(VLOOKUP(Table1722[[#This Row],[Bukti]],Table13[#Data],11,FALSE),"")</f>
        <v/>
      </c>
    </row>
    <row r="1809" spans="1:9" ht="19.5" hidden="1" customHeight="1" x14ac:dyDescent="0.2">
      <c r="A1809" s="105" t="str">
        <f>IF(D1809=1,COUNTIF($D$10:D1809,1)," ")</f>
        <v xml:space="preserve"> </v>
      </c>
      <c r="B1809" s="106">
        <f>COPY!AR1801</f>
        <v>0</v>
      </c>
      <c r="C1809" s="107">
        <f>COPY!AC1801</f>
        <v>0</v>
      </c>
      <c r="D1809" s="107" t="str">
        <f>IF(LEN(Table1722[[#This Row],[Uraian]])&gt;2,1," ")</f>
        <v xml:space="preserve"> </v>
      </c>
      <c r="E1809" s="113" t="str">
        <f>IF(Table1722[[#This Row],[Lawan Transaksi]]="CV AGUNG KARYA",COUNTIF($I$10:I1809,"CV AGUNG KARYA")," ")</f>
        <v xml:space="preserve"> </v>
      </c>
      <c r="F1809" s="107" t="str">
        <f>IF(LEN(Table1722[[#This Row],[Uraian]])&gt;2,TRIM(RIGHT(SUBSTITUTE(TRIM(C1809)," ",REPT(" ",255)),255))," ")</f>
        <v xml:space="preserve"> </v>
      </c>
      <c r="G1809" s="110">
        <f>COPY!Z1801</f>
        <v>0</v>
      </c>
      <c r="H1809" s="111" t="str">
        <f>IFERROR(VLOOKUP(Table1722[[#This Row],[Bukti]],'Un nOTA'!$A$4:$K$5003,10,FALSE),"")</f>
        <v/>
      </c>
      <c r="I1809" s="112" t="str">
        <f>IFERROR(VLOOKUP(Table1722[[#This Row],[Bukti]],Table13[#Data],11,FALSE),"")</f>
        <v/>
      </c>
    </row>
    <row r="1810" spans="1:9" ht="19.5" hidden="1" customHeight="1" x14ac:dyDescent="0.2">
      <c r="A1810" s="105" t="str">
        <f>IF(D1810=1,COUNTIF($D$10:D1810,1)," ")</f>
        <v xml:space="preserve"> </v>
      </c>
      <c r="B1810" s="106">
        <f>COPY!AR1802</f>
        <v>0</v>
      </c>
      <c r="C1810" s="107">
        <f>COPY!AC1802</f>
        <v>0</v>
      </c>
      <c r="D1810" s="107" t="str">
        <f>IF(LEN(Table1722[[#This Row],[Uraian]])&gt;2,1," ")</f>
        <v xml:space="preserve"> </v>
      </c>
      <c r="E1810" s="113" t="str">
        <f>IF(Table1722[[#This Row],[Lawan Transaksi]]="CV AGUNG KARYA",COUNTIF($I$10:I1810,"CV AGUNG KARYA")," ")</f>
        <v xml:space="preserve"> </v>
      </c>
      <c r="F1810" s="107" t="str">
        <f>IF(LEN(Table1722[[#This Row],[Uraian]])&gt;2,TRIM(RIGHT(SUBSTITUTE(TRIM(C1810)," ",REPT(" ",255)),255))," ")</f>
        <v xml:space="preserve"> </v>
      </c>
      <c r="G1810" s="110">
        <f>COPY!Z1802</f>
        <v>0</v>
      </c>
      <c r="H1810" s="111" t="str">
        <f>IFERROR(VLOOKUP(Table1722[[#This Row],[Bukti]],'Un nOTA'!$A$4:$K$5003,10,FALSE),"")</f>
        <v/>
      </c>
      <c r="I1810" s="112" t="str">
        <f>IFERROR(VLOOKUP(Table1722[[#This Row],[Bukti]],Table13[#Data],11,FALSE),"")</f>
        <v/>
      </c>
    </row>
    <row r="1811" spans="1:9" ht="19.5" hidden="1" customHeight="1" x14ac:dyDescent="0.2">
      <c r="A1811" s="105" t="str">
        <f>IF(D1811=1,COUNTIF($D$10:D1811,1)," ")</f>
        <v xml:space="preserve"> </v>
      </c>
      <c r="B1811" s="106">
        <f>COPY!AR1803</f>
        <v>0</v>
      </c>
      <c r="C1811" s="107">
        <f>COPY!AC1803</f>
        <v>0</v>
      </c>
      <c r="D1811" s="107" t="str">
        <f>IF(LEN(Table1722[[#This Row],[Uraian]])&gt;2,1," ")</f>
        <v xml:space="preserve"> </v>
      </c>
      <c r="E1811" s="113" t="str">
        <f>IF(Table1722[[#This Row],[Lawan Transaksi]]="CV AGUNG KARYA",COUNTIF($I$10:I1811,"CV AGUNG KARYA")," ")</f>
        <v xml:space="preserve"> </v>
      </c>
      <c r="F1811" s="107" t="str">
        <f>IF(LEN(Table1722[[#This Row],[Uraian]])&gt;2,TRIM(RIGHT(SUBSTITUTE(TRIM(C1811)," ",REPT(" ",255)),255))," ")</f>
        <v xml:space="preserve"> </v>
      </c>
      <c r="G1811" s="110">
        <f>COPY!Z1803</f>
        <v>0</v>
      </c>
      <c r="H1811" s="111" t="str">
        <f>IFERROR(VLOOKUP(Table1722[[#This Row],[Bukti]],'Un nOTA'!$A$4:$K$5003,10,FALSE),"")</f>
        <v/>
      </c>
      <c r="I1811" s="112" t="str">
        <f>IFERROR(VLOOKUP(Table1722[[#This Row],[Bukti]],Table13[#Data],11,FALSE),"")</f>
        <v/>
      </c>
    </row>
    <row r="1812" spans="1:9" ht="19.5" hidden="1" customHeight="1" x14ac:dyDescent="0.2">
      <c r="A1812" s="105" t="str">
        <f>IF(D1812=1,COUNTIF($D$10:D1812,1)," ")</f>
        <v xml:space="preserve"> </v>
      </c>
      <c r="B1812" s="106">
        <f>COPY!AR1804</f>
        <v>0</v>
      </c>
      <c r="C1812" s="107">
        <f>COPY!AC1804</f>
        <v>0</v>
      </c>
      <c r="D1812" s="107" t="str">
        <f>IF(LEN(Table1722[[#This Row],[Uraian]])&gt;2,1," ")</f>
        <v xml:space="preserve"> </v>
      </c>
      <c r="E1812" s="113" t="str">
        <f>IF(Table1722[[#This Row],[Lawan Transaksi]]="CV AGUNG KARYA",COUNTIF($I$10:I1812,"CV AGUNG KARYA")," ")</f>
        <v xml:space="preserve"> </v>
      </c>
      <c r="F1812" s="107" t="str">
        <f>IF(LEN(Table1722[[#This Row],[Uraian]])&gt;2,TRIM(RIGHT(SUBSTITUTE(TRIM(C1812)," ",REPT(" ",255)),255))," ")</f>
        <v xml:space="preserve"> </v>
      </c>
      <c r="G1812" s="110">
        <f>COPY!Z1804</f>
        <v>0</v>
      </c>
      <c r="H1812" s="111" t="str">
        <f>IFERROR(VLOOKUP(Table1722[[#This Row],[Bukti]],'Un nOTA'!$A$4:$K$5003,10,FALSE),"")</f>
        <v/>
      </c>
      <c r="I1812" s="112" t="str">
        <f>IFERROR(VLOOKUP(Table1722[[#This Row],[Bukti]],Table13[#Data],11,FALSE),"")</f>
        <v/>
      </c>
    </row>
    <row r="1813" spans="1:9" ht="19.5" hidden="1" customHeight="1" x14ac:dyDescent="0.2">
      <c r="A1813" s="105" t="str">
        <f>IF(D1813=1,COUNTIF($D$10:D1813,1)," ")</f>
        <v xml:space="preserve"> </v>
      </c>
      <c r="B1813" s="106">
        <f>COPY!AR1805</f>
        <v>0</v>
      </c>
      <c r="C1813" s="107">
        <f>COPY!AC1805</f>
        <v>0</v>
      </c>
      <c r="D1813" s="107" t="str">
        <f>IF(LEN(Table1722[[#This Row],[Uraian]])&gt;2,1," ")</f>
        <v xml:space="preserve"> </v>
      </c>
      <c r="E1813" s="113" t="str">
        <f>IF(Table1722[[#This Row],[Lawan Transaksi]]="CV AGUNG KARYA",COUNTIF($I$10:I1813,"CV AGUNG KARYA")," ")</f>
        <v xml:space="preserve"> </v>
      </c>
      <c r="F1813" s="107" t="str">
        <f>IF(LEN(Table1722[[#This Row],[Uraian]])&gt;2,TRIM(RIGHT(SUBSTITUTE(TRIM(C1813)," ",REPT(" ",255)),255))," ")</f>
        <v xml:space="preserve"> </v>
      </c>
      <c r="G1813" s="110">
        <f>COPY!Z1805</f>
        <v>0</v>
      </c>
      <c r="H1813" s="111" t="str">
        <f>IFERROR(VLOOKUP(Table1722[[#This Row],[Bukti]],'Un nOTA'!$A$4:$K$5003,10,FALSE),"")</f>
        <v/>
      </c>
      <c r="I1813" s="112" t="str">
        <f>IFERROR(VLOOKUP(Table1722[[#This Row],[Bukti]],Table13[#Data],11,FALSE),"")</f>
        <v/>
      </c>
    </row>
    <row r="1814" spans="1:9" ht="19.5" hidden="1" customHeight="1" x14ac:dyDescent="0.2">
      <c r="A1814" s="105" t="str">
        <f>IF(D1814=1,COUNTIF($D$10:D1814,1)," ")</f>
        <v xml:space="preserve"> </v>
      </c>
      <c r="B1814" s="106">
        <f>COPY!AR1806</f>
        <v>0</v>
      </c>
      <c r="C1814" s="107">
        <f>COPY!AC1806</f>
        <v>0</v>
      </c>
      <c r="D1814" s="107" t="str">
        <f>IF(LEN(Table1722[[#This Row],[Uraian]])&gt;2,1," ")</f>
        <v xml:space="preserve"> </v>
      </c>
      <c r="E1814" s="113" t="str">
        <f>IF(Table1722[[#This Row],[Lawan Transaksi]]="CV AGUNG KARYA",COUNTIF($I$10:I1814,"CV AGUNG KARYA")," ")</f>
        <v xml:space="preserve"> </v>
      </c>
      <c r="F1814" s="107" t="str">
        <f>IF(LEN(Table1722[[#This Row],[Uraian]])&gt;2,TRIM(RIGHT(SUBSTITUTE(TRIM(C1814)," ",REPT(" ",255)),255))," ")</f>
        <v xml:space="preserve"> </v>
      </c>
      <c r="G1814" s="110">
        <f>COPY!Z1806</f>
        <v>0</v>
      </c>
      <c r="H1814" s="111" t="str">
        <f>IFERROR(VLOOKUP(Table1722[[#This Row],[Bukti]],'Un nOTA'!$A$4:$K$5003,10,FALSE),"")</f>
        <v/>
      </c>
      <c r="I1814" s="112" t="str">
        <f>IFERROR(VLOOKUP(Table1722[[#This Row],[Bukti]],Table13[#Data],11,FALSE),"")</f>
        <v/>
      </c>
    </row>
    <row r="1815" spans="1:9" ht="19.5" hidden="1" customHeight="1" x14ac:dyDescent="0.2">
      <c r="A1815" s="105" t="str">
        <f>IF(D1815=1,COUNTIF($D$10:D1815,1)," ")</f>
        <v xml:space="preserve"> </v>
      </c>
      <c r="B1815" s="106">
        <f>COPY!AR1807</f>
        <v>0</v>
      </c>
      <c r="C1815" s="107">
        <f>COPY!AC1807</f>
        <v>0</v>
      </c>
      <c r="D1815" s="107" t="str">
        <f>IF(LEN(Table1722[[#This Row],[Uraian]])&gt;2,1," ")</f>
        <v xml:space="preserve"> </v>
      </c>
      <c r="E1815" s="113" t="str">
        <f>IF(Table1722[[#This Row],[Lawan Transaksi]]="CV AGUNG KARYA",COUNTIF($I$10:I1815,"CV AGUNG KARYA")," ")</f>
        <v xml:space="preserve"> </v>
      </c>
      <c r="F1815" s="107" t="str">
        <f>IF(LEN(Table1722[[#This Row],[Uraian]])&gt;2,TRIM(RIGHT(SUBSTITUTE(TRIM(C1815)," ",REPT(" ",255)),255))," ")</f>
        <v xml:space="preserve"> </v>
      </c>
      <c r="G1815" s="110">
        <f>COPY!Z1807</f>
        <v>0</v>
      </c>
      <c r="H1815" s="111" t="str">
        <f>IFERROR(VLOOKUP(Table1722[[#This Row],[Bukti]],'Un nOTA'!$A$4:$K$5003,10,FALSE),"")</f>
        <v/>
      </c>
      <c r="I1815" s="112" t="str">
        <f>IFERROR(VLOOKUP(Table1722[[#This Row],[Bukti]],Table13[#Data],11,FALSE),"")</f>
        <v/>
      </c>
    </row>
    <row r="1816" spans="1:9" ht="19.5" hidden="1" customHeight="1" x14ac:dyDescent="0.2">
      <c r="A1816" s="105" t="str">
        <f>IF(D1816=1,COUNTIF($D$10:D1816,1)," ")</f>
        <v xml:space="preserve"> </v>
      </c>
      <c r="B1816" s="106">
        <f>COPY!AR1808</f>
        <v>0</v>
      </c>
      <c r="C1816" s="107">
        <f>COPY!AC1808</f>
        <v>0</v>
      </c>
      <c r="D1816" s="107" t="str">
        <f>IF(LEN(Table1722[[#This Row],[Uraian]])&gt;2,1," ")</f>
        <v xml:space="preserve"> </v>
      </c>
      <c r="E1816" s="113" t="str">
        <f>IF(Table1722[[#This Row],[Lawan Transaksi]]="CV AGUNG KARYA",COUNTIF($I$10:I1816,"CV AGUNG KARYA")," ")</f>
        <v xml:space="preserve"> </v>
      </c>
      <c r="F1816" s="107" t="str">
        <f>IF(LEN(Table1722[[#This Row],[Uraian]])&gt;2,TRIM(RIGHT(SUBSTITUTE(TRIM(C1816)," ",REPT(" ",255)),255))," ")</f>
        <v xml:space="preserve"> </v>
      </c>
      <c r="G1816" s="110">
        <f>COPY!Z1808</f>
        <v>0</v>
      </c>
      <c r="H1816" s="111" t="str">
        <f>IFERROR(VLOOKUP(Table1722[[#This Row],[Bukti]],'Un nOTA'!$A$4:$K$5003,10,FALSE),"")</f>
        <v/>
      </c>
      <c r="I1816" s="112" t="str">
        <f>IFERROR(VLOOKUP(Table1722[[#This Row],[Bukti]],Table13[#Data],11,FALSE),"")</f>
        <v/>
      </c>
    </row>
    <row r="1817" spans="1:9" ht="19.5" hidden="1" customHeight="1" x14ac:dyDescent="0.2">
      <c r="A1817" s="105" t="str">
        <f>IF(D1817=1,COUNTIF($D$10:D1817,1)," ")</f>
        <v xml:space="preserve"> </v>
      </c>
      <c r="B1817" s="106">
        <f>COPY!AR1809</f>
        <v>0</v>
      </c>
      <c r="C1817" s="107">
        <f>COPY!AC1809</f>
        <v>0</v>
      </c>
      <c r="D1817" s="107" t="str">
        <f>IF(LEN(Table1722[[#This Row],[Uraian]])&gt;2,1," ")</f>
        <v xml:space="preserve"> </v>
      </c>
      <c r="E1817" s="113" t="str">
        <f>IF(Table1722[[#This Row],[Lawan Transaksi]]="CV AGUNG KARYA",COUNTIF($I$10:I1817,"CV AGUNG KARYA")," ")</f>
        <v xml:space="preserve"> </v>
      </c>
      <c r="F1817" s="107" t="str">
        <f>IF(LEN(Table1722[[#This Row],[Uraian]])&gt;2,TRIM(RIGHT(SUBSTITUTE(TRIM(C1817)," ",REPT(" ",255)),255))," ")</f>
        <v xml:space="preserve"> </v>
      </c>
      <c r="G1817" s="110">
        <f>COPY!Z1809</f>
        <v>0</v>
      </c>
      <c r="H1817" s="111" t="str">
        <f>IFERROR(VLOOKUP(Table1722[[#This Row],[Bukti]],'Un nOTA'!$A$4:$K$5003,10,FALSE),"")</f>
        <v/>
      </c>
      <c r="I1817" s="112" t="str">
        <f>IFERROR(VLOOKUP(Table1722[[#This Row],[Bukti]],Table13[#Data],11,FALSE),"")</f>
        <v/>
      </c>
    </row>
    <row r="1818" spans="1:9" ht="19.5" hidden="1" customHeight="1" x14ac:dyDescent="0.2">
      <c r="A1818" s="105" t="str">
        <f>IF(D1818=1,COUNTIF($D$10:D1818,1)," ")</f>
        <v xml:space="preserve"> </v>
      </c>
      <c r="B1818" s="106">
        <f>COPY!AR1810</f>
        <v>0</v>
      </c>
      <c r="C1818" s="107">
        <f>COPY!AC1810</f>
        <v>0</v>
      </c>
      <c r="D1818" s="107" t="str">
        <f>IF(LEN(Table1722[[#This Row],[Uraian]])&gt;2,1," ")</f>
        <v xml:space="preserve"> </v>
      </c>
      <c r="E1818" s="113" t="str">
        <f>IF(Table1722[[#This Row],[Lawan Transaksi]]="CV AGUNG KARYA",COUNTIF($I$10:I1818,"CV AGUNG KARYA")," ")</f>
        <v xml:space="preserve"> </v>
      </c>
      <c r="F1818" s="107" t="str">
        <f>IF(LEN(Table1722[[#This Row],[Uraian]])&gt;2,TRIM(RIGHT(SUBSTITUTE(TRIM(C1818)," ",REPT(" ",255)),255))," ")</f>
        <v xml:space="preserve"> </v>
      </c>
      <c r="G1818" s="110">
        <f>COPY!Z1810</f>
        <v>0</v>
      </c>
      <c r="H1818" s="111" t="str">
        <f>IFERROR(VLOOKUP(Table1722[[#This Row],[Bukti]],'Un nOTA'!$A$4:$K$5003,10,FALSE),"")</f>
        <v/>
      </c>
      <c r="I1818" s="112" t="str">
        <f>IFERROR(VLOOKUP(Table1722[[#This Row],[Bukti]],Table13[#Data],11,FALSE),"")</f>
        <v/>
      </c>
    </row>
    <row r="1819" spans="1:9" ht="19.5" hidden="1" customHeight="1" x14ac:dyDescent="0.2">
      <c r="A1819" s="105" t="str">
        <f>IF(D1819=1,COUNTIF($D$10:D1819,1)," ")</f>
        <v xml:space="preserve"> </v>
      </c>
      <c r="B1819" s="106">
        <f>COPY!AR1811</f>
        <v>0</v>
      </c>
      <c r="C1819" s="107">
        <f>COPY!AC1811</f>
        <v>0</v>
      </c>
      <c r="D1819" s="107" t="str">
        <f>IF(LEN(Table1722[[#This Row],[Uraian]])&gt;2,1," ")</f>
        <v xml:space="preserve"> </v>
      </c>
      <c r="E1819" s="113" t="str">
        <f>IF(Table1722[[#This Row],[Lawan Transaksi]]="CV AGUNG KARYA",COUNTIF($I$10:I1819,"CV AGUNG KARYA")," ")</f>
        <v xml:space="preserve"> </v>
      </c>
      <c r="F1819" s="107" t="str">
        <f>IF(LEN(Table1722[[#This Row],[Uraian]])&gt;2,TRIM(RIGHT(SUBSTITUTE(TRIM(C1819)," ",REPT(" ",255)),255))," ")</f>
        <v xml:space="preserve"> </v>
      </c>
      <c r="G1819" s="110">
        <f>COPY!Z1811</f>
        <v>0</v>
      </c>
      <c r="H1819" s="111" t="str">
        <f>IFERROR(VLOOKUP(Table1722[[#This Row],[Bukti]],'Un nOTA'!$A$4:$K$5003,10,FALSE),"")</f>
        <v/>
      </c>
      <c r="I1819" s="112" t="str">
        <f>IFERROR(VLOOKUP(Table1722[[#This Row],[Bukti]],Table13[#Data],11,FALSE),"")</f>
        <v/>
      </c>
    </row>
    <row r="1820" spans="1:9" ht="19.5" hidden="1" customHeight="1" x14ac:dyDescent="0.2">
      <c r="A1820" s="105" t="str">
        <f>IF(D1820=1,COUNTIF($D$10:D1820,1)," ")</f>
        <v xml:space="preserve"> </v>
      </c>
      <c r="B1820" s="106">
        <f>COPY!AR1812</f>
        <v>0</v>
      </c>
      <c r="C1820" s="107">
        <f>COPY!AC1812</f>
        <v>0</v>
      </c>
      <c r="D1820" s="107" t="str">
        <f>IF(LEN(Table1722[[#This Row],[Uraian]])&gt;2,1," ")</f>
        <v xml:space="preserve"> </v>
      </c>
      <c r="E1820" s="113" t="str">
        <f>IF(Table1722[[#This Row],[Lawan Transaksi]]="CV AGUNG KARYA",COUNTIF($I$10:I1820,"CV AGUNG KARYA")," ")</f>
        <v xml:space="preserve"> </v>
      </c>
      <c r="F1820" s="107" t="str">
        <f>IF(LEN(Table1722[[#This Row],[Uraian]])&gt;2,TRIM(RIGHT(SUBSTITUTE(TRIM(C1820)," ",REPT(" ",255)),255))," ")</f>
        <v xml:space="preserve"> </v>
      </c>
      <c r="G1820" s="110">
        <f>COPY!Z1812</f>
        <v>0</v>
      </c>
      <c r="H1820" s="111" t="str">
        <f>IFERROR(VLOOKUP(Table1722[[#This Row],[Bukti]],'Un nOTA'!$A$4:$K$5003,10,FALSE),"")</f>
        <v/>
      </c>
      <c r="I1820" s="112" t="str">
        <f>IFERROR(VLOOKUP(Table1722[[#This Row],[Bukti]],Table13[#Data],11,FALSE),"")</f>
        <v/>
      </c>
    </row>
    <row r="1821" spans="1:9" ht="19.5" hidden="1" customHeight="1" x14ac:dyDescent="0.2">
      <c r="A1821" s="105" t="str">
        <f>IF(D1821=1,COUNTIF($D$10:D1821,1)," ")</f>
        <v xml:space="preserve"> </v>
      </c>
      <c r="B1821" s="106">
        <f>COPY!AR1813</f>
        <v>0</v>
      </c>
      <c r="C1821" s="107">
        <f>COPY!AC1813</f>
        <v>0</v>
      </c>
      <c r="D1821" s="107" t="str">
        <f>IF(LEN(Table1722[[#This Row],[Uraian]])&gt;2,1," ")</f>
        <v xml:space="preserve"> </v>
      </c>
      <c r="E1821" s="113" t="str">
        <f>IF(Table1722[[#This Row],[Lawan Transaksi]]="CV AGUNG KARYA",COUNTIF($I$10:I1821,"CV AGUNG KARYA")," ")</f>
        <v xml:space="preserve"> </v>
      </c>
      <c r="F1821" s="107" t="str">
        <f>IF(LEN(Table1722[[#This Row],[Uraian]])&gt;2,TRIM(RIGHT(SUBSTITUTE(TRIM(C1821)," ",REPT(" ",255)),255))," ")</f>
        <v xml:space="preserve"> </v>
      </c>
      <c r="G1821" s="110">
        <f>COPY!Z1813</f>
        <v>0</v>
      </c>
      <c r="H1821" s="111" t="str">
        <f>IFERROR(VLOOKUP(Table1722[[#This Row],[Bukti]],'Un nOTA'!$A$4:$K$5003,10,FALSE),"")</f>
        <v/>
      </c>
      <c r="I1821" s="112" t="str">
        <f>IFERROR(VLOOKUP(Table1722[[#This Row],[Bukti]],Table13[#Data],11,FALSE),"")</f>
        <v/>
      </c>
    </row>
    <row r="1822" spans="1:9" ht="19.5" hidden="1" customHeight="1" x14ac:dyDescent="0.2">
      <c r="A1822" s="105" t="str">
        <f>IF(D1822=1,COUNTIF($D$10:D1822,1)," ")</f>
        <v xml:space="preserve"> </v>
      </c>
      <c r="B1822" s="106">
        <f>COPY!AR1814</f>
        <v>0</v>
      </c>
      <c r="C1822" s="107">
        <f>COPY!AC1814</f>
        <v>0</v>
      </c>
      <c r="D1822" s="107" t="str">
        <f>IF(LEN(Table1722[[#This Row],[Uraian]])&gt;2,1," ")</f>
        <v xml:space="preserve"> </v>
      </c>
      <c r="E1822" s="113" t="str">
        <f>IF(Table1722[[#This Row],[Lawan Transaksi]]="CV AGUNG KARYA",COUNTIF($I$10:I1822,"CV AGUNG KARYA")," ")</f>
        <v xml:space="preserve"> </v>
      </c>
      <c r="F1822" s="107" t="str">
        <f>IF(LEN(Table1722[[#This Row],[Uraian]])&gt;2,TRIM(RIGHT(SUBSTITUTE(TRIM(C1822)," ",REPT(" ",255)),255))," ")</f>
        <v xml:space="preserve"> </v>
      </c>
      <c r="G1822" s="110">
        <f>COPY!Z1814</f>
        <v>0</v>
      </c>
      <c r="H1822" s="111" t="str">
        <f>IFERROR(VLOOKUP(Table1722[[#This Row],[Bukti]],'Un nOTA'!$A$4:$K$5003,10,FALSE),"")</f>
        <v/>
      </c>
      <c r="I1822" s="112" t="str">
        <f>IFERROR(VLOOKUP(Table1722[[#This Row],[Bukti]],Table13[#Data],11,FALSE),"")</f>
        <v/>
      </c>
    </row>
    <row r="1823" spans="1:9" ht="19.5" hidden="1" customHeight="1" x14ac:dyDescent="0.2">
      <c r="A1823" s="105" t="str">
        <f>IF(D1823=1,COUNTIF($D$10:D1823,1)," ")</f>
        <v xml:space="preserve"> </v>
      </c>
      <c r="B1823" s="106">
        <f>COPY!AR1815</f>
        <v>0</v>
      </c>
      <c r="C1823" s="107">
        <f>COPY!AC1815</f>
        <v>0</v>
      </c>
      <c r="D1823" s="107" t="str">
        <f>IF(LEN(Table1722[[#This Row],[Uraian]])&gt;2,1," ")</f>
        <v xml:space="preserve"> </v>
      </c>
      <c r="E1823" s="113" t="str">
        <f>IF(Table1722[[#This Row],[Lawan Transaksi]]="CV AGUNG KARYA",COUNTIF($I$10:I1823,"CV AGUNG KARYA")," ")</f>
        <v xml:space="preserve"> </v>
      </c>
      <c r="F1823" s="107" t="str">
        <f>IF(LEN(Table1722[[#This Row],[Uraian]])&gt;2,TRIM(RIGHT(SUBSTITUTE(TRIM(C1823)," ",REPT(" ",255)),255))," ")</f>
        <v xml:space="preserve"> </v>
      </c>
      <c r="G1823" s="110">
        <f>COPY!Z1815</f>
        <v>0</v>
      </c>
      <c r="H1823" s="111" t="str">
        <f>IFERROR(VLOOKUP(Table1722[[#This Row],[Bukti]],'Un nOTA'!$A$4:$K$5003,10,FALSE),"")</f>
        <v/>
      </c>
      <c r="I1823" s="112" t="str">
        <f>IFERROR(VLOOKUP(Table1722[[#This Row],[Bukti]],Table13[#Data],11,FALSE),"")</f>
        <v/>
      </c>
    </row>
    <row r="1824" spans="1:9" ht="19.5" hidden="1" customHeight="1" x14ac:dyDescent="0.2">
      <c r="A1824" s="105" t="str">
        <f>IF(D1824=1,COUNTIF($D$10:D1824,1)," ")</f>
        <v xml:space="preserve"> </v>
      </c>
      <c r="B1824" s="106">
        <f>COPY!AR1816</f>
        <v>0</v>
      </c>
      <c r="C1824" s="107">
        <f>COPY!AC1816</f>
        <v>0</v>
      </c>
      <c r="D1824" s="107" t="str">
        <f>IF(LEN(Table1722[[#This Row],[Uraian]])&gt;2,1," ")</f>
        <v xml:space="preserve"> </v>
      </c>
      <c r="E1824" s="113" t="str">
        <f>IF(Table1722[[#This Row],[Lawan Transaksi]]="CV AGUNG KARYA",COUNTIF($I$10:I1824,"CV AGUNG KARYA")," ")</f>
        <v xml:space="preserve"> </v>
      </c>
      <c r="F1824" s="107" t="str">
        <f>IF(LEN(Table1722[[#This Row],[Uraian]])&gt;2,TRIM(RIGHT(SUBSTITUTE(TRIM(C1824)," ",REPT(" ",255)),255))," ")</f>
        <v xml:space="preserve"> </v>
      </c>
      <c r="G1824" s="110">
        <f>COPY!Z1816</f>
        <v>0</v>
      </c>
      <c r="H1824" s="111" t="str">
        <f>IFERROR(VLOOKUP(Table1722[[#This Row],[Bukti]],'Un nOTA'!$A$4:$K$5003,10,FALSE),"")</f>
        <v/>
      </c>
      <c r="I1824" s="112" t="str">
        <f>IFERROR(VLOOKUP(Table1722[[#This Row],[Bukti]],Table13[#Data],11,FALSE),"")</f>
        <v/>
      </c>
    </row>
    <row r="1825" spans="1:9" ht="19.5" hidden="1" customHeight="1" x14ac:dyDescent="0.2">
      <c r="A1825" s="105" t="str">
        <f>IF(D1825=1,COUNTIF($D$10:D1825,1)," ")</f>
        <v xml:space="preserve"> </v>
      </c>
      <c r="B1825" s="106">
        <f>COPY!AR1817</f>
        <v>0</v>
      </c>
      <c r="C1825" s="107">
        <f>COPY!AC1817</f>
        <v>0</v>
      </c>
      <c r="D1825" s="107" t="str">
        <f>IF(LEN(Table1722[[#This Row],[Uraian]])&gt;2,1," ")</f>
        <v xml:space="preserve"> </v>
      </c>
      <c r="E1825" s="113" t="str">
        <f>IF(Table1722[[#This Row],[Lawan Transaksi]]="CV AGUNG KARYA",COUNTIF($I$10:I1825,"CV AGUNG KARYA")," ")</f>
        <v xml:space="preserve"> </v>
      </c>
      <c r="F1825" s="107" t="str">
        <f>IF(LEN(Table1722[[#This Row],[Uraian]])&gt;2,TRIM(RIGHT(SUBSTITUTE(TRIM(C1825)," ",REPT(" ",255)),255))," ")</f>
        <v xml:space="preserve"> </v>
      </c>
      <c r="G1825" s="110">
        <f>COPY!Z1817</f>
        <v>0</v>
      </c>
      <c r="H1825" s="111" t="str">
        <f>IFERROR(VLOOKUP(Table1722[[#This Row],[Bukti]],'Un nOTA'!$A$4:$K$5003,10,FALSE),"")</f>
        <v/>
      </c>
      <c r="I1825" s="112" t="str">
        <f>IFERROR(VLOOKUP(Table1722[[#This Row],[Bukti]],Table13[#Data],11,FALSE),"")</f>
        <v/>
      </c>
    </row>
    <row r="1826" spans="1:9" ht="19.5" hidden="1" customHeight="1" x14ac:dyDescent="0.2">
      <c r="A1826" s="105" t="str">
        <f>IF(D1826=1,COUNTIF($D$10:D1826,1)," ")</f>
        <v xml:space="preserve"> </v>
      </c>
      <c r="B1826" s="106">
        <f>COPY!AR1818</f>
        <v>0</v>
      </c>
      <c r="C1826" s="107">
        <f>COPY!AC1818</f>
        <v>0</v>
      </c>
      <c r="D1826" s="107" t="str">
        <f>IF(LEN(Table1722[[#This Row],[Uraian]])&gt;2,1," ")</f>
        <v xml:space="preserve"> </v>
      </c>
      <c r="E1826" s="113" t="str">
        <f>IF(Table1722[[#This Row],[Lawan Transaksi]]="CV AGUNG KARYA",COUNTIF($I$10:I1826,"CV AGUNG KARYA")," ")</f>
        <v xml:space="preserve"> </v>
      </c>
      <c r="F1826" s="107" t="str">
        <f>IF(LEN(Table1722[[#This Row],[Uraian]])&gt;2,TRIM(RIGHT(SUBSTITUTE(TRIM(C1826)," ",REPT(" ",255)),255))," ")</f>
        <v xml:space="preserve"> </v>
      </c>
      <c r="G1826" s="110">
        <f>COPY!Z1818</f>
        <v>0</v>
      </c>
      <c r="H1826" s="111" t="str">
        <f>IFERROR(VLOOKUP(Table1722[[#This Row],[Bukti]],'Un nOTA'!$A$4:$K$5003,10,FALSE),"")</f>
        <v/>
      </c>
      <c r="I1826" s="112" t="str">
        <f>IFERROR(VLOOKUP(Table1722[[#This Row],[Bukti]],Table13[#Data],11,FALSE),"")</f>
        <v/>
      </c>
    </row>
    <row r="1827" spans="1:9" ht="19.5" hidden="1" customHeight="1" x14ac:dyDescent="0.2">
      <c r="A1827" s="105" t="str">
        <f>IF(D1827=1,COUNTIF($D$10:D1827,1)," ")</f>
        <v xml:space="preserve"> </v>
      </c>
      <c r="B1827" s="106">
        <f>COPY!AR1819</f>
        <v>0</v>
      </c>
      <c r="C1827" s="107">
        <f>COPY!AC1819</f>
        <v>0</v>
      </c>
      <c r="D1827" s="107" t="str">
        <f>IF(LEN(Table1722[[#This Row],[Uraian]])&gt;2,1," ")</f>
        <v xml:space="preserve"> </v>
      </c>
      <c r="E1827" s="113" t="str">
        <f>IF(Table1722[[#This Row],[Lawan Transaksi]]="CV AGUNG KARYA",COUNTIF($I$10:I1827,"CV AGUNG KARYA")," ")</f>
        <v xml:space="preserve"> </v>
      </c>
      <c r="F1827" s="107" t="str">
        <f>IF(LEN(Table1722[[#This Row],[Uraian]])&gt;2,TRIM(RIGHT(SUBSTITUTE(TRIM(C1827)," ",REPT(" ",255)),255))," ")</f>
        <v xml:space="preserve"> </v>
      </c>
      <c r="G1827" s="110">
        <f>COPY!Z1819</f>
        <v>0</v>
      </c>
      <c r="H1827" s="111" t="str">
        <f>IFERROR(VLOOKUP(Table1722[[#This Row],[Bukti]],'Un nOTA'!$A$4:$K$5003,10,FALSE),"")</f>
        <v/>
      </c>
      <c r="I1827" s="112" t="str">
        <f>IFERROR(VLOOKUP(Table1722[[#This Row],[Bukti]],Table13[#Data],11,FALSE),"")</f>
        <v/>
      </c>
    </row>
    <row r="1828" spans="1:9" ht="19.5" hidden="1" customHeight="1" x14ac:dyDescent="0.2">
      <c r="A1828" s="105" t="str">
        <f>IF(D1828=1,COUNTIF($D$10:D1828,1)," ")</f>
        <v xml:space="preserve"> </v>
      </c>
      <c r="B1828" s="106">
        <f>COPY!AR1820</f>
        <v>0</v>
      </c>
      <c r="C1828" s="107">
        <f>COPY!AC1820</f>
        <v>0</v>
      </c>
      <c r="D1828" s="107" t="str">
        <f>IF(LEN(Table1722[[#This Row],[Uraian]])&gt;2,1," ")</f>
        <v xml:space="preserve"> </v>
      </c>
      <c r="E1828" s="113" t="str">
        <f>IF(Table1722[[#This Row],[Lawan Transaksi]]="CV AGUNG KARYA",COUNTIF($I$10:I1828,"CV AGUNG KARYA")," ")</f>
        <v xml:space="preserve"> </v>
      </c>
      <c r="F1828" s="107" t="str">
        <f>IF(LEN(Table1722[[#This Row],[Uraian]])&gt;2,TRIM(RIGHT(SUBSTITUTE(TRIM(C1828)," ",REPT(" ",255)),255))," ")</f>
        <v xml:space="preserve"> </v>
      </c>
      <c r="G1828" s="110">
        <f>COPY!Z1820</f>
        <v>0</v>
      </c>
      <c r="H1828" s="111" t="str">
        <f>IFERROR(VLOOKUP(Table1722[[#This Row],[Bukti]],'Un nOTA'!$A$4:$K$5003,10,FALSE),"")</f>
        <v/>
      </c>
      <c r="I1828" s="112" t="str">
        <f>IFERROR(VLOOKUP(Table1722[[#This Row],[Bukti]],Table13[#Data],11,FALSE),"")</f>
        <v/>
      </c>
    </row>
    <row r="1829" spans="1:9" ht="19.5" hidden="1" customHeight="1" x14ac:dyDescent="0.2">
      <c r="A1829" s="105" t="str">
        <f>IF(D1829=1,COUNTIF($D$10:D1829,1)," ")</f>
        <v xml:space="preserve"> </v>
      </c>
      <c r="B1829" s="106">
        <f>COPY!AR1821</f>
        <v>0</v>
      </c>
      <c r="C1829" s="107">
        <f>COPY!AC1821</f>
        <v>0</v>
      </c>
      <c r="D1829" s="107" t="str">
        <f>IF(LEN(Table1722[[#This Row],[Uraian]])&gt;2,1," ")</f>
        <v xml:space="preserve"> </v>
      </c>
      <c r="E1829" s="113" t="str">
        <f>IF(Table1722[[#This Row],[Lawan Transaksi]]="CV AGUNG KARYA",COUNTIF($I$10:I1829,"CV AGUNG KARYA")," ")</f>
        <v xml:space="preserve"> </v>
      </c>
      <c r="F1829" s="107" t="str">
        <f>IF(LEN(Table1722[[#This Row],[Uraian]])&gt;2,TRIM(RIGHT(SUBSTITUTE(TRIM(C1829)," ",REPT(" ",255)),255))," ")</f>
        <v xml:space="preserve"> </v>
      </c>
      <c r="G1829" s="110">
        <f>COPY!Z1821</f>
        <v>0</v>
      </c>
      <c r="H1829" s="111" t="str">
        <f>IFERROR(VLOOKUP(Table1722[[#This Row],[Bukti]],'Un nOTA'!$A$4:$K$5003,10,FALSE),"")</f>
        <v/>
      </c>
      <c r="I1829" s="112" t="str">
        <f>IFERROR(VLOOKUP(Table1722[[#This Row],[Bukti]],Table13[#Data],11,FALSE),"")</f>
        <v/>
      </c>
    </row>
    <row r="1830" spans="1:9" ht="19.5" hidden="1" customHeight="1" x14ac:dyDescent="0.2">
      <c r="A1830" s="105" t="str">
        <f>IF(D1830=1,COUNTIF($D$10:D1830,1)," ")</f>
        <v xml:space="preserve"> </v>
      </c>
      <c r="B1830" s="106">
        <f>COPY!AR1822</f>
        <v>0</v>
      </c>
      <c r="C1830" s="107">
        <f>COPY!AC1822</f>
        <v>0</v>
      </c>
      <c r="D1830" s="107" t="str">
        <f>IF(LEN(Table1722[[#This Row],[Uraian]])&gt;2,1," ")</f>
        <v xml:space="preserve"> </v>
      </c>
      <c r="E1830" s="113" t="str">
        <f>IF(Table1722[[#This Row],[Lawan Transaksi]]="CV AGUNG KARYA",COUNTIF($I$10:I1830,"CV AGUNG KARYA")," ")</f>
        <v xml:space="preserve"> </v>
      </c>
      <c r="F1830" s="107" t="str">
        <f>IF(LEN(Table1722[[#This Row],[Uraian]])&gt;2,TRIM(RIGHT(SUBSTITUTE(TRIM(C1830)," ",REPT(" ",255)),255))," ")</f>
        <v xml:space="preserve"> </v>
      </c>
      <c r="G1830" s="110">
        <f>COPY!Z1822</f>
        <v>0</v>
      </c>
      <c r="H1830" s="111" t="str">
        <f>IFERROR(VLOOKUP(Table1722[[#This Row],[Bukti]],'Un nOTA'!$A$4:$K$5003,10,FALSE),"")</f>
        <v/>
      </c>
      <c r="I1830" s="112" t="str">
        <f>IFERROR(VLOOKUP(Table1722[[#This Row],[Bukti]],Table13[#Data],11,FALSE),"")</f>
        <v/>
      </c>
    </row>
    <row r="1831" spans="1:9" ht="19.5" hidden="1" customHeight="1" x14ac:dyDescent="0.2">
      <c r="A1831" s="105" t="str">
        <f>IF(D1831=1,COUNTIF($D$10:D1831,1)," ")</f>
        <v xml:space="preserve"> </v>
      </c>
      <c r="B1831" s="106">
        <f>COPY!AR1823</f>
        <v>0</v>
      </c>
      <c r="C1831" s="107">
        <f>COPY!AC1823</f>
        <v>0</v>
      </c>
      <c r="D1831" s="107" t="str">
        <f>IF(LEN(Table1722[[#This Row],[Uraian]])&gt;2,1," ")</f>
        <v xml:space="preserve"> </v>
      </c>
      <c r="E1831" s="113" t="str">
        <f>IF(Table1722[[#This Row],[Lawan Transaksi]]="CV AGUNG KARYA",COUNTIF($I$10:I1831,"CV AGUNG KARYA")," ")</f>
        <v xml:space="preserve"> </v>
      </c>
      <c r="F1831" s="107" t="str">
        <f>IF(LEN(Table1722[[#This Row],[Uraian]])&gt;2,TRIM(RIGHT(SUBSTITUTE(TRIM(C1831)," ",REPT(" ",255)),255))," ")</f>
        <v xml:space="preserve"> </v>
      </c>
      <c r="G1831" s="110">
        <f>COPY!Z1823</f>
        <v>0</v>
      </c>
      <c r="H1831" s="111" t="str">
        <f>IFERROR(VLOOKUP(Table1722[[#This Row],[Bukti]],'Un nOTA'!$A$4:$K$5003,10,FALSE),"")</f>
        <v/>
      </c>
      <c r="I1831" s="112" t="str">
        <f>IFERROR(VLOOKUP(Table1722[[#This Row],[Bukti]],Table13[#Data],11,FALSE),"")</f>
        <v/>
      </c>
    </row>
    <row r="1832" spans="1:9" ht="19.5" hidden="1" customHeight="1" x14ac:dyDescent="0.2">
      <c r="A1832" s="105" t="str">
        <f>IF(D1832=1,COUNTIF($D$10:D1832,1)," ")</f>
        <v xml:space="preserve"> </v>
      </c>
      <c r="B1832" s="106">
        <f>COPY!AR1824</f>
        <v>0</v>
      </c>
      <c r="C1832" s="107">
        <f>COPY!AC1824</f>
        <v>0</v>
      </c>
      <c r="D1832" s="107" t="str">
        <f>IF(LEN(Table1722[[#This Row],[Uraian]])&gt;2,1," ")</f>
        <v xml:space="preserve"> </v>
      </c>
      <c r="E1832" s="113" t="str">
        <f>IF(Table1722[[#This Row],[Lawan Transaksi]]="CV AGUNG KARYA",COUNTIF($I$10:I1832,"CV AGUNG KARYA")," ")</f>
        <v xml:space="preserve"> </v>
      </c>
      <c r="F1832" s="107" t="str">
        <f>IF(LEN(Table1722[[#This Row],[Uraian]])&gt;2,TRIM(RIGHT(SUBSTITUTE(TRIM(C1832)," ",REPT(" ",255)),255))," ")</f>
        <v xml:space="preserve"> </v>
      </c>
      <c r="G1832" s="110">
        <f>COPY!Z1824</f>
        <v>0</v>
      </c>
      <c r="H1832" s="111" t="str">
        <f>IFERROR(VLOOKUP(Table1722[[#This Row],[Bukti]],'Un nOTA'!$A$4:$K$5003,10,FALSE),"")</f>
        <v/>
      </c>
      <c r="I1832" s="112" t="str">
        <f>IFERROR(VLOOKUP(Table1722[[#This Row],[Bukti]],Table13[#Data],11,FALSE),"")</f>
        <v/>
      </c>
    </row>
    <row r="1833" spans="1:9" ht="19.5" hidden="1" customHeight="1" x14ac:dyDescent="0.2">
      <c r="A1833" s="105" t="str">
        <f>IF(D1833=1,COUNTIF($D$10:D1833,1)," ")</f>
        <v xml:space="preserve"> </v>
      </c>
      <c r="B1833" s="106">
        <f>COPY!AR1825</f>
        <v>0</v>
      </c>
      <c r="C1833" s="107">
        <f>COPY!AC1825</f>
        <v>0</v>
      </c>
      <c r="D1833" s="107" t="str">
        <f>IF(LEN(Table1722[[#This Row],[Uraian]])&gt;2,1," ")</f>
        <v xml:space="preserve"> </v>
      </c>
      <c r="E1833" s="113" t="str">
        <f>IF(Table1722[[#This Row],[Lawan Transaksi]]="CV AGUNG KARYA",COUNTIF($I$10:I1833,"CV AGUNG KARYA")," ")</f>
        <v xml:space="preserve"> </v>
      </c>
      <c r="F1833" s="107" t="str">
        <f>IF(LEN(Table1722[[#This Row],[Uraian]])&gt;2,TRIM(RIGHT(SUBSTITUTE(TRIM(C1833)," ",REPT(" ",255)),255))," ")</f>
        <v xml:space="preserve"> </v>
      </c>
      <c r="G1833" s="110">
        <f>COPY!Z1825</f>
        <v>0</v>
      </c>
      <c r="H1833" s="111" t="str">
        <f>IFERROR(VLOOKUP(Table1722[[#This Row],[Bukti]],'Un nOTA'!$A$4:$K$5003,10,FALSE),"")</f>
        <v/>
      </c>
      <c r="I1833" s="112" t="str">
        <f>IFERROR(VLOOKUP(Table1722[[#This Row],[Bukti]],Table13[#Data],11,FALSE),"")</f>
        <v/>
      </c>
    </row>
    <row r="1834" spans="1:9" ht="19.5" hidden="1" customHeight="1" x14ac:dyDescent="0.2">
      <c r="A1834" s="105" t="str">
        <f>IF(D1834=1,COUNTIF($D$10:D1834,1)," ")</f>
        <v xml:space="preserve"> </v>
      </c>
      <c r="B1834" s="106">
        <f>COPY!AR1826</f>
        <v>0</v>
      </c>
      <c r="C1834" s="107">
        <f>COPY!AC1826</f>
        <v>0</v>
      </c>
      <c r="D1834" s="107" t="str">
        <f>IF(LEN(Table1722[[#This Row],[Uraian]])&gt;2,1," ")</f>
        <v xml:space="preserve"> </v>
      </c>
      <c r="E1834" s="113" t="str">
        <f>IF(Table1722[[#This Row],[Lawan Transaksi]]="CV AGUNG KARYA",COUNTIF($I$10:I1834,"CV AGUNG KARYA")," ")</f>
        <v xml:space="preserve"> </v>
      </c>
      <c r="F1834" s="107" t="str">
        <f>IF(LEN(Table1722[[#This Row],[Uraian]])&gt;2,TRIM(RIGHT(SUBSTITUTE(TRIM(C1834)," ",REPT(" ",255)),255))," ")</f>
        <v xml:space="preserve"> </v>
      </c>
      <c r="G1834" s="110">
        <f>COPY!Z1826</f>
        <v>0</v>
      </c>
      <c r="H1834" s="111" t="str">
        <f>IFERROR(VLOOKUP(Table1722[[#This Row],[Bukti]],'Un nOTA'!$A$4:$K$5003,10,FALSE),"")</f>
        <v/>
      </c>
      <c r="I1834" s="112" t="str">
        <f>IFERROR(VLOOKUP(Table1722[[#This Row],[Bukti]],Table13[#Data],11,FALSE),"")</f>
        <v/>
      </c>
    </row>
    <row r="1835" spans="1:9" ht="19.5" hidden="1" customHeight="1" x14ac:dyDescent="0.2">
      <c r="A1835" s="105" t="str">
        <f>IF(D1835=1,COUNTIF($D$10:D1835,1)," ")</f>
        <v xml:space="preserve"> </v>
      </c>
      <c r="B1835" s="106">
        <f>COPY!AR1827</f>
        <v>0</v>
      </c>
      <c r="C1835" s="107">
        <f>COPY!AC1827</f>
        <v>0</v>
      </c>
      <c r="D1835" s="107" t="str">
        <f>IF(LEN(Table1722[[#This Row],[Uraian]])&gt;2,1," ")</f>
        <v xml:space="preserve"> </v>
      </c>
      <c r="E1835" s="113" t="str">
        <f>IF(Table1722[[#This Row],[Lawan Transaksi]]="CV AGUNG KARYA",COUNTIF($I$10:I1835,"CV AGUNG KARYA")," ")</f>
        <v xml:space="preserve"> </v>
      </c>
      <c r="F1835" s="107" t="str">
        <f>IF(LEN(Table1722[[#This Row],[Uraian]])&gt;2,TRIM(RIGHT(SUBSTITUTE(TRIM(C1835)," ",REPT(" ",255)),255))," ")</f>
        <v xml:space="preserve"> </v>
      </c>
      <c r="G1835" s="110">
        <f>COPY!Z1827</f>
        <v>0</v>
      </c>
      <c r="H1835" s="111" t="str">
        <f>IFERROR(VLOOKUP(Table1722[[#This Row],[Bukti]],'Un nOTA'!$A$4:$K$5003,10,FALSE),"")</f>
        <v/>
      </c>
      <c r="I1835" s="112" t="str">
        <f>IFERROR(VLOOKUP(Table1722[[#This Row],[Bukti]],Table13[#Data],11,FALSE),"")</f>
        <v/>
      </c>
    </row>
    <row r="1836" spans="1:9" ht="19.5" hidden="1" customHeight="1" x14ac:dyDescent="0.2">
      <c r="A1836" s="105" t="str">
        <f>IF(D1836=1,COUNTIF($D$10:D1836,1)," ")</f>
        <v xml:space="preserve"> </v>
      </c>
      <c r="B1836" s="106">
        <f>COPY!AR1828</f>
        <v>0</v>
      </c>
      <c r="C1836" s="107">
        <f>COPY!AC1828</f>
        <v>0</v>
      </c>
      <c r="D1836" s="107" t="str">
        <f>IF(LEN(Table1722[[#This Row],[Uraian]])&gt;2,1," ")</f>
        <v xml:space="preserve"> </v>
      </c>
      <c r="E1836" s="113" t="str">
        <f>IF(Table1722[[#This Row],[Lawan Transaksi]]="CV AGUNG KARYA",COUNTIF($I$10:I1836,"CV AGUNG KARYA")," ")</f>
        <v xml:space="preserve"> </v>
      </c>
      <c r="F1836" s="107" t="str">
        <f>IF(LEN(Table1722[[#This Row],[Uraian]])&gt;2,TRIM(RIGHT(SUBSTITUTE(TRIM(C1836)," ",REPT(" ",255)),255))," ")</f>
        <v xml:space="preserve"> </v>
      </c>
      <c r="G1836" s="110">
        <f>COPY!Z1828</f>
        <v>0</v>
      </c>
      <c r="H1836" s="111" t="str">
        <f>IFERROR(VLOOKUP(Table1722[[#This Row],[Bukti]],'Un nOTA'!$A$4:$K$5003,10,FALSE),"")</f>
        <v/>
      </c>
      <c r="I1836" s="112" t="str">
        <f>IFERROR(VLOOKUP(Table1722[[#This Row],[Bukti]],Table13[#Data],11,FALSE),"")</f>
        <v/>
      </c>
    </row>
    <row r="1837" spans="1:9" ht="19.5" hidden="1" customHeight="1" x14ac:dyDescent="0.2">
      <c r="A1837" s="105" t="str">
        <f>IF(D1837=1,COUNTIF($D$10:D1837,1)," ")</f>
        <v xml:space="preserve"> </v>
      </c>
      <c r="B1837" s="106">
        <f>COPY!AR1829</f>
        <v>0</v>
      </c>
      <c r="C1837" s="107">
        <f>COPY!AC1829</f>
        <v>0</v>
      </c>
      <c r="D1837" s="107" t="str">
        <f>IF(LEN(Table1722[[#This Row],[Uraian]])&gt;2,1," ")</f>
        <v xml:space="preserve"> </v>
      </c>
      <c r="E1837" s="113" t="str">
        <f>IF(Table1722[[#This Row],[Lawan Transaksi]]="CV AGUNG KARYA",COUNTIF($I$10:I1837,"CV AGUNG KARYA")," ")</f>
        <v xml:space="preserve"> </v>
      </c>
      <c r="F1837" s="107" t="str">
        <f>IF(LEN(Table1722[[#This Row],[Uraian]])&gt;2,TRIM(RIGHT(SUBSTITUTE(TRIM(C1837)," ",REPT(" ",255)),255))," ")</f>
        <v xml:space="preserve"> </v>
      </c>
      <c r="G1837" s="110">
        <f>COPY!Z1829</f>
        <v>0</v>
      </c>
      <c r="H1837" s="111" t="str">
        <f>IFERROR(VLOOKUP(Table1722[[#This Row],[Bukti]],'Un nOTA'!$A$4:$K$5003,10,FALSE),"")</f>
        <v/>
      </c>
      <c r="I1837" s="112" t="str">
        <f>IFERROR(VLOOKUP(Table1722[[#This Row],[Bukti]],Table13[#Data],11,FALSE),"")</f>
        <v/>
      </c>
    </row>
    <row r="1838" spans="1:9" ht="19.5" hidden="1" customHeight="1" x14ac:dyDescent="0.2">
      <c r="A1838" s="105" t="str">
        <f>IF(D1838=1,COUNTIF($D$10:D1838,1)," ")</f>
        <v xml:space="preserve"> </v>
      </c>
      <c r="B1838" s="106">
        <f>COPY!AR1830</f>
        <v>0</v>
      </c>
      <c r="C1838" s="107">
        <f>COPY!AC1830</f>
        <v>0</v>
      </c>
      <c r="D1838" s="107" t="str">
        <f>IF(LEN(Table1722[[#This Row],[Uraian]])&gt;2,1," ")</f>
        <v xml:space="preserve"> </v>
      </c>
      <c r="E1838" s="113" t="str">
        <f>IF(Table1722[[#This Row],[Lawan Transaksi]]="CV AGUNG KARYA",COUNTIF($I$10:I1838,"CV AGUNG KARYA")," ")</f>
        <v xml:space="preserve"> </v>
      </c>
      <c r="F1838" s="107" t="str">
        <f>IF(LEN(Table1722[[#This Row],[Uraian]])&gt;2,TRIM(RIGHT(SUBSTITUTE(TRIM(C1838)," ",REPT(" ",255)),255))," ")</f>
        <v xml:space="preserve"> </v>
      </c>
      <c r="G1838" s="110">
        <f>COPY!Z1830</f>
        <v>0</v>
      </c>
      <c r="H1838" s="111" t="str">
        <f>IFERROR(VLOOKUP(Table1722[[#This Row],[Bukti]],'Un nOTA'!$A$4:$K$5003,10,FALSE),"")</f>
        <v/>
      </c>
      <c r="I1838" s="112" t="str">
        <f>IFERROR(VLOOKUP(Table1722[[#This Row],[Bukti]],Table13[#Data],11,FALSE),"")</f>
        <v/>
      </c>
    </row>
    <row r="1839" spans="1:9" ht="19.5" hidden="1" customHeight="1" x14ac:dyDescent="0.2">
      <c r="A1839" s="105" t="str">
        <f>IF(D1839=1,COUNTIF($D$10:D1839,1)," ")</f>
        <v xml:space="preserve"> </v>
      </c>
      <c r="B1839" s="106">
        <f>COPY!AR1831</f>
        <v>0</v>
      </c>
      <c r="C1839" s="107">
        <f>COPY!AC1831</f>
        <v>0</v>
      </c>
      <c r="D1839" s="107" t="str">
        <f>IF(LEN(Table1722[[#This Row],[Uraian]])&gt;2,1," ")</f>
        <v xml:space="preserve"> </v>
      </c>
      <c r="E1839" s="113" t="str">
        <f>IF(Table1722[[#This Row],[Lawan Transaksi]]="CV AGUNG KARYA",COUNTIF($I$10:I1839,"CV AGUNG KARYA")," ")</f>
        <v xml:space="preserve"> </v>
      </c>
      <c r="F1839" s="107" t="str">
        <f>IF(LEN(Table1722[[#This Row],[Uraian]])&gt;2,TRIM(RIGHT(SUBSTITUTE(TRIM(C1839)," ",REPT(" ",255)),255))," ")</f>
        <v xml:space="preserve"> </v>
      </c>
      <c r="G1839" s="110">
        <f>COPY!Z1831</f>
        <v>0</v>
      </c>
      <c r="H1839" s="111" t="str">
        <f>IFERROR(VLOOKUP(Table1722[[#This Row],[Bukti]],'Un nOTA'!$A$4:$K$5003,10,FALSE),"")</f>
        <v/>
      </c>
      <c r="I1839" s="112" t="str">
        <f>IFERROR(VLOOKUP(Table1722[[#This Row],[Bukti]],Table13[#Data],11,FALSE),"")</f>
        <v/>
      </c>
    </row>
    <row r="1840" spans="1:9" ht="19.5" hidden="1" customHeight="1" x14ac:dyDescent="0.2">
      <c r="A1840" s="105" t="str">
        <f>IF(D1840=1,COUNTIF($D$10:D1840,1)," ")</f>
        <v xml:space="preserve"> </v>
      </c>
      <c r="B1840" s="106">
        <f>COPY!AR1832</f>
        <v>0</v>
      </c>
      <c r="C1840" s="107">
        <f>COPY!AC1832</f>
        <v>0</v>
      </c>
      <c r="D1840" s="107" t="str">
        <f>IF(LEN(Table1722[[#This Row],[Uraian]])&gt;2,1," ")</f>
        <v xml:space="preserve"> </v>
      </c>
      <c r="E1840" s="113" t="str">
        <f>IF(Table1722[[#This Row],[Lawan Transaksi]]="CV AGUNG KARYA",COUNTIF($I$10:I1840,"CV AGUNG KARYA")," ")</f>
        <v xml:space="preserve"> </v>
      </c>
      <c r="F1840" s="107" t="str">
        <f>IF(LEN(Table1722[[#This Row],[Uraian]])&gt;2,TRIM(RIGHT(SUBSTITUTE(TRIM(C1840)," ",REPT(" ",255)),255))," ")</f>
        <v xml:space="preserve"> </v>
      </c>
      <c r="G1840" s="110">
        <f>COPY!Z1832</f>
        <v>0</v>
      </c>
      <c r="H1840" s="111" t="str">
        <f>IFERROR(VLOOKUP(Table1722[[#This Row],[Bukti]],'Un nOTA'!$A$4:$K$5003,10,FALSE),"")</f>
        <v/>
      </c>
      <c r="I1840" s="112" t="str">
        <f>IFERROR(VLOOKUP(Table1722[[#This Row],[Bukti]],Table13[#Data],11,FALSE),"")</f>
        <v/>
      </c>
    </row>
    <row r="1841" spans="1:9" ht="19.5" hidden="1" customHeight="1" x14ac:dyDescent="0.2">
      <c r="A1841" s="105" t="str">
        <f>IF(D1841=1,COUNTIF($D$10:D1841,1)," ")</f>
        <v xml:space="preserve"> </v>
      </c>
      <c r="B1841" s="106">
        <f>COPY!AR1833</f>
        <v>0</v>
      </c>
      <c r="C1841" s="107">
        <f>COPY!AC1833</f>
        <v>0</v>
      </c>
      <c r="D1841" s="107" t="str">
        <f>IF(LEN(Table1722[[#This Row],[Uraian]])&gt;2,1," ")</f>
        <v xml:space="preserve"> </v>
      </c>
      <c r="E1841" s="113" t="str">
        <f>IF(Table1722[[#This Row],[Lawan Transaksi]]="CV AGUNG KARYA",COUNTIF($I$10:I1841,"CV AGUNG KARYA")," ")</f>
        <v xml:space="preserve"> </v>
      </c>
      <c r="F1841" s="107" t="str">
        <f>IF(LEN(Table1722[[#This Row],[Uraian]])&gt;2,TRIM(RIGHT(SUBSTITUTE(TRIM(C1841)," ",REPT(" ",255)),255))," ")</f>
        <v xml:space="preserve"> </v>
      </c>
      <c r="G1841" s="110">
        <f>COPY!Z1833</f>
        <v>0</v>
      </c>
      <c r="H1841" s="111" t="str">
        <f>IFERROR(VLOOKUP(Table1722[[#This Row],[Bukti]],'Un nOTA'!$A$4:$K$5003,10,FALSE),"")</f>
        <v/>
      </c>
      <c r="I1841" s="112" t="str">
        <f>IFERROR(VLOOKUP(Table1722[[#This Row],[Bukti]],Table13[#Data],11,FALSE),"")</f>
        <v/>
      </c>
    </row>
    <row r="1842" spans="1:9" ht="19.5" hidden="1" customHeight="1" x14ac:dyDescent="0.2">
      <c r="A1842" s="105" t="str">
        <f>IF(D1842=1,COUNTIF($D$10:D1842,1)," ")</f>
        <v xml:space="preserve"> </v>
      </c>
      <c r="B1842" s="106">
        <f>COPY!AR1834</f>
        <v>0</v>
      </c>
      <c r="C1842" s="107">
        <f>COPY!AC1834</f>
        <v>0</v>
      </c>
      <c r="D1842" s="107" t="str">
        <f>IF(LEN(Table1722[[#This Row],[Uraian]])&gt;2,1," ")</f>
        <v xml:space="preserve"> </v>
      </c>
      <c r="E1842" s="113" t="str">
        <f>IF(Table1722[[#This Row],[Lawan Transaksi]]="CV AGUNG KARYA",COUNTIF($I$10:I1842,"CV AGUNG KARYA")," ")</f>
        <v xml:space="preserve"> </v>
      </c>
      <c r="F1842" s="107" t="str">
        <f>IF(LEN(Table1722[[#This Row],[Uraian]])&gt;2,TRIM(RIGHT(SUBSTITUTE(TRIM(C1842)," ",REPT(" ",255)),255))," ")</f>
        <v xml:space="preserve"> </v>
      </c>
      <c r="G1842" s="110">
        <f>COPY!Z1834</f>
        <v>0</v>
      </c>
      <c r="H1842" s="111" t="str">
        <f>IFERROR(VLOOKUP(Table1722[[#This Row],[Bukti]],'Un nOTA'!$A$4:$K$5003,10,FALSE),"")</f>
        <v/>
      </c>
      <c r="I1842" s="112" t="str">
        <f>IFERROR(VLOOKUP(Table1722[[#This Row],[Bukti]],Table13[#Data],11,FALSE),"")</f>
        <v/>
      </c>
    </row>
    <row r="1843" spans="1:9" ht="19.5" hidden="1" customHeight="1" x14ac:dyDescent="0.2">
      <c r="A1843" s="105" t="str">
        <f>IF(D1843=1,COUNTIF($D$10:D1843,1)," ")</f>
        <v xml:space="preserve"> </v>
      </c>
      <c r="B1843" s="106">
        <f>COPY!AR1835</f>
        <v>0</v>
      </c>
      <c r="C1843" s="107">
        <f>COPY!AC1835</f>
        <v>0</v>
      </c>
      <c r="D1843" s="107" t="str">
        <f>IF(LEN(Table1722[[#This Row],[Uraian]])&gt;2,1," ")</f>
        <v xml:space="preserve"> </v>
      </c>
      <c r="E1843" s="113" t="str">
        <f>IF(Table1722[[#This Row],[Lawan Transaksi]]="CV AGUNG KARYA",COUNTIF($I$10:I1843,"CV AGUNG KARYA")," ")</f>
        <v xml:space="preserve"> </v>
      </c>
      <c r="F1843" s="107" t="str">
        <f>IF(LEN(Table1722[[#This Row],[Uraian]])&gt;2,TRIM(RIGHT(SUBSTITUTE(TRIM(C1843)," ",REPT(" ",255)),255))," ")</f>
        <v xml:space="preserve"> </v>
      </c>
      <c r="G1843" s="110">
        <f>COPY!Z1835</f>
        <v>0</v>
      </c>
      <c r="H1843" s="111" t="str">
        <f>IFERROR(VLOOKUP(Table1722[[#This Row],[Bukti]],'Un nOTA'!$A$4:$K$5003,10,FALSE),"")</f>
        <v/>
      </c>
      <c r="I1843" s="112" t="str">
        <f>IFERROR(VLOOKUP(Table1722[[#This Row],[Bukti]],Table13[#Data],11,FALSE),"")</f>
        <v/>
      </c>
    </row>
    <row r="1844" spans="1:9" ht="19.5" hidden="1" customHeight="1" x14ac:dyDescent="0.2">
      <c r="A1844" s="105" t="str">
        <f>IF(D1844=1,COUNTIF($D$10:D1844,1)," ")</f>
        <v xml:space="preserve"> </v>
      </c>
      <c r="B1844" s="106">
        <f>COPY!AR1836</f>
        <v>0</v>
      </c>
      <c r="C1844" s="107">
        <f>COPY!AC1836</f>
        <v>0</v>
      </c>
      <c r="D1844" s="107" t="str">
        <f>IF(LEN(Table1722[[#This Row],[Uraian]])&gt;2,1," ")</f>
        <v xml:space="preserve"> </v>
      </c>
      <c r="E1844" s="113" t="str">
        <f>IF(Table1722[[#This Row],[Lawan Transaksi]]="CV AGUNG KARYA",COUNTIF($I$10:I1844,"CV AGUNG KARYA")," ")</f>
        <v xml:space="preserve"> </v>
      </c>
      <c r="F1844" s="107" t="str">
        <f>IF(LEN(Table1722[[#This Row],[Uraian]])&gt;2,TRIM(RIGHT(SUBSTITUTE(TRIM(C1844)," ",REPT(" ",255)),255))," ")</f>
        <v xml:space="preserve"> </v>
      </c>
      <c r="G1844" s="110">
        <f>COPY!Z1836</f>
        <v>0</v>
      </c>
      <c r="H1844" s="111" t="str">
        <f>IFERROR(VLOOKUP(Table1722[[#This Row],[Bukti]],'Un nOTA'!$A$4:$K$5003,10,FALSE),"")</f>
        <v/>
      </c>
      <c r="I1844" s="112" t="str">
        <f>IFERROR(VLOOKUP(Table1722[[#This Row],[Bukti]],Table13[#Data],11,FALSE),"")</f>
        <v/>
      </c>
    </row>
    <row r="1845" spans="1:9" ht="19.5" hidden="1" customHeight="1" x14ac:dyDescent="0.2">
      <c r="A1845" s="105" t="str">
        <f>IF(D1845=1,COUNTIF($D$10:D1845,1)," ")</f>
        <v xml:space="preserve"> </v>
      </c>
      <c r="B1845" s="106">
        <f>COPY!AR1837</f>
        <v>0</v>
      </c>
      <c r="C1845" s="107">
        <f>COPY!AC1837</f>
        <v>0</v>
      </c>
      <c r="D1845" s="107" t="str">
        <f>IF(LEN(Table1722[[#This Row],[Uraian]])&gt;2,1," ")</f>
        <v xml:space="preserve"> </v>
      </c>
      <c r="E1845" s="113" t="str">
        <f>IF(Table1722[[#This Row],[Lawan Transaksi]]="CV AGUNG KARYA",COUNTIF($I$10:I1845,"CV AGUNG KARYA")," ")</f>
        <v xml:space="preserve"> </v>
      </c>
      <c r="F1845" s="107" t="str">
        <f>IF(LEN(Table1722[[#This Row],[Uraian]])&gt;2,TRIM(RIGHT(SUBSTITUTE(TRIM(C1845)," ",REPT(" ",255)),255))," ")</f>
        <v xml:space="preserve"> </v>
      </c>
      <c r="G1845" s="110">
        <f>COPY!Z1837</f>
        <v>0</v>
      </c>
      <c r="H1845" s="111" t="str">
        <f>IFERROR(VLOOKUP(Table1722[[#This Row],[Bukti]],'Un nOTA'!$A$4:$K$5003,10,FALSE),"")</f>
        <v/>
      </c>
      <c r="I1845" s="112" t="str">
        <f>IFERROR(VLOOKUP(Table1722[[#This Row],[Bukti]],Table13[#Data],11,FALSE),"")</f>
        <v/>
      </c>
    </row>
    <row r="1846" spans="1:9" ht="19.5" hidden="1" customHeight="1" x14ac:dyDescent="0.2">
      <c r="A1846" s="105" t="str">
        <f>IF(D1846=1,COUNTIF($D$10:D1846,1)," ")</f>
        <v xml:space="preserve"> </v>
      </c>
      <c r="B1846" s="106">
        <f>COPY!AR1838</f>
        <v>0</v>
      </c>
      <c r="C1846" s="107">
        <f>COPY!AC1838</f>
        <v>0</v>
      </c>
      <c r="D1846" s="107" t="str">
        <f>IF(LEN(Table1722[[#This Row],[Uraian]])&gt;2,1," ")</f>
        <v xml:space="preserve"> </v>
      </c>
      <c r="E1846" s="113" t="str">
        <f>IF(Table1722[[#This Row],[Lawan Transaksi]]="CV AGUNG KARYA",COUNTIF($I$10:I1846,"CV AGUNG KARYA")," ")</f>
        <v xml:space="preserve"> </v>
      </c>
      <c r="F1846" s="107" t="str">
        <f>IF(LEN(Table1722[[#This Row],[Uraian]])&gt;2,TRIM(RIGHT(SUBSTITUTE(TRIM(C1846)," ",REPT(" ",255)),255))," ")</f>
        <v xml:space="preserve"> </v>
      </c>
      <c r="G1846" s="110">
        <f>COPY!Z1838</f>
        <v>0</v>
      </c>
      <c r="H1846" s="111" t="str">
        <f>IFERROR(VLOOKUP(Table1722[[#This Row],[Bukti]],'Un nOTA'!$A$4:$K$5003,10,FALSE),"")</f>
        <v/>
      </c>
      <c r="I1846" s="112" t="str">
        <f>IFERROR(VLOOKUP(Table1722[[#This Row],[Bukti]],Table13[#Data],11,FALSE),"")</f>
        <v/>
      </c>
    </row>
    <row r="1847" spans="1:9" ht="19.5" hidden="1" customHeight="1" x14ac:dyDescent="0.2">
      <c r="A1847" s="105" t="str">
        <f>IF(D1847=1,COUNTIF($D$10:D1847,1)," ")</f>
        <v xml:space="preserve"> </v>
      </c>
      <c r="B1847" s="106">
        <f>COPY!AR1839</f>
        <v>0</v>
      </c>
      <c r="C1847" s="107">
        <f>COPY!AC1839</f>
        <v>0</v>
      </c>
      <c r="D1847" s="107" t="str">
        <f>IF(LEN(Table1722[[#This Row],[Uraian]])&gt;2,1," ")</f>
        <v xml:space="preserve"> </v>
      </c>
      <c r="E1847" s="113" t="str">
        <f>IF(Table1722[[#This Row],[Lawan Transaksi]]="CV AGUNG KARYA",COUNTIF($I$10:I1847,"CV AGUNG KARYA")," ")</f>
        <v xml:space="preserve"> </v>
      </c>
      <c r="F1847" s="107" t="str">
        <f>IF(LEN(Table1722[[#This Row],[Uraian]])&gt;2,TRIM(RIGHT(SUBSTITUTE(TRIM(C1847)," ",REPT(" ",255)),255))," ")</f>
        <v xml:space="preserve"> </v>
      </c>
      <c r="G1847" s="110">
        <f>COPY!Z1839</f>
        <v>0</v>
      </c>
      <c r="H1847" s="111" t="str">
        <f>IFERROR(VLOOKUP(Table1722[[#This Row],[Bukti]],'Un nOTA'!$A$4:$K$5003,10,FALSE),"")</f>
        <v/>
      </c>
      <c r="I1847" s="112" t="str">
        <f>IFERROR(VLOOKUP(Table1722[[#This Row],[Bukti]],Table13[#Data],11,FALSE),"")</f>
        <v/>
      </c>
    </row>
    <row r="1848" spans="1:9" ht="19.5" hidden="1" customHeight="1" x14ac:dyDescent="0.2">
      <c r="A1848" s="105" t="str">
        <f>IF(D1848=1,COUNTIF($D$10:D1848,1)," ")</f>
        <v xml:space="preserve"> </v>
      </c>
      <c r="B1848" s="106">
        <f>COPY!AR1840</f>
        <v>0</v>
      </c>
      <c r="C1848" s="107">
        <f>COPY!AC1840</f>
        <v>0</v>
      </c>
      <c r="D1848" s="107" t="str">
        <f>IF(LEN(Table1722[[#This Row],[Uraian]])&gt;2,1," ")</f>
        <v xml:space="preserve"> </v>
      </c>
      <c r="E1848" s="113" t="str">
        <f>IF(Table1722[[#This Row],[Lawan Transaksi]]="CV AGUNG KARYA",COUNTIF($I$10:I1848,"CV AGUNG KARYA")," ")</f>
        <v xml:space="preserve"> </v>
      </c>
      <c r="F1848" s="107" t="str">
        <f>IF(LEN(Table1722[[#This Row],[Uraian]])&gt;2,TRIM(RIGHT(SUBSTITUTE(TRIM(C1848)," ",REPT(" ",255)),255))," ")</f>
        <v xml:space="preserve"> </v>
      </c>
      <c r="G1848" s="110">
        <f>COPY!Z1840</f>
        <v>0</v>
      </c>
      <c r="H1848" s="111" t="str">
        <f>IFERROR(VLOOKUP(Table1722[[#This Row],[Bukti]],'Un nOTA'!$A$4:$K$5003,10,FALSE),"")</f>
        <v/>
      </c>
      <c r="I1848" s="112" t="str">
        <f>IFERROR(VLOOKUP(Table1722[[#This Row],[Bukti]],Table13[#Data],11,FALSE),"")</f>
        <v/>
      </c>
    </row>
    <row r="1849" spans="1:9" ht="19.5" hidden="1" customHeight="1" x14ac:dyDescent="0.2">
      <c r="A1849" s="105" t="str">
        <f>IF(D1849=1,COUNTIF($D$10:D1849,1)," ")</f>
        <v xml:space="preserve"> </v>
      </c>
      <c r="B1849" s="106">
        <f>COPY!AR1841</f>
        <v>0</v>
      </c>
      <c r="C1849" s="107">
        <f>COPY!AC1841</f>
        <v>0</v>
      </c>
      <c r="D1849" s="107" t="str">
        <f>IF(LEN(Table1722[[#This Row],[Uraian]])&gt;2,1," ")</f>
        <v xml:space="preserve"> </v>
      </c>
      <c r="E1849" s="113" t="str">
        <f>IF(Table1722[[#This Row],[Lawan Transaksi]]="CV AGUNG KARYA",COUNTIF($I$10:I1849,"CV AGUNG KARYA")," ")</f>
        <v xml:space="preserve"> </v>
      </c>
      <c r="F1849" s="107" t="str">
        <f>IF(LEN(Table1722[[#This Row],[Uraian]])&gt;2,TRIM(RIGHT(SUBSTITUTE(TRIM(C1849)," ",REPT(" ",255)),255))," ")</f>
        <v xml:space="preserve"> </v>
      </c>
      <c r="G1849" s="110">
        <f>COPY!Z1841</f>
        <v>0</v>
      </c>
      <c r="H1849" s="111" t="str">
        <f>IFERROR(VLOOKUP(Table1722[[#This Row],[Bukti]],'Un nOTA'!$A$4:$K$5003,10,FALSE),"")</f>
        <v/>
      </c>
      <c r="I1849" s="112" t="str">
        <f>IFERROR(VLOOKUP(Table1722[[#This Row],[Bukti]],Table13[#Data],11,FALSE),"")</f>
        <v/>
      </c>
    </row>
    <row r="1850" spans="1:9" ht="19.5" hidden="1" customHeight="1" x14ac:dyDescent="0.2">
      <c r="A1850" s="105" t="str">
        <f>IF(D1850=1,COUNTIF($D$10:D1850,1)," ")</f>
        <v xml:space="preserve"> </v>
      </c>
      <c r="B1850" s="106">
        <f>COPY!AR1842</f>
        <v>0</v>
      </c>
      <c r="C1850" s="107">
        <f>COPY!AC1842</f>
        <v>0</v>
      </c>
      <c r="D1850" s="107" t="str">
        <f>IF(LEN(Table1722[[#This Row],[Uraian]])&gt;2,1," ")</f>
        <v xml:space="preserve"> </v>
      </c>
      <c r="E1850" s="113" t="str">
        <f>IF(Table1722[[#This Row],[Lawan Transaksi]]="CV AGUNG KARYA",COUNTIF($I$10:I1850,"CV AGUNG KARYA")," ")</f>
        <v xml:space="preserve"> </v>
      </c>
      <c r="F1850" s="107" t="str">
        <f>IF(LEN(Table1722[[#This Row],[Uraian]])&gt;2,TRIM(RIGHT(SUBSTITUTE(TRIM(C1850)," ",REPT(" ",255)),255))," ")</f>
        <v xml:space="preserve"> </v>
      </c>
      <c r="G1850" s="110">
        <f>COPY!Z1842</f>
        <v>0</v>
      </c>
      <c r="H1850" s="111" t="str">
        <f>IFERROR(VLOOKUP(Table1722[[#This Row],[Bukti]],'Un nOTA'!$A$4:$K$5003,10,FALSE),"")</f>
        <v/>
      </c>
      <c r="I1850" s="112" t="str">
        <f>IFERROR(VLOOKUP(Table1722[[#This Row],[Bukti]],Table13[#Data],11,FALSE),"")</f>
        <v/>
      </c>
    </row>
    <row r="1851" spans="1:9" ht="19.5" hidden="1" customHeight="1" x14ac:dyDescent="0.2">
      <c r="A1851" s="105" t="str">
        <f>IF(D1851=1,COUNTIF($D$10:D1851,1)," ")</f>
        <v xml:space="preserve"> </v>
      </c>
      <c r="B1851" s="106">
        <f>COPY!AR1843</f>
        <v>0</v>
      </c>
      <c r="C1851" s="107">
        <f>COPY!AC1843</f>
        <v>0</v>
      </c>
      <c r="D1851" s="107" t="str">
        <f>IF(LEN(Table1722[[#This Row],[Uraian]])&gt;2,1," ")</f>
        <v xml:space="preserve"> </v>
      </c>
      <c r="E1851" s="113" t="str">
        <f>IF(Table1722[[#This Row],[Lawan Transaksi]]="CV AGUNG KARYA",COUNTIF($I$10:I1851,"CV AGUNG KARYA")," ")</f>
        <v xml:space="preserve"> </v>
      </c>
      <c r="F1851" s="107" t="str">
        <f>IF(LEN(Table1722[[#This Row],[Uraian]])&gt;2,TRIM(RIGHT(SUBSTITUTE(TRIM(C1851)," ",REPT(" ",255)),255))," ")</f>
        <v xml:space="preserve"> </v>
      </c>
      <c r="G1851" s="110">
        <f>COPY!Z1843</f>
        <v>0</v>
      </c>
      <c r="H1851" s="111" t="str">
        <f>IFERROR(VLOOKUP(Table1722[[#This Row],[Bukti]],'Un nOTA'!$A$4:$K$5003,10,FALSE),"")</f>
        <v/>
      </c>
      <c r="I1851" s="112" t="str">
        <f>IFERROR(VLOOKUP(Table1722[[#This Row],[Bukti]],Table13[#Data],11,FALSE),"")</f>
        <v/>
      </c>
    </row>
    <row r="1852" spans="1:9" ht="19.5" hidden="1" customHeight="1" x14ac:dyDescent="0.2">
      <c r="A1852" s="105" t="str">
        <f>IF(D1852=1,COUNTIF($D$10:D1852,1)," ")</f>
        <v xml:space="preserve"> </v>
      </c>
      <c r="B1852" s="106">
        <f>COPY!AR1844</f>
        <v>0</v>
      </c>
      <c r="C1852" s="107">
        <f>COPY!AC1844</f>
        <v>0</v>
      </c>
      <c r="D1852" s="107" t="str">
        <f>IF(LEN(Table1722[[#This Row],[Uraian]])&gt;2,1," ")</f>
        <v xml:space="preserve"> </v>
      </c>
      <c r="E1852" s="113" t="str">
        <f>IF(Table1722[[#This Row],[Lawan Transaksi]]="CV AGUNG KARYA",COUNTIF($I$10:I1852,"CV AGUNG KARYA")," ")</f>
        <v xml:space="preserve"> </v>
      </c>
      <c r="F1852" s="107" t="str">
        <f>IF(LEN(Table1722[[#This Row],[Uraian]])&gt;2,TRIM(RIGHT(SUBSTITUTE(TRIM(C1852)," ",REPT(" ",255)),255))," ")</f>
        <v xml:space="preserve"> </v>
      </c>
      <c r="G1852" s="110">
        <f>COPY!Z1844</f>
        <v>0</v>
      </c>
      <c r="H1852" s="111" t="str">
        <f>IFERROR(VLOOKUP(Table1722[[#This Row],[Bukti]],'Un nOTA'!$A$4:$K$5003,10,FALSE),"")</f>
        <v/>
      </c>
      <c r="I1852" s="112" t="str">
        <f>IFERROR(VLOOKUP(Table1722[[#This Row],[Bukti]],Table13[#Data],11,FALSE),"")</f>
        <v/>
      </c>
    </row>
    <row r="1853" spans="1:9" ht="19.5" hidden="1" customHeight="1" x14ac:dyDescent="0.2">
      <c r="A1853" s="105" t="str">
        <f>IF(D1853=1,COUNTIF($D$10:D1853,1)," ")</f>
        <v xml:space="preserve"> </v>
      </c>
      <c r="B1853" s="106">
        <f>COPY!AR1845</f>
        <v>0</v>
      </c>
      <c r="C1853" s="107">
        <f>COPY!AC1845</f>
        <v>0</v>
      </c>
      <c r="D1853" s="107" t="str">
        <f>IF(LEN(Table1722[[#This Row],[Uraian]])&gt;2,1," ")</f>
        <v xml:space="preserve"> </v>
      </c>
      <c r="E1853" s="113" t="str">
        <f>IF(Table1722[[#This Row],[Lawan Transaksi]]="CV AGUNG KARYA",COUNTIF($I$10:I1853,"CV AGUNG KARYA")," ")</f>
        <v xml:space="preserve"> </v>
      </c>
      <c r="F1853" s="107" t="str">
        <f>IF(LEN(Table1722[[#This Row],[Uraian]])&gt;2,TRIM(RIGHT(SUBSTITUTE(TRIM(C1853)," ",REPT(" ",255)),255))," ")</f>
        <v xml:space="preserve"> </v>
      </c>
      <c r="G1853" s="110">
        <f>COPY!Z1845</f>
        <v>0</v>
      </c>
      <c r="H1853" s="111" t="str">
        <f>IFERROR(VLOOKUP(Table1722[[#This Row],[Bukti]],'Un nOTA'!$A$4:$K$5003,10,FALSE),"")</f>
        <v/>
      </c>
      <c r="I1853" s="112" t="str">
        <f>IFERROR(VLOOKUP(Table1722[[#This Row],[Bukti]],Table13[#Data],11,FALSE),"")</f>
        <v/>
      </c>
    </row>
    <row r="1854" spans="1:9" ht="19.5" hidden="1" customHeight="1" x14ac:dyDescent="0.2">
      <c r="A1854" s="105" t="str">
        <f>IF(D1854=1,COUNTIF($D$10:D1854,1)," ")</f>
        <v xml:space="preserve"> </v>
      </c>
      <c r="B1854" s="106">
        <f>COPY!AR1846</f>
        <v>0</v>
      </c>
      <c r="C1854" s="107">
        <f>COPY!AC1846</f>
        <v>0</v>
      </c>
      <c r="D1854" s="107" t="str">
        <f>IF(LEN(Table1722[[#This Row],[Uraian]])&gt;2,1," ")</f>
        <v xml:space="preserve"> </v>
      </c>
      <c r="E1854" s="113" t="str">
        <f>IF(Table1722[[#This Row],[Lawan Transaksi]]="CV AGUNG KARYA",COUNTIF($I$10:I1854,"CV AGUNG KARYA")," ")</f>
        <v xml:space="preserve"> </v>
      </c>
      <c r="F1854" s="107" t="str">
        <f>IF(LEN(Table1722[[#This Row],[Uraian]])&gt;2,TRIM(RIGHT(SUBSTITUTE(TRIM(C1854)," ",REPT(" ",255)),255))," ")</f>
        <v xml:space="preserve"> </v>
      </c>
      <c r="G1854" s="110">
        <f>COPY!Z1846</f>
        <v>0</v>
      </c>
      <c r="H1854" s="111" t="str">
        <f>IFERROR(VLOOKUP(Table1722[[#This Row],[Bukti]],'Un nOTA'!$A$4:$K$5003,10,FALSE),"")</f>
        <v/>
      </c>
      <c r="I1854" s="112" t="str">
        <f>IFERROR(VLOOKUP(Table1722[[#This Row],[Bukti]],Table13[#Data],11,FALSE),"")</f>
        <v/>
      </c>
    </row>
    <row r="1855" spans="1:9" ht="19.5" hidden="1" customHeight="1" x14ac:dyDescent="0.2">
      <c r="A1855" s="105" t="str">
        <f>IF(D1855=1,COUNTIF($D$10:D1855,1)," ")</f>
        <v xml:space="preserve"> </v>
      </c>
      <c r="B1855" s="106">
        <f>COPY!AR1847</f>
        <v>0</v>
      </c>
      <c r="C1855" s="107">
        <f>COPY!AC1847</f>
        <v>0</v>
      </c>
      <c r="D1855" s="107" t="str">
        <f>IF(LEN(Table1722[[#This Row],[Uraian]])&gt;2,1," ")</f>
        <v xml:space="preserve"> </v>
      </c>
      <c r="E1855" s="113" t="str">
        <f>IF(Table1722[[#This Row],[Lawan Transaksi]]="CV AGUNG KARYA",COUNTIF($I$10:I1855,"CV AGUNG KARYA")," ")</f>
        <v xml:space="preserve"> </v>
      </c>
      <c r="F1855" s="107" t="str">
        <f>IF(LEN(Table1722[[#This Row],[Uraian]])&gt;2,TRIM(RIGHT(SUBSTITUTE(TRIM(C1855)," ",REPT(" ",255)),255))," ")</f>
        <v xml:space="preserve"> </v>
      </c>
      <c r="G1855" s="110">
        <f>COPY!Z1847</f>
        <v>0</v>
      </c>
      <c r="H1855" s="111" t="str">
        <f>IFERROR(VLOOKUP(Table1722[[#This Row],[Bukti]],'Un nOTA'!$A$4:$K$5003,10,FALSE),"")</f>
        <v/>
      </c>
      <c r="I1855" s="112" t="str">
        <f>IFERROR(VLOOKUP(Table1722[[#This Row],[Bukti]],Table13[#Data],11,FALSE),"")</f>
        <v/>
      </c>
    </row>
    <row r="1856" spans="1:9" ht="19.5" hidden="1" customHeight="1" x14ac:dyDescent="0.2">
      <c r="A1856" s="105" t="str">
        <f>IF(D1856=1,COUNTIF($D$10:D1856,1)," ")</f>
        <v xml:space="preserve"> </v>
      </c>
      <c r="B1856" s="106">
        <f>COPY!AR1848</f>
        <v>0</v>
      </c>
      <c r="C1856" s="107">
        <f>COPY!AC1848</f>
        <v>0</v>
      </c>
      <c r="D1856" s="107" t="str">
        <f>IF(LEN(Table1722[[#This Row],[Uraian]])&gt;2,1," ")</f>
        <v xml:space="preserve"> </v>
      </c>
      <c r="E1856" s="113" t="str">
        <f>IF(Table1722[[#This Row],[Lawan Transaksi]]="CV AGUNG KARYA",COUNTIF($I$10:I1856,"CV AGUNG KARYA")," ")</f>
        <v xml:space="preserve"> </v>
      </c>
      <c r="F1856" s="107" t="str">
        <f>IF(LEN(Table1722[[#This Row],[Uraian]])&gt;2,TRIM(RIGHT(SUBSTITUTE(TRIM(C1856)," ",REPT(" ",255)),255))," ")</f>
        <v xml:space="preserve"> </v>
      </c>
      <c r="G1856" s="110">
        <f>COPY!Z1848</f>
        <v>0</v>
      </c>
      <c r="H1856" s="111" t="str">
        <f>IFERROR(VLOOKUP(Table1722[[#This Row],[Bukti]],'Un nOTA'!$A$4:$K$5003,10,FALSE),"")</f>
        <v/>
      </c>
      <c r="I1856" s="112" t="str">
        <f>IFERROR(VLOOKUP(Table1722[[#This Row],[Bukti]],Table13[#Data],11,FALSE),"")</f>
        <v/>
      </c>
    </row>
    <row r="1857" spans="1:9" ht="19.5" hidden="1" customHeight="1" x14ac:dyDescent="0.2">
      <c r="A1857" s="105" t="str">
        <f>IF(D1857=1,COUNTIF($D$10:D1857,1)," ")</f>
        <v xml:space="preserve"> </v>
      </c>
      <c r="B1857" s="106">
        <f>COPY!AR1849</f>
        <v>0</v>
      </c>
      <c r="C1857" s="107">
        <f>COPY!AC1849</f>
        <v>0</v>
      </c>
      <c r="D1857" s="107" t="str">
        <f>IF(LEN(Table1722[[#This Row],[Uraian]])&gt;2,1," ")</f>
        <v xml:space="preserve"> </v>
      </c>
      <c r="E1857" s="113" t="str">
        <f>IF(Table1722[[#This Row],[Lawan Transaksi]]="CV AGUNG KARYA",COUNTIF($I$10:I1857,"CV AGUNG KARYA")," ")</f>
        <v xml:space="preserve"> </v>
      </c>
      <c r="F1857" s="107" t="str">
        <f>IF(LEN(Table1722[[#This Row],[Uraian]])&gt;2,TRIM(RIGHT(SUBSTITUTE(TRIM(C1857)," ",REPT(" ",255)),255))," ")</f>
        <v xml:space="preserve"> </v>
      </c>
      <c r="G1857" s="110">
        <f>COPY!Z1849</f>
        <v>0</v>
      </c>
      <c r="H1857" s="111" t="str">
        <f>IFERROR(VLOOKUP(Table1722[[#This Row],[Bukti]],'Un nOTA'!$A$4:$K$5003,10,FALSE),"")</f>
        <v/>
      </c>
      <c r="I1857" s="112" t="str">
        <f>IFERROR(VLOOKUP(Table1722[[#This Row],[Bukti]],Table13[#Data],11,FALSE),"")</f>
        <v/>
      </c>
    </row>
    <row r="1858" spans="1:9" ht="19.5" hidden="1" customHeight="1" x14ac:dyDescent="0.2">
      <c r="A1858" s="105" t="str">
        <f>IF(D1858=1,COUNTIF($D$10:D1858,1)," ")</f>
        <v xml:space="preserve"> </v>
      </c>
      <c r="B1858" s="106">
        <f>COPY!AR1850</f>
        <v>0</v>
      </c>
      <c r="C1858" s="107">
        <f>COPY!AC1850</f>
        <v>0</v>
      </c>
      <c r="D1858" s="107" t="str">
        <f>IF(LEN(Table1722[[#This Row],[Uraian]])&gt;2,1," ")</f>
        <v xml:space="preserve"> </v>
      </c>
      <c r="E1858" s="113" t="str">
        <f>IF(Table1722[[#This Row],[Lawan Transaksi]]="CV AGUNG KARYA",COUNTIF($I$10:I1858,"CV AGUNG KARYA")," ")</f>
        <v xml:space="preserve"> </v>
      </c>
      <c r="F1858" s="107" t="str">
        <f>IF(LEN(Table1722[[#This Row],[Uraian]])&gt;2,TRIM(RIGHT(SUBSTITUTE(TRIM(C1858)," ",REPT(" ",255)),255))," ")</f>
        <v xml:space="preserve"> </v>
      </c>
      <c r="G1858" s="110">
        <f>COPY!Z1850</f>
        <v>0</v>
      </c>
      <c r="H1858" s="111" t="str">
        <f>IFERROR(VLOOKUP(Table1722[[#This Row],[Bukti]],'Un nOTA'!$A$4:$K$5003,10,FALSE),"")</f>
        <v/>
      </c>
      <c r="I1858" s="112" t="str">
        <f>IFERROR(VLOOKUP(Table1722[[#This Row],[Bukti]],Table13[#Data],11,FALSE),"")</f>
        <v/>
      </c>
    </row>
    <row r="1859" spans="1:9" ht="19.5" hidden="1" customHeight="1" x14ac:dyDescent="0.2">
      <c r="A1859" s="105" t="str">
        <f>IF(D1859=1,COUNTIF($D$10:D1859,1)," ")</f>
        <v xml:space="preserve"> </v>
      </c>
      <c r="B1859" s="106">
        <f>COPY!AR1851</f>
        <v>0</v>
      </c>
      <c r="C1859" s="107">
        <f>COPY!AC1851</f>
        <v>0</v>
      </c>
      <c r="D1859" s="107" t="str">
        <f>IF(LEN(Table1722[[#This Row],[Uraian]])&gt;2,1," ")</f>
        <v xml:space="preserve"> </v>
      </c>
      <c r="E1859" s="113" t="str">
        <f>IF(Table1722[[#This Row],[Lawan Transaksi]]="CV AGUNG KARYA",COUNTIF($I$10:I1859,"CV AGUNG KARYA")," ")</f>
        <v xml:space="preserve"> </v>
      </c>
      <c r="F1859" s="107" t="str">
        <f>IF(LEN(Table1722[[#This Row],[Uraian]])&gt;2,TRIM(RIGHT(SUBSTITUTE(TRIM(C1859)," ",REPT(" ",255)),255))," ")</f>
        <v xml:space="preserve"> </v>
      </c>
      <c r="G1859" s="110">
        <f>COPY!Z1851</f>
        <v>0</v>
      </c>
      <c r="H1859" s="111" t="str">
        <f>IFERROR(VLOOKUP(Table1722[[#This Row],[Bukti]],'Un nOTA'!$A$4:$K$5003,10,FALSE),"")</f>
        <v/>
      </c>
      <c r="I1859" s="112" t="str">
        <f>IFERROR(VLOOKUP(Table1722[[#This Row],[Bukti]],Table13[#Data],11,FALSE),"")</f>
        <v/>
      </c>
    </row>
    <row r="1860" spans="1:9" ht="19.5" hidden="1" customHeight="1" x14ac:dyDescent="0.2">
      <c r="A1860" s="105" t="str">
        <f>IF(D1860=1,COUNTIF($D$10:D1860,1)," ")</f>
        <v xml:space="preserve"> </v>
      </c>
      <c r="B1860" s="106">
        <f>COPY!AR1852</f>
        <v>0</v>
      </c>
      <c r="C1860" s="107">
        <f>COPY!AC1852</f>
        <v>0</v>
      </c>
      <c r="D1860" s="107" t="str">
        <f>IF(LEN(Table1722[[#This Row],[Uraian]])&gt;2,1," ")</f>
        <v xml:space="preserve"> </v>
      </c>
      <c r="E1860" s="113" t="str">
        <f>IF(Table1722[[#This Row],[Lawan Transaksi]]="CV AGUNG KARYA",COUNTIF($I$10:I1860,"CV AGUNG KARYA")," ")</f>
        <v xml:space="preserve"> </v>
      </c>
      <c r="F1860" s="107" t="str">
        <f>IF(LEN(Table1722[[#This Row],[Uraian]])&gt;2,TRIM(RIGHT(SUBSTITUTE(TRIM(C1860)," ",REPT(" ",255)),255))," ")</f>
        <v xml:space="preserve"> </v>
      </c>
      <c r="G1860" s="110">
        <f>COPY!Z1852</f>
        <v>0</v>
      </c>
      <c r="H1860" s="111" t="str">
        <f>IFERROR(VLOOKUP(Table1722[[#This Row],[Bukti]],'Un nOTA'!$A$4:$K$5003,10,FALSE),"")</f>
        <v/>
      </c>
      <c r="I1860" s="112" t="str">
        <f>IFERROR(VLOOKUP(Table1722[[#This Row],[Bukti]],Table13[#Data],11,FALSE),"")</f>
        <v/>
      </c>
    </row>
    <row r="1861" spans="1:9" ht="19.5" hidden="1" customHeight="1" x14ac:dyDescent="0.2">
      <c r="A1861" s="105" t="str">
        <f>IF(D1861=1,COUNTIF($D$10:D1861,1)," ")</f>
        <v xml:space="preserve"> </v>
      </c>
      <c r="B1861" s="106">
        <f>COPY!AR1853</f>
        <v>0</v>
      </c>
      <c r="C1861" s="107">
        <f>COPY!AC1853</f>
        <v>0</v>
      </c>
      <c r="D1861" s="107" t="str">
        <f>IF(LEN(Table1722[[#This Row],[Uraian]])&gt;2,1," ")</f>
        <v xml:space="preserve"> </v>
      </c>
      <c r="E1861" s="113" t="str">
        <f>IF(Table1722[[#This Row],[Lawan Transaksi]]="CV AGUNG KARYA",COUNTIF($I$10:I1861,"CV AGUNG KARYA")," ")</f>
        <v xml:space="preserve"> </v>
      </c>
      <c r="F1861" s="107" t="str">
        <f>IF(LEN(Table1722[[#This Row],[Uraian]])&gt;2,TRIM(RIGHT(SUBSTITUTE(TRIM(C1861)," ",REPT(" ",255)),255))," ")</f>
        <v xml:space="preserve"> </v>
      </c>
      <c r="G1861" s="110">
        <f>COPY!Z1853</f>
        <v>0</v>
      </c>
      <c r="H1861" s="111" t="str">
        <f>IFERROR(VLOOKUP(Table1722[[#This Row],[Bukti]],'Un nOTA'!$A$4:$K$5003,10,FALSE),"")</f>
        <v/>
      </c>
      <c r="I1861" s="112" t="str">
        <f>IFERROR(VLOOKUP(Table1722[[#This Row],[Bukti]],Table13[#Data],11,FALSE),"")</f>
        <v/>
      </c>
    </row>
    <row r="1862" spans="1:9" ht="19.5" hidden="1" customHeight="1" x14ac:dyDescent="0.2">
      <c r="A1862" s="105" t="str">
        <f>IF(D1862=1,COUNTIF($D$10:D1862,1)," ")</f>
        <v xml:space="preserve"> </v>
      </c>
      <c r="B1862" s="106">
        <f>COPY!AR1854</f>
        <v>0</v>
      </c>
      <c r="C1862" s="107">
        <f>COPY!AC1854</f>
        <v>0</v>
      </c>
      <c r="D1862" s="107" t="str">
        <f>IF(LEN(Table1722[[#This Row],[Uraian]])&gt;2,1," ")</f>
        <v xml:space="preserve"> </v>
      </c>
      <c r="E1862" s="113" t="str">
        <f>IF(Table1722[[#This Row],[Lawan Transaksi]]="CV AGUNG KARYA",COUNTIF($I$10:I1862,"CV AGUNG KARYA")," ")</f>
        <v xml:space="preserve"> </v>
      </c>
      <c r="F1862" s="107" t="str">
        <f>IF(LEN(Table1722[[#This Row],[Uraian]])&gt;2,TRIM(RIGHT(SUBSTITUTE(TRIM(C1862)," ",REPT(" ",255)),255))," ")</f>
        <v xml:space="preserve"> </v>
      </c>
      <c r="G1862" s="110">
        <f>COPY!Z1854</f>
        <v>0</v>
      </c>
      <c r="H1862" s="111" t="str">
        <f>IFERROR(VLOOKUP(Table1722[[#This Row],[Bukti]],'Un nOTA'!$A$4:$K$5003,10,FALSE),"")</f>
        <v/>
      </c>
      <c r="I1862" s="112" t="str">
        <f>IFERROR(VLOOKUP(Table1722[[#This Row],[Bukti]],Table13[#Data],11,FALSE),"")</f>
        <v/>
      </c>
    </row>
    <row r="1863" spans="1:9" ht="19.5" hidden="1" customHeight="1" x14ac:dyDescent="0.2">
      <c r="A1863" s="105" t="str">
        <f>IF(D1863=1,COUNTIF($D$10:D1863,1)," ")</f>
        <v xml:space="preserve"> </v>
      </c>
      <c r="B1863" s="106">
        <f>COPY!AR1855</f>
        <v>0</v>
      </c>
      <c r="C1863" s="107">
        <f>COPY!AC1855</f>
        <v>0</v>
      </c>
      <c r="D1863" s="107" t="str">
        <f>IF(LEN(Table1722[[#This Row],[Uraian]])&gt;2,1," ")</f>
        <v xml:space="preserve"> </v>
      </c>
      <c r="E1863" s="113" t="str">
        <f>IF(Table1722[[#This Row],[Lawan Transaksi]]="CV AGUNG KARYA",COUNTIF($I$10:I1863,"CV AGUNG KARYA")," ")</f>
        <v xml:space="preserve"> </v>
      </c>
      <c r="F1863" s="107" t="str">
        <f>IF(LEN(Table1722[[#This Row],[Uraian]])&gt;2,TRIM(RIGHT(SUBSTITUTE(TRIM(C1863)," ",REPT(" ",255)),255))," ")</f>
        <v xml:space="preserve"> </v>
      </c>
      <c r="G1863" s="110">
        <f>COPY!Z1855</f>
        <v>0</v>
      </c>
      <c r="H1863" s="111" t="str">
        <f>IFERROR(VLOOKUP(Table1722[[#This Row],[Bukti]],'Un nOTA'!$A$4:$K$5003,10,FALSE),"")</f>
        <v/>
      </c>
      <c r="I1863" s="112" t="str">
        <f>IFERROR(VLOOKUP(Table1722[[#This Row],[Bukti]],Table13[#Data],11,FALSE),"")</f>
        <v/>
      </c>
    </row>
    <row r="1864" spans="1:9" ht="19.5" hidden="1" customHeight="1" x14ac:dyDescent="0.2">
      <c r="A1864" s="105" t="str">
        <f>IF(D1864=1,COUNTIF($D$10:D1864,1)," ")</f>
        <v xml:space="preserve"> </v>
      </c>
      <c r="B1864" s="106">
        <f>COPY!AR1856</f>
        <v>0</v>
      </c>
      <c r="C1864" s="107">
        <f>COPY!AC1856</f>
        <v>0</v>
      </c>
      <c r="D1864" s="107" t="str">
        <f>IF(LEN(Table1722[[#This Row],[Uraian]])&gt;2,1," ")</f>
        <v xml:space="preserve"> </v>
      </c>
      <c r="E1864" s="113" t="str">
        <f>IF(Table1722[[#This Row],[Lawan Transaksi]]="CV AGUNG KARYA",COUNTIF($I$10:I1864,"CV AGUNG KARYA")," ")</f>
        <v xml:space="preserve"> </v>
      </c>
      <c r="F1864" s="107" t="str">
        <f>IF(LEN(Table1722[[#This Row],[Uraian]])&gt;2,TRIM(RIGHT(SUBSTITUTE(TRIM(C1864)," ",REPT(" ",255)),255))," ")</f>
        <v xml:space="preserve"> </v>
      </c>
      <c r="G1864" s="110">
        <f>COPY!Z1856</f>
        <v>0</v>
      </c>
      <c r="H1864" s="111" t="str">
        <f>IFERROR(VLOOKUP(Table1722[[#This Row],[Bukti]],'Un nOTA'!$A$4:$K$5003,10,FALSE),"")</f>
        <v/>
      </c>
      <c r="I1864" s="112" t="str">
        <f>IFERROR(VLOOKUP(Table1722[[#This Row],[Bukti]],Table13[#Data],11,FALSE),"")</f>
        <v/>
      </c>
    </row>
    <row r="1865" spans="1:9" ht="19.5" hidden="1" customHeight="1" x14ac:dyDescent="0.2">
      <c r="A1865" s="105" t="str">
        <f>IF(D1865=1,COUNTIF($D$10:D1865,1)," ")</f>
        <v xml:space="preserve"> </v>
      </c>
      <c r="B1865" s="106">
        <f>COPY!AR1857</f>
        <v>0</v>
      </c>
      <c r="C1865" s="107">
        <f>COPY!AC1857</f>
        <v>0</v>
      </c>
      <c r="D1865" s="107" t="str">
        <f>IF(LEN(Table1722[[#This Row],[Uraian]])&gt;2,1," ")</f>
        <v xml:space="preserve"> </v>
      </c>
      <c r="E1865" s="113" t="str">
        <f>IF(Table1722[[#This Row],[Lawan Transaksi]]="CV AGUNG KARYA",COUNTIF($I$10:I1865,"CV AGUNG KARYA")," ")</f>
        <v xml:space="preserve"> </v>
      </c>
      <c r="F1865" s="107" t="str">
        <f>IF(LEN(Table1722[[#This Row],[Uraian]])&gt;2,TRIM(RIGHT(SUBSTITUTE(TRIM(C1865)," ",REPT(" ",255)),255))," ")</f>
        <v xml:space="preserve"> </v>
      </c>
      <c r="G1865" s="110">
        <f>COPY!Z1857</f>
        <v>0</v>
      </c>
      <c r="H1865" s="111" t="str">
        <f>IFERROR(VLOOKUP(Table1722[[#This Row],[Bukti]],'Un nOTA'!$A$4:$K$5003,10,FALSE),"")</f>
        <v/>
      </c>
      <c r="I1865" s="112" t="str">
        <f>IFERROR(VLOOKUP(Table1722[[#This Row],[Bukti]],Table13[#Data],11,FALSE),"")</f>
        <v/>
      </c>
    </row>
    <row r="1866" spans="1:9" ht="19.5" hidden="1" customHeight="1" x14ac:dyDescent="0.2">
      <c r="A1866" s="105" t="str">
        <f>IF(D1866=1,COUNTIF($D$10:D1866,1)," ")</f>
        <v xml:space="preserve"> </v>
      </c>
      <c r="B1866" s="106">
        <f>COPY!AR1858</f>
        <v>0</v>
      </c>
      <c r="C1866" s="107">
        <f>COPY!AC1858</f>
        <v>0</v>
      </c>
      <c r="D1866" s="107" t="str">
        <f>IF(LEN(Table1722[[#This Row],[Uraian]])&gt;2,1," ")</f>
        <v xml:space="preserve"> </v>
      </c>
      <c r="E1866" s="113" t="str">
        <f>IF(Table1722[[#This Row],[Lawan Transaksi]]="CV AGUNG KARYA",COUNTIF($I$10:I1866,"CV AGUNG KARYA")," ")</f>
        <v xml:space="preserve"> </v>
      </c>
      <c r="F1866" s="107" t="str">
        <f>IF(LEN(Table1722[[#This Row],[Uraian]])&gt;2,TRIM(RIGHT(SUBSTITUTE(TRIM(C1866)," ",REPT(" ",255)),255))," ")</f>
        <v xml:space="preserve"> </v>
      </c>
      <c r="G1866" s="110">
        <f>COPY!Z1858</f>
        <v>0</v>
      </c>
      <c r="H1866" s="111" t="str">
        <f>IFERROR(VLOOKUP(Table1722[[#This Row],[Bukti]],'Un nOTA'!$A$4:$K$5003,10,FALSE),"")</f>
        <v/>
      </c>
      <c r="I1866" s="112" t="str">
        <f>IFERROR(VLOOKUP(Table1722[[#This Row],[Bukti]],Table13[#Data],11,FALSE),"")</f>
        <v/>
      </c>
    </row>
    <row r="1867" spans="1:9" ht="19.5" hidden="1" customHeight="1" x14ac:dyDescent="0.2">
      <c r="A1867" s="105" t="str">
        <f>IF(D1867=1,COUNTIF($D$10:D1867,1)," ")</f>
        <v xml:space="preserve"> </v>
      </c>
      <c r="B1867" s="106">
        <f>COPY!AR1859</f>
        <v>0</v>
      </c>
      <c r="C1867" s="107">
        <f>COPY!AC1859</f>
        <v>0</v>
      </c>
      <c r="D1867" s="107" t="str">
        <f>IF(LEN(Table1722[[#This Row],[Uraian]])&gt;2,1," ")</f>
        <v xml:space="preserve"> </v>
      </c>
      <c r="E1867" s="113" t="str">
        <f>IF(Table1722[[#This Row],[Lawan Transaksi]]="CV AGUNG KARYA",COUNTIF($I$10:I1867,"CV AGUNG KARYA")," ")</f>
        <v xml:space="preserve"> </v>
      </c>
      <c r="F1867" s="107" t="str">
        <f>IF(LEN(Table1722[[#This Row],[Uraian]])&gt;2,TRIM(RIGHT(SUBSTITUTE(TRIM(C1867)," ",REPT(" ",255)),255))," ")</f>
        <v xml:space="preserve"> </v>
      </c>
      <c r="G1867" s="110">
        <f>COPY!Z1859</f>
        <v>0</v>
      </c>
      <c r="H1867" s="111" t="str">
        <f>IFERROR(VLOOKUP(Table1722[[#This Row],[Bukti]],'Un nOTA'!$A$4:$K$5003,10,FALSE),"")</f>
        <v/>
      </c>
      <c r="I1867" s="112" t="str">
        <f>IFERROR(VLOOKUP(Table1722[[#This Row],[Bukti]],Table13[#Data],11,FALSE),"")</f>
        <v/>
      </c>
    </row>
    <row r="1868" spans="1:9" ht="19.5" hidden="1" customHeight="1" x14ac:dyDescent="0.2">
      <c r="A1868" s="105" t="str">
        <f>IF(D1868=1,COUNTIF($D$10:D1868,1)," ")</f>
        <v xml:space="preserve"> </v>
      </c>
      <c r="B1868" s="106">
        <f>COPY!AR1860</f>
        <v>0</v>
      </c>
      <c r="C1868" s="107">
        <f>COPY!AC1860</f>
        <v>0</v>
      </c>
      <c r="D1868" s="107" t="str">
        <f>IF(LEN(Table1722[[#This Row],[Uraian]])&gt;2,1," ")</f>
        <v xml:space="preserve"> </v>
      </c>
      <c r="E1868" s="113" t="str">
        <f>IF(Table1722[[#This Row],[Lawan Transaksi]]="CV AGUNG KARYA",COUNTIF($I$10:I1868,"CV AGUNG KARYA")," ")</f>
        <v xml:space="preserve"> </v>
      </c>
      <c r="F1868" s="107" t="str">
        <f>IF(LEN(Table1722[[#This Row],[Uraian]])&gt;2,TRIM(RIGHT(SUBSTITUTE(TRIM(C1868)," ",REPT(" ",255)),255))," ")</f>
        <v xml:space="preserve"> </v>
      </c>
      <c r="G1868" s="110">
        <f>COPY!Z1860</f>
        <v>0</v>
      </c>
      <c r="H1868" s="111" t="str">
        <f>IFERROR(VLOOKUP(Table1722[[#This Row],[Bukti]],'Un nOTA'!$A$4:$K$5003,10,FALSE),"")</f>
        <v/>
      </c>
      <c r="I1868" s="112" t="str">
        <f>IFERROR(VLOOKUP(Table1722[[#This Row],[Bukti]],Table13[#Data],11,FALSE),"")</f>
        <v/>
      </c>
    </row>
    <row r="1869" spans="1:9" ht="19.5" hidden="1" customHeight="1" x14ac:dyDescent="0.2">
      <c r="A1869" s="105" t="str">
        <f>IF(D1869=1,COUNTIF($D$10:D1869,1)," ")</f>
        <v xml:space="preserve"> </v>
      </c>
      <c r="B1869" s="106">
        <f>COPY!AR1861</f>
        <v>0</v>
      </c>
      <c r="C1869" s="107">
        <f>COPY!AC1861</f>
        <v>0</v>
      </c>
      <c r="D1869" s="107" t="str">
        <f>IF(LEN(Table1722[[#This Row],[Uraian]])&gt;2,1," ")</f>
        <v xml:space="preserve"> </v>
      </c>
      <c r="E1869" s="113" t="str">
        <f>IF(Table1722[[#This Row],[Lawan Transaksi]]="CV AGUNG KARYA",COUNTIF($I$10:I1869,"CV AGUNG KARYA")," ")</f>
        <v xml:space="preserve"> </v>
      </c>
      <c r="F1869" s="107" t="str">
        <f>IF(LEN(Table1722[[#This Row],[Uraian]])&gt;2,TRIM(RIGHT(SUBSTITUTE(TRIM(C1869)," ",REPT(" ",255)),255))," ")</f>
        <v xml:space="preserve"> </v>
      </c>
      <c r="G1869" s="110">
        <f>COPY!Z1861</f>
        <v>0</v>
      </c>
      <c r="H1869" s="111" t="str">
        <f>IFERROR(VLOOKUP(Table1722[[#This Row],[Bukti]],'Un nOTA'!$A$4:$K$5003,10,FALSE),"")</f>
        <v/>
      </c>
      <c r="I1869" s="112" t="str">
        <f>IFERROR(VLOOKUP(Table1722[[#This Row],[Bukti]],Table13[#Data],11,FALSE),"")</f>
        <v/>
      </c>
    </row>
    <row r="1870" spans="1:9" ht="19.5" hidden="1" customHeight="1" x14ac:dyDescent="0.2">
      <c r="A1870" s="105" t="str">
        <f>IF(D1870=1,COUNTIF($D$10:D1870,1)," ")</f>
        <v xml:space="preserve"> </v>
      </c>
      <c r="B1870" s="106">
        <f>COPY!AR1862</f>
        <v>0</v>
      </c>
      <c r="C1870" s="107">
        <f>COPY!AC1862</f>
        <v>0</v>
      </c>
      <c r="D1870" s="107" t="str">
        <f>IF(LEN(Table1722[[#This Row],[Uraian]])&gt;2,1," ")</f>
        <v xml:space="preserve"> </v>
      </c>
      <c r="E1870" s="113" t="str">
        <f>IF(Table1722[[#This Row],[Lawan Transaksi]]="CV AGUNG KARYA",COUNTIF($I$10:I1870,"CV AGUNG KARYA")," ")</f>
        <v xml:space="preserve"> </v>
      </c>
      <c r="F1870" s="107" t="str">
        <f>IF(LEN(Table1722[[#This Row],[Uraian]])&gt;2,TRIM(RIGHT(SUBSTITUTE(TRIM(C1870)," ",REPT(" ",255)),255))," ")</f>
        <v xml:space="preserve"> </v>
      </c>
      <c r="G1870" s="110">
        <f>COPY!Z1862</f>
        <v>0</v>
      </c>
      <c r="H1870" s="111" t="str">
        <f>IFERROR(VLOOKUP(Table1722[[#This Row],[Bukti]],'Un nOTA'!$A$4:$K$5003,10,FALSE),"")</f>
        <v/>
      </c>
      <c r="I1870" s="112" t="str">
        <f>IFERROR(VLOOKUP(Table1722[[#This Row],[Bukti]],Table13[#Data],11,FALSE),"")</f>
        <v/>
      </c>
    </row>
    <row r="1871" spans="1:9" ht="19.5" hidden="1" customHeight="1" x14ac:dyDescent="0.2">
      <c r="A1871" s="105" t="str">
        <f>IF(D1871=1,COUNTIF($D$10:D1871,1)," ")</f>
        <v xml:space="preserve"> </v>
      </c>
      <c r="B1871" s="106">
        <f>COPY!AR1863</f>
        <v>0</v>
      </c>
      <c r="C1871" s="107">
        <f>COPY!AC1863</f>
        <v>0</v>
      </c>
      <c r="D1871" s="107" t="str">
        <f>IF(LEN(Table1722[[#This Row],[Uraian]])&gt;2,1," ")</f>
        <v xml:space="preserve"> </v>
      </c>
      <c r="E1871" s="113" t="str">
        <f>IF(Table1722[[#This Row],[Lawan Transaksi]]="CV AGUNG KARYA",COUNTIF($I$10:I1871,"CV AGUNG KARYA")," ")</f>
        <v xml:space="preserve"> </v>
      </c>
      <c r="F1871" s="107" t="str">
        <f>IF(LEN(Table1722[[#This Row],[Uraian]])&gt;2,TRIM(RIGHT(SUBSTITUTE(TRIM(C1871)," ",REPT(" ",255)),255))," ")</f>
        <v xml:space="preserve"> </v>
      </c>
      <c r="G1871" s="110">
        <f>COPY!Z1863</f>
        <v>0</v>
      </c>
      <c r="H1871" s="111" t="str">
        <f>IFERROR(VLOOKUP(Table1722[[#This Row],[Bukti]],'Un nOTA'!$A$4:$K$5003,10,FALSE),"")</f>
        <v/>
      </c>
      <c r="I1871" s="112" t="str">
        <f>IFERROR(VLOOKUP(Table1722[[#This Row],[Bukti]],Table13[#Data],11,FALSE),"")</f>
        <v/>
      </c>
    </row>
    <row r="1872" spans="1:9" ht="19.5" hidden="1" customHeight="1" x14ac:dyDescent="0.2">
      <c r="A1872" s="105" t="str">
        <f>IF(D1872=1,COUNTIF($D$10:D1872,1)," ")</f>
        <v xml:space="preserve"> </v>
      </c>
      <c r="B1872" s="106">
        <f>COPY!AR1864</f>
        <v>0</v>
      </c>
      <c r="C1872" s="107">
        <f>COPY!AC1864</f>
        <v>0</v>
      </c>
      <c r="D1872" s="107" t="str">
        <f>IF(LEN(Table1722[[#This Row],[Uraian]])&gt;2,1," ")</f>
        <v xml:space="preserve"> </v>
      </c>
      <c r="E1872" s="113" t="str">
        <f>IF(Table1722[[#This Row],[Lawan Transaksi]]="CV AGUNG KARYA",COUNTIF($I$10:I1872,"CV AGUNG KARYA")," ")</f>
        <v xml:space="preserve"> </v>
      </c>
      <c r="F1872" s="107" t="str">
        <f>IF(LEN(Table1722[[#This Row],[Uraian]])&gt;2,TRIM(RIGHT(SUBSTITUTE(TRIM(C1872)," ",REPT(" ",255)),255))," ")</f>
        <v xml:space="preserve"> </v>
      </c>
      <c r="G1872" s="110">
        <f>COPY!Z1864</f>
        <v>0</v>
      </c>
      <c r="H1872" s="111" t="str">
        <f>IFERROR(VLOOKUP(Table1722[[#This Row],[Bukti]],'Un nOTA'!$A$4:$K$5003,10,FALSE),"")</f>
        <v/>
      </c>
      <c r="I1872" s="112" t="str">
        <f>IFERROR(VLOOKUP(Table1722[[#This Row],[Bukti]],Table13[#Data],11,FALSE),"")</f>
        <v/>
      </c>
    </row>
    <row r="1873" spans="1:9" ht="19.5" hidden="1" customHeight="1" x14ac:dyDescent="0.2">
      <c r="A1873" s="105" t="str">
        <f>IF(D1873=1,COUNTIF($D$10:D1873,1)," ")</f>
        <v xml:space="preserve"> </v>
      </c>
      <c r="B1873" s="106">
        <f>COPY!AR1865</f>
        <v>0</v>
      </c>
      <c r="C1873" s="107">
        <f>COPY!AC1865</f>
        <v>0</v>
      </c>
      <c r="D1873" s="107" t="str">
        <f>IF(LEN(Table1722[[#This Row],[Uraian]])&gt;2,1," ")</f>
        <v xml:space="preserve"> </v>
      </c>
      <c r="E1873" s="113" t="str">
        <f>IF(Table1722[[#This Row],[Lawan Transaksi]]="CV AGUNG KARYA",COUNTIF($I$10:I1873,"CV AGUNG KARYA")," ")</f>
        <v xml:space="preserve"> </v>
      </c>
      <c r="F1873" s="107" t="str">
        <f>IF(LEN(Table1722[[#This Row],[Uraian]])&gt;2,TRIM(RIGHT(SUBSTITUTE(TRIM(C1873)," ",REPT(" ",255)),255))," ")</f>
        <v xml:space="preserve"> </v>
      </c>
      <c r="G1873" s="110">
        <f>COPY!Z1865</f>
        <v>0</v>
      </c>
      <c r="H1873" s="111" t="str">
        <f>IFERROR(VLOOKUP(Table1722[[#This Row],[Bukti]],'Un nOTA'!$A$4:$K$5003,10,FALSE),"")</f>
        <v/>
      </c>
      <c r="I1873" s="112" t="str">
        <f>IFERROR(VLOOKUP(Table1722[[#This Row],[Bukti]],Table13[#Data],11,FALSE),"")</f>
        <v/>
      </c>
    </row>
    <row r="1874" spans="1:9" ht="19.5" hidden="1" customHeight="1" x14ac:dyDescent="0.2">
      <c r="A1874" s="105" t="str">
        <f>IF(D1874=1,COUNTIF($D$10:D1874,1)," ")</f>
        <v xml:space="preserve"> </v>
      </c>
      <c r="B1874" s="106">
        <f>COPY!AR1866</f>
        <v>0</v>
      </c>
      <c r="C1874" s="107">
        <f>COPY!AC1866</f>
        <v>0</v>
      </c>
      <c r="D1874" s="107" t="str">
        <f>IF(LEN(Table1722[[#This Row],[Uraian]])&gt;2,1," ")</f>
        <v xml:space="preserve"> </v>
      </c>
      <c r="E1874" s="113" t="str">
        <f>IF(Table1722[[#This Row],[Lawan Transaksi]]="CV AGUNG KARYA",COUNTIF($I$10:I1874,"CV AGUNG KARYA")," ")</f>
        <v xml:space="preserve"> </v>
      </c>
      <c r="F1874" s="107" t="str">
        <f>IF(LEN(Table1722[[#This Row],[Uraian]])&gt;2,TRIM(RIGHT(SUBSTITUTE(TRIM(C1874)," ",REPT(" ",255)),255))," ")</f>
        <v xml:space="preserve"> </v>
      </c>
      <c r="G1874" s="110">
        <f>COPY!Z1866</f>
        <v>0</v>
      </c>
      <c r="H1874" s="111" t="str">
        <f>IFERROR(VLOOKUP(Table1722[[#This Row],[Bukti]],'Un nOTA'!$A$4:$K$5003,10,FALSE),"")</f>
        <v/>
      </c>
      <c r="I1874" s="112" t="str">
        <f>IFERROR(VLOOKUP(Table1722[[#This Row],[Bukti]],Table13[#Data],11,FALSE),"")</f>
        <v/>
      </c>
    </row>
    <row r="1875" spans="1:9" ht="19.5" hidden="1" customHeight="1" x14ac:dyDescent="0.2">
      <c r="A1875" s="105" t="str">
        <f>IF(D1875=1,COUNTIF($D$10:D1875,1)," ")</f>
        <v xml:space="preserve"> </v>
      </c>
      <c r="B1875" s="106">
        <f>COPY!AR1867</f>
        <v>0</v>
      </c>
      <c r="C1875" s="107">
        <f>COPY!AC1867</f>
        <v>0</v>
      </c>
      <c r="D1875" s="107" t="str">
        <f>IF(LEN(Table1722[[#This Row],[Uraian]])&gt;2,1," ")</f>
        <v xml:space="preserve"> </v>
      </c>
      <c r="E1875" s="113" t="str">
        <f>IF(Table1722[[#This Row],[Lawan Transaksi]]="CV AGUNG KARYA",COUNTIF($I$10:I1875,"CV AGUNG KARYA")," ")</f>
        <v xml:space="preserve"> </v>
      </c>
      <c r="F1875" s="107" t="str">
        <f>IF(LEN(Table1722[[#This Row],[Uraian]])&gt;2,TRIM(RIGHT(SUBSTITUTE(TRIM(C1875)," ",REPT(" ",255)),255))," ")</f>
        <v xml:space="preserve"> </v>
      </c>
      <c r="G1875" s="110">
        <f>COPY!Z1867</f>
        <v>0</v>
      </c>
      <c r="H1875" s="111" t="str">
        <f>IFERROR(VLOOKUP(Table1722[[#This Row],[Bukti]],'Un nOTA'!$A$4:$K$5003,10,FALSE),"")</f>
        <v/>
      </c>
      <c r="I1875" s="112" t="str">
        <f>IFERROR(VLOOKUP(Table1722[[#This Row],[Bukti]],Table13[#Data],11,FALSE),"")</f>
        <v/>
      </c>
    </row>
    <row r="1876" spans="1:9" ht="19.5" hidden="1" customHeight="1" x14ac:dyDescent="0.2">
      <c r="A1876" s="105" t="str">
        <f>IF(D1876=1,COUNTIF($D$10:D1876,1)," ")</f>
        <v xml:space="preserve"> </v>
      </c>
      <c r="B1876" s="106">
        <f>COPY!AR1868</f>
        <v>0</v>
      </c>
      <c r="C1876" s="107">
        <f>COPY!AC1868</f>
        <v>0</v>
      </c>
      <c r="D1876" s="107" t="str">
        <f>IF(LEN(Table1722[[#This Row],[Uraian]])&gt;2,1," ")</f>
        <v xml:space="preserve"> </v>
      </c>
      <c r="E1876" s="113" t="str">
        <f>IF(Table1722[[#This Row],[Lawan Transaksi]]="CV AGUNG KARYA",COUNTIF($I$10:I1876,"CV AGUNG KARYA")," ")</f>
        <v xml:space="preserve"> </v>
      </c>
      <c r="F1876" s="107" t="str">
        <f>IF(LEN(Table1722[[#This Row],[Uraian]])&gt;2,TRIM(RIGHT(SUBSTITUTE(TRIM(C1876)," ",REPT(" ",255)),255))," ")</f>
        <v xml:space="preserve"> </v>
      </c>
      <c r="G1876" s="110">
        <f>COPY!Z1868</f>
        <v>0</v>
      </c>
      <c r="H1876" s="111" t="str">
        <f>IFERROR(VLOOKUP(Table1722[[#This Row],[Bukti]],'Un nOTA'!$A$4:$K$5003,10,FALSE),"")</f>
        <v/>
      </c>
      <c r="I1876" s="112" t="str">
        <f>IFERROR(VLOOKUP(Table1722[[#This Row],[Bukti]],Table13[#Data],11,FALSE),"")</f>
        <v/>
      </c>
    </row>
    <row r="1877" spans="1:9" ht="19.5" hidden="1" customHeight="1" x14ac:dyDescent="0.2">
      <c r="A1877" s="105" t="str">
        <f>IF(D1877=1,COUNTIF($D$10:D1877,1)," ")</f>
        <v xml:space="preserve"> </v>
      </c>
      <c r="B1877" s="106">
        <f>COPY!AR1869</f>
        <v>0</v>
      </c>
      <c r="C1877" s="107">
        <f>COPY!AC1869</f>
        <v>0</v>
      </c>
      <c r="D1877" s="107" t="str">
        <f>IF(LEN(Table1722[[#This Row],[Uraian]])&gt;2,1," ")</f>
        <v xml:space="preserve"> </v>
      </c>
      <c r="E1877" s="113" t="str">
        <f>IF(Table1722[[#This Row],[Lawan Transaksi]]="CV AGUNG KARYA",COUNTIF($I$10:I1877,"CV AGUNG KARYA")," ")</f>
        <v xml:space="preserve"> </v>
      </c>
      <c r="F1877" s="107" t="str">
        <f>IF(LEN(Table1722[[#This Row],[Uraian]])&gt;2,TRIM(RIGHT(SUBSTITUTE(TRIM(C1877)," ",REPT(" ",255)),255))," ")</f>
        <v xml:space="preserve"> </v>
      </c>
      <c r="G1877" s="110">
        <f>COPY!Z1869</f>
        <v>0</v>
      </c>
      <c r="H1877" s="111" t="str">
        <f>IFERROR(VLOOKUP(Table1722[[#This Row],[Bukti]],'Un nOTA'!$A$4:$K$5003,10,FALSE),"")</f>
        <v/>
      </c>
      <c r="I1877" s="112" t="str">
        <f>IFERROR(VLOOKUP(Table1722[[#This Row],[Bukti]],Table13[#Data],11,FALSE),"")</f>
        <v/>
      </c>
    </row>
    <row r="1878" spans="1:9" ht="19.5" hidden="1" customHeight="1" x14ac:dyDescent="0.2">
      <c r="A1878" s="105" t="str">
        <f>IF(D1878=1,COUNTIF($D$10:D1878,1)," ")</f>
        <v xml:space="preserve"> </v>
      </c>
      <c r="B1878" s="106">
        <f>COPY!AR1870</f>
        <v>0</v>
      </c>
      <c r="C1878" s="107">
        <f>COPY!AC1870</f>
        <v>0</v>
      </c>
      <c r="D1878" s="107" t="str">
        <f>IF(LEN(Table1722[[#This Row],[Uraian]])&gt;2,1," ")</f>
        <v xml:space="preserve"> </v>
      </c>
      <c r="E1878" s="113" t="str">
        <f>IF(Table1722[[#This Row],[Lawan Transaksi]]="CV AGUNG KARYA",COUNTIF($I$10:I1878,"CV AGUNG KARYA")," ")</f>
        <v xml:space="preserve"> </v>
      </c>
      <c r="F1878" s="107" t="str">
        <f>IF(LEN(Table1722[[#This Row],[Uraian]])&gt;2,TRIM(RIGHT(SUBSTITUTE(TRIM(C1878)," ",REPT(" ",255)),255))," ")</f>
        <v xml:space="preserve"> </v>
      </c>
      <c r="G1878" s="110">
        <f>COPY!Z1870</f>
        <v>0</v>
      </c>
      <c r="H1878" s="111" t="str">
        <f>IFERROR(VLOOKUP(Table1722[[#This Row],[Bukti]],'Un nOTA'!$A$4:$K$5003,10,FALSE),"")</f>
        <v/>
      </c>
      <c r="I1878" s="112" t="str">
        <f>IFERROR(VLOOKUP(Table1722[[#This Row],[Bukti]],Table13[#Data],11,FALSE),"")</f>
        <v/>
      </c>
    </row>
    <row r="1879" spans="1:9" ht="19.5" hidden="1" customHeight="1" x14ac:dyDescent="0.2">
      <c r="A1879" s="105" t="str">
        <f>IF(D1879=1,COUNTIF($D$10:D1879,1)," ")</f>
        <v xml:space="preserve"> </v>
      </c>
      <c r="B1879" s="106">
        <f>COPY!AR1871</f>
        <v>0</v>
      </c>
      <c r="C1879" s="107">
        <f>COPY!AC1871</f>
        <v>0</v>
      </c>
      <c r="D1879" s="107" t="str">
        <f>IF(LEN(Table1722[[#This Row],[Uraian]])&gt;2,1," ")</f>
        <v xml:space="preserve"> </v>
      </c>
      <c r="E1879" s="113" t="str">
        <f>IF(Table1722[[#This Row],[Lawan Transaksi]]="CV AGUNG KARYA",COUNTIF($I$10:I1879,"CV AGUNG KARYA")," ")</f>
        <v xml:space="preserve"> </v>
      </c>
      <c r="F1879" s="107" t="str">
        <f>IF(LEN(Table1722[[#This Row],[Uraian]])&gt;2,TRIM(RIGHT(SUBSTITUTE(TRIM(C1879)," ",REPT(" ",255)),255))," ")</f>
        <v xml:space="preserve"> </v>
      </c>
      <c r="G1879" s="110">
        <f>COPY!Z1871</f>
        <v>0</v>
      </c>
      <c r="H1879" s="111" t="str">
        <f>IFERROR(VLOOKUP(Table1722[[#This Row],[Bukti]],'Un nOTA'!$A$4:$K$5003,10,FALSE),"")</f>
        <v/>
      </c>
      <c r="I1879" s="112" t="str">
        <f>IFERROR(VLOOKUP(Table1722[[#This Row],[Bukti]],Table13[#Data],11,FALSE),"")</f>
        <v/>
      </c>
    </row>
    <row r="1880" spans="1:9" ht="19.5" hidden="1" customHeight="1" x14ac:dyDescent="0.2">
      <c r="A1880" s="105" t="str">
        <f>IF(D1880=1,COUNTIF($D$10:D1880,1)," ")</f>
        <v xml:space="preserve"> </v>
      </c>
      <c r="B1880" s="106">
        <f>COPY!AR1872</f>
        <v>0</v>
      </c>
      <c r="C1880" s="107">
        <f>COPY!AC1872</f>
        <v>0</v>
      </c>
      <c r="D1880" s="107" t="str">
        <f>IF(LEN(Table1722[[#This Row],[Uraian]])&gt;2,1," ")</f>
        <v xml:space="preserve"> </v>
      </c>
      <c r="E1880" s="113" t="str">
        <f>IF(Table1722[[#This Row],[Lawan Transaksi]]="CV AGUNG KARYA",COUNTIF($I$10:I1880,"CV AGUNG KARYA")," ")</f>
        <v xml:space="preserve"> </v>
      </c>
      <c r="F1880" s="107" t="str">
        <f>IF(LEN(Table1722[[#This Row],[Uraian]])&gt;2,TRIM(RIGHT(SUBSTITUTE(TRIM(C1880)," ",REPT(" ",255)),255))," ")</f>
        <v xml:space="preserve"> </v>
      </c>
      <c r="G1880" s="110">
        <f>COPY!Z1872</f>
        <v>0</v>
      </c>
      <c r="H1880" s="111" t="str">
        <f>IFERROR(VLOOKUP(Table1722[[#This Row],[Bukti]],'Un nOTA'!$A$4:$K$5003,10,FALSE),"")</f>
        <v/>
      </c>
      <c r="I1880" s="112" t="str">
        <f>IFERROR(VLOOKUP(Table1722[[#This Row],[Bukti]],Table13[#Data],11,FALSE),"")</f>
        <v/>
      </c>
    </row>
    <row r="1881" spans="1:9" ht="19.5" hidden="1" customHeight="1" x14ac:dyDescent="0.2">
      <c r="A1881" s="105" t="str">
        <f>IF(D1881=1,COUNTIF($D$10:D1881,1)," ")</f>
        <v xml:space="preserve"> </v>
      </c>
      <c r="B1881" s="106">
        <f>COPY!AR1873</f>
        <v>0</v>
      </c>
      <c r="C1881" s="107">
        <f>COPY!AC1873</f>
        <v>0</v>
      </c>
      <c r="D1881" s="107" t="str">
        <f>IF(LEN(Table1722[[#This Row],[Uraian]])&gt;2,1," ")</f>
        <v xml:space="preserve"> </v>
      </c>
      <c r="E1881" s="113" t="str">
        <f>IF(Table1722[[#This Row],[Lawan Transaksi]]="CV AGUNG KARYA",COUNTIF($I$10:I1881,"CV AGUNG KARYA")," ")</f>
        <v xml:space="preserve"> </v>
      </c>
      <c r="F1881" s="107" t="str">
        <f>IF(LEN(Table1722[[#This Row],[Uraian]])&gt;2,TRIM(RIGHT(SUBSTITUTE(TRIM(C1881)," ",REPT(" ",255)),255))," ")</f>
        <v xml:space="preserve"> </v>
      </c>
      <c r="G1881" s="110">
        <f>COPY!Z1873</f>
        <v>0</v>
      </c>
      <c r="H1881" s="111" t="str">
        <f>IFERROR(VLOOKUP(Table1722[[#This Row],[Bukti]],'Un nOTA'!$A$4:$K$5003,10,FALSE),"")</f>
        <v/>
      </c>
      <c r="I1881" s="112" t="str">
        <f>IFERROR(VLOOKUP(Table1722[[#This Row],[Bukti]],Table13[#Data],11,FALSE),"")</f>
        <v/>
      </c>
    </row>
    <row r="1882" spans="1:9" ht="19.5" hidden="1" customHeight="1" x14ac:dyDescent="0.2">
      <c r="A1882" s="105" t="str">
        <f>IF(D1882=1,COUNTIF($D$10:D1882,1)," ")</f>
        <v xml:space="preserve"> </v>
      </c>
      <c r="B1882" s="106">
        <f>COPY!AR1874</f>
        <v>0</v>
      </c>
      <c r="C1882" s="107">
        <f>COPY!AC1874</f>
        <v>0</v>
      </c>
      <c r="D1882" s="107" t="str">
        <f>IF(LEN(Table1722[[#This Row],[Uraian]])&gt;2,1," ")</f>
        <v xml:space="preserve"> </v>
      </c>
      <c r="E1882" s="113" t="str">
        <f>IF(Table1722[[#This Row],[Lawan Transaksi]]="CV AGUNG KARYA",COUNTIF($I$10:I1882,"CV AGUNG KARYA")," ")</f>
        <v xml:space="preserve"> </v>
      </c>
      <c r="F1882" s="107" t="str">
        <f>IF(LEN(Table1722[[#This Row],[Uraian]])&gt;2,TRIM(RIGHT(SUBSTITUTE(TRIM(C1882)," ",REPT(" ",255)),255))," ")</f>
        <v xml:space="preserve"> </v>
      </c>
      <c r="G1882" s="110">
        <f>COPY!Z1874</f>
        <v>0</v>
      </c>
      <c r="H1882" s="111" t="str">
        <f>IFERROR(VLOOKUP(Table1722[[#This Row],[Bukti]],'Un nOTA'!$A$4:$K$5003,10,FALSE),"")</f>
        <v/>
      </c>
      <c r="I1882" s="112" t="str">
        <f>IFERROR(VLOOKUP(Table1722[[#This Row],[Bukti]],Table13[#Data],11,FALSE),"")</f>
        <v/>
      </c>
    </row>
    <row r="1883" spans="1:9" ht="19.5" hidden="1" customHeight="1" x14ac:dyDescent="0.2">
      <c r="A1883" s="105" t="str">
        <f>IF(D1883=1,COUNTIF($D$10:D1883,1)," ")</f>
        <v xml:space="preserve"> </v>
      </c>
      <c r="B1883" s="106">
        <f>COPY!AR1875</f>
        <v>0</v>
      </c>
      <c r="C1883" s="107">
        <f>COPY!AC1875</f>
        <v>0</v>
      </c>
      <c r="D1883" s="107" t="str">
        <f>IF(LEN(Table1722[[#This Row],[Uraian]])&gt;2,1," ")</f>
        <v xml:space="preserve"> </v>
      </c>
      <c r="E1883" s="113" t="str">
        <f>IF(Table1722[[#This Row],[Lawan Transaksi]]="CV AGUNG KARYA",COUNTIF($I$10:I1883,"CV AGUNG KARYA")," ")</f>
        <v xml:space="preserve"> </v>
      </c>
      <c r="F1883" s="107" t="str">
        <f>IF(LEN(Table1722[[#This Row],[Uraian]])&gt;2,TRIM(RIGHT(SUBSTITUTE(TRIM(C1883)," ",REPT(" ",255)),255))," ")</f>
        <v xml:space="preserve"> </v>
      </c>
      <c r="G1883" s="110">
        <f>COPY!Z1875</f>
        <v>0</v>
      </c>
      <c r="H1883" s="111" t="str">
        <f>IFERROR(VLOOKUP(Table1722[[#This Row],[Bukti]],'Un nOTA'!$A$4:$K$5003,10,FALSE),"")</f>
        <v/>
      </c>
      <c r="I1883" s="112" t="str">
        <f>IFERROR(VLOOKUP(Table1722[[#This Row],[Bukti]],Table13[#Data],11,FALSE),"")</f>
        <v/>
      </c>
    </row>
    <row r="1884" spans="1:9" ht="19.5" hidden="1" customHeight="1" x14ac:dyDescent="0.2">
      <c r="A1884" s="105" t="str">
        <f>IF(D1884=1,COUNTIF($D$10:D1884,1)," ")</f>
        <v xml:space="preserve"> </v>
      </c>
      <c r="B1884" s="106">
        <f>COPY!AR1876</f>
        <v>0</v>
      </c>
      <c r="C1884" s="107">
        <f>COPY!AC1876</f>
        <v>0</v>
      </c>
      <c r="D1884" s="107" t="str">
        <f>IF(LEN(Table1722[[#This Row],[Uraian]])&gt;2,1," ")</f>
        <v xml:space="preserve"> </v>
      </c>
      <c r="E1884" s="113" t="str">
        <f>IF(Table1722[[#This Row],[Lawan Transaksi]]="CV AGUNG KARYA",COUNTIF($I$10:I1884,"CV AGUNG KARYA")," ")</f>
        <v xml:space="preserve"> </v>
      </c>
      <c r="F1884" s="107" t="str">
        <f>IF(LEN(Table1722[[#This Row],[Uraian]])&gt;2,TRIM(RIGHT(SUBSTITUTE(TRIM(C1884)," ",REPT(" ",255)),255))," ")</f>
        <v xml:space="preserve"> </v>
      </c>
      <c r="G1884" s="110">
        <f>COPY!Z1876</f>
        <v>0</v>
      </c>
      <c r="H1884" s="111" t="str">
        <f>IFERROR(VLOOKUP(Table1722[[#This Row],[Bukti]],'Un nOTA'!$A$4:$K$5003,10,FALSE),"")</f>
        <v/>
      </c>
      <c r="I1884" s="112" t="str">
        <f>IFERROR(VLOOKUP(Table1722[[#This Row],[Bukti]],Table13[#Data],11,FALSE),"")</f>
        <v/>
      </c>
    </row>
    <row r="1885" spans="1:9" ht="19.5" hidden="1" customHeight="1" x14ac:dyDescent="0.2">
      <c r="A1885" s="105" t="str">
        <f>IF(D1885=1,COUNTIF($D$10:D1885,1)," ")</f>
        <v xml:space="preserve"> </v>
      </c>
      <c r="B1885" s="106">
        <f>COPY!AR1877</f>
        <v>0</v>
      </c>
      <c r="C1885" s="107">
        <f>COPY!AC1877</f>
        <v>0</v>
      </c>
      <c r="D1885" s="107" t="str">
        <f>IF(LEN(Table1722[[#This Row],[Uraian]])&gt;2,1," ")</f>
        <v xml:space="preserve"> </v>
      </c>
      <c r="E1885" s="113" t="str">
        <f>IF(Table1722[[#This Row],[Lawan Transaksi]]="CV AGUNG KARYA",COUNTIF($I$10:I1885,"CV AGUNG KARYA")," ")</f>
        <v xml:space="preserve"> </v>
      </c>
      <c r="F1885" s="107" t="str">
        <f>IF(LEN(Table1722[[#This Row],[Uraian]])&gt;2,TRIM(RIGHT(SUBSTITUTE(TRIM(C1885)," ",REPT(" ",255)),255))," ")</f>
        <v xml:space="preserve"> </v>
      </c>
      <c r="G1885" s="110">
        <f>COPY!Z1877</f>
        <v>0</v>
      </c>
      <c r="H1885" s="111" t="str">
        <f>IFERROR(VLOOKUP(Table1722[[#This Row],[Bukti]],'Un nOTA'!$A$4:$K$5003,10,FALSE),"")</f>
        <v/>
      </c>
      <c r="I1885" s="112" t="str">
        <f>IFERROR(VLOOKUP(Table1722[[#This Row],[Bukti]],Table13[#Data],11,FALSE),"")</f>
        <v/>
      </c>
    </row>
    <row r="1886" spans="1:9" ht="19.5" hidden="1" customHeight="1" x14ac:dyDescent="0.2">
      <c r="A1886" s="105" t="str">
        <f>IF(D1886=1,COUNTIF($D$10:D1886,1)," ")</f>
        <v xml:space="preserve"> </v>
      </c>
      <c r="B1886" s="106">
        <f>COPY!AR1878</f>
        <v>0</v>
      </c>
      <c r="C1886" s="107">
        <f>COPY!AC1878</f>
        <v>0</v>
      </c>
      <c r="D1886" s="107" t="str">
        <f>IF(LEN(Table1722[[#This Row],[Uraian]])&gt;2,1," ")</f>
        <v xml:space="preserve"> </v>
      </c>
      <c r="E1886" s="113" t="str">
        <f>IF(Table1722[[#This Row],[Lawan Transaksi]]="CV AGUNG KARYA",COUNTIF($I$10:I1886,"CV AGUNG KARYA")," ")</f>
        <v xml:space="preserve"> </v>
      </c>
      <c r="F1886" s="107" t="str">
        <f>IF(LEN(Table1722[[#This Row],[Uraian]])&gt;2,TRIM(RIGHT(SUBSTITUTE(TRIM(C1886)," ",REPT(" ",255)),255))," ")</f>
        <v xml:space="preserve"> </v>
      </c>
      <c r="G1886" s="110">
        <f>COPY!Z1878</f>
        <v>0</v>
      </c>
      <c r="H1886" s="111" t="str">
        <f>IFERROR(VLOOKUP(Table1722[[#This Row],[Bukti]],'Un nOTA'!$A$4:$K$5003,10,FALSE),"")</f>
        <v/>
      </c>
      <c r="I1886" s="112" t="str">
        <f>IFERROR(VLOOKUP(Table1722[[#This Row],[Bukti]],Table13[#Data],11,FALSE),"")</f>
        <v/>
      </c>
    </row>
    <row r="1887" spans="1:9" ht="19.5" hidden="1" customHeight="1" x14ac:dyDescent="0.2">
      <c r="A1887" s="105" t="str">
        <f>IF(D1887=1,COUNTIF($D$10:D1887,1)," ")</f>
        <v xml:space="preserve"> </v>
      </c>
      <c r="B1887" s="106">
        <f>COPY!AR1879</f>
        <v>0</v>
      </c>
      <c r="C1887" s="107">
        <f>COPY!AC1879</f>
        <v>0</v>
      </c>
      <c r="D1887" s="107" t="str">
        <f>IF(LEN(Table1722[[#This Row],[Uraian]])&gt;2,1," ")</f>
        <v xml:space="preserve"> </v>
      </c>
      <c r="E1887" s="113" t="str">
        <f>IF(Table1722[[#This Row],[Lawan Transaksi]]="CV AGUNG KARYA",COUNTIF($I$10:I1887,"CV AGUNG KARYA")," ")</f>
        <v xml:space="preserve"> </v>
      </c>
      <c r="F1887" s="107" t="str">
        <f>IF(LEN(Table1722[[#This Row],[Uraian]])&gt;2,TRIM(RIGHT(SUBSTITUTE(TRIM(C1887)," ",REPT(" ",255)),255))," ")</f>
        <v xml:space="preserve"> </v>
      </c>
      <c r="G1887" s="110">
        <f>COPY!Z1879</f>
        <v>0</v>
      </c>
      <c r="H1887" s="111" t="str">
        <f>IFERROR(VLOOKUP(Table1722[[#This Row],[Bukti]],'Un nOTA'!$A$4:$K$5003,10,FALSE),"")</f>
        <v/>
      </c>
      <c r="I1887" s="112" t="str">
        <f>IFERROR(VLOOKUP(Table1722[[#This Row],[Bukti]],Table13[#Data],11,FALSE),"")</f>
        <v/>
      </c>
    </row>
    <row r="1888" spans="1:9" ht="19.5" hidden="1" customHeight="1" x14ac:dyDescent="0.2">
      <c r="A1888" s="105" t="str">
        <f>IF(D1888=1,COUNTIF($D$10:D1888,1)," ")</f>
        <v xml:space="preserve"> </v>
      </c>
      <c r="B1888" s="106">
        <f>COPY!AR1880</f>
        <v>0</v>
      </c>
      <c r="C1888" s="107">
        <f>COPY!AC1880</f>
        <v>0</v>
      </c>
      <c r="D1888" s="107" t="str">
        <f>IF(LEN(Table1722[[#This Row],[Uraian]])&gt;2,1," ")</f>
        <v xml:space="preserve"> </v>
      </c>
      <c r="E1888" s="113" t="str">
        <f>IF(Table1722[[#This Row],[Lawan Transaksi]]="CV AGUNG KARYA",COUNTIF($I$10:I1888,"CV AGUNG KARYA")," ")</f>
        <v xml:space="preserve"> </v>
      </c>
      <c r="F1888" s="107" t="str">
        <f>IF(LEN(Table1722[[#This Row],[Uraian]])&gt;2,TRIM(RIGHT(SUBSTITUTE(TRIM(C1888)," ",REPT(" ",255)),255))," ")</f>
        <v xml:space="preserve"> </v>
      </c>
      <c r="G1888" s="110">
        <f>COPY!Z1880</f>
        <v>0</v>
      </c>
      <c r="H1888" s="111" t="str">
        <f>IFERROR(VLOOKUP(Table1722[[#This Row],[Bukti]],'Un nOTA'!$A$4:$K$5003,10,FALSE),"")</f>
        <v/>
      </c>
      <c r="I1888" s="112" t="str">
        <f>IFERROR(VLOOKUP(Table1722[[#This Row],[Bukti]],Table13[#Data],11,FALSE),"")</f>
        <v/>
      </c>
    </row>
    <row r="1889" spans="1:9" ht="19.5" hidden="1" customHeight="1" x14ac:dyDescent="0.2">
      <c r="A1889" s="105" t="str">
        <f>IF(D1889=1,COUNTIF($D$10:D1889,1)," ")</f>
        <v xml:space="preserve"> </v>
      </c>
      <c r="B1889" s="106">
        <f>COPY!AR1881</f>
        <v>0</v>
      </c>
      <c r="C1889" s="107">
        <f>COPY!AC1881</f>
        <v>0</v>
      </c>
      <c r="D1889" s="107" t="str">
        <f>IF(LEN(Table1722[[#This Row],[Uraian]])&gt;2,1," ")</f>
        <v xml:space="preserve"> </v>
      </c>
      <c r="E1889" s="113" t="str">
        <f>IF(Table1722[[#This Row],[Lawan Transaksi]]="CV AGUNG KARYA",COUNTIF($I$10:I1889,"CV AGUNG KARYA")," ")</f>
        <v xml:space="preserve"> </v>
      </c>
      <c r="F1889" s="107" t="str">
        <f>IF(LEN(Table1722[[#This Row],[Uraian]])&gt;2,TRIM(RIGHT(SUBSTITUTE(TRIM(C1889)," ",REPT(" ",255)),255))," ")</f>
        <v xml:space="preserve"> </v>
      </c>
      <c r="G1889" s="110">
        <f>COPY!Z1881</f>
        <v>0</v>
      </c>
      <c r="H1889" s="111" t="str">
        <f>IFERROR(VLOOKUP(Table1722[[#This Row],[Bukti]],'Un nOTA'!$A$4:$K$5003,10,FALSE),"")</f>
        <v/>
      </c>
      <c r="I1889" s="112" t="str">
        <f>IFERROR(VLOOKUP(Table1722[[#This Row],[Bukti]],Table13[#Data],11,FALSE),"")</f>
        <v/>
      </c>
    </row>
    <row r="1890" spans="1:9" ht="19.5" hidden="1" customHeight="1" x14ac:dyDescent="0.2">
      <c r="A1890" s="105" t="str">
        <f>IF(D1890=1,COUNTIF($D$10:D1890,1)," ")</f>
        <v xml:space="preserve"> </v>
      </c>
      <c r="B1890" s="106">
        <f>COPY!AR1882</f>
        <v>0</v>
      </c>
      <c r="C1890" s="107">
        <f>COPY!AC1882</f>
        <v>0</v>
      </c>
      <c r="D1890" s="107" t="str">
        <f>IF(LEN(Table1722[[#This Row],[Uraian]])&gt;2,1," ")</f>
        <v xml:space="preserve"> </v>
      </c>
      <c r="E1890" s="113" t="str">
        <f>IF(Table1722[[#This Row],[Lawan Transaksi]]="CV AGUNG KARYA",COUNTIF($I$10:I1890,"CV AGUNG KARYA")," ")</f>
        <v xml:space="preserve"> </v>
      </c>
      <c r="F1890" s="107" t="str">
        <f>IF(LEN(Table1722[[#This Row],[Uraian]])&gt;2,TRIM(RIGHT(SUBSTITUTE(TRIM(C1890)," ",REPT(" ",255)),255))," ")</f>
        <v xml:space="preserve"> </v>
      </c>
      <c r="G1890" s="110">
        <f>COPY!Z1882</f>
        <v>0</v>
      </c>
      <c r="H1890" s="111" t="str">
        <f>IFERROR(VLOOKUP(Table1722[[#This Row],[Bukti]],'Un nOTA'!$A$4:$K$5003,10,FALSE),"")</f>
        <v/>
      </c>
      <c r="I1890" s="112" t="str">
        <f>IFERROR(VLOOKUP(Table1722[[#This Row],[Bukti]],Table13[#Data],11,FALSE),"")</f>
        <v/>
      </c>
    </row>
    <row r="1891" spans="1:9" ht="19.5" hidden="1" customHeight="1" x14ac:dyDescent="0.2">
      <c r="A1891" s="105" t="str">
        <f>IF(D1891=1,COUNTIF($D$10:D1891,1)," ")</f>
        <v xml:space="preserve"> </v>
      </c>
      <c r="B1891" s="106">
        <f>COPY!AR1883</f>
        <v>0</v>
      </c>
      <c r="C1891" s="107">
        <f>COPY!AC1883</f>
        <v>0</v>
      </c>
      <c r="D1891" s="107" t="str">
        <f>IF(LEN(Table1722[[#This Row],[Uraian]])&gt;2,1," ")</f>
        <v xml:space="preserve"> </v>
      </c>
      <c r="E1891" s="113" t="str">
        <f>IF(Table1722[[#This Row],[Lawan Transaksi]]="CV AGUNG KARYA",COUNTIF($I$10:I1891,"CV AGUNG KARYA")," ")</f>
        <v xml:space="preserve"> </v>
      </c>
      <c r="F1891" s="107" t="str">
        <f>IF(LEN(Table1722[[#This Row],[Uraian]])&gt;2,TRIM(RIGHT(SUBSTITUTE(TRIM(C1891)," ",REPT(" ",255)),255))," ")</f>
        <v xml:space="preserve"> </v>
      </c>
      <c r="G1891" s="110">
        <f>COPY!Z1883</f>
        <v>0</v>
      </c>
      <c r="H1891" s="111" t="str">
        <f>IFERROR(VLOOKUP(Table1722[[#This Row],[Bukti]],'Un nOTA'!$A$4:$K$5003,10,FALSE),"")</f>
        <v/>
      </c>
      <c r="I1891" s="112" t="str">
        <f>IFERROR(VLOOKUP(Table1722[[#This Row],[Bukti]],Table13[#Data],11,FALSE),"")</f>
        <v/>
      </c>
    </row>
    <row r="1892" spans="1:9" ht="19.5" hidden="1" customHeight="1" x14ac:dyDescent="0.2">
      <c r="A1892" s="105" t="str">
        <f>IF(D1892=1,COUNTIF($D$10:D1892,1)," ")</f>
        <v xml:space="preserve"> </v>
      </c>
      <c r="B1892" s="106">
        <f>COPY!AR1884</f>
        <v>0</v>
      </c>
      <c r="C1892" s="107">
        <f>COPY!AC1884</f>
        <v>0</v>
      </c>
      <c r="D1892" s="107" t="str">
        <f>IF(LEN(Table1722[[#This Row],[Uraian]])&gt;2,1," ")</f>
        <v xml:space="preserve"> </v>
      </c>
      <c r="E1892" s="113" t="str">
        <f>IF(Table1722[[#This Row],[Lawan Transaksi]]="CV AGUNG KARYA",COUNTIF($I$10:I1892,"CV AGUNG KARYA")," ")</f>
        <v xml:space="preserve"> </v>
      </c>
      <c r="F1892" s="107" t="str">
        <f>IF(LEN(Table1722[[#This Row],[Uraian]])&gt;2,TRIM(RIGHT(SUBSTITUTE(TRIM(C1892)," ",REPT(" ",255)),255))," ")</f>
        <v xml:space="preserve"> </v>
      </c>
      <c r="G1892" s="110">
        <f>COPY!Z1884</f>
        <v>0</v>
      </c>
      <c r="H1892" s="111" t="str">
        <f>IFERROR(VLOOKUP(Table1722[[#This Row],[Bukti]],'Un nOTA'!$A$4:$K$5003,10,FALSE),"")</f>
        <v/>
      </c>
      <c r="I1892" s="112" t="str">
        <f>IFERROR(VLOOKUP(Table1722[[#This Row],[Bukti]],Table13[#Data],11,FALSE),"")</f>
        <v/>
      </c>
    </row>
    <row r="1893" spans="1:9" ht="19.5" hidden="1" customHeight="1" x14ac:dyDescent="0.2">
      <c r="A1893" s="105" t="str">
        <f>IF(D1893=1,COUNTIF($D$10:D1893,1)," ")</f>
        <v xml:space="preserve"> </v>
      </c>
      <c r="B1893" s="106">
        <f>COPY!AR1885</f>
        <v>0</v>
      </c>
      <c r="C1893" s="107">
        <f>COPY!AC1885</f>
        <v>0</v>
      </c>
      <c r="D1893" s="107" t="str">
        <f>IF(LEN(Table1722[[#This Row],[Uraian]])&gt;2,1," ")</f>
        <v xml:space="preserve"> </v>
      </c>
      <c r="E1893" s="113" t="str">
        <f>IF(Table1722[[#This Row],[Lawan Transaksi]]="CV AGUNG KARYA",COUNTIF($I$10:I1893,"CV AGUNG KARYA")," ")</f>
        <v xml:space="preserve"> </v>
      </c>
      <c r="F1893" s="107" t="str">
        <f>IF(LEN(Table1722[[#This Row],[Uraian]])&gt;2,TRIM(RIGHT(SUBSTITUTE(TRIM(C1893)," ",REPT(" ",255)),255))," ")</f>
        <v xml:space="preserve"> </v>
      </c>
      <c r="G1893" s="110">
        <f>COPY!Z1885</f>
        <v>0</v>
      </c>
      <c r="H1893" s="111" t="str">
        <f>IFERROR(VLOOKUP(Table1722[[#This Row],[Bukti]],'Un nOTA'!$A$4:$K$5003,10,FALSE),"")</f>
        <v/>
      </c>
      <c r="I1893" s="112" t="str">
        <f>IFERROR(VLOOKUP(Table1722[[#This Row],[Bukti]],Table13[#Data],11,FALSE),"")</f>
        <v/>
      </c>
    </row>
    <row r="1894" spans="1:9" ht="19.5" hidden="1" customHeight="1" x14ac:dyDescent="0.2">
      <c r="A1894" s="105" t="str">
        <f>IF(D1894=1,COUNTIF($D$10:D1894,1)," ")</f>
        <v xml:space="preserve"> </v>
      </c>
      <c r="B1894" s="106">
        <f>COPY!AR1886</f>
        <v>0</v>
      </c>
      <c r="C1894" s="107">
        <f>COPY!AC1886</f>
        <v>0</v>
      </c>
      <c r="D1894" s="107" t="str">
        <f>IF(LEN(Table1722[[#This Row],[Uraian]])&gt;2,1," ")</f>
        <v xml:space="preserve"> </v>
      </c>
      <c r="E1894" s="113" t="str">
        <f>IF(Table1722[[#This Row],[Lawan Transaksi]]="CV AGUNG KARYA",COUNTIF($I$10:I1894,"CV AGUNG KARYA")," ")</f>
        <v xml:space="preserve"> </v>
      </c>
      <c r="F1894" s="107" t="str">
        <f>IF(LEN(Table1722[[#This Row],[Uraian]])&gt;2,TRIM(RIGHT(SUBSTITUTE(TRIM(C1894)," ",REPT(" ",255)),255))," ")</f>
        <v xml:space="preserve"> </v>
      </c>
      <c r="G1894" s="110">
        <f>COPY!Z1886</f>
        <v>0</v>
      </c>
      <c r="H1894" s="111" t="str">
        <f>IFERROR(VLOOKUP(Table1722[[#This Row],[Bukti]],'Un nOTA'!$A$4:$K$5003,10,FALSE),"")</f>
        <v/>
      </c>
      <c r="I1894" s="112" t="str">
        <f>IFERROR(VLOOKUP(Table1722[[#This Row],[Bukti]],Table13[#Data],11,FALSE),"")</f>
        <v/>
      </c>
    </row>
    <row r="1895" spans="1:9" ht="19.5" hidden="1" customHeight="1" x14ac:dyDescent="0.2">
      <c r="A1895" s="105" t="str">
        <f>IF(D1895=1,COUNTIF($D$10:D1895,1)," ")</f>
        <v xml:space="preserve"> </v>
      </c>
      <c r="B1895" s="106">
        <f>COPY!AR1887</f>
        <v>0</v>
      </c>
      <c r="C1895" s="107">
        <f>COPY!AC1887</f>
        <v>0</v>
      </c>
      <c r="D1895" s="107" t="str">
        <f>IF(LEN(Table1722[[#This Row],[Uraian]])&gt;2,1," ")</f>
        <v xml:space="preserve"> </v>
      </c>
      <c r="E1895" s="113" t="str">
        <f>IF(Table1722[[#This Row],[Lawan Transaksi]]="CV AGUNG KARYA",COUNTIF($I$10:I1895,"CV AGUNG KARYA")," ")</f>
        <v xml:space="preserve"> </v>
      </c>
      <c r="F1895" s="107" t="str">
        <f>IF(LEN(Table1722[[#This Row],[Uraian]])&gt;2,TRIM(RIGHT(SUBSTITUTE(TRIM(C1895)," ",REPT(" ",255)),255))," ")</f>
        <v xml:space="preserve"> </v>
      </c>
      <c r="G1895" s="110">
        <f>COPY!Z1887</f>
        <v>0</v>
      </c>
      <c r="H1895" s="111" t="str">
        <f>IFERROR(VLOOKUP(Table1722[[#This Row],[Bukti]],'Un nOTA'!$A$4:$K$5003,10,FALSE),"")</f>
        <v/>
      </c>
      <c r="I1895" s="112" t="str">
        <f>IFERROR(VLOOKUP(Table1722[[#This Row],[Bukti]],Table13[#Data],11,FALSE),"")</f>
        <v/>
      </c>
    </row>
    <row r="1896" spans="1:9" ht="19.5" hidden="1" customHeight="1" x14ac:dyDescent="0.2">
      <c r="A1896" s="105" t="str">
        <f>IF(D1896=1,COUNTIF($D$10:D1896,1)," ")</f>
        <v xml:space="preserve"> </v>
      </c>
      <c r="B1896" s="106">
        <f>COPY!AR1888</f>
        <v>0</v>
      </c>
      <c r="C1896" s="107">
        <f>COPY!AC1888</f>
        <v>0</v>
      </c>
      <c r="D1896" s="107" t="str">
        <f>IF(LEN(Table1722[[#This Row],[Uraian]])&gt;2,1," ")</f>
        <v xml:space="preserve"> </v>
      </c>
      <c r="E1896" s="113" t="str">
        <f>IF(Table1722[[#This Row],[Lawan Transaksi]]="CV AGUNG KARYA",COUNTIF($I$10:I1896,"CV AGUNG KARYA")," ")</f>
        <v xml:space="preserve"> </v>
      </c>
      <c r="F1896" s="107" t="str">
        <f>IF(LEN(Table1722[[#This Row],[Uraian]])&gt;2,TRIM(RIGHT(SUBSTITUTE(TRIM(C1896)," ",REPT(" ",255)),255))," ")</f>
        <v xml:space="preserve"> </v>
      </c>
      <c r="G1896" s="110">
        <f>COPY!Z1888</f>
        <v>0</v>
      </c>
      <c r="H1896" s="111" t="str">
        <f>IFERROR(VLOOKUP(Table1722[[#This Row],[Bukti]],'Un nOTA'!$A$4:$K$5003,10,FALSE),"")</f>
        <v/>
      </c>
      <c r="I1896" s="112" t="str">
        <f>IFERROR(VLOOKUP(Table1722[[#This Row],[Bukti]],Table13[#Data],11,FALSE),"")</f>
        <v/>
      </c>
    </row>
    <row r="1897" spans="1:9" ht="19.5" hidden="1" customHeight="1" x14ac:dyDescent="0.2">
      <c r="A1897" s="105" t="str">
        <f>IF(D1897=1,COUNTIF($D$10:D1897,1)," ")</f>
        <v xml:space="preserve"> </v>
      </c>
      <c r="B1897" s="106">
        <f>COPY!AR1889</f>
        <v>0</v>
      </c>
      <c r="C1897" s="107">
        <f>COPY!AC1889</f>
        <v>0</v>
      </c>
      <c r="D1897" s="107" t="str">
        <f>IF(LEN(Table1722[[#This Row],[Uraian]])&gt;2,1," ")</f>
        <v xml:space="preserve"> </v>
      </c>
      <c r="E1897" s="113" t="str">
        <f>IF(Table1722[[#This Row],[Lawan Transaksi]]="CV AGUNG KARYA",COUNTIF($I$10:I1897,"CV AGUNG KARYA")," ")</f>
        <v xml:space="preserve"> </v>
      </c>
      <c r="F1897" s="107" t="str">
        <f>IF(LEN(Table1722[[#This Row],[Uraian]])&gt;2,TRIM(RIGHT(SUBSTITUTE(TRIM(C1897)," ",REPT(" ",255)),255))," ")</f>
        <v xml:space="preserve"> </v>
      </c>
      <c r="G1897" s="110">
        <f>COPY!Z1889</f>
        <v>0</v>
      </c>
      <c r="H1897" s="111" t="str">
        <f>IFERROR(VLOOKUP(Table1722[[#This Row],[Bukti]],'Un nOTA'!$A$4:$K$5003,10,FALSE),"")</f>
        <v/>
      </c>
      <c r="I1897" s="112" t="str">
        <f>IFERROR(VLOOKUP(Table1722[[#This Row],[Bukti]],Table13[#Data],11,FALSE),"")</f>
        <v/>
      </c>
    </row>
    <row r="1898" spans="1:9" ht="19.5" hidden="1" customHeight="1" x14ac:dyDescent="0.2">
      <c r="A1898" s="105" t="str">
        <f>IF(D1898=1,COUNTIF($D$10:D1898,1)," ")</f>
        <v xml:space="preserve"> </v>
      </c>
      <c r="B1898" s="106">
        <f>COPY!AR1890</f>
        <v>0</v>
      </c>
      <c r="C1898" s="107">
        <f>COPY!AC1890</f>
        <v>0</v>
      </c>
      <c r="D1898" s="107" t="str">
        <f>IF(LEN(Table1722[[#This Row],[Uraian]])&gt;2,1," ")</f>
        <v xml:space="preserve"> </v>
      </c>
      <c r="E1898" s="113" t="str">
        <f>IF(Table1722[[#This Row],[Lawan Transaksi]]="CV AGUNG KARYA",COUNTIF($I$10:I1898,"CV AGUNG KARYA")," ")</f>
        <v xml:space="preserve"> </v>
      </c>
      <c r="F1898" s="107" t="str">
        <f>IF(LEN(Table1722[[#This Row],[Uraian]])&gt;2,TRIM(RIGHT(SUBSTITUTE(TRIM(C1898)," ",REPT(" ",255)),255))," ")</f>
        <v xml:space="preserve"> </v>
      </c>
      <c r="G1898" s="110">
        <f>COPY!Z1890</f>
        <v>0</v>
      </c>
      <c r="H1898" s="111" t="str">
        <f>IFERROR(VLOOKUP(Table1722[[#This Row],[Bukti]],'Un nOTA'!$A$4:$K$5003,10,FALSE),"")</f>
        <v/>
      </c>
      <c r="I1898" s="112" t="str">
        <f>IFERROR(VLOOKUP(Table1722[[#This Row],[Bukti]],Table13[#Data],11,FALSE),"")</f>
        <v/>
      </c>
    </row>
    <row r="1899" spans="1:9" ht="19.5" hidden="1" customHeight="1" x14ac:dyDescent="0.2">
      <c r="A1899" s="105" t="str">
        <f>IF(D1899=1,COUNTIF($D$10:D1899,1)," ")</f>
        <v xml:space="preserve"> </v>
      </c>
      <c r="B1899" s="106">
        <f>COPY!AR1891</f>
        <v>0</v>
      </c>
      <c r="C1899" s="107">
        <f>COPY!AC1891</f>
        <v>0</v>
      </c>
      <c r="D1899" s="107" t="str">
        <f>IF(LEN(Table1722[[#This Row],[Uraian]])&gt;2,1," ")</f>
        <v xml:space="preserve"> </v>
      </c>
      <c r="E1899" s="113" t="str">
        <f>IF(Table1722[[#This Row],[Lawan Transaksi]]="CV AGUNG KARYA",COUNTIF($I$10:I1899,"CV AGUNG KARYA")," ")</f>
        <v xml:space="preserve"> </v>
      </c>
      <c r="F1899" s="107" t="str">
        <f>IF(LEN(Table1722[[#This Row],[Uraian]])&gt;2,TRIM(RIGHT(SUBSTITUTE(TRIM(C1899)," ",REPT(" ",255)),255))," ")</f>
        <v xml:space="preserve"> </v>
      </c>
      <c r="G1899" s="110">
        <f>COPY!Z1891</f>
        <v>0</v>
      </c>
      <c r="H1899" s="111" t="str">
        <f>IFERROR(VLOOKUP(Table1722[[#This Row],[Bukti]],'Un nOTA'!$A$4:$K$5003,10,FALSE),"")</f>
        <v/>
      </c>
      <c r="I1899" s="112" t="str">
        <f>IFERROR(VLOOKUP(Table1722[[#This Row],[Bukti]],Table13[#Data],11,FALSE),"")</f>
        <v/>
      </c>
    </row>
    <row r="1900" spans="1:9" ht="19.5" hidden="1" customHeight="1" x14ac:dyDescent="0.2">
      <c r="A1900" s="105" t="str">
        <f>IF(D1900=1,COUNTIF($D$10:D1900,1)," ")</f>
        <v xml:space="preserve"> </v>
      </c>
      <c r="B1900" s="106">
        <f>COPY!AR1892</f>
        <v>0</v>
      </c>
      <c r="C1900" s="107">
        <f>COPY!AC1892</f>
        <v>0</v>
      </c>
      <c r="D1900" s="107" t="str">
        <f>IF(LEN(Table1722[[#This Row],[Uraian]])&gt;2,1," ")</f>
        <v xml:space="preserve"> </v>
      </c>
      <c r="E1900" s="113" t="str">
        <f>IF(Table1722[[#This Row],[Lawan Transaksi]]="CV AGUNG KARYA",COUNTIF($I$10:I1900,"CV AGUNG KARYA")," ")</f>
        <v xml:space="preserve"> </v>
      </c>
      <c r="F1900" s="107" t="str">
        <f>IF(LEN(Table1722[[#This Row],[Uraian]])&gt;2,TRIM(RIGHT(SUBSTITUTE(TRIM(C1900)," ",REPT(" ",255)),255))," ")</f>
        <v xml:space="preserve"> </v>
      </c>
      <c r="G1900" s="110">
        <f>COPY!Z1892</f>
        <v>0</v>
      </c>
      <c r="H1900" s="111" t="str">
        <f>IFERROR(VLOOKUP(Table1722[[#This Row],[Bukti]],'Un nOTA'!$A$4:$K$5003,10,FALSE),"")</f>
        <v/>
      </c>
      <c r="I1900" s="112" t="str">
        <f>IFERROR(VLOOKUP(Table1722[[#This Row],[Bukti]],Table13[#Data],11,FALSE),"")</f>
        <v/>
      </c>
    </row>
    <row r="1901" spans="1:9" ht="19.5" hidden="1" customHeight="1" x14ac:dyDescent="0.2">
      <c r="A1901" s="105" t="str">
        <f>IF(D1901=1,COUNTIF($D$10:D1901,1)," ")</f>
        <v xml:space="preserve"> </v>
      </c>
      <c r="B1901" s="106">
        <f>COPY!AR1893</f>
        <v>0</v>
      </c>
      <c r="C1901" s="107">
        <f>COPY!AC1893</f>
        <v>0</v>
      </c>
      <c r="D1901" s="107" t="str">
        <f>IF(LEN(Table1722[[#This Row],[Uraian]])&gt;2,1," ")</f>
        <v xml:space="preserve"> </v>
      </c>
      <c r="E1901" s="113" t="str">
        <f>IF(Table1722[[#This Row],[Lawan Transaksi]]="CV AGUNG KARYA",COUNTIF($I$10:I1901,"CV AGUNG KARYA")," ")</f>
        <v xml:space="preserve"> </v>
      </c>
      <c r="F1901" s="107" t="str">
        <f>IF(LEN(Table1722[[#This Row],[Uraian]])&gt;2,TRIM(RIGHT(SUBSTITUTE(TRIM(C1901)," ",REPT(" ",255)),255))," ")</f>
        <v xml:space="preserve"> </v>
      </c>
      <c r="G1901" s="110">
        <f>COPY!Z1893</f>
        <v>0</v>
      </c>
      <c r="H1901" s="111" t="str">
        <f>IFERROR(VLOOKUP(Table1722[[#This Row],[Bukti]],'Un nOTA'!$A$4:$K$5003,10,FALSE),"")</f>
        <v/>
      </c>
      <c r="I1901" s="112" t="str">
        <f>IFERROR(VLOOKUP(Table1722[[#This Row],[Bukti]],Table13[#Data],11,FALSE),"")</f>
        <v/>
      </c>
    </row>
    <row r="1902" spans="1:9" ht="19.5" hidden="1" customHeight="1" x14ac:dyDescent="0.2">
      <c r="A1902" s="105" t="str">
        <f>IF(D1902=1,COUNTIF($D$10:D1902,1)," ")</f>
        <v xml:space="preserve"> </v>
      </c>
      <c r="B1902" s="106">
        <f>COPY!AR1894</f>
        <v>0</v>
      </c>
      <c r="C1902" s="107">
        <f>COPY!AC1894</f>
        <v>0</v>
      </c>
      <c r="D1902" s="107" t="str">
        <f>IF(LEN(Table1722[[#This Row],[Uraian]])&gt;2,1," ")</f>
        <v xml:space="preserve"> </v>
      </c>
      <c r="E1902" s="113" t="str">
        <f>IF(Table1722[[#This Row],[Lawan Transaksi]]="CV AGUNG KARYA",COUNTIF($I$10:I1902,"CV AGUNG KARYA")," ")</f>
        <v xml:space="preserve"> </v>
      </c>
      <c r="F1902" s="107" t="str">
        <f>IF(LEN(Table1722[[#This Row],[Uraian]])&gt;2,TRIM(RIGHT(SUBSTITUTE(TRIM(C1902)," ",REPT(" ",255)),255))," ")</f>
        <v xml:space="preserve"> </v>
      </c>
      <c r="G1902" s="110">
        <f>COPY!Z1894</f>
        <v>0</v>
      </c>
      <c r="H1902" s="111" t="str">
        <f>IFERROR(VLOOKUP(Table1722[[#This Row],[Bukti]],'Un nOTA'!$A$4:$K$5003,10,FALSE),"")</f>
        <v/>
      </c>
      <c r="I1902" s="112" t="str">
        <f>IFERROR(VLOOKUP(Table1722[[#This Row],[Bukti]],Table13[#Data],11,FALSE),"")</f>
        <v/>
      </c>
    </row>
    <row r="1903" spans="1:9" ht="19.5" hidden="1" customHeight="1" x14ac:dyDescent="0.2">
      <c r="A1903" s="105" t="str">
        <f>IF(D1903=1,COUNTIF($D$10:D1903,1)," ")</f>
        <v xml:space="preserve"> </v>
      </c>
      <c r="B1903" s="106">
        <f>COPY!AR1895</f>
        <v>0</v>
      </c>
      <c r="C1903" s="107">
        <f>COPY!AC1895</f>
        <v>0</v>
      </c>
      <c r="D1903" s="107" t="str">
        <f>IF(LEN(Table1722[[#This Row],[Uraian]])&gt;2,1," ")</f>
        <v xml:space="preserve"> </v>
      </c>
      <c r="E1903" s="113" t="str">
        <f>IF(Table1722[[#This Row],[Lawan Transaksi]]="CV AGUNG KARYA",COUNTIF($I$10:I1903,"CV AGUNG KARYA")," ")</f>
        <v xml:space="preserve"> </v>
      </c>
      <c r="F1903" s="107" t="str">
        <f>IF(LEN(Table1722[[#This Row],[Uraian]])&gt;2,TRIM(RIGHT(SUBSTITUTE(TRIM(C1903)," ",REPT(" ",255)),255))," ")</f>
        <v xml:space="preserve"> </v>
      </c>
      <c r="G1903" s="110">
        <f>COPY!Z1895</f>
        <v>0</v>
      </c>
      <c r="H1903" s="111" t="str">
        <f>IFERROR(VLOOKUP(Table1722[[#This Row],[Bukti]],'Un nOTA'!$A$4:$K$5003,10,FALSE),"")</f>
        <v/>
      </c>
      <c r="I1903" s="112" t="str">
        <f>IFERROR(VLOOKUP(Table1722[[#This Row],[Bukti]],Table13[#Data],11,FALSE),"")</f>
        <v/>
      </c>
    </row>
    <row r="1904" spans="1:9" ht="19.5" hidden="1" customHeight="1" x14ac:dyDescent="0.2">
      <c r="A1904" s="105" t="str">
        <f>IF(D1904=1,COUNTIF($D$10:D1904,1)," ")</f>
        <v xml:space="preserve"> </v>
      </c>
      <c r="B1904" s="106">
        <f>COPY!AR1896</f>
        <v>0</v>
      </c>
      <c r="C1904" s="107">
        <f>COPY!AC1896</f>
        <v>0</v>
      </c>
      <c r="D1904" s="107" t="str">
        <f>IF(LEN(Table1722[[#This Row],[Uraian]])&gt;2,1," ")</f>
        <v xml:space="preserve"> </v>
      </c>
      <c r="E1904" s="113" t="str">
        <f>IF(Table1722[[#This Row],[Lawan Transaksi]]="CV AGUNG KARYA",COUNTIF($I$10:I1904,"CV AGUNG KARYA")," ")</f>
        <v xml:space="preserve"> </v>
      </c>
      <c r="F1904" s="107" t="str">
        <f>IF(LEN(Table1722[[#This Row],[Uraian]])&gt;2,TRIM(RIGHT(SUBSTITUTE(TRIM(C1904)," ",REPT(" ",255)),255))," ")</f>
        <v xml:space="preserve"> </v>
      </c>
      <c r="G1904" s="110">
        <f>COPY!Z1896</f>
        <v>0</v>
      </c>
      <c r="H1904" s="111" t="str">
        <f>IFERROR(VLOOKUP(Table1722[[#This Row],[Bukti]],'Un nOTA'!$A$4:$K$5003,10,FALSE),"")</f>
        <v/>
      </c>
      <c r="I1904" s="112" t="str">
        <f>IFERROR(VLOOKUP(Table1722[[#This Row],[Bukti]],Table13[#Data],11,FALSE),"")</f>
        <v/>
      </c>
    </row>
    <row r="1905" spans="1:9" ht="19.5" hidden="1" customHeight="1" x14ac:dyDescent="0.2">
      <c r="A1905" s="105" t="str">
        <f>IF(D1905=1,COUNTIF($D$10:D1905,1)," ")</f>
        <v xml:space="preserve"> </v>
      </c>
      <c r="B1905" s="106">
        <f>COPY!AR1897</f>
        <v>0</v>
      </c>
      <c r="C1905" s="107">
        <f>COPY!AC1897</f>
        <v>0</v>
      </c>
      <c r="D1905" s="107" t="str">
        <f>IF(LEN(Table1722[[#This Row],[Uraian]])&gt;2,1," ")</f>
        <v xml:space="preserve"> </v>
      </c>
      <c r="E1905" s="113" t="str">
        <f>IF(Table1722[[#This Row],[Lawan Transaksi]]="CV AGUNG KARYA",COUNTIF($I$10:I1905,"CV AGUNG KARYA")," ")</f>
        <v xml:space="preserve"> </v>
      </c>
      <c r="F1905" s="107" t="str">
        <f>IF(LEN(Table1722[[#This Row],[Uraian]])&gt;2,TRIM(RIGHT(SUBSTITUTE(TRIM(C1905)," ",REPT(" ",255)),255))," ")</f>
        <v xml:space="preserve"> </v>
      </c>
      <c r="G1905" s="110">
        <f>COPY!Z1897</f>
        <v>0</v>
      </c>
      <c r="H1905" s="111" t="str">
        <f>IFERROR(VLOOKUP(Table1722[[#This Row],[Bukti]],'Un nOTA'!$A$4:$K$5003,10,FALSE),"")</f>
        <v/>
      </c>
      <c r="I1905" s="112" t="str">
        <f>IFERROR(VLOOKUP(Table1722[[#This Row],[Bukti]],Table13[#Data],11,FALSE),"")</f>
        <v/>
      </c>
    </row>
    <row r="1906" spans="1:9" ht="19.5" hidden="1" customHeight="1" x14ac:dyDescent="0.2">
      <c r="A1906" s="105" t="str">
        <f>IF(D1906=1,COUNTIF($D$10:D1906,1)," ")</f>
        <v xml:space="preserve"> </v>
      </c>
      <c r="B1906" s="106">
        <f>COPY!AR1898</f>
        <v>0</v>
      </c>
      <c r="C1906" s="107">
        <f>COPY!AC1898</f>
        <v>0</v>
      </c>
      <c r="D1906" s="107" t="str">
        <f>IF(LEN(Table1722[[#This Row],[Uraian]])&gt;2,1," ")</f>
        <v xml:space="preserve"> </v>
      </c>
      <c r="E1906" s="113" t="str">
        <f>IF(Table1722[[#This Row],[Lawan Transaksi]]="CV AGUNG KARYA",COUNTIF($I$10:I1906,"CV AGUNG KARYA")," ")</f>
        <v xml:space="preserve"> </v>
      </c>
      <c r="F1906" s="107" t="str">
        <f>IF(LEN(Table1722[[#This Row],[Uraian]])&gt;2,TRIM(RIGHT(SUBSTITUTE(TRIM(C1906)," ",REPT(" ",255)),255))," ")</f>
        <v xml:space="preserve"> </v>
      </c>
      <c r="G1906" s="110">
        <f>COPY!Z1898</f>
        <v>0</v>
      </c>
      <c r="H1906" s="111" t="str">
        <f>IFERROR(VLOOKUP(Table1722[[#This Row],[Bukti]],'Un nOTA'!$A$4:$K$5003,10,FALSE),"")</f>
        <v/>
      </c>
      <c r="I1906" s="112" t="str">
        <f>IFERROR(VLOOKUP(Table1722[[#This Row],[Bukti]],Table13[#Data],11,FALSE),"")</f>
        <v/>
      </c>
    </row>
    <row r="1907" spans="1:9" ht="19.5" hidden="1" customHeight="1" x14ac:dyDescent="0.2">
      <c r="A1907" s="105" t="str">
        <f>IF(D1907=1,COUNTIF($D$10:D1907,1)," ")</f>
        <v xml:space="preserve"> </v>
      </c>
      <c r="B1907" s="106">
        <f>COPY!AR1899</f>
        <v>0</v>
      </c>
      <c r="C1907" s="107">
        <f>COPY!AC1899</f>
        <v>0</v>
      </c>
      <c r="D1907" s="107" t="str">
        <f>IF(LEN(Table1722[[#This Row],[Uraian]])&gt;2,1," ")</f>
        <v xml:space="preserve"> </v>
      </c>
      <c r="E1907" s="113" t="str">
        <f>IF(Table1722[[#This Row],[Lawan Transaksi]]="CV AGUNG KARYA",COUNTIF($I$10:I1907,"CV AGUNG KARYA")," ")</f>
        <v xml:space="preserve"> </v>
      </c>
      <c r="F1907" s="107" t="str">
        <f>IF(LEN(Table1722[[#This Row],[Uraian]])&gt;2,TRIM(RIGHT(SUBSTITUTE(TRIM(C1907)," ",REPT(" ",255)),255))," ")</f>
        <v xml:space="preserve"> </v>
      </c>
      <c r="G1907" s="110">
        <f>COPY!Z1899</f>
        <v>0</v>
      </c>
      <c r="H1907" s="111" t="str">
        <f>IFERROR(VLOOKUP(Table1722[[#This Row],[Bukti]],'Un nOTA'!$A$4:$K$5003,10,FALSE),"")</f>
        <v/>
      </c>
      <c r="I1907" s="112" t="str">
        <f>IFERROR(VLOOKUP(Table1722[[#This Row],[Bukti]],Table13[#Data],11,FALSE),"")</f>
        <v/>
      </c>
    </row>
    <row r="1908" spans="1:9" ht="19.5" hidden="1" customHeight="1" x14ac:dyDescent="0.2">
      <c r="A1908" s="105" t="str">
        <f>IF(D1908=1,COUNTIF($D$10:D1908,1)," ")</f>
        <v xml:space="preserve"> </v>
      </c>
      <c r="B1908" s="106">
        <f>COPY!AR1900</f>
        <v>0</v>
      </c>
      <c r="C1908" s="107">
        <f>COPY!AC1900</f>
        <v>0</v>
      </c>
      <c r="D1908" s="107" t="str">
        <f>IF(LEN(Table1722[[#This Row],[Uraian]])&gt;2,1," ")</f>
        <v xml:space="preserve"> </v>
      </c>
      <c r="E1908" s="113" t="str">
        <f>IF(Table1722[[#This Row],[Lawan Transaksi]]="CV AGUNG KARYA",COUNTIF($I$10:I1908,"CV AGUNG KARYA")," ")</f>
        <v xml:space="preserve"> </v>
      </c>
      <c r="F1908" s="107" t="str">
        <f>IF(LEN(Table1722[[#This Row],[Uraian]])&gt;2,TRIM(RIGHT(SUBSTITUTE(TRIM(C1908)," ",REPT(" ",255)),255))," ")</f>
        <v xml:space="preserve"> </v>
      </c>
      <c r="G1908" s="110">
        <f>COPY!Z1900</f>
        <v>0</v>
      </c>
      <c r="H1908" s="111" t="str">
        <f>IFERROR(VLOOKUP(Table1722[[#This Row],[Bukti]],'Un nOTA'!$A$4:$K$5003,10,FALSE),"")</f>
        <v/>
      </c>
      <c r="I1908" s="112" t="str">
        <f>IFERROR(VLOOKUP(Table1722[[#This Row],[Bukti]],Table13[#Data],11,FALSE),"")</f>
        <v/>
      </c>
    </row>
    <row r="1909" spans="1:9" ht="19.5" hidden="1" customHeight="1" x14ac:dyDescent="0.2">
      <c r="A1909" s="105" t="str">
        <f>IF(D1909=1,COUNTIF($D$10:D1909,1)," ")</f>
        <v xml:space="preserve"> </v>
      </c>
      <c r="B1909" s="106">
        <f>COPY!AR1901</f>
        <v>0</v>
      </c>
      <c r="C1909" s="107">
        <f>COPY!AC1901</f>
        <v>0</v>
      </c>
      <c r="D1909" s="107" t="str">
        <f>IF(LEN(Table1722[[#This Row],[Uraian]])&gt;2,1," ")</f>
        <v xml:space="preserve"> </v>
      </c>
      <c r="E1909" s="113" t="str">
        <f>IF(Table1722[[#This Row],[Lawan Transaksi]]="CV AGUNG KARYA",COUNTIF($I$10:I1909,"CV AGUNG KARYA")," ")</f>
        <v xml:space="preserve"> </v>
      </c>
      <c r="F1909" s="107" t="str">
        <f>IF(LEN(Table1722[[#This Row],[Uraian]])&gt;2,TRIM(RIGHT(SUBSTITUTE(TRIM(C1909)," ",REPT(" ",255)),255))," ")</f>
        <v xml:space="preserve"> </v>
      </c>
      <c r="G1909" s="110">
        <f>COPY!Z1901</f>
        <v>0</v>
      </c>
      <c r="H1909" s="111" t="str">
        <f>IFERROR(VLOOKUP(Table1722[[#This Row],[Bukti]],'Un nOTA'!$A$4:$K$5003,10,FALSE),"")</f>
        <v/>
      </c>
      <c r="I1909" s="112" t="str">
        <f>IFERROR(VLOOKUP(Table1722[[#This Row],[Bukti]],Table13[#Data],11,FALSE),"")</f>
        <v/>
      </c>
    </row>
    <row r="1910" spans="1:9" ht="19.5" hidden="1" customHeight="1" x14ac:dyDescent="0.2">
      <c r="A1910" s="105" t="str">
        <f>IF(D1910=1,COUNTIF($D$10:D1910,1)," ")</f>
        <v xml:space="preserve"> </v>
      </c>
      <c r="B1910" s="106">
        <f>COPY!AR1902</f>
        <v>0</v>
      </c>
      <c r="C1910" s="107">
        <f>COPY!AC1902</f>
        <v>0</v>
      </c>
      <c r="D1910" s="107" t="str">
        <f>IF(LEN(Table1722[[#This Row],[Uraian]])&gt;2,1," ")</f>
        <v xml:space="preserve"> </v>
      </c>
      <c r="E1910" s="113" t="str">
        <f>IF(Table1722[[#This Row],[Lawan Transaksi]]="CV AGUNG KARYA",COUNTIF($I$10:I1910,"CV AGUNG KARYA")," ")</f>
        <v xml:space="preserve"> </v>
      </c>
      <c r="F1910" s="107" t="str">
        <f>IF(LEN(Table1722[[#This Row],[Uraian]])&gt;2,TRIM(RIGHT(SUBSTITUTE(TRIM(C1910)," ",REPT(" ",255)),255))," ")</f>
        <v xml:space="preserve"> </v>
      </c>
      <c r="G1910" s="110">
        <f>COPY!Z1902</f>
        <v>0</v>
      </c>
      <c r="H1910" s="111" t="str">
        <f>IFERROR(VLOOKUP(Table1722[[#This Row],[Bukti]],'Un nOTA'!$A$4:$K$5003,10,FALSE),"")</f>
        <v/>
      </c>
      <c r="I1910" s="112" t="str">
        <f>IFERROR(VLOOKUP(Table1722[[#This Row],[Bukti]],Table13[#Data],11,FALSE),"")</f>
        <v/>
      </c>
    </row>
    <row r="1911" spans="1:9" ht="19.5" hidden="1" customHeight="1" x14ac:dyDescent="0.2">
      <c r="A1911" s="105" t="str">
        <f>IF(D1911=1,COUNTIF($D$10:D1911,1)," ")</f>
        <v xml:space="preserve"> </v>
      </c>
      <c r="B1911" s="106">
        <f>COPY!AR1903</f>
        <v>0</v>
      </c>
      <c r="C1911" s="107">
        <f>COPY!AC1903</f>
        <v>0</v>
      </c>
      <c r="D1911" s="107" t="str">
        <f>IF(LEN(Table1722[[#This Row],[Uraian]])&gt;2,1," ")</f>
        <v xml:space="preserve"> </v>
      </c>
      <c r="E1911" s="113" t="str">
        <f>IF(Table1722[[#This Row],[Lawan Transaksi]]="CV AGUNG KARYA",COUNTIF($I$10:I1911,"CV AGUNG KARYA")," ")</f>
        <v xml:space="preserve"> </v>
      </c>
      <c r="F1911" s="107" t="str">
        <f>IF(LEN(Table1722[[#This Row],[Uraian]])&gt;2,TRIM(RIGHT(SUBSTITUTE(TRIM(C1911)," ",REPT(" ",255)),255))," ")</f>
        <v xml:space="preserve"> </v>
      </c>
      <c r="G1911" s="110">
        <f>COPY!Z1903</f>
        <v>0</v>
      </c>
      <c r="H1911" s="111" t="str">
        <f>IFERROR(VLOOKUP(Table1722[[#This Row],[Bukti]],'Un nOTA'!$A$4:$K$5003,10,FALSE),"")</f>
        <v/>
      </c>
      <c r="I1911" s="112" t="str">
        <f>IFERROR(VLOOKUP(Table1722[[#This Row],[Bukti]],Table13[#Data],11,FALSE),"")</f>
        <v/>
      </c>
    </row>
    <row r="1912" spans="1:9" ht="19.5" hidden="1" customHeight="1" x14ac:dyDescent="0.2">
      <c r="A1912" s="105" t="str">
        <f>IF(D1912=1,COUNTIF($D$10:D1912,1)," ")</f>
        <v xml:space="preserve"> </v>
      </c>
      <c r="B1912" s="106">
        <f>COPY!AR1904</f>
        <v>0</v>
      </c>
      <c r="C1912" s="107">
        <f>COPY!AC1904</f>
        <v>0</v>
      </c>
      <c r="D1912" s="107" t="str">
        <f>IF(LEN(Table1722[[#This Row],[Uraian]])&gt;2,1," ")</f>
        <v xml:space="preserve"> </v>
      </c>
      <c r="E1912" s="113" t="str">
        <f>IF(Table1722[[#This Row],[Lawan Transaksi]]="CV AGUNG KARYA",COUNTIF($I$10:I1912,"CV AGUNG KARYA")," ")</f>
        <v xml:space="preserve"> </v>
      </c>
      <c r="F1912" s="107" t="str">
        <f>IF(LEN(Table1722[[#This Row],[Uraian]])&gt;2,TRIM(RIGHT(SUBSTITUTE(TRIM(C1912)," ",REPT(" ",255)),255))," ")</f>
        <v xml:space="preserve"> </v>
      </c>
      <c r="G1912" s="110">
        <f>COPY!Z1904</f>
        <v>0</v>
      </c>
      <c r="H1912" s="111" t="str">
        <f>IFERROR(VLOOKUP(Table1722[[#This Row],[Bukti]],'Un nOTA'!$A$4:$K$5003,10,FALSE),"")</f>
        <v/>
      </c>
      <c r="I1912" s="112" t="str">
        <f>IFERROR(VLOOKUP(Table1722[[#This Row],[Bukti]],Table13[#Data],11,FALSE),"")</f>
        <v/>
      </c>
    </row>
    <row r="1913" spans="1:9" ht="19.5" hidden="1" customHeight="1" x14ac:dyDescent="0.2">
      <c r="A1913" s="105" t="str">
        <f>IF(D1913=1,COUNTIF($D$10:D1913,1)," ")</f>
        <v xml:space="preserve"> </v>
      </c>
      <c r="B1913" s="106">
        <f>COPY!AR1905</f>
        <v>0</v>
      </c>
      <c r="C1913" s="107">
        <f>COPY!AC1905</f>
        <v>0</v>
      </c>
      <c r="D1913" s="107" t="str">
        <f>IF(LEN(Table1722[[#This Row],[Uraian]])&gt;2,1," ")</f>
        <v xml:space="preserve"> </v>
      </c>
      <c r="E1913" s="113" t="str">
        <f>IF(Table1722[[#This Row],[Lawan Transaksi]]="CV AGUNG KARYA",COUNTIF($I$10:I1913,"CV AGUNG KARYA")," ")</f>
        <v xml:space="preserve"> </v>
      </c>
      <c r="F1913" s="107" t="str">
        <f>IF(LEN(Table1722[[#This Row],[Uraian]])&gt;2,TRIM(RIGHT(SUBSTITUTE(TRIM(C1913)," ",REPT(" ",255)),255))," ")</f>
        <v xml:space="preserve"> </v>
      </c>
      <c r="G1913" s="110">
        <f>COPY!Z1905</f>
        <v>0</v>
      </c>
      <c r="H1913" s="111" t="str">
        <f>IFERROR(VLOOKUP(Table1722[[#This Row],[Bukti]],'Un nOTA'!$A$4:$K$5003,10,FALSE),"")</f>
        <v/>
      </c>
      <c r="I1913" s="112" t="str">
        <f>IFERROR(VLOOKUP(Table1722[[#This Row],[Bukti]],Table13[#Data],11,FALSE),"")</f>
        <v/>
      </c>
    </row>
    <row r="1914" spans="1:9" ht="19.5" hidden="1" customHeight="1" x14ac:dyDescent="0.2">
      <c r="A1914" s="105" t="str">
        <f>IF(D1914=1,COUNTIF($D$10:D1914,1)," ")</f>
        <v xml:space="preserve"> </v>
      </c>
      <c r="B1914" s="106">
        <f>COPY!AR1906</f>
        <v>0</v>
      </c>
      <c r="C1914" s="107">
        <f>COPY!AC1906</f>
        <v>0</v>
      </c>
      <c r="D1914" s="107" t="str">
        <f>IF(LEN(Table1722[[#This Row],[Uraian]])&gt;2,1," ")</f>
        <v xml:space="preserve"> </v>
      </c>
      <c r="E1914" s="113" t="str">
        <f>IF(Table1722[[#This Row],[Lawan Transaksi]]="CV AGUNG KARYA",COUNTIF($I$10:I1914,"CV AGUNG KARYA")," ")</f>
        <v xml:space="preserve"> </v>
      </c>
      <c r="F1914" s="107" t="str">
        <f>IF(LEN(Table1722[[#This Row],[Uraian]])&gt;2,TRIM(RIGHT(SUBSTITUTE(TRIM(C1914)," ",REPT(" ",255)),255))," ")</f>
        <v xml:space="preserve"> </v>
      </c>
      <c r="G1914" s="110">
        <f>COPY!Z1906</f>
        <v>0</v>
      </c>
      <c r="H1914" s="111" t="str">
        <f>IFERROR(VLOOKUP(Table1722[[#This Row],[Bukti]],'Un nOTA'!$A$4:$K$5003,10,FALSE),"")</f>
        <v/>
      </c>
      <c r="I1914" s="112" t="str">
        <f>IFERROR(VLOOKUP(Table1722[[#This Row],[Bukti]],Table13[#Data],11,FALSE),"")</f>
        <v/>
      </c>
    </row>
    <row r="1915" spans="1:9" ht="19.5" hidden="1" customHeight="1" x14ac:dyDescent="0.2">
      <c r="A1915" s="105" t="str">
        <f>IF(D1915=1,COUNTIF($D$10:D1915,1)," ")</f>
        <v xml:space="preserve"> </v>
      </c>
      <c r="B1915" s="106">
        <f>COPY!AR1907</f>
        <v>0</v>
      </c>
      <c r="C1915" s="107">
        <f>COPY!AC1907</f>
        <v>0</v>
      </c>
      <c r="D1915" s="107" t="str">
        <f>IF(LEN(Table1722[[#This Row],[Uraian]])&gt;2,1," ")</f>
        <v xml:space="preserve"> </v>
      </c>
      <c r="E1915" s="113" t="str">
        <f>IF(Table1722[[#This Row],[Lawan Transaksi]]="CV AGUNG KARYA",COUNTIF($I$10:I1915,"CV AGUNG KARYA")," ")</f>
        <v xml:space="preserve"> </v>
      </c>
      <c r="F1915" s="107" t="str">
        <f>IF(LEN(Table1722[[#This Row],[Uraian]])&gt;2,TRIM(RIGHT(SUBSTITUTE(TRIM(C1915)," ",REPT(" ",255)),255))," ")</f>
        <v xml:space="preserve"> </v>
      </c>
      <c r="G1915" s="110">
        <f>COPY!Z1907</f>
        <v>0</v>
      </c>
      <c r="H1915" s="111" t="str">
        <f>IFERROR(VLOOKUP(Table1722[[#This Row],[Bukti]],'Un nOTA'!$A$4:$K$5003,10,FALSE),"")</f>
        <v/>
      </c>
      <c r="I1915" s="112" t="str">
        <f>IFERROR(VLOOKUP(Table1722[[#This Row],[Bukti]],Table13[#Data],11,FALSE),"")</f>
        <v/>
      </c>
    </row>
    <row r="1916" spans="1:9" ht="19.5" hidden="1" customHeight="1" x14ac:dyDescent="0.2">
      <c r="A1916" s="105" t="str">
        <f>IF(D1916=1,COUNTIF($D$10:D1916,1)," ")</f>
        <v xml:space="preserve"> </v>
      </c>
      <c r="B1916" s="106">
        <f>COPY!AR1908</f>
        <v>0</v>
      </c>
      <c r="C1916" s="107">
        <f>COPY!AC1908</f>
        <v>0</v>
      </c>
      <c r="D1916" s="107" t="str">
        <f>IF(LEN(Table1722[[#This Row],[Uraian]])&gt;2,1," ")</f>
        <v xml:space="preserve"> </v>
      </c>
      <c r="E1916" s="113" t="str">
        <f>IF(Table1722[[#This Row],[Lawan Transaksi]]="CV AGUNG KARYA",COUNTIF($I$10:I1916,"CV AGUNG KARYA")," ")</f>
        <v xml:space="preserve"> </v>
      </c>
      <c r="F1916" s="107" t="str">
        <f>IF(LEN(Table1722[[#This Row],[Uraian]])&gt;2,TRIM(RIGHT(SUBSTITUTE(TRIM(C1916)," ",REPT(" ",255)),255))," ")</f>
        <v xml:space="preserve"> </v>
      </c>
      <c r="G1916" s="110">
        <f>COPY!Z1908</f>
        <v>0</v>
      </c>
      <c r="H1916" s="111" t="str">
        <f>IFERROR(VLOOKUP(Table1722[[#This Row],[Bukti]],'Un nOTA'!$A$4:$K$5003,10,FALSE),"")</f>
        <v/>
      </c>
      <c r="I1916" s="112" t="str">
        <f>IFERROR(VLOOKUP(Table1722[[#This Row],[Bukti]],Table13[#Data],11,FALSE),"")</f>
        <v/>
      </c>
    </row>
    <row r="1917" spans="1:9" ht="19.5" hidden="1" customHeight="1" x14ac:dyDescent="0.2">
      <c r="A1917" s="105" t="str">
        <f>IF(D1917=1,COUNTIF($D$10:D1917,1)," ")</f>
        <v xml:space="preserve"> </v>
      </c>
      <c r="B1917" s="106">
        <f>COPY!AR1909</f>
        <v>0</v>
      </c>
      <c r="C1917" s="107">
        <f>COPY!AC1909</f>
        <v>0</v>
      </c>
      <c r="D1917" s="107" t="str">
        <f>IF(LEN(Table1722[[#This Row],[Uraian]])&gt;2,1," ")</f>
        <v xml:space="preserve"> </v>
      </c>
      <c r="E1917" s="113" t="str">
        <f>IF(Table1722[[#This Row],[Lawan Transaksi]]="CV AGUNG KARYA",COUNTIF($I$10:I1917,"CV AGUNG KARYA")," ")</f>
        <v xml:space="preserve"> </v>
      </c>
      <c r="F1917" s="107" t="str">
        <f>IF(LEN(Table1722[[#This Row],[Uraian]])&gt;2,TRIM(RIGHT(SUBSTITUTE(TRIM(C1917)," ",REPT(" ",255)),255))," ")</f>
        <v xml:space="preserve"> </v>
      </c>
      <c r="G1917" s="110">
        <f>COPY!Z1909</f>
        <v>0</v>
      </c>
      <c r="H1917" s="111" t="str">
        <f>IFERROR(VLOOKUP(Table1722[[#This Row],[Bukti]],'Un nOTA'!$A$4:$K$5003,10,FALSE),"")</f>
        <v/>
      </c>
      <c r="I1917" s="112" t="str">
        <f>IFERROR(VLOOKUP(Table1722[[#This Row],[Bukti]],Table13[#Data],11,FALSE),"")</f>
        <v/>
      </c>
    </row>
    <row r="1918" spans="1:9" ht="19.5" hidden="1" customHeight="1" x14ac:dyDescent="0.2">
      <c r="A1918" s="105" t="str">
        <f>IF(D1918=1,COUNTIF($D$10:D1918,1)," ")</f>
        <v xml:space="preserve"> </v>
      </c>
      <c r="B1918" s="106">
        <f>COPY!AR1910</f>
        <v>0</v>
      </c>
      <c r="C1918" s="107">
        <f>COPY!AC1910</f>
        <v>0</v>
      </c>
      <c r="D1918" s="107" t="str">
        <f>IF(LEN(Table1722[[#This Row],[Uraian]])&gt;2,1," ")</f>
        <v xml:space="preserve"> </v>
      </c>
      <c r="E1918" s="113" t="str">
        <f>IF(Table1722[[#This Row],[Lawan Transaksi]]="CV AGUNG KARYA",COUNTIF($I$10:I1918,"CV AGUNG KARYA")," ")</f>
        <v xml:space="preserve"> </v>
      </c>
      <c r="F1918" s="107" t="str">
        <f>IF(LEN(Table1722[[#This Row],[Uraian]])&gt;2,TRIM(RIGHT(SUBSTITUTE(TRIM(C1918)," ",REPT(" ",255)),255))," ")</f>
        <v xml:space="preserve"> </v>
      </c>
      <c r="G1918" s="110">
        <f>COPY!Z1910</f>
        <v>0</v>
      </c>
      <c r="H1918" s="111" t="str">
        <f>IFERROR(VLOOKUP(Table1722[[#This Row],[Bukti]],'Un nOTA'!$A$4:$K$5003,10,FALSE),"")</f>
        <v/>
      </c>
      <c r="I1918" s="112" t="str">
        <f>IFERROR(VLOOKUP(Table1722[[#This Row],[Bukti]],Table13[#Data],11,FALSE),"")</f>
        <v/>
      </c>
    </row>
    <row r="1919" spans="1:9" ht="19.5" hidden="1" customHeight="1" x14ac:dyDescent="0.2">
      <c r="A1919" s="105" t="str">
        <f>IF(D1919=1,COUNTIF($D$10:D1919,1)," ")</f>
        <v xml:space="preserve"> </v>
      </c>
      <c r="B1919" s="106">
        <f>COPY!AR1911</f>
        <v>0</v>
      </c>
      <c r="C1919" s="107">
        <f>COPY!AC1911</f>
        <v>0</v>
      </c>
      <c r="D1919" s="107" t="str">
        <f>IF(LEN(Table1722[[#This Row],[Uraian]])&gt;2,1," ")</f>
        <v xml:space="preserve"> </v>
      </c>
      <c r="E1919" s="113" t="str">
        <f>IF(Table1722[[#This Row],[Lawan Transaksi]]="CV AGUNG KARYA",COUNTIF($I$10:I1919,"CV AGUNG KARYA")," ")</f>
        <v xml:space="preserve"> </v>
      </c>
      <c r="F1919" s="107" t="str">
        <f>IF(LEN(Table1722[[#This Row],[Uraian]])&gt;2,TRIM(RIGHT(SUBSTITUTE(TRIM(C1919)," ",REPT(" ",255)),255))," ")</f>
        <v xml:space="preserve"> </v>
      </c>
      <c r="G1919" s="110">
        <f>COPY!Z1911</f>
        <v>0</v>
      </c>
      <c r="H1919" s="111" t="str">
        <f>IFERROR(VLOOKUP(Table1722[[#This Row],[Bukti]],'Un nOTA'!$A$4:$K$5003,10,FALSE),"")</f>
        <v/>
      </c>
      <c r="I1919" s="112" t="str">
        <f>IFERROR(VLOOKUP(Table1722[[#This Row],[Bukti]],Table13[#Data],11,FALSE),"")</f>
        <v/>
      </c>
    </row>
    <row r="1920" spans="1:9" ht="19.5" hidden="1" customHeight="1" x14ac:dyDescent="0.2">
      <c r="A1920" s="105" t="str">
        <f>IF(D1920=1,COUNTIF($D$10:D1920,1)," ")</f>
        <v xml:space="preserve"> </v>
      </c>
      <c r="B1920" s="106">
        <f>COPY!AR1912</f>
        <v>0</v>
      </c>
      <c r="C1920" s="107">
        <f>COPY!AC1912</f>
        <v>0</v>
      </c>
      <c r="D1920" s="107" t="str">
        <f>IF(LEN(Table1722[[#This Row],[Uraian]])&gt;2,1," ")</f>
        <v xml:space="preserve"> </v>
      </c>
      <c r="E1920" s="113" t="str">
        <f>IF(Table1722[[#This Row],[Lawan Transaksi]]="CV AGUNG KARYA",COUNTIF($I$10:I1920,"CV AGUNG KARYA")," ")</f>
        <v xml:space="preserve"> </v>
      </c>
      <c r="F1920" s="107" t="str">
        <f>IF(LEN(Table1722[[#This Row],[Uraian]])&gt;2,TRIM(RIGHT(SUBSTITUTE(TRIM(C1920)," ",REPT(" ",255)),255))," ")</f>
        <v xml:space="preserve"> </v>
      </c>
      <c r="G1920" s="110">
        <f>COPY!Z1912</f>
        <v>0</v>
      </c>
      <c r="H1920" s="111" t="str">
        <f>IFERROR(VLOOKUP(Table1722[[#This Row],[Bukti]],'Un nOTA'!$A$4:$K$5003,10,FALSE),"")</f>
        <v/>
      </c>
      <c r="I1920" s="112" t="str">
        <f>IFERROR(VLOOKUP(Table1722[[#This Row],[Bukti]],Table13[#Data],11,FALSE),"")</f>
        <v/>
      </c>
    </row>
    <row r="1921" spans="1:9" ht="19.5" hidden="1" customHeight="1" x14ac:dyDescent="0.2">
      <c r="A1921" s="105" t="str">
        <f>IF(D1921=1,COUNTIF($D$10:D1921,1)," ")</f>
        <v xml:space="preserve"> </v>
      </c>
      <c r="B1921" s="106">
        <f>COPY!AR1913</f>
        <v>0</v>
      </c>
      <c r="C1921" s="107">
        <f>COPY!AC1913</f>
        <v>0</v>
      </c>
      <c r="D1921" s="107" t="str">
        <f>IF(LEN(Table1722[[#This Row],[Uraian]])&gt;2,1," ")</f>
        <v xml:space="preserve"> </v>
      </c>
      <c r="E1921" s="113" t="str">
        <f>IF(Table1722[[#This Row],[Lawan Transaksi]]="CV AGUNG KARYA",COUNTIF($I$10:I1921,"CV AGUNG KARYA")," ")</f>
        <v xml:space="preserve"> </v>
      </c>
      <c r="F1921" s="107" t="str">
        <f>IF(LEN(Table1722[[#This Row],[Uraian]])&gt;2,TRIM(RIGHT(SUBSTITUTE(TRIM(C1921)," ",REPT(" ",255)),255))," ")</f>
        <v xml:space="preserve"> </v>
      </c>
      <c r="G1921" s="110">
        <f>COPY!Z1913</f>
        <v>0</v>
      </c>
      <c r="H1921" s="111" t="str">
        <f>IFERROR(VLOOKUP(Table1722[[#This Row],[Bukti]],'Un nOTA'!$A$4:$K$5003,10,FALSE),"")</f>
        <v/>
      </c>
      <c r="I1921" s="112" t="str">
        <f>IFERROR(VLOOKUP(Table1722[[#This Row],[Bukti]],Table13[#Data],11,FALSE),"")</f>
        <v/>
      </c>
    </row>
    <row r="1922" spans="1:9" ht="19.5" hidden="1" customHeight="1" x14ac:dyDescent="0.2">
      <c r="A1922" s="105" t="str">
        <f>IF(D1922=1,COUNTIF($D$10:D1922,1)," ")</f>
        <v xml:space="preserve"> </v>
      </c>
      <c r="B1922" s="106">
        <f>COPY!AR1914</f>
        <v>0</v>
      </c>
      <c r="C1922" s="107">
        <f>COPY!AC1914</f>
        <v>0</v>
      </c>
      <c r="D1922" s="107" t="str">
        <f>IF(LEN(Table1722[[#This Row],[Uraian]])&gt;2,1," ")</f>
        <v xml:space="preserve"> </v>
      </c>
      <c r="E1922" s="113" t="str">
        <f>IF(Table1722[[#This Row],[Lawan Transaksi]]="CV AGUNG KARYA",COUNTIF($I$10:I1922,"CV AGUNG KARYA")," ")</f>
        <v xml:space="preserve"> </v>
      </c>
      <c r="F1922" s="107" t="str">
        <f>IF(LEN(Table1722[[#This Row],[Uraian]])&gt;2,TRIM(RIGHT(SUBSTITUTE(TRIM(C1922)," ",REPT(" ",255)),255))," ")</f>
        <v xml:space="preserve"> </v>
      </c>
      <c r="G1922" s="110">
        <f>COPY!Z1914</f>
        <v>0</v>
      </c>
      <c r="H1922" s="111" t="str">
        <f>IFERROR(VLOOKUP(Table1722[[#This Row],[Bukti]],'Un nOTA'!$A$4:$K$5003,10,FALSE),"")</f>
        <v/>
      </c>
      <c r="I1922" s="112" t="str">
        <f>IFERROR(VLOOKUP(Table1722[[#This Row],[Bukti]],Table13[#Data],11,FALSE),"")</f>
        <v/>
      </c>
    </row>
    <row r="1923" spans="1:9" ht="19.5" hidden="1" customHeight="1" x14ac:dyDescent="0.2">
      <c r="A1923" s="105" t="str">
        <f>IF(D1923=1,COUNTIF($D$10:D1923,1)," ")</f>
        <v xml:space="preserve"> </v>
      </c>
      <c r="B1923" s="106">
        <f>COPY!AR1915</f>
        <v>0</v>
      </c>
      <c r="C1923" s="107">
        <f>COPY!AC1915</f>
        <v>0</v>
      </c>
      <c r="D1923" s="107" t="str">
        <f>IF(LEN(Table1722[[#This Row],[Uraian]])&gt;2,1," ")</f>
        <v xml:space="preserve"> </v>
      </c>
      <c r="E1923" s="113" t="str">
        <f>IF(Table1722[[#This Row],[Lawan Transaksi]]="CV AGUNG KARYA",COUNTIF($I$10:I1923,"CV AGUNG KARYA")," ")</f>
        <v xml:space="preserve"> </v>
      </c>
      <c r="F1923" s="107" t="str">
        <f>IF(LEN(Table1722[[#This Row],[Uraian]])&gt;2,TRIM(RIGHT(SUBSTITUTE(TRIM(C1923)," ",REPT(" ",255)),255))," ")</f>
        <v xml:space="preserve"> </v>
      </c>
      <c r="G1923" s="110">
        <f>COPY!Z1915</f>
        <v>0</v>
      </c>
      <c r="H1923" s="111" t="str">
        <f>IFERROR(VLOOKUP(Table1722[[#This Row],[Bukti]],'Un nOTA'!$A$4:$K$5003,10,FALSE),"")</f>
        <v/>
      </c>
      <c r="I1923" s="112" t="str">
        <f>IFERROR(VLOOKUP(Table1722[[#This Row],[Bukti]],Table13[#Data],11,FALSE),"")</f>
        <v/>
      </c>
    </row>
    <row r="1924" spans="1:9" ht="19.5" hidden="1" customHeight="1" x14ac:dyDescent="0.2">
      <c r="A1924" s="105" t="str">
        <f>IF(D1924=1,COUNTIF($D$10:D1924,1)," ")</f>
        <v xml:space="preserve"> </v>
      </c>
      <c r="B1924" s="106">
        <f>COPY!AR1916</f>
        <v>0</v>
      </c>
      <c r="C1924" s="107">
        <f>COPY!AC1916</f>
        <v>0</v>
      </c>
      <c r="D1924" s="107" t="str">
        <f>IF(LEN(Table1722[[#This Row],[Uraian]])&gt;2,1," ")</f>
        <v xml:space="preserve"> </v>
      </c>
      <c r="E1924" s="113" t="str">
        <f>IF(Table1722[[#This Row],[Lawan Transaksi]]="CV AGUNG KARYA",COUNTIF($I$10:I1924,"CV AGUNG KARYA")," ")</f>
        <v xml:space="preserve"> </v>
      </c>
      <c r="F1924" s="107" t="str">
        <f>IF(LEN(Table1722[[#This Row],[Uraian]])&gt;2,TRIM(RIGHT(SUBSTITUTE(TRIM(C1924)," ",REPT(" ",255)),255))," ")</f>
        <v xml:space="preserve"> </v>
      </c>
      <c r="G1924" s="110">
        <f>COPY!Z1916</f>
        <v>0</v>
      </c>
      <c r="H1924" s="111" t="str">
        <f>IFERROR(VLOOKUP(Table1722[[#This Row],[Bukti]],'Un nOTA'!$A$4:$K$5003,10,FALSE),"")</f>
        <v/>
      </c>
      <c r="I1924" s="112" t="str">
        <f>IFERROR(VLOOKUP(Table1722[[#This Row],[Bukti]],Table13[#Data],11,FALSE),"")</f>
        <v/>
      </c>
    </row>
    <row r="1925" spans="1:9" ht="19.5" hidden="1" customHeight="1" x14ac:dyDescent="0.2">
      <c r="A1925" s="105" t="str">
        <f>IF(D1925=1,COUNTIF($D$10:D1925,1)," ")</f>
        <v xml:space="preserve"> </v>
      </c>
      <c r="B1925" s="106">
        <f>COPY!AR1917</f>
        <v>0</v>
      </c>
      <c r="C1925" s="107">
        <f>COPY!AC1917</f>
        <v>0</v>
      </c>
      <c r="D1925" s="107" t="str">
        <f>IF(LEN(Table1722[[#This Row],[Uraian]])&gt;2,1," ")</f>
        <v xml:space="preserve"> </v>
      </c>
      <c r="E1925" s="113" t="str">
        <f>IF(Table1722[[#This Row],[Lawan Transaksi]]="CV AGUNG KARYA",COUNTIF($I$10:I1925,"CV AGUNG KARYA")," ")</f>
        <v xml:space="preserve"> </v>
      </c>
      <c r="F1925" s="107" t="str">
        <f>IF(LEN(Table1722[[#This Row],[Uraian]])&gt;2,TRIM(RIGHT(SUBSTITUTE(TRIM(C1925)," ",REPT(" ",255)),255))," ")</f>
        <v xml:space="preserve"> </v>
      </c>
      <c r="G1925" s="110">
        <f>COPY!Z1917</f>
        <v>0</v>
      </c>
      <c r="H1925" s="111" t="str">
        <f>IFERROR(VLOOKUP(Table1722[[#This Row],[Bukti]],'Un nOTA'!$A$4:$K$5003,10,FALSE),"")</f>
        <v/>
      </c>
      <c r="I1925" s="112" t="str">
        <f>IFERROR(VLOOKUP(Table1722[[#This Row],[Bukti]],Table13[#Data],11,FALSE),"")</f>
        <v/>
      </c>
    </row>
    <row r="1926" spans="1:9" ht="19.5" hidden="1" customHeight="1" x14ac:dyDescent="0.2">
      <c r="A1926" s="105" t="str">
        <f>IF(D1926=1,COUNTIF($D$10:D1926,1)," ")</f>
        <v xml:space="preserve"> </v>
      </c>
      <c r="B1926" s="106">
        <f>COPY!AR1918</f>
        <v>0</v>
      </c>
      <c r="C1926" s="107">
        <f>COPY!AC1918</f>
        <v>0</v>
      </c>
      <c r="D1926" s="107" t="str">
        <f>IF(LEN(Table1722[[#This Row],[Uraian]])&gt;2,1," ")</f>
        <v xml:space="preserve"> </v>
      </c>
      <c r="E1926" s="113" t="str">
        <f>IF(Table1722[[#This Row],[Lawan Transaksi]]="CV AGUNG KARYA",COUNTIF($I$10:I1926,"CV AGUNG KARYA")," ")</f>
        <v xml:space="preserve"> </v>
      </c>
      <c r="F1926" s="107" t="str">
        <f>IF(LEN(Table1722[[#This Row],[Uraian]])&gt;2,TRIM(RIGHT(SUBSTITUTE(TRIM(C1926)," ",REPT(" ",255)),255))," ")</f>
        <v xml:space="preserve"> </v>
      </c>
      <c r="G1926" s="110">
        <f>COPY!Z1918</f>
        <v>0</v>
      </c>
      <c r="H1926" s="111" t="str">
        <f>IFERROR(VLOOKUP(Table1722[[#This Row],[Bukti]],'Un nOTA'!$A$4:$K$5003,10,FALSE),"")</f>
        <v/>
      </c>
      <c r="I1926" s="112" t="str">
        <f>IFERROR(VLOOKUP(Table1722[[#This Row],[Bukti]],Table13[#Data],11,FALSE),"")</f>
        <v/>
      </c>
    </row>
    <row r="1927" spans="1:9" ht="19.5" hidden="1" customHeight="1" x14ac:dyDescent="0.2">
      <c r="A1927" s="105" t="str">
        <f>IF(D1927=1,COUNTIF($D$10:D1927,1)," ")</f>
        <v xml:space="preserve"> </v>
      </c>
      <c r="B1927" s="106">
        <f>COPY!AR1919</f>
        <v>0</v>
      </c>
      <c r="C1927" s="107">
        <f>COPY!AC1919</f>
        <v>0</v>
      </c>
      <c r="D1927" s="107" t="str">
        <f>IF(LEN(Table1722[[#This Row],[Uraian]])&gt;2,1," ")</f>
        <v xml:space="preserve"> </v>
      </c>
      <c r="E1927" s="113" t="str">
        <f>IF(Table1722[[#This Row],[Lawan Transaksi]]="CV AGUNG KARYA",COUNTIF($I$10:I1927,"CV AGUNG KARYA")," ")</f>
        <v xml:space="preserve"> </v>
      </c>
      <c r="F1927" s="107" t="str">
        <f>IF(LEN(Table1722[[#This Row],[Uraian]])&gt;2,TRIM(RIGHT(SUBSTITUTE(TRIM(C1927)," ",REPT(" ",255)),255))," ")</f>
        <v xml:space="preserve"> </v>
      </c>
      <c r="G1927" s="110">
        <f>COPY!Z1919</f>
        <v>0</v>
      </c>
      <c r="H1927" s="111" t="str">
        <f>IFERROR(VLOOKUP(Table1722[[#This Row],[Bukti]],'Un nOTA'!$A$4:$K$5003,10,FALSE),"")</f>
        <v/>
      </c>
      <c r="I1927" s="112" t="str">
        <f>IFERROR(VLOOKUP(Table1722[[#This Row],[Bukti]],Table13[#Data],11,FALSE),"")</f>
        <v/>
      </c>
    </row>
    <row r="1928" spans="1:9" ht="19.5" hidden="1" customHeight="1" x14ac:dyDescent="0.2">
      <c r="A1928" s="105" t="str">
        <f>IF(D1928=1,COUNTIF($D$10:D1928,1)," ")</f>
        <v xml:space="preserve"> </v>
      </c>
      <c r="B1928" s="106">
        <f>COPY!AR1920</f>
        <v>0</v>
      </c>
      <c r="C1928" s="107">
        <f>COPY!AC1920</f>
        <v>0</v>
      </c>
      <c r="D1928" s="107" t="str">
        <f>IF(LEN(Table1722[[#This Row],[Uraian]])&gt;2,1," ")</f>
        <v xml:space="preserve"> </v>
      </c>
      <c r="E1928" s="113" t="str">
        <f>IF(Table1722[[#This Row],[Lawan Transaksi]]="CV AGUNG KARYA",COUNTIF($I$10:I1928,"CV AGUNG KARYA")," ")</f>
        <v xml:space="preserve"> </v>
      </c>
      <c r="F1928" s="107" t="str">
        <f>IF(LEN(Table1722[[#This Row],[Uraian]])&gt;2,TRIM(RIGHT(SUBSTITUTE(TRIM(C1928)," ",REPT(" ",255)),255))," ")</f>
        <v xml:space="preserve"> </v>
      </c>
      <c r="G1928" s="110">
        <f>COPY!Z1920</f>
        <v>0</v>
      </c>
      <c r="H1928" s="111" t="str">
        <f>IFERROR(VLOOKUP(Table1722[[#This Row],[Bukti]],'Un nOTA'!$A$4:$K$5003,10,FALSE),"")</f>
        <v/>
      </c>
      <c r="I1928" s="112" t="str">
        <f>IFERROR(VLOOKUP(Table1722[[#This Row],[Bukti]],Table13[#Data],11,FALSE),"")</f>
        <v/>
      </c>
    </row>
    <row r="1929" spans="1:9" ht="19.5" hidden="1" customHeight="1" x14ac:dyDescent="0.2">
      <c r="A1929" s="105" t="str">
        <f>IF(D1929=1,COUNTIF($D$10:D1929,1)," ")</f>
        <v xml:space="preserve"> </v>
      </c>
      <c r="B1929" s="106">
        <f>COPY!AR1921</f>
        <v>0</v>
      </c>
      <c r="C1929" s="107">
        <f>COPY!AC1921</f>
        <v>0</v>
      </c>
      <c r="D1929" s="107" t="str">
        <f>IF(LEN(Table1722[[#This Row],[Uraian]])&gt;2,1," ")</f>
        <v xml:space="preserve"> </v>
      </c>
      <c r="E1929" s="113" t="str">
        <f>IF(Table1722[[#This Row],[Lawan Transaksi]]="CV AGUNG KARYA",COUNTIF($I$10:I1929,"CV AGUNG KARYA")," ")</f>
        <v xml:space="preserve"> </v>
      </c>
      <c r="F1929" s="107" t="str">
        <f>IF(LEN(Table1722[[#This Row],[Uraian]])&gt;2,TRIM(RIGHT(SUBSTITUTE(TRIM(C1929)," ",REPT(" ",255)),255))," ")</f>
        <v xml:space="preserve"> </v>
      </c>
      <c r="G1929" s="110">
        <f>COPY!Z1921</f>
        <v>0</v>
      </c>
      <c r="H1929" s="111" t="str">
        <f>IFERROR(VLOOKUP(Table1722[[#This Row],[Bukti]],'Un nOTA'!$A$4:$K$5003,10,FALSE),"")</f>
        <v/>
      </c>
      <c r="I1929" s="112" t="str">
        <f>IFERROR(VLOOKUP(Table1722[[#This Row],[Bukti]],Table13[#Data],11,FALSE),"")</f>
        <v/>
      </c>
    </row>
    <row r="1930" spans="1:9" ht="19.5" hidden="1" customHeight="1" x14ac:dyDescent="0.2">
      <c r="A1930" s="105" t="str">
        <f>IF(D1930=1,COUNTIF($D$10:D1930,1)," ")</f>
        <v xml:space="preserve"> </v>
      </c>
      <c r="B1930" s="106">
        <f>COPY!AR1922</f>
        <v>0</v>
      </c>
      <c r="C1930" s="107">
        <f>COPY!AC1922</f>
        <v>0</v>
      </c>
      <c r="D1930" s="107" t="str">
        <f>IF(LEN(Table1722[[#This Row],[Uraian]])&gt;2,1," ")</f>
        <v xml:space="preserve"> </v>
      </c>
      <c r="E1930" s="113" t="str">
        <f>IF(Table1722[[#This Row],[Lawan Transaksi]]="CV AGUNG KARYA",COUNTIF($I$10:I1930,"CV AGUNG KARYA")," ")</f>
        <v xml:space="preserve"> </v>
      </c>
      <c r="F1930" s="107" t="str">
        <f>IF(LEN(Table1722[[#This Row],[Uraian]])&gt;2,TRIM(RIGHT(SUBSTITUTE(TRIM(C1930)," ",REPT(" ",255)),255))," ")</f>
        <v xml:space="preserve"> </v>
      </c>
      <c r="G1930" s="110">
        <f>COPY!Z1922</f>
        <v>0</v>
      </c>
      <c r="H1930" s="111" t="str">
        <f>IFERROR(VLOOKUP(Table1722[[#This Row],[Bukti]],'Un nOTA'!$A$4:$K$5003,10,FALSE),"")</f>
        <v/>
      </c>
      <c r="I1930" s="112" t="str">
        <f>IFERROR(VLOOKUP(Table1722[[#This Row],[Bukti]],Table13[#Data],11,FALSE),"")</f>
        <v/>
      </c>
    </row>
    <row r="1931" spans="1:9" ht="19.5" hidden="1" customHeight="1" x14ac:dyDescent="0.2">
      <c r="A1931" s="105" t="str">
        <f>IF(D1931=1,COUNTIF($D$10:D1931,1)," ")</f>
        <v xml:space="preserve"> </v>
      </c>
      <c r="B1931" s="106">
        <f>COPY!AR1923</f>
        <v>0</v>
      </c>
      <c r="C1931" s="107">
        <f>COPY!AC1923</f>
        <v>0</v>
      </c>
      <c r="D1931" s="107" t="str">
        <f>IF(LEN(Table1722[[#This Row],[Uraian]])&gt;2,1," ")</f>
        <v xml:space="preserve"> </v>
      </c>
      <c r="E1931" s="113" t="str">
        <f>IF(Table1722[[#This Row],[Lawan Transaksi]]="CV AGUNG KARYA",COUNTIF($I$10:I1931,"CV AGUNG KARYA")," ")</f>
        <v xml:space="preserve"> </v>
      </c>
      <c r="F1931" s="107" t="str">
        <f>IF(LEN(Table1722[[#This Row],[Uraian]])&gt;2,TRIM(RIGHT(SUBSTITUTE(TRIM(C1931)," ",REPT(" ",255)),255))," ")</f>
        <v xml:space="preserve"> </v>
      </c>
      <c r="G1931" s="110">
        <f>COPY!Z1923</f>
        <v>0</v>
      </c>
      <c r="H1931" s="111" t="str">
        <f>IFERROR(VLOOKUP(Table1722[[#This Row],[Bukti]],'Un nOTA'!$A$4:$K$5003,10,FALSE),"")</f>
        <v/>
      </c>
      <c r="I1931" s="112" t="str">
        <f>IFERROR(VLOOKUP(Table1722[[#This Row],[Bukti]],Table13[#Data],11,FALSE),"")</f>
        <v/>
      </c>
    </row>
    <row r="1932" spans="1:9" ht="19.5" hidden="1" customHeight="1" x14ac:dyDescent="0.2">
      <c r="A1932" s="105" t="str">
        <f>IF(D1932=1,COUNTIF($D$10:D1932,1)," ")</f>
        <v xml:space="preserve"> </v>
      </c>
      <c r="B1932" s="106">
        <f>COPY!AR1924</f>
        <v>0</v>
      </c>
      <c r="C1932" s="107">
        <f>COPY!AC1924</f>
        <v>0</v>
      </c>
      <c r="D1932" s="107" t="str">
        <f>IF(LEN(Table1722[[#This Row],[Uraian]])&gt;2,1," ")</f>
        <v xml:space="preserve"> </v>
      </c>
      <c r="E1932" s="113" t="str">
        <f>IF(Table1722[[#This Row],[Lawan Transaksi]]="CV AGUNG KARYA",COUNTIF($I$10:I1932,"CV AGUNG KARYA")," ")</f>
        <v xml:space="preserve"> </v>
      </c>
      <c r="F1932" s="107" t="str">
        <f>IF(LEN(Table1722[[#This Row],[Uraian]])&gt;2,TRIM(RIGHT(SUBSTITUTE(TRIM(C1932)," ",REPT(" ",255)),255))," ")</f>
        <v xml:space="preserve"> </v>
      </c>
      <c r="G1932" s="110">
        <f>COPY!Z1924</f>
        <v>0</v>
      </c>
      <c r="H1932" s="111" t="str">
        <f>IFERROR(VLOOKUP(Table1722[[#This Row],[Bukti]],'Un nOTA'!$A$4:$K$5003,10,FALSE),"")</f>
        <v/>
      </c>
      <c r="I1932" s="112" t="str">
        <f>IFERROR(VLOOKUP(Table1722[[#This Row],[Bukti]],Table13[#Data],11,FALSE),"")</f>
        <v/>
      </c>
    </row>
    <row r="1933" spans="1:9" ht="19.5" hidden="1" customHeight="1" x14ac:dyDescent="0.2">
      <c r="A1933" s="105" t="str">
        <f>IF(D1933=1,COUNTIF($D$10:D1933,1)," ")</f>
        <v xml:space="preserve"> </v>
      </c>
      <c r="B1933" s="106">
        <f>COPY!AR1925</f>
        <v>0</v>
      </c>
      <c r="C1933" s="107">
        <f>COPY!AC1925</f>
        <v>0</v>
      </c>
      <c r="D1933" s="107" t="str">
        <f>IF(LEN(Table1722[[#This Row],[Uraian]])&gt;2,1," ")</f>
        <v xml:space="preserve"> </v>
      </c>
      <c r="E1933" s="113" t="str">
        <f>IF(Table1722[[#This Row],[Lawan Transaksi]]="CV AGUNG KARYA",COUNTIF($I$10:I1933,"CV AGUNG KARYA")," ")</f>
        <v xml:space="preserve"> </v>
      </c>
      <c r="F1933" s="107" t="str">
        <f>IF(LEN(Table1722[[#This Row],[Uraian]])&gt;2,TRIM(RIGHT(SUBSTITUTE(TRIM(C1933)," ",REPT(" ",255)),255))," ")</f>
        <v xml:space="preserve"> </v>
      </c>
      <c r="G1933" s="110">
        <f>COPY!Z1925</f>
        <v>0</v>
      </c>
      <c r="H1933" s="111" t="str">
        <f>IFERROR(VLOOKUP(Table1722[[#This Row],[Bukti]],'Un nOTA'!$A$4:$K$5003,10,FALSE),"")</f>
        <v/>
      </c>
      <c r="I1933" s="112" t="str">
        <f>IFERROR(VLOOKUP(Table1722[[#This Row],[Bukti]],Table13[#Data],11,FALSE),"")</f>
        <v/>
      </c>
    </row>
    <row r="1934" spans="1:9" ht="19.5" hidden="1" customHeight="1" x14ac:dyDescent="0.2">
      <c r="A1934" s="105" t="str">
        <f>IF(D1934=1,COUNTIF($D$10:D1934,1)," ")</f>
        <v xml:space="preserve"> </v>
      </c>
      <c r="B1934" s="106">
        <f>COPY!AR1926</f>
        <v>0</v>
      </c>
      <c r="C1934" s="107">
        <f>COPY!AC1926</f>
        <v>0</v>
      </c>
      <c r="D1934" s="107" t="str">
        <f>IF(LEN(Table1722[[#This Row],[Uraian]])&gt;2,1," ")</f>
        <v xml:space="preserve"> </v>
      </c>
      <c r="E1934" s="113" t="str">
        <f>IF(Table1722[[#This Row],[Lawan Transaksi]]="CV AGUNG KARYA",COUNTIF($I$10:I1934,"CV AGUNG KARYA")," ")</f>
        <v xml:space="preserve"> </v>
      </c>
      <c r="F1934" s="107" t="str">
        <f>IF(LEN(Table1722[[#This Row],[Uraian]])&gt;2,TRIM(RIGHT(SUBSTITUTE(TRIM(C1934)," ",REPT(" ",255)),255))," ")</f>
        <v xml:space="preserve"> </v>
      </c>
      <c r="G1934" s="110">
        <f>COPY!Z1926</f>
        <v>0</v>
      </c>
      <c r="H1934" s="111" t="str">
        <f>IFERROR(VLOOKUP(Table1722[[#This Row],[Bukti]],'Un nOTA'!$A$4:$K$5003,10,FALSE),"")</f>
        <v/>
      </c>
      <c r="I1934" s="112" t="str">
        <f>IFERROR(VLOOKUP(Table1722[[#This Row],[Bukti]],Table13[#Data],11,FALSE),"")</f>
        <v/>
      </c>
    </row>
    <row r="1935" spans="1:9" ht="19.5" hidden="1" customHeight="1" x14ac:dyDescent="0.2">
      <c r="A1935" s="105" t="str">
        <f>IF(D1935=1,COUNTIF($D$10:D1935,1)," ")</f>
        <v xml:space="preserve"> </v>
      </c>
      <c r="B1935" s="106">
        <f>COPY!AR1927</f>
        <v>0</v>
      </c>
      <c r="C1935" s="107">
        <f>COPY!AC1927</f>
        <v>0</v>
      </c>
      <c r="D1935" s="107" t="str">
        <f>IF(LEN(Table1722[[#This Row],[Uraian]])&gt;2,1," ")</f>
        <v xml:space="preserve"> </v>
      </c>
      <c r="E1935" s="113" t="str">
        <f>IF(Table1722[[#This Row],[Lawan Transaksi]]="CV AGUNG KARYA",COUNTIF($I$10:I1935,"CV AGUNG KARYA")," ")</f>
        <v xml:space="preserve"> </v>
      </c>
      <c r="F1935" s="107" t="str">
        <f>IF(LEN(Table1722[[#This Row],[Uraian]])&gt;2,TRIM(RIGHT(SUBSTITUTE(TRIM(C1935)," ",REPT(" ",255)),255))," ")</f>
        <v xml:space="preserve"> </v>
      </c>
      <c r="G1935" s="110">
        <f>COPY!Z1927</f>
        <v>0</v>
      </c>
      <c r="H1935" s="111" t="str">
        <f>IFERROR(VLOOKUP(Table1722[[#This Row],[Bukti]],'Un nOTA'!$A$4:$K$5003,10,FALSE),"")</f>
        <v/>
      </c>
      <c r="I1935" s="112" t="str">
        <f>IFERROR(VLOOKUP(Table1722[[#This Row],[Bukti]],Table13[#Data],11,FALSE),"")</f>
        <v/>
      </c>
    </row>
    <row r="1936" spans="1:9" ht="19.5" hidden="1" customHeight="1" x14ac:dyDescent="0.2">
      <c r="A1936" s="105" t="str">
        <f>IF(D1936=1,COUNTIF($D$10:D1936,1)," ")</f>
        <v xml:space="preserve"> </v>
      </c>
      <c r="B1936" s="106">
        <f>COPY!AR1928</f>
        <v>0</v>
      </c>
      <c r="C1936" s="107">
        <f>COPY!AC1928</f>
        <v>0</v>
      </c>
      <c r="D1936" s="107" t="str">
        <f>IF(LEN(Table1722[[#This Row],[Uraian]])&gt;2,1," ")</f>
        <v xml:space="preserve"> </v>
      </c>
      <c r="E1936" s="113" t="str">
        <f>IF(Table1722[[#This Row],[Lawan Transaksi]]="CV AGUNG KARYA",COUNTIF($I$10:I1936,"CV AGUNG KARYA")," ")</f>
        <v xml:space="preserve"> </v>
      </c>
      <c r="F1936" s="107" t="str">
        <f>IF(LEN(Table1722[[#This Row],[Uraian]])&gt;2,TRIM(RIGHT(SUBSTITUTE(TRIM(C1936)," ",REPT(" ",255)),255))," ")</f>
        <v xml:space="preserve"> </v>
      </c>
      <c r="G1936" s="110">
        <f>COPY!Z1928</f>
        <v>0</v>
      </c>
      <c r="H1936" s="111" t="str">
        <f>IFERROR(VLOOKUP(Table1722[[#This Row],[Bukti]],'Un nOTA'!$A$4:$K$5003,10,FALSE),"")</f>
        <v/>
      </c>
      <c r="I1936" s="112" t="str">
        <f>IFERROR(VLOOKUP(Table1722[[#This Row],[Bukti]],Table13[#Data],11,FALSE),"")</f>
        <v/>
      </c>
    </row>
    <row r="1937" spans="1:9" ht="19.5" hidden="1" customHeight="1" x14ac:dyDescent="0.2">
      <c r="A1937" s="105" t="str">
        <f>IF(D1937=1,COUNTIF($D$10:D1937,1)," ")</f>
        <v xml:space="preserve"> </v>
      </c>
      <c r="B1937" s="106">
        <f>COPY!AR1929</f>
        <v>0</v>
      </c>
      <c r="C1937" s="107">
        <f>COPY!AC1929</f>
        <v>0</v>
      </c>
      <c r="D1937" s="107" t="str">
        <f>IF(LEN(Table1722[[#This Row],[Uraian]])&gt;2,1," ")</f>
        <v xml:space="preserve"> </v>
      </c>
      <c r="E1937" s="113" t="str">
        <f>IF(Table1722[[#This Row],[Lawan Transaksi]]="CV AGUNG KARYA",COUNTIF($I$10:I1937,"CV AGUNG KARYA")," ")</f>
        <v xml:space="preserve"> </v>
      </c>
      <c r="F1937" s="107" t="str">
        <f>IF(LEN(Table1722[[#This Row],[Uraian]])&gt;2,TRIM(RIGHT(SUBSTITUTE(TRIM(C1937)," ",REPT(" ",255)),255))," ")</f>
        <v xml:space="preserve"> </v>
      </c>
      <c r="G1937" s="110">
        <f>COPY!Z1929</f>
        <v>0</v>
      </c>
      <c r="H1937" s="111" t="str">
        <f>IFERROR(VLOOKUP(Table1722[[#This Row],[Bukti]],'Un nOTA'!$A$4:$K$5003,10,FALSE),"")</f>
        <v/>
      </c>
      <c r="I1937" s="112" t="str">
        <f>IFERROR(VLOOKUP(Table1722[[#This Row],[Bukti]],Table13[#Data],11,FALSE),"")</f>
        <v/>
      </c>
    </row>
    <row r="1938" spans="1:9" ht="19.5" hidden="1" customHeight="1" x14ac:dyDescent="0.2">
      <c r="A1938" s="105" t="str">
        <f>IF(D1938=1,COUNTIF($D$10:D1938,1)," ")</f>
        <v xml:space="preserve"> </v>
      </c>
      <c r="B1938" s="106">
        <f>COPY!AR1930</f>
        <v>0</v>
      </c>
      <c r="C1938" s="107">
        <f>COPY!AC1930</f>
        <v>0</v>
      </c>
      <c r="D1938" s="107" t="str">
        <f>IF(LEN(Table1722[[#This Row],[Uraian]])&gt;2,1," ")</f>
        <v xml:space="preserve"> </v>
      </c>
      <c r="E1938" s="113" t="str">
        <f>IF(Table1722[[#This Row],[Lawan Transaksi]]="CV AGUNG KARYA",COUNTIF($I$10:I1938,"CV AGUNG KARYA")," ")</f>
        <v xml:space="preserve"> </v>
      </c>
      <c r="F1938" s="107" t="str">
        <f>IF(LEN(Table1722[[#This Row],[Uraian]])&gt;2,TRIM(RIGHT(SUBSTITUTE(TRIM(C1938)," ",REPT(" ",255)),255))," ")</f>
        <v xml:space="preserve"> </v>
      </c>
      <c r="G1938" s="110">
        <f>COPY!Z1930</f>
        <v>0</v>
      </c>
      <c r="H1938" s="111" t="str">
        <f>IFERROR(VLOOKUP(Table1722[[#This Row],[Bukti]],'Un nOTA'!$A$4:$K$5003,10,FALSE),"")</f>
        <v/>
      </c>
      <c r="I1938" s="112" t="str">
        <f>IFERROR(VLOOKUP(Table1722[[#This Row],[Bukti]],Table13[#Data],11,FALSE),"")</f>
        <v/>
      </c>
    </row>
    <row r="1939" spans="1:9" ht="19.5" hidden="1" customHeight="1" x14ac:dyDescent="0.2">
      <c r="A1939" s="105" t="str">
        <f>IF(D1939=1,COUNTIF($D$10:D1939,1)," ")</f>
        <v xml:space="preserve"> </v>
      </c>
      <c r="B1939" s="106">
        <f>COPY!AR1931</f>
        <v>0</v>
      </c>
      <c r="C1939" s="107">
        <f>COPY!AC1931</f>
        <v>0</v>
      </c>
      <c r="D1939" s="107" t="str">
        <f>IF(LEN(Table1722[[#This Row],[Uraian]])&gt;2,1," ")</f>
        <v xml:space="preserve"> </v>
      </c>
      <c r="E1939" s="113" t="str">
        <f>IF(Table1722[[#This Row],[Lawan Transaksi]]="CV AGUNG KARYA",COUNTIF($I$10:I1939,"CV AGUNG KARYA")," ")</f>
        <v xml:space="preserve"> </v>
      </c>
      <c r="F1939" s="107" t="str">
        <f>IF(LEN(Table1722[[#This Row],[Uraian]])&gt;2,TRIM(RIGHT(SUBSTITUTE(TRIM(C1939)," ",REPT(" ",255)),255))," ")</f>
        <v xml:space="preserve"> </v>
      </c>
      <c r="G1939" s="110">
        <f>COPY!Z1931</f>
        <v>0</v>
      </c>
      <c r="H1939" s="111" t="str">
        <f>IFERROR(VLOOKUP(Table1722[[#This Row],[Bukti]],'Un nOTA'!$A$4:$K$5003,10,FALSE),"")</f>
        <v/>
      </c>
      <c r="I1939" s="112" t="str">
        <f>IFERROR(VLOOKUP(Table1722[[#This Row],[Bukti]],Table13[#Data],11,FALSE),"")</f>
        <v/>
      </c>
    </row>
    <row r="1940" spans="1:9" ht="19.5" hidden="1" customHeight="1" x14ac:dyDescent="0.2">
      <c r="A1940" s="105" t="str">
        <f>IF(D1940=1,COUNTIF($D$10:D1940,1)," ")</f>
        <v xml:space="preserve"> </v>
      </c>
      <c r="B1940" s="106">
        <f>COPY!AR1932</f>
        <v>0</v>
      </c>
      <c r="C1940" s="107">
        <f>COPY!AC1932</f>
        <v>0</v>
      </c>
      <c r="D1940" s="107" t="str">
        <f>IF(LEN(Table1722[[#This Row],[Uraian]])&gt;2,1," ")</f>
        <v xml:space="preserve"> </v>
      </c>
      <c r="E1940" s="113" t="str">
        <f>IF(Table1722[[#This Row],[Lawan Transaksi]]="CV AGUNG KARYA",COUNTIF($I$10:I1940,"CV AGUNG KARYA")," ")</f>
        <v xml:space="preserve"> </v>
      </c>
      <c r="F1940" s="107" t="str">
        <f>IF(LEN(Table1722[[#This Row],[Uraian]])&gt;2,TRIM(RIGHT(SUBSTITUTE(TRIM(C1940)," ",REPT(" ",255)),255))," ")</f>
        <v xml:space="preserve"> </v>
      </c>
      <c r="G1940" s="110">
        <f>COPY!Z1932</f>
        <v>0</v>
      </c>
      <c r="H1940" s="111" t="str">
        <f>IFERROR(VLOOKUP(Table1722[[#This Row],[Bukti]],'Un nOTA'!$A$4:$K$5003,10,FALSE),"")</f>
        <v/>
      </c>
      <c r="I1940" s="112" t="str">
        <f>IFERROR(VLOOKUP(Table1722[[#This Row],[Bukti]],Table13[#Data],11,FALSE),"")</f>
        <v/>
      </c>
    </row>
    <row r="1941" spans="1:9" ht="19.5" hidden="1" customHeight="1" x14ac:dyDescent="0.2">
      <c r="A1941" s="105" t="str">
        <f>IF(D1941=1,COUNTIF($D$10:D1941,1)," ")</f>
        <v xml:space="preserve"> </v>
      </c>
      <c r="B1941" s="106">
        <f>COPY!AR1933</f>
        <v>0</v>
      </c>
      <c r="C1941" s="107">
        <f>COPY!AC1933</f>
        <v>0</v>
      </c>
      <c r="D1941" s="107" t="str">
        <f>IF(LEN(Table1722[[#This Row],[Uraian]])&gt;2,1," ")</f>
        <v xml:space="preserve"> </v>
      </c>
      <c r="E1941" s="113" t="str">
        <f>IF(Table1722[[#This Row],[Lawan Transaksi]]="CV AGUNG KARYA",COUNTIF($I$10:I1941,"CV AGUNG KARYA")," ")</f>
        <v xml:space="preserve"> </v>
      </c>
      <c r="F1941" s="107" t="str">
        <f>IF(LEN(Table1722[[#This Row],[Uraian]])&gt;2,TRIM(RIGHT(SUBSTITUTE(TRIM(C1941)," ",REPT(" ",255)),255))," ")</f>
        <v xml:space="preserve"> </v>
      </c>
      <c r="G1941" s="110">
        <f>COPY!Z1933</f>
        <v>0</v>
      </c>
      <c r="H1941" s="111" t="str">
        <f>IFERROR(VLOOKUP(Table1722[[#This Row],[Bukti]],'Un nOTA'!$A$4:$K$5003,10,FALSE),"")</f>
        <v/>
      </c>
      <c r="I1941" s="112" t="str">
        <f>IFERROR(VLOOKUP(Table1722[[#This Row],[Bukti]],Table13[#Data],11,FALSE),"")</f>
        <v/>
      </c>
    </row>
    <row r="1942" spans="1:9" ht="19.5" hidden="1" customHeight="1" x14ac:dyDescent="0.2">
      <c r="A1942" s="105" t="str">
        <f>IF(D1942=1,COUNTIF($D$10:D1942,1)," ")</f>
        <v xml:space="preserve"> </v>
      </c>
      <c r="B1942" s="106">
        <f>COPY!AR1934</f>
        <v>0</v>
      </c>
      <c r="C1942" s="107">
        <f>COPY!AC1934</f>
        <v>0</v>
      </c>
      <c r="D1942" s="107" t="str">
        <f>IF(LEN(Table1722[[#This Row],[Uraian]])&gt;2,1," ")</f>
        <v xml:space="preserve"> </v>
      </c>
      <c r="E1942" s="113" t="str">
        <f>IF(Table1722[[#This Row],[Lawan Transaksi]]="CV AGUNG KARYA",COUNTIF($I$10:I1942,"CV AGUNG KARYA")," ")</f>
        <v xml:space="preserve"> </v>
      </c>
      <c r="F1942" s="107" t="str">
        <f>IF(LEN(Table1722[[#This Row],[Uraian]])&gt;2,TRIM(RIGHT(SUBSTITUTE(TRIM(C1942)," ",REPT(" ",255)),255))," ")</f>
        <v xml:space="preserve"> </v>
      </c>
      <c r="G1942" s="110">
        <f>COPY!Z1934</f>
        <v>0</v>
      </c>
      <c r="H1942" s="111" t="str">
        <f>IFERROR(VLOOKUP(Table1722[[#This Row],[Bukti]],'Un nOTA'!$A$4:$K$5003,10,FALSE),"")</f>
        <v/>
      </c>
      <c r="I1942" s="112" t="str">
        <f>IFERROR(VLOOKUP(Table1722[[#This Row],[Bukti]],Table13[#Data],11,FALSE),"")</f>
        <v/>
      </c>
    </row>
    <row r="1943" spans="1:9" ht="19.5" hidden="1" customHeight="1" x14ac:dyDescent="0.2">
      <c r="A1943" s="105" t="str">
        <f>IF(D1943=1,COUNTIF($D$10:D1943,1)," ")</f>
        <v xml:space="preserve"> </v>
      </c>
      <c r="B1943" s="106">
        <f>COPY!AR1935</f>
        <v>0</v>
      </c>
      <c r="C1943" s="107">
        <f>COPY!AC1935</f>
        <v>0</v>
      </c>
      <c r="D1943" s="107" t="str">
        <f>IF(LEN(Table1722[[#This Row],[Uraian]])&gt;2,1," ")</f>
        <v xml:space="preserve"> </v>
      </c>
      <c r="E1943" s="113" t="str">
        <f>IF(Table1722[[#This Row],[Lawan Transaksi]]="CV AGUNG KARYA",COUNTIF($I$10:I1943,"CV AGUNG KARYA")," ")</f>
        <v xml:space="preserve"> </v>
      </c>
      <c r="F1943" s="107" t="str">
        <f>IF(LEN(Table1722[[#This Row],[Uraian]])&gt;2,TRIM(RIGHT(SUBSTITUTE(TRIM(C1943)," ",REPT(" ",255)),255))," ")</f>
        <v xml:space="preserve"> </v>
      </c>
      <c r="G1943" s="110">
        <f>COPY!Z1935</f>
        <v>0</v>
      </c>
      <c r="H1943" s="111" t="str">
        <f>IFERROR(VLOOKUP(Table1722[[#This Row],[Bukti]],'Un nOTA'!$A$4:$K$5003,10,FALSE),"")</f>
        <v/>
      </c>
      <c r="I1943" s="112" t="str">
        <f>IFERROR(VLOOKUP(Table1722[[#This Row],[Bukti]],Table13[#Data],11,FALSE),"")</f>
        <v/>
      </c>
    </row>
    <row r="1944" spans="1:9" ht="19.5" hidden="1" customHeight="1" x14ac:dyDescent="0.2">
      <c r="A1944" s="105" t="str">
        <f>IF(D1944=1,COUNTIF($D$10:D1944,1)," ")</f>
        <v xml:space="preserve"> </v>
      </c>
      <c r="B1944" s="106">
        <f>COPY!AR1936</f>
        <v>0</v>
      </c>
      <c r="C1944" s="107">
        <f>COPY!AC1936</f>
        <v>0</v>
      </c>
      <c r="D1944" s="107" t="str">
        <f>IF(LEN(Table1722[[#This Row],[Uraian]])&gt;2,1," ")</f>
        <v xml:space="preserve"> </v>
      </c>
      <c r="E1944" s="113" t="str">
        <f>IF(Table1722[[#This Row],[Lawan Transaksi]]="CV AGUNG KARYA",COUNTIF($I$10:I1944,"CV AGUNG KARYA")," ")</f>
        <v xml:space="preserve"> </v>
      </c>
      <c r="F1944" s="107" t="str">
        <f>IF(LEN(Table1722[[#This Row],[Uraian]])&gt;2,TRIM(RIGHT(SUBSTITUTE(TRIM(C1944)," ",REPT(" ",255)),255))," ")</f>
        <v xml:space="preserve"> </v>
      </c>
      <c r="G1944" s="110">
        <f>COPY!Z1936</f>
        <v>0</v>
      </c>
      <c r="H1944" s="111" t="str">
        <f>IFERROR(VLOOKUP(Table1722[[#This Row],[Bukti]],'Un nOTA'!$A$4:$K$5003,10,FALSE),"")</f>
        <v/>
      </c>
      <c r="I1944" s="112" t="str">
        <f>IFERROR(VLOOKUP(Table1722[[#This Row],[Bukti]],Table13[#Data],11,FALSE),"")</f>
        <v/>
      </c>
    </row>
    <row r="1945" spans="1:9" ht="19.5" hidden="1" customHeight="1" x14ac:dyDescent="0.2">
      <c r="A1945" s="105" t="str">
        <f>IF(D1945=1,COUNTIF($D$10:D1945,1)," ")</f>
        <v xml:space="preserve"> </v>
      </c>
      <c r="B1945" s="106">
        <f>COPY!AR1937</f>
        <v>0</v>
      </c>
      <c r="C1945" s="107">
        <f>COPY!AC1937</f>
        <v>0</v>
      </c>
      <c r="D1945" s="107" t="str">
        <f>IF(LEN(Table1722[[#This Row],[Uraian]])&gt;2,1," ")</f>
        <v xml:space="preserve"> </v>
      </c>
      <c r="E1945" s="113" t="str">
        <f>IF(Table1722[[#This Row],[Lawan Transaksi]]="CV AGUNG KARYA",COUNTIF($I$10:I1945,"CV AGUNG KARYA")," ")</f>
        <v xml:space="preserve"> </v>
      </c>
      <c r="F1945" s="107" t="str">
        <f>IF(LEN(Table1722[[#This Row],[Uraian]])&gt;2,TRIM(RIGHT(SUBSTITUTE(TRIM(C1945)," ",REPT(" ",255)),255))," ")</f>
        <v xml:space="preserve"> </v>
      </c>
      <c r="G1945" s="110">
        <f>COPY!Z1937</f>
        <v>0</v>
      </c>
      <c r="H1945" s="111" t="str">
        <f>IFERROR(VLOOKUP(Table1722[[#This Row],[Bukti]],'Un nOTA'!$A$4:$K$5003,10,FALSE),"")</f>
        <v/>
      </c>
      <c r="I1945" s="112" t="str">
        <f>IFERROR(VLOOKUP(Table1722[[#This Row],[Bukti]],Table13[#Data],11,FALSE),"")</f>
        <v/>
      </c>
    </row>
    <row r="1946" spans="1:9" ht="19.5" hidden="1" customHeight="1" x14ac:dyDescent="0.2">
      <c r="A1946" s="105" t="str">
        <f>IF(D1946=1,COUNTIF($D$10:D1946,1)," ")</f>
        <v xml:space="preserve"> </v>
      </c>
      <c r="B1946" s="106">
        <f>COPY!AR1938</f>
        <v>0</v>
      </c>
      <c r="C1946" s="107">
        <f>COPY!AC1938</f>
        <v>0</v>
      </c>
      <c r="D1946" s="107" t="str">
        <f>IF(LEN(Table1722[[#This Row],[Uraian]])&gt;2,1," ")</f>
        <v xml:space="preserve"> </v>
      </c>
      <c r="E1946" s="113" t="str">
        <f>IF(Table1722[[#This Row],[Lawan Transaksi]]="CV AGUNG KARYA",COUNTIF($I$10:I1946,"CV AGUNG KARYA")," ")</f>
        <v xml:space="preserve"> </v>
      </c>
      <c r="F1946" s="107" t="str">
        <f>IF(LEN(Table1722[[#This Row],[Uraian]])&gt;2,TRIM(RIGHT(SUBSTITUTE(TRIM(C1946)," ",REPT(" ",255)),255))," ")</f>
        <v xml:space="preserve"> </v>
      </c>
      <c r="G1946" s="110">
        <f>COPY!Z1938</f>
        <v>0</v>
      </c>
      <c r="H1946" s="111" t="str">
        <f>IFERROR(VLOOKUP(Table1722[[#This Row],[Bukti]],'Un nOTA'!$A$4:$K$5003,10,FALSE),"")</f>
        <v/>
      </c>
      <c r="I1946" s="112" t="str">
        <f>IFERROR(VLOOKUP(Table1722[[#This Row],[Bukti]],Table13[#Data],11,FALSE),"")</f>
        <v/>
      </c>
    </row>
    <row r="1947" spans="1:9" ht="19.5" hidden="1" customHeight="1" x14ac:dyDescent="0.2">
      <c r="A1947" s="105" t="str">
        <f>IF(D1947=1,COUNTIF($D$10:D1947,1)," ")</f>
        <v xml:space="preserve"> </v>
      </c>
      <c r="B1947" s="106">
        <f>COPY!AR1939</f>
        <v>0</v>
      </c>
      <c r="C1947" s="107">
        <f>COPY!AC1939</f>
        <v>0</v>
      </c>
      <c r="D1947" s="107" t="str">
        <f>IF(LEN(Table1722[[#This Row],[Uraian]])&gt;2,1," ")</f>
        <v xml:space="preserve"> </v>
      </c>
      <c r="E1947" s="113" t="str">
        <f>IF(Table1722[[#This Row],[Lawan Transaksi]]="CV AGUNG KARYA",COUNTIF($I$10:I1947,"CV AGUNG KARYA")," ")</f>
        <v xml:space="preserve"> </v>
      </c>
      <c r="F1947" s="107" t="str">
        <f>IF(LEN(Table1722[[#This Row],[Uraian]])&gt;2,TRIM(RIGHT(SUBSTITUTE(TRIM(C1947)," ",REPT(" ",255)),255))," ")</f>
        <v xml:space="preserve"> </v>
      </c>
      <c r="G1947" s="110">
        <f>COPY!Z1939</f>
        <v>0</v>
      </c>
      <c r="H1947" s="111" t="str">
        <f>IFERROR(VLOOKUP(Table1722[[#This Row],[Bukti]],'Un nOTA'!$A$4:$K$5003,10,FALSE),"")</f>
        <v/>
      </c>
      <c r="I1947" s="112" t="str">
        <f>IFERROR(VLOOKUP(Table1722[[#This Row],[Bukti]],Table13[#Data],11,FALSE),"")</f>
        <v/>
      </c>
    </row>
    <row r="1948" spans="1:9" ht="19.5" hidden="1" customHeight="1" x14ac:dyDescent="0.2">
      <c r="A1948" s="105" t="str">
        <f>IF(D1948=1,COUNTIF($D$10:D1948,1)," ")</f>
        <v xml:space="preserve"> </v>
      </c>
      <c r="B1948" s="106">
        <f>COPY!AR1940</f>
        <v>0</v>
      </c>
      <c r="C1948" s="107">
        <f>COPY!AC1940</f>
        <v>0</v>
      </c>
      <c r="D1948" s="107" t="str">
        <f>IF(LEN(Table1722[[#This Row],[Uraian]])&gt;2,1," ")</f>
        <v xml:space="preserve"> </v>
      </c>
      <c r="E1948" s="113" t="str">
        <f>IF(Table1722[[#This Row],[Lawan Transaksi]]="CV AGUNG KARYA",COUNTIF($I$10:I1948,"CV AGUNG KARYA")," ")</f>
        <v xml:space="preserve"> </v>
      </c>
      <c r="F1948" s="107" t="str">
        <f>IF(LEN(Table1722[[#This Row],[Uraian]])&gt;2,TRIM(RIGHT(SUBSTITUTE(TRIM(C1948)," ",REPT(" ",255)),255))," ")</f>
        <v xml:space="preserve"> </v>
      </c>
      <c r="G1948" s="110">
        <f>COPY!Z1940</f>
        <v>0</v>
      </c>
      <c r="H1948" s="111" t="str">
        <f>IFERROR(VLOOKUP(Table1722[[#This Row],[Bukti]],'Un nOTA'!$A$4:$K$5003,10,FALSE),"")</f>
        <v/>
      </c>
      <c r="I1948" s="112" t="str">
        <f>IFERROR(VLOOKUP(Table1722[[#This Row],[Bukti]],Table13[#Data],11,FALSE),"")</f>
        <v/>
      </c>
    </row>
    <row r="1949" spans="1:9" ht="19.5" hidden="1" customHeight="1" x14ac:dyDescent="0.2">
      <c r="A1949" s="105" t="str">
        <f>IF(D1949=1,COUNTIF($D$10:D1949,1)," ")</f>
        <v xml:space="preserve"> </v>
      </c>
      <c r="B1949" s="106">
        <f>COPY!AR1941</f>
        <v>0</v>
      </c>
      <c r="C1949" s="107">
        <f>COPY!AC1941</f>
        <v>0</v>
      </c>
      <c r="D1949" s="107" t="str">
        <f>IF(LEN(Table1722[[#This Row],[Uraian]])&gt;2,1," ")</f>
        <v xml:space="preserve"> </v>
      </c>
      <c r="E1949" s="113" t="str">
        <f>IF(Table1722[[#This Row],[Lawan Transaksi]]="CV AGUNG KARYA",COUNTIF($I$10:I1949,"CV AGUNG KARYA")," ")</f>
        <v xml:space="preserve"> </v>
      </c>
      <c r="F1949" s="107" t="str">
        <f>IF(LEN(Table1722[[#This Row],[Uraian]])&gt;2,TRIM(RIGHT(SUBSTITUTE(TRIM(C1949)," ",REPT(" ",255)),255))," ")</f>
        <v xml:space="preserve"> </v>
      </c>
      <c r="G1949" s="110">
        <f>COPY!Z1941</f>
        <v>0</v>
      </c>
      <c r="H1949" s="111" t="str">
        <f>IFERROR(VLOOKUP(Table1722[[#This Row],[Bukti]],'Un nOTA'!$A$4:$K$5003,10,FALSE),"")</f>
        <v/>
      </c>
      <c r="I1949" s="112" t="str">
        <f>IFERROR(VLOOKUP(Table1722[[#This Row],[Bukti]],Table13[#Data],11,FALSE),"")</f>
        <v/>
      </c>
    </row>
    <row r="1950" spans="1:9" ht="19.5" hidden="1" customHeight="1" x14ac:dyDescent="0.2">
      <c r="A1950" s="105" t="str">
        <f>IF(D1950=1,COUNTIF($D$10:D1950,1)," ")</f>
        <v xml:space="preserve"> </v>
      </c>
      <c r="B1950" s="106">
        <f>COPY!AR1942</f>
        <v>0</v>
      </c>
      <c r="C1950" s="107">
        <f>COPY!AC1942</f>
        <v>0</v>
      </c>
      <c r="D1950" s="107" t="str">
        <f>IF(LEN(Table1722[[#This Row],[Uraian]])&gt;2,1," ")</f>
        <v xml:space="preserve"> </v>
      </c>
      <c r="E1950" s="113" t="str">
        <f>IF(Table1722[[#This Row],[Lawan Transaksi]]="CV AGUNG KARYA",COUNTIF($I$10:I1950,"CV AGUNG KARYA")," ")</f>
        <v xml:space="preserve"> </v>
      </c>
      <c r="F1950" s="107" t="str">
        <f>IF(LEN(Table1722[[#This Row],[Uraian]])&gt;2,TRIM(RIGHT(SUBSTITUTE(TRIM(C1950)," ",REPT(" ",255)),255))," ")</f>
        <v xml:space="preserve"> </v>
      </c>
      <c r="G1950" s="110">
        <f>COPY!Z1942</f>
        <v>0</v>
      </c>
      <c r="H1950" s="111" t="str">
        <f>IFERROR(VLOOKUP(Table1722[[#This Row],[Bukti]],'Un nOTA'!$A$4:$K$5003,10,FALSE),"")</f>
        <v/>
      </c>
      <c r="I1950" s="112" t="str">
        <f>IFERROR(VLOOKUP(Table1722[[#This Row],[Bukti]],Table13[#Data],11,FALSE),"")</f>
        <v/>
      </c>
    </row>
    <row r="1951" spans="1:9" ht="19.5" hidden="1" customHeight="1" x14ac:dyDescent="0.2">
      <c r="A1951" s="105" t="str">
        <f>IF(D1951=1,COUNTIF($D$10:D1951,1)," ")</f>
        <v xml:space="preserve"> </v>
      </c>
      <c r="B1951" s="106">
        <f>COPY!AR1943</f>
        <v>0</v>
      </c>
      <c r="C1951" s="107">
        <f>COPY!AC1943</f>
        <v>0</v>
      </c>
      <c r="D1951" s="107" t="str">
        <f>IF(LEN(Table1722[[#This Row],[Uraian]])&gt;2,1," ")</f>
        <v xml:space="preserve"> </v>
      </c>
      <c r="E1951" s="113" t="str">
        <f>IF(Table1722[[#This Row],[Lawan Transaksi]]="CV AGUNG KARYA",COUNTIF($I$10:I1951,"CV AGUNG KARYA")," ")</f>
        <v xml:space="preserve"> </v>
      </c>
      <c r="F1951" s="107" t="str">
        <f>IF(LEN(Table1722[[#This Row],[Uraian]])&gt;2,TRIM(RIGHT(SUBSTITUTE(TRIM(C1951)," ",REPT(" ",255)),255))," ")</f>
        <v xml:space="preserve"> </v>
      </c>
      <c r="G1951" s="110">
        <f>COPY!Z1943</f>
        <v>0</v>
      </c>
      <c r="H1951" s="111" t="str">
        <f>IFERROR(VLOOKUP(Table1722[[#This Row],[Bukti]],'Un nOTA'!$A$4:$K$5003,10,FALSE),"")</f>
        <v/>
      </c>
      <c r="I1951" s="112" t="str">
        <f>IFERROR(VLOOKUP(Table1722[[#This Row],[Bukti]],Table13[#Data],11,FALSE),"")</f>
        <v/>
      </c>
    </row>
    <row r="1952" spans="1:9" ht="19.5" hidden="1" customHeight="1" x14ac:dyDescent="0.2">
      <c r="A1952" s="105" t="str">
        <f>IF(D1952=1,COUNTIF($D$10:D1952,1)," ")</f>
        <v xml:space="preserve"> </v>
      </c>
      <c r="B1952" s="106">
        <f>COPY!AR1944</f>
        <v>0</v>
      </c>
      <c r="C1952" s="107">
        <f>COPY!AC1944</f>
        <v>0</v>
      </c>
      <c r="D1952" s="107" t="str">
        <f>IF(LEN(Table1722[[#This Row],[Uraian]])&gt;2,1," ")</f>
        <v xml:space="preserve"> </v>
      </c>
      <c r="E1952" s="113" t="str">
        <f>IF(Table1722[[#This Row],[Lawan Transaksi]]="CV AGUNG KARYA",COUNTIF($I$10:I1952,"CV AGUNG KARYA")," ")</f>
        <v xml:space="preserve"> </v>
      </c>
      <c r="F1952" s="107" t="str">
        <f>IF(LEN(Table1722[[#This Row],[Uraian]])&gt;2,TRIM(RIGHT(SUBSTITUTE(TRIM(C1952)," ",REPT(" ",255)),255))," ")</f>
        <v xml:space="preserve"> </v>
      </c>
      <c r="G1952" s="110">
        <f>COPY!Z1944</f>
        <v>0</v>
      </c>
      <c r="H1952" s="111" t="str">
        <f>IFERROR(VLOOKUP(Table1722[[#This Row],[Bukti]],'Un nOTA'!$A$4:$K$5003,10,FALSE),"")</f>
        <v/>
      </c>
      <c r="I1952" s="112" t="str">
        <f>IFERROR(VLOOKUP(Table1722[[#This Row],[Bukti]],Table13[#Data],11,FALSE),"")</f>
        <v/>
      </c>
    </row>
    <row r="1953" spans="1:9" ht="19.5" hidden="1" customHeight="1" x14ac:dyDescent="0.2">
      <c r="A1953" s="105" t="str">
        <f>IF(D1953=1,COUNTIF($D$10:D1953,1)," ")</f>
        <v xml:space="preserve"> </v>
      </c>
      <c r="B1953" s="106">
        <f>COPY!AR1945</f>
        <v>0</v>
      </c>
      <c r="C1953" s="107">
        <f>COPY!AC1945</f>
        <v>0</v>
      </c>
      <c r="D1953" s="107" t="str">
        <f>IF(LEN(Table1722[[#This Row],[Uraian]])&gt;2,1," ")</f>
        <v xml:space="preserve"> </v>
      </c>
      <c r="E1953" s="113" t="str">
        <f>IF(Table1722[[#This Row],[Lawan Transaksi]]="CV AGUNG KARYA",COUNTIF($I$10:I1953,"CV AGUNG KARYA")," ")</f>
        <v xml:space="preserve"> </v>
      </c>
      <c r="F1953" s="107" t="str">
        <f>IF(LEN(Table1722[[#This Row],[Uraian]])&gt;2,TRIM(RIGHT(SUBSTITUTE(TRIM(C1953)," ",REPT(" ",255)),255))," ")</f>
        <v xml:space="preserve"> </v>
      </c>
      <c r="G1953" s="110">
        <f>COPY!Z1945</f>
        <v>0</v>
      </c>
      <c r="H1953" s="111" t="str">
        <f>IFERROR(VLOOKUP(Table1722[[#This Row],[Bukti]],'Un nOTA'!$A$4:$K$5003,10,FALSE),"")</f>
        <v/>
      </c>
      <c r="I1953" s="112" t="str">
        <f>IFERROR(VLOOKUP(Table1722[[#This Row],[Bukti]],Table13[#Data],11,FALSE),"")</f>
        <v/>
      </c>
    </row>
    <row r="1954" spans="1:9" ht="19.5" hidden="1" customHeight="1" x14ac:dyDescent="0.2">
      <c r="A1954" s="105" t="str">
        <f>IF(D1954=1,COUNTIF($D$10:D1954,1)," ")</f>
        <v xml:space="preserve"> </v>
      </c>
      <c r="B1954" s="106">
        <f>COPY!AR1946</f>
        <v>0</v>
      </c>
      <c r="C1954" s="107">
        <f>COPY!AC1946</f>
        <v>0</v>
      </c>
      <c r="D1954" s="107" t="str">
        <f>IF(LEN(Table1722[[#This Row],[Uraian]])&gt;2,1," ")</f>
        <v xml:space="preserve"> </v>
      </c>
      <c r="E1954" s="113" t="str">
        <f>IF(Table1722[[#This Row],[Lawan Transaksi]]="CV AGUNG KARYA",COUNTIF($I$10:I1954,"CV AGUNG KARYA")," ")</f>
        <v xml:space="preserve"> </v>
      </c>
      <c r="F1954" s="107" t="str">
        <f>IF(LEN(Table1722[[#This Row],[Uraian]])&gt;2,TRIM(RIGHT(SUBSTITUTE(TRIM(C1954)," ",REPT(" ",255)),255))," ")</f>
        <v xml:space="preserve"> </v>
      </c>
      <c r="G1954" s="110">
        <f>COPY!Z1946</f>
        <v>0</v>
      </c>
      <c r="H1954" s="111" t="str">
        <f>IFERROR(VLOOKUP(Table1722[[#This Row],[Bukti]],'Un nOTA'!$A$4:$K$5003,10,FALSE),"")</f>
        <v/>
      </c>
      <c r="I1954" s="112" t="str">
        <f>IFERROR(VLOOKUP(Table1722[[#This Row],[Bukti]],Table13[#Data],11,FALSE),"")</f>
        <v/>
      </c>
    </row>
    <row r="1955" spans="1:9" ht="19.5" hidden="1" customHeight="1" x14ac:dyDescent="0.2">
      <c r="A1955" s="105" t="str">
        <f>IF(D1955=1,COUNTIF($D$10:D1955,1)," ")</f>
        <v xml:space="preserve"> </v>
      </c>
      <c r="B1955" s="106">
        <f>COPY!AR1947</f>
        <v>0</v>
      </c>
      <c r="C1955" s="107">
        <f>COPY!AC1947</f>
        <v>0</v>
      </c>
      <c r="D1955" s="107" t="str">
        <f>IF(LEN(Table1722[[#This Row],[Uraian]])&gt;2,1," ")</f>
        <v xml:space="preserve"> </v>
      </c>
      <c r="E1955" s="113" t="str">
        <f>IF(Table1722[[#This Row],[Lawan Transaksi]]="CV AGUNG KARYA",COUNTIF($I$10:I1955,"CV AGUNG KARYA")," ")</f>
        <v xml:space="preserve"> </v>
      </c>
      <c r="F1955" s="107" t="str">
        <f>IF(LEN(Table1722[[#This Row],[Uraian]])&gt;2,TRIM(RIGHT(SUBSTITUTE(TRIM(C1955)," ",REPT(" ",255)),255))," ")</f>
        <v xml:space="preserve"> </v>
      </c>
      <c r="G1955" s="110">
        <f>COPY!Z1947</f>
        <v>0</v>
      </c>
      <c r="H1955" s="111" t="str">
        <f>IFERROR(VLOOKUP(Table1722[[#This Row],[Bukti]],'Un nOTA'!$A$4:$K$5003,10,FALSE),"")</f>
        <v/>
      </c>
      <c r="I1955" s="112" t="str">
        <f>IFERROR(VLOOKUP(Table1722[[#This Row],[Bukti]],Table13[#Data],11,FALSE),"")</f>
        <v/>
      </c>
    </row>
    <row r="1956" spans="1:9" ht="19.5" hidden="1" customHeight="1" x14ac:dyDescent="0.2">
      <c r="A1956" s="105" t="str">
        <f>IF(D1956=1,COUNTIF($D$10:D1956,1)," ")</f>
        <v xml:space="preserve"> </v>
      </c>
      <c r="B1956" s="106">
        <f>COPY!AR1948</f>
        <v>0</v>
      </c>
      <c r="C1956" s="107">
        <f>COPY!AC1948</f>
        <v>0</v>
      </c>
      <c r="D1956" s="107" t="str">
        <f>IF(LEN(Table1722[[#This Row],[Uraian]])&gt;2,1," ")</f>
        <v xml:space="preserve"> </v>
      </c>
      <c r="E1956" s="113" t="str">
        <f>IF(Table1722[[#This Row],[Lawan Transaksi]]="CV AGUNG KARYA",COUNTIF($I$10:I1956,"CV AGUNG KARYA")," ")</f>
        <v xml:space="preserve"> </v>
      </c>
      <c r="F1956" s="107" t="str">
        <f>IF(LEN(Table1722[[#This Row],[Uraian]])&gt;2,TRIM(RIGHT(SUBSTITUTE(TRIM(C1956)," ",REPT(" ",255)),255))," ")</f>
        <v xml:space="preserve"> </v>
      </c>
      <c r="G1956" s="110">
        <f>COPY!Z1948</f>
        <v>0</v>
      </c>
      <c r="H1956" s="111" t="str">
        <f>IFERROR(VLOOKUP(Table1722[[#This Row],[Bukti]],'Un nOTA'!$A$4:$K$5003,10,FALSE),"")</f>
        <v/>
      </c>
      <c r="I1956" s="112" t="str">
        <f>IFERROR(VLOOKUP(Table1722[[#This Row],[Bukti]],Table13[#Data],11,FALSE),"")</f>
        <v/>
      </c>
    </row>
    <row r="1957" spans="1:9" ht="19.5" hidden="1" customHeight="1" x14ac:dyDescent="0.2">
      <c r="A1957" s="105" t="str">
        <f>IF(D1957=1,COUNTIF($D$10:D1957,1)," ")</f>
        <v xml:space="preserve"> </v>
      </c>
      <c r="B1957" s="106">
        <f>COPY!AR1949</f>
        <v>0</v>
      </c>
      <c r="C1957" s="107">
        <f>COPY!AC1949</f>
        <v>0</v>
      </c>
      <c r="D1957" s="107" t="str">
        <f>IF(LEN(Table1722[[#This Row],[Uraian]])&gt;2,1," ")</f>
        <v xml:space="preserve"> </v>
      </c>
      <c r="E1957" s="113" t="str">
        <f>IF(Table1722[[#This Row],[Lawan Transaksi]]="CV AGUNG KARYA",COUNTIF($I$10:I1957,"CV AGUNG KARYA")," ")</f>
        <v xml:space="preserve"> </v>
      </c>
      <c r="F1957" s="107" t="str">
        <f>IF(LEN(Table1722[[#This Row],[Uraian]])&gt;2,TRIM(RIGHT(SUBSTITUTE(TRIM(C1957)," ",REPT(" ",255)),255))," ")</f>
        <v xml:space="preserve"> </v>
      </c>
      <c r="G1957" s="110">
        <f>COPY!Z1949</f>
        <v>0</v>
      </c>
      <c r="H1957" s="111" t="str">
        <f>IFERROR(VLOOKUP(Table1722[[#This Row],[Bukti]],'Un nOTA'!$A$4:$K$5003,10,FALSE),"")</f>
        <v/>
      </c>
      <c r="I1957" s="112" t="str">
        <f>IFERROR(VLOOKUP(Table1722[[#This Row],[Bukti]],Table13[#Data],11,FALSE),"")</f>
        <v/>
      </c>
    </row>
    <row r="1958" spans="1:9" ht="19.5" hidden="1" customHeight="1" x14ac:dyDescent="0.2">
      <c r="A1958" s="105" t="str">
        <f>IF(D1958=1,COUNTIF($D$10:D1958,1)," ")</f>
        <v xml:space="preserve"> </v>
      </c>
      <c r="B1958" s="106">
        <f>COPY!AR1950</f>
        <v>0</v>
      </c>
      <c r="C1958" s="107">
        <f>COPY!AC1950</f>
        <v>0</v>
      </c>
      <c r="D1958" s="107" t="str">
        <f>IF(LEN(Table1722[[#This Row],[Uraian]])&gt;2,1," ")</f>
        <v xml:space="preserve"> </v>
      </c>
      <c r="E1958" s="113" t="str">
        <f>IF(Table1722[[#This Row],[Lawan Transaksi]]="CV AGUNG KARYA",COUNTIF($I$10:I1958,"CV AGUNG KARYA")," ")</f>
        <v xml:space="preserve"> </v>
      </c>
      <c r="F1958" s="107" t="str">
        <f>IF(LEN(Table1722[[#This Row],[Uraian]])&gt;2,TRIM(RIGHT(SUBSTITUTE(TRIM(C1958)," ",REPT(" ",255)),255))," ")</f>
        <v xml:space="preserve"> </v>
      </c>
      <c r="G1958" s="110">
        <f>COPY!Z1950</f>
        <v>0</v>
      </c>
      <c r="H1958" s="111" t="str">
        <f>IFERROR(VLOOKUP(Table1722[[#This Row],[Bukti]],'Un nOTA'!$A$4:$K$5003,10,FALSE),"")</f>
        <v/>
      </c>
      <c r="I1958" s="112" t="str">
        <f>IFERROR(VLOOKUP(Table1722[[#This Row],[Bukti]],Table13[#Data],11,FALSE),"")</f>
        <v/>
      </c>
    </row>
    <row r="1959" spans="1:9" ht="19.5" hidden="1" customHeight="1" x14ac:dyDescent="0.2">
      <c r="A1959" s="105" t="str">
        <f>IF(D1959=1,COUNTIF($D$10:D1959,1)," ")</f>
        <v xml:space="preserve"> </v>
      </c>
      <c r="B1959" s="106">
        <f>COPY!AR1951</f>
        <v>0</v>
      </c>
      <c r="C1959" s="107">
        <f>COPY!AC1951</f>
        <v>0</v>
      </c>
      <c r="D1959" s="107" t="str">
        <f>IF(LEN(Table1722[[#This Row],[Uraian]])&gt;2,1," ")</f>
        <v xml:space="preserve"> </v>
      </c>
      <c r="E1959" s="113" t="str">
        <f>IF(Table1722[[#This Row],[Lawan Transaksi]]="CV AGUNG KARYA",COUNTIF($I$10:I1959,"CV AGUNG KARYA")," ")</f>
        <v xml:space="preserve"> </v>
      </c>
      <c r="F1959" s="107" t="str">
        <f>IF(LEN(Table1722[[#This Row],[Uraian]])&gt;2,TRIM(RIGHT(SUBSTITUTE(TRIM(C1959)," ",REPT(" ",255)),255))," ")</f>
        <v xml:space="preserve"> </v>
      </c>
      <c r="G1959" s="110">
        <f>COPY!Z1951</f>
        <v>0</v>
      </c>
      <c r="H1959" s="111" t="str">
        <f>IFERROR(VLOOKUP(Table1722[[#This Row],[Bukti]],'Un nOTA'!$A$4:$K$5003,10,FALSE),"")</f>
        <v/>
      </c>
      <c r="I1959" s="112" t="str">
        <f>IFERROR(VLOOKUP(Table1722[[#This Row],[Bukti]],Table13[#Data],11,FALSE),"")</f>
        <v/>
      </c>
    </row>
    <row r="1960" spans="1:9" ht="19.5" hidden="1" customHeight="1" x14ac:dyDescent="0.2">
      <c r="A1960" s="105" t="str">
        <f>IF(D1960=1,COUNTIF($D$10:D1960,1)," ")</f>
        <v xml:space="preserve"> </v>
      </c>
      <c r="B1960" s="106">
        <f>COPY!AR1952</f>
        <v>0</v>
      </c>
      <c r="C1960" s="107">
        <f>COPY!AC1952</f>
        <v>0</v>
      </c>
      <c r="D1960" s="107" t="str">
        <f>IF(LEN(Table1722[[#This Row],[Uraian]])&gt;2,1," ")</f>
        <v xml:space="preserve"> </v>
      </c>
      <c r="E1960" s="113" t="str">
        <f>IF(Table1722[[#This Row],[Lawan Transaksi]]="CV AGUNG KARYA",COUNTIF($I$10:I1960,"CV AGUNG KARYA")," ")</f>
        <v xml:space="preserve"> </v>
      </c>
      <c r="F1960" s="107" t="str">
        <f>IF(LEN(Table1722[[#This Row],[Uraian]])&gt;2,TRIM(RIGHT(SUBSTITUTE(TRIM(C1960)," ",REPT(" ",255)),255))," ")</f>
        <v xml:space="preserve"> </v>
      </c>
      <c r="G1960" s="110">
        <f>COPY!Z1952</f>
        <v>0</v>
      </c>
      <c r="H1960" s="111" t="str">
        <f>IFERROR(VLOOKUP(Table1722[[#This Row],[Bukti]],'Un nOTA'!$A$4:$K$5003,10,FALSE),"")</f>
        <v/>
      </c>
      <c r="I1960" s="112" t="str">
        <f>IFERROR(VLOOKUP(Table1722[[#This Row],[Bukti]],Table13[#Data],11,FALSE),"")</f>
        <v/>
      </c>
    </row>
    <row r="1961" spans="1:9" ht="19.5" hidden="1" customHeight="1" x14ac:dyDescent="0.2">
      <c r="A1961" s="105" t="str">
        <f>IF(D1961=1,COUNTIF($D$10:D1961,1)," ")</f>
        <v xml:space="preserve"> </v>
      </c>
      <c r="B1961" s="106">
        <f>COPY!AR1953</f>
        <v>0</v>
      </c>
      <c r="C1961" s="107">
        <f>COPY!AC1953</f>
        <v>0</v>
      </c>
      <c r="D1961" s="107" t="str">
        <f>IF(LEN(Table1722[[#This Row],[Uraian]])&gt;2,1," ")</f>
        <v xml:space="preserve"> </v>
      </c>
      <c r="E1961" s="113" t="str">
        <f>IF(Table1722[[#This Row],[Lawan Transaksi]]="CV AGUNG KARYA",COUNTIF($I$10:I1961,"CV AGUNG KARYA")," ")</f>
        <v xml:space="preserve"> </v>
      </c>
      <c r="F1961" s="107" t="str">
        <f>IF(LEN(Table1722[[#This Row],[Uraian]])&gt;2,TRIM(RIGHT(SUBSTITUTE(TRIM(C1961)," ",REPT(" ",255)),255))," ")</f>
        <v xml:space="preserve"> </v>
      </c>
      <c r="G1961" s="110">
        <f>COPY!Z1953</f>
        <v>0</v>
      </c>
      <c r="H1961" s="111" t="str">
        <f>IFERROR(VLOOKUP(Table1722[[#This Row],[Bukti]],'Un nOTA'!$A$4:$K$5003,10,FALSE),"")</f>
        <v/>
      </c>
      <c r="I1961" s="112" t="str">
        <f>IFERROR(VLOOKUP(Table1722[[#This Row],[Bukti]],Table13[#Data],11,FALSE),"")</f>
        <v/>
      </c>
    </row>
    <row r="1962" spans="1:9" ht="19.5" hidden="1" customHeight="1" x14ac:dyDescent="0.2">
      <c r="A1962" s="105" t="str">
        <f>IF(D1962=1,COUNTIF($D$10:D1962,1)," ")</f>
        <v xml:space="preserve"> </v>
      </c>
      <c r="B1962" s="106">
        <f>COPY!AR1954</f>
        <v>0</v>
      </c>
      <c r="C1962" s="107">
        <f>COPY!AC1954</f>
        <v>0</v>
      </c>
      <c r="D1962" s="107" t="str">
        <f>IF(LEN(Table1722[[#This Row],[Uraian]])&gt;2,1," ")</f>
        <v xml:space="preserve"> </v>
      </c>
      <c r="E1962" s="113" t="str">
        <f>IF(Table1722[[#This Row],[Lawan Transaksi]]="CV AGUNG KARYA",COUNTIF($I$10:I1962,"CV AGUNG KARYA")," ")</f>
        <v xml:space="preserve"> </v>
      </c>
      <c r="F1962" s="107" t="str">
        <f>IF(LEN(Table1722[[#This Row],[Uraian]])&gt;2,TRIM(RIGHT(SUBSTITUTE(TRIM(C1962)," ",REPT(" ",255)),255))," ")</f>
        <v xml:space="preserve"> </v>
      </c>
      <c r="G1962" s="110">
        <f>COPY!Z1954</f>
        <v>0</v>
      </c>
      <c r="H1962" s="111" t="str">
        <f>IFERROR(VLOOKUP(Table1722[[#This Row],[Bukti]],'Un nOTA'!$A$4:$K$5003,10,FALSE),"")</f>
        <v/>
      </c>
      <c r="I1962" s="112" t="str">
        <f>IFERROR(VLOOKUP(Table1722[[#This Row],[Bukti]],Table13[#Data],11,FALSE),"")</f>
        <v/>
      </c>
    </row>
    <row r="1963" spans="1:9" ht="19.5" hidden="1" customHeight="1" x14ac:dyDescent="0.2">
      <c r="A1963" s="105" t="str">
        <f>IF(D1963=1,COUNTIF($D$10:D1963,1)," ")</f>
        <v xml:space="preserve"> </v>
      </c>
      <c r="B1963" s="106">
        <f>COPY!AR1955</f>
        <v>0</v>
      </c>
      <c r="C1963" s="107">
        <f>COPY!AC1955</f>
        <v>0</v>
      </c>
      <c r="D1963" s="107" t="str">
        <f>IF(LEN(Table1722[[#This Row],[Uraian]])&gt;2,1," ")</f>
        <v xml:space="preserve"> </v>
      </c>
      <c r="E1963" s="113" t="str">
        <f>IF(Table1722[[#This Row],[Lawan Transaksi]]="CV AGUNG KARYA",COUNTIF($I$10:I1963,"CV AGUNG KARYA")," ")</f>
        <v xml:space="preserve"> </v>
      </c>
      <c r="F1963" s="107" t="str">
        <f>IF(LEN(Table1722[[#This Row],[Uraian]])&gt;2,TRIM(RIGHT(SUBSTITUTE(TRIM(C1963)," ",REPT(" ",255)),255))," ")</f>
        <v xml:space="preserve"> </v>
      </c>
      <c r="G1963" s="110">
        <f>COPY!Z1955</f>
        <v>0</v>
      </c>
      <c r="H1963" s="111" t="str">
        <f>IFERROR(VLOOKUP(Table1722[[#This Row],[Bukti]],'Un nOTA'!$A$4:$K$5003,10,FALSE),"")</f>
        <v/>
      </c>
      <c r="I1963" s="112" t="str">
        <f>IFERROR(VLOOKUP(Table1722[[#This Row],[Bukti]],Table13[#Data],11,FALSE),"")</f>
        <v/>
      </c>
    </row>
    <row r="1964" spans="1:9" ht="19.5" hidden="1" customHeight="1" x14ac:dyDescent="0.2">
      <c r="A1964" s="105" t="str">
        <f>IF(D1964=1,COUNTIF($D$10:D1964,1)," ")</f>
        <v xml:space="preserve"> </v>
      </c>
      <c r="B1964" s="106">
        <f>COPY!AR1956</f>
        <v>0</v>
      </c>
      <c r="C1964" s="107">
        <f>COPY!AC1956</f>
        <v>0</v>
      </c>
      <c r="D1964" s="107" t="str">
        <f>IF(LEN(Table1722[[#This Row],[Uraian]])&gt;2,1," ")</f>
        <v xml:space="preserve"> </v>
      </c>
      <c r="E1964" s="113" t="str">
        <f>IF(Table1722[[#This Row],[Lawan Transaksi]]="CV AGUNG KARYA",COUNTIF($I$10:I1964,"CV AGUNG KARYA")," ")</f>
        <v xml:space="preserve"> </v>
      </c>
      <c r="F1964" s="107" t="str">
        <f>IF(LEN(Table1722[[#This Row],[Uraian]])&gt;2,TRIM(RIGHT(SUBSTITUTE(TRIM(C1964)," ",REPT(" ",255)),255))," ")</f>
        <v xml:space="preserve"> </v>
      </c>
      <c r="G1964" s="110">
        <f>COPY!Z1956</f>
        <v>0</v>
      </c>
      <c r="H1964" s="111" t="str">
        <f>IFERROR(VLOOKUP(Table1722[[#This Row],[Bukti]],'Un nOTA'!$A$4:$K$5003,10,FALSE),"")</f>
        <v/>
      </c>
      <c r="I1964" s="112" t="str">
        <f>IFERROR(VLOOKUP(Table1722[[#This Row],[Bukti]],Table13[#Data],11,FALSE),"")</f>
        <v/>
      </c>
    </row>
    <row r="1965" spans="1:9" ht="19.5" hidden="1" customHeight="1" x14ac:dyDescent="0.2">
      <c r="A1965" s="105" t="str">
        <f>IF(D1965=1,COUNTIF($D$10:D1965,1)," ")</f>
        <v xml:space="preserve"> </v>
      </c>
      <c r="B1965" s="106">
        <f>COPY!AR1957</f>
        <v>0</v>
      </c>
      <c r="C1965" s="107">
        <f>COPY!AC1957</f>
        <v>0</v>
      </c>
      <c r="D1965" s="107" t="str">
        <f>IF(LEN(Table1722[[#This Row],[Uraian]])&gt;2,1," ")</f>
        <v xml:space="preserve"> </v>
      </c>
      <c r="E1965" s="113" t="str">
        <f>IF(Table1722[[#This Row],[Lawan Transaksi]]="CV AGUNG KARYA",COUNTIF($I$10:I1965,"CV AGUNG KARYA")," ")</f>
        <v xml:space="preserve"> </v>
      </c>
      <c r="F1965" s="107" t="str">
        <f>IF(LEN(Table1722[[#This Row],[Uraian]])&gt;2,TRIM(RIGHT(SUBSTITUTE(TRIM(C1965)," ",REPT(" ",255)),255))," ")</f>
        <v xml:space="preserve"> </v>
      </c>
      <c r="G1965" s="110">
        <f>COPY!Z1957</f>
        <v>0</v>
      </c>
      <c r="H1965" s="111" t="str">
        <f>IFERROR(VLOOKUP(Table1722[[#This Row],[Bukti]],'Un nOTA'!$A$4:$K$5003,10,FALSE),"")</f>
        <v/>
      </c>
      <c r="I1965" s="112" t="str">
        <f>IFERROR(VLOOKUP(Table1722[[#This Row],[Bukti]],Table13[#Data],11,FALSE),"")</f>
        <v/>
      </c>
    </row>
    <row r="1966" spans="1:9" ht="19.5" hidden="1" customHeight="1" x14ac:dyDescent="0.2">
      <c r="A1966" s="105" t="str">
        <f>IF(D1966=1,COUNTIF($D$10:D1966,1)," ")</f>
        <v xml:space="preserve"> </v>
      </c>
      <c r="B1966" s="106">
        <f>COPY!AR1958</f>
        <v>0</v>
      </c>
      <c r="C1966" s="107">
        <f>COPY!AC1958</f>
        <v>0</v>
      </c>
      <c r="D1966" s="107" t="str">
        <f>IF(LEN(Table1722[[#This Row],[Uraian]])&gt;2,1," ")</f>
        <v xml:space="preserve"> </v>
      </c>
      <c r="E1966" s="113" t="str">
        <f>IF(Table1722[[#This Row],[Lawan Transaksi]]="CV AGUNG KARYA",COUNTIF($I$10:I1966,"CV AGUNG KARYA")," ")</f>
        <v xml:space="preserve"> </v>
      </c>
      <c r="F1966" s="107" t="str">
        <f>IF(LEN(Table1722[[#This Row],[Uraian]])&gt;2,TRIM(RIGHT(SUBSTITUTE(TRIM(C1966)," ",REPT(" ",255)),255))," ")</f>
        <v xml:space="preserve"> </v>
      </c>
      <c r="G1966" s="110">
        <f>COPY!Z1958</f>
        <v>0</v>
      </c>
      <c r="H1966" s="111" t="str">
        <f>IFERROR(VLOOKUP(Table1722[[#This Row],[Bukti]],'Un nOTA'!$A$4:$K$5003,10,FALSE),"")</f>
        <v/>
      </c>
      <c r="I1966" s="112" t="str">
        <f>IFERROR(VLOOKUP(Table1722[[#This Row],[Bukti]],Table13[#Data],11,FALSE),"")</f>
        <v/>
      </c>
    </row>
    <row r="1967" spans="1:9" ht="19.5" hidden="1" customHeight="1" x14ac:dyDescent="0.2">
      <c r="A1967" s="105" t="str">
        <f>IF(D1967=1,COUNTIF($D$10:D1967,1)," ")</f>
        <v xml:space="preserve"> </v>
      </c>
      <c r="B1967" s="106">
        <f>COPY!AR1959</f>
        <v>0</v>
      </c>
      <c r="C1967" s="107">
        <f>COPY!AC1959</f>
        <v>0</v>
      </c>
      <c r="D1967" s="107" t="str">
        <f>IF(LEN(Table1722[[#This Row],[Uraian]])&gt;2,1," ")</f>
        <v xml:space="preserve"> </v>
      </c>
      <c r="E1967" s="113" t="str">
        <f>IF(Table1722[[#This Row],[Lawan Transaksi]]="CV AGUNG KARYA",COUNTIF($I$10:I1967,"CV AGUNG KARYA")," ")</f>
        <v xml:space="preserve"> </v>
      </c>
      <c r="F1967" s="107" t="str">
        <f>IF(LEN(Table1722[[#This Row],[Uraian]])&gt;2,TRIM(RIGHT(SUBSTITUTE(TRIM(C1967)," ",REPT(" ",255)),255))," ")</f>
        <v xml:space="preserve"> </v>
      </c>
      <c r="G1967" s="110">
        <f>COPY!Z1959</f>
        <v>0</v>
      </c>
      <c r="H1967" s="111" t="str">
        <f>IFERROR(VLOOKUP(Table1722[[#This Row],[Bukti]],'Un nOTA'!$A$4:$K$5003,10,FALSE),"")</f>
        <v/>
      </c>
      <c r="I1967" s="112" t="str">
        <f>IFERROR(VLOOKUP(Table1722[[#This Row],[Bukti]],Table13[#Data],11,FALSE),"")</f>
        <v/>
      </c>
    </row>
    <row r="1968" spans="1:9" ht="19.5" hidden="1" customHeight="1" x14ac:dyDescent="0.2">
      <c r="A1968" s="105" t="str">
        <f>IF(D1968=1,COUNTIF($D$10:D1968,1)," ")</f>
        <v xml:space="preserve"> </v>
      </c>
      <c r="B1968" s="106">
        <f>COPY!AR1960</f>
        <v>0</v>
      </c>
      <c r="C1968" s="107">
        <f>COPY!AC1960</f>
        <v>0</v>
      </c>
      <c r="D1968" s="107" t="str">
        <f>IF(LEN(Table1722[[#This Row],[Uraian]])&gt;2,1," ")</f>
        <v xml:space="preserve"> </v>
      </c>
      <c r="E1968" s="113" t="str">
        <f>IF(Table1722[[#This Row],[Lawan Transaksi]]="CV AGUNG KARYA",COUNTIF($I$10:I1968,"CV AGUNG KARYA")," ")</f>
        <v xml:space="preserve"> </v>
      </c>
      <c r="F1968" s="107" t="str">
        <f>IF(LEN(Table1722[[#This Row],[Uraian]])&gt;2,TRIM(RIGHT(SUBSTITUTE(TRIM(C1968)," ",REPT(" ",255)),255))," ")</f>
        <v xml:space="preserve"> </v>
      </c>
      <c r="G1968" s="110">
        <f>COPY!Z1960</f>
        <v>0</v>
      </c>
      <c r="H1968" s="111" t="str">
        <f>IFERROR(VLOOKUP(Table1722[[#This Row],[Bukti]],'Un nOTA'!$A$4:$K$5003,10,FALSE),"")</f>
        <v/>
      </c>
      <c r="I1968" s="112" t="str">
        <f>IFERROR(VLOOKUP(Table1722[[#This Row],[Bukti]],Table13[#Data],11,FALSE),"")</f>
        <v/>
      </c>
    </row>
    <row r="1969" spans="1:9" ht="19.5" hidden="1" customHeight="1" x14ac:dyDescent="0.2">
      <c r="A1969" s="105" t="str">
        <f>IF(D1969=1,COUNTIF($D$10:D1969,1)," ")</f>
        <v xml:space="preserve"> </v>
      </c>
      <c r="B1969" s="106">
        <f>COPY!AR1961</f>
        <v>0</v>
      </c>
      <c r="C1969" s="107">
        <f>COPY!AC1961</f>
        <v>0</v>
      </c>
      <c r="D1969" s="107" t="str">
        <f>IF(LEN(Table1722[[#This Row],[Uraian]])&gt;2,1," ")</f>
        <v xml:space="preserve"> </v>
      </c>
      <c r="E1969" s="113" t="str">
        <f>IF(Table1722[[#This Row],[Lawan Transaksi]]="CV AGUNG KARYA",COUNTIF($I$10:I1969,"CV AGUNG KARYA")," ")</f>
        <v xml:space="preserve"> </v>
      </c>
      <c r="F1969" s="107" t="str">
        <f>IF(LEN(Table1722[[#This Row],[Uraian]])&gt;2,TRIM(RIGHT(SUBSTITUTE(TRIM(C1969)," ",REPT(" ",255)),255))," ")</f>
        <v xml:space="preserve"> </v>
      </c>
      <c r="G1969" s="110">
        <f>COPY!Z1961</f>
        <v>0</v>
      </c>
      <c r="H1969" s="111" t="str">
        <f>IFERROR(VLOOKUP(Table1722[[#This Row],[Bukti]],'Un nOTA'!$A$4:$K$5003,10,FALSE),"")</f>
        <v/>
      </c>
      <c r="I1969" s="112" t="str">
        <f>IFERROR(VLOOKUP(Table1722[[#This Row],[Bukti]],Table13[#Data],11,FALSE),"")</f>
        <v/>
      </c>
    </row>
    <row r="1970" spans="1:9" ht="19.5" hidden="1" customHeight="1" x14ac:dyDescent="0.2">
      <c r="A1970" s="105" t="str">
        <f>IF(D1970=1,COUNTIF($D$10:D1970,1)," ")</f>
        <v xml:space="preserve"> </v>
      </c>
      <c r="B1970" s="106">
        <f>COPY!AR1962</f>
        <v>0</v>
      </c>
      <c r="C1970" s="107">
        <f>COPY!AC1962</f>
        <v>0</v>
      </c>
      <c r="D1970" s="107" t="str">
        <f>IF(LEN(Table1722[[#This Row],[Uraian]])&gt;2,1," ")</f>
        <v xml:space="preserve"> </v>
      </c>
      <c r="E1970" s="113" t="str">
        <f>IF(Table1722[[#This Row],[Lawan Transaksi]]="CV AGUNG KARYA",COUNTIF($I$10:I1970,"CV AGUNG KARYA")," ")</f>
        <v xml:space="preserve"> </v>
      </c>
      <c r="F1970" s="107" t="str">
        <f>IF(LEN(Table1722[[#This Row],[Uraian]])&gt;2,TRIM(RIGHT(SUBSTITUTE(TRIM(C1970)," ",REPT(" ",255)),255))," ")</f>
        <v xml:space="preserve"> </v>
      </c>
      <c r="G1970" s="110">
        <f>COPY!Z1962</f>
        <v>0</v>
      </c>
      <c r="H1970" s="111" t="str">
        <f>IFERROR(VLOOKUP(Table1722[[#This Row],[Bukti]],'Un nOTA'!$A$4:$K$5003,10,FALSE),"")</f>
        <v/>
      </c>
      <c r="I1970" s="112" t="str">
        <f>IFERROR(VLOOKUP(Table1722[[#This Row],[Bukti]],Table13[#Data],11,FALSE),"")</f>
        <v/>
      </c>
    </row>
    <row r="1971" spans="1:9" ht="19.5" hidden="1" customHeight="1" x14ac:dyDescent="0.2">
      <c r="A1971" s="105" t="str">
        <f>IF(D1971=1,COUNTIF($D$10:D1971,1)," ")</f>
        <v xml:space="preserve"> </v>
      </c>
      <c r="B1971" s="106">
        <f>COPY!AR1963</f>
        <v>0</v>
      </c>
      <c r="C1971" s="107">
        <f>COPY!AC1963</f>
        <v>0</v>
      </c>
      <c r="D1971" s="107" t="str">
        <f>IF(LEN(Table1722[[#This Row],[Uraian]])&gt;2,1," ")</f>
        <v xml:space="preserve"> </v>
      </c>
      <c r="E1971" s="113" t="str">
        <f>IF(Table1722[[#This Row],[Lawan Transaksi]]="CV AGUNG KARYA",COUNTIF($I$10:I1971,"CV AGUNG KARYA")," ")</f>
        <v xml:space="preserve"> </v>
      </c>
      <c r="F1971" s="107" t="str">
        <f>IF(LEN(Table1722[[#This Row],[Uraian]])&gt;2,TRIM(RIGHT(SUBSTITUTE(TRIM(C1971)," ",REPT(" ",255)),255))," ")</f>
        <v xml:space="preserve"> </v>
      </c>
      <c r="G1971" s="110">
        <f>COPY!Z1963</f>
        <v>0</v>
      </c>
      <c r="H1971" s="111" t="str">
        <f>IFERROR(VLOOKUP(Table1722[[#This Row],[Bukti]],'Un nOTA'!$A$4:$K$5003,10,FALSE),"")</f>
        <v/>
      </c>
      <c r="I1971" s="112" t="str">
        <f>IFERROR(VLOOKUP(Table1722[[#This Row],[Bukti]],Table13[#Data],11,FALSE),"")</f>
        <v/>
      </c>
    </row>
    <row r="1972" spans="1:9" ht="19.5" hidden="1" customHeight="1" x14ac:dyDescent="0.2">
      <c r="A1972" s="105" t="str">
        <f>IF(D1972=1,COUNTIF($D$10:D1972,1)," ")</f>
        <v xml:space="preserve"> </v>
      </c>
      <c r="B1972" s="106">
        <f>COPY!AR1964</f>
        <v>0</v>
      </c>
      <c r="C1972" s="107">
        <f>COPY!AC1964</f>
        <v>0</v>
      </c>
      <c r="D1972" s="107" t="str">
        <f>IF(LEN(Table1722[[#This Row],[Uraian]])&gt;2,1," ")</f>
        <v xml:space="preserve"> </v>
      </c>
      <c r="E1972" s="113" t="str">
        <f>IF(Table1722[[#This Row],[Lawan Transaksi]]="CV AGUNG KARYA",COUNTIF($I$10:I1972,"CV AGUNG KARYA")," ")</f>
        <v xml:space="preserve"> </v>
      </c>
      <c r="F1972" s="107" t="str">
        <f>IF(LEN(Table1722[[#This Row],[Uraian]])&gt;2,TRIM(RIGHT(SUBSTITUTE(TRIM(C1972)," ",REPT(" ",255)),255))," ")</f>
        <v xml:space="preserve"> </v>
      </c>
      <c r="G1972" s="110">
        <f>COPY!Z1964</f>
        <v>0</v>
      </c>
      <c r="H1972" s="111" t="str">
        <f>IFERROR(VLOOKUP(Table1722[[#This Row],[Bukti]],'Un nOTA'!$A$4:$K$5003,10,FALSE),"")</f>
        <v/>
      </c>
      <c r="I1972" s="112" t="str">
        <f>IFERROR(VLOOKUP(Table1722[[#This Row],[Bukti]],Table13[#Data],11,FALSE),"")</f>
        <v/>
      </c>
    </row>
    <row r="1973" spans="1:9" ht="19.5" hidden="1" customHeight="1" x14ac:dyDescent="0.2">
      <c r="A1973" s="105" t="str">
        <f>IF(D1973=1,COUNTIF($D$10:D1973,1)," ")</f>
        <v xml:space="preserve"> </v>
      </c>
      <c r="B1973" s="106">
        <f>COPY!AR1965</f>
        <v>0</v>
      </c>
      <c r="C1973" s="107">
        <f>COPY!AC1965</f>
        <v>0</v>
      </c>
      <c r="D1973" s="107" t="str">
        <f>IF(LEN(Table1722[[#This Row],[Uraian]])&gt;2,1," ")</f>
        <v xml:space="preserve"> </v>
      </c>
      <c r="E1973" s="113" t="str">
        <f>IF(Table1722[[#This Row],[Lawan Transaksi]]="CV AGUNG KARYA",COUNTIF($I$10:I1973,"CV AGUNG KARYA")," ")</f>
        <v xml:space="preserve"> </v>
      </c>
      <c r="F1973" s="107" t="str">
        <f>IF(LEN(Table1722[[#This Row],[Uraian]])&gt;2,TRIM(RIGHT(SUBSTITUTE(TRIM(C1973)," ",REPT(" ",255)),255))," ")</f>
        <v xml:space="preserve"> </v>
      </c>
      <c r="G1973" s="110">
        <f>COPY!Z1965</f>
        <v>0</v>
      </c>
      <c r="H1973" s="111" t="str">
        <f>IFERROR(VLOOKUP(Table1722[[#This Row],[Bukti]],'Un nOTA'!$A$4:$K$5003,10,FALSE),"")</f>
        <v/>
      </c>
      <c r="I1973" s="112" t="str">
        <f>IFERROR(VLOOKUP(Table1722[[#This Row],[Bukti]],Table13[#Data],11,FALSE),"")</f>
        <v/>
      </c>
    </row>
    <row r="1974" spans="1:9" ht="19.5" hidden="1" customHeight="1" x14ac:dyDescent="0.2">
      <c r="A1974" s="105" t="str">
        <f>IF(D1974=1,COUNTIF($D$10:D1974,1)," ")</f>
        <v xml:space="preserve"> </v>
      </c>
      <c r="B1974" s="106">
        <f>COPY!AR1966</f>
        <v>0</v>
      </c>
      <c r="C1974" s="107">
        <f>COPY!AC1966</f>
        <v>0</v>
      </c>
      <c r="D1974" s="107" t="str">
        <f>IF(LEN(Table1722[[#This Row],[Uraian]])&gt;2,1," ")</f>
        <v xml:space="preserve"> </v>
      </c>
      <c r="E1974" s="113" t="str">
        <f>IF(Table1722[[#This Row],[Lawan Transaksi]]="CV AGUNG KARYA",COUNTIF($I$10:I1974,"CV AGUNG KARYA")," ")</f>
        <v xml:space="preserve"> </v>
      </c>
      <c r="F1974" s="107" t="str">
        <f>IF(LEN(Table1722[[#This Row],[Uraian]])&gt;2,TRIM(RIGHT(SUBSTITUTE(TRIM(C1974)," ",REPT(" ",255)),255))," ")</f>
        <v xml:space="preserve"> </v>
      </c>
      <c r="G1974" s="110">
        <f>COPY!Z1966</f>
        <v>0</v>
      </c>
      <c r="H1974" s="111" t="str">
        <f>IFERROR(VLOOKUP(Table1722[[#This Row],[Bukti]],'Un nOTA'!$A$4:$K$5003,10,FALSE),"")</f>
        <v/>
      </c>
      <c r="I1974" s="112" t="str">
        <f>IFERROR(VLOOKUP(Table1722[[#This Row],[Bukti]],Table13[#Data],11,FALSE),"")</f>
        <v/>
      </c>
    </row>
    <row r="1975" spans="1:9" ht="19.5" hidden="1" customHeight="1" x14ac:dyDescent="0.2">
      <c r="A1975" s="105" t="str">
        <f>IF(D1975=1,COUNTIF($D$10:D1975,1)," ")</f>
        <v xml:space="preserve"> </v>
      </c>
      <c r="B1975" s="106">
        <f>COPY!AR1967</f>
        <v>0</v>
      </c>
      <c r="C1975" s="107">
        <f>COPY!AC1967</f>
        <v>0</v>
      </c>
      <c r="D1975" s="107" t="str">
        <f>IF(LEN(Table1722[[#This Row],[Uraian]])&gt;2,1," ")</f>
        <v xml:space="preserve"> </v>
      </c>
      <c r="E1975" s="113" t="str">
        <f>IF(Table1722[[#This Row],[Lawan Transaksi]]="CV AGUNG KARYA",COUNTIF($I$10:I1975,"CV AGUNG KARYA")," ")</f>
        <v xml:space="preserve"> </v>
      </c>
      <c r="F1975" s="107" t="str">
        <f>IF(LEN(Table1722[[#This Row],[Uraian]])&gt;2,TRIM(RIGHT(SUBSTITUTE(TRIM(C1975)," ",REPT(" ",255)),255))," ")</f>
        <v xml:space="preserve"> </v>
      </c>
      <c r="G1975" s="110">
        <f>COPY!Z1967</f>
        <v>0</v>
      </c>
      <c r="H1975" s="111" t="str">
        <f>IFERROR(VLOOKUP(Table1722[[#This Row],[Bukti]],'Un nOTA'!$A$4:$K$5003,10,FALSE),"")</f>
        <v/>
      </c>
      <c r="I1975" s="112" t="str">
        <f>IFERROR(VLOOKUP(Table1722[[#This Row],[Bukti]],Table13[#Data],11,FALSE),"")</f>
        <v/>
      </c>
    </row>
    <row r="1976" spans="1:9" ht="19.5" hidden="1" customHeight="1" x14ac:dyDescent="0.2">
      <c r="A1976" s="105" t="str">
        <f>IF(D1976=1,COUNTIF($D$10:D1976,1)," ")</f>
        <v xml:space="preserve"> </v>
      </c>
      <c r="B1976" s="106">
        <f>COPY!AR1968</f>
        <v>0</v>
      </c>
      <c r="C1976" s="107">
        <f>COPY!AC1968</f>
        <v>0</v>
      </c>
      <c r="D1976" s="107" t="str">
        <f>IF(LEN(Table1722[[#This Row],[Uraian]])&gt;2,1," ")</f>
        <v xml:space="preserve"> </v>
      </c>
      <c r="E1976" s="113" t="str">
        <f>IF(Table1722[[#This Row],[Lawan Transaksi]]="CV AGUNG KARYA",COUNTIF($I$10:I1976,"CV AGUNG KARYA")," ")</f>
        <v xml:space="preserve"> </v>
      </c>
      <c r="F1976" s="107" t="str">
        <f>IF(LEN(Table1722[[#This Row],[Uraian]])&gt;2,TRIM(RIGHT(SUBSTITUTE(TRIM(C1976)," ",REPT(" ",255)),255))," ")</f>
        <v xml:space="preserve"> </v>
      </c>
      <c r="G1976" s="110">
        <f>COPY!Z1968</f>
        <v>0</v>
      </c>
      <c r="H1976" s="111" t="str">
        <f>IFERROR(VLOOKUP(Table1722[[#This Row],[Bukti]],'Un nOTA'!$A$4:$K$5003,10,FALSE),"")</f>
        <v/>
      </c>
      <c r="I1976" s="112" t="str">
        <f>IFERROR(VLOOKUP(Table1722[[#This Row],[Bukti]],Table13[#Data],11,FALSE),"")</f>
        <v/>
      </c>
    </row>
    <row r="1977" spans="1:9" ht="19.5" hidden="1" customHeight="1" x14ac:dyDescent="0.2">
      <c r="A1977" s="105" t="str">
        <f>IF(D1977=1,COUNTIF($D$10:D1977,1)," ")</f>
        <v xml:space="preserve"> </v>
      </c>
      <c r="B1977" s="106">
        <f>COPY!AR1969</f>
        <v>0</v>
      </c>
      <c r="C1977" s="107">
        <f>COPY!AC1969</f>
        <v>0</v>
      </c>
      <c r="D1977" s="107" t="str">
        <f>IF(LEN(Table1722[[#This Row],[Uraian]])&gt;2,1," ")</f>
        <v xml:space="preserve"> </v>
      </c>
      <c r="E1977" s="113" t="str">
        <f>IF(Table1722[[#This Row],[Lawan Transaksi]]="CV AGUNG KARYA",COUNTIF($I$10:I1977,"CV AGUNG KARYA")," ")</f>
        <v xml:space="preserve"> </v>
      </c>
      <c r="F1977" s="107" t="str">
        <f>IF(LEN(Table1722[[#This Row],[Uraian]])&gt;2,TRIM(RIGHT(SUBSTITUTE(TRIM(C1977)," ",REPT(" ",255)),255))," ")</f>
        <v xml:space="preserve"> </v>
      </c>
      <c r="G1977" s="110">
        <f>COPY!Z1969</f>
        <v>0</v>
      </c>
      <c r="H1977" s="111" t="str">
        <f>IFERROR(VLOOKUP(Table1722[[#This Row],[Bukti]],'Un nOTA'!$A$4:$K$5003,10,FALSE),"")</f>
        <v/>
      </c>
      <c r="I1977" s="112" t="str">
        <f>IFERROR(VLOOKUP(Table1722[[#This Row],[Bukti]],Table13[#Data],11,FALSE),"")</f>
        <v/>
      </c>
    </row>
    <row r="1978" spans="1:9" ht="19.5" hidden="1" customHeight="1" x14ac:dyDescent="0.2">
      <c r="A1978" s="105" t="str">
        <f>IF(D1978=1,COUNTIF($D$10:D1978,1)," ")</f>
        <v xml:space="preserve"> </v>
      </c>
      <c r="B1978" s="106">
        <f>COPY!AR1970</f>
        <v>0</v>
      </c>
      <c r="C1978" s="107">
        <f>COPY!AC1970</f>
        <v>0</v>
      </c>
      <c r="D1978" s="107" t="str">
        <f>IF(LEN(Table1722[[#This Row],[Uraian]])&gt;2,1," ")</f>
        <v xml:space="preserve"> </v>
      </c>
      <c r="E1978" s="113" t="str">
        <f>IF(Table1722[[#This Row],[Lawan Transaksi]]="CV AGUNG KARYA",COUNTIF($I$10:I1978,"CV AGUNG KARYA")," ")</f>
        <v xml:space="preserve"> </v>
      </c>
      <c r="F1978" s="107" t="str">
        <f>IF(LEN(Table1722[[#This Row],[Uraian]])&gt;2,TRIM(RIGHT(SUBSTITUTE(TRIM(C1978)," ",REPT(" ",255)),255))," ")</f>
        <v xml:space="preserve"> </v>
      </c>
      <c r="G1978" s="110">
        <f>COPY!Z1970</f>
        <v>0</v>
      </c>
      <c r="H1978" s="111" t="str">
        <f>IFERROR(VLOOKUP(Table1722[[#This Row],[Bukti]],'Un nOTA'!$A$4:$K$5003,10,FALSE),"")</f>
        <v/>
      </c>
      <c r="I1978" s="112" t="str">
        <f>IFERROR(VLOOKUP(Table1722[[#This Row],[Bukti]],Table13[#Data],11,FALSE),"")</f>
        <v/>
      </c>
    </row>
    <row r="1979" spans="1:9" ht="19.5" hidden="1" customHeight="1" x14ac:dyDescent="0.2">
      <c r="A1979" s="105" t="str">
        <f>IF(D1979=1,COUNTIF($D$10:D1979,1)," ")</f>
        <v xml:space="preserve"> </v>
      </c>
      <c r="B1979" s="106">
        <f>COPY!AR1971</f>
        <v>0</v>
      </c>
      <c r="C1979" s="107">
        <f>COPY!AC1971</f>
        <v>0</v>
      </c>
      <c r="D1979" s="107" t="str">
        <f>IF(LEN(Table1722[[#This Row],[Uraian]])&gt;2,1," ")</f>
        <v xml:space="preserve"> </v>
      </c>
      <c r="E1979" s="113" t="str">
        <f>IF(Table1722[[#This Row],[Lawan Transaksi]]="CV AGUNG KARYA",COUNTIF($I$10:I1979,"CV AGUNG KARYA")," ")</f>
        <v xml:space="preserve"> </v>
      </c>
      <c r="F1979" s="107" t="str">
        <f>IF(LEN(Table1722[[#This Row],[Uraian]])&gt;2,TRIM(RIGHT(SUBSTITUTE(TRIM(C1979)," ",REPT(" ",255)),255))," ")</f>
        <v xml:space="preserve"> </v>
      </c>
      <c r="G1979" s="110">
        <f>COPY!Z1971</f>
        <v>0</v>
      </c>
      <c r="H1979" s="111" t="str">
        <f>IFERROR(VLOOKUP(Table1722[[#This Row],[Bukti]],'Un nOTA'!$A$4:$K$5003,10,FALSE),"")</f>
        <v/>
      </c>
      <c r="I1979" s="112" t="str">
        <f>IFERROR(VLOOKUP(Table1722[[#This Row],[Bukti]],Table13[#Data],11,FALSE),"")</f>
        <v/>
      </c>
    </row>
    <row r="1980" spans="1:9" ht="19.5" hidden="1" customHeight="1" x14ac:dyDescent="0.2">
      <c r="A1980" s="105" t="str">
        <f>IF(D1980=1,COUNTIF($D$10:D1980,1)," ")</f>
        <v xml:space="preserve"> </v>
      </c>
      <c r="B1980" s="106">
        <f>COPY!AR1972</f>
        <v>0</v>
      </c>
      <c r="C1980" s="107">
        <f>COPY!AC1972</f>
        <v>0</v>
      </c>
      <c r="D1980" s="107" t="str">
        <f>IF(LEN(Table1722[[#This Row],[Uraian]])&gt;2,1," ")</f>
        <v xml:space="preserve"> </v>
      </c>
      <c r="E1980" s="113" t="str">
        <f>IF(Table1722[[#This Row],[Lawan Transaksi]]="CV AGUNG KARYA",COUNTIF($I$10:I1980,"CV AGUNG KARYA")," ")</f>
        <v xml:space="preserve"> </v>
      </c>
      <c r="F1980" s="107" t="str">
        <f>IF(LEN(Table1722[[#This Row],[Uraian]])&gt;2,TRIM(RIGHT(SUBSTITUTE(TRIM(C1980)," ",REPT(" ",255)),255))," ")</f>
        <v xml:space="preserve"> </v>
      </c>
      <c r="G1980" s="110">
        <f>COPY!Z1972</f>
        <v>0</v>
      </c>
      <c r="H1980" s="111" t="str">
        <f>IFERROR(VLOOKUP(Table1722[[#This Row],[Bukti]],'Un nOTA'!$A$4:$K$5003,10,FALSE),"")</f>
        <v/>
      </c>
      <c r="I1980" s="112" t="str">
        <f>IFERROR(VLOOKUP(Table1722[[#This Row],[Bukti]],Table13[#Data],11,FALSE),"")</f>
        <v/>
      </c>
    </row>
    <row r="1981" spans="1:9" ht="19.5" hidden="1" customHeight="1" x14ac:dyDescent="0.2">
      <c r="A1981" s="105" t="str">
        <f>IF(D1981=1,COUNTIF($D$10:D1981,1)," ")</f>
        <v xml:space="preserve"> </v>
      </c>
      <c r="B1981" s="106">
        <f>COPY!AR1973</f>
        <v>0</v>
      </c>
      <c r="C1981" s="107">
        <f>COPY!AC1973</f>
        <v>0</v>
      </c>
      <c r="D1981" s="107" t="str">
        <f>IF(LEN(Table1722[[#This Row],[Uraian]])&gt;2,1," ")</f>
        <v xml:space="preserve"> </v>
      </c>
      <c r="E1981" s="113" t="str">
        <f>IF(Table1722[[#This Row],[Lawan Transaksi]]="CV AGUNG KARYA",COUNTIF($I$10:I1981,"CV AGUNG KARYA")," ")</f>
        <v xml:space="preserve"> </v>
      </c>
      <c r="F1981" s="107" t="str">
        <f>IF(LEN(Table1722[[#This Row],[Uraian]])&gt;2,TRIM(RIGHT(SUBSTITUTE(TRIM(C1981)," ",REPT(" ",255)),255))," ")</f>
        <v xml:space="preserve"> </v>
      </c>
      <c r="G1981" s="110">
        <f>COPY!Z1973</f>
        <v>0</v>
      </c>
      <c r="H1981" s="111" t="str">
        <f>IFERROR(VLOOKUP(Table1722[[#This Row],[Bukti]],'Un nOTA'!$A$4:$K$5003,10,FALSE),"")</f>
        <v/>
      </c>
      <c r="I1981" s="112" t="str">
        <f>IFERROR(VLOOKUP(Table1722[[#This Row],[Bukti]],Table13[#Data],11,FALSE),"")</f>
        <v/>
      </c>
    </row>
    <row r="1982" spans="1:9" ht="19.5" hidden="1" customHeight="1" x14ac:dyDescent="0.2">
      <c r="A1982" s="105" t="str">
        <f>IF(D1982=1,COUNTIF($D$10:D1982,1)," ")</f>
        <v xml:space="preserve"> </v>
      </c>
      <c r="B1982" s="106">
        <f>COPY!AR1974</f>
        <v>0</v>
      </c>
      <c r="C1982" s="107">
        <f>COPY!AC1974</f>
        <v>0</v>
      </c>
      <c r="D1982" s="107" t="str">
        <f>IF(LEN(Table1722[[#This Row],[Uraian]])&gt;2,1," ")</f>
        <v xml:space="preserve"> </v>
      </c>
      <c r="E1982" s="113" t="str">
        <f>IF(Table1722[[#This Row],[Lawan Transaksi]]="CV AGUNG KARYA",COUNTIF($I$10:I1982,"CV AGUNG KARYA")," ")</f>
        <v xml:space="preserve"> </v>
      </c>
      <c r="F1982" s="107" t="str">
        <f>IF(LEN(Table1722[[#This Row],[Uraian]])&gt;2,TRIM(RIGHT(SUBSTITUTE(TRIM(C1982)," ",REPT(" ",255)),255))," ")</f>
        <v xml:space="preserve"> </v>
      </c>
      <c r="G1982" s="110">
        <f>COPY!Z1974</f>
        <v>0</v>
      </c>
      <c r="H1982" s="111" t="str">
        <f>IFERROR(VLOOKUP(Table1722[[#This Row],[Bukti]],'Un nOTA'!$A$4:$K$5003,10,FALSE),"")</f>
        <v/>
      </c>
      <c r="I1982" s="112" t="str">
        <f>IFERROR(VLOOKUP(Table1722[[#This Row],[Bukti]],Table13[#Data],11,FALSE),"")</f>
        <v/>
      </c>
    </row>
    <row r="1983" spans="1:9" ht="19.5" hidden="1" customHeight="1" x14ac:dyDescent="0.2">
      <c r="A1983" s="105" t="str">
        <f>IF(D1983=1,COUNTIF($D$10:D1983,1)," ")</f>
        <v xml:space="preserve"> </v>
      </c>
      <c r="B1983" s="106">
        <f>COPY!AR1975</f>
        <v>0</v>
      </c>
      <c r="C1983" s="107">
        <f>COPY!AC1975</f>
        <v>0</v>
      </c>
      <c r="D1983" s="107" t="str">
        <f>IF(LEN(Table1722[[#This Row],[Uraian]])&gt;2,1," ")</f>
        <v xml:space="preserve"> </v>
      </c>
      <c r="E1983" s="113" t="str">
        <f>IF(Table1722[[#This Row],[Lawan Transaksi]]="CV AGUNG KARYA",COUNTIF($I$10:I1983,"CV AGUNG KARYA")," ")</f>
        <v xml:space="preserve"> </v>
      </c>
      <c r="F1983" s="107" t="str">
        <f>IF(LEN(Table1722[[#This Row],[Uraian]])&gt;2,TRIM(RIGHT(SUBSTITUTE(TRIM(C1983)," ",REPT(" ",255)),255))," ")</f>
        <v xml:space="preserve"> </v>
      </c>
      <c r="G1983" s="110">
        <f>COPY!Z1975</f>
        <v>0</v>
      </c>
      <c r="H1983" s="111" t="str">
        <f>IFERROR(VLOOKUP(Table1722[[#This Row],[Bukti]],'Un nOTA'!$A$4:$K$5003,10,FALSE),"")</f>
        <v/>
      </c>
      <c r="I1983" s="112" t="str">
        <f>IFERROR(VLOOKUP(Table1722[[#This Row],[Bukti]],Table13[#Data],11,FALSE),"")</f>
        <v/>
      </c>
    </row>
    <row r="1984" spans="1:9" ht="19.5" hidden="1" customHeight="1" x14ac:dyDescent="0.2">
      <c r="A1984" s="105" t="str">
        <f>IF(D1984=1,COUNTIF($D$10:D1984,1)," ")</f>
        <v xml:space="preserve"> </v>
      </c>
      <c r="B1984" s="106">
        <f>COPY!AR1976</f>
        <v>0</v>
      </c>
      <c r="C1984" s="107">
        <f>COPY!AC1976</f>
        <v>0</v>
      </c>
      <c r="D1984" s="107" t="str">
        <f>IF(LEN(Table1722[[#This Row],[Uraian]])&gt;2,1," ")</f>
        <v xml:space="preserve"> </v>
      </c>
      <c r="E1984" s="113" t="str">
        <f>IF(Table1722[[#This Row],[Lawan Transaksi]]="CV AGUNG KARYA",COUNTIF($I$10:I1984,"CV AGUNG KARYA")," ")</f>
        <v xml:space="preserve"> </v>
      </c>
      <c r="F1984" s="107" t="str">
        <f>IF(LEN(Table1722[[#This Row],[Uraian]])&gt;2,TRIM(RIGHT(SUBSTITUTE(TRIM(C1984)," ",REPT(" ",255)),255))," ")</f>
        <v xml:space="preserve"> </v>
      </c>
      <c r="G1984" s="110">
        <f>COPY!Z1976</f>
        <v>0</v>
      </c>
      <c r="H1984" s="111" t="str">
        <f>IFERROR(VLOOKUP(Table1722[[#This Row],[Bukti]],'Un nOTA'!$A$4:$K$5003,10,FALSE),"")</f>
        <v/>
      </c>
      <c r="I1984" s="112" t="str">
        <f>IFERROR(VLOOKUP(Table1722[[#This Row],[Bukti]],Table13[#Data],11,FALSE),"")</f>
        <v/>
      </c>
    </row>
    <row r="1985" spans="1:9" ht="19.5" hidden="1" customHeight="1" x14ac:dyDescent="0.2">
      <c r="A1985" s="105" t="str">
        <f>IF(D1985=1,COUNTIF($D$10:D1985,1)," ")</f>
        <v xml:space="preserve"> </v>
      </c>
      <c r="B1985" s="106">
        <f>COPY!AR1977</f>
        <v>0</v>
      </c>
      <c r="C1985" s="107">
        <f>COPY!AC1977</f>
        <v>0</v>
      </c>
      <c r="D1985" s="107" t="str">
        <f>IF(LEN(Table1722[[#This Row],[Uraian]])&gt;2,1," ")</f>
        <v xml:space="preserve"> </v>
      </c>
      <c r="E1985" s="113" t="str">
        <f>IF(Table1722[[#This Row],[Lawan Transaksi]]="CV AGUNG KARYA",COUNTIF($I$10:I1985,"CV AGUNG KARYA")," ")</f>
        <v xml:space="preserve"> </v>
      </c>
      <c r="F1985" s="107" t="str">
        <f>IF(LEN(Table1722[[#This Row],[Uraian]])&gt;2,TRIM(RIGHT(SUBSTITUTE(TRIM(C1985)," ",REPT(" ",255)),255))," ")</f>
        <v xml:space="preserve"> </v>
      </c>
      <c r="G1985" s="110">
        <f>COPY!Z1977</f>
        <v>0</v>
      </c>
      <c r="H1985" s="111" t="str">
        <f>IFERROR(VLOOKUP(Table1722[[#This Row],[Bukti]],'Un nOTA'!$A$4:$K$5003,10,FALSE),"")</f>
        <v/>
      </c>
      <c r="I1985" s="112" t="str">
        <f>IFERROR(VLOOKUP(Table1722[[#This Row],[Bukti]],Table13[#Data],11,FALSE),"")</f>
        <v/>
      </c>
    </row>
    <row r="1986" spans="1:9" ht="19.5" hidden="1" customHeight="1" x14ac:dyDescent="0.2">
      <c r="A1986" s="105" t="str">
        <f>IF(D1986=1,COUNTIF($D$10:D1986,1)," ")</f>
        <v xml:space="preserve"> </v>
      </c>
      <c r="B1986" s="106">
        <f>COPY!AR1978</f>
        <v>0</v>
      </c>
      <c r="C1986" s="107">
        <f>COPY!AC1978</f>
        <v>0</v>
      </c>
      <c r="D1986" s="107" t="str">
        <f>IF(LEN(Table1722[[#This Row],[Uraian]])&gt;2,1," ")</f>
        <v xml:space="preserve"> </v>
      </c>
      <c r="E1986" s="113" t="str">
        <f>IF(Table1722[[#This Row],[Lawan Transaksi]]="CV AGUNG KARYA",COUNTIF($I$10:I1986,"CV AGUNG KARYA")," ")</f>
        <v xml:space="preserve"> </v>
      </c>
      <c r="F1986" s="107" t="str">
        <f>IF(LEN(Table1722[[#This Row],[Uraian]])&gt;2,TRIM(RIGHT(SUBSTITUTE(TRIM(C1986)," ",REPT(" ",255)),255))," ")</f>
        <v xml:space="preserve"> </v>
      </c>
      <c r="G1986" s="110">
        <f>COPY!Z1978</f>
        <v>0</v>
      </c>
      <c r="H1986" s="111" t="str">
        <f>IFERROR(VLOOKUP(Table1722[[#This Row],[Bukti]],'Un nOTA'!$A$4:$K$5003,10,FALSE),"")</f>
        <v/>
      </c>
      <c r="I1986" s="112" t="str">
        <f>IFERROR(VLOOKUP(Table1722[[#This Row],[Bukti]],Table13[#Data],11,FALSE),"")</f>
        <v/>
      </c>
    </row>
    <row r="1987" spans="1:9" ht="19.5" hidden="1" customHeight="1" x14ac:dyDescent="0.2">
      <c r="A1987" s="105" t="str">
        <f>IF(D1987=1,COUNTIF($D$10:D1987,1)," ")</f>
        <v xml:space="preserve"> </v>
      </c>
      <c r="B1987" s="106">
        <f>COPY!AR1979</f>
        <v>0</v>
      </c>
      <c r="C1987" s="107">
        <f>COPY!AC1979</f>
        <v>0</v>
      </c>
      <c r="D1987" s="107" t="str">
        <f>IF(LEN(Table1722[[#This Row],[Uraian]])&gt;2,1," ")</f>
        <v xml:space="preserve"> </v>
      </c>
      <c r="E1987" s="113" t="str">
        <f>IF(Table1722[[#This Row],[Lawan Transaksi]]="CV AGUNG KARYA",COUNTIF($I$10:I1987,"CV AGUNG KARYA")," ")</f>
        <v xml:space="preserve"> </v>
      </c>
      <c r="F1987" s="107" t="str">
        <f>IF(LEN(Table1722[[#This Row],[Uraian]])&gt;2,TRIM(RIGHT(SUBSTITUTE(TRIM(C1987)," ",REPT(" ",255)),255))," ")</f>
        <v xml:space="preserve"> </v>
      </c>
      <c r="G1987" s="110">
        <f>COPY!Z1979</f>
        <v>0</v>
      </c>
      <c r="H1987" s="111" t="str">
        <f>IFERROR(VLOOKUP(Table1722[[#This Row],[Bukti]],'Un nOTA'!$A$4:$K$5003,10,FALSE),"")</f>
        <v/>
      </c>
      <c r="I1987" s="112" t="str">
        <f>IFERROR(VLOOKUP(Table1722[[#This Row],[Bukti]],Table13[#Data],11,FALSE),"")</f>
        <v/>
      </c>
    </row>
    <row r="1988" spans="1:9" ht="19.5" hidden="1" customHeight="1" x14ac:dyDescent="0.2">
      <c r="A1988" s="105" t="str">
        <f>IF(D1988=1,COUNTIF($D$10:D1988,1)," ")</f>
        <v xml:space="preserve"> </v>
      </c>
      <c r="B1988" s="106">
        <f>COPY!AR1980</f>
        <v>0</v>
      </c>
      <c r="C1988" s="107">
        <f>COPY!AC1980</f>
        <v>0</v>
      </c>
      <c r="D1988" s="107" t="str">
        <f>IF(LEN(Table1722[[#This Row],[Uraian]])&gt;2,1," ")</f>
        <v xml:space="preserve"> </v>
      </c>
      <c r="E1988" s="113" t="str">
        <f>IF(Table1722[[#This Row],[Lawan Transaksi]]="CV AGUNG KARYA",COUNTIF($I$10:I1988,"CV AGUNG KARYA")," ")</f>
        <v xml:space="preserve"> </v>
      </c>
      <c r="F1988" s="107" t="str">
        <f>IF(LEN(Table1722[[#This Row],[Uraian]])&gt;2,TRIM(RIGHT(SUBSTITUTE(TRIM(C1988)," ",REPT(" ",255)),255))," ")</f>
        <v xml:space="preserve"> </v>
      </c>
      <c r="G1988" s="110">
        <f>COPY!Z1980</f>
        <v>0</v>
      </c>
      <c r="H1988" s="111" t="str">
        <f>IFERROR(VLOOKUP(Table1722[[#This Row],[Bukti]],'Un nOTA'!$A$4:$K$5003,10,FALSE),"")</f>
        <v/>
      </c>
      <c r="I1988" s="112" t="str">
        <f>IFERROR(VLOOKUP(Table1722[[#This Row],[Bukti]],Table13[#Data],11,FALSE),"")</f>
        <v/>
      </c>
    </row>
    <row r="1989" spans="1:9" ht="19.5" hidden="1" customHeight="1" x14ac:dyDescent="0.2">
      <c r="A1989" s="105" t="str">
        <f>IF(D1989=1,COUNTIF($D$10:D1989,1)," ")</f>
        <v xml:space="preserve"> </v>
      </c>
      <c r="B1989" s="106">
        <f>COPY!AR1981</f>
        <v>0</v>
      </c>
      <c r="C1989" s="107">
        <f>COPY!AC1981</f>
        <v>0</v>
      </c>
      <c r="D1989" s="107" t="str">
        <f>IF(LEN(Table1722[[#This Row],[Uraian]])&gt;2,1," ")</f>
        <v xml:space="preserve"> </v>
      </c>
      <c r="E1989" s="113" t="str">
        <f>IF(Table1722[[#This Row],[Lawan Transaksi]]="CV AGUNG KARYA",COUNTIF($I$10:I1989,"CV AGUNG KARYA")," ")</f>
        <v xml:space="preserve"> </v>
      </c>
      <c r="F1989" s="107" t="str">
        <f>IF(LEN(Table1722[[#This Row],[Uraian]])&gt;2,TRIM(RIGHT(SUBSTITUTE(TRIM(C1989)," ",REPT(" ",255)),255))," ")</f>
        <v xml:space="preserve"> </v>
      </c>
      <c r="G1989" s="110">
        <f>COPY!Z1981</f>
        <v>0</v>
      </c>
      <c r="H1989" s="111" t="str">
        <f>IFERROR(VLOOKUP(Table1722[[#This Row],[Bukti]],'Un nOTA'!$A$4:$K$5003,10,FALSE),"")</f>
        <v/>
      </c>
      <c r="I1989" s="112" t="str">
        <f>IFERROR(VLOOKUP(Table1722[[#This Row],[Bukti]],Table13[#Data],11,FALSE),"")</f>
        <v/>
      </c>
    </row>
    <row r="1990" spans="1:9" ht="19.5" hidden="1" customHeight="1" x14ac:dyDescent="0.2">
      <c r="A1990" s="105" t="str">
        <f>IF(D1990=1,COUNTIF($D$10:D1990,1)," ")</f>
        <v xml:space="preserve"> </v>
      </c>
      <c r="B1990" s="106">
        <f>COPY!AR1982</f>
        <v>0</v>
      </c>
      <c r="C1990" s="107">
        <f>COPY!AC1982</f>
        <v>0</v>
      </c>
      <c r="D1990" s="107" t="str">
        <f>IF(LEN(Table1722[[#This Row],[Uraian]])&gt;2,1," ")</f>
        <v xml:space="preserve"> </v>
      </c>
      <c r="E1990" s="113" t="str">
        <f>IF(Table1722[[#This Row],[Lawan Transaksi]]="CV AGUNG KARYA",COUNTIF($I$10:I1990,"CV AGUNG KARYA")," ")</f>
        <v xml:space="preserve"> </v>
      </c>
      <c r="F1990" s="107" t="str">
        <f>IF(LEN(Table1722[[#This Row],[Uraian]])&gt;2,TRIM(RIGHT(SUBSTITUTE(TRIM(C1990)," ",REPT(" ",255)),255))," ")</f>
        <v xml:space="preserve"> </v>
      </c>
      <c r="G1990" s="110">
        <f>COPY!Z1982</f>
        <v>0</v>
      </c>
      <c r="H1990" s="111" t="str">
        <f>IFERROR(VLOOKUP(Table1722[[#This Row],[Bukti]],'Un nOTA'!$A$4:$K$5003,10,FALSE),"")</f>
        <v/>
      </c>
      <c r="I1990" s="112" t="str">
        <f>IFERROR(VLOOKUP(Table1722[[#This Row],[Bukti]],Table13[#Data],11,FALSE),"")</f>
        <v/>
      </c>
    </row>
    <row r="1991" spans="1:9" ht="19.5" hidden="1" customHeight="1" x14ac:dyDescent="0.2">
      <c r="A1991" s="105" t="str">
        <f>IF(D1991=1,COUNTIF($D$10:D1991,1)," ")</f>
        <v xml:space="preserve"> </v>
      </c>
      <c r="B1991" s="106">
        <f>COPY!AR1983</f>
        <v>0</v>
      </c>
      <c r="C1991" s="107">
        <f>COPY!AC1983</f>
        <v>0</v>
      </c>
      <c r="D1991" s="107" t="str">
        <f>IF(LEN(Table1722[[#This Row],[Uraian]])&gt;2,1," ")</f>
        <v xml:space="preserve"> </v>
      </c>
      <c r="E1991" s="113" t="str">
        <f>IF(Table1722[[#This Row],[Lawan Transaksi]]="CV AGUNG KARYA",COUNTIF($I$10:I1991,"CV AGUNG KARYA")," ")</f>
        <v xml:space="preserve"> </v>
      </c>
      <c r="F1991" s="107" t="str">
        <f>IF(LEN(Table1722[[#This Row],[Uraian]])&gt;2,TRIM(RIGHT(SUBSTITUTE(TRIM(C1991)," ",REPT(" ",255)),255))," ")</f>
        <v xml:space="preserve"> </v>
      </c>
      <c r="G1991" s="110">
        <f>COPY!Z1983</f>
        <v>0</v>
      </c>
      <c r="H1991" s="111" t="str">
        <f>IFERROR(VLOOKUP(Table1722[[#This Row],[Bukti]],'Un nOTA'!$A$4:$K$5003,10,FALSE),"")</f>
        <v/>
      </c>
      <c r="I1991" s="112" t="str">
        <f>IFERROR(VLOOKUP(Table1722[[#This Row],[Bukti]],Table13[#Data],11,FALSE),"")</f>
        <v/>
      </c>
    </row>
    <row r="1992" spans="1:9" ht="19.5" hidden="1" customHeight="1" x14ac:dyDescent="0.2">
      <c r="A1992" s="105" t="str">
        <f>IF(D1992=1,COUNTIF($D$10:D1992,1)," ")</f>
        <v xml:space="preserve"> </v>
      </c>
      <c r="B1992" s="106">
        <f>COPY!AR1984</f>
        <v>0</v>
      </c>
      <c r="C1992" s="107">
        <f>COPY!AC1984</f>
        <v>0</v>
      </c>
      <c r="D1992" s="107" t="str">
        <f>IF(LEN(Table1722[[#This Row],[Uraian]])&gt;2,1," ")</f>
        <v xml:space="preserve"> </v>
      </c>
      <c r="E1992" s="113" t="str">
        <f>IF(Table1722[[#This Row],[Lawan Transaksi]]="CV AGUNG KARYA",COUNTIF($I$10:I1992,"CV AGUNG KARYA")," ")</f>
        <v xml:space="preserve"> </v>
      </c>
      <c r="F1992" s="107" t="str">
        <f>IF(LEN(Table1722[[#This Row],[Uraian]])&gt;2,TRIM(RIGHT(SUBSTITUTE(TRIM(C1992)," ",REPT(" ",255)),255))," ")</f>
        <v xml:space="preserve"> </v>
      </c>
      <c r="G1992" s="110">
        <f>COPY!Z1984</f>
        <v>0</v>
      </c>
      <c r="H1992" s="111" t="str">
        <f>IFERROR(VLOOKUP(Table1722[[#This Row],[Bukti]],'Un nOTA'!$A$4:$K$5003,10,FALSE),"")</f>
        <v/>
      </c>
      <c r="I1992" s="112" t="str">
        <f>IFERROR(VLOOKUP(Table1722[[#This Row],[Bukti]],Table13[#Data],11,FALSE),"")</f>
        <v/>
      </c>
    </row>
    <row r="1993" spans="1:9" ht="19.5" hidden="1" customHeight="1" x14ac:dyDescent="0.2">
      <c r="A1993" s="105" t="str">
        <f>IF(D1993=1,COUNTIF($D$10:D1993,1)," ")</f>
        <v xml:space="preserve"> </v>
      </c>
      <c r="B1993" s="106">
        <f>COPY!AR1985</f>
        <v>0</v>
      </c>
      <c r="C1993" s="107">
        <f>COPY!AC1985</f>
        <v>0</v>
      </c>
      <c r="D1993" s="107" t="str">
        <f>IF(LEN(Table1722[[#This Row],[Uraian]])&gt;2,1," ")</f>
        <v xml:space="preserve"> </v>
      </c>
      <c r="E1993" s="113" t="str">
        <f>IF(Table1722[[#This Row],[Lawan Transaksi]]="CV AGUNG KARYA",COUNTIF($I$10:I1993,"CV AGUNG KARYA")," ")</f>
        <v xml:space="preserve"> </v>
      </c>
      <c r="F1993" s="107" t="str">
        <f>IF(LEN(Table1722[[#This Row],[Uraian]])&gt;2,TRIM(RIGHT(SUBSTITUTE(TRIM(C1993)," ",REPT(" ",255)),255))," ")</f>
        <v xml:space="preserve"> </v>
      </c>
      <c r="G1993" s="110">
        <f>COPY!Z1985</f>
        <v>0</v>
      </c>
      <c r="H1993" s="111" t="str">
        <f>IFERROR(VLOOKUP(Table1722[[#This Row],[Bukti]],'Un nOTA'!$A$4:$K$5003,10,FALSE),"")</f>
        <v/>
      </c>
      <c r="I1993" s="112" t="str">
        <f>IFERROR(VLOOKUP(Table1722[[#This Row],[Bukti]],Table13[#Data],11,FALSE),"")</f>
        <v/>
      </c>
    </row>
    <row r="1994" spans="1:9" ht="19.5" hidden="1" customHeight="1" x14ac:dyDescent="0.2">
      <c r="A1994" s="105" t="str">
        <f>IF(D1994=1,COUNTIF($D$10:D1994,1)," ")</f>
        <v xml:space="preserve"> </v>
      </c>
      <c r="B1994" s="106">
        <f>COPY!AR1986</f>
        <v>0</v>
      </c>
      <c r="C1994" s="107">
        <f>COPY!AC1986</f>
        <v>0</v>
      </c>
      <c r="D1994" s="107" t="str">
        <f>IF(LEN(Table1722[[#This Row],[Uraian]])&gt;2,1," ")</f>
        <v xml:space="preserve"> </v>
      </c>
      <c r="E1994" s="113" t="str">
        <f>IF(Table1722[[#This Row],[Lawan Transaksi]]="CV AGUNG KARYA",COUNTIF($I$10:I1994,"CV AGUNG KARYA")," ")</f>
        <v xml:space="preserve"> </v>
      </c>
      <c r="F1994" s="107" t="str">
        <f>IF(LEN(Table1722[[#This Row],[Uraian]])&gt;2,TRIM(RIGHT(SUBSTITUTE(TRIM(C1994)," ",REPT(" ",255)),255))," ")</f>
        <v xml:space="preserve"> </v>
      </c>
      <c r="G1994" s="110">
        <f>COPY!Z1986</f>
        <v>0</v>
      </c>
      <c r="H1994" s="111" t="str">
        <f>IFERROR(VLOOKUP(Table1722[[#This Row],[Bukti]],'Un nOTA'!$A$4:$K$5003,10,FALSE),"")</f>
        <v/>
      </c>
      <c r="I1994" s="112" t="str">
        <f>IFERROR(VLOOKUP(Table1722[[#This Row],[Bukti]],Table13[#Data],11,FALSE),"")</f>
        <v/>
      </c>
    </row>
    <row r="1995" spans="1:9" ht="19.5" hidden="1" customHeight="1" x14ac:dyDescent="0.2">
      <c r="A1995" s="105" t="str">
        <f>IF(D1995=1,COUNTIF($D$10:D1995,1)," ")</f>
        <v xml:space="preserve"> </v>
      </c>
      <c r="B1995" s="106">
        <f>COPY!AR1987</f>
        <v>0</v>
      </c>
      <c r="C1995" s="107">
        <f>COPY!AC1987</f>
        <v>0</v>
      </c>
      <c r="D1995" s="107" t="str">
        <f>IF(LEN(Table1722[[#This Row],[Uraian]])&gt;2,1," ")</f>
        <v xml:space="preserve"> </v>
      </c>
      <c r="E1995" s="113" t="str">
        <f>IF(Table1722[[#This Row],[Lawan Transaksi]]="CV AGUNG KARYA",COUNTIF($I$10:I1995,"CV AGUNG KARYA")," ")</f>
        <v xml:space="preserve"> </v>
      </c>
      <c r="F1995" s="107" t="str">
        <f>IF(LEN(Table1722[[#This Row],[Uraian]])&gt;2,TRIM(RIGHT(SUBSTITUTE(TRIM(C1995)," ",REPT(" ",255)),255))," ")</f>
        <v xml:space="preserve"> </v>
      </c>
      <c r="G1995" s="110">
        <f>COPY!Z1987</f>
        <v>0</v>
      </c>
      <c r="H1995" s="111" t="str">
        <f>IFERROR(VLOOKUP(Table1722[[#This Row],[Bukti]],'Un nOTA'!$A$4:$K$5003,10,FALSE),"")</f>
        <v/>
      </c>
      <c r="I1995" s="112" t="str">
        <f>IFERROR(VLOOKUP(Table1722[[#This Row],[Bukti]],Table13[#Data],11,FALSE),"")</f>
        <v/>
      </c>
    </row>
    <row r="1996" spans="1:9" ht="19.5" hidden="1" customHeight="1" x14ac:dyDescent="0.2">
      <c r="A1996" s="105" t="str">
        <f>IF(D1996=1,COUNTIF($D$10:D1996,1)," ")</f>
        <v xml:space="preserve"> </v>
      </c>
      <c r="B1996" s="106">
        <f>COPY!AR1988</f>
        <v>0</v>
      </c>
      <c r="C1996" s="107">
        <f>COPY!AC1988</f>
        <v>0</v>
      </c>
      <c r="D1996" s="107" t="str">
        <f>IF(LEN(Table1722[[#This Row],[Uraian]])&gt;2,1," ")</f>
        <v xml:space="preserve"> </v>
      </c>
      <c r="E1996" s="113" t="str">
        <f>IF(Table1722[[#This Row],[Lawan Transaksi]]="CV AGUNG KARYA",COUNTIF($I$10:I1996,"CV AGUNG KARYA")," ")</f>
        <v xml:space="preserve"> </v>
      </c>
      <c r="F1996" s="107" t="str">
        <f>IF(LEN(Table1722[[#This Row],[Uraian]])&gt;2,TRIM(RIGHT(SUBSTITUTE(TRIM(C1996)," ",REPT(" ",255)),255))," ")</f>
        <v xml:space="preserve"> </v>
      </c>
      <c r="G1996" s="110">
        <f>COPY!Z1988</f>
        <v>0</v>
      </c>
      <c r="H1996" s="111" t="str">
        <f>IFERROR(VLOOKUP(Table1722[[#This Row],[Bukti]],'Un nOTA'!$A$4:$K$5003,10,FALSE),"")</f>
        <v/>
      </c>
      <c r="I1996" s="112" t="str">
        <f>IFERROR(VLOOKUP(Table1722[[#This Row],[Bukti]],Table13[#Data],11,FALSE),"")</f>
        <v/>
      </c>
    </row>
    <row r="1997" spans="1:9" ht="19.5" hidden="1" customHeight="1" x14ac:dyDescent="0.2">
      <c r="A1997" s="105" t="str">
        <f>IF(D1997=1,COUNTIF($D$10:D1997,1)," ")</f>
        <v xml:space="preserve"> </v>
      </c>
      <c r="B1997" s="106">
        <f>COPY!AR1989</f>
        <v>0</v>
      </c>
      <c r="C1997" s="107">
        <f>COPY!AC1989</f>
        <v>0</v>
      </c>
      <c r="D1997" s="107" t="str">
        <f>IF(LEN(Table1722[[#This Row],[Uraian]])&gt;2,1," ")</f>
        <v xml:space="preserve"> </v>
      </c>
      <c r="E1997" s="113" t="str">
        <f>IF(Table1722[[#This Row],[Lawan Transaksi]]="CV AGUNG KARYA",COUNTIF($I$10:I1997,"CV AGUNG KARYA")," ")</f>
        <v xml:space="preserve"> </v>
      </c>
      <c r="F1997" s="107" t="str">
        <f>IF(LEN(Table1722[[#This Row],[Uraian]])&gt;2,TRIM(RIGHT(SUBSTITUTE(TRIM(C1997)," ",REPT(" ",255)),255))," ")</f>
        <v xml:space="preserve"> </v>
      </c>
      <c r="G1997" s="110">
        <f>COPY!Z1989</f>
        <v>0</v>
      </c>
      <c r="H1997" s="111" t="str">
        <f>IFERROR(VLOOKUP(Table1722[[#This Row],[Bukti]],'Un nOTA'!$A$4:$K$5003,10,FALSE),"")</f>
        <v/>
      </c>
      <c r="I1997" s="112" t="str">
        <f>IFERROR(VLOOKUP(Table1722[[#This Row],[Bukti]],Table13[#Data],11,FALSE),"")</f>
        <v/>
      </c>
    </row>
    <row r="1998" spans="1:9" ht="19.5" hidden="1" customHeight="1" x14ac:dyDescent="0.2">
      <c r="A1998" s="105" t="str">
        <f>IF(D1998=1,COUNTIF($D$10:D1998,1)," ")</f>
        <v xml:space="preserve"> </v>
      </c>
      <c r="B1998" s="106">
        <f>COPY!AR1990</f>
        <v>0</v>
      </c>
      <c r="C1998" s="107">
        <f>COPY!AC1990</f>
        <v>0</v>
      </c>
      <c r="D1998" s="107" t="str">
        <f>IF(LEN(Table1722[[#This Row],[Uraian]])&gt;2,1," ")</f>
        <v xml:space="preserve"> </v>
      </c>
      <c r="E1998" s="113" t="str">
        <f>IF(Table1722[[#This Row],[Lawan Transaksi]]="CV AGUNG KARYA",COUNTIF($I$10:I1998,"CV AGUNG KARYA")," ")</f>
        <v xml:space="preserve"> </v>
      </c>
      <c r="F1998" s="107" t="str">
        <f>IF(LEN(Table1722[[#This Row],[Uraian]])&gt;2,TRIM(RIGHT(SUBSTITUTE(TRIM(C1998)," ",REPT(" ",255)),255))," ")</f>
        <v xml:space="preserve"> </v>
      </c>
      <c r="G1998" s="110">
        <f>COPY!Z1990</f>
        <v>0</v>
      </c>
      <c r="H1998" s="111" t="str">
        <f>IFERROR(VLOOKUP(Table1722[[#This Row],[Bukti]],'Un nOTA'!$A$4:$K$5003,10,FALSE),"")</f>
        <v/>
      </c>
      <c r="I1998" s="112" t="str">
        <f>IFERROR(VLOOKUP(Table1722[[#This Row],[Bukti]],Table13[#Data],11,FALSE),"")</f>
        <v/>
      </c>
    </row>
    <row r="1999" spans="1:9" ht="19.5" hidden="1" customHeight="1" x14ac:dyDescent="0.2">
      <c r="A1999" s="105" t="str">
        <f>IF(D1999=1,COUNTIF($D$10:D1999,1)," ")</f>
        <v xml:space="preserve"> </v>
      </c>
      <c r="B1999" s="106">
        <f>COPY!AR1991</f>
        <v>0</v>
      </c>
      <c r="C1999" s="107">
        <f>COPY!AC1991</f>
        <v>0</v>
      </c>
      <c r="D1999" s="107" t="str">
        <f>IF(LEN(Table1722[[#This Row],[Uraian]])&gt;2,1," ")</f>
        <v xml:space="preserve"> </v>
      </c>
      <c r="E1999" s="113" t="str">
        <f>IF(Table1722[[#This Row],[Lawan Transaksi]]="CV AGUNG KARYA",COUNTIF($I$10:I1999,"CV AGUNG KARYA")," ")</f>
        <v xml:space="preserve"> </v>
      </c>
      <c r="F1999" s="107" t="str">
        <f>IF(LEN(Table1722[[#This Row],[Uraian]])&gt;2,TRIM(RIGHT(SUBSTITUTE(TRIM(C1999)," ",REPT(" ",255)),255))," ")</f>
        <v xml:space="preserve"> </v>
      </c>
      <c r="G1999" s="110">
        <f>COPY!Z1991</f>
        <v>0</v>
      </c>
      <c r="H1999" s="111" t="str">
        <f>IFERROR(VLOOKUP(Table1722[[#This Row],[Bukti]],'Un nOTA'!$A$4:$K$5003,10,FALSE),"")</f>
        <v/>
      </c>
      <c r="I1999" s="112" t="str">
        <f>IFERROR(VLOOKUP(Table1722[[#This Row],[Bukti]],Table13[#Data],11,FALSE),"")</f>
        <v/>
      </c>
    </row>
    <row r="2000" spans="1:9" ht="19.5" hidden="1" customHeight="1" x14ac:dyDescent="0.2">
      <c r="A2000" s="105" t="str">
        <f>IF(D2000=1,COUNTIF($D$10:D2000,1)," ")</f>
        <v xml:space="preserve"> </v>
      </c>
      <c r="B2000" s="106">
        <f>COPY!AR1992</f>
        <v>0</v>
      </c>
      <c r="C2000" s="107">
        <f>COPY!AC1992</f>
        <v>0</v>
      </c>
      <c r="D2000" s="107" t="str">
        <f>IF(LEN(Table1722[[#This Row],[Uraian]])&gt;2,1," ")</f>
        <v xml:space="preserve"> </v>
      </c>
      <c r="E2000" s="113" t="str">
        <f>IF(Table1722[[#This Row],[Lawan Transaksi]]="CV AGUNG KARYA",COUNTIF($I$10:I2000,"CV AGUNG KARYA")," ")</f>
        <v xml:space="preserve"> </v>
      </c>
      <c r="F2000" s="107" t="str">
        <f>IF(LEN(Table1722[[#This Row],[Uraian]])&gt;2,TRIM(RIGHT(SUBSTITUTE(TRIM(C2000)," ",REPT(" ",255)),255))," ")</f>
        <v xml:space="preserve"> </v>
      </c>
      <c r="G2000" s="110">
        <f>COPY!Z1992</f>
        <v>0</v>
      </c>
      <c r="H2000" s="111" t="str">
        <f>IFERROR(VLOOKUP(Table1722[[#This Row],[Bukti]],'Un nOTA'!$A$4:$K$5003,10,FALSE),"")</f>
        <v/>
      </c>
      <c r="I2000" s="112" t="str">
        <f>IFERROR(VLOOKUP(Table1722[[#This Row],[Bukti]],Table13[#Data],11,FALSE),"")</f>
        <v/>
      </c>
    </row>
    <row r="2001" spans="1:9" ht="19.5" hidden="1" customHeight="1" x14ac:dyDescent="0.2">
      <c r="A2001" s="105" t="str">
        <f>IF(D2001=1,COUNTIF($D$10:D2001,1)," ")</f>
        <v xml:space="preserve"> </v>
      </c>
      <c r="B2001" s="106">
        <f>COPY!AR1993</f>
        <v>0</v>
      </c>
      <c r="C2001" s="107">
        <f>COPY!AC1993</f>
        <v>0</v>
      </c>
      <c r="D2001" s="107" t="str">
        <f>IF(LEN(Table1722[[#This Row],[Uraian]])&gt;2,1," ")</f>
        <v xml:space="preserve"> </v>
      </c>
      <c r="E2001" s="113" t="str">
        <f>IF(Table1722[[#This Row],[Lawan Transaksi]]="CV AGUNG KARYA",COUNTIF($I$10:I2001,"CV AGUNG KARYA")," ")</f>
        <v xml:space="preserve"> </v>
      </c>
      <c r="F2001" s="107" t="str">
        <f>IF(LEN(Table1722[[#This Row],[Uraian]])&gt;2,TRIM(RIGHT(SUBSTITUTE(TRIM(C2001)," ",REPT(" ",255)),255))," ")</f>
        <v xml:space="preserve"> </v>
      </c>
      <c r="G2001" s="110">
        <f>COPY!Z1993</f>
        <v>0</v>
      </c>
      <c r="H2001" s="111" t="str">
        <f>IFERROR(VLOOKUP(Table1722[[#This Row],[Bukti]],'Un nOTA'!$A$4:$K$5003,10,FALSE),"")</f>
        <v/>
      </c>
      <c r="I2001" s="112" t="str">
        <f>IFERROR(VLOOKUP(Table1722[[#This Row],[Bukti]],Table13[#Data],11,FALSE),"")</f>
        <v/>
      </c>
    </row>
    <row r="2002" spans="1:9" ht="19.5" hidden="1" customHeight="1" x14ac:dyDescent="0.2">
      <c r="A2002" s="105" t="str">
        <f>IF(D2002=1,COUNTIF($D$10:D2002,1)," ")</f>
        <v xml:space="preserve"> </v>
      </c>
      <c r="B2002" s="106">
        <f>COPY!AR1994</f>
        <v>0</v>
      </c>
      <c r="C2002" s="107">
        <f>COPY!AC1994</f>
        <v>0</v>
      </c>
      <c r="D2002" s="107" t="str">
        <f>IF(LEN(Table1722[[#This Row],[Uraian]])&gt;2,1," ")</f>
        <v xml:space="preserve"> </v>
      </c>
      <c r="E2002" s="113" t="str">
        <f>IF(Table1722[[#This Row],[Lawan Transaksi]]="CV AGUNG KARYA",COUNTIF($I$10:I2002,"CV AGUNG KARYA")," ")</f>
        <v xml:space="preserve"> </v>
      </c>
      <c r="F2002" s="107" t="str">
        <f>IF(LEN(Table1722[[#This Row],[Uraian]])&gt;2,TRIM(RIGHT(SUBSTITUTE(TRIM(C2002)," ",REPT(" ",255)),255))," ")</f>
        <v xml:space="preserve"> </v>
      </c>
      <c r="G2002" s="110">
        <f>COPY!Z1994</f>
        <v>0</v>
      </c>
      <c r="H2002" s="111" t="str">
        <f>IFERROR(VLOOKUP(Table1722[[#This Row],[Bukti]],'Un nOTA'!$A$4:$K$5003,10,FALSE),"")</f>
        <v/>
      </c>
      <c r="I2002" s="112" t="str">
        <f>IFERROR(VLOOKUP(Table1722[[#This Row],[Bukti]],Table13[#Data],11,FALSE),"")</f>
        <v/>
      </c>
    </row>
    <row r="2003" spans="1:9" ht="19.5" hidden="1" customHeight="1" x14ac:dyDescent="0.2">
      <c r="A2003" s="105" t="str">
        <f>IF(D2003=1,COUNTIF($D$10:D2003,1)," ")</f>
        <v xml:space="preserve"> </v>
      </c>
      <c r="B2003" s="106">
        <f>COPY!AR1995</f>
        <v>0</v>
      </c>
      <c r="C2003" s="107">
        <f>COPY!AC1995</f>
        <v>0</v>
      </c>
      <c r="D2003" s="107" t="str">
        <f>IF(LEN(Table1722[[#This Row],[Uraian]])&gt;2,1," ")</f>
        <v xml:space="preserve"> </v>
      </c>
      <c r="E2003" s="113" t="str">
        <f>IF(Table1722[[#This Row],[Lawan Transaksi]]="CV AGUNG KARYA",COUNTIF($I$10:I2003,"CV AGUNG KARYA")," ")</f>
        <v xml:space="preserve"> </v>
      </c>
      <c r="F2003" s="107" t="str">
        <f>IF(LEN(Table1722[[#This Row],[Uraian]])&gt;2,TRIM(RIGHT(SUBSTITUTE(TRIM(C2003)," ",REPT(" ",255)),255))," ")</f>
        <v xml:space="preserve"> </v>
      </c>
      <c r="G2003" s="110">
        <f>COPY!Z1995</f>
        <v>0</v>
      </c>
      <c r="H2003" s="111" t="str">
        <f>IFERROR(VLOOKUP(Table1722[[#This Row],[Bukti]],'Un nOTA'!$A$4:$K$5003,10,FALSE),"")</f>
        <v/>
      </c>
      <c r="I2003" s="112" t="str">
        <f>IFERROR(VLOOKUP(Table1722[[#This Row],[Bukti]],Table13[#Data],11,FALSE),"")</f>
        <v/>
      </c>
    </row>
    <row r="2004" spans="1:9" ht="19.5" hidden="1" customHeight="1" x14ac:dyDescent="0.2">
      <c r="A2004" s="105" t="str">
        <f>IF(D2004=1,COUNTIF($D$10:D2004,1)," ")</f>
        <v xml:space="preserve"> </v>
      </c>
      <c r="B2004" s="106">
        <f>COPY!AR1996</f>
        <v>0</v>
      </c>
      <c r="C2004" s="107">
        <f>COPY!AC1996</f>
        <v>0</v>
      </c>
      <c r="D2004" s="107" t="str">
        <f>IF(LEN(Table1722[[#This Row],[Uraian]])&gt;2,1," ")</f>
        <v xml:space="preserve"> </v>
      </c>
      <c r="E2004" s="113" t="str">
        <f>IF(Table1722[[#This Row],[Lawan Transaksi]]="CV AGUNG KARYA",COUNTIF($I$10:I2004,"CV AGUNG KARYA")," ")</f>
        <v xml:space="preserve"> </v>
      </c>
      <c r="F2004" s="107" t="str">
        <f>IF(LEN(Table1722[[#This Row],[Uraian]])&gt;2,TRIM(RIGHT(SUBSTITUTE(TRIM(C2004)," ",REPT(" ",255)),255))," ")</f>
        <v xml:space="preserve"> </v>
      </c>
      <c r="G2004" s="110">
        <f>COPY!Z1996</f>
        <v>0</v>
      </c>
      <c r="H2004" s="111" t="str">
        <f>IFERROR(VLOOKUP(Table1722[[#This Row],[Bukti]],'Un nOTA'!$A$4:$K$5003,10,FALSE),"")</f>
        <v/>
      </c>
      <c r="I2004" s="112" t="str">
        <f>IFERROR(VLOOKUP(Table1722[[#This Row],[Bukti]],Table13[#Data],11,FALSE),"")</f>
        <v/>
      </c>
    </row>
    <row r="2005" spans="1:9" ht="19.5" hidden="1" customHeight="1" x14ac:dyDescent="0.2">
      <c r="A2005" s="105" t="str">
        <f>IF(D2005=1,COUNTIF($D$10:D2005,1)," ")</f>
        <v xml:space="preserve"> </v>
      </c>
      <c r="B2005" s="106">
        <f>COPY!AR1997</f>
        <v>0</v>
      </c>
      <c r="C2005" s="107">
        <f>COPY!AC1997</f>
        <v>0</v>
      </c>
      <c r="D2005" s="107" t="str">
        <f>IF(LEN(Table1722[[#This Row],[Uraian]])&gt;2,1," ")</f>
        <v xml:space="preserve"> </v>
      </c>
      <c r="E2005" s="113" t="str">
        <f>IF(Table1722[[#This Row],[Lawan Transaksi]]="CV AGUNG KARYA",COUNTIF($I$10:I2005,"CV AGUNG KARYA")," ")</f>
        <v xml:space="preserve"> </v>
      </c>
      <c r="F2005" s="107" t="str">
        <f>IF(LEN(Table1722[[#This Row],[Uraian]])&gt;2,TRIM(RIGHT(SUBSTITUTE(TRIM(C2005)," ",REPT(" ",255)),255))," ")</f>
        <v xml:space="preserve"> </v>
      </c>
      <c r="G2005" s="110">
        <f>COPY!Z1997</f>
        <v>0</v>
      </c>
      <c r="H2005" s="111" t="str">
        <f>IFERROR(VLOOKUP(Table1722[[#This Row],[Bukti]],'Un nOTA'!$A$4:$K$5003,10,FALSE),"")</f>
        <v/>
      </c>
      <c r="I2005" s="112" t="str">
        <f>IFERROR(VLOOKUP(Table1722[[#This Row],[Bukti]],Table13[#Data],11,FALSE),"")</f>
        <v/>
      </c>
    </row>
    <row r="2006" spans="1:9" ht="19.5" hidden="1" customHeight="1" x14ac:dyDescent="0.2">
      <c r="A2006" s="105" t="str">
        <f>IF(D2006=1,COUNTIF($D$10:D2006,1)," ")</f>
        <v xml:space="preserve"> </v>
      </c>
      <c r="B2006" s="106">
        <f>COPY!AR1998</f>
        <v>0</v>
      </c>
      <c r="C2006" s="107">
        <f>COPY!AC1998</f>
        <v>0</v>
      </c>
      <c r="D2006" s="107" t="str">
        <f>IF(LEN(Table1722[[#This Row],[Uraian]])&gt;2,1," ")</f>
        <v xml:space="preserve"> </v>
      </c>
      <c r="E2006" s="113" t="str">
        <f>IF(Table1722[[#This Row],[Lawan Transaksi]]="CV AGUNG KARYA",COUNTIF($I$10:I2006,"CV AGUNG KARYA")," ")</f>
        <v xml:space="preserve"> </v>
      </c>
      <c r="F2006" s="107" t="str">
        <f>IF(LEN(Table1722[[#This Row],[Uraian]])&gt;2,TRIM(RIGHT(SUBSTITUTE(TRIM(C2006)," ",REPT(" ",255)),255))," ")</f>
        <v xml:space="preserve"> </v>
      </c>
      <c r="G2006" s="110">
        <f>COPY!Z1998</f>
        <v>0</v>
      </c>
      <c r="H2006" s="111" t="str">
        <f>IFERROR(VLOOKUP(Table1722[[#This Row],[Bukti]],'Un nOTA'!$A$4:$K$5003,10,FALSE),"")</f>
        <v/>
      </c>
      <c r="I2006" s="112" t="str">
        <f>IFERROR(VLOOKUP(Table1722[[#This Row],[Bukti]],Table13[#Data],11,FALSE),"")</f>
        <v/>
      </c>
    </row>
    <row r="2007" spans="1:9" ht="19.5" hidden="1" customHeight="1" x14ac:dyDescent="0.2">
      <c r="A2007" s="105" t="str">
        <f>IF(D2007=1,COUNTIF($D$10:D2007,1)," ")</f>
        <v xml:space="preserve"> </v>
      </c>
      <c r="B2007" s="106">
        <f>COPY!AR1999</f>
        <v>0</v>
      </c>
      <c r="C2007" s="107">
        <f>COPY!AC1999</f>
        <v>0</v>
      </c>
      <c r="D2007" s="107" t="str">
        <f>IF(LEN(Table1722[[#This Row],[Uraian]])&gt;2,1," ")</f>
        <v xml:space="preserve"> </v>
      </c>
      <c r="E2007" s="113" t="str">
        <f>IF(Table1722[[#This Row],[Lawan Transaksi]]="CV AGUNG KARYA",COUNTIF($I$10:I2007,"CV AGUNG KARYA")," ")</f>
        <v xml:space="preserve"> </v>
      </c>
      <c r="F2007" s="107" t="str">
        <f>IF(LEN(Table1722[[#This Row],[Uraian]])&gt;2,TRIM(RIGHT(SUBSTITUTE(TRIM(C2007)," ",REPT(" ",255)),255))," ")</f>
        <v xml:space="preserve"> </v>
      </c>
      <c r="G2007" s="110">
        <f>COPY!Z1999</f>
        <v>0</v>
      </c>
      <c r="H2007" s="111" t="str">
        <f>IFERROR(VLOOKUP(Table1722[[#This Row],[Bukti]],'Un nOTA'!$A$4:$K$5003,10,FALSE),"")</f>
        <v/>
      </c>
      <c r="I2007" s="112" t="str">
        <f>IFERROR(VLOOKUP(Table1722[[#This Row],[Bukti]],Table13[#Data],11,FALSE),"")</f>
        <v/>
      </c>
    </row>
    <row r="2008" spans="1:9" ht="19.5" hidden="1" customHeight="1" x14ac:dyDescent="0.2">
      <c r="A2008" s="105" t="str">
        <f>IF(D2008=1,COUNTIF($D$10:D2008,1)," ")</f>
        <v xml:space="preserve"> </v>
      </c>
      <c r="B2008" s="106">
        <f>COPY!AR2000</f>
        <v>0</v>
      </c>
      <c r="C2008" s="107">
        <f>COPY!AC2000</f>
        <v>0</v>
      </c>
      <c r="D2008" s="107" t="str">
        <f>IF(LEN(Table1722[[#This Row],[Uraian]])&gt;2,1," ")</f>
        <v xml:space="preserve"> </v>
      </c>
      <c r="E2008" s="113" t="str">
        <f>IF(Table1722[[#This Row],[Lawan Transaksi]]="CV AGUNG KARYA",COUNTIF($I$10:I2008,"CV AGUNG KARYA")," ")</f>
        <v xml:space="preserve"> </v>
      </c>
      <c r="F2008" s="107" t="str">
        <f>IF(LEN(Table1722[[#This Row],[Uraian]])&gt;2,TRIM(RIGHT(SUBSTITUTE(TRIM(C2008)," ",REPT(" ",255)),255))," ")</f>
        <v xml:space="preserve"> </v>
      </c>
      <c r="G2008" s="110">
        <f>COPY!Z2000</f>
        <v>0</v>
      </c>
      <c r="H2008" s="111" t="str">
        <f>IFERROR(VLOOKUP(Table1722[[#This Row],[Bukti]],'Un nOTA'!$A$4:$K$5003,10,FALSE),"")</f>
        <v/>
      </c>
      <c r="I2008" s="112" t="str">
        <f>IFERROR(VLOOKUP(Table1722[[#This Row],[Bukti]],Table13[#Data],11,FALSE),"")</f>
        <v/>
      </c>
    </row>
    <row r="2009" spans="1:9" ht="19.5" hidden="1" customHeight="1" x14ac:dyDescent="0.2">
      <c r="A2009" s="105" t="str">
        <f>IF(D2009=1,COUNTIF($D$10:D2009,1)," ")</f>
        <v xml:space="preserve"> </v>
      </c>
      <c r="B2009" s="106">
        <f>COPY!AR2001</f>
        <v>0</v>
      </c>
      <c r="C2009" s="107">
        <f>COPY!AC2001</f>
        <v>0</v>
      </c>
      <c r="D2009" s="107" t="str">
        <f>IF(LEN(Table1722[[#This Row],[Uraian]])&gt;2,1," ")</f>
        <v xml:space="preserve"> </v>
      </c>
      <c r="E2009" s="113" t="str">
        <f>IF(Table1722[[#This Row],[Lawan Transaksi]]="CV AGUNG KARYA",COUNTIF($I$10:I2009,"CV AGUNG KARYA")," ")</f>
        <v xml:space="preserve"> </v>
      </c>
      <c r="F2009" s="107" t="str">
        <f>IF(LEN(Table1722[[#This Row],[Uraian]])&gt;2,TRIM(RIGHT(SUBSTITUTE(TRIM(C2009)," ",REPT(" ",255)),255))," ")</f>
        <v xml:space="preserve"> </v>
      </c>
      <c r="G2009" s="110">
        <f>COPY!Z2001</f>
        <v>0</v>
      </c>
      <c r="H2009" s="111" t="str">
        <f>IFERROR(VLOOKUP(Table1722[[#This Row],[Bukti]],'Un nOTA'!$A$4:$K$5003,10,FALSE),"")</f>
        <v/>
      </c>
      <c r="I2009" s="112" t="str">
        <f>IFERROR(VLOOKUP(Table1722[[#This Row],[Bukti]],Table13[#Data],11,FALSE),"")</f>
        <v/>
      </c>
    </row>
    <row r="2010" spans="1:9" ht="19.5" hidden="1" customHeight="1" x14ac:dyDescent="0.2">
      <c r="A2010" s="105" t="str">
        <f>IF(D2010=1,COUNTIF($D$10:D2010,1)," ")</f>
        <v xml:space="preserve"> </v>
      </c>
      <c r="B2010" s="106">
        <f>COPY!AR2002</f>
        <v>0</v>
      </c>
      <c r="C2010" s="107">
        <f>COPY!AC2002</f>
        <v>0</v>
      </c>
      <c r="D2010" s="107" t="str">
        <f>IF(LEN(Table1722[[#This Row],[Uraian]])&gt;2,1," ")</f>
        <v xml:space="preserve"> </v>
      </c>
      <c r="E2010" s="113" t="str">
        <f>IF(Table1722[[#This Row],[Lawan Transaksi]]="CV AGUNG KARYA",COUNTIF($I$10:I2010,"CV AGUNG KARYA")," ")</f>
        <v xml:space="preserve"> </v>
      </c>
      <c r="F2010" s="107" t="str">
        <f>IF(LEN(Table1722[[#This Row],[Uraian]])&gt;2,TRIM(RIGHT(SUBSTITUTE(TRIM(C2010)," ",REPT(" ",255)),255))," ")</f>
        <v xml:space="preserve"> </v>
      </c>
      <c r="G2010" s="110">
        <f>COPY!Z2002</f>
        <v>0</v>
      </c>
      <c r="H2010" s="111" t="str">
        <f>IFERROR(VLOOKUP(Table1722[[#This Row],[Bukti]],'Un nOTA'!$A$4:$K$5003,10,FALSE),"")</f>
        <v/>
      </c>
      <c r="I2010" s="112" t="str">
        <f>IFERROR(VLOOKUP(Table1722[[#This Row],[Bukti]],Table13[#Data],11,FALSE),"")</f>
        <v/>
      </c>
    </row>
    <row r="2011" spans="1:9" ht="19.5" hidden="1" customHeight="1" x14ac:dyDescent="0.2">
      <c r="A2011" s="105" t="str">
        <f>IF(D2011=1,COUNTIF($D$10:D2011,1)," ")</f>
        <v xml:space="preserve"> </v>
      </c>
      <c r="B2011" s="106">
        <f>COPY!AR2003</f>
        <v>0</v>
      </c>
      <c r="C2011" s="107">
        <f>COPY!AC2003</f>
        <v>0</v>
      </c>
      <c r="D2011" s="107" t="str">
        <f>IF(LEN(Table1722[[#This Row],[Uraian]])&gt;2,1," ")</f>
        <v xml:space="preserve"> </v>
      </c>
      <c r="E2011" s="113" t="str">
        <f>IF(Table1722[[#This Row],[Lawan Transaksi]]="CV AGUNG KARYA",COUNTIF($I$10:I2011,"CV AGUNG KARYA")," ")</f>
        <v xml:space="preserve"> </v>
      </c>
      <c r="F2011" s="107" t="str">
        <f>IF(LEN(Table1722[[#This Row],[Uraian]])&gt;2,TRIM(RIGHT(SUBSTITUTE(TRIM(C2011)," ",REPT(" ",255)),255))," ")</f>
        <v xml:space="preserve"> </v>
      </c>
      <c r="G2011" s="110">
        <f>COPY!Z2003</f>
        <v>0</v>
      </c>
      <c r="H2011" s="111" t="str">
        <f>IFERROR(VLOOKUP(Table1722[[#This Row],[Bukti]],'Un nOTA'!$A$4:$K$5003,10,FALSE),"")</f>
        <v/>
      </c>
      <c r="I2011" s="112" t="str">
        <f>IFERROR(VLOOKUP(Table1722[[#This Row],[Bukti]],Table13[#Data],11,FALSE),"")</f>
        <v/>
      </c>
    </row>
    <row r="2012" spans="1:9" ht="19.5" hidden="1" customHeight="1" x14ac:dyDescent="0.2">
      <c r="A2012" s="105" t="str">
        <f>IF(D2012=1,COUNTIF($D$10:D2012,1)," ")</f>
        <v xml:space="preserve"> </v>
      </c>
      <c r="B2012" s="106">
        <f>COPY!AR2004</f>
        <v>0</v>
      </c>
      <c r="C2012" s="107">
        <f>COPY!AC2004</f>
        <v>0</v>
      </c>
      <c r="D2012" s="107" t="str">
        <f>IF(LEN(Table1722[[#This Row],[Uraian]])&gt;2,1," ")</f>
        <v xml:space="preserve"> </v>
      </c>
      <c r="E2012" s="113" t="str">
        <f>IF(Table1722[[#This Row],[Lawan Transaksi]]="CV AGUNG KARYA",COUNTIF($I$10:I2012,"CV AGUNG KARYA")," ")</f>
        <v xml:space="preserve"> </v>
      </c>
      <c r="F2012" s="107" t="str">
        <f>IF(LEN(Table1722[[#This Row],[Uraian]])&gt;2,TRIM(RIGHT(SUBSTITUTE(TRIM(C2012)," ",REPT(" ",255)),255))," ")</f>
        <v xml:space="preserve"> </v>
      </c>
      <c r="G2012" s="110">
        <f>COPY!Z2004</f>
        <v>0</v>
      </c>
      <c r="H2012" s="111" t="str">
        <f>IFERROR(VLOOKUP(Table1722[[#This Row],[Bukti]],'Un nOTA'!$A$4:$K$5003,10,FALSE),"")</f>
        <v/>
      </c>
      <c r="I2012" s="112" t="str">
        <f>IFERROR(VLOOKUP(Table1722[[#This Row],[Bukti]],Table13[#Data],11,FALSE),"")</f>
        <v/>
      </c>
    </row>
    <row r="2013" spans="1:9" ht="19.5" hidden="1" customHeight="1" x14ac:dyDescent="0.2">
      <c r="A2013" s="105" t="str">
        <f>IF(D2013=1,COUNTIF($D$10:D2013,1)," ")</f>
        <v xml:space="preserve"> </v>
      </c>
      <c r="B2013" s="106">
        <f>COPY!AR2005</f>
        <v>0</v>
      </c>
      <c r="C2013" s="107">
        <f>COPY!AC2005</f>
        <v>0</v>
      </c>
      <c r="D2013" s="107" t="str">
        <f>IF(LEN(Table1722[[#This Row],[Uraian]])&gt;2,1," ")</f>
        <v xml:space="preserve"> </v>
      </c>
      <c r="E2013" s="113" t="str">
        <f>IF(Table1722[[#This Row],[Lawan Transaksi]]="CV AGUNG KARYA",COUNTIF($I$10:I2013,"CV AGUNG KARYA")," ")</f>
        <v xml:space="preserve"> </v>
      </c>
      <c r="F2013" s="107" t="str">
        <f>IF(LEN(Table1722[[#This Row],[Uraian]])&gt;2,TRIM(RIGHT(SUBSTITUTE(TRIM(C2013)," ",REPT(" ",255)),255))," ")</f>
        <v xml:space="preserve"> </v>
      </c>
      <c r="G2013" s="110">
        <f>COPY!Z2005</f>
        <v>0</v>
      </c>
      <c r="H2013" s="111" t="str">
        <f>IFERROR(VLOOKUP(Table1722[[#This Row],[Bukti]],'Un nOTA'!$A$4:$K$5003,10,FALSE),"")</f>
        <v/>
      </c>
      <c r="I2013" s="112" t="str">
        <f>IFERROR(VLOOKUP(Table1722[[#This Row],[Bukti]],Table13[#Data],11,FALSE),"")</f>
        <v/>
      </c>
    </row>
    <row r="2014" spans="1:9" ht="19.5" hidden="1" customHeight="1" x14ac:dyDescent="0.2">
      <c r="A2014" s="105" t="str">
        <f>IF(D2014=1,COUNTIF($D$10:D2014,1)," ")</f>
        <v xml:space="preserve"> </v>
      </c>
      <c r="B2014" s="106">
        <f>COPY!AR2006</f>
        <v>0</v>
      </c>
      <c r="C2014" s="107">
        <f>COPY!AC2006</f>
        <v>0</v>
      </c>
      <c r="D2014" s="107" t="str">
        <f>IF(LEN(Table1722[[#This Row],[Uraian]])&gt;2,1," ")</f>
        <v xml:space="preserve"> </v>
      </c>
      <c r="E2014" s="113" t="str">
        <f>IF(Table1722[[#This Row],[Lawan Transaksi]]="CV AGUNG KARYA",COUNTIF($I$10:I2014,"CV AGUNG KARYA")," ")</f>
        <v xml:space="preserve"> </v>
      </c>
      <c r="F2014" s="107" t="str">
        <f>IF(LEN(Table1722[[#This Row],[Uraian]])&gt;2,TRIM(RIGHT(SUBSTITUTE(TRIM(C2014)," ",REPT(" ",255)),255))," ")</f>
        <v xml:space="preserve"> </v>
      </c>
      <c r="G2014" s="110">
        <f>COPY!Z2006</f>
        <v>0</v>
      </c>
      <c r="H2014" s="111" t="str">
        <f>IFERROR(VLOOKUP(Table1722[[#This Row],[Bukti]],'Un nOTA'!$A$4:$K$5003,10,FALSE),"")</f>
        <v/>
      </c>
      <c r="I2014" s="112" t="str">
        <f>IFERROR(VLOOKUP(Table1722[[#This Row],[Bukti]],Table13[#Data],11,FALSE),"")</f>
        <v/>
      </c>
    </row>
    <row r="2015" spans="1:9" ht="19.5" hidden="1" customHeight="1" x14ac:dyDescent="0.2">
      <c r="A2015" s="105" t="str">
        <f>IF(D2015=1,COUNTIF($D$10:D2015,1)," ")</f>
        <v xml:space="preserve"> </v>
      </c>
      <c r="B2015" s="106">
        <f>COPY!AR2007</f>
        <v>0</v>
      </c>
      <c r="C2015" s="107">
        <f>COPY!AC2007</f>
        <v>0</v>
      </c>
      <c r="D2015" s="107" t="str">
        <f>IF(LEN(Table1722[[#This Row],[Uraian]])&gt;2,1," ")</f>
        <v xml:space="preserve"> </v>
      </c>
      <c r="E2015" s="113" t="str">
        <f>IF(Table1722[[#This Row],[Lawan Transaksi]]="CV AGUNG KARYA",COUNTIF($I$10:I2015,"CV AGUNG KARYA")," ")</f>
        <v xml:space="preserve"> </v>
      </c>
      <c r="F2015" s="107" t="str">
        <f>IF(LEN(Table1722[[#This Row],[Uraian]])&gt;2,TRIM(RIGHT(SUBSTITUTE(TRIM(C2015)," ",REPT(" ",255)),255))," ")</f>
        <v xml:space="preserve"> </v>
      </c>
      <c r="G2015" s="110">
        <f>COPY!Z2007</f>
        <v>0</v>
      </c>
      <c r="H2015" s="111" t="str">
        <f>IFERROR(VLOOKUP(Table1722[[#This Row],[Bukti]],'Un nOTA'!$A$4:$K$5003,10,FALSE),"")</f>
        <v/>
      </c>
      <c r="I2015" s="112" t="str">
        <f>IFERROR(VLOOKUP(Table1722[[#This Row],[Bukti]],Table13[#Data],11,FALSE),"")</f>
        <v/>
      </c>
    </row>
    <row r="2016" spans="1:9" ht="19.5" hidden="1" customHeight="1" x14ac:dyDescent="0.2">
      <c r="A2016" s="105" t="str">
        <f>IF(D2016=1,COUNTIF($D$10:D2016,1)," ")</f>
        <v xml:space="preserve"> </v>
      </c>
      <c r="B2016" s="106">
        <f>COPY!AR2008</f>
        <v>0</v>
      </c>
      <c r="C2016" s="107">
        <f>COPY!AC2008</f>
        <v>0</v>
      </c>
      <c r="D2016" s="107" t="str">
        <f>IF(LEN(Table1722[[#This Row],[Uraian]])&gt;2,1," ")</f>
        <v xml:space="preserve"> </v>
      </c>
      <c r="E2016" s="113" t="str">
        <f>IF(Table1722[[#This Row],[Lawan Transaksi]]="CV AGUNG KARYA",COUNTIF($I$10:I2016,"CV AGUNG KARYA")," ")</f>
        <v xml:space="preserve"> </v>
      </c>
      <c r="F2016" s="107" t="str">
        <f>IF(LEN(Table1722[[#This Row],[Uraian]])&gt;2,TRIM(RIGHT(SUBSTITUTE(TRIM(C2016)," ",REPT(" ",255)),255))," ")</f>
        <v xml:space="preserve"> </v>
      </c>
      <c r="G2016" s="110">
        <f>COPY!Z2008</f>
        <v>0</v>
      </c>
      <c r="H2016" s="111" t="str">
        <f>IFERROR(VLOOKUP(Table1722[[#This Row],[Bukti]],'Un nOTA'!$A$4:$K$5003,10,FALSE),"")</f>
        <v/>
      </c>
      <c r="I2016" s="112" t="str">
        <f>IFERROR(VLOOKUP(Table1722[[#This Row],[Bukti]],Table13[#Data],11,FALSE),"")</f>
        <v/>
      </c>
    </row>
    <row r="2017" spans="1:9" ht="19.5" hidden="1" customHeight="1" x14ac:dyDescent="0.2">
      <c r="A2017" s="105" t="str">
        <f>IF(D2017=1,COUNTIF($D$10:D2017,1)," ")</f>
        <v xml:space="preserve"> </v>
      </c>
      <c r="B2017" s="106">
        <f>COPY!AR2009</f>
        <v>0</v>
      </c>
      <c r="C2017" s="107">
        <f>COPY!AC2009</f>
        <v>0</v>
      </c>
      <c r="D2017" s="107" t="str">
        <f>IF(LEN(Table1722[[#This Row],[Uraian]])&gt;2,1," ")</f>
        <v xml:space="preserve"> </v>
      </c>
      <c r="E2017" s="113" t="str">
        <f>IF(Table1722[[#This Row],[Lawan Transaksi]]="CV AGUNG KARYA",COUNTIF($I$10:I2017,"CV AGUNG KARYA")," ")</f>
        <v xml:space="preserve"> </v>
      </c>
      <c r="F2017" s="107" t="str">
        <f>IF(LEN(Table1722[[#This Row],[Uraian]])&gt;2,TRIM(RIGHT(SUBSTITUTE(TRIM(C2017)," ",REPT(" ",255)),255))," ")</f>
        <v xml:space="preserve"> </v>
      </c>
      <c r="G2017" s="110">
        <f>COPY!Z2009</f>
        <v>0</v>
      </c>
      <c r="H2017" s="111" t="str">
        <f>IFERROR(VLOOKUP(Table1722[[#This Row],[Bukti]],'Un nOTA'!$A$4:$K$5003,10,FALSE),"")</f>
        <v/>
      </c>
      <c r="I2017" s="112" t="str">
        <f>IFERROR(VLOOKUP(Table1722[[#This Row],[Bukti]],Table13[#Data],11,FALSE),"")</f>
        <v/>
      </c>
    </row>
    <row r="2018" spans="1:9" ht="19.5" hidden="1" customHeight="1" x14ac:dyDescent="0.2">
      <c r="A2018" s="105" t="str">
        <f>IF(D2018=1,COUNTIF($D$10:D2018,1)," ")</f>
        <v xml:space="preserve"> </v>
      </c>
      <c r="B2018" s="106">
        <f>COPY!AR2010</f>
        <v>0</v>
      </c>
      <c r="C2018" s="107">
        <f>COPY!AC2010</f>
        <v>0</v>
      </c>
      <c r="D2018" s="107" t="str">
        <f>IF(LEN(Table1722[[#This Row],[Uraian]])&gt;2,1," ")</f>
        <v xml:space="preserve"> </v>
      </c>
      <c r="E2018" s="113" t="str">
        <f>IF(Table1722[[#This Row],[Lawan Transaksi]]="CV AGUNG KARYA",COUNTIF($I$10:I2018,"CV AGUNG KARYA")," ")</f>
        <v xml:space="preserve"> </v>
      </c>
      <c r="F2018" s="107" t="str">
        <f>IF(LEN(Table1722[[#This Row],[Uraian]])&gt;2,TRIM(RIGHT(SUBSTITUTE(TRIM(C2018)," ",REPT(" ",255)),255))," ")</f>
        <v xml:space="preserve"> </v>
      </c>
      <c r="G2018" s="110">
        <f>COPY!Z2010</f>
        <v>0</v>
      </c>
      <c r="H2018" s="111" t="str">
        <f>IFERROR(VLOOKUP(Table1722[[#This Row],[Bukti]],'Un nOTA'!$A$4:$K$5003,10,FALSE),"")</f>
        <v/>
      </c>
      <c r="I2018" s="112" t="str">
        <f>IFERROR(VLOOKUP(Table1722[[#This Row],[Bukti]],Table13[#Data],11,FALSE),"")</f>
        <v/>
      </c>
    </row>
    <row r="2019" spans="1:9" ht="19.5" hidden="1" customHeight="1" x14ac:dyDescent="0.2">
      <c r="A2019" s="105" t="str">
        <f>IF(D2019=1,COUNTIF($D$10:D2019,1)," ")</f>
        <v xml:space="preserve"> </v>
      </c>
      <c r="B2019" s="106">
        <f>COPY!AR2011</f>
        <v>0</v>
      </c>
      <c r="C2019" s="107">
        <f>COPY!AC2011</f>
        <v>0</v>
      </c>
      <c r="D2019" s="107" t="str">
        <f>IF(LEN(Table1722[[#This Row],[Uraian]])&gt;2,1," ")</f>
        <v xml:space="preserve"> </v>
      </c>
      <c r="E2019" s="113" t="str">
        <f>IF(Table1722[[#This Row],[Lawan Transaksi]]="CV AGUNG KARYA",COUNTIF($I$10:I2019,"CV AGUNG KARYA")," ")</f>
        <v xml:space="preserve"> </v>
      </c>
      <c r="F2019" s="107" t="str">
        <f>IF(LEN(Table1722[[#This Row],[Uraian]])&gt;2,TRIM(RIGHT(SUBSTITUTE(TRIM(C2019)," ",REPT(" ",255)),255))," ")</f>
        <v xml:space="preserve"> </v>
      </c>
      <c r="G2019" s="110">
        <f>COPY!Z2011</f>
        <v>0</v>
      </c>
      <c r="H2019" s="111" t="str">
        <f>IFERROR(VLOOKUP(Table1722[[#This Row],[Bukti]],'Un nOTA'!$A$4:$K$5003,10,FALSE),"")</f>
        <v/>
      </c>
      <c r="I2019" s="112" t="str">
        <f>IFERROR(VLOOKUP(Table1722[[#This Row],[Bukti]],Table13[#Data],11,FALSE),"")</f>
        <v/>
      </c>
    </row>
    <row r="2020" spans="1:9" ht="19.5" hidden="1" customHeight="1" x14ac:dyDescent="0.2">
      <c r="A2020" s="105" t="str">
        <f>IF(D2020=1,COUNTIF($D$10:D2020,1)," ")</f>
        <v xml:space="preserve"> </v>
      </c>
      <c r="B2020" s="106">
        <f>COPY!AR2012</f>
        <v>0</v>
      </c>
      <c r="C2020" s="107">
        <f>COPY!AC2012</f>
        <v>0</v>
      </c>
      <c r="D2020" s="107" t="str">
        <f>IF(LEN(Table1722[[#This Row],[Uraian]])&gt;2,1," ")</f>
        <v xml:space="preserve"> </v>
      </c>
      <c r="E2020" s="113" t="str">
        <f>IF(Table1722[[#This Row],[Lawan Transaksi]]="CV AGUNG KARYA",COUNTIF($I$10:I2020,"CV AGUNG KARYA")," ")</f>
        <v xml:space="preserve"> </v>
      </c>
      <c r="F2020" s="107" t="str">
        <f>IF(LEN(Table1722[[#This Row],[Uraian]])&gt;2,TRIM(RIGHT(SUBSTITUTE(TRIM(C2020)," ",REPT(" ",255)),255))," ")</f>
        <v xml:space="preserve"> </v>
      </c>
      <c r="G2020" s="110">
        <f>COPY!Z2012</f>
        <v>0</v>
      </c>
      <c r="H2020" s="111" t="str">
        <f>IFERROR(VLOOKUP(Table1722[[#This Row],[Bukti]],'Un nOTA'!$A$4:$K$5003,10,FALSE),"")</f>
        <v/>
      </c>
      <c r="I2020" s="112" t="str">
        <f>IFERROR(VLOOKUP(Table1722[[#This Row],[Bukti]],Table13[#Data],11,FALSE),"")</f>
        <v/>
      </c>
    </row>
    <row r="2021" spans="1:9" ht="19.5" hidden="1" customHeight="1" x14ac:dyDescent="0.2">
      <c r="A2021" s="105" t="str">
        <f>IF(D2021=1,COUNTIF($D$10:D2021,1)," ")</f>
        <v xml:space="preserve"> </v>
      </c>
      <c r="B2021" s="106">
        <f>COPY!AR2013</f>
        <v>0</v>
      </c>
      <c r="C2021" s="107">
        <f>COPY!AC2013</f>
        <v>0</v>
      </c>
      <c r="D2021" s="107" t="str">
        <f>IF(LEN(Table1722[[#This Row],[Uraian]])&gt;2,1," ")</f>
        <v xml:space="preserve"> </v>
      </c>
      <c r="E2021" s="113" t="str">
        <f>IF(Table1722[[#This Row],[Lawan Transaksi]]="CV AGUNG KARYA",COUNTIF($I$10:I2021,"CV AGUNG KARYA")," ")</f>
        <v xml:space="preserve"> </v>
      </c>
      <c r="F2021" s="107" t="str">
        <f>IF(LEN(Table1722[[#This Row],[Uraian]])&gt;2,TRIM(RIGHT(SUBSTITUTE(TRIM(C2021)," ",REPT(" ",255)),255))," ")</f>
        <v xml:space="preserve"> </v>
      </c>
      <c r="G2021" s="110">
        <f>COPY!Z2013</f>
        <v>0</v>
      </c>
      <c r="H2021" s="111" t="str">
        <f>IFERROR(VLOOKUP(Table1722[[#This Row],[Bukti]],'Un nOTA'!$A$4:$K$5003,10,FALSE),"")</f>
        <v/>
      </c>
      <c r="I2021" s="112" t="str">
        <f>IFERROR(VLOOKUP(Table1722[[#This Row],[Bukti]],Table13[#Data],11,FALSE),"")</f>
        <v/>
      </c>
    </row>
    <row r="2022" spans="1:9" ht="19.5" hidden="1" customHeight="1" x14ac:dyDescent="0.2">
      <c r="A2022" s="105" t="str">
        <f>IF(D2022=1,COUNTIF($D$10:D2022,1)," ")</f>
        <v xml:space="preserve"> </v>
      </c>
      <c r="B2022" s="106">
        <f>COPY!AR2014</f>
        <v>0</v>
      </c>
      <c r="C2022" s="107">
        <f>COPY!AC2014</f>
        <v>0</v>
      </c>
      <c r="D2022" s="107" t="str">
        <f>IF(LEN(Table1722[[#This Row],[Uraian]])&gt;2,1," ")</f>
        <v xml:space="preserve"> </v>
      </c>
      <c r="E2022" s="113" t="str">
        <f>IF(Table1722[[#This Row],[Lawan Transaksi]]="CV AGUNG KARYA",COUNTIF($I$10:I2022,"CV AGUNG KARYA")," ")</f>
        <v xml:space="preserve"> </v>
      </c>
      <c r="F2022" s="107" t="str">
        <f>IF(LEN(Table1722[[#This Row],[Uraian]])&gt;2,TRIM(RIGHT(SUBSTITUTE(TRIM(C2022)," ",REPT(" ",255)),255))," ")</f>
        <v xml:space="preserve"> </v>
      </c>
      <c r="G2022" s="110">
        <f>COPY!Z2014</f>
        <v>0</v>
      </c>
      <c r="H2022" s="111" t="str">
        <f>IFERROR(VLOOKUP(Table1722[[#This Row],[Bukti]],'Un nOTA'!$A$4:$K$5003,10,FALSE),"")</f>
        <v/>
      </c>
      <c r="I2022" s="112" t="str">
        <f>IFERROR(VLOOKUP(Table1722[[#This Row],[Bukti]],Table13[#Data],11,FALSE),"")</f>
        <v/>
      </c>
    </row>
    <row r="2023" spans="1:9" ht="19.5" hidden="1" customHeight="1" x14ac:dyDescent="0.2">
      <c r="A2023" s="105" t="str">
        <f>IF(D2023=1,COUNTIF($D$10:D2023,1)," ")</f>
        <v xml:space="preserve"> </v>
      </c>
      <c r="B2023" s="106">
        <f>COPY!AR2015</f>
        <v>0</v>
      </c>
      <c r="C2023" s="107">
        <f>COPY!AC2015</f>
        <v>0</v>
      </c>
      <c r="D2023" s="107" t="str">
        <f>IF(LEN(Table1722[[#This Row],[Uraian]])&gt;2,1," ")</f>
        <v xml:space="preserve"> </v>
      </c>
      <c r="E2023" s="113" t="str">
        <f>IF(Table1722[[#This Row],[Lawan Transaksi]]="CV AGUNG KARYA",COUNTIF($I$10:I2023,"CV AGUNG KARYA")," ")</f>
        <v xml:space="preserve"> </v>
      </c>
      <c r="F2023" s="107" t="str">
        <f>IF(LEN(Table1722[[#This Row],[Uraian]])&gt;2,TRIM(RIGHT(SUBSTITUTE(TRIM(C2023)," ",REPT(" ",255)),255))," ")</f>
        <v xml:space="preserve"> </v>
      </c>
      <c r="G2023" s="110">
        <f>COPY!Z2015</f>
        <v>0</v>
      </c>
      <c r="H2023" s="111" t="str">
        <f>IFERROR(VLOOKUP(Table1722[[#This Row],[Bukti]],'Un nOTA'!$A$4:$K$5003,10,FALSE),"")</f>
        <v/>
      </c>
      <c r="I2023" s="112" t="str">
        <f>IFERROR(VLOOKUP(Table1722[[#This Row],[Bukti]],Table13[#Data],11,FALSE),"")</f>
        <v/>
      </c>
    </row>
    <row r="2024" spans="1:9" ht="19.5" hidden="1" customHeight="1" x14ac:dyDescent="0.2">
      <c r="A2024" s="105" t="str">
        <f>IF(D2024=1,COUNTIF($D$10:D2024,1)," ")</f>
        <v xml:space="preserve"> </v>
      </c>
      <c r="B2024" s="106">
        <f>COPY!AR2016</f>
        <v>0</v>
      </c>
      <c r="C2024" s="107">
        <f>COPY!AC2016</f>
        <v>0</v>
      </c>
      <c r="D2024" s="107" t="str">
        <f>IF(LEN(Table1722[[#This Row],[Uraian]])&gt;2,1," ")</f>
        <v xml:space="preserve"> </v>
      </c>
      <c r="E2024" s="113" t="str">
        <f>IF(Table1722[[#This Row],[Lawan Transaksi]]="CV AGUNG KARYA",COUNTIF($I$10:I2024,"CV AGUNG KARYA")," ")</f>
        <v xml:space="preserve"> </v>
      </c>
      <c r="F2024" s="107" t="str">
        <f>IF(LEN(Table1722[[#This Row],[Uraian]])&gt;2,TRIM(RIGHT(SUBSTITUTE(TRIM(C2024)," ",REPT(" ",255)),255))," ")</f>
        <v xml:space="preserve"> </v>
      </c>
      <c r="G2024" s="110">
        <f>COPY!Z2016</f>
        <v>0</v>
      </c>
      <c r="H2024" s="111" t="str">
        <f>IFERROR(VLOOKUP(Table1722[[#This Row],[Bukti]],'Un nOTA'!$A$4:$K$5003,10,FALSE),"")</f>
        <v/>
      </c>
      <c r="I2024" s="112" t="str">
        <f>IFERROR(VLOOKUP(Table1722[[#This Row],[Bukti]],Table13[#Data],11,FALSE),"")</f>
        <v/>
      </c>
    </row>
    <row r="2025" spans="1:9" ht="19.5" hidden="1" customHeight="1" x14ac:dyDescent="0.2">
      <c r="A2025" s="105" t="str">
        <f>IF(D2025=1,COUNTIF($D$10:D2025,1)," ")</f>
        <v xml:space="preserve"> </v>
      </c>
      <c r="B2025" s="106">
        <f>COPY!AR2017</f>
        <v>0</v>
      </c>
      <c r="C2025" s="107">
        <f>COPY!AC2017</f>
        <v>0</v>
      </c>
      <c r="D2025" s="107" t="str">
        <f>IF(LEN(Table1722[[#This Row],[Uraian]])&gt;2,1," ")</f>
        <v xml:space="preserve"> </v>
      </c>
      <c r="E2025" s="113" t="str">
        <f>IF(Table1722[[#This Row],[Lawan Transaksi]]="CV AGUNG KARYA",COUNTIF($I$10:I2025,"CV AGUNG KARYA")," ")</f>
        <v xml:space="preserve"> </v>
      </c>
      <c r="F2025" s="107" t="str">
        <f>IF(LEN(Table1722[[#This Row],[Uraian]])&gt;2,TRIM(RIGHT(SUBSTITUTE(TRIM(C2025)," ",REPT(" ",255)),255))," ")</f>
        <v xml:space="preserve"> </v>
      </c>
      <c r="G2025" s="110">
        <f>COPY!Z2017</f>
        <v>0</v>
      </c>
      <c r="H2025" s="111" t="str">
        <f>IFERROR(VLOOKUP(Table1722[[#This Row],[Bukti]],'Un nOTA'!$A$4:$K$5003,10,FALSE),"")</f>
        <v/>
      </c>
      <c r="I2025" s="112" t="str">
        <f>IFERROR(VLOOKUP(Table1722[[#This Row],[Bukti]],Table13[#Data],11,FALSE),"")</f>
        <v/>
      </c>
    </row>
    <row r="2026" spans="1:9" ht="19.5" hidden="1" customHeight="1" x14ac:dyDescent="0.2">
      <c r="A2026" s="105" t="str">
        <f>IF(D2026=1,COUNTIF($D$10:D2026,1)," ")</f>
        <v xml:space="preserve"> </v>
      </c>
      <c r="B2026" s="106">
        <f>COPY!AR2018</f>
        <v>0</v>
      </c>
      <c r="C2026" s="107">
        <f>COPY!AC2018</f>
        <v>0</v>
      </c>
      <c r="D2026" s="107" t="str">
        <f>IF(LEN(Table1722[[#This Row],[Uraian]])&gt;2,1," ")</f>
        <v xml:space="preserve"> </v>
      </c>
      <c r="E2026" s="113" t="str">
        <f>IF(Table1722[[#This Row],[Lawan Transaksi]]="CV AGUNG KARYA",COUNTIF($I$10:I2026,"CV AGUNG KARYA")," ")</f>
        <v xml:space="preserve"> </v>
      </c>
      <c r="F2026" s="107" t="str">
        <f>IF(LEN(Table1722[[#This Row],[Uraian]])&gt;2,TRIM(RIGHT(SUBSTITUTE(TRIM(C2026)," ",REPT(" ",255)),255))," ")</f>
        <v xml:space="preserve"> </v>
      </c>
      <c r="G2026" s="110">
        <f>COPY!Z2018</f>
        <v>0</v>
      </c>
      <c r="H2026" s="111" t="str">
        <f>IFERROR(VLOOKUP(Table1722[[#This Row],[Bukti]],'Un nOTA'!$A$4:$K$5003,10,FALSE),"")</f>
        <v/>
      </c>
      <c r="I2026" s="112" t="str">
        <f>IFERROR(VLOOKUP(Table1722[[#This Row],[Bukti]],Table13[#Data],11,FALSE),"")</f>
        <v/>
      </c>
    </row>
    <row r="2027" spans="1:9" ht="19.5" hidden="1" customHeight="1" x14ac:dyDescent="0.2">
      <c r="A2027" s="105" t="str">
        <f>IF(D2027=1,COUNTIF($D$10:D2027,1)," ")</f>
        <v xml:space="preserve"> </v>
      </c>
      <c r="B2027" s="106">
        <f>COPY!AR2019</f>
        <v>0</v>
      </c>
      <c r="C2027" s="107">
        <f>COPY!AC2019</f>
        <v>0</v>
      </c>
      <c r="D2027" s="107" t="str">
        <f>IF(LEN(Table1722[[#This Row],[Uraian]])&gt;2,1," ")</f>
        <v xml:space="preserve"> </v>
      </c>
      <c r="E2027" s="113" t="str">
        <f>IF(Table1722[[#This Row],[Lawan Transaksi]]="CV AGUNG KARYA",COUNTIF($I$10:I2027,"CV AGUNG KARYA")," ")</f>
        <v xml:space="preserve"> </v>
      </c>
      <c r="F2027" s="107" t="str">
        <f>IF(LEN(Table1722[[#This Row],[Uraian]])&gt;2,TRIM(RIGHT(SUBSTITUTE(TRIM(C2027)," ",REPT(" ",255)),255))," ")</f>
        <v xml:space="preserve"> </v>
      </c>
      <c r="G2027" s="110">
        <f>COPY!Z2019</f>
        <v>0</v>
      </c>
      <c r="H2027" s="111" t="str">
        <f>IFERROR(VLOOKUP(Table1722[[#This Row],[Bukti]],'Un nOTA'!$A$4:$K$5003,10,FALSE),"")</f>
        <v/>
      </c>
      <c r="I2027" s="112" t="str">
        <f>IFERROR(VLOOKUP(Table1722[[#This Row],[Bukti]],Table13[#Data],11,FALSE),"")</f>
        <v/>
      </c>
    </row>
    <row r="2028" spans="1:9" ht="19.5" hidden="1" customHeight="1" x14ac:dyDescent="0.2">
      <c r="A2028" s="105" t="str">
        <f>IF(D2028=1,COUNTIF($D$10:D2028,1)," ")</f>
        <v xml:space="preserve"> </v>
      </c>
      <c r="B2028" s="106">
        <f>COPY!AR2020</f>
        <v>0</v>
      </c>
      <c r="C2028" s="107">
        <f>COPY!AC2020</f>
        <v>0</v>
      </c>
      <c r="D2028" s="107" t="str">
        <f>IF(LEN(Table1722[[#This Row],[Uraian]])&gt;2,1," ")</f>
        <v xml:space="preserve"> </v>
      </c>
      <c r="E2028" s="113" t="str">
        <f>IF(Table1722[[#This Row],[Lawan Transaksi]]="CV AGUNG KARYA",COUNTIF($I$10:I2028,"CV AGUNG KARYA")," ")</f>
        <v xml:space="preserve"> </v>
      </c>
      <c r="F2028" s="107" t="str">
        <f>IF(LEN(Table1722[[#This Row],[Uraian]])&gt;2,TRIM(RIGHT(SUBSTITUTE(TRIM(C2028)," ",REPT(" ",255)),255))," ")</f>
        <v xml:space="preserve"> </v>
      </c>
      <c r="G2028" s="110">
        <f>COPY!Z2020</f>
        <v>0</v>
      </c>
      <c r="H2028" s="111" t="str">
        <f>IFERROR(VLOOKUP(Table1722[[#This Row],[Bukti]],'Un nOTA'!$A$4:$K$5003,10,FALSE),"")</f>
        <v/>
      </c>
      <c r="I2028" s="112" t="str">
        <f>IFERROR(VLOOKUP(Table1722[[#This Row],[Bukti]],Table13[#Data],11,FALSE),"")</f>
        <v/>
      </c>
    </row>
    <row r="2029" spans="1:9" ht="19.5" hidden="1" customHeight="1" x14ac:dyDescent="0.2">
      <c r="A2029" s="105" t="str">
        <f>IF(D2029=1,COUNTIF($D$10:D2029,1)," ")</f>
        <v xml:space="preserve"> </v>
      </c>
      <c r="B2029" s="106">
        <f>COPY!AR2021</f>
        <v>0</v>
      </c>
      <c r="C2029" s="107">
        <f>COPY!AC2021</f>
        <v>0</v>
      </c>
      <c r="D2029" s="107" t="str">
        <f>IF(LEN(Table1722[[#This Row],[Uraian]])&gt;2,1," ")</f>
        <v xml:space="preserve"> </v>
      </c>
      <c r="E2029" s="113" t="str">
        <f>IF(Table1722[[#This Row],[Lawan Transaksi]]="CV AGUNG KARYA",COUNTIF($I$10:I2029,"CV AGUNG KARYA")," ")</f>
        <v xml:space="preserve"> </v>
      </c>
      <c r="F2029" s="107" t="str">
        <f>IF(LEN(Table1722[[#This Row],[Uraian]])&gt;2,TRIM(RIGHT(SUBSTITUTE(TRIM(C2029)," ",REPT(" ",255)),255))," ")</f>
        <v xml:space="preserve"> </v>
      </c>
      <c r="G2029" s="110">
        <f>COPY!Z2021</f>
        <v>0</v>
      </c>
      <c r="H2029" s="111" t="str">
        <f>IFERROR(VLOOKUP(Table1722[[#This Row],[Bukti]],'Un nOTA'!$A$4:$K$5003,10,FALSE),"")</f>
        <v/>
      </c>
      <c r="I2029" s="112" t="str">
        <f>IFERROR(VLOOKUP(Table1722[[#This Row],[Bukti]],Table13[#Data],11,FALSE),"")</f>
        <v/>
      </c>
    </row>
    <row r="2030" spans="1:9" ht="19.5" hidden="1" customHeight="1" x14ac:dyDescent="0.2">
      <c r="A2030" s="105" t="str">
        <f>IF(D2030=1,COUNTIF($D$10:D2030,1)," ")</f>
        <v xml:space="preserve"> </v>
      </c>
      <c r="B2030" s="106">
        <f>COPY!AR2022</f>
        <v>0</v>
      </c>
      <c r="C2030" s="107">
        <f>COPY!AC2022</f>
        <v>0</v>
      </c>
      <c r="D2030" s="107" t="str">
        <f>IF(LEN(Table1722[[#This Row],[Uraian]])&gt;2,1," ")</f>
        <v xml:space="preserve"> </v>
      </c>
      <c r="E2030" s="113" t="str">
        <f>IF(Table1722[[#This Row],[Lawan Transaksi]]="CV AGUNG KARYA",COUNTIF($I$10:I2030,"CV AGUNG KARYA")," ")</f>
        <v xml:space="preserve"> </v>
      </c>
      <c r="F2030" s="107" t="str">
        <f>IF(LEN(Table1722[[#This Row],[Uraian]])&gt;2,TRIM(RIGHT(SUBSTITUTE(TRIM(C2030)," ",REPT(" ",255)),255))," ")</f>
        <v xml:space="preserve"> </v>
      </c>
      <c r="G2030" s="110">
        <f>COPY!Z2022</f>
        <v>0</v>
      </c>
      <c r="H2030" s="111" t="str">
        <f>IFERROR(VLOOKUP(Table1722[[#This Row],[Bukti]],'Un nOTA'!$A$4:$K$5003,10,FALSE),"")</f>
        <v/>
      </c>
      <c r="I2030" s="112" t="str">
        <f>IFERROR(VLOOKUP(Table1722[[#This Row],[Bukti]],Table13[#Data],11,FALSE),"")</f>
        <v/>
      </c>
    </row>
    <row r="2031" spans="1:9" ht="19.5" hidden="1" customHeight="1" x14ac:dyDescent="0.2">
      <c r="A2031" s="105" t="str">
        <f>IF(D2031=1,COUNTIF($D$10:D2031,1)," ")</f>
        <v xml:space="preserve"> </v>
      </c>
      <c r="B2031" s="106">
        <f>COPY!AR2023</f>
        <v>0</v>
      </c>
      <c r="C2031" s="107">
        <f>COPY!AC2023</f>
        <v>0</v>
      </c>
      <c r="D2031" s="107" t="str">
        <f>IF(LEN(Table1722[[#This Row],[Uraian]])&gt;2,1," ")</f>
        <v xml:space="preserve"> </v>
      </c>
      <c r="E2031" s="113" t="str">
        <f>IF(Table1722[[#This Row],[Lawan Transaksi]]="CV AGUNG KARYA",COUNTIF($I$10:I2031,"CV AGUNG KARYA")," ")</f>
        <v xml:space="preserve"> </v>
      </c>
      <c r="F2031" s="107" t="str">
        <f>IF(LEN(Table1722[[#This Row],[Uraian]])&gt;2,TRIM(RIGHT(SUBSTITUTE(TRIM(C2031)," ",REPT(" ",255)),255))," ")</f>
        <v xml:space="preserve"> </v>
      </c>
      <c r="G2031" s="110">
        <f>COPY!Z2023</f>
        <v>0</v>
      </c>
      <c r="H2031" s="111" t="str">
        <f>IFERROR(VLOOKUP(Table1722[[#This Row],[Bukti]],'Un nOTA'!$A$4:$K$5003,10,FALSE),"")</f>
        <v/>
      </c>
      <c r="I2031" s="112" t="str">
        <f>IFERROR(VLOOKUP(Table1722[[#This Row],[Bukti]],Table13[#Data],11,FALSE),"")</f>
        <v/>
      </c>
    </row>
    <row r="2032" spans="1:9" ht="19.5" hidden="1" customHeight="1" x14ac:dyDescent="0.2">
      <c r="A2032" s="105" t="str">
        <f>IF(D2032=1,COUNTIF($D$10:D2032,1)," ")</f>
        <v xml:space="preserve"> </v>
      </c>
      <c r="B2032" s="106">
        <f>COPY!AR2024</f>
        <v>0</v>
      </c>
      <c r="C2032" s="107">
        <f>COPY!AC2024</f>
        <v>0</v>
      </c>
      <c r="D2032" s="107" t="str">
        <f>IF(LEN(Table1722[[#This Row],[Uraian]])&gt;2,1," ")</f>
        <v xml:space="preserve"> </v>
      </c>
      <c r="E2032" s="113" t="str">
        <f>IF(Table1722[[#This Row],[Lawan Transaksi]]="CV AGUNG KARYA",COUNTIF($I$10:I2032,"CV AGUNG KARYA")," ")</f>
        <v xml:space="preserve"> </v>
      </c>
      <c r="F2032" s="107" t="str">
        <f>IF(LEN(Table1722[[#This Row],[Uraian]])&gt;2,TRIM(RIGHT(SUBSTITUTE(TRIM(C2032)," ",REPT(" ",255)),255))," ")</f>
        <v xml:space="preserve"> </v>
      </c>
      <c r="G2032" s="110">
        <f>COPY!Z2024</f>
        <v>0</v>
      </c>
      <c r="H2032" s="111" t="str">
        <f>IFERROR(VLOOKUP(Table1722[[#This Row],[Bukti]],'Un nOTA'!$A$4:$K$5003,10,FALSE),"")</f>
        <v/>
      </c>
      <c r="I2032" s="112" t="str">
        <f>IFERROR(VLOOKUP(Table1722[[#This Row],[Bukti]],Table13[#Data],11,FALSE),"")</f>
        <v/>
      </c>
    </row>
    <row r="2033" spans="1:9" ht="19.5" hidden="1" customHeight="1" x14ac:dyDescent="0.2">
      <c r="A2033" s="105" t="str">
        <f>IF(D2033=1,COUNTIF($D$10:D2033,1)," ")</f>
        <v xml:space="preserve"> </v>
      </c>
      <c r="B2033" s="106">
        <f>COPY!AR2025</f>
        <v>0</v>
      </c>
      <c r="C2033" s="107">
        <f>COPY!AC2025</f>
        <v>0</v>
      </c>
      <c r="D2033" s="107" t="str">
        <f>IF(LEN(Table1722[[#This Row],[Uraian]])&gt;2,1," ")</f>
        <v xml:space="preserve"> </v>
      </c>
      <c r="E2033" s="113" t="str">
        <f>IF(Table1722[[#This Row],[Lawan Transaksi]]="CV AGUNG KARYA",COUNTIF($I$10:I2033,"CV AGUNG KARYA")," ")</f>
        <v xml:space="preserve"> </v>
      </c>
      <c r="F2033" s="107" t="str">
        <f>IF(LEN(Table1722[[#This Row],[Uraian]])&gt;2,TRIM(RIGHT(SUBSTITUTE(TRIM(C2033)," ",REPT(" ",255)),255))," ")</f>
        <v xml:space="preserve"> </v>
      </c>
      <c r="G2033" s="110">
        <f>COPY!Z2025</f>
        <v>0</v>
      </c>
      <c r="H2033" s="111" t="str">
        <f>IFERROR(VLOOKUP(Table1722[[#This Row],[Bukti]],'Un nOTA'!$A$4:$K$5003,10,FALSE),"")</f>
        <v/>
      </c>
      <c r="I2033" s="112" t="str">
        <f>IFERROR(VLOOKUP(Table1722[[#This Row],[Bukti]],Table13[#Data],11,FALSE),"")</f>
        <v/>
      </c>
    </row>
    <row r="2034" spans="1:9" ht="19.5" hidden="1" customHeight="1" x14ac:dyDescent="0.2">
      <c r="A2034" s="105" t="str">
        <f>IF(D2034=1,COUNTIF($D$10:D2034,1)," ")</f>
        <v xml:space="preserve"> </v>
      </c>
      <c r="B2034" s="106">
        <f>COPY!AR2026</f>
        <v>0</v>
      </c>
      <c r="C2034" s="107">
        <f>COPY!AC2026</f>
        <v>0</v>
      </c>
      <c r="D2034" s="107" t="str">
        <f>IF(LEN(Table1722[[#This Row],[Uraian]])&gt;2,1," ")</f>
        <v xml:space="preserve"> </v>
      </c>
      <c r="E2034" s="113" t="str">
        <f>IF(Table1722[[#This Row],[Lawan Transaksi]]="CV AGUNG KARYA",COUNTIF($I$10:I2034,"CV AGUNG KARYA")," ")</f>
        <v xml:space="preserve"> </v>
      </c>
      <c r="F2034" s="107" t="str">
        <f>IF(LEN(Table1722[[#This Row],[Uraian]])&gt;2,TRIM(RIGHT(SUBSTITUTE(TRIM(C2034)," ",REPT(" ",255)),255))," ")</f>
        <v xml:space="preserve"> </v>
      </c>
      <c r="G2034" s="110">
        <f>COPY!Z2026</f>
        <v>0</v>
      </c>
      <c r="H2034" s="111" t="str">
        <f>IFERROR(VLOOKUP(Table1722[[#This Row],[Bukti]],'Un nOTA'!$A$4:$K$5003,10,FALSE),"")</f>
        <v/>
      </c>
      <c r="I2034" s="112" t="str">
        <f>IFERROR(VLOOKUP(Table1722[[#This Row],[Bukti]],Table13[#Data],11,FALSE),"")</f>
        <v/>
      </c>
    </row>
    <row r="2035" spans="1:9" ht="19.5" hidden="1" customHeight="1" x14ac:dyDescent="0.2">
      <c r="A2035" s="105" t="str">
        <f>IF(D2035=1,COUNTIF($D$10:D2035,1)," ")</f>
        <v xml:space="preserve"> </v>
      </c>
      <c r="B2035" s="106">
        <f>COPY!AR2027</f>
        <v>0</v>
      </c>
      <c r="C2035" s="107">
        <f>COPY!AC2027</f>
        <v>0</v>
      </c>
      <c r="D2035" s="107" t="str">
        <f>IF(LEN(Table1722[[#This Row],[Uraian]])&gt;2,1," ")</f>
        <v xml:space="preserve"> </v>
      </c>
      <c r="E2035" s="113" t="str">
        <f>IF(Table1722[[#This Row],[Lawan Transaksi]]="CV AGUNG KARYA",COUNTIF($I$10:I2035,"CV AGUNG KARYA")," ")</f>
        <v xml:space="preserve"> </v>
      </c>
      <c r="F2035" s="107" t="str">
        <f>IF(LEN(Table1722[[#This Row],[Uraian]])&gt;2,TRIM(RIGHT(SUBSTITUTE(TRIM(C2035)," ",REPT(" ",255)),255))," ")</f>
        <v xml:space="preserve"> </v>
      </c>
      <c r="G2035" s="110">
        <f>COPY!Z2027</f>
        <v>0</v>
      </c>
      <c r="H2035" s="111" t="str">
        <f>IFERROR(VLOOKUP(Table1722[[#This Row],[Bukti]],'Un nOTA'!$A$4:$K$5003,10,FALSE),"")</f>
        <v/>
      </c>
      <c r="I2035" s="112" t="str">
        <f>IFERROR(VLOOKUP(Table1722[[#This Row],[Bukti]],Table13[#Data],11,FALSE),"")</f>
        <v/>
      </c>
    </row>
    <row r="2036" spans="1:9" ht="19.5" hidden="1" customHeight="1" x14ac:dyDescent="0.2">
      <c r="A2036" s="105" t="str">
        <f>IF(D2036=1,COUNTIF($D$10:D2036,1)," ")</f>
        <v xml:space="preserve"> </v>
      </c>
      <c r="B2036" s="106">
        <f>COPY!AR2028</f>
        <v>0</v>
      </c>
      <c r="C2036" s="107">
        <f>COPY!AC2028</f>
        <v>0</v>
      </c>
      <c r="D2036" s="107" t="str">
        <f>IF(LEN(Table1722[[#This Row],[Uraian]])&gt;2,1," ")</f>
        <v xml:space="preserve"> </v>
      </c>
      <c r="E2036" s="113" t="str">
        <f>IF(Table1722[[#This Row],[Lawan Transaksi]]="CV AGUNG KARYA",COUNTIF($I$10:I2036,"CV AGUNG KARYA")," ")</f>
        <v xml:space="preserve"> </v>
      </c>
      <c r="F2036" s="107" t="str">
        <f>IF(LEN(Table1722[[#This Row],[Uraian]])&gt;2,TRIM(RIGHT(SUBSTITUTE(TRIM(C2036)," ",REPT(" ",255)),255))," ")</f>
        <v xml:space="preserve"> </v>
      </c>
      <c r="G2036" s="110">
        <f>COPY!Z2028</f>
        <v>0</v>
      </c>
      <c r="H2036" s="111" t="str">
        <f>IFERROR(VLOOKUP(Table1722[[#This Row],[Bukti]],'Un nOTA'!$A$4:$K$5003,10,FALSE),"")</f>
        <v/>
      </c>
      <c r="I2036" s="112" t="str">
        <f>IFERROR(VLOOKUP(Table1722[[#This Row],[Bukti]],Table13[#Data],11,FALSE),"")</f>
        <v/>
      </c>
    </row>
    <row r="2037" spans="1:9" ht="19.5" hidden="1" customHeight="1" x14ac:dyDescent="0.2">
      <c r="A2037" s="105" t="str">
        <f>IF(D2037=1,COUNTIF($D$10:D2037,1)," ")</f>
        <v xml:space="preserve"> </v>
      </c>
      <c r="B2037" s="106">
        <f>COPY!AR2029</f>
        <v>0</v>
      </c>
      <c r="C2037" s="107">
        <f>COPY!AC2029</f>
        <v>0</v>
      </c>
      <c r="D2037" s="107" t="str">
        <f>IF(LEN(Table1722[[#This Row],[Uraian]])&gt;2,1," ")</f>
        <v xml:space="preserve"> </v>
      </c>
      <c r="E2037" s="113" t="str">
        <f>IF(Table1722[[#This Row],[Lawan Transaksi]]="CV AGUNG KARYA",COUNTIF($I$10:I2037,"CV AGUNG KARYA")," ")</f>
        <v xml:space="preserve"> </v>
      </c>
      <c r="F2037" s="107" t="str">
        <f>IF(LEN(Table1722[[#This Row],[Uraian]])&gt;2,TRIM(RIGHT(SUBSTITUTE(TRIM(C2037)," ",REPT(" ",255)),255))," ")</f>
        <v xml:space="preserve"> </v>
      </c>
      <c r="G2037" s="110">
        <f>COPY!Z2029</f>
        <v>0</v>
      </c>
      <c r="H2037" s="111" t="str">
        <f>IFERROR(VLOOKUP(Table1722[[#This Row],[Bukti]],'Un nOTA'!$A$4:$K$5003,10,FALSE),"")</f>
        <v/>
      </c>
      <c r="I2037" s="112" t="str">
        <f>IFERROR(VLOOKUP(Table1722[[#This Row],[Bukti]],Table13[#Data],11,FALSE),"")</f>
        <v/>
      </c>
    </row>
    <row r="2038" spans="1:9" ht="19.5" hidden="1" customHeight="1" x14ac:dyDescent="0.2">
      <c r="A2038" s="105" t="str">
        <f>IF(D2038=1,COUNTIF($D$10:D2038,1)," ")</f>
        <v xml:space="preserve"> </v>
      </c>
      <c r="B2038" s="106">
        <f>COPY!AR2030</f>
        <v>0</v>
      </c>
      <c r="C2038" s="107">
        <f>COPY!AC2030</f>
        <v>0</v>
      </c>
      <c r="D2038" s="107" t="str">
        <f>IF(LEN(Table1722[[#This Row],[Uraian]])&gt;2,1," ")</f>
        <v xml:space="preserve"> </v>
      </c>
      <c r="E2038" s="113" t="str">
        <f>IF(Table1722[[#This Row],[Lawan Transaksi]]="CV AGUNG KARYA",COUNTIF($I$10:I2038,"CV AGUNG KARYA")," ")</f>
        <v xml:space="preserve"> </v>
      </c>
      <c r="F2038" s="107" t="str">
        <f>IF(LEN(Table1722[[#This Row],[Uraian]])&gt;2,TRIM(RIGHT(SUBSTITUTE(TRIM(C2038)," ",REPT(" ",255)),255))," ")</f>
        <v xml:space="preserve"> </v>
      </c>
      <c r="G2038" s="110">
        <f>COPY!Z2030</f>
        <v>0</v>
      </c>
      <c r="H2038" s="111" t="str">
        <f>IFERROR(VLOOKUP(Table1722[[#This Row],[Bukti]],'Un nOTA'!$A$4:$K$5003,10,FALSE),"")</f>
        <v/>
      </c>
      <c r="I2038" s="112" t="str">
        <f>IFERROR(VLOOKUP(Table1722[[#This Row],[Bukti]],Table13[#Data],11,FALSE),"")</f>
        <v/>
      </c>
    </row>
    <row r="2039" spans="1:9" ht="19.5" hidden="1" customHeight="1" x14ac:dyDescent="0.2">
      <c r="A2039" s="105" t="str">
        <f>IF(D2039=1,COUNTIF($D$10:D2039,1)," ")</f>
        <v xml:space="preserve"> </v>
      </c>
      <c r="B2039" s="106">
        <f>COPY!AR2031</f>
        <v>0</v>
      </c>
      <c r="C2039" s="107">
        <f>COPY!AC2031</f>
        <v>0</v>
      </c>
      <c r="D2039" s="107" t="str">
        <f>IF(LEN(Table1722[[#This Row],[Uraian]])&gt;2,1," ")</f>
        <v xml:space="preserve"> </v>
      </c>
      <c r="E2039" s="113" t="str">
        <f>IF(Table1722[[#This Row],[Lawan Transaksi]]="CV AGUNG KARYA",COUNTIF($I$10:I2039,"CV AGUNG KARYA")," ")</f>
        <v xml:space="preserve"> </v>
      </c>
      <c r="F2039" s="107" t="str">
        <f>IF(LEN(Table1722[[#This Row],[Uraian]])&gt;2,TRIM(RIGHT(SUBSTITUTE(TRIM(C2039)," ",REPT(" ",255)),255))," ")</f>
        <v xml:space="preserve"> </v>
      </c>
      <c r="G2039" s="110">
        <f>COPY!Z2031</f>
        <v>0</v>
      </c>
      <c r="H2039" s="111" t="str">
        <f>IFERROR(VLOOKUP(Table1722[[#This Row],[Bukti]],'Un nOTA'!$A$4:$K$5003,10,FALSE),"")</f>
        <v/>
      </c>
      <c r="I2039" s="112" t="str">
        <f>IFERROR(VLOOKUP(Table1722[[#This Row],[Bukti]],Table13[#Data],11,FALSE),"")</f>
        <v/>
      </c>
    </row>
    <row r="2040" spans="1:9" ht="19.5" hidden="1" customHeight="1" x14ac:dyDescent="0.2">
      <c r="A2040" s="105" t="str">
        <f>IF(D2040=1,COUNTIF($D$10:D2040,1)," ")</f>
        <v xml:space="preserve"> </v>
      </c>
      <c r="B2040" s="106">
        <f>COPY!AR2032</f>
        <v>0</v>
      </c>
      <c r="C2040" s="107">
        <f>COPY!AC2032</f>
        <v>0</v>
      </c>
      <c r="D2040" s="107" t="str">
        <f>IF(LEN(Table1722[[#This Row],[Uraian]])&gt;2,1," ")</f>
        <v xml:space="preserve"> </v>
      </c>
      <c r="E2040" s="113" t="str">
        <f>IF(Table1722[[#This Row],[Lawan Transaksi]]="CV AGUNG KARYA",COUNTIF($I$10:I2040,"CV AGUNG KARYA")," ")</f>
        <v xml:space="preserve"> </v>
      </c>
      <c r="F2040" s="107" t="str">
        <f>IF(LEN(Table1722[[#This Row],[Uraian]])&gt;2,TRIM(RIGHT(SUBSTITUTE(TRIM(C2040)," ",REPT(" ",255)),255))," ")</f>
        <v xml:space="preserve"> </v>
      </c>
      <c r="G2040" s="110">
        <f>COPY!Z2032</f>
        <v>0</v>
      </c>
      <c r="H2040" s="111" t="str">
        <f>IFERROR(VLOOKUP(Table1722[[#This Row],[Bukti]],'Un nOTA'!$A$4:$K$5003,10,FALSE),"")</f>
        <v/>
      </c>
      <c r="I2040" s="112" t="str">
        <f>IFERROR(VLOOKUP(Table1722[[#This Row],[Bukti]],Table13[#Data],11,FALSE),"")</f>
        <v/>
      </c>
    </row>
    <row r="2041" spans="1:9" ht="19.5" hidden="1" customHeight="1" x14ac:dyDescent="0.2">
      <c r="A2041" s="105" t="str">
        <f>IF(D2041=1,COUNTIF($D$10:D2041,1)," ")</f>
        <v xml:space="preserve"> </v>
      </c>
      <c r="B2041" s="106">
        <f>COPY!AR2033</f>
        <v>0</v>
      </c>
      <c r="C2041" s="107">
        <f>COPY!AC2033</f>
        <v>0</v>
      </c>
      <c r="D2041" s="107" t="str">
        <f>IF(LEN(Table1722[[#This Row],[Uraian]])&gt;2,1," ")</f>
        <v xml:space="preserve"> </v>
      </c>
      <c r="E2041" s="113" t="str">
        <f>IF(Table1722[[#This Row],[Lawan Transaksi]]="CV AGUNG KARYA",COUNTIF($I$10:I2041,"CV AGUNG KARYA")," ")</f>
        <v xml:space="preserve"> </v>
      </c>
      <c r="F2041" s="107" t="str">
        <f>IF(LEN(Table1722[[#This Row],[Uraian]])&gt;2,TRIM(RIGHT(SUBSTITUTE(TRIM(C2041)," ",REPT(" ",255)),255))," ")</f>
        <v xml:space="preserve"> </v>
      </c>
      <c r="G2041" s="110">
        <f>COPY!Z2033</f>
        <v>0</v>
      </c>
      <c r="H2041" s="111" t="str">
        <f>IFERROR(VLOOKUP(Table1722[[#This Row],[Bukti]],'Un nOTA'!$A$4:$K$5003,10,FALSE),"")</f>
        <v/>
      </c>
      <c r="I2041" s="112" t="str">
        <f>IFERROR(VLOOKUP(Table1722[[#This Row],[Bukti]],Table13[#Data],11,FALSE),"")</f>
        <v/>
      </c>
    </row>
    <row r="2042" spans="1:9" ht="19.5" hidden="1" customHeight="1" x14ac:dyDescent="0.2">
      <c r="A2042" s="105" t="str">
        <f>IF(D2042=1,COUNTIF($D$10:D2042,1)," ")</f>
        <v xml:space="preserve"> </v>
      </c>
      <c r="B2042" s="106">
        <f>COPY!AR2034</f>
        <v>0</v>
      </c>
      <c r="C2042" s="107">
        <f>COPY!AC2034</f>
        <v>0</v>
      </c>
      <c r="D2042" s="107" t="str">
        <f>IF(LEN(Table1722[[#This Row],[Uraian]])&gt;2,1," ")</f>
        <v xml:space="preserve"> </v>
      </c>
      <c r="E2042" s="113" t="str">
        <f>IF(Table1722[[#This Row],[Lawan Transaksi]]="CV AGUNG KARYA",COUNTIF($I$10:I2042,"CV AGUNG KARYA")," ")</f>
        <v xml:space="preserve"> </v>
      </c>
      <c r="F2042" s="107" t="str">
        <f>IF(LEN(Table1722[[#This Row],[Uraian]])&gt;2,TRIM(RIGHT(SUBSTITUTE(TRIM(C2042)," ",REPT(" ",255)),255))," ")</f>
        <v xml:space="preserve"> </v>
      </c>
      <c r="G2042" s="110">
        <f>COPY!Z2034</f>
        <v>0</v>
      </c>
      <c r="H2042" s="111" t="str">
        <f>IFERROR(VLOOKUP(Table1722[[#This Row],[Bukti]],'Un nOTA'!$A$4:$K$5003,10,FALSE),"")</f>
        <v/>
      </c>
      <c r="I2042" s="112" t="str">
        <f>IFERROR(VLOOKUP(Table1722[[#This Row],[Bukti]],Table13[#Data],11,FALSE),"")</f>
        <v/>
      </c>
    </row>
    <row r="2043" spans="1:9" ht="19.5" hidden="1" customHeight="1" x14ac:dyDescent="0.2">
      <c r="A2043" s="105" t="str">
        <f>IF(D2043=1,COUNTIF($D$10:D2043,1)," ")</f>
        <v xml:space="preserve"> </v>
      </c>
      <c r="B2043" s="106">
        <f>COPY!AR2035</f>
        <v>0</v>
      </c>
      <c r="C2043" s="107">
        <f>COPY!AC2035</f>
        <v>0</v>
      </c>
      <c r="D2043" s="107" t="str">
        <f>IF(LEN(Table1722[[#This Row],[Uraian]])&gt;2,1," ")</f>
        <v xml:space="preserve"> </v>
      </c>
      <c r="E2043" s="113" t="str">
        <f>IF(Table1722[[#This Row],[Lawan Transaksi]]="CV AGUNG KARYA",COUNTIF($I$10:I2043,"CV AGUNG KARYA")," ")</f>
        <v xml:space="preserve"> </v>
      </c>
      <c r="F2043" s="107" t="str">
        <f>IF(LEN(Table1722[[#This Row],[Uraian]])&gt;2,TRIM(RIGHT(SUBSTITUTE(TRIM(C2043)," ",REPT(" ",255)),255))," ")</f>
        <v xml:space="preserve"> </v>
      </c>
      <c r="G2043" s="110">
        <f>COPY!Z2035</f>
        <v>0</v>
      </c>
      <c r="H2043" s="111" t="str">
        <f>IFERROR(VLOOKUP(Table1722[[#This Row],[Bukti]],'Un nOTA'!$A$4:$K$5003,10,FALSE),"")</f>
        <v/>
      </c>
      <c r="I2043" s="112" t="str">
        <f>IFERROR(VLOOKUP(Table1722[[#This Row],[Bukti]],Table13[#Data],11,FALSE),"")</f>
        <v/>
      </c>
    </row>
    <row r="2044" spans="1:9" ht="19.5" hidden="1" customHeight="1" x14ac:dyDescent="0.2">
      <c r="A2044" s="105" t="str">
        <f>IF(D2044=1,COUNTIF($D$10:D2044,1)," ")</f>
        <v xml:space="preserve"> </v>
      </c>
      <c r="B2044" s="106">
        <f>COPY!AR2036</f>
        <v>0</v>
      </c>
      <c r="C2044" s="107">
        <f>COPY!AC2036</f>
        <v>0</v>
      </c>
      <c r="D2044" s="107" t="str">
        <f>IF(LEN(Table1722[[#This Row],[Uraian]])&gt;2,1," ")</f>
        <v xml:space="preserve"> </v>
      </c>
      <c r="E2044" s="113" t="str">
        <f>IF(Table1722[[#This Row],[Lawan Transaksi]]="CV AGUNG KARYA",COUNTIF($I$10:I2044,"CV AGUNG KARYA")," ")</f>
        <v xml:space="preserve"> </v>
      </c>
      <c r="F2044" s="107" t="str">
        <f>IF(LEN(Table1722[[#This Row],[Uraian]])&gt;2,TRIM(RIGHT(SUBSTITUTE(TRIM(C2044)," ",REPT(" ",255)),255))," ")</f>
        <v xml:space="preserve"> </v>
      </c>
      <c r="G2044" s="110">
        <f>COPY!Z2036</f>
        <v>0</v>
      </c>
      <c r="H2044" s="111" t="str">
        <f>IFERROR(VLOOKUP(Table1722[[#This Row],[Bukti]],'Un nOTA'!$A$4:$K$5003,10,FALSE),"")</f>
        <v/>
      </c>
      <c r="I2044" s="112" t="str">
        <f>IFERROR(VLOOKUP(Table1722[[#This Row],[Bukti]],Table13[#Data],11,FALSE),"")</f>
        <v/>
      </c>
    </row>
    <row r="2045" spans="1:9" ht="19.5" hidden="1" customHeight="1" x14ac:dyDescent="0.2">
      <c r="A2045" s="105" t="str">
        <f>IF(D2045=1,COUNTIF($D$10:D2045,1)," ")</f>
        <v xml:space="preserve"> </v>
      </c>
      <c r="B2045" s="106">
        <f>COPY!AR2037</f>
        <v>0</v>
      </c>
      <c r="C2045" s="107">
        <f>COPY!AC2037</f>
        <v>0</v>
      </c>
      <c r="D2045" s="107" t="str">
        <f>IF(LEN(Table1722[[#This Row],[Uraian]])&gt;2,1," ")</f>
        <v xml:space="preserve"> </v>
      </c>
      <c r="E2045" s="113" t="str">
        <f>IF(Table1722[[#This Row],[Lawan Transaksi]]="CV AGUNG KARYA",COUNTIF($I$10:I2045,"CV AGUNG KARYA")," ")</f>
        <v xml:space="preserve"> </v>
      </c>
      <c r="F2045" s="107" t="str">
        <f>IF(LEN(Table1722[[#This Row],[Uraian]])&gt;2,TRIM(RIGHT(SUBSTITUTE(TRIM(C2045)," ",REPT(" ",255)),255))," ")</f>
        <v xml:space="preserve"> </v>
      </c>
      <c r="G2045" s="110">
        <f>COPY!Z2037</f>
        <v>0</v>
      </c>
      <c r="H2045" s="111" t="str">
        <f>IFERROR(VLOOKUP(Table1722[[#This Row],[Bukti]],'Un nOTA'!$A$4:$K$5003,10,FALSE),"")</f>
        <v/>
      </c>
      <c r="I2045" s="112" t="str">
        <f>IFERROR(VLOOKUP(Table1722[[#This Row],[Bukti]],Table13[#Data],11,FALSE),"")</f>
        <v/>
      </c>
    </row>
    <row r="2046" spans="1:9" ht="19.5" hidden="1" customHeight="1" x14ac:dyDescent="0.2">
      <c r="A2046" s="105" t="str">
        <f>IF(D2046=1,COUNTIF($D$10:D2046,1)," ")</f>
        <v xml:space="preserve"> </v>
      </c>
      <c r="B2046" s="106">
        <f>COPY!AR2038</f>
        <v>0</v>
      </c>
      <c r="C2046" s="107">
        <f>COPY!AC2038</f>
        <v>0</v>
      </c>
      <c r="D2046" s="107" t="str">
        <f>IF(LEN(Table1722[[#This Row],[Uraian]])&gt;2,1," ")</f>
        <v xml:space="preserve"> </v>
      </c>
      <c r="E2046" s="113" t="str">
        <f>IF(Table1722[[#This Row],[Lawan Transaksi]]="CV AGUNG KARYA",COUNTIF($I$10:I2046,"CV AGUNG KARYA")," ")</f>
        <v xml:space="preserve"> </v>
      </c>
      <c r="F2046" s="107" t="str">
        <f>IF(LEN(Table1722[[#This Row],[Uraian]])&gt;2,TRIM(RIGHT(SUBSTITUTE(TRIM(C2046)," ",REPT(" ",255)),255))," ")</f>
        <v xml:space="preserve"> </v>
      </c>
      <c r="G2046" s="110">
        <f>COPY!Z2038</f>
        <v>0</v>
      </c>
      <c r="H2046" s="111" t="str">
        <f>IFERROR(VLOOKUP(Table1722[[#This Row],[Bukti]],'Un nOTA'!$A$4:$K$5003,10,FALSE),"")</f>
        <v/>
      </c>
      <c r="I2046" s="112" t="str">
        <f>IFERROR(VLOOKUP(Table1722[[#This Row],[Bukti]],Table13[#Data],11,FALSE),"")</f>
        <v/>
      </c>
    </row>
    <row r="2047" spans="1:9" ht="19.5" hidden="1" customHeight="1" x14ac:dyDescent="0.2">
      <c r="A2047" s="105" t="str">
        <f>IF(D2047=1,COUNTIF($D$10:D2047,1)," ")</f>
        <v xml:space="preserve"> </v>
      </c>
      <c r="B2047" s="106">
        <f>COPY!AR2039</f>
        <v>0</v>
      </c>
      <c r="C2047" s="107">
        <f>COPY!AC2039</f>
        <v>0</v>
      </c>
      <c r="D2047" s="107" t="str">
        <f>IF(LEN(Table1722[[#This Row],[Uraian]])&gt;2,1," ")</f>
        <v xml:space="preserve"> </v>
      </c>
      <c r="E2047" s="113" t="str">
        <f>IF(Table1722[[#This Row],[Lawan Transaksi]]="CV AGUNG KARYA",COUNTIF($I$10:I2047,"CV AGUNG KARYA")," ")</f>
        <v xml:space="preserve"> </v>
      </c>
      <c r="F2047" s="107" t="str">
        <f>IF(LEN(Table1722[[#This Row],[Uraian]])&gt;2,TRIM(RIGHT(SUBSTITUTE(TRIM(C2047)," ",REPT(" ",255)),255))," ")</f>
        <v xml:space="preserve"> </v>
      </c>
      <c r="G2047" s="110">
        <f>COPY!Z2039</f>
        <v>0</v>
      </c>
      <c r="H2047" s="111" t="str">
        <f>IFERROR(VLOOKUP(Table1722[[#This Row],[Bukti]],'Un nOTA'!$A$4:$K$5003,10,FALSE),"")</f>
        <v/>
      </c>
      <c r="I2047" s="112" t="str">
        <f>IFERROR(VLOOKUP(Table1722[[#This Row],[Bukti]],Table13[#Data],11,FALSE),"")</f>
        <v/>
      </c>
    </row>
    <row r="2048" spans="1:9" ht="19.5" hidden="1" customHeight="1" x14ac:dyDescent="0.2">
      <c r="A2048" s="105" t="str">
        <f>IF(D2048=1,COUNTIF($D$10:D2048,1)," ")</f>
        <v xml:space="preserve"> </v>
      </c>
      <c r="B2048" s="106">
        <f>COPY!AR2040</f>
        <v>0</v>
      </c>
      <c r="C2048" s="107">
        <f>COPY!AC2040</f>
        <v>0</v>
      </c>
      <c r="D2048" s="107" t="str">
        <f>IF(LEN(Table1722[[#This Row],[Uraian]])&gt;2,1," ")</f>
        <v xml:space="preserve"> </v>
      </c>
      <c r="E2048" s="113" t="str">
        <f>IF(Table1722[[#This Row],[Lawan Transaksi]]="CV AGUNG KARYA",COUNTIF($I$10:I2048,"CV AGUNG KARYA")," ")</f>
        <v xml:space="preserve"> </v>
      </c>
      <c r="F2048" s="107" t="str">
        <f>IF(LEN(Table1722[[#This Row],[Uraian]])&gt;2,TRIM(RIGHT(SUBSTITUTE(TRIM(C2048)," ",REPT(" ",255)),255))," ")</f>
        <v xml:space="preserve"> </v>
      </c>
      <c r="G2048" s="110">
        <f>COPY!Z2040</f>
        <v>0</v>
      </c>
      <c r="H2048" s="111" t="str">
        <f>IFERROR(VLOOKUP(Table1722[[#This Row],[Bukti]],'Un nOTA'!$A$4:$K$5003,10,FALSE),"")</f>
        <v/>
      </c>
      <c r="I2048" s="112" t="str">
        <f>IFERROR(VLOOKUP(Table1722[[#This Row],[Bukti]],Table13[#Data],11,FALSE),"")</f>
        <v/>
      </c>
    </row>
    <row r="2049" spans="1:9" ht="19.5" hidden="1" customHeight="1" x14ac:dyDescent="0.2">
      <c r="A2049" s="105" t="str">
        <f>IF(D2049=1,COUNTIF($D$10:D2049,1)," ")</f>
        <v xml:space="preserve"> </v>
      </c>
      <c r="B2049" s="106">
        <f>COPY!AR2041</f>
        <v>0</v>
      </c>
      <c r="C2049" s="107">
        <f>COPY!AC2041</f>
        <v>0</v>
      </c>
      <c r="D2049" s="107" t="str">
        <f>IF(LEN(Table1722[[#This Row],[Uraian]])&gt;2,1," ")</f>
        <v xml:space="preserve"> </v>
      </c>
      <c r="E2049" s="113" t="str">
        <f>IF(Table1722[[#This Row],[Lawan Transaksi]]="CV AGUNG KARYA",COUNTIF($I$10:I2049,"CV AGUNG KARYA")," ")</f>
        <v xml:space="preserve"> </v>
      </c>
      <c r="F2049" s="107" t="str">
        <f>IF(LEN(Table1722[[#This Row],[Uraian]])&gt;2,TRIM(RIGHT(SUBSTITUTE(TRIM(C2049)," ",REPT(" ",255)),255))," ")</f>
        <v xml:space="preserve"> </v>
      </c>
      <c r="G2049" s="110">
        <f>COPY!Z2041</f>
        <v>0</v>
      </c>
      <c r="H2049" s="111" t="str">
        <f>IFERROR(VLOOKUP(Table1722[[#This Row],[Bukti]],'Un nOTA'!$A$4:$K$5003,10,FALSE),"")</f>
        <v/>
      </c>
      <c r="I2049" s="112" t="str">
        <f>IFERROR(VLOOKUP(Table1722[[#This Row],[Bukti]],Table13[#Data],11,FALSE),"")</f>
        <v/>
      </c>
    </row>
    <row r="2050" spans="1:9" ht="19.5" hidden="1" customHeight="1" x14ac:dyDescent="0.2">
      <c r="A2050" s="105" t="str">
        <f>IF(D2050=1,COUNTIF($D$10:D2050,1)," ")</f>
        <v xml:space="preserve"> </v>
      </c>
      <c r="B2050" s="106">
        <f>COPY!AR2042</f>
        <v>0</v>
      </c>
      <c r="C2050" s="107">
        <f>COPY!AC2042</f>
        <v>0</v>
      </c>
      <c r="D2050" s="107" t="str">
        <f>IF(LEN(Table1722[[#This Row],[Uraian]])&gt;2,1," ")</f>
        <v xml:space="preserve"> </v>
      </c>
      <c r="E2050" s="113" t="str">
        <f>IF(Table1722[[#This Row],[Lawan Transaksi]]="CV AGUNG KARYA",COUNTIF($I$10:I2050,"CV AGUNG KARYA")," ")</f>
        <v xml:space="preserve"> </v>
      </c>
      <c r="F2050" s="107" t="str">
        <f>IF(LEN(Table1722[[#This Row],[Uraian]])&gt;2,TRIM(RIGHT(SUBSTITUTE(TRIM(C2050)," ",REPT(" ",255)),255))," ")</f>
        <v xml:space="preserve"> </v>
      </c>
      <c r="G2050" s="110">
        <f>COPY!Z2042</f>
        <v>0</v>
      </c>
      <c r="H2050" s="111" t="str">
        <f>IFERROR(VLOOKUP(Table1722[[#This Row],[Bukti]],'Un nOTA'!$A$4:$K$5003,10,FALSE),"")</f>
        <v/>
      </c>
      <c r="I2050" s="112" t="str">
        <f>IFERROR(VLOOKUP(Table1722[[#This Row],[Bukti]],Table13[#Data],11,FALSE),"")</f>
        <v/>
      </c>
    </row>
    <row r="2051" spans="1:9" ht="19.5" hidden="1" customHeight="1" x14ac:dyDescent="0.2">
      <c r="A2051" s="105" t="str">
        <f>IF(D2051=1,COUNTIF($D$10:D2051,1)," ")</f>
        <v xml:space="preserve"> </v>
      </c>
      <c r="B2051" s="106">
        <f>COPY!AR2043</f>
        <v>0</v>
      </c>
      <c r="C2051" s="107">
        <f>COPY!AC2043</f>
        <v>0</v>
      </c>
      <c r="D2051" s="107" t="str">
        <f>IF(LEN(Table1722[[#This Row],[Uraian]])&gt;2,1," ")</f>
        <v xml:space="preserve"> </v>
      </c>
      <c r="E2051" s="113" t="str">
        <f>IF(Table1722[[#This Row],[Lawan Transaksi]]="CV AGUNG KARYA",COUNTIF($I$10:I2051,"CV AGUNG KARYA")," ")</f>
        <v xml:space="preserve"> </v>
      </c>
      <c r="F2051" s="107" t="str">
        <f>IF(LEN(Table1722[[#This Row],[Uraian]])&gt;2,TRIM(RIGHT(SUBSTITUTE(TRIM(C2051)," ",REPT(" ",255)),255))," ")</f>
        <v xml:space="preserve"> </v>
      </c>
      <c r="G2051" s="110">
        <f>COPY!Z2043</f>
        <v>0</v>
      </c>
      <c r="H2051" s="111" t="str">
        <f>IFERROR(VLOOKUP(Table1722[[#This Row],[Bukti]],'Un nOTA'!$A$4:$K$5003,10,FALSE),"")</f>
        <v/>
      </c>
      <c r="I2051" s="112" t="str">
        <f>IFERROR(VLOOKUP(Table1722[[#This Row],[Bukti]],Table13[#Data],11,FALSE),"")</f>
        <v/>
      </c>
    </row>
    <row r="2052" spans="1:9" ht="19.5" hidden="1" customHeight="1" x14ac:dyDescent="0.2">
      <c r="A2052" s="105" t="str">
        <f>IF(D2052=1,COUNTIF($D$10:D2052,1)," ")</f>
        <v xml:space="preserve"> </v>
      </c>
      <c r="B2052" s="106">
        <f>COPY!AR2044</f>
        <v>0</v>
      </c>
      <c r="C2052" s="107">
        <f>COPY!AC2044</f>
        <v>0</v>
      </c>
      <c r="D2052" s="107" t="str">
        <f>IF(LEN(Table1722[[#This Row],[Uraian]])&gt;2,1," ")</f>
        <v xml:space="preserve"> </v>
      </c>
      <c r="E2052" s="113" t="str">
        <f>IF(Table1722[[#This Row],[Lawan Transaksi]]="CV AGUNG KARYA",COUNTIF($I$10:I2052,"CV AGUNG KARYA")," ")</f>
        <v xml:space="preserve"> </v>
      </c>
      <c r="F2052" s="107" t="str">
        <f>IF(LEN(Table1722[[#This Row],[Uraian]])&gt;2,TRIM(RIGHT(SUBSTITUTE(TRIM(C2052)," ",REPT(" ",255)),255))," ")</f>
        <v xml:space="preserve"> </v>
      </c>
      <c r="G2052" s="110">
        <f>COPY!Z2044</f>
        <v>0</v>
      </c>
      <c r="H2052" s="111" t="str">
        <f>IFERROR(VLOOKUP(Table1722[[#This Row],[Bukti]],'Un nOTA'!$A$4:$K$5003,10,FALSE),"")</f>
        <v/>
      </c>
      <c r="I2052" s="112" t="str">
        <f>IFERROR(VLOOKUP(Table1722[[#This Row],[Bukti]],Table13[#Data],11,FALSE),"")</f>
        <v/>
      </c>
    </row>
    <row r="2053" spans="1:9" ht="19.5" hidden="1" customHeight="1" x14ac:dyDescent="0.2">
      <c r="A2053" s="105" t="str">
        <f>IF(D2053=1,COUNTIF($D$10:D2053,1)," ")</f>
        <v xml:space="preserve"> </v>
      </c>
      <c r="B2053" s="106">
        <f>COPY!AR2045</f>
        <v>0</v>
      </c>
      <c r="C2053" s="107">
        <f>COPY!AC2045</f>
        <v>0</v>
      </c>
      <c r="D2053" s="107" t="str">
        <f>IF(LEN(Table1722[[#This Row],[Uraian]])&gt;2,1," ")</f>
        <v xml:space="preserve"> </v>
      </c>
      <c r="E2053" s="113" t="str">
        <f>IF(Table1722[[#This Row],[Lawan Transaksi]]="CV AGUNG KARYA",COUNTIF($I$10:I2053,"CV AGUNG KARYA")," ")</f>
        <v xml:space="preserve"> </v>
      </c>
      <c r="F2053" s="107" t="str">
        <f>IF(LEN(Table1722[[#This Row],[Uraian]])&gt;2,TRIM(RIGHT(SUBSTITUTE(TRIM(C2053)," ",REPT(" ",255)),255))," ")</f>
        <v xml:space="preserve"> </v>
      </c>
      <c r="G2053" s="110">
        <f>COPY!Z2045</f>
        <v>0</v>
      </c>
      <c r="H2053" s="111" t="str">
        <f>IFERROR(VLOOKUP(Table1722[[#This Row],[Bukti]],'Un nOTA'!$A$4:$K$5003,10,FALSE),"")</f>
        <v/>
      </c>
      <c r="I2053" s="112" t="str">
        <f>IFERROR(VLOOKUP(Table1722[[#This Row],[Bukti]],Table13[#Data],11,FALSE),"")</f>
        <v/>
      </c>
    </row>
    <row r="2054" spans="1:9" ht="19.5" hidden="1" customHeight="1" x14ac:dyDescent="0.2">
      <c r="A2054" s="105" t="str">
        <f>IF(D2054=1,COUNTIF($D$10:D2054,1)," ")</f>
        <v xml:space="preserve"> </v>
      </c>
      <c r="B2054" s="106">
        <f>COPY!AR2046</f>
        <v>0</v>
      </c>
      <c r="C2054" s="107">
        <f>COPY!AC2046</f>
        <v>0</v>
      </c>
      <c r="D2054" s="107" t="str">
        <f>IF(LEN(Table1722[[#This Row],[Uraian]])&gt;2,1," ")</f>
        <v xml:space="preserve"> </v>
      </c>
      <c r="E2054" s="113" t="str">
        <f>IF(Table1722[[#This Row],[Lawan Transaksi]]="CV AGUNG KARYA",COUNTIF($I$10:I2054,"CV AGUNG KARYA")," ")</f>
        <v xml:space="preserve"> </v>
      </c>
      <c r="F2054" s="107" t="str">
        <f>IF(LEN(Table1722[[#This Row],[Uraian]])&gt;2,TRIM(RIGHT(SUBSTITUTE(TRIM(C2054)," ",REPT(" ",255)),255))," ")</f>
        <v xml:space="preserve"> </v>
      </c>
      <c r="G2054" s="110">
        <f>COPY!Z2046</f>
        <v>0</v>
      </c>
      <c r="H2054" s="111" t="str">
        <f>IFERROR(VLOOKUP(Table1722[[#This Row],[Bukti]],'Un nOTA'!$A$4:$K$5003,10,FALSE),"")</f>
        <v/>
      </c>
      <c r="I2054" s="112" t="str">
        <f>IFERROR(VLOOKUP(Table1722[[#This Row],[Bukti]],Table13[#Data],11,FALSE),"")</f>
        <v/>
      </c>
    </row>
    <row r="2055" spans="1:9" ht="19.5" hidden="1" customHeight="1" x14ac:dyDescent="0.2">
      <c r="A2055" s="105" t="str">
        <f>IF(D2055=1,COUNTIF($D$10:D2055,1)," ")</f>
        <v xml:space="preserve"> </v>
      </c>
      <c r="B2055" s="106">
        <f>COPY!AR2047</f>
        <v>0</v>
      </c>
      <c r="C2055" s="107">
        <f>COPY!AC2047</f>
        <v>0</v>
      </c>
      <c r="D2055" s="107" t="str">
        <f>IF(LEN(Table1722[[#This Row],[Uraian]])&gt;2,1," ")</f>
        <v xml:space="preserve"> </v>
      </c>
      <c r="E2055" s="113" t="str">
        <f>IF(Table1722[[#This Row],[Lawan Transaksi]]="CV AGUNG KARYA",COUNTIF($I$10:I2055,"CV AGUNG KARYA")," ")</f>
        <v xml:space="preserve"> </v>
      </c>
      <c r="F2055" s="107" t="str">
        <f>IF(LEN(Table1722[[#This Row],[Uraian]])&gt;2,TRIM(RIGHT(SUBSTITUTE(TRIM(C2055)," ",REPT(" ",255)),255))," ")</f>
        <v xml:space="preserve"> </v>
      </c>
      <c r="G2055" s="110">
        <f>COPY!Z2047</f>
        <v>0</v>
      </c>
      <c r="H2055" s="111" t="str">
        <f>IFERROR(VLOOKUP(Table1722[[#This Row],[Bukti]],'Un nOTA'!$A$4:$K$5003,10,FALSE),"")</f>
        <v/>
      </c>
      <c r="I2055" s="112" t="str">
        <f>IFERROR(VLOOKUP(Table1722[[#This Row],[Bukti]],Table13[#Data],11,FALSE),"")</f>
        <v/>
      </c>
    </row>
    <row r="2056" spans="1:9" ht="19.5" hidden="1" customHeight="1" x14ac:dyDescent="0.2">
      <c r="A2056" s="105" t="str">
        <f>IF(D2056=1,COUNTIF($D$10:D2056,1)," ")</f>
        <v xml:space="preserve"> </v>
      </c>
      <c r="B2056" s="106">
        <f>COPY!AR2048</f>
        <v>0</v>
      </c>
      <c r="C2056" s="107">
        <f>COPY!AC2048</f>
        <v>0</v>
      </c>
      <c r="D2056" s="107" t="str">
        <f>IF(LEN(Table1722[[#This Row],[Uraian]])&gt;2,1," ")</f>
        <v xml:space="preserve"> </v>
      </c>
      <c r="E2056" s="113" t="str">
        <f>IF(Table1722[[#This Row],[Lawan Transaksi]]="CV AGUNG KARYA",COUNTIF($I$10:I2056,"CV AGUNG KARYA")," ")</f>
        <v xml:space="preserve"> </v>
      </c>
      <c r="F2056" s="107" t="str">
        <f>IF(LEN(Table1722[[#This Row],[Uraian]])&gt;2,TRIM(RIGHT(SUBSTITUTE(TRIM(C2056)," ",REPT(" ",255)),255))," ")</f>
        <v xml:space="preserve"> </v>
      </c>
      <c r="G2056" s="110">
        <f>COPY!Z2048</f>
        <v>0</v>
      </c>
      <c r="H2056" s="111" t="str">
        <f>IFERROR(VLOOKUP(Table1722[[#This Row],[Bukti]],'Un nOTA'!$A$4:$K$5003,10,FALSE),"")</f>
        <v/>
      </c>
      <c r="I2056" s="112" t="str">
        <f>IFERROR(VLOOKUP(Table1722[[#This Row],[Bukti]],Table13[#Data],11,FALSE),"")</f>
        <v/>
      </c>
    </row>
    <row r="2057" spans="1:9" ht="19.5" hidden="1" customHeight="1" x14ac:dyDescent="0.2">
      <c r="A2057" s="105" t="str">
        <f>IF(D2057=1,COUNTIF($D$10:D2057,1)," ")</f>
        <v xml:space="preserve"> </v>
      </c>
      <c r="B2057" s="106">
        <f>COPY!AR2049</f>
        <v>0</v>
      </c>
      <c r="C2057" s="107">
        <f>COPY!AC2049</f>
        <v>0</v>
      </c>
      <c r="D2057" s="107" t="str">
        <f>IF(LEN(Table1722[[#This Row],[Uraian]])&gt;2,1," ")</f>
        <v xml:space="preserve"> </v>
      </c>
      <c r="E2057" s="113" t="str">
        <f>IF(Table1722[[#This Row],[Lawan Transaksi]]="CV AGUNG KARYA",COUNTIF($I$10:I2057,"CV AGUNG KARYA")," ")</f>
        <v xml:space="preserve"> </v>
      </c>
      <c r="F2057" s="107" t="str">
        <f>IF(LEN(Table1722[[#This Row],[Uraian]])&gt;2,TRIM(RIGHT(SUBSTITUTE(TRIM(C2057)," ",REPT(" ",255)),255))," ")</f>
        <v xml:space="preserve"> </v>
      </c>
      <c r="G2057" s="110">
        <f>COPY!Z2049</f>
        <v>0</v>
      </c>
      <c r="H2057" s="111" t="str">
        <f>IFERROR(VLOOKUP(Table1722[[#This Row],[Bukti]],'Un nOTA'!$A$4:$K$5003,10,FALSE),"")</f>
        <v/>
      </c>
      <c r="I2057" s="112" t="str">
        <f>IFERROR(VLOOKUP(Table1722[[#This Row],[Bukti]],Table13[#Data],11,FALSE),"")</f>
        <v/>
      </c>
    </row>
    <row r="2058" spans="1:9" ht="19.5" hidden="1" customHeight="1" x14ac:dyDescent="0.2">
      <c r="A2058" s="105" t="str">
        <f>IF(D2058=1,COUNTIF($D$10:D2058,1)," ")</f>
        <v xml:space="preserve"> </v>
      </c>
      <c r="B2058" s="106">
        <f>COPY!AR2050</f>
        <v>0</v>
      </c>
      <c r="C2058" s="107">
        <f>COPY!AC2050</f>
        <v>0</v>
      </c>
      <c r="D2058" s="107" t="str">
        <f>IF(LEN(Table1722[[#This Row],[Uraian]])&gt;2,1," ")</f>
        <v xml:space="preserve"> </v>
      </c>
      <c r="E2058" s="113" t="str">
        <f>IF(Table1722[[#This Row],[Lawan Transaksi]]="CV AGUNG KARYA",COUNTIF($I$10:I2058,"CV AGUNG KARYA")," ")</f>
        <v xml:space="preserve"> </v>
      </c>
      <c r="F2058" s="107" t="str">
        <f>IF(LEN(Table1722[[#This Row],[Uraian]])&gt;2,TRIM(RIGHT(SUBSTITUTE(TRIM(C2058)," ",REPT(" ",255)),255))," ")</f>
        <v xml:space="preserve"> </v>
      </c>
      <c r="G2058" s="110">
        <f>COPY!Z2050</f>
        <v>0</v>
      </c>
      <c r="H2058" s="111" t="str">
        <f>IFERROR(VLOOKUP(Table1722[[#This Row],[Bukti]],'Un nOTA'!$A$4:$K$5003,10,FALSE),"")</f>
        <v/>
      </c>
      <c r="I2058" s="112" t="str">
        <f>IFERROR(VLOOKUP(Table1722[[#This Row],[Bukti]],Table13[#Data],11,FALSE),"")</f>
        <v/>
      </c>
    </row>
    <row r="2059" spans="1:9" ht="19.5" hidden="1" customHeight="1" x14ac:dyDescent="0.2">
      <c r="A2059" s="105" t="str">
        <f>IF(D2059=1,COUNTIF($D$10:D2059,1)," ")</f>
        <v xml:space="preserve"> </v>
      </c>
      <c r="B2059" s="106">
        <f>COPY!AR2051</f>
        <v>0</v>
      </c>
      <c r="C2059" s="107">
        <f>COPY!AC2051</f>
        <v>0</v>
      </c>
      <c r="D2059" s="107" t="str">
        <f>IF(LEN(Table1722[[#This Row],[Uraian]])&gt;2,1," ")</f>
        <v xml:space="preserve"> </v>
      </c>
      <c r="E2059" s="113" t="str">
        <f>IF(Table1722[[#This Row],[Lawan Transaksi]]="CV AGUNG KARYA",COUNTIF($I$10:I2059,"CV AGUNG KARYA")," ")</f>
        <v xml:space="preserve"> </v>
      </c>
      <c r="F2059" s="107" t="str">
        <f>IF(LEN(Table1722[[#This Row],[Uraian]])&gt;2,TRIM(RIGHT(SUBSTITUTE(TRIM(C2059)," ",REPT(" ",255)),255))," ")</f>
        <v xml:space="preserve"> </v>
      </c>
      <c r="G2059" s="110">
        <f>COPY!Z2051</f>
        <v>0</v>
      </c>
      <c r="H2059" s="111" t="str">
        <f>IFERROR(VLOOKUP(Table1722[[#This Row],[Bukti]],'Un nOTA'!$A$4:$K$5003,10,FALSE),"")</f>
        <v/>
      </c>
      <c r="I2059" s="112" t="str">
        <f>IFERROR(VLOOKUP(Table1722[[#This Row],[Bukti]],Table13[#Data],11,FALSE),"")</f>
        <v/>
      </c>
    </row>
    <row r="2060" spans="1:9" ht="19.5" hidden="1" customHeight="1" x14ac:dyDescent="0.2">
      <c r="A2060" s="105" t="str">
        <f>IF(D2060=1,COUNTIF($D$10:D2060,1)," ")</f>
        <v xml:space="preserve"> </v>
      </c>
      <c r="B2060" s="106">
        <f>COPY!AR2052</f>
        <v>0</v>
      </c>
      <c r="C2060" s="107">
        <f>COPY!AC2052</f>
        <v>0</v>
      </c>
      <c r="D2060" s="107" t="str">
        <f>IF(LEN(Table1722[[#This Row],[Uraian]])&gt;2,1," ")</f>
        <v xml:space="preserve"> </v>
      </c>
      <c r="E2060" s="113" t="str">
        <f>IF(Table1722[[#This Row],[Lawan Transaksi]]="CV AGUNG KARYA",COUNTIF($I$10:I2060,"CV AGUNG KARYA")," ")</f>
        <v xml:space="preserve"> </v>
      </c>
      <c r="F2060" s="107" t="str">
        <f>IF(LEN(Table1722[[#This Row],[Uraian]])&gt;2,TRIM(RIGHT(SUBSTITUTE(TRIM(C2060)," ",REPT(" ",255)),255))," ")</f>
        <v xml:space="preserve"> </v>
      </c>
      <c r="G2060" s="110">
        <f>COPY!Z2052</f>
        <v>0</v>
      </c>
      <c r="H2060" s="111" t="str">
        <f>IFERROR(VLOOKUP(Table1722[[#This Row],[Bukti]],'Un nOTA'!$A$4:$K$5003,10,FALSE),"")</f>
        <v/>
      </c>
      <c r="I2060" s="112" t="str">
        <f>IFERROR(VLOOKUP(Table1722[[#This Row],[Bukti]],Table13[#Data],11,FALSE),"")</f>
        <v/>
      </c>
    </row>
    <row r="2061" spans="1:9" ht="19.5" hidden="1" customHeight="1" x14ac:dyDescent="0.2">
      <c r="A2061" s="105" t="str">
        <f>IF(D2061=1,COUNTIF($D$10:D2061,1)," ")</f>
        <v xml:space="preserve"> </v>
      </c>
      <c r="B2061" s="106">
        <f>COPY!AR2053</f>
        <v>0</v>
      </c>
      <c r="C2061" s="107">
        <f>COPY!AC2053</f>
        <v>0</v>
      </c>
      <c r="D2061" s="107" t="str">
        <f>IF(LEN(Table1722[[#This Row],[Uraian]])&gt;2,1," ")</f>
        <v xml:space="preserve"> </v>
      </c>
      <c r="E2061" s="113" t="str">
        <f>IF(Table1722[[#This Row],[Lawan Transaksi]]="CV AGUNG KARYA",COUNTIF($I$10:I2061,"CV AGUNG KARYA")," ")</f>
        <v xml:space="preserve"> </v>
      </c>
      <c r="F2061" s="107" t="str">
        <f>IF(LEN(Table1722[[#This Row],[Uraian]])&gt;2,TRIM(RIGHT(SUBSTITUTE(TRIM(C2061)," ",REPT(" ",255)),255))," ")</f>
        <v xml:space="preserve"> </v>
      </c>
      <c r="G2061" s="110">
        <f>COPY!Z2053</f>
        <v>0</v>
      </c>
      <c r="H2061" s="111" t="str">
        <f>IFERROR(VLOOKUP(Table1722[[#This Row],[Bukti]],'Un nOTA'!$A$4:$K$5003,10,FALSE),"")</f>
        <v/>
      </c>
      <c r="I2061" s="112" t="str">
        <f>IFERROR(VLOOKUP(Table1722[[#This Row],[Bukti]],Table13[#Data],11,FALSE),"")</f>
        <v/>
      </c>
    </row>
    <row r="2062" spans="1:9" ht="19.5" hidden="1" customHeight="1" x14ac:dyDescent="0.2">
      <c r="A2062" s="105" t="str">
        <f>IF(D2062=1,COUNTIF($D$10:D2062,1)," ")</f>
        <v xml:space="preserve"> </v>
      </c>
      <c r="B2062" s="106">
        <f>COPY!AR2054</f>
        <v>0</v>
      </c>
      <c r="C2062" s="107">
        <f>COPY!AC2054</f>
        <v>0</v>
      </c>
      <c r="D2062" s="107" t="str">
        <f>IF(LEN(Table1722[[#This Row],[Uraian]])&gt;2,1," ")</f>
        <v xml:space="preserve"> </v>
      </c>
      <c r="E2062" s="113" t="str">
        <f>IF(Table1722[[#This Row],[Lawan Transaksi]]="CV AGUNG KARYA",COUNTIF($I$10:I2062,"CV AGUNG KARYA")," ")</f>
        <v xml:space="preserve"> </v>
      </c>
      <c r="F2062" s="107" t="str">
        <f>IF(LEN(Table1722[[#This Row],[Uraian]])&gt;2,TRIM(RIGHT(SUBSTITUTE(TRIM(C2062)," ",REPT(" ",255)),255))," ")</f>
        <v xml:space="preserve"> </v>
      </c>
      <c r="G2062" s="110">
        <f>COPY!Z2054</f>
        <v>0</v>
      </c>
      <c r="H2062" s="111" t="str">
        <f>IFERROR(VLOOKUP(Table1722[[#This Row],[Bukti]],'Un nOTA'!$A$4:$K$5003,10,FALSE),"")</f>
        <v/>
      </c>
      <c r="I2062" s="112" t="str">
        <f>IFERROR(VLOOKUP(Table1722[[#This Row],[Bukti]],Table13[#Data],11,FALSE),"")</f>
        <v/>
      </c>
    </row>
    <row r="2063" spans="1:9" ht="19.5" hidden="1" customHeight="1" x14ac:dyDescent="0.2">
      <c r="A2063" s="105" t="str">
        <f>IF(D2063=1,COUNTIF($D$10:D2063,1)," ")</f>
        <v xml:space="preserve"> </v>
      </c>
      <c r="B2063" s="106">
        <f>COPY!AR2055</f>
        <v>0</v>
      </c>
      <c r="C2063" s="107">
        <f>COPY!AC2055</f>
        <v>0</v>
      </c>
      <c r="D2063" s="107" t="str">
        <f>IF(LEN(Table1722[[#This Row],[Uraian]])&gt;2,1," ")</f>
        <v xml:space="preserve"> </v>
      </c>
      <c r="E2063" s="113" t="str">
        <f>IF(Table1722[[#This Row],[Lawan Transaksi]]="CV AGUNG KARYA",COUNTIF($I$10:I2063,"CV AGUNG KARYA")," ")</f>
        <v xml:space="preserve"> </v>
      </c>
      <c r="F2063" s="107" t="str">
        <f>IF(LEN(Table1722[[#This Row],[Uraian]])&gt;2,TRIM(RIGHT(SUBSTITUTE(TRIM(C2063)," ",REPT(" ",255)),255))," ")</f>
        <v xml:space="preserve"> </v>
      </c>
      <c r="G2063" s="110">
        <f>COPY!Z2055</f>
        <v>0</v>
      </c>
      <c r="H2063" s="111" t="str">
        <f>IFERROR(VLOOKUP(Table1722[[#This Row],[Bukti]],'Un nOTA'!$A$4:$K$5003,10,FALSE),"")</f>
        <v/>
      </c>
      <c r="I2063" s="112" t="str">
        <f>IFERROR(VLOOKUP(Table1722[[#This Row],[Bukti]],Table13[#Data],11,FALSE),"")</f>
        <v/>
      </c>
    </row>
    <row r="2064" spans="1:9" ht="19.5" hidden="1" customHeight="1" x14ac:dyDescent="0.2">
      <c r="A2064" s="105" t="str">
        <f>IF(D2064=1,COUNTIF($D$10:D2064,1)," ")</f>
        <v xml:space="preserve"> </v>
      </c>
      <c r="B2064" s="106">
        <f>COPY!AR2056</f>
        <v>0</v>
      </c>
      <c r="C2064" s="107">
        <f>COPY!AC2056</f>
        <v>0</v>
      </c>
      <c r="D2064" s="107" t="str">
        <f>IF(LEN(Table1722[[#This Row],[Uraian]])&gt;2,1," ")</f>
        <v xml:space="preserve"> </v>
      </c>
      <c r="E2064" s="113" t="str">
        <f>IF(Table1722[[#This Row],[Lawan Transaksi]]="CV AGUNG KARYA",COUNTIF($I$10:I2064,"CV AGUNG KARYA")," ")</f>
        <v xml:space="preserve"> </v>
      </c>
      <c r="F2064" s="107" t="str">
        <f>IF(LEN(Table1722[[#This Row],[Uraian]])&gt;2,TRIM(RIGHT(SUBSTITUTE(TRIM(C2064)," ",REPT(" ",255)),255))," ")</f>
        <v xml:space="preserve"> </v>
      </c>
      <c r="G2064" s="110">
        <f>COPY!Z2056</f>
        <v>0</v>
      </c>
      <c r="H2064" s="111" t="str">
        <f>IFERROR(VLOOKUP(Table1722[[#This Row],[Bukti]],'Un nOTA'!$A$4:$K$5003,10,FALSE),"")</f>
        <v/>
      </c>
      <c r="I2064" s="112" t="str">
        <f>IFERROR(VLOOKUP(Table1722[[#This Row],[Bukti]],Table13[#Data],11,FALSE),"")</f>
        <v/>
      </c>
    </row>
    <row r="2065" spans="1:9" ht="19.5" hidden="1" customHeight="1" x14ac:dyDescent="0.2">
      <c r="A2065" s="105" t="str">
        <f>IF(D2065=1,COUNTIF($D$10:D2065,1)," ")</f>
        <v xml:space="preserve"> </v>
      </c>
      <c r="B2065" s="106">
        <f>COPY!AR2057</f>
        <v>0</v>
      </c>
      <c r="C2065" s="107">
        <f>COPY!AC2057</f>
        <v>0</v>
      </c>
      <c r="D2065" s="107" t="str">
        <f>IF(LEN(Table1722[[#This Row],[Uraian]])&gt;2,1," ")</f>
        <v xml:space="preserve"> </v>
      </c>
      <c r="E2065" s="113" t="str">
        <f>IF(Table1722[[#This Row],[Lawan Transaksi]]="CV AGUNG KARYA",COUNTIF($I$10:I2065,"CV AGUNG KARYA")," ")</f>
        <v xml:space="preserve"> </v>
      </c>
      <c r="F2065" s="107" t="str">
        <f>IF(LEN(Table1722[[#This Row],[Uraian]])&gt;2,TRIM(RIGHT(SUBSTITUTE(TRIM(C2065)," ",REPT(" ",255)),255))," ")</f>
        <v xml:space="preserve"> </v>
      </c>
      <c r="G2065" s="110">
        <f>COPY!Z2057</f>
        <v>0</v>
      </c>
      <c r="H2065" s="111" t="str">
        <f>IFERROR(VLOOKUP(Table1722[[#This Row],[Bukti]],'Un nOTA'!$A$4:$K$5003,10,FALSE),"")</f>
        <v/>
      </c>
      <c r="I2065" s="112" t="str">
        <f>IFERROR(VLOOKUP(Table1722[[#This Row],[Bukti]],Table13[#Data],11,FALSE),"")</f>
        <v/>
      </c>
    </row>
    <row r="2066" spans="1:9" ht="19.5" hidden="1" customHeight="1" x14ac:dyDescent="0.2">
      <c r="A2066" s="105" t="str">
        <f>IF(D2066=1,COUNTIF($D$10:D2066,1)," ")</f>
        <v xml:space="preserve"> </v>
      </c>
      <c r="B2066" s="106">
        <f>COPY!AR2058</f>
        <v>0</v>
      </c>
      <c r="C2066" s="107">
        <f>COPY!AC2058</f>
        <v>0</v>
      </c>
      <c r="D2066" s="107" t="str">
        <f>IF(LEN(Table1722[[#This Row],[Uraian]])&gt;2,1," ")</f>
        <v xml:space="preserve"> </v>
      </c>
      <c r="E2066" s="113" t="str">
        <f>IF(Table1722[[#This Row],[Lawan Transaksi]]="CV AGUNG KARYA",COUNTIF($I$10:I2066,"CV AGUNG KARYA")," ")</f>
        <v xml:space="preserve"> </v>
      </c>
      <c r="F2066" s="107" t="str">
        <f>IF(LEN(Table1722[[#This Row],[Uraian]])&gt;2,TRIM(RIGHT(SUBSTITUTE(TRIM(C2066)," ",REPT(" ",255)),255))," ")</f>
        <v xml:space="preserve"> </v>
      </c>
      <c r="G2066" s="110">
        <f>COPY!Z2058</f>
        <v>0</v>
      </c>
      <c r="H2066" s="111" t="str">
        <f>IFERROR(VLOOKUP(Table1722[[#This Row],[Bukti]],'Un nOTA'!$A$4:$K$5003,10,FALSE),"")</f>
        <v/>
      </c>
      <c r="I2066" s="112" t="str">
        <f>IFERROR(VLOOKUP(Table1722[[#This Row],[Bukti]],Table13[#Data],11,FALSE),"")</f>
        <v/>
      </c>
    </row>
    <row r="2067" spans="1:9" ht="19.5" hidden="1" customHeight="1" x14ac:dyDescent="0.2">
      <c r="A2067" s="105" t="str">
        <f>IF(D2067=1,COUNTIF($D$10:D2067,1)," ")</f>
        <v xml:space="preserve"> </v>
      </c>
      <c r="B2067" s="106">
        <f>COPY!AR2059</f>
        <v>0</v>
      </c>
      <c r="C2067" s="107">
        <f>COPY!AC2059</f>
        <v>0</v>
      </c>
      <c r="D2067" s="107" t="str">
        <f>IF(LEN(Table1722[[#This Row],[Uraian]])&gt;2,1," ")</f>
        <v xml:space="preserve"> </v>
      </c>
      <c r="E2067" s="113" t="str">
        <f>IF(Table1722[[#This Row],[Lawan Transaksi]]="CV AGUNG KARYA",COUNTIF($I$10:I2067,"CV AGUNG KARYA")," ")</f>
        <v xml:space="preserve"> </v>
      </c>
      <c r="F2067" s="107" t="str">
        <f>IF(LEN(Table1722[[#This Row],[Uraian]])&gt;2,TRIM(RIGHT(SUBSTITUTE(TRIM(C2067)," ",REPT(" ",255)),255))," ")</f>
        <v xml:space="preserve"> </v>
      </c>
      <c r="G2067" s="110">
        <f>COPY!Z2059</f>
        <v>0</v>
      </c>
      <c r="H2067" s="111" t="str">
        <f>IFERROR(VLOOKUP(Table1722[[#This Row],[Bukti]],'Un nOTA'!$A$4:$K$5003,10,FALSE),"")</f>
        <v/>
      </c>
      <c r="I2067" s="112" t="str">
        <f>IFERROR(VLOOKUP(Table1722[[#This Row],[Bukti]],Table13[#Data],11,FALSE),"")</f>
        <v/>
      </c>
    </row>
    <row r="2068" spans="1:9" ht="19.5" hidden="1" customHeight="1" x14ac:dyDescent="0.2">
      <c r="A2068" s="105" t="str">
        <f>IF(D2068=1,COUNTIF($D$10:D2068,1)," ")</f>
        <v xml:space="preserve"> </v>
      </c>
      <c r="B2068" s="106">
        <f>COPY!AR2060</f>
        <v>0</v>
      </c>
      <c r="C2068" s="107">
        <f>COPY!AC2060</f>
        <v>0</v>
      </c>
      <c r="D2068" s="107" t="str">
        <f>IF(LEN(Table1722[[#This Row],[Uraian]])&gt;2,1," ")</f>
        <v xml:space="preserve"> </v>
      </c>
      <c r="E2068" s="113" t="str">
        <f>IF(Table1722[[#This Row],[Lawan Transaksi]]="CV AGUNG KARYA",COUNTIF($I$10:I2068,"CV AGUNG KARYA")," ")</f>
        <v xml:space="preserve"> </v>
      </c>
      <c r="F2068" s="107" t="str">
        <f>IF(LEN(Table1722[[#This Row],[Uraian]])&gt;2,TRIM(RIGHT(SUBSTITUTE(TRIM(C2068)," ",REPT(" ",255)),255))," ")</f>
        <v xml:space="preserve"> </v>
      </c>
      <c r="G2068" s="110">
        <f>COPY!Z2060</f>
        <v>0</v>
      </c>
      <c r="H2068" s="111" t="str">
        <f>IFERROR(VLOOKUP(Table1722[[#This Row],[Bukti]],'Un nOTA'!$A$4:$K$5003,10,FALSE),"")</f>
        <v/>
      </c>
      <c r="I2068" s="112" t="str">
        <f>IFERROR(VLOOKUP(Table1722[[#This Row],[Bukti]],Table13[#Data],11,FALSE),"")</f>
        <v/>
      </c>
    </row>
    <row r="2069" spans="1:9" ht="19.5" hidden="1" customHeight="1" x14ac:dyDescent="0.2">
      <c r="A2069" s="105" t="str">
        <f>IF(D2069=1,COUNTIF($D$10:D2069,1)," ")</f>
        <v xml:space="preserve"> </v>
      </c>
      <c r="B2069" s="106">
        <f>COPY!AR2061</f>
        <v>0</v>
      </c>
      <c r="C2069" s="107">
        <f>COPY!AC2061</f>
        <v>0</v>
      </c>
      <c r="D2069" s="107" t="str">
        <f>IF(LEN(Table1722[[#This Row],[Uraian]])&gt;2,1," ")</f>
        <v xml:space="preserve"> </v>
      </c>
      <c r="E2069" s="113" t="str">
        <f>IF(Table1722[[#This Row],[Lawan Transaksi]]="CV AGUNG KARYA",COUNTIF($I$10:I2069,"CV AGUNG KARYA")," ")</f>
        <v xml:space="preserve"> </v>
      </c>
      <c r="F2069" s="107" t="str">
        <f>IF(LEN(Table1722[[#This Row],[Uraian]])&gt;2,TRIM(RIGHT(SUBSTITUTE(TRIM(C2069)," ",REPT(" ",255)),255))," ")</f>
        <v xml:space="preserve"> </v>
      </c>
      <c r="G2069" s="110">
        <f>COPY!Z2061</f>
        <v>0</v>
      </c>
      <c r="H2069" s="111" t="str">
        <f>IFERROR(VLOOKUP(Table1722[[#This Row],[Bukti]],'Un nOTA'!$A$4:$K$5003,10,FALSE),"")</f>
        <v/>
      </c>
      <c r="I2069" s="112" t="str">
        <f>IFERROR(VLOOKUP(Table1722[[#This Row],[Bukti]],Table13[#Data],11,FALSE),"")</f>
        <v/>
      </c>
    </row>
    <row r="2070" spans="1:9" ht="19.5" hidden="1" customHeight="1" x14ac:dyDescent="0.2">
      <c r="A2070" s="105" t="str">
        <f>IF(D2070=1,COUNTIF($D$10:D2070,1)," ")</f>
        <v xml:space="preserve"> </v>
      </c>
      <c r="B2070" s="106">
        <f>COPY!AR2062</f>
        <v>0</v>
      </c>
      <c r="C2070" s="107">
        <f>COPY!AC2062</f>
        <v>0</v>
      </c>
      <c r="D2070" s="107" t="str">
        <f>IF(LEN(Table1722[[#This Row],[Uraian]])&gt;2,1," ")</f>
        <v xml:space="preserve"> </v>
      </c>
      <c r="E2070" s="113" t="str">
        <f>IF(Table1722[[#This Row],[Lawan Transaksi]]="CV AGUNG KARYA",COUNTIF($I$10:I2070,"CV AGUNG KARYA")," ")</f>
        <v xml:space="preserve"> </v>
      </c>
      <c r="F2070" s="107" t="str">
        <f>IF(LEN(Table1722[[#This Row],[Uraian]])&gt;2,TRIM(RIGHT(SUBSTITUTE(TRIM(C2070)," ",REPT(" ",255)),255))," ")</f>
        <v xml:space="preserve"> </v>
      </c>
      <c r="G2070" s="110">
        <f>COPY!Z2062</f>
        <v>0</v>
      </c>
      <c r="H2070" s="111" t="str">
        <f>IFERROR(VLOOKUP(Table1722[[#This Row],[Bukti]],'Un nOTA'!$A$4:$K$5003,10,FALSE),"")</f>
        <v/>
      </c>
      <c r="I2070" s="112" t="str">
        <f>IFERROR(VLOOKUP(Table1722[[#This Row],[Bukti]],Table13[#Data],11,FALSE),"")</f>
        <v/>
      </c>
    </row>
    <row r="2071" spans="1:9" ht="19.5" hidden="1" customHeight="1" x14ac:dyDescent="0.2">
      <c r="A2071" s="105" t="str">
        <f>IF(D2071=1,COUNTIF($D$10:D2071,1)," ")</f>
        <v xml:space="preserve"> </v>
      </c>
      <c r="B2071" s="106">
        <f>COPY!AR2063</f>
        <v>0</v>
      </c>
      <c r="C2071" s="107">
        <f>COPY!AC2063</f>
        <v>0</v>
      </c>
      <c r="D2071" s="107" t="str">
        <f>IF(LEN(Table1722[[#This Row],[Uraian]])&gt;2,1," ")</f>
        <v xml:space="preserve"> </v>
      </c>
      <c r="E2071" s="113" t="str">
        <f>IF(Table1722[[#This Row],[Lawan Transaksi]]="CV AGUNG KARYA",COUNTIF($I$10:I2071,"CV AGUNG KARYA")," ")</f>
        <v xml:space="preserve"> </v>
      </c>
      <c r="F2071" s="107" t="str">
        <f>IF(LEN(Table1722[[#This Row],[Uraian]])&gt;2,TRIM(RIGHT(SUBSTITUTE(TRIM(C2071)," ",REPT(" ",255)),255))," ")</f>
        <v xml:space="preserve"> </v>
      </c>
      <c r="G2071" s="110">
        <f>COPY!Z2063</f>
        <v>0</v>
      </c>
      <c r="H2071" s="111" t="str">
        <f>IFERROR(VLOOKUP(Table1722[[#This Row],[Bukti]],'Un nOTA'!$A$4:$K$5003,10,FALSE),"")</f>
        <v/>
      </c>
      <c r="I2071" s="112" t="str">
        <f>IFERROR(VLOOKUP(Table1722[[#This Row],[Bukti]],Table13[#Data],11,FALSE),"")</f>
        <v/>
      </c>
    </row>
    <row r="2072" spans="1:9" ht="19.5" hidden="1" customHeight="1" x14ac:dyDescent="0.2">
      <c r="A2072" s="105" t="str">
        <f>IF(D2072=1,COUNTIF($D$10:D2072,1)," ")</f>
        <v xml:space="preserve"> </v>
      </c>
      <c r="B2072" s="106">
        <f>COPY!AR2064</f>
        <v>0</v>
      </c>
      <c r="C2072" s="107">
        <f>COPY!AC2064</f>
        <v>0</v>
      </c>
      <c r="D2072" s="107" t="str">
        <f>IF(LEN(Table1722[[#This Row],[Uraian]])&gt;2,1," ")</f>
        <v xml:space="preserve"> </v>
      </c>
      <c r="E2072" s="113" t="str">
        <f>IF(Table1722[[#This Row],[Lawan Transaksi]]="CV AGUNG KARYA",COUNTIF($I$10:I2072,"CV AGUNG KARYA")," ")</f>
        <v xml:space="preserve"> </v>
      </c>
      <c r="F2072" s="107" t="str">
        <f>IF(LEN(Table1722[[#This Row],[Uraian]])&gt;2,TRIM(RIGHT(SUBSTITUTE(TRIM(C2072)," ",REPT(" ",255)),255))," ")</f>
        <v xml:space="preserve"> </v>
      </c>
      <c r="G2072" s="110">
        <f>COPY!Z2064</f>
        <v>0</v>
      </c>
      <c r="H2072" s="111" t="str">
        <f>IFERROR(VLOOKUP(Table1722[[#This Row],[Bukti]],'Un nOTA'!$A$4:$K$5003,10,FALSE),"")</f>
        <v/>
      </c>
      <c r="I2072" s="112" t="str">
        <f>IFERROR(VLOOKUP(Table1722[[#This Row],[Bukti]],Table13[#Data],11,FALSE),"")</f>
        <v/>
      </c>
    </row>
    <row r="2073" spans="1:9" ht="19.5" hidden="1" customHeight="1" x14ac:dyDescent="0.2">
      <c r="A2073" s="105" t="str">
        <f>IF(D2073=1,COUNTIF($D$10:D2073,1)," ")</f>
        <v xml:space="preserve"> </v>
      </c>
      <c r="B2073" s="106">
        <f>COPY!AR2065</f>
        <v>0</v>
      </c>
      <c r="C2073" s="107">
        <f>COPY!AC2065</f>
        <v>0</v>
      </c>
      <c r="D2073" s="107" t="str">
        <f>IF(LEN(Table1722[[#This Row],[Uraian]])&gt;2,1," ")</f>
        <v xml:space="preserve"> </v>
      </c>
      <c r="E2073" s="113" t="str">
        <f>IF(Table1722[[#This Row],[Lawan Transaksi]]="CV AGUNG KARYA",COUNTIF($I$10:I2073,"CV AGUNG KARYA")," ")</f>
        <v xml:space="preserve"> </v>
      </c>
      <c r="F2073" s="107" t="str">
        <f>IF(LEN(Table1722[[#This Row],[Uraian]])&gt;2,TRIM(RIGHT(SUBSTITUTE(TRIM(C2073)," ",REPT(" ",255)),255))," ")</f>
        <v xml:space="preserve"> </v>
      </c>
      <c r="G2073" s="110">
        <f>COPY!Z2065</f>
        <v>0</v>
      </c>
      <c r="H2073" s="111" t="str">
        <f>IFERROR(VLOOKUP(Table1722[[#This Row],[Bukti]],'Un nOTA'!$A$4:$K$5003,10,FALSE),"")</f>
        <v/>
      </c>
      <c r="I2073" s="112" t="str">
        <f>IFERROR(VLOOKUP(Table1722[[#This Row],[Bukti]],Table13[#Data],11,FALSE),"")</f>
        <v/>
      </c>
    </row>
    <row r="2074" spans="1:9" ht="19.5" hidden="1" customHeight="1" x14ac:dyDescent="0.2">
      <c r="A2074" s="105" t="str">
        <f>IF(D2074=1,COUNTIF($D$10:D2074,1)," ")</f>
        <v xml:space="preserve"> </v>
      </c>
      <c r="B2074" s="106">
        <f>COPY!AR2066</f>
        <v>0</v>
      </c>
      <c r="C2074" s="107">
        <f>COPY!AC2066</f>
        <v>0</v>
      </c>
      <c r="D2074" s="107" t="str">
        <f>IF(LEN(Table1722[[#This Row],[Uraian]])&gt;2,1," ")</f>
        <v xml:space="preserve"> </v>
      </c>
      <c r="E2074" s="113" t="str">
        <f>IF(Table1722[[#This Row],[Lawan Transaksi]]="CV AGUNG KARYA",COUNTIF($I$10:I2074,"CV AGUNG KARYA")," ")</f>
        <v xml:space="preserve"> </v>
      </c>
      <c r="F2074" s="107" t="str">
        <f>IF(LEN(Table1722[[#This Row],[Uraian]])&gt;2,TRIM(RIGHT(SUBSTITUTE(TRIM(C2074)," ",REPT(" ",255)),255))," ")</f>
        <v xml:space="preserve"> </v>
      </c>
      <c r="G2074" s="110">
        <f>COPY!Z2066</f>
        <v>0</v>
      </c>
      <c r="H2074" s="111" t="str">
        <f>IFERROR(VLOOKUP(Table1722[[#This Row],[Bukti]],'Un nOTA'!$A$4:$K$5003,10,FALSE),"")</f>
        <v/>
      </c>
      <c r="I2074" s="112" t="str">
        <f>IFERROR(VLOOKUP(Table1722[[#This Row],[Bukti]],Table13[#Data],11,FALSE),"")</f>
        <v/>
      </c>
    </row>
    <row r="2075" spans="1:9" ht="19.5" hidden="1" customHeight="1" x14ac:dyDescent="0.2">
      <c r="A2075" s="105" t="str">
        <f>IF(D2075=1,COUNTIF($D$10:D2075,1)," ")</f>
        <v xml:space="preserve"> </v>
      </c>
      <c r="B2075" s="106">
        <f>COPY!AR2067</f>
        <v>0</v>
      </c>
      <c r="C2075" s="107">
        <f>COPY!AC2067</f>
        <v>0</v>
      </c>
      <c r="D2075" s="107" t="str">
        <f>IF(LEN(Table1722[[#This Row],[Uraian]])&gt;2,1," ")</f>
        <v xml:space="preserve"> </v>
      </c>
      <c r="E2075" s="113" t="str">
        <f>IF(Table1722[[#This Row],[Lawan Transaksi]]="CV AGUNG KARYA",COUNTIF($I$10:I2075,"CV AGUNG KARYA")," ")</f>
        <v xml:space="preserve"> </v>
      </c>
      <c r="F2075" s="107" t="str">
        <f>IF(LEN(Table1722[[#This Row],[Uraian]])&gt;2,TRIM(RIGHT(SUBSTITUTE(TRIM(C2075)," ",REPT(" ",255)),255))," ")</f>
        <v xml:space="preserve"> </v>
      </c>
      <c r="G2075" s="110">
        <f>COPY!Z2067</f>
        <v>0</v>
      </c>
      <c r="H2075" s="111" t="str">
        <f>IFERROR(VLOOKUP(Table1722[[#This Row],[Bukti]],'Un nOTA'!$A$4:$K$5003,10,FALSE),"")</f>
        <v/>
      </c>
      <c r="I2075" s="112" t="str">
        <f>IFERROR(VLOOKUP(Table1722[[#This Row],[Bukti]],Table13[#Data],11,FALSE),"")</f>
        <v/>
      </c>
    </row>
    <row r="2076" spans="1:9" ht="19.5" hidden="1" customHeight="1" x14ac:dyDescent="0.2">
      <c r="A2076" s="105" t="str">
        <f>IF(D2076=1,COUNTIF($D$10:D2076,1)," ")</f>
        <v xml:space="preserve"> </v>
      </c>
      <c r="B2076" s="106">
        <f>COPY!AR2068</f>
        <v>0</v>
      </c>
      <c r="C2076" s="107">
        <f>COPY!AC2068</f>
        <v>0</v>
      </c>
      <c r="D2076" s="107" t="str">
        <f>IF(LEN(Table1722[[#This Row],[Uraian]])&gt;2,1," ")</f>
        <v xml:space="preserve"> </v>
      </c>
      <c r="E2076" s="113" t="str">
        <f>IF(Table1722[[#This Row],[Lawan Transaksi]]="CV AGUNG KARYA",COUNTIF($I$10:I2076,"CV AGUNG KARYA")," ")</f>
        <v xml:space="preserve"> </v>
      </c>
      <c r="F2076" s="107" t="str">
        <f>IF(LEN(Table1722[[#This Row],[Uraian]])&gt;2,TRIM(RIGHT(SUBSTITUTE(TRIM(C2076)," ",REPT(" ",255)),255))," ")</f>
        <v xml:space="preserve"> </v>
      </c>
      <c r="G2076" s="110">
        <f>COPY!Z2068</f>
        <v>0</v>
      </c>
      <c r="H2076" s="111" t="str">
        <f>IFERROR(VLOOKUP(Table1722[[#This Row],[Bukti]],'Un nOTA'!$A$4:$K$5003,10,FALSE),"")</f>
        <v/>
      </c>
      <c r="I2076" s="112" t="str">
        <f>IFERROR(VLOOKUP(Table1722[[#This Row],[Bukti]],Table13[#Data],11,FALSE),"")</f>
        <v/>
      </c>
    </row>
    <row r="2077" spans="1:9" ht="19.5" hidden="1" customHeight="1" x14ac:dyDescent="0.2">
      <c r="A2077" s="105" t="str">
        <f>IF(D2077=1,COUNTIF($D$10:D2077,1)," ")</f>
        <v xml:space="preserve"> </v>
      </c>
      <c r="B2077" s="106">
        <f>COPY!AR2069</f>
        <v>0</v>
      </c>
      <c r="C2077" s="107">
        <f>COPY!AC2069</f>
        <v>0</v>
      </c>
      <c r="D2077" s="107" t="str">
        <f>IF(LEN(Table1722[[#This Row],[Uraian]])&gt;2,1," ")</f>
        <v xml:space="preserve"> </v>
      </c>
      <c r="E2077" s="113" t="str">
        <f>IF(Table1722[[#This Row],[Lawan Transaksi]]="CV AGUNG KARYA",COUNTIF($I$10:I2077,"CV AGUNG KARYA")," ")</f>
        <v xml:space="preserve"> </v>
      </c>
      <c r="F2077" s="107" t="str">
        <f>IF(LEN(Table1722[[#This Row],[Uraian]])&gt;2,TRIM(RIGHT(SUBSTITUTE(TRIM(C2077)," ",REPT(" ",255)),255))," ")</f>
        <v xml:space="preserve"> </v>
      </c>
      <c r="G2077" s="110">
        <f>COPY!Z2069</f>
        <v>0</v>
      </c>
      <c r="H2077" s="111" t="str">
        <f>IFERROR(VLOOKUP(Table1722[[#This Row],[Bukti]],'Un nOTA'!$A$4:$K$5003,10,FALSE),"")</f>
        <v/>
      </c>
      <c r="I2077" s="112" t="str">
        <f>IFERROR(VLOOKUP(Table1722[[#This Row],[Bukti]],Table13[#Data],11,FALSE),"")</f>
        <v/>
      </c>
    </row>
    <row r="2078" spans="1:9" ht="19.5" hidden="1" customHeight="1" x14ac:dyDescent="0.2">
      <c r="A2078" s="105" t="str">
        <f>IF(D2078=1,COUNTIF($D$10:D2078,1)," ")</f>
        <v xml:space="preserve"> </v>
      </c>
      <c r="B2078" s="106">
        <f>COPY!AR2070</f>
        <v>0</v>
      </c>
      <c r="C2078" s="107">
        <f>COPY!AC2070</f>
        <v>0</v>
      </c>
      <c r="D2078" s="107" t="str">
        <f>IF(LEN(Table1722[[#This Row],[Uraian]])&gt;2,1," ")</f>
        <v xml:space="preserve"> </v>
      </c>
      <c r="E2078" s="113" t="str">
        <f>IF(Table1722[[#This Row],[Lawan Transaksi]]="CV AGUNG KARYA",COUNTIF($I$10:I2078,"CV AGUNG KARYA")," ")</f>
        <v xml:space="preserve"> </v>
      </c>
      <c r="F2078" s="107" t="str">
        <f>IF(LEN(Table1722[[#This Row],[Uraian]])&gt;2,TRIM(RIGHT(SUBSTITUTE(TRIM(C2078)," ",REPT(" ",255)),255))," ")</f>
        <v xml:space="preserve"> </v>
      </c>
      <c r="G2078" s="110">
        <f>COPY!Z2070</f>
        <v>0</v>
      </c>
      <c r="H2078" s="111" t="str">
        <f>IFERROR(VLOOKUP(Table1722[[#This Row],[Bukti]],'Un nOTA'!$A$4:$K$5003,10,FALSE),"")</f>
        <v/>
      </c>
      <c r="I2078" s="112" t="str">
        <f>IFERROR(VLOOKUP(Table1722[[#This Row],[Bukti]],Table13[#Data],11,FALSE),"")</f>
        <v/>
      </c>
    </row>
    <row r="2079" spans="1:9" ht="19.5" hidden="1" customHeight="1" x14ac:dyDescent="0.2">
      <c r="A2079" s="105" t="str">
        <f>IF(D2079=1,COUNTIF($D$10:D2079,1)," ")</f>
        <v xml:space="preserve"> </v>
      </c>
      <c r="B2079" s="106">
        <f>COPY!AR2071</f>
        <v>0</v>
      </c>
      <c r="C2079" s="107">
        <f>COPY!AC2071</f>
        <v>0</v>
      </c>
      <c r="D2079" s="107" t="str">
        <f>IF(LEN(Table1722[[#This Row],[Uraian]])&gt;2,1," ")</f>
        <v xml:space="preserve"> </v>
      </c>
      <c r="E2079" s="113" t="str">
        <f>IF(Table1722[[#This Row],[Lawan Transaksi]]="CV AGUNG KARYA",COUNTIF($I$10:I2079,"CV AGUNG KARYA")," ")</f>
        <v xml:space="preserve"> </v>
      </c>
      <c r="F2079" s="107" t="str">
        <f>IF(LEN(Table1722[[#This Row],[Uraian]])&gt;2,TRIM(RIGHT(SUBSTITUTE(TRIM(C2079)," ",REPT(" ",255)),255))," ")</f>
        <v xml:space="preserve"> </v>
      </c>
      <c r="G2079" s="110">
        <f>COPY!Z2071</f>
        <v>0</v>
      </c>
      <c r="H2079" s="111" t="str">
        <f>IFERROR(VLOOKUP(Table1722[[#This Row],[Bukti]],'Un nOTA'!$A$4:$K$5003,10,FALSE),"")</f>
        <v/>
      </c>
      <c r="I2079" s="112" t="str">
        <f>IFERROR(VLOOKUP(Table1722[[#This Row],[Bukti]],Table13[#Data],11,FALSE),"")</f>
        <v/>
      </c>
    </row>
    <row r="2080" spans="1:9" ht="19.5" hidden="1" customHeight="1" x14ac:dyDescent="0.2">
      <c r="A2080" s="105" t="str">
        <f>IF(D2080=1,COUNTIF($D$10:D2080,1)," ")</f>
        <v xml:space="preserve"> </v>
      </c>
      <c r="B2080" s="106">
        <f>COPY!AR2072</f>
        <v>0</v>
      </c>
      <c r="C2080" s="107">
        <f>COPY!AC2072</f>
        <v>0</v>
      </c>
      <c r="D2080" s="107" t="str">
        <f>IF(LEN(Table1722[[#This Row],[Uraian]])&gt;2,1," ")</f>
        <v xml:space="preserve"> </v>
      </c>
      <c r="E2080" s="113" t="str">
        <f>IF(Table1722[[#This Row],[Lawan Transaksi]]="CV AGUNG KARYA",COUNTIF($I$10:I2080,"CV AGUNG KARYA")," ")</f>
        <v xml:space="preserve"> </v>
      </c>
      <c r="F2080" s="107" t="str">
        <f>IF(LEN(Table1722[[#This Row],[Uraian]])&gt;2,TRIM(RIGHT(SUBSTITUTE(TRIM(C2080)," ",REPT(" ",255)),255))," ")</f>
        <v xml:space="preserve"> </v>
      </c>
      <c r="G2080" s="110">
        <f>COPY!Z2072</f>
        <v>0</v>
      </c>
      <c r="H2080" s="111" t="str">
        <f>IFERROR(VLOOKUP(Table1722[[#This Row],[Bukti]],'Un nOTA'!$A$4:$K$5003,10,FALSE),"")</f>
        <v/>
      </c>
      <c r="I2080" s="112" t="str">
        <f>IFERROR(VLOOKUP(Table1722[[#This Row],[Bukti]],Table13[#Data],11,FALSE),"")</f>
        <v/>
      </c>
    </row>
    <row r="2081" spans="1:9" ht="19.5" hidden="1" customHeight="1" x14ac:dyDescent="0.2">
      <c r="A2081" s="105" t="str">
        <f>IF(D2081=1,COUNTIF($D$10:D2081,1)," ")</f>
        <v xml:space="preserve"> </v>
      </c>
      <c r="B2081" s="106">
        <f>COPY!AR2073</f>
        <v>0</v>
      </c>
      <c r="C2081" s="107">
        <f>COPY!AC2073</f>
        <v>0</v>
      </c>
      <c r="D2081" s="107" t="str">
        <f>IF(LEN(Table1722[[#This Row],[Uraian]])&gt;2,1," ")</f>
        <v xml:space="preserve"> </v>
      </c>
      <c r="E2081" s="113" t="str">
        <f>IF(Table1722[[#This Row],[Lawan Transaksi]]="CV AGUNG KARYA",COUNTIF($I$10:I2081,"CV AGUNG KARYA")," ")</f>
        <v xml:space="preserve"> </v>
      </c>
      <c r="F2081" s="107" t="str">
        <f>IF(LEN(Table1722[[#This Row],[Uraian]])&gt;2,TRIM(RIGHT(SUBSTITUTE(TRIM(C2081)," ",REPT(" ",255)),255))," ")</f>
        <v xml:space="preserve"> </v>
      </c>
      <c r="G2081" s="110">
        <f>COPY!Z2073</f>
        <v>0</v>
      </c>
      <c r="H2081" s="111" t="str">
        <f>IFERROR(VLOOKUP(Table1722[[#This Row],[Bukti]],'Un nOTA'!$A$4:$K$5003,10,FALSE),"")</f>
        <v/>
      </c>
      <c r="I2081" s="112" t="str">
        <f>IFERROR(VLOOKUP(Table1722[[#This Row],[Bukti]],Table13[#Data],11,FALSE),"")</f>
        <v/>
      </c>
    </row>
    <row r="2082" spans="1:9" ht="19.5" hidden="1" customHeight="1" x14ac:dyDescent="0.2">
      <c r="A2082" s="105" t="str">
        <f>IF(D2082=1,COUNTIF($D$10:D2082,1)," ")</f>
        <v xml:space="preserve"> </v>
      </c>
      <c r="B2082" s="106">
        <f>COPY!AR2074</f>
        <v>0</v>
      </c>
      <c r="C2082" s="107">
        <f>COPY!AC2074</f>
        <v>0</v>
      </c>
      <c r="D2082" s="107" t="str">
        <f>IF(LEN(Table1722[[#This Row],[Uraian]])&gt;2,1," ")</f>
        <v xml:space="preserve"> </v>
      </c>
      <c r="E2082" s="113" t="str">
        <f>IF(Table1722[[#This Row],[Lawan Transaksi]]="CV AGUNG KARYA",COUNTIF($I$10:I2082,"CV AGUNG KARYA")," ")</f>
        <v xml:space="preserve"> </v>
      </c>
      <c r="F2082" s="107" t="str">
        <f>IF(LEN(Table1722[[#This Row],[Uraian]])&gt;2,TRIM(RIGHT(SUBSTITUTE(TRIM(C2082)," ",REPT(" ",255)),255))," ")</f>
        <v xml:space="preserve"> </v>
      </c>
      <c r="G2082" s="110">
        <f>COPY!Z2074</f>
        <v>0</v>
      </c>
      <c r="H2082" s="111" t="str">
        <f>IFERROR(VLOOKUP(Table1722[[#This Row],[Bukti]],'Un nOTA'!$A$4:$K$5003,10,FALSE),"")</f>
        <v/>
      </c>
      <c r="I2082" s="112" t="str">
        <f>IFERROR(VLOOKUP(Table1722[[#This Row],[Bukti]],Table13[#Data],11,FALSE),"")</f>
        <v/>
      </c>
    </row>
    <row r="2083" spans="1:9" ht="19.5" hidden="1" customHeight="1" x14ac:dyDescent="0.2">
      <c r="A2083" s="105" t="str">
        <f>IF(D2083=1,COUNTIF($D$10:D2083,1)," ")</f>
        <v xml:space="preserve"> </v>
      </c>
      <c r="B2083" s="106">
        <f>COPY!AR2075</f>
        <v>0</v>
      </c>
      <c r="C2083" s="107">
        <f>COPY!AC2075</f>
        <v>0</v>
      </c>
      <c r="D2083" s="107" t="str">
        <f>IF(LEN(Table1722[[#This Row],[Uraian]])&gt;2,1," ")</f>
        <v xml:space="preserve"> </v>
      </c>
      <c r="E2083" s="113" t="str">
        <f>IF(Table1722[[#This Row],[Lawan Transaksi]]="CV AGUNG KARYA",COUNTIF($I$10:I2083,"CV AGUNG KARYA")," ")</f>
        <v xml:space="preserve"> </v>
      </c>
      <c r="F2083" s="107" t="str">
        <f>IF(LEN(Table1722[[#This Row],[Uraian]])&gt;2,TRIM(RIGHT(SUBSTITUTE(TRIM(C2083)," ",REPT(" ",255)),255))," ")</f>
        <v xml:space="preserve"> </v>
      </c>
      <c r="G2083" s="110">
        <f>COPY!Z2075</f>
        <v>0</v>
      </c>
      <c r="H2083" s="111" t="str">
        <f>IFERROR(VLOOKUP(Table1722[[#This Row],[Bukti]],'Un nOTA'!$A$4:$K$5003,10,FALSE),"")</f>
        <v/>
      </c>
      <c r="I2083" s="112" t="str">
        <f>IFERROR(VLOOKUP(Table1722[[#This Row],[Bukti]],Table13[#Data],11,FALSE),"")</f>
        <v/>
      </c>
    </row>
    <row r="2084" spans="1:9" ht="19.5" hidden="1" customHeight="1" x14ac:dyDescent="0.2">
      <c r="A2084" s="105" t="str">
        <f>IF(D2084=1,COUNTIF($D$10:D2084,1)," ")</f>
        <v xml:space="preserve"> </v>
      </c>
      <c r="B2084" s="106">
        <f>COPY!AR2076</f>
        <v>0</v>
      </c>
      <c r="C2084" s="107">
        <f>COPY!AC2076</f>
        <v>0</v>
      </c>
      <c r="D2084" s="107" t="str">
        <f>IF(LEN(Table1722[[#This Row],[Uraian]])&gt;2,1," ")</f>
        <v xml:space="preserve"> </v>
      </c>
      <c r="E2084" s="113" t="str">
        <f>IF(Table1722[[#This Row],[Lawan Transaksi]]="CV AGUNG KARYA",COUNTIF($I$10:I2084,"CV AGUNG KARYA")," ")</f>
        <v xml:space="preserve"> </v>
      </c>
      <c r="F2084" s="107" t="str">
        <f>IF(LEN(Table1722[[#This Row],[Uraian]])&gt;2,TRIM(RIGHT(SUBSTITUTE(TRIM(C2084)," ",REPT(" ",255)),255))," ")</f>
        <v xml:space="preserve"> </v>
      </c>
      <c r="G2084" s="110">
        <f>COPY!Z2076</f>
        <v>0</v>
      </c>
      <c r="H2084" s="111" t="str">
        <f>IFERROR(VLOOKUP(Table1722[[#This Row],[Bukti]],'Un nOTA'!$A$4:$K$5003,10,FALSE),"")</f>
        <v/>
      </c>
      <c r="I2084" s="112" t="str">
        <f>IFERROR(VLOOKUP(Table1722[[#This Row],[Bukti]],Table13[#Data],11,FALSE),"")</f>
        <v/>
      </c>
    </row>
    <row r="2085" spans="1:9" ht="19.5" hidden="1" customHeight="1" x14ac:dyDescent="0.2">
      <c r="A2085" s="105" t="str">
        <f>IF(D2085=1,COUNTIF($D$10:D2085,1)," ")</f>
        <v xml:space="preserve"> </v>
      </c>
      <c r="B2085" s="106">
        <f>COPY!AR2077</f>
        <v>0</v>
      </c>
      <c r="C2085" s="107">
        <f>COPY!AC2077</f>
        <v>0</v>
      </c>
      <c r="D2085" s="107" t="str">
        <f>IF(LEN(Table1722[[#This Row],[Uraian]])&gt;2,1," ")</f>
        <v xml:space="preserve"> </v>
      </c>
      <c r="E2085" s="113" t="str">
        <f>IF(Table1722[[#This Row],[Lawan Transaksi]]="CV AGUNG KARYA",COUNTIF($I$10:I2085,"CV AGUNG KARYA")," ")</f>
        <v xml:space="preserve"> </v>
      </c>
      <c r="F2085" s="107" t="str">
        <f>IF(LEN(Table1722[[#This Row],[Uraian]])&gt;2,TRIM(RIGHT(SUBSTITUTE(TRIM(C2085)," ",REPT(" ",255)),255))," ")</f>
        <v xml:space="preserve"> </v>
      </c>
      <c r="G2085" s="110">
        <f>COPY!Z2077</f>
        <v>0</v>
      </c>
      <c r="H2085" s="111" t="str">
        <f>IFERROR(VLOOKUP(Table1722[[#This Row],[Bukti]],'Un nOTA'!$A$4:$K$5003,10,FALSE),"")</f>
        <v/>
      </c>
      <c r="I2085" s="112" t="str">
        <f>IFERROR(VLOOKUP(Table1722[[#This Row],[Bukti]],Table13[#Data],11,FALSE),"")</f>
        <v/>
      </c>
    </row>
    <row r="2086" spans="1:9" ht="19.5" hidden="1" customHeight="1" x14ac:dyDescent="0.2">
      <c r="A2086" s="105" t="str">
        <f>IF(D2086=1,COUNTIF($D$10:D2086,1)," ")</f>
        <v xml:space="preserve"> </v>
      </c>
      <c r="B2086" s="106">
        <f>COPY!AR2078</f>
        <v>0</v>
      </c>
      <c r="C2086" s="107">
        <f>COPY!AC2078</f>
        <v>0</v>
      </c>
      <c r="D2086" s="107" t="str">
        <f>IF(LEN(Table1722[[#This Row],[Uraian]])&gt;2,1," ")</f>
        <v xml:space="preserve"> </v>
      </c>
      <c r="E2086" s="113" t="str">
        <f>IF(Table1722[[#This Row],[Lawan Transaksi]]="CV AGUNG KARYA",COUNTIF($I$10:I2086,"CV AGUNG KARYA")," ")</f>
        <v xml:space="preserve"> </v>
      </c>
      <c r="F2086" s="107" t="str">
        <f>IF(LEN(Table1722[[#This Row],[Uraian]])&gt;2,TRIM(RIGHT(SUBSTITUTE(TRIM(C2086)," ",REPT(" ",255)),255))," ")</f>
        <v xml:space="preserve"> </v>
      </c>
      <c r="G2086" s="110">
        <f>COPY!Z2078</f>
        <v>0</v>
      </c>
      <c r="H2086" s="111" t="str">
        <f>IFERROR(VLOOKUP(Table1722[[#This Row],[Bukti]],'Un nOTA'!$A$4:$K$5003,10,FALSE),"")</f>
        <v/>
      </c>
      <c r="I2086" s="112" t="str">
        <f>IFERROR(VLOOKUP(Table1722[[#This Row],[Bukti]],Table13[#Data],11,FALSE),"")</f>
        <v/>
      </c>
    </row>
    <row r="2087" spans="1:9" ht="19.5" hidden="1" customHeight="1" x14ac:dyDescent="0.2">
      <c r="A2087" s="105" t="str">
        <f>IF(D2087=1,COUNTIF($D$10:D2087,1)," ")</f>
        <v xml:space="preserve"> </v>
      </c>
      <c r="B2087" s="106">
        <f>COPY!AR2079</f>
        <v>0</v>
      </c>
      <c r="C2087" s="107">
        <f>COPY!AC2079</f>
        <v>0</v>
      </c>
      <c r="D2087" s="107" t="str">
        <f>IF(LEN(Table1722[[#This Row],[Uraian]])&gt;2,1," ")</f>
        <v xml:space="preserve"> </v>
      </c>
      <c r="E2087" s="113" t="str">
        <f>IF(Table1722[[#This Row],[Lawan Transaksi]]="CV AGUNG KARYA",COUNTIF($I$10:I2087,"CV AGUNG KARYA")," ")</f>
        <v xml:space="preserve"> </v>
      </c>
      <c r="F2087" s="107" t="str">
        <f>IF(LEN(Table1722[[#This Row],[Uraian]])&gt;2,TRIM(RIGHT(SUBSTITUTE(TRIM(C2087)," ",REPT(" ",255)),255))," ")</f>
        <v xml:space="preserve"> </v>
      </c>
      <c r="G2087" s="110">
        <f>COPY!Z2079</f>
        <v>0</v>
      </c>
      <c r="H2087" s="111" t="str">
        <f>IFERROR(VLOOKUP(Table1722[[#This Row],[Bukti]],'Un nOTA'!$A$4:$K$5003,10,FALSE),"")</f>
        <v/>
      </c>
      <c r="I2087" s="112" t="str">
        <f>IFERROR(VLOOKUP(Table1722[[#This Row],[Bukti]],Table13[#Data],11,FALSE),"")</f>
        <v/>
      </c>
    </row>
    <row r="2088" spans="1:9" ht="19.5" hidden="1" customHeight="1" x14ac:dyDescent="0.2">
      <c r="A2088" s="105" t="str">
        <f>IF(D2088=1,COUNTIF($D$10:D2088,1)," ")</f>
        <v xml:space="preserve"> </v>
      </c>
      <c r="B2088" s="106">
        <f>COPY!AR2080</f>
        <v>0</v>
      </c>
      <c r="C2088" s="107">
        <f>COPY!AC2080</f>
        <v>0</v>
      </c>
      <c r="D2088" s="107" t="str">
        <f>IF(LEN(Table1722[[#This Row],[Uraian]])&gt;2,1," ")</f>
        <v xml:space="preserve"> </v>
      </c>
      <c r="E2088" s="113" t="str">
        <f>IF(Table1722[[#This Row],[Lawan Transaksi]]="CV AGUNG KARYA",COUNTIF($I$10:I2088,"CV AGUNG KARYA")," ")</f>
        <v xml:space="preserve"> </v>
      </c>
      <c r="F2088" s="107" t="str">
        <f>IF(LEN(Table1722[[#This Row],[Uraian]])&gt;2,TRIM(RIGHT(SUBSTITUTE(TRIM(C2088)," ",REPT(" ",255)),255))," ")</f>
        <v xml:space="preserve"> </v>
      </c>
      <c r="G2088" s="110">
        <f>COPY!Z2080</f>
        <v>0</v>
      </c>
      <c r="H2088" s="111" t="str">
        <f>IFERROR(VLOOKUP(Table1722[[#This Row],[Bukti]],'Un nOTA'!$A$4:$K$5003,10,FALSE),"")</f>
        <v/>
      </c>
      <c r="I2088" s="112" t="str">
        <f>IFERROR(VLOOKUP(Table1722[[#This Row],[Bukti]],Table13[#Data],11,FALSE),"")</f>
        <v/>
      </c>
    </row>
    <row r="2089" spans="1:9" ht="19.5" hidden="1" customHeight="1" x14ac:dyDescent="0.2">
      <c r="A2089" s="105" t="str">
        <f>IF(D2089=1,COUNTIF($D$10:D2089,1)," ")</f>
        <v xml:space="preserve"> </v>
      </c>
      <c r="B2089" s="106">
        <f>COPY!AR2081</f>
        <v>0</v>
      </c>
      <c r="C2089" s="107">
        <f>COPY!AC2081</f>
        <v>0</v>
      </c>
      <c r="D2089" s="107" t="str">
        <f>IF(LEN(Table1722[[#This Row],[Uraian]])&gt;2,1," ")</f>
        <v xml:space="preserve"> </v>
      </c>
      <c r="E2089" s="113" t="str">
        <f>IF(Table1722[[#This Row],[Lawan Transaksi]]="CV AGUNG KARYA",COUNTIF($I$10:I2089,"CV AGUNG KARYA")," ")</f>
        <v xml:space="preserve"> </v>
      </c>
      <c r="F2089" s="107" t="str">
        <f>IF(LEN(Table1722[[#This Row],[Uraian]])&gt;2,TRIM(RIGHT(SUBSTITUTE(TRIM(C2089)," ",REPT(" ",255)),255))," ")</f>
        <v xml:space="preserve"> </v>
      </c>
      <c r="G2089" s="110">
        <f>COPY!Z2081</f>
        <v>0</v>
      </c>
      <c r="H2089" s="111" t="str">
        <f>IFERROR(VLOOKUP(Table1722[[#This Row],[Bukti]],'Un nOTA'!$A$4:$K$5003,10,FALSE),"")</f>
        <v/>
      </c>
      <c r="I2089" s="112" t="str">
        <f>IFERROR(VLOOKUP(Table1722[[#This Row],[Bukti]],Table13[#Data],11,FALSE),"")</f>
        <v/>
      </c>
    </row>
    <row r="2090" spans="1:9" ht="19.5" hidden="1" customHeight="1" x14ac:dyDescent="0.2">
      <c r="A2090" s="105" t="str">
        <f>IF(D2090=1,COUNTIF($D$10:D2090,1)," ")</f>
        <v xml:space="preserve"> </v>
      </c>
      <c r="B2090" s="106">
        <f>COPY!AR2082</f>
        <v>0</v>
      </c>
      <c r="C2090" s="107">
        <f>COPY!AC2082</f>
        <v>0</v>
      </c>
      <c r="D2090" s="107" t="str">
        <f>IF(LEN(Table1722[[#This Row],[Uraian]])&gt;2,1," ")</f>
        <v xml:space="preserve"> </v>
      </c>
      <c r="E2090" s="113" t="str">
        <f>IF(Table1722[[#This Row],[Lawan Transaksi]]="CV AGUNG KARYA",COUNTIF($I$10:I2090,"CV AGUNG KARYA")," ")</f>
        <v xml:space="preserve"> </v>
      </c>
      <c r="F2090" s="107" t="str">
        <f>IF(LEN(Table1722[[#This Row],[Uraian]])&gt;2,TRIM(RIGHT(SUBSTITUTE(TRIM(C2090)," ",REPT(" ",255)),255))," ")</f>
        <v xml:space="preserve"> </v>
      </c>
      <c r="G2090" s="110">
        <f>COPY!Z2082</f>
        <v>0</v>
      </c>
      <c r="H2090" s="111" t="str">
        <f>IFERROR(VLOOKUP(Table1722[[#This Row],[Bukti]],'Un nOTA'!$A$4:$K$5003,10,FALSE),"")</f>
        <v/>
      </c>
      <c r="I2090" s="112" t="str">
        <f>IFERROR(VLOOKUP(Table1722[[#This Row],[Bukti]],Table13[#Data],11,FALSE),"")</f>
        <v/>
      </c>
    </row>
    <row r="2091" spans="1:9" ht="19.5" hidden="1" customHeight="1" x14ac:dyDescent="0.2">
      <c r="A2091" s="105" t="str">
        <f>IF(D2091=1,COUNTIF($D$10:D2091,1)," ")</f>
        <v xml:space="preserve"> </v>
      </c>
      <c r="B2091" s="106">
        <f>COPY!AR2083</f>
        <v>0</v>
      </c>
      <c r="C2091" s="107">
        <f>COPY!AC2083</f>
        <v>0</v>
      </c>
      <c r="D2091" s="107" t="str">
        <f>IF(LEN(Table1722[[#This Row],[Uraian]])&gt;2,1," ")</f>
        <v xml:space="preserve"> </v>
      </c>
      <c r="E2091" s="113" t="str">
        <f>IF(Table1722[[#This Row],[Lawan Transaksi]]="CV AGUNG KARYA",COUNTIF($I$10:I2091,"CV AGUNG KARYA")," ")</f>
        <v xml:space="preserve"> </v>
      </c>
      <c r="F2091" s="107" t="str">
        <f>IF(LEN(Table1722[[#This Row],[Uraian]])&gt;2,TRIM(RIGHT(SUBSTITUTE(TRIM(C2091)," ",REPT(" ",255)),255))," ")</f>
        <v xml:space="preserve"> </v>
      </c>
      <c r="G2091" s="110">
        <f>COPY!Z2083</f>
        <v>0</v>
      </c>
      <c r="H2091" s="111" t="str">
        <f>IFERROR(VLOOKUP(Table1722[[#This Row],[Bukti]],'Un nOTA'!$A$4:$K$5003,10,FALSE),"")</f>
        <v/>
      </c>
      <c r="I2091" s="112" t="str">
        <f>IFERROR(VLOOKUP(Table1722[[#This Row],[Bukti]],Table13[#Data],11,FALSE),"")</f>
        <v/>
      </c>
    </row>
    <row r="2092" spans="1:9" ht="19.5" hidden="1" customHeight="1" x14ac:dyDescent="0.2">
      <c r="A2092" s="105" t="str">
        <f>IF(D2092=1,COUNTIF($D$10:D2092,1)," ")</f>
        <v xml:space="preserve"> </v>
      </c>
      <c r="B2092" s="106">
        <f>COPY!AR2084</f>
        <v>0</v>
      </c>
      <c r="C2092" s="107">
        <f>COPY!AC2084</f>
        <v>0</v>
      </c>
      <c r="D2092" s="107" t="str">
        <f>IF(LEN(Table1722[[#This Row],[Uraian]])&gt;2,1," ")</f>
        <v xml:space="preserve"> </v>
      </c>
      <c r="E2092" s="113" t="str">
        <f>IF(Table1722[[#This Row],[Lawan Transaksi]]="CV AGUNG KARYA",COUNTIF($I$10:I2092,"CV AGUNG KARYA")," ")</f>
        <v xml:space="preserve"> </v>
      </c>
      <c r="F2092" s="107" t="str">
        <f>IF(LEN(Table1722[[#This Row],[Uraian]])&gt;2,TRIM(RIGHT(SUBSTITUTE(TRIM(C2092)," ",REPT(" ",255)),255))," ")</f>
        <v xml:space="preserve"> </v>
      </c>
      <c r="G2092" s="110">
        <f>COPY!Z2084</f>
        <v>0</v>
      </c>
      <c r="H2092" s="111" t="str">
        <f>IFERROR(VLOOKUP(Table1722[[#This Row],[Bukti]],'Un nOTA'!$A$4:$K$5003,10,FALSE),"")</f>
        <v/>
      </c>
      <c r="I2092" s="112" t="str">
        <f>IFERROR(VLOOKUP(Table1722[[#This Row],[Bukti]],Table13[#Data],11,FALSE),"")</f>
        <v/>
      </c>
    </row>
    <row r="2093" spans="1:9" ht="19.5" hidden="1" customHeight="1" x14ac:dyDescent="0.2">
      <c r="A2093" s="105" t="str">
        <f>IF(D2093=1,COUNTIF($D$10:D2093,1)," ")</f>
        <v xml:space="preserve"> </v>
      </c>
      <c r="B2093" s="106">
        <f>COPY!AR2085</f>
        <v>0</v>
      </c>
      <c r="C2093" s="107">
        <f>COPY!AC2085</f>
        <v>0</v>
      </c>
      <c r="D2093" s="107" t="str">
        <f>IF(LEN(Table1722[[#This Row],[Uraian]])&gt;2,1," ")</f>
        <v xml:space="preserve"> </v>
      </c>
      <c r="E2093" s="113" t="str">
        <f>IF(Table1722[[#This Row],[Lawan Transaksi]]="CV AGUNG KARYA",COUNTIF($I$10:I2093,"CV AGUNG KARYA")," ")</f>
        <v xml:space="preserve"> </v>
      </c>
      <c r="F2093" s="107" t="str">
        <f>IF(LEN(Table1722[[#This Row],[Uraian]])&gt;2,TRIM(RIGHT(SUBSTITUTE(TRIM(C2093)," ",REPT(" ",255)),255))," ")</f>
        <v xml:space="preserve"> </v>
      </c>
      <c r="G2093" s="110">
        <f>COPY!Z2085</f>
        <v>0</v>
      </c>
      <c r="H2093" s="111" t="str">
        <f>IFERROR(VLOOKUP(Table1722[[#This Row],[Bukti]],'Un nOTA'!$A$4:$K$5003,10,FALSE),"")</f>
        <v/>
      </c>
      <c r="I2093" s="112" t="str">
        <f>IFERROR(VLOOKUP(Table1722[[#This Row],[Bukti]],Table13[#Data],11,FALSE),"")</f>
        <v/>
      </c>
    </row>
    <row r="2094" spans="1:9" ht="19.5" hidden="1" customHeight="1" x14ac:dyDescent="0.2">
      <c r="A2094" s="105" t="str">
        <f>IF(D2094=1,COUNTIF($D$10:D2094,1)," ")</f>
        <v xml:space="preserve"> </v>
      </c>
      <c r="B2094" s="106">
        <f>COPY!AR2086</f>
        <v>0</v>
      </c>
      <c r="C2094" s="107">
        <f>COPY!AC2086</f>
        <v>0</v>
      </c>
      <c r="D2094" s="107" t="str">
        <f>IF(LEN(Table1722[[#This Row],[Uraian]])&gt;2,1," ")</f>
        <v xml:space="preserve"> </v>
      </c>
      <c r="E2094" s="113" t="str">
        <f>IF(Table1722[[#This Row],[Lawan Transaksi]]="CV AGUNG KARYA",COUNTIF($I$10:I2094,"CV AGUNG KARYA")," ")</f>
        <v xml:space="preserve"> </v>
      </c>
      <c r="F2094" s="107" t="str">
        <f>IF(LEN(Table1722[[#This Row],[Uraian]])&gt;2,TRIM(RIGHT(SUBSTITUTE(TRIM(C2094)," ",REPT(" ",255)),255))," ")</f>
        <v xml:space="preserve"> </v>
      </c>
      <c r="G2094" s="110">
        <f>COPY!Z2086</f>
        <v>0</v>
      </c>
      <c r="H2094" s="111" t="str">
        <f>IFERROR(VLOOKUP(Table1722[[#This Row],[Bukti]],'Un nOTA'!$A$4:$K$5003,10,FALSE),"")</f>
        <v/>
      </c>
      <c r="I2094" s="112" t="str">
        <f>IFERROR(VLOOKUP(Table1722[[#This Row],[Bukti]],Table13[#Data],11,FALSE),"")</f>
        <v/>
      </c>
    </row>
    <row r="2095" spans="1:9" ht="19.5" hidden="1" customHeight="1" x14ac:dyDescent="0.2">
      <c r="A2095" s="105" t="str">
        <f>IF(D2095=1,COUNTIF($D$10:D2095,1)," ")</f>
        <v xml:space="preserve"> </v>
      </c>
      <c r="B2095" s="106">
        <f>COPY!AR2087</f>
        <v>0</v>
      </c>
      <c r="C2095" s="107">
        <f>COPY!AC2087</f>
        <v>0</v>
      </c>
      <c r="D2095" s="107" t="str">
        <f>IF(LEN(Table1722[[#This Row],[Uraian]])&gt;2,1," ")</f>
        <v xml:space="preserve"> </v>
      </c>
      <c r="E2095" s="113" t="str">
        <f>IF(Table1722[[#This Row],[Lawan Transaksi]]="CV AGUNG KARYA",COUNTIF($I$10:I2095,"CV AGUNG KARYA")," ")</f>
        <v xml:space="preserve"> </v>
      </c>
      <c r="F2095" s="107" t="str">
        <f>IF(LEN(Table1722[[#This Row],[Uraian]])&gt;2,TRIM(RIGHT(SUBSTITUTE(TRIM(C2095)," ",REPT(" ",255)),255))," ")</f>
        <v xml:space="preserve"> </v>
      </c>
      <c r="G2095" s="110">
        <f>COPY!Z2087</f>
        <v>0</v>
      </c>
      <c r="H2095" s="111" t="str">
        <f>IFERROR(VLOOKUP(Table1722[[#This Row],[Bukti]],'Un nOTA'!$A$4:$K$5003,10,FALSE),"")</f>
        <v/>
      </c>
      <c r="I2095" s="112" t="str">
        <f>IFERROR(VLOOKUP(Table1722[[#This Row],[Bukti]],Table13[#Data],11,FALSE),"")</f>
        <v/>
      </c>
    </row>
    <row r="2096" spans="1:9" ht="19.5" hidden="1" customHeight="1" x14ac:dyDescent="0.2">
      <c r="A2096" s="105" t="str">
        <f>IF(D2096=1,COUNTIF($D$10:D2096,1)," ")</f>
        <v xml:space="preserve"> </v>
      </c>
      <c r="B2096" s="106">
        <f>COPY!AR2088</f>
        <v>0</v>
      </c>
      <c r="C2096" s="107">
        <f>COPY!AC2088</f>
        <v>0</v>
      </c>
      <c r="D2096" s="107" t="str">
        <f>IF(LEN(Table1722[[#This Row],[Uraian]])&gt;2,1," ")</f>
        <v xml:space="preserve"> </v>
      </c>
      <c r="E2096" s="113" t="str">
        <f>IF(Table1722[[#This Row],[Lawan Transaksi]]="CV AGUNG KARYA",COUNTIF($I$10:I2096,"CV AGUNG KARYA")," ")</f>
        <v xml:space="preserve"> </v>
      </c>
      <c r="F2096" s="107" t="str">
        <f>IF(LEN(Table1722[[#This Row],[Uraian]])&gt;2,TRIM(RIGHT(SUBSTITUTE(TRIM(C2096)," ",REPT(" ",255)),255))," ")</f>
        <v xml:space="preserve"> </v>
      </c>
      <c r="G2096" s="110">
        <f>COPY!Z2088</f>
        <v>0</v>
      </c>
      <c r="H2096" s="111" t="str">
        <f>IFERROR(VLOOKUP(Table1722[[#This Row],[Bukti]],'Un nOTA'!$A$4:$K$5003,10,FALSE),"")</f>
        <v/>
      </c>
      <c r="I2096" s="112" t="str">
        <f>IFERROR(VLOOKUP(Table1722[[#This Row],[Bukti]],Table13[#Data],11,FALSE),"")</f>
        <v/>
      </c>
    </row>
    <row r="2097" spans="1:9" ht="19.5" hidden="1" customHeight="1" x14ac:dyDescent="0.2">
      <c r="A2097" s="105" t="str">
        <f>IF(D2097=1,COUNTIF($D$10:D2097,1)," ")</f>
        <v xml:space="preserve"> </v>
      </c>
      <c r="B2097" s="106">
        <f>COPY!AR2089</f>
        <v>0</v>
      </c>
      <c r="C2097" s="107">
        <f>COPY!AC2089</f>
        <v>0</v>
      </c>
      <c r="D2097" s="107" t="str">
        <f>IF(LEN(Table1722[[#This Row],[Uraian]])&gt;2,1," ")</f>
        <v xml:space="preserve"> </v>
      </c>
      <c r="E2097" s="113" t="str">
        <f>IF(Table1722[[#This Row],[Lawan Transaksi]]="CV AGUNG KARYA",COUNTIF($I$10:I2097,"CV AGUNG KARYA")," ")</f>
        <v xml:space="preserve"> </v>
      </c>
      <c r="F2097" s="107" t="str">
        <f>IF(LEN(Table1722[[#This Row],[Uraian]])&gt;2,TRIM(RIGHT(SUBSTITUTE(TRIM(C2097)," ",REPT(" ",255)),255))," ")</f>
        <v xml:space="preserve"> </v>
      </c>
      <c r="G2097" s="110">
        <f>COPY!Z2089</f>
        <v>0</v>
      </c>
      <c r="H2097" s="111" t="str">
        <f>IFERROR(VLOOKUP(Table1722[[#This Row],[Bukti]],'Un nOTA'!$A$4:$K$5003,10,FALSE),"")</f>
        <v/>
      </c>
      <c r="I2097" s="112" t="str">
        <f>IFERROR(VLOOKUP(Table1722[[#This Row],[Bukti]],Table13[#Data],11,FALSE),"")</f>
        <v/>
      </c>
    </row>
    <row r="2098" spans="1:9" ht="19.5" hidden="1" customHeight="1" x14ac:dyDescent="0.2">
      <c r="A2098" s="105" t="str">
        <f>IF(D2098=1,COUNTIF($D$10:D2098,1)," ")</f>
        <v xml:space="preserve"> </v>
      </c>
      <c r="B2098" s="106">
        <f>COPY!AR2090</f>
        <v>0</v>
      </c>
      <c r="C2098" s="107">
        <f>COPY!AC2090</f>
        <v>0</v>
      </c>
      <c r="D2098" s="107" t="str">
        <f>IF(LEN(Table1722[[#This Row],[Uraian]])&gt;2,1," ")</f>
        <v xml:space="preserve"> </v>
      </c>
      <c r="E2098" s="113" t="str">
        <f>IF(Table1722[[#This Row],[Lawan Transaksi]]="CV AGUNG KARYA",COUNTIF($I$10:I2098,"CV AGUNG KARYA")," ")</f>
        <v xml:space="preserve"> </v>
      </c>
      <c r="F2098" s="107" t="str">
        <f>IF(LEN(Table1722[[#This Row],[Uraian]])&gt;2,TRIM(RIGHT(SUBSTITUTE(TRIM(C2098)," ",REPT(" ",255)),255))," ")</f>
        <v xml:space="preserve"> </v>
      </c>
      <c r="G2098" s="110">
        <f>COPY!Z2090</f>
        <v>0</v>
      </c>
      <c r="H2098" s="111" t="str">
        <f>IFERROR(VLOOKUP(Table1722[[#This Row],[Bukti]],'Un nOTA'!$A$4:$K$5003,10,FALSE),"")</f>
        <v/>
      </c>
      <c r="I2098" s="112" t="str">
        <f>IFERROR(VLOOKUP(Table1722[[#This Row],[Bukti]],Table13[#Data],11,FALSE),"")</f>
        <v/>
      </c>
    </row>
    <row r="2099" spans="1:9" ht="19.5" hidden="1" customHeight="1" x14ac:dyDescent="0.2">
      <c r="A2099" s="105" t="str">
        <f>IF(D2099=1,COUNTIF($D$10:D2099,1)," ")</f>
        <v xml:space="preserve"> </v>
      </c>
      <c r="B2099" s="106">
        <f>COPY!AR2091</f>
        <v>0</v>
      </c>
      <c r="C2099" s="107">
        <f>COPY!AC2091</f>
        <v>0</v>
      </c>
      <c r="D2099" s="107" t="str">
        <f>IF(LEN(Table1722[[#This Row],[Uraian]])&gt;2,1," ")</f>
        <v xml:space="preserve"> </v>
      </c>
      <c r="E2099" s="113" t="str">
        <f>IF(Table1722[[#This Row],[Lawan Transaksi]]="CV AGUNG KARYA",COUNTIF($I$10:I2099,"CV AGUNG KARYA")," ")</f>
        <v xml:space="preserve"> </v>
      </c>
      <c r="F2099" s="107" t="str">
        <f>IF(LEN(Table1722[[#This Row],[Uraian]])&gt;2,TRIM(RIGHT(SUBSTITUTE(TRIM(C2099)," ",REPT(" ",255)),255))," ")</f>
        <v xml:space="preserve"> </v>
      </c>
      <c r="G2099" s="110">
        <f>COPY!Z2091</f>
        <v>0</v>
      </c>
      <c r="H2099" s="111" t="str">
        <f>IFERROR(VLOOKUP(Table1722[[#This Row],[Bukti]],'Un nOTA'!$A$4:$K$5003,10,FALSE),"")</f>
        <v/>
      </c>
      <c r="I2099" s="112" t="str">
        <f>IFERROR(VLOOKUP(Table1722[[#This Row],[Bukti]],Table13[#Data],11,FALSE),"")</f>
        <v/>
      </c>
    </row>
    <row r="2100" spans="1:9" ht="19.5" hidden="1" customHeight="1" x14ac:dyDescent="0.2">
      <c r="A2100" s="105" t="str">
        <f>IF(D2100=1,COUNTIF($D$10:D2100,1)," ")</f>
        <v xml:space="preserve"> </v>
      </c>
      <c r="B2100" s="106">
        <f>COPY!AR2092</f>
        <v>0</v>
      </c>
      <c r="C2100" s="107">
        <f>COPY!AC2092</f>
        <v>0</v>
      </c>
      <c r="D2100" s="107" t="str">
        <f>IF(LEN(Table1722[[#This Row],[Uraian]])&gt;2,1," ")</f>
        <v xml:space="preserve"> </v>
      </c>
      <c r="E2100" s="113" t="str">
        <f>IF(Table1722[[#This Row],[Lawan Transaksi]]="CV AGUNG KARYA",COUNTIF($I$10:I2100,"CV AGUNG KARYA")," ")</f>
        <v xml:space="preserve"> </v>
      </c>
      <c r="F2100" s="107" t="str">
        <f>IF(LEN(Table1722[[#This Row],[Uraian]])&gt;2,TRIM(RIGHT(SUBSTITUTE(TRIM(C2100)," ",REPT(" ",255)),255))," ")</f>
        <v xml:space="preserve"> </v>
      </c>
      <c r="G2100" s="110">
        <f>COPY!Z2092</f>
        <v>0</v>
      </c>
      <c r="H2100" s="111" t="str">
        <f>IFERROR(VLOOKUP(Table1722[[#This Row],[Bukti]],'Un nOTA'!$A$4:$K$5003,10,FALSE),"")</f>
        <v/>
      </c>
      <c r="I2100" s="112" t="str">
        <f>IFERROR(VLOOKUP(Table1722[[#This Row],[Bukti]],Table13[#Data],11,FALSE),"")</f>
        <v/>
      </c>
    </row>
    <row r="2101" spans="1:9" ht="19.5" hidden="1" customHeight="1" x14ac:dyDescent="0.2">
      <c r="A2101" s="105" t="str">
        <f>IF(D2101=1,COUNTIF($D$10:D2101,1)," ")</f>
        <v xml:space="preserve"> </v>
      </c>
      <c r="B2101" s="106">
        <f>COPY!AR2093</f>
        <v>0</v>
      </c>
      <c r="C2101" s="107">
        <f>COPY!AC2093</f>
        <v>0</v>
      </c>
      <c r="D2101" s="107" t="str">
        <f>IF(LEN(Table1722[[#This Row],[Uraian]])&gt;2,1," ")</f>
        <v xml:space="preserve"> </v>
      </c>
      <c r="E2101" s="113" t="str">
        <f>IF(Table1722[[#This Row],[Lawan Transaksi]]="CV AGUNG KARYA",COUNTIF($I$10:I2101,"CV AGUNG KARYA")," ")</f>
        <v xml:space="preserve"> </v>
      </c>
      <c r="F2101" s="107" t="str">
        <f>IF(LEN(Table1722[[#This Row],[Uraian]])&gt;2,TRIM(RIGHT(SUBSTITUTE(TRIM(C2101)," ",REPT(" ",255)),255))," ")</f>
        <v xml:space="preserve"> </v>
      </c>
      <c r="G2101" s="110">
        <f>COPY!Z2093</f>
        <v>0</v>
      </c>
      <c r="H2101" s="111" t="str">
        <f>IFERROR(VLOOKUP(Table1722[[#This Row],[Bukti]],'Un nOTA'!$A$4:$K$5003,10,FALSE),"")</f>
        <v/>
      </c>
      <c r="I2101" s="112" t="str">
        <f>IFERROR(VLOOKUP(Table1722[[#This Row],[Bukti]],Table13[#Data],11,FALSE),"")</f>
        <v/>
      </c>
    </row>
    <row r="2102" spans="1:9" ht="19.5" hidden="1" customHeight="1" x14ac:dyDescent="0.2">
      <c r="A2102" s="105" t="str">
        <f>IF(D2102=1,COUNTIF($D$10:D2102,1)," ")</f>
        <v xml:space="preserve"> </v>
      </c>
      <c r="B2102" s="106">
        <f>COPY!AR2094</f>
        <v>0</v>
      </c>
      <c r="C2102" s="107">
        <f>COPY!AC2094</f>
        <v>0</v>
      </c>
      <c r="D2102" s="107" t="str">
        <f>IF(LEN(Table1722[[#This Row],[Uraian]])&gt;2,1," ")</f>
        <v xml:space="preserve"> </v>
      </c>
      <c r="E2102" s="113" t="str">
        <f>IF(Table1722[[#This Row],[Lawan Transaksi]]="CV AGUNG KARYA",COUNTIF($I$10:I2102,"CV AGUNG KARYA")," ")</f>
        <v xml:space="preserve"> </v>
      </c>
      <c r="F2102" s="107" t="str">
        <f>IF(LEN(Table1722[[#This Row],[Uraian]])&gt;2,TRIM(RIGHT(SUBSTITUTE(TRIM(C2102)," ",REPT(" ",255)),255))," ")</f>
        <v xml:space="preserve"> </v>
      </c>
      <c r="G2102" s="110">
        <f>COPY!Z2094</f>
        <v>0</v>
      </c>
      <c r="H2102" s="111" t="str">
        <f>IFERROR(VLOOKUP(Table1722[[#This Row],[Bukti]],'Un nOTA'!$A$4:$K$5003,10,FALSE),"")</f>
        <v/>
      </c>
      <c r="I2102" s="112" t="str">
        <f>IFERROR(VLOOKUP(Table1722[[#This Row],[Bukti]],Table13[#Data],11,FALSE),"")</f>
        <v/>
      </c>
    </row>
    <row r="2103" spans="1:9" ht="19.5" hidden="1" customHeight="1" x14ac:dyDescent="0.2">
      <c r="A2103" s="105" t="str">
        <f>IF(D2103=1,COUNTIF($D$10:D2103,1)," ")</f>
        <v xml:space="preserve"> </v>
      </c>
      <c r="B2103" s="106">
        <f>COPY!AR2095</f>
        <v>0</v>
      </c>
      <c r="C2103" s="107">
        <f>COPY!AC2095</f>
        <v>0</v>
      </c>
      <c r="D2103" s="107" t="str">
        <f>IF(LEN(Table1722[[#This Row],[Uraian]])&gt;2,1," ")</f>
        <v xml:space="preserve"> </v>
      </c>
      <c r="E2103" s="113" t="str">
        <f>IF(Table1722[[#This Row],[Lawan Transaksi]]="CV AGUNG KARYA",COUNTIF($I$10:I2103,"CV AGUNG KARYA")," ")</f>
        <v xml:space="preserve"> </v>
      </c>
      <c r="F2103" s="107" t="str">
        <f>IF(LEN(Table1722[[#This Row],[Uraian]])&gt;2,TRIM(RIGHT(SUBSTITUTE(TRIM(C2103)," ",REPT(" ",255)),255))," ")</f>
        <v xml:space="preserve"> </v>
      </c>
      <c r="G2103" s="110">
        <f>COPY!Z2095</f>
        <v>0</v>
      </c>
      <c r="H2103" s="111" t="str">
        <f>IFERROR(VLOOKUP(Table1722[[#This Row],[Bukti]],'Un nOTA'!$A$4:$K$5003,10,FALSE),"")</f>
        <v/>
      </c>
      <c r="I2103" s="112" t="str">
        <f>IFERROR(VLOOKUP(Table1722[[#This Row],[Bukti]],Table13[#Data],11,FALSE),"")</f>
        <v/>
      </c>
    </row>
    <row r="2104" spans="1:9" ht="19.5" hidden="1" customHeight="1" x14ac:dyDescent="0.2">
      <c r="A2104" s="105" t="str">
        <f>IF(D2104=1,COUNTIF($D$10:D2104,1)," ")</f>
        <v xml:space="preserve"> </v>
      </c>
      <c r="B2104" s="106">
        <f>COPY!AR2096</f>
        <v>0</v>
      </c>
      <c r="C2104" s="107">
        <f>COPY!AC2096</f>
        <v>0</v>
      </c>
      <c r="D2104" s="107" t="str">
        <f>IF(LEN(Table1722[[#This Row],[Uraian]])&gt;2,1," ")</f>
        <v xml:space="preserve"> </v>
      </c>
      <c r="E2104" s="113" t="str">
        <f>IF(Table1722[[#This Row],[Lawan Transaksi]]="CV AGUNG KARYA",COUNTIF($I$10:I2104,"CV AGUNG KARYA")," ")</f>
        <v xml:space="preserve"> </v>
      </c>
      <c r="F2104" s="107" t="str">
        <f>IF(LEN(Table1722[[#This Row],[Uraian]])&gt;2,TRIM(RIGHT(SUBSTITUTE(TRIM(C2104)," ",REPT(" ",255)),255))," ")</f>
        <v xml:space="preserve"> </v>
      </c>
      <c r="G2104" s="110">
        <f>COPY!Z2096</f>
        <v>0</v>
      </c>
      <c r="H2104" s="111" t="str">
        <f>IFERROR(VLOOKUP(Table1722[[#This Row],[Bukti]],'Un nOTA'!$A$4:$K$5003,10,FALSE),"")</f>
        <v/>
      </c>
      <c r="I2104" s="112" t="str">
        <f>IFERROR(VLOOKUP(Table1722[[#This Row],[Bukti]],Table13[#Data],11,FALSE),"")</f>
        <v/>
      </c>
    </row>
    <row r="2105" spans="1:9" ht="19.5" hidden="1" customHeight="1" x14ac:dyDescent="0.2">
      <c r="A2105" s="105" t="str">
        <f>IF(D2105=1,COUNTIF($D$10:D2105,1)," ")</f>
        <v xml:space="preserve"> </v>
      </c>
      <c r="B2105" s="106">
        <f>COPY!AR2097</f>
        <v>0</v>
      </c>
      <c r="C2105" s="107">
        <f>COPY!AC2097</f>
        <v>0</v>
      </c>
      <c r="D2105" s="107" t="str">
        <f>IF(LEN(Table1722[[#This Row],[Uraian]])&gt;2,1," ")</f>
        <v xml:space="preserve"> </v>
      </c>
      <c r="E2105" s="113" t="str">
        <f>IF(Table1722[[#This Row],[Lawan Transaksi]]="CV AGUNG KARYA",COUNTIF($I$10:I2105,"CV AGUNG KARYA")," ")</f>
        <v xml:space="preserve"> </v>
      </c>
      <c r="F2105" s="107" t="str">
        <f>IF(LEN(Table1722[[#This Row],[Uraian]])&gt;2,TRIM(RIGHT(SUBSTITUTE(TRIM(C2105)," ",REPT(" ",255)),255))," ")</f>
        <v xml:space="preserve"> </v>
      </c>
      <c r="G2105" s="110">
        <f>COPY!Z2097</f>
        <v>0</v>
      </c>
      <c r="H2105" s="111" t="str">
        <f>IFERROR(VLOOKUP(Table1722[[#This Row],[Bukti]],'Un nOTA'!$A$4:$K$5003,10,FALSE),"")</f>
        <v/>
      </c>
      <c r="I2105" s="112" t="str">
        <f>IFERROR(VLOOKUP(Table1722[[#This Row],[Bukti]],Table13[#Data],11,FALSE),"")</f>
        <v/>
      </c>
    </row>
    <row r="2106" spans="1:9" ht="19.5" hidden="1" customHeight="1" x14ac:dyDescent="0.2">
      <c r="A2106" s="105" t="str">
        <f>IF(D2106=1,COUNTIF($D$10:D2106,1)," ")</f>
        <v xml:space="preserve"> </v>
      </c>
      <c r="B2106" s="106">
        <f>COPY!AR2098</f>
        <v>0</v>
      </c>
      <c r="C2106" s="107">
        <f>COPY!AC2098</f>
        <v>0</v>
      </c>
      <c r="D2106" s="107" t="str">
        <f>IF(LEN(Table1722[[#This Row],[Uraian]])&gt;2,1," ")</f>
        <v xml:space="preserve"> </v>
      </c>
      <c r="E2106" s="113" t="str">
        <f>IF(Table1722[[#This Row],[Lawan Transaksi]]="CV AGUNG KARYA",COUNTIF($I$10:I2106,"CV AGUNG KARYA")," ")</f>
        <v xml:space="preserve"> </v>
      </c>
      <c r="F2106" s="107" t="str">
        <f>IF(LEN(Table1722[[#This Row],[Uraian]])&gt;2,TRIM(RIGHT(SUBSTITUTE(TRIM(C2106)," ",REPT(" ",255)),255))," ")</f>
        <v xml:space="preserve"> </v>
      </c>
      <c r="G2106" s="110">
        <f>COPY!Z2098</f>
        <v>0</v>
      </c>
      <c r="H2106" s="111" t="str">
        <f>IFERROR(VLOOKUP(Table1722[[#This Row],[Bukti]],'Un nOTA'!$A$4:$K$5003,10,FALSE),"")</f>
        <v/>
      </c>
      <c r="I2106" s="112" t="str">
        <f>IFERROR(VLOOKUP(Table1722[[#This Row],[Bukti]],Table13[#Data],11,FALSE),"")</f>
        <v/>
      </c>
    </row>
    <row r="2107" spans="1:9" ht="19.5" hidden="1" customHeight="1" x14ac:dyDescent="0.2">
      <c r="A2107" s="105" t="str">
        <f>IF(D2107=1,COUNTIF($D$10:D2107,1)," ")</f>
        <v xml:space="preserve"> </v>
      </c>
      <c r="B2107" s="106">
        <f>COPY!AR2099</f>
        <v>0</v>
      </c>
      <c r="C2107" s="107">
        <f>COPY!AC2099</f>
        <v>0</v>
      </c>
      <c r="D2107" s="107" t="str">
        <f>IF(LEN(Table1722[[#This Row],[Uraian]])&gt;2,1," ")</f>
        <v xml:space="preserve"> </v>
      </c>
      <c r="E2107" s="113" t="str">
        <f>IF(Table1722[[#This Row],[Lawan Transaksi]]="CV AGUNG KARYA",COUNTIF($I$10:I2107,"CV AGUNG KARYA")," ")</f>
        <v xml:space="preserve"> </v>
      </c>
      <c r="F2107" s="107" t="str">
        <f>IF(LEN(Table1722[[#This Row],[Uraian]])&gt;2,TRIM(RIGHT(SUBSTITUTE(TRIM(C2107)," ",REPT(" ",255)),255))," ")</f>
        <v xml:space="preserve"> </v>
      </c>
      <c r="G2107" s="110">
        <f>COPY!Z2099</f>
        <v>0</v>
      </c>
      <c r="H2107" s="111" t="str">
        <f>IFERROR(VLOOKUP(Table1722[[#This Row],[Bukti]],'Un nOTA'!$A$4:$K$5003,10,FALSE),"")</f>
        <v/>
      </c>
      <c r="I2107" s="112" t="str">
        <f>IFERROR(VLOOKUP(Table1722[[#This Row],[Bukti]],Table13[#Data],11,FALSE),"")</f>
        <v/>
      </c>
    </row>
    <row r="2108" spans="1:9" ht="19.5" hidden="1" customHeight="1" x14ac:dyDescent="0.2">
      <c r="A2108" s="105" t="str">
        <f>IF(D2108=1,COUNTIF($D$10:D2108,1)," ")</f>
        <v xml:space="preserve"> </v>
      </c>
      <c r="B2108" s="106">
        <f>COPY!AR2100</f>
        <v>0</v>
      </c>
      <c r="C2108" s="107">
        <f>COPY!AC2100</f>
        <v>0</v>
      </c>
      <c r="D2108" s="107" t="str">
        <f>IF(LEN(Table1722[[#This Row],[Uraian]])&gt;2,1," ")</f>
        <v xml:space="preserve"> </v>
      </c>
      <c r="E2108" s="113" t="str">
        <f>IF(Table1722[[#This Row],[Lawan Transaksi]]="CV AGUNG KARYA",COUNTIF($I$10:I2108,"CV AGUNG KARYA")," ")</f>
        <v xml:space="preserve"> </v>
      </c>
      <c r="F2108" s="107" t="str">
        <f>IF(LEN(Table1722[[#This Row],[Uraian]])&gt;2,TRIM(RIGHT(SUBSTITUTE(TRIM(C2108)," ",REPT(" ",255)),255))," ")</f>
        <v xml:space="preserve"> </v>
      </c>
      <c r="G2108" s="110">
        <f>COPY!Z2100</f>
        <v>0</v>
      </c>
      <c r="H2108" s="111" t="str">
        <f>IFERROR(VLOOKUP(Table1722[[#This Row],[Bukti]],'Un nOTA'!$A$4:$K$5003,10,FALSE),"")</f>
        <v/>
      </c>
      <c r="I2108" s="112" t="str">
        <f>IFERROR(VLOOKUP(Table1722[[#This Row],[Bukti]],Table13[#Data],11,FALSE),"")</f>
        <v/>
      </c>
    </row>
    <row r="2109" spans="1:9" ht="19.5" hidden="1" customHeight="1" x14ac:dyDescent="0.2">
      <c r="A2109" s="105" t="str">
        <f>IF(D2109=1,COUNTIF($D$10:D2109,1)," ")</f>
        <v xml:space="preserve"> </v>
      </c>
      <c r="B2109" s="106">
        <f>COPY!AR2101</f>
        <v>0</v>
      </c>
      <c r="C2109" s="107">
        <f>COPY!AC2101</f>
        <v>0</v>
      </c>
      <c r="D2109" s="107" t="str">
        <f>IF(LEN(Table1722[[#This Row],[Uraian]])&gt;2,1," ")</f>
        <v xml:space="preserve"> </v>
      </c>
      <c r="E2109" s="113" t="str">
        <f>IF(Table1722[[#This Row],[Lawan Transaksi]]="CV AGUNG KARYA",COUNTIF($I$10:I2109,"CV AGUNG KARYA")," ")</f>
        <v xml:space="preserve"> </v>
      </c>
      <c r="F2109" s="107" t="str">
        <f>IF(LEN(Table1722[[#This Row],[Uraian]])&gt;2,TRIM(RIGHT(SUBSTITUTE(TRIM(C2109)," ",REPT(" ",255)),255))," ")</f>
        <v xml:space="preserve"> </v>
      </c>
      <c r="G2109" s="110">
        <f>COPY!Z2101</f>
        <v>0</v>
      </c>
      <c r="H2109" s="111" t="str">
        <f>IFERROR(VLOOKUP(Table1722[[#This Row],[Bukti]],'Un nOTA'!$A$4:$K$5003,10,FALSE),"")</f>
        <v/>
      </c>
      <c r="I2109" s="112" t="str">
        <f>IFERROR(VLOOKUP(Table1722[[#This Row],[Bukti]],Table13[#Data],11,FALSE),"")</f>
        <v/>
      </c>
    </row>
    <row r="2110" spans="1:9" ht="19.5" hidden="1" customHeight="1" x14ac:dyDescent="0.2">
      <c r="A2110" s="105" t="str">
        <f>IF(D2110=1,COUNTIF($D$10:D2110,1)," ")</f>
        <v xml:space="preserve"> </v>
      </c>
      <c r="B2110" s="106">
        <f>COPY!AR2102</f>
        <v>0</v>
      </c>
      <c r="C2110" s="107">
        <f>COPY!AC2102</f>
        <v>0</v>
      </c>
      <c r="D2110" s="107" t="str">
        <f>IF(LEN(Table1722[[#This Row],[Uraian]])&gt;2,1," ")</f>
        <v xml:space="preserve"> </v>
      </c>
      <c r="E2110" s="113" t="str">
        <f>IF(Table1722[[#This Row],[Lawan Transaksi]]="CV AGUNG KARYA",COUNTIF($I$10:I2110,"CV AGUNG KARYA")," ")</f>
        <v xml:space="preserve"> </v>
      </c>
      <c r="F2110" s="107" t="str">
        <f>IF(LEN(Table1722[[#This Row],[Uraian]])&gt;2,TRIM(RIGHT(SUBSTITUTE(TRIM(C2110)," ",REPT(" ",255)),255))," ")</f>
        <v xml:space="preserve"> </v>
      </c>
      <c r="G2110" s="110">
        <f>COPY!Z2102</f>
        <v>0</v>
      </c>
      <c r="H2110" s="111" t="str">
        <f>IFERROR(VLOOKUP(Table1722[[#This Row],[Bukti]],'Un nOTA'!$A$4:$K$5003,10,FALSE),"")</f>
        <v/>
      </c>
      <c r="I2110" s="112" t="str">
        <f>IFERROR(VLOOKUP(Table1722[[#This Row],[Bukti]],Table13[#Data],11,FALSE),"")</f>
        <v/>
      </c>
    </row>
    <row r="2111" spans="1:9" ht="19.5" hidden="1" customHeight="1" x14ac:dyDescent="0.2">
      <c r="A2111" s="105" t="str">
        <f>IF(D2111=1,COUNTIF($D$10:D2111,1)," ")</f>
        <v xml:space="preserve"> </v>
      </c>
      <c r="B2111" s="106">
        <f>COPY!AR2103</f>
        <v>0</v>
      </c>
      <c r="C2111" s="107">
        <f>COPY!AC2103</f>
        <v>0</v>
      </c>
      <c r="D2111" s="107" t="str">
        <f>IF(LEN(Table1722[[#This Row],[Uraian]])&gt;2,1," ")</f>
        <v xml:space="preserve"> </v>
      </c>
      <c r="E2111" s="113" t="str">
        <f>IF(Table1722[[#This Row],[Lawan Transaksi]]="CV AGUNG KARYA",COUNTIF($I$10:I2111,"CV AGUNG KARYA")," ")</f>
        <v xml:space="preserve"> </v>
      </c>
      <c r="F2111" s="107" t="str">
        <f>IF(LEN(Table1722[[#This Row],[Uraian]])&gt;2,TRIM(RIGHT(SUBSTITUTE(TRIM(C2111)," ",REPT(" ",255)),255))," ")</f>
        <v xml:space="preserve"> </v>
      </c>
      <c r="G2111" s="110">
        <f>COPY!Z2103</f>
        <v>0</v>
      </c>
      <c r="H2111" s="111" t="str">
        <f>IFERROR(VLOOKUP(Table1722[[#This Row],[Bukti]],'Un nOTA'!$A$4:$K$5003,10,FALSE),"")</f>
        <v/>
      </c>
      <c r="I2111" s="112" t="str">
        <f>IFERROR(VLOOKUP(Table1722[[#This Row],[Bukti]],Table13[#Data],11,FALSE),"")</f>
        <v/>
      </c>
    </row>
    <row r="2112" spans="1:9" ht="19.5" hidden="1" customHeight="1" x14ac:dyDescent="0.2">
      <c r="A2112" s="105" t="str">
        <f>IF(D2112=1,COUNTIF($D$10:D2112,1)," ")</f>
        <v xml:space="preserve"> </v>
      </c>
      <c r="B2112" s="106">
        <f>COPY!AR2104</f>
        <v>0</v>
      </c>
      <c r="C2112" s="107">
        <f>COPY!AC2104</f>
        <v>0</v>
      </c>
      <c r="D2112" s="107" t="str">
        <f>IF(LEN(Table1722[[#This Row],[Uraian]])&gt;2,1," ")</f>
        <v xml:space="preserve"> </v>
      </c>
      <c r="E2112" s="113" t="str">
        <f>IF(Table1722[[#This Row],[Lawan Transaksi]]="CV AGUNG KARYA",COUNTIF($I$10:I2112,"CV AGUNG KARYA")," ")</f>
        <v xml:space="preserve"> </v>
      </c>
      <c r="F2112" s="107" t="str">
        <f>IF(LEN(Table1722[[#This Row],[Uraian]])&gt;2,TRIM(RIGHT(SUBSTITUTE(TRIM(C2112)," ",REPT(" ",255)),255))," ")</f>
        <v xml:space="preserve"> </v>
      </c>
      <c r="G2112" s="110">
        <f>COPY!Z2104</f>
        <v>0</v>
      </c>
      <c r="H2112" s="111" t="str">
        <f>IFERROR(VLOOKUP(Table1722[[#This Row],[Bukti]],'Un nOTA'!$A$4:$K$5003,10,FALSE),"")</f>
        <v/>
      </c>
      <c r="I2112" s="112" t="str">
        <f>IFERROR(VLOOKUP(Table1722[[#This Row],[Bukti]],Table13[#Data],11,FALSE),"")</f>
        <v/>
      </c>
    </row>
    <row r="2113" spans="1:9" ht="19.5" hidden="1" customHeight="1" x14ac:dyDescent="0.2">
      <c r="A2113" s="105" t="str">
        <f>IF(D2113=1,COUNTIF($D$10:D2113,1)," ")</f>
        <v xml:space="preserve"> </v>
      </c>
      <c r="B2113" s="106">
        <f>COPY!AR2105</f>
        <v>0</v>
      </c>
      <c r="C2113" s="107">
        <f>COPY!AC2105</f>
        <v>0</v>
      </c>
      <c r="D2113" s="107" t="str">
        <f>IF(LEN(Table1722[[#This Row],[Uraian]])&gt;2,1," ")</f>
        <v xml:space="preserve"> </v>
      </c>
      <c r="E2113" s="113" t="str">
        <f>IF(Table1722[[#This Row],[Lawan Transaksi]]="CV AGUNG KARYA",COUNTIF($I$10:I2113,"CV AGUNG KARYA")," ")</f>
        <v xml:space="preserve"> </v>
      </c>
      <c r="F2113" s="107" t="str">
        <f>IF(LEN(Table1722[[#This Row],[Uraian]])&gt;2,TRIM(RIGHT(SUBSTITUTE(TRIM(C2113)," ",REPT(" ",255)),255))," ")</f>
        <v xml:space="preserve"> </v>
      </c>
      <c r="G2113" s="110">
        <f>COPY!Z2105</f>
        <v>0</v>
      </c>
      <c r="H2113" s="111" t="str">
        <f>IFERROR(VLOOKUP(Table1722[[#This Row],[Bukti]],'Un nOTA'!$A$4:$K$5003,10,FALSE),"")</f>
        <v/>
      </c>
      <c r="I2113" s="112" t="str">
        <f>IFERROR(VLOOKUP(Table1722[[#This Row],[Bukti]],Table13[#Data],11,FALSE),"")</f>
        <v/>
      </c>
    </row>
    <row r="2114" spans="1:9" ht="19.5" hidden="1" customHeight="1" x14ac:dyDescent="0.2">
      <c r="A2114" s="105" t="str">
        <f>IF(D2114=1,COUNTIF($D$10:D2114,1)," ")</f>
        <v xml:space="preserve"> </v>
      </c>
      <c r="B2114" s="106">
        <f>COPY!AR2106</f>
        <v>0</v>
      </c>
      <c r="C2114" s="107">
        <f>COPY!AC2106</f>
        <v>0</v>
      </c>
      <c r="D2114" s="107" t="str">
        <f>IF(LEN(Table1722[[#This Row],[Uraian]])&gt;2,1," ")</f>
        <v xml:space="preserve"> </v>
      </c>
      <c r="E2114" s="113" t="str">
        <f>IF(Table1722[[#This Row],[Lawan Transaksi]]="CV AGUNG KARYA",COUNTIF($I$10:I2114,"CV AGUNG KARYA")," ")</f>
        <v xml:space="preserve"> </v>
      </c>
      <c r="F2114" s="107" t="str">
        <f>IF(LEN(Table1722[[#This Row],[Uraian]])&gt;2,TRIM(RIGHT(SUBSTITUTE(TRIM(C2114)," ",REPT(" ",255)),255))," ")</f>
        <v xml:space="preserve"> </v>
      </c>
      <c r="G2114" s="110">
        <f>COPY!Z2106</f>
        <v>0</v>
      </c>
      <c r="H2114" s="111" t="str">
        <f>IFERROR(VLOOKUP(Table1722[[#This Row],[Bukti]],'Un nOTA'!$A$4:$K$5003,10,FALSE),"")</f>
        <v/>
      </c>
      <c r="I2114" s="112" t="str">
        <f>IFERROR(VLOOKUP(Table1722[[#This Row],[Bukti]],Table13[#Data],11,FALSE),"")</f>
        <v/>
      </c>
    </row>
    <row r="2115" spans="1:9" ht="19.5" hidden="1" customHeight="1" x14ac:dyDescent="0.2">
      <c r="A2115" s="105" t="str">
        <f>IF(D2115=1,COUNTIF($D$10:D2115,1)," ")</f>
        <v xml:space="preserve"> </v>
      </c>
      <c r="B2115" s="106">
        <f>COPY!AR2107</f>
        <v>0</v>
      </c>
      <c r="C2115" s="107">
        <f>COPY!AC2107</f>
        <v>0</v>
      </c>
      <c r="D2115" s="107" t="str">
        <f>IF(LEN(Table1722[[#This Row],[Uraian]])&gt;2,1," ")</f>
        <v xml:space="preserve"> </v>
      </c>
      <c r="E2115" s="113" t="str">
        <f>IF(Table1722[[#This Row],[Lawan Transaksi]]="CV AGUNG KARYA",COUNTIF($I$10:I2115,"CV AGUNG KARYA")," ")</f>
        <v xml:space="preserve"> </v>
      </c>
      <c r="F2115" s="107" t="str">
        <f>IF(LEN(Table1722[[#This Row],[Uraian]])&gt;2,TRIM(RIGHT(SUBSTITUTE(TRIM(C2115)," ",REPT(" ",255)),255))," ")</f>
        <v xml:space="preserve"> </v>
      </c>
      <c r="G2115" s="110">
        <f>COPY!Z2107</f>
        <v>0</v>
      </c>
      <c r="H2115" s="111" t="str">
        <f>IFERROR(VLOOKUP(Table1722[[#This Row],[Bukti]],'Un nOTA'!$A$4:$K$5003,10,FALSE),"")</f>
        <v/>
      </c>
      <c r="I2115" s="112" t="str">
        <f>IFERROR(VLOOKUP(Table1722[[#This Row],[Bukti]],Table13[#Data],11,FALSE),"")</f>
        <v/>
      </c>
    </row>
    <row r="2116" spans="1:9" ht="19.5" hidden="1" customHeight="1" x14ac:dyDescent="0.2">
      <c r="A2116" s="105" t="str">
        <f>IF(D2116=1,COUNTIF($D$10:D2116,1)," ")</f>
        <v xml:space="preserve"> </v>
      </c>
      <c r="B2116" s="106">
        <f>COPY!AR2108</f>
        <v>0</v>
      </c>
      <c r="C2116" s="107">
        <f>COPY!AC2108</f>
        <v>0</v>
      </c>
      <c r="D2116" s="107" t="str">
        <f>IF(LEN(Table1722[[#This Row],[Uraian]])&gt;2,1," ")</f>
        <v xml:space="preserve"> </v>
      </c>
      <c r="E2116" s="113" t="str">
        <f>IF(Table1722[[#This Row],[Lawan Transaksi]]="CV AGUNG KARYA",COUNTIF($I$10:I2116,"CV AGUNG KARYA")," ")</f>
        <v xml:space="preserve"> </v>
      </c>
      <c r="F2116" s="107" t="str">
        <f>IF(LEN(Table1722[[#This Row],[Uraian]])&gt;2,TRIM(RIGHT(SUBSTITUTE(TRIM(C2116)," ",REPT(" ",255)),255))," ")</f>
        <v xml:space="preserve"> </v>
      </c>
      <c r="G2116" s="110">
        <f>COPY!Z2108</f>
        <v>0</v>
      </c>
      <c r="H2116" s="111" t="str">
        <f>IFERROR(VLOOKUP(Table1722[[#This Row],[Bukti]],'Un nOTA'!$A$4:$K$5003,10,FALSE),"")</f>
        <v/>
      </c>
      <c r="I2116" s="112" t="str">
        <f>IFERROR(VLOOKUP(Table1722[[#This Row],[Bukti]],Table13[#Data],11,FALSE),"")</f>
        <v/>
      </c>
    </row>
    <row r="2117" spans="1:9" ht="19.5" hidden="1" customHeight="1" x14ac:dyDescent="0.2">
      <c r="A2117" s="105" t="str">
        <f>IF(D2117=1,COUNTIF($D$10:D2117,1)," ")</f>
        <v xml:space="preserve"> </v>
      </c>
      <c r="B2117" s="106">
        <f>COPY!AR2109</f>
        <v>0</v>
      </c>
      <c r="C2117" s="107">
        <f>COPY!AC2109</f>
        <v>0</v>
      </c>
      <c r="D2117" s="107" t="str">
        <f>IF(LEN(Table1722[[#This Row],[Uraian]])&gt;2,1," ")</f>
        <v xml:space="preserve"> </v>
      </c>
      <c r="E2117" s="113" t="str">
        <f>IF(Table1722[[#This Row],[Lawan Transaksi]]="CV AGUNG KARYA",COUNTIF($I$10:I2117,"CV AGUNG KARYA")," ")</f>
        <v xml:space="preserve"> </v>
      </c>
      <c r="F2117" s="107" t="str">
        <f>IF(LEN(Table1722[[#This Row],[Uraian]])&gt;2,TRIM(RIGHT(SUBSTITUTE(TRIM(C2117)," ",REPT(" ",255)),255))," ")</f>
        <v xml:space="preserve"> </v>
      </c>
      <c r="G2117" s="110">
        <f>COPY!Z2109</f>
        <v>0</v>
      </c>
      <c r="H2117" s="111" t="str">
        <f>IFERROR(VLOOKUP(Table1722[[#This Row],[Bukti]],'Un nOTA'!$A$4:$K$5003,10,FALSE),"")</f>
        <v/>
      </c>
      <c r="I2117" s="112" t="str">
        <f>IFERROR(VLOOKUP(Table1722[[#This Row],[Bukti]],Table13[#Data],11,FALSE),"")</f>
        <v/>
      </c>
    </row>
    <row r="2118" spans="1:9" ht="19.5" hidden="1" customHeight="1" x14ac:dyDescent="0.2">
      <c r="A2118" s="105" t="str">
        <f>IF(D2118=1,COUNTIF($D$10:D2118,1)," ")</f>
        <v xml:space="preserve"> </v>
      </c>
      <c r="B2118" s="106">
        <f>COPY!AR2110</f>
        <v>0</v>
      </c>
      <c r="C2118" s="107">
        <f>COPY!AC2110</f>
        <v>0</v>
      </c>
      <c r="D2118" s="107" t="str">
        <f>IF(LEN(Table1722[[#This Row],[Uraian]])&gt;2,1," ")</f>
        <v xml:space="preserve"> </v>
      </c>
      <c r="E2118" s="113" t="str">
        <f>IF(Table1722[[#This Row],[Lawan Transaksi]]="CV AGUNG KARYA",COUNTIF($I$10:I2118,"CV AGUNG KARYA")," ")</f>
        <v xml:space="preserve"> </v>
      </c>
      <c r="F2118" s="107" t="str">
        <f>IF(LEN(Table1722[[#This Row],[Uraian]])&gt;2,TRIM(RIGHT(SUBSTITUTE(TRIM(C2118)," ",REPT(" ",255)),255))," ")</f>
        <v xml:space="preserve"> </v>
      </c>
      <c r="G2118" s="110">
        <f>COPY!Z2110</f>
        <v>0</v>
      </c>
      <c r="H2118" s="111" t="str">
        <f>IFERROR(VLOOKUP(Table1722[[#This Row],[Bukti]],'Un nOTA'!$A$4:$K$5003,10,FALSE),"")</f>
        <v/>
      </c>
      <c r="I2118" s="112" t="str">
        <f>IFERROR(VLOOKUP(Table1722[[#This Row],[Bukti]],Table13[#Data],11,FALSE),"")</f>
        <v/>
      </c>
    </row>
    <row r="2119" spans="1:9" ht="19.5" hidden="1" customHeight="1" x14ac:dyDescent="0.2">
      <c r="A2119" s="105" t="str">
        <f>IF(D2119=1,COUNTIF($D$10:D2119,1)," ")</f>
        <v xml:space="preserve"> </v>
      </c>
      <c r="B2119" s="106">
        <f>COPY!AR2111</f>
        <v>0</v>
      </c>
      <c r="C2119" s="107">
        <f>COPY!AC2111</f>
        <v>0</v>
      </c>
      <c r="D2119" s="107" t="str">
        <f>IF(LEN(Table1722[[#This Row],[Uraian]])&gt;2,1," ")</f>
        <v xml:space="preserve"> </v>
      </c>
      <c r="E2119" s="113" t="str">
        <f>IF(Table1722[[#This Row],[Lawan Transaksi]]="CV AGUNG KARYA",COUNTIF($I$10:I2119,"CV AGUNG KARYA")," ")</f>
        <v xml:space="preserve"> </v>
      </c>
      <c r="F2119" s="107" t="str">
        <f>IF(LEN(Table1722[[#This Row],[Uraian]])&gt;2,TRIM(RIGHT(SUBSTITUTE(TRIM(C2119)," ",REPT(" ",255)),255))," ")</f>
        <v xml:space="preserve"> </v>
      </c>
      <c r="G2119" s="110">
        <f>COPY!Z2111</f>
        <v>0</v>
      </c>
      <c r="H2119" s="111" t="str">
        <f>IFERROR(VLOOKUP(Table1722[[#This Row],[Bukti]],'Un nOTA'!$A$4:$K$5003,10,FALSE),"")</f>
        <v/>
      </c>
      <c r="I2119" s="112" t="str">
        <f>IFERROR(VLOOKUP(Table1722[[#This Row],[Bukti]],Table13[#Data],11,FALSE),"")</f>
        <v/>
      </c>
    </row>
    <row r="2120" spans="1:9" ht="19.5" hidden="1" customHeight="1" x14ac:dyDescent="0.2">
      <c r="A2120" s="105" t="str">
        <f>IF(D2120=1,COUNTIF($D$10:D2120,1)," ")</f>
        <v xml:space="preserve"> </v>
      </c>
      <c r="B2120" s="106">
        <f>COPY!AR2112</f>
        <v>0</v>
      </c>
      <c r="C2120" s="107">
        <f>COPY!AC2112</f>
        <v>0</v>
      </c>
      <c r="D2120" s="107" t="str">
        <f>IF(LEN(Table1722[[#This Row],[Uraian]])&gt;2,1," ")</f>
        <v xml:space="preserve"> </v>
      </c>
      <c r="E2120" s="113" t="str">
        <f>IF(Table1722[[#This Row],[Lawan Transaksi]]="CV AGUNG KARYA",COUNTIF($I$10:I2120,"CV AGUNG KARYA")," ")</f>
        <v xml:space="preserve"> </v>
      </c>
      <c r="F2120" s="107" t="str">
        <f>IF(LEN(Table1722[[#This Row],[Uraian]])&gt;2,TRIM(RIGHT(SUBSTITUTE(TRIM(C2120)," ",REPT(" ",255)),255))," ")</f>
        <v xml:space="preserve"> </v>
      </c>
      <c r="G2120" s="110">
        <f>COPY!Z2112</f>
        <v>0</v>
      </c>
      <c r="H2120" s="111" t="str">
        <f>IFERROR(VLOOKUP(Table1722[[#This Row],[Bukti]],'Un nOTA'!$A$4:$K$5003,10,FALSE),"")</f>
        <v/>
      </c>
      <c r="I2120" s="112" t="str">
        <f>IFERROR(VLOOKUP(Table1722[[#This Row],[Bukti]],Table13[#Data],11,FALSE),"")</f>
        <v/>
      </c>
    </row>
    <row r="2121" spans="1:9" ht="19.5" hidden="1" customHeight="1" x14ac:dyDescent="0.2">
      <c r="A2121" s="105" t="str">
        <f>IF(D2121=1,COUNTIF($D$10:D2121,1)," ")</f>
        <v xml:space="preserve"> </v>
      </c>
      <c r="B2121" s="106">
        <f>COPY!AR2113</f>
        <v>0</v>
      </c>
      <c r="C2121" s="107">
        <f>COPY!AC2113</f>
        <v>0</v>
      </c>
      <c r="D2121" s="107" t="str">
        <f>IF(LEN(Table1722[[#This Row],[Uraian]])&gt;2,1," ")</f>
        <v xml:space="preserve"> </v>
      </c>
      <c r="E2121" s="113" t="str">
        <f>IF(Table1722[[#This Row],[Lawan Transaksi]]="CV AGUNG KARYA",COUNTIF($I$10:I2121,"CV AGUNG KARYA")," ")</f>
        <v xml:space="preserve"> </v>
      </c>
      <c r="F2121" s="107" t="str">
        <f>IF(LEN(Table1722[[#This Row],[Uraian]])&gt;2,TRIM(RIGHT(SUBSTITUTE(TRIM(C2121)," ",REPT(" ",255)),255))," ")</f>
        <v xml:space="preserve"> </v>
      </c>
      <c r="G2121" s="110">
        <f>COPY!Z2113</f>
        <v>0</v>
      </c>
      <c r="H2121" s="111" t="str">
        <f>IFERROR(VLOOKUP(Table1722[[#This Row],[Bukti]],'Un nOTA'!$A$4:$K$5003,10,FALSE),"")</f>
        <v/>
      </c>
      <c r="I2121" s="112" t="str">
        <f>IFERROR(VLOOKUP(Table1722[[#This Row],[Bukti]],Table13[#Data],11,FALSE),"")</f>
        <v/>
      </c>
    </row>
    <row r="2122" spans="1:9" ht="19.5" hidden="1" customHeight="1" x14ac:dyDescent="0.2">
      <c r="A2122" s="105" t="str">
        <f>IF(D2122=1,COUNTIF($D$10:D2122,1)," ")</f>
        <v xml:space="preserve"> </v>
      </c>
      <c r="B2122" s="106">
        <f>COPY!AR2114</f>
        <v>0</v>
      </c>
      <c r="C2122" s="107">
        <f>COPY!AC2114</f>
        <v>0</v>
      </c>
      <c r="D2122" s="107" t="str">
        <f>IF(LEN(Table1722[[#This Row],[Uraian]])&gt;2,1," ")</f>
        <v xml:space="preserve"> </v>
      </c>
      <c r="E2122" s="113" t="str">
        <f>IF(Table1722[[#This Row],[Lawan Transaksi]]="CV AGUNG KARYA",COUNTIF($I$10:I2122,"CV AGUNG KARYA")," ")</f>
        <v xml:space="preserve"> </v>
      </c>
      <c r="F2122" s="107" t="str">
        <f>IF(LEN(Table1722[[#This Row],[Uraian]])&gt;2,TRIM(RIGHT(SUBSTITUTE(TRIM(C2122)," ",REPT(" ",255)),255))," ")</f>
        <v xml:space="preserve"> </v>
      </c>
      <c r="G2122" s="110">
        <f>COPY!Z2114</f>
        <v>0</v>
      </c>
      <c r="H2122" s="111" t="str">
        <f>IFERROR(VLOOKUP(Table1722[[#This Row],[Bukti]],'Un nOTA'!$A$4:$K$5003,10,FALSE),"")</f>
        <v/>
      </c>
      <c r="I2122" s="112" t="str">
        <f>IFERROR(VLOOKUP(Table1722[[#This Row],[Bukti]],Table13[#Data],11,FALSE),"")</f>
        <v/>
      </c>
    </row>
    <row r="2123" spans="1:9" ht="19.5" hidden="1" customHeight="1" x14ac:dyDescent="0.2">
      <c r="A2123" s="105" t="str">
        <f>IF(D2123=1,COUNTIF($D$10:D2123,1)," ")</f>
        <v xml:space="preserve"> </v>
      </c>
      <c r="B2123" s="106">
        <f>COPY!AR2115</f>
        <v>0</v>
      </c>
      <c r="C2123" s="107">
        <f>COPY!AC2115</f>
        <v>0</v>
      </c>
      <c r="D2123" s="107" t="str">
        <f>IF(LEN(Table1722[[#This Row],[Uraian]])&gt;2,1," ")</f>
        <v xml:space="preserve"> </v>
      </c>
      <c r="E2123" s="113" t="str">
        <f>IF(Table1722[[#This Row],[Lawan Transaksi]]="CV AGUNG KARYA",COUNTIF($I$10:I2123,"CV AGUNG KARYA")," ")</f>
        <v xml:space="preserve"> </v>
      </c>
      <c r="F2123" s="107" t="str">
        <f>IF(LEN(Table1722[[#This Row],[Uraian]])&gt;2,TRIM(RIGHT(SUBSTITUTE(TRIM(C2123)," ",REPT(" ",255)),255))," ")</f>
        <v xml:space="preserve"> </v>
      </c>
      <c r="G2123" s="110">
        <f>COPY!Z2115</f>
        <v>0</v>
      </c>
      <c r="H2123" s="111" t="str">
        <f>IFERROR(VLOOKUP(Table1722[[#This Row],[Bukti]],'Un nOTA'!$A$4:$K$5003,10,FALSE),"")</f>
        <v/>
      </c>
      <c r="I2123" s="112" t="str">
        <f>IFERROR(VLOOKUP(Table1722[[#This Row],[Bukti]],Table13[#Data],11,FALSE),"")</f>
        <v/>
      </c>
    </row>
    <row r="2124" spans="1:9" ht="19.5" hidden="1" customHeight="1" x14ac:dyDescent="0.2">
      <c r="A2124" s="105" t="str">
        <f>IF(D2124=1,COUNTIF($D$10:D2124,1)," ")</f>
        <v xml:space="preserve"> </v>
      </c>
      <c r="B2124" s="106">
        <f>COPY!AR2116</f>
        <v>0</v>
      </c>
      <c r="C2124" s="107">
        <f>COPY!AC2116</f>
        <v>0</v>
      </c>
      <c r="D2124" s="107" t="str">
        <f>IF(LEN(Table1722[[#This Row],[Uraian]])&gt;2,1," ")</f>
        <v xml:space="preserve"> </v>
      </c>
      <c r="E2124" s="113" t="str">
        <f>IF(Table1722[[#This Row],[Lawan Transaksi]]="CV AGUNG KARYA",COUNTIF($I$10:I2124,"CV AGUNG KARYA")," ")</f>
        <v xml:space="preserve"> </v>
      </c>
      <c r="F2124" s="107" t="str">
        <f>IF(LEN(Table1722[[#This Row],[Uraian]])&gt;2,TRIM(RIGHT(SUBSTITUTE(TRIM(C2124)," ",REPT(" ",255)),255))," ")</f>
        <v xml:space="preserve"> </v>
      </c>
      <c r="G2124" s="110">
        <f>COPY!Z2116</f>
        <v>0</v>
      </c>
      <c r="H2124" s="111" t="str">
        <f>IFERROR(VLOOKUP(Table1722[[#This Row],[Bukti]],'Un nOTA'!$A$4:$K$5003,10,FALSE),"")</f>
        <v/>
      </c>
      <c r="I2124" s="112" t="str">
        <f>IFERROR(VLOOKUP(Table1722[[#This Row],[Bukti]],Table13[#Data],11,FALSE),"")</f>
        <v/>
      </c>
    </row>
    <row r="2125" spans="1:9" ht="19.5" hidden="1" customHeight="1" x14ac:dyDescent="0.2">
      <c r="A2125" s="105" t="str">
        <f>IF(D2125=1,COUNTIF($D$10:D2125,1)," ")</f>
        <v xml:space="preserve"> </v>
      </c>
      <c r="B2125" s="106">
        <f>COPY!AR2117</f>
        <v>0</v>
      </c>
      <c r="C2125" s="107">
        <f>COPY!AC2117</f>
        <v>0</v>
      </c>
      <c r="D2125" s="107" t="str">
        <f>IF(LEN(Table1722[[#This Row],[Uraian]])&gt;2,1," ")</f>
        <v xml:space="preserve"> </v>
      </c>
      <c r="E2125" s="113" t="str">
        <f>IF(Table1722[[#This Row],[Lawan Transaksi]]="CV AGUNG KARYA",COUNTIF($I$10:I2125,"CV AGUNG KARYA")," ")</f>
        <v xml:space="preserve"> </v>
      </c>
      <c r="F2125" s="107" t="str">
        <f>IF(LEN(Table1722[[#This Row],[Uraian]])&gt;2,TRIM(RIGHT(SUBSTITUTE(TRIM(C2125)," ",REPT(" ",255)),255))," ")</f>
        <v xml:space="preserve"> </v>
      </c>
      <c r="G2125" s="110">
        <f>COPY!Z2117</f>
        <v>0</v>
      </c>
      <c r="H2125" s="111" t="str">
        <f>IFERROR(VLOOKUP(Table1722[[#This Row],[Bukti]],'Un nOTA'!$A$4:$K$5003,10,FALSE),"")</f>
        <v/>
      </c>
      <c r="I2125" s="112" t="str">
        <f>IFERROR(VLOOKUP(Table1722[[#This Row],[Bukti]],Table13[#Data],11,FALSE),"")</f>
        <v/>
      </c>
    </row>
    <row r="2126" spans="1:9" ht="19.5" hidden="1" customHeight="1" x14ac:dyDescent="0.2">
      <c r="A2126" s="105" t="str">
        <f>IF(D2126=1,COUNTIF($D$10:D2126,1)," ")</f>
        <v xml:space="preserve"> </v>
      </c>
      <c r="B2126" s="106">
        <f>COPY!AR2118</f>
        <v>0</v>
      </c>
      <c r="C2126" s="107">
        <f>COPY!AC2118</f>
        <v>0</v>
      </c>
      <c r="D2126" s="107" t="str">
        <f>IF(LEN(Table1722[[#This Row],[Uraian]])&gt;2,1," ")</f>
        <v xml:space="preserve"> </v>
      </c>
      <c r="E2126" s="113" t="str">
        <f>IF(Table1722[[#This Row],[Lawan Transaksi]]="CV AGUNG KARYA",COUNTIF($I$10:I2126,"CV AGUNG KARYA")," ")</f>
        <v xml:space="preserve"> </v>
      </c>
      <c r="F2126" s="107" t="str">
        <f>IF(LEN(Table1722[[#This Row],[Uraian]])&gt;2,TRIM(RIGHT(SUBSTITUTE(TRIM(C2126)," ",REPT(" ",255)),255))," ")</f>
        <v xml:space="preserve"> </v>
      </c>
      <c r="G2126" s="110">
        <f>COPY!Z2118</f>
        <v>0</v>
      </c>
      <c r="H2126" s="111" t="str">
        <f>IFERROR(VLOOKUP(Table1722[[#This Row],[Bukti]],'Un nOTA'!$A$4:$K$5003,10,FALSE),"")</f>
        <v/>
      </c>
      <c r="I2126" s="112" t="str">
        <f>IFERROR(VLOOKUP(Table1722[[#This Row],[Bukti]],Table13[#Data],11,FALSE),"")</f>
        <v/>
      </c>
    </row>
    <row r="2127" spans="1:9" ht="19.5" hidden="1" customHeight="1" x14ac:dyDescent="0.2">
      <c r="A2127" s="105" t="str">
        <f>IF(D2127=1,COUNTIF($D$10:D2127,1)," ")</f>
        <v xml:space="preserve"> </v>
      </c>
      <c r="B2127" s="106">
        <f>COPY!AR2119</f>
        <v>0</v>
      </c>
      <c r="C2127" s="107">
        <f>COPY!AC2119</f>
        <v>0</v>
      </c>
      <c r="D2127" s="107" t="str">
        <f>IF(LEN(Table1722[[#This Row],[Uraian]])&gt;2,1," ")</f>
        <v xml:space="preserve"> </v>
      </c>
      <c r="E2127" s="113" t="str">
        <f>IF(Table1722[[#This Row],[Lawan Transaksi]]="CV AGUNG KARYA",COUNTIF($I$10:I2127,"CV AGUNG KARYA")," ")</f>
        <v xml:space="preserve"> </v>
      </c>
      <c r="F2127" s="107" t="str">
        <f>IF(LEN(Table1722[[#This Row],[Uraian]])&gt;2,TRIM(RIGHT(SUBSTITUTE(TRIM(C2127)," ",REPT(" ",255)),255))," ")</f>
        <v xml:space="preserve"> </v>
      </c>
      <c r="G2127" s="110">
        <f>COPY!Z2119</f>
        <v>0</v>
      </c>
      <c r="H2127" s="111" t="str">
        <f>IFERROR(VLOOKUP(Table1722[[#This Row],[Bukti]],'Un nOTA'!$A$4:$K$5003,10,FALSE),"")</f>
        <v/>
      </c>
      <c r="I2127" s="112" t="str">
        <f>IFERROR(VLOOKUP(Table1722[[#This Row],[Bukti]],Table13[#Data],11,FALSE),"")</f>
        <v/>
      </c>
    </row>
    <row r="2128" spans="1:9" ht="19.5" hidden="1" customHeight="1" x14ac:dyDescent="0.2">
      <c r="A2128" s="105" t="str">
        <f>IF(D2128=1,COUNTIF($D$10:D2128,1)," ")</f>
        <v xml:space="preserve"> </v>
      </c>
      <c r="B2128" s="106">
        <f>COPY!AR2120</f>
        <v>0</v>
      </c>
      <c r="C2128" s="107">
        <f>COPY!AC2120</f>
        <v>0</v>
      </c>
      <c r="D2128" s="107" t="str">
        <f>IF(LEN(Table1722[[#This Row],[Uraian]])&gt;2,1," ")</f>
        <v xml:space="preserve"> </v>
      </c>
      <c r="E2128" s="113" t="str">
        <f>IF(Table1722[[#This Row],[Lawan Transaksi]]="CV AGUNG KARYA",COUNTIF($I$10:I2128,"CV AGUNG KARYA")," ")</f>
        <v xml:space="preserve"> </v>
      </c>
      <c r="F2128" s="107" t="str">
        <f>IF(LEN(Table1722[[#This Row],[Uraian]])&gt;2,TRIM(RIGHT(SUBSTITUTE(TRIM(C2128)," ",REPT(" ",255)),255))," ")</f>
        <v xml:space="preserve"> </v>
      </c>
      <c r="G2128" s="110">
        <f>COPY!Z2120</f>
        <v>0</v>
      </c>
      <c r="H2128" s="111" t="str">
        <f>IFERROR(VLOOKUP(Table1722[[#This Row],[Bukti]],'Un nOTA'!$A$4:$K$5003,10,FALSE),"")</f>
        <v/>
      </c>
      <c r="I2128" s="112" t="str">
        <f>IFERROR(VLOOKUP(Table1722[[#This Row],[Bukti]],Table13[#Data],11,FALSE),"")</f>
        <v/>
      </c>
    </row>
    <row r="2129" spans="1:9" ht="19.5" hidden="1" customHeight="1" x14ac:dyDescent="0.2">
      <c r="A2129" s="105" t="str">
        <f>IF(D2129=1,COUNTIF($D$10:D2129,1)," ")</f>
        <v xml:space="preserve"> </v>
      </c>
      <c r="B2129" s="106">
        <f>COPY!AR2121</f>
        <v>0</v>
      </c>
      <c r="C2129" s="107">
        <f>COPY!AC2121</f>
        <v>0</v>
      </c>
      <c r="D2129" s="107" t="str">
        <f>IF(LEN(Table1722[[#This Row],[Uraian]])&gt;2,1," ")</f>
        <v xml:space="preserve"> </v>
      </c>
      <c r="E2129" s="113" t="str">
        <f>IF(Table1722[[#This Row],[Lawan Transaksi]]="CV AGUNG KARYA",COUNTIF($I$10:I2129,"CV AGUNG KARYA")," ")</f>
        <v xml:space="preserve"> </v>
      </c>
      <c r="F2129" s="107" t="str">
        <f>IF(LEN(Table1722[[#This Row],[Uraian]])&gt;2,TRIM(RIGHT(SUBSTITUTE(TRIM(C2129)," ",REPT(" ",255)),255))," ")</f>
        <v xml:space="preserve"> </v>
      </c>
      <c r="G2129" s="110">
        <f>COPY!Z2121</f>
        <v>0</v>
      </c>
      <c r="H2129" s="111" t="str">
        <f>IFERROR(VLOOKUP(Table1722[[#This Row],[Bukti]],'Un nOTA'!$A$4:$K$5003,10,FALSE),"")</f>
        <v/>
      </c>
      <c r="I2129" s="112" t="str">
        <f>IFERROR(VLOOKUP(Table1722[[#This Row],[Bukti]],Table13[#Data],11,FALSE),"")</f>
        <v/>
      </c>
    </row>
    <row r="2130" spans="1:9" ht="19.5" hidden="1" customHeight="1" x14ac:dyDescent="0.2">
      <c r="A2130" s="105" t="str">
        <f>IF(D2130=1,COUNTIF($D$10:D2130,1)," ")</f>
        <v xml:space="preserve"> </v>
      </c>
      <c r="B2130" s="106">
        <f>COPY!AR2122</f>
        <v>0</v>
      </c>
      <c r="C2130" s="107">
        <f>COPY!AC2122</f>
        <v>0</v>
      </c>
      <c r="D2130" s="107" t="str">
        <f>IF(LEN(Table1722[[#This Row],[Uraian]])&gt;2,1," ")</f>
        <v xml:space="preserve"> </v>
      </c>
      <c r="E2130" s="113" t="str">
        <f>IF(Table1722[[#This Row],[Lawan Transaksi]]="CV AGUNG KARYA",COUNTIF($I$10:I2130,"CV AGUNG KARYA")," ")</f>
        <v xml:space="preserve"> </v>
      </c>
      <c r="F2130" s="107" t="str">
        <f>IF(LEN(Table1722[[#This Row],[Uraian]])&gt;2,TRIM(RIGHT(SUBSTITUTE(TRIM(C2130)," ",REPT(" ",255)),255))," ")</f>
        <v xml:space="preserve"> </v>
      </c>
      <c r="G2130" s="110">
        <f>COPY!Z2122</f>
        <v>0</v>
      </c>
      <c r="H2130" s="111" t="str">
        <f>IFERROR(VLOOKUP(Table1722[[#This Row],[Bukti]],'Un nOTA'!$A$4:$K$5003,10,FALSE),"")</f>
        <v/>
      </c>
      <c r="I2130" s="112" t="str">
        <f>IFERROR(VLOOKUP(Table1722[[#This Row],[Bukti]],Table13[#Data],11,FALSE),"")</f>
        <v/>
      </c>
    </row>
    <row r="2131" spans="1:9" ht="19.5" hidden="1" customHeight="1" x14ac:dyDescent="0.2">
      <c r="A2131" s="105" t="str">
        <f>IF(D2131=1,COUNTIF($D$10:D2131,1)," ")</f>
        <v xml:space="preserve"> </v>
      </c>
      <c r="B2131" s="106">
        <f>COPY!AR2123</f>
        <v>0</v>
      </c>
      <c r="C2131" s="107">
        <f>COPY!AC2123</f>
        <v>0</v>
      </c>
      <c r="D2131" s="107" t="str">
        <f>IF(LEN(Table1722[[#This Row],[Uraian]])&gt;2,1," ")</f>
        <v xml:space="preserve"> </v>
      </c>
      <c r="E2131" s="113" t="str">
        <f>IF(Table1722[[#This Row],[Lawan Transaksi]]="CV AGUNG KARYA",COUNTIF($I$10:I2131,"CV AGUNG KARYA")," ")</f>
        <v xml:space="preserve"> </v>
      </c>
      <c r="F2131" s="107" t="str">
        <f>IF(LEN(Table1722[[#This Row],[Uraian]])&gt;2,TRIM(RIGHT(SUBSTITUTE(TRIM(C2131)," ",REPT(" ",255)),255))," ")</f>
        <v xml:space="preserve"> </v>
      </c>
      <c r="G2131" s="110">
        <f>COPY!Z2123</f>
        <v>0</v>
      </c>
      <c r="H2131" s="111" t="str">
        <f>IFERROR(VLOOKUP(Table1722[[#This Row],[Bukti]],'Un nOTA'!$A$4:$K$5003,10,FALSE),"")</f>
        <v/>
      </c>
      <c r="I2131" s="112" t="str">
        <f>IFERROR(VLOOKUP(Table1722[[#This Row],[Bukti]],Table13[#Data],11,FALSE),"")</f>
        <v/>
      </c>
    </row>
    <row r="2132" spans="1:9" ht="19.5" hidden="1" customHeight="1" x14ac:dyDescent="0.2">
      <c r="A2132" s="105" t="str">
        <f>IF(D2132=1,COUNTIF($D$10:D2132,1)," ")</f>
        <v xml:space="preserve"> </v>
      </c>
      <c r="B2132" s="106">
        <f>COPY!AR2124</f>
        <v>0</v>
      </c>
      <c r="C2132" s="107">
        <f>COPY!AC2124</f>
        <v>0</v>
      </c>
      <c r="D2132" s="107" t="str">
        <f>IF(LEN(Table1722[[#This Row],[Uraian]])&gt;2,1," ")</f>
        <v xml:space="preserve"> </v>
      </c>
      <c r="E2132" s="113" t="str">
        <f>IF(Table1722[[#This Row],[Lawan Transaksi]]="CV AGUNG KARYA",COUNTIF($I$10:I2132,"CV AGUNG KARYA")," ")</f>
        <v xml:space="preserve"> </v>
      </c>
      <c r="F2132" s="107" t="str">
        <f>IF(LEN(Table1722[[#This Row],[Uraian]])&gt;2,TRIM(RIGHT(SUBSTITUTE(TRIM(C2132)," ",REPT(" ",255)),255))," ")</f>
        <v xml:space="preserve"> </v>
      </c>
      <c r="G2132" s="110">
        <f>COPY!Z2124</f>
        <v>0</v>
      </c>
      <c r="H2132" s="111" t="str">
        <f>IFERROR(VLOOKUP(Table1722[[#This Row],[Bukti]],'Un nOTA'!$A$4:$K$5003,10,FALSE),"")</f>
        <v/>
      </c>
      <c r="I2132" s="112" t="str">
        <f>IFERROR(VLOOKUP(Table1722[[#This Row],[Bukti]],Table13[#Data],11,FALSE),"")</f>
        <v/>
      </c>
    </row>
    <row r="2133" spans="1:9" ht="19.5" hidden="1" customHeight="1" x14ac:dyDescent="0.2">
      <c r="A2133" s="105" t="str">
        <f>IF(D2133=1,COUNTIF($D$10:D2133,1)," ")</f>
        <v xml:space="preserve"> </v>
      </c>
      <c r="B2133" s="106">
        <f>COPY!AR2125</f>
        <v>0</v>
      </c>
      <c r="C2133" s="107">
        <f>COPY!AC2125</f>
        <v>0</v>
      </c>
      <c r="D2133" s="107" t="str">
        <f>IF(LEN(Table1722[[#This Row],[Uraian]])&gt;2,1," ")</f>
        <v xml:space="preserve"> </v>
      </c>
      <c r="E2133" s="113" t="str">
        <f>IF(Table1722[[#This Row],[Lawan Transaksi]]="CV AGUNG KARYA",COUNTIF($I$10:I2133,"CV AGUNG KARYA")," ")</f>
        <v xml:space="preserve"> </v>
      </c>
      <c r="F2133" s="107" t="str">
        <f>IF(LEN(Table1722[[#This Row],[Uraian]])&gt;2,TRIM(RIGHT(SUBSTITUTE(TRIM(C2133)," ",REPT(" ",255)),255))," ")</f>
        <v xml:space="preserve"> </v>
      </c>
      <c r="G2133" s="110">
        <f>COPY!Z2125</f>
        <v>0</v>
      </c>
      <c r="H2133" s="111" t="str">
        <f>IFERROR(VLOOKUP(Table1722[[#This Row],[Bukti]],'Un nOTA'!$A$4:$K$5003,10,FALSE),"")</f>
        <v/>
      </c>
      <c r="I2133" s="112" t="str">
        <f>IFERROR(VLOOKUP(Table1722[[#This Row],[Bukti]],Table13[#Data],11,FALSE),"")</f>
        <v/>
      </c>
    </row>
    <row r="2134" spans="1:9" ht="19.5" hidden="1" customHeight="1" x14ac:dyDescent="0.2">
      <c r="A2134" s="105" t="str">
        <f>IF(D2134=1,COUNTIF($D$10:D2134,1)," ")</f>
        <v xml:space="preserve"> </v>
      </c>
      <c r="B2134" s="106">
        <f>COPY!AR2126</f>
        <v>0</v>
      </c>
      <c r="C2134" s="107">
        <f>COPY!AC2126</f>
        <v>0</v>
      </c>
      <c r="D2134" s="107" t="str">
        <f>IF(LEN(Table1722[[#This Row],[Uraian]])&gt;2,1," ")</f>
        <v xml:space="preserve"> </v>
      </c>
      <c r="E2134" s="113" t="str">
        <f>IF(Table1722[[#This Row],[Lawan Transaksi]]="CV AGUNG KARYA",COUNTIF($I$10:I2134,"CV AGUNG KARYA")," ")</f>
        <v xml:space="preserve"> </v>
      </c>
      <c r="F2134" s="107" t="str">
        <f>IF(LEN(Table1722[[#This Row],[Uraian]])&gt;2,TRIM(RIGHT(SUBSTITUTE(TRIM(C2134)," ",REPT(" ",255)),255))," ")</f>
        <v xml:space="preserve"> </v>
      </c>
      <c r="G2134" s="110">
        <f>COPY!Z2126</f>
        <v>0</v>
      </c>
      <c r="H2134" s="111" t="str">
        <f>IFERROR(VLOOKUP(Table1722[[#This Row],[Bukti]],'Un nOTA'!$A$4:$K$5003,10,FALSE),"")</f>
        <v/>
      </c>
      <c r="I2134" s="112" t="str">
        <f>IFERROR(VLOOKUP(Table1722[[#This Row],[Bukti]],Table13[#Data],11,FALSE),"")</f>
        <v/>
      </c>
    </row>
    <row r="2135" spans="1:9" ht="19.5" hidden="1" customHeight="1" x14ac:dyDescent="0.2">
      <c r="A2135" s="105" t="str">
        <f>IF(D2135=1,COUNTIF($D$10:D2135,1)," ")</f>
        <v xml:space="preserve"> </v>
      </c>
      <c r="B2135" s="106">
        <f>COPY!AR2127</f>
        <v>0</v>
      </c>
      <c r="C2135" s="107">
        <f>COPY!AC2127</f>
        <v>0</v>
      </c>
      <c r="D2135" s="107" t="str">
        <f>IF(LEN(Table1722[[#This Row],[Uraian]])&gt;2,1," ")</f>
        <v xml:space="preserve"> </v>
      </c>
      <c r="E2135" s="113" t="str">
        <f>IF(Table1722[[#This Row],[Lawan Transaksi]]="CV AGUNG KARYA",COUNTIF($I$10:I2135,"CV AGUNG KARYA")," ")</f>
        <v xml:space="preserve"> </v>
      </c>
      <c r="F2135" s="107" t="str">
        <f>IF(LEN(Table1722[[#This Row],[Uraian]])&gt;2,TRIM(RIGHT(SUBSTITUTE(TRIM(C2135)," ",REPT(" ",255)),255))," ")</f>
        <v xml:space="preserve"> </v>
      </c>
      <c r="G2135" s="110">
        <f>COPY!Z2127</f>
        <v>0</v>
      </c>
      <c r="H2135" s="111" t="str">
        <f>IFERROR(VLOOKUP(Table1722[[#This Row],[Bukti]],'Un nOTA'!$A$4:$K$5003,10,FALSE),"")</f>
        <v/>
      </c>
      <c r="I2135" s="112" t="str">
        <f>IFERROR(VLOOKUP(Table1722[[#This Row],[Bukti]],Table13[#Data],11,FALSE),"")</f>
        <v/>
      </c>
    </row>
    <row r="2136" spans="1:9" ht="19.5" hidden="1" customHeight="1" x14ac:dyDescent="0.2">
      <c r="A2136" s="105" t="str">
        <f>IF(D2136=1,COUNTIF($D$10:D2136,1)," ")</f>
        <v xml:space="preserve"> </v>
      </c>
      <c r="B2136" s="106">
        <f>COPY!AR2128</f>
        <v>0</v>
      </c>
      <c r="C2136" s="107">
        <f>COPY!AC2128</f>
        <v>0</v>
      </c>
      <c r="D2136" s="107" t="str">
        <f>IF(LEN(Table1722[[#This Row],[Uraian]])&gt;2,1," ")</f>
        <v xml:space="preserve"> </v>
      </c>
      <c r="E2136" s="113" t="str">
        <f>IF(Table1722[[#This Row],[Lawan Transaksi]]="CV AGUNG KARYA",COUNTIF($I$10:I2136,"CV AGUNG KARYA")," ")</f>
        <v xml:space="preserve"> </v>
      </c>
      <c r="F2136" s="107" t="str">
        <f>IF(LEN(Table1722[[#This Row],[Uraian]])&gt;2,TRIM(RIGHT(SUBSTITUTE(TRIM(C2136)," ",REPT(" ",255)),255))," ")</f>
        <v xml:space="preserve"> </v>
      </c>
      <c r="G2136" s="110">
        <f>COPY!Z2128</f>
        <v>0</v>
      </c>
      <c r="H2136" s="111" t="str">
        <f>IFERROR(VLOOKUP(Table1722[[#This Row],[Bukti]],'Un nOTA'!$A$4:$K$5003,10,FALSE),"")</f>
        <v/>
      </c>
      <c r="I2136" s="112" t="str">
        <f>IFERROR(VLOOKUP(Table1722[[#This Row],[Bukti]],Table13[#Data],11,FALSE),"")</f>
        <v/>
      </c>
    </row>
    <row r="2137" spans="1:9" ht="19.5" hidden="1" customHeight="1" x14ac:dyDescent="0.2">
      <c r="A2137" s="105" t="str">
        <f>IF(D2137=1,COUNTIF($D$10:D2137,1)," ")</f>
        <v xml:space="preserve"> </v>
      </c>
      <c r="B2137" s="106">
        <f>COPY!AR2129</f>
        <v>0</v>
      </c>
      <c r="C2137" s="107">
        <f>COPY!AC2129</f>
        <v>0</v>
      </c>
      <c r="D2137" s="107" t="str">
        <f>IF(LEN(Table1722[[#This Row],[Uraian]])&gt;2,1," ")</f>
        <v xml:space="preserve"> </v>
      </c>
      <c r="E2137" s="113" t="str">
        <f>IF(Table1722[[#This Row],[Lawan Transaksi]]="CV AGUNG KARYA",COUNTIF($I$10:I2137,"CV AGUNG KARYA")," ")</f>
        <v xml:space="preserve"> </v>
      </c>
      <c r="F2137" s="107" t="str">
        <f>IF(LEN(Table1722[[#This Row],[Uraian]])&gt;2,TRIM(RIGHT(SUBSTITUTE(TRIM(C2137)," ",REPT(" ",255)),255))," ")</f>
        <v xml:space="preserve"> </v>
      </c>
      <c r="G2137" s="110">
        <f>COPY!Z2129</f>
        <v>0</v>
      </c>
      <c r="H2137" s="111" t="str">
        <f>IFERROR(VLOOKUP(Table1722[[#This Row],[Bukti]],'Un nOTA'!$A$4:$K$5003,10,FALSE),"")</f>
        <v/>
      </c>
      <c r="I2137" s="112" t="str">
        <f>IFERROR(VLOOKUP(Table1722[[#This Row],[Bukti]],Table13[#Data],11,FALSE),"")</f>
        <v/>
      </c>
    </row>
    <row r="2138" spans="1:9" ht="19.5" hidden="1" customHeight="1" x14ac:dyDescent="0.2">
      <c r="A2138" s="105" t="str">
        <f>IF(D2138=1,COUNTIF($D$10:D2138,1)," ")</f>
        <v xml:space="preserve"> </v>
      </c>
      <c r="B2138" s="106">
        <f>COPY!AR2130</f>
        <v>0</v>
      </c>
      <c r="C2138" s="107">
        <f>COPY!AC2130</f>
        <v>0</v>
      </c>
      <c r="D2138" s="107" t="str">
        <f>IF(LEN(Table1722[[#This Row],[Uraian]])&gt;2,1," ")</f>
        <v xml:space="preserve"> </v>
      </c>
      <c r="E2138" s="113" t="str">
        <f>IF(Table1722[[#This Row],[Lawan Transaksi]]="CV AGUNG KARYA",COUNTIF($I$10:I2138,"CV AGUNG KARYA")," ")</f>
        <v xml:space="preserve"> </v>
      </c>
      <c r="F2138" s="107" t="str">
        <f>IF(LEN(Table1722[[#This Row],[Uraian]])&gt;2,TRIM(RIGHT(SUBSTITUTE(TRIM(C2138)," ",REPT(" ",255)),255))," ")</f>
        <v xml:space="preserve"> </v>
      </c>
      <c r="G2138" s="110">
        <f>COPY!Z2130</f>
        <v>0</v>
      </c>
      <c r="H2138" s="111" t="str">
        <f>IFERROR(VLOOKUP(Table1722[[#This Row],[Bukti]],'Un nOTA'!$A$4:$K$5003,10,FALSE),"")</f>
        <v/>
      </c>
      <c r="I2138" s="112" t="str">
        <f>IFERROR(VLOOKUP(Table1722[[#This Row],[Bukti]],Table13[#Data],11,FALSE),"")</f>
        <v/>
      </c>
    </row>
    <row r="2139" spans="1:9" ht="19.5" hidden="1" customHeight="1" x14ac:dyDescent="0.2">
      <c r="A2139" s="105" t="str">
        <f>IF(D2139=1,COUNTIF($D$10:D2139,1)," ")</f>
        <v xml:space="preserve"> </v>
      </c>
      <c r="B2139" s="106">
        <f>COPY!AR2131</f>
        <v>0</v>
      </c>
      <c r="C2139" s="107">
        <f>COPY!AC2131</f>
        <v>0</v>
      </c>
      <c r="D2139" s="107" t="str">
        <f>IF(LEN(Table1722[[#This Row],[Uraian]])&gt;2,1," ")</f>
        <v xml:space="preserve"> </v>
      </c>
      <c r="E2139" s="113" t="str">
        <f>IF(Table1722[[#This Row],[Lawan Transaksi]]="CV AGUNG KARYA",COUNTIF($I$10:I2139,"CV AGUNG KARYA")," ")</f>
        <v xml:space="preserve"> </v>
      </c>
      <c r="F2139" s="107" t="str">
        <f>IF(LEN(Table1722[[#This Row],[Uraian]])&gt;2,TRIM(RIGHT(SUBSTITUTE(TRIM(C2139)," ",REPT(" ",255)),255))," ")</f>
        <v xml:space="preserve"> </v>
      </c>
      <c r="G2139" s="110">
        <f>COPY!Z2131</f>
        <v>0</v>
      </c>
      <c r="H2139" s="111" t="str">
        <f>IFERROR(VLOOKUP(Table1722[[#This Row],[Bukti]],'Un nOTA'!$A$4:$K$5003,10,FALSE),"")</f>
        <v/>
      </c>
      <c r="I2139" s="112" t="str">
        <f>IFERROR(VLOOKUP(Table1722[[#This Row],[Bukti]],Table13[#Data],11,FALSE),"")</f>
        <v/>
      </c>
    </row>
    <row r="2140" spans="1:9" ht="19.5" hidden="1" customHeight="1" x14ac:dyDescent="0.2">
      <c r="A2140" s="105" t="str">
        <f>IF(D2140=1,COUNTIF($D$10:D2140,1)," ")</f>
        <v xml:space="preserve"> </v>
      </c>
      <c r="B2140" s="106">
        <f>COPY!AR2132</f>
        <v>0</v>
      </c>
      <c r="C2140" s="107">
        <f>COPY!AC2132</f>
        <v>0</v>
      </c>
      <c r="D2140" s="107" t="str">
        <f>IF(LEN(Table1722[[#This Row],[Uraian]])&gt;2,1," ")</f>
        <v xml:space="preserve"> </v>
      </c>
      <c r="E2140" s="113" t="str">
        <f>IF(Table1722[[#This Row],[Lawan Transaksi]]="CV AGUNG KARYA",COUNTIF($I$10:I2140,"CV AGUNG KARYA")," ")</f>
        <v xml:space="preserve"> </v>
      </c>
      <c r="F2140" s="107" t="str">
        <f>IF(LEN(Table1722[[#This Row],[Uraian]])&gt;2,TRIM(RIGHT(SUBSTITUTE(TRIM(C2140)," ",REPT(" ",255)),255))," ")</f>
        <v xml:space="preserve"> </v>
      </c>
      <c r="G2140" s="110">
        <f>COPY!Z2132</f>
        <v>0</v>
      </c>
      <c r="H2140" s="111" t="str">
        <f>IFERROR(VLOOKUP(Table1722[[#This Row],[Bukti]],'Un nOTA'!$A$4:$K$5003,10,FALSE),"")</f>
        <v/>
      </c>
      <c r="I2140" s="112" t="str">
        <f>IFERROR(VLOOKUP(Table1722[[#This Row],[Bukti]],Table13[#Data],11,FALSE),"")</f>
        <v/>
      </c>
    </row>
    <row r="2141" spans="1:9" ht="19.5" hidden="1" customHeight="1" x14ac:dyDescent="0.2">
      <c r="A2141" s="105" t="str">
        <f>IF(D2141=1,COUNTIF($D$10:D2141,1)," ")</f>
        <v xml:space="preserve"> </v>
      </c>
      <c r="B2141" s="106">
        <f>COPY!AR2133</f>
        <v>0</v>
      </c>
      <c r="C2141" s="107">
        <f>COPY!AC2133</f>
        <v>0</v>
      </c>
      <c r="D2141" s="107" t="str">
        <f>IF(LEN(Table1722[[#This Row],[Uraian]])&gt;2,1," ")</f>
        <v xml:space="preserve"> </v>
      </c>
      <c r="E2141" s="113" t="str">
        <f>IF(Table1722[[#This Row],[Lawan Transaksi]]="CV AGUNG KARYA",COUNTIF($I$10:I2141,"CV AGUNG KARYA")," ")</f>
        <v xml:space="preserve"> </v>
      </c>
      <c r="F2141" s="107" t="str">
        <f>IF(LEN(Table1722[[#This Row],[Uraian]])&gt;2,TRIM(RIGHT(SUBSTITUTE(TRIM(C2141)," ",REPT(" ",255)),255))," ")</f>
        <v xml:space="preserve"> </v>
      </c>
      <c r="G2141" s="110">
        <f>COPY!Z2133</f>
        <v>0</v>
      </c>
      <c r="H2141" s="111" t="str">
        <f>IFERROR(VLOOKUP(Table1722[[#This Row],[Bukti]],'Un nOTA'!$A$4:$K$5003,10,FALSE),"")</f>
        <v/>
      </c>
      <c r="I2141" s="112" t="str">
        <f>IFERROR(VLOOKUP(Table1722[[#This Row],[Bukti]],Table13[#Data],11,FALSE),"")</f>
        <v/>
      </c>
    </row>
    <row r="2142" spans="1:9" ht="19.5" hidden="1" customHeight="1" x14ac:dyDescent="0.2">
      <c r="A2142" s="105" t="str">
        <f>IF(D2142=1,COUNTIF($D$10:D2142,1)," ")</f>
        <v xml:space="preserve"> </v>
      </c>
      <c r="B2142" s="106">
        <f>COPY!AR2134</f>
        <v>0</v>
      </c>
      <c r="C2142" s="107">
        <f>COPY!AC2134</f>
        <v>0</v>
      </c>
      <c r="D2142" s="107" t="str">
        <f>IF(LEN(Table1722[[#This Row],[Uraian]])&gt;2,1," ")</f>
        <v xml:space="preserve"> </v>
      </c>
      <c r="E2142" s="113" t="str">
        <f>IF(Table1722[[#This Row],[Lawan Transaksi]]="CV AGUNG KARYA",COUNTIF($I$10:I2142,"CV AGUNG KARYA")," ")</f>
        <v xml:space="preserve"> </v>
      </c>
      <c r="F2142" s="107" t="str">
        <f>IF(LEN(Table1722[[#This Row],[Uraian]])&gt;2,TRIM(RIGHT(SUBSTITUTE(TRIM(C2142)," ",REPT(" ",255)),255))," ")</f>
        <v xml:space="preserve"> </v>
      </c>
      <c r="G2142" s="110">
        <f>COPY!Z2134</f>
        <v>0</v>
      </c>
      <c r="H2142" s="111" t="str">
        <f>IFERROR(VLOOKUP(Table1722[[#This Row],[Bukti]],'Un nOTA'!$A$4:$K$5003,10,FALSE),"")</f>
        <v/>
      </c>
      <c r="I2142" s="112" t="str">
        <f>IFERROR(VLOOKUP(Table1722[[#This Row],[Bukti]],Table13[#Data],11,FALSE),"")</f>
        <v/>
      </c>
    </row>
    <row r="2143" spans="1:9" ht="19.5" hidden="1" customHeight="1" x14ac:dyDescent="0.2">
      <c r="A2143" s="105" t="str">
        <f>IF(D2143=1,COUNTIF($D$10:D2143,1)," ")</f>
        <v xml:space="preserve"> </v>
      </c>
      <c r="B2143" s="106">
        <f>COPY!AR2135</f>
        <v>0</v>
      </c>
      <c r="C2143" s="107">
        <f>COPY!AC2135</f>
        <v>0</v>
      </c>
      <c r="D2143" s="107" t="str">
        <f>IF(LEN(Table1722[[#This Row],[Uraian]])&gt;2,1," ")</f>
        <v xml:space="preserve"> </v>
      </c>
      <c r="E2143" s="113" t="str">
        <f>IF(Table1722[[#This Row],[Lawan Transaksi]]="CV AGUNG KARYA",COUNTIF($I$10:I2143,"CV AGUNG KARYA")," ")</f>
        <v xml:space="preserve"> </v>
      </c>
      <c r="F2143" s="107" t="str">
        <f>IF(LEN(Table1722[[#This Row],[Uraian]])&gt;2,TRIM(RIGHT(SUBSTITUTE(TRIM(C2143)," ",REPT(" ",255)),255))," ")</f>
        <v xml:space="preserve"> </v>
      </c>
      <c r="G2143" s="110">
        <f>COPY!Z2135</f>
        <v>0</v>
      </c>
      <c r="H2143" s="111" t="str">
        <f>IFERROR(VLOOKUP(Table1722[[#This Row],[Bukti]],'Un nOTA'!$A$4:$K$5003,10,FALSE),"")</f>
        <v/>
      </c>
      <c r="I2143" s="112" t="str">
        <f>IFERROR(VLOOKUP(Table1722[[#This Row],[Bukti]],Table13[#Data],11,FALSE),"")</f>
        <v/>
      </c>
    </row>
    <row r="2144" spans="1:9" ht="19.5" hidden="1" customHeight="1" x14ac:dyDescent="0.2">
      <c r="A2144" s="105" t="str">
        <f>IF(D2144=1,COUNTIF($D$10:D2144,1)," ")</f>
        <v xml:space="preserve"> </v>
      </c>
      <c r="B2144" s="106">
        <f>COPY!AR2136</f>
        <v>0</v>
      </c>
      <c r="C2144" s="107">
        <f>COPY!AC2136</f>
        <v>0</v>
      </c>
      <c r="D2144" s="107" t="str">
        <f>IF(LEN(Table1722[[#This Row],[Uraian]])&gt;2,1," ")</f>
        <v xml:space="preserve"> </v>
      </c>
      <c r="E2144" s="113" t="str">
        <f>IF(Table1722[[#This Row],[Lawan Transaksi]]="CV AGUNG KARYA",COUNTIF($I$10:I2144,"CV AGUNG KARYA")," ")</f>
        <v xml:space="preserve"> </v>
      </c>
      <c r="F2144" s="107" t="str">
        <f>IF(LEN(Table1722[[#This Row],[Uraian]])&gt;2,TRIM(RIGHT(SUBSTITUTE(TRIM(C2144)," ",REPT(" ",255)),255))," ")</f>
        <v xml:space="preserve"> </v>
      </c>
      <c r="G2144" s="110">
        <f>COPY!Z2136</f>
        <v>0</v>
      </c>
      <c r="H2144" s="111" t="str">
        <f>IFERROR(VLOOKUP(Table1722[[#This Row],[Bukti]],'Un nOTA'!$A$4:$K$5003,10,FALSE),"")</f>
        <v/>
      </c>
      <c r="I2144" s="112" t="str">
        <f>IFERROR(VLOOKUP(Table1722[[#This Row],[Bukti]],Table13[#Data],11,FALSE),"")</f>
        <v/>
      </c>
    </row>
    <row r="2145" spans="1:9" ht="19.5" hidden="1" customHeight="1" x14ac:dyDescent="0.2">
      <c r="A2145" s="105" t="str">
        <f>IF(D2145=1,COUNTIF($D$10:D2145,1)," ")</f>
        <v xml:space="preserve"> </v>
      </c>
      <c r="B2145" s="106">
        <f>COPY!AR2137</f>
        <v>0</v>
      </c>
      <c r="C2145" s="107">
        <f>COPY!AC2137</f>
        <v>0</v>
      </c>
      <c r="D2145" s="107" t="str">
        <f>IF(LEN(Table1722[[#This Row],[Uraian]])&gt;2,1," ")</f>
        <v xml:space="preserve"> </v>
      </c>
      <c r="E2145" s="113" t="str">
        <f>IF(Table1722[[#This Row],[Lawan Transaksi]]="CV AGUNG KARYA",COUNTIF($I$10:I2145,"CV AGUNG KARYA")," ")</f>
        <v xml:space="preserve"> </v>
      </c>
      <c r="F2145" s="107" t="str">
        <f>IF(LEN(Table1722[[#This Row],[Uraian]])&gt;2,TRIM(RIGHT(SUBSTITUTE(TRIM(C2145)," ",REPT(" ",255)),255))," ")</f>
        <v xml:space="preserve"> </v>
      </c>
      <c r="G2145" s="110">
        <f>COPY!Z2137</f>
        <v>0</v>
      </c>
      <c r="H2145" s="111" t="str">
        <f>IFERROR(VLOOKUP(Table1722[[#This Row],[Bukti]],'Un nOTA'!$A$4:$K$5003,10,FALSE),"")</f>
        <v/>
      </c>
      <c r="I2145" s="112" t="str">
        <f>IFERROR(VLOOKUP(Table1722[[#This Row],[Bukti]],Table13[#Data],11,FALSE),"")</f>
        <v/>
      </c>
    </row>
    <row r="2146" spans="1:9" ht="19.5" hidden="1" customHeight="1" x14ac:dyDescent="0.2">
      <c r="A2146" s="105" t="str">
        <f>IF(D2146=1,COUNTIF($D$10:D2146,1)," ")</f>
        <v xml:space="preserve"> </v>
      </c>
      <c r="B2146" s="106">
        <f>COPY!AR2138</f>
        <v>0</v>
      </c>
      <c r="C2146" s="107">
        <f>COPY!AC2138</f>
        <v>0</v>
      </c>
      <c r="D2146" s="107" t="str">
        <f>IF(LEN(Table1722[[#This Row],[Uraian]])&gt;2,1," ")</f>
        <v xml:space="preserve"> </v>
      </c>
      <c r="E2146" s="113" t="str">
        <f>IF(Table1722[[#This Row],[Lawan Transaksi]]="CV AGUNG KARYA",COUNTIF($I$10:I2146,"CV AGUNG KARYA")," ")</f>
        <v xml:space="preserve"> </v>
      </c>
      <c r="F2146" s="107" t="str">
        <f>IF(LEN(Table1722[[#This Row],[Uraian]])&gt;2,TRIM(RIGHT(SUBSTITUTE(TRIM(C2146)," ",REPT(" ",255)),255))," ")</f>
        <v xml:space="preserve"> </v>
      </c>
      <c r="G2146" s="110">
        <f>COPY!Z2138</f>
        <v>0</v>
      </c>
      <c r="H2146" s="111" t="str">
        <f>IFERROR(VLOOKUP(Table1722[[#This Row],[Bukti]],'Un nOTA'!$A$4:$K$5003,10,FALSE),"")</f>
        <v/>
      </c>
      <c r="I2146" s="112" t="str">
        <f>IFERROR(VLOOKUP(Table1722[[#This Row],[Bukti]],Table13[#Data],11,FALSE),"")</f>
        <v/>
      </c>
    </row>
    <row r="2147" spans="1:9" ht="19.5" hidden="1" customHeight="1" x14ac:dyDescent="0.2">
      <c r="A2147" s="105" t="str">
        <f>IF(D2147=1,COUNTIF($D$10:D2147,1)," ")</f>
        <v xml:space="preserve"> </v>
      </c>
      <c r="B2147" s="106">
        <f>COPY!AR2139</f>
        <v>0</v>
      </c>
      <c r="C2147" s="107">
        <f>COPY!AC2139</f>
        <v>0</v>
      </c>
      <c r="D2147" s="107" t="str">
        <f>IF(LEN(Table1722[[#This Row],[Uraian]])&gt;2,1," ")</f>
        <v xml:space="preserve"> </v>
      </c>
      <c r="E2147" s="113" t="str">
        <f>IF(Table1722[[#This Row],[Lawan Transaksi]]="CV AGUNG KARYA",COUNTIF($I$10:I2147,"CV AGUNG KARYA")," ")</f>
        <v xml:space="preserve"> </v>
      </c>
      <c r="F2147" s="107" t="str">
        <f>IF(LEN(Table1722[[#This Row],[Uraian]])&gt;2,TRIM(RIGHT(SUBSTITUTE(TRIM(C2147)," ",REPT(" ",255)),255))," ")</f>
        <v xml:space="preserve"> </v>
      </c>
      <c r="G2147" s="110">
        <f>COPY!Z2139</f>
        <v>0</v>
      </c>
      <c r="H2147" s="111" t="str">
        <f>IFERROR(VLOOKUP(Table1722[[#This Row],[Bukti]],'Un nOTA'!$A$4:$K$5003,10,FALSE),"")</f>
        <v/>
      </c>
      <c r="I2147" s="112" t="str">
        <f>IFERROR(VLOOKUP(Table1722[[#This Row],[Bukti]],Table13[#Data],11,FALSE),"")</f>
        <v/>
      </c>
    </row>
    <row r="2148" spans="1:9" ht="19.5" hidden="1" customHeight="1" x14ac:dyDescent="0.2">
      <c r="A2148" s="105" t="str">
        <f>IF(D2148=1,COUNTIF($D$10:D2148,1)," ")</f>
        <v xml:space="preserve"> </v>
      </c>
      <c r="B2148" s="106">
        <f>COPY!AR2140</f>
        <v>0</v>
      </c>
      <c r="C2148" s="107">
        <f>COPY!AC2140</f>
        <v>0</v>
      </c>
      <c r="D2148" s="107" t="str">
        <f>IF(LEN(Table1722[[#This Row],[Uraian]])&gt;2,1," ")</f>
        <v xml:space="preserve"> </v>
      </c>
      <c r="E2148" s="113" t="str">
        <f>IF(Table1722[[#This Row],[Lawan Transaksi]]="CV AGUNG KARYA",COUNTIF($I$10:I2148,"CV AGUNG KARYA")," ")</f>
        <v xml:space="preserve"> </v>
      </c>
      <c r="F2148" s="107" t="str">
        <f>IF(LEN(Table1722[[#This Row],[Uraian]])&gt;2,TRIM(RIGHT(SUBSTITUTE(TRIM(C2148)," ",REPT(" ",255)),255))," ")</f>
        <v xml:space="preserve"> </v>
      </c>
      <c r="G2148" s="110">
        <f>COPY!Z2140</f>
        <v>0</v>
      </c>
      <c r="H2148" s="111" t="str">
        <f>IFERROR(VLOOKUP(Table1722[[#This Row],[Bukti]],'Un nOTA'!$A$4:$K$5003,10,FALSE),"")</f>
        <v/>
      </c>
      <c r="I2148" s="112" t="str">
        <f>IFERROR(VLOOKUP(Table1722[[#This Row],[Bukti]],Table13[#Data],11,FALSE),"")</f>
        <v/>
      </c>
    </row>
    <row r="2149" spans="1:9" ht="19.5" hidden="1" customHeight="1" x14ac:dyDescent="0.2">
      <c r="A2149" s="105" t="str">
        <f>IF(D2149=1,COUNTIF($D$10:D2149,1)," ")</f>
        <v xml:space="preserve"> </v>
      </c>
      <c r="B2149" s="106">
        <f>COPY!AR2141</f>
        <v>0</v>
      </c>
      <c r="C2149" s="107">
        <f>COPY!AC2141</f>
        <v>0</v>
      </c>
      <c r="D2149" s="107" t="str">
        <f>IF(LEN(Table1722[[#This Row],[Uraian]])&gt;2,1," ")</f>
        <v xml:space="preserve"> </v>
      </c>
      <c r="E2149" s="113" t="str">
        <f>IF(Table1722[[#This Row],[Lawan Transaksi]]="CV AGUNG KARYA",COUNTIF($I$10:I2149,"CV AGUNG KARYA")," ")</f>
        <v xml:space="preserve"> </v>
      </c>
      <c r="F2149" s="107" t="str">
        <f>IF(LEN(Table1722[[#This Row],[Uraian]])&gt;2,TRIM(RIGHT(SUBSTITUTE(TRIM(C2149)," ",REPT(" ",255)),255))," ")</f>
        <v xml:space="preserve"> </v>
      </c>
      <c r="G2149" s="110">
        <f>COPY!Z2141</f>
        <v>0</v>
      </c>
      <c r="H2149" s="111" t="str">
        <f>IFERROR(VLOOKUP(Table1722[[#This Row],[Bukti]],'Un nOTA'!$A$4:$K$5003,10,FALSE),"")</f>
        <v/>
      </c>
      <c r="I2149" s="112" t="str">
        <f>IFERROR(VLOOKUP(Table1722[[#This Row],[Bukti]],Table13[#Data],11,FALSE),"")</f>
        <v/>
      </c>
    </row>
    <row r="2150" spans="1:9" ht="19.5" hidden="1" customHeight="1" x14ac:dyDescent="0.2">
      <c r="A2150" s="105" t="str">
        <f>IF(D2150=1,COUNTIF($D$10:D2150,1)," ")</f>
        <v xml:space="preserve"> </v>
      </c>
      <c r="B2150" s="106">
        <f>COPY!AR2142</f>
        <v>0</v>
      </c>
      <c r="C2150" s="107">
        <f>COPY!AC2142</f>
        <v>0</v>
      </c>
      <c r="D2150" s="107" t="str">
        <f>IF(LEN(Table1722[[#This Row],[Uraian]])&gt;2,1," ")</f>
        <v xml:space="preserve"> </v>
      </c>
      <c r="E2150" s="113" t="str">
        <f>IF(Table1722[[#This Row],[Lawan Transaksi]]="CV AGUNG KARYA",COUNTIF($I$10:I2150,"CV AGUNG KARYA")," ")</f>
        <v xml:space="preserve"> </v>
      </c>
      <c r="F2150" s="107" t="str">
        <f>IF(LEN(Table1722[[#This Row],[Uraian]])&gt;2,TRIM(RIGHT(SUBSTITUTE(TRIM(C2150)," ",REPT(" ",255)),255))," ")</f>
        <v xml:space="preserve"> </v>
      </c>
      <c r="G2150" s="110">
        <f>COPY!Z2142</f>
        <v>0</v>
      </c>
      <c r="H2150" s="111" t="str">
        <f>IFERROR(VLOOKUP(Table1722[[#This Row],[Bukti]],'Un nOTA'!$A$4:$K$5003,10,FALSE),"")</f>
        <v/>
      </c>
      <c r="I2150" s="112" t="str">
        <f>IFERROR(VLOOKUP(Table1722[[#This Row],[Bukti]],Table13[#Data],11,FALSE),"")</f>
        <v/>
      </c>
    </row>
    <row r="2151" spans="1:9" ht="19.5" hidden="1" customHeight="1" x14ac:dyDescent="0.2">
      <c r="A2151" s="105" t="str">
        <f>IF(D2151=1,COUNTIF($D$10:D2151,1)," ")</f>
        <v xml:space="preserve"> </v>
      </c>
      <c r="B2151" s="106">
        <f>COPY!AR2143</f>
        <v>0</v>
      </c>
      <c r="C2151" s="107">
        <f>COPY!AC2143</f>
        <v>0</v>
      </c>
      <c r="D2151" s="107" t="str">
        <f>IF(LEN(Table1722[[#This Row],[Uraian]])&gt;2,1," ")</f>
        <v xml:space="preserve"> </v>
      </c>
      <c r="E2151" s="113" t="str">
        <f>IF(Table1722[[#This Row],[Lawan Transaksi]]="CV AGUNG KARYA",COUNTIF($I$10:I2151,"CV AGUNG KARYA")," ")</f>
        <v xml:space="preserve"> </v>
      </c>
      <c r="F2151" s="107" t="str">
        <f>IF(LEN(Table1722[[#This Row],[Uraian]])&gt;2,TRIM(RIGHT(SUBSTITUTE(TRIM(C2151)," ",REPT(" ",255)),255))," ")</f>
        <v xml:space="preserve"> </v>
      </c>
      <c r="G2151" s="110">
        <f>COPY!Z2143</f>
        <v>0</v>
      </c>
      <c r="H2151" s="111" t="str">
        <f>IFERROR(VLOOKUP(Table1722[[#This Row],[Bukti]],'Un nOTA'!$A$4:$K$5003,10,FALSE),"")</f>
        <v/>
      </c>
      <c r="I2151" s="112" t="str">
        <f>IFERROR(VLOOKUP(Table1722[[#This Row],[Bukti]],Table13[#Data],11,FALSE),"")</f>
        <v/>
      </c>
    </row>
    <row r="2152" spans="1:9" ht="19.5" hidden="1" customHeight="1" x14ac:dyDescent="0.2">
      <c r="A2152" s="105" t="str">
        <f>IF(D2152=1,COUNTIF($D$10:D2152,1)," ")</f>
        <v xml:space="preserve"> </v>
      </c>
      <c r="B2152" s="106">
        <f>COPY!AR2144</f>
        <v>0</v>
      </c>
      <c r="C2152" s="107">
        <f>COPY!AC2144</f>
        <v>0</v>
      </c>
      <c r="D2152" s="107" t="str">
        <f>IF(LEN(Table1722[[#This Row],[Uraian]])&gt;2,1," ")</f>
        <v xml:space="preserve"> </v>
      </c>
      <c r="E2152" s="113" t="str">
        <f>IF(Table1722[[#This Row],[Lawan Transaksi]]="CV AGUNG KARYA",COUNTIF($I$10:I2152,"CV AGUNG KARYA")," ")</f>
        <v xml:space="preserve"> </v>
      </c>
      <c r="F2152" s="107" t="str">
        <f>IF(LEN(Table1722[[#This Row],[Uraian]])&gt;2,TRIM(RIGHT(SUBSTITUTE(TRIM(C2152)," ",REPT(" ",255)),255))," ")</f>
        <v xml:space="preserve"> </v>
      </c>
      <c r="G2152" s="110">
        <f>COPY!Z2144</f>
        <v>0</v>
      </c>
      <c r="H2152" s="111" t="str">
        <f>IFERROR(VLOOKUP(Table1722[[#This Row],[Bukti]],'Un nOTA'!$A$4:$K$5003,10,FALSE),"")</f>
        <v/>
      </c>
      <c r="I2152" s="112" t="str">
        <f>IFERROR(VLOOKUP(Table1722[[#This Row],[Bukti]],Table13[#Data],11,FALSE),"")</f>
        <v/>
      </c>
    </row>
    <row r="2153" spans="1:9" ht="19.5" hidden="1" customHeight="1" x14ac:dyDescent="0.2">
      <c r="A2153" s="105" t="str">
        <f>IF(D2153=1,COUNTIF($D$10:D2153,1)," ")</f>
        <v xml:space="preserve"> </v>
      </c>
      <c r="B2153" s="106">
        <f>COPY!AR2145</f>
        <v>0</v>
      </c>
      <c r="C2153" s="107">
        <f>COPY!AC2145</f>
        <v>0</v>
      </c>
      <c r="D2153" s="107" t="str">
        <f>IF(LEN(Table1722[[#This Row],[Uraian]])&gt;2,1," ")</f>
        <v xml:space="preserve"> </v>
      </c>
      <c r="E2153" s="113" t="str">
        <f>IF(Table1722[[#This Row],[Lawan Transaksi]]="CV AGUNG KARYA",COUNTIF($I$10:I2153,"CV AGUNG KARYA")," ")</f>
        <v xml:space="preserve"> </v>
      </c>
      <c r="F2153" s="107" t="str">
        <f>IF(LEN(Table1722[[#This Row],[Uraian]])&gt;2,TRIM(RIGHT(SUBSTITUTE(TRIM(C2153)," ",REPT(" ",255)),255))," ")</f>
        <v xml:space="preserve"> </v>
      </c>
      <c r="G2153" s="110">
        <f>COPY!Z2145</f>
        <v>0</v>
      </c>
      <c r="H2153" s="111" t="str">
        <f>IFERROR(VLOOKUP(Table1722[[#This Row],[Bukti]],'Un nOTA'!$A$4:$K$5003,10,FALSE),"")</f>
        <v/>
      </c>
      <c r="I2153" s="112" t="str">
        <f>IFERROR(VLOOKUP(Table1722[[#This Row],[Bukti]],Table13[#Data],11,FALSE),"")</f>
        <v/>
      </c>
    </row>
    <row r="2154" spans="1:9" ht="19.5" hidden="1" customHeight="1" x14ac:dyDescent="0.2">
      <c r="A2154" s="105" t="str">
        <f>IF(D2154=1,COUNTIF($D$10:D2154,1)," ")</f>
        <v xml:space="preserve"> </v>
      </c>
      <c r="B2154" s="106">
        <f>COPY!AR2146</f>
        <v>0</v>
      </c>
      <c r="C2154" s="107">
        <f>COPY!AC2146</f>
        <v>0</v>
      </c>
      <c r="D2154" s="107" t="str">
        <f>IF(LEN(Table1722[[#This Row],[Uraian]])&gt;2,1," ")</f>
        <v xml:space="preserve"> </v>
      </c>
      <c r="E2154" s="113" t="str">
        <f>IF(Table1722[[#This Row],[Lawan Transaksi]]="CV AGUNG KARYA",COUNTIF($I$10:I2154,"CV AGUNG KARYA")," ")</f>
        <v xml:space="preserve"> </v>
      </c>
      <c r="F2154" s="107" t="str">
        <f>IF(LEN(Table1722[[#This Row],[Uraian]])&gt;2,TRIM(RIGHT(SUBSTITUTE(TRIM(C2154)," ",REPT(" ",255)),255))," ")</f>
        <v xml:space="preserve"> </v>
      </c>
      <c r="G2154" s="110">
        <f>COPY!Z2146</f>
        <v>0</v>
      </c>
      <c r="H2154" s="111" t="str">
        <f>IFERROR(VLOOKUP(Table1722[[#This Row],[Bukti]],'Un nOTA'!$A$4:$K$5003,10,FALSE),"")</f>
        <v/>
      </c>
      <c r="I2154" s="112" t="str">
        <f>IFERROR(VLOOKUP(Table1722[[#This Row],[Bukti]],Table13[#Data],11,FALSE),"")</f>
        <v/>
      </c>
    </row>
    <row r="2155" spans="1:9" ht="19.5" hidden="1" customHeight="1" x14ac:dyDescent="0.2">
      <c r="A2155" s="105" t="str">
        <f>IF(D2155=1,COUNTIF($D$10:D2155,1)," ")</f>
        <v xml:space="preserve"> </v>
      </c>
      <c r="B2155" s="106">
        <f>COPY!AR2147</f>
        <v>0</v>
      </c>
      <c r="C2155" s="107">
        <f>COPY!AC2147</f>
        <v>0</v>
      </c>
      <c r="D2155" s="107" t="str">
        <f>IF(LEN(Table1722[[#This Row],[Uraian]])&gt;2,1," ")</f>
        <v xml:space="preserve"> </v>
      </c>
      <c r="E2155" s="113" t="str">
        <f>IF(Table1722[[#This Row],[Lawan Transaksi]]="CV AGUNG KARYA",COUNTIF($I$10:I2155,"CV AGUNG KARYA")," ")</f>
        <v xml:space="preserve"> </v>
      </c>
      <c r="F2155" s="107" t="str">
        <f>IF(LEN(Table1722[[#This Row],[Uraian]])&gt;2,TRIM(RIGHT(SUBSTITUTE(TRIM(C2155)," ",REPT(" ",255)),255))," ")</f>
        <v xml:space="preserve"> </v>
      </c>
      <c r="G2155" s="110">
        <f>COPY!Z2147</f>
        <v>0</v>
      </c>
      <c r="H2155" s="111" t="str">
        <f>IFERROR(VLOOKUP(Table1722[[#This Row],[Bukti]],'Un nOTA'!$A$4:$K$5003,10,FALSE),"")</f>
        <v/>
      </c>
      <c r="I2155" s="112" t="str">
        <f>IFERROR(VLOOKUP(Table1722[[#This Row],[Bukti]],Table13[#Data],11,FALSE),"")</f>
        <v/>
      </c>
    </row>
    <row r="2156" spans="1:9" ht="19.5" hidden="1" customHeight="1" x14ac:dyDescent="0.2">
      <c r="A2156" s="105" t="str">
        <f>IF(D2156=1,COUNTIF($D$10:D2156,1)," ")</f>
        <v xml:space="preserve"> </v>
      </c>
      <c r="B2156" s="106">
        <f>COPY!AR2148</f>
        <v>0</v>
      </c>
      <c r="C2156" s="107">
        <f>COPY!AC2148</f>
        <v>0</v>
      </c>
      <c r="D2156" s="107" t="str">
        <f>IF(LEN(Table1722[[#This Row],[Uraian]])&gt;2,1," ")</f>
        <v xml:space="preserve"> </v>
      </c>
      <c r="E2156" s="113" t="str">
        <f>IF(Table1722[[#This Row],[Lawan Transaksi]]="CV AGUNG KARYA",COUNTIF($I$10:I2156,"CV AGUNG KARYA")," ")</f>
        <v xml:space="preserve"> </v>
      </c>
      <c r="F2156" s="107" t="str">
        <f>IF(LEN(Table1722[[#This Row],[Uraian]])&gt;2,TRIM(RIGHT(SUBSTITUTE(TRIM(C2156)," ",REPT(" ",255)),255))," ")</f>
        <v xml:space="preserve"> </v>
      </c>
      <c r="G2156" s="110">
        <f>COPY!Z2148</f>
        <v>0</v>
      </c>
      <c r="H2156" s="111" t="str">
        <f>IFERROR(VLOOKUP(Table1722[[#This Row],[Bukti]],'Un nOTA'!$A$4:$K$5003,10,FALSE),"")</f>
        <v/>
      </c>
      <c r="I2156" s="112" t="str">
        <f>IFERROR(VLOOKUP(Table1722[[#This Row],[Bukti]],Table13[#Data],11,FALSE),"")</f>
        <v/>
      </c>
    </row>
    <row r="2157" spans="1:9" ht="19.5" hidden="1" customHeight="1" x14ac:dyDescent="0.2">
      <c r="A2157" s="105" t="str">
        <f>IF(D2157=1,COUNTIF($D$10:D2157,1)," ")</f>
        <v xml:space="preserve"> </v>
      </c>
      <c r="B2157" s="106">
        <f>COPY!AR2149</f>
        <v>0</v>
      </c>
      <c r="C2157" s="107">
        <f>COPY!AC2149</f>
        <v>0</v>
      </c>
      <c r="D2157" s="107" t="str">
        <f>IF(LEN(Table1722[[#This Row],[Uraian]])&gt;2,1," ")</f>
        <v xml:space="preserve"> </v>
      </c>
      <c r="E2157" s="113" t="str">
        <f>IF(Table1722[[#This Row],[Lawan Transaksi]]="CV AGUNG KARYA",COUNTIF($I$10:I2157,"CV AGUNG KARYA")," ")</f>
        <v xml:space="preserve"> </v>
      </c>
      <c r="F2157" s="107" t="str">
        <f>IF(LEN(Table1722[[#This Row],[Uraian]])&gt;2,TRIM(RIGHT(SUBSTITUTE(TRIM(C2157)," ",REPT(" ",255)),255))," ")</f>
        <v xml:space="preserve"> </v>
      </c>
      <c r="G2157" s="110">
        <f>COPY!Z2149</f>
        <v>0</v>
      </c>
      <c r="H2157" s="111" t="str">
        <f>IFERROR(VLOOKUP(Table1722[[#This Row],[Bukti]],'Un nOTA'!$A$4:$K$5003,10,FALSE),"")</f>
        <v/>
      </c>
      <c r="I2157" s="112" t="str">
        <f>IFERROR(VLOOKUP(Table1722[[#This Row],[Bukti]],Table13[#Data],11,FALSE),"")</f>
        <v/>
      </c>
    </row>
    <row r="2158" spans="1:9" ht="19.5" hidden="1" customHeight="1" x14ac:dyDescent="0.2">
      <c r="A2158" s="105" t="str">
        <f>IF(D2158=1,COUNTIF($D$10:D2158,1)," ")</f>
        <v xml:space="preserve"> </v>
      </c>
      <c r="B2158" s="106">
        <f>COPY!AR2150</f>
        <v>0</v>
      </c>
      <c r="C2158" s="107">
        <f>COPY!AC2150</f>
        <v>0</v>
      </c>
      <c r="D2158" s="107" t="str">
        <f>IF(LEN(Table1722[[#This Row],[Uraian]])&gt;2,1," ")</f>
        <v xml:space="preserve"> </v>
      </c>
      <c r="E2158" s="113" t="str">
        <f>IF(Table1722[[#This Row],[Lawan Transaksi]]="CV AGUNG KARYA",COUNTIF($I$10:I2158,"CV AGUNG KARYA")," ")</f>
        <v xml:space="preserve"> </v>
      </c>
      <c r="F2158" s="107" t="str">
        <f>IF(LEN(Table1722[[#This Row],[Uraian]])&gt;2,TRIM(RIGHT(SUBSTITUTE(TRIM(C2158)," ",REPT(" ",255)),255))," ")</f>
        <v xml:space="preserve"> </v>
      </c>
      <c r="G2158" s="110">
        <f>COPY!Z2150</f>
        <v>0</v>
      </c>
      <c r="H2158" s="111" t="str">
        <f>IFERROR(VLOOKUP(Table1722[[#This Row],[Bukti]],'Un nOTA'!$A$4:$K$5003,10,FALSE),"")</f>
        <v/>
      </c>
      <c r="I2158" s="112" t="str">
        <f>IFERROR(VLOOKUP(Table1722[[#This Row],[Bukti]],Table13[#Data],11,FALSE),"")</f>
        <v/>
      </c>
    </row>
    <row r="2159" spans="1:9" ht="19.5" hidden="1" customHeight="1" x14ac:dyDescent="0.2">
      <c r="A2159" s="105" t="str">
        <f>IF(D2159=1,COUNTIF($D$10:D2159,1)," ")</f>
        <v xml:space="preserve"> </v>
      </c>
      <c r="B2159" s="106">
        <f>COPY!AR2151</f>
        <v>0</v>
      </c>
      <c r="C2159" s="107">
        <f>COPY!AC2151</f>
        <v>0</v>
      </c>
      <c r="D2159" s="107" t="str">
        <f>IF(LEN(Table1722[[#This Row],[Uraian]])&gt;2,1," ")</f>
        <v xml:space="preserve"> </v>
      </c>
      <c r="E2159" s="113" t="str">
        <f>IF(Table1722[[#This Row],[Lawan Transaksi]]="CV AGUNG KARYA",COUNTIF($I$10:I2159,"CV AGUNG KARYA")," ")</f>
        <v xml:space="preserve"> </v>
      </c>
      <c r="F2159" s="107" t="str">
        <f>IF(LEN(Table1722[[#This Row],[Uraian]])&gt;2,TRIM(RIGHT(SUBSTITUTE(TRIM(C2159)," ",REPT(" ",255)),255))," ")</f>
        <v xml:space="preserve"> </v>
      </c>
      <c r="G2159" s="110">
        <f>COPY!Z2151</f>
        <v>0</v>
      </c>
      <c r="H2159" s="111" t="str">
        <f>IFERROR(VLOOKUP(Table1722[[#This Row],[Bukti]],'Un nOTA'!$A$4:$K$5003,10,FALSE),"")</f>
        <v/>
      </c>
      <c r="I2159" s="112" t="str">
        <f>IFERROR(VLOOKUP(Table1722[[#This Row],[Bukti]],Table13[#Data],11,FALSE),"")</f>
        <v/>
      </c>
    </row>
    <row r="2160" spans="1:9" ht="19.5" hidden="1" customHeight="1" x14ac:dyDescent="0.2">
      <c r="A2160" s="105" t="str">
        <f>IF(D2160=1,COUNTIF($D$10:D2160,1)," ")</f>
        <v xml:space="preserve"> </v>
      </c>
      <c r="B2160" s="106">
        <f>COPY!AR2152</f>
        <v>0</v>
      </c>
      <c r="C2160" s="107">
        <f>COPY!AC2152</f>
        <v>0</v>
      </c>
      <c r="D2160" s="107" t="str">
        <f>IF(LEN(Table1722[[#This Row],[Uraian]])&gt;2,1," ")</f>
        <v xml:space="preserve"> </v>
      </c>
      <c r="E2160" s="113" t="str">
        <f>IF(Table1722[[#This Row],[Lawan Transaksi]]="CV AGUNG KARYA",COUNTIF($I$10:I2160,"CV AGUNG KARYA")," ")</f>
        <v xml:space="preserve"> </v>
      </c>
      <c r="F2160" s="107" t="str">
        <f>IF(LEN(Table1722[[#This Row],[Uraian]])&gt;2,TRIM(RIGHT(SUBSTITUTE(TRIM(C2160)," ",REPT(" ",255)),255))," ")</f>
        <v xml:space="preserve"> </v>
      </c>
      <c r="G2160" s="110">
        <f>COPY!Z2152</f>
        <v>0</v>
      </c>
      <c r="H2160" s="111" t="str">
        <f>IFERROR(VLOOKUP(Table1722[[#This Row],[Bukti]],'Un nOTA'!$A$4:$K$5003,10,FALSE),"")</f>
        <v/>
      </c>
      <c r="I2160" s="112" t="str">
        <f>IFERROR(VLOOKUP(Table1722[[#This Row],[Bukti]],Table13[#Data],11,FALSE),"")</f>
        <v/>
      </c>
    </row>
    <row r="2161" spans="1:9" ht="19.5" hidden="1" customHeight="1" x14ac:dyDescent="0.2">
      <c r="A2161" s="105" t="str">
        <f>IF(D2161=1,COUNTIF($D$10:D2161,1)," ")</f>
        <v xml:space="preserve"> </v>
      </c>
      <c r="B2161" s="106">
        <f>COPY!AR2153</f>
        <v>0</v>
      </c>
      <c r="C2161" s="107">
        <f>COPY!AC2153</f>
        <v>0</v>
      </c>
      <c r="D2161" s="107" t="str">
        <f>IF(LEN(Table1722[[#This Row],[Uraian]])&gt;2,1," ")</f>
        <v xml:space="preserve"> </v>
      </c>
      <c r="E2161" s="113" t="str">
        <f>IF(Table1722[[#This Row],[Lawan Transaksi]]="CV AGUNG KARYA",COUNTIF($I$10:I2161,"CV AGUNG KARYA")," ")</f>
        <v xml:space="preserve"> </v>
      </c>
      <c r="F2161" s="107" t="str">
        <f>IF(LEN(Table1722[[#This Row],[Uraian]])&gt;2,TRIM(RIGHT(SUBSTITUTE(TRIM(C2161)," ",REPT(" ",255)),255))," ")</f>
        <v xml:space="preserve"> </v>
      </c>
      <c r="G2161" s="110">
        <f>COPY!Z2153</f>
        <v>0</v>
      </c>
      <c r="H2161" s="111" t="str">
        <f>IFERROR(VLOOKUP(Table1722[[#This Row],[Bukti]],'Un nOTA'!$A$4:$K$5003,10,FALSE),"")</f>
        <v/>
      </c>
      <c r="I2161" s="112" t="str">
        <f>IFERROR(VLOOKUP(Table1722[[#This Row],[Bukti]],Table13[#Data],11,FALSE),"")</f>
        <v/>
      </c>
    </row>
    <row r="2162" spans="1:9" ht="19.5" hidden="1" customHeight="1" x14ac:dyDescent="0.2">
      <c r="A2162" s="105" t="str">
        <f>IF(D2162=1,COUNTIF($D$10:D2162,1)," ")</f>
        <v xml:space="preserve"> </v>
      </c>
      <c r="B2162" s="106">
        <f>COPY!AR2154</f>
        <v>0</v>
      </c>
      <c r="C2162" s="107">
        <f>COPY!AC2154</f>
        <v>0</v>
      </c>
      <c r="D2162" s="107" t="str">
        <f>IF(LEN(Table1722[[#This Row],[Uraian]])&gt;2,1," ")</f>
        <v xml:space="preserve"> </v>
      </c>
      <c r="E2162" s="113" t="str">
        <f>IF(Table1722[[#This Row],[Lawan Transaksi]]="CV AGUNG KARYA",COUNTIF($I$10:I2162,"CV AGUNG KARYA")," ")</f>
        <v xml:space="preserve"> </v>
      </c>
      <c r="F2162" s="107" t="str">
        <f>IF(LEN(Table1722[[#This Row],[Uraian]])&gt;2,TRIM(RIGHT(SUBSTITUTE(TRIM(C2162)," ",REPT(" ",255)),255))," ")</f>
        <v xml:space="preserve"> </v>
      </c>
      <c r="G2162" s="110">
        <f>COPY!Z2154</f>
        <v>0</v>
      </c>
      <c r="H2162" s="111" t="str">
        <f>IFERROR(VLOOKUP(Table1722[[#This Row],[Bukti]],'Un nOTA'!$A$4:$K$5003,10,FALSE),"")</f>
        <v/>
      </c>
      <c r="I2162" s="112" t="str">
        <f>IFERROR(VLOOKUP(Table1722[[#This Row],[Bukti]],Table13[#Data],11,FALSE),"")</f>
        <v/>
      </c>
    </row>
    <row r="2163" spans="1:9" ht="19.5" hidden="1" customHeight="1" x14ac:dyDescent="0.2">
      <c r="A2163" s="105" t="str">
        <f>IF(D2163=1,COUNTIF($D$10:D2163,1)," ")</f>
        <v xml:space="preserve"> </v>
      </c>
      <c r="B2163" s="106">
        <f>COPY!AR2155</f>
        <v>0</v>
      </c>
      <c r="C2163" s="107">
        <f>COPY!AC2155</f>
        <v>0</v>
      </c>
      <c r="D2163" s="107" t="str">
        <f>IF(LEN(Table1722[[#This Row],[Uraian]])&gt;2,1," ")</f>
        <v xml:space="preserve"> </v>
      </c>
      <c r="E2163" s="113" t="str">
        <f>IF(Table1722[[#This Row],[Lawan Transaksi]]="CV AGUNG KARYA",COUNTIF($I$10:I2163,"CV AGUNG KARYA")," ")</f>
        <v xml:space="preserve"> </v>
      </c>
      <c r="F2163" s="107" t="str">
        <f>IF(LEN(Table1722[[#This Row],[Uraian]])&gt;2,TRIM(RIGHT(SUBSTITUTE(TRIM(C2163)," ",REPT(" ",255)),255))," ")</f>
        <v xml:space="preserve"> </v>
      </c>
      <c r="G2163" s="110">
        <f>COPY!Z2155</f>
        <v>0</v>
      </c>
      <c r="H2163" s="111" t="str">
        <f>IFERROR(VLOOKUP(Table1722[[#This Row],[Bukti]],'Un nOTA'!$A$4:$K$5003,10,FALSE),"")</f>
        <v/>
      </c>
      <c r="I2163" s="112" t="str">
        <f>IFERROR(VLOOKUP(Table1722[[#This Row],[Bukti]],Table13[#Data],11,FALSE),"")</f>
        <v/>
      </c>
    </row>
    <row r="2164" spans="1:9" ht="19.5" hidden="1" customHeight="1" x14ac:dyDescent="0.2">
      <c r="A2164" s="105" t="str">
        <f>IF(D2164=1,COUNTIF($D$10:D2164,1)," ")</f>
        <v xml:space="preserve"> </v>
      </c>
      <c r="B2164" s="106">
        <f>COPY!AR2156</f>
        <v>0</v>
      </c>
      <c r="C2164" s="107">
        <f>COPY!AC2156</f>
        <v>0</v>
      </c>
      <c r="D2164" s="107" t="str">
        <f>IF(LEN(Table1722[[#This Row],[Uraian]])&gt;2,1," ")</f>
        <v xml:space="preserve"> </v>
      </c>
      <c r="E2164" s="113" t="str">
        <f>IF(Table1722[[#This Row],[Lawan Transaksi]]="CV AGUNG KARYA",COUNTIF($I$10:I2164,"CV AGUNG KARYA")," ")</f>
        <v xml:space="preserve"> </v>
      </c>
      <c r="F2164" s="107" t="str">
        <f>IF(LEN(Table1722[[#This Row],[Uraian]])&gt;2,TRIM(RIGHT(SUBSTITUTE(TRIM(C2164)," ",REPT(" ",255)),255))," ")</f>
        <v xml:space="preserve"> </v>
      </c>
      <c r="G2164" s="110">
        <f>COPY!Z2156</f>
        <v>0</v>
      </c>
      <c r="H2164" s="111" t="str">
        <f>IFERROR(VLOOKUP(Table1722[[#This Row],[Bukti]],'Un nOTA'!$A$4:$K$5003,10,FALSE),"")</f>
        <v/>
      </c>
      <c r="I2164" s="112" t="str">
        <f>IFERROR(VLOOKUP(Table1722[[#This Row],[Bukti]],Table13[#Data],11,FALSE),"")</f>
        <v/>
      </c>
    </row>
    <row r="2165" spans="1:9" ht="19.5" hidden="1" customHeight="1" x14ac:dyDescent="0.2">
      <c r="A2165" s="105" t="str">
        <f>IF(D2165=1,COUNTIF($D$10:D2165,1)," ")</f>
        <v xml:space="preserve"> </v>
      </c>
      <c r="B2165" s="106">
        <f>COPY!AR2157</f>
        <v>0</v>
      </c>
      <c r="C2165" s="107">
        <f>COPY!AC2157</f>
        <v>0</v>
      </c>
      <c r="D2165" s="107" t="str">
        <f>IF(LEN(Table1722[[#This Row],[Uraian]])&gt;2,1," ")</f>
        <v xml:space="preserve"> </v>
      </c>
      <c r="E2165" s="113" t="str">
        <f>IF(Table1722[[#This Row],[Lawan Transaksi]]="CV AGUNG KARYA",COUNTIF($I$10:I2165,"CV AGUNG KARYA")," ")</f>
        <v xml:space="preserve"> </v>
      </c>
      <c r="F2165" s="107" t="str">
        <f>IF(LEN(Table1722[[#This Row],[Uraian]])&gt;2,TRIM(RIGHT(SUBSTITUTE(TRIM(C2165)," ",REPT(" ",255)),255))," ")</f>
        <v xml:space="preserve"> </v>
      </c>
      <c r="G2165" s="110">
        <f>COPY!Z2157</f>
        <v>0</v>
      </c>
      <c r="H2165" s="111" t="str">
        <f>IFERROR(VLOOKUP(Table1722[[#This Row],[Bukti]],'Un nOTA'!$A$4:$K$5003,10,FALSE),"")</f>
        <v/>
      </c>
      <c r="I2165" s="112" t="str">
        <f>IFERROR(VLOOKUP(Table1722[[#This Row],[Bukti]],Table13[#Data],11,FALSE),"")</f>
        <v/>
      </c>
    </row>
    <row r="2166" spans="1:9" ht="19.5" hidden="1" customHeight="1" x14ac:dyDescent="0.2">
      <c r="A2166" s="105" t="str">
        <f>IF(D2166=1,COUNTIF($D$10:D2166,1)," ")</f>
        <v xml:space="preserve"> </v>
      </c>
      <c r="B2166" s="106">
        <f>COPY!AR2158</f>
        <v>0</v>
      </c>
      <c r="C2166" s="107">
        <f>COPY!AC2158</f>
        <v>0</v>
      </c>
      <c r="D2166" s="107" t="str">
        <f>IF(LEN(Table1722[[#This Row],[Uraian]])&gt;2,1," ")</f>
        <v xml:space="preserve"> </v>
      </c>
      <c r="E2166" s="113" t="str">
        <f>IF(Table1722[[#This Row],[Lawan Transaksi]]="CV AGUNG KARYA",COUNTIF($I$10:I2166,"CV AGUNG KARYA")," ")</f>
        <v xml:space="preserve"> </v>
      </c>
      <c r="F2166" s="107" t="str">
        <f>IF(LEN(Table1722[[#This Row],[Uraian]])&gt;2,TRIM(RIGHT(SUBSTITUTE(TRIM(C2166)," ",REPT(" ",255)),255))," ")</f>
        <v xml:space="preserve"> </v>
      </c>
      <c r="G2166" s="110">
        <f>COPY!Z2158</f>
        <v>0</v>
      </c>
      <c r="H2166" s="111" t="str">
        <f>IFERROR(VLOOKUP(Table1722[[#This Row],[Bukti]],'Un nOTA'!$A$4:$K$5003,10,FALSE),"")</f>
        <v/>
      </c>
      <c r="I2166" s="112" t="str">
        <f>IFERROR(VLOOKUP(Table1722[[#This Row],[Bukti]],Table13[#Data],11,FALSE),"")</f>
        <v/>
      </c>
    </row>
    <row r="2167" spans="1:9" ht="19.5" hidden="1" customHeight="1" x14ac:dyDescent="0.2">
      <c r="A2167" s="105" t="str">
        <f>IF(D2167=1,COUNTIF($D$10:D2167,1)," ")</f>
        <v xml:space="preserve"> </v>
      </c>
      <c r="B2167" s="106">
        <f>COPY!AR2159</f>
        <v>0</v>
      </c>
      <c r="C2167" s="107">
        <f>COPY!AC2159</f>
        <v>0</v>
      </c>
      <c r="D2167" s="107" t="str">
        <f>IF(LEN(Table1722[[#This Row],[Uraian]])&gt;2,1," ")</f>
        <v xml:space="preserve"> </v>
      </c>
      <c r="E2167" s="113" t="str">
        <f>IF(Table1722[[#This Row],[Lawan Transaksi]]="CV AGUNG KARYA",COUNTIF($I$10:I2167,"CV AGUNG KARYA")," ")</f>
        <v xml:space="preserve"> </v>
      </c>
      <c r="F2167" s="107" t="str">
        <f>IF(LEN(Table1722[[#This Row],[Uraian]])&gt;2,TRIM(RIGHT(SUBSTITUTE(TRIM(C2167)," ",REPT(" ",255)),255))," ")</f>
        <v xml:space="preserve"> </v>
      </c>
      <c r="G2167" s="110">
        <f>COPY!Z2159</f>
        <v>0</v>
      </c>
      <c r="H2167" s="111" t="str">
        <f>IFERROR(VLOOKUP(Table1722[[#This Row],[Bukti]],'Un nOTA'!$A$4:$K$5003,10,FALSE),"")</f>
        <v/>
      </c>
      <c r="I2167" s="112" t="str">
        <f>IFERROR(VLOOKUP(Table1722[[#This Row],[Bukti]],Table13[#Data],11,FALSE),"")</f>
        <v/>
      </c>
    </row>
    <row r="2168" spans="1:9" ht="19.5" hidden="1" customHeight="1" x14ac:dyDescent="0.2">
      <c r="A2168" s="105" t="str">
        <f>IF(D2168=1,COUNTIF($D$10:D2168,1)," ")</f>
        <v xml:space="preserve"> </v>
      </c>
      <c r="B2168" s="106">
        <f>COPY!AR2160</f>
        <v>0</v>
      </c>
      <c r="C2168" s="107">
        <f>COPY!AC2160</f>
        <v>0</v>
      </c>
      <c r="D2168" s="107" t="str">
        <f>IF(LEN(Table1722[[#This Row],[Uraian]])&gt;2,1," ")</f>
        <v xml:space="preserve"> </v>
      </c>
      <c r="E2168" s="113" t="str">
        <f>IF(Table1722[[#This Row],[Lawan Transaksi]]="CV AGUNG KARYA",COUNTIF($I$10:I2168,"CV AGUNG KARYA")," ")</f>
        <v xml:space="preserve"> </v>
      </c>
      <c r="F2168" s="107" t="str">
        <f>IF(LEN(Table1722[[#This Row],[Uraian]])&gt;2,TRIM(RIGHT(SUBSTITUTE(TRIM(C2168)," ",REPT(" ",255)),255))," ")</f>
        <v xml:space="preserve"> </v>
      </c>
      <c r="G2168" s="110">
        <f>COPY!Z2160</f>
        <v>0</v>
      </c>
      <c r="H2168" s="111" t="str">
        <f>IFERROR(VLOOKUP(Table1722[[#This Row],[Bukti]],'Un nOTA'!$A$4:$K$5003,10,FALSE),"")</f>
        <v/>
      </c>
      <c r="I2168" s="112" t="str">
        <f>IFERROR(VLOOKUP(Table1722[[#This Row],[Bukti]],Table13[#Data],11,FALSE),"")</f>
        <v/>
      </c>
    </row>
    <row r="2169" spans="1:9" ht="19.5" hidden="1" customHeight="1" x14ac:dyDescent="0.2">
      <c r="A2169" s="105" t="str">
        <f>IF(D2169=1,COUNTIF($D$10:D2169,1)," ")</f>
        <v xml:space="preserve"> </v>
      </c>
      <c r="B2169" s="106">
        <f>COPY!AR2161</f>
        <v>0</v>
      </c>
      <c r="C2169" s="107">
        <f>COPY!AC2161</f>
        <v>0</v>
      </c>
      <c r="D2169" s="107" t="str">
        <f>IF(LEN(Table1722[[#This Row],[Uraian]])&gt;2,1," ")</f>
        <v xml:space="preserve"> </v>
      </c>
      <c r="E2169" s="113" t="str">
        <f>IF(Table1722[[#This Row],[Lawan Transaksi]]="CV AGUNG KARYA",COUNTIF($I$10:I2169,"CV AGUNG KARYA")," ")</f>
        <v xml:space="preserve"> </v>
      </c>
      <c r="F2169" s="107" t="str">
        <f>IF(LEN(Table1722[[#This Row],[Uraian]])&gt;2,TRIM(RIGHT(SUBSTITUTE(TRIM(C2169)," ",REPT(" ",255)),255))," ")</f>
        <v xml:space="preserve"> </v>
      </c>
      <c r="G2169" s="110">
        <f>COPY!Z2161</f>
        <v>0</v>
      </c>
      <c r="H2169" s="111" t="str">
        <f>IFERROR(VLOOKUP(Table1722[[#This Row],[Bukti]],'Un nOTA'!$A$4:$K$5003,10,FALSE),"")</f>
        <v/>
      </c>
      <c r="I2169" s="112" t="str">
        <f>IFERROR(VLOOKUP(Table1722[[#This Row],[Bukti]],Table13[#Data],11,FALSE),"")</f>
        <v/>
      </c>
    </row>
    <row r="2170" spans="1:9" ht="19.5" hidden="1" customHeight="1" x14ac:dyDescent="0.2">
      <c r="A2170" s="105" t="str">
        <f>IF(D2170=1,COUNTIF($D$10:D2170,1)," ")</f>
        <v xml:space="preserve"> </v>
      </c>
      <c r="B2170" s="106">
        <f>COPY!AR2162</f>
        <v>0</v>
      </c>
      <c r="C2170" s="107">
        <f>COPY!AC2162</f>
        <v>0</v>
      </c>
      <c r="D2170" s="107" t="str">
        <f>IF(LEN(Table1722[[#This Row],[Uraian]])&gt;2,1," ")</f>
        <v xml:space="preserve"> </v>
      </c>
      <c r="E2170" s="113" t="str">
        <f>IF(Table1722[[#This Row],[Lawan Transaksi]]="CV AGUNG KARYA",COUNTIF($I$10:I2170,"CV AGUNG KARYA")," ")</f>
        <v xml:space="preserve"> </v>
      </c>
      <c r="F2170" s="107" t="str">
        <f>IF(LEN(Table1722[[#This Row],[Uraian]])&gt;2,TRIM(RIGHT(SUBSTITUTE(TRIM(C2170)," ",REPT(" ",255)),255))," ")</f>
        <v xml:space="preserve"> </v>
      </c>
      <c r="G2170" s="110">
        <f>COPY!Z2162</f>
        <v>0</v>
      </c>
      <c r="H2170" s="111" t="str">
        <f>IFERROR(VLOOKUP(Table1722[[#This Row],[Bukti]],'Un nOTA'!$A$4:$K$5003,10,FALSE),"")</f>
        <v/>
      </c>
      <c r="I2170" s="112" t="str">
        <f>IFERROR(VLOOKUP(Table1722[[#This Row],[Bukti]],Table13[#Data],11,FALSE),"")</f>
        <v/>
      </c>
    </row>
    <row r="2171" spans="1:9" ht="19.5" hidden="1" customHeight="1" x14ac:dyDescent="0.2">
      <c r="A2171" s="105" t="str">
        <f>IF(D2171=1,COUNTIF($D$10:D2171,1)," ")</f>
        <v xml:space="preserve"> </v>
      </c>
      <c r="B2171" s="106">
        <f>COPY!AR2163</f>
        <v>0</v>
      </c>
      <c r="C2171" s="107">
        <f>COPY!AC2163</f>
        <v>0</v>
      </c>
      <c r="D2171" s="107" t="str">
        <f>IF(LEN(Table1722[[#This Row],[Uraian]])&gt;2,1," ")</f>
        <v xml:space="preserve"> </v>
      </c>
      <c r="E2171" s="113" t="str">
        <f>IF(Table1722[[#This Row],[Lawan Transaksi]]="CV AGUNG KARYA",COUNTIF($I$10:I2171,"CV AGUNG KARYA")," ")</f>
        <v xml:space="preserve"> </v>
      </c>
      <c r="F2171" s="107" t="str">
        <f>IF(LEN(Table1722[[#This Row],[Uraian]])&gt;2,TRIM(RIGHT(SUBSTITUTE(TRIM(C2171)," ",REPT(" ",255)),255))," ")</f>
        <v xml:space="preserve"> </v>
      </c>
      <c r="G2171" s="110">
        <f>COPY!Z2163</f>
        <v>0</v>
      </c>
      <c r="H2171" s="111" t="str">
        <f>IFERROR(VLOOKUP(Table1722[[#This Row],[Bukti]],'Un nOTA'!$A$4:$K$5003,10,FALSE),"")</f>
        <v/>
      </c>
      <c r="I2171" s="112" t="str">
        <f>IFERROR(VLOOKUP(Table1722[[#This Row],[Bukti]],Table13[#Data],11,FALSE),"")</f>
        <v/>
      </c>
    </row>
    <row r="2172" spans="1:9" ht="19.5" hidden="1" customHeight="1" x14ac:dyDescent="0.2">
      <c r="A2172" s="105" t="str">
        <f>IF(D2172=1,COUNTIF($D$10:D2172,1)," ")</f>
        <v xml:space="preserve"> </v>
      </c>
      <c r="B2172" s="106">
        <f>COPY!AR2164</f>
        <v>0</v>
      </c>
      <c r="C2172" s="107">
        <f>COPY!AC2164</f>
        <v>0</v>
      </c>
      <c r="D2172" s="107" t="str">
        <f>IF(LEN(Table1722[[#This Row],[Uraian]])&gt;2,1," ")</f>
        <v xml:space="preserve"> </v>
      </c>
      <c r="E2172" s="113" t="str">
        <f>IF(Table1722[[#This Row],[Lawan Transaksi]]="CV AGUNG KARYA",COUNTIF($I$10:I2172,"CV AGUNG KARYA")," ")</f>
        <v xml:space="preserve"> </v>
      </c>
      <c r="F2172" s="107" t="str">
        <f>IF(LEN(Table1722[[#This Row],[Uraian]])&gt;2,TRIM(RIGHT(SUBSTITUTE(TRIM(C2172)," ",REPT(" ",255)),255))," ")</f>
        <v xml:space="preserve"> </v>
      </c>
      <c r="G2172" s="110">
        <f>COPY!Z2164</f>
        <v>0</v>
      </c>
      <c r="H2172" s="111" t="str">
        <f>IFERROR(VLOOKUP(Table1722[[#This Row],[Bukti]],'Un nOTA'!$A$4:$K$5003,10,FALSE),"")</f>
        <v/>
      </c>
      <c r="I2172" s="112" t="str">
        <f>IFERROR(VLOOKUP(Table1722[[#This Row],[Bukti]],Table13[#Data],11,FALSE),"")</f>
        <v/>
      </c>
    </row>
    <row r="2173" spans="1:9" ht="19.5" hidden="1" customHeight="1" x14ac:dyDescent="0.2">
      <c r="A2173" s="105" t="str">
        <f>IF(D2173=1,COUNTIF($D$10:D2173,1)," ")</f>
        <v xml:space="preserve"> </v>
      </c>
      <c r="B2173" s="106">
        <f>COPY!AR2165</f>
        <v>0</v>
      </c>
      <c r="C2173" s="107">
        <f>COPY!AC2165</f>
        <v>0</v>
      </c>
      <c r="D2173" s="107" t="str">
        <f>IF(LEN(Table1722[[#This Row],[Uraian]])&gt;2,1," ")</f>
        <v xml:space="preserve"> </v>
      </c>
      <c r="E2173" s="113" t="str">
        <f>IF(Table1722[[#This Row],[Lawan Transaksi]]="CV AGUNG KARYA",COUNTIF($I$10:I2173,"CV AGUNG KARYA")," ")</f>
        <v xml:space="preserve"> </v>
      </c>
      <c r="F2173" s="107" t="str">
        <f>IF(LEN(Table1722[[#This Row],[Uraian]])&gt;2,TRIM(RIGHT(SUBSTITUTE(TRIM(C2173)," ",REPT(" ",255)),255))," ")</f>
        <v xml:space="preserve"> </v>
      </c>
      <c r="G2173" s="110">
        <f>COPY!Z2165</f>
        <v>0</v>
      </c>
      <c r="H2173" s="111" t="str">
        <f>IFERROR(VLOOKUP(Table1722[[#This Row],[Bukti]],'Un nOTA'!$A$4:$K$5003,10,FALSE),"")</f>
        <v/>
      </c>
      <c r="I2173" s="112" t="str">
        <f>IFERROR(VLOOKUP(Table1722[[#This Row],[Bukti]],Table13[#Data],11,FALSE),"")</f>
        <v/>
      </c>
    </row>
    <row r="2174" spans="1:9" ht="19.5" hidden="1" customHeight="1" x14ac:dyDescent="0.2">
      <c r="A2174" s="105" t="str">
        <f>IF(D2174=1,COUNTIF($D$10:D2174,1)," ")</f>
        <v xml:space="preserve"> </v>
      </c>
      <c r="B2174" s="106">
        <f>COPY!AR2166</f>
        <v>0</v>
      </c>
      <c r="C2174" s="107">
        <f>COPY!AC2166</f>
        <v>0</v>
      </c>
      <c r="D2174" s="107" t="str">
        <f>IF(LEN(Table1722[[#This Row],[Uraian]])&gt;2,1," ")</f>
        <v xml:space="preserve"> </v>
      </c>
      <c r="E2174" s="113" t="str">
        <f>IF(Table1722[[#This Row],[Lawan Transaksi]]="CV AGUNG KARYA",COUNTIF($I$10:I2174,"CV AGUNG KARYA")," ")</f>
        <v xml:space="preserve"> </v>
      </c>
      <c r="F2174" s="107" t="str">
        <f>IF(LEN(Table1722[[#This Row],[Uraian]])&gt;2,TRIM(RIGHT(SUBSTITUTE(TRIM(C2174)," ",REPT(" ",255)),255))," ")</f>
        <v xml:space="preserve"> </v>
      </c>
      <c r="G2174" s="110">
        <f>COPY!Z2166</f>
        <v>0</v>
      </c>
      <c r="H2174" s="111" t="str">
        <f>IFERROR(VLOOKUP(Table1722[[#This Row],[Bukti]],'Un nOTA'!$A$4:$K$5003,10,FALSE),"")</f>
        <v/>
      </c>
      <c r="I2174" s="112" t="str">
        <f>IFERROR(VLOOKUP(Table1722[[#This Row],[Bukti]],Table13[#Data],11,FALSE),"")</f>
        <v/>
      </c>
    </row>
    <row r="2175" spans="1:9" ht="19.5" hidden="1" customHeight="1" x14ac:dyDescent="0.2">
      <c r="A2175" s="105" t="str">
        <f>IF(D2175=1,COUNTIF($D$10:D2175,1)," ")</f>
        <v xml:space="preserve"> </v>
      </c>
      <c r="B2175" s="106">
        <f>COPY!AR2167</f>
        <v>0</v>
      </c>
      <c r="C2175" s="107">
        <f>COPY!AC2167</f>
        <v>0</v>
      </c>
      <c r="D2175" s="107" t="str">
        <f>IF(LEN(Table1722[[#This Row],[Uraian]])&gt;2,1," ")</f>
        <v xml:space="preserve"> </v>
      </c>
      <c r="E2175" s="113" t="str">
        <f>IF(Table1722[[#This Row],[Lawan Transaksi]]="CV AGUNG KARYA",COUNTIF($I$10:I2175,"CV AGUNG KARYA")," ")</f>
        <v xml:space="preserve"> </v>
      </c>
      <c r="F2175" s="107" t="str">
        <f>IF(LEN(Table1722[[#This Row],[Uraian]])&gt;2,TRIM(RIGHT(SUBSTITUTE(TRIM(C2175)," ",REPT(" ",255)),255))," ")</f>
        <v xml:space="preserve"> </v>
      </c>
      <c r="G2175" s="110">
        <f>COPY!Z2167</f>
        <v>0</v>
      </c>
      <c r="H2175" s="111" t="str">
        <f>IFERROR(VLOOKUP(Table1722[[#This Row],[Bukti]],'Un nOTA'!$A$4:$K$5003,10,FALSE),"")</f>
        <v/>
      </c>
      <c r="I2175" s="112" t="str">
        <f>IFERROR(VLOOKUP(Table1722[[#This Row],[Bukti]],Table13[#Data],11,FALSE),"")</f>
        <v/>
      </c>
    </row>
    <row r="2176" spans="1:9" ht="19.5" hidden="1" customHeight="1" x14ac:dyDescent="0.2">
      <c r="A2176" s="105" t="str">
        <f>IF(D2176=1,COUNTIF($D$10:D2176,1)," ")</f>
        <v xml:space="preserve"> </v>
      </c>
      <c r="B2176" s="106">
        <f>COPY!AR2168</f>
        <v>0</v>
      </c>
      <c r="C2176" s="107">
        <f>COPY!AC2168</f>
        <v>0</v>
      </c>
      <c r="D2176" s="107" t="str">
        <f>IF(LEN(Table1722[[#This Row],[Uraian]])&gt;2,1," ")</f>
        <v xml:space="preserve"> </v>
      </c>
      <c r="E2176" s="113" t="str">
        <f>IF(Table1722[[#This Row],[Lawan Transaksi]]="CV AGUNG KARYA",COUNTIF($I$10:I2176,"CV AGUNG KARYA")," ")</f>
        <v xml:space="preserve"> </v>
      </c>
      <c r="F2176" s="107" t="str">
        <f>IF(LEN(Table1722[[#This Row],[Uraian]])&gt;2,TRIM(RIGHT(SUBSTITUTE(TRIM(C2176)," ",REPT(" ",255)),255))," ")</f>
        <v xml:space="preserve"> </v>
      </c>
      <c r="G2176" s="110">
        <f>COPY!Z2168</f>
        <v>0</v>
      </c>
      <c r="H2176" s="111" t="str">
        <f>IFERROR(VLOOKUP(Table1722[[#This Row],[Bukti]],'Un nOTA'!$A$4:$K$5003,10,FALSE),"")</f>
        <v/>
      </c>
      <c r="I2176" s="112" t="str">
        <f>IFERROR(VLOOKUP(Table1722[[#This Row],[Bukti]],Table13[#Data],11,FALSE),"")</f>
        <v/>
      </c>
    </row>
    <row r="2177" spans="1:9" ht="19.5" hidden="1" customHeight="1" x14ac:dyDescent="0.2">
      <c r="A2177" s="105" t="str">
        <f>IF(D2177=1,COUNTIF($D$10:D2177,1)," ")</f>
        <v xml:space="preserve"> </v>
      </c>
      <c r="B2177" s="106">
        <f>COPY!AR2169</f>
        <v>0</v>
      </c>
      <c r="C2177" s="107">
        <f>COPY!AC2169</f>
        <v>0</v>
      </c>
      <c r="D2177" s="107" t="str">
        <f>IF(LEN(Table1722[[#This Row],[Uraian]])&gt;2,1," ")</f>
        <v xml:space="preserve"> </v>
      </c>
      <c r="E2177" s="113" t="str">
        <f>IF(Table1722[[#This Row],[Lawan Transaksi]]="CV AGUNG KARYA",COUNTIF($I$10:I2177,"CV AGUNG KARYA")," ")</f>
        <v xml:space="preserve"> </v>
      </c>
      <c r="F2177" s="107" t="str">
        <f>IF(LEN(Table1722[[#This Row],[Uraian]])&gt;2,TRIM(RIGHT(SUBSTITUTE(TRIM(C2177)," ",REPT(" ",255)),255))," ")</f>
        <v xml:space="preserve"> </v>
      </c>
      <c r="G2177" s="110">
        <f>COPY!Z2169</f>
        <v>0</v>
      </c>
      <c r="H2177" s="111" t="str">
        <f>IFERROR(VLOOKUP(Table1722[[#This Row],[Bukti]],'Un nOTA'!$A$4:$K$5003,10,FALSE),"")</f>
        <v/>
      </c>
      <c r="I2177" s="112" t="str">
        <f>IFERROR(VLOOKUP(Table1722[[#This Row],[Bukti]],Table13[#Data],11,FALSE),"")</f>
        <v/>
      </c>
    </row>
    <row r="2178" spans="1:9" ht="19.5" hidden="1" customHeight="1" x14ac:dyDescent="0.2">
      <c r="A2178" s="105" t="str">
        <f>IF(D2178=1,COUNTIF($D$10:D2178,1)," ")</f>
        <v xml:space="preserve"> </v>
      </c>
      <c r="B2178" s="106">
        <f>COPY!AR2170</f>
        <v>0</v>
      </c>
      <c r="C2178" s="107">
        <f>COPY!AC2170</f>
        <v>0</v>
      </c>
      <c r="D2178" s="107" t="str">
        <f>IF(LEN(Table1722[[#This Row],[Uraian]])&gt;2,1," ")</f>
        <v xml:space="preserve"> </v>
      </c>
      <c r="E2178" s="113" t="str">
        <f>IF(Table1722[[#This Row],[Lawan Transaksi]]="CV AGUNG KARYA",COUNTIF($I$10:I2178,"CV AGUNG KARYA")," ")</f>
        <v xml:space="preserve"> </v>
      </c>
      <c r="F2178" s="107" t="str">
        <f>IF(LEN(Table1722[[#This Row],[Uraian]])&gt;2,TRIM(RIGHT(SUBSTITUTE(TRIM(C2178)," ",REPT(" ",255)),255))," ")</f>
        <v xml:space="preserve"> </v>
      </c>
      <c r="G2178" s="110">
        <f>COPY!Z2170</f>
        <v>0</v>
      </c>
      <c r="H2178" s="111" t="str">
        <f>IFERROR(VLOOKUP(Table1722[[#This Row],[Bukti]],'Un nOTA'!$A$4:$K$5003,10,FALSE),"")</f>
        <v/>
      </c>
      <c r="I2178" s="112" t="str">
        <f>IFERROR(VLOOKUP(Table1722[[#This Row],[Bukti]],Table13[#Data],11,FALSE),"")</f>
        <v/>
      </c>
    </row>
    <row r="2179" spans="1:9" ht="19.5" hidden="1" customHeight="1" x14ac:dyDescent="0.2">
      <c r="A2179" s="105" t="str">
        <f>IF(D2179=1,COUNTIF($D$10:D2179,1)," ")</f>
        <v xml:space="preserve"> </v>
      </c>
      <c r="B2179" s="106">
        <f>COPY!AR2171</f>
        <v>0</v>
      </c>
      <c r="C2179" s="107">
        <f>COPY!AC2171</f>
        <v>0</v>
      </c>
      <c r="D2179" s="107" t="str">
        <f>IF(LEN(Table1722[[#This Row],[Uraian]])&gt;2,1," ")</f>
        <v xml:space="preserve"> </v>
      </c>
      <c r="E2179" s="113" t="str">
        <f>IF(Table1722[[#This Row],[Lawan Transaksi]]="CV AGUNG KARYA",COUNTIF($I$10:I2179,"CV AGUNG KARYA")," ")</f>
        <v xml:space="preserve"> </v>
      </c>
      <c r="F2179" s="107" t="str">
        <f>IF(LEN(Table1722[[#This Row],[Uraian]])&gt;2,TRIM(RIGHT(SUBSTITUTE(TRIM(C2179)," ",REPT(" ",255)),255))," ")</f>
        <v xml:space="preserve"> </v>
      </c>
      <c r="G2179" s="110">
        <f>COPY!Z2171</f>
        <v>0</v>
      </c>
      <c r="H2179" s="111" t="str">
        <f>IFERROR(VLOOKUP(Table1722[[#This Row],[Bukti]],'Un nOTA'!$A$4:$K$5003,10,FALSE),"")</f>
        <v/>
      </c>
      <c r="I2179" s="112" t="str">
        <f>IFERROR(VLOOKUP(Table1722[[#This Row],[Bukti]],Table13[#Data],11,FALSE),"")</f>
        <v/>
      </c>
    </row>
    <row r="2180" spans="1:9" ht="19.5" hidden="1" customHeight="1" x14ac:dyDescent="0.2">
      <c r="A2180" s="105" t="str">
        <f>IF(D2180=1,COUNTIF($D$10:D2180,1)," ")</f>
        <v xml:space="preserve"> </v>
      </c>
      <c r="B2180" s="106">
        <f>COPY!AR2172</f>
        <v>0</v>
      </c>
      <c r="C2180" s="107">
        <f>COPY!AC2172</f>
        <v>0</v>
      </c>
      <c r="D2180" s="107" t="str">
        <f>IF(LEN(Table1722[[#This Row],[Uraian]])&gt;2,1," ")</f>
        <v xml:space="preserve"> </v>
      </c>
      <c r="E2180" s="113" t="str">
        <f>IF(Table1722[[#This Row],[Lawan Transaksi]]="CV AGUNG KARYA",COUNTIF($I$10:I2180,"CV AGUNG KARYA")," ")</f>
        <v xml:space="preserve"> </v>
      </c>
      <c r="F2180" s="107" t="str">
        <f>IF(LEN(Table1722[[#This Row],[Uraian]])&gt;2,TRIM(RIGHT(SUBSTITUTE(TRIM(C2180)," ",REPT(" ",255)),255))," ")</f>
        <v xml:space="preserve"> </v>
      </c>
      <c r="G2180" s="110">
        <f>COPY!Z2172</f>
        <v>0</v>
      </c>
      <c r="H2180" s="111" t="str">
        <f>IFERROR(VLOOKUP(Table1722[[#This Row],[Bukti]],'Un nOTA'!$A$4:$K$5003,10,FALSE),"")</f>
        <v/>
      </c>
      <c r="I2180" s="112" t="str">
        <f>IFERROR(VLOOKUP(Table1722[[#This Row],[Bukti]],Table13[#Data],11,FALSE),"")</f>
        <v/>
      </c>
    </row>
    <row r="2181" spans="1:9" ht="19.5" hidden="1" customHeight="1" x14ac:dyDescent="0.2">
      <c r="A2181" s="105" t="str">
        <f>IF(D2181=1,COUNTIF($D$10:D2181,1)," ")</f>
        <v xml:space="preserve"> </v>
      </c>
      <c r="B2181" s="106">
        <f>COPY!AR2173</f>
        <v>0</v>
      </c>
      <c r="C2181" s="107">
        <f>COPY!AC2173</f>
        <v>0</v>
      </c>
      <c r="D2181" s="107" t="str">
        <f>IF(LEN(Table1722[[#This Row],[Uraian]])&gt;2,1," ")</f>
        <v xml:space="preserve"> </v>
      </c>
      <c r="E2181" s="113" t="str">
        <f>IF(Table1722[[#This Row],[Lawan Transaksi]]="CV AGUNG KARYA",COUNTIF($I$10:I2181,"CV AGUNG KARYA")," ")</f>
        <v xml:space="preserve"> </v>
      </c>
      <c r="F2181" s="107" t="str">
        <f>IF(LEN(Table1722[[#This Row],[Uraian]])&gt;2,TRIM(RIGHT(SUBSTITUTE(TRIM(C2181)," ",REPT(" ",255)),255))," ")</f>
        <v xml:space="preserve"> </v>
      </c>
      <c r="G2181" s="110">
        <f>COPY!Z2173</f>
        <v>0</v>
      </c>
      <c r="H2181" s="111" t="str">
        <f>IFERROR(VLOOKUP(Table1722[[#This Row],[Bukti]],'Un nOTA'!$A$4:$K$5003,10,FALSE),"")</f>
        <v/>
      </c>
      <c r="I2181" s="112" t="str">
        <f>IFERROR(VLOOKUP(Table1722[[#This Row],[Bukti]],Table13[#Data],11,FALSE),"")</f>
        <v/>
      </c>
    </row>
    <row r="2182" spans="1:9" ht="19.5" hidden="1" customHeight="1" x14ac:dyDescent="0.2">
      <c r="A2182" s="105" t="str">
        <f>IF(D2182=1,COUNTIF($D$10:D2182,1)," ")</f>
        <v xml:space="preserve"> </v>
      </c>
      <c r="B2182" s="106">
        <f>COPY!AR2174</f>
        <v>0</v>
      </c>
      <c r="C2182" s="107">
        <f>COPY!AC2174</f>
        <v>0</v>
      </c>
      <c r="D2182" s="107" t="str">
        <f>IF(LEN(Table1722[[#This Row],[Uraian]])&gt;2,1," ")</f>
        <v xml:space="preserve"> </v>
      </c>
      <c r="E2182" s="113" t="str">
        <f>IF(Table1722[[#This Row],[Lawan Transaksi]]="CV AGUNG KARYA",COUNTIF($I$10:I2182,"CV AGUNG KARYA")," ")</f>
        <v xml:space="preserve"> </v>
      </c>
      <c r="F2182" s="107" t="str">
        <f>IF(LEN(Table1722[[#This Row],[Uraian]])&gt;2,TRIM(RIGHT(SUBSTITUTE(TRIM(C2182)," ",REPT(" ",255)),255))," ")</f>
        <v xml:space="preserve"> </v>
      </c>
      <c r="G2182" s="110">
        <f>COPY!Z2174</f>
        <v>0</v>
      </c>
      <c r="H2182" s="111" t="str">
        <f>IFERROR(VLOOKUP(Table1722[[#This Row],[Bukti]],'Un nOTA'!$A$4:$K$5003,10,FALSE),"")</f>
        <v/>
      </c>
      <c r="I2182" s="112" t="str">
        <f>IFERROR(VLOOKUP(Table1722[[#This Row],[Bukti]],Table13[#Data],11,FALSE),"")</f>
        <v/>
      </c>
    </row>
    <row r="2183" spans="1:9" ht="19.5" hidden="1" customHeight="1" x14ac:dyDescent="0.2">
      <c r="A2183" s="105" t="str">
        <f>IF(D2183=1,COUNTIF($D$10:D2183,1)," ")</f>
        <v xml:space="preserve"> </v>
      </c>
      <c r="B2183" s="106">
        <f>COPY!AR2175</f>
        <v>0</v>
      </c>
      <c r="C2183" s="107">
        <f>COPY!AC2175</f>
        <v>0</v>
      </c>
      <c r="D2183" s="107" t="str">
        <f>IF(LEN(Table1722[[#This Row],[Uraian]])&gt;2,1," ")</f>
        <v xml:space="preserve"> </v>
      </c>
      <c r="E2183" s="113" t="str">
        <f>IF(Table1722[[#This Row],[Lawan Transaksi]]="CV AGUNG KARYA",COUNTIF($I$10:I2183,"CV AGUNG KARYA")," ")</f>
        <v xml:space="preserve"> </v>
      </c>
      <c r="F2183" s="107" t="str">
        <f>IF(LEN(Table1722[[#This Row],[Uraian]])&gt;2,TRIM(RIGHT(SUBSTITUTE(TRIM(C2183)," ",REPT(" ",255)),255))," ")</f>
        <v xml:space="preserve"> </v>
      </c>
      <c r="G2183" s="110">
        <f>COPY!Z2175</f>
        <v>0</v>
      </c>
      <c r="H2183" s="111" t="str">
        <f>IFERROR(VLOOKUP(Table1722[[#This Row],[Bukti]],'Un nOTA'!$A$4:$K$5003,10,FALSE),"")</f>
        <v/>
      </c>
      <c r="I2183" s="112" t="str">
        <f>IFERROR(VLOOKUP(Table1722[[#This Row],[Bukti]],Table13[#Data],11,FALSE),"")</f>
        <v/>
      </c>
    </row>
    <row r="2184" spans="1:9" ht="19.5" hidden="1" customHeight="1" x14ac:dyDescent="0.2">
      <c r="A2184" s="105" t="str">
        <f>IF(D2184=1,COUNTIF($D$10:D2184,1)," ")</f>
        <v xml:space="preserve"> </v>
      </c>
      <c r="B2184" s="106">
        <f>COPY!AR2176</f>
        <v>0</v>
      </c>
      <c r="C2184" s="107">
        <f>COPY!AC2176</f>
        <v>0</v>
      </c>
      <c r="D2184" s="107" t="str">
        <f>IF(LEN(Table1722[[#This Row],[Uraian]])&gt;2,1," ")</f>
        <v xml:space="preserve"> </v>
      </c>
      <c r="E2184" s="113" t="str">
        <f>IF(Table1722[[#This Row],[Lawan Transaksi]]="CV AGUNG KARYA",COUNTIF($I$10:I2184,"CV AGUNG KARYA")," ")</f>
        <v xml:space="preserve"> </v>
      </c>
      <c r="F2184" s="107" t="str">
        <f>IF(LEN(Table1722[[#This Row],[Uraian]])&gt;2,TRIM(RIGHT(SUBSTITUTE(TRIM(C2184)," ",REPT(" ",255)),255))," ")</f>
        <v xml:space="preserve"> </v>
      </c>
      <c r="G2184" s="110">
        <f>COPY!Z2176</f>
        <v>0</v>
      </c>
      <c r="H2184" s="111" t="str">
        <f>IFERROR(VLOOKUP(Table1722[[#This Row],[Bukti]],'Un nOTA'!$A$4:$K$5003,10,FALSE),"")</f>
        <v/>
      </c>
      <c r="I2184" s="112" t="str">
        <f>IFERROR(VLOOKUP(Table1722[[#This Row],[Bukti]],Table13[#Data],11,FALSE),"")</f>
        <v/>
      </c>
    </row>
    <row r="2185" spans="1:9" ht="19.5" hidden="1" customHeight="1" x14ac:dyDescent="0.2">
      <c r="A2185" s="105" t="str">
        <f>IF(D2185=1,COUNTIF($D$10:D2185,1)," ")</f>
        <v xml:space="preserve"> </v>
      </c>
      <c r="B2185" s="106">
        <f>COPY!AR2177</f>
        <v>0</v>
      </c>
      <c r="C2185" s="107">
        <f>COPY!AC2177</f>
        <v>0</v>
      </c>
      <c r="D2185" s="107" t="str">
        <f>IF(LEN(Table1722[[#This Row],[Uraian]])&gt;2,1," ")</f>
        <v xml:space="preserve"> </v>
      </c>
      <c r="E2185" s="113" t="str">
        <f>IF(Table1722[[#This Row],[Lawan Transaksi]]="CV AGUNG KARYA",COUNTIF($I$10:I2185,"CV AGUNG KARYA")," ")</f>
        <v xml:space="preserve"> </v>
      </c>
      <c r="F2185" s="107" t="str">
        <f>IF(LEN(Table1722[[#This Row],[Uraian]])&gt;2,TRIM(RIGHT(SUBSTITUTE(TRIM(C2185)," ",REPT(" ",255)),255))," ")</f>
        <v xml:space="preserve"> </v>
      </c>
      <c r="G2185" s="110">
        <f>COPY!Z2177</f>
        <v>0</v>
      </c>
      <c r="H2185" s="111" t="str">
        <f>IFERROR(VLOOKUP(Table1722[[#This Row],[Bukti]],'Un nOTA'!$A$4:$K$5003,10,FALSE),"")</f>
        <v/>
      </c>
      <c r="I2185" s="112" t="str">
        <f>IFERROR(VLOOKUP(Table1722[[#This Row],[Bukti]],Table13[#Data],11,FALSE),"")</f>
        <v/>
      </c>
    </row>
    <row r="2186" spans="1:9" ht="19.5" hidden="1" customHeight="1" x14ac:dyDescent="0.2">
      <c r="A2186" s="105" t="str">
        <f>IF(D2186=1,COUNTIF($D$10:D2186,1)," ")</f>
        <v xml:space="preserve"> </v>
      </c>
      <c r="B2186" s="106">
        <f>COPY!AR2178</f>
        <v>0</v>
      </c>
      <c r="C2186" s="107">
        <f>COPY!AC2178</f>
        <v>0</v>
      </c>
      <c r="D2186" s="107" t="str">
        <f>IF(LEN(Table1722[[#This Row],[Uraian]])&gt;2,1," ")</f>
        <v xml:space="preserve"> </v>
      </c>
      <c r="E2186" s="113" t="str">
        <f>IF(Table1722[[#This Row],[Lawan Transaksi]]="CV AGUNG KARYA",COUNTIF($I$10:I2186,"CV AGUNG KARYA")," ")</f>
        <v xml:space="preserve"> </v>
      </c>
      <c r="F2186" s="107" t="str">
        <f>IF(LEN(Table1722[[#This Row],[Uraian]])&gt;2,TRIM(RIGHT(SUBSTITUTE(TRIM(C2186)," ",REPT(" ",255)),255))," ")</f>
        <v xml:space="preserve"> </v>
      </c>
      <c r="G2186" s="110">
        <f>COPY!Z2178</f>
        <v>0</v>
      </c>
      <c r="H2186" s="111" t="str">
        <f>IFERROR(VLOOKUP(Table1722[[#This Row],[Bukti]],'Un nOTA'!$A$4:$K$5003,10,FALSE),"")</f>
        <v/>
      </c>
      <c r="I2186" s="112" t="str">
        <f>IFERROR(VLOOKUP(Table1722[[#This Row],[Bukti]],Table13[#Data],11,FALSE),"")</f>
        <v/>
      </c>
    </row>
    <row r="2187" spans="1:9" ht="19.5" hidden="1" customHeight="1" x14ac:dyDescent="0.2">
      <c r="A2187" s="105" t="str">
        <f>IF(D2187=1,COUNTIF($D$10:D2187,1)," ")</f>
        <v xml:space="preserve"> </v>
      </c>
      <c r="B2187" s="106">
        <f>COPY!AR2179</f>
        <v>0</v>
      </c>
      <c r="C2187" s="107">
        <f>COPY!AC2179</f>
        <v>0</v>
      </c>
      <c r="D2187" s="107" t="str">
        <f>IF(LEN(Table1722[[#This Row],[Uraian]])&gt;2,1," ")</f>
        <v xml:space="preserve"> </v>
      </c>
      <c r="E2187" s="113" t="str">
        <f>IF(Table1722[[#This Row],[Lawan Transaksi]]="CV AGUNG KARYA",COUNTIF($I$10:I2187,"CV AGUNG KARYA")," ")</f>
        <v xml:space="preserve"> </v>
      </c>
      <c r="F2187" s="107" t="str">
        <f>IF(LEN(Table1722[[#This Row],[Uraian]])&gt;2,TRIM(RIGHT(SUBSTITUTE(TRIM(C2187)," ",REPT(" ",255)),255))," ")</f>
        <v xml:space="preserve"> </v>
      </c>
      <c r="G2187" s="110">
        <f>COPY!Z2179</f>
        <v>0</v>
      </c>
      <c r="H2187" s="111" t="str">
        <f>IFERROR(VLOOKUP(Table1722[[#This Row],[Bukti]],'Un nOTA'!$A$4:$K$5003,10,FALSE),"")</f>
        <v/>
      </c>
      <c r="I2187" s="112" t="str">
        <f>IFERROR(VLOOKUP(Table1722[[#This Row],[Bukti]],Table13[#Data],11,FALSE),"")</f>
        <v/>
      </c>
    </row>
    <row r="2188" spans="1:9" ht="19.5" hidden="1" customHeight="1" x14ac:dyDescent="0.2">
      <c r="A2188" s="105" t="str">
        <f>IF(D2188=1,COUNTIF($D$10:D2188,1)," ")</f>
        <v xml:space="preserve"> </v>
      </c>
      <c r="B2188" s="106">
        <f>COPY!AR2180</f>
        <v>0</v>
      </c>
      <c r="C2188" s="107">
        <f>COPY!AC2180</f>
        <v>0</v>
      </c>
      <c r="D2188" s="107" t="str">
        <f>IF(LEN(Table1722[[#This Row],[Uraian]])&gt;2,1," ")</f>
        <v xml:space="preserve"> </v>
      </c>
      <c r="E2188" s="113" t="str">
        <f>IF(Table1722[[#This Row],[Lawan Transaksi]]="CV AGUNG KARYA",COUNTIF($I$10:I2188,"CV AGUNG KARYA")," ")</f>
        <v xml:space="preserve"> </v>
      </c>
      <c r="F2188" s="107" t="str">
        <f>IF(LEN(Table1722[[#This Row],[Uraian]])&gt;2,TRIM(RIGHT(SUBSTITUTE(TRIM(C2188)," ",REPT(" ",255)),255))," ")</f>
        <v xml:space="preserve"> </v>
      </c>
      <c r="G2188" s="110">
        <f>COPY!Z2180</f>
        <v>0</v>
      </c>
      <c r="H2188" s="111" t="str">
        <f>IFERROR(VLOOKUP(Table1722[[#This Row],[Bukti]],'Un nOTA'!$A$4:$K$5003,10,FALSE),"")</f>
        <v/>
      </c>
      <c r="I2188" s="112" t="str">
        <f>IFERROR(VLOOKUP(Table1722[[#This Row],[Bukti]],Table13[#Data],11,FALSE),"")</f>
        <v/>
      </c>
    </row>
    <row r="2189" spans="1:9" ht="19.5" hidden="1" customHeight="1" x14ac:dyDescent="0.2">
      <c r="A2189" s="105" t="str">
        <f>IF(D2189=1,COUNTIF($D$10:D2189,1)," ")</f>
        <v xml:space="preserve"> </v>
      </c>
      <c r="B2189" s="106">
        <f>COPY!AR2181</f>
        <v>0</v>
      </c>
      <c r="C2189" s="107">
        <f>COPY!AC2181</f>
        <v>0</v>
      </c>
      <c r="D2189" s="107" t="str">
        <f>IF(LEN(Table1722[[#This Row],[Uraian]])&gt;2,1," ")</f>
        <v xml:space="preserve"> </v>
      </c>
      <c r="E2189" s="113" t="str">
        <f>IF(Table1722[[#This Row],[Lawan Transaksi]]="CV AGUNG KARYA",COUNTIF($I$10:I2189,"CV AGUNG KARYA")," ")</f>
        <v xml:space="preserve"> </v>
      </c>
      <c r="F2189" s="107" t="str">
        <f>IF(LEN(Table1722[[#This Row],[Uraian]])&gt;2,TRIM(RIGHT(SUBSTITUTE(TRIM(C2189)," ",REPT(" ",255)),255))," ")</f>
        <v xml:space="preserve"> </v>
      </c>
      <c r="G2189" s="110">
        <f>COPY!Z2181</f>
        <v>0</v>
      </c>
      <c r="H2189" s="111" t="str">
        <f>IFERROR(VLOOKUP(Table1722[[#This Row],[Bukti]],'Un nOTA'!$A$4:$K$5003,10,FALSE),"")</f>
        <v/>
      </c>
      <c r="I2189" s="112" t="str">
        <f>IFERROR(VLOOKUP(Table1722[[#This Row],[Bukti]],Table13[#Data],11,FALSE),"")</f>
        <v/>
      </c>
    </row>
    <row r="2190" spans="1:9" ht="19.5" hidden="1" customHeight="1" x14ac:dyDescent="0.2">
      <c r="A2190" s="105" t="str">
        <f>IF(D2190=1,COUNTIF($D$10:D2190,1)," ")</f>
        <v xml:space="preserve"> </v>
      </c>
      <c r="B2190" s="106">
        <f>COPY!AR2182</f>
        <v>0</v>
      </c>
      <c r="C2190" s="107">
        <f>COPY!AC2182</f>
        <v>0</v>
      </c>
      <c r="D2190" s="107" t="str">
        <f>IF(LEN(Table1722[[#This Row],[Uraian]])&gt;2,1," ")</f>
        <v xml:space="preserve"> </v>
      </c>
      <c r="E2190" s="113" t="str">
        <f>IF(Table1722[[#This Row],[Lawan Transaksi]]="CV AGUNG KARYA",COUNTIF($I$10:I2190,"CV AGUNG KARYA")," ")</f>
        <v xml:space="preserve"> </v>
      </c>
      <c r="F2190" s="107" t="str">
        <f>IF(LEN(Table1722[[#This Row],[Uraian]])&gt;2,TRIM(RIGHT(SUBSTITUTE(TRIM(C2190)," ",REPT(" ",255)),255))," ")</f>
        <v xml:space="preserve"> </v>
      </c>
      <c r="G2190" s="110">
        <f>COPY!Z2182</f>
        <v>0</v>
      </c>
      <c r="H2190" s="111" t="str">
        <f>IFERROR(VLOOKUP(Table1722[[#This Row],[Bukti]],'Un nOTA'!$A$4:$K$5003,10,FALSE),"")</f>
        <v/>
      </c>
      <c r="I2190" s="112" t="str">
        <f>IFERROR(VLOOKUP(Table1722[[#This Row],[Bukti]],Table13[#Data],11,FALSE),"")</f>
        <v/>
      </c>
    </row>
    <row r="2191" spans="1:9" ht="19.5" hidden="1" customHeight="1" x14ac:dyDescent="0.2">
      <c r="A2191" s="105" t="str">
        <f>IF(D2191=1,COUNTIF($D$10:D2191,1)," ")</f>
        <v xml:space="preserve"> </v>
      </c>
      <c r="B2191" s="106">
        <f>COPY!AR2183</f>
        <v>0</v>
      </c>
      <c r="C2191" s="107">
        <f>COPY!AC2183</f>
        <v>0</v>
      </c>
      <c r="D2191" s="107" t="str">
        <f>IF(LEN(Table1722[[#This Row],[Uraian]])&gt;2,1," ")</f>
        <v xml:space="preserve"> </v>
      </c>
      <c r="E2191" s="113" t="str">
        <f>IF(Table1722[[#This Row],[Lawan Transaksi]]="CV AGUNG KARYA",COUNTIF($I$10:I2191,"CV AGUNG KARYA")," ")</f>
        <v xml:space="preserve"> </v>
      </c>
      <c r="F2191" s="107" t="str">
        <f>IF(LEN(Table1722[[#This Row],[Uraian]])&gt;2,TRIM(RIGHT(SUBSTITUTE(TRIM(C2191)," ",REPT(" ",255)),255))," ")</f>
        <v xml:space="preserve"> </v>
      </c>
      <c r="G2191" s="110">
        <f>COPY!Z2183</f>
        <v>0</v>
      </c>
      <c r="H2191" s="111" t="str">
        <f>IFERROR(VLOOKUP(Table1722[[#This Row],[Bukti]],'Un nOTA'!$A$4:$K$5003,10,FALSE),"")</f>
        <v/>
      </c>
      <c r="I2191" s="112" t="str">
        <f>IFERROR(VLOOKUP(Table1722[[#This Row],[Bukti]],Table13[#Data],11,FALSE),"")</f>
        <v/>
      </c>
    </row>
    <row r="2192" spans="1:9" ht="19.5" hidden="1" customHeight="1" x14ac:dyDescent="0.2">
      <c r="A2192" s="105" t="str">
        <f>IF(D2192=1,COUNTIF($D$10:D2192,1)," ")</f>
        <v xml:space="preserve"> </v>
      </c>
      <c r="B2192" s="106">
        <f>COPY!AR2184</f>
        <v>0</v>
      </c>
      <c r="C2192" s="107">
        <f>COPY!AC2184</f>
        <v>0</v>
      </c>
      <c r="D2192" s="107" t="str">
        <f>IF(LEN(Table1722[[#This Row],[Uraian]])&gt;2,1," ")</f>
        <v xml:space="preserve"> </v>
      </c>
      <c r="E2192" s="113" t="str">
        <f>IF(Table1722[[#This Row],[Lawan Transaksi]]="CV AGUNG KARYA",COUNTIF($I$10:I2192,"CV AGUNG KARYA")," ")</f>
        <v xml:space="preserve"> </v>
      </c>
      <c r="F2192" s="107" t="str">
        <f>IF(LEN(Table1722[[#This Row],[Uraian]])&gt;2,TRIM(RIGHT(SUBSTITUTE(TRIM(C2192)," ",REPT(" ",255)),255))," ")</f>
        <v xml:space="preserve"> </v>
      </c>
      <c r="G2192" s="110">
        <f>COPY!Z2184</f>
        <v>0</v>
      </c>
      <c r="H2192" s="111" t="str">
        <f>IFERROR(VLOOKUP(Table1722[[#This Row],[Bukti]],'Un nOTA'!$A$4:$K$5003,10,FALSE),"")</f>
        <v/>
      </c>
      <c r="I2192" s="112" t="str">
        <f>IFERROR(VLOOKUP(Table1722[[#This Row],[Bukti]],Table13[#Data],11,FALSE),"")</f>
        <v/>
      </c>
    </row>
    <row r="2193" spans="1:9" ht="19.5" hidden="1" customHeight="1" x14ac:dyDescent="0.2">
      <c r="A2193" s="105" t="str">
        <f>IF(D2193=1,COUNTIF($D$10:D2193,1)," ")</f>
        <v xml:space="preserve"> </v>
      </c>
      <c r="B2193" s="106">
        <f>COPY!AR2185</f>
        <v>0</v>
      </c>
      <c r="C2193" s="107">
        <f>COPY!AC2185</f>
        <v>0</v>
      </c>
      <c r="D2193" s="107" t="str">
        <f>IF(LEN(Table1722[[#This Row],[Uraian]])&gt;2,1," ")</f>
        <v xml:space="preserve"> </v>
      </c>
      <c r="E2193" s="113" t="str">
        <f>IF(Table1722[[#This Row],[Lawan Transaksi]]="CV AGUNG KARYA",COUNTIF($I$10:I2193,"CV AGUNG KARYA")," ")</f>
        <v xml:space="preserve"> </v>
      </c>
      <c r="F2193" s="107" t="str">
        <f>IF(LEN(Table1722[[#This Row],[Uraian]])&gt;2,TRIM(RIGHT(SUBSTITUTE(TRIM(C2193)," ",REPT(" ",255)),255))," ")</f>
        <v xml:space="preserve"> </v>
      </c>
      <c r="G2193" s="110">
        <f>COPY!Z2185</f>
        <v>0</v>
      </c>
      <c r="H2193" s="111" t="str">
        <f>IFERROR(VLOOKUP(Table1722[[#This Row],[Bukti]],'Un nOTA'!$A$4:$K$5003,10,FALSE),"")</f>
        <v/>
      </c>
      <c r="I2193" s="112" t="str">
        <f>IFERROR(VLOOKUP(Table1722[[#This Row],[Bukti]],Table13[#Data],11,FALSE),"")</f>
        <v/>
      </c>
    </row>
    <row r="2194" spans="1:9" ht="19.5" hidden="1" customHeight="1" x14ac:dyDescent="0.2">
      <c r="A2194" s="105" t="str">
        <f>IF(D2194=1,COUNTIF($D$10:D2194,1)," ")</f>
        <v xml:space="preserve"> </v>
      </c>
      <c r="B2194" s="106">
        <f>COPY!AR2186</f>
        <v>0</v>
      </c>
      <c r="C2194" s="107">
        <f>COPY!AC2186</f>
        <v>0</v>
      </c>
      <c r="D2194" s="107" t="str">
        <f>IF(LEN(Table1722[[#This Row],[Uraian]])&gt;2,1," ")</f>
        <v xml:space="preserve"> </v>
      </c>
      <c r="E2194" s="113" t="str">
        <f>IF(Table1722[[#This Row],[Lawan Transaksi]]="CV AGUNG KARYA",COUNTIF($I$10:I2194,"CV AGUNG KARYA")," ")</f>
        <v xml:space="preserve"> </v>
      </c>
      <c r="F2194" s="107" t="str">
        <f>IF(LEN(Table1722[[#This Row],[Uraian]])&gt;2,TRIM(RIGHT(SUBSTITUTE(TRIM(C2194)," ",REPT(" ",255)),255))," ")</f>
        <v xml:space="preserve"> </v>
      </c>
      <c r="G2194" s="110">
        <f>COPY!Z2186</f>
        <v>0</v>
      </c>
      <c r="H2194" s="111" t="str">
        <f>IFERROR(VLOOKUP(Table1722[[#This Row],[Bukti]],'Un nOTA'!$A$4:$K$5003,10,FALSE),"")</f>
        <v/>
      </c>
      <c r="I2194" s="112" t="str">
        <f>IFERROR(VLOOKUP(Table1722[[#This Row],[Bukti]],Table13[#Data],11,FALSE),"")</f>
        <v/>
      </c>
    </row>
    <row r="2195" spans="1:9" ht="19.5" hidden="1" customHeight="1" x14ac:dyDescent="0.2">
      <c r="A2195" s="105" t="str">
        <f>IF(D2195=1,COUNTIF($D$10:D2195,1)," ")</f>
        <v xml:space="preserve"> </v>
      </c>
      <c r="B2195" s="106">
        <f>COPY!AR2187</f>
        <v>0</v>
      </c>
      <c r="C2195" s="107">
        <f>COPY!AC2187</f>
        <v>0</v>
      </c>
      <c r="D2195" s="107" t="str">
        <f>IF(LEN(Table1722[[#This Row],[Uraian]])&gt;2,1," ")</f>
        <v xml:space="preserve"> </v>
      </c>
      <c r="E2195" s="113" t="str">
        <f>IF(Table1722[[#This Row],[Lawan Transaksi]]="CV AGUNG KARYA",COUNTIF($I$10:I2195,"CV AGUNG KARYA")," ")</f>
        <v xml:space="preserve"> </v>
      </c>
      <c r="F2195" s="107" t="str">
        <f>IF(LEN(Table1722[[#This Row],[Uraian]])&gt;2,TRIM(RIGHT(SUBSTITUTE(TRIM(C2195)," ",REPT(" ",255)),255))," ")</f>
        <v xml:space="preserve"> </v>
      </c>
      <c r="G2195" s="110">
        <f>COPY!Z2187</f>
        <v>0</v>
      </c>
      <c r="H2195" s="111" t="str">
        <f>IFERROR(VLOOKUP(Table1722[[#This Row],[Bukti]],'Un nOTA'!$A$4:$K$5003,10,FALSE),"")</f>
        <v/>
      </c>
      <c r="I2195" s="112" t="str">
        <f>IFERROR(VLOOKUP(Table1722[[#This Row],[Bukti]],Table13[#Data],11,FALSE),"")</f>
        <v/>
      </c>
    </row>
    <row r="2196" spans="1:9" ht="19.5" hidden="1" customHeight="1" x14ac:dyDescent="0.2">
      <c r="A2196" s="105" t="str">
        <f>IF(D2196=1,COUNTIF($D$10:D2196,1)," ")</f>
        <v xml:space="preserve"> </v>
      </c>
      <c r="B2196" s="106">
        <f>COPY!AR2188</f>
        <v>0</v>
      </c>
      <c r="C2196" s="107">
        <f>COPY!AC2188</f>
        <v>0</v>
      </c>
      <c r="D2196" s="107" t="str">
        <f>IF(LEN(Table1722[[#This Row],[Uraian]])&gt;2,1," ")</f>
        <v xml:space="preserve"> </v>
      </c>
      <c r="E2196" s="113" t="str">
        <f>IF(Table1722[[#This Row],[Lawan Transaksi]]="CV AGUNG KARYA",COUNTIF($I$10:I2196,"CV AGUNG KARYA")," ")</f>
        <v xml:space="preserve"> </v>
      </c>
      <c r="F2196" s="107" t="str">
        <f>IF(LEN(Table1722[[#This Row],[Uraian]])&gt;2,TRIM(RIGHT(SUBSTITUTE(TRIM(C2196)," ",REPT(" ",255)),255))," ")</f>
        <v xml:space="preserve"> </v>
      </c>
      <c r="G2196" s="110">
        <f>COPY!Z2188</f>
        <v>0</v>
      </c>
      <c r="H2196" s="111" t="str">
        <f>IFERROR(VLOOKUP(Table1722[[#This Row],[Bukti]],'Un nOTA'!$A$4:$K$5003,10,FALSE),"")</f>
        <v/>
      </c>
      <c r="I2196" s="112" t="str">
        <f>IFERROR(VLOOKUP(Table1722[[#This Row],[Bukti]],Table13[#Data],11,FALSE),"")</f>
        <v/>
      </c>
    </row>
    <row r="2197" spans="1:9" ht="19.5" hidden="1" customHeight="1" x14ac:dyDescent="0.2">
      <c r="A2197" s="105" t="str">
        <f>IF(D2197=1,COUNTIF($D$10:D2197,1)," ")</f>
        <v xml:space="preserve"> </v>
      </c>
      <c r="B2197" s="106">
        <f>COPY!AR2189</f>
        <v>0</v>
      </c>
      <c r="C2197" s="107">
        <f>COPY!AC2189</f>
        <v>0</v>
      </c>
      <c r="D2197" s="107" t="str">
        <f>IF(LEN(Table1722[[#This Row],[Uraian]])&gt;2,1," ")</f>
        <v xml:space="preserve"> </v>
      </c>
      <c r="E2197" s="113" t="str">
        <f>IF(Table1722[[#This Row],[Lawan Transaksi]]="CV AGUNG KARYA",COUNTIF($I$10:I2197,"CV AGUNG KARYA")," ")</f>
        <v xml:space="preserve"> </v>
      </c>
      <c r="F2197" s="107" t="str">
        <f>IF(LEN(Table1722[[#This Row],[Uraian]])&gt;2,TRIM(RIGHT(SUBSTITUTE(TRIM(C2197)," ",REPT(" ",255)),255))," ")</f>
        <v xml:space="preserve"> </v>
      </c>
      <c r="G2197" s="110">
        <f>COPY!Z2189</f>
        <v>0</v>
      </c>
      <c r="H2197" s="111" t="str">
        <f>IFERROR(VLOOKUP(Table1722[[#This Row],[Bukti]],'Un nOTA'!$A$4:$K$5003,10,FALSE),"")</f>
        <v/>
      </c>
      <c r="I2197" s="112" t="str">
        <f>IFERROR(VLOOKUP(Table1722[[#This Row],[Bukti]],Table13[#Data],11,FALSE),"")</f>
        <v/>
      </c>
    </row>
    <row r="2198" spans="1:9" ht="19.5" hidden="1" customHeight="1" x14ac:dyDescent="0.2">
      <c r="A2198" s="105" t="str">
        <f>IF(D2198=1,COUNTIF($D$10:D2198,1)," ")</f>
        <v xml:space="preserve"> </v>
      </c>
      <c r="B2198" s="106">
        <f>COPY!AR2190</f>
        <v>0</v>
      </c>
      <c r="C2198" s="107">
        <f>COPY!AC2190</f>
        <v>0</v>
      </c>
      <c r="D2198" s="107" t="str">
        <f>IF(LEN(Table1722[[#This Row],[Uraian]])&gt;2,1," ")</f>
        <v xml:space="preserve"> </v>
      </c>
      <c r="E2198" s="113" t="str">
        <f>IF(Table1722[[#This Row],[Lawan Transaksi]]="CV AGUNG KARYA",COUNTIF($I$10:I2198,"CV AGUNG KARYA")," ")</f>
        <v xml:space="preserve"> </v>
      </c>
      <c r="F2198" s="107" t="str">
        <f>IF(LEN(Table1722[[#This Row],[Uraian]])&gt;2,TRIM(RIGHT(SUBSTITUTE(TRIM(C2198)," ",REPT(" ",255)),255))," ")</f>
        <v xml:space="preserve"> </v>
      </c>
      <c r="G2198" s="110">
        <f>COPY!Z2190</f>
        <v>0</v>
      </c>
      <c r="H2198" s="111" t="str">
        <f>IFERROR(VLOOKUP(Table1722[[#This Row],[Bukti]],'Un nOTA'!$A$4:$K$5003,10,FALSE),"")</f>
        <v/>
      </c>
      <c r="I2198" s="112" t="str">
        <f>IFERROR(VLOOKUP(Table1722[[#This Row],[Bukti]],Table13[#Data],11,FALSE),"")</f>
        <v/>
      </c>
    </row>
    <row r="2199" spans="1:9" ht="19.5" hidden="1" customHeight="1" x14ac:dyDescent="0.2">
      <c r="A2199" s="105" t="str">
        <f>IF(D2199=1,COUNTIF($D$10:D2199,1)," ")</f>
        <v xml:space="preserve"> </v>
      </c>
      <c r="B2199" s="106">
        <f>COPY!AR2191</f>
        <v>0</v>
      </c>
      <c r="C2199" s="107">
        <f>COPY!AC2191</f>
        <v>0</v>
      </c>
      <c r="D2199" s="107" t="str">
        <f>IF(LEN(Table1722[[#This Row],[Uraian]])&gt;2,1," ")</f>
        <v xml:space="preserve"> </v>
      </c>
      <c r="E2199" s="113" t="str">
        <f>IF(Table1722[[#This Row],[Lawan Transaksi]]="CV AGUNG KARYA",COUNTIF($I$10:I2199,"CV AGUNG KARYA")," ")</f>
        <v xml:space="preserve"> </v>
      </c>
      <c r="F2199" s="107" t="str">
        <f>IF(LEN(Table1722[[#This Row],[Uraian]])&gt;2,TRIM(RIGHT(SUBSTITUTE(TRIM(C2199)," ",REPT(" ",255)),255))," ")</f>
        <v xml:space="preserve"> </v>
      </c>
      <c r="G2199" s="110">
        <f>COPY!Z2191</f>
        <v>0</v>
      </c>
      <c r="H2199" s="111" t="str">
        <f>IFERROR(VLOOKUP(Table1722[[#This Row],[Bukti]],'Un nOTA'!$A$4:$K$5003,10,FALSE),"")</f>
        <v/>
      </c>
      <c r="I2199" s="112" t="str">
        <f>IFERROR(VLOOKUP(Table1722[[#This Row],[Bukti]],Table13[#Data],11,FALSE),"")</f>
        <v/>
      </c>
    </row>
    <row r="2200" spans="1:9" ht="19.5" hidden="1" customHeight="1" x14ac:dyDescent="0.2">
      <c r="A2200" s="105" t="str">
        <f>IF(D2200=1,COUNTIF($D$10:D2200,1)," ")</f>
        <v xml:space="preserve"> </v>
      </c>
      <c r="B2200" s="106">
        <f>COPY!AR2192</f>
        <v>0</v>
      </c>
      <c r="C2200" s="107">
        <f>COPY!AC2192</f>
        <v>0</v>
      </c>
      <c r="D2200" s="107" t="str">
        <f>IF(LEN(Table1722[[#This Row],[Uraian]])&gt;2,1," ")</f>
        <v xml:space="preserve"> </v>
      </c>
      <c r="E2200" s="113" t="str">
        <f>IF(Table1722[[#This Row],[Lawan Transaksi]]="CV AGUNG KARYA",COUNTIF($I$10:I2200,"CV AGUNG KARYA")," ")</f>
        <v xml:space="preserve"> </v>
      </c>
      <c r="F2200" s="107" t="str">
        <f>IF(LEN(Table1722[[#This Row],[Uraian]])&gt;2,TRIM(RIGHT(SUBSTITUTE(TRIM(C2200)," ",REPT(" ",255)),255))," ")</f>
        <v xml:space="preserve"> </v>
      </c>
      <c r="G2200" s="110">
        <f>COPY!Z2192</f>
        <v>0</v>
      </c>
      <c r="H2200" s="111" t="str">
        <f>IFERROR(VLOOKUP(Table1722[[#This Row],[Bukti]],'Un nOTA'!$A$4:$K$5003,10,FALSE),"")</f>
        <v/>
      </c>
      <c r="I2200" s="112" t="str">
        <f>IFERROR(VLOOKUP(Table1722[[#This Row],[Bukti]],Table13[#Data],11,FALSE),"")</f>
        <v/>
      </c>
    </row>
    <row r="2201" spans="1:9" ht="19.5" hidden="1" customHeight="1" x14ac:dyDescent="0.2">
      <c r="A2201" s="105" t="str">
        <f>IF(D2201=1,COUNTIF($D$10:D2201,1)," ")</f>
        <v xml:space="preserve"> </v>
      </c>
      <c r="B2201" s="106">
        <f>COPY!AR2193</f>
        <v>0</v>
      </c>
      <c r="C2201" s="107">
        <f>COPY!AC2193</f>
        <v>0</v>
      </c>
      <c r="D2201" s="107" t="str">
        <f>IF(LEN(Table1722[[#This Row],[Uraian]])&gt;2,1," ")</f>
        <v xml:space="preserve"> </v>
      </c>
      <c r="E2201" s="113" t="str">
        <f>IF(Table1722[[#This Row],[Lawan Transaksi]]="CV AGUNG KARYA",COUNTIF($I$10:I2201,"CV AGUNG KARYA")," ")</f>
        <v xml:space="preserve"> </v>
      </c>
      <c r="F2201" s="107" t="str">
        <f>IF(LEN(Table1722[[#This Row],[Uraian]])&gt;2,TRIM(RIGHT(SUBSTITUTE(TRIM(C2201)," ",REPT(" ",255)),255))," ")</f>
        <v xml:space="preserve"> </v>
      </c>
      <c r="G2201" s="110">
        <f>COPY!Z2193</f>
        <v>0</v>
      </c>
      <c r="H2201" s="111" t="str">
        <f>IFERROR(VLOOKUP(Table1722[[#This Row],[Bukti]],'Un nOTA'!$A$4:$K$5003,10,FALSE),"")</f>
        <v/>
      </c>
      <c r="I2201" s="112" t="str">
        <f>IFERROR(VLOOKUP(Table1722[[#This Row],[Bukti]],Table13[#Data],11,FALSE),"")</f>
        <v/>
      </c>
    </row>
    <row r="2202" spans="1:9" ht="19.5" hidden="1" customHeight="1" x14ac:dyDescent="0.2">
      <c r="A2202" s="105" t="str">
        <f>IF(D2202=1,COUNTIF($D$10:D2202,1)," ")</f>
        <v xml:space="preserve"> </v>
      </c>
      <c r="B2202" s="106">
        <f>COPY!AR2194</f>
        <v>0</v>
      </c>
      <c r="C2202" s="107">
        <f>COPY!AC2194</f>
        <v>0</v>
      </c>
      <c r="D2202" s="107" t="str">
        <f>IF(LEN(Table1722[[#This Row],[Uraian]])&gt;2,1," ")</f>
        <v xml:space="preserve"> </v>
      </c>
      <c r="E2202" s="113" t="str">
        <f>IF(Table1722[[#This Row],[Lawan Transaksi]]="CV AGUNG KARYA",COUNTIF($I$10:I2202,"CV AGUNG KARYA")," ")</f>
        <v xml:space="preserve"> </v>
      </c>
      <c r="F2202" s="107" t="str">
        <f>IF(LEN(Table1722[[#This Row],[Uraian]])&gt;2,TRIM(RIGHT(SUBSTITUTE(TRIM(C2202)," ",REPT(" ",255)),255))," ")</f>
        <v xml:space="preserve"> </v>
      </c>
      <c r="G2202" s="110">
        <f>COPY!Z2194</f>
        <v>0</v>
      </c>
      <c r="H2202" s="111" t="str">
        <f>IFERROR(VLOOKUP(Table1722[[#This Row],[Bukti]],'Un nOTA'!$A$4:$K$5003,10,FALSE),"")</f>
        <v/>
      </c>
      <c r="I2202" s="112" t="str">
        <f>IFERROR(VLOOKUP(Table1722[[#This Row],[Bukti]],Table13[#Data],11,FALSE),"")</f>
        <v/>
      </c>
    </row>
    <row r="2203" spans="1:9" ht="19.5" hidden="1" customHeight="1" x14ac:dyDescent="0.2">
      <c r="A2203" s="105" t="str">
        <f>IF(D2203=1,COUNTIF($D$10:D2203,1)," ")</f>
        <v xml:space="preserve"> </v>
      </c>
      <c r="B2203" s="106">
        <f>COPY!AR2195</f>
        <v>0</v>
      </c>
      <c r="C2203" s="107">
        <f>COPY!AC2195</f>
        <v>0</v>
      </c>
      <c r="D2203" s="107" t="str">
        <f>IF(LEN(Table1722[[#This Row],[Uraian]])&gt;2,1," ")</f>
        <v xml:space="preserve"> </v>
      </c>
      <c r="E2203" s="113" t="str">
        <f>IF(Table1722[[#This Row],[Lawan Transaksi]]="CV AGUNG KARYA",COUNTIF($I$10:I2203,"CV AGUNG KARYA")," ")</f>
        <v xml:space="preserve"> </v>
      </c>
      <c r="F2203" s="107" t="str">
        <f>IF(LEN(Table1722[[#This Row],[Uraian]])&gt;2,TRIM(RIGHT(SUBSTITUTE(TRIM(C2203)," ",REPT(" ",255)),255))," ")</f>
        <v xml:space="preserve"> </v>
      </c>
      <c r="G2203" s="110">
        <f>COPY!Z2195</f>
        <v>0</v>
      </c>
      <c r="H2203" s="111" t="str">
        <f>IFERROR(VLOOKUP(Table1722[[#This Row],[Bukti]],'Un nOTA'!$A$4:$K$5003,10,FALSE),"")</f>
        <v/>
      </c>
      <c r="I2203" s="112" t="str">
        <f>IFERROR(VLOOKUP(Table1722[[#This Row],[Bukti]],Table13[#Data],11,FALSE),"")</f>
        <v/>
      </c>
    </row>
    <row r="2204" spans="1:9" ht="19.5" hidden="1" customHeight="1" x14ac:dyDescent="0.2">
      <c r="A2204" s="105" t="str">
        <f>IF(D2204=1,COUNTIF($D$10:D2204,1)," ")</f>
        <v xml:space="preserve"> </v>
      </c>
      <c r="B2204" s="106">
        <f>COPY!AR2196</f>
        <v>0</v>
      </c>
      <c r="C2204" s="107">
        <f>COPY!AC2196</f>
        <v>0</v>
      </c>
      <c r="D2204" s="107" t="str">
        <f>IF(LEN(Table1722[[#This Row],[Uraian]])&gt;2,1," ")</f>
        <v xml:space="preserve"> </v>
      </c>
      <c r="E2204" s="113" t="str">
        <f>IF(Table1722[[#This Row],[Lawan Transaksi]]="CV AGUNG KARYA",COUNTIF($I$10:I2204,"CV AGUNG KARYA")," ")</f>
        <v xml:space="preserve"> </v>
      </c>
      <c r="F2204" s="107" t="str">
        <f>IF(LEN(Table1722[[#This Row],[Uraian]])&gt;2,TRIM(RIGHT(SUBSTITUTE(TRIM(C2204)," ",REPT(" ",255)),255))," ")</f>
        <v xml:space="preserve"> </v>
      </c>
      <c r="G2204" s="110">
        <f>COPY!Z2196</f>
        <v>0</v>
      </c>
      <c r="H2204" s="111" t="str">
        <f>IFERROR(VLOOKUP(Table1722[[#This Row],[Bukti]],'Un nOTA'!$A$4:$K$5003,10,FALSE),"")</f>
        <v/>
      </c>
      <c r="I2204" s="112" t="str">
        <f>IFERROR(VLOOKUP(Table1722[[#This Row],[Bukti]],Table13[#Data],11,FALSE),"")</f>
        <v/>
      </c>
    </row>
    <row r="2205" spans="1:9" ht="19.5" hidden="1" customHeight="1" x14ac:dyDescent="0.2">
      <c r="A2205" s="105" t="str">
        <f>IF(D2205=1,COUNTIF($D$10:D2205,1)," ")</f>
        <v xml:space="preserve"> </v>
      </c>
      <c r="B2205" s="106">
        <f>COPY!AR2197</f>
        <v>0</v>
      </c>
      <c r="C2205" s="107">
        <f>COPY!AC2197</f>
        <v>0</v>
      </c>
      <c r="D2205" s="107" t="str">
        <f>IF(LEN(Table1722[[#This Row],[Uraian]])&gt;2,1," ")</f>
        <v xml:space="preserve"> </v>
      </c>
      <c r="E2205" s="113" t="str">
        <f>IF(Table1722[[#This Row],[Lawan Transaksi]]="CV AGUNG KARYA",COUNTIF($I$10:I2205,"CV AGUNG KARYA")," ")</f>
        <v xml:space="preserve"> </v>
      </c>
      <c r="F2205" s="107" t="str">
        <f>IF(LEN(Table1722[[#This Row],[Uraian]])&gt;2,TRIM(RIGHT(SUBSTITUTE(TRIM(C2205)," ",REPT(" ",255)),255))," ")</f>
        <v xml:space="preserve"> </v>
      </c>
      <c r="G2205" s="110">
        <f>COPY!Z2197</f>
        <v>0</v>
      </c>
      <c r="H2205" s="111" t="str">
        <f>IFERROR(VLOOKUP(Table1722[[#This Row],[Bukti]],'Un nOTA'!$A$4:$K$5003,10,FALSE),"")</f>
        <v/>
      </c>
      <c r="I2205" s="112" t="str">
        <f>IFERROR(VLOOKUP(Table1722[[#This Row],[Bukti]],Table13[#Data],11,FALSE),"")</f>
        <v/>
      </c>
    </row>
    <row r="2206" spans="1:9" ht="19.5" hidden="1" customHeight="1" x14ac:dyDescent="0.2">
      <c r="A2206" s="105" t="str">
        <f>IF(D2206=1,COUNTIF($D$10:D2206,1)," ")</f>
        <v xml:space="preserve"> </v>
      </c>
      <c r="B2206" s="106">
        <f>COPY!AR2198</f>
        <v>0</v>
      </c>
      <c r="C2206" s="107">
        <f>COPY!AC2198</f>
        <v>0</v>
      </c>
      <c r="D2206" s="107" t="str">
        <f>IF(LEN(Table1722[[#This Row],[Uraian]])&gt;2,1," ")</f>
        <v xml:space="preserve"> </v>
      </c>
      <c r="E2206" s="113" t="str">
        <f>IF(Table1722[[#This Row],[Lawan Transaksi]]="CV AGUNG KARYA",COUNTIF($I$10:I2206,"CV AGUNG KARYA")," ")</f>
        <v xml:space="preserve"> </v>
      </c>
      <c r="F2206" s="107" t="str">
        <f>IF(LEN(Table1722[[#This Row],[Uraian]])&gt;2,TRIM(RIGHT(SUBSTITUTE(TRIM(C2206)," ",REPT(" ",255)),255))," ")</f>
        <v xml:space="preserve"> </v>
      </c>
      <c r="G2206" s="110">
        <f>COPY!Z2198</f>
        <v>0</v>
      </c>
      <c r="H2206" s="111" t="str">
        <f>IFERROR(VLOOKUP(Table1722[[#This Row],[Bukti]],'Un nOTA'!$A$4:$K$5003,10,FALSE),"")</f>
        <v/>
      </c>
      <c r="I2206" s="112" t="str">
        <f>IFERROR(VLOOKUP(Table1722[[#This Row],[Bukti]],Table13[#Data],11,FALSE),"")</f>
        <v/>
      </c>
    </row>
    <row r="2207" spans="1:9" ht="19.5" hidden="1" customHeight="1" x14ac:dyDescent="0.2">
      <c r="A2207" s="105" t="str">
        <f>IF(D2207=1,COUNTIF($D$10:D2207,1)," ")</f>
        <v xml:space="preserve"> </v>
      </c>
      <c r="B2207" s="106">
        <f>COPY!AR2199</f>
        <v>0</v>
      </c>
      <c r="C2207" s="107">
        <f>COPY!AC2199</f>
        <v>0</v>
      </c>
      <c r="D2207" s="107" t="str">
        <f>IF(LEN(Table1722[[#This Row],[Uraian]])&gt;2,1," ")</f>
        <v xml:space="preserve"> </v>
      </c>
      <c r="E2207" s="113" t="str">
        <f>IF(Table1722[[#This Row],[Lawan Transaksi]]="CV AGUNG KARYA",COUNTIF($I$10:I2207,"CV AGUNG KARYA")," ")</f>
        <v xml:space="preserve"> </v>
      </c>
      <c r="F2207" s="107" t="str">
        <f>IF(LEN(Table1722[[#This Row],[Uraian]])&gt;2,TRIM(RIGHT(SUBSTITUTE(TRIM(C2207)," ",REPT(" ",255)),255))," ")</f>
        <v xml:space="preserve"> </v>
      </c>
      <c r="G2207" s="110">
        <f>COPY!Z2199</f>
        <v>0</v>
      </c>
      <c r="H2207" s="111" t="str">
        <f>IFERROR(VLOOKUP(Table1722[[#This Row],[Bukti]],'Un nOTA'!$A$4:$K$5003,10,FALSE),"")</f>
        <v/>
      </c>
      <c r="I2207" s="112" t="str">
        <f>IFERROR(VLOOKUP(Table1722[[#This Row],[Bukti]],Table13[#Data],11,FALSE),"")</f>
        <v/>
      </c>
    </row>
    <row r="2208" spans="1:9" ht="19.5" hidden="1" customHeight="1" x14ac:dyDescent="0.2">
      <c r="A2208" s="105" t="str">
        <f>IF(D2208=1,COUNTIF($D$10:D2208,1)," ")</f>
        <v xml:space="preserve"> </v>
      </c>
      <c r="B2208" s="106">
        <f>COPY!AR2200</f>
        <v>0</v>
      </c>
      <c r="C2208" s="107">
        <f>COPY!AC2200</f>
        <v>0</v>
      </c>
      <c r="D2208" s="107" t="str">
        <f>IF(LEN(Table1722[[#This Row],[Uraian]])&gt;2,1," ")</f>
        <v xml:space="preserve"> </v>
      </c>
      <c r="E2208" s="113" t="str">
        <f>IF(Table1722[[#This Row],[Lawan Transaksi]]="CV AGUNG KARYA",COUNTIF($I$10:I2208,"CV AGUNG KARYA")," ")</f>
        <v xml:space="preserve"> </v>
      </c>
      <c r="F2208" s="107" t="str">
        <f>IF(LEN(Table1722[[#This Row],[Uraian]])&gt;2,TRIM(RIGHT(SUBSTITUTE(TRIM(C2208)," ",REPT(" ",255)),255))," ")</f>
        <v xml:space="preserve"> </v>
      </c>
      <c r="G2208" s="110">
        <f>COPY!Z2200</f>
        <v>0</v>
      </c>
      <c r="H2208" s="111" t="str">
        <f>IFERROR(VLOOKUP(Table1722[[#This Row],[Bukti]],'Un nOTA'!$A$4:$K$5003,10,FALSE),"")</f>
        <v/>
      </c>
      <c r="I2208" s="112" t="str">
        <f>IFERROR(VLOOKUP(Table1722[[#This Row],[Bukti]],Table13[#Data],11,FALSE),"")</f>
        <v/>
      </c>
    </row>
    <row r="2209" spans="1:9" ht="19.5" hidden="1" customHeight="1" x14ac:dyDescent="0.2">
      <c r="A2209" s="105" t="str">
        <f>IF(D2209=1,COUNTIF($D$10:D2209,1)," ")</f>
        <v xml:space="preserve"> </v>
      </c>
      <c r="B2209" s="106">
        <f>COPY!AR2201</f>
        <v>0</v>
      </c>
      <c r="C2209" s="107">
        <f>COPY!AC2201</f>
        <v>0</v>
      </c>
      <c r="D2209" s="107" t="str">
        <f>IF(LEN(Table1722[[#This Row],[Uraian]])&gt;2,1," ")</f>
        <v xml:space="preserve"> </v>
      </c>
      <c r="E2209" s="113" t="str">
        <f>IF(Table1722[[#This Row],[Lawan Transaksi]]="CV AGUNG KARYA",COUNTIF($I$10:I2209,"CV AGUNG KARYA")," ")</f>
        <v xml:space="preserve"> </v>
      </c>
      <c r="F2209" s="107" t="str">
        <f>IF(LEN(Table1722[[#This Row],[Uraian]])&gt;2,TRIM(RIGHT(SUBSTITUTE(TRIM(C2209)," ",REPT(" ",255)),255))," ")</f>
        <v xml:space="preserve"> </v>
      </c>
      <c r="G2209" s="110">
        <f>COPY!Z2201</f>
        <v>0</v>
      </c>
      <c r="H2209" s="111" t="str">
        <f>IFERROR(VLOOKUP(Table1722[[#This Row],[Bukti]],'Un nOTA'!$A$4:$K$5003,10,FALSE),"")</f>
        <v/>
      </c>
      <c r="I2209" s="112" t="str">
        <f>IFERROR(VLOOKUP(Table1722[[#This Row],[Bukti]],Table13[#Data],11,FALSE),"")</f>
        <v/>
      </c>
    </row>
    <row r="2210" spans="1:9" ht="19.5" hidden="1" customHeight="1" x14ac:dyDescent="0.2">
      <c r="A2210" s="105" t="str">
        <f>IF(D2210=1,COUNTIF($D$10:D2210,1)," ")</f>
        <v xml:space="preserve"> </v>
      </c>
      <c r="B2210" s="106">
        <f>COPY!AR2202</f>
        <v>0</v>
      </c>
      <c r="C2210" s="107">
        <f>COPY!AC2202</f>
        <v>0</v>
      </c>
      <c r="D2210" s="107" t="str">
        <f>IF(LEN(Table1722[[#This Row],[Uraian]])&gt;2,1," ")</f>
        <v xml:space="preserve"> </v>
      </c>
      <c r="E2210" s="113" t="str">
        <f>IF(Table1722[[#This Row],[Lawan Transaksi]]="CV AGUNG KARYA",COUNTIF($I$10:I2210,"CV AGUNG KARYA")," ")</f>
        <v xml:space="preserve"> </v>
      </c>
      <c r="F2210" s="107" t="str">
        <f>IF(LEN(Table1722[[#This Row],[Uraian]])&gt;2,TRIM(RIGHT(SUBSTITUTE(TRIM(C2210)," ",REPT(" ",255)),255))," ")</f>
        <v xml:space="preserve"> </v>
      </c>
      <c r="G2210" s="110">
        <f>COPY!Z2202</f>
        <v>0</v>
      </c>
      <c r="H2210" s="111" t="str">
        <f>IFERROR(VLOOKUP(Table1722[[#This Row],[Bukti]],'Un nOTA'!$A$4:$K$5003,10,FALSE),"")</f>
        <v/>
      </c>
      <c r="I2210" s="112" t="str">
        <f>IFERROR(VLOOKUP(Table1722[[#This Row],[Bukti]],Table13[#Data],11,FALSE),"")</f>
        <v/>
      </c>
    </row>
    <row r="2211" spans="1:9" ht="19.5" hidden="1" customHeight="1" x14ac:dyDescent="0.2">
      <c r="A2211" s="105" t="str">
        <f>IF(D2211=1,COUNTIF($D$10:D2211,1)," ")</f>
        <v xml:space="preserve"> </v>
      </c>
      <c r="B2211" s="106">
        <f>COPY!AR2203</f>
        <v>0</v>
      </c>
      <c r="C2211" s="107">
        <f>COPY!AC2203</f>
        <v>0</v>
      </c>
      <c r="D2211" s="107" t="str">
        <f>IF(LEN(Table1722[[#This Row],[Uraian]])&gt;2,1," ")</f>
        <v xml:space="preserve"> </v>
      </c>
      <c r="E2211" s="113" t="str">
        <f>IF(Table1722[[#This Row],[Lawan Transaksi]]="CV AGUNG KARYA",COUNTIF($I$10:I2211,"CV AGUNG KARYA")," ")</f>
        <v xml:space="preserve"> </v>
      </c>
      <c r="F2211" s="107" t="str">
        <f>IF(LEN(Table1722[[#This Row],[Uraian]])&gt;2,TRIM(RIGHT(SUBSTITUTE(TRIM(C2211)," ",REPT(" ",255)),255))," ")</f>
        <v xml:space="preserve"> </v>
      </c>
      <c r="G2211" s="110">
        <f>COPY!Z2203</f>
        <v>0</v>
      </c>
      <c r="H2211" s="111" t="str">
        <f>IFERROR(VLOOKUP(Table1722[[#This Row],[Bukti]],'Un nOTA'!$A$4:$K$5003,10,FALSE),"")</f>
        <v/>
      </c>
      <c r="I2211" s="112" t="str">
        <f>IFERROR(VLOOKUP(Table1722[[#This Row],[Bukti]],Table13[#Data],11,FALSE),"")</f>
        <v/>
      </c>
    </row>
    <row r="2212" spans="1:9" ht="19.5" hidden="1" customHeight="1" x14ac:dyDescent="0.2">
      <c r="A2212" s="105" t="str">
        <f>IF(D2212=1,COUNTIF($D$10:D2212,1)," ")</f>
        <v xml:space="preserve"> </v>
      </c>
      <c r="B2212" s="106">
        <f>COPY!AR2204</f>
        <v>0</v>
      </c>
      <c r="C2212" s="107">
        <f>COPY!AC2204</f>
        <v>0</v>
      </c>
      <c r="D2212" s="107" t="str">
        <f>IF(LEN(Table1722[[#This Row],[Uraian]])&gt;2,1," ")</f>
        <v xml:space="preserve"> </v>
      </c>
      <c r="E2212" s="113" t="str">
        <f>IF(Table1722[[#This Row],[Lawan Transaksi]]="CV AGUNG KARYA",COUNTIF($I$10:I2212,"CV AGUNG KARYA")," ")</f>
        <v xml:space="preserve"> </v>
      </c>
      <c r="F2212" s="107" t="str">
        <f>IF(LEN(Table1722[[#This Row],[Uraian]])&gt;2,TRIM(RIGHT(SUBSTITUTE(TRIM(C2212)," ",REPT(" ",255)),255))," ")</f>
        <v xml:space="preserve"> </v>
      </c>
      <c r="G2212" s="110">
        <f>COPY!Z2204</f>
        <v>0</v>
      </c>
      <c r="H2212" s="111" t="str">
        <f>IFERROR(VLOOKUP(Table1722[[#This Row],[Bukti]],'Un nOTA'!$A$4:$K$5003,10,FALSE),"")</f>
        <v/>
      </c>
      <c r="I2212" s="112" t="str">
        <f>IFERROR(VLOOKUP(Table1722[[#This Row],[Bukti]],Table13[#Data],11,FALSE),"")</f>
        <v/>
      </c>
    </row>
    <row r="2213" spans="1:9" ht="19.5" hidden="1" customHeight="1" x14ac:dyDescent="0.2">
      <c r="A2213" s="105" t="str">
        <f>IF(D2213=1,COUNTIF($D$10:D2213,1)," ")</f>
        <v xml:space="preserve"> </v>
      </c>
      <c r="B2213" s="106">
        <f>COPY!AR2205</f>
        <v>0</v>
      </c>
      <c r="C2213" s="107">
        <f>COPY!AC2205</f>
        <v>0</v>
      </c>
      <c r="D2213" s="107" t="str">
        <f>IF(LEN(Table1722[[#This Row],[Uraian]])&gt;2,1," ")</f>
        <v xml:space="preserve"> </v>
      </c>
      <c r="E2213" s="113" t="str">
        <f>IF(Table1722[[#This Row],[Lawan Transaksi]]="CV AGUNG KARYA",COUNTIF($I$10:I2213,"CV AGUNG KARYA")," ")</f>
        <v xml:space="preserve"> </v>
      </c>
      <c r="F2213" s="107" t="str">
        <f>IF(LEN(Table1722[[#This Row],[Uraian]])&gt;2,TRIM(RIGHT(SUBSTITUTE(TRIM(C2213)," ",REPT(" ",255)),255))," ")</f>
        <v xml:space="preserve"> </v>
      </c>
      <c r="G2213" s="110">
        <f>COPY!Z2205</f>
        <v>0</v>
      </c>
      <c r="H2213" s="111" t="str">
        <f>IFERROR(VLOOKUP(Table1722[[#This Row],[Bukti]],'Un nOTA'!$A$4:$K$5003,10,FALSE),"")</f>
        <v/>
      </c>
      <c r="I2213" s="112" t="str">
        <f>IFERROR(VLOOKUP(Table1722[[#This Row],[Bukti]],Table13[#Data],11,FALSE),"")</f>
        <v/>
      </c>
    </row>
    <row r="2214" spans="1:9" ht="19.5" hidden="1" customHeight="1" x14ac:dyDescent="0.2">
      <c r="A2214" s="105" t="str">
        <f>IF(D2214=1,COUNTIF($D$10:D2214,1)," ")</f>
        <v xml:space="preserve"> </v>
      </c>
      <c r="B2214" s="106">
        <f>COPY!AR2206</f>
        <v>0</v>
      </c>
      <c r="C2214" s="107">
        <f>COPY!AC2206</f>
        <v>0</v>
      </c>
      <c r="D2214" s="107" t="str">
        <f>IF(LEN(Table1722[[#This Row],[Uraian]])&gt;2,1," ")</f>
        <v xml:space="preserve"> </v>
      </c>
      <c r="E2214" s="113" t="str">
        <f>IF(Table1722[[#This Row],[Lawan Transaksi]]="CV AGUNG KARYA",COUNTIF($I$10:I2214,"CV AGUNG KARYA")," ")</f>
        <v xml:space="preserve"> </v>
      </c>
      <c r="F2214" s="107" t="str">
        <f>IF(LEN(Table1722[[#This Row],[Uraian]])&gt;2,TRIM(RIGHT(SUBSTITUTE(TRIM(C2214)," ",REPT(" ",255)),255))," ")</f>
        <v xml:space="preserve"> </v>
      </c>
      <c r="G2214" s="110">
        <f>COPY!Z2206</f>
        <v>0</v>
      </c>
      <c r="H2214" s="111" t="str">
        <f>IFERROR(VLOOKUP(Table1722[[#This Row],[Bukti]],'Un nOTA'!$A$4:$K$5003,10,FALSE),"")</f>
        <v/>
      </c>
      <c r="I2214" s="112" t="str">
        <f>IFERROR(VLOOKUP(Table1722[[#This Row],[Bukti]],Table13[#Data],11,FALSE),"")</f>
        <v/>
      </c>
    </row>
    <row r="2215" spans="1:9" ht="19.5" hidden="1" customHeight="1" x14ac:dyDescent="0.2">
      <c r="A2215" s="105" t="str">
        <f>IF(D2215=1,COUNTIF($D$10:D2215,1)," ")</f>
        <v xml:space="preserve"> </v>
      </c>
      <c r="B2215" s="106">
        <f>COPY!AR2207</f>
        <v>0</v>
      </c>
      <c r="C2215" s="107">
        <f>COPY!AC2207</f>
        <v>0</v>
      </c>
      <c r="D2215" s="107" t="str">
        <f>IF(LEN(Table1722[[#This Row],[Uraian]])&gt;2,1," ")</f>
        <v xml:space="preserve"> </v>
      </c>
      <c r="E2215" s="113" t="str">
        <f>IF(Table1722[[#This Row],[Lawan Transaksi]]="CV AGUNG KARYA",COUNTIF($I$10:I2215,"CV AGUNG KARYA")," ")</f>
        <v xml:space="preserve"> </v>
      </c>
      <c r="F2215" s="107" t="str">
        <f>IF(LEN(Table1722[[#This Row],[Uraian]])&gt;2,TRIM(RIGHT(SUBSTITUTE(TRIM(C2215)," ",REPT(" ",255)),255))," ")</f>
        <v xml:space="preserve"> </v>
      </c>
      <c r="G2215" s="110">
        <f>COPY!Z2207</f>
        <v>0</v>
      </c>
      <c r="H2215" s="111" t="str">
        <f>IFERROR(VLOOKUP(Table1722[[#This Row],[Bukti]],'Un nOTA'!$A$4:$K$5003,10,FALSE),"")</f>
        <v/>
      </c>
      <c r="I2215" s="112" t="str">
        <f>IFERROR(VLOOKUP(Table1722[[#This Row],[Bukti]],Table13[#Data],11,FALSE),"")</f>
        <v/>
      </c>
    </row>
    <row r="2216" spans="1:9" ht="19.5" hidden="1" customHeight="1" x14ac:dyDescent="0.2">
      <c r="A2216" s="105" t="str">
        <f>IF(D2216=1,COUNTIF($D$10:D2216,1)," ")</f>
        <v xml:space="preserve"> </v>
      </c>
      <c r="B2216" s="106">
        <f>COPY!AR2208</f>
        <v>0</v>
      </c>
      <c r="C2216" s="107">
        <f>COPY!AC2208</f>
        <v>0</v>
      </c>
      <c r="D2216" s="107" t="str">
        <f>IF(LEN(Table1722[[#This Row],[Uraian]])&gt;2,1," ")</f>
        <v xml:space="preserve"> </v>
      </c>
      <c r="E2216" s="113" t="str">
        <f>IF(Table1722[[#This Row],[Lawan Transaksi]]="CV AGUNG KARYA",COUNTIF($I$10:I2216,"CV AGUNG KARYA")," ")</f>
        <v xml:space="preserve"> </v>
      </c>
      <c r="F2216" s="107" t="str">
        <f>IF(LEN(Table1722[[#This Row],[Uraian]])&gt;2,TRIM(RIGHT(SUBSTITUTE(TRIM(C2216)," ",REPT(" ",255)),255))," ")</f>
        <v xml:space="preserve"> </v>
      </c>
      <c r="G2216" s="110">
        <f>COPY!Z2208</f>
        <v>0</v>
      </c>
      <c r="H2216" s="111" t="str">
        <f>IFERROR(VLOOKUP(Table1722[[#This Row],[Bukti]],'Un nOTA'!$A$4:$K$5003,10,FALSE),"")</f>
        <v/>
      </c>
      <c r="I2216" s="112" t="str">
        <f>IFERROR(VLOOKUP(Table1722[[#This Row],[Bukti]],Table13[#Data],11,FALSE),"")</f>
        <v/>
      </c>
    </row>
    <row r="2217" spans="1:9" ht="19.5" hidden="1" customHeight="1" x14ac:dyDescent="0.2">
      <c r="A2217" s="105" t="str">
        <f>IF(D2217=1,COUNTIF($D$10:D2217,1)," ")</f>
        <v xml:space="preserve"> </v>
      </c>
      <c r="B2217" s="106">
        <f>COPY!AR2209</f>
        <v>0</v>
      </c>
      <c r="C2217" s="107">
        <f>COPY!AC2209</f>
        <v>0</v>
      </c>
      <c r="D2217" s="107" t="str">
        <f>IF(LEN(Table1722[[#This Row],[Uraian]])&gt;2,1," ")</f>
        <v xml:space="preserve"> </v>
      </c>
      <c r="E2217" s="113" t="str">
        <f>IF(Table1722[[#This Row],[Lawan Transaksi]]="CV AGUNG KARYA",COUNTIF($I$10:I2217,"CV AGUNG KARYA")," ")</f>
        <v xml:space="preserve"> </v>
      </c>
      <c r="F2217" s="107" t="str">
        <f>IF(LEN(Table1722[[#This Row],[Uraian]])&gt;2,TRIM(RIGHT(SUBSTITUTE(TRIM(C2217)," ",REPT(" ",255)),255))," ")</f>
        <v xml:space="preserve"> </v>
      </c>
      <c r="G2217" s="110">
        <f>COPY!Z2209</f>
        <v>0</v>
      </c>
      <c r="H2217" s="111" t="str">
        <f>IFERROR(VLOOKUP(Table1722[[#This Row],[Bukti]],'Un nOTA'!$A$4:$K$5003,10,FALSE),"")</f>
        <v/>
      </c>
      <c r="I2217" s="112" t="str">
        <f>IFERROR(VLOOKUP(Table1722[[#This Row],[Bukti]],Table13[#Data],11,FALSE),"")</f>
        <v/>
      </c>
    </row>
    <row r="2218" spans="1:9" ht="19.5" hidden="1" customHeight="1" x14ac:dyDescent="0.2">
      <c r="A2218" s="105" t="str">
        <f>IF(D2218=1,COUNTIF($D$10:D2218,1)," ")</f>
        <v xml:space="preserve"> </v>
      </c>
      <c r="B2218" s="106">
        <f>COPY!AR2210</f>
        <v>0</v>
      </c>
      <c r="C2218" s="107">
        <f>COPY!AC2210</f>
        <v>0</v>
      </c>
      <c r="D2218" s="107" t="str">
        <f>IF(LEN(Table1722[[#This Row],[Uraian]])&gt;2,1," ")</f>
        <v xml:space="preserve"> </v>
      </c>
      <c r="E2218" s="113" t="str">
        <f>IF(Table1722[[#This Row],[Lawan Transaksi]]="CV AGUNG KARYA",COUNTIF($I$10:I2218,"CV AGUNG KARYA")," ")</f>
        <v xml:space="preserve"> </v>
      </c>
      <c r="F2218" s="107" t="str">
        <f>IF(LEN(Table1722[[#This Row],[Uraian]])&gt;2,TRIM(RIGHT(SUBSTITUTE(TRIM(C2218)," ",REPT(" ",255)),255))," ")</f>
        <v xml:space="preserve"> </v>
      </c>
      <c r="G2218" s="110">
        <f>COPY!Z2210</f>
        <v>0</v>
      </c>
      <c r="H2218" s="111" t="str">
        <f>IFERROR(VLOOKUP(Table1722[[#This Row],[Bukti]],'Un nOTA'!$A$4:$K$5003,10,FALSE),"")</f>
        <v/>
      </c>
      <c r="I2218" s="112" t="str">
        <f>IFERROR(VLOOKUP(Table1722[[#This Row],[Bukti]],Table13[#Data],11,FALSE),"")</f>
        <v/>
      </c>
    </row>
    <row r="2219" spans="1:9" ht="19.5" hidden="1" customHeight="1" x14ac:dyDescent="0.2">
      <c r="A2219" s="105" t="str">
        <f>IF(D2219=1,COUNTIF($D$10:D2219,1)," ")</f>
        <v xml:space="preserve"> </v>
      </c>
      <c r="B2219" s="106">
        <f>COPY!AR2211</f>
        <v>0</v>
      </c>
      <c r="C2219" s="107">
        <f>COPY!AC2211</f>
        <v>0</v>
      </c>
      <c r="D2219" s="107" t="str">
        <f>IF(LEN(Table1722[[#This Row],[Uraian]])&gt;2,1," ")</f>
        <v xml:space="preserve"> </v>
      </c>
      <c r="E2219" s="113" t="str">
        <f>IF(Table1722[[#This Row],[Lawan Transaksi]]="CV AGUNG KARYA",COUNTIF($I$10:I2219,"CV AGUNG KARYA")," ")</f>
        <v xml:space="preserve"> </v>
      </c>
      <c r="F2219" s="107" t="str">
        <f>IF(LEN(Table1722[[#This Row],[Uraian]])&gt;2,TRIM(RIGHT(SUBSTITUTE(TRIM(C2219)," ",REPT(" ",255)),255))," ")</f>
        <v xml:space="preserve"> </v>
      </c>
      <c r="G2219" s="110">
        <f>COPY!Z2211</f>
        <v>0</v>
      </c>
      <c r="H2219" s="111" t="str">
        <f>IFERROR(VLOOKUP(Table1722[[#This Row],[Bukti]],'Un nOTA'!$A$4:$K$5003,10,FALSE),"")</f>
        <v/>
      </c>
      <c r="I2219" s="112" t="str">
        <f>IFERROR(VLOOKUP(Table1722[[#This Row],[Bukti]],Table13[#Data],11,FALSE),"")</f>
        <v/>
      </c>
    </row>
    <row r="2220" spans="1:9" ht="19.5" hidden="1" customHeight="1" x14ac:dyDescent="0.2">
      <c r="A2220" s="105" t="str">
        <f>IF(D2220=1,COUNTIF($D$10:D2220,1)," ")</f>
        <v xml:space="preserve"> </v>
      </c>
      <c r="B2220" s="106">
        <f>COPY!AR2212</f>
        <v>0</v>
      </c>
      <c r="C2220" s="107">
        <f>COPY!AC2212</f>
        <v>0</v>
      </c>
      <c r="D2220" s="107" t="str">
        <f>IF(LEN(Table1722[[#This Row],[Uraian]])&gt;2,1," ")</f>
        <v xml:space="preserve"> </v>
      </c>
      <c r="E2220" s="113" t="str">
        <f>IF(Table1722[[#This Row],[Lawan Transaksi]]="CV AGUNG KARYA",COUNTIF($I$10:I2220,"CV AGUNG KARYA")," ")</f>
        <v xml:space="preserve"> </v>
      </c>
      <c r="F2220" s="107" t="str">
        <f>IF(LEN(Table1722[[#This Row],[Uraian]])&gt;2,TRIM(RIGHT(SUBSTITUTE(TRIM(C2220)," ",REPT(" ",255)),255))," ")</f>
        <v xml:space="preserve"> </v>
      </c>
      <c r="G2220" s="110">
        <f>COPY!Z2212</f>
        <v>0</v>
      </c>
      <c r="H2220" s="111" t="str">
        <f>IFERROR(VLOOKUP(Table1722[[#This Row],[Bukti]],'Un nOTA'!$A$4:$K$5003,10,FALSE),"")</f>
        <v/>
      </c>
      <c r="I2220" s="112" t="str">
        <f>IFERROR(VLOOKUP(Table1722[[#This Row],[Bukti]],Table13[#Data],11,FALSE),"")</f>
        <v/>
      </c>
    </row>
    <row r="2221" spans="1:9" ht="19.5" hidden="1" customHeight="1" x14ac:dyDescent="0.2">
      <c r="A2221" s="105" t="str">
        <f>IF(D2221=1,COUNTIF($D$10:D2221,1)," ")</f>
        <v xml:space="preserve"> </v>
      </c>
      <c r="B2221" s="106">
        <f>COPY!AR2213</f>
        <v>0</v>
      </c>
      <c r="C2221" s="107">
        <f>COPY!AC2213</f>
        <v>0</v>
      </c>
      <c r="D2221" s="107" t="str">
        <f>IF(LEN(Table1722[[#This Row],[Uraian]])&gt;2,1," ")</f>
        <v xml:space="preserve"> </v>
      </c>
      <c r="E2221" s="113" t="str">
        <f>IF(Table1722[[#This Row],[Lawan Transaksi]]="CV AGUNG KARYA",COUNTIF($I$10:I2221,"CV AGUNG KARYA")," ")</f>
        <v xml:space="preserve"> </v>
      </c>
      <c r="F2221" s="107" t="str">
        <f>IF(LEN(Table1722[[#This Row],[Uraian]])&gt;2,TRIM(RIGHT(SUBSTITUTE(TRIM(C2221)," ",REPT(" ",255)),255))," ")</f>
        <v xml:space="preserve"> </v>
      </c>
      <c r="G2221" s="110">
        <f>COPY!Z2213</f>
        <v>0</v>
      </c>
      <c r="H2221" s="111" t="str">
        <f>IFERROR(VLOOKUP(Table1722[[#This Row],[Bukti]],'Un nOTA'!$A$4:$K$5003,10,FALSE),"")</f>
        <v/>
      </c>
      <c r="I2221" s="112" t="str">
        <f>IFERROR(VLOOKUP(Table1722[[#This Row],[Bukti]],Table13[#Data],11,FALSE),"")</f>
        <v/>
      </c>
    </row>
    <row r="2222" spans="1:9" ht="19.5" hidden="1" customHeight="1" x14ac:dyDescent="0.2">
      <c r="A2222" s="105" t="str">
        <f>IF(D2222=1,COUNTIF($D$10:D2222,1)," ")</f>
        <v xml:space="preserve"> </v>
      </c>
      <c r="B2222" s="106">
        <f>COPY!AR2214</f>
        <v>0</v>
      </c>
      <c r="C2222" s="107">
        <f>COPY!AC2214</f>
        <v>0</v>
      </c>
      <c r="D2222" s="107" t="str">
        <f>IF(LEN(Table1722[[#This Row],[Uraian]])&gt;2,1," ")</f>
        <v xml:space="preserve"> </v>
      </c>
      <c r="E2222" s="113" t="str">
        <f>IF(Table1722[[#This Row],[Lawan Transaksi]]="CV AGUNG KARYA",COUNTIF($I$10:I2222,"CV AGUNG KARYA")," ")</f>
        <v xml:space="preserve"> </v>
      </c>
      <c r="F2222" s="107" t="str">
        <f>IF(LEN(Table1722[[#This Row],[Uraian]])&gt;2,TRIM(RIGHT(SUBSTITUTE(TRIM(C2222)," ",REPT(" ",255)),255))," ")</f>
        <v xml:space="preserve"> </v>
      </c>
      <c r="G2222" s="110">
        <f>COPY!Z2214</f>
        <v>0</v>
      </c>
      <c r="H2222" s="111" t="str">
        <f>IFERROR(VLOOKUP(Table1722[[#This Row],[Bukti]],'Un nOTA'!$A$4:$K$5003,10,FALSE),"")</f>
        <v/>
      </c>
      <c r="I2222" s="112" t="str">
        <f>IFERROR(VLOOKUP(Table1722[[#This Row],[Bukti]],Table13[#Data],11,FALSE),"")</f>
        <v/>
      </c>
    </row>
    <row r="2223" spans="1:9" ht="19.5" hidden="1" customHeight="1" x14ac:dyDescent="0.2">
      <c r="A2223" s="105" t="str">
        <f>IF(D2223=1,COUNTIF($D$10:D2223,1)," ")</f>
        <v xml:space="preserve"> </v>
      </c>
      <c r="B2223" s="106">
        <f>COPY!AR2215</f>
        <v>0</v>
      </c>
      <c r="C2223" s="107">
        <f>COPY!AC2215</f>
        <v>0</v>
      </c>
      <c r="D2223" s="107" t="str">
        <f>IF(LEN(Table1722[[#This Row],[Uraian]])&gt;2,1," ")</f>
        <v xml:space="preserve"> </v>
      </c>
      <c r="E2223" s="113" t="str">
        <f>IF(Table1722[[#This Row],[Lawan Transaksi]]="CV AGUNG KARYA",COUNTIF($I$10:I2223,"CV AGUNG KARYA")," ")</f>
        <v xml:space="preserve"> </v>
      </c>
      <c r="F2223" s="107" t="str">
        <f>IF(LEN(Table1722[[#This Row],[Uraian]])&gt;2,TRIM(RIGHT(SUBSTITUTE(TRIM(C2223)," ",REPT(" ",255)),255))," ")</f>
        <v xml:space="preserve"> </v>
      </c>
      <c r="G2223" s="110">
        <f>COPY!Z2215</f>
        <v>0</v>
      </c>
      <c r="H2223" s="111" t="str">
        <f>IFERROR(VLOOKUP(Table1722[[#This Row],[Bukti]],'Un nOTA'!$A$4:$K$5003,10,FALSE),"")</f>
        <v/>
      </c>
      <c r="I2223" s="112" t="str">
        <f>IFERROR(VLOOKUP(Table1722[[#This Row],[Bukti]],Table13[#Data],11,FALSE),"")</f>
        <v/>
      </c>
    </row>
    <row r="2224" spans="1:9" ht="19.5" hidden="1" customHeight="1" x14ac:dyDescent="0.2">
      <c r="A2224" s="105" t="str">
        <f>IF(D2224=1,COUNTIF($D$10:D2224,1)," ")</f>
        <v xml:space="preserve"> </v>
      </c>
      <c r="B2224" s="106">
        <f>COPY!AR2216</f>
        <v>0</v>
      </c>
      <c r="C2224" s="107">
        <f>COPY!AC2216</f>
        <v>0</v>
      </c>
      <c r="D2224" s="107" t="str">
        <f>IF(LEN(Table1722[[#This Row],[Uraian]])&gt;2,1," ")</f>
        <v xml:space="preserve"> </v>
      </c>
      <c r="E2224" s="113" t="str">
        <f>IF(Table1722[[#This Row],[Lawan Transaksi]]="CV AGUNG KARYA",COUNTIF($I$10:I2224,"CV AGUNG KARYA")," ")</f>
        <v xml:space="preserve"> </v>
      </c>
      <c r="F2224" s="107" t="str">
        <f>IF(LEN(Table1722[[#This Row],[Uraian]])&gt;2,TRIM(RIGHT(SUBSTITUTE(TRIM(C2224)," ",REPT(" ",255)),255))," ")</f>
        <v xml:space="preserve"> </v>
      </c>
      <c r="G2224" s="110">
        <f>COPY!Z2216</f>
        <v>0</v>
      </c>
      <c r="H2224" s="111" t="str">
        <f>IFERROR(VLOOKUP(Table1722[[#This Row],[Bukti]],'Un nOTA'!$A$4:$K$5003,10,FALSE),"")</f>
        <v/>
      </c>
      <c r="I2224" s="112" t="str">
        <f>IFERROR(VLOOKUP(Table1722[[#This Row],[Bukti]],Table13[#Data],11,FALSE),"")</f>
        <v/>
      </c>
    </row>
    <row r="2225" spans="1:9" ht="19.5" hidden="1" customHeight="1" x14ac:dyDescent="0.2">
      <c r="A2225" s="105" t="str">
        <f>IF(D2225=1,COUNTIF($D$10:D2225,1)," ")</f>
        <v xml:space="preserve"> </v>
      </c>
      <c r="B2225" s="106">
        <f>COPY!AR2217</f>
        <v>0</v>
      </c>
      <c r="C2225" s="107">
        <f>COPY!AC2217</f>
        <v>0</v>
      </c>
      <c r="D2225" s="107" t="str">
        <f>IF(LEN(Table1722[[#This Row],[Uraian]])&gt;2,1," ")</f>
        <v xml:space="preserve"> </v>
      </c>
      <c r="E2225" s="113" t="str">
        <f>IF(Table1722[[#This Row],[Lawan Transaksi]]="CV AGUNG KARYA",COUNTIF($I$10:I2225,"CV AGUNG KARYA")," ")</f>
        <v xml:space="preserve"> </v>
      </c>
      <c r="F2225" s="107" t="str">
        <f>IF(LEN(Table1722[[#This Row],[Uraian]])&gt;2,TRIM(RIGHT(SUBSTITUTE(TRIM(C2225)," ",REPT(" ",255)),255))," ")</f>
        <v xml:space="preserve"> </v>
      </c>
      <c r="G2225" s="110">
        <f>COPY!Z2217</f>
        <v>0</v>
      </c>
      <c r="H2225" s="111" t="str">
        <f>IFERROR(VLOOKUP(Table1722[[#This Row],[Bukti]],'Un nOTA'!$A$4:$K$5003,10,FALSE),"")</f>
        <v/>
      </c>
      <c r="I2225" s="112" t="str">
        <f>IFERROR(VLOOKUP(Table1722[[#This Row],[Bukti]],Table13[#Data],11,FALSE),"")</f>
        <v/>
      </c>
    </row>
    <row r="2226" spans="1:9" ht="19.5" hidden="1" customHeight="1" x14ac:dyDescent="0.2">
      <c r="A2226" s="105" t="str">
        <f>IF(D2226=1,COUNTIF($D$10:D2226,1)," ")</f>
        <v xml:space="preserve"> </v>
      </c>
      <c r="B2226" s="106">
        <f>COPY!AR2218</f>
        <v>0</v>
      </c>
      <c r="C2226" s="107">
        <f>COPY!AC2218</f>
        <v>0</v>
      </c>
      <c r="D2226" s="107" t="str">
        <f>IF(LEN(Table1722[[#This Row],[Uraian]])&gt;2,1," ")</f>
        <v xml:space="preserve"> </v>
      </c>
      <c r="E2226" s="113" t="str">
        <f>IF(Table1722[[#This Row],[Lawan Transaksi]]="CV AGUNG KARYA",COUNTIF($I$10:I2226,"CV AGUNG KARYA")," ")</f>
        <v xml:space="preserve"> </v>
      </c>
      <c r="F2226" s="107" t="str">
        <f>IF(LEN(Table1722[[#This Row],[Uraian]])&gt;2,TRIM(RIGHT(SUBSTITUTE(TRIM(C2226)," ",REPT(" ",255)),255))," ")</f>
        <v xml:space="preserve"> </v>
      </c>
      <c r="G2226" s="110">
        <f>COPY!Z2218</f>
        <v>0</v>
      </c>
      <c r="H2226" s="111" t="str">
        <f>IFERROR(VLOOKUP(Table1722[[#This Row],[Bukti]],'Un nOTA'!$A$4:$K$5003,10,FALSE),"")</f>
        <v/>
      </c>
      <c r="I2226" s="112" t="str">
        <f>IFERROR(VLOOKUP(Table1722[[#This Row],[Bukti]],Table13[#Data],11,FALSE),"")</f>
        <v/>
      </c>
    </row>
    <row r="2227" spans="1:9" ht="19.5" hidden="1" customHeight="1" x14ac:dyDescent="0.2">
      <c r="A2227" s="105" t="str">
        <f>IF(D2227=1,COUNTIF($D$10:D2227,1)," ")</f>
        <v xml:space="preserve"> </v>
      </c>
      <c r="B2227" s="106">
        <f>COPY!AR2219</f>
        <v>0</v>
      </c>
      <c r="C2227" s="107">
        <f>COPY!AC2219</f>
        <v>0</v>
      </c>
      <c r="D2227" s="107" t="str">
        <f>IF(LEN(Table1722[[#This Row],[Uraian]])&gt;2,1," ")</f>
        <v xml:space="preserve"> </v>
      </c>
      <c r="E2227" s="113" t="str">
        <f>IF(Table1722[[#This Row],[Lawan Transaksi]]="CV AGUNG KARYA",COUNTIF($I$10:I2227,"CV AGUNG KARYA")," ")</f>
        <v xml:space="preserve"> </v>
      </c>
      <c r="F2227" s="107" t="str">
        <f>IF(LEN(Table1722[[#This Row],[Uraian]])&gt;2,TRIM(RIGHT(SUBSTITUTE(TRIM(C2227)," ",REPT(" ",255)),255))," ")</f>
        <v xml:space="preserve"> </v>
      </c>
      <c r="G2227" s="110">
        <f>COPY!Z2219</f>
        <v>0</v>
      </c>
      <c r="H2227" s="111" t="str">
        <f>IFERROR(VLOOKUP(Table1722[[#This Row],[Bukti]],'Un nOTA'!$A$4:$K$5003,10,FALSE),"")</f>
        <v/>
      </c>
      <c r="I2227" s="112" t="str">
        <f>IFERROR(VLOOKUP(Table1722[[#This Row],[Bukti]],Table13[#Data],11,FALSE),"")</f>
        <v/>
      </c>
    </row>
    <row r="2228" spans="1:9" ht="19.5" hidden="1" customHeight="1" x14ac:dyDescent="0.2">
      <c r="A2228" s="105" t="str">
        <f>IF(D2228=1,COUNTIF($D$10:D2228,1)," ")</f>
        <v xml:space="preserve"> </v>
      </c>
      <c r="B2228" s="106">
        <f>COPY!AR2220</f>
        <v>0</v>
      </c>
      <c r="C2228" s="107">
        <f>COPY!AC2220</f>
        <v>0</v>
      </c>
      <c r="D2228" s="107" t="str">
        <f>IF(LEN(Table1722[[#This Row],[Uraian]])&gt;2,1," ")</f>
        <v xml:space="preserve"> </v>
      </c>
      <c r="E2228" s="113" t="str">
        <f>IF(Table1722[[#This Row],[Lawan Transaksi]]="CV AGUNG KARYA",COUNTIF($I$10:I2228,"CV AGUNG KARYA")," ")</f>
        <v xml:space="preserve"> </v>
      </c>
      <c r="F2228" s="107" t="str">
        <f>IF(LEN(Table1722[[#This Row],[Uraian]])&gt;2,TRIM(RIGHT(SUBSTITUTE(TRIM(C2228)," ",REPT(" ",255)),255))," ")</f>
        <v xml:space="preserve"> </v>
      </c>
      <c r="G2228" s="110">
        <f>COPY!Z2220</f>
        <v>0</v>
      </c>
      <c r="H2228" s="111" t="str">
        <f>IFERROR(VLOOKUP(Table1722[[#This Row],[Bukti]],'Un nOTA'!$A$4:$K$5003,10,FALSE),"")</f>
        <v/>
      </c>
      <c r="I2228" s="112" t="str">
        <f>IFERROR(VLOOKUP(Table1722[[#This Row],[Bukti]],Table13[#Data],11,FALSE),"")</f>
        <v/>
      </c>
    </row>
    <row r="2229" spans="1:9" ht="19.5" hidden="1" customHeight="1" x14ac:dyDescent="0.2">
      <c r="A2229" s="105" t="str">
        <f>IF(D2229=1,COUNTIF($D$10:D2229,1)," ")</f>
        <v xml:space="preserve"> </v>
      </c>
      <c r="B2229" s="106">
        <f>COPY!AR2221</f>
        <v>0</v>
      </c>
      <c r="C2229" s="107">
        <f>COPY!AC2221</f>
        <v>0</v>
      </c>
      <c r="D2229" s="107" t="str">
        <f>IF(LEN(Table1722[[#This Row],[Uraian]])&gt;2,1," ")</f>
        <v xml:space="preserve"> </v>
      </c>
      <c r="E2229" s="113" t="str">
        <f>IF(Table1722[[#This Row],[Lawan Transaksi]]="CV AGUNG KARYA",COUNTIF($I$10:I2229,"CV AGUNG KARYA")," ")</f>
        <v xml:space="preserve"> </v>
      </c>
      <c r="F2229" s="107" t="str">
        <f>IF(LEN(Table1722[[#This Row],[Uraian]])&gt;2,TRIM(RIGHT(SUBSTITUTE(TRIM(C2229)," ",REPT(" ",255)),255))," ")</f>
        <v xml:space="preserve"> </v>
      </c>
      <c r="G2229" s="110">
        <f>COPY!Z2221</f>
        <v>0</v>
      </c>
      <c r="H2229" s="111" t="str">
        <f>IFERROR(VLOOKUP(Table1722[[#This Row],[Bukti]],'Un nOTA'!$A$4:$K$5003,10,FALSE),"")</f>
        <v/>
      </c>
      <c r="I2229" s="112" t="str">
        <f>IFERROR(VLOOKUP(Table1722[[#This Row],[Bukti]],Table13[#Data],11,FALSE),"")</f>
        <v/>
      </c>
    </row>
    <row r="2230" spans="1:9" ht="19.5" hidden="1" customHeight="1" x14ac:dyDescent="0.2">
      <c r="A2230" s="105" t="str">
        <f>IF(D2230=1,COUNTIF($D$10:D2230,1)," ")</f>
        <v xml:space="preserve"> </v>
      </c>
      <c r="B2230" s="106">
        <f>COPY!AR2222</f>
        <v>0</v>
      </c>
      <c r="C2230" s="107">
        <f>COPY!AC2222</f>
        <v>0</v>
      </c>
      <c r="D2230" s="107" t="str">
        <f>IF(LEN(Table1722[[#This Row],[Uraian]])&gt;2,1," ")</f>
        <v xml:space="preserve"> </v>
      </c>
      <c r="E2230" s="113" t="str">
        <f>IF(Table1722[[#This Row],[Lawan Transaksi]]="CV AGUNG KARYA",COUNTIF($I$10:I2230,"CV AGUNG KARYA")," ")</f>
        <v xml:space="preserve"> </v>
      </c>
      <c r="F2230" s="107" t="str">
        <f>IF(LEN(Table1722[[#This Row],[Uraian]])&gt;2,TRIM(RIGHT(SUBSTITUTE(TRIM(C2230)," ",REPT(" ",255)),255))," ")</f>
        <v xml:space="preserve"> </v>
      </c>
      <c r="G2230" s="110">
        <f>COPY!Z2222</f>
        <v>0</v>
      </c>
      <c r="H2230" s="111" t="str">
        <f>IFERROR(VLOOKUP(Table1722[[#This Row],[Bukti]],'Un nOTA'!$A$4:$K$5003,10,FALSE),"")</f>
        <v/>
      </c>
      <c r="I2230" s="112" t="str">
        <f>IFERROR(VLOOKUP(Table1722[[#This Row],[Bukti]],Table13[#Data],11,FALSE),"")</f>
        <v/>
      </c>
    </row>
    <row r="2231" spans="1:9" ht="19.5" hidden="1" customHeight="1" x14ac:dyDescent="0.2">
      <c r="A2231" s="105" t="str">
        <f>IF(D2231=1,COUNTIF($D$10:D2231,1)," ")</f>
        <v xml:space="preserve"> </v>
      </c>
      <c r="B2231" s="106">
        <f>COPY!AR2223</f>
        <v>0</v>
      </c>
      <c r="C2231" s="107">
        <f>COPY!AC2223</f>
        <v>0</v>
      </c>
      <c r="D2231" s="107" t="str">
        <f>IF(LEN(Table1722[[#This Row],[Uraian]])&gt;2,1," ")</f>
        <v xml:space="preserve"> </v>
      </c>
      <c r="E2231" s="113" t="str">
        <f>IF(Table1722[[#This Row],[Lawan Transaksi]]="CV AGUNG KARYA",COUNTIF($I$10:I2231,"CV AGUNG KARYA")," ")</f>
        <v xml:space="preserve"> </v>
      </c>
      <c r="F2231" s="107" t="str">
        <f>IF(LEN(Table1722[[#This Row],[Uraian]])&gt;2,TRIM(RIGHT(SUBSTITUTE(TRIM(C2231)," ",REPT(" ",255)),255))," ")</f>
        <v xml:space="preserve"> </v>
      </c>
      <c r="G2231" s="110">
        <f>COPY!Z2223</f>
        <v>0</v>
      </c>
      <c r="H2231" s="111" t="str">
        <f>IFERROR(VLOOKUP(Table1722[[#This Row],[Bukti]],'Un nOTA'!$A$4:$K$5003,10,FALSE),"")</f>
        <v/>
      </c>
      <c r="I2231" s="112" t="str">
        <f>IFERROR(VLOOKUP(Table1722[[#This Row],[Bukti]],Table13[#Data],11,FALSE),"")</f>
        <v/>
      </c>
    </row>
    <row r="2232" spans="1:9" ht="19.5" hidden="1" customHeight="1" x14ac:dyDescent="0.2">
      <c r="A2232" s="105" t="str">
        <f>IF(D2232=1,COUNTIF($D$10:D2232,1)," ")</f>
        <v xml:space="preserve"> </v>
      </c>
      <c r="B2232" s="106">
        <f>COPY!AR2224</f>
        <v>0</v>
      </c>
      <c r="C2232" s="107">
        <f>COPY!AC2224</f>
        <v>0</v>
      </c>
      <c r="D2232" s="107" t="str">
        <f>IF(LEN(Table1722[[#This Row],[Uraian]])&gt;2,1," ")</f>
        <v xml:space="preserve"> </v>
      </c>
      <c r="E2232" s="113" t="str">
        <f>IF(Table1722[[#This Row],[Lawan Transaksi]]="CV AGUNG KARYA",COUNTIF($I$10:I2232,"CV AGUNG KARYA")," ")</f>
        <v xml:space="preserve"> </v>
      </c>
      <c r="F2232" s="107" t="str">
        <f>IF(LEN(Table1722[[#This Row],[Uraian]])&gt;2,TRIM(RIGHT(SUBSTITUTE(TRIM(C2232)," ",REPT(" ",255)),255))," ")</f>
        <v xml:space="preserve"> </v>
      </c>
      <c r="G2232" s="110">
        <f>COPY!Z2224</f>
        <v>0</v>
      </c>
      <c r="H2232" s="111" t="str">
        <f>IFERROR(VLOOKUP(Table1722[[#This Row],[Bukti]],'Un nOTA'!$A$4:$K$5003,10,FALSE),"")</f>
        <v/>
      </c>
      <c r="I2232" s="112" t="str">
        <f>IFERROR(VLOOKUP(Table1722[[#This Row],[Bukti]],Table13[#Data],11,FALSE),"")</f>
        <v/>
      </c>
    </row>
    <row r="2233" spans="1:9" ht="19.5" hidden="1" customHeight="1" x14ac:dyDescent="0.2">
      <c r="A2233" s="105" t="str">
        <f>IF(D2233=1,COUNTIF($D$10:D2233,1)," ")</f>
        <v xml:space="preserve"> </v>
      </c>
      <c r="B2233" s="106">
        <f>COPY!AR2225</f>
        <v>0</v>
      </c>
      <c r="C2233" s="107">
        <f>COPY!AC2225</f>
        <v>0</v>
      </c>
      <c r="D2233" s="107" t="str">
        <f>IF(LEN(Table1722[[#This Row],[Uraian]])&gt;2,1," ")</f>
        <v xml:space="preserve"> </v>
      </c>
      <c r="E2233" s="113" t="str">
        <f>IF(Table1722[[#This Row],[Lawan Transaksi]]="CV AGUNG KARYA",COUNTIF($I$10:I2233,"CV AGUNG KARYA")," ")</f>
        <v xml:space="preserve"> </v>
      </c>
      <c r="F2233" s="107" t="str">
        <f>IF(LEN(Table1722[[#This Row],[Uraian]])&gt;2,TRIM(RIGHT(SUBSTITUTE(TRIM(C2233)," ",REPT(" ",255)),255))," ")</f>
        <v xml:space="preserve"> </v>
      </c>
      <c r="G2233" s="110">
        <f>COPY!Z2225</f>
        <v>0</v>
      </c>
      <c r="H2233" s="111" t="str">
        <f>IFERROR(VLOOKUP(Table1722[[#This Row],[Bukti]],'Un nOTA'!$A$4:$K$5003,10,FALSE),"")</f>
        <v/>
      </c>
      <c r="I2233" s="112" t="str">
        <f>IFERROR(VLOOKUP(Table1722[[#This Row],[Bukti]],Table13[#Data],11,FALSE),"")</f>
        <v/>
      </c>
    </row>
    <row r="2234" spans="1:9" ht="19.5" hidden="1" customHeight="1" x14ac:dyDescent="0.2">
      <c r="A2234" s="105" t="str">
        <f>IF(D2234=1,COUNTIF($D$10:D2234,1)," ")</f>
        <v xml:space="preserve"> </v>
      </c>
      <c r="B2234" s="106">
        <f>COPY!AR2226</f>
        <v>0</v>
      </c>
      <c r="C2234" s="107">
        <f>COPY!AC2226</f>
        <v>0</v>
      </c>
      <c r="D2234" s="107" t="str">
        <f>IF(LEN(Table1722[[#This Row],[Uraian]])&gt;2,1," ")</f>
        <v xml:space="preserve"> </v>
      </c>
      <c r="E2234" s="113" t="str">
        <f>IF(Table1722[[#This Row],[Lawan Transaksi]]="CV AGUNG KARYA",COUNTIF($I$10:I2234,"CV AGUNG KARYA")," ")</f>
        <v xml:space="preserve"> </v>
      </c>
      <c r="F2234" s="107" t="str">
        <f>IF(LEN(Table1722[[#This Row],[Uraian]])&gt;2,TRIM(RIGHT(SUBSTITUTE(TRIM(C2234)," ",REPT(" ",255)),255))," ")</f>
        <v xml:space="preserve"> </v>
      </c>
      <c r="G2234" s="110">
        <f>COPY!Z2226</f>
        <v>0</v>
      </c>
      <c r="H2234" s="111" t="str">
        <f>IFERROR(VLOOKUP(Table1722[[#This Row],[Bukti]],'Un nOTA'!$A$4:$K$5003,10,FALSE),"")</f>
        <v/>
      </c>
      <c r="I2234" s="112" t="str">
        <f>IFERROR(VLOOKUP(Table1722[[#This Row],[Bukti]],Table13[#Data],11,FALSE),"")</f>
        <v/>
      </c>
    </row>
    <row r="2235" spans="1:9" ht="19.5" hidden="1" customHeight="1" x14ac:dyDescent="0.2">
      <c r="A2235" s="105" t="str">
        <f>IF(D2235=1,COUNTIF($D$10:D2235,1)," ")</f>
        <v xml:space="preserve"> </v>
      </c>
      <c r="B2235" s="106">
        <f>COPY!AR2227</f>
        <v>0</v>
      </c>
      <c r="C2235" s="107">
        <f>COPY!AC2227</f>
        <v>0</v>
      </c>
      <c r="D2235" s="107" t="str">
        <f>IF(LEN(Table1722[[#This Row],[Uraian]])&gt;2,1," ")</f>
        <v xml:space="preserve"> </v>
      </c>
      <c r="E2235" s="113" t="str">
        <f>IF(Table1722[[#This Row],[Lawan Transaksi]]="CV AGUNG KARYA",COUNTIF($I$10:I2235,"CV AGUNG KARYA")," ")</f>
        <v xml:space="preserve"> </v>
      </c>
      <c r="F2235" s="107" t="str">
        <f>IF(LEN(Table1722[[#This Row],[Uraian]])&gt;2,TRIM(RIGHT(SUBSTITUTE(TRIM(C2235)," ",REPT(" ",255)),255))," ")</f>
        <v xml:space="preserve"> </v>
      </c>
      <c r="G2235" s="110">
        <f>COPY!Z2227</f>
        <v>0</v>
      </c>
      <c r="H2235" s="111" t="str">
        <f>IFERROR(VLOOKUP(Table1722[[#This Row],[Bukti]],'Un nOTA'!$A$4:$K$5003,10,FALSE),"")</f>
        <v/>
      </c>
      <c r="I2235" s="112" t="str">
        <f>IFERROR(VLOOKUP(Table1722[[#This Row],[Bukti]],Table13[#Data],11,FALSE),"")</f>
        <v/>
      </c>
    </row>
    <row r="2236" spans="1:9" ht="19.5" hidden="1" customHeight="1" x14ac:dyDescent="0.2">
      <c r="A2236" s="105" t="str">
        <f>IF(D2236=1,COUNTIF($D$10:D2236,1)," ")</f>
        <v xml:space="preserve"> </v>
      </c>
      <c r="B2236" s="106">
        <f>COPY!AR2228</f>
        <v>0</v>
      </c>
      <c r="C2236" s="107">
        <f>COPY!AC2228</f>
        <v>0</v>
      </c>
      <c r="D2236" s="107" t="str">
        <f>IF(LEN(Table1722[[#This Row],[Uraian]])&gt;2,1," ")</f>
        <v xml:space="preserve"> </v>
      </c>
      <c r="E2236" s="113" t="str">
        <f>IF(Table1722[[#This Row],[Lawan Transaksi]]="CV AGUNG KARYA",COUNTIF($I$10:I2236,"CV AGUNG KARYA")," ")</f>
        <v xml:space="preserve"> </v>
      </c>
      <c r="F2236" s="107" t="str">
        <f>IF(LEN(Table1722[[#This Row],[Uraian]])&gt;2,TRIM(RIGHT(SUBSTITUTE(TRIM(C2236)," ",REPT(" ",255)),255))," ")</f>
        <v xml:space="preserve"> </v>
      </c>
      <c r="G2236" s="110">
        <f>COPY!Z2228</f>
        <v>0</v>
      </c>
      <c r="H2236" s="111" t="str">
        <f>IFERROR(VLOOKUP(Table1722[[#This Row],[Bukti]],'Un nOTA'!$A$4:$K$5003,10,FALSE),"")</f>
        <v/>
      </c>
      <c r="I2236" s="112" t="str">
        <f>IFERROR(VLOOKUP(Table1722[[#This Row],[Bukti]],Table13[#Data],11,FALSE),"")</f>
        <v/>
      </c>
    </row>
    <row r="2237" spans="1:9" ht="19.5" hidden="1" customHeight="1" x14ac:dyDescent="0.2">
      <c r="A2237" s="105" t="str">
        <f>IF(D2237=1,COUNTIF($D$10:D2237,1)," ")</f>
        <v xml:space="preserve"> </v>
      </c>
      <c r="B2237" s="106">
        <f>COPY!AR2229</f>
        <v>0</v>
      </c>
      <c r="C2237" s="107">
        <f>COPY!AC2229</f>
        <v>0</v>
      </c>
      <c r="D2237" s="107" t="str">
        <f>IF(LEN(Table1722[[#This Row],[Uraian]])&gt;2,1," ")</f>
        <v xml:space="preserve"> </v>
      </c>
      <c r="E2237" s="113" t="str">
        <f>IF(Table1722[[#This Row],[Lawan Transaksi]]="CV AGUNG KARYA",COUNTIF($I$10:I2237,"CV AGUNG KARYA")," ")</f>
        <v xml:space="preserve"> </v>
      </c>
      <c r="F2237" s="107" t="str">
        <f>IF(LEN(Table1722[[#This Row],[Uraian]])&gt;2,TRIM(RIGHT(SUBSTITUTE(TRIM(C2237)," ",REPT(" ",255)),255))," ")</f>
        <v xml:space="preserve"> </v>
      </c>
      <c r="G2237" s="110">
        <f>COPY!Z2229</f>
        <v>0</v>
      </c>
      <c r="H2237" s="111" t="str">
        <f>IFERROR(VLOOKUP(Table1722[[#This Row],[Bukti]],'Un nOTA'!$A$4:$K$5003,10,FALSE),"")</f>
        <v/>
      </c>
      <c r="I2237" s="112" t="str">
        <f>IFERROR(VLOOKUP(Table1722[[#This Row],[Bukti]],Table13[#Data],11,FALSE),"")</f>
        <v/>
      </c>
    </row>
    <row r="2238" spans="1:9" ht="19.5" hidden="1" customHeight="1" x14ac:dyDescent="0.2">
      <c r="A2238" s="105" t="str">
        <f>IF(D2238=1,COUNTIF($D$10:D2238,1)," ")</f>
        <v xml:space="preserve"> </v>
      </c>
      <c r="B2238" s="106">
        <f>COPY!AR2230</f>
        <v>0</v>
      </c>
      <c r="C2238" s="107">
        <f>COPY!AC2230</f>
        <v>0</v>
      </c>
      <c r="D2238" s="107" t="str">
        <f>IF(LEN(Table1722[[#This Row],[Uraian]])&gt;2,1," ")</f>
        <v xml:space="preserve"> </v>
      </c>
      <c r="E2238" s="113" t="str">
        <f>IF(Table1722[[#This Row],[Lawan Transaksi]]="CV AGUNG KARYA",COUNTIF($I$10:I2238,"CV AGUNG KARYA")," ")</f>
        <v xml:space="preserve"> </v>
      </c>
      <c r="F2238" s="107" t="str">
        <f>IF(LEN(Table1722[[#This Row],[Uraian]])&gt;2,TRIM(RIGHT(SUBSTITUTE(TRIM(C2238)," ",REPT(" ",255)),255))," ")</f>
        <v xml:space="preserve"> </v>
      </c>
      <c r="G2238" s="110">
        <f>COPY!Z2230</f>
        <v>0</v>
      </c>
      <c r="H2238" s="111" t="str">
        <f>IFERROR(VLOOKUP(Table1722[[#This Row],[Bukti]],'Un nOTA'!$A$4:$K$5003,10,FALSE),"")</f>
        <v/>
      </c>
      <c r="I2238" s="112" t="str">
        <f>IFERROR(VLOOKUP(Table1722[[#This Row],[Bukti]],Table13[#Data],11,FALSE),"")</f>
        <v/>
      </c>
    </row>
    <row r="2239" spans="1:9" ht="19.5" hidden="1" customHeight="1" x14ac:dyDescent="0.2">
      <c r="A2239" s="105" t="str">
        <f>IF(D2239=1,COUNTIF($D$10:D2239,1)," ")</f>
        <v xml:space="preserve"> </v>
      </c>
      <c r="B2239" s="106">
        <f>COPY!AR2231</f>
        <v>0</v>
      </c>
      <c r="C2239" s="107">
        <f>COPY!AC2231</f>
        <v>0</v>
      </c>
      <c r="D2239" s="107" t="str">
        <f>IF(LEN(Table1722[[#This Row],[Uraian]])&gt;2,1," ")</f>
        <v xml:space="preserve"> </v>
      </c>
      <c r="E2239" s="113" t="str">
        <f>IF(Table1722[[#This Row],[Lawan Transaksi]]="CV AGUNG KARYA",COUNTIF($I$10:I2239,"CV AGUNG KARYA")," ")</f>
        <v xml:space="preserve"> </v>
      </c>
      <c r="F2239" s="107" t="str">
        <f>IF(LEN(Table1722[[#This Row],[Uraian]])&gt;2,TRIM(RIGHT(SUBSTITUTE(TRIM(C2239)," ",REPT(" ",255)),255))," ")</f>
        <v xml:space="preserve"> </v>
      </c>
      <c r="G2239" s="110">
        <f>COPY!Z2231</f>
        <v>0</v>
      </c>
      <c r="H2239" s="111" t="str">
        <f>IFERROR(VLOOKUP(Table1722[[#This Row],[Bukti]],'Un nOTA'!$A$4:$K$5003,10,FALSE),"")</f>
        <v/>
      </c>
      <c r="I2239" s="112" t="str">
        <f>IFERROR(VLOOKUP(Table1722[[#This Row],[Bukti]],Table13[#Data],11,FALSE),"")</f>
        <v/>
      </c>
    </row>
    <row r="2240" spans="1:9" ht="19.5" hidden="1" customHeight="1" x14ac:dyDescent="0.2">
      <c r="A2240" s="105" t="str">
        <f>IF(D2240=1,COUNTIF($D$10:D2240,1)," ")</f>
        <v xml:space="preserve"> </v>
      </c>
      <c r="B2240" s="106">
        <f>COPY!AR2232</f>
        <v>0</v>
      </c>
      <c r="C2240" s="107">
        <f>COPY!AC2232</f>
        <v>0</v>
      </c>
      <c r="D2240" s="107" t="str">
        <f>IF(LEN(Table1722[[#This Row],[Uraian]])&gt;2,1," ")</f>
        <v xml:space="preserve"> </v>
      </c>
      <c r="E2240" s="113" t="str">
        <f>IF(Table1722[[#This Row],[Lawan Transaksi]]="CV AGUNG KARYA",COUNTIF($I$10:I2240,"CV AGUNG KARYA")," ")</f>
        <v xml:space="preserve"> </v>
      </c>
      <c r="F2240" s="107" t="str">
        <f>IF(LEN(Table1722[[#This Row],[Uraian]])&gt;2,TRIM(RIGHT(SUBSTITUTE(TRIM(C2240)," ",REPT(" ",255)),255))," ")</f>
        <v xml:space="preserve"> </v>
      </c>
      <c r="G2240" s="110">
        <f>COPY!Z2232</f>
        <v>0</v>
      </c>
      <c r="H2240" s="111" t="str">
        <f>IFERROR(VLOOKUP(Table1722[[#This Row],[Bukti]],'Un nOTA'!$A$4:$K$5003,10,FALSE),"")</f>
        <v/>
      </c>
      <c r="I2240" s="112" t="str">
        <f>IFERROR(VLOOKUP(Table1722[[#This Row],[Bukti]],Table13[#Data],11,FALSE),"")</f>
        <v/>
      </c>
    </row>
    <row r="2241" spans="1:9" ht="19.5" hidden="1" customHeight="1" x14ac:dyDescent="0.2">
      <c r="A2241" s="105" t="str">
        <f>IF(D2241=1,COUNTIF($D$10:D2241,1)," ")</f>
        <v xml:space="preserve"> </v>
      </c>
      <c r="B2241" s="106">
        <f>COPY!AR2233</f>
        <v>0</v>
      </c>
      <c r="C2241" s="107">
        <f>COPY!AC2233</f>
        <v>0</v>
      </c>
      <c r="D2241" s="107" t="str">
        <f>IF(LEN(Table1722[[#This Row],[Uraian]])&gt;2,1," ")</f>
        <v xml:space="preserve"> </v>
      </c>
      <c r="E2241" s="113" t="str">
        <f>IF(Table1722[[#This Row],[Lawan Transaksi]]="CV AGUNG KARYA",COUNTIF($I$10:I2241,"CV AGUNG KARYA")," ")</f>
        <v xml:space="preserve"> </v>
      </c>
      <c r="F2241" s="107" t="str">
        <f>IF(LEN(Table1722[[#This Row],[Uraian]])&gt;2,TRIM(RIGHT(SUBSTITUTE(TRIM(C2241)," ",REPT(" ",255)),255))," ")</f>
        <v xml:space="preserve"> </v>
      </c>
      <c r="G2241" s="110">
        <f>COPY!Z2233</f>
        <v>0</v>
      </c>
      <c r="H2241" s="111" t="str">
        <f>IFERROR(VLOOKUP(Table1722[[#This Row],[Bukti]],'Un nOTA'!$A$4:$K$5003,10,FALSE),"")</f>
        <v/>
      </c>
      <c r="I2241" s="112" t="str">
        <f>IFERROR(VLOOKUP(Table1722[[#This Row],[Bukti]],Table13[#Data],11,FALSE),"")</f>
        <v/>
      </c>
    </row>
    <row r="2242" spans="1:9" ht="19.5" hidden="1" customHeight="1" x14ac:dyDescent="0.2">
      <c r="A2242" s="105" t="str">
        <f>IF(D2242=1,COUNTIF($D$10:D2242,1)," ")</f>
        <v xml:space="preserve"> </v>
      </c>
      <c r="B2242" s="106">
        <f>COPY!AR2234</f>
        <v>0</v>
      </c>
      <c r="C2242" s="107">
        <f>COPY!AC2234</f>
        <v>0</v>
      </c>
      <c r="D2242" s="107" t="str">
        <f>IF(LEN(Table1722[[#This Row],[Uraian]])&gt;2,1," ")</f>
        <v xml:space="preserve"> </v>
      </c>
      <c r="E2242" s="113" t="str">
        <f>IF(Table1722[[#This Row],[Lawan Transaksi]]="CV AGUNG KARYA",COUNTIF($I$10:I2242,"CV AGUNG KARYA")," ")</f>
        <v xml:space="preserve"> </v>
      </c>
      <c r="F2242" s="107" t="str">
        <f>IF(LEN(Table1722[[#This Row],[Uraian]])&gt;2,TRIM(RIGHT(SUBSTITUTE(TRIM(C2242)," ",REPT(" ",255)),255))," ")</f>
        <v xml:space="preserve"> </v>
      </c>
      <c r="G2242" s="110">
        <f>COPY!Z2234</f>
        <v>0</v>
      </c>
      <c r="H2242" s="111" t="str">
        <f>IFERROR(VLOOKUP(Table1722[[#This Row],[Bukti]],'Un nOTA'!$A$4:$K$5003,10,FALSE),"")</f>
        <v/>
      </c>
      <c r="I2242" s="112" t="str">
        <f>IFERROR(VLOOKUP(Table1722[[#This Row],[Bukti]],Table13[#Data],11,FALSE),"")</f>
        <v/>
      </c>
    </row>
    <row r="2243" spans="1:9" ht="19.5" hidden="1" customHeight="1" x14ac:dyDescent="0.2">
      <c r="A2243" s="105" t="str">
        <f>IF(D2243=1,COUNTIF($D$10:D2243,1)," ")</f>
        <v xml:space="preserve"> </v>
      </c>
      <c r="B2243" s="106">
        <f>COPY!AR2235</f>
        <v>0</v>
      </c>
      <c r="C2243" s="107">
        <f>COPY!AC2235</f>
        <v>0</v>
      </c>
      <c r="D2243" s="107" t="str">
        <f>IF(LEN(Table1722[[#This Row],[Uraian]])&gt;2,1," ")</f>
        <v xml:space="preserve"> </v>
      </c>
      <c r="E2243" s="113" t="str">
        <f>IF(Table1722[[#This Row],[Lawan Transaksi]]="CV AGUNG KARYA",COUNTIF($I$10:I2243,"CV AGUNG KARYA")," ")</f>
        <v xml:space="preserve"> </v>
      </c>
      <c r="F2243" s="107" t="str">
        <f>IF(LEN(Table1722[[#This Row],[Uraian]])&gt;2,TRIM(RIGHT(SUBSTITUTE(TRIM(C2243)," ",REPT(" ",255)),255))," ")</f>
        <v xml:space="preserve"> </v>
      </c>
      <c r="G2243" s="110">
        <f>COPY!Z2235</f>
        <v>0</v>
      </c>
      <c r="H2243" s="111" t="str">
        <f>IFERROR(VLOOKUP(Table1722[[#This Row],[Bukti]],'Un nOTA'!$A$4:$K$5003,10,FALSE),"")</f>
        <v/>
      </c>
      <c r="I2243" s="112" t="str">
        <f>IFERROR(VLOOKUP(Table1722[[#This Row],[Bukti]],Table13[#Data],11,FALSE),"")</f>
        <v/>
      </c>
    </row>
    <row r="2244" spans="1:9" ht="19.5" hidden="1" customHeight="1" x14ac:dyDescent="0.2">
      <c r="A2244" s="105" t="str">
        <f>IF(D2244=1,COUNTIF($D$10:D2244,1)," ")</f>
        <v xml:space="preserve"> </v>
      </c>
      <c r="B2244" s="106">
        <f>COPY!AR2236</f>
        <v>0</v>
      </c>
      <c r="C2244" s="107">
        <f>COPY!AC2236</f>
        <v>0</v>
      </c>
      <c r="D2244" s="107" t="str">
        <f>IF(LEN(Table1722[[#This Row],[Uraian]])&gt;2,1," ")</f>
        <v xml:space="preserve"> </v>
      </c>
      <c r="E2244" s="113" t="str">
        <f>IF(Table1722[[#This Row],[Lawan Transaksi]]="CV AGUNG KARYA",COUNTIF($I$10:I2244,"CV AGUNG KARYA")," ")</f>
        <v xml:space="preserve"> </v>
      </c>
      <c r="F2244" s="107" t="str">
        <f>IF(LEN(Table1722[[#This Row],[Uraian]])&gt;2,TRIM(RIGHT(SUBSTITUTE(TRIM(C2244)," ",REPT(" ",255)),255))," ")</f>
        <v xml:space="preserve"> </v>
      </c>
      <c r="G2244" s="110">
        <f>COPY!Z2236</f>
        <v>0</v>
      </c>
      <c r="H2244" s="111" t="str">
        <f>IFERROR(VLOOKUP(Table1722[[#This Row],[Bukti]],'Un nOTA'!$A$4:$K$5003,10,FALSE),"")</f>
        <v/>
      </c>
      <c r="I2244" s="112" t="str">
        <f>IFERROR(VLOOKUP(Table1722[[#This Row],[Bukti]],Table13[#Data],11,FALSE),"")</f>
        <v/>
      </c>
    </row>
    <row r="2245" spans="1:9" ht="19.5" hidden="1" customHeight="1" x14ac:dyDescent="0.2">
      <c r="A2245" s="105" t="str">
        <f>IF(D2245=1,COUNTIF($D$10:D2245,1)," ")</f>
        <v xml:space="preserve"> </v>
      </c>
      <c r="B2245" s="106">
        <f>COPY!AR2237</f>
        <v>0</v>
      </c>
      <c r="C2245" s="107">
        <f>COPY!AC2237</f>
        <v>0</v>
      </c>
      <c r="D2245" s="107" t="str">
        <f>IF(LEN(Table1722[[#This Row],[Uraian]])&gt;2,1," ")</f>
        <v xml:space="preserve"> </v>
      </c>
      <c r="E2245" s="113" t="str">
        <f>IF(Table1722[[#This Row],[Lawan Transaksi]]="CV AGUNG KARYA",COUNTIF($I$10:I2245,"CV AGUNG KARYA")," ")</f>
        <v xml:space="preserve"> </v>
      </c>
      <c r="F2245" s="107" t="str">
        <f>IF(LEN(Table1722[[#This Row],[Uraian]])&gt;2,TRIM(RIGHT(SUBSTITUTE(TRIM(C2245)," ",REPT(" ",255)),255))," ")</f>
        <v xml:space="preserve"> </v>
      </c>
      <c r="G2245" s="110">
        <f>COPY!Z2237</f>
        <v>0</v>
      </c>
      <c r="H2245" s="111" t="str">
        <f>IFERROR(VLOOKUP(Table1722[[#This Row],[Bukti]],'Un nOTA'!$A$4:$K$5003,10,FALSE),"")</f>
        <v/>
      </c>
      <c r="I2245" s="112" t="str">
        <f>IFERROR(VLOOKUP(Table1722[[#This Row],[Bukti]],Table13[#Data],11,FALSE),"")</f>
        <v/>
      </c>
    </row>
    <row r="2246" spans="1:9" ht="19.5" hidden="1" customHeight="1" x14ac:dyDescent="0.2">
      <c r="A2246" s="105" t="str">
        <f>IF(D2246=1,COUNTIF($D$10:D2246,1)," ")</f>
        <v xml:space="preserve"> </v>
      </c>
      <c r="B2246" s="106">
        <f>COPY!AR2238</f>
        <v>0</v>
      </c>
      <c r="C2246" s="107">
        <f>COPY!AC2238</f>
        <v>0</v>
      </c>
      <c r="D2246" s="107" t="str">
        <f>IF(LEN(Table1722[[#This Row],[Uraian]])&gt;2,1," ")</f>
        <v xml:space="preserve"> </v>
      </c>
      <c r="E2246" s="113" t="str">
        <f>IF(Table1722[[#This Row],[Lawan Transaksi]]="CV AGUNG KARYA",COUNTIF($I$10:I2246,"CV AGUNG KARYA")," ")</f>
        <v xml:space="preserve"> </v>
      </c>
      <c r="F2246" s="107" t="str">
        <f>IF(LEN(Table1722[[#This Row],[Uraian]])&gt;2,TRIM(RIGHT(SUBSTITUTE(TRIM(C2246)," ",REPT(" ",255)),255))," ")</f>
        <v xml:space="preserve"> </v>
      </c>
      <c r="G2246" s="110">
        <f>COPY!Z2238</f>
        <v>0</v>
      </c>
      <c r="H2246" s="111" t="str">
        <f>IFERROR(VLOOKUP(Table1722[[#This Row],[Bukti]],'Un nOTA'!$A$4:$K$5003,10,FALSE),"")</f>
        <v/>
      </c>
      <c r="I2246" s="112" t="str">
        <f>IFERROR(VLOOKUP(Table1722[[#This Row],[Bukti]],Table13[#Data],11,FALSE),"")</f>
        <v/>
      </c>
    </row>
    <row r="2247" spans="1:9" ht="19.5" hidden="1" customHeight="1" x14ac:dyDescent="0.2">
      <c r="A2247" s="105" t="str">
        <f>IF(D2247=1,COUNTIF($D$10:D2247,1)," ")</f>
        <v xml:space="preserve"> </v>
      </c>
      <c r="B2247" s="106">
        <f>COPY!AR2239</f>
        <v>0</v>
      </c>
      <c r="C2247" s="107">
        <f>COPY!AC2239</f>
        <v>0</v>
      </c>
      <c r="D2247" s="107" t="str">
        <f>IF(LEN(Table1722[[#This Row],[Uraian]])&gt;2,1," ")</f>
        <v xml:space="preserve"> </v>
      </c>
      <c r="E2247" s="113" t="str">
        <f>IF(Table1722[[#This Row],[Lawan Transaksi]]="CV AGUNG KARYA",COUNTIF($I$10:I2247,"CV AGUNG KARYA")," ")</f>
        <v xml:space="preserve"> </v>
      </c>
      <c r="F2247" s="107" t="str">
        <f>IF(LEN(Table1722[[#This Row],[Uraian]])&gt;2,TRIM(RIGHT(SUBSTITUTE(TRIM(C2247)," ",REPT(" ",255)),255))," ")</f>
        <v xml:space="preserve"> </v>
      </c>
      <c r="G2247" s="110">
        <f>COPY!Z2239</f>
        <v>0</v>
      </c>
      <c r="H2247" s="111" t="str">
        <f>IFERROR(VLOOKUP(Table1722[[#This Row],[Bukti]],'Un nOTA'!$A$4:$K$5003,10,FALSE),"")</f>
        <v/>
      </c>
      <c r="I2247" s="112" t="str">
        <f>IFERROR(VLOOKUP(Table1722[[#This Row],[Bukti]],Table13[#Data],11,FALSE),"")</f>
        <v/>
      </c>
    </row>
    <row r="2248" spans="1:9" ht="19.5" hidden="1" customHeight="1" x14ac:dyDescent="0.2">
      <c r="A2248" s="105" t="str">
        <f>IF(D2248=1,COUNTIF($D$10:D2248,1)," ")</f>
        <v xml:space="preserve"> </v>
      </c>
      <c r="B2248" s="106">
        <f>COPY!AR2240</f>
        <v>0</v>
      </c>
      <c r="C2248" s="107">
        <f>COPY!AC2240</f>
        <v>0</v>
      </c>
      <c r="D2248" s="107" t="str">
        <f>IF(LEN(Table1722[[#This Row],[Uraian]])&gt;2,1," ")</f>
        <v xml:space="preserve"> </v>
      </c>
      <c r="E2248" s="113" t="str">
        <f>IF(Table1722[[#This Row],[Lawan Transaksi]]="CV AGUNG KARYA",COUNTIF($I$10:I2248,"CV AGUNG KARYA")," ")</f>
        <v xml:space="preserve"> </v>
      </c>
      <c r="F2248" s="107" t="str">
        <f>IF(LEN(Table1722[[#This Row],[Uraian]])&gt;2,TRIM(RIGHT(SUBSTITUTE(TRIM(C2248)," ",REPT(" ",255)),255))," ")</f>
        <v xml:space="preserve"> </v>
      </c>
      <c r="G2248" s="110">
        <f>COPY!Z2240</f>
        <v>0</v>
      </c>
      <c r="H2248" s="111" t="str">
        <f>IFERROR(VLOOKUP(Table1722[[#This Row],[Bukti]],'Un nOTA'!$A$4:$K$5003,10,FALSE),"")</f>
        <v/>
      </c>
      <c r="I2248" s="112" t="str">
        <f>IFERROR(VLOOKUP(Table1722[[#This Row],[Bukti]],Table13[#Data],11,FALSE),"")</f>
        <v/>
      </c>
    </row>
    <row r="2249" spans="1:9" ht="19.5" hidden="1" customHeight="1" x14ac:dyDescent="0.2">
      <c r="A2249" s="105" t="str">
        <f>IF(D2249=1,COUNTIF($D$10:D2249,1)," ")</f>
        <v xml:space="preserve"> </v>
      </c>
      <c r="B2249" s="106">
        <f>COPY!AR2241</f>
        <v>0</v>
      </c>
      <c r="C2249" s="107">
        <f>COPY!AC2241</f>
        <v>0</v>
      </c>
      <c r="D2249" s="107" t="str">
        <f>IF(LEN(Table1722[[#This Row],[Uraian]])&gt;2,1," ")</f>
        <v xml:space="preserve"> </v>
      </c>
      <c r="E2249" s="113" t="str">
        <f>IF(Table1722[[#This Row],[Lawan Transaksi]]="CV AGUNG KARYA",COUNTIF($I$10:I2249,"CV AGUNG KARYA")," ")</f>
        <v xml:space="preserve"> </v>
      </c>
      <c r="F2249" s="107" t="str">
        <f>IF(LEN(Table1722[[#This Row],[Uraian]])&gt;2,TRIM(RIGHT(SUBSTITUTE(TRIM(C2249)," ",REPT(" ",255)),255))," ")</f>
        <v xml:space="preserve"> </v>
      </c>
      <c r="G2249" s="110">
        <f>COPY!Z2241</f>
        <v>0</v>
      </c>
      <c r="H2249" s="111" t="str">
        <f>IFERROR(VLOOKUP(Table1722[[#This Row],[Bukti]],'Un nOTA'!$A$4:$K$5003,10,FALSE),"")</f>
        <v/>
      </c>
      <c r="I2249" s="112" t="str">
        <f>IFERROR(VLOOKUP(Table1722[[#This Row],[Bukti]],Table13[#Data],11,FALSE),"")</f>
        <v/>
      </c>
    </row>
    <row r="2250" spans="1:9" ht="19.5" hidden="1" customHeight="1" x14ac:dyDescent="0.2">
      <c r="A2250" s="105" t="str">
        <f>IF(D2250=1,COUNTIF($D$10:D2250,1)," ")</f>
        <v xml:space="preserve"> </v>
      </c>
      <c r="B2250" s="106">
        <f>COPY!AR2242</f>
        <v>0</v>
      </c>
      <c r="C2250" s="107">
        <f>COPY!AC2242</f>
        <v>0</v>
      </c>
      <c r="D2250" s="107" t="str">
        <f>IF(LEN(Table1722[[#This Row],[Uraian]])&gt;2,1," ")</f>
        <v xml:space="preserve"> </v>
      </c>
      <c r="E2250" s="113" t="str">
        <f>IF(Table1722[[#This Row],[Lawan Transaksi]]="CV AGUNG KARYA",COUNTIF($I$10:I2250,"CV AGUNG KARYA")," ")</f>
        <v xml:space="preserve"> </v>
      </c>
      <c r="F2250" s="107" t="str">
        <f>IF(LEN(Table1722[[#This Row],[Uraian]])&gt;2,TRIM(RIGHT(SUBSTITUTE(TRIM(C2250)," ",REPT(" ",255)),255))," ")</f>
        <v xml:space="preserve"> </v>
      </c>
      <c r="G2250" s="110">
        <f>COPY!Z2242</f>
        <v>0</v>
      </c>
      <c r="H2250" s="111" t="str">
        <f>IFERROR(VLOOKUP(Table1722[[#This Row],[Bukti]],'Un nOTA'!$A$4:$K$5003,10,FALSE),"")</f>
        <v/>
      </c>
      <c r="I2250" s="112" t="str">
        <f>IFERROR(VLOOKUP(Table1722[[#This Row],[Bukti]],Table13[#Data],11,FALSE),"")</f>
        <v/>
      </c>
    </row>
    <row r="2251" spans="1:9" ht="19.5" hidden="1" customHeight="1" x14ac:dyDescent="0.2">
      <c r="A2251" s="105" t="str">
        <f>IF(D2251=1,COUNTIF($D$10:D2251,1)," ")</f>
        <v xml:space="preserve"> </v>
      </c>
      <c r="B2251" s="106">
        <f>COPY!AR2243</f>
        <v>0</v>
      </c>
      <c r="C2251" s="107">
        <f>COPY!AC2243</f>
        <v>0</v>
      </c>
      <c r="D2251" s="107" t="str">
        <f>IF(LEN(Table1722[[#This Row],[Uraian]])&gt;2,1," ")</f>
        <v xml:space="preserve"> </v>
      </c>
      <c r="E2251" s="113" t="str">
        <f>IF(Table1722[[#This Row],[Lawan Transaksi]]="CV AGUNG KARYA",COUNTIF($I$10:I2251,"CV AGUNG KARYA")," ")</f>
        <v xml:space="preserve"> </v>
      </c>
      <c r="F2251" s="107" t="str">
        <f>IF(LEN(Table1722[[#This Row],[Uraian]])&gt;2,TRIM(RIGHT(SUBSTITUTE(TRIM(C2251)," ",REPT(" ",255)),255))," ")</f>
        <v xml:space="preserve"> </v>
      </c>
      <c r="G2251" s="110">
        <f>COPY!Z2243</f>
        <v>0</v>
      </c>
      <c r="H2251" s="111" t="str">
        <f>IFERROR(VLOOKUP(Table1722[[#This Row],[Bukti]],'Un nOTA'!$A$4:$K$5003,10,FALSE),"")</f>
        <v/>
      </c>
      <c r="I2251" s="112" t="str">
        <f>IFERROR(VLOOKUP(Table1722[[#This Row],[Bukti]],Table13[#Data],11,FALSE),"")</f>
        <v/>
      </c>
    </row>
    <row r="2252" spans="1:9" ht="19.5" hidden="1" customHeight="1" x14ac:dyDescent="0.2">
      <c r="A2252" s="105" t="str">
        <f>IF(D2252=1,COUNTIF($D$10:D2252,1)," ")</f>
        <v xml:space="preserve"> </v>
      </c>
      <c r="B2252" s="106">
        <f>COPY!AR2244</f>
        <v>0</v>
      </c>
      <c r="C2252" s="107">
        <f>COPY!AC2244</f>
        <v>0</v>
      </c>
      <c r="D2252" s="107" t="str">
        <f>IF(LEN(Table1722[[#This Row],[Uraian]])&gt;2,1," ")</f>
        <v xml:space="preserve"> </v>
      </c>
      <c r="E2252" s="113" t="str">
        <f>IF(Table1722[[#This Row],[Lawan Transaksi]]="CV AGUNG KARYA",COUNTIF($I$10:I2252,"CV AGUNG KARYA")," ")</f>
        <v xml:space="preserve"> </v>
      </c>
      <c r="F2252" s="107" t="str">
        <f>IF(LEN(Table1722[[#This Row],[Uraian]])&gt;2,TRIM(RIGHT(SUBSTITUTE(TRIM(C2252)," ",REPT(" ",255)),255))," ")</f>
        <v xml:space="preserve"> </v>
      </c>
      <c r="G2252" s="110">
        <f>COPY!Z2244</f>
        <v>0</v>
      </c>
      <c r="H2252" s="111" t="str">
        <f>IFERROR(VLOOKUP(Table1722[[#This Row],[Bukti]],'Un nOTA'!$A$4:$K$5003,10,FALSE),"")</f>
        <v/>
      </c>
      <c r="I2252" s="112" t="str">
        <f>IFERROR(VLOOKUP(Table1722[[#This Row],[Bukti]],Table13[#Data],11,FALSE),"")</f>
        <v/>
      </c>
    </row>
    <row r="2253" spans="1:9" ht="19.5" hidden="1" customHeight="1" x14ac:dyDescent="0.2">
      <c r="A2253" s="105" t="str">
        <f>IF(D2253=1,COUNTIF($D$10:D2253,1)," ")</f>
        <v xml:space="preserve"> </v>
      </c>
      <c r="B2253" s="106">
        <f>COPY!AR2245</f>
        <v>0</v>
      </c>
      <c r="C2253" s="107">
        <f>COPY!AC2245</f>
        <v>0</v>
      </c>
      <c r="D2253" s="107" t="str">
        <f>IF(LEN(Table1722[[#This Row],[Uraian]])&gt;2,1," ")</f>
        <v xml:space="preserve"> </v>
      </c>
      <c r="E2253" s="113" t="str">
        <f>IF(Table1722[[#This Row],[Lawan Transaksi]]="CV AGUNG KARYA",COUNTIF($I$10:I2253,"CV AGUNG KARYA")," ")</f>
        <v xml:space="preserve"> </v>
      </c>
      <c r="F2253" s="107" t="str">
        <f>IF(LEN(Table1722[[#This Row],[Uraian]])&gt;2,TRIM(RIGHT(SUBSTITUTE(TRIM(C2253)," ",REPT(" ",255)),255))," ")</f>
        <v xml:space="preserve"> </v>
      </c>
      <c r="G2253" s="110">
        <f>COPY!Z2245</f>
        <v>0</v>
      </c>
      <c r="H2253" s="111" t="str">
        <f>IFERROR(VLOOKUP(Table1722[[#This Row],[Bukti]],'Un nOTA'!$A$4:$K$5003,10,FALSE),"")</f>
        <v/>
      </c>
      <c r="I2253" s="112" t="str">
        <f>IFERROR(VLOOKUP(Table1722[[#This Row],[Bukti]],Table13[#Data],11,FALSE),"")</f>
        <v/>
      </c>
    </row>
    <row r="2254" spans="1:9" ht="19.5" hidden="1" customHeight="1" x14ac:dyDescent="0.2">
      <c r="A2254" s="105" t="str">
        <f>IF(D2254=1,COUNTIF($D$10:D2254,1)," ")</f>
        <v xml:space="preserve"> </v>
      </c>
      <c r="B2254" s="106">
        <f>COPY!AR2246</f>
        <v>0</v>
      </c>
      <c r="C2254" s="107">
        <f>COPY!AC2246</f>
        <v>0</v>
      </c>
      <c r="D2254" s="107" t="str">
        <f>IF(LEN(Table1722[[#This Row],[Uraian]])&gt;2,1," ")</f>
        <v xml:space="preserve"> </v>
      </c>
      <c r="E2254" s="113" t="str">
        <f>IF(Table1722[[#This Row],[Lawan Transaksi]]="CV AGUNG KARYA",COUNTIF($I$10:I2254,"CV AGUNG KARYA")," ")</f>
        <v xml:space="preserve"> </v>
      </c>
      <c r="F2254" s="107" t="str">
        <f>IF(LEN(Table1722[[#This Row],[Uraian]])&gt;2,TRIM(RIGHT(SUBSTITUTE(TRIM(C2254)," ",REPT(" ",255)),255))," ")</f>
        <v xml:space="preserve"> </v>
      </c>
      <c r="G2254" s="110">
        <f>COPY!Z2246</f>
        <v>0</v>
      </c>
      <c r="H2254" s="111" t="str">
        <f>IFERROR(VLOOKUP(Table1722[[#This Row],[Bukti]],'Un nOTA'!$A$4:$K$5003,10,FALSE),"")</f>
        <v/>
      </c>
      <c r="I2254" s="112" t="str">
        <f>IFERROR(VLOOKUP(Table1722[[#This Row],[Bukti]],Table13[#Data],11,FALSE),"")</f>
        <v/>
      </c>
    </row>
    <row r="2255" spans="1:9" ht="19.5" hidden="1" customHeight="1" x14ac:dyDescent="0.2">
      <c r="A2255" s="105" t="str">
        <f>IF(D2255=1,COUNTIF($D$10:D2255,1)," ")</f>
        <v xml:space="preserve"> </v>
      </c>
      <c r="B2255" s="106">
        <f>COPY!AR2247</f>
        <v>0</v>
      </c>
      <c r="C2255" s="107">
        <f>COPY!AC2247</f>
        <v>0</v>
      </c>
      <c r="D2255" s="107" t="str">
        <f>IF(LEN(Table1722[[#This Row],[Uraian]])&gt;2,1," ")</f>
        <v xml:space="preserve"> </v>
      </c>
      <c r="E2255" s="113" t="str">
        <f>IF(Table1722[[#This Row],[Lawan Transaksi]]="CV AGUNG KARYA",COUNTIF($I$10:I2255,"CV AGUNG KARYA")," ")</f>
        <v xml:space="preserve"> </v>
      </c>
      <c r="F2255" s="107" t="str">
        <f>IF(LEN(Table1722[[#This Row],[Uraian]])&gt;2,TRIM(RIGHT(SUBSTITUTE(TRIM(C2255)," ",REPT(" ",255)),255))," ")</f>
        <v xml:space="preserve"> </v>
      </c>
      <c r="G2255" s="110">
        <f>COPY!Z2247</f>
        <v>0</v>
      </c>
      <c r="H2255" s="111" t="str">
        <f>IFERROR(VLOOKUP(Table1722[[#This Row],[Bukti]],'Un nOTA'!$A$4:$K$5003,10,FALSE),"")</f>
        <v/>
      </c>
      <c r="I2255" s="112" t="str">
        <f>IFERROR(VLOOKUP(Table1722[[#This Row],[Bukti]],Table13[#Data],11,FALSE),"")</f>
        <v/>
      </c>
    </row>
    <row r="2256" spans="1:9" ht="19.5" hidden="1" customHeight="1" x14ac:dyDescent="0.2">
      <c r="A2256" s="105" t="str">
        <f>IF(D2256=1,COUNTIF($D$10:D2256,1)," ")</f>
        <v xml:space="preserve"> </v>
      </c>
      <c r="B2256" s="106">
        <f>COPY!AR2248</f>
        <v>0</v>
      </c>
      <c r="C2256" s="107">
        <f>COPY!AC2248</f>
        <v>0</v>
      </c>
      <c r="D2256" s="107" t="str">
        <f>IF(LEN(Table1722[[#This Row],[Uraian]])&gt;2,1," ")</f>
        <v xml:space="preserve"> </v>
      </c>
      <c r="E2256" s="113" t="str">
        <f>IF(Table1722[[#This Row],[Lawan Transaksi]]="CV AGUNG KARYA",COUNTIF($I$10:I2256,"CV AGUNG KARYA")," ")</f>
        <v xml:space="preserve"> </v>
      </c>
      <c r="F2256" s="107" t="str">
        <f>IF(LEN(Table1722[[#This Row],[Uraian]])&gt;2,TRIM(RIGHT(SUBSTITUTE(TRIM(C2256)," ",REPT(" ",255)),255))," ")</f>
        <v xml:space="preserve"> </v>
      </c>
      <c r="G2256" s="110">
        <f>COPY!Z2248</f>
        <v>0</v>
      </c>
      <c r="H2256" s="111" t="str">
        <f>IFERROR(VLOOKUP(Table1722[[#This Row],[Bukti]],'Un nOTA'!$A$4:$K$5003,10,FALSE),"")</f>
        <v/>
      </c>
      <c r="I2256" s="112" t="str">
        <f>IFERROR(VLOOKUP(Table1722[[#This Row],[Bukti]],Table13[#Data],11,FALSE),"")</f>
        <v/>
      </c>
    </row>
    <row r="2257" spans="1:9" ht="19.5" hidden="1" customHeight="1" x14ac:dyDescent="0.2">
      <c r="A2257" s="105" t="str">
        <f>IF(D2257=1,COUNTIF($D$10:D2257,1)," ")</f>
        <v xml:space="preserve"> </v>
      </c>
      <c r="B2257" s="106">
        <f>COPY!AR2249</f>
        <v>0</v>
      </c>
      <c r="C2257" s="107">
        <f>COPY!AC2249</f>
        <v>0</v>
      </c>
      <c r="D2257" s="107" t="str">
        <f>IF(LEN(Table1722[[#This Row],[Uraian]])&gt;2,1," ")</f>
        <v xml:space="preserve"> </v>
      </c>
      <c r="E2257" s="113" t="str">
        <f>IF(Table1722[[#This Row],[Lawan Transaksi]]="CV AGUNG KARYA",COUNTIF($I$10:I2257,"CV AGUNG KARYA")," ")</f>
        <v xml:space="preserve"> </v>
      </c>
      <c r="F2257" s="107" t="str">
        <f>IF(LEN(Table1722[[#This Row],[Uraian]])&gt;2,TRIM(RIGHT(SUBSTITUTE(TRIM(C2257)," ",REPT(" ",255)),255))," ")</f>
        <v xml:space="preserve"> </v>
      </c>
      <c r="G2257" s="110">
        <f>COPY!Z2249</f>
        <v>0</v>
      </c>
      <c r="H2257" s="111" t="str">
        <f>IFERROR(VLOOKUP(Table1722[[#This Row],[Bukti]],'Un nOTA'!$A$4:$K$5003,10,FALSE),"")</f>
        <v/>
      </c>
      <c r="I2257" s="112" t="str">
        <f>IFERROR(VLOOKUP(Table1722[[#This Row],[Bukti]],Table13[#Data],11,FALSE),"")</f>
        <v/>
      </c>
    </row>
    <row r="2258" spans="1:9" ht="19.5" hidden="1" customHeight="1" x14ac:dyDescent="0.2">
      <c r="A2258" s="105" t="str">
        <f>IF(D2258=1,COUNTIF($D$10:D2258,1)," ")</f>
        <v xml:space="preserve"> </v>
      </c>
      <c r="B2258" s="106">
        <f>COPY!AR2250</f>
        <v>0</v>
      </c>
      <c r="C2258" s="107">
        <f>COPY!AC2250</f>
        <v>0</v>
      </c>
      <c r="D2258" s="107" t="str">
        <f>IF(LEN(Table1722[[#This Row],[Uraian]])&gt;2,1," ")</f>
        <v xml:space="preserve"> </v>
      </c>
      <c r="E2258" s="113" t="str">
        <f>IF(Table1722[[#This Row],[Lawan Transaksi]]="CV AGUNG KARYA",COUNTIF($I$10:I2258,"CV AGUNG KARYA")," ")</f>
        <v xml:space="preserve"> </v>
      </c>
      <c r="F2258" s="107" t="str">
        <f>IF(LEN(Table1722[[#This Row],[Uraian]])&gt;2,TRIM(RIGHT(SUBSTITUTE(TRIM(C2258)," ",REPT(" ",255)),255))," ")</f>
        <v xml:space="preserve"> </v>
      </c>
      <c r="G2258" s="110">
        <f>COPY!Z2250</f>
        <v>0</v>
      </c>
      <c r="H2258" s="111" t="str">
        <f>IFERROR(VLOOKUP(Table1722[[#This Row],[Bukti]],'Un nOTA'!$A$4:$K$5003,10,FALSE),"")</f>
        <v/>
      </c>
      <c r="I2258" s="112" t="str">
        <f>IFERROR(VLOOKUP(Table1722[[#This Row],[Bukti]],Table13[#Data],11,FALSE),"")</f>
        <v/>
      </c>
    </row>
    <row r="2259" spans="1:9" ht="19.5" hidden="1" customHeight="1" x14ac:dyDescent="0.2">
      <c r="A2259" s="105" t="str">
        <f>IF(D2259=1,COUNTIF($D$10:D2259,1)," ")</f>
        <v xml:space="preserve"> </v>
      </c>
      <c r="B2259" s="106">
        <f>COPY!AR2251</f>
        <v>0</v>
      </c>
      <c r="C2259" s="107">
        <f>COPY!AC2251</f>
        <v>0</v>
      </c>
      <c r="D2259" s="107" t="str">
        <f>IF(LEN(Table1722[[#This Row],[Uraian]])&gt;2,1," ")</f>
        <v xml:space="preserve"> </v>
      </c>
      <c r="E2259" s="113" t="str">
        <f>IF(Table1722[[#This Row],[Lawan Transaksi]]="CV AGUNG KARYA",COUNTIF($I$10:I2259,"CV AGUNG KARYA")," ")</f>
        <v xml:space="preserve"> </v>
      </c>
      <c r="F2259" s="107" t="str">
        <f>IF(LEN(Table1722[[#This Row],[Uraian]])&gt;2,TRIM(RIGHT(SUBSTITUTE(TRIM(C2259)," ",REPT(" ",255)),255))," ")</f>
        <v xml:space="preserve"> </v>
      </c>
      <c r="G2259" s="110">
        <f>COPY!Z2251</f>
        <v>0</v>
      </c>
      <c r="H2259" s="111" t="str">
        <f>IFERROR(VLOOKUP(Table1722[[#This Row],[Bukti]],'Un nOTA'!$A$4:$K$5003,10,FALSE),"")</f>
        <v/>
      </c>
      <c r="I2259" s="112" t="str">
        <f>IFERROR(VLOOKUP(Table1722[[#This Row],[Bukti]],Table13[#Data],11,FALSE),"")</f>
        <v/>
      </c>
    </row>
    <row r="2260" spans="1:9" ht="19.5" hidden="1" customHeight="1" x14ac:dyDescent="0.2">
      <c r="A2260" s="105" t="str">
        <f>IF(D2260=1,COUNTIF($D$10:D2260,1)," ")</f>
        <v xml:space="preserve"> </v>
      </c>
      <c r="B2260" s="106">
        <f>COPY!AR2252</f>
        <v>0</v>
      </c>
      <c r="C2260" s="107">
        <f>COPY!AC2252</f>
        <v>0</v>
      </c>
      <c r="D2260" s="107" t="str">
        <f>IF(LEN(Table1722[[#This Row],[Uraian]])&gt;2,1," ")</f>
        <v xml:space="preserve"> </v>
      </c>
      <c r="E2260" s="113" t="str">
        <f>IF(Table1722[[#This Row],[Lawan Transaksi]]="CV AGUNG KARYA",COUNTIF($I$10:I2260,"CV AGUNG KARYA")," ")</f>
        <v xml:space="preserve"> </v>
      </c>
      <c r="F2260" s="107" t="str">
        <f>IF(LEN(Table1722[[#This Row],[Uraian]])&gt;2,TRIM(RIGHT(SUBSTITUTE(TRIM(C2260)," ",REPT(" ",255)),255))," ")</f>
        <v xml:space="preserve"> </v>
      </c>
      <c r="G2260" s="110">
        <f>COPY!Z2252</f>
        <v>0</v>
      </c>
      <c r="H2260" s="111" t="str">
        <f>IFERROR(VLOOKUP(Table1722[[#This Row],[Bukti]],'Un nOTA'!$A$4:$K$5003,10,FALSE),"")</f>
        <v/>
      </c>
      <c r="I2260" s="112" t="str">
        <f>IFERROR(VLOOKUP(Table1722[[#This Row],[Bukti]],Table13[#Data],11,FALSE),"")</f>
        <v/>
      </c>
    </row>
    <row r="2261" spans="1:9" ht="19.5" hidden="1" customHeight="1" x14ac:dyDescent="0.2">
      <c r="A2261" s="105" t="str">
        <f>IF(D2261=1,COUNTIF($D$10:D2261,1)," ")</f>
        <v xml:space="preserve"> </v>
      </c>
      <c r="B2261" s="106">
        <f>COPY!AR2253</f>
        <v>0</v>
      </c>
      <c r="C2261" s="107">
        <f>COPY!AC2253</f>
        <v>0</v>
      </c>
      <c r="D2261" s="107" t="str">
        <f>IF(LEN(Table1722[[#This Row],[Uraian]])&gt;2,1," ")</f>
        <v xml:space="preserve"> </v>
      </c>
      <c r="E2261" s="113" t="str">
        <f>IF(Table1722[[#This Row],[Lawan Transaksi]]="CV AGUNG KARYA",COUNTIF($I$10:I2261,"CV AGUNG KARYA")," ")</f>
        <v xml:space="preserve"> </v>
      </c>
      <c r="F2261" s="107" t="str">
        <f>IF(LEN(Table1722[[#This Row],[Uraian]])&gt;2,TRIM(RIGHT(SUBSTITUTE(TRIM(C2261)," ",REPT(" ",255)),255))," ")</f>
        <v xml:space="preserve"> </v>
      </c>
      <c r="G2261" s="110">
        <f>COPY!Z2253</f>
        <v>0</v>
      </c>
      <c r="H2261" s="111" t="str">
        <f>IFERROR(VLOOKUP(Table1722[[#This Row],[Bukti]],'Un nOTA'!$A$4:$K$5003,10,FALSE),"")</f>
        <v/>
      </c>
      <c r="I2261" s="112" t="str">
        <f>IFERROR(VLOOKUP(Table1722[[#This Row],[Bukti]],Table13[#Data],11,FALSE),"")</f>
        <v/>
      </c>
    </row>
    <row r="2262" spans="1:9" ht="19.5" hidden="1" customHeight="1" x14ac:dyDescent="0.2">
      <c r="A2262" s="105" t="str">
        <f>IF(D2262=1,COUNTIF($D$10:D2262,1)," ")</f>
        <v xml:space="preserve"> </v>
      </c>
      <c r="B2262" s="106">
        <f>COPY!AR2254</f>
        <v>0</v>
      </c>
      <c r="C2262" s="107">
        <f>COPY!AC2254</f>
        <v>0</v>
      </c>
      <c r="D2262" s="107" t="str">
        <f>IF(LEN(Table1722[[#This Row],[Uraian]])&gt;2,1," ")</f>
        <v xml:space="preserve"> </v>
      </c>
      <c r="E2262" s="113" t="str">
        <f>IF(Table1722[[#This Row],[Lawan Transaksi]]="CV AGUNG KARYA",COUNTIF($I$10:I2262,"CV AGUNG KARYA")," ")</f>
        <v xml:space="preserve"> </v>
      </c>
      <c r="F2262" s="107" t="str">
        <f>IF(LEN(Table1722[[#This Row],[Uraian]])&gt;2,TRIM(RIGHT(SUBSTITUTE(TRIM(C2262)," ",REPT(" ",255)),255))," ")</f>
        <v xml:space="preserve"> </v>
      </c>
      <c r="G2262" s="110">
        <f>COPY!Z2254</f>
        <v>0</v>
      </c>
      <c r="H2262" s="111" t="str">
        <f>IFERROR(VLOOKUP(Table1722[[#This Row],[Bukti]],'Un nOTA'!$A$4:$K$5003,10,FALSE),"")</f>
        <v/>
      </c>
      <c r="I2262" s="112" t="str">
        <f>IFERROR(VLOOKUP(Table1722[[#This Row],[Bukti]],Table13[#Data],11,FALSE),"")</f>
        <v/>
      </c>
    </row>
    <row r="2263" spans="1:9" ht="19.5" hidden="1" customHeight="1" x14ac:dyDescent="0.2">
      <c r="A2263" s="105" t="str">
        <f>IF(D2263=1,COUNTIF($D$10:D2263,1)," ")</f>
        <v xml:space="preserve"> </v>
      </c>
      <c r="B2263" s="106">
        <f>COPY!AR2255</f>
        <v>0</v>
      </c>
      <c r="C2263" s="107">
        <f>COPY!AC2255</f>
        <v>0</v>
      </c>
      <c r="D2263" s="107" t="str">
        <f>IF(LEN(Table1722[[#This Row],[Uraian]])&gt;2,1," ")</f>
        <v xml:space="preserve"> </v>
      </c>
      <c r="E2263" s="113" t="str">
        <f>IF(Table1722[[#This Row],[Lawan Transaksi]]="CV AGUNG KARYA",COUNTIF($I$10:I2263,"CV AGUNG KARYA")," ")</f>
        <v xml:space="preserve"> </v>
      </c>
      <c r="F2263" s="107" t="str">
        <f>IF(LEN(Table1722[[#This Row],[Uraian]])&gt;2,TRIM(RIGHT(SUBSTITUTE(TRIM(C2263)," ",REPT(" ",255)),255))," ")</f>
        <v xml:space="preserve"> </v>
      </c>
      <c r="G2263" s="110">
        <f>COPY!Z2255</f>
        <v>0</v>
      </c>
      <c r="H2263" s="111" t="str">
        <f>IFERROR(VLOOKUP(Table1722[[#This Row],[Bukti]],'Un nOTA'!$A$4:$K$5003,10,FALSE),"")</f>
        <v/>
      </c>
      <c r="I2263" s="112" t="str">
        <f>IFERROR(VLOOKUP(Table1722[[#This Row],[Bukti]],Table13[#Data],11,FALSE),"")</f>
        <v/>
      </c>
    </row>
    <row r="2264" spans="1:9" ht="19.5" hidden="1" customHeight="1" x14ac:dyDescent="0.2">
      <c r="A2264" s="105" t="str">
        <f>IF(D2264=1,COUNTIF($D$10:D2264,1)," ")</f>
        <v xml:space="preserve"> </v>
      </c>
      <c r="B2264" s="106">
        <f>COPY!AR2256</f>
        <v>0</v>
      </c>
      <c r="C2264" s="107">
        <f>COPY!AC2256</f>
        <v>0</v>
      </c>
      <c r="D2264" s="107" t="str">
        <f>IF(LEN(Table1722[[#This Row],[Uraian]])&gt;2,1," ")</f>
        <v xml:space="preserve"> </v>
      </c>
      <c r="E2264" s="113" t="str">
        <f>IF(Table1722[[#This Row],[Lawan Transaksi]]="CV AGUNG KARYA",COUNTIF($I$10:I2264,"CV AGUNG KARYA")," ")</f>
        <v xml:space="preserve"> </v>
      </c>
      <c r="F2264" s="107" t="str">
        <f>IF(LEN(Table1722[[#This Row],[Uraian]])&gt;2,TRIM(RIGHT(SUBSTITUTE(TRIM(C2264)," ",REPT(" ",255)),255))," ")</f>
        <v xml:space="preserve"> </v>
      </c>
      <c r="G2264" s="110">
        <f>COPY!Z2256</f>
        <v>0</v>
      </c>
      <c r="H2264" s="111" t="str">
        <f>IFERROR(VLOOKUP(Table1722[[#This Row],[Bukti]],'Un nOTA'!$A$4:$K$5003,10,FALSE),"")</f>
        <v/>
      </c>
      <c r="I2264" s="112" t="str">
        <f>IFERROR(VLOOKUP(Table1722[[#This Row],[Bukti]],Table13[#Data],11,FALSE),"")</f>
        <v/>
      </c>
    </row>
    <row r="2265" spans="1:9" ht="19.5" hidden="1" customHeight="1" x14ac:dyDescent="0.2">
      <c r="A2265" s="105" t="str">
        <f>IF(D2265=1,COUNTIF($D$10:D2265,1)," ")</f>
        <v xml:space="preserve"> </v>
      </c>
      <c r="B2265" s="106">
        <f>COPY!AR2257</f>
        <v>0</v>
      </c>
      <c r="C2265" s="107">
        <f>COPY!AC2257</f>
        <v>0</v>
      </c>
      <c r="D2265" s="107" t="str">
        <f>IF(LEN(Table1722[[#This Row],[Uraian]])&gt;2,1," ")</f>
        <v xml:space="preserve"> </v>
      </c>
      <c r="E2265" s="113" t="str">
        <f>IF(Table1722[[#This Row],[Lawan Transaksi]]="CV AGUNG KARYA",COUNTIF($I$10:I2265,"CV AGUNG KARYA")," ")</f>
        <v xml:space="preserve"> </v>
      </c>
      <c r="F2265" s="107" t="str">
        <f>IF(LEN(Table1722[[#This Row],[Uraian]])&gt;2,TRIM(RIGHT(SUBSTITUTE(TRIM(C2265)," ",REPT(" ",255)),255))," ")</f>
        <v xml:space="preserve"> </v>
      </c>
      <c r="G2265" s="110">
        <f>COPY!Z2257</f>
        <v>0</v>
      </c>
      <c r="H2265" s="111" t="str">
        <f>IFERROR(VLOOKUP(Table1722[[#This Row],[Bukti]],'Un nOTA'!$A$4:$K$5003,10,FALSE),"")</f>
        <v/>
      </c>
      <c r="I2265" s="112" t="str">
        <f>IFERROR(VLOOKUP(Table1722[[#This Row],[Bukti]],Table13[#Data],11,FALSE),"")</f>
        <v/>
      </c>
    </row>
    <row r="2266" spans="1:9" ht="19.5" hidden="1" customHeight="1" x14ac:dyDescent="0.2">
      <c r="A2266" s="105" t="str">
        <f>IF(D2266=1,COUNTIF($D$10:D2266,1)," ")</f>
        <v xml:space="preserve"> </v>
      </c>
      <c r="B2266" s="106">
        <f>COPY!AR2258</f>
        <v>0</v>
      </c>
      <c r="C2266" s="107">
        <f>COPY!AC2258</f>
        <v>0</v>
      </c>
      <c r="D2266" s="107" t="str">
        <f>IF(LEN(Table1722[[#This Row],[Uraian]])&gt;2,1," ")</f>
        <v xml:space="preserve"> </v>
      </c>
      <c r="E2266" s="113" t="str">
        <f>IF(Table1722[[#This Row],[Lawan Transaksi]]="CV AGUNG KARYA",COUNTIF($I$10:I2266,"CV AGUNG KARYA")," ")</f>
        <v xml:space="preserve"> </v>
      </c>
      <c r="F2266" s="107" t="str">
        <f>IF(LEN(Table1722[[#This Row],[Uraian]])&gt;2,TRIM(RIGHT(SUBSTITUTE(TRIM(C2266)," ",REPT(" ",255)),255))," ")</f>
        <v xml:space="preserve"> </v>
      </c>
      <c r="G2266" s="110">
        <f>COPY!Z2258</f>
        <v>0</v>
      </c>
      <c r="H2266" s="111" t="str">
        <f>IFERROR(VLOOKUP(Table1722[[#This Row],[Bukti]],'Un nOTA'!$A$4:$K$5003,10,FALSE),"")</f>
        <v/>
      </c>
      <c r="I2266" s="112" t="str">
        <f>IFERROR(VLOOKUP(Table1722[[#This Row],[Bukti]],Table13[#Data],11,FALSE),"")</f>
        <v/>
      </c>
    </row>
    <row r="2267" spans="1:9" ht="19.5" hidden="1" customHeight="1" x14ac:dyDescent="0.2">
      <c r="A2267" s="105" t="str">
        <f>IF(D2267=1,COUNTIF($D$10:D2267,1)," ")</f>
        <v xml:space="preserve"> </v>
      </c>
      <c r="B2267" s="106">
        <f>COPY!AR2259</f>
        <v>0</v>
      </c>
      <c r="C2267" s="107">
        <f>COPY!AC2259</f>
        <v>0</v>
      </c>
      <c r="D2267" s="107" t="str">
        <f>IF(LEN(Table1722[[#This Row],[Uraian]])&gt;2,1," ")</f>
        <v xml:space="preserve"> </v>
      </c>
      <c r="E2267" s="113" t="str">
        <f>IF(Table1722[[#This Row],[Lawan Transaksi]]="CV AGUNG KARYA",COUNTIF($I$10:I2267,"CV AGUNG KARYA")," ")</f>
        <v xml:space="preserve"> </v>
      </c>
      <c r="F2267" s="107" t="str">
        <f>IF(LEN(Table1722[[#This Row],[Uraian]])&gt;2,TRIM(RIGHT(SUBSTITUTE(TRIM(C2267)," ",REPT(" ",255)),255))," ")</f>
        <v xml:space="preserve"> </v>
      </c>
      <c r="G2267" s="110">
        <f>COPY!Z2259</f>
        <v>0</v>
      </c>
      <c r="H2267" s="111" t="str">
        <f>IFERROR(VLOOKUP(Table1722[[#This Row],[Bukti]],'Un nOTA'!$A$4:$K$5003,10,FALSE),"")</f>
        <v/>
      </c>
      <c r="I2267" s="112" t="str">
        <f>IFERROR(VLOOKUP(Table1722[[#This Row],[Bukti]],Table13[#Data],11,FALSE),"")</f>
        <v/>
      </c>
    </row>
    <row r="2268" spans="1:9" ht="19.5" hidden="1" customHeight="1" x14ac:dyDescent="0.2">
      <c r="A2268" s="105" t="str">
        <f>IF(D2268=1,COUNTIF($D$10:D2268,1)," ")</f>
        <v xml:space="preserve"> </v>
      </c>
      <c r="B2268" s="106">
        <f>COPY!AR2260</f>
        <v>0</v>
      </c>
      <c r="C2268" s="107">
        <f>COPY!AC2260</f>
        <v>0</v>
      </c>
      <c r="D2268" s="107" t="str">
        <f>IF(LEN(Table1722[[#This Row],[Uraian]])&gt;2,1," ")</f>
        <v xml:space="preserve"> </v>
      </c>
      <c r="E2268" s="113" t="str">
        <f>IF(Table1722[[#This Row],[Lawan Transaksi]]="CV AGUNG KARYA",COUNTIF($I$10:I2268,"CV AGUNG KARYA")," ")</f>
        <v xml:space="preserve"> </v>
      </c>
      <c r="F2268" s="107" t="str">
        <f>IF(LEN(Table1722[[#This Row],[Uraian]])&gt;2,TRIM(RIGHT(SUBSTITUTE(TRIM(C2268)," ",REPT(" ",255)),255))," ")</f>
        <v xml:space="preserve"> </v>
      </c>
      <c r="G2268" s="110">
        <f>COPY!Z2260</f>
        <v>0</v>
      </c>
      <c r="H2268" s="111" t="str">
        <f>IFERROR(VLOOKUP(Table1722[[#This Row],[Bukti]],'Un nOTA'!$A$4:$K$5003,10,FALSE),"")</f>
        <v/>
      </c>
      <c r="I2268" s="112" t="str">
        <f>IFERROR(VLOOKUP(Table1722[[#This Row],[Bukti]],Table13[#Data],11,FALSE),"")</f>
        <v/>
      </c>
    </row>
    <row r="2269" spans="1:9" ht="19.5" hidden="1" customHeight="1" x14ac:dyDescent="0.2">
      <c r="A2269" s="105" t="str">
        <f>IF(D2269=1,COUNTIF($D$10:D2269,1)," ")</f>
        <v xml:space="preserve"> </v>
      </c>
      <c r="B2269" s="106">
        <f>COPY!AR2261</f>
        <v>0</v>
      </c>
      <c r="C2269" s="107">
        <f>COPY!AC2261</f>
        <v>0</v>
      </c>
      <c r="D2269" s="107" t="str">
        <f>IF(LEN(Table1722[[#This Row],[Uraian]])&gt;2,1," ")</f>
        <v xml:space="preserve"> </v>
      </c>
      <c r="E2269" s="113" t="str">
        <f>IF(Table1722[[#This Row],[Lawan Transaksi]]="CV AGUNG KARYA",COUNTIF($I$10:I2269,"CV AGUNG KARYA")," ")</f>
        <v xml:space="preserve"> </v>
      </c>
      <c r="F2269" s="107" t="str">
        <f>IF(LEN(Table1722[[#This Row],[Uraian]])&gt;2,TRIM(RIGHT(SUBSTITUTE(TRIM(C2269)," ",REPT(" ",255)),255))," ")</f>
        <v xml:space="preserve"> </v>
      </c>
      <c r="G2269" s="110">
        <f>COPY!Z2261</f>
        <v>0</v>
      </c>
      <c r="H2269" s="111" t="str">
        <f>IFERROR(VLOOKUP(Table1722[[#This Row],[Bukti]],'Un nOTA'!$A$4:$K$5003,10,FALSE),"")</f>
        <v/>
      </c>
      <c r="I2269" s="112" t="str">
        <f>IFERROR(VLOOKUP(Table1722[[#This Row],[Bukti]],Table13[#Data],11,FALSE),"")</f>
        <v/>
      </c>
    </row>
    <row r="2270" spans="1:9" ht="19.5" hidden="1" customHeight="1" x14ac:dyDescent="0.2">
      <c r="A2270" s="105" t="str">
        <f>IF(D2270=1,COUNTIF($D$10:D2270,1)," ")</f>
        <v xml:space="preserve"> </v>
      </c>
      <c r="B2270" s="106">
        <f>COPY!AR2262</f>
        <v>0</v>
      </c>
      <c r="C2270" s="107">
        <f>COPY!AC2262</f>
        <v>0</v>
      </c>
      <c r="D2270" s="107" t="str">
        <f>IF(LEN(Table1722[[#This Row],[Uraian]])&gt;2,1," ")</f>
        <v xml:space="preserve"> </v>
      </c>
      <c r="E2270" s="113" t="str">
        <f>IF(Table1722[[#This Row],[Lawan Transaksi]]="CV AGUNG KARYA",COUNTIF($I$10:I2270,"CV AGUNG KARYA")," ")</f>
        <v xml:space="preserve"> </v>
      </c>
      <c r="F2270" s="107" t="str">
        <f>IF(LEN(Table1722[[#This Row],[Uraian]])&gt;2,TRIM(RIGHT(SUBSTITUTE(TRIM(C2270)," ",REPT(" ",255)),255))," ")</f>
        <v xml:space="preserve"> </v>
      </c>
      <c r="G2270" s="110">
        <f>COPY!Z2262</f>
        <v>0</v>
      </c>
      <c r="H2270" s="111" t="str">
        <f>IFERROR(VLOOKUP(Table1722[[#This Row],[Bukti]],'Un nOTA'!$A$4:$K$5003,10,FALSE),"")</f>
        <v/>
      </c>
      <c r="I2270" s="112" t="str">
        <f>IFERROR(VLOOKUP(Table1722[[#This Row],[Bukti]],Table13[#Data],11,FALSE),"")</f>
        <v/>
      </c>
    </row>
    <row r="2271" spans="1:9" ht="19.5" hidden="1" customHeight="1" x14ac:dyDescent="0.2">
      <c r="A2271" s="105" t="str">
        <f>IF(D2271=1,COUNTIF($D$10:D2271,1)," ")</f>
        <v xml:space="preserve"> </v>
      </c>
      <c r="B2271" s="106">
        <f>COPY!AR2263</f>
        <v>0</v>
      </c>
      <c r="C2271" s="107">
        <f>COPY!AC2263</f>
        <v>0</v>
      </c>
      <c r="D2271" s="107" t="str">
        <f>IF(LEN(Table1722[[#This Row],[Uraian]])&gt;2,1," ")</f>
        <v xml:space="preserve"> </v>
      </c>
      <c r="E2271" s="113" t="str">
        <f>IF(Table1722[[#This Row],[Lawan Transaksi]]="CV AGUNG KARYA",COUNTIF($I$10:I2271,"CV AGUNG KARYA")," ")</f>
        <v xml:space="preserve"> </v>
      </c>
      <c r="F2271" s="107" t="str">
        <f>IF(LEN(Table1722[[#This Row],[Uraian]])&gt;2,TRIM(RIGHT(SUBSTITUTE(TRIM(C2271)," ",REPT(" ",255)),255))," ")</f>
        <v xml:space="preserve"> </v>
      </c>
      <c r="G2271" s="110">
        <f>COPY!Z2263</f>
        <v>0</v>
      </c>
      <c r="H2271" s="111" t="str">
        <f>IFERROR(VLOOKUP(Table1722[[#This Row],[Bukti]],'Un nOTA'!$A$4:$K$5003,10,FALSE),"")</f>
        <v/>
      </c>
      <c r="I2271" s="112" t="str">
        <f>IFERROR(VLOOKUP(Table1722[[#This Row],[Bukti]],Table13[#Data],11,FALSE),"")</f>
        <v/>
      </c>
    </row>
    <row r="2272" spans="1:9" ht="19.5" hidden="1" customHeight="1" x14ac:dyDescent="0.2">
      <c r="A2272" s="105" t="str">
        <f>IF(D2272=1,COUNTIF($D$10:D2272,1)," ")</f>
        <v xml:space="preserve"> </v>
      </c>
      <c r="B2272" s="106">
        <f>COPY!AR2264</f>
        <v>0</v>
      </c>
      <c r="C2272" s="107">
        <f>COPY!AC2264</f>
        <v>0</v>
      </c>
      <c r="D2272" s="107" t="str">
        <f>IF(LEN(Table1722[[#This Row],[Uraian]])&gt;2,1," ")</f>
        <v xml:space="preserve"> </v>
      </c>
      <c r="E2272" s="113" t="str">
        <f>IF(Table1722[[#This Row],[Lawan Transaksi]]="CV AGUNG KARYA",COUNTIF($I$10:I2272,"CV AGUNG KARYA")," ")</f>
        <v xml:space="preserve"> </v>
      </c>
      <c r="F2272" s="107" t="str">
        <f>IF(LEN(Table1722[[#This Row],[Uraian]])&gt;2,TRIM(RIGHT(SUBSTITUTE(TRIM(C2272)," ",REPT(" ",255)),255))," ")</f>
        <v xml:space="preserve"> </v>
      </c>
      <c r="G2272" s="110">
        <f>COPY!Z2264</f>
        <v>0</v>
      </c>
      <c r="H2272" s="111" t="str">
        <f>IFERROR(VLOOKUP(Table1722[[#This Row],[Bukti]],'Un nOTA'!$A$4:$K$5003,10,FALSE),"")</f>
        <v/>
      </c>
      <c r="I2272" s="112" t="str">
        <f>IFERROR(VLOOKUP(Table1722[[#This Row],[Bukti]],Table13[#Data],11,FALSE),"")</f>
        <v/>
      </c>
    </row>
    <row r="2273" spans="1:9" ht="19.5" hidden="1" customHeight="1" x14ac:dyDescent="0.2">
      <c r="A2273" s="105" t="str">
        <f>IF(D2273=1,COUNTIF($D$10:D2273,1)," ")</f>
        <v xml:space="preserve"> </v>
      </c>
      <c r="B2273" s="106">
        <f>COPY!AR2265</f>
        <v>0</v>
      </c>
      <c r="C2273" s="107">
        <f>COPY!AC2265</f>
        <v>0</v>
      </c>
      <c r="D2273" s="107" t="str">
        <f>IF(LEN(Table1722[[#This Row],[Uraian]])&gt;2,1," ")</f>
        <v xml:space="preserve"> </v>
      </c>
      <c r="E2273" s="113" t="str">
        <f>IF(Table1722[[#This Row],[Lawan Transaksi]]="CV AGUNG KARYA",COUNTIF($I$10:I2273,"CV AGUNG KARYA")," ")</f>
        <v xml:space="preserve"> </v>
      </c>
      <c r="F2273" s="107" t="str">
        <f>IF(LEN(Table1722[[#This Row],[Uraian]])&gt;2,TRIM(RIGHT(SUBSTITUTE(TRIM(C2273)," ",REPT(" ",255)),255))," ")</f>
        <v xml:space="preserve"> </v>
      </c>
      <c r="G2273" s="110">
        <f>COPY!Z2265</f>
        <v>0</v>
      </c>
      <c r="H2273" s="111" t="str">
        <f>IFERROR(VLOOKUP(Table1722[[#This Row],[Bukti]],'Un nOTA'!$A$4:$K$5003,10,FALSE),"")</f>
        <v/>
      </c>
      <c r="I2273" s="112" t="str">
        <f>IFERROR(VLOOKUP(Table1722[[#This Row],[Bukti]],Table13[#Data],11,FALSE),"")</f>
        <v/>
      </c>
    </row>
    <row r="2274" spans="1:9" ht="19.5" hidden="1" customHeight="1" x14ac:dyDescent="0.2">
      <c r="A2274" s="105" t="str">
        <f>IF(D2274=1,COUNTIF($D$10:D2274,1)," ")</f>
        <v xml:space="preserve"> </v>
      </c>
      <c r="B2274" s="106">
        <f>COPY!AR2266</f>
        <v>0</v>
      </c>
      <c r="C2274" s="107">
        <f>COPY!AC2266</f>
        <v>0</v>
      </c>
      <c r="D2274" s="107" t="str">
        <f>IF(LEN(Table1722[[#This Row],[Uraian]])&gt;2,1," ")</f>
        <v xml:space="preserve"> </v>
      </c>
      <c r="E2274" s="113" t="str">
        <f>IF(Table1722[[#This Row],[Lawan Transaksi]]="CV AGUNG KARYA",COUNTIF($I$10:I2274,"CV AGUNG KARYA")," ")</f>
        <v xml:space="preserve"> </v>
      </c>
      <c r="F2274" s="107" t="str">
        <f>IF(LEN(Table1722[[#This Row],[Uraian]])&gt;2,TRIM(RIGHT(SUBSTITUTE(TRIM(C2274)," ",REPT(" ",255)),255))," ")</f>
        <v xml:space="preserve"> </v>
      </c>
      <c r="G2274" s="110">
        <f>COPY!Z2266</f>
        <v>0</v>
      </c>
      <c r="H2274" s="111" t="str">
        <f>IFERROR(VLOOKUP(Table1722[[#This Row],[Bukti]],'Un nOTA'!$A$4:$K$5003,10,FALSE),"")</f>
        <v/>
      </c>
      <c r="I2274" s="112" t="str">
        <f>IFERROR(VLOOKUP(Table1722[[#This Row],[Bukti]],Table13[#Data],11,FALSE),"")</f>
        <v/>
      </c>
    </row>
    <row r="2275" spans="1:9" ht="19.5" hidden="1" customHeight="1" x14ac:dyDescent="0.2">
      <c r="A2275" s="105" t="str">
        <f>IF(D2275=1,COUNTIF($D$10:D2275,1)," ")</f>
        <v xml:space="preserve"> </v>
      </c>
      <c r="B2275" s="106">
        <f>COPY!AR2267</f>
        <v>0</v>
      </c>
      <c r="C2275" s="107">
        <f>COPY!AC2267</f>
        <v>0</v>
      </c>
      <c r="D2275" s="107" t="str">
        <f>IF(LEN(Table1722[[#This Row],[Uraian]])&gt;2,1," ")</f>
        <v xml:space="preserve"> </v>
      </c>
      <c r="E2275" s="113" t="str">
        <f>IF(Table1722[[#This Row],[Lawan Transaksi]]="CV AGUNG KARYA",COUNTIF($I$10:I2275,"CV AGUNG KARYA")," ")</f>
        <v xml:space="preserve"> </v>
      </c>
      <c r="F2275" s="107" t="str">
        <f>IF(LEN(Table1722[[#This Row],[Uraian]])&gt;2,TRIM(RIGHT(SUBSTITUTE(TRIM(C2275)," ",REPT(" ",255)),255))," ")</f>
        <v xml:space="preserve"> </v>
      </c>
      <c r="G2275" s="110">
        <f>COPY!Z2267</f>
        <v>0</v>
      </c>
      <c r="H2275" s="111" t="str">
        <f>IFERROR(VLOOKUP(Table1722[[#This Row],[Bukti]],'Un nOTA'!$A$4:$K$5003,10,FALSE),"")</f>
        <v/>
      </c>
      <c r="I2275" s="112" t="str">
        <f>IFERROR(VLOOKUP(Table1722[[#This Row],[Bukti]],Table13[#Data],11,FALSE),"")</f>
        <v/>
      </c>
    </row>
    <row r="2276" spans="1:9" ht="19.5" hidden="1" customHeight="1" x14ac:dyDescent="0.2">
      <c r="A2276" s="105" t="str">
        <f>IF(D2276=1,COUNTIF($D$10:D2276,1)," ")</f>
        <v xml:space="preserve"> </v>
      </c>
      <c r="B2276" s="106">
        <f>COPY!AR2268</f>
        <v>0</v>
      </c>
      <c r="C2276" s="107">
        <f>COPY!AC2268</f>
        <v>0</v>
      </c>
      <c r="D2276" s="107" t="str">
        <f>IF(LEN(Table1722[[#This Row],[Uraian]])&gt;2,1," ")</f>
        <v xml:space="preserve"> </v>
      </c>
      <c r="E2276" s="113" t="str">
        <f>IF(Table1722[[#This Row],[Lawan Transaksi]]="CV AGUNG KARYA",COUNTIF($I$10:I2276,"CV AGUNG KARYA")," ")</f>
        <v xml:space="preserve"> </v>
      </c>
      <c r="F2276" s="107" t="str">
        <f>IF(LEN(Table1722[[#This Row],[Uraian]])&gt;2,TRIM(RIGHT(SUBSTITUTE(TRIM(C2276)," ",REPT(" ",255)),255))," ")</f>
        <v xml:space="preserve"> </v>
      </c>
      <c r="G2276" s="110">
        <f>COPY!Z2268</f>
        <v>0</v>
      </c>
      <c r="H2276" s="111" t="str">
        <f>IFERROR(VLOOKUP(Table1722[[#This Row],[Bukti]],'Un nOTA'!$A$4:$K$5003,10,FALSE),"")</f>
        <v/>
      </c>
      <c r="I2276" s="112" t="str">
        <f>IFERROR(VLOOKUP(Table1722[[#This Row],[Bukti]],Table13[#Data],11,FALSE),"")</f>
        <v/>
      </c>
    </row>
    <row r="2277" spans="1:9" ht="19.5" hidden="1" customHeight="1" x14ac:dyDescent="0.2">
      <c r="A2277" s="105" t="str">
        <f>IF(D2277=1,COUNTIF($D$10:D2277,1)," ")</f>
        <v xml:space="preserve"> </v>
      </c>
      <c r="B2277" s="106">
        <f>COPY!AR2269</f>
        <v>0</v>
      </c>
      <c r="C2277" s="107">
        <f>COPY!AC2269</f>
        <v>0</v>
      </c>
      <c r="D2277" s="107" t="str">
        <f>IF(LEN(Table1722[[#This Row],[Uraian]])&gt;2,1," ")</f>
        <v xml:space="preserve"> </v>
      </c>
      <c r="E2277" s="113" t="str">
        <f>IF(Table1722[[#This Row],[Lawan Transaksi]]="CV AGUNG KARYA",COUNTIF($I$10:I2277,"CV AGUNG KARYA")," ")</f>
        <v xml:space="preserve"> </v>
      </c>
      <c r="F2277" s="107" t="str">
        <f>IF(LEN(Table1722[[#This Row],[Uraian]])&gt;2,TRIM(RIGHT(SUBSTITUTE(TRIM(C2277)," ",REPT(" ",255)),255))," ")</f>
        <v xml:space="preserve"> </v>
      </c>
      <c r="G2277" s="110">
        <f>COPY!Z2269</f>
        <v>0</v>
      </c>
      <c r="H2277" s="111" t="str">
        <f>IFERROR(VLOOKUP(Table1722[[#This Row],[Bukti]],'Un nOTA'!$A$4:$K$5003,10,FALSE),"")</f>
        <v/>
      </c>
      <c r="I2277" s="112" t="str">
        <f>IFERROR(VLOOKUP(Table1722[[#This Row],[Bukti]],Table13[#Data],11,FALSE),"")</f>
        <v/>
      </c>
    </row>
    <row r="2278" spans="1:9" ht="19.5" hidden="1" customHeight="1" x14ac:dyDescent="0.2">
      <c r="A2278" s="105" t="str">
        <f>IF(D2278=1,COUNTIF($D$10:D2278,1)," ")</f>
        <v xml:space="preserve"> </v>
      </c>
      <c r="B2278" s="106">
        <f>COPY!AR2270</f>
        <v>0</v>
      </c>
      <c r="C2278" s="107">
        <f>COPY!AC2270</f>
        <v>0</v>
      </c>
      <c r="D2278" s="107" t="str">
        <f>IF(LEN(Table1722[[#This Row],[Uraian]])&gt;2,1," ")</f>
        <v xml:space="preserve"> </v>
      </c>
      <c r="E2278" s="113" t="str">
        <f>IF(Table1722[[#This Row],[Lawan Transaksi]]="CV AGUNG KARYA",COUNTIF($I$10:I2278,"CV AGUNG KARYA")," ")</f>
        <v xml:space="preserve"> </v>
      </c>
      <c r="F2278" s="107" t="str">
        <f>IF(LEN(Table1722[[#This Row],[Uraian]])&gt;2,TRIM(RIGHT(SUBSTITUTE(TRIM(C2278)," ",REPT(" ",255)),255))," ")</f>
        <v xml:space="preserve"> </v>
      </c>
      <c r="G2278" s="110">
        <f>COPY!Z2270</f>
        <v>0</v>
      </c>
      <c r="H2278" s="111" t="str">
        <f>IFERROR(VLOOKUP(Table1722[[#This Row],[Bukti]],'Un nOTA'!$A$4:$K$5003,10,FALSE),"")</f>
        <v/>
      </c>
      <c r="I2278" s="112" t="str">
        <f>IFERROR(VLOOKUP(Table1722[[#This Row],[Bukti]],Table13[#Data],11,FALSE),"")</f>
        <v/>
      </c>
    </row>
    <row r="2279" spans="1:9" ht="19.5" hidden="1" customHeight="1" x14ac:dyDescent="0.2">
      <c r="A2279" s="105" t="str">
        <f>IF(D2279=1,COUNTIF($D$10:D2279,1)," ")</f>
        <v xml:space="preserve"> </v>
      </c>
      <c r="B2279" s="106">
        <f>COPY!AR2271</f>
        <v>0</v>
      </c>
      <c r="C2279" s="107">
        <f>COPY!AC2271</f>
        <v>0</v>
      </c>
      <c r="D2279" s="107" t="str">
        <f>IF(LEN(Table1722[[#This Row],[Uraian]])&gt;2,1," ")</f>
        <v xml:space="preserve"> </v>
      </c>
      <c r="E2279" s="113" t="str">
        <f>IF(Table1722[[#This Row],[Lawan Transaksi]]="CV AGUNG KARYA",COUNTIF($I$10:I2279,"CV AGUNG KARYA")," ")</f>
        <v xml:space="preserve"> </v>
      </c>
      <c r="F2279" s="107" t="str">
        <f>IF(LEN(Table1722[[#This Row],[Uraian]])&gt;2,TRIM(RIGHT(SUBSTITUTE(TRIM(C2279)," ",REPT(" ",255)),255))," ")</f>
        <v xml:space="preserve"> </v>
      </c>
      <c r="G2279" s="110">
        <f>COPY!Z2271</f>
        <v>0</v>
      </c>
      <c r="H2279" s="111" t="str">
        <f>IFERROR(VLOOKUP(Table1722[[#This Row],[Bukti]],'Un nOTA'!$A$4:$K$5003,10,FALSE),"")</f>
        <v/>
      </c>
      <c r="I2279" s="112" t="str">
        <f>IFERROR(VLOOKUP(Table1722[[#This Row],[Bukti]],Table13[#Data],11,FALSE),"")</f>
        <v/>
      </c>
    </row>
    <row r="2280" spans="1:9" ht="19.5" hidden="1" customHeight="1" x14ac:dyDescent="0.2">
      <c r="A2280" s="105" t="str">
        <f>IF(D2280=1,COUNTIF($D$10:D2280,1)," ")</f>
        <v xml:space="preserve"> </v>
      </c>
      <c r="B2280" s="106">
        <f>COPY!AR2272</f>
        <v>0</v>
      </c>
      <c r="C2280" s="107">
        <f>COPY!AC2272</f>
        <v>0</v>
      </c>
      <c r="D2280" s="107" t="str">
        <f>IF(LEN(Table1722[[#This Row],[Uraian]])&gt;2,1," ")</f>
        <v xml:space="preserve"> </v>
      </c>
      <c r="E2280" s="113" t="str">
        <f>IF(Table1722[[#This Row],[Lawan Transaksi]]="CV AGUNG KARYA",COUNTIF($I$10:I2280,"CV AGUNG KARYA")," ")</f>
        <v xml:space="preserve"> </v>
      </c>
      <c r="F2280" s="107" t="str">
        <f>IF(LEN(Table1722[[#This Row],[Uraian]])&gt;2,TRIM(RIGHT(SUBSTITUTE(TRIM(C2280)," ",REPT(" ",255)),255))," ")</f>
        <v xml:space="preserve"> </v>
      </c>
      <c r="G2280" s="110">
        <f>COPY!Z2272</f>
        <v>0</v>
      </c>
      <c r="H2280" s="111" t="str">
        <f>IFERROR(VLOOKUP(Table1722[[#This Row],[Bukti]],'Un nOTA'!$A$4:$K$5003,10,FALSE),"")</f>
        <v/>
      </c>
      <c r="I2280" s="112" t="str">
        <f>IFERROR(VLOOKUP(Table1722[[#This Row],[Bukti]],Table13[#Data],11,FALSE),"")</f>
        <v/>
      </c>
    </row>
    <row r="2281" spans="1:9" ht="19.5" hidden="1" customHeight="1" x14ac:dyDescent="0.2">
      <c r="A2281" s="105" t="str">
        <f>IF(D2281=1,COUNTIF($D$10:D2281,1)," ")</f>
        <v xml:space="preserve"> </v>
      </c>
      <c r="B2281" s="106">
        <f>COPY!AR2273</f>
        <v>0</v>
      </c>
      <c r="C2281" s="107">
        <f>COPY!AC2273</f>
        <v>0</v>
      </c>
      <c r="D2281" s="107" t="str">
        <f>IF(LEN(Table1722[[#This Row],[Uraian]])&gt;2,1," ")</f>
        <v xml:space="preserve"> </v>
      </c>
      <c r="E2281" s="113" t="str">
        <f>IF(Table1722[[#This Row],[Lawan Transaksi]]="CV AGUNG KARYA",COUNTIF($I$10:I2281,"CV AGUNG KARYA")," ")</f>
        <v xml:space="preserve"> </v>
      </c>
      <c r="F2281" s="107" t="str">
        <f>IF(LEN(Table1722[[#This Row],[Uraian]])&gt;2,TRIM(RIGHT(SUBSTITUTE(TRIM(C2281)," ",REPT(" ",255)),255))," ")</f>
        <v xml:space="preserve"> </v>
      </c>
      <c r="G2281" s="110">
        <f>COPY!Z2273</f>
        <v>0</v>
      </c>
      <c r="H2281" s="111" t="str">
        <f>IFERROR(VLOOKUP(Table1722[[#This Row],[Bukti]],'Un nOTA'!$A$4:$K$5003,10,FALSE),"")</f>
        <v/>
      </c>
      <c r="I2281" s="112" t="str">
        <f>IFERROR(VLOOKUP(Table1722[[#This Row],[Bukti]],Table13[#Data],11,FALSE),"")</f>
        <v/>
      </c>
    </row>
    <row r="2282" spans="1:9" ht="19.5" hidden="1" customHeight="1" x14ac:dyDescent="0.2">
      <c r="A2282" s="105" t="str">
        <f>IF(D2282=1,COUNTIF($D$10:D2282,1)," ")</f>
        <v xml:space="preserve"> </v>
      </c>
      <c r="B2282" s="106">
        <f>COPY!AR2274</f>
        <v>0</v>
      </c>
      <c r="C2282" s="107">
        <f>COPY!AC2274</f>
        <v>0</v>
      </c>
      <c r="D2282" s="107" t="str">
        <f>IF(LEN(Table1722[[#This Row],[Uraian]])&gt;2,1," ")</f>
        <v xml:space="preserve"> </v>
      </c>
      <c r="E2282" s="113" t="str">
        <f>IF(Table1722[[#This Row],[Lawan Transaksi]]="CV AGUNG KARYA",COUNTIF($I$10:I2282,"CV AGUNG KARYA")," ")</f>
        <v xml:space="preserve"> </v>
      </c>
      <c r="F2282" s="107" t="str">
        <f>IF(LEN(Table1722[[#This Row],[Uraian]])&gt;2,TRIM(RIGHT(SUBSTITUTE(TRIM(C2282)," ",REPT(" ",255)),255))," ")</f>
        <v xml:space="preserve"> </v>
      </c>
      <c r="G2282" s="110">
        <f>COPY!Z2274</f>
        <v>0</v>
      </c>
      <c r="H2282" s="111" t="str">
        <f>IFERROR(VLOOKUP(Table1722[[#This Row],[Bukti]],'Un nOTA'!$A$4:$K$5003,10,FALSE),"")</f>
        <v/>
      </c>
      <c r="I2282" s="112" t="str">
        <f>IFERROR(VLOOKUP(Table1722[[#This Row],[Bukti]],Table13[#Data],11,FALSE),"")</f>
        <v/>
      </c>
    </row>
    <row r="2283" spans="1:9" ht="19.5" hidden="1" customHeight="1" x14ac:dyDescent="0.2">
      <c r="A2283" s="105" t="str">
        <f>IF(D2283=1,COUNTIF($D$10:D2283,1)," ")</f>
        <v xml:space="preserve"> </v>
      </c>
      <c r="B2283" s="106">
        <f>COPY!AR2275</f>
        <v>0</v>
      </c>
      <c r="C2283" s="107">
        <f>COPY!AC2275</f>
        <v>0</v>
      </c>
      <c r="D2283" s="107" t="str">
        <f>IF(LEN(Table1722[[#This Row],[Uraian]])&gt;2,1," ")</f>
        <v xml:space="preserve"> </v>
      </c>
      <c r="E2283" s="113" t="str">
        <f>IF(Table1722[[#This Row],[Lawan Transaksi]]="CV AGUNG KARYA",COUNTIF($I$10:I2283,"CV AGUNG KARYA")," ")</f>
        <v xml:space="preserve"> </v>
      </c>
      <c r="F2283" s="107" t="str">
        <f>IF(LEN(Table1722[[#This Row],[Uraian]])&gt;2,TRIM(RIGHT(SUBSTITUTE(TRIM(C2283)," ",REPT(" ",255)),255))," ")</f>
        <v xml:space="preserve"> </v>
      </c>
      <c r="G2283" s="110">
        <f>COPY!Z2275</f>
        <v>0</v>
      </c>
      <c r="H2283" s="111" t="str">
        <f>IFERROR(VLOOKUP(Table1722[[#This Row],[Bukti]],'Un nOTA'!$A$4:$K$5003,10,FALSE),"")</f>
        <v/>
      </c>
      <c r="I2283" s="112" t="str">
        <f>IFERROR(VLOOKUP(Table1722[[#This Row],[Bukti]],Table13[#Data],11,FALSE),"")</f>
        <v/>
      </c>
    </row>
    <row r="2284" spans="1:9" ht="19.5" hidden="1" customHeight="1" x14ac:dyDescent="0.2">
      <c r="A2284" s="105" t="str">
        <f>IF(D2284=1,COUNTIF($D$10:D2284,1)," ")</f>
        <v xml:space="preserve"> </v>
      </c>
      <c r="B2284" s="106">
        <f>COPY!AR2276</f>
        <v>0</v>
      </c>
      <c r="C2284" s="107">
        <f>COPY!AC2276</f>
        <v>0</v>
      </c>
      <c r="D2284" s="107" t="str">
        <f>IF(LEN(Table1722[[#This Row],[Uraian]])&gt;2,1," ")</f>
        <v xml:space="preserve"> </v>
      </c>
      <c r="E2284" s="113" t="str">
        <f>IF(Table1722[[#This Row],[Lawan Transaksi]]="CV AGUNG KARYA",COUNTIF($I$10:I2284,"CV AGUNG KARYA")," ")</f>
        <v xml:space="preserve"> </v>
      </c>
      <c r="F2284" s="107" t="str">
        <f>IF(LEN(Table1722[[#This Row],[Uraian]])&gt;2,TRIM(RIGHT(SUBSTITUTE(TRIM(C2284)," ",REPT(" ",255)),255))," ")</f>
        <v xml:space="preserve"> </v>
      </c>
      <c r="G2284" s="110">
        <f>COPY!Z2276</f>
        <v>0</v>
      </c>
      <c r="H2284" s="111" t="str">
        <f>IFERROR(VLOOKUP(Table1722[[#This Row],[Bukti]],'Un nOTA'!$A$4:$K$5003,10,FALSE),"")</f>
        <v/>
      </c>
      <c r="I2284" s="112" t="str">
        <f>IFERROR(VLOOKUP(Table1722[[#This Row],[Bukti]],Table13[#Data],11,FALSE),"")</f>
        <v/>
      </c>
    </row>
    <row r="2285" spans="1:9" ht="19.5" hidden="1" customHeight="1" x14ac:dyDescent="0.2">
      <c r="A2285" s="105" t="str">
        <f>IF(D2285=1,COUNTIF($D$10:D2285,1)," ")</f>
        <v xml:space="preserve"> </v>
      </c>
      <c r="B2285" s="106">
        <f>COPY!AR2277</f>
        <v>0</v>
      </c>
      <c r="C2285" s="107">
        <f>COPY!AC2277</f>
        <v>0</v>
      </c>
      <c r="D2285" s="107" t="str">
        <f>IF(LEN(Table1722[[#This Row],[Uraian]])&gt;2,1," ")</f>
        <v xml:space="preserve"> </v>
      </c>
      <c r="E2285" s="113" t="str">
        <f>IF(Table1722[[#This Row],[Lawan Transaksi]]="CV AGUNG KARYA",COUNTIF($I$10:I2285,"CV AGUNG KARYA")," ")</f>
        <v xml:space="preserve"> </v>
      </c>
      <c r="F2285" s="107" t="str">
        <f>IF(LEN(Table1722[[#This Row],[Uraian]])&gt;2,TRIM(RIGHT(SUBSTITUTE(TRIM(C2285)," ",REPT(" ",255)),255))," ")</f>
        <v xml:space="preserve"> </v>
      </c>
      <c r="G2285" s="110">
        <f>COPY!Z2277</f>
        <v>0</v>
      </c>
      <c r="H2285" s="111" t="str">
        <f>IFERROR(VLOOKUP(Table1722[[#This Row],[Bukti]],'Un nOTA'!$A$4:$K$5003,10,FALSE),"")</f>
        <v/>
      </c>
      <c r="I2285" s="112" t="str">
        <f>IFERROR(VLOOKUP(Table1722[[#This Row],[Bukti]],Table13[#Data],11,FALSE),"")</f>
        <v/>
      </c>
    </row>
    <row r="2286" spans="1:9" ht="19.5" hidden="1" customHeight="1" x14ac:dyDescent="0.2">
      <c r="A2286" s="105" t="str">
        <f>IF(D2286=1,COUNTIF($D$10:D2286,1)," ")</f>
        <v xml:space="preserve"> </v>
      </c>
      <c r="B2286" s="106">
        <f>COPY!AR2278</f>
        <v>0</v>
      </c>
      <c r="C2286" s="107">
        <f>COPY!AC2278</f>
        <v>0</v>
      </c>
      <c r="D2286" s="107" t="str">
        <f>IF(LEN(Table1722[[#This Row],[Uraian]])&gt;2,1," ")</f>
        <v xml:space="preserve"> </v>
      </c>
      <c r="E2286" s="113" t="str">
        <f>IF(Table1722[[#This Row],[Lawan Transaksi]]="CV AGUNG KARYA",COUNTIF($I$10:I2286,"CV AGUNG KARYA")," ")</f>
        <v xml:space="preserve"> </v>
      </c>
      <c r="F2286" s="107" t="str">
        <f>IF(LEN(Table1722[[#This Row],[Uraian]])&gt;2,TRIM(RIGHT(SUBSTITUTE(TRIM(C2286)," ",REPT(" ",255)),255))," ")</f>
        <v xml:space="preserve"> </v>
      </c>
      <c r="G2286" s="110">
        <f>COPY!Z2278</f>
        <v>0</v>
      </c>
      <c r="H2286" s="111" t="str">
        <f>IFERROR(VLOOKUP(Table1722[[#This Row],[Bukti]],'Un nOTA'!$A$4:$K$5003,10,FALSE),"")</f>
        <v/>
      </c>
      <c r="I2286" s="112" t="str">
        <f>IFERROR(VLOOKUP(Table1722[[#This Row],[Bukti]],Table13[#Data],11,FALSE),"")</f>
        <v/>
      </c>
    </row>
    <row r="2287" spans="1:9" ht="19.5" hidden="1" customHeight="1" x14ac:dyDescent="0.2">
      <c r="A2287" s="105" t="str">
        <f>IF(D2287=1,COUNTIF($D$10:D2287,1)," ")</f>
        <v xml:space="preserve"> </v>
      </c>
      <c r="B2287" s="106">
        <f>COPY!AR2279</f>
        <v>0</v>
      </c>
      <c r="C2287" s="107">
        <f>COPY!AC2279</f>
        <v>0</v>
      </c>
      <c r="D2287" s="107" t="str">
        <f>IF(LEN(Table1722[[#This Row],[Uraian]])&gt;2,1," ")</f>
        <v xml:space="preserve"> </v>
      </c>
      <c r="E2287" s="113" t="str">
        <f>IF(Table1722[[#This Row],[Lawan Transaksi]]="CV AGUNG KARYA",COUNTIF($I$10:I2287,"CV AGUNG KARYA")," ")</f>
        <v xml:space="preserve"> </v>
      </c>
      <c r="F2287" s="107" t="str">
        <f>IF(LEN(Table1722[[#This Row],[Uraian]])&gt;2,TRIM(RIGHT(SUBSTITUTE(TRIM(C2287)," ",REPT(" ",255)),255))," ")</f>
        <v xml:space="preserve"> </v>
      </c>
      <c r="G2287" s="110">
        <f>COPY!Z2279</f>
        <v>0</v>
      </c>
      <c r="H2287" s="111" t="str">
        <f>IFERROR(VLOOKUP(Table1722[[#This Row],[Bukti]],'Un nOTA'!$A$4:$K$5003,10,FALSE),"")</f>
        <v/>
      </c>
      <c r="I2287" s="112" t="str">
        <f>IFERROR(VLOOKUP(Table1722[[#This Row],[Bukti]],Table13[#Data],11,FALSE),"")</f>
        <v/>
      </c>
    </row>
    <row r="2288" spans="1:9" ht="19.5" hidden="1" customHeight="1" x14ac:dyDescent="0.2">
      <c r="A2288" s="105" t="str">
        <f>IF(D2288=1,COUNTIF($D$10:D2288,1)," ")</f>
        <v xml:space="preserve"> </v>
      </c>
      <c r="B2288" s="106">
        <f>COPY!AR2280</f>
        <v>0</v>
      </c>
      <c r="C2288" s="107">
        <f>COPY!AC2280</f>
        <v>0</v>
      </c>
      <c r="D2288" s="107" t="str">
        <f>IF(LEN(Table1722[[#This Row],[Uraian]])&gt;2,1," ")</f>
        <v xml:space="preserve"> </v>
      </c>
      <c r="E2288" s="113" t="str">
        <f>IF(Table1722[[#This Row],[Lawan Transaksi]]="CV AGUNG KARYA",COUNTIF($I$10:I2288,"CV AGUNG KARYA")," ")</f>
        <v xml:space="preserve"> </v>
      </c>
      <c r="F2288" s="107" t="str">
        <f>IF(LEN(Table1722[[#This Row],[Uraian]])&gt;2,TRIM(RIGHT(SUBSTITUTE(TRIM(C2288)," ",REPT(" ",255)),255))," ")</f>
        <v xml:space="preserve"> </v>
      </c>
      <c r="G2288" s="110">
        <f>COPY!Z2280</f>
        <v>0</v>
      </c>
      <c r="H2288" s="111" t="str">
        <f>IFERROR(VLOOKUP(Table1722[[#This Row],[Bukti]],'Un nOTA'!$A$4:$K$5003,10,FALSE),"")</f>
        <v/>
      </c>
      <c r="I2288" s="112" t="str">
        <f>IFERROR(VLOOKUP(Table1722[[#This Row],[Bukti]],Table13[#Data],11,FALSE),"")</f>
        <v/>
      </c>
    </row>
    <row r="2289" spans="1:9" ht="19.5" hidden="1" customHeight="1" x14ac:dyDescent="0.2">
      <c r="A2289" s="105" t="str">
        <f>IF(D2289=1,COUNTIF($D$10:D2289,1)," ")</f>
        <v xml:space="preserve"> </v>
      </c>
      <c r="B2289" s="106">
        <f>COPY!AR2281</f>
        <v>0</v>
      </c>
      <c r="C2289" s="107">
        <f>COPY!AC2281</f>
        <v>0</v>
      </c>
      <c r="D2289" s="107" t="str">
        <f>IF(LEN(Table1722[[#This Row],[Uraian]])&gt;2,1," ")</f>
        <v xml:space="preserve"> </v>
      </c>
      <c r="E2289" s="113" t="str">
        <f>IF(Table1722[[#This Row],[Lawan Transaksi]]="CV AGUNG KARYA",COUNTIF($I$10:I2289,"CV AGUNG KARYA")," ")</f>
        <v xml:space="preserve"> </v>
      </c>
      <c r="F2289" s="107" t="str">
        <f>IF(LEN(Table1722[[#This Row],[Uraian]])&gt;2,TRIM(RIGHT(SUBSTITUTE(TRIM(C2289)," ",REPT(" ",255)),255))," ")</f>
        <v xml:space="preserve"> </v>
      </c>
      <c r="G2289" s="110">
        <f>COPY!Z2281</f>
        <v>0</v>
      </c>
      <c r="H2289" s="111" t="str">
        <f>IFERROR(VLOOKUP(Table1722[[#This Row],[Bukti]],'Un nOTA'!$A$4:$K$5003,10,FALSE),"")</f>
        <v/>
      </c>
      <c r="I2289" s="112" t="str">
        <f>IFERROR(VLOOKUP(Table1722[[#This Row],[Bukti]],Table13[#Data],11,FALSE),"")</f>
        <v/>
      </c>
    </row>
    <row r="2290" spans="1:9" ht="19.5" hidden="1" customHeight="1" x14ac:dyDescent="0.2">
      <c r="A2290" s="105" t="str">
        <f>IF(D2290=1,COUNTIF($D$10:D2290,1)," ")</f>
        <v xml:space="preserve"> </v>
      </c>
      <c r="B2290" s="106">
        <f>COPY!AR2282</f>
        <v>0</v>
      </c>
      <c r="C2290" s="107">
        <f>COPY!AC2282</f>
        <v>0</v>
      </c>
      <c r="D2290" s="107" t="str">
        <f>IF(LEN(Table1722[[#This Row],[Uraian]])&gt;2,1," ")</f>
        <v xml:space="preserve"> </v>
      </c>
      <c r="E2290" s="113" t="str">
        <f>IF(Table1722[[#This Row],[Lawan Transaksi]]="CV AGUNG KARYA",COUNTIF($I$10:I2290,"CV AGUNG KARYA")," ")</f>
        <v xml:space="preserve"> </v>
      </c>
      <c r="F2290" s="107" t="str">
        <f>IF(LEN(Table1722[[#This Row],[Uraian]])&gt;2,TRIM(RIGHT(SUBSTITUTE(TRIM(C2290)," ",REPT(" ",255)),255))," ")</f>
        <v xml:space="preserve"> </v>
      </c>
      <c r="G2290" s="110">
        <f>COPY!Z2282</f>
        <v>0</v>
      </c>
      <c r="H2290" s="111" t="str">
        <f>IFERROR(VLOOKUP(Table1722[[#This Row],[Bukti]],'Un nOTA'!$A$4:$K$5003,10,FALSE),"")</f>
        <v/>
      </c>
      <c r="I2290" s="112" t="str">
        <f>IFERROR(VLOOKUP(Table1722[[#This Row],[Bukti]],Table13[#Data],11,FALSE),"")</f>
        <v/>
      </c>
    </row>
    <row r="2291" spans="1:9" ht="19.5" hidden="1" customHeight="1" x14ac:dyDescent="0.2">
      <c r="A2291" s="105" t="str">
        <f>IF(D2291=1,COUNTIF($D$10:D2291,1)," ")</f>
        <v xml:space="preserve"> </v>
      </c>
      <c r="B2291" s="106">
        <f>COPY!AR2283</f>
        <v>0</v>
      </c>
      <c r="C2291" s="107">
        <f>COPY!AC2283</f>
        <v>0</v>
      </c>
      <c r="D2291" s="107" t="str">
        <f>IF(LEN(Table1722[[#This Row],[Uraian]])&gt;2,1," ")</f>
        <v xml:space="preserve"> </v>
      </c>
      <c r="E2291" s="113" t="str">
        <f>IF(Table1722[[#This Row],[Lawan Transaksi]]="CV AGUNG KARYA",COUNTIF($I$10:I2291,"CV AGUNG KARYA")," ")</f>
        <v xml:space="preserve"> </v>
      </c>
      <c r="F2291" s="107" t="str">
        <f>IF(LEN(Table1722[[#This Row],[Uraian]])&gt;2,TRIM(RIGHT(SUBSTITUTE(TRIM(C2291)," ",REPT(" ",255)),255))," ")</f>
        <v xml:space="preserve"> </v>
      </c>
      <c r="G2291" s="110">
        <f>COPY!Z2283</f>
        <v>0</v>
      </c>
      <c r="H2291" s="111" t="str">
        <f>IFERROR(VLOOKUP(Table1722[[#This Row],[Bukti]],'Un nOTA'!$A$4:$K$5003,10,FALSE),"")</f>
        <v/>
      </c>
      <c r="I2291" s="112" t="str">
        <f>IFERROR(VLOOKUP(Table1722[[#This Row],[Bukti]],Table13[#Data],11,FALSE),"")</f>
        <v/>
      </c>
    </row>
    <row r="2292" spans="1:9" ht="19.5" hidden="1" customHeight="1" x14ac:dyDescent="0.2">
      <c r="A2292" s="105" t="str">
        <f>IF(D2292=1,COUNTIF($D$10:D2292,1)," ")</f>
        <v xml:space="preserve"> </v>
      </c>
      <c r="B2292" s="106">
        <f>COPY!AR2284</f>
        <v>0</v>
      </c>
      <c r="C2292" s="107">
        <f>COPY!AC2284</f>
        <v>0</v>
      </c>
      <c r="D2292" s="107" t="str">
        <f>IF(LEN(Table1722[[#This Row],[Uraian]])&gt;2,1," ")</f>
        <v xml:space="preserve"> </v>
      </c>
      <c r="E2292" s="113" t="str">
        <f>IF(Table1722[[#This Row],[Lawan Transaksi]]="CV AGUNG KARYA",COUNTIF($I$10:I2292,"CV AGUNG KARYA")," ")</f>
        <v xml:space="preserve"> </v>
      </c>
      <c r="F2292" s="107" t="str">
        <f>IF(LEN(Table1722[[#This Row],[Uraian]])&gt;2,TRIM(RIGHT(SUBSTITUTE(TRIM(C2292)," ",REPT(" ",255)),255))," ")</f>
        <v xml:space="preserve"> </v>
      </c>
      <c r="G2292" s="110">
        <f>COPY!Z2284</f>
        <v>0</v>
      </c>
      <c r="H2292" s="111" t="str">
        <f>IFERROR(VLOOKUP(Table1722[[#This Row],[Bukti]],'Un nOTA'!$A$4:$K$5003,10,FALSE),"")</f>
        <v/>
      </c>
      <c r="I2292" s="112" t="str">
        <f>IFERROR(VLOOKUP(Table1722[[#This Row],[Bukti]],Table13[#Data],11,FALSE),"")</f>
        <v/>
      </c>
    </row>
    <row r="2293" spans="1:9" ht="19.5" hidden="1" customHeight="1" x14ac:dyDescent="0.2">
      <c r="A2293" s="105" t="str">
        <f>IF(D2293=1,COUNTIF($D$10:D2293,1)," ")</f>
        <v xml:space="preserve"> </v>
      </c>
      <c r="B2293" s="106">
        <f>COPY!AR2285</f>
        <v>0</v>
      </c>
      <c r="C2293" s="107">
        <f>COPY!AC2285</f>
        <v>0</v>
      </c>
      <c r="D2293" s="107" t="str">
        <f>IF(LEN(Table1722[[#This Row],[Uraian]])&gt;2,1," ")</f>
        <v xml:space="preserve"> </v>
      </c>
      <c r="E2293" s="113" t="str">
        <f>IF(Table1722[[#This Row],[Lawan Transaksi]]="CV AGUNG KARYA",COUNTIF($I$10:I2293,"CV AGUNG KARYA")," ")</f>
        <v xml:space="preserve"> </v>
      </c>
      <c r="F2293" s="107" t="str">
        <f>IF(LEN(Table1722[[#This Row],[Uraian]])&gt;2,TRIM(RIGHT(SUBSTITUTE(TRIM(C2293)," ",REPT(" ",255)),255))," ")</f>
        <v xml:space="preserve"> </v>
      </c>
      <c r="G2293" s="110">
        <f>COPY!Z2285</f>
        <v>0</v>
      </c>
      <c r="H2293" s="111" t="str">
        <f>IFERROR(VLOOKUP(Table1722[[#This Row],[Bukti]],'Un nOTA'!$A$4:$K$5003,10,FALSE),"")</f>
        <v/>
      </c>
      <c r="I2293" s="112" t="str">
        <f>IFERROR(VLOOKUP(Table1722[[#This Row],[Bukti]],Table13[#Data],11,FALSE),"")</f>
        <v/>
      </c>
    </row>
    <row r="2294" spans="1:9" ht="19.5" hidden="1" customHeight="1" x14ac:dyDescent="0.2">
      <c r="A2294" s="105" t="str">
        <f>IF(D2294=1,COUNTIF($D$10:D2294,1)," ")</f>
        <v xml:space="preserve"> </v>
      </c>
      <c r="B2294" s="106">
        <f>COPY!AR2286</f>
        <v>0</v>
      </c>
      <c r="C2294" s="107">
        <f>COPY!AC2286</f>
        <v>0</v>
      </c>
      <c r="D2294" s="107" t="str">
        <f>IF(LEN(Table1722[[#This Row],[Uraian]])&gt;2,1," ")</f>
        <v xml:space="preserve"> </v>
      </c>
      <c r="E2294" s="113" t="str">
        <f>IF(Table1722[[#This Row],[Lawan Transaksi]]="CV AGUNG KARYA",COUNTIF($I$10:I2294,"CV AGUNG KARYA")," ")</f>
        <v xml:space="preserve"> </v>
      </c>
      <c r="F2294" s="107" t="str">
        <f>IF(LEN(Table1722[[#This Row],[Uraian]])&gt;2,TRIM(RIGHT(SUBSTITUTE(TRIM(C2294)," ",REPT(" ",255)),255))," ")</f>
        <v xml:space="preserve"> </v>
      </c>
      <c r="G2294" s="110">
        <f>COPY!Z2286</f>
        <v>0</v>
      </c>
      <c r="H2294" s="111" t="str">
        <f>IFERROR(VLOOKUP(Table1722[[#This Row],[Bukti]],'Un nOTA'!$A$4:$K$5003,10,FALSE),"")</f>
        <v/>
      </c>
      <c r="I2294" s="112" t="str">
        <f>IFERROR(VLOOKUP(Table1722[[#This Row],[Bukti]],Table13[#Data],11,FALSE),"")</f>
        <v/>
      </c>
    </row>
    <row r="2295" spans="1:9" ht="19.5" hidden="1" customHeight="1" x14ac:dyDescent="0.2">
      <c r="A2295" s="105" t="str">
        <f>IF(D2295=1,COUNTIF($D$10:D2295,1)," ")</f>
        <v xml:space="preserve"> </v>
      </c>
      <c r="B2295" s="106">
        <f>COPY!AR2287</f>
        <v>0</v>
      </c>
      <c r="C2295" s="107">
        <f>COPY!AC2287</f>
        <v>0</v>
      </c>
      <c r="D2295" s="107" t="str">
        <f>IF(LEN(Table1722[[#This Row],[Uraian]])&gt;2,1," ")</f>
        <v xml:space="preserve"> </v>
      </c>
      <c r="E2295" s="113" t="str">
        <f>IF(Table1722[[#This Row],[Lawan Transaksi]]="CV AGUNG KARYA",COUNTIF($I$10:I2295,"CV AGUNG KARYA")," ")</f>
        <v xml:space="preserve"> </v>
      </c>
      <c r="F2295" s="107" t="str">
        <f>IF(LEN(Table1722[[#This Row],[Uraian]])&gt;2,TRIM(RIGHT(SUBSTITUTE(TRIM(C2295)," ",REPT(" ",255)),255))," ")</f>
        <v xml:space="preserve"> </v>
      </c>
      <c r="G2295" s="110">
        <f>COPY!Z2287</f>
        <v>0</v>
      </c>
      <c r="H2295" s="111" t="str">
        <f>IFERROR(VLOOKUP(Table1722[[#This Row],[Bukti]],'Un nOTA'!$A$4:$K$5003,10,FALSE),"")</f>
        <v/>
      </c>
      <c r="I2295" s="112" t="str">
        <f>IFERROR(VLOOKUP(Table1722[[#This Row],[Bukti]],Table13[#Data],11,FALSE),"")</f>
        <v/>
      </c>
    </row>
    <row r="2296" spans="1:9" ht="19.5" hidden="1" customHeight="1" x14ac:dyDescent="0.2">
      <c r="A2296" s="105" t="str">
        <f>IF(D2296=1,COUNTIF($D$10:D2296,1)," ")</f>
        <v xml:space="preserve"> </v>
      </c>
      <c r="B2296" s="106">
        <f>COPY!AR2288</f>
        <v>0</v>
      </c>
      <c r="C2296" s="107">
        <f>COPY!AC2288</f>
        <v>0</v>
      </c>
      <c r="D2296" s="107" t="str">
        <f>IF(LEN(Table1722[[#This Row],[Uraian]])&gt;2,1," ")</f>
        <v xml:space="preserve"> </v>
      </c>
      <c r="E2296" s="113" t="str">
        <f>IF(Table1722[[#This Row],[Lawan Transaksi]]="CV AGUNG KARYA",COUNTIF($I$10:I2296,"CV AGUNG KARYA")," ")</f>
        <v xml:space="preserve"> </v>
      </c>
      <c r="F2296" s="107" t="str">
        <f>IF(LEN(Table1722[[#This Row],[Uraian]])&gt;2,TRIM(RIGHT(SUBSTITUTE(TRIM(C2296)," ",REPT(" ",255)),255))," ")</f>
        <v xml:space="preserve"> </v>
      </c>
      <c r="G2296" s="110">
        <f>COPY!Z2288</f>
        <v>0</v>
      </c>
      <c r="H2296" s="111" t="str">
        <f>IFERROR(VLOOKUP(Table1722[[#This Row],[Bukti]],'Un nOTA'!$A$4:$K$5003,10,FALSE),"")</f>
        <v/>
      </c>
      <c r="I2296" s="112" t="str">
        <f>IFERROR(VLOOKUP(Table1722[[#This Row],[Bukti]],Table13[#Data],11,FALSE),"")</f>
        <v/>
      </c>
    </row>
    <row r="2297" spans="1:9" ht="19.5" hidden="1" customHeight="1" x14ac:dyDescent="0.2">
      <c r="A2297" s="105" t="str">
        <f>IF(D2297=1,COUNTIF($D$10:D2297,1)," ")</f>
        <v xml:space="preserve"> </v>
      </c>
      <c r="B2297" s="106">
        <f>COPY!AR2289</f>
        <v>0</v>
      </c>
      <c r="C2297" s="107">
        <f>COPY!AC2289</f>
        <v>0</v>
      </c>
      <c r="D2297" s="107" t="str">
        <f>IF(LEN(Table1722[[#This Row],[Uraian]])&gt;2,1," ")</f>
        <v xml:space="preserve"> </v>
      </c>
      <c r="E2297" s="113" t="str">
        <f>IF(Table1722[[#This Row],[Lawan Transaksi]]="CV AGUNG KARYA",COUNTIF($I$10:I2297,"CV AGUNG KARYA")," ")</f>
        <v xml:space="preserve"> </v>
      </c>
      <c r="F2297" s="107" t="str">
        <f>IF(LEN(Table1722[[#This Row],[Uraian]])&gt;2,TRIM(RIGHT(SUBSTITUTE(TRIM(C2297)," ",REPT(" ",255)),255))," ")</f>
        <v xml:space="preserve"> </v>
      </c>
      <c r="G2297" s="110">
        <f>COPY!Z2289</f>
        <v>0</v>
      </c>
      <c r="H2297" s="111" t="str">
        <f>IFERROR(VLOOKUP(Table1722[[#This Row],[Bukti]],'Un nOTA'!$A$4:$K$5003,10,FALSE),"")</f>
        <v/>
      </c>
      <c r="I2297" s="112" t="str">
        <f>IFERROR(VLOOKUP(Table1722[[#This Row],[Bukti]],Table13[#Data],11,FALSE),"")</f>
        <v/>
      </c>
    </row>
    <row r="2298" spans="1:9" ht="19.5" hidden="1" customHeight="1" x14ac:dyDescent="0.2">
      <c r="A2298" s="105" t="str">
        <f>IF(D2298=1,COUNTIF($D$10:D2298,1)," ")</f>
        <v xml:space="preserve"> </v>
      </c>
      <c r="B2298" s="106">
        <f>COPY!AR2290</f>
        <v>0</v>
      </c>
      <c r="C2298" s="107">
        <f>COPY!AC2290</f>
        <v>0</v>
      </c>
      <c r="D2298" s="107" t="str">
        <f>IF(LEN(Table1722[[#This Row],[Uraian]])&gt;2,1," ")</f>
        <v xml:space="preserve"> </v>
      </c>
      <c r="E2298" s="113" t="str">
        <f>IF(Table1722[[#This Row],[Lawan Transaksi]]="CV AGUNG KARYA",COUNTIF($I$10:I2298,"CV AGUNG KARYA")," ")</f>
        <v xml:space="preserve"> </v>
      </c>
      <c r="F2298" s="107" t="str">
        <f>IF(LEN(Table1722[[#This Row],[Uraian]])&gt;2,TRIM(RIGHT(SUBSTITUTE(TRIM(C2298)," ",REPT(" ",255)),255))," ")</f>
        <v xml:space="preserve"> </v>
      </c>
      <c r="G2298" s="110">
        <f>COPY!Z2290</f>
        <v>0</v>
      </c>
      <c r="H2298" s="111" t="str">
        <f>IFERROR(VLOOKUP(Table1722[[#This Row],[Bukti]],'Un nOTA'!$A$4:$K$5003,10,FALSE),"")</f>
        <v/>
      </c>
      <c r="I2298" s="112" t="str">
        <f>IFERROR(VLOOKUP(Table1722[[#This Row],[Bukti]],Table13[#Data],11,FALSE),"")</f>
        <v/>
      </c>
    </row>
    <row r="2299" spans="1:9" ht="19.5" hidden="1" customHeight="1" x14ac:dyDescent="0.2">
      <c r="A2299" s="105" t="str">
        <f>IF(D2299=1,COUNTIF($D$10:D2299,1)," ")</f>
        <v xml:space="preserve"> </v>
      </c>
      <c r="B2299" s="106">
        <f>COPY!AR2291</f>
        <v>0</v>
      </c>
      <c r="C2299" s="107">
        <f>COPY!AC2291</f>
        <v>0</v>
      </c>
      <c r="D2299" s="107" t="str">
        <f>IF(LEN(Table1722[[#This Row],[Uraian]])&gt;2,1," ")</f>
        <v xml:space="preserve"> </v>
      </c>
      <c r="E2299" s="113" t="str">
        <f>IF(Table1722[[#This Row],[Lawan Transaksi]]="CV AGUNG KARYA",COUNTIF($I$10:I2299,"CV AGUNG KARYA")," ")</f>
        <v xml:space="preserve"> </v>
      </c>
      <c r="F2299" s="107" t="str">
        <f>IF(LEN(Table1722[[#This Row],[Uraian]])&gt;2,TRIM(RIGHT(SUBSTITUTE(TRIM(C2299)," ",REPT(" ",255)),255))," ")</f>
        <v xml:space="preserve"> </v>
      </c>
      <c r="G2299" s="110">
        <f>COPY!Z2291</f>
        <v>0</v>
      </c>
      <c r="H2299" s="111" t="str">
        <f>IFERROR(VLOOKUP(Table1722[[#This Row],[Bukti]],'Un nOTA'!$A$4:$K$5003,10,FALSE),"")</f>
        <v/>
      </c>
      <c r="I2299" s="112" t="str">
        <f>IFERROR(VLOOKUP(Table1722[[#This Row],[Bukti]],Table13[#Data],11,FALSE),"")</f>
        <v/>
      </c>
    </row>
    <row r="2300" spans="1:9" ht="19.5" hidden="1" customHeight="1" x14ac:dyDescent="0.2">
      <c r="A2300" s="105" t="str">
        <f>IF(D2300=1,COUNTIF($D$10:D2300,1)," ")</f>
        <v xml:space="preserve"> </v>
      </c>
      <c r="B2300" s="106">
        <f>COPY!AR2292</f>
        <v>0</v>
      </c>
      <c r="C2300" s="107">
        <f>COPY!AC2292</f>
        <v>0</v>
      </c>
      <c r="D2300" s="107" t="str">
        <f>IF(LEN(Table1722[[#This Row],[Uraian]])&gt;2,1," ")</f>
        <v xml:space="preserve"> </v>
      </c>
      <c r="E2300" s="113" t="str">
        <f>IF(Table1722[[#This Row],[Lawan Transaksi]]="CV AGUNG KARYA",COUNTIF($I$10:I2300,"CV AGUNG KARYA")," ")</f>
        <v xml:space="preserve"> </v>
      </c>
      <c r="F2300" s="107" t="str">
        <f>IF(LEN(Table1722[[#This Row],[Uraian]])&gt;2,TRIM(RIGHT(SUBSTITUTE(TRIM(C2300)," ",REPT(" ",255)),255))," ")</f>
        <v xml:space="preserve"> </v>
      </c>
      <c r="G2300" s="110">
        <f>COPY!Z2292</f>
        <v>0</v>
      </c>
      <c r="H2300" s="111" t="str">
        <f>IFERROR(VLOOKUP(Table1722[[#This Row],[Bukti]],'Un nOTA'!$A$4:$K$5003,10,FALSE),"")</f>
        <v/>
      </c>
      <c r="I2300" s="112" t="str">
        <f>IFERROR(VLOOKUP(Table1722[[#This Row],[Bukti]],Table13[#Data],11,FALSE),"")</f>
        <v/>
      </c>
    </row>
    <row r="2301" spans="1:9" ht="19.5" hidden="1" customHeight="1" x14ac:dyDescent="0.2">
      <c r="A2301" s="105" t="str">
        <f>IF(D2301=1,COUNTIF($D$10:D2301,1)," ")</f>
        <v xml:space="preserve"> </v>
      </c>
      <c r="B2301" s="106">
        <f>COPY!AR2293</f>
        <v>0</v>
      </c>
      <c r="C2301" s="107">
        <f>COPY!AC2293</f>
        <v>0</v>
      </c>
      <c r="D2301" s="107" t="str">
        <f>IF(LEN(Table1722[[#This Row],[Uraian]])&gt;2,1," ")</f>
        <v xml:space="preserve"> </v>
      </c>
      <c r="E2301" s="113" t="str">
        <f>IF(Table1722[[#This Row],[Lawan Transaksi]]="CV AGUNG KARYA",COUNTIF($I$10:I2301,"CV AGUNG KARYA")," ")</f>
        <v xml:space="preserve"> </v>
      </c>
      <c r="F2301" s="107" t="str">
        <f>IF(LEN(Table1722[[#This Row],[Uraian]])&gt;2,TRIM(RIGHT(SUBSTITUTE(TRIM(C2301)," ",REPT(" ",255)),255))," ")</f>
        <v xml:space="preserve"> </v>
      </c>
      <c r="G2301" s="110">
        <f>COPY!Z2293</f>
        <v>0</v>
      </c>
      <c r="H2301" s="111" t="str">
        <f>IFERROR(VLOOKUP(Table1722[[#This Row],[Bukti]],'Un nOTA'!$A$4:$K$5003,10,FALSE),"")</f>
        <v/>
      </c>
      <c r="I2301" s="112" t="str">
        <f>IFERROR(VLOOKUP(Table1722[[#This Row],[Bukti]],Table13[#Data],11,FALSE),"")</f>
        <v/>
      </c>
    </row>
    <row r="2302" spans="1:9" ht="19.5" hidden="1" customHeight="1" x14ac:dyDescent="0.2">
      <c r="A2302" s="105" t="str">
        <f>IF(D2302=1,COUNTIF($D$10:D2302,1)," ")</f>
        <v xml:space="preserve"> </v>
      </c>
      <c r="B2302" s="106">
        <f>COPY!AR2294</f>
        <v>0</v>
      </c>
      <c r="C2302" s="107">
        <f>COPY!AC2294</f>
        <v>0</v>
      </c>
      <c r="D2302" s="107" t="str">
        <f>IF(LEN(Table1722[[#This Row],[Uraian]])&gt;2,1," ")</f>
        <v xml:space="preserve"> </v>
      </c>
      <c r="E2302" s="113" t="str">
        <f>IF(Table1722[[#This Row],[Lawan Transaksi]]="CV AGUNG KARYA",COUNTIF($I$10:I2302,"CV AGUNG KARYA")," ")</f>
        <v xml:space="preserve"> </v>
      </c>
      <c r="F2302" s="107" t="str">
        <f>IF(LEN(Table1722[[#This Row],[Uraian]])&gt;2,TRIM(RIGHT(SUBSTITUTE(TRIM(C2302)," ",REPT(" ",255)),255))," ")</f>
        <v xml:space="preserve"> </v>
      </c>
      <c r="G2302" s="110">
        <f>COPY!Z2294</f>
        <v>0</v>
      </c>
      <c r="H2302" s="111" t="str">
        <f>IFERROR(VLOOKUP(Table1722[[#This Row],[Bukti]],'Un nOTA'!$A$4:$K$5003,10,FALSE),"")</f>
        <v/>
      </c>
      <c r="I2302" s="112" t="str">
        <f>IFERROR(VLOOKUP(Table1722[[#This Row],[Bukti]],Table13[#Data],11,FALSE),"")</f>
        <v/>
      </c>
    </row>
    <row r="2303" spans="1:9" ht="19.5" hidden="1" customHeight="1" x14ac:dyDescent="0.2">
      <c r="A2303" s="105" t="str">
        <f>IF(D2303=1,COUNTIF($D$10:D2303,1)," ")</f>
        <v xml:space="preserve"> </v>
      </c>
      <c r="B2303" s="106">
        <f>COPY!AR2295</f>
        <v>0</v>
      </c>
      <c r="C2303" s="107">
        <f>COPY!AC2295</f>
        <v>0</v>
      </c>
      <c r="D2303" s="107" t="str">
        <f>IF(LEN(Table1722[[#This Row],[Uraian]])&gt;2,1," ")</f>
        <v xml:space="preserve"> </v>
      </c>
      <c r="E2303" s="113" t="str">
        <f>IF(Table1722[[#This Row],[Lawan Transaksi]]="CV AGUNG KARYA",COUNTIF($I$10:I2303,"CV AGUNG KARYA")," ")</f>
        <v xml:space="preserve"> </v>
      </c>
      <c r="F2303" s="107" t="str">
        <f>IF(LEN(Table1722[[#This Row],[Uraian]])&gt;2,TRIM(RIGHT(SUBSTITUTE(TRIM(C2303)," ",REPT(" ",255)),255))," ")</f>
        <v xml:space="preserve"> </v>
      </c>
      <c r="G2303" s="110">
        <f>COPY!Z2295</f>
        <v>0</v>
      </c>
      <c r="H2303" s="111" t="str">
        <f>IFERROR(VLOOKUP(Table1722[[#This Row],[Bukti]],'Un nOTA'!$A$4:$K$5003,10,FALSE),"")</f>
        <v/>
      </c>
      <c r="I2303" s="112" t="str">
        <f>IFERROR(VLOOKUP(Table1722[[#This Row],[Bukti]],Table13[#Data],11,FALSE),"")</f>
        <v/>
      </c>
    </row>
    <row r="2304" spans="1:9" ht="19.5" hidden="1" customHeight="1" x14ac:dyDescent="0.2">
      <c r="A2304" s="105" t="str">
        <f>IF(D2304=1,COUNTIF($D$10:D2304,1)," ")</f>
        <v xml:space="preserve"> </v>
      </c>
      <c r="B2304" s="106">
        <f>COPY!AR2296</f>
        <v>0</v>
      </c>
      <c r="C2304" s="107">
        <f>COPY!AC2296</f>
        <v>0</v>
      </c>
      <c r="D2304" s="107" t="str">
        <f>IF(LEN(Table1722[[#This Row],[Uraian]])&gt;2,1," ")</f>
        <v xml:space="preserve"> </v>
      </c>
      <c r="E2304" s="113" t="str">
        <f>IF(Table1722[[#This Row],[Lawan Transaksi]]="CV AGUNG KARYA",COUNTIF($I$10:I2304,"CV AGUNG KARYA")," ")</f>
        <v xml:space="preserve"> </v>
      </c>
      <c r="F2304" s="107" t="str">
        <f>IF(LEN(Table1722[[#This Row],[Uraian]])&gt;2,TRIM(RIGHT(SUBSTITUTE(TRIM(C2304)," ",REPT(" ",255)),255))," ")</f>
        <v xml:space="preserve"> </v>
      </c>
      <c r="G2304" s="110">
        <f>COPY!Z2296</f>
        <v>0</v>
      </c>
      <c r="H2304" s="111" t="str">
        <f>IFERROR(VLOOKUP(Table1722[[#This Row],[Bukti]],'Un nOTA'!$A$4:$K$5003,10,FALSE),"")</f>
        <v/>
      </c>
      <c r="I2304" s="112" t="str">
        <f>IFERROR(VLOOKUP(Table1722[[#This Row],[Bukti]],Table13[#Data],11,FALSE),"")</f>
        <v/>
      </c>
    </row>
    <row r="2305" spans="1:9" ht="19.5" hidden="1" customHeight="1" x14ac:dyDescent="0.2">
      <c r="A2305" s="105" t="str">
        <f>IF(D2305=1,COUNTIF($D$10:D2305,1)," ")</f>
        <v xml:space="preserve"> </v>
      </c>
      <c r="B2305" s="106">
        <f>COPY!AR2297</f>
        <v>0</v>
      </c>
      <c r="C2305" s="107">
        <f>COPY!AC2297</f>
        <v>0</v>
      </c>
      <c r="D2305" s="107" t="str">
        <f>IF(LEN(Table1722[[#This Row],[Uraian]])&gt;2,1," ")</f>
        <v xml:space="preserve"> </v>
      </c>
      <c r="E2305" s="113" t="str">
        <f>IF(Table1722[[#This Row],[Lawan Transaksi]]="CV AGUNG KARYA",COUNTIF($I$10:I2305,"CV AGUNG KARYA")," ")</f>
        <v xml:space="preserve"> </v>
      </c>
      <c r="F2305" s="107" t="str">
        <f>IF(LEN(Table1722[[#This Row],[Uraian]])&gt;2,TRIM(RIGHT(SUBSTITUTE(TRIM(C2305)," ",REPT(" ",255)),255))," ")</f>
        <v xml:space="preserve"> </v>
      </c>
      <c r="G2305" s="110">
        <f>COPY!Z2297</f>
        <v>0</v>
      </c>
      <c r="H2305" s="111" t="str">
        <f>IFERROR(VLOOKUP(Table1722[[#This Row],[Bukti]],'Un nOTA'!$A$4:$K$5003,10,FALSE),"")</f>
        <v/>
      </c>
      <c r="I2305" s="112" t="str">
        <f>IFERROR(VLOOKUP(Table1722[[#This Row],[Bukti]],Table13[#Data],11,FALSE),"")</f>
        <v/>
      </c>
    </row>
    <row r="2306" spans="1:9" ht="19.5" hidden="1" customHeight="1" x14ac:dyDescent="0.2">
      <c r="A2306" s="105" t="str">
        <f>IF(D2306=1,COUNTIF($D$10:D2306,1)," ")</f>
        <v xml:space="preserve"> </v>
      </c>
      <c r="B2306" s="106">
        <f>COPY!AR2298</f>
        <v>0</v>
      </c>
      <c r="C2306" s="107">
        <f>COPY!AC2298</f>
        <v>0</v>
      </c>
      <c r="D2306" s="107" t="str">
        <f>IF(LEN(Table1722[[#This Row],[Uraian]])&gt;2,1," ")</f>
        <v xml:space="preserve"> </v>
      </c>
      <c r="E2306" s="113" t="str">
        <f>IF(Table1722[[#This Row],[Lawan Transaksi]]="CV AGUNG KARYA",COUNTIF($I$10:I2306,"CV AGUNG KARYA")," ")</f>
        <v xml:space="preserve"> </v>
      </c>
      <c r="F2306" s="107" t="str">
        <f>IF(LEN(Table1722[[#This Row],[Uraian]])&gt;2,TRIM(RIGHT(SUBSTITUTE(TRIM(C2306)," ",REPT(" ",255)),255))," ")</f>
        <v xml:space="preserve"> </v>
      </c>
      <c r="G2306" s="110">
        <f>COPY!Z2298</f>
        <v>0</v>
      </c>
      <c r="H2306" s="111" t="str">
        <f>IFERROR(VLOOKUP(Table1722[[#This Row],[Bukti]],'Un nOTA'!$A$4:$K$5003,10,FALSE),"")</f>
        <v/>
      </c>
      <c r="I2306" s="112" t="str">
        <f>IFERROR(VLOOKUP(Table1722[[#This Row],[Bukti]],Table13[#Data],11,FALSE),"")</f>
        <v/>
      </c>
    </row>
    <row r="2307" spans="1:9" ht="19.5" hidden="1" customHeight="1" x14ac:dyDescent="0.2">
      <c r="A2307" s="105" t="str">
        <f>IF(D2307=1,COUNTIF($D$10:D2307,1)," ")</f>
        <v xml:space="preserve"> </v>
      </c>
      <c r="B2307" s="106">
        <f>COPY!AR2299</f>
        <v>0</v>
      </c>
      <c r="C2307" s="107">
        <f>COPY!AC2299</f>
        <v>0</v>
      </c>
      <c r="D2307" s="107" t="str">
        <f>IF(LEN(Table1722[[#This Row],[Uraian]])&gt;2,1," ")</f>
        <v xml:space="preserve"> </v>
      </c>
      <c r="E2307" s="113" t="str">
        <f>IF(Table1722[[#This Row],[Lawan Transaksi]]="CV AGUNG KARYA",COUNTIF($I$10:I2307,"CV AGUNG KARYA")," ")</f>
        <v xml:space="preserve"> </v>
      </c>
      <c r="F2307" s="107" t="str">
        <f>IF(LEN(Table1722[[#This Row],[Uraian]])&gt;2,TRIM(RIGHT(SUBSTITUTE(TRIM(C2307)," ",REPT(" ",255)),255))," ")</f>
        <v xml:space="preserve"> </v>
      </c>
      <c r="G2307" s="110">
        <f>COPY!Z2299</f>
        <v>0</v>
      </c>
      <c r="H2307" s="111" t="str">
        <f>IFERROR(VLOOKUP(Table1722[[#This Row],[Bukti]],'Un nOTA'!$A$4:$K$5003,10,FALSE),"")</f>
        <v/>
      </c>
      <c r="I2307" s="112" t="str">
        <f>IFERROR(VLOOKUP(Table1722[[#This Row],[Bukti]],Table13[#Data],11,FALSE),"")</f>
        <v/>
      </c>
    </row>
    <row r="2308" spans="1:9" ht="19.5" hidden="1" customHeight="1" x14ac:dyDescent="0.2">
      <c r="A2308" s="105" t="str">
        <f>IF(D2308=1,COUNTIF($D$10:D2308,1)," ")</f>
        <v xml:space="preserve"> </v>
      </c>
      <c r="B2308" s="106">
        <f>COPY!AR2300</f>
        <v>0</v>
      </c>
      <c r="C2308" s="107">
        <f>COPY!AC2300</f>
        <v>0</v>
      </c>
      <c r="D2308" s="107" t="str">
        <f>IF(LEN(Table1722[[#This Row],[Uraian]])&gt;2,1," ")</f>
        <v xml:space="preserve"> </v>
      </c>
      <c r="E2308" s="113" t="str">
        <f>IF(Table1722[[#This Row],[Lawan Transaksi]]="CV AGUNG KARYA",COUNTIF($I$10:I2308,"CV AGUNG KARYA")," ")</f>
        <v xml:space="preserve"> </v>
      </c>
      <c r="F2308" s="107" t="str">
        <f>IF(LEN(Table1722[[#This Row],[Uraian]])&gt;2,TRIM(RIGHT(SUBSTITUTE(TRIM(C2308)," ",REPT(" ",255)),255))," ")</f>
        <v xml:space="preserve"> </v>
      </c>
      <c r="G2308" s="110">
        <f>COPY!Z2300</f>
        <v>0</v>
      </c>
      <c r="H2308" s="111" t="str">
        <f>IFERROR(VLOOKUP(Table1722[[#This Row],[Bukti]],'Un nOTA'!$A$4:$K$5003,10,FALSE),"")</f>
        <v/>
      </c>
      <c r="I2308" s="112" t="str">
        <f>IFERROR(VLOOKUP(Table1722[[#This Row],[Bukti]],Table13[#Data],11,FALSE),"")</f>
        <v/>
      </c>
    </row>
    <row r="2309" spans="1:9" ht="19.5" hidden="1" customHeight="1" x14ac:dyDescent="0.2">
      <c r="A2309" s="105" t="str">
        <f>IF(D2309=1,COUNTIF($D$10:D2309,1)," ")</f>
        <v xml:space="preserve"> </v>
      </c>
      <c r="B2309" s="106">
        <f>COPY!AR2301</f>
        <v>0</v>
      </c>
      <c r="C2309" s="107">
        <f>COPY!AC2301</f>
        <v>0</v>
      </c>
      <c r="D2309" s="107" t="str">
        <f>IF(LEN(Table1722[[#This Row],[Uraian]])&gt;2,1," ")</f>
        <v xml:space="preserve"> </v>
      </c>
      <c r="E2309" s="113" t="str">
        <f>IF(Table1722[[#This Row],[Lawan Transaksi]]="CV AGUNG KARYA",COUNTIF($I$10:I2309,"CV AGUNG KARYA")," ")</f>
        <v xml:space="preserve"> </v>
      </c>
      <c r="F2309" s="107" t="str">
        <f>IF(LEN(Table1722[[#This Row],[Uraian]])&gt;2,TRIM(RIGHT(SUBSTITUTE(TRIM(C2309)," ",REPT(" ",255)),255))," ")</f>
        <v xml:space="preserve"> </v>
      </c>
      <c r="G2309" s="110">
        <f>COPY!Z2301</f>
        <v>0</v>
      </c>
      <c r="H2309" s="111" t="str">
        <f>IFERROR(VLOOKUP(Table1722[[#This Row],[Bukti]],'Un nOTA'!$A$4:$K$5003,10,FALSE),"")</f>
        <v/>
      </c>
      <c r="I2309" s="112" t="str">
        <f>IFERROR(VLOOKUP(Table1722[[#This Row],[Bukti]],Table13[#Data],11,FALSE),"")</f>
        <v/>
      </c>
    </row>
    <row r="2310" spans="1:9" ht="19.5" hidden="1" customHeight="1" x14ac:dyDescent="0.2">
      <c r="A2310" s="105" t="str">
        <f>IF(D2310=1,COUNTIF($D$10:D2310,1)," ")</f>
        <v xml:space="preserve"> </v>
      </c>
      <c r="B2310" s="106">
        <f>COPY!AR2302</f>
        <v>0</v>
      </c>
      <c r="C2310" s="107">
        <f>COPY!AC2302</f>
        <v>0</v>
      </c>
      <c r="D2310" s="107" t="str">
        <f>IF(LEN(Table1722[[#This Row],[Uraian]])&gt;2,1," ")</f>
        <v xml:space="preserve"> </v>
      </c>
      <c r="E2310" s="113" t="str">
        <f>IF(Table1722[[#This Row],[Lawan Transaksi]]="CV AGUNG KARYA",COUNTIF($I$10:I2310,"CV AGUNG KARYA")," ")</f>
        <v xml:space="preserve"> </v>
      </c>
      <c r="F2310" s="107" t="str">
        <f>IF(LEN(Table1722[[#This Row],[Uraian]])&gt;2,TRIM(RIGHT(SUBSTITUTE(TRIM(C2310)," ",REPT(" ",255)),255))," ")</f>
        <v xml:space="preserve"> </v>
      </c>
      <c r="G2310" s="110">
        <f>COPY!Z2302</f>
        <v>0</v>
      </c>
      <c r="H2310" s="111" t="str">
        <f>IFERROR(VLOOKUP(Table1722[[#This Row],[Bukti]],'Un nOTA'!$A$4:$K$5003,10,FALSE),"")</f>
        <v/>
      </c>
      <c r="I2310" s="112" t="str">
        <f>IFERROR(VLOOKUP(Table1722[[#This Row],[Bukti]],Table13[#Data],11,FALSE),"")</f>
        <v/>
      </c>
    </row>
    <row r="2311" spans="1:9" ht="19.5" hidden="1" customHeight="1" x14ac:dyDescent="0.2">
      <c r="A2311" s="105" t="str">
        <f>IF(D2311=1,COUNTIF($D$10:D2311,1)," ")</f>
        <v xml:space="preserve"> </v>
      </c>
      <c r="B2311" s="106">
        <f>COPY!AR2303</f>
        <v>0</v>
      </c>
      <c r="C2311" s="107">
        <f>COPY!AC2303</f>
        <v>0</v>
      </c>
      <c r="D2311" s="107" t="str">
        <f>IF(LEN(Table1722[[#This Row],[Uraian]])&gt;2,1," ")</f>
        <v xml:space="preserve"> </v>
      </c>
      <c r="E2311" s="113" t="str">
        <f>IF(Table1722[[#This Row],[Lawan Transaksi]]="CV AGUNG KARYA",COUNTIF($I$10:I2311,"CV AGUNG KARYA")," ")</f>
        <v xml:space="preserve"> </v>
      </c>
      <c r="F2311" s="107" t="str">
        <f>IF(LEN(Table1722[[#This Row],[Uraian]])&gt;2,TRIM(RIGHT(SUBSTITUTE(TRIM(C2311)," ",REPT(" ",255)),255))," ")</f>
        <v xml:space="preserve"> </v>
      </c>
      <c r="G2311" s="110">
        <f>COPY!Z2303</f>
        <v>0</v>
      </c>
      <c r="H2311" s="111" t="str">
        <f>IFERROR(VLOOKUP(Table1722[[#This Row],[Bukti]],'Un nOTA'!$A$4:$K$5003,10,FALSE),"")</f>
        <v/>
      </c>
      <c r="I2311" s="112" t="str">
        <f>IFERROR(VLOOKUP(Table1722[[#This Row],[Bukti]],Table13[#Data],11,FALSE),"")</f>
        <v/>
      </c>
    </row>
    <row r="2312" spans="1:9" ht="19.5" hidden="1" customHeight="1" x14ac:dyDescent="0.2">
      <c r="A2312" s="105" t="str">
        <f>IF(D2312=1,COUNTIF($D$10:D2312,1)," ")</f>
        <v xml:space="preserve"> </v>
      </c>
      <c r="B2312" s="106">
        <f>COPY!AR2304</f>
        <v>0</v>
      </c>
      <c r="C2312" s="107">
        <f>COPY!AC2304</f>
        <v>0</v>
      </c>
      <c r="D2312" s="107" t="str">
        <f>IF(LEN(Table1722[[#This Row],[Uraian]])&gt;2,1," ")</f>
        <v xml:space="preserve"> </v>
      </c>
      <c r="E2312" s="113" t="str">
        <f>IF(Table1722[[#This Row],[Lawan Transaksi]]="CV AGUNG KARYA",COUNTIF($I$10:I2312,"CV AGUNG KARYA")," ")</f>
        <v xml:space="preserve"> </v>
      </c>
      <c r="F2312" s="107" t="str">
        <f>IF(LEN(Table1722[[#This Row],[Uraian]])&gt;2,TRIM(RIGHT(SUBSTITUTE(TRIM(C2312)," ",REPT(" ",255)),255))," ")</f>
        <v xml:space="preserve"> </v>
      </c>
      <c r="G2312" s="110">
        <f>COPY!Z2304</f>
        <v>0</v>
      </c>
      <c r="H2312" s="111" t="str">
        <f>IFERROR(VLOOKUP(Table1722[[#This Row],[Bukti]],'Un nOTA'!$A$4:$K$5003,10,FALSE),"")</f>
        <v/>
      </c>
      <c r="I2312" s="112" t="str">
        <f>IFERROR(VLOOKUP(Table1722[[#This Row],[Bukti]],Table13[#Data],11,FALSE),"")</f>
        <v/>
      </c>
    </row>
    <row r="2313" spans="1:9" ht="19.5" hidden="1" customHeight="1" x14ac:dyDescent="0.2">
      <c r="A2313" s="105" t="str">
        <f>IF(D2313=1,COUNTIF($D$10:D2313,1)," ")</f>
        <v xml:space="preserve"> </v>
      </c>
      <c r="B2313" s="106">
        <f>COPY!AR2305</f>
        <v>0</v>
      </c>
      <c r="C2313" s="107">
        <f>COPY!AC2305</f>
        <v>0</v>
      </c>
      <c r="D2313" s="107" t="str">
        <f>IF(LEN(Table1722[[#This Row],[Uraian]])&gt;2,1," ")</f>
        <v xml:space="preserve"> </v>
      </c>
      <c r="E2313" s="113" t="str">
        <f>IF(Table1722[[#This Row],[Lawan Transaksi]]="CV AGUNG KARYA",COUNTIF($I$10:I2313,"CV AGUNG KARYA")," ")</f>
        <v xml:space="preserve"> </v>
      </c>
      <c r="F2313" s="107" t="str">
        <f>IF(LEN(Table1722[[#This Row],[Uraian]])&gt;2,TRIM(RIGHT(SUBSTITUTE(TRIM(C2313)," ",REPT(" ",255)),255))," ")</f>
        <v xml:space="preserve"> </v>
      </c>
      <c r="G2313" s="110">
        <f>COPY!Z2305</f>
        <v>0</v>
      </c>
      <c r="H2313" s="111" t="str">
        <f>IFERROR(VLOOKUP(Table1722[[#This Row],[Bukti]],'Un nOTA'!$A$4:$K$5003,10,FALSE),"")</f>
        <v/>
      </c>
      <c r="I2313" s="112" t="str">
        <f>IFERROR(VLOOKUP(Table1722[[#This Row],[Bukti]],Table13[#Data],11,FALSE),"")</f>
        <v/>
      </c>
    </row>
    <row r="2314" spans="1:9" ht="19.5" hidden="1" customHeight="1" x14ac:dyDescent="0.2">
      <c r="A2314" s="105" t="str">
        <f>IF(D2314=1,COUNTIF($D$10:D2314,1)," ")</f>
        <v xml:space="preserve"> </v>
      </c>
      <c r="B2314" s="106">
        <f>COPY!AR2306</f>
        <v>0</v>
      </c>
      <c r="C2314" s="107">
        <f>COPY!AC2306</f>
        <v>0</v>
      </c>
      <c r="D2314" s="107" t="str">
        <f>IF(LEN(Table1722[[#This Row],[Uraian]])&gt;2,1," ")</f>
        <v xml:space="preserve"> </v>
      </c>
      <c r="E2314" s="113" t="str">
        <f>IF(Table1722[[#This Row],[Lawan Transaksi]]="CV AGUNG KARYA",COUNTIF($I$10:I2314,"CV AGUNG KARYA")," ")</f>
        <v xml:space="preserve"> </v>
      </c>
      <c r="F2314" s="107" t="str">
        <f>IF(LEN(Table1722[[#This Row],[Uraian]])&gt;2,TRIM(RIGHT(SUBSTITUTE(TRIM(C2314)," ",REPT(" ",255)),255))," ")</f>
        <v xml:space="preserve"> </v>
      </c>
      <c r="G2314" s="110">
        <f>COPY!Z2306</f>
        <v>0</v>
      </c>
      <c r="H2314" s="111" t="str">
        <f>IFERROR(VLOOKUP(Table1722[[#This Row],[Bukti]],'Un nOTA'!$A$4:$K$5003,10,FALSE),"")</f>
        <v/>
      </c>
      <c r="I2314" s="112" t="str">
        <f>IFERROR(VLOOKUP(Table1722[[#This Row],[Bukti]],Table13[#Data],11,FALSE),"")</f>
        <v/>
      </c>
    </row>
    <row r="2315" spans="1:9" ht="19.5" hidden="1" customHeight="1" x14ac:dyDescent="0.2">
      <c r="A2315" s="105" t="str">
        <f>IF(D2315=1,COUNTIF($D$10:D2315,1)," ")</f>
        <v xml:space="preserve"> </v>
      </c>
      <c r="B2315" s="106">
        <f>COPY!AR2307</f>
        <v>0</v>
      </c>
      <c r="C2315" s="107">
        <f>COPY!AC2307</f>
        <v>0</v>
      </c>
      <c r="D2315" s="107" t="str">
        <f>IF(LEN(Table1722[[#This Row],[Uraian]])&gt;2,1," ")</f>
        <v xml:space="preserve"> </v>
      </c>
      <c r="E2315" s="113" t="str">
        <f>IF(Table1722[[#This Row],[Lawan Transaksi]]="CV AGUNG KARYA",COUNTIF($I$10:I2315,"CV AGUNG KARYA")," ")</f>
        <v xml:space="preserve"> </v>
      </c>
      <c r="F2315" s="107" t="str">
        <f>IF(LEN(Table1722[[#This Row],[Uraian]])&gt;2,TRIM(RIGHT(SUBSTITUTE(TRIM(C2315)," ",REPT(" ",255)),255))," ")</f>
        <v xml:space="preserve"> </v>
      </c>
      <c r="G2315" s="110">
        <f>COPY!Z2307</f>
        <v>0</v>
      </c>
      <c r="H2315" s="111" t="str">
        <f>IFERROR(VLOOKUP(Table1722[[#This Row],[Bukti]],'Un nOTA'!$A$4:$K$5003,10,FALSE),"")</f>
        <v/>
      </c>
      <c r="I2315" s="112" t="str">
        <f>IFERROR(VLOOKUP(Table1722[[#This Row],[Bukti]],Table13[#Data],11,FALSE),"")</f>
        <v/>
      </c>
    </row>
    <row r="2316" spans="1:9" ht="19.5" hidden="1" customHeight="1" x14ac:dyDescent="0.2">
      <c r="A2316" s="105" t="str">
        <f>IF(D2316=1,COUNTIF($D$10:D2316,1)," ")</f>
        <v xml:space="preserve"> </v>
      </c>
      <c r="B2316" s="106">
        <f>COPY!AR2308</f>
        <v>0</v>
      </c>
      <c r="C2316" s="107">
        <f>COPY!AC2308</f>
        <v>0</v>
      </c>
      <c r="D2316" s="107" t="str">
        <f>IF(LEN(Table1722[[#This Row],[Uraian]])&gt;2,1," ")</f>
        <v xml:space="preserve"> </v>
      </c>
      <c r="E2316" s="113" t="str">
        <f>IF(Table1722[[#This Row],[Lawan Transaksi]]="CV AGUNG KARYA",COUNTIF($I$10:I2316,"CV AGUNG KARYA")," ")</f>
        <v xml:space="preserve"> </v>
      </c>
      <c r="F2316" s="107" t="str">
        <f>IF(LEN(Table1722[[#This Row],[Uraian]])&gt;2,TRIM(RIGHT(SUBSTITUTE(TRIM(C2316)," ",REPT(" ",255)),255))," ")</f>
        <v xml:space="preserve"> </v>
      </c>
      <c r="G2316" s="110">
        <f>COPY!Z2308</f>
        <v>0</v>
      </c>
      <c r="H2316" s="111" t="str">
        <f>IFERROR(VLOOKUP(Table1722[[#This Row],[Bukti]],'Un nOTA'!$A$4:$K$5003,10,FALSE),"")</f>
        <v/>
      </c>
      <c r="I2316" s="112" t="str">
        <f>IFERROR(VLOOKUP(Table1722[[#This Row],[Bukti]],Table13[#Data],11,FALSE),"")</f>
        <v/>
      </c>
    </row>
    <row r="2317" spans="1:9" ht="19.5" hidden="1" customHeight="1" x14ac:dyDescent="0.2">
      <c r="A2317" s="105" t="str">
        <f>IF(D2317=1,COUNTIF($D$10:D2317,1)," ")</f>
        <v xml:space="preserve"> </v>
      </c>
      <c r="B2317" s="106">
        <f>COPY!AR2309</f>
        <v>0</v>
      </c>
      <c r="C2317" s="107">
        <f>COPY!AC2309</f>
        <v>0</v>
      </c>
      <c r="D2317" s="107" t="str">
        <f>IF(LEN(Table1722[[#This Row],[Uraian]])&gt;2,1," ")</f>
        <v xml:space="preserve"> </v>
      </c>
      <c r="E2317" s="113" t="str">
        <f>IF(Table1722[[#This Row],[Lawan Transaksi]]="CV AGUNG KARYA",COUNTIF($I$10:I2317,"CV AGUNG KARYA")," ")</f>
        <v xml:space="preserve"> </v>
      </c>
      <c r="F2317" s="107" t="str">
        <f>IF(LEN(Table1722[[#This Row],[Uraian]])&gt;2,TRIM(RIGHT(SUBSTITUTE(TRIM(C2317)," ",REPT(" ",255)),255))," ")</f>
        <v xml:space="preserve"> </v>
      </c>
      <c r="G2317" s="110">
        <f>COPY!Z2309</f>
        <v>0</v>
      </c>
      <c r="H2317" s="111" t="str">
        <f>IFERROR(VLOOKUP(Table1722[[#This Row],[Bukti]],'Un nOTA'!$A$4:$K$5003,10,FALSE),"")</f>
        <v/>
      </c>
      <c r="I2317" s="112" t="str">
        <f>IFERROR(VLOOKUP(Table1722[[#This Row],[Bukti]],Table13[#Data],11,FALSE),"")</f>
        <v/>
      </c>
    </row>
    <row r="2318" spans="1:9" ht="19.5" hidden="1" customHeight="1" x14ac:dyDescent="0.2">
      <c r="A2318" s="105" t="str">
        <f>IF(D2318=1,COUNTIF($D$10:D2318,1)," ")</f>
        <v xml:space="preserve"> </v>
      </c>
      <c r="B2318" s="106">
        <f>COPY!AR2310</f>
        <v>0</v>
      </c>
      <c r="C2318" s="107">
        <f>COPY!AC2310</f>
        <v>0</v>
      </c>
      <c r="D2318" s="107" t="str">
        <f>IF(LEN(Table1722[[#This Row],[Uraian]])&gt;2,1," ")</f>
        <v xml:space="preserve"> </v>
      </c>
      <c r="E2318" s="113" t="str">
        <f>IF(Table1722[[#This Row],[Lawan Transaksi]]="CV AGUNG KARYA",COUNTIF($I$10:I2318,"CV AGUNG KARYA")," ")</f>
        <v xml:space="preserve"> </v>
      </c>
      <c r="F2318" s="107" t="str">
        <f>IF(LEN(Table1722[[#This Row],[Uraian]])&gt;2,TRIM(RIGHT(SUBSTITUTE(TRIM(C2318)," ",REPT(" ",255)),255))," ")</f>
        <v xml:space="preserve"> </v>
      </c>
      <c r="G2318" s="110">
        <f>COPY!Z2310</f>
        <v>0</v>
      </c>
      <c r="H2318" s="111" t="str">
        <f>IFERROR(VLOOKUP(Table1722[[#This Row],[Bukti]],'Un nOTA'!$A$4:$K$5003,10,FALSE),"")</f>
        <v/>
      </c>
      <c r="I2318" s="112" t="str">
        <f>IFERROR(VLOOKUP(Table1722[[#This Row],[Bukti]],Table13[#Data],11,FALSE),"")</f>
        <v/>
      </c>
    </row>
    <row r="2319" spans="1:9" ht="19.5" hidden="1" customHeight="1" x14ac:dyDescent="0.2">
      <c r="A2319" s="105" t="str">
        <f>IF(D2319=1,COUNTIF($D$10:D2319,1)," ")</f>
        <v xml:space="preserve"> </v>
      </c>
      <c r="B2319" s="106">
        <f>COPY!AR2311</f>
        <v>0</v>
      </c>
      <c r="C2319" s="107">
        <f>COPY!AC2311</f>
        <v>0</v>
      </c>
      <c r="D2319" s="107" t="str">
        <f>IF(LEN(Table1722[[#This Row],[Uraian]])&gt;2,1," ")</f>
        <v xml:space="preserve"> </v>
      </c>
      <c r="E2319" s="113" t="str">
        <f>IF(Table1722[[#This Row],[Lawan Transaksi]]="CV AGUNG KARYA",COUNTIF($I$10:I2319,"CV AGUNG KARYA")," ")</f>
        <v xml:space="preserve"> </v>
      </c>
      <c r="F2319" s="107" t="str">
        <f>IF(LEN(Table1722[[#This Row],[Uraian]])&gt;2,TRIM(RIGHT(SUBSTITUTE(TRIM(C2319)," ",REPT(" ",255)),255))," ")</f>
        <v xml:space="preserve"> </v>
      </c>
      <c r="G2319" s="110">
        <f>COPY!Z2311</f>
        <v>0</v>
      </c>
      <c r="H2319" s="111" t="str">
        <f>IFERROR(VLOOKUP(Table1722[[#This Row],[Bukti]],'Un nOTA'!$A$4:$K$5003,10,FALSE),"")</f>
        <v/>
      </c>
      <c r="I2319" s="112" t="str">
        <f>IFERROR(VLOOKUP(Table1722[[#This Row],[Bukti]],Table13[#Data],11,FALSE),"")</f>
        <v/>
      </c>
    </row>
    <row r="2320" spans="1:9" ht="19.5" hidden="1" customHeight="1" x14ac:dyDescent="0.2">
      <c r="A2320" s="105" t="str">
        <f>IF(D2320=1,COUNTIF($D$10:D2320,1)," ")</f>
        <v xml:space="preserve"> </v>
      </c>
      <c r="B2320" s="106">
        <f>COPY!AR2312</f>
        <v>0</v>
      </c>
      <c r="C2320" s="107">
        <f>COPY!AC2312</f>
        <v>0</v>
      </c>
      <c r="D2320" s="107" t="str">
        <f>IF(LEN(Table1722[[#This Row],[Uraian]])&gt;2,1," ")</f>
        <v xml:space="preserve"> </v>
      </c>
      <c r="E2320" s="113" t="str">
        <f>IF(Table1722[[#This Row],[Lawan Transaksi]]="CV AGUNG KARYA",COUNTIF($I$10:I2320,"CV AGUNG KARYA")," ")</f>
        <v xml:space="preserve"> </v>
      </c>
      <c r="F2320" s="107" t="str">
        <f>IF(LEN(Table1722[[#This Row],[Uraian]])&gt;2,TRIM(RIGHT(SUBSTITUTE(TRIM(C2320)," ",REPT(" ",255)),255))," ")</f>
        <v xml:space="preserve"> </v>
      </c>
      <c r="G2320" s="110">
        <f>COPY!Z2312</f>
        <v>0</v>
      </c>
      <c r="H2320" s="111" t="str">
        <f>IFERROR(VLOOKUP(Table1722[[#This Row],[Bukti]],'Un nOTA'!$A$4:$K$5003,10,FALSE),"")</f>
        <v/>
      </c>
      <c r="I2320" s="112" t="str">
        <f>IFERROR(VLOOKUP(Table1722[[#This Row],[Bukti]],Table13[#Data],11,FALSE),"")</f>
        <v/>
      </c>
    </row>
    <row r="2321" spans="1:9" ht="19.5" hidden="1" customHeight="1" x14ac:dyDescent="0.2">
      <c r="A2321" s="105" t="str">
        <f>IF(D2321=1,COUNTIF($D$10:D2321,1)," ")</f>
        <v xml:space="preserve"> </v>
      </c>
      <c r="B2321" s="106">
        <f>COPY!AR2313</f>
        <v>0</v>
      </c>
      <c r="C2321" s="107">
        <f>COPY!AC2313</f>
        <v>0</v>
      </c>
      <c r="D2321" s="107" t="str">
        <f>IF(LEN(Table1722[[#This Row],[Uraian]])&gt;2,1," ")</f>
        <v xml:space="preserve"> </v>
      </c>
      <c r="E2321" s="113" t="str">
        <f>IF(Table1722[[#This Row],[Lawan Transaksi]]="CV AGUNG KARYA",COUNTIF($I$10:I2321,"CV AGUNG KARYA")," ")</f>
        <v xml:space="preserve"> </v>
      </c>
      <c r="F2321" s="107" t="str">
        <f>IF(LEN(Table1722[[#This Row],[Uraian]])&gt;2,TRIM(RIGHT(SUBSTITUTE(TRIM(C2321)," ",REPT(" ",255)),255))," ")</f>
        <v xml:space="preserve"> </v>
      </c>
      <c r="G2321" s="110">
        <f>COPY!Z2313</f>
        <v>0</v>
      </c>
      <c r="H2321" s="111" t="str">
        <f>IFERROR(VLOOKUP(Table1722[[#This Row],[Bukti]],'Un nOTA'!$A$4:$K$5003,10,FALSE),"")</f>
        <v/>
      </c>
      <c r="I2321" s="112" t="str">
        <f>IFERROR(VLOOKUP(Table1722[[#This Row],[Bukti]],Table13[#Data],11,FALSE),"")</f>
        <v/>
      </c>
    </row>
    <row r="2322" spans="1:9" ht="19.5" hidden="1" customHeight="1" x14ac:dyDescent="0.2">
      <c r="A2322" s="105" t="str">
        <f>IF(D2322=1,COUNTIF($D$10:D2322,1)," ")</f>
        <v xml:space="preserve"> </v>
      </c>
      <c r="B2322" s="106">
        <f>COPY!AR2314</f>
        <v>0</v>
      </c>
      <c r="C2322" s="107">
        <f>COPY!AC2314</f>
        <v>0</v>
      </c>
      <c r="D2322" s="107" t="str">
        <f>IF(LEN(Table1722[[#This Row],[Uraian]])&gt;2,1," ")</f>
        <v xml:space="preserve"> </v>
      </c>
      <c r="E2322" s="113" t="str">
        <f>IF(Table1722[[#This Row],[Lawan Transaksi]]="CV AGUNG KARYA",COUNTIF($I$10:I2322,"CV AGUNG KARYA")," ")</f>
        <v xml:space="preserve"> </v>
      </c>
      <c r="F2322" s="107" t="str">
        <f>IF(LEN(Table1722[[#This Row],[Uraian]])&gt;2,TRIM(RIGHT(SUBSTITUTE(TRIM(C2322)," ",REPT(" ",255)),255))," ")</f>
        <v xml:space="preserve"> </v>
      </c>
      <c r="G2322" s="110">
        <f>COPY!Z2314</f>
        <v>0</v>
      </c>
      <c r="H2322" s="111" t="str">
        <f>IFERROR(VLOOKUP(Table1722[[#This Row],[Bukti]],'Un nOTA'!$A$4:$K$5003,10,FALSE),"")</f>
        <v/>
      </c>
      <c r="I2322" s="112" t="str">
        <f>IFERROR(VLOOKUP(Table1722[[#This Row],[Bukti]],Table13[#Data],11,FALSE),"")</f>
        <v/>
      </c>
    </row>
    <row r="2323" spans="1:9" ht="19.5" hidden="1" customHeight="1" x14ac:dyDescent="0.2">
      <c r="A2323" s="105" t="str">
        <f>IF(D2323=1,COUNTIF($D$10:D2323,1)," ")</f>
        <v xml:space="preserve"> </v>
      </c>
      <c r="B2323" s="106">
        <f>COPY!AR2315</f>
        <v>0</v>
      </c>
      <c r="C2323" s="107">
        <f>COPY!AC2315</f>
        <v>0</v>
      </c>
      <c r="D2323" s="107" t="str">
        <f>IF(LEN(Table1722[[#This Row],[Uraian]])&gt;2,1," ")</f>
        <v xml:space="preserve"> </v>
      </c>
      <c r="E2323" s="113" t="str">
        <f>IF(Table1722[[#This Row],[Lawan Transaksi]]="CV AGUNG KARYA",COUNTIF($I$10:I2323,"CV AGUNG KARYA")," ")</f>
        <v xml:space="preserve"> </v>
      </c>
      <c r="F2323" s="107" t="str">
        <f>IF(LEN(Table1722[[#This Row],[Uraian]])&gt;2,TRIM(RIGHT(SUBSTITUTE(TRIM(C2323)," ",REPT(" ",255)),255))," ")</f>
        <v xml:space="preserve"> </v>
      </c>
      <c r="G2323" s="110">
        <f>COPY!Z2315</f>
        <v>0</v>
      </c>
      <c r="H2323" s="111" t="str">
        <f>IFERROR(VLOOKUP(Table1722[[#This Row],[Bukti]],'Un nOTA'!$A$4:$K$5003,10,FALSE),"")</f>
        <v/>
      </c>
      <c r="I2323" s="112" t="str">
        <f>IFERROR(VLOOKUP(Table1722[[#This Row],[Bukti]],Table13[#Data],11,FALSE),"")</f>
        <v/>
      </c>
    </row>
    <row r="2324" spans="1:9" ht="19.5" hidden="1" customHeight="1" x14ac:dyDescent="0.2">
      <c r="A2324" s="105" t="str">
        <f>IF(D2324=1,COUNTIF($D$10:D2324,1)," ")</f>
        <v xml:space="preserve"> </v>
      </c>
      <c r="B2324" s="106">
        <f>COPY!AR2316</f>
        <v>0</v>
      </c>
      <c r="C2324" s="107">
        <f>COPY!AC2316</f>
        <v>0</v>
      </c>
      <c r="D2324" s="107" t="str">
        <f>IF(LEN(Table1722[[#This Row],[Uraian]])&gt;2,1," ")</f>
        <v xml:space="preserve"> </v>
      </c>
      <c r="E2324" s="113" t="str">
        <f>IF(Table1722[[#This Row],[Lawan Transaksi]]="CV AGUNG KARYA",COUNTIF($I$10:I2324,"CV AGUNG KARYA")," ")</f>
        <v xml:space="preserve"> </v>
      </c>
      <c r="F2324" s="107" t="str">
        <f>IF(LEN(Table1722[[#This Row],[Uraian]])&gt;2,TRIM(RIGHT(SUBSTITUTE(TRIM(C2324)," ",REPT(" ",255)),255))," ")</f>
        <v xml:space="preserve"> </v>
      </c>
      <c r="G2324" s="110">
        <f>COPY!Z2316</f>
        <v>0</v>
      </c>
      <c r="H2324" s="111" t="str">
        <f>IFERROR(VLOOKUP(Table1722[[#This Row],[Bukti]],'Un nOTA'!$A$4:$K$5003,10,FALSE),"")</f>
        <v/>
      </c>
      <c r="I2324" s="112" t="str">
        <f>IFERROR(VLOOKUP(Table1722[[#This Row],[Bukti]],Table13[#Data],11,FALSE),"")</f>
        <v/>
      </c>
    </row>
    <row r="2325" spans="1:9" ht="19.5" hidden="1" customHeight="1" x14ac:dyDescent="0.2">
      <c r="A2325" s="105" t="str">
        <f>IF(D2325=1,COUNTIF($D$10:D2325,1)," ")</f>
        <v xml:space="preserve"> </v>
      </c>
      <c r="B2325" s="106">
        <f>COPY!AR2317</f>
        <v>0</v>
      </c>
      <c r="C2325" s="107">
        <f>COPY!AC2317</f>
        <v>0</v>
      </c>
      <c r="D2325" s="107" t="str">
        <f>IF(LEN(Table1722[[#This Row],[Uraian]])&gt;2,1," ")</f>
        <v xml:space="preserve"> </v>
      </c>
      <c r="E2325" s="113" t="str">
        <f>IF(Table1722[[#This Row],[Lawan Transaksi]]="CV AGUNG KARYA",COUNTIF($I$10:I2325,"CV AGUNG KARYA")," ")</f>
        <v xml:space="preserve"> </v>
      </c>
      <c r="F2325" s="107" t="str">
        <f>IF(LEN(Table1722[[#This Row],[Uraian]])&gt;2,TRIM(RIGHT(SUBSTITUTE(TRIM(C2325)," ",REPT(" ",255)),255))," ")</f>
        <v xml:space="preserve"> </v>
      </c>
      <c r="G2325" s="110">
        <f>COPY!Z2317</f>
        <v>0</v>
      </c>
      <c r="H2325" s="111" t="str">
        <f>IFERROR(VLOOKUP(Table1722[[#This Row],[Bukti]],'Un nOTA'!$A$4:$K$5003,10,FALSE),"")</f>
        <v/>
      </c>
      <c r="I2325" s="112" t="str">
        <f>IFERROR(VLOOKUP(Table1722[[#This Row],[Bukti]],Table13[#Data],11,FALSE),"")</f>
        <v/>
      </c>
    </row>
    <row r="2326" spans="1:9" ht="19.5" hidden="1" customHeight="1" x14ac:dyDescent="0.2">
      <c r="A2326" s="105" t="str">
        <f>IF(D2326=1,COUNTIF($D$10:D2326,1)," ")</f>
        <v xml:space="preserve"> </v>
      </c>
      <c r="B2326" s="106">
        <f>COPY!AR2318</f>
        <v>0</v>
      </c>
      <c r="C2326" s="107">
        <f>COPY!AC2318</f>
        <v>0</v>
      </c>
      <c r="D2326" s="107" t="str">
        <f>IF(LEN(Table1722[[#This Row],[Uraian]])&gt;2,1," ")</f>
        <v xml:space="preserve"> </v>
      </c>
      <c r="E2326" s="113" t="str">
        <f>IF(Table1722[[#This Row],[Lawan Transaksi]]="CV AGUNG KARYA",COUNTIF($I$10:I2326,"CV AGUNG KARYA")," ")</f>
        <v xml:space="preserve"> </v>
      </c>
      <c r="F2326" s="107" t="str">
        <f>IF(LEN(Table1722[[#This Row],[Uraian]])&gt;2,TRIM(RIGHT(SUBSTITUTE(TRIM(C2326)," ",REPT(" ",255)),255))," ")</f>
        <v xml:space="preserve"> </v>
      </c>
      <c r="G2326" s="110">
        <f>COPY!Z2318</f>
        <v>0</v>
      </c>
      <c r="H2326" s="111" t="str">
        <f>IFERROR(VLOOKUP(Table1722[[#This Row],[Bukti]],'Un nOTA'!$A$4:$K$5003,10,FALSE),"")</f>
        <v/>
      </c>
      <c r="I2326" s="112" t="str">
        <f>IFERROR(VLOOKUP(Table1722[[#This Row],[Bukti]],Table13[#Data],11,FALSE),"")</f>
        <v/>
      </c>
    </row>
    <row r="2327" spans="1:9" ht="19.5" hidden="1" customHeight="1" x14ac:dyDescent="0.2">
      <c r="A2327" s="105" t="str">
        <f>IF(D2327=1,COUNTIF($D$10:D2327,1)," ")</f>
        <v xml:space="preserve"> </v>
      </c>
      <c r="B2327" s="106">
        <f>COPY!AR2319</f>
        <v>0</v>
      </c>
      <c r="C2327" s="107">
        <f>COPY!AC2319</f>
        <v>0</v>
      </c>
      <c r="D2327" s="107" t="str">
        <f>IF(LEN(Table1722[[#This Row],[Uraian]])&gt;2,1," ")</f>
        <v xml:space="preserve"> </v>
      </c>
      <c r="E2327" s="113" t="str">
        <f>IF(Table1722[[#This Row],[Lawan Transaksi]]="CV AGUNG KARYA",COUNTIF($I$10:I2327,"CV AGUNG KARYA")," ")</f>
        <v xml:space="preserve"> </v>
      </c>
      <c r="F2327" s="107" t="str">
        <f>IF(LEN(Table1722[[#This Row],[Uraian]])&gt;2,TRIM(RIGHT(SUBSTITUTE(TRIM(C2327)," ",REPT(" ",255)),255))," ")</f>
        <v xml:space="preserve"> </v>
      </c>
      <c r="G2327" s="110">
        <f>COPY!Z2319</f>
        <v>0</v>
      </c>
      <c r="H2327" s="111" t="str">
        <f>IFERROR(VLOOKUP(Table1722[[#This Row],[Bukti]],'Un nOTA'!$A$4:$K$5003,10,FALSE),"")</f>
        <v/>
      </c>
      <c r="I2327" s="112" t="str">
        <f>IFERROR(VLOOKUP(Table1722[[#This Row],[Bukti]],Table13[#Data],11,FALSE),"")</f>
        <v/>
      </c>
    </row>
    <row r="2328" spans="1:9" ht="19.5" hidden="1" customHeight="1" x14ac:dyDescent="0.2">
      <c r="A2328" s="105" t="str">
        <f>IF(D2328=1,COUNTIF($D$10:D2328,1)," ")</f>
        <v xml:space="preserve"> </v>
      </c>
      <c r="B2328" s="106">
        <f>COPY!AR2320</f>
        <v>0</v>
      </c>
      <c r="C2328" s="107">
        <f>COPY!AC2320</f>
        <v>0</v>
      </c>
      <c r="D2328" s="107" t="str">
        <f>IF(LEN(Table1722[[#This Row],[Uraian]])&gt;2,1," ")</f>
        <v xml:space="preserve"> </v>
      </c>
      <c r="E2328" s="113" t="str">
        <f>IF(Table1722[[#This Row],[Lawan Transaksi]]="CV AGUNG KARYA",COUNTIF($I$10:I2328,"CV AGUNG KARYA")," ")</f>
        <v xml:space="preserve"> </v>
      </c>
      <c r="F2328" s="107" t="str">
        <f>IF(LEN(Table1722[[#This Row],[Uraian]])&gt;2,TRIM(RIGHT(SUBSTITUTE(TRIM(C2328)," ",REPT(" ",255)),255))," ")</f>
        <v xml:space="preserve"> </v>
      </c>
      <c r="G2328" s="110">
        <f>COPY!Z2320</f>
        <v>0</v>
      </c>
      <c r="H2328" s="111" t="str">
        <f>IFERROR(VLOOKUP(Table1722[[#This Row],[Bukti]],'Un nOTA'!$A$4:$K$5003,10,FALSE),"")</f>
        <v/>
      </c>
      <c r="I2328" s="112" t="str">
        <f>IFERROR(VLOOKUP(Table1722[[#This Row],[Bukti]],Table13[#Data],11,FALSE),"")</f>
        <v/>
      </c>
    </row>
    <row r="2329" spans="1:9" ht="19.5" hidden="1" customHeight="1" x14ac:dyDescent="0.2">
      <c r="A2329" s="105" t="str">
        <f>IF(D2329=1,COUNTIF($D$10:D2329,1)," ")</f>
        <v xml:space="preserve"> </v>
      </c>
      <c r="B2329" s="106">
        <f>COPY!AR2321</f>
        <v>0</v>
      </c>
      <c r="C2329" s="107">
        <f>COPY!AC2321</f>
        <v>0</v>
      </c>
      <c r="D2329" s="107" t="str">
        <f>IF(LEN(Table1722[[#This Row],[Uraian]])&gt;2,1," ")</f>
        <v xml:space="preserve"> </v>
      </c>
      <c r="E2329" s="113" t="str">
        <f>IF(Table1722[[#This Row],[Lawan Transaksi]]="CV AGUNG KARYA",COUNTIF($I$10:I2329,"CV AGUNG KARYA")," ")</f>
        <v xml:space="preserve"> </v>
      </c>
      <c r="F2329" s="107" t="str">
        <f>IF(LEN(Table1722[[#This Row],[Uraian]])&gt;2,TRIM(RIGHT(SUBSTITUTE(TRIM(C2329)," ",REPT(" ",255)),255))," ")</f>
        <v xml:space="preserve"> </v>
      </c>
      <c r="G2329" s="110">
        <f>COPY!Z2321</f>
        <v>0</v>
      </c>
      <c r="H2329" s="111" t="str">
        <f>IFERROR(VLOOKUP(Table1722[[#This Row],[Bukti]],'Un nOTA'!$A$4:$K$5003,10,FALSE),"")</f>
        <v/>
      </c>
      <c r="I2329" s="112" t="str">
        <f>IFERROR(VLOOKUP(Table1722[[#This Row],[Bukti]],Table13[#Data],11,FALSE),"")</f>
        <v/>
      </c>
    </row>
    <row r="2330" spans="1:9" ht="19.5" hidden="1" customHeight="1" x14ac:dyDescent="0.2">
      <c r="A2330" s="105" t="str">
        <f>IF(D2330=1,COUNTIF($D$10:D2330,1)," ")</f>
        <v xml:space="preserve"> </v>
      </c>
      <c r="B2330" s="106">
        <f>COPY!AR2322</f>
        <v>0</v>
      </c>
      <c r="C2330" s="107">
        <f>COPY!AC2322</f>
        <v>0</v>
      </c>
      <c r="D2330" s="107" t="str">
        <f>IF(LEN(Table1722[[#This Row],[Uraian]])&gt;2,1," ")</f>
        <v xml:space="preserve"> </v>
      </c>
      <c r="E2330" s="113" t="str">
        <f>IF(Table1722[[#This Row],[Lawan Transaksi]]="CV AGUNG KARYA",COUNTIF($I$10:I2330,"CV AGUNG KARYA")," ")</f>
        <v xml:space="preserve"> </v>
      </c>
      <c r="F2330" s="107" t="str">
        <f>IF(LEN(Table1722[[#This Row],[Uraian]])&gt;2,TRIM(RIGHT(SUBSTITUTE(TRIM(C2330)," ",REPT(" ",255)),255))," ")</f>
        <v xml:space="preserve"> </v>
      </c>
      <c r="G2330" s="110">
        <f>COPY!Z2322</f>
        <v>0</v>
      </c>
      <c r="H2330" s="111" t="str">
        <f>IFERROR(VLOOKUP(Table1722[[#This Row],[Bukti]],'Un nOTA'!$A$4:$K$5003,10,FALSE),"")</f>
        <v/>
      </c>
      <c r="I2330" s="112" t="str">
        <f>IFERROR(VLOOKUP(Table1722[[#This Row],[Bukti]],Table13[#Data],11,FALSE),"")</f>
        <v/>
      </c>
    </row>
    <row r="2331" spans="1:9" ht="19.5" hidden="1" customHeight="1" x14ac:dyDescent="0.2">
      <c r="A2331" s="105" t="str">
        <f>IF(D2331=1,COUNTIF($D$10:D2331,1)," ")</f>
        <v xml:space="preserve"> </v>
      </c>
      <c r="B2331" s="106">
        <f>COPY!AR2323</f>
        <v>0</v>
      </c>
      <c r="C2331" s="107">
        <f>COPY!AC2323</f>
        <v>0</v>
      </c>
      <c r="D2331" s="107" t="str">
        <f>IF(LEN(Table1722[[#This Row],[Uraian]])&gt;2,1," ")</f>
        <v xml:space="preserve"> </v>
      </c>
      <c r="E2331" s="113" t="str">
        <f>IF(Table1722[[#This Row],[Lawan Transaksi]]="CV AGUNG KARYA",COUNTIF($I$10:I2331,"CV AGUNG KARYA")," ")</f>
        <v xml:space="preserve"> </v>
      </c>
      <c r="F2331" s="107" t="str">
        <f>IF(LEN(Table1722[[#This Row],[Uraian]])&gt;2,TRIM(RIGHT(SUBSTITUTE(TRIM(C2331)," ",REPT(" ",255)),255))," ")</f>
        <v xml:space="preserve"> </v>
      </c>
      <c r="G2331" s="110">
        <f>COPY!Z2323</f>
        <v>0</v>
      </c>
      <c r="H2331" s="111" t="str">
        <f>IFERROR(VLOOKUP(Table1722[[#This Row],[Bukti]],'Un nOTA'!$A$4:$K$5003,10,FALSE),"")</f>
        <v/>
      </c>
      <c r="I2331" s="112" t="str">
        <f>IFERROR(VLOOKUP(Table1722[[#This Row],[Bukti]],Table13[#Data],11,FALSE),"")</f>
        <v/>
      </c>
    </row>
    <row r="2332" spans="1:9" ht="19.5" hidden="1" customHeight="1" x14ac:dyDescent="0.2">
      <c r="A2332" s="105" t="str">
        <f>IF(D2332=1,COUNTIF($D$10:D2332,1)," ")</f>
        <v xml:space="preserve"> </v>
      </c>
      <c r="B2332" s="106">
        <f>COPY!AR2324</f>
        <v>0</v>
      </c>
      <c r="C2332" s="107">
        <f>COPY!AC2324</f>
        <v>0</v>
      </c>
      <c r="D2332" s="107" t="str">
        <f>IF(LEN(Table1722[[#This Row],[Uraian]])&gt;2,1," ")</f>
        <v xml:space="preserve"> </v>
      </c>
      <c r="E2332" s="113" t="str">
        <f>IF(Table1722[[#This Row],[Lawan Transaksi]]="CV AGUNG KARYA",COUNTIF($I$10:I2332,"CV AGUNG KARYA")," ")</f>
        <v xml:space="preserve"> </v>
      </c>
      <c r="F2332" s="107" t="str">
        <f>IF(LEN(Table1722[[#This Row],[Uraian]])&gt;2,TRIM(RIGHT(SUBSTITUTE(TRIM(C2332)," ",REPT(" ",255)),255))," ")</f>
        <v xml:space="preserve"> </v>
      </c>
      <c r="G2332" s="110">
        <f>COPY!Z2324</f>
        <v>0</v>
      </c>
      <c r="H2332" s="111" t="str">
        <f>IFERROR(VLOOKUP(Table1722[[#This Row],[Bukti]],'Un nOTA'!$A$4:$K$5003,10,FALSE),"")</f>
        <v/>
      </c>
      <c r="I2332" s="112" t="str">
        <f>IFERROR(VLOOKUP(Table1722[[#This Row],[Bukti]],Table13[#Data],11,FALSE),"")</f>
        <v/>
      </c>
    </row>
    <row r="2333" spans="1:9" ht="19.5" hidden="1" customHeight="1" x14ac:dyDescent="0.2">
      <c r="A2333" s="105" t="str">
        <f>IF(D2333=1,COUNTIF($D$10:D2333,1)," ")</f>
        <v xml:space="preserve"> </v>
      </c>
      <c r="B2333" s="106">
        <f>COPY!AR2325</f>
        <v>0</v>
      </c>
      <c r="C2333" s="107">
        <f>COPY!AC2325</f>
        <v>0</v>
      </c>
      <c r="D2333" s="107" t="str">
        <f>IF(LEN(Table1722[[#This Row],[Uraian]])&gt;2,1," ")</f>
        <v xml:space="preserve"> </v>
      </c>
      <c r="E2333" s="113" t="str">
        <f>IF(Table1722[[#This Row],[Lawan Transaksi]]="CV AGUNG KARYA",COUNTIF($I$10:I2333,"CV AGUNG KARYA")," ")</f>
        <v xml:space="preserve"> </v>
      </c>
      <c r="F2333" s="107" t="str">
        <f>IF(LEN(Table1722[[#This Row],[Uraian]])&gt;2,TRIM(RIGHT(SUBSTITUTE(TRIM(C2333)," ",REPT(" ",255)),255))," ")</f>
        <v xml:space="preserve"> </v>
      </c>
      <c r="G2333" s="110">
        <f>COPY!Z2325</f>
        <v>0</v>
      </c>
      <c r="H2333" s="111" t="str">
        <f>IFERROR(VLOOKUP(Table1722[[#This Row],[Bukti]],'Un nOTA'!$A$4:$K$5003,10,FALSE),"")</f>
        <v/>
      </c>
      <c r="I2333" s="112" t="str">
        <f>IFERROR(VLOOKUP(Table1722[[#This Row],[Bukti]],Table13[#Data],11,FALSE),"")</f>
        <v/>
      </c>
    </row>
    <row r="2334" spans="1:9" ht="19.5" hidden="1" customHeight="1" x14ac:dyDescent="0.2">
      <c r="A2334" s="105" t="str">
        <f>IF(D2334=1,COUNTIF($D$10:D2334,1)," ")</f>
        <v xml:space="preserve"> </v>
      </c>
      <c r="B2334" s="106">
        <f>COPY!AR2326</f>
        <v>0</v>
      </c>
      <c r="C2334" s="107">
        <f>COPY!AC2326</f>
        <v>0</v>
      </c>
      <c r="D2334" s="107" t="str">
        <f>IF(LEN(Table1722[[#This Row],[Uraian]])&gt;2,1," ")</f>
        <v xml:space="preserve"> </v>
      </c>
      <c r="E2334" s="113" t="str">
        <f>IF(Table1722[[#This Row],[Lawan Transaksi]]="CV AGUNG KARYA",COUNTIF($I$10:I2334,"CV AGUNG KARYA")," ")</f>
        <v xml:space="preserve"> </v>
      </c>
      <c r="F2334" s="107" t="str">
        <f>IF(LEN(Table1722[[#This Row],[Uraian]])&gt;2,TRIM(RIGHT(SUBSTITUTE(TRIM(C2334)," ",REPT(" ",255)),255))," ")</f>
        <v xml:space="preserve"> </v>
      </c>
      <c r="G2334" s="110">
        <f>COPY!Z2326</f>
        <v>0</v>
      </c>
      <c r="H2334" s="111" t="str">
        <f>IFERROR(VLOOKUP(Table1722[[#This Row],[Bukti]],'Un nOTA'!$A$4:$K$5003,10,FALSE),"")</f>
        <v/>
      </c>
      <c r="I2334" s="112" t="str">
        <f>IFERROR(VLOOKUP(Table1722[[#This Row],[Bukti]],Table13[#Data],11,FALSE),"")</f>
        <v/>
      </c>
    </row>
    <row r="2335" spans="1:9" ht="19.5" hidden="1" customHeight="1" x14ac:dyDescent="0.2">
      <c r="A2335" s="105" t="str">
        <f>IF(D2335=1,COUNTIF($D$10:D2335,1)," ")</f>
        <v xml:space="preserve"> </v>
      </c>
      <c r="B2335" s="106">
        <f>COPY!AR2327</f>
        <v>0</v>
      </c>
      <c r="C2335" s="107">
        <f>COPY!AC2327</f>
        <v>0</v>
      </c>
      <c r="D2335" s="107" t="str">
        <f>IF(LEN(Table1722[[#This Row],[Uraian]])&gt;2,1," ")</f>
        <v xml:space="preserve"> </v>
      </c>
      <c r="E2335" s="113" t="str">
        <f>IF(Table1722[[#This Row],[Lawan Transaksi]]="CV AGUNG KARYA",COUNTIF($I$10:I2335,"CV AGUNG KARYA")," ")</f>
        <v xml:space="preserve"> </v>
      </c>
      <c r="F2335" s="107" t="str">
        <f>IF(LEN(Table1722[[#This Row],[Uraian]])&gt;2,TRIM(RIGHT(SUBSTITUTE(TRIM(C2335)," ",REPT(" ",255)),255))," ")</f>
        <v xml:space="preserve"> </v>
      </c>
      <c r="G2335" s="110">
        <f>COPY!Z2327</f>
        <v>0</v>
      </c>
      <c r="H2335" s="111" t="str">
        <f>IFERROR(VLOOKUP(Table1722[[#This Row],[Bukti]],'Un nOTA'!$A$4:$K$5003,10,FALSE),"")</f>
        <v/>
      </c>
      <c r="I2335" s="112" t="str">
        <f>IFERROR(VLOOKUP(Table1722[[#This Row],[Bukti]],Table13[#Data],11,FALSE),"")</f>
        <v/>
      </c>
    </row>
    <row r="2336" spans="1:9" ht="19.5" hidden="1" customHeight="1" x14ac:dyDescent="0.2">
      <c r="A2336" s="105" t="str">
        <f>IF(D2336=1,COUNTIF($D$10:D2336,1)," ")</f>
        <v xml:space="preserve"> </v>
      </c>
      <c r="B2336" s="106">
        <f>COPY!AR2328</f>
        <v>0</v>
      </c>
      <c r="C2336" s="107">
        <f>COPY!AC2328</f>
        <v>0</v>
      </c>
      <c r="D2336" s="107" t="str">
        <f>IF(LEN(Table1722[[#This Row],[Uraian]])&gt;2,1," ")</f>
        <v xml:space="preserve"> </v>
      </c>
      <c r="E2336" s="113" t="str">
        <f>IF(Table1722[[#This Row],[Lawan Transaksi]]="CV AGUNG KARYA",COUNTIF($I$10:I2336,"CV AGUNG KARYA")," ")</f>
        <v xml:space="preserve"> </v>
      </c>
      <c r="F2336" s="107" t="str">
        <f>IF(LEN(Table1722[[#This Row],[Uraian]])&gt;2,TRIM(RIGHT(SUBSTITUTE(TRIM(C2336)," ",REPT(" ",255)),255))," ")</f>
        <v xml:space="preserve"> </v>
      </c>
      <c r="G2336" s="110">
        <f>COPY!Z2328</f>
        <v>0</v>
      </c>
      <c r="H2336" s="111" t="str">
        <f>IFERROR(VLOOKUP(Table1722[[#This Row],[Bukti]],'Un nOTA'!$A$4:$K$5003,10,FALSE),"")</f>
        <v/>
      </c>
      <c r="I2336" s="112" t="str">
        <f>IFERROR(VLOOKUP(Table1722[[#This Row],[Bukti]],Table13[#Data],11,FALSE),"")</f>
        <v/>
      </c>
    </row>
    <row r="2337" spans="1:9" ht="19.5" hidden="1" customHeight="1" x14ac:dyDescent="0.2">
      <c r="A2337" s="105" t="str">
        <f>IF(D2337=1,COUNTIF($D$10:D2337,1)," ")</f>
        <v xml:space="preserve"> </v>
      </c>
      <c r="B2337" s="106">
        <f>COPY!AR2329</f>
        <v>0</v>
      </c>
      <c r="C2337" s="107">
        <f>COPY!AC2329</f>
        <v>0</v>
      </c>
      <c r="D2337" s="107" t="str">
        <f>IF(LEN(Table1722[[#This Row],[Uraian]])&gt;2,1," ")</f>
        <v xml:space="preserve"> </v>
      </c>
      <c r="E2337" s="113" t="str">
        <f>IF(Table1722[[#This Row],[Lawan Transaksi]]="CV AGUNG KARYA",COUNTIF($I$10:I2337,"CV AGUNG KARYA")," ")</f>
        <v xml:space="preserve"> </v>
      </c>
      <c r="F2337" s="107" t="str">
        <f>IF(LEN(Table1722[[#This Row],[Uraian]])&gt;2,TRIM(RIGHT(SUBSTITUTE(TRIM(C2337)," ",REPT(" ",255)),255))," ")</f>
        <v xml:space="preserve"> </v>
      </c>
      <c r="G2337" s="110">
        <f>COPY!Z2329</f>
        <v>0</v>
      </c>
      <c r="H2337" s="111" t="str">
        <f>IFERROR(VLOOKUP(Table1722[[#This Row],[Bukti]],'Un nOTA'!$A$4:$K$5003,10,FALSE),"")</f>
        <v/>
      </c>
      <c r="I2337" s="112" t="str">
        <f>IFERROR(VLOOKUP(Table1722[[#This Row],[Bukti]],Table13[#Data],11,FALSE),"")</f>
        <v/>
      </c>
    </row>
    <row r="2338" spans="1:9" ht="19.5" hidden="1" customHeight="1" x14ac:dyDescent="0.2">
      <c r="A2338" s="105" t="str">
        <f>IF(D2338=1,COUNTIF($D$10:D2338,1)," ")</f>
        <v xml:space="preserve"> </v>
      </c>
      <c r="B2338" s="106">
        <f>COPY!AR2330</f>
        <v>0</v>
      </c>
      <c r="C2338" s="107">
        <f>COPY!AC2330</f>
        <v>0</v>
      </c>
      <c r="D2338" s="107" t="str">
        <f>IF(LEN(Table1722[[#This Row],[Uraian]])&gt;2,1," ")</f>
        <v xml:space="preserve"> </v>
      </c>
      <c r="E2338" s="113" t="str">
        <f>IF(Table1722[[#This Row],[Lawan Transaksi]]="CV AGUNG KARYA",COUNTIF($I$10:I2338,"CV AGUNG KARYA")," ")</f>
        <v xml:space="preserve"> </v>
      </c>
      <c r="F2338" s="107" t="str">
        <f>IF(LEN(Table1722[[#This Row],[Uraian]])&gt;2,TRIM(RIGHT(SUBSTITUTE(TRIM(C2338)," ",REPT(" ",255)),255))," ")</f>
        <v xml:space="preserve"> </v>
      </c>
      <c r="G2338" s="110">
        <f>COPY!Z2330</f>
        <v>0</v>
      </c>
      <c r="H2338" s="111" t="str">
        <f>IFERROR(VLOOKUP(Table1722[[#This Row],[Bukti]],'Un nOTA'!$A$4:$K$5003,10,FALSE),"")</f>
        <v/>
      </c>
      <c r="I2338" s="112" t="str">
        <f>IFERROR(VLOOKUP(Table1722[[#This Row],[Bukti]],Table13[#Data],11,FALSE),"")</f>
        <v/>
      </c>
    </row>
    <row r="2339" spans="1:9" ht="19.5" hidden="1" customHeight="1" x14ac:dyDescent="0.2">
      <c r="A2339" s="105" t="str">
        <f>IF(D2339=1,COUNTIF($D$10:D2339,1)," ")</f>
        <v xml:space="preserve"> </v>
      </c>
      <c r="B2339" s="106">
        <f>COPY!AR2331</f>
        <v>0</v>
      </c>
      <c r="C2339" s="107">
        <f>COPY!AC2331</f>
        <v>0</v>
      </c>
      <c r="D2339" s="107" t="str">
        <f>IF(LEN(Table1722[[#This Row],[Uraian]])&gt;2,1," ")</f>
        <v xml:space="preserve"> </v>
      </c>
      <c r="E2339" s="113" t="str">
        <f>IF(Table1722[[#This Row],[Lawan Transaksi]]="CV AGUNG KARYA",COUNTIF($I$10:I2339,"CV AGUNG KARYA")," ")</f>
        <v xml:space="preserve"> </v>
      </c>
      <c r="F2339" s="107" t="str">
        <f>IF(LEN(Table1722[[#This Row],[Uraian]])&gt;2,TRIM(RIGHT(SUBSTITUTE(TRIM(C2339)," ",REPT(" ",255)),255))," ")</f>
        <v xml:space="preserve"> </v>
      </c>
      <c r="G2339" s="110">
        <f>COPY!Z2331</f>
        <v>0</v>
      </c>
      <c r="H2339" s="111" t="str">
        <f>IFERROR(VLOOKUP(Table1722[[#This Row],[Bukti]],'Un nOTA'!$A$4:$K$5003,10,FALSE),"")</f>
        <v/>
      </c>
      <c r="I2339" s="112" t="str">
        <f>IFERROR(VLOOKUP(Table1722[[#This Row],[Bukti]],Table13[#Data],11,FALSE),"")</f>
        <v/>
      </c>
    </row>
    <row r="2340" spans="1:9" ht="19.5" hidden="1" customHeight="1" x14ac:dyDescent="0.2">
      <c r="A2340" s="105" t="str">
        <f>IF(D2340=1,COUNTIF($D$10:D2340,1)," ")</f>
        <v xml:space="preserve"> </v>
      </c>
      <c r="B2340" s="106">
        <f>COPY!AR2332</f>
        <v>0</v>
      </c>
      <c r="C2340" s="107">
        <f>COPY!AC2332</f>
        <v>0</v>
      </c>
      <c r="D2340" s="107" t="str">
        <f>IF(LEN(Table1722[[#This Row],[Uraian]])&gt;2,1," ")</f>
        <v xml:space="preserve"> </v>
      </c>
      <c r="E2340" s="113" t="str">
        <f>IF(Table1722[[#This Row],[Lawan Transaksi]]="CV AGUNG KARYA",COUNTIF($I$10:I2340,"CV AGUNG KARYA")," ")</f>
        <v xml:space="preserve"> </v>
      </c>
      <c r="F2340" s="107" t="str">
        <f>IF(LEN(Table1722[[#This Row],[Uraian]])&gt;2,TRIM(RIGHT(SUBSTITUTE(TRIM(C2340)," ",REPT(" ",255)),255))," ")</f>
        <v xml:space="preserve"> </v>
      </c>
      <c r="G2340" s="110">
        <f>COPY!Z2332</f>
        <v>0</v>
      </c>
      <c r="H2340" s="111" t="str">
        <f>IFERROR(VLOOKUP(Table1722[[#This Row],[Bukti]],'Un nOTA'!$A$4:$K$5003,10,FALSE),"")</f>
        <v/>
      </c>
      <c r="I2340" s="112" t="str">
        <f>IFERROR(VLOOKUP(Table1722[[#This Row],[Bukti]],Table13[#Data],11,FALSE),"")</f>
        <v/>
      </c>
    </row>
    <row r="2341" spans="1:9" ht="19.5" hidden="1" customHeight="1" x14ac:dyDescent="0.2">
      <c r="A2341" s="105" t="str">
        <f>IF(D2341=1,COUNTIF($D$10:D2341,1)," ")</f>
        <v xml:space="preserve"> </v>
      </c>
      <c r="B2341" s="106">
        <f>COPY!AR2333</f>
        <v>0</v>
      </c>
      <c r="C2341" s="107">
        <f>COPY!AC2333</f>
        <v>0</v>
      </c>
      <c r="D2341" s="107" t="str">
        <f>IF(LEN(Table1722[[#This Row],[Uraian]])&gt;2,1," ")</f>
        <v xml:space="preserve"> </v>
      </c>
      <c r="E2341" s="113" t="str">
        <f>IF(Table1722[[#This Row],[Lawan Transaksi]]="CV AGUNG KARYA",COUNTIF($I$10:I2341,"CV AGUNG KARYA")," ")</f>
        <v xml:space="preserve"> </v>
      </c>
      <c r="F2341" s="107" t="str">
        <f>IF(LEN(Table1722[[#This Row],[Uraian]])&gt;2,TRIM(RIGHT(SUBSTITUTE(TRIM(C2341)," ",REPT(" ",255)),255))," ")</f>
        <v xml:space="preserve"> </v>
      </c>
      <c r="G2341" s="110">
        <f>COPY!Z2333</f>
        <v>0</v>
      </c>
      <c r="H2341" s="111" t="str">
        <f>IFERROR(VLOOKUP(Table1722[[#This Row],[Bukti]],'Un nOTA'!$A$4:$K$5003,10,FALSE),"")</f>
        <v/>
      </c>
      <c r="I2341" s="112" t="str">
        <f>IFERROR(VLOOKUP(Table1722[[#This Row],[Bukti]],Table13[#Data],11,FALSE),"")</f>
        <v/>
      </c>
    </row>
    <row r="2342" spans="1:9" ht="19.5" hidden="1" customHeight="1" x14ac:dyDescent="0.2">
      <c r="A2342" s="105" t="str">
        <f>IF(D2342=1,COUNTIF($D$10:D2342,1)," ")</f>
        <v xml:space="preserve"> </v>
      </c>
      <c r="B2342" s="106">
        <f>COPY!AR2334</f>
        <v>0</v>
      </c>
      <c r="C2342" s="107">
        <f>COPY!AC2334</f>
        <v>0</v>
      </c>
      <c r="D2342" s="107" t="str">
        <f>IF(LEN(Table1722[[#This Row],[Uraian]])&gt;2,1," ")</f>
        <v xml:space="preserve"> </v>
      </c>
      <c r="E2342" s="113" t="str">
        <f>IF(Table1722[[#This Row],[Lawan Transaksi]]="CV AGUNG KARYA",COUNTIF($I$10:I2342,"CV AGUNG KARYA")," ")</f>
        <v xml:space="preserve"> </v>
      </c>
      <c r="F2342" s="107" t="str">
        <f>IF(LEN(Table1722[[#This Row],[Uraian]])&gt;2,TRIM(RIGHT(SUBSTITUTE(TRIM(C2342)," ",REPT(" ",255)),255))," ")</f>
        <v xml:space="preserve"> </v>
      </c>
      <c r="G2342" s="110">
        <f>COPY!Z2334</f>
        <v>0</v>
      </c>
      <c r="H2342" s="111" t="str">
        <f>IFERROR(VLOOKUP(Table1722[[#This Row],[Bukti]],'Un nOTA'!$A$4:$K$5003,10,FALSE),"")</f>
        <v/>
      </c>
      <c r="I2342" s="112" t="str">
        <f>IFERROR(VLOOKUP(Table1722[[#This Row],[Bukti]],Table13[#Data],11,FALSE),"")</f>
        <v/>
      </c>
    </row>
    <row r="2343" spans="1:9" ht="19.5" hidden="1" customHeight="1" x14ac:dyDescent="0.2">
      <c r="A2343" s="105" t="str">
        <f>IF(D2343=1,COUNTIF($D$10:D2343,1)," ")</f>
        <v xml:space="preserve"> </v>
      </c>
      <c r="B2343" s="106">
        <f>COPY!AR2335</f>
        <v>0</v>
      </c>
      <c r="C2343" s="107">
        <f>COPY!AC2335</f>
        <v>0</v>
      </c>
      <c r="D2343" s="107" t="str">
        <f>IF(LEN(Table1722[[#This Row],[Uraian]])&gt;2,1," ")</f>
        <v xml:space="preserve"> </v>
      </c>
      <c r="E2343" s="113" t="str">
        <f>IF(Table1722[[#This Row],[Lawan Transaksi]]="CV AGUNG KARYA",COUNTIF($I$10:I2343,"CV AGUNG KARYA")," ")</f>
        <v xml:space="preserve"> </v>
      </c>
      <c r="F2343" s="107" t="str">
        <f>IF(LEN(Table1722[[#This Row],[Uraian]])&gt;2,TRIM(RIGHT(SUBSTITUTE(TRIM(C2343)," ",REPT(" ",255)),255))," ")</f>
        <v xml:space="preserve"> </v>
      </c>
      <c r="G2343" s="110">
        <f>COPY!Z2335</f>
        <v>0</v>
      </c>
      <c r="H2343" s="111" t="str">
        <f>IFERROR(VLOOKUP(Table1722[[#This Row],[Bukti]],'Un nOTA'!$A$4:$K$5003,10,FALSE),"")</f>
        <v/>
      </c>
      <c r="I2343" s="112" t="str">
        <f>IFERROR(VLOOKUP(Table1722[[#This Row],[Bukti]],Table13[#Data],11,FALSE),"")</f>
        <v/>
      </c>
    </row>
    <row r="2344" spans="1:9" ht="19.5" hidden="1" customHeight="1" x14ac:dyDescent="0.2">
      <c r="A2344" s="105" t="str">
        <f>IF(D2344=1,COUNTIF($D$10:D2344,1)," ")</f>
        <v xml:space="preserve"> </v>
      </c>
      <c r="B2344" s="106">
        <f>COPY!AR2336</f>
        <v>0</v>
      </c>
      <c r="C2344" s="107">
        <f>COPY!AC2336</f>
        <v>0</v>
      </c>
      <c r="D2344" s="107" t="str">
        <f>IF(LEN(Table1722[[#This Row],[Uraian]])&gt;2,1," ")</f>
        <v xml:space="preserve"> </v>
      </c>
      <c r="E2344" s="113" t="str">
        <f>IF(Table1722[[#This Row],[Lawan Transaksi]]="CV AGUNG KARYA",COUNTIF($I$10:I2344,"CV AGUNG KARYA")," ")</f>
        <v xml:space="preserve"> </v>
      </c>
      <c r="F2344" s="107" t="str">
        <f>IF(LEN(Table1722[[#This Row],[Uraian]])&gt;2,TRIM(RIGHT(SUBSTITUTE(TRIM(C2344)," ",REPT(" ",255)),255))," ")</f>
        <v xml:space="preserve"> </v>
      </c>
      <c r="G2344" s="110">
        <f>COPY!Z2336</f>
        <v>0</v>
      </c>
      <c r="H2344" s="111" t="str">
        <f>IFERROR(VLOOKUP(Table1722[[#This Row],[Bukti]],'Un nOTA'!$A$4:$K$5003,10,FALSE),"")</f>
        <v/>
      </c>
      <c r="I2344" s="112" t="str">
        <f>IFERROR(VLOOKUP(Table1722[[#This Row],[Bukti]],Table13[#Data],11,FALSE),"")</f>
        <v/>
      </c>
    </row>
    <row r="2345" spans="1:9" ht="19.5" hidden="1" customHeight="1" x14ac:dyDescent="0.2">
      <c r="A2345" s="105" t="str">
        <f>IF(D2345=1,COUNTIF($D$10:D2345,1)," ")</f>
        <v xml:space="preserve"> </v>
      </c>
      <c r="B2345" s="106">
        <f>COPY!AR2337</f>
        <v>0</v>
      </c>
      <c r="C2345" s="107">
        <f>COPY!AC2337</f>
        <v>0</v>
      </c>
      <c r="D2345" s="107" t="str">
        <f>IF(LEN(Table1722[[#This Row],[Uraian]])&gt;2,1," ")</f>
        <v xml:space="preserve"> </v>
      </c>
      <c r="E2345" s="113" t="str">
        <f>IF(Table1722[[#This Row],[Lawan Transaksi]]="CV AGUNG KARYA",COUNTIF($I$10:I2345,"CV AGUNG KARYA")," ")</f>
        <v xml:space="preserve"> </v>
      </c>
      <c r="F2345" s="107" t="str">
        <f>IF(LEN(Table1722[[#This Row],[Uraian]])&gt;2,TRIM(RIGHT(SUBSTITUTE(TRIM(C2345)," ",REPT(" ",255)),255))," ")</f>
        <v xml:space="preserve"> </v>
      </c>
      <c r="G2345" s="110">
        <f>COPY!Z2337</f>
        <v>0</v>
      </c>
      <c r="H2345" s="111" t="str">
        <f>IFERROR(VLOOKUP(Table1722[[#This Row],[Bukti]],'Un nOTA'!$A$4:$K$5003,10,FALSE),"")</f>
        <v/>
      </c>
      <c r="I2345" s="112" t="str">
        <f>IFERROR(VLOOKUP(Table1722[[#This Row],[Bukti]],Table13[#Data],11,FALSE),"")</f>
        <v/>
      </c>
    </row>
    <row r="2346" spans="1:9" ht="19.5" hidden="1" customHeight="1" x14ac:dyDescent="0.2">
      <c r="A2346" s="105" t="str">
        <f>IF(D2346=1,COUNTIF($D$10:D2346,1)," ")</f>
        <v xml:space="preserve"> </v>
      </c>
      <c r="B2346" s="106">
        <f>COPY!AR2338</f>
        <v>0</v>
      </c>
      <c r="C2346" s="107">
        <f>COPY!AC2338</f>
        <v>0</v>
      </c>
      <c r="D2346" s="107" t="str">
        <f>IF(LEN(Table1722[[#This Row],[Uraian]])&gt;2,1," ")</f>
        <v xml:space="preserve"> </v>
      </c>
      <c r="E2346" s="113" t="str">
        <f>IF(Table1722[[#This Row],[Lawan Transaksi]]="CV AGUNG KARYA",COUNTIF($I$10:I2346,"CV AGUNG KARYA")," ")</f>
        <v xml:space="preserve"> </v>
      </c>
      <c r="F2346" s="107" t="str">
        <f>IF(LEN(Table1722[[#This Row],[Uraian]])&gt;2,TRIM(RIGHT(SUBSTITUTE(TRIM(C2346)," ",REPT(" ",255)),255))," ")</f>
        <v xml:space="preserve"> </v>
      </c>
      <c r="G2346" s="110">
        <f>COPY!Z2338</f>
        <v>0</v>
      </c>
      <c r="H2346" s="111" t="str">
        <f>IFERROR(VLOOKUP(Table1722[[#This Row],[Bukti]],'Un nOTA'!$A$4:$K$5003,10,FALSE),"")</f>
        <v/>
      </c>
      <c r="I2346" s="112" t="str">
        <f>IFERROR(VLOOKUP(Table1722[[#This Row],[Bukti]],Table13[#Data],11,FALSE),"")</f>
        <v/>
      </c>
    </row>
    <row r="2347" spans="1:9" ht="19.5" hidden="1" customHeight="1" x14ac:dyDescent="0.2">
      <c r="A2347" s="105" t="str">
        <f>IF(D2347=1,COUNTIF($D$10:D2347,1)," ")</f>
        <v xml:space="preserve"> </v>
      </c>
      <c r="B2347" s="106">
        <f>COPY!AR2339</f>
        <v>0</v>
      </c>
      <c r="C2347" s="107">
        <f>COPY!AC2339</f>
        <v>0</v>
      </c>
      <c r="D2347" s="107" t="str">
        <f>IF(LEN(Table1722[[#This Row],[Uraian]])&gt;2,1," ")</f>
        <v xml:space="preserve"> </v>
      </c>
      <c r="E2347" s="113" t="str">
        <f>IF(Table1722[[#This Row],[Lawan Transaksi]]="CV AGUNG KARYA",COUNTIF($I$10:I2347,"CV AGUNG KARYA")," ")</f>
        <v xml:space="preserve"> </v>
      </c>
      <c r="F2347" s="107" t="str">
        <f>IF(LEN(Table1722[[#This Row],[Uraian]])&gt;2,TRIM(RIGHT(SUBSTITUTE(TRIM(C2347)," ",REPT(" ",255)),255))," ")</f>
        <v xml:space="preserve"> </v>
      </c>
      <c r="G2347" s="110">
        <f>COPY!Z2339</f>
        <v>0</v>
      </c>
      <c r="H2347" s="111" t="str">
        <f>IFERROR(VLOOKUP(Table1722[[#This Row],[Bukti]],'Un nOTA'!$A$4:$K$5003,10,FALSE),"")</f>
        <v/>
      </c>
      <c r="I2347" s="112" t="str">
        <f>IFERROR(VLOOKUP(Table1722[[#This Row],[Bukti]],Table13[#Data],11,FALSE),"")</f>
        <v/>
      </c>
    </row>
    <row r="2348" spans="1:9" ht="19.5" hidden="1" customHeight="1" x14ac:dyDescent="0.2">
      <c r="A2348" s="105" t="str">
        <f>IF(D2348=1,COUNTIF($D$10:D2348,1)," ")</f>
        <v xml:space="preserve"> </v>
      </c>
      <c r="B2348" s="106">
        <f>COPY!AR2340</f>
        <v>0</v>
      </c>
      <c r="C2348" s="107">
        <f>COPY!AC2340</f>
        <v>0</v>
      </c>
      <c r="D2348" s="107" t="str">
        <f>IF(LEN(Table1722[[#This Row],[Uraian]])&gt;2,1," ")</f>
        <v xml:space="preserve"> </v>
      </c>
      <c r="E2348" s="113" t="str">
        <f>IF(Table1722[[#This Row],[Lawan Transaksi]]="CV AGUNG KARYA",COUNTIF($I$10:I2348,"CV AGUNG KARYA")," ")</f>
        <v xml:space="preserve"> </v>
      </c>
      <c r="F2348" s="107" t="str">
        <f>IF(LEN(Table1722[[#This Row],[Uraian]])&gt;2,TRIM(RIGHT(SUBSTITUTE(TRIM(C2348)," ",REPT(" ",255)),255))," ")</f>
        <v xml:space="preserve"> </v>
      </c>
      <c r="G2348" s="110">
        <f>COPY!Z2340</f>
        <v>0</v>
      </c>
      <c r="H2348" s="111" t="str">
        <f>IFERROR(VLOOKUP(Table1722[[#This Row],[Bukti]],'Un nOTA'!$A$4:$K$5003,10,FALSE),"")</f>
        <v/>
      </c>
      <c r="I2348" s="112" t="str">
        <f>IFERROR(VLOOKUP(Table1722[[#This Row],[Bukti]],Table13[#Data],11,FALSE),"")</f>
        <v/>
      </c>
    </row>
    <row r="2349" spans="1:9" ht="19.5" hidden="1" customHeight="1" x14ac:dyDescent="0.2">
      <c r="A2349" s="105" t="str">
        <f>IF(D2349=1,COUNTIF($D$10:D2349,1)," ")</f>
        <v xml:space="preserve"> </v>
      </c>
      <c r="B2349" s="106">
        <f>COPY!AR2341</f>
        <v>0</v>
      </c>
      <c r="C2349" s="107">
        <f>COPY!AC2341</f>
        <v>0</v>
      </c>
      <c r="D2349" s="107" t="str">
        <f>IF(LEN(Table1722[[#This Row],[Uraian]])&gt;2,1," ")</f>
        <v xml:space="preserve"> </v>
      </c>
      <c r="E2349" s="113" t="str">
        <f>IF(Table1722[[#This Row],[Lawan Transaksi]]="CV AGUNG KARYA",COUNTIF($I$10:I2349,"CV AGUNG KARYA")," ")</f>
        <v xml:space="preserve"> </v>
      </c>
      <c r="F2349" s="107" t="str">
        <f>IF(LEN(Table1722[[#This Row],[Uraian]])&gt;2,TRIM(RIGHT(SUBSTITUTE(TRIM(C2349)," ",REPT(" ",255)),255))," ")</f>
        <v xml:space="preserve"> </v>
      </c>
      <c r="G2349" s="110">
        <f>COPY!Z2341</f>
        <v>0</v>
      </c>
      <c r="H2349" s="111" t="str">
        <f>IFERROR(VLOOKUP(Table1722[[#This Row],[Bukti]],'Un nOTA'!$A$4:$K$5003,10,FALSE),"")</f>
        <v/>
      </c>
      <c r="I2349" s="112" t="str">
        <f>IFERROR(VLOOKUP(Table1722[[#This Row],[Bukti]],Table13[#Data],11,FALSE),"")</f>
        <v/>
      </c>
    </row>
    <row r="2350" spans="1:9" ht="19.5" hidden="1" customHeight="1" x14ac:dyDescent="0.2">
      <c r="A2350" s="105" t="str">
        <f>IF(D2350=1,COUNTIF($D$10:D2350,1)," ")</f>
        <v xml:space="preserve"> </v>
      </c>
      <c r="B2350" s="106">
        <f>COPY!AR2342</f>
        <v>0</v>
      </c>
      <c r="C2350" s="107">
        <f>COPY!AC2342</f>
        <v>0</v>
      </c>
      <c r="D2350" s="107" t="str">
        <f>IF(LEN(Table1722[[#This Row],[Uraian]])&gt;2,1," ")</f>
        <v xml:space="preserve"> </v>
      </c>
      <c r="E2350" s="113" t="str">
        <f>IF(Table1722[[#This Row],[Lawan Transaksi]]="CV AGUNG KARYA",COUNTIF($I$10:I2350,"CV AGUNG KARYA")," ")</f>
        <v xml:space="preserve"> </v>
      </c>
      <c r="F2350" s="107" t="str">
        <f>IF(LEN(Table1722[[#This Row],[Uraian]])&gt;2,TRIM(RIGHT(SUBSTITUTE(TRIM(C2350)," ",REPT(" ",255)),255))," ")</f>
        <v xml:space="preserve"> </v>
      </c>
      <c r="G2350" s="110">
        <f>COPY!Z2342</f>
        <v>0</v>
      </c>
      <c r="H2350" s="111" t="str">
        <f>IFERROR(VLOOKUP(Table1722[[#This Row],[Bukti]],'Un nOTA'!$A$4:$K$5003,10,FALSE),"")</f>
        <v/>
      </c>
      <c r="I2350" s="112" t="str">
        <f>IFERROR(VLOOKUP(Table1722[[#This Row],[Bukti]],Table13[#Data],11,FALSE),"")</f>
        <v/>
      </c>
    </row>
    <row r="2351" spans="1:9" ht="19.5" hidden="1" customHeight="1" x14ac:dyDescent="0.2">
      <c r="A2351" s="105" t="str">
        <f>IF(D2351=1,COUNTIF($D$10:D2351,1)," ")</f>
        <v xml:space="preserve"> </v>
      </c>
      <c r="B2351" s="106">
        <f>COPY!AR2343</f>
        <v>0</v>
      </c>
      <c r="C2351" s="107">
        <f>COPY!AC2343</f>
        <v>0</v>
      </c>
      <c r="D2351" s="107" t="str">
        <f>IF(LEN(Table1722[[#This Row],[Uraian]])&gt;2,1," ")</f>
        <v xml:space="preserve"> </v>
      </c>
      <c r="E2351" s="113" t="str">
        <f>IF(Table1722[[#This Row],[Lawan Transaksi]]="CV AGUNG KARYA",COUNTIF($I$10:I2351,"CV AGUNG KARYA")," ")</f>
        <v xml:space="preserve"> </v>
      </c>
      <c r="F2351" s="107" t="str">
        <f>IF(LEN(Table1722[[#This Row],[Uraian]])&gt;2,TRIM(RIGHT(SUBSTITUTE(TRIM(C2351)," ",REPT(" ",255)),255))," ")</f>
        <v xml:space="preserve"> </v>
      </c>
      <c r="G2351" s="110">
        <f>COPY!Z2343</f>
        <v>0</v>
      </c>
      <c r="H2351" s="111" t="str">
        <f>IFERROR(VLOOKUP(Table1722[[#This Row],[Bukti]],'Un nOTA'!$A$4:$K$5003,10,FALSE),"")</f>
        <v/>
      </c>
      <c r="I2351" s="112" t="str">
        <f>IFERROR(VLOOKUP(Table1722[[#This Row],[Bukti]],Table13[#Data],11,FALSE),"")</f>
        <v/>
      </c>
    </row>
    <row r="2352" spans="1:9" ht="19.5" hidden="1" customHeight="1" x14ac:dyDescent="0.2">
      <c r="A2352" s="105" t="str">
        <f>IF(D2352=1,COUNTIF($D$10:D2352,1)," ")</f>
        <v xml:space="preserve"> </v>
      </c>
      <c r="B2352" s="106">
        <f>COPY!AR2344</f>
        <v>0</v>
      </c>
      <c r="C2352" s="107">
        <f>COPY!AC2344</f>
        <v>0</v>
      </c>
      <c r="D2352" s="107" t="str">
        <f>IF(LEN(Table1722[[#This Row],[Uraian]])&gt;2,1," ")</f>
        <v xml:space="preserve"> </v>
      </c>
      <c r="E2352" s="113" t="str">
        <f>IF(Table1722[[#This Row],[Lawan Transaksi]]="CV AGUNG KARYA",COUNTIF($I$10:I2352,"CV AGUNG KARYA")," ")</f>
        <v xml:space="preserve"> </v>
      </c>
      <c r="F2352" s="107" t="str">
        <f>IF(LEN(Table1722[[#This Row],[Uraian]])&gt;2,TRIM(RIGHT(SUBSTITUTE(TRIM(C2352)," ",REPT(" ",255)),255))," ")</f>
        <v xml:space="preserve"> </v>
      </c>
      <c r="G2352" s="110">
        <f>COPY!Z2344</f>
        <v>0</v>
      </c>
      <c r="H2352" s="111" t="str">
        <f>IFERROR(VLOOKUP(Table1722[[#This Row],[Bukti]],'Un nOTA'!$A$4:$K$5003,10,FALSE),"")</f>
        <v/>
      </c>
      <c r="I2352" s="112" t="str">
        <f>IFERROR(VLOOKUP(Table1722[[#This Row],[Bukti]],Table13[#Data],11,FALSE),"")</f>
        <v/>
      </c>
    </row>
    <row r="2353" spans="1:9" ht="19.5" hidden="1" customHeight="1" x14ac:dyDescent="0.2">
      <c r="A2353" s="105" t="str">
        <f>IF(D2353=1,COUNTIF($D$10:D2353,1)," ")</f>
        <v xml:space="preserve"> </v>
      </c>
      <c r="B2353" s="106">
        <f>COPY!AR2345</f>
        <v>0</v>
      </c>
      <c r="C2353" s="107">
        <f>COPY!AC2345</f>
        <v>0</v>
      </c>
      <c r="D2353" s="107" t="str">
        <f>IF(LEN(Table1722[[#This Row],[Uraian]])&gt;2,1," ")</f>
        <v xml:space="preserve"> </v>
      </c>
      <c r="E2353" s="113" t="str">
        <f>IF(Table1722[[#This Row],[Lawan Transaksi]]="CV AGUNG KARYA",COUNTIF($I$10:I2353,"CV AGUNG KARYA")," ")</f>
        <v xml:space="preserve"> </v>
      </c>
      <c r="F2353" s="107" t="str">
        <f>IF(LEN(Table1722[[#This Row],[Uraian]])&gt;2,TRIM(RIGHT(SUBSTITUTE(TRIM(C2353)," ",REPT(" ",255)),255))," ")</f>
        <v xml:space="preserve"> </v>
      </c>
      <c r="G2353" s="110">
        <f>COPY!Z2345</f>
        <v>0</v>
      </c>
      <c r="H2353" s="111" t="str">
        <f>IFERROR(VLOOKUP(Table1722[[#This Row],[Bukti]],'Un nOTA'!$A$4:$K$5003,10,FALSE),"")</f>
        <v/>
      </c>
      <c r="I2353" s="112" t="str">
        <f>IFERROR(VLOOKUP(Table1722[[#This Row],[Bukti]],Table13[#Data],11,FALSE),"")</f>
        <v/>
      </c>
    </row>
    <row r="2354" spans="1:9" ht="19.5" hidden="1" customHeight="1" x14ac:dyDescent="0.2">
      <c r="A2354" s="105" t="str">
        <f>IF(D2354=1,COUNTIF($D$10:D2354,1)," ")</f>
        <v xml:space="preserve"> </v>
      </c>
      <c r="B2354" s="106">
        <f>COPY!AR2346</f>
        <v>0</v>
      </c>
      <c r="C2354" s="107">
        <f>COPY!AC2346</f>
        <v>0</v>
      </c>
      <c r="D2354" s="107" t="str">
        <f>IF(LEN(Table1722[[#This Row],[Uraian]])&gt;2,1," ")</f>
        <v xml:space="preserve"> </v>
      </c>
      <c r="E2354" s="113" t="str">
        <f>IF(Table1722[[#This Row],[Lawan Transaksi]]="CV AGUNG KARYA",COUNTIF($I$10:I2354,"CV AGUNG KARYA")," ")</f>
        <v xml:space="preserve"> </v>
      </c>
      <c r="F2354" s="107" t="str">
        <f>IF(LEN(Table1722[[#This Row],[Uraian]])&gt;2,TRIM(RIGHT(SUBSTITUTE(TRIM(C2354)," ",REPT(" ",255)),255))," ")</f>
        <v xml:space="preserve"> </v>
      </c>
      <c r="G2354" s="110">
        <f>COPY!Z2346</f>
        <v>0</v>
      </c>
      <c r="H2354" s="111" t="str">
        <f>IFERROR(VLOOKUP(Table1722[[#This Row],[Bukti]],'Un nOTA'!$A$4:$K$5003,10,FALSE),"")</f>
        <v/>
      </c>
      <c r="I2354" s="112" t="str">
        <f>IFERROR(VLOOKUP(Table1722[[#This Row],[Bukti]],Table13[#Data],11,FALSE),"")</f>
        <v/>
      </c>
    </row>
    <row r="2355" spans="1:9" ht="19.5" hidden="1" customHeight="1" x14ac:dyDescent="0.2">
      <c r="A2355" s="105" t="str">
        <f>IF(D2355=1,COUNTIF($D$10:D2355,1)," ")</f>
        <v xml:space="preserve"> </v>
      </c>
      <c r="B2355" s="106">
        <f>COPY!AR2347</f>
        <v>0</v>
      </c>
      <c r="C2355" s="107">
        <f>COPY!AC2347</f>
        <v>0</v>
      </c>
      <c r="D2355" s="107" t="str">
        <f>IF(LEN(Table1722[[#This Row],[Uraian]])&gt;2,1," ")</f>
        <v xml:space="preserve"> </v>
      </c>
      <c r="E2355" s="113" t="str">
        <f>IF(Table1722[[#This Row],[Lawan Transaksi]]="CV AGUNG KARYA",COUNTIF($I$10:I2355,"CV AGUNG KARYA")," ")</f>
        <v xml:space="preserve"> </v>
      </c>
      <c r="F2355" s="107" t="str">
        <f>IF(LEN(Table1722[[#This Row],[Uraian]])&gt;2,TRIM(RIGHT(SUBSTITUTE(TRIM(C2355)," ",REPT(" ",255)),255))," ")</f>
        <v xml:space="preserve"> </v>
      </c>
      <c r="G2355" s="110">
        <f>COPY!Z2347</f>
        <v>0</v>
      </c>
      <c r="H2355" s="111" t="str">
        <f>IFERROR(VLOOKUP(Table1722[[#This Row],[Bukti]],'Un nOTA'!$A$4:$K$5003,10,FALSE),"")</f>
        <v/>
      </c>
      <c r="I2355" s="112" t="str">
        <f>IFERROR(VLOOKUP(Table1722[[#This Row],[Bukti]],Table13[#Data],11,FALSE),"")</f>
        <v/>
      </c>
    </row>
    <row r="2356" spans="1:9" ht="19.5" hidden="1" customHeight="1" x14ac:dyDescent="0.2">
      <c r="A2356" s="105" t="str">
        <f>IF(D2356=1,COUNTIF($D$10:D2356,1)," ")</f>
        <v xml:space="preserve"> </v>
      </c>
      <c r="B2356" s="106">
        <f>COPY!AR2348</f>
        <v>0</v>
      </c>
      <c r="C2356" s="107">
        <f>COPY!AC2348</f>
        <v>0</v>
      </c>
      <c r="D2356" s="107" t="str">
        <f>IF(LEN(Table1722[[#This Row],[Uraian]])&gt;2,1," ")</f>
        <v xml:space="preserve"> </v>
      </c>
      <c r="E2356" s="113" t="str">
        <f>IF(Table1722[[#This Row],[Lawan Transaksi]]="CV AGUNG KARYA",COUNTIF($I$10:I2356,"CV AGUNG KARYA")," ")</f>
        <v xml:space="preserve"> </v>
      </c>
      <c r="F2356" s="107" t="str">
        <f>IF(LEN(Table1722[[#This Row],[Uraian]])&gt;2,TRIM(RIGHT(SUBSTITUTE(TRIM(C2356)," ",REPT(" ",255)),255))," ")</f>
        <v xml:space="preserve"> </v>
      </c>
      <c r="G2356" s="110">
        <f>COPY!Z2348</f>
        <v>0</v>
      </c>
      <c r="H2356" s="111" t="str">
        <f>IFERROR(VLOOKUP(Table1722[[#This Row],[Bukti]],'Un nOTA'!$A$4:$K$5003,10,FALSE),"")</f>
        <v/>
      </c>
      <c r="I2356" s="112" t="str">
        <f>IFERROR(VLOOKUP(Table1722[[#This Row],[Bukti]],Table13[#Data],11,FALSE),"")</f>
        <v/>
      </c>
    </row>
    <row r="2357" spans="1:9" ht="19.5" hidden="1" customHeight="1" x14ac:dyDescent="0.2">
      <c r="A2357" s="105" t="str">
        <f>IF(D2357=1,COUNTIF($D$10:D2357,1)," ")</f>
        <v xml:space="preserve"> </v>
      </c>
      <c r="B2357" s="106">
        <f>COPY!AR2349</f>
        <v>0</v>
      </c>
      <c r="C2357" s="107">
        <f>COPY!AC2349</f>
        <v>0</v>
      </c>
      <c r="D2357" s="107" t="str">
        <f>IF(LEN(Table1722[[#This Row],[Uraian]])&gt;2,1," ")</f>
        <v xml:space="preserve"> </v>
      </c>
      <c r="E2357" s="113" t="str">
        <f>IF(Table1722[[#This Row],[Lawan Transaksi]]="CV AGUNG KARYA",COUNTIF($I$10:I2357,"CV AGUNG KARYA")," ")</f>
        <v xml:space="preserve"> </v>
      </c>
      <c r="F2357" s="107" t="str">
        <f>IF(LEN(Table1722[[#This Row],[Uraian]])&gt;2,TRIM(RIGHT(SUBSTITUTE(TRIM(C2357)," ",REPT(" ",255)),255))," ")</f>
        <v xml:space="preserve"> </v>
      </c>
      <c r="G2357" s="110">
        <f>COPY!Z2349</f>
        <v>0</v>
      </c>
      <c r="H2357" s="111" t="str">
        <f>IFERROR(VLOOKUP(Table1722[[#This Row],[Bukti]],'Un nOTA'!$A$4:$K$5003,10,FALSE),"")</f>
        <v/>
      </c>
      <c r="I2357" s="112" t="str">
        <f>IFERROR(VLOOKUP(Table1722[[#This Row],[Bukti]],Table13[#Data],11,FALSE),"")</f>
        <v/>
      </c>
    </row>
    <row r="2358" spans="1:9" ht="19.5" hidden="1" customHeight="1" x14ac:dyDescent="0.2">
      <c r="A2358" s="105" t="str">
        <f>IF(D2358=1,COUNTIF($D$10:D2358,1)," ")</f>
        <v xml:space="preserve"> </v>
      </c>
      <c r="B2358" s="106">
        <f>COPY!AR2350</f>
        <v>0</v>
      </c>
      <c r="C2358" s="107">
        <f>COPY!AC2350</f>
        <v>0</v>
      </c>
      <c r="D2358" s="107" t="str">
        <f>IF(LEN(Table1722[[#This Row],[Uraian]])&gt;2,1," ")</f>
        <v xml:space="preserve"> </v>
      </c>
      <c r="E2358" s="113" t="str">
        <f>IF(Table1722[[#This Row],[Lawan Transaksi]]="CV AGUNG KARYA",COUNTIF($I$10:I2358,"CV AGUNG KARYA")," ")</f>
        <v xml:space="preserve"> </v>
      </c>
      <c r="F2358" s="107" t="str">
        <f>IF(LEN(Table1722[[#This Row],[Uraian]])&gt;2,TRIM(RIGHT(SUBSTITUTE(TRIM(C2358)," ",REPT(" ",255)),255))," ")</f>
        <v xml:space="preserve"> </v>
      </c>
      <c r="G2358" s="110">
        <f>COPY!Z2350</f>
        <v>0</v>
      </c>
      <c r="H2358" s="111" t="str">
        <f>IFERROR(VLOOKUP(Table1722[[#This Row],[Bukti]],'Un nOTA'!$A$4:$K$5003,10,FALSE),"")</f>
        <v/>
      </c>
      <c r="I2358" s="112" t="str">
        <f>IFERROR(VLOOKUP(Table1722[[#This Row],[Bukti]],Table13[#Data],11,FALSE),"")</f>
        <v/>
      </c>
    </row>
    <row r="2359" spans="1:9" ht="19.5" hidden="1" customHeight="1" x14ac:dyDescent="0.2">
      <c r="A2359" s="105" t="str">
        <f>IF(D2359=1,COUNTIF($D$10:D2359,1)," ")</f>
        <v xml:space="preserve"> </v>
      </c>
      <c r="B2359" s="106">
        <f>COPY!AR2351</f>
        <v>0</v>
      </c>
      <c r="C2359" s="107">
        <f>COPY!AC2351</f>
        <v>0</v>
      </c>
      <c r="D2359" s="107" t="str">
        <f>IF(LEN(Table1722[[#This Row],[Uraian]])&gt;2,1," ")</f>
        <v xml:space="preserve"> </v>
      </c>
      <c r="E2359" s="113" t="str">
        <f>IF(Table1722[[#This Row],[Lawan Transaksi]]="CV AGUNG KARYA",COUNTIF($I$10:I2359,"CV AGUNG KARYA")," ")</f>
        <v xml:space="preserve"> </v>
      </c>
      <c r="F2359" s="107" t="str">
        <f>IF(LEN(Table1722[[#This Row],[Uraian]])&gt;2,TRIM(RIGHT(SUBSTITUTE(TRIM(C2359)," ",REPT(" ",255)),255))," ")</f>
        <v xml:space="preserve"> </v>
      </c>
      <c r="G2359" s="110">
        <f>COPY!Z2351</f>
        <v>0</v>
      </c>
      <c r="H2359" s="111" t="str">
        <f>IFERROR(VLOOKUP(Table1722[[#This Row],[Bukti]],'Un nOTA'!$A$4:$K$5003,10,FALSE),"")</f>
        <v/>
      </c>
      <c r="I2359" s="112" t="str">
        <f>IFERROR(VLOOKUP(Table1722[[#This Row],[Bukti]],Table13[#Data],11,FALSE),"")</f>
        <v/>
      </c>
    </row>
    <row r="2360" spans="1:9" ht="19.5" hidden="1" customHeight="1" x14ac:dyDescent="0.2">
      <c r="A2360" s="105" t="str">
        <f>IF(D2360=1,COUNTIF($D$10:D2360,1)," ")</f>
        <v xml:space="preserve"> </v>
      </c>
      <c r="B2360" s="106">
        <f>COPY!AR2352</f>
        <v>0</v>
      </c>
      <c r="C2360" s="107">
        <f>COPY!AC2352</f>
        <v>0</v>
      </c>
      <c r="D2360" s="107" t="str">
        <f>IF(LEN(Table1722[[#This Row],[Uraian]])&gt;2,1," ")</f>
        <v xml:space="preserve"> </v>
      </c>
      <c r="E2360" s="113" t="str">
        <f>IF(Table1722[[#This Row],[Lawan Transaksi]]="CV AGUNG KARYA",COUNTIF($I$10:I2360,"CV AGUNG KARYA")," ")</f>
        <v xml:space="preserve"> </v>
      </c>
      <c r="F2360" s="107" t="str">
        <f>IF(LEN(Table1722[[#This Row],[Uraian]])&gt;2,TRIM(RIGHT(SUBSTITUTE(TRIM(C2360)," ",REPT(" ",255)),255))," ")</f>
        <v xml:space="preserve"> </v>
      </c>
      <c r="G2360" s="110">
        <f>COPY!Z2352</f>
        <v>0</v>
      </c>
      <c r="H2360" s="111" t="str">
        <f>IFERROR(VLOOKUP(Table1722[[#This Row],[Bukti]],'Un nOTA'!$A$4:$K$5003,10,FALSE),"")</f>
        <v/>
      </c>
      <c r="I2360" s="112" t="str">
        <f>IFERROR(VLOOKUP(Table1722[[#This Row],[Bukti]],Table13[#Data],11,FALSE),"")</f>
        <v/>
      </c>
    </row>
    <row r="2361" spans="1:9" ht="19.5" hidden="1" customHeight="1" x14ac:dyDescent="0.2">
      <c r="A2361" s="105" t="str">
        <f>IF(D2361=1,COUNTIF($D$10:D2361,1)," ")</f>
        <v xml:space="preserve"> </v>
      </c>
      <c r="B2361" s="106">
        <f>COPY!AR2353</f>
        <v>0</v>
      </c>
      <c r="C2361" s="107">
        <f>COPY!AC2353</f>
        <v>0</v>
      </c>
      <c r="D2361" s="107" t="str">
        <f>IF(LEN(Table1722[[#This Row],[Uraian]])&gt;2,1," ")</f>
        <v xml:space="preserve"> </v>
      </c>
      <c r="E2361" s="113" t="str">
        <f>IF(Table1722[[#This Row],[Lawan Transaksi]]="CV AGUNG KARYA",COUNTIF($I$10:I2361,"CV AGUNG KARYA")," ")</f>
        <v xml:space="preserve"> </v>
      </c>
      <c r="F2361" s="107" t="str">
        <f>IF(LEN(Table1722[[#This Row],[Uraian]])&gt;2,TRIM(RIGHT(SUBSTITUTE(TRIM(C2361)," ",REPT(" ",255)),255))," ")</f>
        <v xml:space="preserve"> </v>
      </c>
      <c r="G2361" s="110">
        <f>COPY!Z2353</f>
        <v>0</v>
      </c>
      <c r="H2361" s="111" t="str">
        <f>IFERROR(VLOOKUP(Table1722[[#This Row],[Bukti]],'Un nOTA'!$A$4:$K$5003,10,FALSE),"")</f>
        <v/>
      </c>
      <c r="I2361" s="112" t="str">
        <f>IFERROR(VLOOKUP(Table1722[[#This Row],[Bukti]],Table13[#Data],11,FALSE),"")</f>
        <v/>
      </c>
    </row>
    <row r="2362" spans="1:9" ht="19.5" hidden="1" customHeight="1" x14ac:dyDescent="0.2">
      <c r="A2362" s="105" t="str">
        <f>IF(D2362=1,COUNTIF($D$10:D2362,1)," ")</f>
        <v xml:space="preserve"> </v>
      </c>
      <c r="B2362" s="106">
        <f>COPY!AR2354</f>
        <v>0</v>
      </c>
      <c r="C2362" s="107">
        <f>COPY!AC2354</f>
        <v>0</v>
      </c>
      <c r="D2362" s="107" t="str">
        <f>IF(LEN(Table1722[[#This Row],[Uraian]])&gt;2,1," ")</f>
        <v xml:space="preserve"> </v>
      </c>
      <c r="E2362" s="113" t="str">
        <f>IF(Table1722[[#This Row],[Lawan Transaksi]]="CV AGUNG KARYA",COUNTIF($I$10:I2362,"CV AGUNG KARYA")," ")</f>
        <v xml:space="preserve"> </v>
      </c>
      <c r="F2362" s="107" t="str">
        <f>IF(LEN(Table1722[[#This Row],[Uraian]])&gt;2,TRIM(RIGHT(SUBSTITUTE(TRIM(C2362)," ",REPT(" ",255)),255))," ")</f>
        <v xml:space="preserve"> </v>
      </c>
      <c r="G2362" s="110">
        <f>COPY!Z2354</f>
        <v>0</v>
      </c>
      <c r="H2362" s="111" t="str">
        <f>IFERROR(VLOOKUP(Table1722[[#This Row],[Bukti]],'Un nOTA'!$A$4:$K$5003,10,FALSE),"")</f>
        <v/>
      </c>
      <c r="I2362" s="112" t="str">
        <f>IFERROR(VLOOKUP(Table1722[[#This Row],[Bukti]],Table13[#Data],11,FALSE),"")</f>
        <v/>
      </c>
    </row>
    <row r="2363" spans="1:9" ht="19.5" hidden="1" customHeight="1" x14ac:dyDescent="0.2">
      <c r="A2363" s="105" t="str">
        <f>IF(D2363=1,COUNTIF($D$10:D2363,1)," ")</f>
        <v xml:space="preserve"> </v>
      </c>
      <c r="B2363" s="106">
        <f>COPY!AR2355</f>
        <v>0</v>
      </c>
      <c r="C2363" s="107">
        <f>COPY!AC2355</f>
        <v>0</v>
      </c>
      <c r="D2363" s="107" t="str">
        <f>IF(LEN(Table1722[[#This Row],[Uraian]])&gt;2,1," ")</f>
        <v xml:space="preserve"> </v>
      </c>
      <c r="E2363" s="113" t="str">
        <f>IF(Table1722[[#This Row],[Lawan Transaksi]]="CV AGUNG KARYA",COUNTIF($I$10:I2363,"CV AGUNG KARYA")," ")</f>
        <v xml:space="preserve"> </v>
      </c>
      <c r="F2363" s="107" t="str">
        <f>IF(LEN(Table1722[[#This Row],[Uraian]])&gt;2,TRIM(RIGHT(SUBSTITUTE(TRIM(C2363)," ",REPT(" ",255)),255))," ")</f>
        <v xml:space="preserve"> </v>
      </c>
      <c r="G2363" s="110">
        <f>COPY!Z2355</f>
        <v>0</v>
      </c>
      <c r="H2363" s="111" t="str">
        <f>IFERROR(VLOOKUP(Table1722[[#This Row],[Bukti]],'Un nOTA'!$A$4:$K$5003,10,FALSE),"")</f>
        <v/>
      </c>
      <c r="I2363" s="112" t="str">
        <f>IFERROR(VLOOKUP(Table1722[[#This Row],[Bukti]],Table13[#Data],11,FALSE),"")</f>
        <v/>
      </c>
    </row>
    <row r="2364" spans="1:9" ht="19.5" hidden="1" customHeight="1" x14ac:dyDescent="0.2">
      <c r="A2364" s="105" t="str">
        <f>IF(D2364=1,COUNTIF($D$10:D2364,1)," ")</f>
        <v xml:space="preserve"> </v>
      </c>
      <c r="B2364" s="106">
        <f>COPY!AR2356</f>
        <v>0</v>
      </c>
      <c r="C2364" s="107">
        <f>COPY!AC2356</f>
        <v>0</v>
      </c>
      <c r="D2364" s="107" t="str">
        <f>IF(LEN(Table1722[[#This Row],[Uraian]])&gt;2,1," ")</f>
        <v xml:space="preserve"> </v>
      </c>
      <c r="E2364" s="113" t="str">
        <f>IF(Table1722[[#This Row],[Lawan Transaksi]]="CV AGUNG KARYA",COUNTIF($I$10:I2364,"CV AGUNG KARYA")," ")</f>
        <v xml:space="preserve"> </v>
      </c>
      <c r="F2364" s="107" t="str">
        <f>IF(LEN(Table1722[[#This Row],[Uraian]])&gt;2,TRIM(RIGHT(SUBSTITUTE(TRIM(C2364)," ",REPT(" ",255)),255))," ")</f>
        <v xml:space="preserve"> </v>
      </c>
      <c r="G2364" s="110">
        <f>COPY!Z2356</f>
        <v>0</v>
      </c>
      <c r="H2364" s="111" t="str">
        <f>IFERROR(VLOOKUP(Table1722[[#This Row],[Bukti]],'Un nOTA'!$A$4:$K$5003,10,FALSE),"")</f>
        <v/>
      </c>
      <c r="I2364" s="112" t="str">
        <f>IFERROR(VLOOKUP(Table1722[[#This Row],[Bukti]],Table13[#Data],11,FALSE),"")</f>
        <v/>
      </c>
    </row>
    <row r="2365" spans="1:9" ht="19.5" hidden="1" customHeight="1" x14ac:dyDescent="0.2">
      <c r="A2365" s="105" t="str">
        <f>IF(D2365=1,COUNTIF($D$10:D2365,1)," ")</f>
        <v xml:space="preserve"> </v>
      </c>
      <c r="B2365" s="106">
        <f>COPY!AR2357</f>
        <v>0</v>
      </c>
      <c r="C2365" s="107">
        <f>COPY!AC2357</f>
        <v>0</v>
      </c>
      <c r="D2365" s="107" t="str">
        <f>IF(LEN(Table1722[[#This Row],[Uraian]])&gt;2,1," ")</f>
        <v xml:space="preserve"> </v>
      </c>
      <c r="E2365" s="113" t="str">
        <f>IF(Table1722[[#This Row],[Lawan Transaksi]]="CV AGUNG KARYA",COUNTIF($I$10:I2365,"CV AGUNG KARYA")," ")</f>
        <v xml:space="preserve"> </v>
      </c>
      <c r="F2365" s="107" t="str">
        <f>IF(LEN(Table1722[[#This Row],[Uraian]])&gt;2,TRIM(RIGHT(SUBSTITUTE(TRIM(C2365)," ",REPT(" ",255)),255))," ")</f>
        <v xml:space="preserve"> </v>
      </c>
      <c r="G2365" s="110">
        <f>COPY!Z2357</f>
        <v>0</v>
      </c>
      <c r="H2365" s="111" t="str">
        <f>IFERROR(VLOOKUP(Table1722[[#This Row],[Bukti]],'Un nOTA'!$A$4:$K$5003,10,FALSE),"")</f>
        <v/>
      </c>
      <c r="I2365" s="112" t="str">
        <f>IFERROR(VLOOKUP(Table1722[[#This Row],[Bukti]],Table13[#Data],11,FALSE),"")</f>
        <v/>
      </c>
    </row>
    <row r="2366" spans="1:9" ht="19.5" hidden="1" customHeight="1" x14ac:dyDescent="0.2">
      <c r="A2366" s="105" t="str">
        <f>IF(D2366=1,COUNTIF($D$10:D2366,1)," ")</f>
        <v xml:space="preserve"> </v>
      </c>
      <c r="B2366" s="106">
        <f>COPY!AR2358</f>
        <v>0</v>
      </c>
      <c r="C2366" s="107">
        <f>COPY!AC2358</f>
        <v>0</v>
      </c>
      <c r="D2366" s="107" t="str">
        <f>IF(LEN(Table1722[[#This Row],[Uraian]])&gt;2,1," ")</f>
        <v xml:space="preserve"> </v>
      </c>
      <c r="E2366" s="113" t="str">
        <f>IF(Table1722[[#This Row],[Lawan Transaksi]]="CV AGUNG KARYA",COUNTIF($I$10:I2366,"CV AGUNG KARYA")," ")</f>
        <v xml:space="preserve"> </v>
      </c>
      <c r="F2366" s="107" t="str">
        <f>IF(LEN(Table1722[[#This Row],[Uraian]])&gt;2,TRIM(RIGHT(SUBSTITUTE(TRIM(C2366)," ",REPT(" ",255)),255))," ")</f>
        <v xml:space="preserve"> </v>
      </c>
      <c r="G2366" s="110">
        <f>COPY!Z2358</f>
        <v>0</v>
      </c>
      <c r="H2366" s="111" t="str">
        <f>IFERROR(VLOOKUP(Table1722[[#This Row],[Bukti]],'Un nOTA'!$A$4:$K$5003,10,FALSE),"")</f>
        <v/>
      </c>
      <c r="I2366" s="112" t="str">
        <f>IFERROR(VLOOKUP(Table1722[[#This Row],[Bukti]],Table13[#Data],11,FALSE),"")</f>
        <v/>
      </c>
    </row>
    <row r="2367" spans="1:9" ht="19.5" hidden="1" customHeight="1" x14ac:dyDescent="0.2">
      <c r="A2367" s="105" t="str">
        <f>IF(D2367=1,COUNTIF($D$10:D2367,1)," ")</f>
        <v xml:space="preserve"> </v>
      </c>
      <c r="B2367" s="106">
        <f>COPY!AR2359</f>
        <v>0</v>
      </c>
      <c r="C2367" s="107">
        <f>COPY!AC2359</f>
        <v>0</v>
      </c>
      <c r="D2367" s="107" t="str">
        <f>IF(LEN(Table1722[[#This Row],[Uraian]])&gt;2,1," ")</f>
        <v xml:space="preserve"> </v>
      </c>
      <c r="E2367" s="113" t="str">
        <f>IF(Table1722[[#This Row],[Lawan Transaksi]]="CV AGUNG KARYA",COUNTIF($I$10:I2367,"CV AGUNG KARYA")," ")</f>
        <v xml:space="preserve"> </v>
      </c>
      <c r="F2367" s="107" t="str">
        <f>IF(LEN(Table1722[[#This Row],[Uraian]])&gt;2,TRIM(RIGHT(SUBSTITUTE(TRIM(C2367)," ",REPT(" ",255)),255))," ")</f>
        <v xml:space="preserve"> </v>
      </c>
      <c r="G2367" s="110">
        <f>COPY!Z2359</f>
        <v>0</v>
      </c>
      <c r="H2367" s="111" t="str">
        <f>IFERROR(VLOOKUP(Table1722[[#This Row],[Bukti]],'Un nOTA'!$A$4:$K$5003,10,FALSE),"")</f>
        <v/>
      </c>
      <c r="I2367" s="112" t="str">
        <f>IFERROR(VLOOKUP(Table1722[[#This Row],[Bukti]],Table13[#Data],11,FALSE),"")</f>
        <v/>
      </c>
    </row>
    <row r="2368" spans="1:9" ht="19.5" hidden="1" customHeight="1" x14ac:dyDescent="0.2">
      <c r="A2368" s="105" t="str">
        <f>IF(D2368=1,COUNTIF($D$10:D2368,1)," ")</f>
        <v xml:space="preserve"> </v>
      </c>
      <c r="B2368" s="106">
        <f>COPY!AR2360</f>
        <v>0</v>
      </c>
      <c r="C2368" s="107">
        <f>COPY!AC2360</f>
        <v>0</v>
      </c>
      <c r="D2368" s="107" t="str">
        <f>IF(LEN(Table1722[[#This Row],[Uraian]])&gt;2,1," ")</f>
        <v xml:space="preserve"> </v>
      </c>
      <c r="E2368" s="113" t="str">
        <f>IF(Table1722[[#This Row],[Lawan Transaksi]]="CV AGUNG KARYA",COUNTIF($I$10:I2368,"CV AGUNG KARYA")," ")</f>
        <v xml:space="preserve"> </v>
      </c>
      <c r="F2368" s="107" t="str">
        <f>IF(LEN(Table1722[[#This Row],[Uraian]])&gt;2,TRIM(RIGHT(SUBSTITUTE(TRIM(C2368)," ",REPT(" ",255)),255))," ")</f>
        <v xml:space="preserve"> </v>
      </c>
      <c r="G2368" s="110">
        <f>COPY!Z2360</f>
        <v>0</v>
      </c>
      <c r="H2368" s="111" t="str">
        <f>IFERROR(VLOOKUP(Table1722[[#This Row],[Bukti]],'Un nOTA'!$A$4:$K$5003,10,FALSE),"")</f>
        <v/>
      </c>
      <c r="I2368" s="112" t="str">
        <f>IFERROR(VLOOKUP(Table1722[[#This Row],[Bukti]],Table13[#Data],11,FALSE),"")</f>
        <v/>
      </c>
    </row>
    <row r="2369" spans="1:9" ht="19.5" hidden="1" customHeight="1" x14ac:dyDescent="0.2">
      <c r="A2369" s="105" t="str">
        <f>IF(D2369=1,COUNTIF($D$10:D2369,1)," ")</f>
        <v xml:space="preserve"> </v>
      </c>
      <c r="B2369" s="106">
        <f>COPY!AR2361</f>
        <v>0</v>
      </c>
      <c r="C2369" s="107">
        <f>COPY!AC2361</f>
        <v>0</v>
      </c>
      <c r="D2369" s="107" t="str">
        <f>IF(LEN(Table1722[[#This Row],[Uraian]])&gt;2,1," ")</f>
        <v xml:space="preserve"> </v>
      </c>
      <c r="E2369" s="113" t="str">
        <f>IF(Table1722[[#This Row],[Lawan Transaksi]]="CV AGUNG KARYA",COUNTIF($I$10:I2369,"CV AGUNG KARYA")," ")</f>
        <v xml:space="preserve"> </v>
      </c>
      <c r="F2369" s="107" t="str">
        <f>IF(LEN(Table1722[[#This Row],[Uraian]])&gt;2,TRIM(RIGHT(SUBSTITUTE(TRIM(C2369)," ",REPT(" ",255)),255))," ")</f>
        <v xml:space="preserve"> </v>
      </c>
      <c r="G2369" s="110">
        <f>COPY!Z2361</f>
        <v>0</v>
      </c>
      <c r="H2369" s="111" t="str">
        <f>IFERROR(VLOOKUP(Table1722[[#This Row],[Bukti]],'Un nOTA'!$A$4:$K$5003,10,FALSE),"")</f>
        <v/>
      </c>
      <c r="I2369" s="112" t="str">
        <f>IFERROR(VLOOKUP(Table1722[[#This Row],[Bukti]],Table13[#Data],11,FALSE),"")</f>
        <v/>
      </c>
    </row>
    <row r="2370" spans="1:9" ht="19.5" hidden="1" customHeight="1" x14ac:dyDescent="0.2">
      <c r="A2370" s="105" t="str">
        <f>IF(D2370=1,COUNTIF($D$10:D2370,1)," ")</f>
        <v xml:space="preserve"> </v>
      </c>
      <c r="B2370" s="106">
        <f>COPY!AR2362</f>
        <v>0</v>
      </c>
      <c r="C2370" s="107">
        <f>COPY!AC2362</f>
        <v>0</v>
      </c>
      <c r="D2370" s="107" t="str">
        <f>IF(LEN(Table1722[[#This Row],[Uraian]])&gt;2,1," ")</f>
        <v xml:space="preserve"> </v>
      </c>
      <c r="E2370" s="113" t="str">
        <f>IF(Table1722[[#This Row],[Lawan Transaksi]]="CV AGUNG KARYA",COUNTIF($I$10:I2370,"CV AGUNG KARYA")," ")</f>
        <v xml:space="preserve"> </v>
      </c>
      <c r="F2370" s="107" t="str">
        <f>IF(LEN(Table1722[[#This Row],[Uraian]])&gt;2,TRIM(RIGHT(SUBSTITUTE(TRIM(C2370)," ",REPT(" ",255)),255))," ")</f>
        <v xml:space="preserve"> </v>
      </c>
      <c r="G2370" s="110">
        <f>COPY!Z2362</f>
        <v>0</v>
      </c>
      <c r="H2370" s="111" t="str">
        <f>IFERROR(VLOOKUP(Table1722[[#This Row],[Bukti]],'Un nOTA'!$A$4:$K$5003,10,FALSE),"")</f>
        <v/>
      </c>
      <c r="I2370" s="112" t="str">
        <f>IFERROR(VLOOKUP(Table1722[[#This Row],[Bukti]],Table13[#Data],11,FALSE),"")</f>
        <v/>
      </c>
    </row>
    <row r="2371" spans="1:9" ht="19.5" hidden="1" customHeight="1" x14ac:dyDescent="0.2">
      <c r="A2371" s="105" t="str">
        <f>IF(D2371=1,COUNTIF($D$10:D2371,1)," ")</f>
        <v xml:space="preserve"> </v>
      </c>
      <c r="B2371" s="106">
        <f>COPY!AR2363</f>
        <v>0</v>
      </c>
      <c r="C2371" s="107">
        <f>COPY!AC2363</f>
        <v>0</v>
      </c>
      <c r="D2371" s="107" t="str">
        <f>IF(LEN(Table1722[[#This Row],[Uraian]])&gt;2,1," ")</f>
        <v xml:space="preserve"> </v>
      </c>
      <c r="E2371" s="113" t="str">
        <f>IF(Table1722[[#This Row],[Lawan Transaksi]]="CV AGUNG KARYA",COUNTIF($I$10:I2371,"CV AGUNG KARYA")," ")</f>
        <v xml:space="preserve"> </v>
      </c>
      <c r="F2371" s="107" t="str">
        <f>IF(LEN(Table1722[[#This Row],[Uraian]])&gt;2,TRIM(RIGHT(SUBSTITUTE(TRIM(C2371)," ",REPT(" ",255)),255))," ")</f>
        <v xml:space="preserve"> </v>
      </c>
      <c r="G2371" s="110">
        <f>COPY!Z2363</f>
        <v>0</v>
      </c>
      <c r="H2371" s="111" t="str">
        <f>IFERROR(VLOOKUP(Table1722[[#This Row],[Bukti]],'Un nOTA'!$A$4:$K$5003,10,FALSE),"")</f>
        <v/>
      </c>
      <c r="I2371" s="112" t="str">
        <f>IFERROR(VLOOKUP(Table1722[[#This Row],[Bukti]],Table13[#Data],11,FALSE),"")</f>
        <v/>
      </c>
    </row>
    <row r="2372" spans="1:9" ht="19.5" hidden="1" customHeight="1" x14ac:dyDescent="0.2">
      <c r="A2372" s="105" t="str">
        <f>IF(D2372=1,COUNTIF($D$10:D2372,1)," ")</f>
        <v xml:space="preserve"> </v>
      </c>
      <c r="B2372" s="106">
        <f>COPY!AR2364</f>
        <v>0</v>
      </c>
      <c r="C2372" s="107">
        <f>COPY!AC2364</f>
        <v>0</v>
      </c>
      <c r="D2372" s="107" t="str">
        <f>IF(LEN(Table1722[[#This Row],[Uraian]])&gt;2,1," ")</f>
        <v xml:space="preserve"> </v>
      </c>
      <c r="E2372" s="113" t="str">
        <f>IF(Table1722[[#This Row],[Lawan Transaksi]]="CV AGUNG KARYA",COUNTIF($I$10:I2372,"CV AGUNG KARYA")," ")</f>
        <v xml:space="preserve"> </v>
      </c>
      <c r="F2372" s="107" t="str">
        <f>IF(LEN(Table1722[[#This Row],[Uraian]])&gt;2,TRIM(RIGHT(SUBSTITUTE(TRIM(C2372)," ",REPT(" ",255)),255))," ")</f>
        <v xml:space="preserve"> </v>
      </c>
      <c r="G2372" s="110">
        <f>COPY!Z2364</f>
        <v>0</v>
      </c>
      <c r="H2372" s="111" t="str">
        <f>IFERROR(VLOOKUP(Table1722[[#This Row],[Bukti]],'Un nOTA'!$A$4:$K$5003,10,FALSE),"")</f>
        <v/>
      </c>
      <c r="I2372" s="112" t="str">
        <f>IFERROR(VLOOKUP(Table1722[[#This Row],[Bukti]],Table13[#Data],11,FALSE),"")</f>
        <v/>
      </c>
    </row>
    <row r="2373" spans="1:9" ht="19.5" hidden="1" customHeight="1" x14ac:dyDescent="0.2">
      <c r="A2373" s="105" t="str">
        <f>IF(D2373=1,COUNTIF($D$10:D2373,1)," ")</f>
        <v xml:space="preserve"> </v>
      </c>
      <c r="B2373" s="106">
        <f>COPY!AR2365</f>
        <v>0</v>
      </c>
      <c r="C2373" s="107">
        <f>COPY!AC2365</f>
        <v>0</v>
      </c>
      <c r="D2373" s="107" t="str">
        <f>IF(LEN(Table1722[[#This Row],[Uraian]])&gt;2,1," ")</f>
        <v xml:space="preserve"> </v>
      </c>
      <c r="E2373" s="113" t="str">
        <f>IF(Table1722[[#This Row],[Lawan Transaksi]]="CV AGUNG KARYA",COUNTIF($I$10:I2373,"CV AGUNG KARYA")," ")</f>
        <v xml:space="preserve"> </v>
      </c>
      <c r="F2373" s="107" t="str">
        <f>IF(LEN(Table1722[[#This Row],[Uraian]])&gt;2,TRIM(RIGHT(SUBSTITUTE(TRIM(C2373)," ",REPT(" ",255)),255))," ")</f>
        <v xml:space="preserve"> </v>
      </c>
      <c r="G2373" s="110">
        <f>COPY!Z2365</f>
        <v>0</v>
      </c>
      <c r="H2373" s="111" t="str">
        <f>IFERROR(VLOOKUP(Table1722[[#This Row],[Bukti]],'Un nOTA'!$A$4:$K$5003,10,FALSE),"")</f>
        <v/>
      </c>
      <c r="I2373" s="112" t="str">
        <f>IFERROR(VLOOKUP(Table1722[[#This Row],[Bukti]],Table13[#Data],11,FALSE),"")</f>
        <v/>
      </c>
    </row>
    <row r="2374" spans="1:9" ht="19.5" hidden="1" customHeight="1" x14ac:dyDescent="0.2">
      <c r="A2374" s="105" t="str">
        <f>IF(D2374=1,COUNTIF($D$10:D2374,1)," ")</f>
        <v xml:space="preserve"> </v>
      </c>
      <c r="B2374" s="106">
        <f>COPY!AR2366</f>
        <v>0</v>
      </c>
      <c r="C2374" s="107">
        <f>COPY!AC2366</f>
        <v>0</v>
      </c>
      <c r="D2374" s="107" t="str">
        <f>IF(LEN(Table1722[[#This Row],[Uraian]])&gt;2,1," ")</f>
        <v xml:space="preserve"> </v>
      </c>
      <c r="E2374" s="113" t="str">
        <f>IF(Table1722[[#This Row],[Lawan Transaksi]]="CV AGUNG KARYA",COUNTIF($I$10:I2374,"CV AGUNG KARYA")," ")</f>
        <v xml:space="preserve"> </v>
      </c>
      <c r="F2374" s="107" t="str">
        <f>IF(LEN(Table1722[[#This Row],[Uraian]])&gt;2,TRIM(RIGHT(SUBSTITUTE(TRIM(C2374)," ",REPT(" ",255)),255))," ")</f>
        <v xml:space="preserve"> </v>
      </c>
      <c r="G2374" s="110">
        <f>COPY!Z2366</f>
        <v>0</v>
      </c>
      <c r="H2374" s="111" t="str">
        <f>IFERROR(VLOOKUP(Table1722[[#This Row],[Bukti]],'Un nOTA'!$A$4:$K$5003,10,FALSE),"")</f>
        <v/>
      </c>
      <c r="I2374" s="112" t="str">
        <f>IFERROR(VLOOKUP(Table1722[[#This Row],[Bukti]],Table13[#Data],11,FALSE),"")</f>
        <v/>
      </c>
    </row>
    <row r="2375" spans="1:9" ht="19.5" hidden="1" customHeight="1" x14ac:dyDescent="0.2">
      <c r="A2375" s="105" t="str">
        <f>IF(D2375=1,COUNTIF($D$10:D2375,1)," ")</f>
        <v xml:space="preserve"> </v>
      </c>
      <c r="B2375" s="106">
        <f>COPY!AR2367</f>
        <v>0</v>
      </c>
      <c r="C2375" s="107">
        <f>COPY!AC2367</f>
        <v>0</v>
      </c>
      <c r="D2375" s="107" t="str">
        <f>IF(LEN(Table1722[[#This Row],[Uraian]])&gt;2,1," ")</f>
        <v xml:space="preserve"> </v>
      </c>
      <c r="E2375" s="113" t="str">
        <f>IF(Table1722[[#This Row],[Lawan Transaksi]]="CV AGUNG KARYA",COUNTIF($I$10:I2375,"CV AGUNG KARYA")," ")</f>
        <v xml:space="preserve"> </v>
      </c>
      <c r="F2375" s="107" t="str">
        <f>IF(LEN(Table1722[[#This Row],[Uraian]])&gt;2,TRIM(RIGHT(SUBSTITUTE(TRIM(C2375)," ",REPT(" ",255)),255))," ")</f>
        <v xml:space="preserve"> </v>
      </c>
      <c r="G2375" s="110">
        <f>COPY!Z2367</f>
        <v>0</v>
      </c>
      <c r="H2375" s="111" t="str">
        <f>IFERROR(VLOOKUP(Table1722[[#This Row],[Bukti]],'Un nOTA'!$A$4:$K$5003,10,FALSE),"")</f>
        <v/>
      </c>
      <c r="I2375" s="112" t="str">
        <f>IFERROR(VLOOKUP(Table1722[[#This Row],[Bukti]],Table13[#Data],11,FALSE),"")</f>
        <v/>
      </c>
    </row>
    <row r="2376" spans="1:9" ht="19.5" hidden="1" customHeight="1" x14ac:dyDescent="0.2">
      <c r="A2376" s="105" t="str">
        <f>IF(D2376=1,COUNTIF($D$10:D2376,1)," ")</f>
        <v xml:space="preserve"> </v>
      </c>
      <c r="B2376" s="106">
        <f>COPY!AR2368</f>
        <v>0</v>
      </c>
      <c r="C2376" s="107">
        <f>COPY!AC2368</f>
        <v>0</v>
      </c>
      <c r="D2376" s="107" t="str">
        <f>IF(LEN(Table1722[[#This Row],[Uraian]])&gt;2,1," ")</f>
        <v xml:space="preserve"> </v>
      </c>
      <c r="E2376" s="113" t="str">
        <f>IF(Table1722[[#This Row],[Lawan Transaksi]]="CV AGUNG KARYA",COUNTIF($I$10:I2376,"CV AGUNG KARYA")," ")</f>
        <v xml:space="preserve"> </v>
      </c>
      <c r="F2376" s="107" t="str">
        <f>IF(LEN(Table1722[[#This Row],[Uraian]])&gt;2,TRIM(RIGHT(SUBSTITUTE(TRIM(C2376)," ",REPT(" ",255)),255))," ")</f>
        <v xml:space="preserve"> </v>
      </c>
      <c r="G2376" s="110">
        <f>COPY!Z2368</f>
        <v>0</v>
      </c>
      <c r="H2376" s="111" t="str">
        <f>IFERROR(VLOOKUP(Table1722[[#This Row],[Bukti]],'Un nOTA'!$A$4:$K$5003,10,FALSE),"")</f>
        <v/>
      </c>
      <c r="I2376" s="112" t="str">
        <f>IFERROR(VLOOKUP(Table1722[[#This Row],[Bukti]],Table13[#Data],11,FALSE),"")</f>
        <v/>
      </c>
    </row>
    <row r="2377" spans="1:9" ht="19.5" hidden="1" customHeight="1" x14ac:dyDescent="0.2">
      <c r="A2377" s="105" t="str">
        <f>IF(D2377=1,COUNTIF($D$10:D2377,1)," ")</f>
        <v xml:space="preserve"> </v>
      </c>
      <c r="B2377" s="106">
        <f>COPY!AR2369</f>
        <v>0</v>
      </c>
      <c r="C2377" s="107">
        <f>COPY!AC2369</f>
        <v>0</v>
      </c>
      <c r="D2377" s="107" t="str">
        <f>IF(LEN(Table1722[[#This Row],[Uraian]])&gt;2,1," ")</f>
        <v xml:space="preserve"> </v>
      </c>
      <c r="E2377" s="113" t="str">
        <f>IF(Table1722[[#This Row],[Lawan Transaksi]]="CV AGUNG KARYA",COUNTIF($I$10:I2377,"CV AGUNG KARYA")," ")</f>
        <v xml:space="preserve"> </v>
      </c>
      <c r="F2377" s="107" t="str">
        <f>IF(LEN(Table1722[[#This Row],[Uraian]])&gt;2,TRIM(RIGHT(SUBSTITUTE(TRIM(C2377)," ",REPT(" ",255)),255))," ")</f>
        <v xml:space="preserve"> </v>
      </c>
      <c r="G2377" s="110">
        <f>COPY!Z2369</f>
        <v>0</v>
      </c>
      <c r="H2377" s="111" t="str">
        <f>IFERROR(VLOOKUP(Table1722[[#This Row],[Bukti]],'Un nOTA'!$A$4:$K$5003,10,FALSE),"")</f>
        <v/>
      </c>
      <c r="I2377" s="112" t="str">
        <f>IFERROR(VLOOKUP(Table1722[[#This Row],[Bukti]],Table13[#Data],11,FALSE),"")</f>
        <v/>
      </c>
    </row>
    <row r="2378" spans="1:9" ht="19.5" hidden="1" customHeight="1" x14ac:dyDescent="0.2">
      <c r="A2378" s="105" t="str">
        <f>IF(D2378=1,COUNTIF($D$10:D2378,1)," ")</f>
        <v xml:space="preserve"> </v>
      </c>
      <c r="B2378" s="106">
        <f>COPY!AR2370</f>
        <v>0</v>
      </c>
      <c r="C2378" s="107">
        <f>COPY!AC2370</f>
        <v>0</v>
      </c>
      <c r="D2378" s="107" t="str">
        <f>IF(LEN(Table1722[[#This Row],[Uraian]])&gt;2,1," ")</f>
        <v xml:space="preserve"> </v>
      </c>
      <c r="E2378" s="113" t="str">
        <f>IF(Table1722[[#This Row],[Lawan Transaksi]]="CV AGUNG KARYA",COUNTIF($I$10:I2378,"CV AGUNG KARYA")," ")</f>
        <v xml:space="preserve"> </v>
      </c>
      <c r="F2378" s="107" t="str">
        <f>IF(LEN(Table1722[[#This Row],[Uraian]])&gt;2,TRIM(RIGHT(SUBSTITUTE(TRIM(C2378)," ",REPT(" ",255)),255))," ")</f>
        <v xml:space="preserve"> </v>
      </c>
      <c r="G2378" s="110">
        <f>COPY!Z2370</f>
        <v>0</v>
      </c>
      <c r="H2378" s="111" t="str">
        <f>IFERROR(VLOOKUP(Table1722[[#This Row],[Bukti]],'Un nOTA'!$A$4:$K$5003,10,FALSE),"")</f>
        <v/>
      </c>
      <c r="I2378" s="112" t="str">
        <f>IFERROR(VLOOKUP(Table1722[[#This Row],[Bukti]],Table13[#Data],11,FALSE),"")</f>
        <v/>
      </c>
    </row>
    <row r="2379" spans="1:9" ht="19.5" hidden="1" customHeight="1" x14ac:dyDescent="0.2">
      <c r="A2379" s="105" t="str">
        <f>IF(D2379=1,COUNTIF($D$10:D2379,1)," ")</f>
        <v xml:space="preserve"> </v>
      </c>
      <c r="B2379" s="106">
        <f>COPY!AR2371</f>
        <v>0</v>
      </c>
      <c r="C2379" s="107">
        <f>COPY!AC2371</f>
        <v>0</v>
      </c>
      <c r="D2379" s="107" t="str">
        <f>IF(LEN(Table1722[[#This Row],[Uraian]])&gt;2,1," ")</f>
        <v xml:space="preserve"> </v>
      </c>
      <c r="E2379" s="113" t="str">
        <f>IF(Table1722[[#This Row],[Lawan Transaksi]]="CV AGUNG KARYA",COUNTIF($I$10:I2379,"CV AGUNG KARYA")," ")</f>
        <v xml:space="preserve"> </v>
      </c>
      <c r="F2379" s="107" t="str">
        <f>IF(LEN(Table1722[[#This Row],[Uraian]])&gt;2,TRIM(RIGHT(SUBSTITUTE(TRIM(C2379)," ",REPT(" ",255)),255))," ")</f>
        <v xml:space="preserve"> </v>
      </c>
      <c r="G2379" s="110">
        <f>COPY!Z2371</f>
        <v>0</v>
      </c>
      <c r="H2379" s="111" t="str">
        <f>IFERROR(VLOOKUP(Table1722[[#This Row],[Bukti]],'Un nOTA'!$A$4:$K$5003,10,FALSE),"")</f>
        <v/>
      </c>
      <c r="I2379" s="112" t="str">
        <f>IFERROR(VLOOKUP(Table1722[[#This Row],[Bukti]],Table13[#Data],11,FALSE),"")</f>
        <v/>
      </c>
    </row>
    <row r="2380" spans="1:9" ht="19.5" hidden="1" customHeight="1" x14ac:dyDescent="0.2">
      <c r="A2380" s="105" t="str">
        <f>IF(D2380=1,COUNTIF($D$10:D2380,1)," ")</f>
        <v xml:space="preserve"> </v>
      </c>
      <c r="B2380" s="106">
        <f>COPY!AR2372</f>
        <v>0</v>
      </c>
      <c r="C2380" s="107">
        <f>COPY!AC2372</f>
        <v>0</v>
      </c>
      <c r="D2380" s="107" t="str">
        <f>IF(LEN(Table1722[[#This Row],[Uraian]])&gt;2,1," ")</f>
        <v xml:space="preserve"> </v>
      </c>
      <c r="E2380" s="113" t="str">
        <f>IF(Table1722[[#This Row],[Lawan Transaksi]]="CV AGUNG KARYA",COUNTIF($I$10:I2380,"CV AGUNG KARYA")," ")</f>
        <v xml:space="preserve"> </v>
      </c>
      <c r="F2380" s="107" t="str">
        <f>IF(LEN(Table1722[[#This Row],[Uraian]])&gt;2,TRIM(RIGHT(SUBSTITUTE(TRIM(C2380)," ",REPT(" ",255)),255))," ")</f>
        <v xml:space="preserve"> </v>
      </c>
      <c r="G2380" s="110">
        <f>COPY!Z2372</f>
        <v>0</v>
      </c>
      <c r="H2380" s="111" t="str">
        <f>IFERROR(VLOOKUP(Table1722[[#This Row],[Bukti]],'Un nOTA'!$A$4:$K$5003,10,FALSE),"")</f>
        <v/>
      </c>
      <c r="I2380" s="112" t="str">
        <f>IFERROR(VLOOKUP(Table1722[[#This Row],[Bukti]],Table13[#Data],11,FALSE),"")</f>
        <v/>
      </c>
    </row>
    <row r="2381" spans="1:9" ht="19.5" hidden="1" customHeight="1" x14ac:dyDescent="0.2">
      <c r="A2381" s="105" t="str">
        <f>IF(D2381=1,COUNTIF($D$10:D2381,1)," ")</f>
        <v xml:space="preserve"> </v>
      </c>
      <c r="B2381" s="106">
        <f>COPY!AR2373</f>
        <v>0</v>
      </c>
      <c r="C2381" s="107">
        <f>COPY!AC2373</f>
        <v>0</v>
      </c>
      <c r="D2381" s="107" t="str">
        <f>IF(LEN(Table1722[[#This Row],[Uraian]])&gt;2,1," ")</f>
        <v xml:space="preserve"> </v>
      </c>
      <c r="E2381" s="113" t="str">
        <f>IF(Table1722[[#This Row],[Lawan Transaksi]]="CV AGUNG KARYA",COUNTIF($I$10:I2381,"CV AGUNG KARYA")," ")</f>
        <v xml:space="preserve"> </v>
      </c>
      <c r="F2381" s="107" t="str">
        <f>IF(LEN(Table1722[[#This Row],[Uraian]])&gt;2,TRIM(RIGHT(SUBSTITUTE(TRIM(C2381)," ",REPT(" ",255)),255))," ")</f>
        <v xml:space="preserve"> </v>
      </c>
      <c r="G2381" s="110">
        <f>COPY!Z2373</f>
        <v>0</v>
      </c>
      <c r="H2381" s="111" t="str">
        <f>IFERROR(VLOOKUP(Table1722[[#This Row],[Bukti]],'Un nOTA'!$A$4:$K$5003,10,FALSE),"")</f>
        <v/>
      </c>
      <c r="I2381" s="112" t="str">
        <f>IFERROR(VLOOKUP(Table1722[[#This Row],[Bukti]],Table13[#Data],11,FALSE),"")</f>
        <v/>
      </c>
    </row>
    <row r="2382" spans="1:9" ht="19.5" hidden="1" customHeight="1" x14ac:dyDescent="0.2">
      <c r="A2382" s="105" t="str">
        <f>IF(D2382=1,COUNTIF($D$10:D2382,1)," ")</f>
        <v xml:space="preserve"> </v>
      </c>
      <c r="B2382" s="106">
        <f>COPY!AR2374</f>
        <v>0</v>
      </c>
      <c r="C2382" s="107">
        <f>COPY!AC2374</f>
        <v>0</v>
      </c>
      <c r="D2382" s="107" t="str">
        <f>IF(LEN(Table1722[[#This Row],[Uraian]])&gt;2,1," ")</f>
        <v xml:space="preserve"> </v>
      </c>
      <c r="E2382" s="113" t="str">
        <f>IF(Table1722[[#This Row],[Lawan Transaksi]]="CV AGUNG KARYA",COUNTIF($I$10:I2382,"CV AGUNG KARYA")," ")</f>
        <v xml:space="preserve"> </v>
      </c>
      <c r="F2382" s="107" t="str">
        <f>IF(LEN(Table1722[[#This Row],[Uraian]])&gt;2,TRIM(RIGHT(SUBSTITUTE(TRIM(C2382)," ",REPT(" ",255)),255))," ")</f>
        <v xml:space="preserve"> </v>
      </c>
      <c r="G2382" s="110">
        <f>COPY!Z2374</f>
        <v>0</v>
      </c>
      <c r="H2382" s="111" t="str">
        <f>IFERROR(VLOOKUP(Table1722[[#This Row],[Bukti]],'Un nOTA'!$A$4:$K$5003,10,FALSE),"")</f>
        <v/>
      </c>
      <c r="I2382" s="112" t="str">
        <f>IFERROR(VLOOKUP(Table1722[[#This Row],[Bukti]],Table13[#Data],11,FALSE),"")</f>
        <v/>
      </c>
    </row>
    <row r="2383" spans="1:9" ht="19.5" hidden="1" customHeight="1" x14ac:dyDescent="0.2">
      <c r="A2383" s="105" t="str">
        <f>IF(D2383=1,COUNTIF($D$10:D2383,1)," ")</f>
        <v xml:space="preserve"> </v>
      </c>
      <c r="B2383" s="106">
        <f>COPY!AR2375</f>
        <v>0</v>
      </c>
      <c r="C2383" s="107">
        <f>COPY!AC2375</f>
        <v>0</v>
      </c>
      <c r="D2383" s="107" t="str">
        <f>IF(LEN(Table1722[[#This Row],[Uraian]])&gt;2,1," ")</f>
        <v xml:space="preserve"> </v>
      </c>
      <c r="E2383" s="113" t="str">
        <f>IF(Table1722[[#This Row],[Lawan Transaksi]]="CV AGUNG KARYA",COUNTIF($I$10:I2383,"CV AGUNG KARYA")," ")</f>
        <v xml:space="preserve"> </v>
      </c>
      <c r="F2383" s="107" t="str">
        <f>IF(LEN(Table1722[[#This Row],[Uraian]])&gt;2,TRIM(RIGHT(SUBSTITUTE(TRIM(C2383)," ",REPT(" ",255)),255))," ")</f>
        <v xml:space="preserve"> </v>
      </c>
      <c r="G2383" s="110">
        <f>COPY!Z2375</f>
        <v>0</v>
      </c>
      <c r="H2383" s="111" t="str">
        <f>IFERROR(VLOOKUP(Table1722[[#This Row],[Bukti]],'Un nOTA'!$A$4:$K$5003,10,FALSE),"")</f>
        <v/>
      </c>
      <c r="I2383" s="112" t="str">
        <f>IFERROR(VLOOKUP(Table1722[[#This Row],[Bukti]],Table13[#Data],11,FALSE),"")</f>
        <v/>
      </c>
    </row>
    <row r="2384" spans="1:9" ht="19.5" hidden="1" customHeight="1" x14ac:dyDescent="0.2">
      <c r="A2384" s="105" t="str">
        <f>IF(D2384=1,COUNTIF($D$10:D2384,1)," ")</f>
        <v xml:space="preserve"> </v>
      </c>
      <c r="B2384" s="106">
        <f>COPY!AR2376</f>
        <v>0</v>
      </c>
      <c r="C2384" s="107">
        <f>COPY!AC2376</f>
        <v>0</v>
      </c>
      <c r="D2384" s="107" t="str">
        <f>IF(LEN(Table1722[[#This Row],[Uraian]])&gt;2,1," ")</f>
        <v xml:space="preserve"> </v>
      </c>
      <c r="E2384" s="113" t="str">
        <f>IF(Table1722[[#This Row],[Lawan Transaksi]]="CV AGUNG KARYA",COUNTIF($I$10:I2384,"CV AGUNG KARYA")," ")</f>
        <v xml:space="preserve"> </v>
      </c>
      <c r="F2384" s="107" t="str">
        <f>IF(LEN(Table1722[[#This Row],[Uraian]])&gt;2,TRIM(RIGHT(SUBSTITUTE(TRIM(C2384)," ",REPT(" ",255)),255))," ")</f>
        <v xml:space="preserve"> </v>
      </c>
      <c r="G2384" s="110">
        <f>COPY!Z2376</f>
        <v>0</v>
      </c>
      <c r="H2384" s="111" t="str">
        <f>IFERROR(VLOOKUP(Table1722[[#This Row],[Bukti]],'Un nOTA'!$A$4:$K$5003,10,FALSE),"")</f>
        <v/>
      </c>
      <c r="I2384" s="112" t="str">
        <f>IFERROR(VLOOKUP(Table1722[[#This Row],[Bukti]],Table13[#Data],11,FALSE),"")</f>
        <v/>
      </c>
    </row>
    <row r="2385" spans="1:9" ht="19.5" hidden="1" customHeight="1" x14ac:dyDescent="0.2">
      <c r="A2385" s="105" t="str">
        <f>IF(D2385=1,COUNTIF($D$10:D2385,1)," ")</f>
        <v xml:space="preserve"> </v>
      </c>
      <c r="B2385" s="106">
        <f>COPY!AR2377</f>
        <v>0</v>
      </c>
      <c r="C2385" s="107">
        <f>COPY!AC2377</f>
        <v>0</v>
      </c>
      <c r="D2385" s="107" t="str">
        <f>IF(LEN(Table1722[[#This Row],[Uraian]])&gt;2,1," ")</f>
        <v xml:space="preserve"> </v>
      </c>
      <c r="E2385" s="113" t="str">
        <f>IF(Table1722[[#This Row],[Lawan Transaksi]]="CV AGUNG KARYA",COUNTIF($I$10:I2385,"CV AGUNG KARYA")," ")</f>
        <v xml:space="preserve"> </v>
      </c>
      <c r="F2385" s="107" t="str">
        <f>IF(LEN(Table1722[[#This Row],[Uraian]])&gt;2,TRIM(RIGHT(SUBSTITUTE(TRIM(C2385)," ",REPT(" ",255)),255))," ")</f>
        <v xml:space="preserve"> </v>
      </c>
      <c r="G2385" s="110">
        <f>COPY!Z2377</f>
        <v>0</v>
      </c>
      <c r="H2385" s="111" t="str">
        <f>IFERROR(VLOOKUP(Table1722[[#This Row],[Bukti]],'Un nOTA'!$A$4:$K$5003,10,FALSE),"")</f>
        <v/>
      </c>
      <c r="I2385" s="112" t="str">
        <f>IFERROR(VLOOKUP(Table1722[[#This Row],[Bukti]],Table13[#Data],11,FALSE),"")</f>
        <v/>
      </c>
    </row>
    <row r="2386" spans="1:9" ht="19.5" hidden="1" customHeight="1" x14ac:dyDescent="0.2">
      <c r="A2386" s="105" t="str">
        <f>IF(D2386=1,COUNTIF($D$10:D2386,1)," ")</f>
        <v xml:space="preserve"> </v>
      </c>
      <c r="B2386" s="106">
        <f>COPY!AR2378</f>
        <v>0</v>
      </c>
      <c r="C2386" s="107">
        <f>COPY!AC2378</f>
        <v>0</v>
      </c>
      <c r="D2386" s="107" t="str">
        <f>IF(LEN(Table1722[[#This Row],[Uraian]])&gt;2,1," ")</f>
        <v xml:space="preserve"> </v>
      </c>
      <c r="E2386" s="113" t="str">
        <f>IF(Table1722[[#This Row],[Lawan Transaksi]]="CV AGUNG KARYA",COUNTIF($I$10:I2386,"CV AGUNG KARYA")," ")</f>
        <v xml:space="preserve"> </v>
      </c>
      <c r="F2386" s="107" t="str">
        <f>IF(LEN(Table1722[[#This Row],[Uraian]])&gt;2,TRIM(RIGHT(SUBSTITUTE(TRIM(C2386)," ",REPT(" ",255)),255))," ")</f>
        <v xml:space="preserve"> </v>
      </c>
      <c r="G2386" s="110">
        <f>COPY!Z2378</f>
        <v>0</v>
      </c>
      <c r="H2386" s="111" t="str">
        <f>IFERROR(VLOOKUP(Table1722[[#This Row],[Bukti]],'Un nOTA'!$A$4:$K$5003,10,FALSE),"")</f>
        <v/>
      </c>
      <c r="I2386" s="112" t="str">
        <f>IFERROR(VLOOKUP(Table1722[[#This Row],[Bukti]],Table13[#Data],11,FALSE),"")</f>
        <v/>
      </c>
    </row>
    <row r="2387" spans="1:9" ht="19.5" hidden="1" customHeight="1" x14ac:dyDescent="0.2">
      <c r="A2387" s="105" t="str">
        <f>IF(D2387=1,COUNTIF($D$10:D2387,1)," ")</f>
        <v xml:space="preserve"> </v>
      </c>
      <c r="B2387" s="106">
        <f>COPY!AR2379</f>
        <v>0</v>
      </c>
      <c r="C2387" s="107">
        <f>COPY!AC2379</f>
        <v>0</v>
      </c>
      <c r="D2387" s="107" t="str">
        <f>IF(LEN(Table1722[[#This Row],[Uraian]])&gt;2,1," ")</f>
        <v xml:space="preserve"> </v>
      </c>
      <c r="E2387" s="113" t="str">
        <f>IF(Table1722[[#This Row],[Lawan Transaksi]]="CV AGUNG KARYA",COUNTIF($I$10:I2387,"CV AGUNG KARYA")," ")</f>
        <v xml:space="preserve"> </v>
      </c>
      <c r="F2387" s="107" t="str">
        <f>IF(LEN(Table1722[[#This Row],[Uraian]])&gt;2,TRIM(RIGHT(SUBSTITUTE(TRIM(C2387)," ",REPT(" ",255)),255))," ")</f>
        <v xml:space="preserve"> </v>
      </c>
      <c r="G2387" s="110">
        <f>COPY!Z2379</f>
        <v>0</v>
      </c>
      <c r="H2387" s="111" t="str">
        <f>IFERROR(VLOOKUP(Table1722[[#This Row],[Bukti]],'Un nOTA'!$A$4:$K$5003,10,FALSE),"")</f>
        <v/>
      </c>
      <c r="I2387" s="112" t="str">
        <f>IFERROR(VLOOKUP(Table1722[[#This Row],[Bukti]],Table13[#Data],11,FALSE),"")</f>
        <v/>
      </c>
    </row>
    <row r="2388" spans="1:9" ht="19.5" hidden="1" customHeight="1" x14ac:dyDescent="0.2">
      <c r="A2388" s="105" t="str">
        <f>IF(D2388=1,COUNTIF($D$10:D2388,1)," ")</f>
        <v xml:space="preserve"> </v>
      </c>
      <c r="B2388" s="106">
        <f>COPY!AR2380</f>
        <v>0</v>
      </c>
      <c r="C2388" s="107">
        <f>COPY!AC2380</f>
        <v>0</v>
      </c>
      <c r="D2388" s="107" t="str">
        <f>IF(LEN(Table1722[[#This Row],[Uraian]])&gt;2,1," ")</f>
        <v xml:space="preserve"> </v>
      </c>
      <c r="E2388" s="113" t="str">
        <f>IF(Table1722[[#This Row],[Lawan Transaksi]]="CV AGUNG KARYA",COUNTIF($I$10:I2388,"CV AGUNG KARYA")," ")</f>
        <v xml:space="preserve"> </v>
      </c>
      <c r="F2388" s="107" t="str">
        <f>IF(LEN(Table1722[[#This Row],[Uraian]])&gt;2,TRIM(RIGHT(SUBSTITUTE(TRIM(C2388)," ",REPT(" ",255)),255))," ")</f>
        <v xml:space="preserve"> </v>
      </c>
      <c r="G2388" s="110">
        <f>COPY!Z2380</f>
        <v>0</v>
      </c>
      <c r="H2388" s="111" t="str">
        <f>IFERROR(VLOOKUP(Table1722[[#This Row],[Bukti]],'Un nOTA'!$A$4:$K$5003,10,FALSE),"")</f>
        <v/>
      </c>
      <c r="I2388" s="112" t="str">
        <f>IFERROR(VLOOKUP(Table1722[[#This Row],[Bukti]],Table13[#Data],11,FALSE),"")</f>
        <v/>
      </c>
    </row>
    <row r="2389" spans="1:9" ht="19.5" hidden="1" customHeight="1" x14ac:dyDescent="0.2">
      <c r="A2389" s="105" t="str">
        <f>IF(D2389=1,COUNTIF($D$10:D2389,1)," ")</f>
        <v xml:space="preserve"> </v>
      </c>
      <c r="B2389" s="106">
        <f>COPY!AR2381</f>
        <v>0</v>
      </c>
      <c r="C2389" s="107">
        <f>COPY!AC2381</f>
        <v>0</v>
      </c>
      <c r="D2389" s="107" t="str">
        <f>IF(LEN(Table1722[[#This Row],[Uraian]])&gt;2,1," ")</f>
        <v xml:space="preserve"> </v>
      </c>
      <c r="E2389" s="113" t="str">
        <f>IF(Table1722[[#This Row],[Lawan Transaksi]]="CV AGUNG KARYA",COUNTIF($I$10:I2389,"CV AGUNG KARYA")," ")</f>
        <v xml:space="preserve"> </v>
      </c>
      <c r="F2389" s="107" t="str">
        <f>IF(LEN(Table1722[[#This Row],[Uraian]])&gt;2,TRIM(RIGHT(SUBSTITUTE(TRIM(C2389)," ",REPT(" ",255)),255))," ")</f>
        <v xml:space="preserve"> </v>
      </c>
      <c r="G2389" s="110">
        <f>COPY!Z2381</f>
        <v>0</v>
      </c>
      <c r="H2389" s="111" t="str">
        <f>IFERROR(VLOOKUP(Table1722[[#This Row],[Bukti]],'Un nOTA'!$A$4:$K$5003,10,FALSE),"")</f>
        <v/>
      </c>
      <c r="I2389" s="112" t="str">
        <f>IFERROR(VLOOKUP(Table1722[[#This Row],[Bukti]],Table13[#Data],11,FALSE),"")</f>
        <v/>
      </c>
    </row>
    <row r="2390" spans="1:9" ht="19.5" hidden="1" customHeight="1" x14ac:dyDescent="0.2">
      <c r="A2390" s="105" t="str">
        <f>IF(D2390=1,COUNTIF($D$10:D2390,1)," ")</f>
        <v xml:space="preserve"> </v>
      </c>
      <c r="B2390" s="106">
        <f>COPY!AR2382</f>
        <v>0</v>
      </c>
      <c r="C2390" s="107">
        <f>COPY!AC2382</f>
        <v>0</v>
      </c>
      <c r="D2390" s="107" t="str">
        <f>IF(LEN(Table1722[[#This Row],[Uraian]])&gt;2,1," ")</f>
        <v xml:space="preserve"> </v>
      </c>
      <c r="E2390" s="113" t="str">
        <f>IF(Table1722[[#This Row],[Lawan Transaksi]]="CV AGUNG KARYA",COUNTIF($I$10:I2390,"CV AGUNG KARYA")," ")</f>
        <v xml:space="preserve"> </v>
      </c>
      <c r="F2390" s="107" t="str">
        <f>IF(LEN(Table1722[[#This Row],[Uraian]])&gt;2,TRIM(RIGHT(SUBSTITUTE(TRIM(C2390)," ",REPT(" ",255)),255))," ")</f>
        <v xml:space="preserve"> </v>
      </c>
      <c r="G2390" s="110">
        <f>COPY!Z2382</f>
        <v>0</v>
      </c>
      <c r="H2390" s="111" t="str">
        <f>IFERROR(VLOOKUP(Table1722[[#This Row],[Bukti]],'Un nOTA'!$A$4:$K$5003,10,FALSE),"")</f>
        <v/>
      </c>
      <c r="I2390" s="112" t="str">
        <f>IFERROR(VLOOKUP(Table1722[[#This Row],[Bukti]],Table13[#Data],11,FALSE),"")</f>
        <v/>
      </c>
    </row>
    <row r="2391" spans="1:9" ht="19.5" hidden="1" customHeight="1" x14ac:dyDescent="0.2">
      <c r="A2391" s="105" t="str">
        <f>IF(D2391=1,COUNTIF($D$10:D2391,1)," ")</f>
        <v xml:space="preserve"> </v>
      </c>
      <c r="B2391" s="106">
        <f>COPY!AR2383</f>
        <v>0</v>
      </c>
      <c r="C2391" s="107">
        <f>COPY!AC2383</f>
        <v>0</v>
      </c>
      <c r="D2391" s="107" t="str">
        <f>IF(LEN(Table1722[[#This Row],[Uraian]])&gt;2,1," ")</f>
        <v xml:space="preserve"> </v>
      </c>
      <c r="E2391" s="113" t="str">
        <f>IF(Table1722[[#This Row],[Lawan Transaksi]]="CV AGUNG KARYA",COUNTIF($I$10:I2391,"CV AGUNG KARYA")," ")</f>
        <v xml:space="preserve"> </v>
      </c>
      <c r="F2391" s="107" t="str">
        <f>IF(LEN(Table1722[[#This Row],[Uraian]])&gt;2,TRIM(RIGHT(SUBSTITUTE(TRIM(C2391)," ",REPT(" ",255)),255))," ")</f>
        <v xml:space="preserve"> </v>
      </c>
      <c r="G2391" s="110">
        <f>COPY!Z2383</f>
        <v>0</v>
      </c>
      <c r="H2391" s="111" t="str">
        <f>IFERROR(VLOOKUP(Table1722[[#This Row],[Bukti]],'Un nOTA'!$A$4:$K$5003,10,FALSE),"")</f>
        <v/>
      </c>
      <c r="I2391" s="112" t="str">
        <f>IFERROR(VLOOKUP(Table1722[[#This Row],[Bukti]],Table13[#Data],11,FALSE),"")</f>
        <v/>
      </c>
    </row>
    <row r="2392" spans="1:9" ht="19.5" hidden="1" customHeight="1" x14ac:dyDescent="0.2">
      <c r="A2392" s="105" t="str">
        <f>IF(D2392=1,COUNTIF($D$10:D2392,1)," ")</f>
        <v xml:space="preserve"> </v>
      </c>
      <c r="B2392" s="106">
        <f>COPY!AR2384</f>
        <v>0</v>
      </c>
      <c r="C2392" s="107">
        <f>COPY!AC2384</f>
        <v>0</v>
      </c>
      <c r="D2392" s="107" t="str">
        <f>IF(LEN(Table1722[[#This Row],[Uraian]])&gt;2,1," ")</f>
        <v xml:space="preserve"> </v>
      </c>
      <c r="E2392" s="113" t="str">
        <f>IF(Table1722[[#This Row],[Lawan Transaksi]]="CV AGUNG KARYA",COUNTIF($I$10:I2392,"CV AGUNG KARYA")," ")</f>
        <v xml:space="preserve"> </v>
      </c>
      <c r="F2392" s="107" t="str">
        <f>IF(LEN(Table1722[[#This Row],[Uraian]])&gt;2,TRIM(RIGHT(SUBSTITUTE(TRIM(C2392)," ",REPT(" ",255)),255))," ")</f>
        <v xml:space="preserve"> </v>
      </c>
      <c r="G2392" s="110">
        <f>COPY!Z2384</f>
        <v>0</v>
      </c>
      <c r="H2392" s="111" t="str">
        <f>IFERROR(VLOOKUP(Table1722[[#This Row],[Bukti]],'Un nOTA'!$A$4:$K$5003,10,FALSE),"")</f>
        <v/>
      </c>
      <c r="I2392" s="112" t="str">
        <f>IFERROR(VLOOKUP(Table1722[[#This Row],[Bukti]],Table13[#Data],11,FALSE),"")</f>
        <v/>
      </c>
    </row>
    <row r="2393" spans="1:9" ht="19.5" hidden="1" customHeight="1" x14ac:dyDescent="0.2">
      <c r="A2393" s="105" t="str">
        <f>IF(D2393=1,COUNTIF($D$10:D2393,1)," ")</f>
        <v xml:space="preserve"> </v>
      </c>
      <c r="B2393" s="106">
        <f>COPY!AR2385</f>
        <v>0</v>
      </c>
      <c r="C2393" s="107">
        <f>COPY!AC2385</f>
        <v>0</v>
      </c>
      <c r="D2393" s="107" t="str">
        <f>IF(LEN(Table1722[[#This Row],[Uraian]])&gt;2,1," ")</f>
        <v xml:space="preserve"> </v>
      </c>
      <c r="E2393" s="113" t="str">
        <f>IF(Table1722[[#This Row],[Lawan Transaksi]]="CV AGUNG KARYA",COUNTIF($I$10:I2393,"CV AGUNG KARYA")," ")</f>
        <v xml:space="preserve"> </v>
      </c>
      <c r="F2393" s="107" t="str">
        <f>IF(LEN(Table1722[[#This Row],[Uraian]])&gt;2,TRIM(RIGHT(SUBSTITUTE(TRIM(C2393)," ",REPT(" ",255)),255))," ")</f>
        <v xml:space="preserve"> </v>
      </c>
      <c r="G2393" s="110">
        <f>COPY!Z2385</f>
        <v>0</v>
      </c>
      <c r="H2393" s="111" t="str">
        <f>IFERROR(VLOOKUP(Table1722[[#This Row],[Bukti]],'Un nOTA'!$A$4:$K$5003,10,FALSE),"")</f>
        <v/>
      </c>
      <c r="I2393" s="112" t="str">
        <f>IFERROR(VLOOKUP(Table1722[[#This Row],[Bukti]],Table13[#Data],11,FALSE),"")</f>
        <v/>
      </c>
    </row>
    <row r="2394" spans="1:9" ht="19.5" hidden="1" customHeight="1" x14ac:dyDescent="0.2">
      <c r="A2394" s="105" t="str">
        <f>IF(D2394=1,COUNTIF($D$10:D2394,1)," ")</f>
        <v xml:space="preserve"> </v>
      </c>
      <c r="B2394" s="106">
        <f>COPY!AR2386</f>
        <v>0</v>
      </c>
      <c r="C2394" s="107">
        <f>COPY!AC2386</f>
        <v>0</v>
      </c>
      <c r="D2394" s="107" t="str">
        <f>IF(LEN(Table1722[[#This Row],[Uraian]])&gt;2,1," ")</f>
        <v xml:space="preserve"> </v>
      </c>
      <c r="E2394" s="113" t="str">
        <f>IF(Table1722[[#This Row],[Lawan Transaksi]]="CV AGUNG KARYA",COUNTIF($I$10:I2394,"CV AGUNG KARYA")," ")</f>
        <v xml:space="preserve"> </v>
      </c>
      <c r="F2394" s="107" t="str">
        <f>IF(LEN(Table1722[[#This Row],[Uraian]])&gt;2,TRIM(RIGHT(SUBSTITUTE(TRIM(C2394)," ",REPT(" ",255)),255))," ")</f>
        <v xml:space="preserve"> </v>
      </c>
      <c r="G2394" s="110">
        <f>COPY!Z2386</f>
        <v>0</v>
      </c>
      <c r="H2394" s="111" t="str">
        <f>IFERROR(VLOOKUP(Table1722[[#This Row],[Bukti]],'Un nOTA'!$A$4:$K$5003,10,FALSE),"")</f>
        <v/>
      </c>
      <c r="I2394" s="112" t="str">
        <f>IFERROR(VLOOKUP(Table1722[[#This Row],[Bukti]],Table13[#Data],11,FALSE),"")</f>
        <v/>
      </c>
    </row>
    <row r="2395" spans="1:9" ht="19.5" hidden="1" customHeight="1" x14ac:dyDescent="0.2">
      <c r="A2395" s="105" t="str">
        <f>IF(D2395=1,COUNTIF($D$10:D2395,1)," ")</f>
        <v xml:space="preserve"> </v>
      </c>
      <c r="B2395" s="106">
        <f>COPY!AR2387</f>
        <v>0</v>
      </c>
      <c r="C2395" s="107">
        <f>COPY!AC2387</f>
        <v>0</v>
      </c>
      <c r="D2395" s="107" t="str">
        <f>IF(LEN(Table1722[[#This Row],[Uraian]])&gt;2,1," ")</f>
        <v xml:space="preserve"> </v>
      </c>
      <c r="E2395" s="113" t="str">
        <f>IF(Table1722[[#This Row],[Lawan Transaksi]]="CV AGUNG KARYA",COUNTIF($I$10:I2395,"CV AGUNG KARYA")," ")</f>
        <v xml:space="preserve"> </v>
      </c>
      <c r="F2395" s="107" t="str">
        <f>IF(LEN(Table1722[[#This Row],[Uraian]])&gt;2,TRIM(RIGHT(SUBSTITUTE(TRIM(C2395)," ",REPT(" ",255)),255))," ")</f>
        <v xml:space="preserve"> </v>
      </c>
      <c r="G2395" s="110">
        <f>COPY!Z2387</f>
        <v>0</v>
      </c>
      <c r="H2395" s="111" t="str">
        <f>IFERROR(VLOOKUP(Table1722[[#This Row],[Bukti]],'Un nOTA'!$A$4:$K$5003,10,FALSE),"")</f>
        <v/>
      </c>
      <c r="I2395" s="112" t="str">
        <f>IFERROR(VLOOKUP(Table1722[[#This Row],[Bukti]],Table13[#Data],11,FALSE),"")</f>
        <v/>
      </c>
    </row>
    <row r="2396" spans="1:9" ht="19.5" hidden="1" customHeight="1" x14ac:dyDescent="0.2">
      <c r="A2396" s="105" t="str">
        <f>IF(D2396=1,COUNTIF($D$10:D2396,1)," ")</f>
        <v xml:space="preserve"> </v>
      </c>
      <c r="B2396" s="106">
        <f>COPY!AR2388</f>
        <v>0</v>
      </c>
      <c r="C2396" s="107">
        <f>COPY!AC2388</f>
        <v>0</v>
      </c>
      <c r="D2396" s="107" t="str">
        <f>IF(LEN(Table1722[[#This Row],[Uraian]])&gt;2,1," ")</f>
        <v xml:space="preserve"> </v>
      </c>
      <c r="E2396" s="113" t="str">
        <f>IF(Table1722[[#This Row],[Lawan Transaksi]]="CV AGUNG KARYA",COUNTIF($I$10:I2396,"CV AGUNG KARYA")," ")</f>
        <v xml:space="preserve"> </v>
      </c>
      <c r="F2396" s="107" t="str">
        <f>IF(LEN(Table1722[[#This Row],[Uraian]])&gt;2,TRIM(RIGHT(SUBSTITUTE(TRIM(C2396)," ",REPT(" ",255)),255))," ")</f>
        <v xml:space="preserve"> </v>
      </c>
      <c r="G2396" s="110">
        <f>COPY!Z2388</f>
        <v>0</v>
      </c>
      <c r="H2396" s="111" t="str">
        <f>IFERROR(VLOOKUP(Table1722[[#This Row],[Bukti]],'Un nOTA'!$A$4:$K$5003,10,FALSE),"")</f>
        <v/>
      </c>
      <c r="I2396" s="112" t="str">
        <f>IFERROR(VLOOKUP(Table1722[[#This Row],[Bukti]],Table13[#Data],11,FALSE),"")</f>
        <v/>
      </c>
    </row>
    <row r="2397" spans="1:9" ht="19.5" hidden="1" customHeight="1" x14ac:dyDescent="0.2">
      <c r="A2397" s="105" t="str">
        <f>IF(D2397=1,COUNTIF($D$10:D2397,1)," ")</f>
        <v xml:space="preserve"> </v>
      </c>
      <c r="B2397" s="106">
        <f>COPY!AR2389</f>
        <v>0</v>
      </c>
      <c r="C2397" s="107">
        <f>COPY!AC2389</f>
        <v>0</v>
      </c>
      <c r="D2397" s="107" t="str">
        <f>IF(LEN(Table1722[[#This Row],[Uraian]])&gt;2,1," ")</f>
        <v xml:space="preserve"> </v>
      </c>
      <c r="E2397" s="113" t="str">
        <f>IF(Table1722[[#This Row],[Lawan Transaksi]]="CV AGUNG KARYA",COUNTIF($I$10:I2397,"CV AGUNG KARYA")," ")</f>
        <v xml:space="preserve"> </v>
      </c>
      <c r="F2397" s="107" t="str">
        <f>IF(LEN(Table1722[[#This Row],[Uraian]])&gt;2,TRIM(RIGHT(SUBSTITUTE(TRIM(C2397)," ",REPT(" ",255)),255))," ")</f>
        <v xml:space="preserve"> </v>
      </c>
      <c r="G2397" s="110">
        <f>COPY!Z2389</f>
        <v>0</v>
      </c>
      <c r="H2397" s="111" t="str">
        <f>IFERROR(VLOOKUP(Table1722[[#This Row],[Bukti]],'Un nOTA'!$A$4:$K$5003,10,FALSE),"")</f>
        <v/>
      </c>
      <c r="I2397" s="112" t="str">
        <f>IFERROR(VLOOKUP(Table1722[[#This Row],[Bukti]],Table13[#Data],11,FALSE),"")</f>
        <v/>
      </c>
    </row>
    <row r="2398" spans="1:9" ht="19.5" hidden="1" customHeight="1" x14ac:dyDescent="0.2">
      <c r="A2398" s="105" t="str">
        <f>IF(D2398=1,COUNTIF($D$10:D2398,1)," ")</f>
        <v xml:space="preserve"> </v>
      </c>
      <c r="B2398" s="106">
        <f>COPY!AR2390</f>
        <v>0</v>
      </c>
      <c r="C2398" s="107">
        <f>COPY!AC2390</f>
        <v>0</v>
      </c>
      <c r="D2398" s="107" t="str">
        <f>IF(LEN(Table1722[[#This Row],[Uraian]])&gt;2,1," ")</f>
        <v xml:space="preserve"> </v>
      </c>
      <c r="E2398" s="113" t="str">
        <f>IF(Table1722[[#This Row],[Lawan Transaksi]]="CV AGUNG KARYA",COUNTIF($I$10:I2398,"CV AGUNG KARYA")," ")</f>
        <v xml:space="preserve"> </v>
      </c>
      <c r="F2398" s="107" t="str">
        <f>IF(LEN(Table1722[[#This Row],[Uraian]])&gt;2,TRIM(RIGHT(SUBSTITUTE(TRIM(C2398)," ",REPT(" ",255)),255))," ")</f>
        <v xml:space="preserve"> </v>
      </c>
      <c r="G2398" s="110">
        <f>COPY!Z2390</f>
        <v>0</v>
      </c>
      <c r="H2398" s="111" t="str">
        <f>IFERROR(VLOOKUP(Table1722[[#This Row],[Bukti]],'Un nOTA'!$A$4:$K$5003,10,FALSE),"")</f>
        <v/>
      </c>
      <c r="I2398" s="112" t="str">
        <f>IFERROR(VLOOKUP(Table1722[[#This Row],[Bukti]],Table13[#Data],11,FALSE),"")</f>
        <v/>
      </c>
    </row>
    <row r="2399" spans="1:9" ht="19.5" hidden="1" customHeight="1" x14ac:dyDescent="0.2">
      <c r="A2399" s="105" t="str">
        <f>IF(D2399=1,COUNTIF($D$10:D2399,1)," ")</f>
        <v xml:space="preserve"> </v>
      </c>
      <c r="B2399" s="106">
        <f>COPY!AR2391</f>
        <v>0</v>
      </c>
      <c r="C2399" s="107">
        <f>COPY!AC2391</f>
        <v>0</v>
      </c>
      <c r="D2399" s="107" t="str">
        <f>IF(LEN(Table1722[[#This Row],[Uraian]])&gt;2,1," ")</f>
        <v xml:space="preserve"> </v>
      </c>
      <c r="E2399" s="113" t="str">
        <f>IF(Table1722[[#This Row],[Lawan Transaksi]]="CV AGUNG KARYA",COUNTIF($I$10:I2399,"CV AGUNG KARYA")," ")</f>
        <v xml:space="preserve"> </v>
      </c>
      <c r="F2399" s="107" t="str">
        <f>IF(LEN(Table1722[[#This Row],[Uraian]])&gt;2,TRIM(RIGHT(SUBSTITUTE(TRIM(C2399)," ",REPT(" ",255)),255))," ")</f>
        <v xml:space="preserve"> </v>
      </c>
      <c r="G2399" s="110">
        <f>COPY!Z2391</f>
        <v>0</v>
      </c>
      <c r="H2399" s="111" t="str">
        <f>IFERROR(VLOOKUP(Table1722[[#This Row],[Bukti]],'Un nOTA'!$A$4:$K$5003,10,FALSE),"")</f>
        <v/>
      </c>
      <c r="I2399" s="112" t="str">
        <f>IFERROR(VLOOKUP(Table1722[[#This Row],[Bukti]],Table13[#Data],11,FALSE),"")</f>
        <v/>
      </c>
    </row>
    <row r="2400" spans="1:9" ht="19.5" hidden="1" customHeight="1" x14ac:dyDescent="0.2">
      <c r="A2400" s="105" t="str">
        <f>IF(D2400=1,COUNTIF($D$10:D2400,1)," ")</f>
        <v xml:space="preserve"> </v>
      </c>
      <c r="B2400" s="106">
        <f>COPY!AR2392</f>
        <v>0</v>
      </c>
      <c r="C2400" s="107">
        <f>COPY!AC2392</f>
        <v>0</v>
      </c>
      <c r="D2400" s="107" t="str">
        <f>IF(LEN(Table1722[[#This Row],[Uraian]])&gt;2,1," ")</f>
        <v xml:space="preserve"> </v>
      </c>
      <c r="E2400" s="113" t="str">
        <f>IF(Table1722[[#This Row],[Lawan Transaksi]]="CV AGUNG KARYA",COUNTIF($I$10:I2400,"CV AGUNG KARYA")," ")</f>
        <v xml:space="preserve"> </v>
      </c>
      <c r="F2400" s="107" t="str">
        <f>IF(LEN(Table1722[[#This Row],[Uraian]])&gt;2,TRIM(RIGHT(SUBSTITUTE(TRIM(C2400)," ",REPT(" ",255)),255))," ")</f>
        <v xml:space="preserve"> </v>
      </c>
      <c r="G2400" s="110">
        <f>COPY!Z2392</f>
        <v>0</v>
      </c>
      <c r="H2400" s="111" t="str">
        <f>IFERROR(VLOOKUP(Table1722[[#This Row],[Bukti]],'Un nOTA'!$A$4:$K$5003,10,FALSE),"")</f>
        <v/>
      </c>
      <c r="I2400" s="112" t="str">
        <f>IFERROR(VLOOKUP(Table1722[[#This Row],[Bukti]],Table13[#Data],11,FALSE),"")</f>
        <v/>
      </c>
    </row>
    <row r="2401" spans="1:9" ht="19.5" hidden="1" customHeight="1" x14ac:dyDescent="0.2">
      <c r="A2401" s="105" t="str">
        <f>IF(D2401=1,COUNTIF($D$10:D2401,1)," ")</f>
        <v xml:space="preserve"> </v>
      </c>
      <c r="B2401" s="106">
        <f>COPY!AR2393</f>
        <v>0</v>
      </c>
      <c r="C2401" s="107">
        <f>COPY!AC2393</f>
        <v>0</v>
      </c>
      <c r="D2401" s="107" t="str">
        <f>IF(LEN(Table1722[[#This Row],[Uraian]])&gt;2,1," ")</f>
        <v xml:space="preserve"> </v>
      </c>
      <c r="E2401" s="113" t="str">
        <f>IF(Table1722[[#This Row],[Lawan Transaksi]]="CV AGUNG KARYA",COUNTIF($I$10:I2401,"CV AGUNG KARYA")," ")</f>
        <v xml:space="preserve"> </v>
      </c>
      <c r="F2401" s="107" t="str">
        <f>IF(LEN(Table1722[[#This Row],[Uraian]])&gt;2,TRIM(RIGHT(SUBSTITUTE(TRIM(C2401)," ",REPT(" ",255)),255))," ")</f>
        <v xml:space="preserve"> </v>
      </c>
      <c r="G2401" s="110">
        <f>COPY!Z2393</f>
        <v>0</v>
      </c>
      <c r="H2401" s="111" t="str">
        <f>IFERROR(VLOOKUP(Table1722[[#This Row],[Bukti]],'Un nOTA'!$A$4:$K$5003,10,FALSE),"")</f>
        <v/>
      </c>
      <c r="I2401" s="112" t="str">
        <f>IFERROR(VLOOKUP(Table1722[[#This Row],[Bukti]],Table13[#Data],11,FALSE),"")</f>
        <v/>
      </c>
    </row>
    <row r="2402" spans="1:9" ht="19.5" hidden="1" customHeight="1" x14ac:dyDescent="0.2">
      <c r="A2402" s="105" t="str">
        <f>IF(D2402=1,COUNTIF($D$10:D2402,1)," ")</f>
        <v xml:space="preserve"> </v>
      </c>
      <c r="B2402" s="106">
        <f>COPY!AR2394</f>
        <v>0</v>
      </c>
      <c r="C2402" s="107">
        <f>COPY!AC2394</f>
        <v>0</v>
      </c>
      <c r="D2402" s="107" t="str">
        <f>IF(LEN(Table1722[[#This Row],[Uraian]])&gt;2,1," ")</f>
        <v xml:space="preserve"> </v>
      </c>
      <c r="E2402" s="113" t="str">
        <f>IF(Table1722[[#This Row],[Lawan Transaksi]]="CV AGUNG KARYA",COUNTIF($I$10:I2402,"CV AGUNG KARYA")," ")</f>
        <v xml:space="preserve"> </v>
      </c>
      <c r="F2402" s="107" t="str">
        <f>IF(LEN(Table1722[[#This Row],[Uraian]])&gt;2,TRIM(RIGHT(SUBSTITUTE(TRIM(C2402)," ",REPT(" ",255)),255))," ")</f>
        <v xml:space="preserve"> </v>
      </c>
      <c r="G2402" s="110">
        <f>COPY!Z2394</f>
        <v>0</v>
      </c>
      <c r="H2402" s="111" t="str">
        <f>IFERROR(VLOOKUP(Table1722[[#This Row],[Bukti]],'Un nOTA'!$A$4:$K$5003,10,FALSE),"")</f>
        <v/>
      </c>
      <c r="I2402" s="112" t="str">
        <f>IFERROR(VLOOKUP(Table1722[[#This Row],[Bukti]],Table13[#Data],11,FALSE),"")</f>
        <v/>
      </c>
    </row>
    <row r="2403" spans="1:9" ht="19.5" hidden="1" customHeight="1" x14ac:dyDescent="0.2">
      <c r="A2403" s="105" t="str">
        <f>IF(D2403=1,COUNTIF($D$10:D2403,1)," ")</f>
        <v xml:space="preserve"> </v>
      </c>
      <c r="B2403" s="106">
        <f>COPY!AR2395</f>
        <v>0</v>
      </c>
      <c r="C2403" s="107">
        <f>COPY!AC2395</f>
        <v>0</v>
      </c>
      <c r="D2403" s="107" t="str">
        <f>IF(LEN(Table1722[[#This Row],[Uraian]])&gt;2,1," ")</f>
        <v xml:space="preserve"> </v>
      </c>
      <c r="E2403" s="113" t="str">
        <f>IF(Table1722[[#This Row],[Lawan Transaksi]]="CV AGUNG KARYA",COUNTIF($I$10:I2403,"CV AGUNG KARYA")," ")</f>
        <v xml:space="preserve"> </v>
      </c>
      <c r="F2403" s="107" t="str">
        <f>IF(LEN(Table1722[[#This Row],[Uraian]])&gt;2,TRIM(RIGHT(SUBSTITUTE(TRIM(C2403)," ",REPT(" ",255)),255))," ")</f>
        <v xml:space="preserve"> </v>
      </c>
      <c r="G2403" s="110">
        <f>COPY!Z2395</f>
        <v>0</v>
      </c>
      <c r="H2403" s="111" t="str">
        <f>IFERROR(VLOOKUP(Table1722[[#This Row],[Bukti]],'Un nOTA'!$A$4:$K$5003,10,FALSE),"")</f>
        <v/>
      </c>
      <c r="I2403" s="112" t="str">
        <f>IFERROR(VLOOKUP(Table1722[[#This Row],[Bukti]],Table13[#Data],11,FALSE),"")</f>
        <v/>
      </c>
    </row>
    <row r="2404" spans="1:9" ht="19.5" hidden="1" customHeight="1" x14ac:dyDescent="0.2">
      <c r="A2404" s="105" t="str">
        <f>IF(D2404=1,COUNTIF($D$10:D2404,1)," ")</f>
        <v xml:space="preserve"> </v>
      </c>
      <c r="B2404" s="106">
        <f>COPY!AR2396</f>
        <v>0</v>
      </c>
      <c r="C2404" s="107">
        <f>COPY!AC2396</f>
        <v>0</v>
      </c>
      <c r="D2404" s="107" t="str">
        <f>IF(LEN(Table1722[[#This Row],[Uraian]])&gt;2,1," ")</f>
        <v xml:space="preserve"> </v>
      </c>
      <c r="E2404" s="113" t="str">
        <f>IF(Table1722[[#This Row],[Lawan Transaksi]]="CV AGUNG KARYA",COUNTIF($I$10:I2404,"CV AGUNG KARYA")," ")</f>
        <v xml:space="preserve"> </v>
      </c>
      <c r="F2404" s="107" t="str">
        <f>IF(LEN(Table1722[[#This Row],[Uraian]])&gt;2,TRIM(RIGHT(SUBSTITUTE(TRIM(C2404)," ",REPT(" ",255)),255))," ")</f>
        <v xml:space="preserve"> </v>
      </c>
      <c r="G2404" s="110">
        <f>COPY!Z2396</f>
        <v>0</v>
      </c>
      <c r="H2404" s="111" t="str">
        <f>IFERROR(VLOOKUP(Table1722[[#This Row],[Bukti]],'Un nOTA'!$A$4:$K$5003,10,FALSE),"")</f>
        <v/>
      </c>
      <c r="I2404" s="112" t="str">
        <f>IFERROR(VLOOKUP(Table1722[[#This Row],[Bukti]],Table13[#Data],11,FALSE),"")</f>
        <v/>
      </c>
    </row>
    <row r="2405" spans="1:9" ht="19.5" hidden="1" customHeight="1" x14ac:dyDescent="0.2">
      <c r="A2405" s="105" t="str">
        <f>IF(D2405=1,COUNTIF($D$10:D2405,1)," ")</f>
        <v xml:space="preserve"> </v>
      </c>
      <c r="B2405" s="106">
        <f>COPY!AR2397</f>
        <v>0</v>
      </c>
      <c r="C2405" s="107">
        <f>COPY!AC2397</f>
        <v>0</v>
      </c>
      <c r="D2405" s="107" t="str">
        <f>IF(LEN(Table1722[[#This Row],[Uraian]])&gt;2,1," ")</f>
        <v xml:space="preserve"> </v>
      </c>
      <c r="E2405" s="113" t="str">
        <f>IF(Table1722[[#This Row],[Lawan Transaksi]]="CV AGUNG KARYA",COUNTIF($I$10:I2405,"CV AGUNG KARYA")," ")</f>
        <v xml:space="preserve"> </v>
      </c>
      <c r="F2405" s="107" t="str">
        <f>IF(LEN(Table1722[[#This Row],[Uraian]])&gt;2,TRIM(RIGHT(SUBSTITUTE(TRIM(C2405)," ",REPT(" ",255)),255))," ")</f>
        <v xml:space="preserve"> </v>
      </c>
      <c r="G2405" s="110">
        <f>COPY!Z2397</f>
        <v>0</v>
      </c>
      <c r="H2405" s="111" t="str">
        <f>IFERROR(VLOOKUP(Table1722[[#This Row],[Bukti]],'Un nOTA'!$A$4:$K$5003,10,FALSE),"")</f>
        <v/>
      </c>
      <c r="I2405" s="112" t="str">
        <f>IFERROR(VLOOKUP(Table1722[[#This Row],[Bukti]],Table13[#Data],11,FALSE),"")</f>
        <v/>
      </c>
    </row>
    <row r="2406" spans="1:9" ht="19.5" hidden="1" customHeight="1" x14ac:dyDescent="0.2">
      <c r="A2406" s="105" t="str">
        <f>IF(D2406=1,COUNTIF($D$10:D2406,1)," ")</f>
        <v xml:space="preserve"> </v>
      </c>
      <c r="B2406" s="106">
        <f>COPY!AR2398</f>
        <v>0</v>
      </c>
      <c r="C2406" s="107">
        <f>COPY!AC2398</f>
        <v>0</v>
      </c>
      <c r="D2406" s="107" t="str">
        <f>IF(LEN(Table1722[[#This Row],[Uraian]])&gt;2,1," ")</f>
        <v xml:space="preserve"> </v>
      </c>
      <c r="E2406" s="113" t="str">
        <f>IF(Table1722[[#This Row],[Lawan Transaksi]]="CV AGUNG KARYA",COUNTIF($I$10:I2406,"CV AGUNG KARYA")," ")</f>
        <v xml:space="preserve"> </v>
      </c>
      <c r="F2406" s="107" t="str">
        <f>IF(LEN(Table1722[[#This Row],[Uraian]])&gt;2,TRIM(RIGHT(SUBSTITUTE(TRIM(C2406)," ",REPT(" ",255)),255))," ")</f>
        <v xml:space="preserve"> </v>
      </c>
      <c r="G2406" s="110">
        <f>COPY!Z2398</f>
        <v>0</v>
      </c>
      <c r="H2406" s="111" t="str">
        <f>IFERROR(VLOOKUP(Table1722[[#This Row],[Bukti]],'Un nOTA'!$A$4:$K$5003,10,FALSE),"")</f>
        <v/>
      </c>
      <c r="I2406" s="112" t="str">
        <f>IFERROR(VLOOKUP(Table1722[[#This Row],[Bukti]],Table13[#Data],11,FALSE),"")</f>
        <v/>
      </c>
    </row>
    <row r="2407" spans="1:9" ht="19.5" hidden="1" customHeight="1" x14ac:dyDescent="0.2">
      <c r="A2407" s="105" t="str">
        <f>IF(D2407=1,COUNTIF($D$10:D2407,1)," ")</f>
        <v xml:space="preserve"> </v>
      </c>
      <c r="B2407" s="106">
        <f>COPY!AR2399</f>
        <v>0</v>
      </c>
      <c r="C2407" s="107">
        <f>COPY!AC2399</f>
        <v>0</v>
      </c>
      <c r="D2407" s="107" t="str">
        <f>IF(LEN(Table1722[[#This Row],[Uraian]])&gt;2,1," ")</f>
        <v xml:space="preserve"> </v>
      </c>
      <c r="E2407" s="113" t="str">
        <f>IF(Table1722[[#This Row],[Lawan Transaksi]]="CV AGUNG KARYA",COUNTIF($I$10:I2407,"CV AGUNG KARYA")," ")</f>
        <v xml:space="preserve"> </v>
      </c>
      <c r="F2407" s="107" t="str">
        <f>IF(LEN(Table1722[[#This Row],[Uraian]])&gt;2,TRIM(RIGHT(SUBSTITUTE(TRIM(C2407)," ",REPT(" ",255)),255))," ")</f>
        <v xml:space="preserve"> </v>
      </c>
      <c r="G2407" s="110">
        <f>COPY!Z2399</f>
        <v>0</v>
      </c>
      <c r="H2407" s="111" t="str">
        <f>IFERROR(VLOOKUP(Table1722[[#This Row],[Bukti]],'Un nOTA'!$A$4:$K$5003,10,FALSE),"")</f>
        <v/>
      </c>
      <c r="I2407" s="112" t="str">
        <f>IFERROR(VLOOKUP(Table1722[[#This Row],[Bukti]],Table13[#Data],11,FALSE),"")</f>
        <v/>
      </c>
    </row>
    <row r="2408" spans="1:9" ht="19.5" hidden="1" customHeight="1" x14ac:dyDescent="0.2">
      <c r="A2408" s="105" t="str">
        <f>IF(D2408=1,COUNTIF($D$10:D2408,1)," ")</f>
        <v xml:space="preserve"> </v>
      </c>
      <c r="B2408" s="106">
        <f>COPY!AR2400</f>
        <v>0</v>
      </c>
      <c r="C2408" s="107">
        <f>COPY!AC2400</f>
        <v>0</v>
      </c>
      <c r="D2408" s="107" t="str">
        <f>IF(LEN(Table1722[[#This Row],[Uraian]])&gt;2,1," ")</f>
        <v xml:space="preserve"> </v>
      </c>
      <c r="E2408" s="113" t="str">
        <f>IF(Table1722[[#This Row],[Lawan Transaksi]]="CV AGUNG KARYA",COUNTIF($I$10:I2408,"CV AGUNG KARYA")," ")</f>
        <v xml:space="preserve"> </v>
      </c>
      <c r="F2408" s="107" t="str">
        <f>IF(LEN(Table1722[[#This Row],[Uraian]])&gt;2,TRIM(RIGHT(SUBSTITUTE(TRIM(C2408)," ",REPT(" ",255)),255))," ")</f>
        <v xml:space="preserve"> </v>
      </c>
      <c r="G2408" s="110">
        <f>COPY!Z2400</f>
        <v>0</v>
      </c>
      <c r="H2408" s="111" t="str">
        <f>IFERROR(VLOOKUP(Table1722[[#This Row],[Bukti]],'Un nOTA'!$A$4:$K$5003,10,FALSE),"")</f>
        <v/>
      </c>
      <c r="I2408" s="112" t="str">
        <f>IFERROR(VLOOKUP(Table1722[[#This Row],[Bukti]],Table13[#Data],11,FALSE),"")</f>
        <v/>
      </c>
    </row>
    <row r="2409" spans="1:9" ht="19.5" hidden="1" customHeight="1" x14ac:dyDescent="0.2">
      <c r="A2409" s="105" t="str">
        <f>IF(D2409=1,COUNTIF($D$10:D2409,1)," ")</f>
        <v xml:space="preserve"> </v>
      </c>
      <c r="B2409" s="106">
        <f>COPY!AR2401</f>
        <v>0</v>
      </c>
      <c r="C2409" s="107">
        <f>COPY!AC2401</f>
        <v>0</v>
      </c>
      <c r="D2409" s="107" t="str">
        <f>IF(LEN(Table1722[[#This Row],[Uraian]])&gt;2,1," ")</f>
        <v xml:space="preserve"> </v>
      </c>
      <c r="E2409" s="113" t="str">
        <f>IF(Table1722[[#This Row],[Lawan Transaksi]]="CV AGUNG KARYA",COUNTIF($I$10:I2409,"CV AGUNG KARYA")," ")</f>
        <v xml:space="preserve"> </v>
      </c>
      <c r="F2409" s="107" t="str">
        <f>IF(LEN(Table1722[[#This Row],[Uraian]])&gt;2,TRIM(RIGHT(SUBSTITUTE(TRIM(C2409)," ",REPT(" ",255)),255))," ")</f>
        <v xml:space="preserve"> </v>
      </c>
      <c r="G2409" s="110">
        <f>COPY!Z2401</f>
        <v>0</v>
      </c>
      <c r="H2409" s="111" t="str">
        <f>IFERROR(VLOOKUP(Table1722[[#This Row],[Bukti]],'Un nOTA'!$A$4:$K$5003,10,FALSE),"")</f>
        <v/>
      </c>
      <c r="I2409" s="112" t="str">
        <f>IFERROR(VLOOKUP(Table1722[[#This Row],[Bukti]],Table13[#Data],11,FALSE),"")</f>
        <v/>
      </c>
    </row>
    <row r="2410" spans="1:9" ht="19.5" hidden="1" customHeight="1" x14ac:dyDescent="0.2">
      <c r="A2410" s="105" t="str">
        <f>IF(D2410=1,COUNTIF($D$10:D2410,1)," ")</f>
        <v xml:space="preserve"> </v>
      </c>
      <c r="B2410" s="106">
        <f>COPY!AR2402</f>
        <v>0</v>
      </c>
      <c r="C2410" s="107">
        <f>COPY!AC2402</f>
        <v>0</v>
      </c>
      <c r="D2410" s="107" t="str">
        <f>IF(LEN(Table1722[[#This Row],[Uraian]])&gt;2,1," ")</f>
        <v xml:space="preserve"> </v>
      </c>
      <c r="E2410" s="113" t="str">
        <f>IF(Table1722[[#This Row],[Lawan Transaksi]]="CV AGUNG KARYA",COUNTIF($I$10:I2410,"CV AGUNG KARYA")," ")</f>
        <v xml:space="preserve"> </v>
      </c>
      <c r="F2410" s="107" t="str">
        <f>IF(LEN(Table1722[[#This Row],[Uraian]])&gt;2,TRIM(RIGHT(SUBSTITUTE(TRIM(C2410)," ",REPT(" ",255)),255))," ")</f>
        <v xml:space="preserve"> </v>
      </c>
      <c r="G2410" s="110">
        <f>COPY!Z2402</f>
        <v>0</v>
      </c>
      <c r="H2410" s="111" t="str">
        <f>IFERROR(VLOOKUP(Table1722[[#This Row],[Bukti]],'Un nOTA'!$A$4:$K$5003,10,FALSE),"")</f>
        <v/>
      </c>
      <c r="I2410" s="112" t="str">
        <f>IFERROR(VLOOKUP(Table1722[[#This Row],[Bukti]],Table13[#Data],11,FALSE),"")</f>
        <v/>
      </c>
    </row>
    <row r="2411" spans="1:9" ht="19.5" hidden="1" customHeight="1" x14ac:dyDescent="0.2">
      <c r="A2411" s="105" t="str">
        <f>IF(D2411=1,COUNTIF($D$10:D2411,1)," ")</f>
        <v xml:space="preserve"> </v>
      </c>
      <c r="B2411" s="106">
        <f>COPY!AR2403</f>
        <v>0</v>
      </c>
      <c r="C2411" s="107">
        <f>COPY!AC2403</f>
        <v>0</v>
      </c>
      <c r="D2411" s="107" t="str">
        <f>IF(LEN(Table1722[[#This Row],[Uraian]])&gt;2,1," ")</f>
        <v xml:space="preserve"> </v>
      </c>
      <c r="E2411" s="113" t="str">
        <f>IF(Table1722[[#This Row],[Lawan Transaksi]]="CV AGUNG KARYA",COUNTIF($I$10:I2411,"CV AGUNG KARYA")," ")</f>
        <v xml:space="preserve"> </v>
      </c>
      <c r="F2411" s="107" t="str">
        <f>IF(LEN(Table1722[[#This Row],[Uraian]])&gt;2,TRIM(RIGHT(SUBSTITUTE(TRIM(C2411)," ",REPT(" ",255)),255))," ")</f>
        <v xml:space="preserve"> </v>
      </c>
      <c r="G2411" s="110">
        <f>COPY!Z2403</f>
        <v>0</v>
      </c>
      <c r="H2411" s="111" t="str">
        <f>IFERROR(VLOOKUP(Table1722[[#This Row],[Bukti]],'Un nOTA'!$A$4:$K$5003,10,FALSE),"")</f>
        <v/>
      </c>
      <c r="I2411" s="112" t="str">
        <f>IFERROR(VLOOKUP(Table1722[[#This Row],[Bukti]],Table13[#Data],11,FALSE),"")</f>
        <v/>
      </c>
    </row>
    <row r="2412" spans="1:9" ht="19.5" hidden="1" customHeight="1" x14ac:dyDescent="0.2">
      <c r="A2412" s="105" t="str">
        <f>IF(D2412=1,COUNTIF($D$10:D2412,1)," ")</f>
        <v xml:space="preserve"> </v>
      </c>
      <c r="B2412" s="106">
        <f>COPY!AR2404</f>
        <v>0</v>
      </c>
      <c r="C2412" s="107">
        <f>COPY!AC2404</f>
        <v>0</v>
      </c>
      <c r="D2412" s="107" t="str">
        <f>IF(LEN(Table1722[[#This Row],[Uraian]])&gt;2,1," ")</f>
        <v xml:space="preserve"> </v>
      </c>
      <c r="E2412" s="113" t="str">
        <f>IF(Table1722[[#This Row],[Lawan Transaksi]]="CV AGUNG KARYA",COUNTIF($I$10:I2412,"CV AGUNG KARYA")," ")</f>
        <v xml:space="preserve"> </v>
      </c>
      <c r="F2412" s="107" t="str">
        <f>IF(LEN(Table1722[[#This Row],[Uraian]])&gt;2,TRIM(RIGHT(SUBSTITUTE(TRIM(C2412)," ",REPT(" ",255)),255))," ")</f>
        <v xml:space="preserve"> </v>
      </c>
      <c r="G2412" s="110">
        <f>COPY!Z2404</f>
        <v>0</v>
      </c>
      <c r="H2412" s="111" t="str">
        <f>IFERROR(VLOOKUP(Table1722[[#This Row],[Bukti]],'Un nOTA'!$A$4:$K$5003,10,FALSE),"")</f>
        <v/>
      </c>
      <c r="I2412" s="112" t="str">
        <f>IFERROR(VLOOKUP(Table1722[[#This Row],[Bukti]],Table13[#Data],11,FALSE),"")</f>
        <v/>
      </c>
    </row>
    <row r="2413" spans="1:9" ht="19.5" hidden="1" customHeight="1" x14ac:dyDescent="0.2">
      <c r="A2413" s="105" t="str">
        <f>IF(D2413=1,COUNTIF($D$10:D2413,1)," ")</f>
        <v xml:space="preserve"> </v>
      </c>
      <c r="B2413" s="106">
        <f>COPY!AR2405</f>
        <v>0</v>
      </c>
      <c r="C2413" s="107">
        <f>COPY!AC2405</f>
        <v>0</v>
      </c>
      <c r="D2413" s="107" t="str">
        <f>IF(LEN(Table1722[[#This Row],[Uraian]])&gt;2,1," ")</f>
        <v xml:space="preserve"> </v>
      </c>
      <c r="E2413" s="113" t="str">
        <f>IF(Table1722[[#This Row],[Lawan Transaksi]]="CV AGUNG KARYA",COUNTIF($I$10:I2413,"CV AGUNG KARYA")," ")</f>
        <v xml:space="preserve"> </v>
      </c>
      <c r="F2413" s="107" t="str">
        <f>IF(LEN(Table1722[[#This Row],[Uraian]])&gt;2,TRIM(RIGHT(SUBSTITUTE(TRIM(C2413)," ",REPT(" ",255)),255))," ")</f>
        <v xml:space="preserve"> </v>
      </c>
      <c r="G2413" s="110">
        <f>COPY!Z2405</f>
        <v>0</v>
      </c>
      <c r="H2413" s="111" t="str">
        <f>IFERROR(VLOOKUP(Table1722[[#This Row],[Bukti]],'Un nOTA'!$A$4:$K$5003,10,FALSE),"")</f>
        <v/>
      </c>
      <c r="I2413" s="112" t="str">
        <f>IFERROR(VLOOKUP(Table1722[[#This Row],[Bukti]],Table13[#Data],11,FALSE),"")</f>
        <v/>
      </c>
    </row>
    <row r="2414" spans="1:9" ht="19.5" hidden="1" customHeight="1" x14ac:dyDescent="0.2">
      <c r="A2414" s="105" t="str">
        <f>IF(D2414=1,COUNTIF($D$10:D2414,1)," ")</f>
        <v xml:space="preserve"> </v>
      </c>
      <c r="B2414" s="106">
        <f>COPY!AR2406</f>
        <v>0</v>
      </c>
      <c r="C2414" s="107">
        <f>COPY!AC2406</f>
        <v>0</v>
      </c>
      <c r="D2414" s="107" t="str">
        <f>IF(LEN(Table1722[[#This Row],[Uraian]])&gt;2,1," ")</f>
        <v xml:space="preserve"> </v>
      </c>
      <c r="E2414" s="113" t="str">
        <f>IF(Table1722[[#This Row],[Lawan Transaksi]]="CV AGUNG KARYA",COUNTIF($I$10:I2414,"CV AGUNG KARYA")," ")</f>
        <v xml:space="preserve"> </v>
      </c>
      <c r="F2414" s="107" t="str">
        <f>IF(LEN(Table1722[[#This Row],[Uraian]])&gt;2,TRIM(RIGHT(SUBSTITUTE(TRIM(C2414)," ",REPT(" ",255)),255))," ")</f>
        <v xml:space="preserve"> </v>
      </c>
      <c r="G2414" s="110">
        <f>COPY!Z2406</f>
        <v>0</v>
      </c>
      <c r="H2414" s="111" t="str">
        <f>IFERROR(VLOOKUP(Table1722[[#This Row],[Bukti]],'Un nOTA'!$A$4:$K$5003,10,FALSE),"")</f>
        <v/>
      </c>
      <c r="I2414" s="112" t="str">
        <f>IFERROR(VLOOKUP(Table1722[[#This Row],[Bukti]],Table13[#Data],11,FALSE),"")</f>
        <v/>
      </c>
    </row>
    <row r="2415" spans="1:9" ht="19.5" hidden="1" customHeight="1" x14ac:dyDescent="0.2">
      <c r="A2415" s="105" t="str">
        <f>IF(D2415=1,COUNTIF($D$10:D2415,1)," ")</f>
        <v xml:space="preserve"> </v>
      </c>
      <c r="B2415" s="106">
        <f>COPY!AR2407</f>
        <v>0</v>
      </c>
      <c r="C2415" s="107">
        <f>COPY!AC2407</f>
        <v>0</v>
      </c>
      <c r="D2415" s="107" t="str">
        <f>IF(LEN(Table1722[[#This Row],[Uraian]])&gt;2,1," ")</f>
        <v xml:space="preserve"> </v>
      </c>
      <c r="E2415" s="113" t="str">
        <f>IF(Table1722[[#This Row],[Lawan Transaksi]]="CV AGUNG KARYA",COUNTIF($I$10:I2415,"CV AGUNG KARYA")," ")</f>
        <v xml:space="preserve"> </v>
      </c>
      <c r="F2415" s="107" t="str">
        <f>IF(LEN(Table1722[[#This Row],[Uraian]])&gt;2,TRIM(RIGHT(SUBSTITUTE(TRIM(C2415)," ",REPT(" ",255)),255))," ")</f>
        <v xml:space="preserve"> </v>
      </c>
      <c r="G2415" s="110">
        <f>COPY!Z2407</f>
        <v>0</v>
      </c>
      <c r="H2415" s="111" t="str">
        <f>IFERROR(VLOOKUP(Table1722[[#This Row],[Bukti]],'Un nOTA'!$A$4:$K$5003,10,FALSE),"")</f>
        <v/>
      </c>
      <c r="I2415" s="112" t="str">
        <f>IFERROR(VLOOKUP(Table1722[[#This Row],[Bukti]],Table13[#Data],11,FALSE),"")</f>
        <v/>
      </c>
    </row>
    <row r="2416" spans="1:9" ht="19.5" hidden="1" customHeight="1" x14ac:dyDescent="0.2">
      <c r="A2416" s="105" t="str">
        <f>IF(D2416=1,COUNTIF($D$10:D2416,1)," ")</f>
        <v xml:space="preserve"> </v>
      </c>
      <c r="B2416" s="106">
        <f>COPY!AR2408</f>
        <v>0</v>
      </c>
      <c r="C2416" s="107">
        <f>COPY!AC2408</f>
        <v>0</v>
      </c>
      <c r="D2416" s="107" t="str">
        <f>IF(LEN(Table1722[[#This Row],[Uraian]])&gt;2,1," ")</f>
        <v xml:space="preserve"> </v>
      </c>
      <c r="E2416" s="113" t="str">
        <f>IF(Table1722[[#This Row],[Lawan Transaksi]]="CV AGUNG KARYA",COUNTIF($I$10:I2416,"CV AGUNG KARYA")," ")</f>
        <v xml:space="preserve"> </v>
      </c>
      <c r="F2416" s="107" t="str">
        <f>IF(LEN(Table1722[[#This Row],[Uraian]])&gt;2,TRIM(RIGHT(SUBSTITUTE(TRIM(C2416)," ",REPT(" ",255)),255))," ")</f>
        <v xml:space="preserve"> </v>
      </c>
      <c r="G2416" s="110">
        <f>COPY!Z2408</f>
        <v>0</v>
      </c>
      <c r="H2416" s="111" t="str">
        <f>IFERROR(VLOOKUP(Table1722[[#This Row],[Bukti]],'Un nOTA'!$A$4:$K$5003,10,FALSE),"")</f>
        <v/>
      </c>
      <c r="I2416" s="112" t="str">
        <f>IFERROR(VLOOKUP(Table1722[[#This Row],[Bukti]],Table13[#Data],11,FALSE),"")</f>
        <v/>
      </c>
    </row>
    <row r="2417" spans="1:9" ht="19.5" hidden="1" customHeight="1" x14ac:dyDescent="0.2">
      <c r="A2417" s="105" t="str">
        <f>IF(D2417=1,COUNTIF($D$10:D2417,1)," ")</f>
        <v xml:space="preserve"> </v>
      </c>
      <c r="B2417" s="106">
        <f>COPY!AR2409</f>
        <v>0</v>
      </c>
      <c r="C2417" s="107">
        <f>COPY!AC2409</f>
        <v>0</v>
      </c>
      <c r="D2417" s="107" t="str">
        <f>IF(LEN(Table1722[[#This Row],[Uraian]])&gt;2,1," ")</f>
        <v xml:space="preserve"> </v>
      </c>
      <c r="E2417" s="113" t="str">
        <f>IF(Table1722[[#This Row],[Lawan Transaksi]]="CV AGUNG KARYA",COUNTIF($I$10:I2417,"CV AGUNG KARYA")," ")</f>
        <v xml:space="preserve"> </v>
      </c>
      <c r="F2417" s="107" t="str">
        <f>IF(LEN(Table1722[[#This Row],[Uraian]])&gt;2,TRIM(RIGHT(SUBSTITUTE(TRIM(C2417)," ",REPT(" ",255)),255))," ")</f>
        <v xml:space="preserve"> </v>
      </c>
      <c r="G2417" s="110">
        <f>COPY!Z2409</f>
        <v>0</v>
      </c>
      <c r="H2417" s="111" t="str">
        <f>IFERROR(VLOOKUP(Table1722[[#This Row],[Bukti]],'Un nOTA'!$A$4:$K$5003,10,FALSE),"")</f>
        <v/>
      </c>
      <c r="I2417" s="112" t="str">
        <f>IFERROR(VLOOKUP(Table1722[[#This Row],[Bukti]],Table13[#Data],11,FALSE),"")</f>
        <v/>
      </c>
    </row>
    <row r="2418" spans="1:9" ht="19.5" hidden="1" customHeight="1" x14ac:dyDescent="0.2">
      <c r="A2418" s="105" t="str">
        <f>IF(D2418=1,COUNTIF($D$10:D2418,1)," ")</f>
        <v xml:space="preserve"> </v>
      </c>
      <c r="B2418" s="106">
        <f>COPY!AR2410</f>
        <v>0</v>
      </c>
      <c r="C2418" s="107">
        <f>COPY!AC2410</f>
        <v>0</v>
      </c>
      <c r="D2418" s="107" t="str">
        <f>IF(LEN(Table1722[[#This Row],[Uraian]])&gt;2,1," ")</f>
        <v xml:space="preserve"> </v>
      </c>
      <c r="E2418" s="113" t="str">
        <f>IF(Table1722[[#This Row],[Lawan Transaksi]]="CV AGUNG KARYA",COUNTIF($I$10:I2418,"CV AGUNG KARYA")," ")</f>
        <v xml:space="preserve"> </v>
      </c>
      <c r="F2418" s="107" t="str">
        <f>IF(LEN(Table1722[[#This Row],[Uraian]])&gt;2,TRIM(RIGHT(SUBSTITUTE(TRIM(C2418)," ",REPT(" ",255)),255))," ")</f>
        <v xml:space="preserve"> </v>
      </c>
      <c r="G2418" s="110">
        <f>COPY!Z2410</f>
        <v>0</v>
      </c>
      <c r="H2418" s="111" t="str">
        <f>IFERROR(VLOOKUP(Table1722[[#This Row],[Bukti]],'Un nOTA'!$A$4:$K$5003,10,FALSE),"")</f>
        <v/>
      </c>
      <c r="I2418" s="112" t="str">
        <f>IFERROR(VLOOKUP(Table1722[[#This Row],[Bukti]],Table13[#Data],11,FALSE),"")</f>
        <v/>
      </c>
    </row>
    <row r="2419" spans="1:9" ht="19.5" hidden="1" customHeight="1" x14ac:dyDescent="0.2">
      <c r="A2419" s="105" t="str">
        <f>IF(D2419=1,COUNTIF($D$10:D2419,1)," ")</f>
        <v xml:space="preserve"> </v>
      </c>
      <c r="B2419" s="106">
        <f>COPY!AR2411</f>
        <v>0</v>
      </c>
      <c r="C2419" s="107">
        <f>COPY!AC2411</f>
        <v>0</v>
      </c>
      <c r="D2419" s="107" t="str">
        <f>IF(LEN(Table1722[[#This Row],[Uraian]])&gt;2,1," ")</f>
        <v xml:space="preserve"> </v>
      </c>
      <c r="E2419" s="113" t="str">
        <f>IF(Table1722[[#This Row],[Lawan Transaksi]]="CV AGUNG KARYA",COUNTIF($I$10:I2419,"CV AGUNG KARYA")," ")</f>
        <v xml:space="preserve"> </v>
      </c>
      <c r="F2419" s="107" t="str">
        <f>IF(LEN(Table1722[[#This Row],[Uraian]])&gt;2,TRIM(RIGHT(SUBSTITUTE(TRIM(C2419)," ",REPT(" ",255)),255))," ")</f>
        <v xml:space="preserve"> </v>
      </c>
      <c r="G2419" s="110">
        <f>COPY!Z2411</f>
        <v>0</v>
      </c>
      <c r="H2419" s="111" t="str">
        <f>IFERROR(VLOOKUP(Table1722[[#This Row],[Bukti]],'Un nOTA'!$A$4:$K$5003,10,FALSE),"")</f>
        <v/>
      </c>
      <c r="I2419" s="112" t="str">
        <f>IFERROR(VLOOKUP(Table1722[[#This Row],[Bukti]],Table13[#Data],11,FALSE),"")</f>
        <v/>
      </c>
    </row>
    <row r="2420" spans="1:9" ht="19.5" hidden="1" customHeight="1" x14ac:dyDescent="0.2">
      <c r="A2420" s="105" t="str">
        <f>IF(D2420=1,COUNTIF($D$10:D2420,1)," ")</f>
        <v xml:space="preserve"> </v>
      </c>
      <c r="B2420" s="106">
        <f>COPY!AR2412</f>
        <v>0</v>
      </c>
      <c r="C2420" s="107">
        <f>COPY!AC2412</f>
        <v>0</v>
      </c>
      <c r="D2420" s="107" t="str">
        <f>IF(LEN(Table1722[[#This Row],[Uraian]])&gt;2,1," ")</f>
        <v xml:space="preserve"> </v>
      </c>
      <c r="E2420" s="113" t="str">
        <f>IF(Table1722[[#This Row],[Lawan Transaksi]]="CV AGUNG KARYA",COUNTIF($I$10:I2420,"CV AGUNG KARYA")," ")</f>
        <v xml:space="preserve"> </v>
      </c>
      <c r="F2420" s="107" t="str">
        <f>IF(LEN(Table1722[[#This Row],[Uraian]])&gt;2,TRIM(RIGHT(SUBSTITUTE(TRIM(C2420)," ",REPT(" ",255)),255))," ")</f>
        <v xml:space="preserve"> </v>
      </c>
      <c r="G2420" s="110">
        <f>COPY!Z2412</f>
        <v>0</v>
      </c>
      <c r="H2420" s="111" t="str">
        <f>IFERROR(VLOOKUP(Table1722[[#This Row],[Bukti]],'Un nOTA'!$A$4:$K$5003,10,FALSE),"")</f>
        <v/>
      </c>
      <c r="I2420" s="112" t="str">
        <f>IFERROR(VLOOKUP(Table1722[[#This Row],[Bukti]],Table13[#Data],11,FALSE),"")</f>
        <v/>
      </c>
    </row>
    <row r="2421" spans="1:9" ht="19.5" hidden="1" customHeight="1" x14ac:dyDescent="0.2">
      <c r="A2421" s="105" t="str">
        <f>IF(D2421=1,COUNTIF($D$10:D2421,1)," ")</f>
        <v xml:space="preserve"> </v>
      </c>
      <c r="B2421" s="106">
        <f>COPY!AR2413</f>
        <v>0</v>
      </c>
      <c r="C2421" s="107">
        <f>COPY!AC2413</f>
        <v>0</v>
      </c>
      <c r="D2421" s="107" t="str">
        <f>IF(LEN(Table1722[[#This Row],[Uraian]])&gt;2,1," ")</f>
        <v xml:space="preserve"> </v>
      </c>
      <c r="E2421" s="113" t="str">
        <f>IF(Table1722[[#This Row],[Lawan Transaksi]]="CV AGUNG KARYA",COUNTIF($I$10:I2421,"CV AGUNG KARYA")," ")</f>
        <v xml:space="preserve"> </v>
      </c>
      <c r="F2421" s="107" t="str">
        <f>IF(LEN(Table1722[[#This Row],[Uraian]])&gt;2,TRIM(RIGHT(SUBSTITUTE(TRIM(C2421)," ",REPT(" ",255)),255))," ")</f>
        <v xml:space="preserve"> </v>
      </c>
      <c r="G2421" s="110">
        <f>COPY!Z2413</f>
        <v>0</v>
      </c>
      <c r="H2421" s="111" t="str">
        <f>IFERROR(VLOOKUP(Table1722[[#This Row],[Bukti]],'Un nOTA'!$A$4:$K$5003,10,FALSE),"")</f>
        <v/>
      </c>
      <c r="I2421" s="112" t="str">
        <f>IFERROR(VLOOKUP(Table1722[[#This Row],[Bukti]],Table13[#Data],11,FALSE),"")</f>
        <v/>
      </c>
    </row>
    <row r="2422" spans="1:9" ht="19.5" hidden="1" customHeight="1" x14ac:dyDescent="0.2">
      <c r="A2422" s="105" t="str">
        <f>IF(D2422=1,COUNTIF($D$10:D2422,1)," ")</f>
        <v xml:space="preserve"> </v>
      </c>
      <c r="B2422" s="106">
        <f>COPY!AR2414</f>
        <v>0</v>
      </c>
      <c r="C2422" s="107">
        <f>COPY!AC2414</f>
        <v>0</v>
      </c>
      <c r="D2422" s="107" t="str">
        <f>IF(LEN(Table1722[[#This Row],[Uraian]])&gt;2,1," ")</f>
        <v xml:space="preserve"> </v>
      </c>
      <c r="E2422" s="113" t="str">
        <f>IF(Table1722[[#This Row],[Lawan Transaksi]]="CV AGUNG KARYA",COUNTIF($I$10:I2422,"CV AGUNG KARYA")," ")</f>
        <v xml:space="preserve"> </v>
      </c>
      <c r="F2422" s="107" t="str">
        <f>IF(LEN(Table1722[[#This Row],[Uraian]])&gt;2,TRIM(RIGHT(SUBSTITUTE(TRIM(C2422)," ",REPT(" ",255)),255))," ")</f>
        <v xml:space="preserve"> </v>
      </c>
      <c r="G2422" s="110">
        <f>COPY!Z2414</f>
        <v>0</v>
      </c>
      <c r="H2422" s="111" t="str">
        <f>IFERROR(VLOOKUP(Table1722[[#This Row],[Bukti]],'Un nOTA'!$A$4:$K$5003,10,FALSE),"")</f>
        <v/>
      </c>
      <c r="I2422" s="112" t="str">
        <f>IFERROR(VLOOKUP(Table1722[[#This Row],[Bukti]],Table13[#Data],11,FALSE),"")</f>
        <v/>
      </c>
    </row>
    <row r="2423" spans="1:9" ht="19.5" hidden="1" customHeight="1" x14ac:dyDescent="0.2">
      <c r="A2423" s="105" t="str">
        <f>IF(D2423=1,COUNTIF($D$10:D2423,1)," ")</f>
        <v xml:space="preserve"> </v>
      </c>
      <c r="B2423" s="106">
        <f>COPY!AR2415</f>
        <v>0</v>
      </c>
      <c r="C2423" s="107">
        <f>COPY!AC2415</f>
        <v>0</v>
      </c>
      <c r="D2423" s="107" t="str">
        <f>IF(LEN(Table1722[[#This Row],[Uraian]])&gt;2,1," ")</f>
        <v xml:space="preserve"> </v>
      </c>
      <c r="E2423" s="113" t="str">
        <f>IF(Table1722[[#This Row],[Lawan Transaksi]]="CV AGUNG KARYA",COUNTIF($I$10:I2423,"CV AGUNG KARYA")," ")</f>
        <v xml:space="preserve"> </v>
      </c>
      <c r="F2423" s="107" t="str">
        <f>IF(LEN(Table1722[[#This Row],[Uraian]])&gt;2,TRIM(RIGHT(SUBSTITUTE(TRIM(C2423)," ",REPT(" ",255)),255))," ")</f>
        <v xml:space="preserve"> </v>
      </c>
      <c r="G2423" s="110">
        <f>COPY!Z2415</f>
        <v>0</v>
      </c>
      <c r="H2423" s="111" t="str">
        <f>IFERROR(VLOOKUP(Table1722[[#This Row],[Bukti]],'Un nOTA'!$A$4:$K$5003,10,FALSE),"")</f>
        <v/>
      </c>
      <c r="I2423" s="112" t="str">
        <f>IFERROR(VLOOKUP(Table1722[[#This Row],[Bukti]],Table13[#Data],11,FALSE),"")</f>
        <v/>
      </c>
    </row>
    <row r="2424" spans="1:9" ht="19.5" hidden="1" customHeight="1" x14ac:dyDescent="0.2">
      <c r="A2424" s="105" t="str">
        <f>IF(D2424=1,COUNTIF($D$10:D2424,1)," ")</f>
        <v xml:space="preserve"> </v>
      </c>
      <c r="B2424" s="106">
        <f>COPY!AR2416</f>
        <v>0</v>
      </c>
      <c r="C2424" s="107">
        <f>COPY!AC2416</f>
        <v>0</v>
      </c>
      <c r="D2424" s="107" t="str">
        <f>IF(LEN(Table1722[[#This Row],[Uraian]])&gt;2,1," ")</f>
        <v xml:space="preserve"> </v>
      </c>
      <c r="E2424" s="113" t="str">
        <f>IF(Table1722[[#This Row],[Lawan Transaksi]]="CV AGUNG KARYA",COUNTIF($I$10:I2424,"CV AGUNG KARYA")," ")</f>
        <v xml:space="preserve"> </v>
      </c>
      <c r="F2424" s="107" t="str">
        <f>IF(LEN(Table1722[[#This Row],[Uraian]])&gt;2,TRIM(RIGHT(SUBSTITUTE(TRIM(C2424)," ",REPT(" ",255)),255))," ")</f>
        <v xml:space="preserve"> </v>
      </c>
      <c r="G2424" s="110">
        <f>COPY!Z2416</f>
        <v>0</v>
      </c>
      <c r="H2424" s="111" t="str">
        <f>IFERROR(VLOOKUP(Table1722[[#This Row],[Bukti]],'Un nOTA'!$A$4:$K$5003,10,FALSE),"")</f>
        <v/>
      </c>
      <c r="I2424" s="112" t="str">
        <f>IFERROR(VLOOKUP(Table1722[[#This Row],[Bukti]],Table13[#Data],11,FALSE),"")</f>
        <v/>
      </c>
    </row>
    <row r="2425" spans="1:9" ht="19.5" hidden="1" customHeight="1" x14ac:dyDescent="0.2">
      <c r="A2425" s="105" t="str">
        <f>IF(D2425=1,COUNTIF($D$10:D2425,1)," ")</f>
        <v xml:space="preserve"> </v>
      </c>
      <c r="B2425" s="106">
        <f>COPY!AR2417</f>
        <v>0</v>
      </c>
      <c r="C2425" s="107">
        <f>COPY!AC2417</f>
        <v>0</v>
      </c>
      <c r="D2425" s="107" t="str">
        <f>IF(LEN(Table1722[[#This Row],[Uraian]])&gt;2,1," ")</f>
        <v xml:space="preserve"> </v>
      </c>
      <c r="E2425" s="113" t="str">
        <f>IF(Table1722[[#This Row],[Lawan Transaksi]]="CV AGUNG KARYA",COUNTIF($I$10:I2425,"CV AGUNG KARYA")," ")</f>
        <v xml:space="preserve"> </v>
      </c>
      <c r="F2425" s="107" t="str">
        <f>IF(LEN(Table1722[[#This Row],[Uraian]])&gt;2,TRIM(RIGHT(SUBSTITUTE(TRIM(C2425)," ",REPT(" ",255)),255))," ")</f>
        <v xml:space="preserve"> </v>
      </c>
      <c r="G2425" s="110">
        <f>COPY!Z2417</f>
        <v>0</v>
      </c>
      <c r="H2425" s="111" t="str">
        <f>IFERROR(VLOOKUP(Table1722[[#This Row],[Bukti]],'Un nOTA'!$A$4:$K$5003,10,FALSE),"")</f>
        <v/>
      </c>
      <c r="I2425" s="112" t="str">
        <f>IFERROR(VLOOKUP(Table1722[[#This Row],[Bukti]],Table13[#Data],11,FALSE),"")</f>
        <v/>
      </c>
    </row>
    <row r="2426" spans="1:9" ht="19.5" hidden="1" customHeight="1" x14ac:dyDescent="0.2">
      <c r="A2426" s="105" t="str">
        <f>IF(D2426=1,COUNTIF($D$10:D2426,1)," ")</f>
        <v xml:space="preserve"> </v>
      </c>
      <c r="B2426" s="106">
        <f>COPY!AR2418</f>
        <v>0</v>
      </c>
      <c r="C2426" s="107">
        <f>COPY!AC2418</f>
        <v>0</v>
      </c>
      <c r="D2426" s="107" t="str">
        <f>IF(LEN(Table1722[[#This Row],[Uraian]])&gt;2,1," ")</f>
        <v xml:space="preserve"> </v>
      </c>
      <c r="E2426" s="113" t="str">
        <f>IF(Table1722[[#This Row],[Lawan Transaksi]]="CV AGUNG KARYA",COUNTIF($I$10:I2426,"CV AGUNG KARYA")," ")</f>
        <v xml:space="preserve"> </v>
      </c>
      <c r="F2426" s="107" t="str">
        <f>IF(LEN(Table1722[[#This Row],[Uraian]])&gt;2,TRIM(RIGHT(SUBSTITUTE(TRIM(C2426)," ",REPT(" ",255)),255))," ")</f>
        <v xml:space="preserve"> </v>
      </c>
      <c r="G2426" s="110">
        <f>COPY!Z2418</f>
        <v>0</v>
      </c>
      <c r="H2426" s="111" t="str">
        <f>IFERROR(VLOOKUP(Table1722[[#This Row],[Bukti]],'Un nOTA'!$A$4:$K$5003,10,FALSE),"")</f>
        <v/>
      </c>
      <c r="I2426" s="112" t="str">
        <f>IFERROR(VLOOKUP(Table1722[[#This Row],[Bukti]],Table13[#Data],11,FALSE),"")</f>
        <v/>
      </c>
    </row>
    <row r="2427" spans="1:9" ht="19.5" hidden="1" customHeight="1" x14ac:dyDescent="0.2">
      <c r="A2427" s="105" t="str">
        <f>IF(D2427=1,COUNTIF($D$10:D2427,1)," ")</f>
        <v xml:space="preserve"> </v>
      </c>
      <c r="B2427" s="106">
        <f>COPY!AR2419</f>
        <v>0</v>
      </c>
      <c r="C2427" s="107">
        <f>COPY!AC2419</f>
        <v>0</v>
      </c>
      <c r="D2427" s="107" t="str">
        <f>IF(LEN(Table1722[[#This Row],[Uraian]])&gt;2,1," ")</f>
        <v xml:space="preserve"> </v>
      </c>
      <c r="E2427" s="113" t="str">
        <f>IF(Table1722[[#This Row],[Lawan Transaksi]]="CV AGUNG KARYA",COUNTIF($I$10:I2427,"CV AGUNG KARYA")," ")</f>
        <v xml:space="preserve"> </v>
      </c>
      <c r="F2427" s="107" t="str">
        <f>IF(LEN(Table1722[[#This Row],[Uraian]])&gt;2,TRIM(RIGHT(SUBSTITUTE(TRIM(C2427)," ",REPT(" ",255)),255))," ")</f>
        <v xml:space="preserve"> </v>
      </c>
      <c r="G2427" s="110">
        <f>COPY!Z2419</f>
        <v>0</v>
      </c>
      <c r="H2427" s="111" t="str">
        <f>IFERROR(VLOOKUP(Table1722[[#This Row],[Bukti]],'Un nOTA'!$A$4:$K$5003,10,FALSE),"")</f>
        <v/>
      </c>
      <c r="I2427" s="112" t="str">
        <f>IFERROR(VLOOKUP(Table1722[[#This Row],[Bukti]],Table13[#Data],11,FALSE),"")</f>
        <v/>
      </c>
    </row>
    <row r="2428" spans="1:9" ht="19.5" hidden="1" customHeight="1" x14ac:dyDescent="0.2">
      <c r="A2428" s="105" t="str">
        <f>IF(D2428=1,COUNTIF($D$10:D2428,1)," ")</f>
        <v xml:space="preserve"> </v>
      </c>
      <c r="B2428" s="106">
        <f>COPY!AR2420</f>
        <v>0</v>
      </c>
      <c r="C2428" s="107">
        <f>COPY!AC2420</f>
        <v>0</v>
      </c>
      <c r="D2428" s="107" t="str">
        <f>IF(LEN(Table1722[[#This Row],[Uraian]])&gt;2,1," ")</f>
        <v xml:space="preserve"> </v>
      </c>
      <c r="E2428" s="113" t="str">
        <f>IF(Table1722[[#This Row],[Lawan Transaksi]]="CV AGUNG KARYA",COUNTIF($I$10:I2428,"CV AGUNG KARYA")," ")</f>
        <v xml:space="preserve"> </v>
      </c>
      <c r="F2428" s="107" t="str">
        <f>IF(LEN(Table1722[[#This Row],[Uraian]])&gt;2,TRIM(RIGHT(SUBSTITUTE(TRIM(C2428)," ",REPT(" ",255)),255))," ")</f>
        <v xml:space="preserve"> </v>
      </c>
      <c r="G2428" s="110">
        <f>COPY!Z2420</f>
        <v>0</v>
      </c>
      <c r="H2428" s="111" t="str">
        <f>IFERROR(VLOOKUP(Table1722[[#This Row],[Bukti]],'Un nOTA'!$A$4:$K$5003,10,FALSE),"")</f>
        <v/>
      </c>
      <c r="I2428" s="112" t="str">
        <f>IFERROR(VLOOKUP(Table1722[[#This Row],[Bukti]],Table13[#Data],11,FALSE),"")</f>
        <v/>
      </c>
    </row>
    <row r="2429" spans="1:9" ht="19.5" hidden="1" customHeight="1" x14ac:dyDescent="0.2">
      <c r="A2429" s="105" t="str">
        <f>IF(D2429=1,COUNTIF($D$10:D2429,1)," ")</f>
        <v xml:space="preserve"> </v>
      </c>
      <c r="B2429" s="106">
        <f>COPY!AR2421</f>
        <v>0</v>
      </c>
      <c r="C2429" s="107">
        <f>COPY!AC2421</f>
        <v>0</v>
      </c>
      <c r="D2429" s="107" t="str">
        <f>IF(LEN(Table1722[[#This Row],[Uraian]])&gt;2,1," ")</f>
        <v xml:space="preserve"> </v>
      </c>
      <c r="E2429" s="113" t="str">
        <f>IF(Table1722[[#This Row],[Lawan Transaksi]]="CV AGUNG KARYA",COUNTIF($I$10:I2429,"CV AGUNG KARYA")," ")</f>
        <v xml:space="preserve"> </v>
      </c>
      <c r="F2429" s="107" t="str">
        <f>IF(LEN(Table1722[[#This Row],[Uraian]])&gt;2,TRIM(RIGHT(SUBSTITUTE(TRIM(C2429)," ",REPT(" ",255)),255))," ")</f>
        <v xml:space="preserve"> </v>
      </c>
      <c r="G2429" s="110">
        <f>COPY!Z2421</f>
        <v>0</v>
      </c>
      <c r="H2429" s="111" t="str">
        <f>IFERROR(VLOOKUP(Table1722[[#This Row],[Bukti]],'Un nOTA'!$A$4:$K$5003,10,FALSE),"")</f>
        <v/>
      </c>
      <c r="I2429" s="112" t="str">
        <f>IFERROR(VLOOKUP(Table1722[[#This Row],[Bukti]],Table13[#Data],11,FALSE),"")</f>
        <v/>
      </c>
    </row>
    <row r="2430" spans="1:9" ht="19.5" hidden="1" customHeight="1" x14ac:dyDescent="0.2">
      <c r="A2430" s="105" t="str">
        <f>IF(D2430=1,COUNTIF($D$10:D2430,1)," ")</f>
        <v xml:space="preserve"> </v>
      </c>
      <c r="B2430" s="106">
        <f>COPY!AR2422</f>
        <v>0</v>
      </c>
      <c r="C2430" s="107">
        <f>COPY!AC2422</f>
        <v>0</v>
      </c>
      <c r="D2430" s="107" t="str">
        <f>IF(LEN(Table1722[[#This Row],[Uraian]])&gt;2,1," ")</f>
        <v xml:space="preserve"> </v>
      </c>
      <c r="E2430" s="113" t="str">
        <f>IF(Table1722[[#This Row],[Lawan Transaksi]]="CV AGUNG KARYA",COUNTIF($I$10:I2430,"CV AGUNG KARYA")," ")</f>
        <v xml:space="preserve"> </v>
      </c>
      <c r="F2430" s="107" t="str">
        <f>IF(LEN(Table1722[[#This Row],[Uraian]])&gt;2,TRIM(RIGHT(SUBSTITUTE(TRIM(C2430)," ",REPT(" ",255)),255))," ")</f>
        <v xml:space="preserve"> </v>
      </c>
      <c r="G2430" s="110">
        <f>COPY!Z2422</f>
        <v>0</v>
      </c>
      <c r="H2430" s="111" t="str">
        <f>IFERROR(VLOOKUP(Table1722[[#This Row],[Bukti]],'Un nOTA'!$A$4:$K$5003,10,FALSE),"")</f>
        <v/>
      </c>
      <c r="I2430" s="112" t="str">
        <f>IFERROR(VLOOKUP(Table1722[[#This Row],[Bukti]],Table13[#Data],11,FALSE),"")</f>
        <v/>
      </c>
    </row>
    <row r="2431" spans="1:9" ht="19.5" hidden="1" customHeight="1" x14ac:dyDescent="0.2">
      <c r="A2431" s="105" t="str">
        <f>IF(D2431=1,COUNTIF($D$10:D2431,1)," ")</f>
        <v xml:space="preserve"> </v>
      </c>
      <c r="B2431" s="106">
        <f>COPY!AR2423</f>
        <v>0</v>
      </c>
      <c r="C2431" s="107">
        <f>COPY!AC2423</f>
        <v>0</v>
      </c>
      <c r="D2431" s="107" t="str">
        <f>IF(LEN(Table1722[[#This Row],[Uraian]])&gt;2,1," ")</f>
        <v xml:space="preserve"> </v>
      </c>
      <c r="E2431" s="113" t="str">
        <f>IF(Table1722[[#This Row],[Lawan Transaksi]]="CV AGUNG KARYA",COUNTIF($I$10:I2431,"CV AGUNG KARYA")," ")</f>
        <v xml:space="preserve"> </v>
      </c>
      <c r="F2431" s="107" t="str">
        <f>IF(LEN(Table1722[[#This Row],[Uraian]])&gt;2,TRIM(RIGHT(SUBSTITUTE(TRIM(C2431)," ",REPT(" ",255)),255))," ")</f>
        <v xml:space="preserve"> </v>
      </c>
      <c r="G2431" s="110">
        <f>COPY!Z2423</f>
        <v>0</v>
      </c>
      <c r="H2431" s="111" t="str">
        <f>IFERROR(VLOOKUP(Table1722[[#This Row],[Bukti]],'Un nOTA'!$A$4:$K$5003,10,FALSE),"")</f>
        <v/>
      </c>
      <c r="I2431" s="112" t="str">
        <f>IFERROR(VLOOKUP(Table1722[[#This Row],[Bukti]],Table13[#Data],11,FALSE),"")</f>
        <v/>
      </c>
    </row>
    <row r="2432" spans="1:9" ht="19.5" hidden="1" customHeight="1" x14ac:dyDescent="0.2">
      <c r="A2432" s="105" t="str">
        <f>IF(D2432=1,COUNTIF($D$10:D2432,1)," ")</f>
        <v xml:space="preserve"> </v>
      </c>
      <c r="B2432" s="106">
        <f>COPY!AR2424</f>
        <v>0</v>
      </c>
      <c r="C2432" s="107">
        <f>COPY!AC2424</f>
        <v>0</v>
      </c>
      <c r="D2432" s="107" t="str">
        <f>IF(LEN(Table1722[[#This Row],[Uraian]])&gt;2,1," ")</f>
        <v xml:space="preserve"> </v>
      </c>
      <c r="E2432" s="113" t="str">
        <f>IF(Table1722[[#This Row],[Lawan Transaksi]]="CV AGUNG KARYA",COUNTIF($I$10:I2432,"CV AGUNG KARYA")," ")</f>
        <v xml:space="preserve"> </v>
      </c>
      <c r="F2432" s="107" t="str">
        <f>IF(LEN(Table1722[[#This Row],[Uraian]])&gt;2,TRIM(RIGHT(SUBSTITUTE(TRIM(C2432)," ",REPT(" ",255)),255))," ")</f>
        <v xml:space="preserve"> </v>
      </c>
      <c r="G2432" s="110">
        <f>COPY!Z2424</f>
        <v>0</v>
      </c>
      <c r="H2432" s="111" t="str">
        <f>IFERROR(VLOOKUP(Table1722[[#This Row],[Bukti]],'Un nOTA'!$A$4:$K$5003,10,FALSE),"")</f>
        <v/>
      </c>
      <c r="I2432" s="112" t="str">
        <f>IFERROR(VLOOKUP(Table1722[[#This Row],[Bukti]],Table13[#Data],11,FALSE),"")</f>
        <v/>
      </c>
    </row>
    <row r="2433" spans="1:9" ht="19.5" hidden="1" customHeight="1" x14ac:dyDescent="0.2">
      <c r="A2433" s="105" t="str">
        <f>IF(D2433=1,COUNTIF($D$10:D2433,1)," ")</f>
        <v xml:space="preserve"> </v>
      </c>
      <c r="B2433" s="106">
        <f>COPY!AR2425</f>
        <v>0</v>
      </c>
      <c r="C2433" s="107">
        <f>COPY!AC2425</f>
        <v>0</v>
      </c>
      <c r="D2433" s="107" t="str">
        <f>IF(LEN(Table1722[[#This Row],[Uraian]])&gt;2,1," ")</f>
        <v xml:space="preserve"> </v>
      </c>
      <c r="E2433" s="113" t="str">
        <f>IF(Table1722[[#This Row],[Lawan Transaksi]]="CV AGUNG KARYA",COUNTIF($I$10:I2433,"CV AGUNG KARYA")," ")</f>
        <v xml:space="preserve"> </v>
      </c>
      <c r="F2433" s="107" t="str">
        <f>IF(LEN(Table1722[[#This Row],[Uraian]])&gt;2,TRIM(RIGHT(SUBSTITUTE(TRIM(C2433)," ",REPT(" ",255)),255))," ")</f>
        <v xml:space="preserve"> </v>
      </c>
      <c r="G2433" s="110">
        <f>COPY!Z2425</f>
        <v>0</v>
      </c>
      <c r="H2433" s="111" t="str">
        <f>IFERROR(VLOOKUP(Table1722[[#This Row],[Bukti]],'Un nOTA'!$A$4:$K$5003,10,FALSE),"")</f>
        <v/>
      </c>
      <c r="I2433" s="112" t="str">
        <f>IFERROR(VLOOKUP(Table1722[[#This Row],[Bukti]],Table13[#Data],11,FALSE),"")</f>
        <v/>
      </c>
    </row>
    <row r="2434" spans="1:9" ht="19.5" hidden="1" customHeight="1" x14ac:dyDescent="0.2">
      <c r="A2434" s="105" t="str">
        <f>IF(D2434=1,COUNTIF($D$10:D2434,1)," ")</f>
        <v xml:space="preserve"> </v>
      </c>
      <c r="B2434" s="106">
        <f>COPY!AR2426</f>
        <v>0</v>
      </c>
      <c r="C2434" s="107">
        <f>COPY!AC2426</f>
        <v>0</v>
      </c>
      <c r="D2434" s="107" t="str">
        <f>IF(LEN(Table1722[[#This Row],[Uraian]])&gt;2,1," ")</f>
        <v xml:space="preserve"> </v>
      </c>
      <c r="E2434" s="113" t="str">
        <f>IF(Table1722[[#This Row],[Lawan Transaksi]]="CV AGUNG KARYA",COUNTIF($I$10:I2434,"CV AGUNG KARYA")," ")</f>
        <v xml:space="preserve"> </v>
      </c>
      <c r="F2434" s="107" t="str">
        <f>IF(LEN(Table1722[[#This Row],[Uraian]])&gt;2,TRIM(RIGHT(SUBSTITUTE(TRIM(C2434)," ",REPT(" ",255)),255))," ")</f>
        <v xml:space="preserve"> </v>
      </c>
      <c r="G2434" s="110">
        <f>COPY!Z2426</f>
        <v>0</v>
      </c>
      <c r="H2434" s="111" t="str">
        <f>IFERROR(VLOOKUP(Table1722[[#This Row],[Bukti]],'Un nOTA'!$A$4:$K$5003,10,FALSE),"")</f>
        <v/>
      </c>
      <c r="I2434" s="112" t="str">
        <f>IFERROR(VLOOKUP(Table1722[[#This Row],[Bukti]],Table13[#Data],11,FALSE),"")</f>
        <v/>
      </c>
    </row>
    <row r="2435" spans="1:9" ht="19.5" hidden="1" customHeight="1" x14ac:dyDescent="0.2">
      <c r="A2435" s="105" t="str">
        <f>IF(D2435=1,COUNTIF($D$10:D2435,1)," ")</f>
        <v xml:space="preserve"> </v>
      </c>
      <c r="B2435" s="106">
        <f>COPY!AR2427</f>
        <v>0</v>
      </c>
      <c r="C2435" s="107">
        <f>COPY!AC2427</f>
        <v>0</v>
      </c>
      <c r="D2435" s="107" t="str">
        <f>IF(LEN(Table1722[[#This Row],[Uraian]])&gt;2,1," ")</f>
        <v xml:space="preserve"> </v>
      </c>
      <c r="E2435" s="113" t="str">
        <f>IF(Table1722[[#This Row],[Lawan Transaksi]]="CV AGUNG KARYA",COUNTIF($I$10:I2435,"CV AGUNG KARYA")," ")</f>
        <v xml:space="preserve"> </v>
      </c>
      <c r="F2435" s="107" t="str">
        <f>IF(LEN(Table1722[[#This Row],[Uraian]])&gt;2,TRIM(RIGHT(SUBSTITUTE(TRIM(C2435)," ",REPT(" ",255)),255))," ")</f>
        <v xml:space="preserve"> </v>
      </c>
      <c r="G2435" s="110">
        <f>COPY!Z2427</f>
        <v>0</v>
      </c>
      <c r="H2435" s="111" t="str">
        <f>IFERROR(VLOOKUP(Table1722[[#This Row],[Bukti]],'Un nOTA'!$A$4:$K$5003,10,FALSE),"")</f>
        <v/>
      </c>
      <c r="I2435" s="112" t="str">
        <f>IFERROR(VLOOKUP(Table1722[[#This Row],[Bukti]],Table13[#Data],11,FALSE),"")</f>
        <v/>
      </c>
    </row>
    <row r="2436" spans="1:9" ht="19.5" hidden="1" customHeight="1" x14ac:dyDescent="0.2">
      <c r="A2436" s="105" t="str">
        <f>IF(D2436=1,COUNTIF($D$10:D2436,1)," ")</f>
        <v xml:space="preserve"> </v>
      </c>
      <c r="B2436" s="106">
        <f>COPY!AR2428</f>
        <v>0</v>
      </c>
      <c r="C2436" s="107">
        <f>COPY!AC2428</f>
        <v>0</v>
      </c>
      <c r="D2436" s="107" t="str">
        <f>IF(LEN(Table1722[[#This Row],[Uraian]])&gt;2,1," ")</f>
        <v xml:space="preserve"> </v>
      </c>
      <c r="E2436" s="113" t="str">
        <f>IF(Table1722[[#This Row],[Lawan Transaksi]]="CV AGUNG KARYA",COUNTIF($I$10:I2436,"CV AGUNG KARYA")," ")</f>
        <v xml:space="preserve"> </v>
      </c>
      <c r="F2436" s="107" t="str">
        <f>IF(LEN(Table1722[[#This Row],[Uraian]])&gt;2,TRIM(RIGHT(SUBSTITUTE(TRIM(C2436)," ",REPT(" ",255)),255))," ")</f>
        <v xml:space="preserve"> </v>
      </c>
      <c r="G2436" s="110">
        <f>COPY!Z2428</f>
        <v>0</v>
      </c>
      <c r="H2436" s="111" t="str">
        <f>IFERROR(VLOOKUP(Table1722[[#This Row],[Bukti]],'Un nOTA'!$A$4:$K$5003,10,FALSE),"")</f>
        <v/>
      </c>
      <c r="I2436" s="112" t="str">
        <f>IFERROR(VLOOKUP(Table1722[[#This Row],[Bukti]],Table13[#Data],11,FALSE),"")</f>
        <v/>
      </c>
    </row>
    <row r="2437" spans="1:9" ht="19.5" hidden="1" customHeight="1" x14ac:dyDescent="0.2">
      <c r="A2437" s="105" t="str">
        <f>IF(D2437=1,COUNTIF($D$10:D2437,1)," ")</f>
        <v xml:space="preserve"> </v>
      </c>
      <c r="B2437" s="106">
        <f>COPY!AR2429</f>
        <v>0</v>
      </c>
      <c r="C2437" s="107">
        <f>COPY!AC2429</f>
        <v>0</v>
      </c>
      <c r="D2437" s="107" t="str">
        <f>IF(LEN(Table1722[[#This Row],[Uraian]])&gt;2,1," ")</f>
        <v xml:space="preserve"> </v>
      </c>
      <c r="E2437" s="113" t="str">
        <f>IF(Table1722[[#This Row],[Lawan Transaksi]]="CV AGUNG KARYA",COUNTIF($I$10:I2437,"CV AGUNG KARYA")," ")</f>
        <v xml:space="preserve"> </v>
      </c>
      <c r="F2437" s="107" t="str">
        <f>IF(LEN(Table1722[[#This Row],[Uraian]])&gt;2,TRIM(RIGHT(SUBSTITUTE(TRIM(C2437)," ",REPT(" ",255)),255))," ")</f>
        <v xml:space="preserve"> </v>
      </c>
      <c r="G2437" s="110">
        <f>COPY!Z2429</f>
        <v>0</v>
      </c>
      <c r="H2437" s="111" t="str">
        <f>IFERROR(VLOOKUP(Table1722[[#This Row],[Bukti]],'Un nOTA'!$A$4:$K$5003,10,FALSE),"")</f>
        <v/>
      </c>
      <c r="I2437" s="112" t="str">
        <f>IFERROR(VLOOKUP(Table1722[[#This Row],[Bukti]],Table13[#Data],11,FALSE),"")</f>
        <v/>
      </c>
    </row>
    <row r="2438" spans="1:9" ht="19.5" hidden="1" customHeight="1" x14ac:dyDescent="0.2">
      <c r="A2438" s="105" t="str">
        <f>IF(D2438=1,COUNTIF($D$10:D2438,1)," ")</f>
        <v xml:space="preserve"> </v>
      </c>
      <c r="B2438" s="106">
        <f>COPY!AR2430</f>
        <v>0</v>
      </c>
      <c r="C2438" s="107">
        <f>COPY!AC2430</f>
        <v>0</v>
      </c>
      <c r="D2438" s="107" t="str">
        <f>IF(LEN(Table1722[[#This Row],[Uraian]])&gt;2,1," ")</f>
        <v xml:space="preserve"> </v>
      </c>
      <c r="E2438" s="113" t="str">
        <f>IF(Table1722[[#This Row],[Lawan Transaksi]]="CV AGUNG KARYA",COUNTIF($I$10:I2438,"CV AGUNG KARYA")," ")</f>
        <v xml:space="preserve"> </v>
      </c>
      <c r="F2438" s="107" t="str">
        <f>IF(LEN(Table1722[[#This Row],[Uraian]])&gt;2,TRIM(RIGHT(SUBSTITUTE(TRIM(C2438)," ",REPT(" ",255)),255))," ")</f>
        <v xml:space="preserve"> </v>
      </c>
      <c r="G2438" s="110">
        <f>COPY!Z2430</f>
        <v>0</v>
      </c>
      <c r="H2438" s="111" t="str">
        <f>IFERROR(VLOOKUP(Table1722[[#This Row],[Bukti]],'Un nOTA'!$A$4:$K$5003,10,FALSE),"")</f>
        <v/>
      </c>
      <c r="I2438" s="112" t="str">
        <f>IFERROR(VLOOKUP(Table1722[[#This Row],[Bukti]],Table13[#Data],11,FALSE),"")</f>
        <v/>
      </c>
    </row>
    <row r="2439" spans="1:9" ht="19.5" hidden="1" customHeight="1" x14ac:dyDescent="0.2">
      <c r="A2439" s="105" t="str">
        <f>IF(D2439=1,COUNTIF($D$10:D2439,1)," ")</f>
        <v xml:space="preserve"> </v>
      </c>
      <c r="B2439" s="106">
        <f>COPY!AR2431</f>
        <v>0</v>
      </c>
      <c r="C2439" s="107">
        <f>COPY!AC2431</f>
        <v>0</v>
      </c>
      <c r="D2439" s="107" t="str">
        <f>IF(LEN(Table1722[[#This Row],[Uraian]])&gt;2,1," ")</f>
        <v xml:space="preserve"> </v>
      </c>
      <c r="E2439" s="113" t="str">
        <f>IF(Table1722[[#This Row],[Lawan Transaksi]]="CV AGUNG KARYA",COUNTIF($I$10:I2439,"CV AGUNG KARYA")," ")</f>
        <v xml:space="preserve"> </v>
      </c>
      <c r="F2439" s="107" t="str">
        <f>IF(LEN(Table1722[[#This Row],[Uraian]])&gt;2,TRIM(RIGHT(SUBSTITUTE(TRIM(C2439)," ",REPT(" ",255)),255))," ")</f>
        <v xml:space="preserve"> </v>
      </c>
      <c r="G2439" s="110">
        <f>COPY!Z2431</f>
        <v>0</v>
      </c>
      <c r="H2439" s="111" t="str">
        <f>IFERROR(VLOOKUP(Table1722[[#This Row],[Bukti]],'Un nOTA'!$A$4:$K$5003,10,FALSE),"")</f>
        <v/>
      </c>
      <c r="I2439" s="112" t="str">
        <f>IFERROR(VLOOKUP(Table1722[[#This Row],[Bukti]],Table13[#Data],11,FALSE),"")</f>
        <v/>
      </c>
    </row>
    <row r="2440" spans="1:9" ht="19.5" hidden="1" customHeight="1" x14ac:dyDescent="0.2">
      <c r="A2440" s="105" t="str">
        <f>IF(D2440=1,COUNTIF($D$10:D2440,1)," ")</f>
        <v xml:space="preserve"> </v>
      </c>
      <c r="B2440" s="106">
        <f>COPY!AR2432</f>
        <v>0</v>
      </c>
      <c r="C2440" s="107">
        <f>COPY!AC2432</f>
        <v>0</v>
      </c>
      <c r="D2440" s="107" t="str">
        <f>IF(LEN(Table1722[[#This Row],[Uraian]])&gt;2,1," ")</f>
        <v xml:space="preserve"> </v>
      </c>
      <c r="E2440" s="113" t="str">
        <f>IF(Table1722[[#This Row],[Lawan Transaksi]]="CV AGUNG KARYA",COUNTIF($I$10:I2440,"CV AGUNG KARYA")," ")</f>
        <v xml:space="preserve"> </v>
      </c>
      <c r="F2440" s="107" t="str">
        <f>IF(LEN(Table1722[[#This Row],[Uraian]])&gt;2,TRIM(RIGHT(SUBSTITUTE(TRIM(C2440)," ",REPT(" ",255)),255))," ")</f>
        <v xml:space="preserve"> </v>
      </c>
      <c r="G2440" s="110">
        <f>COPY!Z2432</f>
        <v>0</v>
      </c>
      <c r="H2440" s="111" t="str">
        <f>IFERROR(VLOOKUP(Table1722[[#This Row],[Bukti]],'Un nOTA'!$A$4:$K$5003,10,FALSE),"")</f>
        <v/>
      </c>
      <c r="I2440" s="112" t="str">
        <f>IFERROR(VLOOKUP(Table1722[[#This Row],[Bukti]],Table13[#Data],11,FALSE),"")</f>
        <v/>
      </c>
    </row>
    <row r="2441" spans="1:9" ht="19.5" hidden="1" customHeight="1" x14ac:dyDescent="0.2">
      <c r="A2441" s="105" t="str">
        <f>IF(D2441=1,COUNTIF($D$10:D2441,1)," ")</f>
        <v xml:space="preserve"> </v>
      </c>
      <c r="B2441" s="106">
        <f>COPY!AR2433</f>
        <v>0</v>
      </c>
      <c r="C2441" s="107">
        <f>COPY!AC2433</f>
        <v>0</v>
      </c>
      <c r="D2441" s="107" t="str">
        <f>IF(LEN(Table1722[[#This Row],[Uraian]])&gt;2,1," ")</f>
        <v xml:space="preserve"> </v>
      </c>
      <c r="E2441" s="113" t="str">
        <f>IF(Table1722[[#This Row],[Lawan Transaksi]]="CV AGUNG KARYA",COUNTIF($I$10:I2441,"CV AGUNG KARYA")," ")</f>
        <v xml:space="preserve"> </v>
      </c>
      <c r="F2441" s="107" t="str">
        <f>IF(LEN(Table1722[[#This Row],[Uraian]])&gt;2,TRIM(RIGHT(SUBSTITUTE(TRIM(C2441)," ",REPT(" ",255)),255))," ")</f>
        <v xml:space="preserve"> </v>
      </c>
      <c r="G2441" s="110">
        <f>COPY!Z2433</f>
        <v>0</v>
      </c>
      <c r="H2441" s="111" t="str">
        <f>IFERROR(VLOOKUP(Table1722[[#This Row],[Bukti]],'Un nOTA'!$A$4:$K$5003,10,FALSE),"")</f>
        <v/>
      </c>
      <c r="I2441" s="112" t="str">
        <f>IFERROR(VLOOKUP(Table1722[[#This Row],[Bukti]],Table13[#Data],11,FALSE),"")</f>
        <v/>
      </c>
    </row>
    <row r="2442" spans="1:9" ht="19.5" hidden="1" customHeight="1" x14ac:dyDescent="0.2">
      <c r="A2442" s="105" t="str">
        <f>IF(D2442=1,COUNTIF($D$10:D2442,1)," ")</f>
        <v xml:space="preserve"> </v>
      </c>
      <c r="B2442" s="106">
        <f>COPY!AR2434</f>
        <v>0</v>
      </c>
      <c r="C2442" s="107">
        <f>COPY!AC2434</f>
        <v>0</v>
      </c>
      <c r="D2442" s="107" t="str">
        <f>IF(LEN(Table1722[[#This Row],[Uraian]])&gt;2,1," ")</f>
        <v xml:space="preserve"> </v>
      </c>
      <c r="E2442" s="113" t="str">
        <f>IF(Table1722[[#This Row],[Lawan Transaksi]]="CV AGUNG KARYA",COUNTIF($I$10:I2442,"CV AGUNG KARYA")," ")</f>
        <v xml:space="preserve"> </v>
      </c>
      <c r="F2442" s="107" t="str">
        <f>IF(LEN(Table1722[[#This Row],[Uraian]])&gt;2,TRIM(RIGHT(SUBSTITUTE(TRIM(C2442)," ",REPT(" ",255)),255))," ")</f>
        <v xml:space="preserve"> </v>
      </c>
      <c r="G2442" s="110">
        <f>COPY!Z2434</f>
        <v>0</v>
      </c>
      <c r="H2442" s="111" t="str">
        <f>IFERROR(VLOOKUP(Table1722[[#This Row],[Bukti]],'Un nOTA'!$A$4:$K$5003,10,FALSE),"")</f>
        <v/>
      </c>
      <c r="I2442" s="112" t="str">
        <f>IFERROR(VLOOKUP(Table1722[[#This Row],[Bukti]],Table13[#Data],11,FALSE),"")</f>
        <v/>
      </c>
    </row>
    <row r="2443" spans="1:9" ht="19.5" hidden="1" customHeight="1" x14ac:dyDescent="0.2">
      <c r="A2443" s="105" t="str">
        <f>IF(D2443=1,COUNTIF($D$10:D2443,1)," ")</f>
        <v xml:space="preserve"> </v>
      </c>
      <c r="B2443" s="106">
        <f>COPY!AR2435</f>
        <v>0</v>
      </c>
      <c r="C2443" s="107">
        <f>COPY!AC2435</f>
        <v>0</v>
      </c>
      <c r="D2443" s="107" t="str">
        <f>IF(LEN(Table1722[[#This Row],[Uraian]])&gt;2,1," ")</f>
        <v xml:space="preserve"> </v>
      </c>
      <c r="E2443" s="113" t="str">
        <f>IF(Table1722[[#This Row],[Lawan Transaksi]]="CV AGUNG KARYA",COUNTIF($I$10:I2443,"CV AGUNG KARYA")," ")</f>
        <v xml:space="preserve"> </v>
      </c>
      <c r="F2443" s="107" t="str">
        <f>IF(LEN(Table1722[[#This Row],[Uraian]])&gt;2,TRIM(RIGHT(SUBSTITUTE(TRIM(C2443)," ",REPT(" ",255)),255))," ")</f>
        <v xml:space="preserve"> </v>
      </c>
      <c r="G2443" s="110">
        <f>COPY!Z2435</f>
        <v>0</v>
      </c>
      <c r="H2443" s="111" t="str">
        <f>IFERROR(VLOOKUP(Table1722[[#This Row],[Bukti]],'Un nOTA'!$A$4:$K$5003,10,FALSE),"")</f>
        <v/>
      </c>
      <c r="I2443" s="112" t="str">
        <f>IFERROR(VLOOKUP(Table1722[[#This Row],[Bukti]],Table13[#Data],11,FALSE),"")</f>
        <v/>
      </c>
    </row>
    <row r="2444" spans="1:9" ht="19.5" hidden="1" customHeight="1" x14ac:dyDescent="0.2">
      <c r="A2444" s="105" t="str">
        <f>IF(D2444=1,COUNTIF($D$10:D2444,1)," ")</f>
        <v xml:space="preserve"> </v>
      </c>
      <c r="B2444" s="106">
        <f>COPY!AR2436</f>
        <v>0</v>
      </c>
      <c r="C2444" s="107">
        <f>COPY!AC2436</f>
        <v>0</v>
      </c>
      <c r="D2444" s="107" t="str">
        <f>IF(LEN(Table1722[[#This Row],[Uraian]])&gt;2,1," ")</f>
        <v xml:space="preserve"> </v>
      </c>
      <c r="E2444" s="113" t="str">
        <f>IF(Table1722[[#This Row],[Lawan Transaksi]]="CV AGUNG KARYA",COUNTIF($I$10:I2444,"CV AGUNG KARYA")," ")</f>
        <v xml:space="preserve"> </v>
      </c>
      <c r="F2444" s="107" t="str">
        <f>IF(LEN(Table1722[[#This Row],[Uraian]])&gt;2,TRIM(RIGHT(SUBSTITUTE(TRIM(C2444)," ",REPT(" ",255)),255))," ")</f>
        <v xml:space="preserve"> </v>
      </c>
      <c r="G2444" s="110">
        <f>COPY!Z2436</f>
        <v>0</v>
      </c>
      <c r="H2444" s="111" t="str">
        <f>IFERROR(VLOOKUP(Table1722[[#This Row],[Bukti]],'Un nOTA'!$A$4:$K$5003,10,FALSE),"")</f>
        <v/>
      </c>
      <c r="I2444" s="112" t="str">
        <f>IFERROR(VLOOKUP(Table1722[[#This Row],[Bukti]],Table13[#Data],11,FALSE),"")</f>
        <v/>
      </c>
    </row>
    <row r="2445" spans="1:9" ht="19.5" hidden="1" customHeight="1" x14ac:dyDescent="0.2">
      <c r="A2445" s="105" t="str">
        <f>IF(D2445=1,COUNTIF($D$10:D2445,1)," ")</f>
        <v xml:space="preserve"> </v>
      </c>
      <c r="B2445" s="106">
        <f>COPY!AR2437</f>
        <v>0</v>
      </c>
      <c r="C2445" s="107">
        <f>COPY!AC2437</f>
        <v>0</v>
      </c>
      <c r="D2445" s="107" t="str">
        <f>IF(LEN(Table1722[[#This Row],[Uraian]])&gt;2,1," ")</f>
        <v xml:space="preserve"> </v>
      </c>
      <c r="E2445" s="113" t="str">
        <f>IF(Table1722[[#This Row],[Lawan Transaksi]]="CV AGUNG KARYA",COUNTIF($I$10:I2445,"CV AGUNG KARYA")," ")</f>
        <v xml:space="preserve"> </v>
      </c>
      <c r="F2445" s="107" t="str">
        <f>IF(LEN(Table1722[[#This Row],[Uraian]])&gt;2,TRIM(RIGHT(SUBSTITUTE(TRIM(C2445)," ",REPT(" ",255)),255))," ")</f>
        <v xml:space="preserve"> </v>
      </c>
      <c r="G2445" s="110">
        <f>COPY!Z2437</f>
        <v>0</v>
      </c>
      <c r="H2445" s="111" t="str">
        <f>IFERROR(VLOOKUP(Table1722[[#This Row],[Bukti]],'Un nOTA'!$A$4:$K$5003,10,FALSE),"")</f>
        <v/>
      </c>
      <c r="I2445" s="112" t="str">
        <f>IFERROR(VLOOKUP(Table1722[[#This Row],[Bukti]],Table13[#Data],11,FALSE),"")</f>
        <v/>
      </c>
    </row>
    <row r="2446" spans="1:9" ht="19.5" hidden="1" customHeight="1" x14ac:dyDescent="0.2">
      <c r="A2446" s="105" t="str">
        <f>IF(D2446=1,COUNTIF($D$10:D2446,1)," ")</f>
        <v xml:space="preserve"> </v>
      </c>
      <c r="B2446" s="106">
        <f>COPY!AR2438</f>
        <v>0</v>
      </c>
      <c r="C2446" s="107">
        <f>COPY!AC2438</f>
        <v>0</v>
      </c>
      <c r="D2446" s="107" t="str">
        <f>IF(LEN(Table1722[[#This Row],[Uraian]])&gt;2,1," ")</f>
        <v xml:space="preserve"> </v>
      </c>
      <c r="E2446" s="113" t="str">
        <f>IF(Table1722[[#This Row],[Lawan Transaksi]]="CV AGUNG KARYA",COUNTIF($I$10:I2446,"CV AGUNG KARYA")," ")</f>
        <v xml:space="preserve"> </v>
      </c>
      <c r="F2446" s="107" t="str">
        <f>IF(LEN(Table1722[[#This Row],[Uraian]])&gt;2,TRIM(RIGHT(SUBSTITUTE(TRIM(C2446)," ",REPT(" ",255)),255))," ")</f>
        <v xml:space="preserve"> </v>
      </c>
      <c r="G2446" s="110">
        <f>COPY!Z2438</f>
        <v>0</v>
      </c>
      <c r="H2446" s="111" t="str">
        <f>IFERROR(VLOOKUP(Table1722[[#This Row],[Bukti]],'Un nOTA'!$A$4:$K$5003,10,FALSE),"")</f>
        <v/>
      </c>
      <c r="I2446" s="112" t="str">
        <f>IFERROR(VLOOKUP(Table1722[[#This Row],[Bukti]],Table13[#Data],11,FALSE),"")</f>
        <v/>
      </c>
    </row>
    <row r="2447" spans="1:9" ht="19.5" hidden="1" customHeight="1" x14ac:dyDescent="0.2">
      <c r="A2447" s="105" t="str">
        <f>IF(D2447=1,COUNTIF($D$10:D2447,1)," ")</f>
        <v xml:space="preserve"> </v>
      </c>
      <c r="B2447" s="106">
        <f>COPY!AR2439</f>
        <v>0</v>
      </c>
      <c r="C2447" s="107">
        <f>COPY!AC2439</f>
        <v>0</v>
      </c>
      <c r="D2447" s="107" t="str">
        <f>IF(LEN(Table1722[[#This Row],[Uraian]])&gt;2,1," ")</f>
        <v xml:space="preserve"> </v>
      </c>
      <c r="E2447" s="113" t="str">
        <f>IF(Table1722[[#This Row],[Lawan Transaksi]]="CV AGUNG KARYA",COUNTIF($I$10:I2447,"CV AGUNG KARYA")," ")</f>
        <v xml:space="preserve"> </v>
      </c>
      <c r="F2447" s="107" t="str">
        <f>IF(LEN(Table1722[[#This Row],[Uraian]])&gt;2,TRIM(RIGHT(SUBSTITUTE(TRIM(C2447)," ",REPT(" ",255)),255))," ")</f>
        <v xml:space="preserve"> </v>
      </c>
      <c r="G2447" s="110">
        <f>COPY!Z2439</f>
        <v>0</v>
      </c>
      <c r="H2447" s="111" t="str">
        <f>IFERROR(VLOOKUP(Table1722[[#This Row],[Bukti]],'Un nOTA'!$A$4:$K$5003,10,FALSE),"")</f>
        <v/>
      </c>
      <c r="I2447" s="112" t="str">
        <f>IFERROR(VLOOKUP(Table1722[[#This Row],[Bukti]],Table13[#Data],11,FALSE),"")</f>
        <v/>
      </c>
    </row>
    <row r="2448" spans="1:9" ht="19.5" hidden="1" customHeight="1" x14ac:dyDescent="0.2">
      <c r="A2448" s="105" t="str">
        <f>IF(D2448=1,COUNTIF($D$10:D2448,1)," ")</f>
        <v xml:space="preserve"> </v>
      </c>
      <c r="B2448" s="106">
        <f>COPY!AR2440</f>
        <v>0</v>
      </c>
      <c r="C2448" s="107">
        <f>COPY!AC2440</f>
        <v>0</v>
      </c>
      <c r="D2448" s="107" t="str">
        <f>IF(LEN(Table1722[[#This Row],[Uraian]])&gt;2,1," ")</f>
        <v xml:space="preserve"> </v>
      </c>
      <c r="E2448" s="113" t="str">
        <f>IF(Table1722[[#This Row],[Lawan Transaksi]]="CV AGUNG KARYA",COUNTIF($I$10:I2448,"CV AGUNG KARYA")," ")</f>
        <v xml:space="preserve"> </v>
      </c>
      <c r="F2448" s="107" t="str">
        <f>IF(LEN(Table1722[[#This Row],[Uraian]])&gt;2,TRIM(RIGHT(SUBSTITUTE(TRIM(C2448)," ",REPT(" ",255)),255))," ")</f>
        <v xml:space="preserve"> </v>
      </c>
      <c r="G2448" s="110">
        <f>COPY!Z2440</f>
        <v>0</v>
      </c>
      <c r="H2448" s="111" t="str">
        <f>IFERROR(VLOOKUP(Table1722[[#This Row],[Bukti]],'Un nOTA'!$A$4:$K$5003,10,FALSE),"")</f>
        <v/>
      </c>
      <c r="I2448" s="112" t="str">
        <f>IFERROR(VLOOKUP(Table1722[[#This Row],[Bukti]],Table13[#Data],11,FALSE),"")</f>
        <v/>
      </c>
    </row>
    <row r="2449" spans="1:9" ht="19.5" hidden="1" customHeight="1" x14ac:dyDescent="0.2">
      <c r="A2449" s="105" t="str">
        <f>IF(D2449=1,COUNTIF($D$10:D2449,1)," ")</f>
        <v xml:space="preserve"> </v>
      </c>
      <c r="B2449" s="106">
        <f>COPY!AR2441</f>
        <v>0</v>
      </c>
      <c r="C2449" s="107">
        <f>COPY!AC2441</f>
        <v>0</v>
      </c>
      <c r="D2449" s="107" t="str">
        <f>IF(LEN(Table1722[[#This Row],[Uraian]])&gt;2,1," ")</f>
        <v xml:space="preserve"> </v>
      </c>
      <c r="E2449" s="113" t="str">
        <f>IF(Table1722[[#This Row],[Lawan Transaksi]]="CV AGUNG KARYA",COUNTIF($I$10:I2449,"CV AGUNG KARYA")," ")</f>
        <v xml:space="preserve"> </v>
      </c>
      <c r="F2449" s="107" t="str">
        <f>IF(LEN(Table1722[[#This Row],[Uraian]])&gt;2,TRIM(RIGHT(SUBSTITUTE(TRIM(C2449)," ",REPT(" ",255)),255))," ")</f>
        <v xml:space="preserve"> </v>
      </c>
      <c r="G2449" s="110">
        <f>COPY!Z2441</f>
        <v>0</v>
      </c>
      <c r="H2449" s="111" t="str">
        <f>IFERROR(VLOOKUP(Table1722[[#This Row],[Bukti]],'Un nOTA'!$A$4:$K$5003,10,FALSE),"")</f>
        <v/>
      </c>
      <c r="I2449" s="112" t="str">
        <f>IFERROR(VLOOKUP(Table1722[[#This Row],[Bukti]],Table13[#Data],11,FALSE),"")</f>
        <v/>
      </c>
    </row>
    <row r="2450" spans="1:9" ht="19.5" hidden="1" customHeight="1" x14ac:dyDescent="0.2">
      <c r="A2450" s="105" t="str">
        <f>IF(D2450=1,COUNTIF($D$10:D2450,1)," ")</f>
        <v xml:space="preserve"> </v>
      </c>
      <c r="B2450" s="106">
        <f>COPY!AR2442</f>
        <v>0</v>
      </c>
      <c r="C2450" s="107">
        <f>COPY!AC2442</f>
        <v>0</v>
      </c>
      <c r="D2450" s="107" t="str">
        <f>IF(LEN(Table1722[[#This Row],[Uraian]])&gt;2,1," ")</f>
        <v xml:space="preserve"> </v>
      </c>
      <c r="E2450" s="113" t="str">
        <f>IF(Table1722[[#This Row],[Lawan Transaksi]]="CV AGUNG KARYA",COUNTIF($I$10:I2450,"CV AGUNG KARYA")," ")</f>
        <v xml:space="preserve"> </v>
      </c>
      <c r="F2450" s="107" t="str">
        <f>IF(LEN(Table1722[[#This Row],[Uraian]])&gt;2,TRIM(RIGHT(SUBSTITUTE(TRIM(C2450)," ",REPT(" ",255)),255))," ")</f>
        <v xml:space="preserve"> </v>
      </c>
      <c r="G2450" s="110">
        <f>COPY!Z2442</f>
        <v>0</v>
      </c>
      <c r="H2450" s="111" t="str">
        <f>IFERROR(VLOOKUP(Table1722[[#This Row],[Bukti]],'Un nOTA'!$A$4:$K$5003,10,FALSE),"")</f>
        <v/>
      </c>
      <c r="I2450" s="112" t="str">
        <f>IFERROR(VLOOKUP(Table1722[[#This Row],[Bukti]],Table13[#Data],11,FALSE),"")</f>
        <v/>
      </c>
    </row>
    <row r="2451" spans="1:9" ht="19.5" hidden="1" customHeight="1" x14ac:dyDescent="0.2">
      <c r="A2451" s="105" t="str">
        <f>IF(D2451=1,COUNTIF($D$10:D2451,1)," ")</f>
        <v xml:space="preserve"> </v>
      </c>
      <c r="B2451" s="106">
        <f>COPY!AR2443</f>
        <v>0</v>
      </c>
      <c r="C2451" s="107">
        <f>COPY!AC2443</f>
        <v>0</v>
      </c>
      <c r="D2451" s="107" t="str">
        <f>IF(LEN(Table1722[[#This Row],[Uraian]])&gt;2,1," ")</f>
        <v xml:space="preserve"> </v>
      </c>
      <c r="E2451" s="113" t="str">
        <f>IF(Table1722[[#This Row],[Lawan Transaksi]]="CV AGUNG KARYA",COUNTIF($I$10:I2451,"CV AGUNG KARYA")," ")</f>
        <v xml:space="preserve"> </v>
      </c>
      <c r="F2451" s="107" t="str">
        <f>IF(LEN(Table1722[[#This Row],[Uraian]])&gt;2,TRIM(RIGHT(SUBSTITUTE(TRIM(C2451)," ",REPT(" ",255)),255))," ")</f>
        <v xml:space="preserve"> </v>
      </c>
      <c r="G2451" s="110">
        <f>COPY!Z2443</f>
        <v>0</v>
      </c>
      <c r="H2451" s="111" t="str">
        <f>IFERROR(VLOOKUP(Table1722[[#This Row],[Bukti]],'Un nOTA'!$A$4:$K$5003,10,FALSE),"")</f>
        <v/>
      </c>
      <c r="I2451" s="112" t="str">
        <f>IFERROR(VLOOKUP(Table1722[[#This Row],[Bukti]],Table13[#Data],11,FALSE),"")</f>
        <v/>
      </c>
    </row>
    <row r="2452" spans="1:9" ht="19.5" hidden="1" customHeight="1" x14ac:dyDescent="0.2">
      <c r="A2452" s="105" t="str">
        <f>IF(D2452=1,COUNTIF($D$10:D2452,1)," ")</f>
        <v xml:space="preserve"> </v>
      </c>
      <c r="B2452" s="106">
        <f>COPY!AR2444</f>
        <v>0</v>
      </c>
      <c r="C2452" s="107">
        <f>COPY!AC2444</f>
        <v>0</v>
      </c>
      <c r="D2452" s="107" t="str">
        <f>IF(LEN(Table1722[[#This Row],[Uraian]])&gt;2,1," ")</f>
        <v xml:space="preserve"> </v>
      </c>
      <c r="E2452" s="113" t="str">
        <f>IF(Table1722[[#This Row],[Lawan Transaksi]]="CV AGUNG KARYA",COUNTIF($I$10:I2452,"CV AGUNG KARYA")," ")</f>
        <v xml:space="preserve"> </v>
      </c>
      <c r="F2452" s="107" t="str">
        <f>IF(LEN(Table1722[[#This Row],[Uraian]])&gt;2,TRIM(RIGHT(SUBSTITUTE(TRIM(C2452)," ",REPT(" ",255)),255))," ")</f>
        <v xml:space="preserve"> </v>
      </c>
      <c r="G2452" s="110">
        <f>COPY!Z2444</f>
        <v>0</v>
      </c>
      <c r="H2452" s="111" t="str">
        <f>IFERROR(VLOOKUP(Table1722[[#This Row],[Bukti]],'Un nOTA'!$A$4:$K$5003,10,FALSE),"")</f>
        <v/>
      </c>
      <c r="I2452" s="112" t="str">
        <f>IFERROR(VLOOKUP(Table1722[[#This Row],[Bukti]],Table13[#Data],11,FALSE),"")</f>
        <v/>
      </c>
    </row>
    <row r="2453" spans="1:9" ht="19.5" hidden="1" customHeight="1" x14ac:dyDescent="0.2">
      <c r="A2453" s="105" t="str">
        <f>IF(D2453=1,COUNTIF($D$10:D2453,1)," ")</f>
        <v xml:space="preserve"> </v>
      </c>
      <c r="B2453" s="106">
        <f>COPY!AR2445</f>
        <v>0</v>
      </c>
      <c r="C2453" s="107">
        <f>COPY!AC2445</f>
        <v>0</v>
      </c>
      <c r="D2453" s="107" t="str">
        <f>IF(LEN(Table1722[[#This Row],[Uraian]])&gt;2,1," ")</f>
        <v xml:space="preserve"> </v>
      </c>
      <c r="E2453" s="113" t="str">
        <f>IF(Table1722[[#This Row],[Lawan Transaksi]]="CV AGUNG KARYA",COUNTIF($I$10:I2453,"CV AGUNG KARYA")," ")</f>
        <v xml:space="preserve"> </v>
      </c>
      <c r="F2453" s="107" t="str">
        <f>IF(LEN(Table1722[[#This Row],[Uraian]])&gt;2,TRIM(RIGHT(SUBSTITUTE(TRIM(C2453)," ",REPT(" ",255)),255))," ")</f>
        <v xml:space="preserve"> </v>
      </c>
      <c r="G2453" s="110">
        <f>COPY!Z2445</f>
        <v>0</v>
      </c>
      <c r="H2453" s="111" t="str">
        <f>IFERROR(VLOOKUP(Table1722[[#This Row],[Bukti]],'Un nOTA'!$A$4:$K$5003,10,FALSE),"")</f>
        <v/>
      </c>
      <c r="I2453" s="112" t="str">
        <f>IFERROR(VLOOKUP(Table1722[[#This Row],[Bukti]],Table13[#Data],11,FALSE),"")</f>
        <v/>
      </c>
    </row>
    <row r="2454" spans="1:9" ht="19.5" hidden="1" customHeight="1" x14ac:dyDescent="0.2">
      <c r="A2454" s="105" t="str">
        <f>IF(D2454=1,COUNTIF($D$10:D2454,1)," ")</f>
        <v xml:space="preserve"> </v>
      </c>
      <c r="B2454" s="106">
        <f>COPY!AR2446</f>
        <v>0</v>
      </c>
      <c r="C2454" s="107">
        <f>COPY!AC2446</f>
        <v>0</v>
      </c>
      <c r="D2454" s="107" t="str">
        <f>IF(LEN(Table1722[[#This Row],[Uraian]])&gt;2,1," ")</f>
        <v xml:space="preserve"> </v>
      </c>
      <c r="E2454" s="113" t="str">
        <f>IF(Table1722[[#This Row],[Lawan Transaksi]]="CV AGUNG KARYA",COUNTIF($I$10:I2454,"CV AGUNG KARYA")," ")</f>
        <v xml:space="preserve"> </v>
      </c>
      <c r="F2454" s="107" t="str">
        <f>IF(LEN(Table1722[[#This Row],[Uraian]])&gt;2,TRIM(RIGHT(SUBSTITUTE(TRIM(C2454)," ",REPT(" ",255)),255))," ")</f>
        <v xml:space="preserve"> </v>
      </c>
      <c r="G2454" s="110">
        <f>COPY!Z2446</f>
        <v>0</v>
      </c>
      <c r="H2454" s="111" t="str">
        <f>IFERROR(VLOOKUP(Table1722[[#This Row],[Bukti]],'Un nOTA'!$A$4:$K$5003,10,FALSE),"")</f>
        <v/>
      </c>
      <c r="I2454" s="112" t="str">
        <f>IFERROR(VLOOKUP(Table1722[[#This Row],[Bukti]],Table13[#Data],11,FALSE),"")</f>
        <v/>
      </c>
    </row>
    <row r="2455" spans="1:9" ht="19.5" hidden="1" customHeight="1" x14ac:dyDescent="0.2">
      <c r="A2455" s="105" t="str">
        <f>IF(D2455=1,COUNTIF($D$10:D2455,1)," ")</f>
        <v xml:space="preserve"> </v>
      </c>
      <c r="B2455" s="106">
        <f>COPY!AR2447</f>
        <v>0</v>
      </c>
      <c r="C2455" s="107">
        <f>COPY!AC2447</f>
        <v>0</v>
      </c>
      <c r="D2455" s="107" t="str">
        <f>IF(LEN(Table1722[[#This Row],[Uraian]])&gt;2,1," ")</f>
        <v xml:space="preserve"> </v>
      </c>
      <c r="E2455" s="113" t="str">
        <f>IF(Table1722[[#This Row],[Lawan Transaksi]]="CV AGUNG KARYA",COUNTIF($I$10:I2455,"CV AGUNG KARYA")," ")</f>
        <v xml:space="preserve"> </v>
      </c>
      <c r="F2455" s="107" t="str">
        <f>IF(LEN(Table1722[[#This Row],[Uraian]])&gt;2,TRIM(RIGHT(SUBSTITUTE(TRIM(C2455)," ",REPT(" ",255)),255))," ")</f>
        <v xml:space="preserve"> </v>
      </c>
      <c r="G2455" s="110">
        <f>COPY!Z2447</f>
        <v>0</v>
      </c>
      <c r="H2455" s="111" t="str">
        <f>IFERROR(VLOOKUP(Table1722[[#This Row],[Bukti]],'Un nOTA'!$A$4:$K$5003,10,FALSE),"")</f>
        <v/>
      </c>
      <c r="I2455" s="112" t="str">
        <f>IFERROR(VLOOKUP(Table1722[[#This Row],[Bukti]],Table13[#Data],11,FALSE),"")</f>
        <v/>
      </c>
    </row>
    <row r="2456" spans="1:9" ht="19.5" hidden="1" customHeight="1" x14ac:dyDescent="0.2">
      <c r="A2456" s="105" t="str">
        <f>IF(D2456=1,COUNTIF($D$10:D2456,1)," ")</f>
        <v xml:space="preserve"> </v>
      </c>
      <c r="B2456" s="106">
        <f>COPY!AR2448</f>
        <v>0</v>
      </c>
      <c r="C2456" s="107">
        <f>COPY!AC2448</f>
        <v>0</v>
      </c>
      <c r="D2456" s="107" t="str">
        <f>IF(LEN(Table1722[[#This Row],[Uraian]])&gt;2,1," ")</f>
        <v xml:space="preserve"> </v>
      </c>
      <c r="E2456" s="113" t="str">
        <f>IF(Table1722[[#This Row],[Lawan Transaksi]]="CV AGUNG KARYA",COUNTIF($I$10:I2456,"CV AGUNG KARYA")," ")</f>
        <v xml:space="preserve"> </v>
      </c>
      <c r="F2456" s="107" t="str">
        <f>IF(LEN(Table1722[[#This Row],[Uraian]])&gt;2,TRIM(RIGHT(SUBSTITUTE(TRIM(C2456)," ",REPT(" ",255)),255))," ")</f>
        <v xml:space="preserve"> </v>
      </c>
      <c r="G2456" s="110">
        <f>COPY!Z2448</f>
        <v>0</v>
      </c>
      <c r="H2456" s="111" t="str">
        <f>IFERROR(VLOOKUP(Table1722[[#This Row],[Bukti]],'Un nOTA'!$A$4:$K$5003,10,FALSE),"")</f>
        <v/>
      </c>
      <c r="I2456" s="112" t="str">
        <f>IFERROR(VLOOKUP(Table1722[[#This Row],[Bukti]],Table13[#Data],11,FALSE),"")</f>
        <v/>
      </c>
    </row>
    <row r="2457" spans="1:9" ht="19.5" hidden="1" customHeight="1" x14ac:dyDescent="0.2">
      <c r="A2457" s="105" t="str">
        <f>IF(D2457=1,COUNTIF($D$10:D2457,1)," ")</f>
        <v xml:space="preserve"> </v>
      </c>
      <c r="B2457" s="106">
        <f>COPY!AR2449</f>
        <v>0</v>
      </c>
      <c r="C2457" s="107">
        <f>COPY!AC2449</f>
        <v>0</v>
      </c>
      <c r="D2457" s="107" t="str">
        <f>IF(LEN(Table1722[[#This Row],[Uraian]])&gt;2,1," ")</f>
        <v xml:space="preserve"> </v>
      </c>
      <c r="E2457" s="113" t="str">
        <f>IF(Table1722[[#This Row],[Lawan Transaksi]]="CV AGUNG KARYA",COUNTIF($I$10:I2457,"CV AGUNG KARYA")," ")</f>
        <v xml:space="preserve"> </v>
      </c>
      <c r="F2457" s="107" t="str">
        <f>IF(LEN(Table1722[[#This Row],[Uraian]])&gt;2,TRIM(RIGHT(SUBSTITUTE(TRIM(C2457)," ",REPT(" ",255)),255))," ")</f>
        <v xml:space="preserve"> </v>
      </c>
      <c r="G2457" s="110">
        <f>COPY!Z2449</f>
        <v>0</v>
      </c>
      <c r="H2457" s="111" t="str">
        <f>IFERROR(VLOOKUP(Table1722[[#This Row],[Bukti]],'Un nOTA'!$A$4:$K$5003,10,FALSE),"")</f>
        <v/>
      </c>
      <c r="I2457" s="112" t="str">
        <f>IFERROR(VLOOKUP(Table1722[[#This Row],[Bukti]],Table13[#Data],11,FALSE),"")</f>
        <v/>
      </c>
    </row>
    <row r="2458" spans="1:9" ht="19.5" hidden="1" customHeight="1" x14ac:dyDescent="0.2">
      <c r="A2458" s="105" t="str">
        <f>IF(D2458=1,COUNTIF($D$10:D2458,1)," ")</f>
        <v xml:space="preserve"> </v>
      </c>
      <c r="B2458" s="106">
        <f>COPY!AR2450</f>
        <v>0</v>
      </c>
      <c r="C2458" s="107">
        <f>COPY!AC2450</f>
        <v>0</v>
      </c>
      <c r="D2458" s="107" t="str">
        <f>IF(LEN(Table1722[[#This Row],[Uraian]])&gt;2,1," ")</f>
        <v xml:space="preserve"> </v>
      </c>
      <c r="E2458" s="113" t="str">
        <f>IF(Table1722[[#This Row],[Lawan Transaksi]]="CV AGUNG KARYA",COUNTIF($I$10:I2458,"CV AGUNG KARYA")," ")</f>
        <v xml:space="preserve"> </v>
      </c>
      <c r="F2458" s="107" t="str">
        <f>IF(LEN(Table1722[[#This Row],[Uraian]])&gt;2,TRIM(RIGHT(SUBSTITUTE(TRIM(C2458)," ",REPT(" ",255)),255))," ")</f>
        <v xml:space="preserve"> </v>
      </c>
      <c r="G2458" s="110">
        <f>COPY!Z2450</f>
        <v>0</v>
      </c>
      <c r="H2458" s="111" t="str">
        <f>IFERROR(VLOOKUP(Table1722[[#This Row],[Bukti]],'Un nOTA'!$A$4:$K$5003,10,FALSE),"")</f>
        <v/>
      </c>
      <c r="I2458" s="112" t="str">
        <f>IFERROR(VLOOKUP(Table1722[[#This Row],[Bukti]],Table13[#Data],11,FALSE),"")</f>
        <v/>
      </c>
    </row>
    <row r="2459" spans="1:9" ht="19.5" hidden="1" customHeight="1" x14ac:dyDescent="0.2">
      <c r="A2459" s="105" t="str">
        <f>IF(D2459=1,COUNTIF($D$10:D2459,1)," ")</f>
        <v xml:space="preserve"> </v>
      </c>
      <c r="B2459" s="106">
        <f>COPY!AR2451</f>
        <v>0</v>
      </c>
      <c r="C2459" s="107">
        <f>COPY!AC2451</f>
        <v>0</v>
      </c>
      <c r="D2459" s="107" t="str">
        <f>IF(LEN(Table1722[[#This Row],[Uraian]])&gt;2,1," ")</f>
        <v xml:space="preserve"> </v>
      </c>
      <c r="E2459" s="113" t="str">
        <f>IF(Table1722[[#This Row],[Lawan Transaksi]]="CV AGUNG KARYA",COUNTIF($I$10:I2459,"CV AGUNG KARYA")," ")</f>
        <v xml:space="preserve"> </v>
      </c>
      <c r="F2459" s="107" t="str">
        <f>IF(LEN(Table1722[[#This Row],[Uraian]])&gt;2,TRIM(RIGHT(SUBSTITUTE(TRIM(C2459)," ",REPT(" ",255)),255))," ")</f>
        <v xml:space="preserve"> </v>
      </c>
      <c r="G2459" s="110">
        <f>COPY!Z2451</f>
        <v>0</v>
      </c>
      <c r="H2459" s="111" t="str">
        <f>IFERROR(VLOOKUP(Table1722[[#This Row],[Bukti]],'Un nOTA'!$A$4:$K$5003,10,FALSE),"")</f>
        <v/>
      </c>
      <c r="I2459" s="112" t="str">
        <f>IFERROR(VLOOKUP(Table1722[[#This Row],[Bukti]],Table13[#Data],11,FALSE),"")</f>
        <v/>
      </c>
    </row>
    <row r="2460" spans="1:9" ht="19.5" hidden="1" customHeight="1" x14ac:dyDescent="0.2">
      <c r="A2460" s="105" t="str">
        <f>IF(D2460=1,COUNTIF($D$10:D2460,1)," ")</f>
        <v xml:space="preserve"> </v>
      </c>
      <c r="B2460" s="106">
        <f>COPY!AR2452</f>
        <v>0</v>
      </c>
      <c r="C2460" s="107">
        <f>COPY!AC2452</f>
        <v>0</v>
      </c>
      <c r="D2460" s="107" t="str">
        <f>IF(LEN(Table1722[[#This Row],[Uraian]])&gt;2,1," ")</f>
        <v xml:space="preserve"> </v>
      </c>
      <c r="E2460" s="113" t="str">
        <f>IF(Table1722[[#This Row],[Lawan Transaksi]]="CV AGUNG KARYA",COUNTIF($I$10:I2460,"CV AGUNG KARYA")," ")</f>
        <v xml:space="preserve"> </v>
      </c>
      <c r="F2460" s="107" t="str">
        <f>IF(LEN(Table1722[[#This Row],[Uraian]])&gt;2,TRIM(RIGHT(SUBSTITUTE(TRIM(C2460)," ",REPT(" ",255)),255))," ")</f>
        <v xml:space="preserve"> </v>
      </c>
      <c r="G2460" s="110">
        <f>COPY!Z2452</f>
        <v>0</v>
      </c>
      <c r="H2460" s="111" t="str">
        <f>IFERROR(VLOOKUP(Table1722[[#This Row],[Bukti]],'Un nOTA'!$A$4:$K$5003,10,FALSE),"")</f>
        <v/>
      </c>
      <c r="I2460" s="112" t="str">
        <f>IFERROR(VLOOKUP(Table1722[[#This Row],[Bukti]],Table13[#Data],11,FALSE),"")</f>
        <v/>
      </c>
    </row>
    <row r="2461" spans="1:9" ht="19.5" hidden="1" customHeight="1" x14ac:dyDescent="0.2">
      <c r="A2461" s="105" t="str">
        <f>IF(D2461=1,COUNTIF($D$10:D2461,1)," ")</f>
        <v xml:space="preserve"> </v>
      </c>
      <c r="B2461" s="106">
        <f>COPY!AR2453</f>
        <v>0</v>
      </c>
      <c r="C2461" s="107">
        <f>COPY!AC2453</f>
        <v>0</v>
      </c>
      <c r="D2461" s="107" t="str">
        <f>IF(LEN(Table1722[[#This Row],[Uraian]])&gt;2,1," ")</f>
        <v xml:space="preserve"> </v>
      </c>
      <c r="E2461" s="113" t="str">
        <f>IF(Table1722[[#This Row],[Lawan Transaksi]]="CV AGUNG KARYA",COUNTIF($I$10:I2461,"CV AGUNG KARYA")," ")</f>
        <v xml:space="preserve"> </v>
      </c>
      <c r="F2461" s="107" t="str">
        <f>IF(LEN(Table1722[[#This Row],[Uraian]])&gt;2,TRIM(RIGHT(SUBSTITUTE(TRIM(C2461)," ",REPT(" ",255)),255))," ")</f>
        <v xml:space="preserve"> </v>
      </c>
      <c r="G2461" s="110">
        <f>COPY!Z2453</f>
        <v>0</v>
      </c>
      <c r="H2461" s="111" t="str">
        <f>IFERROR(VLOOKUP(Table1722[[#This Row],[Bukti]],'Un nOTA'!$A$4:$K$5003,10,FALSE),"")</f>
        <v/>
      </c>
      <c r="I2461" s="112" t="str">
        <f>IFERROR(VLOOKUP(Table1722[[#This Row],[Bukti]],Table13[#Data],11,FALSE),"")</f>
        <v/>
      </c>
    </row>
    <row r="2462" spans="1:9" ht="19.5" hidden="1" customHeight="1" x14ac:dyDescent="0.2">
      <c r="A2462" s="105" t="str">
        <f>IF(D2462=1,COUNTIF($D$10:D2462,1)," ")</f>
        <v xml:space="preserve"> </v>
      </c>
      <c r="B2462" s="106">
        <f>COPY!AR2454</f>
        <v>0</v>
      </c>
      <c r="C2462" s="107">
        <f>COPY!AC2454</f>
        <v>0</v>
      </c>
      <c r="D2462" s="107" t="str">
        <f>IF(LEN(Table1722[[#This Row],[Uraian]])&gt;2,1," ")</f>
        <v xml:space="preserve"> </v>
      </c>
      <c r="E2462" s="113" t="str">
        <f>IF(Table1722[[#This Row],[Lawan Transaksi]]="CV AGUNG KARYA",COUNTIF($I$10:I2462,"CV AGUNG KARYA")," ")</f>
        <v xml:space="preserve"> </v>
      </c>
      <c r="F2462" s="107" t="str">
        <f>IF(LEN(Table1722[[#This Row],[Uraian]])&gt;2,TRIM(RIGHT(SUBSTITUTE(TRIM(C2462)," ",REPT(" ",255)),255))," ")</f>
        <v xml:space="preserve"> </v>
      </c>
      <c r="G2462" s="110">
        <f>COPY!Z2454</f>
        <v>0</v>
      </c>
      <c r="H2462" s="111" t="str">
        <f>IFERROR(VLOOKUP(Table1722[[#This Row],[Bukti]],'Un nOTA'!$A$4:$K$5003,10,FALSE),"")</f>
        <v/>
      </c>
      <c r="I2462" s="112" t="str">
        <f>IFERROR(VLOOKUP(Table1722[[#This Row],[Bukti]],Table13[#Data],11,FALSE),"")</f>
        <v/>
      </c>
    </row>
    <row r="2463" spans="1:9" ht="19.5" hidden="1" customHeight="1" x14ac:dyDescent="0.2">
      <c r="A2463" s="105" t="str">
        <f>IF(D2463=1,COUNTIF($D$10:D2463,1)," ")</f>
        <v xml:space="preserve"> </v>
      </c>
      <c r="B2463" s="106">
        <f>COPY!AR2455</f>
        <v>0</v>
      </c>
      <c r="C2463" s="107">
        <f>COPY!AC2455</f>
        <v>0</v>
      </c>
      <c r="D2463" s="107" t="str">
        <f>IF(LEN(Table1722[[#This Row],[Uraian]])&gt;2,1," ")</f>
        <v xml:space="preserve"> </v>
      </c>
      <c r="E2463" s="113" t="str">
        <f>IF(Table1722[[#This Row],[Lawan Transaksi]]="CV AGUNG KARYA",COUNTIF($I$10:I2463,"CV AGUNG KARYA")," ")</f>
        <v xml:space="preserve"> </v>
      </c>
      <c r="F2463" s="107" t="str">
        <f>IF(LEN(Table1722[[#This Row],[Uraian]])&gt;2,TRIM(RIGHT(SUBSTITUTE(TRIM(C2463)," ",REPT(" ",255)),255))," ")</f>
        <v xml:space="preserve"> </v>
      </c>
      <c r="G2463" s="110">
        <f>COPY!Z2455</f>
        <v>0</v>
      </c>
      <c r="H2463" s="111" t="str">
        <f>IFERROR(VLOOKUP(Table1722[[#This Row],[Bukti]],'Un nOTA'!$A$4:$K$5003,10,FALSE),"")</f>
        <v/>
      </c>
      <c r="I2463" s="112" t="str">
        <f>IFERROR(VLOOKUP(Table1722[[#This Row],[Bukti]],Table13[#Data],11,FALSE),"")</f>
        <v/>
      </c>
    </row>
    <row r="2464" spans="1:9" ht="19.5" hidden="1" customHeight="1" x14ac:dyDescent="0.2">
      <c r="A2464" s="105" t="str">
        <f>IF(D2464=1,COUNTIF($D$10:D2464,1)," ")</f>
        <v xml:space="preserve"> </v>
      </c>
      <c r="B2464" s="106">
        <f>COPY!AR2456</f>
        <v>0</v>
      </c>
      <c r="C2464" s="107">
        <f>COPY!AC2456</f>
        <v>0</v>
      </c>
      <c r="D2464" s="107" t="str">
        <f>IF(LEN(Table1722[[#This Row],[Uraian]])&gt;2,1," ")</f>
        <v xml:space="preserve"> </v>
      </c>
      <c r="E2464" s="113" t="str">
        <f>IF(Table1722[[#This Row],[Lawan Transaksi]]="CV AGUNG KARYA",COUNTIF($I$10:I2464,"CV AGUNG KARYA")," ")</f>
        <v xml:space="preserve"> </v>
      </c>
      <c r="F2464" s="107" t="str">
        <f>IF(LEN(Table1722[[#This Row],[Uraian]])&gt;2,TRIM(RIGHT(SUBSTITUTE(TRIM(C2464)," ",REPT(" ",255)),255))," ")</f>
        <v xml:space="preserve"> </v>
      </c>
      <c r="G2464" s="110">
        <f>COPY!Z2456</f>
        <v>0</v>
      </c>
      <c r="H2464" s="111" t="str">
        <f>IFERROR(VLOOKUP(Table1722[[#This Row],[Bukti]],'Un nOTA'!$A$4:$K$5003,10,FALSE),"")</f>
        <v/>
      </c>
      <c r="I2464" s="112" t="str">
        <f>IFERROR(VLOOKUP(Table1722[[#This Row],[Bukti]],Table13[#Data],11,FALSE),"")</f>
        <v/>
      </c>
    </row>
    <row r="2465" spans="1:9" ht="19.5" hidden="1" customHeight="1" x14ac:dyDescent="0.2">
      <c r="A2465" s="105" t="str">
        <f>IF(D2465=1,COUNTIF($D$10:D2465,1)," ")</f>
        <v xml:space="preserve"> </v>
      </c>
      <c r="B2465" s="106">
        <f>COPY!AR2457</f>
        <v>0</v>
      </c>
      <c r="C2465" s="107">
        <f>COPY!AC2457</f>
        <v>0</v>
      </c>
      <c r="D2465" s="107" t="str">
        <f>IF(LEN(Table1722[[#This Row],[Uraian]])&gt;2,1," ")</f>
        <v xml:space="preserve"> </v>
      </c>
      <c r="E2465" s="113" t="str">
        <f>IF(Table1722[[#This Row],[Lawan Transaksi]]="CV AGUNG KARYA",COUNTIF($I$10:I2465,"CV AGUNG KARYA")," ")</f>
        <v xml:space="preserve"> </v>
      </c>
      <c r="F2465" s="107" t="str">
        <f>IF(LEN(Table1722[[#This Row],[Uraian]])&gt;2,TRIM(RIGHT(SUBSTITUTE(TRIM(C2465)," ",REPT(" ",255)),255))," ")</f>
        <v xml:space="preserve"> </v>
      </c>
      <c r="G2465" s="110">
        <f>COPY!Z2457</f>
        <v>0</v>
      </c>
      <c r="H2465" s="111" t="str">
        <f>IFERROR(VLOOKUP(Table1722[[#This Row],[Bukti]],'Un nOTA'!$A$4:$K$5003,10,FALSE),"")</f>
        <v/>
      </c>
      <c r="I2465" s="112" t="str">
        <f>IFERROR(VLOOKUP(Table1722[[#This Row],[Bukti]],Table13[#Data],11,FALSE),"")</f>
        <v/>
      </c>
    </row>
    <row r="2466" spans="1:9" ht="19.5" hidden="1" customHeight="1" x14ac:dyDescent="0.2">
      <c r="A2466" s="105" t="str">
        <f>IF(D2466=1,COUNTIF($D$10:D2466,1)," ")</f>
        <v xml:space="preserve"> </v>
      </c>
      <c r="B2466" s="106">
        <f>COPY!AR2458</f>
        <v>0</v>
      </c>
      <c r="C2466" s="107">
        <f>COPY!AC2458</f>
        <v>0</v>
      </c>
      <c r="D2466" s="107" t="str">
        <f>IF(LEN(Table1722[[#This Row],[Uraian]])&gt;2,1," ")</f>
        <v xml:space="preserve"> </v>
      </c>
      <c r="E2466" s="113" t="str">
        <f>IF(Table1722[[#This Row],[Lawan Transaksi]]="CV AGUNG KARYA",COUNTIF($I$10:I2466,"CV AGUNG KARYA")," ")</f>
        <v xml:space="preserve"> </v>
      </c>
      <c r="F2466" s="107" t="str">
        <f>IF(LEN(Table1722[[#This Row],[Uraian]])&gt;2,TRIM(RIGHT(SUBSTITUTE(TRIM(C2466)," ",REPT(" ",255)),255))," ")</f>
        <v xml:space="preserve"> </v>
      </c>
      <c r="G2466" s="110">
        <f>COPY!Z2458</f>
        <v>0</v>
      </c>
      <c r="H2466" s="111" t="str">
        <f>IFERROR(VLOOKUP(Table1722[[#This Row],[Bukti]],'Un nOTA'!$A$4:$K$5003,10,FALSE),"")</f>
        <v/>
      </c>
      <c r="I2466" s="112" t="str">
        <f>IFERROR(VLOOKUP(Table1722[[#This Row],[Bukti]],Table13[#Data],11,FALSE),"")</f>
        <v/>
      </c>
    </row>
    <row r="2467" spans="1:9" ht="19.5" hidden="1" customHeight="1" x14ac:dyDescent="0.2">
      <c r="A2467" s="105" t="str">
        <f>IF(D2467=1,COUNTIF($D$10:D2467,1)," ")</f>
        <v xml:space="preserve"> </v>
      </c>
      <c r="B2467" s="106">
        <f>COPY!AR2459</f>
        <v>0</v>
      </c>
      <c r="C2467" s="107">
        <f>COPY!AC2459</f>
        <v>0</v>
      </c>
      <c r="D2467" s="107" t="str">
        <f>IF(LEN(Table1722[[#This Row],[Uraian]])&gt;2,1," ")</f>
        <v xml:space="preserve"> </v>
      </c>
      <c r="E2467" s="113" t="str">
        <f>IF(Table1722[[#This Row],[Lawan Transaksi]]="CV AGUNG KARYA",COUNTIF($I$10:I2467,"CV AGUNG KARYA")," ")</f>
        <v xml:space="preserve"> </v>
      </c>
      <c r="F2467" s="107" t="str">
        <f>IF(LEN(Table1722[[#This Row],[Uraian]])&gt;2,TRIM(RIGHT(SUBSTITUTE(TRIM(C2467)," ",REPT(" ",255)),255))," ")</f>
        <v xml:space="preserve"> </v>
      </c>
      <c r="G2467" s="110">
        <f>COPY!Z2459</f>
        <v>0</v>
      </c>
      <c r="H2467" s="111" t="str">
        <f>IFERROR(VLOOKUP(Table1722[[#This Row],[Bukti]],'Un nOTA'!$A$4:$K$5003,10,FALSE),"")</f>
        <v/>
      </c>
      <c r="I2467" s="112" t="str">
        <f>IFERROR(VLOOKUP(Table1722[[#This Row],[Bukti]],Table13[#Data],11,FALSE),"")</f>
        <v/>
      </c>
    </row>
    <row r="2468" spans="1:9" ht="19.5" hidden="1" customHeight="1" x14ac:dyDescent="0.2">
      <c r="A2468" s="105" t="str">
        <f>IF(D2468=1,COUNTIF($D$10:D2468,1)," ")</f>
        <v xml:space="preserve"> </v>
      </c>
      <c r="B2468" s="106">
        <f>COPY!AR2460</f>
        <v>0</v>
      </c>
      <c r="C2468" s="107">
        <f>COPY!AC2460</f>
        <v>0</v>
      </c>
      <c r="D2468" s="107" t="str">
        <f>IF(LEN(Table1722[[#This Row],[Uraian]])&gt;2,1," ")</f>
        <v xml:space="preserve"> </v>
      </c>
      <c r="E2468" s="113" t="str">
        <f>IF(Table1722[[#This Row],[Lawan Transaksi]]="CV AGUNG KARYA",COUNTIF($I$10:I2468,"CV AGUNG KARYA")," ")</f>
        <v xml:space="preserve"> </v>
      </c>
      <c r="F2468" s="107" t="str">
        <f>IF(LEN(Table1722[[#This Row],[Uraian]])&gt;2,TRIM(RIGHT(SUBSTITUTE(TRIM(C2468)," ",REPT(" ",255)),255))," ")</f>
        <v xml:space="preserve"> </v>
      </c>
      <c r="G2468" s="110">
        <f>COPY!Z2460</f>
        <v>0</v>
      </c>
      <c r="H2468" s="111" t="str">
        <f>IFERROR(VLOOKUP(Table1722[[#This Row],[Bukti]],'Un nOTA'!$A$4:$K$5003,10,FALSE),"")</f>
        <v/>
      </c>
      <c r="I2468" s="112" t="str">
        <f>IFERROR(VLOOKUP(Table1722[[#This Row],[Bukti]],Table13[#Data],11,FALSE),"")</f>
        <v/>
      </c>
    </row>
    <row r="2469" spans="1:9" ht="19.5" hidden="1" customHeight="1" x14ac:dyDescent="0.2">
      <c r="A2469" s="105" t="str">
        <f>IF(D2469=1,COUNTIF($D$10:D2469,1)," ")</f>
        <v xml:space="preserve"> </v>
      </c>
      <c r="B2469" s="106">
        <f>COPY!AR2461</f>
        <v>0</v>
      </c>
      <c r="C2469" s="107">
        <f>COPY!AC2461</f>
        <v>0</v>
      </c>
      <c r="D2469" s="107" t="str">
        <f>IF(LEN(Table1722[[#This Row],[Uraian]])&gt;2,1," ")</f>
        <v xml:space="preserve"> </v>
      </c>
      <c r="E2469" s="113" t="str">
        <f>IF(Table1722[[#This Row],[Lawan Transaksi]]="CV AGUNG KARYA",COUNTIF($I$10:I2469,"CV AGUNG KARYA")," ")</f>
        <v xml:space="preserve"> </v>
      </c>
      <c r="F2469" s="107" t="str">
        <f>IF(LEN(Table1722[[#This Row],[Uraian]])&gt;2,TRIM(RIGHT(SUBSTITUTE(TRIM(C2469)," ",REPT(" ",255)),255))," ")</f>
        <v xml:space="preserve"> </v>
      </c>
      <c r="G2469" s="110">
        <f>COPY!Z2461</f>
        <v>0</v>
      </c>
      <c r="H2469" s="111" t="str">
        <f>IFERROR(VLOOKUP(Table1722[[#This Row],[Bukti]],'Un nOTA'!$A$4:$K$5003,10,FALSE),"")</f>
        <v/>
      </c>
      <c r="I2469" s="112" t="str">
        <f>IFERROR(VLOOKUP(Table1722[[#This Row],[Bukti]],Table13[#Data],11,FALSE),"")</f>
        <v/>
      </c>
    </row>
    <row r="2470" spans="1:9" ht="19.5" hidden="1" customHeight="1" x14ac:dyDescent="0.2">
      <c r="A2470" s="105" t="str">
        <f>IF(D2470=1,COUNTIF($D$10:D2470,1)," ")</f>
        <v xml:space="preserve"> </v>
      </c>
      <c r="B2470" s="106">
        <f>COPY!AR2462</f>
        <v>0</v>
      </c>
      <c r="C2470" s="107">
        <f>COPY!AC2462</f>
        <v>0</v>
      </c>
      <c r="D2470" s="107" t="str">
        <f>IF(LEN(Table1722[[#This Row],[Uraian]])&gt;2,1," ")</f>
        <v xml:space="preserve"> </v>
      </c>
      <c r="E2470" s="113" t="str">
        <f>IF(Table1722[[#This Row],[Lawan Transaksi]]="CV AGUNG KARYA",COUNTIF($I$10:I2470,"CV AGUNG KARYA")," ")</f>
        <v xml:space="preserve"> </v>
      </c>
      <c r="F2470" s="107" t="str">
        <f>IF(LEN(Table1722[[#This Row],[Uraian]])&gt;2,TRIM(RIGHT(SUBSTITUTE(TRIM(C2470)," ",REPT(" ",255)),255))," ")</f>
        <v xml:space="preserve"> </v>
      </c>
      <c r="G2470" s="110">
        <f>COPY!Z2462</f>
        <v>0</v>
      </c>
      <c r="H2470" s="111" t="str">
        <f>IFERROR(VLOOKUP(Table1722[[#This Row],[Bukti]],'Un nOTA'!$A$4:$K$5003,10,FALSE),"")</f>
        <v/>
      </c>
      <c r="I2470" s="112" t="str">
        <f>IFERROR(VLOOKUP(Table1722[[#This Row],[Bukti]],Table13[#Data],11,FALSE),"")</f>
        <v/>
      </c>
    </row>
    <row r="2471" spans="1:9" ht="19.5" hidden="1" customHeight="1" x14ac:dyDescent="0.2">
      <c r="A2471" s="105" t="str">
        <f>IF(D2471=1,COUNTIF($D$10:D2471,1)," ")</f>
        <v xml:space="preserve"> </v>
      </c>
      <c r="B2471" s="106">
        <f>COPY!AR2463</f>
        <v>0</v>
      </c>
      <c r="C2471" s="107">
        <f>COPY!AC2463</f>
        <v>0</v>
      </c>
      <c r="D2471" s="107" t="str">
        <f>IF(LEN(Table1722[[#This Row],[Uraian]])&gt;2,1," ")</f>
        <v xml:space="preserve"> </v>
      </c>
      <c r="E2471" s="113" t="str">
        <f>IF(Table1722[[#This Row],[Lawan Transaksi]]="CV AGUNG KARYA",COUNTIF($I$10:I2471,"CV AGUNG KARYA")," ")</f>
        <v xml:space="preserve"> </v>
      </c>
      <c r="F2471" s="107" t="str">
        <f>IF(LEN(Table1722[[#This Row],[Uraian]])&gt;2,TRIM(RIGHT(SUBSTITUTE(TRIM(C2471)," ",REPT(" ",255)),255))," ")</f>
        <v xml:space="preserve"> </v>
      </c>
      <c r="G2471" s="110">
        <f>COPY!Z2463</f>
        <v>0</v>
      </c>
      <c r="H2471" s="111" t="str">
        <f>IFERROR(VLOOKUP(Table1722[[#This Row],[Bukti]],'Un nOTA'!$A$4:$K$5003,10,FALSE),"")</f>
        <v/>
      </c>
      <c r="I2471" s="112" t="str">
        <f>IFERROR(VLOOKUP(Table1722[[#This Row],[Bukti]],Table13[#Data],11,FALSE),"")</f>
        <v/>
      </c>
    </row>
    <row r="2472" spans="1:9" ht="19.5" hidden="1" customHeight="1" x14ac:dyDescent="0.2">
      <c r="A2472" s="105" t="str">
        <f>IF(D2472=1,COUNTIF($D$10:D2472,1)," ")</f>
        <v xml:space="preserve"> </v>
      </c>
      <c r="B2472" s="106">
        <f>COPY!AR2464</f>
        <v>0</v>
      </c>
      <c r="C2472" s="107">
        <f>COPY!AC2464</f>
        <v>0</v>
      </c>
      <c r="D2472" s="107" t="str">
        <f>IF(LEN(Table1722[[#This Row],[Uraian]])&gt;2,1," ")</f>
        <v xml:space="preserve"> </v>
      </c>
      <c r="E2472" s="113" t="str">
        <f>IF(Table1722[[#This Row],[Lawan Transaksi]]="CV AGUNG KARYA",COUNTIF($I$10:I2472,"CV AGUNG KARYA")," ")</f>
        <v xml:space="preserve"> </v>
      </c>
      <c r="F2472" s="107" t="str">
        <f>IF(LEN(Table1722[[#This Row],[Uraian]])&gt;2,TRIM(RIGHT(SUBSTITUTE(TRIM(C2472)," ",REPT(" ",255)),255))," ")</f>
        <v xml:space="preserve"> </v>
      </c>
      <c r="G2472" s="110">
        <f>COPY!Z2464</f>
        <v>0</v>
      </c>
      <c r="H2472" s="111" t="str">
        <f>IFERROR(VLOOKUP(Table1722[[#This Row],[Bukti]],'Un nOTA'!$A$4:$K$5003,10,FALSE),"")</f>
        <v/>
      </c>
      <c r="I2472" s="112" t="str">
        <f>IFERROR(VLOOKUP(Table1722[[#This Row],[Bukti]],Table13[#Data],11,FALSE),"")</f>
        <v/>
      </c>
    </row>
    <row r="2473" spans="1:9" ht="19.5" hidden="1" customHeight="1" x14ac:dyDescent="0.2">
      <c r="A2473" s="105" t="str">
        <f>IF(D2473=1,COUNTIF($D$10:D2473,1)," ")</f>
        <v xml:space="preserve"> </v>
      </c>
      <c r="B2473" s="106">
        <f>COPY!AR2465</f>
        <v>0</v>
      </c>
      <c r="C2473" s="107">
        <f>COPY!AC2465</f>
        <v>0</v>
      </c>
      <c r="D2473" s="107" t="str">
        <f>IF(LEN(Table1722[[#This Row],[Uraian]])&gt;2,1," ")</f>
        <v xml:space="preserve"> </v>
      </c>
      <c r="E2473" s="113" t="str">
        <f>IF(Table1722[[#This Row],[Lawan Transaksi]]="CV AGUNG KARYA",COUNTIF($I$10:I2473,"CV AGUNG KARYA")," ")</f>
        <v xml:space="preserve"> </v>
      </c>
      <c r="F2473" s="107" t="str">
        <f>IF(LEN(Table1722[[#This Row],[Uraian]])&gt;2,TRIM(RIGHT(SUBSTITUTE(TRIM(C2473)," ",REPT(" ",255)),255))," ")</f>
        <v xml:space="preserve"> </v>
      </c>
      <c r="G2473" s="110">
        <f>COPY!Z2465</f>
        <v>0</v>
      </c>
      <c r="H2473" s="111" t="str">
        <f>IFERROR(VLOOKUP(Table1722[[#This Row],[Bukti]],'Un nOTA'!$A$4:$K$5003,10,FALSE),"")</f>
        <v/>
      </c>
      <c r="I2473" s="112" t="str">
        <f>IFERROR(VLOOKUP(Table1722[[#This Row],[Bukti]],Table13[#Data],11,FALSE),"")</f>
        <v/>
      </c>
    </row>
    <row r="2474" spans="1:9" ht="19.5" hidden="1" customHeight="1" x14ac:dyDescent="0.2">
      <c r="A2474" s="105" t="str">
        <f>IF(D2474=1,COUNTIF($D$10:D2474,1)," ")</f>
        <v xml:space="preserve"> </v>
      </c>
      <c r="B2474" s="106">
        <f>COPY!AR2466</f>
        <v>0</v>
      </c>
      <c r="C2474" s="107">
        <f>COPY!AC2466</f>
        <v>0</v>
      </c>
      <c r="D2474" s="107" t="str">
        <f>IF(LEN(Table1722[[#This Row],[Uraian]])&gt;2,1," ")</f>
        <v xml:space="preserve"> </v>
      </c>
      <c r="E2474" s="113" t="str">
        <f>IF(Table1722[[#This Row],[Lawan Transaksi]]="CV AGUNG KARYA",COUNTIF($I$10:I2474,"CV AGUNG KARYA")," ")</f>
        <v xml:space="preserve"> </v>
      </c>
      <c r="F2474" s="107" t="str">
        <f>IF(LEN(Table1722[[#This Row],[Uraian]])&gt;2,TRIM(RIGHT(SUBSTITUTE(TRIM(C2474)," ",REPT(" ",255)),255))," ")</f>
        <v xml:space="preserve"> </v>
      </c>
      <c r="G2474" s="110">
        <f>COPY!Z2466</f>
        <v>0</v>
      </c>
      <c r="H2474" s="111" t="str">
        <f>IFERROR(VLOOKUP(Table1722[[#This Row],[Bukti]],'Un nOTA'!$A$4:$K$5003,10,FALSE),"")</f>
        <v/>
      </c>
      <c r="I2474" s="112" t="str">
        <f>IFERROR(VLOOKUP(Table1722[[#This Row],[Bukti]],Table13[#Data],11,FALSE),"")</f>
        <v/>
      </c>
    </row>
    <row r="2475" spans="1:9" ht="19.5" hidden="1" customHeight="1" x14ac:dyDescent="0.2">
      <c r="A2475" s="105" t="str">
        <f>IF(D2475=1,COUNTIF($D$10:D2475,1)," ")</f>
        <v xml:space="preserve"> </v>
      </c>
      <c r="B2475" s="106">
        <f>COPY!AR2467</f>
        <v>0</v>
      </c>
      <c r="C2475" s="107">
        <f>COPY!AC2467</f>
        <v>0</v>
      </c>
      <c r="D2475" s="107" t="str">
        <f>IF(LEN(Table1722[[#This Row],[Uraian]])&gt;2,1," ")</f>
        <v xml:space="preserve"> </v>
      </c>
      <c r="E2475" s="113" t="str">
        <f>IF(Table1722[[#This Row],[Lawan Transaksi]]="CV AGUNG KARYA",COUNTIF($I$10:I2475,"CV AGUNG KARYA")," ")</f>
        <v xml:space="preserve"> </v>
      </c>
      <c r="F2475" s="107" t="str">
        <f>IF(LEN(Table1722[[#This Row],[Uraian]])&gt;2,TRIM(RIGHT(SUBSTITUTE(TRIM(C2475)," ",REPT(" ",255)),255))," ")</f>
        <v xml:space="preserve"> </v>
      </c>
      <c r="G2475" s="110">
        <f>COPY!Z2467</f>
        <v>0</v>
      </c>
      <c r="H2475" s="111" t="str">
        <f>IFERROR(VLOOKUP(Table1722[[#This Row],[Bukti]],'Un nOTA'!$A$4:$K$5003,10,FALSE),"")</f>
        <v/>
      </c>
      <c r="I2475" s="112" t="str">
        <f>IFERROR(VLOOKUP(Table1722[[#This Row],[Bukti]],Table13[#Data],11,FALSE),"")</f>
        <v/>
      </c>
    </row>
    <row r="2476" spans="1:9" ht="19.5" hidden="1" customHeight="1" x14ac:dyDescent="0.2">
      <c r="A2476" s="105" t="str">
        <f>IF(D2476=1,COUNTIF($D$10:D2476,1)," ")</f>
        <v xml:space="preserve"> </v>
      </c>
      <c r="B2476" s="106">
        <f>COPY!AR2468</f>
        <v>0</v>
      </c>
      <c r="C2476" s="107">
        <f>COPY!AC2468</f>
        <v>0</v>
      </c>
      <c r="D2476" s="107" t="str">
        <f>IF(LEN(Table1722[[#This Row],[Uraian]])&gt;2,1," ")</f>
        <v xml:space="preserve"> </v>
      </c>
      <c r="E2476" s="113" t="str">
        <f>IF(Table1722[[#This Row],[Lawan Transaksi]]="CV AGUNG KARYA",COUNTIF($I$10:I2476,"CV AGUNG KARYA")," ")</f>
        <v xml:space="preserve"> </v>
      </c>
      <c r="F2476" s="107" t="str">
        <f>IF(LEN(Table1722[[#This Row],[Uraian]])&gt;2,TRIM(RIGHT(SUBSTITUTE(TRIM(C2476)," ",REPT(" ",255)),255))," ")</f>
        <v xml:space="preserve"> </v>
      </c>
      <c r="G2476" s="110">
        <f>COPY!Z2468</f>
        <v>0</v>
      </c>
      <c r="H2476" s="111" t="str">
        <f>IFERROR(VLOOKUP(Table1722[[#This Row],[Bukti]],'Un nOTA'!$A$4:$K$5003,10,FALSE),"")</f>
        <v/>
      </c>
      <c r="I2476" s="112" t="str">
        <f>IFERROR(VLOOKUP(Table1722[[#This Row],[Bukti]],Table13[#Data],11,FALSE),"")</f>
        <v/>
      </c>
    </row>
    <row r="2477" spans="1:9" ht="19.5" hidden="1" customHeight="1" x14ac:dyDescent="0.2">
      <c r="A2477" s="105" t="str">
        <f>IF(D2477=1,COUNTIF($D$10:D2477,1)," ")</f>
        <v xml:space="preserve"> </v>
      </c>
      <c r="B2477" s="106">
        <f>COPY!AR2469</f>
        <v>0</v>
      </c>
      <c r="C2477" s="107">
        <f>COPY!AC2469</f>
        <v>0</v>
      </c>
      <c r="D2477" s="107" t="str">
        <f>IF(LEN(Table1722[[#This Row],[Uraian]])&gt;2,1," ")</f>
        <v xml:space="preserve"> </v>
      </c>
      <c r="E2477" s="113" t="str">
        <f>IF(Table1722[[#This Row],[Lawan Transaksi]]="CV AGUNG KARYA",COUNTIF($I$10:I2477,"CV AGUNG KARYA")," ")</f>
        <v xml:space="preserve"> </v>
      </c>
      <c r="F2477" s="107" t="str">
        <f>IF(LEN(Table1722[[#This Row],[Uraian]])&gt;2,TRIM(RIGHT(SUBSTITUTE(TRIM(C2477)," ",REPT(" ",255)),255))," ")</f>
        <v xml:space="preserve"> </v>
      </c>
      <c r="G2477" s="110">
        <f>COPY!Z2469</f>
        <v>0</v>
      </c>
      <c r="H2477" s="111" t="str">
        <f>IFERROR(VLOOKUP(Table1722[[#This Row],[Bukti]],'Un nOTA'!$A$4:$K$5003,10,FALSE),"")</f>
        <v/>
      </c>
      <c r="I2477" s="112" t="str">
        <f>IFERROR(VLOOKUP(Table1722[[#This Row],[Bukti]],Table13[#Data],11,FALSE),"")</f>
        <v/>
      </c>
    </row>
    <row r="2478" spans="1:9" ht="19.5" hidden="1" customHeight="1" x14ac:dyDescent="0.2">
      <c r="A2478" s="105" t="str">
        <f>IF(D2478=1,COUNTIF($D$10:D2478,1)," ")</f>
        <v xml:space="preserve"> </v>
      </c>
      <c r="B2478" s="106">
        <f>COPY!AR2470</f>
        <v>0</v>
      </c>
      <c r="C2478" s="107">
        <f>COPY!AC2470</f>
        <v>0</v>
      </c>
      <c r="D2478" s="107" t="str">
        <f>IF(LEN(Table1722[[#This Row],[Uraian]])&gt;2,1," ")</f>
        <v xml:space="preserve"> </v>
      </c>
      <c r="E2478" s="113" t="str">
        <f>IF(Table1722[[#This Row],[Lawan Transaksi]]="CV AGUNG KARYA",COUNTIF($I$10:I2478,"CV AGUNG KARYA")," ")</f>
        <v xml:space="preserve"> </v>
      </c>
      <c r="F2478" s="107" t="str">
        <f>IF(LEN(Table1722[[#This Row],[Uraian]])&gt;2,TRIM(RIGHT(SUBSTITUTE(TRIM(C2478)," ",REPT(" ",255)),255))," ")</f>
        <v xml:space="preserve"> </v>
      </c>
      <c r="G2478" s="110">
        <f>COPY!Z2470</f>
        <v>0</v>
      </c>
      <c r="H2478" s="111" t="str">
        <f>IFERROR(VLOOKUP(Table1722[[#This Row],[Bukti]],'Un nOTA'!$A$4:$K$5003,10,FALSE),"")</f>
        <v/>
      </c>
      <c r="I2478" s="112" t="str">
        <f>IFERROR(VLOOKUP(Table1722[[#This Row],[Bukti]],Table13[#Data],11,FALSE),"")</f>
        <v/>
      </c>
    </row>
    <row r="2479" spans="1:9" ht="19.5" hidden="1" customHeight="1" x14ac:dyDescent="0.2">
      <c r="A2479" s="105" t="str">
        <f>IF(D2479=1,COUNTIF($D$10:D2479,1)," ")</f>
        <v xml:space="preserve"> </v>
      </c>
      <c r="B2479" s="106">
        <f>COPY!AR2471</f>
        <v>0</v>
      </c>
      <c r="C2479" s="107">
        <f>COPY!AC2471</f>
        <v>0</v>
      </c>
      <c r="D2479" s="107" t="str">
        <f>IF(LEN(Table1722[[#This Row],[Uraian]])&gt;2,1," ")</f>
        <v xml:space="preserve"> </v>
      </c>
      <c r="E2479" s="113" t="str">
        <f>IF(Table1722[[#This Row],[Lawan Transaksi]]="CV AGUNG KARYA",COUNTIF($I$10:I2479,"CV AGUNG KARYA")," ")</f>
        <v xml:space="preserve"> </v>
      </c>
      <c r="F2479" s="107" t="str">
        <f>IF(LEN(Table1722[[#This Row],[Uraian]])&gt;2,TRIM(RIGHT(SUBSTITUTE(TRIM(C2479)," ",REPT(" ",255)),255))," ")</f>
        <v xml:space="preserve"> </v>
      </c>
      <c r="G2479" s="110">
        <f>COPY!Z2471</f>
        <v>0</v>
      </c>
      <c r="H2479" s="111" t="str">
        <f>IFERROR(VLOOKUP(Table1722[[#This Row],[Bukti]],'Un nOTA'!$A$4:$K$5003,10,FALSE),"")</f>
        <v/>
      </c>
      <c r="I2479" s="112" t="str">
        <f>IFERROR(VLOOKUP(Table1722[[#This Row],[Bukti]],Table13[#Data],11,FALSE),"")</f>
        <v/>
      </c>
    </row>
    <row r="2480" spans="1:9" ht="19.5" hidden="1" customHeight="1" x14ac:dyDescent="0.2">
      <c r="A2480" s="105" t="str">
        <f>IF(D2480=1,COUNTIF($D$10:D2480,1)," ")</f>
        <v xml:space="preserve"> </v>
      </c>
      <c r="B2480" s="106">
        <f>COPY!AR2472</f>
        <v>0</v>
      </c>
      <c r="C2480" s="107">
        <f>COPY!AC2472</f>
        <v>0</v>
      </c>
      <c r="D2480" s="107" t="str">
        <f>IF(LEN(Table1722[[#This Row],[Uraian]])&gt;2,1," ")</f>
        <v xml:space="preserve"> </v>
      </c>
      <c r="E2480" s="113" t="str">
        <f>IF(Table1722[[#This Row],[Lawan Transaksi]]="CV AGUNG KARYA",COUNTIF($I$10:I2480,"CV AGUNG KARYA")," ")</f>
        <v xml:space="preserve"> </v>
      </c>
      <c r="F2480" s="107" t="str">
        <f>IF(LEN(Table1722[[#This Row],[Uraian]])&gt;2,TRIM(RIGHT(SUBSTITUTE(TRIM(C2480)," ",REPT(" ",255)),255))," ")</f>
        <v xml:space="preserve"> </v>
      </c>
      <c r="G2480" s="110">
        <f>COPY!Z2472</f>
        <v>0</v>
      </c>
      <c r="H2480" s="111" t="str">
        <f>IFERROR(VLOOKUP(Table1722[[#This Row],[Bukti]],'Un nOTA'!$A$4:$K$5003,10,FALSE),"")</f>
        <v/>
      </c>
      <c r="I2480" s="112" t="str">
        <f>IFERROR(VLOOKUP(Table1722[[#This Row],[Bukti]],Table13[#Data],11,FALSE),"")</f>
        <v/>
      </c>
    </row>
    <row r="2481" spans="1:9" ht="19.5" hidden="1" customHeight="1" x14ac:dyDescent="0.2">
      <c r="A2481" s="105" t="str">
        <f>IF(D2481=1,COUNTIF($D$10:D2481,1)," ")</f>
        <v xml:space="preserve"> </v>
      </c>
      <c r="B2481" s="106">
        <f>COPY!AR2473</f>
        <v>0</v>
      </c>
      <c r="C2481" s="107">
        <f>COPY!AC2473</f>
        <v>0</v>
      </c>
      <c r="D2481" s="107" t="str">
        <f>IF(LEN(Table1722[[#This Row],[Uraian]])&gt;2,1," ")</f>
        <v xml:space="preserve"> </v>
      </c>
      <c r="E2481" s="113" t="str">
        <f>IF(Table1722[[#This Row],[Lawan Transaksi]]="CV AGUNG KARYA",COUNTIF($I$10:I2481,"CV AGUNG KARYA")," ")</f>
        <v xml:space="preserve"> </v>
      </c>
      <c r="F2481" s="107" t="str">
        <f>IF(LEN(Table1722[[#This Row],[Uraian]])&gt;2,TRIM(RIGHT(SUBSTITUTE(TRIM(C2481)," ",REPT(" ",255)),255))," ")</f>
        <v xml:space="preserve"> </v>
      </c>
      <c r="G2481" s="110">
        <f>COPY!Z2473</f>
        <v>0</v>
      </c>
      <c r="H2481" s="111" t="str">
        <f>IFERROR(VLOOKUP(Table1722[[#This Row],[Bukti]],'Un nOTA'!$A$4:$K$5003,10,FALSE),"")</f>
        <v/>
      </c>
      <c r="I2481" s="112" t="str">
        <f>IFERROR(VLOOKUP(Table1722[[#This Row],[Bukti]],Table13[#Data],11,FALSE),"")</f>
        <v/>
      </c>
    </row>
    <row r="2482" spans="1:9" ht="19.5" hidden="1" customHeight="1" x14ac:dyDescent="0.2">
      <c r="A2482" s="105" t="str">
        <f>IF(D2482=1,COUNTIF($D$10:D2482,1)," ")</f>
        <v xml:space="preserve"> </v>
      </c>
      <c r="B2482" s="106">
        <f>COPY!AR2474</f>
        <v>0</v>
      </c>
      <c r="C2482" s="107">
        <f>COPY!AC2474</f>
        <v>0</v>
      </c>
      <c r="D2482" s="107" t="str">
        <f>IF(LEN(Table1722[[#This Row],[Uraian]])&gt;2,1," ")</f>
        <v xml:space="preserve"> </v>
      </c>
      <c r="E2482" s="113" t="str">
        <f>IF(Table1722[[#This Row],[Lawan Transaksi]]="CV AGUNG KARYA",COUNTIF($I$10:I2482,"CV AGUNG KARYA")," ")</f>
        <v xml:space="preserve"> </v>
      </c>
      <c r="F2482" s="107" t="str">
        <f>IF(LEN(Table1722[[#This Row],[Uraian]])&gt;2,TRIM(RIGHT(SUBSTITUTE(TRIM(C2482)," ",REPT(" ",255)),255))," ")</f>
        <v xml:space="preserve"> </v>
      </c>
      <c r="G2482" s="110">
        <f>COPY!Z2474</f>
        <v>0</v>
      </c>
      <c r="H2482" s="111" t="str">
        <f>IFERROR(VLOOKUP(Table1722[[#This Row],[Bukti]],'Un nOTA'!$A$4:$K$5003,10,FALSE),"")</f>
        <v/>
      </c>
      <c r="I2482" s="112" t="str">
        <f>IFERROR(VLOOKUP(Table1722[[#This Row],[Bukti]],Table13[#Data],11,FALSE),"")</f>
        <v/>
      </c>
    </row>
    <row r="2483" spans="1:9" ht="19.5" hidden="1" customHeight="1" x14ac:dyDescent="0.2">
      <c r="A2483" s="105" t="str">
        <f>IF(D2483=1,COUNTIF($D$10:D2483,1)," ")</f>
        <v xml:space="preserve"> </v>
      </c>
      <c r="B2483" s="106">
        <f>COPY!AR2475</f>
        <v>0</v>
      </c>
      <c r="C2483" s="107">
        <f>COPY!AC2475</f>
        <v>0</v>
      </c>
      <c r="D2483" s="107" t="str">
        <f>IF(LEN(Table1722[[#This Row],[Uraian]])&gt;2,1," ")</f>
        <v xml:space="preserve"> </v>
      </c>
      <c r="E2483" s="113" t="str">
        <f>IF(Table1722[[#This Row],[Lawan Transaksi]]="CV AGUNG KARYA",COUNTIF($I$10:I2483,"CV AGUNG KARYA")," ")</f>
        <v xml:space="preserve"> </v>
      </c>
      <c r="F2483" s="107" t="str">
        <f>IF(LEN(Table1722[[#This Row],[Uraian]])&gt;2,TRIM(RIGHT(SUBSTITUTE(TRIM(C2483)," ",REPT(" ",255)),255))," ")</f>
        <v xml:space="preserve"> </v>
      </c>
      <c r="G2483" s="110">
        <f>COPY!Z2475</f>
        <v>0</v>
      </c>
      <c r="H2483" s="111" t="str">
        <f>IFERROR(VLOOKUP(Table1722[[#This Row],[Bukti]],'Un nOTA'!$A$4:$K$5003,10,FALSE),"")</f>
        <v/>
      </c>
      <c r="I2483" s="112" t="str">
        <f>IFERROR(VLOOKUP(Table1722[[#This Row],[Bukti]],Table13[#Data],11,FALSE),"")</f>
        <v/>
      </c>
    </row>
    <row r="2484" spans="1:9" ht="19.5" hidden="1" customHeight="1" x14ac:dyDescent="0.2">
      <c r="A2484" s="105" t="str">
        <f>IF(D2484=1,COUNTIF($D$10:D2484,1)," ")</f>
        <v xml:space="preserve"> </v>
      </c>
      <c r="B2484" s="106">
        <f>COPY!AR2476</f>
        <v>0</v>
      </c>
      <c r="C2484" s="107">
        <f>COPY!AC2476</f>
        <v>0</v>
      </c>
      <c r="D2484" s="107" t="str">
        <f>IF(LEN(Table1722[[#This Row],[Uraian]])&gt;2,1," ")</f>
        <v xml:space="preserve"> </v>
      </c>
      <c r="E2484" s="113" t="str">
        <f>IF(Table1722[[#This Row],[Lawan Transaksi]]="CV AGUNG KARYA",COUNTIF($I$10:I2484,"CV AGUNG KARYA")," ")</f>
        <v xml:space="preserve"> </v>
      </c>
      <c r="F2484" s="107" t="str">
        <f>IF(LEN(Table1722[[#This Row],[Uraian]])&gt;2,TRIM(RIGHT(SUBSTITUTE(TRIM(C2484)," ",REPT(" ",255)),255))," ")</f>
        <v xml:space="preserve"> </v>
      </c>
      <c r="G2484" s="110">
        <f>COPY!Z2476</f>
        <v>0</v>
      </c>
      <c r="H2484" s="111" t="str">
        <f>IFERROR(VLOOKUP(Table1722[[#This Row],[Bukti]],'Un nOTA'!$A$4:$K$5003,10,FALSE),"")</f>
        <v/>
      </c>
      <c r="I2484" s="112" t="str">
        <f>IFERROR(VLOOKUP(Table1722[[#This Row],[Bukti]],Table13[#Data],11,FALSE),"")</f>
        <v/>
      </c>
    </row>
    <row r="2485" spans="1:9" ht="19.5" hidden="1" customHeight="1" x14ac:dyDescent="0.2">
      <c r="A2485" s="105" t="str">
        <f>IF(D2485=1,COUNTIF($D$10:D2485,1)," ")</f>
        <v xml:space="preserve"> </v>
      </c>
      <c r="B2485" s="106">
        <f>COPY!AR2477</f>
        <v>0</v>
      </c>
      <c r="C2485" s="107">
        <f>COPY!AC2477</f>
        <v>0</v>
      </c>
      <c r="D2485" s="107" t="str">
        <f>IF(LEN(Table1722[[#This Row],[Uraian]])&gt;2,1," ")</f>
        <v xml:space="preserve"> </v>
      </c>
      <c r="E2485" s="113" t="str">
        <f>IF(Table1722[[#This Row],[Lawan Transaksi]]="CV AGUNG KARYA",COUNTIF($I$10:I2485,"CV AGUNG KARYA")," ")</f>
        <v xml:space="preserve"> </v>
      </c>
      <c r="F2485" s="107" t="str">
        <f>IF(LEN(Table1722[[#This Row],[Uraian]])&gt;2,TRIM(RIGHT(SUBSTITUTE(TRIM(C2485)," ",REPT(" ",255)),255))," ")</f>
        <v xml:space="preserve"> </v>
      </c>
      <c r="G2485" s="110">
        <f>COPY!Z2477</f>
        <v>0</v>
      </c>
      <c r="H2485" s="111" t="str">
        <f>IFERROR(VLOOKUP(Table1722[[#This Row],[Bukti]],'Un nOTA'!$A$4:$K$5003,10,FALSE),"")</f>
        <v/>
      </c>
      <c r="I2485" s="112" t="str">
        <f>IFERROR(VLOOKUP(Table1722[[#This Row],[Bukti]],Table13[#Data],11,FALSE),"")</f>
        <v/>
      </c>
    </row>
    <row r="2486" spans="1:9" ht="19.5" hidden="1" customHeight="1" x14ac:dyDescent="0.2">
      <c r="A2486" s="105" t="str">
        <f>IF(D2486=1,COUNTIF($D$10:D2486,1)," ")</f>
        <v xml:space="preserve"> </v>
      </c>
      <c r="B2486" s="106">
        <f>COPY!AR2478</f>
        <v>0</v>
      </c>
      <c r="C2486" s="107">
        <f>COPY!AC2478</f>
        <v>0</v>
      </c>
      <c r="D2486" s="107" t="str">
        <f>IF(LEN(Table1722[[#This Row],[Uraian]])&gt;2,1," ")</f>
        <v xml:space="preserve"> </v>
      </c>
      <c r="E2486" s="113" t="str">
        <f>IF(Table1722[[#This Row],[Lawan Transaksi]]="CV AGUNG KARYA",COUNTIF($I$10:I2486,"CV AGUNG KARYA")," ")</f>
        <v xml:space="preserve"> </v>
      </c>
      <c r="F2486" s="107" t="str">
        <f>IF(LEN(Table1722[[#This Row],[Uraian]])&gt;2,TRIM(RIGHT(SUBSTITUTE(TRIM(C2486)," ",REPT(" ",255)),255))," ")</f>
        <v xml:space="preserve"> </v>
      </c>
      <c r="G2486" s="110">
        <f>COPY!Z2478</f>
        <v>0</v>
      </c>
      <c r="H2486" s="111" t="str">
        <f>IFERROR(VLOOKUP(Table1722[[#This Row],[Bukti]],'Un nOTA'!$A$4:$K$5003,10,FALSE),"")</f>
        <v/>
      </c>
      <c r="I2486" s="112" t="str">
        <f>IFERROR(VLOOKUP(Table1722[[#This Row],[Bukti]],Table13[#Data],11,FALSE),"")</f>
        <v/>
      </c>
    </row>
    <row r="2487" spans="1:9" ht="19.5" hidden="1" customHeight="1" x14ac:dyDescent="0.2">
      <c r="A2487" s="105" t="str">
        <f>IF(D2487=1,COUNTIF($D$10:D2487,1)," ")</f>
        <v xml:space="preserve"> </v>
      </c>
      <c r="B2487" s="106">
        <f>COPY!AR2479</f>
        <v>0</v>
      </c>
      <c r="C2487" s="107">
        <f>COPY!AC2479</f>
        <v>0</v>
      </c>
      <c r="D2487" s="107" t="str">
        <f>IF(LEN(Table1722[[#This Row],[Uraian]])&gt;2,1," ")</f>
        <v xml:space="preserve"> </v>
      </c>
      <c r="E2487" s="113" t="str">
        <f>IF(Table1722[[#This Row],[Lawan Transaksi]]="CV AGUNG KARYA",COUNTIF($I$10:I2487,"CV AGUNG KARYA")," ")</f>
        <v xml:space="preserve"> </v>
      </c>
      <c r="F2487" s="107" t="str">
        <f>IF(LEN(Table1722[[#This Row],[Uraian]])&gt;2,TRIM(RIGHT(SUBSTITUTE(TRIM(C2487)," ",REPT(" ",255)),255))," ")</f>
        <v xml:space="preserve"> </v>
      </c>
      <c r="G2487" s="110">
        <f>COPY!Z2479</f>
        <v>0</v>
      </c>
      <c r="H2487" s="111" t="str">
        <f>IFERROR(VLOOKUP(Table1722[[#This Row],[Bukti]],'Un nOTA'!$A$4:$K$5003,10,FALSE),"")</f>
        <v/>
      </c>
      <c r="I2487" s="112" t="str">
        <f>IFERROR(VLOOKUP(Table1722[[#This Row],[Bukti]],Table13[#Data],11,FALSE),"")</f>
        <v/>
      </c>
    </row>
    <row r="2488" spans="1:9" ht="19.5" hidden="1" customHeight="1" x14ac:dyDescent="0.2">
      <c r="A2488" s="105" t="str">
        <f>IF(D2488=1,COUNTIF($D$10:D2488,1)," ")</f>
        <v xml:space="preserve"> </v>
      </c>
      <c r="B2488" s="106">
        <f>COPY!AR2480</f>
        <v>0</v>
      </c>
      <c r="C2488" s="107">
        <f>COPY!AC2480</f>
        <v>0</v>
      </c>
      <c r="D2488" s="107" t="str">
        <f>IF(LEN(Table1722[[#This Row],[Uraian]])&gt;2,1," ")</f>
        <v xml:space="preserve"> </v>
      </c>
      <c r="E2488" s="113" t="str">
        <f>IF(Table1722[[#This Row],[Lawan Transaksi]]="CV AGUNG KARYA",COUNTIF($I$10:I2488,"CV AGUNG KARYA")," ")</f>
        <v xml:space="preserve"> </v>
      </c>
      <c r="F2488" s="107" t="str">
        <f>IF(LEN(Table1722[[#This Row],[Uraian]])&gt;2,TRIM(RIGHT(SUBSTITUTE(TRIM(C2488)," ",REPT(" ",255)),255))," ")</f>
        <v xml:space="preserve"> </v>
      </c>
      <c r="G2488" s="110">
        <f>COPY!Z2480</f>
        <v>0</v>
      </c>
      <c r="H2488" s="111" t="str">
        <f>IFERROR(VLOOKUP(Table1722[[#This Row],[Bukti]],'Un nOTA'!$A$4:$K$5003,10,FALSE),"")</f>
        <v/>
      </c>
      <c r="I2488" s="112" t="str">
        <f>IFERROR(VLOOKUP(Table1722[[#This Row],[Bukti]],Table13[#Data],11,FALSE),"")</f>
        <v/>
      </c>
    </row>
    <row r="2489" spans="1:9" ht="19.5" hidden="1" customHeight="1" x14ac:dyDescent="0.2">
      <c r="A2489" s="105" t="str">
        <f>IF(D2489=1,COUNTIF($D$10:D2489,1)," ")</f>
        <v xml:space="preserve"> </v>
      </c>
      <c r="B2489" s="106">
        <f>COPY!AR2481</f>
        <v>0</v>
      </c>
      <c r="C2489" s="107">
        <f>COPY!AC2481</f>
        <v>0</v>
      </c>
      <c r="D2489" s="107" t="str">
        <f>IF(LEN(Table1722[[#This Row],[Uraian]])&gt;2,1," ")</f>
        <v xml:space="preserve"> </v>
      </c>
      <c r="E2489" s="113" t="str">
        <f>IF(Table1722[[#This Row],[Lawan Transaksi]]="CV AGUNG KARYA",COUNTIF($I$10:I2489,"CV AGUNG KARYA")," ")</f>
        <v xml:space="preserve"> </v>
      </c>
      <c r="F2489" s="107" t="str">
        <f>IF(LEN(Table1722[[#This Row],[Uraian]])&gt;2,TRIM(RIGHT(SUBSTITUTE(TRIM(C2489)," ",REPT(" ",255)),255))," ")</f>
        <v xml:space="preserve"> </v>
      </c>
      <c r="G2489" s="110">
        <f>COPY!Z2481</f>
        <v>0</v>
      </c>
      <c r="H2489" s="111" t="str">
        <f>IFERROR(VLOOKUP(Table1722[[#This Row],[Bukti]],'Un nOTA'!$A$4:$K$5003,10,FALSE),"")</f>
        <v/>
      </c>
      <c r="I2489" s="112" t="str">
        <f>IFERROR(VLOOKUP(Table1722[[#This Row],[Bukti]],Table13[#Data],11,FALSE),"")</f>
        <v/>
      </c>
    </row>
    <row r="2490" spans="1:9" ht="19.5" hidden="1" customHeight="1" x14ac:dyDescent="0.2">
      <c r="A2490" s="105" t="str">
        <f>IF(D2490=1,COUNTIF($D$10:D2490,1)," ")</f>
        <v xml:space="preserve"> </v>
      </c>
      <c r="B2490" s="106">
        <f>COPY!AR2482</f>
        <v>0</v>
      </c>
      <c r="C2490" s="107">
        <f>COPY!AC2482</f>
        <v>0</v>
      </c>
      <c r="D2490" s="107" t="str">
        <f>IF(LEN(Table1722[[#This Row],[Uraian]])&gt;2,1," ")</f>
        <v xml:space="preserve"> </v>
      </c>
      <c r="E2490" s="113" t="str">
        <f>IF(Table1722[[#This Row],[Lawan Transaksi]]="CV AGUNG KARYA",COUNTIF($I$10:I2490,"CV AGUNG KARYA")," ")</f>
        <v xml:space="preserve"> </v>
      </c>
      <c r="F2490" s="107" t="str">
        <f>IF(LEN(Table1722[[#This Row],[Uraian]])&gt;2,TRIM(RIGHT(SUBSTITUTE(TRIM(C2490)," ",REPT(" ",255)),255))," ")</f>
        <v xml:space="preserve"> </v>
      </c>
      <c r="G2490" s="110">
        <f>COPY!Z2482</f>
        <v>0</v>
      </c>
      <c r="H2490" s="111" t="str">
        <f>IFERROR(VLOOKUP(Table1722[[#This Row],[Bukti]],'Un nOTA'!$A$4:$K$5003,10,FALSE),"")</f>
        <v/>
      </c>
      <c r="I2490" s="112" t="str">
        <f>IFERROR(VLOOKUP(Table1722[[#This Row],[Bukti]],Table13[#Data],11,FALSE),"")</f>
        <v/>
      </c>
    </row>
    <row r="2491" spans="1:9" ht="19.5" hidden="1" customHeight="1" x14ac:dyDescent="0.2">
      <c r="A2491" s="105" t="str">
        <f>IF(D2491=1,COUNTIF($D$10:D2491,1)," ")</f>
        <v xml:space="preserve"> </v>
      </c>
      <c r="B2491" s="106">
        <f>COPY!AR2483</f>
        <v>0</v>
      </c>
      <c r="C2491" s="107">
        <f>COPY!AC2483</f>
        <v>0</v>
      </c>
      <c r="D2491" s="107" t="str">
        <f>IF(LEN(Table1722[[#This Row],[Uraian]])&gt;2,1," ")</f>
        <v xml:space="preserve"> </v>
      </c>
      <c r="E2491" s="113" t="str">
        <f>IF(Table1722[[#This Row],[Lawan Transaksi]]="CV AGUNG KARYA",COUNTIF($I$10:I2491,"CV AGUNG KARYA")," ")</f>
        <v xml:space="preserve"> </v>
      </c>
      <c r="F2491" s="107" t="str">
        <f>IF(LEN(Table1722[[#This Row],[Uraian]])&gt;2,TRIM(RIGHT(SUBSTITUTE(TRIM(C2491)," ",REPT(" ",255)),255))," ")</f>
        <v xml:space="preserve"> </v>
      </c>
      <c r="G2491" s="110">
        <f>COPY!Z2483</f>
        <v>0</v>
      </c>
      <c r="H2491" s="111" t="str">
        <f>IFERROR(VLOOKUP(Table1722[[#This Row],[Bukti]],'Un nOTA'!$A$4:$K$5003,10,FALSE),"")</f>
        <v/>
      </c>
      <c r="I2491" s="112" t="str">
        <f>IFERROR(VLOOKUP(Table1722[[#This Row],[Bukti]],Table13[#Data],11,FALSE),"")</f>
        <v/>
      </c>
    </row>
    <row r="2492" spans="1:9" ht="19.5" hidden="1" customHeight="1" x14ac:dyDescent="0.2">
      <c r="A2492" s="105" t="str">
        <f>IF(D2492=1,COUNTIF($D$10:D2492,1)," ")</f>
        <v xml:space="preserve"> </v>
      </c>
      <c r="B2492" s="106">
        <f>COPY!AR2484</f>
        <v>0</v>
      </c>
      <c r="C2492" s="107">
        <f>COPY!AC2484</f>
        <v>0</v>
      </c>
      <c r="D2492" s="107" t="str">
        <f>IF(LEN(Table1722[[#This Row],[Uraian]])&gt;2,1," ")</f>
        <v xml:space="preserve"> </v>
      </c>
      <c r="E2492" s="113" t="str">
        <f>IF(Table1722[[#This Row],[Lawan Transaksi]]="CV AGUNG KARYA",COUNTIF($I$10:I2492,"CV AGUNG KARYA")," ")</f>
        <v xml:space="preserve"> </v>
      </c>
      <c r="F2492" s="107" t="str">
        <f>IF(LEN(Table1722[[#This Row],[Uraian]])&gt;2,TRIM(RIGHT(SUBSTITUTE(TRIM(C2492)," ",REPT(" ",255)),255))," ")</f>
        <v xml:space="preserve"> </v>
      </c>
      <c r="G2492" s="110">
        <f>COPY!Z2484</f>
        <v>0</v>
      </c>
      <c r="H2492" s="111" t="str">
        <f>IFERROR(VLOOKUP(Table1722[[#This Row],[Bukti]],'Un nOTA'!$A$4:$K$5003,10,FALSE),"")</f>
        <v/>
      </c>
      <c r="I2492" s="112" t="str">
        <f>IFERROR(VLOOKUP(Table1722[[#This Row],[Bukti]],Table13[#Data],11,FALSE),"")</f>
        <v/>
      </c>
    </row>
    <row r="2493" spans="1:9" ht="19.5" hidden="1" customHeight="1" x14ac:dyDescent="0.2">
      <c r="A2493" s="105" t="str">
        <f>IF(D2493=1,COUNTIF($D$10:D2493,1)," ")</f>
        <v xml:space="preserve"> </v>
      </c>
      <c r="B2493" s="106">
        <f>COPY!AR2485</f>
        <v>0</v>
      </c>
      <c r="C2493" s="107">
        <f>COPY!AC2485</f>
        <v>0</v>
      </c>
      <c r="D2493" s="107" t="str">
        <f>IF(LEN(Table1722[[#This Row],[Uraian]])&gt;2,1," ")</f>
        <v xml:space="preserve"> </v>
      </c>
      <c r="E2493" s="113" t="str">
        <f>IF(Table1722[[#This Row],[Lawan Transaksi]]="CV AGUNG KARYA",COUNTIF($I$10:I2493,"CV AGUNG KARYA")," ")</f>
        <v xml:space="preserve"> </v>
      </c>
      <c r="F2493" s="107" t="str">
        <f>IF(LEN(Table1722[[#This Row],[Uraian]])&gt;2,TRIM(RIGHT(SUBSTITUTE(TRIM(C2493)," ",REPT(" ",255)),255))," ")</f>
        <v xml:space="preserve"> </v>
      </c>
      <c r="G2493" s="110">
        <f>COPY!Z2485</f>
        <v>0</v>
      </c>
      <c r="H2493" s="111" t="str">
        <f>IFERROR(VLOOKUP(Table1722[[#This Row],[Bukti]],'Un nOTA'!$A$4:$K$5003,10,FALSE),"")</f>
        <v/>
      </c>
      <c r="I2493" s="112" t="str">
        <f>IFERROR(VLOOKUP(Table1722[[#This Row],[Bukti]],Table13[#Data],11,FALSE),"")</f>
        <v/>
      </c>
    </row>
    <row r="2494" spans="1:9" ht="19.5" hidden="1" customHeight="1" x14ac:dyDescent="0.2">
      <c r="A2494" s="105" t="str">
        <f>IF(D2494=1,COUNTIF($D$10:D2494,1)," ")</f>
        <v xml:space="preserve"> </v>
      </c>
      <c r="B2494" s="106">
        <f>COPY!AR2486</f>
        <v>0</v>
      </c>
      <c r="C2494" s="107">
        <f>COPY!AC2486</f>
        <v>0</v>
      </c>
      <c r="D2494" s="107" t="str">
        <f>IF(LEN(Table1722[[#This Row],[Uraian]])&gt;2,1," ")</f>
        <v xml:space="preserve"> </v>
      </c>
      <c r="E2494" s="113" t="str">
        <f>IF(Table1722[[#This Row],[Lawan Transaksi]]="CV AGUNG KARYA",COUNTIF($I$10:I2494,"CV AGUNG KARYA")," ")</f>
        <v xml:space="preserve"> </v>
      </c>
      <c r="F2494" s="107" t="str">
        <f>IF(LEN(Table1722[[#This Row],[Uraian]])&gt;2,TRIM(RIGHT(SUBSTITUTE(TRIM(C2494)," ",REPT(" ",255)),255))," ")</f>
        <v xml:space="preserve"> </v>
      </c>
      <c r="G2494" s="110">
        <f>COPY!Z2486</f>
        <v>0</v>
      </c>
      <c r="H2494" s="111" t="str">
        <f>IFERROR(VLOOKUP(Table1722[[#This Row],[Bukti]],'Un nOTA'!$A$4:$K$5003,10,FALSE),"")</f>
        <v/>
      </c>
      <c r="I2494" s="112" t="str">
        <f>IFERROR(VLOOKUP(Table1722[[#This Row],[Bukti]],Table13[#Data],11,FALSE),"")</f>
        <v/>
      </c>
    </row>
    <row r="2495" spans="1:9" ht="19.5" hidden="1" customHeight="1" x14ac:dyDescent="0.2">
      <c r="A2495" s="105" t="str">
        <f>IF(D2495=1,COUNTIF($D$10:D2495,1)," ")</f>
        <v xml:space="preserve"> </v>
      </c>
      <c r="B2495" s="106">
        <f>COPY!AR2487</f>
        <v>0</v>
      </c>
      <c r="C2495" s="107">
        <f>COPY!AC2487</f>
        <v>0</v>
      </c>
      <c r="D2495" s="107" t="str">
        <f>IF(LEN(Table1722[[#This Row],[Uraian]])&gt;2,1," ")</f>
        <v xml:space="preserve"> </v>
      </c>
      <c r="E2495" s="113" t="str">
        <f>IF(Table1722[[#This Row],[Lawan Transaksi]]="CV AGUNG KARYA",COUNTIF($I$10:I2495,"CV AGUNG KARYA")," ")</f>
        <v xml:space="preserve"> </v>
      </c>
      <c r="F2495" s="107" t="str">
        <f>IF(LEN(Table1722[[#This Row],[Uraian]])&gt;2,TRIM(RIGHT(SUBSTITUTE(TRIM(C2495)," ",REPT(" ",255)),255))," ")</f>
        <v xml:space="preserve"> </v>
      </c>
      <c r="G2495" s="110">
        <f>COPY!Z2487</f>
        <v>0</v>
      </c>
      <c r="H2495" s="111" t="str">
        <f>IFERROR(VLOOKUP(Table1722[[#This Row],[Bukti]],'Un nOTA'!$A$4:$K$5003,10,FALSE),"")</f>
        <v/>
      </c>
      <c r="I2495" s="112" t="str">
        <f>IFERROR(VLOOKUP(Table1722[[#This Row],[Bukti]],Table13[#Data],11,FALSE),"")</f>
        <v/>
      </c>
    </row>
    <row r="2496" spans="1:9" ht="19.5" hidden="1" customHeight="1" x14ac:dyDescent="0.2">
      <c r="A2496" s="105" t="str">
        <f>IF(D2496=1,COUNTIF($D$10:D2496,1)," ")</f>
        <v xml:space="preserve"> </v>
      </c>
      <c r="B2496" s="106">
        <f>COPY!AR2488</f>
        <v>0</v>
      </c>
      <c r="C2496" s="107">
        <f>COPY!AC2488</f>
        <v>0</v>
      </c>
      <c r="D2496" s="107" t="str">
        <f>IF(LEN(Table1722[[#This Row],[Uraian]])&gt;2,1," ")</f>
        <v xml:space="preserve"> </v>
      </c>
      <c r="E2496" s="113" t="str">
        <f>IF(Table1722[[#This Row],[Lawan Transaksi]]="CV AGUNG KARYA",COUNTIF($I$10:I2496,"CV AGUNG KARYA")," ")</f>
        <v xml:space="preserve"> </v>
      </c>
      <c r="F2496" s="107" t="str">
        <f>IF(LEN(Table1722[[#This Row],[Uraian]])&gt;2,TRIM(RIGHT(SUBSTITUTE(TRIM(C2496)," ",REPT(" ",255)),255))," ")</f>
        <v xml:space="preserve"> </v>
      </c>
      <c r="G2496" s="110">
        <f>COPY!Z2488</f>
        <v>0</v>
      </c>
      <c r="H2496" s="111" t="str">
        <f>IFERROR(VLOOKUP(Table1722[[#This Row],[Bukti]],'Un nOTA'!$A$4:$K$5003,10,FALSE),"")</f>
        <v/>
      </c>
      <c r="I2496" s="112" t="str">
        <f>IFERROR(VLOOKUP(Table1722[[#This Row],[Bukti]],Table13[#Data],11,FALSE),"")</f>
        <v/>
      </c>
    </row>
    <row r="2497" spans="1:9" ht="19.5" hidden="1" customHeight="1" x14ac:dyDescent="0.2">
      <c r="A2497" s="105" t="str">
        <f>IF(D2497=1,COUNTIF($D$10:D2497,1)," ")</f>
        <v xml:space="preserve"> </v>
      </c>
      <c r="B2497" s="106">
        <f>COPY!AR2489</f>
        <v>0</v>
      </c>
      <c r="C2497" s="107">
        <f>COPY!AC2489</f>
        <v>0</v>
      </c>
      <c r="D2497" s="107" t="str">
        <f>IF(LEN(Table1722[[#This Row],[Uraian]])&gt;2,1," ")</f>
        <v xml:space="preserve"> </v>
      </c>
      <c r="E2497" s="113" t="str">
        <f>IF(Table1722[[#This Row],[Lawan Transaksi]]="CV AGUNG KARYA",COUNTIF($I$10:I2497,"CV AGUNG KARYA")," ")</f>
        <v xml:space="preserve"> </v>
      </c>
      <c r="F2497" s="107" t="str">
        <f>IF(LEN(Table1722[[#This Row],[Uraian]])&gt;2,TRIM(RIGHT(SUBSTITUTE(TRIM(C2497)," ",REPT(" ",255)),255))," ")</f>
        <v xml:space="preserve"> </v>
      </c>
      <c r="G2497" s="110">
        <f>COPY!Z2489</f>
        <v>0</v>
      </c>
      <c r="H2497" s="111" t="str">
        <f>IFERROR(VLOOKUP(Table1722[[#This Row],[Bukti]],'Un nOTA'!$A$4:$K$5003,10,FALSE),"")</f>
        <v/>
      </c>
      <c r="I2497" s="112" t="str">
        <f>IFERROR(VLOOKUP(Table1722[[#This Row],[Bukti]],Table13[#Data],11,FALSE),"")</f>
        <v/>
      </c>
    </row>
    <row r="2498" spans="1:9" ht="19.5" hidden="1" customHeight="1" x14ac:dyDescent="0.2">
      <c r="A2498" s="105" t="str">
        <f>IF(D2498=1,COUNTIF($D$10:D2498,1)," ")</f>
        <v xml:space="preserve"> </v>
      </c>
      <c r="B2498" s="106">
        <f>COPY!AR2490</f>
        <v>0</v>
      </c>
      <c r="C2498" s="107">
        <f>COPY!AC2490</f>
        <v>0</v>
      </c>
      <c r="D2498" s="107" t="str">
        <f>IF(LEN(Table1722[[#This Row],[Uraian]])&gt;2,1," ")</f>
        <v xml:space="preserve"> </v>
      </c>
      <c r="E2498" s="113" t="str">
        <f>IF(Table1722[[#This Row],[Lawan Transaksi]]="CV AGUNG KARYA",COUNTIF($I$10:I2498,"CV AGUNG KARYA")," ")</f>
        <v xml:space="preserve"> </v>
      </c>
      <c r="F2498" s="107" t="str">
        <f>IF(LEN(Table1722[[#This Row],[Uraian]])&gt;2,TRIM(RIGHT(SUBSTITUTE(TRIM(C2498)," ",REPT(" ",255)),255))," ")</f>
        <v xml:space="preserve"> </v>
      </c>
      <c r="G2498" s="110">
        <f>COPY!Z2490</f>
        <v>0</v>
      </c>
      <c r="H2498" s="111" t="str">
        <f>IFERROR(VLOOKUP(Table1722[[#This Row],[Bukti]],'Un nOTA'!$A$4:$K$5003,10,FALSE),"")</f>
        <v/>
      </c>
      <c r="I2498" s="112" t="str">
        <f>IFERROR(VLOOKUP(Table1722[[#This Row],[Bukti]],Table13[#Data],11,FALSE),"")</f>
        <v/>
      </c>
    </row>
    <row r="2499" spans="1:9" ht="19.5" hidden="1" customHeight="1" x14ac:dyDescent="0.2">
      <c r="A2499" s="105" t="str">
        <f>IF(D2499=1,COUNTIF($D$10:D2499,1)," ")</f>
        <v xml:space="preserve"> </v>
      </c>
      <c r="B2499" s="106">
        <f>COPY!AR2491</f>
        <v>0</v>
      </c>
      <c r="C2499" s="107">
        <f>COPY!AC2491</f>
        <v>0</v>
      </c>
      <c r="D2499" s="107" t="str">
        <f>IF(LEN(Table1722[[#This Row],[Uraian]])&gt;2,1," ")</f>
        <v xml:space="preserve"> </v>
      </c>
      <c r="E2499" s="113" t="str">
        <f>IF(Table1722[[#This Row],[Lawan Transaksi]]="CV AGUNG KARYA",COUNTIF($I$10:I2499,"CV AGUNG KARYA")," ")</f>
        <v xml:space="preserve"> </v>
      </c>
      <c r="F2499" s="107" t="str">
        <f>IF(LEN(Table1722[[#This Row],[Uraian]])&gt;2,TRIM(RIGHT(SUBSTITUTE(TRIM(C2499)," ",REPT(" ",255)),255))," ")</f>
        <v xml:space="preserve"> </v>
      </c>
      <c r="G2499" s="110">
        <f>COPY!Z2491</f>
        <v>0</v>
      </c>
      <c r="H2499" s="111" t="str">
        <f>IFERROR(VLOOKUP(Table1722[[#This Row],[Bukti]],'Un nOTA'!$A$4:$K$5003,10,FALSE),"")</f>
        <v/>
      </c>
      <c r="I2499" s="112" t="str">
        <f>IFERROR(VLOOKUP(Table1722[[#This Row],[Bukti]],Table13[#Data],11,FALSE),"")</f>
        <v/>
      </c>
    </row>
    <row r="2500" spans="1:9" ht="19.5" hidden="1" customHeight="1" x14ac:dyDescent="0.2">
      <c r="A2500" s="105" t="str">
        <f>IF(D2500=1,COUNTIF($D$10:D2500,1)," ")</f>
        <v xml:space="preserve"> </v>
      </c>
      <c r="B2500" s="106">
        <f>COPY!AR2492</f>
        <v>0</v>
      </c>
      <c r="C2500" s="107">
        <f>COPY!AC2492</f>
        <v>0</v>
      </c>
      <c r="D2500" s="107" t="str">
        <f>IF(LEN(Table1722[[#This Row],[Uraian]])&gt;2,1," ")</f>
        <v xml:space="preserve"> </v>
      </c>
      <c r="E2500" s="113" t="str">
        <f>IF(Table1722[[#This Row],[Lawan Transaksi]]="CV AGUNG KARYA",COUNTIF($I$10:I2500,"CV AGUNG KARYA")," ")</f>
        <v xml:space="preserve"> </v>
      </c>
      <c r="F2500" s="107" t="str">
        <f>IF(LEN(Table1722[[#This Row],[Uraian]])&gt;2,TRIM(RIGHT(SUBSTITUTE(TRIM(C2500)," ",REPT(" ",255)),255))," ")</f>
        <v xml:space="preserve"> </v>
      </c>
      <c r="G2500" s="110">
        <f>COPY!Z2492</f>
        <v>0</v>
      </c>
      <c r="H2500" s="111" t="str">
        <f>IFERROR(VLOOKUP(Table1722[[#This Row],[Bukti]],'Un nOTA'!$A$4:$K$5003,10,FALSE),"")</f>
        <v/>
      </c>
      <c r="I2500" s="112" t="str">
        <f>IFERROR(VLOOKUP(Table1722[[#This Row],[Bukti]],Table13[#Data],11,FALSE),"")</f>
        <v/>
      </c>
    </row>
    <row r="2501" spans="1:9" ht="19.5" hidden="1" customHeight="1" x14ac:dyDescent="0.2">
      <c r="A2501" s="105" t="str">
        <f>IF(D2501=1,COUNTIF($D$10:D2501,1)," ")</f>
        <v xml:space="preserve"> </v>
      </c>
      <c r="B2501" s="106">
        <f>COPY!AR2493</f>
        <v>0</v>
      </c>
      <c r="C2501" s="107">
        <f>COPY!AC2493</f>
        <v>0</v>
      </c>
      <c r="D2501" s="107" t="str">
        <f>IF(LEN(Table1722[[#This Row],[Uraian]])&gt;2,1," ")</f>
        <v xml:space="preserve"> </v>
      </c>
      <c r="E2501" s="113" t="str">
        <f>IF(Table1722[[#This Row],[Lawan Transaksi]]="CV AGUNG KARYA",COUNTIF($I$10:I2501,"CV AGUNG KARYA")," ")</f>
        <v xml:space="preserve"> </v>
      </c>
      <c r="F2501" s="107" t="str">
        <f>IF(LEN(Table1722[[#This Row],[Uraian]])&gt;2,TRIM(RIGHT(SUBSTITUTE(TRIM(C2501)," ",REPT(" ",255)),255))," ")</f>
        <v xml:space="preserve"> </v>
      </c>
      <c r="G2501" s="110">
        <f>COPY!Z2493</f>
        <v>0</v>
      </c>
      <c r="H2501" s="111" t="str">
        <f>IFERROR(VLOOKUP(Table1722[[#This Row],[Bukti]],'Un nOTA'!$A$4:$K$5003,10,FALSE),"")</f>
        <v/>
      </c>
      <c r="I2501" s="112" t="str">
        <f>IFERROR(VLOOKUP(Table1722[[#This Row],[Bukti]],Table13[#Data],11,FALSE),"")</f>
        <v/>
      </c>
    </row>
    <row r="2502" spans="1:9" ht="19.5" hidden="1" customHeight="1" x14ac:dyDescent="0.2">
      <c r="A2502" s="105" t="str">
        <f>IF(D2502=1,COUNTIF($D$10:D2502,1)," ")</f>
        <v xml:space="preserve"> </v>
      </c>
      <c r="B2502" s="106">
        <f>COPY!AR2494</f>
        <v>0</v>
      </c>
      <c r="C2502" s="107">
        <f>COPY!AC2494</f>
        <v>0</v>
      </c>
      <c r="D2502" s="107" t="str">
        <f>IF(LEN(Table1722[[#This Row],[Uraian]])&gt;2,1," ")</f>
        <v xml:space="preserve"> </v>
      </c>
      <c r="E2502" s="113" t="str">
        <f>IF(Table1722[[#This Row],[Lawan Transaksi]]="CV AGUNG KARYA",COUNTIF($I$10:I2502,"CV AGUNG KARYA")," ")</f>
        <v xml:space="preserve"> </v>
      </c>
      <c r="F2502" s="107" t="str">
        <f>IF(LEN(Table1722[[#This Row],[Uraian]])&gt;2,TRIM(RIGHT(SUBSTITUTE(TRIM(C2502)," ",REPT(" ",255)),255))," ")</f>
        <v xml:space="preserve"> </v>
      </c>
      <c r="G2502" s="110">
        <f>COPY!Z2494</f>
        <v>0</v>
      </c>
      <c r="H2502" s="111" t="str">
        <f>IFERROR(VLOOKUP(Table1722[[#This Row],[Bukti]],'Un nOTA'!$A$4:$K$5003,10,FALSE),"")</f>
        <v/>
      </c>
      <c r="I2502" s="112" t="str">
        <f>IFERROR(VLOOKUP(Table1722[[#This Row],[Bukti]],Table13[#Data],11,FALSE),"")</f>
        <v/>
      </c>
    </row>
    <row r="2503" spans="1:9" ht="19.5" hidden="1" customHeight="1" x14ac:dyDescent="0.2">
      <c r="A2503" s="105" t="str">
        <f>IF(D2503=1,COUNTIF($D$10:D2503,1)," ")</f>
        <v xml:space="preserve"> </v>
      </c>
      <c r="B2503" s="106">
        <f>COPY!AR2495</f>
        <v>0</v>
      </c>
      <c r="C2503" s="107">
        <f>COPY!AC2495</f>
        <v>0</v>
      </c>
      <c r="D2503" s="107" t="str">
        <f>IF(LEN(Table1722[[#This Row],[Uraian]])&gt;2,1," ")</f>
        <v xml:space="preserve"> </v>
      </c>
      <c r="E2503" s="113" t="str">
        <f>IF(Table1722[[#This Row],[Lawan Transaksi]]="CV AGUNG KARYA",COUNTIF($I$10:I2503,"CV AGUNG KARYA")," ")</f>
        <v xml:space="preserve"> </v>
      </c>
      <c r="F2503" s="107" t="str">
        <f>IF(LEN(Table1722[[#This Row],[Uraian]])&gt;2,TRIM(RIGHT(SUBSTITUTE(TRIM(C2503)," ",REPT(" ",255)),255))," ")</f>
        <v xml:space="preserve"> </v>
      </c>
      <c r="G2503" s="110">
        <f>COPY!Z2495</f>
        <v>0</v>
      </c>
      <c r="H2503" s="111" t="str">
        <f>IFERROR(VLOOKUP(Table1722[[#This Row],[Bukti]],'Un nOTA'!$A$4:$K$5003,10,FALSE),"")</f>
        <v/>
      </c>
      <c r="I2503" s="112" t="str">
        <f>IFERROR(VLOOKUP(Table1722[[#This Row],[Bukti]],Table13[#Data],11,FALSE),"")</f>
        <v/>
      </c>
    </row>
    <row r="2504" spans="1:9" ht="19.5" hidden="1" customHeight="1" x14ac:dyDescent="0.2">
      <c r="A2504" s="105" t="str">
        <f>IF(D2504=1,COUNTIF($D$10:D2504,1)," ")</f>
        <v xml:space="preserve"> </v>
      </c>
      <c r="B2504" s="106">
        <f>COPY!AR2496</f>
        <v>0</v>
      </c>
      <c r="C2504" s="107">
        <f>COPY!AC2496</f>
        <v>0</v>
      </c>
      <c r="D2504" s="107" t="str">
        <f>IF(LEN(Table1722[[#This Row],[Uraian]])&gt;2,1," ")</f>
        <v xml:space="preserve"> </v>
      </c>
      <c r="E2504" s="113" t="str">
        <f>IF(Table1722[[#This Row],[Lawan Transaksi]]="CV AGUNG KARYA",COUNTIF($I$10:I2504,"CV AGUNG KARYA")," ")</f>
        <v xml:space="preserve"> </v>
      </c>
      <c r="F2504" s="107" t="str">
        <f>IF(LEN(Table1722[[#This Row],[Uraian]])&gt;2,TRIM(RIGHT(SUBSTITUTE(TRIM(C2504)," ",REPT(" ",255)),255))," ")</f>
        <v xml:space="preserve"> </v>
      </c>
      <c r="G2504" s="110">
        <f>COPY!Z2496</f>
        <v>0</v>
      </c>
      <c r="H2504" s="111" t="str">
        <f>IFERROR(VLOOKUP(Table1722[[#This Row],[Bukti]],'Un nOTA'!$A$4:$K$5003,10,FALSE),"")</f>
        <v/>
      </c>
      <c r="I2504" s="112" t="str">
        <f>IFERROR(VLOOKUP(Table1722[[#This Row],[Bukti]],Table13[#Data],11,FALSE),"")</f>
        <v/>
      </c>
    </row>
    <row r="2505" spans="1:9" ht="19.5" hidden="1" customHeight="1" x14ac:dyDescent="0.2">
      <c r="A2505" s="105" t="str">
        <f>IF(D2505=1,COUNTIF($D$10:D2505,1)," ")</f>
        <v xml:space="preserve"> </v>
      </c>
      <c r="B2505" s="106">
        <f>COPY!AR2497</f>
        <v>0</v>
      </c>
      <c r="C2505" s="107">
        <f>COPY!AC2497</f>
        <v>0</v>
      </c>
      <c r="D2505" s="107" t="str">
        <f>IF(LEN(Table1722[[#This Row],[Uraian]])&gt;2,1," ")</f>
        <v xml:space="preserve"> </v>
      </c>
      <c r="E2505" s="113" t="str">
        <f>IF(Table1722[[#This Row],[Lawan Transaksi]]="CV AGUNG KARYA",COUNTIF($I$10:I2505,"CV AGUNG KARYA")," ")</f>
        <v xml:space="preserve"> </v>
      </c>
      <c r="F2505" s="107" t="str">
        <f>IF(LEN(Table1722[[#This Row],[Uraian]])&gt;2,TRIM(RIGHT(SUBSTITUTE(TRIM(C2505)," ",REPT(" ",255)),255))," ")</f>
        <v xml:space="preserve"> </v>
      </c>
      <c r="G2505" s="110">
        <f>COPY!Z2497</f>
        <v>0</v>
      </c>
      <c r="H2505" s="111" t="str">
        <f>IFERROR(VLOOKUP(Table1722[[#This Row],[Bukti]],'Un nOTA'!$A$4:$K$5003,10,FALSE),"")</f>
        <v/>
      </c>
      <c r="I2505" s="112" t="str">
        <f>IFERROR(VLOOKUP(Table1722[[#This Row],[Bukti]],Table13[#Data],11,FALSE),"")</f>
        <v/>
      </c>
    </row>
    <row r="2506" spans="1:9" ht="19.5" hidden="1" customHeight="1" x14ac:dyDescent="0.2">
      <c r="A2506" s="105" t="str">
        <f>IF(D2506=1,COUNTIF($D$10:D2506,1)," ")</f>
        <v xml:space="preserve"> </v>
      </c>
      <c r="B2506" s="106">
        <f>COPY!AR2498</f>
        <v>0</v>
      </c>
      <c r="C2506" s="107">
        <f>COPY!AC2498</f>
        <v>0</v>
      </c>
      <c r="D2506" s="107" t="str">
        <f>IF(LEN(Table1722[[#This Row],[Uraian]])&gt;2,1," ")</f>
        <v xml:space="preserve"> </v>
      </c>
      <c r="E2506" s="113" t="str">
        <f>IF(Table1722[[#This Row],[Lawan Transaksi]]="CV AGUNG KARYA",COUNTIF($I$10:I2506,"CV AGUNG KARYA")," ")</f>
        <v xml:space="preserve"> </v>
      </c>
      <c r="F2506" s="107" t="str">
        <f>IF(LEN(Table1722[[#This Row],[Uraian]])&gt;2,TRIM(RIGHT(SUBSTITUTE(TRIM(C2506)," ",REPT(" ",255)),255))," ")</f>
        <v xml:space="preserve"> </v>
      </c>
      <c r="G2506" s="110">
        <f>COPY!Z2498</f>
        <v>0</v>
      </c>
      <c r="H2506" s="111" t="str">
        <f>IFERROR(VLOOKUP(Table1722[[#This Row],[Bukti]],'Un nOTA'!$A$4:$K$5003,10,FALSE),"")</f>
        <v/>
      </c>
      <c r="I2506" s="112" t="str">
        <f>IFERROR(VLOOKUP(Table1722[[#This Row],[Bukti]],Table13[#Data],11,FALSE),"")</f>
        <v/>
      </c>
    </row>
    <row r="2507" spans="1:9" ht="19.5" hidden="1" customHeight="1" x14ac:dyDescent="0.2">
      <c r="A2507" s="105" t="str">
        <f>IF(D2507=1,COUNTIF($D$10:D2507,1)," ")</f>
        <v xml:space="preserve"> </v>
      </c>
      <c r="B2507" s="106">
        <f>COPY!AR2499</f>
        <v>0</v>
      </c>
      <c r="C2507" s="107">
        <f>COPY!AC2499</f>
        <v>0</v>
      </c>
      <c r="D2507" s="107" t="str">
        <f>IF(LEN(Table1722[[#This Row],[Uraian]])&gt;2,1," ")</f>
        <v xml:space="preserve"> </v>
      </c>
      <c r="E2507" s="113" t="str">
        <f>IF(Table1722[[#This Row],[Lawan Transaksi]]="CV AGUNG KARYA",COUNTIF($I$10:I2507,"CV AGUNG KARYA")," ")</f>
        <v xml:space="preserve"> </v>
      </c>
      <c r="F2507" s="107" t="str">
        <f>IF(LEN(Table1722[[#This Row],[Uraian]])&gt;2,TRIM(RIGHT(SUBSTITUTE(TRIM(C2507)," ",REPT(" ",255)),255))," ")</f>
        <v xml:space="preserve"> </v>
      </c>
      <c r="G2507" s="110">
        <f>COPY!Z2499</f>
        <v>0</v>
      </c>
      <c r="H2507" s="111" t="str">
        <f>IFERROR(VLOOKUP(Table1722[[#This Row],[Bukti]],'Un nOTA'!$A$4:$K$5003,10,FALSE),"")</f>
        <v/>
      </c>
      <c r="I2507" s="112" t="str">
        <f>IFERROR(VLOOKUP(Table1722[[#This Row],[Bukti]],Table13[#Data],11,FALSE),"")</f>
        <v/>
      </c>
    </row>
    <row r="2508" spans="1:9" ht="19.5" hidden="1" customHeight="1" x14ac:dyDescent="0.2">
      <c r="A2508" s="105" t="str">
        <f>IF(D2508=1,COUNTIF($D$10:D2508,1)," ")</f>
        <v xml:space="preserve"> </v>
      </c>
      <c r="B2508" s="106">
        <f>COPY!AR2500</f>
        <v>0</v>
      </c>
      <c r="C2508" s="107">
        <f>COPY!AC2500</f>
        <v>0</v>
      </c>
      <c r="D2508" s="107" t="str">
        <f>IF(LEN(Table1722[[#This Row],[Uraian]])&gt;2,1," ")</f>
        <v xml:space="preserve"> </v>
      </c>
      <c r="E2508" s="113" t="str">
        <f>IF(Table1722[[#This Row],[Lawan Transaksi]]="CV AGUNG KARYA",COUNTIF($I$10:I2508,"CV AGUNG KARYA")," ")</f>
        <v xml:space="preserve"> </v>
      </c>
      <c r="F2508" s="107" t="str">
        <f>IF(LEN(Table1722[[#This Row],[Uraian]])&gt;2,TRIM(RIGHT(SUBSTITUTE(TRIM(C2508)," ",REPT(" ",255)),255))," ")</f>
        <v xml:space="preserve"> </v>
      </c>
      <c r="G2508" s="110">
        <f>COPY!Z2500</f>
        <v>0</v>
      </c>
      <c r="H2508" s="111" t="str">
        <f>IFERROR(VLOOKUP(Table1722[[#This Row],[Bukti]],'Un nOTA'!$A$4:$K$5003,10,FALSE),"")</f>
        <v/>
      </c>
      <c r="I2508" s="112" t="str">
        <f>IFERROR(VLOOKUP(Table1722[[#This Row],[Bukti]],Table13[#Data],11,FALSE),"")</f>
        <v/>
      </c>
    </row>
    <row r="2509" spans="1:9" ht="19.5" hidden="1" customHeight="1" x14ac:dyDescent="0.2">
      <c r="A2509" s="105" t="str">
        <f>IF(D2509=1,COUNTIF($D$10:D2509,1)," ")</f>
        <v xml:space="preserve"> </v>
      </c>
      <c r="B2509" s="106">
        <f>COPY!AR2501</f>
        <v>0</v>
      </c>
      <c r="C2509" s="107">
        <f>COPY!AC2501</f>
        <v>0</v>
      </c>
      <c r="D2509" s="107" t="str">
        <f>IF(LEN(Table1722[[#This Row],[Uraian]])&gt;2,1," ")</f>
        <v xml:space="preserve"> </v>
      </c>
      <c r="E2509" s="113" t="str">
        <f>IF(Table1722[[#This Row],[Lawan Transaksi]]="CV AGUNG KARYA",COUNTIF($I$10:I2509,"CV AGUNG KARYA")," ")</f>
        <v xml:space="preserve"> </v>
      </c>
      <c r="F2509" s="107" t="str">
        <f>IF(LEN(Table1722[[#This Row],[Uraian]])&gt;2,TRIM(RIGHT(SUBSTITUTE(TRIM(C2509)," ",REPT(" ",255)),255))," ")</f>
        <v xml:space="preserve"> </v>
      </c>
      <c r="G2509" s="110">
        <f>COPY!Z2501</f>
        <v>0</v>
      </c>
      <c r="H2509" s="111" t="str">
        <f>IFERROR(VLOOKUP(Table1722[[#This Row],[Bukti]],'Un nOTA'!$A$4:$K$5003,10,FALSE),"")</f>
        <v/>
      </c>
      <c r="I2509" s="112" t="str">
        <f>IFERROR(VLOOKUP(Table1722[[#This Row],[Bukti]],Table13[#Data],11,FALSE),"")</f>
        <v/>
      </c>
    </row>
    <row r="2510" spans="1:9" ht="19.5" hidden="1" customHeight="1" x14ac:dyDescent="0.2">
      <c r="A2510" s="105" t="str">
        <f>IF(D2510=1,COUNTIF($D$10:D2510,1)," ")</f>
        <v xml:space="preserve"> </v>
      </c>
      <c r="B2510" s="106">
        <f>COPY!AR2502</f>
        <v>0</v>
      </c>
      <c r="C2510" s="107">
        <f>COPY!AC2502</f>
        <v>0</v>
      </c>
      <c r="D2510" s="107" t="str">
        <f>IF(LEN(Table1722[[#This Row],[Uraian]])&gt;2,1," ")</f>
        <v xml:space="preserve"> </v>
      </c>
      <c r="E2510" s="113" t="str">
        <f>IF(Table1722[[#This Row],[Lawan Transaksi]]="CV AGUNG KARYA",COUNTIF($I$10:I2510,"CV AGUNG KARYA")," ")</f>
        <v xml:space="preserve"> </v>
      </c>
      <c r="F2510" s="107" t="str">
        <f>IF(LEN(Table1722[[#This Row],[Uraian]])&gt;2,TRIM(RIGHT(SUBSTITUTE(TRIM(C2510)," ",REPT(" ",255)),255))," ")</f>
        <v xml:space="preserve"> </v>
      </c>
      <c r="G2510" s="110">
        <f>COPY!Z2502</f>
        <v>0</v>
      </c>
      <c r="H2510" s="111" t="str">
        <f>IFERROR(VLOOKUP(Table1722[[#This Row],[Bukti]],'Un nOTA'!$A$4:$K$5003,10,FALSE),"")</f>
        <v/>
      </c>
      <c r="I2510" s="112" t="str">
        <f>IFERROR(VLOOKUP(Table1722[[#This Row],[Bukti]],Table13[#Data],11,FALSE),"")</f>
        <v/>
      </c>
    </row>
    <row r="2511" spans="1:9" ht="19.5" hidden="1" customHeight="1" x14ac:dyDescent="0.2">
      <c r="A2511" s="105" t="str">
        <f>IF(D2511=1,COUNTIF($D$10:D2511,1)," ")</f>
        <v xml:space="preserve"> </v>
      </c>
      <c r="B2511" s="106">
        <f>COPY!AR2503</f>
        <v>0</v>
      </c>
      <c r="C2511" s="107">
        <f>COPY!AC2503</f>
        <v>0</v>
      </c>
      <c r="D2511" s="107" t="str">
        <f>IF(LEN(Table1722[[#This Row],[Uraian]])&gt;2,1," ")</f>
        <v xml:space="preserve"> </v>
      </c>
      <c r="E2511" s="113" t="str">
        <f>IF(Table1722[[#This Row],[Lawan Transaksi]]="CV AGUNG KARYA",COUNTIF($I$10:I2511,"CV AGUNG KARYA")," ")</f>
        <v xml:space="preserve"> </v>
      </c>
      <c r="F2511" s="107" t="str">
        <f>IF(LEN(Table1722[[#This Row],[Uraian]])&gt;2,TRIM(RIGHT(SUBSTITUTE(TRIM(C2511)," ",REPT(" ",255)),255))," ")</f>
        <v xml:space="preserve"> </v>
      </c>
      <c r="G2511" s="110">
        <f>COPY!Z2503</f>
        <v>0</v>
      </c>
      <c r="H2511" s="111" t="str">
        <f>IFERROR(VLOOKUP(Table1722[[#This Row],[Bukti]],'Un nOTA'!$A$4:$K$5003,10,FALSE),"")</f>
        <v/>
      </c>
      <c r="I2511" s="112" t="str">
        <f>IFERROR(VLOOKUP(Table1722[[#This Row],[Bukti]],Table13[#Data],11,FALSE),"")</f>
        <v/>
      </c>
    </row>
    <row r="2512" spans="1:9" ht="19.5" hidden="1" customHeight="1" x14ac:dyDescent="0.2">
      <c r="A2512" s="105" t="str">
        <f>IF(D2512=1,COUNTIF($D$10:D2512,1)," ")</f>
        <v xml:space="preserve"> </v>
      </c>
      <c r="B2512" s="106">
        <f>COPY!AR2504</f>
        <v>0</v>
      </c>
      <c r="C2512" s="107">
        <f>COPY!AC2504</f>
        <v>0</v>
      </c>
      <c r="D2512" s="107" t="str">
        <f>IF(LEN(Table1722[[#This Row],[Uraian]])&gt;2,1," ")</f>
        <v xml:space="preserve"> </v>
      </c>
      <c r="E2512" s="113" t="str">
        <f>IF(Table1722[[#This Row],[Lawan Transaksi]]="CV AGUNG KARYA",COUNTIF($I$10:I2512,"CV AGUNG KARYA")," ")</f>
        <v xml:space="preserve"> </v>
      </c>
      <c r="F2512" s="107" t="str">
        <f>IF(LEN(Table1722[[#This Row],[Uraian]])&gt;2,TRIM(RIGHT(SUBSTITUTE(TRIM(C2512)," ",REPT(" ",255)),255))," ")</f>
        <v xml:space="preserve"> </v>
      </c>
      <c r="G2512" s="110">
        <f>COPY!Z2504</f>
        <v>0</v>
      </c>
      <c r="H2512" s="111" t="str">
        <f>IFERROR(VLOOKUP(Table1722[[#This Row],[Bukti]],'Un nOTA'!$A$4:$K$5003,10,FALSE),"")</f>
        <v/>
      </c>
      <c r="I2512" s="112" t="str">
        <f>IFERROR(VLOOKUP(Table1722[[#This Row],[Bukti]],Table13[#Data],11,FALSE),"")</f>
        <v/>
      </c>
    </row>
    <row r="2513" spans="1:9" ht="19.5" hidden="1" customHeight="1" x14ac:dyDescent="0.2">
      <c r="A2513" s="105" t="str">
        <f>IF(D2513=1,COUNTIF($D$10:D2513,1)," ")</f>
        <v xml:space="preserve"> </v>
      </c>
      <c r="B2513" s="106">
        <f>COPY!AR2505</f>
        <v>0</v>
      </c>
      <c r="C2513" s="107">
        <f>COPY!AC2505</f>
        <v>0</v>
      </c>
      <c r="D2513" s="107" t="str">
        <f>IF(LEN(Table1722[[#This Row],[Uraian]])&gt;2,1," ")</f>
        <v xml:space="preserve"> </v>
      </c>
      <c r="E2513" s="113" t="str">
        <f>IF(Table1722[[#This Row],[Lawan Transaksi]]="CV AGUNG KARYA",COUNTIF($I$10:I2513,"CV AGUNG KARYA")," ")</f>
        <v xml:space="preserve"> </v>
      </c>
      <c r="F2513" s="107" t="str">
        <f>IF(LEN(Table1722[[#This Row],[Uraian]])&gt;2,TRIM(RIGHT(SUBSTITUTE(TRIM(C2513)," ",REPT(" ",255)),255))," ")</f>
        <v xml:space="preserve"> </v>
      </c>
      <c r="G2513" s="110">
        <f>COPY!Z2505</f>
        <v>0</v>
      </c>
      <c r="H2513" s="111" t="str">
        <f>IFERROR(VLOOKUP(Table1722[[#This Row],[Bukti]],'Un nOTA'!$A$4:$K$5003,10,FALSE),"")</f>
        <v/>
      </c>
      <c r="I2513" s="112" t="str">
        <f>IFERROR(VLOOKUP(Table1722[[#This Row],[Bukti]],Table13[#Data],11,FALSE),"")</f>
        <v/>
      </c>
    </row>
    <row r="2514" spans="1:9" ht="19.5" hidden="1" customHeight="1" x14ac:dyDescent="0.2">
      <c r="A2514" s="105" t="str">
        <f>IF(D2514=1,COUNTIF($D$10:D2514,1)," ")</f>
        <v xml:space="preserve"> </v>
      </c>
      <c r="B2514" s="106">
        <f>COPY!AR2506</f>
        <v>0</v>
      </c>
      <c r="C2514" s="107">
        <f>COPY!AC2506</f>
        <v>0</v>
      </c>
      <c r="D2514" s="107" t="str">
        <f>IF(LEN(Table1722[[#This Row],[Uraian]])&gt;2,1," ")</f>
        <v xml:space="preserve"> </v>
      </c>
      <c r="E2514" s="113" t="str">
        <f>IF(Table1722[[#This Row],[Lawan Transaksi]]="CV AGUNG KARYA",COUNTIF($I$10:I2514,"CV AGUNG KARYA")," ")</f>
        <v xml:space="preserve"> </v>
      </c>
      <c r="F2514" s="107" t="str">
        <f>IF(LEN(Table1722[[#This Row],[Uraian]])&gt;2,TRIM(RIGHT(SUBSTITUTE(TRIM(C2514)," ",REPT(" ",255)),255))," ")</f>
        <v xml:space="preserve"> </v>
      </c>
      <c r="G2514" s="110">
        <f>COPY!Z2506</f>
        <v>0</v>
      </c>
      <c r="H2514" s="111" t="str">
        <f>IFERROR(VLOOKUP(Table1722[[#This Row],[Bukti]],'Un nOTA'!$A$4:$K$5003,10,FALSE),"")</f>
        <v/>
      </c>
      <c r="I2514" s="112" t="str">
        <f>IFERROR(VLOOKUP(Table1722[[#This Row],[Bukti]],Table13[#Data],11,FALSE),"")</f>
        <v/>
      </c>
    </row>
    <row r="2515" spans="1:9" ht="19.5" hidden="1" customHeight="1" x14ac:dyDescent="0.2">
      <c r="A2515" s="105" t="str">
        <f>IF(D2515=1,COUNTIF($D$10:D2515,1)," ")</f>
        <v xml:space="preserve"> </v>
      </c>
      <c r="B2515" s="106">
        <f>COPY!AR2507</f>
        <v>0</v>
      </c>
      <c r="C2515" s="107">
        <f>COPY!AC2507</f>
        <v>0</v>
      </c>
      <c r="D2515" s="107" t="str">
        <f>IF(LEN(Table1722[[#This Row],[Uraian]])&gt;2,1," ")</f>
        <v xml:space="preserve"> </v>
      </c>
      <c r="E2515" s="113" t="str">
        <f>IF(Table1722[[#This Row],[Lawan Transaksi]]="CV AGUNG KARYA",COUNTIF($I$10:I2515,"CV AGUNG KARYA")," ")</f>
        <v xml:space="preserve"> </v>
      </c>
      <c r="F2515" s="107" t="str">
        <f>IF(LEN(Table1722[[#This Row],[Uraian]])&gt;2,TRIM(RIGHT(SUBSTITUTE(TRIM(C2515)," ",REPT(" ",255)),255))," ")</f>
        <v xml:space="preserve"> </v>
      </c>
      <c r="G2515" s="110">
        <f>COPY!Z2507</f>
        <v>0</v>
      </c>
      <c r="H2515" s="111" t="str">
        <f>IFERROR(VLOOKUP(Table1722[[#This Row],[Bukti]],'Un nOTA'!$A$4:$K$5003,10,FALSE),"")</f>
        <v/>
      </c>
      <c r="I2515" s="112" t="str">
        <f>IFERROR(VLOOKUP(Table1722[[#This Row],[Bukti]],Table13[#Data],11,FALSE),"")</f>
        <v/>
      </c>
    </row>
    <row r="2516" spans="1:9" ht="19.5" hidden="1" customHeight="1" x14ac:dyDescent="0.2">
      <c r="A2516" s="105" t="str">
        <f>IF(D2516=1,COUNTIF($D$10:D2516,1)," ")</f>
        <v xml:space="preserve"> </v>
      </c>
      <c r="B2516" s="106">
        <f>COPY!AR2508</f>
        <v>0</v>
      </c>
      <c r="C2516" s="107">
        <f>COPY!AC2508</f>
        <v>0</v>
      </c>
      <c r="D2516" s="107" t="str">
        <f>IF(LEN(Table1722[[#This Row],[Uraian]])&gt;2,1," ")</f>
        <v xml:space="preserve"> </v>
      </c>
      <c r="E2516" s="113" t="str">
        <f>IF(Table1722[[#This Row],[Lawan Transaksi]]="CV AGUNG KARYA",COUNTIF($I$10:I2516,"CV AGUNG KARYA")," ")</f>
        <v xml:space="preserve"> </v>
      </c>
      <c r="F2516" s="107" t="str">
        <f>IF(LEN(Table1722[[#This Row],[Uraian]])&gt;2,TRIM(RIGHT(SUBSTITUTE(TRIM(C2516)," ",REPT(" ",255)),255))," ")</f>
        <v xml:space="preserve"> </v>
      </c>
      <c r="G2516" s="110">
        <f>COPY!Z2508</f>
        <v>0</v>
      </c>
      <c r="H2516" s="111" t="str">
        <f>IFERROR(VLOOKUP(Table1722[[#This Row],[Bukti]],'Un nOTA'!$A$4:$K$5003,10,FALSE),"")</f>
        <v/>
      </c>
      <c r="I2516" s="112" t="str">
        <f>IFERROR(VLOOKUP(Table1722[[#This Row],[Bukti]],Table13[#Data],11,FALSE),"")</f>
        <v/>
      </c>
    </row>
    <row r="2517" spans="1:9" ht="19.5" hidden="1" customHeight="1" x14ac:dyDescent="0.2">
      <c r="A2517" s="105" t="str">
        <f>IF(D2517=1,COUNTIF($D$10:D2517,1)," ")</f>
        <v xml:space="preserve"> </v>
      </c>
      <c r="B2517" s="106">
        <f>COPY!AR2509</f>
        <v>0</v>
      </c>
      <c r="C2517" s="107">
        <f>COPY!AC2509</f>
        <v>0</v>
      </c>
      <c r="D2517" s="107" t="str">
        <f>IF(LEN(Table1722[[#This Row],[Uraian]])&gt;2,1," ")</f>
        <v xml:space="preserve"> </v>
      </c>
      <c r="E2517" s="113" t="str">
        <f>IF(Table1722[[#This Row],[Lawan Transaksi]]="CV AGUNG KARYA",COUNTIF($I$10:I2517,"CV AGUNG KARYA")," ")</f>
        <v xml:space="preserve"> </v>
      </c>
      <c r="F2517" s="107" t="str">
        <f>IF(LEN(Table1722[[#This Row],[Uraian]])&gt;2,TRIM(RIGHT(SUBSTITUTE(TRIM(C2517)," ",REPT(" ",255)),255))," ")</f>
        <v xml:space="preserve"> </v>
      </c>
      <c r="G2517" s="110">
        <f>COPY!Z2509</f>
        <v>0</v>
      </c>
      <c r="H2517" s="111" t="str">
        <f>IFERROR(VLOOKUP(Table1722[[#This Row],[Bukti]],'Un nOTA'!$A$4:$K$5003,10,FALSE),"")</f>
        <v/>
      </c>
      <c r="I2517" s="112" t="str">
        <f>IFERROR(VLOOKUP(Table1722[[#This Row],[Bukti]],Table13[#Data],11,FALSE),"")</f>
        <v/>
      </c>
    </row>
    <row r="2518" spans="1:9" ht="19.5" hidden="1" customHeight="1" x14ac:dyDescent="0.2">
      <c r="A2518" s="105" t="str">
        <f>IF(D2518=1,COUNTIF($D$10:D2518,1)," ")</f>
        <v xml:space="preserve"> </v>
      </c>
      <c r="B2518" s="106">
        <f>COPY!AR2510</f>
        <v>0</v>
      </c>
      <c r="C2518" s="107">
        <f>COPY!AC2510</f>
        <v>0</v>
      </c>
      <c r="D2518" s="107" t="str">
        <f>IF(LEN(Table1722[[#This Row],[Uraian]])&gt;2,1," ")</f>
        <v xml:space="preserve"> </v>
      </c>
      <c r="E2518" s="113" t="str">
        <f>IF(Table1722[[#This Row],[Lawan Transaksi]]="CV AGUNG KARYA",COUNTIF($I$10:I2518,"CV AGUNG KARYA")," ")</f>
        <v xml:space="preserve"> </v>
      </c>
      <c r="F2518" s="107" t="str">
        <f>IF(LEN(Table1722[[#This Row],[Uraian]])&gt;2,TRIM(RIGHT(SUBSTITUTE(TRIM(C2518)," ",REPT(" ",255)),255))," ")</f>
        <v xml:space="preserve"> </v>
      </c>
      <c r="G2518" s="110">
        <f>COPY!Z2510</f>
        <v>0</v>
      </c>
      <c r="H2518" s="111" t="str">
        <f>IFERROR(VLOOKUP(Table1722[[#This Row],[Bukti]],'Un nOTA'!$A$4:$K$5003,10,FALSE),"")</f>
        <v/>
      </c>
      <c r="I2518" s="112" t="str">
        <f>IFERROR(VLOOKUP(Table1722[[#This Row],[Bukti]],Table13[#Data],11,FALSE),"")</f>
        <v/>
      </c>
    </row>
    <row r="2519" spans="1:9" ht="19.5" hidden="1" customHeight="1" x14ac:dyDescent="0.2">
      <c r="A2519" s="105" t="str">
        <f>IF(D2519=1,COUNTIF($D$10:D2519,1)," ")</f>
        <v xml:space="preserve"> </v>
      </c>
      <c r="B2519" s="106">
        <f>COPY!AR2511</f>
        <v>0</v>
      </c>
      <c r="C2519" s="107">
        <f>COPY!AC2511</f>
        <v>0</v>
      </c>
      <c r="D2519" s="107" t="str">
        <f>IF(LEN(Table1722[[#This Row],[Uraian]])&gt;2,1," ")</f>
        <v xml:space="preserve"> </v>
      </c>
      <c r="E2519" s="113" t="str">
        <f>IF(Table1722[[#This Row],[Lawan Transaksi]]="CV AGUNG KARYA",COUNTIF($I$10:I2519,"CV AGUNG KARYA")," ")</f>
        <v xml:space="preserve"> </v>
      </c>
      <c r="F2519" s="107" t="str">
        <f>IF(LEN(Table1722[[#This Row],[Uraian]])&gt;2,TRIM(RIGHT(SUBSTITUTE(TRIM(C2519)," ",REPT(" ",255)),255))," ")</f>
        <v xml:space="preserve"> </v>
      </c>
      <c r="G2519" s="110">
        <f>COPY!Z2511</f>
        <v>0</v>
      </c>
      <c r="H2519" s="111" t="str">
        <f>IFERROR(VLOOKUP(Table1722[[#This Row],[Bukti]],'Un nOTA'!$A$4:$K$5003,10,FALSE),"")</f>
        <v/>
      </c>
      <c r="I2519" s="112" t="str">
        <f>IFERROR(VLOOKUP(Table1722[[#This Row],[Bukti]],Table13[#Data],11,FALSE),"")</f>
        <v/>
      </c>
    </row>
    <row r="2520" spans="1:9" ht="19.5" hidden="1" customHeight="1" x14ac:dyDescent="0.2">
      <c r="A2520" s="105" t="str">
        <f>IF(D2520=1,COUNTIF($D$10:D2520,1)," ")</f>
        <v xml:space="preserve"> </v>
      </c>
      <c r="B2520" s="106">
        <f>COPY!AR2512</f>
        <v>0</v>
      </c>
      <c r="C2520" s="107">
        <f>COPY!AC2512</f>
        <v>0</v>
      </c>
      <c r="D2520" s="107" t="str">
        <f>IF(LEN(Table1722[[#This Row],[Uraian]])&gt;2,1," ")</f>
        <v xml:space="preserve"> </v>
      </c>
      <c r="E2520" s="113" t="str">
        <f>IF(Table1722[[#This Row],[Lawan Transaksi]]="CV AGUNG KARYA",COUNTIF($I$10:I2520,"CV AGUNG KARYA")," ")</f>
        <v xml:space="preserve"> </v>
      </c>
      <c r="F2520" s="107" t="str">
        <f>IF(LEN(Table1722[[#This Row],[Uraian]])&gt;2,TRIM(RIGHT(SUBSTITUTE(TRIM(C2520)," ",REPT(" ",255)),255))," ")</f>
        <v xml:space="preserve"> </v>
      </c>
      <c r="G2520" s="110">
        <f>COPY!Z2512</f>
        <v>0</v>
      </c>
      <c r="H2520" s="111" t="str">
        <f>IFERROR(VLOOKUP(Table1722[[#This Row],[Bukti]],'Un nOTA'!$A$4:$K$5003,10,FALSE),"")</f>
        <v/>
      </c>
      <c r="I2520" s="112" t="str">
        <f>IFERROR(VLOOKUP(Table1722[[#This Row],[Bukti]],Table13[#Data],11,FALSE),"")</f>
        <v/>
      </c>
    </row>
    <row r="2521" spans="1:9" ht="19.5" hidden="1" customHeight="1" x14ac:dyDescent="0.2">
      <c r="A2521" s="105" t="str">
        <f>IF(D2521=1,COUNTIF($D$10:D2521,1)," ")</f>
        <v xml:space="preserve"> </v>
      </c>
      <c r="B2521" s="106">
        <f>COPY!AR2513</f>
        <v>0</v>
      </c>
      <c r="C2521" s="107">
        <f>COPY!AC2513</f>
        <v>0</v>
      </c>
      <c r="D2521" s="107" t="str">
        <f>IF(LEN(Table1722[[#This Row],[Uraian]])&gt;2,1," ")</f>
        <v xml:space="preserve"> </v>
      </c>
      <c r="E2521" s="113" t="str">
        <f>IF(Table1722[[#This Row],[Lawan Transaksi]]="CV AGUNG KARYA",COUNTIF($I$10:I2521,"CV AGUNG KARYA")," ")</f>
        <v xml:space="preserve"> </v>
      </c>
      <c r="F2521" s="107" t="str">
        <f>IF(LEN(Table1722[[#This Row],[Uraian]])&gt;2,TRIM(RIGHT(SUBSTITUTE(TRIM(C2521)," ",REPT(" ",255)),255))," ")</f>
        <v xml:space="preserve"> </v>
      </c>
      <c r="G2521" s="110">
        <f>COPY!Z2513</f>
        <v>0</v>
      </c>
      <c r="H2521" s="111" t="str">
        <f>IFERROR(VLOOKUP(Table1722[[#This Row],[Bukti]],'Un nOTA'!$A$4:$K$5003,10,FALSE),"")</f>
        <v/>
      </c>
      <c r="I2521" s="112" t="str">
        <f>IFERROR(VLOOKUP(Table1722[[#This Row],[Bukti]],Table13[#Data],11,FALSE),"")</f>
        <v/>
      </c>
    </row>
    <row r="2522" spans="1:9" ht="19.5" hidden="1" customHeight="1" x14ac:dyDescent="0.2">
      <c r="A2522" s="105" t="str">
        <f>IF(D2522=1,COUNTIF($D$10:D2522,1)," ")</f>
        <v xml:space="preserve"> </v>
      </c>
      <c r="B2522" s="106">
        <f>COPY!AR2514</f>
        <v>0</v>
      </c>
      <c r="C2522" s="107">
        <f>COPY!AC2514</f>
        <v>0</v>
      </c>
      <c r="D2522" s="107" t="str">
        <f>IF(LEN(Table1722[[#This Row],[Uraian]])&gt;2,1," ")</f>
        <v xml:space="preserve"> </v>
      </c>
      <c r="E2522" s="113" t="str">
        <f>IF(Table1722[[#This Row],[Lawan Transaksi]]="CV AGUNG KARYA",COUNTIF($I$10:I2522,"CV AGUNG KARYA")," ")</f>
        <v xml:space="preserve"> </v>
      </c>
      <c r="F2522" s="107" t="str">
        <f>IF(LEN(Table1722[[#This Row],[Uraian]])&gt;2,TRIM(RIGHT(SUBSTITUTE(TRIM(C2522)," ",REPT(" ",255)),255))," ")</f>
        <v xml:space="preserve"> </v>
      </c>
      <c r="G2522" s="110">
        <f>COPY!Z2514</f>
        <v>0</v>
      </c>
      <c r="H2522" s="111" t="str">
        <f>IFERROR(VLOOKUP(Table1722[[#This Row],[Bukti]],'Un nOTA'!$A$4:$K$5003,10,FALSE),"")</f>
        <v/>
      </c>
      <c r="I2522" s="112" t="str">
        <f>IFERROR(VLOOKUP(Table1722[[#This Row],[Bukti]],Table13[#Data],11,FALSE),"")</f>
        <v/>
      </c>
    </row>
    <row r="2523" spans="1:9" ht="19.5" hidden="1" customHeight="1" x14ac:dyDescent="0.2">
      <c r="A2523" s="105" t="str">
        <f>IF(D2523=1,COUNTIF($D$10:D2523,1)," ")</f>
        <v xml:space="preserve"> </v>
      </c>
      <c r="B2523" s="106">
        <f>COPY!AR2515</f>
        <v>0</v>
      </c>
      <c r="C2523" s="107">
        <f>COPY!AC2515</f>
        <v>0</v>
      </c>
      <c r="D2523" s="107" t="str">
        <f>IF(LEN(Table1722[[#This Row],[Uraian]])&gt;2,1," ")</f>
        <v xml:space="preserve"> </v>
      </c>
      <c r="E2523" s="113" t="str">
        <f>IF(Table1722[[#This Row],[Lawan Transaksi]]="CV AGUNG KARYA",COUNTIF($I$10:I2523,"CV AGUNG KARYA")," ")</f>
        <v xml:space="preserve"> </v>
      </c>
      <c r="F2523" s="107" t="str">
        <f>IF(LEN(Table1722[[#This Row],[Uraian]])&gt;2,TRIM(RIGHT(SUBSTITUTE(TRIM(C2523)," ",REPT(" ",255)),255))," ")</f>
        <v xml:space="preserve"> </v>
      </c>
      <c r="G2523" s="110">
        <f>COPY!Z2515</f>
        <v>0</v>
      </c>
      <c r="H2523" s="111" t="str">
        <f>IFERROR(VLOOKUP(Table1722[[#This Row],[Bukti]],'Un nOTA'!$A$4:$K$5003,10,FALSE),"")</f>
        <v/>
      </c>
      <c r="I2523" s="112" t="str">
        <f>IFERROR(VLOOKUP(Table1722[[#This Row],[Bukti]],Table13[#Data],11,FALSE),"")</f>
        <v/>
      </c>
    </row>
    <row r="2524" spans="1:9" ht="19.5" hidden="1" customHeight="1" x14ac:dyDescent="0.2">
      <c r="A2524" s="105" t="str">
        <f>IF(D2524=1,COUNTIF($D$10:D2524,1)," ")</f>
        <v xml:space="preserve"> </v>
      </c>
      <c r="B2524" s="106">
        <f>COPY!AR2516</f>
        <v>0</v>
      </c>
      <c r="C2524" s="107">
        <f>COPY!AC2516</f>
        <v>0</v>
      </c>
      <c r="D2524" s="107" t="str">
        <f>IF(LEN(Table1722[[#This Row],[Uraian]])&gt;2,1," ")</f>
        <v xml:space="preserve"> </v>
      </c>
      <c r="E2524" s="113" t="str">
        <f>IF(Table1722[[#This Row],[Lawan Transaksi]]="CV AGUNG KARYA",COUNTIF($I$10:I2524,"CV AGUNG KARYA")," ")</f>
        <v xml:space="preserve"> </v>
      </c>
      <c r="F2524" s="107" t="str">
        <f>IF(LEN(Table1722[[#This Row],[Uraian]])&gt;2,TRIM(RIGHT(SUBSTITUTE(TRIM(C2524)," ",REPT(" ",255)),255))," ")</f>
        <v xml:space="preserve"> </v>
      </c>
      <c r="G2524" s="110">
        <f>COPY!Z2516</f>
        <v>0</v>
      </c>
      <c r="H2524" s="111" t="str">
        <f>IFERROR(VLOOKUP(Table1722[[#This Row],[Bukti]],'Un nOTA'!$A$4:$K$5003,10,FALSE),"")</f>
        <v/>
      </c>
      <c r="I2524" s="112" t="str">
        <f>IFERROR(VLOOKUP(Table1722[[#This Row],[Bukti]],Table13[#Data],11,FALSE),"")</f>
        <v/>
      </c>
    </row>
    <row r="2525" spans="1:9" ht="19.5" hidden="1" customHeight="1" x14ac:dyDescent="0.2">
      <c r="A2525" s="105" t="str">
        <f>IF(D2525=1,COUNTIF($D$10:D2525,1)," ")</f>
        <v xml:space="preserve"> </v>
      </c>
      <c r="B2525" s="106">
        <f>COPY!AR2517</f>
        <v>0</v>
      </c>
      <c r="C2525" s="107">
        <f>COPY!AC2517</f>
        <v>0</v>
      </c>
      <c r="D2525" s="107" t="str">
        <f>IF(LEN(Table1722[[#This Row],[Uraian]])&gt;2,1," ")</f>
        <v xml:space="preserve"> </v>
      </c>
      <c r="E2525" s="113" t="str">
        <f>IF(Table1722[[#This Row],[Lawan Transaksi]]="CV AGUNG KARYA",COUNTIF($I$10:I2525,"CV AGUNG KARYA")," ")</f>
        <v xml:space="preserve"> </v>
      </c>
      <c r="F2525" s="107" t="str">
        <f>IF(LEN(Table1722[[#This Row],[Uraian]])&gt;2,TRIM(RIGHT(SUBSTITUTE(TRIM(C2525)," ",REPT(" ",255)),255))," ")</f>
        <v xml:space="preserve"> </v>
      </c>
      <c r="G2525" s="110">
        <f>COPY!Z2517</f>
        <v>0</v>
      </c>
      <c r="H2525" s="111" t="str">
        <f>IFERROR(VLOOKUP(Table1722[[#This Row],[Bukti]],'Un nOTA'!$A$4:$K$5003,10,FALSE),"")</f>
        <v/>
      </c>
      <c r="I2525" s="112" t="str">
        <f>IFERROR(VLOOKUP(Table1722[[#This Row],[Bukti]],Table13[#Data],11,FALSE),"")</f>
        <v/>
      </c>
    </row>
    <row r="2526" spans="1:9" ht="19.5" hidden="1" customHeight="1" x14ac:dyDescent="0.2">
      <c r="A2526" s="105" t="str">
        <f>IF(D2526=1,COUNTIF($D$10:D2526,1)," ")</f>
        <v xml:space="preserve"> </v>
      </c>
      <c r="B2526" s="106">
        <f>COPY!AR2518</f>
        <v>0</v>
      </c>
      <c r="C2526" s="107">
        <f>COPY!AC2518</f>
        <v>0</v>
      </c>
      <c r="D2526" s="107" t="str">
        <f>IF(LEN(Table1722[[#This Row],[Uraian]])&gt;2,1," ")</f>
        <v xml:space="preserve"> </v>
      </c>
      <c r="E2526" s="113" t="str">
        <f>IF(Table1722[[#This Row],[Lawan Transaksi]]="CV AGUNG KARYA",COUNTIF($I$10:I2526,"CV AGUNG KARYA")," ")</f>
        <v xml:space="preserve"> </v>
      </c>
      <c r="F2526" s="107" t="str">
        <f>IF(LEN(Table1722[[#This Row],[Uraian]])&gt;2,TRIM(RIGHT(SUBSTITUTE(TRIM(C2526)," ",REPT(" ",255)),255))," ")</f>
        <v xml:space="preserve"> </v>
      </c>
      <c r="G2526" s="110">
        <f>COPY!Z2518</f>
        <v>0</v>
      </c>
      <c r="H2526" s="111" t="str">
        <f>IFERROR(VLOOKUP(Table1722[[#This Row],[Bukti]],'Un nOTA'!$A$4:$K$5003,10,FALSE),"")</f>
        <v/>
      </c>
      <c r="I2526" s="112" t="str">
        <f>IFERROR(VLOOKUP(Table1722[[#This Row],[Bukti]],Table13[#Data],11,FALSE),"")</f>
        <v/>
      </c>
    </row>
    <row r="2527" spans="1:9" ht="19.5" hidden="1" customHeight="1" x14ac:dyDescent="0.2">
      <c r="A2527" s="105" t="str">
        <f>IF(D2527=1,COUNTIF($D$10:D2527,1)," ")</f>
        <v xml:space="preserve"> </v>
      </c>
      <c r="B2527" s="106">
        <f>COPY!AR2519</f>
        <v>0</v>
      </c>
      <c r="C2527" s="107">
        <f>COPY!AC2519</f>
        <v>0</v>
      </c>
      <c r="D2527" s="107" t="str">
        <f>IF(LEN(Table1722[[#This Row],[Uraian]])&gt;2,1," ")</f>
        <v xml:space="preserve"> </v>
      </c>
      <c r="E2527" s="113" t="str">
        <f>IF(Table1722[[#This Row],[Lawan Transaksi]]="CV AGUNG KARYA",COUNTIF($I$10:I2527,"CV AGUNG KARYA")," ")</f>
        <v xml:space="preserve"> </v>
      </c>
      <c r="F2527" s="107" t="str">
        <f>IF(LEN(Table1722[[#This Row],[Uraian]])&gt;2,TRIM(RIGHT(SUBSTITUTE(TRIM(C2527)," ",REPT(" ",255)),255))," ")</f>
        <v xml:space="preserve"> </v>
      </c>
      <c r="G2527" s="110">
        <f>COPY!Z2519</f>
        <v>0</v>
      </c>
      <c r="H2527" s="111" t="str">
        <f>IFERROR(VLOOKUP(Table1722[[#This Row],[Bukti]],'Un nOTA'!$A$4:$K$5003,10,FALSE),"")</f>
        <v/>
      </c>
      <c r="I2527" s="112" t="str">
        <f>IFERROR(VLOOKUP(Table1722[[#This Row],[Bukti]],Table13[#Data],11,FALSE),"")</f>
        <v/>
      </c>
    </row>
    <row r="2528" spans="1:9" ht="19.5" hidden="1" customHeight="1" x14ac:dyDescent="0.2">
      <c r="A2528" s="105" t="str">
        <f>IF(D2528=1,COUNTIF($D$10:D2528,1)," ")</f>
        <v xml:space="preserve"> </v>
      </c>
      <c r="B2528" s="106">
        <f>COPY!AR2520</f>
        <v>0</v>
      </c>
      <c r="C2528" s="107">
        <f>COPY!AC2520</f>
        <v>0</v>
      </c>
      <c r="D2528" s="107" t="str">
        <f>IF(LEN(Table1722[[#This Row],[Uraian]])&gt;2,1," ")</f>
        <v xml:space="preserve"> </v>
      </c>
      <c r="E2528" s="113" t="str">
        <f>IF(Table1722[[#This Row],[Lawan Transaksi]]="CV AGUNG KARYA",COUNTIF($I$10:I2528,"CV AGUNG KARYA")," ")</f>
        <v xml:space="preserve"> </v>
      </c>
      <c r="F2528" s="107" t="str">
        <f>IF(LEN(Table1722[[#This Row],[Uraian]])&gt;2,TRIM(RIGHT(SUBSTITUTE(TRIM(C2528)," ",REPT(" ",255)),255))," ")</f>
        <v xml:space="preserve"> </v>
      </c>
      <c r="G2528" s="110">
        <f>COPY!Z2520</f>
        <v>0</v>
      </c>
      <c r="H2528" s="111" t="str">
        <f>IFERROR(VLOOKUP(Table1722[[#This Row],[Bukti]],'Un nOTA'!$A$4:$K$5003,10,FALSE),"")</f>
        <v/>
      </c>
      <c r="I2528" s="112" t="str">
        <f>IFERROR(VLOOKUP(Table1722[[#This Row],[Bukti]],Table13[#Data],11,FALSE),"")</f>
        <v/>
      </c>
    </row>
    <row r="2529" spans="1:9" ht="19.5" hidden="1" customHeight="1" x14ac:dyDescent="0.2">
      <c r="A2529" s="105" t="str">
        <f>IF(D2529=1,COUNTIF($D$10:D2529,1)," ")</f>
        <v xml:space="preserve"> </v>
      </c>
      <c r="B2529" s="106">
        <f>COPY!AR2521</f>
        <v>0</v>
      </c>
      <c r="C2529" s="107">
        <f>COPY!AC2521</f>
        <v>0</v>
      </c>
      <c r="D2529" s="107" t="str">
        <f>IF(LEN(Table1722[[#This Row],[Uraian]])&gt;2,1," ")</f>
        <v xml:space="preserve"> </v>
      </c>
      <c r="E2529" s="113" t="str">
        <f>IF(Table1722[[#This Row],[Lawan Transaksi]]="CV AGUNG KARYA",COUNTIF($I$10:I2529,"CV AGUNG KARYA")," ")</f>
        <v xml:space="preserve"> </v>
      </c>
      <c r="F2529" s="107" t="str">
        <f>IF(LEN(Table1722[[#This Row],[Uraian]])&gt;2,TRIM(RIGHT(SUBSTITUTE(TRIM(C2529)," ",REPT(" ",255)),255))," ")</f>
        <v xml:space="preserve"> </v>
      </c>
      <c r="G2529" s="110">
        <f>COPY!Z2521</f>
        <v>0</v>
      </c>
      <c r="H2529" s="111" t="str">
        <f>IFERROR(VLOOKUP(Table1722[[#This Row],[Bukti]],'Un nOTA'!$A$4:$K$5003,10,FALSE),"")</f>
        <v/>
      </c>
      <c r="I2529" s="112" t="str">
        <f>IFERROR(VLOOKUP(Table1722[[#This Row],[Bukti]],Table13[#Data],11,FALSE),"")</f>
        <v/>
      </c>
    </row>
    <row r="2530" spans="1:9" ht="19.5" hidden="1" customHeight="1" x14ac:dyDescent="0.2">
      <c r="A2530" s="105" t="str">
        <f>IF(D2530=1,COUNTIF($D$10:D2530,1)," ")</f>
        <v xml:space="preserve"> </v>
      </c>
      <c r="B2530" s="106">
        <f>COPY!AR2522</f>
        <v>0</v>
      </c>
      <c r="C2530" s="107">
        <f>COPY!AC2522</f>
        <v>0</v>
      </c>
      <c r="D2530" s="107" t="str">
        <f>IF(LEN(Table1722[[#This Row],[Uraian]])&gt;2,1," ")</f>
        <v xml:space="preserve"> </v>
      </c>
      <c r="E2530" s="113" t="str">
        <f>IF(Table1722[[#This Row],[Lawan Transaksi]]="CV AGUNG KARYA",COUNTIF($I$10:I2530,"CV AGUNG KARYA")," ")</f>
        <v xml:space="preserve"> </v>
      </c>
      <c r="F2530" s="107" t="str">
        <f>IF(LEN(Table1722[[#This Row],[Uraian]])&gt;2,TRIM(RIGHT(SUBSTITUTE(TRIM(C2530)," ",REPT(" ",255)),255))," ")</f>
        <v xml:space="preserve"> </v>
      </c>
      <c r="G2530" s="110">
        <f>COPY!Z2522</f>
        <v>0</v>
      </c>
      <c r="H2530" s="111" t="str">
        <f>IFERROR(VLOOKUP(Table1722[[#This Row],[Bukti]],'Un nOTA'!$A$4:$K$5003,10,FALSE),"")</f>
        <v/>
      </c>
      <c r="I2530" s="112" t="str">
        <f>IFERROR(VLOOKUP(Table1722[[#This Row],[Bukti]],Table13[#Data],11,FALSE),"")</f>
        <v/>
      </c>
    </row>
    <row r="2531" spans="1:9" ht="19.5" hidden="1" customHeight="1" x14ac:dyDescent="0.2">
      <c r="A2531" s="105" t="str">
        <f>IF(D2531=1,COUNTIF($D$10:D2531,1)," ")</f>
        <v xml:space="preserve"> </v>
      </c>
      <c r="B2531" s="106">
        <f>COPY!AR2523</f>
        <v>0</v>
      </c>
      <c r="C2531" s="107">
        <f>COPY!AC2523</f>
        <v>0</v>
      </c>
      <c r="D2531" s="107" t="str">
        <f>IF(LEN(Table1722[[#This Row],[Uraian]])&gt;2,1," ")</f>
        <v xml:space="preserve"> </v>
      </c>
      <c r="E2531" s="113" t="str">
        <f>IF(Table1722[[#This Row],[Lawan Transaksi]]="CV AGUNG KARYA",COUNTIF($I$10:I2531,"CV AGUNG KARYA")," ")</f>
        <v xml:space="preserve"> </v>
      </c>
      <c r="F2531" s="107" t="str">
        <f>IF(LEN(Table1722[[#This Row],[Uraian]])&gt;2,TRIM(RIGHT(SUBSTITUTE(TRIM(C2531)," ",REPT(" ",255)),255))," ")</f>
        <v xml:space="preserve"> </v>
      </c>
      <c r="G2531" s="110">
        <f>COPY!Z2523</f>
        <v>0</v>
      </c>
      <c r="H2531" s="111" t="str">
        <f>IFERROR(VLOOKUP(Table1722[[#This Row],[Bukti]],'Un nOTA'!$A$4:$K$5003,10,FALSE),"")</f>
        <v/>
      </c>
      <c r="I2531" s="112" t="str">
        <f>IFERROR(VLOOKUP(Table1722[[#This Row],[Bukti]],Table13[#Data],11,FALSE),"")</f>
        <v/>
      </c>
    </row>
    <row r="2532" spans="1:9" ht="19.5" hidden="1" customHeight="1" x14ac:dyDescent="0.2">
      <c r="A2532" s="105" t="str">
        <f>IF(D2532=1,COUNTIF($D$10:D2532,1)," ")</f>
        <v xml:space="preserve"> </v>
      </c>
      <c r="B2532" s="106">
        <f>COPY!AR2524</f>
        <v>0</v>
      </c>
      <c r="C2532" s="107">
        <f>COPY!AC2524</f>
        <v>0</v>
      </c>
      <c r="D2532" s="107" t="str">
        <f>IF(LEN(Table1722[[#This Row],[Uraian]])&gt;2,1," ")</f>
        <v xml:space="preserve"> </v>
      </c>
      <c r="E2532" s="113" t="str">
        <f>IF(Table1722[[#This Row],[Lawan Transaksi]]="CV AGUNG KARYA",COUNTIF($I$10:I2532,"CV AGUNG KARYA")," ")</f>
        <v xml:space="preserve"> </v>
      </c>
      <c r="F2532" s="107" t="str">
        <f>IF(LEN(Table1722[[#This Row],[Uraian]])&gt;2,TRIM(RIGHT(SUBSTITUTE(TRIM(C2532)," ",REPT(" ",255)),255))," ")</f>
        <v xml:space="preserve"> </v>
      </c>
      <c r="G2532" s="110">
        <f>COPY!Z2524</f>
        <v>0</v>
      </c>
      <c r="H2532" s="111" t="str">
        <f>IFERROR(VLOOKUP(Table1722[[#This Row],[Bukti]],'Un nOTA'!$A$4:$K$5003,10,FALSE),"")</f>
        <v/>
      </c>
      <c r="I2532" s="112" t="str">
        <f>IFERROR(VLOOKUP(Table1722[[#This Row],[Bukti]],Table13[#Data],11,FALSE),"")</f>
        <v/>
      </c>
    </row>
    <row r="2533" spans="1:9" ht="19.5" hidden="1" customHeight="1" x14ac:dyDescent="0.2">
      <c r="A2533" s="105" t="str">
        <f>IF(D2533=1,COUNTIF($D$10:D2533,1)," ")</f>
        <v xml:space="preserve"> </v>
      </c>
      <c r="B2533" s="106">
        <f>COPY!AR2525</f>
        <v>0</v>
      </c>
      <c r="C2533" s="107">
        <f>COPY!AC2525</f>
        <v>0</v>
      </c>
      <c r="D2533" s="107" t="str">
        <f>IF(LEN(Table1722[[#This Row],[Uraian]])&gt;2,1," ")</f>
        <v xml:space="preserve"> </v>
      </c>
      <c r="E2533" s="113" t="str">
        <f>IF(Table1722[[#This Row],[Lawan Transaksi]]="CV AGUNG KARYA",COUNTIF($I$10:I2533,"CV AGUNG KARYA")," ")</f>
        <v xml:space="preserve"> </v>
      </c>
      <c r="F2533" s="107" t="str">
        <f>IF(LEN(Table1722[[#This Row],[Uraian]])&gt;2,TRIM(RIGHT(SUBSTITUTE(TRIM(C2533)," ",REPT(" ",255)),255))," ")</f>
        <v xml:space="preserve"> </v>
      </c>
      <c r="G2533" s="110">
        <f>COPY!Z2525</f>
        <v>0</v>
      </c>
      <c r="H2533" s="111" t="str">
        <f>IFERROR(VLOOKUP(Table1722[[#This Row],[Bukti]],'Un nOTA'!$A$4:$K$5003,10,FALSE),"")</f>
        <v/>
      </c>
      <c r="I2533" s="112" t="str">
        <f>IFERROR(VLOOKUP(Table1722[[#This Row],[Bukti]],Table13[#Data],11,FALSE),"")</f>
        <v/>
      </c>
    </row>
    <row r="2534" spans="1:9" ht="19.5" hidden="1" customHeight="1" x14ac:dyDescent="0.2">
      <c r="A2534" s="105" t="str">
        <f>IF(D2534=1,COUNTIF($D$10:D2534,1)," ")</f>
        <v xml:space="preserve"> </v>
      </c>
      <c r="B2534" s="106">
        <f>COPY!AR2526</f>
        <v>0</v>
      </c>
      <c r="C2534" s="107">
        <f>COPY!AC2526</f>
        <v>0</v>
      </c>
      <c r="D2534" s="107" t="str">
        <f>IF(LEN(Table1722[[#This Row],[Uraian]])&gt;2,1," ")</f>
        <v xml:space="preserve"> </v>
      </c>
      <c r="E2534" s="113" t="str">
        <f>IF(Table1722[[#This Row],[Lawan Transaksi]]="CV AGUNG KARYA",COUNTIF($I$10:I2534,"CV AGUNG KARYA")," ")</f>
        <v xml:space="preserve"> </v>
      </c>
      <c r="F2534" s="107" t="str">
        <f>IF(LEN(Table1722[[#This Row],[Uraian]])&gt;2,TRIM(RIGHT(SUBSTITUTE(TRIM(C2534)," ",REPT(" ",255)),255))," ")</f>
        <v xml:space="preserve"> </v>
      </c>
      <c r="G2534" s="110">
        <f>COPY!Z2526</f>
        <v>0</v>
      </c>
      <c r="H2534" s="111" t="str">
        <f>IFERROR(VLOOKUP(Table1722[[#This Row],[Bukti]],'Un nOTA'!$A$4:$K$5003,10,FALSE),"")</f>
        <v/>
      </c>
      <c r="I2534" s="112" t="str">
        <f>IFERROR(VLOOKUP(Table1722[[#This Row],[Bukti]],Table13[#Data],11,FALSE),"")</f>
        <v/>
      </c>
    </row>
    <row r="2535" spans="1:9" ht="19.5" hidden="1" customHeight="1" x14ac:dyDescent="0.2">
      <c r="A2535" s="105" t="str">
        <f>IF(D2535=1,COUNTIF($D$10:D2535,1)," ")</f>
        <v xml:space="preserve"> </v>
      </c>
      <c r="B2535" s="106">
        <f>COPY!AR2527</f>
        <v>0</v>
      </c>
      <c r="C2535" s="107">
        <f>COPY!AC2527</f>
        <v>0</v>
      </c>
      <c r="D2535" s="107" t="str">
        <f>IF(LEN(Table1722[[#This Row],[Uraian]])&gt;2,1," ")</f>
        <v xml:space="preserve"> </v>
      </c>
      <c r="E2535" s="113" t="str">
        <f>IF(Table1722[[#This Row],[Lawan Transaksi]]="CV AGUNG KARYA",COUNTIF($I$10:I2535,"CV AGUNG KARYA")," ")</f>
        <v xml:space="preserve"> </v>
      </c>
      <c r="F2535" s="107" t="str">
        <f>IF(LEN(Table1722[[#This Row],[Uraian]])&gt;2,TRIM(RIGHT(SUBSTITUTE(TRIM(C2535)," ",REPT(" ",255)),255))," ")</f>
        <v xml:space="preserve"> </v>
      </c>
      <c r="G2535" s="110">
        <f>COPY!Z2527</f>
        <v>0</v>
      </c>
      <c r="H2535" s="111" t="str">
        <f>IFERROR(VLOOKUP(Table1722[[#This Row],[Bukti]],'Un nOTA'!$A$4:$K$5003,10,FALSE),"")</f>
        <v/>
      </c>
      <c r="I2535" s="112" t="str">
        <f>IFERROR(VLOOKUP(Table1722[[#This Row],[Bukti]],Table13[#Data],11,FALSE),"")</f>
        <v/>
      </c>
    </row>
    <row r="2536" spans="1:9" ht="19.5" hidden="1" customHeight="1" x14ac:dyDescent="0.2">
      <c r="A2536" s="105" t="str">
        <f>IF(D2536=1,COUNTIF($D$10:D2536,1)," ")</f>
        <v xml:space="preserve"> </v>
      </c>
      <c r="B2536" s="106">
        <f>COPY!AR2528</f>
        <v>0</v>
      </c>
      <c r="C2536" s="107">
        <f>COPY!AC2528</f>
        <v>0</v>
      </c>
      <c r="D2536" s="107" t="str">
        <f>IF(LEN(Table1722[[#This Row],[Uraian]])&gt;2,1," ")</f>
        <v xml:space="preserve"> </v>
      </c>
      <c r="E2536" s="113" t="str">
        <f>IF(Table1722[[#This Row],[Lawan Transaksi]]="CV AGUNG KARYA",COUNTIF($I$10:I2536,"CV AGUNG KARYA")," ")</f>
        <v xml:space="preserve"> </v>
      </c>
      <c r="F2536" s="107" t="str">
        <f>IF(LEN(Table1722[[#This Row],[Uraian]])&gt;2,TRIM(RIGHT(SUBSTITUTE(TRIM(C2536)," ",REPT(" ",255)),255))," ")</f>
        <v xml:space="preserve"> </v>
      </c>
      <c r="G2536" s="110">
        <f>COPY!Z2528</f>
        <v>0</v>
      </c>
      <c r="H2536" s="111" t="str">
        <f>IFERROR(VLOOKUP(Table1722[[#This Row],[Bukti]],'Un nOTA'!$A$4:$K$5003,10,FALSE),"")</f>
        <v/>
      </c>
      <c r="I2536" s="112" t="str">
        <f>IFERROR(VLOOKUP(Table1722[[#This Row],[Bukti]],Table13[#Data],11,FALSE),"")</f>
        <v/>
      </c>
    </row>
    <row r="2537" spans="1:9" ht="19.5" hidden="1" customHeight="1" x14ac:dyDescent="0.2">
      <c r="A2537" s="105" t="str">
        <f>IF(D2537=1,COUNTIF($D$10:D2537,1)," ")</f>
        <v xml:space="preserve"> </v>
      </c>
      <c r="B2537" s="106">
        <f>COPY!AR2529</f>
        <v>0</v>
      </c>
      <c r="C2537" s="107">
        <f>COPY!AC2529</f>
        <v>0</v>
      </c>
      <c r="D2537" s="107" t="str">
        <f>IF(LEN(Table1722[[#This Row],[Uraian]])&gt;2,1," ")</f>
        <v xml:space="preserve"> </v>
      </c>
      <c r="E2537" s="113" t="str">
        <f>IF(Table1722[[#This Row],[Lawan Transaksi]]="CV AGUNG KARYA",COUNTIF($I$10:I2537,"CV AGUNG KARYA")," ")</f>
        <v xml:space="preserve"> </v>
      </c>
      <c r="F2537" s="107" t="str">
        <f>IF(LEN(Table1722[[#This Row],[Uraian]])&gt;2,TRIM(RIGHT(SUBSTITUTE(TRIM(C2537)," ",REPT(" ",255)),255))," ")</f>
        <v xml:space="preserve"> </v>
      </c>
      <c r="G2537" s="110">
        <f>COPY!Z2529</f>
        <v>0</v>
      </c>
      <c r="H2537" s="111" t="str">
        <f>IFERROR(VLOOKUP(Table1722[[#This Row],[Bukti]],'Un nOTA'!$A$4:$K$5003,10,FALSE),"")</f>
        <v/>
      </c>
      <c r="I2537" s="112" t="str">
        <f>IFERROR(VLOOKUP(Table1722[[#This Row],[Bukti]],Table13[#Data],11,FALSE),"")</f>
        <v/>
      </c>
    </row>
    <row r="2538" spans="1:9" ht="19.5" hidden="1" customHeight="1" x14ac:dyDescent="0.2">
      <c r="A2538" s="105" t="str">
        <f>IF(D2538=1,COUNTIF($D$10:D2538,1)," ")</f>
        <v xml:space="preserve"> </v>
      </c>
      <c r="B2538" s="106">
        <f>COPY!AR2530</f>
        <v>0</v>
      </c>
      <c r="C2538" s="107">
        <f>COPY!AC2530</f>
        <v>0</v>
      </c>
      <c r="D2538" s="107" t="str">
        <f>IF(LEN(Table1722[[#This Row],[Uraian]])&gt;2,1," ")</f>
        <v xml:space="preserve"> </v>
      </c>
      <c r="E2538" s="113" t="str">
        <f>IF(Table1722[[#This Row],[Lawan Transaksi]]="CV AGUNG KARYA",COUNTIF($I$10:I2538,"CV AGUNG KARYA")," ")</f>
        <v xml:space="preserve"> </v>
      </c>
      <c r="F2538" s="107" t="str">
        <f>IF(LEN(Table1722[[#This Row],[Uraian]])&gt;2,TRIM(RIGHT(SUBSTITUTE(TRIM(C2538)," ",REPT(" ",255)),255))," ")</f>
        <v xml:space="preserve"> </v>
      </c>
      <c r="G2538" s="110">
        <f>COPY!Z2530</f>
        <v>0</v>
      </c>
      <c r="H2538" s="111" t="str">
        <f>IFERROR(VLOOKUP(Table1722[[#This Row],[Bukti]],'Un nOTA'!$A$4:$K$5003,10,FALSE),"")</f>
        <v/>
      </c>
      <c r="I2538" s="112" t="str">
        <f>IFERROR(VLOOKUP(Table1722[[#This Row],[Bukti]],Table13[#Data],11,FALSE),"")</f>
        <v/>
      </c>
    </row>
    <row r="2539" spans="1:9" ht="19.5" hidden="1" customHeight="1" x14ac:dyDescent="0.2">
      <c r="A2539" s="105" t="str">
        <f>IF(D2539=1,COUNTIF($D$10:D2539,1)," ")</f>
        <v xml:space="preserve"> </v>
      </c>
      <c r="B2539" s="106">
        <f>COPY!AR2531</f>
        <v>0</v>
      </c>
      <c r="C2539" s="107">
        <f>COPY!AC2531</f>
        <v>0</v>
      </c>
      <c r="D2539" s="107" t="str">
        <f>IF(LEN(Table1722[[#This Row],[Uraian]])&gt;2,1," ")</f>
        <v xml:space="preserve"> </v>
      </c>
      <c r="E2539" s="113" t="str">
        <f>IF(Table1722[[#This Row],[Lawan Transaksi]]="CV AGUNG KARYA",COUNTIF($I$10:I2539,"CV AGUNG KARYA")," ")</f>
        <v xml:space="preserve"> </v>
      </c>
      <c r="F2539" s="107" t="str">
        <f>IF(LEN(Table1722[[#This Row],[Uraian]])&gt;2,TRIM(RIGHT(SUBSTITUTE(TRIM(C2539)," ",REPT(" ",255)),255))," ")</f>
        <v xml:space="preserve"> </v>
      </c>
      <c r="G2539" s="110">
        <f>COPY!Z2531</f>
        <v>0</v>
      </c>
      <c r="H2539" s="111" t="str">
        <f>IFERROR(VLOOKUP(Table1722[[#This Row],[Bukti]],'Un nOTA'!$A$4:$K$5003,10,FALSE),"")</f>
        <v/>
      </c>
      <c r="I2539" s="112" t="str">
        <f>IFERROR(VLOOKUP(Table1722[[#This Row],[Bukti]],Table13[#Data],11,FALSE),"")</f>
        <v/>
      </c>
    </row>
    <row r="2540" spans="1:9" ht="19.5" hidden="1" customHeight="1" x14ac:dyDescent="0.2">
      <c r="A2540" s="105" t="str">
        <f>IF(D2540=1,COUNTIF($D$10:D2540,1)," ")</f>
        <v xml:space="preserve"> </v>
      </c>
      <c r="B2540" s="106">
        <f>COPY!AR2532</f>
        <v>0</v>
      </c>
      <c r="C2540" s="107">
        <f>COPY!AC2532</f>
        <v>0</v>
      </c>
      <c r="D2540" s="107" t="str">
        <f>IF(LEN(Table1722[[#This Row],[Uraian]])&gt;2,1," ")</f>
        <v xml:space="preserve"> </v>
      </c>
      <c r="E2540" s="113" t="str">
        <f>IF(Table1722[[#This Row],[Lawan Transaksi]]="CV AGUNG KARYA",COUNTIF($I$10:I2540,"CV AGUNG KARYA")," ")</f>
        <v xml:space="preserve"> </v>
      </c>
      <c r="F2540" s="107" t="str">
        <f>IF(LEN(Table1722[[#This Row],[Uraian]])&gt;2,TRIM(RIGHT(SUBSTITUTE(TRIM(C2540)," ",REPT(" ",255)),255))," ")</f>
        <v xml:space="preserve"> </v>
      </c>
      <c r="G2540" s="110">
        <f>COPY!Z2532</f>
        <v>0</v>
      </c>
      <c r="H2540" s="111" t="str">
        <f>IFERROR(VLOOKUP(Table1722[[#This Row],[Bukti]],'Un nOTA'!$A$4:$K$5003,10,FALSE),"")</f>
        <v/>
      </c>
      <c r="I2540" s="112" t="str">
        <f>IFERROR(VLOOKUP(Table1722[[#This Row],[Bukti]],Table13[#Data],11,FALSE),"")</f>
        <v/>
      </c>
    </row>
    <row r="2541" spans="1:9" ht="19.5" hidden="1" customHeight="1" x14ac:dyDescent="0.2">
      <c r="A2541" s="105" t="str">
        <f>IF(D2541=1,COUNTIF($D$10:D2541,1)," ")</f>
        <v xml:space="preserve"> </v>
      </c>
      <c r="B2541" s="106">
        <f>COPY!AR2533</f>
        <v>0</v>
      </c>
      <c r="C2541" s="107">
        <f>COPY!AC2533</f>
        <v>0</v>
      </c>
      <c r="D2541" s="107" t="str">
        <f>IF(LEN(Table1722[[#This Row],[Uraian]])&gt;2,1," ")</f>
        <v xml:space="preserve"> </v>
      </c>
      <c r="E2541" s="113" t="str">
        <f>IF(Table1722[[#This Row],[Lawan Transaksi]]="CV AGUNG KARYA",COUNTIF($I$10:I2541,"CV AGUNG KARYA")," ")</f>
        <v xml:space="preserve"> </v>
      </c>
      <c r="F2541" s="107" t="str">
        <f>IF(LEN(Table1722[[#This Row],[Uraian]])&gt;2,TRIM(RIGHT(SUBSTITUTE(TRIM(C2541)," ",REPT(" ",255)),255))," ")</f>
        <v xml:space="preserve"> </v>
      </c>
      <c r="G2541" s="110">
        <f>COPY!Z2533</f>
        <v>0</v>
      </c>
      <c r="H2541" s="111" t="str">
        <f>IFERROR(VLOOKUP(Table1722[[#This Row],[Bukti]],'Un nOTA'!$A$4:$K$5003,10,FALSE),"")</f>
        <v/>
      </c>
      <c r="I2541" s="112" t="str">
        <f>IFERROR(VLOOKUP(Table1722[[#This Row],[Bukti]],Table13[#Data],11,FALSE),"")</f>
        <v/>
      </c>
    </row>
    <row r="2542" spans="1:9" ht="19.5" hidden="1" customHeight="1" x14ac:dyDescent="0.2">
      <c r="A2542" s="105" t="str">
        <f>IF(D2542=1,COUNTIF($D$10:D2542,1)," ")</f>
        <v xml:space="preserve"> </v>
      </c>
      <c r="B2542" s="106">
        <f>COPY!AR2534</f>
        <v>0</v>
      </c>
      <c r="C2542" s="107">
        <f>COPY!AC2534</f>
        <v>0</v>
      </c>
      <c r="D2542" s="107" t="str">
        <f>IF(LEN(Table1722[[#This Row],[Uraian]])&gt;2,1," ")</f>
        <v xml:space="preserve"> </v>
      </c>
      <c r="E2542" s="113" t="str">
        <f>IF(Table1722[[#This Row],[Lawan Transaksi]]="CV AGUNG KARYA",COUNTIF($I$10:I2542,"CV AGUNG KARYA")," ")</f>
        <v xml:space="preserve"> </v>
      </c>
      <c r="F2542" s="107" t="str">
        <f>IF(LEN(Table1722[[#This Row],[Uraian]])&gt;2,TRIM(RIGHT(SUBSTITUTE(TRIM(C2542)," ",REPT(" ",255)),255))," ")</f>
        <v xml:space="preserve"> </v>
      </c>
      <c r="G2542" s="110">
        <f>COPY!Z2534</f>
        <v>0</v>
      </c>
      <c r="H2542" s="111" t="str">
        <f>IFERROR(VLOOKUP(Table1722[[#This Row],[Bukti]],'Un nOTA'!$A$4:$K$5003,10,FALSE),"")</f>
        <v/>
      </c>
      <c r="I2542" s="112" t="str">
        <f>IFERROR(VLOOKUP(Table1722[[#This Row],[Bukti]],Table13[#Data],11,FALSE),"")</f>
        <v/>
      </c>
    </row>
    <row r="2543" spans="1:9" ht="19.5" hidden="1" customHeight="1" x14ac:dyDescent="0.2">
      <c r="A2543" s="105" t="str">
        <f>IF(D2543=1,COUNTIF($D$10:D2543,1)," ")</f>
        <v xml:space="preserve"> </v>
      </c>
      <c r="B2543" s="106">
        <f>COPY!AR2535</f>
        <v>0</v>
      </c>
      <c r="C2543" s="107">
        <f>COPY!AC2535</f>
        <v>0</v>
      </c>
      <c r="D2543" s="107" t="str">
        <f>IF(LEN(Table1722[[#This Row],[Uraian]])&gt;2,1," ")</f>
        <v xml:space="preserve"> </v>
      </c>
      <c r="E2543" s="113" t="str">
        <f>IF(Table1722[[#This Row],[Lawan Transaksi]]="CV AGUNG KARYA",COUNTIF($I$10:I2543,"CV AGUNG KARYA")," ")</f>
        <v xml:space="preserve"> </v>
      </c>
      <c r="F2543" s="107" t="str">
        <f>IF(LEN(Table1722[[#This Row],[Uraian]])&gt;2,TRIM(RIGHT(SUBSTITUTE(TRIM(C2543)," ",REPT(" ",255)),255))," ")</f>
        <v xml:space="preserve"> </v>
      </c>
      <c r="G2543" s="110">
        <f>COPY!Z2535</f>
        <v>0</v>
      </c>
      <c r="H2543" s="111" t="str">
        <f>IFERROR(VLOOKUP(Table1722[[#This Row],[Bukti]],'Un nOTA'!$A$4:$K$5003,10,FALSE),"")</f>
        <v/>
      </c>
      <c r="I2543" s="112" t="str">
        <f>IFERROR(VLOOKUP(Table1722[[#This Row],[Bukti]],Table13[#Data],11,FALSE),"")</f>
        <v/>
      </c>
    </row>
    <row r="2544" spans="1:9" ht="19.5" hidden="1" customHeight="1" x14ac:dyDescent="0.2">
      <c r="A2544" s="105" t="str">
        <f>IF(D2544=1,COUNTIF($D$10:D2544,1)," ")</f>
        <v xml:space="preserve"> </v>
      </c>
      <c r="B2544" s="106">
        <f>COPY!AR2536</f>
        <v>0</v>
      </c>
      <c r="C2544" s="107">
        <f>COPY!AC2536</f>
        <v>0</v>
      </c>
      <c r="D2544" s="107" t="str">
        <f>IF(LEN(Table1722[[#This Row],[Uraian]])&gt;2,1," ")</f>
        <v xml:space="preserve"> </v>
      </c>
      <c r="E2544" s="113" t="str">
        <f>IF(Table1722[[#This Row],[Lawan Transaksi]]="CV AGUNG KARYA",COUNTIF($I$10:I2544,"CV AGUNG KARYA")," ")</f>
        <v xml:space="preserve"> </v>
      </c>
      <c r="F2544" s="107" t="str">
        <f>IF(LEN(Table1722[[#This Row],[Uraian]])&gt;2,TRIM(RIGHT(SUBSTITUTE(TRIM(C2544)," ",REPT(" ",255)),255))," ")</f>
        <v xml:space="preserve"> </v>
      </c>
      <c r="G2544" s="110">
        <f>COPY!Z2536</f>
        <v>0</v>
      </c>
      <c r="H2544" s="111" t="str">
        <f>IFERROR(VLOOKUP(Table1722[[#This Row],[Bukti]],'Un nOTA'!$A$4:$K$5003,10,FALSE),"")</f>
        <v/>
      </c>
      <c r="I2544" s="112" t="str">
        <f>IFERROR(VLOOKUP(Table1722[[#This Row],[Bukti]],Table13[#Data],11,FALSE),"")</f>
        <v/>
      </c>
    </row>
    <row r="2545" spans="1:9" ht="19.5" hidden="1" customHeight="1" x14ac:dyDescent="0.2">
      <c r="A2545" s="105" t="str">
        <f>IF(D2545=1,COUNTIF($D$10:D2545,1)," ")</f>
        <v xml:space="preserve"> </v>
      </c>
      <c r="B2545" s="106">
        <f>COPY!AR2537</f>
        <v>0</v>
      </c>
      <c r="C2545" s="107">
        <f>COPY!AC2537</f>
        <v>0</v>
      </c>
      <c r="D2545" s="107" t="str">
        <f>IF(LEN(Table1722[[#This Row],[Uraian]])&gt;2,1," ")</f>
        <v xml:space="preserve"> </v>
      </c>
      <c r="E2545" s="113" t="str">
        <f>IF(Table1722[[#This Row],[Lawan Transaksi]]="CV AGUNG KARYA",COUNTIF($I$10:I2545,"CV AGUNG KARYA")," ")</f>
        <v xml:space="preserve"> </v>
      </c>
      <c r="F2545" s="107" t="str">
        <f>IF(LEN(Table1722[[#This Row],[Uraian]])&gt;2,TRIM(RIGHT(SUBSTITUTE(TRIM(C2545)," ",REPT(" ",255)),255))," ")</f>
        <v xml:space="preserve"> </v>
      </c>
      <c r="G2545" s="110">
        <f>COPY!Z2537</f>
        <v>0</v>
      </c>
      <c r="H2545" s="111" t="str">
        <f>IFERROR(VLOOKUP(Table1722[[#This Row],[Bukti]],'Un nOTA'!$A$4:$K$5003,10,FALSE),"")</f>
        <v/>
      </c>
      <c r="I2545" s="112" t="str">
        <f>IFERROR(VLOOKUP(Table1722[[#This Row],[Bukti]],Table13[#Data],11,FALSE),"")</f>
        <v/>
      </c>
    </row>
    <row r="2546" spans="1:9" ht="19.5" hidden="1" customHeight="1" x14ac:dyDescent="0.2">
      <c r="A2546" s="105" t="str">
        <f>IF(D2546=1,COUNTIF($D$10:D2546,1)," ")</f>
        <v xml:space="preserve"> </v>
      </c>
      <c r="B2546" s="106">
        <f>COPY!AR2538</f>
        <v>0</v>
      </c>
      <c r="C2546" s="107">
        <f>COPY!AC2538</f>
        <v>0</v>
      </c>
      <c r="D2546" s="107" t="str">
        <f>IF(LEN(Table1722[[#This Row],[Uraian]])&gt;2,1," ")</f>
        <v xml:space="preserve"> </v>
      </c>
      <c r="E2546" s="113" t="str">
        <f>IF(Table1722[[#This Row],[Lawan Transaksi]]="CV AGUNG KARYA",COUNTIF($I$10:I2546,"CV AGUNG KARYA")," ")</f>
        <v xml:space="preserve"> </v>
      </c>
      <c r="F2546" s="107" t="str">
        <f>IF(LEN(Table1722[[#This Row],[Uraian]])&gt;2,TRIM(RIGHT(SUBSTITUTE(TRIM(C2546)," ",REPT(" ",255)),255))," ")</f>
        <v xml:space="preserve"> </v>
      </c>
      <c r="G2546" s="110">
        <f>COPY!Z2538</f>
        <v>0</v>
      </c>
      <c r="H2546" s="111" t="str">
        <f>IFERROR(VLOOKUP(Table1722[[#This Row],[Bukti]],'Un nOTA'!$A$4:$K$5003,10,FALSE),"")</f>
        <v/>
      </c>
      <c r="I2546" s="112" t="str">
        <f>IFERROR(VLOOKUP(Table1722[[#This Row],[Bukti]],Table13[#Data],11,FALSE),"")</f>
        <v/>
      </c>
    </row>
    <row r="2547" spans="1:9" ht="19.5" hidden="1" customHeight="1" x14ac:dyDescent="0.2">
      <c r="A2547" s="105" t="str">
        <f>IF(D2547=1,COUNTIF($D$10:D2547,1)," ")</f>
        <v xml:space="preserve"> </v>
      </c>
      <c r="B2547" s="106">
        <f>COPY!AR2539</f>
        <v>0</v>
      </c>
      <c r="C2547" s="107">
        <f>COPY!AC2539</f>
        <v>0</v>
      </c>
      <c r="D2547" s="107" t="str">
        <f>IF(LEN(Table1722[[#This Row],[Uraian]])&gt;2,1," ")</f>
        <v xml:space="preserve"> </v>
      </c>
      <c r="E2547" s="113" t="str">
        <f>IF(Table1722[[#This Row],[Lawan Transaksi]]="CV AGUNG KARYA",COUNTIF($I$10:I2547,"CV AGUNG KARYA")," ")</f>
        <v xml:space="preserve"> </v>
      </c>
      <c r="F2547" s="107" t="str">
        <f>IF(LEN(Table1722[[#This Row],[Uraian]])&gt;2,TRIM(RIGHT(SUBSTITUTE(TRIM(C2547)," ",REPT(" ",255)),255))," ")</f>
        <v xml:space="preserve"> </v>
      </c>
      <c r="G2547" s="110">
        <f>COPY!Z2539</f>
        <v>0</v>
      </c>
      <c r="H2547" s="111" t="str">
        <f>IFERROR(VLOOKUP(Table1722[[#This Row],[Bukti]],'Un nOTA'!$A$4:$K$5003,10,FALSE),"")</f>
        <v/>
      </c>
      <c r="I2547" s="112" t="str">
        <f>IFERROR(VLOOKUP(Table1722[[#This Row],[Bukti]],Table13[#Data],11,FALSE),"")</f>
        <v/>
      </c>
    </row>
    <row r="2548" spans="1:9" ht="19.5" hidden="1" customHeight="1" x14ac:dyDescent="0.2">
      <c r="A2548" s="105" t="str">
        <f>IF(D2548=1,COUNTIF($D$10:D2548,1)," ")</f>
        <v xml:space="preserve"> </v>
      </c>
      <c r="B2548" s="106">
        <f>COPY!AR2540</f>
        <v>0</v>
      </c>
      <c r="C2548" s="107">
        <f>COPY!AC2540</f>
        <v>0</v>
      </c>
      <c r="D2548" s="107" t="str">
        <f>IF(LEN(Table1722[[#This Row],[Uraian]])&gt;2,1," ")</f>
        <v xml:space="preserve"> </v>
      </c>
      <c r="E2548" s="113" t="str">
        <f>IF(Table1722[[#This Row],[Lawan Transaksi]]="CV AGUNG KARYA",COUNTIF($I$10:I2548,"CV AGUNG KARYA")," ")</f>
        <v xml:space="preserve"> </v>
      </c>
      <c r="F2548" s="107" t="str">
        <f>IF(LEN(Table1722[[#This Row],[Uraian]])&gt;2,TRIM(RIGHT(SUBSTITUTE(TRIM(C2548)," ",REPT(" ",255)),255))," ")</f>
        <v xml:space="preserve"> </v>
      </c>
      <c r="G2548" s="110">
        <f>COPY!Z2540</f>
        <v>0</v>
      </c>
      <c r="H2548" s="111" t="str">
        <f>IFERROR(VLOOKUP(Table1722[[#This Row],[Bukti]],'Un nOTA'!$A$4:$K$5003,10,FALSE),"")</f>
        <v/>
      </c>
      <c r="I2548" s="112" t="str">
        <f>IFERROR(VLOOKUP(Table1722[[#This Row],[Bukti]],Table13[#Data],11,FALSE),"")</f>
        <v/>
      </c>
    </row>
    <row r="2549" spans="1:9" ht="19.5" hidden="1" customHeight="1" x14ac:dyDescent="0.2">
      <c r="A2549" s="105" t="str">
        <f>IF(D2549=1,COUNTIF($D$10:D2549,1)," ")</f>
        <v xml:space="preserve"> </v>
      </c>
      <c r="B2549" s="106">
        <f>COPY!AR2541</f>
        <v>0</v>
      </c>
      <c r="C2549" s="107">
        <f>COPY!AC2541</f>
        <v>0</v>
      </c>
      <c r="D2549" s="107" t="str">
        <f>IF(LEN(Table1722[[#This Row],[Uraian]])&gt;2,1," ")</f>
        <v xml:space="preserve"> </v>
      </c>
      <c r="E2549" s="113" t="str">
        <f>IF(Table1722[[#This Row],[Lawan Transaksi]]="CV AGUNG KARYA",COUNTIF($I$10:I2549,"CV AGUNG KARYA")," ")</f>
        <v xml:space="preserve"> </v>
      </c>
      <c r="F2549" s="107" t="str">
        <f>IF(LEN(Table1722[[#This Row],[Uraian]])&gt;2,TRIM(RIGHT(SUBSTITUTE(TRIM(C2549)," ",REPT(" ",255)),255))," ")</f>
        <v xml:space="preserve"> </v>
      </c>
      <c r="G2549" s="110">
        <f>COPY!Z2541</f>
        <v>0</v>
      </c>
      <c r="H2549" s="111" t="str">
        <f>IFERROR(VLOOKUP(Table1722[[#This Row],[Bukti]],'Un nOTA'!$A$4:$K$5003,10,FALSE),"")</f>
        <v/>
      </c>
      <c r="I2549" s="112" t="str">
        <f>IFERROR(VLOOKUP(Table1722[[#This Row],[Bukti]],Table13[#Data],11,FALSE),"")</f>
        <v/>
      </c>
    </row>
    <row r="2550" spans="1:9" ht="19.5" hidden="1" customHeight="1" x14ac:dyDescent="0.2">
      <c r="A2550" s="105" t="str">
        <f>IF(D2550=1,COUNTIF($D$10:D2550,1)," ")</f>
        <v xml:space="preserve"> </v>
      </c>
      <c r="B2550" s="106">
        <f>COPY!AR2542</f>
        <v>0</v>
      </c>
      <c r="C2550" s="107">
        <f>COPY!AC2542</f>
        <v>0</v>
      </c>
      <c r="D2550" s="107" t="str">
        <f>IF(LEN(Table1722[[#This Row],[Uraian]])&gt;2,1," ")</f>
        <v xml:space="preserve"> </v>
      </c>
      <c r="E2550" s="113" t="str">
        <f>IF(Table1722[[#This Row],[Lawan Transaksi]]="CV AGUNG KARYA",COUNTIF($I$10:I2550,"CV AGUNG KARYA")," ")</f>
        <v xml:space="preserve"> </v>
      </c>
      <c r="F2550" s="107" t="str">
        <f>IF(LEN(Table1722[[#This Row],[Uraian]])&gt;2,TRIM(RIGHT(SUBSTITUTE(TRIM(C2550)," ",REPT(" ",255)),255))," ")</f>
        <v xml:space="preserve"> </v>
      </c>
      <c r="G2550" s="110">
        <f>COPY!Z2542</f>
        <v>0</v>
      </c>
      <c r="H2550" s="111" t="str">
        <f>IFERROR(VLOOKUP(Table1722[[#This Row],[Bukti]],'Un nOTA'!$A$4:$K$5003,10,FALSE),"")</f>
        <v/>
      </c>
      <c r="I2550" s="112" t="str">
        <f>IFERROR(VLOOKUP(Table1722[[#This Row],[Bukti]],Table13[#Data],11,FALSE),"")</f>
        <v/>
      </c>
    </row>
    <row r="2551" spans="1:9" ht="19.5" hidden="1" customHeight="1" x14ac:dyDescent="0.2">
      <c r="A2551" s="105" t="str">
        <f>IF(D2551=1,COUNTIF($D$10:D2551,1)," ")</f>
        <v xml:space="preserve"> </v>
      </c>
      <c r="B2551" s="106">
        <f>COPY!AR2543</f>
        <v>0</v>
      </c>
      <c r="C2551" s="107">
        <f>COPY!AC2543</f>
        <v>0</v>
      </c>
      <c r="D2551" s="107" t="str">
        <f>IF(LEN(Table1722[[#This Row],[Uraian]])&gt;2,1," ")</f>
        <v xml:space="preserve"> </v>
      </c>
      <c r="E2551" s="113" t="str">
        <f>IF(Table1722[[#This Row],[Lawan Transaksi]]="CV AGUNG KARYA",COUNTIF($I$10:I2551,"CV AGUNG KARYA")," ")</f>
        <v xml:space="preserve"> </v>
      </c>
      <c r="F2551" s="107" t="str">
        <f>IF(LEN(Table1722[[#This Row],[Uraian]])&gt;2,TRIM(RIGHT(SUBSTITUTE(TRIM(C2551)," ",REPT(" ",255)),255))," ")</f>
        <v xml:space="preserve"> </v>
      </c>
      <c r="G2551" s="110">
        <f>COPY!Z2543</f>
        <v>0</v>
      </c>
      <c r="H2551" s="111" t="str">
        <f>IFERROR(VLOOKUP(Table1722[[#This Row],[Bukti]],'Un nOTA'!$A$4:$K$5003,10,FALSE),"")</f>
        <v/>
      </c>
      <c r="I2551" s="112" t="str">
        <f>IFERROR(VLOOKUP(Table1722[[#This Row],[Bukti]],Table13[#Data],11,FALSE),"")</f>
        <v/>
      </c>
    </row>
    <row r="2552" spans="1:9" ht="19.5" hidden="1" customHeight="1" x14ac:dyDescent="0.2">
      <c r="A2552" s="105" t="str">
        <f>IF(D2552=1,COUNTIF($D$10:D2552,1)," ")</f>
        <v xml:space="preserve"> </v>
      </c>
      <c r="B2552" s="106">
        <f>COPY!AR2544</f>
        <v>0</v>
      </c>
      <c r="C2552" s="107">
        <f>COPY!AC2544</f>
        <v>0</v>
      </c>
      <c r="D2552" s="107" t="str">
        <f>IF(LEN(Table1722[[#This Row],[Uraian]])&gt;2,1," ")</f>
        <v xml:space="preserve"> </v>
      </c>
      <c r="E2552" s="113" t="str">
        <f>IF(Table1722[[#This Row],[Lawan Transaksi]]="CV AGUNG KARYA",COUNTIF($I$10:I2552,"CV AGUNG KARYA")," ")</f>
        <v xml:space="preserve"> </v>
      </c>
      <c r="F2552" s="107" t="str">
        <f>IF(LEN(Table1722[[#This Row],[Uraian]])&gt;2,TRIM(RIGHT(SUBSTITUTE(TRIM(C2552)," ",REPT(" ",255)),255))," ")</f>
        <v xml:space="preserve"> </v>
      </c>
      <c r="G2552" s="110">
        <f>COPY!Z2544</f>
        <v>0</v>
      </c>
      <c r="H2552" s="111" t="str">
        <f>IFERROR(VLOOKUP(Table1722[[#This Row],[Bukti]],'Un nOTA'!$A$4:$K$5003,10,FALSE),"")</f>
        <v/>
      </c>
      <c r="I2552" s="112" t="str">
        <f>IFERROR(VLOOKUP(Table1722[[#This Row],[Bukti]],Table13[#Data],11,FALSE),"")</f>
        <v/>
      </c>
    </row>
    <row r="2553" spans="1:9" ht="19.5" hidden="1" customHeight="1" x14ac:dyDescent="0.2">
      <c r="A2553" s="105" t="str">
        <f>IF(D2553=1,COUNTIF($D$10:D2553,1)," ")</f>
        <v xml:space="preserve"> </v>
      </c>
      <c r="B2553" s="106">
        <f>COPY!AR2545</f>
        <v>0</v>
      </c>
      <c r="C2553" s="107">
        <f>COPY!AC2545</f>
        <v>0</v>
      </c>
      <c r="D2553" s="107" t="str">
        <f>IF(LEN(Table1722[[#This Row],[Uraian]])&gt;2,1," ")</f>
        <v xml:space="preserve"> </v>
      </c>
      <c r="E2553" s="113" t="str">
        <f>IF(Table1722[[#This Row],[Lawan Transaksi]]="CV AGUNG KARYA",COUNTIF($I$10:I2553,"CV AGUNG KARYA")," ")</f>
        <v xml:space="preserve"> </v>
      </c>
      <c r="F2553" s="107" t="str">
        <f>IF(LEN(Table1722[[#This Row],[Uraian]])&gt;2,TRIM(RIGHT(SUBSTITUTE(TRIM(C2553)," ",REPT(" ",255)),255))," ")</f>
        <v xml:space="preserve"> </v>
      </c>
      <c r="G2553" s="110">
        <f>COPY!Z2545</f>
        <v>0</v>
      </c>
      <c r="H2553" s="111" t="str">
        <f>IFERROR(VLOOKUP(Table1722[[#This Row],[Bukti]],'Un nOTA'!$A$4:$K$5003,10,FALSE),"")</f>
        <v/>
      </c>
      <c r="I2553" s="112" t="str">
        <f>IFERROR(VLOOKUP(Table1722[[#This Row],[Bukti]],Table13[#Data],11,FALSE),"")</f>
        <v/>
      </c>
    </row>
    <row r="2554" spans="1:9" ht="19.5" hidden="1" customHeight="1" x14ac:dyDescent="0.2">
      <c r="A2554" s="105" t="str">
        <f>IF(D2554=1,COUNTIF($D$10:D2554,1)," ")</f>
        <v xml:space="preserve"> </v>
      </c>
      <c r="B2554" s="106">
        <f>COPY!AR2546</f>
        <v>0</v>
      </c>
      <c r="C2554" s="107">
        <f>COPY!AC2546</f>
        <v>0</v>
      </c>
      <c r="D2554" s="107" t="str">
        <f>IF(LEN(Table1722[[#This Row],[Uraian]])&gt;2,1," ")</f>
        <v xml:space="preserve"> </v>
      </c>
      <c r="E2554" s="113" t="str">
        <f>IF(Table1722[[#This Row],[Lawan Transaksi]]="CV AGUNG KARYA",COUNTIF($I$10:I2554,"CV AGUNG KARYA")," ")</f>
        <v xml:space="preserve"> </v>
      </c>
      <c r="F2554" s="107" t="str">
        <f>IF(LEN(Table1722[[#This Row],[Uraian]])&gt;2,TRIM(RIGHT(SUBSTITUTE(TRIM(C2554)," ",REPT(" ",255)),255))," ")</f>
        <v xml:space="preserve"> </v>
      </c>
      <c r="G2554" s="110">
        <f>COPY!Z2546</f>
        <v>0</v>
      </c>
      <c r="H2554" s="111" t="str">
        <f>IFERROR(VLOOKUP(Table1722[[#This Row],[Bukti]],'Un nOTA'!$A$4:$K$5003,10,FALSE),"")</f>
        <v/>
      </c>
      <c r="I2554" s="112" t="str">
        <f>IFERROR(VLOOKUP(Table1722[[#This Row],[Bukti]],Table13[#Data],11,FALSE),"")</f>
        <v/>
      </c>
    </row>
    <row r="2555" spans="1:9" ht="19.5" hidden="1" customHeight="1" x14ac:dyDescent="0.2">
      <c r="A2555" s="105" t="str">
        <f>IF(D2555=1,COUNTIF($D$10:D2555,1)," ")</f>
        <v xml:space="preserve"> </v>
      </c>
      <c r="B2555" s="106">
        <f>COPY!AR2547</f>
        <v>0</v>
      </c>
      <c r="C2555" s="107">
        <f>COPY!AC2547</f>
        <v>0</v>
      </c>
      <c r="D2555" s="107" t="str">
        <f>IF(LEN(Table1722[[#This Row],[Uraian]])&gt;2,1," ")</f>
        <v xml:space="preserve"> </v>
      </c>
      <c r="E2555" s="113" t="str">
        <f>IF(Table1722[[#This Row],[Lawan Transaksi]]="CV AGUNG KARYA",COUNTIF($I$10:I2555,"CV AGUNG KARYA")," ")</f>
        <v xml:space="preserve"> </v>
      </c>
      <c r="F2555" s="107" t="str">
        <f>IF(LEN(Table1722[[#This Row],[Uraian]])&gt;2,TRIM(RIGHT(SUBSTITUTE(TRIM(C2555)," ",REPT(" ",255)),255))," ")</f>
        <v xml:space="preserve"> </v>
      </c>
      <c r="G2555" s="110">
        <f>COPY!Z2547</f>
        <v>0</v>
      </c>
      <c r="H2555" s="111" t="str">
        <f>IFERROR(VLOOKUP(Table1722[[#This Row],[Bukti]],'Un nOTA'!$A$4:$K$5003,10,FALSE),"")</f>
        <v/>
      </c>
      <c r="I2555" s="112" t="str">
        <f>IFERROR(VLOOKUP(Table1722[[#This Row],[Bukti]],Table13[#Data],11,FALSE),"")</f>
        <v/>
      </c>
    </row>
    <row r="2556" spans="1:9" ht="19.5" hidden="1" customHeight="1" x14ac:dyDescent="0.2">
      <c r="A2556" s="105" t="str">
        <f>IF(D2556=1,COUNTIF($D$10:D2556,1)," ")</f>
        <v xml:space="preserve"> </v>
      </c>
      <c r="B2556" s="106">
        <f>COPY!AR2548</f>
        <v>0</v>
      </c>
      <c r="C2556" s="107">
        <f>COPY!AC2548</f>
        <v>0</v>
      </c>
      <c r="D2556" s="107" t="str">
        <f>IF(LEN(Table1722[[#This Row],[Uraian]])&gt;2,1," ")</f>
        <v xml:space="preserve"> </v>
      </c>
      <c r="E2556" s="113" t="str">
        <f>IF(Table1722[[#This Row],[Lawan Transaksi]]="CV AGUNG KARYA",COUNTIF($I$10:I2556,"CV AGUNG KARYA")," ")</f>
        <v xml:space="preserve"> </v>
      </c>
      <c r="F2556" s="107" t="str">
        <f>IF(LEN(Table1722[[#This Row],[Uraian]])&gt;2,TRIM(RIGHT(SUBSTITUTE(TRIM(C2556)," ",REPT(" ",255)),255))," ")</f>
        <v xml:space="preserve"> </v>
      </c>
      <c r="G2556" s="110">
        <f>COPY!Z2548</f>
        <v>0</v>
      </c>
      <c r="H2556" s="111" t="str">
        <f>IFERROR(VLOOKUP(Table1722[[#This Row],[Bukti]],'Un nOTA'!$A$4:$K$5003,10,FALSE),"")</f>
        <v/>
      </c>
      <c r="I2556" s="112" t="str">
        <f>IFERROR(VLOOKUP(Table1722[[#This Row],[Bukti]],Table13[#Data],11,FALSE),"")</f>
        <v/>
      </c>
    </row>
    <row r="2557" spans="1:9" ht="19.5" hidden="1" customHeight="1" x14ac:dyDescent="0.2">
      <c r="A2557" s="105" t="str">
        <f>IF(D2557=1,COUNTIF($D$10:D2557,1)," ")</f>
        <v xml:space="preserve"> </v>
      </c>
      <c r="B2557" s="106">
        <f>COPY!AR2549</f>
        <v>0</v>
      </c>
      <c r="C2557" s="107">
        <f>COPY!AC2549</f>
        <v>0</v>
      </c>
      <c r="D2557" s="107" t="str">
        <f>IF(LEN(Table1722[[#This Row],[Uraian]])&gt;2,1," ")</f>
        <v xml:space="preserve"> </v>
      </c>
      <c r="E2557" s="113" t="str">
        <f>IF(Table1722[[#This Row],[Lawan Transaksi]]="CV AGUNG KARYA",COUNTIF($I$10:I2557,"CV AGUNG KARYA")," ")</f>
        <v xml:space="preserve"> </v>
      </c>
      <c r="F2557" s="107" t="str">
        <f>IF(LEN(Table1722[[#This Row],[Uraian]])&gt;2,TRIM(RIGHT(SUBSTITUTE(TRIM(C2557)," ",REPT(" ",255)),255))," ")</f>
        <v xml:space="preserve"> </v>
      </c>
      <c r="G2557" s="110">
        <f>COPY!Z2549</f>
        <v>0</v>
      </c>
      <c r="H2557" s="111" t="str">
        <f>IFERROR(VLOOKUP(Table1722[[#This Row],[Bukti]],'Un nOTA'!$A$4:$K$5003,10,FALSE),"")</f>
        <v/>
      </c>
      <c r="I2557" s="112" t="str">
        <f>IFERROR(VLOOKUP(Table1722[[#This Row],[Bukti]],Table13[#Data],11,FALSE),"")</f>
        <v/>
      </c>
    </row>
    <row r="2558" spans="1:9" ht="19.5" hidden="1" customHeight="1" x14ac:dyDescent="0.2">
      <c r="A2558" s="105" t="str">
        <f>IF(D2558=1,COUNTIF($D$10:D2558,1)," ")</f>
        <v xml:space="preserve"> </v>
      </c>
      <c r="B2558" s="106">
        <f>COPY!AR2550</f>
        <v>0</v>
      </c>
      <c r="C2558" s="107">
        <f>COPY!AC2550</f>
        <v>0</v>
      </c>
      <c r="D2558" s="107" t="str">
        <f>IF(LEN(Table1722[[#This Row],[Uraian]])&gt;2,1," ")</f>
        <v xml:space="preserve"> </v>
      </c>
      <c r="E2558" s="113" t="str">
        <f>IF(Table1722[[#This Row],[Lawan Transaksi]]="CV AGUNG KARYA",COUNTIF($I$10:I2558,"CV AGUNG KARYA")," ")</f>
        <v xml:space="preserve"> </v>
      </c>
      <c r="F2558" s="107" t="str">
        <f>IF(LEN(Table1722[[#This Row],[Uraian]])&gt;2,TRIM(RIGHT(SUBSTITUTE(TRIM(C2558)," ",REPT(" ",255)),255))," ")</f>
        <v xml:space="preserve"> </v>
      </c>
      <c r="G2558" s="110">
        <f>COPY!Z2550</f>
        <v>0</v>
      </c>
      <c r="H2558" s="111" t="str">
        <f>IFERROR(VLOOKUP(Table1722[[#This Row],[Bukti]],'Un nOTA'!$A$4:$K$5003,10,FALSE),"")</f>
        <v/>
      </c>
      <c r="I2558" s="112" t="str">
        <f>IFERROR(VLOOKUP(Table1722[[#This Row],[Bukti]],Table13[#Data],11,FALSE),"")</f>
        <v/>
      </c>
    </row>
    <row r="2559" spans="1:9" ht="19.5" hidden="1" customHeight="1" x14ac:dyDescent="0.2">
      <c r="A2559" s="105" t="str">
        <f>IF(D2559=1,COUNTIF($D$10:D2559,1)," ")</f>
        <v xml:space="preserve"> </v>
      </c>
      <c r="B2559" s="106">
        <f>COPY!AR2551</f>
        <v>0</v>
      </c>
      <c r="C2559" s="107">
        <f>COPY!AC2551</f>
        <v>0</v>
      </c>
      <c r="D2559" s="107" t="str">
        <f>IF(LEN(Table1722[[#This Row],[Uraian]])&gt;2,1," ")</f>
        <v xml:space="preserve"> </v>
      </c>
      <c r="E2559" s="113" t="str">
        <f>IF(Table1722[[#This Row],[Lawan Transaksi]]="CV AGUNG KARYA",COUNTIF($I$10:I2559,"CV AGUNG KARYA")," ")</f>
        <v xml:space="preserve"> </v>
      </c>
      <c r="F2559" s="107" t="str">
        <f>IF(LEN(Table1722[[#This Row],[Uraian]])&gt;2,TRIM(RIGHT(SUBSTITUTE(TRIM(C2559)," ",REPT(" ",255)),255))," ")</f>
        <v xml:space="preserve"> </v>
      </c>
      <c r="G2559" s="110">
        <f>COPY!Z2551</f>
        <v>0</v>
      </c>
      <c r="H2559" s="111" t="str">
        <f>IFERROR(VLOOKUP(Table1722[[#This Row],[Bukti]],'Un nOTA'!$A$4:$K$5003,10,FALSE),"")</f>
        <v/>
      </c>
      <c r="I2559" s="112" t="str">
        <f>IFERROR(VLOOKUP(Table1722[[#This Row],[Bukti]],Table13[#Data],11,FALSE),"")</f>
        <v/>
      </c>
    </row>
    <row r="2560" spans="1:9" ht="19.5" hidden="1" customHeight="1" x14ac:dyDescent="0.2">
      <c r="A2560" s="105" t="str">
        <f>IF(D2560=1,COUNTIF($D$10:D2560,1)," ")</f>
        <v xml:space="preserve"> </v>
      </c>
      <c r="B2560" s="106">
        <f>COPY!AR2552</f>
        <v>0</v>
      </c>
      <c r="C2560" s="107">
        <f>COPY!AC2552</f>
        <v>0</v>
      </c>
      <c r="D2560" s="107" t="str">
        <f>IF(LEN(Table1722[[#This Row],[Uraian]])&gt;2,1," ")</f>
        <v xml:space="preserve"> </v>
      </c>
      <c r="E2560" s="113" t="str">
        <f>IF(Table1722[[#This Row],[Lawan Transaksi]]="CV AGUNG KARYA",COUNTIF($I$10:I2560,"CV AGUNG KARYA")," ")</f>
        <v xml:space="preserve"> </v>
      </c>
      <c r="F2560" s="107" t="str">
        <f>IF(LEN(Table1722[[#This Row],[Uraian]])&gt;2,TRIM(RIGHT(SUBSTITUTE(TRIM(C2560)," ",REPT(" ",255)),255))," ")</f>
        <v xml:space="preserve"> </v>
      </c>
      <c r="G2560" s="110">
        <f>COPY!Z2552</f>
        <v>0</v>
      </c>
      <c r="H2560" s="111" t="str">
        <f>IFERROR(VLOOKUP(Table1722[[#This Row],[Bukti]],'Un nOTA'!$A$4:$K$5003,10,FALSE),"")</f>
        <v/>
      </c>
      <c r="I2560" s="112" t="str">
        <f>IFERROR(VLOOKUP(Table1722[[#This Row],[Bukti]],Table13[#Data],11,FALSE),"")</f>
        <v/>
      </c>
    </row>
    <row r="2561" spans="1:9" ht="19.5" hidden="1" customHeight="1" x14ac:dyDescent="0.2">
      <c r="A2561" s="105" t="str">
        <f>IF(D2561=1,COUNTIF($D$10:D2561,1)," ")</f>
        <v xml:space="preserve"> </v>
      </c>
      <c r="B2561" s="106">
        <f>COPY!AR2553</f>
        <v>0</v>
      </c>
      <c r="C2561" s="107">
        <f>COPY!AC2553</f>
        <v>0</v>
      </c>
      <c r="D2561" s="107" t="str">
        <f>IF(LEN(Table1722[[#This Row],[Uraian]])&gt;2,1," ")</f>
        <v xml:space="preserve"> </v>
      </c>
      <c r="E2561" s="113" t="str">
        <f>IF(Table1722[[#This Row],[Lawan Transaksi]]="CV AGUNG KARYA",COUNTIF($I$10:I2561,"CV AGUNG KARYA")," ")</f>
        <v xml:space="preserve"> </v>
      </c>
      <c r="F2561" s="107" t="str">
        <f>IF(LEN(Table1722[[#This Row],[Uraian]])&gt;2,TRIM(RIGHT(SUBSTITUTE(TRIM(C2561)," ",REPT(" ",255)),255))," ")</f>
        <v xml:space="preserve"> </v>
      </c>
      <c r="G2561" s="110">
        <f>COPY!Z2553</f>
        <v>0</v>
      </c>
      <c r="H2561" s="111" t="str">
        <f>IFERROR(VLOOKUP(Table1722[[#This Row],[Bukti]],'Un nOTA'!$A$4:$K$5003,10,FALSE),"")</f>
        <v/>
      </c>
      <c r="I2561" s="112" t="str">
        <f>IFERROR(VLOOKUP(Table1722[[#This Row],[Bukti]],Table13[#Data],11,FALSE),"")</f>
        <v/>
      </c>
    </row>
    <row r="2562" spans="1:9" ht="19.5" hidden="1" customHeight="1" x14ac:dyDescent="0.2">
      <c r="A2562" s="105" t="str">
        <f>IF(D2562=1,COUNTIF($D$10:D2562,1)," ")</f>
        <v xml:space="preserve"> </v>
      </c>
      <c r="B2562" s="106">
        <f>COPY!AR2554</f>
        <v>0</v>
      </c>
      <c r="C2562" s="107">
        <f>COPY!AC2554</f>
        <v>0</v>
      </c>
      <c r="D2562" s="107" t="str">
        <f>IF(LEN(Table1722[[#This Row],[Uraian]])&gt;2,1," ")</f>
        <v xml:space="preserve"> </v>
      </c>
      <c r="E2562" s="113" t="str">
        <f>IF(Table1722[[#This Row],[Lawan Transaksi]]="CV AGUNG KARYA",COUNTIF($I$10:I2562,"CV AGUNG KARYA")," ")</f>
        <v xml:space="preserve"> </v>
      </c>
      <c r="F2562" s="107" t="str">
        <f>IF(LEN(Table1722[[#This Row],[Uraian]])&gt;2,TRIM(RIGHT(SUBSTITUTE(TRIM(C2562)," ",REPT(" ",255)),255))," ")</f>
        <v xml:space="preserve"> </v>
      </c>
      <c r="G2562" s="110">
        <f>COPY!Z2554</f>
        <v>0</v>
      </c>
      <c r="H2562" s="111" t="str">
        <f>IFERROR(VLOOKUP(Table1722[[#This Row],[Bukti]],'Un nOTA'!$A$4:$K$5003,10,FALSE),"")</f>
        <v/>
      </c>
      <c r="I2562" s="112" t="str">
        <f>IFERROR(VLOOKUP(Table1722[[#This Row],[Bukti]],Table13[#Data],11,FALSE),"")</f>
        <v/>
      </c>
    </row>
    <row r="2563" spans="1:9" ht="19.5" hidden="1" customHeight="1" x14ac:dyDescent="0.2">
      <c r="A2563" s="105" t="str">
        <f>IF(D2563=1,COUNTIF($D$10:D2563,1)," ")</f>
        <v xml:space="preserve"> </v>
      </c>
      <c r="B2563" s="106">
        <f>COPY!AR2555</f>
        <v>0</v>
      </c>
      <c r="C2563" s="107">
        <f>COPY!AC2555</f>
        <v>0</v>
      </c>
      <c r="D2563" s="107" t="str">
        <f>IF(LEN(Table1722[[#This Row],[Uraian]])&gt;2,1," ")</f>
        <v xml:space="preserve"> </v>
      </c>
      <c r="E2563" s="113" t="str">
        <f>IF(Table1722[[#This Row],[Lawan Transaksi]]="CV AGUNG KARYA",COUNTIF($I$10:I2563,"CV AGUNG KARYA")," ")</f>
        <v xml:space="preserve"> </v>
      </c>
      <c r="F2563" s="107" t="str">
        <f>IF(LEN(Table1722[[#This Row],[Uraian]])&gt;2,TRIM(RIGHT(SUBSTITUTE(TRIM(C2563)," ",REPT(" ",255)),255))," ")</f>
        <v xml:space="preserve"> </v>
      </c>
      <c r="G2563" s="110">
        <f>COPY!Z2555</f>
        <v>0</v>
      </c>
      <c r="H2563" s="111" t="str">
        <f>IFERROR(VLOOKUP(Table1722[[#This Row],[Bukti]],'Un nOTA'!$A$4:$K$5003,10,FALSE),"")</f>
        <v/>
      </c>
      <c r="I2563" s="112" t="str">
        <f>IFERROR(VLOOKUP(Table1722[[#This Row],[Bukti]],Table13[#Data],11,FALSE),"")</f>
        <v/>
      </c>
    </row>
    <row r="2564" spans="1:9" ht="19.5" hidden="1" customHeight="1" x14ac:dyDescent="0.2">
      <c r="A2564" s="105" t="str">
        <f>IF(D2564=1,COUNTIF($D$10:D2564,1)," ")</f>
        <v xml:space="preserve"> </v>
      </c>
      <c r="B2564" s="106">
        <f>COPY!AR2556</f>
        <v>0</v>
      </c>
      <c r="C2564" s="107">
        <f>COPY!AC2556</f>
        <v>0</v>
      </c>
      <c r="D2564" s="107" t="str">
        <f>IF(LEN(Table1722[[#This Row],[Uraian]])&gt;2,1," ")</f>
        <v xml:space="preserve"> </v>
      </c>
      <c r="E2564" s="113" t="str">
        <f>IF(Table1722[[#This Row],[Lawan Transaksi]]="CV AGUNG KARYA",COUNTIF($I$10:I2564,"CV AGUNG KARYA")," ")</f>
        <v xml:space="preserve"> </v>
      </c>
      <c r="F2564" s="107" t="str">
        <f>IF(LEN(Table1722[[#This Row],[Uraian]])&gt;2,TRIM(RIGHT(SUBSTITUTE(TRIM(C2564)," ",REPT(" ",255)),255))," ")</f>
        <v xml:space="preserve"> </v>
      </c>
      <c r="G2564" s="110">
        <f>COPY!Z2556</f>
        <v>0</v>
      </c>
      <c r="H2564" s="111" t="str">
        <f>IFERROR(VLOOKUP(Table1722[[#This Row],[Bukti]],'Un nOTA'!$A$4:$K$5003,10,FALSE),"")</f>
        <v/>
      </c>
      <c r="I2564" s="112" t="str">
        <f>IFERROR(VLOOKUP(Table1722[[#This Row],[Bukti]],Table13[#Data],11,FALSE),"")</f>
        <v/>
      </c>
    </row>
    <row r="2565" spans="1:9" ht="19.5" hidden="1" customHeight="1" x14ac:dyDescent="0.2">
      <c r="A2565" s="105" t="str">
        <f>IF(D2565=1,COUNTIF($D$10:D2565,1)," ")</f>
        <v xml:space="preserve"> </v>
      </c>
      <c r="B2565" s="106">
        <f>COPY!AR2557</f>
        <v>0</v>
      </c>
      <c r="C2565" s="107">
        <f>COPY!AC2557</f>
        <v>0</v>
      </c>
      <c r="D2565" s="107" t="str">
        <f>IF(LEN(Table1722[[#This Row],[Uraian]])&gt;2,1," ")</f>
        <v xml:space="preserve"> </v>
      </c>
      <c r="E2565" s="113" t="str">
        <f>IF(Table1722[[#This Row],[Lawan Transaksi]]="CV AGUNG KARYA",COUNTIF($I$10:I2565,"CV AGUNG KARYA")," ")</f>
        <v xml:space="preserve"> </v>
      </c>
      <c r="F2565" s="107" t="str">
        <f>IF(LEN(Table1722[[#This Row],[Uraian]])&gt;2,TRIM(RIGHT(SUBSTITUTE(TRIM(C2565)," ",REPT(" ",255)),255))," ")</f>
        <v xml:space="preserve"> </v>
      </c>
      <c r="G2565" s="110">
        <f>COPY!Z2557</f>
        <v>0</v>
      </c>
      <c r="H2565" s="111" t="str">
        <f>IFERROR(VLOOKUP(Table1722[[#This Row],[Bukti]],'Un nOTA'!$A$4:$K$5003,10,FALSE),"")</f>
        <v/>
      </c>
      <c r="I2565" s="112" t="str">
        <f>IFERROR(VLOOKUP(Table1722[[#This Row],[Bukti]],Table13[#Data],11,FALSE),"")</f>
        <v/>
      </c>
    </row>
    <row r="2566" spans="1:9" ht="19.5" hidden="1" customHeight="1" x14ac:dyDescent="0.2">
      <c r="A2566" s="105" t="str">
        <f>IF(D2566=1,COUNTIF($D$10:D2566,1)," ")</f>
        <v xml:space="preserve"> </v>
      </c>
      <c r="B2566" s="106">
        <f>COPY!AR2558</f>
        <v>0</v>
      </c>
      <c r="C2566" s="107">
        <f>COPY!AC2558</f>
        <v>0</v>
      </c>
      <c r="D2566" s="107" t="str">
        <f>IF(LEN(Table1722[[#This Row],[Uraian]])&gt;2,1," ")</f>
        <v xml:space="preserve"> </v>
      </c>
      <c r="E2566" s="113" t="str">
        <f>IF(Table1722[[#This Row],[Lawan Transaksi]]="CV AGUNG KARYA",COUNTIF($I$10:I2566,"CV AGUNG KARYA")," ")</f>
        <v xml:space="preserve"> </v>
      </c>
      <c r="F2566" s="107" t="str">
        <f>IF(LEN(Table1722[[#This Row],[Uraian]])&gt;2,TRIM(RIGHT(SUBSTITUTE(TRIM(C2566)," ",REPT(" ",255)),255))," ")</f>
        <v xml:space="preserve"> </v>
      </c>
      <c r="G2566" s="110">
        <f>COPY!Z2558</f>
        <v>0</v>
      </c>
      <c r="H2566" s="111" t="str">
        <f>IFERROR(VLOOKUP(Table1722[[#This Row],[Bukti]],'Un nOTA'!$A$4:$K$5003,10,FALSE),"")</f>
        <v/>
      </c>
      <c r="I2566" s="112" t="str">
        <f>IFERROR(VLOOKUP(Table1722[[#This Row],[Bukti]],Table13[#Data],11,FALSE),"")</f>
        <v/>
      </c>
    </row>
    <row r="2567" spans="1:9" ht="19.5" hidden="1" customHeight="1" x14ac:dyDescent="0.2">
      <c r="A2567" s="105" t="str">
        <f>IF(D2567=1,COUNTIF($D$10:D2567,1)," ")</f>
        <v xml:space="preserve"> </v>
      </c>
      <c r="B2567" s="106">
        <f>COPY!AR2559</f>
        <v>0</v>
      </c>
      <c r="C2567" s="107">
        <f>COPY!AC2559</f>
        <v>0</v>
      </c>
      <c r="D2567" s="107" t="str">
        <f>IF(LEN(Table1722[[#This Row],[Uraian]])&gt;2,1," ")</f>
        <v xml:space="preserve"> </v>
      </c>
      <c r="E2567" s="113" t="str">
        <f>IF(Table1722[[#This Row],[Lawan Transaksi]]="CV AGUNG KARYA",COUNTIF($I$10:I2567,"CV AGUNG KARYA")," ")</f>
        <v xml:space="preserve"> </v>
      </c>
      <c r="F2567" s="107" t="str">
        <f>IF(LEN(Table1722[[#This Row],[Uraian]])&gt;2,TRIM(RIGHT(SUBSTITUTE(TRIM(C2567)," ",REPT(" ",255)),255))," ")</f>
        <v xml:space="preserve"> </v>
      </c>
      <c r="G2567" s="110">
        <f>COPY!Z2559</f>
        <v>0</v>
      </c>
      <c r="H2567" s="111" t="str">
        <f>IFERROR(VLOOKUP(Table1722[[#This Row],[Bukti]],'Un nOTA'!$A$4:$K$5003,10,FALSE),"")</f>
        <v/>
      </c>
      <c r="I2567" s="112" t="str">
        <f>IFERROR(VLOOKUP(Table1722[[#This Row],[Bukti]],Table13[#Data],11,FALSE),"")</f>
        <v/>
      </c>
    </row>
    <row r="2568" spans="1:9" ht="19.5" hidden="1" customHeight="1" x14ac:dyDescent="0.2">
      <c r="A2568" s="105" t="str">
        <f>IF(D2568=1,COUNTIF($D$10:D2568,1)," ")</f>
        <v xml:space="preserve"> </v>
      </c>
      <c r="B2568" s="106">
        <f>COPY!AR2560</f>
        <v>0</v>
      </c>
      <c r="C2568" s="107">
        <f>COPY!AC2560</f>
        <v>0</v>
      </c>
      <c r="D2568" s="107" t="str">
        <f>IF(LEN(Table1722[[#This Row],[Uraian]])&gt;2,1," ")</f>
        <v xml:space="preserve"> </v>
      </c>
      <c r="E2568" s="113" t="str">
        <f>IF(Table1722[[#This Row],[Lawan Transaksi]]="CV AGUNG KARYA",COUNTIF($I$10:I2568,"CV AGUNG KARYA")," ")</f>
        <v xml:space="preserve"> </v>
      </c>
      <c r="F2568" s="107" t="str">
        <f>IF(LEN(Table1722[[#This Row],[Uraian]])&gt;2,TRIM(RIGHT(SUBSTITUTE(TRIM(C2568)," ",REPT(" ",255)),255))," ")</f>
        <v xml:space="preserve"> </v>
      </c>
      <c r="G2568" s="110">
        <f>COPY!Z2560</f>
        <v>0</v>
      </c>
      <c r="H2568" s="111" t="str">
        <f>IFERROR(VLOOKUP(Table1722[[#This Row],[Bukti]],'Un nOTA'!$A$4:$K$5003,10,FALSE),"")</f>
        <v/>
      </c>
      <c r="I2568" s="112" t="str">
        <f>IFERROR(VLOOKUP(Table1722[[#This Row],[Bukti]],Table13[#Data],11,FALSE),"")</f>
        <v/>
      </c>
    </row>
    <row r="2569" spans="1:9" ht="19.5" hidden="1" customHeight="1" x14ac:dyDescent="0.2">
      <c r="A2569" s="105" t="str">
        <f>IF(D2569=1,COUNTIF($D$10:D2569,1)," ")</f>
        <v xml:space="preserve"> </v>
      </c>
      <c r="B2569" s="106">
        <f>COPY!AR2561</f>
        <v>0</v>
      </c>
      <c r="C2569" s="107">
        <f>COPY!AC2561</f>
        <v>0</v>
      </c>
      <c r="D2569" s="107" t="str">
        <f>IF(LEN(Table1722[[#This Row],[Uraian]])&gt;2,1," ")</f>
        <v xml:space="preserve"> </v>
      </c>
      <c r="E2569" s="113" t="str">
        <f>IF(Table1722[[#This Row],[Lawan Transaksi]]="CV AGUNG KARYA",COUNTIF($I$10:I2569,"CV AGUNG KARYA")," ")</f>
        <v xml:space="preserve"> </v>
      </c>
      <c r="F2569" s="107" t="str">
        <f>IF(LEN(Table1722[[#This Row],[Uraian]])&gt;2,TRIM(RIGHT(SUBSTITUTE(TRIM(C2569)," ",REPT(" ",255)),255))," ")</f>
        <v xml:space="preserve"> </v>
      </c>
      <c r="G2569" s="110">
        <f>COPY!Z2561</f>
        <v>0</v>
      </c>
      <c r="H2569" s="111" t="str">
        <f>IFERROR(VLOOKUP(Table1722[[#This Row],[Bukti]],'Un nOTA'!$A$4:$K$5003,10,FALSE),"")</f>
        <v/>
      </c>
      <c r="I2569" s="112" t="str">
        <f>IFERROR(VLOOKUP(Table1722[[#This Row],[Bukti]],Table13[#Data],11,FALSE),"")</f>
        <v/>
      </c>
    </row>
    <row r="2570" spans="1:9" ht="19.5" hidden="1" customHeight="1" x14ac:dyDescent="0.2">
      <c r="A2570" s="105" t="str">
        <f>IF(D2570=1,COUNTIF($D$10:D2570,1)," ")</f>
        <v xml:space="preserve"> </v>
      </c>
      <c r="B2570" s="106">
        <f>COPY!AR2562</f>
        <v>0</v>
      </c>
      <c r="C2570" s="107">
        <f>COPY!AC2562</f>
        <v>0</v>
      </c>
      <c r="D2570" s="107" t="str">
        <f>IF(LEN(Table1722[[#This Row],[Uraian]])&gt;2,1," ")</f>
        <v xml:space="preserve"> </v>
      </c>
      <c r="E2570" s="113" t="str">
        <f>IF(Table1722[[#This Row],[Lawan Transaksi]]="CV AGUNG KARYA",COUNTIF($I$10:I2570,"CV AGUNG KARYA")," ")</f>
        <v xml:space="preserve"> </v>
      </c>
      <c r="F2570" s="107" t="str">
        <f>IF(LEN(Table1722[[#This Row],[Uraian]])&gt;2,TRIM(RIGHT(SUBSTITUTE(TRIM(C2570)," ",REPT(" ",255)),255))," ")</f>
        <v xml:space="preserve"> </v>
      </c>
      <c r="G2570" s="110">
        <f>COPY!Z2562</f>
        <v>0</v>
      </c>
      <c r="H2570" s="111" t="str">
        <f>IFERROR(VLOOKUP(Table1722[[#This Row],[Bukti]],'Un nOTA'!$A$4:$K$5003,10,FALSE),"")</f>
        <v/>
      </c>
      <c r="I2570" s="112" t="str">
        <f>IFERROR(VLOOKUP(Table1722[[#This Row],[Bukti]],Table13[#Data],11,FALSE),"")</f>
        <v/>
      </c>
    </row>
    <row r="2571" spans="1:9" ht="19.5" hidden="1" customHeight="1" x14ac:dyDescent="0.2">
      <c r="A2571" s="105" t="str">
        <f>IF(D2571=1,COUNTIF($D$10:D2571,1)," ")</f>
        <v xml:space="preserve"> </v>
      </c>
      <c r="B2571" s="106">
        <f>COPY!AR2563</f>
        <v>0</v>
      </c>
      <c r="C2571" s="107">
        <f>COPY!AC2563</f>
        <v>0</v>
      </c>
      <c r="D2571" s="107" t="str">
        <f>IF(LEN(Table1722[[#This Row],[Uraian]])&gt;2,1," ")</f>
        <v xml:space="preserve"> </v>
      </c>
      <c r="E2571" s="113" t="str">
        <f>IF(Table1722[[#This Row],[Lawan Transaksi]]="CV AGUNG KARYA",COUNTIF($I$10:I2571,"CV AGUNG KARYA")," ")</f>
        <v xml:space="preserve"> </v>
      </c>
      <c r="F2571" s="107" t="str">
        <f>IF(LEN(Table1722[[#This Row],[Uraian]])&gt;2,TRIM(RIGHT(SUBSTITUTE(TRIM(C2571)," ",REPT(" ",255)),255))," ")</f>
        <v xml:space="preserve"> </v>
      </c>
      <c r="G2571" s="110">
        <f>COPY!Z2563</f>
        <v>0</v>
      </c>
      <c r="H2571" s="111" t="str">
        <f>IFERROR(VLOOKUP(Table1722[[#This Row],[Bukti]],'Un nOTA'!$A$4:$K$5003,10,FALSE),"")</f>
        <v/>
      </c>
      <c r="I2571" s="112" t="str">
        <f>IFERROR(VLOOKUP(Table1722[[#This Row],[Bukti]],Table13[#Data],11,FALSE),"")</f>
        <v/>
      </c>
    </row>
    <row r="2572" spans="1:9" ht="19.5" hidden="1" customHeight="1" x14ac:dyDescent="0.2">
      <c r="A2572" s="105" t="str">
        <f>IF(D2572=1,COUNTIF($D$10:D2572,1)," ")</f>
        <v xml:space="preserve"> </v>
      </c>
      <c r="B2572" s="106">
        <f>COPY!AR2564</f>
        <v>0</v>
      </c>
      <c r="C2572" s="107">
        <f>COPY!AC2564</f>
        <v>0</v>
      </c>
      <c r="D2572" s="107" t="str">
        <f>IF(LEN(Table1722[[#This Row],[Uraian]])&gt;2,1," ")</f>
        <v xml:space="preserve"> </v>
      </c>
      <c r="E2572" s="113" t="str">
        <f>IF(Table1722[[#This Row],[Lawan Transaksi]]="CV AGUNG KARYA",COUNTIF($I$10:I2572,"CV AGUNG KARYA")," ")</f>
        <v xml:space="preserve"> </v>
      </c>
      <c r="F2572" s="107" t="str">
        <f>IF(LEN(Table1722[[#This Row],[Uraian]])&gt;2,TRIM(RIGHT(SUBSTITUTE(TRIM(C2572)," ",REPT(" ",255)),255))," ")</f>
        <v xml:space="preserve"> </v>
      </c>
      <c r="G2572" s="110">
        <f>COPY!Z2564</f>
        <v>0</v>
      </c>
      <c r="H2572" s="111" t="str">
        <f>IFERROR(VLOOKUP(Table1722[[#This Row],[Bukti]],'Un nOTA'!$A$4:$K$5003,10,FALSE),"")</f>
        <v/>
      </c>
      <c r="I2572" s="112" t="str">
        <f>IFERROR(VLOOKUP(Table1722[[#This Row],[Bukti]],Table13[#Data],11,FALSE),"")</f>
        <v/>
      </c>
    </row>
    <row r="2573" spans="1:9" ht="19.5" hidden="1" customHeight="1" x14ac:dyDescent="0.2">
      <c r="A2573" s="105" t="str">
        <f>IF(D2573=1,COUNTIF($D$10:D2573,1)," ")</f>
        <v xml:space="preserve"> </v>
      </c>
      <c r="B2573" s="106">
        <f>COPY!AR2565</f>
        <v>0</v>
      </c>
      <c r="C2573" s="107">
        <f>COPY!AC2565</f>
        <v>0</v>
      </c>
      <c r="D2573" s="107" t="str">
        <f>IF(LEN(Table1722[[#This Row],[Uraian]])&gt;2,1," ")</f>
        <v xml:space="preserve"> </v>
      </c>
      <c r="E2573" s="113" t="str">
        <f>IF(Table1722[[#This Row],[Lawan Transaksi]]="CV AGUNG KARYA",COUNTIF($I$10:I2573,"CV AGUNG KARYA")," ")</f>
        <v xml:space="preserve"> </v>
      </c>
      <c r="F2573" s="107" t="str">
        <f>IF(LEN(Table1722[[#This Row],[Uraian]])&gt;2,TRIM(RIGHT(SUBSTITUTE(TRIM(C2573)," ",REPT(" ",255)),255))," ")</f>
        <v xml:space="preserve"> </v>
      </c>
      <c r="G2573" s="110">
        <f>COPY!Z2565</f>
        <v>0</v>
      </c>
      <c r="H2573" s="111" t="str">
        <f>IFERROR(VLOOKUP(Table1722[[#This Row],[Bukti]],'Un nOTA'!$A$4:$K$5003,10,FALSE),"")</f>
        <v/>
      </c>
      <c r="I2573" s="112" t="str">
        <f>IFERROR(VLOOKUP(Table1722[[#This Row],[Bukti]],Table13[#Data],11,FALSE),"")</f>
        <v/>
      </c>
    </row>
    <row r="2574" spans="1:9" ht="19.5" hidden="1" customHeight="1" x14ac:dyDescent="0.2">
      <c r="A2574" s="105" t="str">
        <f>IF(D2574=1,COUNTIF($D$10:D2574,1)," ")</f>
        <v xml:space="preserve"> </v>
      </c>
      <c r="B2574" s="106">
        <f>COPY!AR2566</f>
        <v>0</v>
      </c>
      <c r="C2574" s="107">
        <f>COPY!AC2566</f>
        <v>0</v>
      </c>
      <c r="D2574" s="107" t="str">
        <f>IF(LEN(Table1722[[#This Row],[Uraian]])&gt;2,1," ")</f>
        <v xml:space="preserve"> </v>
      </c>
      <c r="E2574" s="113" t="str">
        <f>IF(Table1722[[#This Row],[Lawan Transaksi]]="CV AGUNG KARYA",COUNTIF($I$10:I2574,"CV AGUNG KARYA")," ")</f>
        <v xml:space="preserve"> </v>
      </c>
      <c r="F2574" s="107" t="str">
        <f>IF(LEN(Table1722[[#This Row],[Uraian]])&gt;2,TRIM(RIGHT(SUBSTITUTE(TRIM(C2574)," ",REPT(" ",255)),255))," ")</f>
        <v xml:space="preserve"> </v>
      </c>
      <c r="G2574" s="110">
        <f>COPY!Z2566</f>
        <v>0</v>
      </c>
      <c r="H2574" s="111" t="str">
        <f>IFERROR(VLOOKUP(Table1722[[#This Row],[Bukti]],'Un nOTA'!$A$4:$K$5003,10,FALSE),"")</f>
        <v/>
      </c>
      <c r="I2574" s="112" t="str">
        <f>IFERROR(VLOOKUP(Table1722[[#This Row],[Bukti]],Table13[#Data],11,FALSE),"")</f>
        <v/>
      </c>
    </row>
    <row r="2575" spans="1:9" ht="19.5" hidden="1" customHeight="1" x14ac:dyDescent="0.2">
      <c r="A2575" s="105" t="str">
        <f>IF(D2575=1,COUNTIF($D$10:D2575,1)," ")</f>
        <v xml:space="preserve"> </v>
      </c>
      <c r="B2575" s="106">
        <f>COPY!AR2567</f>
        <v>0</v>
      </c>
      <c r="C2575" s="107">
        <f>COPY!AC2567</f>
        <v>0</v>
      </c>
      <c r="D2575" s="107" t="str">
        <f>IF(LEN(Table1722[[#This Row],[Uraian]])&gt;2,1," ")</f>
        <v xml:space="preserve"> </v>
      </c>
      <c r="E2575" s="113" t="str">
        <f>IF(Table1722[[#This Row],[Lawan Transaksi]]="CV AGUNG KARYA",COUNTIF($I$10:I2575,"CV AGUNG KARYA")," ")</f>
        <v xml:space="preserve"> </v>
      </c>
      <c r="F2575" s="107" t="str">
        <f>IF(LEN(Table1722[[#This Row],[Uraian]])&gt;2,TRIM(RIGHT(SUBSTITUTE(TRIM(C2575)," ",REPT(" ",255)),255))," ")</f>
        <v xml:space="preserve"> </v>
      </c>
      <c r="G2575" s="110">
        <f>COPY!Z2567</f>
        <v>0</v>
      </c>
      <c r="H2575" s="111" t="str">
        <f>IFERROR(VLOOKUP(Table1722[[#This Row],[Bukti]],'Un nOTA'!$A$4:$K$5003,10,FALSE),"")</f>
        <v/>
      </c>
      <c r="I2575" s="112" t="str">
        <f>IFERROR(VLOOKUP(Table1722[[#This Row],[Bukti]],Table13[#Data],11,FALSE),"")</f>
        <v/>
      </c>
    </row>
    <row r="2576" spans="1:9" ht="19.5" hidden="1" customHeight="1" x14ac:dyDescent="0.2">
      <c r="A2576" s="105" t="str">
        <f>IF(D2576=1,COUNTIF($D$10:D2576,1)," ")</f>
        <v xml:space="preserve"> </v>
      </c>
      <c r="B2576" s="106">
        <f>COPY!AR2568</f>
        <v>0</v>
      </c>
      <c r="C2576" s="107">
        <f>COPY!AC2568</f>
        <v>0</v>
      </c>
      <c r="D2576" s="107" t="str">
        <f>IF(LEN(Table1722[[#This Row],[Uraian]])&gt;2,1," ")</f>
        <v xml:space="preserve"> </v>
      </c>
      <c r="E2576" s="113" t="str">
        <f>IF(Table1722[[#This Row],[Lawan Transaksi]]="CV AGUNG KARYA",COUNTIF($I$10:I2576,"CV AGUNG KARYA")," ")</f>
        <v xml:space="preserve"> </v>
      </c>
      <c r="F2576" s="107" t="str">
        <f>IF(LEN(Table1722[[#This Row],[Uraian]])&gt;2,TRIM(RIGHT(SUBSTITUTE(TRIM(C2576)," ",REPT(" ",255)),255))," ")</f>
        <v xml:space="preserve"> </v>
      </c>
      <c r="G2576" s="110">
        <f>COPY!Z2568</f>
        <v>0</v>
      </c>
      <c r="H2576" s="111" t="str">
        <f>IFERROR(VLOOKUP(Table1722[[#This Row],[Bukti]],'Un nOTA'!$A$4:$K$5003,10,FALSE),"")</f>
        <v/>
      </c>
      <c r="I2576" s="112" t="str">
        <f>IFERROR(VLOOKUP(Table1722[[#This Row],[Bukti]],Table13[#Data],11,FALSE),"")</f>
        <v/>
      </c>
    </row>
    <row r="2577" spans="1:9" ht="19.5" hidden="1" customHeight="1" x14ac:dyDescent="0.2">
      <c r="A2577" s="105" t="str">
        <f>IF(D2577=1,COUNTIF($D$10:D2577,1)," ")</f>
        <v xml:space="preserve"> </v>
      </c>
      <c r="B2577" s="106">
        <f>COPY!AR2569</f>
        <v>0</v>
      </c>
      <c r="C2577" s="107">
        <f>COPY!AC2569</f>
        <v>0</v>
      </c>
      <c r="D2577" s="107" t="str">
        <f>IF(LEN(Table1722[[#This Row],[Uraian]])&gt;2,1," ")</f>
        <v xml:space="preserve"> </v>
      </c>
      <c r="E2577" s="113" t="str">
        <f>IF(Table1722[[#This Row],[Lawan Transaksi]]="CV AGUNG KARYA",COUNTIF($I$10:I2577,"CV AGUNG KARYA")," ")</f>
        <v xml:space="preserve"> </v>
      </c>
      <c r="F2577" s="107" t="str">
        <f>IF(LEN(Table1722[[#This Row],[Uraian]])&gt;2,TRIM(RIGHT(SUBSTITUTE(TRIM(C2577)," ",REPT(" ",255)),255))," ")</f>
        <v xml:space="preserve"> </v>
      </c>
      <c r="G2577" s="110">
        <f>COPY!Z2569</f>
        <v>0</v>
      </c>
      <c r="H2577" s="111" t="str">
        <f>IFERROR(VLOOKUP(Table1722[[#This Row],[Bukti]],'Un nOTA'!$A$4:$K$5003,10,FALSE),"")</f>
        <v/>
      </c>
      <c r="I2577" s="112" t="str">
        <f>IFERROR(VLOOKUP(Table1722[[#This Row],[Bukti]],Table13[#Data],11,FALSE),"")</f>
        <v/>
      </c>
    </row>
    <row r="2578" spans="1:9" ht="19.5" hidden="1" customHeight="1" x14ac:dyDescent="0.2">
      <c r="A2578" s="105" t="str">
        <f>IF(D2578=1,COUNTIF($D$10:D2578,1)," ")</f>
        <v xml:space="preserve"> </v>
      </c>
      <c r="B2578" s="106">
        <f>COPY!AR2570</f>
        <v>0</v>
      </c>
      <c r="C2578" s="107">
        <f>COPY!AC2570</f>
        <v>0</v>
      </c>
      <c r="D2578" s="107" t="str">
        <f>IF(LEN(Table1722[[#This Row],[Uraian]])&gt;2,1," ")</f>
        <v xml:space="preserve"> </v>
      </c>
      <c r="E2578" s="113" t="str">
        <f>IF(Table1722[[#This Row],[Lawan Transaksi]]="CV AGUNG KARYA",COUNTIF($I$10:I2578,"CV AGUNG KARYA")," ")</f>
        <v xml:space="preserve"> </v>
      </c>
      <c r="F2578" s="107" t="str">
        <f>IF(LEN(Table1722[[#This Row],[Uraian]])&gt;2,TRIM(RIGHT(SUBSTITUTE(TRIM(C2578)," ",REPT(" ",255)),255))," ")</f>
        <v xml:space="preserve"> </v>
      </c>
      <c r="G2578" s="110">
        <f>COPY!Z2570</f>
        <v>0</v>
      </c>
      <c r="H2578" s="111" t="str">
        <f>IFERROR(VLOOKUP(Table1722[[#This Row],[Bukti]],'Un nOTA'!$A$4:$K$5003,10,FALSE),"")</f>
        <v/>
      </c>
      <c r="I2578" s="112" t="str">
        <f>IFERROR(VLOOKUP(Table1722[[#This Row],[Bukti]],Table13[#Data],11,FALSE),"")</f>
        <v/>
      </c>
    </row>
    <row r="2579" spans="1:9" ht="19.5" hidden="1" customHeight="1" x14ac:dyDescent="0.2">
      <c r="A2579" s="105" t="str">
        <f>IF(D2579=1,COUNTIF($D$10:D2579,1)," ")</f>
        <v xml:space="preserve"> </v>
      </c>
      <c r="B2579" s="106">
        <f>COPY!AR2571</f>
        <v>0</v>
      </c>
      <c r="C2579" s="107">
        <f>COPY!AC2571</f>
        <v>0</v>
      </c>
      <c r="D2579" s="107" t="str">
        <f>IF(LEN(Table1722[[#This Row],[Uraian]])&gt;2,1," ")</f>
        <v xml:space="preserve"> </v>
      </c>
      <c r="E2579" s="113" t="str">
        <f>IF(Table1722[[#This Row],[Lawan Transaksi]]="CV AGUNG KARYA",COUNTIF($I$10:I2579,"CV AGUNG KARYA")," ")</f>
        <v xml:space="preserve"> </v>
      </c>
      <c r="F2579" s="107" t="str">
        <f>IF(LEN(Table1722[[#This Row],[Uraian]])&gt;2,TRIM(RIGHT(SUBSTITUTE(TRIM(C2579)," ",REPT(" ",255)),255))," ")</f>
        <v xml:space="preserve"> </v>
      </c>
      <c r="G2579" s="110">
        <f>COPY!Z2571</f>
        <v>0</v>
      </c>
      <c r="H2579" s="111" t="str">
        <f>IFERROR(VLOOKUP(Table1722[[#This Row],[Bukti]],'Un nOTA'!$A$4:$K$5003,10,FALSE),"")</f>
        <v/>
      </c>
      <c r="I2579" s="112" t="str">
        <f>IFERROR(VLOOKUP(Table1722[[#This Row],[Bukti]],Table13[#Data],11,FALSE),"")</f>
        <v/>
      </c>
    </row>
    <row r="2580" spans="1:9" ht="19.5" hidden="1" customHeight="1" x14ac:dyDescent="0.2">
      <c r="A2580" s="105" t="str">
        <f>IF(D2580=1,COUNTIF($D$10:D2580,1)," ")</f>
        <v xml:space="preserve"> </v>
      </c>
      <c r="B2580" s="106">
        <f>COPY!AR2572</f>
        <v>0</v>
      </c>
      <c r="C2580" s="107">
        <f>COPY!AC2572</f>
        <v>0</v>
      </c>
      <c r="D2580" s="107" t="str">
        <f>IF(LEN(Table1722[[#This Row],[Uraian]])&gt;2,1," ")</f>
        <v xml:space="preserve"> </v>
      </c>
      <c r="E2580" s="113" t="str">
        <f>IF(Table1722[[#This Row],[Lawan Transaksi]]="CV AGUNG KARYA",COUNTIF($I$10:I2580,"CV AGUNG KARYA")," ")</f>
        <v xml:space="preserve"> </v>
      </c>
      <c r="F2580" s="107" t="str">
        <f>IF(LEN(Table1722[[#This Row],[Uraian]])&gt;2,TRIM(RIGHT(SUBSTITUTE(TRIM(C2580)," ",REPT(" ",255)),255))," ")</f>
        <v xml:space="preserve"> </v>
      </c>
      <c r="G2580" s="110">
        <f>COPY!Z2572</f>
        <v>0</v>
      </c>
      <c r="H2580" s="111" t="str">
        <f>IFERROR(VLOOKUP(Table1722[[#This Row],[Bukti]],'Un nOTA'!$A$4:$K$5003,10,FALSE),"")</f>
        <v/>
      </c>
      <c r="I2580" s="112" t="str">
        <f>IFERROR(VLOOKUP(Table1722[[#This Row],[Bukti]],Table13[#Data],11,FALSE),"")</f>
        <v/>
      </c>
    </row>
    <row r="2581" spans="1:9" ht="19.5" hidden="1" customHeight="1" x14ac:dyDescent="0.2">
      <c r="A2581" s="105" t="str">
        <f>IF(D2581=1,COUNTIF($D$10:D2581,1)," ")</f>
        <v xml:space="preserve"> </v>
      </c>
      <c r="B2581" s="106">
        <f>COPY!AR2573</f>
        <v>0</v>
      </c>
      <c r="C2581" s="107">
        <f>COPY!AC2573</f>
        <v>0</v>
      </c>
      <c r="D2581" s="107" t="str">
        <f>IF(LEN(Table1722[[#This Row],[Uraian]])&gt;2,1," ")</f>
        <v xml:space="preserve"> </v>
      </c>
      <c r="E2581" s="113" t="str">
        <f>IF(Table1722[[#This Row],[Lawan Transaksi]]="CV AGUNG KARYA",COUNTIF($I$10:I2581,"CV AGUNG KARYA")," ")</f>
        <v xml:space="preserve"> </v>
      </c>
      <c r="F2581" s="107" t="str">
        <f>IF(LEN(Table1722[[#This Row],[Uraian]])&gt;2,TRIM(RIGHT(SUBSTITUTE(TRIM(C2581)," ",REPT(" ",255)),255))," ")</f>
        <v xml:space="preserve"> </v>
      </c>
      <c r="G2581" s="110">
        <f>COPY!Z2573</f>
        <v>0</v>
      </c>
      <c r="H2581" s="111" t="str">
        <f>IFERROR(VLOOKUP(Table1722[[#This Row],[Bukti]],'Un nOTA'!$A$4:$K$5003,10,FALSE),"")</f>
        <v/>
      </c>
      <c r="I2581" s="112" t="str">
        <f>IFERROR(VLOOKUP(Table1722[[#This Row],[Bukti]],Table13[#Data],11,FALSE),"")</f>
        <v/>
      </c>
    </row>
    <row r="2582" spans="1:9" ht="19.5" hidden="1" customHeight="1" x14ac:dyDescent="0.2">
      <c r="A2582" s="105" t="str">
        <f>IF(D2582=1,COUNTIF($D$10:D2582,1)," ")</f>
        <v xml:space="preserve"> </v>
      </c>
      <c r="B2582" s="106">
        <f>COPY!AR2574</f>
        <v>0</v>
      </c>
      <c r="C2582" s="107">
        <f>COPY!AC2574</f>
        <v>0</v>
      </c>
      <c r="D2582" s="107" t="str">
        <f>IF(LEN(Table1722[[#This Row],[Uraian]])&gt;2,1," ")</f>
        <v xml:space="preserve"> </v>
      </c>
      <c r="E2582" s="113" t="str">
        <f>IF(Table1722[[#This Row],[Lawan Transaksi]]="CV AGUNG KARYA",COUNTIF($I$10:I2582,"CV AGUNG KARYA")," ")</f>
        <v xml:space="preserve"> </v>
      </c>
      <c r="F2582" s="107" t="str">
        <f>IF(LEN(Table1722[[#This Row],[Uraian]])&gt;2,TRIM(RIGHT(SUBSTITUTE(TRIM(C2582)," ",REPT(" ",255)),255))," ")</f>
        <v xml:space="preserve"> </v>
      </c>
      <c r="G2582" s="110">
        <f>COPY!Z2574</f>
        <v>0</v>
      </c>
      <c r="H2582" s="111" t="str">
        <f>IFERROR(VLOOKUP(Table1722[[#This Row],[Bukti]],'Un nOTA'!$A$4:$K$5003,10,FALSE),"")</f>
        <v/>
      </c>
      <c r="I2582" s="112" t="str">
        <f>IFERROR(VLOOKUP(Table1722[[#This Row],[Bukti]],Table13[#Data],11,FALSE),"")</f>
        <v/>
      </c>
    </row>
    <row r="2583" spans="1:9" ht="19.5" hidden="1" customHeight="1" x14ac:dyDescent="0.2">
      <c r="A2583" s="105" t="str">
        <f>IF(D2583=1,COUNTIF($D$10:D2583,1)," ")</f>
        <v xml:space="preserve"> </v>
      </c>
      <c r="B2583" s="106">
        <f>COPY!AR2575</f>
        <v>0</v>
      </c>
      <c r="C2583" s="107">
        <f>COPY!AC2575</f>
        <v>0</v>
      </c>
      <c r="D2583" s="107" t="str">
        <f>IF(LEN(Table1722[[#This Row],[Uraian]])&gt;2,1," ")</f>
        <v xml:space="preserve"> </v>
      </c>
      <c r="E2583" s="113" t="str">
        <f>IF(Table1722[[#This Row],[Lawan Transaksi]]="CV AGUNG KARYA",COUNTIF($I$10:I2583,"CV AGUNG KARYA")," ")</f>
        <v xml:space="preserve"> </v>
      </c>
      <c r="F2583" s="107" t="str">
        <f>IF(LEN(Table1722[[#This Row],[Uraian]])&gt;2,TRIM(RIGHT(SUBSTITUTE(TRIM(C2583)," ",REPT(" ",255)),255))," ")</f>
        <v xml:space="preserve"> </v>
      </c>
      <c r="G2583" s="110">
        <f>COPY!Z2575</f>
        <v>0</v>
      </c>
      <c r="H2583" s="111" t="str">
        <f>IFERROR(VLOOKUP(Table1722[[#This Row],[Bukti]],'Un nOTA'!$A$4:$K$5003,10,FALSE),"")</f>
        <v/>
      </c>
      <c r="I2583" s="112" t="str">
        <f>IFERROR(VLOOKUP(Table1722[[#This Row],[Bukti]],Table13[#Data],11,FALSE),"")</f>
        <v/>
      </c>
    </row>
    <row r="2584" spans="1:9" ht="19.5" hidden="1" customHeight="1" x14ac:dyDescent="0.2">
      <c r="A2584" s="105" t="str">
        <f>IF(D2584=1,COUNTIF($D$10:D2584,1)," ")</f>
        <v xml:space="preserve"> </v>
      </c>
      <c r="B2584" s="106">
        <f>COPY!AR2576</f>
        <v>0</v>
      </c>
      <c r="C2584" s="107">
        <f>COPY!AC2576</f>
        <v>0</v>
      </c>
      <c r="D2584" s="107" t="str">
        <f>IF(LEN(Table1722[[#This Row],[Uraian]])&gt;2,1," ")</f>
        <v xml:space="preserve"> </v>
      </c>
      <c r="E2584" s="113" t="str">
        <f>IF(Table1722[[#This Row],[Lawan Transaksi]]="CV AGUNG KARYA",COUNTIF($I$10:I2584,"CV AGUNG KARYA")," ")</f>
        <v xml:space="preserve"> </v>
      </c>
      <c r="F2584" s="107" t="str">
        <f>IF(LEN(Table1722[[#This Row],[Uraian]])&gt;2,TRIM(RIGHT(SUBSTITUTE(TRIM(C2584)," ",REPT(" ",255)),255))," ")</f>
        <v xml:space="preserve"> </v>
      </c>
      <c r="G2584" s="110">
        <f>COPY!Z2576</f>
        <v>0</v>
      </c>
      <c r="H2584" s="111" t="str">
        <f>IFERROR(VLOOKUP(Table1722[[#This Row],[Bukti]],'Un nOTA'!$A$4:$K$5003,10,FALSE),"")</f>
        <v/>
      </c>
      <c r="I2584" s="112" t="str">
        <f>IFERROR(VLOOKUP(Table1722[[#This Row],[Bukti]],Table13[#Data],11,FALSE),"")</f>
        <v/>
      </c>
    </row>
    <row r="2585" spans="1:9" ht="19.5" hidden="1" customHeight="1" x14ac:dyDescent="0.2">
      <c r="A2585" s="105" t="str">
        <f>IF(D2585=1,COUNTIF($D$10:D2585,1)," ")</f>
        <v xml:space="preserve"> </v>
      </c>
      <c r="B2585" s="106">
        <f>COPY!AR2577</f>
        <v>0</v>
      </c>
      <c r="C2585" s="107">
        <f>COPY!AC2577</f>
        <v>0</v>
      </c>
      <c r="D2585" s="107" t="str">
        <f>IF(LEN(Table1722[[#This Row],[Uraian]])&gt;2,1," ")</f>
        <v xml:space="preserve"> </v>
      </c>
      <c r="E2585" s="113" t="str">
        <f>IF(Table1722[[#This Row],[Lawan Transaksi]]="CV AGUNG KARYA",COUNTIF($I$10:I2585,"CV AGUNG KARYA")," ")</f>
        <v xml:space="preserve"> </v>
      </c>
      <c r="F2585" s="107" t="str">
        <f>IF(LEN(Table1722[[#This Row],[Uraian]])&gt;2,TRIM(RIGHT(SUBSTITUTE(TRIM(C2585)," ",REPT(" ",255)),255))," ")</f>
        <v xml:space="preserve"> </v>
      </c>
      <c r="G2585" s="110">
        <f>COPY!Z2577</f>
        <v>0</v>
      </c>
      <c r="H2585" s="111" t="str">
        <f>IFERROR(VLOOKUP(Table1722[[#This Row],[Bukti]],'Un nOTA'!$A$4:$K$5003,10,FALSE),"")</f>
        <v/>
      </c>
      <c r="I2585" s="112" t="str">
        <f>IFERROR(VLOOKUP(Table1722[[#This Row],[Bukti]],Table13[#Data],11,FALSE),"")</f>
        <v/>
      </c>
    </row>
    <row r="2586" spans="1:9" ht="19.5" hidden="1" customHeight="1" x14ac:dyDescent="0.2">
      <c r="A2586" s="105" t="str">
        <f>IF(D2586=1,COUNTIF($D$10:D2586,1)," ")</f>
        <v xml:space="preserve"> </v>
      </c>
      <c r="B2586" s="106">
        <f>COPY!AR2578</f>
        <v>0</v>
      </c>
      <c r="C2586" s="107">
        <f>COPY!AC2578</f>
        <v>0</v>
      </c>
      <c r="D2586" s="107" t="str">
        <f>IF(LEN(Table1722[[#This Row],[Uraian]])&gt;2,1," ")</f>
        <v xml:space="preserve"> </v>
      </c>
      <c r="E2586" s="113" t="str">
        <f>IF(Table1722[[#This Row],[Lawan Transaksi]]="CV AGUNG KARYA",COUNTIF($I$10:I2586,"CV AGUNG KARYA")," ")</f>
        <v xml:space="preserve"> </v>
      </c>
      <c r="F2586" s="107" t="str">
        <f>IF(LEN(Table1722[[#This Row],[Uraian]])&gt;2,TRIM(RIGHT(SUBSTITUTE(TRIM(C2586)," ",REPT(" ",255)),255))," ")</f>
        <v xml:space="preserve"> </v>
      </c>
      <c r="G2586" s="110">
        <f>COPY!Z2578</f>
        <v>0</v>
      </c>
      <c r="H2586" s="111" t="str">
        <f>IFERROR(VLOOKUP(Table1722[[#This Row],[Bukti]],'Un nOTA'!$A$4:$K$5003,10,FALSE),"")</f>
        <v/>
      </c>
      <c r="I2586" s="112" t="str">
        <f>IFERROR(VLOOKUP(Table1722[[#This Row],[Bukti]],Table13[#Data],11,FALSE),"")</f>
        <v/>
      </c>
    </row>
    <row r="2587" spans="1:9" ht="19.5" hidden="1" customHeight="1" x14ac:dyDescent="0.2">
      <c r="A2587" s="105" t="str">
        <f>IF(D2587=1,COUNTIF($D$10:D2587,1)," ")</f>
        <v xml:space="preserve"> </v>
      </c>
      <c r="B2587" s="106">
        <f>COPY!AR2579</f>
        <v>0</v>
      </c>
      <c r="C2587" s="107">
        <f>COPY!AC2579</f>
        <v>0</v>
      </c>
      <c r="D2587" s="107" t="str">
        <f>IF(LEN(Table1722[[#This Row],[Uraian]])&gt;2,1," ")</f>
        <v xml:space="preserve"> </v>
      </c>
      <c r="E2587" s="113" t="str">
        <f>IF(Table1722[[#This Row],[Lawan Transaksi]]="CV AGUNG KARYA",COUNTIF($I$10:I2587,"CV AGUNG KARYA")," ")</f>
        <v xml:space="preserve"> </v>
      </c>
      <c r="F2587" s="107" t="str">
        <f>IF(LEN(Table1722[[#This Row],[Uraian]])&gt;2,TRIM(RIGHT(SUBSTITUTE(TRIM(C2587)," ",REPT(" ",255)),255))," ")</f>
        <v xml:space="preserve"> </v>
      </c>
      <c r="G2587" s="110">
        <f>COPY!Z2579</f>
        <v>0</v>
      </c>
      <c r="H2587" s="111" t="str">
        <f>IFERROR(VLOOKUP(Table1722[[#This Row],[Bukti]],'Un nOTA'!$A$4:$K$5003,10,FALSE),"")</f>
        <v/>
      </c>
      <c r="I2587" s="112" t="str">
        <f>IFERROR(VLOOKUP(Table1722[[#This Row],[Bukti]],Table13[#Data],11,FALSE),"")</f>
        <v/>
      </c>
    </row>
    <row r="2588" spans="1:9" ht="19.5" hidden="1" customHeight="1" x14ac:dyDescent="0.2">
      <c r="A2588" s="105" t="str">
        <f>IF(D2588=1,COUNTIF($D$10:D2588,1)," ")</f>
        <v xml:space="preserve"> </v>
      </c>
      <c r="B2588" s="106">
        <f>COPY!AR2580</f>
        <v>0</v>
      </c>
      <c r="C2588" s="107">
        <f>COPY!AC2580</f>
        <v>0</v>
      </c>
      <c r="D2588" s="107" t="str">
        <f>IF(LEN(Table1722[[#This Row],[Uraian]])&gt;2,1," ")</f>
        <v xml:space="preserve"> </v>
      </c>
      <c r="E2588" s="113" t="str">
        <f>IF(Table1722[[#This Row],[Lawan Transaksi]]="CV AGUNG KARYA",COUNTIF($I$10:I2588,"CV AGUNG KARYA")," ")</f>
        <v xml:space="preserve"> </v>
      </c>
      <c r="F2588" s="107" t="str">
        <f>IF(LEN(Table1722[[#This Row],[Uraian]])&gt;2,TRIM(RIGHT(SUBSTITUTE(TRIM(C2588)," ",REPT(" ",255)),255))," ")</f>
        <v xml:space="preserve"> </v>
      </c>
      <c r="G2588" s="110">
        <f>COPY!Z2580</f>
        <v>0</v>
      </c>
      <c r="H2588" s="111" t="str">
        <f>IFERROR(VLOOKUP(Table1722[[#This Row],[Bukti]],'Un nOTA'!$A$4:$K$5003,10,FALSE),"")</f>
        <v/>
      </c>
      <c r="I2588" s="112" t="str">
        <f>IFERROR(VLOOKUP(Table1722[[#This Row],[Bukti]],Table13[#Data],11,FALSE),"")</f>
        <v/>
      </c>
    </row>
    <row r="2589" spans="1:9" ht="19.5" hidden="1" customHeight="1" x14ac:dyDescent="0.2">
      <c r="A2589" s="105" t="str">
        <f>IF(D2589=1,COUNTIF($D$10:D2589,1)," ")</f>
        <v xml:space="preserve"> </v>
      </c>
      <c r="B2589" s="106">
        <f>COPY!AR2581</f>
        <v>0</v>
      </c>
      <c r="C2589" s="107">
        <f>COPY!AC2581</f>
        <v>0</v>
      </c>
      <c r="D2589" s="107" t="str">
        <f>IF(LEN(Table1722[[#This Row],[Uraian]])&gt;2,1," ")</f>
        <v xml:space="preserve"> </v>
      </c>
      <c r="E2589" s="113" t="str">
        <f>IF(Table1722[[#This Row],[Lawan Transaksi]]="CV AGUNG KARYA",COUNTIF($I$10:I2589,"CV AGUNG KARYA")," ")</f>
        <v xml:space="preserve"> </v>
      </c>
      <c r="F2589" s="107" t="str">
        <f>IF(LEN(Table1722[[#This Row],[Uraian]])&gt;2,TRIM(RIGHT(SUBSTITUTE(TRIM(C2589)," ",REPT(" ",255)),255))," ")</f>
        <v xml:space="preserve"> </v>
      </c>
      <c r="G2589" s="110">
        <f>COPY!Z2581</f>
        <v>0</v>
      </c>
      <c r="H2589" s="111" t="str">
        <f>IFERROR(VLOOKUP(Table1722[[#This Row],[Bukti]],'Un nOTA'!$A$4:$K$5003,10,FALSE),"")</f>
        <v/>
      </c>
      <c r="I2589" s="112" t="str">
        <f>IFERROR(VLOOKUP(Table1722[[#This Row],[Bukti]],Table13[#Data],11,FALSE),"")</f>
        <v/>
      </c>
    </row>
    <row r="2590" spans="1:9" ht="19.5" hidden="1" customHeight="1" x14ac:dyDescent="0.2">
      <c r="A2590" s="105" t="str">
        <f>IF(D2590=1,COUNTIF($D$10:D2590,1)," ")</f>
        <v xml:space="preserve"> </v>
      </c>
      <c r="B2590" s="106">
        <f>COPY!AR2582</f>
        <v>0</v>
      </c>
      <c r="C2590" s="107">
        <f>COPY!AC2582</f>
        <v>0</v>
      </c>
      <c r="D2590" s="107" t="str">
        <f>IF(LEN(Table1722[[#This Row],[Uraian]])&gt;2,1," ")</f>
        <v xml:space="preserve"> </v>
      </c>
      <c r="E2590" s="113" t="str">
        <f>IF(Table1722[[#This Row],[Lawan Transaksi]]="CV AGUNG KARYA",COUNTIF($I$10:I2590,"CV AGUNG KARYA")," ")</f>
        <v xml:space="preserve"> </v>
      </c>
      <c r="F2590" s="107" t="str">
        <f>IF(LEN(Table1722[[#This Row],[Uraian]])&gt;2,TRIM(RIGHT(SUBSTITUTE(TRIM(C2590)," ",REPT(" ",255)),255))," ")</f>
        <v xml:space="preserve"> </v>
      </c>
      <c r="G2590" s="110">
        <f>COPY!Z2582</f>
        <v>0</v>
      </c>
      <c r="H2590" s="111" t="str">
        <f>IFERROR(VLOOKUP(Table1722[[#This Row],[Bukti]],'Un nOTA'!$A$4:$K$5003,10,FALSE),"")</f>
        <v/>
      </c>
      <c r="I2590" s="112" t="str">
        <f>IFERROR(VLOOKUP(Table1722[[#This Row],[Bukti]],Table13[#Data],11,FALSE),"")</f>
        <v/>
      </c>
    </row>
    <row r="2591" spans="1:9" ht="19.5" hidden="1" customHeight="1" x14ac:dyDescent="0.2">
      <c r="A2591" s="105" t="str">
        <f>IF(D2591=1,COUNTIF($D$10:D2591,1)," ")</f>
        <v xml:space="preserve"> </v>
      </c>
      <c r="B2591" s="106">
        <f>COPY!AR2583</f>
        <v>0</v>
      </c>
      <c r="C2591" s="107">
        <f>COPY!AC2583</f>
        <v>0</v>
      </c>
      <c r="D2591" s="107" t="str">
        <f>IF(LEN(Table1722[[#This Row],[Uraian]])&gt;2,1," ")</f>
        <v xml:space="preserve"> </v>
      </c>
      <c r="E2591" s="113" t="str">
        <f>IF(Table1722[[#This Row],[Lawan Transaksi]]="CV AGUNG KARYA",COUNTIF($I$10:I2591,"CV AGUNG KARYA")," ")</f>
        <v xml:space="preserve"> </v>
      </c>
      <c r="F2591" s="107" t="str">
        <f>IF(LEN(Table1722[[#This Row],[Uraian]])&gt;2,TRIM(RIGHT(SUBSTITUTE(TRIM(C2591)," ",REPT(" ",255)),255))," ")</f>
        <v xml:space="preserve"> </v>
      </c>
      <c r="G2591" s="110">
        <f>COPY!Z2583</f>
        <v>0</v>
      </c>
      <c r="H2591" s="111" t="str">
        <f>IFERROR(VLOOKUP(Table1722[[#This Row],[Bukti]],'Un nOTA'!$A$4:$K$5003,10,FALSE),"")</f>
        <v/>
      </c>
      <c r="I2591" s="112" t="str">
        <f>IFERROR(VLOOKUP(Table1722[[#This Row],[Bukti]],Table13[#Data],11,FALSE),"")</f>
        <v/>
      </c>
    </row>
    <row r="2592" spans="1:9" ht="19.5" hidden="1" customHeight="1" x14ac:dyDescent="0.2">
      <c r="A2592" s="105" t="str">
        <f>IF(D2592=1,COUNTIF($D$10:D2592,1)," ")</f>
        <v xml:space="preserve"> </v>
      </c>
      <c r="B2592" s="106">
        <f>COPY!AR2584</f>
        <v>0</v>
      </c>
      <c r="C2592" s="107">
        <f>COPY!AC2584</f>
        <v>0</v>
      </c>
      <c r="D2592" s="107" t="str">
        <f>IF(LEN(Table1722[[#This Row],[Uraian]])&gt;2,1," ")</f>
        <v xml:space="preserve"> </v>
      </c>
      <c r="E2592" s="113" t="str">
        <f>IF(Table1722[[#This Row],[Lawan Transaksi]]="CV AGUNG KARYA",COUNTIF($I$10:I2592,"CV AGUNG KARYA")," ")</f>
        <v xml:space="preserve"> </v>
      </c>
      <c r="F2592" s="107" t="str">
        <f>IF(LEN(Table1722[[#This Row],[Uraian]])&gt;2,TRIM(RIGHT(SUBSTITUTE(TRIM(C2592)," ",REPT(" ",255)),255))," ")</f>
        <v xml:space="preserve"> </v>
      </c>
      <c r="G2592" s="110">
        <f>COPY!Z2584</f>
        <v>0</v>
      </c>
      <c r="H2592" s="111" t="str">
        <f>IFERROR(VLOOKUP(Table1722[[#This Row],[Bukti]],'Un nOTA'!$A$4:$K$5003,10,FALSE),"")</f>
        <v/>
      </c>
      <c r="I2592" s="112" t="str">
        <f>IFERROR(VLOOKUP(Table1722[[#This Row],[Bukti]],Table13[#Data],11,FALSE),"")</f>
        <v/>
      </c>
    </row>
    <row r="2593" spans="1:9" ht="19.5" hidden="1" customHeight="1" x14ac:dyDescent="0.2">
      <c r="A2593" s="105" t="str">
        <f>IF(D2593=1,COUNTIF($D$10:D2593,1)," ")</f>
        <v xml:space="preserve"> </v>
      </c>
      <c r="B2593" s="106">
        <f>COPY!AR2585</f>
        <v>0</v>
      </c>
      <c r="C2593" s="107">
        <f>COPY!AC2585</f>
        <v>0</v>
      </c>
      <c r="D2593" s="107" t="str">
        <f>IF(LEN(Table1722[[#This Row],[Uraian]])&gt;2,1," ")</f>
        <v xml:space="preserve"> </v>
      </c>
      <c r="E2593" s="113" t="str">
        <f>IF(Table1722[[#This Row],[Lawan Transaksi]]="CV AGUNG KARYA",COUNTIF($I$10:I2593,"CV AGUNG KARYA")," ")</f>
        <v xml:space="preserve"> </v>
      </c>
      <c r="F2593" s="107" t="str">
        <f>IF(LEN(Table1722[[#This Row],[Uraian]])&gt;2,TRIM(RIGHT(SUBSTITUTE(TRIM(C2593)," ",REPT(" ",255)),255))," ")</f>
        <v xml:space="preserve"> </v>
      </c>
      <c r="G2593" s="110">
        <f>COPY!Z2585</f>
        <v>0</v>
      </c>
      <c r="H2593" s="111" t="str">
        <f>IFERROR(VLOOKUP(Table1722[[#This Row],[Bukti]],'Un nOTA'!$A$4:$K$5003,10,FALSE),"")</f>
        <v/>
      </c>
      <c r="I2593" s="112" t="str">
        <f>IFERROR(VLOOKUP(Table1722[[#This Row],[Bukti]],Table13[#Data],11,FALSE),"")</f>
        <v/>
      </c>
    </row>
    <row r="2594" spans="1:9" ht="19.5" hidden="1" customHeight="1" x14ac:dyDescent="0.2">
      <c r="A2594" s="105" t="str">
        <f>IF(D2594=1,COUNTIF($D$10:D2594,1)," ")</f>
        <v xml:space="preserve"> </v>
      </c>
      <c r="B2594" s="106">
        <f>COPY!AR2586</f>
        <v>0</v>
      </c>
      <c r="C2594" s="107">
        <f>COPY!AC2586</f>
        <v>0</v>
      </c>
      <c r="D2594" s="107" t="str">
        <f>IF(LEN(Table1722[[#This Row],[Uraian]])&gt;2,1," ")</f>
        <v xml:space="preserve"> </v>
      </c>
      <c r="E2594" s="113" t="str">
        <f>IF(Table1722[[#This Row],[Lawan Transaksi]]="CV AGUNG KARYA",COUNTIF($I$10:I2594,"CV AGUNG KARYA")," ")</f>
        <v xml:space="preserve"> </v>
      </c>
      <c r="F2594" s="107" t="str">
        <f>IF(LEN(Table1722[[#This Row],[Uraian]])&gt;2,TRIM(RIGHT(SUBSTITUTE(TRIM(C2594)," ",REPT(" ",255)),255))," ")</f>
        <v xml:space="preserve"> </v>
      </c>
      <c r="G2594" s="110">
        <f>COPY!Z2586</f>
        <v>0</v>
      </c>
      <c r="H2594" s="111" t="str">
        <f>IFERROR(VLOOKUP(Table1722[[#This Row],[Bukti]],'Un nOTA'!$A$4:$K$5003,10,FALSE),"")</f>
        <v/>
      </c>
      <c r="I2594" s="112" t="str">
        <f>IFERROR(VLOOKUP(Table1722[[#This Row],[Bukti]],Table13[#Data],11,FALSE),"")</f>
        <v/>
      </c>
    </row>
    <row r="2595" spans="1:9" ht="19.5" hidden="1" customHeight="1" x14ac:dyDescent="0.2">
      <c r="A2595" s="105" t="str">
        <f>IF(D2595=1,COUNTIF($D$10:D2595,1)," ")</f>
        <v xml:space="preserve"> </v>
      </c>
      <c r="B2595" s="106">
        <f>COPY!AR2587</f>
        <v>0</v>
      </c>
      <c r="C2595" s="107">
        <f>COPY!AC2587</f>
        <v>0</v>
      </c>
      <c r="D2595" s="107" t="str">
        <f>IF(LEN(Table1722[[#This Row],[Uraian]])&gt;2,1," ")</f>
        <v xml:space="preserve"> </v>
      </c>
      <c r="E2595" s="113" t="str">
        <f>IF(Table1722[[#This Row],[Lawan Transaksi]]="CV AGUNG KARYA",COUNTIF($I$10:I2595,"CV AGUNG KARYA")," ")</f>
        <v xml:space="preserve"> </v>
      </c>
      <c r="F2595" s="107" t="str">
        <f>IF(LEN(Table1722[[#This Row],[Uraian]])&gt;2,TRIM(RIGHT(SUBSTITUTE(TRIM(C2595)," ",REPT(" ",255)),255))," ")</f>
        <v xml:space="preserve"> </v>
      </c>
      <c r="G2595" s="110">
        <f>COPY!Z2587</f>
        <v>0</v>
      </c>
      <c r="H2595" s="111" t="str">
        <f>IFERROR(VLOOKUP(Table1722[[#This Row],[Bukti]],'Un nOTA'!$A$4:$K$5003,10,FALSE),"")</f>
        <v/>
      </c>
      <c r="I2595" s="112" t="str">
        <f>IFERROR(VLOOKUP(Table1722[[#This Row],[Bukti]],Table13[#Data],11,FALSE),"")</f>
        <v/>
      </c>
    </row>
    <row r="2596" spans="1:9" ht="19.5" hidden="1" customHeight="1" x14ac:dyDescent="0.2">
      <c r="A2596" s="105" t="str">
        <f>IF(D2596=1,COUNTIF($D$10:D2596,1)," ")</f>
        <v xml:space="preserve"> </v>
      </c>
      <c r="B2596" s="106">
        <f>COPY!AR2588</f>
        <v>0</v>
      </c>
      <c r="C2596" s="107">
        <f>COPY!AC2588</f>
        <v>0</v>
      </c>
      <c r="D2596" s="107" t="str">
        <f>IF(LEN(Table1722[[#This Row],[Uraian]])&gt;2,1," ")</f>
        <v xml:space="preserve"> </v>
      </c>
      <c r="E2596" s="113" t="str">
        <f>IF(Table1722[[#This Row],[Lawan Transaksi]]="CV AGUNG KARYA",COUNTIF($I$10:I2596,"CV AGUNG KARYA")," ")</f>
        <v xml:space="preserve"> </v>
      </c>
      <c r="F2596" s="107" t="str">
        <f>IF(LEN(Table1722[[#This Row],[Uraian]])&gt;2,TRIM(RIGHT(SUBSTITUTE(TRIM(C2596)," ",REPT(" ",255)),255))," ")</f>
        <v xml:space="preserve"> </v>
      </c>
      <c r="G2596" s="110">
        <f>COPY!Z2588</f>
        <v>0</v>
      </c>
      <c r="H2596" s="111" t="str">
        <f>IFERROR(VLOOKUP(Table1722[[#This Row],[Bukti]],'Un nOTA'!$A$4:$K$5003,10,FALSE),"")</f>
        <v/>
      </c>
      <c r="I2596" s="112" t="str">
        <f>IFERROR(VLOOKUP(Table1722[[#This Row],[Bukti]],Table13[#Data],11,FALSE),"")</f>
        <v/>
      </c>
    </row>
    <row r="2597" spans="1:9" ht="19.5" hidden="1" customHeight="1" x14ac:dyDescent="0.2">
      <c r="A2597" s="105" t="str">
        <f>IF(D2597=1,COUNTIF($D$10:D2597,1)," ")</f>
        <v xml:space="preserve"> </v>
      </c>
      <c r="B2597" s="106">
        <f>COPY!AR2589</f>
        <v>0</v>
      </c>
      <c r="C2597" s="107">
        <f>COPY!AC2589</f>
        <v>0</v>
      </c>
      <c r="D2597" s="107" t="str">
        <f>IF(LEN(Table1722[[#This Row],[Uraian]])&gt;2,1," ")</f>
        <v xml:space="preserve"> </v>
      </c>
      <c r="E2597" s="113" t="str">
        <f>IF(Table1722[[#This Row],[Lawan Transaksi]]="CV AGUNG KARYA",COUNTIF($I$10:I2597,"CV AGUNG KARYA")," ")</f>
        <v xml:space="preserve"> </v>
      </c>
      <c r="F2597" s="107" t="str">
        <f>IF(LEN(Table1722[[#This Row],[Uraian]])&gt;2,TRIM(RIGHT(SUBSTITUTE(TRIM(C2597)," ",REPT(" ",255)),255))," ")</f>
        <v xml:space="preserve"> </v>
      </c>
      <c r="G2597" s="110">
        <f>COPY!Z2589</f>
        <v>0</v>
      </c>
      <c r="H2597" s="111" t="str">
        <f>IFERROR(VLOOKUP(Table1722[[#This Row],[Bukti]],'Un nOTA'!$A$4:$K$5003,10,FALSE),"")</f>
        <v/>
      </c>
      <c r="I2597" s="112" t="str">
        <f>IFERROR(VLOOKUP(Table1722[[#This Row],[Bukti]],Table13[#Data],11,FALSE),"")</f>
        <v/>
      </c>
    </row>
    <row r="2598" spans="1:9" ht="19.5" hidden="1" customHeight="1" x14ac:dyDescent="0.2">
      <c r="A2598" s="105" t="str">
        <f>IF(D2598=1,COUNTIF($D$10:D2598,1)," ")</f>
        <v xml:space="preserve"> </v>
      </c>
      <c r="B2598" s="106">
        <f>COPY!AR2590</f>
        <v>0</v>
      </c>
      <c r="C2598" s="107">
        <f>COPY!AC2590</f>
        <v>0</v>
      </c>
      <c r="D2598" s="107" t="str">
        <f>IF(LEN(Table1722[[#This Row],[Uraian]])&gt;2,1," ")</f>
        <v xml:space="preserve"> </v>
      </c>
      <c r="E2598" s="113" t="str">
        <f>IF(Table1722[[#This Row],[Lawan Transaksi]]="CV AGUNG KARYA",COUNTIF($I$10:I2598,"CV AGUNG KARYA")," ")</f>
        <v xml:space="preserve"> </v>
      </c>
      <c r="F2598" s="107" t="str">
        <f>IF(LEN(Table1722[[#This Row],[Uraian]])&gt;2,TRIM(RIGHT(SUBSTITUTE(TRIM(C2598)," ",REPT(" ",255)),255))," ")</f>
        <v xml:space="preserve"> </v>
      </c>
      <c r="G2598" s="110">
        <f>COPY!Z2590</f>
        <v>0</v>
      </c>
      <c r="H2598" s="111" t="str">
        <f>IFERROR(VLOOKUP(Table1722[[#This Row],[Bukti]],'Un nOTA'!$A$4:$K$5003,10,FALSE),"")</f>
        <v/>
      </c>
      <c r="I2598" s="112" t="str">
        <f>IFERROR(VLOOKUP(Table1722[[#This Row],[Bukti]],Table13[#Data],11,FALSE),"")</f>
        <v/>
      </c>
    </row>
    <row r="2599" spans="1:9" ht="19.5" hidden="1" customHeight="1" x14ac:dyDescent="0.2">
      <c r="A2599" s="105" t="str">
        <f>IF(D2599=1,COUNTIF($D$10:D2599,1)," ")</f>
        <v xml:space="preserve"> </v>
      </c>
      <c r="B2599" s="106">
        <f>COPY!AR2591</f>
        <v>0</v>
      </c>
      <c r="C2599" s="107">
        <f>COPY!AC2591</f>
        <v>0</v>
      </c>
      <c r="D2599" s="107" t="str">
        <f>IF(LEN(Table1722[[#This Row],[Uraian]])&gt;2,1," ")</f>
        <v xml:space="preserve"> </v>
      </c>
      <c r="E2599" s="113" t="str">
        <f>IF(Table1722[[#This Row],[Lawan Transaksi]]="CV AGUNG KARYA",COUNTIF($I$10:I2599,"CV AGUNG KARYA")," ")</f>
        <v xml:space="preserve"> </v>
      </c>
      <c r="F2599" s="107" t="str">
        <f>IF(LEN(Table1722[[#This Row],[Uraian]])&gt;2,TRIM(RIGHT(SUBSTITUTE(TRIM(C2599)," ",REPT(" ",255)),255))," ")</f>
        <v xml:space="preserve"> </v>
      </c>
      <c r="G2599" s="110">
        <f>COPY!Z2591</f>
        <v>0</v>
      </c>
      <c r="H2599" s="111" t="str">
        <f>IFERROR(VLOOKUP(Table1722[[#This Row],[Bukti]],'Un nOTA'!$A$4:$K$5003,10,FALSE),"")</f>
        <v/>
      </c>
      <c r="I2599" s="112" t="str">
        <f>IFERROR(VLOOKUP(Table1722[[#This Row],[Bukti]],Table13[#Data],11,FALSE),"")</f>
        <v/>
      </c>
    </row>
    <row r="2600" spans="1:9" ht="19.5" hidden="1" customHeight="1" x14ac:dyDescent="0.2">
      <c r="A2600" s="105" t="str">
        <f>IF(D2600=1,COUNTIF($D$10:D2600,1)," ")</f>
        <v xml:space="preserve"> </v>
      </c>
      <c r="B2600" s="106">
        <f>COPY!AR2592</f>
        <v>0</v>
      </c>
      <c r="C2600" s="107">
        <f>COPY!AC2592</f>
        <v>0</v>
      </c>
      <c r="D2600" s="107" t="str">
        <f>IF(LEN(Table1722[[#This Row],[Uraian]])&gt;2,1," ")</f>
        <v xml:space="preserve"> </v>
      </c>
      <c r="E2600" s="113" t="str">
        <f>IF(Table1722[[#This Row],[Lawan Transaksi]]="CV AGUNG KARYA",COUNTIF($I$10:I2600,"CV AGUNG KARYA")," ")</f>
        <v xml:space="preserve"> </v>
      </c>
      <c r="F2600" s="107" t="str">
        <f>IF(LEN(Table1722[[#This Row],[Uraian]])&gt;2,TRIM(RIGHT(SUBSTITUTE(TRIM(C2600)," ",REPT(" ",255)),255))," ")</f>
        <v xml:space="preserve"> </v>
      </c>
      <c r="G2600" s="110">
        <f>COPY!Z2592</f>
        <v>0</v>
      </c>
      <c r="H2600" s="111" t="str">
        <f>IFERROR(VLOOKUP(Table1722[[#This Row],[Bukti]],'Un nOTA'!$A$4:$K$5003,10,FALSE),"")</f>
        <v/>
      </c>
      <c r="I2600" s="112" t="str">
        <f>IFERROR(VLOOKUP(Table1722[[#This Row],[Bukti]],Table13[#Data],11,FALSE),"")</f>
        <v/>
      </c>
    </row>
    <row r="2601" spans="1:9" ht="19.5" hidden="1" customHeight="1" x14ac:dyDescent="0.2">
      <c r="A2601" s="105" t="str">
        <f>IF(D2601=1,COUNTIF($D$10:D2601,1)," ")</f>
        <v xml:space="preserve"> </v>
      </c>
      <c r="B2601" s="106">
        <f>COPY!AR2593</f>
        <v>0</v>
      </c>
      <c r="C2601" s="107">
        <f>COPY!AC2593</f>
        <v>0</v>
      </c>
      <c r="D2601" s="107" t="str">
        <f>IF(LEN(Table1722[[#This Row],[Uraian]])&gt;2,1," ")</f>
        <v xml:space="preserve"> </v>
      </c>
      <c r="E2601" s="113" t="str">
        <f>IF(Table1722[[#This Row],[Lawan Transaksi]]="CV AGUNG KARYA",COUNTIF($I$10:I2601,"CV AGUNG KARYA")," ")</f>
        <v xml:space="preserve"> </v>
      </c>
      <c r="F2601" s="107" t="str">
        <f>IF(LEN(Table1722[[#This Row],[Uraian]])&gt;2,TRIM(RIGHT(SUBSTITUTE(TRIM(C2601)," ",REPT(" ",255)),255))," ")</f>
        <v xml:space="preserve"> </v>
      </c>
      <c r="G2601" s="110">
        <f>COPY!Z2593</f>
        <v>0</v>
      </c>
      <c r="H2601" s="111" t="str">
        <f>IFERROR(VLOOKUP(Table1722[[#This Row],[Bukti]],'Un nOTA'!$A$4:$K$5003,10,FALSE),"")</f>
        <v/>
      </c>
      <c r="I2601" s="112" t="str">
        <f>IFERROR(VLOOKUP(Table1722[[#This Row],[Bukti]],Table13[#Data],11,FALSE),"")</f>
        <v/>
      </c>
    </row>
    <row r="2602" spans="1:9" ht="19.5" hidden="1" customHeight="1" x14ac:dyDescent="0.2">
      <c r="A2602" s="105" t="str">
        <f>IF(D2602=1,COUNTIF($D$10:D2602,1)," ")</f>
        <v xml:space="preserve"> </v>
      </c>
      <c r="B2602" s="106">
        <f>COPY!AR2594</f>
        <v>0</v>
      </c>
      <c r="C2602" s="107">
        <f>COPY!AC2594</f>
        <v>0</v>
      </c>
      <c r="D2602" s="107" t="str">
        <f>IF(LEN(Table1722[[#This Row],[Uraian]])&gt;2,1," ")</f>
        <v xml:space="preserve"> </v>
      </c>
      <c r="E2602" s="113" t="str">
        <f>IF(Table1722[[#This Row],[Lawan Transaksi]]="CV AGUNG KARYA",COUNTIF($I$10:I2602,"CV AGUNG KARYA")," ")</f>
        <v xml:space="preserve"> </v>
      </c>
      <c r="F2602" s="107" t="str">
        <f>IF(LEN(Table1722[[#This Row],[Uraian]])&gt;2,TRIM(RIGHT(SUBSTITUTE(TRIM(C2602)," ",REPT(" ",255)),255))," ")</f>
        <v xml:space="preserve"> </v>
      </c>
      <c r="G2602" s="110">
        <f>COPY!Z2594</f>
        <v>0</v>
      </c>
      <c r="H2602" s="111" t="str">
        <f>IFERROR(VLOOKUP(Table1722[[#This Row],[Bukti]],'Un nOTA'!$A$4:$K$5003,10,FALSE),"")</f>
        <v/>
      </c>
      <c r="I2602" s="112" t="str">
        <f>IFERROR(VLOOKUP(Table1722[[#This Row],[Bukti]],Table13[#Data],11,FALSE),"")</f>
        <v/>
      </c>
    </row>
    <row r="2603" spans="1:9" ht="19.5" hidden="1" customHeight="1" x14ac:dyDescent="0.2">
      <c r="A2603" s="105" t="str">
        <f>IF(D2603=1,COUNTIF($D$10:D2603,1)," ")</f>
        <v xml:space="preserve"> </v>
      </c>
      <c r="B2603" s="106">
        <f>COPY!AR2595</f>
        <v>0</v>
      </c>
      <c r="C2603" s="107">
        <f>COPY!AC2595</f>
        <v>0</v>
      </c>
      <c r="D2603" s="107" t="str">
        <f>IF(LEN(Table1722[[#This Row],[Uraian]])&gt;2,1," ")</f>
        <v xml:space="preserve"> </v>
      </c>
      <c r="E2603" s="113" t="str">
        <f>IF(Table1722[[#This Row],[Lawan Transaksi]]="CV AGUNG KARYA",COUNTIF($I$10:I2603,"CV AGUNG KARYA")," ")</f>
        <v xml:space="preserve"> </v>
      </c>
      <c r="F2603" s="107" t="str">
        <f>IF(LEN(Table1722[[#This Row],[Uraian]])&gt;2,TRIM(RIGHT(SUBSTITUTE(TRIM(C2603)," ",REPT(" ",255)),255))," ")</f>
        <v xml:space="preserve"> </v>
      </c>
      <c r="G2603" s="110">
        <f>COPY!Z2595</f>
        <v>0</v>
      </c>
      <c r="H2603" s="111" t="str">
        <f>IFERROR(VLOOKUP(Table1722[[#This Row],[Bukti]],'Un nOTA'!$A$4:$K$5003,10,FALSE),"")</f>
        <v/>
      </c>
      <c r="I2603" s="112" t="str">
        <f>IFERROR(VLOOKUP(Table1722[[#This Row],[Bukti]],Table13[#Data],11,FALSE),"")</f>
        <v/>
      </c>
    </row>
    <row r="2604" spans="1:9" ht="19.5" hidden="1" customHeight="1" x14ac:dyDescent="0.2">
      <c r="A2604" s="105" t="str">
        <f>IF(D2604=1,COUNTIF($D$10:D2604,1)," ")</f>
        <v xml:space="preserve"> </v>
      </c>
      <c r="B2604" s="106">
        <f>COPY!AR2596</f>
        <v>0</v>
      </c>
      <c r="C2604" s="107">
        <f>COPY!AC2596</f>
        <v>0</v>
      </c>
      <c r="D2604" s="107" t="str">
        <f>IF(LEN(Table1722[[#This Row],[Uraian]])&gt;2,1," ")</f>
        <v xml:space="preserve"> </v>
      </c>
      <c r="E2604" s="113" t="str">
        <f>IF(Table1722[[#This Row],[Lawan Transaksi]]="CV AGUNG KARYA",COUNTIF($I$10:I2604,"CV AGUNG KARYA")," ")</f>
        <v xml:space="preserve"> </v>
      </c>
      <c r="F2604" s="107" t="str">
        <f>IF(LEN(Table1722[[#This Row],[Uraian]])&gt;2,TRIM(RIGHT(SUBSTITUTE(TRIM(C2604)," ",REPT(" ",255)),255))," ")</f>
        <v xml:space="preserve"> </v>
      </c>
      <c r="G2604" s="110">
        <f>COPY!Z2596</f>
        <v>0</v>
      </c>
      <c r="H2604" s="111" t="str">
        <f>IFERROR(VLOOKUP(Table1722[[#This Row],[Bukti]],'Un nOTA'!$A$4:$K$5003,10,FALSE),"")</f>
        <v/>
      </c>
      <c r="I2604" s="112" t="str">
        <f>IFERROR(VLOOKUP(Table1722[[#This Row],[Bukti]],Table13[#Data],11,FALSE),"")</f>
        <v/>
      </c>
    </row>
    <row r="2605" spans="1:9" ht="19.5" hidden="1" customHeight="1" x14ac:dyDescent="0.2">
      <c r="A2605" s="105" t="str">
        <f>IF(D2605=1,COUNTIF($D$10:D2605,1)," ")</f>
        <v xml:space="preserve"> </v>
      </c>
      <c r="B2605" s="106">
        <f>COPY!AR2597</f>
        <v>0</v>
      </c>
      <c r="C2605" s="107">
        <f>COPY!AC2597</f>
        <v>0</v>
      </c>
      <c r="D2605" s="107" t="str">
        <f>IF(LEN(Table1722[[#This Row],[Uraian]])&gt;2,1," ")</f>
        <v xml:space="preserve"> </v>
      </c>
      <c r="E2605" s="113" t="str">
        <f>IF(Table1722[[#This Row],[Lawan Transaksi]]="CV AGUNG KARYA",COUNTIF($I$10:I2605,"CV AGUNG KARYA")," ")</f>
        <v xml:space="preserve"> </v>
      </c>
      <c r="F2605" s="107" t="str">
        <f>IF(LEN(Table1722[[#This Row],[Uraian]])&gt;2,TRIM(RIGHT(SUBSTITUTE(TRIM(C2605)," ",REPT(" ",255)),255))," ")</f>
        <v xml:space="preserve"> </v>
      </c>
      <c r="G2605" s="110">
        <f>COPY!Z2597</f>
        <v>0</v>
      </c>
      <c r="H2605" s="111" t="str">
        <f>IFERROR(VLOOKUP(Table1722[[#This Row],[Bukti]],'Un nOTA'!$A$4:$K$5003,10,FALSE),"")</f>
        <v/>
      </c>
      <c r="I2605" s="112" t="str">
        <f>IFERROR(VLOOKUP(Table1722[[#This Row],[Bukti]],Table13[#Data],11,FALSE),"")</f>
        <v/>
      </c>
    </row>
    <row r="2606" spans="1:9" ht="19.5" hidden="1" customHeight="1" x14ac:dyDescent="0.2">
      <c r="A2606" s="105" t="str">
        <f>IF(D2606=1,COUNTIF($D$10:D2606,1)," ")</f>
        <v xml:space="preserve"> </v>
      </c>
      <c r="B2606" s="106">
        <f>COPY!AR2598</f>
        <v>0</v>
      </c>
      <c r="C2606" s="107">
        <f>COPY!AC2598</f>
        <v>0</v>
      </c>
      <c r="D2606" s="107" t="str">
        <f>IF(LEN(Table1722[[#This Row],[Uraian]])&gt;2,1," ")</f>
        <v xml:space="preserve"> </v>
      </c>
      <c r="E2606" s="113" t="str">
        <f>IF(Table1722[[#This Row],[Lawan Transaksi]]="CV AGUNG KARYA",COUNTIF($I$10:I2606,"CV AGUNG KARYA")," ")</f>
        <v xml:space="preserve"> </v>
      </c>
      <c r="F2606" s="107" t="str">
        <f>IF(LEN(Table1722[[#This Row],[Uraian]])&gt;2,TRIM(RIGHT(SUBSTITUTE(TRIM(C2606)," ",REPT(" ",255)),255))," ")</f>
        <v xml:space="preserve"> </v>
      </c>
      <c r="G2606" s="110">
        <f>COPY!Z2598</f>
        <v>0</v>
      </c>
      <c r="H2606" s="111" t="str">
        <f>IFERROR(VLOOKUP(Table1722[[#This Row],[Bukti]],'Un nOTA'!$A$4:$K$5003,10,FALSE),"")</f>
        <v/>
      </c>
      <c r="I2606" s="112" t="str">
        <f>IFERROR(VLOOKUP(Table1722[[#This Row],[Bukti]],Table13[#Data],11,FALSE),"")</f>
        <v/>
      </c>
    </row>
    <row r="2607" spans="1:9" ht="19.5" hidden="1" customHeight="1" x14ac:dyDescent="0.2">
      <c r="A2607" s="105" t="str">
        <f>IF(D2607=1,COUNTIF($D$10:D2607,1)," ")</f>
        <v xml:space="preserve"> </v>
      </c>
      <c r="B2607" s="106">
        <f>COPY!AR2599</f>
        <v>0</v>
      </c>
      <c r="C2607" s="107">
        <f>COPY!AC2599</f>
        <v>0</v>
      </c>
      <c r="D2607" s="107" t="str">
        <f>IF(LEN(Table1722[[#This Row],[Uraian]])&gt;2,1," ")</f>
        <v xml:space="preserve"> </v>
      </c>
      <c r="E2607" s="113" t="str">
        <f>IF(Table1722[[#This Row],[Lawan Transaksi]]="CV AGUNG KARYA",COUNTIF($I$10:I2607,"CV AGUNG KARYA")," ")</f>
        <v xml:space="preserve"> </v>
      </c>
      <c r="F2607" s="107" t="str">
        <f>IF(LEN(Table1722[[#This Row],[Uraian]])&gt;2,TRIM(RIGHT(SUBSTITUTE(TRIM(C2607)," ",REPT(" ",255)),255))," ")</f>
        <v xml:space="preserve"> </v>
      </c>
      <c r="G2607" s="110">
        <f>COPY!Z2599</f>
        <v>0</v>
      </c>
      <c r="H2607" s="111" t="str">
        <f>IFERROR(VLOOKUP(Table1722[[#This Row],[Bukti]],'Un nOTA'!$A$4:$K$5003,10,FALSE),"")</f>
        <v/>
      </c>
      <c r="I2607" s="112" t="str">
        <f>IFERROR(VLOOKUP(Table1722[[#This Row],[Bukti]],Table13[#Data],11,FALSE),"")</f>
        <v/>
      </c>
    </row>
    <row r="2608" spans="1:9" ht="19.5" hidden="1" customHeight="1" x14ac:dyDescent="0.2">
      <c r="A2608" s="105" t="str">
        <f>IF(D2608=1,COUNTIF($D$10:D2608,1)," ")</f>
        <v xml:space="preserve"> </v>
      </c>
      <c r="B2608" s="106">
        <f>COPY!AR2600</f>
        <v>0</v>
      </c>
      <c r="C2608" s="107">
        <f>COPY!AC2600</f>
        <v>0</v>
      </c>
      <c r="D2608" s="107" t="str">
        <f>IF(LEN(Table1722[[#This Row],[Uraian]])&gt;2,1," ")</f>
        <v xml:space="preserve"> </v>
      </c>
      <c r="E2608" s="113" t="str">
        <f>IF(Table1722[[#This Row],[Lawan Transaksi]]="CV AGUNG KARYA",COUNTIF($I$10:I2608,"CV AGUNG KARYA")," ")</f>
        <v xml:space="preserve"> </v>
      </c>
      <c r="F2608" s="107" t="str">
        <f>IF(LEN(Table1722[[#This Row],[Uraian]])&gt;2,TRIM(RIGHT(SUBSTITUTE(TRIM(C2608)," ",REPT(" ",255)),255))," ")</f>
        <v xml:space="preserve"> </v>
      </c>
      <c r="G2608" s="110">
        <f>COPY!Z2600</f>
        <v>0</v>
      </c>
      <c r="H2608" s="111" t="str">
        <f>IFERROR(VLOOKUP(Table1722[[#This Row],[Bukti]],'Un nOTA'!$A$4:$K$5003,10,FALSE),"")</f>
        <v/>
      </c>
      <c r="I2608" s="112" t="str">
        <f>IFERROR(VLOOKUP(Table1722[[#This Row],[Bukti]],Table13[#Data],11,FALSE),"")</f>
        <v/>
      </c>
    </row>
    <row r="2609" spans="1:9" ht="19.5" hidden="1" customHeight="1" x14ac:dyDescent="0.2">
      <c r="A2609" s="105" t="str">
        <f>IF(D2609=1,COUNTIF($D$10:D2609,1)," ")</f>
        <v xml:space="preserve"> </v>
      </c>
      <c r="B2609" s="106">
        <f>COPY!AR2601</f>
        <v>0</v>
      </c>
      <c r="C2609" s="107">
        <f>COPY!AC2601</f>
        <v>0</v>
      </c>
      <c r="D2609" s="107" t="str">
        <f>IF(LEN(Table1722[[#This Row],[Uraian]])&gt;2,1," ")</f>
        <v xml:space="preserve"> </v>
      </c>
      <c r="E2609" s="113" t="str">
        <f>IF(Table1722[[#This Row],[Lawan Transaksi]]="CV AGUNG KARYA",COUNTIF($I$10:I2609,"CV AGUNG KARYA")," ")</f>
        <v xml:space="preserve"> </v>
      </c>
      <c r="F2609" s="107" t="str">
        <f>IF(LEN(Table1722[[#This Row],[Uraian]])&gt;2,TRIM(RIGHT(SUBSTITUTE(TRIM(C2609)," ",REPT(" ",255)),255))," ")</f>
        <v xml:space="preserve"> </v>
      </c>
      <c r="G2609" s="110">
        <f>COPY!Z2601</f>
        <v>0</v>
      </c>
      <c r="H2609" s="111" t="str">
        <f>IFERROR(VLOOKUP(Table1722[[#This Row],[Bukti]],'Un nOTA'!$A$4:$K$5003,10,FALSE),"")</f>
        <v/>
      </c>
      <c r="I2609" s="112" t="str">
        <f>IFERROR(VLOOKUP(Table1722[[#This Row],[Bukti]],Table13[#Data],11,FALSE),"")</f>
        <v/>
      </c>
    </row>
    <row r="2610" spans="1:9" ht="19.5" hidden="1" customHeight="1" x14ac:dyDescent="0.2">
      <c r="A2610" s="105" t="str">
        <f>IF(D2610=1,COUNTIF($D$10:D2610,1)," ")</f>
        <v xml:space="preserve"> </v>
      </c>
      <c r="B2610" s="106">
        <f>COPY!AR2602</f>
        <v>0</v>
      </c>
      <c r="C2610" s="107">
        <f>COPY!AC2602</f>
        <v>0</v>
      </c>
      <c r="D2610" s="107" t="str">
        <f>IF(LEN(Table1722[[#This Row],[Uraian]])&gt;2,1," ")</f>
        <v xml:space="preserve"> </v>
      </c>
      <c r="E2610" s="113" t="str">
        <f>IF(Table1722[[#This Row],[Lawan Transaksi]]="CV AGUNG KARYA",COUNTIF($I$10:I2610,"CV AGUNG KARYA")," ")</f>
        <v xml:space="preserve"> </v>
      </c>
      <c r="F2610" s="107" t="str">
        <f>IF(LEN(Table1722[[#This Row],[Uraian]])&gt;2,TRIM(RIGHT(SUBSTITUTE(TRIM(C2610)," ",REPT(" ",255)),255))," ")</f>
        <v xml:space="preserve"> </v>
      </c>
      <c r="G2610" s="110">
        <f>COPY!Z2602</f>
        <v>0</v>
      </c>
      <c r="H2610" s="111" t="str">
        <f>IFERROR(VLOOKUP(Table1722[[#This Row],[Bukti]],'Un nOTA'!$A$4:$K$5003,10,FALSE),"")</f>
        <v/>
      </c>
      <c r="I2610" s="112" t="str">
        <f>IFERROR(VLOOKUP(Table1722[[#This Row],[Bukti]],Table13[#Data],11,FALSE),"")</f>
        <v/>
      </c>
    </row>
    <row r="2611" spans="1:9" ht="19.5" hidden="1" customHeight="1" x14ac:dyDescent="0.2">
      <c r="A2611" s="105" t="str">
        <f>IF(D2611=1,COUNTIF($D$10:D2611,1)," ")</f>
        <v xml:space="preserve"> </v>
      </c>
      <c r="B2611" s="106">
        <f>COPY!AR2603</f>
        <v>0</v>
      </c>
      <c r="C2611" s="107">
        <f>COPY!AC2603</f>
        <v>0</v>
      </c>
      <c r="D2611" s="107" t="str">
        <f>IF(LEN(Table1722[[#This Row],[Uraian]])&gt;2,1," ")</f>
        <v xml:space="preserve"> </v>
      </c>
      <c r="E2611" s="113" t="str">
        <f>IF(Table1722[[#This Row],[Lawan Transaksi]]="CV AGUNG KARYA",COUNTIF($I$10:I2611,"CV AGUNG KARYA")," ")</f>
        <v xml:space="preserve"> </v>
      </c>
      <c r="F2611" s="107" t="str">
        <f>IF(LEN(Table1722[[#This Row],[Uraian]])&gt;2,TRIM(RIGHT(SUBSTITUTE(TRIM(C2611)," ",REPT(" ",255)),255))," ")</f>
        <v xml:space="preserve"> </v>
      </c>
      <c r="G2611" s="110">
        <f>COPY!Z2603</f>
        <v>0</v>
      </c>
      <c r="H2611" s="111" t="str">
        <f>IFERROR(VLOOKUP(Table1722[[#This Row],[Bukti]],'Un nOTA'!$A$4:$K$5003,10,FALSE),"")</f>
        <v/>
      </c>
      <c r="I2611" s="112" t="str">
        <f>IFERROR(VLOOKUP(Table1722[[#This Row],[Bukti]],Table13[#Data],11,FALSE),"")</f>
        <v/>
      </c>
    </row>
    <row r="2612" spans="1:9" ht="19.5" hidden="1" customHeight="1" x14ac:dyDescent="0.2">
      <c r="A2612" s="105" t="str">
        <f>IF(D2612=1,COUNTIF($D$10:D2612,1)," ")</f>
        <v xml:space="preserve"> </v>
      </c>
      <c r="B2612" s="106">
        <f>COPY!AR2604</f>
        <v>0</v>
      </c>
      <c r="C2612" s="107">
        <f>COPY!AC2604</f>
        <v>0</v>
      </c>
      <c r="D2612" s="107" t="str">
        <f>IF(LEN(Table1722[[#This Row],[Uraian]])&gt;2,1," ")</f>
        <v xml:space="preserve"> </v>
      </c>
      <c r="E2612" s="113" t="str">
        <f>IF(Table1722[[#This Row],[Lawan Transaksi]]="CV AGUNG KARYA",COUNTIF($I$10:I2612,"CV AGUNG KARYA")," ")</f>
        <v xml:space="preserve"> </v>
      </c>
      <c r="F2612" s="107" t="str">
        <f>IF(LEN(Table1722[[#This Row],[Uraian]])&gt;2,TRIM(RIGHT(SUBSTITUTE(TRIM(C2612)," ",REPT(" ",255)),255))," ")</f>
        <v xml:space="preserve"> </v>
      </c>
      <c r="G2612" s="110">
        <f>COPY!Z2604</f>
        <v>0</v>
      </c>
      <c r="H2612" s="111" t="str">
        <f>IFERROR(VLOOKUP(Table1722[[#This Row],[Bukti]],'Un nOTA'!$A$4:$K$5003,10,FALSE),"")</f>
        <v/>
      </c>
      <c r="I2612" s="112" t="str">
        <f>IFERROR(VLOOKUP(Table1722[[#This Row],[Bukti]],Table13[#Data],11,FALSE),"")</f>
        <v/>
      </c>
    </row>
    <row r="2613" spans="1:9" ht="19.5" hidden="1" customHeight="1" x14ac:dyDescent="0.2">
      <c r="A2613" s="105" t="str">
        <f>IF(D2613=1,COUNTIF($D$10:D2613,1)," ")</f>
        <v xml:space="preserve"> </v>
      </c>
      <c r="B2613" s="106">
        <f>COPY!AR2605</f>
        <v>0</v>
      </c>
      <c r="C2613" s="107">
        <f>COPY!AC2605</f>
        <v>0</v>
      </c>
      <c r="D2613" s="107" t="str">
        <f>IF(LEN(Table1722[[#This Row],[Uraian]])&gt;2,1," ")</f>
        <v xml:space="preserve"> </v>
      </c>
      <c r="E2613" s="113" t="str">
        <f>IF(Table1722[[#This Row],[Lawan Transaksi]]="CV AGUNG KARYA",COUNTIF($I$10:I2613,"CV AGUNG KARYA")," ")</f>
        <v xml:space="preserve"> </v>
      </c>
      <c r="F2613" s="107" t="str">
        <f>IF(LEN(Table1722[[#This Row],[Uraian]])&gt;2,TRIM(RIGHT(SUBSTITUTE(TRIM(C2613)," ",REPT(" ",255)),255))," ")</f>
        <v xml:space="preserve"> </v>
      </c>
      <c r="G2613" s="110">
        <f>COPY!Z2605</f>
        <v>0</v>
      </c>
      <c r="H2613" s="111" t="str">
        <f>IFERROR(VLOOKUP(Table1722[[#This Row],[Bukti]],'Un nOTA'!$A$4:$K$5003,10,FALSE),"")</f>
        <v/>
      </c>
      <c r="I2613" s="112" t="str">
        <f>IFERROR(VLOOKUP(Table1722[[#This Row],[Bukti]],Table13[#Data],11,FALSE),"")</f>
        <v/>
      </c>
    </row>
    <row r="2614" spans="1:9" ht="19.5" hidden="1" customHeight="1" x14ac:dyDescent="0.2">
      <c r="A2614" s="105" t="str">
        <f>IF(D2614=1,COUNTIF($D$10:D2614,1)," ")</f>
        <v xml:space="preserve"> </v>
      </c>
      <c r="B2614" s="106">
        <f>COPY!AR2606</f>
        <v>0</v>
      </c>
      <c r="C2614" s="107">
        <f>COPY!AC2606</f>
        <v>0</v>
      </c>
      <c r="D2614" s="107" t="str">
        <f>IF(LEN(Table1722[[#This Row],[Uraian]])&gt;2,1," ")</f>
        <v xml:space="preserve"> </v>
      </c>
      <c r="E2614" s="113" t="str">
        <f>IF(Table1722[[#This Row],[Lawan Transaksi]]="CV AGUNG KARYA",COUNTIF($I$10:I2614,"CV AGUNG KARYA")," ")</f>
        <v xml:space="preserve"> </v>
      </c>
      <c r="F2614" s="107" t="str">
        <f>IF(LEN(Table1722[[#This Row],[Uraian]])&gt;2,TRIM(RIGHT(SUBSTITUTE(TRIM(C2614)," ",REPT(" ",255)),255))," ")</f>
        <v xml:space="preserve"> </v>
      </c>
      <c r="G2614" s="110">
        <f>COPY!Z2606</f>
        <v>0</v>
      </c>
      <c r="H2614" s="111" t="str">
        <f>IFERROR(VLOOKUP(Table1722[[#This Row],[Bukti]],'Un nOTA'!$A$4:$K$5003,10,FALSE),"")</f>
        <v/>
      </c>
      <c r="I2614" s="112" t="str">
        <f>IFERROR(VLOOKUP(Table1722[[#This Row],[Bukti]],Table13[#Data],11,FALSE),"")</f>
        <v/>
      </c>
    </row>
    <row r="2615" spans="1:9" ht="19.5" hidden="1" customHeight="1" x14ac:dyDescent="0.2">
      <c r="A2615" s="105" t="str">
        <f>IF(D2615=1,COUNTIF($D$10:D2615,1)," ")</f>
        <v xml:space="preserve"> </v>
      </c>
      <c r="B2615" s="106">
        <f>COPY!AR2607</f>
        <v>0</v>
      </c>
      <c r="C2615" s="107">
        <f>COPY!AC2607</f>
        <v>0</v>
      </c>
      <c r="D2615" s="107" t="str">
        <f>IF(LEN(Table1722[[#This Row],[Uraian]])&gt;2,1," ")</f>
        <v xml:space="preserve"> </v>
      </c>
      <c r="E2615" s="113" t="str">
        <f>IF(Table1722[[#This Row],[Lawan Transaksi]]="CV AGUNG KARYA",COUNTIF($I$10:I2615,"CV AGUNG KARYA")," ")</f>
        <v xml:space="preserve"> </v>
      </c>
      <c r="F2615" s="107" t="str">
        <f>IF(LEN(Table1722[[#This Row],[Uraian]])&gt;2,TRIM(RIGHT(SUBSTITUTE(TRIM(C2615)," ",REPT(" ",255)),255))," ")</f>
        <v xml:space="preserve"> </v>
      </c>
      <c r="G2615" s="110">
        <f>COPY!Z2607</f>
        <v>0</v>
      </c>
      <c r="H2615" s="111" t="str">
        <f>IFERROR(VLOOKUP(Table1722[[#This Row],[Bukti]],'Un nOTA'!$A$4:$K$5003,10,FALSE),"")</f>
        <v/>
      </c>
      <c r="I2615" s="112" t="str">
        <f>IFERROR(VLOOKUP(Table1722[[#This Row],[Bukti]],Table13[#Data],11,FALSE),"")</f>
        <v/>
      </c>
    </row>
    <row r="2616" spans="1:9" ht="19.5" hidden="1" customHeight="1" x14ac:dyDescent="0.2">
      <c r="A2616" s="105" t="str">
        <f>IF(D2616=1,COUNTIF($D$10:D2616,1)," ")</f>
        <v xml:space="preserve"> </v>
      </c>
      <c r="B2616" s="106">
        <f>COPY!AR2608</f>
        <v>0</v>
      </c>
      <c r="C2616" s="107">
        <f>COPY!AC2608</f>
        <v>0</v>
      </c>
      <c r="D2616" s="107" t="str">
        <f>IF(LEN(Table1722[[#This Row],[Uraian]])&gt;2,1," ")</f>
        <v xml:space="preserve"> </v>
      </c>
      <c r="E2616" s="113" t="str">
        <f>IF(Table1722[[#This Row],[Lawan Transaksi]]="CV AGUNG KARYA",COUNTIF($I$10:I2616,"CV AGUNG KARYA")," ")</f>
        <v xml:space="preserve"> </v>
      </c>
      <c r="F2616" s="107" t="str">
        <f>IF(LEN(Table1722[[#This Row],[Uraian]])&gt;2,TRIM(RIGHT(SUBSTITUTE(TRIM(C2616)," ",REPT(" ",255)),255))," ")</f>
        <v xml:space="preserve"> </v>
      </c>
      <c r="G2616" s="110">
        <f>COPY!Z2608</f>
        <v>0</v>
      </c>
      <c r="H2616" s="111" t="str">
        <f>IFERROR(VLOOKUP(Table1722[[#This Row],[Bukti]],'Un nOTA'!$A$4:$K$5003,10,FALSE),"")</f>
        <v/>
      </c>
      <c r="I2616" s="112" t="str">
        <f>IFERROR(VLOOKUP(Table1722[[#This Row],[Bukti]],Table13[#Data],11,FALSE),"")</f>
        <v/>
      </c>
    </row>
    <row r="2617" spans="1:9" ht="19.5" hidden="1" customHeight="1" x14ac:dyDescent="0.2">
      <c r="A2617" s="105" t="str">
        <f>IF(D2617=1,COUNTIF($D$10:D2617,1)," ")</f>
        <v xml:space="preserve"> </v>
      </c>
      <c r="B2617" s="106">
        <f>COPY!AR2609</f>
        <v>0</v>
      </c>
      <c r="C2617" s="107">
        <f>COPY!AC2609</f>
        <v>0</v>
      </c>
      <c r="D2617" s="107" t="str">
        <f>IF(LEN(Table1722[[#This Row],[Uraian]])&gt;2,1," ")</f>
        <v xml:space="preserve"> </v>
      </c>
      <c r="E2617" s="113" t="str">
        <f>IF(Table1722[[#This Row],[Lawan Transaksi]]="CV AGUNG KARYA",COUNTIF($I$10:I2617,"CV AGUNG KARYA")," ")</f>
        <v xml:space="preserve"> </v>
      </c>
      <c r="F2617" s="107" t="str">
        <f>IF(LEN(Table1722[[#This Row],[Uraian]])&gt;2,TRIM(RIGHT(SUBSTITUTE(TRIM(C2617)," ",REPT(" ",255)),255))," ")</f>
        <v xml:space="preserve"> </v>
      </c>
      <c r="G2617" s="110">
        <f>COPY!Z2609</f>
        <v>0</v>
      </c>
      <c r="H2617" s="111" t="str">
        <f>IFERROR(VLOOKUP(Table1722[[#This Row],[Bukti]],'Un nOTA'!$A$4:$K$5003,10,FALSE),"")</f>
        <v/>
      </c>
      <c r="I2617" s="112" t="str">
        <f>IFERROR(VLOOKUP(Table1722[[#This Row],[Bukti]],Table13[#Data],11,FALSE),"")</f>
        <v/>
      </c>
    </row>
    <row r="2618" spans="1:9" ht="19.5" hidden="1" customHeight="1" x14ac:dyDescent="0.2">
      <c r="A2618" s="105" t="str">
        <f>IF(D2618=1,COUNTIF($D$10:D2618,1)," ")</f>
        <v xml:space="preserve"> </v>
      </c>
      <c r="B2618" s="106">
        <f>COPY!AR2610</f>
        <v>0</v>
      </c>
      <c r="C2618" s="107">
        <f>COPY!AC2610</f>
        <v>0</v>
      </c>
      <c r="D2618" s="107" t="str">
        <f>IF(LEN(Table1722[[#This Row],[Uraian]])&gt;2,1," ")</f>
        <v xml:space="preserve"> </v>
      </c>
      <c r="E2618" s="113" t="str">
        <f>IF(Table1722[[#This Row],[Lawan Transaksi]]="CV AGUNG KARYA",COUNTIF($I$10:I2618,"CV AGUNG KARYA")," ")</f>
        <v xml:space="preserve"> </v>
      </c>
      <c r="F2618" s="107" t="str">
        <f>IF(LEN(Table1722[[#This Row],[Uraian]])&gt;2,TRIM(RIGHT(SUBSTITUTE(TRIM(C2618)," ",REPT(" ",255)),255))," ")</f>
        <v xml:space="preserve"> </v>
      </c>
      <c r="G2618" s="110">
        <f>COPY!Z2610</f>
        <v>0</v>
      </c>
      <c r="H2618" s="111" t="str">
        <f>IFERROR(VLOOKUP(Table1722[[#This Row],[Bukti]],'Un nOTA'!$A$4:$K$5003,10,FALSE),"")</f>
        <v/>
      </c>
      <c r="I2618" s="112" t="str">
        <f>IFERROR(VLOOKUP(Table1722[[#This Row],[Bukti]],Table13[#Data],11,FALSE),"")</f>
        <v/>
      </c>
    </row>
    <row r="2619" spans="1:9" ht="19.5" hidden="1" customHeight="1" x14ac:dyDescent="0.2">
      <c r="A2619" s="105" t="str">
        <f>IF(D2619=1,COUNTIF($D$10:D2619,1)," ")</f>
        <v xml:space="preserve"> </v>
      </c>
      <c r="B2619" s="106">
        <f>COPY!AR2611</f>
        <v>0</v>
      </c>
      <c r="C2619" s="107">
        <f>COPY!AC2611</f>
        <v>0</v>
      </c>
      <c r="D2619" s="107" t="str">
        <f>IF(LEN(Table1722[[#This Row],[Uraian]])&gt;2,1," ")</f>
        <v xml:space="preserve"> </v>
      </c>
      <c r="E2619" s="113" t="str">
        <f>IF(Table1722[[#This Row],[Lawan Transaksi]]="CV AGUNG KARYA",COUNTIF($I$10:I2619,"CV AGUNG KARYA")," ")</f>
        <v xml:space="preserve"> </v>
      </c>
      <c r="F2619" s="107" t="str">
        <f>IF(LEN(Table1722[[#This Row],[Uraian]])&gt;2,TRIM(RIGHT(SUBSTITUTE(TRIM(C2619)," ",REPT(" ",255)),255))," ")</f>
        <v xml:space="preserve"> </v>
      </c>
      <c r="G2619" s="110">
        <f>COPY!Z2611</f>
        <v>0</v>
      </c>
      <c r="H2619" s="111" t="str">
        <f>IFERROR(VLOOKUP(Table1722[[#This Row],[Bukti]],'Un nOTA'!$A$4:$K$5003,10,FALSE),"")</f>
        <v/>
      </c>
      <c r="I2619" s="112" t="str">
        <f>IFERROR(VLOOKUP(Table1722[[#This Row],[Bukti]],Table13[#Data],11,FALSE),"")</f>
        <v/>
      </c>
    </row>
    <row r="2620" spans="1:9" ht="19.5" hidden="1" customHeight="1" x14ac:dyDescent="0.2">
      <c r="A2620" s="105" t="str">
        <f>IF(D2620=1,COUNTIF($D$10:D2620,1)," ")</f>
        <v xml:space="preserve"> </v>
      </c>
      <c r="B2620" s="106">
        <f>COPY!AR2612</f>
        <v>0</v>
      </c>
      <c r="C2620" s="107">
        <f>COPY!AC2612</f>
        <v>0</v>
      </c>
      <c r="D2620" s="107" t="str">
        <f>IF(LEN(Table1722[[#This Row],[Uraian]])&gt;2,1," ")</f>
        <v xml:space="preserve"> </v>
      </c>
      <c r="E2620" s="113" t="str">
        <f>IF(Table1722[[#This Row],[Lawan Transaksi]]="CV AGUNG KARYA",COUNTIF($I$10:I2620,"CV AGUNG KARYA")," ")</f>
        <v xml:space="preserve"> </v>
      </c>
      <c r="F2620" s="107" t="str">
        <f>IF(LEN(Table1722[[#This Row],[Uraian]])&gt;2,TRIM(RIGHT(SUBSTITUTE(TRIM(C2620)," ",REPT(" ",255)),255))," ")</f>
        <v xml:space="preserve"> </v>
      </c>
      <c r="G2620" s="110">
        <f>COPY!Z2612</f>
        <v>0</v>
      </c>
      <c r="H2620" s="111" t="str">
        <f>IFERROR(VLOOKUP(Table1722[[#This Row],[Bukti]],'Un nOTA'!$A$4:$K$5003,10,FALSE),"")</f>
        <v/>
      </c>
      <c r="I2620" s="112" t="str">
        <f>IFERROR(VLOOKUP(Table1722[[#This Row],[Bukti]],Table13[#Data],11,FALSE),"")</f>
        <v/>
      </c>
    </row>
    <row r="2621" spans="1:9" ht="19.5" hidden="1" customHeight="1" x14ac:dyDescent="0.2">
      <c r="A2621" s="105" t="str">
        <f>IF(D2621=1,COUNTIF($D$10:D2621,1)," ")</f>
        <v xml:space="preserve"> </v>
      </c>
      <c r="B2621" s="106">
        <f>COPY!AR2613</f>
        <v>0</v>
      </c>
      <c r="C2621" s="107">
        <f>COPY!AC2613</f>
        <v>0</v>
      </c>
      <c r="D2621" s="107" t="str">
        <f>IF(LEN(Table1722[[#This Row],[Uraian]])&gt;2,1," ")</f>
        <v xml:space="preserve"> </v>
      </c>
      <c r="E2621" s="113" t="str">
        <f>IF(Table1722[[#This Row],[Lawan Transaksi]]="CV AGUNG KARYA",COUNTIF($I$10:I2621,"CV AGUNG KARYA")," ")</f>
        <v xml:space="preserve"> </v>
      </c>
      <c r="F2621" s="107" t="str">
        <f>IF(LEN(Table1722[[#This Row],[Uraian]])&gt;2,TRIM(RIGHT(SUBSTITUTE(TRIM(C2621)," ",REPT(" ",255)),255))," ")</f>
        <v xml:space="preserve"> </v>
      </c>
      <c r="G2621" s="110">
        <f>COPY!Z2613</f>
        <v>0</v>
      </c>
      <c r="H2621" s="111" t="str">
        <f>IFERROR(VLOOKUP(Table1722[[#This Row],[Bukti]],'Un nOTA'!$A$4:$K$5003,10,FALSE),"")</f>
        <v/>
      </c>
      <c r="I2621" s="112" t="str">
        <f>IFERROR(VLOOKUP(Table1722[[#This Row],[Bukti]],Table13[#Data],11,FALSE),"")</f>
        <v/>
      </c>
    </row>
    <row r="2622" spans="1:9" ht="19.5" hidden="1" customHeight="1" x14ac:dyDescent="0.2">
      <c r="A2622" s="105" t="str">
        <f>IF(D2622=1,COUNTIF($D$10:D2622,1)," ")</f>
        <v xml:space="preserve"> </v>
      </c>
      <c r="B2622" s="106">
        <f>COPY!AR2614</f>
        <v>0</v>
      </c>
      <c r="C2622" s="107">
        <f>COPY!AC2614</f>
        <v>0</v>
      </c>
      <c r="D2622" s="107" t="str">
        <f>IF(LEN(Table1722[[#This Row],[Uraian]])&gt;2,1," ")</f>
        <v xml:space="preserve"> </v>
      </c>
      <c r="E2622" s="113" t="str">
        <f>IF(Table1722[[#This Row],[Lawan Transaksi]]="CV AGUNG KARYA",COUNTIF($I$10:I2622,"CV AGUNG KARYA")," ")</f>
        <v xml:space="preserve"> </v>
      </c>
      <c r="F2622" s="107" t="str">
        <f>IF(LEN(Table1722[[#This Row],[Uraian]])&gt;2,TRIM(RIGHT(SUBSTITUTE(TRIM(C2622)," ",REPT(" ",255)),255))," ")</f>
        <v xml:space="preserve"> </v>
      </c>
      <c r="G2622" s="110">
        <f>COPY!Z2614</f>
        <v>0</v>
      </c>
      <c r="H2622" s="111" t="str">
        <f>IFERROR(VLOOKUP(Table1722[[#This Row],[Bukti]],'Un nOTA'!$A$4:$K$5003,10,FALSE),"")</f>
        <v/>
      </c>
      <c r="I2622" s="112" t="str">
        <f>IFERROR(VLOOKUP(Table1722[[#This Row],[Bukti]],Table13[#Data],11,FALSE),"")</f>
        <v/>
      </c>
    </row>
    <row r="2623" spans="1:9" ht="19.5" hidden="1" customHeight="1" x14ac:dyDescent="0.2">
      <c r="A2623" s="105" t="str">
        <f>IF(D2623=1,COUNTIF($D$10:D2623,1)," ")</f>
        <v xml:space="preserve"> </v>
      </c>
      <c r="B2623" s="106">
        <f>COPY!AR2615</f>
        <v>0</v>
      </c>
      <c r="C2623" s="107">
        <f>COPY!AC2615</f>
        <v>0</v>
      </c>
      <c r="D2623" s="107" t="str">
        <f>IF(LEN(Table1722[[#This Row],[Uraian]])&gt;2,1," ")</f>
        <v xml:space="preserve"> </v>
      </c>
      <c r="E2623" s="113" t="str">
        <f>IF(Table1722[[#This Row],[Lawan Transaksi]]="CV AGUNG KARYA",COUNTIF($I$10:I2623,"CV AGUNG KARYA")," ")</f>
        <v xml:space="preserve"> </v>
      </c>
      <c r="F2623" s="107" t="str">
        <f>IF(LEN(Table1722[[#This Row],[Uraian]])&gt;2,TRIM(RIGHT(SUBSTITUTE(TRIM(C2623)," ",REPT(" ",255)),255))," ")</f>
        <v xml:space="preserve"> </v>
      </c>
      <c r="G2623" s="110">
        <f>COPY!Z2615</f>
        <v>0</v>
      </c>
      <c r="H2623" s="111" t="str">
        <f>IFERROR(VLOOKUP(Table1722[[#This Row],[Bukti]],'Un nOTA'!$A$4:$K$5003,10,FALSE),"")</f>
        <v/>
      </c>
      <c r="I2623" s="112" t="str">
        <f>IFERROR(VLOOKUP(Table1722[[#This Row],[Bukti]],Table13[#Data],11,FALSE),"")</f>
        <v/>
      </c>
    </row>
    <row r="2624" spans="1:9" ht="19.5" hidden="1" customHeight="1" x14ac:dyDescent="0.2">
      <c r="A2624" s="105" t="str">
        <f>IF(D2624=1,COUNTIF($D$10:D2624,1)," ")</f>
        <v xml:space="preserve"> </v>
      </c>
      <c r="B2624" s="106">
        <f>COPY!AR2616</f>
        <v>0</v>
      </c>
      <c r="C2624" s="107">
        <f>COPY!AC2616</f>
        <v>0</v>
      </c>
      <c r="D2624" s="107" t="str">
        <f>IF(LEN(Table1722[[#This Row],[Uraian]])&gt;2,1," ")</f>
        <v xml:space="preserve"> </v>
      </c>
      <c r="E2624" s="113" t="str">
        <f>IF(Table1722[[#This Row],[Lawan Transaksi]]="CV AGUNG KARYA",COUNTIF($I$10:I2624,"CV AGUNG KARYA")," ")</f>
        <v xml:space="preserve"> </v>
      </c>
      <c r="F2624" s="107" t="str">
        <f>IF(LEN(Table1722[[#This Row],[Uraian]])&gt;2,TRIM(RIGHT(SUBSTITUTE(TRIM(C2624)," ",REPT(" ",255)),255))," ")</f>
        <v xml:space="preserve"> </v>
      </c>
      <c r="G2624" s="110">
        <f>COPY!Z2616</f>
        <v>0</v>
      </c>
      <c r="H2624" s="111" t="str">
        <f>IFERROR(VLOOKUP(Table1722[[#This Row],[Bukti]],'Un nOTA'!$A$4:$K$5003,10,FALSE),"")</f>
        <v/>
      </c>
      <c r="I2624" s="112" t="str">
        <f>IFERROR(VLOOKUP(Table1722[[#This Row],[Bukti]],Table13[#Data],11,FALSE),"")</f>
        <v/>
      </c>
    </row>
    <row r="2625" spans="1:9" ht="19.5" hidden="1" customHeight="1" x14ac:dyDescent="0.2">
      <c r="A2625" s="105" t="str">
        <f>IF(D2625=1,COUNTIF($D$10:D2625,1)," ")</f>
        <v xml:space="preserve"> </v>
      </c>
      <c r="B2625" s="106">
        <f>COPY!AR2617</f>
        <v>0</v>
      </c>
      <c r="C2625" s="107">
        <f>COPY!AC2617</f>
        <v>0</v>
      </c>
      <c r="D2625" s="107" t="str">
        <f>IF(LEN(Table1722[[#This Row],[Uraian]])&gt;2,1," ")</f>
        <v xml:space="preserve"> </v>
      </c>
      <c r="E2625" s="113" t="str">
        <f>IF(Table1722[[#This Row],[Lawan Transaksi]]="CV AGUNG KARYA",COUNTIF($I$10:I2625,"CV AGUNG KARYA")," ")</f>
        <v xml:space="preserve"> </v>
      </c>
      <c r="F2625" s="107" t="str">
        <f>IF(LEN(Table1722[[#This Row],[Uraian]])&gt;2,TRIM(RIGHT(SUBSTITUTE(TRIM(C2625)," ",REPT(" ",255)),255))," ")</f>
        <v xml:space="preserve"> </v>
      </c>
      <c r="G2625" s="110">
        <f>COPY!Z2617</f>
        <v>0</v>
      </c>
      <c r="H2625" s="111" t="str">
        <f>IFERROR(VLOOKUP(Table1722[[#This Row],[Bukti]],'Un nOTA'!$A$4:$K$5003,10,FALSE),"")</f>
        <v/>
      </c>
      <c r="I2625" s="112" t="str">
        <f>IFERROR(VLOOKUP(Table1722[[#This Row],[Bukti]],Table13[#Data],11,FALSE),"")</f>
        <v/>
      </c>
    </row>
    <row r="2626" spans="1:9" ht="19.5" hidden="1" customHeight="1" x14ac:dyDescent="0.2">
      <c r="A2626" s="105" t="str">
        <f>IF(D2626=1,COUNTIF($D$10:D2626,1)," ")</f>
        <v xml:space="preserve"> </v>
      </c>
      <c r="B2626" s="106">
        <f>COPY!AR2618</f>
        <v>0</v>
      </c>
      <c r="C2626" s="107">
        <f>COPY!AC2618</f>
        <v>0</v>
      </c>
      <c r="D2626" s="107" t="str">
        <f>IF(LEN(Table1722[[#This Row],[Uraian]])&gt;2,1," ")</f>
        <v xml:space="preserve"> </v>
      </c>
      <c r="E2626" s="113" t="str">
        <f>IF(Table1722[[#This Row],[Lawan Transaksi]]="CV AGUNG KARYA",COUNTIF($I$10:I2626,"CV AGUNG KARYA")," ")</f>
        <v xml:space="preserve"> </v>
      </c>
      <c r="F2626" s="107" t="str">
        <f>IF(LEN(Table1722[[#This Row],[Uraian]])&gt;2,TRIM(RIGHT(SUBSTITUTE(TRIM(C2626)," ",REPT(" ",255)),255))," ")</f>
        <v xml:space="preserve"> </v>
      </c>
      <c r="G2626" s="110">
        <f>COPY!Z2618</f>
        <v>0</v>
      </c>
      <c r="H2626" s="111" t="str">
        <f>IFERROR(VLOOKUP(Table1722[[#This Row],[Bukti]],'Un nOTA'!$A$4:$K$5003,10,FALSE),"")</f>
        <v/>
      </c>
      <c r="I2626" s="112" t="str">
        <f>IFERROR(VLOOKUP(Table1722[[#This Row],[Bukti]],Table13[#Data],11,FALSE),"")</f>
        <v/>
      </c>
    </row>
    <row r="2627" spans="1:9" ht="19.5" hidden="1" customHeight="1" x14ac:dyDescent="0.2">
      <c r="A2627" s="105" t="str">
        <f>IF(D2627=1,COUNTIF($D$10:D2627,1)," ")</f>
        <v xml:space="preserve"> </v>
      </c>
      <c r="B2627" s="106">
        <f>COPY!AR2619</f>
        <v>0</v>
      </c>
      <c r="C2627" s="107">
        <f>COPY!AC2619</f>
        <v>0</v>
      </c>
      <c r="D2627" s="107" t="str">
        <f>IF(LEN(Table1722[[#This Row],[Uraian]])&gt;2,1," ")</f>
        <v xml:space="preserve"> </v>
      </c>
      <c r="E2627" s="113" t="str">
        <f>IF(Table1722[[#This Row],[Lawan Transaksi]]="CV AGUNG KARYA",COUNTIF($I$10:I2627,"CV AGUNG KARYA")," ")</f>
        <v xml:space="preserve"> </v>
      </c>
      <c r="F2627" s="107" t="str">
        <f>IF(LEN(Table1722[[#This Row],[Uraian]])&gt;2,TRIM(RIGHT(SUBSTITUTE(TRIM(C2627)," ",REPT(" ",255)),255))," ")</f>
        <v xml:space="preserve"> </v>
      </c>
      <c r="G2627" s="110">
        <f>COPY!Z2619</f>
        <v>0</v>
      </c>
      <c r="H2627" s="111" t="str">
        <f>IFERROR(VLOOKUP(Table1722[[#This Row],[Bukti]],'Un nOTA'!$A$4:$K$5003,10,FALSE),"")</f>
        <v/>
      </c>
      <c r="I2627" s="112" t="str">
        <f>IFERROR(VLOOKUP(Table1722[[#This Row],[Bukti]],Table13[#Data],11,FALSE),"")</f>
        <v/>
      </c>
    </row>
    <row r="2628" spans="1:9" ht="19.5" hidden="1" customHeight="1" x14ac:dyDescent="0.2">
      <c r="A2628" s="105" t="str">
        <f>IF(D2628=1,COUNTIF($D$10:D2628,1)," ")</f>
        <v xml:space="preserve"> </v>
      </c>
      <c r="B2628" s="106">
        <f>COPY!AR2620</f>
        <v>0</v>
      </c>
      <c r="C2628" s="107">
        <f>COPY!AC2620</f>
        <v>0</v>
      </c>
      <c r="D2628" s="107" t="str">
        <f>IF(LEN(Table1722[[#This Row],[Uraian]])&gt;2,1," ")</f>
        <v xml:space="preserve"> </v>
      </c>
      <c r="E2628" s="113" t="str">
        <f>IF(Table1722[[#This Row],[Lawan Transaksi]]="CV AGUNG KARYA",COUNTIF($I$10:I2628,"CV AGUNG KARYA")," ")</f>
        <v xml:space="preserve"> </v>
      </c>
      <c r="F2628" s="107" t="str">
        <f>IF(LEN(Table1722[[#This Row],[Uraian]])&gt;2,TRIM(RIGHT(SUBSTITUTE(TRIM(C2628)," ",REPT(" ",255)),255))," ")</f>
        <v xml:space="preserve"> </v>
      </c>
      <c r="G2628" s="110">
        <f>COPY!Z2620</f>
        <v>0</v>
      </c>
      <c r="H2628" s="111" t="str">
        <f>IFERROR(VLOOKUP(Table1722[[#This Row],[Bukti]],'Un nOTA'!$A$4:$K$5003,10,FALSE),"")</f>
        <v/>
      </c>
      <c r="I2628" s="112" t="str">
        <f>IFERROR(VLOOKUP(Table1722[[#This Row],[Bukti]],Table13[#Data],11,FALSE),"")</f>
        <v/>
      </c>
    </row>
    <row r="2629" spans="1:9" ht="19.5" hidden="1" customHeight="1" x14ac:dyDescent="0.2">
      <c r="A2629" s="105" t="str">
        <f>IF(D2629=1,COUNTIF($D$10:D2629,1)," ")</f>
        <v xml:space="preserve"> </v>
      </c>
      <c r="B2629" s="106">
        <f>COPY!AR2621</f>
        <v>0</v>
      </c>
      <c r="C2629" s="107">
        <f>COPY!AC2621</f>
        <v>0</v>
      </c>
      <c r="D2629" s="107" t="str">
        <f>IF(LEN(Table1722[[#This Row],[Uraian]])&gt;2,1," ")</f>
        <v xml:space="preserve"> </v>
      </c>
      <c r="E2629" s="113" t="str">
        <f>IF(Table1722[[#This Row],[Lawan Transaksi]]="CV AGUNG KARYA",COUNTIF($I$10:I2629,"CV AGUNG KARYA")," ")</f>
        <v xml:space="preserve"> </v>
      </c>
      <c r="F2629" s="107" t="str">
        <f>IF(LEN(Table1722[[#This Row],[Uraian]])&gt;2,TRIM(RIGHT(SUBSTITUTE(TRIM(C2629)," ",REPT(" ",255)),255))," ")</f>
        <v xml:space="preserve"> </v>
      </c>
      <c r="G2629" s="110">
        <f>COPY!Z2621</f>
        <v>0</v>
      </c>
      <c r="H2629" s="111" t="str">
        <f>IFERROR(VLOOKUP(Table1722[[#This Row],[Bukti]],'Un nOTA'!$A$4:$K$5003,10,FALSE),"")</f>
        <v/>
      </c>
      <c r="I2629" s="112" t="str">
        <f>IFERROR(VLOOKUP(Table1722[[#This Row],[Bukti]],Table13[#Data],11,FALSE),"")</f>
        <v/>
      </c>
    </row>
    <row r="2630" spans="1:9" ht="19.5" hidden="1" customHeight="1" x14ac:dyDescent="0.2">
      <c r="A2630" s="105" t="str">
        <f>IF(D2630=1,COUNTIF($D$10:D2630,1)," ")</f>
        <v xml:space="preserve"> </v>
      </c>
      <c r="B2630" s="106">
        <f>COPY!AR2622</f>
        <v>0</v>
      </c>
      <c r="C2630" s="107">
        <f>COPY!AC2622</f>
        <v>0</v>
      </c>
      <c r="D2630" s="107" t="str">
        <f>IF(LEN(Table1722[[#This Row],[Uraian]])&gt;2,1," ")</f>
        <v xml:space="preserve"> </v>
      </c>
      <c r="E2630" s="113" t="str">
        <f>IF(Table1722[[#This Row],[Lawan Transaksi]]="CV AGUNG KARYA",COUNTIF($I$10:I2630,"CV AGUNG KARYA")," ")</f>
        <v xml:space="preserve"> </v>
      </c>
      <c r="F2630" s="107" t="str">
        <f>IF(LEN(Table1722[[#This Row],[Uraian]])&gt;2,TRIM(RIGHT(SUBSTITUTE(TRIM(C2630)," ",REPT(" ",255)),255))," ")</f>
        <v xml:space="preserve"> </v>
      </c>
      <c r="G2630" s="110">
        <f>COPY!Z2622</f>
        <v>0</v>
      </c>
      <c r="H2630" s="111" t="str">
        <f>IFERROR(VLOOKUP(Table1722[[#This Row],[Bukti]],'Un nOTA'!$A$4:$K$5003,10,FALSE),"")</f>
        <v/>
      </c>
      <c r="I2630" s="112" t="str">
        <f>IFERROR(VLOOKUP(Table1722[[#This Row],[Bukti]],Table13[#Data],11,FALSE),"")</f>
        <v/>
      </c>
    </row>
    <row r="2631" spans="1:9" ht="19.5" hidden="1" customHeight="1" x14ac:dyDescent="0.2">
      <c r="A2631" s="105" t="str">
        <f>IF(D2631=1,COUNTIF($D$10:D2631,1)," ")</f>
        <v xml:space="preserve"> </v>
      </c>
      <c r="B2631" s="106">
        <f>COPY!AR2623</f>
        <v>0</v>
      </c>
      <c r="C2631" s="107">
        <f>COPY!AC2623</f>
        <v>0</v>
      </c>
      <c r="D2631" s="107" t="str">
        <f>IF(LEN(Table1722[[#This Row],[Uraian]])&gt;2,1," ")</f>
        <v xml:space="preserve"> </v>
      </c>
      <c r="E2631" s="113" t="str">
        <f>IF(Table1722[[#This Row],[Lawan Transaksi]]="CV AGUNG KARYA",COUNTIF($I$10:I2631,"CV AGUNG KARYA")," ")</f>
        <v xml:space="preserve"> </v>
      </c>
      <c r="F2631" s="107" t="str">
        <f>IF(LEN(Table1722[[#This Row],[Uraian]])&gt;2,TRIM(RIGHT(SUBSTITUTE(TRIM(C2631)," ",REPT(" ",255)),255))," ")</f>
        <v xml:space="preserve"> </v>
      </c>
      <c r="G2631" s="110">
        <f>COPY!Z2623</f>
        <v>0</v>
      </c>
      <c r="H2631" s="111" t="str">
        <f>IFERROR(VLOOKUP(Table1722[[#This Row],[Bukti]],'Un nOTA'!$A$4:$K$5003,10,FALSE),"")</f>
        <v/>
      </c>
      <c r="I2631" s="112" t="str">
        <f>IFERROR(VLOOKUP(Table1722[[#This Row],[Bukti]],Table13[#Data],11,FALSE),"")</f>
        <v/>
      </c>
    </row>
    <row r="2632" spans="1:9" ht="19.5" hidden="1" customHeight="1" x14ac:dyDescent="0.2">
      <c r="A2632" s="105" t="str">
        <f>IF(D2632=1,COUNTIF($D$10:D2632,1)," ")</f>
        <v xml:space="preserve"> </v>
      </c>
      <c r="B2632" s="106">
        <f>COPY!AR2624</f>
        <v>0</v>
      </c>
      <c r="C2632" s="107">
        <f>COPY!AC2624</f>
        <v>0</v>
      </c>
      <c r="D2632" s="107" t="str">
        <f>IF(LEN(Table1722[[#This Row],[Uraian]])&gt;2,1," ")</f>
        <v xml:space="preserve"> </v>
      </c>
      <c r="E2632" s="113" t="str">
        <f>IF(Table1722[[#This Row],[Lawan Transaksi]]="CV AGUNG KARYA",COUNTIF($I$10:I2632,"CV AGUNG KARYA")," ")</f>
        <v xml:space="preserve"> </v>
      </c>
      <c r="F2632" s="107" t="str">
        <f>IF(LEN(Table1722[[#This Row],[Uraian]])&gt;2,TRIM(RIGHT(SUBSTITUTE(TRIM(C2632)," ",REPT(" ",255)),255))," ")</f>
        <v xml:space="preserve"> </v>
      </c>
      <c r="G2632" s="110">
        <f>COPY!Z2624</f>
        <v>0</v>
      </c>
      <c r="H2632" s="111" t="str">
        <f>IFERROR(VLOOKUP(Table1722[[#This Row],[Bukti]],'Un nOTA'!$A$4:$K$5003,10,FALSE),"")</f>
        <v/>
      </c>
      <c r="I2632" s="112" t="str">
        <f>IFERROR(VLOOKUP(Table1722[[#This Row],[Bukti]],Table13[#Data],11,FALSE),"")</f>
        <v/>
      </c>
    </row>
    <row r="2633" spans="1:9" ht="19.5" hidden="1" customHeight="1" x14ac:dyDescent="0.2">
      <c r="A2633" s="105" t="str">
        <f>IF(D2633=1,COUNTIF($D$10:D2633,1)," ")</f>
        <v xml:space="preserve"> </v>
      </c>
      <c r="B2633" s="106">
        <f>COPY!AR2625</f>
        <v>0</v>
      </c>
      <c r="C2633" s="107">
        <f>COPY!AC2625</f>
        <v>0</v>
      </c>
      <c r="D2633" s="107" t="str">
        <f>IF(LEN(Table1722[[#This Row],[Uraian]])&gt;2,1," ")</f>
        <v xml:space="preserve"> </v>
      </c>
      <c r="E2633" s="113" t="str">
        <f>IF(Table1722[[#This Row],[Lawan Transaksi]]="CV AGUNG KARYA",COUNTIF($I$10:I2633,"CV AGUNG KARYA")," ")</f>
        <v xml:space="preserve"> </v>
      </c>
      <c r="F2633" s="107" t="str">
        <f>IF(LEN(Table1722[[#This Row],[Uraian]])&gt;2,TRIM(RIGHT(SUBSTITUTE(TRIM(C2633)," ",REPT(" ",255)),255))," ")</f>
        <v xml:space="preserve"> </v>
      </c>
      <c r="G2633" s="110">
        <f>COPY!Z2625</f>
        <v>0</v>
      </c>
      <c r="H2633" s="111" t="str">
        <f>IFERROR(VLOOKUP(Table1722[[#This Row],[Bukti]],'Un nOTA'!$A$4:$K$5003,10,FALSE),"")</f>
        <v/>
      </c>
      <c r="I2633" s="112" t="str">
        <f>IFERROR(VLOOKUP(Table1722[[#This Row],[Bukti]],Table13[#Data],11,FALSE),"")</f>
        <v/>
      </c>
    </row>
    <row r="2634" spans="1:9" ht="19.5" hidden="1" customHeight="1" x14ac:dyDescent="0.2">
      <c r="A2634" s="105" t="str">
        <f>IF(D2634=1,COUNTIF($D$10:D2634,1)," ")</f>
        <v xml:space="preserve"> </v>
      </c>
      <c r="B2634" s="106">
        <f>COPY!AR2626</f>
        <v>0</v>
      </c>
      <c r="C2634" s="107">
        <f>COPY!AC2626</f>
        <v>0</v>
      </c>
      <c r="D2634" s="107" t="str">
        <f>IF(LEN(Table1722[[#This Row],[Uraian]])&gt;2,1," ")</f>
        <v xml:space="preserve"> </v>
      </c>
      <c r="E2634" s="113" t="str">
        <f>IF(Table1722[[#This Row],[Lawan Transaksi]]="CV AGUNG KARYA",COUNTIF($I$10:I2634,"CV AGUNG KARYA")," ")</f>
        <v xml:space="preserve"> </v>
      </c>
      <c r="F2634" s="107" t="str">
        <f>IF(LEN(Table1722[[#This Row],[Uraian]])&gt;2,TRIM(RIGHT(SUBSTITUTE(TRIM(C2634)," ",REPT(" ",255)),255))," ")</f>
        <v xml:space="preserve"> </v>
      </c>
      <c r="G2634" s="110">
        <f>COPY!Z2626</f>
        <v>0</v>
      </c>
      <c r="H2634" s="111" t="str">
        <f>IFERROR(VLOOKUP(Table1722[[#This Row],[Bukti]],'Un nOTA'!$A$4:$K$5003,10,FALSE),"")</f>
        <v/>
      </c>
      <c r="I2634" s="112" t="str">
        <f>IFERROR(VLOOKUP(Table1722[[#This Row],[Bukti]],Table13[#Data],11,FALSE),"")</f>
        <v/>
      </c>
    </row>
    <row r="2635" spans="1:9" ht="19.5" hidden="1" customHeight="1" x14ac:dyDescent="0.2">
      <c r="A2635" s="105" t="str">
        <f>IF(D2635=1,COUNTIF($D$10:D2635,1)," ")</f>
        <v xml:space="preserve"> </v>
      </c>
      <c r="B2635" s="106">
        <f>COPY!AR2627</f>
        <v>0</v>
      </c>
      <c r="C2635" s="107">
        <f>COPY!AC2627</f>
        <v>0</v>
      </c>
      <c r="D2635" s="107" t="str">
        <f>IF(LEN(Table1722[[#This Row],[Uraian]])&gt;2,1," ")</f>
        <v xml:space="preserve"> </v>
      </c>
      <c r="E2635" s="113" t="str">
        <f>IF(Table1722[[#This Row],[Lawan Transaksi]]="CV AGUNG KARYA",COUNTIF($I$10:I2635,"CV AGUNG KARYA")," ")</f>
        <v xml:space="preserve"> </v>
      </c>
      <c r="F2635" s="107" t="str">
        <f>IF(LEN(Table1722[[#This Row],[Uraian]])&gt;2,TRIM(RIGHT(SUBSTITUTE(TRIM(C2635)," ",REPT(" ",255)),255))," ")</f>
        <v xml:space="preserve"> </v>
      </c>
      <c r="G2635" s="110">
        <f>COPY!Z2627</f>
        <v>0</v>
      </c>
      <c r="H2635" s="111" t="str">
        <f>IFERROR(VLOOKUP(Table1722[[#This Row],[Bukti]],'Un nOTA'!$A$4:$K$5003,10,FALSE),"")</f>
        <v/>
      </c>
      <c r="I2635" s="112" t="str">
        <f>IFERROR(VLOOKUP(Table1722[[#This Row],[Bukti]],Table13[#Data],11,FALSE),"")</f>
        <v/>
      </c>
    </row>
    <row r="2636" spans="1:9" ht="19.5" hidden="1" customHeight="1" x14ac:dyDescent="0.2">
      <c r="A2636" s="105" t="str">
        <f>IF(D2636=1,COUNTIF($D$10:D2636,1)," ")</f>
        <v xml:space="preserve"> </v>
      </c>
      <c r="B2636" s="106">
        <f>COPY!AR2628</f>
        <v>0</v>
      </c>
      <c r="C2636" s="107">
        <f>COPY!AC2628</f>
        <v>0</v>
      </c>
      <c r="D2636" s="107" t="str">
        <f>IF(LEN(Table1722[[#This Row],[Uraian]])&gt;2,1," ")</f>
        <v xml:space="preserve"> </v>
      </c>
      <c r="E2636" s="113" t="str">
        <f>IF(Table1722[[#This Row],[Lawan Transaksi]]="CV AGUNG KARYA",COUNTIF($I$10:I2636,"CV AGUNG KARYA")," ")</f>
        <v xml:space="preserve"> </v>
      </c>
      <c r="F2636" s="107" t="str">
        <f>IF(LEN(Table1722[[#This Row],[Uraian]])&gt;2,TRIM(RIGHT(SUBSTITUTE(TRIM(C2636)," ",REPT(" ",255)),255))," ")</f>
        <v xml:space="preserve"> </v>
      </c>
      <c r="G2636" s="110">
        <f>COPY!Z2628</f>
        <v>0</v>
      </c>
      <c r="H2636" s="111" t="str">
        <f>IFERROR(VLOOKUP(Table1722[[#This Row],[Bukti]],'Un nOTA'!$A$4:$K$5003,10,FALSE),"")</f>
        <v/>
      </c>
      <c r="I2636" s="112" t="str">
        <f>IFERROR(VLOOKUP(Table1722[[#This Row],[Bukti]],Table13[#Data],11,FALSE),"")</f>
        <v/>
      </c>
    </row>
    <row r="2637" spans="1:9" ht="19.5" hidden="1" customHeight="1" x14ac:dyDescent="0.2">
      <c r="A2637" s="105" t="str">
        <f>IF(D2637=1,COUNTIF($D$10:D2637,1)," ")</f>
        <v xml:space="preserve"> </v>
      </c>
      <c r="B2637" s="106">
        <f>COPY!AR2629</f>
        <v>0</v>
      </c>
      <c r="C2637" s="107">
        <f>COPY!AC2629</f>
        <v>0</v>
      </c>
      <c r="D2637" s="107" t="str">
        <f>IF(LEN(Table1722[[#This Row],[Uraian]])&gt;2,1," ")</f>
        <v xml:space="preserve"> </v>
      </c>
      <c r="E2637" s="113" t="str">
        <f>IF(Table1722[[#This Row],[Lawan Transaksi]]="CV AGUNG KARYA",COUNTIF($I$10:I2637,"CV AGUNG KARYA")," ")</f>
        <v xml:space="preserve"> </v>
      </c>
      <c r="F2637" s="107" t="str">
        <f>IF(LEN(Table1722[[#This Row],[Uraian]])&gt;2,TRIM(RIGHT(SUBSTITUTE(TRIM(C2637)," ",REPT(" ",255)),255))," ")</f>
        <v xml:space="preserve"> </v>
      </c>
      <c r="G2637" s="110">
        <f>COPY!Z2629</f>
        <v>0</v>
      </c>
      <c r="H2637" s="111" t="str">
        <f>IFERROR(VLOOKUP(Table1722[[#This Row],[Bukti]],'Un nOTA'!$A$4:$K$5003,10,FALSE),"")</f>
        <v/>
      </c>
      <c r="I2637" s="112" t="str">
        <f>IFERROR(VLOOKUP(Table1722[[#This Row],[Bukti]],Table13[#Data],11,FALSE),"")</f>
        <v/>
      </c>
    </row>
    <row r="2638" spans="1:9" ht="19.5" hidden="1" customHeight="1" x14ac:dyDescent="0.2">
      <c r="A2638" s="105" t="str">
        <f>IF(D2638=1,COUNTIF($D$10:D2638,1)," ")</f>
        <v xml:space="preserve"> </v>
      </c>
      <c r="B2638" s="106">
        <f>COPY!AR2630</f>
        <v>0</v>
      </c>
      <c r="C2638" s="107">
        <f>COPY!AC2630</f>
        <v>0</v>
      </c>
      <c r="D2638" s="107" t="str">
        <f>IF(LEN(Table1722[[#This Row],[Uraian]])&gt;2,1," ")</f>
        <v xml:space="preserve"> </v>
      </c>
      <c r="E2638" s="113" t="str">
        <f>IF(Table1722[[#This Row],[Lawan Transaksi]]="CV AGUNG KARYA",COUNTIF($I$10:I2638,"CV AGUNG KARYA")," ")</f>
        <v xml:space="preserve"> </v>
      </c>
      <c r="F2638" s="107" t="str">
        <f>IF(LEN(Table1722[[#This Row],[Uraian]])&gt;2,TRIM(RIGHT(SUBSTITUTE(TRIM(C2638)," ",REPT(" ",255)),255))," ")</f>
        <v xml:space="preserve"> </v>
      </c>
      <c r="G2638" s="110">
        <f>COPY!Z2630</f>
        <v>0</v>
      </c>
      <c r="H2638" s="111" t="str">
        <f>IFERROR(VLOOKUP(Table1722[[#This Row],[Bukti]],'Un nOTA'!$A$4:$K$5003,10,FALSE),"")</f>
        <v/>
      </c>
      <c r="I2638" s="112" t="str">
        <f>IFERROR(VLOOKUP(Table1722[[#This Row],[Bukti]],Table13[#Data],11,FALSE),"")</f>
        <v/>
      </c>
    </row>
    <row r="2639" spans="1:9" ht="19.5" hidden="1" customHeight="1" x14ac:dyDescent="0.2">
      <c r="A2639" s="105" t="str">
        <f>IF(D2639=1,COUNTIF($D$10:D2639,1)," ")</f>
        <v xml:space="preserve"> </v>
      </c>
      <c r="B2639" s="106">
        <f>COPY!AR2631</f>
        <v>0</v>
      </c>
      <c r="C2639" s="107">
        <f>COPY!AC2631</f>
        <v>0</v>
      </c>
      <c r="D2639" s="107" t="str">
        <f>IF(LEN(Table1722[[#This Row],[Uraian]])&gt;2,1," ")</f>
        <v xml:space="preserve"> </v>
      </c>
      <c r="E2639" s="113" t="str">
        <f>IF(Table1722[[#This Row],[Lawan Transaksi]]="CV AGUNG KARYA",COUNTIF($I$10:I2639,"CV AGUNG KARYA")," ")</f>
        <v xml:space="preserve"> </v>
      </c>
      <c r="F2639" s="107" t="str">
        <f>IF(LEN(Table1722[[#This Row],[Uraian]])&gt;2,TRIM(RIGHT(SUBSTITUTE(TRIM(C2639)," ",REPT(" ",255)),255))," ")</f>
        <v xml:space="preserve"> </v>
      </c>
      <c r="G2639" s="110">
        <f>COPY!Z2631</f>
        <v>0</v>
      </c>
      <c r="H2639" s="111" t="str">
        <f>IFERROR(VLOOKUP(Table1722[[#This Row],[Bukti]],'Un nOTA'!$A$4:$K$5003,10,FALSE),"")</f>
        <v/>
      </c>
      <c r="I2639" s="112" t="str">
        <f>IFERROR(VLOOKUP(Table1722[[#This Row],[Bukti]],Table13[#Data],11,FALSE),"")</f>
        <v/>
      </c>
    </row>
    <row r="2640" spans="1:9" ht="19.5" hidden="1" customHeight="1" x14ac:dyDescent="0.2">
      <c r="A2640" s="105" t="str">
        <f>IF(D2640=1,COUNTIF($D$10:D2640,1)," ")</f>
        <v xml:space="preserve"> </v>
      </c>
      <c r="B2640" s="106">
        <f>COPY!AR2632</f>
        <v>0</v>
      </c>
      <c r="C2640" s="107">
        <f>COPY!AC2632</f>
        <v>0</v>
      </c>
      <c r="D2640" s="107" t="str">
        <f>IF(LEN(Table1722[[#This Row],[Uraian]])&gt;2,1," ")</f>
        <v xml:space="preserve"> </v>
      </c>
      <c r="E2640" s="113" t="str">
        <f>IF(Table1722[[#This Row],[Lawan Transaksi]]="CV AGUNG KARYA",COUNTIF($I$10:I2640,"CV AGUNG KARYA")," ")</f>
        <v xml:space="preserve"> </v>
      </c>
      <c r="F2640" s="107" t="str">
        <f>IF(LEN(Table1722[[#This Row],[Uraian]])&gt;2,TRIM(RIGHT(SUBSTITUTE(TRIM(C2640)," ",REPT(" ",255)),255))," ")</f>
        <v xml:space="preserve"> </v>
      </c>
      <c r="G2640" s="110">
        <f>COPY!Z2632</f>
        <v>0</v>
      </c>
      <c r="H2640" s="111" t="str">
        <f>IFERROR(VLOOKUP(Table1722[[#This Row],[Bukti]],'Un nOTA'!$A$4:$K$5003,10,FALSE),"")</f>
        <v/>
      </c>
      <c r="I2640" s="112" t="str">
        <f>IFERROR(VLOOKUP(Table1722[[#This Row],[Bukti]],Table13[#Data],11,FALSE),"")</f>
        <v/>
      </c>
    </row>
    <row r="2641" spans="1:9" ht="19.5" hidden="1" customHeight="1" x14ac:dyDescent="0.2">
      <c r="A2641" s="105" t="str">
        <f>IF(D2641=1,COUNTIF($D$10:D2641,1)," ")</f>
        <v xml:space="preserve"> </v>
      </c>
      <c r="B2641" s="106">
        <f>COPY!AR2633</f>
        <v>0</v>
      </c>
      <c r="C2641" s="107">
        <f>COPY!AC2633</f>
        <v>0</v>
      </c>
      <c r="D2641" s="107" t="str">
        <f>IF(LEN(Table1722[[#This Row],[Uraian]])&gt;2,1," ")</f>
        <v xml:space="preserve"> </v>
      </c>
      <c r="E2641" s="113" t="str">
        <f>IF(Table1722[[#This Row],[Lawan Transaksi]]="CV AGUNG KARYA",COUNTIF($I$10:I2641,"CV AGUNG KARYA")," ")</f>
        <v xml:space="preserve"> </v>
      </c>
      <c r="F2641" s="107" t="str">
        <f>IF(LEN(Table1722[[#This Row],[Uraian]])&gt;2,TRIM(RIGHT(SUBSTITUTE(TRIM(C2641)," ",REPT(" ",255)),255))," ")</f>
        <v xml:space="preserve"> </v>
      </c>
      <c r="G2641" s="110">
        <f>COPY!Z2633</f>
        <v>0</v>
      </c>
      <c r="H2641" s="111" t="str">
        <f>IFERROR(VLOOKUP(Table1722[[#This Row],[Bukti]],'Un nOTA'!$A$4:$K$5003,10,FALSE),"")</f>
        <v/>
      </c>
      <c r="I2641" s="112" t="str">
        <f>IFERROR(VLOOKUP(Table1722[[#This Row],[Bukti]],Table13[#Data],11,FALSE),"")</f>
        <v/>
      </c>
    </row>
    <row r="2642" spans="1:9" ht="19.5" hidden="1" customHeight="1" x14ac:dyDescent="0.2">
      <c r="A2642" s="105" t="str">
        <f>IF(D2642=1,COUNTIF($D$10:D2642,1)," ")</f>
        <v xml:space="preserve"> </v>
      </c>
      <c r="B2642" s="106">
        <f>COPY!AR2634</f>
        <v>0</v>
      </c>
      <c r="C2642" s="107">
        <f>COPY!AC2634</f>
        <v>0</v>
      </c>
      <c r="D2642" s="107" t="str">
        <f>IF(LEN(Table1722[[#This Row],[Uraian]])&gt;2,1," ")</f>
        <v xml:space="preserve"> </v>
      </c>
      <c r="E2642" s="113" t="str">
        <f>IF(Table1722[[#This Row],[Lawan Transaksi]]="CV AGUNG KARYA",COUNTIF($I$10:I2642,"CV AGUNG KARYA")," ")</f>
        <v xml:space="preserve"> </v>
      </c>
      <c r="F2642" s="107" t="str">
        <f>IF(LEN(Table1722[[#This Row],[Uraian]])&gt;2,TRIM(RIGHT(SUBSTITUTE(TRIM(C2642)," ",REPT(" ",255)),255))," ")</f>
        <v xml:space="preserve"> </v>
      </c>
      <c r="G2642" s="110">
        <f>COPY!Z2634</f>
        <v>0</v>
      </c>
      <c r="H2642" s="111" t="str">
        <f>IFERROR(VLOOKUP(Table1722[[#This Row],[Bukti]],'Un nOTA'!$A$4:$K$5003,10,FALSE),"")</f>
        <v/>
      </c>
      <c r="I2642" s="112" t="str">
        <f>IFERROR(VLOOKUP(Table1722[[#This Row],[Bukti]],Table13[#Data],11,FALSE),"")</f>
        <v/>
      </c>
    </row>
    <row r="2643" spans="1:9" ht="19.5" hidden="1" customHeight="1" x14ac:dyDescent="0.2">
      <c r="A2643" s="105" t="str">
        <f>IF(D2643=1,COUNTIF($D$10:D2643,1)," ")</f>
        <v xml:space="preserve"> </v>
      </c>
      <c r="B2643" s="106">
        <f>COPY!AR2635</f>
        <v>0</v>
      </c>
      <c r="C2643" s="107">
        <f>COPY!AC2635</f>
        <v>0</v>
      </c>
      <c r="D2643" s="107" t="str">
        <f>IF(LEN(Table1722[[#This Row],[Uraian]])&gt;2,1," ")</f>
        <v xml:space="preserve"> </v>
      </c>
      <c r="E2643" s="113" t="str">
        <f>IF(Table1722[[#This Row],[Lawan Transaksi]]="CV AGUNG KARYA",COUNTIF($I$10:I2643,"CV AGUNG KARYA")," ")</f>
        <v xml:space="preserve"> </v>
      </c>
      <c r="F2643" s="107" t="str">
        <f>IF(LEN(Table1722[[#This Row],[Uraian]])&gt;2,TRIM(RIGHT(SUBSTITUTE(TRIM(C2643)," ",REPT(" ",255)),255))," ")</f>
        <v xml:space="preserve"> </v>
      </c>
      <c r="G2643" s="110">
        <f>COPY!Z2635</f>
        <v>0</v>
      </c>
      <c r="H2643" s="111" t="str">
        <f>IFERROR(VLOOKUP(Table1722[[#This Row],[Bukti]],'Un nOTA'!$A$4:$K$5003,10,FALSE),"")</f>
        <v/>
      </c>
      <c r="I2643" s="112" t="str">
        <f>IFERROR(VLOOKUP(Table1722[[#This Row],[Bukti]],Table13[#Data],11,FALSE),"")</f>
        <v/>
      </c>
    </row>
    <row r="2644" spans="1:9" ht="19.5" hidden="1" customHeight="1" x14ac:dyDescent="0.2">
      <c r="A2644" s="105" t="str">
        <f>IF(D2644=1,COUNTIF($D$10:D2644,1)," ")</f>
        <v xml:space="preserve"> </v>
      </c>
      <c r="B2644" s="106">
        <f>COPY!AR2636</f>
        <v>0</v>
      </c>
      <c r="C2644" s="107">
        <f>COPY!AC2636</f>
        <v>0</v>
      </c>
      <c r="D2644" s="107" t="str">
        <f>IF(LEN(Table1722[[#This Row],[Uraian]])&gt;2,1," ")</f>
        <v xml:space="preserve"> </v>
      </c>
      <c r="E2644" s="113" t="str">
        <f>IF(Table1722[[#This Row],[Lawan Transaksi]]="CV AGUNG KARYA",COUNTIF($I$10:I2644,"CV AGUNG KARYA")," ")</f>
        <v xml:space="preserve"> </v>
      </c>
      <c r="F2644" s="107" t="str">
        <f>IF(LEN(Table1722[[#This Row],[Uraian]])&gt;2,TRIM(RIGHT(SUBSTITUTE(TRIM(C2644)," ",REPT(" ",255)),255))," ")</f>
        <v xml:space="preserve"> </v>
      </c>
      <c r="G2644" s="110">
        <f>COPY!Z2636</f>
        <v>0</v>
      </c>
      <c r="H2644" s="111" t="str">
        <f>IFERROR(VLOOKUP(Table1722[[#This Row],[Bukti]],'Un nOTA'!$A$4:$K$5003,10,FALSE),"")</f>
        <v/>
      </c>
      <c r="I2644" s="112" t="str">
        <f>IFERROR(VLOOKUP(Table1722[[#This Row],[Bukti]],Table13[#Data],11,FALSE),"")</f>
        <v/>
      </c>
    </row>
    <row r="2645" spans="1:9" ht="19.5" hidden="1" customHeight="1" x14ac:dyDescent="0.2">
      <c r="A2645" s="105" t="str">
        <f>IF(D2645=1,COUNTIF($D$10:D2645,1)," ")</f>
        <v xml:space="preserve"> </v>
      </c>
      <c r="B2645" s="106">
        <f>COPY!AR2637</f>
        <v>0</v>
      </c>
      <c r="C2645" s="107">
        <f>COPY!AC2637</f>
        <v>0</v>
      </c>
      <c r="D2645" s="107" t="str">
        <f>IF(LEN(Table1722[[#This Row],[Uraian]])&gt;2,1," ")</f>
        <v xml:space="preserve"> </v>
      </c>
      <c r="E2645" s="113" t="str">
        <f>IF(Table1722[[#This Row],[Lawan Transaksi]]="CV AGUNG KARYA",COUNTIF($I$10:I2645,"CV AGUNG KARYA")," ")</f>
        <v xml:space="preserve"> </v>
      </c>
      <c r="F2645" s="107" t="str">
        <f>IF(LEN(Table1722[[#This Row],[Uraian]])&gt;2,TRIM(RIGHT(SUBSTITUTE(TRIM(C2645)," ",REPT(" ",255)),255))," ")</f>
        <v xml:space="preserve"> </v>
      </c>
      <c r="G2645" s="110">
        <f>COPY!Z2637</f>
        <v>0</v>
      </c>
      <c r="H2645" s="111" t="str">
        <f>IFERROR(VLOOKUP(Table1722[[#This Row],[Bukti]],'Un nOTA'!$A$4:$K$5003,10,FALSE),"")</f>
        <v/>
      </c>
      <c r="I2645" s="112" t="str">
        <f>IFERROR(VLOOKUP(Table1722[[#This Row],[Bukti]],Table13[#Data],11,FALSE),"")</f>
        <v/>
      </c>
    </row>
    <row r="2646" spans="1:9" ht="19.5" hidden="1" customHeight="1" x14ac:dyDescent="0.2">
      <c r="A2646" s="105" t="str">
        <f>IF(D2646=1,COUNTIF($D$10:D2646,1)," ")</f>
        <v xml:space="preserve"> </v>
      </c>
      <c r="B2646" s="106">
        <f>COPY!AR2638</f>
        <v>0</v>
      </c>
      <c r="C2646" s="107">
        <f>COPY!AC2638</f>
        <v>0</v>
      </c>
      <c r="D2646" s="107" t="str">
        <f>IF(LEN(Table1722[[#This Row],[Uraian]])&gt;2,1," ")</f>
        <v xml:space="preserve"> </v>
      </c>
      <c r="E2646" s="113" t="str">
        <f>IF(Table1722[[#This Row],[Lawan Transaksi]]="CV AGUNG KARYA",COUNTIF($I$10:I2646,"CV AGUNG KARYA")," ")</f>
        <v xml:space="preserve"> </v>
      </c>
      <c r="F2646" s="107" t="str">
        <f>IF(LEN(Table1722[[#This Row],[Uraian]])&gt;2,TRIM(RIGHT(SUBSTITUTE(TRIM(C2646)," ",REPT(" ",255)),255))," ")</f>
        <v xml:space="preserve"> </v>
      </c>
      <c r="G2646" s="110">
        <f>COPY!Z2638</f>
        <v>0</v>
      </c>
      <c r="H2646" s="111" t="str">
        <f>IFERROR(VLOOKUP(Table1722[[#This Row],[Bukti]],'Un nOTA'!$A$4:$K$5003,10,FALSE),"")</f>
        <v/>
      </c>
      <c r="I2646" s="112" t="str">
        <f>IFERROR(VLOOKUP(Table1722[[#This Row],[Bukti]],Table13[#Data],11,FALSE),"")</f>
        <v/>
      </c>
    </row>
    <row r="2647" spans="1:9" ht="19.5" hidden="1" customHeight="1" x14ac:dyDescent="0.2">
      <c r="A2647" s="105" t="str">
        <f>IF(D2647=1,COUNTIF($D$10:D2647,1)," ")</f>
        <v xml:space="preserve"> </v>
      </c>
      <c r="B2647" s="106">
        <f>COPY!AR2639</f>
        <v>0</v>
      </c>
      <c r="C2647" s="107">
        <f>COPY!AC2639</f>
        <v>0</v>
      </c>
      <c r="D2647" s="107" t="str">
        <f>IF(LEN(Table1722[[#This Row],[Uraian]])&gt;2,1," ")</f>
        <v xml:space="preserve"> </v>
      </c>
      <c r="E2647" s="113" t="str">
        <f>IF(Table1722[[#This Row],[Lawan Transaksi]]="CV AGUNG KARYA",COUNTIF($I$10:I2647,"CV AGUNG KARYA")," ")</f>
        <v xml:space="preserve"> </v>
      </c>
      <c r="F2647" s="107" t="str">
        <f>IF(LEN(Table1722[[#This Row],[Uraian]])&gt;2,TRIM(RIGHT(SUBSTITUTE(TRIM(C2647)," ",REPT(" ",255)),255))," ")</f>
        <v xml:space="preserve"> </v>
      </c>
      <c r="G2647" s="110">
        <f>COPY!Z2639</f>
        <v>0</v>
      </c>
      <c r="H2647" s="111" t="str">
        <f>IFERROR(VLOOKUP(Table1722[[#This Row],[Bukti]],'Un nOTA'!$A$4:$K$5003,10,FALSE),"")</f>
        <v/>
      </c>
      <c r="I2647" s="112" t="str">
        <f>IFERROR(VLOOKUP(Table1722[[#This Row],[Bukti]],Table13[#Data],11,FALSE),"")</f>
        <v/>
      </c>
    </row>
    <row r="2648" spans="1:9" ht="19.5" hidden="1" customHeight="1" x14ac:dyDescent="0.2">
      <c r="A2648" s="105" t="str">
        <f>IF(D2648=1,COUNTIF($D$10:D2648,1)," ")</f>
        <v xml:space="preserve"> </v>
      </c>
      <c r="B2648" s="106">
        <f>COPY!AR2640</f>
        <v>0</v>
      </c>
      <c r="C2648" s="107">
        <f>COPY!AC2640</f>
        <v>0</v>
      </c>
      <c r="D2648" s="107" t="str">
        <f>IF(LEN(Table1722[[#This Row],[Uraian]])&gt;2,1," ")</f>
        <v xml:space="preserve"> </v>
      </c>
      <c r="E2648" s="113" t="str">
        <f>IF(Table1722[[#This Row],[Lawan Transaksi]]="CV AGUNG KARYA",COUNTIF($I$10:I2648,"CV AGUNG KARYA")," ")</f>
        <v xml:space="preserve"> </v>
      </c>
      <c r="F2648" s="107" t="str">
        <f>IF(LEN(Table1722[[#This Row],[Uraian]])&gt;2,TRIM(RIGHT(SUBSTITUTE(TRIM(C2648)," ",REPT(" ",255)),255))," ")</f>
        <v xml:space="preserve"> </v>
      </c>
      <c r="G2648" s="110">
        <f>COPY!Z2640</f>
        <v>0</v>
      </c>
      <c r="H2648" s="111" t="str">
        <f>IFERROR(VLOOKUP(Table1722[[#This Row],[Bukti]],'Un nOTA'!$A$4:$K$5003,10,FALSE),"")</f>
        <v/>
      </c>
      <c r="I2648" s="112" t="str">
        <f>IFERROR(VLOOKUP(Table1722[[#This Row],[Bukti]],Table13[#Data],11,FALSE),"")</f>
        <v/>
      </c>
    </row>
    <row r="2649" spans="1:9" ht="19.5" hidden="1" customHeight="1" x14ac:dyDescent="0.2">
      <c r="A2649" s="105" t="str">
        <f>IF(D2649=1,COUNTIF($D$10:D2649,1)," ")</f>
        <v xml:space="preserve"> </v>
      </c>
      <c r="B2649" s="106">
        <f>COPY!AR2641</f>
        <v>0</v>
      </c>
      <c r="C2649" s="107">
        <f>COPY!AC2641</f>
        <v>0</v>
      </c>
      <c r="D2649" s="107" t="str">
        <f>IF(LEN(Table1722[[#This Row],[Uraian]])&gt;2,1," ")</f>
        <v xml:space="preserve"> </v>
      </c>
      <c r="E2649" s="113" t="str">
        <f>IF(Table1722[[#This Row],[Lawan Transaksi]]="CV AGUNG KARYA",COUNTIF($I$10:I2649,"CV AGUNG KARYA")," ")</f>
        <v xml:space="preserve"> </v>
      </c>
      <c r="F2649" s="107" t="str">
        <f>IF(LEN(Table1722[[#This Row],[Uraian]])&gt;2,TRIM(RIGHT(SUBSTITUTE(TRIM(C2649)," ",REPT(" ",255)),255))," ")</f>
        <v xml:space="preserve"> </v>
      </c>
      <c r="G2649" s="110">
        <f>COPY!Z2641</f>
        <v>0</v>
      </c>
      <c r="H2649" s="111" t="str">
        <f>IFERROR(VLOOKUP(Table1722[[#This Row],[Bukti]],'Un nOTA'!$A$4:$K$5003,10,FALSE),"")</f>
        <v/>
      </c>
      <c r="I2649" s="112" t="str">
        <f>IFERROR(VLOOKUP(Table1722[[#This Row],[Bukti]],Table13[#Data],11,FALSE),"")</f>
        <v/>
      </c>
    </row>
    <row r="2650" spans="1:9" ht="19.5" hidden="1" customHeight="1" x14ac:dyDescent="0.2">
      <c r="A2650" s="105" t="str">
        <f>IF(D2650=1,COUNTIF($D$10:D2650,1)," ")</f>
        <v xml:space="preserve"> </v>
      </c>
      <c r="B2650" s="106">
        <f>COPY!AR2642</f>
        <v>0</v>
      </c>
      <c r="C2650" s="107">
        <f>COPY!AC2642</f>
        <v>0</v>
      </c>
      <c r="D2650" s="107" t="str">
        <f>IF(LEN(Table1722[[#This Row],[Uraian]])&gt;2,1," ")</f>
        <v xml:space="preserve"> </v>
      </c>
      <c r="E2650" s="113" t="str">
        <f>IF(Table1722[[#This Row],[Lawan Transaksi]]="CV AGUNG KARYA",COUNTIF($I$10:I2650,"CV AGUNG KARYA")," ")</f>
        <v xml:space="preserve"> </v>
      </c>
      <c r="F2650" s="107" t="str">
        <f>IF(LEN(Table1722[[#This Row],[Uraian]])&gt;2,TRIM(RIGHT(SUBSTITUTE(TRIM(C2650)," ",REPT(" ",255)),255))," ")</f>
        <v xml:space="preserve"> </v>
      </c>
      <c r="G2650" s="110">
        <f>COPY!Z2642</f>
        <v>0</v>
      </c>
      <c r="H2650" s="111" t="str">
        <f>IFERROR(VLOOKUP(Table1722[[#This Row],[Bukti]],'Un nOTA'!$A$4:$K$5003,10,FALSE),"")</f>
        <v/>
      </c>
      <c r="I2650" s="112" t="str">
        <f>IFERROR(VLOOKUP(Table1722[[#This Row],[Bukti]],Table13[#Data],11,FALSE),"")</f>
        <v/>
      </c>
    </row>
    <row r="2651" spans="1:9" ht="19.5" hidden="1" customHeight="1" x14ac:dyDescent="0.2">
      <c r="A2651" s="105" t="str">
        <f>IF(D2651=1,COUNTIF($D$10:D2651,1)," ")</f>
        <v xml:space="preserve"> </v>
      </c>
      <c r="B2651" s="106">
        <f>COPY!AR2643</f>
        <v>0</v>
      </c>
      <c r="C2651" s="107">
        <f>COPY!AC2643</f>
        <v>0</v>
      </c>
      <c r="D2651" s="107" t="str">
        <f>IF(LEN(Table1722[[#This Row],[Uraian]])&gt;2,1," ")</f>
        <v xml:space="preserve"> </v>
      </c>
      <c r="E2651" s="113" t="str">
        <f>IF(Table1722[[#This Row],[Lawan Transaksi]]="CV AGUNG KARYA",COUNTIF($I$10:I2651,"CV AGUNG KARYA")," ")</f>
        <v xml:space="preserve"> </v>
      </c>
      <c r="F2651" s="107" t="str">
        <f>IF(LEN(Table1722[[#This Row],[Uraian]])&gt;2,TRIM(RIGHT(SUBSTITUTE(TRIM(C2651)," ",REPT(" ",255)),255))," ")</f>
        <v xml:space="preserve"> </v>
      </c>
      <c r="G2651" s="110">
        <f>COPY!Z2643</f>
        <v>0</v>
      </c>
      <c r="H2651" s="111" t="str">
        <f>IFERROR(VLOOKUP(Table1722[[#This Row],[Bukti]],'Un nOTA'!$A$4:$K$5003,10,FALSE),"")</f>
        <v/>
      </c>
      <c r="I2651" s="112" t="str">
        <f>IFERROR(VLOOKUP(Table1722[[#This Row],[Bukti]],Table13[#Data],11,FALSE),"")</f>
        <v/>
      </c>
    </row>
    <row r="2652" spans="1:9" ht="19.5" hidden="1" customHeight="1" x14ac:dyDescent="0.2">
      <c r="A2652" s="105" t="str">
        <f>IF(D2652=1,COUNTIF($D$10:D2652,1)," ")</f>
        <v xml:space="preserve"> </v>
      </c>
      <c r="B2652" s="106">
        <f>COPY!AR2644</f>
        <v>0</v>
      </c>
      <c r="C2652" s="107">
        <f>COPY!AC2644</f>
        <v>0</v>
      </c>
      <c r="D2652" s="107" t="str">
        <f>IF(LEN(Table1722[[#This Row],[Uraian]])&gt;2,1," ")</f>
        <v xml:space="preserve"> </v>
      </c>
      <c r="E2652" s="113" t="str">
        <f>IF(Table1722[[#This Row],[Lawan Transaksi]]="CV AGUNG KARYA",COUNTIF($I$10:I2652,"CV AGUNG KARYA")," ")</f>
        <v xml:space="preserve"> </v>
      </c>
      <c r="F2652" s="107" t="str">
        <f>IF(LEN(Table1722[[#This Row],[Uraian]])&gt;2,TRIM(RIGHT(SUBSTITUTE(TRIM(C2652)," ",REPT(" ",255)),255))," ")</f>
        <v xml:space="preserve"> </v>
      </c>
      <c r="G2652" s="110">
        <f>COPY!Z2644</f>
        <v>0</v>
      </c>
      <c r="H2652" s="111" t="str">
        <f>IFERROR(VLOOKUP(Table1722[[#This Row],[Bukti]],'Un nOTA'!$A$4:$K$5003,10,FALSE),"")</f>
        <v/>
      </c>
      <c r="I2652" s="112" t="str">
        <f>IFERROR(VLOOKUP(Table1722[[#This Row],[Bukti]],Table13[#Data],11,FALSE),"")</f>
        <v/>
      </c>
    </row>
    <row r="2653" spans="1:9" ht="19.5" hidden="1" customHeight="1" x14ac:dyDescent="0.2">
      <c r="A2653" s="105" t="str">
        <f>IF(D2653=1,COUNTIF($D$10:D2653,1)," ")</f>
        <v xml:space="preserve"> </v>
      </c>
      <c r="B2653" s="106">
        <f>COPY!AR2645</f>
        <v>0</v>
      </c>
      <c r="C2653" s="107">
        <f>COPY!AC2645</f>
        <v>0</v>
      </c>
      <c r="D2653" s="107" t="str">
        <f>IF(LEN(Table1722[[#This Row],[Uraian]])&gt;2,1," ")</f>
        <v xml:space="preserve"> </v>
      </c>
      <c r="E2653" s="113" t="str">
        <f>IF(Table1722[[#This Row],[Lawan Transaksi]]="CV AGUNG KARYA",COUNTIF($I$10:I2653,"CV AGUNG KARYA")," ")</f>
        <v xml:space="preserve"> </v>
      </c>
      <c r="F2653" s="107" t="str">
        <f>IF(LEN(Table1722[[#This Row],[Uraian]])&gt;2,TRIM(RIGHT(SUBSTITUTE(TRIM(C2653)," ",REPT(" ",255)),255))," ")</f>
        <v xml:space="preserve"> </v>
      </c>
      <c r="G2653" s="110">
        <f>COPY!Z2645</f>
        <v>0</v>
      </c>
      <c r="H2653" s="111" t="str">
        <f>IFERROR(VLOOKUP(Table1722[[#This Row],[Bukti]],'Un nOTA'!$A$4:$K$5003,10,FALSE),"")</f>
        <v/>
      </c>
      <c r="I2653" s="112" t="str">
        <f>IFERROR(VLOOKUP(Table1722[[#This Row],[Bukti]],Table13[#Data],11,FALSE),"")</f>
        <v/>
      </c>
    </row>
    <row r="2654" spans="1:9" ht="19.5" hidden="1" customHeight="1" x14ac:dyDescent="0.2">
      <c r="A2654" s="105" t="str">
        <f>IF(D2654=1,COUNTIF($D$10:D2654,1)," ")</f>
        <v xml:space="preserve"> </v>
      </c>
      <c r="B2654" s="106">
        <f>COPY!AR2646</f>
        <v>0</v>
      </c>
      <c r="C2654" s="107">
        <f>COPY!AC2646</f>
        <v>0</v>
      </c>
      <c r="D2654" s="107" t="str">
        <f>IF(LEN(Table1722[[#This Row],[Uraian]])&gt;2,1," ")</f>
        <v xml:space="preserve"> </v>
      </c>
      <c r="E2654" s="113" t="str">
        <f>IF(Table1722[[#This Row],[Lawan Transaksi]]="CV AGUNG KARYA",COUNTIF($I$10:I2654,"CV AGUNG KARYA")," ")</f>
        <v xml:space="preserve"> </v>
      </c>
      <c r="F2654" s="107" t="str">
        <f>IF(LEN(Table1722[[#This Row],[Uraian]])&gt;2,TRIM(RIGHT(SUBSTITUTE(TRIM(C2654)," ",REPT(" ",255)),255))," ")</f>
        <v xml:space="preserve"> </v>
      </c>
      <c r="G2654" s="110">
        <f>COPY!Z2646</f>
        <v>0</v>
      </c>
      <c r="H2654" s="111" t="str">
        <f>IFERROR(VLOOKUP(Table1722[[#This Row],[Bukti]],'Un nOTA'!$A$4:$K$5003,10,FALSE),"")</f>
        <v/>
      </c>
      <c r="I2654" s="112" t="str">
        <f>IFERROR(VLOOKUP(Table1722[[#This Row],[Bukti]],Table13[#Data],11,FALSE),"")</f>
        <v/>
      </c>
    </row>
    <row r="2655" spans="1:9" ht="19.5" hidden="1" customHeight="1" x14ac:dyDescent="0.2">
      <c r="A2655" s="105" t="str">
        <f>IF(D2655=1,COUNTIF($D$10:D2655,1)," ")</f>
        <v xml:space="preserve"> </v>
      </c>
      <c r="B2655" s="106">
        <f>COPY!AR2647</f>
        <v>0</v>
      </c>
      <c r="C2655" s="107">
        <f>COPY!AC2647</f>
        <v>0</v>
      </c>
      <c r="D2655" s="107" t="str">
        <f>IF(LEN(Table1722[[#This Row],[Uraian]])&gt;2,1," ")</f>
        <v xml:space="preserve"> </v>
      </c>
      <c r="E2655" s="113" t="str">
        <f>IF(Table1722[[#This Row],[Lawan Transaksi]]="CV AGUNG KARYA",COUNTIF($I$10:I2655,"CV AGUNG KARYA")," ")</f>
        <v xml:space="preserve"> </v>
      </c>
      <c r="F2655" s="107" t="str">
        <f>IF(LEN(Table1722[[#This Row],[Uraian]])&gt;2,TRIM(RIGHT(SUBSTITUTE(TRIM(C2655)," ",REPT(" ",255)),255))," ")</f>
        <v xml:space="preserve"> </v>
      </c>
      <c r="G2655" s="110">
        <f>COPY!Z2647</f>
        <v>0</v>
      </c>
      <c r="H2655" s="111" t="str">
        <f>IFERROR(VLOOKUP(Table1722[[#This Row],[Bukti]],'Un nOTA'!$A$4:$K$5003,10,FALSE),"")</f>
        <v/>
      </c>
      <c r="I2655" s="112" t="str">
        <f>IFERROR(VLOOKUP(Table1722[[#This Row],[Bukti]],Table13[#Data],11,FALSE),"")</f>
        <v/>
      </c>
    </row>
    <row r="2656" spans="1:9" ht="19.5" hidden="1" customHeight="1" x14ac:dyDescent="0.2">
      <c r="A2656" s="105" t="str">
        <f>IF(D2656=1,COUNTIF($D$10:D2656,1)," ")</f>
        <v xml:space="preserve"> </v>
      </c>
      <c r="B2656" s="106">
        <f>COPY!AR2648</f>
        <v>0</v>
      </c>
      <c r="C2656" s="107">
        <f>COPY!AC2648</f>
        <v>0</v>
      </c>
      <c r="D2656" s="107" t="str">
        <f>IF(LEN(Table1722[[#This Row],[Uraian]])&gt;2,1," ")</f>
        <v xml:space="preserve"> </v>
      </c>
      <c r="E2656" s="113" t="str">
        <f>IF(Table1722[[#This Row],[Lawan Transaksi]]="CV AGUNG KARYA",COUNTIF($I$10:I2656,"CV AGUNG KARYA")," ")</f>
        <v xml:space="preserve"> </v>
      </c>
      <c r="F2656" s="107" t="str">
        <f>IF(LEN(Table1722[[#This Row],[Uraian]])&gt;2,TRIM(RIGHT(SUBSTITUTE(TRIM(C2656)," ",REPT(" ",255)),255))," ")</f>
        <v xml:space="preserve"> </v>
      </c>
      <c r="G2656" s="110">
        <f>COPY!Z2648</f>
        <v>0</v>
      </c>
      <c r="H2656" s="111" t="str">
        <f>IFERROR(VLOOKUP(Table1722[[#This Row],[Bukti]],'Un nOTA'!$A$4:$K$5003,10,FALSE),"")</f>
        <v/>
      </c>
      <c r="I2656" s="112" t="str">
        <f>IFERROR(VLOOKUP(Table1722[[#This Row],[Bukti]],Table13[#Data],11,FALSE),"")</f>
        <v/>
      </c>
    </row>
    <row r="2657" spans="1:9" ht="19.5" hidden="1" customHeight="1" x14ac:dyDescent="0.2">
      <c r="A2657" s="105" t="str">
        <f>IF(D2657=1,COUNTIF($D$10:D2657,1)," ")</f>
        <v xml:space="preserve"> </v>
      </c>
      <c r="B2657" s="106">
        <f>COPY!AR2649</f>
        <v>0</v>
      </c>
      <c r="C2657" s="107">
        <f>COPY!AC2649</f>
        <v>0</v>
      </c>
      <c r="D2657" s="107" t="str">
        <f>IF(LEN(Table1722[[#This Row],[Uraian]])&gt;2,1," ")</f>
        <v xml:space="preserve"> </v>
      </c>
      <c r="E2657" s="113" t="str">
        <f>IF(Table1722[[#This Row],[Lawan Transaksi]]="CV AGUNG KARYA",COUNTIF($I$10:I2657,"CV AGUNG KARYA")," ")</f>
        <v xml:space="preserve"> </v>
      </c>
      <c r="F2657" s="107" t="str">
        <f>IF(LEN(Table1722[[#This Row],[Uraian]])&gt;2,TRIM(RIGHT(SUBSTITUTE(TRIM(C2657)," ",REPT(" ",255)),255))," ")</f>
        <v xml:space="preserve"> </v>
      </c>
      <c r="G2657" s="110">
        <f>COPY!Z2649</f>
        <v>0</v>
      </c>
      <c r="H2657" s="111" t="str">
        <f>IFERROR(VLOOKUP(Table1722[[#This Row],[Bukti]],'Un nOTA'!$A$4:$K$5003,10,FALSE),"")</f>
        <v/>
      </c>
      <c r="I2657" s="112" t="str">
        <f>IFERROR(VLOOKUP(Table1722[[#This Row],[Bukti]],Table13[#Data],11,FALSE),"")</f>
        <v/>
      </c>
    </row>
    <row r="2658" spans="1:9" ht="19.5" hidden="1" customHeight="1" x14ac:dyDescent="0.2">
      <c r="A2658" s="105" t="str">
        <f>IF(D2658=1,COUNTIF($D$10:D2658,1)," ")</f>
        <v xml:space="preserve"> </v>
      </c>
      <c r="B2658" s="106">
        <f>COPY!AR2650</f>
        <v>0</v>
      </c>
      <c r="C2658" s="107">
        <f>COPY!AC2650</f>
        <v>0</v>
      </c>
      <c r="D2658" s="107" t="str">
        <f>IF(LEN(Table1722[[#This Row],[Uraian]])&gt;2,1," ")</f>
        <v xml:space="preserve"> </v>
      </c>
      <c r="E2658" s="113" t="str">
        <f>IF(Table1722[[#This Row],[Lawan Transaksi]]="CV AGUNG KARYA",COUNTIF($I$10:I2658,"CV AGUNG KARYA")," ")</f>
        <v xml:space="preserve"> </v>
      </c>
      <c r="F2658" s="107" t="str">
        <f>IF(LEN(Table1722[[#This Row],[Uraian]])&gt;2,TRIM(RIGHT(SUBSTITUTE(TRIM(C2658)," ",REPT(" ",255)),255))," ")</f>
        <v xml:space="preserve"> </v>
      </c>
      <c r="G2658" s="110">
        <f>COPY!Z2650</f>
        <v>0</v>
      </c>
      <c r="H2658" s="111" t="str">
        <f>IFERROR(VLOOKUP(Table1722[[#This Row],[Bukti]],'Un nOTA'!$A$4:$K$5003,10,FALSE),"")</f>
        <v/>
      </c>
      <c r="I2658" s="112" t="str">
        <f>IFERROR(VLOOKUP(Table1722[[#This Row],[Bukti]],Table13[#Data],11,FALSE),"")</f>
        <v/>
      </c>
    </row>
    <row r="2659" spans="1:9" ht="19.5" hidden="1" customHeight="1" x14ac:dyDescent="0.2">
      <c r="A2659" s="105" t="str">
        <f>IF(D2659=1,COUNTIF($D$10:D2659,1)," ")</f>
        <v xml:space="preserve"> </v>
      </c>
      <c r="B2659" s="106">
        <f>COPY!AR2651</f>
        <v>0</v>
      </c>
      <c r="C2659" s="107">
        <f>COPY!AC2651</f>
        <v>0</v>
      </c>
      <c r="D2659" s="107" t="str">
        <f>IF(LEN(Table1722[[#This Row],[Uraian]])&gt;2,1," ")</f>
        <v xml:space="preserve"> </v>
      </c>
      <c r="E2659" s="113" t="str">
        <f>IF(Table1722[[#This Row],[Lawan Transaksi]]="CV AGUNG KARYA",COUNTIF($I$10:I2659,"CV AGUNG KARYA")," ")</f>
        <v xml:space="preserve"> </v>
      </c>
      <c r="F2659" s="107" t="str">
        <f>IF(LEN(Table1722[[#This Row],[Uraian]])&gt;2,TRIM(RIGHT(SUBSTITUTE(TRIM(C2659)," ",REPT(" ",255)),255))," ")</f>
        <v xml:space="preserve"> </v>
      </c>
      <c r="G2659" s="110">
        <f>COPY!Z2651</f>
        <v>0</v>
      </c>
      <c r="H2659" s="111" t="str">
        <f>IFERROR(VLOOKUP(Table1722[[#This Row],[Bukti]],'Un nOTA'!$A$4:$K$5003,10,FALSE),"")</f>
        <v/>
      </c>
      <c r="I2659" s="112" t="str">
        <f>IFERROR(VLOOKUP(Table1722[[#This Row],[Bukti]],Table13[#Data],11,FALSE),"")</f>
        <v/>
      </c>
    </row>
    <row r="2660" spans="1:9" ht="19.5" hidden="1" customHeight="1" x14ac:dyDescent="0.2">
      <c r="A2660" s="105" t="str">
        <f>IF(D2660=1,COUNTIF($D$10:D2660,1)," ")</f>
        <v xml:space="preserve"> </v>
      </c>
      <c r="B2660" s="106">
        <f>COPY!AR2652</f>
        <v>0</v>
      </c>
      <c r="C2660" s="107">
        <f>COPY!AC2652</f>
        <v>0</v>
      </c>
      <c r="D2660" s="107" t="str">
        <f>IF(LEN(Table1722[[#This Row],[Uraian]])&gt;2,1," ")</f>
        <v xml:space="preserve"> </v>
      </c>
      <c r="E2660" s="113" t="str">
        <f>IF(Table1722[[#This Row],[Lawan Transaksi]]="CV AGUNG KARYA",COUNTIF($I$10:I2660,"CV AGUNG KARYA")," ")</f>
        <v xml:space="preserve"> </v>
      </c>
      <c r="F2660" s="107" t="str">
        <f>IF(LEN(Table1722[[#This Row],[Uraian]])&gt;2,TRIM(RIGHT(SUBSTITUTE(TRIM(C2660)," ",REPT(" ",255)),255))," ")</f>
        <v xml:space="preserve"> </v>
      </c>
      <c r="G2660" s="110">
        <f>COPY!Z2652</f>
        <v>0</v>
      </c>
      <c r="H2660" s="111" t="str">
        <f>IFERROR(VLOOKUP(Table1722[[#This Row],[Bukti]],'Un nOTA'!$A$4:$K$5003,10,FALSE),"")</f>
        <v/>
      </c>
      <c r="I2660" s="112" t="str">
        <f>IFERROR(VLOOKUP(Table1722[[#This Row],[Bukti]],Table13[#Data],11,FALSE),"")</f>
        <v/>
      </c>
    </row>
    <row r="2661" spans="1:9" ht="19.5" hidden="1" customHeight="1" x14ac:dyDescent="0.2">
      <c r="A2661" s="105" t="str">
        <f>IF(D2661=1,COUNTIF($D$10:D2661,1)," ")</f>
        <v xml:space="preserve"> </v>
      </c>
      <c r="B2661" s="106">
        <f>COPY!AR2653</f>
        <v>0</v>
      </c>
      <c r="C2661" s="107">
        <f>COPY!AC2653</f>
        <v>0</v>
      </c>
      <c r="D2661" s="107" t="str">
        <f>IF(LEN(Table1722[[#This Row],[Uraian]])&gt;2,1," ")</f>
        <v xml:space="preserve"> </v>
      </c>
      <c r="E2661" s="113" t="str">
        <f>IF(Table1722[[#This Row],[Lawan Transaksi]]="CV AGUNG KARYA",COUNTIF($I$10:I2661,"CV AGUNG KARYA")," ")</f>
        <v xml:space="preserve"> </v>
      </c>
      <c r="F2661" s="107" t="str">
        <f>IF(LEN(Table1722[[#This Row],[Uraian]])&gt;2,TRIM(RIGHT(SUBSTITUTE(TRIM(C2661)," ",REPT(" ",255)),255))," ")</f>
        <v xml:space="preserve"> </v>
      </c>
      <c r="G2661" s="110">
        <f>COPY!Z2653</f>
        <v>0</v>
      </c>
      <c r="H2661" s="111" t="str">
        <f>IFERROR(VLOOKUP(Table1722[[#This Row],[Bukti]],'Un nOTA'!$A$4:$K$5003,10,FALSE),"")</f>
        <v/>
      </c>
      <c r="I2661" s="112" t="str">
        <f>IFERROR(VLOOKUP(Table1722[[#This Row],[Bukti]],Table13[#Data],11,FALSE),"")</f>
        <v/>
      </c>
    </row>
    <row r="2662" spans="1:9" ht="19.5" hidden="1" customHeight="1" x14ac:dyDescent="0.2">
      <c r="A2662" s="105" t="str">
        <f>IF(D2662=1,COUNTIF($D$10:D2662,1)," ")</f>
        <v xml:space="preserve"> </v>
      </c>
      <c r="B2662" s="106">
        <f>COPY!AR2654</f>
        <v>0</v>
      </c>
      <c r="C2662" s="107">
        <f>COPY!AC2654</f>
        <v>0</v>
      </c>
      <c r="D2662" s="107" t="str">
        <f>IF(LEN(Table1722[[#This Row],[Uraian]])&gt;2,1," ")</f>
        <v xml:space="preserve"> </v>
      </c>
      <c r="E2662" s="113" t="str">
        <f>IF(Table1722[[#This Row],[Lawan Transaksi]]="CV AGUNG KARYA",COUNTIF($I$10:I2662,"CV AGUNG KARYA")," ")</f>
        <v xml:space="preserve"> </v>
      </c>
      <c r="F2662" s="107" t="str">
        <f>IF(LEN(Table1722[[#This Row],[Uraian]])&gt;2,TRIM(RIGHT(SUBSTITUTE(TRIM(C2662)," ",REPT(" ",255)),255))," ")</f>
        <v xml:space="preserve"> </v>
      </c>
      <c r="G2662" s="110">
        <f>COPY!Z2654</f>
        <v>0</v>
      </c>
      <c r="H2662" s="111" t="str">
        <f>IFERROR(VLOOKUP(Table1722[[#This Row],[Bukti]],'Un nOTA'!$A$4:$K$5003,10,FALSE),"")</f>
        <v/>
      </c>
      <c r="I2662" s="112" t="str">
        <f>IFERROR(VLOOKUP(Table1722[[#This Row],[Bukti]],Table13[#Data],11,FALSE),"")</f>
        <v/>
      </c>
    </row>
    <row r="2663" spans="1:9" ht="19.5" hidden="1" customHeight="1" x14ac:dyDescent="0.2">
      <c r="A2663" s="105" t="str">
        <f>IF(D2663=1,COUNTIF($D$10:D2663,1)," ")</f>
        <v xml:space="preserve"> </v>
      </c>
      <c r="B2663" s="106">
        <f>COPY!AR2655</f>
        <v>0</v>
      </c>
      <c r="C2663" s="107">
        <f>COPY!AC2655</f>
        <v>0</v>
      </c>
      <c r="D2663" s="107" t="str">
        <f>IF(LEN(Table1722[[#This Row],[Uraian]])&gt;2,1," ")</f>
        <v xml:space="preserve"> </v>
      </c>
      <c r="E2663" s="113" t="str">
        <f>IF(Table1722[[#This Row],[Lawan Transaksi]]="CV AGUNG KARYA",COUNTIF($I$10:I2663,"CV AGUNG KARYA")," ")</f>
        <v xml:space="preserve"> </v>
      </c>
      <c r="F2663" s="107" t="str">
        <f>IF(LEN(Table1722[[#This Row],[Uraian]])&gt;2,TRIM(RIGHT(SUBSTITUTE(TRIM(C2663)," ",REPT(" ",255)),255))," ")</f>
        <v xml:space="preserve"> </v>
      </c>
      <c r="G2663" s="110">
        <f>COPY!Z2655</f>
        <v>0</v>
      </c>
      <c r="H2663" s="111" t="str">
        <f>IFERROR(VLOOKUP(Table1722[[#This Row],[Bukti]],'Un nOTA'!$A$4:$K$5003,10,FALSE),"")</f>
        <v/>
      </c>
      <c r="I2663" s="112" t="str">
        <f>IFERROR(VLOOKUP(Table1722[[#This Row],[Bukti]],Table13[#Data],11,FALSE),"")</f>
        <v/>
      </c>
    </row>
    <row r="2664" spans="1:9" ht="19.5" hidden="1" customHeight="1" x14ac:dyDescent="0.2">
      <c r="A2664" s="105" t="str">
        <f>IF(D2664=1,COUNTIF($D$10:D2664,1)," ")</f>
        <v xml:space="preserve"> </v>
      </c>
      <c r="B2664" s="106">
        <f>COPY!AR2656</f>
        <v>0</v>
      </c>
      <c r="C2664" s="107">
        <f>COPY!AC2656</f>
        <v>0</v>
      </c>
      <c r="D2664" s="107" t="str">
        <f>IF(LEN(Table1722[[#This Row],[Uraian]])&gt;2,1," ")</f>
        <v xml:space="preserve"> </v>
      </c>
      <c r="E2664" s="113" t="str">
        <f>IF(Table1722[[#This Row],[Lawan Transaksi]]="CV AGUNG KARYA",COUNTIF($I$10:I2664,"CV AGUNG KARYA")," ")</f>
        <v xml:space="preserve"> </v>
      </c>
      <c r="F2664" s="107" t="str">
        <f>IF(LEN(Table1722[[#This Row],[Uraian]])&gt;2,TRIM(RIGHT(SUBSTITUTE(TRIM(C2664)," ",REPT(" ",255)),255))," ")</f>
        <v xml:space="preserve"> </v>
      </c>
      <c r="G2664" s="110">
        <f>COPY!Z2656</f>
        <v>0</v>
      </c>
      <c r="H2664" s="111" t="str">
        <f>IFERROR(VLOOKUP(Table1722[[#This Row],[Bukti]],'Un nOTA'!$A$4:$K$5003,10,FALSE),"")</f>
        <v/>
      </c>
      <c r="I2664" s="112" t="str">
        <f>IFERROR(VLOOKUP(Table1722[[#This Row],[Bukti]],Table13[#Data],11,FALSE),"")</f>
        <v/>
      </c>
    </row>
    <row r="2665" spans="1:9" ht="19.5" hidden="1" customHeight="1" x14ac:dyDescent="0.2">
      <c r="A2665" s="105" t="str">
        <f>IF(D2665=1,COUNTIF($D$10:D2665,1)," ")</f>
        <v xml:space="preserve"> </v>
      </c>
      <c r="B2665" s="106">
        <f>COPY!AR2657</f>
        <v>0</v>
      </c>
      <c r="C2665" s="107">
        <f>COPY!AC2657</f>
        <v>0</v>
      </c>
      <c r="D2665" s="107" t="str">
        <f>IF(LEN(Table1722[[#This Row],[Uraian]])&gt;2,1," ")</f>
        <v xml:space="preserve"> </v>
      </c>
      <c r="E2665" s="113" t="str">
        <f>IF(Table1722[[#This Row],[Lawan Transaksi]]="CV AGUNG KARYA",COUNTIF($I$10:I2665,"CV AGUNG KARYA")," ")</f>
        <v xml:space="preserve"> </v>
      </c>
      <c r="F2665" s="107" t="str">
        <f>IF(LEN(Table1722[[#This Row],[Uraian]])&gt;2,TRIM(RIGHT(SUBSTITUTE(TRIM(C2665)," ",REPT(" ",255)),255))," ")</f>
        <v xml:space="preserve"> </v>
      </c>
      <c r="G2665" s="110">
        <f>COPY!Z2657</f>
        <v>0</v>
      </c>
      <c r="H2665" s="111" t="str">
        <f>IFERROR(VLOOKUP(Table1722[[#This Row],[Bukti]],'Un nOTA'!$A$4:$K$5003,10,FALSE),"")</f>
        <v/>
      </c>
      <c r="I2665" s="112" t="str">
        <f>IFERROR(VLOOKUP(Table1722[[#This Row],[Bukti]],Table13[#Data],11,FALSE),"")</f>
        <v/>
      </c>
    </row>
    <row r="2666" spans="1:9" ht="19.5" hidden="1" customHeight="1" x14ac:dyDescent="0.2">
      <c r="A2666" s="105" t="str">
        <f>IF(D2666=1,COUNTIF($D$10:D2666,1)," ")</f>
        <v xml:space="preserve"> </v>
      </c>
      <c r="B2666" s="106">
        <f>COPY!AR2658</f>
        <v>0</v>
      </c>
      <c r="C2666" s="107">
        <f>COPY!AC2658</f>
        <v>0</v>
      </c>
      <c r="D2666" s="107" t="str">
        <f>IF(LEN(Table1722[[#This Row],[Uraian]])&gt;2,1," ")</f>
        <v xml:space="preserve"> </v>
      </c>
      <c r="E2666" s="113" t="str">
        <f>IF(Table1722[[#This Row],[Lawan Transaksi]]="CV AGUNG KARYA",COUNTIF($I$10:I2666,"CV AGUNG KARYA")," ")</f>
        <v xml:space="preserve"> </v>
      </c>
      <c r="F2666" s="107" t="str">
        <f>IF(LEN(Table1722[[#This Row],[Uraian]])&gt;2,TRIM(RIGHT(SUBSTITUTE(TRIM(C2666)," ",REPT(" ",255)),255))," ")</f>
        <v xml:space="preserve"> </v>
      </c>
      <c r="G2666" s="110">
        <f>COPY!Z2658</f>
        <v>0</v>
      </c>
      <c r="H2666" s="111" t="str">
        <f>IFERROR(VLOOKUP(Table1722[[#This Row],[Bukti]],'Un nOTA'!$A$4:$K$5003,10,FALSE),"")</f>
        <v/>
      </c>
      <c r="I2666" s="112" t="str">
        <f>IFERROR(VLOOKUP(Table1722[[#This Row],[Bukti]],Table13[#Data],11,FALSE),"")</f>
        <v/>
      </c>
    </row>
    <row r="2667" spans="1:9" ht="19.5" hidden="1" customHeight="1" x14ac:dyDescent="0.2">
      <c r="A2667" s="105" t="str">
        <f>IF(D2667=1,COUNTIF($D$10:D2667,1)," ")</f>
        <v xml:space="preserve"> </v>
      </c>
      <c r="B2667" s="106">
        <f>COPY!AR2659</f>
        <v>0</v>
      </c>
      <c r="C2667" s="107">
        <f>COPY!AC2659</f>
        <v>0</v>
      </c>
      <c r="D2667" s="107" t="str">
        <f>IF(LEN(Table1722[[#This Row],[Uraian]])&gt;2,1," ")</f>
        <v xml:space="preserve"> </v>
      </c>
      <c r="E2667" s="113" t="str">
        <f>IF(Table1722[[#This Row],[Lawan Transaksi]]="CV AGUNG KARYA",COUNTIF($I$10:I2667,"CV AGUNG KARYA")," ")</f>
        <v xml:space="preserve"> </v>
      </c>
      <c r="F2667" s="107" t="str">
        <f>IF(LEN(Table1722[[#This Row],[Uraian]])&gt;2,TRIM(RIGHT(SUBSTITUTE(TRIM(C2667)," ",REPT(" ",255)),255))," ")</f>
        <v xml:space="preserve"> </v>
      </c>
      <c r="G2667" s="110">
        <f>COPY!Z2659</f>
        <v>0</v>
      </c>
      <c r="H2667" s="111" t="str">
        <f>IFERROR(VLOOKUP(Table1722[[#This Row],[Bukti]],'Un nOTA'!$A$4:$K$5003,10,FALSE),"")</f>
        <v/>
      </c>
      <c r="I2667" s="112" t="str">
        <f>IFERROR(VLOOKUP(Table1722[[#This Row],[Bukti]],Table13[#Data],11,FALSE),"")</f>
        <v/>
      </c>
    </row>
    <row r="2668" spans="1:9" ht="19.5" hidden="1" customHeight="1" x14ac:dyDescent="0.2">
      <c r="A2668" s="105" t="str">
        <f>IF(D2668=1,COUNTIF($D$10:D2668,1)," ")</f>
        <v xml:space="preserve"> </v>
      </c>
      <c r="B2668" s="106">
        <f>COPY!AR2660</f>
        <v>0</v>
      </c>
      <c r="C2668" s="107">
        <f>COPY!AC2660</f>
        <v>0</v>
      </c>
      <c r="D2668" s="107" t="str">
        <f>IF(LEN(Table1722[[#This Row],[Uraian]])&gt;2,1," ")</f>
        <v xml:space="preserve"> </v>
      </c>
      <c r="E2668" s="113" t="str">
        <f>IF(Table1722[[#This Row],[Lawan Transaksi]]="CV AGUNG KARYA",COUNTIF($I$10:I2668,"CV AGUNG KARYA")," ")</f>
        <v xml:space="preserve"> </v>
      </c>
      <c r="F2668" s="107" t="str">
        <f>IF(LEN(Table1722[[#This Row],[Uraian]])&gt;2,TRIM(RIGHT(SUBSTITUTE(TRIM(C2668)," ",REPT(" ",255)),255))," ")</f>
        <v xml:space="preserve"> </v>
      </c>
      <c r="G2668" s="110">
        <f>COPY!Z2660</f>
        <v>0</v>
      </c>
      <c r="H2668" s="111" t="str">
        <f>IFERROR(VLOOKUP(Table1722[[#This Row],[Bukti]],'Un nOTA'!$A$4:$K$5003,10,FALSE),"")</f>
        <v/>
      </c>
      <c r="I2668" s="112" t="str">
        <f>IFERROR(VLOOKUP(Table1722[[#This Row],[Bukti]],Table13[#Data],11,FALSE),"")</f>
        <v/>
      </c>
    </row>
    <row r="2669" spans="1:9" ht="19.5" hidden="1" customHeight="1" x14ac:dyDescent="0.2">
      <c r="A2669" s="105" t="str">
        <f>IF(D2669=1,COUNTIF($D$10:D2669,1)," ")</f>
        <v xml:space="preserve"> </v>
      </c>
      <c r="B2669" s="106">
        <f>COPY!AR2661</f>
        <v>0</v>
      </c>
      <c r="C2669" s="107">
        <f>COPY!AC2661</f>
        <v>0</v>
      </c>
      <c r="D2669" s="107" t="str">
        <f>IF(LEN(Table1722[[#This Row],[Uraian]])&gt;2,1," ")</f>
        <v xml:space="preserve"> </v>
      </c>
      <c r="E2669" s="113" t="str">
        <f>IF(Table1722[[#This Row],[Lawan Transaksi]]="CV AGUNG KARYA",COUNTIF($I$10:I2669,"CV AGUNG KARYA")," ")</f>
        <v xml:space="preserve"> </v>
      </c>
      <c r="F2669" s="107" t="str">
        <f>IF(LEN(Table1722[[#This Row],[Uraian]])&gt;2,TRIM(RIGHT(SUBSTITUTE(TRIM(C2669)," ",REPT(" ",255)),255))," ")</f>
        <v xml:space="preserve"> </v>
      </c>
      <c r="G2669" s="110">
        <f>COPY!Z2661</f>
        <v>0</v>
      </c>
      <c r="H2669" s="111" t="str">
        <f>IFERROR(VLOOKUP(Table1722[[#This Row],[Bukti]],'Un nOTA'!$A$4:$K$5003,10,FALSE),"")</f>
        <v/>
      </c>
      <c r="I2669" s="112" t="str">
        <f>IFERROR(VLOOKUP(Table1722[[#This Row],[Bukti]],Table13[#Data],11,FALSE),"")</f>
        <v/>
      </c>
    </row>
    <row r="2670" spans="1:9" ht="19.5" hidden="1" customHeight="1" x14ac:dyDescent="0.2">
      <c r="A2670" s="105" t="str">
        <f>IF(D2670=1,COUNTIF($D$10:D2670,1)," ")</f>
        <v xml:space="preserve"> </v>
      </c>
      <c r="B2670" s="106">
        <f>COPY!AR2662</f>
        <v>0</v>
      </c>
      <c r="C2670" s="107">
        <f>COPY!AC2662</f>
        <v>0</v>
      </c>
      <c r="D2670" s="107" t="str">
        <f>IF(LEN(Table1722[[#This Row],[Uraian]])&gt;2,1," ")</f>
        <v xml:space="preserve"> </v>
      </c>
      <c r="E2670" s="113" t="str">
        <f>IF(Table1722[[#This Row],[Lawan Transaksi]]="CV AGUNG KARYA",COUNTIF($I$10:I2670,"CV AGUNG KARYA")," ")</f>
        <v xml:space="preserve"> </v>
      </c>
      <c r="F2670" s="107" t="str">
        <f>IF(LEN(Table1722[[#This Row],[Uraian]])&gt;2,TRIM(RIGHT(SUBSTITUTE(TRIM(C2670)," ",REPT(" ",255)),255))," ")</f>
        <v xml:space="preserve"> </v>
      </c>
      <c r="G2670" s="110">
        <f>COPY!Z2662</f>
        <v>0</v>
      </c>
      <c r="H2670" s="111" t="str">
        <f>IFERROR(VLOOKUP(Table1722[[#This Row],[Bukti]],'Un nOTA'!$A$4:$K$5003,10,FALSE),"")</f>
        <v/>
      </c>
      <c r="I2670" s="112" t="str">
        <f>IFERROR(VLOOKUP(Table1722[[#This Row],[Bukti]],Table13[#Data],11,FALSE),"")</f>
        <v/>
      </c>
    </row>
    <row r="2671" spans="1:9" ht="19.5" hidden="1" customHeight="1" x14ac:dyDescent="0.2">
      <c r="A2671" s="105" t="str">
        <f>IF(D2671=1,COUNTIF($D$10:D2671,1)," ")</f>
        <v xml:space="preserve"> </v>
      </c>
      <c r="B2671" s="106">
        <f>COPY!AR2663</f>
        <v>0</v>
      </c>
      <c r="C2671" s="107">
        <f>COPY!AC2663</f>
        <v>0</v>
      </c>
      <c r="D2671" s="107" t="str">
        <f>IF(LEN(Table1722[[#This Row],[Uraian]])&gt;2,1," ")</f>
        <v xml:space="preserve"> </v>
      </c>
      <c r="E2671" s="113" t="str">
        <f>IF(Table1722[[#This Row],[Lawan Transaksi]]="CV AGUNG KARYA",COUNTIF($I$10:I2671,"CV AGUNG KARYA")," ")</f>
        <v xml:space="preserve"> </v>
      </c>
      <c r="F2671" s="107" t="str">
        <f>IF(LEN(Table1722[[#This Row],[Uraian]])&gt;2,TRIM(RIGHT(SUBSTITUTE(TRIM(C2671)," ",REPT(" ",255)),255))," ")</f>
        <v xml:space="preserve"> </v>
      </c>
      <c r="G2671" s="110">
        <f>COPY!Z2663</f>
        <v>0</v>
      </c>
      <c r="H2671" s="111" t="str">
        <f>IFERROR(VLOOKUP(Table1722[[#This Row],[Bukti]],'Un nOTA'!$A$4:$K$5003,10,FALSE),"")</f>
        <v/>
      </c>
      <c r="I2671" s="112" t="str">
        <f>IFERROR(VLOOKUP(Table1722[[#This Row],[Bukti]],Table13[#Data],11,FALSE),"")</f>
        <v/>
      </c>
    </row>
    <row r="2672" spans="1:9" ht="19.5" hidden="1" customHeight="1" x14ac:dyDescent="0.2">
      <c r="A2672" s="105" t="str">
        <f>IF(D2672=1,COUNTIF($D$10:D2672,1)," ")</f>
        <v xml:space="preserve"> </v>
      </c>
      <c r="B2672" s="106">
        <f>COPY!AR2664</f>
        <v>0</v>
      </c>
      <c r="C2672" s="107">
        <f>COPY!AC2664</f>
        <v>0</v>
      </c>
      <c r="D2672" s="107" t="str">
        <f>IF(LEN(Table1722[[#This Row],[Uraian]])&gt;2,1," ")</f>
        <v xml:space="preserve"> </v>
      </c>
      <c r="E2672" s="113" t="str">
        <f>IF(Table1722[[#This Row],[Lawan Transaksi]]="CV AGUNG KARYA",COUNTIF($I$10:I2672,"CV AGUNG KARYA")," ")</f>
        <v xml:space="preserve"> </v>
      </c>
      <c r="F2672" s="107" t="str">
        <f>IF(LEN(Table1722[[#This Row],[Uraian]])&gt;2,TRIM(RIGHT(SUBSTITUTE(TRIM(C2672)," ",REPT(" ",255)),255))," ")</f>
        <v xml:space="preserve"> </v>
      </c>
      <c r="G2672" s="110">
        <f>COPY!Z2664</f>
        <v>0</v>
      </c>
      <c r="H2672" s="111" t="str">
        <f>IFERROR(VLOOKUP(Table1722[[#This Row],[Bukti]],'Un nOTA'!$A$4:$K$5003,10,FALSE),"")</f>
        <v/>
      </c>
      <c r="I2672" s="112" t="str">
        <f>IFERROR(VLOOKUP(Table1722[[#This Row],[Bukti]],Table13[#Data],11,FALSE),"")</f>
        <v/>
      </c>
    </row>
    <row r="2673" spans="1:9" ht="19.5" hidden="1" customHeight="1" x14ac:dyDescent="0.2">
      <c r="A2673" s="105" t="str">
        <f>IF(D2673=1,COUNTIF($D$10:D2673,1)," ")</f>
        <v xml:space="preserve"> </v>
      </c>
      <c r="B2673" s="106">
        <f>COPY!AR2665</f>
        <v>0</v>
      </c>
      <c r="C2673" s="107">
        <f>COPY!AC2665</f>
        <v>0</v>
      </c>
      <c r="D2673" s="107" t="str">
        <f>IF(LEN(Table1722[[#This Row],[Uraian]])&gt;2,1," ")</f>
        <v xml:space="preserve"> </v>
      </c>
      <c r="E2673" s="113" t="str">
        <f>IF(Table1722[[#This Row],[Lawan Transaksi]]="CV AGUNG KARYA",COUNTIF($I$10:I2673,"CV AGUNG KARYA")," ")</f>
        <v xml:space="preserve"> </v>
      </c>
      <c r="F2673" s="107" t="str">
        <f>IF(LEN(Table1722[[#This Row],[Uraian]])&gt;2,TRIM(RIGHT(SUBSTITUTE(TRIM(C2673)," ",REPT(" ",255)),255))," ")</f>
        <v xml:space="preserve"> </v>
      </c>
      <c r="G2673" s="110">
        <f>COPY!Z2665</f>
        <v>0</v>
      </c>
      <c r="H2673" s="111" t="str">
        <f>IFERROR(VLOOKUP(Table1722[[#This Row],[Bukti]],'Un nOTA'!$A$4:$K$5003,10,FALSE),"")</f>
        <v/>
      </c>
      <c r="I2673" s="112" t="str">
        <f>IFERROR(VLOOKUP(Table1722[[#This Row],[Bukti]],Table13[#Data],11,FALSE),"")</f>
        <v/>
      </c>
    </row>
    <row r="2674" spans="1:9" ht="19.5" hidden="1" customHeight="1" x14ac:dyDescent="0.2">
      <c r="A2674" s="105" t="str">
        <f>IF(D2674=1,COUNTIF($D$10:D2674,1)," ")</f>
        <v xml:space="preserve"> </v>
      </c>
      <c r="B2674" s="106">
        <f>COPY!AR2666</f>
        <v>0</v>
      </c>
      <c r="C2674" s="107">
        <f>COPY!AC2666</f>
        <v>0</v>
      </c>
      <c r="D2674" s="107" t="str">
        <f>IF(LEN(Table1722[[#This Row],[Uraian]])&gt;2,1," ")</f>
        <v xml:space="preserve"> </v>
      </c>
      <c r="E2674" s="113" t="str">
        <f>IF(Table1722[[#This Row],[Lawan Transaksi]]="CV AGUNG KARYA",COUNTIF($I$10:I2674,"CV AGUNG KARYA")," ")</f>
        <v xml:space="preserve"> </v>
      </c>
      <c r="F2674" s="107" t="str">
        <f>IF(LEN(Table1722[[#This Row],[Uraian]])&gt;2,TRIM(RIGHT(SUBSTITUTE(TRIM(C2674)," ",REPT(" ",255)),255))," ")</f>
        <v xml:space="preserve"> </v>
      </c>
      <c r="G2674" s="110">
        <f>COPY!Z2666</f>
        <v>0</v>
      </c>
      <c r="H2674" s="111" t="str">
        <f>IFERROR(VLOOKUP(Table1722[[#This Row],[Bukti]],'Un nOTA'!$A$4:$K$5003,10,FALSE),"")</f>
        <v/>
      </c>
      <c r="I2674" s="112" t="str">
        <f>IFERROR(VLOOKUP(Table1722[[#This Row],[Bukti]],Table13[#Data],11,FALSE),"")</f>
        <v/>
      </c>
    </row>
    <row r="2675" spans="1:9" ht="19.5" hidden="1" customHeight="1" x14ac:dyDescent="0.2">
      <c r="A2675" s="105" t="str">
        <f>IF(D2675=1,COUNTIF($D$10:D2675,1)," ")</f>
        <v xml:space="preserve"> </v>
      </c>
      <c r="B2675" s="106">
        <f>COPY!AR2667</f>
        <v>0</v>
      </c>
      <c r="C2675" s="107">
        <f>COPY!AC2667</f>
        <v>0</v>
      </c>
      <c r="D2675" s="107" t="str">
        <f>IF(LEN(Table1722[[#This Row],[Uraian]])&gt;2,1," ")</f>
        <v xml:space="preserve"> </v>
      </c>
      <c r="E2675" s="113" t="str">
        <f>IF(Table1722[[#This Row],[Lawan Transaksi]]="CV AGUNG KARYA",COUNTIF($I$10:I2675,"CV AGUNG KARYA")," ")</f>
        <v xml:space="preserve"> </v>
      </c>
      <c r="F2675" s="107" t="str">
        <f>IF(LEN(Table1722[[#This Row],[Uraian]])&gt;2,TRIM(RIGHT(SUBSTITUTE(TRIM(C2675)," ",REPT(" ",255)),255))," ")</f>
        <v xml:space="preserve"> </v>
      </c>
      <c r="G2675" s="110">
        <f>COPY!Z2667</f>
        <v>0</v>
      </c>
      <c r="H2675" s="111" t="str">
        <f>IFERROR(VLOOKUP(Table1722[[#This Row],[Bukti]],'Un nOTA'!$A$4:$K$5003,10,FALSE),"")</f>
        <v/>
      </c>
      <c r="I2675" s="112" t="str">
        <f>IFERROR(VLOOKUP(Table1722[[#This Row],[Bukti]],Table13[#Data],11,FALSE),"")</f>
        <v/>
      </c>
    </row>
    <row r="2676" spans="1:9" ht="19.5" hidden="1" customHeight="1" x14ac:dyDescent="0.2">
      <c r="A2676" s="105" t="str">
        <f>IF(D2676=1,COUNTIF($D$10:D2676,1)," ")</f>
        <v xml:space="preserve"> </v>
      </c>
      <c r="B2676" s="106">
        <f>COPY!AR2668</f>
        <v>0</v>
      </c>
      <c r="C2676" s="107">
        <f>COPY!AC2668</f>
        <v>0</v>
      </c>
      <c r="D2676" s="107" t="str">
        <f>IF(LEN(Table1722[[#This Row],[Uraian]])&gt;2,1," ")</f>
        <v xml:space="preserve"> </v>
      </c>
      <c r="E2676" s="113" t="str">
        <f>IF(Table1722[[#This Row],[Lawan Transaksi]]="CV AGUNG KARYA",COUNTIF($I$10:I2676,"CV AGUNG KARYA")," ")</f>
        <v xml:space="preserve"> </v>
      </c>
      <c r="F2676" s="107" t="str">
        <f>IF(LEN(Table1722[[#This Row],[Uraian]])&gt;2,TRIM(RIGHT(SUBSTITUTE(TRIM(C2676)," ",REPT(" ",255)),255))," ")</f>
        <v xml:space="preserve"> </v>
      </c>
      <c r="G2676" s="110">
        <f>COPY!Z2668</f>
        <v>0</v>
      </c>
      <c r="H2676" s="111" t="str">
        <f>IFERROR(VLOOKUP(Table1722[[#This Row],[Bukti]],'Un nOTA'!$A$4:$K$5003,10,FALSE),"")</f>
        <v/>
      </c>
      <c r="I2676" s="112" t="str">
        <f>IFERROR(VLOOKUP(Table1722[[#This Row],[Bukti]],Table13[#Data],11,FALSE),"")</f>
        <v/>
      </c>
    </row>
    <row r="2677" spans="1:9" ht="19.5" hidden="1" customHeight="1" x14ac:dyDescent="0.2">
      <c r="A2677" s="105" t="str">
        <f>IF(D2677=1,COUNTIF($D$10:D2677,1)," ")</f>
        <v xml:space="preserve"> </v>
      </c>
      <c r="B2677" s="106">
        <f>COPY!AR2669</f>
        <v>0</v>
      </c>
      <c r="C2677" s="107">
        <f>COPY!AC2669</f>
        <v>0</v>
      </c>
      <c r="D2677" s="107" t="str">
        <f>IF(LEN(Table1722[[#This Row],[Uraian]])&gt;2,1," ")</f>
        <v xml:space="preserve"> </v>
      </c>
      <c r="E2677" s="113" t="str">
        <f>IF(Table1722[[#This Row],[Lawan Transaksi]]="CV AGUNG KARYA",COUNTIF($I$10:I2677,"CV AGUNG KARYA")," ")</f>
        <v xml:space="preserve"> </v>
      </c>
      <c r="F2677" s="107" t="str">
        <f>IF(LEN(Table1722[[#This Row],[Uraian]])&gt;2,TRIM(RIGHT(SUBSTITUTE(TRIM(C2677)," ",REPT(" ",255)),255))," ")</f>
        <v xml:space="preserve"> </v>
      </c>
      <c r="G2677" s="110">
        <f>COPY!Z2669</f>
        <v>0</v>
      </c>
      <c r="H2677" s="111" t="str">
        <f>IFERROR(VLOOKUP(Table1722[[#This Row],[Bukti]],'Un nOTA'!$A$4:$K$5003,10,FALSE),"")</f>
        <v/>
      </c>
      <c r="I2677" s="112" t="str">
        <f>IFERROR(VLOOKUP(Table1722[[#This Row],[Bukti]],Table13[#Data],11,FALSE),"")</f>
        <v/>
      </c>
    </row>
    <row r="2678" spans="1:9" ht="19.5" hidden="1" customHeight="1" x14ac:dyDescent="0.2">
      <c r="A2678" s="105" t="str">
        <f>IF(D2678=1,COUNTIF($D$10:D2678,1)," ")</f>
        <v xml:space="preserve"> </v>
      </c>
      <c r="B2678" s="106">
        <f>COPY!AR2670</f>
        <v>0</v>
      </c>
      <c r="C2678" s="107">
        <f>COPY!AC2670</f>
        <v>0</v>
      </c>
      <c r="D2678" s="107" t="str">
        <f>IF(LEN(Table1722[[#This Row],[Uraian]])&gt;2,1," ")</f>
        <v xml:space="preserve"> </v>
      </c>
      <c r="E2678" s="113" t="str">
        <f>IF(Table1722[[#This Row],[Lawan Transaksi]]="CV AGUNG KARYA",COUNTIF($I$10:I2678,"CV AGUNG KARYA")," ")</f>
        <v xml:space="preserve"> </v>
      </c>
      <c r="F2678" s="107" t="str">
        <f>IF(LEN(Table1722[[#This Row],[Uraian]])&gt;2,TRIM(RIGHT(SUBSTITUTE(TRIM(C2678)," ",REPT(" ",255)),255))," ")</f>
        <v xml:space="preserve"> </v>
      </c>
      <c r="G2678" s="110">
        <f>COPY!Z2670</f>
        <v>0</v>
      </c>
      <c r="H2678" s="111" t="str">
        <f>IFERROR(VLOOKUP(Table1722[[#This Row],[Bukti]],'Un nOTA'!$A$4:$K$5003,10,FALSE),"")</f>
        <v/>
      </c>
      <c r="I2678" s="112" t="str">
        <f>IFERROR(VLOOKUP(Table1722[[#This Row],[Bukti]],Table13[#Data],11,FALSE),"")</f>
        <v/>
      </c>
    </row>
    <row r="2679" spans="1:9" ht="19.5" hidden="1" customHeight="1" x14ac:dyDescent="0.2">
      <c r="A2679" s="105" t="str">
        <f>IF(D2679=1,COUNTIF($D$10:D2679,1)," ")</f>
        <v xml:space="preserve"> </v>
      </c>
      <c r="B2679" s="106">
        <f>COPY!AR2671</f>
        <v>0</v>
      </c>
      <c r="C2679" s="107">
        <f>COPY!AC2671</f>
        <v>0</v>
      </c>
      <c r="D2679" s="107" t="str">
        <f>IF(LEN(Table1722[[#This Row],[Uraian]])&gt;2,1," ")</f>
        <v xml:space="preserve"> </v>
      </c>
      <c r="E2679" s="113" t="str">
        <f>IF(Table1722[[#This Row],[Lawan Transaksi]]="CV AGUNG KARYA",COUNTIF($I$10:I2679,"CV AGUNG KARYA")," ")</f>
        <v xml:space="preserve"> </v>
      </c>
      <c r="F2679" s="107" t="str">
        <f>IF(LEN(Table1722[[#This Row],[Uraian]])&gt;2,TRIM(RIGHT(SUBSTITUTE(TRIM(C2679)," ",REPT(" ",255)),255))," ")</f>
        <v xml:space="preserve"> </v>
      </c>
      <c r="G2679" s="110">
        <f>COPY!Z2671</f>
        <v>0</v>
      </c>
      <c r="H2679" s="111" t="str">
        <f>IFERROR(VLOOKUP(Table1722[[#This Row],[Bukti]],'Un nOTA'!$A$4:$K$5003,10,FALSE),"")</f>
        <v/>
      </c>
      <c r="I2679" s="112" t="str">
        <f>IFERROR(VLOOKUP(Table1722[[#This Row],[Bukti]],Table13[#Data],11,FALSE),"")</f>
        <v/>
      </c>
    </row>
    <row r="2680" spans="1:9" ht="19.5" hidden="1" customHeight="1" x14ac:dyDescent="0.2">
      <c r="A2680" s="105" t="str">
        <f>IF(D2680=1,COUNTIF($D$10:D2680,1)," ")</f>
        <v xml:space="preserve"> </v>
      </c>
      <c r="B2680" s="106">
        <f>COPY!AR2672</f>
        <v>0</v>
      </c>
      <c r="C2680" s="107">
        <f>COPY!AC2672</f>
        <v>0</v>
      </c>
      <c r="D2680" s="107" t="str">
        <f>IF(LEN(Table1722[[#This Row],[Uraian]])&gt;2,1," ")</f>
        <v xml:space="preserve"> </v>
      </c>
      <c r="E2680" s="113" t="str">
        <f>IF(Table1722[[#This Row],[Lawan Transaksi]]="CV AGUNG KARYA",COUNTIF($I$10:I2680,"CV AGUNG KARYA")," ")</f>
        <v xml:space="preserve"> </v>
      </c>
      <c r="F2680" s="107" t="str">
        <f>IF(LEN(Table1722[[#This Row],[Uraian]])&gt;2,TRIM(RIGHT(SUBSTITUTE(TRIM(C2680)," ",REPT(" ",255)),255))," ")</f>
        <v xml:space="preserve"> </v>
      </c>
      <c r="G2680" s="110">
        <f>COPY!Z2672</f>
        <v>0</v>
      </c>
      <c r="H2680" s="111" t="str">
        <f>IFERROR(VLOOKUP(Table1722[[#This Row],[Bukti]],'Un nOTA'!$A$4:$K$5003,10,FALSE),"")</f>
        <v/>
      </c>
      <c r="I2680" s="112" t="str">
        <f>IFERROR(VLOOKUP(Table1722[[#This Row],[Bukti]],Table13[#Data],11,FALSE),"")</f>
        <v/>
      </c>
    </row>
    <row r="2681" spans="1:9" ht="19.5" hidden="1" customHeight="1" x14ac:dyDescent="0.2">
      <c r="A2681" s="105" t="str">
        <f>IF(D2681=1,COUNTIF($D$10:D2681,1)," ")</f>
        <v xml:space="preserve"> </v>
      </c>
      <c r="B2681" s="106">
        <f>COPY!AR2673</f>
        <v>0</v>
      </c>
      <c r="C2681" s="107">
        <f>COPY!AC2673</f>
        <v>0</v>
      </c>
      <c r="D2681" s="107" t="str">
        <f>IF(LEN(Table1722[[#This Row],[Uraian]])&gt;2,1," ")</f>
        <v xml:space="preserve"> </v>
      </c>
      <c r="E2681" s="113" t="str">
        <f>IF(Table1722[[#This Row],[Lawan Transaksi]]="CV AGUNG KARYA",COUNTIF($I$10:I2681,"CV AGUNG KARYA")," ")</f>
        <v xml:space="preserve"> </v>
      </c>
      <c r="F2681" s="107" t="str">
        <f>IF(LEN(Table1722[[#This Row],[Uraian]])&gt;2,TRIM(RIGHT(SUBSTITUTE(TRIM(C2681)," ",REPT(" ",255)),255))," ")</f>
        <v xml:space="preserve"> </v>
      </c>
      <c r="G2681" s="110">
        <f>COPY!Z2673</f>
        <v>0</v>
      </c>
      <c r="H2681" s="111" t="str">
        <f>IFERROR(VLOOKUP(Table1722[[#This Row],[Bukti]],'Un nOTA'!$A$4:$K$5003,10,FALSE),"")</f>
        <v/>
      </c>
      <c r="I2681" s="112" t="str">
        <f>IFERROR(VLOOKUP(Table1722[[#This Row],[Bukti]],Table13[#Data],11,FALSE),"")</f>
        <v/>
      </c>
    </row>
    <row r="2682" spans="1:9" ht="19.5" hidden="1" customHeight="1" x14ac:dyDescent="0.2">
      <c r="A2682" s="105" t="str">
        <f>IF(D2682=1,COUNTIF($D$10:D2682,1)," ")</f>
        <v xml:space="preserve"> </v>
      </c>
      <c r="B2682" s="106">
        <f>COPY!AR2674</f>
        <v>0</v>
      </c>
      <c r="C2682" s="107">
        <f>COPY!AC2674</f>
        <v>0</v>
      </c>
      <c r="D2682" s="107" t="str">
        <f>IF(LEN(Table1722[[#This Row],[Uraian]])&gt;2,1," ")</f>
        <v xml:space="preserve"> </v>
      </c>
      <c r="E2682" s="113" t="str">
        <f>IF(Table1722[[#This Row],[Lawan Transaksi]]="CV AGUNG KARYA",COUNTIF($I$10:I2682,"CV AGUNG KARYA")," ")</f>
        <v xml:space="preserve"> </v>
      </c>
      <c r="F2682" s="107" t="str">
        <f>IF(LEN(Table1722[[#This Row],[Uraian]])&gt;2,TRIM(RIGHT(SUBSTITUTE(TRIM(C2682)," ",REPT(" ",255)),255))," ")</f>
        <v xml:space="preserve"> </v>
      </c>
      <c r="G2682" s="110">
        <f>COPY!Z2674</f>
        <v>0</v>
      </c>
      <c r="H2682" s="111" t="str">
        <f>IFERROR(VLOOKUP(Table1722[[#This Row],[Bukti]],'Un nOTA'!$A$4:$K$5003,10,FALSE),"")</f>
        <v/>
      </c>
      <c r="I2682" s="112" t="str">
        <f>IFERROR(VLOOKUP(Table1722[[#This Row],[Bukti]],Table13[#Data],11,FALSE),"")</f>
        <v/>
      </c>
    </row>
    <row r="2683" spans="1:9" ht="19.5" hidden="1" customHeight="1" x14ac:dyDescent="0.2">
      <c r="A2683" s="105" t="str">
        <f>IF(D2683=1,COUNTIF($D$10:D2683,1)," ")</f>
        <v xml:space="preserve"> </v>
      </c>
      <c r="B2683" s="106">
        <f>COPY!AR2675</f>
        <v>0</v>
      </c>
      <c r="C2683" s="107">
        <f>COPY!AC2675</f>
        <v>0</v>
      </c>
      <c r="D2683" s="107" t="str">
        <f>IF(LEN(Table1722[[#This Row],[Uraian]])&gt;2,1," ")</f>
        <v xml:space="preserve"> </v>
      </c>
      <c r="E2683" s="113" t="str">
        <f>IF(Table1722[[#This Row],[Lawan Transaksi]]="CV AGUNG KARYA",COUNTIF($I$10:I2683,"CV AGUNG KARYA")," ")</f>
        <v xml:space="preserve"> </v>
      </c>
      <c r="F2683" s="107" t="str">
        <f>IF(LEN(Table1722[[#This Row],[Uraian]])&gt;2,TRIM(RIGHT(SUBSTITUTE(TRIM(C2683)," ",REPT(" ",255)),255))," ")</f>
        <v xml:space="preserve"> </v>
      </c>
      <c r="G2683" s="110">
        <f>COPY!Z2675</f>
        <v>0</v>
      </c>
      <c r="H2683" s="111" t="str">
        <f>IFERROR(VLOOKUP(Table1722[[#This Row],[Bukti]],'Un nOTA'!$A$4:$K$5003,10,FALSE),"")</f>
        <v/>
      </c>
      <c r="I2683" s="112" t="str">
        <f>IFERROR(VLOOKUP(Table1722[[#This Row],[Bukti]],Table13[#Data],11,FALSE),"")</f>
        <v/>
      </c>
    </row>
    <row r="2684" spans="1:9" ht="19.5" hidden="1" customHeight="1" x14ac:dyDescent="0.2">
      <c r="A2684" s="105" t="str">
        <f>IF(D2684=1,COUNTIF($D$10:D2684,1)," ")</f>
        <v xml:space="preserve"> </v>
      </c>
      <c r="B2684" s="106">
        <f>COPY!AR2676</f>
        <v>0</v>
      </c>
      <c r="C2684" s="107">
        <f>COPY!AC2676</f>
        <v>0</v>
      </c>
      <c r="D2684" s="107" t="str">
        <f>IF(LEN(Table1722[[#This Row],[Uraian]])&gt;2,1," ")</f>
        <v xml:space="preserve"> </v>
      </c>
      <c r="E2684" s="113" t="str">
        <f>IF(Table1722[[#This Row],[Lawan Transaksi]]="CV AGUNG KARYA",COUNTIF($I$10:I2684,"CV AGUNG KARYA")," ")</f>
        <v xml:space="preserve"> </v>
      </c>
      <c r="F2684" s="107" t="str">
        <f>IF(LEN(Table1722[[#This Row],[Uraian]])&gt;2,TRIM(RIGHT(SUBSTITUTE(TRIM(C2684)," ",REPT(" ",255)),255))," ")</f>
        <v xml:space="preserve"> </v>
      </c>
      <c r="G2684" s="110">
        <f>COPY!Z2676</f>
        <v>0</v>
      </c>
      <c r="H2684" s="111" t="str">
        <f>IFERROR(VLOOKUP(Table1722[[#This Row],[Bukti]],'Un nOTA'!$A$4:$K$5003,10,FALSE),"")</f>
        <v/>
      </c>
      <c r="I2684" s="112" t="str">
        <f>IFERROR(VLOOKUP(Table1722[[#This Row],[Bukti]],Table13[#Data],11,FALSE),"")</f>
        <v/>
      </c>
    </row>
    <row r="2685" spans="1:9" ht="19.5" hidden="1" customHeight="1" x14ac:dyDescent="0.2">
      <c r="A2685" s="105" t="str">
        <f>IF(D2685=1,COUNTIF($D$10:D2685,1)," ")</f>
        <v xml:space="preserve"> </v>
      </c>
      <c r="B2685" s="106">
        <f>COPY!AR2677</f>
        <v>0</v>
      </c>
      <c r="C2685" s="107">
        <f>COPY!AC2677</f>
        <v>0</v>
      </c>
      <c r="D2685" s="107" t="str">
        <f>IF(LEN(Table1722[[#This Row],[Uraian]])&gt;2,1," ")</f>
        <v xml:space="preserve"> </v>
      </c>
      <c r="E2685" s="113" t="str">
        <f>IF(Table1722[[#This Row],[Lawan Transaksi]]="CV AGUNG KARYA",COUNTIF($I$10:I2685,"CV AGUNG KARYA")," ")</f>
        <v xml:space="preserve"> </v>
      </c>
      <c r="F2685" s="107" t="str">
        <f>IF(LEN(Table1722[[#This Row],[Uraian]])&gt;2,TRIM(RIGHT(SUBSTITUTE(TRIM(C2685)," ",REPT(" ",255)),255))," ")</f>
        <v xml:space="preserve"> </v>
      </c>
      <c r="G2685" s="110">
        <f>COPY!Z2677</f>
        <v>0</v>
      </c>
      <c r="H2685" s="111" t="str">
        <f>IFERROR(VLOOKUP(Table1722[[#This Row],[Bukti]],'Un nOTA'!$A$4:$K$5003,10,FALSE),"")</f>
        <v/>
      </c>
      <c r="I2685" s="112" t="str">
        <f>IFERROR(VLOOKUP(Table1722[[#This Row],[Bukti]],Table13[#Data],11,FALSE),"")</f>
        <v/>
      </c>
    </row>
    <row r="2686" spans="1:9" ht="19.5" hidden="1" customHeight="1" x14ac:dyDescent="0.2">
      <c r="A2686" s="105" t="str">
        <f>IF(D2686=1,COUNTIF($D$10:D2686,1)," ")</f>
        <v xml:space="preserve"> </v>
      </c>
      <c r="B2686" s="106">
        <f>COPY!AR2678</f>
        <v>0</v>
      </c>
      <c r="C2686" s="107">
        <f>COPY!AC2678</f>
        <v>0</v>
      </c>
      <c r="D2686" s="107" t="str">
        <f>IF(LEN(Table1722[[#This Row],[Uraian]])&gt;2,1," ")</f>
        <v xml:space="preserve"> </v>
      </c>
      <c r="E2686" s="113" t="str">
        <f>IF(Table1722[[#This Row],[Lawan Transaksi]]="CV AGUNG KARYA",COUNTIF($I$10:I2686,"CV AGUNG KARYA")," ")</f>
        <v xml:space="preserve"> </v>
      </c>
      <c r="F2686" s="107" t="str">
        <f>IF(LEN(Table1722[[#This Row],[Uraian]])&gt;2,TRIM(RIGHT(SUBSTITUTE(TRIM(C2686)," ",REPT(" ",255)),255))," ")</f>
        <v xml:space="preserve"> </v>
      </c>
      <c r="G2686" s="110">
        <f>COPY!Z2678</f>
        <v>0</v>
      </c>
      <c r="H2686" s="111" t="str">
        <f>IFERROR(VLOOKUP(Table1722[[#This Row],[Bukti]],'Un nOTA'!$A$4:$K$5003,10,FALSE),"")</f>
        <v/>
      </c>
      <c r="I2686" s="112" t="str">
        <f>IFERROR(VLOOKUP(Table1722[[#This Row],[Bukti]],Table13[#Data],11,FALSE),"")</f>
        <v/>
      </c>
    </row>
    <row r="2687" spans="1:9" ht="19.5" hidden="1" customHeight="1" x14ac:dyDescent="0.2">
      <c r="A2687" s="105" t="str">
        <f>IF(D2687=1,COUNTIF($D$10:D2687,1)," ")</f>
        <v xml:space="preserve"> </v>
      </c>
      <c r="B2687" s="106">
        <f>COPY!AR2679</f>
        <v>0</v>
      </c>
      <c r="C2687" s="107">
        <f>COPY!AC2679</f>
        <v>0</v>
      </c>
      <c r="D2687" s="107" t="str">
        <f>IF(LEN(Table1722[[#This Row],[Uraian]])&gt;2,1," ")</f>
        <v xml:space="preserve"> </v>
      </c>
      <c r="E2687" s="113" t="str">
        <f>IF(Table1722[[#This Row],[Lawan Transaksi]]="CV AGUNG KARYA",COUNTIF($I$10:I2687,"CV AGUNG KARYA")," ")</f>
        <v xml:space="preserve"> </v>
      </c>
      <c r="F2687" s="107" t="str">
        <f>IF(LEN(Table1722[[#This Row],[Uraian]])&gt;2,TRIM(RIGHT(SUBSTITUTE(TRIM(C2687)," ",REPT(" ",255)),255))," ")</f>
        <v xml:space="preserve"> </v>
      </c>
      <c r="G2687" s="110">
        <f>COPY!Z2679</f>
        <v>0</v>
      </c>
      <c r="H2687" s="111" t="str">
        <f>IFERROR(VLOOKUP(Table1722[[#This Row],[Bukti]],'Un nOTA'!$A$4:$K$5003,10,FALSE),"")</f>
        <v/>
      </c>
      <c r="I2687" s="112" t="str">
        <f>IFERROR(VLOOKUP(Table1722[[#This Row],[Bukti]],Table13[#Data],11,FALSE),"")</f>
        <v/>
      </c>
    </row>
    <row r="2688" spans="1:9" ht="19.5" hidden="1" customHeight="1" x14ac:dyDescent="0.2">
      <c r="A2688" s="105" t="str">
        <f>IF(D2688=1,COUNTIF($D$10:D2688,1)," ")</f>
        <v xml:space="preserve"> </v>
      </c>
      <c r="B2688" s="106">
        <f>COPY!AR2680</f>
        <v>0</v>
      </c>
      <c r="C2688" s="107">
        <f>COPY!AC2680</f>
        <v>0</v>
      </c>
      <c r="D2688" s="107" t="str">
        <f>IF(LEN(Table1722[[#This Row],[Uraian]])&gt;2,1," ")</f>
        <v xml:space="preserve"> </v>
      </c>
      <c r="E2688" s="113" t="str">
        <f>IF(Table1722[[#This Row],[Lawan Transaksi]]="CV AGUNG KARYA",COUNTIF($I$10:I2688,"CV AGUNG KARYA")," ")</f>
        <v xml:space="preserve"> </v>
      </c>
      <c r="F2688" s="107" t="str">
        <f>IF(LEN(Table1722[[#This Row],[Uraian]])&gt;2,TRIM(RIGHT(SUBSTITUTE(TRIM(C2688)," ",REPT(" ",255)),255))," ")</f>
        <v xml:space="preserve"> </v>
      </c>
      <c r="G2688" s="110">
        <f>COPY!Z2680</f>
        <v>0</v>
      </c>
      <c r="H2688" s="111" t="str">
        <f>IFERROR(VLOOKUP(Table1722[[#This Row],[Bukti]],'Un nOTA'!$A$4:$K$5003,10,FALSE),"")</f>
        <v/>
      </c>
      <c r="I2688" s="112" t="str">
        <f>IFERROR(VLOOKUP(Table1722[[#This Row],[Bukti]],Table13[#Data],11,FALSE),"")</f>
        <v/>
      </c>
    </row>
    <row r="2689" spans="1:9" ht="19.5" hidden="1" customHeight="1" x14ac:dyDescent="0.2">
      <c r="A2689" s="105" t="str">
        <f>IF(D2689=1,COUNTIF($D$10:D2689,1)," ")</f>
        <v xml:space="preserve"> </v>
      </c>
      <c r="B2689" s="106">
        <f>COPY!AR2681</f>
        <v>0</v>
      </c>
      <c r="C2689" s="107">
        <f>COPY!AC2681</f>
        <v>0</v>
      </c>
      <c r="D2689" s="107" t="str">
        <f>IF(LEN(Table1722[[#This Row],[Uraian]])&gt;2,1," ")</f>
        <v xml:space="preserve"> </v>
      </c>
      <c r="E2689" s="113" t="str">
        <f>IF(Table1722[[#This Row],[Lawan Transaksi]]="CV AGUNG KARYA",COUNTIF($I$10:I2689,"CV AGUNG KARYA")," ")</f>
        <v xml:space="preserve"> </v>
      </c>
      <c r="F2689" s="107" t="str">
        <f>IF(LEN(Table1722[[#This Row],[Uraian]])&gt;2,TRIM(RIGHT(SUBSTITUTE(TRIM(C2689)," ",REPT(" ",255)),255))," ")</f>
        <v xml:space="preserve"> </v>
      </c>
      <c r="G2689" s="110">
        <f>COPY!Z2681</f>
        <v>0</v>
      </c>
      <c r="H2689" s="111" t="str">
        <f>IFERROR(VLOOKUP(Table1722[[#This Row],[Bukti]],'Un nOTA'!$A$4:$K$5003,10,FALSE),"")</f>
        <v/>
      </c>
      <c r="I2689" s="112" t="str">
        <f>IFERROR(VLOOKUP(Table1722[[#This Row],[Bukti]],Table13[#Data],11,FALSE),"")</f>
        <v/>
      </c>
    </row>
    <row r="2690" spans="1:9" ht="19.5" hidden="1" customHeight="1" x14ac:dyDescent="0.2">
      <c r="A2690" s="105" t="str">
        <f>IF(D2690=1,COUNTIF($D$10:D2690,1)," ")</f>
        <v xml:space="preserve"> </v>
      </c>
      <c r="B2690" s="106">
        <f>COPY!AR2682</f>
        <v>0</v>
      </c>
      <c r="C2690" s="107">
        <f>COPY!AC2682</f>
        <v>0</v>
      </c>
      <c r="D2690" s="107" t="str">
        <f>IF(LEN(Table1722[[#This Row],[Uraian]])&gt;2,1," ")</f>
        <v xml:space="preserve"> </v>
      </c>
      <c r="E2690" s="113" t="str">
        <f>IF(Table1722[[#This Row],[Lawan Transaksi]]="CV AGUNG KARYA",COUNTIF($I$10:I2690,"CV AGUNG KARYA")," ")</f>
        <v xml:space="preserve"> </v>
      </c>
      <c r="F2690" s="107" t="str">
        <f>IF(LEN(Table1722[[#This Row],[Uraian]])&gt;2,TRIM(RIGHT(SUBSTITUTE(TRIM(C2690)," ",REPT(" ",255)),255))," ")</f>
        <v xml:space="preserve"> </v>
      </c>
      <c r="G2690" s="110">
        <f>COPY!Z2682</f>
        <v>0</v>
      </c>
      <c r="H2690" s="111" t="str">
        <f>IFERROR(VLOOKUP(Table1722[[#This Row],[Bukti]],'Un nOTA'!$A$4:$K$5003,10,FALSE),"")</f>
        <v/>
      </c>
      <c r="I2690" s="112" t="str">
        <f>IFERROR(VLOOKUP(Table1722[[#This Row],[Bukti]],Table13[#Data],11,FALSE),"")</f>
        <v/>
      </c>
    </row>
    <row r="2691" spans="1:9" ht="19.5" hidden="1" customHeight="1" x14ac:dyDescent="0.2">
      <c r="A2691" s="105" t="str">
        <f>IF(D2691=1,COUNTIF($D$10:D2691,1)," ")</f>
        <v xml:space="preserve"> </v>
      </c>
      <c r="B2691" s="106">
        <f>COPY!AR2683</f>
        <v>0</v>
      </c>
      <c r="C2691" s="107">
        <f>COPY!AC2683</f>
        <v>0</v>
      </c>
      <c r="D2691" s="107" t="str">
        <f>IF(LEN(Table1722[[#This Row],[Uraian]])&gt;2,1," ")</f>
        <v xml:space="preserve"> </v>
      </c>
      <c r="E2691" s="113" t="str">
        <f>IF(Table1722[[#This Row],[Lawan Transaksi]]="CV AGUNG KARYA",COUNTIF($I$10:I2691,"CV AGUNG KARYA")," ")</f>
        <v xml:space="preserve"> </v>
      </c>
      <c r="F2691" s="107" t="str">
        <f>IF(LEN(Table1722[[#This Row],[Uraian]])&gt;2,TRIM(RIGHT(SUBSTITUTE(TRIM(C2691)," ",REPT(" ",255)),255))," ")</f>
        <v xml:space="preserve"> </v>
      </c>
      <c r="G2691" s="110">
        <f>COPY!Z2683</f>
        <v>0</v>
      </c>
      <c r="H2691" s="111" t="str">
        <f>IFERROR(VLOOKUP(Table1722[[#This Row],[Bukti]],'Un nOTA'!$A$4:$K$5003,10,FALSE),"")</f>
        <v/>
      </c>
      <c r="I2691" s="112" t="str">
        <f>IFERROR(VLOOKUP(Table1722[[#This Row],[Bukti]],Table13[#Data],11,FALSE),"")</f>
        <v/>
      </c>
    </row>
    <row r="2692" spans="1:9" ht="19.5" hidden="1" customHeight="1" x14ac:dyDescent="0.2">
      <c r="A2692" s="105" t="str">
        <f>IF(D2692=1,COUNTIF($D$10:D2692,1)," ")</f>
        <v xml:space="preserve"> </v>
      </c>
      <c r="B2692" s="106">
        <f>COPY!AR2684</f>
        <v>0</v>
      </c>
      <c r="C2692" s="107">
        <f>COPY!AC2684</f>
        <v>0</v>
      </c>
      <c r="D2692" s="107" t="str">
        <f>IF(LEN(Table1722[[#This Row],[Uraian]])&gt;2,1," ")</f>
        <v xml:space="preserve"> </v>
      </c>
      <c r="E2692" s="113" t="str">
        <f>IF(Table1722[[#This Row],[Lawan Transaksi]]="CV AGUNG KARYA",COUNTIF($I$10:I2692,"CV AGUNG KARYA")," ")</f>
        <v xml:space="preserve"> </v>
      </c>
      <c r="F2692" s="107" t="str">
        <f>IF(LEN(Table1722[[#This Row],[Uraian]])&gt;2,TRIM(RIGHT(SUBSTITUTE(TRIM(C2692)," ",REPT(" ",255)),255))," ")</f>
        <v xml:space="preserve"> </v>
      </c>
      <c r="G2692" s="110">
        <f>COPY!Z2684</f>
        <v>0</v>
      </c>
      <c r="H2692" s="111" t="str">
        <f>IFERROR(VLOOKUP(Table1722[[#This Row],[Bukti]],'Un nOTA'!$A$4:$K$5003,10,FALSE),"")</f>
        <v/>
      </c>
      <c r="I2692" s="112" t="str">
        <f>IFERROR(VLOOKUP(Table1722[[#This Row],[Bukti]],Table13[#Data],11,FALSE),"")</f>
        <v/>
      </c>
    </row>
    <row r="2693" spans="1:9" ht="19.5" hidden="1" customHeight="1" x14ac:dyDescent="0.2">
      <c r="A2693" s="105" t="str">
        <f>IF(D2693=1,COUNTIF($D$10:D2693,1)," ")</f>
        <v xml:space="preserve"> </v>
      </c>
      <c r="B2693" s="106">
        <f>COPY!AR2685</f>
        <v>0</v>
      </c>
      <c r="C2693" s="107">
        <f>COPY!AC2685</f>
        <v>0</v>
      </c>
      <c r="D2693" s="107" t="str">
        <f>IF(LEN(Table1722[[#This Row],[Uraian]])&gt;2,1," ")</f>
        <v xml:space="preserve"> </v>
      </c>
      <c r="E2693" s="113" t="str">
        <f>IF(Table1722[[#This Row],[Lawan Transaksi]]="CV AGUNG KARYA",COUNTIF($I$10:I2693,"CV AGUNG KARYA")," ")</f>
        <v xml:space="preserve"> </v>
      </c>
      <c r="F2693" s="107" t="str">
        <f>IF(LEN(Table1722[[#This Row],[Uraian]])&gt;2,TRIM(RIGHT(SUBSTITUTE(TRIM(C2693)," ",REPT(" ",255)),255))," ")</f>
        <v xml:space="preserve"> </v>
      </c>
      <c r="G2693" s="110">
        <f>COPY!Z2685</f>
        <v>0</v>
      </c>
      <c r="H2693" s="111" t="str">
        <f>IFERROR(VLOOKUP(Table1722[[#This Row],[Bukti]],'Un nOTA'!$A$4:$K$5003,10,FALSE),"")</f>
        <v/>
      </c>
      <c r="I2693" s="112" t="str">
        <f>IFERROR(VLOOKUP(Table1722[[#This Row],[Bukti]],Table13[#Data],11,FALSE),"")</f>
        <v/>
      </c>
    </row>
    <row r="2694" spans="1:9" ht="19.5" hidden="1" customHeight="1" x14ac:dyDescent="0.2">
      <c r="A2694" s="105" t="str">
        <f>IF(D2694=1,COUNTIF($D$10:D2694,1)," ")</f>
        <v xml:space="preserve"> </v>
      </c>
      <c r="B2694" s="106">
        <f>COPY!AR2686</f>
        <v>0</v>
      </c>
      <c r="C2694" s="107">
        <f>COPY!AC2686</f>
        <v>0</v>
      </c>
      <c r="D2694" s="107" t="str">
        <f>IF(LEN(Table1722[[#This Row],[Uraian]])&gt;2,1," ")</f>
        <v xml:space="preserve"> </v>
      </c>
      <c r="E2694" s="113" t="str">
        <f>IF(Table1722[[#This Row],[Lawan Transaksi]]="CV AGUNG KARYA",COUNTIF($I$10:I2694,"CV AGUNG KARYA")," ")</f>
        <v xml:space="preserve"> </v>
      </c>
      <c r="F2694" s="107" t="str">
        <f>IF(LEN(Table1722[[#This Row],[Uraian]])&gt;2,TRIM(RIGHT(SUBSTITUTE(TRIM(C2694)," ",REPT(" ",255)),255))," ")</f>
        <v xml:space="preserve"> </v>
      </c>
      <c r="G2694" s="110">
        <f>COPY!Z2686</f>
        <v>0</v>
      </c>
      <c r="H2694" s="111" t="str">
        <f>IFERROR(VLOOKUP(Table1722[[#This Row],[Bukti]],'Un nOTA'!$A$4:$K$5003,10,FALSE),"")</f>
        <v/>
      </c>
      <c r="I2694" s="112" t="str">
        <f>IFERROR(VLOOKUP(Table1722[[#This Row],[Bukti]],Table13[#Data],11,FALSE),"")</f>
        <v/>
      </c>
    </row>
    <row r="2695" spans="1:9" ht="19.5" hidden="1" customHeight="1" x14ac:dyDescent="0.2">
      <c r="A2695" s="105" t="str">
        <f>IF(D2695=1,COUNTIF($D$10:D2695,1)," ")</f>
        <v xml:space="preserve"> </v>
      </c>
      <c r="B2695" s="106">
        <f>COPY!AR2687</f>
        <v>0</v>
      </c>
      <c r="C2695" s="107">
        <f>COPY!AC2687</f>
        <v>0</v>
      </c>
      <c r="D2695" s="107" t="str">
        <f>IF(LEN(Table1722[[#This Row],[Uraian]])&gt;2,1," ")</f>
        <v xml:space="preserve"> </v>
      </c>
      <c r="E2695" s="113" t="str">
        <f>IF(Table1722[[#This Row],[Lawan Transaksi]]="CV AGUNG KARYA",COUNTIF($I$10:I2695,"CV AGUNG KARYA")," ")</f>
        <v xml:space="preserve"> </v>
      </c>
      <c r="F2695" s="107" t="str">
        <f>IF(LEN(Table1722[[#This Row],[Uraian]])&gt;2,TRIM(RIGHT(SUBSTITUTE(TRIM(C2695)," ",REPT(" ",255)),255))," ")</f>
        <v xml:space="preserve"> </v>
      </c>
      <c r="G2695" s="110">
        <f>COPY!Z2687</f>
        <v>0</v>
      </c>
      <c r="H2695" s="111" t="str">
        <f>IFERROR(VLOOKUP(Table1722[[#This Row],[Bukti]],'Un nOTA'!$A$4:$K$5003,10,FALSE),"")</f>
        <v/>
      </c>
      <c r="I2695" s="112" t="str">
        <f>IFERROR(VLOOKUP(Table1722[[#This Row],[Bukti]],Table13[#Data],11,FALSE),"")</f>
        <v/>
      </c>
    </row>
    <row r="2696" spans="1:9" ht="19.5" hidden="1" customHeight="1" x14ac:dyDescent="0.2">
      <c r="A2696" s="105" t="str">
        <f>IF(D2696=1,COUNTIF($D$10:D2696,1)," ")</f>
        <v xml:space="preserve"> </v>
      </c>
      <c r="B2696" s="106">
        <f>COPY!AR2688</f>
        <v>0</v>
      </c>
      <c r="C2696" s="107">
        <f>COPY!AC2688</f>
        <v>0</v>
      </c>
      <c r="D2696" s="107" t="str">
        <f>IF(LEN(Table1722[[#This Row],[Uraian]])&gt;2,1," ")</f>
        <v xml:space="preserve"> </v>
      </c>
      <c r="E2696" s="113" t="str">
        <f>IF(Table1722[[#This Row],[Lawan Transaksi]]="CV AGUNG KARYA",COUNTIF($I$10:I2696,"CV AGUNG KARYA")," ")</f>
        <v xml:space="preserve"> </v>
      </c>
      <c r="F2696" s="107" t="str">
        <f>IF(LEN(Table1722[[#This Row],[Uraian]])&gt;2,TRIM(RIGHT(SUBSTITUTE(TRIM(C2696)," ",REPT(" ",255)),255))," ")</f>
        <v xml:space="preserve"> </v>
      </c>
      <c r="G2696" s="110">
        <f>COPY!Z2688</f>
        <v>0</v>
      </c>
      <c r="H2696" s="111" t="str">
        <f>IFERROR(VLOOKUP(Table1722[[#This Row],[Bukti]],'Un nOTA'!$A$4:$K$5003,10,FALSE),"")</f>
        <v/>
      </c>
      <c r="I2696" s="112" t="str">
        <f>IFERROR(VLOOKUP(Table1722[[#This Row],[Bukti]],Table13[#Data],11,FALSE),"")</f>
        <v/>
      </c>
    </row>
    <row r="2697" spans="1:9" ht="19.5" hidden="1" customHeight="1" x14ac:dyDescent="0.2">
      <c r="A2697" s="105" t="str">
        <f>IF(D2697=1,COUNTIF($D$10:D2697,1)," ")</f>
        <v xml:space="preserve"> </v>
      </c>
      <c r="B2697" s="106">
        <f>COPY!AR2689</f>
        <v>0</v>
      </c>
      <c r="C2697" s="107">
        <f>COPY!AC2689</f>
        <v>0</v>
      </c>
      <c r="D2697" s="107" t="str">
        <f>IF(LEN(Table1722[[#This Row],[Uraian]])&gt;2,1," ")</f>
        <v xml:space="preserve"> </v>
      </c>
      <c r="E2697" s="113" t="str">
        <f>IF(Table1722[[#This Row],[Lawan Transaksi]]="CV AGUNG KARYA",COUNTIF($I$10:I2697,"CV AGUNG KARYA")," ")</f>
        <v xml:space="preserve"> </v>
      </c>
      <c r="F2697" s="107" t="str">
        <f>IF(LEN(Table1722[[#This Row],[Uraian]])&gt;2,TRIM(RIGHT(SUBSTITUTE(TRIM(C2697)," ",REPT(" ",255)),255))," ")</f>
        <v xml:space="preserve"> </v>
      </c>
      <c r="G2697" s="110">
        <f>COPY!Z2689</f>
        <v>0</v>
      </c>
      <c r="H2697" s="111" t="str">
        <f>IFERROR(VLOOKUP(Table1722[[#This Row],[Bukti]],'Un nOTA'!$A$4:$K$5003,10,FALSE),"")</f>
        <v/>
      </c>
      <c r="I2697" s="112" t="str">
        <f>IFERROR(VLOOKUP(Table1722[[#This Row],[Bukti]],Table13[#Data],11,FALSE),"")</f>
        <v/>
      </c>
    </row>
    <row r="2698" spans="1:9" ht="19.5" hidden="1" customHeight="1" x14ac:dyDescent="0.2">
      <c r="A2698" s="105" t="str">
        <f>IF(D2698=1,COUNTIF($D$10:D2698,1)," ")</f>
        <v xml:space="preserve"> </v>
      </c>
      <c r="B2698" s="106">
        <f>COPY!AR2690</f>
        <v>0</v>
      </c>
      <c r="C2698" s="107">
        <f>COPY!AC2690</f>
        <v>0</v>
      </c>
      <c r="D2698" s="107" t="str">
        <f>IF(LEN(Table1722[[#This Row],[Uraian]])&gt;2,1," ")</f>
        <v xml:space="preserve"> </v>
      </c>
      <c r="E2698" s="113" t="str">
        <f>IF(Table1722[[#This Row],[Lawan Transaksi]]="CV AGUNG KARYA",COUNTIF($I$10:I2698,"CV AGUNG KARYA")," ")</f>
        <v xml:space="preserve"> </v>
      </c>
      <c r="F2698" s="107" t="str">
        <f>IF(LEN(Table1722[[#This Row],[Uraian]])&gt;2,TRIM(RIGHT(SUBSTITUTE(TRIM(C2698)," ",REPT(" ",255)),255))," ")</f>
        <v xml:space="preserve"> </v>
      </c>
      <c r="G2698" s="110">
        <f>COPY!Z2690</f>
        <v>0</v>
      </c>
      <c r="H2698" s="111" t="str">
        <f>IFERROR(VLOOKUP(Table1722[[#This Row],[Bukti]],'Un nOTA'!$A$4:$K$5003,10,FALSE),"")</f>
        <v/>
      </c>
      <c r="I2698" s="112" t="str">
        <f>IFERROR(VLOOKUP(Table1722[[#This Row],[Bukti]],Table13[#Data],11,FALSE),"")</f>
        <v/>
      </c>
    </row>
    <row r="2699" spans="1:9" ht="19.5" hidden="1" customHeight="1" x14ac:dyDescent="0.2">
      <c r="A2699" s="105" t="str">
        <f>IF(D2699=1,COUNTIF($D$10:D2699,1)," ")</f>
        <v xml:space="preserve"> </v>
      </c>
      <c r="B2699" s="106">
        <f>COPY!AR2691</f>
        <v>0</v>
      </c>
      <c r="C2699" s="107">
        <f>COPY!AC2691</f>
        <v>0</v>
      </c>
      <c r="D2699" s="107" t="str">
        <f>IF(LEN(Table1722[[#This Row],[Uraian]])&gt;2,1," ")</f>
        <v xml:space="preserve"> </v>
      </c>
      <c r="E2699" s="113" t="str">
        <f>IF(Table1722[[#This Row],[Lawan Transaksi]]="CV AGUNG KARYA",COUNTIF($I$10:I2699,"CV AGUNG KARYA")," ")</f>
        <v xml:space="preserve"> </v>
      </c>
      <c r="F2699" s="107" t="str">
        <f>IF(LEN(Table1722[[#This Row],[Uraian]])&gt;2,TRIM(RIGHT(SUBSTITUTE(TRIM(C2699)," ",REPT(" ",255)),255))," ")</f>
        <v xml:space="preserve"> </v>
      </c>
      <c r="G2699" s="110">
        <f>COPY!Z2691</f>
        <v>0</v>
      </c>
      <c r="H2699" s="111" t="str">
        <f>IFERROR(VLOOKUP(Table1722[[#This Row],[Bukti]],'Un nOTA'!$A$4:$K$5003,10,FALSE),"")</f>
        <v/>
      </c>
      <c r="I2699" s="112" t="str">
        <f>IFERROR(VLOOKUP(Table1722[[#This Row],[Bukti]],Table13[#Data],11,FALSE),"")</f>
        <v/>
      </c>
    </row>
    <row r="2700" spans="1:9" ht="19.5" hidden="1" customHeight="1" x14ac:dyDescent="0.2">
      <c r="A2700" s="105" t="str">
        <f>IF(D2700=1,COUNTIF($D$10:D2700,1)," ")</f>
        <v xml:space="preserve"> </v>
      </c>
      <c r="B2700" s="106">
        <f>COPY!AR2692</f>
        <v>0</v>
      </c>
      <c r="C2700" s="107">
        <f>COPY!AC2692</f>
        <v>0</v>
      </c>
      <c r="D2700" s="107" t="str">
        <f>IF(LEN(Table1722[[#This Row],[Uraian]])&gt;2,1," ")</f>
        <v xml:space="preserve"> </v>
      </c>
      <c r="E2700" s="113" t="str">
        <f>IF(Table1722[[#This Row],[Lawan Transaksi]]="CV AGUNG KARYA",COUNTIF($I$10:I2700,"CV AGUNG KARYA")," ")</f>
        <v xml:space="preserve"> </v>
      </c>
      <c r="F2700" s="107" t="str">
        <f>IF(LEN(Table1722[[#This Row],[Uraian]])&gt;2,TRIM(RIGHT(SUBSTITUTE(TRIM(C2700)," ",REPT(" ",255)),255))," ")</f>
        <v xml:space="preserve"> </v>
      </c>
      <c r="G2700" s="110">
        <f>COPY!Z2692</f>
        <v>0</v>
      </c>
      <c r="H2700" s="111" t="str">
        <f>IFERROR(VLOOKUP(Table1722[[#This Row],[Bukti]],'Un nOTA'!$A$4:$K$5003,10,FALSE),"")</f>
        <v/>
      </c>
      <c r="I2700" s="112" t="str">
        <f>IFERROR(VLOOKUP(Table1722[[#This Row],[Bukti]],Table13[#Data],11,FALSE),"")</f>
        <v/>
      </c>
    </row>
    <row r="2701" spans="1:9" ht="19.5" hidden="1" customHeight="1" x14ac:dyDescent="0.2">
      <c r="A2701" s="105" t="str">
        <f>IF(D2701=1,COUNTIF($D$10:D2701,1)," ")</f>
        <v xml:space="preserve"> </v>
      </c>
      <c r="B2701" s="106">
        <f>COPY!AR2693</f>
        <v>0</v>
      </c>
      <c r="C2701" s="107">
        <f>COPY!AC2693</f>
        <v>0</v>
      </c>
      <c r="D2701" s="107" t="str">
        <f>IF(LEN(Table1722[[#This Row],[Uraian]])&gt;2,1," ")</f>
        <v xml:space="preserve"> </v>
      </c>
      <c r="E2701" s="113" t="str">
        <f>IF(Table1722[[#This Row],[Lawan Transaksi]]="CV AGUNG KARYA",COUNTIF($I$10:I2701,"CV AGUNG KARYA")," ")</f>
        <v xml:space="preserve"> </v>
      </c>
      <c r="F2701" s="107" t="str">
        <f>IF(LEN(Table1722[[#This Row],[Uraian]])&gt;2,TRIM(RIGHT(SUBSTITUTE(TRIM(C2701)," ",REPT(" ",255)),255))," ")</f>
        <v xml:space="preserve"> </v>
      </c>
      <c r="G2701" s="110">
        <f>COPY!Z2693</f>
        <v>0</v>
      </c>
      <c r="H2701" s="111" t="str">
        <f>IFERROR(VLOOKUP(Table1722[[#This Row],[Bukti]],'Un nOTA'!$A$4:$K$5003,10,FALSE),"")</f>
        <v/>
      </c>
      <c r="I2701" s="112" t="str">
        <f>IFERROR(VLOOKUP(Table1722[[#This Row],[Bukti]],Table13[#Data],11,FALSE),"")</f>
        <v/>
      </c>
    </row>
    <row r="2702" spans="1:9" ht="19.5" hidden="1" customHeight="1" x14ac:dyDescent="0.2">
      <c r="A2702" s="105" t="str">
        <f>IF(D2702=1,COUNTIF($D$10:D2702,1)," ")</f>
        <v xml:space="preserve"> </v>
      </c>
      <c r="B2702" s="106">
        <f>COPY!AR2694</f>
        <v>0</v>
      </c>
      <c r="C2702" s="107">
        <f>COPY!AC2694</f>
        <v>0</v>
      </c>
      <c r="D2702" s="107" t="str">
        <f>IF(LEN(Table1722[[#This Row],[Uraian]])&gt;2,1," ")</f>
        <v xml:space="preserve"> </v>
      </c>
      <c r="E2702" s="113" t="str">
        <f>IF(Table1722[[#This Row],[Lawan Transaksi]]="CV AGUNG KARYA",COUNTIF($I$10:I2702,"CV AGUNG KARYA")," ")</f>
        <v xml:space="preserve"> </v>
      </c>
      <c r="F2702" s="107" t="str">
        <f>IF(LEN(Table1722[[#This Row],[Uraian]])&gt;2,TRIM(RIGHT(SUBSTITUTE(TRIM(C2702)," ",REPT(" ",255)),255))," ")</f>
        <v xml:space="preserve"> </v>
      </c>
      <c r="G2702" s="110">
        <f>COPY!Z2694</f>
        <v>0</v>
      </c>
      <c r="H2702" s="111" t="str">
        <f>IFERROR(VLOOKUP(Table1722[[#This Row],[Bukti]],'Un nOTA'!$A$4:$K$5003,10,FALSE),"")</f>
        <v/>
      </c>
      <c r="I2702" s="112" t="str">
        <f>IFERROR(VLOOKUP(Table1722[[#This Row],[Bukti]],Table13[#Data],11,FALSE),"")</f>
        <v/>
      </c>
    </row>
    <row r="2703" spans="1:9" ht="19.5" hidden="1" customHeight="1" x14ac:dyDescent="0.2">
      <c r="A2703" s="105" t="str">
        <f>IF(D2703=1,COUNTIF($D$10:D2703,1)," ")</f>
        <v xml:space="preserve"> </v>
      </c>
      <c r="B2703" s="106">
        <f>COPY!AR2695</f>
        <v>0</v>
      </c>
      <c r="C2703" s="107">
        <f>COPY!AC2695</f>
        <v>0</v>
      </c>
      <c r="D2703" s="107" t="str">
        <f>IF(LEN(Table1722[[#This Row],[Uraian]])&gt;2,1," ")</f>
        <v xml:space="preserve"> </v>
      </c>
      <c r="E2703" s="113" t="str">
        <f>IF(Table1722[[#This Row],[Lawan Transaksi]]="CV AGUNG KARYA",COUNTIF($I$10:I2703,"CV AGUNG KARYA")," ")</f>
        <v xml:space="preserve"> </v>
      </c>
      <c r="F2703" s="107" t="str">
        <f>IF(LEN(Table1722[[#This Row],[Uraian]])&gt;2,TRIM(RIGHT(SUBSTITUTE(TRIM(C2703)," ",REPT(" ",255)),255))," ")</f>
        <v xml:space="preserve"> </v>
      </c>
      <c r="G2703" s="110">
        <f>COPY!Z2695</f>
        <v>0</v>
      </c>
      <c r="H2703" s="111" t="str">
        <f>IFERROR(VLOOKUP(Table1722[[#This Row],[Bukti]],'Un nOTA'!$A$4:$K$5003,10,FALSE),"")</f>
        <v/>
      </c>
      <c r="I2703" s="112" t="str">
        <f>IFERROR(VLOOKUP(Table1722[[#This Row],[Bukti]],Table13[#Data],11,FALSE),"")</f>
        <v/>
      </c>
    </row>
    <row r="2704" spans="1:9" ht="19.5" hidden="1" customHeight="1" x14ac:dyDescent="0.2">
      <c r="A2704" s="105" t="str">
        <f>IF(D2704=1,COUNTIF($D$10:D2704,1)," ")</f>
        <v xml:space="preserve"> </v>
      </c>
      <c r="B2704" s="106">
        <f>COPY!AR2696</f>
        <v>0</v>
      </c>
      <c r="C2704" s="107">
        <f>COPY!AC2696</f>
        <v>0</v>
      </c>
      <c r="D2704" s="107" t="str">
        <f>IF(LEN(Table1722[[#This Row],[Uraian]])&gt;2,1," ")</f>
        <v xml:space="preserve"> </v>
      </c>
      <c r="E2704" s="113" t="str">
        <f>IF(Table1722[[#This Row],[Lawan Transaksi]]="CV AGUNG KARYA",COUNTIF($I$10:I2704,"CV AGUNG KARYA")," ")</f>
        <v xml:space="preserve"> </v>
      </c>
      <c r="F2704" s="107" t="str">
        <f>IF(LEN(Table1722[[#This Row],[Uraian]])&gt;2,TRIM(RIGHT(SUBSTITUTE(TRIM(C2704)," ",REPT(" ",255)),255))," ")</f>
        <v xml:space="preserve"> </v>
      </c>
      <c r="G2704" s="110">
        <f>COPY!Z2696</f>
        <v>0</v>
      </c>
      <c r="H2704" s="111" t="str">
        <f>IFERROR(VLOOKUP(Table1722[[#This Row],[Bukti]],'Un nOTA'!$A$4:$K$5003,10,FALSE),"")</f>
        <v/>
      </c>
      <c r="I2704" s="112" t="str">
        <f>IFERROR(VLOOKUP(Table1722[[#This Row],[Bukti]],Table13[#Data],11,FALSE),"")</f>
        <v/>
      </c>
    </row>
    <row r="2705" spans="1:9" ht="19.5" hidden="1" customHeight="1" x14ac:dyDescent="0.2">
      <c r="A2705" s="105" t="str">
        <f>IF(D2705=1,COUNTIF($D$10:D2705,1)," ")</f>
        <v xml:space="preserve"> </v>
      </c>
      <c r="B2705" s="106">
        <f>COPY!AR2697</f>
        <v>0</v>
      </c>
      <c r="C2705" s="107">
        <f>COPY!AC2697</f>
        <v>0</v>
      </c>
      <c r="D2705" s="107" t="str">
        <f>IF(LEN(Table1722[[#This Row],[Uraian]])&gt;2,1," ")</f>
        <v xml:space="preserve"> </v>
      </c>
      <c r="E2705" s="113" t="str">
        <f>IF(Table1722[[#This Row],[Lawan Transaksi]]="CV AGUNG KARYA",COUNTIF($I$10:I2705,"CV AGUNG KARYA")," ")</f>
        <v xml:space="preserve"> </v>
      </c>
      <c r="F2705" s="107" t="str">
        <f>IF(LEN(Table1722[[#This Row],[Uraian]])&gt;2,TRIM(RIGHT(SUBSTITUTE(TRIM(C2705)," ",REPT(" ",255)),255))," ")</f>
        <v xml:space="preserve"> </v>
      </c>
      <c r="G2705" s="110">
        <f>COPY!Z2697</f>
        <v>0</v>
      </c>
      <c r="H2705" s="111" t="str">
        <f>IFERROR(VLOOKUP(Table1722[[#This Row],[Bukti]],'Un nOTA'!$A$4:$K$5003,10,FALSE),"")</f>
        <v/>
      </c>
      <c r="I2705" s="112" t="str">
        <f>IFERROR(VLOOKUP(Table1722[[#This Row],[Bukti]],Table13[#Data],11,FALSE),"")</f>
        <v/>
      </c>
    </row>
    <row r="2706" spans="1:9" ht="19.5" hidden="1" customHeight="1" x14ac:dyDescent="0.2">
      <c r="A2706" s="105" t="str">
        <f>IF(D2706=1,COUNTIF($D$10:D2706,1)," ")</f>
        <v xml:space="preserve"> </v>
      </c>
      <c r="B2706" s="106">
        <f>COPY!AR2698</f>
        <v>0</v>
      </c>
      <c r="C2706" s="107">
        <f>COPY!AC2698</f>
        <v>0</v>
      </c>
      <c r="D2706" s="107" t="str">
        <f>IF(LEN(Table1722[[#This Row],[Uraian]])&gt;2,1," ")</f>
        <v xml:space="preserve"> </v>
      </c>
      <c r="E2706" s="113" t="str">
        <f>IF(Table1722[[#This Row],[Lawan Transaksi]]="CV AGUNG KARYA",COUNTIF($I$10:I2706,"CV AGUNG KARYA")," ")</f>
        <v xml:space="preserve"> </v>
      </c>
      <c r="F2706" s="107" t="str">
        <f>IF(LEN(Table1722[[#This Row],[Uraian]])&gt;2,TRIM(RIGHT(SUBSTITUTE(TRIM(C2706)," ",REPT(" ",255)),255))," ")</f>
        <v xml:space="preserve"> </v>
      </c>
      <c r="G2706" s="110">
        <f>COPY!Z2698</f>
        <v>0</v>
      </c>
      <c r="H2706" s="111" t="str">
        <f>IFERROR(VLOOKUP(Table1722[[#This Row],[Bukti]],'Un nOTA'!$A$4:$K$5003,10,FALSE),"")</f>
        <v/>
      </c>
      <c r="I2706" s="112" t="str">
        <f>IFERROR(VLOOKUP(Table1722[[#This Row],[Bukti]],Table13[#Data],11,FALSE),"")</f>
        <v/>
      </c>
    </row>
    <row r="2707" spans="1:9" ht="19.5" hidden="1" customHeight="1" x14ac:dyDescent="0.2">
      <c r="A2707" s="105" t="str">
        <f>IF(D2707=1,COUNTIF($D$10:D2707,1)," ")</f>
        <v xml:space="preserve"> </v>
      </c>
      <c r="B2707" s="106">
        <f>COPY!AR2699</f>
        <v>0</v>
      </c>
      <c r="C2707" s="107">
        <f>COPY!AC2699</f>
        <v>0</v>
      </c>
      <c r="D2707" s="107" t="str">
        <f>IF(LEN(Table1722[[#This Row],[Uraian]])&gt;2,1," ")</f>
        <v xml:space="preserve"> </v>
      </c>
      <c r="E2707" s="113" t="str">
        <f>IF(Table1722[[#This Row],[Lawan Transaksi]]="CV AGUNG KARYA",COUNTIF($I$10:I2707,"CV AGUNG KARYA")," ")</f>
        <v xml:space="preserve"> </v>
      </c>
      <c r="F2707" s="107" t="str">
        <f>IF(LEN(Table1722[[#This Row],[Uraian]])&gt;2,TRIM(RIGHT(SUBSTITUTE(TRIM(C2707)," ",REPT(" ",255)),255))," ")</f>
        <v xml:space="preserve"> </v>
      </c>
      <c r="G2707" s="110">
        <f>COPY!Z2699</f>
        <v>0</v>
      </c>
      <c r="H2707" s="111" t="str">
        <f>IFERROR(VLOOKUP(Table1722[[#This Row],[Bukti]],'Un nOTA'!$A$4:$K$5003,10,FALSE),"")</f>
        <v/>
      </c>
      <c r="I2707" s="112" t="str">
        <f>IFERROR(VLOOKUP(Table1722[[#This Row],[Bukti]],Table13[#Data],11,FALSE),"")</f>
        <v/>
      </c>
    </row>
    <row r="2708" spans="1:9" ht="19.5" hidden="1" customHeight="1" x14ac:dyDescent="0.2">
      <c r="A2708" s="105" t="str">
        <f>IF(D2708=1,COUNTIF($D$10:D2708,1)," ")</f>
        <v xml:space="preserve"> </v>
      </c>
      <c r="B2708" s="106">
        <f>COPY!AR2700</f>
        <v>0</v>
      </c>
      <c r="C2708" s="107">
        <f>COPY!AC2700</f>
        <v>0</v>
      </c>
      <c r="D2708" s="107" t="str">
        <f>IF(LEN(Table1722[[#This Row],[Uraian]])&gt;2,1," ")</f>
        <v xml:space="preserve"> </v>
      </c>
      <c r="E2708" s="113" t="str">
        <f>IF(Table1722[[#This Row],[Lawan Transaksi]]="CV AGUNG KARYA",COUNTIF($I$10:I2708,"CV AGUNG KARYA")," ")</f>
        <v xml:space="preserve"> </v>
      </c>
      <c r="F2708" s="107" t="str">
        <f>IF(LEN(Table1722[[#This Row],[Uraian]])&gt;2,TRIM(RIGHT(SUBSTITUTE(TRIM(C2708)," ",REPT(" ",255)),255))," ")</f>
        <v xml:space="preserve"> </v>
      </c>
      <c r="G2708" s="110">
        <f>COPY!Z2700</f>
        <v>0</v>
      </c>
      <c r="H2708" s="111" t="str">
        <f>IFERROR(VLOOKUP(Table1722[[#This Row],[Bukti]],'Un nOTA'!$A$4:$K$5003,10,FALSE),"")</f>
        <v/>
      </c>
      <c r="I2708" s="112" t="str">
        <f>IFERROR(VLOOKUP(Table1722[[#This Row],[Bukti]],Table13[#Data],11,FALSE),"")</f>
        <v/>
      </c>
    </row>
    <row r="2709" spans="1:9" ht="19.5" hidden="1" customHeight="1" x14ac:dyDescent="0.2">
      <c r="A2709" s="105" t="str">
        <f>IF(D2709=1,COUNTIF($D$10:D2709,1)," ")</f>
        <v xml:space="preserve"> </v>
      </c>
      <c r="B2709" s="106">
        <f>COPY!AR2701</f>
        <v>0</v>
      </c>
      <c r="C2709" s="107">
        <f>COPY!AC2701</f>
        <v>0</v>
      </c>
      <c r="D2709" s="107" t="str">
        <f>IF(LEN(Table1722[[#This Row],[Uraian]])&gt;2,1," ")</f>
        <v xml:space="preserve"> </v>
      </c>
      <c r="E2709" s="113" t="str">
        <f>IF(Table1722[[#This Row],[Lawan Transaksi]]="CV AGUNG KARYA",COUNTIF($I$10:I2709,"CV AGUNG KARYA")," ")</f>
        <v xml:space="preserve"> </v>
      </c>
      <c r="F2709" s="107" t="str">
        <f>IF(LEN(Table1722[[#This Row],[Uraian]])&gt;2,TRIM(RIGHT(SUBSTITUTE(TRIM(C2709)," ",REPT(" ",255)),255))," ")</f>
        <v xml:space="preserve"> </v>
      </c>
      <c r="G2709" s="110">
        <f>COPY!Z2701</f>
        <v>0</v>
      </c>
      <c r="H2709" s="111" t="str">
        <f>IFERROR(VLOOKUP(Table1722[[#This Row],[Bukti]],'Un nOTA'!$A$4:$K$5003,10,FALSE),"")</f>
        <v/>
      </c>
      <c r="I2709" s="112" t="str">
        <f>IFERROR(VLOOKUP(Table1722[[#This Row],[Bukti]],Table13[#Data],11,FALSE),"")</f>
        <v/>
      </c>
    </row>
    <row r="2710" spans="1:9" ht="19.5" hidden="1" customHeight="1" x14ac:dyDescent="0.2">
      <c r="A2710" s="105" t="str">
        <f>IF(D2710=1,COUNTIF($D$10:D2710,1)," ")</f>
        <v xml:space="preserve"> </v>
      </c>
      <c r="B2710" s="106">
        <f>COPY!AR2702</f>
        <v>0</v>
      </c>
      <c r="C2710" s="107">
        <f>COPY!AC2702</f>
        <v>0</v>
      </c>
      <c r="D2710" s="107" t="str">
        <f>IF(LEN(Table1722[[#This Row],[Uraian]])&gt;2,1," ")</f>
        <v xml:space="preserve"> </v>
      </c>
      <c r="E2710" s="113" t="str">
        <f>IF(Table1722[[#This Row],[Lawan Transaksi]]="CV AGUNG KARYA",COUNTIF($I$10:I2710,"CV AGUNG KARYA")," ")</f>
        <v xml:space="preserve"> </v>
      </c>
      <c r="F2710" s="107" t="str">
        <f>IF(LEN(Table1722[[#This Row],[Uraian]])&gt;2,TRIM(RIGHT(SUBSTITUTE(TRIM(C2710)," ",REPT(" ",255)),255))," ")</f>
        <v xml:space="preserve"> </v>
      </c>
      <c r="G2710" s="110">
        <f>COPY!Z2702</f>
        <v>0</v>
      </c>
      <c r="H2710" s="111" t="str">
        <f>IFERROR(VLOOKUP(Table1722[[#This Row],[Bukti]],'Un nOTA'!$A$4:$K$5003,10,FALSE),"")</f>
        <v/>
      </c>
      <c r="I2710" s="112" t="str">
        <f>IFERROR(VLOOKUP(Table1722[[#This Row],[Bukti]],Table13[#Data],11,FALSE),"")</f>
        <v/>
      </c>
    </row>
    <row r="2711" spans="1:9" ht="19.5" hidden="1" customHeight="1" x14ac:dyDescent="0.2">
      <c r="A2711" s="105" t="str">
        <f>IF(D2711=1,COUNTIF($D$10:D2711,1)," ")</f>
        <v xml:space="preserve"> </v>
      </c>
      <c r="B2711" s="106">
        <f>COPY!AR2703</f>
        <v>0</v>
      </c>
      <c r="C2711" s="107">
        <f>COPY!AC2703</f>
        <v>0</v>
      </c>
      <c r="D2711" s="107" t="str">
        <f>IF(LEN(Table1722[[#This Row],[Uraian]])&gt;2,1," ")</f>
        <v xml:space="preserve"> </v>
      </c>
      <c r="E2711" s="113" t="str">
        <f>IF(Table1722[[#This Row],[Lawan Transaksi]]="CV AGUNG KARYA",COUNTIF($I$10:I2711,"CV AGUNG KARYA")," ")</f>
        <v xml:space="preserve"> </v>
      </c>
      <c r="F2711" s="107" t="str">
        <f>IF(LEN(Table1722[[#This Row],[Uraian]])&gt;2,TRIM(RIGHT(SUBSTITUTE(TRIM(C2711)," ",REPT(" ",255)),255))," ")</f>
        <v xml:space="preserve"> </v>
      </c>
      <c r="G2711" s="110">
        <f>COPY!Z2703</f>
        <v>0</v>
      </c>
      <c r="H2711" s="111" t="str">
        <f>IFERROR(VLOOKUP(Table1722[[#This Row],[Bukti]],'Un nOTA'!$A$4:$K$5003,10,FALSE),"")</f>
        <v/>
      </c>
      <c r="I2711" s="112" t="str">
        <f>IFERROR(VLOOKUP(Table1722[[#This Row],[Bukti]],Table13[#Data],11,FALSE),"")</f>
        <v/>
      </c>
    </row>
    <row r="2712" spans="1:9" ht="19.5" hidden="1" customHeight="1" x14ac:dyDescent="0.2">
      <c r="A2712" s="105" t="str">
        <f>IF(D2712=1,COUNTIF($D$10:D2712,1)," ")</f>
        <v xml:space="preserve"> </v>
      </c>
      <c r="B2712" s="106">
        <f>COPY!AR2704</f>
        <v>0</v>
      </c>
      <c r="C2712" s="107">
        <f>COPY!AC2704</f>
        <v>0</v>
      </c>
      <c r="D2712" s="107" t="str">
        <f>IF(LEN(Table1722[[#This Row],[Uraian]])&gt;2,1," ")</f>
        <v xml:space="preserve"> </v>
      </c>
      <c r="E2712" s="113" t="str">
        <f>IF(Table1722[[#This Row],[Lawan Transaksi]]="CV AGUNG KARYA",COUNTIF($I$10:I2712,"CV AGUNG KARYA")," ")</f>
        <v xml:space="preserve"> </v>
      </c>
      <c r="F2712" s="107" t="str">
        <f>IF(LEN(Table1722[[#This Row],[Uraian]])&gt;2,TRIM(RIGHT(SUBSTITUTE(TRIM(C2712)," ",REPT(" ",255)),255))," ")</f>
        <v xml:space="preserve"> </v>
      </c>
      <c r="G2712" s="110">
        <f>COPY!Z2704</f>
        <v>0</v>
      </c>
      <c r="H2712" s="111" t="str">
        <f>IFERROR(VLOOKUP(Table1722[[#This Row],[Bukti]],'Un nOTA'!$A$4:$K$5003,10,FALSE),"")</f>
        <v/>
      </c>
      <c r="I2712" s="112" t="str">
        <f>IFERROR(VLOOKUP(Table1722[[#This Row],[Bukti]],Table13[#Data],11,FALSE),"")</f>
        <v/>
      </c>
    </row>
    <row r="2713" spans="1:9" ht="19.5" hidden="1" customHeight="1" x14ac:dyDescent="0.2">
      <c r="A2713" s="105" t="str">
        <f>IF(D2713=1,COUNTIF($D$10:D2713,1)," ")</f>
        <v xml:space="preserve"> </v>
      </c>
      <c r="B2713" s="106">
        <f>COPY!AR2705</f>
        <v>0</v>
      </c>
      <c r="C2713" s="107">
        <f>COPY!AC2705</f>
        <v>0</v>
      </c>
      <c r="D2713" s="107" t="str">
        <f>IF(LEN(Table1722[[#This Row],[Uraian]])&gt;2,1," ")</f>
        <v xml:space="preserve"> </v>
      </c>
      <c r="E2713" s="113" t="str">
        <f>IF(Table1722[[#This Row],[Lawan Transaksi]]="CV AGUNG KARYA",COUNTIF($I$10:I2713,"CV AGUNG KARYA")," ")</f>
        <v xml:space="preserve"> </v>
      </c>
      <c r="F2713" s="107" t="str">
        <f>IF(LEN(Table1722[[#This Row],[Uraian]])&gt;2,TRIM(RIGHT(SUBSTITUTE(TRIM(C2713)," ",REPT(" ",255)),255))," ")</f>
        <v xml:space="preserve"> </v>
      </c>
      <c r="G2713" s="110">
        <f>COPY!Z2705</f>
        <v>0</v>
      </c>
      <c r="H2713" s="111" t="str">
        <f>IFERROR(VLOOKUP(Table1722[[#This Row],[Bukti]],'Un nOTA'!$A$4:$K$5003,10,FALSE),"")</f>
        <v/>
      </c>
      <c r="I2713" s="112" t="str">
        <f>IFERROR(VLOOKUP(Table1722[[#This Row],[Bukti]],Table13[#Data],11,FALSE),"")</f>
        <v/>
      </c>
    </row>
    <row r="2714" spans="1:9" ht="19.5" hidden="1" customHeight="1" x14ac:dyDescent="0.2">
      <c r="A2714" s="105" t="str">
        <f>IF(D2714=1,COUNTIF($D$10:D2714,1)," ")</f>
        <v xml:space="preserve"> </v>
      </c>
      <c r="B2714" s="106">
        <f>COPY!AR2706</f>
        <v>0</v>
      </c>
      <c r="C2714" s="107">
        <f>COPY!AC2706</f>
        <v>0</v>
      </c>
      <c r="D2714" s="107" t="str">
        <f>IF(LEN(Table1722[[#This Row],[Uraian]])&gt;2,1," ")</f>
        <v xml:space="preserve"> </v>
      </c>
      <c r="E2714" s="113" t="str">
        <f>IF(Table1722[[#This Row],[Lawan Transaksi]]="CV AGUNG KARYA",COUNTIF($I$10:I2714,"CV AGUNG KARYA")," ")</f>
        <v xml:space="preserve"> </v>
      </c>
      <c r="F2714" s="107" t="str">
        <f>IF(LEN(Table1722[[#This Row],[Uraian]])&gt;2,TRIM(RIGHT(SUBSTITUTE(TRIM(C2714)," ",REPT(" ",255)),255))," ")</f>
        <v xml:space="preserve"> </v>
      </c>
      <c r="G2714" s="110">
        <f>COPY!Z2706</f>
        <v>0</v>
      </c>
      <c r="H2714" s="111" t="str">
        <f>IFERROR(VLOOKUP(Table1722[[#This Row],[Bukti]],'Un nOTA'!$A$4:$K$5003,10,FALSE),"")</f>
        <v/>
      </c>
      <c r="I2714" s="112" t="str">
        <f>IFERROR(VLOOKUP(Table1722[[#This Row],[Bukti]],Table13[#Data],11,FALSE),"")</f>
        <v/>
      </c>
    </row>
    <row r="2715" spans="1:9" ht="19.5" hidden="1" customHeight="1" x14ac:dyDescent="0.2">
      <c r="A2715" s="105" t="str">
        <f>IF(D2715=1,COUNTIF($D$10:D2715,1)," ")</f>
        <v xml:space="preserve"> </v>
      </c>
      <c r="B2715" s="106">
        <f>COPY!AR2707</f>
        <v>0</v>
      </c>
      <c r="C2715" s="107">
        <f>COPY!AC2707</f>
        <v>0</v>
      </c>
      <c r="D2715" s="107" t="str">
        <f>IF(LEN(Table1722[[#This Row],[Uraian]])&gt;2,1," ")</f>
        <v xml:space="preserve"> </v>
      </c>
      <c r="E2715" s="113" t="str">
        <f>IF(Table1722[[#This Row],[Lawan Transaksi]]="CV AGUNG KARYA",COUNTIF($I$10:I2715,"CV AGUNG KARYA")," ")</f>
        <v xml:space="preserve"> </v>
      </c>
      <c r="F2715" s="107" t="str">
        <f>IF(LEN(Table1722[[#This Row],[Uraian]])&gt;2,TRIM(RIGHT(SUBSTITUTE(TRIM(C2715)," ",REPT(" ",255)),255))," ")</f>
        <v xml:space="preserve"> </v>
      </c>
      <c r="G2715" s="110">
        <f>COPY!Z2707</f>
        <v>0</v>
      </c>
      <c r="H2715" s="111" t="str">
        <f>IFERROR(VLOOKUP(Table1722[[#This Row],[Bukti]],'Un nOTA'!$A$4:$K$5003,10,FALSE),"")</f>
        <v/>
      </c>
      <c r="I2715" s="112" t="str">
        <f>IFERROR(VLOOKUP(Table1722[[#This Row],[Bukti]],Table13[#Data],11,FALSE),"")</f>
        <v/>
      </c>
    </row>
    <row r="2716" spans="1:9" ht="19.5" hidden="1" customHeight="1" x14ac:dyDescent="0.2">
      <c r="A2716" s="105" t="str">
        <f>IF(D2716=1,COUNTIF($D$10:D2716,1)," ")</f>
        <v xml:space="preserve"> </v>
      </c>
      <c r="B2716" s="106">
        <f>COPY!AR2708</f>
        <v>0</v>
      </c>
      <c r="C2716" s="107">
        <f>COPY!AC2708</f>
        <v>0</v>
      </c>
      <c r="D2716" s="107" t="str">
        <f>IF(LEN(Table1722[[#This Row],[Uraian]])&gt;2,1," ")</f>
        <v xml:space="preserve"> </v>
      </c>
      <c r="E2716" s="113" t="str">
        <f>IF(Table1722[[#This Row],[Lawan Transaksi]]="CV AGUNG KARYA",COUNTIF($I$10:I2716,"CV AGUNG KARYA")," ")</f>
        <v xml:space="preserve"> </v>
      </c>
      <c r="F2716" s="107" t="str">
        <f>IF(LEN(Table1722[[#This Row],[Uraian]])&gt;2,TRIM(RIGHT(SUBSTITUTE(TRIM(C2716)," ",REPT(" ",255)),255))," ")</f>
        <v xml:space="preserve"> </v>
      </c>
      <c r="G2716" s="110">
        <f>COPY!Z2708</f>
        <v>0</v>
      </c>
      <c r="H2716" s="111" t="str">
        <f>IFERROR(VLOOKUP(Table1722[[#This Row],[Bukti]],'Un nOTA'!$A$4:$K$5003,10,FALSE),"")</f>
        <v/>
      </c>
      <c r="I2716" s="112" t="str">
        <f>IFERROR(VLOOKUP(Table1722[[#This Row],[Bukti]],Table13[#Data],11,FALSE),"")</f>
        <v/>
      </c>
    </row>
    <row r="2717" spans="1:9" ht="19.5" hidden="1" customHeight="1" x14ac:dyDescent="0.2">
      <c r="A2717" s="105" t="str">
        <f>IF(D2717=1,COUNTIF($D$10:D2717,1)," ")</f>
        <v xml:space="preserve"> </v>
      </c>
      <c r="B2717" s="106">
        <f>COPY!AR2709</f>
        <v>0</v>
      </c>
      <c r="C2717" s="107">
        <f>COPY!AC2709</f>
        <v>0</v>
      </c>
      <c r="D2717" s="107" t="str">
        <f>IF(LEN(Table1722[[#This Row],[Uraian]])&gt;2,1," ")</f>
        <v xml:space="preserve"> </v>
      </c>
      <c r="E2717" s="113" t="str">
        <f>IF(Table1722[[#This Row],[Lawan Transaksi]]="CV AGUNG KARYA",COUNTIF($I$10:I2717,"CV AGUNG KARYA")," ")</f>
        <v xml:space="preserve"> </v>
      </c>
      <c r="F2717" s="107" t="str">
        <f>IF(LEN(Table1722[[#This Row],[Uraian]])&gt;2,TRIM(RIGHT(SUBSTITUTE(TRIM(C2717)," ",REPT(" ",255)),255))," ")</f>
        <v xml:space="preserve"> </v>
      </c>
      <c r="G2717" s="110">
        <f>COPY!Z2709</f>
        <v>0</v>
      </c>
      <c r="H2717" s="111" t="str">
        <f>IFERROR(VLOOKUP(Table1722[[#This Row],[Bukti]],'Un nOTA'!$A$4:$K$5003,10,FALSE),"")</f>
        <v/>
      </c>
      <c r="I2717" s="112" t="str">
        <f>IFERROR(VLOOKUP(Table1722[[#This Row],[Bukti]],Table13[#Data],11,FALSE),"")</f>
        <v/>
      </c>
    </row>
    <row r="2718" spans="1:9" ht="19.5" hidden="1" customHeight="1" x14ac:dyDescent="0.2">
      <c r="A2718" s="105" t="str">
        <f>IF(D2718=1,COUNTIF($D$10:D2718,1)," ")</f>
        <v xml:space="preserve"> </v>
      </c>
      <c r="B2718" s="106">
        <f>COPY!AR2710</f>
        <v>0</v>
      </c>
      <c r="C2718" s="107">
        <f>COPY!AC2710</f>
        <v>0</v>
      </c>
      <c r="D2718" s="107" t="str">
        <f>IF(LEN(Table1722[[#This Row],[Uraian]])&gt;2,1," ")</f>
        <v xml:space="preserve"> </v>
      </c>
      <c r="E2718" s="113" t="str">
        <f>IF(Table1722[[#This Row],[Lawan Transaksi]]="CV AGUNG KARYA",COUNTIF($I$10:I2718,"CV AGUNG KARYA")," ")</f>
        <v xml:space="preserve"> </v>
      </c>
      <c r="F2718" s="107" t="str">
        <f>IF(LEN(Table1722[[#This Row],[Uraian]])&gt;2,TRIM(RIGHT(SUBSTITUTE(TRIM(C2718)," ",REPT(" ",255)),255))," ")</f>
        <v xml:space="preserve"> </v>
      </c>
      <c r="G2718" s="110">
        <f>COPY!Z2710</f>
        <v>0</v>
      </c>
      <c r="H2718" s="111" t="str">
        <f>IFERROR(VLOOKUP(Table1722[[#This Row],[Bukti]],'Un nOTA'!$A$4:$K$5003,10,FALSE),"")</f>
        <v/>
      </c>
      <c r="I2718" s="112" t="str">
        <f>IFERROR(VLOOKUP(Table1722[[#This Row],[Bukti]],Table13[#Data],11,FALSE),"")</f>
        <v/>
      </c>
    </row>
    <row r="2719" spans="1:9" ht="19.5" hidden="1" customHeight="1" x14ac:dyDescent="0.2">
      <c r="A2719" s="105" t="str">
        <f>IF(D2719=1,COUNTIF($D$10:D2719,1)," ")</f>
        <v xml:space="preserve"> </v>
      </c>
      <c r="B2719" s="106">
        <f>COPY!AR2711</f>
        <v>0</v>
      </c>
      <c r="C2719" s="107">
        <f>COPY!AC2711</f>
        <v>0</v>
      </c>
      <c r="D2719" s="107" t="str">
        <f>IF(LEN(Table1722[[#This Row],[Uraian]])&gt;2,1," ")</f>
        <v xml:space="preserve"> </v>
      </c>
      <c r="E2719" s="113" t="str">
        <f>IF(Table1722[[#This Row],[Lawan Transaksi]]="CV AGUNG KARYA",COUNTIF($I$10:I2719,"CV AGUNG KARYA")," ")</f>
        <v xml:space="preserve"> </v>
      </c>
      <c r="F2719" s="107" t="str">
        <f>IF(LEN(Table1722[[#This Row],[Uraian]])&gt;2,TRIM(RIGHT(SUBSTITUTE(TRIM(C2719)," ",REPT(" ",255)),255))," ")</f>
        <v xml:space="preserve"> </v>
      </c>
      <c r="G2719" s="110">
        <f>COPY!Z2711</f>
        <v>0</v>
      </c>
      <c r="H2719" s="111" t="str">
        <f>IFERROR(VLOOKUP(Table1722[[#This Row],[Bukti]],'Un nOTA'!$A$4:$K$5003,10,FALSE),"")</f>
        <v/>
      </c>
      <c r="I2719" s="112" t="str">
        <f>IFERROR(VLOOKUP(Table1722[[#This Row],[Bukti]],Table13[#Data],11,FALSE),"")</f>
        <v/>
      </c>
    </row>
    <row r="2720" spans="1:9" ht="19.5" hidden="1" customHeight="1" x14ac:dyDescent="0.2">
      <c r="A2720" s="105" t="str">
        <f>IF(D2720=1,COUNTIF($D$10:D2720,1)," ")</f>
        <v xml:space="preserve"> </v>
      </c>
      <c r="B2720" s="106">
        <f>COPY!AR2712</f>
        <v>0</v>
      </c>
      <c r="C2720" s="107">
        <f>COPY!AC2712</f>
        <v>0</v>
      </c>
      <c r="D2720" s="107" t="str">
        <f>IF(LEN(Table1722[[#This Row],[Uraian]])&gt;2,1," ")</f>
        <v xml:space="preserve"> </v>
      </c>
      <c r="E2720" s="113" t="str">
        <f>IF(Table1722[[#This Row],[Lawan Transaksi]]="CV AGUNG KARYA",COUNTIF($I$10:I2720,"CV AGUNG KARYA")," ")</f>
        <v xml:space="preserve"> </v>
      </c>
      <c r="F2720" s="107" t="str">
        <f>IF(LEN(Table1722[[#This Row],[Uraian]])&gt;2,TRIM(RIGHT(SUBSTITUTE(TRIM(C2720)," ",REPT(" ",255)),255))," ")</f>
        <v xml:space="preserve"> </v>
      </c>
      <c r="G2720" s="110">
        <f>COPY!Z2712</f>
        <v>0</v>
      </c>
      <c r="H2720" s="111" t="str">
        <f>IFERROR(VLOOKUP(Table1722[[#This Row],[Bukti]],'Un nOTA'!$A$4:$K$5003,10,FALSE),"")</f>
        <v/>
      </c>
      <c r="I2720" s="112" t="str">
        <f>IFERROR(VLOOKUP(Table1722[[#This Row],[Bukti]],Table13[#Data],11,FALSE),"")</f>
        <v/>
      </c>
    </row>
    <row r="2721" spans="1:9" ht="19.5" hidden="1" customHeight="1" x14ac:dyDescent="0.2">
      <c r="A2721" s="105" t="str">
        <f>IF(D2721=1,COUNTIF($D$10:D2721,1)," ")</f>
        <v xml:space="preserve"> </v>
      </c>
      <c r="B2721" s="106">
        <f>COPY!AR2713</f>
        <v>0</v>
      </c>
      <c r="C2721" s="107">
        <f>COPY!AC2713</f>
        <v>0</v>
      </c>
      <c r="D2721" s="107" t="str">
        <f>IF(LEN(Table1722[[#This Row],[Uraian]])&gt;2,1," ")</f>
        <v xml:space="preserve"> </v>
      </c>
      <c r="E2721" s="113" t="str">
        <f>IF(Table1722[[#This Row],[Lawan Transaksi]]="CV AGUNG KARYA",COUNTIF($I$10:I2721,"CV AGUNG KARYA")," ")</f>
        <v xml:space="preserve"> </v>
      </c>
      <c r="F2721" s="107" t="str">
        <f>IF(LEN(Table1722[[#This Row],[Uraian]])&gt;2,TRIM(RIGHT(SUBSTITUTE(TRIM(C2721)," ",REPT(" ",255)),255))," ")</f>
        <v xml:space="preserve"> </v>
      </c>
      <c r="G2721" s="110">
        <f>COPY!Z2713</f>
        <v>0</v>
      </c>
      <c r="H2721" s="111" t="str">
        <f>IFERROR(VLOOKUP(Table1722[[#This Row],[Bukti]],'Un nOTA'!$A$4:$K$5003,10,FALSE),"")</f>
        <v/>
      </c>
      <c r="I2721" s="112" t="str">
        <f>IFERROR(VLOOKUP(Table1722[[#This Row],[Bukti]],Table13[#Data],11,FALSE),"")</f>
        <v/>
      </c>
    </row>
    <row r="2722" spans="1:9" ht="19.5" hidden="1" customHeight="1" x14ac:dyDescent="0.2">
      <c r="A2722" s="105" t="str">
        <f>IF(D2722=1,COUNTIF($D$10:D2722,1)," ")</f>
        <v xml:space="preserve"> </v>
      </c>
      <c r="B2722" s="106">
        <f>COPY!AR2714</f>
        <v>0</v>
      </c>
      <c r="C2722" s="107">
        <f>COPY!AC2714</f>
        <v>0</v>
      </c>
      <c r="D2722" s="107" t="str">
        <f>IF(LEN(Table1722[[#This Row],[Uraian]])&gt;2,1," ")</f>
        <v xml:space="preserve"> </v>
      </c>
      <c r="E2722" s="113" t="str">
        <f>IF(Table1722[[#This Row],[Lawan Transaksi]]="CV AGUNG KARYA",COUNTIF($I$10:I2722,"CV AGUNG KARYA")," ")</f>
        <v xml:space="preserve"> </v>
      </c>
      <c r="F2722" s="107" t="str">
        <f>IF(LEN(Table1722[[#This Row],[Uraian]])&gt;2,TRIM(RIGHT(SUBSTITUTE(TRIM(C2722)," ",REPT(" ",255)),255))," ")</f>
        <v xml:space="preserve"> </v>
      </c>
      <c r="G2722" s="110">
        <f>COPY!Z2714</f>
        <v>0</v>
      </c>
      <c r="H2722" s="111" t="str">
        <f>IFERROR(VLOOKUP(Table1722[[#This Row],[Bukti]],'Un nOTA'!$A$4:$K$5003,10,FALSE),"")</f>
        <v/>
      </c>
      <c r="I2722" s="112" t="str">
        <f>IFERROR(VLOOKUP(Table1722[[#This Row],[Bukti]],Table13[#Data],11,FALSE),"")</f>
        <v/>
      </c>
    </row>
    <row r="2723" spans="1:9" ht="19.5" hidden="1" customHeight="1" x14ac:dyDescent="0.2">
      <c r="A2723" s="105" t="str">
        <f>IF(D2723=1,COUNTIF($D$10:D2723,1)," ")</f>
        <v xml:space="preserve"> </v>
      </c>
      <c r="B2723" s="106">
        <f>COPY!AR2715</f>
        <v>0</v>
      </c>
      <c r="C2723" s="107">
        <f>COPY!AC2715</f>
        <v>0</v>
      </c>
      <c r="D2723" s="107" t="str">
        <f>IF(LEN(Table1722[[#This Row],[Uraian]])&gt;2,1," ")</f>
        <v xml:space="preserve"> </v>
      </c>
      <c r="E2723" s="113" t="str">
        <f>IF(Table1722[[#This Row],[Lawan Transaksi]]="CV AGUNG KARYA",COUNTIF($I$10:I2723,"CV AGUNG KARYA")," ")</f>
        <v xml:space="preserve"> </v>
      </c>
      <c r="F2723" s="107" t="str">
        <f>IF(LEN(Table1722[[#This Row],[Uraian]])&gt;2,TRIM(RIGHT(SUBSTITUTE(TRIM(C2723)," ",REPT(" ",255)),255))," ")</f>
        <v xml:space="preserve"> </v>
      </c>
      <c r="G2723" s="110">
        <f>COPY!Z2715</f>
        <v>0</v>
      </c>
      <c r="H2723" s="111" t="str">
        <f>IFERROR(VLOOKUP(Table1722[[#This Row],[Bukti]],'Un nOTA'!$A$4:$K$5003,10,FALSE),"")</f>
        <v/>
      </c>
      <c r="I2723" s="112" t="str">
        <f>IFERROR(VLOOKUP(Table1722[[#This Row],[Bukti]],Table13[#Data],11,FALSE),"")</f>
        <v/>
      </c>
    </row>
    <row r="2724" spans="1:9" ht="19.5" hidden="1" customHeight="1" x14ac:dyDescent="0.2">
      <c r="A2724" s="105" t="str">
        <f>IF(D2724=1,COUNTIF($D$10:D2724,1)," ")</f>
        <v xml:space="preserve"> </v>
      </c>
      <c r="B2724" s="106">
        <f>COPY!AR2716</f>
        <v>0</v>
      </c>
      <c r="C2724" s="107">
        <f>COPY!AC2716</f>
        <v>0</v>
      </c>
      <c r="D2724" s="107" t="str">
        <f>IF(LEN(Table1722[[#This Row],[Uraian]])&gt;2,1," ")</f>
        <v xml:space="preserve"> </v>
      </c>
      <c r="E2724" s="113" t="str">
        <f>IF(Table1722[[#This Row],[Lawan Transaksi]]="CV AGUNG KARYA",COUNTIF($I$10:I2724,"CV AGUNG KARYA")," ")</f>
        <v xml:space="preserve"> </v>
      </c>
      <c r="F2724" s="107" t="str">
        <f>IF(LEN(Table1722[[#This Row],[Uraian]])&gt;2,TRIM(RIGHT(SUBSTITUTE(TRIM(C2724)," ",REPT(" ",255)),255))," ")</f>
        <v xml:space="preserve"> </v>
      </c>
      <c r="G2724" s="110">
        <f>COPY!Z2716</f>
        <v>0</v>
      </c>
      <c r="H2724" s="111" t="str">
        <f>IFERROR(VLOOKUP(Table1722[[#This Row],[Bukti]],'Un nOTA'!$A$4:$K$5003,10,FALSE),"")</f>
        <v/>
      </c>
      <c r="I2724" s="112" t="str">
        <f>IFERROR(VLOOKUP(Table1722[[#This Row],[Bukti]],Table13[#Data],11,FALSE),"")</f>
        <v/>
      </c>
    </row>
    <row r="2725" spans="1:9" ht="19.5" hidden="1" customHeight="1" x14ac:dyDescent="0.2">
      <c r="A2725" s="105" t="str">
        <f>IF(D2725=1,COUNTIF($D$10:D2725,1)," ")</f>
        <v xml:space="preserve"> </v>
      </c>
      <c r="B2725" s="106">
        <f>COPY!AR2717</f>
        <v>0</v>
      </c>
      <c r="C2725" s="107">
        <f>COPY!AC2717</f>
        <v>0</v>
      </c>
      <c r="D2725" s="107" t="str">
        <f>IF(LEN(Table1722[[#This Row],[Uraian]])&gt;2,1," ")</f>
        <v xml:space="preserve"> </v>
      </c>
      <c r="E2725" s="113" t="str">
        <f>IF(Table1722[[#This Row],[Lawan Transaksi]]="CV AGUNG KARYA",COUNTIF($I$10:I2725,"CV AGUNG KARYA")," ")</f>
        <v xml:space="preserve"> </v>
      </c>
      <c r="F2725" s="107" t="str">
        <f>IF(LEN(Table1722[[#This Row],[Uraian]])&gt;2,TRIM(RIGHT(SUBSTITUTE(TRIM(C2725)," ",REPT(" ",255)),255))," ")</f>
        <v xml:space="preserve"> </v>
      </c>
      <c r="G2725" s="110">
        <f>COPY!Z2717</f>
        <v>0</v>
      </c>
      <c r="H2725" s="111" t="str">
        <f>IFERROR(VLOOKUP(Table1722[[#This Row],[Bukti]],'Un nOTA'!$A$4:$K$5003,10,FALSE),"")</f>
        <v/>
      </c>
      <c r="I2725" s="112" t="str">
        <f>IFERROR(VLOOKUP(Table1722[[#This Row],[Bukti]],Table13[#Data],11,FALSE),"")</f>
        <v/>
      </c>
    </row>
    <row r="2726" spans="1:9" ht="19.5" hidden="1" customHeight="1" x14ac:dyDescent="0.2">
      <c r="A2726" s="105" t="str">
        <f>IF(D2726=1,COUNTIF($D$10:D2726,1)," ")</f>
        <v xml:space="preserve"> </v>
      </c>
      <c r="B2726" s="106">
        <f>COPY!AR2718</f>
        <v>0</v>
      </c>
      <c r="C2726" s="107">
        <f>COPY!AC2718</f>
        <v>0</v>
      </c>
      <c r="D2726" s="107" t="str">
        <f>IF(LEN(Table1722[[#This Row],[Uraian]])&gt;2,1," ")</f>
        <v xml:space="preserve"> </v>
      </c>
      <c r="E2726" s="113" t="str">
        <f>IF(Table1722[[#This Row],[Lawan Transaksi]]="CV AGUNG KARYA",COUNTIF($I$10:I2726,"CV AGUNG KARYA")," ")</f>
        <v xml:space="preserve"> </v>
      </c>
      <c r="F2726" s="107" t="str">
        <f>IF(LEN(Table1722[[#This Row],[Uraian]])&gt;2,TRIM(RIGHT(SUBSTITUTE(TRIM(C2726)," ",REPT(" ",255)),255))," ")</f>
        <v xml:space="preserve"> </v>
      </c>
      <c r="G2726" s="110">
        <f>COPY!Z2718</f>
        <v>0</v>
      </c>
      <c r="H2726" s="111" t="str">
        <f>IFERROR(VLOOKUP(Table1722[[#This Row],[Bukti]],'Un nOTA'!$A$4:$K$5003,10,FALSE),"")</f>
        <v/>
      </c>
      <c r="I2726" s="112" t="str">
        <f>IFERROR(VLOOKUP(Table1722[[#This Row],[Bukti]],Table13[#Data],11,FALSE),"")</f>
        <v/>
      </c>
    </row>
    <row r="2727" spans="1:9" ht="19.5" hidden="1" customHeight="1" x14ac:dyDescent="0.2">
      <c r="A2727" s="105" t="str">
        <f>IF(D2727=1,COUNTIF($D$10:D2727,1)," ")</f>
        <v xml:space="preserve"> </v>
      </c>
      <c r="B2727" s="106">
        <f>COPY!AR2719</f>
        <v>0</v>
      </c>
      <c r="C2727" s="107">
        <f>COPY!AC2719</f>
        <v>0</v>
      </c>
      <c r="D2727" s="107" t="str">
        <f>IF(LEN(Table1722[[#This Row],[Uraian]])&gt;2,1," ")</f>
        <v xml:space="preserve"> </v>
      </c>
      <c r="E2727" s="113" t="str">
        <f>IF(Table1722[[#This Row],[Lawan Transaksi]]="CV AGUNG KARYA",COUNTIF($I$10:I2727,"CV AGUNG KARYA")," ")</f>
        <v xml:space="preserve"> </v>
      </c>
      <c r="F2727" s="107" t="str">
        <f>IF(LEN(Table1722[[#This Row],[Uraian]])&gt;2,TRIM(RIGHT(SUBSTITUTE(TRIM(C2727)," ",REPT(" ",255)),255))," ")</f>
        <v xml:space="preserve"> </v>
      </c>
      <c r="G2727" s="110">
        <f>COPY!Z2719</f>
        <v>0</v>
      </c>
      <c r="H2727" s="111" t="str">
        <f>IFERROR(VLOOKUP(Table1722[[#This Row],[Bukti]],'Un nOTA'!$A$4:$K$5003,10,FALSE),"")</f>
        <v/>
      </c>
      <c r="I2727" s="112" t="str">
        <f>IFERROR(VLOOKUP(Table1722[[#This Row],[Bukti]],Table13[#Data],11,FALSE),"")</f>
        <v/>
      </c>
    </row>
    <row r="2728" spans="1:9" ht="19.5" hidden="1" customHeight="1" x14ac:dyDescent="0.2">
      <c r="A2728" s="105" t="str">
        <f>IF(D2728=1,COUNTIF($D$10:D2728,1)," ")</f>
        <v xml:space="preserve"> </v>
      </c>
      <c r="B2728" s="106">
        <f>COPY!AR2720</f>
        <v>0</v>
      </c>
      <c r="C2728" s="107">
        <f>COPY!AC2720</f>
        <v>0</v>
      </c>
      <c r="D2728" s="107" t="str">
        <f>IF(LEN(Table1722[[#This Row],[Uraian]])&gt;2,1," ")</f>
        <v xml:space="preserve"> </v>
      </c>
      <c r="E2728" s="113" t="str">
        <f>IF(Table1722[[#This Row],[Lawan Transaksi]]="CV AGUNG KARYA",COUNTIF($I$10:I2728,"CV AGUNG KARYA")," ")</f>
        <v xml:space="preserve"> </v>
      </c>
      <c r="F2728" s="107" t="str">
        <f>IF(LEN(Table1722[[#This Row],[Uraian]])&gt;2,TRIM(RIGHT(SUBSTITUTE(TRIM(C2728)," ",REPT(" ",255)),255))," ")</f>
        <v xml:space="preserve"> </v>
      </c>
      <c r="G2728" s="110">
        <f>COPY!Z2720</f>
        <v>0</v>
      </c>
      <c r="H2728" s="111" t="str">
        <f>IFERROR(VLOOKUP(Table1722[[#This Row],[Bukti]],'Un nOTA'!$A$4:$K$5003,10,FALSE),"")</f>
        <v/>
      </c>
      <c r="I2728" s="112" t="str">
        <f>IFERROR(VLOOKUP(Table1722[[#This Row],[Bukti]],Table13[#Data],11,FALSE),"")</f>
        <v/>
      </c>
    </row>
    <row r="2729" spans="1:9" ht="19.5" hidden="1" customHeight="1" x14ac:dyDescent="0.2">
      <c r="A2729" s="105" t="str">
        <f>IF(D2729=1,COUNTIF($D$10:D2729,1)," ")</f>
        <v xml:space="preserve"> </v>
      </c>
      <c r="B2729" s="106">
        <f>COPY!AR2721</f>
        <v>0</v>
      </c>
      <c r="C2729" s="107">
        <f>COPY!AC2721</f>
        <v>0</v>
      </c>
      <c r="D2729" s="107" t="str">
        <f>IF(LEN(Table1722[[#This Row],[Uraian]])&gt;2,1," ")</f>
        <v xml:space="preserve"> </v>
      </c>
      <c r="E2729" s="113" t="str">
        <f>IF(Table1722[[#This Row],[Lawan Transaksi]]="CV AGUNG KARYA",COUNTIF($I$10:I2729,"CV AGUNG KARYA")," ")</f>
        <v xml:space="preserve"> </v>
      </c>
      <c r="F2729" s="107" t="str">
        <f>IF(LEN(Table1722[[#This Row],[Uraian]])&gt;2,TRIM(RIGHT(SUBSTITUTE(TRIM(C2729)," ",REPT(" ",255)),255))," ")</f>
        <v xml:space="preserve"> </v>
      </c>
      <c r="G2729" s="110">
        <f>COPY!Z2721</f>
        <v>0</v>
      </c>
      <c r="H2729" s="111" t="str">
        <f>IFERROR(VLOOKUP(Table1722[[#This Row],[Bukti]],'Un nOTA'!$A$4:$K$5003,10,FALSE),"")</f>
        <v/>
      </c>
      <c r="I2729" s="112" t="str">
        <f>IFERROR(VLOOKUP(Table1722[[#This Row],[Bukti]],Table13[#Data],11,FALSE),"")</f>
        <v/>
      </c>
    </row>
    <row r="2730" spans="1:9" ht="19.5" hidden="1" customHeight="1" x14ac:dyDescent="0.2">
      <c r="A2730" s="105" t="str">
        <f>IF(D2730=1,COUNTIF($D$10:D2730,1)," ")</f>
        <v xml:space="preserve"> </v>
      </c>
      <c r="B2730" s="106">
        <f>COPY!AR2722</f>
        <v>0</v>
      </c>
      <c r="C2730" s="107">
        <f>COPY!AC2722</f>
        <v>0</v>
      </c>
      <c r="D2730" s="107" t="str">
        <f>IF(LEN(Table1722[[#This Row],[Uraian]])&gt;2,1," ")</f>
        <v xml:space="preserve"> </v>
      </c>
      <c r="E2730" s="113" t="str">
        <f>IF(Table1722[[#This Row],[Lawan Transaksi]]="CV AGUNG KARYA",COUNTIF($I$10:I2730,"CV AGUNG KARYA")," ")</f>
        <v xml:space="preserve"> </v>
      </c>
      <c r="F2730" s="107" t="str">
        <f>IF(LEN(Table1722[[#This Row],[Uraian]])&gt;2,TRIM(RIGHT(SUBSTITUTE(TRIM(C2730)," ",REPT(" ",255)),255))," ")</f>
        <v xml:space="preserve"> </v>
      </c>
      <c r="G2730" s="110">
        <f>COPY!Z2722</f>
        <v>0</v>
      </c>
      <c r="H2730" s="111" t="str">
        <f>IFERROR(VLOOKUP(Table1722[[#This Row],[Bukti]],'Un nOTA'!$A$4:$K$5003,10,FALSE),"")</f>
        <v/>
      </c>
      <c r="I2730" s="112" t="str">
        <f>IFERROR(VLOOKUP(Table1722[[#This Row],[Bukti]],Table13[#Data],11,FALSE),"")</f>
        <v/>
      </c>
    </row>
    <row r="2731" spans="1:9" ht="19.5" hidden="1" customHeight="1" x14ac:dyDescent="0.2">
      <c r="A2731" s="105" t="str">
        <f>IF(D2731=1,COUNTIF($D$10:D2731,1)," ")</f>
        <v xml:space="preserve"> </v>
      </c>
      <c r="B2731" s="106">
        <f>COPY!AR2723</f>
        <v>0</v>
      </c>
      <c r="C2731" s="107">
        <f>COPY!AC2723</f>
        <v>0</v>
      </c>
      <c r="D2731" s="107" t="str">
        <f>IF(LEN(Table1722[[#This Row],[Uraian]])&gt;2,1," ")</f>
        <v xml:space="preserve"> </v>
      </c>
      <c r="E2731" s="113" t="str">
        <f>IF(Table1722[[#This Row],[Lawan Transaksi]]="CV AGUNG KARYA",COUNTIF($I$10:I2731,"CV AGUNG KARYA")," ")</f>
        <v xml:space="preserve"> </v>
      </c>
      <c r="F2731" s="107" t="str">
        <f>IF(LEN(Table1722[[#This Row],[Uraian]])&gt;2,TRIM(RIGHT(SUBSTITUTE(TRIM(C2731)," ",REPT(" ",255)),255))," ")</f>
        <v xml:space="preserve"> </v>
      </c>
      <c r="G2731" s="110">
        <f>COPY!Z2723</f>
        <v>0</v>
      </c>
      <c r="H2731" s="111" t="str">
        <f>IFERROR(VLOOKUP(Table1722[[#This Row],[Bukti]],'Un nOTA'!$A$4:$K$5003,10,FALSE),"")</f>
        <v/>
      </c>
      <c r="I2731" s="112" t="str">
        <f>IFERROR(VLOOKUP(Table1722[[#This Row],[Bukti]],Table13[#Data],11,FALSE),"")</f>
        <v/>
      </c>
    </row>
    <row r="2732" spans="1:9" ht="19.5" hidden="1" customHeight="1" x14ac:dyDescent="0.2">
      <c r="A2732" s="105" t="str">
        <f>IF(D2732=1,COUNTIF($D$10:D2732,1)," ")</f>
        <v xml:space="preserve"> </v>
      </c>
      <c r="B2732" s="106">
        <f>COPY!AR2724</f>
        <v>0</v>
      </c>
      <c r="C2732" s="107">
        <f>COPY!AC2724</f>
        <v>0</v>
      </c>
      <c r="D2732" s="107" t="str">
        <f>IF(LEN(Table1722[[#This Row],[Uraian]])&gt;2,1," ")</f>
        <v xml:space="preserve"> </v>
      </c>
      <c r="E2732" s="113" t="str">
        <f>IF(Table1722[[#This Row],[Lawan Transaksi]]="CV AGUNG KARYA",COUNTIF($I$10:I2732,"CV AGUNG KARYA")," ")</f>
        <v xml:space="preserve"> </v>
      </c>
      <c r="F2732" s="107" t="str">
        <f>IF(LEN(Table1722[[#This Row],[Uraian]])&gt;2,TRIM(RIGHT(SUBSTITUTE(TRIM(C2732)," ",REPT(" ",255)),255))," ")</f>
        <v xml:space="preserve"> </v>
      </c>
      <c r="G2732" s="110">
        <f>COPY!Z2724</f>
        <v>0</v>
      </c>
      <c r="H2732" s="111" t="str">
        <f>IFERROR(VLOOKUP(Table1722[[#This Row],[Bukti]],'Un nOTA'!$A$4:$K$5003,10,FALSE),"")</f>
        <v/>
      </c>
      <c r="I2732" s="112" t="str">
        <f>IFERROR(VLOOKUP(Table1722[[#This Row],[Bukti]],Table13[#Data],11,FALSE),"")</f>
        <v/>
      </c>
    </row>
    <row r="2733" spans="1:9" ht="19.5" hidden="1" customHeight="1" x14ac:dyDescent="0.2">
      <c r="A2733" s="105" t="str">
        <f>IF(D2733=1,COUNTIF($D$10:D2733,1)," ")</f>
        <v xml:space="preserve"> </v>
      </c>
      <c r="B2733" s="106">
        <f>COPY!AR2725</f>
        <v>0</v>
      </c>
      <c r="C2733" s="107">
        <f>COPY!AC2725</f>
        <v>0</v>
      </c>
      <c r="D2733" s="107" t="str">
        <f>IF(LEN(Table1722[[#This Row],[Uraian]])&gt;2,1," ")</f>
        <v xml:space="preserve"> </v>
      </c>
      <c r="E2733" s="113" t="str">
        <f>IF(Table1722[[#This Row],[Lawan Transaksi]]="CV AGUNG KARYA",COUNTIF($I$10:I2733,"CV AGUNG KARYA")," ")</f>
        <v xml:space="preserve"> </v>
      </c>
      <c r="F2733" s="107" t="str">
        <f>IF(LEN(Table1722[[#This Row],[Uraian]])&gt;2,TRIM(RIGHT(SUBSTITUTE(TRIM(C2733)," ",REPT(" ",255)),255))," ")</f>
        <v xml:space="preserve"> </v>
      </c>
      <c r="G2733" s="110">
        <f>COPY!Z2725</f>
        <v>0</v>
      </c>
      <c r="H2733" s="111" t="str">
        <f>IFERROR(VLOOKUP(Table1722[[#This Row],[Bukti]],'Un nOTA'!$A$4:$K$5003,10,FALSE),"")</f>
        <v/>
      </c>
      <c r="I2733" s="112" t="str">
        <f>IFERROR(VLOOKUP(Table1722[[#This Row],[Bukti]],Table13[#Data],11,FALSE),"")</f>
        <v/>
      </c>
    </row>
    <row r="2734" spans="1:9" ht="19.5" hidden="1" customHeight="1" x14ac:dyDescent="0.2">
      <c r="A2734" s="105" t="str">
        <f>IF(D2734=1,COUNTIF($D$10:D2734,1)," ")</f>
        <v xml:space="preserve"> </v>
      </c>
      <c r="B2734" s="106">
        <f>COPY!AR2726</f>
        <v>0</v>
      </c>
      <c r="C2734" s="107">
        <f>COPY!AC2726</f>
        <v>0</v>
      </c>
      <c r="D2734" s="107" t="str">
        <f>IF(LEN(Table1722[[#This Row],[Uraian]])&gt;2,1," ")</f>
        <v xml:space="preserve"> </v>
      </c>
      <c r="E2734" s="113" t="str">
        <f>IF(Table1722[[#This Row],[Lawan Transaksi]]="CV AGUNG KARYA",COUNTIF($I$10:I2734,"CV AGUNG KARYA")," ")</f>
        <v xml:space="preserve"> </v>
      </c>
      <c r="F2734" s="107" t="str">
        <f>IF(LEN(Table1722[[#This Row],[Uraian]])&gt;2,TRIM(RIGHT(SUBSTITUTE(TRIM(C2734)," ",REPT(" ",255)),255))," ")</f>
        <v xml:space="preserve"> </v>
      </c>
      <c r="G2734" s="110">
        <f>COPY!Z2726</f>
        <v>0</v>
      </c>
      <c r="H2734" s="111" t="str">
        <f>IFERROR(VLOOKUP(Table1722[[#This Row],[Bukti]],'Un nOTA'!$A$4:$K$5003,10,FALSE),"")</f>
        <v/>
      </c>
      <c r="I2734" s="112" t="str">
        <f>IFERROR(VLOOKUP(Table1722[[#This Row],[Bukti]],Table13[#Data],11,FALSE),"")</f>
        <v/>
      </c>
    </row>
    <row r="2735" spans="1:9" ht="19.5" hidden="1" customHeight="1" x14ac:dyDescent="0.2">
      <c r="A2735" s="105" t="str">
        <f>IF(D2735=1,COUNTIF($D$10:D2735,1)," ")</f>
        <v xml:space="preserve"> </v>
      </c>
      <c r="B2735" s="106">
        <f>COPY!AR2727</f>
        <v>0</v>
      </c>
      <c r="C2735" s="107">
        <f>COPY!AC2727</f>
        <v>0</v>
      </c>
      <c r="D2735" s="107" t="str">
        <f>IF(LEN(Table1722[[#This Row],[Uraian]])&gt;2,1," ")</f>
        <v xml:space="preserve"> </v>
      </c>
      <c r="E2735" s="113" t="str">
        <f>IF(Table1722[[#This Row],[Lawan Transaksi]]="CV AGUNG KARYA",COUNTIF($I$10:I2735,"CV AGUNG KARYA")," ")</f>
        <v xml:space="preserve"> </v>
      </c>
      <c r="F2735" s="107" t="str">
        <f>IF(LEN(Table1722[[#This Row],[Uraian]])&gt;2,TRIM(RIGHT(SUBSTITUTE(TRIM(C2735)," ",REPT(" ",255)),255))," ")</f>
        <v xml:space="preserve"> </v>
      </c>
      <c r="G2735" s="110">
        <f>COPY!Z2727</f>
        <v>0</v>
      </c>
      <c r="H2735" s="111" t="str">
        <f>IFERROR(VLOOKUP(Table1722[[#This Row],[Bukti]],'Un nOTA'!$A$4:$K$5003,10,FALSE),"")</f>
        <v/>
      </c>
      <c r="I2735" s="112" t="str">
        <f>IFERROR(VLOOKUP(Table1722[[#This Row],[Bukti]],Table13[#Data],11,FALSE),"")</f>
        <v/>
      </c>
    </row>
    <row r="2736" spans="1:9" ht="19.5" hidden="1" customHeight="1" x14ac:dyDescent="0.2">
      <c r="A2736" s="105" t="str">
        <f>IF(D2736=1,COUNTIF($D$10:D2736,1)," ")</f>
        <v xml:space="preserve"> </v>
      </c>
      <c r="B2736" s="106">
        <f>COPY!AR2728</f>
        <v>0</v>
      </c>
      <c r="C2736" s="107">
        <f>COPY!AC2728</f>
        <v>0</v>
      </c>
      <c r="D2736" s="107" t="str">
        <f>IF(LEN(Table1722[[#This Row],[Uraian]])&gt;2,1," ")</f>
        <v xml:space="preserve"> </v>
      </c>
      <c r="E2736" s="113" t="str">
        <f>IF(Table1722[[#This Row],[Lawan Transaksi]]="CV AGUNG KARYA",COUNTIF($I$10:I2736,"CV AGUNG KARYA")," ")</f>
        <v xml:space="preserve"> </v>
      </c>
      <c r="F2736" s="107" t="str">
        <f>IF(LEN(Table1722[[#This Row],[Uraian]])&gt;2,TRIM(RIGHT(SUBSTITUTE(TRIM(C2736)," ",REPT(" ",255)),255))," ")</f>
        <v xml:space="preserve"> </v>
      </c>
      <c r="G2736" s="110">
        <f>COPY!Z2728</f>
        <v>0</v>
      </c>
      <c r="H2736" s="111" t="str">
        <f>IFERROR(VLOOKUP(Table1722[[#This Row],[Bukti]],'Un nOTA'!$A$4:$K$5003,10,FALSE),"")</f>
        <v/>
      </c>
      <c r="I2736" s="112" t="str">
        <f>IFERROR(VLOOKUP(Table1722[[#This Row],[Bukti]],Table13[#Data],11,FALSE),"")</f>
        <v/>
      </c>
    </row>
    <row r="2737" spans="1:9" ht="19.5" hidden="1" customHeight="1" x14ac:dyDescent="0.2">
      <c r="A2737" s="105" t="str">
        <f>IF(D2737=1,COUNTIF($D$10:D2737,1)," ")</f>
        <v xml:space="preserve"> </v>
      </c>
      <c r="B2737" s="106">
        <f>COPY!AR2729</f>
        <v>0</v>
      </c>
      <c r="C2737" s="107">
        <f>COPY!AC2729</f>
        <v>0</v>
      </c>
      <c r="D2737" s="107" t="str">
        <f>IF(LEN(Table1722[[#This Row],[Uraian]])&gt;2,1," ")</f>
        <v xml:space="preserve"> </v>
      </c>
      <c r="E2737" s="113" t="str">
        <f>IF(Table1722[[#This Row],[Lawan Transaksi]]="CV AGUNG KARYA",COUNTIF($I$10:I2737,"CV AGUNG KARYA")," ")</f>
        <v xml:space="preserve"> </v>
      </c>
      <c r="F2737" s="107" t="str">
        <f>IF(LEN(Table1722[[#This Row],[Uraian]])&gt;2,TRIM(RIGHT(SUBSTITUTE(TRIM(C2737)," ",REPT(" ",255)),255))," ")</f>
        <v xml:space="preserve"> </v>
      </c>
      <c r="G2737" s="110">
        <f>COPY!Z2729</f>
        <v>0</v>
      </c>
      <c r="H2737" s="111" t="str">
        <f>IFERROR(VLOOKUP(Table1722[[#This Row],[Bukti]],'Un nOTA'!$A$4:$K$5003,10,FALSE),"")</f>
        <v/>
      </c>
      <c r="I2737" s="112" t="str">
        <f>IFERROR(VLOOKUP(Table1722[[#This Row],[Bukti]],Table13[#Data],11,FALSE),"")</f>
        <v/>
      </c>
    </row>
    <row r="2738" spans="1:9" ht="19.5" hidden="1" customHeight="1" x14ac:dyDescent="0.2">
      <c r="A2738" s="105" t="str">
        <f>IF(D2738=1,COUNTIF($D$10:D2738,1)," ")</f>
        <v xml:space="preserve"> </v>
      </c>
      <c r="B2738" s="106">
        <f>COPY!AR2730</f>
        <v>0</v>
      </c>
      <c r="C2738" s="107">
        <f>COPY!AC2730</f>
        <v>0</v>
      </c>
      <c r="D2738" s="107" t="str">
        <f>IF(LEN(Table1722[[#This Row],[Uraian]])&gt;2,1," ")</f>
        <v xml:space="preserve"> </v>
      </c>
      <c r="E2738" s="113" t="str">
        <f>IF(Table1722[[#This Row],[Lawan Transaksi]]="CV AGUNG KARYA",COUNTIF($I$10:I2738,"CV AGUNG KARYA")," ")</f>
        <v xml:space="preserve"> </v>
      </c>
      <c r="F2738" s="107" t="str">
        <f>IF(LEN(Table1722[[#This Row],[Uraian]])&gt;2,TRIM(RIGHT(SUBSTITUTE(TRIM(C2738)," ",REPT(" ",255)),255))," ")</f>
        <v xml:space="preserve"> </v>
      </c>
      <c r="G2738" s="110">
        <f>COPY!Z2730</f>
        <v>0</v>
      </c>
      <c r="H2738" s="111" t="str">
        <f>IFERROR(VLOOKUP(Table1722[[#This Row],[Bukti]],'Un nOTA'!$A$4:$K$5003,10,FALSE),"")</f>
        <v/>
      </c>
      <c r="I2738" s="112" t="str">
        <f>IFERROR(VLOOKUP(Table1722[[#This Row],[Bukti]],Table13[#Data],11,FALSE),"")</f>
        <v/>
      </c>
    </row>
    <row r="2739" spans="1:9" ht="19.5" hidden="1" customHeight="1" x14ac:dyDescent="0.2">
      <c r="A2739" s="105" t="str">
        <f>IF(D2739=1,COUNTIF($D$10:D2739,1)," ")</f>
        <v xml:space="preserve"> </v>
      </c>
      <c r="B2739" s="106">
        <f>COPY!AR2731</f>
        <v>0</v>
      </c>
      <c r="C2739" s="107">
        <f>COPY!AC2731</f>
        <v>0</v>
      </c>
      <c r="D2739" s="107" t="str">
        <f>IF(LEN(Table1722[[#This Row],[Uraian]])&gt;2,1," ")</f>
        <v xml:space="preserve"> </v>
      </c>
      <c r="E2739" s="113" t="str">
        <f>IF(Table1722[[#This Row],[Lawan Transaksi]]="CV AGUNG KARYA",COUNTIF($I$10:I2739,"CV AGUNG KARYA")," ")</f>
        <v xml:space="preserve"> </v>
      </c>
      <c r="F2739" s="107" t="str">
        <f>IF(LEN(Table1722[[#This Row],[Uraian]])&gt;2,TRIM(RIGHT(SUBSTITUTE(TRIM(C2739)," ",REPT(" ",255)),255))," ")</f>
        <v xml:space="preserve"> </v>
      </c>
      <c r="G2739" s="110">
        <f>COPY!Z2731</f>
        <v>0</v>
      </c>
      <c r="H2739" s="111" t="str">
        <f>IFERROR(VLOOKUP(Table1722[[#This Row],[Bukti]],'Un nOTA'!$A$4:$K$5003,10,FALSE),"")</f>
        <v/>
      </c>
      <c r="I2739" s="112" t="str">
        <f>IFERROR(VLOOKUP(Table1722[[#This Row],[Bukti]],Table13[#Data],11,FALSE),"")</f>
        <v/>
      </c>
    </row>
    <row r="2740" spans="1:9" ht="19.5" hidden="1" customHeight="1" x14ac:dyDescent="0.2">
      <c r="A2740" s="105" t="str">
        <f>IF(D2740=1,COUNTIF($D$10:D2740,1)," ")</f>
        <v xml:space="preserve"> </v>
      </c>
      <c r="B2740" s="106">
        <f>COPY!AR2732</f>
        <v>0</v>
      </c>
      <c r="C2740" s="107">
        <f>COPY!AC2732</f>
        <v>0</v>
      </c>
      <c r="D2740" s="107" t="str">
        <f>IF(LEN(Table1722[[#This Row],[Uraian]])&gt;2,1," ")</f>
        <v xml:space="preserve"> </v>
      </c>
      <c r="E2740" s="113" t="str">
        <f>IF(Table1722[[#This Row],[Lawan Transaksi]]="CV AGUNG KARYA",COUNTIF($I$10:I2740,"CV AGUNG KARYA")," ")</f>
        <v xml:space="preserve"> </v>
      </c>
      <c r="F2740" s="107" t="str">
        <f>IF(LEN(Table1722[[#This Row],[Uraian]])&gt;2,TRIM(RIGHT(SUBSTITUTE(TRIM(C2740)," ",REPT(" ",255)),255))," ")</f>
        <v xml:space="preserve"> </v>
      </c>
      <c r="G2740" s="110">
        <f>COPY!Z2732</f>
        <v>0</v>
      </c>
      <c r="H2740" s="111" t="str">
        <f>IFERROR(VLOOKUP(Table1722[[#This Row],[Bukti]],'Un nOTA'!$A$4:$K$5003,10,FALSE),"")</f>
        <v/>
      </c>
      <c r="I2740" s="112" t="str">
        <f>IFERROR(VLOOKUP(Table1722[[#This Row],[Bukti]],Table13[#Data],11,FALSE),"")</f>
        <v/>
      </c>
    </row>
    <row r="2741" spans="1:9" ht="19.5" hidden="1" customHeight="1" x14ac:dyDescent="0.2">
      <c r="A2741" s="105" t="str">
        <f>IF(D2741=1,COUNTIF($D$10:D2741,1)," ")</f>
        <v xml:space="preserve"> </v>
      </c>
      <c r="B2741" s="106">
        <f>COPY!AR2733</f>
        <v>0</v>
      </c>
      <c r="C2741" s="107">
        <f>COPY!AC2733</f>
        <v>0</v>
      </c>
      <c r="D2741" s="107" t="str">
        <f>IF(LEN(Table1722[[#This Row],[Uraian]])&gt;2,1," ")</f>
        <v xml:space="preserve"> </v>
      </c>
      <c r="E2741" s="113" t="str">
        <f>IF(Table1722[[#This Row],[Lawan Transaksi]]="CV AGUNG KARYA",COUNTIF($I$10:I2741,"CV AGUNG KARYA")," ")</f>
        <v xml:space="preserve"> </v>
      </c>
      <c r="F2741" s="107" t="str">
        <f>IF(LEN(Table1722[[#This Row],[Uraian]])&gt;2,TRIM(RIGHT(SUBSTITUTE(TRIM(C2741)," ",REPT(" ",255)),255))," ")</f>
        <v xml:space="preserve"> </v>
      </c>
      <c r="G2741" s="110">
        <f>COPY!Z2733</f>
        <v>0</v>
      </c>
      <c r="H2741" s="111" t="str">
        <f>IFERROR(VLOOKUP(Table1722[[#This Row],[Bukti]],'Un nOTA'!$A$4:$K$5003,10,FALSE),"")</f>
        <v/>
      </c>
      <c r="I2741" s="112" t="str">
        <f>IFERROR(VLOOKUP(Table1722[[#This Row],[Bukti]],Table13[#Data],11,FALSE),"")</f>
        <v/>
      </c>
    </row>
    <row r="2742" spans="1:9" ht="19.5" hidden="1" customHeight="1" x14ac:dyDescent="0.2">
      <c r="A2742" s="105" t="str">
        <f>IF(D2742=1,COUNTIF($D$10:D2742,1)," ")</f>
        <v xml:space="preserve"> </v>
      </c>
      <c r="B2742" s="106">
        <f>COPY!AR2734</f>
        <v>0</v>
      </c>
      <c r="C2742" s="107">
        <f>COPY!AC2734</f>
        <v>0</v>
      </c>
      <c r="D2742" s="107" t="str">
        <f>IF(LEN(Table1722[[#This Row],[Uraian]])&gt;2,1," ")</f>
        <v xml:space="preserve"> </v>
      </c>
      <c r="E2742" s="113" t="str">
        <f>IF(Table1722[[#This Row],[Lawan Transaksi]]="CV AGUNG KARYA",COUNTIF($I$10:I2742,"CV AGUNG KARYA")," ")</f>
        <v xml:space="preserve"> </v>
      </c>
      <c r="F2742" s="107" t="str">
        <f>IF(LEN(Table1722[[#This Row],[Uraian]])&gt;2,TRIM(RIGHT(SUBSTITUTE(TRIM(C2742)," ",REPT(" ",255)),255))," ")</f>
        <v xml:space="preserve"> </v>
      </c>
      <c r="G2742" s="110">
        <f>COPY!Z2734</f>
        <v>0</v>
      </c>
      <c r="H2742" s="111" t="str">
        <f>IFERROR(VLOOKUP(Table1722[[#This Row],[Bukti]],'Un nOTA'!$A$4:$K$5003,10,FALSE),"")</f>
        <v/>
      </c>
      <c r="I2742" s="112" t="str">
        <f>IFERROR(VLOOKUP(Table1722[[#This Row],[Bukti]],Table13[#Data],11,FALSE),"")</f>
        <v/>
      </c>
    </row>
    <row r="2743" spans="1:9" ht="19.5" hidden="1" customHeight="1" x14ac:dyDescent="0.2">
      <c r="A2743" s="105" t="str">
        <f>IF(D2743=1,COUNTIF($D$10:D2743,1)," ")</f>
        <v xml:space="preserve"> </v>
      </c>
      <c r="B2743" s="106">
        <f>COPY!AR2735</f>
        <v>0</v>
      </c>
      <c r="C2743" s="107">
        <f>COPY!AC2735</f>
        <v>0</v>
      </c>
      <c r="D2743" s="107" t="str">
        <f>IF(LEN(Table1722[[#This Row],[Uraian]])&gt;2,1," ")</f>
        <v xml:space="preserve"> </v>
      </c>
      <c r="E2743" s="113" t="str">
        <f>IF(Table1722[[#This Row],[Lawan Transaksi]]="CV AGUNG KARYA",COUNTIF($I$10:I2743,"CV AGUNG KARYA")," ")</f>
        <v xml:space="preserve"> </v>
      </c>
      <c r="F2743" s="107" t="str">
        <f>IF(LEN(Table1722[[#This Row],[Uraian]])&gt;2,TRIM(RIGHT(SUBSTITUTE(TRIM(C2743)," ",REPT(" ",255)),255))," ")</f>
        <v xml:space="preserve"> </v>
      </c>
      <c r="G2743" s="110">
        <f>COPY!Z2735</f>
        <v>0</v>
      </c>
      <c r="H2743" s="111" t="str">
        <f>IFERROR(VLOOKUP(Table1722[[#This Row],[Bukti]],'Un nOTA'!$A$4:$K$5003,10,FALSE),"")</f>
        <v/>
      </c>
      <c r="I2743" s="112" t="str">
        <f>IFERROR(VLOOKUP(Table1722[[#This Row],[Bukti]],Table13[#Data],11,FALSE),"")</f>
        <v/>
      </c>
    </row>
    <row r="2744" spans="1:9" ht="19.5" hidden="1" customHeight="1" x14ac:dyDescent="0.2">
      <c r="A2744" s="105" t="str">
        <f>IF(D2744=1,COUNTIF($D$10:D2744,1)," ")</f>
        <v xml:space="preserve"> </v>
      </c>
      <c r="B2744" s="106">
        <f>COPY!AR2736</f>
        <v>0</v>
      </c>
      <c r="C2744" s="107">
        <f>COPY!AC2736</f>
        <v>0</v>
      </c>
      <c r="D2744" s="107" t="str">
        <f>IF(LEN(Table1722[[#This Row],[Uraian]])&gt;2,1," ")</f>
        <v xml:space="preserve"> </v>
      </c>
      <c r="E2744" s="113" t="str">
        <f>IF(Table1722[[#This Row],[Lawan Transaksi]]="CV AGUNG KARYA",COUNTIF($I$10:I2744,"CV AGUNG KARYA")," ")</f>
        <v xml:space="preserve"> </v>
      </c>
      <c r="F2744" s="107" t="str">
        <f>IF(LEN(Table1722[[#This Row],[Uraian]])&gt;2,TRIM(RIGHT(SUBSTITUTE(TRIM(C2744)," ",REPT(" ",255)),255))," ")</f>
        <v xml:space="preserve"> </v>
      </c>
      <c r="G2744" s="110">
        <f>COPY!Z2736</f>
        <v>0</v>
      </c>
      <c r="H2744" s="111" t="str">
        <f>IFERROR(VLOOKUP(Table1722[[#This Row],[Bukti]],'Un nOTA'!$A$4:$K$5003,10,FALSE),"")</f>
        <v/>
      </c>
      <c r="I2744" s="112" t="str">
        <f>IFERROR(VLOOKUP(Table1722[[#This Row],[Bukti]],Table13[#Data],11,FALSE),"")</f>
        <v/>
      </c>
    </row>
    <row r="2745" spans="1:9" ht="19.5" hidden="1" customHeight="1" x14ac:dyDescent="0.2">
      <c r="A2745" s="105" t="str">
        <f>IF(D2745=1,COUNTIF($D$10:D2745,1)," ")</f>
        <v xml:space="preserve"> </v>
      </c>
      <c r="B2745" s="106">
        <f>COPY!AR2737</f>
        <v>0</v>
      </c>
      <c r="C2745" s="107">
        <f>COPY!AC2737</f>
        <v>0</v>
      </c>
      <c r="D2745" s="107" t="str">
        <f>IF(LEN(Table1722[[#This Row],[Uraian]])&gt;2,1," ")</f>
        <v xml:space="preserve"> </v>
      </c>
      <c r="E2745" s="113" t="str">
        <f>IF(Table1722[[#This Row],[Lawan Transaksi]]="CV AGUNG KARYA",COUNTIF($I$10:I2745,"CV AGUNG KARYA")," ")</f>
        <v xml:space="preserve"> </v>
      </c>
      <c r="F2745" s="107" t="str">
        <f>IF(LEN(Table1722[[#This Row],[Uraian]])&gt;2,TRIM(RIGHT(SUBSTITUTE(TRIM(C2745)," ",REPT(" ",255)),255))," ")</f>
        <v xml:space="preserve"> </v>
      </c>
      <c r="G2745" s="110">
        <f>COPY!Z2737</f>
        <v>0</v>
      </c>
      <c r="H2745" s="111" t="str">
        <f>IFERROR(VLOOKUP(Table1722[[#This Row],[Bukti]],'Un nOTA'!$A$4:$K$5003,10,FALSE),"")</f>
        <v/>
      </c>
      <c r="I2745" s="112" t="str">
        <f>IFERROR(VLOOKUP(Table1722[[#This Row],[Bukti]],Table13[#Data],11,FALSE),"")</f>
        <v/>
      </c>
    </row>
    <row r="2746" spans="1:9" ht="19.5" hidden="1" customHeight="1" x14ac:dyDescent="0.2">
      <c r="A2746" s="105" t="str">
        <f>IF(D2746=1,COUNTIF($D$10:D2746,1)," ")</f>
        <v xml:space="preserve"> </v>
      </c>
      <c r="B2746" s="106">
        <f>COPY!AR2738</f>
        <v>0</v>
      </c>
      <c r="C2746" s="107">
        <f>COPY!AC2738</f>
        <v>0</v>
      </c>
      <c r="D2746" s="107" t="str">
        <f>IF(LEN(Table1722[[#This Row],[Uraian]])&gt;2,1," ")</f>
        <v xml:space="preserve"> </v>
      </c>
      <c r="E2746" s="113" t="str">
        <f>IF(Table1722[[#This Row],[Lawan Transaksi]]="CV AGUNG KARYA",COUNTIF($I$10:I2746,"CV AGUNG KARYA")," ")</f>
        <v xml:space="preserve"> </v>
      </c>
      <c r="F2746" s="107" t="str">
        <f>IF(LEN(Table1722[[#This Row],[Uraian]])&gt;2,TRIM(RIGHT(SUBSTITUTE(TRIM(C2746)," ",REPT(" ",255)),255))," ")</f>
        <v xml:space="preserve"> </v>
      </c>
      <c r="G2746" s="110">
        <f>COPY!Z2738</f>
        <v>0</v>
      </c>
      <c r="H2746" s="111" t="str">
        <f>IFERROR(VLOOKUP(Table1722[[#This Row],[Bukti]],'Un nOTA'!$A$4:$K$5003,10,FALSE),"")</f>
        <v/>
      </c>
      <c r="I2746" s="112" t="str">
        <f>IFERROR(VLOOKUP(Table1722[[#This Row],[Bukti]],Table13[#Data],11,FALSE),"")</f>
        <v/>
      </c>
    </row>
    <row r="2747" spans="1:9" ht="19.5" hidden="1" customHeight="1" x14ac:dyDescent="0.2">
      <c r="A2747" s="105" t="str">
        <f>IF(D2747=1,COUNTIF($D$10:D2747,1)," ")</f>
        <v xml:space="preserve"> </v>
      </c>
      <c r="B2747" s="106">
        <f>COPY!AR2739</f>
        <v>0</v>
      </c>
      <c r="C2747" s="107">
        <f>COPY!AC2739</f>
        <v>0</v>
      </c>
      <c r="D2747" s="107" t="str">
        <f>IF(LEN(Table1722[[#This Row],[Uraian]])&gt;2,1," ")</f>
        <v xml:space="preserve"> </v>
      </c>
      <c r="E2747" s="113" t="str">
        <f>IF(Table1722[[#This Row],[Lawan Transaksi]]="CV AGUNG KARYA",COUNTIF($I$10:I2747,"CV AGUNG KARYA")," ")</f>
        <v xml:space="preserve"> </v>
      </c>
      <c r="F2747" s="107" t="str">
        <f>IF(LEN(Table1722[[#This Row],[Uraian]])&gt;2,TRIM(RIGHT(SUBSTITUTE(TRIM(C2747)," ",REPT(" ",255)),255))," ")</f>
        <v xml:space="preserve"> </v>
      </c>
      <c r="G2747" s="110">
        <f>COPY!Z2739</f>
        <v>0</v>
      </c>
      <c r="H2747" s="111" t="str">
        <f>IFERROR(VLOOKUP(Table1722[[#This Row],[Bukti]],'Un nOTA'!$A$4:$K$5003,10,FALSE),"")</f>
        <v/>
      </c>
      <c r="I2747" s="112" t="str">
        <f>IFERROR(VLOOKUP(Table1722[[#This Row],[Bukti]],Table13[#Data],11,FALSE),"")</f>
        <v/>
      </c>
    </row>
    <row r="2748" spans="1:9" ht="19.5" hidden="1" customHeight="1" x14ac:dyDescent="0.2">
      <c r="A2748" s="105" t="str">
        <f>IF(D2748=1,COUNTIF($D$10:D2748,1)," ")</f>
        <v xml:space="preserve"> </v>
      </c>
      <c r="B2748" s="106">
        <f>COPY!AR2740</f>
        <v>0</v>
      </c>
      <c r="C2748" s="107">
        <f>COPY!AC2740</f>
        <v>0</v>
      </c>
      <c r="D2748" s="107" t="str">
        <f>IF(LEN(Table1722[[#This Row],[Uraian]])&gt;2,1," ")</f>
        <v xml:space="preserve"> </v>
      </c>
      <c r="E2748" s="113" t="str">
        <f>IF(Table1722[[#This Row],[Lawan Transaksi]]="CV AGUNG KARYA",COUNTIF($I$10:I2748,"CV AGUNG KARYA")," ")</f>
        <v xml:space="preserve"> </v>
      </c>
      <c r="F2748" s="107" t="str">
        <f>IF(LEN(Table1722[[#This Row],[Uraian]])&gt;2,TRIM(RIGHT(SUBSTITUTE(TRIM(C2748)," ",REPT(" ",255)),255))," ")</f>
        <v xml:space="preserve"> </v>
      </c>
      <c r="G2748" s="110">
        <f>COPY!Z2740</f>
        <v>0</v>
      </c>
      <c r="H2748" s="111" t="str">
        <f>IFERROR(VLOOKUP(Table1722[[#This Row],[Bukti]],'Un nOTA'!$A$4:$K$5003,10,FALSE),"")</f>
        <v/>
      </c>
      <c r="I2748" s="112" t="str">
        <f>IFERROR(VLOOKUP(Table1722[[#This Row],[Bukti]],Table13[#Data],11,FALSE),"")</f>
        <v/>
      </c>
    </row>
    <row r="2749" spans="1:9" ht="19.5" hidden="1" customHeight="1" x14ac:dyDescent="0.2">
      <c r="A2749" s="105" t="str">
        <f>IF(D2749=1,COUNTIF($D$10:D2749,1)," ")</f>
        <v xml:space="preserve"> </v>
      </c>
      <c r="B2749" s="106">
        <f>COPY!AR2741</f>
        <v>0</v>
      </c>
      <c r="C2749" s="107">
        <f>COPY!AC2741</f>
        <v>0</v>
      </c>
      <c r="D2749" s="107" t="str">
        <f>IF(LEN(Table1722[[#This Row],[Uraian]])&gt;2,1," ")</f>
        <v xml:space="preserve"> </v>
      </c>
      <c r="E2749" s="113" t="str">
        <f>IF(Table1722[[#This Row],[Lawan Transaksi]]="CV AGUNG KARYA",COUNTIF($I$10:I2749,"CV AGUNG KARYA")," ")</f>
        <v xml:space="preserve"> </v>
      </c>
      <c r="F2749" s="107" t="str">
        <f>IF(LEN(Table1722[[#This Row],[Uraian]])&gt;2,TRIM(RIGHT(SUBSTITUTE(TRIM(C2749)," ",REPT(" ",255)),255))," ")</f>
        <v xml:space="preserve"> </v>
      </c>
      <c r="G2749" s="110">
        <f>COPY!Z2741</f>
        <v>0</v>
      </c>
      <c r="H2749" s="111" t="str">
        <f>IFERROR(VLOOKUP(Table1722[[#This Row],[Bukti]],'Un nOTA'!$A$4:$K$5003,10,FALSE),"")</f>
        <v/>
      </c>
      <c r="I2749" s="112" t="str">
        <f>IFERROR(VLOOKUP(Table1722[[#This Row],[Bukti]],Table13[#Data],11,FALSE),"")</f>
        <v/>
      </c>
    </row>
    <row r="2750" spans="1:9" ht="19.5" hidden="1" customHeight="1" x14ac:dyDescent="0.2">
      <c r="A2750" s="105" t="str">
        <f>IF(D2750=1,COUNTIF($D$10:D2750,1)," ")</f>
        <v xml:space="preserve"> </v>
      </c>
      <c r="B2750" s="106">
        <f>COPY!AR2742</f>
        <v>0</v>
      </c>
      <c r="C2750" s="107">
        <f>COPY!AC2742</f>
        <v>0</v>
      </c>
      <c r="D2750" s="107" t="str">
        <f>IF(LEN(Table1722[[#This Row],[Uraian]])&gt;2,1," ")</f>
        <v xml:space="preserve"> </v>
      </c>
      <c r="E2750" s="113" t="str">
        <f>IF(Table1722[[#This Row],[Lawan Transaksi]]="CV AGUNG KARYA",COUNTIF($I$10:I2750,"CV AGUNG KARYA")," ")</f>
        <v xml:space="preserve"> </v>
      </c>
      <c r="F2750" s="107" t="str">
        <f>IF(LEN(Table1722[[#This Row],[Uraian]])&gt;2,TRIM(RIGHT(SUBSTITUTE(TRIM(C2750)," ",REPT(" ",255)),255))," ")</f>
        <v xml:space="preserve"> </v>
      </c>
      <c r="G2750" s="110">
        <f>COPY!Z2742</f>
        <v>0</v>
      </c>
      <c r="H2750" s="111" t="str">
        <f>IFERROR(VLOOKUP(Table1722[[#This Row],[Bukti]],'Un nOTA'!$A$4:$K$5003,10,FALSE),"")</f>
        <v/>
      </c>
      <c r="I2750" s="112" t="str">
        <f>IFERROR(VLOOKUP(Table1722[[#This Row],[Bukti]],Table13[#Data],11,FALSE),"")</f>
        <v/>
      </c>
    </row>
    <row r="2751" spans="1:9" ht="19.5" hidden="1" customHeight="1" x14ac:dyDescent="0.2">
      <c r="A2751" s="105" t="str">
        <f>IF(D2751=1,COUNTIF($D$10:D2751,1)," ")</f>
        <v xml:space="preserve"> </v>
      </c>
      <c r="B2751" s="106">
        <f>COPY!AR2743</f>
        <v>0</v>
      </c>
      <c r="C2751" s="107">
        <f>COPY!AC2743</f>
        <v>0</v>
      </c>
      <c r="D2751" s="107" t="str">
        <f>IF(LEN(Table1722[[#This Row],[Uraian]])&gt;2,1," ")</f>
        <v xml:space="preserve"> </v>
      </c>
      <c r="E2751" s="113" t="str">
        <f>IF(Table1722[[#This Row],[Lawan Transaksi]]="CV AGUNG KARYA",COUNTIF($I$10:I2751,"CV AGUNG KARYA")," ")</f>
        <v xml:space="preserve"> </v>
      </c>
      <c r="F2751" s="107" t="str">
        <f>IF(LEN(Table1722[[#This Row],[Uraian]])&gt;2,TRIM(RIGHT(SUBSTITUTE(TRIM(C2751)," ",REPT(" ",255)),255))," ")</f>
        <v xml:space="preserve"> </v>
      </c>
      <c r="G2751" s="110">
        <f>COPY!Z2743</f>
        <v>0</v>
      </c>
      <c r="H2751" s="111" t="str">
        <f>IFERROR(VLOOKUP(Table1722[[#This Row],[Bukti]],'Un nOTA'!$A$4:$K$5003,10,FALSE),"")</f>
        <v/>
      </c>
      <c r="I2751" s="112" t="str">
        <f>IFERROR(VLOOKUP(Table1722[[#This Row],[Bukti]],Table13[#Data],11,FALSE),"")</f>
        <v/>
      </c>
    </row>
    <row r="2752" spans="1:9" ht="19.5" hidden="1" customHeight="1" x14ac:dyDescent="0.2">
      <c r="A2752" s="105" t="str">
        <f>IF(D2752=1,COUNTIF($D$10:D2752,1)," ")</f>
        <v xml:space="preserve"> </v>
      </c>
      <c r="B2752" s="106">
        <f>COPY!AR2744</f>
        <v>0</v>
      </c>
      <c r="C2752" s="107">
        <f>COPY!AC2744</f>
        <v>0</v>
      </c>
      <c r="D2752" s="107" t="str">
        <f>IF(LEN(Table1722[[#This Row],[Uraian]])&gt;2,1," ")</f>
        <v xml:space="preserve"> </v>
      </c>
      <c r="E2752" s="113" t="str">
        <f>IF(Table1722[[#This Row],[Lawan Transaksi]]="CV AGUNG KARYA",COUNTIF($I$10:I2752,"CV AGUNG KARYA")," ")</f>
        <v xml:space="preserve"> </v>
      </c>
      <c r="F2752" s="107" t="str">
        <f>IF(LEN(Table1722[[#This Row],[Uraian]])&gt;2,TRIM(RIGHT(SUBSTITUTE(TRIM(C2752)," ",REPT(" ",255)),255))," ")</f>
        <v xml:space="preserve"> </v>
      </c>
      <c r="G2752" s="110">
        <f>COPY!Z2744</f>
        <v>0</v>
      </c>
      <c r="H2752" s="111" t="str">
        <f>IFERROR(VLOOKUP(Table1722[[#This Row],[Bukti]],'Un nOTA'!$A$4:$K$5003,10,FALSE),"")</f>
        <v/>
      </c>
      <c r="I2752" s="112" t="str">
        <f>IFERROR(VLOOKUP(Table1722[[#This Row],[Bukti]],Table13[#Data],11,FALSE),"")</f>
        <v/>
      </c>
    </row>
    <row r="2753" spans="1:9" ht="19.5" hidden="1" customHeight="1" x14ac:dyDescent="0.2">
      <c r="A2753" s="105" t="str">
        <f>IF(D2753=1,COUNTIF($D$10:D2753,1)," ")</f>
        <v xml:space="preserve"> </v>
      </c>
      <c r="B2753" s="106">
        <f>COPY!AR2745</f>
        <v>0</v>
      </c>
      <c r="C2753" s="107">
        <f>COPY!AC2745</f>
        <v>0</v>
      </c>
      <c r="D2753" s="107" t="str">
        <f>IF(LEN(Table1722[[#This Row],[Uraian]])&gt;2,1," ")</f>
        <v xml:space="preserve"> </v>
      </c>
      <c r="E2753" s="113" t="str">
        <f>IF(Table1722[[#This Row],[Lawan Transaksi]]="CV AGUNG KARYA",COUNTIF($I$10:I2753,"CV AGUNG KARYA")," ")</f>
        <v xml:space="preserve"> </v>
      </c>
      <c r="F2753" s="107" t="str">
        <f>IF(LEN(Table1722[[#This Row],[Uraian]])&gt;2,TRIM(RIGHT(SUBSTITUTE(TRIM(C2753)," ",REPT(" ",255)),255))," ")</f>
        <v xml:space="preserve"> </v>
      </c>
      <c r="G2753" s="110">
        <f>COPY!Z2745</f>
        <v>0</v>
      </c>
      <c r="H2753" s="111" t="str">
        <f>IFERROR(VLOOKUP(Table1722[[#This Row],[Bukti]],'Un nOTA'!$A$4:$K$5003,10,FALSE),"")</f>
        <v/>
      </c>
      <c r="I2753" s="112" t="str">
        <f>IFERROR(VLOOKUP(Table1722[[#This Row],[Bukti]],Table13[#Data],11,FALSE),"")</f>
        <v/>
      </c>
    </row>
    <row r="2754" spans="1:9" ht="19.5" hidden="1" customHeight="1" x14ac:dyDescent="0.2">
      <c r="A2754" s="105" t="str">
        <f>IF(D2754=1,COUNTIF($D$10:D2754,1)," ")</f>
        <v xml:space="preserve"> </v>
      </c>
      <c r="B2754" s="106">
        <f>COPY!AR2746</f>
        <v>0</v>
      </c>
      <c r="C2754" s="107">
        <f>COPY!AC2746</f>
        <v>0</v>
      </c>
      <c r="D2754" s="107" t="str">
        <f>IF(LEN(Table1722[[#This Row],[Uraian]])&gt;2,1," ")</f>
        <v xml:space="preserve"> </v>
      </c>
      <c r="E2754" s="113" t="str">
        <f>IF(Table1722[[#This Row],[Lawan Transaksi]]="CV AGUNG KARYA",COUNTIF($I$10:I2754,"CV AGUNG KARYA")," ")</f>
        <v xml:space="preserve"> </v>
      </c>
      <c r="F2754" s="107" t="str">
        <f>IF(LEN(Table1722[[#This Row],[Uraian]])&gt;2,TRIM(RIGHT(SUBSTITUTE(TRIM(C2754)," ",REPT(" ",255)),255))," ")</f>
        <v xml:space="preserve"> </v>
      </c>
      <c r="G2754" s="110">
        <f>COPY!Z2746</f>
        <v>0</v>
      </c>
      <c r="H2754" s="111" t="str">
        <f>IFERROR(VLOOKUP(Table1722[[#This Row],[Bukti]],'Un nOTA'!$A$4:$K$5003,10,FALSE),"")</f>
        <v/>
      </c>
      <c r="I2754" s="112" t="str">
        <f>IFERROR(VLOOKUP(Table1722[[#This Row],[Bukti]],Table13[#Data],11,FALSE),"")</f>
        <v/>
      </c>
    </row>
    <row r="2755" spans="1:9" ht="19.5" hidden="1" customHeight="1" x14ac:dyDescent="0.2">
      <c r="A2755" s="105" t="str">
        <f>IF(D2755=1,COUNTIF($D$10:D2755,1)," ")</f>
        <v xml:space="preserve"> </v>
      </c>
      <c r="B2755" s="106">
        <f>COPY!AR2747</f>
        <v>0</v>
      </c>
      <c r="C2755" s="107">
        <f>COPY!AC2747</f>
        <v>0</v>
      </c>
      <c r="D2755" s="107" t="str">
        <f>IF(LEN(Table1722[[#This Row],[Uraian]])&gt;2,1," ")</f>
        <v xml:space="preserve"> </v>
      </c>
      <c r="E2755" s="113" t="str">
        <f>IF(Table1722[[#This Row],[Lawan Transaksi]]="CV AGUNG KARYA",COUNTIF($I$10:I2755,"CV AGUNG KARYA")," ")</f>
        <v xml:space="preserve"> </v>
      </c>
      <c r="F2755" s="107" t="str">
        <f>IF(LEN(Table1722[[#This Row],[Uraian]])&gt;2,TRIM(RIGHT(SUBSTITUTE(TRIM(C2755)," ",REPT(" ",255)),255))," ")</f>
        <v xml:space="preserve"> </v>
      </c>
      <c r="G2755" s="110">
        <f>COPY!Z2747</f>
        <v>0</v>
      </c>
      <c r="H2755" s="111" t="str">
        <f>IFERROR(VLOOKUP(Table1722[[#This Row],[Bukti]],'Un nOTA'!$A$4:$K$5003,10,FALSE),"")</f>
        <v/>
      </c>
      <c r="I2755" s="112" t="str">
        <f>IFERROR(VLOOKUP(Table1722[[#This Row],[Bukti]],Table13[#Data],11,FALSE),"")</f>
        <v/>
      </c>
    </row>
    <row r="2756" spans="1:9" ht="19.5" hidden="1" customHeight="1" x14ac:dyDescent="0.2">
      <c r="A2756" s="105" t="str">
        <f>IF(D2756=1,COUNTIF($D$10:D2756,1)," ")</f>
        <v xml:space="preserve"> </v>
      </c>
      <c r="B2756" s="106">
        <f>COPY!AR2748</f>
        <v>0</v>
      </c>
      <c r="C2756" s="107">
        <f>COPY!AC2748</f>
        <v>0</v>
      </c>
      <c r="D2756" s="107" t="str">
        <f>IF(LEN(Table1722[[#This Row],[Uraian]])&gt;2,1," ")</f>
        <v xml:space="preserve"> </v>
      </c>
      <c r="E2756" s="113" t="str">
        <f>IF(Table1722[[#This Row],[Lawan Transaksi]]="CV AGUNG KARYA",COUNTIF($I$10:I2756,"CV AGUNG KARYA")," ")</f>
        <v xml:space="preserve"> </v>
      </c>
      <c r="F2756" s="107" t="str">
        <f>IF(LEN(Table1722[[#This Row],[Uraian]])&gt;2,TRIM(RIGHT(SUBSTITUTE(TRIM(C2756)," ",REPT(" ",255)),255))," ")</f>
        <v xml:space="preserve"> </v>
      </c>
      <c r="G2756" s="110">
        <f>COPY!Z2748</f>
        <v>0</v>
      </c>
      <c r="H2756" s="111" t="str">
        <f>IFERROR(VLOOKUP(Table1722[[#This Row],[Bukti]],'Un nOTA'!$A$4:$K$5003,10,FALSE),"")</f>
        <v/>
      </c>
      <c r="I2756" s="112" t="str">
        <f>IFERROR(VLOOKUP(Table1722[[#This Row],[Bukti]],Table13[#Data],11,FALSE),"")</f>
        <v/>
      </c>
    </row>
    <row r="2757" spans="1:9" ht="19.5" hidden="1" customHeight="1" x14ac:dyDescent="0.2">
      <c r="A2757" s="105" t="str">
        <f>IF(D2757=1,COUNTIF($D$10:D2757,1)," ")</f>
        <v xml:space="preserve"> </v>
      </c>
      <c r="B2757" s="106">
        <f>COPY!AR2749</f>
        <v>0</v>
      </c>
      <c r="C2757" s="107">
        <f>COPY!AC2749</f>
        <v>0</v>
      </c>
      <c r="D2757" s="107" t="str">
        <f>IF(LEN(Table1722[[#This Row],[Uraian]])&gt;2,1," ")</f>
        <v xml:space="preserve"> </v>
      </c>
      <c r="E2757" s="113" t="str">
        <f>IF(Table1722[[#This Row],[Lawan Transaksi]]="CV AGUNG KARYA",COUNTIF($I$10:I2757,"CV AGUNG KARYA")," ")</f>
        <v xml:space="preserve"> </v>
      </c>
      <c r="F2757" s="107" t="str">
        <f>IF(LEN(Table1722[[#This Row],[Uraian]])&gt;2,TRIM(RIGHT(SUBSTITUTE(TRIM(C2757)," ",REPT(" ",255)),255))," ")</f>
        <v xml:space="preserve"> </v>
      </c>
      <c r="G2757" s="110">
        <f>COPY!Z2749</f>
        <v>0</v>
      </c>
      <c r="H2757" s="111" t="str">
        <f>IFERROR(VLOOKUP(Table1722[[#This Row],[Bukti]],'Un nOTA'!$A$4:$K$5003,10,FALSE),"")</f>
        <v/>
      </c>
      <c r="I2757" s="112" t="str">
        <f>IFERROR(VLOOKUP(Table1722[[#This Row],[Bukti]],Table13[#Data],11,FALSE),"")</f>
        <v/>
      </c>
    </row>
    <row r="2758" spans="1:9" ht="19.5" hidden="1" customHeight="1" x14ac:dyDescent="0.2">
      <c r="A2758" s="105" t="str">
        <f>IF(D2758=1,COUNTIF($D$10:D2758,1)," ")</f>
        <v xml:space="preserve"> </v>
      </c>
      <c r="B2758" s="106">
        <f>COPY!AR2750</f>
        <v>0</v>
      </c>
      <c r="C2758" s="107">
        <f>COPY!AC2750</f>
        <v>0</v>
      </c>
      <c r="D2758" s="107" t="str">
        <f>IF(LEN(Table1722[[#This Row],[Uraian]])&gt;2,1," ")</f>
        <v xml:space="preserve"> </v>
      </c>
      <c r="E2758" s="113" t="str">
        <f>IF(Table1722[[#This Row],[Lawan Transaksi]]="CV AGUNG KARYA",COUNTIF($I$10:I2758,"CV AGUNG KARYA")," ")</f>
        <v xml:space="preserve"> </v>
      </c>
      <c r="F2758" s="107" t="str">
        <f>IF(LEN(Table1722[[#This Row],[Uraian]])&gt;2,TRIM(RIGHT(SUBSTITUTE(TRIM(C2758)," ",REPT(" ",255)),255))," ")</f>
        <v xml:space="preserve"> </v>
      </c>
      <c r="G2758" s="110">
        <f>COPY!Z2750</f>
        <v>0</v>
      </c>
      <c r="H2758" s="111" t="str">
        <f>IFERROR(VLOOKUP(Table1722[[#This Row],[Bukti]],'Un nOTA'!$A$4:$K$5003,10,FALSE),"")</f>
        <v/>
      </c>
      <c r="I2758" s="112" t="str">
        <f>IFERROR(VLOOKUP(Table1722[[#This Row],[Bukti]],Table13[#Data],11,FALSE),"")</f>
        <v/>
      </c>
    </row>
    <row r="2759" spans="1:9" ht="19.5" hidden="1" customHeight="1" x14ac:dyDescent="0.2">
      <c r="A2759" s="105" t="str">
        <f>IF(D2759=1,COUNTIF($D$10:D2759,1)," ")</f>
        <v xml:space="preserve"> </v>
      </c>
      <c r="B2759" s="106">
        <f>COPY!AR2751</f>
        <v>0</v>
      </c>
      <c r="C2759" s="107">
        <f>COPY!AC2751</f>
        <v>0</v>
      </c>
      <c r="D2759" s="107" t="str">
        <f>IF(LEN(Table1722[[#This Row],[Uraian]])&gt;2,1," ")</f>
        <v xml:space="preserve"> </v>
      </c>
      <c r="E2759" s="113" t="str">
        <f>IF(Table1722[[#This Row],[Lawan Transaksi]]="CV AGUNG KARYA",COUNTIF($I$10:I2759,"CV AGUNG KARYA")," ")</f>
        <v xml:space="preserve"> </v>
      </c>
      <c r="F2759" s="107" t="str">
        <f>IF(LEN(Table1722[[#This Row],[Uraian]])&gt;2,TRIM(RIGHT(SUBSTITUTE(TRIM(C2759)," ",REPT(" ",255)),255))," ")</f>
        <v xml:space="preserve"> </v>
      </c>
      <c r="G2759" s="110">
        <f>COPY!Z2751</f>
        <v>0</v>
      </c>
      <c r="H2759" s="111" t="str">
        <f>IFERROR(VLOOKUP(Table1722[[#This Row],[Bukti]],'Un nOTA'!$A$4:$K$5003,10,FALSE),"")</f>
        <v/>
      </c>
      <c r="I2759" s="112" t="str">
        <f>IFERROR(VLOOKUP(Table1722[[#This Row],[Bukti]],Table13[#Data],11,FALSE),"")</f>
        <v/>
      </c>
    </row>
    <row r="2760" spans="1:9" ht="19.5" hidden="1" customHeight="1" x14ac:dyDescent="0.2">
      <c r="A2760" s="105" t="str">
        <f>IF(D2760=1,COUNTIF($D$10:D2760,1)," ")</f>
        <v xml:space="preserve"> </v>
      </c>
      <c r="B2760" s="106">
        <f>COPY!AR2752</f>
        <v>0</v>
      </c>
      <c r="C2760" s="107">
        <f>COPY!AC2752</f>
        <v>0</v>
      </c>
      <c r="D2760" s="107" t="str">
        <f>IF(LEN(Table1722[[#This Row],[Uraian]])&gt;2,1," ")</f>
        <v xml:space="preserve"> </v>
      </c>
      <c r="E2760" s="113" t="str">
        <f>IF(Table1722[[#This Row],[Lawan Transaksi]]="CV AGUNG KARYA",COUNTIF($I$10:I2760,"CV AGUNG KARYA")," ")</f>
        <v xml:space="preserve"> </v>
      </c>
      <c r="F2760" s="107" t="str">
        <f>IF(LEN(Table1722[[#This Row],[Uraian]])&gt;2,TRIM(RIGHT(SUBSTITUTE(TRIM(C2760)," ",REPT(" ",255)),255))," ")</f>
        <v xml:space="preserve"> </v>
      </c>
      <c r="G2760" s="110">
        <f>COPY!Z2752</f>
        <v>0</v>
      </c>
      <c r="H2760" s="111" t="str">
        <f>IFERROR(VLOOKUP(Table1722[[#This Row],[Bukti]],'Un nOTA'!$A$4:$K$5003,10,FALSE),"")</f>
        <v/>
      </c>
      <c r="I2760" s="112" t="str">
        <f>IFERROR(VLOOKUP(Table1722[[#This Row],[Bukti]],Table13[#Data],11,FALSE),"")</f>
        <v/>
      </c>
    </row>
    <row r="2761" spans="1:9" ht="19.5" hidden="1" customHeight="1" x14ac:dyDescent="0.2">
      <c r="A2761" s="105" t="str">
        <f>IF(D2761=1,COUNTIF($D$10:D2761,1)," ")</f>
        <v xml:space="preserve"> </v>
      </c>
      <c r="B2761" s="106">
        <f>COPY!AR2753</f>
        <v>0</v>
      </c>
      <c r="C2761" s="107">
        <f>COPY!AC2753</f>
        <v>0</v>
      </c>
      <c r="D2761" s="107" t="str">
        <f>IF(LEN(Table1722[[#This Row],[Uraian]])&gt;2,1," ")</f>
        <v xml:space="preserve"> </v>
      </c>
      <c r="E2761" s="113" t="str">
        <f>IF(Table1722[[#This Row],[Lawan Transaksi]]="CV AGUNG KARYA",COUNTIF($I$10:I2761,"CV AGUNG KARYA")," ")</f>
        <v xml:space="preserve"> </v>
      </c>
      <c r="F2761" s="107" t="str">
        <f>IF(LEN(Table1722[[#This Row],[Uraian]])&gt;2,TRIM(RIGHT(SUBSTITUTE(TRIM(C2761)," ",REPT(" ",255)),255))," ")</f>
        <v xml:space="preserve"> </v>
      </c>
      <c r="G2761" s="110">
        <f>COPY!Z2753</f>
        <v>0</v>
      </c>
      <c r="H2761" s="111" t="str">
        <f>IFERROR(VLOOKUP(Table1722[[#This Row],[Bukti]],'Un nOTA'!$A$4:$K$5003,10,FALSE),"")</f>
        <v/>
      </c>
      <c r="I2761" s="112" t="str">
        <f>IFERROR(VLOOKUP(Table1722[[#This Row],[Bukti]],Table13[#Data],11,FALSE),"")</f>
        <v/>
      </c>
    </row>
    <row r="2762" spans="1:9" ht="19.5" hidden="1" customHeight="1" x14ac:dyDescent="0.2">
      <c r="A2762" s="105" t="str">
        <f>IF(D2762=1,COUNTIF($D$10:D2762,1)," ")</f>
        <v xml:space="preserve"> </v>
      </c>
      <c r="B2762" s="106">
        <f>COPY!AR2754</f>
        <v>0</v>
      </c>
      <c r="C2762" s="107">
        <f>COPY!AC2754</f>
        <v>0</v>
      </c>
      <c r="D2762" s="107" t="str">
        <f>IF(LEN(Table1722[[#This Row],[Uraian]])&gt;2,1," ")</f>
        <v xml:space="preserve"> </v>
      </c>
      <c r="E2762" s="113" t="str">
        <f>IF(Table1722[[#This Row],[Lawan Transaksi]]="CV AGUNG KARYA",COUNTIF($I$10:I2762,"CV AGUNG KARYA")," ")</f>
        <v xml:space="preserve"> </v>
      </c>
      <c r="F2762" s="107" t="str">
        <f>IF(LEN(Table1722[[#This Row],[Uraian]])&gt;2,TRIM(RIGHT(SUBSTITUTE(TRIM(C2762)," ",REPT(" ",255)),255))," ")</f>
        <v xml:space="preserve"> </v>
      </c>
      <c r="G2762" s="110">
        <f>COPY!Z2754</f>
        <v>0</v>
      </c>
      <c r="H2762" s="111" t="str">
        <f>IFERROR(VLOOKUP(Table1722[[#This Row],[Bukti]],'Un nOTA'!$A$4:$K$5003,10,FALSE),"")</f>
        <v/>
      </c>
      <c r="I2762" s="112" t="str">
        <f>IFERROR(VLOOKUP(Table1722[[#This Row],[Bukti]],Table13[#Data],11,FALSE),"")</f>
        <v/>
      </c>
    </row>
    <row r="2763" spans="1:9" ht="19.5" hidden="1" customHeight="1" x14ac:dyDescent="0.2">
      <c r="A2763" s="105" t="str">
        <f>IF(D2763=1,COUNTIF($D$10:D2763,1)," ")</f>
        <v xml:space="preserve"> </v>
      </c>
      <c r="B2763" s="106">
        <f>COPY!AR2755</f>
        <v>0</v>
      </c>
      <c r="C2763" s="107">
        <f>COPY!AC2755</f>
        <v>0</v>
      </c>
      <c r="D2763" s="107" t="str">
        <f>IF(LEN(Table1722[[#This Row],[Uraian]])&gt;2,1," ")</f>
        <v xml:space="preserve"> </v>
      </c>
      <c r="E2763" s="113" t="str">
        <f>IF(Table1722[[#This Row],[Lawan Transaksi]]="CV AGUNG KARYA",COUNTIF($I$10:I2763,"CV AGUNG KARYA")," ")</f>
        <v xml:space="preserve"> </v>
      </c>
      <c r="F2763" s="107" t="str">
        <f>IF(LEN(Table1722[[#This Row],[Uraian]])&gt;2,TRIM(RIGHT(SUBSTITUTE(TRIM(C2763)," ",REPT(" ",255)),255))," ")</f>
        <v xml:space="preserve"> </v>
      </c>
      <c r="G2763" s="110">
        <f>COPY!Z2755</f>
        <v>0</v>
      </c>
      <c r="H2763" s="111" t="str">
        <f>IFERROR(VLOOKUP(Table1722[[#This Row],[Bukti]],'Un nOTA'!$A$4:$K$5003,10,FALSE),"")</f>
        <v/>
      </c>
      <c r="I2763" s="112" t="str">
        <f>IFERROR(VLOOKUP(Table1722[[#This Row],[Bukti]],Table13[#Data],11,FALSE),"")</f>
        <v/>
      </c>
    </row>
    <row r="2764" spans="1:9" ht="19.5" hidden="1" customHeight="1" x14ac:dyDescent="0.2">
      <c r="A2764" s="105" t="str">
        <f>IF(D2764=1,COUNTIF($D$10:D2764,1)," ")</f>
        <v xml:space="preserve"> </v>
      </c>
      <c r="B2764" s="106">
        <f>COPY!AR2756</f>
        <v>0</v>
      </c>
      <c r="C2764" s="107">
        <f>COPY!AC2756</f>
        <v>0</v>
      </c>
      <c r="D2764" s="107" t="str">
        <f>IF(LEN(Table1722[[#This Row],[Uraian]])&gt;2,1," ")</f>
        <v xml:space="preserve"> </v>
      </c>
      <c r="E2764" s="113" t="str">
        <f>IF(Table1722[[#This Row],[Lawan Transaksi]]="CV AGUNG KARYA",COUNTIF($I$10:I2764,"CV AGUNG KARYA")," ")</f>
        <v xml:space="preserve"> </v>
      </c>
      <c r="F2764" s="107" t="str">
        <f>IF(LEN(Table1722[[#This Row],[Uraian]])&gt;2,TRIM(RIGHT(SUBSTITUTE(TRIM(C2764)," ",REPT(" ",255)),255))," ")</f>
        <v xml:space="preserve"> </v>
      </c>
      <c r="G2764" s="110">
        <f>COPY!Z2756</f>
        <v>0</v>
      </c>
      <c r="H2764" s="111" t="str">
        <f>IFERROR(VLOOKUP(Table1722[[#This Row],[Bukti]],'Un nOTA'!$A$4:$K$5003,10,FALSE),"")</f>
        <v/>
      </c>
      <c r="I2764" s="112" t="str">
        <f>IFERROR(VLOOKUP(Table1722[[#This Row],[Bukti]],Table13[#Data],11,FALSE),"")</f>
        <v/>
      </c>
    </row>
    <row r="2765" spans="1:9" ht="19.5" hidden="1" customHeight="1" x14ac:dyDescent="0.2">
      <c r="A2765" s="105" t="str">
        <f>IF(D2765=1,COUNTIF($D$10:D2765,1)," ")</f>
        <v xml:space="preserve"> </v>
      </c>
      <c r="B2765" s="106">
        <f>COPY!AR2757</f>
        <v>0</v>
      </c>
      <c r="C2765" s="107">
        <f>COPY!AC2757</f>
        <v>0</v>
      </c>
      <c r="D2765" s="107" t="str">
        <f>IF(LEN(Table1722[[#This Row],[Uraian]])&gt;2,1," ")</f>
        <v xml:space="preserve"> </v>
      </c>
      <c r="E2765" s="113" t="str">
        <f>IF(Table1722[[#This Row],[Lawan Transaksi]]="CV AGUNG KARYA",COUNTIF($I$10:I2765,"CV AGUNG KARYA")," ")</f>
        <v xml:space="preserve"> </v>
      </c>
      <c r="F2765" s="107" t="str">
        <f>IF(LEN(Table1722[[#This Row],[Uraian]])&gt;2,TRIM(RIGHT(SUBSTITUTE(TRIM(C2765)," ",REPT(" ",255)),255))," ")</f>
        <v xml:space="preserve"> </v>
      </c>
      <c r="G2765" s="110">
        <f>COPY!Z2757</f>
        <v>0</v>
      </c>
      <c r="H2765" s="111" t="str">
        <f>IFERROR(VLOOKUP(Table1722[[#This Row],[Bukti]],'Un nOTA'!$A$4:$K$5003,10,FALSE),"")</f>
        <v/>
      </c>
      <c r="I2765" s="112" t="str">
        <f>IFERROR(VLOOKUP(Table1722[[#This Row],[Bukti]],Table13[#Data],11,FALSE),"")</f>
        <v/>
      </c>
    </row>
    <row r="2766" spans="1:9" ht="19.5" hidden="1" customHeight="1" x14ac:dyDescent="0.2">
      <c r="A2766" s="105" t="str">
        <f>IF(D2766=1,COUNTIF($D$10:D2766,1)," ")</f>
        <v xml:space="preserve"> </v>
      </c>
      <c r="B2766" s="106">
        <f>COPY!AR2758</f>
        <v>0</v>
      </c>
      <c r="C2766" s="107">
        <f>COPY!AC2758</f>
        <v>0</v>
      </c>
      <c r="D2766" s="107" t="str">
        <f>IF(LEN(Table1722[[#This Row],[Uraian]])&gt;2,1," ")</f>
        <v xml:space="preserve"> </v>
      </c>
      <c r="E2766" s="113" t="str">
        <f>IF(Table1722[[#This Row],[Lawan Transaksi]]="CV AGUNG KARYA",COUNTIF($I$10:I2766,"CV AGUNG KARYA")," ")</f>
        <v xml:space="preserve"> </v>
      </c>
      <c r="F2766" s="107" t="str">
        <f>IF(LEN(Table1722[[#This Row],[Uraian]])&gt;2,TRIM(RIGHT(SUBSTITUTE(TRIM(C2766)," ",REPT(" ",255)),255))," ")</f>
        <v xml:space="preserve"> </v>
      </c>
      <c r="G2766" s="110">
        <f>COPY!Z2758</f>
        <v>0</v>
      </c>
      <c r="H2766" s="111" t="str">
        <f>IFERROR(VLOOKUP(Table1722[[#This Row],[Bukti]],'Un nOTA'!$A$4:$K$5003,10,FALSE),"")</f>
        <v/>
      </c>
      <c r="I2766" s="112" t="str">
        <f>IFERROR(VLOOKUP(Table1722[[#This Row],[Bukti]],Table13[#Data],11,FALSE),"")</f>
        <v/>
      </c>
    </row>
    <row r="2767" spans="1:9" ht="19.5" hidden="1" customHeight="1" x14ac:dyDescent="0.2">
      <c r="A2767" s="105" t="str">
        <f>IF(D2767=1,COUNTIF($D$10:D2767,1)," ")</f>
        <v xml:space="preserve"> </v>
      </c>
      <c r="B2767" s="106">
        <f>COPY!AR2759</f>
        <v>0</v>
      </c>
      <c r="C2767" s="107">
        <f>COPY!AC2759</f>
        <v>0</v>
      </c>
      <c r="D2767" s="107" t="str">
        <f>IF(LEN(Table1722[[#This Row],[Uraian]])&gt;2,1," ")</f>
        <v xml:space="preserve"> </v>
      </c>
      <c r="E2767" s="113" t="str">
        <f>IF(Table1722[[#This Row],[Lawan Transaksi]]="CV AGUNG KARYA",COUNTIF($I$10:I2767,"CV AGUNG KARYA")," ")</f>
        <v xml:space="preserve"> </v>
      </c>
      <c r="F2767" s="107" t="str">
        <f>IF(LEN(Table1722[[#This Row],[Uraian]])&gt;2,TRIM(RIGHT(SUBSTITUTE(TRIM(C2767)," ",REPT(" ",255)),255))," ")</f>
        <v xml:space="preserve"> </v>
      </c>
      <c r="G2767" s="110">
        <f>COPY!Z2759</f>
        <v>0</v>
      </c>
      <c r="H2767" s="111" t="str">
        <f>IFERROR(VLOOKUP(Table1722[[#This Row],[Bukti]],'Un nOTA'!$A$4:$K$5003,10,FALSE),"")</f>
        <v/>
      </c>
      <c r="I2767" s="112" t="str">
        <f>IFERROR(VLOOKUP(Table1722[[#This Row],[Bukti]],Table13[#Data],11,FALSE),"")</f>
        <v/>
      </c>
    </row>
    <row r="2768" spans="1:9" ht="19.5" hidden="1" customHeight="1" x14ac:dyDescent="0.2">
      <c r="A2768" s="105" t="str">
        <f>IF(D2768=1,COUNTIF($D$10:D2768,1)," ")</f>
        <v xml:space="preserve"> </v>
      </c>
      <c r="B2768" s="106">
        <f>COPY!AR2760</f>
        <v>0</v>
      </c>
      <c r="C2768" s="107">
        <f>COPY!AC2760</f>
        <v>0</v>
      </c>
      <c r="D2768" s="107" t="str">
        <f>IF(LEN(Table1722[[#This Row],[Uraian]])&gt;2,1," ")</f>
        <v xml:space="preserve"> </v>
      </c>
      <c r="E2768" s="113" t="str">
        <f>IF(Table1722[[#This Row],[Lawan Transaksi]]="CV AGUNG KARYA",COUNTIF($I$10:I2768,"CV AGUNG KARYA")," ")</f>
        <v xml:space="preserve"> </v>
      </c>
      <c r="F2768" s="107" t="str">
        <f>IF(LEN(Table1722[[#This Row],[Uraian]])&gt;2,TRIM(RIGHT(SUBSTITUTE(TRIM(C2768)," ",REPT(" ",255)),255))," ")</f>
        <v xml:space="preserve"> </v>
      </c>
      <c r="G2768" s="110">
        <f>COPY!Z2760</f>
        <v>0</v>
      </c>
      <c r="H2768" s="111" t="str">
        <f>IFERROR(VLOOKUP(Table1722[[#This Row],[Bukti]],'Un nOTA'!$A$4:$K$5003,10,FALSE),"")</f>
        <v/>
      </c>
      <c r="I2768" s="112" t="str">
        <f>IFERROR(VLOOKUP(Table1722[[#This Row],[Bukti]],Table13[#Data],11,FALSE),"")</f>
        <v/>
      </c>
    </row>
    <row r="2769" spans="1:9" ht="19.5" hidden="1" customHeight="1" x14ac:dyDescent="0.2">
      <c r="A2769" s="105" t="str">
        <f>IF(D2769=1,COUNTIF($D$10:D2769,1)," ")</f>
        <v xml:space="preserve"> </v>
      </c>
      <c r="B2769" s="106">
        <f>COPY!AR2761</f>
        <v>0</v>
      </c>
      <c r="C2769" s="107">
        <f>COPY!AC2761</f>
        <v>0</v>
      </c>
      <c r="D2769" s="107" t="str">
        <f>IF(LEN(Table1722[[#This Row],[Uraian]])&gt;2,1," ")</f>
        <v xml:space="preserve"> </v>
      </c>
      <c r="E2769" s="113" t="str">
        <f>IF(Table1722[[#This Row],[Lawan Transaksi]]="CV AGUNG KARYA",COUNTIF($I$10:I2769,"CV AGUNG KARYA")," ")</f>
        <v xml:space="preserve"> </v>
      </c>
      <c r="F2769" s="107" t="str">
        <f>IF(LEN(Table1722[[#This Row],[Uraian]])&gt;2,TRIM(RIGHT(SUBSTITUTE(TRIM(C2769)," ",REPT(" ",255)),255))," ")</f>
        <v xml:space="preserve"> </v>
      </c>
      <c r="G2769" s="110">
        <f>COPY!Z2761</f>
        <v>0</v>
      </c>
      <c r="H2769" s="111" t="str">
        <f>IFERROR(VLOOKUP(Table1722[[#This Row],[Bukti]],'Un nOTA'!$A$4:$K$5003,10,FALSE),"")</f>
        <v/>
      </c>
      <c r="I2769" s="112" t="str">
        <f>IFERROR(VLOOKUP(Table1722[[#This Row],[Bukti]],Table13[#Data],11,FALSE),"")</f>
        <v/>
      </c>
    </row>
    <row r="2770" spans="1:9" ht="19.5" hidden="1" customHeight="1" x14ac:dyDescent="0.2">
      <c r="A2770" s="105" t="str">
        <f>IF(D2770=1,COUNTIF($D$10:D2770,1)," ")</f>
        <v xml:space="preserve"> </v>
      </c>
      <c r="B2770" s="106">
        <f>COPY!AR2762</f>
        <v>0</v>
      </c>
      <c r="C2770" s="107">
        <f>COPY!AC2762</f>
        <v>0</v>
      </c>
      <c r="D2770" s="107" t="str">
        <f>IF(LEN(Table1722[[#This Row],[Uraian]])&gt;2,1," ")</f>
        <v xml:space="preserve"> </v>
      </c>
      <c r="E2770" s="113" t="str">
        <f>IF(Table1722[[#This Row],[Lawan Transaksi]]="CV AGUNG KARYA",COUNTIF($I$10:I2770,"CV AGUNG KARYA")," ")</f>
        <v xml:space="preserve"> </v>
      </c>
      <c r="F2770" s="107" t="str">
        <f>IF(LEN(Table1722[[#This Row],[Uraian]])&gt;2,TRIM(RIGHT(SUBSTITUTE(TRIM(C2770)," ",REPT(" ",255)),255))," ")</f>
        <v xml:space="preserve"> </v>
      </c>
      <c r="G2770" s="110">
        <f>COPY!Z2762</f>
        <v>0</v>
      </c>
      <c r="H2770" s="111" t="str">
        <f>IFERROR(VLOOKUP(Table1722[[#This Row],[Bukti]],'Un nOTA'!$A$4:$K$5003,10,FALSE),"")</f>
        <v/>
      </c>
      <c r="I2770" s="112" t="str">
        <f>IFERROR(VLOOKUP(Table1722[[#This Row],[Bukti]],Table13[#Data],11,FALSE),"")</f>
        <v/>
      </c>
    </row>
    <row r="2771" spans="1:9" ht="19.5" hidden="1" customHeight="1" x14ac:dyDescent="0.2">
      <c r="A2771" s="105" t="str">
        <f>IF(D2771=1,COUNTIF($D$10:D2771,1)," ")</f>
        <v xml:space="preserve"> </v>
      </c>
      <c r="B2771" s="106">
        <f>COPY!AR2763</f>
        <v>0</v>
      </c>
      <c r="C2771" s="107">
        <f>COPY!AC2763</f>
        <v>0</v>
      </c>
      <c r="D2771" s="107" t="str">
        <f>IF(LEN(Table1722[[#This Row],[Uraian]])&gt;2,1," ")</f>
        <v xml:space="preserve"> </v>
      </c>
      <c r="E2771" s="113" t="str">
        <f>IF(Table1722[[#This Row],[Lawan Transaksi]]="CV AGUNG KARYA",COUNTIF($I$10:I2771,"CV AGUNG KARYA")," ")</f>
        <v xml:space="preserve"> </v>
      </c>
      <c r="F2771" s="107" t="str">
        <f>IF(LEN(Table1722[[#This Row],[Uraian]])&gt;2,TRIM(RIGHT(SUBSTITUTE(TRIM(C2771)," ",REPT(" ",255)),255))," ")</f>
        <v xml:space="preserve"> </v>
      </c>
      <c r="G2771" s="110">
        <f>COPY!Z2763</f>
        <v>0</v>
      </c>
      <c r="H2771" s="111" t="str">
        <f>IFERROR(VLOOKUP(Table1722[[#This Row],[Bukti]],'Un nOTA'!$A$4:$K$5003,10,FALSE),"")</f>
        <v/>
      </c>
      <c r="I2771" s="112" t="str">
        <f>IFERROR(VLOOKUP(Table1722[[#This Row],[Bukti]],Table13[#Data],11,FALSE),"")</f>
        <v/>
      </c>
    </row>
    <row r="2772" spans="1:9" ht="19.5" hidden="1" customHeight="1" x14ac:dyDescent="0.2">
      <c r="A2772" s="105" t="str">
        <f>IF(D2772=1,COUNTIF($D$10:D2772,1)," ")</f>
        <v xml:space="preserve"> </v>
      </c>
      <c r="B2772" s="106">
        <f>COPY!AR2764</f>
        <v>0</v>
      </c>
      <c r="C2772" s="107">
        <f>COPY!AC2764</f>
        <v>0</v>
      </c>
      <c r="D2772" s="107" t="str">
        <f>IF(LEN(Table1722[[#This Row],[Uraian]])&gt;2,1," ")</f>
        <v xml:space="preserve"> </v>
      </c>
      <c r="E2772" s="113" t="str">
        <f>IF(Table1722[[#This Row],[Lawan Transaksi]]="CV AGUNG KARYA",COUNTIF($I$10:I2772,"CV AGUNG KARYA")," ")</f>
        <v xml:space="preserve"> </v>
      </c>
      <c r="F2772" s="107" t="str">
        <f>IF(LEN(Table1722[[#This Row],[Uraian]])&gt;2,TRIM(RIGHT(SUBSTITUTE(TRIM(C2772)," ",REPT(" ",255)),255))," ")</f>
        <v xml:space="preserve"> </v>
      </c>
      <c r="G2772" s="110">
        <f>COPY!Z2764</f>
        <v>0</v>
      </c>
      <c r="H2772" s="111" t="str">
        <f>IFERROR(VLOOKUP(Table1722[[#This Row],[Bukti]],'Un nOTA'!$A$4:$K$5003,10,FALSE),"")</f>
        <v/>
      </c>
      <c r="I2772" s="112" t="str">
        <f>IFERROR(VLOOKUP(Table1722[[#This Row],[Bukti]],Table13[#Data],11,FALSE),"")</f>
        <v/>
      </c>
    </row>
    <row r="2773" spans="1:9" ht="19.5" hidden="1" customHeight="1" x14ac:dyDescent="0.2">
      <c r="A2773" s="105" t="str">
        <f>IF(D2773=1,COUNTIF($D$10:D2773,1)," ")</f>
        <v xml:space="preserve"> </v>
      </c>
      <c r="B2773" s="106">
        <f>COPY!AR2765</f>
        <v>0</v>
      </c>
      <c r="C2773" s="107">
        <f>COPY!AC2765</f>
        <v>0</v>
      </c>
      <c r="D2773" s="107" t="str">
        <f>IF(LEN(Table1722[[#This Row],[Uraian]])&gt;2,1," ")</f>
        <v xml:space="preserve"> </v>
      </c>
      <c r="E2773" s="113" t="str">
        <f>IF(Table1722[[#This Row],[Lawan Transaksi]]="CV AGUNG KARYA",COUNTIF($I$10:I2773,"CV AGUNG KARYA")," ")</f>
        <v xml:space="preserve"> </v>
      </c>
      <c r="F2773" s="107" t="str">
        <f>IF(LEN(Table1722[[#This Row],[Uraian]])&gt;2,TRIM(RIGHT(SUBSTITUTE(TRIM(C2773)," ",REPT(" ",255)),255))," ")</f>
        <v xml:space="preserve"> </v>
      </c>
      <c r="G2773" s="110">
        <f>COPY!Z2765</f>
        <v>0</v>
      </c>
      <c r="H2773" s="111" t="str">
        <f>IFERROR(VLOOKUP(Table1722[[#This Row],[Bukti]],'Un nOTA'!$A$4:$K$5003,10,FALSE),"")</f>
        <v/>
      </c>
      <c r="I2773" s="112" t="str">
        <f>IFERROR(VLOOKUP(Table1722[[#This Row],[Bukti]],Table13[#Data],11,FALSE),"")</f>
        <v/>
      </c>
    </row>
    <row r="2774" spans="1:9" ht="19.5" hidden="1" customHeight="1" x14ac:dyDescent="0.2">
      <c r="A2774" s="105" t="str">
        <f>IF(D2774=1,COUNTIF($D$10:D2774,1)," ")</f>
        <v xml:space="preserve"> </v>
      </c>
      <c r="B2774" s="106">
        <f>COPY!AR2766</f>
        <v>0</v>
      </c>
      <c r="C2774" s="107">
        <f>COPY!AC2766</f>
        <v>0</v>
      </c>
      <c r="D2774" s="107" t="str">
        <f>IF(LEN(Table1722[[#This Row],[Uraian]])&gt;2,1," ")</f>
        <v xml:space="preserve"> </v>
      </c>
      <c r="E2774" s="113" t="str">
        <f>IF(Table1722[[#This Row],[Lawan Transaksi]]="CV AGUNG KARYA",COUNTIF($I$10:I2774,"CV AGUNG KARYA")," ")</f>
        <v xml:space="preserve"> </v>
      </c>
      <c r="F2774" s="107" t="str">
        <f>IF(LEN(Table1722[[#This Row],[Uraian]])&gt;2,TRIM(RIGHT(SUBSTITUTE(TRIM(C2774)," ",REPT(" ",255)),255))," ")</f>
        <v xml:space="preserve"> </v>
      </c>
      <c r="G2774" s="110">
        <f>COPY!Z2766</f>
        <v>0</v>
      </c>
      <c r="H2774" s="111" t="str">
        <f>IFERROR(VLOOKUP(Table1722[[#This Row],[Bukti]],'Un nOTA'!$A$4:$K$5003,10,FALSE),"")</f>
        <v/>
      </c>
      <c r="I2774" s="112" t="str">
        <f>IFERROR(VLOOKUP(Table1722[[#This Row],[Bukti]],Table13[#Data],11,FALSE),"")</f>
        <v/>
      </c>
    </row>
    <row r="2775" spans="1:9" ht="19.5" hidden="1" customHeight="1" x14ac:dyDescent="0.2">
      <c r="A2775" s="105" t="str">
        <f>IF(D2775=1,COUNTIF($D$10:D2775,1)," ")</f>
        <v xml:space="preserve"> </v>
      </c>
      <c r="B2775" s="106">
        <f>COPY!AR2767</f>
        <v>0</v>
      </c>
      <c r="C2775" s="107">
        <f>COPY!AC2767</f>
        <v>0</v>
      </c>
      <c r="D2775" s="107" t="str">
        <f>IF(LEN(Table1722[[#This Row],[Uraian]])&gt;2,1," ")</f>
        <v xml:space="preserve"> </v>
      </c>
      <c r="E2775" s="113" t="str">
        <f>IF(Table1722[[#This Row],[Lawan Transaksi]]="CV AGUNG KARYA",COUNTIF($I$10:I2775,"CV AGUNG KARYA")," ")</f>
        <v xml:space="preserve"> </v>
      </c>
      <c r="F2775" s="107" t="str">
        <f>IF(LEN(Table1722[[#This Row],[Uraian]])&gt;2,TRIM(RIGHT(SUBSTITUTE(TRIM(C2775)," ",REPT(" ",255)),255))," ")</f>
        <v xml:space="preserve"> </v>
      </c>
      <c r="G2775" s="110">
        <f>COPY!Z2767</f>
        <v>0</v>
      </c>
      <c r="H2775" s="111" t="str">
        <f>IFERROR(VLOOKUP(Table1722[[#This Row],[Bukti]],'Un nOTA'!$A$4:$K$5003,10,FALSE),"")</f>
        <v/>
      </c>
      <c r="I2775" s="112" t="str">
        <f>IFERROR(VLOOKUP(Table1722[[#This Row],[Bukti]],Table13[#Data],11,FALSE),"")</f>
        <v/>
      </c>
    </row>
    <row r="2776" spans="1:9" ht="19.5" hidden="1" customHeight="1" x14ac:dyDescent="0.2">
      <c r="A2776" s="105" t="str">
        <f>IF(D2776=1,COUNTIF($D$10:D2776,1)," ")</f>
        <v xml:space="preserve"> </v>
      </c>
      <c r="B2776" s="106">
        <f>COPY!AR2768</f>
        <v>0</v>
      </c>
      <c r="C2776" s="107">
        <f>COPY!AC2768</f>
        <v>0</v>
      </c>
      <c r="D2776" s="107" t="str">
        <f>IF(LEN(Table1722[[#This Row],[Uraian]])&gt;2,1," ")</f>
        <v xml:space="preserve"> </v>
      </c>
      <c r="E2776" s="113" t="str">
        <f>IF(Table1722[[#This Row],[Lawan Transaksi]]="CV AGUNG KARYA",COUNTIF($I$10:I2776,"CV AGUNG KARYA")," ")</f>
        <v xml:space="preserve"> </v>
      </c>
      <c r="F2776" s="107" t="str">
        <f>IF(LEN(Table1722[[#This Row],[Uraian]])&gt;2,TRIM(RIGHT(SUBSTITUTE(TRIM(C2776)," ",REPT(" ",255)),255))," ")</f>
        <v xml:space="preserve"> </v>
      </c>
      <c r="G2776" s="110">
        <f>COPY!Z2768</f>
        <v>0</v>
      </c>
      <c r="H2776" s="111" t="str">
        <f>IFERROR(VLOOKUP(Table1722[[#This Row],[Bukti]],'Un nOTA'!$A$4:$K$5003,10,FALSE),"")</f>
        <v/>
      </c>
      <c r="I2776" s="112" t="str">
        <f>IFERROR(VLOOKUP(Table1722[[#This Row],[Bukti]],Table13[#Data],11,FALSE),"")</f>
        <v/>
      </c>
    </row>
    <row r="2777" spans="1:9" ht="19.5" hidden="1" customHeight="1" x14ac:dyDescent="0.2">
      <c r="A2777" s="105" t="str">
        <f>IF(D2777=1,COUNTIF($D$10:D2777,1)," ")</f>
        <v xml:space="preserve"> </v>
      </c>
      <c r="B2777" s="106">
        <f>COPY!AR2769</f>
        <v>0</v>
      </c>
      <c r="C2777" s="107">
        <f>COPY!AC2769</f>
        <v>0</v>
      </c>
      <c r="D2777" s="107" t="str">
        <f>IF(LEN(Table1722[[#This Row],[Uraian]])&gt;2,1," ")</f>
        <v xml:space="preserve"> </v>
      </c>
      <c r="E2777" s="113" t="str">
        <f>IF(Table1722[[#This Row],[Lawan Transaksi]]="CV AGUNG KARYA",COUNTIF($I$10:I2777,"CV AGUNG KARYA")," ")</f>
        <v xml:space="preserve"> </v>
      </c>
      <c r="F2777" s="107" t="str">
        <f>IF(LEN(Table1722[[#This Row],[Uraian]])&gt;2,TRIM(RIGHT(SUBSTITUTE(TRIM(C2777)," ",REPT(" ",255)),255))," ")</f>
        <v xml:space="preserve"> </v>
      </c>
      <c r="G2777" s="110">
        <f>COPY!Z2769</f>
        <v>0</v>
      </c>
      <c r="H2777" s="111" t="str">
        <f>IFERROR(VLOOKUP(Table1722[[#This Row],[Bukti]],'Un nOTA'!$A$4:$K$5003,10,FALSE),"")</f>
        <v/>
      </c>
      <c r="I2777" s="112" t="str">
        <f>IFERROR(VLOOKUP(Table1722[[#This Row],[Bukti]],Table13[#Data],11,FALSE),"")</f>
        <v/>
      </c>
    </row>
    <row r="2778" spans="1:9" ht="19.5" hidden="1" customHeight="1" x14ac:dyDescent="0.2">
      <c r="A2778" s="105" t="str">
        <f>IF(D2778=1,COUNTIF($D$10:D2778,1)," ")</f>
        <v xml:space="preserve"> </v>
      </c>
      <c r="B2778" s="106">
        <f>COPY!AR2770</f>
        <v>0</v>
      </c>
      <c r="C2778" s="107">
        <f>COPY!AC2770</f>
        <v>0</v>
      </c>
      <c r="D2778" s="107" t="str">
        <f>IF(LEN(Table1722[[#This Row],[Uraian]])&gt;2,1," ")</f>
        <v xml:space="preserve"> </v>
      </c>
      <c r="E2778" s="113" t="str">
        <f>IF(Table1722[[#This Row],[Lawan Transaksi]]="CV AGUNG KARYA",COUNTIF($I$10:I2778,"CV AGUNG KARYA")," ")</f>
        <v xml:space="preserve"> </v>
      </c>
      <c r="F2778" s="107" t="str">
        <f>IF(LEN(Table1722[[#This Row],[Uraian]])&gt;2,TRIM(RIGHT(SUBSTITUTE(TRIM(C2778)," ",REPT(" ",255)),255))," ")</f>
        <v xml:space="preserve"> </v>
      </c>
      <c r="G2778" s="110">
        <f>COPY!Z2770</f>
        <v>0</v>
      </c>
      <c r="H2778" s="111" t="str">
        <f>IFERROR(VLOOKUP(Table1722[[#This Row],[Bukti]],'Un nOTA'!$A$4:$K$5003,10,FALSE),"")</f>
        <v/>
      </c>
      <c r="I2778" s="112" t="str">
        <f>IFERROR(VLOOKUP(Table1722[[#This Row],[Bukti]],Table13[#Data],11,FALSE),"")</f>
        <v/>
      </c>
    </row>
    <row r="2779" spans="1:9" ht="19.5" hidden="1" customHeight="1" x14ac:dyDescent="0.2">
      <c r="A2779" s="105" t="str">
        <f>IF(D2779=1,COUNTIF($D$10:D2779,1)," ")</f>
        <v xml:space="preserve"> </v>
      </c>
      <c r="B2779" s="106">
        <f>COPY!AR2771</f>
        <v>0</v>
      </c>
      <c r="C2779" s="107">
        <f>COPY!AC2771</f>
        <v>0</v>
      </c>
      <c r="D2779" s="107" t="str">
        <f>IF(LEN(Table1722[[#This Row],[Uraian]])&gt;2,1," ")</f>
        <v xml:space="preserve"> </v>
      </c>
      <c r="E2779" s="113" t="str">
        <f>IF(Table1722[[#This Row],[Lawan Transaksi]]="CV AGUNG KARYA",COUNTIF($I$10:I2779,"CV AGUNG KARYA")," ")</f>
        <v xml:space="preserve"> </v>
      </c>
      <c r="F2779" s="107" t="str">
        <f>IF(LEN(Table1722[[#This Row],[Uraian]])&gt;2,TRIM(RIGHT(SUBSTITUTE(TRIM(C2779)," ",REPT(" ",255)),255))," ")</f>
        <v xml:space="preserve"> </v>
      </c>
      <c r="G2779" s="110">
        <f>COPY!Z2771</f>
        <v>0</v>
      </c>
      <c r="H2779" s="111" t="str">
        <f>IFERROR(VLOOKUP(Table1722[[#This Row],[Bukti]],'Un nOTA'!$A$4:$K$5003,10,FALSE),"")</f>
        <v/>
      </c>
      <c r="I2779" s="112" t="str">
        <f>IFERROR(VLOOKUP(Table1722[[#This Row],[Bukti]],Table13[#Data],11,FALSE),"")</f>
        <v/>
      </c>
    </row>
    <row r="2780" spans="1:9" ht="19.5" hidden="1" customHeight="1" x14ac:dyDescent="0.2">
      <c r="A2780" s="105" t="str">
        <f>IF(D2780=1,COUNTIF($D$10:D2780,1)," ")</f>
        <v xml:space="preserve"> </v>
      </c>
      <c r="B2780" s="106">
        <f>COPY!AR2772</f>
        <v>0</v>
      </c>
      <c r="C2780" s="107">
        <f>COPY!AC2772</f>
        <v>0</v>
      </c>
      <c r="D2780" s="107" t="str">
        <f>IF(LEN(Table1722[[#This Row],[Uraian]])&gt;2,1," ")</f>
        <v xml:space="preserve"> </v>
      </c>
      <c r="E2780" s="113" t="str">
        <f>IF(Table1722[[#This Row],[Lawan Transaksi]]="CV AGUNG KARYA",COUNTIF($I$10:I2780,"CV AGUNG KARYA")," ")</f>
        <v xml:space="preserve"> </v>
      </c>
      <c r="F2780" s="107" t="str">
        <f>IF(LEN(Table1722[[#This Row],[Uraian]])&gt;2,TRIM(RIGHT(SUBSTITUTE(TRIM(C2780)," ",REPT(" ",255)),255))," ")</f>
        <v xml:space="preserve"> </v>
      </c>
      <c r="G2780" s="110">
        <f>COPY!Z2772</f>
        <v>0</v>
      </c>
      <c r="H2780" s="111" t="str">
        <f>IFERROR(VLOOKUP(Table1722[[#This Row],[Bukti]],'Un nOTA'!$A$4:$K$5003,10,FALSE),"")</f>
        <v/>
      </c>
      <c r="I2780" s="112" t="str">
        <f>IFERROR(VLOOKUP(Table1722[[#This Row],[Bukti]],Table13[#Data],11,FALSE),"")</f>
        <v/>
      </c>
    </row>
    <row r="2781" spans="1:9" ht="19.5" hidden="1" customHeight="1" x14ac:dyDescent="0.2">
      <c r="A2781" s="105" t="str">
        <f>IF(D2781=1,COUNTIF($D$10:D2781,1)," ")</f>
        <v xml:space="preserve"> </v>
      </c>
      <c r="B2781" s="106">
        <f>COPY!AR2773</f>
        <v>0</v>
      </c>
      <c r="C2781" s="107">
        <f>COPY!AC2773</f>
        <v>0</v>
      </c>
      <c r="D2781" s="107" t="str">
        <f>IF(LEN(Table1722[[#This Row],[Uraian]])&gt;2,1," ")</f>
        <v xml:space="preserve"> </v>
      </c>
      <c r="E2781" s="113" t="str">
        <f>IF(Table1722[[#This Row],[Lawan Transaksi]]="CV AGUNG KARYA",COUNTIF($I$10:I2781,"CV AGUNG KARYA")," ")</f>
        <v xml:space="preserve"> </v>
      </c>
      <c r="F2781" s="107" t="str">
        <f>IF(LEN(Table1722[[#This Row],[Uraian]])&gt;2,TRIM(RIGHT(SUBSTITUTE(TRIM(C2781)," ",REPT(" ",255)),255))," ")</f>
        <v xml:space="preserve"> </v>
      </c>
      <c r="G2781" s="110">
        <f>COPY!Z2773</f>
        <v>0</v>
      </c>
      <c r="H2781" s="111" t="str">
        <f>IFERROR(VLOOKUP(Table1722[[#This Row],[Bukti]],'Un nOTA'!$A$4:$K$5003,10,FALSE),"")</f>
        <v/>
      </c>
      <c r="I2781" s="112" t="str">
        <f>IFERROR(VLOOKUP(Table1722[[#This Row],[Bukti]],Table13[#Data],11,FALSE),"")</f>
        <v/>
      </c>
    </row>
    <row r="2782" spans="1:9" ht="19.5" hidden="1" customHeight="1" x14ac:dyDescent="0.2">
      <c r="A2782" s="105" t="str">
        <f>IF(D2782=1,COUNTIF($D$10:D2782,1)," ")</f>
        <v xml:space="preserve"> </v>
      </c>
      <c r="B2782" s="106">
        <f>COPY!AR2774</f>
        <v>0</v>
      </c>
      <c r="C2782" s="107">
        <f>COPY!AC2774</f>
        <v>0</v>
      </c>
      <c r="D2782" s="107" t="str">
        <f>IF(LEN(Table1722[[#This Row],[Uraian]])&gt;2,1," ")</f>
        <v xml:space="preserve"> </v>
      </c>
      <c r="E2782" s="113" t="str">
        <f>IF(Table1722[[#This Row],[Lawan Transaksi]]="CV AGUNG KARYA",COUNTIF($I$10:I2782,"CV AGUNG KARYA")," ")</f>
        <v xml:space="preserve"> </v>
      </c>
      <c r="F2782" s="107" t="str">
        <f>IF(LEN(Table1722[[#This Row],[Uraian]])&gt;2,TRIM(RIGHT(SUBSTITUTE(TRIM(C2782)," ",REPT(" ",255)),255))," ")</f>
        <v xml:space="preserve"> </v>
      </c>
      <c r="G2782" s="110">
        <f>COPY!Z2774</f>
        <v>0</v>
      </c>
      <c r="H2782" s="111" t="str">
        <f>IFERROR(VLOOKUP(Table1722[[#This Row],[Bukti]],'Un nOTA'!$A$4:$K$5003,10,FALSE),"")</f>
        <v/>
      </c>
      <c r="I2782" s="112" t="str">
        <f>IFERROR(VLOOKUP(Table1722[[#This Row],[Bukti]],Table13[#Data],11,FALSE),"")</f>
        <v/>
      </c>
    </row>
    <row r="2783" spans="1:9" ht="19.5" hidden="1" customHeight="1" x14ac:dyDescent="0.2">
      <c r="A2783" s="105" t="str">
        <f>IF(D2783=1,COUNTIF($D$10:D2783,1)," ")</f>
        <v xml:space="preserve"> </v>
      </c>
      <c r="B2783" s="106">
        <f>COPY!AR2775</f>
        <v>0</v>
      </c>
      <c r="C2783" s="107">
        <f>COPY!AC2775</f>
        <v>0</v>
      </c>
      <c r="D2783" s="107" t="str">
        <f>IF(LEN(Table1722[[#This Row],[Uraian]])&gt;2,1," ")</f>
        <v xml:space="preserve"> </v>
      </c>
      <c r="E2783" s="113" t="str">
        <f>IF(Table1722[[#This Row],[Lawan Transaksi]]="CV AGUNG KARYA",COUNTIF($I$10:I2783,"CV AGUNG KARYA")," ")</f>
        <v xml:space="preserve"> </v>
      </c>
      <c r="F2783" s="107" t="str">
        <f>IF(LEN(Table1722[[#This Row],[Uraian]])&gt;2,TRIM(RIGHT(SUBSTITUTE(TRIM(C2783)," ",REPT(" ",255)),255))," ")</f>
        <v xml:space="preserve"> </v>
      </c>
      <c r="G2783" s="110">
        <f>COPY!Z2775</f>
        <v>0</v>
      </c>
      <c r="H2783" s="111" t="str">
        <f>IFERROR(VLOOKUP(Table1722[[#This Row],[Bukti]],'Un nOTA'!$A$4:$K$5003,10,FALSE),"")</f>
        <v/>
      </c>
      <c r="I2783" s="112" t="str">
        <f>IFERROR(VLOOKUP(Table1722[[#This Row],[Bukti]],Table13[#Data],11,FALSE),"")</f>
        <v/>
      </c>
    </row>
    <row r="2784" spans="1:9" ht="19.5" hidden="1" customHeight="1" x14ac:dyDescent="0.2">
      <c r="A2784" s="105" t="str">
        <f>IF(D2784=1,COUNTIF($D$10:D2784,1)," ")</f>
        <v xml:space="preserve"> </v>
      </c>
      <c r="B2784" s="106">
        <f>COPY!AR2776</f>
        <v>0</v>
      </c>
      <c r="C2784" s="107">
        <f>COPY!AC2776</f>
        <v>0</v>
      </c>
      <c r="D2784" s="107" t="str">
        <f>IF(LEN(Table1722[[#This Row],[Uraian]])&gt;2,1," ")</f>
        <v xml:space="preserve"> </v>
      </c>
      <c r="E2784" s="113" t="str">
        <f>IF(Table1722[[#This Row],[Lawan Transaksi]]="CV AGUNG KARYA",COUNTIF($I$10:I2784,"CV AGUNG KARYA")," ")</f>
        <v xml:space="preserve"> </v>
      </c>
      <c r="F2784" s="107" t="str">
        <f>IF(LEN(Table1722[[#This Row],[Uraian]])&gt;2,TRIM(RIGHT(SUBSTITUTE(TRIM(C2784)," ",REPT(" ",255)),255))," ")</f>
        <v xml:space="preserve"> </v>
      </c>
      <c r="G2784" s="110">
        <f>COPY!Z2776</f>
        <v>0</v>
      </c>
      <c r="H2784" s="111" t="str">
        <f>IFERROR(VLOOKUP(Table1722[[#This Row],[Bukti]],'Un nOTA'!$A$4:$K$5003,10,FALSE),"")</f>
        <v/>
      </c>
      <c r="I2784" s="112" t="str">
        <f>IFERROR(VLOOKUP(Table1722[[#This Row],[Bukti]],Table13[#Data],11,FALSE),"")</f>
        <v/>
      </c>
    </row>
    <row r="2785" spans="1:9" ht="19.5" hidden="1" customHeight="1" x14ac:dyDescent="0.2">
      <c r="A2785" s="105" t="str">
        <f>IF(D2785=1,COUNTIF($D$10:D2785,1)," ")</f>
        <v xml:space="preserve"> </v>
      </c>
      <c r="B2785" s="106">
        <f>COPY!AR2777</f>
        <v>0</v>
      </c>
      <c r="C2785" s="107">
        <f>COPY!AC2777</f>
        <v>0</v>
      </c>
      <c r="D2785" s="107" t="str">
        <f>IF(LEN(Table1722[[#This Row],[Uraian]])&gt;2,1," ")</f>
        <v xml:space="preserve"> </v>
      </c>
      <c r="E2785" s="113" t="str">
        <f>IF(Table1722[[#This Row],[Lawan Transaksi]]="CV AGUNG KARYA",COUNTIF($I$10:I2785,"CV AGUNG KARYA")," ")</f>
        <v xml:space="preserve"> </v>
      </c>
      <c r="F2785" s="107" t="str">
        <f>IF(LEN(Table1722[[#This Row],[Uraian]])&gt;2,TRIM(RIGHT(SUBSTITUTE(TRIM(C2785)," ",REPT(" ",255)),255))," ")</f>
        <v xml:space="preserve"> </v>
      </c>
      <c r="G2785" s="110">
        <f>COPY!Z2777</f>
        <v>0</v>
      </c>
      <c r="H2785" s="111" t="str">
        <f>IFERROR(VLOOKUP(Table1722[[#This Row],[Bukti]],'Un nOTA'!$A$4:$K$5003,10,FALSE),"")</f>
        <v/>
      </c>
      <c r="I2785" s="112" t="str">
        <f>IFERROR(VLOOKUP(Table1722[[#This Row],[Bukti]],Table13[#Data],11,FALSE),"")</f>
        <v/>
      </c>
    </row>
    <row r="2786" spans="1:9" ht="19.5" hidden="1" customHeight="1" x14ac:dyDescent="0.2">
      <c r="A2786" s="105" t="str">
        <f>IF(D2786=1,COUNTIF($D$10:D2786,1)," ")</f>
        <v xml:space="preserve"> </v>
      </c>
      <c r="B2786" s="106">
        <f>COPY!AR2778</f>
        <v>0</v>
      </c>
      <c r="C2786" s="107">
        <f>COPY!AC2778</f>
        <v>0</v>
      </c>
      <c r="D2786" s="107" t="str">
        <f>IF(LEN(Table1722[[#This Row],[Uraian]])&gt;2,1," ")</f>
        <v xml:space="preserve"> </v>
      </c>
      <c r="E2786" s="113" t="str">
        <f>IF(Table1722[[#This Row],[Lawan Transaksi]]="CV AGUNG KARYA",COUNTIF($I$10:I2786,"CV AGUNG KARYA")," ")</f>
        <v xml:space="preserve"> </v>
      </c>
      <c r="F2786" s="107" t="str">
        <f>IF(LEN(Table1722[[#This Row],[Uraian]])&gt;2,TRIM(RIGHT(SUBSTITUTE(TRIM(C2786)," ",REPT(" ",255)),255))," ")</f>
        <v xml:space="preserve"> </v>
      </c>
      <c r="G2786" s="110">
        <f>COPY!Z2778</f>
        <v>0</v>
      </c>
      <c r="H2786" s="111" t="str">
        <f>IFERROR(VLOOKUP(Table1722[[#This Row],[Bukti]],'Un nOTA'!$A$4:$K$5003,10,FALSE),"")</f>
        <v/>
      </c>
      <c r="I2786" s="112" t="str">
        <f>IFERROR(VLOOKUP(Table1722[[#This Row],[Bukti]],Table13[#Data],11,FALSE),"")</f>
        <v/>
      </c>
    </row>
    <row r="2787" spans="1:9" ht="19.5" hidden="1" customHeight="1" x14ac:dyDescent="0.2">
      <c r="A2787" s="105" t="str">
        <f>IF(D2787=1,COUNTIF($D$10:D2787,1)," ")</f>
        <v xml:space="preserve"> </v>
      </c>
      <c r="B2787" s="106">
        <f>COPY!AR2779</f>
        <v>0</v>
      </c>
      <c r="C2787" s="107">
        <f>COPY!AC2779</f>
        <v>0</v>
      </c>
      <c r="D2787" s="107" t="str">
        <f>IF(LEN(Table1722[[#This Row],[Uraian]])&gt;2,1," ")</f>
        <v xml:space="preserve"> </v>
      </c>
      <c r="E2787" s="113" t="str">
        <f>IF(Table1722[[#This Row],[Lawan Transaksi]]="CV AGUNG KARYA",COUNTIF($I$10:I2787,"CV AGUNG KARYA")," ")</f>
        <v xml:space="preserve"> </v>
      </c>
      <c r="F2787" s="107" t="str">
        <f>IF(LEN(Table1722[[#This Row],[Uraian]])&gt;2,TRIM(RIGHT(SUBSTITUTE(TRIM(C2787)," ",REPT(" ",255)),255))," ")</f>
        <v xml:space="preserve"> </v>
      </c>
      <c r="G2787" s="110">
        <f>COPY!Z2779</f>
        <v>0</v>
      </c>
      <c r="H2787" s="111" t="str">
        <f>IFERROR(VLOOKUP(Table1722[[#This Row],[Bukti]],'Un nOTA'!$A$4:$K$5003,10,FALSE),"")</f>
        <v/>
      </c>
      <c r="I2787" s="112" t="str">
        <f>IFERROR(VLOOKUP(Table1722[[#This Row],[Bukti]],Table13[#Data],11,FALSE),"")</f>
        <v/>
      </c>
    </row>
    <row r="2788" spans="1:9" ht="19.5" hidden="1" customHeight="1" x14ac:dyDescent="0.2">
      <c r="A2788" s="105" t="str">
        <f>IF(D2788=1,COUNTIF($D$10:D2788,1)," ")</f>
        <v xml:space="preserve"> </v>
      </c>
      <c r="B2788" s="106">
        <f>COPY!AR2780</f>
        <v>0</v>
      </c>
      <c r="C2788" s="107">
        <f>COPY!AC2780</f>
        <v>0</v>
      </c>
      <c r="D2788" s="107" t="str">
        <f>IF(LEN(Table1722[[#This Row],[Uraian]])&gt;2,1," ")</f>
        <v xml:space="preserve"> </v>
      </c>
      <c r="E2788" s="113" t="str">
        <f>IF(Table1722[[#This Row],[Lawan Transaksi]]="CV AGUNG KARYA",COUNTIF($I$10:I2788,"CV AGUNG KARYA")," ")</f>
        <v xml:space="preserve"> </v>
      </c>
      <c r="F2788" s="107" t="str">
        <f>IF(LEN(Table1722[[#This Row],[Uraian]])&gt;2,TRIM(RIGHT(SUBSTITUTE(TRIM(C2788)," ",REPT(" ",255)),255))," ")</f>
        <v xml:space="preserve"> </v>
      </c>
      <c r="G2788" s="110">
        <f>COPY!Z2780</f>
        <v>0</v>
      </c>
      <c r="H2788" s="111" t="str">
        <f>IFERROR(VLOOKUP(Table1722[[#This Row],[Bukti]],'Un nOTA'!$A$4:$K$5003,10,FALSE),"")</f>
        <v/>
      </c>
      <c r="I2788" s="112" t="str">
        <f>IFERROR(VLOOKUP(Table1722[[#This Row],[Bukti]],Table13[#Data],11,FALSE),"")</f>
        <v/>
      </c>
    </row>
    <row r="2789" spans="1:9" ht="19.5" hidden="1" customHeight="1" x14ac:dyDescent="0.2">
      <c r="A2789" s="105" t="str">
        <f>IF(D2789=1,COUNTIF($D$10:D2789,1)," ")</f>
        <v xml:space="preserve"> </v>
      </c>
      <c r="B2789" s="106">
        <f>COPY!AR2781</f>
        <v>0</v>
      </c>
      <c r="C2789" s="107">
        <f>COPY!AC2781</f>
        <v>0</v>
      </c>
      <c r="D2789" s="107" t="str">
        <f>IF(LEN(Table1722[[#This Row],[Uraian]])&gt;2,1," ")</f>
        <v xml:space="preserve"> </v>
      </c>
      <c r="E2789" s="113" t="str">
        <f>IF(Table1722[[#This Row],[Lawan Transaksi]]="CV AGUNG KARYA",COUNTIF($I$10:I2789,"CV AGUNG KARYA")," ")</f>
        <v xml:space="preserve"> </v>
      </c>
      <c r="F2789" s="107" t="str">
        <f>IF(LEN(Table1722[[#This Row],[Uraian]])&gt;2,TRIM(RIGHT(SUBSTITUTE(TRIM(C2789)," ",REPT(" ",255)),255))," ")</f>
        <v xml:space="preserve"> </v>
      </c>
      <c r="G2789" s="110">
        <f>COPY!Z2781</f>
        <v>0</v>
      </c>
      <c r="H2789" s="111" t="str">
        <f>IFERROR(VLOOKUP(Table1722[[#This Row],[Bukti]],'Un nOTA'!$A$4:$K$5003,10,FALSE),"")</f>
        <v/>
      </c>
      <c r="I2789" s="112" t="str">
        <f>IFERROR(VLOOKUP(Table1722[[#This Row],[Bukti]],Table13[#Data],11,FALSE),"")</f>
        <v/>
      </c>
    </row>
    <row r="2790" spans="1:9" ht="19.5" hidden="1" customHeight="1" x14ac:dyDescent="0.2">
      <c r="A2790" s="105" t="str">
        <f>IF(D2790=1,COUNTIF($D$10:D2790,1)," ")</f>
        <v xml:space="preserve"> </v>
      </c>
      <c r="B2790" s="106">
        <f>COPY!AR2782</f>
        <v>0</v>
      </c>
      <c r="C2790" s="107">
        <f>COPY!AC2782</f>
        <v>0</v>
      </c>
      <c r="D2790" s="107" t="str">
        <f>IF(LEN(Table1722[[#This Row],[Uraian]])&gt;2,1," ")</f>
        <v xml:space="preserve"> </v>
      </c>
      <c r="E2790" s="113" t="str">
        <f>IF(Table1722[[#This Row],[Lawan Transaksi]]="CV AGUNG KARYA",COUNTIF($I$10:I2790,"CV AGUNG KARYA")," ")</f>
        <v xml:space="preserve"> </v>
      </c>
      <c r="F2790" s="107" t="str">
        <f>IF(LEN(Table1722[[#This Row],[Uraian]])&gt;2,TRIM(RIGHT(SUBSTITUTE(TRIM(C2790)," ",REPT(" ",255)),255))," ")</f>
        <v xml:space="preserve"> </v>
      </c>
      <c r="G2790" s="110">
        <f>COPY!Z2782</f>
        <v>0</v>
      </c>
      <c r="H2790" s="111" t="str">
        <f>IFERROR(VLOOKUP(Table1722[[#This Row],[Bukti]],'Un nOTA'!$A$4:$K$5003,10,FALSE),"")</f>
        <v/>
      </c>
      <c r="I2790" s="112" t="str">
        <f>IFERROR(VLOOKUP(Table1722[[#This Row],[Bukti]],Table13[#Data],11,FALSE),"")</f>
        <v/>
      </c>
    </row>
    <row r="2791" spans="1:9" ht="19.5" hidden="1" customHeight="1" x14ac:dyDescent="0.2">
      <c r="A2791" s="105" t="str">
        <f>IF(D2791=1,COUNTIF($D$10:D2791,1)," ")</f>
        <v xml:space="preserve"> </v>
      </c>
      <c r="B2791" s="106">
        <f>COPY!AR2783</f>
        <v>0</v>
      </c>
      <c r="C2791" s="107">
        <f>COPY!AC2783</f>
        <v>0</v>
      </c>
      <c r="D2791" s="107" t="str">
        <f>IF(LEN(Table1722[[#This Row],[Uraian]])&gt;2,1," ")</f>
        <v xml:space="preserve"> </v>
      </c>
      <c r="E2791" s="113" t="str">
        <f>IF(Table1722[[#This Row],[Lawan Transaksi]]="CV AGUNG KARYA",COUNTIF($I$10:I2791,"CV AGUNG KARYA")," ")</f>
        <v xml:space="preserve"> </v>
      </c>
      <c r="F2791" s="107" t="str">
        <f>IF(LEN(Table1722[[#This Row],[Uraian]])&gt;2,TRIM(RIGHT(SUBSTITUTE(TRIM(C2791)," ",REPT(" ",255)),255))," ")</f>
        <v xml:space="preserve"> </v>
      </c>
      <c r="G2791" s="110">
        <f>COPY!Z2783</f>
        <v>0</v>
      </c>
      <c r="H2791" s="111" t="str">
        <f>IFERROR(VLOOKUP(Table1722[[#This Row],[Bukti]],'Un nOTA'!$A$4:$K$5003,10,FALSE),"")</f>
        <v/>
      </c>
      <c r="I2791" s="112" t="str">
        <f>IFERROR(VLOOKUP(Table1722[[#This Row],[Bukti]],Table13[#Data],11,FALSE),"")</f>
        <v/>
      </c>
    </row>
    <row r="2792" spans="1:9" ht="19.5" hidden="1" customHeight="1" x14ac:dyDescent="0.2">
      <c r="A2792" s="105" t="str">
        <f>IF(D2792=1,COUNTIF($D$10:D2792,1)," ")</f>
        <v xml:space="preserve"> </v>
      </c>
      <c r="B2792" s="106">
        <f>COPY!AR2784</f>
        <v>0</v>
      </c>
      <c r="C2792" s="107">
        <f>COPY!AC2784</f>
        <v>0</v>
      </c>
      <c r="D2792" s="107" t="str">
        <f>IF(LEN(Table1722[[#This Row],[Uraian]])&gt;2,1," ")</f>
        <v xml:space="preserve"> </v>
      </c>
      <c r="E2792" s="113" t="str">
        <f>IF(Table1722[[#This Row],[Lawan Transaksi]]="CV AGUNG KARYA",COUNTIF($I$10:I2792,"CV AGUNG KARYA")," ")</f>
        <v xml:space="preserve"> </v>
      </c>
      <c r="F2792" s="107" t="str">
        <f>IF(LEN(Table1722[[#This Row],[Uraian]])&gt;2,TRIM(RIGHT(SUBSTITUTE(TRIM(C2792)," ",REPT(" ",255)),255))," ")</f>
        <v xml:space="preserve"> </v>
      </c>
      <c r="G2792" s="110">
        <f>COPY!Z2784</f>
        <v>0</v>
      </c>
      <c r="H2792" s="111" t="str">
        <f>IFERROR(VLOOKUP(Table1722[[#This Row],[Bukti]],'Un nOTA'!$A$4:$K$5003,10,FALSE),"")</f>
        <v/>
      </c>
      <c r="I2792" s="112" t="str">
        <f>IFERROR(VLOOKUP(Table1722[[#This Row],[Bukti]],Table13[#Data],11,FALSE),"")</f>
        <v/>
      </c>
    </row>
    <row r="2793" spans="1:9" ht="19.5" hidden="1" customHeight="1" x14ac:dyDescent="0.2">
      <c r="A2793" s="105" t="str">
        <f>IF(D2793=1,COUNTIF($D$10:D2793,1)," ")</f>
        <v xml:space="preserve"> </v>
      </c>
      <c r="B2793" s="106">
        <f>COPY!AR2785</f>
        <v>0</v>
      </c>
      <c r="C2793" s="107">
        <f>COPY!AC2785</f>
        <v>0</v>
      </c>
      <c r="D2793" s="107" t="str">
        <f>IF(LEN(Table1722[[#This Row],[Uraian]])&gt;2,1," ")</f>
        <v xml:space="preserve"> </v>
      </c>
      <c r="E2793" s="113" t="str">
        <f>IF(Table1722[[#This Row],[Lawan Transaksi]]="CV AGUNG KARYA",COUNTIF($I$10:I2793,"CV AGUNG KARYA")," ")</f>
        <v xml:space="preserve"> </v>
      </c>
      <c r="F2793" s="107" t="str">
        <f>IF(LEN(Table1722[[#This Row],[Uraian]])&gt;2,TRIM(RIGHT(SUBSTITUTE(TRIM(C2793)," ",REPT(" ",255)),255))," ")</f>
        <v xml:space="preserve"> </v>
      </c>
      <c r="G2793" s="110">
        <f>COPY!Z2785</f>
        <v>0</v>
      </c>
      <c r="H2793" s="111" t="str">
        <f>IFERROR(VLOOKUP(Table1722[[#This Row],[Bukti]],'Un nOTA'!$A$4:$K$5003,10,FALSE),"")</f>
        <v/>
      </c>
      <c r="I2793" s="112" t="str">
        <f>IFERROR(VLOOKUP(Table1722[[#This Row],[Bukti]],Table13[#Data],11,FALSE),"")</f>
        <v/>
      </c>
    </row>
    <row r="2794" spans="1:9" ht="19.5" hidden="1" customHeight="1" x14ac:dyDescent="0.2">
      <c r="A2794" s="105" t="str">
        <f>IF(D2794=1,COUNTIF($D$10:D2794,1)," ")</f>
        <v xml:space="preserve"> </v>
      </c>
      <c r="B2794" s="106">
        <f>COPY!AR2786</f>
        <v>0</v>
      </c>
      <c r="C2794" s="107">
        <f>COPY!AC2786</f>
        <v>0</v>
      </c>
      <c r="D2794" s="107" t="str">
        <f>IF(LEN(Table1722[[#This Row],[Uraian]])&gt;2,1," ")</f>
        <v xml:space="preserve"> </v>
      </c>
      <c r="E2794" s="113" t="str">
        <f>IF(Table1722[[#This Row],[Lawan Transaksi]]="CV AGUNG KARYA",COUNTIF($I$10:I2794,"CV AGUNG KARYA")," ")</f>
        <v xml:space="preserve"> </v>
      </c>
      <c r="F2794" s="107" t="str">
        <f>IF(LEN(Table1722[[#This Row],[Uraian]])&gt;2,TRIM(RIGHT(SUBSTITUTE(TRIM(C2794)," ",REPT(" ",255)),255))," ")</f>
        <v xml:space="preserve"> </v>
      </c>
      <c r="G2794" s="110">
        <f>COPY!Z2786</f>
        <v>0</v>
      </c>
      <c r="H2794" s="111" t="str">
        <f>IFERROR(VLOOKUP(Table1722[[#This Row],[Bukti]],'Un nOTA'!$A$4:$K$5003,10,FALSE),"")</f>
        <v/>
      </c>
      <c r="I2794" s="112" t="str">
        <f>IFERROR(VLOOKUP(Table1722[[#This Row],[Bukti]],Table13[#Data],11,FALSE),"")</f>
        <v/>
      </c>
    </row>
    <row r="2795" spans="1:9" ht="19.5" hidden="1" customHeight="1" x14ac:dyDescent="0.2">
      <c r="A2795" s="105" t="str">
        <f>IF(D2795=1,COUNTIF($D$10:D2795,1)," ")</f>
        <v xml:space="preserve"> </v>
      </c>
      <c r="B2795" s="106">
        <f>COPY!AR2787</f>
        <v>0</v>
      </c>
      <c r="C2795" s="107">
        <f>COPY!AC2787</f>
        <v>0</v>
      </c>
      <c r="D2795" s="107" t="str">
        <f>IF(LEN(Table1722[[#This Row],[Uraian]])&gt;2,1," ")</f>
        <v xml:space="preserve"> </v>
      </c>
      <c r="E2795" s="113" t="str">
        <f>IF(Table1722[[#This Row],[Lawan Transaksi]]="CV AGUNG KARYA",COUNTIF($I$10:I2795,"CV AGUNG KARYA")," ")</f>
        <v xml:space="preserve"> </v>
      </c>
      <c r="F2795" s="107" t="str">
        <f>IF(LEN(Table1722[[#This Row],[Uraian]])&gt;2,TRIM(RIGHT(SUBSTITUTE(TRIM(C2795)," ",REPT(" ",255)),255))," ")</f>
        <v xml:space="preserve"> </v>
      </c>
      <c r="G2795" s="110">
        <f>COPY!Z2787</f>
        <v>0</v>
      </c>
      <c r="H2795" s="111" t="str">
        <f>IFERROR(VLOOKUP(Table1722[[#This Row],[Bukti]],'Un nOTA'!$A$4:$K$5003,10,FALSE),"")</f>
        <v/>
      </c>
      <c r="I2795" s="112" t="str">
        <f>IFERROR(VLOOKUP(Table1722[[#This Row],[Bukti]],Table13[#Data],11,FALSE),"")</f>
        <v/>
      </c>
    </row>
    <row r="2796" spans="1:9" ht="19.5" hidden="1" customHeight="1" x14ac:dyDescent="0.2">
      <c r="A2796" s="105" t="str">
        <f>IF(D2796=1,COUNTIF($D$10:D2796,1)," ")</f>
        <v xml:space="preserve"> </v>
      </c>
      <c r="B2796" s="106">
        <f>COPY!AR2788</f>
        <v>0</v>
      </c>
      <c r="C2796" s="107">
        <f>COPY!AC2788</f>
        <v>0</v>
      </c>
      <c r="D2796" s="107" t="str">
        <f>IF(LEN(Table1722[[#This Row],[Uraian]])&gt;2,1," ")</f>
        <v xml:space="preserve"> </v>
      </c>
      <c r="E2796" s="113" t="str">
        <f>IF(Table1722[[#This Row],[Lawan Transaksi]]="CV AGUNG KARYA",COUNTIF($I$10:I2796,"CV AGUNG KARYA")," ")</f>
        <v xml:space="preserve"> </v>
      </c>
      <c r="F2796" s="107" t="str">
        <f>IF(LEN(Table1722[[#This Row],[Uraian]])&gt;2,TRIM(RIGHT(SUBSTITUTE(TRIM(C2796)," ",REPT(" ",255)),255))," ")</f>
        <v xml:space="preserve"> </v>
      </c>
      <c r="G2796" s="110">
        <f>COPY!Z2788</f>
        <v>0</v>
      </c>
      <c r="H2796" s="111" t="str">
        <f>IFERROR(VLOOKUP(Table1722[[#This Row],[Bukti]],'Un nOTA'!$A$4:$K$5003,10,FALSE),"")</f>
        <v/>
      </c>
      <c r="I2796" s="112" t="str">
        <f>IFERROR(VLOOKUP(Table1722[[#This Row],[Bukti]],Table13[#Data],11,FALSE),"")</f>
        <v/>
      </c>
    </row>
    <row r="2797" spans="1:9" ht="19.5" hidden="1" customHeight="1" x14ac:dyDescent="0.2">
      <c r="A2797" s="105" t="str">
        <f>IF(D2797=1,COUNTIF($D$10:D2797,1)," ")</f>
        <v xml:space="preserve"> </v>
      </c>
      <c r="B2797" s="106">
        <f>COPY!AR2789</f>
        <v>0</v>
      </c>
      <c r="C2797" s="107">
        <f>COPY!AC2789</f>
        <v>0</v>
      </c>
      <c r="D2797" s="107" t="str">
        <f>IF(LEN(Table1722[[#This Row],[Uraian]])&gt;2,1," ")</f>
        <v xml:space="preserve"> </v>
      </c>
      <c r="E2797" s="113" t="str">
        <f>IF(Table1722[[#This Row],[Lawan Transaksi]]="CV AGUNG KARYA",COUNTIF($I$10:I2797,"CV AGUNG KARYA")," ")</f>
        <v xml:space="preserve"> </v>
      </c>
      <c r="F2797" s="107" t="str">
        <f>IF(LEN(Table1722[[#This Row],[Uraian]])&gt;2,TRIM(RIGHT(SUBSTITUTE(TRIM(C2797)," ",REPT(" ",255)),255))," ")</f>
        <v xml:space="preserve"> </v>
      </c>
      <c r="G2797" s="110">
        <f>COPY!Z2789</f>
        <v>0</v>
      </c>
      <c r="H2797" s="111" t="str">
        <f>IFERROR(VLOOKUP(Table1722[[#This Row],[Bukti]],'Un nOTA'!$A$4:$K$5003,10,FALSE),"")</f>
        <v/>
      </c>
      <c r="I2797" s="112" t="str">
        <f>IFERROR(VLOOKUP(Table1722[[#This Row],[Bukti]],Table13[#Data],11,FALSE),"")</f>
        <v/>
      </c>
    </row>
    <row r="2798" spans="1:9" ht="19.5" hidden="1" customHeight="1" x14ac:dyDescent="0.2">
      <c r="A2798" s="105" t="str">
        <f>IF(D2798=1,COUNTIF($D$10:D2798,1)," ")</f>
        <v xml:space="preserve"> </v>
      </c>
      <c r="B2798" s="106">
        <f>COPY!AR2790</f>
        <v>0</v>
      </c>
      <c r="C2798" s="107">
        <f>COPY!AC2790</f>
        <v>0</v>
      </c>
      <c r="D2798" s="107" t="str">
        <f>IF(LEN(Table1722[[#This Row],[Uraian]])&gt;2,1," ")</f>
        <v xml:space="preserve"> </v>
      </c>
      <c r="E2798" s="113" t="str">
        <f>IF(Table1722[[#This Row],[Lawan Transaksi]]="CV AGUNG KARYA",COUNTIF($I$10:I2798,"CV AGUNG KARYA")," ")</f>
        <v xml:space="preserve"> </v>
      </c>
      <c r="F2798" s="107" t="str">
        <f>IF(LEN(Table1722[[#This Row],[Uraian]])&gt;2,TRIM(RIGHT(SUBSTITUTE(TRIM(C2798)," ",REPT(" ",255)),255))," ")</f>
        <v xml:space="preserve"> </v>
      </c>
      <c r="G2798" s="110">
        <f>COPY!Z2790</f>
        <v>0</v>
      </c>
      <c r="H2798" s="111" t="str">
        <f>IFERROR(VLOOKUP(Table1722[[#This Row],[Bukti]],'Un nOTA'!$A$4:$K$5003,10,FALSE),"")</f>
        <v/>
      </c>
      <c r="I2798" s="112" t="str">
        <f>IFERROR(VLOOKUP(Table1722[[#This Row],[Bukti]],Table13[#Data],11,FALSE),"")</f>
        <v/>
      </c>
    </row>
    <row r="2799" spans="1:9" ht="19.5" hidden="1" customHeight="1" x14ac:dyDescent="0.2">
      <c r="A2799" s="105" t="str">
        <f>IF(D2799=1,COUNTIF($D$10:D2799,1)," ")</f>
        <v xml:space="preserve"> </v>
      </c>
      <c r="B2799" s="106">
        <f>COPY!AR2791</f>
        <v>0</v>
      </c>
      <c r="C2799" s="107">
        <f>COPY!AC2791</f>
        <v>0</v>
      </c>
      <c r="D2799" s="107" t="str">
        <f>IF(LEN(Table1722[[#This Row],[Uraian]])&gt;2,1," ")</f>
        <v xml:space="preserve"> </v>
      </c>
      <c r="E2799" s="113" t="str">
        <f>IF(Table1722[[#This Row],[Lawan Transaksi]]="CV AGUNG KARYA",COUNTIF($I$10:I2799,"CV AGUNG KARYA")," ")</f>
        <v xml:space="preserve"> </v>
      </c>
      <c r="F2799" s="107" t="str">
        <f>IF(LEN(Table1722[[#This Row],[Uraian]])&gt;2,TRIM(RIGHT(SUBSTITUTE(TRIM(C2799)," ",REPT(" ",255)),255))," ")</f>
        <v xml:space="preserve"> </v>
      </c>
      <c r="G2799" s="110">
        <f>COPY!Z2791</f>
        <v>0</v>
      </c>
      <c r="H2799" s="111" t="str">
        <f>IFERROR(VLOOKUP(Table1722[[#This Row],[Bukti]],'Un nOTA'!$A$4:$K$5003,10,FALSE),"")</f>
        <v/>
      </c>
      <c r="I2799" s="112" t="str">
        <f>IFERROR(VLOOKUP(Table1722[[#This Row],[Bukti]],Table13[#Data],11,FALSE),"")</f>
        <v/>
      </c>
    </row>
    <row r="2800" spans="1:9" ht="19.5" hidden="1" customHeight="1" x14ac:dyDescent="0.2">
      <c r="A2800" s="105" t="str">
        <f>IF(D2800=1,COUNTIF($D$10:D2800,1)," ")</f>
        <v xml:space="preserve"> </v>
      </c>
      <c r="B2800" s="106">
        <f>COPY!AR2792</f>
        <v>0</v>
      </c>
      <c r="C2800" s="107">
        <f>COPY!AC2792</f>
        <v>0</v>
      </c>
      <c r="D2800" s="107" t="str">
        <f>IF(LEN(Table1722[[#This Row],[Uraian]])&gt;2,1," ")</f>
        <v xml:space="preserve"> </v>
      </c>
      <c r="E2800" s="113" t="str">
        <f>IF(Table1722[[#This Row],[Lawan Transaksi]]="CV AGUNG KARYA",COUNTIF($I$10:I2800,"CV AGUNG KARYA")," ")</f>
        <v xml:space="preserve"> </v>
      </c>
      <c r="F2800" s="107" t="str">
        <f>IF(LEN(Table1722[[#This Row],[Uraian]])&gt;2,TRIM(RIGHT(SUBSTITUTE(TRIM(C2800)," ",REPT(" ",255)),255))," ")</f>
        <v xml:space="preserve"> </v>
      </c>
      <c r="G2800" s="110">
        <f>COPY!Z2792</f>
        <v>0</v>
      </c>
      <c r="H2800" s="111" t="str">
        <f>IFERROR(VLOOKUP(Table1722[[#This Row],[Bukti]],'Un nOTA'!$A$4:$K$5003,10,FALSE),"")</f>
        <v/>
      </c>
      <c r="I2800" s="112" t="str">
        <f>IFERROR(VLOOKUP(Table1722[[#This Row],[Bukti]],Table13[#Data],11,FALSE),"")</f>
        <v/>
      </c>
    </row>
    <row r="2801" spans="1:9" ht="19.5" hidden="1" customHeight="1" x14ac:dyDescent="0.2">
      <c r="A2801" s="105" t="str">
        <f>IF(D2801=1,COUNTIF($D$10:D2801,1)," ")</f>
        <v xml:space="preserve"> </v>
      </c>
      <c r="B2801" s="106">
        <f>COPY!AR2793</f>
        <v>0</v>
      </c>
      <c r="C2801" s="107">
        <f>COPY!AC2793</f>
        <v>0</v>
      </c>
      <c r="D2801" s="107" t="str">
        <f>IF(LEN(Table1722[[#This Row],[Uraian]])&gt;2,1," ")</f>
        <v xml:space="preserve"> </v>
      </c>
      <c r="E2801" s="113" t="str">
        <f>IF(Table1722[[#This Row],[Lawan Transaksi]]="CV AGUNG KARYA",COUNTIF($I$10:I2801,"CV AGUNG KARYA")," ")</f>
        <v xml:space="preserve"> </v>
      </c>
      <c r="F2801" s="107" t="str">
        <f>IF(LEN(Table1722[[#This Row],[Uraian]])&gt;2,TRIM(RIGHT(SUBSTITUTE(TRIM(C2801)," ",REPT(" ",255)),255))," ")</f>
        <v xml:space="preserve"> </v>
      </c>
      <c r="G2801" s="110">
        <f>COPY!Z2793</f>
        <v>0</v>
      </c>
      <c r="H2801" s="111" t="str">
        <f>IFERROR(VLOOKUP(Table1722[[#This Row],[Bukti]],'Un nOTA'!$A$4:$K$5003,10,FALSE),"")</f>
        <v/>
      </c>
      <c r="I2801" s="112" t="str">
        <f>IFERROR(VLOOKUP(Table1722[[#This Row],[Bukti]],Table13[#Data],11,FALSE),"")</f>
        <v/>
      </c>
    </row>
    <row r="2802" spans="1:9" ht="19.5" hidden="1" customHeight="1" x14ac:dyDescent="0.2">
      <c r="A2802" s="105" t="str">
        <f>IF(D2802=1,COUNTIF($D$10:D2802,1)," ")</f>
        <v xml:space="preserve"> </v>
      </c>
      <c r="B2802" s="106">
        <f>COPY!AR2794</f>
        <v>0</v>
      </c>
      <c r="C2802" s="107">
        <f>COPY!AC2794</f>
        <v>0</v>
      </c>
      <c r="D2802" s="107" t="str">
        <f>IF(LEN(Table1722[[#This Row],[Uraian]])&gt;2,1," ")</f>
        <v xml:space="preserve"> </v>
      </c>
      <c r="E2802" s="113" t="str">
        <f>IF(Table1722[[#This Row],[Lawan Transaksi]]="CV AGUNG KARYA",COUNTIF($I$10:I2802,"CV AGUNG KARYA")," ")</f>
        <v xml:space="preserve"> </v>
      </c>
      <c r="F2802" s="107" t="str">
        <f>IF(LEN(Table1722[[#This Row],[Uraian]])&gt;2,TRIM(RIGHT(SUBSTITUTE(TRIM(C2802)," ",REPT(" ",255)),255))," ")</f>
        <v xml:space="preserve"> </v>
      </c>
      <c r="G2802" s="110">
        <f>COPY!Z2794</f>
        <v>0</v>
      </c>
      <c r="H2802" s="111" t="str">
        <f>IFERROR(VLOOKUP(Table1722[[#This Row],[Bukti]],'Un nOTA'!$A$4:$K$5003,10,FALSE),"")</f>
        <v/>
      </c>
      <c r="I2802" s="112" t="str">
        <f>IFERROR(VLOOKUP(Table1722[[#This Row],[Bukti]],Table13[#Data],11,FALSE),"")</f>
        <v/>
      </c>
    </row>
    <row r="2803" spans="1:9" ht="19.5" hidden="1" customHeight="1" x14ac:dyDescent="0.2">
      <c r="A2803" s="105" t="str">
        <f>IF(D2803=1,COUNTIF($D$10:D2803,1)," ")</f>
        <v xml:space="preserve"> </v>
      </c>
      <c r="B2803" s="106">
        <f>COPY!AR2795</f>
        <v>0</v>
      </c>
      <c r="C2803" s="107">
        <f>COPY!AC2795</f>
        <v>0</v>
      </c>
      <c r="D2803" s="107" t="str">
        <f>IF(LEN(Table1722[[#This Row],[Uraian]])&gt;2,1," ")</f>
        <v xml:space="preserve"> </v>
      </c>
      <c r="E2803" s="113" t="str">
        <f>IF(Table1722[[#This Row],[Lawan Transaksi]]="CV AGUNG KARYA",COUNTIF($I$10:I2803,"CV AGUNG KARYA")," ")</f>
        <v xml:space="preserve"> </v>
      </c>
      <c r="F2803" s="107" t="str">
        <f>IF(LEN(Table1722[[#This Row],[Uraian]])&gt;2,TRIM(RIGHT(SUBSTITUTE(TRIM(C2803)," ",REPT(" ",255)),255))," ")</f>
        <v xml:space="preserve"> </v>
      </c>
      <c r="G2803" s="110">
        <f>COPY!Z2795</f>
        <v>0</v>
      </c>
      <c r="H2803" s="111" t="str">
        <f>IFERROR(VLOOKUP(Table1722[[#This Row],[Bukti]],'Un nOTA'!$A$4:$K$5003,10,FALSE),"")</f>
        <v/>
      </c>
      <c r="I2803" s="112" t="str">
        <f>IFERROR(VLOOKUP(Table1722[[#This Row],[Bukti]],Table13[#Data],11,FALSE),"")</f>
        <v/>
      </c>
    </row>
    <row r="2804" spans="1:9" ht="19.5" hidden="1" customHeight="1" x14ac:dyDescent="0.2">
      <c r="A2804" s="105" t="str">
        <f>IF(D2804=1,COUNTIF($D$10:D2804,1)," ")</f>
        <v xml:space="preserve"> </v>
      </c>
      <c r="B2804" s="106">
        <f>COPY!AR2796</f>
        <v>0</v>
      </c>
      <c r="C2804" s="107">
        <f>COPY!AC2796</f>
        <v>0</v>
      </c>
      <c r="D2804" s="107" t="str">
        <f>IF(LEN(Table1722[[#This Row],[Uraian]])&gt;2,1," ")</f>
        <v xml:space="preserve"> </v>
      </c>
      <c r="E2804" s="113" t="str">
        <f>IF(Table1722[[#This Row],[Lawan Transaksi]]="CV AGUNG KARYA",COUNTIF($I$10:I2804,"CV AGUNG KARYA")," ")</f>
        <v xml:space="preserve"> </v>
      </c>
      <c r="F2804" s="107" t="str">
        <f>IF(LEN(Table1722[[#This Row],[Uraian]])&gt;2,TRIM(RIGHT(SUBSTITUTE(TRIM(C2804)," ",REPT(" ",255)),255))," ")</f>
        <v xml:space="preserve"> </v>
      </c>
      <c r="G2804" s="110">
        <f>COPY!Z2796</f>
        <v>0</v>
      </c>
      <c r="H2804" s="111" t="str">
        <f>IFERROR(VLOOKUP(Table1722[[#This Row],[Bukti]],'Un nOTA'!$A$4:$K$5003,10,FALSE),"")</f>
        <v/>
      </c>
      <c r="I2804" s="112" t="str">
        <f>IFERROR(VLOOKUP(Table1722[[#This Row],[Bukti]],Table13[#Data],11,FALSE),"")</f>
        <v/>
      </c>
    </row>
    <row r="2805" spans="1:9" ht="19.5" hidden="1" customHeight="1" x14ac:dyDescent="0.2">
      <c r="A2805" s="105" t="str">
        <f>IF(D2805=1,COUNTIF($D$10:D2805,1)," ")</f>
        <v xml:space="preserve"> </v>
      </c>
      <c r="B2805" s="106">
        <f>COPY!AR2797</f>
        <v>0</v>
      </c>
      <c r="C2805" s="107">
        <f>COPY!AC2797</f>
        <v>0</v>
      </c>
      <c r="D2805" s="107" t="str">
        <f>IF(LEN(Table1722[[#This Row],[Uraian]])&gt;2,1," ")</f>
        <v xml:space="preserve"> </v>
      </c>
      <c r="E2805" s="113" t="str">
        <f>IF(Table1722[[#This Row],[Lawan Transaksi]]="CV AGUNG KARYA",COUNTIF($I$10:I2805,"CV AGUNG KARYA")," ")</f>
        <v xml:space="preserve"> </v>
      </c>
      <c r="F2805" s="107" t="str">
        <f>IF(LEN(Table1722[[#This Row],[Uraian]])&gt;2,TRIM(RIGHT(SUBSTITUTE(TRIM(C2805)," ",REPT(" ",255)),255))," ")</f>
        <v xml:space="preserve"> </v>
      </c>
      <c r="G2805" s="110">
        <f>COPY!Z2797</f>
        <v>0</v>
      </c>
      <c r="H2805" s="111" t="str">
        <f>IFERROR(VLOOKUP(Table1722[[#This Row],[Bukti]],'Un nOTA'!$A$4:$K$5003,10,FALSE),"")</f>
        <v/>
      </c>
      <c r="I2805" s="112" t="str">
        <f>IFERROR(VLOOKUP(Table1722[[#This Row],[Bukti]],Table13[#Data],11,FALSE),"")</f>
        <v/>
      </c>
    </row>
    <row r="2806" spans="1:9" ht="19.5" hidden="1" customHeight="1" x14ac:dyDescent="0.2">
      <c r="A2806" s="105" t="str">
        <f>IF(D2806=1,COUNTIF($D$10:D2806,1)," ")</f>
        <v xml:space="preserve"> </v>
      </c>
      <c r="B2806" s="106">
        <f>COPY!AR2798</f>
        <v>0</v>
      </c>
      <c r="C2806" s="107">
        <f>COPY!AC2798</f>
        <v>0</v>
      </c>
      <c r="D2806" s="107" t="str">
        <f>IF(LEN(Table1722[[#This Row],[Uraian]])&gt;2,1," ")</f>
        <v xml:space="preserve"> </v>
      </c>
      <c r="E2806" s="113" t="str">
        <f>IF(Table1722[[#This Row],[Lawan Transaksi]]="CV AGUNG KARYA",COUNTIF($I$10:I2806,"CV AGUNG KARYA")," ")</f>
        <v xml:space="preserve"> </v>
      </c>
      <c r="F2806" s="107" t="str">
        <f>IF(LEN(Table1722[[#This Row],[Uraian]])&gt;2,TRIM(RIGHT(SUBSTITUTE(TRIM(C2806)," ",REPT(" ",255)),255))," ")</f>
        <v xml:space="preserve"> </v>
      </c>
      <c r="G2806" s="110">
        <f>COPY!Z2798</f>
        <v>0</v>
      </c>
      <c r="H2806" s="111" t="str">
        <f>IFERROR(VLOOKUP(Table1722[[#This Row],[Bukti]],'Un nOTA'!$A$4:$K$5003,10,FALSE),"")</f>
        <v/>
      </c>
      <c r="I2806" s="112" t="str">
        <f>IFERROR(VLOOKUP(Table1722[[#This Row],[Bukti]],Table13[#Data],11,FALSE),"")</f>
        <v/>
      </c>
    </row>
    <row r="2807" spans="1:9" ht="19.5" hidden="1" customHeight="1" x14ac:dyDescent="0.2">
      <c r="A2807" s="105" t="str">
        <f>IF(D2807=1,COUNTIF($D$10:D2807,1)," ")</f>
        <v xml:space="preserve"> </v>
      </c>
      <c r="B2807" s="106">
        <f>COPY!AR2799</f>
        <v>0</v>
      </c>
      <c r="C2807" s="107">
        <f>COPY!AC2799</f>
        <v>0</v>
      </c>
      <c r="D2807" s="107" t="str">
        <f>IF(LEN(Table1722[[#This Row],[Uraian]])&gt;2,1," ")</f>
        <v xml:space="preserve"> </v>
      </c>
      <c r="E2807" s="113" t="str">
        <f>IF(Table1722[[#This Row],[Lawan Transaksi]]="CV AGUNG KARYA",COUNTIF($I$10:I2807,"CV AGUNG KARYA")," ")</f>
        <v xml:space="preserve"> </v>
      </c>
      <c r="F2807" s="107" t="str">
        <f>IF(LEN(Table1722[[#This Row],[Uraian]])&gt;2,TRIM(RIGHT(SUBSTITUTE(TRIM(C2807)," ",REPT(" ",255)),255))," ")</f>
        <v xml:space="preserve"> </v>
      </c>
      <c r="G2807" s="110">
        <f>COPY!Z2799</f>
        <v>0</v>
      </c>
      <c r="H2807" s="111" t="str">
        <f>IFERROR(VLOOKUP(Table1722[[#This Row],[Bukti]],'Un nOTA'!$A$4:$K$5003,10,FALSE),"")</f>
        <v/>
      </c>
      <c r="I2807" s="112" t="str">
        <f>IFERROR(VLOOKUP(Table1722[[#This Row],[Bukti]],Table13[#Data],11,FALSE),"")</f>
        <v/>
      </c>
    </row>
    <row r="2808" spans="1:9" ht="19.5" hidden="1" customHeight="1" x14ac:dyDescent="0.2">
      <c r="A2808" s="105" t="str">
        <f>IF(D2808=1,COUNTIF($D$10:D2808,1)," ")</f>
        <v xml:space="preserve"> </v>
      </c>
      <c r="B2808" s="106">
        <f>COPY!AR2800</f>
        <v>0</v>
      </c>
      <c r="C2808" s="107">
        <f>COPY!AC2800</f>
        <v>0</v>
      </c>
      <c r="D2808" s="107" t="str">
        <f>IF(LEN(Table1722[[#This Row],[Uraian]])&gt;2,1," ")</f>
        <v xml:space="preserve"> </v>
      </c>
      <c r="E2808" s="113" t="str">
        <f>IF(Table1722[[#This Row],[Lawan Transaksi]]="CV AGUNG KARYA",COUNTIF($I$10:I2808,"CV AGUNG KARYA")," ")</f>
        <v xml:space="preserve"> </v>
      </c>
      <c r="F2808" s="107" t="str">
        <f>IF(LEN(Table1722[[#This Row],[Uraian]])&gt;2,TRIM(RIGHT(SUBSTITUTE(TRIM(C2808)," ",REPT(" ",255)),255))," ")</f>
        <v xml:space="preserve"> </v>
      </c>
      <c r="G2808" s="110">
        <f>COPY!Z2800</f>
        <v>0</v>
      </c>
      <c r="H2808" s="111" t="str">
        <f>IFERROR(VLOOKUP(Table1722[[#This Row],[Bukti]],'Un nOTA'!$A$4:$K$5003,10,FALSE),"")</f>
        <v/>
      </c>
      <c r="I2808" s="112" t="str">
        <f>IFERROR(VLOOKUP(Table1722[[#This Row],[Bukti]],Table13[#Data],11,FALSE),"")</f>
        <v/>
      </c>
    </row>
    <row r="2809" spans="1:9" ht="19.5" hidden="1" customHeight="1" x14ac:dyDescent="0.2">
      <c r="A2809" s="105" t="str">
        <f>IF(D2809=1,COUNTIF($D$10:D2809,1)," ")</f>
        <v xml:space="preserve"> </v>
      </c>
      <c r="B2809" s="106">
        <f>COPY!AR2801</f>
        <v>0</v>
      </c>
      <c r="C2809" s="107">
        <f>COPY!AC2801</f>
        <v>0</v>
      </c>
      <c r="D2809" s="107" t="str">
        <f>IF(LEN(Table1722[[#This Row],[Uraian]])&gt;2,1," ")</f>
        <v xml:space="preserve"> </v>
      </c>
      <c r="E2809" s="113" t="str">
        <f>IF(Table1722[[#This Row],[Lawan Transaksi]]="CV AGUNG KARYA",COUNTIF($I$10:I2809,"CV AGUNG KARYA")," ")</f>
        <v xml:space="preserve"> </v>
      </c>
      <c r="F2809" s="107" t="str">
        <f>IF(LEN(Table1722[[#This Row],[Uraian]])&gt;2,TRIM(RIGHT(SUBSTITUTE(TRIM(C2809)," ",REPT(" ",255)),255))," ")</f>
        <v xml:space="preserve"> </v>
      </c>
      <c r="G2809" s="110">
        <f>COPY!Z2801</f>
        <v>0</v>
      </c>
      <c r="H2809" s="111" t="str">
        <f>IFERROR(VLOOKUP(Table1722[[#This Row],[Bukti]],'Un nOTA'!$A$4:$K$5003,10,FALSE),"")</f>
        <v/>
      </c>
      <c r="I2809" s="112" t="str">
        <f>IFERROR(VLOOKUP(Table1722[[#This Row],[Bukti]],Table13[#Data],11,FALSE),"")</f>
        <v/>
      </c>
    </row>
    <row r="2810" spans="1:9" ht="19.5" hidden="1" customHeight="1" x14ac:dyDescent="0.2">
      <c r="A2810" s="105" t="str">
        <f>IF(D2810=1,COUNTIF($D$10:D2810,1)," ")</f>
        <v xml:space="preserve"> </v>
      </c>
      <c r="B2810" s="106">
        <f>COPY!AR2802</f>
        <v>0</v>
      </c>
      <c r="C2810" s="107">
        <f>COPY!AC2802</f>
        <v>0</v>
      </c>
      <c r="D2810" s="107" t="str">
        <f>IF(LEN(Table1722[[#This Row],[Uraian]])&gt;2,1," ")</f>
        <v xml:space="preserve"> </v>
      </c>
      <c r="E2810" s="113" t="str">
        <f>IF(Table1722[[#This Row],[Lawan Transaksi]]="CV AGUNG KARYA",COUNTIF($I$10:I2810,"CV AGUNG KARYA")," ")</f>
        <v xml:space="preserve"> </v>
      </c>
      <c r="F2810" s="107" t="str">
        <f>IF(LEN(Table1722[[#This Row],[Uraian]])&gt;2,TRIM(RIGHT(SUBSTITUTE(TRIM(C2810)," ",REPT(" ",255)),255))," ")</f>
        <v xml:space="preserve"> </v>
      </c>
      <c r="G2810" s="110">
        <f>COPY!Z2802</f>
        <v>0</v>
      </c>
      <c r="H2810" s="111" t="str">
        <f>IFERROR(VLOOKUP(Table1722[[#This Row],[Bukti]],'Un nOTA'!$A$4:$K$5003,10,FALSE),"")</f>
        <v/>
      </c>
      <c r="I2810" s="112" t="str">
        <f>IFERROR(VLOOKUP(Table1722[[#This Row],[Bukti]],Table13[#Data],11,FALSE),"")</f>
        <v/>
      </c>
    </row>
    <row r="2811" spans="1:9" ht="19.5" hidden="1" customHeight="1" x14ac:dyDescent="0.2">
      <c r="A2811" s="105" t="str">
        <f>IF(D2811=1,COUNTIF($D$10:D2811,1)," ")</f>
        <v xml:space="preserve"> </v>
      </c>
      <c r="B2811" s="106">
        <f>COPY!AR2803</f>
        <v>0</v>
      </c>
      <c r="C2811" s="107">
        <f>COPY!AC2803</f>
        <v>0</v>
      </c>
      <c r="D2811" s="107" t="str">
        <f>IF(LEN(Table1722[[#This Row],[Uraian]])&gt;2,1," ")</f>
        <v xml:space="preserve"> </v>
      </c>
      <c r="E2811" s="113" t="str">
        <f>IF(Table1722[[#This Row],[Lawan Transaksi]]="CV AGUNG KARYA",COUNTIF($I$10:I2811,"CV AGUNG KARYA")," ")</f>
        <v xml:space="preserve"> </v>
      </c>
      <c r="F2811" s="107" t="str">
        <f>IF(LEN(Table1722[[#This Row],[Uraian]])&gt;2,TRIM(RIGHT(SUBSTITUTE(TRIM(C2811)," ",REPT(" ",255)),255))," ")</f>
        <v xml:space="preserve"> </v>
      </c>
      <c r="G2811" s="110">
        <f>COPY!Z2803</f>
        <v>0</v>
      </c>
      <c r="H2811" s="111" t="str">
        <f>IFERROR(VLOOKUP(Table1722[[#This Row],[Bukti]],'Un nOTA'!$A$4:$K$5003,10,FALSE),"")</f>
        <v/>
      </c>
      <c r="I2811" s="112" t="str">
        <f>IFERROR(VLOOKUP(Table1722[[#This Row],[Bukti]],Table13[#Data],11,FALSE),"")</f>
        <v/>
      </c>
    </row>
    <row r="2812" spans="1:9" ht="19.5" hidden="1" customHeight="1" x14ac:dyDescent="0.2">
      <c r="A2812" s="105" t="str">
        <f>IF(D2812=1,COUNTIF($D$10:D2812,1)," ")</f>
        <v xml:space="preserve"> </v>
      </c>
      <c r="B2812" s="106">
        <f>COPY!AR2804</f>
        <v>0</v>
      </c>
      <c r="C2812" s="107">
        <f>COPY!AC2804</f>
        <v>0</v>
      </c>
      <c r="D2812" s="107" t="str">
        <f>IF(LEN(Table1722[[#This Row],[Uraian]])&gt;2,1," ")</f>
        <v xml:space="preserve"> </v>
      </c>
      <c r="E2812" s="113" t="str">
        <f>IF(Table1722[[#This Row],[Lawan Transaksi]]="CV AGUNG KARYA",COUNTIF($I$10:I2812,"CV AGUNG KARYA")," ")</f>
        <v xml:space="preserve"> </v>
      </c>
      <c r="F2812" s="107" t="str">
        <f>IF(LEN(Table1722[[#This Row],[Uraian]])&gt;2,TRIM(RIGHT(SUBSTITUTE(TRIM(C2812)," ",REPT(" ",255)),255))," ")</f>
        <v xml:space="preserve"> </v>
      </c>
      <c r="G2812" s="110">
        <f>COPY!Z2804</f>
        <v>0</v>
      </c>
      <c r="H2812" s="111" t="str">
        <f>IFERROR(VLOOKUP(Table1722[[#This Row],[Bukti]],'Un nOTA'!$A$4:$K$5003,10,FALSE),"")</f>
        <v/>
      </c>
      <c r="I2812" s="112" t="str">
        <f>IFERROR(VLOOKUP(Table1722[[#This Row],[Bukti]],Table13[#Data],11,FALSE),"")</f>
        <v/>
      </c>
    </row>
    <row r="2813" spans="1:9" ht="19.5" hidden="1" customHeight="1" x14ac:dyDescent="0.2">
      <c r="A2813" s="105" t="str">
        <f>IF(D2813=1,COUNTIF($D$10:D2813,1)," ")</f>
        <v xml:space="preserve"> </v>
      </c>
      <c r="B2813" s="106">
        <f>COPY!AR2805</f>
        <v>0</v>
      </c>
      <c r="C2813" s="107">
        <f>COPY!AC2805</f>
        <v>0</v>
      </c>
      <c r="D2813" s="107" t="str">
        <f>IF(LEN(Table1722[[#This Row],[Uraian]])&gt;2,1," ")</f>
        <v xml:space="preserve"> </v>
      </c>
      <c r="E2813" s="113" t="str">
        <f>IF(Table1722[[#This Row],[Lawan Transaksi]]="CV AGUNG KARYA",COUNTIF($I$10:I2813,"CV AGUNG KARYA")," ")</f>
        <v xml:space="preserve"> </v>
      </c>
      <c r="F2813" s="107" t="str">
        <f>IF(LEN(Table1722[[#This Row],[Uraian]])&gt;2,TRIM(RIGHT(SUBSTITUTE(TRIM(C2813)," ",REPT(" ",255)),255))," ")</f>
        <v xml:space="preserve"> </v>
      </c>
      <c r="G2813" s="110">
        <f>COPY!Z2805</f>
        <v>0</v>
      </c>
      <c r="H2813" s="111" t="str">
        <f>IFERROR(VLOOKUP(Table1722[[#This Row],[Bukti]],'Un nOTA'!$A$4:$K$5003,10,FALSE),"")</f>
        <v/>
      </c>
      <c r="I2813" s="112" t="str">
        <f>IFERROR(VLOOKUP(Table1722[[#This Row],[Bukti]],Table13[#Data],11,FALSE),"")</f>
        <v/>
      </c>
    </row>
    <row r="2814" spans="1:9" ht="19.5" hidden="1" customHeight="1" x14ac:dyDescent="0.2">
      <c r="A2814" s="105" t="str">
        <f>IF(D2814=1,COUNTIF($D$10:D2814,1)," ")</f>
        <v xml:space="preserve"> </v>
      </c>
      <c r="B2814" s="106">
        <f>COPY!AR2806</f>
        <v>0</v>
      </c>
      <c r="C2814" s="107">
        <f>COPY!AC2806</f>
        <v>0</v>
      </c>
      <c r="D2814" s="107" t="str">
        <f>IF(LEN(Table1722[[#This Row],[Uraian]])&gt;2,1," ")</f>
        <v xml:space="preserve"> </v>
      </c>
      <c r="E2814" s="113" t="str">
        <f>IF(Table1722[[#This Row],[Lawan Transaksi]]="CV AGUNG KARYA",COUNTIF($I$10:I2814,"CV AGUNG KARYA")," ")</f>
        <v xml:space="preserve"> </v>
      </c>
      <c r="F2814" s="107" t="str">
        <f>IF(LEN(Table1722[[#This Row],[Uraian]])&gt;2,TRIM(RIGHT(SUBSTITUTE(TRIM(C2814)," ",REPT(" ",255)),255))," ")</f>
        <v xml:space="preserve"> </v>
      </c>
      <c r="G2814" s="110">
        <f>COPY!Z2806</f>
        <v>0</v>
      </c>
      <c r="H2814" s="111" t="str">
        <f>IFERROR(VLOOKUP(Table1722[[#This Row],[Bukti]],'Un nOTA'!$A$4:$K$5003,10,FALSE),"")</f>
        <v/>
      </c>
      <c r="I2814" s="112" t="str">
        <f>IFERROR(VLOOKUP(Table1722[[#This Row],[Bukti]],Table13[#Data],11,FALSE),"")</f>
        <v/>
      </c>
    </row>
    <row r="2815" spans="1:9" ht="19.5" hidden="1" customHeight="1" x14ac:dyDescent="0.2">
      <c r="A2815" s="105" t="str">
        <f>IF(D2815=1,COUNTIF($D$10:D2815,1)," ")</f>
        <v xml:space="preserve"> </v>
      </c>
      <c r="B2815" s="106">
        <f>COPY!AR2807</f>
        <v>0</v>
      </c>
      <c r="C2815" s="107">
        <f>COPY!AC2807</f>
        <v>0</v>
      </c>
      <c r="D2815" s="107" t="str">
        <f>IF(LEN(Table1722[[#This Row],[Uraian]])&gt;2,1," ")</f>
        <v xml:space="preserve"> </v>
      </c>
      <c r="E2815" s="113" t="str">
        <f>IF(Table1722[[#This Row],[Lawan Transaksi]]="CV AGUNG KARYA",COUNTIF($I$10:I2815,"CV AGUNG KARYA")," ")</f>
        <v xml:space="preserve"> </v>
      </c>
      <c r="F2815" s="107" t="str">
        <f>IF(LEN(Table1722[[#This Row],[Uraian]])&gt;2,TRIM(RIGHT(SUBSTITUTE(TRIM(C2815)," ",REPT(" ",255)),255))," ")</f>
        <v xml:space="preserve"> </v>
      </c>
      <c r="G2815" s="110">
        <f>COPY!Z2807</f>
        <v>0</v>
      </c>
      <c r="H2815" s="111" t="str">
        <f>IFERROR(VLOOKUP(Table1722[[#This Row],[Bukti]],'Un nOTA'!$A$4:$K$5003,10,FALSE),"")</f>
        <v/>
      </c>
      <c r="I2815" s="112" t="str">
        <f>IFERROR(VLOOKUP(Table1722[[#This Row],[Bukti]],Table13[#Data],11,FALSE),"")</f>
        <v/>
      </c>
    </row>
    <row r="2816" spans="1:9" ht="19.5" hidden="1" customHeight="1" x14ac:dyDescent="0.2">
      <c r="A2816" s="105" t="str">
        <f>IF(D2816=1,COUNTIF($D$10:D2816,1)," ")</f>
        <v xml:space="preserve"> </v>
      </c>
      <c r="B2816" s="106">
        <f>COPY!AR2808</f>
        <v>0</v>
      </c>
      <c r="C2816" s="107">
        <f>COPY!AC2808</f>
        <v>0</v>
      </c>
      <c r="D2816" s="107" t="str">
        <f>IF(LEN(Table1722[[#This Row],[Uraian]])&gt;2,1," ")</f>
        <v xml:space="preserve"> </v>
      </c>
      <c r="E2816" s="113" t="str">
        <f>IF(Table1722[[#This Row],[Lawan Transaksi]]="CV AGUNG KARYA",COUNTIF($I$10:I2816,"CV AGUNG KARYA")," ")</f>
        <v xml:space="preserve"> </v>
      </c>
      <c r="F2816" s="107" t="str">
        <f>IF(LEN(Table1722[[#This Row],[Uraian]])&gt;2,TRIM(RIGHT(SUBSTITUTE(TRIM(C2816)," ",REPT(" ",255)),255))," ")</f>
        <v xml:space="preserve"> </v>
      </c>
      <c r="G2816" s="110">
        <f>COPY!Z2808</f>
        <v>0</v>
      </c>
      <c r="H2816" s="111" t="str">
        <f>IFERROR(VLOOKUP(Table1722[[#This Row],[Bukti]],'Un nOTA'!$A$4:$K$5003,10,FALSE),"")</f>
        <v/>
      </c>
      <c r="I2816" s="112" t="str">
        <f>IFERROR(VLOOKUP(Table1722[[#This Row],[Bukti]],Table13[#Data],11,FALSE),"")</f>
        <v/>
      </c>
    </row>
    <row r="2817" spans="1:9" ht="19.5" hidden="1" customHeight="1" x14ac:dyDescent="0.2">
      <c r="A2817" s="105" t="str">
        <f>IF(D2817=1,COUNTIF($D$10:D2817,1)," ")</f>
        <v xml:space="preserve"> </v>
      </c>
      <c r="B2817" s="106">
        <f>COPY!AR2809</f>
        <v>0</v>
      </c>
      <c r="C2817" s="107">
        <f>COPY!AC2809</f>
        <v>0</v>
      </c>
      <c r="D2817" s="107" t="str">
        <f>IF(LEN(Table1722[[#This Row],[Uraian]])&gt;2,1," ")</f>
        <v xml:space="preserve"> </v>
      </c>
      <c r="E2817" s="113" t="str">
        <f>IF(Table1722[[#This Row],[Lawan Transaksi]]="CV AGUNG KARYA",COUNTIF($I$10:I2817,"CV AGUNG KARYA")," ")</f>
        <v xml:space="preserve"> </v>
      </c>
      <c r="F2817" s="107" t="str">
        <f>IF(LEN(Table1722[[#This Row],[Uraian]])&gt;2,TRIM(RIGHT(SUBSTITUTE(TRIM(C2817)," ",REPT(" ",255)),255))," ")</f>
        <v xml:space="preserve"> </v>
      </c>
      <c r="G2817" s="110">
        <f>COPY!Z2809</f>
        <v>0</v>
      </c>
      <c r="H2817" s="111" t="str">
        <f>IFERROR(VLOOKUP(Table1722[[#This Row],[Bukti]],'Un nOTA'!$A$4:$K$5003,10,FALSE),"")</f>
        <v/>
      </c>
      <c r="I2817" s="112" t="str">
        <f>IFERROR(VLOOKUP(Table1722[[#This Row],[Bukti]],Table13[#Data],11,FALSE),"")</f>
        <v/>
      </c>
    </row>
    <row r="2818" spans="1:9" ht="19.5" hidden="1" customHeight="1" x14ac:dyDescent="0.2">
      <c r="A2818" s="105" t="str">
        <f>IF(D2818=1,COUNTIF($D$10:D2818,1)," ")</f>
        <v xml:space="preserve"> </v>
      </c>
      <c r="B2818" s="106">
        <f>COPY!AR2810</f>
        <v>0</v>
      </c>
      <c r="C2818" s="107">
        <f>COPY!AC2810</f>
        <v>0</v>
      </c>
      <c r="D2818" s="107" t="str">
        <f>IF(LEN(Table1722[[#This Row],[Uraian]])&gt;2,1," ")</f>
        <v xml:space="preserve"> </v>
      </c>
      <c r="E2818" s="113" t="str">
        <f>IF(Table1722[[#This Row],[Lawan Transaksi]]="CV AGUNG KARYA",COUNTIF($I$10:I2818,"CV AGUNG KARYA")," ")</f>
        <v xml:space="preserve"> </v>
      </c>
      <c r="F2818" s="107" t="str">
        <f>IF(LEN(Table1722[[#This Row],[Uraian]])&gt;2,TRIM(RIGHT(SUBSTITUTE(TRIM(C2818)," ",REPT(" ",255)),255))," ")</f>
        <v xml:space="preserve"> </v>
      </c>
      <c r="G2818" s="110">
        <f>COPY!Z2810</f>
        <v>0</v>
      </c>
      <c r="H2818" s="111" t="str">
        <f>IFERROR(VLOOKUP(Table1722[[#This Row],[Bukti]],'Un nOTA'!$A$4:$K$5003,10,FALSE),"")</f>
        <v/>
      </c>
      <c r="I2818" s="112" t="str">
        <f>IFERROR(VLOOKUP(Table1722[[#This Row],[Bukti]],Table13[#Data],11,FALSE),"")</f>
        <v/>
      </c>
    </row>
    <row r="2819" spans="1:9" ht="19.5" hidden="1" customHeight="1" x14ac:dyDescent="0.2">
      <c r="A2819" s="105" t="str">
        <f>IF(D2819=1,COUNTIF($D$10:D2819,1)," ")</f>
        <v xml:space="preserve"> </v>
      </c>
      <c r="B2819" s="106">
        <f>COPY!AR2811</f>
        <v>0</v>
      </c>
      <c r="C2819" s="107">
        <f>COPY!AC2811</f>
        <v>0</v>
      </c>
      <c r="D2819" s="107" t="str">
        <f>IF(LEN(Table1722[[#This Row],[Uraian]])&gt;2,1," ")</f>
        <v xml:space="preserve"> </v>
      </c>
      <c r="E2819" s="113" t="str">
        <f>IF(Table1722[[#This Row],[Lawan Transaksi]]="CV AGUNG KARYA",COUNTIF($I$10:I2819,"CV AGUNG KARYA")," ")</f>
        <v xml:space="preserve"> </v>
      </c>
      <c r="F2819" s="107" t="str">
        <f>IF(LEN(Table1722[[#This Row],[Uraian]])&gt;2,TRIM(RIGHT(SUBSTITUTE(TRIM(C2819)," ",REPT(" ",255)),255))," ")</f>
        <v xml:space="preserve"> </v>
      </c>
      <c r="G2819" s="110">
        <f>COPY!Z2811</f>
        <v>0</v>
      </c>
      <c r="H2819" s="111" t="str">
        <f>IFERROR(VLOOKUP(Table1722[[#This Row],[Bukti]],'Un nOTA'!$A$4:$K$5003,10,FALSE),"")</f>
        <v/>
      </c>
      <c r="I2819" s="112" t="str">
        <f>IFERROR(VLOOKUP(Table1722[[#This Row],[Bukti]],Table13[#Data],11,FALSE),"")</f>
        <v/>
      </c>
    </row>
    <row r="2820" spans="1:9" ht="19.5" hidden="1" customHeight="1" x14ac:dyDescent="0.2">
      <c r="A2820" s="105" t="str">
        <f>IF(D2820=1,COUNTIF($D$10:D2820,1)," ")</f>
        <v xml:space="preserve"> </v>
      </c>
      <c r="B2820" s="106">
        <f>COPY!AR2812</f>
        <v>0</v>
      </c>
      <c r="C2820" s="107">
        <f>COPY!AC2812</f>
        <v>0</v>
      </c>
      <c r="D2820" s="107" t="str">
        <f>IF(LEN(Table1722[[#This Row],[Uraian]])&gt;2,1," ")</f>
        <v xml:space="preserve"> </v>
      </c>
      <c r="E2820" s="113" t="str">
        <f>IF(Table1722[[#This Row],[Lawan Transaksi]]="CV AGUNG KARYA",COUNTIF($I$10:I2820,"CV AGUNG KARYA")," ")</f>
        <v xml:space="preserve"> </v>
      </c>
      <c r="F2820" s="107" t="str">
        <f>IF(LEN(Table1722[[#This Row],[Uraian]])&gt;2,TRIM(RIGHT(SUBSTITUTE(TRIM(C2820)," ",REPT(" ",255)),255))," ")</f>
        <v xml:space="preserve"> </v>
      </c>
      <c r="G2820" s="110">
        <f>COPY!Z2812</f>
        <v>0</v>
      </c>
      <c r="H2820" s="111" t="str">
        <f>IFERROR(VLOOKUP(Table1722[[#This Row],[Bukti]],'Un nOTA'!$A$4:$K$5003,10,FALSE),"")</f>
        <v/>
      </c>
      <c r="I2820" s="112" t="str">
        <f>IFERROR(VLOOKUP(Table1722[[#This Row],[Bukti]],Table13[#Data],11,FALSE),"")</f>
        <v/>
      </c>
    </row>
    <row r="2821" spans="1:9" ht="19.5" hidden="1" customHeight="1" x14ac:dyDescent="0.2">
      <c r="A2821" s="105" t="str">
        <f>IF(D2821=1,COUNTIF($D$10:D2821,1)," ")</f>
        <v xml:space="preserve"> </v>
      </c>
      <c r="B2821" s="106">
        <f>COPY!AR2813</f>
        <v>0</v>
      </c>
      <c r="C2821" s="107">
        <f>COPY!AC2813</f>
        <v>0</v>
      </c>
      <c r="D2821" s="107" t="str">
        <f>IF(LEN(Table1722[[#This Row],[Uraian]])&gt;2,1," ")</f>
        <v xml:space="preserve"> </v>
      </c>
      <c r="E2821" s="113" t="str">
        <f>IF(Table1722[[#This Row],[Lawan Transaksi]]="CV AGUNG KARYA",COUNTIF($I$10:I2821,"CV AGUNG KARYA")," ")</f>
        <v xml:space="preserve"> </v>
      </c>
      <c r="F2821" s="107" t="str">
        <f>IF(LEN(Table1722[[#This Row],[Uraian]])&gt;2,TRIM(RIGHT(SUBSTITUTE(TRIM(C2821)," ",REPT(" ",255)),255))," ")</f>
        <v xml:space="preserve"> </v>
      </c>
      <c r="G2821" s="110">
        <f>COPY!Z2813</f>
        <v>0</v>
      </c>
      <c r="H2821" s="111" t="str">
        <f>IFERROR(VLOOKUP(Table1722[[#This Row],[Bukti]],'Un nOTA'!$A$4:$K$5003,10,FALSE),"")</f>
        <v/>
      </c>
      <c r="I2821" s="112" t="str">
        <f>IFERROR(VLOOKUP(Table1722[[#This Row],[Bukti]],Table13[#Data],11,FALSE),"")</f>
        <v/>
      </c>
    </row>
    <row r="2822" spans="1:9" ht="19.5" hidden="1" customHeight="1" x14ac:dyDescent="0.2">
      <c r="A2822" s="105" t="str">
        <f>IF(D2822=1,COUNTIF($D$10:D2822,1)," ")</f>
        <v xml:space="preserve"> </v>
      </c>
      <c r="B2822" s="106">
        <f>COPY!AR2814</f>
        <v>0</v>
      </c>
      <c r="C2822" s="107">
        <f>COPY!AC2814</f>
        <v>0</v>
      </c>
      <c r="D2822" s="107" t="str">
        <f>IF(LEN(Table1722[[#This Row],[Uraian]])&gt;2,1," ")</f>
        <v xml:space="preserve"> </v>
      </c>
      <c r="E2822" s="113" t="str">
        <f>IF(Table1722[[#This Row],[Lawan Transaksi]]="CV AGUNG KARYA",COUNTIF($I$10:I2822,"CV AGUNG KARYA")," ")</f>
        <v xml:space="preserve"> </v>
      </c>
      <c r="F2822" s="107" t="str">
        <f>IF(LEN(Table1722[[#This Row],[Uraian]])&gt;2,TRIM(RIGHT(SUBSTITUTE(TRIM(C2822)," ",REPT(" ",255)),255))," ")</f>
        <v xml:space="preserve"> </v>
      </c>
      <c r="G2822" s="110">
        <f>COPY!Z2814</f>
        <v>0</v>
      </c>
      <c r="H2822" s="111" t="str">
        <f>IFERROR(VLOOKUP(Table1722[[#This Row],[Bukti]],'Un nOTA'!$A$4:$K$5003,10,FALSE),"")</f>
        <v/>
      </c>
      <c r="I2822" s="112" t="str">
        <f>IFERROR(VLOOKUP(Table1722[[#This Row],[Bukti]],Table13[#Data],11,FALSE),"")</f>
        <v/>
      </c>
    </row>
    <row r="2823" spans="1:9" ht="19.5" hidden="1" customHeight="1" x14ac:dyDescent="0.2">
      <c r="A2823" s="105" t="str">
        <f>IF(D2823=1,COUNTIF($D$10:D2823,1)," ")</f>
        <v xml:space="preserve"> </v>
      </c>
      <c r="B2823" s="106">
        <f>COPY!AR2815</f>
        <v>0</v>
      </c>
      <c r="C2823" s="107">
        <f>COPY!AC2815</f>
        <v>0</v>
      </c>
      <c r="D2823" s="107" t="str">
        <f>IF(LEN(Table1722[[#This Row],[Uraian]])&gt;2,1," ")</f>
        <v xml:space="preserve"> </v>
      </c>
      <c r="E2823" s="113" t="str">
        <f>IF(Table1722[[#This Row],[Lawan Transaksi]]="CV AGUNG KARYA",COUNTIF($I$10:I2823,"CV AGUNG KARYA")," ")</f>
        <v xml:space="preserve"> </v>
      </c>
      <c r="F2823" s="107" t="str">
        <f>IF(LEN(Table1722[[#This Row],[Uraian]])&gt;2,TRIM(RIGHT(SUBSTITUTE(TRIM(C2823)," ",REPT(" ",255)),255))," ")</f>
        <v xml:space="preserve"> </v>
      </c>
      <c r="G2823" s="110">
        <f>COPY!Z2815</f>
        <v>0</v>
      </c>
      <c r="H2823" s="111" t="str">
        <f>IFERROR(VLOOKUP(Table1722[[#This Row],[Bukti]],'Un nOTA'!$A$4:$K$5003,10,FALSE),"")</f>
        <v/>
      </c>
      <c r="I2823" s="112" t="str">
        <f>IFERROR(VLOOKUP(Table1722[[#This Row],[Bukti]],Table13[#Data],11,FALSE),"")</f>
        <v/>
      </c>
    </row>
    <row r="2824" spans="1:9" ht="19.5" hidden="1" customHeight="1" x14ac:dyDescent="0.2">
      <c r="A2824" s="105" t="str">
        <f>IF(D2824=1,COUNTIF($D$10:D2824,1)," ")</f>
        <v xml:space="preserve"> </v>
      </c>
      <c r="B2824" s="106">
        <f>COPY!AR2816</f>
        <v>0</v>
      </c>
      <c r="C2824" s="107">
        <f>COPY!AC2816</f>
        <v>0</v>
      </c>
      <c r="D2824" s="107" t="str">
        <f>IF(LEN(Table1722[[#This Row],[Uraian]])&gt;2,1," ")</f>
        <v xml:space="preserve"> </v>
      </c>
      <c r="E2824" s="113" t="str">
        <f>IF(Table1722[[#This Row],[Lawan Transaksi]]="CV AGUNG KARYA",COUNTIF($I$10:I2824,"CV AGUNG KARYA")," ")</f>
        <v xml:space="preserve"> </v>
      </c>
      <c r="F2824" s="107" t="str">
        <f>IF(LEN(Table1722[[#This Row],[Uraian]])&gt;2,TRIM(RIGHT(SUBSTITUTE(TRIM(C2824)," ",REPT(" ",255)),255))," ")</f>
        <v xml:space="preserve"> </v>
      </c>
      <c r="G2824" s="110">
        <f>COPY!Z2816</f>
        <v>0</v>
      </c>
      <c r="H2824" s="111" t="str">
        <f>IFERROR(VLOOKUP(Table1722[[#This Row],[Bukti]],'Un nOTA'!$A$4:$K$5003,10,FALSE),"")</f>
        <v/>
      </c>
      <c r="I2824" s="112" t="str">
        <f>IFERROR(VLOOKUP(Table1722[[#This Row],[Bukti]],Table13[#Data],11,FALSE),"")</f>
        <v/>
      </c>
    </row>
    <row r="2825" spans="1:9" ht="19.5" hidden="1" customHeight="1" x14ac:dyDescent="0.2">
      <c r="A2825" s="105" t="str">
        <f>IF(D2825=1,COUNTIF($D$10:D2825,1)," ")</f>
        <v xml:space="preserve"> </v>
      </c>
      <c r="B2825" s="106">
        <f>COPY!AR2817</f>
        <v>0</v>
      </c>
      <c r="C2825" s="107">
        <f>COPY!AC2817</f>
        <v>0</v>
      </c>
      <c r="D2825" s="107" t="str">
        <f>IF(LEN(Table1722[[#This Row],[Uraian]])&gt;2,1," ")</f>
        <v xml:space="preserve"> </v>
      </c>
      <c r="E2825" s="113" t="str">
        <f>IF(Table1722[[#This Row],[Lawan Transaksi]]="CV AGUNG KARYA",COUNTIF($I$10:I2825,"CV AGUNG KARYA")," ")</f>
        <v xml:space="preserve"> </v>
      </c>
      <c r="F2825" s="107" t="str">
        <f>IF(LEN(Table1722[[#This Row],[Uraian]])&gt;2,TRIM(RIGHT(SUBSTITUTE(TRIM(C2825)," ",REPT(" ",255)),255))," ")</f>
        <v xml:space="preserve"> </v>
      </c>
      <c r="G2825" s="110">
        <f>COPY!Z2817</f>
        <v>0</v>
      </c>
      <c r="H2825" s="111" t="str">
        <f>IFERROR(VLOOKUP(Table1722[[#This Row],[Bukti]],'Un nOTA'!$A$4:$K$5003,10,FALSE),"")</f>
        <v/>
      </c>
      <c r="I2825" s="112" t="str">
        <f>IFERROR(VLOOKUP(Table1722[[#This Row],[Bukti]],Table13[#Data],11,FALSE),"")</f>
        <v/>
      </c>
    </row>
    <row r="2826" spans="1:9" ht="19.5" hidden="1" customHeight="1" x14ac:dyDescent="0.2">
      <c r="A2826" s="105" t="str">
        <f>IF(D2826=1,COUNTIF($D$10:D2826,1)," ")</f>
        <v xml:space="preserve"> </v>
      </c>
      <c r="B2826" s="106">
        <f>COPY!AR2818</f>
        <v>0</v>
      </c>
      <c r="C2826" s="107">
        <f>COPY!AC2818</f>
        <v>0</v>
      </c>
      <c r="D2826" s="107" t="str">
        <f>IF(LEN(Table1722[[#This Row],[Uraian]])&gt;2,1," ")</f>
        <v xml:space="preserve"> </v>
      </c>
      <c r="E2826" s="113" t="str">
        <f>IF(Table1722[[#This Row],[Lawan Transaksi]]="CV AGUNG KARYA",COUNTIF($I$10:I2826,"CV AGUNG KARYA")," ")</f>
        <v xml:space="preserve"> </v>
      </c>
      <c r="F2826" s="107" t="str">
        <f>IF(LEN(Table1722[[#This Row],[Uraian]])&gt;2,TRIM(RIGHT(SUBSTITUTE(TRIM(C2826)," ",REPT(" ",255)),255))," ")</f>
        <v xml:space="preserve"> </v>
      </c>
      <c r="G2826" s="110">
        <f>COPY!Z2818</f>
        <v>0</v>
      </c>
      <c r="H2826" s="111" t="str">
        <f>IFERROR(VLOOKUP(Table1722[[#This Row],[Bukti]],'Un nOTA'!$A$4:$K$5003,10,FALSE),"")</f>
        <v/>
      </c>
      <c r="I2826" s="112" t="str">
        <f>IFERROR(VLOOKUP(Table1722[[#This Row],[Bukti]],Table13[#Data],11,FALSE),"")</f>
        <v/>
      </c>
    </row>
    <row r="2827" spans="1:9" ht="19.5" hidden="1" customHeight="1" x14ac:dyDescent="0.2">
      <c r="A2827" s="105" t="str">
        <f>IF(D2827=1,COUNTIF($D$10:D2827,1)," ")</f>
        <v xml:space="preserve"> </v>
      </c>
      <c r="B2827" s="106">
        <f>COPY!AR2819</f>
        <v>0</v>
      </c>
      <c r="C2827" s="107">
        <f>COPY!AC2819</f>
        <v>0</v>
      </c>
      <c r="D2827" s="107" t="str">
        <f>IF(LEN(Table1722[[#This Row],[Uraian]])&gt;2,1," ")</f>
        <v xml:space="preserve"> </v>
      </c>
      <c r="E2827" s="113" t="str">
        <f>IF(Table1722[[#This Row],[Lawan Transaksi]]="CV AGUNG KARYA",COUNTIF($I$10:I2827,"CV AGUNG KARYA")," ")</f>
        <v xml:space="preserve"> </v>
      </c>
      <c r="F2827" s="107" t="str">
        <f>IF(LEN(Table1722[[#This Row],[Uraian]])&gt;2,TRIM(RIGHT(SUBSTITUTE(TRIM(C2827)," ",REPT(" ",255)),255))," ")</f>
        <v xml:space="preserve"> </v>
      </c>
      <c r="G2827" s="110">
        <f>COPY!Z2819</f>
        <v>0</v>
      </c>
      <c r="H2827" s="111" t="str">
        <f>IFERROR(VLOOKUP(Table1722[[#This Row],[Bukti]],'Un nOTA'!$A$4:$K$5003,10,FALSE),"")</f>
        <v/>
      </c>
      <c r="I2827" s="112" t="str">
        <f>IFERROR(VLOOKUP(Table1722[[#This Row],[Bukti]],Table13[#Data],11,FALSE),"")</f>
        <v/>
      </c>
    </row>
    <row r="2828" spans="1:9" ht="19.5" hidden="1" customHeight="1" x14ac:dyDescent="0.2">
      <c r="A2828" s="105" t="str">
        <f>IF(D2828=1,COUNTIF($D$10:D2828,1)," ")</f>
        <v xml:space="preserve"> </v>
      </c>
      <c r="B2828" s="106">
        <f>COPY!AR2820</f>
        <v>0</v>
      </c>
      <c r="C2828" s="107">
        <f>COPY!AC2820</f>
        <v>0</v>
      </c>
      <c r="D2828" s="107" t="str">
        <f>IF(LEN(Table1722[[#This Row],[Uraian]])&gt;2,1," ")</f>
        <v xml:space="preserve"> </v>
      </c>
      <c r="E2828" s="113" t="str">
        <f>IF(Table1722[[#This Row],[Lawan Transaksi]]="CV AGUNG KARYA",COUNTIF($I$10:I2828,"CV AGUNG KARYA")," ")</f>
        <v xml:space="preserve"> </v>
      </c>
      <c r="F2828" s="107" t="str">
        <f>IF(LEN(Table1722[[#This Row],[Uraian]])&gt;2,TRIM(RIGHT(SUBSTITUTE(TRIM(C2828)," ",REPT(" ",255)),255))," ")</f>
        <v xml:space="preserve"> </v>
      </c>
      <c r="G2828" s="110">
        <f>COPY!Z2820</f>
        <v>0</v>
      </c>
      <c r="H2828" s="111" t="str">
        <f>IFERROR(VLOOKUP(Table1722[[#This Row],[Bukti]],'Un nOTA'!$A$4:$K$5003,10,FALSE),"")</f>
        <v/>
      </c>
      <c r="I2828" s="112" t="str">
        <f>IFERROR(VLOOKUP(Table1722[[#This Row],[Bukti]],Table13[#Data],11,FALSE),"")</f>
        <v/>
      </c>
    </row>
    <row r="2829" spans="1:9" ht="19.5" hidden="1" customHeight="1" x14ac:dyDescent="0.2">
      <c r="A2829" s="105" t="str">
        <f>IF(D2829=1,COUNTIF($D$10:D2829,1)," ")</f>
        <v xml:space="preserve"> </v>
      </c>
      <c r="B2829" s="106">
        <f>COPY!AR2821</f>
        <v>0</v>
      </c>
      <c r="C2829" s="107">
        <f>COPY!AC2821</f>
        <v>0</v>
      </c>
      <c r="D2829" s="107" t="str">
        <f>IF(LEN(Table1722[[#This Row],[Uraian]])&gt;2,1," ")</f>
        <v xml:space="preserve"> </v>
      </c>
      <c r="E2829" s="113" t="str">
        <f>IF(Table1722[[#This Row],[Lawan Transaksi]]="CV AGUNG KARYA",COUNTIF($I$10:I2829,"CV AGUNG KARYA")," ")</f>
        <v xml:space="preserve"> </v>
      </c>
      <c r="F2829" s="107" t="str">
        <f>IF(LEN(Table1722[[#This Row],[Uraian]])&gt;2,TRIM(RIGHT(SUBSTITUTE(TRIM(C2829)," ",REPT(" ",255)),255))," ")</f>
        <v xml:space="preserve"> </v>
      </c>
      <c r="G2829" s="110">
        <f>COPY!Z2821</f>
        <v>0</v>
      </c>
      <c r="H2829" s="111" t="str">
        <f>IFERROR(VLOOKUP(Table1722[[#This Row],[Bukti]],'Un nOTA'!$A$4:$K$5003,10,FALSE),"")</f>
        <v/>
      </c>
      <c r="I2829" s="112" t="str">
        <f>IFERROR(VLOOKUP(Table1722[[#This Row],[Bukti]],Table13[#Data],11,FALSE),"")</f>
        <v/>
      </c>
    </row>
    <row r="2830" spans="1:9" ht="19.5" hidden="1" customHeight="1" x14ac:dyDescent="0.2">
      <c r="A2830" s="105" t="str">
        <f>IF(D2830=1,COUNTIF($D$10:D2830,1)," ")</f>
        <v xml:space="preserve"> </v>
      </c>
      <c r="B2830" s="106">
        <f>COPY!AR2822</f>
        <v>0</v>
      </c>
      <c r="C2830" s="107">
        <f>COPY!AC2822</f>
        <v>0</v>
      </c>
      <c r="D2830" s="107" t="str">
        <f>IF(LEN(Table1722[[#This Row],[Uraian]])&gt;2,1," ")</f>
        <v xml:space="preserve"> </v>
      </c>
      <c r="E2830" s="113" t="str">
        <f>IF(Table1722[[#This Row],[Lawan Transaksi]]="CV AGUNG KARYA",COUNTIF($I$10:I2830,"CV AGUNG KARYA")," ")</f>
        <v xml:space="preserve"> </v>
      </c>
      <c r="F2830" s="107" t="str">
        <f>IF(LEN(Table1722[[#This Row],[Uraian]])&gt;2,TRIM(RIGHT(SUBSTITUTE(TRIM(C2830)," ",REPT(" ",255)),255))," ")</f>
        <v xml:space="preserve"> </v>
      </c>
      <c r="G2830" s="110">
        <f>COPY!Z2822</f>
        <v>0</v>
      </c>
      <c r="H2830" s="111" t="str">
        <f>IFERROR(VLOOKUP(Table1722[[#This Row],[Bukti]],'Un nOTA'!$A$4:$K$5003,10,FALSE),"")</f>
        <v/>
      </c>
      <c r="I2830" s="112" t="str">
        <f>IFERROR(VLOOKUP(Table1722[[#This Row],[Bukti]],Table13[#Data],11,FALSE),"")</f>
        <v/>
      </c>
    </row>
    <row r="2831" spans="1:9" ht="19.5" hidden="1" customHeight="1" x14ac:dyDescent="0.2">
      <c r="A2831" s="105" t="str">
        <f>IF(D2831=1,COUNTIF($D$10:D2831,1)," ")</f>
        <v xml:space="preserve"> </v>
      </c>
      <c r="B2831" s="106">
        <f>COPY!AR2823</f>
        <v>0</v>
      </c>
      <c r="C2831" s="107">
        <f>COPY!AC2823</f>
        <v>0</v>
      </c>
      <c r="D2831" s="107" t="str">
        <f>IF(LEN(Table1722[[#This Row],[Uraian]])&gt;2,1," ")</f>
        <v xml:space="preserve"> </v>
      </c>
      <c r="E2831" s="113" t="str">
        <f>IF(Table1722[[#This Row],[Lawan Transaksi]]="CV AGUNG KARYA",COUNTIF($I$10:I2831,"CV AGUNG KARYA")," ")</f>
        <v xml:space="preserve"> </v>
      </c>
      <c r="F2831" s="107" t="str">
        <f>IF(LEN(Table1722[[#This Row],[Uraian]])&gt;2,TRIM(RIGHT(SUBSTITUTE(TRIM(C2831)," ",REPT(" ",255)),255))," ")</f>
        <v xml:space="preserve"> </v>
      </c>
      <c r="G2831" s="110">
        <f>COPY!Z2823</f>
        <v>0</v>
      </c>
      <c r="H2831" s="111" t="str">
        <f>IFERROR(VLOOKUP(Table1722[[#This Row],[Bukti]],'Un nOTA'!$A$4:$K$5003,10,FALSE),"")</f>
        <v/>
      </c>
      <c r="I2831" s="112" t="str">
        <f>IFERROR(VLOOKUP(Table1722[[#This Row],[Bukti]],Table13[#Data],11,FALSE),"")</f>
        <v/>
      </c>
    </row>
    <row r="2832" spans="1:9" ht="19.5" hidden="1" customHeight="1" x14ac:dyDescent="0.2">
      <c r="A2832" s="105" t="str">
        <f>IF(D2832=1,COUNTIF($D$10:D2832,1)," ")</f>
        <v xml:space="preserve"> </v>
      </c>
      <c r="B2832" s="106">
        <f>COPY!AR2824</f>
        <v>0</v>
      </c>
      <c r="C2832" s="107">
        <f>COPY!AC2824</f>
        <v>0</v>
      </c>
      <c r="D2832" s="107" t="str">
        <f>IF(LEN(Table1722[[#This Row],[Uraian]])&gt;2,1," ")</f>
        <v xml:space="preserve"> </v>
      </c>
      <c r="E2832" s="113" t="str">
        <f>IF(Table1722[[#This Row],[Lawan Transaksi]]="CV AGUNG KARYA",COUNTIF($I$10:I2832,"CV AGUNG KARYA")," ")</f>
        <v xml:space="preserve"> </v>
      </c>
      <c r="F2832" s="107" t="str">
        <f>IF(LEN(Table1722[[#This Row],[Uraian]])&gt;2,TRIM(RIGHT(SUBSTITUTE(TRIM(C2832)," ",REPT(" ",255)),255))," ")</f>
        <v xml:space="preserve"> </v>
      </c>
      <c r="G2832" s="110">
        <f>COPY!Z2824</f>
        <v>0</v>
      </c>
      <c r="H2832" s="111" t="str">
        <f>IFERROR(VLOOKUP(Table1722[[#This Row],[Bukti]],'Un nOTA'!$A$4:$K$5003,10,FALSE),"")</f>
        <v/>
      </c>
      <c r="I2832" s="112" t="str">
        <f>IFERROR(VLOOKUP(Table1722[[#This Row],[Bukti]],Table13[#Data],11,FALSE),"")</f>
        <v/>
      </c>
    </row>
    <row r="2833" spans="1:9" ht="19.5" hidden="1" customHeight="1" x14ac:dyDescent="0.2">
      <c r="A2833" s="105" t="str">
        <f>IF(D2833=1,COUNTIF($D$10:D2833,1)," ")</f>
        <v xml:space="preserve"> </v>
      </c>
      <c r="B2833" s="106">
        <f>COPY!AR2825</f>
        <v>0</v>
      </c>
      <c r="C2833" s="107">
        <f>COPY!AC2825</f>
        <v>0</v>
      </c>
      <c r="D2833" s="107" t="str">
        <f>IF(LEN(Table1722[[#This Row],[Uraian]])&gt;2,1," ")</f>
        <v xml:space="preserve"> </v>
      </c>
      <c r="E2833" s="113" t="str">
        <f>IF(Table1722[[#This Row],[Lawan Transaksi]]="CV AGUNG KARYA",COUNTIF($I$10:I2833,"CV AGUNG KARYA")," ")</f>
        <v xml:space="preserve"> </v>
      </c>
      <c r="F2833" s="107" t="str">
        <f>IF(LEN(Table1722[[#This Row],[Uraian]])&gt;2,TRIM(RIGHT(SUBSTITUTE(TRIM(C2833)," ",REPT(" ",255)),255))," ")</f>
        <v xml:space="preserve"> </v>
      </c>
      <c r="G2833" s="110">
        <f>COPY!Z2825</f>
        <v>0</v>
      </c>
      <c r="H2833" s="111" t="str">
        <f>IFERROR(VLOOKUP(Table1722[[#This Row],[Bukti]],'Un nOTA'!$A$4:$K$5003,10,FALSE),"")</f>
        <v/>
      </c>
      <c r="I2833" s="112" t="str">
        <f>IFERROR(VLOOKUP(Table1722[[#This Row],[Bukti]],Table13[#Data],11,FALSE),"")</f>
        <v/>
      </c>
    </row>
    <row r="2834" spans="1:9" ht="19.5" hidden="1" customHeight="1" x14ac:dyDescent="0.2">
      <c r="A2834" s="105" t="str">
        <f>IF(D2834=1,COUNTIF($D$10:D2834,1)," ")</f>
        <v xml:space="preserve"> </v>
      </c>
      <c r="B2834" s="106">
        <f>COPY!AR2826</f>
        <v>0</v>
      </c>
      <c r="C2834" s="107">
        <f>COPY!AC2826</f>
        <v>0</v>
      </c>
      <c r="D2834" s="107" t="str">
        <f>IF(LEN(Table1722[[#This Row],[Uraian]])&gt;2,1," ")</f>
        <v xml:space="preserve"> </v>
      </c>
      <c r="E2834" s="113" t="str">
        <f>IF(Table1722[[#This Row],[Lawan Transaksi]]="CV AGUNG KARYA",COUNTIF($I$10:I2834,"CV AGUNG KARYA")," ")</f>
        <v xml:space="preserve"> </v>
      </c>
      <c r="F2834" s="107" t="str">
        <f>IF(LEN(Table1722[[#This Row],[Uraian]])&gt;2,TRIM(RIGHT(SUBSTITUTE(TRIM(C2834)," ",REPT(" ",255)),255))," ")</f>
        <v xml:space="preserve"> </v>
      </c>
      <c r="G2834" s="110">
        <f>COPY!Z2826</f>
        <v>0</v>
      </c>
      <c r="H2834" s="111" t="str">
        <f>IFERROR(VLOOKUP(Table1722[[#This Row],[Bukti]],'Un nOTA'!$A$4:$K$5003,10,FALSE),"")</f>
        <v/>
      </c>
      <c r="I2834" s="112" t="str">
        <f>IFERROR(VLOOKUP(Table1722[[#This Row],[Bukti]],Table13[#Data],11,FALSE),"")</f>
        <v/>
      </c>
    </row>
    <row r="2835" spans="1:9" ht="19.5" hidden="1" customHeight="1" x14ac:dyDescent="0.2">
      <c r="A2835" s="105" t="str">
        <f>IF(D2835=1,COUNTIF($D$10:D2835,1)," ")</f>
        <v xml:space="preserve"> </v>
      </c>
      <c r="B2835" s="106">
        <f>COPY!AR2827</f>
        <v>0</v>
      </c>
      <c r="C2835" s="107">
        <f>COPY!AC2827</f>
        <v>0</v>
      </c>
      <c r="D2835" s="107" t="str">
        <f>IF(LEN(Table1722[[#This Row],[Uraian]])&gt;2,1," ")</f>
        <v xml:space="preserve"> </v>
      </c>
      <c r="E2835" s="113" t="str">
        <f>IF(Table1722[[#This Row],[Lawan Transaksi]]="CV AGUNG KARYA",COUNTIF($I$10:I2835,"CV AGUNG KARYA")," ")</f>
        <v xml:space="preserve"> </v>
      </c>
      <c r="F2835" s="107" t="str">
        <f>IF(LEN(Table1722[[#This Row],[Uraian]])&gt;2,TRIM(RIGHT(SUBSTITUTE(TRIM(C2835)," ",REPT(" ",255)),255))," ")</f>
        <v xml:space="preserve"> </v>
      </c>
      <c r="G2835" s="110">
        <f>COPY!Z2827</f>
        <v>0</v>
      </c>
      <c r="H2835" s="111" t="str">
        <f>IFERROR(VLOOKUP(Table1722[[#This Row],[Bukti]],'Un nOTA'!$A$4:$K$5003,10,FALSE),"")</f>
        <v/>
      </c>
      <c r="I2835" s="112" t="str">
        <f>IFERROR(VLOOKUP(Table1722[[#This Row],[Bukti]],Table13[#Data],11,FALSE),"")</f>
        <v/>
      </c>
    </row>
    <row r="2836" spans="1:9" ht="19.5" hidden="1" customHeight="1" x14ac:dyDescent="0.2">
      <c r="A2836" s="105" t="str">
        <f>IF(D2836=1,COUNTIF($D$10:D2836,1)," ")</f>
        <v xml:space="preserve"> </v>
      </c>
      <c r="B2836" s="106">
        <f>COPY!AR2828</f>
        <v>0</v>
      </c>
      <c r="C2836" s="107">
        <f>COPY!AC2828</f>
        <v>0</v>
      </c>
      <c r="D2836" s="107" t="str">
        <f>IF(LEN(Table1722[[#This Row],[Uraian]])&gt;2,1," ")</f>
        <v xml:space="preserve"> </v>
      </c>
      <c r="E2836" s="113" t="str">
        <f>IF(Table1722[[#This Row],[Lawan Transaksi]]="CV AGUNG KARYA",COUNTIF($I$10:I2836,"CV AGUNG KARYA")," ")</f>
        <v xml:space="preserve"> </v>
      </c>
      <c r="F2836" s="107" t="str">
        <f>IF(LEN(Table1722[[#This Row],[Uraian]])&gt;2,TRIM(RIGHT(SUBSTITUTE(TRIM(C2836)," ",REPT(" ",255)),255))," ")</f>
        <v xml:space="preserve"> </v>
      </c>
      <c r="G2836" s="110">
        <f>COPY!Z2828</f>
        <v>0</v>
      </c>
      <c r="H2836" s="111" t="str">
        <f>IFERROR(VLOOKUP(Table1722[[#This Row],[Bukti]],'Un nOTA'!$A$4:$K$5003,10,FALSE),"")</f>
        <v/>
      </c>
      <c r="I2836" s="112" t="str">
        <f>IFERROR(VLOOKUP(Table1722[[#This Row],[Bukti]],Table13[#Data],11,FALSE),"")</f>
        <v/>
      </c>
    </row>
    <row r="2837" spans="1:9" ht="19.5" hidden="1" customHeight="1" x14ac:dyDescent="0.2">
      <c r="A2837" s="105" t="str">
        <f>IF(D2837=1,COUNTIF($D$10:D2837,1)," ")</f>
        <v xml:space="preserve"> </v>
      </c>
      <c r="B2837" s="106">
        <f>COPY!AR2829</f>
        <v>0</v>
      </c>
      <c r="C2837" s="107">
        <f>COPY!AC2829</f>
        <v>0</v>
      </c>
      <c r="D2837" s="107" t="str">
        <f>IF(LEN(Table1722[[#This Row],[Uraian]])&gt;2,1," ")</f>
        <v xml:space="preserve"> </v>
      </c>
      <c r="E2837" s="113" t="str">
        <f>IF(Table1722[[#This Row],[Lawan Transaksi]]="CV AGUNG KARYA",COUNTIF($I$10:I2837,"CV AGUNG KARYA")," ")</f>
        <v xml:space="preserve"> </v>
      </c>
      <c r="F2837" s="107" t="str">
        <f>IF(LEN(Table1722[[#This Row],[Uraian]])&gt;2,TRIM(RIGHT(SUBSTITUTE(TRIM(C2837)," ",REPT(" ",255)),255))," ")</f>
        <v xml:space="preserve"> </v>
      </c>
      <c r="G2837" s="110">
        <f>COPY!Z2829</f>
        <v>0</v>
      </c>
      <c r="H2837" s="111" t="str">
        <f>IFERROR(VLOOKUP(Table1722[[#This Row],[Bukti]],'Un nOTA'!$A$4:$K$5003,10,FALSE),"")</f>
        <v/>
      </c>
      <c r="I2837" s="112" t="str">
        <f>IFERROR(VLOOKUP(Table1722[[#This Row],[Bukti]],Table13[#Data],11,FALSE),"")</f>
        <v/>
      </c>
    </row>
    <row r="2838" spans="1:9" ht="19.5" hidden="1" customHeight="1" x14ac:dyDescent="0.2">
      <c r="A2838" s="105" t="str">
        <f>IF(D2838=1,COUNTIF($D$10:D2838,1)," ")</f>
        <v xml:space="preserve"> </v>
      </c>
      <c r="B2838" s="106">
        <f>COPY!AR2830</f>
        <v>0</v>
      </c>
      <c r="C2838" s="107">
        <f>COPY!AC2830</f>
        <v>0</v>
      </c>
      <c r="D2838" s="107" t="str">
        <f>IF(LEN(Table1722[[#This Row],[Uraian]])&gt;2,1," ")</f>
        <v xml:space="preserve"> </v>
      </c>
      <c r="E2838" s="113" t="str">
        <f>IF(Table1722[[#This Row],[Lawan Transaksi]]="CV AGUNG KARYA",COUNTIF($I$10:I2838,"CV AGUNG KARYA")," ")</f>
        <v xml:space="preserve"> </v>
      </c>
      <c r="F2838" s="107" t="str">
        <f>IF(LEN(Table1722[[#This Row],[Uraian]])&gt;2,TRIM(RIGHT(SUBSTITUTE(TRIM(C2838)," ",REPT(" ",255)),255))," ")</f>
        <v xml:space="preserve"> </v>
      </c>
      <c r="G2838" s="110">
        <f>COPY!Z2830</f>
        <v>0</v>
      </c>
      <c r="H2838" s="111" t="str">
        <f>IFERROR(VLOOKUP(Table1722[[#This Row],[Bukti]],'Un nOTA'!$A$4:$K$5003,10,FALSE),"")</f>
        <v/>
      </c>
      <c r="I2838" s="112" t="str">
        <f>IFERROR(VLOOKUP(Table1722[[#This Row],[Bukti]],Table13[#Data],11,FALSE),"")</f>
        <v/>
      </c>
    </row>
    <row r="2839" spans="1:9" ht="19.5" hidden="1" customHeight="1" x14ac:dyDescent="0.2">
      <c r="A2839" s="105" t="str">
        <f>IF(D2839=1,COUNTIF($D$10:D2839,1)," ")</f>
        <v xml:space="preserve"> </v>
      </c>
      <c r="B2839" s="106">
        <f>COPY!AR2831</f>
        <v>0</v>
      </c>
      <c r="C2839" s="107">
        <f>COPY!AC2831</f>
        <v>0</v>
      </c>
      <c r="D2839" s="107" t="str">
        <f>IF(LEN(Table1722[[#This Row],[Uraian]])&gt;2,1," ")</f>
        <v xml:space="preserve"> </v>
      </c>
      <c r="E2839" s="113" t="str">
        <f>IF(Table1722[[#This Row],[Lawan Transaksi]]="CV AGUNG KARYA",COUNTIF($I$10:I2839,"CV AGUNG KARYA")," ")</f>
        <v xml:space="preserve"> </v>
      </c>
      <c r="F2839" s="107" t="str">
        <f>IF(LEN(Table1722[[#This Row],[Uraian]])&gt;2,TRIM(RIGHT(SUBSTITUTE(TRIM(C2839)," ",REPT(" ",255)),255))," ")</f>
        <v xml:space="preserve"> </v>
      </c>
      <c r="G2839" s="110">
        <f>COPY!Z2831</f>
        <v>0</v>
      </c>
      <c r="H2839" s="111" t="str">
        <f>IFERROR(VLOOKUP(Table1722[[#This Row],[Bukti]],'Un nOTA'!$A$4:$K$5003,10,FALSE),"")</f>
        <v/>
      </c>
      <c r="I2839" s="112" t="str">
        <f>IFERROR(VLOOKUP(Table1722[[#This Row],[Bukti]],Table13[#Data],11,FALSE),"")</f>
        <v/>
      </c>
    </row>
    <row r="2840" spans="1:9" ht="19.5" hidden="1" customHeight="1" x14ac:dyDescent="0.2">
      <c r="A2840" s="105" t="str">
        <f>IF(D2840=1,COUNTIF($D$10:D2840,1)," ")</f>
        <v xml:space="preserve"> </v>
      </c>
      <c r="B2840" s="106">
        <f>COPY!AR2832</f>
        <v>0</v>
      </c>
      <c r="C2840" s="107">
        <f>COPY!AC2832</f>
        <v>0</v>
      </c>
      <c r="D2840" s="107" t="str">
        <f>IF(LEN(Table1722[[#This Row],[Uraian]])&gt;2,1," ")</f>
        <v xml:space="preserve"> </v>
      </c>
      <c r="E2840" s="113" t="str">
        <f>IF(Table1722[[#This Row],[Lawan Transaksi]]="CV AGUNG KARYA",COUNTIF($I$10:I2840,"CV AGUNG KARYA")," ")</f>
        <v xml:space="preserve"> </v>
      </c>
      <c r="F2840" s="107" t="str">
        <f>IF(LEN(Table1722[[#This Row],[Uraian]])&gt;2,TRIM(RIGHT(SUBSTITUTE(TRIM(C2840)," ",REPT(" ",255)),255))," ")</f>
        <v xml:space="preserve"> </v>
      </c>
      <c r="G2840" s="110">
        <f>COPY!Z2832</f>
        <v>0</v>
      </c>
      <c r="H2840" s="111" t="str">
        <f>IFERROR(VLOOKUP(Table1722[[#This Row],[Bukti]],'Un nOTA'!$A$4:$K$5003,10,FALSE),"")</f>
        <v/>
      </c>
      <c r="I2840" s="112" t="str">
        <f>IFERROR(VLOOKUP(Table1722[[#This Row],[Bukti]],Table13[#Data],11,FALSE),"")</f>
        <v/>
      </c>
    </row>
    <row r="2841" spans="1:9" ht="19.5" hidden="1" customHeight="1" x14ac:dyDescent="0.2">
      <c r="A2841" s="105" t="str">
        <f>IF(D2841=1,COUNTIF($D$10:D2841,1)," ")</f>
        <v xml:space="preserve"> </v>
      </c>
      <c r="B2841" s="106">
        <f>COPY!AR2833</f>
        <v>0</v>
      </c>
      <c r="C2841" s="107">
        <f>COPY!AC2833</f>
        <v>0</v>
      </c>
      <c r="D2841" s="107" t="str">
        <f>IF(LEN(Table1722[[#This Row],[Uraian]])&gt;2,1," ")</f>
        <v xml:space="preserve"> </v>
      </c>
      <c r="E2841" s="113" t="str">
        <f>IF(Table1722[[#This Row],[Lawan Transaksi]]="CV AGUNG KARYA",COUNTIF($I$10:I2841,"CV AGUNG KARYA")," ")</f>
        <v xml:space="preserve"> </v>
      </c>
      <c r="F2841" s="107" t="str">
        <f>IF(LEN(Table1722[[#This Row],[Uraian]])&gt;2,TRIM(RIGHT(SUBSTITUTE(TRIM(C2841)," ",REPT(" ",255)),255))," ")</f>
        <v xml:space="preserve"> </v>
      </c>
      <c r="G2841" s="110">
        <f>COPY!Z2833</f>
        <v>0</v>
      </c>
      <c r="H2841" s="111" t="str">
        <f>IFERROR(VLOOKUP(Table1722[[#This Row],[Bukti]],'Un nOTA'!$A$4:$K$5003,10,FALSE),"")</f>
        <v/>
      </c>
      <c r="I2841" s="112" t="str">
        <f>IFERROR(VLOOKUP(Table1722[[#This Row],[Bukti]],Table13[#Data],11,FALSE),"")</f>
        <v/>
      </c>
    </row>
    <row r="2842" spans="1:9" ht="19.5" hidden="1" customHeight="1" x14ac:dyDescent="0.2">
      <c r="A2842" s="105" t="str">
        <f>IF(D2842=1,COUNTIF($D$10:D2842,1)," ")</f>
        <v xml:space="preserve"> </v>
      </c>
      <c r="B2842" s="106">
        <f>COPY!AR2834</f>
        <v>0</v>
      </c>
      <c r="C2842" s="107">
        <f>COPY!AC2834</f>
        <v>0</v>
      </c>
      <c r="D2842" s="107" t="str">
        <f>IF(LEN(Table1722[[#This Row],[Uraian]])&gt;2,1," ")</f>
        <v xml:space="preserve"> </v>
      </c>
      <c r="E2842" s="113" t="str">
        <f>IF(Table1722[[#This Row],[Lawan Transaksi]]="CV AGUNG KARYA",COUNTIF($I$10:I2842,"CV AGUNG KARYA")," ")</f>
        <v xml:space="preserve"> </v>
      </c>
      <c r="F2842" s="107" t="str">
        <f>IF(LEN(Table1722[[#This Row],[Uraian]])&gt;2,TRIM(RIGHT(SUBSTITUTE(TRIM(C2842)," ",REPT(" ",255)),255))," ")</f>
        <v xml:space="preserve"> </v>
      </c>
      <c r="G2842" s="110">
        <f>COPY!Z2834</f>
        <v>0</v>
      </c>
      <c r="H2842" s="111" t="str">
        <f>IFERROR(VLOOKUP(Table1722[[#This Row],[Bukti]],'Un nOTA'!$A$4:$K$5003,10,FALSE),"")</f>
        <v/>
      </c>
      <c r="I2842" s="112" t="str">
        <f>IFERROR(VLOOKUP(Table1722[[#This Row],[Bukti]],Table13[#Data],11,FALSE),"")</f>
        <v/>
      </c>
    </row>
    <row r="2843" spans="1:9" ht="19.5" hidden="1" customHeight="1" x14ac:dyDescent="0.2">
      <c r="A2843" s="105" t="str">
        <f>IF(D2843=1,COUNTIF($D$10:D2843,1)," ")</f>
        <v xml:space="preserve"> </v>
      </c>
      <c r="B2843" s="106">
        <f>COPY!AR2835</f>
        <v>0</v>
      </c>
      <c r="C2843" s="107">
        <f>COPY!AC2835</f>
        <v>0</v>
      </c>
      <c r="D2843" s="107" t="str">
        <f>IF(LEN(Table1722[[#This Row],[Uraian]])&gt;2,1," ")</f>
        <v xml:space="preserve"> </v>
      </c>
      <c r="E2843" s="113" t="str">
        <f>IF(Table1722[[#This Row],[Lawan Transaksi]]="CV AGUNG KARYA",COUNTIF($I$10:I2843,"CV AGUNG KARYA")," ")</f>
        <v xml:space="preserve"> </v>
      </c>
      <c r="F2843" s="107" t="str">
        <f>IF(LEN(Table1722[[#This Row],[Uraian]])&gt;2,TRIM(RIGHT(SUBSTITUTE(TRIM(C2843)," ",REPT(" ",255)),255))," ")</f>
        <v xml:space="preserve"> </v>
      </c>
      <c r="G2843" s="110">
        <f>COPY!Z2835</f>
        <v>0</v>
      </c>
      <c r="H2843" s="111" t="str">
        <f>IFERROR(VLOOKUP(Table1722[[#This Row],[Bukti]],'Un nOTA'!$A$4:$K$5003,10,FALSE),"")</f>
        <v/>
      </c>
      <c r="I2843" s="112" t="str">
        <f>IFERROR(VLOOKUP(Table1722[[#This Row],[Bukti]],Table13[#Data],11,FALSE),"")</f>
        <v/>
      </c>
    </row>
    <row r="2844" spans="1:9" ht="19.5" hidden="1" customHeight="1" x14ac:dyDescent="0.2">
      <c r="A2844" s="105" t="str">
        <f>IF(D2844=1,COUNTIF($D$10:D2844,1)," ")</f>
        <v xml:space="preserve"> </v>
      </c>
      <c r="B2844" s="106">
        <f>COPY!AR2836</f>
        <v>0</v>
      </c>
      <c r="C2844" s="107">
        <f>COPY!AC2836</f>
        <v>0</v>
      </c>
      <c r="D2844" s="107" t="str">
        <f>IF(LEN(Table1722[[#This Row],[Uraian]])&gt;2,1," ")</f>
        <v xml:space="preserve"> </v>
      </c>
      <c r="E2844" s="113" t="str">
        <f>IF(Table1722[[#This Row],[Lawan Transaksi]]="CV AGUNG KARYA",COUNTIF($I$10:I2844,"CV AGUNG KARYA")," ")</f>
        <v xml:space="preserve"> </v>
      </c>
      <c r="F2844" s="107" t="str">
        <f>IF(LEN(Table1722[[#This Row],[Uraian]])&gt;2,TRIM(RIGHT(SUBSTITUTE(TRIM(C2844)," ",REPT(" ",255)),255))," ")</f>
        <v xml:space="preserve"> </v>
      </c>
      <c r="G2844" s="110">
        <f>COPY!Z2836</f>
        <v>0</v>
      </c>
      <c r="H2844" s="111" t="str">
        <f>IFERROR(VLOOKUP(Table1722[[#This Row],[Bukti]],'Un nOTA'!$A$4:$K$5003,10,FALSE),"")</f>
        <v/>
      </c>
      <c r="I2844" s="112" t="str">
        <f>IFERROR(VLOOKUP(Table1722[[#This Row],[Bukti]],Table13[#Data],11,FALSE),"")</f>
        <v/>
      </c>
    </row>
    <row r="2845" spans="1:9" ht="19.5" hidden="1" customHeight="1" x14ac:dyDescent="0.2">
      <c r="A2845" s="105" t="str">
        <f>IF(D2845=1,COUNTIF($D$10:D2845,1)," ")</f>
        <v xml:space="preserve"> </v>
      </c>
      <c r="B2845" s="106">
        <f>COPY!AR2837</f>
        <v>0</v>
      </c>
      <c r="C2845" s="107">
        <f>COPY!AC2837</f>
        <v>0</v>
      </c>
      <c r="D2845" s="107" t="str">
        <f>IF(LEN(Table1722[[#This Row],[Uraian]])&gt;2,1," ")</f>
        <v xml:space="preserve"> </v>
      </c>
      <c r="E2845" s="113" t="str">
        <f>IF(Table1722[[#This Row],[Lawan Transaksi]]="CV AGUNG KARYA",COUNTIF($I$10:I2845,"CV AGUNG KARYA")," ")</f>
        <v xml:space="preserve"> </v>
      </c>
      <c r="F2845" s="107" t="str">
        <f>IF(LEN(Table1722[[#This Row],[Uraian]])&gt;2,TRIM(RIGHT(SUBSTITUTE(TRIM(C2845)," ",REPT(" ",255)),255))," ")</f>
        <v xml:space="preserve"> </v>
      </c>
      <c r="G2845" s="110">
        <f>COPY!Z2837</f>
        <v>0</v>
      </c>
      <c r="H2845" s="111" t="str">
        <f>IFERROR(VLOOKUP(Table1722[[#This Row],[Bukti]],'Un nOTA'!$A$4:$K$5003,10,FALSE),"")</f>
        <v/>
      </c>
      <c r="I2845" s="112" t="str">
        <f>IFERROR(VLOOKUP(Table1722[[#This Row],[Bukti]],Table13[#Data],11,FALSE),"")</f>
        <v/>
      </c>
    </row>
    <row r="2846" spans="1:9" ht="19.5" hidden="1" customHeight="1" x14ac:dyDescent="0.2">
      <c r="A2846" s="105" t="str">
        <f>IF(D2846=1,COUNTIF($D$10:D2846,1)," ")</f>
        <v xml:space="preserve"> </v>
      </c>
      <c r="B2846" s="106">
        <f>COPY!AR2838</f>
        <v>0</v>
      </c>
      <c r="C2846" s="107">
        <f>COPY!AC2838</f>
        <v>0</v>
      </c>
      <c r="D2846" s="107" t="str">
        <f>IF(LEN(Table1722[[#This Row],[Uraian]])&gt;2,1," ")</f>
        <v xml:space="preserve"> </v>
      </c>
      <c r="E2846" s="113" t="str">
        <f>IF(Table1722[[#This Row],[Lawan Transaksi]]="CV AGUNG KARYA",COUNTIF($I$10:I2846,"CV AGUNG KARYA")," ")</f>
        <v xml:space="preserve"> </v>
      </c>
      <c r="F2846" s="107" t="str">
        <f>IF(LEN(Table1722[[#This Row],[Uraian]])&gt;2,TRIM(RIGHT(SUBSTITUTE(TRIM(C2846)," ",REPT(" ",255)),255))," ")</f>
        <v xml:space="preserve"> </v>
      </c>
      <c r="G2846" s="110">
        <f>COPY!Z2838</f>
        <v>0</v>
      </c>
      <c r="H2846" s="111" t="str">
        <f>IFERROR(VLOOKUP(Table1722[[#This Row],[Bukti]],'Un nOTA'!$A$4:$K$5003,10,FALSE),"")</f>
        <v/>
      </c>
      <c r="I2846" s="112" t="str">
        <f>IFERROR(VLOOKUP(Table1722[[#This Row],[Bukti]],Table13[#Data],11,FALSE),"")</f>
        <v/>
      </c>
    </row>
    <row r="2847" spans="1:9" ht="19.5" hidden="1" customHeight="1" x14ac:dyDescent="0.2">
      <c r="A2847" s="105" t="str">
        <f>IF(D2847=1,COUNTIF($D$10:D2847,1)," ")</f>
        <v xml:space="preserve"> </v>
      </c>
      <c r="B2847" s="106">
        <f>COPY!AR2839</f>
        <v>0</v>
      </c>
      <c r="C2847" s="107">
        <f>COPY!AC2839</f>
        <v>0</v>
      </c>
      <c r="D2847" s="107" t="str">
        <f>IF(LEN(Table1722[[#This Row],[Uraian]])&gt;2,1," ")</f>
        <v xml:space="preserve"> </v>
      </c>
      <c r="E2847" s="113" t="str">
        <f>IF(Table1722[[#This Row],[Lawan Transaksi]]="CV AGUNG KARYA",COUNTIF($I$10:I2847,"CV AGUNG KARYA")," ")</f>
        <v xml:space="preserve"> </v>
      </c>
      <c r="F2847" s="107" t="str">
        <f>IF(LEN(Table1722[[#This Row],[Uraian]])&gt;2,TRIM(RIGHT(SUBSTITUTE(TRIM(C2847)," ",REPT(" ",255)),255))," ")</f>
        <v xml:space="preserve"> </v>
      </c>
      <c r="G2847" s="110">
        <f>COPY!Z2839</f>
        <v>0</v>
      </c>
      <c r="H2847" s="111" t="str">
        <f>IFERROR(VLOOKUP(Table1722[[#This Row],[Bukti]],'Un nOTA'!$A$4:$K$5003,10,FALSE),"")</f>
        <v/>
      </c>
      <c r="I2847" s="112" t="str">
        <f>IFERROR(VLOOKUP(Table1722[[#This Row],[Bukti]],Table13[#Data],11,FALSE),"")</f>
        <v/>
      </c>
    </row>
    <row r="2848" spans="1:9" ht="19.5" hidden="1" customHeight="1" x14ac:dyDescent="0.2">
      <c r="A2848" s="105" t="str">
        <f>IF(D2848=1,COUNTIF($D$10:D2848,1)," ")</f>
        <v xml:space="preserve"> </v>
      </c>
      <c r="B2848" s="106">
        <f>COPY!AR2840</f>
        <v>0</v>
      </c>
      <c r="C2848" s="107">
        <f>COPY!AC2840</f>
        <v>0</v>
      </c>
      <c r="D2848" s="107" t="str">
        <f>IF(LEN(Table1722[[#This Row],[Uraian]])&gt;2,1," ")</f>
        <v xml:space="preserve"> </v>
      </c>
      <c r="E2848" s="113" t="str">
        <f>IF(Table1722[[#This Row],[Lawan Transaksi]]="CV AGUNG KARYA",COUNTIF($I$10:I2848,"CV AGUNG KARYA")," ")</f>
        <v xml:space="preserve"> </v>
      </c>
      <c r="F2848" s="107" t="str">
        <f>IF(LEN(Table1722[[#This Row],[Uraian]])&gt;2,TRIM(RIGHT(SUBSTITUTE(TRIM(C2848)," ",REPT(" ",255)),255))," ")</f>
        <v xml:space="preserve"> </v>
      </c>
      <c r="G2848" s="110">
        <f>COPY!Z2840</f>
        <v>0</v>
      </c>
      <c r="H2848" s="111" t="str">
        <f>IFERROR(VLOOKUP(Table1722[[#This Row],[Bukti]],'Un nOTA'!$A$4:$K$5003,10,FALSE),"")</f>
        <v/>
      </c>
      <c r="I2848" s="112" t="str">
        <f>IFERROR(VLOOKUP(Table1722[[#This Row],[Bukti]],Table13[#Data],11,FALSE),"")</f>
        <v/>
      </c>
    </row>
    <row r="2849" spans="1:9" ht="19.5" hidden="1" customHeight="1" x14ac:dyDescent="0.2">
      <c r="A2849" s="105" t="str">
        <f>IF(D2849=1,COUNTIF($D$10:D2849,1)," ")</f>
        <v xml:space="preserve"> </v>
      </c>
      <c r="B2849" s="106">
        <f>COPY!AR2841</f>
        <v>0</v>
      </c>
      <c r="C2849" s="107">
        <f>COPY!AC2841</f>
        <v>0</v>
      </c>
      <c r="D2849" s="107" t="str">
        <f>IF(LEN(Table1722[[#This Row],[Uraian]])&gt;2,1," ")</f>
        <v xml:space="preserve"> </v>
      </c>
      <c r="E2849" s="113" t="str">
        <f>IF(Table1722[[#This Row],[Lawan Transaksi]]="CV AGUNG KARYA",COUNTIF($I$10:I2849,"CV AGUNG KARYA")," ")</f>
        <v xml:space="preserve"> </v>
      </c>
      <c r="F2849" s="107" t="str">
        <f>IF(LEN(Table1722[[#This Row],[Uraian]])&gt;2,TRIM(RIGHT(SUBSTITUTE(TRIM(C2849)," ",REPT(" ",255)),255))," ")</f>
        <v xml:space="preserve"> </v>
      </c>
      <c r="G2849" s="110">
        <f>COPY!Z2841</f>
        <v>0</v>
      </c>
      <c r="H2849" s="111" t="str">
        <f>IFERROR(VLOOKUP(Table1722[[#This Row],[Bukti]],'Un nOTA'!$A$4:$K$5003,10,FALSE),"")</f>
        <v/>
      </c>
      <c r="I2849" s="112" t="str">
        <f>IFERROR(VLOOKUP(Table1722[[#This Row],[Bukti]],Table13[#Data],11,FALSE),"")</f>
        <v/>
      </c>
    </row>
    <row r="2850" spans="1:9" ht="19.5" hidden="1" customHeight="1" x14ac:dyDescent="0.2">
      <c r="A2850" s="105" t="str">
        <f>IF(D2850=1,COUNTIF($D$10:D2850,1)," ")</f>
        <v xml:space="preserve"> </v>
      </c>
      <c r="B2850" s="106">
        <f>COPY!AR2842</f>
        <v>0</v>
      </c>
      <c r="C2850" s="107">
        <f>COPY!AC2842</f>
        <v>0</v>
      </c>
      <c r="D2850" s="107" t="str">
        <f>IF(LEN(Table1722[[#This Row],[Uraian]])&gt;2,1," ")</f>
        <v xml:space="preserve"> </v>
      </c>
      <c r="E2850" s="113" t="str">
        <f>IF(Table1722[[#This Row],[Lawan Transaksi]]="CV AGUNG KARYA",COUNTIF($I$10:I2850,"CV AGUNG KARYA")," ")</f>
        <v xml:space="preserve"> </v>
      </c>
      <c r="F2850" s="107" t="str">
        <f>IF(LEN(Table1722[[#This Row],[Uraian]])&gt;2,TRIM(RIGHT(SUBSTITUTE(TRIM(C2850)," ",REPT(" ",255)),255))," ")</f>
        <v xml:space="preserve"> </v>
      </c>
      <c r="G2850" s="110">
        <f>COPY!Z2842</f>
        <v>0</v>
      </c>
      <c r="H2850" s="111" t="str">
        <f>IFERROR(VLOOKUP(Table1722[[#This Row],[Bukti]],'Un nOTA'!$A$4:$K$5003,10,FALSE),"")</f>
        <v/>
      </c>
      <c r="I2850" s="112" t="str">
        <f>IFERROR(VLOOKUP(Table1722[[#This Row],[Bukti]],Table13[#Data],11,FALSE),"")</f>
        <v/>
      </c>
    </row>
    <row r="2851" spans="1:9" ht="19.5" hidden="1" customHeight="1" x14ac:dyDescent="0.2">
      <c r="A2851" s="105" t="str">
        <f>IF(D2851=1,COUNTIF($D$10:D2851,1)," ")</f>
        <v xml:space="preserve"> </v>
      </c>
      <c r="B2851" s="106">
        <f>COPY!AR2843</f>
        <v>0</v>
      </c>
      <c r="C2851" s="107">
        <f>COPY!AC2843</f>
        <v>0</v>
      </c>
      <c r="D2851" s="107" t="str">
        <f>IF(LEN(Table1722[[#This Row],[Uraian]])&gt;2,1," ")</f>
        <v xml:space="preserve"> </v>
      </c>
      <c r="E2851" s="113" t="str">
        <f>IF(Table1722[[#This Row],[Lawan Transaksi]]="CV AGUNG KARYA",COUNTIF($I$10:I2851,"CV AGUNG KARYA")," ")</f>
        <v xml:space="preserve"> </v>
      </c>
      <c r="F2851" s="107" t="str">
        <f>IF(LEN(Table1722[[#This Row],[Uraian]])&gt;2,TRIM(RIGHT(SUBSTITUTE(TRIM(C2851)," ",REPT(" ",255)),255))," ")</f>
        <v xml:space="preserve"> </v>
      </c>
      <c r="G2851" s="110">
        <f>COPY!Z2843</f>
        <v>0</v>
      </c>
      <c r="H2851" s="111" t="str">
        <f>IFERROR(VLOOKUP(Table1722[[#This Row],[Bukti]],'Un nOTA'!$A$4:$K$5003,10,FALSE),"")</f>
        <v/>
      </c>
      <c r="I2851" s="112" t="str">
        <f>IFERROR(VLOOKUP(Table1722[[#This Row],[Bukti]],Table13[#Data],11,FALSE),"")</f>
        <v/>
      </c>
    </row>
    <row r="2852" spans="1:9" ht="19.5" hidden="1" customHeight="1" x14ac:dyDescent="0.2">
      <c r="A2852" s="105" t="str">
        <f>IF(D2852=1,COUNTIF($D$10:D2852,1)," ")</f>
        <v xml:space="preserve"> </v>
      </c>
      <c r="B2852" s="106">
        <f>COPY!AR2844</f>
        <v>0</v>
      </c>
      <c r="C2852" s="107">
        <f>COPY!AC2844</f>
        <v>0</v>
      </c>
      <c r="D2852" s="107" t="str">
        <f>IF(LEN(Table1722[[#This Row],[Uraian]])&gt;2,1," ")</f>
        <v xml:space="preserve"> </v>
      </c>
      <c r="E2852" s="113" t="str">
        <f>IF(Table1722[[#This Row],[Lawan Transaksi]]="CV AGUNG KARYA",COUNTIF($I$10:I2852,"CV AGUNG KARYA")," ")</f>
        <v xml:space="preserve"> </v>
      </c>
      <c r="F2852" s="107" t="str">
        <f>IF(LEN(Table1722[[#This Row],[Uraian]])&gt;2,TRIM(RIGHT(SUBSTITUTE(TRIM(C2852)," ",REPT(" ",255)),255))," ")</f>
        <v xml:space="preserve"> </v>
      </c>
      <c r="G2852" s="110">
        <f>COPY!Z2844</f>
        <v>0</v>
      </c>
      <c r="H2852" s="111" t="str">
        <f>IFERROR(VLOOKUP(Table1722[[#This Row],[Bukti]],'Un nOTA'!$A$4:$K$5003,10,FALSE),"")</f>
        <v/>
      </c>
      <c r="I2852" s="112" t="str">
        <f>IFERROR(VLOOKUP(Table1722[[#This Row],[Bukti]],Table13[#Data],11,FALSE),"")</f>
        <v/>
      </c>
    </row>
    <row r="2853" spans="1:9" ht="19.5" hidden="1" customHeight="1" x14ac:dyDescent="0.2">
      <c r="A2853" s="105" t="str">
        <f>IF(D2853=1,COUNTIF($D$10:D2853,1)," ")</f>
        <v xml:space="preserve"> </v>
      </c>
      <c r="B2853" s="106">
        <f>COPY!AR2845</f>
        <v>0</v>
      </c>
      <c r="C2853" s="107">
        <f>COPY!AC2845</f>
        <v>0</v>
      </c>
      <c r="D2853" s="107" t="str">
        <f>IF(LEN(Table1722[[#This Row],[Uraian]])&gt;2,1," ")</f>
        <v xml:space="preserve"> </v>
      </c>
      <c r="E2853" s="113" t="str">
        <f>IF(Table1722[[#This Row],[Lawan Transaksi]]="CV AGUNG KARYA",COUNTIF($I$10:I2853,"CV AGUNG KARYA")," ")</f>
        <v xml:space="preserve"> </v>
      </c>
      <c r="F2853" s="107" t="str">
        <f>IF(LEN(Table1722[[#This Row],[Uraian]])&gt;2,TRIM(RIGHT(SUBSTITUTE(TRIM(C2853)," ",REPT(" ",255)),255))," ")</f>
        <v xml:space="preserve"> </v>
      </c>
      <c r="G2853" s="110">
        <f>COPY!Z2845</f>
        <v>0</v>
      </c>
      <c r="H2853" s="111" t="str">
        <f>IFERROR(VLOOKUP(Table1722[[#This Row],[Bukti]],'Un nOTA'!$A$4:$K$5003,10,FALSE),"")</f>
        <v/>
      </c>
      <c r="I2853" s="112" t="str">
        <f>IFERROR(VLOOKUP(Table1722[[#This Row],[Bukti]],Table13[#Data],11,FALSE),"")</f>
        <v/>
      </c>
    </row>
    <row r="2854" spans="1:9" ht="19.5" hidden="1" customHeight="1" x14ac:dyDescent="0.2">
      <c r="A2854" s="105" t="str">
        <f>IF(D2854=1,COUNTIF($D$10:D2854,1)," ")</f>
        <v xml:space="preserve"> </v>
      </c>
      <c r="B2854" s="106">
        <f>COPY!AR2846</f>
        <v>0</v>
      </c>
      <c r="C2854" s="107">
        <f>COPY!AC2846</f>
        <v>0</v>
      </c>
      <c r="D2854" s="107" t="str">
        <f>IF(LEN(Table1722[[#This Row],[Uraian]])&gt;2,1," ")</f>
        <v xml:space="preserve"> </v>
      </c>
      <c r="E2854" s="113" t="str">
        <f>IF(Table1722[[#This Row],[Lawan Transaksi]]="CV AGUNG KARYA",COUNTIF($I$10:I2854,"CV AGUNG KARYA")," ")</f>
        <v xml:space="preserve"> </v>
      </c>
      <c r="F2854" s="107" t="str">
        <f>IF(LEN(Table1722[[#This Row],[Uraian]])&gt;2,TRIM(RIGHT(SUBSTITUTE(TRIM(C2854)," ",REPT(" ",255)),255))," ")</f>
        <v xml:space="preserve"> </v>
      </c>
      <c r="G2854" s="110">
        <f>COPY!Z2846</f>
        <v>0</v>
      </c>
      <c r="H2854" s="111" t="str">
        <f>IFERROR(VLOOKUP(Table1722[[#This Row],[Bukti]],'Un nOTA'!$A$4:$K$5003,10,FALSE),"")</f>
        <v/>
      </c>
      <c r="I2854" s="112" t="str">
        <f>IFERROR(VLOOKUP(Table1722[[#This Row],[Bukti]],Table13[#Data],11,FALSE),"")</f>
        <v/>
      </c>
    </row>
    <row r="2855" spans="1:9" ht="19.5" hidden="1" customHeight="1" x14ac:dyDescent="0.2">
      <c r="A2855" s="105" t="str">
        <f>IF(D2855=1,COUNTIF($D$10:D2855,1)," ")</f>
        <v xml:space="preserve"> </v>
      </c>
      <c r="B2855" s="106">
        <f>COPY!AR2847</f>
        <v>0</v>
      </c>
      <c r="C2855" s="107">
        <f>COPY!AC2847</f>
        <v>0</v>
      </c>
      <c r="D2855" s="107" t="str">
        <f>IF(LEN(Table1722[[#This Row],[Uraian]])&gt;2,1," ")</f>
        <v xml:space="preserve"> </v>
      </c>
      <c r="E2855" s="113" t="str">
        <f>IF(Table1722[[#This Row],[Lawan Transaksi]]="CV AGUNG KARYA",COUNTIF($I$10:I2855,"CV AGUNG KARYA")," ")</f>
        <v xml:space="preserve"> </v>
      </c>
      <c r="F2855" s="107" t="str">
        <f>IF(LEN(Table1722[[#This Row],[Uraian]])&gt;2,TRIM(RIGHT(SUBSTITUTE(TRIM(C2855)," ",REPT(" ",255)),255))," ")</f>
        <v xml:space="preserve"> </v>
      </c>
      <c r="G2855" s="110">
        <f>COPY!Z2847</f>
        <v>0</v>
      </c>
      <c r="H2855" s="111" t="str">
        <f>IFERROR(VLOOKUP(Table1722[[#This Row],[Bukti]],'Un nOTA'!$A$4:$K$5003,10,FALSE),"")</f>
        <v/>
      </c>
      <c r="I2855" s="112" t="str">
        <f>IFERROR(VLOOKUP(Table1722[[#This Row],[Bukti]],Table13[#Data],11,FALSE),"")</f>
        <v/>
      </c>
    </row>
    <row r="2856" spans="1:9" ht="19.5" hidden="1" customHeight="1" x14ac:dyDescent="0.2">
      <c r="A2856" s="105" t="str">
        <f>IF(D2856=1,COUNTIF($D$10:D2856,1)," ")</f>
        <v xml:space="preserve"> </v>
      </c>
      <c r="B2856" s="106">
        <f>COPY!AR2848</f>
        <v>0</v>
      </c>
      <c r="C2856" s="107">
        <f>COPY!AC2848</f>
        <v>0</v>
      </c>
      <c r="D2856" s="107" t="str">
        <f>IF(LEN(Table1722[[#This Row],[Uraian]])&gt;2,1," ")</f>
        <v xml:space="preserve"> </v>
      </c>
      <c r="E2856" s="113" t="str">
        <f>IF(Table1722[[#This Row],[Lawan Transaksi]]="CV AGUNG KARYA",COUNTIF($I$10:I2856,"CV AGUNG KARYA")," ")</f>
        <v xml:space="preserve"> </v>
      </c>
      <c r="F2856" s="107" t="str">
        <f>IF(LEN(Table1722[[#This Row],[Uraian]])&gt;2,TRIM(RIGHT(SUBSTITUTE(TRIM(C2856)," ",REPT(" ",255)),255))," ")</f>
        <v xml:space="preserve"> </v>
      </c>
      <c r="G2856" s="110">
        <f>COPY!Z2848</f>
        <v>0</v>
      </c>
      <c r="H2856" s="111" t="str">
        <f>IFERROR(VLOOKUP(Table1722[[#This Row],[Bukti]],'Un nOTA'!$A$4:$K$5003,10,FALSE),"")</f>
        <v/>
      </c>
      <c r="I2856" s="112" t="str">
        <f>IFERROR(VLOOKUP(Table1722[[#This Row],[Bukti]],Table13[#Data],11,FALSE),"")</f>
        <v/>
      </c>
    </row>
    <row r="2857" spans="1:9" ht="19.5" hidden="1" customHeight="1" x14ac:dyDescent="0.2">
      <c r="A2857" s="105" t="str">
        <f>IF(D2857=1,COUNTIF($D$10:D2857,1)," ")</f>
        <v xml:space="preserve"> </v>
      </c>
      <c r="B2857" s="106">
        <f>COPY!AR2849</f>
        <v>0</v>
      </c>
      <c r="C2857" s="107">
        <f>COPY!AC2849</f>
        <v>0</v>
      </c>
      <c r="D2857" s="107" t="str">
        <f>IF(LEN(Table1722[[#This Row],[Uraian]])&gt;2,1," ")</f>
        <v xml:space="preserve"> </v>
      </c>
      <c r="E2857" s="113" t="str">
        <f>IF(Table1722[[#This Row],[Lawan Transaksi]]="CV AGUNG KARYA",COUNTIF($I$10:I2857,"CV AGUNG KARYA")," ")</f>
        <v xml:space="preserve"> </v>
      </c>
      <c r="F2857" s="107" t="str">
        <f>IF(LEN(Table1722[[#This Row],[Uraian]])&gt;2,TRIM(RIGHT(SUBSTITUTE(TRIM(C2857)," ",REPT(" ",255)),255))," ")</f>
        <v xml:space="preserve"> </v>
      </c>
      <c r="G2857" s="110">
        <f>COPY!Z2849</f>
        <v>0</v>
      </c>
      <c r="H2857" s="111" t="str">
        <f>IFERROR(VLOOKUP(Table1722[[#This Row],[Bukti]],'Un nOTA'!$A$4:$K$5003,10,FALSE),"")</f>
        <v/>
      </c>
      <c r="I2857" s="112" t="str">
        <f>IFERROR(VLOOKUP(Table1722[[#This Row],[Bukti]],Table13[#Data],11,FALSE),"")</f>
        <v/>
      </c>
    </row>
    <row r="2858" spans="1:9" ht="19.5" hidden="1" customHeight="1" x14ac:dyDescent="0.2">
      <c r="A2858" s="105" t="str">
        <f>IF(D2858=1,COUNTIF($D$10:D2858,1)," ")</f>
        <v xml:space="preserve"> </v>
      </c>
      <c r="B2858" s="106">
        <f>COPY!AR2850</f>
        <v>0</v>
      </c>
      <c r="C2858" s="107">
        <f>COPY!AC2850</f>
        <v>0</v>
      </c>
      <c r="D2858" s="107" t="str">
        <f>IF(LEN(Table1722[[#This Row],[Uraian]])&gt;2,1," ")</f>
        <v xml:space="preserve"> </v>
      </c>
      <c r="E2858" s="113" t="str">
        <f>IF(Table1722[[#This Row],[Lawan Transaksi]]="CV AGUNG KARYA",COUNTIF($I$10:I2858,"CV AGUNG KARYA")," ")</f>
        <v xml:space="preserve"> </v>
      </c>
      <c r="F2858" s="107" t="str">
        <f>IF(LEN(Table1722[[#This Row],[Uraian]])&gt;2,TRIM(RIGHT(SUBSTITUTE(TRIM(C2858)," ",REPT(" ",255)),255))," ")</f>
        <v xml:space="preserve"> </v>
      </c>
      <c r="G2858" s="110">
        <f>COPY!Z2850</f>
        <v>0</v>
      </c>
      <c r="H2858" s="111" t="str">
        <f>IFERROR(VLOOKUP(Table1722[[#This Row],[Bukti]],'Un nOTA'!$A$4:$K$5003,10,FALSE),"")</f>
        <v/>
      </c>
      <c r="I2858" s="112" t="str">
        <f>IFERROR(VLOOKUP(Table1722[[#This Row],[Bukti]],Table13[#Data],11,FALSE),"")</f>
        <v/>
      </c>
    </row>
    <row r="2859" spans="1:9" ht="19.5" hidden="1" customHeight="1" x14ac:dyDescent="0.2">
      <c r="A2859" s="105" t="str">
        <f>IF(D2859=1,COUNTIF($D$10:D2859,1)," ")</f>
        <v xml:space="preserve"> </v>
      </c>
      <c r="B2859" s="106">
        <f>COPY!AR2851</f>
        <v>0</v>
      </c>
      <c r="C2859" s="107">
        <f>COPY!AC2851</f>
        <v>0</v>
      </c>
      <c r="D2859" s="107" t="str">
        <f>IF(LEN(Table1722[[#This Row],[Uraian]])&gt;2,1," ")</f>
        <v xml:space="preserve"> </v>
      </c>
      <c r="E2859" s="113" t="str">
        <f>IF(Table1722[[#This Row],[Lawan Transaksi]]="CV AGUNG KARYA",COUNTIF($I$10:I2859,"CV AGUNG KARYA")," ")</f>
        <v xml:space="preserve"> </v>
      </c>
      <c r="F2859" s="107" t="str">
        <f>IF(LEN(Table1722[[#This Row],[Uraian]])&gt;2,TRIM(RIGHT(SUBSTITUTE(TRIM(C2859)," ",REPT(" ",255)),255))," ")</f>
        <v xml:space="preserve"> </v>
      </c>
      <c r="G2859" s="110">
        <f>COPY!Z2851</f>
        <v>0</v>
      </c>
      <c r="H2859" s="111" t="str">
        <f>IFERROR(VLOOKUP(Table1722[[#This Row],[Bukti]],'Un nOTA'!$A$4:$K$5003,10,FALSE),"")</f>
        <v/>
      </c>
      <c r="I2859" s="112" t="str">
        <f>IFERROR(VLOOKUP(Table1722[[#This Row],[Bukti]],Table13[#Data],11,FALSE),"")</f>
        <v/>
      </c>
    </row>
    <row r="2860" spans="1:9" ht="19.5" hidden="1" customHeight="1" x14ac:dyDescent="0.2">
      <c r="A2860" s="105" t="str">
        <f>IF(D2860=1,COUNTIF($D$10:D2860,1)," ")</f>
        <v xml:space="preserve"> </v>
      </c>
      <c r="B2860" s="106">
        <f>COPY!AR2852</f>
        <v>0</v>
      </c>
      <c r="C2860" s="107">
        <f>COPY!AC2852</f>
        <v>0</v>
      </c>
      <c r="D2860" s="107" t="str">
        <f>IF(LEN(Table1722[[#This Row],[Uraian]])&gt;2,1," ")</f>
        <v xml:space="preserve"> </v>
      </c>
      <c r="E2860" s="113" t="str">
        <f>IF(Table1722[[#This Row],[Lawan Transaksi]]="CV AGUNG KARYA",COUNTIF($I$10:I2860,"CV AGUNG KARYA")," ")</f>
        <v xml:space="preserve"> </v>
      </c>
      <c r="F2860" s="107" t="str">
        <f>IF(LEN(Table1722[[#This Row],[Uraian]])&gt;2,TRIM(RIGHT(SUBSTITUTE(TRIM(C2860)," ",REPT(" ",255)),255))," ")</f>
        <v xml:space="preserve"> </v>
      </c>
      <c r="G2860" s="110">
        <f>COPY!Z2852</f>
        <v>0</v>
      </c>
      <c r="H2860" s="111" t="str">
        <f>IFERROR(VLOOKUP(Table1722[[#This Row],[Bukti]],'Un nOTA'!$A$4:$K$5003,10,FALSE),"")</f>
        <v/>
      </c>
      <c r="I2860" s="112" t="str">
        <f>IFERROR(VLOOKUP(Table1722[[#This Row],[Bukti]],Table13[#Data],11,FALSE),"")</f>
        <v/>
      </c>
    </row>
    <row r="2861" spans="1:9" ht="19.5" hidden="1" customHeight="1" x14ac:dyDescent="0.2">
      <c r="A2861" s="105" t="str">
        <f>IF(D2861=1,COUNTIF($D$10:D2861,1)," ")</f>
        <v xml:space="preserve"> </v>
      </c>
      <c r="B2861" s="106">
        <f>COPY!AR2853</f>
        <v>0</v>
      </c>
      <c r="C2861" s="107">
        <f>COPY!AC2853</f>
        <v>0</v>
      </c>
      <c r="D2861" s="107" t="str">
        <f>IF(LEN(Table1722[[#This Row],[Uraian]])&gt;2,1," ")</f>
        <v xml:space="preserve"> </v>
      </c>
      <c r="E2861" s="113" t="str">
        <f>IF(Table1722[[#This Row],[Lawan Transaksi]]="CV AGUNG KARYA",COUNTIF($I$10:I2861,"CV AGUNG KARYA")," ")</f>
        <v xml:space="preserve"> </v>
      </c>
      <c r="F2861" s="107" t="str">
        <f>IF(LEN(Table1722[[#This Row],[Uraian]])&gt;2,TRIM(RIGHT(SUBSTITUTE(TRIM(C2861)," ",REPT(" ",255)),255))," ")</f>
        <v xml:space="preserve"> </v>
      </c>
      <c r="G2861" s="110">
        <f>COPY!Z2853</f>
        <v>0</v>
      </c>
      <c r="H2861" s="111" t="str">
        <f>IFERROR(VLOOKUP(Table1722[[#This Row],[Bukti]],'Un nOTA'!$A$4:$K$5003,10,FALSE),"")</f>
        <v/>
      </c>
      <c r="I2861" s="112" t="str">
        <f>IFERROR(VLOOKUP(Table1722[[#This Row],[Bukti]],Table13[#Data],11,FALSE),"")</f>
        <v/>
      </c>
    </row>
    <row r="2862" spans="1:9" ht="19.5" hidden="1" customHeight="1" x14ac:dyDescent="0.2">
      <c r="A2862" s="105" t="str">
        <f>IF(D2862=1,COUNTIF($D$10:D2862,1)," ")</f>
        <v xml:space="preserve"> </v>
      </c>
      <c r="B2862" s="106">
        <f>COPY!AR2854</f>
        <v>0</v>
      </c>
      <c r="C2862" s="107">
        <f>COPY!AC2854</f>
        <v>0</v>
      </c>
      <c r="D2862" s="107" t="str">
        <f>IF(LEN(Table1722[[#This Row],[Uraian]])&gt;2,1," ")</f>
        <v xml:space="preserve"> </v>
      </c>
      <c r="E2862" s="113" t="str">
        <f>IF(Table1722[[#This Row],[Lawan Transaksi]]="CV AGUNG KARYA",COUNTIF($I$10:I2862,"CV AGUNG KARYA")," ")</f>
        <v xml:space="preserve"> </v>
      </c>
      <c r="F2862" s="107" t="str">
        <f>IF(LEN(Table1722[[#This Row],[Uraian]])&gt;2,TRIM(RIGHT(SUBSTITUTE(TRIM(C2862)," ",REPT(" ",255)),255))," ")</f>
        <v xml:space="preserve"> </v>
      </c>
      <c r="G2862" s="110">
        <f>COPY!Z2854</f>
        <v>0</v>
      </c>
      <c r="H2862" s="111" t="str">
        <f>IFERROR(VLOOKUP(Table1722[[#This Row],[Bukti]],'Un nOTA'!$A$4:$K$5003,10,FALSE),"")</f>
        <v/>
      </c>
      <c r="I2862" s="112" t="str">
        <f>IFERROR(VLOOKUP(Table1722[[#This Row],[Bukti]],Table13[#Data],11,FALSE),"")</f>
        <v/>
      </c>
    </row>
    <row r="2863" spans="1:9" ht="19.5" hidden="1" customHeight="1" x14ac:dyDescent="0.2">
      <c r="A2863" s="105" t="str">
        <f>IF(D2863=1,COUNTIF($D$10:D2863,1)," ")</f>
        <v xml:space="preserve"> </v>
      </c>
      <c r="B2863" s="106">
        <f>COPY!AR2855</f>
        <v>0</v>
      </c>
      <c r="C2863" s="107">
        <f>COPY!AC2855</f>
        <v>0</v>
      </c>
      <c r="D2863" s="107" t="str">
        <f>IF(LEN(Table1722[[#This Row],[Uraian]])&gt;2,1," ")</f>
        <v xml:space="preserve"> </v>
      </c>
      <c r="E2863" s="113" t="str">
        <f>IF(Table1722[[#This Row],[Lawan Transaksi]]="CV AGUNG KARYA",COUNTIF($I$10:I2863,"CV AGUNG KARYA")," ")</f>
        <v xml:space="preserve"> </v>
      </c>
      <c r="F2863" s="107" t="str">
        <f>IF(LEN(Table1722[[#This Row],[Uraian]])&gt;2,TRIM(RIGHT(SUBSTITUTE(TRIM(C2863)," ",REPT(" ",255)),255))," ")</f>
        <v xml:space="preserve"> </v>
      </c>
      <c r="G2863" s="110">
        <f>COPY!Z2855</f>
        <v>0</v>
      </c>
      <c r="H2863" s="111" t="str">
        <f>IFERROR(VLOOKUP(Table1722[[#This Row],[Bukti]],'Un nOTA'!$A$4:$K$5003,10,FALSE),"")</f>
        <v/>
      </c>
      <c r="I2863" s="112" t="str">
        <f>IFERROR(VLOOKUP(Table1722[[#This Row],[Bukti]],Table13[#Data],11,FALSE),"")</f>
        <v/>
      </c>
    </row>
    <row r="2864" spans="1:9" ht="19.5" hidden="1" customHeight="1" x14ac:dyDescent="0.2">
      <c r="A2864" s="105" t="str">
        <f>IF(D2864=1,COUNTIF($D$10:D2864,1)," ")</f>
        <v xml:space="preserve"> </v>
      </c>
      <c r="B2864" s="106">
        <f>COPY!AR2856</f>
        <v>0</v>
      </c>
      <c r="C2864" s="107">
        <f>COPY!AC2856</f>
        <v>0</v>
      </c>
      <c r="D2864" s="107" t="str">
        <f>IF(LEN(Table1722[[#This Row],[Uraian]])&gt;2,1," ")</f>
        <v xml:space="preserve"> </v>
      </c>
      <c r="E2864" s="113" t="str">
        <f>IF(Table1722[[#This Row],[Lawan Transaksi]]="CV AGUNG KARYA",COUNTIF($I$10:I2864,"CV AGUNG KARYA")," ")</f>
        <v xml:space="preserve"> </v>
      </c>
      <c r="F2864" s="107" t="str">
        <f>IF(LEN(Table1722[[#This Row],[Uraian]])&gt;2,TRIM(RIGHT(SUBSTITUTE(TRIM(C2864)," ",REPT(" ",255)),255))," ")</f>
        <v xml:space="preserve"> </v>
      </c>
      <c r="G2864" s="110">
        <f>COPY!Z2856</f>
        <v>0</v>
      </c>
      <c r="H2864" s="111" t="str">
        <f>IFERROR(VLOOKUP(Table1722[[#This Row],[Bukti]],'Un nOTA'!$A$4:$K$5003,10,FALSE),"")</f>
        <v/>
      </c>
      <c r="I2864" s="112" t="str">
        <f>IFERROR(VLOOKUP(Table1722[[#This Row],[Bukti]],Table13[#Data],11,FALSE),"")</f>
        <v/>
      </c>
    </row>
    <row r="2865" spans="1:9" ht="19.5" hidden="1" customHeight="1" x14ac:dyDescent="0.2">
      <c r="A2865" s="105" t="str">
        <f>IF(D2865=1,COUNTIF($D$10:D2865,1)," ")</f>
        <v xml:space="preserve"> </v>
      </c>
      <c r="B2865" s="106">
        <f>COPY!AR2857</f>
        <v>0</v>
      </c>
      <c r="C2865" s="107">
        <f>COPY!AC2857</f>
        <v>0</v>
      </c>
      <c r="D2865" s="107" t="str">
        <f>IF(LEN(Table1722[[#This Row],[Uraian]])&gt;2,1," ")</f>
        <v xml:space="preserve"> </v>
      </c>
      <c r="E2865" s="113" t="str">
        <f>IF(Table1722[[#This Row],[Lawan Transaksi]]="CV AGUNG KARYA",COUNTIF($I$10:I2865,"CV AGUNG KARYA")," ")</f>
        <v xml:space="preserve"> </v>
      </c>
      <c r="F2865" s="107" t="str">
        <f>IF(LEN(Table1722[[#This Row],[Uraian]])&gt;2,TRIM(RIGHT(SUBSTITUTE(TRIM(C2865)," ",REPT(" ",255)),255))," ")</f>
        <v xml:space="preserve"> </v>
      </c>
      <c r="G2865" s="110">
        <f>COPY!Z2857</f>
        <v>0</v>
      </c>
      <c r="H2865" s="111" t="str">
        <f>IFERROR(VLOOKUP(Table1722[[#This Row],[Bukti]],'Un nOTA'!$A$4:$K$5003,10,FALSE),"")</f>
        <v/>
      </c>
      <c r="I2865" s="112" t="str">
        <f>IFERROR(VLOOKUP(Table1722[[#This Row],[Bukti]],Table13[#Data],11,FALSE),"")</f>
        <v/>
      </c>
    </row>
    <row r="2866" spans="1:9" ht="19.5" hidden="1" customHeight="1" x14ac:dyDescent="0.2">
      <c r="A2866" s="105" t="str">
        <f>IF(D2866=1,COUNTIF($D$10:D2866,1)," ")</f>
        <v xml:space="preserve"> </v>
      </c>
      <c r="B2866" s="106">
        <f>COPY!AR2858</f>
        <v>0</v>
      </c>
      <c r="C2866" s="107">
        <f>COPY!AC2858</f>
        <v>0</v>
      </c>
      <c r="D2866" s="107" t="str">
        <f>IF(LEN(Table1722[[#This Row],[Uraian]])&gt;2,1," ")</f>
        <v xml:space="preserve"> </v>
      </c>
      <c r="E2866" s="113" t="str">
        <f>IF(Table1722[[#This Row],[Lawan Transaksi]]="CV AGUNG KARYA",COUNTIF($I$10:I2866,"CV AGUNG KARYA")," ")</f>
        <v xml:space="preserve"> </v>
      </c>
      <c r="F2866" s="107" t="str">
        <f>IF(LEN(Table1722[[#This Row],[Uraian]])&gt;2,TRIM(RIGHT(SUBSTITUTE(TRIM(C2866)," ",REPT(" ",255)),255))," ")</f>
        <v xml:space="preserve"> </v>
      </c>
      <c r="G2866" s="110">
        <f>COPY!Z2858</f>
        <v>0</v>
      </c>
      <c r="H2866" s="111" t="str">
        <f>IFERROR(VLOOKUP(Table1722[[#This Row],[Bukti]],'Un nOTA'!$A$4:$K$5003,10,FALSE),"")</f>
        <v/>
      </c>
      <c r="I2866" s="112" t="str">
        <f>IFERROR(VLOOKUP(Table1722[[#This Row],[Bukti]],Table13[#Data],11,FALSE),"")</f>
        <v/>
      </c>
    </row>
    <row r="2867" spans="1:9" ht="19.5" hidden="1" customHeight="1" x14ac:dyDescent="0.2">
      <c r="A2867" s="105" t="str">
        <f>IF(D2867=1,COUNTIF($D$10:D2867,1)," ")</f>
        <v xml:space="preserve"> </v>
      </c>
      <c r="B2867" s="106">
        <f>COPY!AR2859</f>
        <v>0</v>
      </c>
      <c r="C2867" s="107">
        <f>COPY!AC2859</f>
        <v>0</v>
      </c>
      <c r="D2867" s="107" t="str">
        <f>IF(LEN(Table1722[[#This Row],[Uraian]])&gt;2,1," ")</f>
        <v xml:space="preserve"> </v>
      </c>
      <c r="E2867" s="113" t="str">
        <f>IF(Table1722[[#This Row],[Lawan Transaksi]]="CV AGUNG KARYA",COUNTIF($I$10:I2867,"CV AGUNG KARYA")," ")</f>
        <v xml:space="preserve"> </v>
      </c>
      <c r="F2867" s="107" t="str">
        <f>IF(LEN(Table1722[[#This Row],[Uraian]])&gt;2,TRIM(RIGHT(SUBSTITUTE(TRIM(C2867)," ",REPT(" ",255)),255))," ")</f>
        <v xml:space="preserve"> </v>
      </c>
      <c r="G2867" s="110">
        <f>COPY!Z2859</f>
        <v>0</v>
      </c>
      <c r="H2867" s="111" t="str">
        <f>IFERROR(VLOOKUP(Table1722[[#This Row],[Bukti]],'Un nOTA'!$A$4:$K$5003,10,FALSE),"")</f>
        <v/>
      </c>
      <c r="I2867" s="112" t="str">
        <f>IFERROR(VLOOKUP(Table1722[[#This Row],[Bukti]],Table13[#Data],11,FALSE),"")</f>
        <v/>
      </c>
    </row>
    <row r="2868" spans="1:9" ht="19.5" hidden="1" customHeight="1" x14ac:dyDescent="0.2">
      <c r="A2868" s="105" t="str">
        <f>IF(D2868=1,COUNTIF($D$10:D2868,1)," ")</f>
        <v xml:space="preserve"> </v>
      </c>
      <c r="B2868" s="106">
        <f>COPY!AR2860</f>
        <v>0</v>
      </c>
      <c r="C2868" s="107">
        <f>COPY!AC2860</f>
        <v>0</v>
      </c>
      <c r="D2868" s="107" t="str">
        <f>IF(LEN(Table1722[[#This Row],[Uraian]])&gt;2,1," ")</f>
        <v xml:space="preserve"> </v>
      </c>
      <c r="E2868" s="113" t="str">
        <f>IF(Table1722[[#This Row],[Lawan Transaksi]]="CV AGUNG KARYA",COUNTIF($I$10:I2868,"CV AGUNG KARYA")," ")</f>
        <v xml:space="preserve"> </v>
      </c>
      <c r="F2868" s="107" t="str">
        <f>IF(LEN(Table1722[[#This Row],[Uraian]])&gt;2,TRIM(RIGHT(SUBSTITUTE(TRIM(C2868)," ",REPT(" ",255)),255))," ")</f>
        <v xml:space="preserve"> </v>
      </c>
      <c r="G2868" s="110">
        <f>COPY!Z2860</f>
        <v>0</v>
      </c>
      <c r="H2868" s="111" t="str">
        <f>IFERROR(VLOOKUP(Table1722[[#This Row],[Bukti]],'Un nOTA'!$A$4:$K$5003,10,FALSE),"")</f>
        <v/>
      </c>
      <c r="I2868" s="112" t="str">
        <f>IFERROR(VLOOKUP(Table1722[[#This Row],[Bukti]],Table13[#Data],11,FALSE),"")</f>
        <v/>
      </c>
    </row>
    <row r="2869" spans="1:9" ht="19.5" hidden="1" customHeight="1" x14ac:dyDescent="0.2">
      <c r="A2869" s="105" t="str">
        <f>IF(D2869=1,COUNTIF($D$10:D2869,1)," ")</f>
        <v xml:space="preserve"> </v>
      </c>
      <c r="B2869" s="106">
        <f>COPY!AR2861</f>
        <v>0</v>
      </c>
      <c r="C2869" s="107">
        <f>COPY!AC2861</f>
        <v>0</v>
      </c>
      <c r="D2869" s="107" t="str">
        <f>IF(LEN(Table1722[[#This Row],[Uraian]])&gt;2,1," ")</f>
        <v xml:space="preserve"> </v>
      </c>
      <c r="E2869" s="113" t="str">
        <f>IF(Table1722[[#This Row],[Lawan Transaksi]]="CV AGUNG KARYA",COUNTIF($I$10:I2869,"CV AGUNG KARYA")," ")</f>
        <v xml:space="preserve"> </v>
      </c>
      <c r="F2869" s="107" t="str">
        <f>IF(LEN(Table1722[[#This Row],[Uraian]])&gt;2,TRIM(RIGHT(SUBSTITUTE(TRIM(C2869)," ",REPT(" ",255)),255))," ")</f>
        <v xml:space="preserve"> </v>
      </c>
      <c r="G2869" s="110">
        <f>COPY!Z2861</f>
        <v>0</v>
      </c>
      <c r="H2869" s="111" t="str">
        <f>IFERROR(VLOOKUP(Table1722[[#This Row],[Bukti]],'Un nOTA'!$A$4:$K$5003,10,FALSE),"")</f>
        <v/>
      </c>
      <c r="I2869" s="112" t="str">
        <f>IFERROR(VLOOKUP(Table1722[[#This Row],[Bukti]],Table13[#Data],11,FALSE),"")</f>
        <v/>
      </c>
    </row>
    <row r="2870" spans="1:9" ht="19.5" hidden="1" customHeight="1" x14ac:dyDescent="0.2">
      <c r="A2870" s="105" t="str">
        <f>IF(D2870=1,COUNTIF($D$10:D2870,1)," ")</f>
        <v xml:space="preserve"> </v>
      </c>
      <c r="B2870" s="106">
        <f>COPY!AR2862</f>
        <v>0</v>
      </c>
      <c r="C2870" s="107">
        <f>COPY!AC2862</f>
        <v>0</v>
      </c>
      <c r="D2870" s="107" t="str">
        <f>IF(LEN(Table1722[[#This Row],[Uraian]])&gt;2,1," ")</f>
        <v xml:space="preserve"> </v>
      </c>
      <c r="E2870" s="113" t="str">
        <f>IF(Table1722[[#This Row],[Lawan Transaksi]]="CV AGUNG KARYA",COUNTIF($I$10:I2870,"CV AGUNG KARYA")," ")</f>
        <v xml:space="preserve"> </v>
      </c>
      <c r="F2870" s="107" t="str">
        <f>IF(LEN(Table1722[[#This Row],[Uraian]])&gt;2,TRIM(RIGHT(SUBSTITUTE(TRIM(C2870)," ",REPT(" ",255)),255))," ")</f>
        <v xml:space="preserve"> </v>
      </c>
      <c r="G2870" s="110">
        <f>COPY!Z2862</f>
        <v>0</v>
      </c>
      <c r="H2870" s="111" t="str">
        <f>IFERROR(VLOOKUP(Table1722[[#This Row],[Bukti]],'Un nOTA'!$A$4:$K$5003,10,FALSE),"")</f>
        <v/>
      </c>
      <c r="I2870" s="112" t="str">
        <f>IFERROR(VLOOKUP(Table1722[[#This Row],[Bukti]],Table13[#Data],11,FALSE),"")</f>
        <v/>
      </c>
    </row>
    <row r="2871" spans="1:9" ht="19.5" hidden="1" customHeight="1" x14ac:dyDescent="0.2">
      <c r="A2871" s="105" t="str">
        <f>IF(D2871=1,COUNTIF($D$10:D2871,1)," ")</f>
        <v xml:space="preserve"> </v>
      </c>
      <c r="B2871" s="106">
        <f>COPY!AR2863</f>
        <v>0</v>
      </c>
      <c r="C2871" s="107">
        <f>COPY!AC2863</f>
        <v>0</v>
      </c>
      <c r="D2871" s="107" t="str">
        <f>IF(LEN(Table1722[[#This Row],[Uraian]])&gt;2,1," ")</f>
        <v xml:space="preserve"> </v>
      </c>
      <c r="E2871" s="113" t="str">
        <f>IF(Table1722[[#This Row],[Lawan Transaksi]]="CV AGUNG KARYA",COUNTIF($I$10:I2871,"CV AGUNG KARYA")," ")</f>
        <v xml:space="preserve"> </v>
      </c>
      <c r="F2871" s="107" t="str">
        <f>IF(LEN(Table1722[[#This Row],[Uraian]])&gt;2,TRIM(RIGHT(SUBSTITUTE(TRIM(C2871)," ",REPT(" ",255)),255))," ")</f>
        <v xml:space="preserve"> </v>
      </c>
      <c r="G2871" s="110">
        <f>COPY!Z2863</f>
        <v>0</v>
      </c>
      <c r="H2871" s="111" t="str">
        <f>IFERROR(VLOOKUP(Table1722[[#This Row],[Bukti]],'Un nOTA'!$A$4:$K$5003,10,FALSE),"")</f>
        <v/>
      </c>
      <c r="I2871" s="112" t="str">
        <f>IFERROR(VLOOKUP(Table1722[[#This Row],[Bukti]],Table13[#Data],11,FALSE),"")</f>
        <v/>
      </c>
    </row>
    <row r="2872" spans="1:9" ht="19.5" hidden="1" customHeight="1" x14ac:dyDescent="0.2">
      <c r="A2872" s="105" t="str">
        <f>IF(D2872=1,COUNTIF($D$10:D2872,1)," ")</f>
        <v xml:space="preserve"> </v>
      </c>
      <c r="B2872" s="106">
        <f>COPY!AR2864</f>
        <v>0</v>
      </c>
      <c r="C2872" s="107">
        <f>COPY!AC2864</f>
        <v>0</v>
      </c>
      <c r="D2872" s="107" t="str">
        <f>IF(LEN(Table1722[[#This Row],[Uraian]])&gt;2,1," ")</f>
        <v xml:space="preserve"> </v>
      </c>
      <c r="E2872" s="113" t="str">
        <f>IF(Table1722[[#This Row],[Lawan Transaksi]]="CV AGUNG KARYA",COUNTIF($I$10:I2872,"CV AGUNG KARYA")," ")</f>
        <v xml:space="preserve"> </v>
      </c>
      <c r="F2872" s="107" t="str">
        <f>IF(LEN(Table1722[[#This Row],[Uraian]])&gt;2,TRIM(RIGHT(SUBSTITUTE(TRIM(C2872)," ",REPT(" ",255)),255))," ")</f>
        <v xml:space="preserve"> </v>
      </c>
      <c r="G2872" s="110">
        <f>COPY!Z2864</f>
        <v>0</v>
      </c>
      <c r="H2872" s="111" t="str">
        <f>IFERROR(VLOOKUP(Table1722[[#This Row],[Bukti]],'Un nOTA'!$A$4:$K$5003,10,FALSE),"")</f>
        <v/>
      </c>
      <c r="I2872" s="112" t="str">
        <f>IFERROR(VLOOKUP(Table1722[[#This Row],[Bukti]],Table13[#Data],11,FALSE),"")</f>
        <v/>
      </c>
    </row>
    <row r="2873" spans="1:9" ht="19.5" hidden="1" customHeight="1" x14ac:dyDescent="0.2">
      <c r="A2873" s="105" t="str">
        <f>IF(D2873=1,COUNTIF($D$10:D2873,1)," ")</f>
        <v xml:space="preserve"> </v>
      </c>
      <c r="B2873" s="106">
        <f>COPY!AR2865</f>
        <v>0</v>
      </c>
      <c r="C2873" s="107">
        <f>COPY!AC2865</f>
        <v>0</v>
      </c>
      <c r="D2873" s="107" t="str">
        <f>IF(LEN(Table1722[[#This Row],[Uraian]])&gt;2,1," ")</f>
        <v xml:space="preserve"> </v>
      </c>
      <c r="E2873" s="113" t="str">
        <f>IF(Table1722[[#This Row],[Lawan Transaksi]]="CV AGUNG KARYA",COUNTIF($I$10:I2873,"CV AGUNG KARYA")," ")</f>
        <v xml:space="preserve"> </v>
      </c>
      <c r="F2873" s="107" t="str">
        <f>IF(LEN(Table1722[[#This Row],[Uraian]])&gt;2,TRIM(RIGHT(SUBSTITUTE(TRIM(C2873)," ",REPT(" ",255)),255))," ")</f>
        <v xml:space="preserve"> </v>
      </c>
      <c r="G2873" s="110">
        <f>COPY!Z2865</f>
        <v>0</v>
      </c>
      <c r="H2873" s="111" t="str">
        <f>IFERROR(VLOOKUP(Table1722[[#This Row],[Bukti]],'Un nOTA'!$A$4:$K$5003,10,FALSE),"")</f>
        <v/>
      </c>
      <c r="I2873" s="112" t="str">
        <f>IFERROR(VLOOKUP(Table1722[[#This Row],[Bukti]],Table13[#Data],11,FALSE),"")</f>
        <v/>
      </c>
    </row>
    <row r="2874" spans="1:9" ht="19.5" hidden="1" customHeight="1" x14ac:dyDescent="0.2">
      <c r="A2874" s="105" t="str">
        <f>IF(D2874=1,COUNTIF($D$10:D2874,1)," ")</f>
        <v xml:space="preserve"> </v>
      </c>
      <c r="B2874" s="106">
        <f>COPY!AR2866</f>
        <v>0</v>
      </c>
      <c r="C2874" s="107">
        <f>COPY!AC2866</f>
        <v>0</v>
      </c>
      <c r="D2874" s="107" t="str">
        <f>IF(LEN(Table1722[[#This Row],[Uraian]])&gt;2,1," ")</f>
        <v xml:space="preserve"> </v>
      </c>
      <c r="E2874" s="113" t="str">
        <f>IF(Table1722[[#This Row],[Lawan Transaksi]]="CV AGUNG KARYA",COUNTIF($I$10:I2874,"CV AGUNG KARYA")," ")</f>
        <v xml:space="preserve"> </v>
      </c>
      <c r="F2874" s="107" t="str">
        <f>IF(LEN(Table1722[[#This Row],[Uraian]])&gt;2,TRIM(RIGHT(SUBSTITUTE(TRIM(C2874)," ",REPT(" ",255)),255))," ")</f>
        <v xml:space="preserve"> </v>
      </c>
      <c r="G2874" s="110">
        <f>COPY!Z2866</f>
        <v>0</v>
      </c>
      <c r="H2874" s="111" t="str">
        <f>IFERROR(VLOOKUP(Table1722[[#This Row],[Bukti]],'Un nOTA'!$A$4:$K$5003,10,FALSE),"")</f>
        <v/>
      </c>
      <c r="I2874" s="112" t="str">
        <f>IFERROR(VLOOKUP(Table1722[[#This Row],[Bukti]],Table13[#Data],11,FALSE),"")</f>
        <v/>
      </c>
    </row>
    <row r="2875" spans="1:9" ht="19.5" hidden="1" customHeight="1" x14ac:dyDescent="0.2">
      <c r="A2875" s="105" t="str">
        <f>IF(D2875=1,COUNTIF($D$10:D2875,1)," ")</f>
        <v xml:space="preserve"> </v>
      </c>
      <c r="B2875" s="106">
        <f>COPY!AR2867</f>
        <v>0</v>
      </c>
      <c r="C2875" s="107">
        <f>COPY!AC2867</f>
        <v>0</v>
      </c>
      <c r="D2875" s="107" t="str">
        <f>IF(LEN(Table1722[[#This Row],[Uraian]])&gt;2,1," ")</f>
        <v xml:space="preserve"> </v>
      </c>
      <c r="E2875" s="113" t="str">
        <f>IF(Table1722[[#This Row],[Lawan Transaksi]]="CV AGUNG KARYA",COUNTIF($I$10:I2875,"CV AGUNG KARYA")," ")</f>
        <v xml:space="preserve"> </v>
      </c>
      <c r="F2875" s="107" t="str">
        <f>IF(LEN(Table1722[[#This Row],[Uraian]])&gt;2,TRIM(RIGHT(SUBSTITUTE(TRIM(C2875)," ",REPT(" ",255)),255))," ")</f>
        <v xml:space="preserve"> </v>
      </c>
      <c r="G2875" s="110">
        <f>COPY!Z2867</f>
        <v>0</v>
      </c>
      <c r="H2875" s="111" t="str">
        <f>IFERROR(VLOOKUP(Table1722[[#This Row],[Bukti]],'Un nOTA'!$A$4:$K$5003,10,FALSE),"")</f>
        <v/>
      </c>
      <c r="I2875" s="112" t="str">
        <f>IFERROR(VLOOKUP(Table1722[[#This Row],[Bukti]],Table13[#Data],11,FALSE),"")</f>
        <v/>
      </c>
    </row>
    <row r="2876" spans="1:9" ht="19.5" hidden="1" customHeight="1" x14ac:dyDescent="0.2">
      <c r="A2876" s="105" t="str">
        <f>IF(D2876=1,COUNTIF($D$10:D2876,1)," ")</f>
        <v xml:space="preserve"> </v>
      </c>
      <c r="B2876" s="106">
        <f>COPY!AR2868</f>
        <v>0</v>
      </c>
      <c r="C2876" s="107">
        <f>COPY!AC2868</f>
        <v>0</v>
      </c>
      <c r="D2876" s="107" t="str">
        <f>IF(LEN(Table1722[[#This Row],[Uraian]])&gt;2,1," ")</f>
        <v xml:space="preserve"> </v>
      </c>
      <c r="E2876" s="113" t="str">
        <f>IF(Table1722[[#This Row],[Lawan Transaksi]]="CV AGUNG KARYA",COUNTIF($I$10:I2876,"CV AGUNG KARYA")," ")</f>
        <v xml:space="preserve"> </v>
      </c>
      <c r="F2876" s="107" t="str">
        <f>IF(LEN(Table1722[[#This Row],[Uraian]])&gt;2,TRIM(RIGHT(SUBSTITUTE(TRIM(C2876)," ",REPT(" ",255)),255))," ")</f>
        <v xml:space="preserve"> </v>
      </c>
      <c r="G2876" s="110">
        <f>COPY!Z2868</f>
        <v>0</v>
      </c>
      <c r="H2876" s="111" t="str">
        <f>IFERROR(VLOOKUP(Table1722[[#This Row],[Bukti]],'Un nOTA'!$A$4:$K$5003,10,FALSE),"")</f>
        <v/>
      </c>
      <c r="I2876" s="112" t="str">
        <f>IFERROR(VLOOKUP(Table1722[[#This Row],[Bukti]],Table13[#Data],11,FALSE),"")</f>
        <v/>
      </c>
    </row>
    <row r="2877" spans="1:9" ht="19.5" hidden="1" customHeight="1" x14ac:dyDescent="0.2">
      <c r="A2877" s="105" t="str">
        <f>IF(D2877=1,COUNTIF($D$10:D2877,1)," ")</f>
        <v xml:space="preserve"> </v>
      </c>
      <c r="B2877" s="106">
        <f>COPY!AR2869</f>
        <v>0</v>
      </c>
      <c r="C2877" s="107">
        <f>COPY!AC2869</f>
        <v>0</v>
      </c>
      <c r="D2877" s="107" t="str">
        <f>IF(LEN(Table1722[[#This Row],[Uraian]])&gt;2,1," ")</f>
        <v xml:space="preserve"> </v>
      </c>
      <c r="E2877" s="113" t="str">
        <f>IF(Table1722[[#This Row],[Lawan Transaksi]]="CV AGUNG KARYA",COUNTIF($I$10:I2877,"CV AGUNG KARYA")," ")</f>
        <v xml:space="preserve"> </v>
      </c>
      <c r="F2877" s="107" t="str">
        <f>IF(LEN(Table1722[[#This Row],[Uraian]])&gt;2,TRIM(RIGHT(SUBSTITUTE(TRIM(C2877)," ",REPT(" ",255)),255))," ")</f>
        <v xml:space="preserve"> </v>
      </c>
      <c r="G2877" s="110">
        <f>COPY!Z2869</f>
        <v>0</v>
      </c>
      <c r="H2877" s="111" t="str">
        <f>IFERROR(VLOOKUP(Table1722[[#This Row],[Bukti]],'Un nOTA'!$A$4:$K$5003,10,FALSE),"")</f>
        <v/>
      </c>
      <c r="I2877" s="112" t="str">
        <f>IFERROR(VLOOKUP(Table1722[[#This Row],[Bukti]],Table13[#Data],11,FALSE),"")</f>
        <v/>
      </c>
    </row>
    <row r="2878" spans="1:9" ht="19.5" hidden="1" customHeight="1" x14ac:dyDescent="0.2">
      <c r="A2878" s="105" t="str">
        <f>IF(D2878=1,COUNTIF($D$10:D2878,1)," ")</f>
        <v xml:space="preserve"> </v>
      </c>
      <c r="B2878" s="106">
        <f>COPY!AR2870</f>
        <v>0</v>
      </c>
      <c r="C2878" s="107">
        <f>COPY!AC2870</f>
        <v>0</v>
      </c>
      <c r="D2878" s="107" t="str">
        <f>IF(LEN(Table1722[[#This Row],[Uraian]])&gt;2,1," ")</f>
        <v xml:space="preserve"> </v>
      </c>
      <c r="E2878" s="113" t="str">
        <f>IF(Table1722[[#This Row],[Lawan Transaksi]]="CV AGUNG KARYA",COUNTIF($I$10:I2878,"CV AGUNG KARYA")," ")</f>
        <v xml:space="preserve"> </v>
      </c>
      <c r="F2878" s="107" t="str">
        <f>IF(LEN(Table1722[[#This Row],[Uraian]])&gt;2,TRIM(RIGHT(SUBSTITUTE(TRIM(C2878)," ",REPT(" ",255)),255))," ")</f>
        <v xml:space="preserve"> </v>
      </c>
      <c r="G2878" s="110">
        <f>COPY!Z2870</f>
        <v>0</v>
      </c>
      <c r="H2878" s="111" t="str">
        <f>IFERROR(VLOOKUP(Table1722[[#This Row],[Bukti]],'Un nOTA'!$A$4:$K$5003,10,FALSE),"")</f>
        <v/>
      </c>
      <c r="I2878" s="112" t="str">
        <f>IFERROR(VLOOKUP(Table1722[[#This Row],[Bukti]],Table13[#Data],11,FALSE),"")</f>
        <v/>
      </c>
    </row>
    <row r="2879" spans="1:9" ht="19.5" hidden="1" customHeight="1" x14ac:dyDescent="0.2">
      <c r="A2879" s="105" t="str">
        <f>IF(D2879=1,COUNTIF($D$10:D2879,1)," ")</f>
        <v xml:space="preserve"> </v>
      </c>
      <c r="B2879" s="106">
        <f>COPY!AR2871</f>
        <v>0</v>
      </c>
      <c r="C2879" s="107">
        <f>COPY!AC2871</f>
        <v>0</v>
      </c>
      <c r="D2879" s="107" t="str">
        <f>IF(LEN(Table1722[[#This Row],[Uraian]])&gt;2,1," ")</f>
        <v xml:space="preserve"> </v>
      </c>
      <c r="E2879" s="113" t="str">
        <f>IF(Table1722[[#This Row],[Lawan Transaksi]]="CV AGUNG KARYA",COUNTIF($I$10:I2879,"CV AGUNG KARYA")," ")</f>
        <v xml:space="preserve"> </v>
      </c>
      <c r="F2879" s="107" t="str">
        <f>IF(LEN(Table1722[[#This Row],[Uraian]])&gt;2,TRIM(RIGHT(SUBSTITUTE(TRIM(C2879)," ",REPT(" ",255)),255))," ")</f>
        <v xml:space="preserve"> </v>
      </c>
      <c r="G2879" s="110">
        <f>COPY!Z2871</f>
        <v>0</v>
      </c>
      <c r="H2879" s="111" t="str">
        <f>IFERROR(VLOOKUP(Table1722[[#This Row],[Bukti]],'Un nOTA'!$A$4:$K$5003,10,FALSE),"")</f>
        <v/>
      </c>
      <c r="I2879" s="112" t="str">
        <f>IFERROR(VLOOKUP(Table1722[[#This Row],[Bukti]],Table13[#Data],11,FALSE),"")</f>
        <v/>
      </c>
    </row>
    <row r="2880" spans="1:9" ht="19.5" hidden="1" customHeight="1" x14ac:dyDescent="0.2">
      <c r="A2880" s="105" t="str">
        <f>IF(D2880=1,COUNTIF($D$10:D2880,1)," ")</f>
        <v xml:space="preserve"> </v>
      </c>
      <c r="B2880" s="106">
        <f>COPY!AR2872</f>
        <v>0</v>
      </c>
      <c r="C2880" s="107">
        <f>COPY!AC2872</f>
        <v>0</v>
      </c>
      <c r="D2880" s="107" t="str">
        <f>IF(LEN(Table1722[[#This Row],[Uraian]])&gt;2,1," ")</f>
        <v xml:space="preserve"> </v>
      </c>
      <c r="E2880" s="113" t="str">
        <f>IF(Table1722[[#This Row],[Lawan Transaksi]]="CV AGUNG KARYA",COUNTIF($I$10:I2880,"CV AGUNG KARYA")," ")</f>
        <v xml:space="preserve"> </v>
      </c>
      <c r="F2880" s="107" t="str">
        <f>IF(LEN(Table1722[[#This Row],[Uraian]])&gt;2,TRIM(RIGHT(SUBSTITUTE(TRIM(C2880)," ",REPT(" ",255)),255))," ")</f>
        <v xml:space="preserve"> </v>
      </c>
      <c r="G2880" s="110">
        <f>COPY!Z2872</f>
        <v>0</v>
      </c>
      <c r="H2880" s="111" t="str">
        <f>IFERROR(VLOOKUP(Table1722[[#This Row],[Bukti]],'Un nOTA'!$A$4:$K$5003,10,FALSE),"")</f>
        <v/>
      </c>
      <c r="I2880" s="112" t="str">
        <f>IFERROR(VLOOKUP(Table1722[[#This Row],[Bukti]],Table13[#Data],11,FALSE),"")</f>
        <v/>
      </c>
    </row>
    <row r="2881" spans="1:9" ht="19.5" hidden="1" customHeight="1" x14ac:dyDescent="0.2">
      <c r="A2881" s="105" t="str">
        <f>IF(D2881=1,COUNTIF($D$10:D2881,1)," ")</f>
        <v xml:space="preserve"> </v>
      </c>
      <c r="B2881" s="106">
        <f>COPY!AR2873</f>
        <v>0</v>
      </c>
      <c r="C2881" s="107">
        <f>COPY!AC2873</f>
        <v>0</v>
      </c>
      <c r="D2881" s="107" t="str">
        <f>IF(LEN(Table1722[[#This Row],[Uraian]])&gt;2,1," ")</f>
        <v xml:space="preserve"> </v>
      </c>
      <c r="E2881" s="113" t="str">
        <f>IF(Table1722[[#This Row],[Lawan Transaksi]]="CV AGUNG KARYA",COUNTIF($I$10:I2881,"CV AGUNG KARYA")," ")</f>
        <v xml:space="preserve"> </v>
      </c>
      <c r="F2881" s="107" t="str">
        <f>IF(LEN(Table1722[[#This Row],[Uraian]])&gt;2,TRIM(RIGHT(SUBSTITUTE(TRIM(C2881)," ",REPT(" ",255)),255))," ")</f>
        <v xml:space="preserve"> </v>
      </c>
      <c r="G2881" s="110">
        <f>COPY!Z2873</f>
        <v>0</v>
      </c>
      <c r="H2881" s="111" t="str">
        <f>IFERROR(VLOOKUP(Table1722[[#This Row],[Bukti]],'Un nOTA'!$A$4:$K$5003,10,FALSE),"")</f>
        <v/>
      </c>
      <c r="I2881" s="112" t="str">
        <f>IFERROR(VLOOKUP(Table1722[[#This Row],[Bukti]],Table13[#Data],11,FALSE),"")</f>
        <v/>
      </c>
    </row>
    <row r="2882" spans="1:9" ht="19.5" hidden="1" customHeight="1" x14ac:dyDescent="0.2">
      <c r="A2882" s="105" t="str">
        <f>IF(D2882=1,COUNTIF($D$10:D2882,1)," ")</f>
        <v xml:space="preserve"> </v>
      </c>
      <c r="B2882" s="106">
        <f>COPY!AR2874</f>
        <v>0</v>
      </c>
      <c r="C2882" s="107">
        <f>COPY!AC2874</f>
        <v>0</v>
      </c>
      <c r="D2882" s="107" t="str">
        <f>IF(LEN(Table1722[[#This Row],[Uraian]])&gt;2,1," ")</f>
        <v xml:space="preserve"> </v>
      </c>
      <c r="E2882" s="113" t="str">
        <f>IF(Table1722[[#This Row],[Lawan Transaksi]]="CV AGUNG KARYA",COUNTIF($I$10:I2882,"CV AGUNG KARYA")," ")</f>
        <v xml:space="preserve"> </v>
      </c>
      <c r="F2882" s="107" t="str">
        <f>IF(LEN(Table1722[[#This Row],[Uraian]])&gt;2,TRIM(RIGHT(SUBSTITUTE(TRIM(C2882)," ",REPT(" ",255)),255))," ")</f>
        <v xml:space="preserve"> </v>
      </c>
      <c r="G2882" s="110">
        <f>COPY!Z2874</f>
        <v>0</v>
      </c>
      <c r="H2882" s="111" t="str">
        <f>IFERROR(VLOOKUP(Table1722[[#This Row],[Bukti]],'Un nOTA'!$A$4:$K$5003,10,FALSE),"")</f>
        <v/>
      </c>
      <c r="I2882" s="112" t="str">
        <f>IFERROR(VLOOKUP(Table1722[[#This Row],[Bukti]],Table13[#Data],11,FALSE),"")</f>
        <v/>
      </c>
    </row>
    <row r="2883" spans="1:9" ht="19.5" hidden="1" customHeight="1" x14ac:dyDescent="0.2">
      <c r="A2883" s="105" t="str">
        <f>IF(D2883=1,COUNTIF($D$10:D2883,1)," ")</f>
        <v xml:space="preserve"> </v>
      </c>
      <c r="B2883" s="106">
        <f>COPY!AR2875</f>
        <v>0</v>
      </c>
      <c r="C2883" s="107">
        <f>COPY!AC2875</f>
        <v>0</v>
      </c>
      <c r="D2883" s="107" t="str">
        <f>IF(LEN(Table1722[[#This Row],[Uraian]])&gt;2,1," ")</f>
        <v xml:space="preserve"> </v>
      </c>
      <c r="E2883" s="113" t="str">
        <f>IF(Table1722[[#This Row],[Lawan Transaksi]]="CV AGUNG KARYA",COUNTIF($I$10:I2883,"CV AGUNG KARYA")," ")</f>
        <v xml:space="preserve"> </v>
      </c>
      <c r="F2883" s="107" t="str">
        <f>IF(LEN(Table1722[[#This Row],[Uraian]])&gt;2,TRIM(RIGHT(SUBSTITUTE(TRIM(C2883)," ",REPT(" ",255)),255))," ")</f>
        <v xml:space="preserve"> </v>
      </c>
      <c r="G2883" s="110">
        <f>COPY!Z2875</f>
        <v>0</v>
      </c>
      <c r="H2883" s="111" t="str">
        <f>IFERROR(VLOOKUP(Table1722[[#This Row],[Bukti]],'Un nOTA'!$A$4:$K$5003,10,FALSE),"")</f>
        <v/>
      </c>
      <c r="I2883" s="112" t="str">
        <f>IFERROR(VLOOKUP(Table1722[[#This Row],[Bukti]],Table13[#Data],11,FALSE),"")</f>
        <v/>
      </c>
    </row>
    <row r="2884" spans="1:9" ht="19.5" hidden="1" customHeight="1" x14ac:dyDescent="0.2">
      <c r="A2884" s="105" t="str">
        <f>IF(D2884=1,COUNTIF($D$10:D2884,1)," ")</f>
        <v xml:space="preserve"> </v>
      </c>
      <c r="B2884" s="106">
        <f>COPY!AR2876</f>
        <v>0</v>
      </c>
      <c r="C2884" s="107">
        <f>COPY!AC2876</f>
        <v>0</v>
      </c>
      <c r="D2884" s="107" t="str">
        <f>IF(LEN(Table1722[[#This Row],[Uraian]])&gt;2,1," ")</f>
        <v xml:space="preserve"> </v>
      </c>
      <c r="E2884" s="113" t="str">
        <f>IF(Table1722[[#This Row],[Lawan Transaksi]]="CV AGUNG KARYA",COUNTIF($I$10:I2884,"CV AGUNG KARYA")," ")</f>
        <v xml:space="preserve"> </v>
      </c>
      <c r="F2884" s="107" t="str">
        <f>IF(LEN(Table1722[[#This Row],[Uraian]])&gt;2,TRIM(RIGHT(SUBSTITUTE(TRIM(C2884)," ",REPT(" ",255)),255))," ")</f>
        <v xml:space="preserve"> </v>
      </c>
      <c r="G2884" s="110">
        <f>COPY!Z2876</f>
        <v>0</v>
      </c>
      <c r="H2884" s="111" t="str">
        <f>IFERROR(VLOOKUP(Table1722[[#This Row],[Bukti]],'Un nOTA'!$A$4:$K$5003,10,FALSE),"")</f>
        <v/>
      </c>
      <c r="I2884" s="112" t="str">
        <f>IFERROR(VLOOKUP(Table1722[[#This Row],[Bukti]],Table13[#Data],11,FALSE),"")</f>
        <v/>
      </c>
    </row>
    <row r="2885" spans="1:9" ht="19.5" hidden="1" customHeight="1" x14ac:dyDescent="0.2">
      <c r="A2885" s="105" t="str">
        <f>IF(D2885=1,COUNTIF($D$10:D2885,1)," ")</f>
        <v xml:space="preserve"> </v>
      </c>
      <c r="B2885" s="106">
        <f>COPY!AR2877</f>
        <v>0</v>
      </c>
      <c r="C2885" s="107">
        <f>COPY!AC2877</f>
        <v>0</v>
      </c>
      <c r="D2885" s="107" t="str">
        <f>IF(LEN(Table1722[[#This Row],[Uraian]])&gt;2,1," ")</f>
        <v xml:space="preserve"> </v>
      </c>
      <c r="E2885" s="113" t="str">
        <f>IF(Table1722[[#This Row],[Lawan Transaksi]]="CV AGUNG KARYA",COUNTIF($I$10:I2885,"CV AGUNG KARYA")," ")</f>
        <v xml:space="preserve"> </v>
      </c>
      <c r="F2885" s="107" t="str">
        <f>IF(LEN(Table1722[[#This Row],[Uraian]])&gt;2,TRIM(RIGHT(SUBSTITUTE(TRIM(C2885)," ",REPT(" ",255)),255))," ")</f>
        <v xml:space="preserve"> </v>
      </c>
      <c r="G2885" s="110">
        <f>COPY!Z2877</f>
        <v>0</v>
      </c>
      <c r="H2885" s="111" t="str">
        <f>IFERROR(VLOOKUP(Table1722[[#This Row],[Bukti]],'Un nOTA'!$A$4:$K$5003,10,FALSE),"")</f>
        <v/>
      </c>
      <c r="I2885" s="112" t="str">
        <f>IFERROR(VLOOKUP(Table1722[[#This Row],[Bukti]],Table13[#Data],11,FALSE),"")</f>
        <v/>
      </c>
    </row>
    <row r="2886" spans="1:9" ht="19.5" hidden="1" customHeight="1" x14ac:dyDescent="0.2">
      <c r="A2886" s="105" t="str">
        <f>IF(D2886=1,COUNTIF($D$10:D2886,1)," ")</f>
        <v xml:space="preserve"> </v>
      </c>
      <c r="B2886" s="106">
        <f>COPY!AR2878</f>
        <v>0</v>
      </c>
      <c r="C2886" s="107">
        <f>COPY!AC2878</f>
        <v>0</v>
      </c>
      <c r="D2886" s="107" t="str">
        <f>IF(LEN(Table1722[[#This Row],[Uraian]])&gt;2,1," ")</f>
        <v xml:space="preserve"> </v>
      </c>
      <c r="E2886" s="113" t="str">
        <f>IF(Table1722[[#This Row],[Lawan Transaksi]]="CV AGUNG KARYA",COUNTIF($I$10:I2886,"CV AGUNG KARYA")," ")</f>
        <v xml:space="preserve"> </v>
      </c>
      <c r="F2886" s="107" t="str">
        <f>IF(LEN(Table1722[[#This Row],[Uraian]])&gt;2,TRIM(RIGHT(SUBSTITUTE(TRIM(C2886)," ",REPT(" ",255)),255))," ")</f>
        <v xml:space="preserve"> </v>
      </c>
      <c r="G2886" s="110">
        <f>COPY!Z2878</f>
        <v>0</v>
      </c>
      <c r="H2886" s="111" t="str">
        <f>IFERROR(VLOOKUP(Table1722[[#This Row],[Bukti]],'Un nOTA'!$A$4:$K$5003,10,FALSE),"")</f>
        <v/>
      </c>
      <c r="I2886" s="112" t="str">
        <f>IFERROR(VLOOKUP(Table1722[[#This Row],[Bukti]],Table13[#Data],11,FALSE),"")</f>
        <v/>
      </c>
    </row>
    <row r="2887" spans="1:9" ht="19.5" hidden="1" customHeight="1" x14ac:dyDescent="0.2">
      <c r="A2887" s="105" t="str">
        <f>IF(D2887=1,COUNTIF($D$10:D2887,1)," ")</f>
        <v xml:space="preserve"> </v>
      </c>
      <c r="B2887" s="106">
        <f>COPY!AR2879</f>
        <v>0</v>
      </c>
      <c r="C2887" s="107">
        <f>COPY!AC2879</f>
        <v>0</v>
      </c>
      <c r="D2887" s="107" t="str">
        <f>IF(LEN(Table1722[[#This Row],[Uraian]])&gt;2,1," ")</f>
        <v xml:space="preserve"> </v>
      </c>
      <c r="E2887" s="113" t="str">
        <f>IF(Table1722[[#This Row],[Lawan Transaksi]]="CV AGUNG KARYA",COUNTIF($I$10:I2887,"CV AGUNG KARYA")," ")</f>
        <v xml:space="preserve"> </v>
      </c>
      <c r="F2887" s="107" t="str">
        <f>IF(LEN(Table1722[[#This Row],[Uraian]])&gt;2,TRIM(RIGHT(SUBSTITUTE(TRIM(C2887)," ",REPT(" ",255)),255))," ")</f>
        <v xml:space="preserve"> </v>
      </c>
      <c r="G2887" s="110">
        <f>COPY!Z2879</f>
        <v>0</v>
      </c>
      <c r="H2887" s="111" t="str">
        <f>IFERROR(VLOOKUP(Table1722[[#This Row],[Bukti]],'Un nOTA'!$A$4:$K$5003,10,FALSE),"")</f>
        <v/>
      </c>
      <c r="I2887" s="112" t="str">
        <f>IFERROR(VLOOKUP(Table1722[[#This Row],[Bukti]],Table13[#Data],11,FALSE),"")</f>
        <v/>
      </c>
    </row>
    <row r="2888" spans="1:9" ht="19.5" hidden="1" customHeight="1" x14ac:dyDescent="0.2">
      <c r="A2888" s="105" t="str">
        <f>IF(D2888=1,COUNTIF($D$10:D2888,1)," ")</f>
        <v xml:space="preserve"> </v>
      </c>
      <c r="B2888" s="106">
        <f>COPY!AR2880</f>
        <v>0</v>
      </c>
      <c r="C2888" s="107">
        <f>COPY!AC2880</f>
        <v>0</v>
      </c>
      <c r="D2888" s="107" t="str">
        <f>IF(LEN(Table1722[[#This Row],[Uraian]])&gt;2,1," ")</f>
        <v xml:space="preserve"> </v>
      </c>
      <c r="E2888" s="113" t="str">
        <f>IF(Table1722[[#This Row],[Lawan Transaksi]]="CV AGUNG KARYA",COUNTIF($I$10:I2888,"CV AGUNG KARYA")," ")</f>
        <v xml:space="preserve"> </v>
      </c>
      <c r="F2888" s="107" t="str">
        <f>IF(LEN(Table1722[[#This Row],[Uraian]])&gt;2,TRIM(RIGHT(SUBSTITUTE(TRIM(C2888)," ",REPT(" ",255)),255))," ")</f>
        <v xml:space="preserve"> </v>
      </c>
      <c r="G2888" s="110">
        <f>COPY!Z2880</f>
        <v>0</v>
      </c>
      <c r="H2888" s="111" t="str">
        <f>IFERROR(VLOOKUP(Table1722[[#This Row],[Bukti]],'Un nOTA'!$A$4:$K$5003,10,FALSE),"")</f>
        <v/>
      </c>
      <c r="I2888" s="112" t="str">
        <f>IFERROR(VLOOKUP(Table1722[[#This Row],[Bukti]],Table13[#Data],11,FALSE),"")</f>
        <v/>
      </c>
    </row>
    <row r="2889" spans="1:9" ht="19.5" hidden="1" customHeight="1" x14ac:dyDescent="0.2">
      <c r="A2889" s="105" t="str">
        <f>IF(D2889=1,COUNTIF($D$10:D2889,1)," ")</f>
        <v xml:space="preserve"> </v>
      </c>
      <c r="B2889" s="106">
        <f>COPY!AR2881</f>
        <v>0</v>
      </c>
      <c r="C2889" s="107">
        <f>COPY!AC2881</f>
        <v>0</v>
      </c>
      <c r="D2889" s="107" t="str">
        <f>IF(LEN(Table1722[[#This Row],[Uraian]])&gt;2,1," ")</f>
        <v xml:space="preserve"> </v>
      </c>
      <c r="E2889" s="113" t="str">
        <f>IF(Table1722[[#This Row],[Lawan Transaksi]]="CV AGUNG KARYA",COUNTIF($I$10:I2889,"CV AGUNG KARYA")," ")</f>
        <v xml:space="preserve"> </v>
      </c>
      <c r="F2889" s="107" t="str">
        <f>IF(LEN(Table1722[[#This Row],[Uraian]])&gt;2,TRIM(RIGHT(SUBSTITUTE(TRIM(C2889)," ",REPT(" ",255)),255))," ")</f>
        <v xml:space="preserve"> </v>
      </c>
      <c r="G2889" s="110">
        <f>COPY!Z2881</f>
        <v>0</v>
      </c>
      <c r="H2889" s="111" t="str">
        <f>IFERROR(VLOOKUP(Table1722[[#This Row],[Bukti]],'Un nOTA'!$A$4:$K$5003,10,FALSE),"")</f>
        <v/>
      </c>
      <c r="I2889" s="112" t="str">
        <f>IFERROR(VLOOKUP(Table1722[[#This Row],[Bukti]],Table13[#Data],11,FALSE),"")</f>
        <v/>
      </c>
    </row>
    <row r="2890" spans="1:9" ht="19.5" hidden="1" customHeight="1" x14ac:dyDescent="0.2">
      <c r="A2890" s="105" t="str">
        <f>IF(D2890=1,COUNTIF($D$10:D2890,1)," ")</f>
        <v xml:space="preserve"> </v>
      </c>
      <c r="B2890" s="106">
        <f>COPY!AR2882</f>
        <v>0</v>
      </c>
      <c r="C2890" s="107">
        <f>COPY!AC2882</f>
        <v>0</v>
      </c>
      <c r="D2890" s="107" t="str">
        <f>IF(LEN(Table1722[[#This Row],[Uraian]])&gt;2,1," ")</f>
        <v xml:space="preserve"> </v>
      </c>
      <c r="E2890" s="113" t="str">
        <f>IF(Table1722[[#This Row],[Lawan Transaksi]]="CV AGUNG KARYA",COUNTIF($I$10:I2890,"CV AGUNG KARYA")," ")</f>
        <v xml:space="preserve"> </v>
      </c>
      <c r="F2890" s="107" t="str">
        <f>IF(LEN(Table1722[[#This Row],[Uraian]])&gt;2,TRIM(RIGHT(SUBSTITUTE(TRIM(C2890)," ",REPT(" ",255)),255))," ")</f>
        <v xml:space="preserve"> </v>
      </c>
      <c r="G2890" s="110">
        <f>COPY!Z2882</f>
        <v>0</v>
      </c>
      <c r="H2890" s="111" t="str">
        <f>IFERROR(VLOOKUP(Table1722[[#This Row],[Bukti]],'Un nOTA'!$A$4:$K$5003,10,FALSE),"")</f>
        <v/>
      </c>
      <c r="I2890" s="112" t="str">
        <f>IFERROR(VLOOKUP(Table1722[[#This Row],[Bukti]],Table13[#Data],11,FALSE),"")</f>
        <v/>
      </c>
    </row>
    <row r="2891" spans="1:9" ht="19.5" hidden="1" customHeight="1" x14ac:dyDescent="0.2">
      <c r="A2891" s="105" t="str">
        <f>IF(D2891=1,COUNTIF($D$10:D2891,1)," ")</f>
        <v xml:space="preserve"> </v>
      </c>
      <c r="B2891" s="106">
        <f>COPY!AR2883</f>
        <v>0</v>
      </c>
      <c r="C2891" s="107">
        <f>COPY!AC2883</f>
        <v>0</v>
      </c>
      <c r="D2891" s="107" t="str">
        <f>IF(LEN(Table1722[[#This Row],[Uraian]])&gt;2,1," ")</f>
        <v xml:space="preserve"> </v>
      </c>
      <c r="E2891" s="113" t="str">
        <f>IF(Table1722[[#This Row],[Lawan Transaksi]]="CV AGUNG KARYA",COUNTIF($I$10:I2891,"CV AGUNG KARYA")," ")</f>
        <v xml:space="preserve"> </v>
      </c>
      <c r="F2891" s="107" t="str">
        <f>IF(LEN(Table1722[[#This Row],[Uraian]])&gt;2,TRIM(RIGHT(SUBSTITUTE(TRIM(C2891)," ",REPT(" ",255)),255))," ")</f>
        <v xml:space="preserve"> </v>
      </c>
      <c r="G2891" s="110">
        <f>COPY!Z2883</f>
        <v>0</v>
      </c>
      <c r="H2891" s="111" t="str">
        <f>IFERROR(VLOOKUP(Table1722[[#This Row],[Bukti]],'Un nOTA'!$A$4:$K$5003,10,FALSE),"")</f>
        <v/>
      </c>
      <c r="I2891" s="112" t="str">
        <f>IFERROR(VLOOKUP(Table1722[[#This Row],[Bukti]],Table13[#Data],11,FALSE),"")</f>
        <v/>
      </c>
    </row>
    <row r="2892" spans="1:9" ht="19.5" hidden="1" customHeight="1" x14ac:dyDescent="0.2">
      <c r="A2892" s="105" t="str">
        <f>IF(D2892=1,COUNTIF($D$10:D2892,1)," ")</f>
        <v xml:space="preserve"> </v>
      </c>
      <c r="B2892" s="106">
        <f>COPY!AR2884</f>
        <v>0</v>
      </c>
      <c r="C2892" s="107">
        <f>COPY!AC2884</f>
        <v>0</v>
      </c>
      <c r="D2892" s="107" t="str">
        <f>IF(LEN(Table1722[[#This Row],[Uraian]])&gt;2,1," ")</f>
        <v xml:space="preserve"> </v>
      </c>
      <c r="E2892" s="113" t="str">
        <f>IF(Table1722[[#This Row],[Lawan Transaksi]]="CV AGUNG KARYA",COUNTIF($I$10:I2892,"CV AGUNG KARYA")," ")</f>
        <v xml:space="preserve"> </v>
      </c>
      <c r="F2892" s="107" t="str">
        <f>IF(LEN(Table1722[[#This Row],[Uraian]])&gt;2,TRIM(RIGHT(SUBSTITUTE(TRIM(C2892)," ",REPT(" ",255)),255))," ")</f>
        <v xml:space="preserve"> </v>
      </c>
      <c r="G2892" s="110">
        <f>COPY!Z2884</f>
        <v>0</v>
      </c>
      <c r="H2892" s="111" t="str">
        <f>IFERROR(VLOOKUP(Table1722[[#This Row],[Bukti]],'Un nOTA'!$A$4:$K$5003,10,FALSE),"")</f>
        <v/>
      </c>
      <c r="I2892" s="112" t="str">
        <f>IFERROR(VLOOKUP(Table1722[[#This Row],[Bukti]],Table13[#Data],11,FALSE),"")</f>
        <v/>
      </c>
    </row>
    <row r="2893" spans="1:9" ht="19.5" hidden="1" customHeight="1" x14ac:dyDescent="0.2">
      <c r="A2893" s="105" t="str">
        <f>IF(D2893=1,COUNTIF($D$10:D2893,1)," ")</f>
        <v xml:space="preserve"> </v>
      </c>
      <c r="B2893" s="106">
        <f>COPY!AR2885</f>
        <v>0</v>
      </c>
      <c r="C2893" s="107">
        <f>COPY!AC2885</f>
        <v>0</v>
      </c>
      <c r="D2893" s="107" t="str">
        <f>IF(LEN(Table1722[[#This Row],[Uraian]])&gt;2,1," ")</f>
        <v xml:space="preserve"> </v>
      </c>
      <c r="E2893" s="113" t="str">
        <f>IF(Table1722[[#This Row],[Lawan Transaksi]]="CV AGUNG KARYA",COUNTIF($I$10:I2893,"CV AGUNG KARYA")," ")</f>
        <v xml:space="preserve"> </v>
      </c>
      <c r="F2893" s="107" t="str">
        <f>IF(LEN(Table1722[[#This Row],[Uraian]])&gt;2,TRIM(RIGHT(SUBSTITUTE(TRIM(C2893)," ",REPT(" ",255)),255))," ")</f>
        <v xml:space="preserve"> </v>
      </c>
      <c r="G2893" s="110">
        <f>COPY!Z2885</f>
        <v>0</v>
      </c>
      <c r="H2893" s="111" t="str">
        <f>IFERROR(VLOOKUP(Table1722[[#This Row],[Bukti]],'Un nOTA'!$A$4:$K$5003,10,FALSE),"")</f>
        <v/>
      </c>
      <c r="I2893" s="112" t="str">
        <f>IFERROR(VLOOKUP(Table1722[[#This Row],[Bukti]],Table13[#Data],11,FALSE),"")</f>
        <v/>
      </c>
    </row>
    <row r="2894" spans="1:9" ht="19.5" hidden="1" customHeight="1" x14ac:dyDescent="0.2">
      <c r="A2894" s="105" t="str">
        <f>IF(D2894=1,COUNTIF($D$10:D2894,1)," ")</f>
        <v xml:space="preserve"> </v>
      </c>
      <c r="B2894" s="106">
        <f>COPY!AR2886</f>
        <v>0</v>
      </c>
      <c r="C2894" s="107">
        <f>COPY!AC2886</f>
        <v>0</v>
      </c>
      <c r="D2894" s="107" t="str">
        <f>IF(LEN(Table1722[[#This Row],[Uraian]])&gt;2,1," ")</f>
        <v xml:space="preserve"> </v>
      </c>
      <c r="E2894" s="113" t="str">
        <f>IF(Table1722[[#This Row],[Lawan Transaksi]]="CV AGUNG KARYA",COUNTIF($I$10:I2894,"CV AGUNG KARYA")," ")</f>
        <v xml:space="preserve"> </v>
      </c>
      <c r="F2894" s="107" t="str">
        <f>IF(LEN(Table1722[[#This Row],[Uraian]])&gt;2,TRIM(RIGHT(SUBSTITUTE(TRIM(C2894)," ",REPT(" ",255)),255))," ")</f>
        <v xml:space="preserve"> </v>
      </c>
      <c r="G2894" s="110">
        <f>COPY!Z2886</f>
        <v>0</v>
      </c>
      <c r="H2894" s="111" t="str">
        <f>IFERROR(VLOOKUP(Table1722[[#This Row],[Bukti]],'Un nOTA'!$A$4:$K$5003,10,FALSE),"")</f>
        <v/>
      </c>
      <c r="I2894" s="112" t="str">
        <f>IFERROR(VLOOKUP(Table1722[[#This Row],[Bukti]],Table13[#Data],11,FALSE),"")</f>
        <v/>
      </c>
    </row>
    <row r="2895" spans="1:9" ht="19.5" hidden="1" customHeight="1" x14ac:dyDescent="0.2">
      <c r="A2895" s="105" t="str">
        <f>IF(D2895=1,COUNTIF($D$10:D2895,1)," ")</f>
        <v xml:space="preserve"> </v>
      </c>
      <c r="B2895" s="106">
        <f>COPY!AR2887</f>
        <v>0</v>
      </c>
      <c r="C2895" s="107">
        <f>COPY!AC2887</f>
        <v>0</v>
      </c>
      <c r="D2895" s="107" t="str">
        <f>IF(LEN(Table1722[[#This Row],[Uraian]])&gt;2,1," ")</f>
        <v xml:space="preserve"> </v>
      </c>
      <c r="E2895" s="113" t="str">
        <f>IF(Table1722[[#This Row],[Lawan Transaksi]]="CV AGUNG KARYA",COUNTIF($I$10:I2895,"CV AGUNG KARYA")," ")</f>
        <v xml:space="preserve"> </v>
      </c>
      <c r="F2895" s="107" t="str">
        <f>IF(LEN(Table1722[[#This Row],[Uraian]])&gt;2,TRIM(RIGHT(SUBSTITUTE(TRIM(C2895)," ",REPT(" ",255)),255))," ")</f>
        <v xml:space="preserve"> </v>
      </c>
      <c r="G2895" s="110">
        <f>COPY!Z2887</f>
        <v>0</v>
      </c>
      <c r="H2895" s="111" t="str">
        <f>IFERROR(VLOOKUP(Table1722[[#This Row],[Bukti]],'Un nOTA'!$A$4:$K$5003,10,FALSE),"")</f>
        <v/>
      </c>
      <c r="I2895" s="112" t="str">
        <f>IFERROR(VLOOKUP(Table1722[[#This Row],[Bukti]],Table13[#Data],11,FALSE),"")</f>
        <v/>
      </c>
    </row>
    <row r="2896" spans="1:9" ht="19.5" hidden="1" customHeight="1" x14ac:dyDescent="0.2">
      <c r="A2896" s="105" t="str">
        <f>IF(D2896=1,COUNTIF($D$10:D2896,1)," ")</f>
        <v xml:space="preserve"> </v>
      </c>
      <c r="B2896" s="106">
        <f>COPY!AR2888</f>
        <v>0</v>
      </c>
      <c r="C2896" s="107">
        <f>COPY!AC2888</f>
        <v>0</v>
      </c>
      <c r="D2896" s="107" t="str">
        <f>IF(LEN(Table1722[[#This Row],[Uraian]])&gt;2,1," ")</f>
        <v xml:space="preserve"> </v>
      </c>
      <c r="E2896" s="113" t="str">
        <f>IF(Table1722[[#This Row],[Lawan Transaksi]]="CV AGUNG KARYA",COUNTIF($I$10:I2896,"CV AGUNG KARYA")," ")</f>
        <v xml:space="preserve"> </v>
      </c>
      <c r="F2896" s="107" t="str">
        <f>IF(LEN(Table1722[[#This Row],[Uraian]])&gt;2,TRIM(RIGHT(SUBSTITUTE(TRIM(C2896)," ",REPT(" ",255)),255))," ")</f>
        <v xml:space="preserve"> </v>
      </c>
      <c r="G2896" s="110">
        <f>COPY!Z2888</f>
        <v>0</v>
      </c>
      <c r="H2896" s="111" t="str">
        <f>IFERROR(VLOOKUP(Table1722[[#This Row],[Bukti]],'Un nOTA'!$A$4:$K$5003,10,FALSE),"")</f>
        <v/>
      </c>
      <c r="I2896" s="112" t="str">
        <f>IFERROR(VLOOKUP(Table1722[[#This Row],[Bukti]],Table13[#Data],11,FALSE),"")</f>
        <v/>
      </c>
    </row>
    <row r="2897" spans="1:9" ht="19.5" hidden="1" customHeight="1" x14ac:dyDescent="0.2">
      <c r="A2897" s="105" t="str">
        <f>IF(D2897=1,COUNTIF($D$10:D2897,1)," ")</f>
        <v xml:space="preserve"> </v>
      </c>
      <c r="B2897" s="106">
        <f>COPY!AR2889</f>
        <v>0</v>
      </c>
      <c r="C2897" s="107">
        <f>COPY!AC2889</f>
        <v>0</v>
      </c>
      <c r="D2897" s="107" t="str">
        <f>IF(LEN(Table1722[[#This Row],[Uraian]])&gt;2,1," ")</f>
        <v xml:space="preserve"> </v>
      </c>
      <c r="E2897" s="113" t="str">
        <f>IF(Table1722[[#This Row],[Lawan Transaksi]]="CV AGUNG KARYA",COUNTIF($I$10:I2897,"CV AGUNG KARYA")," ")</f>
        <v xml:space="preserve"> </v>
      </c>
      <c r="F2897" s="107" t="str">
        <f>IF(LEN(Table1722[[#This Row],[Uraian]])&gt;2,TRIM(RIGHT(SUBSTITUTE(TRIM(C2897)," ",REPT(" ",255)),255))," ")</f>
        <v xml:space="preserve"> </v>
      </c>
      <c r="G2897" s="110">
        <f>COPY!Z2889</f>
        <v>0</v>
      </c>
      <c r="H2897" s="111" t="str">
        <f>IFERROR(VLOOKUP(Table1722[[#This Row],[Bukti]],'Un nOTA'!$A$4:$K$5003,10,FALSE),"")</f>
        <v/>
      </c>
      <c r="I2897" s="112" t="str">
        <f>IFERROR(VLOOKUP(Table1722[[#This Row],[Bukti]],Table13[#Data],11,FALSE),"")</f>
        <v/>
      </c>
    </row>
    <row r="2898" spans="1:9" ht="19.5" hidden="1" customHeight="1" x14ac:dyDescent="0.2">
      <c r="A2898" s="105" t="str">
        <f>IF(D2898=1,COUNTIF($D$10:D2898,1)," ")</f>
        <v xml:space="preserve"> </v>
      </c>
      <c r="B2898" s="106">
        <f>COPY!AR2890</f>
        <v>0</v>
      </c>
      <c r="C2898" s="107">
        <f>COPY!AC2890</f>
        <v>0</v>
      </c>
      <c r="D2898" s="107" t="str">
        <f>IF(LEN(Table1722[[#This Row],[Uraian]])&gt;2,1," ")</f>
        <v xml:space="preserve"> </v>
      </c>
      <c r="E2898" s="113" t="str">
        <f>IF(Table1722[[#This Row],[Lawan Transaksi]]="CV AGUNG KARYA",COUNTIF($I$10:I2898,"CV AGUNG KARYA")," ")</f>
        <v xml:space="preserve"> </v>
      </c>
      <c r="F2898" s="107" t="str">
        <f>IF(LEN(Table1722[[#This Row],[Uraian]])&gt;2,TRIM(RIGHT(SUBSTITUTE(TRIM(C2898)," ",REPT(" ",255)),255))," ")</f>
        <v xml:space="preserve"> </v>
      </c>
      <c r="G2898" s="110">
        <f>COPY!Z2890</f>
        <v>0</v>
      </c>
      <c r="H2898" s="111" t="str">
        <f>IFERROR(VLOOKUP(Table1722[[#This Row],[Bukti]],'Un nOTA'!$A$4:$K$5003,10,FALSE),"")</f>
        <v/>
      </c>
      <c r="I2898" s="112" t="str">
        <f>IFERROR(VLOOKUP(Table1722[[#This Row],[Bukti]],Table13[#Data],11,FALSE),"")</f>
        <v/>
      </c>
    </row>
    <row r="2899" spans="1:9" ht="19.5" hidden="1" customHeight="1" x14ac:dyDescent="0.2">
      <c r="A2899" s="105" t="str">
        <f>IF(D2899=1,COUNTIF($D$10:D2899,1)," ")</f>
        <v xml:space="preserve"> </v>
      </c>
      <c r="B2899" s="106">
        <f>COPY!AR2891</f>
        <v>0</v>
      </c>
      <c r="C2899" s="107">
        <f>COPY!AC2891</f>
        <v>0</v>
      </c>
      <c r="D2899" s="107" t="str">
        <f>IF(LEN(Table1722[[#This Row],[Uraian]])&gt;2,1," ")</f>
        <v xml:space="preserve"> </v>
      </c>
      <c r="E2899" s="113" t="str">
        <f>IF(Table1722[[#This Row],[Lawan Transaksi]]="CV AGUNG KARYA",COUNTIF($I$10:I2899,"CV AGUNG KARYA")," ")</f>
        <v xml:space="preserve"> </v>
      </c>
      <c r="F2899" s="107" t="str">
        <f>IF(LEN(Table1722[[#This Row],[Uraian]])&gt;2,TRIM(RIGHT(SUBSTITUTE(TRIM(C2899)," ",REPT(" ",255)),255))," ")</f>
        <v xml:space="preserve"> </v>
      </c>
      <c r="G2899" s="110">
        <f>COPY!Z2891</f>
        <v>0</v>
      </c>
      <c r="H2899" s="111" t="str">
        <f>IFERROR(VLOOKUP(Table1722[[#This Row],[Bukti]],'Un nOTA'!$A$4:$K$5003,10,FALSE),"")</f>
        <v/>
      </c>
      <c r="I2899" s="112" t="str">
        <f>IFERROR(VLOOKUP(Table1722[[#This Row],[Bukti]],Table13[#Data],11,FALSE),"")</f>
        <v/>
      </c>
    </row>
    <row r="2900" spans="1:9" ht="19.5" hidden="1" customHeight="1" x14ac:dyDescent="0.2">
      <c r="A2900" s="105" t="str">
        <f>IF(D2900=1,COUNTIF($D$10:D2900,1)," ")</f>
        <v xml:space="preserve"> </v>
      </c>
      <c r="B2900" s="106">
        <f>COPY!AR2892</f>
        <v>0</v>
      </c>
      <c r="C2900" s="107">
        <f>COPY!AC2892</f>
        <v>0</v>
      </c>
      <c r="D2900" s="107" t="str">
        <f>IF(LEN(Table1722[[#This Row],[Uraian]])&gt;2,1," ")</f>
        <v xml:space="preserve"> </v>
      </c>
      <c r="E2900" s="113" t="str">
        <f>IF(Table1722[[#This Row],[Lawan Transaksi]]="CV AGUNG KARYA",COUNTIF($I$10:I2900,"CV AGUNG KARYA")," ")</f>
        <v xml:space="preserve"> </v>
      </c>
      <c r="F2900" s="107" t="str">
        <f>IF(LEN(Table1722[[#This Row],[Uraian]])&gt;2,TRIM(RIGHT(SUBSTITUTE(TRIM(C2900)," ",REPT(" ",255)),255))," ")</f>
        <v xml:space="preserve"> </v>
      </c>
      <c r="G2900" s="110">
        <f>COPY!Z2892</f>
        <v>0</v>
      </c>
      <c r="H2900" s="111" t="str">
        <f>IFERROR(VLOOKUP(Table1722[[#This Row],[Bukti]],'Un nOTA'!$A$4:$K$5003,10,FALSE),"")</f>
        <v/>
      </c>
      <c r="I2900" s="112" t="str">
        <f>IFERROR(VLOOKUP(Table1722[[#This Row],[Bukti]],Table13[#Data],11,FALSE),"")</f>
        <v/>
      </c>
    </row>
    <row r="2901" spans="1:9" ht="19.5" hidden="1" customHeight="1" x14ac:dyDescent="0.2">
      <c r="A2901" s="105" t="str">
        <f>IF(D2901=1,COUNTIF($D$10:D2901,1)," ")</f>
        <v xml:space="preserve"> </v>
      </c>
      <c r="B2901" s="106">
        <f>COPY!AR2893</f>
        <v>0</v>
      </c>
      <c r="C2901" s="107">
        <f>COPY!AC2893</f>
        <v>0</v>
      </c>
      <c r="D2901" s="107" t="str">
        <f>IF(LEN(Table1722[[#This Row],[Uraian]])&gt;2,1," ")</f>
        <v xml:space="preserve"> </v>
      </c>
      <c r="E2901" s="113" t="str">
        <f>IF(Table1722[[#This Row],[Lawan Transaksi]]="CV AGUNG KARYA",COUNTIF($I$10:I2901,"CV AGUNG KARYA")," ")</f>
        <v xml:space="preserve"> </v>
      </c>
      <c r="F2901" s="107" t="str">
        <f>IF(LEN(Table1722[[#This Row],[Uraian]])&gt;2,TRIM(RIGHT(SUBSTITUTE(TRIM(C2901)," ",REPT(" ",255)),255))," ")</f>
        <v xml:space="preserve"> </v>
      </c>
      <c r="G2901" s="110">
        <f>COPY!Z2893</f>
        <v>0</v>
      </c>
      <c r="H2901" s="111" t="str">
        <f>IFERROR(VLOOKUP(Table1722[[#This Row],[Bukti]],'Un nOTA'!$A$4:$K$5003,10,FALSE),"")</f>
        <v/>
      </c>
      <c r="I2901" s="112" t="str">
        <f>IFERROR(VLOOKUP(Table1722[[#This Row],[Bukti]],Table13[#Data],11,FALSE),"")</f>
        <v/>
      </c>
    </row>
    <row r="2902" spans="1:9" ht="19.5" hidden="1" customHeight="1" x14ac:dyDescent="0.2">
      <c r="A2902" s="105" t="str">
        <f>IF(D2902=1,COUNTIF($D$10:D2902,1)," ")</f>
        <v xml:space="preserve"> </v>
      </c>
      <c r="B2902" s="106">
        <f>COPY!AR2894</f>
        <v>0</v>
      </c>
      <c r="C2902" s="107">
        <f>COPY!AC2894</f>
        <v>0</v>
      </c>
      <c r="D2902" s="107" t="str">
        <f>IF(LEN(Table1722[[#This Row],[Uraian]])&gt;2,1," ")</f>
        <v xml:space="preserve"> </v>
      </c>
      <c r="E2902" s="113" t="str">
        <f>IF(Table1722[[#This Row],[Lawan Transaksi]]="CV AGUNG KARYA",COUNTIF($I$10:I2902,"CV AGUNG KARYA")," ")</f>
        <v xml:space="preserve"> </v>
      </c>
      <c r="F2902" s="107" t="str">
        <f>IF(LEN(Table1722[[#This Row],[Uraian]])&gt;2,TRIM(RIGHT(SUBSTITUTE(TRIM(C2902)," ",REPT(" ",255)),255))," ")</f>
        <v xml:space="preserve"> </v>
      </c>
      <c r="G2902" s="110">
        <f>COPY!Z2894</f>
        <v>0</v>
      </c>
      <c r="H2902" s="111" t="str">
        <f>IFERROR(VLOOKUP(Table1722[[#This Row],[Bukti]],'Un nOTA'!$A$4:$K$5003,10,FALSE),"")</f>
        <v/>
      </c>
      <c r="I2902" s="112" t="str">
        <f>IFERROR(VLOOKUP(Table1722[[#This Row],[Bukti]],Table13[#Data],11,FALSE),"")</f>
        <v/>
      </c>
    </row>
    <row r="2903" spans="1:9" ht="19.5" hidden="1" customHeight="1" x14ac:dyDescent="0.2">
      <c r="A2903" s="105" t="str">
        <f>IF(D2903=1,COUNTIF($D$10:D2903,1)," ")</f>
        <v xml:space="preserve"> </v>
      </c>
      <c r="B2903" s="106">
        <f>COPY!AR2895</f>
        <v>0</v>
      </c>
      <c r="C2903" s="107">
        <f>COPY!AC2895</f>
        <v>0</v>
      </c>
      <c r="D2903" s="107" t="str">
        <f>IF(LEN(Table1722[[#This Row],[Uraian]])&gt;2,1," ")</f>
        <v xml:space="preserve"> </v>
      </c>
      <c r="E2903" s="113" t="str">
        <f>IF(Table1722[[#This Row],[Lawan Transaksi]]="CV AGUNG KARYA",COUNTIF($I$10:I2903,"CV AGUNG KARYA")," ")</f>
        <v xml:space="preserve"> </v>
      </c>
      <c r="F2903" s="107" t="str">
        <f>IF(LEN(Table1722[[#This Row],[Uraian]])&gt;2,TRIM(RIGHT(SUBSTITUTE(TRIM(C2903)," ",REPT(" ",255)),255))," ")</f>
        <v xml:space="preserve"> </v>
      </c>
      <c r="G2903" s="110">
        <f>COPY!Z2895</f>
        <v>0</v>
      </c>
      <c r="H2903" s="111" t="str">
        <f>IFERROR(VLOOKUP(Table1722[[#This Row],[Bukti]],'Un nOTA'!$A$4:$K$5003,10,FALSE),"")</f>
        <v/>
      </c>
      <c r="I2903" s="112" t="str">
        <f>IFERROR(VLOOKUP(Table1722[[#This Row],[Bukti]],Table13[#Data],11,FALSE),"")</f>
        <v/>
      </c>
    </row>
    <row r="2904" spans="1:9" ht="19.5" hidden="1" customHeight="1" x14ac:dyDescent="0.2">
      <c r="A2904" s="105" t="str">
        <f>IF(D2904=1,COUNTIF($D$10:D2904,1)," ")</f>
        <v xml:space="preserve"> </v>
      </c>
      <c r="B2904" s="106">
        <f>COPY!AR2896</f>
        <v>0</v>
      </c>
      <c r="C2904" s="107">
        <f>COPY!AC2896</f>
        <v>0</v>
      </c>
      <c r="D2904" s="107" t="str">
        <f>IF(LEN(Table1722[[#This Row],[Uraian]])&gt;2,1," ")</f>
        <v xml:space="preserve"> </v>
      </c>
      <c r="E2904" s="113" t="str">
        <f>IF(Table1722[[#This Row],[Lawan Transaksi]]="CV AGUNG KARYA",COUNTIF($I$10:I2904,"CV AGUNG KARYA")," ")</f>
        <v xml:space="preserve"> </v>
      </c>
      <c r="F2904" s="107" t="str">
        <f>IF(LEN(Table1722[[#This Row],[Uraian]])&gt;2,TRIM(RIGHT(SUBSTITUTE(TRIM(C2904)," ",REPT(" ",255)),255))," ")</f>
        <v xml:space="preserve"> </v>
      </c>
      <c r="G2904" s="110">
        <f>COPY!Z2896</f>
        <v>0</v>
      </c>
      <c r="H2904" s="111" t="str">
        <f>IFERROR(VLOOKUP(Table1722[[#This Row],[Bukti]],'Un nOTA'!$A$4:$K$5003,10,FALSE),"")</f>
        <v/>
      </c>
      <c r="I2904" s="112" t="str">
        <f>IFERROR(VLOOKUP(Table1722[[#This Row],[Bukti]],Table13[#Data],11,FALSE),"")</f>
        <v/>
      </c>
    </row>
    <row r="2905" spans="1:9" ht="19.5" hidden="1" customHeight="1" x14ac:dyDescent="0.2">
      <c r="A2905" s="105" t="str">
        <f>IF(D2905=1,COUNTIF($D$10:D2905,1)," ")</f>
        <v xml:space="preserve"> </v>
      </c>
      <c r="B2905" s="106">
        <f>COPY!AR2897</f>
        <v>0</v>
      </c>
      <c r="C2905" s="107">
        <f>COPY!AC2897</f>
        <v>0</v>
      </c>
      <c r="D2905" s="107" t="str">
        <f>IF(LEN(Table1722[[#This Row],[Uraian]])&gt;2,1," ")</f>
        <v xml:space="preserve"> </v>
      </c>
      <c r="E2905" s="113" t="str">
        <f>IF(Table1722[[#This Row],[Lawan Transaksi]]="CV AGUNG KARYA",COUNTIF($I$10:I2905,"CV AGUNG KARYA")," ")</f>
        <v xml:space="preserve"> </v>
      </c>
      <c r="F2905" s="107" t="str">
        <f>IF(LEN(Table1722[[#This Row],[Uraian]])&gt;2,TRIM(RIGHT(SUBSTITUTE(TRIM(C2905)," ",REPT(" ",255)),255))," ")</f>
        <v xml:space="preserve"> </v>
      </c>
      <c r="G2905" s="110">
        <f>COPY!Z2897</f>
        <v>0</v>
      </c>
      <c r="H2905" s="111" t="str">
        <f>IFERROR(VLOOKUP(Table1722[[#This Row],[Bukti]],'Un nOTA'!$A$4:$K$5003,10,FALSE),"")</f>
        <v/>
      </c>
      <c r="I2905" s="112" t="str">
        <f>IFERROR(VLOOKUP(Table1722[[#This Row],[Bukti]],Table13[#Data],11,FALSE),"")</f>
        <v/>
      </c>
    </row>
    <row r="2906" spans="1:9" ht="19.5" hidden="1" customHeight="1" x14ac:dyDescent="0.2">
      <c r="A2906" s="105" t="str">
        <f>IF(D2906=1,COUNTIF($D$10:D2906,1)," ")</f>
        <v xml:space="preserve"> </v>
      </c>
      <c r="B2906" s="106">
        <f>COPY!AR2898</f>
        <v>0</v>
      </c>
      <c r="C2906" s="107">
        <f>COPY!AC2898</f>
        <v>0</v>
      </c>
      <c r="D2906" s="107" t="str">
        <f>IF(LEN(Table1722[[#This Row],[Uraian]])&gt;2,1," ")</f>
        <v xml:space="preserve"> </v>
      </c>
      <c r="E2906" s="113" t="str">
        <f>IF(Table1722[[#This Row],[Lawan Transaksi]]="CV AGUNG KARYA",COUNTIF($I$10:I2906,"CV AGUNG KARYA")," ")</f>
        <v xml:space="preserve"> </v>
      </c>
      <c r="F2906" s="107" t="str">
        <f>IF(LEN(Table1722[[#This Row],[Uraian]])&gt;2,TRIM(RIGHT(SUBSTITUTE(TRIM(C2906)," ",REPT(" ",255)),255))," ")</f>
        <v xml:space="preserve"> </v>
      </c>
      <c r="G2906" s="110">
        <f>COPY!Z2898</f>
        <v>0</v>
      </c>
      <c r="H2906" s="111" t="str">
        <f>IFERROR(VLOOKUP(Table1722[[#This Row],[Bukti]],'Un nOTA'!$A$4:$K$5003,10,FALSE),"")</f>
        <v/>
      </c>
      <c r="I2906" s="112" t="str">
        <f>IFERROR(VLOOKUP(Table1722[[#This Row],[Bukti]],Table13[#Data],11,FALSE),"")</f>
        <v/>
      </c>
    </row>
    <row r="2907" spans="1:9" ht="19.5" hidden="1" customHeight="1" x14ac:dyDescent="0.2">
      <c r="A2907" s="105" t="str">
        <f>IF(D2907=1,COUNTIF($D$10:D2907,1)," ")</f>
        <v xml:space="preserve"> </v>
      </c>
      <c r="B2907" s="106">
        <f>COPY!AR2899</f>
        <v>0</v>
      </c>
      <c r="C2907" s="107">
        <f>COPY!AC2899</f>
        <v>0</v>
      </c>
      <c r="D2907" s="107" t="str">
        <f>IF(LEN(Table1722[[#This Row],[Uraian]])&gt;2,1," ")</f>
        <v xml:space="preserve"> </v>
      </c>
      <c r="E2907" s="113" t="str">
        <f>IF(Table1722[[#This Row],[Lawan Transaksi]]="CV AGUNG KARYA",COUNTIF($I$10:I2907,"CV AGUNG KARYA")," ")</f>
        <v xml:space="preserve"> </v>
      </c>
      <c r="F2907" s="107" t="str">
        <f>IF(LEN(Table1722[[#This Row],[Uraian]])&gt;2,TRIM(RIGHT(SUBSTITUTE(TRIM(C2907)," ",REPT(" ",255)),255))," ")</f>
        <v xml:space="preserve"> </v>
      </c>
      <c r="G2907" s="110">
        <f>COPY!Z2899</f>
        <v>0</v>
      </c>
      <c r="H2907" s="111" t="str">
        <f>IFERROR(VLOOKUP(Table1722[[#This Row],[Bukti]],'Un nOTA'!$A$4:$K$5003,10,FALSE),"")</f>
        <v/>
      </c>
      <c r="I2907" s="112" t="str">
        <f>IFERROR(VLOOKUP(Table1722[[#This Row],[Bukti]],Table13[#Data],11,FALSE),"")</f>
        <v/>
      </c>
    </row>
    <row r="2908" spans="1:9" ht="19.5" hidden="1" customHeight="1" x14ac:dyDescent="0.2">
      <c r="A2908" s="105" t="str">
        <f>IF(D2908=1,COUNTIF($D$10:D2908,1)," ")</f>
        <v xml:space="preserve"> </v>
      </c>
      <c r="B2908" s="106">
        <f>COPY!AR2900</f>
        <v>0</v>
      </c>
      <c r="C2908" s="107">
        <f>COPY!AC2900</f>
        <v>0</v>
      </c>
      <c r="D2908" s="107" t="str">
        <f>IF(LEN(Table1722[[#This Row],[Uraian]])&gt;2,1," ")</f>
        <v xml:space="preserve"> </v>
      </c>
      <c r="E2908" s="113" t="str">
        <f>IF(Table1722[[#This Row],[Lawan Transaksi]]="CV AGUNG KARYA",COUNTIF($I$10:I2908,"CV AGUNG KARYA")," ")</f>
        <v xml:space="preserve"> </v>
      </c>
      <c r="F2908" s="107" t="str">
        <f>IF(LEN(Table1722[[#This Row],[Uraian]])&gt;2,TRIM(RIGHT(SUBSTITUTE(TRIM(C2908)," ",REPT(" ",255)),255))," ")</f>
        <v xml:space="preserve"> </v>
      </c>
      <c r="G2908" s="110">
        <f>COPY!Z2900</f>
        <v>0</v>
      </c>
      <c r="H2908" s="111" t="str">
        <f>IFERROR(VLOOKUP(Table1722[[#This Row],[Bukti]],'Un nOTA'!$A$4:$K$5003,10,FALSE),"")</f>
        <v/>
      </c>
      <c r="I2908" s="112" t="str">
        <f>IFERROR(VLOOKUP(Table1722[[#This Row],[Bukti]],Table13[#Data],11,FALSE),"")</f>
        <v/>
      </c>
    </row>
    <row r="2909" spans="1:9" ht="19.5" hidden="1" customHeight="1" x14ac:dyDescent="0.2">
      <c r="A2909" s="105" t="str">
        <f>IF(D2909=1,COUNTIF($D$10:D2909,1)," ")</f>
        <v xml:space="preserve"> </v>
      </c>
      <c r="B2909" s="106">
        <f>COPY!AR2901</f>
        <v>0</v>
      </c>
      <c r="C2909" s="107">
        <f>COPY!AC2901</f>
        <v>0</v>
      </c>
      <c r="D2909" s="107" t="str">
        <f>IF(LEN(Table1722[[#This Row],[Uraian]])&gt;2,1," ")</f>
        <v xml:space="preserve"> </v>
      </c>
      <c r="E2909" s="113" t="str">
        <f>IF(Table1722[[#This Row],[Lawan Transaksi]]="CV AGUNG KARYA",COUNTIF($I$10:I2909,"CV AGUNG KARYA")," ")</f>
        <v xml:space="preserve"> </v>
      </c>
      <c r="F2909" s="107" t="str">
        <f>IF(LEN(Table1722[[#This Row],[Uraian]])&gt;2,TRIM(RIGHT(SUBSTITUTE(TRIM(C2909)," ",REPT(" ",255)),255))," ")</f>
        <v xml:space="preserve"> </v>
      </c>
      <c r="G2909" s="110">
        <f>COPY!Z2901</f>
        <v>0</v>
      </c>
      <c r="H2909" s="111" t="str">
        <f>IFERROR(VLOOKUP(Table1722[[#This Row],[Bukti]],'Un nOTA'!$A$4:$K$5003,10,FALSE),"")</f>
        <v/>
      </c>
      <c r="I2909" s="112" t="str">
        <f>IFERROR(VLOOKUP(Table1722[[#This Row],[Bukti]],Table13[#Data],11,FALSE),"")</f>
        <v/>
      </c>
    </row>
    <row r="2910" spans="1:9" ht="19.5" hidden="1" customHeight="1" x14ac:dyDescent="0.2">
      <c r="A2910" s="105" t="str">
        <f>IF(D2910=1,COUNTIF($D$10:D2910,1)," ")</f>
        <v xml:space="preserve"> </v>
      </c>
      <c r="B2910" s="106">
        <f>COPY!AR2902</f>
        <v>0</v>
      </c>
      <c r="C2910" s="107">
        <f>COPY!AC2902</f>
        <v>0</v>
      </c>
      <c r="D2910" s="107" t="str">
        <f>IF(LEN(Table1722[[#This Row],[Uraian]])&gt;2,1," ")</f>
        <v xml:space="preserve"> </v>
      </c>
      <c r="E2910" s="113" t="str">
        <f>IF(Table1722[[#This Row],[Lawan Transaksi]]="CV AGUNG KARYA",COUNTIF($I$10:I2910,"CV AGUNG KARYA")," ")</f>
        <v xml:space="preserve"> </v>
      </c>
      <c r="F2910" s="107" t="str">
        <f>IF(LEN(Table1722[[#This Row],[Uraian]])&gt;2,TRIM(RIGHT(SUBSTITUTE(TRIM(C2910)," ",REPT(" ",255)),255))," ")</f>
        <v xml:space="preserve"> </v>
      </c>
      <c r="G2910" s="110">
        <f>COPY!Z2902</f>
        <v>0</v>
      </c>
      <c r="H2910" s="111" t="str">
        <f>IFERROR(VLOOKUP(Table1722[[#This Row],[Bukti]],'Un nOTA'!$A$4:$K$5003,10,FALSE),"")</f>
        <v/>
      </c>
      <c r="I2910" s="112" t="str">
        <f>IFERROR(VLOOKUP(Table1722[[#This Row],[Bukti]],Table13[#Data],11,FALSE),"")</f>
        <v/>
      </c>
    </row>
    <row r="2911" spans="1:9" ht="19.5" hidden="1" customHeight="1" x14ac:dyDescent="0.2">
      <c r="A2911" s="105" t="str">
        <f>IF(D2911=1,COUNTIF($D$10:D2911,1)," ")</f>
        <v xml:space="preserve"> </v>
      </c>
      <c r="B2911" s="106">
        <f>COPY!AR2903</f>
        <v>0</v>
      </c>
      <c r="C2911" s="107">
        <f>COPY!AC2903</f>
        <v>0</v>
      </c>
      <c r="D2911" s="107" t="str">
        <f>IF(LEN(Table1722[[#This Row],[Uraian]])&gt;2,1," ")</f>
        <v xml:space="preserve"> </v>
      </c>
      <c r="E2911" s="113" t="str">
        <f>IF(Table1722[[#This Row],[Lawan Transaksi]]="CV AGUNG KARYA",COUNTIF($I$10:I2911,"CV AGUNG KARYA")," ")</f>
        <v xml:space="preserve"> </v>
      </c>
      <c r="F2911" s="107" t="str">
        <f>IF(LEN(Table1722[[#This Row],[Uraian]])&gt;2,TRIM(RIGHT(SUBSTITUTE(TRIM(C2911)," ",REPT(" ",255)),255))," ")</f>
        <v xml:space="preserve"> </v>
      </c>
      <c r="G2911" s="110">
        <f>COPY!Z2903</f>
        <v>0</v>
      </c>
      <c r="H2911" s="111" t="str">
        <f>IFERROR(VLOOKUP(Table1722[[#This Row],[Bukti]],'Un nOTA'!$A$4:$K$5003,10,FALSE),"")</f>
        <v/>
      </c>
      <c r="I2911" s="112" t="str">
        <f>IFERROR(VLOOKUP(Table1722[[#This Row],[Bukti]],Table13[#Data],11,FALSE),"")</f>
        <v/>
      </c>
    </row>
    <row r="2912" spans="1:9" ht="19.5" hidden="1" customHeight="1" x14ac:dyDescent="0.2">
      <c r="A2912" s="105" t="str">
        <f>IF(D2912=1,COUNTIF($D$10:D2912,1)," ")</f>
        <v xml:space="preserve"> </v>
      </c>
      <c r="B2912" s="106">
        <f>COPY!AR2904</f>
        <v>0</v>
      </c>
      <c r="C2912" s="107">
        <f>COPY!AC2904</f>
        <v>0</v>
      </c>
      <c r="D2912" s="107" t="str">
        <f>IF(LEN(Table1722[[#This Row],[Uraian]])&gt;2,1," ")</f>
        <v xml:space="preserve"> </v>
      </c>
      <c r="E2912" s="113" t="str">
        <f>IF(Table1722[[#This Row],[Lawan Transaksi]]="CV AGUNG KARYA",COUNTIF($I$10:I2912,"CV AGUNG KARYA")," ")</f>
        <v xml:space="preserve"> </v>
      </c>
      <c r="F2912" s="107" t="str">
        <f>IF(LEN(Table1722[[#This Row],[Uraian]])&gt;2,TRIM(RIGHT(SUBSTITUTE(TRIM(C2912)," ",REPT(" ",255)),255))," ")</f>
        <v xml:space="preserve"> </v>
      </c>
      <c r="G2912" s="110">
        <f>COPY!Z2904</f>
        <v>0</v>
      </c>
      <c r="H2912" s="111" t="str">
        <f>IFERROR(VLOOKUP(Table1722[[#This Row],[Bukti]],'Un nOTA'!$A$4:$K$5003,10,FALSE),"")</f>
        <v/>
      </c>
      <c r="I2912" s="112" t="str">
        <f>IFERROR(VLOOKUP(Table1722[[#This Row],[Bukti]],Table13[#Data],11,FALSE),"")</f>
        <v/>
      </c>
    </row>
    <row r="2913" spans="1:9" ht="19.5" hidden="1" customHeight="1" x14ac:dyDescent="0.2">
      <c r="A2913" s="105" t="str">
        <f>IF(D2913=1,COUNTIF($D$10:D2913,1)," ")</f>
        <v xml:space="preserve"> </v>
      </c>
      <c r="B2913" s="106">
        <f>COPY!AR2905</f>
        <v>0</v>
      </c>
      <c r="C2913" s="107">
        <f>COPY!AC2905</f>
        <v>0</v>
      </c>
      <c r="D2913" s="107" t="str">
        <f>IF(LEN(Table1722[[#This Row],[Uraian]])&gt;2,1," ")</f>
        <v xml:space="preserve"> </v>
      </c>
      <c r="E2913" s="113" t="str">
        <f>IF(Table1722[[#This Row],[Lawan Transaksi]]="CV AGUNG KARYA",COUNTIF($I$10:I2913,"CV AGUNG KARYA")," ")</f>
        <v xml:space="preserve"> </v>
      </c>
      <c r="F2913" s="107" t="str">
        <f>IF(LEN(Table1722[[#This Row],[Uraian]])&gt;2,TRIM(RIGHT(SUBSTITUTE(TRIM(C2913)," ",REPT(" ",255)),255))," ")</f>
        <v xml:space="preserve"> </v>
      </c>
      <c r="G2913" s="110">
        <f>COPY!Z2905</f>
        <v>0</v>
      </c>
      <c r="H2913" s="111" t="str">
        <f>IFERROR(VLOOKUP(Table1722[[#This Row],[Bukti]],'Un nOTA'!$A$4:$K$5003,10,FALSE),"")</f>
        <v/>
      </c>
      <c r="I2913" s="112" t="str">
        <f>IFERROR(VLOOKUP(Table1722[[#This Row],[Bukti]],Table13[#Data],11,FALSE),"")</f>
        <v/>
      </c>
    </row>
    <row r="2914" spans="1:9" ht="19.5" hidden="1" customHeight="1" x14ac:dyDescent="0.2">
      <c r="A2914" s="105" t="str">
        <f>IF(D2914=1,COUNTIF($D$10:D2914,1)," ")</f>
        <v xml:space="preserve"> </v>
      </c>
      <c r="B2914" s="106">
        <f>COPY!AR2906</f>
        <v>0</v>
      </c>
      <c r="C2914" s="107">
        <f>COPY!AC2906</f>
        <v>0</v>
      </c>
      <c r="D2914" s="107" t="str">
        <f>IF(LEN(Table1722[[#This Row],[Uraian]])&gt;2,1," ")</f>
        <v xml:space="preserve"> </v>
      </c>
      <c r="E2914" s="113" t="str">
        <f>IF(Table1722[[#This Row],[Lawan Transaksi]]="CV AGUNG KARYA",COUNTIF($I$10:I2914,"CV AGUNG KARYA")," ")</f>
        <v xml:space="preserve"> </v>
      </c>
      <c r="F2914" s="107" t="str">
        <f>IF(LEN(Table1722[[#This Row],[Uraian]])&gt;2,TRIM(RIGHT(SUBSTITUTE(TRIM(C2914)," ",REPT(" ",255)),255))," ")</f>
        <v xml:space="preserve"> </v>
      </c>
      <c r="G2914" s="110">
        <f>COPY!Z2906</f>
        <v>0</v>
      </c>
      <c r="H2914" s="111" t="str">
        <f>IFERROR(VLOOKUP(Table1722[[#This Row],[Bukti]],'Un nOTA'!$A$4:$K$5003,10,FALSE),"")</f>
        <v/>
      </c>
      <c r="I2914" s="112" t="str">
        <f>IFERROR(VLOOKUP(Table1722[[#This Row],[Bukti]],Table13[#Data],11,FALSE),"")</f>
        <v/>
      </c>
    </row>
    <row r="2915" spans="1:9" ht="19.5" hidden="1" customHeight="1" x14ac:dyDescent="0.2">
      <c r="A2915" s="105" t="str">
        <f>IF(D2915=1,COUNTIF($D$10:D2915,1)," ")</f>
        <v xml:space="preserve"> </v>
      </c>
      <c r="B2915" s="106">
        <f>COPY!AR2907</f>
        <v>0</v>
      </c>
      <c r="C2915" s="107">
        <f>COPY!AC2907</f>
        <v>0</v>
      </c>
      <c r="D2915" s="107" t="str">
        <f>IF(LEN(Table1722[[#This Row],[Uraian]])&gt;2,1," ")</f>
        <v xml:space="preserve"> </v>
      </c>
      <c r="E2915" s="113" t="str">
        <f>IF(Table1722[[#This Row],[Lawan Transaksi]]="CV AGUNG KARYA",COUNTIF($I$10:I2915,"CV AGUNG KARYA")," ")</f>
        <v xml:space="preserve"> </v>
      </c>
      <c r="F2915" s="107" t="str">
        <f>IF(LEN(Table1722[[#This Row],[Uraian]])&gt;2,TRIM(RIGHT(SUBSTITUTE(TRIM(C2915)," ",REPT(" ",255)),255))," ")</f>
        <v xml:space="preserve"> </v>
      </c>
      <c r="G2915" s="110">
        <f>COPY!Z2907</f>
        <v>0</v>
      </c>
      <c r="H2915" s="111" t="str">
        <f>IFERROR(VLOOKUP(Table1722[[#This Row],[Bukti]],'Un nOTA'!$A$4:$K$5003,10,FALSE),"")</f>
        <v/>
      </c>
      <c r="I2915" s="112" t="str">
        <f>IFERROR(VLOOKUP(Table1722[[#This Row],[Bukti]],Table13[#Data],11,FALSE),"")</f>
        <v/>
      </c>
    </row>
    <row r="2916" spans="1:9" ht="19.5" hidden="1" customHeight="1" x14ac:dyDescent="0.2">
      <c r="A2916" s="105" t="str">
        <f>IF(D2916=1,COUNTIF($D$10:D2916,1)," ")</f>
        <v xml:space="preserve"> </v>
      </c>
      <c r="B2916" s="106">
        <f>COPY!AR2908</f>
        <v>0</v>
      </c>
      <c r="C2916" s="107">
        <f>COPY!AC2908</f>
        <v>0</v>
      </c>
      <c r="D2916" s="107" t="str">
        <f>IF(LEN(Table1722[[#This Row],[Uraian]])&gt;2,1," ")</f>
        <v xml:space="preserve"> </v>
      </c>
      <c r="E2916" s="113" t="str">
        <f>IF(Table1722[[#This Row],[Lawan Transaksi]]="CV AGUNG KARYA",COUNTIF($I$10:I2916,"CV AGUNG KARYA")," ")</f>
        <v xml:space="preserve"> </v>
      </c>
      <c r="F2916" s="107" t="str">
        <f>IF(LEN(Table1722[[#This Row],[Uraian]])&gt;2,TRIM(RIGHT(SUBSTITUTE(TRIM(C2916)," ",REPT(" ",255)),255))," ")</f>
        <v xml:space="preserve"> </v>
      </c>
      <c r="G2916" s="110">
        <f>COPY!Z2908</f>
        <v>0</v>
      </c>
      <c r="H2916" s="111" t="str">
        <f>IFERROR(VLOOKUP(Table1722[[#This Row],[Bukti]],'Un nOTA'!$A$4:$K$5003,10,FALSE),"")</f>
        <v/>
      </c>
      <c r="I2916" s="112" t="str">
        <f>IFERROR(VLOOKUP(Table1722[[#This Row],[Bukti]],Table13[#Data],11,FALSE),"")</f>
        <v/>
      </c>
    </row>
    <row r="2917" spans="1:9" ht="19.5" hidden="1" customHeight="1" x14ac:dyDescent="0.2">
      <c r="A2917" s="105" t="str">
        <f>IF(D2917=1,COUNTIF($D$10:D2917,1)," ")</f>
        <v xml:space="preserve"> </v>
      </c>
      <c r="B2917" s="106">
        <f>COPY!AR2909</f>
        <v>0</v>
      </c>
      <c r="C2917" s="107">
        <f>COPY!AC2909</f>
        <v>0</v>
      </c>
      <c r="D2917" s="107" t="str">
        <f>IF(LEN(Table1722[[#This Row],[Uraian]])&gt;2,1," ")</f>
        <v xml:space="preserve"> </v>
      </c>
      <c r="E2917" s="113" t="str">
        <f>IF(Table1722[[#This Row],[Lawan Transaksi]]="CV AGUNG KARYA",COUNTIF($I$10:I2917,"CV AGUNG KARYA")," ")</f>
        <v xml:space="preserve"> </v>
      </c>
      <c r="F2917" s="107" t="str">
        <f>IF(LEN(Table1722[[#This Row],[Uraian]])&gt;2,TRIM(RIGHT(SUBSTITUTE(TRIM(C2917)," ",REPT(" ",255)),255))," ")</f>
        <v xml:space="preserve"> </v>
      </c>
      <c r="G2917" s="110">
        <f>COPY!Z2909</f>
        <v>0</v>
      </c>
      <c r="H2917" s="111" t="str">
        <f>IFERROR(VLOOKUP(Table1722[[#This Row],[Bukti]],'Un nOTA'!$A$4:$K$5003,10,FALSE),"")</f>
        <v/>
      </c>
      <c r="I2917" s="112" t="str">
        <f>IFERROR(VLOOKUP(Table1722[[#This Row],[Bukti]],Table13[#Data],11,FALSE),"")</f>
        <v/>
      </c>
    </row>
    <row r="2918" spans="1:9" ht="19.5" hidden="1" customHeight="1" x14ac:dyDescent="0.2">
      <c r="A2918" s="105" t="str">
        <f>IF(D2918=1,COUNTIF($D$10:D2918,1)," ")</f>
        <v xml:space="preserve"> </v>
      </c>
      <c r="B2918" s="106">
        <f>COPY!AR2910</f>
        <v>0</v>
      </c>
      <c r="C2918" s="107">
        <f>COPY!AC2910</f>
        <v>0</v>
      </c>
      <c r="D2918" s="107" t="str">
        <f>IF(LEN(Table1722[[#This Row],[Uraian]])&gt;2,1," ")</f>
        <v xml:space="preserve"> </v>
      </c>
      <c r="E2918" s="113" t="str">
        <f>IF(Table1722[[#This Row],[Lawan Transaksi]]="CV AGUNG KARYA",COUNTIF($I$10:I2918,"CV AGUNG KARYA")," ")</f>
        <v xml:space="preserve"> </v>
      </c>
      <c r="F2918" s="107" t="str">
        <f>IF(LEN(Table1722[[#This Row],[Uraian]])&gt;2,TRIM(RIGHT(SUBSTITUTE(TRIM(C2918)," ",REPT(" ",255)),255))," ")</f>
        <v xml:space="preserve"> </v>
      </c>
      <c r="G2918" s="110">
        <f>COPY!Z2910</f>
        <v>0</v>
      </c>
      <c r="H2918" s="111" t="str">
        <f>IFERROR(VLOOKUP(Table1722[[#This Row],[Bukti]],'Un nOTA'!$A$4:$K$5003,10,FALSE),"")</f>
        <v/>
      </c>
      <c r="I2918" s="112" t="str">
        <f>IFERROR(VLOOKUP(Table1722[[#This Row],[Bukti]],Table13[#Data],11,FALSE),"")</f>
        <v/>
      </c>
    </row>
    <row r="2919" spans="1:9" ht="19.5" hidden="1" customHeight="1" x14ac:dyDescent="0.2">
      <c r="A2919" s="105" t="str">
        <f>IF(D2919=1,COUNTIF($D$10:D2919,1)," ")</f>
        <v xml:space="preserve"> </v>
      </c>
      <c r="B2919" s="106">
        <f>COPY!AR2911</f>
        <v>0</v>
      </c>
      <c r="C2919" s="107">
        <f>COPY!AC2911</f>
        <v>0</v>
      </c>
      <c r="D2919" s="107" t="str">
        <f>IF(LEN(Table1722[[#This Row],[Uraian]])&gt;2,1," ")</f>
        <v xml:space="preserve"> </v>
      </c>
      <c r="E2919" s="113" t="str">
        <f>IF(Table1722[[#This Row],[Lawan Transaksi]]="CV AGUNG KARYA",COUNTIF($I$10:I2919,"CV AGUNG KARYA")," ")</f>
        <v xml:space="preserve"> </v>
      </c>
      <c r="F2919" s="107" t="str">
        <f>IF(LEN(Table1722[[#This Row],[Uraian]])&gt;2,TRIM(RIGHT(SUBSTITUTE(TRIM(C2919)," ",REPT(" ",255)),255))," ")</f>
        <v xml:space="preserve"> </v>
      </c>
      <c r="G2919" s="110">
        <f>COPY!Z2911</f>
        <v>0</v>
      </c>
      <c r="H2919" s="111" t="str">
        <f>IFERROR(VLOOKUP(Table1722[[#This Row],[Bukti]],'Un nOTA'!$A$4:$K$5003,10,FALSE),"")</f>
        <v/>
      </c>
      <c r="I2919" s="112" t="str">
        <f>IFERROR(VLOOKUP(Table1722[[#This Row],[Bukti]],Table13[#Data],11,FALSE),"")</f>
        <v/>
      </c>
    </row>
    <row r="2920" spans="1:9" ht="19.5" hidden="1" customHeight="1" x14ac:dyDescent="0.2">
      <c r="A2920" s="105" t="str">
        <f>IF(D2920=1,COUNTIF($D$10:D2920,1)," ")</f>
        <v xml:space="preserve"> </v>
      </c>
      <c r="B2920" s="106">
        <f>COPY!AR2912</f>
        <v>0</v>
      </c>
      <c r="C2920" s="107">
        <f>COPY!AC2912</f>
        <v>0</v>
      </c>
      <c r="D2920" s="107" t="str">
        <f>IF(LEN(Table1722[[#This Row],[Uraian]])&gt;2,1," ")</f>
        <v xml:space="preserve"> </v>
      </c>
      <c r="E2920" s="113" t="str">
        <f>IF(Table1722[[#This Row],[Lawan Transaksi]]="CV AGUNG KARYA",COUNTIF($I$10:I2920,"CV AGUNG KARYA")," ")</f>
        <v xml:space="preserve"> </v>
      </c>
      <c r="F2920" s="107" t="str">
        <f>IF(LEN(Table1722[[#This Row],[Uraian]])&gt;2,TRIM(RIGHT(SUBSTITUTE(TRIM(C2920)," ",REPT(" ",255)),255))," ")</f>
        <v xml:space="preserve"> </v>
      </c>
      <c r="G2920" s="110">
        <f>COPY!Z2912</f>
        <v>0</v>
      </c>
      <c r="H2920" s="111" t="str">
        <f>IFERROR(VLOOKUP(Table1722[[#This Row],[Bukti]],'Un nOTA'!$A$4:$K$5003,10,FALSE),"")</f>
        <v/>
      </c>
      <c r="I2920" s="112" t="str">
        <f>IFERROR(VLOOKUP(Table1722[[#This Row],[Bukti]],Table13[#Data],11,FALSE),"")</f>
        <v/>
      </c>
    </row>
    <row r="2921" spans="1:9" ht="19.5" hidden="1" customHeight="1" x14ac:dyDescent="0.2">
      <c r="A2921" s="105" t="str">
        <f>IF(D2921=1,COUNTIF($D$10:D2921,1)," ")</f>
        <v xml:space="preserve"> </v>
      </c>
      <c r="B2921" s="106">
        <f>COPY!AR2913</f>
        <v>0</v>
      </c>
      <c r="C2921" s="107">
        <f>COPY!AC2913</f>
        <v>0</v>
      </c>
      <c r="D2921" s="107" t="str">
        <f>IF(LEN(Table1722[[#This Row],[Uraian]])&gt;2,1," ")</f>
        <v xml:space="preserve"> </v>
      </c>
      <c r="E2921" s="113" t="str">
        <f>IF(Table1722[[#This Row],[Lawan Transaksi]]="CV AGUNG KARYA",COUNTIF($I$10:I2921,"CV AGUNG KARYA")," ")</f>
        <v xml:space="preserve"> </v>
      </c>
      <c r="F2921" s="107" t="str">
        <f>IF(LEN(Table1722[[#This Row],[Uraian]])&gt;2,TRIM(RIGHT(SUBSTITUTE(TRIM(C2921)," ",REPT(" ",255)),255))," ")</f>
        <v xml:space="preserve"> </v>
      </c>
      <c r="G2921" s="110">
        <f>COPY!Z2913</f>
        <v>0</v>
      </c>
      <c r="H2921" s="111" t="str">
        <f>IFERROR(VLOOKUP(Table1722[[#This Row],[Bukti]],'Un nOTA'!$A$4:$K$5003,10,FALSE),"")</f>
        <v/>
      </c>
      <c r="I2921" s="112" t="str">
        <f>IFERROR(VLOOKUP(Table1722[[#This Row],[Bukti]],Table13[#Data],11,FALSE),"")</f>
        <v/>
      </c>
    </row>
    <row r="2922" spans="1:9" ht="19.5" hidden="1" customHeight="1" x14ac:dyDescent="0.2">
      <c r="A2922" s="105" t="str">
        <f>IF(D2922=1,COUNTIF($D$10:D2922,1)," ")</f>
        <v xml:space="preserve"> </v>
      </c>
      <c r="B2922" s="106">
        <f>COPY!AR2914</f>
        <v>0</v>
      </c>
      <c r="C2922" s="107">
        <f>COPY!AC2914</f>
        <v>0</v>
      </c>
      <c r="D2922" s="107" t="str">
        <f>IF(LEN(Table1722[[#This Row],[Uraian]])&gt;2,1," ")</f>
        <v xml:space="preserve"> </v>
      </c>
      <c r="E2922" s="113" t="str">
        <f>IF(Table1722[[#This Row],[Lawan Transaksi]]="CV AGUNG KARYA",COUNTIF($I$10:I2922,"CV AGUNG KARYA")," ")</f>
        <v xml:space="preserve"> </v>
      </c>
      <c r="F2922" s="107" t="str">
        <f>IF(LEN(Table1722[[#This Row],[Uraian]])&gt;2,TRIM(RIGHT(SUBSTITUTE(TRIM(C2922)," ",REPT(" ",255)),255))," ")</f>
        <v xml:space="preserve"> </v>
      </c>
      <c r="G2922" s="110">
        <f>COPY!Z2914</f>
        <v>0</v>
      </c>
      <c r="H2922" s="111" t="str">
        <f>IFERROR(VLOOKUP(Table1722[[#This Row],[Bukti]],'Un nOTA'!$A$4:$K$5003,10,FALSE),"")</f>
        <v/>
      </c>
      <c r="I2922" s="112" t="str">
        <f>IFERROR(VLOOKUP(Table1722[[#This Row],[Bukti]],Table13[#Data],11,FALSE),"")</f>
        <v/>
      </c>
    </row>
    <row r="2923" spans="1:9" ht="19.5" hidden="1" customHeight="1" x14ac:dyDescent="0.2">
      <c r="A2923" s="105" t="str">
        <f>IF(D2923=1,COUNTIF($D$10:D2923,1)," ")</f>
        <v xml:space="preserve"> </v>
      </c>
      <c r="B2923" s="106">
        <f>COPY!AR2915</f>
        <v>0</v>
      </c>
      <c r="C2923" s="107">
        <f>COPY!AC2915</f>
        <v>0</v>
      </c>
      <c r="D2923" s="107" t="str">
        <f>IF(LEN(Table1722[[#This Row],[Uraian]])&gt;2,1," ")</f>
        <v xml:space="preserve"> </v>
      </c>
      <c r="E2923" s="113" t="str">
        <f>IF(Table1722[[#This Row],[Lawan Transaksi]]="CV AGUNG KARYA",COUNTIF($I$10:I2923,"CV AGUNG KARYA")," ")</f>
        <v xml:space="preserve"> </v>
      </c>
      <c r="F2923" s="107" t="str">
        <f>IF(LEN(Table1722[[#This Row],[Uraian]])&gt;2,TRIM(RIGHT(SUBSTITUTE(TRIM(C2923)," ",REPT(" ",255)),255))," ")</f>
        <v xml:space="preserve"> </v>
      </c>
      <c r="G2923" s="110">
        <f>COPY!Z2915</f>
        <v>0</v>
      </c>
      <c r="H2923" s="111" t="str">
        <f>IFERROR(VLOOKUP(Table1722[[#This Row],[Bukti]],'Un nOTA'!$A$4:$K$5003,10,FALSE),"")</f>
        <v/>
      </c>
      <c r="I2923" s="112" t="str">
        <f>IFERROR(VLOOKUP(Table1722[[#This Row],[Bukti]],Table13[#Data],11,FALSE),"")</f>
        <v/>
      </c>
    </row>
    <row r="2924" spans="1:9" ht="19.5" hidden="1" customHeight="1" x14ac:dyDescent="0.2">
      <c r="A2924" s="105" t="str">
        <f>IF(D2924=1,COUNTIF($D$10:D2924,1)," ")</f>
        <v xml:space="preserve"> </v>
      </c>
      <c r="B2924" s="106">
        <f>COPY!AR2916</f>
        <v>0</v>
      </c>
      <c r="C2924" s="107">
        <f>COPY!AC2916</f>
        <v>0</v>
      </c>
      <c r="D2924" s="107" t="str">
        <f>IF(LEN(Table1722[[#This Row],[Uraian]])&gt;2,1," ")</f>
        <v xml:space="preserve"> </v>
      </c>
      <c r="E2924" s="113" t="str">
        <f>IF(Table1722[[#This Row],[Lawan Transaksi]]="CV AGUNG KARYA",COUNTIF($I$10:I2924,"CV AGUNG KARYA")," ")</f>
        <v xml:space="preserve"> </v>
      </c>
      <c r="F2924" s="107" t="str">
        <f>IF(LEN(Table1722[[#This Row],[Uraian]])&gt;2,TRIM(RIGHT(SUBSTITUTE(TRIM(C2924)," ",REPT(" ",255)),255))," ")</f>
        <v xml:space="preserve"> </v>
      </c>
      <c r="G2924" s="110">
        <f>COPY!Z2916</f>
        <v>0</v>
      </c>
      <c r="H2924" s="111" t="str">
        <f>IFERROR(VLOOKUP(Table1722[[#This Row],[Bukti]],'Un nOTA'!$A$4:$K$5003,10,FALSE),"")</f>
        <v/>
      </c>
      <c r="I2924" s="112" t="str">
        <f>IFERROR(VLOOKUP(Table1722[[#This Row],[Bukti]],Table13[#Data],11,FALSE),"")</f>
        <v/>
      </c>
    </row>
    <row r="2925" spans="1:9" ht="19.5" hidden="1" customHeight="1" x14ac:dyDescent="0.2">
      <c r="A2925" s="105" t="str">
        <f>IF(D2925=1,COUNTIF($D$10:D2925,1)," ")</f>
        <v xml:space="preserve"> </v>
      </c>
      <c r="B2925" s="106">
        <f>COPY!AR2917</f>
        <v>0</v>
      </c>
      <c r="C2925" s="107">
        <f>COPY!AC2917</f>
        <v>0</v>
      </c>
      <c r="D2925" s="107" t="str">
        <f>IF(LEN(Table1722[[#This Row],[Uraian]])&gt;2,1," ")</f>
        <v xml:space="preserve"> </v>
      </c>
      <c r="E2925" s="113" t="str">
        <f>IF(Table1722[[#This Row],[Lawan Transaksi]]="CV AGUNG KARYA",COUNTIF($I$10:I2925,"CV AGUNG KARYA")," ")</f>
        <v xml:space="preserve"> </v>
      </c>
      <c r="F2925" s="107" t="str">
        <f>IF(LEN(Table1722[[#This Row],[Uraian]])&gt;2,TRIM(RIGHT(SUBSTITUTE(TRIM(C2925)," ",REPT(" ",255)),255))," ")</f>
        <v xml:space="preserve"> </v>
      </c>
      <c r="G2925" s="110">
        <f>COPY!Z2917</f>
        <v>0</v>
      </c>
      <c r="H2925" s="111" t="str">
        <f>IFERROR(VLOOKUP(Table1722[[#This Row],[Bukti]],'Un nOTA'!$A$4:$K$5003,10,FALSE),"")</f>
        <v/>
      </c>
      <c r="I2925" s="112" t="str">
        <f>IFERROR(VLOOKUP(Table1722[[#This Row],[Bukti]],Table13[#Data],11,FALSE),"")</f>
        <v/>
      </c>
    </row>
    <row r="2926" spans="1:9" ht="19.5" hidden="1" customHeight="1" x14ac:dyDescent="0.2">
      <c r="A2926" s="105" t="str">
        <f>IF(D2926=1,COUNTIF($D$10:D2926,1)," ")</f>
        <v xml:space="preserve"> </v>
      </c>
      <c r="B2926" s="106">
        <f>COPY!AR2918</f>
        <v>0</v>
      </c>
      <c r="C2926" s="107">
        <f>COPY!AC2918</f>
        <v>0</v>
      </c>
      <c r="D2926" s="107" t="str">
        <f>IF(LEN(Table1722[[#This Row],[Uraian]])&gt;2,1," ")</f>
        <v xml:space="preserve"> </v>
      </c>
      <c r="E2926" s="113" t="str">
        <f>IF(Table1722[[#This Row],[Lawan Transaksi]]="CV AGUNG KARYA",COUNTIF($I$10:I2926,"CV AGUNG KARYA")," ")</f>
        <v xml:space="preserve"> </v>
      </c>
      <c r="F2926" s="107" t="str">
        <f>IF(LEN(Table1722[[#This Row],[Uraian]])&gt;2,TRIM(RIGHT(SUBSTITUTE(TRIM(C2926)," ",REPT(" ",255)),255))," ")</f>
        <v xml:space="preserve"> </v>
      </c>
      <c r="G2926" s="110">
        <f>COPY!Z2918</f>
        <v>0</v>
      </c>
      <c r="H2926" s="111" t="str">
        <f>IFERROR(VLOOKUP(Table1722[[#This Row],[Bukti]],'Un nOTA'!$A$4:$K$5003,10,FALSE),"")</f>
        <v/>
      </c>
      <c r="I2926" s="112" t="str">
        <f>IFERROR(VLOOKUP(Table1722[[#This Row],[Bukti]],Table13[#Data],11,FALSE),"")</f>
        <v/>
      </c>
    </row>
    <row r="2927" spans="1:9" ht="19.5" hidden="1" customHeight="1" x14ac:dyDescent="0.2">
      <c r="A2927" s="105" t="str">
        <f>IF(D2927=1,COUNTIF($D$10:D2927,1)," ")</f>
        <v xml:space="preserve"> </v>
      </c>
      <c r="B2927" s="106">
        <f>COPY!AR2919</f>
        <v>0</v>
      </c>
      <c r="C2927" s="107">
        <f>COPY!AC2919</f>
        <v>0</v>
      </c>
      <c r="D2927" s="107" t="str">
        <f>IF(LEN(Table1722[[#This Row],[Uraian]])&gt;2,1," ")</f>
        <v xml:space="preserve"> </v>
      </c>
      <c r="E2927" s="113" t="str">
        <f>IF(Table1722[[#This Row],[Lawan Transaksi]]="CV AGUNG KARYA",COUNTIF($I$10:I2927,"CV AGUNG KARYA")," ")</f>
        <v xml:space="preserve"> </v>
      </c>
      <c r="F2927" s="107" t="str">
        <f>IF(LEN(Table1722[[#This Row],[Uraian]])&gt;2,TRIM(RIGHT(SUBSTITUTE(TRIM(C2927)," ",REPT(" ",255)),255))," ")</f>
        <v xml:space="preserve"> </v>
      </c>
      <c r="G2927" s="110">
        <f>COPY!Z2919</f>
        <v>0</v>
      </c>
      <c r="H2927" s="111" t="str">
        <f>IFERROR(VLOOKUP(Table1722[[#This Row],[Bukti]],'Un nOTA'!$A$4:$K$5003,10,FALSE),"")</f>
        <v/>
      </c>
      <c r="I2927" s="112" t="str">
        <f>IFERROR(VLOOKUP(Table1722[[#This Row],[Bukti]],Table13[#Data],11,FALSE),"")</f>
        <v/>
      </c>
    </row>
    <row r="2928" spans="1:9" ht="19.5" hidden="1" customHeight="1" x14ac:dyDescent="0.2">
      <c r="A2928" s="105" t="str">
        <f>IF(D2928=1,COUNTIF($D$10:D2928,1)," ")</f>
        <v xml:space="preserve"> </v>
      </c>
      <c r="B2928" s="106">
        <f>COPY!AR2920</f>
        <v>0</v>
      </c>
      <c r="C2928" s="107">
        <f>COPY!AC2920</f>
        <v>0</v>
      </c>
      <c r="D2928" s="107" t="str">
        <f>IF(LEN(Table1722[[#This Row],[Uraian]])&gt;2,1," ")</f>
        <v xml:space="preserve"> </v>
      </c>
      <c r="E2928" s="113" t="str">
        <f>IF(Table1722[[#This Row],[Lawan Transaksi]]="CV AGUNG KARYA",COUNTIF($I$10:I2928,"CV AGUNG KARYA")," ")</f>
        <v xml:space="preserve"> </v>
      </c>
      <c r="F2928" s="107" t="str">
        <f>IF(LEN(Table1722[[#This Row],[Uraian]])&gt;2,TRIM(RIGHT(SUBSTITUTE(TRIM(C2928)," ",REPT(" ",255)),255))," ")</f>
        <v xml:space="preserve"> </v>
      </c>
      <c r="G2928" s="110">
        <f>COPY!Z2920</f>
        <v>0</v>
      </c>
      <c r="H2928" s="111" t="str">
        <f>IFERROR(VLOOKUP(Table1722[[#This Row],[Bukti]],'Un nOTA'!$A$4:$K$5003,10,FALSE),"")</f>
        <v/>
      </c>
      <c r="I2928" s="112" t="str">
        <f>IFERROR(VLOOKUP(Table1722[[#This Row],[Bukti]],Table13[#Data],11,FALSE),"")</f>
        <v/>
      </c>
    </row>
    <row r="2929" spans="1:9" ht="19.5" hidden="1" customHeight="1" x14ac:dyDescent="0.2">
      <c r="A2929" s="120" t="str">
        <f>IF(D2929=1,COUNTIF($D$10:D2929,1)," ")</f>
        <v xml:space="preserve"> </v>
      </c>
      <c r="B2929" s="115">
        <f>COPY!AR2921</f>
        <v>0</v>
      </c>
      <c r="C2929" s="116">
        <f>COPY!AC2921</f>
        <v>0</v>
      </c>
      <c r="D2929" s="116" t="str">
        <f>IF(LEN(Table1722[[#This Row],[Uraian]])&gt;2,1," ")</f>
        <v xml:space="preserve"> </v>
      </c>
      <c r="E2929" s="121" t="str">
        <f>IF(Table1722[[#This Row],[Lawan Transaksi]]="CV AGUNG KARYA",COUNTIF($I$10:I2929,"CV AGUNG KARYA")," ")</f>
        <v xml:space="preserve"> </v>
      </c>
      <c r="F2929" s="116" t="str">
        <f>IF(LEN(Table1722[[#This Row],[Uraian]])&gt;2,TRIM(RIGHT(SUBSTITUTE(TRIM(C2929)," ",REPT(" ",255)),255))," ")</f>
        <v xml:space="preserve"> </v>
      </c>
      <c r="G2929" s="118">
        <f>COPY!Z2921</f>
        <v>0</v>
      </c>
      <c r="H2929" s="119" t="str">
        <f>IFERROR(VLOOKUP(Table1722[[#This Row],[Bukti]],'Un nOTA'!$A$4:$K$5003,10,FALSE),"")</f>
        <v/>
      </c>
      <c r="I2929" s="122" t="str">
        <f>IFERROR(VLOOKUP(Table1722[[#This Row],[Bukti]],Table13[#Data],11,FALSE),"")</f>
        <v/>
      </c>
    </row>
    <row r="2930" spans="1:9" hidden="1" x14ac:dyDescent="0.2">
      <c r="A2930" s="105" t="str">
        <f>IF(D2930=1,COUNTIF($D$10:D2930,1)," ")</f>
        <v xml:space="preserve"> </v>
      </c>
      <c r="B2930" s="106">
        <f>COPY!AR2922</f>
        <v>0</v>
      </c>
      <c r="C2930" s="107">
        <f>COPY!AC2922</f>
        <v>0</v>
      </c>
      <c r="D2930" s="107" t="str">
        <f>IF(LEN(Table1722[[#This Row],[Uraian]])&gt;2,1," ")</f>
        <v xml:space="preserve"> </v>
      </c>
      <c r="E2930" s="113" t="str">
        <f>IF(Table1722[[#This Row],[Lawan Transaksi]]="CV AGUNG KARYA",COUNTIF($I$10:I2930,"CV AGUNG KARYA")," ")</f>
        <v xml:space="preserve"> </v>
      </c>
      <c r="F2930" s="107" t="str">
        <f>IF(LEN(Table1722[[#This Row],[Uraian]])&gt;2,TRIM(RIGHT(SUBSTITUTE(TRIM(C2930)," ",REPT(" ",255)),255))," ")</f>
        <v xml:space="preserve"> </v>
      </c>
      <c r="G2930" s="110">
        <f>COPY!Z2922</f>
        <v>0</v>
      </c>
      <c r="H2930" s="111" t="str">
        <f>IFERROR(VLOOKUP(Table1722[[#This Row],[Bukti]],'Un nOTA'!$A$4:$K$5003,10,FALSE),"")</f>
        <v/>
      </c>
      <c r="I2930" s="123" t="str">
        <f>IFERROR(VLOOKUP(Table1722[[#This Row],[Bukti]],Table13[#Data],11,FALSE),"")</f>
        <v/>
      </c>
    </row>
    <row r="2931" spans="1:9" hidden="1" x14ac:dyDescent="0.2">
      <c r="A2931" s="105" t="str">
        <f>IF(D2931=1,COUNTIF($D$10:D2931,1)," ")</f>
        <v xml:space="preserve"> </v>
      </c>
      <c r="B2931" s="106">
        <f>COPY!AR2923</f>
        <v>0</v>
      </c>
      <c r="C2931" s="107">
        <f>COPY!AC2923</f>
        <v>0</v>
      </c>
      <c r="D2931" s="107" t="str">
        <f>IF(LEN(Table1722[[#This Row],[Uraian]])&gt;2,1," ")</f>
        <v xml:space="preserve"> </v>
      </c>
      <c r="E2931" s="113" t="str">
        <f>IF(Table1722[[#This Row],[Lawan Transaksi]]="CV AGUNG KARYA",COUNTIF($I$10:I2931,"CV AGUNG KARYA")," ")</f>
        <v xml:space="preserve"> </v>
      </c>
      <c r="F2931" s="107" t="str">
        <f>IF(LEN(Table1722[[#This Row],[Uraian]])&gt;2,TRIM(RIGHT(SUBSTITUTE(TRIM(C2931)," ",REPT(" ",255)),255))," ")</f>
        <v xml:space="preserve"> </v>
      </c>
      <c r="G2931" s="110">
        <f>COPY!Z2923</f>
        <v>0</v>
      </c>
      <c r="H2931" s="111" t="str">
        <f>IFERROR(VLOOKUP(Table1722[[#This Row],[Bukti]],'Un nOTA'!$A$4:$K$5003,10,FALSE),"")</f>
        <v/>
      </c>
      <c r="I2931" s="123" t="str">
        <f>IFERROR(VLOOKUP(Table1722[[#This Row],[Bukti]],Table13[#Data],11,FALSE),"")</f>
        <v/>
      </c>
    </row>
    <row r="2932" spans="1:9" hidden="1" x14ac:dyDescent="0.2">
      <c r="A2932" s="105" t="str">
        <f>IF(D2932=1,COUNTIF($D$10:D2932,1)," ")</f>
        <v xml:space="preserve"> </v>
      </c>
      <c r="B2932" s="106">
        <f>COPY!AR2924</f>
        <v>0</v>
      </c>
      <c r="C2932" s="107">
        <f>COPY!AC2924</f>
        <v>0</v>
      </c>
      <c r="D2932" s="107" t="str">
        <f>IF(LEN(Table1722[[#This Row],[Uraian]])&gt;2,1," ")</f>
        <v xml:space="preserve"> </v>
      </c>
      <c r="E2932" s="113" t="str">
        <f>IF(Table1722[[#This Row],[Lawan Transaksi]]="CV AGUNG KARYA",COUNTIF($I$10:I2932,"CV AGUNG KARYA")," ")</f>
        <v xml:space="preserve"> </v>
      </c>
      <c r="F2932" s="107" t="str">
        <f>IF(LEN(Table1722[[#This Row],[Uraian]])&gt;2,TRIM(RIGHT(SUBSTITUTE(TRIM(C2932)," ",REPT(" ",255)),255))," ")</f>
        <v xml:space="preserve"> </v>
      </c>
      <c r="G2932" s="110">
        <f>COPY!Z2924</f>
        <v>0</v>
      </c>
      <c r="H2932" s="111" t="str">
        <f>IFERROR(VLOOKUP(Table1722[[#This Row],[Bukti]],'Un nOTA'!$A$4:$K$5003,10,FALSE),"")</f>
        <v/>
      </c>
      <c r="I2932" s="123" t="str">
        <f>IFERROR(VLOOKUP(Table1722[[#This Row],[Bukti]],Table13[#Data],11,FALSE),"")</f>
        <v/>
      </c>
    </row>
    <row r="2933" spans="1:9" hidden="1" x14ac:dyDescent="0.2">
      <c r="A2933" s="105" t="str">
        <f>IF(D2933=1,COUNTIF($D$10:D2933,1)," ")</f>
        <v xml:space="preserve"> </v>
      </c>
      <c r="B2933" s="106">
        <f>COPY!AR2925</f>
        <v>0</v>
      </c>
      <c r="C2933" s="107">
        <f>COPY!AC2925</f>
        <v>0</v>
      </c>
      <c r="D2933" s="107" t="str">
        <f>IF(LEN(Table1722[[#This Row],[Uraian]])&gt;2,1," ")</f>
        <v xml:space="preserve"> </v>
      </c>
      <c r="E2933" s="113" t="str">
        <f>IF(Table1722[[#This Row],[Lawan Transaksi]]="CV AGUNG KARYA",COUNTIF($I$10:I2933,"CV AGUNG KARYA")," ")</f>
        <v xml:space="preserve"> </v>
      </c>
      <c r="F2933" s="107" t="str">
        <f>IF(LEN(Table1722[[#This Row],[Uraian]])&gt;2,TRIM(RIGHT(SUBSTITUTE(TRIM(C2933)," ",REPT(" ",255)),255))," ")</f>
        <v xml:space="preserve"> </v>
      </c>
      <c r="G2933" s="110">
        <f>COPY!Z2925</f>
        <v>0</v>
      </c>
      <c r="H2933" s="111" t="str">
        <f>IFERROR(VLOOKUP(Table1722[[#This Row],[Bukti]],'Un nOTA'!$A$4:$K$5003,10,FALSE),"")</f>
        <v/>
      </c>
      <c r="I2933" s="123" t="str">
        <f>IFERROR(VLOOKUP(Table1722[[#This Row],[Bukti]],Table13[#Data],11,FALSE),"")</f>
        <v/>
      </c>
    </row>
    <row r="2934" spans="1:9" hidden="1" x14ac:dyDescent="0.2">
      <c r="A2934" s="105" t="str">
        <f>IF(D2934=1,COUNTIF($D$10:D2934,1)," ")</f>
        <v xml:space="preserve"> </v>
      </c>
      <c r="B2934" s="106">
        <f>COPY!AR2926</f>
        <v>0</v>
      </c>
      <c r="C2934" s="107">
        <f>COPY!AC2926</f>
        <v>0</v>
      </c>
      <c r="D2934" s="107" t="str">
        <f>IF(LEN(Table1722[[#This Row],[Uraian]])&gt;2,1," ")</f>
        <v xml:space="preserve"> </v>
      </c>
      <c r="E2934" s="113" t="str">
        <f>IF(Table1722[[#This Row],[Lawan Transaksi]]="CV AGUNG KARYA",COUNTIF($I$10:I2934,"CV AGUNG KARYA")," ")</f>
        <v xml:space="preserve"> </v>
      </c>
      <c r="F2934" s="107" t="str">
        <f>IF(LEN(Table1722[[#This Row],[Uraian]])&gt;2,TRIM(RIGHT(SUBSTITUTE(TRIM(C2934)," ",REPT(" ",255)),255))," ")</f>
        <v xml:space="preserve"> </v>
      </c>
      <c r="G2934" s="110">
        <f>COPY!Z2926</f>
        <v>0</v>
      </c>
      <c r="H2934" s="111" t="str">
        <f>IFERROR(VLOOKUP(Table1722[[#This Row],[Bukti]],'Un nOTA'!$A$4:$K$5003,10,FALSE),"")</f>
        <v/>
      </c>
      <c r="I2934" s="123" t="str">
        <f>IFERROR(VLOOKUP(Table1722[[#This Row],[Bukti]],Table13[#Data],11,FALSE),"")</f>
        <v/>
      </c>
    </row>
    <row r="2935" spans="1:9" hidden="1" x14ac:dyDescent="0.2">
      <c r="A2935" s="105" t="str">
        <f>IF(D2935=1,COUNTIF($D$10:D2935,1)," ")</f>
        <v xml:space="preserve"> </v>
      </c>
      <c r="B2935" s="106">
        <f>COPY!AR2927</f>
        <v>0</v>
      </c>
      <c r="C2935" s="107">
        <f>COPY!AC2927</f>
        <v>0</v>
      </c>
      <c r="D2935" s="107" t="str">
        <f>IF(LEN(Table1722[[#This Row],[Uraian]])&gt;2,1," ")</f>
        <v xml:space="preserve"> </v>
      </c>
      <c r="E2935" s="113" t="str">
        <f>IF(Table1722[[#This Row],[Lawan Transaksi]]="CV AGUNG KARYA",COUNTIF($I$10:I2935,"CV AGUNG KARYA")," ")</f>
        <v xml:space="preserve"> </v>
      </c>
      <c r="F2935" s="107" t="str">
        <f>IF(LEN(Table1722[[#This Row],[Uraian]])&gt;2,TRIM(RIGHT(SUBSTITUTE(TRIM(C2935)," ",REPT(" ",255)),255))," ")</f>
        <v xml:space="preserve"> </v>
      </c>
      <c r="G2935" s="110">
        <f>COPY!Z2927</f>
        <v>0</v>
      </c>
      <c r="H2935" s="111" t="str">
        <f>IFERROR(VLOOKUP(Table1722[[#This Row],[Bukti]],'Un nOTA'!$A$4:$K$5003,10,FALSE),"")</f>
        <v/>
      </c>
      <c r="I2935" s="123" t="str">
        <f>IFERROR(VLOOKUP(Table1722[[#This Row],[Bukti]],Table13[#Data],11,FALSE),"")</f>
        <v/>
      </c>
    </row>
    <row r="2936" spans="1:9" hidden="1" x14ac:dyDescent="0.2">
      <c r="A2936" s="105" t="str">
        <f>IF(D2936=1,COUNTIF($D$10:D2936,1)," ")</f>
        <v xml:space="preserve"> </v>
      </c>
      <c r="B2936" s="106">
        <f>COPY!AR2928</f>
        <v>0</v>
      </c>
      <c r="C2936" s="107">
        <f>COPY!AC2928</f>
        <v>0</v>
      </c>
      <c r="D2936" s="107" t="str">
        <f>IF(LEN(Table1722[[#This Row],[Uraian]])&gt;2,1," ")</f>
        <v xml:space="preserve"> </v>
      </c>
      <c r="E2936" s="113" t="str">
        <f>IF(Table1722[[#This Row],[Lawan Transaksi]]="CV AGUNG KARYA",COUNTIF($I$10:I2936,"CV AGUNG KARYA")," ")</f>
        <v xml:space="preserve"> </v>
      </c>
      <c r="F2936" s="107" t="str">
        <f>IF(LEN(Table1722[[#This Row],[Uraian]])&gt;2,TRIM(RIGHT(SUBSTITUTE(TRIM(C2936)," ",REPT(" ",255)),255))," ")</f>
        <v xml:space="preserve"> </v>
      </c>
      <c r="G2936" s="110">
        <f>COPY!Z2928</f>
        <v>0</v>
      </c>
      <c r="H2936" s="111" t="str">
        <f>IFERROR(VLOOKUP(Table1722[[#This Row],[Bukti]],'Un nOTA'!$A$4:$K$5003,10,FALSE),"")</f>
        <v/>
      </c>
      <c r="I2936" s="123" t="str">
        <f>IFERROR(VLOOKUP(Table1722[[#This Row],[Bukti]],Table13[#Data],11,FALSE),"")</f>
        <v/>
      </c>
    </row>
    <row r="2937" spans="1:9" hidden="1" x14ac:dyDescent="0.2">
      <c r="A2937" s="105" t="str">
        <f>IF(D2937=1,COUNTIF($D$10:D2937,1)," ")</f>
        <v xml:space="preserve"> </v>
      </c>
      <c r="B2937" s="106">
        <f>COPY!AR2929</f>
        <v>0</v>
      </c>
      <c r="C2937" s="107">
        <f>COPY!AC2929</f>
        <v>0</v>
      </c>
      <c r="D2937" s="107" t="str">
        <f>IF(LEN(Table1722[[#This Row],[Uraian]])&gt;2,1," ")</f>
        <v xml:space="preserve"> </v>
      </c>
      <c r="E2937" s="113" t="str">
        <f>IF(Table1722[[#This Row],[Lawan Transaksi]]="CV AGUNG KARYA",COUNTIF($I$10:I2937,"CV AGUNG KARYA")," ")</f>
        <v xml:space="preserve"> </v>
      </c>
      <c r="F2937" s="107" t="str">
        <f>IF(LEN(Table1722[[#This Row],[Uraian]])&gt;2,TRIM(RIGHT(SUBSTITUTE(TRIM(C2937)," ",REPT(" ",255)),255))," ")</f>
        <v xml:space="preserve"> </v>
      </c>
      <c r="G2937" s="124">
        <f>COPY!Z2929</f>
        <v>0</v>
      </c>
      <c r="H2937" s="125" t="str">
        <f>IFERROR(VLOOKUP(Table1722[[#This Row],[Bukti]],'Un nOTA'!$A$4:$K$5003,10,FALSE),"")</f>
        <v/>
      </c>
      <c r="I2937" s="123" t="str">
        <f>IFERROR(VLOOKUP(Table1722[[#This Row],[Bukti]],Table13[#Data],11,FALSE),"")</f>
        <v/>
      </c>
    </row>
    <row r="2938" spans="1:9" hidden="1" x14ac:dyDescent="0.2">
      <c r="A2938" s="105" t="str">
        <f>IF(D2938=1,COUNTIF($D$10:D2938,1)," ")</f>
        <v xml:space="preserve"> </v>
      </c>
      <c r="B2938" s="106">
        <f>COPY!AR2930</f>
        <v>0</v>
      </c>
      <c r="C2938" s="107">
        <f>COPY!AC2930</f>
        <v>0</v>
      </c>
      <c r="D2938" s="107" t="str">
        <f>IF(LEN(Table1722[[#This Row],[Uraian]])&gt;2,1," ")</f>
        <v xml:space="preserve"> </v>
      </c>
      <c r="E2938" s="113" t="str">
        <f>IF(Table1722[[#This Row],[Lawan Transaksi]]="CV AGUNG KARYA",COUNTIF($I$10:I2938,"CV AGUNG KARYA")," ")</f>
        <v xml:space="preserve"> </v>
      </c>
      <c r="F2938" s="107" t="str">
        <f>IF(LEN(Table1722[[#This Row],[Uraian]])&gt;2,TRIM(RIGHT(SUBSTITUTE(TRIM(C2938)," ",REPT(" ",255)),255))," ")</f>
        <v xml:space="preserve"> </v>
      </c>
      <c r="G2938" s="124">
        <f>COPY!Z2930</f>
        <v>0</v>
      </c>
      <c r="H2938" s="125" t="str">
        <f>IFERROR(VLOOKUP(Table1722[[#This Row],[Bukti]],'Un nOTA'!$A$4:$K$5003,10,FALSE),"")</f>
        <v/>
      </c>
      <c r="I2938" s="123" t="str">
        <f>IFERROR(VLOOKUP(Table1722[[#This Row],[Bukti]],Table13[#Data],11,FALSE),"")</f>
        <v/>
      </c>
    </row>
    <row r="2939" spans="1:9" hidden="1" x14ac:dyDescent="0.2">
      <c r="A2939" s="105" t="str">
        <f>IF(D2939=1,COUNTIF($D$10:D2939,1)," ")</f>
        <v xml:space="preserve"> </v>
      </c>
      <c r="B2939" s="106">
        <f>COPY!AR2931</f>
        <v>0</v>
      </c>
      <c r="C2939" s="107">
        <f>COPY!AC2931</f>
        <v>0</v>
      </c>
      <c r="D2939" s="107" t="str">
        <f>IF(LEN(Table1722[[#This Row],[Uraian]])&gt;2,1," ")</f>
        <v xml:space="preserve"> </v>
      </c>
      <c r="E2939" s="113" t="str">
        <f>IF(Table1722[[#This Row],[Lawan Transaksi]]="CV AGUNG KARYA",COUNTIF($I$10:I2939,"CV AGUNG KARYA")," ")</f>
        <v xml:space="preserve"> </v>
      </c>
      <c r="F2939" s="107" t="str">
        <f>IF(LEN(Table1722[[#This Row],[Uraian]])&gt;2,TRIM(RIGHT(SUBSTITUTE(TRIM(C2939)," ",REPT(" ",255)),255))," ")</f>
        <v xml:space="preserve"> </v>
      </c>
      <c r="G2939" s="124">
        <f>COPY!Z2931</f>
        <v>0</v>
      </c>
      <c r="H2939" s="125" t="str">
        <f>IFERROR(VLOOKUP(Table1722[[#This Row],[Bukti]],'Un nOTA'!$A$4:$K$5003,10,FALSE),"")</f>
        <v/>
      </c>
      <c r="I2939" s="123" t="str">
        <f>IFERROR(VLOOKUP(Table1722[[#This Row],[Bukti]],Table13[#Data],11,FALSE),"")</f>
        <v/>
      </c>
    </row>
    <row r="2940" spans="1:9" hidden="1" x14ac:dyDescent="0.2">
      <c r="A2940" s="105" t="str">
        <f>IF(D2940=1,COUNTIF($D$10:D2940,1)," ")</f>
        <v xml:space="preserve"> </v>
      </c>
      <c r="B2940" s="106">
        <f>COPY!AR2932</f>
        <v>0</v>
      </c>
      <c r="C2940" s="107">
        <f>COPY!AC2932</f>
        <v>0</v>
      </c>
      <c r="D2940" s="107" t="str">
        <f>IF(LEN(Table1722[[#This Row],[Uraian]])&gt;2,1," ")</f>
        <v xml:space="preserve"> </v>
      </c>
      <c r="E2940" s="113" t="str">
        <f>IF(Table1722[[#This Row],[Lawan Transaksi]]="CV AGUNG KARYA",COUNTIF($I$10:I2940,"CV AGUNG KARYA")," ")</f>
        <v xml:space="preserve"> </v>
      </c>
      <c r="F2940" s="107" t="str">
        <f>IF(LEN(Table1722[[#This Row],[Uraian]])&gt;2,TRIM(RIGHT(SUBSTITUTE(TRIM(C2940)," ",REPT(" ",255)),255))," ")</f>
        <v xml:space="preserve"> </v>
      </c>
      <c r="G2940" s="124">
        <f>COPY!Z2932</f>
        <v>0</v>
      </c>
      <c r="H2940" s="125" t="str">
        <f>IFERROR(VLOOKUP(Table1722[[#This Row],[Bukti]],'Un nOTA'!$A$4:$K$5003,10,FALSE),"")</f>
        <v/>
      </c>
      <c r="I2940" s="123" t="str">
        <f>IFERROR(VLOOKUP(Table1722[[#This Row],[Bukti]],Table13[#Data],11,FALSE),"")</f>
        <v/>
      </c>
    </row>
    <row r="2941" spans="1:9" hidden="1" x14ac:dyDescent="0.2">
      <c r="A2941" s="105" t="str">
        <f>IF(D2941=1,COUNTIF($D$10:D2941,1)," ")</f>
        <v xml:space="preserve"> </v>
      </c>
      <c r="B2941" s="106">
        <f>COPY!AR2933</f>
        <v>0</v>
      </c>
      <c r="C2941" s="107">
        <f>COPY!AC2933</f>
        <v>0</v>
      </c>
      <c r="D2941" s="107" t="str">
        <f>IF(LEN(Table1722[[#This Row],[Uraian]])&gt;2,1," ")</f>
        <v xml:space="preserve"> </v>
      </c>
      <c r="E2941" s="113" t="str">
        <f>IF(Table1722[[#This Row],[Lawan Transaksi]]="CV AGUNG KARYA",COUNTIF($I$10:I2941,"CV AGUNG KARYA")," ")</f>
        <v xml:space="preserve"> </v>
      </c>
      <c r="F2941" s="107" t="str">
        <f>IF(LEN(Table1722[[#This Row],[Uraian]])&gt;2,TRIM(RIGHT(SUBSTITUTE(TRIM(C2941)," ",REPT(" ",255)),255))," ")</f>
        <v xml:space="preserve"> </v>
      </c>
      <c r="G2941" s="124">
        <f>COPY!Z2933</f>
        <v>0</v>
      </c>
      <c r="H2941" s="125" t="str">
        <f>IFERROR(VLOOKUP(Table1722[[#This Row],[Bukti]],'Un nOTA'!$A$4:$K$5003,10,FALSE),"")</f>
        <v/>
      </c>
      <c r="I2941" s="123" t="str">
        <f>IFERROR(VLOOKUP(Table1722[[#This Row],[Bukti]],Table13[#Data],11,FALSE),"")</f>
        <v/>
      </c>
    </row>
    <row r="2942" spans="1:9" hidden="1" x14ac:dyDescent="0.2">
      <c r="A2942" s="105" t="str">
        <f>IF(D2942=1,COUNTIF($D$10:D2942,1)," ")</f>
        <v xml:space="preserve"> </v>
      </c>
      <c r="B2942" s="106">
        <f>COPY!AR2934</f>
        <v>0</v>
      </c>
      <c r="C2942" s="107">
        <f>COPY!AC2934</f>
        <v>0</v>
      </c>
      <c r="D2942" s="107" t="str">
        <f>IF(LEN(Table1722[[#This Row],[Uraian]])&gt;2,1," ")</f>
        <v xml:space="preserve"> </v>
      </c>
      <c r="E2942" s="113" t="str">
        <f>IF(Table1722[[#This Row],[Lawan Transaksi]]="CV AGUNG KARYA",COUNTIF($I$10:I2942,"CV AGUNG KARYA")," ")</f>
        <v xml:space="preserve"> </v>
      </c>
      <c r="F2942" s="107" t="str">
        <f>IF(LEN(Table1722[[#This Row],[Uraian]])&gt;2,TRIM(RIGHT(SUBSTITUTE(TRIM(C2942)," ",REPT(" ",255)),255))," ")</f>
        <v xml:space="preserve"> </v>
      </c>
      <c r="G2942" s="124">
        <f>COPY!Z2934</f>
        <v>0</v>
      </c>
      <c r="H2942" s="125" t="str">
        <f>IFERROR(VLOOKUP(Table1722[[#This Row],[Bukti]],'Un nOTA'!$A$4:$K$5003,10,FALSE),"")</f>
        <v/>
      </c>
      <c r="I2942" s="123" t="str">
        <f>IFERROR(VLOOKUP(Table1722[[#This Row],[Bukti]],Table13[#Data],11,FALSE),"")</f>
        <v/>
      </c>
    </row>
    <row r="2943" spans="1:9" hidden="1" x14ac:dyDescent="0.2">
      <c r="A2943" s="105" t="str">
        <f>IF(D2943=1,COUNTIF($D$10:D2943,1)," ")</f>
        <v xml:space="preserve"> </v>
      </c>
      <c r="B2943" s="106">
        <f>COPY!AR2935</f>
        <v>0</v>
      </c>
      <c r="C2943" s="107">
        <f>COPY!AC2935</f>
        <v>0</v>
      </c>
      <c r="D2943" s="107" t="str">
        <f>IF(LEN(Table1722[[#This Row],[Uraian]])&gt;2,1," ")</f>
        <v xml:space="preserve"> </v>
      </c>
      <c r="E2943" s="113" t="str">
        <f>IF(Table1722[[#This Row],[Lawan Transaksi]]="CV AGUNG KARYA",COUNTIF($I$10:I2943,"CV AGUNG KARYA")," ")</f>
        <v xml:space="preserve"> </v>
      </c>
      <c r="F2943" s="107" t="str">
        <f>IF(LEN(Table1722[[#This Row],[Uraian]])&gt;2,TRIM(RIGHT(SUBSTITUTE(TRIM(C2943)," ",REPT(" ",255)),255))," ")</f>
        <v xml:space="preserve"> </v>
      </c>
      <c r="G2943" s="124">
        <f>COPY!Z2935</f>
        <v>0</v>
      </c>
      <c r="H2943" s="125" t="str">
        <f>IFERROR(VLOOKUP(Table1722[[#This Row],[Bukti]],'Un nOTA'!$A$4:$K$5003,10,FALSE),"")</f>
        <v/>
      </c>
      <c r="I2943" s="123" t="str">
        <f>IFERROR(VLOOKUP(Table1722[[#This Row],[Bukti]],Table13[#Data],11,FALSE),"")</f>
        <v/>
      </c>
    </row>
    <row r="2944" spans="1:9" hidden="1" x14ac:dyDescent="0.2">
      <c r="A2944" s="105" t="str">
        <f>IF(D2944=1,COUNTIF($D$10:D2944,1)," ")</f>
        <v xml:space="preserve"> </v>
      </c>
      <c r="B2944" s="106">
        <f>COPY!AR2936</f>
        <v>0</v>
      </c>
      <c r="C2944" s="107">
        <f>COPY!AC2936</f>
        <v>0</v>
      </c>
      <c r="D2944" s="107" t="str">
        <f>IF(LEN(Table1722[[#This Row],[Uraian]])&gt;2,1," ")</f>
        <v xml:space="preserve"> </v>
      </c>
      <c r="E2944" s="113" t="str">
        <f>IF(Table1722[[#This Row],[Lawan Transaksi]]="CV AGUNG KARYA",COUNTIF($I$10:I2944,"CV AGUNG KARYA")," ")</f>
        <v xml:space="preserve"> </v>
      </c>
      <c r="F2944" s="107" t="str">
        <f>IF(LEN(Table1722[[#This Row],[Uraian]])&gt;2,TRIM(RIGHT(SUBSTITUTE(TRIM(C2944)," ",REPT(" ",255)),255))," ")</f>
        <v xml:space="preserve"> </v>
      </c>
      <c r="G2944" s="124">
        <f>COPY!Z2936</f>
        <v>0</v>
      </c>
      <c r="H2944" s="125" t="str">
        <f>IFERROR(VLOOKUP(Table1722[[#This Row],[Bukti]],'Un nOTA'!$A$4:$K$5003,10,FALSE),"")</f>
        <v/>
      </c>
      <c r="I2944" s="123" t="str">
        <f>IFERROR(VLOOKUP(Table1722[[#This Row],[Bukti]],Table13[#Data],11,FALSE),"")</f>
        <v/>
      </c>
    </row>
    <row r="2945" spans="1:9" hidden="1" x14ac:dyDescent="0.2">
      <c r="A2945" s="105" t="str">
        <f>IF(D2945=1,COUNTIF($D$10:D2945,1)," ")</f>
        <v xml:space="preserve"> </v>
      </c>
      <c r="B2945" s="106">
        <f>COPY!AR2937</f>
        <v>0</v>
      </c>
      <c r="C2945" s="107">
        <f>COPY!AC2937</f>
        <v>0</v>
      </c>
      <c r="D2945" s="107" t="str">
        <f>IF(LEN(Table1722[[#This Row],[Uraian]])&gt;2,1," ")</f>
        <v xml:space="preserve"> </v>
      </c>
      <c r="E2945" s="113" t="str">
        <f>IF(Table1722[[#This Row],[Lawan Transaksi]]="CV AGUNG KARYA",COUNTIF($I$10:I2945,"CV AGUNG KARYA")," ")</f>
        <v xml:space="preserve"> </v>
      </c>
      <c r="F2945" s="107" t="str">
        <f>IF(LEN(Table1722[[#This Row],[Uraian]])&gt;2,TRIM(RIGHT(SUBSTITUTE(TRIM(C2945)," ",REPT(" ",255)),255))," ")</f>
        <v xml:space="preserve"> </v>
      </c>
      <c r="G2945" s="124">
        <f>COPY!Z2937</f>
        <v>0</v>
      </c>
      <c r="H2945" s="125" t="str">
        <f>IFERROR(VLOOKUP(Table1722[[#This Row],[Bukti]],'Un nOTA'!$A$4:$K$5003,10,FALSE),"")</f>
        <v/>
      </c>
      <c r="I2945" s="123" t="str">
        <f>IFERROR(VLOOKUP(Table1722[[#This Row],[Bukti]],Table13[#Data],11,FALSE),"")</f>
        <v/>
      </c>
    </row>
    <row r="2946" spans="1:9" hidden="1" x14ac:dyDescent="0.2">
      <c r="A2946" s="105" t="str">
        <f>IF(D2946=1,COUNTIF($D$10:D2946,1)," ")</f>
        <v xml:space="preserve"> </v>
      </c>
      <c r="B2946" s="106">
        <f>COPY!AR2938</f>
        <v>0</v>
      </c>
      <c r="C2946" s="107">
        <f>COPY!AC2938</f>
        <v>0</v>
      </c>
      <c r="D2946" s="107" t="str">
        <f>IF(LEN(Table1722[[#This Row],[Uraian]])&gt;2,1," ")</f>
        <v xml:space="preserve"> </v>
      </c>
      <c r="E2946" s="113" t="str">
        <f>IF(Table1722[[#This Row],[Lawan Transaksi]]="CV AGUNG KARYA",COUNTIF($I$10:I2946,"CV AGUNG KARYA")," ")</f>
        <v xml:space="preserve"> </v>
      </c>
      <c r="F2946" s="107" t="str">
        <f>IF(LEN(Table1722[[#This Row],[Uraian]])&gt;2,TRIM(RIGHT(SUBSTITUTE(TRIM(C2946)," ",REPT(" ",255)),255))," ")</f>
        <v xml:space="preserve"> </v>
      </c>
      <c r="G2946" s="124">
        <f>COPY!Z2938</f>
        <v>0</v>
      </c>
      <c r="H2946" s="125" t="str">
        <f>IFERROR(VLOOKUP(Table1722[[#This Row],[Bukti]],'Un nOTA'!$A$4:$K$5003,10,FALSE),"")</f>
        <v/>
      </c>
      <c r="I2946" s="123" t="str">
        <f>IFERROR(VLOOKUP(Table1722[[#This Row],[Bukti]],Table13[#Data],11,FALSE),"")</f>
        <v/>
      </c>
    </row>
    <row r="2947" spans="1:9" hidden="1" x14ac:dyDescent="0.2">
      <c r="A2947" s="105" t="str">
        <f>IF(D2947=1,COUNTIF($D$10:D2947,1)," ")</f>
        <v xml:space="preserve"> </v>
      </c>
      <c r="B2947" s="106">
        <f>COPY!AR2939</f>
        <v>0</v>
      </c>
      <c r="C2947" s="107">
        <f>COPY!AC2939</f>
        <v>0</v>
      </c>
      <c r="D2947" s="107" t="str">
        <f>IF(LEN(Table1722[[#This Row],[Uraian]])&gt;2,1," ")</f>
        <v xml:space="preserve"> </v>
      </c>
      <c r="E2947" s="113" t="str">
        <f>IF(Table1722[[#This Row],[Lawan Transaksi]]="CV AGUNG KARYA",COUNTIF($I$10:I2947,"CV AGUNG KARYA")," ")</f>
        <v xml:space="preserve"> </v>
      </c>
      <c r="F2947" s="107" t="str">
        <f>IF(LEN(Table1722[[#This Row],[Uraian]])&gt;2,TRIM(RIGHT(SUBSTITUTE(TRIM(C2947)," ",REPT(" ",255)),255))," ")</f>
        <v xml:space="preserve"> </v>
      </c>
      <c r="G2947" s="124">
        <f>COPY!Z2939</f>
        <v>0</v>
      </c>
      <c r="H2947" s="125" t="str">
        <f>IFERROR(VLOOKUP(Table1722[[#This Row],[Bukti]],'Un nOTA'!$A$4:$K$5003,10,FALSE),"")</f>
        <v/>
      </c>
      <c r="I2947" s="123" t="str">
        <f>IFERROR(VLOOKUP(Table1722[[#This Row],[Bukti]],Table13[#Data],11,FALSE),"")</f>
        <v/>
      </c>
    </row>
    <row r="2948" spans="1:9" hidden="1" x14ac:dyDescent="0.2">
      <c r="A2948" s="105" t="str">
        <f>IF(D2948=1,COUNTIF($D$10:D2948,1)," ")</f>
        <v xml:space="preserve"> </v>
      </c>
      <c r="B2948" s="106">
        <f>COPY!AR2940</f>
        <v>0</v>
      </c>
      <c r="C2948" s="107">
        <f>COPY!AC2940</f>
        <v>0</v>
      </c>
      <c r="D2948" s="107" t="str">
        <f>IF(LEN(Table1722[[#This Row],[Uraian]])&gt;2,1," ")</f>
        <v xml:space="preserve"> </v>
      </c>
      <c r="E2948" s="113" t="str">
        <f>IF(Table1722[[#This Row],[Lawan Transaksi]]="CV AGUNG KARYA",COUNTIF($I$10:I2948,"CV AGUNG KARYA")," ")</f>
        <v xml:space="preserve"> </v>
      </c>
      <c r="F2948" s="107" t="str">
        <f>IF(LEN(Table1722[[#This Row],[Uraian]])&gt;2,TRIM(RIGHT(SUBSTITUTE(TRIM(C2948)," ",REPT(" ",255)),255))," ")</f>
        <v xml:space="preserve"> </v>
      </c>
      <c r="G2948" s="124">
        <f>COPY!Z2940</f>
        <v>0</v>
      </c>
      <c r="H2948" s="125" t="str">
        <f>IFERROR(VLOOKUP(Table1722[[#This Row],[Bukti]],'Un nOTA'!$A$4:$K$5003,10,FALSE),"")</f>
        <v/>
      </c>
      <c r="I2948" s="123" t="str">
        <f>IFERROR(VLOOKUP(Table1722[[#This Row],[Bukti]],Table13[#Data],11,FALSE),"")</f>
        <v/>
      </c>
    </row>
    <row r="2949" spans="1:9" hidden="1" x14ac:dyDescent="0.2">
      <c r="A2949" s="105" t="str">
        <f>IF(D2949=1,COUNTIF($D$10:D2949,1)," ")</f>
        <v xml:space="preserve"> </v>
      </c>
      <c r="B2949" s="106">
        <f>COPY!AR2941</f>
        <v>0</v>
      </c>
      <c r="C2949" s="107">
        <f>COPY!AC2941</f>
        <v>0</v>
      </c>
      <c r="D2949" s="107" t="str">
        <f>IF(LEN(Table1722[[#This Row],[Uraian]])&gt;2,1," ")</f>
        <v xml:space="preserve"> </v>
      </c>
      <c r="E2949" s="113" t="str">
        <f>IF(Table1722[[#This Row],[Lawan Transaksi]]="CV AGUNG KARYA",COUNTIF($I$10:I2949,"CV AGUNG KARYA")," ")</f>
        <v xml:space="preserve"> </v>
      </c>
      <c r="F2949" s="107" t="str">
        <f>IF(LEN(Table1722[[#This Row],[Uraian]])&gt;2,TRIM(RIGHT(SUBSTITUTE(TRIM(C2949)," ",REPT(" ",255)),255))," ")</f>
        <v xml:space="preserve"> </v>
      </c>
      <c r="G2949" s="124">
        <f>COPY!Z2941</f>
        <v>0</v>
      </c>
      <c r="H2949" s="125" t="str">
        <f>IFERROR(VLOOKUP(Table1722[[#This Row],[Bukti]],'Un nOTA'!$A$4:$K$5003,10,FALSE),"")</f>
        <v/>
      </c>
      <c r="I2949" s="123" t="str">
        <f>IFERROR(VLOOKUP(Table1722[[#This Row],[Bukti]],Table13[#Data],11,FALSE),"")</f>
        <v/>
      </c>
    </row>
    <row r="2950" spans="1:9" hidden="1" x14ac:dyDescent="0.2">
      <c r="A2950" s="105" t="str">
        <f>IF(D2950=1,COUNTIF($D$10:D2950,1)," ")</f>
        <v xml:space="preserve"> </v>
      </c>
      <c r="B2950" s="106">
        <f>COPY!AR2942</f>
        <v>0</v>
      </c>
      <c r="C2950" s="107">
        <f>COPY!AC2942</f>
        <v>0</v>
      </c>
      <c r="D2950" s="107" t="str">
        <f>IF(LEN(Table1722[[#This Row],[Uraian]])&gt;2,1," ")</f>
        <v xml:space="preserve"> </v>
      </c>
      <c r="E2950" s="113" t="str">
        <f>IF(Table1722[[#This Row],[Lawan Transaksi]]="CV AGUNG KARYA",COUNTIF($I$10:I2950,"CV AGUNG KARYA")," ")</f>
        <v xml:space="preserve"> </v>
      </c>
      <c r="F2950" s="107" t="str">
        <f>IF(LEN(Table1722[[#This Row],[Uraian]])&gt;2,TRIM(RIGHT(SUBSTITUTE(TRIM(C2950)," ",REPT(" ",255)),255))," ")</f>
        <v xml:space="preserve"> </v>
      </c>
      <c r="G2950" s="124">
        <f>COPY!Z2942</f>
        <v>0</v>
      </c>
      <c r="H2950" s="125" t="str">
        <f>IFERROR(VLOOKUP(Table1722[[#This Row],[Bukti]],'Un nOTA'!$A$4:$K$5003,10,FALSE),"")</f>
        <v/>
      </c>
      <c r="I2950" s="123" t="str">
        <f>IFERROR(VLOOKUP(Table1722[[#This Row],[Bukti]],Table13[#Data],11,FALSE),"")</f>
        <v/>
      </c>
    </row>
    <row r="2951" spans="1:9" hidden="1" x14ac:dyDescent="0.2">
      <c r="A2951" s="105" t="str">
        <f>IF(D2951=1,COUNTIF($D$10:D2951,1)," ")</f>
        <v xml:space="preserve"> </v>
      </c>
      <c r="B2951" s="106">
        <f>COPY!AR2943</f>
        <v>0</v>
      </c>
      <c r="C2951" s="107">
        <f>COPY!AC2943</f>
        <v>0</v>
      </c>
      <c r="D2951" s="107" t="str">
        <f>IF(LEN(Table1722[[#This Row],[Uraian]])&gt;2,1," ")</f>
        <v xml:space="preserve"> </v>
      </c>
      <c r="E2951" s="113" t="str">
        <f>IF(Table1722[[#This Row],[Lawan Transaksi]]="CV AGUNG KARYA",COUNTIF($I$10:I2951,"CV AGUNG KARYA")," ")</f>
        <v xml:space="preserve"> </v>
      </c>
      <c r="F2951" s="107" t="str">
        <f>IF(LEN(Table1722[[#This Row],[Uraian]])&gt;2,TRIM(RIGHT(SUBSTITUTE(TRIM(C2951)," ",REPT(" ",255)),255))," ")</f>
        <v xml:space="preserve"> </v>
      </c>
      <c r="G2951" s="124">
        <f>COPY!Z2943</f>
        <v>0</v>
      </c>
      <c r="H2951" s="125" t="str">
        <f>IFERROR(VLOOKUP(Table1722[[#This Row],[Bukti]],'Un nOTA'!$A$4:$K$5003,10,FALSE),"")</f>
        <v/>
      </c>
      <c r="I2951" s="123" t="str">
        <f>IFERROR(VLOOKUP(Table1722[[#This Row],[Bukti]],Table13[#Data],11,FALSE),"")</f>
        <v/>
      </c>
    </row>
    <row r="2952" spans="1:9" hidden="1" x14ac:dyDescent="0.2">
      <c r="A2952" s="105" t="str">
        <f>IF(D2952=1,COUNTIF($D$10:D2952,1)," ")</f>
        <v xml:space="preserve"> </v>
      </c>
      <c r="B2952" s="106">
        <f>COPY!AR2944</f>
        <v>0</v>
      </c>
      <c r="C2952" s="107">
        <f>COPY!AC2944</f>
        <v>0</v>
      </c>
      <c r="D2952" s="107" t="str">
        <f>IF(LEN(Table1722[[#This Row],[Uraian]])&gt;2,1," ")</f>
        <v xml:space="preserve"> </v>
      </c>
      <c r="E2952" s="113" t="str">
        <f>IF(Table1722[[#This Row],[Lawan Transaksi]]="CV AGUNG KARYA",COUNTIF($I$10:I2952,"CV AGUNG KARYA")," ")</f>
        <v xml:space="preserve"> </v>
      </c>
      <c r="F2952" s="107" t="str">
        <f>IF(LEN(Table1722[[#This Row],[Uraian]])&gt;2,TRIM(RIGHT(SUBSTITUTE(TRIM(C2952)," ",REPT(" ",255)),255))," ")</f>
        <v xml:space="preserve"> </v>
      </c>
      <c r="G2952" s="124">
        <f>COPY!Z2944</f>
        <v>0</v>
      </c>
      <c r="H2952" s="125" t="str">
        <f>IFERROR(VLOOKUP(Table1722[[#This Row],[Bukti]],'Un nOTA'!$A$4:$K$5003,10,FALSE),"")</f>
        <v/>
      </c>
      <c r="I2952" s="123" t="str">
        <f>IFERROR(VLOOKUP(Table1722[[#This Row],[Bukti]],Table13[#Data],11,FALSE),"")</f>
        <v/>
      </c>
    </row>
    <row r="2953" spans="1:9" hidden="1" x14ac:dyDescent="0.2">
      <c r="A2953" s="105" t="str">
        <f>IF(D2953=1,COUNTIF($D$10:D2953,1)," ")</f>
        <v xml:space="preserve"> </v>
      </c>
      <c r="B2953" s="106">
        <f>COPY!AR2945</f>
        <v>0</v>
      </c>
      <c r="C2953" s="107">
        <f>COPY!AC2945</f>
        <v>0</v>
      </c>
      <c r="D2953" s="107" t="str">
        <f>IF(LEN(Table1722[[#This Row],[Uraian]])&gt;2,1," ")</f>
        <v xml:space="preserve"> </v>
      </c>
      <c r="E2953" s="113" t="str">
        <f>IF(Table1722[[#This Row],[Lawan Transaksi]]="CV AGUNG KARYA",COUNTIF($I$10:I2953,"CV AGUNG KARYA")," ")</f>
        <v xml:space="preserve"> </v>
      </c>
      <c r="F2953" s="107" t="str">
        <f>IF(LEN(Table1722[[#This Row],[Uraian]])&gt;2,TRIM(RIGHT(SUBSTITUTE(TRIM(C2953)," ",REPT(" ",255)),255))," ")</f>
        <v xml:space="preserve"> </v>
      </c>
      <c r="G2953" s="124">
        <f>COPY!Z2945</f>
        <v>0</v>
      </c>
      <c r="H2953" s="125" t="str">
        <f>IFERROR(VLOOKUP(Table1722[[#This Row],[Bukti]],'Un nOTA'!$A$4:$K$5003,10,FALSE),"")</f>
        <v/>
      </c>
      <c r="I2953" s="123" t="str">
        <f>IFERROR(VLOOKUP(Table1722[[#This Row],[Bukti]],Table13[#Data],11,FALSE),"")</f>
        <v/>
      </c>
    </row>
    <row r="2954" spans="1:9" hidden="1" x14ac:dyDescent="0.2">
      <c r="A2954" s="105" t="str">
        <f>IF(D2954=1,COUNTIF($D$10:D2954,1)," ")</f>
        <v xml:space="preserve"> </v>
      </c>
      <c r="B2954" s="106">
        <f>COPY!AR2946</f>
        <v>0</v>
      </c>
      <c r="C2954" s="107">
        <f>COPY!AC2946</f>
        <v>0</v>
      </c>
      <c r="D2954" s="107" t="str">
        <f>IF(LEN(Table1722[[#This Row],[Uraian]])&gt;2,1," ")</f>
        <v xml:space="preserve"> </v>
      </c>
      <c r="E2954" s="113" t="str">
        <f>IF(Table1722[[#This Row],[Lawan Transaksi]]="CV AGUNG KARYA",COUNTIF($I$10:I2954,"CV AGUNG KARYA")," ")</f>
        <v xml:space="preserve"> </v>
      </c>
      <c r="F2954" s="107" t="str">
        <f>IF(LEN(Table1722[[#This Row],[Uraian]])&gt;2,TRIM(RIGHT(SUBSTITUTE(TRIM(C2954)," ",REPT(" ",255)),255))," ")</f>
        <v xml:space="preserve"> </v>
      </c>
      <c r="G2954" s="124">
        <f>COPY!Z2946</f>
        <v>0</v>
      </c>
      <c r="H2954" s="125" t="str">
        <f>IFERROR(VLOOKUP(Table1722[[#This Row],[Bukti]],'Un nOTA'!$A$4:$K$5003,10,FALSE),"")</f>
        <v/>
      </c>
      <c r="I2954" s="123" t="str">
        <f>IFERROR(VLOOKUP(Table1722[[#This Row],[Bukti]],Table13[#Data],11,FALSE),"")</f>
        <v/>
      </c>
    </row>
    <row r="2955" spans="1:9" hidden="1" x14ac:dyDescent="0.2">
      <c r="A2955" s="105" t="str">
        <f>IF(D2955=1,COUNTIF($D$10:D2955,1)," ")</f>
        <v xml:space="preserve"> </v>
      </c>
      <c r="B2955" s="106">
        <f>COPY!AR2947</f>
        <v>0</v>
      </c>
      <c r="C2955" s="107">
        <f>COPY!AC2947</f>
        <v>0</v>
      </c>
      <c r="D2955" s="107" t="str">
        <f>IF(LEN(Table1722[[#This Row],[Uraian]])&gt;2,1," ")</f>
        <v xml:space="preserve"> </v>
      </c>
      <c r="E2955" s="113" t="str">
        <f>IF(Table1722[[#This Row],[Lawan Transaksi]]="CV AGUNG KARYA",COUNTIF($I$10:I2955,"CV AGUNG KARYA")," ")</f>
        <v xml:space="preserve"> </v>
      </c>
      <c r="F2955" s="107" t="str">
        <f>IF(LEN(Table1722[[#This Row],[Uraian]])&gt;2,TRIM(RIGHT(SUBSTITUTE(TRIM(C2955)," ",REPT(" ",255)),255))," ")</f>
        <v xml:space="preserve"> </v>
      </c>
      <c r="G2955" s="124">
        <f>COPY!Z2947</f>
        <v>0</v>
      </c>
      <c r="H2955" s="125" t="str">
        <f>IFERROR(VLOOKUP(Table1722[[#This Row],[Bukti]],'Un nOTA'!$A$4:$K$5003,10,FALSE),"")</f>
        <v/>
      </c>
      <c r="I2955" s="123" t="str">
        <f>IFERROR(VLOOKUP(Table1722[[#This Row],[Bukti]],Table13[#Data],11,FALSE),"")</f>
        <v/>
      </c>
    </row>
    <row r="2956" spans="1:9" hidden="1" x14ac:dyDescent="0.2">
      <c r="A2956" s="105" t="str">
        <f>IF(D2956=1,COUNTIF($D$10:D2956,1)," ")</f>
        <v xml:space="preserve"> </v>
      </c>
      <c r="B2956" s="106">
        <f>COPY!AR2948</f>
        <v>0</v>
      </c>
      <c r="C2956" s="107">
        <f>COPY!AC2948</f>
        <v>0</v>
      </c>
      <c r="D2956" s="107" t="str">
        <f>IF(LEN(Table1722[[#This Row],[Uraian]])&gt;2,1," ")</f>
        <v xml:space="preserve"> </v>
      </c>
      <c r="E2956" s="113" t="str">
        <f>IF(Table1722[[#This Row],[Lawan Transaksi]]="CV AGUNG KARYA",COUNTIF($I$10:I2956,"CV AGUNG KARYA")," ")</f>
        <v xml:space="preserve"> </v>
      </c>
      <c r="F2956" s="107" t="str">
        <f>IF(LEN(Table1722[[#This Row],[Uraian]])&gt;2,TRIM(RIGHT(SUBSTITUTE(TRIM(C2956)," ",REPT(" ",255)),255))," ")</f>
        <v xml:space="preserve"> </v>
      </c>
      <c r="G2956" s="124">
        <f>COPY!Z2948</f>
        <v>0</v>
      </c>
      <c r="H2956" s="125" t="str">
        <f>IFERROR(VLOOKUP(Table1722[[#This Row],[Bukti]],'Un nOTA'!$A$4:$K$5003,10,FALSE),"")</f>
        <v/>
      </c>
      <c r="I2956" s="123" t="str">
        <f>IFERROR(VLOOKUP(Table1722[[#This Row],[Bukti]],Table13[#Data],11,FALSE),"")</f>
        <v/>
      </c>
    </row>
    <row r="2957" spans="1:9" hidden="1" x14ac:dyDescent="0.2">
      <c r="A2957" s="105" t="str">
        <f>IF(D2957=1,COUNTIF($D$10:D2957,1)," ")</f>
        <v xml:space="preserve"> </v>
      </c>
      <c r="B2957" s="106">
        <f>COPY!AR2949</f>
        <v>0</v>
      </c>
      <c r="C2957" s="107">
        <f>COPY!AC2949</f>
        <v>0</v>
      </c>
      <c r="D2957" s="107" t="str">
        <f>IF(LEN(Table1722[[#This Row],[Uraian]])&gt;2,1," ")</f>
        <v xml:space="preserve"> </v>
      </c>
      <c r="E2957" s="113" t="str">
        <f>IF(Table1722[[#This Row],[Lawan Transaksi]]="CV AGUNG KARYA",COUNTIF($I$10:I2957,"CV AGUNG KARYA")," ")</f>
        <v xml:space="preserve"> </v>
      </c>
      <c r="F2957" s="107" t="str">
        <f>IF(LEN(Table1722[[#This Row],[Uraian]])&gt;2,TRIM(RIGHT(SUBSTITUTE(TRIM(C2957)," ",REPT(" ",255)),255))," ")</f>
        <v xml:space="preserve"> </v>
      </c>
      <c r="G2957" s="124">
        <f>COPY!Z2949</f>
        <v>0</v>
      </c>
      <c r="H2957" s="125" t="str">
        <f>IFERROR(VLOOKUP(Table1722[[#This Row],[Bukti]],'Un nOTA'!$A$4:$K$5003,10,FALSE),"")</f>
        <v/>
      </c>
      <c r="I2957" s="123" t="str">
        <f>IFERROR(VLOOKUP(Table1722[[#This Row],[Bukti]],Table13[#Data],11,FALSE),"")</f>
        <v/>
      </c>
    </row>
    <row r="2958" spans="1:9" hidden="1" x14ac:dyDescent="0.2">
      <c r="A2958" s="105" t="str">
        <f>IF(D2958=1,COUNTIF($D$10:D2958,1)," ")</f>
        <v xml:space="preserve"> </v>
      </c>
      <c r="B2958" s="106">
        <f>COPY!AR2950</f>
        <v>0</v>
      </c>
      <c r="C2958" s="107">
        <f>COPY!AC2950</f>
        <v>0</v>
      </c>
      <c r="D2958" s="107" t="str">
        <f>IF(LEN(Table1722[[#This Row],[Uraian]])&gt;2,1," ")</f>
        <v xml:space="preserve"> </v>
      </c>
      <c r="E2958" s="113" t="str">
        <f>IF(Table1722[[#This Row],[Lawan Transaksi]]="CV AGUNG KARYA",COUNTIF($I$10:I2958,"CV AGUNG KARYA")," ")</f>
        <v xml:space="preserve"> </v>
      </c>
      <c r="F2958" s="107" t="str">
        <f>IF(LEN(Table1722[[#This Row],[Uraian]])&gt;2,TRIM(RIGHT(SUBSTITUTE(TRIM(C2958)," ",REPT(" ",255)),255))," ")</f>
        <v xml:space="preserve"> </v>
      </c>
      <c r="G2958" s="124">
        <f>COPY!Z2950</f>
        <v>0</v>
      </c>
      <c r="H2958" s="125" t="str">
        <f>IFERROR(VLOOKUP(Table1722[[#This Row],[Bukti]],'Un nOTA'!$A$4:$K$5003,10,FALSE),"")</f>
        <v/>
      </c>
      <c r="I2958" s="123" t="str">
        <f>IFERROR(VLOOKUP(Table1722[[#This Row],[Bukti]],Table13[#Data],11,FALSE),"")</f>
        <v/>
      </c>
    </row>
    <row r="2959" spans="1:9" hidden="1" x14ac:dyDescent="0.2">
      <c r="A2959" s="105" t="str">
        <f>IF(D2959=1,COUNTIF($D$10:D2959,1)," ")</f>
        <v xml:space="preserve"> </v>
      </c>
      <c r="B2959" s="106">
        <f>COPY!AR2951</f>
        <v>0</v>
      </c>
      <c r="C2959" s="107">
        <f>COPY!AC2951</f>
        <v>0</v>
      </c>
      <c r="D2959" s="107" t="str">
        <f>IF(LEN(Table1722[[#This Row],[Uraian]])&gt;2,1," ")</f>
        <v xml:space="preserve"> </v>
      </c>
      <c r="E2959" s="113" t="str">
        <f>IF(Table1722[[#This Row],[Lawan Transaksi]]="CV AGUNG KARYA",COUNTIF($I$10:I2959,"CV AGUNG KARYA")," ")</f>
        <v xml:space="preserve"> </v>
      </c>
      <c r="F2959" s="107" t="str">
        <f>IF(LEN(Table1722[[#This Row],[Uraian]])&gt;2,TRIM(RIGHT(SUBSTITUTE(TRIM(C2959)," ",REPT(" ",255)),255))," ")</f>
        <v xml:space="preserve"> </v>
      </c>
      <c r="G2959" s="124">
        <f>COPY!Z2951</f>
        <v>0</v>
      </c>
      <c r="H2959" s="125" t="str">
        <f>IFERROR(VLOOKUP(Table1722[[#This Row],[Bukti]],'Un nOTA'!$A$4:$K$5003,10,FALSE),"")</f>
        <v/>
      </c>
      <c r="I2959" s="123" t="str">
        <f>IFERROR(VLOOKUP(Table1722[[#This Row],[Bukti]],Table13[#Data],11,FALSE),"")</f>
        <v/>
      </c>
    </row>
    <row r="2960" spans="1:9" hidden="1" x14ac:dyDescent="0.2">
      <c r="A2960" s="105" t="str">
        <f>IF(D2960=1,COUNTIF($D$10:D2960,1)," ")</f>
        <v xml:space="preserve"> </v>
      </c>
      <c r="B2960" s="106">
        <f>COPY!AR2952</f>
        <v>0</v>
      </c>
      <c r="C2960" s="107">
        <f>COPY!AC2952</f>
        <v>0</v>
      </c>
      <c r="D2960" s="107" t="str">
        <f>IF(LEN(Table1722[[#This Row],[Uraian]])&gt;2,1," ")</f>
        <v xml:space="preserve"> </v>
      </c>
      <c r="E2960" s="113" t="str">
        <f>IF(Table1722[[#This Row],[Lawan Transaksi]]="CV AGUNG KARYA",COUNTIF($I$10:I2960,"CV AGUNG KARYA")," ")</f>
        <v xml:space="preserve"> </v>
      </c>
      <c r="F2960" s="107" t="str">
        <f>IF(LEN(Table1722[[#This Row],[Uraian]])&gt;2,TRIM(RIGHT(SUBSTITUTE(TRIM(C2960)," ",REPT(" ",255)),255))," ")</f>
        <v xml:space="preserve"> </v>
      </c>
      <c r="G2960" s="124">
        <f>COPY!Z2952</f>
        <v>0</v>
      </c>
      <c r="H2960" s="125" t="str">
        <f>IFERROR(VLOOKUP(Table1722[[#This Row],[Bukti]],'Un nOTA'!$A$4:$K$5003,10,FALSE),"")</f>
        <v/>
      </c>
      <c r="I2960" s="123" t="str">
        <f>IFERROR(VLOOKUP(Table1722[[#This Row],[Bukti]],Table13[#Data],11,FALSE),"")</f>
        <v/>
      </c>
    </row>
    <row r="2961" spans="1:9" hidden="1" x14ac:dyDescent="0.2">
      <c r="A2961" s="105" t="str">
        <f>IF(D2961=1,COUNTIF($D$10:D2961,1)," ")</f>
        <v xml:space="preserve"> </v>
      </c>
      <c r="B2961" s="106">
        <f>COPY!AR2953</f>
        <v>0</v>
      </c>
      <c r="C2961" s="107">
        <f>COPY!AC2953</f>
        <v>0</v>
      </c>
      <c r="D2961" s="107" t="str">
        <f>IF(LEN(Table1722[[#This Row],[Uraian]])&gt;2,1," ")</f>
        <v xml:space="preserve"> </v>
      </c>
      <c r="E2961" s="113" t="str">
        <f>IF(Table1722[[#This Row],[Lawan Transaksi]]="CV AGUNG KARYA",COUNTIF($I$10:I2961,"CV AGUNG KARYA")," ")</f>
        <v xml:space="preserve"> </v>
      </c>
      <c r="F2961" s="107" t="str">
        <f>IF(LEN(Table1722[[#This Row],[Uraian]])&gt;2,TRIM(RIGHT(SUBSTITUTE(TRIM(C2961)," ",REPT(" ",255)),255))," ")</f>
        <v xml:space="preserve"> </v>
      </c>
      <c r="G2961" s="124">
        <f>COPY!Z2953</f>
        <v>0</v>
      </c>
      <c r="H2961" s="125" t="str">
        <f>IFERROR(VLOOKUP(Table1722[[#This Row],[Bukti]],'Un nOTA'!$A$4:$K$5003,10,FALSE),"")</f>
        <v/>
      </c>
      <c r="I2961" s="123" t="str">
        <f>IFERROR(VLOOKUP(Table1722[[#This Row],[Bukti]],Table13[#Data],11,FALSE),"")</f>
        <v/>
      </c>
    </row>
    <row r="2962" spans="1:9" hidden="1" x14ac:dyDescent="0.2">
      <c r="A2962" s="105" t="str">
        <f>IF(D2962=1,COUNTIF($D$10:D2962,1)," ")</f>
        <v xml:space="preserve"> </v>
      </c>
      <c r="B2962" s="106">
        <f>COPY!AR2954</f>
        <v>0</v>
      </c>
      <c r="C2962" s="107">
        <f>COPY!AC2954</f>
        <v>0</v>
      </c>
      <c r="D2962" s="107" t="str">
        <f>IF(LEN(Table1722[[#This Row],[Uraian]])&gt;2,1," ")</f>
        <v xml:space="preserve"> </v>
      </c>
      <c r="E2962" s="113" t="str">
        <f>IF(Table1722[[#This Row],[Lawan Transaksi]]="CV AGUNG KARYA",COUNTIF($I$10:I2962,"CV AGUNG KARYA")," ")</f>
        <v xml:space="preserve"> </v>
      </c>
      <c r="F2962" s="107" t="str">
        <f>IF(LEN(Table1722[[#This Row],[Uraian]])&gt;2,TRIM(RIGHT(SUBSTITUTE(TRIM(C2962)," ",REPT(" ",255)),255))," ")</f>
        <v xml:space="preserve"> </v>
      </c>
      <c r="G2962" s="124">
        <f>COPY!Z2954</f>
        <v>0</v>
      </c>
      <c r="H2962" s="125" t="str">
        <f>IFERROR(VLOOKUP(Table1722[[#This Row],[Bukti]],'Un nOTA'!$A$4:$K$5003,10,FALSE),"")</f>
        <v/>
      </c>
      <c r="I2962" s="123" t="str">
        <f>IFERROR(VLOOKUP(Table1722[[#This Row],[Bukti]],Table13[#Data],11,FALSE),"")</f>
        <v/>
      </c>
    </row>
    <row r="2963" spans="1:9" hidden="1" x14ac:dyDescent="0.2">
      <c r="A2963" s="105" t="str">
        <f>IF(D2963=1,COUNTIF($D$10:D2963,1)," ")</f>
        <v xml:space="preserve"> </v>
      </c>
      <c r="B2963" s="106">
        <f>COPY!AR2955</f>
        <v>0</v>
      </c>
      <c r="C2963" s="107">
        <f>COPY!AC2955</f>
        <v>0</v>
      </c>
      <c r="D2963" s="107" t="str">
        <f>IF(LEN(Table1722[[#This Row],[Uraian]])&gt;2,1," ")</f>
        <v xml:space="preserve"> </v>
      </c>
      <c r="E2963" s="113" t="str">
        <f>IF(Table1722[[#This Row],[Lawan Transaksi]]="CV AGUNG KARYA",COUNTIF($I$10:I2963,"CV AGUNG KARYA")," ")</f>
        <v xml:space="preserve"> </v>
      </c>
      <c r="F2963" s="107" t="str">
        <f>IF(LEN(Table1722[[#This Row],[Uraian]])&gt;2,TRIM(RIGHT(SUBSTITUTE(TRIM(C2963)," ",REPT(" ",255)),255))," ")</f>
        <v xml:space="preserve"> </v>
      </c>
      <c r="G2963" s="124">
        <f>COPY!Z2955</f>
        <v>0</v>
      </c>
      <c r="H2963" s="125" t="str">
        <f>IFERROR(VLOOKUP(Table1722[[#This Row],[Bukti]],'Un nOTA'!$A$4:$K$5003,10,FALSE),"")</f>
        <v/>
      </c>
      <c r="I2963" s="123" t="str">
        <f>IFERROR(VLOOKUP(Table1722[[#This Row],[Bukti]],Table13[#Data],11,FALSE),"")</f>
        <v/>
      </c>
    </row>
    <row r="2964" spans="1:9" hidden="1" x14ac:dyDescent="0.2">
      <c r="A2964" s="105" t="str">
        <f>IF(D2964=1,COUNTIF($D$10:D2964,1)," ")</f>
        <v xml:space="preserve"> </v>
      </c>
      <c r="B2964" s="106">
        <f>COPY!AR2956</f>
        <v>0</v>
      </c>
      <c r="C2964" s="107">
        <f>COPY!AC2956</f>
        <v>0</v>
      </c>
      <c r="D2964" s="107" t="str">
        <f>IF(LEN(Table1722[[#This Row],[Uraian]])&gt;2,1," ")</f>
        <v xml:space="preserve"> </v>
      </c>
      <c r="E2964" s="113" t="str">
        <f>IF(Table1722[[#This Row],[Lawan Transaksi]]="CV AGUNG KARYA",COUNTIF($I$10:I2964,"CV AGUNG KARYA")," ")</f>
        <v xml:space="preserve"> </v>
      </c>
      <c r="F2964" s="107" t="str">
        <f>IF(LEN(Table1722[[#This Row],[Uraian]])&gt;2,TRIM(RIGHT(SUBSTITUTE(TRIM(C2964)," ",REPT(" ",255)),255))," ")</f>
        <v xml:space="preserve"> </v>
      </c>
      <c r="G2964" s="124">
        <f>COPY!Z2956</f>
        <v>0</v>
      </c>
      <c r="H2964" s="125" t="str">
        <f>IFERROR(VLOOKUP(Table1722[[#This Row],[Bukti]],'Un nOTA'!$A$4:$K$5003,10,FALSE),"")</f>
        <v/>
      </c>
      <c r="I2964" s="123" t="str">
        <f>IFERROR(VLOOKUP(Table1722[[#This Row],[Bukti]],Table13[#Data],11,FALSE),"")</f>
        <v/>
      </c>
    </row>
    <row r="2965" spans="1:9" hidden="1" x14ac:dyDescent="0.2">
      <c r="A2965" s="105" t="str">
        <f>IF(D2965=1,COUNTIF($D$10:D2965,1)," ")</f>
        <v xml:space="preserve"> </v>
      </c>
      <c r="B2965" s="106">
        <f>COPY!AR2957</f>
        <v>0</v>
      </c>
      <c r="C2965" s="107">
        <f>COPY!AC2957</f>
        <v>0</v>
      </c>
      <c r="D2965" s="107" t="str">
        <f>IF(LEN(Table1722[[#This Row],[Uraian]])&gt;2,1," ")</f>
        <v xml:space="preserve"> </v>
      </c>
      <c r="E2965" s="113" t="str">
        <f>IF(Table1722[[#This Row],[Lawan Transaksi]]="CV AGUNG KARYA",COUNTIF($I$10:I2965,"CV AGUNG KARYA")," ")</f>
        <v xml:space="preserve"> </v>
      </c>
      <c r="F2965" s="107" t="str">
        <f>IF(LEN(Table1722[[#This Row],[Uraian]])&gt;2,TRIM(RIGHT(SUBSTITUTE(TRIM(C2965)," ",REPT(" ",255)),255))," ")</f>
        <v xml:space="preserve"> </v>
      </c>
      <c r="G2965" s="124">
        <f>COPY!Z2957</f>
        <v>0</v>
      </c>
      <c r="H2965" s="125" t="str">
        <f>IFERROR(VLOOKUP(Table1722[[#This Row],[Bukti]],'Un nOTA'!$A$4:$K$5003,10,FALSE),"")</f>
        <v/>
      </c>
      <c r="I2965" s="123" t="str">
        <f>IFERROR(VLOOKUP(Table1722[[#This Row],[Bukti]],Table13[#Data],11,FALSE),"")</f>
        <v/>
      </c>
    </row>
    <row r="2966" spans="1:9" hidden="1" x14ac:dyDescent="0.2">
      <c r="A2966" s="105" t="str">
        <f>IF(D2966=1,COUNTIF($D$10:D2966,1)," ")</f>
        <v xml:space="preserve"> </v>
      </c>
      <c r="B2966" s="106">
        <f>COPY!AR2958</f>
        <v>0</v>
      </c>
      <c r="C2966" s="107">
        <f>COPY!AC2958</f>
        <v>0</v>
      </c>
      <c r="D2966" s="107" t="str">
        <f>IF(LEN(Table1722[[#This Row],[Uraian]])&gt;2,1," ")</f>
        <v xml:space="preserve"> </v>
      </c>
      <c r="E2966" s="113" t="str">
        <f>IF(Table1722[[#This Row],[Lawan Transaksi]]="CV AGUNG KARYA",COUNTIF($I$10:I2966,"CV AGUNG KARYA")," ")</f>
        <v xml:space="preserve"> </v>
      </c>
      <c r="F2966" s="107" t="str">
        <f>IF(LEN(Table1722[[#This Row],[Uraian]])&gt;2,TRIM(RIGHT(SUBSTITUTE(TRIM(C2966)," ",REPT(" ",255)),255))," ")</f>
        <v xml:space="preserve"> </v>
      </c>
      <c r="G2966" s="124">
        <f>COPY!Z2958</f>
        <v>0</v>
      </c>
      <c r="H2966" s="125" t="str">
        <f>IFERROR(VLOOKUP(Table1722[[#This Row],[Bukti]],'Un nOTA'!$A$4:$K$5003,10,FALSE),"")</f>
        <v/>
      </c>
      <c r="I2966" s="123" t="str">
        <f>IFERROR(VLOOKUP(Table1722[[#This Row],[Bukti]],Table13[#Data],11,FALSE),"")</f>
        <v/>
      </c>
    </row>
    <row r="2967" spans="1:9" hidden="1" x14ac:dyDescent="0.2">
      <c r="A2967" s="105" t="str">
        <f>IF(D2967=1,COUNTIF($D$10:D2967,1)," ")</f>
        <v xml:space="preserve"> </v>
      </c>
      <c r="B2967" s="106">
        <f>COPY!AR2959</f>
        <v>0</v>
      </c>
      <c r="C2967" s="107">
        <f>COPY!AC2959</f>
        <v>0</v>
      </c>
      <c r="D2967" s="107" t="str">
        <f>IF(LEN(Table1722[[#This Row],[Uraian]])&gt;2,1," ")</f>
        <v xml:space="preserve"> </v>
      </c>
      <c r="E2967" s="113" t="str">
        <f>IF(Table1722[[#This Row],[Lawan Transaksi]]="CV AGUNG KARYA",COUNTIF($I$10:I2967,"CV AGUNG KARYA")," ")</f>
        <v xml:space="preserve"> </v>
      </c>
      <c r="F2967" s="107" t="str">
        <f>IF(LEN(Table1722[[#This Row],[Uraian]])&gt;2,TRIM(RIGHT(SUBSTITUTE(TRIM(C2967)," ",REPT(" ",255)),255))," ")</f>
        <v xml:space="preserve"> </v>
      </c>
      <c r="G2967" s="124">
        <f>COPY!Z2959</f>
        <v>0</v>
      </c>
      <c r="H2967" s="125" t="str">
        <f>IFERROR(VLOOKUP(Table1722[[#This Row],[Bukti]],'Un nOTA'!$A$4:$K$5003,10,FALSE),"")</f>
        <v/>
      </c>
      <c r="I2967" s="123" t="str">
        <f>IFERROR(VLOOKUP(Table1722[[#This Row],[Bukti]],Table13[#Data],11,FALSE),"")</f>
        <v/>
      </c>
    </row>
    <row r="2968" spans="1:9" hidden="1" x14ac:dyDescent="0.2">
      <c r="A2968" s="105" t="str">
        <f>IF(D2968=1,COUNTIF($D$10:D2968,1)," ")</f>
        <v xml:space="preserve"> </v>
      </c>
      <c r="B2968" s="106">
        <f>COPY!AR2960</f>
        <v>0</v>
      </c>
      <c r="C2968" s="107">
        <f>COPY!AC2960</f>
        <v>0</v>
      </c>
      <c r="D2968" s="107" t="str">
        <f>IF(LEN(Table1722[[#This Row],[Uraian]])&gt;2,1," ")</f>
        <v xml:space="preserve"> </v>
      </c>
      <c r="E2968" s="113" t="str">
        <f>IF(Table1722[[#This Row],[Lawan Transaksi]]="CV AGUNG KARYA",COUNTIF($I$10:I2968,"CV AGUNG KARYA")," ")</f>
        <v xml:space="preserve"> </v>
      </c>
      <c r="F2968" s="107" t="str">
        <f>IF(LEN(Table1722[[#This Row],[Uraian]])&gt;2,TRIM(RIGHT(SUBSTITUTE(TRIM(C2968)," ",REPT(" ",255)),255))," ")</f>
        <v xml:space="preserve"> </v>
      </c>
      <c r="G2968" s="124">
        <f>COPY!Z2960</f>
        <v>0</v>
      </c>
      <c r="H2968" s="125" t="str">
        <f>IFERROR(VLOOKUP(Table1722[[#This Row],[Bukti]],'Un nOTA'!$A$4:$K$5003,10,FALSE),"")</f>
        <v/>
      </c>
      <c r="I2968" s="123" t="str">
        <f>IFERROR(VLOOKUP(Table1722[[#This Row],[Bukti]],Table13[#Data],11,FALSE),"")</f>
        <v/>
      </c>
    </row>
    <row r="2969" spans="1:9" hidden="1" x14ac:dyDescent="0.2">
      <c r="A2969" s="105" t="str">
        <f>IF(D2969=1,COUNTIF($D$10:D2969,1)," ")</f>
        <v xml:space="preserve"> </v>
      </c>
      <c r="B2969" s="106">
        <f>COPY!AR2961</f>
        <v>0</v>
      </c>
      <c r="C2969" s="107">
        <f>COPY!AC2961</f>
        <v>0</v>
      </c>
      <c r="D2969" s="107" t="str">
        <f>IF(LEN(Table1722[[#This Row],[Uraian]])&gt;2,1," ")</f>
        <v xml:space="preserve"> </v>
      </c>
      <c r="E2969" s="113" t="str">
        <f>IF(Table1722[[#This Row],[Lawan Transaksi]]="CV AGUNG KARYA",COUNTIF($I$10:I2969,"CV AGUNG KARYA")," ")</f>
        <v xml:space="preserve"> </v>
      </c>
      <c r="F2969" s="107" t="str">
        <f>IF(LEN(Table1722[[#This Row],[Uraian]])&gt;2,TRIM(RIGHT(SUBSTITUTE(TRIM(C2969)," ",REPT(" ",255)),255))," ")</f>
        <v xml:space="preserve"> </v>
      </c>
      <c r="G2969" s="124">
        <f>COPY!Z2961</f>
        <v>0</v>
      </c>
      <c r="H2969" s="125" t="str">
        <f>IFERROR(VLOOKUP(Table1722[[#This Row],[Bukti]],'Un nOTA'!$A$4:$K$5003,10,FALSE),"")</f>
        <v/>
      </c>
      <c r="I2969" s="123" t="str">
        <f>IFERROR(VLOOKUP(Table1722[[#This Row],[Bukti]],Table13[#Data],11,FALSE),"")</f>
        <v/>
      </c>
    </row>
    <row r="2970" spans="1:9" hidden="1" x14ac:dyDescent="0.2">
      <c r="A2970" s="105" t="str">
        <f>IF(D2970=1,COUNTIF($D$10:D2970,1)," ")</f>
        <v xml:space="preserve"> </v>
      </c>
      <c r="B2970" s="106">
        <f>COPY!AR2962</f>
        <v>0</v>
      </c>
      <c r="C2970" s="107">
        <f>COPY!AC2962</f>
        <v>0</v>
      </c>
      <c r="D2970" s="107" t="str">
        <f>IF(LEN(Table1722[[#This Row],[Uraian]])&gt;2,1," ")</f>
        <v xml:space="preserve"> </v>
      </c>
      <c r="E2970" s="113" t="str">
        <f>IF(Table1722[[#This Row],[Lawan Transaksi]]="CV AGUNG KARYA",COUNTIF($I$10:I2970,"CV AGUNG KARYA")," ")</f>
        <v xml:space="preserve"> </v>
      </c>
      <c r="F2970" s="107" t="str">
        <f>IF(LEN(Table1722[[#This Row],[Uraian]])&gt;2,TRIM(RIGHT(SUBSTITUTE(TRIM(C2970)," ",REPT(" ",255)),255))," ")</f>
        <v xml:space="preserve"> </v>
      </c>
      <c r="G2970" s="124">
        <f>COPY!Z2962</f>
        <v>0</v>
      </c>
      <c r="H2970" s="125" t="str">
        <f>IFERROR(VLOOKUP(Table1722[[#This Row],[Bukti]],'Un nOTA'!$A$4:$K$5003,10,FALSE),"")</f>
        <v/>
      </c>
      <c r="I2970" s="123" t="str">
        <f>IFERROR(VLOOKUP(Table1722[[#This Row],[Bukti]],Table13[#Data],11,FALSE),"")</f>
        <v/>
      </c>
    </row>
    <row r="2971" spans="1:9" hidden="1" x14ac:dyDescent="0.2">
      <c r="A2971" s="105" t="str">
        <f>IF(D2971=1,COUNTIF($D$10:D2971,1)," ")</f>
        <v xml:space="preserve"> </v>
      </c>
      <c r="B2971" s="106">
        <f>COPY!AR2963</f>
        <v>0</v>
      </c>
      <c r="C2971" s="107">
        <f>COPY!AC2963</f>
        <v>0</v>
      </c>
      <c r="D2971" s="107" t="str">
        <f>IF(LEN(Table1722[[#This Row],[Uraian]])&gt;2,1," ")</f>
        <v xml:space="preserve"> </v>
      </c>
      <c r="E2971" s="113" t="str">
        <f>IF(Table1722[[#This Row],[Lawan Transaksi]]="CV AGUNG KARYA",COUNTIF($I$10:I2971,"CV AGUNG KARYA")," ")</f>
        <v xml:space="preserve"> </v>
      </c>
      <c r="F2971" s="107" t="str">
        <f>IF(LEN(Table1722[[#This Row],[Uraian]])&gt;2,TRIM(RIGHT(SUBSTITUTE(TRIM(C2971)," ",REPT(" ",255)),255))," ")</f>
        <v xml:space="preserve"> </v>
      </c>
      <c r="G2971" s="124">
        <f>COPY!Z2963</f>
        <v>0</v>
      </c>
      <c r="H2971" s="125" t="str">
        <f>IFERROR(VLOOKUP(Table1722[[#This Row],[Bukti]],'Un nOTA'!$A$4:$K$5003,10,FALSE),"")</f>
        <v/>
      </c>
      <c r="I2971" s="123" t="str">
        <f>IFERROR(VLOOKUP(Table1722[[#This Row],[Bukti]],Table13[#Data],11,FALSE),"")</f>
        <v/>
      </c>
    </row>
    <row r="2972" spans="1:9" hidden="1" x14ac:dyDescent="0.2">
      <c r="A2972" s="105" t="str">
        <f>IF(D2972=1,COUNTIF($D$10:D2972,1)," ")</f>
        <v xml:space="preserve"> </v>
      </c>
      <c r="B2972" s="106">
        <f>COPY!AR2964</f>
        <v>0</v>
      </c>
      <c r="C2972" s="107">
        <f>COPY!AC2964</f>
        <v>0</v>
      </c>
      <c r="D2972" s="107" t="str">
        <f>IF(LEN(Table1722[[#This Row],[Uraian]])&gt;2,1," ")</f>
        <v xml:space="preserve"> </v>
      </c>
      <c r="E2972" s="113" t="str">
        <f>IF(Table1722[[#This Row],[Lawan Transaksi]]="CV AGUNG KARYA",COUNTIF($I$10:I2972,"CV AGUNG KARYA")," ")</f>
        <v xml:space="preserve"> </v>
      </c>
      <c r="F2972" s="107" t="str">
        <f>IF(LEN(Table1722[[#This Row],[Uraian]])&gt;2,TRIM(RIGHT(SUBSTITUTE(TRIM(C2972)," ",REPT(" ",255)),255))," ")</f>
        <v xml:space="preserve"> </v>
      </c>
      <c r="G2972" s="124">
        <f>COPY!Z2964</f>
        <v>0</v>
      </c>
      <c r="H2972" s="125" t="str">
        <f>IFERROR(VLOOKUP(Table1722[[#This Row],[Bukti]],'Un nOTA'!$A$4:$K$5003,10,FALSE),"")</f>
        <v/>
      </c>
      <c r="I2972" s="123" t="str">
        <f>IFERROR(VLOOKUP(Table1722[[#This Row],[Bukti]],Table13[#Data],11,FALSE),"")</f>
        <v/>
      </c>
    </row>
    <row r="2973" spans="1:9" hidden="1" x14ac:dyDescent="0.2">
      <c r="A2973" s="105" t="str">
        <f>IF(D2973=1,COUNTIF($D$10:D2973,1)," ")</f>
        <v xml:space="preserve"> </v>
      </c>
      <c r="B2973" s="106">
        <f>COPY!AR2965</f>
        <v>0</v>
      </c>
      <c r="C2973" s="107">
        <f>COPY!AC2965</f>
        <v>0</v>
      </c>
      <c r="D2973" s="107" t="str">
        <f>IF(LEN(Table1722[[#This Row],[Uraian]])&gt;2,1," ")</f>
        <v xml:space="preserve"> </v>
      </c>
      <c r="E2973" s="113" t="str">
        <f>IF(Table1722[[#This Row],[Lawan Transaksi]]="CV AGUNG KARYA",COUNTIF($I$10:I2973,"CV AGUNG KARYA")," ")</f>
        <v xml:space="preserve"> </v>
      </c>
      <c r="F2973" s="107" t="str">
        <f>IF(LEN(Table1722[[#This Row],[Uraian]])&gt;2,TRIM(RIGHT(SUBSTITUTE(TRIM(C2973)," ",REPT(" ",255)),255))," ")</f>
        <v xml:space="preserve"> </v>
      </c>
      <c r="G2973" s="124">
        <f>COPY!Z2965</f>
        <v>0</v>
      </c>
      <c r="H2973" s="125" t="str">
        <f>IFERROR(VLOOKUP(Table1722[[#This Row],[Bukti]],'Un nOTA'!$A$4:$K$5003,10,FALSE),"")</f>
        <v/>
      </c>
      <c r="I2973" s="123" t="str">
        <f>IFERROR(VLOOKUP(Table1722[[#This Row],[Bukti]],Table13[#Data],11,FALSE),"")</f>
        <v/>
      </c>
    </row>
    <row r="2974" spans="1:9" hidden="1" x14ac:dyDescent="0.2">
      <c r="A2974" s="105" t="str">
        <f>IF(D2974=1,COUNTIF($D$10:D2974,1)," ")</f>
        <v xml:space="preserve"> </v>
      </c>
      <c r="B2974" s="106">
        <f>COPY!AR2966</f>
        <v>0</v>
      </c>
      <c r="C2974" s="107">
        <f>COPY!AC2966</f>
        <v>0</v>
      </c>
      <c r="D2974" s="107" t="str">
        <f>IF(LEN(Table1722[[#This Row],[Uraian]])&gt;2,1," ")</f>
        <v xml:space="preserve"> </v>
      </c>
      <c r="E2974" s="113" t="str">
        <f>IF(Table1722[[#This Row],[Lawan Transaksi]]="CV AGUNG KARYA",COUNTIF($I$10:I2974,"CV AGUNG KARYA")," ")</f>
        <v xml:space="preserve"> </v>
      </c>
      <c r="F2974" s="107" t="str">
        <f>IF(LEN(Table1722[[#This Row],[Uraian]])&gt;2,TRIM(RIGHT(SUBSTITUTE(TRIM(C2974)," ",REPT(" ",255)),255))," ")</f>
        <v xml:space="preserve"> </v>
      </c>
      <c r="G2974" s="124">
        <f>COPY!Z2966</f>
        <v>0</v>
      </c>
      <c r="H2974" s="125" t="str">
        <f>IFERROR(VLOOKUP(Table1722[[#This Row],[Bukti]],'Un nOTA'!$A$4:$K$5003,10,FALSE),"")</f>
        <v/>
      </c>
      <c r="I2974" s="123" t="str">
        <f>IFERROR(VLOOKUP(Table1722[[#This Row],[Bukti]],Table13[#Data],11,FALSE),"")</f>
        <v/>
      </c>
    </row>
    <row r="2975" spans="1:9" hidden="1" x14ac:dyDescent="0.2">
      <c r="A2975" s="105" t="str">
        <f>IF(D2975=1,COUNTIF($D$10:D2975,1)," ")</f>
        <v xml:space="preserve"> </v>
      </c>
      <c r="B2975" s="106">
        <f>COPY!AR2967</f>
        <v>0</v>
      </c>
      <c r="C2975" s="107">
        <f>COPY!AC2967</f>
        <v>0</v>
      </c>
      <c r="D2975" s="107" t="str">
        <f>IF(LEN(Table1722[[#This Row],[Uraian]])&gt;2,1," ")</f>
        <v xml:space="preserve"> </v>
      </c>
      <c r="E2975" s="113" t="str">
        <f>IF(Table1722[[#This Row],[Lawan Transaksi]]="CV AGUNG KARYA",COUNTIF($I$10:I2975,"CV AGUNG KARYA")," ")</f>
        <v xml:space="preserve"> </v>
      </c>
      <c r="F2975" s="107" t="str">
        <f>IF(LEN(Table1722[[#This Row],[Uraian]])&gt;2,TRIM(RIGHT(SUBSTITUTE(TRIM(C2975)," ",REPT(" ",255)),255))," ")</f>
        <v xml:space="preserve"> </v>
      </c>
      <c r="G2975" s="124">
        <f>COPY!Z2967</f>
        <v>0</v>
      </c>
      <c r="H2975" s="125" t="str">
        <f>IFERROR(VLOOKUP(Table1722[[#This Row],[Bukti]],'Un nOTA'!$A$4:$K$5003,10,FALSE),"")</f>
        <v/>
      </c>
      <c r="I2975" s="123" t="str">
        <f>IFERROR(VLOOKUP(Table1722[[#This Row],[Bukti]],Table13[#Data],11,FALSE),"")</f>
        <v/>
      </c>
    </row>
    <row r="2976" spans="1:9" hidden="1" x14ac:dyDescent="0.2">
      <c r="A2976" s="105" t="str">
        <f>IF(D2976=1,COUNTIF($D$10:D2976,1)," ")</f>
        <v xml:space="preserve"> </v>
      </c>
      <c r="B2976" s="106">
        <f>COPY!AR2968</f>
        <v>0</v>
      </c>
      <c r="C2976" s="107">
        <f>COPY!AC2968</f>
        <v>0</v>
      </c>
      <c r="D2976" s="107" t="str">
        <f>IF(LEN(Table1722[[#This Row],[Uraian]])&gt;2,1," ")</f>
        <v xml:space="preserve"> </v>
      </c>
      <c r="E2976" s="113" t="str">
        <f>IF(Table1722[[#This Row],[Lawan Transaksi]]="CV AGUNG KARYA",COUNTIF($I$10:I2976,"CV AGUNG KARYA")," ")</f>
        <v xml:space="preserve"> </v>
      </c>
      <c r="F2976" s="107" t="str">
        <f>IF(LEN(Table1722[[#This Row],[Uraian]])&gt;2,TRIM(RIGHT(SUBSTITUTE(TRIM(C2976)," ",REPT(" ",255)),255))," ")</f>
        <v xml:space="preserve"> </v>
      </c>
      <c r="G2976" s="124">
        <f>COPY!Z2968</f>
        <v>0</v>
      </c>
      <c r="H2976" s="125" t="str">
        <f>IFERROR(VLOOKUP(Table1722[[#This Row],[Bukti]],'Un nOTA'!$A$4:$K$5003,10,FALSE),"")</f>
        <v/>
      </c>
      <c r="I2976" s="123" t="str">
        <f>IFERROR(VLOOKUP(Table1722[[#This Row],[Bukti]],Table13[#Data],11,FALSE),"")</f>
        <v/>
      </c>
    </row>
    <row r="2977" spans="1:9" hidden="1" x14ac:dyDescent="0.2">
      <c r="A2977" s="105" t="str">
        <f>IF(D2977=1,COUNTIF($D$10:D2977,1)," ")</f>
        <v xml:space="preserve"> </v>
      </c>
      <c r="B2977" s="106">
        <f>COPY!AR2969</f>
        <v>0</v>
      </c>
      <c r="C2977" s="107">
        <f>COPY!AC2969</f>
        <v>0</v>
      </c>
      <c r="D2977" s="107" t="str">
        <f>IF(LEN(Table1722[[#This Row],[Uraian]])&gt;2,1," ")</f>
        <v xml:space="preserve"> </v>
      </c>
      <c r="E2977" s="113" t="str">
        <f>IF(Table1722[[#This Row],[Lawan Transaksi]]="CV AGUNG KARYA",COUNTIF($I$10:I2977,"CV AGUNG KARYA")," ")</f>
        <v xml:space="preserve"> </v>
      </c>
      <c r="F2977" s="107" t="str">
        <f>IF(LEN(Table1722[[#This Row],[Uraian]])&gt;2,TRIM(RIGHT(SUBSTITUTE(TRIM(C2977)," ",REPT(" ",255)),255))," ")</f>
        <v xml:space="preserve"> </v>
      </c>
      <c r="G2977" s="124">
        <f>COPY!Z2969</f>
        <v>0</v>
      </c>
      <c r="H2977" s="125" t="str">
        <f>IFERROR(VLOOKUP(Table1722[[#This Row],[Bukti]],'Un nOTA'!$A$4:$K$5003,10,FALSE),"")</f>
        <v/>
      </c>
      <c r="I2977" s="123" t="str">
        <f>IFERROR(VLOOKUP(Table1722[[#This Row],[Bukti]],Table13[#Data],11,FALSE),"")</f>
        <v/>
      </c>
    </row>
    <row r="2978" spans="1:9" hidden="1" x14ac:dyDescent="0.2">
      <c r="A2978" s="105" t="str">
        <f>IF(D2978=1,COUNTIF($D$10:D2978,1)," ")</f>
        <v xml:space="preserve"> </v>
      </c>
      <c r="B2978" s="106">
        <f>COPY!AR2970</f>
        <v>0</v>
      </c>
      <c r="C2978" s="107">
        <f>COPY!AC2970</f>
        <v>0</v>
      </c>
      <c r="D2978" s="107" t="str">
        <f>IF(LEN(Table1722[[#This Row],[Uraian]])&gt;2,1," ")</f>
        <v xml:space="preserve"> </v>
      </c>
      <c r="E2978" s="113" t="str">
        <f>IF(Table1722[[#This Row],[Lawan Transaksi]]="CV AGUNG KARYA",COUNTIF($I$10:I2978,"CV AGUNG KARYA")," ")</f>
        <v xml:space="preserve"> </v>
      </c>
      <c r="F2978" s="107" t="str">
        <f>IF(LEN(Table1722[[#This Row],[Uraian]])&gt;2,TRIM(RIGHT(SUBSTITUTE(TRIM(C2978)," ",REPT(" ",255)),255))," ")</f>
        <v xml:space="preserve"> </v>
      </c>
      <c r="G2978" s="124">
        <f>COPY!Z2970</f>
        <v>0</v>
      </c>
      <c r="H2978" s="125" t="str">
        <f>IFERROR(VLOOKUP(Table1722[[#This Row],[Bukti]],'Un nOTA'!$A$4:$K$5003,10,FALSE),"")</f>
        <v/>
      </c>
      <c r="I2978" s="123" t="str">
        <f>IFERROR(VLOOKUP(Table1722[[#This Row],[Bukti]],Table13[#Data],11,FALSE),"")</f>
        <v/>
      </c>
    </row>
    <row r="2979" spans="1:9" hidden="1" x14ac:dyDescent="0.2">
      <c r="A2979" s="105" t="str">
        <f>IF(D2979=1,COUNTIF($D$10:D2979,1)," ")</f>
        <v xml:space="preserve"> </v>
      </c>
      <c r="B2979" s="106">
        <f>COPY!AR2971</f>
        <v>0</v>
      </c>
      <c r="C2979" s="107">
        <f>COPY!AC2971</f>
        <v>0</v>
      </c>
      <c r="D2979" s="107" t="str">
        <f>IF(LEN(Table1722[[#This Row],[Uraian]])&gt;2,1," ")</f>
        <v xml:space="preserve"> </v>
      </c>
      <c r="E2979" s="113" t="str">
        <f>IF(Table1722[[#This Row],[Lawan Transaksi]]="CV AGUNG KARYA",COUNTIF($I$10:I2979,"CV AGUNG KARYA")," ")</f>
        <v xml:space="preserve"> </v>
      </c>
      <c r="F2979" s="107" t="str">
        <f>IF(LEN(Table1722[[#This Row],[Uraian]])&gt;2,TRIM(RIGHT(SUBSTITUTE(TRIM(C2979)," ",REPT(" ",255)),255))," ")</f>
        <v xml:space="preserve"> </v>
      </c>
      <c r="G2979" s="124">
        <f>COPY!Z2971</f>
        <v>0</v>
      </c>
      <c r="H2979" s="125" t="str">
        <f>IFERROR(VLOOKUP(Table1722[[#This Row],[Bukti]],'Un nOTA'!$A$4:$K$5003,10,FALSE),"")</f>
        <v/>
      </c>
      <c r="I2979" s="123" t="str">
        <f>IFERROR(VLOOKUP(Table1722[[#This Row],[Bukti]],Table13[#Data],11,FALSE),"")</f>
        <v/>
      </c>
    </row>
    <row r="2980" spans="1:9" hidden="1" x14ac:dyDescent="0.2">
      <c r="A2980" s="105" t="str">
        <f>IF(D2980=1,COUNTIF($D$10:D2980,1)," ")</f>
        <v xml:space="preserve"> </v>
      </c>
      <c r="B2980" s="106">
        <f>COPY!AR2972</f>
        <v>0</v>
      </c>
      <c r="C2980" s="107">
        <f>COPY!AC2972</f>
        <v>0</v>
      </c>
      <c r="D2980" s="107" t="str">
        <f>IF(LEN(Table1722[[#This Row],[Uraian]])&gt;2,1," ")</f>
        <v xml:space="preserve"> </v>
      </c>
      <c r="E2980" s="113" t="str">
        <f>IF(Table1722[[#This Row],[Lawan Transaksi]]="CV AGUNG KARYA",COUNTIF($I$10:I2980,"CV AGUNG KARYA")," ")</f>
        <v xml:space="preserve"> </v>
      </c>
      <c r="F2980" s="107" t="str">
        <f>IF(LEN(Table1722[[#This Row],[Uraian]])&gt;2,TRIM(RIGHT(SUBSTITUTE(TRIM(C2980)," ",REPT(" ",255)),255))," ")</f>
        <v xml:space="preserve"> </v>
      </c>
      <c r="G2980" s="124">
        <f>COPY!Z2972</f>
        <v>0</v>
      </c>
      <c r="H2980" s="125" t="str">
        <f>IFERROR(VLOOKUP(Table1722[[#This Row],[Bukti]],'Un nOTA'!$A$4:$K$5003,10,FALSE),"")</f>
        <v/>
      </c>
      <c r="I2980" s="123" t="str">
        <f>IFERROR(VLOOKUP(Table1722[[#This Row],[Bukti]],Table13[#Data],11,FALSE),"")</f>
        <v/>
      </c>
    </row>
    <row r="2981" spans="1:9" hidden="1" x14ac:dyDescent="0.2">
      <c r="A2981" s="105" t="str">
        <f>IF(D2981=1,COUNTIF($D$10:D2981,1)," ")</f>
        <v xml:space="preserve"> </v>
      </c>
      <c r="B2981" s="106">
        <f>COPY!AR2973</f>
        <v>0</v>
      </c>
      <c r="C2981" s="107">
        <f>COPY!AC2973</f>
        <v>0</v>
      </c>
      <c r="D2981" s="107" t="str">
        <f>IF(LEN(Table1722[[#This Row],[Uraian]])&gt;2,1," ")</f>
        <v xml:space="preserve"> </v>
      </c>
      <c r="E2981" s="113" t="str">
        <f>IF(Table1722[[#This Row],[Lawan Transaksi]]="CV AGUNG KARYA",COUNTIF($I$10:I2981,"CV AGUNG KARYA")," ")</f>
        <v xml:space="preserve"> </v>
      </c>
      <c r="F2981" s="107" t="str">
        <f>IF(LEN(Table1722[[#This Row],[Uraian]])&gt;2,TRIM(RIGHT(SUBSTITUTE(TRIM(C2981)," ",REPT(" ",255)),255))," ")</f>
        <v xml:space="preserve"> </v>
      </c>
      <c r="G2981" s="124">
        <f>COPY!Z2973</f>
        <v>0</v>
      </c>
      <c r="H2981" s="125" t="str">
        <f>IFERROR(VLOOKUP(Table1722[[#This Row],[Bukti]],'Un nOTA'!$A$4:$K$5003,10,FALSE),"")</f>
        <v/>
      </c>
      <c r="I2981" s="123" t="str">
        <f>IFERROR(VLOOKUP(Table1722[[#This Row],[Bukti]],Table13[#Data],11,FALSE),"")</f>
        <v/>
      </c>
    </row>
    <row r="2982" spans="1:9" hidden="1" x14ac:dyDescent="0.2">
      <c r="A2982" s="105" t="str">
        <f>IF(D2982=1,COUNTIF($D$10:D2982,1)," ")</f>
        <v xml:space="preserve"> </v>
      </c>
      <c r="B2982" s="106">
        <f>COPY!AR2974</f>
        <v>0</v>
      </c>
      <c r="C2982" s="107">
        <f>COPY!AC2974</f>
        <v>0</v>
      </c>
      <c r="D2982" s="107" t="str">
        <f>IF(LEN(Table1722[[#This Row],[Uraian]])&gt;2,1," ")</f>
        <v xml:space="preserve"> </v>
      </c>
      <c r="E2982" s="113" t="str">
        <f>IF(Table1722[[#This Row],[Lawan Transaksi]]="CV AGUNG KARYA",COUNTIF($I$10:I2982,"CV AGUNG KARYA")," ")</f>
        <v xml:space="preserve"> </v>
      </c>
      <c r="F2982" s="107" t="str">
        <f>IF(LEN(Table1722[[#This Row],[Uraian]])&gt;2,TRIM(RIGHT(SUBSTITUTE(TRIM(C2982)," ",REPT(" ",255)),255))," ")</f>
        <v xml:space="preserve"> </v>
      </c>
      <c r="G2982" s="124">
        <f>COPY!Z2974</f>
        <v>0</v>
      </c>
      <c r="H2982" s="125" t="str">
        <f>IFERROR(VLOOKUP(Table1722[[#This Row],[Bukti]],'Un nOTA'!$A$4:$K$5003,10,FALSE),"")</f>
        <v/>
      </c>
      <c r="I2982" s="123" t="str">
        <f>IFERROR(VLOOKUP(Table1722[[#This Row],[Bukti]],Table13[#Data],11,FALSE),"")</f>
        <v/>
      </c>
    </row>
    <row r="2983" spans="1:9" hidden="1" x14ac:dyDescent="0.2">
      <c r="A2983" s="105" t="str">
        <f>IF(D2983=1,COUNTIF($D$10:D2983,1)," ")</f>
        <v xml:space="preserve"> </v>
      </c>
      <c r="B2983" s="106">
        <f>COPY!AR2975</f>
        <v>0</v>
      </c>
      <c r="C2983" s="107">
        <f>COPY!AC2975</f>
        <v>0</v>
      </c>
      <c r="D2983" s="107" t="str">
        <f>IF(LEN(Table1722[[#This Row],[Uraian]])&gt;2,1," ")</f>
        <v xml:space="preserve"> </v>
      </c>
      <c r="E2983" s="113" t="str">
        <f>IF(Table1722[[#This Row],[Lawan Transaksi]]="CV AGUNG KARYA",COUNTIF($I$10:I2983,"CV AGUNG KARYA")," ")</f>
        <v xml:space="preserve"> </v>
      </c>
      <c r="F2983" s="107" t="str">
        <f>IF(LEN(Table1722[[#This Row],[Uraian]])&gt;2,TRIM(RIGHT(SUBSTITUTE(TRIM(C2983)," ",REPT(" ",255)),255))," ")</f>
        <v xml:space="preserve"> </v>
      </c>
      <c r="G2983" s="124">
        <f>COPY!Z2975</f>
        <v>0</v>
      </c>
      <c r="H2983" s="125" t="str">
        <f>IFERROR(VLOOKUP(Table1722[[#This Row],[Bukti]],'Un nOTA'!$A$4:$K$5003,10,FALSE),"")</f>
        <v/>
      </c>
      <c r="I2983" s="123" t="str">
        <f>IFERROR(VLOOKUP(Table1722[[#This Row],[Bukti]],Table13[#Data],11,FALSE),"")</f>
        <v/>
      </c>
    </row>
    <row r="2984" spans="1:9" hidden="1" x14ac:dyDescent="0.2">
      <c r="A2984" s="105" t="str">
        <f>IF(D2984=1,COUNTIF($D$10:D2984,1)," ")</f>
        <v xml:space="preserve"> </v>
      </c>
      <c r="B2984" s="106">
        <f>COPY!AR2976</f>
        <v>0</v>
      </c>
      <c r="C2984" s="107">
        <f>COPY!AC2976</f>
        <v>0</v>
      </c>
      <c r="D2984" s="107" t="str">
        <f>IF(LEN(Table1722[[#This Row],[Uraian]])&gt;2,1," ")</f>
        <v xml:space="preserve"> </v>
      </c>
      <c r="E2984" s="113" t="str">
        <f>IF(Table1722[[#This Row],[Lawan Transaksi]]="CV AGUNG KARYA",COUNTIF($I$10:I2984,"CV AGUNG KARYA")," ")</f>
        <v xml:space="preserve"> </v>
      </c>
      <c r="F2984" s="107" t="str">
        <f>IF(LEN(Table1722[[#This Row],[Uraian]])&gt;2,TRIM(RIGHT(SUBSTITUTE(TRIM(C2984)," ",REPT(" ",255)),255))," ")</f>
        <v xml:space="preserve"> </v>
      </c>
      <c r="G2984" s="124">
        <f>COPY!Z2976</f>
        <v>0</v>
      </c>
      <c r="H2984" s="125" t="str">
        <f>IFERROR(VLOOKUP(Table1722[[#This Row],[Bukti]],'Un nOTA'!$A$4:$K$5003,10,FALSE),"")</f>
        <v/>
      </c>
      <c r="I2984" s="123" t="str">
        <f>IFERROR(VLOOKUP(Table1722[[#This Row],[Bukti]],Table13[#Data],11,FALSE),"")</f>
        <v/>
      </c>
    </row>
    <row r="2985" spans="1:9" hidden="1" x14ac:dyDescent="0.2">
      <c r="A2985" s="105" t="str">
        <f>IF(D2985=1,COUNTIF($D$10:D2985,1)," ")</f>
        <v xml:space="preserve"> </v>
      </c>
      <c r="B2985" s="106">
        <f>COPY!AR2977</f>
        <v>0</v>
      </c>
      <c r="C2985" s="107">
        <f>COPY!AC2977</f>
        <v>0</v>
      </c>
      <c r="D2985" s="107" t="str">
        <f>IF(LEN(Table1722[[#This Row],[Uraian]])&gt;2,1," ")</f>
        <v xml:space="preserve"> </v>
      </c>
      <c r="E2985" s="113" t="str">
        <f>IF(Table1722[[#This Row],[Lawan Transaksi]]="CV AGUNG KARYA",COUNTIF($I$10:I2985,"CV AGUNG KARYA")," ")</f>
        <v xml:space="preserve"> </v>
      </c>
      <c r="F2985" s="107" t="str">
        <f>IF(LEN(Table1722[[#This Row],[Uraian]])&gt;2,TRIM(RIGHT(SUBSTITUTE(TRIM(C2985)," ",REPT(" ",255)),255))," ")</f>
        <v xml:space="preserve"> </v>
      </c>
      <c r="G2985" s="124">
        <f>COPY!Z2977</f>
        <v>0</v>
      </c>
      <c r="H2985" s="125" t="str">
        <f>IFERROR(VLOOKUP(Table1722[[#This Row],[Bukti]],'Un nOTA'!$A$4:$K$5003,10,FALSE),"")</f>
        <v/>
      </c>
      <c r="I2985" s="123" t="str">
        <f>IFERROR(VLOOKUP(Table1722[[#This Row],[Bukti]],Table13[#Data],11,FALSE),"")</f>
        <v/>
      </c>
    </row>
    <row r="2986" spans="1:9" hidden="1" x14ac:dyDescent="0.2">
      <c r="A2986" s="105" t="str">
        <f>IF(D2986=1,COUNTIF($D$10:D2986,1)," ")</f>
        <v xml:space="preserve"> </v>
      </c>
      <c r="B2986" s="106">
        <f>COPY!AR2978</f>
        <v>0</v>
      </c>
      <c r="C2986" s="107">
        <f>COPY!AC2978</f>
        <v>0</v>
      </c>
      <c r="D2986" s="107" t="str">
        <f>IF(LEN(Table1722[[#This Row],[Uraian]])&gt;2,1," ")</f>
        <v xml:space="preserve"> </v>
      </c>
      <c r="E2986" s="113" t="str">
        <f>IF(Table1722[[#This Row],[Lawan Transaksi]]="CV AGUNG KARYA",COUNTIF($I$10:I2986,"CV AGUNG KARYA")," ")</f>
        <v xml:space="preserve"> </v>
      </c>
      <c r="F2986" s="107" t="str">
        <f>IF(LEN(Table1722[[#This Row],[Uraian]])&gt;2,TRIM(RIGHT(SUBSTITUTE(TRIM(C2986)," ",REPT(" ",255)),255))," ")</f>
        <v xml:space="preserve"> </v>
      </c>
      <c r="G2986" s="124">
        <f>COPY!Z2978</f>
        <v>0</v>
      </c>
      <c r="H2986" s="125" t="str">
        <f>IFERROR(VLOOKUP(Table1722[[#This Row],[Bukti]],'Un nOTA'!$A$4:$K$5003,10,FALSE),"")</f>
        <v/>
      </c>
      <c r="I2986" s="123" t="str">
        <f>IFERROR(VLOOKUP(Table1722[[#This Row],[Bukti]],Table13[#Data],11,FALSE),"")</f>
        <v/>
      </c>
    </row>
    <row r="2987" spans="1:9" hidden="1" x14ac:dyDescent="0.2">
      <c r="A2987" s="105" t="str">
        <f>IF(D2987=1,COUNTIF($D$10:D2987,1)," ")</f>
        <v xml:space="preserve"> </v>
      </c>
      <c r="B2987" s="106">
        <f>COPY!AR2979</f>
        <v>0</v>
      </c>
      <c r="C2987" s="107">
        <f>COPY!AC2979</f>
        <v>0</v>
      </c>
      <c r="D2987" s="107" t="str">
        <f>IF(LEN(Table1722[[#This Row],[Uraian]])&gt;2,1," ")</f>
        <v xml:space="preserve"> </v>
      </c>
      <c r="E2987" s="113" t="str">
        <f>IF(Table1722[[#This Row],[Lawan Transaksi]]="CV AGUNG KARYA",COUNTIF($I$10:I2987,"CV AGUNG KARYA")," ")</f>
        <v xml:space="preserve"> </v>
      </c>
      <c r="F2987" s="107" t="str">
        <f>IF(LEN(Table1722[[#This Row],[Uraian]])&gt;2,TRIM(RIGHT(SUBSTITUTE(TRIM(C2987)," ",REPT(" ",255)),255))," ")</f>
        <v xml:space="preserve"> </v>
      </c>
      <c r="G2987" s="110">
        <f>COPY!Z2979</f>
        <v>0</v>
      </c>
      <c r="H2987" s="111" t="str">
        <f>IFERROR(VLOOKUP(Table1722[[#This Row],[Bukti]],'Un nOTA'!$A$4:$K$5003,10,FALSE),"")</f>
        <v/>
      </c>
      <c r="I2987" s="123" t="str">
        <f>IFERROR(VLOOKUP(Table1722[[#This Row],[Bukti]],Table13[#Data],11,FALSE),"")</f>
        <v/>
      </c>
    </row>
    <row r="2988" spans="1:9" hidden="1" x14ac:dyDescent="0.2">
      <c r="A2988" s="105" t="str">
        <f>IF(D2988=1,COUNTIF($D$10:D2988,1)," ")</f>
        <v xml:space="preserve"> </v>
      </c>
      <c r="B2988" s="106">
        <f>COPY!AR2980</f>
        <v>0</v>
      </c>
      <c r="C2988" s="107">
        <f>COPY!AC2980</f>
        <v>0</v>
      </c>
      <c r="D2988" s="107" t="str">
        <f>IF(LEN(Table1722[[#This Row],[Uraian]])&gt;2,1," ")</f>
        <v xml:space="preserve"> </v>
      </c>
      <c r="E2988" s="113" t="str">
        <f>IF(Table1722[[#This Row],[Lawan Transaksi]]="CV AGUNG KARYA",COUNTIF($I$10:I2988,"CV AGUNG KARYA")," ")</f>
        <v xml:space="preserve"> </v>
      </c>
      <c r="F2988" s="107" t="str">
        <f>IF(LEN(Table1722[[#This Row],[Uraian]])&gt;2,TRIM(RIGHT(SUBSTITUTE(TRIM(C2988)," ",REPT(" ",255)),255))," ")</f>
        <v xml:space="preserve"> </v>
      </c>
      <c r="G2988" s="110">
        <f>COPY!Z2980</f>
        <v>0</v>
      </c>
      <c r="H2988" s="111" t="str">
        <f>IFERROR(VLOOKUP(Table1722[[#This Row],[Bukti]],'Un nOTA'!$A$4:$K$5003,10,FALSE),"")</f>
        <v/>
      </c>
      <c r="I2988" s="123" t="str">
        <f>IFERROR(VLOOKUP(Table1722[[#This Row],[Bukti]],Table13[#Data],11,FALSE),"")</f>
        <v/>
      </c>
    </row>
    <row r="2989" spans="1:9" hidden="1" x14ac:dyDescent="0.2">
      <c r="A2989" s="105" t="str">
        <f>IF(D2989=1,COUNTIF($D$10:D2989,1)," ")</f>
        <v xml:space="preserve"> </v>
      </c>
      <c r="B2989" s="106">
        <f>COPY!AR2981</f>
        <v>0</v>
      </c>
      <c r="C2989" s="107">
        <f>COPY!AC2981</f>
        <v>0</v>
      </c>
      <c r="D2989" s="107" t="str">
        <f>IF(LEN(Table1722[[#This Row],[Uraian]])&gt;2,1," ")</f>
        <v xml:space="preserve"> </v>
      </c>
      <c r="E2989" s="113" t="str">
        <f>IF(Table1722[[#This Row],[Lawan Transaksi]]="CV AGUNG KARYA",COUNTIF($I$10:I2989,"CV AGUNG KARYA")," ")</f>
        <v xml:space="preserve"> </v>
      </c>
      <c r="F2989" s="107" t="str">
        <f>IF(LEN(Table1722[[#This Row],[Uraian]])&gt;2,TRIM(RIGHT(SUBSTITUTE(TRIM(C2989)," ",REPT(" ",255)),255))," ")</f>
        <v xml:space="preserve"> </v>
      </c>
      <c r="G2989" s="110">
        <f>COPY!Z2981</f>
        <v>0</v>
      </c>
      <c r="H2989" s="111" t="str">
        <f>IFERROR(VLOOKUP(Table1722[[#This Row],[Bukti]],'Un nOTA'!$A$4:$K$5003,10,FALSE),"")</f>
        <v/>
      </c>
      <c r="I2989" s="123" t="str">
        <f>IFERROR(VLOOKUP(Table1722[[#This Row],[Bukti]],Table13[#Data],11,FALSE),"")</f>
        <v/>
      </c>
    </row>
    <row r="2990" spans="1:9" hidden="1" x14ac:dyDescent="0.2">
      <c r="A2990" s="105" t="str">
        <f>IF(D2990=1,COUNTIF($D$10:D2990,1)," ")</f>
        <v xml:space="preserve"> </v>
      </c>
      <c r="B2990" s="106">
        <f>COPY!AR2982</f>
        <v>0</v>
      </c>
      <c r="C2990" s="107">
        <f>COPY!AC2982</f>
        <v>0</v>
      </c>
      <c r="D2990" s="107" t="str">
        <f>IF(LEN(Table1722[[#This Row],[Uraian]])&gt;2,1," ")</f>
        <v xml:space="preserve"> </v>
      </c>
      <c r="E2990" s="113" t="str">
        <f>IF(Table1722[[#This Row],[Lawan Transaksi]]="CV AGUNG KARYA",COUNTIF($I$10:I2990,"CV AGUNG KARYA")," ")</f>
        <v xml:space="preserve"> </v>
      </c>
      <c r="F2990" s="107" t="str">
        <f>IF(LEN(Table1722[[#This Row],[Uraian]])&gt;2,TRIM(RIGHT(SUBSTITUTE(TRIM(C2990)," ",REPT(" ",255)),255))," ")</f>
        <v xml:space="preserve"> </v>
      </c>
      <c r="G2990" s="110">
        <f>COPY!Z2982</f>
        <v>0</v>
      </c>
      <c r="H2990" s="111" t="str">
        <f>IFERROR(VLOOKUP(Table1722[[#This Row],[Bukti]],'Un nOTA'!$A$4:$K$5003,10,FALSE),"")</f>
        <v/>
      </c>
      <c r="I2990" s="123" t="str">
        <f>IFERROR(VLOOKUP(Table1722[[#This Row],[Bukti]],Table13[#Data],11,FALSE),"")</f>
        <v/>
      </c>
    </row>
    <row r="2991" spans="1:9" hidden="1" x14ac:dyDescent="0.2">
      <c r="A2991" s="105" t="str">
        <f>IF(D2991=1,COUNTIF($D$10:D2991,1)," ")</f>
        <v xml:space="preserve"> </v>
      </c>
      <c r="B2991" s="106">
        <f>COPY!AR2983</f>
        <v>0</v>
      </c>
      <c r="C2991" s="107">
        <f>COPY!AC2983</f>
        <v>0</v>
      </c>
      <c r="D2991" s="107" t="str">
        <f>IF(LEN(Table1722[[#This Row],[Uraian]])&gt;2,1," ")</f>
        <v xml:space="preserve"> </v>
      </c>
      <c r="E2991" s="113" t="str">
        <f>IF(Table1722[[#This Row],[Lawan Transaksi]]="CV AGUNG KARYA",COUNTIF($I$10:I2991,"CV AGUNG KARYA")," ")</f>
        <v xml:space="preserve"> </v>
      </c>
      <c r="F2991" s="107" t="str">
        <f>IF(LEN(Table1722[[#This Row],[Uraian]])&gt;2,TRIM(RIGHT(SUBSTITUTE(TRIM(C2991)," ",REPT(" ",255)),255))," ")</f>
        <v xml:space="preserve"> </v>
      </c>
      <c r="G2991" s="110">
        <f>COPY!Z2983</f>
        <v>0</v>
      </c>
      <c r="H2991" s="111" t="str">
        <f>IFERROR(VLOOKUP(Table1722[[#This Row],[Bukti]],'Un nOTA'!$A$4:$K$5003,10,FALSE),"")</f>
        <v/>
      </c>
      <c r="I2991" s="123" t="str">
        <f>IFERROR(VLOOKUP(Table1722[[#This Row],[Bukti]],Table13[#Data],11,FALSE),"")</f>
        <v/>
      </c>
    </row>
    <row r="2992" spans="1:9" hidden="1" x14ac:dyDescent="0.2">
      <c r="A2992" s="105" t="str">
        <f>IF(D2992=1,COUNTIF($D$10:D2992,1)," ")</f>
        <v xml:space="preserve"> </v>
      </c>
      <c r="B2992" s="106">
        <f>COPY!AR2984</f>
        <v>0</v>
      </c>
      <c r="C2992" s="107">
        <f>COPY!AC2984</f>
        <v>0</v>
      </c>
      <c r="D2992" s="107" t="str">
        <f>IF(LEN(Table1722[[#This Row],[Uraian]])&gt;2,1," ")</f>
        <v xml:space="preserve"> </v>
      </c>
      <c r="E2992" s="113" t="str">
        <f>IF(Table1722[[#This Row],[Lawan Transaksi]]="CV AGUNG KARYA",COUNTIF($I$10:I2992,"CV AGUNG KARYA")," ")</f>
        <v xml:space="preserve"> </v>
      </c>
      <c r="F2992" s="107" t="str">
        <f>IF(LEN(Table1722[[#This Row],[Uraian]])&gt;2,TRIM(RIGHT(SUBSTITUTE(TRIM(C2992)," ",REPT(" ",255)),255))," ")</f>
        <v xml:space="preserve"> </v>
      </c>
      <c r="G2992" s="110">
        <f>COPY!Z2984</f>
        <v>0</v>
      </c>
      <c r="H2992" s="111" t="str">
        <f>IFERROR(VLOOKUP(Table1722[[#This Row],[Bukti]],'Un nOTA'!$A$4:$K$5003,10,FALSE),"")</f>
        <v/>
      </c>
      <c r="I2992" s="123" t="str">
        <f>IFERROR(VLOOKUP(Table1722[[#This Row],[Bukti]],Table13[#Data],11,FALSE),"")</f>
        <v/>
      </c>
    </row>
    <row r="2993" spans="1:9" hidden="1" x14ac:dyDescent="0.2">
      <c r="A2993" s="105" t="str">
        <f>IF(D2993=1,COUNTIF($D$10:D2993,1)," ")</f>
        <v xml:space="preserve"> </v>
      </c>
      <c r="B2993" s="106">
        <f>COPY!AR2985</f>
        <v>0</v>
      </c>
      <c r="C2993" s="107">
        <f>COPY!AC2985</f>
        <v>0</v>
      </c>
      <c r="D2993" s="107" t="str">
        <f>IF(LEN(Table1722[[#This Row],[Uraian]])&gt;2,1," ")</f>
        <v xml:space="preserve"> </v>
      </c>
      <c r="E2993" s="113" t="str">
        <f>IF(Table1722[[#This Row],[Lawan Transaksi]]="CV AGUNG KARYA",COUNTIF($I$10:I2993,"CV AGUNG KARYA")," ")</f>
        <v xml:space="preserve"> </v>
      </c>
      <c r="F2993" s="107" t="str">
        <f>IF(LEN(Table1722[[#This Row],[Uraian]])&gt;2,TRIM(RIGHT(SUBSTITUTE(TRIM(C2993)," ",REPT(" ",255)),255))," ")</f>
        <v xml:space="preserve"> </v>
      </c>
      <c r="G2993" s="110">
        <f>COPY!Z2985</f>
        <v>0</v>
      </c>
      <c r="H2993" s="111" t="str">
        <f>IFERROR(VLOOKUP(Table1722[[#This Row],[Bukti]],'Un nOTA'!$A$4:$K$5003,10,FALSE),"")</f>
        <v/>
      </c>
      <c r="I2993" s="123" t="str">
        <f>IFERROR(VLOOKUP(Table1722[[#This Row],[Bukti]],Table13[#Data],11,FALSE),"")</f>
        <v/>
      </c>
    </row>
    <row r="2994" spans="1:9" hidden="1" x14ac:dyDescent="0.2">
      <c r="A2994" s="105" t="str">
        <f>IF(D2994=1,COUNTIF($D$10:D2994,1)," ")</f>
        <v xml:space="preserve"> </v>
      </c>
      <c r="B2994" s="106">
        <f>COPY!AR2986</f>
        <v>0</v>
      </c>
      <c r="C2994" s="107">
        <f>COPY!AC2986</f>
        <v>0</v>
      </c>
      <c r="D2994" s="107" t="str">
        <f>IF(LEN(Table1722[[#This Row],[Uraian]])&gt;2,1," ")</f>
        <v xml:space="preserve"> </v>
      </c>
      <c r="E2994" s="113" t="str">
        <f>IF(Table1722[[#This Row],[Lawan Transaksi]]="CV AGUNG KARYA",COUNTIF($I$10:I2994,"CV AGUNG KARYA")," ")</f>
        <v xml:space="preserve"> </v>
      </c>
      <c r="F2994" s="107" t="str">
        <f>IF(LEN(Table1722[[#This Row],[Uraian]])&gt;2,TRIM(RIGHT(SUBSTITUTE(TRIM(C2994)," ",REPT(" ",255)),255))," ")</f>
        <v xml:space="preserve"> </v>
      </c>
      <c r="G2994" s="110">
        <f>COPY!Z2986</f>
        <v>0</v>
      </c>
      <c r="H2994" s="111" t="str">
        <f>IFERROR(VLOOKUP(Table1722[[#This Row],[Bukti]],'Un nOTA'!$A$4:$K$5003,10,FALSE),"")</f>
        <v/>
      </c>
      <c r="I2994" s="123" t="str">
        <f>IFERROR(VLOOKUP(Table1722[[#This Row],[Bukti]],Table13[#Data],11,FALSE),"")</f>
        <v/>
      </c>
    </row>
    <row r="2995" spans="1:9" hidden="1" x14ac:dyDescent="0.2">
      <c r="A2995" s="105" t="str">
        <f>IF(D2995=1,COUNTIF($D$10:D2995,1)," ")</f>
        <v xml:space="preserve"> </v>
      </c>
      <c r="B2995" s="106">
        <f>COPY!AR2987</f>
        <v>0</v>
      </c>
      <c r="C2995" s="107">
        <f>COPY!AC2987</f>
        <v>0</v>
      </c>
      <c r="D2995" s="107" t="str">
        <f>IF(LEN(Table1722[[#This Row],[Uraian]])&gt;2,1," ")</f>
        <v xml:space="preserve"> </v>
      </c>
      <c r="E2995" s="113" t="str">
        <f>IF(Table1722[[#This Row],[Lawan Transaksi]]="CV AGUNG KARYA",COUNTIF($I$10:I2995,"CV AGUNG KARYA")," ")</f>
        <v xml:space="preserve"> </v>
      </c>
      <c r="F2995" s="107" t="str">
        <f>IF(LEN(Table1722[[#This Row],[Uraian]])&gt;2,TRIM(RIGHT(SUBSTITUTE(TRIM(C2995)," ",REPT(" ",255)),255))," ")</f>
        <v xml:space="preserve"> </v>
      </c>
      <c r="G2995" s="110">
        <f>COPY!Z2987</f>
        <v>0</v>
      </c>
      <c r="H2995" s="111" t="str">
        <f>IFERROR(VLOOKUP(Table1722[[#This Row],[Bukti]],'Un nOTA'!$A$4:$K$5003,10,FALSE),"")</f>
        <v/>
      </c>
      <c r="I2995" s="123" t="str">
        <f>IFERROR(VLOOKUP(Table1722[[#This Row],[Bukti]],Table13[#Data],11,FALSE),"")</f>
        <v/>
      </c>
    </row>
    <row r="2996" spans="1:9" hidden="1" x14ac:dyDescent="0.2">
      <c r="A2996" s="105" t="str">
        <f>IF(D2996=1,COUNTIF($D$10:D2996,1)," ")</f>
        <v xml:space="preserve"> </v>
      </c>
      <c r="B2996" s="106">
        <f>COPY!AR2988</f>
        <v>0</v>
      </c>
      <c r="C2996" s="107">
        <f>COPY!AC2988</f>
        <v>0</v>
      </c>
      <c r="D2996" s="107" t="str">
        <f>IF(LEN(Table1722[[#This Row],[Uraian]])&gt;2,1," ")</f>
        <v xml:space="preserve"> </v>
      </c>
      <c r="E2996" s="113" t="str">
        <f>IF(Table1722[[#This Row],[Lawan Transaksi]]="CV AGUNG KARYA",COUNTIF($I$10:I2996,"CV AGUNG KARYA")," ")</f>
        <v xml:space="preserve"> </v>
      </c>
      <c r="F2996" s="107" t="str">
        <f>IF(LEN(Table1722[[#This Row],[Uraian]])&gt;2,TRIM(RIGHT(SUBSTITUTE(TRIM(C2996)," ",REPT(" ",255)),255))," ")</f>
        <v xml:space="preserve"> </v>
      </c>
      <c r="G2996" s="110">
        <f>COPY!Z2988</f>
        <v>0</v>
      </c>
      <c r="H2996" s="111" t="str">
        <f>IFERROR(VLOOKUP(Table1722[[#This Row],[Bukti]],'Un nOTA'!$A$4:$K$5003,10,FALSE),"")</f>
        <v/>
      </c>
      <c r="I2996" s="123" t="str">
        <f>IFERROR(VLOOKUP(Table1722[[#This Row],[Bukti]],Table13[#Data],11,FALSE),"")</f>
        <v/>
      </c>
    </row>
    <row r="2997" spans="1:9" hidden="1" x14ac:dyDescent="0.2">
      <c r="A2997" s="105" t="str">
        <f>IF(D2997=1,COUNTIF($D$10:D2997,1)," ")</f>
        <v xml:space="preserve"> </v>
      </c>
      <c r="B2997" s="106">
        <f>COPY!AR2989</f>
        <v>0</v>
      </c>
      <c r="C2997" s="107">
        <f>COPY!AC2989</f>
        <v>0</v>
      </c>
      <c r="D2997" s="107" t="str">
        <f>IF(LEN(Table1722[[#This Row],[Uraian]])&gt;2,1," ")</f>
        <v xml:space="preserve"> </v>
      </c>
      <c r="E2997" s="113" t="str">
        <f>IF(Table1722[[#This Row],[Lawan Transaksi]]="CV AGUNG KARYA",COUNTIF($I$10:I2997,"CV AGUNG KARYA")," ")</f>
        <v xml:space="preserve"> </v>
      </c>
      <c r="F2997" s="107" t="str">
        <f>IF(LEN(Table1722[[#This Row],[Uraian]])&gt;2,TRIM(RIGHT(SUBSTITUTE(TRIM(C2997)," ",REPT(" ",255)),255))," ")</f>
        <v xml:space="preserve"> </v>
      </c>
      <c r="G2997" s="110">
        <f>COPY!Z2989</f>
        <v>0</v>
      </c>
      <c r="H2997" s="111" t="str">
        <f>IFERROR(VLOOKUP(Table1722[[#This Row],[Bukti]],'Un nOTA'!$A$4:$K$5003,10,FALSE),"")</f>
        <v/>
      </c>
      <c r="I2997" s="123" t="str">
        <f>IFERROR(VLOOKUP(Table1722[[#This Row],[Bukti]],Table13[#Data],11,FALSE),"")</f>
        <v/>
      </c>
    </row>
    <row r="2998" spans="1:9" hidden="1" x14ac:dyDescent="0.2">
      <c r="A2998" s="105" t="str">
        <f>IF(D2998=1,COUNTIF($D$10:D2998,1)," ")</f>
        <v xml:space="preserve"> </v>
      </c>
      <c r="B2998" s="106">
        <f>COPY!AR2990</f>
        <v>0</v>
      </c>
      <c r="C2998" s="107">
        <f>COPY!AC2990</f>
        <v>0</v>
      </c>
      <c r="D2998" s="107" t="str">
        <f>IF(LEN(Table1722[[#This Row],[Uraian]])&gt;2,1," ")</f>
        <v xml:space="preserve"> </v>
      </c>
      <c r="E2998" s="113" t="str">
        <f>IF(Table1722[[#This Row],[Lawan Transaksi]]="CV AGUNG KARYA",COUNTIF($I$10:I2998,"CV AGUNG KARYA")," ")</f>
        <v xml:space="preserve"> </v>
      </c>
      <c r="F2998" s="107" t="str">
        <f>IF(LEN(Table1722[[#This Row],[Uraian]])&gt;2,TRIM(RIGHT(SUBSTITUTE(TRIM(C2998)," ",REPT(" ",255)),255))," ")</f>
        <v xml:space="preserve"> </v>
      </c>
      <c r="G2998" s="110">
        <f>COPY!Z2990</f>
        <v>0</v>
      </c>
      <c r="H2998" s="111" t="str">
        <f>IFERROR(VLOOKUP(Table1722[[#This Row],[Bukti]],'Un nOTA'!$A$4:$K$5003,10,FALSE),"")</f>
        <v/>
      </c>
      <c r="I2998" s="123" t="str">
        <f>IFERROR(VLOOKUP(Table1722[[#This Row],[Bukti]],Table13[#Data],11,FALSE),"")</f>
        <v/>
      </c>
    </row>
    <row r="2999" spans="1:9" hidden="1" x14ac:dyDescent="0.2">
      <c r="A2999" s="105" t="str">
        <f>IF(D2999=1,COUNTIF($D$10:D2999,1)," ")</f>
        <v xml:space="preserve"> </v>
      </c>
      <c r="B2999" s="106">
        <f>COPY!AR2991</f>
        <v>0</v>
      </c>
      <c r="C2999" s="107">
        <f>COPY!AC2991</f>
        <v>0</v>
      </c>
      <c r="D2999" s="107" t="str">
        <f>IF(LEN(Table1722[[#This Row],[Uraian]])&gt;2,1," ")</f>
        <v xml:space="preserve"> </v>
      </c>
      <c r="E2999" s="113" t="str">
        <f>IF(Table1722[[#This Row],[Lawan Transaksi]]="CV AGUNG KARYA",COUNTIF($I$10:I2999,"CV AGUNG KARYA")," ")</f>
        <v xml:space="preserve"> </v>
      </c>
      <c r="F2999" s="107" t="str">
        <f>IF(LEN(Table1722[[#This Row],[Uraian]])&gt;2,TRIM(RIGHT(SUBSTITUTE(TRIM(C2999)," ",REPT(" ",255)),255))," ")</f>
        <v xml:space="preserve"> </v>
      </c>
      <c r="G2999" s="110">
        <f>COPY!Z2991</f>
        <v>0</v>
      </c>
      <c r="H2999" s="111" t="str">
        <f>IFERROR(VLOOKUP(Table1722[[#This Row],[Bukti]],'Un nOTA'!$A$4:$K$5003,10,FALSE),"")</f>
        <v/>
      </c>
      <c r="I2999" s="123" t="str">
        <f>IFERROR(VLOOKUP(Table1722[[#This Row],[Bukti]],Table13[#Data],11,FALSE),"")</f>
        <v/>
      </c>
    </row>
    <row r="3000" spans="1:9" hidden="1" x14ac:dyDescent="0.2">
      <c r="A3000" s="105" t="str">
        <f>IF(D3000=1,COUNTIF($D$10:D3000,1)," ")</f>
        <v xml:space="preserve"> </v>
      </c>
      <c r="B3000" s="106">
        <f>COPY!AR2992</f>
        <v>0</v>
      </c>
      <c r="C3000" s="107">
        <f>COPY!AC2992</f>
        <v>0</v>
      </c>
      <c r="D3000" s="107" t="str">
        <f>IF(LEN(Table1722[[#This Row],[Uraian]])&gt;2,1," ")</f>
        <v xml:space="preserve"> </v>
      </c>
      <c r="E3000" s="113" t="str">
        <f>IF(Table1722[[#This Row],[Lawan Transaksi]]="CV AGUNG KARYA",COUNTIF($I$10:I3000,"CV AGUNG KARYA")," ")</f>
        <v xml:space="preserve"> </v>
      </c>
      <c r="F3000" s="107" t="str">
        <f>IF(LEN(Table1722[[#This Row],[Uraian]])&gt;2,TRIM(RIGHT(SUBSTITUTE(TRIM(C3000)," ",REPT(" ",255)),255))," ")</f>
        <v xml:space="preserve"> </v>
      </c>
      <c r="G3000" s="110">
        <f>COPY!Z2992</f>
        <v>0</v>
      </c>
      <c r="H3000" s="111" t="str">
        <f>IFERROR(VLOOKUP(Table1722[[#This Row],[Bukti]],'Un nOTA'!$A$4:$K$5003,10,FALSE),"")</f>
        <v/>
      </c>
      <c r="I3000" s="123" t="str">
        <f>IFERROR(VLOOKUP(Table1722[[#This Row],[Bukti]],Table13[#Data],11,FALSE),"")</f>
        <v/>
      </c>
    </row>
    <row r="3001" spans="1:9" hidden="1" x14ac:dyDescent="0.2">
      <c r="A3001" s="105" t="str">
        <f>IF(D3001=1,COUNTIF($D$10:D3001,1)," ")</f>
        <v xml:space="preserve"> </v>
      </c>
      <c r="B3001" s="106">
        <f>COPY!AR2993</f>
        <v>0</v>
      </c>
      <c r="C3001" s="107">
        <f>COPY!AC2993</f>
        <v>0</v>
      </c>
      <c r="D3001" s="107" t="str">
        <f>IF(LEN(Table1722[[#This Row],[Uraian]])&gt;2,1," ")</f>
        <v xml:space="preserve"> </v>
      </c>
      <c r="E3001" s="113" t="str">
        <f>IF(Table1722[[#This Row],[Lawan Transaksi]]="CV AGUNG KARYA",COUNTIF($I$10:I3001,"CV AGUNG KARYA")," ")</f>
        <v xml:space="preserve"> </v>
      </c>
      <c r="F3001" s="107" t="str">
        <f>IF(LEN(Table1722[[#This Row],[Uraian]])&gt;2,TRIM(RIGHT(SUBSTITUTE(TRIM(C3001)," ",REPT(" ",255)),255))," ")</f>
        <v xml:space="preserve"> </v>
      </c>
      <c r="G3001" s="110">
        <f>COPY!Z2993</f>
        <v>0</v>
      </c>
      <c r="H3001" s="111" t="str">
        <f>IFERROR(VLOOKUP(Table1722[[#This Row],[Bukti]],'Un nOTA'!$A$4:$K$5003,10,FALSE),"")</f>
        <v/>
      </c>
      <c r="I3001" s="123" t="str">
        <f>IFERROR(VLOOKUP(Table1722[[#This Row],[Bukti]],Table13[#Data],11,FALSE),"")</f>
        <v/>
      </c>
    </row>
    <row r="3002" spans="1:9" hidden="1" x14ac:dyDescent="0.2">
      <c r="A3002" s="105" t="str">
        <f>IF(D3002=1,COUNTIF($D$10:D3002,1)," ")</f>
        <v xml:space="preserve"> </v>
      </c>
      <c r="B3002" s="106">
        <f>COPY!AR2994</f>
        <v>0</v>
      </c>
      <c r="C3002" s="107">
        <f>COPY!AC2994</f>
        <v>0</v>
      </c>
      <c r="D3002" s="107" t="str">
        <f>IF(LEN(Table1722[[#This Row],[Uraian]])&gt;2,1," ")</f>
        <v xml:space="preserve"> </v>
      </c>
      <c r="E3002" s="113" t="str">
        <f>IF(Table1722[[#This Row],[Lawan Transaksi]]="CV AGUNG KARYA",COUNTIF($I$10:I3002,"CV AGUNG KARYA")," ")</f>
        <v xml:space="preserve"> </v>
      </c>
      <c r="F3002" s="107" t="str">
        <f>IF(LEN(Table1722[[#This Row],[Uraian]])&gt;2,TRIM(RIGHT(SUBSTITUTE(TRIM(C3002)," ",REPT(" ",255)),255))," ")</f>
        <v xml:space="preserve"> </v>
      </c>
      <c r="G3002" s="110">
        <f>COPY!Z2994</f>
        <v>0</v>
      </c>
      <c r="H3002" s="111" t="str">
        <f>IFERROR(VLOOKUP(Table1722[[#This Row],[Bukti]],'Un nOTA'!$A$4:$K$5003,10,FALSE),"")</f>
        <v/>
      </c>
      <c r="I3002" s="123" t="str">
        <f>IFERROR(VLOOKUP(Table1722[[#This Row],[Bukti]],Table13[#Data],11,FALSE),"")</f>
        <v/>
      </c>
    </row>
    <row r="3003" spans="1:9" hidden="1" x14ac:dyDescent="0.2">
      <c r="A3003" s="105" t="str">
        <f>IF(D3003=1,COUNTIF($D$10:D3003,1)," ")</f>
        <v xml:space="preserve"> </v>
      </c>
      <c r="B3003" s="106">
        <f>COPY!AR2995</f>
        <v>0</v>
      </c>
      <c r="C3003" s="107">
        <f>COPY!AC2995</f>
        <v>0</v>
      </c>
      <c r="D3003" s="107" t="str">
        <f>IF(LEN(Table1722[[#This Row],[Uraian]])&gt;2,1," ")</f>
        <v xml:space="preserve"> </v>
      </c>
      <c r="E3003" s="113" t="str">
        <f>IF(Table1722[[#This Row],[Lawan Transaksi]]="CV AGUNG KARYA",COUNTIF($I$10:I3003,"CV AGUNG KARYA")," ")</f>
        <v xml:space="preserve"> </v>
      </c>
      <c r="F3003" s="107" t="str">
        <f>IF(LEN(Table1722[[#This Row],[Uraian]])&gt;2,TRIM(RIGHT(SUBSTITUTE(TRIM(C3003)," ",REPT(" ",255)),255))," ")</f>
        <v xml:space="preserve"> </v>
      </c>
      <c r="G3003" s="110">
        <f>COPY!Z2995</f>
        <v>0</v>
      </c>
      <c r="H3003" s="111" t="str">
        <f>IFERROR(VLOOKUP(Table1722[[#This Row],[Bukti]],'Un nOTA'!$A$4:$K$5003,10,FALSE),"")</f>
        <v/>
      </c>
      <c r="I3003" s="123" t="str">
        <f>IFERROR(VLOOKUP(Table1722[[#This Row],[Bukti]],Table13[#Data],11,FALSE),"")</f>
        <v/>
      </c>
    </row>
    <row r="3004" spans="1:9" hidden="1" x14ac:dyDescent="0.2">
      <c r="A3004" s="105" t="str">
        <f>IF(D3004=1,COUNTIF($D$10:D3004,1)," ")</f>
        <v xml:space="preserve"> </v>
      </c>
      <c r="B3004" s="106">
        <f>COPY!AR2996</f>
        <v>0</v>
      </c>
      <c r="C3004" s="107">
        <f>COPY!AC2996</f>
        <v>0</v>
      </c>
      <c r="D3004" s="107" t="str">
        <f>IF(LEN(Table1722[[#This Row],[Uraian]])&gt;2,1," ")</f>
        <v xml:space="preserve"> </v>
      </c>
      <c r="E3004" s="113" t="str">
        <f>IF(Table1722[[#This Row],[Lawan Transaksi]]="CV AGUNG KARYA",COUNTIF($I$10:I3004,"CV AGUNG KARYA")," ")</f>
        <v xml:space="preserve"> </v>
      </c>
      <c r="F3004" s="107" t="str">
        <f>IF(LEN(Table1722[[#This Row],[Uraian]])&gt;2,TRIM(RIGHT(SUBSTITUTE(TRIM(C3004)," ",REPT(" ",255)),255))," ")</f>
        <v xml:space="preserve"> </v>
      </c>
      <c r="G3004" s="110">
        <f>COPY!Z2996</f>
        <v>0</v>
      </c>
      <c r="H3004" s="111" t="str">
        <f>IFERROR(VLOOKUP(Table1722[[#This Row],[Bukti]],'Un nOTA'!$A$4:$K$5003,10,FALSE),"")</f>
        <v/>
      </c>
      <c r="I3004" s="123" t="str">
        <f>IFERROR(VLOOKUP(Table1722[[#This Row],[Bukti]],Table13[#Data],11,FALSE),"")</f>
        <v/>
      </c>
    </row>
    <row r="3005" spans="1:9" hidden="1" x14ac:dyDescent="0.2">
      <c r="A3005" s="105" t="str">
        <f>IF(D3005=1,COUNTIF($D$10:D3005,1)," ")</f>
        <v xml:space="preserve"> </v>
      </c>
      <c r="B3005" s="106">
        <f>COPY!AR2997</f>
        <v>0</v>
      </c>
      <c r="C3005" s="107">
        <f>COPY!AC2997</f>
        <v>0</v>
      </c>
      <c r="D3005" s="107" t="str">
        <f>IF(LEN(Table1722[[#This Row],[Uraian]])&gt;2,1," ")</f>
        <v xml:space="preserve"> </v>
      </c>
      <c r="E3005" s="113" t="str">
        <f>IF(Table1722[[#This Row],[Lawan Transaksi]]="CV AGUNG KARYA",COUNTIF($I$10:I3005,"CV AGUNG KARYA")," ")</f>
        <v xml:space="preserve"> </v>
      </c>
      <c r="F3005" s="107" t="str">
        <f>IF(LEN(Table1722[[#This Row],[Uraian]])&gt;2,TRIM(RIGHT(SUBSTITUTE(TRIM(C3005)," ",REPT(" ",255)),255))," ")</f>
        <v xml:space="preserve"> </v>
      </c>
      <c r="G3005" s="110">
        <f>COPY!Z2997</f>
        <v>0</v>
      </c>
      <c r="H3005" s="111" t="str">
        <f>IFERROR(VLOOKUP(Table1722[[#This Row],[Bukti]],'Un nOTA'!$A$4:$K$5003,10,FALSE),"")</f>
        <v/>
      </c>
      <c r="I3005" s="123" t="str">
        <f>IFERROR(VLOOKUP(Table1722[[#This Row],[Bukti]],Table13[#Data],11,FALSE),"")</f>
        <v/>
      </c>
    </row>
    <row r="3006" spans="1:9" hidden="1" x14ac:dyDescent="0.2">
      <c r="A3006" s="105" t="str">
        <f>IF(D3006=1,COUNTIF($D$10:D3006,1)," ")</f>
        <v xml:space="preserve"> </v>
      </c>
      <c r="B3006" s="106">
        <f>COPY!AR2998</f>
        <v>0</v>
      </c>
      <c r="C3006" s="107">
        <f>COPY!AC2998</f>
        <v>0</v>
      </c>
      <c r="D3006" s="107" t="str">
        <f>IF(LEN(Table1722[[#This Row],[Uraian]])&gt;2,1," ")</f>
        <v xml:space="preserve"> </v>
      </c>
      <c r="E3006" s="113" t="str">
        <f>IF(Table1722[[#This Row],[Lawan Transaksi]]="CV AGUNG KARYA",COUNTIF($I$10:I3006,"CV AGUNG KARYA")," ")</f>
        <v xml:space="preserve"> </v>
      </c>
      <c r="F3006" s="107" t="str">
        <f>IF(LEN(Table1722[[#This Row],[Uraian]])&gt;2,TRIM(RIGHT(SUBSTITUTE(TRIM(C3006)," ",REPT(" ",255)),255))," ")</f>
        <v xml:space="preserve"> </v>
      </c>
      <c r="G3006" s="110">
        <f>COPY!Z2998</f>
        <v>0</v>
      </c>
      <c r="H3006" s="111" t="str">
        <f>IFERROR(VLOOKUP(Table1722[[#This Row],[Bukti]],'Un nOTA'!$A$4:$K$5003,10,FALSE),"")</f>
        <v/>
      </c>
      <c r="I3006" s="123" t="str">
        <f>IFERROR(VLOOKUP(Table1722[[#This Row],[Bukti]],Table13[#Data],11,FALSE),"")</f>
        <v/>
      </c>
    </row>
    <row r="3007" spans="1:9" hidden="1" x14ac:dyDescent="0.2">
      <c r="A3007" s="105" t="str">
        <f>IF(D3007=1,COUNTIF($D$10:D3007,1)," ")</f>
        <v xml:space="preserve"> </v>
      </c>
      <c r="B3007" s="106">
        <f>COPY!AR2999</f>
        <v>0</v>
      </c>
      <c r="C3007" s="107">
        <f>COPY!AC2999</f>
        <v>0</v>
      </c>
      <c r="D3007" s="107" t="str">
        <f>IF(LEN(Table1722[[#This Row],[Uraian]])&gt;2,1," ")</f>
        <v xml:space="preserve"> </v>
      </c>
      <c r="E3007" s="113" t="str">
        <f>IF(Table1722[[#This Row],[Lawan Transaksi]]="CV AGUNG KARYA",COUNTIF($I$10:I3007,"CV AGUNG KARYA")," ")</f>
        <v xml:space="preserve"> </v>
      </c>
      <c r="F3007" s="107" t="str">
        <f>IF(LEN(Table1722[[#This Row],[Uraian]])&gt;2,TRIM(RIGHT(SUBSTITUTE(TRIM(C3007)," ",REPT(" ",255)),255))," ")</f>
        <v xml:space="preserve"> </v>
      </c>
      <c r="G3007" s="110">
        <f>COPY!Z2999</f>
        <v>0</v>
      </c>
      <c r="H3007" s="111" t="str">
        <f>IFERROR(VLOOKUP(Table1722[[#This Row],[Bukti]],'Un nOTA'!$A$4:$K$5003,10,FALSE),"")</f>
        <v/>
      </c>
      <c r="I3007" s="123" t="str">
        <f>IFERROR(VLOOKUP(Table1722[[#This Row],[Bukti]],Table13[#Data],11,FALSE),"")</f>
        <v/>
      </c>
    </row>
    <row r="3008" spans="1:9" hidden="1" x14ac:dyDescent="0.2">
      <c r="A3008" s="105" t="str">
        <f>IF(D3008=1,COUNTIF($D$10:D3008,1)," ")</f>
        <v xml:space="preserve"> </v>
      </c>
      <c r="B3008" s="106">
        <f>COPY!AR3000</f>
        <v>0</v>
      </c>
      <c r="C3008" s="107">
        <f>COPY!AC3000</f>
        <v>0</v>
      </c>
      <c r="D3008" s="107" t="str">
        <f>IF(LEN(Table1722[[#This Row],[Uraian]])&gt;2,1," ")</f>
        <v xml:space="preserve"> </v>
      </c>
      <c r="E3008" s="113" t="str">
        <f>IF(Table1722[[#This Row],[Lawan Transaksi]]="CV AGUNG KARYA",COUNTIF($I$10:I3008,"CV AGUNG KARYA")," ")</f>
        <v xml:space="preserve"> </v>
      </c>
      <c r="F3008" s="107" t="str">
        <f>IF(LEN(Table1722[[#This Row],[Uraian]])&gt;2,TRIM(RIGHT(SUBSTITUTE(TRIM(C3008)," ",REPT(" ",255)),255))," ")</f>
        <v xml:space="preserve"> </v>
      </c>
      <c r="G3008" s="110">
        <f>COPY!Z3000</f>
        <v>0</v>
      </c>
      <c r="H3008" s="111" t="str">
        <f>IFERROR(VLOOKUP(Table1722[[#This Row],[Bukti]],'Un nOTA'!$A$4:$K$5003,10,FALSE),"")</f>
        <v/>
      </c>
      <c r="I3008" s="123" t="str">
        <f>IFERROR(VLOOKUP(Table1722[[#This Row],[Bukti]],Table13[#Data],11,FALSE),"")</f>
        <v/>
      </c>
    </row>
    <row r="3009" spans="1:9" hidden="1" x14ac:dyDescent="0.2">
      <c r="A3009" s="105" t="str">
        <f>IF(D3009=1,COUNTIF($D$10:D3009,1)," ")</f>
        <v xml:space="preserve"> </v>
      </c>
      <c r="B3009" s="106">
        <f>COPY!AR3001</f>
        <v>0</v>
      </c>
      <c r="C3009" s="107">
        <f>COPY!AC3001</f>
        <v>0</v>
      </c>
      <c r="D3009" s="107" t="str">
        <f>IF(LEN(Table1722[[#This Row],[Uraian]])&gt;2,1," ")</f>
        <v xml:space="preserve"> </v>
      </c>
      <c r="E3009" s="113" t="str">
        <f>IF(Table1722[[#This Row],[Lawan Transaksi]]="CV AGUNG KARYA",COUNTIF($I$10:I3009,"CV AGUNG KARYA")," ")</f>
        <v xml:space="preserve"> </v>
      </c>
      <c r="F3009" s="107" t="str">
        <f>IF(LEN(Table1722[[#This Row],[Uraian]])&gt;2,TRIM(RIGHT(SUBSTITUTE(TRIM(C3009)," ",REPT(" ",255)),255))," ")</f>
        <v xml:space="preserve"> </v>
      </c>
      <c r="G3009" s="110">
        <f>COPY!Z3001</f>
        <v>0</v>
      </c>
      <c r="H3009" s="111" t="str">
        <f>IFERROR(VLOOKUP(Table1722[[#This Row],[Bukti]],'Un nOTA'!$A$4:$K$5003,10,FALSE),"")</f>
        <v/>
      </c>
      <c r="I3009" s="123" t="str">
        <f>IFERROR(VLOOKUP(Table1722[[#This Row],[Bukti]],Table13[#Data],11,FALSE),"")</f>
        <v/>
      </c>
    </row>
    <row r="3010" spans="1:9" hidden="1" x14ac:dyDescent="0.2">
      <c r="A3010" s="105" t="str">
        <f>IF(D3010=1,COUNTIF($D$10:D3010,1)," ")</f>
        <v xml:space="preserve"> </v>
      </c>
      <c r="B3010" s="106">
        <f>COPY!AR3002</f>
        <v>0</v>
      </c>
      <c r="C3010" s="107">
        <f>COPY!AC3002</f>
        <v>0</v>
      </c>
      <c r="D3010" s="107" t="str">
        <f>IF(LEN(Table1722[[#This Row],[Uraian]])&gt;2,1," ")</f>
        <v xml:space="preserve"> </v>
      </c>
      <c r="E3010" s="113" t="str">
        <f>IF(Table1722[[#This Row],[Lawan Transaksi]]="CV AGUNG KARYA",COUNTIF($I$10:I3010,"CV AGUNG KARYA")," ")</f>
        <v xml:space="preserve"> </v>
      </c>
      <c r="F3010" s="107" t="str">
        <f>IF(LEN(Table1722[[#This Row],[Uraian]])&gt;2,TRIM(RIGHT(SUBSTITUTE(TRIM(C3010)," ",REPT(" ",255)),255))," ")</f>
        <v xml:space="preserve"> </v>
      </c>
      <c r="G3010" s="110">
        <f>COPY!Z3002</f>
        <v>0</v>
      </c>
      <c r="H3010" s="111" t="str">
        <f>IFERROR(VLOOKUP(Table1722[[#This Row],[Bukti]],'Un nOTA'!$A$4:$K$5003,10,FALSE),"")</f>
        <v/>
      </c>
      <c r="I3010" s="123" t="str">
        <f>IFERROR(VLOOKUP(Table1722[[#This Row],[Bukti]],Table13[#Data],11,FALSE),"")</f>
        <v/>
      </c>
    </row>
    <row r="3011" spans="1:9" hidden="1" x14ac:dyDescent="0.2">
      <c r="A3011" s="105" t="str">
        <f>IF(D3011=1,COUNTIF($D$10:D3011,1)," ")</f>
        <v xml:space="preserve"> </v>
      </c>
      <c r="B3011" s="106">
        <f>COPY!AR3003</f>
        <v>0</v>
      </c>
      <c r="C3011" s="107">
        <f>COPY!AC3003</f>
        <v>0</v>
      </c>
      <c r="D3011" s="107" t="str">
        <f>IF(LEN(Table1722[[#This Row],[Uraian]])&gt;2,1," ")</f>
        <v xml:space="preserve"> </v>
      </c>
      <c r="E3011" s="113" t="str">
        <f>IF(Table1722[[#This Row],[Lawan Transaksi]]="CV AGUNG KARYA",COUNTIF($I$10:I3011,"CV AGUNG KARYA")," ")</f>
        <v xml:space="preserve"> </v>
      </c>
      <c r="F3011" s="107" t="str">
        <f>IF(LEN(Table1722[[#This Row],[Uraian]])&gt;2,TRIM(RIGHT(SUBSTITUTE(TRIM(C3011)," ",REPT(" ",255)),255))," ")</f>
        <v xml:space="preserve"> </v>
      </c>
      <c r="G3011" s="110">
        <f>COPY!Z3003</f>
        <v>0</v>
      </c>
      <c r="H3011" s="111" t="str">
        <f>IFERROR(VLOOKUP(Table1722[[#This Row],[Bukti]],'Un nOTA'!$A$4:$K$5003,10,FALSE),"")</f>
        <v/>
      </c>
      <c r="I3011" s="123" t="str">
        <f>IFERROR(VLOOKUP(Table1722[[#This Row],[Bukti]],Table13[#Data],11,FALSE),"")</f>
        <v/>
      </c>
    </row>
    <row r="3012" spans="1:9" hidden="1" x14ac:dyDescent="0.2">
      <c r="A3012" s="105" t="str">
        <f>IF(D3012=1,COUNTIF($D$10:D3012,1)," ")</f>
        <v xml:space="preserve"> </v>
      </c>
      <c r="B3012" s="106">
        <f>COPY!AR3004</f>
        <v>0</v>
      </c>
      <c r="C3012" s="107">
        <f>COPY!AC3004</f>
        <v>0</v>
      </c>
      <c r="D3012" s="107" t="str">
        <f>IF(LEN(Table1722[[#This Row],[Uraian]])&gt;2,1," ")</f>
        <v xml:space="preserve"> </v>
      </c>
      <c r="E3012" s="113" t="str">
        <f>IF(Table1722[[#This Row],[Lawan Transaksi]]="CV AGUNG KARYA",COUNTIF($I$10:I3012,"CV AGUNG KARYA")," ")</f>
        <v xml:space="preserve"> </v>
      </c>
      <c r="F3012" s="107" t="str">
        <f>IF(LEN(Table1722[[#This Row],[Uraian]])&gt;2,TRIM(RIGHT(SUBSTITUTE(TRIM(C3012)," ",REPT(" ",255)),255))," ")</f>
        <v xml:space="preserve"> </v>
      </c>
      <c r="G3012" s="110">
        <f>COPY!Z3004</f>
        <v>0</v>
      </c>
      <c r="H3012" s="111" t="str">
        <f>IFERROR(VLOOKUP(Table1722[[#This Row],[Bukti]],'Un nOTA'!$A$4:$K$5003,10,FALSE),"")</f>
        <v/>
      </c>
      <c r="I3012" s="123" t="str">
        <f>IFERROR(VLOOKUP(Table1722[[#This Row],[Bukti]],Table13[#Data],11,FALSE),"")</f>
        <v/>
      </c>
    </row>
    <row r="3013" spans="1:9" hidden="1" x14ac:dyDescent="0.2">
      <c r="A3013" s="105" t="str">
        <f>IF(D3013=1,COUNTIF($D$10:D3013,1)," ")</f>
        <v xml:space="preserve"> </v>
      </c>
      <c r="B3013" s="106">
        <f>COPY!AR3005</f>
        <v>0</v>
      </c>
      <c r="C3013" s="107">
        <f>COPY!AC3005</f>
        <v>0</v>
      </c>
      <c r="D3013" s="107" t="str">
        <f>IF(LEN(Table1722[[#This Row],[Uraian]])&gt;2,1," ")</f>
        <v xml:space="preserve"> </v>
      </c>
      <c r="E3013" s="113" t="str">
        <f>IF(Table1722[[#This Row],[Lawan Transaksi]]="CV AGUNG KARYA",COUNTIF($I$10:I3013,"CV AGUNG KARYA")," ")</f>
        <v xml:space="preserve"> </v>
      </c>
      <c r="F3013" s="107" t="str">
        <f>IF(LEN(Table1722[[#This Row],[Uraian]])&gt;2,TRIM(RIGHT(SUBSTITUTE(TRIM(C3013)," ",REPT(" ",255)),255))," ")</f>
        <v xml:space="preserve"> </v>
      </c>
      <c r="G3013" s="110">
        <f>COPY!Z3005</f>
        <v>0</v>
      </c>
      <c r="H3013" s="111" t="str">
        <f>IFERROR(VLOOKUP(Table1722[[#This Row],[Bukti]],'Un nOTA'!$A$4:$K$5003,10,FALSE),"")</f>
        <v/>
      </c>
      <c r="I3013" s="123" t="str">
        <f>IFERROR(VLOOKUP(Table1722[[#This Row],[Bukti]],Table13[#Data],11,FALSE),"")</f>
        <v/>
      </c>
    </row>
    <row r="3014" spans="1:9" hidden="1" x14ac:dyDescent="0.2">
      <c r="A3014" s="105" t="str">
        <f>IF(D3014=1,COUNTIF($D$10:D3014,1)," ")</f>
        <v xml:space="preserve"> </v>
      </c>
      <c r="B3014" s="106">
        <f>COPY!AR3006</f>
        <v>0</v>
      </c>
      <c r="C3014" s="107">
        <f>COPY!AC3006</f>
        <v>0</v>
      </c>
      <c r="D3014" s="107" t="str">
        <f>IF(LEN(Table1722[[#This Row],[Uraian]])&gt;2,1," ")</f>
        <v xml:space="preserve"> </v>
      </c>
      <c r="E3014" s="113" t="str">
        <f>IF(Table1722[[#This Row],[Lawan Transaksi]]="CV AGUNG KARYA",COUNTIF($I$10:I3014,"CV AGUNG KARYA")," ")</f>
        <v xml:space="preserve"> </v>
      </c>
      <c r="F3014" s="107" t="str">
        <f>IF(LEN(Table1722[[#This Row],[Uraian]])&gt;2,TRIM(RIGHT(SUBSTITUTE(TRIM(C3014)," ",REPT(" ",255)),255))," ")</f>
        <v xml:space="preserve"> </v>
      </c>
      <c r="G3014" s="110">
        <f>COPY!Z3006</f>
        <v>0</v>
      </c>
      <c r="H3014" s="111" t="str">
        <f>IFERROR(VLOOKUP(Table1722[[#This Row],[Bukti]],'Un nOTA'!$A$4:$K$5003,10,FALSE),"")</f>
        <v/>
      </c>
      <c r="I3014" s="123" t="str">
        <f>IFERROR(VLOOKUP(Table1722[[#This Row],[Bukti]],Table13[#Data],11,FALSE),"")</f>
        <v/>
      </c>
    </row>
    <row r="3015" spans="1:9" hidden="1" x14ac:dyDescent="0.2">
      <c r="A3015" s="105" t="str">
        <f>IF(D3015=1,COUNTIF($D$10:D3015,1)," ")</f>
        <v xml:space="preserve"> </v>
      </c>
      <c r="B3015" s="106">
        <f>COPY!AR3007</f>
        <v>0</v>
      </c>
      <c r="C3015" s="107">
        <f>COPY!AC3007</f>
        <v>0</v>
      </c>
      <c r="D3015" s="107" t="str">
        <f>IF(LEN(Table1722[[#This Row],[Uraian]])&gt;2,1," ")</f>
        <v xml:space="preserve"> </v>
      </c>
      <c r="E3015" s="113" t="str">
        <f>IF(Table1722[[#This Row],[Lawan Transaksi]]="CV AGUNG KARYA",COUNTIF($I$10:I3015,"CV AGUNG KARYA")," ")</f>
        <v xml:space="preserve"> </v>
      </c>
      <c r="F3015" s="107" t="str">
        <f>IF(LEN(Table1722[[#This Row],[Uraian]])&gt;2,TRIM(RIGHT(SUBSTITUTE(TRIM(C3015)," ",REPT(" ",255)),255))," ")</f>
        <v xml:space="preserve"> </v>
      </c>
      <c r="G3015" s="110">
        <f>COPY!Z3007</f>
        <v>0</v>
      </c>
      <c r="H3015" s="111" t="str">
        <f>IFERROR(VLOOKUP(Table1722[[#This Row],[Bukti]],'Un nOTA'!$A$4:$K$5003,10,FALSE),"")</f>
        <v/>
      </c>
      <c r="I3015" s="123" t="str">
        <f>IFERROR(VLOOKUP(Table1722[[#This Row],[Bukti]],Table13[#Data],11,FALSE),"")</f>
        <v/>
      </c>
    </row>
    <row r="3016" spans="1:9" hidden="1" x14ac:dyDescent="0.2">
      <c r="A3016" s="105" t="str">
        <f>IF(D3016=1,COUNTIF($D$10:D3016,1)," ")</f>
        <v xml:space="preserve"> </v>
      </c>
      <c r="B3016" s="106">
        <f>COPY!AR3008</f>
        <v>0</v>
      </c>
      <c r="C3016" s="107">
        <f>COPY!AC3008</f>
        <v>0</v>
      </c>
      <c r="D3016" s="107" t="str">
        <f>IF(LEN(Table1722[[#This Row],[Uraian]])&gt;2,1," ")</f>
        <v xml:space="preserve"> </v>
      </c>
      <c r="E3016" s="113" t="str">
        <f>IF(Table1722[[#This Row],[Lawan Transaksi]]="CV AGUNG KARYA",COUNTIF($I$10:I3016,"CV AGUNG KARYA")," ")</f>
        <v xml:space="preserve"> </v>
      </c>
      <c r="F3016" s="107" t="str">
        <f>IF(LEN(Table1722[[#This Row],[Uraian]])&gt;2,TRIM(RIGHT(SUBSTITUTE(TRIM(C3016)," ",REPT(" ",255)),255))," ")</f>
        <v xml:space="preserve"> </v>
      </c>
      <c r="G3016" s="110">
        <f>COPY!Z3008</f>
        <v>0</v>
      </c>
      <c r="H3016" s="111" t="str">
        <f>IFERROR(VLOOKUP(Table1722[[#This Row],[Bukti]],'Un nOTA'!$A$4:$K$5003,10,FALSE),"")</f>
        <v/>
      </c>
      <c r="I3016" s="123" t="str">
        <f>IFERROR(VLOOKUP(Table1722[[#This Row],[Bukti]],Table13[#Data],11,FALSE),"")</f>
        <v/>
      </c>
    </row>
    <row r="3017" spans="1:9" hidden="1" x14ac:dyDescent="0.2">
      <c r="A3017" s="105" t="str">
        <f>IF(D3017=1,COUNTIF($D$10:D3017,1)," ")</f>
        <v xml:space="preserve"> </v>
      </c>
      <c r="B3017" s="106">
        <f>COPY!AR3009</f>
        <v>0</v>
      </c>
      <c r="C3017" s="107">
        <f>COPY!AC3009</f>
        <v>0</v>
      </c>
      <c r="D3017" s="107" t="str">
        <f>IF(LEN(Table1722[[#This Row],[Uraian]])&gt;2,1," ")</f>
        <v xml:space="preserve"> </v>
      </c>
      <c r="E3017" s="113" t="str">
        <f>IF(Table1722[[#This Row],[Lawan Transaksi]]="CV AGUNG KARYA",COUNTIF($I$10:I3017,"CV AGUNG KARYA")," ")</f>
        <v xml:space="preserve"> </v>
      </c>
      <c r="F3017" s="107" t="str">
        <f>IF(LEN(Table1722[[#This Row],[Uraian]])&gt;2,TRIM(RIGHT(SUBSTITUTE(TRIM(C3017)," ",REPT(" ",255)),255))," ")</f>
        <v xml:space="preserve"> </v>
      </c>
      <c r="G3017" s="110">
        <f>COPY!Z3009</f>
        <v>0</v>
      </c>
      <c r="H3017" s="111" t="str">
        <f>IFERROR(VLOOKUP(Table1722[[#This Row],[Bukti]],'Un nOTA'!$A$4:$K$5003,10,FALSE),"")</f>
        <v/>
      </c>
      <c r="I3017" s="123" t="str">
        <f>IFERROR(VLOOKUP(Table1722[[#This Row],[Bukti]],Table13[#Data],11,FALSE),"")</f>
        <v/>
      </c>
    </row>
    <row r="3018" spans="1:9" hidden="1" x14ac:dyDescent="0.2">
      <c r="A3018" s="105" t="str">
        <f>IF(D3018=1,COUNTIF($D$10:D3018,1)," ")</f>
        <v xml:space="preserve"> </v>
      </c>
      <c r="B3018" s="106">
        <f>COPY!AR3010</f>
        <v>0</v>
      </c>
      <c r="C3018" s="107">
        <f>COPY!AC3010</f>
        <v>0</v>
      </c>
      <c r="D3018" s="107" t="str">
        <f>IF(LEN(Table1722[[#This Row],[Uraian]])&gt;2,1," ")</f>
        <v xml:space="preserve"> </v>
      </c>
      <c r="E3018" s="113" t="str">
        <f>IF(Table1722[[#This Row],[Lawan Transaksi]]="CV AGUNG KARYA",COUNTIF($I$10:I3018,"CV AGUNG KARYA")," ")</f>
        <v xml:space="preserve"> </v>
      </c>
      <c r="F3018" s="107" t="str">
        <f>IF(LEN(Table1722[[#This Row],[Uraian]])&gt;2,TRIM(RIGHT(SUBSTITUTE(TRIM(C3018)," ",REPT(" ",255)),255))," ")</f>
        <v xml:space="preserve"> </v>
      </c>
      <c r="G3018" s="110">
        <f>COPY!Z3010</f>
        <v>0</v>
      </c>
      <c r="H3018" s="111" t="str">
        <f>IFERROR(VLOOKUP(Table1722[[#This Row],[Bukti]],'Un nOTA'!$A$4:$K$5003,10,FALSE),"")</f>
        <v/>
      </c>
      <c r="I3018" s="123" t="str">
        <f>IFERROR(VLOOKUP(Table1722[[#This Row],[Bukti]],Table13[#Data],11,FALSE),"")</f>
        <v/>
      </c>
    </row>
    <row r="3019" spans="1:9" hidden="1" x14ac:dyDescent="0.2">
      <c r="A3019" s="105" t="str">
        <f>IF(D3019=1,COUNTIF($D$10:D3019,1)," ")</f>
        <v xml:space="preserve"> </v>
      </c>
      <c r="B3019" s="106">
        <f>COPY!AR3011</f>
        <v>0</v>
      </c>
      <c r="C3019" s="107">
        <f>COPY!AC3011</f>
        <v>0</v>
      </c>
      <c r="D3019" s="107" t="str">
        <f>IF(LEN(Table1722[[#This Row],[Uraian]])&gt;2,1," ")</f>
        <v xml:space="preserve"> </v>
      </c>
      <c r="E3019" s="113" t="str">
        <f>IF(Table1722[[#This Row],[Lawan Transaksi]]="CV AGUNG KARYA",COUNTIF($I$10:I3019,"CV AGUNG KARYA")," ")</f>
        <v xml:space="preserve"> </v>
      </c>
      <c r="F3019" s="107" t="str">
        <f>IF(LEN(Table1722[[#This Row],[Uraian]])&gt;2,TRIM(RIGHT(SUBSTITUTE(TRIM(C3019)," ",REPT(" ",255)),255))," ")</f>
        <v xml:space="preserve"> </v>
      </c>
      <c r="G3019" s="110">
        <f>COPY!Z3011</f>
        <v>0</v>
      </c>
      <c r="H3019" s="111" t="str">
        <f>IFERROR(VLOOKUP(Table1722[[#This Row],[Bukti]],'Un nOTA'!$A$4:$K$5003,10,FALSE),"")</f>
        <v/>
      </c>
      <c r="I3019" s="123" t="str">
        <f>IFERROR(VLOOKUP(Table1722[[#This Row],[Bukti]],Table13[#Data],11,FALSE),"")</f>
        <v/>
      </c>
    </row>
    <row r="3020" spans="1:9" hidden="1" x14ac:dyDescent="0.2">
      <c r="A3020" s="105" t="str">
        <f>IF(D3020=1,COUNTIF($D$10:D3020,1)," ")</f>
        <v xml:space="preserve"> </v>
      </c>
      <c r="B3020" s="106">
        <f>COPY!AR3012</f>
        <v>0</v>
      </c>
      <c r="C3020" s="107">
        <f>COPY!AC3012</f>
        <v>0</v>
      </c>
      <c r="D3020" s="107" t="str">
        <f>IF(LEN(Table1722[[#This Row],[Uraian]])&gt;2,1," ")</f>
        <v xml:space="preserve"> </v>
      </c>
      <c r="E3020" s="113" t="str">
        <f>IF(Table1722[[#This Row],[Lawan Transaksi]]="CV AGUNG KARYA",COUNTIF($I$10:I3020,"CV AGUNG KARYA")," ")</f>
        <v xml:space="preserve"> </v>
      </c>
      <c r="F3020" s="107" t="str">
        <f>IF(LEN(Table1722[[#This Row],[Uraian]])&gt;2,TRIM(RIGHT(SUBSTITUTE(TRIM(C3020)," ",REPT(" ",255)),255))," ")</f>
        <v xml:space="preserve"> </v>
      </c>
      <c r="G3020" s="110">
        <f>COPY!Z3012</f>
        <v>0</v>
      </c>
      <c r="H3020" s="111" t="str">
        <f>IFERROR(VLOOKUP(Table1722[[#This Row],[Bukti]],'Un nOTA'!$A$4:$K$5003,10,FALSE),"")</f>
        <v/>
      </c>
      <c r="I3020" s="123" t="str">
        <f>IFERROR(VLOOKUP(Table1722[[#This Row],[Bukti]],Table13[#Data],11,FALSE),"")</f>
        <v/>
      </c>
    </row>
    <row r="3021" spans="1:9" hidden="1" x14ac:dyDescent="0.2">
      <c r="A3021" s="105" t="str">
        <f>IF(D3021=1,COUNTIF($D$10:D3021,1)," ")</f>
        <v xml:space="preserve"> </v>
      </c>
      <c r="B3021" s="106">
        <f>COPY!AR3013</f>
        <v>0</v>
      </c>
      <c r="C3021" s="107">
        <f>COPY!AC3013</f>
        <v>0</v>
      </c>
      <c r="D3021" s="107" t="str">
        <f>IF(LEN(Table1722[[#This Row],[Uraian]])&gt;2,1," ")</f>
        <v xml:space="preserve"> </v>
      </c>
      <c r="E3021" s="113" t="str">
        <f>IF(Table1722[[#This Row],[Lawan Transaksi]]="CV AGUNG KARYA",COUNTIF($I$10:I3021,"CV AGUNG KARYA")," ")</f>
        <v xml:space="preserve"> </v>
      </c>
      <c r="F3021" s="107" t="str">
        <f>IF(LEN(Table1722[[#This Row],[Uraian]])&gt;2,TRIM(RIGHT(SUBSTITUTE(TRIM(C3021)," ",REPT(" ",255)),255))," ")</f>
        <v xml:space="preserve"> </v>
      </c>
      <c r="G3021" s="110">
        <f>COPY!Z3013</f>
        <v>0</v>
      </c>
      <c r="H3021" s="111" t="str">
        <f>IFERROR(VLOOKUP(Table1722[[#This Row],[Bukti]],'Un nOTA'!$A$4:$K$5003,10,FALSE),"")</f>
        <v/>
      </c>
      <c r="I3021" s="123" t="str">
        <f>IFERROR(VLOOKUP(Table1722[[#This Row],[Bukti]],Table13[#Data],11,FALSE),"")</f>
        <v/>
      </c>
    </row>
    <row r="3022" spans="1:9" hidden="1" x14ac:dyDescent="0.2">
      <c r="A3022" s="105" t="str">
        <f>IF(D3022=1,COUNTIF($D$10:D3022,1)," ")</f>
        <v xml:space="preserve"> </v>
      </c>
      <c r="B3022" s="106">
        <f>COPY!AR3014</f>
        <v>0</v>
      </c>
      <c r="C3022" s="107">
        <f>COPY!AC3014</f>
        <v>0</v>
      </c>
      <c r="D3022" s="107" t="str">
        <f>IF(LEN(Table1722[[#This Row],[Uraian]])&gt;2,1," ")</f>
        <v xml:space="preserve"> </v>
      </c>
      <c r="E3022" s="113" t="str">
        <f>IF(Table1722[[#This Row],[Lawan Transaksi]]="CV AGUNG KARYA",COUNTIF($I$10:I3022,"CV AGUNG KARYA")," ")</f>
        <v xml:space="preserve"> </v>
      </c>
      <c r="F3022" s="107" t="str">
        <f>IF(LEN(Table1722[[#This Row],[Uraian]])&gt;2,TRIM(RIGHT(SUBSTITUTE(TRIM(C3022)," ",REPT(" ",255)),255))," ")</f>
        <v xml:space="preserve"> </v>
      </c>
      <c r="G3022" s="110">
        <f>COPY!Z3014</f>
        <v>0</v>
      </c>
      <c r="H3022" s="111" t="str">
        <f>IFERROR(VLOOKUP(Table1722[[#This Row],[Bukti]],'Un nOTA'!$A$4:$K$5003,10,FALSE),"")</f>
        <v/>
      </c>
      <c r="I3022" s="123" t="str">
        <f>IFERROR(VLOOKUP(Table1722[[#This Row],[Bukti]],Table13[#Data],11,FALSE),"")</f>
        <v/>
      </c>
    </row>
    <row r="3023" spans="1:9" hidden="1" x14ac:dyDescent="0.2">
      <c r="A3023" s="105" t="str">
        <f>IF(D3023=1,COUNTIF($D$10:D3023,1)," ")</f>
        <v xml:space="preserve"> </v>
      </c>
      <c r="B3023" s="106">
        <f>COPY!AR3015</f>
        <v>0</v>
      </c>
      <c r="C3023" s="107">
        <f>COPY!AC3015</f>
        <v>0</v>
      </c>
      <c r="D3023" s="107" t="str">
        <f>IF(LEN(Table1722[[#This Row],[Uraian]])&gt;2,1," ")</f>
        <v xml:space="preserve"> </v>
      </c>
      <c r="E3023" s="113" t="str">
        <f>IF(Table1722[[#This Row],[Lawan Transaksi]]="CV AGUNG KARYA",COUNTIF($I$10:I3023,"CV AGUNG KARYA")," ")</f>
        <v xml:space="preserve"> </v>
      </c>
      <c r="F3023" s="107" t="str">
        <f>IF(LEN(Table1722[[#This Row],[Uraian]])&gt;2,TRIM(RIGHT(SUBSTITUTE(TRIM(C3023)," ",REPT(" ",255)),255))," ")</f>
        <v xml:space="preserve"> </v>
      </c>
      <c r="G3023" s="110">
        <f>COPY!Z3015</f>
        <v>0</v>
      </c>
      <c r="H3023" s="111" t="str">
        <f>IFERROR(VLOOKUP(Table1722[[#This Row],[Bukti]],'Un nOTA'!$A$4:$K$5003,10,FALSE),"")</f>
        <v/>
      </c>
      <c r="I3023" s="123" t="str">
        <f>IFERROR(VLOOKUP(Table1722[[#This Row],[Bukti]],Table13[#Data],11,FALSE),"")</f>
        <v/>
      </c>
    </row>
    <row r="3024" spans="1:9" hidden="1" x14ac:dyDescent="0.2">
      <c r="A3024" s="105" t="str">
        <f>IF(D3024=1,COUNTIF($D$10:D3024,1)," ")</f>
        <v xml:space="preserve"> </v>
      </c>
      <c r="B3024" s="106">
        <f>COPY!AR3016</f>
        <v>0</v>
      </c>
      <c r="C3024" s="107">
        <f>COPY!AC3016</f>
        <v>0</v>
      </c>
      <c r="D3024" s="107" t="str">
        <f>IF(LEN(Table1722[[#This Row],[Uraian]])&gt;2,1," ")</f>
        <v xml:space="preserve"> </v>
      </c>
      <c r="E3024" s="113" t="str">
        <f>IF(Table1722[[#This Row],[Lawan Transaksi]]="CV AGUNG KARYA",COUNTIF($I$10:I3024,"CV AGUNG KARYA")," ")</f>
        <v xml:space="preserve"> </v>
      </c>
      <c r="F3024" s="107" t="str">
        <f>IF(LEN(Table1722[[#This Row],[Uraian]])&gt;2,TRIM(RIGHT(SUBSTITUTE(TRIM(C3024)," ",REPT(" ",255)),255))," ")</f>
        <v xml:space="preserve"> </v>
      </c>
      <c r="G3024" s="110">
        <f>COPY!Z3016</f>
        <v>0</v>
      </c>
      <c r="H3024" s="111" t="str">
        <f>IFERROR(VLOOKUP(Table1722[[#This Row],[Bukti]],'Un nOTA'!$A$4:$K$5003,10,FALSE),"")</f>
        <v/>
      </c>
      <c r="I3024" s="123" t="str">
        <f>IFERROR(VLOOKUP(Table1722[[#This Row],[Bukti]],Table13[#Data],11,FALSE),"")</f>
        <v/>
      </c>
    </row>
    <row r="3025" spans="1:9" hidden="1" x14ac:dyDescent="0.2">
      <c r="A3025" s="105" t="str">
        <f>IF(D3025=1,COUNTIF($D$10:D3025,1)," ")</f>
        <v xml:space="preserve"> </v>
      </c>
      <c r="B3025" s="106">
        <f>COPY!AR3017</f>
        <v>0</v>
      </c>
      <c r="C3025" s="107">
        <f>COPY!AC3017</f>
        <v>0</v>
      </c>
      <c r="D3025" s="107" t="str">
        <f>IF(LEN(Table1722[[#This Row],[Uraian]])&gt;2,1," ")</f>
        <v xml:space="preserve"> </v>
      </c>
      <c r="E3025" s="113" t="str">
        <f>IF(Table1722[[#This Row],[Lawan Transaksi]]="CV AGUNG KARYA",COUNTIF($I$10:I3025,"CV AGUNG KARYA")," ")</f>
        <v xml:space="preserve"> </v>
      </c>
      <c r="F3025" s="107" t="str">
        <f>IF(LEN(Table1722[[#This Row],[Uraian]])&gt;2,TRIM(RIGHT(SUBSTITUTE(TRIM(C3025)," ",REPT(" ",255)),255))," ")</f>
        <v xml:space="preserve"> </v>
      </c>
      <c r="G3025" s="110">
        <f>COPY!Z3017</f>
        <v>0</v>
      </c>
      <c r="H3025" s="111" t="str">
        <f>IFERROR(VLOOKUP(Table1722[[#This Row],[Bukti]],'Un nOTA'!$A$4:$K$5003,10,FALSE),"")</f>
        <v/>
      </c>
      <c r="I3025" s="123" t="str">
        <f>IFERROR(VLOOKUP(Table1722[[#This Row],[Bukti]],Table13[#Data],11,FALSE),"")</f>
        <v/>
      </c>
    </row>
    <row r="3026" spans="1:9" hidden="1" x14ac:dyDescent="0.2">
      <c r="A3026" s="105" t="str">
        <f>IF(D3026=1,COUNTIF($D$10:D3026,1)," ")</f>
        <v xml:space="preserve"> </v>
      </c>
      <c r="B3026" s="106">
        <f>COPY!AR3018</f>
        <v>0</v>
      </c>
      <c r="C3026" s="107">
        <f>COPY!AC3018</f>
        <v>0</v>
      </c>
      <c r="D3026" s="107" t="str">
        <f>IF(LEN(Table1722[[#This Row],[Uraian]])&gt;2,1," ")</f>
        <v xml:space="preserve"> </v>
      </c>
      <c r="E3026" s="113" t="str">
        <f>IF(Table1722[[#This Row],[Lawan Transaksi]]="CV AGUNG KARYA",COUNTIF($I$10:I3026,"CV AGUNG KARYA")," ")</f>
        <v xml:space="preserve"> </v>
      </c>
      <c r="F3026" s="107" t="str">
        <f>IF(LEN(Table1722[[#This Row],[Uraian]])&gt;2,TRIM(RIGHT(SUBSTITUTE(TRIM(C3026)," ",REPT(" ",255)),255))," ")</f>
        <v xml:space="preserve"> </v>
      </c>
      <c r="G3026" s="110">
        <f>COPY!Z3018</f>
        <v>0</v>
      </c>
      <c r="H3026" s="111" t="str">
        <f>IFERROR(VLOOKUP(Table1722[[#This Row],[Bukti]],'Un nOTA'!$A$4:$K$5003,10,FALSE),"")</f>
        <v/>
      </c>
      <c r="I3026" s="123" t="str">
        <f>IFERROR(VLOOKUP(Table1722[[#This Row],[Bukti]],Table13[#Data],11,FALSE),"")</f>
        <v/>
      </c>
    </row>
    <row r="3027" spans="1:9" hidden="1" x14ac:dyDescent="0.2">
      <c r="A3027" s="105" t="str">
        <f>IF(D3027=1,COUNTIF($D$10:D3027,1)," ")</f>
        <v xml:space="preserve"> </v>
      </c>
      <c r="B3027" s="106">
        <f>COPY!AR3019</f>
        <v>0</v>
      </c>
      <c r="C3027" s="107">
        <f>COPY!AC3019</f>
        <v>0</v>
      </c>
      <c r="D3027" s="107" t="str">
        <f>IF(LEN(Table1722[[#This Row],[Uraian]])&gt;2,1," ")</f>
        <v xml:space="preserve"> </v>
      </c>
      <c r="E3027" s="113" t="str">
        <f>IF(Table1722[[#This Row],[Lawan Transaksi]]="CV AGUNG KARYA",COUNTIF($I$10:I3027,"CV AGUNG KARYA")," ")</f>
        <v xml:space="preserve"> </v>
      </c>
      <c r="F3027" s="107" t="str">
        <f>IF(LEN(Table1722[[#This Row],[Uraian]])&gt;2,TRIM(RIGHT(SUBSTITUTE(TRIM(C3027)," ",REPT(" ",255)),255))," ")</f>
        <v xml:space="preserve"> </v>
      </c>
      <c r="G3027" s="110">
        <f>COPY!Z3019</f>
        <v>0</v>
      </c>
      <c r="H3027" s="111" t="str">
        <f>IFERROR(VLOOKUP(Table1722[[#This Row],[Bukti]],'Un nOTA'!$A$4:$K$5003,10,FALSE),"")</f>
        <v/>
      </c>
      <c r="I3027" s="123" t="str">
        <f>IFERROR(VLOOKUP(Table1722[[#This Row],[Bukti]],Table13[#Data],11,FALSE),"")</f>
        <v/>
      </c>
    </row>
    <row r="3028" spans="1:9" hidden="1" x14ac:dyDescent="0.2">
      <c r="A3028" s="105" t="str">
        <f>IF(D3028=1,COUNTIF($D$10:D3028,1)," ")</f>
        <v xml:space="preserve"> </v>
      </c>
      <c r="B3028" s="106">
        <f>COPY!AR3020</f>
        <v>0</v>
      </c>
      <c r="C3028" s="107">
        <f>COPY!AC3020</f>
        <v>0</v>
      </c>
      <c r="D3028" s="107" t="str">
        <f>IF(LEN(Table1722[[#This Row],[Uraian]])&gt;2,1," ")</f>
        <v xml:space="preserve"> </v>
      </c>
      <c r="E3028" s="113" t="str">
        <f>IF(Table1722[[#This Row],[Lawan Transaksi]]="CV AGUNG KARYA",COUNTIF($I$10:I3028,"CV AGUNG KARYA")," ")</f>
        <v xml:space="preserve"> </v>
      </c>
      <c r="F3028" s="107" t="str">
        <f>IF(LEN(Table1722[[#This Row],[Uraian]])&gt;2,TRIM(RIGHT(SUBSTITUTE(TRIM(C3028)," ",REPT(" ",255)),255))," ")</f>
        <v xml:space="preserve"> </v>
      </c>
      <c r="G3028" s="110">
        <f>COPY!Z3020</f>
        <v>0</v>
      </c>
      <c r="H3028" s="111" t="str">
        <f>IFERROR(VLOOKUP(Table1722[[#This Row],[Bukti]],'Un nOTA'!$A$4:$K$5003,10,FALSE),"")</f>
        <v/>
      </c>
      <c r="I3028" s="123" t="str">
        <f>IFERROR(VLOOKUP(Table1722[[#This Row],[Bukti]],Table13[#Data],11,FALSE),"")</f>
        <v/>
      </c>
    </row>
    <row r="3029" spans="1:9" hidden="1" x14ac:dyDescent="0.2">
      <c r="A3029" s="105" t="str">
        <f>IF(D3029=1,COUNTIF($D$10:D3029,1)," ")</f>
        <v xml:space="preserve"> </v>
      </c>
      <c r="B3029" s="106">
        <f>COPY!AR3021</f>
        <v>0</v>
      </c>
      <c r="C3029" s="107">
        <f>COPY!AC3021</f>
        <v>0</v>
      </c>
      <c r="D3029" s="107" t="str">
        <f>IF(LEN(Table1722[[#This Row],[Uraian]])&gt;2,1," ")</f>
        <v xml:space="preserve"> </v>
      </c>
      <c r="E3029" s="113" t="str">
        <f>IF(Table1722[[#This Row],[Lawan Transaksi]]="CV AGUNG KARYA",COUNTIF($I$10:I3029,"CV AGUNG KARYA")," ")</f>
        <v xml:space="preserve"> </v>
      </c>
      <c r="F3029" s="107" t="str">
        <f>IF(LEN(Table1722[[#This Row],[Uraian]])&gt;2,TRIM(RIGHT(SUBSTITUTE(TRIM(C3029)," ",REPT(" ",255)),255))," ")</f>
        <v xml:space="preserve"> </v>
      </c>
      <c r="G3029" s="110">
        <f>COPY!Z3021</f>
        <v>0</v>
      </c>
      <c r="H3029" s="111" t="str">
        <f>IFERROR(VLOOKUP(Table1722[[#This Row],[Bukti]],'Un nOTA'!$A$4:$K$5003,10,FALSE),"")</f>
        <v/>
      </c>
      <c r="I3029" s="123" t="str">
        <f>IFERROR(VLOOKUP(Table1722[[#This Row],[Bukti]],Table13[#Data],11,FALSE),"")</f>
        <v/>
      </c>
    </row>
    <row r="3030" spans="1:9" hidden="1" x14ac:dyDescent="0.2">
      <c r="A3030" s="105" t="str">
        <f>IF(D3030=1,COUNTIF($D$10:D3030,1)," ")</f>
        <v xml:space="preserve"> </v>
      </c>
      <c r="B3030" s="106">
        <f>COPY!AR3022</f>
        <v>0</v>
      </c>
      <c r="C3030" s="107">
        <f>COPY!AC3022</f>
        <v>0</v>
      </c>
      <c r="D3030" s="107" t="str">
        <f>IF(LEN(Table1722[[#This Row],[Uraian]])&gt;2,1," ")</f>
        <v xml:space="preserve"> </v>
      </c>
      <c r="E3030" s="113" t="str">
        <f>IF(Table1722[[#This Row],[Lawan Transaksi]]="CV AGUNG KARYA",COUNTIF($I$10:I3030,"CV AGUNG KARYA")," ")</f>
        <v xml:space="preserve"> </v>
      </c>
      <c r="F3030" s="107" t="str">
        <f>IF(LEN(Table1722[[#This Row],[Uraian]])&gt;2,TRIM(RIGHT(SUBSTITUTE(TRIM(C3030)," ",REPT(" ",255)),255))," ")</f>
        <v xml:space="preserve"> </v>
      </c>
      <c r="G3030" s="110">
        <f>COPY!Z3022</f>
        <v>0</v>
      </c>
      <c r="H3030" s="111" t="str">
        <f>IFERROR(VLOOKUP(Table1722[[#This Row],[Bukti]],'Un nOTA'!$A$4:$K$5003,10,FALSE),"")</f>
        <v/>
      </c>
      <c r="I3030" s="123" t="str">
        <f>IFERROR(VLOOKUP(Table1722[[#This Row],[Bukti]],Table13[#Data],11,FALSE),"")</f>
        <v/>
      </c>
    </row>
    <row r="3031" spans="1:9" hidden="1" x14ac:dyDescent="0.2">
      <c r="A3031" s="105" t="str">
        <f>IF(D3031=1,COUNTIF($D$10:D3031,1)," ")</f>
        <v xml:space="preserve"> </v>
      </c>
      <c r="B3031" s="106">
        <f>COPY!AR3023</f>
        <v>0</v>
      </c>
      <c r="C3031" s="107">
        <f>COPY!AC3023</f>
        <v>0</v>
      </c>
      <c r="D3031" s="107" t="str">
        <f>IF(LEN(Table1722[[#This Row],[Uraian]])&gt;2,1," ")</f>
        <v xml:space="preserve"> </v>
      </c>
      <c r="E3031" s="113" t="str">
        <f>IF(Table1722[[#This Row],[Lawan Transaksi]]="CV AGUNG KARYA",COUNTIF($I$10:I3031,"CV AGUNG KARYA")," ")</f>
        <v xml:space="preserve"> </v>
      </c>
      <c r="F3031" s="107" t="str">
        <f>IF(LEN(Table1722[[#This Row],[Uraian]])&gt;2,TRIM(RIGHT(SUBSTITUTE(TRIM(C3031)," ",REPT(" ",255)),255))," ")</f>
        <v xml:space="preserve"> </v>
      </c>
      <c r="G3031" s="110">
        <f>COPY!Z3023</f>
        <v>0</v>
      </c>
      <c r="H3031" s="111" t="str">
        <f>IFERROR(VLOOKUP(Table1722[[#This Row],[Bukti]],'Un nOTA'!$A$4:$K$5003,10,FALSE),"")</f>
        <v/>
      </c>
      <c r="I3031" s="123" t="str">
        <f>IFERROR(VLOOKUP(Table1722[[#This Row],[Bukti]],Table13[#Data],11,FALSE),"")</f>
        <v/>
      </c>
    </row>
    <row r="3032" spans="1:9" hidden="1" x14ac:dyDescent="0.2">
      <c r="A3032" s="105" t="str">
        <f>IF(D3032=1,COUNTIF($D$10:D3032,1)," ")</f>
        <v xml:space="preserve"> </v>
      </c>
      <c r="B3032" s="106">
        <f>COPY!AR3024</f>
        <v>0</v>
      </c>
      <c r="C3032" s="107">
        <f>COPY!AC3024</f>
        <v>0</v>
      </c>
      <c r="D3032" s="107" t="str">
        <f>IF(LEN(Table1722[[#This Row],[Uraian]])&gt;2,1," ")</f>
        <v xml:space="preserve"> </v>
      </c>
      <c r="E3032" s="113" t="str">
        <f>IF(Table1722[[#This Row],[Lawan Transaksi]]="CV AGUNG KARYA",COUNTIF($I$10:I3032,"CV AGUNG KARYA")," ")</f>
        <v xml:space="preserve"> </v>
      </c>
      <c r="F3032" s="107" t="str">
        <f>IF(LEN(Table1722[[#This Row],[Uraian]])&gt;2,TRIM(RIGHT(SUBSTITUTE(TRIM(C3032)," ",REPT(" ",255)),255))," ")</f>
        <v xml:space="preserve"> </v>
      </c>
      <c r="G3032" s="110">
        <f>COPY!Z3024</f>
        <v>0</v>
      </c>
      <c r="H3032" s="111" t="str">
        <f>IFERROR(VLOOKUP(Table1722[[#This Row],[Bukti]],'Un nOTA'!$A$4:$K$5003,10,FALSE),"")</f>
        <v/>
      </c>
      <c r="I3032" s="123" t="str">
        <f>IFERROR(VLOOKUP(Table1722[[#This Row],[Bukti]],Table13[#Data],11,FALSE),"")</f>
        <v/>
      </c>
    </row>
    <row r="3033" spans="1:9" hidden="1" x14ac:dyDescent="0.2">
      <c r="A3033" s="105" t="str">
        <f>IF(D3033=1,COUNTIF($D$10:D3033,1)," ")</f>
        <v xml:space="preserve"> </v>
      </c>
      <c r="B3033" s="106">
        <f>COPY!AR3025</f>
        <v>0</v>
      </c>
      <c r="C3033" s="107">
        <f>COPY!AC3025</f>
        <v>0</v>
      </c>
      <c r="D3033" s="107" t="str">
        <f>IF(LEN(Table1722[[#This Row],[Uraian]])&gt;2,1," ")</f>
        <v xml:space="preserve"> </v>
      </c>
      <c r="E3033" s="113" t="str">
        <f>IF(Table1722[[#This Row],[Lawan Transaksi]]="CV AGUNG KARYA",COUNTIF($I$10:I3033,"CV AGUNG KARYA")," ")</f>
        <v xml:space="preserve"> </v>
      </c>
      <c r="F3033" s="107" t="str">
        <f>IF(LEN(Table1722[[#This Row],[Uraian]])&gt;2,TRIM(RIGHT(SUBSTITUTE(TRIM(C3033)," ",REPT(" ",255)),255))," ")</f>
        <v xml:space="preserve"> </v>
      </c>
      <c r="G3033" s="110">
        <f>COPY!Z3025</f>
        <v>0</v>
      </c>
      <c r="H3033" s="111" t="str">
        <f>IFERROR(VLOOKUP(Table1722[[#This Row],[Bukti]],'Un nOTA'!$A$4:$K$5003,10,FALSE),"")</f>
        <v/>
      </c>
      <c r="I3033" s="123" t="str">
        <f>IFERROR(VLOOKUP(Table1722[[#This Row],[Bukti]],Table13[#Data],11,FALSE),"")</f>
        <v/>
      </c>
    </row>
    <row r="3034" spans="1:9" hidden="1" x14ac:dyDescent="0.2">
      <c r="A3034" s="105" t="str">
        <f>IF(D3034=1,COUNTIF($D$10:D3034,1)," ")</f>
        <v xml:space="preserve"> </v>
      </c>
      <c r="B3034" s="106">
        <f>COPY!AR3026</f>
        <v>0</v>
      </c>
      <c r="C3034" s="107">
        <f>COPY!AC3026</f>
        <v>0</v>
      </c>
      <c r="D3034" s="107" t="str">
        <f>IF(LEN(Table1722[[#This Row],[Uraian]])&gt;2,1," ")</f>
        <v xml:space="preserve"> </v>
      </c>
      <c r="E3034" s="113" t="str">
        <f>IF(Table1722[[#This Row],[Lawan Transaksi]]="CV AGUNG KARYA",COUNTIF($I$10:I3034,"CV AGUNG KARYA")," ")</f>
        <v xml:space="preserve"> </v>
      </c>
      <c r="F3034" s="107" t="str">
        <f>IF(LEN(Table1722[[#This Row],[Uraian]])&gt;2,TRIM(RIGHT(SUBSTITUTE(TRIM(C3034)," ",REPT(" ",255)),255))," ")</f>
        <v xml:space="preserve"> </v>
      </c>
      <c r="G3034" s="110">
        <f>COPY!Z3026</f>
        <v>0</v>
      </c>
      <c r="H3034" s="111" t="str">
        <f>IFERROR(VLOOKUP(Table1722[[#This Row],[Bukti]],'Un nOTA'!$A$4:$K$5003,10,FALSE),"")</f>
        <v/>
      </c>
      <c r="I3034" s="123" t="str">
        <f>IFERROR(VLOOKUP(Table1722[[#This Row],[Bukti]],Table13[#Data],11,FALSE),"")</f>
        <v/>
      </c>
    </row>
    <row r="3035" spans="1:9" hidden="1" x14ac:dyDescent="0.2">
      <c r="A3035" s="105" t="str">
        <f>IF(D3035=1,COUNTIF($D$10:D3035,1)," ")</f>
        <v xml:space="preserve"> </v>
      </c>
      <c r="B3035" s="106">
        <f>COPY!AR3027</f>
        <v>0</v>
      </c>
      <c r="C3035" s="107">
        <f>COPY!AC3027</f>
        <v>0</v>
      </c>
      <c r="D3035" s="107" t="str">
        <f>IF(LEN(Table1722[[#This Row],[Uraian]])&gt;2,1," ")</f>
        <v xml:space="preserve"> </v>
      </c>
      <c r="E3035" s="113" t="str">
        <f>IF(Table1722[[#This Row],[Lawan Transaksi]]="CV AGUNG KARYA",COUNTIF($I$10:I3035,"CV AGUNG KARYA")," ")</f>
        <v xml:space="preserve"> </v>
      </c>
      <c r="F3035" s="107" t="str">
        <f>IF(LEN(Table1722[[#This Row],[Uraian]])&gt;2,TRIM(RIGHT(SUBSTITUTE(TRIM(C3035)," ",REPT(" ",255)),255))," ")</f>
        <v xml:space="preserve"> </v>
      </c>
      <c r="G3035" s="110">
        <f>COPY!Z3027</f>
        <v>0</v>
      </c>
      <c r="H3035" s="111" t="str">
        <f>IFERROR(VLOOKUP(Table1722[[#This Row],[Bukti]],'Un nOTA'!$A$4:$K$5003,10,FALSE),"")</f>
        <v/>
      </c>
      <c r="I3035" s="123" t="str">
        <f>IFERROR(VLOOKUP(Table1722[[#This Row],[Bukti]],Table13[#Data],11,FALSE),"")</f>
        <v/>
      </c>
    </row>
    <row r="3036" spans="1:9" hidden="1" x14ac:dyDescent="0.2">
      <c r="A3036" s="105" t="str">
        <f>IF(D3036=1,COUNTIF($D$10:D3036,1)," ")</f>
        <v xml:space="preserve"> </v>
      </c>
      <c r="B3036" s="106">
        <f>COPY!AR3028</f>
        <v>0</v>
      </c>
      <c r="C3036" s="107">
        <f>COPY!AC3028</f>
        <v>0</v>
      </c>
      <c r="D3036" s="107" t="str">
        <f>IF(LEN(Table1722[[#This Row],[Uraian]])&gt;2,1," ")</f>
        <v xml:space="preserve"> </v>
      </c>
      <c r="E3036" s="113" t="str">
        <f>IF(Table1722[[#This Row],[Lawan Transaksi]]="CV AGUNG KARYA",COUNTIF($I$10:I3036,"CV AGUNG KARYA")," ")</f>
        <v xml:space="preserve"> </v>
      </c>
      <c r="F3036" s="107" t="str">
        <f>IF(LEN(Table1722[[#This Row],[Uraian]])&gt;2,TRIM(RIGHT(SUBSTITUTE(TRIM(C3036)," ",REPT(" ",255)),255))," ")</f>
        <v xml:space="preserve"> </v>
      </c>
      <c r="G3036" s="110">
        <f>COPY!Z3028</f>
        <v>0</v>
      </c>
      <c r="H3036" s="111" t="str">
        <f>IFERROR(VLOOKUP(Table1722[[#This Row],[Bukti]],'Un nOTA'!$A$4:$K$5003,10,FALSE),"")</f>
        <v/>
      </c>
      <c r="I3036" s="123" t="str">
        <f>IFERROR(VLOOKUP(Table1722[[#This Row],[Bukti]],Table13[#Data],11,FALSE),"")</f>
        <v/>
      </c>
    </row>
    <row r="3037" spans="1:9" hidden="1" x14ac:dyDescent="0.2">
      <c r="A3037" s="105" t="str">
        <f>IF(D3037=1,COUNTIF($D$10:D3037,1)," ")</f>
        <v xml:space="preserve"> </v>
      </c>
      <c r="B3037" s="106">
        <f>COPY!AR3029</f>
        <v>0</v>
      </c>
      <c r="C3037" s="107">
        <f>COPY!AC3029</f>
        <v>0</v>
      </c>
      <c r="D3037" s="107" t="str">
        <f>IF(LEN(Table1722[[#This Row],[Uraian]])&gt;2,1," ")</f>
        <v xml:space="preserve"> </v>
      </c>
      <c r="E3037" s="113" t="str">
        <f>IF(Table1722[[#This Row],[Lawan Transaksi]]="CV AGUNG KARYA",COUNTIF($I$10:I3037,"CV AGUNG KARYA")," ")</f>
        <v xml:space="preserve"> </v>
      </c>
      <c r="F3037" s="107" t="str">
        <f>IF(LEN(Table1722[[#This Row],[Uraian]])&gt;2,TRIM(RIGHT(SUBSTITUTE(TRIM(C3037)," ",REPT(" ",255)),255))," ")</f>
        <v xml:space="preserve"> </v>
      </c>
      <c r="G3037" s="110">
        <f>COPY!Z3029</f>
        <v>0</v>
      </c>
      <c r="H3037" s="111" t="str">
        <f>IFERROR(VLOOKUP(Table1722[[#This Row],[Bukti]],'Un nOTA'!$A$4:$K$5003,10,FALSE),"")</f>
        <v/>
      </c>
      <c r="I3037" s="123" t="str">
        <f>IFERROR(VLOOKUP(Table1722[[#This Row],[Bukti]],Table13[#Data],11,FALSE),"")</f>
        <v/>
      </c>
    </row>
    <row r="3038" spans="1:9" hidden="1" x14ac:dyDescent="0.2">
      <c r="A3038" s="105" t="str">
        <f>IF(D3038=1,COUNTIF($D$10:D3038,1)," ")</f>
        <v xml:space="preserve"> </v>
      </c>
      <c r="B3038" s="106">
        <f>COPY!AR3030</f>
        <v>0</v>
      </c>
      <c r="C3038" s="107">
        <f>COPY!AC3030</f>
        <v>0</v>
      </c>
      <c r="D3038" s="107" t="str">
        <f>IF(LEN(Table1722[[#This Row],[Uraian]])&gt;2,1," ")</f>
        <v xml:space="preserve"> </v>
      </c>
      <c r="E3038" s="113" t="str">
        <f>IF(Table1722[[#This Row],[Lawan Transaksi]]="CV AGUNG KARYA",COUNTIF($I$10:I3038,"CV AGUNG KARYA")," ")</f>
        <v xml:space="preserve"> </v>
      </c>
      <c r="F3038" s="107" t="str">
        <f>IF(LEN(Table1722[[#This Row],[Uraian]])&gt;2,TRIM(RIGHT(SUBSTITUTE(TRIM(C3038)," ",REPT(" ",255)),255))," ")</f>
        <v xml:space="preserve"> </v>
      </c>
      <c r="G3038" s="110">
        <f>COPY!Z3030</f>
        <v>0</v>
      </c>
      <c r="H3038" s="111" t="str">
        <f>IFERROR(VLOOKUP(Table1722[[#This Row],[Bukti]],'Un nOTA'!$A$4:$K$5003,10,FALSE),"")</f>
        <v/>
      </c>
      <c r="I3038" s="123" t="str">
        <f>IFERROR(VLOOKUP(Table1722[[#This Row],[Bukti]],Table13[#Data],11,FALSE),"")</f>
        <v/>
      </c>
    </row>
    <row r="3039" spans="1:9" hidden="1" x14ac:dyDescent="0.2">
      <c r="A3039" s="105" t="str">
        <f>IF(D3039=1,COUNTIF($D$10:D3039,1)," ")</f>
        <v xml:space="preserve"> </v>
      </c>
      <c r="B3039" s="106">
        <f>COPY!AR3031</f>
        <v>0</v>
      </c>
      <c r="C3039" s="107">
        <f>COPY!AC3031</f>
        <v>0</v>
      </c>
      <c r="D3039" s="107" t="str">
        <f>IF(LEN(Table1722[[#This Row],[Uraian]])&gt;2,1," ")</f>
        <v xml:space="preserve"> </v>
      </c>
      <c r="E3039" s="113" t="str">
        <f>IF(Table1722[[#This Row],[Lawan Transaksi]]="CV AGUNG KARYA",COUNTIF($I$10:I3039,"CV AGUNG KARYA")," ")</f>
        <v xml:space="preserve"> </v>
      </c>
      <c r="F3039" s="107" t="str">
        <f>IF(LEN(Table1722[[#This Row],[Uraian]])&gt;2,TRIM(RIGHT(SUBSTITUTE(TRIM(C3039)," ",REPT(" ",255)),255))," ")</f>
        <v xml:space="preserve"> </v>
      </c>
      <c r="G3039" s="110">
        <f>COPY!Z3031</f>
        <v>0</v>
      </c>
      <c r="H3039" s="111" t="str">
        <f>IFERROR(VLOOKUP(Table1722[[#This Row],[Bukti]],'Un nOTA'!$A$4:$K$5003,10,FALSE),"")</f>
        <v/>
      </c>
      <c r="I3039" s="123" t="str">
        <f>IFERROR(VLOOKUP(Table1722[[#This Row],[Bukti]],Table13[#Data],11,FALSE),"")</f>
        <v/>
      </c>
    </row>
    <row r="3040" spans="1:9" hidden="1" x14ac:dyDescent="0.2">
      <c r="A3040" s="105" t="str">
        <f>IF(D3040=1,COUNTIF($D$10:D3040,1)," ")</f>
        <v xml:space="preserve"> </v>
      </c>
      <c r="B3040" s="106">
        <f>COPY!AR3032</f>
        <v>0</v>
      </c>
      <c r="C3040" s="107">
        <f>COPY!AC3032</f>
        <v>0</v>
      </c>
      <c r="D3040" s="107" t="str">
        <f>IF(LEN(Table1722[[#This Row],[Uraian]])&gt;2,1," ")</f>
        <v xml:space="preserve"> </v>
      </c>
      <c r="E3040" s="113" t="str">
        <f>IF(Table1722[[#This Row],[Lawan Transaksi]]="CV AGUNG KARYA",COUNTIF($I$10:I3040,"CV AGUNG KARYA")," ")</f>
        <v xml:space="preserve"> </v>
      </c>
      <c r="F3040" s="107" t="str">
        <f>IF(LEN(Table1722[[#This Row],[Uraian]])&gt;2,TRIM(RIGHT(SUBSTITUTE(TRIM(C3040)," ",REPT(" ",255)),255))," ")</f>
        <v xml:space="preserve"> </v>
      </c>
      <c r="G3040" s="110">
        <f>COPY!Z3032</f>
        <v>0</v>
      </c>
      <c r="H3040" s="111" t="str">
        <f>IFERROR(VLOOKUP(Table1722[[#This Row],[Bukti]],'Un nOTA'!$A$4:$K$5003,10,FALSE),"")</f>
        <v/>
      </c>
      <c r="I3040" s="123" t="str">
        <f>IFERROR(VLOOKUP(Table1722[[#This Row],[Bukti]],Table13[#Data],11,FALSE),"")</f>
        <v/>
      </c>
    </row>
    <row r="3041" spans="1:9" hidden="1" x14ac:dyDescent="0.2">
      <c r="A3041" s="105" t="str">
        <f>IF(D3041=1,COUNTIF($D$10:D3041,1)," ")</f>
        <v xml:space="preserve"> </v>
      </c>
      <c r="B3041" s="106">
        <f>COPY!AR3033</f>
        <v>0</v>
      </c>
      <c r="C3041" s="107">
        <f>COPY!AC3033</f>
        <v>0</v>
      </c>
      <c r="D3041" s="107" t="str">
        <f>IF(LEN(Table1722[[#This Row],[Uraian]])&gt;2,1," ")</f>
        <v xml:space="preserve"> </v>
      </c>
      <c r="E3041" s="113" t="str">
        <f>IF(Table1722[[#This Row],[Lawan Transaksi]]="CV AGUNG KARYA",COUNTIF($I$10:I3041,"CV AGUNG KARYA")," ")</f>
        <v xml:space="preserve"> </v>
      </c>
      <c r="F3041" s="107" t="str">
        <f>IF(LEN(Table1722[[#This Row],[Uraian]])&gt;2,TRIM(RIGHT(SUBSTITUTE(TRIM(C3041)," ",REPT(" ",255)),255))," ")</f>
        <v xml:space="preserve"> </v>
      </c>
      <c r="G3041" s="110">
        <f>COPY!Z3033</f>
        <v>0</v>
      </c>
      <c r="H3041" s="111" t="str">
        <f>IFERROR(VLOOKUP(Table1722[[#This Row],[Bukti]],'Un nOTA'!$A$4:$K$5003,10,FALSE),"")</f>
        <v/>
      </c>
      <c r="I3041" s="123" t="str">
        <f>IFERROR(VLOOKUP(Table1722[[#This Row],[Bukti]],Table13[#Data],11,FALSE),"")</f>
        <v/>
      </c>
    </row>
    <row r="3042" spans="1:9" hidden="1" x14ac:dyDescent="0.2">
      <c r="A3042" s="105" t="str">
        <f>IF(D3042=1,COUNTIF($D$10:D3042,1)," ")</f>
        <v xml:space="preserve"> </v>
      </c>
      <c r="B3042" s="106">
        <f>COPY!AR3034</f>
        <v>0</v>
      </c>
      <c r="C3042" s="107">
        <f>COPY!AC3034</f>
        <v>0</v>
      </c>
      <c r="D3042" s="107" t="str">
        <f>IF(LEN(Table1722[[#This Row],[Uraian]])&gt;2,1," ")</f>
        <v xml:space="preserve"> </v>
      </c>
      <c r="E3042" s="113" t="str">
        <f>IF(Table1722[[#This Row],[Lawan Transaksi]]="CV AGUNG KARYA",COUNTIF($I$10:I3042,"CV AGUNG KARYA")," ")</f>
        <v xml:space="preserve"> </v>
      </c>
      <c r="F3042" s="107" t="str">
        <f>IF(LEN(Table1722[[#This Row],[Uraian]])&gt;2,TRIM(RIGHT(SUBSTITUTE(TRIM(C3042)," ",REPT(" ",255)),255))," ")</f>
        <v xml:space="preserve"> </v>
      </c>
      <c r="G3042" s="110">
        <f>COPY!Z3034</f>
        <v>0</v>
      </c>
      <c r="H3042" s="111" t="str">
        <f>IFERROR(VLOOKUP(Table1722[[#This Row],[Bukti]],'Un nOTA'!$A$4:$K$5003,10,FALSE),"")</f>
        <v/>
      </c>
      <c r="I3042" s="123" t="str">
        <f>IFERROR(VLOOKUP(Table1722[[#This Row],[Bukti]],Table13[#Data],11,FALSE),"")</f>
        <v/>
      </c>
    </row>
    <row r="3043" spans="1:9" hidden="1" x14ac:dyDescent="0.2">
      <c r="A3043" s="105" t="str">
        <f>IF(D3043=1,COUNTIF($D$10:D3043,1)," ")</f>
        <v xml:space="preserve"> </v>
      </c>
      <c r="B3043" s="106">
        <f>COPY!AR3035</f>
        <v>0</v>
      </c>
      <c r="C3043" s="107">
        <f>COPY!AC3035</f>
        <v>0</v>
      </c>
      <c r="D3043" s="107" t="str">
        <f>IF(LEN(Table1722[[#This Row],[Uraian]])&gt;2,1," ")</f>
        <v xml:space="preserve"> </v>
      </c>
      <c r="E3043" s="113" t="str">
        <f>IF(Table1722[[#This Row],[Lawan Transaksi]]="CV AGUNG KARYA",COUNTIF($I$10:I3043,"CV AGUNG KARYA")," ")</f>
        <v xml:space="preserve"> </v>
      </c>
      <c r="F3043" s="107" t="str">
        <f>IF(LEN(Table1722[[#This Row],[Uraian]])&gt;2,TRIM(RIGHT(SUBSTITUTE(TRIM(C3043)," ",REPT(" ",255)),255))," ")</f>
        <v xml:space="preserve"> </v>
      </c>
      <c r="G3043" s="110">
        <f>COPY!Z3035</f>
        <v>0</v>
      </c>
      <c r="H3043" s="111" t="str">
        <f>IFERROR(VLOOKUP(Table1722[[#This Row],[Bukti]],'Un nOTA'!$A$4:$K$5003,10,FALSE),"")</f>
        <v/>
      </c>
      <c r="I3043" s="123" t="str">
        <f>IFERROR(VLOOKUP(Table1722[[#This Row],[Bukti]],Table13[#Data],11,FALSE),"")</f>
        <v/>
      </c>
    </row>
    <row r="3044" spans="1:9" hidden="1" x14ac:dyDescent="0.2">
      <c r="A3044" s="105" t="str">
        <f>IF(D3044=1,COUNTIF($D$10:D3044,1)," ")</f>
        <v xml:space="preserve"> </v>
      </c>
      <c r="B3044" s="106">
        <f>COPY!AR3036</f>
        <v>0</v>
      </c>
      <c r="C3044" s="107">
        <f>COPY!AC3036</f>
        <v>0</v>
      </c>
      <c r="D3044" s="107" t="str">
        <f>IF(LEN(Table1722[[#This Row],[Uraian]])&gt;2,1," ")</f>
        <v xml:space="preserve"> </v>
      </c>
      <c r="E3044" s="113" t="str">
        <f>IF(Table1722[[#This Row],[Lawan Transaksi]]="CV AGUNG KARYA",COUNTIF($I$10:I3044,"CV AGUNG KARYA")," ")</f>
        <v xml:space="preserve"> </v>
      </c>
      <c r="F3044" s="107" t="str">
        <f>IF(LEN(Table1722[[#This Row],[Uraian]])&gt;2,TRIM(RIGHT(SUBSTITUTE(TRIM(C3044)," ",REPT(" ",255)),255))," ")</f>
        <v xml:space="preserve"> </v>
      </c>
      <c r="G3044" s="110">
        <f>COPY!Z3036</f>
        <v>0</v>
      </c>
      <c r="H3044" s="111" t="str">
        <f>IFERROR(VLOOKUP(Table1722[[#This Row],[Bukti]],'Un nOTA'!$A$4:$K$5003,10,FALSE),"")</f>
        <v/>
      </c>
      <c r="I3044" s="123" t="str">
        <f>IFERROR(VLOOKUP(Table1722[[#This Row],[Bukti]],Table13[#Data],11,FALSE),"")</f>
        <v/>
      </c>
    </row>
    <row r="3045" spans="1:9" hidden="1" x14ac:dyDescent="0.2">
      <c r="A3045" s="105" t="str">
        <f>IF(D3045=1,COUNTIF($D$10:D3045,1)," ")</f>
        <v xml:space="preserve"> </v>
      </c>
      <c r="B3045" s="106">
        <f>COPY!AR3037</f>
        <v>0</v>
      </c>
      <c r="C3045" s="107">
        <f>COPY!AC3037</f>
        <v>0</v>
      </c>
      <c r="D3045" s="107" t="str">
        <f>IF(LEN(Table1722[[#This Row],[Uraian]])&gt;2,1," ")</f>
        <v xml:space="preserve"> </v>
      </c>
      <c r="E3045" s="113" t="str">
        <f>IF(Table1722[[#This Row],[Lawan Transaksi]]="CV AGUNG KARYA",COUNTIF($I$10:I3045,"CV AGUNG KARYA")," ")</f>
        <v xml:space="preserve"> </v>
      </c>
      <c r="F3045" s="107" t="str">
        <f>IF(LEN(Table1722[[#This Row],[Uraian]])&gt;2,TRIM(RIGHT(SUBSTITUTE(TRIM(C3045)," ",REPT(" ",255)),255))," ")</f>
        <v xml:space="preserve"> </v>
      </c>
      <c r="G3045" s="110">
        <f>COPY!Z3037</f>
        <v>0</v>
      </c>
      <c r="H3045" s="111" t="str">
        <f>IFERROR(VLOOKUP(Table1722[[#This Row],[Bukti]],'Un nOTA'!$A$4:$K$5003,10,FALSE),"")</f>
        <v/>
      </c>
      <c r="I3045" s="123" t="str">
        <f>IFERROR(VLOOKUP(Table1722[[#This Row],[Bukti]],Table13[#Data],11,FALSE),"")</f>
        <v/>
      </c>
    </row>
    <row r="3046" spans="1:9" hidden="1" x14ac:dyDescent="0.2">
      <c r="A3046" s="105" t="str">
        <f>IF(D3046=1,COUNTIF($D$10:D3046,1)," ")</f>
        <v xml:space="preserve"> </v>
      </c>
      <c r="B3046" s="106">
        <f>COPY!AR3038</f>
        <v>0</v>
      </c>
      <c r="C3046" s="107">
        <f>COPY!AC3038</f>
        <v>0</v>
      </c>
      <c r="D3046" s="107" t="str">
        <f>IF(LEN(Table1722[[#This Row],[Uraian]])&gt;2,1," ")</f>
        <v xml:space="preserve"> </v>
      </c>
      <c r="E3046" s="113" t="str">
        <f>IF(Table1722[[#This Row],[Lawan Transaksi]]="CV AGUNG KARYA",COUNTIF($I$10:I3046,"CV AGUNG KARYA")," ")</f>
        <v xml:space="preserve"> </v>
      </c>
      <c r="F3046" s="107" t="str">
        <f>IF(LEN(Table1722[[#This Row],[Uraian]])&gt;2,TRIM(RIGHT(SUBSTITUTE(TRIM(C3046)," ",REPT(" ",255)),255))," ")</f>
        <v xml:space="preserve"> </v>
      </c>
      <c r="G3046" s="110">
        <f>COPY!Z3038</f>
        <v>0</v>
      </c>
      <c r="H3046" s="111" t="str">
        <f>IFERROR(VLOOKUP(Table1722[[#This Row],[Bukti]],'Un nOTA'!$A$4:$K$5003,10,FALSE),"")</f>
        <v/>
      </c>
      <c r="I3046" s="123" t="str">
        <f>IFERROR(VLOOKUP(Table1722[[#This Row],[Bukti]],Table13[#Data],11,FALSE),"")</f>
        <v/>
      </c>
    </row>
    <row r="3047" spans="1:9" hidden="1" x14ac:dyDescent="0.2">
      <c r="A3047" s="105" t="str">
        <f>IF(D3047=1,COUNTIF($D$10:D3047,1)," ")</f>
        <v xml:space="preserve"> </v>
      </c>
      <c r="B3047" s="106">
        <f>COPY!AR3039</f>
        <v>0</v>
      </c>
      <c r="C3047" s="107">
        <f>COPY!AC3039</f>
        <v>0</v>
      </c>
      <c r="D3047" s="107" t="str">
        <f>IF(LEN(Table1722[[#This Row],[Uraian]])&gt;2,1," ")</f>
        <v xml:space="preserve"> </v>
      </c>
      <c r="E3047" s="113" t="str">
        <f>IF(Table1722[[#This Row],[Lawan Transaksi]]="CV AGUNG KARYA",COUNTIF($I$10:I3047,"CV AGUNG KARYA")," ")</f>
        <v xml:space="preserve"> </v>
      </c>
      <c r="F3047" s="107" t="str">
        <f>IF(LEN(Table1722[[#This Row],[Uraian]])&gt;2,TRIM(RIGHT(SUBSTITUTE(TRIM(C3047)," ",REPT(" ",255)),255))," ")</f>
        <v xml:space="preserve"> </v>
      </c>
      <c r="G3047" s="110">
        <f>COPY!Z3039</f>
        <v>0</v>
      </c>
      <c r="H3047" s="111" t="str">
        <f>IFERROR(VLOOKUP(Table1722[[#This Row],[Bukti]],'Un nOTA'!$A$4:$K$5003,10,FALSE),"")</f>
        <v/>
      </c>
      <c r="I3047" s="123" t="str">
        <f>IFERROR(VLOOKUP(Table1722[[#This Row],[Bukti]],Table13[#Data],11,FALSE),"")</f>
        <v/>
      </c>
    </row>
    <row r="3048" spans="1:9" hidden="1" x14ac:dyDescent="0.2">
      <c r="A3048" s="105" t="str">
        <f>IF(D3048=1,COUNTIF($D$10:D3048,1)," ")</f>
        <v xml:space="preserve"> </v>
      </c>
      <c r="B3048" s="106">
        <f>COPY!AR3040</f>
        <v>0</v>
      </c>
      <c r="C3048" s="107">
        <f>COPY!AC3040</f>
        <v>0</v>
      </c>
      <c r="D3048" s="107" t="str">
        <f>IF(LEN(Table1722[[#This Row],[Uraian]])&gt;2,1," ")</f>
        <v xml:space="preserve"> </v>
      </c>
      <c r="E3048" s="113" t="str">
        <f>IF(Table1722[[#This Row],[Lawan Transaksi]]="CV AGUNG KARYA",COUNTIF($I$10:I3048,"CV AGUNG KARYA")," ")</f>
        <v xml:space="preserve"> </v>
      </c>
      <c r="F3048" s="107" t="str">
        <f>IF(LEN(Table1722[[#This Row],[Uraian]])&gt;2,TRIM(RIGHT(SUBSTITUTE(TRIM(C3048)," ",REPT(" ",255)),255))," ")</f>
        <v xml:space="preserve"> </v>
      </c>
      <c r="G3048" s="110">
        <f>COPY!Z3040</f>
        <v>0</v>
      </c>
      <c r="H3048" s="111" t="str">
        <f>IFERROR(VLOOKUP(Table1722[[#This Row],[Bukti]],'Un nOTA'!$A$4:$K$5003,10,FALSE),"")</f>
        <v/>
      </c>
      <c r="I3048" s="123" t="str">
        <f>IFERROR(VLOOKUP(Table1722[[#This Row],[Bukti]],Table13[#Data],11,FALSE),"")</f>
        <v/>
      </c>
    </row>
    <row r="3049" spans="1:9" hidden="1" x14ac:dyDescent="0.2">
      <c r="A3049" s="105" t="str">
        <f>IF(D3049=1,COUNTIF($D$10:D3049,1)," ")</f>
        <v xml:space="preserve"> </v>
      </c>
      <c r="B3049" s="106">
        <f>COPY!AR3041</f>
        <v>0</v>
      </c>
      <c r="C3049" s="107">
        <f>COPY!AC3041</f>
        <v>0</v>
      </c>
      <c r="D3049" s="107" t="str">
        <f>IF(LEN(Table1722[[#This Row],[Uraian]])&gt;2,1," ")</f>
        <v xml:space="preserve"> </v>
      </c>
      <c r="E3049" s="113" t="str">
        <f>IF(Table1722[[#This Row],[Lawan Transaksi]]="CV AGUNG KARYA",COUNTIF($I$10:I3049,"CV AGUNG KARYA")," ")</f>
        <v xml:space="preserve"> </v>
      </c>
      <c r="F3049" s="107" t="str">
        <f>IF(LEN(Table1722[[#This Row],[Uraian]])&gt;2,TRIM(RIGHT(SUBSTITUTE(TRIM(C3049)," ",REPT(" ",255)),255))," ")</f>
        <v xml:space="preserve"> </v>
      </c>
      <c r="G3049" s="110">
        <f>COPY!Z3041</f>
        <v>0</v>
      </c>
      <c r="H3049" s="111" t="str">
        <f>IFERROR(VLOOKUP(Table1722[[#This Row],[Bukti]],'Un nOTA'!$A$4:$K$5003,10,FALSE),"")</f>
        <v/>
      </c>
      <c r="I3049" s="123" t="str">
        <f>IFERROR(VLOOKUP(Table1722[[#This Row],[Bukti]],Table13[#Data],11,FALSE),"")</f>
        <v/>
      </c>
    </row>
    <row r="3050" spans="1:9" hidden="1" x14ac:dyDescent="0.2">
      <c r="A3050" s="105" t="str">
        <f>IF(D3050=1,COUNTIF($D$10:D3050,1)," ")</f>
        <v xml:space="preserve"> </v>
      </c>
      <c r="B3050" s="106">
        <f>COPY!AR3042</f>
        <v>0</v>
      </c>
      <c r="C3050" s="107">
        <f>COPY!AC3042</f>
        <v>0</v>
      </c>
      <c r="D3050" s="107" t="str">
        <f>IF(LEN(Table1722[[#This Row],[Uraian]])&gt;2,1," ")</f>
        <v xml:space="preserve"> </v>
      </c>
      <c r="E3050" s="113" t="str">
        <f>IF(Table1722[[#This Row],[Lawan Transaksi]]="CV AGUNG KARYA",COUNTIF($I$10:I3050,"CV AGUNG KARYA")," ")</f>
        <v xml:space="preserve"> </v>
      </c>
      <c r="F3050" s="107" t="str">
        <f>IF(LEN(Table1722[[#This Row],[Uraian]])&gt;2,TRIM(RIGHT(SUBSTITUTE(TRIM(C3050)," ",REPT(" ",255)),255))," ")</f>
        <v xml:space="preserve"> </v>
      </c>
      <c r="G3050" s="110">
        <f>COPY!Z3042</f>
        <v>0</v>
      </c>
      <c r="H3050" s="111" t="str">
        <f>IFERROR(VLOOKUP(Table1722[[#This Row],[Bukti]],'Un nOTA'!$A$4:$K$5003,10,FALSE),"")</f>
        <v/>
      </c>
      <c r="I3050" s="123" t="str">
        <f>IFERROR(VLOOKUP(Table1722[[#This Row],[Bukti]],Table13[#Data],11,FALSE),"")</f>
        <v/>
      </c>
    </row>
    <row r="3051" spans="1:9" hidden="1" x14ac:dyDescent="0.2">
      <c r="A3051" s="105" t="str">
        <f>IF(D3051=1,COUNTIF($D$10:D3051,1)," ")</f>
        <v xml:space="preserve"> </v>
      </c>
      <c r="B3051" s="106">
        <f>COPY!AR3043</f>
        <v>0</v>
      </c>
      <c r="C3051" s="107">
        <f>COPY!AC3043</f>
        <v>0</v>
      </c>
      <c r="D3051" s="107" t="str">
        <f>IF(LEN(Table1722[[#This Row],[Uraian]])&gt;2,1," ")</f>
        <v xml:space="preserve"> </v>
      </c>
      <c r="E3051" s="113" t="str">
        <f>IF(Table1722[[#This Row],[Lawan Transaksi]]="CV AGUNG KARYA",COUNTIF($I$10:I3051,"CV AGUNG KARYA")," ")</f>
        <v xml:space="preserve"> </v>
      </c>
      <c r="F3051" s="107" t="str">
        <f>IF(LEN(Table1722[[#This Row],[Uraian]])&gt;2,TRIM(RIGHT(SUBSTITUTE(TRIM(C3051)," ",REPT(" ",255)),255))," ")</f>
        <v xml:space="preserve"> </v>
      </c>
      <c r="G3051" s="110">
        <f>COPY!Z3043</f>
        <v>0</v>
      </c>
      <c r="H3051" s="111" t="str">
        <f>IFERROR(VLOOKUP(Table1722[[#This Row],[Bukti]],'Un nOTA'!$A$4:$K$5003,10,FALSE),"")</f>
        <v/>
      </c>
      <c r="I3051" s="123" t="str">
        <f>IFERROR(VLOOKUP(Table1722[[#This Row],[Bukti]],Table13[#Data],11,FALSE),"")</f>
        <v/>
      </c>
    </row>
    <row r="3052" spans="1:9" hidden="1" x14ac:dyDescent="0.2">
      <c r="A3052" s="105" t="str">
        <f>IF(D3052=1,COUNTIF($D$10:D3052,1)," ")</f>
        <v xml:space="preserve"> </v>
      </c>
      <c r="B3052" s="106">
        <f>COPY!AR3044</f>
        <v>0</v>
      </c>
      <c r="C3052" s="107">
        <f>COPY!AC3044</f>
        <v>0</v>
      </c>
      <c r="D3052" s="107" t="str">
        <f>IF(LEN(Table1722[[#This Row],[Uraian]])&gt;2,1," ")</f>
        <v xml:space="preserve"> </v>
      </c>
      <c r="E3052" s="113" t="str">
        <f>IF(Table1722[[#This Row],[Lawan Transaksi]]="CV AGUNG KARYA",COUNTIF($I$10:I3052,"CV AGUNG KARYA")," ")</f>
        <v xml:space="preserve"> </v>
      </c>
      <c r="F3052" s="107" t="str">
        <f>IF(LEN(Table1722[[#This Row],[Uraian]])&gt;2,TRIM(RIGHT(SUBSTITUTE(TRIM(C3052)," ",REPT(" ",255)),255))," ")</f>
        <v xml:space="preserve"> </v>
      </c>
      <c r="G3052" s="110">
        <f>COPY!Z3044</f>
        <v>0</v>
      </c>
      <c r="H3052" s="111" t="str">
        <f>IFERROR(VLOOKUP(Table1722[[#This Row],[Bukti]],'Un nOTA'!$A$4:$K$5003,10,FALSE),"")</f>
        <v/>
      </c>
      <c r="I3052" s="123" t="str">
        <f>IFERROR(VLOOKUP(Table1722[[#This Row],[Bukti]],Table13[#Data],11,FALSE),"")</f>
        <v/>
      </c>
    </row>
    <row r="3053" spans="1:9" hidden="1" x14ac:dyDescent="0.2">
      <c r="A3053" s="105" t="str">
        <f>IF(D3053=1,COUNTIF($D$10:D3053,1)," ")</f>
        <v xml:space="preserve"> </v>
      </c>
      <c r="B3053" s="106">
        <f>COPY!AR3045</f>
        <v>0</v>
      </c>
      <c r="C3053" s="107">
        <f>COPY!AC3045</f>
        <v>0</v>
      </c>
      <c r="D3053" s="107" t="str">
        <f>IF(LEN(Table1722[[#This Row],[Uraian]])&gt;2,1," ")</f>
        <v xml:space="preserve"> </v>
      </c>
      <c r="E3053" s="113" t="str">
        <f>IF(Table1722[[#This Row],[Lawan Transaksi]]="CV AGUNG KARYA",COUNTIF($I$10:I3053,"CV AGUNG KARYA")," ")</f>
        <v xml:space="preserve"> </v>
      </c>
      <c r="F3053" s="107" t="str">
        <f>IF(LEN(Table1722[[#This Row],[Uraian]])&gt;2,TRIM(RIGHT(SUBSTITUTE(TRIM(C3053)," ",REPT(" ",255)),255))," ")</f>
        <v xml:space="preserve"> </v>
      </c>
      <c r="G3053" s="110">
        <f>COPY!Z3045</f>
        <v>0</v>
      </c>
      <c r="H3053" s="111" t="str">
        <f>IFERROR(VLOOKUP(Table1722[[#This Row],[Bukti]],'Un nOTA'!$A$4:$K$5003,10,FALSE),"")</f>
        <v/>
      </c>
      <c r="I3053" s="123" t="str">
        <f>IFERROR(VLOOKUP(Table1722[[#This Row],[Bukti]],Table13[#Data],11,FALSE),"")</f>
        <v/>
      </c>
    </row>
    <row r="3054" spans="1:9" hidden="1" x14ac:dyDescent="0.2">
      <c r="A3054" s="105" t="str">
        <f>IF(D3054=1,COUNTIF($D$10:D3054,1)," ")</f>
        <v xml:space="preserve"> </v>
      </c>
      <c r="B3054" s="106">
        <f>COPY!AR3046</f>
        <v>0</v>
      </c>
      <c r="C3054" s="107">
        <f>COPY!AC3046</f>
        <v>0</v>
      </c>
      <c r="D3054" s="107" t="str">
        <f>IF(LEN(Table1722[[#This Row],[Uraian]])&gt;2,1," ")</f>
        <v xml:space="preserve"> </v>
      </c>
      <c r="E3054" s="113" t="str">
        <f>IF(Table1722[[#This Row],[Lawan Transaksi]]="CV AGUNG KARYA",COUNTIF($I$10:I3054,"CV AGUNG KARYA")," ")</f>
        <v xml:space="preserve"> </v>
      </c>
      <c r="F3054" s="107" t="str">
        <f>IF(LEN(Table1722[[#This Row],[Uraian]])&gt;2,TRIM(RIGHT(SUBSTITUTE(TRIM(C3054)," ",REPT(" ",255)),255))," ")</f>
        <v xml:space="preserve"> </v>
      </c>
      <c r="G3054" s="110">
        <f>COPY!Z3046</f>
        <v>0</v>
      </c>
      <c r="H3054" s="111" t="str">
        <f>IFERROR(VLOOKUP(Table1722[[#This Row],[Bukti]],'Un nOTA'!$A$4:$K$5003,10,FALSE),"")</f>
        <v/>
      </c>
      <c r="I3054" s="123" t="str">
        <f>IFERROR(VLOOKUP(Table1722[[#This Row],[Bukti]],Table13[#Data],11,FALSE),"")</f>
        <v/>
      </c>
    </row>
    <row r="3055" spans="1:9" hidden="1" x14ac:dyDescent="0.2">
      <c r="A3055" s="105" t="str">
        <f>IF(D3055=1,COUNTIF($D$10:D3055,1)," ")</f>
        <v xml:space="preserve"> </v>
      </c>
      <c r="B3055" s="106">
        <f>COPY!AR3047</f>
        <v>0</v>
      </c>
      <c r="C3055" s="107">
        <f>COPY!AC3047</f>
        <v>0</v>
      </c>
      <c r="D3055" s="107" t="str">
        <f>IF(LEN(Table1722[[#This Row],[Uraian]])&gt;2,1," ")</f>
        <v xml:space="preserve"> </v>
      </c>
      <c r="E3055" s="113" t="str">
        <f>IF(Table1722[[#This Row],[Lawan Transaksi]]="CV AGUNG KARYA",COUNTIF($I$10:I3055,"CV AGUNG KARYA")," ")</f>
        <v xml:space="preserve"> </v>
      </c>
      <c r="F3055" s="107" t="str">
        <f>IF(LEN(Table1722[[#This Row],[Uraian]])&gt;2,TRIM(RIGHT(SUBSTITUTE(TRIM(C3055)," ",REPT(" ",255)),255))," ")</f>
        <v xml:space="preserve"> </v>
      </c>
      <c r="G3055" s="110">
        <f>COPY!Z3047</f>
        <v>0</v>
      </c>
      <c r="H3055" s="111" t="str">
        <f>IFERROR(VLOOKUP(Table1722[[#This Row],[Bukti]],'Un nOTA'!$A$4:$K$5003,10,FALSE),"")</f>
        <v/>
      </c>
      <c r="I3055" s="123" t="str">
        <f>IFERROR(VLOOKUP(Table1722[[#This Row],[Bukti]],Table13[#Data],11,FALSE),"")</f>
        <v/>
      </c>
    </row>
    <row r="3056" spans="1:9" hidden="1" x14ac:dyDescent="0.2">
      <c r="A3056" s="105" t="str">
        <f>IF(D3056=1,COUNTIF($D$10:D3056,1)," ")</f>
        <v xml:space="preserve"> </v>
      </c>
      <c r="B3056" s="106">
        <f>COPY!AR3048</f>
        <v>0</v>
      </c>
      <c r="C3056" s="107">
        <f>COPY!AC3048</f>
        <v>0</v>
      </c>
      <c r="D3056" s="107" t="str">
        <f>IF(LEN(Table1722[[#This Row],[Uraian]])&gt;2,1," ")</f>
        <v xml:space="preserve"> </v>
      </c>
      <c r="E3056" s="113" t="str">
        <f>IF(Table1722[[#This Row],[Lawan Transaksi]]="CV AGUNG KARYA",COUNTIF($I$10:I3056,"CV AGUNG KARYA")," ")</f>
        <v xml:space="preserve"> </v>
      </c>
      <c r="F3056" s="107" t="str">
        <f>IF(LEN(Table1722[[#This Row],[Uraian]])&gt;2,TRIM(RIGHT(SUBSTITUTE(TRIM(C3056)," ",REPT(" ",255)),255))," ")</f>
        <v xml:space="preserve"> </v>
      </c>
      <c r="G3056" s="110">
        <f>COPY!Z3048</f>
        <v>0</v>
      </c>
      <c r="H3056" s="111" t="str">
        <f>IFERROR(VLOOKUP(Table1722[[#This Row],[Bukti]],'Un nOTA'!$A$4:$K$5003,10,FALSE),"")</f>
        <v/>
      </c>
      <c r="I3056" s="123" t="str">
        <f>IFERROR(VLOOKUP(Table1722[[#This Row],[Bukti]],Table13[#Data],11,FALSE),"")</f>
        <v/>
      </c>
    </row>
    <row r="3057" spans="1:9" hidden="1" x14ac:dyDescent="0.2">
      <c r="A3057" s="105" t="str">
        <f>IF(D3057=1,COUNTIF($D$10:D3057,1)," ")</f>
        <v xml:space="preserve"> </v>
      </c>
      <c r="B3057" s="106">
        <f>COPY!AR3049</f>
        <v>0</v>
      </c>
      <c r="C3057" s="107">
        <f>COPY!AC3049</f>
        <v>0</v>
      </c>
      <c r="D3057" s="107" t="str">
        <f>IF(LEN(Table1722[[#This Row],[Uraian]])&gt;2,1," ")</f>
        <v xml:space="preserve"> </v>
      </c>
      <c r="E3057" s="113" t="str">
        <f>IF(Table1722[[#This Row],[Lawan Transaksi]]="CV AGUNG KARYA",COUNTIF($I$10:I3057,"CV AGUNG KARYA")," ")</f>
        <v xml:space="preserve"> </v>
      </c>
      <c r="F3057" s="107" t="str">
        <f>IF(LEN(Table1722[[#This Row],[Uraian]])&gt;2,TRIM(RIGHT(SUBSTITUTE(TRIM(C3057)," ",REPT(" ",255)),255))," ")</f>
        <v xml:space="preserve"> </v>
      </c>
      <c r="G3057" s="110">
        <f>COPY!Z3049</f>
        <v>0</v>
      </c>
      <c r="H3057" s="111" t="str">
        <f>IFERROR(VLOOKUP(Table1722[[#This Row],[Bukti]],'Un nOTA'!$A$4:$K$5003,10,FALSE),"")</f>
        <v/>
      </c>
      <c r="I3057" s="123" t="str">
        <f>IFERROR(VLOOKUP(Table1722[[#This Row],[Bukti]],Table13[#Data],11,FALSE),"")</f>
        <v/>
      </c>
    </row>
    <row r="3058" spans="1:9" hidden="1" x14ac:dyDescent="0.2">
      <c r="A3058" s="105" t="str">
        <f>IF(D3058=1,COUNTIF($D$10:D3058,1)," ")</f>
        <v xml:space="preserve"> </v>
      </c>
      <c r="B3058" s="106">
        <f>COPY!AR3050</f>
        <v>0</v>
      </c>
      <c r="C3058" s="107">
        <f>COPY!AC3050</f>
        <v>0</v>
      </c>
      <c r="D3058" s="107" t="str">
        <f>IF(LEN(Table1722[[#This Row],[Uraian]])&gt;2,1," ")</f>
        <v xml:space="preserve"> </v>
      </c>
      <c r="E3058" s="113" t="str">
        <f>IF(Table1722[[#This Row],[Lawan Transaksi]]="CV AGUNG KARYA",COUNTIF($I$10:I3058,"CV AGUNG KARYA")," ")</f>
        <v xml:space="preserve"> </v>
      </c>
      <c r="F3058" s="107" t="str">
        <f>IF(LEN(Table1722[[#This Row],[Uraian]])&gt;2,TRIM(RIGHT(SUBSTITUTE(TRIM(C3058)," ",REPT(" ",255)),255))," ")</f>
        <v xml:space="preserve"> </v>
      </c>
      <c r="G3058" s="110">
        <f>COPY!Z3050</f>
        <v>0</v>
      </c>
      <c r="H3058" s="111" t="str">
        <f>IFERROR(VLOOKUP(Table1722[[#This Row],[Bukti]],'Un nOTA'!$A$4:$K$5003,10,FALSE),"")</f>
        <v/>
      </c>
      <c r="I3058" s="123" t="str">
        <f>IFERROR(VLOOKUP(Table1722[[#This Row],[Bukti]],Table13[#Data],11,FALSE),"")</f>
        <v/>
      </c>
    </row>
    <row r="3059" spans="1:9" hidden="1" x14ac:dyDescent="0.2">
      <c r="A3059" s="105" t="str">
        <f>IF(D3059=1,COUNTIF($D$10:D3059,1)," ")</f>
        <v xml:space="preserve"> </v>
      </c>
      <c r="B3059" s="106">
        <f>COPY!AR3051</f>
        <v>0</v>
      </c>
      <c r="C3059" s="107">
        <f>COPY!AC3051</f>
        <v>0</v>
      </c>
      <c r="D3059" s="107" t="str">
        <f>IF(LEN(Table1722[[#This Row],[Uraian]])&gt;2,1," ")</f>
        <v xml:space="preserve"> </v>
      </c>
      <c r="E3059" s="113" t="str">
        <f>IF(Table1722[[#This Row],[Lawan Transaksi]]="CV AGUNG KARYA",COUNTIF($I$10:I3059,"CV AGUNG KARYA")," ")</f>
        <v xml:space="preserve"> </v>
      </c>
      <c r="F3059" s="107" t="str">
        <f>IF(LEN(Table1722[[#This Row],[Uraian]])&gt;2,TRIM(RIGHT(SUBSTITUTE(TRIM(C3059)," ",REPT(" ",255)),255))," ")</f>
        <v xml:space="preserve"> </v>
      </c>
      <c r="G3059" s="110">
        <f>COPY!Z3051</f>
        <v>0</v>
      </c>
      <c r="H3059" s="111" t="str">
        <f>IFERROR(VLOOKUP(Table1722[[#This Row],[Bukti]],'Un nOTA'!$A$4:$K$5003,10,FALSE),"")</f>
        <v/>
      </c>
      <c r="I3059" s="123" t="str">
        <f>IFERROR(VLOOKUP(Table1722[[#This Row],[Bukti]],Table13[#Data],11,FALSE),"")</f>
        <v/>
      </c>
    </row>
    <row r="3060" spans="1:9" hidden="1" x14ac:dyDescent="0.2">
      <c r="A3060" s="105" t="str">
        <f>IF(D3060=1,COUNTIF($D$10:D3060,1)," ")</f>
        <v xml:space="preserve"> </v>
      </c>
      <c r="B3060" s="106">
        <f>COPY!AR3052</f>
        <v>0</v>
      </c>
      <c r="C3060" s="107">
        <f>COPY!AC3052</f>
        <v>0</v>
      </c>
      <c r="D3060" s="107" t="str">
        <f>IF(LEN(Table1722[[#This Row],[Uraian]])&gt;2,1," ")</f>
        <v xml:space="preserve"> </v>
      </c>
      <c r="E3060" s="113" t="str">
        <f>IF(Table1722[[#This Row],[Lawan Transaksi]]="CV AGUNG KARYA",COUNTIF($I$10:I3060,"CV AGUNG KARYA")," ")</f>
        <v xml:space="preserve"> </v>
      </c>
      <c r="F3060" s="107" t="str">
        <f>IF(LEN(Table1722[[#This Row],[Uraian]])&gt;2,TRIM(RIGHT(SUBSTITUTE(TRIM(C3060)," ",REPT(" ",255)),255))," ")</f>
        <v xml:space="preserve"> </v>
      </c>
      <c r="G3060" s="110">
        <f>COPY!Z3052</f>
        <v>0</v>
      </c>
      <c r="H3060" s="111" t="str">
        <f>IFERROR(VLOOKUP(Table1722[[#This Row],[Bukti]],'Un nOTA'!$A$4:$K$5003,10,FALSE),"")</f>
        <v/>
      </c>
      <c r="I3060" s="123" t="str">
        <f>IFERROR(VLOOKUP(Table1722[[#This Row],[Bukti]],Table13[#Data],11,FALSE),"")</f>
        <v/>
      </c>
    </row>
    <row r="3061" spans="1:9" hidden="1" x14ac:dyDescent="0.2">
      <c r="A3061" s="105" t="str">
        <f>IF(D3061=1,COUNTIF($D$10:D3061,1)," ")</f>
        <v xml:space="preserve"> </v>
      </c>
      <c r="B3061" s="106">
        <f>COPY!AR3053</f>
        <v>0</v>
      </c>
      <c r="C3061" s="107">
        <f>COPY!AC3053</f>
        <v>0</v>
      </c>
      <c r="D3061" s="107" t="str">
        <f>IF(LEN(Table1722[[#This Row],[Uraian]])&gt;2,1," ")</f>
        <v xml:space="preserve"> </v>
      </c>
      <c r="E3061" s="113" t="str">
        <f>IF(Table1722[[#This Row],[Lawan Transaksi]]="CV AGUNG KARYA",COUNTIF($I$10:I3061,"CV AGUNG KARYA")," ")</f>
        <v xml:space="preserve"> </v>
      </c>
      <c r="F3061" s="107" t="str">
        <f>IF(LEN(Table1722[[#This Row],[Uraian]])&gt;2,TRIM(RIGHT(SUBSTITUTE(TRIM(C3061)," ",REPT(" ",255)),255))," ")</f>
        <v xml:space="preserve"> </v>
      </c>
      <c r="G3061" s="110">
        <f>COPY!Z3053</f>
        <v>0</v>
      </c>
      <c r="H3061" s="111" t="str">
        <f>IFERROR(VLOOKUP(Table1722[[#This Row],[Bukti]],'Un nOTA'!$A$4:$K$5003,10,FALSE),"")</f>
        <v/>
      </c>
      <c r="I3061" s="123" t="str">
        <f>IFERROR(VLOOKUP(Table1722[[#This Row],[Bukti]],Table13[#Data],11,FALSE),"")</f>
        <v/>
      </c>
    </row>
    <row r="3062" spans="1:9" hidden="1" x14ac:dyDescent="0.2">
      <c r="A3062" s="105" t="str">
        <f>IF(D3062=1,COUNTIF($D$10:D3062,1)," ")</f>
        <v xml:space="preserve"> </v>
      </c>
      <c r="B3062" s="106">
        <f>COPY!AR3054</f>
        <v>0</v>
      </c>
      <c r="C3062" s="107">
        <f>COPY!AC3054</f>
        <v>0</v>
      </c>
      <c r="D3062" s="107" t="str">
        <f>IF(LEN(Table1722[[#This Row],[Uraian]])&gt;2,1," ")</f>
        <v xml:space="preserve"> </v>
      </c>
      <c r="E3062" s="113" t="str">
        <f>IF(Table1722[[#This Row],[Lawan Transaksi]]="CV AGUNG KARYA",COUNTIF($I$10:I3062,"CV AGUNG KARYA")," ")</f>
        <v xml:space="preserve"> </v>
      </c>
      <c r="F3062" s="107" t="str">
        <f>IF(LEN(Table1722[[#This Row],[Uraian]])&gt;2,TRIM(RIGHT(SUBSTITUTE(TRIM(C3062)," ",REPT(" ",255)),255))," ")</f>
        <v xml:space="preserve"> </v>
      </c>
      <c r="G3062" s="110">
        <f>COPY!Z3054</f>
        <v>0</v>
      </c>
      <c r="H3062" s="111" t="str">
        <f>IFERROR(VLOOKUP(Table1722[[#This Row],[Bukti]],'Un nOTA'!$A$4:$K$5003,10,FALSE),"")</f>
        <v/>
      </c>
      <c r="I3062" s="123" t="str">
        <f>IFERROR(VLOOKUP(Table1722[[#This Row],[Bukti]],Table13[#Data],11,FALSE),"")</f>
        <v/>
      </c>
    </row>
    <row r="3063" spans="1:9" hidden="1" x14ac:dyDescent="0.2">
      <c r="A3063" s="105" t="str">
        <f>IF(D3063=1,COUNTIF($D$10:D3063,1)," ")</f>
        <v xml:space="preserve"> </v>
      </c>
      <c r="B3063" s="106">
        <f>COPY!AR3055</f>
        <v>0</v>
      </c>
      <c r="C3063" s="107">
        <f>COPY!AC3055</f>
        <v>0</v>
      </c>
      <c r="D3063" s="107" t="str">
        <f>IF(LEN(Table1722[[#This Row],[Uraian]])&gt;2,1," ")</f>
        <v xml:space="preserve"> </v>
      </c>
      <c r="E3063" s="113" t="str">
        <f>IF(Table1722[[#This Row],[Lawan Transaksi]]="CV AGUNG KARYA",COUNTIF($I$10:I3063,"CV AGUNG KARYA")," ")</f>
        <v xml:space="preserve"> </v>
      </c>
      <c r="F3063" s="107" t="str">
        <f>IF(LEN(Table1722[[#This Row],[Uraian]])&gt;2,TRIM(RIGHT(SUBSTITUTE(TRIM(C3063)," ",REPT(" ",255)),255))," ")</f>
        <v xml:space="preserve"> </v>
      </c>
      <c r="G3063" s="110">
        <f>COPY!Z3055</f>
        <v>0</v>
      </c>
      <c r="H3063" s="111" t="str">
        <f>IFERROR(VLOOKUP(Table1722[[#This Row],[Bukti]],'Un nOTA'!$A$4:$K$5003,10,FALSE),"")</f>
        <v/>
      </c>
      <c r="I3063" s="123" t="str">
        <f>IFERROR(VLOOKUP(Table1722[[#This Row],[Bukti]],Table13[#Data],11,FALSE),"")</f>
        <v/>
      </c>
    </row>
    <row r="3064" spans="1:9" hidden="1" x14ac:dyDescent="0.2">
      <c r="A3064" s="105" t="str">
        <f>IF(D3064=1,COUNTIF($D$10:D3064,1)," ")</f>
        <v xml:space="preserve"> </v>
      </c>
      <c r="B3064" s="106">
        <f>COPY!AR3056</f>
        <v>0</v>
      </c>
      <c r="C3064" s="107">
        <f>COPY!AC3056</f>
        <v>0</v>
      </c>
      <c r="D3064" s="107" t="str">
        <f>IF(LEN(Table1722[[#This Row],[Uraian]])&gt;2,1," ")</f>
        <v xml:space="preserve"> </v>
      </c>
      <c r="E3064" s="113" t="str">
        <f>IF(Table1722[[#This Row],[Lawan Transaksi]]="CV AGUNG KARYA",COUNTIF($I$10:I3064,"CV AGUNG KARYA")," ")</f>
        <v xml:space="preserve"> </v>
      </c>
      <c r="F3064" s="107" t="str">
        <f>IF(LEN(Table1722[[#This Row],[Uraian]])&gt;2,TRIM(RIGHT(SUBSTITUTE(TRIM(C3064)," ",REPT(" ",255)),255))," ")</f>
        <v xml:space="preserve"> </v>
      </c>
      <c r="G3064" s="110">
        <f>COPY!Z3056</f>
        <v>0</v>
      </c>
      <c r="H3064" s="111" t="str">
        <f>IFERROR(VLOOKUP(Table1722[[#This Row],[Bukti]],'Un nOTA'!$A$4:$K$5003,10,FALSE),"")</f>
        <v/>
      </c>
      <c r="I3064" s="123" t="str">
        <f>IFERROR(VLOOKUP(Table1722[[#This Row],[Bukti]],Table13[#Data],11,FALSE),"")</f>
        <v/>
      </c>
    </row>
    <row r="3065" spans="1:9" hidden="1" x14ac:dyDescent="0.2">
      <c r="A3065" s="105" t="str">
        <f>IF(D3065=1,COUNTIF($D$10:D3065,1)," ")</f>
        <v xml:space="preserve"> </v>
      </c>
      <c r="B3065" s="106">
        <f>COPY!AR3057</f>
        <v>0</v>
      </c>
      <c r="C3065" s="107">
        <f>COPY!AC3057</f>
        <v>0</v>
      </c>
      <c r="D3065" s="107" t="str">
        <f>IF(LEN(Table1722[[#This Row],[Uraian]])&gt;2,1," ")</f>
        <v xml:space="preserve"> </v>
      </c>
      <c r="E3065" s="113" t="str">
        <f>IF(Table1722[[#This Row],[Lawan Transaksi]]="CV AGUNG KARYA",COUNTIF($I$10:I3065,"CV AGUNG KARYA")," ")</f>
        <v xml:space="preserve"> </v>
      </c>
      <c r="F3065" s="107" t="str">
        <f>IF(LEN(Table1722[[#This Row],[Uraian]])&gt;2,TRIM(RIGHT(SUBSTITUTE(TRIM(C3065)," ",REPT(" ",255)),255))," ")</f>
        <v xml:space="preserve"> </v>
      </c>
      <c r="G3065" s="110">
        <f>COPY!Z3057</f>
        <v>0</v>
      </c>
      <c r="H3065" s="111" t="str">
        <f>IFERROR(VLOOKUP(Table1722[[#This Row],[Bukti]],'Un nOTA'!$A$4:$K$5003,10,FALSE),"")</f>
        <v/>
      </c>
      <c r="I3065" s="123" t="str">
        <f>IFERROR(VLOOKUP(Table1722[[#This Row],[Bukti]],Table13[#Data],11,FALSE),"")</f>
        <v/>
      </c>
    </row>
    <row r="3066" spans="1:9" hidden="1" x14ac:dyDescent="0.2">
      <c r="A3066" s="105" t="str">
        <f>IF(D3066=1,COUNTIF($D$10:D3066,1)," ")</f>
        <v xml:space="preserve"> </v>
      </c>
      <c r="B3066" s="106">
        <f>COPY!AR3058</f>
        <v>0</v>
      </c>
      <c r="C3066" s="107">
        <f>COPY!AC3058</f>
        <v>0</v>
      </c>
      <c r="D3066" s="107" t="str">
        <f>IF(LEN(Table1722[[#This Row],[Uraian]])&gt;2,1," ")</f>
        <v xml:space="preserve"> </v>
      </c>
      <c r="E3066" s="113" t="str">
        <f>IF(Table1722[[#This Row],[Lawan Transaksi]]="CV AGUNG KARYA",COUNTIF($I$10:I3066,"CV AGUNG KARYA")," ")</f>
        <v xml:space="preserve"> </v>
      </c>
      <c r="F3066" s="107" t="str">
        <f>IF(LEN(Table1722[[#This Row],[Uraian]])&gt;2,TRIM(RIGHT(SUBSTITUTE(TRIM(C3066)," ",REPT(" ",255)),255))," ")</f>
        <v xml:space="preserve"> </v>
      </c>
      <c r="G3066" s="110">
        <f>COPY!Z3058</f>
        <v>0</v>
      </c>
      <c r="H3066" s="111" t="str">
        <f>IFERROR(VLOOKUP(Table1722[[#This Row],[Bukti]],'Un nOTA'!$A$4:$K$5003,10,FALSE),"")</f>
        <v/>
      </c>
      <c r="I3066" s="123" t="str">
        <f>IFERROR(VLOOKUP(Table1722[[#This Row],[Bukti]],Table13[#Data],11,FALSE),"")</f>
        <v/>
      </c>
    </row>
    <row r="3067" spans="1:9" hidden="1" x14ac:dyDescent="0.2">
      <c r="A3067" s="105" t="str">
        <f>IF(D3067=1,COUNTIF($D$10:D3067,1)," ")</f>
        <v xml:space="preserve"> </v>
      </c>
      <c r="B3067" s="106">
        <f>COPY!AR3059</f>
        <v>0</v>
      </c>
      <c r="C3067" s="107">
        <f>COPY!AC3059</f>
        <v>0</v>
      </c>
      <c r="D3067" s="107" t="str">
        <f>IF(LEN(Table1722[[#This Row],[Uraian]])&gt;2,1," ")</f>
        <v xml:space="preserve"> </v>
      </c>
      <c r="E3067" s="113" t="str">
        <f>IF(Table1722[[#This Row],[Lawan Transaksi]]="CV AGUNG KARYA",COUNTIF($I$10:I3067,"CV AGUNG KARYA")," ")</f>
        <v xml:space="preserve"> </v>
      </c>
      <c r="F3067" s="107" t="str">
        <f>IF(LEN(Table1722[[#This Row],[Uraian]])&gt;2,TRIM(RIGHT(SUBSTITUTE(TRIM(C3067)," ",REPT(" ",255)),255))," ")</f>
        <v xml:space="preserve"> </v>
      </c>
      <c r="G3067" s="110">
        <f>COPY!Z3059</f>
        <v>0</v>
      </c>
      <c r="H3067" s="111" t="str">
        <f>IFERROR(VLOOKUP(Table1722[[#This Row],[Bukti]],'Un nOTA'!$A$4:$K$5003,10,FALSE),"")</f>
        <v/>
      </c>
      <c r="I3067" s="123" t="str">
        <f>IFERROR(VLOOKUP(Table1722[[#This Row],[Bukti]],Table13[#Data],11,FALSE),"")</f>
        <v/>
      </c>
    </row>
    <row r="3068" spans="1:9" hidden="1" x14ac:dyDescent="0.2">
      <c r="A3068" s="105" t="str">
        <f>IF(D3068=1,COUNTIF($D$10:D3068,1)," ")</f>
        <v xml:space="preserve"> </v>
      </c>
      <c r="B3068" s="106">
        <f>COPY!AR3060</f>
        <v>0</v>
      </c>
      <c r="C3068" s="107">
        <f>COPY!AC3060</f>
        <v>0</v>
      </c>
      <c r="D3068" s="107" t="str">
        <f>IF(LEN(Table1722[[#This Row],[Uraian]])&gt;2,1," ")</f>
        <v xml:space="preserve"> </v>
      </c>
      <c r="E3068" s="113" t="str">
        <f>IF(Table1722[[#This Row],[Lawan Transaksi]]="CV AGUNG KARYA",COUNTIF($I$10:I3068,"CV AGUNG KARYA")," ")</f>
        <v xml:space="preserve"> </v>
      </c>
      <c r="F3068" s="107" t="str">
        <f>IF(LEN(Table1722[[#This Row],[Uraian]])&gt;2,TRIM(RIGHT(SUBSTITUTE(TRIM(C3068)," ",REPT(" ",255)),255))," ")</f>
        <v xml:space="preserve"> </v>
      </c>
      <c r="G3068" s="110">
        <f>COPY!Z3060</f>
        <v>0</v>
      </c>
      <c r="H3068" s="111" t="str">
        <f>IFERROR(VLOOKUP(Table1722[[#This Row],[Bukti]],'Un nOTA'!$A$4:$K$5003,10,FALSE),"")</f>
        <v/>
      </c>
      <c r="I3068" s="123" t="str">
        <f>IFERROR(VLOOKUP(Table1722[[#This Row],[Bukti]],Table13[#Data],11,FALSE),"")</f>
        <v/>
      </c>
    </row>
    <row r="3069" spans="1:9" hidden="1" x14ac:dyDescent="0.2">
      <c r="A3069" s="105" t="str">
        <f>IF(D3069=1,COUNTIF($D$10:D3069,1)," ")</f>
        <v xml:space="preserve"> </v>
      </c>
      <c r="B3069" s="106">
        <f>COPY!AR3061</f>
        <v>0</v>
      </c>
      <c r="C3069" s="107">
        <f>COPY!AC3061</f>
        <v>0</v>
      </c>
      <c r="D3069" s="107" t="str">
        <f>IF(LEN(Table1722[[#This Row],[Uraian]])&gt;2,1," ")</f>
        <v xml:space="preserve"> </v>
      </c>
      <c r="E3069" s="113" t="str">
        <f>IF(Table1722[[#This Row],[Lawan Transaksi]]="CV AGUNG KARYA",COUNTIF($I$10:I3069,"CV AGUNG KARYA")," ")</f>
        <v xml:space="preserve"> </v>
      </c>
      <c r="F3069" s="107" t="str">
        <f>IF(LEN(Table1722[[#This Row],[Uraian]])&gt;2,TRIM(RIGHT(SUBSTITUTE(TRIM(C3069)," ",REPT(" ",255)),255))," ")</f>
        <v xml:space="preserve"> </v>
      </c>
      <c r="G3069" s="110">
        <f>COPY!Z3061</f>
        <v>0</v>
      </c>
      <c r="H3069" s="111" t="str">
        <f>IFERROR(VLOOKUP(Table1722[[#This Row],[Bukti]],'Un nOTA'!$A$4:$K$5003,10,FALSE),"")</f>
        <v/>
      </c>
      <c r="I3069" s="123" t="str">
        <f>IFERROR(VLOOKUP(Table1722[[#This Row],[Bukti]],Table13[#Data],11,FALSE),"")</f>
        <v/>
      </c>
    </row>
    <row r="3070" spans="1:9" hidden="1" x14ac:dyDescent="0.2">
      <c r="A3070" s="105" t="str">
        <f>IF(D3070=1,COUNTIF($D$10:D3070,1)," ")</f>
        <v xml:space="preserve"> </v>
      </c>
      <c r="B3070" s="106">
        <f>COPY!AR3062</f>
        <v>0</v>
      </c>
      <c r="C3070" s="107">
        <f>COPY!AC3062</f>
        <v>0</v>
      </c>
      <c r="D3070" s="107" t="str">
        <f>IF(LEN(Table1722[[#This Row],[Uraian]])&gt;2,1," ")</f>
        <v xml:space="preserve"> </v>
      </c>
      <c r="E3070" s="113" t="str">
        <f>IF(Table1722[[#This Row],[Lawan Transaksi]]="CV AGUNG KARYA",COUNTIF($I$10:I3070,"CV AGUNG KARYA")," ")</f>
        <v xml:space="preserve"> </v>
      </c>
      <c r="F3070" s="107" t="str">
        <f>IF(LEN(Table1722[[#This Row],[Uraian]])&gt;2,TRIM(RIGHT(SUBSTITUTE(TRIM(C3070)," ",REPT(" ",255)),255))," ")</f>
        <v xml:space="preserve"> </v>
      </c>
      <c r="G3070" s="110">
        <f>COPY!Z3062</f>
        <v>0</v>
      </c>
      <c r="H3070" s="111" t="str">
        <f>IFERROR(VLOOKUP(Table1722[[#This Row],[Bukti]],'Un nOTA'!$A$4:$K$5003,10,FALSE),"")</f>
        <v/>
      </c>
      <c r="I3070" s="123" t="str">
        <f>IFERROR(VLOOKUP(Table1722[[#This Row],[Bukti]],Table13[#Data],11,FALSE),"")</f>
        <v/>
      </c>
    </row>
    <row r="3071" spans="1:9" hidden="1" x14ac:dyDescent="0.2">
      <c r="A3071" s="105" t="str">
        <f>IF(D3071=1,COUNTIF($D$10:D3071,1)," ")</f>
        <v xml:space="preserve"> </v>
      </c>
      <c r="B3071" s="106">
        <f>COPY!AR3063</f>
        <v>0</v>
      </c>
      <c r="C3071" s="107">
        <f>COPY!AC3063</f>
        <v>0</v>
      </c>
      <c r="D3071" s="107" t="str">
        <f>IF(LEN(Table1722[[#This Row],[Uraian]])&gt;2,1," ")</f>
        <v xml:space="preserve"> </v>
      </c>
      <c r="E3071" s="113" t="str">
        <f>IF(Table1722[[#This Row],[Lawan Transaksi]]="CV AGUNG KARYA",COUNTIF($I$10:I3071,"CV AGUNG KARYA")," ")</f>
        <v xml:space="preserve"> </v>
      </c>
      <c r="F3071" s="107" t="str">
        <f>IF(LEN(Table1722[[#This Row],[Uraian]])&gt;2,TRIM(RIGHT(SUBSTITUTE(TRIM(C3071)," ",REPT(" ",255)),255))," ")</f>
        <v xml:space="preserve"> </v>
      </c>
      <c r="G3071" s="110">
        <f>COPY!Z3063</f>
        <v>0</v>
      </c>
      <c r="H3071" s="111" t="str">
        <f>IFERROR(VLOOKUP(Table1722[[#This Row],[Bukti]],'Un nOTA'!$A$4:$K$5003,10,FALSE),"")</f>
        <v/>
      </c>
      <c r="I3071" s="123" t="str">
        <f>IFERROR(VLOOKUP(Table1722[[#This Row],[Bukti]],Table13[#Data],11,FALSE),"")</f>
        <v/>
      </c>
    </row>
    <row r="3072" spans="1:9" hidden="1" x14ac:dyDescent="0.2">
      <c r="A3072" s="105" t="str">
        <f>IF(D3072=1,COUNTIF($D$10:D3072,1)," ")</f>
        <v xml:space="preserve"> </v>
      </c>
      <c r="B3072" s="106">
        <f>COPY!AR3064</f>
        <v>0</v>
      </c>
      <c r="C3072" s="107">
        <f>COPY!AC3064</f>
        <v>0</v>
      </c>
      <c r="D3072" s="107" t="str">
        <f>IF(LEN(Table1722[[#This Row],[Uraian]])&gt;2,1," ")</f>
        <v xml:space="preserve"> </v>
      </c>
      <c r="E3072" s="113" t="str">
        <f>IF(Table1722[[#This Row],[Lawan Transaksi]]="CV AGUNG KARYA",COUNTIF($I$10:I3072,"CV AGUNG KARYA")," ")</f>
        <v xml:space="preserve"> </v>
      </c>
      <c r="F3072" s="107" t="str">
        <f>IF(LEN(Table1722[[#This Row],[Uraian]])&gt;2,TRIM(RIGHT(SUBSTITUTE(TRIM(C3072)," ",REPT(" ",255)),255))," ")</f>
        <v xml:space="preserve"> </v>
      </c>
      <c r="G3072" s="110">
        <f>COPY!Z3064</f>
        <v>0</v>
      </c>
      <c r="H3072" s="111" t="str">
        <f>IFERROR(VLOOKUP(Table1722[[#This Row],[Bukti]],'Un nOTA'!$A$4:$K$5003,10,FALSE),"")</f>
        <v/>
      </c>
      <c r="I3072" s="123" t="str">
        <f>IFERROR(VLOOKUP(Table1722[[#This Row],[Bukti]],Table13[#Data],11,FALSE),"")</f>
        <v/>
      </c>
    </row>
    <row r="3073" spans="1:9" hidden="1" x14ac:dyDescent="0.2">
      <c r="A3073" s="105" t="str">
        <f>IF(D3073=1,COUNTIF($D$10:D3073,1)," ")</f>
        <v xml:space="preserve"> </v>
      </c>
      <c r="B3073" s="106">
        <f>COPY!AR3065</f>
        <v>0</v>
      </c>
      <c r="C3073" s="107">
        <f>COPY!AC3065</f>
        <v>0</v>
      </c>
      <c r="D3073" s="107" t="str">
        <f>IF(LEN(Table1722[[#This Row],[Uraian]])&gt;2,1," ")</f>
        <v xml:space="preserve"> </v>
      </c>
      <c r="E3073" s="113" t="str">
        <f>IF(Table1722[[#This Row],[Lawan Transaksi]]="CV AGUNG KARYA",COUNTIF($I$10:I3073,"CV AGUNG KARYA")," ")</f>
        <v xml:space="preserve"> </v>
      </c>
      <c r="F3073" s="107" t="str">
        <f>IF(LEN(Table1722[[#This Row],[Uraian]])&gt;2,TRIM(RIGHT(SUBSTITUTE(TRIM(C3073)," ",REPT(" ",255)),255))," ")</f>
        <v xml:space="preserve"> </v>
      </c>
      <c r="G3073" s="110">
        <f>COPY!Z3065</f>
        <v>0</v>
      </c>
      <c r="H3073" s="111" t="str">
        <f>IFERROR(VLOOKUP(Table1722[[#This Row],[Bukti]],'Un nOTA'!$A$4:$K$5003,10,FALSE),"")</f>
        <v/>
      </c>
      <c r="I3073" s="123" t="str">
        <f>IFERROR(VLOOKUP(Table1722[[#This Row],[Bukti]],Table13[#Data],11,FALSE),"")</f>
        <v/>
      </c>
    </row>
    <row r="3074" spans="1:9" hidden="1" x14ac:dyDescent="0.2">
      <c r="A3074" s="105" t="str">
        <f>IF(D3074=1,COUNTIF($D$10:D3074,1)," ")</f>
        <v xml:space="preserve"> </v>
      </c>
      <c r="B3074" s="106">
        <f>COPY!AR3066</f>
        <v>0</v>
      </c>
      <c r="C3074" s="107">
        <f>COPY!AC3066</f>
        <v>0</v>
      </c>
      <c r="D3074" s="107" t="str">
        <f>IF(LEN(Table1722[[#This Row],[Uraian]])&gt;2,1," ")</f>
        <v xml:space="preserve"> </v>
      </c>
      <c r="E3074" s="113" t="str">
        <f>IF(Table1722[[#This Row],[Lawan Transaksi]]="CV AGUNG KARYA",COUNTIF($I$10:I3074,"CV AGUNG KARYA")," ")</f>
        <v xml:space="preserve"> </v>
      </c>
      <c r="F3074" s="107" t="str">
        <f>IF(LEN(Table1722[[#This Row],[Uraian]])&gt;2,TRIM(RIGHT(SUBSTITUTE(TRIM(C3074)," ",REPT(" ",255)),255))," ")</f>
        <v xml:space="preserve"> </v>
      </c>
      <c r="G3074" s="110">
        <f>COPY!Z3066</f>
        <v>0</v>
      </c>
      <c r="H3074" s="111" t="str">
        <f>IFERROR(VLOOKUP(Table1722[[#This Row],[Bukti]],'Un nOTA'!$A$4:$K$5003,10,FALSE),"")</f>
        <v/>
      </c>
      <c r="I3074" s="123" t="str">
        <f>IFERROR(VLOOKUP(Table1722[[#This Row],[Bukti]],Table13[#Data],11,FALSE),"")</f>
        <v/>
      </c>
    </row>
    <row r="3075" spans="1:9" hidden="1" x14ac:dyDescent="0.2">
      <c r="A3075" s="105" t="str">
        <f>IF(D3075=1,COUNTIF($D$10:D3075,1)," ")</f>
        <v xml:space="preserve"> </v>
      </c>
      <c r="B3075" s="106">
        <f>COPY!AR3067</f>
        <v>0</v>
      </c>
      <c r="C3075" s="107">
        <f>COPY!AC3067</f>
        <v>0</v>
      </c>
      <c r="D3075" s="107" t="str">
        <f>IF(LEN(Table1722[[#This Row],[Uraian]])&gt;2,1," ")</f>
        <v xml:space="preserve"> </v>
      </c>
      <c r="E3075" s="113" t="str">
        <f>IF(Table1722[[#This Row],[Lawan Transaksi]]="CV AGUNG KARYA",COUNTIF($I$10:I3075,"CV AGUNG KARYA")," ")</f>
        <v xml:space="preserve"> </v>
      </c>
      <c r="F3075" s="107" t="str">
        <f>IF(LEN(Table1722[[#This Row],[Uraian]])&gt;2,TRIM(RIGHT(SUBSTITUTE(TRIM(C3075)," ",REPT(" ",255)),255))," ")</f>
        <v xml:space="preserve"> </v>
      </c>
      <c r="G3075" s="110">
        <f>COPY!Z3067</f>
        <v>0</v>
      </c>
      <c r="H3075" s="111" t="str">
        <f>IFERROR(VLOOKUP(Table1722[[#This Row],[Bukti]],'Un nOTA'!$A$4:$K$5003,10,FALSE),"")</f>
        <v/>
      </c>
      <c r="I3075" s="123" t="str">
        <f>IFERROR(VLOOKUP(Table1722[[#This Row],[Bukti]],Table13[#Data],11,FALSE),"")</f>
        <v/>
      </c>
    </row>
    <row r="3076" spans="1:9" hidden="1" x14ac:dyDescent="0.2">
      <c r="A3076" s="105" t="str">
        <f>IF(D3076=1,COUNTIF($D$10:D3076,1)," ")</f>
        <v xml:space="preserve"> </v>
      </c>
      <c r="B3076" s="106">
        <f>COPY!AR3068</f>
        <v>0</v>
      </c>
      <c r="C3076" s="107">
        <f>COPY!AC3068</f>
        <v>0</v>
      </c>
      <c r="D3076" s="107" t="str">
        <f>IF(LEN(Table1722[[#This Row],[Uraian]])&gt;2,1," ")</f>
        <v xml:space="preserve"> </v>
      </c>
      <c r="E3076" s="113" t="str">
        <f>IF(Table1722[[#This Row],[Lawan Transaksi]]="CV AGUNG KARYA",COUNTIF($I$10:I3076,"CV AGUNG KARYA")," ")</f>
        <v xml:space="preserve"> </v>
      </c>
      <c r="F3076" s="107" t="str">
        <f>IF(LEN(Table1722[[#This Row],[Uraian]])&gt;2,TRIM(RIGHT(SUBSTITUTE(TRIM(C3076)," ",REPT(" ",255)),255))," ")</f>
        <v xml:space="preserve"> </v>
      </c>
      <c r="G3076" s="110">
        <f>COPY!Z3068</f>
        <v>0</v>
      </c>
      <c r="H3076" s="111" t="str">
        <f>IFERROR(VLOOKUP(Table1722[[#This Row],[Bukti]],'Un nOTA'!$A$4:$K$5003,10,FALSE),"")</f>
        <v/>
      </c>
      <c r="I3076" s="123" t="str">
        <f>IFERROR(VLOOKUP(Table1722[[#This Row],[Bukti]],Table13[#Data],11,FALSE),"")</f>
        <v/>
      </c>
    </row>
    <row r="3077" spans="1:9" hidden="1" x14ac:dyDescent="0.2">
      <c r="A3077" s="105" t="str">
        <f>IF(D3077=1,COUNTIF($D$10:D3077,1)," ")</f>
        <v xml:space="preserve"> </v>
      </c>
      <c r="B3077" s="106">
        <f>COPY!AR3069</f>
        <v>0</v>
      </c>
      <c r="C3077" s="107">
        <f>COPY!AC3069</f>
        <v>0</v>
      </c>
      <c r="D3077" s="107" t="str">
        <f>IF(LEN(Table1722[[#This Row],[Uraian]])&gt;2,1," ")</f>
        <v xml:space="preserve"> </v>
      </c>
      <c r="E3077" s="113" t="str">
        <f>IF(Table1722[[#This Row],[Lawan Transaksi]]="CV AGUNG KARYA",COUNTIF($I$10:I3077,"CV AGUNG KARYA")," ")</f>
        <v xml:space="preserve"> </v>
      </c>
      <c r="F3077" s="107" t="str">
        <f>IF(LEN(Table1722[[#This Row],[Uraian]])&gt;2,TRIM(RIGHT(SUBSTITUTE(TRIM(C3077)," ",REPT(" ",255)),255))," ")</f>
        <v xml:space="preserve"> </v>
      </c>
      <c r="G3077" s="110">
        <f>COPY!Z3069</f>
        <v>0</v>
      </c>
      <c r="H3077" s="111" t="str">
        <f>IFERROR(VLOOKUP(Table1722[[#This Row],[Bukti]],'Un nOTA'!$A$4:$K$5003,10,FALSE),"")</f>
        <v/>
      </c>
      <c r="I3077" s="123" t="str">
        <f>IFERROR(VLOOKUP(Table1722[[#This Row],[Bukti]],Table13[#Data],11,FALSE),"")</f>
        <v/>
      </c>
    </row>
    <row r="3078" spans="1:9" hidden="1" x14ac:dyDescent="0.2">
      <c r="A3078" s="105" t="str">
        <f>IF(D3078=1,COUNTIF($D$10:D3078,1)," ")</f>
        <v xml:space="preserve"> </v>
      </c>
      <c r="B3078" s="106">
        <f>COPY!AR3070</f>
        <v>0</v>
      </c>
      <c r="C3078" s="107">
        <f>COPY!AC3070</f>
        <v>0</v>
      </c>
      <c r="D3078" s="107" t="str">
        <f>IF(LEN(Table1722[[#This Row],[Uraian]])&gt;2,1," ")</f>
        <v xml:space="preserve"> </v>
      </c>
      <c r="E3078" s="113" t="str">
        <f>IF(Table1722[[#This Row],[Lawan Transaksi]]="CV AGUNG KARYA",COUNTIF($I$10:I3078,"CV AGUNG KARYA")," ")</f>
        <v xml:space="preserve"> </v>
      </c>
      <c r="F3078" s="107" t="str">
        <f>IF(LEN(Table1722[[#This Row],[Uraian]])&gt;2,TRIM(RIGHT(SUBSTITUTE(TRIM(C3078)," ",REPT(" ",255)),255))," ")</f>
        <v xml:space="preserve"> </v>
      </c>
      <c r="G3078" s="110">
        <f>COPY!Z3070</f>
        <v>0</v>
      </c>
      <c r="H3078" s="111" t="str">
        <f>IFERROR(VLOOKUP(Table1722[[#This Row],[Bukti]],'Un nOTA'!$A$4:$K$5003,10,FALSE),"")</f>
        <v/>
      </c>
      <c r="I3078" s="123" t="str">
        <f>IFERROR(VLOOKUP(Table1722[[#This Row],[Bukti]],Table13[#Data],11,FALSE),"")</f>
        <v/>
      </c>
    </row>
    <row r="3079" spans="1:9" hidden="1" x14ac:dyDescent="0.2">
      <c r="A3079" s="105" t="str">
        <f>IF(D3079=1,COUNTIF($D$10:D3079,1)," ")</f>
        <v xml:space="preserve"> </v>
      </c>
      <c r="B3079" s="106">
        <f>COPY!AR3071</f>
        <v>0</v>
      </c>
      <c r="C3079" s="107">
        <f>COPY!AC3071</f>
        <v>0</v>
      </c>
      <c r="D3079" s="107" t="str">
        <f>IF(LEN(Table1722[[#This Row],[Uraian]])&gt;2,1," ")</f>
        <v xml:space="preserve"> </v>
      </c>
      <c r="E3079" s="113" t="str">
        <f>IF(Table1722[[#This Row],[Lawan Transaksi]]="CV AGUNG KARYA",COUNTIF($I$10:I3079,"CV AGUNG KARYA")," ")</f>
        <v xml:space="preserve"> </v>
      </c>
      <c r="F3079" s="107" t="str">
        <f>IF(LEN(Table1722[[#This Row],[Uraian]])&gt;2,TRIM(RIGHT(SUBSTITUTE(TRIM(C3079)," ",REPT(" ",255)),255))," ")</f>
        <v xml:space="preserve"> </v>
      </c>
      <c r="G3079" s="110">
        <f>COPY!Z3071</f>
        <v>0</v>
      </c>
      <c r="H3079" s="111" t="str">
        <f>IFERROR(VLOOKUP(Table1722[[#This Row],[Bukti]],'Un nOTA'!$A$4:$K$5003,10,FALSE),"")</f>
        <v/>
      </c>
      <c r="I3079" s="123" t="str">
        <f>IFERROR(VLOOKUP(Table1722[[#This Row],[Bukti]],Table13[#Data],11,FALSE),"")</f>
        <v/>
      </c>
    </row>
    <row r="3080" spans="1:9" hidden="1" x14ac:dyDescent="0.2">
      <c r="A3080" s="105" t="str">
        <f>IF(D3080=1,COUNTIF($D$10:D3080,1)," ")</f>
        <v xml:space="preserve"> </v>
      </c>
      <c r="B3080" s="106">
        <f>COPY!AR3072</f>
        <v>0</v>
      </c>
      <c r="C3080" s="107">
        <f>COPY!AC3072</f>
        <v>0</v>
      </c>
      <c r="D3080" s="107" t="str">
        <f>IF(LEN(Table1722[[#This Row],[Uraian]])&gt;2,1," ")</f>
        <v xml:space="preserve"> </v>
      </c>
      <c r="E3080" s="113" t="str">
        <f>IF(Table1722[[#This Row],[Lawan Transaksi]]="CV AGUNG KARYA",COUNTIF($I$10:I3080,"CV AGUNG KARYA")," ")</f>
        <v xml:space="preserve"> </v>
      </c>
      <c r="F3080" s="107" t="str">
        <f>IF(LEN(Table1722[[#This Row],[Uraian]])&gt;2,TRIM(RIGHT(SUBSTITUTE(TRIM(C3080)," ",REPT(" ",255)),255))," ")</f>
        <v xml:space="preserve"> </v>
      </c>
      <c r="G3080" s="110">
        <f>COPY!Z3072</f>
        <v>0</v>
      </c>
      <c r="H3080" s="111" t="str">
        <f>IFERROR(VLOOKUP(Table1722[[#This Row],[Bukti]],'Un nOTA'!$A$4:$K$5003,10,FALSE),"")</f>
        <v/>
      </c>
      <c r="I3080" s="123" t="str">
        <f>IFERROR(VLOOKUP(Table1722[[#This Row],[Bukti]],Table13[#Data],11,FALSE),"")</f>
        <v/>
      </c>
    </row>
    <row r="3081" spans="1:9" hidden="1" x14ac:dyDescent="0.2">
      <c r="A3081" s="105" t="str">
        <f>IF(D3081=1,COUNTIF($D$10:D3081,1)," ")</f>
        <v xml:space="preserve"> </v>
      </c>
      <c r="B3081" s="106">
        <f>COPY!AR3073</f>
        <v>0</v>
      </c>
      <c r="C3081" s="107">
        <f>COPY!AC3073</f>
        <v>0</v>
      </c>
      <c r="D3081" s="107" t="str">
        <f>IF(LEN(Table1722[[#This Row],[Uraian]])&gt;2,1," ")</f>
        <v xml:space="preserve"> </v>
      </c>
      <c r="E3081" s="113" t="str">
        <f>IF(Table1722[[#This Row],[Lawan Transaksi]]="CV AGUNG KARYA",COUNTIF($I$10:I3081,"CV AGUNG KARYA")," ")</f>
        <v xml:space="preserve"> </v>
      </c>
      <c r="F3081" s="107" t="str">
        <f>IF(LEN(Table1722[[#This Row],[Uraian]])&gt;2,TRIM(RIGHT(SUBSTITUTE(TRIM(C3081)," ",REPT(" ",255)),255))," ")</f>
        <v xml:space="preserve"> </v>
      </c>
      <c r="G3081" s="110">
        <f>COPY!Z3073</f>
        <v>0</v>
      </c>
      <c r="H3081" s="111" t="str">
        <f>IFERROR(VLOOKUP(Table1722[[#This Row],[Bukti]],'Un nOTA'!$A$4:$K$5003,10,FALSE),"")</f>
        <v/>
      </c>
      <c r="I3081" s="123" t="str">
        <f>IFERROR(VLOOKUP(Table1722[[#This Row],[Bukti]],Table13[#Data],11,FALSE),"")</f>
        <v/>
      </c>
    </row>
    <row r="3082" spans="1:9" hidden="1" x14ac:dyDescent="0.2">
      <c r="A3082" s="105" t="str">
        <f>IF(D3082=1,COUNTIF($D$10:D3082,1)," ")</f>
        <v xml:space="preserve"> </v>
      </c>
      <c r="B3082" s="106">
        <f>COPY!AR3074</f>
        <v>0</v>
      </c>
      <c r="C3082" s="107">
        <f>COPY!AC3074</f>
        <v>0</v>
      </c>
      <c r="D3082" s="107" t="str">
        <f>IF(LEN(Table1722[[#This Row],[Uraian]])&gt;2,1," ")</f>
        <v xml:space="preserve"> </v>
      </c>
      <c r="E3082" s="113" t="str">
        <f>IF(Table1722[[#This Row],[Lawan Transaksi]]="CV AGUNG KARYA",COUNTIF($I$10:I3082,"CV AGUNG KARYA")," ")</f>
        <v xml:space="preserve"> </v>
      </c>
      <c r="F3082" s="107" t="str">
        <f>IF(LEN(Table1722[[#This Row],[Uraian]])&gt;2,TRIM(RIGHT(SUBSTITUTE(TRIM(C3082)," ",REPT(" ",255)),255))," ")</f>
        <v xml:space="preserve"> </v>
      </c>
      <c r="G3082" s="110">
        <f>COPY!Z3074</f>
        <v>0</v>
      </c>
      <c r="H3082" s="111" t="str">
        <f>IFERROR(VLOOKUP(Table1722[[#This Row],[Bukti]],'Un nOTA'!$A$4:$K$5003,10,FALSE),"")</f>
        <v/>
      </c>
      <c r="I3082" s="123" t="str">
        <f>IFERROR(VLOOKUP(Table1722[[#This Row],[Bukti]],Table13[#Data],11,FALSE),"")</f>
        <v/>
      </c>
    </row>
    <row r="3083" spans="1:9" hidden="1" x14ac:dyDescent="0.2">
      <c r="A3083" s="105" t="str">
        <f>IF(D3083=1,COUNTIF($D$10:D3083,1)," ")</f>
        <v xml:space="preserve"> </v>
      </c>
      <c r="B3083" s="106">
        <f>COPY!AR3075</f>
        <v>0</v>
      </c>
      <c r="C3083" s="107">
        <f>COPY!AC3075</f>
        <v>0</v>
      </c>
      <c r="D3083" s="107" t="str">
        <f>IF(LEN(Table1722[[#This Row],[Uraian]])&gt;2,1," ")</f>
        <v xml:space="preserve"> </v>
      </c>
      <c r="E3083" s="113" t="str">
        <f>IF(Table1722[[#This Row],[Lawan Transaksi]]="CV AGUNG KARYA",COUNTIF($I$10:I3083,"CV AGUNG KARYA")," ")</f>
        <v xml:space="preserve"> </v>
      </c>
      <c r="F3083" s="107" t="str">
        <f>IF(LEN(Table1722[[#This Row],[Uraian]])&gt;2,TRIM(RIGHT(SUBSTITUTE(TRIM(C3083)," ",REPT(" ",255)),255))," ")</f>
        <v xml:space="preserve"> </v>
      </c>
      <c r="G3083" s="110">
        <f>COPY!Z3075</f>
        <v>0</v>
      </c>
      <c r="H3083" s="111" t="str">
        <f>IFERROR(VLOOKUP(Table1722[[#This Row],[Bukti]],'Un nOTA'!$A$4:$K$5003,10,FALSE),"")</f>
        <v/>
      </c>
      <c r="I3083" s="123" t="str">
        <f>IFERROR(VLOOKUP(Table1722[[#This Row],[Bukti]],Table13[#Data],11,FALSE),"")</f>
        <v/>
      </c>
    </row>
    <row r="3084" spans="1:9" hidden="1" x14ac:dyDescent="0.2">
      <c r="A3084" s="105" t="str">
        <f>IF(D3084=1,COUNTIF($D$10:D3084,1)," ")</f>
        <v xml:space="preserve"> </v>
      </c>
      <c r="B3084" s="106">
        <f>COPY!AR3076</f>
        <v>0</v>
      </c>
      <c r="C3084" s="107">
        <f>COPY!AC3076</f>
        <v>0</v>
      </c>
      <c r="D3084" s="107" t="str">
        <f>IF(LEN(Table1722[[#This Row],[Uraian]])&gt;2,1," ")</f>
        <v xml:space="preserve"> </v>
      </c>
      <c r="E3084" s="113" t="str">
        <f>IF(Table1722[[#This Row],[Lawan Transaksi]]="CV AGUNG KARYA",COUNTIF($I$10:I3084,"CV AGUNG KARYA")," ")</f>
        <v xml:space="preserve"> </v>
      </c>
      <c r="F3084" s="107" t="str">
        <f>IF(LEN(Table1722[[#This Row],[Uraian]])&gt;2,TRIM(RIGHT(SUBSTITUTE(TRIM(C3084)," ",REPT(" ",255)),255))," ")</f>
        <v xml:space="preserve"> </v>
      </c>
      <c r="G3084" s="110">
        <f>COPY!Z3076</f>
        <v>0</v>
      </c>
      <c r="H3084" s="111" t="str">
        <f>IFERROR(VLOOKUP(Table1722[[#This Row],[Bukti]],'Un nOTA'!$A$4:$K$5003,10,FALSE),"")</f>
        <v/>
      </c>
      <c r="I3084" s="123" t="str">
        <f>IFERROR(VLOOKUP(Table1722[[#This Row],[Bukti]],Table13[#Data],11,FALSE),"")</f>
        <v/>
      </c>
    </row>
    <row r="3085" spans="1:9" hidden="1" x14ac:dyDescent="0.2">
      <c r="A3085" s="105" t="str">
        <f>IF(D3085=1,COUNTIF($D$10:D3085,1)," ")</f>
        <v xml:space="preserve"> </v>
      </c>
      <c r="B3085" s="106">
        <f>COPY!AR3077</f>
        <v>0</v>
      </c>
      <c r="C3085" s="107">
        <f>COPY!AC3077</f>
        <v>0</v>
      </c>
      <c r="D3085" s="107" t="str">
        <f>IF(LEN(Table1722[[#This Row],[Uraian]])&gt;2,1," ")</f>
        <v xml:space="preserve"> </v>
      </c>
      <c r="E3085" s="113" t="str">
        <f>IF(Table1722[[#This Row],[Lawan Transaksi]]="CV AGUNG KARYA",COUNTIF($I$10:I3085,"CV AGUNG KARYA")," ")</f>
        <v xml:space="preserve"> </v>
      </c>
      <c r="F3085" s="107" t="str">
        <f>IF(LEN(Table1722[[#This Row],[Uraian]])&gt;2,TRIM(RIGHT(SUBSTITUTE(TRIM(C3085)," ",REPT(" ",255)),255))," ")</f>
        <v xml:space="preserve"> </v>
      </c>
      <c r="G3085" s="110">
        <f>COPY!Z3077</f>
        <v>0</v>
      </c>
      <c r="H3085" s="111" t="str">
        <f>IFERROR(VLOOKUP(Table1722[[#This Row],[Bukti]],'Un nOTA'!$A$4:$K$5003,10,FALSE),"")</f>
        <v/>
      </c>
      <c r="I3085" s="123" t="str">
        <f>IFERROR(VLOOKUP(Table1722[[#This Row],[Bukti]],Table13[#Data],11,FALSE),"")</f>
        <v/>
      </c>
    </row>
    <row r="3086" spans="1:9" hidden="1" x14ac:dyDescent="0.2">
      <c r="A3086" s="105" t="str">
        <f>IF(D3086=1,COUNTIF($D$10:D3086,1)," ")</f>
        <v xml:space="preserve"> </v>
      </c>
      <c r="B3086" s="106">
        <f>COPY!AR3078</f>
        <v>0</v>
      </c>
      <c r="C3086" s="107">
        <f>COPY!AC3078</f>
        <v>0</v>
      </c>
      <c r="D3086" s="107" t="str">
        <f>IF(LEN(Table1722[[#This Row],[Uraian]])&gt;2,1," ")</f>
        <v xml:space="preserve"> </v>
      </c>
      <c r="E3086" s="113" t="str">
        <f>IF(Table1722[[#This Row],[Lawan Transaksi]]="CV AGUNG KARYA",COUNTIF($I$10:I3086,"CV AGUNG KARYA")," ")</f>
        <v xml:space="preserve"> </v>
      </c>
      <c r="F3086" s="107" t="str">
        <f>IF(LEN(Table1722[[#This Row],[Uraian]])&gt;2,TRIM(RIGHT(SUBSTITUTE(TRIM(C3086)," ",REPT(" ",255)),255))," ")</f>
        <v xml:space="preserve"> </v>
      </c>
      <c r="G3086" s="110">
        <f>COPY!Z3078</f>
        <v>0</v>
      </c>
      <c r="H3086" s="111" t="str">
        <f>IFERROR(VLOOKUP(Table1722[[#This Row],[Bukti]],'Un nOTA'!$A$4:$K$5003,10,FALSE),"")</f>
        <v/>
      </c>
      <c r="I3086" s="123" t="str">
        <f>IFERROR(VLOOKUP(Table1722[[#This Row],[Bukti]],Table13[#Data],11,FALSE),"")</f>
        <v/>
      </c>
    </row>
    <row r="3087" spans="1:9" hidden="1" x14ac:dyDescent="0.2">
      <c r="A3087" s="105" t="str">
        <f>IF(D3087=1,COUNTIF($D$10:D3087,1)," ")</f>
        <v xml:space="preserve"> </v>
      </c>
      <c r="B3087" s="106">
        <f>COPY!AR3079</f>
        <v>0</v>
      </c>
      <c r="C3087" s="107">
        <f>COPY!AC3079</f>
        <v>0</v>
      </c>
      <c r="D3087" s="107" t="str">
        <f>IF(LEN(Table1722[[#This Row],[Uraian]])&gt;2,1," ")</f>
        <v xml:space="preserve"> </v>
      </c>
      <c r="E3087" s="113" t="str">
        <f>IF(Table1722[[#This Row],[Lawan Transaksi]]="CV AGUNG KARYA",COUNTIF($I$10:I3087,"CV AGUNG KARYA")," ")</f>
        <v xml:space="preserve"> </v>
      </c>
      <c r="F3087" s="107" t="str">
        <f>IF(LEN(Table1722[[#This Row],[Uraian]])&gt;2,TRIM(RIGHT(SUBSTITUTE(TRIM(C3087)," ",REPT(" ",255)),255))," ")</f>
        <v xml:space="preserve"> </v>
      </c>
      <c r="G3087" s="110">
        <f>COPY!Z3079</f>
        <v>0</v>
      </c>
      <c r="H3087" s="111" t="str">
        <f>IFERROR(VLOOKUP(Table1722[[#This Row],[Bukti]],'Un nOTA'!$A$4:$K$5003,10,FALSE),"")</f>
        <v/>
      </c>
      <c r="I3087" s="123" t="str">
        <f>IFERROR(VLOOKUP(Table1722[[#This Row],[Bukti]],Table13[#Data],11,FALSE),"")</f>
        <v/>
      </c>
    </row>
    <row r="3088" spans="1:9" hidden="1" x14ac:dyDescent="0.2">
      <c r="A3088" s="105" t="str">
        <f>IF(D3088=1,COUNTIF($D$10:D3088,1)," ")</f>
        <v xml:space="preserve"> </v>
      </c>
      <c r="B3088" s="106">
        <f>COPY!AR3080</f>
        <v>0</v>
      </c>
      <c r="C3088" s="107">
        <f>COPY!AC3080</f>
        <v>0</v>
      </c>
      <c r="D3088" s="107" t="str">
        <f>IF(LEN(Table1722[[#This Row],[Uraian]])&gt;2,1," ")</f>
        <v xml:space="preserve"> </v>
      </c>
      <c r="E3088" s="113" t="str">
        <f>IF(Table1722[[#This Row],[Lawan Transaksi]]="CV AGUNG KARYA",COUNTIF($I$10:I3088,"CV AGUNG KARYA")," ")</f>
        <v xml:space="preserve"> </v>
      </c>
      <c r="F3088" s="107" t="str">
        <f>IF(LEN(Table1722[[#This Row],[Uraian]])&gt;2,TRIM(RIGHT(SUBSTITUTE(TRIM(C3088)," ",REPT(" ",255)),255))," ")</f>
        <v xml:space="preserve"> </v>
      </c>
      <c r="G3088" s="110">
        <f>COPY!Z3080</f>
        <v>0</v>
      </c>
      <c r="H3088" s="111" t="str">
        <f>IFERROR(VLOOKUP(Table1722[[#This Row],[Bukti]],'Un nOTA'!$A$4:$K$5003,10,FALSE),"")</f>
        <v/>
      </c>
      <c r="I3088" s="123" t="str">
        <f>IFERROR(VLOOKUP(Table1722[[#This Row],[Bukti]],Table13[#Data],11,FALSE),"")</f>
        <v/>
      </c>
    </row>
    <row r="3089" spans="1:9" hidden="1" x14ac:dyDescent="0.2">
      <c r="A3089" s="105" t="str">
        <f>IF(D3089=1,COUNTIF($D$10:D3089,1)," ")</f>
        <v xml:space="preserve"> </v>
      </c>
      <c r="B3089" s="106">
        <f>COPY!AR3081</f>
        <v>0</v>
      </c>
      <c r="C3089" s="107">
        <f>COPY!AC3081</f>
        <v>0</v>
      </c>
      <c r="D3089" s="107" t="str">
        <f>IF(LEN(Table1722[[#This Row],[Uraian]])&gt;2,1," ")</f>
        <v xml:space="preserve"> </v>
      </c>
      <c r="E3089" s="113" t="str">
        <f>IF(Table1722[[#This Row],[Lawan Transaksi]]="CV AGUNG KARYA",COUNTIF($I$10:I3089,"CV AGUNG KARYA")," ")</f>
        <v xml:space="preserve"> </v>
      </c>
      <c r="F3089" s="107" t="str">
        <f>IF(LEN(Table1722[[#This Row],[Uraian]])&gt;2,TRIM(RIGHT(SUBSTITUTE(TRIM(C3089)," ",REPT(" ",255)),255))," ")</f>
        <v xml:space="preserve"> </v>
      </c>
      <c r="G3089" s="110">
        <f>COPY!Z3081</f>
        <v>0</v>
      </c>
      <c r="H3089" s="111" t="str">
        <f>IFERROR(VLOOKUP(Table1722[[#This Row],[Bukti]],'Un nOTA'!$A$4:$K$5003,10,FALSE),"")</f>
        <v/>
      </c>
      <c r="I3089" s="123" t="str">
        <f>IFERROR(VLOOKUP(Table1722[[#This Row],[Bukti]],Table13[#Data],11,FALSE),"")</f>
        <v/>
      </c>
    </row>
    <row r="3090" spans="1:9" hidden="1" x14ac:dyDescent="0.2">
      <c r="A3090" s="105" t="str">
        <f>IF(D3090=1,COUNTIF($D$10:D3090,1)," ")</f>
        <v xml:space="preserve"> </v>
      </c>
      <c r="B3090" s="106">
        <f>COPY!AR3082</f>
        <v>0</v>
      </c>
      <c r="C3090" s="107">
        <f>COPY!AC3082</f>
        <v>0</v>
      </c>
      <c r="D3090" s="107" t="str">
        <f>IF(LEN(Table1722[[#This Row],[Uraian]])&gt;2,1," ")</f>
        <v xml:space="preserve"> </v>
      </c>
      <c r="E3090" s="113" t="str">
        <f>IF(Table1722[[#This Row],[Lawan Transaksi]]="CV AGUNG KARYA",COUNTIF($I$10:I3090,"CV AGUNG KARYA")," ")</f>
        <v xml:space="preserve"> </v>
      </c>
      <c r="F3090" s="107" t="str">
        <f>IF(LEN(Table1722[[#This Row],[Uraian]])&gt;2,TRIM(RIGHT(SUBSTITUTE(TRIM(C3090)," ",REPT(" ",255)),255))," ")</f>
        <v xml:space="preserve"> </v>
      </c>
      <c r="G3090" s="110">
        <f>COPY!Z3082</f>
        <v>0</v>
      </c>
      <c r="H3090" s="111" t="str">
        <f>IFERROR(VLOOKUP(Table1722[[#This Row],[Bukti]],'Un nOTA'!$A$4:$K$5003,10,FALSE),"")</f>
        <v/>
      </c>
      <c r="I3090" s="123" t="str">
        <f>IFERROR(VLOOKUP(Table1722[[#This Row],[Bukti]],Table13[#Data],11,FALSE),"")</f>
        <v/>
      </c>
    </row>
    <row r="3091" spans="1:9" hidden="1" x14ac:dyDescent="0.2">
      <c r="A3091" s="105" t="str">
        <f>IF(D3091=1,COUNTIF($D$10:D3091,1)," ")</f>
        <v xml:space="preserve"> </v>
      </c>
      <c r="B3091" s="106">
        <f>COPY!AR3083</f>
        <v>0</v>
      </c>
      <c r="C3091" s="107">
        <f>COPY!AC3083</f>
        <v>0</v>
      </c>
      <c r="D3091" s="107" t="str">
        <f>IF(LEN(Table1722[[#This Row],[Uraian]])&gt;2,1," ")</f>
        <v xml:space="preserve"> </v>
      </c>
      <c r="E3091" s="113" t="str">
        <f>IF(Table1722[[#This Row],[Lawan Transaksi]]="CV AGUNG KARYA",COUNTIF($I$10:I3091,"CV AGUNG KARYA")," ")</f>
        <v xml:space="preserve"> </v>
      </c>
      <c r="F3091" s="107" t="str">
        <f>IF(LEN(Table1722[[#This Row],[Uraian]])&gt;2,TRIM(RIGHT(SUBSTITUTE(TRIM(C3091)," ",REPT(" ",255)),255))," ")</f>
        <v xml:space="preserve"> </v>
      </c>
      <c r="G3091" s="110">
        <f>COPY!Z3083</f>
        <v>0</v>
      </c>
      <c r="H3091" s="111" t="str">
        <f>IFERROR(VLOOKUP(Table1722[[#This Row],[Bukti]],'Un nOTA'!$A$4:$K$5003,10,FALSE),"")</f>
        <v/>
      </c>
      <c r="I3091" s="123" t="str">
        <f>IFERROR(VLOOKUP(Table1722[[#This Row],[Bukti]],Table13[#Data],11,FALSE),"")</f>
        <v/>
      </c>
    </row>
    <row r="3092" spans="1:9" hidden="1" x14ac:dyDescent="0.2">
      <c r="A3092" s="105" t="str">
        <f>IF(D3092=1,COUNTIF($D$10:D3092,1)," ")</f>
        <v xml:space="preserve"> </v>
      </c>
      <c r="B3092" s="106">
        <f>COPY!AR3084</f>
        <v>0</v>
      </c>
      <c r="C3092" s="107">
        <f>COPY!AC3084</f>
        <v>0</v>
      </c>
      <c r="D3092" s="107" t="str">
        <f>IF(LEN(Table1722[[#This Row],[Uraian]])&gt;2,1," ")</f>
        <v xml:space="preserve"> </v>
      </c>
      <c r="E3092" s="113" t="str">
        <f>IF(Table1722[[#This Row],[Lawan Transaksi]]="CV AGUNG KARYA",COUNTIF($I$10:I3092,"CV AGUNG KARYA")," ")</f>
        <v xml:space="preserve"> </v>
      </c>
      <c r="F3092" s="107" t="str">
        <f>IF(LEN(Table1722[[#This Row],[Uraian]])&gt;2,TRIM(RIGHT(SUBSTITUTE(TRIM(C3092)," ",REPT(" ",255)),255))," ")</f>
        <v xml:space="preserve"> </v>
      </c>
      <c r="G3092" s="110">
        <f>COPY!Z3084</f>
        <v>0</v>
      </c>
      <c r="H3092" s="111" t="str">
        <f>IFERROR(VLOOKUP(Table1722[[#This Row],[Bukti]],'Un nOTA'!$A$4:$K$5003,10,FALSE),"")</f>
        <v/>
      </c>
      <c r="I3092" s="123" t="str">
        <f>IFERROR(VLOOKUP(Table1722[[#This Row],[Bukti]],Table13[#Data],11,FALSE),"")</f>
        <v/>
      </c>
    </row>
    <row r="3093" spans="1:9" hidden="1" x14ac:dyDescent="0.2">
      <c r="A3093" s="105" t="str">
        <f>IF(D3093=1,COUNTIF($D$10:D3093,1)," ")</f>
        <v xml:space="preserve"> </v>
      </c>
      <c r="B3093" s="106">
        <f>COPY!AR3085</f>
        <v>0</v>
      </c>
      <c r="C3093" s="107">
        <f>COPY!AC3085</f>
        <v>0</v>
      </c>
      <c r="D3093" s="107" t="str">
        <f>IF(LEN(Table1722[[#This Row],[Uraian]])&gt;2,1," ")</f>
        <v xml:space="preserve"> </v>
      </c>
      <c r="E3093" s="113" t="str">
        <f>IF(Table1722[[#This Row],[Lawan Transaksi]]="CV AGUNG KARYA",COUNTIF($I$10:I3093,"CV AGUNG KARYA")," ")</f>
        <v xml:space="preserve"> </v>
      </c>
      <c r="F3093" s="107" t="str">
        <f>IF(LEN(Table1722[[#This Row],[Uraian]])&gt;2,TRIM(RIGHT(SUBSTITUTE(TRIM(C3093)," ",REPT(" ",255)),255))," ")</f>
        <v xml:space="preserve"> </v>
      </c>
      <c r="G3093" s="110">
        <f>COPY!Z3085</f>
        <v>0</v>
      </c>
      <c r="H3093" s="111" t="str">
        <f>IFERROR(VLOOKUP(Table1722[[#This Row],[Bukti]],'Un nOTA'!$A$4:$K$5003,10,FALSE),"")</f>
        <v/>
      </c>
      <c r="I3093" s="123" t="str">
        <f>IFERROR(VLOOKUP(Table1722[[#This Row],[Bukti]],Table13[#Data],11,FALSE),"")</f>
        <v/>
      </c>
    </row>
    <row r="3094" spans="1:9" hidden="1" x14ac:dyDescent="0.2">
      <c r="A3094" s="105" t="str">
        <f>IF(D3094=1,COUNTIF($D$10:D3094,1)," ")</f>
        <v xml:space="preserve"> </v>
      </c>
      <c r="B3094" s="106">
        <f>COPY!AR3086</f>
        <v>0</v>
      </c>
      <c r="C3094" s="107">
        <f>COPY!AC3086</f>
        <v>0</v>
      </c>
      <c r="D3094" s="107" t="str">
        <f>IF(LEN(Table1722[[#This Row],[Uraian]])&gt;2,1," ")</f>
        <v xml:space="preserve"> </v>
      </c>
      <c r="E3094" s="113" t="str">
        <f>IF(Table1722[[#This Row],[Lawan Transaksi]]="CV AGUNG KARYA",COUNTIF($I$10:I3094,"CV AGUNG KARYA")," ")</f>
        <v xml:space="preserve"> </v>
      </c>
      <c r="F3094" s="107" t="str">
        <f>IF(LEN(Table1722[[#This Row],[Uraian]])&gt;2,TRIM(RIGHT(SUBSTITUTE(TRIM(C3094)," ",REPT(" ",255)),255))," ")</f>
        <v xml:space="preserve"> </v>
      </c>
      <c r="G3094" s="110">
        <f>COPY!Z3086</f>
        <v>0</v>
      </c>
      <c r="H3094" s="111" t="str">
        <f>IFERROR(VLOOKUP(Table1722[[#This Row],[Bukti]],'Un nOTA'!$A$4:$K$5003,10,FALSE),"")</f>
        <v/>
      </c>
      <c r="I3094" s="123" t="str">
        <f>IFERROR(VLOOKUP(Table1722[[#This Row],[Bukti]],Table13[#Data],11,FALSE),"")</f>
        <v/>
      </c>
    </row>
    <row r="3095" spans="1:9" hidden="1" x14ac:dyDescent="0.2">
      <c r="A3095" s="105" t="str">
        <f>IF(D3095=1,COUNTIF($D$10:D3095,1)," ")</f>
        <v xml:space="preserve"> </v>
      </c>
      <c r="B3095" s="106">
        <f>COPY!AR3087</f>
        <v>0</v>
      </c>
      <c r="C3095" s="107">
        <f>COPY!AC3087</f>
        <v>0</v>
      </c>
      <c r="D3095" s="107" t="str">
        <f>IF(LEN(Table1722[[#This Row],[Uraian]])&gt;2,1," ")</f>
        <v xml:space="preserve"> </v>
      </c>
      <c r="E3095" s="113" t="str">
        <f>IF(Table1722[[#This Row],[Lawan Transaksi]]="CV AGUNG KARYA",COUNTIF($I$10:I3095,"CV AGUNG KARYA")," ")</f>
        <v xml:space="preserve"> </v>
      </c>
      <c r="F3095" s="107" t="str">
        <f>IF(LEN(Table1722[[#This Row],[Uraian]])&gt;2,TRIM(RIGHT(SUBSTITUTE(TRIM(C3095)," ",REPT(" ",255)),255))," ")</f>
        <v xml:space="preserve"> </v>
      </c>
      <c r="G3095" s="110">
        <f>COPY!Z3087</f>
        <v>0</v>
      </c>
      <c r="H3095" s="111" t="str">
        <f>IFERROR(VLOOKUP(Table1722[[#This Row],[Bukti]],'Un nOTA'!$A$4:$K$5003,10,FALSE),"")</f>
        <v/>
      </c>
      <c r="I3095" s="123" t="str">
        <f>IFERROR(VLOOKUP(Table1722[[#This Row],[Bukti]],Table13[#Data],11,FALSE),"")</f>
        <v/>
      </c>
    </row>
    <row r="3096" spans="1:9" hidden="1" x14ac:dyDescent="0.2">
      <c r="A3096" s="105" t="str">
        <f>IF(D3096=1,COUNTIF($D$10:D3096,1)," ")</f>
        <v xml:space="preserve"> </v>
      </c>
      <c r="B3096" s="106">
        <f>COPY!AR3088</f>
        <v>0</v>
      </c>
      <c r="C3096" s="107">
        <f>COPY!AC3088</f>
        <v>0</v>
      </c>
      <c r="D3096" s="107" t="str">
        <f>IF(LEN(Table1722[[#This Row],[Uraian]])&gt;2,1," ")</f>
        <v xml:space="preserve"> </v>
      </c>
      <c r="E3096" s="113" t="str">
        <f>IF(Table1722[[#This Row],[Lawan Transaksi]]="CV AGUNG KARYA",COUNTIF($I$10:I3096,"CV AGUNG KARYA")," ")</f>
        <v xml:space="preserve"> </v>
      </c>
      <c r="F3096" s="107" t="str">
        <f>IF(LEN(Table1722[[#This Row],[Uraian]])&gt;2,TRIM(RIGHT(SUBSTITUTE(TRIM(C3096)," ",REPT(" ",255)),255))," ")</f>
        <v xml:space="preserve"> </v>
      </c>
      <c r="G3096" s="110">
        <f>COPY!Z3088</f>
        <v>0</v>
      </c>
      <c r="H3096" s="111" t="str">
        <f>IFERROR(VLOOKUP(Table1722[[#This Row],[Bukti]],'Un nOTA'!$A$4:$K$5003,10,FALSE),"")</f>
        <v/>
      </c>
      <c r="I3096" s="123" t="str">
        <f>IFERROR(VLOOKUP(Table1722[[#This Row],[Bukti]],Table13[#Data],11,FALSE),"")</f>
        <v/>
      </c>
    </row>
    <row r="3097" spans="1:9" hidden="1" x14ac:dyDescent="0.2">
      <c r="A3097" s="105" t="str">
        <f>IF(D3097=1,COUNTIF($D$10:D3097,1)," ")</f>
        <v xml:space="preserve"> </v>
      </c>
      <c r="B3097" s="106">
        <f>COPY!AR3089</f>
        <v>0</v>
      </c>
      <c r="C3097" s="107">
        <f>COPY!AC3089</f>
        <v>0</v>
      </c>
      <c r="D3097" s="107" t="str">
        <f>IF(LEN(Table1722[[#This Row],[Uraian]])&gt;2,1," ")</f>
        <v xml:space="preserve"> </v>
      </c>
      <c r="E3097" s="113" t="str">
        <f>IF(Table1722[[#This Row],[Lawan Transaksi]]="CV AGUNG KARYA",COUNTIF($I$10:I3097,"CV AGUNG KARYA")," ")</f>
        <v xml:space="preserve"> </v>
      </c>
      <c r="F3097" s="107" t="str">
        <f>IF(LEN(Table1722[[#This Row],[Uraian]])&gt;2,TRIM(RIGHT(SUBSTITUTE(TRIM(C3097)," ",REPT(" ",255)),255))," ")</f>
        <v xml:space="preserve"> </v>
      </c>
      <c r="G3097" s="110">
        <f>COPY!Z3089</f>
        <v>0</v>
      </c>
      <c r="H3097" s="111" t="str">
        <f>IFERROR(VLOOKUP(Table1722[[#This Row],[Bukti]],'Un nOTA'!$A$4:$K$5003,10,FALSE),"")</f>
        <v/>
      </c>
      <c r="I3097" s="123" t="str">
        <f>IFERROR(VLOOKUP(Table1722[[#This Row],[Bukti]],Table13[#Data],11,FALSE),"")</f>
        <v/>
      </c>
    </row>
    <row r="3098" spans="1:9" hidden="1" x14ac:dyDescent="0.2">
      <c r="A3098" s="105" t="str">
        <f>IF(D3098=1,COUNTIF($D$10:D3098,1)," ")</f>
        <v xml:space="preserve"> </v>
      </c>
      <c r="B3098" s="106">
        <f>COPY!AR3090</f>
        <v>0</v>
      </c>
      <c r="C3098" s="107">
        <f>COPY!AC3090</f>
        <v>0</v>
      </c>
      <c r="D3098" s="107" t="str">
        <f>IF(LEN(Table1722[[#This Row],[Uraian]])&gt;2,1," ")</f>
        <v xml:space="preserve"> </v>
      </c>
      <c r="E3098" s="113" t="str">
        <f>IF(Table1722[[#This Row],[Lawan Transaksi]]="CV AGUNG KARYA",COUNTIF($I$10:I3098,"CV AGUNG KARYA")," ")</f>
        <v xml:space="preserve"> </v>
      </c>
      <c r="F3098" s="107" t="str">
        <f>IF(LEN(Table1722[[#This Row],[Uraian]])&gt;2,TRIM(RIGHT(SUBSTITUTE(TRIM(C3098)," ",REPT(" ",255)),255))," ")</f>
        <v xml:space="preserve"> </v>
      </c>
      <c r="G3098" s="110">
        <f>COPY!Z3090</f>
        <v>0</v>
      </c>
      <c r="H3098" s="111" t="str">
        <f>IFERROR(VLOOKUP(Table1722[[#This Row],[Bukti]],'Un nOTA'!$A$4:$K$5003,10,FALSE),"")</f>
        <v/>
      </c>
      <c r="I3098" s="123" t="str">
        <f>IFERROR(VLOOKUP(Table1722[[#This Row],[Bukti]],Table13[#Data],11,FALSE),"")</f>
        <v/>
      </c>
    </row>
    <row r="3099" spans="1:9" hidden="1" x14ac:dyDescent="0.2">
      <c r="A3099" s="105" t="str">
        <f>IF(D3099=1,COUNTIF($D$10:D3099,1)," ")</f>
        <v xml:space="preserve"> </v>
      </c>
      <c r="B3099" s="106">
        <f>COPY!AR3091</f>
        <v>0</v>
      </c>
      <c r="C3099" s="107">
        <f>COPY!AC3091</f>
        <v>0</v>
      </c>
      <c r="D3099" s="107" t="str">
        <f>IF(LEN(Table1722[[#This Row],[Uraian]])&gt;2,1," ")</f>
        <v xml:space="preserve"> </v>
      </c>
      <c r="E3099" s="113" t="str">
        <f>IF(Table1722[[#This Row],[Lawan Transaksi]]="CV AGUNG KARYA",COUNTIF($I$10:I3099,"CV AGUNG KARYA")," ")</f>
        <v xml:space="preserve"> </v>
      </c>
      <c r="F3099" s="107" t="str">
        <f>IF(LEN(Table1722[[#This Row],[Uraian]])&gt;2,TRIM(RIGHT(SUBSTITUTE(TRIM(C3099)," ",REPT(" ",255)),255))," ")</f>
        <v xml:space="preserve"> </v>
      </c>
      <c r="G3099" s="110">
        <f>COPY!Z3091</f>
        <v>0</v>
      </c>
      <c r="H3099" s="111" t="str">
        <f>IFERROR(VLOOKUP(Table1722[[#This Row],[Bukti]],'Un nOTA'!$A$4:$K$5003,10,FALSE),"")</f>
        <v/>
      </c>
      <c r="I3099" s="123" t="str">
        <f>IFERROR(VLOOKUP(Table1722[[#This Row],[Bukti]],Table13[#Data],11,FALSE),"")</f>
        <v/>
      </c>
    </row>
    <row r="3100" spans="1:9" hidden="1" x14ac:dyDescent="0.2">
      <c r="A3100" s="105" t="str">
        <f>IF(D3100=1,COUNTIF($D$10:D3100,1)," ")</f>
        <v xml:space="preserve"> </v>
      </c>
      <c r="B3100" s="106">
        <f>COPY!AR3092</f>
        <v>0</v>
      </c>
      <c r="C3100" s="107">
        <f>COPY!AC3092</f>
        <v>0</v>
      </c>
      <c r="D3100" s="107" t="str">
        <f>IF(LEN(Table1722[[#This Row],[Uraian]])&gt;2,1," ")</f>
        <v xml:space="preserve"> </v>
      </c>
      <c r="E3100" s="113" t="str">
        <f>IF(Table1722[[#This Row],[Lawan Transaksi]]="CV AGUNG KARYA",COUNTIF($I$10:I3100,"CV AGUNG KARYA")," ")</f>
        <v xml:space="preserve"> </v>
      </c>
      <c r="F3100" s="107" t="str">
        <f>IF(LEN(Table1722[[#This Row],[Uraian]])&gt;2,TRIM(RIGHT(SUBSTITUTE(TRIM(C3100)," ",REPT(" ",255)),255))," ")</f>
        <v xml:space="preserve"> </v>
      </c>
      <c r="G3100" s="110">
        <f>COPY!Z3092</f>
        <v>0</v>
      </c>
      <c r="H3100" s="111" t="str">
        <f>IFERROR(VLOOKUP(Table1722[[#This Row],[Bukti]],'Un nOTA'!$A$4:$K$5003,10,FALSE),"")</f>
        <v/>
      </c>
      <c r="I3100" s="123" t="str">
        <f>IFERROR(VLOOKUP(Table1722[[#This Row],[Bukti]],Table13[#Data],11,FALSE),"")</f>
        <v/>
      </c>
    </row>
    <row r="3101" spans="1:9" hidden="1" x14ac:dyDescent="0.2">
      <c r="A3101" s="105" t="str">
        <f>IF(D3101=1,COUNTIF($D$10:D3101,1)," ")</f>
        <v xml:space="preserve"> </v>
      </c>
      <c r="B3101" s="106">
        <f>COPY!AR3093</f>
        <v>0</v>
      </c>
      <c r="C3101" s="107">
        <f>COPY!AC3093</f>
        <v>0</v>
      </c>
      <c r="D3101" s="107" t="str">
        <f>IF(LEN(Table1722[[#This Row],[Uraian]])&gt;2,1," ")</f>
        <v xml:space="preserve"> </v>
      </c>
      <c r="E3101" s="113" t="str">
        <f>IF(Table1722[[#This Row],[Lawan Transaksi]]="CV AGUNG KARYA",COUNTIF($I$10:I3101,"CV AGUNG KARYA")," ")</f>
        <v xml:space="preserve"> </v>
      </c>
      <c r="F3101" s="107" t="str">
        <f>IF(LEN(Table1722[[#This Row],[Uraian]])&gt;2,TRIM(RIGHT(SUBSTITUTE(TRIM(C3101)," ",REPT(" ",255)),255))," ")</f>
        <v xml:space="preserve"> </v>
      </c>
      <c r="G3101" s="110">
        <f>COPY!Z3093</f>
        <v>0</v>
      </c>
      <c r="H3101" s="111" t="str">
        <f>IFERROR(VLOOKUP(Table1722[[#This Row],[Bukti]],'Un nOTA'!$A$4:$K$5003,10,FALSE),"")</f>
        <v/>
      </c>
      <c r="I3101" s="123" t="str">
        <f>IFERROR(VLOOKUP(Table1722[[#This Row],[Bukti]],Table13[#Data],11,FALSE),"")</f>
        <v/>
      </c>
    </row>
    <row r="3102" spans="1:9" hidden="1" x14ac:dyDescent="0.2">
      <c r="A3102" s="105" t="str">
        <f>IF(D3102=1,COUNTIF($D$10:D3102,1)," ")</f>
        <v xml:space="preserve"> </v>
      </c>
      <c r="B3102" s="106">
        <f>COPY!AR3094</f>
        <v>0</v>
      </c>
      <c r="C3102" s="107">
        <f>COPY!AC3094</f>
        <v>0</v>
      </c>
      <c r="D3102" s="107" t="str">
        <f>IF(LEN(Table1722[[#This Row],[Uraian]])&gt;2,1," ")</f>
        <v xml:space="preserve"> </v>
      </c>
      <c r="E3102" s="113" t="str">
        <f>IF(Table1722[[#This Row],[Lawan Transaksi]]="CV AGUNG KARYA",COUNTIF($I$10:I3102,"CV AGUNG KARYA")," ")</f>
        <v xml:space="preserve"> </v>
      </c>
      <c r="F3102" s="107" t="str">
        <f>IF(LEN(Table1722[[#This Row],[Uraian]])&gt;2,TRIM(RIGHT(SUBSTITUTE(TRIM(C3102)," ",REPT(" ",255)),255))," ")</f>
        <v xml:space="preserve"> </v>
      </c>
      <c r="G3102" s="110">
        <f>COPY!Z3094</f>
        <v>0</v>
      </c>
      <c r="H3102" s="111" t="str">
        <f>IFERROR(VLOOKUP(Table1722[[#This Row],[Bukti]],'Un nOTA'!$A$4:$K$5003,10,FALSE),"")</f>
        <v/>
      </c>
      <c r="I3102" s="123" t="str">
        <f>IFERROR(VLOOKUP(Table1722[[#This Row],[Bukti]],Table13[#Data],11,FALSE),"")</f>
        <v/>
      </c>
    </row>
    <row r="3103" spans="1:9" hidden="1" x14ac:dyDescent="0.2">
      <c r="A3103" s="105" t="str">
        <f>IF(D3103=1,COUNTIF($D$10:D3103,1)," ")</f>
        <v xml:space="preserve"> </v>
      </c>
      <c r="B3103" s="106">
        <f>COPY!AR3095</f>
        <v>0</v>
      </c>
      <c r="C3103" s="107">
        <f>COPY!AC3095</f>
        <v>0</v>
      </c>
      <c r="D3103" s="107" t="str">
        <f>IF(LEN(Table1722[[#This Row],[Uraian]])&gt;2,1," ")</f>
        <v xml:space="preserve"> </v>
      </c>
      <c r="E3103" s="113" t="str">
        <f>IF(Table1722[[#This Row],[Lawan Transaksi]]="CV AGUNG KARYA",COUNTIF($I$10:I3103,"CV AGUNG KARYA")," ")</f>
        <v xml:space="preserve"> </v>
      </c>
      <c r="F3103" s="107" t="str">
        <f>IF(LEN(Table1722[[#This Row],[Uraian]])&gt;2,TRIM(RIGHT(SUBSTITUTE(TRIM(C3103)," ",REPT(" ",255)),255))," ")</f>
        <v xml:space="preserve"> </v>
      </c>
      <c r="G3103" s="110">
        <f>COPY!Z3095</f>
        <v>0</v>
      </c>
      <c r="H3103" s="111" t="str">
        <f>IFERROR(VLOOKUP(Table1722[[#This Row],[Bukti]],'Un nOTA'!$A$4:$K$5003,10,FALSE),"")</f>
        <v/>
      </c>
      <c r="I3103" s="123" t="str">
        <f>IFERROR(VLOOKUP(Table1722[[#This Row],[Bukti]],Table13[#Data],11,FALSE),"")</f>
        <v/>
      </c>
    </row>
    <row r="3104" spans="1:9" hidden="1" x14ac:dyDescent="0.2">
      <c r="A3104" s="105" t="str">
        <f>IF(D3104=1,COUNTIF($D$10:D3104,1)," ")</f>
        <v xml:space="preserve"> </v>
      </c>
      <c r="B3104" s="106">
        <f>COPY!AR3096</f>
        <v>0</v>
      </c>
      <c r="C3104" s="107">
        <f>COPY!AC3096</f>
        <v>0</v>
      </c>
      <c r="D3104" s="107" t="str">
        <f>IF(LEN(Table1722[[#This Row],[Uraian]])&gt;2,1," ")</f>
        <v xml:space="preserve"> </v>
      </c>
      <c r="E3104" s="113" t="str">
        <f>IF(Table1722[[#This Row],[Lawan Transaksi]]="CV AGUNG KARYA",COUNTIF($I$10:I3104,"CV AGUNG KARYA")," ")</f>
        <v xml:space="preserve"> </v>
      </c>
      <c r="F3104" s="107" t="str">
        <f>IF(LEN(Table1722[[#This Row],[Uraian]])&gt;2,TRIM(RIGHT(SUBSTITUTE(TRIM(C3104)," ",REPT(" ",255)),255))," ")</f>
        <v xml:space="preserve"> </v>
      </c>
      <c r="G3104" s="110">
        <f>COPY!Z3096</f>
        <v>0</v>
      </c>
      <c r="H3104" s="111" t="str">
        <f>IFERROR(VLOOKUP(Table1722[[#This Row],[Bukti]],'Un nOTA'!$A$4:$K$5003,10,FALSE),"")</f>
        <v/>
      </c>
      <c r="I3104" s="123" t="str">
        <f>IFERROR(VLOOKUP(Table1722[[#This Row],[Bukti]],Table13[#Data],11,FALSE),"")</f>
        <v/>
      </c>
    </row>
    <row r="3105" spans="1:9" hidden="1" x14ac:dyDescent="0.2">
      <c r="A3105" s="105" t="str">
        <f>IF(D3105=1,COUNTIF($D$10:D3105,1)," ")</f>
        <v xml:space="preserve"> </v>
      </c>
      <c r="B3105" s="106">
        <f>COPY!AR3097</f>
        <v>0</v>
      </c>
      <c r="C3105" s="107">
        <f>COPY!AC3097</f>
        <v>0</v>
      </c>
      <c r="D3105" s="107" t="str">
        <f>IF(LEN(Table1722[[#This Row],[Uraian]])&gt;2,1," ")</f>
        <v xml:space="preserve"> </v>
      </c>
      <c r="E3105" s="113" t="str">
        <f>IF(Table1722[[#This Row],[Lawan Transaksi]]="CV AGUNG KARYA",COUNTIF($I$10:I3105,"CV AGUNG KARYA")," ")</f>
        <v xml:space="preserve"> </v>
      </c>
      <c r="F3105" s="107" t="str">
        <f>IF(LEN(Table1722[[#This Row],[Uraian]])&gt;2,TRIM(RIGHT(SUBSTITUTE(TRIM(C3105)," ",REPT(" ",255)),255))," ")</f>
        <v xml:space="preserve"> </v>
      </c>
      <c r="G3105" s="110">
        <f>COPY!Z3097</f>
        <v>0</v>
      </c>
      <c r="H3105" s="111" t="str">
        <f>IFERROR(VLOOKUP(Table1722[[#This Row],[Bukti]],'Un nOTA'!$A$4:$K$5003,10,FALSE),"")</f>
        <v/>
      </c>
      <c r="I3105" s="123" t="str">
        <f>IFERROR(VLOOKUP(Table1722[[#This Row],[Bukti]],Table13[#Data],11,FALSE),"")</f>
        <v/>
      </c>
    </row>
    <row r="3106" spans="1:9" hidden="1" x14ac:dyDescent="0.2">
      <c r="A3106" s="105" t="str">
        <f>IF(D3106=1,COUNTIF($D$10:D3106,1)," ")</f>
        <v xml:space="preserve"> </v>
      </c>
      <c r="B3106" s="106">
        <f>COPY!AR3098</f>
        <v>0</v>
      </c>
      <c r="C3106" s="107">
        <f>COPY!AC3098</f>
        <v>0</v>
      </c>
      <c r="D3106" s="107" t="str">
        <f>IF(LEN(Table1722[[#This Row],[Uraian]])&gt;2,1," ")</f>
        <v xml:space="preserve"> </v>
      </c>
      <c r="E3106" s="113" t="str">
        <f>IF(Table1722[[#This Row],[Lawan Transaksi]]="CV AGUNG KARYA",COUNTIF($I$10:I3106,"CV AGUNG KARYA")," ")</f>
        <v xml:space="preserve"> </v>
      </c>
      <c r="F3106" s="107" t="str">
        <f>IF(LEN(Table1722[[#This Row],[Uraian]])&gt;2,TRIM(RIGHT(SUBSTITUTE(TRIM(C3106)," ",REPT(" ",255)),255))," ")</f>
        <v xml:space="preserve"> </v>
      </c>
      <c r="G3106" s="110">
        <f>COPY!Z3098</f>
        <v>0</v>
      </c>
      <c r="H3106" s="111" t="str">
        <f>IFERROR(VLOOKUP(Table1722[[#This Row],[Bukti]],'Un nOTA'!$A$4:$K$5003,10,FALSE),"")</f>
        <v/>
      </c>
      <c r="I3106" s="123" t="str">
        <f>IFERROR(VLOOKUP(Table1722[[#This Row],[Bukti]],Table13[#Data],11,FALSE),"")</f>
        <v/>
      </c>
    </row>
    <row r="3107" spans="1:9" hidden="1" x14ac:dyDescent="0.2">
      <c r="A3107" s="105" t="str">
        <f>IF(D3107=1,COUNTIF($D$10:D3107,1)," ")</f>
        <v xml:space="preserve"> </v>
      </c>
      <c r="B3107" s="106">
        <f>COPY!AR3099</f>
        <v>0</v>
      </c>
      <c r="C3107" s="107">
        <f>COPY!AC3099</f>
        <v>0</v>
      </c>
      <c r="D3107" s="107" t="str">
        <f>IF(LEN(Table1722[[#This Row],[Uraian]])&gt;2,1," ")</f>
        <v xml:space="preserve"> </v>
      </c>
      <c r="E3107" s="113" t="str">
        <f>IF(Table1722[[#This Row],[Lawan Transaksi]]="CV AGUNG KARYA",COUNTIF($I$10:I3107,"CV AGUNG KARYA")," ")</f>
        <v xml:space="preserve"> </v>
      </c>
      <c r="F3107" s="107" t="str">
        <f>IF(LEN(Table1722[[#This Row],[Uraian]])&gt;2,TRIM(RIGHT(SUBSTITUTE(TRIM(C3107)," ",REPT(" ",255)),255))," ")</f>
        <v xml:space="preserve"> </v>
      </c>
      <c r="G3107" s="110">
        <f>COPY!Z3099</f>
        <v>0</v>
      </c>
      <c r="H3107" s="111" t="str">
        <f>IFERROR(VLOOKUP(Table1722[[#This Row],[Bukti]],'Un nOTA'!$A$4:$K$5003,10,FALSE),"")</f>
        <v/>
      </c>
      <c r="I3107" s="123" t="str">
        <f>IFERROR(VLOOKUP(Table1722[[#This Row],[Bukti]],Table13[#Data],11,FALSE),"")</f>
        <v/>
      </c>
    </row>
    <row r="3108" spans="1:9" hidden="1" x14ac:dyDescent="0.2">
      <c r="A3108" s="105" t="str">
        <f>IF(D3108=1,COUNTIF($D$10:D3108,1)," ")</f>
        <v xml:space="preserve"> </v>
      </c>
      <c r="B3108" s="106">
        <f>COPY!AR3100</f>
        <v>0</v>
      </c>
      <c r="C3108" s="107">
        <f>COPY!AC3100</f>
        <v>0</v>
      </c>
      <c r="D3108" s="107" t="str">
        <f>IF(LEN(Table1722[[#This Row],[Uraian]])&gt;2,1," ")</f>
        <v xml:space="preserve"> </v>
      </c>
      <c r="E3108" s="113" t="str">
        <f>IF(Table1722[[#This Row],[Lawan Transaksi]]="CV AGUNG KARYA",COUNTIF($I$10:I3108,"CV AGUNG KARYA")," ")</f>
        <v xml:space="preserve"> </v>
      </c>
      <c r="F3108" s="107" t="str">
        <f>IF(LEN(Table1722[[#This Row],[Uraian]])&gt;2,TRIM(RIGHT(SUBSTITUTE(TRIM(C3108)," ",REPT(" ",255)),255))," ")</f>
        <v xml:space="preserve"> </v>
      </c>
      <c r="G3108" s="110">
        <f>COPY!Z3100</f>
        <v>0</v>
      </c>
      <c r="H3108" s="111" t="str">
        <f>IFERROR(VLOOKUP(Table1722[[#This Row],[Bukti]],'Un nOTA'!$A$4:$K$5003,10,FALSE),"")</f>
        <v/>
      </c>
      <c r="I3108" s="123" t="str">
        <f>IFERROR(VLOOKUP(Table1722[[#This Row],[Bukti]],Table13[#Data],11,FALSE),"")</f>
        <v/>
      </c>
    </row>
    <row r="3109" spans="1:9" hidden="1" x14ac:dyDescent="0.2">
      <c r="A3109" s="105" t="str">
        <f>IF(D3109=1,COUNTIF($D$10:D3109,1)," ")</f>
        <v xml:space="preserve"> </v>
      </c>
      <c r="B3109" s="106">
        <f>COPY!AR3101</f>
        <v>0</v>
      </c>
      <c r="C3109" s="107">
        <f>COPY!AC3101</f>
        <v>0</v>
      </c>
      <c r="D3109" s="107" t="str">
        <f>IF(LEN(Table1722[[#This Row],[Uraian]])&gt;2,1," ")</f>
        <v xml:space="preserve"> </v>
      </c>
      <c r="E3109" s="113" t="str">
        <f>IF(Table1722[[#This Row],[Lawan Transaksi]]="CV AGUNG KARYA",COUNTIF($I$10:I3109,"CV AGUNG KARYA")," ")</f>
        <v xml:space="preserve"> </v>
      </c>
      <c r="F3109" s="107" t="str">
        <f>IF(LEN(Table1722[[#This Row],[Uraian]])&gt;2,TRIM(RIGHT(SUBSTITUTE(TRIM(C3109)," ",REPT(" ",255)),255))," ")</f>
        <v xml:space="preserve"> </v>
      </c>
      <c r="G3109" s="110">
        <f>COPY!Z3101</f>
        <v>0</v>
      </c>
      <c r="H3109" s="111" t="str">
        <f>IFERROR(VLOOKUP(Table1722[[#This Row],[Bukti]],'Un nOTA'!$A$4:$K$5003,10,FALSE),"")</f>
        <v/>
      </c>
      <c r="I3109" s="123" t="str">
        <f>IFERROR(VLOOKUP(Table1722[[#This Row],[Bukti]],Table13[#Data],11,FALSE),"")</f>
        <v/>
      </c>
    </row>
    <row r="3110" spans="1:9" hidden="1" x14ac:dyDescent="0.2">
      <c r="A3110" s="105" t="str">
        <f>IF(D3110=1,COUNTIF($D$10:D3110,1)," ")</f>
        <v xml:space="preserve"> </v>
      </c>
      <c r="B3110" s="106">
        <f>COPY!AR3102</f>
        <v>0</v>
      </c>
      <c r="C3110" s="107">
        <f>COPY!AC3102</f>
        <v>0</v>
      </c>
      <c r="D3110" s="107" t="str">
        <f>IF(LEN(Table1722[[#This Row],[Uraian]])&gt;2,1," ")</f>
        <v xml:space="preserve"> </v>
      </c>
      <c r="E3110" s="113" t="str">
        <f>IF(Table1722[[#This Row],[Lawan Transaksi]]="CV AGUNG KARYA",COUNTIF($I$10:I3110,"CV AGUNG KARYA")," ")</f>
        <v xml:space="preserve"> </v>
      </c>
      <c r="F3110" s="107" t="str">
        <f>IF(LEN(Table1722[[#This Row],[Uraian]])&gt;2,TRIM(RIGHT(SUBSTITUTE(TRIM(C3110)," ",REPT(" ",255)),255))," ")</f>
        <v xml:space="preserve"> </v>
      </c>
      <c r="G3110" s="110">
        <f>COPY!Z3102</f>
        <v>0</v>
      </c>
      <c r="H3110" s="111" t="str">
        <f>IFERROR(VLOOKUP(Table1722[[#This Row],[Bukti]],'Un nOTA'!$A$4:$K$5003,10,FALSE),"")</f>
        <v/>
      </c>
      <c r="I3110" s="123" t="str">
        <f>IFERROR(VLOOKUP(Table1722[[#This Row],[Bukti]],Table13[#Data],11,FALSE),"")</f>
        <v/>
      </c>
    </row>
    <row r="3111" spans="1:9" hidden="1" x14ac:dyDescent="0.2">
      <c r="A3111" s="105" t="str">
        <f>IF(D3111=1,COUNTIF($D$10:D3111,1)," ")</f>
        <v xml:space="preserve"> </v>
      </c>
      <c r="B3111" s="106">
        <f>COPY!AR3103</f>
        <v>0</v>
      </c>
      <c r="C3111" s="107">
        <f>COPY!AC3103</f>
        <v>0</v>
      </c>
      <c r="D3111" s="107" t="str">
        <f>IF(LEN(Table1722[[#This Row],[Uraian]])&gt;2,1," ")</f>
        <v xml:space="preserve"> </v>
      </c>
      <c r="E3111" s="113" t="str">
        <f>IF(Table1722[[#This Row],[Lawan Transaksi]]="CV AGUNG KARYA",COUNTIF($I$10:I3111,"CV AGUNG KARYA")," ")</f>
        <v xml:space="preserve"> </v>
      </c>
      <c r="F3111" s="107" t="str">
        <f>IF(LEN(Table1722[[#This Row],[Uraian]])&gt;2,TRIM(RIGHT(SUBSTITUTE(TRIM(C3111)," ",REPT(" ",255)),255))," ")</f>
        <v xml:space="preserve"> </v>
      </c>
      <c r="G3111" s="110">
        <f>COPY!Z3103</f>
        <v>0</v>
      </c>
      <c r="H3111" s="111" t="str">
        <f>IFERROR(VLOOKUP(Table1722[[#This Row],[Bukti]],'Un nOTA'!$A$4:$K$5003,10,FALSE),"")</f>
        <v/>
      </c>
      <c r="I3111" s="123" t="str">
        <f>IFERROR(VLOOKUP(Table1722[[#This Row],[Bukti]],Table13[#Data],11,FALSE),"")</f>
        <v/>
      </c>
    </row>
    <row r="3112" spans="1:9" hidden="1" x14ac:dyDescent="0.2">
      <c r="A3112" s="105" t="str">
        <f>IF(D3112=1,COUNTIF($D$10:D3112,1)," ")</f>
        <v xml:space="preserve"> </v>
      </c>
      <c r="B3112" s="106">
        <f>COPY!AR3104</f>
        <v>0</v>
      </c>
      <c r="C3112" s="107">
        <f>COPY!AC3104</f>
        <v>0</v>
      </c>
      <c r="D3112" s="107" t="str">
        <f>IF(LEN(Table1722[[#This Row],[Uraian]])&gt;2,1," ")</f>
        <v xml:space="preserve"> </v>
      </c>
      <c r="E3112" s="113" t="str">
        <f>IF(Table1722[[#This Row],[Lawan Transaksi]]="CV AGUNG KARYA",COUNTIF($I$10:I3112,"CV AGUNG KARYA")," ")</f>
        <v xml:space="preserve"> </v>
      </c>
      <c r="F3112" s="107" t="str">
        <f>IF(LEN(Table1722[[#This Row],[Uraian]])&gt;2,TRIM(RIGHT(SUBSTITUTE(TRIM(C3112)," ",REPT(" ",255)),255))," ")</f>
        <v xml:space="preserve"> </v>
      </c>
      <c r="G3112" s="110">
        <f>COPY!Z3104</f>
        <v>0</v>
      </c>
      <c r="H3112" s="111" t="str">
        <f>IFERROR(VLOOKUP(Table1722[[#This Row],[Bukti]],'Un nOTA'!$A$4:$K$5003,10,FALSE),"")</f>
        <v/>
      </c>
      <c r="I3112" s="123" t="str">
        <f>IFERROR(VLOOKUP(Table1722[[#This Row],[Bukti]],Table13[#Data],11,FALSE),"")</f>
        <v/>
      </c>
    </row>
    <row r="3113" spans="1:9" hidden="1" x14ac:dyDescent="0.2">
      <c r="A3113" s="105" t="str">
        <f>IF(D3113=1,COUNTIF($D$10:D3113,1)," ")</f>
        <v xml:space="preserve"> </v>
      </c>
      <c r="B3113" s="106">
        <f>COPY!AR3105</f>
        <v>0</v>
      </c>
      <c r="C3113" s="107">
        <f>COPY!AC3105</f>
        <v>0</v>
      </c>
      <c r="D3113" s="107" t="str">
        <f>IF(LEN(Table1722[[#This Row],[Uraian]])&gt;2,1," ")</f>
        <v xml:space="preserve"> </v>
      </c>
      <c r="E3113" s="113" t="str">
        <f>IF(Table1722[[#This Row],[Lawan Transaksi]]="CV AGUNG KARYA",COUNTIF($I$10:I3113,"CV AGUNG KARYA")," ")</f>
        <v xml:space="preserve"> </v>
      </c>
      <c r="F3113" s="107" t="str">
        <f>IF(LEN(Table1722[[#This Row],[Uraian]])&gt;2,TRIM(RIGHT(SUBSTITUTE(TRIM(C3113)," ",REPT(" ",255)),255))," ")</f>
        <v xml:space="preserve"> </v>
      </c>
      <c r="G3113" s="110">
        <f>COPY!Z3105</f>
        <v>0</v>
      </c>
      <c r="H3113" s="111" t="str">
        <f>IFERROR(VLOOKUP(Table1722[[#This Row],[Bukti]],'Un nOTA'!$A$4:$K$5003,10,FALSE),"")</f>
        <v/>
      </c>
      <c r="I3113" s="123" t="str">
        <f>IFERROR(VLOOKUP(Table1722[[#This Row],[Bukti]],Table13[#Data],11,FALSE),"")</f>
        <v/>
      </c>
    </row>
    <row r="3114" spans="1:9" hidden="1" x14ac:dyDescent="0.2">
      <c r="A3114" s="105" t="str">
        <f>IF(D3114=1,COUNTIF($D$10:D3114,1)," ")</f>
        <v xml:space="preserve"> </v>
      </c>
      <c r="B3114" s="106">
        <f>COPY!AR3106</f>
        <v>0</v>
      </c>
      <c r="C3114" s="107">
        <f>COPY!AC3106</f>
        <v>0</v>
      </c>
      <c r="D3114" s="107" t="str">
        <f>IF(LEN(Table1722[[#This Row],[Uraian]])&gt;2,1," ")</f>
        <v xml:space="preserve"> </v>
      </c>
      <c r="E3114" s="113" t="str">
        <f>IF(Table1722[[#This Row],[Lawan Transaksi]]="CV AGUNG KARYA",COUNTIF($I$10:I3114,"CV AGUNG KARYA")," ")</f>
        <v xml:space="preserve"> </v>
      </c>
      <c r="F3114" s="107" t="str">
        <f>IF(LEN(Table1722[[#This Row],[Uraian]])&gt;2,TRIM(RIGHT(SUBSTITUTE(TRIM(C3114)," ",REPT(" ",255)),255))," ")</f>
        <v xml:space="preserve"> </v>
      </c>
      <c r="G3114" s="110">
        <f>COPY!Z3106</f>
        <v>0</v>
      </c>
      <c r="H3114" s="111" t="str">
        <f>IFERROR(VLOOKUP(Table1722[[#This Row],[Bukti]],'Un nOTA'!$A$4:$K$5003,10,FALSE),"")</f>
        <v/>
      </c>
      <c r="I3114" s="123" t="str">
        <f>IFERROR(VLOOKUP(Table1722[[#This Row],[Bukti]],Table13[#Data],11,FALSE),"")</f>
        <v/>
      </c>
    </row>
    <row r="3115" spans="1:9" hidden="1" x14ac:dyDescent="0.2">
      <c r="A3115" s="105" t="str">
        <f>IF(D3115=1,COUNTIF($D$10:D3115,1)," ")</f>
        <v xml:space="preserve"> </v>
      </c>
      <c r="B3115" s="106">
        <f>COPY!AR3107</f>
        <v>0</v>
      </c>
      <c r="C3115" s="107">
        <f>COPY!AC3107</f>
        <v>0</v>
      </c>
      <c r="D3115" s="107" t="str">
        <f>IF(LEN(Table1722[[#This Row],[Uraian]])&gt;2,1," ")</f>
        <v xml:space="preserve"> </v>
      </c>
      <c r="E3115" s="113" t="str">
        <f>IF(Table1722[[#This Row],[Lawan Transaksi]]="CV AGUNG KARYA",COUNTIF($I$10:I3115,"CV AGUNG KARYA")," ")</f>
        <v xml:space="preserve"> </v>
      </c>
      <c r="F3115" s="107" t="str">
        <f>IF(LEN(Table1722[[#This Row],[Uraian]])&gt;2,TRIM(RIGHT(SUBSTITUTE(TRIM(C3115)," ",REPT(" ",255)),255))," ")</f>
        <v xml:space="preserve"> </v>
      </c>
      <c r="G3115" s="110">
        <f>COPY!Z3107</f>
        <v>0</v>
      </c>
      <c r="H3115" s="111" t="str">
        <f>IFERROR(VLOOKUP(Table1722[[#This Row],[Bukti]],'Un nOTA'!$A$4:$K$5003,10,FALSE),"")</f>
        <v/>
      </c>
      <c r="I3115" s="123" t="str">
        <f>IFERROR(VLOOKUP(Table1722[[#This Row],[Bukti]],Table13[#Data],11,FALSE),"")</f>
        <v/>
      </c>
    </row>
    <row r="3116" spans="1:9" hidden="1" x14ac:dyDescent="0.2">
      <c r="A3116" s="105" t="str">
        <f>IF(D3116=1,COUNTIF($D$10:D3116,1)," ")</f>
        <v xml:space="preserve"> </v>
      </c>
      <c r="B3116" s="106">
        <f>COPY!AR3108</f>
        <v>0</v>
      </c>
      <c r="C3116" s="107">
        <f>COPY!AC3108</f>
        <v>0</v>
      </c>
      <c r="D3116" s="107" t="str">
        <f>IF(LEN(Table1722[[#This Row],[Uraian]])&gt;2,1," ")</f>
        <v xml:space="preserve"> </v>
      </c>
      <c r="E3116" s="113" t="str">
        <f>IF(Table1722[[#This Row],[Lawan Transaksi]]="CV AGUNG KARYA",COUNTIF($I$10:I3116,"CV AGUNG KARYA")," ")</f>
        <v xml:space="preserve"> </v>
      </c>
      <c r="F3116" s="107" t="str">
        <f>IF(LEN(Table1722[[#This Row],[Uraian]])&gt;2,TRIM(RIGHT(SUBSTITUTE(TRIM(C3116)," ",REPT(" ",255)),255))," ")</f>
        <v xml:space="preserve"> </v>
      </c>
      <c r="G3116" s="110">
        <f>COPY!Z3108</f>
        <v>0</v>
      </c>
      <c r="H3116" s="111" t="str">
        <f>IFERROR(VLOOKUP(Table1722[[#This Row],[Bukti]],'Un nOTA'!$A$4:$K$5003,10,FALSE),"")</f>
        <v/>
      </c>
      <c r="I3116" s="123" t="str">
        <f>IFERROR(VLOOKUP(Table1722[[#This Row],[Bukti]],Table13[#Data],11,FALSE),"")</f>
        <v/>
      </c>
    </row>
    <row r="3117" spans="1:9" hidden="1" x14ac:dyDescent="0.2">
      <c r="A3117" s="105" t="str">
        <f>IF(D3117=1,COUNTIF($D$10:D3117,1)," ")</f>
        <v xml:space="preserve"> </v>
      </c>
      <c r="B3117" s="106">
        <f>COPY!AR3109</f>
        <v>0</v>
      </c>
      <c r="C3117" s="107">
        <f>COPY!AC3109</f>
        <v>0</v>
      </c>
      <c r="D3117" s="107" t="str">
        <f>IF(LEN(Table1722[[#This Row],[Uraian]])&gt;2,1," ")</f>
        <v xml:space="preserve"> </v>
      </c>
      <c r="E3117" s="113" t="str">
        <f>IF(Table1722[[#This Row],[Lawan Transaksi]]="CV AGUNG KARYA",COUNTIF($I$10:I3117,"CV AGUNG KARYA")," ")</f>
        <v xml:space="preserve"> </v>
      </c>
      <c r="F3117" s="107" t="str">
        <f>IF(LEN(Table1722[[#This Row],[Uraian]])&gt;2,TRIM(RIGHT(SUBSTITUTE(TRIM(C3117)," ",REPT(" ",255)),255))," ")</f>
        <v xml:space="preserve"> </v>
      </c>
      <c r="G3117" s="110">
        <f>COPY!Z3109</f>
        <v>0</v>
      </c>
      <c r="H3117" s="111" t="str">
        <f>IFERROR(VLOOKUP(Table1722[[#This Row],[Bukti]],'Un nOTA'!$A$4:$K$5003,10,FALSE),"")</f>
        <v/>
      </c>
      <c r="I3117" s="123" t="str">
        <f>IFERROR(VLOOKUP(Table1722[[#This Row],[Bukti]],Table13[#Data],11,FALSE),"")</f>
        <v/>
      </c>
    </row>
    <row r="3118" spans="1:9" hidden="1" x14ac:dyDescent="0.2">
      <c r="A3118" s="105" t="str">
        <f>IF(D3118=1,COUNTIF($D$10:D3118,1)," ")</f>
        <v xml:space="preserve"> </v>
      </c>
      <c r="B3118" s="106">
        <f>COPY!AR3110</f>
        <v>0</v>
      </c>
      <c r="C3118" s="107">
        <f>COPY!AC3110</f>
        <v>0</v>
      </c>
      <c r="D3118" s="107" t="str">
        <f>IF(LEN(Table1722[[#This Row],[Uraian]])&gt;2,1," ")</f>
        <v xml:space="preserve"> </v>
      </c>
      <c r="E3118" s="113" t="str">
        <f>IF(Table1722[[#This Row],[Lawan Transaksi]]="CV AGUNG KARYA",COUNTIF($I$10:I3118,"CV AGUNG KARYA")," ")</f>
        <v xml:space="preserve"> </v>
      </c>
      <c r="F3118" s="107" t="str">
        <f>IF(LEN(Table1722[[#This Row],[Uraian]])&gt;2,TRIM(RIGHT(SUBSTITUTE(TRIM(C3118)," ",REPT(" ",255)),255))," ")</f>
        <v xml:space="preserve"> </v>
      </c>
      <c r="G3118" s="110">
        <f>COPY!Z3110</f>
        <v>0</v>
      </c>
      <c r="H3118" s="111" t="str">
        <f>IFERROR(VLOOKUP(Table1722[[#This Row],[Bukti]],'Un nOTA'!$A$4:$K$5003,10,FALSE),"")</f>
        <v/>
      </c>
      <c r="I3118" s="123" t="str">
        <f>IFERROR(VLOOKUP(Table1722[[#This Row],[Bukti]],Table13[#Data],11,FALSE),"")</f>
        <v/>
      </c>
    </row>
    <row r="3119" spans="1:9" hidden="1" x14ac:dyDescent="0.2">
      <c r="A3119" s="105" t="str">
        <f>IF(D3119=1,COUNTIF($D$10:D3119,1)," ")</f>
        <v xml:space="preserve"> </v>
      </c>
      <c r="B3119" s="106">
        <f>COPY!AR3111</f>
        <v>0</v>
      </c>
      <c r="C3119" s="107">
        <f>COPY!AC3111</f>
        <v>0</v>
      </c>
      <c r="D3119" s="107" t="str">
        <f>IF(LEN(Table1722[[#This Row],[Uraian]])&gt;2,1," ")</f>
        <v xml:space="preserve"> </v>
      </c>
      <c r="E3119" s="113" t="str">
        <f>IF(Table1722[[#This Row],[Lawan Transaksi]]="CV AGUNG KARYA",COUNTIF($I$10:I3119,"CV AGUNG KARYA")," ")</f>
        <v xml:space="preserve"> </v>
      </c>
      <c r="F3119" s="107" t="str">
        <f>IF(LEN(Table1722[[#This Row],[Uraian]])&gt;2,TRIM(RIGHT(SUBSTITUTE(TRIM(C3119)," ",REPT(" ",255)),255))," ")</f>
        <v xml:space="preserve"> </v>
      </c>
      <c r="G3119" s="110">
        <f>COPY!Z3111</f>
        <v>0</v>
      </c>
      <c r="H3119" s="111" t="str">
        <f>IFERROR(VLOOKUP(Table1722[[#This Row],[Bukti]],'Un nOTA'!$A$4:$K$5003,10,FALSE),"")</f>
        <v/>
      </c>
      <c r="I3119" s="123" t="str">
        <f>IFERROR(VLOOKUP(Table1722[[#This Row],[Bukti]],Table13[#Data],11,FALSE),"")</f>
        <v/>
      </c>
    </row>
    <row r="3120" spans="1:9" hidden="1" x14ac:dyDescent="0.2">
      <c r="A3120" s="105" t="str">
        <f>IF(D3120=1,COUNTIF($D$10:D3120,1)," ")</f>
        <v xml:space="preserve"> </v>
      </c>
      <c r="B3120" s="106">
        <f>COPY!AR3112</f>
        <v>0</v>
      </c>
      <c r="C3120" s="107">
        <f>COPY!AC3112</f>
        <v>0</v>
      </c>
      <c r="D3120" s="107" t="str">
        <f>IF(LEN(Table1722[[#This Row],[Uraian]])&gt;2,1," ")</f>
        <v xml:space="preserve"> </v>
      </c>
      <c r="E3120" s="113" t="str">
        <f>IF(Table1722[[#This Row],[Lawan Transaksi]]="CV AGUNG KARYA",COUNTIF($I$10:I3120,"CV AGUNG KARYA")," ")</f>
        <v xml:space="preserve"> </v>
      </c>
      <c r="F3120" s="107" t="str">
        <f>IF(LEN(Table1722[[#This Row],[Uraian]])&gt;2,TRIM(RIGHT(SUBSTITUTE(TRIM(C3120)," ",REPT(" ",255)),255))," ")</f>
        <v xml:space="preserve"> </v>
      </c>
      <c r="G3120" s="110">
        <f>COPY!Z3112</f>
        <v>0</v>
      </c>
      <c r="H3120" s="111" t="str">
        <f>IFERROR(VLOOKUP(Table1722[[#This Row],[Bukti]],'Un nOTA'!$A$4:$K$5003,10,FALSE),"")</f>
        <v/>
      </c>
      <c r="I3120" s="123" t="str">
        <f>IFERROR(VLOOKUP(Table1722[[#This Row],[Bukti]],Table13[#Data],11,FALSE),"")</f>
        <v/>
      </c>
    </row>
    <row r="3121" spans="1:9" hidden="1" x14ac:dyDescent="0.2">
      <c r="A3121" s="105" t="str">
        <f>IF(D3121=1,COUNTIF($D$10:D3121,1)," ")</f>
        <v xml:space="preserve"> </v>
      </c>
      <c r="B3121" s="106">
        <f>COPY!AR3113</f>
        <v>0</v>
      </c>
      <c r="C3121" s="107">
        <f>COPY!AC3113</f>
        <v>0</v>
      </c>
      <c r="D3121" s="107" t="str">
        <f>IF(LEN(Table1722[[#This Row],[Uraian]])&gt;2,1," ")</f>
        <v xml:space="preserve"> </v>
      </c>
      <c r="E3121" s="113" t="str">
        <f>IF(Table1722[[#This Row],[Lawan Transaksi]]="CV AGUNG KARYA",COUNTIF($I$10:I3121,"CV AGUNG KARYA")," ")</f>
        <v xml:space="preserve"> </v>
      </c>
      <c r="F3121" s="107" t="str">
        <f>IF(LEN(Table1722[[#This Row],[Uraian]])&gt;2,TRIM(RIGHT(SUBSTITUTE(TRIM(C3121)," ",REPT(" ",255)),255))," ")</f>
        <v xml:space="preserve"> </v>
      </c>
      <c r="G3121" s="110">
        <f>COPY!Z3113</f>
        <v>0</v>
      </c>
      <c r="H3121" s="111" t="str">
        <f>IFERROR(VLOOKUP(Table1722[[#This Row],[Bukti]],'Un nOTA'!$A$4:$K$5003,10,FALSE),"")</f>
        <v/>
      </c>
      <c r="I3121" s="123" t="str">
        <f>IFERROR(VLOOKUP(Table1722[[#This Row],[Bukti]],Table13[#Data],11,FALSE),"")</f>
        <v/>
      </c>
    </row>
    <row r="3122" spans="1:9" hidden="1" x14ac:dyDescent="0.2">
      <c r="A3122" s="105" t="str">
        <f>IF(D3122=1,COUNTIF($D$10:D3122,1)," ")</f>
        <v xml:space="preserve"> </v>
      </c>
      <c r="B3122" s="106">
        <f>COPY!AR3114</f>
        <v>0</v>
      </c>
      <c r="C3122" s="107">
        <f>COPY!AC3114</f>
        <v>0</v>
      </c>
      <c r="D3122" s="107" t="str">
        <f>IF(LEN(Table1722[[#This Row],[Uraian]])&gt;2,1," ")</f>
        <v xml:space="preserve"> </v>
      </c>
      <c r="E3122" s="113" t="str">
        <f>IF(Table1722[[#This Row],[Lawan Transaksi]]="CV AGUNG KARYA",COUNTIF($I$10:I3122,"CV AGUNG KARYA")," ")</f>
        <v xml:space="preserve"> </v>
      </c>
      <c r="F3122" s="107" t="str">
        <f>IF(LEN(Table1722[[#This Row],[Uraian]])&gt;2,TRIM(RIGHT(SUBSTITUTE(TRIM(C3122)," ",REPT(" ",255)),255))," ")</f>
        <v xml:space="preserve"> </v>
      </c>
      <c r="G3122" s="110">
        <f>COPY!Z3114</f>
        <v>0</v>
      </c>
      <c r="H3122" s="111" t="str">
        <f>IFERROR(VLOOKUP(Table1722[[#This Row],[Bukti]],'Un nOTA'!$A$4:$K$5003,10,FALSE),"")</f>
        <v/>
      </c>
      <c r="I3122" s="123" t="str">
        <f>IFERROR(VLOOKUP(Table1722[[#This Row],[Bukti]],Table13[#Data],11,FALSE),"")</f>
        <v/>
      </c>
    </row>
    <row r="3123" spans="1:9" hidden="1" x14ac:dyDescent="0.2">
      <c r="A3123" s="105" t="str">
        <f>IF(D3123=1,COUNTIF($D$10:D3123,1)," ")</f>
        <v xml:space="preserve"> </v>
      </c>
      <c r="B3123" s="106">
        <f>COPY!AR3115</f>
        <v>0</v>
      </c>
      <c r="C3123" s="107">
        <f>COPY!AC3115</f>
        <v>0</v>
      </c>
      <c r="D3123" s="107" t="str">
        <f>IF(LEN(Table1722[[#This Row],[Uraian]])&gt;2,1," ")</f>
        <v xml:space="preserve"> </v>
      </c>
      <c r="E3123" s="113" t="str">
        <f>IF(Table1722[[#This Row],[Lawan Transaksi]]="CV AGUNG KARYA",COUNTIF($I$10:I3123,"CV AGUNG KARYA")," ")</f>
        <v xml:space="preserve"> </v>
      </c>
      <c r="F3123" s="107" t="str">
        <f>IF(LEN(Table1722[[#This Row],[Uraian]])&gt;2,TRIM(RIGHT(SUBSTITUTE(TRIM(C3123)," ",REPT(" ",255)),255))," ")</f>
        <v xml:space="preserve"> </v>
      </c>
      <c r="G3123" s="110">
        <f>COPY!Z3115</f>
        <v>0</v>
      </c>
      <c r="H3123" s="111" t="str">
        <f>IFERROR(VLOOKUP(Table1722[[#This Row],[Bukti]],'Un nOTA'!$A$4:$K$5003,10,FALSE),"")</f>
        <v/>
      </c>
      <c r="I3123" s="123" t="str">
        <f>IFERROR(VLOOKUP(Table1722[[#This Row],[Bukti]],Table13[#Data],11,FALSE),"")</f>
        <v/>
      </c>
    </row>
    <row r="3124" spans="1:9" hidden="1" x14ac:dyDescent="0.2">
      <c r="A3124" s="105" t="str">
        <f>IF(D3124=1,COUNTIF($D$10:D3124,1)," ")</f>
        <v xml:space="preserve"> </v>
      </c>
      <c r="B3124" s="106">
        <f>COPY!AR3116</f>
        <v>0</v>
      </c>
      <c r="C3124" s="107">
        <f>COPY!AC3116</f>
        <v>0</v>
      </c>
      <c r="D3124" s="107" t="str">
        <f>IF(LEN(Table1722[[#This Row],[Uraian]])&gt;2,1," ")</f>
        <v xml:space="preserve"> </v>
      </c>
      <c r="E3124" s="113" t="str">
        <f>IF(Table1722[[#This Row],[Lawan Transaksi]]="CV AGUNG KARYA",COUNTIF($I$10:I3124,"CV AGUNG KARYA")," ")</f>
        <v xml:space="preserve"> </v>
      </c>
      <c r="F3124" s="107" t="str">
        <f>IF(LEN(Table1722[[#This Row],[Uraian]])&gt;2,TRIM(RIGHT(SUBSTITUTE(TRIM(C3124)," ",REPT(" ",255)),255))," ")</f>
        <v xml:space="preserve"> </v>
      </c>
      <c r="G3124" s="110">
        <f>COPY!Z3116</f>
        <v>0</v>
      </c>
      <c r="H3124" s="111" t="str">
        <f>IFERROR(VLOOKUP(Table1722[[#This Row],[Bukti]],'Un nOTA'!$A$4:$K$5003,10,FALSE),"")</f>
        <v/>
      </c>
      <c r="I3124" s="123" t="str">
        <f>IFERROR(VLOOKUP(Table1722[[#This Row],[Bukti]],Table13[#Data],11,FALSE),"")</f>
        <v/>
      </c>
    </row>
    <row r="3125" spans="1:9" hidden="1" x14ac:dyDescent="0.2">
      <c r="A3125" s="105" t="str">
        <f>IF(D3125=1,COUNTIF($D$10:D3125,1)," ")</f>
        <v xml:space="preserve"> </v>
      </c>
      <c r="B3125" s="106">
        <f>COPY!AR3117</f>
        <v>0</v>
      </c>
      <c r="C3125" s="107">
        <f>COPY!AC3117</f>
        <v>0</v>
      </c>
      <c r="D3125" s="107" t="str">
        <f>IF(LEN(Table1722[[#This Row],[Uraian]])&gt;2,1," ")</f>
        <v xml:space="preserve"> </v>
      </c>
      <c r="E3125" s="113" t="str">
        <f>IF(Table1722[[#This Row],[Lawan Transaksi]]="CV AGUNG KARYA",COUNTIF($I$10:I3125,"CV AGUNG KARYA")," ")</f>
        <v xml:space="preserve"> </v>
      </c>
      <c r="F3125" s="107" t="str">
        <f>IF(LEN(Table1722[[#This Row],[Uraian]])&gt;2,TRIM(RIGHT(SUBSTITUTE(TRIM(C3125)," ",REPT(" ",255)),255))," ")</f>
        <v xml:space="preserve"> </v>
      </c>
      <c r="G3125" s="110">
        <f>COPY!Z3117</f>
        <v>0</v>
      </c>
      <c r="H3125" s="111" t="str">
        <f>IFERROR(VLOOKUP(Table1722[[#This Row],[Bukti]],'Un nOTA'!$A$4:$K$5003,10,FALSE),"")</f>
        <v/>
      </c>
      <c r="I3125" s="123" t="str">
        <f>IFERROR(VLOOKUP(Table1722[[#This Row],[Bukti]],Table13[#Data],11,FALSE),"")</f>
        <v/>
      </c>
    </row>
    <row r="3126" spans="1:9" hidden="1" x14ac:dyDescent="0.2">
      <c r="A3126" s="105" t="str">
        <f>IF(D3126=1,COUNTIF($D$10:D3126,1)," ")</f>
        <v xml:space="preserve"> </v>
      </c>
      <c r="B3126" s="106">
        <f>COPY!AR3118</f>
        <v>0</v>
      </c>
      <c r="C3126" s="107">
        <f>COPY!AC3118</f>
        <v>0</v>
      </c>
      <c r="D3126" s="107" t="str">
        <f>IF(LEN(Table1722[[#This Row],[Uraian]])&gt;2,1," ")</f>
        <v xml:space="preserve"> </v>
      </c>
      <c r="E3126" s="113" t="str">
        <f>IF(Table1722[[#This Row],[Lawan Transaksi]]="CV AGUNG KARYA",COUNTIF($I$10:I3126,"CV AGUNG KARYA")," ")</f>
        <v xml:space="preserve"> </v>
      </c>
      <c r="F3126" s="107" t="str">
        <f>IF(LEN(Table1722[[#This Row],[Uraian]])&gt;2,TRIM(RIGHT(SUBSTITUTE(TRIM(C3126)," ",REPT(" ",255)),255))," ")</f>
        <v xml:space="preserve"> </v>
      </c>
      <c r="G3126" s="110">
        <f>COPY!Z3118</f>
        <v>0</v>
      </c>
      <c r="H3126" s="111" t="str">
        <f>IFERROR(VLOOKUP(Table1722[[#This Row],[Bukti]],'Un nOTA'!$A$4:$K$5003,10,FALSE),"")</f>
        <v/>
      </c>
      <c r="I3126" s="123" t="str">
        <f>IFERROR(VLOOKUP(Table1722[[#This Row],[Bukti]],Table13[#Data],11,FALSE),"")</f>
        <v/>
      </c>
    </row>
    <row r="3127" spans="1:9" hidden="1" x14ac:dyDescent="0.2">
      <c r="A3127" s="105" t="str">
        <f>IF(D3127=1,COUNTIF($D$10:D3127,1)," ")</f>
        <v xml:space="preserve"> </v>
      </c>
      <c r="B3127" s="106">
        <f>COPY!AR3119</f>
        <v>0</v>
      </c>
      <c r="C3127" s="107">
        <f>COPY!AC3119</f>
        <v>0</v>
      </c>
      <c r="D3127" s="107" t="str">
        <f>IF(LEN(Table1722[[#This Row],[Uraian]])&gt;2,1," ")</f>
        <v xml:space="preserve"> </v>
      </c>
      <c r="E3127" s="113" t="str">
        <f>IF(Table1722[[#This Row],[Lawan Transaksi]]="CV AGUNG KARYA",COUNTIF($I$10:I3127,"CV AGUNG KARYA")," ")</f>
        <v xml:space="preserve"> </v>
      </c>
      <c r="F3127" s="107" t="str">
        <f>IF(LEN(Table1722[[#This Row],[Uraian]])&gt;2,TRIM(RIGHT(SUBSTITUTE(TRIM(C3127)," ",REPT(" ",255)),255))," ")</f>
        <v xml:space="preserve"> </v>
      </c>
      <c r="G3127" s="110">
        <f>COPY!Z3119</f>
        <v>0</v>
      </c>
      <c r="H3127" s="111" t="str">
        <f>IFERROR(VLOOKUP(Table1722[[#This Row],[Bukti]],'Un nOTA'!$A$4:$K$5003,10,FALSE),"")</f>
        <v/>
      </c>
      <c r="I3127" s="123" t="str">
        <f>IFERROR(VLOOKUP(Table1722[[#This Row],[Bukti]],Table13[#Data],11,FALSE),"")</f>
        <v/>
      </c>
    </row>
    <row r="3128" spans="1:9" hidden="1" x14ac:dyDescent="0.2">
      <c r="A3128" s="105" t="str">
        <f>IF(D3128=1,COUNTIF($D$10:D3128,1)," ")</f>
        <v xml:space="preserve"> </v>
      </c>
      <c r="B3128" s="106">
        <f>COPY!AR3120</f>
        <v>0</v>
      </c>
      <c r="C3128" s="107">
        <f>COPY!AC3120</f>
        <v>0</v>
      </c>
      <c r="D3128" s="107" t="str">
        <f>IF(LEN(Table1722[[#This Row],[Uraian]])&gt;2,1," ")</f>
        <v xml:space="preserve"> </v>
      </c>
      <c r="E3128" s="113" t="str">
        <f>IF(Table1722[[#This Row],[Lawan Transaksi]]="CV AGUNG KARYA",COUNTIF($I$10:I3128,"CV AGUNG KARYA")," ")</f>
        <v xml:space="preserve"> </v>
      </c>
      <c r="F3128" s="107" t="str">
        <f>IF(LEN(Table1722[[#This Row],[Uraian]])&gt;2,TRIM(RIGHT(SUBSTITUTE(TRIM(C3128)," ",REPT(" ",255)),255))," ")</f>
        <v xml:space="preserve"> </v>
      </c>
      <c r="G3128" s="110">
        <f>COPY!Z3120</f>
        <v>0</v>
      </c>
      <c r="H3128" s="111" t="str">
        <f>IFERROR(VLOOKUP(Table1722[[#This Row],[Bukti]],'Un nOTA'!$A$4:$K$5003,10,FALSE),"")</f>
        <v/>
      </c>
      <c r="I3128" s="123" t="str">
        <f>IFERROR(VLOOKUP(Table1722[[#This Row],[Bukti]],Table13[#Data],11,FALSE),"")</f>
        <v/>
      </c>
    </row>
    <row r="3129" spans="1:9" hidden="1" x14ac:dyDescent="0.2">
      <c r="A3129" s="105" t="str">
        <f>IF(D3129=1,COUNTIF($D$10:D3129,1)," ")</f>
        <v xml:space="preserve"> </v>
      </c>
      <c r="B3129" s="106">
        <f>COPY!AR3121</f>
        <v>0</v>
      </c>
      <c r="C3129" s="107">
        <f>COPY!AC3121</f>
        <v>0</v>
      </c>
      <c r="D3129" s="107" t="str">
        <f>IF(LEN(Table1722[[#This Row],[Uraian]])&gt;2,1," ")</f>
        <v xml:space="preserve"> </v>
      </c>
      <c r="E3129" s="113" t="str">
        <f>IF(Table1722[[#This Row],[Lawan Transaksi]]="CV AGUNG KARYA",COUNTIF($I$10:I3129,"CV AGUNG KARYA")," ")</f>
        <v xml:space="preserve"> </v>
      </c>
      <c r="F3129" s="107" t="str">
        <f>IF(LEN(Table1722[[#This Row],[Uraian]])&gt;2,TRIM(RIGHT(SUBSTITUTE(TRIM(C3129)," ",REPT(" ",255)),255))," ")</f>
        <v xml:space="preserve"> </v>
      </c>
      <c r="G3129" s="110">
        <f>COPY!Z3121</f>
        <v>0</v>
      </c>
      <c r="H3129" s="111" t="str">
        <f>IFERROR(VLOOKUP(Table1722[[#This Row],[Bukti]],'Un nOTA'!$A$4:$K$5003,10,FALSE),"")</f>
        <v/>
      </c>
      <c r="I3129" s="123" t="str">
        <f>IFERROR(VLOOKUP(Table1722[[#This Row],[Bukti]],Table13[#Data],11,FALSE),"")</f>
        <v/>
      </c>
    </row>
    <row r="3130" spans="1:9" hidden="1" x14ac:dyDescent="0.2">
      <c r="A3130" s="105" t="str">
        <f>IF(D3130=1,COUNTIF($D$10:D3130,1)," ")</f>
        <v xml:space="preserve"> </v>
      </c>
      <c r="B3130" s="106">
        <f>COPY!AR3122</f>
        <v>0</v>
      </c>
      <c r="C3130" s="107">
        <f>COPY!AC3122</f>
        <v>0</v>
      </c>
      <c r="D3130" s="107" t="str">
        <f>IF(LEN(Table1722[[#This Row],[Uraian]])&gt;2,1," ")</f>
        <v xml:space="preserve"> </v>
      </c>
      <c r="E3130" s="113" t="str">
        <f>IF(Table1722[[#This Row],[Lawan Transaksi]]="CV AGUNG KARYA",COUNTIF($I$10:I3130,"CV AGUNG KARYA")," ")</f>
        <v xml:space="preserve"> </v>
      </c>
      <c r="F3130" s="107" t="str">
        <f>IF(LEN(Table1722[[#This Row],[Uraian]])&gt;2,TRIM(RIGHT(SUBSTITUTE(TRIM(C3130)," ",REPT(" ",255)),255))," ")</f>
        <v xml:space="preserve"> </v>
      </c>
      <c r="G3130" s="110">
        <f>COPY!Z3122</f>
        <v>0</v>
      </c>
      <c r="H3130" s="111" t="str">
        <f>IFERROR(VLOOKUP(Table1722[[#This Row],[Bukti]],'Un nOTA'!$A$4:$K$5003,10,FALSE),"")</f>
        <v/>
      </c>
      <c r="I3130" s="123" t="str">
        <f>IFERROR(VLOOKUP(Table1722[[#This Row],[Bukti]],Table13[#Data],11,FALSE),"")</f>
        <v/>
      </c>
    </row>
    <row r="3131" spans="1:9" hidden="1" x14ac:dyDescent="0.2">
      <c r="A3131" s="105" t="str">
        <f>IF(D3131=1,COUNTIF($D$10:D3131,1)," ")</f>
        <v xml:space="preserve"> </v>
      </c>
      <c r="B3131" s="106">
        <f>COPY!AR3123</f>
        <v>0</v>
      </c>
      <c r="C3131" s="107">
        <f>COPY!AC3123</f>
        <v>0</v>
      </c>
      <c r="D3131" s="107" t="str">
        <f>IF(LEN(Table1722[[#This Row],[Uraian]])&gt;2,1," ")</f>
        <v xml:space="preserve"> </v>
      </c>
      <c r="E3131" s="113" t="str">
        <f>IF(Table1722[[#This Row],[Lawan Transaksi]]="CV AGUNG KARYA",COUNTIF($I$10:I3131,"CV AGUNG KARYA")," ")</f>
        <v xml:space="preserve"> </v>
      </c>
      <c r="F3131" s="107" t="str">
        <f>IF(LEN(Table1722[[#This Row],[Uraian]])&gt;2,TRIM(RIGHT(SUBSTITUTE(TRIM(C3131)," ",REPT(" ",255)),255))," ")</f>
        <v xml:space="preserve"> </v>
      </c>
      <c r="G3131" s="110">
        <f>COPY!Z3123</f>
        <v>0</v>
      </c>
      <c r="H3131" s="111" t="str">
        <f>IFERROR(VLOOKUP(Table1722[[#This Row],[Bukti]],'Un nOTA'!$A$4:$K$5003,10,FALSE),"")</f>
        <v/>
      </c>
      <c r="I3131" s="123" t="str">
        <f>IFERROR(VLOOKUP(Table1722[[#This Row],[Bukti]],Table13[#Data],11,FALSE),"")</f>
        <v/>
      </c>
    </row>
    <row r="3132" spans="1:9" hidden="1" x14ac:dyDescent="0.2">
      <c r="A3132" s="105" t="str">
        <f>IF(D3132=1,COUNTIF($D$10:D3132,1)," ")</f>
        <v xml:space="preserve"> </v>
      </c>
      <c r="B3132" s="106">
        <f>COPY!AR3124</f>
        <v>0</v>
      </c>
      <c r="C3132" s="107">
        <f>COPY!AC3124</f>
        <v>0</v>
      </c>
      <c r="D3132" s="107" t="str">
        <f>IF(LEN(Table1722[[#This Row],[Uraian]])&gt;2,1," ")</f>
        <v xml:space="preserve"> </v>
      </c>
      <c r="E3132" s="113" t="str">
        <f>IF(Table1722[[#This Row],[Lawan Transaksi]]="CV AGUNG KARYA",COUNTIF($I$10:I3132,"CV AGUNG KARYA")," ")</f>
        <v xml:space="preserve"> </v>
      </c>
      <c r="F3132" s="107" t="str">
        <f>IF(LEN(Table1722[[#This Row],[Uraian]])&gt;2,TRIM(RIGHT(SUBSTITUTE(TRIM(C3132)," ",REPT(" ",255)),255))," ")</f>
        <v xml:space="preserve"> </v>
      </c>
      <c r="G3132" s="110">
        <f>COPY!Z3124</f>
        <v>0</v>
      </c>
      <c r="H3132" s="111" t="str">
        <f>IFERROR(VLOOKUP(Table1722[[#This Row],[Bukti]],'Un nOTA'!$A$4:$K$5003,10,FALSE),"")</f>
        <v/>
      </c>
      <c r="I3132" s="123" t="str">
        <f>IFERROR(VLOOKUP(Table1722[[#This Row],[Bukti]],Table13[#Data],11,FALSE),"")</f>
        <v/>
      </c>
    </row>
    <row r="3133" spans="1:9" hidden="1" x14ac:dyDescent="0.2">
      <c r="A3133" s="105" t="str">
        <f>IF(D3133=1,COUNTIF($D$10:D3133,1)," ")</f>
        <v xml:space="preserve"> </v>
      </c>
      <c r="B3133" s="106">
        <f>COPY!AR3125</f>
        <v>0</v>
      </c>
      <c r="C3133" s="107">
        <f>COPY!AC3125</f>
        <v>0</v>
      </c>
      <c r="D3133" s="107" t="str">
        <f>IF(LEN(Table1722[[#This Row],[Uraian]])&gt;2,1," ")</f>
        <v xml:space="preserve"> </v>
      </c>
      <c r="E3133" s="113" t="str">
        <f>IF(Table1722[[#This Row],[Lawan Transaksi]]="CV AGUNG KARYA",COUNTIF($I$10:I3133,"CV AGUNG KARYA")," ")</f>
        <v xml:space="preserve"> </v>
      </c>
      <c r="F3133" s="107" t="str">
        <f>IF(LEN(Table1722[[#This Row],[Uraian]])&gt;2,TRIM(RIGHT(SUBSTITUTE(TRIM(C3133)," ",REPT(" ",255)),255))," ")</f>
        <v xml:space="preserve"> </v>
      </c>
      <c r="G3133" s="110">
        <f>COPY!Z3125</f>
        <v>0</v>
      </c>
      <c r="H3133" s="111" t="str">
        <f>IFERROR(VLOOKUP(Table1722[[#This Row],[Bukti]],'Un nOTA'!$A$4:$K$5003,10,FALSE),"")</f>
        <v/>
      </c>
      <c r="I3133" s="123" t="str">
        <f>IFERROR(VLOOKUP(Table1722[[#This Row],[Bukti]],Table13[#Data],11,FALSE),"")</f>
        <v/>
      </c>
    </row>
    <row r="3134" spans="1:9" hidden="1" x14ac:dyDescent="0.2">
      <c r="A3134" s="105" t="str">
        <f>IF(D3134=1,COUNTIF($D$10:D3134,1)," ")</f>
        <v xml:space="preserve"> </v>
      </c>
      <c r="B3134" s="106">
        <f>COPY!AR3126</f>
        <v>0</v>
      </c>
      <c r="C3134" s="107">
        <f>COPY!AC3126</f>
        <v>0</v>
      </c>
      <c r="D3134" s="107" t="str">
        <f>IF(LEN(Table1722[[#This Row],[Uraian]])&gt;2,1," ")</f>
        <v xml:space="preserve"> </v>
      </c>
      <c r="E3134" s="113" t="str">
        <f>IF(Table1722[[#This Row],[Lawan Transaksi]]="CV AGUNG KARYA",COUNTIF($I$10:I3134,"CV AGUNG KARYA")," ")</f>
        <v xml:space="preserve"> </v>
      </c>
      <c r="F3134" s="107" t="str">
        <f>IF(LEN(Table1722[[#This Row],[Uraian]])&gt;2,TRIM(RIGHT(SUBSTITUTE(TRIM(C3134)," ",REPT(" ",255)),255))," ")</f>
        <v xml:space="preserve"> </v>
      </c>
      <c r="G3134" s="110">
        <f>COPY!Z3126</f>
        <v>0</v>
      </c>
      <c r="H3134" s="111" t="str">
        <f>IFERROR(VLOOKUP(Table1722[[#This Row],[Bukti]],'Un nOTA'!$A$4:$K$5003,10,FALSE),"")</f>
        <v/>
      </c>
      <c r="I3134" s="123" t="str">
        <f>IFERROR(VLOOKUP(Table1722[[#This Row],[Bukti]],Table13[#Data],11,FALSE),"")</f>
        <v/>
      </c>
    </row>
    <row r="3135" spans="1:9" hidden="1" x14ac:dyDescent="0.2">
      <c r="A3135" s="105" t="str">
        <f>IF(D3135=1,COUNTIF($D$10:D3135,1)," ")</f>
        <v xml:space="preserve"> </v>
      </c>
      <c r="B3135" s="106">
        <f>COPY!AR3127</f>
        <v>0</v>
      </c>
      <c r="C3135" s="107">
        <f>COPY!AC3127</f>
        <v>0</v>
      </c>
      <c r="D3135" s="107" t="str">
        <f>IF(LEN(Table1722[[#This Row],[Uraian]])&gt;2,1," ")</f>
        <v xml:space="preserve"> </v>
      </c>
      <c r="E3135" s="113" t="str">
        <f>IF(Table1722[[#This Row],[Lawan Transaksi]]="CV AGUNG KARYA",COUNTIF($I$10:I3135,"CV AGUNG KARYA")," ")</f>
        <v xml:space="preserve"> </v>
      </c>
      <c r="F3135" s="107" t="str">
        <f>IF(LEN(Table1722[[#This Row],[Uraian]])&gt;2,TRIM(RIGHT(SUBSTITUTE(TRIM(C3135)," ",REPT(" ",255)),255))," ")</f>
        <v xml:space="preserve"> </v>
      </c>
      <c r="G3135" s="110">
        <f>COPY!Z3127</f>
        <v>0</v>
      </c>
      <c r="H3135" s="111" t="str">
        <f>IFERROR(VLOOKUP(Table1722[[#This Row],[Bukti]],'Un nOTA'!$A$4:$K$5003,10,FALSE),"")</f>
        <v/>
      </c>
      <c r="I3135" s="123" t="str">
        <f>IFERROR(VLOOKUP(Table1722[[#This Row],[Bukti]],Table13[#Data],11,FALSE),"")</f>
        <v/>
      </c>
    </row>
    <row r="3136" spans="1:9" hidden="1" x14ac:dyDescent="0.2">
      <c r="A3136" s="105" t="str">
        <f>IF(D3136=1,COUNTIF($D$10:D3136,1)," ")</f>
        <v xml:space="preserve"> </v>
      </c>
      <c r="B3136" s="106">
        <f>COPY!AR3128</f>
        <v>0</v>
      </c>
      <c r="C3136" s="107">
        <f>COPY!AC3128</f>
        <v>0</v>
      </c>
      <c r="D3136" s="107" t="str">
        <f>IF(LEN(Table1722[[#This Row],[Uraian]])&gt;2,1," ")</f>
        <v xml:space="preserve"> </v>
      </c>
      <c r="E3136" s="113" t="str">
        <f>IF(Table1722[[#This Row],[Lawan Transaksi]]="CV AGUNG KARYA",COUNTIF($I$10:I3136,"CV AGUNG KARYA")," ")</f>
        <v xml:space="preserve"> </v>
      </c>
      <c r="F3136" s="107" t="str">
        <f>IF(LEN(Table1722[[#This Row],[Uraian]])&gt;2,TRIM(RIGHT(SUBSTITUTE(TRIM(C3136)," ",REPT(" ",255)),255))," ")</f>
        <v xml:space="preserve"> </v>
      </c>
      <c r="G3136" s="110">
        <f>COPY!Z3128</f>
        <v>0</v>
      </c>
      <c r="H3136" s="111" t="str">
        <f>IFERROR(VLOOKUP(Table1722[[#This Row],[Bukti]],'Un nOTA'!$A$4:$K$5003,10,FALSE),"")</f>
        <v/>
      </c>
      <c r="I3136" s="123" t="str">
        <f>IFERROR(VLOOKUP(Table1722[[#This Row],[Bukti]],Table13[#Data],11,FALSE),"")</f>
        <v/>
      </c>
    </row>
    <row r="3137" spans="1:9" hidden="1" x14ac:dyDescent="0.2">
      <c r="A3137" s="105" t="str">
        <f>IF(D3137=1,COUNTIF($D$10:D3137,1)," ")</f>
        <v xml:space="preserve"> </v>
      </c>
      <c r="B3137" s="106">
        <f>COPY!AR3129</f>
        <v>0</v>
      </c>
      <c r="C3137" s="107">
        <f>COPY!AC3129</f>
        <v>0</v>
      </c>
      <c r="D3137" s="107" t="str">
        <f>IF(LEN(Table1722[[#This Row],[Uraian]])&gt;2,1," ")</f>
        <v xml:space="preserve"> </v>
      </c>
      <c r="E3137" s="113" t="str">
        <f>IF(Table1722[[#This Row],[Lawan Transaksi]]="CV AGUNG KARYA",COUNTIF($I$10:I3137,"CV AGUNG KARYA")," ")</f>
        <v xml:space="preserve"> </v>
      </c>
      <c r="F3137" s="107" t="str">
        <f>IF(LEN(Table1722[[#This Row],[Uraian]])&gt;2,TRIM(RIGHT(SUBSTITUTE(TRIM(C3137)," ",REPT(" ",255)),255))," ")</f>
        <v xml:space="preserve"> </v>
      </c>
      <c r="G3137" s="110">
        <f>COPY!Z3129</f>
        <v>0</v>
      </c>
      <c r="H3137" s="111" t="str">
        <f>IFERROR(VLOOKUP(Table1722[[#This Row],[Bukti]],'Un nOTA'!$A$4:$K$5003,10,FALSE),"")</f>
        <v/>
      </c>
      <c r="I3137" s="123" t="str">
        <f>IFERROR(VLOOKUP(Table1722[[#This Row],[Bukti]],Table13[#Data],11,FALSE),"")</f>
        <v/>
      </c>
    </row>
    <row r="3138" spans="1:9" hidden="1" x14ac:dyDescent="0.2">
      <c r="A3138" s="105" t="str">
        <f>IF(D3138=1,COUNTIF($D$10:D3138,1)," ")</f>
        <v xml:space="preserve"> </v>
      </c>
      <c r="B3138" s="106">
        <f>COPY!AR3130</f>
        <v>0</v>
      </c>
      <c r="C3138" s="107">
        <f>COPY!AC3130</f>
        <v>0</v>
      </c>
      <c r="D3138" s="107" t="str">
        <f>IF(LEN(Table1722[[#This Row],[Uraian]])&gt;2,1," ")</f>
        <v xml:space="preserve"> </v>
      </c>
      <c r="E3138" s="113" t="str">
        <f>IF(Table1722[[#This Row],[Lawan Transaksi]]="CV AGUNG KARYA",COUNTIF($I$10:I3138,"CV AGUNG KARYA")," ")</f>
        <v xml:space="preserve"> </v>
      </c>
      <c r="F3138" s="107" t="str">
        <f>IF(LEN(Table1722[[#This Row],[Uraian]])&gt;2,TRIM(RIGHT(SUBSTITUTE(TRIM(C3138)," ",REPT(" ",255)),255))," ")</f>
        <v xml:space="preserve"> </v>
      </c>
      <c r="G3138" s="110">
        <f>COPY!Z3130</f>
        <v>0</v>
      </c>
      <c r="H3138" s="111" t="str">
        <f>IFERROR(VLOOKUP(Table1722[[#This Row],[Bukti]],'Un nOTA'!$A$4:$K$5003,10,FALSE),"")</f>
        <v/>
      </c>
      <c r="I3138" s="123" t="str">
        <f>IFERROR(VLOOKUP(Table1722[[#This Row],[Bukti]],Table13[#Data],11,FALSE),"")</f>
        <v/>
      </c>
    </row>
    <row r="3139" spans="1:9" hidden="1" x14ac:dyDescent="0.2">
      <c r="A3139" s="105" t="str">
        <f>IF(D3139=1,COUNTIF($D$10:D3139,1)," ")</f>
        <v xml:space="preserve"> </v>
      </c>
      <c r="B3139" s="106">
        <f>COPY!AR3131</f>
        <v>0</v>
      </c>
      <c r="C3139" s="107">
        <f>COPY!AC3131</f>
        <v>0</v>
      </c>
      <c r="D3139" s="107" t="str">
        <f>IF(LEN(Table1722[[#This Row],[Uraian]])&gt;2,1," ")</f>
        <v xml:space="preserve"> </v>
      </c>
      <c r="E3139" s="113" t="str">
        <f>IF(Table1722[[#This Row],[Lawan Transaksi]]="CV AGUNG KARYA",COUNTIF($I$10:I3139,"CV AGUNG KARYA")," ")</f>
        <v xml:space="preserve"> </v>
      </c>
      <c r="F3139" s="107" t="str">
        <f>IF(LEN(Table1722[[#This Row],[Uraian]])&gt;2,TRIM(RIGHT(SUBSTITUTE(TRIM(C3139)," ",REPT(" ",255)),255))," ")</f>
        <v xml:space="preserve"> </v>
      </c>
      <c r="G3139" s="110">
        <f>COPY!Z3131</f>
        <v>0</v>
      </c>
      <c r="H3139" s="111" t="str">
        <f>IFERROR(VLOOKUP(Table1722[[#This Row],[Bukti]],'Un nOTA'!$A$4:$K$5003,10,FALSE),"")</f>
        <v/>
      </c>
      <c r="I3139" s="123" t="str">
        <f>IFERROR(VLOOKUP(Table1722[[#This Row],[Bukti]],Table13[#Data],11,FALSE),"")</f>
        <v/>
      </c>
    </row>
    <row r="3140" spans="1:9" hidden="1" x14ac:dyDescent="0.2">
      <c r="A3140" s="105" t="str">
        <f>IF(D3140=1,COUNTIF($D$10:D3140,1)," ")</f>
        <v xml:space="preserve"> </v>
      </c>
      <c r="B3140" s="106">
        <f>COPY!AR3132</f>
        <v>0</v>
      </c>
      <c r="C3140" s="107">
        <f>COPY!AC3132</f>
        <v>0</v>
      </c>
      <c r="D3140" s="107" t="str">
        <f>IF(LEN(Table1722[[#This Row],[Uraian]])&gt;2,1," ")</f>
        <v xml:space="preserve"> </v>
      </c>
      <c r="E3140" s="113" t="str">
        <f>IF(Table1722[[#This Row],[Lawan Transaksi]]="CV AGUNG KARYA",COUNTIF($I$10:I3140,"CV AGUNG KARYA")," ")</f>
        <v xml:space="preserve"> </v>
      </c>
      <c r="F3140" s="107" t="str">
        <f>IF(LEN(Table1722[[#This Row],[Uraian]])&gt;2,TRIM(RIGHT(SUBSTITUTE(TRIM(C3140)," ",REPT(" ",255)),255))," ")</f>
        <v xml:space="preserve"> </v>
      </c>
      <c r="G3140" s="110">
        <f>COPY!Z3132</f>
        <v>0</v>
      </c>
      <c r="H3140" s="111" t="str">
        <f>IFERROR(VLOOKUP(Table1722[[#This Row],[Bukti]],'Un nOTA'!$A$4:$K$5003,10,FALSE),"")</f>
        <v/>
      </c>
      <c r="I3140" s="123" t="str">
        <f>IFERROR(VLOOKUP(Table1722[[#This Row],[Bukti]],Table13[#Data],11,FALSE),"")</f>
        <v/>
      </c>
    </row>
    <row r="3141" spans="1:9" hidden="1" x14ac:dyDescent="0.2">
      <c r="A3141" s="105" t="str">
        <f>IF(D3141=1,COUNTIF($D$10:D3141,1)," ")</f>
        <v xml:space="preserve"> </v>
      </c>
      <c r="B3141" s="106">
        <f>COPY!AR3133</f>
        <v>0</v>
      </c>
      <c r="C3141" s="107">
        <f>COPY!AC3133</f>
        <v>0</v>
      </c>
      <c r="D3141" s="107" t="str">
        <f>IF(LEN(Table1722[[#This Row],[Uraian]])&gt;2,1," ")</f>
        <v xml:space="preserve"> </v>
      </c>
      <c r="E3141" s="113" t="str">
        <f>IF(Table1722[[#This Row],[Lawan Transaksi]]="CV AGUNG KARYA",COUNTIF($I$10:I3141,"CV AGUNG KARYA")," ")</f>
        <v xml:space="preserve"> </v>
      </c>
      <c r="F3141" s="107" t="str">
        <f>IF(LEN(Table1722[[#This Row],[Uraian]])&gt;2,TRIM(RIGHT(SUBSTITUTE(TRIM(C3141)," ",REPT(" ",255)),255))," ")</f>
        <v xml:space="preserve"> </v>
      </c>
      <c r="G3141" s="110">
        <f>COPY!Z3133</f>
        <v>0</v>
      </c>
      <c r="H3141" s="111" t="str">
        <f>IFERROR(VLOOKUP(Table1722[[#This Row],[Bukti]],'Un nOTA'!$A$4:$K$5003,10,FALSE),"")</f>
        <v/>
      </c>
      <c r="I3141" s="123" t="str">
        <f>IFERROR(VLOOKUP(Table1722[[#This Row],[Bukti]],Table13[#Data],11,FALSE),"")</f>
        <v/>
      </c>
    </row>
    <row r="3142" spans="1:9" hidden="1" x14ac:dyDescent="0.2">
      <c r="A3142" s="105" t="str">
        <f>IF(D3142=1,COUNTIF($D$10:D3142,1)," ")</f>
        <v xml:space="preserve"> </v>
      </c>
      <c r="B3142" s="106">
        <f>COPY!AR3134</f>
        <v>0</v>
      </c>
      <c r="C3142" s="107">
        <f>COPY!AC3134</f>
        <v>0</v>
      </c>
      <c r="D3142" s="107" t="str">
        <f>IF(LEN(Table1722[[#This Row],[Uraian]])&gt;2,1," ")</f>
        <v xml:space="preserve"> </v>
      </c>
      <c r="E3142" s="113" t="str">
        <f>IF(Table1722[[#This Row],[Lawan Transaksi]]="CV AGUNG KARYA",COUNTIF($I$10:I3142,"CV AGUNG KARYA")," ")</f>
        <v xml:space="preserve"> </v>
      </c>
      <c r="F3142" s="107" t="str">
        <f>IF(LEN(Table1722[[#This Row],[Uraian]])&gt;2,TRIM(RIGHT(SUBSTITUTE(TRIM(C3142)," ",REPT(" ",255)),255))," ")</f>
        <v xml:space="preserve"> </v>
      </c>
      <c r="G3142" s="110">
        <f>COPY!Z3134</f>
        <v>0</v>
      </c>
      <c r="H3142" s="111" t="str">
        <f>IFERROR(VLOOKUP(Table1722[[#This Row],[Bukti]],'Un nOTA'!$A$4:$K$5003,10,FALSE),"")</f>
        <v/>
      </c>
      <c r="I3142" s="123" t="str">
        <f>IFERROR(VLOOKUP(Table1722[[#This Row],[Bukti]],Table13[#Data],11,FALSE),"")</f>
        <v/>
      </c>
    </row>
    <row r="3143" spans="1:9" hidden="1" x14ac:dyDescent="0.2">
      <c r="A3143" s="105" t="str">
        <f>IF(D3143=1,COUNTIF($D$10:D3143,1)," ")</f>
        <v xml:space="preserve"> </v>
      </c>
      <c r="B3143" s="106">
        <f>COPY!AR3135</f>
        <v>0</v>
      </c>
      <c r="C3143" s="107">
        <f>COPY!AC3135</f>
        <v>0</v>
      </c>
      <c r="D3143" s="107" t="str">
        <f>IF(LEN(Table1722[[#This Row],[Uraian]])&gt;2,1," ")</f>
        <v xml:space="preserve"> </v>
      </c>
      <c r="E3143" s="113" t="str">
        <f>IF(Table1722[[#This Row],[Lawan Transaksi]]="CV AGUNG KARYA",COUNTIF($I$10:I3143,"CV AGUNG KARYA")," ")</f>
        <v xml:space="preserve"> </v>
      </c>
      <c r="F3143" s="107" t="str">
        <f>IF(LEN(Table1722[[#This Row],[Uraian]])&gt;2,TRIM(RIGHT(SUBSTITUTE(TRIM(C3143)," ",REPT(" ",255)),255))," ")</f>
        <v xml:space="preserve"> </v>
      </c>
      <c r="G3143" s="110">
        <f>COPY!Z3135</f>
        <v>0</v>
      </c>
      <c r="H3143" s="111" t="str">
        <f>IFERROR(VLOOKUP(Table1722[[#This Row],[Bukti]],'Un nOTA'!$A$4:$K$5003,10,FALSE),"")</f>
        <v/>
      </c>
      <c r="I3143" s="123" t="str">
        <f>IFERROR(VLOOKUP(Table1722[[#This Row],[Bukti]],Table13[#Data],11,FALSE),"")</f>
        <v/>
      </c>
    </row>
    <row r="3144" spans="1:9" hidden="1" x14ac:dyDescent="0.2">
      <c r="A3144" s="105" t="str">
        <f>IF(D3144=1,COUNTIF($D$10:D3144,1)," ")</f>
        <v xml:space="preserve"> </v>
      </c>
      <c r="B3144" s="106">
        <f>COPY!AR3136</f>
        <v>0</v>
      </c>
      <c r="C3144" s="107">
        <f>COPY!AC3136</f>
        <v>0</v>
      </c>
      <c r="D3144" s="107" t="str">
        <f>IF(LEN(Table1722[[#This Row],[Uraian]])&gt;2,1," ")</f>
        <v xml:space="preserve"> </v>
      </c>
      <c r="E3144" s="113" t="str">
        <f>IF(Table1722[[#This Row],[Lawan Transaksi]]="CV AGUNG KARYA",COUNTIF($I$10:I3144,"CV AGUNG KARYA")," ")</f>
        <v xml:space="preserve"> </v>
      </c>
      <c r="F3144" s="107" t="str">
        <f>IF(LEN(Table1722[[#This Row],[Uraian]])&gt;2,TRIM(RIGHT(SUBSTITUTE(TRIM(C3144)," ",REPT(" ",255)),255))," ")</f>
        <v xml:space="preserve"> </v>
      </c>
      <c r="G3144" s="110">
        <f>COPY!Z3136</f>
        <v>0</v>
      </c>
      <c r="H3144" s="111" t="str">
        <f>IFERROR(VLOOKUP(Table1722[[#This Row],[Bukti]],'Un nOTA'!$A$4:$K$5003,10,FALSE),"")</f>
        <v/>
      </c>
      <c r="I3144" s="123" t="str">
        <f>IFERROR(VLOOKUP(Table1722[[#This Row],[Bukti]],Table13[#Data],11,FALSE),"")</f>
        <v/>
      </c>
    </row>
    <row r="3145" spans="1:9" hidden="1" x14ac:dyDescent="0.2">
      <c r="A3145" s="105" t="str">
        <f>IF(D3145=1,COUNTIF($D$10:D3145,1)," ")</f>
        <v xml:space="preserve"> </v>
      </c>
      <c r="B3145" s="106">
        <f>COPY!AR3137</f>
        <v>0</v>
      </c>
      <c r="C3145" s="107">
        <f>COPY!AC3137</f>
        <v>0</v>
      </c>
      <c r="D3145" s="107" t="str">
        <f>IF(LEN(Table1722[[#This Row],[Uraian]])&gt;2,1," ")</f>
        <v xml:space="preserve"> </v>
      </c>
      <c r="E3145" s="113" t="str">
        <f>IF(Table1722[[#This Row],[Lawan Transaksi]]="CV AGUNG KARYA",COUNTIF($I$10:I3145,"CV AGUNG KARYA")," ")</f>
        <v xml:space="preserve"> </v>
      </c>
      <c r="F3145" s="107" t="str">
        <f>IF(LEN(Table1722[[#This Row],[Uraian]])&gt;2,TRIM(RIGHT(SUBSTITUTE(TRIM(C3145)," ",REPT(" ",255)),255))," ")</f>
        <v xml:space="preserve"> </v>
      </c>
      <c r="G3145" s="110">
        <f>COPY!Z3137</f>
        <v>0</v>
      </c>
      <c r="H3145" s="111" t="str">
        <f>IFERROR(VLOOKUP(Table1722[[#This Row],[Bukti]],'Un nOTA'!$A$4:$K$5003,10,FALSE),"")</f>
        <v/>
      </c>
      <c r="I3145" s="123" t="str">
        <f>IFERROR(VLOOKUP(Table1722[[#This Row],[Bukti]],Table13[#Data],11,FALSE),"")</f>
        <v/>
      </c>
    </row>
    <row r="3146" spans="1:9" hidden="1" x14ac:dyDescent="0.2">
      <c r="A3146" s="105" t="str">
        <f>IF(D3146=1,COUNTIF($D$10:D3146,1)," ")</f>
        <v xml:space="preserve"> </v>
      </c>
      <c r="B3146" s="106">
        <f>COPY!AR3138</f>
        <v>0</v>
      </c>
      <c r="C3146" s="107">
        <f>COPY!AC3138</f>
        <v>0</v>
      </c>
      <c r="D3146" s="107" t="str">
        <f>IF(LEN(Table1722[[#This Row],[Uraian]])&gt;2,1," ")</f>
        <v xml:space="preserve"> </v>
      </c>
      <c r="E3146" s="113" t="str">
        <f>IF(Table1722[[#This Row],[Lawan Transaksi]]="CV AGUNG KARYA",COUNTIF($I$10:I3146,"CV AGUNG KARYA")," ")</f>
        <v xml:space="preserve"> </v>
      </c>
      <c r="F3146" s="107" t="str">
        <f>IF(LEN(Table1722[[#This Row],[Uraian]])&gt;2,TRIM(RIGHT(SUBSTITUTE(TRIM(C3146)," ",REPT(" ",255)),255))," ")</f>
        <v xml:space="preserve"> </v>
      </c>
      <c r="G3146" s="110">
        <f>COPY!Z3138</f>
        <v>0</v>
      </c>
      <c r="H3146" s="111" t="str">
        <f>IFERROR(VLOOKUP(Table1722[[#This Row],[Bukti]],'Un nOTA'!$A$4:$K$5003,10,FALSE),"")</f>
        <v/>
      </c>
      <c r="I3146" s="123" t="str">
        <f>IFERROR(VLOOKUP(Table1722[[#This Row],[Bukti]],Table13[#Data],11,FALSE),"")</f>
        <v/>
      </c>
    </row>
    <row r="3147" spans="1:9" hidden="1" x14ac:dyDescent="0.2">
      <c r="A3147" s="105" t="str">
        <f>IF(D3147=1,COUNTIF($D$10:D3147,1)," ")</f>
        <v xml:space="preserve"> </v>
      </c>
      <c r="B3147" s="106">
        <f>COPY!AR3139</f>
        <v>0</v>
      </c>
      <c r="C3147" s="107">
        <f>COPY!AC3139</f>
        <v>0</v>
      </c>
      <c r="D3147" s="107" t="str">
        <f>IF(LEN(Table1722[[#This Row],[Uraian]])&gt;2,1," ")</f>
        <v xml:space="preserve"> </v>
      </c>
      <c r="E3147" s="113" t="str">
        <f>IF(Table1722[[#This Row],[Lawan Transaksi]]="CV AGUNG KARYA",COUNTIF($I$10:I3147,"CV AGUNG KARYA")," ")</f>
        <v xml:space="preserve"> </v>
      </c>
      <c r="F3147" s="107" t="str">
        <f>IF(LEN(Table1722[[#This Row],[Uraian]])&gt;2,TRIM(RIGHT(SUBSTITUTE(TRIM(C3147)," ",REPT(" ",255)),255))," ")</f>
        <v xml:space="preserve"> </v>
      </c>
      <c r="G3147" s="110">
        <f>COPY!Z3139</f>
        <v>0</v>
      </c>
      <c r="H3147" s="111" t="str">
        <f>IFERROR(VLOOKUP(Table1722[[#This Row],[Bukti]],'Un nOTA'!$A$4:$K$5003,10,FALSE),"")</f>
        <v/>
      </c>
      <c r="I3147" s="123" t="str">
        <f>IFERROR(VLOOKUP(Table1722[[#This Row],[Bukti]],Table13[#Data],11,FALSE),"")</f>
        <v/>
      </c>
    </row>
    <row r="3148" spans="1:9" hidden="1" x14ac:dyDescent="0.2">
      <c r="A3148" s="105" t="str">
        <f>IF(D3148=1,COUNTIF($D$10:D3148,1)," ")</f>
        <v xml:space="preserve"> </v>
      </c>
      <c r="B3148" s="106">
        <f>COPY!AR3140</f>
        <v>0</v>
      </c>
      <c r="C3148" s="107">
        <f>COPY!AC3140</f>
        <v>0</v>
      </c>
      <c r="D3148" s="107" t="str">
        <f>IF(LEN(Table1722[[#This Row],[Uraian]])&gt;2,1," ")</f>
        <v xml:space="preserve"> </v>
      </c>
      <c r="E3148" s="113" t="str">
        <f>IF(Table1722[[#This Row],[Lawan Transaksi]]="CV AGUNG KARYA",COUNTIF($I$10:I3148,"CV AGUNG KARYA")," ")</f>
        <v xml:space="preserve"> </v>
      </c>
      <c r="F3148" s="107" t="str">
        <f>IF(LEN(Table1722[[#This Row],[Uraian]])&gt;2,TRIM(RIGHT(SUBSTITUTE(TRIM(C3148)," ",REPT(" ",255)),255))," ")</f>
        <v xml:space="preserve"> </v>
      </c>
      <c r="G3148" s="110">
        <f>COPY!Z3140</f>
        <v>0</v>
      </c>
      <c r="H3148" s="111" t="str">
        <f>IFERROR(VLOOKUP(Table1722[[#This Row],[Bukti]],'Un nOTA'!$A$4:$K$5003,10,FALSE),"")</f>
        <v/>
      </c>
      <c r="I3148" s="123" t="str">
        <f>IFERROR(VLOOKUP(Table1722[[#This Row],[Bukti]],Table13[#Data],11,FALSE),"")</f>
        <v/>
      </c>
    </row>
    <row r="3149" spans="1:9" hidden="1" x14ac:dyDescent="0.2">
      <c r="A3149" s="105" t="str">
        <f>IF(D3149=1,COUNTIF($D$10:D3149,1)," ")</f>
        <v xml:space="preserve"> </v>
      </c>
      <c r="B3149" s="106">
        <f>COPY!AR3141</f>
        <v>0</v>
      </c>
      <c r="C3149" s="107">
        <f>COPY!AC3141</f>
        <v>0</v>
      </c>
      <c r="D3149" s="107" t="str">
        <f>IF(LEN(Table1722[[#This Row],[Uraian]])&gt;2,1," ")</f>
        <v xml:space="preserve"> </v>
      </c>
      <c r="E3149" s="113" t="str">
        <f>IF(Table1722[[#This Row],[Lawan Transaksi]]="CV AGUNG KARYA",COUNTIF($I$10:I3149,"CV AGUNG KARYA")," ")</f>
        <v xml:space="preserve"> </v>
      </c>
      <c r="F3149" s="107" t="str">
        <f>IF(LEN(Table1722[[#This Row],[Uraian]])&gt;2,TRIM(RIGHT(SUBSTITUTE(TRIM(C3149)," ",REPT(" ",255)),255))," ")</f>
        <v xml:space="preserve"> </v>
      </c>
      <c r="G3149" s="110">
        <f>COPY!Z3141</f>
        <v>0</v>
      </c>
      <c r="H3149" s="111" t="str">
        <f>IFERROR(VLOOKUP(Table1722[[#This Row],[Bukti]],'Un nOTA'!$A$4:$K$5003,10,FALSE),"")</f>
        <v/>
      </c>
      <c r="I3149" s="123" t="str">
        <f>IFERROR(VLOOKUP(Table1722[[#This Row],[Bukti]],Table13[#Data],11,FALSE),"")</f>
        <v/>
      </c>
    </row>
    <row r="3150" spans="1:9" hidden="1" x14ac:dyDescent="0.2">
      <c r="A3150" s="105" t="str">
        <f>IF(D3150=1,COUNTIF($D$10:D3150,1)," ")</f>
        <v xml:space="preserve"> </v>
      </c>
      <c r="B3150" s="106">
        <f>COPY!AR3142</f>
        <v>0</v>
      </c>
      <c r="C3150" s="107">
        <f>COPY!AC3142</f>
        <v>0</v>
      </c>
      <c r="D3150" s="107" t="str">
        <f>IF(LEN(Table1722[[#This Row],[Uraian]])&gt;2,1," ")</f>
        <v xml:space="preserve"> </v>
      </c>
      <c r="E3150" s="113" t="str">
        <f>IF(Table1722[[#This Row],[Lawan Transaksi]]="CV AGUNG KARYA",COUNTIF($I$10:I3150,"CV AGUNG KARYA")," ")</f>
        <v xml:space="preserve"> </v>
      </c>
      <c r="F3150" s="107" t="str">
        <f>IF(LEN(Table1722[[#This Row],[Uraian]])&gt;2,TRIM(RIGHT(SUBSTITUTE(TRIM(C3150)," ",REPT(" ",255)),255))," ")</f>
        <v xml:space="preserve"> </v>
      </c>
      <c r="G3150" s="110">
        <f>COPY!Z3142</f>
        <v>0</v>
      </c>
      <c r="H3150" s="111" t="str">
        <f>IFERROR(VLOOKUP(Table1722[[#This Row],[Bukti]],'Un nOTA'!$A$4:$K$5003,10,FALSE),"")</f>
        <v/>
      </c>
      <c r="I3150" s="123" t="str">
        <f>IFERROR(VLOOKUP(Table1722[[#This Row],[Bukti]],Table13[#Data],11,FALSE),"")</f>
        <v/>
      </c>
    </row>
    <row r="3151" spans="1:9" hidden="1" x14ac:dyDescent="0.2">
      <c r="A3151" s="105" t="str">
        <f>IF(D3151=1,COUNTIF($D$10:D3151,1)," ")</f>
        <v xml:space="preserve"> </v>
      </c>
      <c r="B3151" s="106">
        <f>COPY!AR3143</f>
        <v>0</v>
      </c>
      <c r="C3151" s="107">
        <f>COPY!AC3143</f>
        <v>0</v>
      </c>
      <c r="D3151" s="107" t="str">
        <f>IF(LEN(Table1722[[#This Row],[Uraian]])&gt;2,1," ")</f>
        <v xml:space="preserve"> </v>
      </c>
      <c r="E3151" s="113" t="str">
        <f>IF(Table1722[[#This Row],[Lawan Transaksi]]="CV AGUNG KARYA",COUNTIF($I$10:I3151,"CV AGUNG KARYA")," ")</f>
        <v xml:space="preserve"> </v>
      </c>
      <c r="F3151" s="107" t="str">
        <f>IF(LEN(Table1722[[#This Row],[Uraian]])&gt;2,TRIM(RIGHT(SUBSTITUTE(TRIM(C3151)," ",REPT(" ",255)),255))," ")</f>
        <v xml:space="preserve"> </v>
      </c>
      <c r="G3151" s="110">
        <f>COPY!Z3143</f>
        <v>0</v>
      </c>
      <c r="H3151" s="111" t="str">
        <f>IFERROR(VLOOKUP(Table1722[[#This Row],[Bukti]],'Un nOTA'!$A$4:$K$5003,10,FALSE),"")</f>
        <v/>
      </c>
      <c r="I3151" s="123" t="str">
        <f>IFERROR(VLOOKUP(Table1722[[#This Row],[Bukti]],Table13[#Data],11,FALSE),"")</f>
        <v/>
      </c>
    </row>
    <row r="3152" spans="1:9" hidden="1" x14ac:dyDescent="0.2">
      <c r="A3152" s="105" t="str">
        <f>IF(D3152=1,COUNTIF($D$10:D3152,1)," ")</f>
        <v xml:space="preserve"> </v>
      </c>
      <c r="B3152" s="106">
        <f>COPY!AR3144</f>
        <v>0</v>
      </c>
      <c r="C3152" s="107">
        <f>COPY!AC3144</f>
        <v>0</v>
      </c>
      <c r="D3152" s="107" t="str">
        <f>IF(LEN(Table1722[[#This Row],[Uraian]])&gt;2,1," ")</f>
        <v xml:space="preserve"> </v>
      </c>
      <c r="E3152" s="113" t="str">
        <f>IF(Table1722[[#This Row],[Lawan Transaksi]]="CV AGUNG KARYA",COUNTIF($I$10:I3152,"CV AGUNG KARYA")," ")</f>
        <v xml:space="preserve"> </v>
      </c>
      <c r="F3152" s="107" t="str">
        <f>IF(LEN(Table1722[[#This Row],[Uraian]])&gt;2,TRIM(RIGHT(SUBSTITUTE(TRIM(C3152)," ",REPT(" ",255)),255))," ")</f>
        <v xml:space="preserve"> </v>
      </c>
      <c r="G3152" s="110">
        <f>COPY!Z3144</f>
        <v>0</v>
      </c>
      <c r="H3152" s="111" t="str">
        <f>IFERROR(VLOOKUP(Table1722[[#This Row],[Bukti]],'Un nOTA'!$A$4:$K$5003,10,FALSE),"")</f>
        <v/>
      </c>
      <c r="I3152" s="123" t="str">
        <f>IFERROR(VLOOKUP(Table1722[[#This Row],[Bukti]],Table13[#Data],11,FALSE),"")</f>
        <v/>
      </c>
    </row>
    <row r="3153" spans="1:9" hidden="1" x14ac:dyDescent="0.2">
      <c r="A3153" s="105" t="str">
        <f>IF(D3153=1,COUNTIF($D$10:D3153,1)," ")</f>
        <v xml:space="preserve"> </v>
      </c>
      <c r="B3153" s="106">
        <f>COPY!AR3145</f>
        <v>0</v>
      </c>
      <c r="C3153" s="107">
        <f>COPY!AC3145</f>
        <v>0</v>
      </c>
      <c r="D3153" s="107" t="str">
        <f>IF(LEN(Table1722[[#This Row],[Uraian]])&gt;2,1," ")</f>
        <v xml:space="preserve"> </v>
      </c>
      <c r="E3153" s="113" t="str">
        <f>IF(Table1722[[#This Row],[Lawan Transaksi]]="CV AGUNG KARYA",COUNTIF($I$10:I3153,"CV AGUNG KARYA")," ")</f>
        <v xml:space="preserve"> </v>
      </c>
      <c r="F3153" s="107" t="str">
        <f>IF(LEN(Table1722[[#This Row],[Uraian]])&gt;2,TRIM(RIGHT(SUBSTITUTE(TRIM(C3153)," ",REPT(" ",255)),255))," ")</f>
        <v xml:space="preserve"> </v>
      </c>
      <c r="G3153" s="110">
        <f>COPY!Z3145</f>
        <v>0</v>
      </c>
      <c r="H3153" s="111" t="str">
        <f>IFERROR(VLOOKUP(Table1722[[#This Row],[Bukti]],'Un nOTA'!$A$4:$K$5003,10,FALSE),"")</f>
        <v/>
      </c>
      <c r="I3153" s="123" t="str">
        <f>IFERROR(VLOOKUP(Table1722[[#This Row],[Bukti]],Table13[#Data],11,FALSE),"")</f>
        <v/>
      </c>
    </row>
    <row r="3154" spans="1:9" hidden="1" x14ac:dyDescent="0.2">
      <c r="A3154" s="105" t="str">
        <f>IF(D3154=1,COUNTIF($D$10:D3154,1)," ")</f>
        <v xml:space="preserve"> </v>
      </c>
      <c r="B3154" s="106">
        <f>COPY!AR3146</f>
        <v>0</v>
      </c>
      <c r="C3154" s="107">
        <f>COPY!AC3146</f>
        <v>0</v>
      </c>
      <c r="D3154" s="107" t="str">
        <f>IF(LEN(Table1722[[#This Row],[Uraian]])&gt;2,1," ")</f>
        <v xml:space="preserve"> </v>
      </c>
      <c r="E3154" s="113" t="str">
        <f>IF(Table1722[[#This Row],[Lawan Transaksi]]="CV AGUNG KARYA",COUNTIF($I$10:I3154,"CV AGUNG KARYA")," ")</f>
        <v xml:space="preserve"> </v>
      </c>
      <c r="F3154" s="107" t="str">
        <f>IF(LEN(Table1722[[#This Row],[Uraian]])&gt;2,TRIM(RIGHT(SUBSTITUTE(TRIM(C3154)," ",REPT(" ",255)),255))," ")</f>
        <v xml:space="preserve"> </v>
      </c>
      <c r="G3154" s="110">
        <f>COPY!Z3146</f>
        <v>0</v>
      </c>
      <c r="H3154" s="111" t="str">
        <f>IFERROR(VLOOKUP(Table1722[[#This Row],[Bukti]],'Un nOTA'!$A$4:$K$5003,10,FALSE),"")</f>
        <v/>
      </c>
      <c r="I3154" s="123" t="str">
        <f>IFERROR(VLOOKUP(Table1722[[#This Row],[Bukti]],Table13[#Data],11,FALSE),"")</f>
        <v/>
      </c>
    </row>
    <row r="3155" spans="1:9" hidden="1" x14ac:dyDescent="0.2">
      <c r="A3155" s="105" t="str">
        <f>IF(D3155=1,COUNTIF($D$10:D3155,1)," ")</f>
        <v xml:space="preserve"> </v>
      </c>
      <c r="B3155" s="106">
        <f>COPY!AR3147</f>
        <v>0</v>
      </c>
      <c r="C3155" s="107">
        <f>COPY!AC3147</f>
        <v>0</v>
      </c>
      <c r="D3155" s="107" t="str">
        <f>IF(LEN(Table1722[[#This Row],[Uraian]])&gt;2,1," ")</f>
        <v xml:space="preserve"> </v>
      </c>
      <c r="E3155" s="113" t="str">
        <f>IF(Table1722[[#This Row],[Lawan Transaksi]]="CV AGUNG KARYA",COUNTIF($I$10:I3155,"CV AGUNG KARYA")," ")</f>
        <v xml:space="preserve"> </v>
      </c>
      <c r="F3155" s="107" t="str">
        <f>IF(LEN(Table1722[[#This Row],[Uraian]])&gt;2,TRIM(RIGHT(SUBSTITUTE(TRIM(C3155)," ",REPT(" ",255)),255))," ")</f>
        <v xml:space="preserve"> </v>
      </c>
      <c r="G3155" s="110">
        <f>COPY!Z3147</f>
        <v>0</v>
      </c>
      <c r="H3155" s="111" t="str">
        <f>IFERROR(VLOOKUP(Table1722[[#This Row],[Bukti]],'Un nOTA'!$A$4:$K$5003,10,FALSE),"")</f>
        <v/>
      </c>
      <c r="I3155" s="123" t="str">
        <f>IFERROR(VLOOKUP(Table1722[[#This Row],[Bukti]],Table13[#Data],11,FALSE),"")</f>
        <v/>
      </c>
    </row>
    <row r="3156" spans="1:9" hidden="1" x14ac:dyDescent="0.2">
      <c r="A3156" s="105" t="str">
        <f>IF(D3156=1,COUNTIF($D$10:D3156,1)," ")</f>
        <v xml:space="preserve"> </v>
      </c>
      <c r="B3156" s="106">
        <f>COPY!AR3148</f>
        <v>0</v>
      </c>
      <c r="C3156" s="107">
        <f>COPY!AC3148</f>
        <v>0</v>
      </c>
      <c r="D3156" s="107" t="str">
        <f>IF(LEN(Table1722[[#This Row],[Uraian]])&gt;2,1," ")</f>
        <v xml:space="preserve"> </v>
      </c>
      <c r="E3156" s="113" t="str">
        <f>IF(Table1722[[#This Row],[Lawan Transaksi]]="CV AGUNG KARYA",COUNTIF($I$10:I3156,"CV AGUNG KARYA")," ")</f>
        <v xml:space="preserve"> </v>
      </c>
      <c r="F3156" s="107" t="str">
        <f>IF(LEN(Table1722[[#This Row],[Uraian]])&gt;2,TRIM(RIGHT(SUBSTITUTE(TRIM(C3156)," ",REPT(" ",255)),255))," ")</f>
        <v xml:space="preserve"> </v>
      </c>
      <c r="G3156" s="110">
        <f>COPY!Z3148</f>
        <v>0</v>
      </c>
      <c r="H3156" s="111" t="str">
        <f>IFERROR(VLOOKUP(Table1722[[#This Row],[Bukti]],'Un nOTA'!$A$4:$K$5003,10,FALSE),"")</f>
        <v/>
      </c>
      <c r="I3156" s="123" t="str">
        <f>IFERROR(VLOOKUP(Table1722[[#This Row],[Bukti]],Table13[#Data],11,FALSE),"")</f>
        <v/>
      </c>
    </row>
    <row r="3157" spans="1:9" hidden="1" x14ac:dyDescent="0.2">
      <c r="A3157" s="105" t="str">
        <f>IF(D3157=1,COUNTIF($D$10:D3157,1)," ")</f>
        <v xml:space="preserve"> </v>
      </c>
      <c r="B3157" s="106">
        <f>COPY!AR3149</f>
        <v>0</v>
      </c>
      <c r="C3157" s="107">
        <f>COPY!AC3149</f>
        <v>0</v>
      </c>
      <c r="D3157" s="107" t="str">
        <f>IF(LEN(Table1722[[#This Row],[Uraian]])&gt;2,1," ")</f>
        <v xml:space="preserve"> </v>
      </c>
      <c r="E3157" s="113" t="str">
        <f>IF(Table1722[[#This Row],[Lawan Transaksi]]="CV AGUNG KARYA",COUNTIF($I$10:I3157,"CV AGUNG KARYA")," ")</f>
        <v xml:space="preserve"> </v>
      </c>
      <c r="F3157" s="107" t="str">
        <f>IF(LEN(Table1722[[#This Row],[Uraian]])&gt;2,TRIM(RIGHT(SUBSTITUTE(TRIM(C3157)," ",REPT(" ",255)),255))," ")</f>
        <v xml:space="preserve"> </v>
      </c>
      <c r="G3157" s="110">
        <f>COPY!Z3149</f>
        <v>0</v>
      </c>
      <c r="H3157" s="111" t="str">
        <f>IFERROR(VLOOKUP(Table1722[[#This Row],[Bukti]],'Un nOTA'!$A$4:$K$5003,10,FALSE),"")</f>
        <v/>
      </c>
      <c r="I3157" s="123" t="str">
        <f>IFERROR(VLOOKUP(Table1722[[#This Row],[Bukti]],Table13[#Data],11,FALSE),"")</f>
        <v/>
      </c>
    </row>
    <row r="3158" spans="1:9" hidden="1" x14ac:dyDescent="0.2">
      <c r="A3158" s="105" t="str">
        <f>IF(D3158=1,COUNTIF($D$10:D3158,1)," ")</f>
        <v xml:space="preserve"> </v>
      </c>
      <c r="B3158" s="106">
        <f>COPY!AR3150</f>
        <v>0</v>
      </c>
      <c r="C3158" s="107">
        <f>COPY!AC3150</f>
        <v>0</v>
      </c>
      <c r="D3158" s="107" t="str">
        <f>IF(LEN(Table1722[[#This Row],[Uraian]])&gt;2,1," ")</f>
        <v xml:space="preserve"> </v>
      </c>
      <c r="E3158" s="113" t="str">
        <f>IF(Table1722[[#This Row],[Lawan Transaksi]]="CV AGUNG KARYA",COUNTIF($I$10:I3158,"CV AGUNG KARYA")," ")</f>
        <v xml:space="preserve"> </v>
      </c>
      <c r="F3158" s="107" t="str">
        <f>IF(LEN(Table1722[[#This Row],[Uraian]])&gt;2,TRIM(RIGHT(SUBSTITUTE(TRIM(C3158)," ",REPT(" ",255)),255))," ")</f>
        <v xml:space="preserve"> </v>
      </c>
      <c r="G3158" s="110">
        <f>COPY!Z3150</f>
        <v>0</v>
      </c>
      <c r="H3158" s="111" t="str">
        <f>IFERROR(VLOOKUP(Table1722[[#This Row],[Bukti]],'Un nOTA'!$A$4:$K$5003,10,FALSE),"")</f>
        <v/>
      </c>
      <c r="I3158" s="123" t="str">
        <f>IFERROR(VLOOKUP(Table1722[[#This Row],[Bukti]],Table13[#Data],11,FALSE),"")</f>
        <v/>
      </c>
    </row>
    <row r="3159" spans="1:9" hidden="1" x14ac:dyDescent="0.2">
      <c r="A3159" s="105" t="str">
        <f>IF(D3159=1,COUNTIF($D$10:D3159,1)," ")</f>
        <v xml:space="preserve"> </v>
      </c>
      <c r="B3159" s="106">
        <f>COPY!AR3151</f>
        <v>0</v>
      </c>
      <c r="C3159" s="107">
        <f>COPY!AC3151</f>
        <v>0</v>
      </c>
      <c r="D3159" s="107" t="str">
        <f>IF(LEN(Table1722[[#This Row],[Uraian]])&gt;2,1," ")</f>
        <v xml:space="preserve"> </v>
      </c>
      <c r="E3159" s="113" t="str">
        <f>IF(Table1722[[#This Row],[Lawan Transaksi]]="CV AGUNG KARYA",COUNTIF($I$10:I3159,"CV AGUNG KARYA")," ")</f>
        <v xml:space="preserve"> </v>
      </c>
      <c r="F3159" s="107" t="str">
        <f>IF(LEN(Table1722[[#This Row],[Uraian]])&gt;2,TRIM(RIGHT(SUBSTITUTE(TRIM(C3159)," ",REPT(" ",255)),255))," ")</f>
        <v xml:space="preserve"> </v>
      </c>
      <c r="G3159" s="110">
        <f>COPY!Z3151</f>
        <v>0</v>
      </c>
      <c r="H3159" s="111" t="str">
        <f>IFERROR(VLOOKUP(Table1722[[#This Row],[Bukti]],'Un nOTA'!$A$4:$K$5003,10,FALSE),"")</f>
        <v/>
      </c>
      <c r="I3159" s="123" t="str">
        <f>IFERROR(VLOOKUP(Table1722[[#This Row],[Bukti]],Table13[#Data],11,FALSE),"")</f>
        <v/>
      </c>
    </row>
    <row r="3160" spans="1:9" hidden="1" x14ac:dyDescent="0.2">
      <c r="A3160" s="105" t="str">
        <f>IF(D3160=1,COUNTIF($D$10:D3160,1)," ")</f>
        <v xml:space="preserve"> </v>
      </c>
      <c r="B3160" s="106">
        <f>COPY!AR3152</f>
        <v>0</v>
      </c>
      <c r="C3160" s="107">
        <f>COPY!AC3152</f>
        <v>0</v>
      </c>
      <c r="D3160" s="107" t="str">
        <f>IF(LEN(Table1722[[#This Row],[Uraian]])&gt;2,1," ")</f>
        <v xml:space="preserve"> </v>
      </c>
      <c r="E3160" s="113" t="str">
        <f>IF(Table1722[[#This Row],[Lawan Transaksi]]="CV AGUNG KARYA",COUNTIF($I$10:I3160,"CV AGUNG KARYA")," ")</f>
        <v xml:space="preserve"> </v>
      </c>
      <c r="F3160" s="107" t="str">
        <f>IF(LEN(Table1722[[#This Row],[Uraian]])&gt;2,TRIM(RIGHT(SUBSTITUTE(TRIM(C3160)," ",REPT(" ",255)),255))," ")</f>
        <v xml:space="preserve"> </v>
      </c>
      <c r="G3160" s="110">
        <f>COPY!Z3152</f>
        <v>0</v>
      </c>
      <c r="H3160" s="111" t="str">
        <f>IFERROR(VLOOKUP(Table1722[[#This Row],[Bukti]],'Un nOTA'!$A$4:$K$5003,10,FALSE),"")</f>
        <v/>
      </c>
      <c r="I3160" s="123" t="str">
        <f>IFERROR(VLOOKUP(Table1722[[#This Row],[Bukti]],Table13[#Data],11,FALSE),"")</f>
        <v/>
      </c>
    </row>
    <row r="3161" spans="1:9" hidden="1" x14ac:dyDescent="0.2">
      <c r="A3161" s="105" t="str">
        <f>IF(D3161=1,COUNTIF($D$10:D3161,1)," ")</f>
        <v xml:space="preserve"> </v>
      </c>
      <c r="B3161" s="106">
        <f>COPY!AR3153</f>
        <v>0</v>
      </c>
      <c r="C3161" s="107">
        <f>COPY!AC3153</f>
        <v>0</v>
      </c>
      <c r="D3161" s="107" t="str">
        <f>IF(LEN(Table1722[[#This Row],[Uraian]])&gt;2,1," ")</f>
        <v xml:space="preserve"> </v>
      </c>
      <c r="E3161" s="113" t="str">
        <f>IF(Table1722[[#This Row],[Lawan Transaksi]]="CV AGUNG KARYA",COUNTIF($I$10:I3161,"CV AGUNG KARYA")," ")</f>
        <v xml:space="preserve"> </v>
      </c>
      <c r="F3161" s="107" t="str">
        <f>IF(LEN(Table1722[[#This Row],[Uraian]])&gt;2,TRIM(RIGHT(SUBSTITUTE(TRIM(C3161)," ",REPT(" ",255)),255))," ")</f>
        <v xml:space="preserve"> </v>
      </c>
      <c r="G3161" s="110">
        <f>COPY!Z3153</f>
        <v>0</v>
      </c>
      <c r="H3161" s="111" t="str">
        <f>IFERROR(VLOOKUP(Table1722[[#This Row],[Bukti]],'Un nOTA'!$A$4:$K$5003,10,FALSE),"")</f>
        <v/>
      </c>
      <c r="I3161" s="123" t="str">
        <f>IFERROR(VLOOKUP(Table1722[[#This Row],[Bukti]],Table13[#Data],11,FALSE),"")</f>
        <v/>
      </c>
    </row>
    <row r="3162" spans="1:9" hidden="1" x14ac:dyDescent="0.2">
      <c r="A3162" s="105" t="str">
        <f>IF(D3162=1,COUNTIF($D$10:D3162,1)," ")</f>
        <v xml:space="preserve"> </v>
      </c>
      <c r="B3162" s="106">
        <f>COPY!AR3154</f>
        <v>0</v>
      </c>
      <c r="C3162" s="107">
        <f>COPY!AC3154</f>
        <v>0</v>
      </c>
      <c r="D3162" s="107" t="str">
        <f>IF(LEN(Table1722[[#This Row],[Uraian]])&gt;2,1," ")</f>
        <v xml:space="preserve"> </v>
      </c>
      <c r="E3162" s="113" t="str">
        <f>IF(Table1722[[#This Row],[Lawan Transaksi]]="CV AGUNG KARYA",COUNTIF($I$10:I3162,"CV AGUNG KARYA")," ")</f>
        <v xml:space="preserve"> </v>
      </c>
      <c r="F3162" s="107" t="str">
        <f>IF(LEN(Table1722[[#This Row],[Uraian]])&gt;2,TRIM(RIGHT(SUBSTITUTE(TRIM(C3162)," ",REPT(" ",255)),255))," ")</f>
        <v xml:space="preserve"> </v>
      </c>
      <c r="G3162" s="110">
        <f>COPY!Z3154</f>
        <v>0</v>
      </c>
      <c r="H3162" s="111" t="str">
        <f>IFERROR(VLOOKUP(Table1722[[#This Row],[Bukti]],'Un nOTA'!$A$4:$K$5003,10,FALSE),"")</f>
        <v/>
      </c>
      <c r="I3162" s="123" t="str">
        <f>IFERROR(VLOOKUP(Table1722[[#This Row],[Bukti]],Table13[#Data],11,FALSE),"")</f>
        <v/>
      </c>
    </row>
    <row r="3163" spans="1:9" hidden="1" x14ac:dyDescent="0.2">
      <c r="A3163" s="105" t="str">
        <f>IF(D3163=1,COUNTIF($D$10:D3163,1)," ")</f>
        <v xml:space="preserve"> </v>
      </c>
      <c r="B3163" s="106">
        <f>COPY!AR3155</f>
        <v>0</v>
      </c>
      <c r="C3163" s="107">
        <f>COPY!AC3155</f>
        <v>0</v>
      </c>
      <c r="D3163" s="107" t="str">
        <f>IF(LEN(Table1722[[#This Row],[Uraian]])&gt;2,1," ")</f>
        <v xml:space="preserve"> </v>
      </c>
      <c r="E3163" s="113" t="str">
        <f>IF(Table1722[[#This Row],[Lawan Transaksi]]="CV AGUNG KARYA",COUNTIF($I$10:I3163,"CV AGUNG KARYA")," ")</f>
        <v xml:space="preserve"> </v>
      </c>
      <c r="F3163" s="107" t="str">
        <f>IF(LEN(Table1722[[#This Row],[Uraian]])&gt;2,TRIM(RIGHT(SUBSTITUTE(TRIM(C3163)," ",REPT(" ",255)),255))," ")</f>
        <v xml:space="preserve"> </v>
      </c>
      <c r="G3163" s="110">
        <f>COPY!Z3155</f>
        <v>0</v>
      </c>
      <c r="H3163" s="111" t="str">
        <f>IFERROR(VLOOKUP(Table1722[[#This Row],[Bukti]],'Un nOTA'!$A$4:$K$5003,10,FALSE),"")</f>
        <v/>
      </c>
      <c r="I3163" s="123" t="str">
        <f>IFERROR(VLOOKUP(Table1722[[#This Row],[Bukti]],Table13[#Data],11,FALSE),"")</f>
        <v/>
      </c>
    </row>
    <row r="3164" spans="1:9" hidden="1" x14ac:dyDescent="0.2">
      <c r="A3164" s="105" t="str">
        <f>IF(D3164=1,COUNTIF($D$10:D3164,1)," ")</f>
        <v xml:space="preserve"> </v>
      </c>
      <c r="B3164" s="106">
        <f>COPY!AR3156</f>
        <v>0</v>
      </c>
      <c r="C3164" s="107">
        <f>COPY!AC3156</f>
        <v>0</v>
      </c>
      <c r="D3164" s="107" t="str">
        <f>IF(LEN(Table1722[[#This Row],[Uraian]])&gt;2,1," ")</f>
        <v xml:space="preserve"> </v>
      </c>
      <c r="E3164" s="113" t="str">
        <f>IF(Table1722[[#This Row],[Lawan Transaksi]]="CV AGUNG KARYA",COUNTIF($I$10:I3164,"CV AGUNG KARYA")," ")</f>
        <v xml:space="preserve"> </v>
      </c>
      <c r="F3164" s="107" t="str">
        <f>IF(LEN(Table1722[[#This Row],[Uraian]])&gt;2,TRIM(RIGHT(SUBSTITUTE(TRIM(C3164)," ",REPT(" ",255)),255))," ")</f>
        <v xml:space="preserve"> </v>
      </c>
      <c r="G3164" s="110">
        <f>COPY!Z3156</f>
        <v>0</v>
      </c>
      <c r="H3164" s="111" t="str">
        <f>IFERROR(VLOOKUP(Table1722[[#This Row],[Bukti]],'Un nOTA'!$A$4:$K$5003,10,FALSE),"")</f>
        <v/>
      </c>
      <c r="I3164" s="123" t="str">
        <f>IFERROR(VLOOKUP(Table1722[[#This Row],[Bukti]],Table13[#Data],11,FALSE),"")</f>
        <v/>
      </c>
    </row>
    <row r="3165" spans="1:9" hidden="1" x14ac:dyDescent="0.2">
      <c r="A3165" s="105" t="str">
        <f>IF(D3165=1,COUNTIF($D$10:D3165,1)," ")</f>
        <v xml:space="preserve"> </v>
      </c>
      <c r="B3165" s="106">
        <f>COPY!AR3157</f>
        <v>0</v>
      </c>
      <c r="C3165" s="107">
        <f>COPY!AC3157</f>
        <v>0</v>
      </c>
      <c r="D3165" s="107" t="str">
        <f>IF(LEN(Table1722[[#This Row],[Uraian]])&gt;2,1," ")</f>
        <v xml:space="preserve"> </v>
      </c>
      <c r="E3165" s="113" t="str">
        <f>IF(Table1722[[#This Row],[Lawan Transaksi]]="CV AGUNG KARYA",COUNTIF($I$10:I3165,"CV AGUNG KARYA")," ")</f>
        <v xml:space="preserve"> </v>
      </c>
      <c r="F3165" s="107" t="str">
        <f>IF(LEN(Table1722[[#This Row],[Uraian]])&gt;2,TRIM(RIGHT(SUBSTITUTE(TRIM(C3165)," ",REPT(" ",255)),255))," ")</f>
        <v xml:space="preserve"> </v>
      </c>
      <c r="G3165" s="110">
        <f>COPY!Z3157</f>
        <v>0</v>
      </c>
      <c r="H3165" s="111" t="str">
        <f>IFERROR(VLOOKUP(Table1722[[#This Row],[Bukti]],'Un nOTA'!$A$4:$K$5003,10,FALSE),"")</f>
        <v/>
      </c>
      <c r="I3165" s="123" t="str">
        <f>IFERROR(VLOOKUP(Table1722[[#This Row],[Bukti]],Table13[#Data],11,FALSE),"")</f>
        <v/>
      </c>
    </row>
    <row r="3166" spans="1:9" hidden="1" x14ac:dyDescent="0.2">
      <c r="A3166" s="105" t="str">
        <f>IF(D3166=1,COUNTIF($D$10:D3166,1)," ")</f>
        <v xml:space="preserve"> </v>
      </c>
      <c r="B3166" s="106">
        <f>COPY!AR3158</f>
        <v>0</v>
      </c>
      <c r="C3166" s="107">
        <f>COPY!AC3158</f>
        <v>0</v>
      </c>
      <c r="D3166" s="107" t="str">
        <f>IF(LEN(Table1722[[#This Row],[Uraian]])&gt;2,1," ")</f>
        <v xml:space="preserve"> </v>
      </c>
      <c r="E3166" s="113" t="str">
        <f>IF(Table1722[[#This Row],[Lawan Transaksi]]="CV AGUNG KARYA",COUNTIF($I$10:I3166,"CV AGUNG KARYA")," ")</f>
        <v xml:space="preserve"> </v>
      </c>
      <c r="F3166" s="107" t="str">
        <f>IF(LEN(Table1722[[#This Row],[Uraian]])&gt;2,TRIM(RIGHT(SUBSTITUTE(TRIM(C3166)," ",REPT(" ",255)),255))," ")</f>
        <v xml:space="preserve"> </v>
      </c>
      <c r="G3166" s="110">
        <f>COPY!Z3158</f>
        <v>0</v>
      </c>
      <c r="H3166" s="111" t="str">
        <f>IFERROR(VLOOKUP(Table1722[[#This Row],[Bukti]],'Un nOTA'!$A$4:$K$5003,10,FALSE),"")</f>
        <v/>
      </c>
      <c r="I3166" s="123" t="str">
        <f>IFERROR(VLOOKUP(Table1722[[#This Row],[Bukti]],Table13[#Data],11,FALSE),"")</f>
        <v/>
      </c>
    </row>
    <row r="3167" spans="1:9" hidden="1" x14ac:dyDescent="0.2">
      <c r="A3167" s="105" t="str">
        <f>IF(D3167=1,COUNTIF($D$10:D3167,1)," ")</f>
        <v xml:space="preserve"> </v>
      </c>
      <c r="B3167" s="106">
        <f>COPY!AR3159</f>
        <v>0</v>
      </c>
      <c r="C3167" s="107">
        <f>COPY!AC3159</f>
        <v>0</v>
      </c>
      <c r="D3167" s="107" t="str">
        <f>IF(LEN(Table1722[[#This Row],[Uraian]])&gt;2,1," ")</f>
        <v xml:space="preserve"> </v>
      </c>
      <c r="E3167" s="113" t="str">
        <f>IF(Table1722[[#This Row],[Lawan Transaksi]]="CV AGUNG KARYA",COUNTIF($I$10:I3167,"CV AGUNG KARYA")," ")</f>
        <v xml:space="preserve"> </v>
      </c>
      <c r="F3167" s="107" t="str">
        <f>IF(LEN(Table1722[[#This Row],[Uraian]])&gt;2,TRIM(RIGHT(SUBSTITUTE(TRIM(C3167)," ",REPT(" ",255)),255))," ")</f>
        <v xml:space="preserve"> </v>
      </c>
      <c r="G3167" s="110">
        <f>COPY!Z3159</f>
        <v>0</v>
      </c>
      <c r="H3167" s="111" t="str">
        <f>IFERROR(VLOOKUP(Table1722[[#This Row],[Bukti]],'Un nOTA'!$A$4:$K$5003,10,FALSE),"")</f>
        <v/>
      </c>
      <c r="I3167" s="123" t="str">
        <f>IFERROR(VLOOKUP(Table1722[[#This Row],[Bukti]],Table13[#Data],11,FALSE),"")</f>
        <v/>
      </c>
    </row>
    <row r="3168" spans="1:9" hidden="1" x14ac:dyDescent="0.2">
      <c r="A3168" s="105" t="str">
        <f>IF(D3168=1,COUNTIF($D$10:D3168,1)," ")</f>
        <v xml:space="preserve"> </v>
      </c>
      <c r="B3168" s="106">
        <f>COPY!AR3160</f>
        <v>0</v>
      </c>
      <c r="C3168" s="107">
        <f>COPY!AC3160</f>
        <v>0</v>
      </c>
      <c r="D3168" s="107" t="str">
        <f>IF(LEN(Table1722[[#This Row],[Uraian]])&gt;2,1," ")</f>
        <v xml:space="preserve"> </v>
      </c>
      <c r="E3168" s="113" t="str">
        <f>IF(Table1722[[#This Row],[Lawan Transaksi]]="CV AGUNG KARYA",COUNTIF($I$10:I3168,"CV AGUNG KARYA")," ")</f>
        <v xml:space="preserve"> </v>
      </c>
      <c r="F3168" s="107" t="str">
        <f>IF(LEN(Table1722[[#This Row],[Uraian]])&gt;2,TRIM(RIGHT(SUBSTITUTE(TRIM(C3168)," ",REPT(" ",255)),255))," ")</f>
        <v xml:space="preserve"> </v>
      </c>
      <c r="G3168" s="110">
        <f>COPY!Z3160</f>
        <v>0</v>
      </c>
      <c r="H3168" s="111" t="str">
        <f>IFERROR(VLOOKUP(Table1722[[#This Row],[Bukti]],'Un nOTA'!$A$4:$K$5003,10,FALSE),"")</f>
        <v/>
      </c>
      <c r="I3168" s="123" t="str">
        <f>IFERROR(VLOOKUP(Table1722[[#This Row],[Bukti]],Table13[#Data],11,FALSE),"")</f>
        <v/>
      </c>
    </row>
    <row r="3169" spans="1:9" hidden="1" x14ac:dyDescent="0.2">
      <c r="A3169" s="105" t="str">
        <f>IF(D3169=1,COUNTIF($D$10:D3169,1)," ")</f>
        <v xml:space="preserve"> </v>
      </c>
      <c r="B3169" s="106">
        <f>COPY!AR3161</f>
        <v>0</v>
      </c>
      <c r="C3169" s="107">
        <f>COPY!AC3161</f>
        <v>0</v>
      </c>
      <c r="D3169" s="107" t="str">
        <f>IF(LEN(Table1722[[#This Row],[Uraian]])&gt;2,1," ")</f>
        <v xml:space="preserve"> </v>
      </c>
      <c r="E3169" s="113" t="str">
        <f>IF(Table1722[[#This Row],[Lawan Transaksi]]="CV AGUNG KARYA",COUNTIF($I$10:I3169,"CV AGUNG KARYA")," ")</f>
        <v xml:space="preserve"> </v>
      </c>
      <c r="F3169" s="107" t="str">
        <f>IF(LEN(Table1722[[#This Row],[Uraian]])&gt;2,TRIM(RIGHT(SUBSTITUTE(TRIM(C3169)," ",REPT(" ",255)),255))," ")</f>
        <v xml:space="preserve"> </v>
      </c>
      <c r="G3169" s="110">
        <f>COPY!Z3161</f>
        <v>0</v>
      </c>
      <c r="H3169" s="111" t="str">
        <f>IFERROR(VLOOKUP(Table1722[[#This Row],[Bukti]],'Un nOTA'!$A$4:$K$5003,10,FALSE),"")</f>
        <v/>
      </c>
      <c r="I3169" s="123" t="str">
        <f>IFERROR(VLOOKUP(Table1722[[#This Row],[Bukti]],Table13[#Data],11,FALSE),"")</f>
        <v/>
      </c>
    </row>
    <row r="3170" spans="1:9" hidden="1" x14ac:dyDescent="0.2">
      <c r="A3170" s="105" t="str">
        <f>IF(D3170=1,COUNTIF($D$10:D3170,1)," ")</f>
        <v xml:space="preserve"> </v>
      </c>
      <c r="B3170" s="106">
        <f>COPY!AR3162</f>
        <v>0</v>
      </c>
      <c r="C3170" s="107">
        <f>COPY!AC3162</f>
        <v>0</v>
      </c>
      <c r="D3170" s="107" t="str">
        <f>IF(LEN(Table1722[[#This Row],[Uraian]])&gt;2,1," ")</f>
        <v xml:space="preserve"> </v>
      </c>
      <c r="E3170" s="113" t="str">
        <f>IF(Table1722[[#This Row],[Lawan Transaksi]]="CV AGUNG KARYA",COUNTIF($I$10:I3170,"CV AGUNG KARYA")," ")</f>
        <v xml:space="preserve"> </v>
      </c>
      <c r="F3170" s="107" t="str">
        <f>IF(LEN(Table1722[[#This Row],[Uraian]])&gt;2,TRIM(RIGHT(SUBSTITUTE(TRIM(C3170)," ",REPT(" ",255)),255))," ")</f>
        <v xml:space="preserve"> </v>
      </c>
      <c r="G3170" s="110">
        <f>COPY!Z3162</f>
        <v>0</v>
      </c>
      <c r="H3170" s="111" t="str">
        <f>IFERROR(VLOOKUP(Table1722[[#This Row],[Bukti]],'Un nOTA'!$A$4:$K$5003,10,FALSE),"")</f>
        <v/>
      </c>
      <c r="I3170" s="123" t="str">
        <f>IFERROR(VLOOKUP(Table1722[[#This Row],[Bukti]],Table13[#Data],11,FALSE),"")</f>
        <v/>
      </c>
    </row>
    <row r="3171" spans="1:9" hidden="1" x14ac:dyDescent="0.2">
      <c r="A3171" s="105" t="str">
        <f>IF(D3171=1,COUNTIF($D$10:D3171,1)," ")</f>
        <v xml:space="preserve"> </v>
      </c>
      <c r="B3171" s="106">
        <f>COPY!AR3163</f>
        <v>0</v>
      </c>
      <c r="C3171" s="107">
        <f>COPY!AC3163</f>
        <v>0</v>
      </c>
      <c r="D3171" s="107" t="str">
        <f>IF(LEN(Table1722[[#This Row],[Uraian]])&gt;2,1," ")</f>
        <v xml:space="preserve"> </v>
      </c>
      <c r="E3171" s="113" t="str">
        <f>IF(Table1722[[#This Row],[Lawan Transaksi]]="CV AGUNG KARYA",COUNTIF($I$10:I3171,"CV AGUNG KARYA")," ")</f>
        <v xml:space="preserve"> </v>
      </c>
      <c r="F3171" s="107" t="str">
        <f>IF(LEN(Table1722[[#This Row],[Uraian]])&gt;2,TRIM(RIGHT(SUBSTITUTE(TRIM(C3171)," ",REPT(" ",255)),255))," ")</f>
        <v xml:space="preserve"> </v>
      </c>
      <c r="G3171" s="110">
        <f>COPY!Z3163</f>
        <v>0</v>
      </c>
      <c r="H3171" s="111" t="str">
        <f>IFERROR(VLOOKUP(Table1722[[#This Row],[Bukti]],'Un nOTA'!$A$4:$K$5003,10,FALSE),"")</f>
        <v/>
      </c>
      <c r="I3171" s="123" t="str">
        <f>IFERROR(VLOOKUP(Table1722[[#This Row],[Bukti]],Table13[#Data],11,FALSE),"")</f>
        <v/>
      </c>
    </row>
    <row r="3172" spans="1:9" hidden="1" x14ac:dyDescent="0.2">
      <c r="A3172" s="105" t="str">
        <f>IF(D3172=1,COUNTIF($D$10:D3172,1)," ")</f>
        <v xml:space="preserve"> </v>
      </c>
      <c r="B3172" s="106">
        <f>COPY!AR3164</f>
        <v>0</v>
      </c>
      <c r="C3172" s="107">
        <f>COPY!AC3164</f>
        <v>0</v>
      </c>
      <c r="D3172" s="107" t="str">
        <f>IF(LEN(Table1722[[#This Row],[Uraian]])&gt;2,1," ")</f>
        <v xml:space="preserve"> </v>
      </c>
      <c r="E3172" s="113" t="str">
        <f>IF(Table1722[[#This Row],[Lawan Transaksi]]="CV AGUNG KARYA",COUNTIF($I$10:I3172,"CV AGUNG KARYA")," ")</f>
        <v xml:space="preserve"> </v>
      </c>
      <c r="F3172" s="107" t="str">
        <f>IF(LEN(Table1722[[#This Row],[Uraian]])&gt;2,TRIM(RIGHT(SUBSTITUTE(TRIM(C3172)," ",REPT(" ",255)),255))," ")</f>
        <v xml:space="preserve"> </v>
      </c>
      <c r="G3172" s="110">
        <f>COPY!Z3164</f>
        <v>0</v>
      </c>
      <c r="H3172" s="111" t="str">
        <f>IFERROR(VLOOKUP(Table1722[[#This Row],[Bukti]],'Un nOTA'!$A$4:$K$5003,10,FALSE),"")</f>
        <v/>
      </c>
      <c r="I3172" s="123" t="str">
        <f>IFERROR(VLOOKUP(Table1722[[#This Row],[Bukti]],Table13[#Data],11,FALSE),"")</f>
        <v/>
      </c>
    </row>
    <row r="3173" spans="1:9" hidden="1" x14ac:dyDescent="0.2">
      <c r="A3173" s="105" t="str">
        <f>IF(D3173=1,COUNTIF($D$10:D3173,1)," ")</f>
        <v xml:space="preserve"> </v>
      </c>
      <c r="B3173" s="106">
        <f>COPY!AR3165</f>
        <v>0</v>
      </c>
      <c r="C3173" s="107">
        <f>COPY!AC3165</f>
        <v>0</v>
      </c>
      <c r="D3173" s="107" t="str">
        <f>IF(LEN(Table1722[[#This Row],[Uraian]])&gt;2,1," ")</f>
        <v xml:space="preserve"> </v>
      </c>
      <c r="E3173" s="113" t="str">
        <f>IF(Table1722[[#This Row],[Lawan Transaksi]]="CV AGUNG KARYA",COUNTIF($I$10:I3173,"CV AGUNG KARYA")," ")</f>
        <v xml:space="preserve"> </v>
      </c>
      <c r="F3173" s="107" t="str">
        <f>IF(LEN(Table1722[[#This Row],[Uraian]])&gt;2,TRIM(RIGHT(SUBSTITUTE(TRIM(C3173)," ",REPT(" ",255)),255))," ")</f>
        <v xml:space="preserve"> </v>
      </c>
      <c r="G3173" s="110">
        <f>COPY!Z3165</f>
        <v>0</v>
      </c>
      <c r="H3173" s="111" t="str">
        <f>IFERROR(VLOOKUP(Table1722[[#This Row],[Bukti]],'Un nOTA'!$A$4:$K$5003,10,FALSE),"")</f>
        <v/>
      </c>
      <c r="I3173" s="123" t="str">
        <f>IFERROR(VLOOKUP(Table1722[[#This Row],[Bukti]],Table13[#Data],11,FALSE),"")</f>
        <v/>
      </c>
    </row>
    <row r="3174" spans="1:9" hidden="1" x14ac:dyDescent="0.2">
      <c r="A3174" s="105" t="str">
        <f>IF(D3174=1,COUNTIF($D$10:D3174,1)," ")</f>
        <v xml:space="preserve"> </v>
      </c>
      <c r="B3174" s="106">
        <f>COPY!AR3166</f>
        <v>0</v>
      </c>
      <c r="C3174" s="107">
        <f>COPY!AC3166</f>
        <v>0</v>
      </c>
      <c r="D3174" s="107" t="str">
        <f>IF(LEN(Table1722[[#This Row],[Uraian]])&gt;2,1," ")</f>
        <v xml:space="preserve"> </v>
      </c>
      <c r="E3174" s="113" t="str">
        <f>IF(Table1722[[#This Row],[Lawan Transaksi]]="CV AGUNG KARYA",COUNTIF($I$10:I3174,"CV AGUNG KARYA")," ")</f>
        <v xml:space="preserve"> </v>
      </c>
      <c r="F3174" s="107" t="str">
        <f>IF(LEN(Table1722[[#This Row],[Uraian]])&gt;2,TRIM(RIGHT(SUBSTITUTE(TRIM(C3174)," ",REPT(" ",255)),255))," ")</f>
        <v xml:space="preserve"> </v>
      </c>
      <c r="G3174" s="110">
        <f>COPY!Z3166</f>
        <v>0</v>
      </c>
      <c r="H3174" s="111" t="str">
        <f>IFERROR(VLOOKUP(Table1722[[#This Row],[Bukti]],'Un nOTA'!$A$4:$K$5003,10,FALSE),"")</f>
        <v/>
      </c>
      <c r="I3174" s="123" t="str">
        <f>IFERROR(VLOOKUP(Table1722[[#This Row],[Bukti]],Table13[#Data],11,FALSE),"")</f>
        <v/>
      </c>
    </row>
    <row r="3175" spans="1:9" hidden="1" x14ac:dyDescent="0.2">
      <c r="A3175" s="105" t="str">
        <f>IF(D3175=1,COUNTIF($D$10:D3175,1)," ")</f>
        <v xml:space="preserve"> </v>
      </c>
      <c r="B3175" s="106">
        <f>COPY!AR3167</f>
        <v>0</v>
      </c>
      <c r="C3175" s="107">
        <f>COPY!AC3167</f>
        <v>0</v>
      </c>
      <c r="D3175" s="107" t="str">
        <f>IF(LEN(Table1722[[#This Row],[Uraian]])&gt;2,1," ")</f>
        <v xml:space="preserve"> </v>
      </c>
      <c r="E3175" s="113" t="str">
        <f>IF(Table1722[[#This Row],[Lawan Transaksi]]="CV AGUNG KARYA",COUNTIF($I$10:I3175,"CV AGUNG KARYA")," ")</f>
        <v xml:space="preserve"> </v>
      </c>
      <c r="F3175" s="107" t="str">
        <f>IF(LEN(Table1722[[#This Row],[Uraian]])&gt;2,TRIM(RIGHT(SUBSTITUTE(TRIM(C3175)," ",REPT(" ",255)),255))," ")</f>
        <v xml:space="preserve"> </v>
      </c>
      <c r="G3175" s="110">
        <f>COPY!Z3167</f>
        <v>0</v>
      </c>
      <c r="H3175" s="111" t="str">
        <f>IFERROR(VLOOKUP(Table1722[[#This Row],[Bukti]],'Un nOTA'!$A$4:$K$5003,10,FALSE),"")</f>
        <v/>
      </c>
      <c r="I3175" s="123" t="str">
        <f>IFERROR(VLOOKUP(Table1722[[#This Row],[Bukti]],Table13[#Data],11,FALSE),"")</f>
        <v/>
      </c>
    </row>
    <row r="3176" spans="1:9" hidden="1" x14ac:dyDescent="0.2">
      <c r="A3176" s="105" t="str">
        <f>IF(D3176=1,COUNTIF($D$10:D3176,1)," ")</f>
        <v xml:space="preserve"> </v>
      </c>
      <c r="B3176" s="106">
        <f>COPY!AR3168</f>
        <v>0</v>
      </c>
      <c r="C3176" s="107">
        <f>COPY!AC3168</f>
        <v>0</v>
      </c>
      <c r="D3176" s="107" t="str">
        <f>IF(LEN(Table1722[[#This Row],[Uraian]])&gt;2,1," ")</f>
        <v xml:space="preserve"> </v>
      </c>
      <c r="E3176" s="113" t="str">
        <f>IF(Table1722[[#This Row],[Lawan Transaksi]]="CV AGUNG KARYA",COUNTIF($I$10:I3176,"CV AGUNG KARYA")," ")</f>
        <v xml:space="preserve"> </v>
      </c>
      <c r="F3176" s="107" t="str">
        <f>IF(LEN(Table1722[[#This Row],[Uraian]])&gt;2,TRIM(RIGHT(SUBSTITUTE(TRIM(C3176)," ",REPT(" ",255)),255))," ")</f>
        <v xml:space="preserve"> </v>
      </c>
      <c r="G3176" s="110">
        <f>COPY!Z3168</f>
        <v>0</v>
      </c>
      <c r="H3176" s="111" t="str">
        <f>IFERROR(VLOOKUP(Table1722[[#This Row],[Bukti]],'Un nOTA'!$A$4:$K$5003,10,FALSE),"")</f>
        <v/>
      </c>
      <c r="I3176" s="123" t="str">
        <f>IFERROR(VLOOKUP(Table1722[[#This Row],[Bukti]],Table13[#Data],11,FALSE),"")</f>
        <v/>
      </c>
    </row>
    <row r="3177" spans="1:9" hidden="1" x14ac:dyDescent="0.2">
      <c r="A3177" s="105" t="str">
        <f>IF(D3177=1,COUNTIF($D$10:D3177,1)," ")</f>
        <v xml:space="preserve"> </v>
      </c>
      <c r="B3177" s="106">
        <f>COPY!AR3169</f>
        <v>0</v>
      </c>
      <c r="C3177" s="107">
        <f>COPY!AC3169</f>
        <v>0</v>
      </c>
      <c r="D3177" s="107" t="str">
        <f>IF(LEN(Table1722[[#This Row],[Uraian]])&gt;2,1," ")</f>
        <v xml:space="preserve"> </v>
      </c>
      <c r="E3177" s="113" t="str">
        <f>IF(Table1722[[#This Row],[Lawan Transaksi]]="CV AGUNG KARYA",COUNTIF($I$10:I3177,"CV AGUNG KARYA")," ")</f>
        <v xml:space="preserve"> </v>
      </c>
      <c r="F3177" s="107" t="str">
        <f>IF(LEN(Table1722[[#This Row],[Uraian]])&gt;2,TRIM(RIGHT(SUBSTITUTE(TRIM(C3177)," ",REPT(" ",255)),255))," ")</f>
        <v xml:space="preserve"> </v>
      </c>
      <c r="G3177" s="110">
        <f>COPY!Z3169</f>
        <v>0</v>
      </c>
      <c r="H3177" s="111" t="str">
        <f>IFERROR(VLOOKUP(Table1722[[#This Row],[Bukti]],'Un nOTA'!$A$4:$K$5003,10,FALSE),"")</f>
        <v/>
      </c>
      <c r="I3177" s="123" t="str">
        <f>IFERROR(VLOOKUP(Table1722[[#This Row],[Bukti]],Table13[#Data],11,FALSE),"")</f>
        <v/>
      </c>
    </row>
    <row r="3178" spans="1:9" hidden="1" x14ac:dyDescent="0.2">
      <c r="A3178" s="105" t="str">
        <f>IF(D3178=1,COUNTIF($D$10:D3178,1)," ")</f>
        <v xml:space="preserve"> </v>
      </c>
      <c r="B3178" s="106">
        <f>COPY!AR3170</f>
        <v>0</v>
      </c>
      <c r="C3178" s="107">
        <f>COPY!AC3170</f>
        <v>0</v>
      </c>
      <c r="D3178" s="107" t="str">
        <f>IF(LEN(Table1722[[#This Row],[Uraian]])&gt;2,1," ")</f>
        <v xml:space="preserve"> </v>
      </c>
      <c r="E3178" s="113" t="str">
        <f>IF(Table1722[[#This Row],[Lawan Transaksi]]="CV AGUNG KARYA",COUNTIF($I$10:I3178,"CV AGUNG KARYA")," ")</f>
        <v xml:space="preserve"> </v>
      </c>
      <c r="F3178" s="107" t="str">
        <f>IF(LEN(Table1722[[#This Row],[Uraian]])&gt;2,TRIM(RIGHT(SUBSTITUTE(TRIM(C3178)," ",REPT(" ",255)),255))," ")</f>
        <v xml:space="preserve"> </v>
      </c>
      <c r="G3178" s="110">
        <f>COPY!Z3170</f>
        <v>0</v>
      </c>
      <c r="H3178" s="111" t="str">
        <f>IFERROR(VLOOKUP(Table1722[[#This Row],[Bukti]],'Un nOTA'!$A$4:$K$5003,10,FALSE),"")</f>
        <v/>
      </c>
      <c r="I3178" s="123" t="str">
        <f>IFERROR(VLOOKUP(Table1722[[#This Row],[Bukti]],Table13[#Data],11,FALSE),"")</f>
        <v/>
      </c>
    </row>
    <row r="3179" spans="1:9" hidden="1" x14ac:dyDescent="0.2">
      <c r="A3179" s="105" t="str">
        <f>IF(D3179=1,COUNTIF($D$10:D3179,1)," ")</f>
        <v xml:space="preserve"> </v>
      </c>
      <c r="B3179" s="106">
        <f>COPY!AR3171</f>
        <v>0</v>
      </c>
      <c r="C3179" s="107">
        <f>COPY!AC3171</f>
        <v>0</v>
      </c>
      <c r="D3179" s="107" t="str">
        <f>IF(LEN(Table1722[[#This Row],[Uraian]])&gt;2,1," ")</f>
        <v xml:space="preserve"> </v>
      </c>
      <c r="E3179" s="113" t="str">
        <f>IF(Table1722[[#This Row],[Lawan Transaksi]]="CV AGUNG KARYA",COUNTIF($I$10:I3179,"CV AGUNG KARYA")," ")</f>
        <v xml:space="preserve"> </v>
      </c>
      <c r="F3179" s="107" t="str">
        <f>IF(LEN(Table1722[[#This Row],[Uraian]])&gt;2,TRIM(RIGHT(SUBSTITUTE(TRIM(C3179)," ",REPT(" ",255)),255))," ")</f>
        <v xml:space="preserve"> </v>
      </c>
      <c r="G3179" s="110">
        <f>COPY!Z3171</f>
        <v>0</v>
      </c>
      <c r="H3179" s="111" t="str">
        <f>IFERROR(VLOOKUP(Table1722[[#This Row],[Bukti]],'Un nOTA'!$A$4:$K$5003,10,FALSE),"")</f>
        <v/>
      </c>
      <c r="I3179" s="123" t="str">
        <f>IFERROR(VLOOKUP(Table1722[[#This Row],[Bukti]],Table13[#Data],11,FALSE),"")</f>
        <v/>
      </c>
    </row>
    <row r="3180" spans="1:9" hidden="1" x14ac:dyDescent="0.2">
      <c r="A3180" s="105" t="str">
        <f>IF(D3180=1,COUNTIF($D$10:D3180,1)," ")</f>
        <v xml:space="preserve"> </v>
      </c>
      <c r="B3180" s="106">
        <f>COPY!AR3172</f>
        <v>0</v>
      </c>
      <c r="C3180" s="107">
        <f>COPY!AC3172</f>
        <v>0</v>
      </c>
      <c r="D3180" s="107" t="str">
        <f>IF(LEN(Table1722[[#This Row],[Uraian]])&gt;2,1," ")</f>
        <v xml:space="preserve"> </v>
      </c>
      <c r="E3180" s="113" t="str">
        <f>IF(Table1722[[#This Row],[Lawan Transaksi]]="CV AGUNG KARYA",COUNTIF($I$10:I3180,"CV AGUNG KARYA")," ")</f>
        <v xml:space="preserve"> </v>
      </c>
      <c r="F3180" s="107" t="str">
        <f>IF(LEN(Table1722[[#This Row],[Uraian]])&gt;2,TRIM(RIGHT(SUBSTITUTE(TRIM(C3180)," ",REPT(" ",255)),255))," ")</f>
        <v xml:space="preserve"> </v>
      </c>
      <c r="G3180" s="110">
        <f>COPY!Z3172</f>
        <v>0</v>
      </c>
      <c r="H3180" s="111" t="str">
        <f>IFERROR(VLOOKUP(Table1722[[#This Row],[Bukti]],'Un nOTA'!$A$4:$K$5003,10,FALSE),"")</f>
        <v/>
      </c>
      <c r="I3180" s="123" t="str">
        <f>IFERROR(VLOOKUP(Table1722[[#This Row],[Bukti]],Table13[#Data],11,FALSE),"")</f>
        <v/>
      </c>
    </row>
    <row r="3181" spans="1:9" hidden="1" x14ac:dyDescent="0.2">
      <c r="A3181" s="105" t="str">
        <f>IF(D3181=1,COUNTIF($D$10:D3181,1)," ")</f>
        <v xml:space="preserve"> </v>
      </c>
      <c r="B3181" s="106">
        <f>COPY!AR3173</f>
        <v>0</v>
      </c>
      <c r="C3181" s="107">
        <f>COPY!AC3173</f>
        <v>0</v>
      </c>
      <c r="D3181" s="107" t="str">
        <f>IF(LEN(Table1722[[#This Row],[Uraian]])&gt;2,1," ")</f>
        <v xml:space="preserve"> </v>
      </c>
      <c r="E3181" s="113" t="str">
        <f>IF(Table1722[[#This Row],[Lawan Transaksi]]="CV AGUNG KARYA",COUNTIF($I$10:I3181,"CV AGUNG KARYA")," ")</f>
        <v xml:space="preserve"> </v>
      </c>
      <c r="F3181" s="107" t="str">
        <f>IF(LEN(Table1722[[#This Row],[Uraian]])&gt;2,TRIM(RIGHT(SUBSTITUTE(TRIM(C3181)," ",REPT(" ",255)),255))," ")</f>
        <v xml:space="preserve"> </v>
      </c>
      <c r="G3181" s="110">
        <f>COPY!Z3173</f>
        <v>0</v>
      </c>
      <c r="H3181" s="111" t="str">
        <f>IFERROR(VLOOKUP(Table1722[[#This Row],[Bukti]],'Un nOTA'!$A$4:$K$5003,10,FALSE),"")</f>
        <v/>
      </c>
      <c r="I3181" s="123" t="str">
        <f>IFERROR(VLOOKUP(Table1722[[#This Row],[Bukti]],Table13[#Data],11,FALSE),"")</f>
        <v/>
      </c>
    </row>
    <row r="3182" spans="1:9" hidden="1" x14ac:dyDescent="0.2">
      <c r="A3182" s="105" t="str">
        <f>IF(D3182=1,COUNTIF($D$10:D3182,1)," ")</f>
        <v xml:space="preserve"> </v>
      </c>
      <c r="B3182" s="106">
        <f>COPY!AR3174</f>
        <v>0</v>
      </c>
      <c r="C3182" s="107">
        <f>COPY!AC3174</f>
        <v>0</v>
      </c>
      <c r="D3182" s="107" t="str">
        <f>IF(LEN(Table1722[[#This Row],[Uraian]])&gt;2,1," ")</f>
        <v xml:space="preserve"> </v>
      </c>
      <c r="E3182" s="113" t="str">
        <f>IF(Table1722[[#This Row],[Lawan Transaksi]]="CV AGUNG KARYA",COUNTIF($I$10:I3182,"CV AGUNG KARYA")," ")</f>
        <v xml:space="preserve"> </v>
      </c>
      <c r="F3182" s="107" t="str">
        <f>IF(LEN(Table1722[[#This Row],[Uraian]])&gt;2,TRIM(RIGHT(SUBSTITUTE(TRIM(C3182)," ",REPT(" ",255)),255))," ")</f>
        <v xml:space="preserve"> </v>
      </c>
      <c r="G3182" s="110">
        <f>COPY!Z3174</f>
        <v>0</v>
      </c>
      <c r="H3182" s="111" t="str">
        <f>IFERROR(VLOOKUP(Table1722[[#This Row],[Bukti]],'Un nOTA'!$A$4:$K$5003,10,FALSE),"")</f>
        <v/>
      </c>
      <c r="I3182" s="123" t="str">
        <f>IFERROR(VLOOKUP(Table1722[[#This Row],[Bukti]],Table13[#Data],11,FALSE),"")</f>
        <v/>
      </c>
    </row>
    <row r="3183" spans="1:9" hidden="1" x14ac:dyDescent="0.2">
      <c r="A3183" s="105" t="str">
        <f>IF(D3183=1,COUNTIF($D$10:D3183,1)," ")</f>
        <v xml:space="preserve"> </v>
      </c>
      <c r="B3183" s="106">
        <f>COPY!AR3175</f>
        <v>0</v>
      </c>
      <c r="C3183" s="107">
        <f>COPY!AC3175</f>
        <v>0</v>
      </c>
      <c r="D3183" s="107" t="str">
        <f>IF(LEN(Table1722[[#This Row],[Uraian]])&gt;2,1," ")</f>
        <v xml:space="preserve"> </v>
      </c>
      <c r="E3183" s="113" t="str">
        <f>IF(Table1722[[#This Row],[Lawan Transaksi]]="CV AGUNG KARYA",COUNTIF($I$10:I3183,"CV AGUNG KARYA")," ")</f>
        <v xml:space="preserve"> </v>
      </c>
      <c r="F3183" s="107" t="str">
        <f>IF(LEN(Table1722[[#This Row],[Uraian]])&gt;2,TRIM(RIGHT(SUBSTITUTE(TRIM(C3183)," ",REPT(" ",255)),255))," ")</f>
        <v xml:space="preserve"> </v>
      </c>
      <c r="G3183" s="110">
        <f>COPY!Z3175</f>
        <v>0</v>
      </c>
      <c r="H3183" s="111" t="str">
        <f>IFERROR(VLOOKUP(Table1722[[#This Row],[Bukti]],'Un nOTA'!$A$4:$K$5003,10,FALSE),"")</f>
        <v/>
      </c>
      <c r="I3183" s="123" t="str">
        <f>IFERROR(VLOOKUP(Table1722[[#This Row],[Bukti]],Table13[#Data],11,FALSE),"")</f>
        <v/>
      </c>
    </row>
    <row r="3184" spans="1:9" hidden="1" x14ac:dyDescent="0.2">
      <c r="A3184" s="105" t="str">
        <f>IF(D3184=1,COUNTIF($D$10:D3184,1)," ")</f>
        <v xml:space="preserve"> </v>
      </c>
      <c r="B3184" s="106">
        <f>COPY!AR3176</f>
        <v>0</v>
      </c>
      <c r="C3184" s="107">
        <f>COPY!AC3176</f>
        <v>0</v>
      </c>
      <c r="D3184" s="107" t="str">
        <f>IF(LEN(Table1722[[#This Row],[Uraian]])&gt;2,1," ")</f>
        <v xml:space="preserve"> </v>
      </c>
      <c r="E3184" s="113" t="str">
        <f>IF(Table1722[[#This Row],[Lawan Transaksi]]="CV AGUNG KARYA",COUNTIF($I$10:I3184,"CV AGUNG KARYA")," ")</f>
        <v xml:space="preserve"> </v>
      </c>
      <c r="F3184" s="107" t="str">
        <f>IF(LEN(Table1722[[#This Row],[Uraian]])&gt;2,TRIM(RIGHT(SUBSTITUTE(TRIM(C3184)," ",REPT(" ",255)),255))," ")</f>
        <v xml:space="preserve"> </v>
      </c>
      <c r="G3184" s="110">
        <f>COPY!Z3176</f>
        <v>0</v>
      </c>
      <c r="H3184" s="111" t="str">
        <f>IFERROR(VLOOKUP(Table1722[[#This Row],[Bukti]],'Un nOTA'!$A$4:$K$5003,10,FALSE),"")</f>
        <v/>
      </c>
      <c r="I3184" s="123" t="str">
        <f>IFERROR(VLOOKUP(Table1722[[#This Row],[Bukti]],Table13[#Data],11,FALSE),"")</f>
        <v/>
      </c>
    </row>
    <row r="3185" spans="1:9" hidden="1" x14ac:dyDescent="0.2">
      <c r="A3185" s="105" t="str">
        <f>IF(D3185=1,COUNTIF($D$10:D3185,1)," ")</f>
        <v xml:space="preserve"> </v>
      </c>
      <c r="B3185" s="106">
        <f>COPY!AR3177</f>
        <v>0</v>
      </c>
      <c r="C3185" s="107">
        <f>COPY!AC3177</f>
        <v>0</v>
      </c>
      <c r="D3185" s="107" t="str">
        <f>IF(LEN(Table1722[[#This Row],[Uraian]])&gt;2,1," ")</f>
        <v xml:space="preserve"> </v>
      </c>
      <c r="E3185" s="113" t="str">
        <f>IF(Table1722[[#This Row],[Lawan Transaksi]]="CV AGUNG KARYA",COUNTIF($I$10:I3185,"CV AGUNG KARYA")," ")</f>
        <v xml:space="preserve"> </v>
      </c>
      <c r="F3185" s="107" t="str">
        <f>IF(LEN(Table1722[[#This Row],[Uraian]])&gt;2,TRIM(RIGHT(SUBSTITUTE(TRIM(C3185)," ",REPT(" ",255)),255))," ")</f>
        <v xml:space="preserve"> </v>
      </c>
      <c r="G3185" s="110">
        <f>COPY!Z3177</f>
        <v>0</v>
      </c>
      <c r="H3185" s="111" t="str">
        <f>IFERROR(VLOOKUP(Table1722[[#This Row],[Bukti]],'Un nOTA'!$A$4:$K$5003,10,FALSE),"")</f>
        <v/>
      </c>
      <c r="I3185" s="123" t="str">
        <f>IFERROR(VLOOKUP(Table1722[[#This Row],[Bukti]],Table13[#Data],11,FALSE),"")</f>
        <v/>
      </c>
    </row>
    <row r="3186" spans="1:9" hidden="1" x14ac:dyDescent="0.2">
      <c r="A3186" s="105" t="str">
        <f>IF(D3186=1,COUNTIF($D$10:D3186,1)," ")</f>
        <v xml:space="preserve"> </v>
      </c>
      <c r="B3186" s="106">
        <f>COPY!AR3178</f>
        <v>0</v>
      </c>
      <c r="C3186" s="107">
        <f>COPY!AC3178</f>
        <v>0</v>
      </c>
      <c r="D3186" s="107" t="str">
        <f>IF(LEN(Table1722[[#This Row],[Uraian]])&gt;2,1," ")</f>
        <v xml:space="preserve"> </v>
      </c>
      <c r="E3186" s="113" t="str">
        <f>IF(Table1722[[#This Row],[Lawan Transaksi]]="CV AGUNG KARYA",COUNTIF($I$10:I3186,"CV AGUNG KARYA")," ")</f>
        <v xml:space="preserve"> </v>
      </c>
      <c r="F3186" s="107" t="str">
        <f>IF(LEN(Table1722[[#This Row],[Uraian]])&gt;2,TRIM(RIGHT(SUBSTITUTE(TRIM(C3186)," ",REPT(" ",255)),255))," ")</f>
        <v xml:space="preserve"> </v>
      </c>
      <c r="G3186" s="110">
        <f>COPY!Z3178</f>
        <v>0</v>
      </c>
      <c r="H3186" s="111" t="str">
        <f>IFERROR(VLOOKUP(Table1722[[#This Row],[Bukti]],'Un nOTA'!$A$4:$K$5003,10,FALSE),"")</f>
        <v/>
      </c>
      <c r="I3186" s="123" t="str">
        <f>IFERROR(VLOOKUP(Table1722[[#This Row],[Bukti]],Table13[#Data],11,FALSE),"")</f>
        <v/>
      </c>
    </row>
    <row r="3187" spans="1:9" hidden="1" x14ac:dyDescent="0.2">
      <c r="A3187" s="105" t="str">
        <f>IF(D3187=1,COUNTIF($D$10:D3187,1)," ")</f>
        <v xml:space="preserve"> </v>
      </c>
      <c r="B3187" s="106">
        <f>COPY!AR3179</f>
        <v>0</v>
      </c>
      <c r="C3187" s="107">
        <f>COPY!AC3179</f>
        <v>0</v>
      </c>
      <c r="D3187" s="107" t="str">
        <f>IF(LEN(Table1722[[#This Row],[Uraian]])&gt;2,1," ")</f>
        <v xml:space="preserve"> </v>
      </c>
      <c r="E3187" s="113" t="str">
        <f>IF(Table1722[[#This Row],[Lawan Transaksi]]="CV AGUNG KARYA",COUNTIF($I$10:I3187,"CV AGUNG KARYA")," ")</f>
        <v xml:space="preserve"> </v>
      </c>
      <c r="F3187" s="107" t="str">
        <f>IF(LEN(Table1722[[#This Row],[Uraian]])&gt;2,TRIM(RIGHT(SUBSTITUTE(TRIM(C3187)," ",REPT(" ",255)),255))," ")</f>
        <v xml:space="preserve"> </v>
      </c>
      <c r="G3187" s="110">
        <f>COPY!Z3179</f>
        <v>0</v>
      </c>
      <c r="H3187" s="111" t="str">
        <f>IFERROR(VLOOKUP(Table1722[[#This Row],[Bukti]],'Un nOTA'!$A$4:$K$5003,10,FALSE),"")</f>
        <v/>
      </c>
      <c r="I3187" s="123" t="str">
        <f>IFERROR(VLOOKUP(Table1722[[#This Row],[Bukti]],Table13[#Data],11,FALSE),"")</f>
        <v/>
      </c>
    </row>
    <row r="3188" spans="1:9" hidden="1" x14ac:dyDescent="0.2">
      <c r="A3188" s="105" t="str">
        <f>IF(D3188=1,COUNTIF($D$10:D3188,1)," ")</f>
        <v xml:space="preserve"> </v>
      </c>
      <c r="B3188" s="106">
        <f>COPY!AR3180</f>
        <v>0</v>
      </c>
      <c r="C3188" s="107">
        <f>COPY!AC3180</f>
        <v>0</v>
      </c>
      <c r="D3188" s="107" t="str">
        <f>IF(LEN(Table1722[[#This Row],[Uraian]])&gt;2,1," ")</f>
        <v xml:space="preserve"> </v>
      </c>
      <c r="E3188" s="113" t="str">
        <f>IF(Table1722[[#This Row],[Lawan Transaksi]]="CV AGUNG KARYA",COUNTIF($I$10:I3188,"CV AGUNG KARYA")," ")</f>
        <v xml:space="preserve"> </v>
      </c>
      <c r="F3188" s="107" t="str">
        <f>IF(LEN(Table1722[[#This Row],[Uraian]])&gt;2,TRIM(RIGHT(SUBSTITUTE(TRIM(C3188)," ",REPT(" ",255)),255))," ")</f>
        <v xml:space="preserve"> </v>
      </c>
      <c r="G3188" s="110">
        <f>COPY!Z3180</f>
        <v>0</v>
      </c>
      <c r="H3188" s="111" t="str">
        <f>IFERROR(VLOOKUP(Table1722[[#This Row],[Bukti]],'Un nOTA'!$A$4:$K$5003,10,FALSE),"")</f>
        <v/>
      </c>
      <c r="I3188" s="123" t="str">
        <f>IFERROR(VLOOKUP(Table1722[[#This Row],[Bukti]],Table13[#Data],11,FALSE),"")</f>
        <v/>
      </c>
    </row>
    <row r="3189" spans="1:9" hidden="1" x14ac:dyDescent="0.2">
      <c r="A3189" s="105" t="str">
        <f>IF(D3189=1,COUNTIF($D$10:D3189,1)," ")</f>
        <v xml:space="preserve"> </v>
      </c>
      <c r="B3189" s="106">
        <f>COPY!AR3181</f>
        <v>0</v>
      </c>
      <c r="C3189" s="107">
        <f>COPY!AC3181</f>
        <v>0</v>
      </c>
      <c r="D3189" s="107" t="str">
        <f>IF(LEN(Table1722[[#This Row],[Uraian]])&gt;2,1," ")</f>
        <v xml:space="preserve"> </v>
      </c>
      <c r="E3189" s="113" t="str">
        <f>IF(Table1722[[#This Row],[Lawan Transaksi]]="CV AGUNG KARYA",COUNTIF($I$10:I3189,"CV AGUNG KARYA")," ")</f>
        <v xml:space="preserve"> </v>
      </c>
      <c r="F3189" s="107" t="str">
        <f>IF(LEN(Table1722[[#This Row],[Uraian]])&gt;2,TRIM(RIGHT(SUBSTITUTE(TRIM(C3189)," ",REPT(" ",255)),255))," ")</f>
        <v xml:space="preserve"> </v>
      </c>
      <c r="G3189" s="110">
        <f>COPY!Z3181</f>
        <v>0</v>
      </c>
      <c r="H3189" s="111" t="str">
        <f>IFERROR(VLOOKUP(Table1722[[#This Row],[Bukti]],'Un nOTA'!$A$4:$K$5003,10,FALSE),"")</f>
        <v/>
      </c>
      <c r="I3189" s="123" t="str">
        <f>IFERROR(VLOOKUP(Table1722[[#This Row],[Bukti]],Table13[#Data],11,FALSE),"")</f>
        <v/>
      </c>
    </row>
    <row r="3190" spans="1:9" hidden="1" x14ac:dyDescent="0.2">
      <c r="A3190" s="105" t="str">
        <f>IF(D3190=1,COUNTIF($D$10:D3190,1)," ")</f>
        <v xml:space="preserve"> </v>
      </c>
      <c r="B3190" s="106">
        <f>COPY!AR3182</f>
        <v>0</v>
      </c>
      <c r="C3190" s="107">
        <f>COPY!AC3182</f>
        <v>0</v>
      </c>
      <c r="D3190" s="107" t="str">
        <f>IF(LEN(Table1722[[#This Row],[Uraian]])&gt;2,1," ")</f>
        <v xml:space="preserve"> </v>
      </c>
      <c r="E3190" s="113" t="str">
        <f>IF(Table1722[[#This Row],[Lawan Transaksi]]="CV AGUNG KARYA",COUNTIF($I$10:I3190,"CV AGUNG KARYA")," ")</f>
        <v xml:space="preserve"> </v>
      </c>
      <c r="F3190" s="107" t="str">
        <f>IF(LEN(Table1722[[#This Row],[Uraian]])&gt;2,TRIM(RIGHT(SUBSTITUTE(TRIM(C3190)," ",REPT(" ",255)),255))," ")</f>
        <v xml:space="preserve"> </v>
      </c>
      <c r="G3190" s="110">
        <f>COPY!Z3182</f>
        <v>0</v>
      </c>
      <c r="H3190" s="111" t="str">
        <f>IFERROR(VLOOKUP(Table1722[[#This Row],[Bukti]],'Un nOTA'!$A$4:$K$5003,10,FALSE),"")</f>
        <v/>
      </c>
      <c r="I3190" s="123" t="str">
        <f>IFERROR(VLOOKUP(Table1722[[#This Row],[Bukti]],Table13[#Data],11,FALSE),"")</f>
        <v/>
      </c>
    </row>
    <row r="3191" spans="1:9" hidden="1" x14ac:dyDescent="0.2">
      <c r="A3191" s="105" t="str">
        <f>IF(D3191=1,COUNTIF($D$10:D3191,1)," ")</f>
        <v xml:space="preserve"> </v>
      </c>
      <c r="B3191" s="106">
        <f>COPY!AR3183</f>
        <v>0</v>
      </c>
      <c r="C3191" s="107">
        <f>COPY!AC3183</f>
        <v>0</v>
      </c>
      <c r="D3191" s="107" t="str">
        <f>IF(LEN(Table1722[[#This Row],[Uraian]])&gt;2,1," ")</f>
        <v xml:space="preserve"> </v>
      </c>
      <c r="E3191" s="113" t="str">
        <f>IF(Table1722[[#This Row],[Lawan Transaksi]]="CV AGUNG KARYA",COUNTIF($I$10:I3191,"CV AGUNG KARYA")," ")</f>
        <v xml:space="preserve"> </v>
      </c>
      <c r="F3191" s="107" t="str">
        <f>IF(LEN(Table1722[[#This Row],[Uraian]])&gt;2,TRIM(RIGHT(SUBSTITUTE(TRIM(C3191)," ",REPT(" ",255)),255))," ")</f>
        <v xml:space="preserve"> </v>
      </c>
      <c r="G3191" s="110">
        <f>COPY!Z3183</f>
        <v>0</v>
      </c>
      <c r="H3191" s="111" t="str">
        <f>IFERROR(VLOOKUP(Table1722[[#This Row],[Bukti]],'Un nOTA'!$A$4:$K$5003,10,FALSE),"")</f>
        <v/>
      </c>
      <c r="I3191" s="123" t="str">
        <f>IFERROR(VLOOKUP(Table1722[[#This Row],[Bukti]],Table13[#Data],11,FALSE),"")</f>
        <v/>
      </c>
    </row>
    <row r="3192" spans="1:9" hidden="1" x14ac:dyDescent="0.2">
      <c r="A3192" s="105" t="str">
        <f>IF(D3192=1,COUNTIF($D$10:D3192,1)," ")</f>
        <v xml:space="preserve"> </v>
      </c>
      <c r="B3192" s="106">
        <f>COPY!AR3184</f>
        <v>0</v>
      </c>
      <c r="C3192" s="107">
        <f>COPY!AC3184</f>
        <v>0</v>
      </c>
      <c r="D3192" s="107" t="str">
        <f>IF(LEN(Table1722[[#This Row],[Uraian]])&gt;2,1," ")</f>
        <v xml:space="preserve"> </v>
      </c>
      <c r="E3192" s="113" t="str">
        <f>IF(Table1722[[#This Row],[Lawan Transaksi]]="CV AGUNG KARYA",COUNTIF($I$10:I3192,"CV AGUNG KARYA")," ")</f>
        <v xml:space="preserve"> </v>
      </c>
      <c r="F3192" s="107" t="str">
        <f>IF(LEN(Table1722[[#This Row],[Uraian]])&gt;2,TRIM(RIGHT(SUBSTITUTE(TRIM(C3192)," ",REPT(" ",255)),255))," ")</f>
        <v xml:space="preserve"> </v>
      </c>
      <c r="G3192" s="110">
        <f>COPY!Z3184</f>
        <v>0</v>
      </c>
      <c r="H3192" s="111" t="str">
        <f>IFERROR(VLOOKUP(Table1722[[#This Row],[Bukti]],'Un nOTA'!$A$4:$K$5003,10,FALSE),"")</f>
        <v/>
      </c>
      <c r="I3192" s="123" t="str">
        <f>IFERROR(VLOOKUP(Table1722[[#This Row],[Bukti]],Table13[#Data],11,FALSE),"")</f>
        <v/>
      </c>
    </row>
    <row r="3193" spans="1:9" hidden="1" x14ac:dyDescent="0.2">
      <c r="A3193" s="105" t="str">
        <f>IF(D3193=1,COUNTIF($D$10:D3193,1)," ")</f>
        <v xml:space="preserve"> </v>
      </c>
      <c r="B3193" s="106">
        <f>COPY!AR3185</f>
        <v>0</v>
      </c>
      <c r="C3193" s="107">
        <f>COPY!AC3185</f>
        <v>0</v>
      </c>
      <c r="D3193" s="107" t="str">
        <f>IF(LEN(Table1722[[#This Row],[Uraian]])&gt;2,1," ")</f>
        <v xml:space="preserve"> </v>
      </c>
      <c r="E3193" s="113" t="str">
        <f>IF(Table1722[[#This Row],[Lawan Transaksi]]="CV AGUNG KARYA",COUNTIF($I$10:I3193,"CV AGUNG KARYA")," ")</f>
        <v xml:space="preserve"> </v>
      </c>
      <c r="F3193" s="107" t="str">
        <f>IF(LEN(Table1722[[#This Row],[Uraian]])&gt;2,TRIM(RIGHT(SUBSTITUTE(TRIM(C3193)," ",REPT(" ",255)),255))," ")</f>
        <v xml:space="preserve"> </v>
      </c>
      <c r="G3193" s="110">
        <f>COPY!Z3185</f>
        <v>0</v>
      </c>
      <c r="H3193" s="111" t="str">
        <f>IFERROR(VLOOKUP(Table1722[[#This Row],[Bukti]],'Un nOTA'!$A$4:$K$5003,10,FALSE),"")</f>
        <v/>
      </c>
      <c r="I3193" s="123" t="str">
        <f>IFERROR(VLOOKUP(Table1722[[#This Row],[Bukti]],Table13[#Data],11,FALSE),"")</f>
        <v/>
      </c>
    </row>
    <row r="3194" spans="1:9" hidden="1" x14ac:dyDescent="0.2">
      <c r="A3194" s="105" t="str">
        <f>IF(D3194=1,COUNTIF($D$10:D3194,1)," ")</f>
        <v xml:space="preserve"> </v>
      </c>
      <c r="B3194" s="106">
        <f>COPY!AR3186</f>
        <v>0</v>
      </c>
      <c r="C3194" s="107">
        <f>COPY!AC3186</f>
        <v>0</v>
      </c>
      <c r="D3194" s="107" t="str">
        <f>IF(LEN(Table1722[[#This Row],[Uraian]])&gt;2,1," ")</f>
        <v xml:space="preserve"> </v>
      </c>
      <c r="E3194" s="113" t="str">
        <f>IF(Table1722[[#This Row],[Lawan Transaksi]]="CV AGUNG KARYA",COUNTIF($I$10:I3194,"CV AGUNG KARYA")," ")</f>
        <v xml:space="preserve"> </v>
      </c>
      <c r="F3194" s="107" t="str">
        <f>IF(LEN(Table1722[[#This Row],[Uraian]])&gt;2,TRIM(RIGHT(SUBSTITUTE(TRIM(C3194)," ",REPT(" ",255)),255))," ")</f>
        <v xml:space="preserve"> </v>
      </c>
      <c r="G3194" s="110">
        <f>COPY!Z3186</f>
        <v>0</v>
      </c>
      <c r="H3194" s="111" t="str">
        <f>IFERROR(VLOOKUP(Table1722[[#This Row],[Bukti]],'Un nOTA'!$A$4:$K$5003,10,FALSE),"")</f>
        <v/>
      </c>
      <c r="I3194" s="123" t="str">
        <f>IFERROR(VLOOKUP(Table1722[[#This Row],[Bukti]],Table13[#Data],11,FALSE),"")</f>
        <v/>
      </c>
    </row>
    <row r="3195" spans="1:9" hidden="1" x14ac:dyDescent="0.2">
      <c r="A3195" s="105" t="str">
        <f>IF(D3195=1,COUNTIF($D$10:D3195,1)," ")</f>
        <v xml:space="preserve"> </v>
      </c>
      <c r="B3195" s="106">
        <f>COPY!AR3187</f>
        <v>0</v>
      </c>
      <c r="C3195" s="107">
        <f>COPY!AC3187</f>
        <v>0</v>
      </c>
      <c r="D3195" s="107" t="str">
        <f>IF(LEN(Table1722[[#This Row],[Uraian]])&gt;2,1," ")</f>
        <v xml:space="preserve"> </v>
      </c>
      <c r="E3195" s="113" t="str">
        <f>IF(Table1722[[#This Row],[Lawan Transaksi]]="CV AGUNG KARYA",COUNTIF($I$10:I3195,"CV AGUNG KARYA")," ")</f>
        <v xml:space="preserve"> </v>
      </c>
      <c r="F3195" s="107" t="str">
        <f>IF(LEN(Table1722[[#This Row],[Uraian]])&gt;2,TRIM(RIGHT(SUBSTITUTE(TRIM(C3195)," ",REPT(" ",255)),255))," ")</f>
        <v xml:space="preserve"> </v>
      </c>
      <c r="G3195" s="110">
        <f>COPY!Z3187</f>
        <v>0</v>
      </c>
      <c r="H3195" s="111" t="str">
        <f>IFERROR(VLOOKUP(Table1722[[#This Row],[Bukti]],'Un nOTA'!$A$4:$K$5003,10,FALSE),"")</f>
        <v/>
      </c>
      <c r="I3195" s="123" t="str">
        <f>IFERROR(VLOOKUP(Table1722[[#This Row],[Bukti]],Table13[#Data],11,FALSE),"")</f>
        <v/>
      </c>
    </row>
    <row r="3196" spans="1:9" hidden="1" x14ac:dyDescent="0.2">
      <c r="A3196" s="105" t="str">
        <f>IF(D3196=1,COUNTIF($D$10:D3196,1)," ")</f>
        <v xml:space="preserve"> </v>
      </c>
      <c r="B3196" s="106">
        <f>COPY!AR3188</f>
        <v>0</v>
      </c>
      <c r="C3196" s="107">
        <f>COPY!AC3188</f>
        <v>0</v>
      </c>
      <c r="D3196" s="107" t="str">
        <f>IF(LEN(Table1722[[#This Row],[Uraian]])&gt;2,1," ")</f>
        <v xml:space="preserve"> </v>
      </c>
      <c r="E3196" s="113" t="str">
        <f>IF(Table1722[[#This Row],[Lawan Transaksi]]="CV AGUNG KARYA",COUNTIF($I$10:I3196,"CV AGUNG KARYA")," ")</f>
        <v xml:space="preserve"> </v>
      </c>
      <c r="F3196" s="107" t="str">
        <f>IF(LEN(Table1722[[#This Row],[Uraian]])&gt;2,TRIM(RIGHT(SUBSTITUTE(TRIM(C3196)," ",REPT(" ",255)),255))," ")</f>
        <v xml:space="preserve"> </v>
      </c>
      <c r="G3196" s="110">
        <f>COPY!Z3188</f>
        <v>0</v>
      </c>
      <c r="H3196" s="111" t="str">
        <f>IFERROR(VLOOKUP(Table1722[[#This Row],[Bukti]],'Un nOTA'!$A$4:$K$5003,10,FALSE),"")</f>
        <v/>
      </c>
      <c r="I3196" s="123" t="str">
        <f>IFERROR(VLOOKUP(Table1722[[#This Row],[Bukti]],Table13[#Data],11,FALSE),"")</f>
        <v/>
      </c>
    </row>
    <row r="3197" spans="1:9" hidden="1" x14ac:dyDescent="0.2">
      <c r="A3197" s="105" t="str">
        <f>IF(D3197=1,COUNTIF($D$10:D3197,1)," ")</f>
        <v xml:space="preserve"> </v>
      </c>
      <c r="B3197" s="106">
        <f>COPY!AR3189</f>
        <v>0</v>
      </c>
      <c r="C3197" s="107">
        <f>COPY!AC3189</f>
        <v>0</v>
      </c>
      <c r="D3197" s="107" t="str">
        <f>IF(LEN(Table1722[[#This Row],[Uraian]])&gt;2,1," ")</f>
        <v xml:space="preserve"> </v>
      </c>
      <c r="E3197" s="113" t="str">
        <f>IF(Table1722[[#This Row],[Lawan Transaksi]]="CV AGUNG KARYA",COUNTIF($I$10:I3197,"CV AGUNG KARYA")," ")</f>
        <v xml:space="preserve"> </v>
      </c>
      <c r="F3197" s="107" t="str">
        <f>IF(LEN(Table1722[[#This Row],[Uraian]])&gt;2,TRIM(RIGHT(SUBSTITUTE(TRIM(C3197)," ",REPT(" ",255)),255))," ")</f>
        <v xml:space="preserve"> </v>
      </c>
      <c r="G3197" s="110">
        <f>COPY!Z3189</f>
        <v>0</v>
      </c>
      <c r="H3197" s="111" t="str">
        <f>IFERROR(VLOOKUP(Table1722[[#This Row],[Bukti]],'Un nOTA'!$A$4:$K$5003,10,FALSE),"")</f>
        <v/>
      </c>
      <c r="I3197" s="123" t="str">
        <f>IFERROR(VLOOKUP(Table1722[[#This Row],[Bukti]],Table13[#Data],11,FALSE),"")</f>
        <v/>
      </c>
    </row>
    <row r="3198" spans="1:9" hidden="1" x14ac:dyDescent="0.2">
      <c r="A3198" s="105" t="str">
        <f>IF(D3198=1,COUNTIF($D$10:D3198,1)," ")</f>
        <v xml:space="preserve"> </v>
      </c>
      <c r="B3198" s="106">
        <f>COPY!AR3190</f>
        <v>0</v>
      </c>
      <c r="C3198" s="107">
        <f>COPY!AC3190</f>
        <v>0</v>
      </c>
      <c r="D3198" s="107" t="str">
        <f>IF(LEN(Table1722[[#This Row],[Uraian]])&gt;2,1," ")</f>
        <v xml:space="preserve"> </v>
      </c>
      <c r="E3198" s="113" t="str">
        <f>IF(Table1722[[#This Row],[Lawan Transaksi]]="CV AGUNG KARYA",COUNTIF($I$10:I3198,"CV AGUNG KARYA")," ")</f>
        <v xml:space="preserve"> </v>
      </c>
      <c r="F3198" s="107" t="str">
        <f>IF(LEN(Table1722[[#This Row],[Uraian]])&gt;2,TRIM(RIGHT(SUBSTITUTE(TRIM(C3198)," ",REPT(" ",255)),255))," ")</f>
        <v xml:space="preserve"> </v>
      </c>
      <c r="G3198" s="110">
        <f>COPY!Z3190</f>
        <v>0</v>
      </c>
      <c r="H3198" s="111" t="str">
        <f>IFERROR(VLOOKUP(Table1722[[#This Row],[Bukti]],'Un nOTA'!$A$4:$K$5003,10,FALSE),"")</f>
        <v/>
      </c>
      <c r="I3198" s="123" t="str">
        <f>IFERROR(VLOOKUP(Table1722[[#This Row],[Bukti]],Table13[#Data],11,FALSE),"")</f>
        <v/>
      </c>
    </row>
    <row r="3199" spans="1:9" hidden="1" x14ac:dyDescent="0.2">
      <c r="A3199" s="105" t="str">
        <f>IF(D3199=1,COUNTIF($D$10:D3199,1)," ")</f>
        <v xml:space="preserve"> </v>
      </c>
      <c r="B3199" s="106">
        <f>COPY!AR3191</f>
        <v>0</v>
      </c>
      <c r="C3199" s="107">
        <f>COPY!AC3191</f>
        <v>0</v>
      </c>
      <c r="D3199" s="107" t="str">
        <f>IF(LEN(Table1722[[#This Row],[Uraian]])&gt;2,1," ")</f>
        <v xml:space="preserve"> </v>
      </c>
      <c r="E3199" s="113" t="str">
        <f>IF(Table1722[[#This Row],[Lawan Transaksi]]="CV AGUNG KARYA",COUNTIF($I$10:I3199,"CV AGUNG KARYA")," ")</f>
        <v xml:space="preserve"> </v>
      </c>
      <c r="F3199" s="107" t="str">
        <f>IF(LEN(Table1722[[#This Row],[Uraian]])&gt;2,TRIM(RIGHT(SUBSTITUTE(TRIM(C3199)," ",REPT(" ",255)),255))," ")</f>
        <v xml:space="preserve"> </v>
      </c>
      <c r="G3199" s="110">
        <f>COPY!Z3191</f>
        <v>0</v>
      </c>
      <c r="H3199" s="111" t="str">
        <f>IFERROR(VLOOKUP(Table1722[[#This Row],[Bukti]],'Un nOTA'!$A$4:$K$5003,10,FALSE),"")</f>
        <v/>
      </c>
      <c r="I3199" s="123" t="str">
        <f>IFERROR(VLOOKUP(Table1722[[#This Row],[Bukti]],Table13[#Data],11,FALSE),"")</f>
        <v/>
      </c>
    </row>
    <row r="3200" spans="1:9" hidden="1" x14ac:dyDescent="0.2">
      <c r="A3200" s="105" t="str">
        <f>IF(D3200=1,COUNTIF($D$10:D3200,1)," ")</f>
        <v xml:space="preserve"> </v>
      </c>
      <c r="B3200" s="106">
        <f>COPY!AR3192</f>
        <v>0</v>
      </c>
      <c r="C3200" s="107">
        <f>COPY!AC3192</f>
        <v>0</v>
      </c>
      <c r="D3200" s="107" t="str">
        <f>IF(LEN(Table1722[[#This Row],[Uraian]])&gt;2,1," ")</f>
        <v xml:space="preserve"> </v>
      </c>
      <c r="E3200" s="113" t="str">
        <f>IF(Table1722[[#This Row],[Lawan Transaksi]]="CV AGUNG KARYA",COUNTIF($I$10:I3200,"CV AGUNG KARYA")," ")</f>
        <v xml:space="preserve"> </v>
      </c>
      <c r="F3200" s="107" t="str">
        <f>IF(LEN(Table1722[[#This Row],[Uraian]])&gt;2,TRIM(RIGHT(SUBSTITUTE(TRIM(C3200)," ",REPT(" ",255)),255))," ")</f>
        <v xml:space="preserve"> </v>
      </c>
      <c r="G3200" s="110">
        <f>COPY!Z3192</f>
        <v>0</v>
      </c>
      <c r="H3200" s="111" t="str">
        <f>IFERROR(VLOOKUP(Table1722[[#This Row],[Bukti]],'Un nOTA'!$A$4:$K$5003,10,FALSE),"")</f>
        <v/>
      </c>
      <c r="I3200" s="123" t="str">
        <f>IFERROR(VLOOKUP(Table1722[[#This Row],[Bukti]],Table13[#Data],11,FALSE),"")</f>
        <v/>
      </c>
    </row>
    <row r="3201" spans="1:9" hidden="1" x14ac:dyDescent="0.2">
      <c r="A3201" s="105" t="str">
        <f>IF(D3201=1,COUNTIF($D$10:D3201,1)," ")</f>
        <v xml:space="preserve"> </v>
      </c>
      <c r="B3201" s="106">
        <f>COPY!AR3193</f>
        <v>0</v>
      </c>
      <c r="C3201" s="107">
        <f>COPY!AC3193</f>
        <v>0</v>
      </c>
      <c r="D3201" s="107" t="str">
        <f>IF(LEN(Table1722[[#This Row],[Uraian]])&gt;2,1," ")</f>
        <v xml:space="preserve"> </v>
      </c>
      <c r="E3201" s="113" t="str">
        <f>IF(Table1722[[#This Row],[Lawan Transaksi]]="CV AGUNG KARYA",COUNTIF($I$10:I3201,"CV AGUNG KARYA")," ")</f>
        <v xml:space="preserve"> </v>
      </c>
      <c r="F3201" s="107" t="str">
        <f>IF(LEN(Table1722[[#This Row],[Uraian]])&gt;2,TRIM(RIGHT(SUBSTITUTE(TRIM(C3201)," ",REPT(" ",255)),255))," ")</f>
        <v xml:space="preserve"> </v>
      </c>
      <c r="G3201" s="110">
        <f>COPY!Z3193</f>
        <v>0</v>
      </c>
      <c r="H3201" s="111" t="str">
        <f>IFERROR(VLOOKUP(Table1722[[#This Row],[Bukti]],'Un nOTA'!$A$4:$K$5003,10,FALSE),"")</f>
        <v/>
      </c>
      <c r="I3201" s="123" t="str">
        <f>IFERROR(VLOOKUP(Table1722[[#This Row],[Bukti]],Table13[#Data],11,FALSE),"")</f>
        <v/>
      </c>
    </row>
    <row r="3202" spans="1:9" hidden="1" x14ac:dyDescent="0.2">
      <c r="A3202" s="105" t="str">
        <f>IF(D3202=1,COUNTIF($D$10:D3202,1)," ")</f>
        <v xml:space="preserve"> </v>
      </c>
      <c r="B3202" s="106">
        <f>COPY!AR3194</f>
        <v>0</v>
      </c>
      <c r="C3202" s="107">
        <f>COPY!AC3194</f>
        <v>0</v>
      </c>
      <c r="D3202" s="107" t="str">
        <f>IF(LEN(Table1722[[#This Row],[Uraian]])&gt;2,1," ")</f>
        <v xml:space="preserve"> </v>
      </c>
      <c r="E3202" s="113" t="str">
        <f>IF(Table1722[[#This Row],[Lawan Transaksi]]="CV AGUNG KARYA",COUNTIF($I$10:I3202,"CV AGUNG KARYA")," ")</f>
        <v xml:space="preserve"> </v>
      </c>
      <c r="F3202" s="107" t="str">
        <f>IF(LEN(Table1722[[#This Row],[Uraian]])&gt;2,TRIM(RIGHT(SUBSTITUTE(TRIM(C3202)," ",REPT(" ",255)),255))," ")</f>
        <v xml:space="preserve"> </v>
      </c>
      <c r="G3202" s="110">
        <f>COPY!Z3194</f>
        <v>0</v>
      </c>
      <c r="H3202" s="111" t="str">
        <f>IFERROR(VLOOKUP(Table1722[[#This Row],[Bukti]],'Un nOTA'!$A$4:$K$5003,10,FALSE),"")</f>
        <v/>
      </c>
      <c r="I3202" s="123" t="str">
        <f>IFERROR(VLOOKUP(Table1722[[#This Row],[Bukti]],Table13[#Data],11,FALSE),"")</f>
        <v/>
      </c>
    </row>
    <row r="3203" spans="1:9" hidden="1" x14ac:dyDescent="0.2">
      <c r="A3203" s="105" t="str">
        <f>IF(D3203=1,COUNTIF($D$10:D3203,1)," ")</f>
        <v xml:space="preserve"> </v>
      </c>
      <c r="B3203" s="106">
        <f>COPY!AR3195</f>
        <v>0</v>
      </c>
      <c r="C3203" s="107">
        <f>COPY!AC3195</f>
        <v>0</v>
      </c>
      <c r="D3203" s="107" t="str">
        <f>IF(LEN(Table1722[[#This Row],[Uraian]])&gt;2,1," ")</f>
        <v xml:space="preserve"> </v>
      </c>
      <c r="E3203" s="113" t="str">
        <f>IF(Table1722[[#This Row],[Lawan Transaksi]]="CV AGUNG KARYA",COUNTIF($I$10:I3203,"CV AGUNG KARYA")," ")</f>
        <v xml:space="preserve"> </v>
      </c>
      <c r="F3203" s="107" t="str">
        <f>IF(LEN(Table1722[[#This Row],[Uraian]])&gt;2,TRIM(RIGHT(SUBSTITUTE(TRIM(C3203)," ",REPT(" ",255)),255))," ")</f>
        <v xml:space="preserve"> </v>
      </c>
      <c r="G3203" s="110">
        <f>COPY!Z3195</f>
        <v>0</v>
      </c>
      <c r="H3203" s="111" t="str">
        <f>IFERROR(VLOOKUP(Table1722[[#This Row],[Bukti]],'Un nOTA'!$A$4:$K$5003,10,FALSE),"")</f>
        <v/>
      </c>
      <c r="I3203" s="123" t="str">
        <f>IFERROR(VLOOKUP(Table1722[[#This Row],[Bukti]],Table13[#Data],11,FALSE),"")</f>
        <v/>
      </c>
    </row>
    <row r="3204" spans="1:9" hidden="1" x14ac:dyDescent="0.2">
      <c r="A3204" s="105" t="str">
        <f>IF(D3204=1,COUNTIF($D$10:D3204,1)," ")</f>
        <v xml:space="preserve"> </v>
      </c>
      <c r="B3204" s="106">
        <f>COPY!AR3196</f>
        <v>0</v>
      </c>
      <c r="C3204" s="107">
        <f>COPY!AC3196</f>
        <v>0</v>
      </c>
      <c r="D3204" s="107" t="str">
        <f>IF(LEN(Table1722[[#This Row],[Uraian]])&gt;2,1," ")</f>
        <v xml:space="preserve"> </v>
      </c>
      <c r="E3204" s="113" t="str">
        <f>IF(Table1722[[#This Row],[Lawan Transaksi]]="CV AGUNG KARYA",COUNTIF($I$10:I3204,"CV AGUNG KARYA")," ")</f>
        <v xml:space="preserve"> </v>
      </c>
      <c r="F3204" s="107" t="str">
        <f>IF(LEN(Table1722[[#This Row],[Uraian]])&gt;2,TRIM(RIGHT(SUBSTITUTE(TRIM(C3204)," ",REPT(" ",255)),255))," ")</f>
        <v xml:space="preserve"> </v>
      </c>
      <c r="G3204" s="110">
        <f>COPY!Z3196</f>
        <v>0</v>
      </c>
      <c r="H3204" s="111" t="str">
        <f>IFERROR(VLOOKUP(Table1722[[#This Row],[Bukti]],'Un nOTA'!$A$4:$K$5003,10,FALSE),"")</f>
        <v/>
      </c>
      <c r="I3204" s="123" t="str">
        <f>IFERROR(VLOOKUP(Table1722[[#This Row],[Bukti]],Table13[#Data],11,FALSE),"")</f>
        <v/>
      </c>
    </row>
    <row r="3205" spans="1:9" hidden="1" x14ac:dyDescent="0.2">
      <c r="A3205" s="105" t="str">
        <f>IF(D3205=1,COUNTIF($D$10:D3205,1)," ")</f>
        <v xml:space="preserve"> </v>
      </c>
      <c r="B3205" s="106">
        <f>COPY!AR3197</f>
        <v>0</v>
      </c>
      <c r="C3205" s="107">
        <f>COPY!AC3197</f>
        <v>0</v>
      </c>
      <c r="D3205" s="107" t="str">
        <f>IF(LEN(Table1722[[#This Row],[Uraian]])&gt;2,1," ")</f>
        <v xml:space="preserve"> </v>
      </c>
      <c r="E3205" s="113" t="str">
        <f>IF(Table1722[[#This Row],[Lawan Transaksi]]="CV AGUNG KARYA",COUNTIF($I$10:I3205,"CV AGUNG KARYA")," ")</f>
        <v xml:space="preserve"> </v>
      </c>
      <c r="F3205" s="107" t="str">
        <f>IF(LEN(Table1722[[#This Row],[Uraian]])&gt;2,TRIM(RIGHT(SUBSTITUTE(TRIM(C3205)," ",REPT(" ",255)),255))," ")</f>
        <v xml:space="preserve"> </v>
      </c>
      <c r="G3205" s="110">
        <f>COPY!Z3197</f>
        <v>0</v>
      </c>
      <c r="H3205" s="111" t="str">
        <f>IFERROR(VLOOKUP(Table1722[[#This Row],[Bukti]],'Un nOTA'!$A$4:$K$5003,10,FALSE),"")</f>
        <v/>
      </c>
      <c r="I3205" s="123" t="str">
        <f>IFERROR(VLOOKUP(Table1722[[#This Row],[Bukti]],Table13[#Data],11,FALSE),"")</f>
        <v/>
      </c>
    </row>
    <row r="3206" spans="1:9" hidden="1" x14ac:dyDescent="0.2">
      <c r="A3206" s="105" t="str">
        <f>IF(D3206=1,COUNTIF($D$10:D3206,1)," ")</f>
        <v xml:space="preserve"> </v>
      </c>
      <c r="B3206" s="106">
        <f>COPY!AR3198</f>
        <v>0</v>
      </c>
      <c r="C3206" s="107">
        <f>COPY!AC3198</f>
        <v>0</v>
      </c>
      <c r="D3206" s="107" t="str">
        <f>IF(LEN(Table1722[[#This Row],[Uraian]])&gt;2,1," ")</f>
        <v xml:space="preserve"> </v>
      </c>
      <c r="E3206" s="113" t="str">
        <f>IF(Table1722[[#This Row],[Lawan Transaksi]]="CV AGUNG KARYA",COUNTIF($I$10:I3206,"CV AGUNG KARYA")," ")</f>
        <v xml:space="preserve"> </v>
      </c>
      <c r="F3206" s="107" t="str">
        <f>IF(LEN(Table1722[[#This Row],[Uraian]])&gt;2,TRIM(RIGHT(SUBSTITUTE(TRIM(C3206)," ",REPT(" ",255)),255))," ")</f>
        <v xml:space="preserve"> </v>
      </c>
      <c r="G3206" s="110">
        <f>COPY!Z3198</f>
        <v>0</v>
      </c>
      <c r="H3206" s="111" t="str">
        <f>IFERROR(VLOOKUP(Table1722[[#This Row],[Bukti]],'Un nOTA'!$A$4:$K$5003,10,FALSE),"")</f>
        <v/>
      </c>
      <c r="I3206" s="123" t="str">
        <f>IFERROR(VLOOKUP(Table1722[[#This Row],[Bukti]],Table13[#Data],11,FALSE),"")</f>
        <v/>
      </c>
    </row>
    <row r="3207" spans="1:9" hidden="1" x14ac:dyDescent="0.2">
      <c r="A3207" s="105" t="str">
        <f>IF(D3207=1,COUNTIF($D$10:D3207,1)," ")</f>
        <v xml:space="preserve"> </v>
      </c>
      <c r="B3207" s="106">
        <f>COPY!AR3199</f>
        <v>0</v>
      </c>
      <c r="C3207" s="107">
        <f>COPY!AC3199</f>
        <v>0</v>
      </c>
      <c r="D3207" s="107" t="str">
        <f>IF(LEN(Table1722[[#This Row],[Uraian]])&gt;2,1," ")</f>
        <v xml:space="preserve"> </v>
      </c>
      <c r="E3207" s="113" t="str">
        <f>IF(Table1722[[#This Row],[Lawan Transaksi]]="CV AGUNG KARYA",COUNTIF($I$10:I3207,"CV AGUNG KARYA")," ")</f>
        <v xml:space="preserve"> </v>
      </c>
      <c r="F3207" s="107" t="str">
        <f>IF(LEN(Table1722[[#This Row],[Uraian]])&gt;2,TRIM(RIGHT(SUBSTITUTE(TRIM(C3207)," ",REPT(" ",255)),255))," ")</f>
        <v xml:space="preserve"> </v>
      </c>
      <c r="G3207" s="110">
        <f>COPY!Z3199</f>
        <v>0</v>
      </c>
      <c r="H3207" s="111" t="str">
        <f>IFERROR(VLOOKUP(Table1722[[#This Row],[Bukti]],'Un nOTA'!$A$4:$K$5003,10,FALSE),"")</f>
        <v/>
      </c>
      <c r="I3207" s="123" t="str">
        <f>IFERROR(VLOOKUP(Table1722[[#This Row],[Bukti]],Table13[#Data],11,FALSE),"")</f>
        <v/>
      </c>
    </row>
    <row r="3208" spans="1:9" hidden="1" x14ac:dyDescent="0.2">
      <c r="A3208" s="105" t="str">
        <f>IF(D3208=1,COUNTIF($D$10:D3208,1)," ")</f>
        <v xml:space="preserve"> </v>
      </c>
      <c r="B3208" s="106">
        <f>COPY!AR3200</f>
        <v>0</v>
      </c>
      <c r="C3208" s="107">
        <f>COPY!AC3200</f>
        <v>0</v>
      </c>
      <c r="D3208" s="107" t="str">
        <f>IF(LEN(Table1722[[#This Row],[Uraian]])&gt;2,1," ")</f>
        <v xml:space="preserve"> </v>
      </c>
      <c r="E3208" s="113" t="str">
        <f>IF(Table1722[[#This Row],[Lawan Transaksi]]="CV AGUNG KARYA",COUNTIF($I$10:I3208,"CV AGUNG KARYA")," ")</f>
        <v xml:space="preserve"> </v>
      </c>
      <c r="F3208" s="107" t="str">
        <f>IF(LEN(Table1722[[#This Row],[Uraian]])&gt;2,TRIM(RIGHT(SUBSTITUTE(TRIM(C3208)," ",REPT(" ",255)),255))," ")</f>
        <v xml:space="preserve"> </v>
      </c>
      <c r="G3208" s="110">
        <f>COPY!Z3200</f>
        <v>0</v>
      </c>
      <c r="H3208" s="111" t="str">
        <f>IFERROR(VLOOKUP(Table1722[[#This Row],[Bukti]],'Un nOTA'!$A$4:$K$5003,10,FALSE),"")</f>
        <v/>
      </c>
      <c r="I3208" s="123" t="str">
        <f>IFERROR(VLOOKUP(Table1722[[#This Row],[Bukti]],Table13[#Data],11,FALSE),"")</f>
        <v/>
      </c>
    </row>
    <row r="3209" spans="1:9" hidden="1" x14ac:dyDescent="0.2">
      <c r="A3209" s="105" t="str">
        <f>IF(D3209=1,COUNTIF($D$10:D3209,1)," ")</f>
        <v xml:space="preserve"> </v>
      </c>
      <c r="B3209" s="106">
        <f>COPY!AR3201</f>
        <v>0</v>
      </c>
      <c r="C3209" s="107">
        <f>COPY!AC3201</f>
        <v>0</v>
      </c>
      <c r="D3209" s="107" t="str">
        <f>IF(LEN(Table1722[[#This Row],[Uraian]])&gt;2,1," ")</f>
        <v xml:space="preserve"> </v>
      </c>
      <c r="E3209" s="113" t="str">
        <f>IF(Table1722[[#This Row],[Lawan Transaksi]]="CV AGUNG KARYA",COUNTIF($I$10:I3209,"CV AGUNG KARYA")," ")</f>
        <v xml:space="preserve"> </v>
      </c>
      <c r="F3209" s="107" t="str">
        <f>IF(LEN(Table1722[[#This Row],[Uraian]])&gt;2,TRIM(RIGHT(SUBSTITUTE(TRIM(C3209)," ",REPT(" ",255)),255))," ")</f>
        <v xml:space="preserve"> </v>
      </c>
      <c r="G3209" s="110">
        <f>COPY!Z3201</f>
        <v>0</v>
      </c>
      <c r="H3209" s="111" t="str">
        <f>IFERROR(VLOOKUP(Table1722[[#This Row],[Bukti]],'Un nOTA'!$A$4:$K$5003,10,FALSE),"")</f>
        <v/>
      </c>
      <c r="I3209" s="123" t="str">
        <f>IFERROR(VLOOKUP(Table1722[[#This Row],[Bukti]],Table13[#Data],11,FALSE),"")</f>
        <v/>
      </c>
    </row>
    <row r="3210" spans="1:9" hidden="1" x14ac:dyDescent="0.2">
      <c r="A3210" s="105" t="str">
        <f>IF(D3210=1,COUNTIF($D$10:D3210,1)," ")</f>
        <v xml:space="preserve"> </v>
      </c>
      <c r="B3210" s="106">
        <f>COPY!AR3202</f>
        <v>0</v>
      </c>
      <c r="C3210" s="107">
        <f>COPY!AC3202</f>
        <v>0</v>
      </c>
      <c r="D3210" s="107" t="str">
        <f>IF(LEN(Table1722[[#This Row],[Uraian]])&gt;2,1," ")</f>
        <v xml:space="preserve"> </v>
      </c>
      <c r="E3210" s="113" t="str">
        <f>IF(Table1722[[#This Row],[Lawan Transaksi]]="CV AGUNG KARYA",COUNTIF($I$10:I3210,"CV AGUNG KARYA")," ")</f>
        <v xml:space="preserve"> </v>
      </c>
      <c r="F3210" s="107" t="str">
        <f>IF(LEN(Table1722[[#This Row],[Uraian]])&gt;2,TRIM(RIGHT(SUBSTITUTE(TRIM(C3210)," ",REPT(" ",255)),255))," ")</f>
        <v xml:space="preserve"> </v>
      </c>
      <c r="G3210" s="110">
        <f>COPY!Z3202</f>
        <v>0</v>
      </c>
      <c r="H3210" s="111" t="str">
        <f>IFERROR(VLOOKUP(Table1722[[#This Row],[Bukti]],'Un nOTA'!$A$4:$K$5003,10,FALSE),"")</f>
        <v/>
      </c>
      <c r="I3210" s="123" t="str">
        <f>IFERROR(VLOOKUP(Table1722[[#This Row],[Bukti]],Table13[#Data],11,FALSE),"")</f>
        <v/>
      </c>
    </row>
    <row r="3211" spans="1:9" hidden="1" x14ac:dyDescent="0.2">
      <c r="A3211" s="105" t="str">
        <f>IF(D3211=1,COUNTIF($D$10:D3211,1)," ")</f>
        <v xml:space="preserve"> </v>
      </c>
      <c r="B3211" s="106">
        <f>COPY!AR3203</f>
        <v>0</v>
      </c>
      <c r="C3211" s="107">
        <f>COPY!AC3203</f>
        <v>0</v>
      </c>
      <c r="D3211" s="107" t="str">
        <f>IF(LEN(Table1722[[#This Row],[Uraian]])&gt;2,1," ")</f>
        <v xml:space="preserve"> </v>
      </c>
      <c r="E3211" s="113" t="str">
        <f>IF(Table1722[[#This Row],[Lawan Transaksi]]="CV AGUNG KARYA",COUNTIF($I$10:I3211,"CV AGUNG KARYA")," ")</f>
        <v xml:space="preserve"> </v>
      </c>
      <c r="F3211" s="107" t="str">
        <f>IF(LEN(Table1722[[#This Row],[Uraian]])&gt;2,TRIM(RIGHT(SUBSTITUTE(TRIM(C3211)," ",REPT(" ",255)),255))," ")</f>
        <v xml:space="preserve"> </v>
      </c>
      <c r="G3211" s="110">
        <f>COPY!Z3203</f>
        <v>0</v>
      </c>
      <c r="H3211" s="111" t="str">
        <f>IFERROR(VLOOKUP(Table1722[[#This Row],[Bukti]],'Un nOTA'!$A$4:$K$5003,10,FALSE),"")</f>
        <v/>
      </c>
      <c r="I3211" s="123" t="str">
        <f>IFERROR(VLOOKUP(Table1722[[#This Row],[Bukti]],Table13[#Data],11,FALSE),"")</f>
        <v/>
      </c>
    </row>
    <row r="3212" spans="1:9" hidden="1" x14ac:dyDescent="0.2">
      <c r="A3212" s="105" t="str">
        <f>IF(D3212=1,COUNTIF($D$10:D3212,1)," ")</f>
        <v xml:space="preserve"> </v>
      </c>
      <c r="B3212" s="106">
        <f>COPY!AR3204</f>
        <v>0</v>
      </c>
      <c r="C3212" s="107">
        <f>COPY!AC3204</f>
        <v>0</v>
      </c>
      <c r="D3212" s="107" t="str">
        <f>IF(LEN(Table1722[[#This Row],[Uraian]])&gt;2,1," ")</f>
        <v xml:space="preserve"> </v>
      </c>
      <c r="E3212" s="113" t="str">
        <f>IF(Table1722[[#This Row],[Lawan Transaksi]]="CV AGUNG KARYA",COUNTIF($I$10:I3212,"CV AGUNG KARYA")," ")</f>
        <v xml:space="preserve"> </v>
      </c>
      <c r="F3212" s="107" t="str">
        <f>IF(LEN(Table1722[[#This Row],[Uraian]])&gt;2,TRIM(RIGHT(SUBSTITUTE(TRIM(C3212)," ",REPT(" ",255)),255))," ")</f>
        <v xml:space="preserve"> </v>
      </c>
      <c r="G3212" s="110">
        <f>COPY!Z3204</f>
        <v>0</v>
      </c>
      <c r="H3212" s="111" t="str">
        <f>IFERROR(VLOOKUP(Table1722[[#This Row],[Bukti]],'Un nOTA'!$A$4:$K$5003,10,FALSE),"")</f>
        <v/>
      </c>
      <c r="I3212" s="123" t="str">
        <f>IFERROR(VLOOKUP(Table1722[[#This Row],[Bukti]],Table13[#Data],11,FALSE),"")</f>
        <v/>
      </c>
    </row>
    <row r="3213" spans="1:9" hidden="1" x14ac:dyDescent="0.2">
      <c r="A3213" s="105" t="str">
        <f>IF(D3213=1,COUNTIF($D$10:D3213,1)," ")</f>
        <v xml:space="preserve"> </v>
      </c>
      <c r="B3213" s="106">
        <f>COPY!AR3205</f>
        <v>0</v>
      </c>
      <c r="C3213" s="107">
        <f>COPY!AC3205</f>
        <v>0</v>
      </c>
      <c r="D3213" s="107" t="str">
        <f>IF(LEN(Table1722[[#This Row],[Uraian]])&gt;2,1," ")</f>
        <v xml:space="preserve"> </v>
      </c>
      <c r="E3213" s="113" t="str">
        <f>IF(Table1722[[#This Row],[Lawan Transaksi]]="CV AGUNG KARYA",COUNTIF($I$10:I3213,"CV AGUNG KARYA")," ")</f>
        <v xml:space="preserve"> </v>
      </c>
      <c r="F3213" s="107" t="str">
        <f>IF(LEN(Table1722[[#This Row],[Uraian]])&gt;2,TRIM(RIGHT(SUBSTITUTE(TRIM(C3213)," ",REPT(" ",255)),255))," ")</f>
        <v xml:space="preserve"> </v>
      </c>
      <c r="G3213" s="110">
        <f>COPY!Z3205</f>
        <v>0</v>
      </c>
      <c r="H3213" s="111" t="str">
        <f>IFERROR(VLOOKUP(Table1722[[#This Row],[Bukti]],'Un nOTA'!$A$4:$K$5003,10,FALSE),"")</f>
        <v/>
      </c>
      <c r="I3213" s="123" t="str">
        <f>IFERROR(VLOOKUP(Table1722[[#This Row],[Bukti]],Table13[#Data],11,FALSE),"")</f>
        <v/>
      </c>
    </row>
    <row r="3214" spans="1:9" hidden="1" x14ac:dyDescent="0.2">
      <c r="A3214" s="105" t="str">
        <f>IF(D3214=1,COUNTIF($D$10:D3214,1)," ")</f>
        <v xml:space="preserve"> </v>
      </c>
      <c r="B3214" s="106">
        <f>COPY!AR3206</f>
        <v>0</v>
      </c>
      <c r="C3214" s="107">
        <f>COPY!AC3206</f>
        <v>0</v>
      </c>
      <c r="D3214" s="107" t="str">
        <f>IF(LEN(Table1722[[#This Row],[Uraian]])&gt;2,1," ")</f>
        <v xml:space="preserve"> </v>
      </c>
      <c r="E3214" s="113" t="str">
        <f>IF(Table1722[[#This Row],[Lawan Transaksi]]="CV AGUNG KARYA",COUNTIF($I$10:I3214,"CV AGUNG KARYA")," ")</f>
        <v xml:space="preserve"> </v>
      </c>
      <c r="F3214" s="107" t="str">
        <f>IF(LEN(Table1722[[#This Row],[Uraian]])&gt;2,TRIM(RIGHT(SUBSTITUTE(TRIM(C3214)," ",REPT(" ",255)),255))," ")</f>
        <v xml:space="preserve"> </v>
      </c>
      <c r="G3214" s="110">
        <f>COPY!Z3206</f>
        <v>0</v>
      </c>
      <c r="H3214" s="111" t="str">
        <f>IFERROR(VLOOKUP(Table1722[[#This Row],[Bukti]],'Un nOTA'!$A$4:$K$5003,10,FALSE),"")</f>
        <v/>
      </c>
      <c r="I3214" s="123" t="str">
        <f>IFERROR(VLOOKUP(Table1722[[#This Row],[Bukti]],Table13[#Data],11,FALSE),"")</f>
        <v/>
      </c>
    </row>
    <row r="3215" spans="1:9" hidden="1" x14ac:dyDescent="0.2">
      <c r="A3215" s="105" t="str">
        <f>IF(D3215=1,COUNTIF($D$10:D3215,1)," ")</f>
        <v xml:space="preserve"> </v>
      </c>
      <c r="B3215" s="106">
        <f>COPY!AR3207</f>
        <v>0</v>
      </c>
      <c r="C3215" s="107">
        <f>COPY!AC3207</f>
        <v>0</v>
      </c>
      <c r="D3215" s="107" t="str">
        <f>IF(LEN(Table1722[[#This Row],[Uraian]])&gt;2,1," ")</f>
        <v xml:space="preserve"> </v>
      </c>
      <c r="E3215" s="113" t="str">
        <f>IF(Table1722[[#This Row],[Lawan Transaksi]]="CV AGUNG KARYA",COUNTIF($I$10:I3215,"CV AGUNG KARYA")," ")</f>
        <v xml:space="preserve"> </v>
      </c>
      <c r="F3215" s="107" t="str">
        <f>IF(LEN(Table1722[[#This Row],[Uraian]])&gt;2,TRIM(RIGHT(SUBSTITUTE(TRIM(C3215)," ",REPT(" ",255)),255))," ")</f>
        <v xml:space="preserve"> </v>
      </c>
      <c r="G3215" s="110">
        <f>COPY!Z3207</f>
        <v>0</v>
      </c>
      <c r="H3215" s="111" t="str">
        <f>IFERROR(VLOOKUP(Table1722[[#This Row],[Bukti]],'Un nOTA'!$A$4:$K$5003,10,FALSE),"")</f>
        <v/>
      </c>
      <c r="I3215" s="123" t="str">
        <f>IFERROR(VLOOKUP(Table1722[[#This Row],[Bukti]],Table13[#Data],11,FALSE),"")</f>
        <v/>
      </c>
    </row>
    <row r="3216" spans="1:9" hidden="1" x14ac:dyDescent="0.2">
      <c r="A3216" s="105" t="str">
        <f>IF(D3216=1,COUNTIF($D$10:D3216,1)," ")</f>
        <v xml:space="preserve"> </v>
      </c>
      <c r="B3216" s="106">
        <f>COPY!AR3208</f>
        <v>0</v>
      </c>
      <c r="C3216" s="107">
        <f>COPY!AC3208</f>
        <v>0</v>
      </c>
      <c r="D3216" s="107" t="str">
        <f>IF(LEN(Table1722[[#This Row],[Uraian]])&gt;2,1," ")</f>
        <v xml:space="preserve"> </v>
      </c>
      <c r="E3216" s="113" t="str">
        <f>IF(Table1722[[#This Row],[Lawan Transaksi]]="CV AGUNG KARYA",COUNTIF($I$10:I3216,"CV AGUNG KARYA")," ")</f>
        <v xml:space="preserve"> </v>
      </c>
      <c r="F3216" s="107" t="str">
        <f>IF(LEN(Table1722[[#This Row],[Uraian]])&gt;2,TRIM(RIGHT(SUBSTITUTE(TRIM(C3216)," ",REPT(" ",255)),255))," ")</f>
        <v xml:space="preserve"> </v>
      </c>
      <c r="G3216" s="110">
        <f>COPY!Z3208</f>
        <v>0</v>
      </c>
      <c r="H3216" s="111" t="str">
        <f>IFERROR(VLOOKUP(Table1722[[#This Row],[Bukti]],'Un nOTA'!$A$4:$K$5003,10,FALSE),"")</f>
        <v/>
      </c>
      <c r="I3216" s="123" t="str">
        <f>IFERROR(VLOOKUP(Table1722[[#This Row],[Bukti]],Table13[#Data],11,FALSE),"")</f>
        <v/>
      </c>
    </row>
    <row r="3217" spans="1:9" hidden="1" x14ac:dyDescent="0.2">
      <c r="A3217" s="105" t="str">
        <f>IF(D3217=1,COUNTIF($D$10:D3217,1)," ")</f>
        <v xml:space="preserve"> </v>
      </c>
      <c r="B3217" s="106">
        <f>COPY!AR3209</f>
        <v>0</v>
      </c>
      <c r="C3217" s="107">
        <f>COPY!AC3209</f>
        <v>0</v>
      </c>
      <c r="D3217" s="107" t="str">
        <f>IF(LEN(Table1722[[#This Row],[Uraian]])&gt;2,1," ")</f>
        <v xml:space="preserve"> </v>
      </c>
      <c r="E3217" s="113" t="str">
        <f>IF(Table1722[[#This Row],[Lawan Transaksi]]="CV AGUNG KARYA",COUNTIF($I$10:I3217,"CV AGUNG KARYA")," ")</f>
        <v xml:space="preserve"> </v>
      </c>
      <c r="F3217" s="107" t="str">
        <f>IF(LEN(Table1722[[#This Row],[Uraian]])&gt;2,TRIM(RIGHT(SUBSTITUTE(TRIM(C3217)," ",REPT(" ",255)),255))," ")</f>
        <v xml:space="preserve"> </v>
      </c>
      <c r="G3217" s="110">
        <f>COPY!Z3209</f>
        <v>0</v>
      </c>
      <c r="H3217" s="111" t="str">
        <f>IFERROR(VLOOKUP(Table1722[[#This Row],[Bukti]],'Un nOTA'!$A$4:$K$5003,10,FALSE),"")</f>
        <v/>
      </c>
      <c r="I3217" s="123" t="str">
        <f>IFERROR(VLOOKUP(Table1722[[#This Row],[Bukti]],Table13[#Data],11,FALSE),"")</f>
        <v/>
      </c>
    </row>
    <row r="3218" spans="1:9" hidden="1" x14ac:dyDescent="0.2">
      <c r="A3218" s="105" t="str">
        <f>IF(D3218=1,COUNTIF($D$10:D3218,1)," ")</f>
        <v xml:space="preserve"> </v>
      </c>
      <c r="B3218" s="106">
        <f>COPY!AR3210</f>
        <v>0</v>
      </c>
      <c r="C3218" s="107">
        <f>COPY!AC3210</f>
        <v>0</v>
      </c>
      <c r="D3218" s="107" t="str">
        <f>IF(LEN(Table1722[[#This Row],[Uraian]])&gt;2,1," ")</f>
        <v xml:space="preserve"> </v>
      </c>
      <c r="E3218" s="113" t="str">
        <f>IF(Table1722[[#This Row],[Lawan Transaksi]]="CV AGUNG KARYA",COUNTIF($I$10:I3218,"CV AGUNG KARYA")," ")</f>
        <v xml:space="preserve"> </v>
      </c>
      <c r="F3218" s="107" t="str">
        <f>IF(LEN(Table1722[[#This Row],[Uraian]])&gt;2,TRIM(RIGHT(SUBSTITUTE(TRIM(C3218)," ",REPT(" ",255)),255))," ")</f>
        <v xml:space="preserve"> </v>
      </c>
      <c r="G3218" s="110">
        <f>COPY!Z3210</f>
        <v>0</v>
      </c>
      <c r="H3218" s="111" t="str">
        <f>IFERROR(VLOOKUP(Table1722[[#This Row],[Bukti]],'Un nOTA'!$A$4:$K$5003,10,FALSE),"")</f>
        <v/>
      </c>
      <c r="I3218" s="123" t="str">
        <f>IFERROR(VLOOKUP(Table1722[[#This Row],[Bukti]],Table13[#Data],11,FALSE),"")</f>
        <v/>
      </c>
    </row>
    <row r="3219" spans="1:9" hidden="1" x14ac:dyDescent="0.2">
      <c r="A3219" s="105" t="str">
        <f>IF(D3219=1,COUNTIF($D$10:D3219,1)," ")</f>
        <v xml:space="preserve"> </v>
      </c>
      <c r="B3219" s="106">
        <f>COPY!AR3211</f>
        <v>0</v>
      </c>
      <c r="C3219" s="107">
        <f>COPY!AC3211</f>
        <v>0</v>
      </c>
      <c r="D3219" s="107" t="str">
        <f>IF(LEN(Table1722[[#This Row],[Uraian]])&gt;2,1," ")</f>
        <v xml:space="preserve"> </v>
      </c>
      <c r="E3219" s="113" t="str">
        <f>IF(Table1722[[#This Row],[Lawan Transaksi]]="CV AGUNG KARYA",COUNTIF($I$10:I3219,"CV AGUNG KARYA")," ")</f>
        <v xml:space="preserve"> </v>
      </c>
      <c r="F3219" s="107" t="str">
        <f>IF(LEN(Table1722[[#This Row],[Uraian]])&gt;2,TRIM(RIGHT(SUBSTITUTE(TRIM(C3219)," ",REPT(" ",255)),255))," ")</f>
        <v xml:space="preserve"> </v>
      </c>
      <c r="G3219" s="110">
        <f>COPY!Z3211</f>
        <v>0</v>
      </c>
      <c r="H3219" s="111" t="str">
        <f>IFERROR(VLOOKUP(Table1722[[#This Row],[Bukti]],'Un nOTA'!$A$4:$K$5003,10,FALSE),"")</f>
        <v/>
      </c>
      <c r="I3219" s="123" t="str">
        <f>IFERROR(VLOOKUP(Table1722[[#This Row],[Bukti]],Table13[#Data],11,FALSE),"")</f>
        <v/>
      </c>
    </row>
    <row r="3220" spans="1:9" hidden="1" x14ac:dyDescent="0.2">
      <c r="A3220" s="105" t="str">
        <f>IF(D3220=1,COUNTIF($D$10:D3220,1)," ")</f>
        <v xml:space="preserve"> </v>
      </c>
      <c r="B3220" s="106">
        <f>COPY!AR3212</f>
        <v>0</v>
      </c>
      <c r="C3220" s="107">
        <f>COPY!AC3212</f>
        <v>0</v>
      </c>
      <c r="D3220" s="107" t="str">
        <f>IF(LEN(Table1722[[#This Row],[Uraian]])&gt;2,1," ")</f>
        <v xml:space="preserve"> </v>
      </c>
      <c r="E3220" s="113" t="str">
        <f>IF(Table1722[[#This Row],[Lawan Transaksi]]="CV AGUNG KARYA",COUNTIF($I$10:I3220,"CV AGUNG KARYA")," ")</f>
        <v xml:space="preserve"> </v>
      </c>
      <c r="F3220" s="107" t="str">
        <f>IF(LEN(Table1722[[#This Row],[Uraian]])&gt;2,TRIM(RIGHT(SUBSTITUTE(TRIM(C3220)," ",REPT(" ",255)),255))," ")</f>
        <v xml:space="preserve"> </v>
      </c>
      <c r="G3220" s="110">
        <f>COPY!Z3212</f>
        <v>0</v>
      </c>
      <c r="H3220" s="111" t="str">
        <f>IFERROR(VLOOKUP(Table1722[[#This Row],[Bukti]],'Un nOTA'!$A$4:$K$5003,10,FALSE),"")</f>
        <v/>
      </c>
      <c r="I3220" s="123" t="str">
        <f>IFERROR(VLOOKUP(Table1722[[#This Row],[Bukti]],Table13[#Data],11,FALSE),"")</f>
        <v/>
      </c>
    </row>
    <row r="3221" spans="1:9" hidden="1" x14ac:dyDescent="0.2">
      <c r="A3221" s="105" t="str">
        <f>IF(D3221=1,COUNTIF($D$10:D3221,1)," ")</f>
        <v xml:space="preserve"> </v>
      </c>
      <c r="B3221" s="106">
        <f>COPY!AR3213</f>
        <v>0</v>
      </c>
      <c r="C3221" s="107">
        <f>COPY!AC3213</f>
        <v>0</v>
      </c>
      <c r="D3221" s="107" t="str">
        <f>IF(LEN(Table1722[[#This Row],[Uraian]])&gt;2,1," ")</f>
        <v xml:space="preserve"> </v>
      </c>
      <c r="E3221" s="113" t="str">
        <f>IF(Table1722[[#This Row],[Lawan Transaksi]]="CV AGUNG KARYA",COUNTIF($I$10:I3221,"CV AGUNG KARYA")," ")</f>
        <v xml:space="preserve"> </v>
      </c>
      <c r="F3221" s="107" t="str">
        <f>IF(LEN(Table1722[[#This Row],[Uraian]])&gt;2,TRIM(RIGHT(SUBSTITUTE(TRIM(C3221)," ",REPT(" ",255)),255))," ")</f>
        <v xml:space="preserve"> </v>
      </c>
      <c r="G3221" s="110">
        <f>COPY!Z3213</f>
        <v>0</v>
      </c>
      <c r="H3221" s="111" t="str">
        <f>IFERROR(VLOOKUP(Table1722[[#This Row],[Bukti]],'Un nOTA'!$A$4:$K$5003,10,FALSE),"")</f>
        <v/>
      </c>
      <c r="I3221" s="123" t="str">
        <f>IFERROR(VLOOKUP(Table1722[[#This Row],[Bukti]],Table13[#Data],11,FALSE),"")</f>
        <v/>
      </c>
    </row>
    <row r="3222" spans="1:9" hidden="1" x14ac:dyDescent="0.2">
      <c r="A3222" s="105" t="str">
        <f>IF(D3222=1,COUNTIF($D$10:D3222,1)," ")</f>
        <v xml:space="preserve"> </v>
      </c>
      <c r="B3222" s="106">
        <f>COPY!AR3214</f>
        <v>0</v>
      </c>
      <c r="C3222" s="107">
        <f>COPY!AC3214</f>
        <v>0</v>
      </c>
      <c r="D3222" s="107" t="str">
        <f>IF(LEN(Table1722[[#This Row],[Uraian]])&gt;2,1," ")</f>
        <v xml:space="preserve"> </v>
      </c>
      <c r="E3222" s="113" t="str">
        <f>IF(Table1722[[#This Row],[Lawan Transaksi]]="CV AGUNG KARYA",COUNTIF($I$10:I3222,"CV AGUNG KARYA")," ")</f>
        <v xml:space="preserve"> </v>
      </c>
      <c r="F3222" s="107" t="str">
        <f>IF(LEN(Table1722[[#This Row],[Uraian]])&gt;2,TRIM(RIGHT(SUBSTITUTE(TRIM(C3222)," ",REPT(" ",255)),255))," ")</f>
        <v xml:space="preserve"> </v>
      </c>
      <c r="G3222" s="110">
        <f>COPY!Z3214</f>
        <v>0</v>
      </c>
      <c r="H3222" s="111" t="str">
        <f>IFERROR(VLOOKUP(Table1722[[#This Row],[Bukti]],'Un nOTA'!$A$4:$K$5003,10,FALSE),"")</f>
        <v/>
      </c>
      <c r="I3222" s="123" t="str">
        <f>IFERROR(VLOOKUP(Table1722[[#This Row],[Bukti]],Table13[#Data],11,FALSE),"")</f>
        <v/>
      </c>
    </row>
    <row r="3223" spans="1:9" hidden="1" x14ac:dyDescent="0.2">
      <c r="A3223" s="105" t="str">
        <f>IF(D3223=1,COUNTIF($D$10:D3223,1)," ")</f>
        <v xml:space="preserve"> </v>
      </c>
      <c r="B3223" s="106">
        <f>COPY!AR3215</f>
        <v>0</v>
      </c>
      <c r="C3223" s="107">
        <f>COPY!AC3215</f>
        <v>0</v>
      </c>
      <c r="D3223" s="107" t="str">
        <f>IF(LEN(Table1722[[#This Row],[Uraian]])&gt;2,1," ")</f>
        <v xml:space="preserve"> </v>
      </c>
      <c r="E3223" s="113" t="str">
        <f>IF(Table1722[[#This Row],[Lawan Transaksi]]="CV AGUNG KARYA",COUNTIF($I$10:I3223,"CV AGUNG KARYA")," ")</f>
        <v xml:space="preserve"> </v>
      </c>
      <c r="F3223" s="107" t="str">
        <f>IF(LEN(Table1722[[#This Row],[Uraian]])&gt;2,TRIM(RIGHT(SUBSTITUTE(TRIM(C3223)," ",REPT(" ",255)),255))," ")</f>
        <v xml:space="preserve"> </v>
      </c>
      <c r="G3223" s="110">
        <f>COPY!Z3215</f>
        <v>0</v>
      </c>
      <c r="H3223" s="111" t="str">
        <f>IFERROR(VLOOKUP(Table1722[[#This Row],[Bukti]],'Un nOTA'!$A$4:$K$5003,10,FALSE),"")</f>
        <v/>
      </c>
      <c r="I3223" s="123" t="str">
        <f>IFERROR(VLOOKUP(Table1722[[#This Row],[Bukti]],Table13[#Data],11,FALSE),"")</f>
        <v/>
      </c>
    </row>
    <row r="3224" spans="1:9" hidden="1" x14ac:dyDescent="0.2">
      <c r="A3224" s="105" t="str">
        <f>IF(D3224=1,COUNTIF($D$10:D3224,1)," ")</f>
        <v xml:space="preserve"> </v>
      </c>
      <c r="B3224" s="106">
        <f>COPY!AR3216</f>
        <v>0</v>
      </c>
      <c r="C3224" s="107">
        <f>COPY!AC3216</f>
        <v>0</v>
      </c>
      <c r="D3224" s="107" t="str">
        <f>IF(LEN(Table1722[[#This Row],[Uraian]])&gt;2,1," ")</f>
        <v xml:space="preserve"> </v>
      </c>
      <c r="E3224" s="113" t="str">
        <f>IF(Table1722[[#This Row],[Lawan Transaksi]]="CV AGUNG KARYA",COUNTIF($I$10:I3224,"CV AGUNG KARYA")," ")</f>
        <v xml:space="preserve"> </v>
      </c>
      <c r="F3224" s="107" t="str">
        <f>IF(LEN(Table1722[[#This Row],[Uraian]])&gt;2,TRIM(RIGHT(SUBSTITUTE(TRIM(C3224)," ",REPT(" ",255)),255))," ")</f>
        <v xml:space="preserve"> </v>
      </c>
      <c r="G3224" s="110">
        <f>COPY!Z3216</f>
        <v>0</v>
      </c>
      <c r="H3224" s="111" t="str">
        <f>IFERROR(VLOOKUP(Table1722[[#This Row],[Bukti]],'Un nOTA'!$A$4:$K$5003,10,FALSE),"")</f>
        <v/>
      </c>
      <c r="I3224" s="123" t="str">
        <f>IFERROR(VLOOKUP(Table1722[[#This Row],[Bukti]],Table13[#Data],11,FALSE),"")</f>
        <v/>
      </c>
    </row>
    <row r="3225" spans="1:9" hidden="1" x14ac:dyDescent="0.2">
      <c r="A3225" s="105" t="str">
        <f>IF(D3225=1,COUNTIF($D$10:D3225,1)," ")</f>
        <v xml:space="preserve"> </v>
      </c>
      <c r="B3225" s="106">
        <f>COPY!AR3217</f>
        <v>0</v>
      </c>
      <c r="C3225" s="107">
        <f>COPY!AC3217</f>
        <v>0</v>
      </c>
      <c r="D3225" s="107" t="str">
        <f>IF(LEN(Table1722[[#This Row],[Uraian]])&gt;2,1," ")</f>
        <v xml:space="preserve"> </v>
      </c>
      <c r="E3225" s="113" t="str">
        <f>IF(Table1722[[#This Row],[Lawan Transaksi]]="CV AGUNG KARYA",COUNTIF($I$10:I3225,"CV AGUNG KARYA")," ")</f>
        <v xml:space="preserve"> </v>
      </c>
      <c r="F3225" s="107" t="str">
        <f>IF(LEN(Table1722[[#This Row],[Uraian]])&gt;2,TRIM(RIGHT(SUBSTITUTE(TRIM(C3225)," ",REPT(" ",255)),255))," ")</f>
        <v xml:space="preserve"> </v>
      </c>
      <c r="G3225" s="110">
        <f>COPY!Z3217</f>
        <v>0</v>
      </c>
      <c r="H3225" s="111" t="str">
        <f>IFERROR(VLOOKUP(Table1722[[#This Row],[Bukti]],'Un nOTA'!$A$4:$K$5003,10,FALSE),"")</f>
        <v/>
      </c>
      <c r="I3225" s="123" t="str">
        <f>IFERROR(VLOOKUP(Table1722[[#This Row],[Bukti]],Table13[#Data],11,FALSE),"")</f>
        <v/>
      </c>
    </row>
    <row r="3226" spans="1:9" hidden="1" x14ac:dyDescent="0.2">
      <c r="A3226" s="105" t="str">
        <f>IF(D3226=1,COUNTIF($D$10:D3226,1)," ")</f>
        <v xml:space="preserve"> </v>
      </c>
      <c r="B3226" s="106">
        <f>COPY!AR3218</f>
        <v>0</v>
      </c>
      <c r="C3226" s="107">
        <f>COPY!AC3218</f>
        <v>0</v>
      </c>
      <c r="D3226" s="107" t="str">
        <f>IF(LEN(Table1722[[#This Row],[Uraian]])&gt;2,1," ")</f>
        <v xml:space="preserve"> </v>
      </c>
      <c r="E3226" s="113" t="str">
        <f>IF(Table1722[[#This Row],[Lawan Transaksi]]="CV AGUNG KARYA",COUNTIF($I$10:I3226,"CV AGUNG KARYA")," ")</f>
        <v xml:space="preserve"> </v>
      </c>
      <c r="F3226" s="107" t="str">
        <f>IF(LEN(Table1722[[#This Row],[Uraian]])&gt;2,TRIM(RIGHT(SUBSTITUTE(TRIM(C3226)," ",REPT(" ",255)),255))," ")</f>
        <v xml:space="preserve"> </v>
      </c>
      <c r="G3226" s="110">
        <f>COPY!Z3218</f>
        <v>0</v>
      </c>
      <c r="H3226" s="111" t="str">
        <f>IFERROR(VLOOKUP(Table1722[[#This Row],[Bukti]],'Un nOTA'!$A$4:$K$5003,10,FALSE),"")</f>
        <v/>
      </c>
      <c r="I3226" s="123" t="str">
        <f>IFERROR(VLOOKUP(Table1722[[#This Row],[Bukti]],Table13[#Data],11,FALSE),"")</f>
        <v/>
      </c>
    </row>
    <row r="3227" spans="1:9" hidden="1" x14ac:dyDescent="0.2">
      <c r="A3227" s="105" t="str">
        <f>IF(D3227=1,COUNTIF($D$10:D3227,1)," ")</f>
        <v xml:space="preserve"> </v>
      </c>
      <c r="B3227" s="106">
        <f>COPY!AR3219</f>
        <v>0</v>
      </c>
      <c r="C3227" s="107">
        <f>COPY!AC3219</f>
        <v>0</v>
      </c>
      <c r="D3227" s="107" t="str">
        <f>IF(LEN(Table1722[[#This Row],[Uraian]])&gt;2,1," ")</f>
        <v xml:space="preserve"> </v>
      </c>
      <c r="E3227" s="113" t="str">
        <f>IF(Table1722[[#This Row],[Lawan Transaksi]]="CV AGUNG KARYA",COUNTIF($I$10:I3227,"CV AGUNG KARYA")," ")</f>
        <v xml:space="preserve"> </v>
      </c>
      <c r="F3227" s="107" t="str">
        <f>IF(LEN(Table1722[[#This Row],[Uraian]])&gt;2,TRIM(RIGHT(SUBSTITUTE(TRIM(C3227)," ",REPT(" ",255)),255))," ")</f>
        <v xml:space="preserve"> </v>
      </c>
      <c r="G3227" s="110">
        <f>COPY!Z3219</f>
        <v>0</v>
      </c>
      <c r="H3227" s="111" t="str">
        <f>IFERROR(VLOOKUP(Table1722[[#This Row],[Bukti]],'Un nOTA'!$A$4:$K$5003,10,FALSE),"")</f>
        <v/>
      </c>
      <c r="I3227" s="123" t="str">
        <f>IFERROR(VLOOKUP(Table1722[[#This Row],[Bukti]],Table13[#Data],11,FALSE),"")</f>
        <v/>
      </c>
    </row>
    <row r="3228" spans="1:9" hidden="1" x14ac:dyDescent="0.2">
      <c r="A3228" s="105" t="str">
        <f>IF(D3228=1,COUNTIF($D$10:D3228,1)," ")</f>
        <v xml:space="preserve"> </v>
      </c>
      <c r="B3228" s="106">
        <f>COPY!AR3220</f>
        <v>0</v>
      </c>
      <c r="C3228" s="107">
        <f>COPY!AC3220</f>
        <v>0</v>
      </c>
      <c r="D3228" s="107" t="str">
        <f>IF(LEN(Table1722[[#This Row],[Uraian]])&gt;2,1," ")</f>
        <v xml:space="preserve"> </v>
      </c>
      <c r="E3228" s="113" t="str">
        <f>IF(Table1722[[#This Row],[Lawan Transaksi]]="CV AGUNG KARYA",COUNTIF($I$10:I3228,"CV AGUNG KARYA")," ")</f>
        <v xml:space="preserve"> </v>
      </c>
      <c r="F3228" s="107" t="str">
        <f>IF(LEN(Table1722[[#This Row],[Uraian]])&gt;2,TRIM(RIGHT(SUBSTITUTE(TRIM(C3228)," ",REPT(" ",255)),255))," ")</f>
        <v xml:space="preserve"> </v>
      </c>
      <c r="G3228" s="110">
        <f>COPY!Z3220</f>
        <v>0</v>
      </c>
      <c r="H3228" s="111" t="str">
        <f>IFERROR(VLOOKUP(Table1722[[#This Row],[Bukti]],'Un nOTA'!$A$4:$K$5003,10,FALSE),"")</f>
        <v/>
      </c>
      <c r="I3228" s="123" t="str">
        <f>IFERROR(VLOOKUP(Table1722[[#This Row],[Bukti]],Table13[#Data],11,FALSE),"")</f>
        <v/>
      </c>
    </row>
    <row r="3229" spans="1:9" hidden="1" x14ac:dyDescent="0.2">
      <c r="A3229" s="105" t="str">
        <f>IF(D3229=1,COUNTIF($D$10:D3229,1)," ")</f>
        <v xml:space="preserve"> </v>
      </c>
      <c r="B3229" s="106">
        <f>COPY!AR3221</f>
        <v>0</v>
      </c>
      <c r="C3229" s="107">
        <f>COPY!AC3221</f>
        <v>0</v>
      </c>
      <c r="D3229" s="107" t="str">
        <f>IF(LEN(Table1722[[#This Row],[Uraian]])&gt;2,1," ")</f>
        <v xml:space="preserve"> </v>
      </c>
      <c r="E3229" s="113" t="str">
        <f>IF(Table1722[[#This Row],[Lawan Transaksi]]="CV AGUNG KARYA",COUNTIF($I$10:I3229,"CV AGUNG KARYA")," ")</f>
        <v xml:space="preserve"> </v>
      </c>
      <c r="F3229" s="107" t="str">
        <f>IF(LEN(Table1722[[#This Row],[Uraian]])&gt;2,TRIM(RIGHT(SUBSTITUTE(TRIM(C3229)," ",REPT(" ",255)),255))," ")</f>
        <v xml:space="preserve"> </v>
      </c>
      <c r="G3229" s="110">
        <f>COPY!Z3221</f>
        <v>0</v>
      </c>
      <c r="H3229" s="111" t="str">
        <f>IFERROR(VLOOKUP(Table1722[[#This Row],[Bukti]],'Un nOTA'!$A$4:$K$5003,10,FALSE),"")</f>
        <v/>
      </c>
      <c r="I3229" s="123" t="str">
        <f>IFERROR(VLOOKUP(Table1722[[#This Row],[Bukti]],Table13[#Data],11,FALSE),"")</f>
        <v/>
      </c>
    </row>
    <row r="3230" spans="1:9" hidden="1" x14ac:dyDescent="0.2">
      <c r="A3230" s="105" t="str">
        <f>IF(D3230=1,COUNTIF($D$10:D3230,1)," ")</f>
        <v xml:space="preserve"> </v>
      </c>
      <c r="B3230" s="106">
        <f>COPY!AR3222</f>
        <v>0</v>
      </c>
      <c r="C3230" s="107">
        <f>COPY!AC3222</f>
        <v>0</v>
      </c>
      <c r="D3230" s="107" t="str">
        <f>IF(LEN(Table1722[[#This Row],[Uraian]])&gt;2,1," ")</f>
        <v xml:space="preserve"> </v>
      </c>
      <c r="E3230" s="113" t="str">
        <f>IF(Table1722[[#This Row],[Lawan Transaksi]]="CV AGUNG KARYA",COUNTIF($I$10:I3230,"CV AGUNG KARYA")," ")</f>
        <v xml:space="preserve"> </v>
      </c>
      <c r="F3230" s="107" t="str">
        <f>IF(LEN(Table1722[[#This Row],[Uraian]])&gt;2,TRIM(RIGHT(SUBSTITUTE(TRIM(C3230)," ",REPT(" ",255)),255))," ")</f>
        <v xml:space="preserve"> </v>
      </c>
      <c r="G3230" s="110">
        <f>COPY!Z3222</f>
        <v>0</v>
      </c>
      <c r="H3230" s="111" t="str">
        <f>IFERROR(VLOOKUP(Table1722[[#This Row],[Bukti]],'Un nOTA'!$A$4:$K$5003,10,FALSE),"")</f>
        <v/>
      </c>
      <c r="I3230" s="123" t="str">
        <f>IFERROR(VLOOKUP(Table1722[[#This Row],[Bukti]],Table13[#Data],11,FALSE),"")</f>
        <v/>
      </c>
    </row>
    <row r="3231" spans="1:9" hidden="1" x14ac:dyDescent="0.2">
      <c r="A3231" s="105" t="str">
        <f>IF(D3231=1,COUNTIF($D$10:D3231,1)," ")</f>
        <v xml:space="preserve"> </v>
      </c>
      <c r="B3231" s="106">
        <f>COPY!AR3223</f>
        <v>0</v>
      </c>
      <c r="C3231" s="107">
        <f>COPY!AC3223</f>
        <v>0</v>
      </c>
      <c r="D3231" s="107" t="str">
        <f>IF(LEN(Table1722[[#This Row],[Uraian]])&gt;2,1," ")</f>
        <v xml:space="preserve"> </v>
      </c>
      <c r="E3231" s="113" t="str">
        <f>IF(Table1722[[#This Row],[Lawan Transaksi]]="CV AGUNG KARYA",COUNTIF($I$10:I3231,"CV AGUNG KARYA")," ")</f>
        <v xml:space="preserve"> </v>
      </c>
      <c r="F3231" s="107" t="str">
        <f>IF(LEN(Table1722[[#This Row],[Uraian]])&gt;2,TRIM(RIGHT(SUBSTITUTE(TRIM(C3231)," ",REPT(" ",255)),255))," ")</f>
        <v xml:space="preserve"> </v>
      </c>
      <c r="G3231" s="110">
        <f>COPY!Z3223</f>
        <v>0</v>
      </c>
      <c r="H3231" s="111" t="str">
        <f>IFERROR(VLOOKUP(Table1722[[#This Row],[Bukti]],'Un nOTA'!$A$4:$K$5003,10,FALSE),"")</f>
        <v/>
      </c>
      <c r="I3231" s="123" t="str">
        <f>IFERROR(VLOOKUP(Table1722[[#This Row],[Bukti]],Table13[#Data],11,FALSE),"")</f>
        <v/>
      </c>
    </row>
    <row r="3232" spans="1:9" hidden="1" x14ac:dyDescent="0.2">
      <c r="A3232" s="105" t="str">
        <f>IF(D3232=1,COUNTIF($D$10:D3232,1)," ")</f>
        <v xml:space="preserve"> </v>
      </c>
      <c r="B3232" s="106">
        <f>COPY!AR3224</f>
        <v>0</v>
      </c>
      <c r="C3232" s="107">
        <f>COPY!AC3224</f>
        <v>0</v>
      </c>
      <c r="D3232" s="107" t="str">
        <f>IF(LEN(Table1722[[#This Row],[Uraian]])&gt;2,1," ")</f>
        <v xml:space="preserve"> </v>
      </c>
      <c r="E3232" s="113" t="str">
        <f>IF(Table1722[[#This Row],[Lawan Transaksi]]="CV AGUNG KARYA",COUNTIF($I$10:I3232,"CV AGUNG KARYA")," ")</f>
        <v xml:space="preserve"> </v>
      </c>
      <c r="F3232" s="107" t="str">
        <f>IF(LEN(Table1722[[#This Row],[Uraian]])&gt;2,TRIM(RIGHT(SUBSTITUTE(TRIM(C3232)," ",REPT(" ",255)),255))," ")</f>
        <v xml:space="preserve"> </v>
      </c>
      <c r="G3232" s="110">
        <f>COPY!Z3224</f>
        <v>0</v>
      </c>
      <c r="H3232" s="111" t="str">
        <f>IFERROR(VLOOKUP(Table1722[[#This Row],[Bukti]],'Un nOTA'!$A$4:$K$5003,10,FALSE),"")</f>
        <v/>
      </c>
      <c r="I3232" s="123" t="str">
        <f>IFERROR(VLOOKUP(Table1722[[#This Row],[Bukti]],Table13[#Data],11,FALSE),"")</f>
        <v/>
      </c>
    </row>
    <row r="3233" spans="1:9" hidden="1" x14ac:dyDescent="0.2">
      <c r="A3233" s="105" t="str">
        <f>IF(D3233=1,COUNTIF($D$10:D3233,1)," ")</f>
        <v xml:space="preserve"> </v>
      </c>
      <c r="B3233" s="106">
        <f>COPY!AR3225</f>
        <v>0</v>
      </c>
      <c r="C3233" s="107">
        <f>COPY!AC3225</f>
        <v>0</v>
      </c>
      <c r="D3233" s="107" t="str">
        <f>IF(LEN(Table1722[[#This Row],[Uraian]])&gt;2,1," ")</f>
        <v xml:space="preserve"> </v>
      </c>
      <c r="E3233" s="113" t="str">
        <f>IF(Table1722[[#This Row],[Lawan Transaksi]]="CV AGUNG KARYA",COUNTIF($I$10:I3233,"CV AGUNG KARYA")," ")</f>
        <v xml:space="preserve"> </v>
      </c>
      <c r="F3233" s="107" t="str">
        <f>IF(LEN(Table1722[[#This Row],[Uraian]])&gt;2,TRIM(RIGHT(SUBSTITUTE(TRIM(C3233)," ",REPT(" ",255)),255))," ")</f>
        <v xml:space="preserve"> </v>
      </c>
      <c r="G3233" s="110">
        <f>COPY!Z3225</f>
        <v>0</v>
      </c>
      <c r="H3233" s="111" t="str">
        <f>IFERROR(VLOOKUP(Table1722[[#This Row],[Bukti]],'Un nOTA'!$A$4:$K$5003,10,FALSE),"")</f>
        <v/>
      </c>
      <c r="I3233" s="123" t="str">
        <f>IFERROR(VLOOKUP(Table1722[[#This Row],[Bukti]],Table13[#Data],11,FALSE),"")</f>
        <v/>
      </c>
    </row>
    <row r="3234" spans="1:9" hidden="1" x14ac:dyDescent="0.2">
      <c r="A3234" s="105" t="str">
        <f>IF(D3234=1,COUNTIF($D$10:D3234,1)," ")</f>
        <v xml:space="preserve"> </v>
      </c>
      <c r="B3234" s="106">
        <f>COPY!AR3226</f>
        <v>0</v>
      </c>
      <c r="C3234" s="107">
        <f>COPY!AC3226</f>
        <v>0</v>
      </c>
      <c r="D3234" s="107" t="str">
        <f>IF(LEN(Table1722[[#This Row],[Uraian]])&gt;2,1," ")</f>
        <v xml:space="preserve"> </v>
      </c>
      <c r="E3234" s="113" t="str">
        <f>IF(Table1722[[#This Row],[Lawan Transaksi]]="CV AGUNG KARYA",COUNTIF($I$10:I3234,"CV AGUNG KARYA")," ")</f>
        <v xml:space="preserve"> </v>
      </c>
      <c r="F3234" s="107" t="str">
        <f>IF(LEN(Table1722[[#This Row],[Uraian]])&gt;2,TRIM(RIGHT(SUBSTITUTE(TRIM(C3234)," ",REPT(" ",255)),255))," ")</f>
        <v xml:space="preserve"> </v>
      </c>
      <c r="G3234" s="110">
        <f>COPY!Z3226</f>
        <v>0</v>
      </c>
      <c r="H3234" s="111" t="str">
        <f>IFERROR(VLOOKUP(Table1722[[#This Row],[Bukti]],'Un nOTA'!$A$4:$K$5003,10,FALSE),"")</f>
        <v/>
      </c>
      <c r="I3234" s="123" t="str">
        <f>IFERROR(VLOOKUP(Table1722[[#This Row],[Bukti]],Table13[#Data],11,FALSE),"")</f>
        <v/>
      </c>
    </row>
    <row r="3235" spans="1:9" hidden="1" x14ac:dyDescent="0.2">
      <c r="A3235" s="105" t="str">
        <f>IF(D3235=1,COUNTIF($D$10:D3235,1)," ")</f>
        <v xml:space="preserve"> </v>
      </c>
      <c r="B3235" s="106">
        <f>COPY!AR3227</f>
        <v>0</v>
      </c>
      <c r="C3235" s="107">
        <f>COPY!AC3227</f>
        <v>0</v>
      </c>
      <c r="D3235" s="107" t="str">
        <f>IF(LEN(Table1722[[#This Row],[Uraian]])&gt;2,1," ")</f>
        <v xml:space="preserve"> </v>
      </c>
      <c r="E3235" s="113" t="str">
        <f>IF(Table1722[[#This Row],[Lawan Transaksi]]="CV AGUNG KARYA",COUNTIF($I$10:I3235,"CV AGUNG KARYA")," ")</f>
        <v xml:space="preserve"> </v>
      </c>
      <c r="F3235" s="107" t="str">
        <f>IF(LEN(Table1722[[#This Row],[Uraian]])&gt;2,TRIM(RIGHT(SUBSTITUTE(TRIM(C3235)," ",REPT(" ",255)),255))," ")</f>
        <v xml:space="preserve"> </v>
      </c>
      <c r="G3235" s="110">
        <f>COPY!Z3227</f>
        <v>0</v>
      </c>
      <c r="H3235" s="111" t="str">
        <f>IFERROR(VLOOKUP(Table1722[[#This Row],[Bukti]],'Un nOTA'!$A$4:$K$5003,10,FALSE),"")</f>
        <v/>
      </c>
      <c r="I3235" s="123" t="str">
        <f>IFERROR(VLOOKUP(Table1722[[#This Row],[Bukti]],Table13[#Data],11,FALSE),"")</f>
        <v/>
      </c>
    </row>
    <row r="3236" spans="1:9" hidden="1" x14ac:dyDescent="0.2">
      <c r="A3236" s="105" t="str">
        <f>IF(D3236=1,COUNTIF($D$10:D3236,1)," ")</f>
        <v xml:space="preserve"> </v>
      </c>
      <c r="B3236" s="106">
        <f>COPY!AR3228</f>
        <v>0</v>
      </c>
      <c r="C3236" s="107">
        <f>COPY!AC3228</f>
        <v>0</v>
      </c>
      <c r="D3236" s="107" t="str">
        <f>IF(LEN(Table1722[[#This Row],[Uraian]])&gt;2,1," ")</f>
        <v xml:space="preserve"> </v>
      </c>
      <c r="E3236" s="113" t="str">
        <f>IF(Table1722[[#This Row],[Lawan Transaksi]]="CV AGUNG KARYA",COUNTIF($I$10:I3236,"CV AGUNG KARYA")," ")</f>
        <v xml:space="preserve"> </v>
      </c>
      <c r="F3236" s="107" t="str">
        <f>IF(LEN(Table1722[[#This Row],[Uraian]])&gt;2,TRIM(RIGHT(SUBSTITUTE(TRIM(C3236)," ",REPT(" ",255)),255))," ")</f>
        <v xml:space="preserve"> </v>
      </c>
      <c r="G3236" s="110">
        <f>COPY!Z3228</f>
        <v>0</v>
      </c>
      <c r="H3236" s="111" t="str">
        <f>IFERROR(VLOOKUP(Table1722[[#This Row],[Bukti]],'Un nOTA'!$A$4:$K$5003,10,FALSE),"")</f>
        <v/>
      </c>
      <c r="I3236" s="123" t="str">
        <f>IFERROR(VLOOKUP(Table1722[[#This Row],[Bukti]],Table13[#Data],11,FALSE),"")</f>
        <v/>
      </c>
    </row>
    <row r="3237" spans="1:9" hidden="1" x14ac:dyDescent="0.2">
      <c r="A3237" s="105" t="str">
        <f>IF(D3237=1,COUNTIF($D$10:D3237,1)," ")</f>
        <v xml:space="preserve"> </v>
      </c>
      <c r="B3237" s="106">
        <f>COPY!AR3229</f>
        <v>0</v>
      </c>
      <c r="C3237" s="107">
        <f>COPY!AC3229</f>
        <v>0</v>
      </c>
      <c r="D3237" s="107" t="str">
        <f>IF(LEN(Table1722[[#This Row],[Uraian]])&gt;2,1," ")</f>
        <v xml:space="preserve"> </v>
      </c>
      <c r="E3237" s="113" t="str">
        <f>IF(Table1722[[#This Row],[Lawan Transaksi]]="CV AGUNG KARYA",COUNTIF($I$10:I3237,"CV AGUNG KARYA")," ")</f>
        <v xml:space="preserve"> </v>
      </c>
      <c r="F3237" s="107" t="str">
        <f>IF(LEN(Table1722[[#This Row],[Uraian]])&gt;2,TRIM(RIGHT(SUBSTITUTE(TRIM(C3237)," ",REPT(" ",255)),255))," ")</f>
        <v xml:space="preserve"> </v>
      </c>
      <c r="G3237" s="110">
        <f>COPY!Z3229</f>
        <v>0</v>
      </c>
      <c r="H3237" s="111" t="str">
        <f>IFERROR(VLOOKUP(Table1722[[#This Row],[Bukti]],'Un nOTA'!$A$4:$K$5003,10,FALSE),"")</f>
        <v/>
      </c>
      <c r="I3237" s="123" t="str">
        <f>IFERROR(VLOOKUP(Table1722[[#This Row],[Bukti]],Table13[#Data],11,FALSE),"")</f>
        <v/>
      </c>
    </row>
    <row r="3238" spans="1:9" hidden="1" x14ac:dyDescent="0.2">
      <c r="A3238" s="105" t="str">
        <f>IF(D3238=1,COUNTIF($D$10:D3238,1)," ")</f>
        <v xml:space="preserve"> </v>
      </c>
      <c r="B3238" s="106">
        <f>COPY!AR3230</f>
        <v>0</v>
      </c>
      <c r="C3238" s="107">
        <f>COPY!AC3230</f>
        <v>0</v>
      </c>
      <c r="D3238" s="107" t="str">
        <f>IF(LEN(Table1722[[#This Row],[Uraian]])&gt;2,1," ")</f>
        <v xml:space="preserve"> </v>
      </c>
      <c r="E3238" s="113" t="str">
        <f>IF(Table1722[[#This Row],[Lawan Transaksi]]="CV AGUNG KARYA",COUNTIF($I$10:I3238,"CV AGUNG KARYA")," ")</f>
        <v xml:space="preserve"> </v>
      </c>
      <c r="F3238" s="107" t="str">
        <f>IF(LEN(Table1722[[#This Row],[Uraian]])&gt;2,TRIM(RIGHT(SUBSTITUTE(TRIM(C3238)," ",REPT(" ",255)),255))," ")</f>
        <v xml:space="preserve"> </v>
      </c>
      <c r="G3238" s="110">
        <f>COPY!Z3230</f>
        <v>0</v>
      </c>
      <c r="H3238" s="111" t="str">
        <f>IFERROR(VLOOKUP(Table1722[[#This Row],[Bukti]],'Un nOTA'!$A$4:$K$5003,10,FALSE),"")</f>
        <v/>
      </c>
      <c r="I3238" s="123" t="str">
        <f>IFERROR(VLOOKUP(Table1722[[#This Row],[Bukti]],Table13[#Data],11,FALSE),"")</f>
        <v/>
      </c>
    </row>
    <row r="3239" spans="1:9" hidden="1" x14ac:dyDescent="0.2">
      <c r="A3239" s="105" t="str">
        <f>IF(D3239=1,COUNTIF($D$10:D3239,1)," ")</f>
        <v xml:space="preserve"> </v>
      </c>
      <c r="B3239" s="106">
        <f>COPY!AR3231</f>
        <v>0</v>
      </c>
      <c r="C3239" s="107">
        <f>COPY!AC3231</f>
        <v>0</v>
      </c>
      <c r="D3239" s="107" t="str">
        <f>IF(LEN(Table1722[[#This Row],[Uraian]])&gt;2,1," ")</f>
        <v xml:space="preserve"> </v>
      </c>
      <c r="E3239" s="113" t="str">
        <f>IF(Table1722[[#This Row],[Lawan Transaksi]]="CV AGUNG KARYA",COUNTIF($I$10:I3239,"CV AGUNG KARYA")," ")</f>
        <v xml:space="preserve"> </v>
      </c>
      <c r="F3239" s="107" t="str">
        <f>IF(LEN(Table1722[[#This Row],[Uraian]])&gt;2,TRIM(RIGHT(SUBSTITUTE(TRIM(C3239)," ",REPT(" ",255)),255))," ")</f>
        <v xml:space="preserve"> </v>
      </c>
      <c r="G3239" s="110">
        <f>COPY!Z3231</f>
        <v>0</v>
      </c>
      <c r="H3239" s="111" t="str">
        <f>IFERROR(VLOOKUP(Table1722[[#This Row],[Bukti]],'Un nOTA'!$A$4:$K$5003,10,FALSE),"")</f>
        <v/>
      </c>
      <c r="I3239" s="123" t="str">
        <f>IFERROR(VLOOKUP(Table1722[[#This Row],[Bukti]],Table13[#Data],11,FALSE),"")</f>
        <v/>
      </c>
    </row>
    <row r="3240" spans="1:9" hidden="1" x14ac:dyDescent="0.2">
      <c r="A3240" s="105" t="str">
        <f>IF(D3240=1,COUNTIF($D$10:D3240,1)," ")</f>
        <v xml:space="preserve"> </v>
      </c>
      <c r="B3240" s="106">
        <f>COPY!AR3232</f>
        <v>0</v>
      </c>
      <c r="C3240" s="107">
        <f>COPY!AC3232</f>
        <v>0</v>
      </c>
      <c r="D3240" s="107" t="str">
        <f>IF(LEN(Table1722[[#This Row],[Uraian]])&gt;2,1," ")</f>
        <v xml:space="preserve"> </v>
      </c>
      <c r="E3240" s="113" t="str">
        <f>IF(Table1722[[#This Row],[Lawan Transaksi]]="CV AGUNG KARYA",COUNTIF($I$10:I3240,"CV AGUNG KARYA")," ")</f>
        <v xml:space="preserve"> </v>
      </c>
      <c r="F3240" s="107" t="str">
        <f>IF(LEN(Table1722[[#This Row],[Uraian]])&gt;2,TRIM(RIGHT(SUBSTITUTE(TRIM(C3240)," ",REPT(" ",255)),255))," ")</f>
        <v xml:space="preserve"> </v>
      </c>
      <c r="G3240" s="110">
        <f>COPY!Z3232</f>
        <v>0</v>
      </c>
      <c r="H3240" s="111" t="str">
        <f>IFERROR(VLOOKUP(Table1722[[#This Row],[Bukti]],'Un nOTA'!$A$4:$K$5003,10,FALSE),"")</f>
        <v/>
      </c>
      <c r="I3240" s="123" t="str">
        <f>IFERROR(VLOOKUP(Table1722[[#This Row],[Bukti]],Table13[#Data],11,FALSE),"")</f>
        <v/>
      </c>
    </row>
    <row r="3241" spans="1:9" hidden="1" x14ac:dyDescent="0.2">
      <c r="A3241" s="105" t="str">
        <f>IF(D3241=1,COUNTIF($D$10:D3241,1)," ")</f>
        <v xml:space="preserve"> </v>
      </c>
      <c r="B3241" s="106">
        <f>COPY!AR3233</f>
        <v>0</v>
      </c>
      <c r="C3241" s="107">
        <f>COPY!AC3233</f>
        <v>0</v>
      </c>
      <c r="D3241" s="107" t="str">
        <f>IF(LEN(Table1722[[#This Row],[Uraian]])&gt;2,1," ")</f>
        <v xml:space="preserve"> </v>
      </c>
      <c r="E3241" s="113" t="str">
        <f>IF(Table1722[[#This Row],[Lawan Transaksi]]="CV AGUNG KARYA",COUNTIF($I$10:I3241,"CV AGUNG KARYA")," ")</f>
        <v xml:space="preserve"> </v>
      </c>
      <c r="F3241" s="107" t="str">
        <f>IF(LEN(Table1722[[#This Row],[Uraian]])&gt;2,TRIM(RIGHT(SUBSTITUTE(TRIM(C3241)," ",REPT(" ",255)),255))," ")</f>
        <v xml:space="preserve"> </v>
      </c>
      <c r="G3241" s="110">
        <f>COPY!Z3233</f>
        <v>0</v>
      </c>
      <c r="H3241" s="111" t="str">
        <f>IFERROR(VLOOKUP(Table1722[[#This Row],[Bukti]],'Un nOTA'!$A$4:$K$5003,10,FALSE),"")</f>
        <v/>
      </c>
      <c r="I3241" s="123" t="str">
        <f>IFERROR(VLOOKUP(Table1722[[#This Row],[Bukti]],Table13[#Data],11,FALSE),"")</f>
        <v/>
      </c>
    </row>
    <row r="3242" spans="1:9" hidden="1" x14ac:dyDescent="0.2">
      <c r="A3242" s="105" t="str">
        <f>IF(D3242=1,COUNTIF($D$10:D3242,1)," ")</f>
        <v xml:space="preserve"> </v>
      </c>
      <c r="B3242" s="106">
        <f>COPY!AR3234</f>
        <v>0</v>
      </c>
      <c r="C3242" s="107">
        <f>COPY!AC3234</f>
        <v>0</v>
      </c>
      <c r="D3242" s="107" t="str">
        <f>IF(LEN(Table1722[[#This Row],[Uraian]])&gt;2,1," ")</f>
        <v xml:space="preserve"> </v>
      </c>
      <c r="E3242" s="113" t="str">
        <f>IF(Table1722[[#This Row],[Lawan Transaksi]]="CV AGUNG KARYA",COUNTIF($I$10:I3242,"CV AGUNG KARYA")," ")</f>
        <v xml:space="preserve"> </v>
      </c>
      <c r="F3242" s="107" t="str">
        <f>IF(LEN(Table1722[[#This Row],[Uraian]])&gt;2,TRIM(RIGHT(SUBSTITUTE(TRIM(C3242)," ",REPT(" ",255)),255))," ")</f>
        <v xml:space="preserve"> </v>
      </c>
      <c r="G3242" s="110">
        <f>COPY!Z3234</f>
        <v>0</v>
      </c>
      <c r="H3242" s="111" t="str">
        <f>IFERROR(VLOOKUP(Table1722[[#This Row],[Bukti]],'Un nOTA'!$A$4:$K$5003,10,FALSE),"")</f>
        <v/>
      </c>
      <c r="I3242" s="123" t="str">
        <f>IFERROR(VLOOKUP(Table1722[[#This Row],[Bukti]],Table13[#Data],11,FALSE),"")</f>
        <v/>
      </c>
    </row>
    <row r="3243" spans="1:9" hidden="1" x14ac:dyDescent="0.2">
      <c r="A3243" s="105" t="str">
        <f>IF(D3243=1,COUNTIF($D$10:D3243,1)," ")</f>
        <v xml:space="preserve"> </v>
      </c>
      <c r="B3243" s="106">
        <f>COPY!AR3235</f>
        <v>0</v>
      </c>
      <c r="C3243" s="107">
        <f>COPY!AC3235</f>
        <v>0</v>
      </c>
      <c r="D3243" s="107" t="str">
        <f>IF(LEN(Table1722[[#This Row],[Uraian]])&gt;2,1," ")</f>
        <v xml:space="preserve"> </v>
      </c>
      <c r="E3243" s="113" t="str">
        <f>IF(Table1722[[#This Row],[Lawan Transaksi]]="CV AGUNG KARYA",COUNTIF($I$10:I3243,"CV AGUNG KARYA")," ")</f>
        <v xml:space="preserve"> </v>
      </c>
      <c r="F3243" s="107" t="str">
        <f>IF(LEN(Table1722[[#This Row],[Uraian]])&gt;2,TRIM(RIGHT(SUBSTITUTE(TRIM(C3243)," ",REPT(" ",255)),255))," ")</f>
        <v xml:space="preserve"> </v>
      </c>
      <c r="G3243" s="110">
        <f>COPY!Z3235</f>
        <v>0</v>
      </c>
      <c r="H3243" s="111" t="str">
        <f>IFERROR(VLOOKUP(Table1722[[#This Row],[Bukti]],'Un nOTA'!$A$4:$K$5003,10,FALSE),"")</f>
        <v/>
      </c>
      <c r="I3243" s="123" t="str">
        <f>IFERROR(VLOOKUP(Table1722[[#This Row],[Bukti]],Table13[#Data],11,FALSE),"")</f>
        <v/>
      </c>
    </row>
    <row r="3244" spans="1:9" hidden="1" x14ac:dyDescent="0.2">
      <c r="A3244" s="105" t="str">
        <f>IF(D3244=1,COUNTIF($D$10:D3244,1)," ")</f>
        <v xml:space="preserve"> </v>
      </c>
      <c r="B3244" s="106">
        <f>COPY!AR3236</f>
        <v>0</v>
      </c>
      <c r="C3244" s="107">
        <f>COPY!AC3236</f>
        <v>0</v>
      </c>
      <c r="D3244" s="107" t="str">
        <f>IF(LEN(Table1722[[#This Row],[Uraian]])&gt;2,1," ")</f>
        <v xml:space="preserve"> </v>
      </c>
      <c r="E3244" s="113" t="str">
        <f>IF(Table1722[[#This Row],[Lawan Transaksi]]="CV AGUNG KARYA",COUNTIF($I$10:I3244,"CV AGUNG KARYA")," ")</f>
        <v xml:space="preserve"> </v>
      </c>
      <c r="F3244" s="107" t="str">
        <f>IF(LEN(Table1722[[#This Row],[Uraian]])&gt;2,TRIM(RIGHT(SUBSTITUTE(TRIM(C3244)," ",REPT(" ",255)),255))," ")</f>
        <v xml:space="preserve"> </v>
      </c>
      <c r="G3244" s="110">
        <f>COPY!Z3236</f>
        <v>0</v>
      </c>
      <c r="H3244" s="111" t="str">
        <f>IFERROR(VLOOKUP(Table1722[[#This Row],[Bukti]],'Un nOTA'!$A$4:$K$5003,10,FALSE),"")</f>
        <v/>
      </c>
      <c r="I3244" s="123" t="str">
        <f>IFERROR(VLOOKUP(Table1722[[#This Row],[Bukti]],Table13[#Data],11,FALSE),"")</f>
        <v/>
      </c>
    </row>
    <row r="3245" spans="1:9" hidden="1" x14ac:dyDescent="0.2">
      <c r="A3245" s="105" t="str">
        <f>IF(D3245=1,COUNTIF($D$10:D3245,1)," ")</f>
        <v xml:space="preserve"> </v>
      </c>
      <c r="B3245" s="106">
        <f>COPY!AR3237</f>
        <v>0</v>
      </c>
      <c r="C3245" s="107">
        <f>COPY!AC3237</f>
        <v>0</v>
      </c>
      <c r="D3245" s="107" t="str">
        <f>IF(LEN(Table1722[[#This Row],[Uraian]])&gt;2,1," ")</f>
        <v xml:space="preserve"> </v>
      </c>
      <c r="E3245" s="113" t="str">
        <f>IF(Table1722[[#This Row],[Lawan Transaksi]]="CV AGUNG KARYA",COUNTIF($I$10:I3245,"CV AGUNG KARYA")," ")</f>
        <v xml:space="preserve"> </v>
      </c>
      <c r="F3245" s="107" t="str">
        <f>IF(LEN(Table1722[[#This Row],[Uraian]])&gt;2,TRIM(RIGHT(SUBSTITUTE(TRIM(C3245)," ",REPT(" ",255)),255))," ")</f>
        <v xml:space="preserve"> </v>
      </c>
      <c r="G3245" s="110">
        <f>COPY!Z3237</f>
        <v>0</v>
      </c>
      <c r="H3245" s="111" t="str">
        <f>IFERROR(VLOOKUP(Table1722[[#This Row],[Bukti]],'Un nOTA'!$A$4:$K$5003,10,FALSE),"")</f>
        <v/>
      </c>
      <c r="I3245" s="123" t="str">
        <f>IFERROR(VLOOKUP(Table1722[[#This Row],[Bukti]],Table13[#Data],11,FALSE),"")</f>
        <v/>
      </c>
    </row>
    <row r="3246" spans="1:9" hidden="1" x14ac:dyDescent="0.2">
      <c r="A3246" s="105" t="str">
        <f>IF(D3246=1,COUNTIF($D$10:D3246,1)," ")</f>
        <v xml:space="preserve"> </v>
      </c>
      <c r="B3246" s="106">
        <f>COPY!AR3238</f>
        <v>0</v>
      </c>
      <c r="C3246" s="107">
        <f>COPY!AC3238</f>
        <v>0</v>
      </c>
      <c r="D3246" s="107" t="str">
        <f>IF(LEN(Table1722[[#This Row],[Uraian]])&gt;2,1," ")</f>
        <v xml:space="preserve"> </v>
      </c>
      <c r="E3246" s="113" t="str">
        <f>IF(Table1722[[#This Row],[Lawan Transaksi]]="CV AGUNG KARYA",COUNTIF($I$10:I3246,"CV AGUNG KARYA")," ")</f>
        <v xml:space="preserve"> </v>
      </c>
      <c r="F3246" s="107" t="str">
        <f>IF(LEN(Table1722[[#This Row],[Uraian]])&gt;2,TRIM(RIGHT(SUBSTITUTE(TRIM(C3246)," ",REPT(" ",255)),255))," ")</f>
        <v xml:space="preserve"> </v>
      </c>
      <c r="G3246" s="110">
        <f>COPY!Z3238</f>
        <v>0</v>
      </c>
      <c r="H3246" s="111" t="str">
        <f>IFERROR(VLOOKUP(Table1722[[#This Row],[Bukti]],'Un nOTA'!$A$4:$K$5003,10,FALSE),"")</f>
        <v/>
      </c>
      <c r="I3246" s="123" t="str">
        <f>IFERROR(VLOOKUP(Table1722[[#This Row],[Bukti]],Table13[#Data],11,FALSE),"")</f>
        <v/>
      </c>
    </row>
    <row r="3247" spans="1:9" hidden="1" x14ac:dyDescent="0.2">
      <c r="A3247" s="105" t="str">
        <f>IF(D3247=1,COUNTIF($D$10:D3247,1)," ")</f>
        <v xml:space="preserve"> </v>
      </c>
      <c r="B3247" s="106">
        <f>COPY!AR3239</f>
        <v>0</v>
      </c>
      <c r="C3247" s="107">
        <f>COPY!AC3239</f>
        <v>0</v>
      </c>
      <c r="D3247" s="107" t="str">
        <f>IF(LEN(Table1722[[#This Row],[Uraian]])&gt;2,1," ")</f>
        <v xml:space="preserve"> </v>
      </c>
      <c r="E3247" s="113" t="str">
        <f>IF(Table1722[[#This Row],[Lawan Transaksi]]="CV AGUNG KARYA",COUNTIF($I$10:I3247,"CV AGUNG KARYA")," ")</f>
        <v xml:space="preserve"> </v>
      </c>
      <c r="F3247" s="107" t="str">
        <f>IF(LEN(Table1722[[#This Row],[Uraian]])&gt;2,TRIM(RIGHT(SUBSTITUTE(TRIM(C3247)," ",REPT(" ",255)),255))," ")</f>
        <v xml:space="preserve"> </v>
      </c>
      <c r="G3247" s="110">
        <f>COPY!Z3239</f>
        <v>0</v>
      </c>
      <c r="H3247" s="111" t="str">
        <f>IFERROR(VLOOKUP(Table1722[[#This Row],[Bukti]],'Un nOTA'!$A$4:$K$5003,10,FALSE),"")</f>
        <v/>
      </c>
      <c r="I3247" s="123" t="str">
        <f>IFERROR(VLOOKUP(Table1722[[#This Row],[Bukti]],Table13[#Data],11,FALSE),"")</f>
        <v/>
      </c>
    </row>
    <row r="3248" spans="1:9" hidden="1" x14ac:dyDescent="0.2">
      <c r="A3248" s="105" t="str">
        <f>IF(D3248=1,COUNTIF($D$10:D3248,1)," ")</f>
        <v xml:space="preserve"> </v>
      </c>
      <c r="B3248" s="106">
        <f>COPY!AR3240</f>
        <v>0</v>
      </c>
      <c r="C3248" s="107">
        <f>COPY!AC3240</f>
        <v>0</v>
      </c>
      <c r="D3248" s="107" t="str">
        <f>IF(LEN(Table1722[[#This Row],[Uraian]])&gt;2,1," ")</f>
        <v xml:space="preserve"> </v>
      </c>
      <c r="E3248" s="113" t="str">
        <f>IF(Table1722[[#This Row],[Lawan Transaksi]]="CV AGUNG KARYA",COUNTIF($I$10:I3248,"CV AGUNG KARYA")," ")</f>
        <v xml:space="preserve"> </v>
      </c>
      <c r="F3248" s="107" t="str">
        <f>IF(LEN(Table1722[[#This Row],[Uraian]])&gt;2,TRIM(RIGHT(SUBSTITUTE(TRIM(C3248)," ",REPT(" ",255)),255))," ")</f>
        <v xml:space="preserve"> </v>
      </c>
      <c r="G3248" s="110">
        <f>COPY!Z3240</f>
        <v>0</v>
      </c>
      <c r="H3248" s="111" t="str">
        <f>IFERROR(VLOOKUP(Table1722[[#This Row],[Bukti]],'Un nOTA'!$A$4:$K$5003,10,FALSE),"")</f>
        <v/>
      </c>
      <c r="I3248" s="123" t="str">
        <f>IFERROR(VLOOKUP(Table1722[[#This Row],[Bukti]],Table13[#Data],11,FALSE),"")</f>
        <v/>
      </c>
    </row>
    <row r="3249" spans="1:9" hidden="1" x14ac:dyDescent="0.2">
      <c r="A3249" s="105" t="str">
        <f>IF(D3249=1,COUNTIF($D$10:D3249,1)," ")</f>
        <v xml:space="preserve"> </v>
      </c>
      <c r="B3249" s="106">
        <f>COPY!AR3241</f>
        <v>0</v>
      </c>
      <c r="C3249" s="107">
        <f>COPY!AC3241</f>
        <v>0</v>
      </c>
      <c r="D3249" s="107" t="str">
        <f>IF(LEN(Table1722[[#This Row],[Uraian]])&gt;2,1," ")</f>
        <v xml:space="preserve"> </v>
      </c>
      <c r="E3249" s="113" t="str">
        <f>IF(Table1722[[#This Row],[Lawan Transaksi]]="CV AGUNG KARYA",COUNTIF($I$10:I3249,"CV AGUNG KARYA")," ")</f>
        <v xml:space="preserve"> </v>
      </c>
      <c r="F3249" s="107" t="str">
        <f>IF(LEN(Table1722[[#This Row],[Uraian]])&gt;2,TRIM(RIGHT(SUBSTITUTE(TRIM(C3249)," ",REPT(" ",255)),255))," ")</f>
        <v xml:space="preserve"> </v>
      </c>
      <c r="G3249" s="110">
        <f>COPY!Z3241</f>
        <v>0</v>
      </c>
      <c r="H3249" s="111" t="str">
        <f>IFERROR(VLOOKUP(Table1722[[#This Row],[Bukti]],'Un nOTA'!$A$4:$K$5003,10,FALSE),"")</f>
        <v/>
      </c>
      <c r="I3249" s="123" t="str">
        <f>IFERROR(VLOOKUP(Table1722[[#This Row],[Bukti]],Table13[#Data],11,FALSE),"")</f>
        <v/>
      </c>
    </row>
    <row r="3250" spans="1:9" hidden="1" x14ac:dyDescent="0.2">
      <c r="A3250" s="105" t="str">
        <f>IF(D3250=1,COUNTIF($D$10:D3250,1)," ")</f>
        <v xml:space="preserve"> </v>
      </c>
      <c r="B3250" s="106">
        <f>COPY!AR3242</f>
        <v>0</v>
      </c>
      <c r="C3250" s="107">
        <f>COPY!AC3242</f>
        <v>0</v>
      </c>
      <c r="D3250" s="107" t="str">
        <f>IF(LEN(Table1722[[#This Row],[Uraian]])&gt;2,1," ")</f>
        <v xml:space="preserve"> </v>
      </c>
      <c r="E3250" s="113" t="str">
        <f>IF(Table1722[[#This Row],[Lawan Transaksi]]="CV AGUNG KARYA",COUNTIF($I$10:I3250,"CV AGUNG KARYA")," ")</f>
        <v xml:space="preserve"> </v>
      </c>
      <c r="F3250" s="107" t="str">
        <f>IF(LEN(Table1722[[#This Row],[Uraian]])&gt;2,TRIM(RIGHT(SUBSTITUTE(TRIM(C3250)," ",REPT(" ",255)),255))," ")</f>
        <v xml:space="preserve"> </v>
      </c>
      <c r="G3250" s="110">
        <f>COPY!Z3242</f>
        <v>0</v>
      </c>
      <c r="H3250" s="111" t="str">
        <f>IFERROR(VLOOKUP(Table1722[[#This Row],[Bukti]],'Un nOTA'!$A$4:$K$5003,10,FALSE),"")</f>
        <v/>
      </c>
      <c r="I3250" s="123" t="str">
        <f>IFERROR(VLOOKUP(Table1722[[#This Row],[Bukti]],Table13[#Data],11,FALSE),"")</f>
        <v/>
      </c>
    </row>
    <row r="3251" spans="1:9" hidden="1" x14ac:dyDescent="0.2">
      <c r="A3251" s="105" t="str">
        <f>IF(D3251=1,COUNTIF($D$10:D3251,1)," ")</f>
        <v xml:space="preserve"> </v>
      </c>
      <c r="B3251" s="106">
        <f>COPY!AR3243</f>
        <v>0</v>
      </c>
      <c r="C3251" s="107">
        <f>COPY!AC3243</f>
        <v>0</v>
      </c>
      <c r="D3251" s="107" t="str">
        <f>IF(LEN(Table1722[[#This Row],[Uraian]])&gt;2,1," ")</f>
        <v xml:space="preserve"> </v>
      </c>
      <c r="E3251" s="113" t="str">
        <f>IF(Table1722[[#This Row],[Lawan Transaksi]]="CV AGUNG KARYA",COUNTIF($I$10:I3251,"CV AGUNG KARYA")," ")</f>
        <v xml:space="preserve"> </v>
      </c>
      <c r="F3251" s="107" t="str">
        <f>IF(LEN(Table1722[[#This Row],[Uraian]])&gt;2,TRIM(RIGHT(SUBSTITUTE(TRIM(C3251)," ",REPT(" ",255)),255))," ")</f>
        <v xml:space="preserve"> </v>
      </c>
      <c r="G3251" s="110">
        <f>COPY!Z3243</f>
        <v>0</v>
      </c>
      <c r="H3251" s="111" t="str">
        <f>IFERROR(VLOOKUP(Table1722[[#This Row],[Bukti]],'Un nOTA'!$A$4:$K$5003,10,FALSE),"")</f>
        <v/>
      </c>
      <c r="I3251" s="123" t="str">
        <f>IFERROR(VLOOKUP(Table1722[[#This Row],[Bukti]],Table13[#Data],11,FALSE),"")</f>
        <v/>
      </c>
    </row>
    <row r="3252" spans="1:9" hidden="1" x14ac:dyDescent="0.2">
      <c r="A3252" s="105" t="str">
        <f>IF(D3252=1,COUNTIF($D$10:D3252,1)," ")</f>
        <v xml:space="preserve"> </v>
      </c>
      <c r="B3252" s="106">
        <f>COPY!AR3244</f>
        <v>0</v>
      </c>
      <c r="C3252" s="107">
        <f>COPY!AC3244</f>
        <v>0</v>
      </c>
      <c r="D3252" s="107" t="str">
        <f>IF(LEN(Table1722[[#This Row],[Uraian]])&gt;2,1," ")</f>
        <v xml:space="preserve"> </v>
      </c>
      <c r="E3252" s="113" t="str">
        <f>IF(Table1722[[#This Row],[Lawan Transaksi]]="CV AGUNG KARYA",COUNTIF($I$10:I3252,"CV AGUNG KARYA")," ")</f>
        <v xml:space="preserve"> </v>
      </c>
      <c r="F3252" s="107" t="str">
        <f>IF(LEN(Table1722[[#This Row],[Uraian]])&gt;2,TRIM(RIGHT(SUBSTITUTE(TRIM(C3252)," ",REPT(" ",255)),255))," ")</f>
        <v xml:space="preserve"> </v>
      </c>
      <c r="G3252" s="110">
        <f>COPY!Z3244</f>
        <v>0</v>
      </c>
      <c r="H3252" s="111" t="str">
        <f>IFERROR(VLOOKUP(Table1722[[#This Row],[Bukti]],'Un nOTA'!$A$4:$K$5003,10,FALSE),"")</f>
        <v/>
      </c>
      <c r="I3252" s="123" t="str">
        <f>IFERROR(VLOOKUP(Table1722[[#This Row],[Bukti]],Table13[#Data],11,FALSE),"")</f>
        <v/>
      </c>
    </row>
    <row r="3253" spans="1:9" hidden="1" x14ac:dyDescent="0.2">
      <c r="A3253" s="105" t="str">
        <f>IF(D3253=1,COUNTIF($D$10:D3253,1)," ")</f>
        <v xml:space="preserve"> </v>
      </c>
      <c r="B3253" s="106">
        <f>COPY!AR3245</f>
        <v>0</v>
      </c>
      <c r="C3253" s="107">
        <f>COPY!AC3245</f>
        <v>0</v>
      </c>
      <c r="D3253" s="107" t="str">
        <f>IF(LEN(Table1722[[#This Row],[Uraian]])&gt;2,1," ")</f>
        <v xml:space="preserve"> </v>
      </c>
      <c r="E3253" s="113" t="str">
        <f>IF(Table1722[[#This Row],[Lawan Transaksi]]="CV AGUNG KARYA",COUNTIF($I$10:I3253,"CV AGUNG KARYA")," ")</f>
        <v xml:space="preserve"> </v>
      </c>
      <c r="F3253" s="107" t="str">
        <f>IF(LEN(Table1722[[#This Row],[Uraian]])&gt;2,TRIM(RIGHT(SUBSTITUTE(TRIM(C3253)," ",REPT(" ",255)),255))," ")</f>
        <v xml:space="preserve"> </v>
      </c>
      <c r="G3253" s="110">
        <f>COPY!Z3245</f>
        <v>0</v>
      </c>
      <c r="H3253" s="111" t="str">
        <f>IFERROR(VLOOKUP(Table1722[[#This Row],[Bukti]],'Un nOTA'!$A$4:$K$5003,10,FALSE),"")</f>
        <v/>
      </c>
      <c r="I3253" s="123" t="str">
        <f>IFERROR(VLOOKUP(Table1722[[#This Row],[Bukti]],Table13[#Data],11,FALSE),"")</f>
        <v/>
      </c>
    </row>
    <row r="3254" spans="1:9" hidden="1" x14ac:dyDescent="0.2">
      <c r="A3254" s="105" t="str">
        <f>IF(D3254=1,COUNTIF($D$10:D3254,1)," ")</f>
        <v xml:space="preserve"> </v>
      </c>
      <c r="B3254" s="106">
        <f>COPY!AR3246</f>
        <v>0</v>
      </c>
      <c r="C3254" s="107">
        <f>COPY!AC3246</f>
        <v>0</v>
      </c>
      <c r="D3254" s="107" t="str">
        <f>IF(LEN(Table1722[[#This Row],[Uraian]])&gt;2,1," ")</f>
        <v xml:space="preserve"> </v>
      </c>
      <c r="E3254" s="113" t="str">
        <f>IF(Table1722[[#This Row],[Lawan Transaksi]]="CV AGUNG KARYA",COUNTIF($I$10:I3254,"CV AGUNG KARYA")," ")</f>
        <v xml:space="preserve"> </v>
      </c>
      <c r="F3254" s="107" t="str">
        <f>IF(LEN(Table1722[[#This Row],[Uraian]])&gt;2,TRIM(RIGHT(SUBSTITUTE(TRIM(C3254)," ",REPT(" ",255)),255))," ")</f>
        <v xml:space="preserve"> </v>
      </c>
      <c r="G3254" s="110">
        <f>COPY!Z3246</f>
        <v>0</v>
      </c>
      <c r="H3254" s="111" t="str">
        <f>IFERROR(VLOOKUP(Table1722[[#This Row],[Bukti]],'Un nOTA'!$A$4:$K$5003,10,FALSE),"")</f>
        <v/>
      </c>
      <c r="I3254" s="123" t="str">
        <f>IFERROR(VLOOKUP(Table1722[[#This Row],[Bukti]],Table13[#Data],11,FALSE),"")</f>
        <v/>
      </c>
    </row>
    <row r="3255" spans="1:9" hidden="1" x14ac:dyDescent="0.2">
      <c r="A3255" s="105" t="str">
        <f>IF(D3255=1,COUNTIF($D$10:D3255,1)," ")</f>
        <v xml:space="preserve"> </v>
      </c>
      <c r="B3255" s="106">
        <f>COPY!AR3247</f>
        <v>0</v>
      </c>
      <c r="C3255" s="107">
        <f>COPY!AC3247</f>
        <v>0</v>
      </c>
      <c r="D3255" s="107" t="str">
        <f>IF(LEN(Table1722[[#This Row],[Uraian]])&gt;2,1," ")</f>
        <v xml:space="preserve"> </v>
      </c>
      <c r="E3255" s="113" t="str">
        <f>IF(Table1722[[#This Row],[Lawan Transaksi]]="CV AGUNG KARYA",COUNTIF($I$10:I3255,"CV AGUNG KARYA")," ")</f>
        <v xml:space="preserve"> </v>
      </c>
      <c r="F3255" s="107" t="str">
        <f>IF(LEN(Table1722[[#This Row],[Uraian]])&gt;2,TRIM(RIGHT(SUBSTITUTE(TRIM(C3255)," ",REPT(" ",255)),255))," ")</f>
        <v xml:space="preserve"> </v>
      </c>
      <c r="G3255" s="110">
        <f>COPY!Z3247</f>
        <v>0</v>
      </c>
      <c r="H3255" s="111" t="str">
        <f>IFERROR(VLOOKUP(Table1722[[#This Row],[Bukti]],'Un nOTA'!$A$4:$K$5003,10,FALSE),"")</f>
        <v/>
      </c>
      <c r="I3255" s="123" t="str">
        <f>IFERROR(VLOOKUP(Table1722[[#This Row],[Bukti]],Table13[#Data],11,FALSE),"")</f>
        <v/>
      </c>
    </row>
    <row r="3256" spans="1:9" hidden="1" x14ac:dyDescent="0.2">
      <c r="A3256" s="105" t="str">
        <f>IF(D3256=1,COUNTIF($D$10:D3256,1)," ")</f>
        <v xml:space="preserve"> </v>
      </c>
      <c r="B3256" s="106">
        <f>COPY!AR3248</f>
        <v>0</v>
      </c>
      <c r="C3256" s="107">
        <f>COPY!AC3248</f>
        <v>0</v>
      </c>
      <c r="D3256" s="107" t="str">
        <f>IF(LEN(Table1722[[#This Row],[Uraian]])&gt;2,1," ")</f>
        <v xml:space="preserve"> </v>
      </c>
      <c r="E3256" s="113" t="str">
        <f>IF(Table1722[[#This Row],[Lawan Transaksi]]="CV AGUNG KARYA",COUNTIF($I$10:I3256,"CV AGUNG KARYA")," ")</f>
        <v xml:space="preserve"> </v>
      </c>
      <c r="F3256" s="107" t="str">
        <f>IF(LEN(Table1722[[#This Row],[Uraian]])&gt;2,TRIM(RIGHT(SUBSTITUTE(TRIM(C3256)," ",REPT(" ",255)),255))," ")</f>
        <v xml:space="preserve"> </v>
      </c>
      <c r="G3256" s="110">
        <f>COPY!Z3248</f>
        <v>0</v>
      </c>
      <c r="H3256" s="111" t="str">
        <f>IFERROR(VLOOKUP(Table1722[[#This Row],[Bukti]],'Un nOTA'!$A$4:$K$5003,10,FALSE),"")</f>
        <v/>
      </c>
      <c r="I3256" s="123" t="str">
        <f>IFERROR(VLOOKUP(Table1722[[#This Row],[Bukti]],Table13[#Data],11,FALSE),"")</f>
        <v/>
      </c>
    </row>
    <row r="3257" spans="1:9" hidden="1" x14ac:dyDescent="0.2">
      <c r="A3257" s="105" t="str">
        <f>IF(D3257=1,COUNTIF($D$10:D3257,1)," ")</f>
        <v xml:space="preserve"> </v>
      </c>
      <c r="B3257" s="106">
        <f>COPY!AR3249</f>
        <v>0</v>
      </c>
      <c r="C3257" s="107">
        <f>COPY!AC3249</f>
        <v>0</v>
      </c>
      <c r="D3257" s="107" t="str">
        <f>IF(LEN(Table1722[[#This Row],[Uraian]])&gt;2,1," ")</f>
        <v xml:space="preserve"> </v>
      </c>
      <c r="E3257" s="113" t="str">
        <f>IF(Table1722[[#This Row],[Lawan Transaksi]]="CV AGUNG KARYA",COUNTIF($I$10:I3257,"CV AGUNG KARYA")," ")</f>
        <v xml:space="preserve"> </v>
      </c>
      <c r="F3257" s="107" t="str">
        <f>IF(LEN(Table1722[[#This Row],[Uraian]])&gt;2,TRIM(RIGHT(SUBSTITUTE(TRIM(C3257)," ",REPT(" ",255)),255))," ")</f>
        <v xml:space="preserve"> </v>
      </c>
      <c r="G3257" s="110">
        <f>COPY!Z3249</f>
        <v>0</v>
      </c>
      <c r="H3257" s="111" t="str">
        <f>IFERROR(VLOOKUP(Table1722[[#This Row],[Bukti]],'Un nOTA'!$A$4:$K$5003,10,FALSE),"")</f>
        <v/>
      </c>
      <c r="I3257" s="123" t="str">
        <f>IFERROR(VLOOKUP(Table1722[[#This Row],[Bukti]],Table13[#Data],11,FALSE),"")</f>
        <v/>
      </c>
    </row>
    <row r="3258" spans="1:9" hidden="1" x14ac:dyDescent="0.2">
      <c r="A3258" s="105" t="str">
        <f>IF(D3258=1,COUNTIF($D$10:D3258,1)," ")</f>
        <v xml:space="preserve"> </v>
      </c>
      <c r="B3258" s="106">
        <f>COPY!AR3250</f>
        <v>0</v>
      </c>
      <c r="C3258" s="107">
        <f>COPY!AC3250</f>
        <v>0</v>
      </c>
      <c r="D3258" s="107" t="str">
        <f>IF(LEN(Table1722[[#This Row],[Uraian]])&gt;2,1," ")</f>
        <v xml:space="preserve"> </v>
      </c>
      <c r="E3258" s="113" t="str">
        <f>IF(Table1722[[#This Row],[Lawan Transaksi]]="CV AGUNG KARYA",COUNTIF($I$10:I3258,"CV AGUNG KARYA")," ")</f>
        <v xml:space="preserve"> </v>
      </c>
      <c r="F3258" s="107" t="str">
        <f>IF(LEN(Table1722[[#This Row],[Uraian]])&gt;2,TRIM(RIGHT(SUBSTITUTE(TRIM(C3258)," ",REPT(" ",255)),255))," ")</f>
        <v xml:space="preserve"> </v>
      </c>
      <c r="G3258" s="110">
        <f>COPY!Z3250</f>
        <v>0</v>
      </c>
      <c r="H3258" s="111" t="str">
        <f>IFERROR(VLOOKUP(Table1722[[#This Row],[Bukti]],'Un nOTA'!$A$4:$K$5003,10,FALSE),"")</f>
        <v/>
      </c>
      <c r="I3258" s="123" t="str">
        <f>IFERROR(VLOOKUP(Table1722[[#This Row],[Bukti]],Table13[#Data],11,FALSE),"")</f>
        <v/>
      </c>
    </row>
    <row r="3259" spans="1:9" hidden="1" x14ac:dyDescent="0.2">
      <c r="A3259" s="105" t="str">
        <f>IF(D3259=1,COUNTIF($D$10:D3259,1)," ")</f>
        <v xml:space="preserve"> </v>
      </c>
      <c r="B3259" s="106">
        <f>COPY!AR3251</f>
        <v>0</v>
      </c>
      <c r="C3259" s="107">
        <f>COPY!AC3251</f>
        <v>0</v>
      </c>
      <c r="D3259" s="107" t="str">
        <f>IF(LEN(Table1722[[#This Row],[Uraian]])&gt;2,1," ")</f>
        <v xml:space="preserve"> </v>
      </c>
      <c r="E3259" s="113" t="str">
        <f>IF(Table1722[[#This Row],[Lawan Transaksi]]="CV AGUNG KARYA",COUNTIF($I$10:I3259,"CV AGUNG KARYA")," ")</f>
        <v xml:space="preserve"> </v>
      </c>
      <c r="F3259" s="107" t="str">
        <f>IF(LEN(Table1722[[#This Row],[Uraian]])&gt;2,TRIM(RIGHT(SUBSTITUTE(TRIM(C3259)," ",REPT(" ",255)),255))," ")</f>
        <v xml:space="preserve"> </v>
      </c>
      <c r="G3259" s="110">
        <f>COPY!Z3251</f>
        <v>0</v>
      </c>
      <c r="H3259" s="111" t="str">
        <f>IFERROR(VLOOKUP(Table1722[[#This Row],[Bukti]],'Un nOTA'!$A$4:$K$5003,10,FALSE),"")</f>
        <v/>
      </c>
      <c r="I3259" s="123" t="str">
        <f>IFERROR(VLOOKUP(Table1722[[#This Row],[Bukti]],Table13[#Data],11,FALSE),"")</f>
        <v/>
      </c>
    </row>
    <row r="3260" spans="1:9" hidden="1" x14ac:dyDescent="0.2">
      <c r="A3260" s="105" t="str">
        <f>IF(D3260=1,COUNTIF($D$10:D3260,1)," ")</f>
        <v xml:space="preserve"> </v>
      </c>
      <c r="B3260" s="106">
        <f>COPY!AR3252</f>
        <v>0</v>
      </c>
      <c r="C3260" s="107">
        <f>COPY!AC3252</f>
        <v>0</v>
      </c>
      <c r="D3260" s="107" t="str">
        <f>IF(LEN(Table1722[[#This Row],[Uraian]])&gt;2,1," ")</f>
        <v xml:space="preserve"> </v>
      </c>
      <c r="E3260" s="113" t="str">
        <f>IF(Table1722[[#This Row],[Lawan Transaksi]]="CV AGUNG KARYA",COUNTIF($I$10:I3260,"CV AGUNG KARYA")," ")</f>
        <v xml:space="preserve"> </v>
      </c>
      <c r="F3260" s="107" t="str">
        <f>IF(LEN(Table1722[[#This Row],[Uraian]])&gt;2,TRIM(RIGHT(SUBSTITUTE(TRIM(C3260)," ",REPT(" ",255)),255))," ")</f>
        <v xml:space="preserve"> </v>
      </c>
      <c r="G3260" s="110">
        <f>COPY!Z3252</f>
        <v>0</v>
      </c>
      <c r="H3260" s="111" t="str">
        <f>IFERROR(VLOOKUP(Table1722[[#This Row],[Bukti]],'Un nOTA'!$A$4:$K$5003,10,FALSE),"")</f>
        <v/>
      </c>
      <c r="I3260" s="123" t="str">
        <f>IFERROR(VLOOKUP(Table1722[[#This Row],[Bukti]],Table13[#Data],11,FALSE),"")</f>
        <v/>
      </c>
    </row>
    <row r="3261" spans="1:9" hidden="1" x14ac:dyDescent="0.2">
      <c r="A3261" s="105" t="str">
        <f>IF(D3261=1,COUNTIF($D$10:D3261,1)," ")</f>
        <v xml:space="preserve"> </v>
      </c>
      <c r="B3261" s="106">
        <f>COPY!AR3253</f>
        <v>0</v>
      </c>
      <c r="C3261" s="107">
        <f>COPY!AC3253</f>
        <v>0</v>
      </c>
      <c r="D3261" s="107" t="str">
        <f>IF(LEN(Table1722[[#This Row],[Uraian]])&gt;2,1," ")</f>
        <v xml:space="preserve"> </v>
      </c>
      <c r="E3261" s="113" t="str">
        <f>IF(Table1722[[#This Row],[Lawan Transaksi]]="CV AGUNG KARYA",COUNTIF($I$10:I3261,"CV AGUNG KARYA")," ")</f>
        <v xml:space="preserve"> </v>
      </c>
      <c r="F3261" s="107" t="str">
        <f>IF(LEN(Table1722[[#This Row],[Uraian]])&gt;2,TRIM(RIGHT(SUBSTITUTE(TRIM(C3261)," ",REPT(" ",255)),255))," ")</f>
        <v xml:space="preserve"> </v>
      </c>
      <c r="G3261" s="110">
        <f>COPY!Z3253</f>
        <v>0</v>
      </c>
      <c r="H3261" s="111" t="str">
        <f>IFERROR(VLOOKUP(Table1722[[#This Row],[Bukti]],'Un nOTA'!$A$4:$K$5003,10,FALSE),"")</f>
        <v/>
      </c>
      <c r="I3261" s="123" t="str">
        <f>IFERROR(VLOOKUP(Table1722[[#This Row],[Bukti]],Table13[#Data],11,FALSE),"")</f>
        <v/>
      </c>
    </row>
    <row r="3262" spans="1:9" hidden="1" x14ac:dyDescent="0.2">
      <c r="A3262" s="105" t="str">
        <f>IF(D3262=1,COUNTIF($D$10:D3262,1)," ")</f>
        <v xml:space="preserve"> </v>
      </c>
      <c r="B3262" s="106">
        <f>COPY!AR3254</f>
        <v>0</v>
      </c>
      <c r="C3262" s="107">
        <f>COPY!AC3254</f>
        <v>0</v>
      </c>
      <c r="D3262" s="107" t="str">
        <f>IF(LEN(Table1722[[#This Row],[Uraian]])&gt;2,1," ")</f>
        <v xml:space="preserve"> </v>
      </c>
      <c r="E3262" s="113" t="str">
        <f>IF(Table1722[[#This Row],[Lawan Transaksi]]="CV AGUNG KARYA",COUNTIF($I$10:I3262,"CV AGUNG KARYA")," ")</f>
        <v xml:space="preserve"> </v>
      </c>
      <c r="F3262" s="107" t="str">
        <f>IF(LEN(Table1722[[#This Row],[Uraian]])&gt;2,TRIM(RIGHT(SUBSTITUTE(TRIM(C3262)," ",REPT(" ",255)),255))," ")</f>
        <v xml:space="preserve"> </v>
      </c>
      <c r="G3262" s="110">
        <f>COPY!Z3254</f>
        <v>0</v>
      </c>
      <c r="H3262" s="111" t="str">
        <f>IFERROR(VLOOKUP(Table1722[[#This Row],[Bukti]],'Un nOTA'!$A$4:$K$5003,10,FALSE),"")</f>
        <v/>
      </c>
      <c r="I3262" s="123" t="str">
        <f>IFERROR(VLOOKUP(Table1722[[#This Row],[Bukti]],Table13[#Data],11,FALSE),"")</f>
        <v/>
      </c>
    </row>
    <row r="3263" spans="1:9" hidden="1" x14ac:dyDescent="0.2">
      <c r="A3263" s="105" t="str">
        <f>IF(D3263=1,COUNTIF($D$10:D3263,1)," ")</f>
        <v xml:space="preserve"> </v>
      </c>
      <c r="B3263" s="106">
        <f>COPY!AR3255</f>
        <v>0</v>
      </c>
      <c r="C3263" s="107">
        <f>COPY!AC3255</f>
        <v>0</v>
      </c>
      <c r="D3263" s="107" t="str">
        <f>IF(LEN(Table1722[[#This Row],[Uraian]])&gt;2,1," ")</f>
        <v xml:space="preserve"> </v>
      </c>
      <c r="E3263" s="113" t="str">
        <f>IF(Table1722[[#This Row],[Lawan Transaksi]]="CV AGUNG KARYA",COUNTIF($I$10:I3263,"CV AGUNG KARYA")," ")</f>
        <v xml:space="preserve"> </v>
      </c>
      <c r="F3263" s="107" t="str">
        <f>IF(LEN(Table1722[[#This Row],[Uraian]])&gt;2,TRIM(RIGHT(SUBSTITUTE(TRIM(C3263)," ",REPT(" ",255)),255))," ")</f>
        <v xml:space="preserve"> </v>
      </c>
      <c r="G3263" s="110">
        <f>COPY!Z3255</f>
        <v>0</v>
      </c>
      <c r="H3263" s="111" t="str">
        <f>IFERROR(VLOOKUP(Table1722[[#This Row],[Bukti]],'Un nOTA'!$A$4:$K$5003,10,FALSE),"")</f>
        <v/>
      </c>
      <c r="I3263" s="123" t="str">
        <f>IFERROR(VLOOKUP(Table1722[[#This Row],[Bukti]],Table13[#Data],11,FALSE),"")</f>
        <v/>
      </c>
    </row>
    <row r="3264" spans="1:9" hidden="1" x14ac:dyDescent="0.2">
      <c r="A3264" s="105" t="str">
        <f>IF(D3264=1,COUNTIF($D$10:D3264,1)," ")</f>
        <v xml:space="preserve"> </v>
      </c>
      <c r="B3264" s="106">
        <f>COPY!AR3256</f>
        <v>0</v>
      </c>
      <c r="C3264" s="107">
        <f>COPY!AC3256</f>
        <v>0</v>
      </c>
      <c r="D3264" s="107" t="str">
        <f>IF(LEN(Table1722[[#This Row],[Uraian]])&gt;2,1," ")</f>
        <v xml:space="preserve"> </v>
      </c>
      <c r="E3264" s="113" t="str">
        <f>IF(Table1722[[#This Row],[Lawan Transaksi]]="CV AGUNG KARYA",COUNTIF($I$10:I3264,"CV AGUNG KARYA")," ")</f>
        <v xml:space="preserve"> </v>
      </c>
      <c r="F3264" s="107" t="str">
        <f>IF(LEN(Table1722[[#This Row],[Uraian]])&gt;2,TRIM(RIGHT(SUBSTITUTE(TRIM(C3264)," ",REPT(" ",255)),255))," ")</f>
        <v xml:space="preserve"> </v>
      </c>
      <c r="G3264" s="110">
        <f>COPY!Z3256</f>
        <v>0</v>
      </c>
      <c r="H3264" s="111" t="str">
        <f>IFERROR(VLOOKUP(Table1722[[#This Row],[Bukti]],'Un nOTA'!$A$4:$K$5003,10,FALSE),"")</f>
        <v/>
      </c>
      <c r="I3264" s="123" t="str">
        <f>IFERROR(VLOOKUP(Table1722[[#This Row],[Bukti]],Table13[#Data],11,FALSE),"")</f>
        <v/>
      </c>
    </row>
    <row r="3265" spans="1:9" hidden="1" x14ac:dyDescent="0.2">
      <c r="A3265" s="105" t="str">
        <f>IF(D3265=1,COUNTIF($D$10:D3265,1)," ")</f>
        <v xml:space="preserve"> </v>
      </c>
      <c r="B3265" s="106">
        <f>COPY!AR3257</f>
        <v>0</v>
      </c>
      <c r="C3265" s="107">
        <f>COPY!AC3257</f>
        <v>0</v>
      </c>
      <c r="D3265" s="107" t="str">
        <f>IF(LEN(Table1722[[#This Row],[Uraian]])&gt;2,1," ")</f>
        <v xml:space="preserve"> </v>
      </c>
      <c r="E3265" s="113" t="str">
        <f>IF(Table1722[[#This Row],[Lawan Transaksi]]="CV AGUNG KARYA",COUNTIF($I$10:I3265,"CV AGUNG KARYA")," ")</f>
        <v xml:space="preserve"> </v>
      </c>
      <c r="F3265" s="107" t="str">
        <f>IF(LEN(Table1722[[#This Row],[Uraian]])&gt;2,TRIM(RIGHT(SUBSTITUTE(TRIM(C3265)," ",REPT(" ",255)),255))," ")</f>
        <v xml:space="preserve"> </v>
      </c>
      <c r="G3265" s="110">
        <f>COPY!Z3257</f>
        <v>0</v>
      </c>
      <c r="H3265" s="111" t="str">
        <f>IFERROR(VLOOKUP(Table1722[[#This Row],[Bukti]],'Un nOTA'!$A$4:$K$5003,10,FALSE),"")</f>
        <v/>
      </c>
      <c r="I3265" s="123" t="str">
        <f>IFERROR(VLOOKUP(Table1722[[#This Row],[Bukti]],Table13[#Data],11,FALSE),"")</f>
        <v/>
      </c>
    </row>
    <row r="3266" spans="1:9" hidden="1" x14ac:dyDescent="0.2">
      <c r="A3266" s="105" t="str">
        <f>IF(D3266=1,COUNTIF($D$10:D3266,1)," ")</f>
        <v xml:space="preserve"> </v>
      </c>
      <c r="B3266" s="106">
        <f>COPY!AR3258</f>
        <v>0</v>
      </c>
      <c r="C3266" s="107">
        <f>COPY!AC3258</f>
        <v>0</v>
      </c>
      <c r="D3266" s="107" t="str">
        <f>IF(LEN(Table1722[[#This Row],[Uraian]])&gt;2,1," ")</f>
        <v xml:space="preserve"> </v>
      </c>
      <c r="E3266" s="113" t="str">
        <f>IF(Table1722[[#This Row],[Lawan Transaksi]]="CV AGUNG KARYA",COUNTIF($I$10:I3266,"CV AGUNG KARYA")," ")</f>
        <v xml:space="preserve"> </v>
      </c>
      <c r="F3266" s="107" t="str">
        <f>IF(LEN(Table1722[[#This Row],[Uraian]])&gt;2,TRIM(RIGHT(SUBSTITUTE(TRIM(C3266)," ",REPT(" ",255)),255))," ")</f>
        <v xml:space="preserve"> </v>
      </c>
      <c r="G3266" s="110">
        <f>COPY!Z3258</f>
        <v>0</v>
      </c>
      <c r="H3266" s="111" t="str">
        <f>IFERROR(VLOOKUP(Table1722[[#This Row],[Bukti]],'Un nOTA'!$A$4:$K$5003,10,FALSE),"")</f>
        <v/>
      </c>
      <c r="I3266" s="123" t="str">
        <f>IFERROR(VLOOKUP(Table1722[[#This Row],[Bukti]],Table13[#Data],11,FALSE),"")</f>
        <v/>
      </c>
    </row>
    <row r="3267" spans="1:9" hidden="1" x14ac:dyDescent="0.2">
      <c r="A3267" s="105" t="str">
        <f>IF(D3267=1,COUNTIF($D$10:D3267,1)," ")</f>
        <v xml:space="preserve"> </v>
      </c>
      <c r="B3267" s="106">
        <f>COPY!AR3259</f>
        <v>0</v>
      </c>
      <c r="C3267" s="107">
        <f>COPY!AC3259</f>
        <v>0</v>
      </c>
      <c r="D3267" s="107" t="str">
        <f>IF(LEN(Table1722[[#This Row],[Uraian]])&gt;2,1," ")</f>
        <v xml:space="preserve"> </v>
      </c>
      <c r="E3267" s="113" t="str">
        <f>IF(Table1722[[#This Row],[Lawan Transaksi]]="CV AGUNG KARYA",COUNTIF($I$10:I3267,"CV AGUNG KARYA")," ")</f>
        <v xml:space="preserve"> </v>
      </c>
      <c r="F3267" s="107" t="str">
        <f>IF(LEN(Table1722[[#This Row],[Uraian]])&gt;2,TRIM(RIGHT(SUBSTITUTE(TRIM(C3267)," ",REPT(" ",255)),255))," ")</f>
        <v xml:space="preserve"> </v>
      </c>
      <c r="G3267" s="110">
        <f>COPY!Z3259</f>
        <v>0</v>
      </c>
      <c r="H3267" s="111" t="str">
        <f>IFERROR(VLOOKUP(Table1722[[#This Row],[Bukti]],'Un nOTA'!$A$4:$K$5003,10,FALSE),"")</f>
        <v/>
      </c>
      <c r="I3267" s="123" t="str">
        <f>IFERROR(VLOOKUP(Table1722[[#This Row],[Bukti]],Table13[#Data],11,FALSE),"")</f>
        <v/>
      </c>
    </row>
    <row r="3268" spans="1:9" hidden="1" x14ac:dyDescent="0.2">
      <c r="A3268" s="105" t="str">
        <f>IF(D3268=1,COUNTIF($D$10:D3268,1)," ")</f>
        <v xml:space="preserve"> </v>
      </c>
      <c r="B3268" s="106">
        <f>COPY!AR3260</f>
        <v>0</v>
      </c>
      <c r="C3268" s="107">
        <f>COPY!AC3260</f>
        <v>0</v>
      </c>
      <c r="D3268" s="107" t="str">
        <f>IF(LEN(Table1722[[#This Row],[Uraian]])&gt;2,1," ")</f>
        <v xml:space="preserve"> </v>
      </c>
      <c r="E3268" s="113" t="str">
        <f>IF(Table1722[[#This Row],[Lawan Transaksi]]="CV AGUNG KARYA",COUNTIF($I$10:I3268,"CV AGUNG KARYA")," ")</f>
        <v xml:space="preserve"> </v>
      </c>
      <c r="F3268" s="107" t="str">
        <f>IF(LEN(Table1722[[#This Row],[Uraian]])&gt;2,TRIM(RIGHT(SUBSTITUTE(TRIM(C3268)," ",REPT(" ",255)),255))," ")</f>
        <v xml:space="preserve"> </v>
      </c>
      <c r="G3268" s="110">
        <f>COPY!Z3260</f>
        <v>0</v>
      </c>
      <c r="H3268" s="111" t="str">
        <f>IFERROR(VLOOKUP(Table1722[[#This Row],[Bukti]],'Un nOTA'!$A$4:$K$5003,10,FALSE),"")</f>
        <v/>
      </c>
      <c r="I3268" s="123" t="str">
        <f>IFERROR(VLOOKUP(Table1722[[#This Row],[Bukti]],Table13[#Data],11,FALSE),"")</f>
        <v/>
      </c>
    </row>
    <row r="3269" spans="1:9" hidden="1" x14ac:dyDescent="0.2">
      <c r="A3269" s="105" t="str">
        <f>IF(D3269=1,COUNTIF($D$10:D3269,1)," ")</f>
        <v xml:space="preserve"> </v>
      </c>
      <c r="B3269" s="106">
        <f>COPY!AR3261</f>
        <v>0</v>
      </c>
      <c r="C3269" s="107">
        <f>COPY!AC3261</f>
        <v>0</v>
      </c>
      <c r="D3269" s="107" t="str">
        <f>IF(LEN(Table1722[[#This Row],[Uraian]])&gt;2,1," ")</f>
        <v xml:space="preserve"> </v>
      </c>
      <c r="E3269" s="113" t="str">
        <f>IF(Table1722[[#This Row],[Lawan Transaksi]]="CV AGUNG KARYA",COUNTIF($I$10:I3269,"CV AGUNG KARYA")," ")</f>
        <v xml:space="preserve"> </v>
      </c>
      <c r="F3269" s="107" t="str">
        <f>IF(LEN(Table1722[[#This Row],[Uraian]])&gt;2,TRIM(RIGHT(SUBSTITUTE(TRIM(C3269)," ",REPT(" ",255)),255))," ")</f>
        <v xml:space="preserve"> </v>
      </c>
      <c r="G3269" s="110">
        <f>COPY!Z3261</f>
        <v>0</v>
      </c>
      <c r="H3269" s="111" t="str">
        <f>IFERROR(VLOOKUP(Table1722[[#This Row],[Bukti]],'Un nOTA'!$A$4:$K$5003,10,FALSE),"")</f>
        <v/>
      </c>
      <c r="I3269" s="123" t="str">
        <f>IFERROR(VLOOKUP(Table1722[[#This Row],[Bukti]],Table13[#Data],11,FALSE),"")</f>
        <v/>
      </c>
    </row>
    <row r="3270" spans="1:9" hidden="1" x14ac:dyDescent="0.2">
      <c r="A3270" s="105" t="str">
        <f>IF(D3270=1,COUNTIF($D$10:D3270,1)," ")</f>
        <v xml:space="preserve"> </v>
      </c>
      <c r="B3270" s="106">
        <f>COPY!AR3262</f>
        <v>0</v>
      </c>
      <c r="C3270" s="107">
        <f>COPY!AC3262</f>
        <v>0</v>
      </c>
      <c r="D3270" s="107" t="str">
        <f>IF(LEN(Table1722[[#This Row],[Uraian]])&gt;2,1," ")</f>
        <v xml:space="preserve"> </v>
      </c>
      <c r="E3270" s="113" t="str">
        <f>IF(Table1722[[#This Row],[Lawan Transaksi]]="CV AGUNG KARYA",COUNTIF($I$10:I3270,"CV AGUNG KARYA")," ")</f>
        <v xml:space="preserve"> </v>
      </c>
      <c r="F3270" s="107" t="str">
        <f>IF(LEN(Table1722[[#This Row],[Uraian]])&gt;2,TRIM(RIGHT(SUBSTITUTE(TRIM(C3270)," ",REPT(" ",255)),255))," ")</f>
        <v xml:space="preserve"> </v>
      </c>
      <c r="G3270" s="110">
        <f>COPY!Z3262</f>
        <v>0</v>
      </c>
      <c r="H3270" s="111" t="str">
        <f>IFERROR(VLOOKUP(Table1722[[#This Row],[Bukti]],'Un nOTA'!$A$4:$K$5003,10,FALSE),"")</f>
        <v/>
      </c>
      <c r="I3270" s="123" t="str">
        <f>IFERROR(VLOOKUP(Table1722[[#This Row],[Bukti]],Table13[#Data],11,FALSE),"")</f>
        <v/>
      </c>
    </row>
    <row r="3271" spans="1:9" hidden="1" x14ac:dyDescent="0.2">
      <c r="A3271" s="105" t="str">
        <f>IF(D3271=1,COUNTIF($D$10:D3271,1)," ")</f>
        <v xml:space="preserve"> </v>
      </c>
      <c r="B3271" s="106">
        <f>COPY!AR3263</f>
        <v>0</v>
      </c>
      <c r="C3271" s="107">
        <f>COPY!AC3263</f>
        <v>0</v>
      </c>
      <c r="D3271" s="107" t="str">
        <f>IF(LEN(Table1722[[#This Row],[Uraian]])&gt;2,1," ")</f>
        <v xml:space="preserve"> </v>
      </c>
      <c r="E3271" s="113" t="str">
        <f>IF(Table1722[[#This Row],[Lawan Transaksi]]="CV AGUNG KARYA",COUNTIF($I$10:I3271,"CV AGUNG KARYA")," ")</f>
        <v xml:space="preserve"> </v>
      </c>
      <c r="F3271" s="107" t="str">
        <f>IF(LEN(Table1722[[#This Row],[Uraian]])&gt;2,TRIM(RIGHT(SUBSTITUTE(TRIM(C3271)," ",REPT(" ",255)),255))," ")</f>
        <v xml:space="preserve"> </v>
      </c>
      <c r="G3271" s="110">
        <f>COPY!Z3263</f>
        <v>0</v>
      </c>
      <c r="H3271" s="111" t="str">
        <f>IFERROR(VLOOKUP(Table1722[[#This Row],[Bukti]],'Un nOTA'!$A$4:$K$5003,10,FALSE),"")</f>
        <v/>
      </c>
      <c r="I3271" s="123" t="str">
        <f>IFERROR(VLOOKUP(Table1722[[#This Row],[Bukti]],Table13[#Data],11,FALSE),"")</f>
        <v/>
      </c>
    </row>
    <row r="3272" spans="1:9" hidden="1" x14ac:dyDescent="0.2">
      <c r="A3272" s="105" t="str">
        <f>IF(D3272=1,COUNTIF($D$10:D3272,1)," ")</f>
        <v xml:space="preserve"> </v>
      </c>
      <c r="B3272" s="106">
        <f>COPY!AR3264</f>
        <v>0</v>
      </c>
      <c r="C3272" s="107">
        <f>COPY!AC3264</f>
        <v>0</v>
      </c>
      <c r="D3272" s="107" t="str">
        <f>IF(LEN(Table1722[[#This Row],[Uraian]])&gt;2,1," ")</f>
        <v xml:space="preserve"> </v>
      </c>
      <c r="E3272" s="113" t="str">
        <f>IF(Table1722[[#This Row],[Lawan Transaksi]]="CV AGUNG KARYA",COUNTIF($I$10:I3272,"CV AGUNG KARYA")," ")</f>
        <v xml:space="preserve"> </v>
      </c>
      <c r="F3272" s="107" t="str">
        <f>IF(LEN(Table1722[[#This Row],[Uraian]])&gt;2,TRIM(RIGHT(SUBSTITUTE(TRIM(C3272)," ",REPT(" ",255)),255))," ")</f>
        <v xml:space="preserve"> </v>
      </c>
      <c r="G3272" s="110">
        <f>COPY!Z3264</f>
        <v>0</v>
      </c>
      <c r="H3272" s="111" t="str">
        <f>IFERROR(VLOOKUP(Table1722[[#This Row],[Bukti]],'Un nOTA'!$A$4:$K$5003,10,FALSE),"")</f>
        <v/>
      </c>
      <c r="I3272" s="123" t="str">
        <f>IFERROR(VLOOKUP(Table1722[[#This Row],[Bukti]],Table13[#Data],11,FALSE),"")</f>
        <v/>
      </c>
    </row>
    <row r="3273" spans="1:9" hidden="1" x14ac:dyDescent="0.2">
      <c r="A3273" s="105" t="str">
        <f>IF(D3273=1,COUNTIF($D$10:D3273,1)," ")</f>
        <v xml:space="preserve"> </v>
      </c>
      <c r="B3273" s="106">
        <f>COPY!AR3265</f>
        <v>0</v>
      </c>
      <c r="C3273" s="107">
        <f>COPY!AC3265</f>
        <v>0</v>
      </c>
      <c r="D3273" s="107" t="str">
        <f>IF(LEN(Table1722[[#This Row],[Uraian]])&gt;2,1," ")</f>
        <v xml:space="preserve"> </v>
      </c>
      <c r="E3273" s="113" t="str">
        <f>IF(Table1722[[#This Row],[Lawan Transaksi]]="CV AGUNG KARYA",COUNTIF($I$10:I3273,"CV AGUNG KARYA")," ")</f>
        <v xml:space="preserve"> </v>
      </c>
      <c r="F3273" s="107" t="str">
        <f>IF(LEN(Table1722[[#This Row],[Uraian]])&gt;2,TRIM(RIGHT(SUBSTITUTE(TRIM(C3273)," ",REPT(" ",255)),255))," ")</f>
        <v xml:space="preserve"> </v>
      </c>
      <c r="G3273" s="110">
        <f>COPY!Z3265</f>
        <v>0</v>
      </c>
      <c r="H3273" s="111" t="str">
        <f>IFERROR(VLOOKUP(Table1722[[#This Row],[Bukti]],'Un nOTA'!$A$4:$K$5003,10,FALSE),"")</f>
        <v/>
      </c>
      <c r="I3273" s="123" t="str">
        <f>IFERROR(VLOOKUP(Table1722[[#This Row],[Bukti]],Table13[#Data],11,FALSE),"")</f>
        <v/>
      </c>
    </row>
    <row r="3274" spans="1:9" hidden="1" x14ac:dyDescent="0.2">
      <c r="A3274" s="105" t="str">
        <f>IF(D3274=1,COUNTIF($D$10:D3274,1)," ")</f>
        <v xml:space="preserve"> </v>
      </c>
      <c r="B3274" s="106">
        <f>COPY!AR3266</f>
        <v>0</v>
      </c>
      <c r="C3274" s="107">
        <f>COPY!AC3266</f>
        <v>0</v>
      </c>
      <c r="D3274" s="107" t="str">
        <f>IF(LEN(Table1722[[#This Row],[Uraian]])&gt;2,1," ")</f>
        <v xml:space="preserve"> </v>
      </c>
      <c r="E3274" s="113" t="str">
        <f>IF(Table1722[[#This Row],[Lawan Transaksi]]="CV AGUNG KARYA",COUNTIF($I$10:I3274,"CV AGUNG KARYA")," ")</f>
        <v xml:space="preserve"> </v>
      </c>
      <c r="F3274" s="107" t="str">
        <f>IF(LEN(Table1722[[#This Row],[Uraian]])&gt;2,TRIM(RIGHT(SUBSTITUTE(TRIM(C3274)," ",REPT(" ",255)),255))," ")</f>
        <v xml:space="preserve"> </v>
      </c>
      <c r="G3274" s="110">
        <f>COPY!Z3266</f>
        <v>0</v>
      </c>
      <c r="H3274" s="111" t="str">
        <f>IFERROR(VLOOKUP(Table1722[[#This Row],[Bukti]],'Un nOTA'!$A$4:$K$5003,10,FALSE),"")</f>
        <v/>
      </c>
      <c r="I3274" s="123" t="str">
        <f>IFERROR(VLOOKUP(Table1722[[#This Row],[Bukti]],Table13[#Data],11,FALSE),"")</f>
        <v/>
      </c>
    </row>
    <row r="3275" spans="1:9" hidden="1" x14ac:dyDescent="0.2">
      <c r="A3275" s="105" t="str">
        <f>IF(D3275=1,COUNTIF($D$10:D3275,1)," ")</f>
        <v xml:space="preserve"> </v>
      </c>
      <c r="B3275" s="106">
        <f>COPY!AR3267</f>
        <v>0</v>
      </c>
      <c r="C3275" s="107">
        <f>COPY!AC3267</f>
        <v>0</v>
      </c>
      <c r="D3275" s="107" t="str">
        <f>IF(LEN(Table1722[[#This Row],[Uraian]])&gt;2,1," ")</f>
        <v xml:space="preserve"> </v>
      </c>
      <c r="E3275" s="113" t="str">
        <f>IF(Table1722[[#This Row],[Lawan Transaksi]]="CV AGUNG KARYA",COUNTIF($I$10:I3275,"CV AGUNG KARYA")," ")</f>
        <v xml:space="preserve"> </v>
      </c>
      <c r="F3275" s="107" t="str">
        <f>IF(LEN(Table1722[[#This Row],[Uraian]])&gt;2,TRIM(RIGHT(SUBSTITUTE(TRIM(C3275)," ",REPT(" ",255)),255))," ")</f>
        <v xml:space="preserve"> </v>
      </c>
      <c r="G3275" s="110">
        <f>COPY!Z3267</f>
        <v>0</v>
      </c>
      <c r="H3275" s="111" t="str">
        <f>IFERROR(VLOOKUP(Table1722[[#This Row],[Bukti]],'Un nOTA'!$A$4:$K$5003,10,FALSE),"")</f>
        <v/>
      </c>
      <c r="I3275" s="123" t="str">
        <f>IFERROR(VLOOKUP(Table1722[[#This Row],[Bukti]],Table13[#Data],11,FALSE),"")</f>
        <v/>
      </c>
    </row>
    <row r="3276" spans="1:9" hidden="1" x14ac:dyDescent="0.2">
      <c r="A3276" s="105" t="str">
        <f>IF(D3276=1,COUNTIF($D$10:D3276,1)," ")</f>
        <v xml:space="preserve"> </v>
      </c>
      <c r="B3276" s="106">
        <f>COPY!AR3268</f>
        <v>0</v>
      </c>
      <c r="C3276" s="107">
        <f>COPY!AC3268</f>
        <v>0</v>
      </c>
      <c r="D3276" s="107" t="str">
        <f>IF(LEN(Table1722[[#This Row],[Uraian]])&gt;2,1," ")</f>
        <v xml:space="preserve"> </v>
      </c>
      <c r="E3276" s="113" t="str">
        <f>IF(Table1722[[#This Row],[Lawan Transaksi]]="CV AGUNG KARYA",COUNTIF($I$10:I3276,"CV AGUNG KARYA")," ")</f>
        <v xml:space="preserve"> </v>
      </c>
      <c r="F3276" s="107" t="str">
        <f>IF(LEN(Table1722[[#This Row],[Uraian]])&gt;2,TRIM(RIGHT(SUBSTITUTE(TRIM(C3276)," ",REPT(" ",255)),255))," ")</f>
        <v xml:space="preserve"> </v>
      </c>
      <c r="G3276" s="110">
        <f>COPY!Z3268</f>
        <v>0</v>
      </c>
      <c r="H3276" s="111" t="str">
        <f>IFERROR(VLOOKUP(Table1722[[#This Row],[Bukti]],'Un nOTA'!$A$4:$K$5003,10,FALSE),"")</f>
        <v/>
      </c>
      <c r="I3276" s="123" t="str">
        <f>IFERROR(VLOOKUP(Table1722[[#This Row],[Bukti]],Table13[#Data],11,FALSE),"")</f>
        <v/>
      </c>
    </row>
    <row r="3277" spans="1:9" hidden="1" x14ac:dyDescent="0.2">
      <c r="A3277" s="105" t="str">
        <f>IF(D3277=1,COUNTIF($D$10:D3277,1)," ")</f>
        <v xml:space="preserve"> </v>
      </c>
      <c r="B3277" s="106">
        <f>COPY!AR3269</f>
        <v>0</v>
      </c>
      <c r="C3277" s="107">
        <f>COPY!AC3269</f>
        <v>0</v>
      </c>
      <c r="D3277" s="107" t="str">
        <f>IF(LEN(Table1722[[#This Row],[Uraian]])&gt;2,1," ")</f>
        <v xml:space="preserve"> </v>
      </c>
      <c r="E3277" s="113" t="str">
        <f>IF(Table1722[[#This Row],[Lawan Transaksi]]="CV AGUNG KARYA",COUNTIF($I$10:I3277,"CV AGUNG KARYA")," ")</f>
        <v xml:space="preserve"> </v>
      </c>
      <c r="F3277" s="107" t="str">
        <f>IF(LEN(Table1722[[#This Row],[Uraian]])&gt;2,TRIM(RIGHT(SUBSTITUTE(TRIM(C3277)," ",REPT(" ",255)),255))," ")</f>
        <v xml:space="preserve"> </v>
      </c>
      <c r="G3277" s="110">
        <f>COPY!Z3269</f>
        <v>0</v>
      </c>
      <c r="H3277" s="111" t="str">
        <f>IFERROR(VLOOKUP(Table1722[[#This Row],[Bukti]],'Un nOTA'!$A$4:$K$5003,10,FALSE),"")</f>
        <v/>
      </c>
      <c r="I3277" s="123" t="str">
        <f>IFERROR(VLOOKUP(Table1722[[#This Row],[Bukti]],Table13[#Data],11,FALSE),"")</f>
        <v/>
      </c>
    </row>
    <row r="3278" spans="1:9" hidden="1" x14ac:dyDescent="0.2">
      <c r="A3278" s="105" t="str">
        <f>IF(D3278=1,COUNTIF($D$10:D3278,1)," ")</f>
        <v xml:space="preserve"> </v>
      </c>
      <c r="B3278" s="106">
        <f>COPY!AR3270</f>
        <v>0</v>
      </c>
      <c r="C3278" s="107">
        <f>COPY!AC3270</f>
        <v>0</v>
      </c>
      <c r="D3278" s="107" t="str">
        <f>IF(LEN(Table1722[[#This Row],[Uraian]])&gt;2,1," ")</f>
        <v xml:space="preserve"> </v>
      </c>
      <c r="E3278" s="113" t="str">
        <f>IF(Table1722[[#This Row],[Lawan Transaksi]]="CV AGUNG KARYA",COUNTIF($I$10:I3278,"CV AGUNG KARYA")," ")</f>
        <v xml:space="preserve"> </v>
      </c>
      <c r="F3278" s="107" t="str">
        <f>IF(LEN(Table1722[[#This Row],[Uraian]])&gt;2,TRIM(RIGHT(SUBSTITUTE(TRIM(C3278)," ",REPT(" ",255)),255))," ")</f>
        <v xml:space="preserve"> </v>
      </c>
      <c r="G3278" s="110">
        <f>COPY!Z3270</f>
        <v>0</v>
      </c>
      <c r="H3278" s="111" t="str">
        <f>IFERROR(VLOOKUP(Table1722[[#This Row],[Bukti]],'Un nOTA'!$A$4:$K$5003,10,FALSE),"")</f>
        <v/>
      </c>
      <c r="I3278" s="123" t="str">
        <f>IFERROR(VLOOKUP(Table1722[[#This Row],[Bukti]],Table13[#Data],11,FALSE),"")</f>
        <v/>
      </c>
    </row>
    <row r="3279" spans="1:9" hidden="1" x14ac:dyDescent="0.2">
      <c r="A3279" s="105" t="str">
        <f>IF(D3279=1,COUNTIF($D$10:D3279,1)," ")</f>
        <v xml:space="preserve"> </v>
      </c>
      <c r="B3279" s="106">
        <f>COPY!AR3271</f>
        <v>0</v>
      </c>
      <c r="C3279" s="107">
        <f>COPY!AC3271</f>
        <v>0</v>
      </c>
      <c r="D3279" s="107" t="str">
        <f>IF(LEN(Table1722[[#This Row],[Uraian]])&gt;2,1," ")</f>
        <v xml:space="preserve"> </v>
      </c>
      <c r="E3279" s="113" t="str">
        <f>IF(Table1722[[#This Row],[Lawan Transaksi]]="CV AGUNG KARYA",COUNTIF($I$10:I3279,"CV AGUNG KARYA")," ")</f>
        <v xml:space="preserve"> </v>
      </c>
      <c r="F3279" s="107" t="str">
        <f>IF(LEN(Table1722[[#This Row],[Uraian]])&gt;2,TRIM(RIGHT(SUBSTITUTE(TRIM(C3279)," ",REPT(" ",255)),255))," ")</f>
        <v xml:space="preserve"> </v>
      </c>
      <c r="G3279" s="110">
        <f>COPY!Z3271</f>
        <v>0</v>
      </c>
      <c r="H3279" s="111" t="str">
        <f>IFERROR(VLOOKUP(Table1722[[#This Row],[Bukti]],'Un nOTA'!$A$4:$K$5003,10,FALSE),"")</f>
        <v/>
      </c>
      <c r="I3279" s="123" t="str">
        <f>IFERROR(VLOOKUP(Table1722[[#This Row],[Bukti]],Table13[#Data],11,FALSE),"")</f>
        <v/>
      </c>
    </row>
    <row r="3280" spans="1:9" hidden="1" x14ac:dyDescent="0.2">
      <c r="A3280" s="105" t="str">
        <f>IF(D3280=1,COUNTIF($D$10:D3280,1)," ")</f>
        <v xml:space="preserve"> </v>
      </c>
      <c r="B3280" s="106">
        <f>COPY!AR3272</f>
        <v>0</v>
      </c>
      <c r="C3280" s="107">
        <f>COPY!AC3272</f>
        <v>0</v>
      </c>
      <c r="D3280" s="107" t="str">
        <f>IF(LEN(Table1722[[#This Row],[Uraian]])&gt;2,1," ")</f>
        <v xml:space="preserve"> </v>
      </c>
      <c r="E3280" s="113" t="str">
        <f>IF(Table1722[[#This Row],[Lawan Transaksi]]="CV AGUNG KARYA",COUNTIF($I$10:I3280,"CV AGUNG KARYA")," ")</f>
        <v xml:space="preserve"> </v>
      </c>
      <c r="F3280" s="107" t="str">
        <f>IF(LEN(Table1722[[#This Row],[Uraian]])&gt;2,TRIM(RIGHT(SUBSTITUTE(TRIM(C3280)," ",REPT(" ",255)),255))," ")</f>
        <v xml:space="preserve"> </v>
      </c>
      <c r="G3280" s="110">
        <f>COPY!Z3272</f>
        <v>0</v>
      </c>
      <c r="H3280" s="111" t="str">
        <f>IFERROR(VLOOKUP(Table1722[[#This Row],[Bukti]],'Un nOTA'!$A$4:$K$5003,10,FALSE),"")</f>
        <v/>
      </c>
      <c r="I3280" s="123" t="str">
        <f>IFERROR(VLOOKUP(Table1722[[#This Row],[Bukti]],Table13[#Data],11,FALSE),"")</f>
        <v/>
      </c>
    </row>
    <row r="3281" spans="1:9" hidden="1" x14ac:dyDescent="0.2">
      <c r="A3281" s="105" t="str">
        <f>IF(D3281=1,COUNTIF($D$10:D3281,1)," ")</f>
        <v xml:space="preserve"> </v>
      </c>
      <c r="B3281" s="106">
        <f>COPY!AR3273</f>
        <v>0</v>
      </c>
      <c r="C3281" s="107">
        <f>COPY!AC3273</f>
        <v>0</v>
      </c>
      <c r="D3281" s="107" t="str">
        <f>IF(LEN(Table1722[[#This Row],[Uraian]])&gt;2,1," ")</f>
        <v xml:space="preserve"> </v>
      </c>
      <c r="E3281" s="113" t="str">
        <f>IF(Table1722[[#This Row],[Lawan Transaksi]]="CV AGUNG KARYA",COUNTIF($I$10:I3281,"CV AGUNG KARYA")," ")</f>
        <v xml:space="preserve"> </v>
      </c>
      <c r="F3281" s="107" t="str">
        <f>IF(LEN(Table1722[[#This Row],[Uraian]])&gt;2,TRIM(RIGHT(SUBSTITUTE(TRIM(C3281)," ",REPT(" ",255)),255))," ")</f>
        <v xml:space="preserve"> </v>
      </c>
      <c r="G3281" s="110">
        <f>COPY!Z3273</f>
        <v>0</v>
      </c>
      <c r="H3281" s="111" t="str">
        <f>IFERROR(VLOOKUP(Table1722[[#This Row],[Bukti]],'Un nOTA'!$A$4:$K$5003,10,FALSE),"")</f>
        <v/>
      </c>
      <c r="I3281" s="123" t="str">
        <f>IFERROR(VLOOKUP(Table1722[[#This Row],[Bukti]],Table13[#Data],11,FALSE),"")</f>
        <v/>
      </c>
    </row>
    <row r="3282" spans="1:9" hidden="1" x14ac:dyDescent="0.2">
      <c r="A3282" s="105" t="str">
        <f>IF(D3282=1,COUNTIF($D$10:D3282,1)," ")</f>
        <v xml:space="preserve"> </v>
      </c>
      <c r="B3282" s="106">
        <f>COPY!AR3274</f>
        <v>0</v>
      </c>
      <c r="C3282" s="107">
        <f>COPY!AC3274</f>
        <v>0</v>
      </c>
      <c r="D3282" s="107" t="str">
        <f>IF(LEN(Table1722[[#This Row],[Uraian]])&gt;2,1," ")</f>
        <v xml:space="preserve"> </v>
      </c>
      <c r="E3282" s="113" t="str">
        <f>IF(Table1722[[#This Row],[Lawan Transaksi]]="CV AGUNG KARYA",COUNTIF($I$10:I3282,"CV AGUNG KARYA")," ")</f>
        <v xml:space="preserve"> </v>
      </c>
      <c r="F3282" s="107" t="str">
        <f>IF(LEN(Table1722[[#This Row],[Uraian]])&gt;2,TRIM(RIGHT(SUBSTITUTE(TRIM(C3282)," ",REPT(" ",255)),255))," ")</f>
        <v xml:space="preserve"> </v>
      </c>
      <c r="G3282" s="110">
        <f>COPY!Z3274</f>
        <v>0</v>
      </c>
      <c r="H3282" s="111" t="str">
        <f>IFERROR(VLOOKUP(Table1722[[#This Row],[Bukti]],'Un nOTA'!$A$4:$K$5003,10,FALSE),"")</f>
        <v/>
      </c>
      <c r="I3282" s="123" t="str">
        <f>IFERROR(VLOOKUP(Table1722[[#This Row],[Bukti]],Table13[#Data],11,FALSE),"")</f>
        <v/>
      </c>
    </row>
    <row r="3283" spans="1:9" hidden="1" x14ac:dyDescent="0.2">
      <c r="A3283" s="105" t="str">
        <f>IF(D3283=1,COUNTIF($D$10:D3283,1)," ")</f>
        <v xml:space="preserve"> </v>
      </c>
      <c r="B3283" s="106">
        <f>COPY!AR3275</f>
        <v>0</v>
      </c>
      <c r="C3283" s="107">
        <f>COPY!AC3275</f>
        <v>0</v>
      </c>
      <c r="D3283" s="107" t="str">
        <f>IF(LEN(Table1722[[#This Row],[Uraian]])&gt;2,1," ")</f>
        <v xml:space="preserve"> </v>
      </c>
      <c r="E3283" s="113" t="str">
        <f>IF(Table1722[[#This Row],[Lawan Transaksi]]="CV AGUNG KARYA",COUNTIF($I$10:I3283,"CV AGUNG KARYA")," ")</f>
        <v xml:space="preserve"> </v>
      </c>
      <c r="F3283" s="107" t="str">
        <f>IF(LEN(Table1722[[#This Row],[Uraian]])&gt;2,TRIM(RIGHT(SUBSTITUTE(TRIM(C3283)," ",REPT(" ",255)),255))," ")</f>
        <v xml:space="preserve"> </v>
      </c>
      <c r="G3283" s="110">
        <f>COPY!Z3275</f>
        <v>0</v>
      </c>
      <c r="H3283" s="111" t="str">
        <f>IFERROR(VLOOKUP(Table1722[[#This Row],[Bukti]],'Un nOTA'!$A$4:$K$5003,10,FALSE),"")</f>
        <v/>
      </c>
      <c r="I3283" s="123" t="str">
        <f>IFERROR(VLOOKUP(Table1722[[#This Row],[Bukti]],Table13[#Data],11,FALSE),"")</f>
        <v/>
      </c>
    </row>
    <row r="3284" spans="1:9" hidden="1" x14ac:dyDescent="0.2">
      <c r="A3284" s="105" t="str">
        <f>IF(D3284=1,COUNTIF($D$10:D3284,1)," ")</f>
        <v xml:space="preserve"> </v>
      </c>
      <c r="B3284" s="106">
        <f>COPY!AR3276</f>
        <v>0</v>
      </c>
      <c r="C3284" s="107">
        <f>COPY!AC3276</f>
        <v>0</v>
      </c>
      <c r="D3284" s="107" t="str">
        <f>IF(LEN(Table1722[[#This Row],[Uraian]])&gt;2,1," ")</f>
        <v xml:space="preserve"> </v>
      </c>
      <c r="E3284" s="113" t="str">
        <f>IF(Table1722[[#This Row],[Lawan Transaksi]]="CV AGUNG KARYA",COUNTIF($I$10:I3284,"CV AGUNG KARYA")," ")</f>
        <v xml:space="preserve"> </v>
      </c>
      <c r="F3284" s="107" t="str">
        <f>IF(LEN(Table1722[[#This Row],[Uraian]])&gt;2,TRIM(RIGHT(SUBSTITUTE(TRIM(C3284)," ",REPT(" ",255)),255))," ")</f>
        <v xml:space="preserve"> </v>
      </c>
      <c r="G3284" s="110">
        <f>COPY!Z3276</f>
        <v>0</v>
      </c>
      <c r="H3284" s="111" t="str">
        <f>IFERROR(VLOOKUP(Table1722[[#This Row],[Bukti]],'Un nOTA'!$A$4:$K$5003,10,FALSE),"")</f>
        <v/>
      </c>
      <c r="I3284" s="123" t="str">
        <f>IFERROR(VLOOKUP(Table1722[[#This Row],[Bukti]],Table13[#Data],11,FALSE),"")</f>
        <v/>
      </c>
    </row>
    <row r="3285" spans="1:9" hidden="1" x14ac:dyDescent="0.2">
      <c r="A3285" s="105" t="str">
        <f>IF(D3285=1,COUNTIF($D$10:D3285,1)," ")</f>
        <v xml:space="preserve"> </v>
      </c>
      <c r="B3285" s="106">
        <f>COPY!AR3277</f>
        <v>0</v>
      </c>
      <c r="C3285" s="107">
        <f>COPY!AC3277</f>
        <v>0</v>
      </c>
      <c r="D3285" s="107" t="str">
        <f>IF(LEN(Table1722[[#This Row],[Uraian]])&gt;2,1," ")</f>
        <v xml:space="preserve"> </v>
      </c>
      <c r="E3285" s="113" t="str">
        <f>IF(Table1722[[#This Row],[Lawan Transaksi]]="CV AGUNG KARYA",COUNTIF($I$10:I3285,"CV AGUNG KARYA")," ")</f>
        <v xml:space="preserve"> </v>
      </c>
      <c r="F3285" s="107" t="str">
        <f>IF(LEN(Table1722[[#This Row],[Uraian]])&gt;2,TRIM(RIGHT(SUBSTITUTE(TRIM(C3285)," ",REPT(" ",255)),255))," ")</f>
        <v xml:space="preserve"> </v>
      </c>
      <c r="G3285" s="110">
        <f>COPY!Z3277</f>
        <v>0</v>
      </c>
      <c r="H3285" s="111" t="str">
        <f>IFERROR(VLOOKUP(Table1722[[#This Row],[Bukti]],'Un nOTA'!$A$4:$K$5003,10,FALSE),"")</f>
        <v/>
      </c>
      <c r="I3285" s="123" t="str">
        <f>IFERROR(VLOOKUP(Table1722[[#This Row],[Bukti]],Table13[#Data],11,FALSE),"")</f>
        <v/>
      </c>
    </row>
    <row r="3286" spans="1:9" hidden="1" x14ac:dyDescent="0.2">
      <c r="A3286" s="105" t="str">
        <f>IF(D3286=1,COUNTIF($D$10:D3286,1)," ")</f>
        <v xml:space="preserve"> </v>
      </c>
      <c r="B3286" s="106">
        <f>COPY!AR3278</f>
        <v>0</v>
      </c>
      <c r="C3286" s="107">
        <f>COPY!AC3278</f>
        <v>0</v>
      </c>
      <c r="D3286" s="107" t="str">
        <f>IF(LEN(Table1722[[#This Row],[Uraian]])&gt;2,1," ")</f>
        <v xml:space="preserve"> </v>
      </c>
      <c r="E3286" s="113" t="str">
        <f>IF(Table1722[[#This Row],[Lawan Transaksi]]="CV AGUNG KARYA",COUNTIF($I$10:I3286,"CV AGUNG KARYA")," ")</f>
        <v xml:space="preserve"> </v>
      </c>
      <c r="F3286" s="107" t="str">
        <f>IF(LEN(Table1722[[#This Row],[Uraian]])&gt;2,TRIM(RIGHT(SUBSTITUTE(TRIM(C3286)," ",REPT(" ",255)),255))," ")</f>
        <v xml:space="preserve"> </v>
      </c>
      <c r="G3286" s="110">
        <f>COPY!Z3278</f>
        <v>0</v>
      </c>
      <c r="H3286" s="111" t="str">
        <f>IFERROR(VLOOKUP(Table1722[[#This Row],[Bukti]],'Un nOTA'!$A$4:$K$5003,10,FALSE),"")</f>
        <v/>
      </c>
      <c r="I3286" s="123" t="str">
        <f>IFERROR(VLOOKUP(Table1722[[#This Row],[Bukti]],Table13[#Data],11,FALSE),"")</f>
        <v/>
      </c>
    </row>
    <row r="3287" spans="1:9" hidden="1" x14ac:dyDescent="0.2">
      <c r="A3287" s="105" t="str">
        <f>IF(D3287=1,COUNTIF($D$10:D3287,1)," ")</f>
        <v xml:space="preserve"> </v>
      </c>
      <c r="B3287" s="106">
        <f>COPY!AR3279</f>
        <v>0</v>
      </c>
      <c r="C3287" s="107">
        <f>COPY!AC3279</f>
        <v>0</v>
      </c>
      <c r="D3287" s="107" t="str">
        <f>IF(LEN(Table1722[[#This Row],[Uraian]])&gt;2,1," ")</f>
        <v xml:space="preserve"> </v>
      </c>
      <c r="E3287" s="113" t="str">
        <f>IF(Table1722[[#This Row],[Lawan Transaksi]]="CV AGUNG KARYA",COUNTIF($I$10:I3287,"CV AGUNG KARYA")," ")</f>
        <v xml:space="preserve"> </v>
      </c>
      <c r="F3287" s="107" t="str">
        <f>IF(LEN(Table1722[[#This Row],[Uraian]])&gt;2,TRIM(RIGHT(SUBSTITUTE(TRIM(C3287)," ",REPT(" ",255)),255))," ")</f>
        <v xml:space="preserve"> </v>
      </c>
      <c r="G3287" s="110">
        <f>COPY!Z3279</f>
        <v>0</v>
      </c>
      <c r="H3287" s="111" t="str">
        <f>IFERROR(VLOOKUP(Table1722[[#This Row],[Bukti]],'Un nOTA'!$A$4:$K$5003,10,FALSE),"")</f>
        <v/>
      </c>
      <c r="I3287" s="123" t="str">
        <f>IFERROR(VLOOKUP(Table1722[[#This Row],[Bukti]],Table13[#Data],11,FALSE),"")</f>
        <v/>
      </c>
    </row>
    <row r="3288" spans="1:9" hidden="1" x14ac:dyDescent="0.2">
      <c r="A3288" s="105" t="str">
        <f>IF(D3288=1,COUNTIF($D$10:D3288,1)," ")</f>
        <v xml:space="preserve"> </v>
      </c>
      <c r="B3288" s="106">
        <f>COPY!AR3280</f>
        <v>0</v>
      </c>
      <c r="C3288" s="107">
        <f>COPY!AC3280</f>
        <v>0</v>
      </c>
      <c r="D3288" s="107" t="str">
        <f>IF(LEN(Table1722[[#This Row],[Uraian]])&gt;2,1," ")</f>
        <v xml:space="preserve"> </v>
      </c>
      <c r="E3288" s="113" t="str">
        <f>IF(Table1722[[#This Row],[Lawan Transaksi]]="CV AGUNG KARYA",COUNTIF($I$10:I3288,"CV AGUNG KARYA")," ")</f>
        <v xml:space="preserve"> </v>
      </c>
      <c r="F3288" s="107" t="str">
        <f>IF(LEN(Table1722[[#This Row],[Uraian]])&gt;2,TRIM(RIGHT(SUBSTITUTE(TRIM(C3288)," ",REPT(" ",255)),255))," ")</f>
        <v xml:space="preserve"> </v>
      </c>
      <c r="G3288" s="110">
        <f>COPY!Z3280</f>
        <v>0</v>
      </c>
      <c r="H3288" s="111" t="str">
        <f>IFERROR(VLOOKUP(Table1722[[#This Row],[Bukti]],'Un nOTA'!$A$4:$K$5003,10,FALSE),"")</f>
        <v/>
      </c>
      <c r="I3288" s="123" t="str">
        <f>IFERROR(VLOOKUP(Table1722[[#This Row],[Bukti]],Table13[#Data],11,FALSE),"")</f>
        <v/>
      </c>
    </row>
    <row r="3289" spans="1:9" hidden="1" x14ac:dyDescent="0.2">
      <c r="A3289" s="105" t="str">
        <f>IF(D3289=1,COUNTIF($D$10:D3289,1)," ")</f>
        <v xml:space="preserve"> </v>
      </c>
      <c r="B3289" s="106">
        <f>COPY!AR3281</f>
        <v>0</v>
      </c>
      <c r="C3289" s="107">
        <f>COPY!AC3281</f>
        <v>0</v>
      </c>
      <c r="D3289" s="107" t="str">
        <f>IF(LEN(Table1722[[#This Row],[Uraian]])&gt;2,1," ")</f>
        <v xml:space="preserve"> </v>
      </c>
      <c r="E3289" s="113" t="str">
        <f>IF(Table1722[[#This Row],[Lawan Transaksi]]="CV AGUNG KARYA",COUNTIF($I$10:I3289,"CV AGUNG KARYA")," ")</f>
        <v xml:space="preserve"> </v>
      </c>
      <c r="F3289" s="107" t="str">
        <f>IF(LEN(Table1722[[#This Row],[Uraian]])&gt;2,TRIM(RIGHT(SUBSTITUTE(TRIM(C3289)," ",REPT(" ",255)),255))," ")</f>
        <v xml:space="preserve"> </v>
      </c>
      <c r="G3289" s="110">
        <f>COPY!Z3281</f>
        <v>0</v>
      </c>
      <c r="H3289" s="111" t="str">
        <f>IFERROR(VLOOKUP(Table1722[[#This Row],[Bukti]],'Un nOTA'!$A$4:$K$5003,10,FALSE),"")</f>
        <v/>
      </c>
      <c r="I3289" s="123" t="str">
        <f>IFERROR(VLOOKUP(Table1722[[#This Row],[Bukti]],Table13[#Data],11,FALSE),"")</f>
        <v/>
      </c>
    </row>
    <row r="3290" spans="1:9" hidden="1" x14ac:dyDescent="0.2">
      <c r="A3290" s="105" t="str">
        <f>IF(D3290=1,COUNTIF($D$10:D3290,1)," ")</f>
        <v xml:space="preserve"> </v>
      </c>
      <c r="B3290" s="106">
        <f>COPY!AR3282</f>
        <v>0</v>
      </c>
      <c r="C3290" s="107">
        <f>COPY!AC3282</f>
        <v>0</v>
      </c>
      <c r="D3290" s="107" t="str">
        <f>IF(LEN(Table1722[[#This Row],[Uraian]])&gt;2,1," ")</f>
        <v xml:space="preserve"> </v>
      </c>
      <c r="E3290" s="113" t="str">
        <f>IF(Table1722[[#This Row],[Lawan Transaksi]]="CV AGUNG KARYA",COUNTIF($I$10:I3290,"CV AGUNG KARYA")," ")</f>
        <v xml:space="preserve"> </v>
      </c>
      <c r="F3290" s="107" t="str">
        <f>IF(LEN(Table1722[[#This Row],[Uraian]])&gt;2,TRIM(RIGHT(SUBSTITUTE(TRIM(C3290)," ",REPT(" ",255)),255))," ")</f>
        <v xml:space="preserve"> </v>
      </c>
      <c r="G3290" s="110">
        <f>COPY!Z3282</f>
        <v>0</v>
      </c>
      <c r="H3290" s="111" t="str">
        <f>IFERROR(VLOOKUP(Table1722[[#This Row],[Bukti]],'Un nOTA'!$A$4:$K$5003,10,FALSE),"")</f>
        <v/>
      </c>
      <c r="I3290" s="123" t="str">
        <f>IFERROR(VLOOKUP(Table1722[[#This Row],[Bukti]],Table13[#Data],11,FALSE),"")</f>
        <v/>
      </c>
    </row>
    <row r="3291" spans="1:9" hidden="1" x14ac:dyDescent="0.2">
      <c r="A3291" s="105" t="str">
        <f>IF(D3291=1,COUNTIF($D$10:D3291,1)," ")</f>
        <v xml:space="preserve"> </v>
      </c>
      <c r="B3291" s="106">
        <f>COPY!AR3283</f>
        <v>0</v>
      </c>
      <c r="C3291" s="107">
        <f>COPY!AC3283</f>
        <v>0</v>
      </c>
      <c r="D3291" s="107" t="str">
        <f>IF(LEN(Table1722[[#This Row],[Uraian]])&gt;2,1," ")</f>
        <v xml:space="preserve"> </v>
      </c>
      <c r="E3291" s="113" t="str">
        <f>IF(Table1722[[#This Row],[Lawan Transaksi]]="CV AGUNG KARYA",COUNTIF($I$10:I3291,"CV AGUNG KARYA")," ")</f>
        <v xml:space="preserve"> </v>
      </c>
      <c r="F3291" s="107" t="str">
        <f>IF(LEN(Table1722[[#This Row],[Uraian]])&gt;2,TRIM(RIGHT(SUBSTITUTE(TRIM(C3291)," ",REPT(" ",255)),255))," ")</f>
        <v xml:space="preserve"> </v>
      </c>
      <c r="G3291" s="110">
        <f>COPY!Z3283</f>
        <v>0</v>
      </c>
      <c r="H3291" s="111" t="str">
        <f>IFERROR(VLOOKUP(Table1722[[#This Row],[Bukti]],'Un nOTA'!$A$4:$K$5003,10,FALSE),"")</f>
        <v/>
      </c>
      <c r="I3291" s="123" t="str">
        <f>IFERROR(VLOOKUP(Table1722[[#This Row],[Bukti]],Table13[#Data],11,FALSE),"")</f>
        <v/>
      </c>
    </row>
    <row r="3292" spans="1:9" hidden="1" x14ac:dyDescent="0.2">
      <c r="A3292" s="105" t="str">
        <f>IF(D3292=1,COUNTIF($D$10:D3292,1)," ")</f>
        <v xml:space="preserve"> </v>
      </c>
      <c r="B3292" s="106">
        <f>COPY!AR3284</f>
        <v>0</v>
      </c>
      <c r="C3292" s="107">
        <f>COPY!AC3284</f>
        <v>0</v>
      </c>
      <c r="D3292" s="107" t="str">
        <f>IF(LEN(Table1722[[#This Row],[Uraian]])&gt;2,1," ")</f>
        <v xml:space="preserve"> </v>
      </c>
      <c r="E3292" s="113" t="str">
        <f>IF(Table1722[[#This Row],[Lawan Transaksi]]="CV AGUNG KARYA",COUNTIF($I$10:I3292,"CV AGUNG KARYA")," ")</f>
        <v xml:space="preserve"> </v>
      </c>
      <c r="F3292" s="107" t="str">
        <f>IF(LEN(Table1722[[#This Row],[Uraian]])&gt;2,TRIM(RIGHT(SUBSTITUTE(TRIM(C3292)," ",REPT(" ",255)),255))," ")</f>
        <v xml:space="preserve"> </v>
      </c>
      <c r="G3292" s="110">
        <f>COPY!Z3284</f>
        <v>0</v>
      </c>
      <c r="H3292" s="111" t="str">
        <f>IFERROR(VLOOKUP(Table1722[[#This Row],[Bukti]],'Un nOTA'!$A$4:$K$5003,10,FALSE),"")</f>
        <v/>
      </c>
      <c r="I3292" s="123" t="str">
        <f>IFERROR(VLOOKUP(Table1722[[#This Row],[Bukti]],Table13[#Data],11,FALSE),"")</f>
        <v/>
      </c>
    </row>
    <row r="3293" spans="1:9" hidden="1" x14ac:dyDescent="0.2">
      <c r="A3293" s="105" t="str">
        <f>IF(D3293=1,COUNTIF($D$10:D3293,1)," ")</f>
        <v xml:space="preserve"> </v>
      </c>
      <c r="B3293" s="106">
        <f>COPY!AR3285</f>
        <v>0</v>
      </c>
      <c r="C3293" s="107">
        <f>COPY!AC3285</f>
        <v>0</v>
      </c>
      <c r="D3293" s="107" t="str">
        <f>IF(LEN(Table1722[[#This Row],[Uraian]])&gt;2,1," ")</f>
        <v xml:space="preserve"> </v>
      </c>
      <c r="E3293" s="113" t="str">
        <f>IF(Table1722[[#This Row],[Lawan Transaksi]]="CV AGUNG KARYA",COUNTIF($I$10:I3293,"CV AGUNG KARYA")," ")</f>
        <v xml:space="preserve"> </v>
      </c>
      <c r="F3293" s="107" t="str">
        <f>IF(LEN(Table1722[[#This Row],[Uraian]])&gt;2,TRIM(RIGHT(SUBSTITUTE(TRIM(C3293)," ",REPT(" ",255)),255))," ")</f>
        <v xml:space="preserve"> </v>
      </c>
      <c r="G3293" s="110">
        <f>COPY!Z3285</f>
        <v>0</v>
      </c>
      <c r="H3293" s="111" t="str">
        <f>IFERROR(VLOOKUP(Table1722[[#This Row],[Bukti]],'Un nOTA'!$A$4:$K$5003,10,FALSE),"")</f>
        <v/>
      </c>
      <c r="I3293" s="123" t="str">
        <f>IFERROR(VLOOKUP(Table1722[[#This Row],[Bukti]],Table13[#Data],11,FALSE),"")</f>
        <v/>
      </c>
    </row>
    <row r="3294" spans="1:9" hidden="1" x14ac:dyDescent="0.2">
      <c r="A3294" s="105" t="str">
        <f>IF(D3294=1,COUNTIF($D$10:D3294,1)," ")</f>
        <v xml:space="preserve"> </v>
      </c>
      <c r="B3294" s="106">
        <f>COPY!AR3286</f>
        <v>0</v>
      </c>
      <c r="C3294" s="107">
        <f>COPY!AC3286</f>
        <v>0</v>
      </c>
      <c r="D3294" s="107" t="str">
        <f>IF(LEN(Table1722[[#This Row],[Uraian]])&gt;2,1," ")</f>
        <v xml:space="preserve"> </v>
      </c>
      <c r="E3294" s="113" t="str">
        <f>IF(Table1722[[#This Row],[Lawan Transaksi]]="CV AGUNG KARYA",COUNTIF($I$10:I3294,"CV AGUNG KARYA")," ")</f>
        <v xml:space="preserve"> </v>
      </c>
      <c r="F3294" s="107" t="str">
        <f>IF(LEN(Table1722[[#This Row],[Uraian]])&gt;2,TRIM(RIGHT(SUBSTITUTE(TRIM(C3294)," ",REPT(" ",255)),255))," ")</f>
        <v xml:space="preserve"> </v>
      </c>
      <c r="G3294" s="110">
        <f>COPY!Z3286</f>
        <v>0</v>
      </c>
      <c r="H3294" s="111" t="str">
        <f>IFERROR(VLOOKUP(Table1722[[#This Row],[Bukti]],'Un nOTA'!$A$4:$K$5003,10,FALSE),"")</f>
        <v/>
      </c>
      <c r="I3294" s="123" t="str">
        <f>IFERROR(VLOOKUP(Table1722[[#This Row],[Bukti]],Table13[#Data],11,FALSE),"")</f>
        <v/>
      </c>
    </row>
    <row r="3295" spans="1:9" hidden="1" x14ac:dyDescent="0.2">
      <c r="A3295" s="105" t="str">
        <f>IF(D3295=1,COUNTIF($D$10:D3295,1)," ")</f>
        <v xml:space="preserve"> </v>
      </c>
      <c r="B3295" s="106">
        <f>COPY!AR3287</f>
        <v>0</v>
      </c>
      <c r="C3295" s="107">
        <f>COPY!AC3287</f>
        <v>0</v>
      </c>
      <c r="D3295" s="107" t="str">
        <f>IF(LEN(Table1722[[#This Row],[Uraian]])&gt;2,1," ")</f>
        <v xml:space="preserve"> </v>
      </c>
      <c r="E3295" s="113" t="str">
        <f>IF(Table1722[[#This Row],[Lawan Transaksi]]="CV AGUNG KARYA",COUNTIF($I$10:I3295,"CV AGUNG KARYA")," ")</f>
        <v xml:space="preserve"> </v>
      </c>
      <c r="F3295" s="107" t="str">
        <f>IF(LEN(Table1722[[#This Row],[Uraian]])&gt;2,TRIM(RIGHT(SUBSTITUTE(TRIM(C3295)," ",REPT(" ",255)),255))," ")</f>
        <v xml:space="preserve"> </v>
      </c>
      <c r="G3295" s="110">
        <f>COPY!Z3287</f>
        <v>0</v>
      </c>
      <c r="H3295" s="111" t="str">
        <f>IFERROR(VLOOKUP(Table1722[[#This Row],[Bukti]],'Un nOTA'!$A$4:$K$5003,10,FALSE),"")</f>
        <v/>
      </c>
      <c r="I3295" s="123" t="str">
        <f>IFERROR(VLOOKUP(Table1722[[#This Row],[Bukti]],Table13[#Data],11,FALSE),"")</f>
        <v/>
      </c>
    </row>
    <row r="3296" spans="1:9" hidden="1" x14ac:dyDescent="0.2">
      <c r="A3296" s="105" t="str">
        <f>IF(D3296=1,COUNTIF($D$10:D3296,1)," ")</f>
        <v xml:space="preserve"> </v>
      </c>
      <c r="B3296" s="106">
        <f>COPY!AR3288</f>
        <v>0</v>
      </c>
      <c r="C3296" s="107">
        <f>COPY!AC3288</f>
        <v>0</v>
      </c>
      <c r="D3296" s="107" t="str">
        <f>IF(LEN(Table1722[[#This Row],[Uraian]])&gt;2,1," ")</f>
        <v xml:space="preserve"> </v>
      </c>
      <c r="E3296" s="113" t="str">
        <f>IF(Table1722[[#This Row],[Lawan Transaksi]]="CV AGUNG KARYA",COUNTIF($I$10:I3296,"CV AGUNG KARYA")," ")</f>
        <v xml:space="preserve"> </v>
      </c>
      <c r="F3296" s="107" t="str">
        <f>IF(LEN(Table1722[[#This Row],[Uraian]])&gt;2,TRIM(RIGHT(SUBSTITUTE(TRIM(C3296)," ",REPT(" ",255)),255))," ")</f>
        <v xml:space="preserve"> </v>
      </c>
      <c r="G3296" s="110">
        <f>COPY!Z3288</f>
        <v>0</v>
      </c>
      <c r="H3296" s="111" t="str">
        <f>IFERROR(VLOOKUP(Table1722[[#This Row],[Bukti]],'Un nOTA'!$A$4:$K$5003,10,FALSE),"")</f>
        <v/>
      </c>
      <c r="I3296" s="123" t="str">
        <f>IFERROR(VLOOKUP(Table1722[[#This Row],[Bukti]],Table13[#Data],11,FALSE),"")</f>
        <v/>
      </c>
    </row>
    <row r="3297" spans="1:9" hidden="1" x14ac:dyDescent="0.2">
      <c r="A3297" s="105" t="str">
        <f>IF(D3297=1,COUNTIF($D$10:D3297,1)," ")</f>
        <v xml:space="preserve"> </v>
      </c>
      <c r="B3297" s="106">
        <f>COPY!AR3289</f>
        <v>0</v>
      </c>
      <c r="C3297" s="107">
        <f>COPY!AC3289</f>
        <v>0</v>
      </c>
      <c r="D3297" s="107" t="str">
        <f>IF(LEN(Table1722[[#This Row],[Uraian]])&gt;2,1," ")</f>
        <v xml:space="preserve"> </v>
      </c>
      <c r="E3297" s="113" t="str">
        <f>IF(Table1722[[#This Row],[Lawan Transaksi]]="CV AGUNG KARYA",COUNTIF($I$10:I3297,"CV AGUNG KARYA")," ")</f>
        <v xml:space="preserve"> </v>
      </c>
      <c r="F3297" s="107" t="str">
        <f>IF(LEN(Table1722[[#This Row],[Uraian]])&gt;2,TRIM(RIGHT(SUBSTITUTE(TRIM(C3297)," ",REPT(" ",255)),255))," ")</f>
        <v xml:space="preserve"> </v>
      </c>
      <c r="G3297" s="110">
        <f>COPY!Z3289</f>
        <v>0</v>
      </c>
      <c r="H3297" s="111" t="str">
        <f>IFERROR(VLOOKUP(Table1722[[#This Row],[Bukti]],'Un nOTA'!$A$4:$K$5003,10,FALSE),"")</f>
        <v/>
      </c>
      <c r="I3297" s="123" t="str">
        <f>IFERROR(VLOOKUP(Table1722[[#This Row],[Bukti]],Table13[#Data],11,FALSE),"")</f>
        <v/>
      </c>
    </row>
    <row r="3298" spans="1:9" hidden="1" x14ac:dyDescent="0.2">
      <c r="A3298" s="105" t="str">
        <f>IF(D3298=1,COUNTIF($D$10:D3298,1)," ")</f>
        <v xml:space="preserve"> </v>
      </c>
      <c r="B3298" s="106">
        <f>COPY!AR3290</f>
        <v>0</v>
      </c>
      <c r="C3298" s="107">
        <f>COPY!AC3290</f>
        <v>0</v>
      </c>
      <c r="D3298" s="107" t="str">
        <f>IF(LEN(Table1722[[#This Row],[Uraian]])&gt;2,1," ")</f>
        <v xml:space="preserve"> </v>
      </c>
      <c r="E3298" s="113" t="str">
        <f>IF(Table1722[[#This Row],[Lawan Transaksi]]="CV AGUNG KARYA",COUNTIF($I$10:I3298,"CV AGUNG KARYA")," ")</f>
        <v xml:space="preserve"> </v>
      </c>
      <c r="F3298" s="107" t="str">
        <f>IF(LEN(Table1722[[#This Row],[Uraian]])&gt;2,TRIM(RIGHT(SUBSTITUTE(TRIM(C3298)," ",REPT(" ",255)),255))," ")</f>
        <v xml:space="preserve"> </v>
      </c>
      <c r="G3298" s="110">
        <f>COPY!Z3290</f>
        <v>0</v>
      </c>
      <c r="H3298" s="111" t="str">
        <f>IFERROR(VLOOKUP(Table1722[[#This Row],[Bukti]],'Un nOTA'!$A$4:$K$5003,10,FALSE),"")</f>
        <v/>
      </c>
      <c r="I3298" s="123" t="str">
        <f>IFERROR(VLOOKUP(Table1722[[#This Row],[Bukti]],Table13[#Data],11,FALSE),"")</f>
        <v/>
      </c>
    </row>
    <row r="3299" spans="1:9" hidden="1" x14ac:dyDescent="0.2">
      <c r="A3299" s="105" t="str">
        <f>IF(D3299=1,COUNTIF($D$10:D3299,1)," ")</f>
        <v xml:space="preserve"> </v>
      </c>
      <c r="B3299" s="106">
        <f>COPY!AR3291</f>
        <v>0</v>
      </c>
      <c r="C3299" s="107">
        <f>COPY!AC3291</f>
        <v>0</v>
      </c>
      <c r="D3299" s="107" t="str">
        <f>IF(LEN(Table1722[[#This Row],[Uraian]])&gt;2,1," ")</f>
        <v xml:space="preserve"> </v>
      </c>
      <c r="E3299" s="113" t="str">
        <f>IF(Table1722[[#This Row],[Lawan Transaksi]]="CV AGUNG KARYA",COUNTIF($I$10:I3299,"CV AGUNG KARYA")," ")</f>
        <v xml:space="preserve"> </v>
      </c>
      <c r="F3299" s="107" t="str">
        <f>IF(LEN(Table1722[[#This Row],[Uraian]])&gt;2,TRIM(RIGHT(SUBSTITUTE(TRIM(C3299)," ",REPT(" ",255)),255))," ")</f>
        <v xml:space="preserve"> </v>
      </c>
      <c r="G3299" s="110">
        <f>COPY!Z3291</f>
        <v>0</v>
      </c>
      <c r="H3299" s="111" t="str">
        <f>IFERROR(VLOOKUP(Table1722[[#This Row],[Bukti]],'Un nOTA'!$A$4:$K$5003,10,FALSE),"")</f>
        <v/>
      </c>
      <c r="I3299" s="123" t="str">
        <f>IFERROR(VLOOKUP(Table1722[[#This Row],[Bukti]],Table13[#Data],11,FALSE),"")</f>
        <v/>
      </c>
    </row>
    <row r="3300" spans="1:9" hidden="1" x14ac:dyDescent="0.2">
      <c r="A3300" s="105" t="str">
        <f>IF(D3300=1,COUNTIF($D$10:D3300,1)," ")</f>
        <v xml:space="preserve"> </v>
      </c>
      <c r="B3300" s="106">
        <f>COPY!AR3292</f>
        <v>0</v>
      </c>
      <c r="C3300" s="107">
        <f>COPY!AC3292</f>
        <v>0</v>
      </c>
      <c r="D3300" s="107" t="str">
        <f>IF(LEN(Table1722[[#This Row],[Uraian]])&gt;2,1," ")</f>
        <v xml:space="preserve"> </v>
      </c>
      <c r="E3300" s="113" t="str">
        <f>IF(Table1722[[#This Row],[Lawan Transaksi]]="CV AGUNG KARYA",COUNTIF($I$10:I3300,"CV AGUNG KARYA")," ")</f>
        <v xml:space="preserve"> </v>
      </c>
      <c r="F3300" s="107" t="str">
        <f>IF(LEN(Table1722[[#This Row],[Uraian]])&gt;2,TRIM(RIGHT(SUBSTITUTE(TRIM(C3300)," ",REPT(" ",255)),255))," ")</f>
        <v xml:space="preserve"> </v>
      </c>
      <c r="G3300" s="110">
        <f>COPY!Z3292</f>
        <v>0</v>
      </c>
      <c r="H3300" s="111" t="str">
        <f>IFERROR(VLOOKUP(Table1722[[#This Row],[Bukti]],'Un nOTA'!$A$4:$K$5003,10,FALSE),"")</f>
        <v/>
      </c>
      <c r="I3300" s="123" t="str">
        <f>IFERROR(VLOOKUP(Table1722[[#This Row],[Bukti]],Table13[#Data],11,FALSE),"")</f>
        <v/>
      </c>
    </row>
    <row r="3301" spans="1:9" hidden="1" x14ac:dyDescent="0.2">
      <c r="A3301" s="105" t="str">
        <f>IF(D3301=1,COUNTIF($D$10:D3301,1)," ")</f>
        <v xml:space="preserve"> </v>
      </c>
      <c r="B3301" s="106">
        <f>COPY!AR3293</f>
        <v>0</v>
      </c>
      <c r="C3301" s="107">
        <f>COPY!AC3293</f>
        <v>0</v>
      </c>
      <c r="D3301" s="107" t="str">
        <f>IF(LEN(Table1722[[#This Row],[Uraian]])&gt;2,1," ")</f>
        <v xml:space="preserve"> </v>
      </c>
      <c r="E3301" s="113" t="str">
        <f>IF(Table1722[[#This Row],[Lawan Transaksi]]="CV AGUNG KARYA",COUNTIF($I$10:I3301,"CV AGUNG KARYA")," ")</f>
        <v xml:space="preserve"> </v>
      </c>
      <c r="F3301" s="107" t="str">
        <f>IF(LEN(Table1722[[#This Row],[Uraian]])&gt;2,TRIM(RIGHT(SUBSTITUTE(TRIM(C3301)," ",REPT(" ",255)),255))," ")</f>
        <v xml:space="preserve"> </v>
      </c>
      <c r="G3301" s="110">
        <f>COPY!Z3293</f>
        <v>0</v>
      </c>
      <c r="H3301" s="111" t="str">
        <f>IFERROR(VLOOKUP(Table1722[[#This Row],[Bukti]],'Un nOTA'!$A$4:$K$5003,10,FALSE),"")</f>
        <v/>
      </c>
      <c r="I3301" s="123" t="str">
        <f>IFERROR(VLOOKUP(Table1722[[#This Row],[Bukti]],Table13[#Data],11,FALSE),"")</f>
        <v/>
      </c>
    </row>
    <row r="3302" spans="1:9" hidden="1" x14ac:dyDescent="0.2">
      <c r="A3302" s="105" t="str">
        <f>IF(D3302=1,COUNTIF($D$10:D3302,1)," ")</f>
        <v xml:space="preserve"> </v>
      </c>
      <c r="B3302" s="106">
        <f>COPY!AR3294</f>
        <v>0</v>
      </c>
      <c r="C3302" s="107">
        <f>COPY!AC3294</f>
        <v>0</v>
      </c>
      <c r="D3302" s="107" t="str">
        <f>IF(LEN(Table1722[[#This Row],[Uraian]])&gt;2,1," ")</f>
        <v xml:space="preserve"> </v>
      </c>
      <c r="E3302" s="113" t="str">
        <f>IF(Table1722[[#This Row],[Lawan Transaksi]]="CV AGUNG KARYA",COUNTIF($I$10:I3302,"CV AGUNG KARYA")," ")</f>
        <v xml:space="preserve"> </v>
      </c>
      <c r="F3302" s="107" t="str">
        <f>IF(LEN(Table1722[[#This Row],[Uraian]])&gt;2,TRIM(RIGHT(SUBSTITUTE(TRIM(C3302)," ",REPT(" ",255)),255))," ")</f>
        <v xml:space="preserve"> </v>
      </c>
      <c r="G3302" s="110">
        <f>COPY!Z3294</f>
        <v>0</v>
      </c>
      <c r="H3302" s="111" t="str">
        <f>IFERROR(VLOOKUP(Table1722[[#This Row],[Bukti]],'Un nOTA'!$A$4:$K$5003,10,FALSE),"")</f>
        <v/>
      </c>
      <c r="I3302" s="123" t="str">
        <f>IFERROR(VLOOKUP(Table1722[[#This Row],[Bukti]],Table13[#Data],11,FALSE),"")</f>
        <v/>
      </c>
    </row>
    <row r="3303" spans="1:9" hidden="1" x14ac:dyDescent="0.2">
      <c r="A3303" s="105" t="str">
        <f>IF(D3303=1,COUNTIF($D$10:D3303,1)," ")</f>
        <v xml:space="preserve"> </v>
      </c>
      <c r="B3303" s="106">
        <f>COPY!AR3295</f>
        <v>0</v>
      </c>
      <c r="C3303" s="107">
        <f>COPY!AC3295</f>
        <v>0</v>
      </c>
      <c r="D3303" s="107" t="str">
        <f>IF(LEN(Table1722[[#This Row],[Uraian]])&gt;2,1," ")</f>
        <v xml:space="preserve"> </v>
      </c>
      <c r="E3303" s="113" t="str">
        <f>IF(Table1722[[#This Row],[Lawan Transaksi]]="CV AGUNG KARYA",COUNTIF($I$10:I3303,"CV AGUNG KARYA")," ")</f>
        <v xml:space="preserve"> </v>
      </c>
      <c r="F3303" s="107" t="str">
        <f>IF(LEN(Table1722[[#This Row],[Uraian]])&gt;2,TRIM(RIGHT(SUBSTITUTE(TRIM(C3303)," ",REPT(" ",255)),255))," ")</f>
        <v xml:space="preserve"> </v>
      </c>
      <c r="G3303" s="110">
        <f>COPY!Z3295</f>
        <v>0</v>
      </c>
      <c r="H3303" s="111" t="str">
        <f>IFERROR(VLOOKUP(Table1722[[#This Row],[Bukti]],'Un nOTA'!$A$4:$K$5003,10,FALSE),"")</f>
        <v/>
      </c>
      <c r="I3303" s="123" t="str">
        <f>IFERROR(VLOOKUP(Table1722[[#This Row],[Bukti]],Table13[#Data],11,FALSE),"")</f>
        <v/>
      </c>
    </row>
    <row r="3304" spans="1:9" hidden="1" x14ac:dyDescent="0.2">
      <c r="A3304" s="105" t="str">
        <f>IF(D3304=1,COUNTIF($D$10:D3304,1)," ")</f>
        <v xml:space="preserve"> </v>
      </c>
      <c r="B3304" s="106">
        <f>COPY!AR3296</f>
        <v>0</v>
      </c>
      <c r="C3304" s="107">
        <f>COPY!AC3296</f>
        <v>0</v>
      </c>
      <c r="D3304" s="107" t="str">
        <f>IF(LEN(Table1722[[#This Row],[Uraian]])&gt;2,1," ")</f>
        <v xml:space="preserve"> </v>
      </c>
      <c r="E3304" s="113" t="str">
        <f>IF(Table1722[[#This Row],[Lawan Transaksi]]="CV AGUNG KARYA",COUNTIF($I$10:I3304,"CV AGUNG KARYA")," ")</f>
        <v xml:space="preserve"> </v>
      </c>
      <c r="F3304" s="107" t="str">
        <f>IF(LEN(Table1722[[#This Row],[Uraian]])&gt;2,TRIM(RIGHT(SUBSTITUTE(TRIM(C3304)," ",REPT(" ",255)),255))," ")</f>
        <v xml:space="preserve"> </v>
      </c>
      <c r="G3304" s="110">
        <f>COPY!Z3296</f>
        <v>0</v>
      </c>
      <c r="H3304" s="111" t="str">
        <f>IFERROR(VLOOKUP(Table1722[[#This Row],[Bukti]],'Un nOTA'!$A$4:$K$5003,10,FALSE),"")</f>
        <v/>
      </c>
      <c r="I3304" s="123" t="str">
        <f>IFERROR(VLOOKUP(Table1722[[#This Row],[Bukti]],Table13[#Data],11,FALSE),"")</f>
        <v/>
      </c>
    </row>
    <row r="3305" spans="1:9" hidden="1" x14ac:dyDescent="0.2">
      <c r="A3305" s="105" t="str">
        <f>IF(D3305=1,COUNTIF($D$10:D3305,1)," ")</f>
        <v xml:space="preserve"> </v>
      </c>
      <c r="B3305" s="106">
        <f>COPY!AR3297</f>
        <v>0</v>
      </c>
      <c r="C3305" s="107">
        <f>COPY!AC3297</f>
        <v>0</v>
      </c>
      <c r="D3305" s="107" t="str">
        <f>IF(LEN(Table1722[[#This Row],[Uraian]])&gt;2,1," ")</f>
        <v xml:space="preserve"> </v>
      </c>
      <c r="E3305" s="113" t="str">
        <f>IF(Table1722[[#This Row],[Lawan Transaksi]]="CV AGUNG KARYA",COUNTIF($I$10:I3305,"CV AGUNG KARYA")," ")</f>
        <v xml:space="preserve"> </v>
      </c>
      <c r="F3305" s="107" t="str">
        <f>IF(LEN(Table1722[[#This Row],[Uraian]])&gt;2,TRIM(RIGHT(SUBSTITUTE(TRIM(C3305)," ",REPT(" ",255)),255))," ")</f>
        <v xml:space="preserve"> </v>
      </c>
      <c r="G3305" s="110">
        <f>COPY!Z3297</f>
        <v>0</v>
      </c>
      <c r="H3305" s="111" t="str">
        <f>IFERROR(VLOOKUP(Table1722[[#This Row],[Bukti]],'Un nOTA'!$A$4:$K$5003,10,FALSE),"")</f>
        <v/>
      </c>
      <c r="I3305" s="123" t="str">
        <f>IFERROR(VLOOKUP(Table1722[[#This Row],[Bukti]],Table13[#Data],11,FALSE),"")</f>
        <v/>
      </c>
    </row>
    <row r="3306" spans="1:9" hidden="1" x14ac:dyDescent="0.2">
      <c r="A3306" s="105" t="str">
        <f>IF(D3306=1,COUNTIF($D$10:D3306,1)," ")</f>
        <v xml:space="preserve"> </v>
      </c>
      <c r="B3306" s="106">
        <f>COPY!AR3298</f>
        <v>0</v>
      </c>
      <c r="C3306" s="107">
        <f>COPY!AC3298</f>
        <v>0</v>
      </c>
      <c r="D3306" s="107" t="str">
        <f>IF(LEN(Table1722[[#This Row],[Uraian]])&gt;2,1," ")</f>
        <v xml:space="preserve"> </v>
      </c>
      <c r="E3306" s="113" t="str">
        <f>IF(Table1722[[#This Row],[Lawan Transaksi]]="CV AGUNG KARYA",COUNTIF($I$10:I3306,"CV AGUNG KARYA")," ")</f>
        <v xml:space="preserve"> </v>
      </c>
      <c r="F3306" s="107" t="str">
        <f>IF(LEN(Table1722[[#This Row],[Uraian]])&gt;2,TRIM(RIGHT(SUBSTITUTE(TRIM(C3306)," ",REPT(" ",255)),255))," ")</f>
        <v xml:space="preserve"> </v>
      </c>
      <c r="G3306" s="110">
        <f>COPY!Z3298</f>
        <v>0</v>
      </c>
      <c r="H3306" s="111" t="str">
        <f>IFERROR(VLOOKUP(Table1722[[#This Row],[Bukti]],'Un nOTA'!$A$4:$K$5003,10,FALSE),"")</f>
        <v/>
      </c>
      <c r="I3306" s="123" t="str">
        <f>IFERROR(VLOOKUP(Table1722[[#This Row],[Bukti]],Table13[#Data],11,FALSE),"")</f>
        <v/>
      </c>
    </row>
    <row r="3307" spans="1:9" hidden="1" x14ac:dyDescent="0.2">
      <c r="A3307" s="105" t="str">
        <f>IF(D3307=1,COUNTIF($D$10:D3307,1)," ")</f>
        <v xml:space="preserve"> </v>
      </c>
      <c r="B3307" s="106">
        <f>COPY!AR3299</f>
        <v>0</v>
      </c>
      <c r="C3307" s="107">
        <f>COPY!AC3299</f>
        <v>0</v>
      </c>
      <c r="D3307" s="107" t="str">
        <f>IF(LEN(Table1722[[#This Row],[Uraian]])&gt;2,1," ")</f>
        <v xml:space="preserve"> </v>
      </c>
      <c r="E3307" s="113" t="str">
        <f>IF(Table1722[[#This Row],[Lawan Transaksi]]="CV AGUNG KARYA",COUNTIF($I$10:I3307,"CV AGUNG KARYA")," ")</f>
        <v xml:space="preserve"> </v>
      </c>
      <c r="F3307" s="107" t="str">
        <f>IF(LEN(Table1722[[#This Row],[Uraian]])&gt;2,TRIM(RIGHT(SUBSTITUTE(TRIM(C3307)," ",REPT(" ",255)),255))," ")</f>
        <v xml:space="preserve"> </v>
      </c>
      <c r="G3307" s="110">
        <f>COPY!Z3299</f>
        <v>0</v>
      </c>
      <c r="H3307" s="111" t="str">
        <f>IFERROR(VLOOKUP(Table1722[[#This Row],[Bukti]],'Un nOTA'!$A$4:$K$5003,10,FALSE),"")</f>
        <v/>
      </c>
      <c r="I3307" s="123" t="str">
        <f>IFERROR(VLOOKUP(Table1722[[#This Row],[Bukti]],Table13[#Data],11,FALSE),"")</f>
        <v/>
      </c>
    </row>
    <row r="3308" spans="1:9" hidden="1" x14ac:dyDescent="0.2">
      <c r="A3308" s="105" t="str">
        <f>IF(D3308=1,COUNTIF($D$10:D3308,1)," ")</f>
        <v xml:space="preserve"> </v>
      </c>
      <c r="B3308" s="106">
        <f>COPY!AR3300</f>
        <v>0</v>
      </c>
      <c r="C3308" s="107">
        <f>COPY!AC3300</f>
        <v>0</v>
      </c>
      <c r="D3308" s="107" t="str">
        <f>IF(LEN(Table1722[[#This Row],[Uraian]])&gt;2,1," ")</f>
        <v xml:space="preserve"> </v>
      </c>
      <c r="E3308" s="113" t="str">
        <f>IF(Table1722[[#This Row],[Lawan Transaksi]]="CV AGUNG KARYA",COUNTIF($I$10:I3308,"CV AGUNG KARYA")," ")</f>
        <v xml:space="preserve"> </v>
      </c>
      <c r="F3308" s="107" t="str">
        <f>IF(LEN(Table1722[[#This Row],[Uraian]])&gt;2,TRIM(RIGHT(SUBSTITUTE(TRIM(C3308)," ",REPT(" ",255)),255))," ")</f>
        <v xml:space="preserve"> </v>
      </c>
      <c r="G3308" s="110">
        <f>COPY!Z3300</f>
        <v>0</v>
      </c>
      <c r="H3308" s="111" t="str">
        <f>IFERROR(VLOOKUP(Table1722[[#This Row],[Bukti]],'Un nOTA'!$A$4:$K$5003,10,FALSE),"")</f>
        <v/>
      </c>
      <c r="I3308" s="123" t="str">
        <f>IFERROR(VLOOKUP(Table1722[[#This Row],[Bukti]],Table13[#Data],11,FALSE),"")</f>
        <v/>
      </c>
    </row>
    <row r="3309" spans="1:9" hidden="1" x14ac:dyDescent="0.2">
      <c r="A3309" s="105" t="str">
        <f>IF(D3309=1,COUNTIF($D$10:D3309,1)," ")</f>
        <v xml:space="preserve"> </v>
      </c>
      <c r="B3309" s="106">
        <f>COPY!AR3301</f>
        <v>0</v>
      </c>
      <c r="C3309" s="107">
        <f>COPY!AC3301</f>
        <v>0</v>
      </c>
      <c r="D3309" s="107" t="str">
        <f>IF(LEN(Table1722[[#This Row],[Uraian]])&gt;2,1," ")</f>
        <v xml:space="preserve"> </v>
      </c>
      <c r="E3309" s="113" t="str">
        <f>IF(Table1722[[#This Row],[Lawan Transaksi]]="CV AGUNG KARYA",COUNTIF($I$10:I3309,"CV AGUNG KARYA")," ")</f>
        <v xml:space="preserve"> </v>
      </c>
      <c r="F3309" s="107" t="str">
        <f>IF(LEN(Table1722[[#This Row],[Uraian]])&gt;2,TRIM(RIGHT(SUBSTITUTE(TRIM(C3309)," ",REPT(" ",255)),255))," ")</f>
        <v xml:space="preserve"> </v>
      </c>
      <c r="G3309" s="110">
        <f>COPY!Z3301</f>
        <v>0</v>
      </c>
      <c r="H3309" s="111" t="str">
        <f>IFERROR(VLOOKUP(Table1722[[#This Row],[Bukti]],'Un nOTA'!$A$4:$K$5003,10,FALSE),"")</f>
        <v/>
      </c>
      <c r="I3309" s="123" t="str">
        <f>IFERROR(VLOOKUP(Table1722[[#This Row],[Bukti]],Table13[#Data],11,FALSE),"")</f>
        <v/>
      </c>
    </row>
    <row r="3310" spans="1:9" hidden="1" x14ac:dyDescent="0.2">
      <c r="A3310" s="105" t="str">
        <f>IF(D3310=1,COUNTIF($D$10:D3310,1)," ")</f>
        <v xml:space="preserve"> </v>
      </c>
      <c r="B3310" s="106">
        <f>COPY!AR3302</f>
        <v>0</v>
      </c>
      <c r="C3310" s="107">
        <f>COPY!AC3302</f>
        <v>0</v>
      </c>
      <c r="D3310" s="107" t="str">
        <f>IF(LEN(Table1722[[#This Row],[Uraian]])&gt;2,1," ")</f>
        <v xml:space="preserve"> </v>
      </c>
      <c r="E3310" s="113" t="str">
        <f>IF(Table1722[[#This Row],[Lawan Transaksi]]="CV AGUNG KARYA",COUNTIF($I$10:I3310,"CV AGUNG KARYA")," ")</f>
        <v xml:space="preserve"> </v>
      </c>
      <c r="F3310" s="107" t="str">
        <f>IF(LEN(Table1722[[#This Row],[Uraian]])&gt;2,TRIM(RIGHT(SUBSTITUTE(TRIM(C3310)," ",REPT(" ",255)),255))," ")</f>
        <v xml:space="preserve"> </v>
      </c>
      <c r="G3310" s="110">
        <f>COPY!Z3302</f>
        <v>0</v>
      </c>
      <c r="H3310" s="111" t="str">
        <f>IFERROR(VLOOKUP(Table1722[[#This Row],[Bukti]],'Un nOTA'!$A$4:$K$5003,10,FALSE),"")</f>
        <v/>
      </c>
      <c r="I3310" s="123" t="str">
        <f>IFERROR(VLOOKUP(Table1722[[#This Row],[Bukti]],Table13[#Data],11,FALSE),"")</f>
        <v/>
      </c>
    </row>
    <row r="3311" spans="1:9" hidden="1" x14ac:dyDescent="0.2">
      <c r="A3311" s="105" t="str">
        <f>IF(D3311=1,COUNTIF($D$10:D3311,1)," ")</f>
        <v xml:space="preserve"> </v>
      </c>
      <c r="B3311" s="106">
        <f>COPY!AR3303</f>
        <v>0</v>
      </c>
      <c r="C3311" s="107">
        <f>COPY!AC3303</f>
        <v>0</v>
      </c>
      <c r="D3311" s="107" t="str">
        <f>IF(LEN(Table1722[[#This Row],[Uraian]])&gt;2,1," ")</f>
        <v xml:space="preserve"> </v>
      </c>
      <c r="E3311" s="113" t="str">
        <f>IF(Table1722[[#This Row],[Lawan Transaksi]]="CV AGUNG KARYA",COUNTIF($I$10:I3311,"CV AGUNG KARYA")," ")</f>
        <v xml:space="preserve"> </v>
      </c>
      <c r="F3311" s="107" t="str">
        <f>IF(LEN(Table1722[[#This Row],[Uraian]])&gt;2,TRIM(RIGHT(SUBSTITUTE(TRIM(C3311)," ",REPT(" ",255)),255))," ")</f>
        <v xml:space="preserve"> </v>
      </c>
      <c r="G3311" s="110">
        <f>COPY!Z3303</f>
        <v>0</v>
      </c>
      <c r="H3311" s="111" t="str">
        <f>IFERROR(VLOOKUP(Table1722[[#This Row],[Bukti]],'Un nOTA'!$A$4:$K$5003,10,FALSE),"")</f>
        <v/>
      </c>
      <c r="I3311" s="123" t="str">
        <f>IFERROR(VLOOKUP(Table1722[[#This Row],[Bukti]],Table13[#Data],11,FALSE),"")</f>
        <v/>
      </c>
    </row>
    <row r="3312" spans="1:9" hidden="1" x14ac:dyDescent="0.2">
      <c r="A3312" s="105" t="str">
        <f>IF(D3312=1,COUNTIF($D$10:D3312,1)," ")</f>
        <v xml:space="preserve"> </v>
      </c>
      <c r="B3312" s="106">
        <f>COPY!AR3304</f>
        <v>0</v>
      </c>
      <c r="C3312" s="107">
        <f>COPY!AC3304</f>
        <v>0</v>
      </c>
      <c r="D3312" s="107" t="str">
        <f>IF(LEN(Table1722[[#This Row],[Uraian]])&gt;2,1," ")</f>
        <v xml:space="preserve"> </v>
      </c>
      <c r="E3312" s="113" t="str">
        <f>IF(Table1722[[#This Row],[Lawan Transaksi]]="CV AGUNG KARYA",COUNTIF($I$10:I3312,"CV AGUNG KARYA")," ")</f>
        <v xml:space="preserve"> </v>
      </c>
      <c r="F3312" s="107" t="str">
        <f>IF(LEN(Table1722[[#This Row],[Uraian]])&gt;2,TRIM(RIGHT(SUBSTITUTE(TRIM(C3312)," ",REPT(" ",255)),255))," ")</f>
        <v xml:space="preserve"> </v>
      </c>
      <c r="G3312" s="110">
        <f>COPY!Z3304</f>
        <v>0</v>
      </c>
      <c r="H3312" s="111" t="str">
        <f>IFERROR(VLOOKUP(Table1722[[#This Row],[Bukti]],'Un nOTA'!$A$4:$K$5003,10,FALSE),"")</f>
        <v/>
      </c>
      <c r="I3312" s="123" t="str">
        <f>IFERROR(VLOOKUP(Table1722[[#This Row],[Bukti]],Table13[#Data],11,FALSE),"")</f>
        <v/>
      </c>
    </row>
    <row r="3313" spans="1:9" hidden="1" x14ac:dyDescent="0.2">
      <c r="A3313" s="105" t="str">
        <f>IF(D3313=1,COUNTIF($D$10:D3313,1)," ")</f>
        <v xml:space="preserve"> </v>
      </c>
      <c r="B3313" s="106">
        <f>COPY!AR3305</f>
        <v>0</v>
      </c>
      <c r="C3313" s="107">
        <f>COPY!AC3305</f>
        <v>0</v>
      </c>
      <c r="D3313" s="107" t="str">
        <f>IF(LEN(Table1722[[#This Row],[Uraian]])&gt;2,1," ")</f>
        <v xml:space="preserve"> </v>
      </c>
      <c r="E3313" s="113" t="str">
        <f>IF(Table1722[[#This Row],[Lawan Transaksi]]="CV AGUNG KARYA",COUNTIF($I$10:I3313,"CV AGUNG KARYA")," ")</f>
        <v xml:space="preserve"> </v>
      </c>
      <c r="F3313" s="107" t="str">
        <f>IF(LEN(Table1722[[#This Row],[Uraian]])&gt;2,TRIM(RIGHT(SUBSTITUTE(TRIM(C3313)," ",REPT(" ",255)),255))," ")</f>
        <v xml:space="preserve"> </v>
      </c>
      <c r="G3313" s="110">
        <f>COPY!Z3305</f>
        <v>0</v>
      </c>
      <c r="H3313" s="111" t="str">
        <f>IFERROR(VLOOKUP(Table1722[[#This Row],[Bukti]],'Un nOTA'!$A$4:$K$5003,10,FALSE),"")</f>
        <v/>
      </c>
      <c r="I3313" s="123" t="str">
        <f>IFERROR(VLOOKUP(Table1722[[#This Row],[Bukti]],Table13[#Data],11,FALSE),"")</f>
        <v/>
      </c>
    </row>
    <row r="3314" spans="1:9" hidden="1" x14ac:dyDescent="0.2">
      <c r="A3314" s="105" t="str">
        <f>IF(D3314=1,COUNTIF($D$10:D3314,1)," ")</f>
        <v xml:space="preserve"> </v>
      </c>
      <c r="B3314" s="106">
        <f>COPY!AR3306</f>
        <v>0</v>
      </c>
      <c r="C3314" s="107">
        <f>COPY!AC3306</f>
        <v>0</v>
      </c>
      <c r="D3314" s="107" t="str">
        <f>IF(LEN(Table1722[[#This Row],[Uraian]])&gt;2,1," ")</f>
        <v xml:space="preserve"> </v>
      </c>
      <c r="E3314" s="113" t="str">
        <f>IF(Table1722[[#This Row],[Lawan Transaksi]]="CV AGUNG KARYA",COUNTIF($I$10:I3314,"CV AGUNG KARYA")," ")</f>
        <v xml:space="preserve"> </v>
      </c>
      <c r="F3314" s="107" t="str">
        <f>IF(LEN(Table1722[[#This Row],[Uraian]])&gt;2,TRIM(RIGHT(SUBSTITUTE(TRIM(C3314)," ",REPT(" ",255)),255))," ")</f>
        <v xml:space="preserve"> </v>
      </c>
      <c r="G3314" s="110">
        <f>COPY!Z3306</f>
        <v>0</v>
      </c>
      <c r="H3314" s="111" t="str">
        <f>IFERROR(VLOOKUP(Table1722[[#This Row],[Bukti]],'Un nOTA'!$A$4:$K$5003,10,FALSE),"")</f>
        <v/>
      </c>
      <c r="I3314" s="123" t="str">
        <f>IFERROR(VLOOKUP(Table1722[[#This Row],[Bukti]],Table13[#Data],11,FALSE),"")</f>
        <v/>
      </c>
    </row>
    <row r="3315" spans="1:9" hidden="1" x14ac:dyDescent="0.2">
      <c r="A3315" s="105" t="str">
        <f>IF(D3315=1,COUNTIF($D$10:D3315,1)," ")</f>
        <v xml:space="preserve"> </v>
      </c>
      <c r="B3315" s="106">
        <f>COPY!AR3307</f>
        <v>0</v>
      </c>
      <c r="C3315" s="107">
        <f>COPY!AC3307</f>
        <v>0</v>
      </c>
      <c r="D3315" s="107" t="str">
        <f>IF(LEN(Table1722[[#This Row],[Uraian]])&gt;2,1," ")</f>
        <v xml:space="preserve"> </v>
      </c>
      <c r="E3315" s="113" t="str">
        <f>IF(Table1722[[#This Row],[Lawan Transaksi]]="CV AGUNG KARYA",COUNTIF($I$10:I3315,"CV AGUNG KARYA")," ")</f>
        <v xml:space="preserve"> </v>
      </c>
      <c r="F3315" s="107" t="str">
        <f>IF(LEN(Table1722[[#This Row],[Uraian]])&gt;2,TRIM(RIGHT(SUBSTITUTE(TRIM(C3315)," ",REPT(" ",255)),255))," ")</f>
        <v xml:space="preserve"> </v>
      </c>
      <c r="G3315" s="110">
        <f>COPY!Z3307</f>
        <v>0</v>
      </c>
      <c r="H3315" s="111" t="str">
        <f>IFERROR(VLOOKUP(Table1722[[#This Row],[Bukti]],'Un nOTA'!$A$4:$K$5003,10,FALSE),"")</f>
        <v/>
      </c>
      <c r="I3315" s="123" t="str">
        <f>IFERROR(VLOOKUP(Table1722[[#This Row],[Bukti]],Table13[#Data],11,FALSE),"")</f>
        <v/>
      </c>
    </row>
    <row r="3316" spans="1:9" hidden="1" x14ac:dyDescent="0.2">
      <c r="A3316" s="105" t="str">
        <f>IF(D3316=1,COUNTIF($D$10:D3316,1)," ")</f>
        <v xml:space="preserve"> </v>
      </c>
      <c r="B3316" s="106">
        <f>COPY!AR3308</f>
        <v>0</v>
      </c>
      <c r="C3316" s="107">
        <f>COPY!AC3308</f>
        <v>0</v>
      </c>
      <c r="D3316" s="107" t="str">
        <f>IF(LEN(Table1722[[#This Row],[Uraian]])&gt;2,1," ")</f>
        <v xml:space="preserve"> </v>
      </c>
      <c r="E3316" s="113" t="str">
        <f>IF(Table1722[[#This Row],[Lawan Transaksi]]="CV AGUNG KARYA",COUNTIF($I$10:I3316,"CV AGUNG KARYA")," ")</f>
        <v xml:space="preserve"> </v>
      </c>
      <c r="F3316" s="107" t="str">
        <f>IF(LEN(Table1722[[#This Row],[Uraian]])&gt;2,TRIM(RIGHT(SUBSTITUTE(TRIM(C3316)," ",REPT(" ",255)),255))," ")</f>
        <v xml:space="preserve"> </v>
      </c>
      <c r="G3316" s="110">
        <f>COPY!Z3308</f>
        <v>0</v>
      </c>
      <c r="H3316" s="111" t="str">
        <f>IFERROR(VLOOKUP(Table1722[[#This Row],[Bukti]],'Un nOTA'!$A$4:$K$5003,10,FALSE),"")</f>
        <v/>
      </c>
      <c r="I3316" s="123" t="str">
        <f>IFERROR(VLOOKUP(Table1722[[#This Row],[Bukti]],Table13[#Data],11,FALSE),"")</f>
        <v/>
      </c>
    </row>
    <row r="3317" spans="1:9" hidden="1" x14ac:dyDescent="0.2">
      <c r="A3317" s="105" t="str">
        <f>IF(D3317=1,COUNTIF($D$10:D3317,1)," ")</f>
        <v xml:space="preserve"> </v>
      </c>
      <c r="B3317" s="106">
        <f>COPY!AR3309</f>
        <v>0</v>
      </c>
      <c r="C3317" s="107">
        <f>COPY!AC3309</f>
        <v>0</v>
      </c>
      <c r="D3317" s="107" t="str">
        <f>IF(LEN(Table1722[[#This Row],[Uraian]])&gt;2,1," ")</f>
        <v xml:space="preserve"> </v>
      </c>
      <c r="E3317" s="113" t="str">
        <f>IF(Table1722[[#This Row],[Lawan Transaksi]]="CV AGUNG KARYA",COUNTIF($I$10:I3317,"CV AGUNG KARYA")," ")</f>
        <v xml:space="preserve"> </v>
      </c>
      <c r="F3317" s="107" t="str">
        <f>IF(LEN(Table1722[[#This Row],[Uraian]])&gt;2,TRIM(RIGHT(SUBSTITUTE(TRIM(C3317)," ",REPT(" ",255)),255))," ")</f>
        <v xml:space="preserve"> </v>
      </c>
      <c r="G3317" s="110">
        <f>COPY!Z3309</f>
        <v>0</v>
      </c>
      <c r="H3317" s="111" t="str">
        <f>IFERROR(VLOOKUP(Table1722[[#This Row],[Bukti]],'Un nOTA'!$A$4:$K$5003,10,FALSE),"")</f>
        <v/>
      </c>
      <c r="I3317" s="123" t="str">
        <f>IFERROR(VLOOKUP(Table1722[[#This Row],[Bukti]],Table13[#Data],11,FALSE),"")</f>
        <v/>
      </c>
    </row>
    <row r="3318" spans="1:9" hidden="1" x14ac:dyDescent="0.2">
      <c r="A3318" s="105" t="str">
        <f>IF(D3318=1,COUNTIF($D$10:D3318,1)," ")</f>
        <v xml:space="preserve"> </v>
      </c>
      <c r="B3318" s="106">
        <f>COPY!AR3310</f>
        <v>0</v>
      </c>
      <c r="C3318" s="107">
        <f>COPY!AC3310</f>
        <v>0</v>
      </c>
      <c r="D3318" s="107" t="str">
        <f>IF(LEN(Table1722[[#This Row],[Uraian]])&gt;2,1," ")</f>
        <v xml:space="preserve"> </v>
      </c>
      <c r="E3318" s="113" t="str">
        <f>IF(Table1722[[#This Row],[Lawan Transaksi]]="CV AGUNG KARYA",COUNTIF($I$10:I3318,"CV AGUNG KARYA")," ")</f>
        <v xml:space="preserve"> </v>
      </c>
      <c r="F3318" s="107" t="str">
        <f>IF(LEN(Table1722[[#This Row],[Uraian]])&gt;2,TRIM(RIGHT(SUBSTITUTE(TRIM(C3318)," ",REPT(" ",255)),255))," ")</f>
        <v xml:space="preserve"> </v>
      </c>
      <c r="G3318" s="110">
        <f>COPY!Z3310</f>
        <v>0</v>
      </c>
      <c r="H3318" s="111" t="str">
        <f>IFERROR(VLOOKUP(Table1722[[#This Row],[Bukti]],'Un nOTA'!$A$4:$K$5003,10,FALSE),"")</f>
        <v/>
      </c>
      <c r="I3318" s="123" t="str">
        <f>IFERROR(VLOOKUP(Table1722[[#This Row],[Bukti]],Table13[#Data],11,FALSE),"")</f>
        <v/>
      </c>
    </row>
    <row r="3319" spans="1:9" hidden="1" x14ac:dyDescent="0.2">
      <c r="A3319" s="105" t="str">
        <f>IF(D3319=1,COUNTIF($D$10:D3319,1)," ")</f>
        <v xml:space="preserve"> </v>
      </c>
      <c r="B3319" s="106">
        <f>COPY!AR3311</f>
        <v>0</v>
      </c>
      <c r="C3319" s="107">
        <f>COPY!AC3311</f>
        <v>0</v>
      </c>
      <c r="D3319" s="107" t="str">
        <f>IF(LEN(Table1722[[#This Row],[Uraian]])&gt;2,1," ")</f>
        <v xml:space="preserve"> </v>
      </c>
      <c r="E3319" s="113" t="str">
        <f>IF(Table1722[[#This Row],[Lawan Transaksi]]="CV AGUNG KARYA",COUNTIF($I$10:I3319,"CV AGUNG KARYA")," ")</f>
        <v xml:space="preserve"> </v>
      </c>
      <c r="F3319" s="107" t="str">
        <f>IF(LEN(Table1722[[#This Row],[Uraian]])&gt;2,TRIM(RIGHT(SUBSTITUTE(TRIM(C3319)," ",REPT(" ",255)),255))," ")</f>
        <v xml:space="preserve"> </v>
      </c>
      <c r="G3319" s="110">
        <f>COPY!Z3311</f>
        <v>0</v>
      </c>
      <c r="H3319" s="111" t="str">
        <f>IFERROR(VLOOKUP(Table1722[[#This Row],[Bukti]],'Un nOTA'!$A$4:$K$5003,10,FALSE),"")</f>
        <v/>
      </c>
      <c r="I3319" s="123" t="str">
        <f>IFERROR(VLOOKUP(Table1722[[#This Row],[Bukti]],Table13[#Data],11,FALSE),"")</f>
        <v/>
      </c>
    </row>
    <row r="3320" spans="1:9" hidden="1" x14ac:dyDescent="0.2">
      <c r="A3320" s="105" t="str">
        <f>IF(D3320=1,COUNTIF($D$10:D3320,1)," ")</f>
        <v xml:space="preserve"> </v>
      </c>
      <c r="B3320" s="106">
        <f>COPY!AR3312</f>
        <v>0</v>
      </c>
      <c r="C3320" s="107">
        <f>COPY!AC3312</f>
        <v>0</v>
      </c>
      <c r="D3320" s="107" t="str">
        <f>IF(LEN(Table1722[[#This Row],[Uraian]])&gt;2,1," ")</f>
        <v xml:space="preserve"> </v>
      </c>
      <c r="E3320" s="113" t="str">
        <f>IF(Table1722[[#This Row],[Lawan Transaksi]]="CV AGUNG KARYA",COUNTIF($I$10:I3320,"CV AGUNG KARYA")," ")</f>
        <v xml:space="preserve"> </v>
      </c>
      <c r="F3320" s="107" t="str">
        <f>IF(LEN(Table1722[[#This Row],[Uraian]])&gt;2,TRIM(RIGHT(SUBSTITUTE(TRIM(C3320)," ",REPT(" ",255)),255))," ")</f>
        <v xml:space="preserve"> </v>
      </c>
      <c r="G3320" s="110">
        <f>COPY!Z3312</f>
        <v>0</v>
      </c>
      <c r="H3320" s="111" t="str">
        <f>IFERROR(VLOOKUP(Table1722[[#This Row],[Bukti]],'Un nOTA'!$A$4:$K$5003,10,FALSE),"")</f>
        <v/>
      </c>
      <c r="I3320" s="123" t="str">
        <f>IFERROR(VLOOKUP(Table1722[[#This Row],[Bukti]],Table13[#Data],11,FALSE),"")</f>
        <v/>
      </c>
    </row>
    <row r="3321" spans="1:9" hidden="1" x14ac:dyDescent="0.2">
      <c r="A3321" s="105" t="str">
        <f>IF(D3321=1,COUNTIF($D$10:D3321,1)," ")</f>
        <v xml:space="preserve"> </v>
      </c>
      <c r="B3321" s="106">
        <f>COPY!AR3313</f>
        <v>0</v>
      </c>
      <c r="C3321" s="107">
        <f>COPY!AC3313</f>
        <v>0</v>
      </c>
      <c r="D3321" s="107" t="str">
        <f>IF(LEN(Table1722[[#This Row],[Uraian]])&gt;2,1," ")</f>
        <v xml:space="preserve"> </v>
      </c>
      <c r="E3321" s="113" t="str">
        <f>IF(Table1722[[#This Row],[Lawan Transaksi]]="CV AGUNG KARYA",COUNTIF($I$10:I3321,"CV AGUNG KARYA")," ")</f>
        <v xml:space="preserve"> </v>
      </c>
      <c r="F3321" s="107" t="str">
        <f>IF(LEN(Table1722[[#This Row],[Uraian]])&gt;2,TRIM(RIGHT(SUBSTITUTE(TRIM(C3321)," ",REPT(" ",255)),255))," ")</f>
        <v xml:space="preserve"> </v>
      </c>
      <c r="G3321" s="110">
        <f>COPY!Z3313</f>
        <v>0</v>
      </c>
      <c r="H3321" s="111" t="str">
        <f>IFERROR(VLOOKUP(Table1722[[#This Row],[Bukti]],'Un nOTA'!$A$4:$K$5003,10,FALSE),"")</f>
        <v/>
      </c>
      <c r="I3321" s="123" t="str">
        <f>IFERROR(VLOOKUP(Table1722[[#This Row],[Bukti]],Table13[#Data],11,FALSE),"")</f>
        <v/>
      </c>
    </row>
    <row r="3322" spans="1:9" hidden="1" x14ac:dyDescent="0.2">
      <c r="A3322" s="105" t="str">
        <f>IF(D3322=1,COUNTIF($D$10:D3322,1)," ")</f>
        <v xml:space="preserve"> </v>
      </c>
      <c r="B3322" s="106">
        <f>COPY!AR3314</f>
        <v>0</v>
      </c>
      <c r="C3322" s="107">
        <f>COPY!AC3314</f>
        <v>0</v>
      </c>
      <c r="D3322" s="107" t="str">
        <f>IF(LEN(Table1722[[#This Row],[Uraian]])&gt;2,1," ")</f>
        <v xml:space="preserve"> </v>
      </c>
      <c r="E3322" s="113" t="str">
        <f>IF(Table1722[[#This Row],[Lawan Transaksi]]="CV AGUNG KARYA",COUNTIF($I$10:I3322,"CV AGUNG KARYA")," ")</f>
        <v xml:space="preserve"> </v>
      </c>
      <c r="F3322" s="107" t="str">
        <f>IF(LEN(Table1722[[#This Row],[Uraian]])&gt;2,TRIM(RIGHT(SUBSTITUTE(TRIM(C3322)," ",REPT(" ",255)),255))," ")</f>
        <v xml:space="preserve"> </v>
      </c>
      <c r="G3322" s="110">
        <f>COPY!Z3314</f>
        <v>0</v>
      </c>
      <c r="H3322" s="111" t="str">
        <f>IFERROR(VLOOKUP(Table1722[[#This Row],[Bukti]],'Un nOTA'!$A$4:$K$5003,10,FALSE),"")</f>
        <v/>
      </c>
      <c r="I3322" s="123" t="str">
        <f>IFERROR(VLOOKUP(Table1722[[#This Row],[Bukti]],Table13[#Data],11,FALSE),"")</f>
        <v/>
      </c>
    </row>
    <row r="3323" spans="1:9" hidden="1" x14ac:dyDescent="0.2">
      <c r="A3323" s="105" t="str">
        <f>IF(D3323=1,COUNTIF($D$10:D3323,1)," ")</f>
        <v xml:space="preserve"> </v>
      </c>
      <c r="B3323" s="106">
        <f>COPY!AR3315</f>
        <v>0</v>
      </c>
      <c r="C3323" s="107">
        <f>COPY!AC3315</f>
        <v>0</v>
      </c>
      <c r="D3323" s="107" t="str">
        <f>IF(LEN(Table1722[[#This Row],[Uraian]])&gt;2,1," ")</f>
        <v xml:space="preserve"> </v>
      </c>
      <c r="E3323" s="113" t="str">
        <f>IF(Table1722[[#This Row],[Lawan Transaksi]]="CV AGUNG KARYA",COUNTIF($I$10:I3323,"CV AGUNG KARYA")," ")</f>
        <v xml:space="preserve"> </v>
      </c>
      <c r="F3323" s="107" t="str">
        <f>IF(LEN(Table1722[[#This Row],[Uraian]])&gt;2,TRIM(RIGHT(SUBSTITUTE(TRIM(C3323)," ",REPT(" ",255)),255))," ")</f>
        <v xml:space="preserve"> </v>
      </c>
      <c r="G3323" s="110">
        <f>COPY!Z3315</f>
        <v>0</v>
      </c>
      <c r="H3323" s="111" t="str">
        <f>IFERROR(VLOOKUP(Table1722[[#This Row],[Bukti]],'Un nOTA'!$A$4:$K$5003,10,FALSE),"")</f>
        <v/>
      </c>
      <c r="I3323" s="123" t="str">
        <f>IFERROR(VLOOKUP(Table1722[[#This Row],[Bukti]],Table13[#Data],11,FALSE),"")</f>
        <v/>
      </c>
    </row>
    <row r="3324" spans="1:9" hidden="1" x14ac:dyDescent="0.2">
      <c r="A3324" s="105" t="str">
        <f>IF(D3324=1,COUNTIF($D$10:D3324,1)," ")</f>
        <v xml:space="preserve"> </v>
      </c>
      <c r="B3324" s="106">
        <f>COPY!AR3316</f>
        <v>0</v>
      </c>
      <c r="C3324" s="107">
        <f>COPY!AC3316</f>
        <v>0</v>
      </c>
      <c r="D3324" s="107" t="str">
        <f>IF(LEN(Table1722[[#This Row],[Uraian]])&gt;2,1," ")</f>
        <v xml:space="preserve"> </v>
      </c>
      <c r="E3324" s="113" t="str">
        <f>IF(Table1722[[#This Row],[Lawan Transaksi]]="CV AGUNG KARYA",COUNTIF($I$10:I3324,"CV AGUNG KARYA")," ")</f>
        <v xml:space="preserve"> </v>
      </c>
      <c r="F3324" s="107" t="str">
        <f>IF(LEN(Table1722[[#This Row],[Uraian]])&gt;2,TRIM(RIGHT(SUBSTITUTE(TRIM(C3324)," ",REPT(" ",255)),255))," ")</f>
        <v xml:space="preserve"> </v>
      </c>
      <c r="G3324" s="110">
        <f>COPY!Z3316</f>
        <v>0</v>
      </c>
      <c r="H3324" s="111" t="str">
        <f>IFERROR(VLOOKUP(Table1722[[#This Row],[Bukti]],'Un nOTA'!$A$4:$K$5003,10,FALSE),"")</f>
        <v/>
      </c>
      <c r="I3324" s="123" t="str">
        <f>IFERROR(VLOOKUP(Table1722[[#This Row],[Bukti]],Table13[#Data],11,FALSE),"")</f>
        <v/>
      </c>
    </row>
    <row r="3325" spans="1:9" hidden="1" x14ac:dyDescent="0.2">
      <c r="A3325" s="105" t="str">
        <f>IF(D3325=1,COUNTIF($D$10:D3325,1)," ")</f>
        <v xml:space="preserve"> </v>
      </c>
      <c r="B3325" s="106">
        <f>COPY!AR3317</f>
        <v>0</v>
      </c>
      <c r="C3325" s="107">
        <f>COPY!AC3317</f>
        <v>0</v>
      </c>
      <c r="D3325" s="107" t="str">
        <f>IF(LEN(Table1722[[#This Row],[Uraian]])&gt;2,1," ")</f>
        <v xml:space="preserve"> </v>
      </c>
      <c r="E3325" s="113" t="str">
        <f>IF(Table1722[[#This Row],[Lawan Transaksi]]="CV AGUNG KARYA",COUNTIF($I$10:I3325,"CV AGUNG KARYA")," ")</f>
        <v xml:space="preserve"> </v>
      </c>
      <c r="F3325" s="107" t="str">
        <f>IF(LEN(Table1722[[#This Row],[Uraian]])&gt;2,TRIM(RIGHT(SUBSTITUTE(TRIM(C3325)," ",REPT(" ",255)),255))," ")</f>
        <v xml:space="preserve"> </v>
      </c>
      <c r="G3325" s="110">
        <f>COPY!Z3317</f>
        <v>0</v>
      </c>
      <c r="H3325" s="111" t="str">
        <f>IFERROR(VLOOKUP(Table1722[[#This Row],[Bukti]],'Un nOTA'!$A$4:$K$5003,10,FALSE),"")</f>
        <v/>
      </c>
      <c r="I3325" s="123" t="str">
        <f>IFERROR(VLOOKUP(Table1722[[#This Row],[Bukti]],Table13[#Data],11,FALSE),"")</f>
        <v/>
      </c>
    </row>
    <row r="3326" spans="1:9" hidden="1" x14ac:dyDescent="0.2">
      <c r="A3326" s="105" t="str">
        <f>IF(D3326=1,COUNTIF($D$10:D3326,1)," ")</f>
        <v xml:space="preserve"> </v>
      </c>
      <c r="B3326" s="106">
        <f>COPY!AR3318</f>
        <v>0</v>
      </c>
      <c r="C3326" s="107">
        <f>COPY!AC3318</f>
        <v>0</v>
      </c>
      <c r="D3326" s="107" t="str">
        <f>IF(LEN(Table1722[[#This Row],[Uraian]])&gt;2,1," ")</f>
        <v xml:space="preserve"> </v>
      </c>
      <c r="E3326" s="113" t="str">
        <f>IF(Table1722[[#This Row],[Lawan Transaksi]]="CV AGUNG KARYA",COUNTIF($I$10:I3326,"CV AGUNG KARYA")," ")</f>
        <v xml:space="preserve"> </v>
      </c>
      <c r="F3326" s="107" t="str">
        <f>IF(LEN(Table1722[[#This Row],[Uraian]])&gt;2,TRIM(RIGHT(SUBSTITUTE(TRIM(C3326)," ",REPT(" ",255)),255))," ")</f>
        <v xml:space="preserve"> </v>
      </c>
      <c r="G3326" s="110">
        <f>COPY!Z3318</f>
        <v>0</v>
      </c>
      <c r="H3326" s="111" t="str">
        <f>IFERROR(VLOOKUP(Table1722[[#This Row],[Bukti]],'Un nOTA'!$A$4:$K$5003,10,FALSE),"")</f>
        <v/>
      </c>
      <c r="I3326" s="123" t="str">
        <f>IFERROR(VLOOKUP(Table1722[[#This Row],[Bukti]],Table13[#Data],11,FALSE),"")</f>
        <v/>
      </c>
    </row>
    <row r="3327" spans="1:9" hidden="1" x14ac:dyDescent="0.2">
      <c r="A3327" s="105" t="str">
        <f>IF(D3327=1,COUNTIF($D$10:D3327,1)," ")</f>
        <v xml:space="preserve"> </v>
      </c>
      <c r="B3327" s="106">
        <f>COPY!AR3319</f>
        <v>0</v>
      </c>
      <c r="C3327" s="107">
        <f>COPY!AC3319</f>
        <v>0</v>
      </c>
      <c r="D3327" s="107" t="str">
        <f>IF(LEN(Table1722[[#This Row],[Uraian]])&gt;2,1," ")</f>
        <v xml:space="preserve"> </v>
      </c>
      <c r="E3327" s="113" t="str">
        <f>IF(Table1722[[#This Row],[Lawan Transaksi]]="CV AGUNG KARYA",COUNTIF($I$10:I3327,"CV AGUNG KARYA")," ")</f>
        <v xml:space="preserve"> </v>
      </c>
      <c r="F3327" s="107" t="str">
        <f>IF(LEN(Table1722[[#This Row],[Uraian]])&gt;2,TRIM(RIGHT(SUBSTITUTE(TRIM(C3327)," ",REPT(" ",255)),255))," ")</f>
        <v xml:space="preserve"> </v>
      </c>
      <c r="G3327" s="110">
        <f>COPY!Z3319</f>
        <v>0</v>
      </c>
      <c r="H3327" s="111" t="str">
        <f>IFERROR(VLOOKUP(Table1722[[#This Row],[Bukti]],'Un nOTA'!$A$4:$K$5003,10,FALSE),"")</f>
        <v/>
      </c>
      <c r="I3327" s="123" t="str">
        <f>IFERROR(VLOOKUP(Table1722[[#This Row],[Bukti]],Table13[#Data],11,FALSE),"")</f>
        <v/>
      </c>
    </row>
    <row r="3328" spans="1:9" hidden="1" x14ac:dyDescent="0.2">
      <c r="A3328" s="105" t="str">
        <f>IF(D3328=1,COUNTIF($D$10:D3328,1)," ")</f>
        <v xml:space="preserve"> </v>
      </c>
      <c r="B3328" s="106">
        <f>COPY!AR3320</f>
        <v>0</v>
      </c>
      <c r="C3328" s="107">
        <f>COPY!AC3320</f>
        <v>0</v>
      </c>
      <c r="D3328" s="107" t="str">
        <f>IF(LEN(Table1722[[#This Row],[Uraian]])&gt;2,1," ")</f>
        <v xml:space="preserve"> </v>
      </c>
      <c r="E3328" s="113" t="str">
        <f>IF(Table1722[[#This Row],[Lawan Transaksi]]="CV AGUNG KARYA",COUNTIF($I$10:I3328,"CV AGUNG KARYA")," ")</f>
        <v xml:space="preserve"> </v>
      </c>
      <c r="F3328" s="107" t="str">
        <f>IF(LEN(Table1722[[#This Row],[Uraian]])&gt;2,TRIM(RIGHT(SUBSTITUTE(TRIM(C3328)," ",REPT(" ",255)),255))," ")</f>
        <v xml:space="preserve"> </v>
      </c>
      <c r="G3328" s="110">
        <f>COPY!Z3320</f>
        <v>0</v>
      </c>
      <c r="H3328" s="111" t="str">
        <f>IFERROR(VLOOKUP(Table1722[[#This Row],[Bukti]],'Un nOTA'!$A$4:$K$5003,10,FALSE),"")</f>
        <v/>
      </c>
      <c r="I3328" s="123" t="str">
        <f>IFERROR(VLOOKUP(Table1722[[#This Row],[Bukti]],Table13[#Data],11,FALSE),"")</f>
        <v/>
      </c>
    </row>
    <row r="3329" spans="1:9" hidden="1" x14ac:dyDescent="0.2">
      <c r="A3329" s="105" t="str">
        <f>IF(D3329=1,COUNTIF($D$10:D3329,1)," ")</f>
        <v xml:space="preserve"> </v>
      </c>
      <c r="B3329" s="106">
        <f>COPY!AR3321</f>
        <v>0</v>
      </c>
      <c r="C3329" s="107">
        <f>COPY!AC3321</f>
        <v>0</v>
      </c>
      <c r="D3329" s="107" t="str">
        <f>IF(LEN(Table1722[[#This Row],[Uraian]])&gt;2,1," ")</f>
        <v xml:space="preserve"> </v>
      </c>
      <c r="E3329" s="113" t="str">
        <f>IF(Table1722[[#This Row],[Lawan Transaksi]]="CV AGUNG KARYA",COUNTIF($I$10:I3329,"CV AGUNG KARYA")," ")</f>
        <v xml:space="preserve"> </v>
      </c>
      <c r="F3329" s="107" t="str">
        <f>IF(LEN(Table1722[[#This Row],[Uraian]])&gt;2,TRIM(RIGHT(SUBSTITUTE(TRIM(C3329)," ",REPT(" ",255)),255))," ")</f>
        <v xml:space="preserve"> </v>
      </c>
      <c r="G3329" s="110">
        <f>COPY!Z3321</f>
        <v>0</v>
      </c>
      <c r="H3329" s="111" t="str">
        <f>IFERROR(VLOOKUP(Table1722[[#This Row],[Bukti]],'Un nOTA'!$A$4:$K$5003,10,FALSE),"")</f>
        <v/>
      </c>
      <c r="I3329" s="123" t="str">
        <f>IFERROR(VLOOKUP(Table1722[[#This Row],[Bukti]],Table13[#Data],11,FALSE),"")</f>
        <v/>
      </c>
    </row>
    <row r="3330" spans="1:9" hidden="1" x14ac:dyDescent="0.2">
      <c r="A3330" s="105" t="str">
        <f>IF(D3330=1,COUNTIF($D$10:D3330,1)," ")</f>
        <v xml:space="preserve"> </v>
      </c>
      <c r="B3330" s="106">
        <f>COPY!AR3322</f>
        <v>0</v>
      </c>
      <c r="C3330" s="107">
        <f>COPY!AC3322</f>
        <v>0</v>
      </c>
      <c r="D3330" s="107" t="str">
        <f>IF(LEN(Table1722[[#This Row],[Uraian]])&gt;2,1," ")</f>
        <v xml:space="preserve"> </v>
      </c>
      <c r="E3330" s="113" t="str">
        <f>IF(Table1722[[#This Row],[Lawan Transaksi]]="CV AGUNG KARYA",COUNTIF($I$10:I3330,"CV AGUNG KARYA")," ")</f>
        <v xml:space="preserve"> </v>
      </c>
      <c r="F3330" s="107" t="str">
        <f>IF(LEN(Table1722[[#This Row],[Uraian]])&gt;2,TRIM(RIGHT(SUBSTITUTE(TRIM(C3330)," ",REPT(" ",255)),255))," ")</f>
        <v xml:space="preserve"> </v>
      </c>
      <c r="G3330" s="110">
        <f>COPY!Z3322</f>
        <v>0</v>
      </c>
      <c r="H3330" s="111" t="str">
        <f>IFERROR(VLOOKUP(Table1722[[#This Row],[Bukti]],'Un nOTA'!$A$4:$K$5003,10,FALSE),"")</f>
        <v/>
      </c>
      <c r="I3330" s="123" t="str">
        <f>IFERROR(VLOOKUP(Table1722[[#This Row],[Bukti]],Table13[#Data],11,FALSE),"")</f>
        <v/>
      </c>
    </row>
    <row r="3331" spans="1:9" hidden="1" x14ac:dyDescent="0.2">
      <c r="A3331" s="105" t="str">
        <f>IF(D3331=1,COUNTIF($D$10:D3331,1)," ")</f>
        <v xml:space="preserve"> </v>
      </c>
      <c r="B3331" s="106">
        <f>COPY!AR3323</f>
        <v>0</v>
      </c>
      <c r="C3331" s="107">
        <f>COPY!AC3323</f>
        <v>0</v>
      </c>
      <c r="D3331" s="107" t="str">
        <f>IF(LEN(Table1722[[#This Row],[Uraian]])&gt;2,1," ")</f>
        <v xml:space="preserve"> </v>
      </c>
      <c r="E3331" s="113" t="str">
        <f>IF(Table1722[[#This Row],[Lawan Transaksi]]="CV AGUNG KARYA",COUNTIF($I$10:I3331,"CV AGUNG KARYA")," ")</f>
        <v xml:space="preserve"> </v>
      </c>
      <c r="F3331" s="107" t="str">
        <f>IF(LEN(Table1722[[#This Row],[Uraian]])&gt;2,TRIM(RIGHT(SUBSTITUTE(TRIM(C3331)," ",REPT(" ",255)),255))," ")</f>
        <v xml:space="preserve"> </v>
      </c>
      <c r="G3331" s="110">
        <f>COPY!Z3323</f>
        <v>0</v>
      </c>
      <c r="H3331" s="111" t="str">
        <f>IFERROR(VLOOKUP(Table1722[[#This Row],[Bukti]],'Un nOTA'!$A$4:$K$5003,10,FALSE),"")</f>
        <v/>
      </c>
      <c r="I3331" s="123" t="str">
        <f>IFERROR(VLOOKUP(Table1722[[#This Row],[Bukti]],Table13[#Data],11,FALSE),"")</f>
        <v/>
      </c>
    </row>
    <row r="3332" spans="1:9" hidden="1" x14ac:dyDescent="0.2">
      <c r="A3332" s="105" t="str">
        <f>IF(D3332=1,COUNTIF($D$10:D3332,1)," ")</f>
        <v xml:space="preserve"> </v>
      </c>
      <c r="B3332" s="106">
        <f>COPY!AR3324</f>
        <v>0</v>
      </c>
      <c r="C3332" s="107">
        <f>COPY!AC3324</f>
        <v>0</v>
      </c>
      <c r="D3332" s="107" t="str">
        <f>IF(LEN(Table1722[[#This Row],[Uraian]])&gt;2,1," ")</f>
        <v xml:space="preserve"> </v>
      </c>
      <c r="E3332" s="113" t="str">
        <f>IF(Table1722[[#This Row],[Lawan Transaksi]]="CV AGUNG KARYA",COUNTIF($I$10:I3332,"CV AGUNG KARYA")," ")</f>
        <v xml:space="preserve"> </v>
      </c>
      <c r="F3332" s="107" t="str">
        <f>IF(LEN(Table1722[[#This Row],[Uraian]])&gt;2,TRIM(RIGHT(SUBSTITUTE(TRIM(C3332)," ",REPT(" ",255)),255))," ")</f>
        <v xml:space="preserve"> </v>
      </c>
      <c r="G3332" s="110">
        <f>COPY!Z3324</f>
        <v>0</v>
      </c>
      <c r="H3332" s="111" t="str">
        <f>IFERROR(VLOOKUP(Table1722[[#This Row],[Bukti]],'Un nOTA'!$A$4:$K$5003,10,FALSE),"")</f>
        <v/>
      </c>
      <c r="I3332" s="123" t="str">
        <f>IFERROR(VLOOKUP(Table1722[[#This Row],[Bukti]],Table13[#Data],11,FALSE),"")</f>
        <v/>
      </c>
    </row>
    <row r="3333" spans="1:9" hidden="1" x14ac:dyDescent="0.2">
      <c r="A3333" s="105" t="str">
        <f>IF(D3333=1,COUNTIF($D$10:D3333,1)," ")</f>
        <v xml:space="preserve"> </v>
      </c>
      <c r="B3333" s="106">
        <f>COPY!AR3325</f>
        <v>0</v>
      </c>
      <c r="C3333" s="107">
        <f>COPY!AC3325</f>
        <v>0</v>
      </c>
      <c r="D3333" s="107" t="str">
        <f>IF(LEN(Table1722[[#This Row],[Uraian]])&gt;2,1," ")</f>
        <v xml:space="preserve"> </v>
      </c>
      <c r="E3333" s="113" t="str">
        <f>IF(Table1722[[#This Row],[Lawan Transaksi]]="CV AGUNG KARYA",COUNTIF($I$10:I3333,"CV AGUNG KARYA")," ")</f>
        <v xml:space="preserve"> </v>
      </c>
      <c r="F3333" s="107" t="str">
        <f>IF(LEN(Table1722[[#This Row],[Uraian]])&gt;2,TRIM(RIGHT(SUBSTITUTE(TRIM(C3333)," ",REPT(" ",255)),255))," ")</f>
        <v xml:space="preserve"> </v>
      </c>
      <c r="G3333" s="110">
        <f>COPY!Z3325</f>
        <v>0</v>
      </c>
      <c r="H3333" s="111" t="str">
        <f>IFERROR(VLOOKUP(Table1722[[#This Row],[Bukti]],'Un nOTA'!$A$4:$K$5003,10,FALSE),"")</f>
        <v/>
      </c>
      <c r="I3333" s="123" t="str">
        <f>IFERROR(VLOOKUP(Table1722[[#This Row],[Bukti]],Table13[#Data],11,FALSE),"")</f>
        <v/>
      </c>
    </row>
    <row r="3334" spans="1:9" hidden="1" x14ac:dyDescent="0.2">
      <c r="A3334" s="105" t="str">
        <f>IF(D3334=1,COUNTIF($D$10:D3334,1)," ")</f>
        <v xml:space="preserve"> </v>
      </c>
      <c r="B3334" s="106">
        <f>COPY!AR3326</f>
        <v>0</v>
      </c>
      <c r="C3334" s="107">
        <f>COPY!AC3326</f>
        <v>0</v>
      </c>
      <c r="D3334" s="107" t="str">
        <f>IF(LEN(Table1722[[#This Row],[Uraian]])&gt;2,1," ")</f>
        <v xml:space="preserve"> </v>
      </c>
      <c r="E3334" s="113" t="str">
        <f>IF(Table1722[[#This Row],[Lawan Transaksi]]="CV AGUNG KARYA",COUNTIF($I$10:I3334,"CV AGUNG KARYA")," ")</f>
        <v xml:space="preserve"> </v>
      </c>
      <c r="F3334" s="107" t="str">
        <f>IF(LEN(Table1722[[#This Row],[Uraian]])&gt;2,TRIM(RIGHT(SUBSTITUTE(TRIM(C3334)," ",REPT(" ",255)),255))," ")</f>
        <v xml:space="preserve"> </v>
      </c>
      <c r="G3334" s="110">
        <f>COPY!Z3326</f>
        <v>0</v>
      </c>
      <c r="H3334" s="111" t="str">
        <f>IFERROR(VLOOKUP(Table1722[[#This Row],[Bukti]],'Un nOTA'!$A$4:$K$5003,10,FALSE),"")</f>
        <v/>
      </c>
      <c r="I3334" s="123" t="str">
        <f>IFERROR(VLOOKUP(Table1722[[#This Row],[Bukti]],Table13[#Data],11,FALSE),"")</f>
        <v/>
      </c>
    </row>
    <row r="3335" spans="1:9" hidden="1" x14ac:dyDescent="0.2">
      <c r="A3335" s="105" t="str">
        <f>IF(D3335=1,COUNTIF($D$10:D3335,1)," ")</f>
        <v xml:space="preserve"> </v>
      </c>
      <c r="B3335" s="106">
        <f>COPY!AR3327</f>
        <v>0</v>
      </c>
      <c r="C3335" s="107">
        <f>COPY!AC3327</f>
        <v>0</v>
      </c>
      <c r="D3335" s="107" t="str">
        <f>IF(LEN(Table1722[[#This Row],[Uraian]])&gt;2,1," ")</f>
        <v xml:space="preserve"> </v>
      </c>
      <c r="E3335" s="113" t="str">
        <f>IF(Table1722[[#This Row],[Lawan Transaksi]]="CV AGUNG KARYA",COUNTIF($I$10:I3335,"CV AGUNG KARYA")," ")</f>
        <v xml:space="preserve"> </v>
      </c>
      <c r="F3335" s="107" t="str">
        <f>IF(LEN(Table1722[[#This Row],[Uraian]])&gt;2,TRIM(RIGHT(SUBSTITUTE(TRIM(C3335)," ",REPT(" ",255)),255))," ")</f>
        <v xml:space="preserve"> </v>
      </c>
      <c r="G3335" s="110">
        <f>COPY!Z3327</f>
        <v>0</v>
      </c>
      <c r="H3335" s="111" t="str">
        <f>IFERROR(VLOOKUP(Table1722[[#This Row],[Bukti]],'Un nOTA'!$A$4:$K$5003,10,FALSE),"")</f>
        <v/>
      </c>
      <c r="I3335" s="123" t="str">
        <f>IFERROR(VLOOKUP(Table1722[[#This Row],[Bukti]],Table13[#Data],11,FALSE),"")</f>
        <v/>
      </c>
    </row>
    <row r="3336" spans="1:9" hidden="1" x14ac:dyDescent="0.2">
      <c r="A3336" s="105" t="str">
        <f>IF(D3336=1,COUNTIF($D$10:D3336,1)," ")</f>
        <v xml:space="preserve"> </v>
      </c>
      <c r="B3336" s="106">
        <f>COPY!AR3328</f>
        <v>0</v>
      </c>
      <c r="C3336" s="107">
        <f>COPY!AC3328</f>
        <v>0</v>
      </c>
      <c r="D3336" s="107" t="str">
        <f>IF(LEN(Table1722[[#This Row],[Uraian]])&gt;2,1," ")</f>
        <v xml:space="preserve"> </v>
      </c>
      <c r="E3336" s="113" t="str">
        <f>IF(Table1722[[#This Row],[Lawan Transaksi]]="CV AGUNG KARYA",COUNTIF($I$10:I3336,"CV AGUNG KARYA")," ")</f>
        <v xml:space="preserve"> </v>
      </c>
      <c r="F3336" s="107" t="str">
        <f>IF(LEN(Table1722[[#This Row],[Uraian]])&gt;2,TRIM(RIGHT(SUBSTITUTE(TRIM(C3336)," ",REPT(" ",255)),255))," ")</f>
        <v xml:space="preserve"> </v>
      </c>
      <c r="G3336" s="110">
        <f>COPY!Z3328</f>
        <v>0</v>
      </c>
      <c r="H3336" s="111" t="str">
        <f>IFERROR(VLOOKUP(Table1722[[#This Row],[Bukti]],'Un nOTA'!$A$4:$K$5003,10,FALSE),"")</f>
        <v/>
      </c>
      <c r="I3336" s="123" t="str">
        <f>IFERROR(VLOOKUP(Table1722[[#This Row],[Bukti]],Table13[#Data],11,FALSE),"")</f>
        <v/>
      </c>
    </row>
    <row r="3337" spans="1:9" hidden="1" x14ac:dyDescent="0.2">
      <c r="A3337" s="105" t="str">
        <f>IF(D3337=1,COUNTIF($D$10:D3337,1)," ")</f>
        <v xml:space="preserve"> </v>
      </c>
      <c r="B3337" s="106">
        <f>COPY!AR3329</f>
        <v>0</v>
      </c>
      <c r="C3337" s="107">
        <f>COPY!AC3329</f>
        <v>0</v>
      </c>
      <c r="D3337" s="107" t="str">
        <f>IF(LEN(Table1722[[#This Row],[Uraian]])&gt;2,1," ")</f>
        <v xml:space="preserve"> </v>
      </c>
      <c r="E3337" s="113" t="str">
        <f>IF(Table1722[[#This Row],[Lawan Transaksi]]="CV AGUNG KARYA",COUNTIF($I$10:I3337,"CV AGUNG KARYA")," ")</f>
        <v xml:space="preserve"> </v>
      </c>
      <c r="F3337" s="107" t="str">
        <f>IF(LEN(Table1722[[#This Row],[Uraian]])&gt;2,TRIM(RIGHT(SUBSTITUTE(TRIM(C3337)," ",REPT(" ",255)),255))," ")</f>
        <v xml:space="preserve"> </v>
      </c>
      <c r="G3337" s="110">
        <f>COPY!Z3329</f>
        <v>0</v>
      </c>
      <c r="H3337" s="111" t="str">
        <f>IFERROR(VLOOKUP(Table1722[[#This Row],[Bukti]],'Un nOTA'!$A$4:$K$5003,10,FALSE),"")</f>
        <v/>
      </c>
      <c r="I3337" s="123" t="str">
        <f>IFERROR(VLOOKUP(Table1722[[#This Row],[Bukti]],Table13[#Data],11,FALSE),"")</f>
        <v/>
      </c>
    </row>
    <row r="3338" spans="1:9" hidden="1" x14ac:dyDescent="0.2">
      <c r="A3338" s="105" t="str">
        <f>IF(D3338=1,COUNTIF($D$10:D3338,1)," ")</f>
        <v xml:space="preserve"> </v>
      </c>
      <c r="B3338" s="106">
        <f>COPY!AR3330</f>
        <v>0</v>
      </c>
      <c r="C3338" s="107">
        <f>COPY!AC3330</f>
        <v>0</v>
      </c>
      <c r="D3338" s="107" t="str">
        <f>IF(LEN(Table1722[[#This Row],[Uraian]])&gt;2,1," ")</f>
        <v xml:space="preserve"> </v>
      </c>
      <c r="E3338" s="113" t="str">
        <f>IF(Table1722[[#This Row],[Lawan Transaksi]]="CV AGUNG KARYA",COUNTIF($I$10:I3338,"CV AGUNG KARYA")," ")</f>
        <v xml:space="preserve"> </v>
      </c>
      <c r="F3338" s="107" t="str">
        <f>IF(LEN(Table1722[[#This Row],[Uraian]])&gt;2,TRIM(RIGHT(SUBSTITUTE(TRIM(C3338)," ",REPT(" ",255)),255))," ")</f>
        <v xml:space="preserve"> </v>
      </c>
      <c r="G3338" s="110">
        <f>COPY!Z3330</f>
        <v>0</v>
      </c>
      <c r="H3338" s="111" t="str">
        <f>IFERROR(VLOOKUP(Table1722[[#This Row],[Bukti]],'Un nOTA'!$A$4:$K$5003,10,FALSE),"")</f>
        <v/>
      </c>
      <c r="I3338" s="123" t="str">
        <f>IFERROR(VLOOKUP(Table1722[[#This Row],[Bukti]],Table13[#Data],11,FALSE),"")</f>
        <v/>
      </c>
    </row>
    <row r="3339" spans="1:9" hidden="1" x14ac:dyDescent="0.2">
      <c r="A3339" s="105" t="str">
        <f>IF(D3339=1,COUNTIF($D$10:D3339,1)," ")</f>
        <v xml:space="preserve"> </v>
      </c>
      <c r="B3339" s="106">
        <f>COPY!AR3331</f>
        <v>0</v>
      </c>
      <c r="C3339" s="107">
        <f>COPY!AC3331</f>
        <v>0</v>
      </c>
      <c r="D3339" s="107" t="str">
        <f>IF(LEN(Table1722[[#This Row],[Uraian]])&gt;2,1," ")</f>
        <v xml:space="preserve"> </v>
      </c>
      <c r="E3339" s="113" t="str">
        <f>IF(Table1722[[#This Row],[Lawan Transaksi]]="CV AGUNG KARYA",COUNTIF($I$10:I3339,"CV AGUNG KARYA")," ")</f>
        <v xml:space="preserve"> </v>
      </c>
      <c r="F3339" s="107" t="str">
        <f>IF(LEN(Table1722[[#This Row],[Uraian]])&gt;2,TRIM(RIGHT(SUBSTITUTE(TRIM(C3339)," ",REPT(" ",255)),255))," ")</f>
        <v xml:space="preserve"> </v>
      </c>
      <c r="G3339" s="110">
        <f>COPY!Z3331</f>
        <v>0</v>
      </c>
      <c r="H3339" s="111" t="str">
        <f>IFERROR(VLOOKUP(Table1722[[#This Row],[Bukti]],'Un nOTA'!$A$4:$K$5003,10,FALSE),"")</f>
        <v/>
      </c>
      <c r="I3339" s="123" t="str">
        <f>IFERROR(VLOOKUP(Table1722[[#This Row],[Bukti]],Table13[#Data],11,FALSE),"")</f>
        <v/>
      </c>
    </row>
    <row r="3340" spans="1:9" hidden="1" x14ac:dyDescent="0.2">
      <c r="A3340" s="105" t="str">
        <f>IF(D3340=1,COUNTIF($D$10:D3340,1)," ")</f>
        <v xml:space="preserve"> </v>
      </c>
      <c r="B3340" s="106">
        <f>COPY!AR3332</f>
        <v>0</v>
      </c>
      <c r="C3340" s="107">
        <f>COPY!AC3332</f>
        <v>0</v>
      </c>
      <c r="D3340" s="107" t="str">
        <f>IF(LEN(Table1722[[#This Row],[Uraian]])&gt;2,1," ")</f>
        <v xml:space="preserve"> </v>
      </c>
      <c r="E3340" s="113" t="str">
        <f>IF(Table1722[[#This Row],[Lawan Transaksi]]="CV AGUNG KARYA",COUNTIF($I$10:I3340,"CV AGUNG KARYA")," ")</f>
        <v xml:space="preserve"> </v>
      </c>
      <c r="F3340" s="107" t="str">
        <f>IF(LEN(Table1722[[#This Row],[Uraian]])&gt;2,TRIM(RIGHT(SUBSTITUTE(TRIM(C3340)," ",REPT(" ",255)),255))," ")</f>
        <v xml:space="preserve"> </v>
      </c>
      <c r="G3340" s="110">
        <f>COPY!Z3332</f>
        <v>0</v>
      </c>
      <c r="H3340" s="111" t="str">
        <f>IFERROR(VLOOKUP(Table1722[[#This Row],[Bukti]],'Un nOTA'!$A$4:$K$5003,10,FALSE),"")</f>
        <v/>
      </c>
      <c r="I3340" s="123" t="str">
        <f>IFERROR(VLOOKUP(Table1722[[#This Row],[Bukti]],Table13[#Data],11,FALSE),"")</f>
        <v/>
      </c>
    </row>
    <row r="3341" spans="1:9" hidden="1" x14ac:dyDescent="0.2">
      <c r="A3341" s="105" t="str">
        <f>IF(D3341=1,COUNTIF($D$10:D3341,1)," ")</f>
        <v xml:space="preserve"> </v>
      </c>
      <c r="B3341" s="106">
        <f>COPY!AR3333</f>
        <v>0</v>
      </c>
      <c r="C3341" s="107">
        <f>COPY!AC3333</f>
        <v>0</v>
      </c>
      <c r="D3341" s="107" t="str">
        <f>IF(LEN(Table1722[[#This Row],[Uraian]])&gt;2,1," ")</f>
        <v xml:space="preserve"> </v>
      </c>
      <c r="E3341" s="113" t="str">
        <f>IF(Table1722[[#This Row],[Lawan Transaksi]]="CV AGUNG KARYA",COUNTIF($I$10:I3341,"CV AGUNG KARYA")," ")</f>
        <v xml:space="preserve"> </v>
      </c>
      <c r="F3341" s="107" t="str">
        <f>IF(LEN(Table1722[[#This Row],[Uraian]])&gt;2,TRIM(RIGHT(SUBSTITUTE(TRIM(C3341)," ",REPT(" ",255)),255))," ")</f>
        <v xml:space="preserve"> </v>
      </c>
      <c r="G3341" s="110">
        <f>COPY!Z3333</f>
        <v>0</v>
      </c>
      <c r="H3341" s="111" t="str">
        <f>IFERROR(VLOOKUP(Table1722[[#This Row],[Bukti]],'Un nOTA'!$A$4:$K$5003,10,FALSE),"")</f>
        <v/>
      </c>
      <c r="I3341" s="123" t="str">
        <f>IFERROR(VLOOKUP(Table1722[[#This Row],[Bukti]],Table13[#Data],11,FALSE),"")</f>
        <v/>
      </c>
    </row>
    <row r="3342" spans="1:9" hidden="1" x14ac:dyDescent="0.2">
      <c r="A3342" s="105" t="str">
        <f>IF(D3342=1,COUNTIF($D$10:D3342,1)," ")</f>
        <v xml:space="preserve"> </v>
      </c>
      <c r="B3342" s="106">
        <f>COPY!AR3334</f>
        <v>0</v>
      </c>
      <c r="C3342" s="107">
        <f>COPY!AC3334</f>
        <v>0</v>
      </c>
      <c r="D3342" s="107" t="str">
        <f>IF(LEN(Table1722[[#This Row],[Uraian]])&gt;2,1," ")</f>
        <v xml:space="preserve"> </v>
      </c>
      <c r="E3342" s="113" t="str">
        <f>IF(Table1722[[#This Row],[Lawan Transaksi]]="CV AGUNG KARYA",COUNTIF($I$10:I3342,"CV AGUNG KARYA")," ")</f>
        <v xml:space="preserve"> </v>
      </c>
      <c r="F3342" s="107" t="str">
        <f>IF(LEN(Table1722[[#This Row],[Uraian]])&gt;2,TRIM(RIGHT(SUBSTITUTE(TRIM(C3342)," ",REPT(" ",255)),255))," ")</f>
        <v xml:space="preserve"> </v>
      </c>
      <c r="G3342" s="110">
        <f>COPY!Z3334</f>
        <v>0</v>
      </c>
      <c r="H3342" s="111" t="str">
        <f>IFERROR(VLOOKUP(Table1722[[#This Row],[Bukti]],'Un nOTA'!$A$4:$K$5003,10,FALSE),"")</f>
        <v/>
      </c>
      <c r="I3342" s="123" t="str">
        <f>IFERROR(VLOOKUP(Table1722[[#This Row],[Bukti]],Table13[#Data],11,FALSE),"")</f>
        <v/>
      </c>
    </row>
    <row r="3343" spans="1:9" hidden="1" x14ac:dyDescent="0.2">
      <c r="A3343" s="105" t="str">
        <f>IF(D3343=1,COUNTIF($D$10:D3343,1)," ")</f>
        <v xml:space="preserve"> </v>
      </c>
      <c r="B3343" s="106">
        <f>COPY!AR3335</f>
        <v>0</v>
      </c>
      <c r="C3343" s="107">
        <f>COPY!AC3335</f>
        <v>0</v>
      </c>
      <c r="D3343" s="107" t="str">
        <f>IF(LEN(Table1722[[#This Row],[Uraian]])&gt;2,1," ")</f>
        <v xml:space="preserve"> </v>
      </c>
      <c r="E3343" s="113" t="str">
        <f>IF(Table1722[[#This Row],[Lawan Transaksi]]="CV AGUNG KARYA",COUNTIF($I$10:I3343,"CV AGUNG KARYA")," ")</f>
        <v xml:space="preserve"> </v>
      </c>
      <c r="F3343" s="107" t="str">
        <f>IF(LEN(Table1722[[#This Row],[Uraian]])&gt;2,TRIM(RIGHT(SUBSTITUTE(TRIM(C3343)," ",REPT(" ",255)),255))," ")</f>
        <v xml:space="preserve"> </v>
      </c>
      <c r="G3343" s="110">
        <f>COPY!Z3335</f>
        <v>0</v>
      </c>
      <c r="H3343" s="111" t="str">
        <f>IFERROR(VLOOKUP(Table1722[[#This Row],[Bukti]],'Un nOTA'!$A$4:$K$5003,10,FALSE),"")</f>
        <v/>
      </c>
      <c r="I3343" s="123" t="str">
        <f>IFERROR(VLOOKUP(Table1722[[#This Row],[Bukti]],Table13[#Data],11,FALSE),"")</f>
        <v/>
      </c>
    </row>
    <row r="3344" spans="1:9" hidden="1" x14ac:dyDescent="0.2">
      <c r="A3344" s="105" t="str">
        <f>IF(D3344=1,COUNTIF($D$10:D3344,1)," ")</f>
        <v xml:space="preserve"> </v>
      </c>
      <c r="B3344" s="106">
        <f>COPY!AR3336</f>
        <v>0</v>
      </c>
      <c r="C3344" s="107">
        <f>COPY!AC3336</f>
        <v>0</v>
      </c>
      <c r="D3344" s="107" t="str">
        <f>IF(LEN(Table1722[[#This Row],[Uraian]])&gt;2,1," ")</f>
        <v xml:space="preserve"> </v>
      </c>
      <c r="E3344" s="113" t="str">
        <f>IF(Table1722[[#This Row],[Lawan Transaksi]]="CV AGUNG KARYA",COUNTIF($I$10:I3344,"CV AGUNG KARYA")," ")</f>
        <v xml:space="preserve"> </v>
      </c>
      <c r="F3344" s="107" t="str">
        <f>IF(LEN(Table1722[[#This Row],[Uraian]])&gt;2,TRIM(RIGHT(SUBSTITUTE(TRIM(C3344)," ",REPT(" ",255)),255))," ")</f>
        <v xml:space="preserve"> </v>
      </c>
      <c r="G3344" s="110">
        <f>COPY!Z3336</f>
        <v>0</v>
      </c>
      <c r="H3344" s="111" t="str">
        <f>IFERROR(VLOOKUP(Table1722[[#This Row],[Bukti]],'Un nOTA'!$A$4:$K$5003,10,FALSE),"")</f>
        <v/>
      </c>
      <c r="I3344" s="123" t="str">
        <f>IFERROR(VLOOKUP(Table1722[[#This Row],[Bukti]],Table13[#Data],11,FALSE),"")</f>
        <v/>
      </c>
    </row>
    <row r="3345" spans="1:9" hidden="1" x14ac:dyDescent="0.2">
      <c r="A3345" s="105" t="str">
        <f>IF(D3345=1,COUNTIF($D$10:D3345,1)," ")</f>
        <v xml:space="preserve"> </v>
      </c>
      <c r="B3345" s="106">
        <f>COPY!AR3337</f>
        <v>0</v>
      </c>
      <c r="C3345" s="107">
        <f>COPY!AC3337</f>
        <v>0</v>
      </c>
      <c r="D3345" s="107" t="str">
        <f>IF(LEN(Table1722[[#This Row],[Uraian]])&gt;2,1," ")</f>
        <v xml:space="preserve"> </v>
      </c>
      <c r="E3345" s="113" t="str">
        <f>IF(Table1722[[#This Row],[Lawan Transaksi]]="CV AGUNG KARYA",COUNTIF($I$10:I3345,"CV AGUNG KARYA")," ")</f>
        <v xml:space="preserve"> </v>
      </c>
      <c r="F3345" s="107" t="str">
        <f>IF(LEN(Table1722[[#This Row],[Uraian]])&gt;2,TRIM(RIGHT(SUBSTITUTE(TRIM(C3345)," ",REPT(" ",255)),255))," ")</f>
        <v xml:space="preserve"> </v>
      </c>
      <c r="G3345" s="110">
        <f>COPY!Z3337</f>
        <v>0</v>
      </c>
      <c r="H3345" s="111" t="str">
        <f>IFERROR(VLOOKUP(Table1722[[#This Row],[Bukti]],'Un nOTA'!$A$4:$K$5003,10,FALSE),"")</f>
        <v/>
      </c>
      <c r="I3345" s="123" t="str">
        <f>IFERROR(VLOOKUP(Table1722[[#This Row],[Bukti]],Table13[#Data],11,FALSE),"")</f>
        <v/>
      </c>
    </row>
    <row r="3346" spans="1:9" hidden="1" x14ac:dyDescent="0.2">
      <c r="A3346" s="105" t="str">
        <f>IF(D3346=1,COUNTIF($D$10:D3346,1)," ")</f>
        <v xml:space="preserve"> </v>
      </c>
      <c r="B3346" s="106">
        <f>COPY!AR3338</f>
        <v>0</v>
      </c>
      <c r="C3346" s="107">
        <f>COPY!AC3338</f>
        <v>0</v>
      </c>
      <c r="D3346" s="107" t="str">
        <f>IF(LEN(Table1722[[#This Row],[Uraian]])&gt;2,1," ")</f>
        <v xml:space="preserve"> </v>
      </c>
      <c r="E3346" s="113" t="str">
        <f>IF(Table1722[[#This Row],[Lawan Transaksi]]="CV AGUNG KARYA",COUNTIF($I$10:I3346,"CV AGUNG KARYA")," ")</f>
        <v xml:space="preserve"> </v>
      </c>
      <c r="F3346" s="107" t="str">
        <f>IF(LEN(Table1722[[#This Row],[Uraian]])&gt;2,TRIM(RIGHT(SUBSTITUTE(TRIM(C3346)," ",REPT(" ",255)),255))," ")</f>
        <v xml:space="preserve"> </v>
      </c>
      <c r="G3346" s="110">
        <f>COPY!Z3338</f>
        <v>0</v>
      </c>
      <c r="H3346" s="111" t="str">
        <f>IFERROR(VLOOKUP(Table1722[[#This Row],[Bukti]],'Un nOTA'!$A$4:$K$5003,10,FALSE),"")</f>
        <v/>
      </c>
      <c r="I3346" s="123" t="str">
        <f>IFERROR(VLOOKUP(Table1722[[#This Row],[Bukti]],Table13[#Data],11,FALSE),"")</f>
        <v/>
      </c>
    </row>
    <row r="3347" spans="1:9" hidden="1" x14ac:dyDescent="0.2">
      <c r="A3347" s="105" t="str">
        <f>IF(D3347=1,COUNTIF($D$10:D3347,1)," ")</f>
        <v xml:space="preserve"> </v>
      </c>
      <c r="B3347" s="106">
        <f>COPY!AR3339</f>
        <v>0</v>
      </c>
      <c r="C3347" s="107">
        <f>COPY!AC3339</f>
        <v>0</v>
      </c>
      <c r="D3347" s="107" t="str">
        <f>IF(LEN(Table1722[[#This Row],[Uraian]])&gt;2,1," ")</f>
        <v xml:space="preserve"> </v>
      </c>
      <c r="E3347" s="113" t="str">
        <f>IF(Table1722[[#This Row],[Lawan Transaksi]]="CV AGUNG KARYA",COUNTIF($I$10:I3347,"CV AGUNG KARYA")," ")</f>
        <v xml:space="preserve"> </v>
      </c>
      <c r="F3347" s="107" t="str">
        <f>IF(LEN(Table1722[[#This Row],[Uraian]])&gt;2,TRIM(RIGHT(SUBSTITUTE(TRIM(C3347)," ",REPT(" ",255)),255))," ")</f>
        <v xml:space="preserve"> </v>
      </c>
      <c r="G3347" s="110">
        <f>COPY!Z3339</f>
        <v>0</v>
      </c>
      <c r="H3347" s="111" t="str">
        <f>IFERROR(VLOOKUP(Table1722[[#This Row],[Bukti]],'Un nOTA'!$A$4:$K$5003,10,FALSE),"")</f>
        <v/>
      </c>
      <c r="I3347" s="123" t="str">
        <f>IFERROR(VLOOKUP(Table1722[[#This Row],[Bukti]],Table13[#Data],11,FALSE),"")</f>
        <v/>
      </c>
    </row>
    <row r="3348" spans="1:9" hidden="1" x14ac:dyDescent="0.2">
      <c r="A3348" s="105" t="str">
        <f>IF(D3348=1,COUNTIF($D$10:D3348,1)," ")</f>
        <v xml:space="preserve"> </v>
      </c>
      <c r="B3348" s="106">
        <f>COPY!AR3340</f>
        <v>0</v>
      </c>
      <c r="C3348" s="107">
        <f>COPY!AC3340</f>
        <v>0</v>
      </c>
      <c r="D3348" s="107" t="str">
        <f>IF(LEN(Table1722[[#This Row],[Uraian]])&gt;2,1," ")</f>
        <v xml:space="preserve"> </v>
      </c>
      <c r="E3348" s="113" t="str">
        <f>IF(Table1722[[#This Row],[Lawan Transaksi]]="CV AGUNG KARYA",COUNTIF($I$10:I3348,"CV AGUNG KARYA")," ")</f>
        <v xml:space="preserve"> </v>
      </c>
      <c r="F3348" s="107" t="str">
        <f>IF(LEN(Table1722[[#This Row],[Uraian]])&gt;2,TRIM(RIGHT(SUBSTITUTE(TRIM(C3348)," ",REPT(" ",255)),255))," ")</f>
        <v xml:space="preserve"> </v>
      </c>
      <c r="G3348" s="110">
        <f>COPY!Z3340</f>
        <v>0</v>
      </c>
      <c r="H3348" s="111" t="str">
        <f>IFERROR(VLOOKUP(Table1722[[#This Row],[Bukti]],'Un nOTA'!$A$4:$K$5003,10,FALSE),"")</f>
        <v/>
      </c>
      <c r="I3348" s="123" t="str">
        <f>IFERROR(VLOOKUP(Table1722[[#This Row],[Bukti]],Table13[#Data],11,FALSE),"")</f>
        <v/>
      </c>
    </row>
    <row r="3349" spans="1:9" hidden="1" x14ac:dyDescent="0.2">
      <c r="A3349" s="105" t="str">
        <f>IF(D3349=1,COUNTIF($D$10:D3349,1)," ")</f>
        <v xml:space="preserve"> </v>
      </c>
      <c r="B3349" s="106">
        <f>COPY!AR3341</f>
        <v>0</v>
      </c>
      <c r="C3349" s="107">
        <f>COPY!AC3341</f>
        <v>0</v>
      </c>
      <c r="D3349" s="107" t="str">
        <f>IF(LEN(Table1722[[#This Row],[Uraian]])&gt;2,1," ")</f>
        <v xml:space="preserve"> </v>
      </c>
      <c r="E3349" s="113" t="str">
        <f>IF(Table1722[[#This Row],[Lawan Transaksi]]="CV AGUNG KARYA",COUNTIF($I$10:I3349,"CV AGUNG KARYA")," ")</f>
        <v xml:space="preserve"> </v>
      </c>
      <c r="F3349" s="107" t="str">
        <f>IF(LEN(Table1722[[#This Row],[Uraian]])&gt;2,TRIM(RIGHT(SUBSTITUTE(TRIM(C3349)," ",REPT(" ",255)),255))," ")</f>
        <v xml:space="preserve"> </v>
      </c>
      <c r="G3349" s="110">
        <f>COPY!Z3341</f>
        <v>0</v>
      </c>
      <c r="H3349" s="111" t="str">
        <f>IFERROR(VLOOKUP(Table1722[[#This Row],[Bukti]],'Un nOTA'!$A$4:$K$5003,10,FALSE),"")</f>
        <v/>
      </c>
      <c r="I3349" s="123" t="str">
        <f>IFERROR(VLOOKUP(Table1722[[#This Row],[Bukti]],Table13[#Data],11,FALSE),"")</f>
        <v/>
      </c>
    </row>
    <row r="3350" spans="1:9" hidden="1" x14ac:dyDescent="0.2">
      <c r="A3350" s="105" t="str">
        <f>IF(D3350=1,COUNTIF($D$10:D3350,1)," ")</f>
        <v xml:space="preserve"> </v>
      </c>
      <c r="B3350" s="106">
        <f>COPY!AR3342</f>
        <v>0</v>
      </c>
      <c r="C3350" s="107">
        <f>COPY!AC3342</f>
        <v>0</v>
      </c>
      <c r="D3350" s="107" t="str">
        <f>IF(LEN(Table1722[[#This Row],[Uraian]])&gt;2,1," ")</f>
        <v xml:space="preserve"> </v>
      </c>
      <c r="E3350" s="113" t="str">
        <f>IF(Table1722[[#This Row],[Lawan Transaksi]]="CV AGUNG KARYA",COUNTIF($I$10:I3350,"CV AGUNG KARYA")," ")</f>
        <v xml:space="preserve"> </v>
      </c>
      <c r="F3350" s="107" t="str">
        <f>IF(LEN(Table1722[[#This Row],[Uraian]])&gt;2,TRIM(RIGHT(SUBSTITUTE(TRIM(C3350)," ",REPT(" ",255)),255))," ")</f>
        <v xml:space="preserve"> </v>
      </c>
      <c r="G3350" s="110">
        <f>COPY!Z3342</f>
        <v>0</v>
      </c>
      <c r="H3350" s="111" t="str">
        <f>IFERROR(VLOOKUP(Table1722[[#This Row],[Bukti]],'Un nOTA'!$A$4:$K$5003,10,FALSE),"")</f>
        <v/>
      </c>
      <c r="I3350" s="123" t="str">
        <f>IFERROR(VLOOKUP(Table1722[[#This Row],[Bukti]],Table13[#Data],11,FALSE),"")</f>
        <v/>
      </c>
    </row>
    <row r="3351" spans="1:9" hidden="1" x14ac:dyDescent="0.2">
      <c r="A3351" s="105" t="str">
        <f>IF(D3351=1,COUNTIF($D$10:D3351,1)," ")</f>
        <v xml:space="preserve"> </v>
      </c>
      <c r="B3351" s="106">
        <f>COPY!AR3343</f>
        <v>0</v>
      </c>
      <c r="C3351" s="107">
        <f>COPY!AC3343</f>
        <v>0</v>
      </c>
      <c r="D3351" s="107" t="str">
        <f>IF(LEN(Table1722[[#This Row],[Uraian]])&gt;2,1," ")</f>
        <v xml:space="preserve"> </v>
      </c>
      <c r="E3351" s="113" t="str">
        <f>IF(Table1722[[#This Row],[Lawan Transaksi]]="CV AGUNG KARYA",COUNTIF($I$10:I3351,"CV AGUNG KARYA")," ")</f>
        <v xml:space="preserve"> </v>
      </c>
      <c r="F3351" s="107" t="str">
        <f>IF(LEN(Table1722[[#This Row],[Uraian]])&gt;2,TRIM(RIGHT(SUBSTITUTE(TRIM(C3351)," ",REPT(" ",255)),255))," ")</f>
        <v xml:space="preserve"> </v>
      </c>
      <c r="G3351" s="110">
        <f>COPY!Z3343</f>
        <v>0</v>
      </c>
      <c r="H3351" s="111" t="str">
        <f>IFERROR(VLOOKUP(Table1722[[#This Row],[Bukti]],'Un nOTA'!$A$4:$K$5003,10,FALSE),"")</f>
        <v/>
      </c>
      <c r="I3351" s="123" t="str">
        <f>IFERROR(VLOOKUP(Table1722[[#This Row],[Bukti]],Table13[#Data],11,FALSE),"")</f>
        <v/>
      </c>
    </row>
    <row r="3352" spans="1:9" hidden="1" x14ac:dyDescent="0.2">
      <c r="A3352" s="105" t="str">
        <f>IF(D3352=1,COUNTIF($D$10:D3352,1)," ")</f>
        <v xml:space="preserve"> </v>
      </c>
      <c r="B3352" s="106">
        <f>COPY!AR3344</f>
        <v>0</v>
      </c>
      <c r="C3352" s="107">
        <f>COPY!AC3344</f>
        <v>0</v>
      </c>
      <c r="D3352" s="107" t="str">
        <f>IF(LEN(Table1722[[#This Row],[Uraian]])&gt;2,1," ")</f>
        <v xml:space="preserve"> </v>
      </c>
      <c r="E3352" s="113" t="str">
        <f>IF(Table1722[[#This Row],[Lawan Transaksi]]="CV AGUNG KARYA",COUNTIF($I$10:I3352,"CV AGUNG KARYA")," ")</f>
        <v xml:space="preserve"> </v>
      </c>
      <c r="F3352" s="107" t="str">
        <f>IF(LEN(Table1722[[#This Row],[Uraian]])&gt;2,TRIM(RIGHT(SUBSTITUTE(TRIM(C3352)," ",REPT(" ",255)),255))," ")</f>
        <v xml:space="preserve"> </v>
      </c>
      <c r="G3352" s="110">
        <f>COPY!Z3344</f>
        <v>0</v>
      </c>
      <c r="H3352" s="111" t="str">
        <f>IFERROR(VLOOKUP(Table1722[[#This Row],[Bukti]],'Un nOTA'!$A$4:$K$5003,10,FALSE),"")</f>
        <v/>
      </c>
      <c r="I3352" s="123" t="str">
        <f>IFERROR(VLOOKUP(Table1722[[#This Row],[Bukti]],Table13[#Data],11,FALSE),"")</f>
        <v/>
      </c>
    </row>
    <row r="3353" spans="1:9" hidden="1" x14ac:dyDescent="0.2">
      <c r="A3353" s="105" t="str">
        <f>IF(D3353=1,COUNTIF($D$10:D3353,1)," ")</f>
        <v xml:space="preserve"> </v>
      </c>
      <c r="B3353" s="106">
        <f>COPY!AR3345</f>
        <v>0</v>
      </c>
      <c r="C3353" s="107">
        <f>COPY!AC3345</f>
        <v>0</v>
      </c>
      <c r="D3353" s="107" t="str">
        <f>IF(LEN(Table1722[[#This Row],[Uraian]])&gt;2,1," ")</f>
        <v xml:space="preserve"> </v>
      </c>
      <c r="E3353" s="113" t="str">
        <f>IF(Table1722[[#This Row],[Lawan Transaksi]]="CV AGUNG KARYA",COUNTIF($I$10:I3353,"CV AGUNG KARYA")," ")</f>
        <v xml:space="preserve"> </v>
      </c>
      <c r="F3353" s="107" t="str">
        <f>IF(LEN(Table1722[[#This Row],[Uraian]])&gt;2,TRIM(RIGHT(SUBSTITUTE(TRIM(C3353)," ",REPT(" ",255)),255))," ")</f>
        <v xml:space="preserve"> </v>
      </c>
      <c r="G3353" s="110">
        <f>COPY!Z3345</f>
        <v>0</v>
      </c>
      <c r="H3353" s="111" t="str">
        <f>IFERROR(VLOOKUP(Table1722[[#This Row],[Bukti]],'Un nOTA'!$A$4:$K$5003,10,FALSE),"")</f>
        <v/>
      </c>
      <c r="I3353" s="123" t="str">
        <f>IFERROR(VLOOKUP(Table1722[[#This Row],[Bukti]],Table13[#Data],11,FALSE),"")</f>
        <v/>
      </c>
    </row>
    <row r="3354" spans="1:9" hidden="1" x14ac:dyDescent="0.2">
      <c r="A3354" s="105" t="str">
        <f>IF(D3354=1,COUNTIF($D$10:D3354,1)," ")</f>
        <v xml:space="preserve"> </v>
      </c>
      <c r="B3354" s="106">
        <f>COPY!AR3346</f>
        <v>0</v>
      </c>
      <c r="C3354" s="107">
        <f>COPY!AC3346</f>
        <v>0</v>
      </c>
      <c r="D3354" s="107" t="str">
        <f>IF(LEN(Table1722[[#This Row],[Uraian]])&gt;2,1," ")</f>
        <v xml:space="preserve"> </v>
      </c>
      <c r="E3354" s="113" t="str">
        <f>IF(Table1722[[#This Row],[Lawan Transaksi]]="CV AGUNG KARYA",COUNTIF($I$10:I3354,"CV AGUNG KARYA")," ")</f>
        <v xml:space="preserve"> </v>
      </c>
      <c r="F3354" s="107" t="str">
        <f>IF(LEN(Table1722[[#This Row],[Uraian]])&gt;2,TRIM(RIGHT(SUBSTITUTE(TRIM(C3354)," ",REPT(" ",255)),255))," ")</f>
        <v xml:space="preserve"> </v>
      </c>
      <c r="G3354" s="110">
        <f>COPY!Z3346</f>
        <v>0</v>
      </c>
      <c r="H3354" s="111" t="str">
        <f>IFERROR(VLOOKUP(Table1722[[#This Row],[Bukti]],'Un nOTA'!$A$4:$K$5003,10,FALSE),"")</f>
        <v/>
      </c>
      <c r="I3354" s="123" t="str">
        <f>IFERROR(VLOOKUP(Table1722[[#This Row],[Bukti]],Table13[#Data],11,FALSE),"")</f>
        <v/>
      </c>
    </row>
    <row r="3355" spans="1:9" hidden="1" x14ac:dyDescent="0.2">
      <c r="A3355" s="105" t="str">
        <f>IF(D3355=1,COUNTIF($D$10:D3355,1)," ")</f>
        <v xml:space="preserve"> </v>
      </c>
      <c r="B3355" s="106">
        <f>COPY!AR3347</f>
        <v>0</v>
      </c>
      <c r="C3355" s="107">
        <f>COPY!AC3347</f>
        <v>0</v>
      </c>
      <c r="D3355" s="107" t="str">
        <f>IF(LEN(Table1722[[#This Row],[Uraian]])&gt;2,1," ")</f>
        <v xml:space="preserve"> </v>
      </c>
      <c r="E3355" s="113" t="str">
        <f>IF(Table1722[[#This Row],[Lawan Transaksi]]="CV AGUNG KARYA",COUNTIF($I$10:I3355,"CV AGUNG KARYA")," ")</f>
        <v xml:space="preserve"> </v>
      </c>
      <c r="F3355" s="107" t="str">
        <f>IF(LEN(Table1722[[#This Row],[Uraian]])&gt;2,TRIM(RIGHT(SUBSTITUTE(TRIM(C3355)," ",REPT(" ",255)),255))," ")</f>
        <v xml:space="preserve"> </v>
      </c>
      <c r="G3355" s="110">
        <f>COPY!Z3347</f>
        <v>0</v>
      </c>
      <c r="H3355" s="111" t="str">
        <f>IFERROR(VLOOKUP(Table1722[[#This Row],[Bukti]],'Un nOTA'!$A$4:$K$5003,10,FALSE),"")</f>
        <v/>
      </c>
      <c r="I3355" s="123" t="str">
        <f>IFERROR(VLOOKUP(Table1722[[#This Row],[Bukti]],Table13[#Data],11,FALSE),"")</f>
        <v/>
      </c>
    </row>
    <row r="3356" spans="1:9" hidden="1" x14ac:dyDescent="0.2">
      <c r="A3356" s="105" t="str">
        <f>IF(D3356=1,COUNTIF($D$10:D3356,1)," ")</f>
        <v xml:space="preserve"> </v>
      </c>
      <c r="B3356" s="106">
        <f>COPY!AR3348</f>
        <v>0</v>
      </c>
      <c r="C3356" s="107">
        <f>COPY!AC3348</f>
        <v>0</v>
      </c>
      <c r="D3356" s="107" t="str">
        <f>IF(LEN(Table1722[[#This Row],[Uraian]])&gt;2,1," ")</f>
        <v xml:space="preserve"> </v>
      </c>
      <c r="E3356" s="113" t="str">
        <f>IF(Table1722[[#This Row],[Lawan Transaksi]]="CV AGUNG KARYA",COUNTIF($I$10:I3356,"CV AGUNG KARYA")," ")</f>
        <v xml:space="preserve"> </v>
      </c>
      <c r="F3356" s="107" t="str">
        <f>IF(LEN(Table1722[[#This Row],[Uraian]])&gt;2,TRIM(RIGHT(SUBSTITUTE(TRIM(C3356)," ",REPT(" ",255)),255))," ")</f>
        <v xml:space="preserve"> </v>
      </c>
      <c r="G3356" s="110">
        <f>COPY!Z3348</f>
        <v>0</v>
      </c>
      <c r="H3356" s="111" t="str">
        <f>IFERROR(VLOOKUP(Table1722[[#This Row],[Bukti]],'Un nOTA'!$A$4:$K$5003,10,FALSE),"")</f>
        <v/>
      </c>
      <c r="I3356" s="123" t="str">
        <f>IFERROR(VLOOKUP(Table1722[[#This Row],[Bukti]],Table13[#Data],11,FALSE),"")</f>
        <v/>
      </c>
    </row>
    <row r="3357" spans="1:9" hidden="1" x14ac:dyDescent="0.2">
      <c r="A3357" s="105" t="str">
        <f>IF(D3357=1,COUNTIF($D$10:D3357,1)," ")</f>
        <v xml:space="preserve"> </v>
      </c>
      <c r="B3357" s="106">
        <f>COPY!AR3349</f>
        <v>0</v>
      </c>
      <c r="C3357" s="107">
        <f>COPY!AC3349</f>
        <v>0</v>
      </c>
      <c r="D3357" s="107" t="str">
        <f>IF(LEN(Table1722[[#This Row],[Uraian]])&gt;2,1," ")</f>
        <v xml:space="preserve"> </v>
      </c>
      <c r="E3357" s="113" t="str">
        <f>IF(Table1722[[#This Row],[Lawan Transaksi]]="CV AGUNG KARYA",COUNTIF($I$10:I3357,"CV AGUNG KARYA")," ")</f>
        <v xml:space="preserve"> </v>
      </c>
      <c r="F3357" s="107" t="str">
        <f>IF(LEN(Table1722[[#This Row],[Uraian]])&gt;2,TRIM(RIGHT(SUBSTITUTE(TRIM(C3357)," ",REPT(" ",255)),255))," ")</f>
        <v xml:space="preserve"> </v>
      </c>
      <c r="G3357" s="110">
        <f>COPY!Z3349</f>
        <v>0</v>
      </c>
      <c r="H3357" s="111" t="str">
        <f>IFERROR(VLOOKUP(Table1722[[#This Row],[Bukti]],'Un nOTA'!$A$4:$K$5003,10,FALSE),"")</f>
        <v/>
      </c>
      <c r="I3357" s="123" t="str">
        <f>IFERROR(VLOOKUP(Table1722[[#This Row],[Bukti]],Table13[#Data],11,FALSE),"")</f>
        <v/>
      </c>
    </row>
    <row r="3358" spans="1:9" hidden="1" x14ac:dyDescent="0.2">
      <c r="A3358" s="105" t="str">
        <f>IF(D3358=1,COUNTIF($D$10:D3358,1)," ")</f>
        <v xml:space="preserve"> </v>
      </c>
      <c r="B3358" s="106">
        <f>COPY!AR3350</f>
        <v>0</v>
      </c>
      <c r="C3358" s="107">
        <f>COPY!AC3350</f>
        <v>0</v>
      </c>
      <c r="D3358" s="107" t="str">
        <f>IF(LEN(Table1722[[#This Row],[Uraian]])&gt;2,1," ")</f>
        <v xml:space="preserve"> </v>
      </c>
      <c r="E3358" s="113" t="str">
        <f>IF(Table1722[[#This Row],[Lawan Transaksi]]="CV AGUNG KARYA",COUNTIF($I$10:I3358,"CV AGUNG KARYA")," ")</f>
        <v xml:space="preserve"> </v>
      </c>
      <c r="F3358" s="107" t="str">
        <f>IF(LEN(Table1722[[#This Row],[Uraian]])&gt;2,TRIM(RIGHT(SUBSTITUTE(TRIM(C3358)," ",REPT(" ",255)),255))," ")</f>
        <v xml:space="preserve"> </v>
      </c>
      <c r="G3358" s="110">
        <f>COPY!Z3350</f>
        <v>0</v>
      </c>
      <c r="H3358" s="111" t="str">
        <f>IFERROR(VLOOKUP(Table1722[[#This Row],[Bukti]],'Un nOTA'!$A$4:$K$5003,10,FALSE),"")</f>
        <v/>
      </c>
      <c r="I3358" s="123" t="str">
        <f>IFERROR(VLOOKUP(Table1722[[#This Row],[Bukti]],Table13[#Data],11,FALSE),"")</f>
        <v/>
      </c>
    </row>
    <row r="3359" spans="1:9" hidden="1" x14ac:dyDescent="0.2">
      <c r="A3359" s="105" t="str">
        <f>IF(D3359=1,COUNTIF($D$10:D3359,1)," ")</f>
        <v xml:space="preserve"> </v>
      </c>
      <c r="B3359" s="106">
        <f>COPY!AR3351</f>
        <v>0</v>
      </c>
      <c r="C3359" s="107">
        <f>COPY!AC3351</f>
        <v>0</v>
      </c>
      <c r="D3359" s="107" t="str">
        <f>IF(LEN(Table1722[[#This Row],[Uraian]])&gt;2,1," ")</f>
        <v xml:space="preserve"> </v>
      </c>
      <c r="E3359" s="113" t="str">
        <f>IF(Table1722[[#This Row],[Lawan Transaksi]]="CV AGUNG KARYA",COUNTIF($I$10:I3359,"CV AGUNG KARYA")," ")</f>
        <v xml:space="preserve"> </v>
      </c>
      <c r="F3359" s="107" t="str">
        <f>IF(LEN(Table1722[[#This Row],[Uraian]])&gt;2,TRIM(RIGHT(SUBSTITUTE(TRIM(C3359)," ",REPT(" ",255)),255))," ")</f>
        <v xml:space="preserve"> </v>
      </c>
      <c r="G3359" s="110">
        <f>COPY!Z3351</f>
        <v>0</v>
      </c>
      <c r="H3359" s="111" t="str">
        <f>IFERROR(VLOOKUP(Table1722[[#This Row],[Bukti]],'Un nOTA'!$A$4:$K$5003,10,FALSE),"")</f>
        <v/>
      </c>
      <c r="I3359" s="123" t="str">
        <f>IFERROR(VLOOKUP(Table1722[[#This Row],[Bukti]],Table13[#Data],11,FALSE),"")</f>
        <v/>
      </c>
    </row>
    <row r="3360" spans="1:9" hidden="1" x14ac:dyDescent="0.2">
      <c r="A3360" s="105" t="str">
        <f>IF(D3360=1,COUNTIF($D$10:D3360,1)," ")</f>
        <v xml:space="preserve"> </v>
      </c>
      <c r="B3360" s="106">
        <f>COPY!AR3352</f>
        <v>0</v>
      </c>
      <c r="C3360" s="107">
        <f>COPY!AC3352</f>
        <v>0</v>
      </c>
      <c r="D3360" s="107" t="str">
        <f>IF(LEN(Table1722[[#This Row],[Uraian]])&gt;2,1," ")</f>
        <v xml:space="preserve"> </v>
      </c>
      <c r="E3360" s="113" t="str">
        <f>IF(Table1722[[#This Row],[Lawan Transaksi]]="CV AGUNG KARYA",COUNTIF($I$10:I3360,"CV AGUNG KARYA")," ")</f>
        <v xml:space="preserve"> </v>
      </c>
      <c r="F3360" s="107" t="str">
        <f>IF(LEN(Table1722[[#This Row],[Uraian]])&gt;2,TRIM(RIGHT(SUBSTITUTE(TRIM(C3360)," ",REPT(" ",255)),255))," ")</f>
        <v xml:space="preserve"> </v>
      </c>
      <c r="G3360" s="110">
        <f>COPY!Z3352</f>
        <v>0</v>
      </c>
      <c r="H3360" s="111" t="str">
        <f>IFERROR(VLOOKUP(Table1722[[#This Row],[Bukti]],'Un nOTA'!$A$4:$K$5003,10,FALSE),"")</f>
        <v/>
      </c>
      <c r="I3360" s="123" t="str">
        <f>IFERROR(VLOOKUP(Table1722[[#This Row],[Bukti]],Table13[#Data],11,FALSE),"")</f>
        <v/>
      </c>
    </row>
    <row r="3361" spans="1:9" hidden="1" x14ac:dyDescent="0.2">
      <c r="A3361" s="105" t="str">
        <f>IF(D3361=1,COUNTIF($D$10:D3361,1)," ")</f>
        <v xml:space="preserve"> </v>
      </c>
      <c r="B3361" s="106">
        <f>COPY!AR3353</f>
        <v>0</v>
      </c>
      <c r="C3361" s="107">
        <f>COPY!AC3353</f>
        <v>0</v>
      </c>
      <c r="D3361" s="107" t="str">
        <f>IF(LEN(Table1722[[#This Row],[Uraian]])&gt;2,1," ")</f>
        <v xml:space="preserve"> </v>
      </c>
      <c r="E3361" s="113" t="str">
        <f>IF(Table1722[[#This Row],[Lawan Transaksi]]="CV AGUNG KARYA",COUNTIF($I$10:I3361,"CV AGUNG KARYA")," ")</f>
        <v xml:space="preserve"> </v>
      </c>
      <c r="F3361" s="107" t="str">
        <f>IF(LEN(Table1722[[#This Row],[Uraian]])&gt;2,TRIM(RIGHT(SUBSTITUTE(TRIM(C3361)," ",REPT(" ",255)),255))," ")</f>
        <v xml:space="preserve"> </v>
      </c>
      <c r="G3361" s="110">
        <f>COPY!Z3353</f>
        <v>0</v>
      </c>
      <c r="H3361" s="111" t="str">
        <f>IFERROR(VLOOKUP(Table1722[[#This Row],[Bukti]],'Un nOTA'!$A$4:$K$5003,10,FALSE),"")</f>
        <v/>
      </c>
      <c r="I3361" s="123" t="str">
        <f>IFERROR(VLOOKUP(Table1722[[#This Row],[Bukti]],Table13[#Data],11,FALSE),"")</f>
        <v/>
      </c>
    </row>
    <row r="3362" spans="1:9" hidden="1" x14ac:dyDescent="0.2">
      <c r="A3362" s="105" t="str">
        <f>IF(D3362=1,COUNTIF($D$10:D3362,1)," ")</f>
        <v xml:space="preserve"> </v>
      </c>
      <c r="B3362" s="106">
        <f>COPY!AR3354</f>
        <v>0</v>
      </c>
      <c r="C3362" s="107">
        <f>COPY!AC3354</f>
        <v>0</v>
      </c>
      <c r="D3362" s="107" t="str">
        <f>IF(LEN(Table1722[[#This Row],[Uraian]])&gt;2,1," ")</f>
        <v xml:space="preserve"> </v>
      </c>
      <c r="E3362" s="113" t="str">
        <f>IF(Table1722[[#This Row],[Lawan Transaksi]]="CV AGUNG KARYA",COUNTIF($I$10:I3362,"CV AGUNG KARYA")," ")</f>
        <v xml:space="preserve"> </v>
      </c>
      <c r="F3362" s="107" t="str">
        <f>IF(LEN(Table1722[[#This Row],[Uraian]])&gt;2,TRIM(RIGHT(SUBSTITUTE(TRIM(C3362)," ",REPT(" ",255)),255))," ")</f>
        <v xml:space="preserve"> </v>
      </c>
      <c r="G3362" s="110">
        <f>COPY!Z3354</f>
        <v>0</v>
      </c>
      <c r="H3362" s="111" t="str">
        <f>IFERROR(VLOOKUP(Table1722[[#This Row],[Bukti]],'Un nOTA'!$A$4:$K$5003,10,FALSE),"")</f>
        <v/>
      </c>
      <c r="I3362" s="123" t="str">
        <f>IFERROR(VLOOKUP(Table1722[[#This Row],[Bukti]],Table13[#Data],11,FALSE),"")</f>
        <v/>
      </c>
    </row>
    <row r="3363" spans="1:9" hidden="1" x14ac:dyDescent="0.2">
      <c r="A3363" s="105" t="str">
        <f>IF(D3363=1,COUNTIF($D$10:D3363,1)," ")</f>
        <v xml:space="preserve"> </v>
      </c>
      <c r="B3363" s="106">
        <f>COPY!AR3355</f>
        <v>0</v>
      </c>
      <c r="C3363" s="107">
        <f>COPY!AC3355</f>
        <v>0</v>
      </c>
      <c r="D3363" s="107" t="str">
        <f>IF(LEN(Table1722[[#This Row],[Uraian]])&gt;2,1," ")</f>
        <v xml:space="preserve"> </v>
      </c>
      <c r="E3363" s="113" t="str">
        <f>IF(Table1722[[#This Row],[Lawan Transaksi]]="CV AGUNG KARYA",COUNTIF($I$10:I3363,"CV AGUNG KARYA")," ")</f>
        <v xml:space="preserve"> </v>
      </c>
      <c r="F3363" s="107" t="str">
        <f>IF(LEN(Table1722[[#This Row],[Uraian]])&gt;2,TRIM(RIGHT(SUBSTITUTE(TRIM(C3363)," ",REPT(" ",255)),255))," ")</f>
        <v xml:space="preserve"> </v>
      </c>
      <c r="G3363" s="110">
        <f>COPY!Z3355</f>
        <v>0</v>
      </c>
      <c r="H3363" s="111" t="str">
        <f>IFERROR(VLOOKUP(Table1722[[#This Row],[Bukti]],'Un nOTA'!$A$4:$K$5003,10,FALSE),"")</f>
        <v/>
      </c>
      <c r="I3363" s="123" t="str">
        <f>IFERROR(VLOOKUP(Table1722[[#This Row],[Bukti]],Table13[#Data],11,FALSE),"")</f>
        <v/>
      </c>
    </row>
    <row r="3364" spans="1:9" hidden="1" x14ac:dyDescent="0.2">
      <c r="A3364" s="105" t="str">
        <f>IF(D3364=1,COUNTIF($D$10:D3364,1)," ")</f>
        <v xml:space="preserve"> </v>
      </c>
      <c r="B3364" s="106">
        <f>COPY!AR3356</f>
        <v>0</v>
      </c>
      <c r="C3364" s="107">
        <f>COPY!AC3356</f>
        <v>0</v>
      </c>
      <c r="D3364" s="107" t="str">
        <f>IF(LEN(Table1722[[#This Row],[Uraian]])&gt;2,1," ")</f>
        <v xml:space="preserve"> </v>
      </c>
      <c r="E3364" s="113" t="str">
        <f>IF(Table1722[[#This Row],[Lawan Transaksi]]="CV AGUNG KARYA",COUNTIF($I$10:I3364,"CV AGUNG KARYA")," ")</f>
        <v xml:space="preserve"> </v>
      </c>
      <c r="F3364" s="107" t="str">
        <f>IF(LEN(Table1722[[#This Row],[Uraian]])&gt;2,TRIM(RIGHT(SUBSTITUTE(TRIM(C3364)," ",REPT(" ",255)),255))," ")</f>
        <v xml:space="preserve"> </v>
      </c>
      <c r="G3364" s="110">
        <f>COPY!Z3356</f>
        <v>0</v>
      </c>
      <c r="H3364" s="111" t="str">
        <f>IFERROR(VLOOKUP(Table1722[[#This Row],[Bukti]],'Un nOTA'!$A$4:$K$5003,10,FALSE),"")</f>
        <v/>
      </c>
      <c r="I3364" s="123" t="str">
        <f>IFERROR(VLOOKUP(Table1722[[#This Row],[Bukti]],Table13[#Data],11,FALSE),"")</f>
        <v/>
      </c>
    </row>
    <row r="3365" spans="1:9" hidden="1" x14ac:dyDescent="0.2">
      <c r="A3365" s="105" t="str">
        <f>IF(D3365=1,COUNTIF($D$10:D3365,1)," ")</f>
        <v xml:space="preserve"> </v>
      </c>
      <c r="B3365" s="106">
        <f>COPY!AR3357</f>
        <v>0</v>
      </c>
      <c r="C3365" s="107">
        <f>COPY!AC3357</f>
        <v>0</v>
      </c>
      <c r="D3365" s="107" t="str">
        <f>IF(LEN(Table1722[[#This Row],[Uraian]])&gt;2,1," ")</f>
        <v xml:space="preserve"> </v>
      </c>
      <c r="E3365" s="113" t="str">
        <f>IF(Table1722[[#This Row],[Lawan Transaksi]]="CV AGUNG KARYA",COUNTIF($I$10:I3365,"CV AGUNG KARYA")," ")</f>
        <v xml:space="preserve"> </v>
      </c>
      <c r="F3365" s="107" t="str">
        <f>IF(LEN(Table1722[[#This Row],[Uraian]])&gt;2,TRIM(RIGHT(SUBSTITUTE(TRIM(C3365)," ",REPT(" ",255)),255))," ")</f>
        <v xml:space="preserve"> </v>
      </c>
      <c r="G3365" s="110">
        <f>COPY!Z3357</f>
        <v>0</v>
      </c>
      <c r="H3365" s="111" t="str">
        <f>IFERROR(VLOOKUP(Table1722[[#This Row],[Bukti]],'Un nOTA'!$A$4:$K$5003,10,FALSE),"")</f>
        <v/>
      </c>
      <c r="I3365" s="123" t="str">
        <f>IFERROR(VLOOKUP(Table1722[[#This Row],[Bukti]],Table13[#Data],11,FALSE),"")</f>
        <v/>
      </c>
    </row>
    <row r="3366" spans="1:9" hidden="1" x14ac:dyDescent="0.2">
      <c r="A3366" s="105" t="str">
        <f>IF(D3366=1,COUNTIF($D$10:D3366,1)," ")</f>
        <v xml:space="preserve"> </v>
      </c>
      <c r="B3366" s="106">
        <f>COPY!AR3358</f>
        <v>0</v>
      </c>
      <c r="C3366" s="107">
        <f>COPY!AC3358</f>
        <v>0</v>
      </c>
      <c r="D3366" s="107" t="str">
        <f>IF(LEN(Table1722[[#This Row],[Uraian]])&gt;2,1," ")</f>
        <v xml:space="preserve"> </v>
      </c>
      <c r="E3366" s="113" t="str">
        <f>IF(Table1722[[#This Row],[Lawan Transaksi]]="CV AGUNG KARYA",COUNTIF($I$10:I3366,"CV AGUNG KARYA")," ")</f>
        <v xml:space="preserve"> </v>
      </c>
      <c r="F3366" s="107" t="str">
        <f>IF(LEN(Table1722[[#This Row],[Uraian]])&gt;2,TRIM(RIGHT(SUBSTITUTE(TRIM(C3366)," ",REPT(" ",255)),255))," ")</f>
        <v xml:space="preserve"> </v>
      </c>
      <c r="G3366" s="110">
        <f>COPY!Z3358</f>
        <v>0</v>
      </c>
      <c r="H3366" s="111" t="str">
        <f>IFERROR(VLOOKUP(Table1722[[#This Row],[Bukti]],'Un nOTA'!$A$4:$K$5003,10,FALSE),"")</f>
        <v/>
      </c>
      <c r="I3366" s="123" t="str">
        <f>IFERROR(VLOOKUP(Table1722[[#This Row],[Bukti]],Table13[#Data],11,FALSE),"")</f>
        <v/>
      </c>
    </row>
    <row r="3367" spans="1:9" hidden="1" x14ac:dyDescent="0.2">
      <c r="A3367" s="105" t="str">
        <f>IF(D3367=1,COUNTIF($D$10:D3367,1)," ")</f>
        <v xml:space="preserve"> </v>
      </c>
      <c r="B3367" s="106">
        <f>COPY!AR3359</f>
        <v>0</v>
      </c>
      <c r="C3367" s="107">
        <f>COPY!AC3359</f>
        <v>0</v>
      </c>
      <c r="D3367" s="107" t="str">
        <f>IF(LEN(Table1722[[#This Row],[Uraian]])&gt;2,1," ")</f>
        <v xml:space="preserve"> </v>
      </c>
      <c r="E3367" s="113" t="str">
        <f>IF(Table1722[[#This Row],[Lawan Transaksi]]="CV AGUNG KARYA",COUNTIF($I$10:I3367,"CV AGUNG KARYA")," ")</f>
        <v xml:space="preserve"> </v>
      </c>
      <c r="F3367" s="107" t="str">
        <f>IF(LEN(Table1722[[#This Row],[Uraian]])&gt;2,TRIM(RIGHT(SUBSTITUTE(TRIM(C3367)," ",REPT(" ",255)),255))," ")</f>
        <v xml:space="preserve"> </v>
      </c>
      <c r="G3367" s="110">
        <f>COPY!Z3359</f>
        <v>0</v>
      </c>
      <c r="H3367" s="111" t="str">
        <f>IFERROR(VLOOKUP(Table1722[[#This Row],[Bukti]],'Un nOTA'!$A$4:$K$5003,10,FALSE),"")</f>
        <v/>
      </c>
      <c r="I3367" s="123" t="str">
        <f>IFERROR(VLOOKUP(Table1722[[#This Row],[Bukti]],Table13[#Data],11,FALSE),"")</f>
        <v/>
      </c>
    </row>
    <row r="3368" spans="1:9" hidden="1" x14ac:dyDescent="0.2">
      <c r="A3368" s="105" t="str">
        <f>IF(D3368=1,COUNTIF($D$10:D3368,1)," ")</f>
        <v xml:space="preserve"> </v>
      </c>
      <c r="B3368" s="106">
        <f>COPY!AR3360</f>
        <v>0</v>
      </c>
      <c r="C3368" s="107">
        <f>COPY!AC3360</f>
        <v>0</v>
      </c>
      <c r="D3368" s="107" t="str">
        <f>IF(LEN(Table1722[[#This Row],[Uraian]])&gt;2,1," ")</f>
        <v xml:space="preserve"> </v>
      </c>
      <c r="E3368" s="113" t="str">
        <f>IF(Table1722[[#This Row],[Lawan Transaksi]]="CV AGUNG KARYA",COUNTIF($I$10:I3368,"CV AGUNG KARYA")," ")</f>
        <v xml:space="preserve"> </v>
      </c>
      <c r="F3368" s="107" t="str">
        <f>IF(LEN(Table1722[[#This Row],[Uraian]])&gt;2,TRIM(RIGHT(SUBSTITUTE(TRIM(C3368)," ",REPT(" ",255)),255))," ")</f>
        <v xml:space="preserve"> </v>
      </c>
      <c r="G3368" s="110">
        <f>COPY!Z3360</f>
        <v>0</v>
      </c>
      <c r="H3368" s="111" t="str">
        <f>IFERROR(VLOOKUP(Table1722[[#This Row],[Bukti]],'Un nOTA'!$A$4:$K$5003,10,FALSE),"")</f>
        <v/>
      </c>
      <c r="I3368" s="123" t="str">
        <f>IFERROR(VLOOKUP(Table1722[[#This Row],[Bukti]],Table13[#Data],11,FALSE),"")</f>
        <v/>
      </c>
    </row>
    <row r="3369" spans="1:9" hidden="1" x14ac:dyDescent="0.2">
      <c r="A3369" s="105" t="str">
        <f>IF(D3369=1,COUNTIF($D$10:D3369,1)," ")</f>
        <v xml:space="preserve"> </v>
      </c>
      <c r="B3369" s="106">
        <f>COPY!AR3361</f>
        <v>0</v>
      </c>
      <c r="C3369" s="107">
        <f>COPY!AC3361</f>
        <v>0</v>
      </c>
      <c r="D3369" s="107" t="str">
        <f>IF(LEN(Table1722[[#This Row],[Uraian]])&gt;2,1," ")</f>
        <v xml:space="preserve"> </v>
      </c>
      <c r="E3369" s="113" t="str">
        <f>IF(Table1722[[#This Row],[Lawan Transaksi]]="CV AGUNG KARYA",COUNTIF($I$10:I3369,"CV AGUNG KARYA")," ")</f>
        <v xml:space="preserve"> </v>
      </c>
      <c r="F3369" s="107" t="str">
        <f>IF(LEN(Table1722[[#This Row],[Uraian]])&gt;2,TRIM(RIGHT(SUBSTITUTE(TRIM(C3369)," ",REPT(" ",255)),255))," ")</f>
        <v xml:space="preserve"> </v>
      </c>
      <c r="G3369" s="110">
        <f>COPY!Z3361</f>
        <v>0</v>
      </c>
      <c r="H3369" s="111" t="str">
        <f>IFERROR(VLOOKUP(Table1722[[#This Row],[Bukti]],'Un nOTA'!$A$4:$K$5003,10,FALSE),"")</f>
        <v/>
      </c>
      <c r="I3369" s="123" t="str">
        <f>IFERROR(VLOOKUP(Table1722[[#This Row],[Bukti]],Table13[#Data],11,FALSE),"")</f>
        <v/>
      </c>
    </row>
    <row r="3370" spans="1:9" hidden="1" x14ac:dyDescent="0.2">
      <c r="A3370" s="105" t="str">
        <f>IF(D3370=1,COUNTIF($D$10:D3370,1)," ")</f>
        <v xml:space="preserve"> </v>
      </c>
      <c r="B3370" s="106">
        <f>COPY!AR3362</f>
        <v>0</v>
      </c>
      <c r="C3370" s="107">
        <f>COPY!AC3362</f>
        <v>0</v>
      </c>
      <c r="D3370" s="107" t="str">
        <f>IF(LEN(Table1722[[#This Row],[Uraian]])&gt;2,1," ")</f>
        <v xml:space="preserve"> </v>
      </c>
      <c r="E3370" s="113" t="str">
        <f>IF(Table1722[[#This Row],[Lawan Transaksi]]="CV AGUNG KARYA",COUNTIF($I$10:I3370,"CV AGUNG KARYA")," ")</f>
        <v xml:space="preserve"> </v>
      </c>
      <c r="F3370" s="107" t="str">
        <f>IF(LEN(Table1722[[#This Row],[Uraian]])&gt;2,TRIM(RIGHT(SUBSTITUTE(TRIM(C3370)," ",REPT(" ",255)),255))," ")</f>
        <v xml:space="preserve"> </v>
      </c>
      <c r="G3370" s="110">
        <f>COPY!Z3362</f>
        <v>0</v>
      </c>
      <c r="H3370" s="111" t="str">
        <f>IFERROR(VLOOKUP(Table1722[[#This Row],[Bukti]],'Un nOTA'!$A$4:$K$5003,10,FALSE),"")</f>
        <v/>
      </c>
      <c r="I3370" s="123" t="str">
        <f>IFERROR(VLOOKUP(Table1722[[#This Row],[Bukti]],Table13[#Data],11,FALSE),"")</f>
        <v/>
      </c>
    </row>
    <row r="3371" spans="1:9" hidden="1" x14ac:dyDescent="0.2">
      <c r="A3371" s="105" t="str">
        <f>IF(D3371=1,COUNTIF($D$10:D3371,1)," ")</f>
        <v xml:space="preserve"> </v>
      </c>
      <c r="B3371" s="106">
        <f>COPY!AR3363</f>
        <v>0</v>
      </c>
      <c r="C3371" s="107">
        <f>COPY!AC3363</f>
        <v>0</v>
      </c>
      <c r="D3371" s="107" t="str">
        <f>IF(LEN(Table1722[[#This Row],[Uraian]])&gt;2,1," ")</f>
        <v xml:space="preserve"> </v>
      </c>
      <c r="E3371" s="113" t="str">
        <f>IF(Table1722[[#This Row],[Lawan Transaksi]]="CV AGUNG KARYA",COUNTIF($I$10:I3371,"CV AGUNG KARYA")," ")</f>
        <v xml:space="preserve"> </v>
      </c>
      <c r="F3371" s="107" t="str">
        <f>IF(LEN(Table1722[[#This Row],[Uraian]])&gt;2,TRIM(RIGHT(SUBSTITUTE(TRIM(C3371)," ",REPT(" ",255)),255))," ")</f>
        <v xml:space="preserve"> </v>
      </c>
      <c r="G3371" s="110">
        <f>COPY!Z3363</f>
        <v>0</v>
      </c>
      <c r="H3371" s="111" t="str">
        <f>IFERROR(VLOOKUP(Table1722[[#This Row],[Bukti]],'Un nOTA'!$A$4:$K$5003,10,FALSE),"")</f>
        <v/>
      </c>
      <c r="I3371" s="123" t="str">
        <f>IFERROR(VLOOKUP(Table1722[[#This Row],[Bukti]],Table13[#Data],11,FALSE),"")</f>
        <v/>
      </c>
    </row>
    <row r="3372" spans="1:9" hidden="1" x14ac:dyDescent="0.2">
      <c r="A3372" s="105" t="str">
        <f>IF(D3372=1,COUNTIF($D$10:D3372,1)," ")</f>
        <v xml:space="preserve"> </v>
      </c>
      <c r="B3372" s="106">
        <f>COPY!AR3364</f>
        <v>0</v>
      </c>
      <c r="C3372" s="107">
        <f>COPY!AC3364</f>
        <v>0</v>
      </c>
      <c r="D3372" s="107" t="str">
        <f>IF(LEN(Table1722[[#This Row],[Uraian]])&gt;2,1," ")</f>
        <v xml:space="preserve"> </v>
      </c>
      <c r="E3372" s="113" t="str">
        <f>IF(Table1722[[#This Row],[Lawan Transaksi]]="CV AGUNG KARYA",COUNTIF($I$10:I3372,"CV AGUNG KARYA")," ")</f>
        <v xml:space="preserve"> </v>
      </c>
      <c r="F3372" s="107" t="str">
        <f>IF(LEN(Table1722[[#This Row],[Uraian]])&gt;2,TRIM(RIGHT(SUBSTITUTE(TRIM(C3372)," ",REPT(" ",255)),255))," ")</f>
        <v xml:space="preserve"> </v>
      </c>
      <c r="G3372" s="110">
        <f>COPY!Z3364</f>
        <v>0</v>
      </c>
      <c r="H3372" s="111" t="str">
        <f>IFERROR(VLOOKUP(Table1722[[#This Row],[Bukti]],'Un nOTA'!$A$4:$K$5003,10,FALSE),"")</f>
        <v/>
      </c>
      <c r="I3372" s="123" t="str">
        <f>IFERROR(VLOOKUP(Table1722[[#This Row],[Bukti]],Table13[#Data],11,FALSE),"")</f>
        <v/>
      </c>
    </row>
    <row r="3373" spans="1:9" hidden="1" x14ac:dyDescent="0.2">
      <c r="A3373" s="105" t="str">
        <f>IF(D3373=1,COUNTIF($D$10:D3373,1)," ")</f>
        <v xml:space="preserve"> </v>
      </c>
      <c r="B3373" s="106">
        <f>COPY!AR3365</f>
        <v>0</v>
      </c>
      <c r="C3373" s="107">
        <f>COPY!AC3365</f>
        <v>0</v>
      </c>
      <c r="D3373" s="107" t="str">
        <f>IF(LEN(Table1722[[#This Row],[Uraian]])&gt;2,1," ")</f>
        <v xml:space="preserve"> </v>
      </c>
      <c r="E3373" s="113" t="str">
        <f>IF(Table1722[[#This Row],[Lawan Transaksi]]="CV AGUNG KARYA",COUNTIF($I$10:I3373,"CV AGUNG KARYA")," ")</f>
        <v xml:space="preserve"> </v>
      </c>
      <c r="F3373" s="107" t="str">
        <f>IF(LEN(Table1722[[#This Row],[Uraian]])&gt;2,TRIM(RIGHT(SUBSTITUTE(TRIM(C3373)," ",REPT(" ",255)),255))," ")</f>
        <v xml:space="preserve"> </v>
      </c>
      <c r="G3373" s="110">
        <f>COPY!Z3365</f>
        <v>0</v>
      </c>
      <c r="H3373" s="111" t="str">
        <f>IFERROR(VLOOKUP(Table1722[[#This Row],[Bukti]],'Un nOTA'!$A$4:$K$5003,10,FALSE),"")</f>
        <v/>
      </c>
      <c r="I3373" s="123" t="str">
        <f>IFERROR(VLOOKUP(Table1722[[#This Row],[Bukti]],Table13[#Data],11,FALSE),"")</f>
        <v/>
      </c>
    </row>
    <row r="3374" spans="1:9" hidden="1" x14ac:dyDescent="0.2">
      <c r="A3374" s="105" t="str">
        <f>IF(D3374=1,COUNTIF($D$10:D3374,1)," ")</f>
        <v xml:space="preserve"> </v>
      </c>
      <c r="B3374" s="106">
        <f>COPY!AR3366</f>
        <v>0</v>
      </c>
      <c r="C3374" s="107">
        <f>COPY!AC3366</f>
        <v>0</v>
      </c>
      <c r="D3374" s="107" t="str">
        <f>IF(LEN(Table1722[[#This Row],[Uraian]])&gt;2,1," ")</f>
        <v xml:space="preserve"> </v>
      </c>
      <c r="E3374" s="113" t="str">
        <f>IF(Table1722[[#This Row],[Lawan Transaksi]]="CV AGUNG KARYA",COUNTIF($I$10:I3374,"CV AGUNG KARYA")," ")</f>
        <v xml:space="preserve"> </v>
      </c>
      <c r="F3374" s="107" t="str">
        <f>IF(LEN(Table1722[[#This Row],[Uraian]])&gt;2,TRIM(RIGHT(SUBSTITUTE(TRIM(C3374)," ",REPT(" ",255)),255))," ")</f>
        <v xml:space="preserve"> </v>
      </c>
      <c r="G3374" s="110">
        <f>COPY!Z3366</f>
        <v>0</v>
      </c>
      <c r="H3374" s="111" t="str">
        <f>IFERROR(VLOOKUP(Table1722[[#This Row],[Bukti]],'Un nOTA'!$A$4:$K$5003,10,FALSE),"")</f>
        <v/>
      </c>
      <c r="I3374" s="123" t="str">
        <f>IFERROR(VLOOKUP(Table1722[[#This Row],[Bukti]],Table13[#Data],11,FALSE),"")</f>
        <v/>
      </c>
    </row>
    <row r="3375" spans="1:9" hidden="1" x14ac:dyDescent="0.2">
      <c r="A3375" s="105" t="str">
        <f>IF(D3375=1,COUNTIF($D$10:D3375,1)," ")</f>
        <v xml:space="preserve"> </v>
      </c>
      <c r="B3375" s="106">
        <f>COPY!AR3367</f>
        <v>0</v>
      </c>
      <c r="C3375" s="107">
        <f>COPY!AC3367</f>
        <v>0</v>
      </c>
      <c r="D3375" s="107" t="str">
        <f>IF(LEN(Table1722[[#This Row],[Uraian]])&gt;2,1," ")</f>
        <v xml:space="preserve"> </v>
      </c>
      <c r="E3375" s="113" t="str">
        <f>IF(Table1722[[#This Row],[Lawan Transaksi]]="CV AGUNG KARYA",COUNTIF($I$10:I3375,"CV AGUNG KARYA")," ")</f>
        <v xml:space="preserve"> </v>
      </c>
      <c r="F3375" s="107" t="str">
        <f>IF(LEN(Table1722[[#This Row],[Uraian]])&gt;2,TRIM(RIGHT(SUBSTITUTE(TRIM(C3375)," ",REPT(" ",255)),255))," ")</f>
        <v xml:space="preserve"> </v>
      </c>
      <c r="G3375" s="110">
        <f>COPY!Z3367</f>
        <v>0</v>
      </c>
      <c r="H3375" s="111" t="str">
        <f>IFERROR(VLOOKUP(Table1722[[#This Row],[Bukti]],'Un nOTA'!$A$4:$K$5003,10,FALSE),"")</f>
        <v/>
      </c>
      <c r="I3375" s="123" t="str">
        <f>IFERROR(VLOOKUP(Table1722[[#This Row],[Bukti]],Table13[#Data],11,FALSE),"")</f>
        <v/>
      </c>
    </row>
    <row r="3376" spans="1:9" hidden="1" x14ac:dyDescent="0.2">
      <c r="A3376" s="105" t="str">
        <f>IF(D3376=1,COUNTIF($D$10:D3376,1)," ")</f>
        <v xml:space="preserve"> </v>
      </c>
      <c r="B3376" s="106">
        <f>COPY!AR3368</f>
        <v>0</v>
      </c>
      <c r="C3376" s="107">
        <f>COPY!AC3368</f>
        <v>0</v>
      </c>
      <c r="D3376" s="107" t="str">
        <f>IF(LEN(Table1722[[#This Row],[Uraian]])&gt;2,1," ")</f>
        <v xml:space="preserve"> </v>
      </c>
      <c r="E3376" s="113" t="str">
        <f>IF(Table1722[[#This Row],[Lawan Transaksi]]="CV AGUNG KARYA",COUNTIF($I$10:I3376,"CV AGUNG KARYA")," ")</f>
        <v xml:space="preserve"> </v>
      </c>
      <c r="F3376" s="107" t="str">
        <f>IF(LEN(Table1722[[#This Row],[Uraian]])&gt;2,TRIM(RIGHT(SUBSTITUTE(TRIM(C3376)," ",REPT(" ",255)),255))," ")</f>
        <v xml:space="preserve"> </v>
      </c>
      <c r="G3376" s="110">
        <f>COPY!Z3368</f>
        <v>0</v>
      </c>
      <c r="H3376" s="111" t="str">
        <f>IFERROR(VLOOKUP(Table1722[[#This Row],[Bukti]],'Un nOTA'!$A$4:$K$5003,10,FALSE),"")</f>
        <v/>
      </c>
      <c r="I3376" s="123" t="str">
        <f>IFERROR(VLOOKUP(Table1722[[#This Row],[Bukti]],Table13[#Data],11,FALSE),"")</f>
        <v/>
      </c>
    </row>
    <row r="3377" spans="1:9" hidden="1" x14ac:dyDescent="0.2">
      <c r="A3377" s="105" t="str">
        <f>IF(D3377=1,COUNTIF($D$10:D3377,1)," ")</f>
        <v xml:space="preserve"> </v>
      </c>
      <c r="B3377" s="106">
        <f>COPY!AR3369</f>
        <v>0</v>
      </c>
      <c r="C3377" s="107">
        <f>COPY!AC3369</f>
        <v>0</v>
      </c>
      <c r="D3377" s="107" t="str">
        <f>IF(LEN(Table1722[[#This Row],[Uraian]])&gt;2,1," ")</f>
        <v xml:space="preserve"> </v>
      </c>
      <c r="E3377" s="113" t="str">
        <f>IF(Table1722[[#This Row],[Lawan Transaksi]]="CV AGUNG KARYA",COUNTIF($I$10:I3377,"CV AGUNG KARYA")," ")</f>
        <v xml:space="preserve"> </v>
      </c>
      <c r="F3377" s="107" t="str">
        <f>IF(LEN(Table1722[[#This Row],[Uraian]])&gt;2,TRIM(RIGHT(SUBSTITUTE(TRIM(C3377)," ",REPT(" ",255)),255))," ")</f>
        <v xml:space="preserve"> </v>
      </c>
      <c r="G3377" s="110">
        <f>COPY!Z3369</f>
        <v>0</v>
      </c>
      <c r="H3377" s="111" t="str">
        <f>IFERROR(VLOOKUP(Table1722[[#This Row],[Bukti]],'Un nOTA'!$A$4:$K$5003,10,FALSE),"")</f>
        <v/>
      </c>
      <c r="I3377" s="123" t="str">
        <f>IFERROR(VLOOKUP(Table1722[[#This Row],[Bukti]],Table13[#Data],11,FALSE),"")</f>
        <v/>
      </c>
    </row>
    <row r="3378" spans="1:9" hidden="1" x14ac:dyDescent="0.2">
      <c r="A3378" s="105" t="str">
        <f>IF(D3378=1,COUNTIF($D$10:D3378,1)," ")</f>
        <v xml:space="preserve"> </v>
      </c>
      <c r="B3378" s="106">
        <f>COPY!AR3370</f>
        <v>0</v>
      </c>
      <c r="C3378" s="107">
        <f>COPY!AC3370</f>
        <v>0</v>
      </c>
      <c r="D3378" s="107" t="str">
        <f>IF(LEN(Table1722[[#This Row],[Uraian]])&gt;2,1," ")</f>
        <v xml:space="preserve"> </v>
      </c>
      <c r="E3378" s="113" t="str">
        <f>IF(Table1722[[#This Row],[Lawan Transaksi]]="CV AGUNG KARYA",COUNTIF($I$10:I3378,"CV AGUNG KARYA")," ")</f>
        <v xml:space="preserve"> </v>
      </c>
      <c r="F3378" s="107" t="str">
        <f>IF(LEN(Table1722[[#This Row],[Uraian]])&gt;2,TRIM(RIGHT(SUBSTITUTE(TRIM(C3378)," ",REPT(" ",255)),255))," ")</f>
        <v xml:space="preserve"> </v>
      </c>
      <c r="G3378" s="110">
        <f>COPY!Z3370</f>
        <v>0</v>
      </c>
      <c r="H3378" s="111" t="str">
        <f>IFERROR(VLOOKUP(Table1722[[#This Row],[Bukti]],'Un nOTA'!$A$4:$K$5003,10,FALSE),"")</f>
        <v/>
      </c>
      <c r="I3378" s="123" t="str">
        <f>IFERROR(VLOOKUP(Table1722[[#This Row],[Bukti]],Table13[#Data],11,FALSE),"")</f>
        <v/>
      </c>
    </row>
    <row r="3379" spans="1:9" hidden="1" x14ac:dyDescent="0.2">
      <c r="A3379" s="105" t="str">
        <f>IF(D3379=1,COUNTIF($D$10:D3379,1)," ")</f>
        <v xml:space="preserve"> </v>
      </c>
      <c r="B3379" s="106">
        <f>COPY!AR3371</f>
        <v>0</v>
      </c>
      <c r="C3379" s="107">
        <f>COPY!AC3371</f>
        <v>0</v>
      </c>
      <c r="D3379" s="107" t="str">
        <f>IF(LEN(Table1722[[#This Row],[Uraian]])&gt;2,1," ")</f>
        <v xml:space="preserve"> </v>
      </c>
      <c r="E3379" s="113" t="str">
        <f>IF(Table1722[[#This Row],[Lawan Transaksi]]="CV AGUNG KARYA",COUNTIF($I$10:I3379,"CV AGUNG KARYA")," ")</f>
        <v xml:space="preserve"> </v>
      </c>
      <c r="F3379" s="107" t="str">
        <f>IF(LEN(Table1722[[#This Row],[Uraian]])&gt;2,TRIM(RIGHT(SUBSTITUTE(TRIM(C3379)," ",REPT(" ",255)),255))," ")</f>
        <v xml:space="preserve"> </v>
      </c>
      <c r="G3379" s="110">
        <f>COPY!Z3371</f>
        <v>0</v>
      </c>
      <c r="H3379" s="111" t="str">
        <f>IFERROR(VLOOKUP(Table1722[[#This Row],[Bukti]],'Un nOTA'!$A$4:$K$5003,10,FALSE),"")</f>
        <v/>
      </c>
      <c r="I3379" s="123" t="str">
        <f>IFERROR(VLOOKUP(Table1722[[#This Row],[Bukti]],Table13[#Data],11,FALSE),"")</f>
        <v/>
      </c>
    </row>
    <row r="3380" spans="1:9" hidden="1" x14ac:dyDescent="0.2">
      <c r="A3380" s="105" t="str">
        <f>IF(D3380=1,COUNTIF($D$10:D3380,1)," ")</f>
        <v xml:space="preserve"> </v>
      </c>
      <c r="B3380" s="106">
        <f>COPY!AR3372</f>
        <v>0</v>
      </c>
      <c r="C3380" s="107">
        <f>COPY!AC3372</f>
        <v>0</v>
      </c>
      <c r="D3380" s="107" t="str">
        <f>IF(LEN(Table1722[[#This Row],[Uraian]])&gt;2,1," ")</f>
        <v xml:space="preserve"> </v>
      </c>
      <c r="E3380" s="113" t="str">
        <f>IF(Table1722[[#This Row],[Lawan Transaksi]]="CV AGUNG KARYA",COUNTIF($I$10:I3380,"CV AGUNG KARYA")," ")</f>
        <v xml:space="preserve"> </v>
      </c>
      <c r="F3380" s="107" t="str">
        <f>IF(LEN(Table1722[[#This Row],[Uraian]])&gt;2,TRIM(RIGHT(SUBSTITUTE(TRIM(C3380)," ",REPT(" ",255)),255))," ")</f>
        <v xml:space="preserve"> </v>
      </c>
      <c r="G3380" s="110">
        <f>COPY!Z3372</f>
        <v>0</v>
      </c>
      <c r="H3380" s="111" t="str">
        <f>IFERROR(VLOOKUP(Table1722[[#This Row],[Bukti]],'Un nOTA'!$A$4:$K$5003,10,FALSE),"")</f>
        <v/>
      </c>
      <c r="I3380" s="123" t="str">
        <f>IFERROR(VLOOKUP(Table1722[[#This Row],[Bukti]],Table13[#Data],11,FALSE),"")</f>
        <v/>
      </c>
    </row>
    <row r="3381" spans="1:9" hidden="1" x14ac:dyDescent="0.2">
      <c r="A3381" s="105" t="str">
        <f>IF(D3381=1,COUNTIF($D$10:D3381,1)," ")</f>
        <v xml:space="preserve"> </v>
      </c>
      <c r="B3381" s="106">
        <f>COPY!AR3373</f>
        <v>0</v>
      </c>
      <c r="C3381" s="107">
        <f>COPY!AC3373</f>
        <v>0</v>
      </c>
      <c r="D3381" s="107" t="str">
        <f>IF(LEN(Table1722[[#This Row],[Uraian]])&gt;2,1," ")</f>
        <v xml:space="preserve"> </v>
      </c>
      <c r="E3381" s="113" t="str">
        <f>IF(Table1722[[#This Row],[Lawan Transaksi]]="CV AGUNG KARYA",COUNTIF($I$10:I3381,"CV AGUNG KARYA")," ")</f>
        <v xml:space="preserve"> </v>
      </c>
      <c r="F3381" s="107" t="str">
        <f>IF(LEN(Table1722[[#This Row],[Uraian]])&gt;2,TRIM(RIGHT(SUBSTITUTE(TRIM(C3381)," ",REPT(" ",255)),255))," ")</f>
        <v xml:space="preserve"> </v>
      </c>
      <c r="G3381" s="110">
        <f>COPY!Z3373</f>
        <v>0</v>
      </c>
      <c r="H3381" s="111" t="str">
        <f>IFERROR(VLOOKUP(Table1722[[#This Row],[Bukti]],'Un nOTA'!$A$4:$K$5003,10,FALSE),"")</f>
        <v/>
      </c>
      <c r="I3381" s="123" t="str">
        <f>IFERROR(VLOOKUP(Table1722[[#This Row],[Bukti]],Table13[#Data],11,FALSE),"")</f>
        <v/>
      </c>
    </row>
    <row r="3382" spans="1:9" hidden="1" x14ac:dyDescent="0.2">
      <c r="A3382" s="105" t="str">
        <f>IF(D3382=1,COUNTIF($D$10:D3382,1)," ")</f>
        <v xml:space="preserve"> </v>
      </c>
      <c r="B3382" s="106">
        <f>COPY!AR3374</f>
        <v>0</v>
      </c>
      <c r="C3382" s="107">
        <f>COPY!AC3374</f>
        <v>0</v>
      </c>
      <c r="D3382" s="107" t="str">
        <f>IF(LEN(Table1722[[#This Row],[Uraian]])&gt;2,1," ")</f>
        <v xml:space="preserve"> </v>
      </c>
      <c r="E3382" s="113" t="str">
        <f>IF(Table1722[[#This Row],[Lawan Transaksi]]="CV AGUNG KARYA",COUNTIF($I$10:I3382,"CV AGUNG KARYA")," ")</f>
        <v xml:space="preserve"> </v>
      </c>
      <c r="F3382" s="107" t="str">
        <f>IF(LEN(Table1722[[#This Row],[Uraian]])&gt;2,TRIM(RIGHT(SUBSTITUTE(TRIM(C3382)," ",REPT(" ",255)),255))," ")</f>
        <v xml:space="preserve"> </v>
      </c>
      <c r="G3382" s="110">
        <f>COPY!Z3374</f>
        <v>0</v>
      </c>
      <c r="H3382" s="111" t="str">
        <f>IFERROR(VLOOKUP(Table1722[[#This Row],[Bukti]],'Un nOTA'!$A$4:$K$5003,10,FALSE),"")</f>
        <v/>
      </c>
      <c r="I3382" s="123" t="str">
        <f>IFERROR(VLOOKUP(Table1722[[#This Row],[Bukti]],Table13[#Data],11,FALSE),"")</f>
        <v/>
      </c>
    </row>
    <row r="3383" spans="1:9" hidden="1" x14ac:dyDescent="0.2">
      <c r="A3383" s="105" t="str">
        <f>IF(D3383=1,COUNTIF($D$10:D3383,1)," ")</f>
        <v xml:space="preserve"> </v>
      </c>
      <c r="B3383" s="106">
        <f>COPY!AR3375</f>
        <v>0</v>
      </c>
      <c r="C3383" s="107">
        <f>COPY!AC3375</f>
        <v>0</v>
      </c>
      <c r="D3383" s="107" t="str">
        <f>IF(LEN(Table1722[[#This Row],[Uraian]])&gt;2,1," ")</f>
        <v xml:space="preserve"> </v>
      </c>
      <c r="E3383" s="113" t="str">
        <f>IF(Table1722[[#This Row],[Lawan Transaksi]]="CV AGUNG KARYA",COUNTIF($I$10:I3383,"CV AGUNG KARYA")," ")</f>
        <v xml:space="preserve"> </v>
      </c>
      <c r="F3383" s="107" t="str">
        <f>IF(LEN(Table1722[[#This Row],[Uraian]])&gt;2,TRIM(RIGHT(SUBSTITUTE(TRIM(C3383)," ",REPT(" ",255)),255))," ")</f>
        <v xml:space="preserve"> </v>
      </c>
      <c r="G3383" s="110">
        <f>COPY!Z3375</f>
        <v>0</v>
      </c>
      <c r="H3383" s="111" t="str">
        <f>IFERROR(VLOOKUP(Table1722[[#This Row],[Bukti]],'Un nOTA'!$A$4:$K$5003,10,FALSE),"")</f>
        <v/>
      </c>
      <c r="I3383" s="123" t="str">
        <f>IFERROR(VLOOKUP(Table1722[[#This Row],[Bukti]],Table13[#Data],11,FALSE),"")</f>
        <v/>
      </c>
    </row>
    <row r="3384" spans="1:9" hidden="1" x14ac:dyDescent="0.2">
      <c r="A3384" s="105" t="str">
        <f>IF(D3384=1,COUNTIF($D$10:D3384,1)," ")</f>
        <v xml:space="preserve"> </v>
      </c>
      <c r="B3384" s="106">
        <f>COPY!AR3376</f>
        <v>0</v>
      </c>
      <c r="C3384" s="107">
        <f>COPY!AC3376</f>
        <v>0</v>
      </c>
      <c r="D3384" s="107" t="str">
        <f>IF(LEN(Table1722[[#This Row],[Uraian]])&gt;2,1," ")</f>
        <v xml:space="preserve"> </v>
      </c>
      <c r="E3384" s="113" t="str">
        <f>IF(Table1722[[#This Row],[Lawan Transaksi]]="CV AGUNG KARYA",COUNTIF($I$10:I3384,"CV AGUNG KARYA")," ")</f>
        <v xml:space="preserve"> </v>
      </c>
      <c r="F3384" s="107" t="str">
        <f>IF(LEN(Table1722[[#This Row],[Uraian]])&gt;2,TRIM(RIGHT(SUBSTITUTE(TRIM(C3384)," ",REPT(" ",255)),255))," ")</f>
        <v xml:space="preserve"> </v>
      </c>
      <c r="G3384" s="110">
        <f>COPY!Z3376</f>
        <v>0</v>
      </c>
      <c r="H3384" s="111" t="str">
        <f>IFERROR(VLOOKUP(Table1722[[#This Row],[Bukti]],'Un nOTA'!$A$4:$K$5003,10,FALSE),"")</f>
        <v/>
      </c>
      <c r="I3384" s="123" t="str">
        <f>IFERROR(VLOOKUP(Table1722[[#This Row],[Bukti]],Table13[#Data],11,FALSE),"")</f>
        <v/>
      </c>
    </row>
    <row r="3385" spans="1:9" hidden="1" x14ac:dyDescent="0.2">
      <c r="A3385" s="105" t="str">
        <f>IF(D3385=1,COUNTIF($D$10:D3385,1)," ")</f>
        <v xml:space="preserve"> </v>
      </c>
      <c r="B3385" s="106">
        <f>COPY!AR3377</f>
        <v>0</v>
      </c>
      <c r="C3385" s="107">
        <f>COPY!AC3377</f>
        <v>0</v>
      </c>
      <c r="D3385" s="107" t="str">
        <f>IF(LEN(Table1722[[#This Row],[Uraian]])&gt;2,1," ")</f>
        <v xml:space="preserve"> </v>
      </c>
      <c r="E3385" s="113" t="str">
        <f>IF(Table1722[[#This Row],[Lawan Transaksi]]="CV AGUNG KARYA",COUNTIF($I$10:I3385,"CV AGUNG KARYA")," ")</f>
        <v xml:space="preserve"> </v>
      </c>
      <c r="F3385" s="107" t="str">
        <f>IF(LEN(Table1722[[#This Row],[Uraian]])&gt;2,TRIM(RIGHT(SUBSTITUTE(TRIM(C3385)," ",REPT(" ",255)),255))," ")</f>
        <v xml:space="preserve"> </v>
      </c>
      <c r="G3385" s="110">
        <f>COPY!Z3377</f>
        <v>0</v>
      </c>
      <c r="H3385" s="111" t="str">
        <f>IFERROR(VLOOKUP(Table1722[[#This Row],[Bukti]],'Un nOTA'!$A$4:$K$5003,10,FALSE),"")</f>
        <v/>
      </c>
      <c r="I3385" s="123" t="str">
        <f>IFERROR(VLOOKUP(Table1722[[#This Row],[Bukti]],Table13[#Data],11,FALSE),"")</f>
        <v/>
      </c>
    </row>
    <row r="3386" spans="1:9" hidden="1" x14ac:dyDescent="0.2">
      <c r="A3386" s="105" t="str">
        <f>IF(D3386=1,COUNTIF($D$10:D3386,1)," ")</f>
        <v xml:space="preserve"> </v>
      </c>
      <c r="B3386" s="106">
        <f>COPY!AR3378</f>
        <v>0</v>
      </c>
      <c r="C3386" s="107">
        <f>COPY!AC3378</f>
        <v>0</v>
      </c>
      <c r="D3386" s="107" t="str">
        <f>IF(LEN(Table1722[[#This Row],[Uraian]])&gt;2,1," ")</f>
        <v xml:space="preserve"> </v>
      </c>
      <c r="E3386" s="113" t="str">
        <f>IF(Table1722[[#This Row],[Lawan Transaksi]]="CV AGUNG KARYA",COUNTIF($I$10:I3386,"CV AGUNG KARYA")," ")</f>
        <v xml:space="preserve"> </v>
      </c>
      <c r="F3386" s="107" t="str">
        <f>IF(LEN(Table1722[[#This Row],[Uraian]])&gt;2,TRIM(RIGHT(SUBSTITUTE(TRIM(C3386)," ",REPT(" ",255)),255))," ")</f>
        <v xml:space="preserve"> </v>
      </c>
      <c r="G3386" s="110">
        <f>COPY!Z3378</f>
        <v>0</v>
      </c>
      <c r="H3386" s="111" t="str">
        <f>IFERROR(VLOOKUP(Table1722[[#This Row],[Bukti]],'Un nOTA'!$A$4:$K$5003,10,FALSE),"")</f>
        <v/>
      </c>
      <c r="I3386" s="123" t="str">
        <f>IFERROR(VLOOKUP(Table1722[[#This Row],[Bukti]],Table13[#Data],11,FALSE),"")</f>
        <v/>
      </c>
    </row>
    <row r="3387" spans="1:9" hidden="1" x14ac:dyDescent="0.2">
      <c r="A3387" s="105" t="str">
        <f>IF(D3387=1,COUNTIF($D$10:D3387,1)," ")</f>
        <v xml:space="preserve"> </v>
      </c>
      <c r="B3387" s="106">
        <f>COPY!AR3379</f>
        <v>0</v>
      </c>
      <c r="C3387" s="107">
        <f>COPY!AC3379</f>
        <v>0</v>
      </c>
      <c r="D3387" s="107" t="str">
        <f>IF(LEN(Table1722[[#This Row],[Uraian]])&gt;2,1," ")</f>
        <v xml:space="preserve"> </v>
      </c>
      <c r="E3387" s="113" t="str">
        <f>IF(Table1722[[#This Row],[Lawan Transaksi]]="CV AGUNG KARYA",COUNTIF($I$10:I3387,"CV AGUNG KARYA")," ")</f>
        <v xml:space="preserve"> </v>
      </c>
      <c r="F3387" s="107" t="str">
        <f>IF(LEN(Table1722[[#This Row],[Uraian]])&gt;2,TRIM(RIGHT(SUBSTITUTE(TRIM(C3387)," ",REPT(" ",255)),255))," ")</f>
        <v xml:space="preserve"> </v>
      </c>
      <c r="G3387" s="110">
        <f>COPY!Z3379</f>
        <v>0</v>
      </c>
      <c r="H3387" s="111" t="str">
        <f>IFERROR(VLOOKUP(Table1722[[#This Row],[Bukti]],'Un nOTA'!$A$4:$K$5003,10,FALSE),"")</f>
        <v/>
      </c>
      <c r="I3387" s="123" t="str">
        <f>IFERROR(VLOOKUP(Table1722[[#This Row],[Bukti]],Table13[#Data],11,FALSE),"")</f>
        <v/>
      </c>
    </row>
    <row r="3388" spans="1:9" hidden="1" x14ac:dyDescent="0.2">
      <c r="A3388" s="105" t="str">
        <f>IF(D3388=1,COUNTIF($D$10:D3388,1)," ")</f>
        <v xml:space="preserve"> </v>
      </c>
      <c r="B3388" s="106">
        <f>COPY!AR3380</f>
        <v>0</v>
      </c>
      <c r="C3388" s="107">
        <f>COPY!AC3380</f>
        <v>0</v>
      </c>
      <c r="D3388" s="107" t="str">
        <f>IF(LEN(Table1722[[#This Row],[Uraian]])&gt;2,1," ")</f>
        <v xml:space="preserve"> </v>
      </c>
      <c r="E3388" s="113" t="str">
        <f>IF(Table1722[[#This Row],[Lawan Transaksi]]="CV AGUNG KARYA",COUNTIF($I$10:I3388,"CV AGUNG KARYA")," ")</f>
        <v xml:space="preserve"> </v>
      </c>
      <c r="F3388" s="107" t="str">
        <f>IF(LEN(Table1722[[#This Row],[Uraian]])&gt;2,TRIM(RIGHT(SUBSTITUTE(TRIM(C3388)," ",REPT(" ",255)),255))," ")</f>
        <v xml:space="preserve"> </v>
      </c>
      <c r="G3388" s="110">
        <f>COPY!Z3380</f>
        <v>0</v>
      </c>
      <c r="H3388" s="111" t="str">
        <f>IFERROR(VLOOKUP(Table1722[[#This Row],[Bukti]],'Un nOTA'!$A$4:$K$5003,10,FALSE),"")</f>
        <v/>
      </c>
      <c r="I3388" s="123" t="str">
        <f>IFERROR(VLOOKUP(Table1722[[#This Row],[Bukti]],Table13[#Data],11,FALSE),"")</f>
        <v/>
      </c>
    </row>
    <row r="3389" spans="1:9" hidden="1" x14ac:dyDescent="0.2">
      <c r="A3389" s="105" t="str">
        <f>IF(D3389=1,COUNTIF($D$10:D3389,1)," ")</f>
        <v xml:space="preserve"> </v>
      </c>
      <c r="B3389" s="106">
        <f>COPY!AR3381</f>
        <v>0</v>
      </c>
      <c r="C3389" s="107">
        <f>COPY!AC3381</f>
        <v>0</v>
      </c>
      <c r="D3389" s="107" t="str">
        <f>IF(LEN(Table1722[[#This Row],[Uraian]])&gt;2,1," ")</f>
        <v xml:space="preserve"> </v>
      </c>
      <c r="E3389" s="113" t="str">
        <f>IF(Table1722[[#This Row],[Lawan Transaksi]]="CV AGUNG KARYA",COUNTIF($I$10:I3389,"CV AGUNG KARYA")," ")</f>
        <v xml:space="preserve"> </v>
      </c>
      <c r="F3389" s="107" t="str">
        <f>IF(LEN(Table1722[[#This Row],[Uraian]])&gt;2,TRIM(RIGHT(SUBSTITUTE(TRIM(C3389)," ",REPT(" ",255)),255))," ")</f>
        <v xml:space="preserve"> </v>
      </c>
      <c r="G3389" s="110">
        <f>COPY!Z3381</f>
        <v>0</v>
      </c>
      <c r="H3389" s="111" t="str">
        <f>IFERROR(VLOOKUP(Table1722[[#This Row],[Bukti]],'Un nOTA'!$A$4:$K$5003,10,FALSE),"")</f>
        <v/>
      </c>
      <c r="I3389" s="123" t="str">
        <f>IFERROR(VLOOKUP(Table1722[[#This Row],[Bukti]],Table13[#Data],11,FALSE),"")</f>
        <v/>
      </c>
    </row>
    <row r="3390" spans="1:9" hidden="1" x14ac:dyDescent="0.2">
      <c r="A3390" s="105" t="str">
        <f>IF(D3390=1,COUNTIF($D$10:D3390,1)," ")</f>
        <v xml:space="preserve"> </v>
      </c>
      <c r="B3390" s="106">
        <f>COPY!AR3382</f>
        <v>0</v>
      </c>
      <c r="C3390" s="107">
        <f>COPY!AC3382</f>
        <v>0</v>
      </c>
      <c r="D3390" s="107" t="str">
        <f>IF(LEN(Table1722[[#This Row],[Uraian]])&gt;2,1," ")</f>
        <v xml:space="preserve"> </v>
      </c>
      <c r="E3390" s="113" t="str">
        <f>IF(Table1722[[#This Row],[Lawan Transaksi]]="CV AGUNG KARYA",COUNTIF($I$10:I3390,"CV AGUNG KARYA")," ")</f>
        <v xml:space="preserve"> </v>
      </c>
      <c r="F3390" s="107" t="str">
        <f>IF(LEN(Table1722[[#This Row],[Uraian]])&gt;2,TRIM(RIGHT(SUBSTITUTE(TRIM(C3390)," ",REPT(" ",255)),255))," ")</f>
        <v xml:space="preserve"> </v>
      </c>
      <c r="G3390" s="110">
        <f>COPY!Z3382</f>
        <v>0</v>
      </c>
      <c r="H3390" s="111" t="str">
        <f>IFERROR(VLOOKUP(Table1722[[#This Row],[Bukti]],'Un nOTA'!$A$4:$K$5003,10,FALSE),"")</f>
        <v/>
      </c>
      <c r="I3390" s="123" t="str">
        <f>IFERROR(VLOOKUP(Table1722[[#This Row],[Bukti]],Table13[#Data],11,FALSE),"")</f>
        <v/>
      </c>
    </row>
    <row r="3391" spans="1:9" hidden="1" x14ac:dyDescent="0.2">
      <c r="A3391" s="105" t="str">
        <f>IF(D3391=1,COUNTIF($D$10:D3391,1)," ")</f>
        <v xml:space="preserve"> </v>
      </c>
      <c r="B3391" s="106">
        <f>COPY!AR3383</f>
        <v>0</v>
      </c>
      <c r="C3391" s="107">
        <f>COPY!AC3383</f>
        <v>0</v>
      </c>
      <c r="D3391" s="107" t="str">
        <f>IF(LEN(Table1722[[#This Row],[Uraian]])&gt;2,1," ")</f>
        <v xml:space="preserve"> </v>
      </c>
      <c r="E3391" s="113" t="str">
        <f>IF(Table1722[[#This Row],[Lawan Transaksi]]="CV AGUNG KARYA",COUNTIF($I$10:I3391,"CV AGUNG KARYA")," ")</f>
        <v xml:space="preserve"> </v>
      </c>
      <c r="F3391" s="107" t="str">
        <f>IF(LEN(Table1722[[#This Row],[Uraian]])&gt;2,TRIM(RIGHT(SUBSTITUTE(TRIM(C3391)," ",REPT(" ",255)),255))," ")</f>
        <v xml:space="preserve"> </v>
      </c>
      <c r="G3391" s="110">
        <f>COPY!Z3383</f>
        <v>0</v>
      </c>
      <c r="H3391" s="111" t="str">
        <f>IFERROR(VLOOKUP(Table1722[[#This Row],[Bukti]],'Un nOTA'!$A$4:$K$5003,10,FALSE),"")</f>
        <v/>
      </c>
      <c r="I3391" s="123" t="str">
        <f>IFERROR(VLOOKUP(Table1722[[#This Row],[Bukti]],Table13[#Data],11,FALSE),"")</f>
        <v/>
      </c>
    </row>
    <row r="3392" spans="1:9" hidden="1" x14ac:dyDescent="0.2">
      <c r="A3392" s="105" t="str">
        <f>IF(D3392=1,COUNTIF($D$10:D3392,1)," ")</f>
        <v xml:space="preserve"> </v>
      </c>
      <c r="B3392" s="106">
        <f>COPY!AR3384</f>
        <v>0</v>
      </c>
      <c r="C3392" s="107">
        <f>COPY!AC3384</f>
        <v>0</v>
      </c>
      <c r="D3392" s="107" t="str">
        <f>IF(LEN(Table1722[[#This Row],[Uraian]])&gt;2,1," ")</f>
        <v xml:space="preserve"> </v>
      </c>
      <c r="E3392" s="113" t="str">
        <f>IF(Table1722[[#This Row],[Lawan Transaksi]]="CV AGUNG KARYA",COUNTIF($I$10:I3392,"CV AGUNG KARYA")," ")</f>
        <v xml:space="preserve"> </v>
      </c>
      <c r="F3392" s="107" t="str">
        <f>IF(LEN(Table1722[[#This Row],[Uraian]])&gt;2,TRIM(RIGHT(SUBSTITUTE(TRIM(C3392)," ",REPT(" ",255)),255))," ")</f>
        <v xml:space="preserve"> </v>
      </c>
      <c r="G3392" s="110">
        <f>COPY!Z3384</f>
        <v>0</v>
      </c>
      <c r="H3392" s="111" t="str">
        <f>IFERROR(VLOOKUP(Table1722[[#This Row],[Bukti]],'Un nOTA'!$A$4:$K$5003,10,FALSE),"")</f>
        <v/>
      </c>
      <c r="I3392" s="123" t="str">
        <f>IFERROR(VLOOKUP(Table1722[[#This Row],[Bukti]],Table13[#Data],11,FALSE),"")</f>
        <v/>
      </c>
    </row>
    <row r="3393" spans="1:9" hidden="1" x14ac:dyDescent="0.2">
      <c r="A3393" s="105" t="str">
        <f>IF(D3393=1,COUNTIF($D$10:D3393,1)," ")</f>
        <v xml:space="preserve"> </v>
      </c>
      <c r="B3393" s="106">
        <f>COPY!AR3385</f>
        <v>0</v>
      </c>
      <c r="C3393" s="107">
        <f>COPY!AC3385</f>
        <v>0</v>
      </c>
      <c r="D3393" s="107" t="str">
        <f>IF(LEN(Table1722[[#This Row],[Uraian]])&gt;2,1," ")</f>
        <v xml:space="preserve"> </v>
      </c>
      <c r="E3393" s="113" t="str">
        <f>IF(Table1722[[#This Row],[Lawan Transaksi]]="CV AGUNG KARYA",COUNTIF($I$10:I3393,"CV AGUNG KARYA")," ")</f>
        <v xml:space="preserve"> </v>
      </c>
      <c r="F3393" s="107" t="str">
        <f>IF(LEN(Table1722[[#This Row],[Uraian]])&gt;2,TRIM(RIGHT(SUBSTITUTE(TRIM(C3393)," ",REPT(" ",255)),255))," ")</f>
        <v xml:space="preserve"> </v>
      </c>
      <c r="G3393" s="110">
        <f>COPY!Z3385</f>
        <v>0</v>
      </c>
      <c r="H3393" s="111" t="str">
        <f>IFERROR(VLOOKUP(Table1722[[#This Row],[Bukti]],'Un nOTA'!$A$4:$K$5003,10,FALSE),"")</f>
        <v/>
      </c>
      <c r="I3393" s="123" t="str">
        <f>IFERROR(VLOOKUP(Table1722[[#This Row],[Bukti]],Table13[#Data],11,FALSE),"")</f>
        <v/>
      </c>
    </row>
    <row r="3394" spans="1:9" hidden="1" x14ac:dyDescent="0.2">
      <c r="A3394" s="105" t="str">
        <f>IF(D3394=1,COUNTIF($D$10:D3394,1)," ")</f>
        <v xml:space="preserve"> </v>
      </c>
      <c r="B3394" s="106">
        <f>COPY!AR3386</f>
        <v>0</v>
      </c>
      <c r="C3394" s="107">
        <f>COPY!AC3386</f>
        <v>0</v>
      </c>
      <c r="D3394" s="107" t="str">
        <f>IF(LEN(Table1722[[#This Row],[Uraian]])&gt;2,1," ")</f>
        <v xml:space="preserve"> </v>
      </c>
      <c r="E3394" s="113" t="str">
        <f>IF(Table1722[[#This Row],[Lawan Transaksi]]="CV AGUNG KARYA",COUNTIF($I$10:I3394,"CV AGUNG KARYA")," ")</f>
        <v xml:space="preserve"> </v>
      </c>
      <c r="F3394" s="107" t="str">
        <f>IF(LEN(Table1722[[#This Row],[Uraian]])&gt;2,TRIM(RIGHT(SUBSTITUTE(TRIM(C3394)," ",REPT(" ",255)),255))," ")</f>
        <v xml:space="preserve"> </v>
      </c>
      <c r="G3394" s="110">
        <f>COPY!Z3386</f>
        <v>0</v>
      </c>
      <c r="H3394" s="111" t="str">
        <f>IFERROR(VLOOKUP(Table1722[[#This Row],[Bukti]],'Un nOTA'!$A$4:$K$5003,10,FALSE),"")</f>
        <v/>
      </c>
      <c r="I3394" s="123" t="str">
        <f>IFERROR(VLOOKUP(Table1722[[#This Row],[Bukti]],Table13[#Data],11,FALSE),"")</f>
        <v/>
      </c>
    </row>
    <row r="3395" spans="1:9" hidden="1" x14ac:dyDescent="0.2">
      <c r="A3395" s="105" t="str">
        <f>IF(D3395=1,COUNTIF($D$10:D3395,1)," ")</f>
        <v xml:space="preserve"> </v>
      </c>
      <c r="B3395" s="106">
        <f>COPY!AR3387</f>
        <v>0</v>
      </c>
      <c r="C3395" s="107">
        <f>COPY!AC3387</f>
        <v>0</v>
      </c>
      <c r="D3395" s="107" t="str">
        <f>IF(LEN(Table1722[[#This Row],[Uraian]])&gt;2,1," ")</f>
        <v xml:space="preserve"> </v>
      </c>
      <c r="E3395" s="113" t="str">
        <f>IF(Table1722[[#This Row],[Lawan Transaksi]]="CV AGUNG KARYA",COUNTIF($I$10:I3395,"CV AGUNG KARYA")," ")</f>
        <v xml:space="preserve"> </v>
      </c>
      <c r="F3395" s="107" t="str">
        <f>IF(LEN(Table1722[[#This Row],[Uraian]])&gt;2,TRIM(RIGHT(SUBSTITUTE(TRIM(C3395)," ",REPT(" ",255)),255))," ")</f>
        <v xml:space="preserve"> </v>
      </c>
      <c r="G3395" s="110">
        <f>COPY!Z3387</f>
        <v>0</v>
      </c>
      <c r="H3395" s="111" t="str">
        <f>IFERROR(VLOOKUP(Table1722[[#This Row],[Bukti]],'Un nOTA'!$A$4:$K$5003,10,FALSE),"")</f>
        <v/>
      </c>
      <c r="I3395" s="123" t="str">
        <f>IFERROR(VLOOKUP(Table1722[[#This Row],[Bukti]],Table13[#Data],11,FALSE),"")</f>
        <v/>
      </c>
    </row>
    <row r="3396" spans="1:9" hidden="1" x14ac:dyDescent="0.2">
      <c r="A3396" s="105" t="str">
        <f>IF(D3396=1,COUNTIF($D$10:D3396,1)," ")</f>
        <v xml:space="preserve"> </v>
      </c>
      <c r="B3396" s="106">
        <f>COPY!AR3388</f>
        <v>0</v>
      </c>
      <c r="C3396" s="107">
        <f>COPY!AC3388</f>
        <v>0</v>
      </c>
      <c r="D3396" s="107" t="str">
        <f>IF(LEN(Table1722[[#This Row],[Uraian]])&gt;2,1," ")</f>
        <v xml:space="preserve"> </v>
      </c>
      <c r="E3396" s="113" t="str">
        <f>IF(Table1722[[#This Row],[Lawan Transaksi]]="CV AGUNG KARYA",COUNTIF($I$10:I3396,"CV AGUNG KARYA")," ")</f>
        <v xml:space="preserve"> </v>
      </c>
      <c r="F3396" s="107" t="str">
        <f>IF(LEN(Table1722[[#This Row],[Uraian]])&gt;2,TRIM(RIGHT(SUBSTITUTE(TRIM(C3396)," ",REPT(" ",255)),255))," ")</f>
        <v xml:space="preserve"> </v>
      </c>
      <c r="G3396" s="110">
        <f>COPY!Z3388</f>
        <v>0</v>
      </c>
      <c r="H3396" s="111" t="str">
        <f>IFERROR(VLOOKUP(Table1722[[#This Row],[Bukti]],'Un nOTA'!$A$4:$K$5003,10,FALSE),"")</f>
        <v/>
      </c>
      <c r="I3396" s="123" t="str">
        <f>IFERROR(VLOOKUP(Table1722[[#This Row],[Bukti]],Table13[#Data],11,FALSE),"")</f>
        <v/>
      </c>
    </row>
    <row r="3397" spans="1:9" hidden="1" x14ac:dyDescent="0.2">
      <c r="A3397" s="105" t="str">
        <f>IF(D3397=1,COUNTIF($D$10:D3397,1)," ")</f>
        <v xml:space="preserve"> </v>
      </c>
      <c r="B3397" s="106">
        <f>COPY!AR3389</f>
        <v>0</v>
      </c>
      <c r="C3397" s="107">
        <f>COPY!AC3389</f>
        <v>0</v>
      </c>
      <c r="D3397" s="107" t="str">
        <f>IF(LEN(Table1722[[#This Row],[Uraian]])&gt;2,1," ")</f>
        <v xml:space="preserve"> </v>
      </c>
      <c r="E3397" s="113" t="str">
        <f>IF(Table1722[[#This Row],[Lawan Transaksi]]="CV AGUNG KARYA",COUNTIF($I$10:I3397,"CV AGUNG KARYA")," ")</f>
        <v xml:space="preserve"> </v>
      </c>
      <c r="F3397" s="107" t="str">
        <f>IF(LEN(Table1722[[#This Row],[Uraian]])&gt;2,TRIM(RIGHT(SUBSTITUTE(TRIM(C3397)," ",REPT(" ",255)),255))," ")</f>
        <v xml:space="preserve"> </v>
      </c>
      <c r="G3397" s="110">
        <f>COPY!Z3389</f>
        <v>0</v>
      </c>
      <c r="H3397" s="111" t="str">
        <f>IFERROR(VLOOKUP(Table1722[[#This Row],[Bukti]],'Un nOTA'!$A$4:$K$5003,10,FALSE),"")</f>
        <v/>
      </c>
      <c r="I3397" s="123" t="str">
        <f>IFERROR(VLOOKUP(Table1722[[#This Row],[Bukti]],Table13[#Data],11,FALSE),"")</f>
        <v/>
      </c>
    </row>
    <row r="3398" spans="1:9" hidden="1" x14ac:dyDescent="0.2">
      <c r="A3398" s="105" t="str">
        <f>IF(D3398=1,COUNTIF($D$10:D3398,1)," ")</f>
        <v xml:space="preserve"> </v>
      </c>
      <c r="B3398" s="106">
        <f>COPY!AR3390</f>
        <v>0</v>
      </c>
      <c r="C3398" s="107">
        <f>COPY!AC3390</f>
        <v>0</v>
      </c>
      <c r="D3398" s="107" t="str">
        <f>IF(LEN(Table1722[[#This Row],[Uraian]])&gt;2,1," ")</f>
        <v xml:space="preserve"> </v>
      </c>
      <c r="E3398" s="113" t="str">
        <f>IF(Table1722[[#This Row],[Lawan Transaksi]]="CV AGUNG KARYA",COUNTIF($I$10:I3398,"CV AGUNG KARYA")," ")</f>
        <v xml:space="preserve"> </v>
      </c>
      <c r="F3398" s="107" t="str">
        <f>IF(LEN(Table1722[[#This Row],[Uraian]])&gt;2,TRIM(RIGHT(SUBSTITUTE(TRIM(C3398)," ",REPT(" ",255)),255))," ")</f>
        <v xml:space="preserve"> </v>
      </c>
      <c r="G3398" s="110">
        <f>COPY!Z3390</f>
        <v>0</v>
      </c>
      <c r="H3398" s="111" t="str">
        <f>IFERROR(VLOOKUP(Table1722[[#This Row],[Bukti]],'Un nOTA'!$A$4:$K$5003,10,FALSE),"")</f>
        <v/>
      </c>
      <c r="I3398" s="123" t="str">
        <f>IFERROR(VLOOKUP(Table1722[[#This Row],[Bukti]],Table13[#Data],11,FALSE),"")</f>
        <v/>
      </c>
    </row>
    <row r="3399" spans="1:9" hidden="1" x14ac:dyDescent="0.2">
      <c r="A3399" s="105" t="str">
        <f>IF(D3399=1,COUNTIF($D$10:D3399,1)," ")</f>
        <v xml:space="preserve"> </v>
      </c>
      <c r="B3399" s="106">
        <f>COPY!AR3391</f>
        <v>0</v>
      </c>
      <c r="C3399" s="107">
        <f>COPY!AC3391</f>
        <v>0</v>
      </c>
      <c r="D3399" s="107" t="str">
        <f>IF(LEN(Table1722[[#This Row],[Uraian]])&gt;2,1," ")</f>
        <v xml:space="preserve"> </v>
      </c>
      <c r="E3399" s="113" t="str">
        <f>IF(Table1722[[#This Row],[Lawan Transaksi]]="CV AGUNG KARYA",COUNTIF($I$10:I3399,"CV AGUNG KARYA")," ")</f>
        <v xml:space="preserve"> </v>
      </c>
      <c r="F3399" s="107" t="str">
        <f>IF(LEN(Table1722[[#This Row],[Uraian]])&gt;2,TRIM(RIGHT(SUBSTITUTE(TRIM(C3399)," ",REPT(" ",255)),255))," ")</f>
        <v xml:space="preserve"> </v>
      </c>
      <c r="G3399" s="110">
        <f>COPY!Z3391</f>
        <v>0</v>
      </c>
      <c r="H3399" s="111" t="str">
        <f>IFERROR(VLOOKUP(Table1722[[#This Row],[Bukti]],'Un nOTA'!$A$4:$K$5003,10,FALSE),"")</f>
        <v/>
      </c>
      <c r="I3399" s="123" t="str">
        <f>IFERROR(VLOOKUP(Table1722[[#This Row],[Bukti]],Table13[#Data],11,FALSE),"")</f>
        <v/>
      </c>
    </row>
    <row r="3400" spans="1:9" hidden="1" x14ac:dyDescent="0.2">
      <c r="A3400" s="105" t="str">
        <f>IF(D3400=1,COUNTIF($D$10:D3400,1)," ")</f>
        <v xml:space="preserve"> </v>
      </c>
      <c r="B3400" s="106">
        <f>COPY!AR3392</f>
        <v>0</v>
      </c>
      <c r="C3400" s="107">
        <f>COPY!AC3392</f>
        <v>0</v>
      </c>
      <c r="D3400" s="107" t="str">
        <f>IF(LEN(Table1722[[#This Row],[Uraian]])&gt;2,1," ")</f>
        <v xml:space="preserve"> </v>
      </c>
      <c r="E3400" s="113" t="str">
        <f>IF(Table1722[[#This Row],[Lawan Transaksi]]="CV AGUNG KARYA",COUNTIF($I$10:I3400,"CV AGUNG KARYA")," ")</f>
        <v xml:space="preserve"> </v>
      </c>
      <c r="F3400" s="107" t="str">
        <f>IF(LEN(Table1722[[#This Row],[Uraian]])&gt;2,TRIM(RIGHT(SUBSTITUTE(TRIM(C3400)," ",REPT(" ",255)),255))," ")</f>
        <v xml:space="preserve"> </v>
      </c>
      <c r="G3400" s="110">
        <f>COPY!Z3392</f>
        <v>0</v>
      </c>
      <c r="H3400" s="111" t="str">
        <f>IFERROR(VLOOKUP(Table1722[[#This Row],[Bukti]],'Un nOTA'!$A$4:$K$5003,10,FALSE),"")</f>
        <v/>
      </c>
      <c r="I3400" s="123" t="str">
        <f>IFERROR(VLOOKUP(Table1722[[#This Row],[Bukti]],Table13[#Data],11,FALSE),"")</f>
        <v/>
      </c>
    </row>
    <row r="3401" spans="1:9" hidden="1" x14ac:dyDescent="0.2">
      <c r="A3401" s="105" t="str">
        <f>IF(D3401=1,COUNTIF($D$10:D3401,1)," ")</f>
        <v xml:space="preserve"> </v>
      </c>
      <c r="B3401" s="106">
        <f>COPY!AR3393</f>
        <v>0</v>
      </c>
      <c r="C3401" s="107">
        <f>COPY!AC3393</f>
        <v>0</v>
      </c>
      <c r="D3401" s="107" t="str">
        <f>IF(LEN(Table1722[[#This Row],[Uraian]])&gt;2,1," ")</f>
        <v xml:space="preserve"> </v>
      </c>
      <c r="E3401" s="113" t="str">
        <f>IF(Table1722[[#This Row],[Lawan Transaksi]]="CV AGUNG KARYA",COUNTIF($I$10:I3401,"CV AGUNG KARYA")," ")</f>
        <v xml:space="preserve"> </v>
      </c>
      <c r="F3401" s="107" t="str">
        <f>IF(LEN(Table1722[[#This Row],[Uraian]])&gt;2,TRIM(RIGHT(SUBSTITUTE(TRIM(C3401)," ",REPT(" ",255)),255))," ")</f>
        <v xml:space="preserve"> </v>
      </c>
      <c r="G3401" s="110">
        <f>COPY!Z3393</f>
        <v>0</v>
      </c>
      <c r="H3401" s="111" t="str">
        <f>IFERROR(VLOOKUP(Table1722[[#This Row],[Bukti]],'Un nOTA'!$A$4:$K$5003,10,FALSE),"")</f>
        <v/>
      </c>
      <c r="I3401" s="123" t="str">
        <f>IFERROR(VLOOKUP(Table1722[[#This Row],[Bukti]],Table13[#Data],11,FALSE),"")</f>
        <v/>
      </c>
    </row>
    <row r="3402" spans="1:9" hidden="1" x14ac:dyDescent="0.2">
      <c r="A3402" s="105" t="str">
        <f>IF(D3402=1,COUNTIF($D$10:D3402,1)," ")</f>
        <v xml:space="preserve"> </v>
      </c>
      <c r="B3402" s="106">
        <f>COPY!AR3394</f>
        <v>0</v>
      </c>
      <c r="C3402" s="107">
        <f>COPY!AC3394</f>
        <v>0</v>
      </c>
      <c r="D3402" s="107" t="str">
        <f>IF(LEN(Table1722[[#This Row],[Uraian]])&gt;2,1," ")</f>
        <v xml:space="preserve"> </v>
      </c>
      <c r="E3402" s="113" t="str">
        <f>IF(Table1722[[#This Row],[Lawan Transaksi]]="CV AGUNG KARYA",COUNTIF($I$10:I3402,"CV AGUNG KARYA")," ")</f>
        <v xml:space="preserve"> </v>
      </c>
      <c r="F3402" s="107" t="str">
        <f>IF(LEN(Table1722[[#This Row],[Uraian]])&gt;2,TRIM(RIGHT(SUBSTITUTE(TRIM(C3402)," ",REPT(" ",255)),255))," ")</f>
        <v xml:space="preserve"> </v>
      </c>
      <c r="G3402" s="110">
        <f>COPY!Z3394</f>
        <v>0</v>
      </c>
      <c r="H3402" s="111" t="str">
        <f>IFERROR(VLOOKUP(Table1722[[#This Row],[Bukti]],'Un nOTA'!$A$4:$K$5003,10,FALSE),"")</f>
        <v/>
      </c>
      <c r="I3402" s="123" t="str">
        <f>IFERROR(VLOOKUP(Table1722[[#This Row],[Bukti]],Table13[#Data],11,FALSE),"")</f>
        <v/>
      </c>
    </row>
    <row r="3403" spans="1:9" hidden="1" x14ac:dyDescent="0.2">
      <c r="A3403" s="105" t="str">
        <f>IF(D3403=1,COUNTIF($D$10:D3403,1)," ")</f>
        <v xml:space="preserve"> </v>
      </c>
      <c r="B3403" s="106">
        <f>COPY!AR3395</f>
        <v>0</v>
      </c>
      <c r="C3403" s="107">
        <f>COPY!AC3395</f>
        <v>0</v>
      </c>
      <c r="D3403" s="107" t="str">
        <f>IF(LEN(Table1722[[#This Row],[Uraian]])&gt;2,1," ")</f>
        <v xml:space="preserve"> </v>
      </c>
      <c r="E3403" s="113" t="str">
        <f>IF(Table1722[[#This Row],[Lawan Transaksi]]="CV AGUNG KARYA",COUNTIF($I$10:I3403,"CV AGUNG KARYA")," ")</f>
        <v xml:space="preserve"> </v>
      </c>
      <c r="F3403" s="107" t="str">
        <f>IF(LEN(Table1722[[#This Row],[Uraian]])&gt;2,TRIM(RIGHT(SUBSTITUTE(TRIM(C3403)," ",REPT(" ",255)),255))," ")</f>
        <v xml:space="preserve"> </v>
      </c>
      <c r="G3403" s="110">
        <f>COPY!Z3395</f>
        <v>0</v>
      </c>
      <c r="H3403" s="111" t="str">
        <f>IFERROR(VLOOKUP(Table1722[[#This Row],[Bukti]],'Un nOTA'!$A$4:$K$5003,10,FALSE),"")</f>
        <v/>
      </c>
      <c r="I3403" s="123" t="str">
        <f>IFERROR(VLOOKUP(Table1722[[#This Row],[Bukti]],Table13[#Data],11,FALSE),"")</f>
        <v/>
      </c>
    </row>
    <row r="3404" spans="1:9" hidden="1" x14ac:dyDescent="0.2">
      <c r="A3404" s="105" t="str">
        <f>IF(D3404=1,COUNTIF($D$10:D3404,1)," ")</f>
        <v xml:space="preserve"> </v>
      </c>
      <c r="B3404" s="106">
        <f>COPY!AR3396</f>
        <v>0</v>
      </c>
      <c r="C3404" s="107">
        <f>COPY!AC3396</f>
        <v>0</v>
      </c>
      <c r="D3404" s="107" t="str">
        <f>IF(LEN(Table1722[[#This Row],[Uraian]])&gt;2,1," ")</f>
        <v xml:space="preserve"> </v>
      </c>
      <c r="E3404" s="113" t="str">
        <f>IF(Table1722[[#This Row],[Lawan Transaksi]]="CV AGUNG KARYA",COUNTIF($I$10:I3404,"CV AGUNG KARYA")," ")</f>
        <v xml:space="preserve"> </v>
      </c>
      <c r="F3404" s="107" t="str">
        <f>IF(LEN(Table1722[[#This Row],[Uraian]])&gt;2,TRIM(RIGHT(SUBSTITUTE(TRIM(C3404)," ",REPT(" ",255)),255))," ")</f>
        <v xml:space="preserve"> </v>
      </c>
      <c r="G3404" s="110">
        <f>COPY!Z3396</f>
        <v>0</v>
      </c>
      <c r="H3404" s="111" t="str">
        <f>IFERROR(VLOOKUP(Table1722[[#This Row],[Bukti]],'Un nOTA'!$A$4:$K$5003,10,FALSE),"")</f>
        <v/>
      </c>
      <c r="I3404" s="123" t="str">
        <f>IFERROR(VLOOKUP(Table1722[[#This Row],[Bukti]],Table13[#Data],11,FALSE),"")</f>
        <v/>
      </c>
    </row>
    <row r="3405" spans="1:9" hidden="1" x14ac:dyDescent="0.2">
      <c r="A3405" s="105" t="str">
        <f>IF(D3405=1,COUNTIF($D$10:D3405,1)," ")</f>
        <v xml:space="preserve"> </v>
      </c>
      <c r="B3405" s="106">
        <f>COPY!AR3397</f>
        <v>0</v>
      </c>
      <c r="C3405" s="107">
        <f>COPY!AC3397</f>
        <v>0</v>
      </c>
      <c r="D3405" s="107" t="str">
        <f>IF(LEN(Table1722[[#This Row],[Uraian]])&gt;2,1," ")</f>
        <v xml:space="preserve"> </v>
      </c>
      <c r="E3405" s="113" t="str">
        <f>IF(Table1722[[#This Row],[Lawan Transaksi]]="CV AGUNG KARYA",COUNTIF($I$10:I3405,"CV AGUNG KARYA")," ")</f>
        <v xml:space="preserve"> </v>
      </c>
      <c r="F3405" s="107" t="str">
        <f>IF(LEN(Table1722[[#This Row],[Uraian]])&gt;2,TRIM(RIGHT(SUBSTITUTE(TRIM(C3405)," ",REPT(" ",255)),255))," ")</f>
        <v xml:space="preserve"> </v>
      </c>
      <c r="G3405" s="110">
        <f>COPY!Z3397</f>
        <v>0</v>
      </c>
      <c r="H3405" s="111" t="str">
        <f>IFERROR(VLOOKUP(Table1722[[#This Row],[Bukti]],'Un nOTA'!$A$4:$K$5003,10,FALSE),"")</f>
        <v/>
      </c>
      <c r="I3405" s="123" t="str">
        <f>IFERROR(VLOOKUP(Table1722[[#This Row],[Bukti]],Table13[#Data],11,FALSE),"")</f>
        <v/>
      </c>
    </row>
    <row r="3406" spans="1:9" hidden="1" x14ac:dyDescent="0.2">
      <c r="A3406" s="105" t="str">
        <f>IF(D3406=1,COUNTIF($D$10:D3406,1)," ")</f>
        <v xml:space="preserve"> </v>
      </c>
      <c r="B3406" s="106">
        <f>COPY!AR3398</f>
        <v>0</v>
      </c>
      <c r="C3406" s="107">
        <f>COPY!AC3398</f>
        <v>0</v>
      </c>
      <c r="D3406" s="107" t="str">
        <f>IF(LEN(Table1722[[#This Row],[Uraian]])&gt;2,1," ")</f>
        <v xml:space="preserve"> </v>
      </c>
      <c r="E3406" s="113" t="str">
        <f>IF(Table1722[[#This Row],[Lawan Transaksi]]="CV AGUNG KARYA",COUNTIF($I$10:I3406,"CV AGUNG KARYA")," ")</f>
        <v xml:space="preserve"> </v>
      </c>
      <c r="F3406" s="107" t="str">
        <f>IF(LEN(Table1722[[#This Row],[Uraian]])&gt;2,TRIM(RIGHT(SUBSTITUTE(TRIM(C3406)," ",REPT(" ",255)),255))," ")</f>
        <v xml:space="preserve"> </v>
      </c>
      <c r="G3406" s="110">
        <f>COPY!Z3398</f>
        <v>0</v>
      </c>
      <c r="H3406" s="111" t="str">
        <f>IFERROR(VLOOKUP(Table1722[[#This Row],[Bukti]],'Un nOTA'!$A$4:$K$5003,10,FALSE),"")</f>
        <v/>
      </c>
      <c r="I3406" s="123" t="str">
        <f>IFERROR(VLOOKUP(Table1722[[#This Row],[Bukti]],Table13[#Data],11,FALSE),"")</f>
        <v/>
      </c>
    </row>
    <row r="3407" spans="1:9" hidden="1" x14ac:dyDescent="0.2">
      <c r="A3407" s="105" t="str">
        <f>IF(D3407=1,COUNTIF($D$10:D3407,1)," ")</f>
        <v xml:space="preserve"> </v>
      </c>
      <c r="B3407" s="106">
        <f>COPY!AR3399</f>
        <v>0</v>
      </c>
      <c r="C3407" s="107">
        <f>COPY!AC3399</f>
        <v>0</v>
      </c>
      <c r="D3407" s="107" t="str">
        <f>IF(LEN(Table1722[[#This Row],[Uraian]])&gt;2,1," ")</f>
        <v xml:space="preserve"> </v>
      </c>
      <c r="E3407" s="113" t="str">
        <f>IF(Table1722[[#This Row],[Lawan Transaksi]]="CV AGUNG KARYA",COUNTIF($I$10:I3407,"CV AGUNG KARYA")," ")</f>
        <v xml:space="preserve"> </v>
      </c>
      <c r="F3407" s="107" t="str">
        <f>IF(LEN(Table1722[[#This Row],[Uraian]])&gt;2,TRIM(RIGHT(SUBSTITUTE(TRIM(C3407)," ",REPT(" ",255)),255))," ")</f>
        <v xml:space="preserve"> </v>
      </c>
      <c r="G3407" s="110">
        <f>COPY!Z3399</f>
        <v>0</v>
      </c>
      <c r="H3407" s="111" t="str">
        <f>IFERROR(VLOOKUP(Table1722[[#This Row],[Bukti]],'Un nOTA'!$A$4:$K$5003,10,FALSE),"")</f>
        <v/>
      </c>
      <c r="I3407" s="123" t="str">
        <f>IFERROR(VLOOKUP(Table1722[[#This Row],[Bukti]],Table13[#Data],11,FALSE),"")</f>
        <v/>
      </c>
    </row>
    <row r="3408" spans="1:9" hidden="1" x14ac:dyDescent="0.2">
      <c r="A3408" s="105" t="str">
        <f>IF(D3408=1,COUNTIF($D$10:D3408,1)," ")</f>
        <v xml:space="preserve"> </v>
      </c>
      <c r="B3408" s="106">
        <f>COPY!AR3400</f>
        <v>0</v>
      </c>
      <c r="C3408" s="107">
        <f>COPY!AC3400</f>
        <v>0</v>
      </c>
      <c r="D3408" s="107" t="str">
        <f>IF(LEN(Table1722[[#This Row],[Uraian]])&gt;2,1," ")</f>
        <v xml:space="preserve"> </v>
      </c>
      <c r="E3408" s="113" t="str">
        <f>IF(Table1722[[#This Row],[Lawan Transaksi]]="CV AGUNG KARYA",COUNTIF($I$10:I3408,"CV AGUNG KARYA")," ")</f>
        <v xml:space="preserve"> </v>
      </c>
      <c r="F3408" s="107" t="str">
        <f>IF(LEN(Table1722[[#This Row],[Uraian]])&gt;2,TRIM(RIGHT(SUBSTITUTE(TRIM(C3408)," ",REPT(" ",255)),255))," ")</f>
        <v xml:space="preserve"> </v>
      </c>
      <c r="G3408" s="110">
        <f>COPY!Z3400</f>
        <v>0</v>
      </c>
      <c r="H3408" s="111" t="str">
        <f>IFERROR(VLOOKUP(Table1722[[#This Row],[Bukti]],'Un nOTA'!$A$4:$K$5003,10,FALSE),"")</f>
        <v/>
      </c>
      <c r="I3408" s="123" t="str">
        <f>IFERROR(VLOOKUP(Table1722[[#This Row],[Bukti]],Table13[#Data],11,FALSE),"")</f>
        <v/>
      </c>
    </row>
    <row r="3409" spans="1:9" hidden="1" x14ac:dyDescent="0.2">
      <c r="A3409" s="105" t="str">
        <f>IF(D3409=1,COUNTIF($D$10:D3409,1)," ")</f>
        <v xml:space="preserve"> </v>
      </c>
      <c r="B3409" s="106">
        <f>COPY!AR3401</f>
        <v>0</v>
      </c>
      <c r="C3409" s="107">
        <f>COPY!AC3401</f>
        <v>0</v>
      </c>
      <c r="D3409" s="107" t="str">
        <f>IF(LEN(Table1722[[#This Row],[Uraian]])&gt;2,1," ")</f>
        <v xml:space="preserve"> </v>
      </c>
      <c r="E3409" s="113" t="str">
        <f>IF(Table1722[[#This Row],[Lawan Transaksi]]="CV AGUNG KARYA",COUNTIF($I$10:I3409,"CV AGUNG KARYA")," ")</f>
        <v xml:space="preserve"> </v>
      </c>
      <c r="F3409" s="107" t="str">
        <f>IF(LEN(Table1722[[#This Row],[Uraian]])&gt;2,TRIM(RIGHT(SUBSTITUTE(TRIM(C3409)," ",REPT(" ",255)),255))," ")</f>
        <v xml:space="preserve"> </v>
      </c>
      <c r="G3409" s="110">
        <f>COPY!Z3401</f>
        <v>0</v>
      </c>
      <c r="H3409" s="111" t="str">
        <f>IFERROR(VLOOKUP(Table1722[[#This Row],[Bukti]],'Un nOTA'!$A$4:$K$5003,10,FALSE),"")</f>
        <v/>
      </c>
      <c r="I3409" s="123" t="str">
        <f>IFERROR(VLOOKUP(Table1722[[#This Row],[Bukti]],Table13[#Data],11,FALSE),"")</f>
        <v/>
      </c>
    </row>
    <row r="3410" spans="1:9" hidden="1" x14ac:dyDescent="0.2">
      <c r="A3410" s="105" t="str">
        <f>IF(D3410=1,COUNTIF($D$10:D3410,1)," ")</f>
        <v xml:space="preserve"> </v>
      </c>
      <c r="B3410" s="106">
        <f>COPY!AR3402</f>
        <v>0</v>
      </c>
      <c r="C3410" s="107">
        <f>COPY!AC3402</f>
        <v>0</v>
      </c>
      <c r="D3410" s="107" t="str">
        <f>IF(LEN(Table1722[[#This Row],[Uraian]])&gt;2,1," ")</f>
        <v xml:space="preserve"> </v>
      </c>
      <c r="E3410" s="113" t="str">
        <f>IF(Table1722[[#This Row],[Lawan Transaksi]]="CV AGUNG KARYA",COUNTIF($I$10:I3410,"CV AGUNG KARYA")," ")</f>
        <v xml:space="preserve"> </v>
      </c>
      <c r="F3410" s="107" t="str">
        <f>IF(LEN(Table1722[[#This Row],[Uraian]])&gt;2,TRIM(RIGHT(SUBSTITUTE(TRIM(C3410)," ",REPT(" ",255)),255))," ")</f>
        <v xml:space="preserve"> </v>
      </c>
      <c r="G3410" s="110">
        <f>COPY!Z3402</f>
        <v>0</v>
      </c>
      <c r="H3410" s="111" t="str">
        <f>IFERROR(VLOOKUP(Table1722[[#This Row],[Bukti]],'Un nOTA'!$A$4:$K$5003,10,FALSE),"")</f>
        <v/>
      </c>
      <c r="I3410" s="123" t="str">
        <f>IFERROR(VLOOKUP(Table1722[[#This Row],[Bukti]],Table13[#Data],11,FALSE),"")</f>
        <v/>
      </c>
    </row>
    <row r="3411" spans="1:9" hidden="1" x14ac:dyDescent="0.2">
      <c r="A3411" s="105" t="str">
        <f>IF(D3411=1,COUNTIF($D$10:D3411,1)," ")</f>
        <v xml:space="preserve"> </v>
      </c>
      <c r="B3411" s="106">
        <f>COPY!AR3403</f>
        <v>0</v>
      </c>
      <c r="C3411" s="107">
        <f>COPY!AC3403</f>
        <v>0</v>
      </c>
      <c r="D3411" s="107" t="str">
        <f>IF(LEN(Table1722[[#This Row],[Uraian]])&gt;2,1," ")</f>
        <v xml:space="preserve"> </v>
      </c>
      <c r="E3411" s="113" t="str">
        <f>IF(Table1722[[#This Row],[Lawan Transaksi]]="CV AGUNG KARYA",COUNTIF($I$10:I3411,"CV AGUNG KARYA")," ")</f>
        <v xml:space="preserve"> </v>
      </c>
      <c r="F3411" s="107" t="str">
        <f>IF(LEN(Table1722[[#This Row],[Uraian]])&gt;2,TRIM(RIGHT(SUBSTITUTE(TRIM(C3411)," ",REPT(" ",255)),255))," ")</f>
        <v xml:space="preserve"> </v>
      </c>
      <c r="G3411" s="110">
        <f>COPY!Z3403</f>
        <v>0</v>
      </c>
      <c r="H3411" s="111" t="str">
        <f>IFERROR(VLOOKUP(Table1722[[#This Row],[Bukti]],'Un nOTA'!$A$4:$K$5003,10,FALSE),"")</f>
        <v/>
      </c>
      <c r="I3411" s="123" t="str">
        <f>IFERROR(VLOOKUP(Table1722[[#This Row],[Bukti]],Table13[#Data],11,FALSE),"")</f>
        <v/>
      </c>
    </row>
    <row r="3412" spans="1:9" hidden="1" x14ac:dyDescent="0.2">
      <c r="A3412" s="105" t="str">
        <f>IF(D3412=1,COUNTIF($D$10:D3412,1)," ")</f>
        <v xml:space="preserve"> </v>
      </c>
      <c r="B3412" s="106">
        <f>COPY!AR3404</f>
        <v>0</v>
      </c>
      <c r="C3412" s="107">
        <f>COPY!AC3404</f>
        <v>0</v>
      </c>
      <c r="D3412" s="107" t="str">
        <f>IF(LEN(Table1722[[#This Row],[Uraian]])&gt;2,1," ")</f>
        <v xml:space="preserve"> </v>
      </c>
      <c r="E3412" s="113" t="str">
        <f>IF(Table1722[[#This Row],[Lawan Transaksi]]="CV AGUNG KARYA",COUNTIF($I$10:I3412,"CV AGUNG KARYA")," ")</f>
        <v xml:space="preserve"> </v>
      </c>
      <c r="F3412" s="107" t="str">
        <f>IF(LEN(Table1722[[#This Row],[Uraian]])&gt;2,TRIM(RIGHT(SUBSTITUTE(TRIM(C3412)," ",REPT(" ",255)),255))," ")</f>
        <v xml:space="preserve"> </v>
      </c>
      <c r="G3412" s="110">
        <f>COPY!Z3404</f>
        <v>0</v>
      </c>
      <c r="H3412" s="111" t="str">
        <f>IFERROR(VLOOKUP(Table1722[[#This Row],[Bukti]],'Un nOTA'!$A$4:$K$5003,10,FALSE),"")</f>
        <v/>
      </c>
      <c r="I3412" s="123" t="str">
        <f>IFERROR(VLOOKUP(Table1722[[#This Row],[Bukti]],Table13[#Data],11,FALSE),"")</f>
        <v/>
      </c>
    </row>
    <row r="3413" spans="1:9" hidden="1" x14ac:dyDescent="0.2">
      <c r="A3413" s="105" t="str">
        <f>IF(D3413=1,COUNTIF($D$10:D3413,1)," ")</f>
        <v xml:space="preserve"> </v>
      </c>
      <c r="B3413" s="106">
        <f>COPY!AR3405</f>
        <v>0</v>
      </c>
      <c r="C3413" s="107">
        <f>COPY!AC3405</f>
        <v>0</v>
      </c>
      <c r="D3413" s="107" t="str">
        <f>IF(LEN(Table1722[[#This Row],[Uraian]])&gt;2,1," ")</f>
        <v xml:space="preserve"> </v>
      </c>
      <c r="E3413" s="113" t="str">
        <f>IF(Table1722[[#This Row],[Lawan Transaksi]]="CV AGUNG KARYA",COUNTIF($I$10:I3413,"CV AGUNG KARYA")," ")</f>
        <v xml:space="preserve"> </v>
      </c>
      <c r="F3413" s="107" t="str">
        <f>IF(LEN(Table1722[[#This Row],[Uraian]])&gt;2,TRIM(RIGHT(SUBSTITUTE(TRIM(C3413)," ",REPT(" ",255)),255))," ")</f>
        <v xml:space="preserve"> </v>
      </c>
      <c r="G3413" s="110">
        <f>COPY!Z3405</f>
        <v>0</v>
      </c>
      <c r="H3413" s="111" t="str">
        <f>IFERROR(VLOOKUP(Table1722[[#This Row],[Bukti]],'Un nOTA'!$A$4:$K$5003,10,FALSE),"")</f>
        <v/>
      </c>
      <c r="I3413" s="123" t="str">
        <f>IFERROR(VLOOKUP(Table1722[[#This Row],[Bukti]],Table13[#Data],11,FALSE),"")</f>
        <v/>
      </c>
    </row>
    <row r="3414" spans="1:9" hidden="1" x14ac:dyDescent="0.2">
      <c r="A3414" s="105" t="str">
        <f>IF(D3414=1,COUNTIF($D$10:D3414,1)," ")</f>
        <v xml:space="preserve"> </v>
      </c>
      <c r="B3414" s="106">
        <f>COPY!AR3406</f>
        <v>0</v>
      </c>
      <c r="C3414" s="107">
        <f>COPY!AC3406</f>
        <v>0</v>
      </c>
      <c r="D3414" s="107" t="str">
        <f>IF(LEN(Table1722[[#This Row],[Uraian]])&gt;2,1," ")</f>
        <v xml:space="preserve"> </v>
      </c>
      <c r="E3414" s="113" t="str">
        <f>IF(Table1722[[#This Row],[Lawan Transaksi]]="CV AGUNG KARYA",COUNTIF($I$10:I3414,"CV AGUNG KARYA")," ")</f>
        <v xml:space="preserve"> </v>
      </c>
      <c r="F3414" s="107" t="str">
        <f>IF(LEN(Table1722[[#This Row],[Uraian]])&gt;2,TRIM(RIGHT(SUBSTITUTE(TRIM(C3414)," ",REPT(" ",255)),255))," ")</f>
        <v xml:space="preserve"> </v>
      </c>
      <c r="G3414" s="110">
        <f>COPY!Z3406</f>
        <v>0</v>
      </c>
      <c r="H3414" s="111" t="str">
        <f>IFERROR(VLOOKUP(Table1722[[#This Row],[Bukti]],'Un nOTA'!$A$4:$K$5003,10,FALSE),"")</f>
        <v/>
      </c>
      <c r="I3414" s="123" t="str">
        <f>IFERROR(VLOOKUP(Table1722[[#This Row],[Bukti]],Table13[#Data],11,FALSE),"")</f>
        <v/>
      </c>
    </row>
    <row r="3415" spans="1:9" hidden="1" x14ac:dyDescent="0.2">
      <c r="A3415" s="105" t="str">
        <f>IF(D3415=1,COUNTIF($D$10:D3415,1)," ")</f>
        <v xml:space="preserve"> </v>
      </c>
      <c r="B3415" s="106">
        <f>COPY!AR3407</f>
        <v>0</v>
      </c>
      <c r="C3415" s="107">
        <f>COPY!AC3407</f>
        <v>0</v>
      </c>
      <c r="D3415" s="107" t="str">
        <f>IF(LEN(Table1722[[#This Row],[Uraian]])&gt;2,1," ")</f>
        <v xml:space="preserve"> </v>
      </c>
      <c r="E3415" s="113" t="str">
        <f>IF(Table1722[[#This Row],[Lawan Transaksi]]="CV AGUNG KARYA",COUNTIF($I$10:I3415,"CV AGUNG KARYA")," ")</f>
        <v xml:space="preserve"> </v>
      </c>
      <c r="F3415" s="107" t="str">
        <f>IF(LEN(Table1722[[#This Row],[Uraian]])&gt;2,TRIM(RIGHT(SUBSTITUTE(TRIM(C3415)," ",REPT(" ",255)),255))," ")</f>
        <v xml:space="preserve"> </v>
      </c>
      <c r="G3415" s="110">
        <f>COPY!Z3407</f>
        <v>0</v>
      </c>
      <c r="H3415" s="111" t="str">
        <f>IFERROR(VLOOKUP(Table1722[[#This Row],[Bukti]],'Un nOTA'!$A$4:$K$5003,10,FALSE),"")</f>
        <v/>
      </c>
      <c r="I3415" s="123" t="str">
        <f>IFERROR(VLOOKUP(Table1722[[#This Row],[Bukti]],Table13[#Data],11,FALSE),"")</f>
        <v/>
      </c>
    </row>
    <row r="3416" spans="1:9" hidden="1" x14ac:dyDescent="0.2">
      <c r="A3416" s="105" t="str">
        <f>IF(D3416=1,COUNTIF($D$10:D3416,1)," ")</f>
        <v xml:space="preserve"> </v>
      </c>
      <c r="B3416" s="106">
        <f>COPY!AR3408</f>
        <v>0</v>
      </c>
      <c r="C3416" s="107">
        <f>COPY!AC3408</f>
        <v>0</v>
      </c>
      <c r="D3416" s="107" t="str">
        <f>IF(LEN(Table1722[[#This Row],[Uraian]])&gt;2,1," ")</f>
        <v xml:space="preserve"> </v>
      </c>
      <c r="E3416" s="113" t="str">
        <f>IF(Table1722[[#This Row],[Lawan Transaksi]]="CV AGUNG KARYA",COUNTIF($I$10:I3416,"CV AGUNG KARYA")," ")</f>
        <v xml:space="preserve"> </v>
      </c>
      <c r="F3416" s="107" t="str">
        <f>IF(LEN(Table1722[[#This Row],[Uraian]])&gt;2,TRIM(RIGHT(SUBSTITUTE(TRIM(C3416)," ",REPT(" ",255)),255))," ")</f>
        <v xml:space="preserve"> </v>
      </c>
      <c r="G3416" s="110">
        <f>COPY!Z3408</f>
        <v>0</v>
      </c>
      <c r="H3416" s="111" t="str">
        <f>IFERROR(VLOOKUP(Table1722[[#This Row],[Bukti]],'Un nOTA'!$A$4:$K$5003,10,FALSE),"")</f>
        <v/>
      </c>
      <c r="I3416" s="123" t="str">
        <f>IFERROR(VLOOKUP(Table1722[[#This Row],[Bukti]],Table13[#Data],11,FALSE),"")</f>
        <v/>
      </c>
    </row>
    <row r="3417" spans="1:9" hidden="1" x14ac:dyDescent="0.2">
      <c r="A3417" s="105" t="str">
        <f>IF(D3417=1,COUNTIF($D$10:D3417,1)," ")</f>
        <v xml:space="preserve"> </v>
      </c>
      <c r="B3417" s="106">
        <f>COPY!AR3409</f>
        <v>0</v>
      </c>
      <c r="C3417" s="107">
        <f>COPY!AC3409</f>
        <v>0</v>
      </c>
      <c r="D3417" s="107" t="str">
        <f>IF(LEN(Table1722[[#This Row],[Uraian]])&gt;2,1," ")</f>
        <v xml:space="preserve"> </v>
      </c>
      <c r="E3417" s="113" t="str">
        <f>IF(Table1722[[#This Row],[Lawan Transaksi]]="CV AGUNG KARYA",COUNTIF($I$10:I3417,"CV AGUNG KARYA")," ")</f>
        <v xml:space="preserve"> </v>
      </c>
      <c r="F3417" s="107" t="str">
        <f>IF(LEN(Table1722[[#This Row],[Uraian]])&gt;2,TRIM(RIGHT(SUBSTITUTE(TRIM(C3417)," ",REPT(" ",255)),255))," ")</f>
        <v xml:space="preserve"> </v>
      </c>
      <c r="G3417" s="110">
        <f>COPY!Z3409</f>
        <v>0</v>
      </c>
      <c r="H3417" s="111" t="str">
        <f>IFERROR(VLOOKUP(Table1722[[#This Row],[Bukti]],'Un nOTA'!$A$4:$K$5003,10,FALSE),"")</f>
        <v/>
      </c>
      <c r="I3417" s="123" t="str">
        <f>IFERROR(VLOOKUP(Table1722[[#This Row],[Bukti]],Table13[#Data],11,FALSE),"")</f>
        <v/>
      </c>
    </row>
    <row r="3418" spans="1:9" hidden="1" x14ac:dyDescent="0.2">
      <c r="A3418" s="105" t="str">
        <f>IF(D3418=1,COUNTIF($D$10:D3418,1)," ")</f>
        <v xml:space="preserve"> </v>
      </c>
      <c r="B3418" s="106">
        <f>COPY!AR3410</f>
        <v>0</v>
      </c>
      <c r="C3418" s="107">
        <f>COPY!AC3410</f>
        <v>0</v>
      </c>
      <c r="D3418" s="107" t="str">
        <f>IF(LEN(Table1722[[#This Row],[Uraian]])&gt;2,1," ")</f>
        <v xml:space="preserve"> </v>
      </c>
      <c r="E3418" s="113" t="str">
        <f>IF(Table1722[[#This Row],[Lawan Transaksi]]="CV AGUNG KARYA",COUNTIF($I$10:I3418,"CV AGUNG KARYA")," ")</f>
        <v xml:space="preserve"> </v>
      </c>
      <c r="F3418" s="107" t="str">
        <f>IF(LEN(Table1722[[#This Row],[Uraian]])&gt;2,TRIM(RIGHT(SUBSTITUTE(TRIM(C3418)," ",REPT(" ",255)),255))," ")</f>
        <v xml:space="preserve"> </v>
      </c>
      <c r="G3418" s="110">
        <f>COPY!Z3410</f>
        <v>0</v>
      </c>
      <c r="H3418" s="111" t="str">
        <f>IFERROR(VLOOKUP(Table1722[[#This Row],[Bukti]],'Un nOTA'!$A$4:$K$5003,10,FALSE),"")</f>
        <v/>
      </c>
      <c r="I3418" s="123" t="str">
        <f>IFERROR(VLOOKUP(Table1722[[#This Row],[Bukti]],Table13[#Data],11,FALSE),"")</f>
        <v/>
      </c>
    </row>
    <row r="3419" spans="1:9" hidden="1" x14ac:dyDescent="0.2">
      <c r="A3419" s="105" t="str">
        <f>IF(D3419=1,COUNTIF($D$10:D3419,1)," ")</f>
        <v xml:space="preserve"> </v>
      </c>
      <c r="B3419" s="106">
        <f>COPY!AR3411</f>
        <v>0</v>
      </c>
      <c r="C3419" s="107">
        <f>COPY!AC3411</f>
        <v>0</v>
      </c>
      <c r="D3419" s="107" t="str">
        <f>IF(LEN(Table1722[[#This Row],[Uraian]])&gt;2,1," ")</f>
        <v xml:space="preserve"> </v>
      </c>
      <c r="E3419" s="113" t="str">
        <f>IF(Table1722[[#This Row],[Lawan Transaksi]]="CV AGUNG KARYA",COUNTIF($I$10:I3419,"CV AGUNG KARYA")," ")</f>
        <v xml:space="preserve"> </v>
      </c>
      <c r="F3419" s="107" t="str">
        <f>IF(LEN(Table1722[[#This Row],[Uraian]])&gt;2,TRIM(RIGHT(SUBSTITUTE(TRIM(C3419)," ",REPT(" ",255)),255))," ")</f>
        <v xml:space="preserve"> </v>
      </c>
      <c r="G3419" s="110">
        <f>COPY!Z3411</f>
        <v>0</v>
      </c>
      <c r="H3419" s="111" t="str">
        <f>IFERROR(VLOOKUP(Table1722[[#This Row],[Bukti]],'Un nOTA'!$A$4:$K$5003,10,FALSE),"")</f>
        <v/>
      </c>
      <c r="I3419" s="123" t="str">
        <f>IFERROR(VLOOKUP(Table1722[[#This Row],[Bukti]],Table13[#Data],11,FALSE),"")</f>
        <v/>
      </c>
    </row>
    <row r="3420" spans="1:9" hidden="1" x14ac:dyDescent="0.2">
      <c r="A3420" s="105" t="str">
        <f>IF(D3420=1,COUNTIF($D$10:D3420,1)," ")</f>
        <v xml:space="preserve"> </v>
      </c>
      <c r="B3420" s="106">
        <f>COPY!AR3412</f>
        <v>0</v>
      </c>
      <c r="C3420" s="107">
        <f>COPY!AC3412</f>
        <v>0</v>
      </c>
      <c r="D3420" s="107" t="str">
        <f>IF(LEN(Table1722[[#This Row],[Uraian]])&gt;2,1," ")</f>
        <v xml:space="preserve"> </v>
      </c>
      <c r="E3420" s="113" t="str">
        <f>IF(Table1722[[#This Row],[Lawan Transaksi]]="CV AGUNG KARYA",COUNTIF($I$10:I3420,"CV AGUNG KARYA")," ")</f>
        <v xml:space="preserve"> </v>
      </c>
      <c r="F3420" s="107" t="str">
        <f>IF(LEN(Table1722[[#This Row],[Uraian]])&gt;2,TRIM(RIGHT(SUBSTITUTE(TRIM(C3420)," ",REPT(" ",255)),255))," ")</f>
        <v xml:space="preserve"> </v>
      </c>
      <c r="G3420" s="110">
        <f>COPY!Z3412</f>
        <v>0</v>
      </c>
      <c r="H3420" s="111" t="str">
        <f>IFERROR(VLOOKUP(Table1722[[#This Row],[Bukti]],'Un nOTA'!$A$4:$K$5003,10,FALSE),"")</f>
        <v/>
      </c>
      <c r="I3420" s="123" t="str">
        <f>IFERROR(VLOOKUP(Table1722[[#This Row],[Bukti]],Table13[#Data],11,FALSE),"")</f>
        <v/>
      </c>
    </row>
    <row r="3421" spans="1:9" hidden="1" x14ac:dyDescent="0.2">
      <c r="A3421" s="105" t="str">
        <f>IF(D3421=1,COUNTIF($D$10:D3421,1)," ")</f>
        <v xml:space="preserve"> </v>
      </c>
      <c r="B3421" s="106">
        <f>COPY!AR3413</f>
        <v>0</v>
      </c>
      <c r="C3421" s="107">
        <f>COPY!AC3413</f>
        <v>0</v>
      </c>
      <c r="D3421" s="107" t="str">
        <f>IF(LEN(Table1722[[#This Row],[Uraian]])&gt;2,1," ")</f>
        <v xml:space="preserve"> </v>
      </c>
      <c r="E3421" s="113" t="str">
        <f>IF(Table1722[[#This Row],[Lawan Transaksi]]="CV AGUNG KARYA",COUNTIF($I$10:I3421,"CV AGUNG KARYA")," ")</f>
        <v xml:space="preserve"> </v>
      </c>
      <c r="F3421" s="107" t="str">
        <f>IF(LEN(Table1722[[#This Row],[Uraian]])&gt;2,TRIM(RIGHT(SUBSTITUTE(TRIM(C3421)," ",REPT(" ",255)),255))," ")</f>
        <v xml:space="preserve"> </v>
      </c>
      <c r="G3421" s="110">
        <f>COPY!Z3413</f>
        <v>0</v>
      </c>
      <c r="H3421" s="111" t="str">
        <f>IFERROR(VLOOKUP(Table1722[[#This Row],[Bukti]],'Un nOTA'!$A$4:$K$5003,10,FALSE),"")</f>
        <v/>
      </c>
      <c r="I3421" s="123" t="str">
        <f>IFERROR(VLOOKUP(Table1722[[#This Row],[Bukti]],Table13[#Data],11,FALSE),"")</f>
        <v/>
      </c>
    </row>
    <row r="3422" spans="1:9" hidden="1" x14ac:dyDescent="0.2">
      <c r="A3422" s="105" t="str">
        <f>IF(D3422=1,COUNTIF($D$10:D3422,1)," ")</f>
        <v xml:space="preserve"> </v>
      </c>
      <c r="B3422" s="106">
        <f>COPY!AR3414</f>
        <v>0</v>
      </c>
      <c r="C3422" s="107">
        <f>COPY!AC3414</f>
        <v>0</v>
      </c>
      <c r="D3422" s="107" t="str">
        <f>IF(LEN(Table1722[[#This Row],[Uraian]])&gt;2,1," ")</f>
        <v xml:space="preserve"> </v>
      </c>
      <c r="E3422" s="113" t="str">
        <f>IF(Table1722[[#This Row],[Lawan Transaksi]]="CV AGUNG KARYA",COUNTIF($I$10:I3422,"CV AGUNG KARYA")," ")</f>
        <v xml:space="preserve"> </v>
      </c>
      <c r="F3422" s="107" t="str">
        <f>IF(LEN(Table1722[[#This Row],[Uraian]])&gt;2,TRIM(RIGHT(SUBSTITUTE(TRIM(C3422)," ",REPT(" ",255)),255))," ")</f>
        <v xml:space="preserve"> </v>
      </c>
      <c r="G3422" s="110">
        <f>COPY!Z3414</f>
        <v>0</v>
      </c>
      <c r="H3422" s="111" t="str">
        <f>IFERROR(VLOOKUP(Table1722[[#This Row],[Bukti]],'Un nOTA'!$A$4:$K$5003,10,FALSE),"")</f>
        <v/>
      </c>
      <c r="I3422" s="123" t="str">
        <f>IFERROR(VLOOKUP(Table1722[[#This Row],[Bukti]],Table13[#Data],11,FALSE),"")</f>
        <v/>
      </c>
    </row>
    <row r="3423" spans="1:9" hidden="1" x14ac:dyDescent="0.2">
      <c r="A3423" s="105" t="str">
        <f>IF(D3423=1,COUNTIF($D$10:D3423,1)," ")</f>
        <v xml:space="preserve"> </v>
      </c>
      <c r="B3423" s="106">
        <f>COPY!AR3415</f>
        <v>0</v>
      </c>
      <c r="C3423" s="107">
        <f>COPY!AC3415</f>
        <v>0</v>
      </c>
      <c r="D3423" s="107" t="str">
        <f>IF(LEN(Table1722[[#This Row],[Uraian]])&gt;2,1," ")</f>
        <v xml:space="preserve"> </v>
      </c>
      <c r="E3423" s="113" t="str">
        <f>IF(Table1722[[#This Row],[Lawan Transaksi]]="CV AGUNG KARYA",COUNTIF($I$10:I3423,"CV AGUNG KARYA")," ")</f>
        <v xml:space="preserve"> </v>
      </c>
      <c r="F3423" s="107" t="str">
        <f>IF(LEN(Table1722[[#This Row],[Uraian]])&gt;2,TRIM(RIGHT(SUBSTITUTE(TRIM(C3423)," ",REPT(" ",255)),255))," ")</f>
        <v xml:space="preserve"> </v>
      </c>
      <c r="G3423" s="110">
        <f>COPY!Z3415</f>
        <v>0</v>
      </c>
      <c r="H3423" s="111" t="str">
        <f>IFERROR(VLOOKUP(Table1722[[#This Row],[Bukti]],'Un nOTA'!$A$4:$K$5003,10,FALSE),"")</f>
        <v/>
      </c>
      <c r="I3423" s="123" t="str">
        <f>IFERROR(VLOOKUP(Table1722[[#This Row],[Bukti]],Table13[#Data],11,FALSE),"")</f>
        <v/>
      </c>
    </row>
    <row r="3424" spans="1:9" hidden="1" x14ac:dyDescent="0.2">
      <c r="A3424" s="105" t="str">
        <f>IF(D3424=1,COUNTIF($D$10:D3424,1)," ")</f>
        <v xml:space="preserve"> </v>
      </c>
      <c r="B3424" s="106">
        <f>COPY!AR3416</f>
        <v>0</v>
      </c>
      <c r="C3424" s="107">
        <f>COPY!AC3416</f>
        <v>0</v>
      </c>
      <c r="D3424" s="107" t="str">
        <f>IF(LEN(Table1722[[#This Row],[Uraian]])&gt;2,1," ")</f>
        <v xml:space="preserve"> </v>
      </c>
      <c r="E3424" s="113" t="str">
        <f>IF(Table1722[[#This Row],[Lawan Transaksi]]="CV AGUNG KARYA",COUNTIF($I$10:I3424,"CV AGUNG KARYA")," ")</f>
        <v xml:space="preserve"> </v>
      </c>
      <c r="F3424" s="107" t="str">
        <f>IF(LEN(Table1722[[#This Row],[Uraian]])&gt;2,TRIM(RIGHT(SUBSTITUTE(TRIM(C3424)," ",REPT(" ",255)),255))," ")</f>
        <v xml:space="preserve"> </v>
      </c>
      <c r="G3424" s="110">
        <f>COPY!Z3416</f>
        <v>0</v>
      </c>
      <c r="H3424" s="111" t="str">
        <f>IFERROR(VLOOKUP(Table1722[[#This Row],[Bukti]],'Un nOTA'!$A$4:$K$5003,10,FALSE),"")</f>
        <v/>
      </c>
      <c r="I3424" s="123" t="str">
        <f>IFERROR(VLOOKUP(Table1722[[#This Row],[Bukti]],Table13[#Data],11,FALSE),"")</f>
        <v/>
      </c>
    </row>
    <row r="3425" spans="1:9" hidden="1" x14ac:dyDescent="0.2">
      <c r="A3425" s="105" t="str">
        <f>IF(D3425=1,COUNTIF($D$10:D3425,1)," ")</f>
        <v xml:space="preserve"> </v>
      </c>
      <c r="B3425" s="106">
        <f>COPY!AR3417</f>
        <v>0</v>
      </c>
      <c r="C3425" s="107">
        <f>COPY!AC3417</f>
        <v>0</v>
      </c>
      <c r="D3425" s="107" t="str">
        <f>IF(LEN(Table1722[[#This Row],[Uraian]])&gt;2,1," ")</f>
        <v xml:space="preserve"> </v>
      </c>
      <c r="E3425" s="113" t="str">
        <f>IF(Table1722[[#This Row],[Lawan Transaksi]]="CV AGUNG KARYA",COUNTIF($I$10:I3425,"CV AGUNG KARYA")," ")</f>
        <v xml:space="preserve"> </v>
      </c>
      <c r="F3425" s="107" t="str">
        <f>IF(LEN(Table1722[[#This Row],[Uraian]])&gt;2,TRIM(RIGHT(SUBSTITUTE(TRIM(C3425)," ",REPT(" ",255)),255))," ")</f>
        <v xml:space="preserve"> </v>
      </c>
      <c r="G3425" s="110">
        <f>COPY!Z3417</f>
        <v>0</v>
      </c>
      <c r="H3425" s="111" t="str">
        <f>IFERROR(VLOOKUP(Table1722[[#This Row],[Bukti]],'Un nOTA'!$A$4:$K$5003,10,FALSE),"")</f>
        <v/>
      </c>
      <c r="I3425" s="123" t="str">
        <f>IFERROR(VLOOKUP(Table1722[[#This Row],[Bukti]],Table13[#Data],11,FALSE),"")</f>
        <v/>
      </c>
    </row>
    <row r="3426" spans="1:9" hidden="1" x14ac:dyDescent="0.2">
      <c r="A3426" s="105" t="str">
        <f>IF(D3426=1,COUNTIF($D$10:D3426,1)," ")</f>
        <v xml:space="preserve"> </v>
      </c>
      <c r="B3426" s="106">
        <f>COPY!AR3418</f>
        <v>0</v>
      </c>
      <c r="C3426" s="107">
        <f>COPY!AC3418</f>
        <v>0</v>
      </c>
      <c r="D3426" s="107" t="str">
        <f>IF(LEN(Table1722[[#This Row],[Uraian]])&gt;2,1," ")</f>
        <v xml:space="preserve"> </v>
      </c>
      <c r="E3426" s="113" t="str">
        <f>IF(Table1722[[#This Row],[Lawan Transaksi]]="CV AGUNG KARYA",COUNTIF($I$10:I3426,"CV AGUNG KARYA")," ")</f>
        <v xml:space="preserve"> </v>
      </c>
      <c r="F3426" s="107" t="str">
        <f>IF(LEN(Table1722[[#This Row],[Uraian]])&gt;2,TRIM(RIGHT(SUBSTITUTE(TRIM(C3426)," ",REPT(" ",255)),255))," ")</f>
        <v xml:space="preserve"> </v>
      </c>
      <c r="G3426" s="110">
        <f>COPY!Z3418</f>
        <v>0</v>
      </c>
      <c r="H3426" s="111" t="str">
        <f>IFERROR(VLOOKUP(Table1722[[#This Row],[Bukti]],'Un nOTA'!$A$4:$K$5003,10,FALSE),"")</f>
        <v/>
      </c>
      <c r="I3426" s="123" t="str">
        <f>IFERROR(VLOOKUP(Table1722[[#This Row],[Bukti]],Table13[#Data],11,FALSE),"")</f>
        <v/>
      </c>
    </row>
    <row r="3427" spans="1:9" hidden="1" x14ac:dyDescent="0.2">
      <c r="A3427" s="105" t="str">
        <f>IF(D3427=1,COUNTIF($D$10:D3427,1)," ")</f>
        <v xml:space="preserve"> </v>
      </c>
      <c r="B3427" s="106">
        <f>COPY!AR3419</f>
        <v>0</v>
      </c>
      <c r="C3427" s="107">
        <f>COPY!AC3419</f>
        <v>0</v>
      </c>
      <c r="D3427" s="107" t="str">
        <f>IF(LEN(Table1722[[#This Row],[Uraian]])&gt;2,1," ")</f>
        <v xml:space="preserve"> </v>
      </c>
      <c r="E3427" s="113" t="str">
        <f>IF(Table1722[[#This Row],[Lawan Transaksi]]="CV AGUNG KARYA",COUNTIF($I$10:I3427,"CV AGUNG KARYA")," ")</f>
        <v xml:space="preserve"> </v>
      </c>
      <c r="F3427" s="107" t="str">
        <f>IF(LEN(Table1722[[#This Row],[Uraian]])&gt;2,TRIM(RIGHT(SUBSTITUTE(TRIM(C3427)," ",REPT(" ",255)),255))," ")</f>
        <v xml:space="preserve"> </v>
      </c>
      <c r="G3427" s="110">
        <f>COPY!Z3419</f>
        <v>0</v>
      </c>
      <c r="H3427" s="111" t="str">
        <f>IFERROR(VLOOKUP(Table1722[[#This Row],[Bukti]],'Un nOTA'!$A$4:$K$5003,10,FALSE),"")</f>
        <v/>
      </c>
      <c r="I3427" s="123" t="str">
        <f>IFERROR(VLOOKUP(Table1722[[#This Row],[Bukti]],Table13[#Data],11,FALSE),"")</f>
        <v/>
      </c>
    </row>
    <row r="3428" spans="1:9" hidden="1" x14ac:dyDescent="0.2">
      <c r="A3428" s="105" t="str">
        <f>IF(D3428=1,COUNTIF($D$10:D3428,1)," ")</f>
        <v xml:space="preserve"> </v>
      </c>
      <c r="B3428" s="106">
        <f>COPY!AR3420</f>
        <v>0</v>
      </c>
      <c r="C3428" s="107">
        <f>COPY!AC3420</f>
        <v>0</v>
      </c>
      <c r="D3428" s="107" t="str">
        <f>IF(LEN(Table1722[[#This Row],[Uraian]])&gt;2,1," ")</f>
        <v xml:space="preserve"> </v>
      </c>
      <c r="E3428" s="113" t="str">
        <f>IF(Table1722[[#This Row],[Lawan Transaksi]]="CV AGUNG KARYA",COUNTIF($I$10:I3428,"CV AGUNG KARYA")," ")</f>
        <v xml:space="preserve"> </v>
      </c>
      <c r="F3428" s="107" t="str">
        <f>IF(LEN(Table1722[[#This Row],[Uraian]])&gt;2,TRIM(RIGHT(SUBSTITUTE(TRIM(C3428)," ",REPT(" ",255)),255))," ")</f>
        <v xml:space="preserve"> </v>
      </c>
      <c r="G3428" s="110">
        <f>COPY!Z3420</f>
        <v>0</v>
      </c>
      <c r="H3428" s="111" t="str">
        <f>IFERROR(VLOOKUP(Table1722[[#This Row],[Bukti]],'Un nOTA'!$A$4:$K$5003,10,FALSE),"")</f>
        <v/>
      </c>
      <c r="I3428" s="123" t="str">
        <f>IFERROR(VLOOKUP(Table1722[[#This Row],[Bukti]],Table13[#Data],11,FALSE),"")</f>
        <v/>
      </c>
    </row>
    <row r="3429" spans="1:9" hidden="1" x14ac:dyDescent="0.2">
      <c r="A3429" s="105" t="str">
        <f>IF(D3429=1,COUNTIF($D$10:D3429,1)," ")</f>
        <v xml:space="preserve"> </v>
      </c>
      <c r="B3429" s="106">
        <f>COPY!AR3421</f>
        <v>0</v>
      </c>
      <c r="C3429" s="107">
        <f>COPY!AC3421</f>
        <v>0</v>
      </c>
      <c r="D3429" s="107" t="str">
        <f>IF(LEN(Table1722[[#This Row],[Uraian]])&gt;2,1," ")</f>
        <v xml:space="preserve"> </v>
      </c>
      <c r="E3429" s="113" t="str">
        <f>IF(Table1722[[#This Row],[Lawan Transaksi]]="CV AGUNG KARYA",COUNTIF($I$10:I3429,"CV AGUNG KARYA")," ")</f>
        <v xml:space="preserve"> </v>
      </c>
      <c r="F3429" s="107" t="str">
        <f>IF(LEN(Table1722[[#This Row],[Uraian]])&gt;2,TRIM(RIGHT(SUBSTITUTE(TRIM(C3429)," ",REPT(" ",255)),255))," ")</f>
        <v xml:space="preserve"> </v>
      </c>
      <c r="G3429" s="110">
        <f>COPY!Z3421</f>
        <v>0</v>
      </c>
      <c r="H3429" s="111" t="str">
        <f>IFERROR(VLOOKUP(Table1722[[#This Row],[Bukti]],'Un nOTA'!$A$4:$K$5003,10,FALSE),"")</f>
        <v/>
      </c>
      <c r="I3429" s="123" t="str">
        <f>IFERROR(VLOOKUP(Table1722[[#This Row],[Bukti]],Table13[#Data],11,FALSE),"")</f>
        <v/>
      </c>
    </row>
    <row r="3430" spans="1:9" hidden="1" x14ac:dyDescent="0.2">
      <c r="A3430" s="105" t="str">
        <f>IF(D3430=1,COUNTIF($D$10:D3430,1)," ")</f>
        <v xml:space="preserve"> </v>
      </c>
      <c r="B3430" s="106">
        <f>COPY!AR3422</f>
        <v>0</v>
      </c>
      <c r="C3430" s="107">
        <f>COPY!AC3422</f>
        <v>0</v>
      </c>
      <c r="D3430" s="107" t="str">
        <f>IF(LEN(Table1722[[#This Row],[Uraian]])&gt;2,1," ")</f>
        <v xml:space="preserve"> </v>
      </c>
      <c r="E3430" s="113" t="str">
        <f>IF(Table1722[[#This Row],[Lawan Transaksi]]="CV AGUNG KARYA",COUNTIF($I$10:I3430,"CV AGUNG KARYA")," ")</f>
        <v xml:space="preserve"> </v>
      </c>
      <c r="F3430" s="107" t="str">
        <f>IF(LEN(Table1722[[#This Row],[Uraian]])&gt;2,TRIM(RIGHT(SUBSTITUTE(TRIM(C3430)," ",REPT(" ",255)),255))," ")</f>
        <v xml:space="preserve"> </v>
      </c>
      <c r="G3430" s="110">
        <f>COPY!Z3422</f>
        <v>0</v>
      </c>
      <c r="H3430" s="111" t="str">
        <f>IFERROR(VLOOKUP(Table1722[[#This Row],[Bukti]],'Un nOTA'!$A$4:$K$5003,10,FALSE),"")</f>
        <v/>
      </c>
      <c r="I3430" s="123" t="str">
        <f>IFERROR(VLOOKUP(Table1722[[#This Row],[Bukti]],Table13[#Data],11,FALSE),"")</f>
        <v/>
      </c>
    </row>
    <row r="3431" spans="1:9" hidden="1" x14ac:dyDescent="0.2">
      <c r="A3431" s="105" t="str">
        <f>IF(D3431=1,COUNTIF($D$10:D3431,1)," ")</f>
        <v xml:space="preserve"> </v>
      </c>
      <c r="B3431" s="106">
        <f>COPY!AR3423</f>
        <v>0</v>
      </c>
      <c r="C3431" s="107">
        <f>COPY!AC3423</f>
        <v>0</v>
      </c>
      <c r="D3431" s="107" t="str">
        <f>IF(LEN(Table1722[[#This Row],[Uraian]])&gt;2,1," ")</f>
        <v xml:space="preserve"> </v>
      </c>
      <c r="E3431" s="113" t="str">
        <f>IF(Table1722[[#This Row],[Lawan Transaksi]]="CV AGUNG KARYA",COUNTIF($I$10:I3431,"CV AGUNG KARYA")," ")</f>
        <v xml:space="preserve"> </v>
      </c>
      <c r="F3431" s="107" t="str">
        <f>IF(LEN(Table1722[[#This Row],[Uraian]])&gt;2,TRIM(RIGHT(SUBSTITUTE(TRIM(C3431)," ",REPT(" ",255)),255))," ")</f>
        <v xml:space="preserve"> </v>
      </c>
      <c r="G3431" s="110">
        <f>COPY!Z3423</f>
        <v>0</v>
      </c>
      <c r="H3431" s="111" t="str">
        <f>IFERROR(VLOOKUP(Table1722[[#This Row],[Bukti]],'Un nOTA'!$A$4:$K$5003,10,FALSE),"")</f>
        <v/>
      </c>
      <c r="I3431" s="123" t="str">
        <f>IFERROR(VLOOKUP(Table1722[[#This Row],[Bukti]],Table13[#Data],11,FALSE),"")</f>
        <v/>
      </c>
    </row>
    <row r="3432" spans="1:9" hidden="1" x14ac:dyDescent="0.2">
      <c r="A3432" s="105" t="str">
        <f>IF(D3432=1,COUNTIF($D$10:D3432,1)," ")</f>
        <v xml:space="preserve"> </v>
      </c>
      <c r="B3432" s="106">
        <f>COPY!AR3424</f>
        <v>0</v>
      </c>
      <c r="C3432" s="107">
        <f>COPY!AC3424</f>
        <v>0</v>
      </c>
      <c r="D3432" s="107" t="str">
        <f>IF(LEN(Table1722[[#This Row],[Uraian]])&gt;2,1," ")</f>
        <v xml:space="preserve"> </v>
      </c>
      <c r="E3432" s="113" t="str">
        <f>IF(Table1722[[#This Row],[Lawan Transaksi]]="CV AGUNG KARYA",COUNTIF($I$10:I3432,"CV AGUNG KARYA")," ")</f>
        <v xml:space="preserve"> </v>
      </c>
      <c r="F3432" s="107" t="str">
        <f>IF(LEN(Table1722[[#This Row],[Uraian]])&gt;2,TRIM(RIGHT(SUBSTITUTE(TRIM(C3432)," ",REPT(" ",255)),255))," ")</f>
        <v xml:space="preserve"> </v>
      </c>
      <c r="G3432" s="110">
        <f>COPY!Z3424</f>
        <v>0</v>
      </c>
      <c r="H3432" s="111" t="str">
        <f>IFERROR(VLOOKUP(Table1722[[#This Row],[Bukti]],'Un nOTA'!$A$4:$K$5003,10,FALSE),"")</f>
        <v/>
      </c>
      <c r="I3432" s="123" t="str">
        <f>IFERROR(VLOOKUP(Table1722[[#This Row],[Bukti]],Table13[#Data],11,FALSE),"")</f>
        <v/>
      </c>
    </row>
    <row r="3433" spans="1:9" hidden="1" x14ac:dyDescent="0.2">
      <c r="A3433" s="105" t="str">
        <f>IF(D3433=1,COUNTIF($D$10:D3433,1)," ")</f>
        <v xml:space="preserve"> </v>
      </c>
      <c r="B3433" s="106">
        <f>COPY!AR3425</f>
        <v>0</v>
      </c>
      <c r="C3433" s="107">
        <f>COPY!AC3425</f>
        <v>0</v>
      </c>
      <c r="D3433" s="107" t="str">
        <f>IF(LEN(Table1722[[#This Row],[Uraian]])&gt;2,1," ")</f>
        <v xml:space="preserve"> </v>
      </c>
      <c r="E3433" s="113" t="str">
        <f>IF(Table1722[[#This Row],[Lawan Transaksi]]="CV AGUNG KARYA",COUNTIF($I$10:I3433,"CV AGUNG KARYA")," ")</f>
        <v xml:space="preserve"> </v>
      </c>
      <c r="F3433" s="107" t="str">
        <f>IF(LEN(Table1722[[#This Row],[Uraian]])&gt;2,TRIM(RIGHT(SUBSTITUTE(TRIM(C3433)," ",REPT(" ",255)),255))," ")</f>
        <v xml:space="preserve"> </v>
      </c>
      <c r="G3433" s="110">
        <f>COPY!Z3425</f>
        <v>0</v>
      </c>
      <c r="H3433" s="111" t="str">
        <f>IFERROR(VLOOKUP(Table1722[[#This Row],[Bukti]],'Un nOTA'!$A$4:$K$5003,10,FALSE),"")</f>
        <v/>
      </c>
      <c r="I3433" s="123" t="str">
        <f>IFERROR(VLOOKUP(Table1722[[#This Row],[Bukti]],Table13[#Data],11,FALSE),"")</f>
        <v/>
      </c>
    </row>
    <row r="3434" spans="1:9" hidden="1" x14ac:dyDescent="0.2">
      <c r="A3434" s="105" t="str">
        <f>IF(D3434=1,COUNTIF($D$10:D3434,1)," ")</f>
        <v xml:space="preserve"> </v>
      </c>
      <c r="B3434" s="106">
        <f>COPY!AR3426</f>
        <v>0</v>
      </c>
      <c r="C3434" s="107">
        <f>COPY!AC3426</f>
        <v>0</v>
      </c>
      <c r="D3434" s="107" t="str">
        <f>IF(LEN(Table1722[[#This Row],[Uraian]])&gt;2,1," ")</f>
        <v xml:space="preserve"> </v>
      </c>
      <c r="E3434" s="113" t="str">
        <f>IF(Table1722[[#This Row],[Lawan Transaksi]]="CV AGUNG KARYA",COUNTIF($I$10:I3434,"CV AGUNG KARYA")," ")</f>
        <v xml:space="preserve"> </v>
      </c>
      <c r="F3434" s="107" t="str">
        <f>IF(LEN(Table1722[[#This Row],[Uraian]])&gt;2,TRIM(RIGHT(SUBSTITUTE(TRIM(C3434)," ",REPT(" ",255)),255))," ")</f>
        <v xml:space="preserve"> </v>
      </c>
      <c r="G3434" s="110">
        <f>COPY!Z3426</f>
        <v>0</v>
      </c>
      <c r="H3434" s="111" t="str">
        <f>IFERROR(VLOOKUP(Table1722[[#This Row],[Bukti]],'Un nOTA'!$A$4:$K$5003,10,FALSE),"")</f>
        <v/>
      </c>
      <c r="I3434" s="123" t="str">
        <f>IFERROR(VLOOKUP(Table1722[[#This Row],[Bukti]],Table13[#Data],11,FALSE),"")</f>
        <v/>
      </c>
    </row>
    <row r="3435" spans="1:9" hidden="1" x14ac:dyDescent="0.2">
      <c r="A3435" s="105" t="str">
        <f>IF(D3435=1,COUNTIF($D$10:D3435,1)," ")</f>
        <v xml:space="preserve"> </v>
      </c>
      <c r="B3435" s="106">
        <f>COPY!AR3427</f>
        <v>0</v>
      </c>
      <c r="C3435" s="107">
        <f>COPY!AC3427</f>
        <v>0</v>
      </c>
      <c r="D3435" s="107" t="str">
        <f>IF(LEN(Table1722[[#This Row],[Uraian]])&gt;2,1," ")</f>
        <v xml:space="preserve"> </v>
      </c>
      <c r="E3435" s="113" t="str">
        <f>IF(Table1722[[#This Row],[Lawan Transaksi]]="CV AGUNG KARYA",COUNTIF($I$10:I3435,"CV AGUNG KARYA")," ")</f>
        <v xml:space="preserve"> </v>
      </c>
      <c r="F3435" s="107" t="str">
        <f>IF(LEN(Table1722[[#This Row],[Uraian]])&gt;2,TRIM(RIGHT(SUBSTITUTE(TRIM(C3435)," ",REPT(" ",255)),255))," ")</f>
        <v xml:space="preserve"> </v>
      </c>
      <c r="G3435" s="110">
        <f>COPY!Z3427</f>
        <v>0</v>
      </c>
      <c r="H3435" s="111" t="str">
        <f>IFERROR(VLOOKUP(Table1722[[#This Row],[Bukti]],'Un nOTA'!$A$4:$K$5003,10,FALSE),"")</f>
        <v/>
      </c>
      <c r="I3435" s="123" t="str">
        <f>IFERROR(VLOOKUP(Table1722[[#This Row],[Bukti]],Table13[#Data],11,FALSE),"")</f>
        <v/>
      </c>
    </row>
    <row r="3436" spans="1:9" hidden="1" x14ac:dyDescent="0.2">
      <c r="A3436" s="105" t="str">
        <f>IF(D3436=1,COUNTIF($D$10:D3436,1)," ")</f>
        <v xml:space="preserve"> </v>
      </c>
      <c r="B3436" s="106">
        <f>COPY!AR3428</f>
        <v>0</v>
      </c>
      <c r="C3436" s="107">
        <f>COPY!AC3428</f>
        <v>0</v>
      </c>
      <c r="D3436" s="107" t="str">
        <f>IF(LEN(Table1722[[#This Row],[Uraian]])&gt;2,1," ")</f>
        <v xml:space="preserve"> </v>
      </c>
      <c r="E3436" s="113" t="str">
        <f>IF(Table1722[[#This Row],[Lawan Transaksi]]="CV AGUNG KARYA",COUNTIF($I$10:I3436,"CV AGUNG KARYA")," ")</f>
        <v xml:space="preserve"> </v>
      </c>
      <c r="F3436" s="107" t="str">
        <f>IF(LEN(Table1722[[#This Row],[Uraian]])&gt;2,TRIM(RIGHT(SUBSTITUTE(TRIM(C3436)," ",REPT(" ",255)),255))," ")</f>
        <v xml:space="preserve"> </v>
      </c>
      <c r="G3436" s="110">
        <f>COPY!Z3428</f>
        <v>0</v>
      </c>
      <c r="H3436" s="111" t="str">
        <f>IFERROR(VLOOKUP(Table1722[[#This Row],[Bukti]],'Un nOTA'!$A$4:$K$5003,10,FALSE),"")</f>
        <v/>
      </c>
      <c r="I3436" s="123" t="str">
        <f>IFERROR(VLOOKUP(Table1722[[#This Row],[Bukti]],Table13[#Data],11,FALSE),"")</f>
        <v/>
      </c>
    </row>
    <row r="3437" spans="1:9" hidden="1" x14ac:dyDescent="0.2">
      <c r="A3437" s="105" t="str">
        <f>IF(D3437=1,COUNTIF($D$10:D3437,1)," ")</f>
        <v xml:space="preserve"> </v>
      </c>
      <c r="B3437" s="106">
        <f>COPY!AR3429</f>
        <v>0</v>
      </c>
      <c r="C3437" s="107">
        <f>COPY!AC3429</f>
        <v>0</v>
      </c>
      <c r="D3437" s="107" t="str">
        <f>IF(LEN(Table1722[[#This Row],[Uraian]])&gt;2,1," ")</f>
        <v xml:space="preserve"> </v>
      </c>
      <c r="E3437" s="113" t="str">
        <f>IF(Table1722[[#This Row],[Lawan Transaksi]]="CV AGUNG KARYA",COUNTIF($I$10:I3437,"CV AGUNG KARYA")," ")</f>
        <v xml:space="preserve"> </v>
      </c>
      <c r="F3437" s="107" t="str">
        <f>IF(LEN(Table1722[[#This Row],[Uraian]])&gt;2,TRIM(RIGHT(SUBSTITUTE(TRIM(C3437)," ",REPT(" ",255)),255))," ")</f>
        <v xml:space="preserve"> </v>
      </c>
      <c r="G3437" s="110">
        <f>COPY!Z3429</f>
        <v>0</v>
      </c>
      <c r="H3437" s="111" t="str">
        <f>IFERROR(VLOOKUP(Table1722[[#This Row],[Bukti]],'Un nOTA'!$A$4:$K$5003,10,FALSE),"")</f>
        <v/>
      </c>
      <c r="I3437" s="123" t="str">
        <f>IFERROR(VLOOKUP(Table1722[[#This Row],[Bukti]],Table13[#Data],11,FALSE),"")</f>
        <v/>
      </c>
    </row>
    <row r="3438" spans="1:9" hidden="1" x14ac:dyDescent="0.2">
      <c r="A3438" s="105" t="str">
        <f>IF(D3438=1,COUNTIF($D$10:D3438,1)," ")</f>
        <v xml:space="preserve"> </v>
      </c>
      <c r="B3438" s="106">
        <f>COPY!AR3430</f>
        <v>0</v>
      </c>
      <c r="C3438" s="107">
        <f>COPY!AC3430</f>
        <v>0</v>
      </c>
      <c r="D3438" s="107" t="str">
        <f>IF(LEN(Table1722[[#This Row],[Uraian]])&gt;2,1," ")</f>
        <v xml:space="preserve"> </v>
      </c>
      <c r="E3438" s="113" t="str">
        <f>IF(Table1722[[#This Row],[Lawan Transaksi]]="CV AGUNG KARYA",COUNTIF($I$10:I3438,"CV AGUNG KARYA")," ")</f>
        <v xml:space="preserve"> </v>
      </c>
      <c r="F3438" s="107" t="str">
        <f>IF(LEN(Table1722[[#This Row],[Uraian]])&gt;2,TRIM(RIGHT(SUBSTITUTE(TRIM(C3438)," ",REPT(" ",255)),255))," ")</f>
        <v xml:space="preserve"> </v>
      </c>
      <c r="G3438" s="110">
        <f>COPY!Z3430</f>
        <v>0</v>
      </c>
      <c r="H3438" s="111" t="str">
        <f>IFERROR(VLOOKUP(Table1722[[#This Row],[Bukti]],'Un nOTA'!$A$4:$K$5003,10,FALSE),"")</f>
        <v/>
      </c>
      <c r="I3438" s="123" t="str">
        <f>IFERROR(VLOOKUP(Table1722[[#This Row],[Bukti]],Table13[#Data],11,FALSE),"")</f>
        <v/>
      </c>
    </row>
    <row r="3439" spans="1:9" hidden="1" x14ac:dyDescent="0.2">
      <c r="A3439" s="105" t="str">
        <f>IF(D3439=1,COUNTIF($D$10:D3439,1)," ")</f>
        <v xml:space="preserve"> </v>
      </c>
      <c r="B3439" s="106">
        <f>COPY!AR3431</f>
        <v>0</v>
      </c>
      <c r="C3439" s="107">
        <f>COPY!AC3431</f>
        <v>0</v>
      </c>
      <c r="D3439" s="107" t="str">
        <f>IF(LEN(Table1722[[#This Row],[Uraian]])&gt;2,1," ")</f>
        <v xml:space="preserve"> </v>
      </c>
      <c r="E3439" s="113" t="str">
        <f>IF(Table1722[[#This Row],[Lawan Transaksi]]="CV AGUNG KARYA",COUNTIF($I$10:I3439,"CV AGUNG KARYA")," ")</f>
        <v xml:space="preserve"> </v>
      </c>
      <c r="F3439" s="107" t="str">
        <f>IF(LEN(Table1722[[#This Row],[Uraian]])&gt;2,TRIM(RIGHT(SUBSTITUTE(TRIM(C3439)," ",REPT(" ",255)),255))," ")</f>
        <v xml:space="preserve"> </v>
      </c>
      <c r="G3439" s="110">
        <f>COPY!Z3431</f>
        <v>0</v>
      </c>
      <c r="H3439" s="111" t="str">
        <f>IFERROR(VLOOKUP(Table1722[[#This Row],[Bukti]],'Un nOTA'!$A$4:$K$5003,10,FALSE),"")</f>
        <v/>
      </c>
      <c r="I3439" s="123" t="str">
        <f>IFERROR(VLOOKUP(Table1722[[#This Row],[Bukti]],Table13[#Data],11,FALSE),"")</f>
        <v/>
      </c>
    </row>
    <row r="3440" spans="1:9" hidden="1" x14ac:dyDescent="0.2">
      <c r="A3440" s="105" t="str">
        <f>IF(D3440=1,COUNTIF($D$10:D3440,1)," ")</f>
        <v xml:space="preserve"> </v>
      </c>
      <c r="B3440" s="106">
        <f>COPY!AR3432</f>
        <v>0</v>
      </c>
      <c r="C3440" s="107">
        <f>COPY!AC3432</f>
        <v>0</v>
      </c>
      <c r="D3440" s="107" t="str">
        <f>IF(LEN(Table1722[[#This Row],[Uraian]])&gt;2,1," ")</f>
        <v xml:space="preserve"> </v>
      </c>
      <c r="E3440" s="113" t="str">
        <f>IF(Table1722[[#This Row],[Lawan Transaksi]]="CV AGUNG KARYA",COUNTIF($I$10:I3440,"CV AGUNG KARYA")," ")</f>
        <v xml:space="preserve"> </v>
      </c>
      <c r="F3440" s="107" t="str">
        <f>IF(LEN(Table1722[[#This Row],[Uraian]])&gt;2,TRIM(RIGHT(SUBSTITUTE(TRIM(C3440)," ",REPT(" ",255)),255))," ")</f>
        <v xml:space="preserve"> </v>
      </c>
      <c r="G3440" s="110">
        <f>COPY!Z3432</f>
        <v>0</v>
      </c>
      <c r="H3440" s="111" t="str">
        <f>IFERROR(VLOOKUP(Table1722[[#This Row],[Bukti]],'Un nOTA'!$A$4:$K$5003,10,FALSE),"")</f>
        <v/>
      </c>
      <c r="I3440" s="123" t="str">
        <f>IFERROR(VLOOKUP(Table1722[[#This Row],[Bukti]],Table13[#Data],11,FALSE),"")</f>
        <v/>
      </c>
    </row>
    <row r="3441" spans="1:9" hidden="1" x14ac:dyDescent="0.2">
      <c r="A3441" s="105" t="str">
        <f>IF(D3441=1,COUNTIF($D$10:D3441,1)," ")</f>
        <v xml:space="preserve"> </v>
      </c>
      <c r="B3441" s="106">
        <f>COPY!AR3433</f>
        <v>0</v>
      </c>
      <c r="C3441" s="107">
        <f>COPY!AC3433</f>
        <v>0</v>
      </c>
      <c r="D3441" s="107" t="str">
        <f>IF(LEN(Table1722[[#This Row],[Uraian]])&gt;2,1," ")</f>
        <v xml:space="preserve"> </v>
      </c>
      <c r="E3441" s="113" t="str">
        <f>IF(Table1722[[#This Row],[Lawan Transaksi]]="CV AGUNG KARYA",COUNTIF($I$10:I3441,"CV AGUNG KARYA")," ")</f>
        <v xml:space="preserve"> </v>
      </c>
      <c r="F3441" s="107" t="str">
        <f>IF(LEN(Table1722[[#This Row],[Uraian]])&gt;2,TRIM(RIGHT(SUBSTITUTE(TRIM(C3441)," ",REPT(" ",255)),255))," ")</f>
        <v xml:space="preserve"> </v>
      </c>
      <c r="G3441" s="110">
        <f>COPY!Z3433</f>
        <v>0</v>
      </c>
      <c r="H3441" s="111" t="str">
        <f>IFERROR(VLOOKUP(Table1722[[#This Row],[Bukti]],'Un nOTA'!$A$4:$K$5003,10,FALSE),"")</f>
        <v/>
      </c>
      <c r="I3441" s="123" t="str">
        <f>IFERROR(VLOOKUP(Table1722[[#This Row],[Bukti]],Table13[#Data],11,FALSE),"")</f>
        <v/>
      </c>
    </row>
    <row r="3442" spans="1:9" hidden="1" x14ac:dyDescent="0.2">
      <c r="A3442" s="105" t="str">
        <f>IF(D3442=1,COUNTIF($D$10:D3442,1)," ")</f>
        <v xml:space="preserve"> </v>
      </c>
      <c r="B3442" s="106">
        <f>COPY!AR3434</f>
        <v>0</v>
      </c>
      <c r="C3442" s="107">
        <f>COPY!AC3434</f>
        <v>0</v>
      </c>
      <c r="D3442" s="107" t="str">
        <f>IF(LEN(Table1722[[#This Row],[Uraian]])&gt;2,1," ")</f>
        <v xml:space="preserve"> </v>
      </c>
      <c r="E3442" s="113" t="str">
        <f>IF(Table1722[[#This Row],[Lawan Transaksi]]="CV AGUNG KARYA",COUNTIF($I$10:I3442,"CV AGUNG KARYA")," ")</f>
        <v xml:space="preserve"> </v>
      </c>
      <c r="F3442" s="107" t="str">
        <f>IF(LEN(Table1722[[#This Row],[Uraian]])&gt;2,TRIM(RIGHT(SUBSTITUTE(TRIM(C3442)," ",REPT(" ",255)),255))," ")</f>
        <v xml:space="preserve"> </v>
      </c>
      <c r="G3442" s="110">
        <f>COPY!Z3434</f>
        <v>0</v>
      </c>
      <c r="H3442" s="111" t="str">
        <f>IFERROR(VLOOKUP(Table1722[[#This Row],[Bukti]],'Un nOTA'!$A$4:$K$5003,10,FALSE),"")</f>
        <v/>
      </c>
      <c r="I3442" s="123" t="str">
        <f>IFERROR(VLOOKUP(Table1722[[#This Row],[Bukti]],Table13[#Data],11,FALSE),"")</f>
        <v/>
      </c>
    </row>
    <row r="3443" spans="1:9" hidden="1" x14ac:dyDescent="0.2">
      <c r="A3443" s="105" t="str">
        <f>IF(D3443=1,COUNTIF($D$10:D3443,1)," ")</f>
        <v xml:space="preserve"> </v>
      </c>
      <c r="B3443" s="106">
        <f>COPY!AR3435</f>
        <v>0</v>
      </c>
      <c r="C3443" s="107">
        <f>COPY!AC3435</f>
        <v>0</v>
      </c>
      <c r="D3443" s="107" t="str">
        <f>IF(LEN(Table1722[[#This Row],[Uraian]])&gt;2,1," ")</f>
        <v xml:space="preserve"> </v>
      </c>
      <c r="E3443" s="113" t="str">
        <f>IF(Table1722[[#This Row],[Lawan Transaksi]]="CV AGUNG KARYA",COUNTIF($I$10:I3443,"CV AGUNG KARYA")," ")</f>
        <v xml:space="preserve"> </v>
      </c>
      <c r="F3443" s="107" t="str">
        <f>IF(LEN(Table1722[[#This Row],[Uraian]])&gt;2,TRIM(RIGHT(SUBSTITUTE(TRIM(C3443)," ",REPT(" ",255)),255))," ")</f>
        <v xml:space="preserve"> </v>
      </c>
      <c r="G3443" s="110">
        <f>COPY!Z3435</f>
        <v>0</v>
      </c>
      <c r="H3443" s="111" t="str">
        <f>IFERROR(VLOOKUP(Table1722[[#This Row],[Bukti]],'Un nOTA'!$A$4:$K$5003,10,FALSE),"")</f>
        <v/>
      </c>
      <c r="I3443" s="123" t="str">
        <f>IFERROR(VLOOKUP(Table1722[[#This Row],[Bukti]],Table13[#Data],11,FALSE),"")</f>
        <v/>
      </c>
    </row>
    <row r="3444" spans="1:9" hidden="1" x14ac:dyDescent="0.2">
      <c r="A3444" s="105" t="str">
        <f>IF(D3444=1,COUNTIF($D$10:D3444,1)," ")</f>
        <v xml:space="preserve"> </v>
      </c>
      <c r="B3444" s="106">
        <f>COPY!AR3436</f>
        <v>0</v>
      </c>
      <c r="C3444" s="107">
        <f>COPY!AC3436</f>
        <v>0</v>
      </c>
      <c r="D3444" s="107" t="str">
        <f>IF(LEN(Table1722[[#This Row],[Uraian]])&gt;2,1," ")</f>
        <v xml:space="preserve"> </v>
      </c>
      <c r="E3444" s="113" t="str">
        <f>IF(Table1722[[#This Row],[Lawan Transaksi]]="CV AGUNG KARYA",COUNTIF($I$10:I3444,"CV AGUNG KARYA")," ")</f>
        <v xml:space="preserve"> </v>
      </c>
      <c r="F3444" s="107" t="str">
        <f>IF(LEN(Table1722[[#This Row],[Uraian]])&gt;2,TRIM(RIGHT(SUBSTITUTE(TRIM(C3444)," ",REPT(" ",255)),255))," ")</f>
        <v xml:space="preserve"> </v>
      </c>
      <c r="G3444" s="110">
        <f>COPY!Z3436</f>
        <v>0</v>
      </c>
      <c r="H3444" s="111" t="str">
        <f>IFERROR(VLOOKUP(Table1722[[#This Row],[Bukti]],'Un nOTA'!$A$4:$K$5003,10,FALSE),"")</f>
        <v/>
      </c>
      <c r="I3444" s="123" t="str">
        <f>IFERROR(VLOOKUP(Table1722[[#This Row],[Bukti]],Table13[#Data],11,FALSE),"")</f>
        <v/>
      </c>
    </row>
    <row r="3445" spans="1:9" hidden="1" x14ac:dyDescent="0.2">
      <c r="A3445" s="105" t="str">
        <f>IF(D3445=1,COUNTIF($D$10:D3445,1)," ")</f>
        <v xml:space="preserve"> </v>
      </c>
      <c r="B3445" s="106">
        <f>COPY!AR3437</f>
        <v>0</v>
      </c>
      <c r="C3445" s="107">
        <f>COPY!AC3437</f>
        <v>0</v>
      </c>
      <c r="D3445" s="107" t="str">
        <f>IF(LEN(Table1722[[#This Row],[Uraian]])&gt;2,1," ")</f>
        <v xml:space="preserve"> </v>
      </c>
      <c r="E3445" s="113" t="str">
        <f>IF(Table1722[[#This Row],[Lawan Transaksi]]="CV AGUNG KARYA",COUNTIF($I$10:I3445,"CV AGUNG KARYA")," ")</f>
        <v xml:space="preserve"> </v>
      </c>
      <c r="F3445" s="107" t="str">
        <f>IF(LEN(Table1722[[#This Row],[Uraian]])&gt;2,TRIM(RIGHT(SUBSTITUTE(TRIM(C3445)," ",REPT(" ",255)),255))," ")</f>
        <v xml:space="preserve"> </v>
      </c>
      <c r="G3445" s="110">
        <f>COPY!Z3437</f>
        <v>0</v>
      </c>
      <c r="H3445" s="111" t="str">
        <f>IFERROR(VLOOKUP(Table1722[[#This Row],[Bukti]],'Un nOTA'!$A$4:$K$5003,10,FALSE),"")</f>
        <v/>
      </c>
      <c r="I3445" s="123" t="str">
        <f>IFERROR(VLOOKUP(Table1722[[#This Row],[Bukti]],Table13[#Data],11,FALSE),"")</f>
        <v/>
      </c>
    </row>
    <row r="3446" spans="1:9" hidden="1" x14ac:dyDescent="0.2">
      <c r="A3446" s="105" t="str">
        <f>IF(D3446=1,COUNTIF($D$10:D3446,1)," ")</f>
        <v xml:space="preserve"> </v>
      </c>
      <c r="B3446" s="106">
        <f>COPY!AR3438</f>
        <v>0</v>
      </c>
      <c r="C3446" s="107">
        <f>COPY!AC3438</f>
        <v>0</v>
      </c>
      <c r="D3446" s="107" t="str">
        <f>IF(LEN(Table1722[[#This Row],[Uraian]])&gt;2,1," ")</f>
        <v xml:space="preserve"> </v>
      </c>
      <c r="E3446" s="113" t="str">
        <f>IF(Table1722[[#This Row],[Lawan Transaksi]]="CV AGUNG KARYA",COUNTIF($I$10:I3446,"CV AGUNG KARYA")," ")</f>
        <v xml:space="preserve"> </v>
      </c>
      <c r="F3446" s="107" t="str">
        <f>IF(LEN(Table1722[[#This Row],[Uraian]])&gt;2,TRIM(RIGHT(SUBSTITUTE(TRIM(C3446)," ",REPT(" ",255)),255))," ")</f>
        <v xml:space="preserve"> </v>
      </c>
      <c r="G3446" s="110">
        <f>COPY!Z3438</f>
        <v>0</v>
      </c>
      <c r="H3446" s="111" t="str">
        <f>IFERROR(VLOOKUP(Table1722[[#This Row],[Bukti]],'Un nOTA'!$A$4:$K$5003,10,FALSE),"")</f>
        <v/>
      </c>
      <c r="I3446" s="123" t="str">
        <f>IFERROR(VLOOKUP(Table1722[[#This Row],[Bukti]],Table13[#Data],11,FALSE),"")</f>
        <v/>
      </c>
    </row>
    <row r="3447" spans="1:9" hidden="1" x14ac:dyDescent="0.2">
      <c r="A3447" s="105" t="str">
        <f>IF(D3447=1,COUNTIF($D$10:D3447,1)," ")</f>
        <v xml:space="preserve"> </v>
      </c>
      <c r="B3447" s="106">
        <f>COPY!AR3439</f>
        <v>0</v>
      </c>
      <c r="C3447" s="107">
        <f>COPY!AC3439</f>
        <v>0</v>
      </c>
      <c r="D3447" s="107" t="str">
        <f>IF(LEN(Table1722[[#This Row],[Uraian]])&gt;2,1," ")</f>
        <v xml:space="preserve"> </v>
      </c>
      <c r="E3447" s="113" t="str">
        <f>IF(Table1722[[#This Row],[Lawan Transaksi]]="CV AGUNG KARYA",COUNTIF($I$10:I3447,"CV AGUNG KARYA")," ")</f>
        <v xml:space="preserve"> </v>
      </c>
      <c r="F3447" s="107" t="str">
        <f>IF(LEN(Table1722[[#This Row],[Uraian]])&gt;2,TRIM(RIGHT(SUBSTITUTE(TRIM(C3447)," ",REPT(" ",255)),255))," ")</f>
        <v xml:space="preserve"> </v>
      </c>
      <c r="G3447" s="110">
        <f>COPY!Z3439</f>
        <v>0</v>
      </c>
      <c r="H3447" s="111" t="str">
        <f>IFERROR(VLOOKUP(Table1722[[#This Row],[Bukti]],'Un nOTA'!$A$4:$K$5003,10,FALSE),"")</f>
        <v/>
      </c>
      <c r="I3447" s="123" t="str">
        <f>IFERROR(VLOOKUP(Table1722[[#This Row],[Bukti]],Table13[#Data],11,FALSE),"")</f>
        <v/>
      </c>
    </row>
    <row r="3448" spans="1:9" hidden="1" x14ac:dyDescent="0.2">
      <c r="A3448" s="105" t="str">
        <f>IF(D3448=1,COUNTIF($D$10:D3448,1)," ")</f>
        <v xml:space="preserve"> </v>
      </c>
      <c r="B3448" s="106">
        <f>COPY!AR3440</f>
        <v>0</v>
      </c>
      <c r="C3448" s="107">
        <f>COPY!AC3440</f>
        <v>0</v>
      </c>
      <c r="D3448" s="107" t="str">
        <f>IF(LEN(Table1722[[#This Row],[Uraian]])&gt;2,1," ")</f>
        <v xml:space="preserve"> </v>
      </c>
      <c r="E3448" s="113" t="str">
        <f>IF(Table1722[[#This Row],[Lawan Transaksi]]="CV AGUNG KARYA",COUNTIF($I$10:I3448,"CV AGUNG KARYA")," ")</f>
        <v xml:space="preserve"> </v>
      </c>
      <c r="F3448" s="107" t="str">
        <f>IF(LEN(Table1722[[#This Row],[Uraian]])&gt;2,TRIM(RIGHT(SUBSTITUTE(TRIM(C3448)," ",REPT(" ",255)),255))," ")</f>
        <v xml:space="preserve"> </v>
      </c>
      <c r="G3448" s="110">
        <f>COPY!Z3440</f>
        <v>0</v>
      </c>
      <c r="H3448" s="111" t="str">
        <f>IFERROR(VLOOKUP(Table1722[[#This Row],[Bukti]],'Un nOTA'!$A$4:$K$5003,10,FALSE),"")</f>
        <v/>
      </c>
      <c r="I3448" s="123" t="str">
        <f>IFERROR(VLOOKUP(Table1722[[#This Row],[Bukti]],Table13[#Data],11,FALSE),"")</f>
        <v/>
      </c>
    </row>
    <row r="3449" spans="1:9" hidden="1" x14ac:dyDescent="0.2">
      <c r="A3449" s="105" t="str">
        <f>IF(D3449=1,COUNTIF($D$10:D3449,1)," ")</f>
        <v xml:space="preserve"> </v>
      </c>
      <c r="B3449" s="106">
        <f>COPY!AR3441</f>
        <v>0</v>
      </c>
      <c r="C3449" s="107">
        <f>COPY!AC3441</f>
        <v>0</v>
      </c>
      <c r="D3449" s="107" t="str">
        <f>IF(LEN(Table1722[[#This Row],[Uraian]])&gt;2,1," ")</f>
        <v xml:space="preserve"> </v>
      </c>
      <c r="E3449" s="113" t="str">
        <f>IF(Table1722[[#This Row],[Lawan Transaksi]]="CV AGUNG KARYA",COUNTIF($I$10:I3449,"CV AGUNG KARYA")," ")</f>
        <v xml:space="preserve"> </v>
      </c>
      <c r="F3449" s="107" t="str">
        <f>IF(LEN(Table1722[[#This Row],[Uraian]])&gt;2,TRIM(RIGHT(SUBSTITUTE(TRIM(C3449)," ",REPT(" ",255)),255))," ")</f>
        <v xml:space="preserve"> </v>
      </c>
      <c r="G3449" s="110">
        <f>COPY!Z3441</f>
        <v>0</v>
      </c>
      <c r="H3449" s="111" t="str">
        <f>IFERROR(VLOOKUP(Table1722[[#This Row],[Bukti]],'Un nOTA'!$A$4:$K$5003,10,FALSE),"")</f>
        <v/>
      </c>
      <c r="I3449" s="123" t="str">
        <f>IFERROR(VLOOKUP(Table1722[[#This Row],[Bukti]],Table13[#Data],11,FALSE),"")</f>
        <v/>
      </c>
    </row>
    <row r="3450" spans="1:9" hidden="1" x14ac:dyDescent="0.2">
      <c r="A3450" s="105" t="str">
        <f>IF(D3450=1,COUNTIF($D$10:D3450,1)," ")</f>
        <v xml:space="preserve"> </v>
      </c>
      <c r="B3450" s="106">
        <f>COPY!AR3442</f>
        <v>0</v>
      </c>
      <c r="C3450" s="107">
        <f>COPY!AC3442</f>
        <v>0</v>
      </c>
      <c r="D3450" s="107" t="str">
        <f>IF(LEN(Table1722[[#This Row],[Uraian]])&gt;2,1," ")</f>
        <v xml:space="preserve"> </v>
      </c>
      <c r="E3450" s="113" t="str">
        <f>IF(Table1722[[#This Row],[Lawan Transaksi]]="CV AGUNG KARYA",COUNTIF($I$10:I3450,"CV AGUNG KARYA")," ")</f>
        <v xml:space="preserve"> </v>
      </c>
      <c r="F3450" s="107" t="str">
        <f>IF(LEN(Table1722[[#This Row],[Uraian]])&gt;2,TRIM(RIGHT(SUBSTITUTE(TRIM(C3450)," ",REPT(" ",255)),255))," ")</f>
        <v xml:space="preserve"> </v>
      </c>
      <c r="G3450" s="110">
        <f>COPY!Z3442</f>
        <v>0</v>
      </c>
      <c r="H3450" s="111" t="str">
        <f>IFERROR(VLOOKUP(Table1722[[#This Row],[Bukti]],'Un nOTA'!$A$4:$K$5003,10,FALSE),"")</f>
        <v/>
      </c>
      <c r="I3450" s="123" t="str">
        <f>IFERROR(VLOOKUP(Table1722[[#This Row],[Bukti]],Table13[#Data],11,FALSE),"")</f>
        <v/>
      </c>
    </row>
    <row r="3451" spans="1:9" hidden="1" x14ac:dyDescent="0.2">
      <c r="A3451" s="105" t="str">
        <f>IF(D3451=1,COUNTIF($D$10:D3451,1)," ")</f>
        <v xml:space="preserve"> </v>
      </c>
      <c r="B3451" s="106">
        <f>COPY!AR3443</f>
        <v>0</v>
      </c>
      <c r="C3451" s="107">
        <f>COPY!AC3443</f>
        <v>0</v>
      </c>
      <c r="D3451" s="107" t="str">
        <f>IF(LEN(Table1722[[#This Row],[Uraian]])&gt;2,1," ")</f>
        <v xml:space="preserve"> </v>
      </c>
      <c r="E3451" s="113" t="str">
        <f>IF(Table1722[[#This Row],[Lawan Transaksi]]="CV AGUNG KARYA",COUNTIF($I$10:I3451,"CV AGUNG KARYA")," ")</f>
        <v xml:space="preserve"> </v>
      </c>
      <c r="F3451" s="107" t="str">
        <f>IF(LEN(Table1722[[#This Row],[Uraian]])&gt;2,TRIM(RIGHT(SUBSTITUTE(TRIM(C3451)," ",REPT(" ",255)),255))," ")</f>
        <v xml:space="preserve"> </v>
      </c>
      <c r="G3451" s="110">
        <f>COPY!Z3443</f>
        <v>0</v>
      </c>
      <c r="H3451" s="111" t="str">
        <f>IFERROR(VLOOKUP(Table1722[[#This Row],[Bukti]],'Un nOTA'!$A$4:$K$5003,10,FALSE),"")</f>
        <v/>
      </c>
      <c r="I3451" s="123" t="str">
        <f>IFERROR(VLOOKUP(Table1722[[#This Row],[Bukti]],Table13[#Data],11,FALSE),"")</f>
        <v/>
      </c>
    </row>
    <row r="3452" spans="1:9" hidden="1" x14ac:dyDescent="0.2">
      <c r="A3452" s="105" t="str">
        <f>IF(D3452=1,COUNTIF($D$10:D3452,1)," ")</f>
        <v xml:space="preserve"> </v>
      </c>
      <c r="B3452" s="106">
        <f>COPY!AR3444</f>
        <v>0</v>
      </c>
      <c r="C3452" s="107">
        <f>COPY!AC3444</f>
        <v>0</v>
      </c>
      <c r="D3452" s="107" t="str">
        <f>IF(LEN(Table1722[[#This Row],[Uraian]])&gt;2,1," ")</f>
        <v xml:space="preserve"> </v>
      </c>
      <c r="E3452" s="113" t="str">
        <f>IF(Table1722[[#This Row],[Lawan Transaksi]]="CV AGUNG KARYA",COUNTIF($I$10:I3452,"CV AGUNG KARYA")," ")</f>
        <v xml:space="preserve"> </v>
      </c>
      <c r="F3452" s="107" t="str">
        <f>IF(LEN(Table1722[[#This Row],[Uraian]])&gt;2,TRIM(RIGHT(SUBSTITUTE(TRIM(C3452)," ",REPT(" ",255)),255))," ")</f>
        <v xml:space="preserve"> </v>
      </c>
      <c r="G3452" s="110">
        <f>COPY!Z3444</f>
        <v>0</v>
      </c>
      <c r="H3452" s="111" t="str">
        <f>IFERROR(VLOOKUP(Table1722[[#This Row],[Bukti]],'Un nOTA'!$A$4:$K$5003,10,FALSE),"")</f>
        <v/>
      </c>
      <c r="I3452" s="123" t="str">
        <f>IFERROR(VLOOKUP(Table1722[[#This Row],[Bukti]],Table13[#Data],11,FALSE),"")</f>
        <v/>
      </c>
    </row>
    <row r="3453" spans="1:9" hidden="1" x14ac:dyDescent="0.2">
      <c r="A3453" s="105" t="str">
        <f>IF(D3453=1,COUNTIF($D$10:D3453,1)," ")</f>
        <v xml:space="preserve"> </v>
      </c>
      <c r="B3453" s="106">
        <f>COPY!AR3445</f>
        <v>0</v>
      </c>
      <c r="C3453" s="107">
        <f>COPY!AC3445</f>
        <v>0</v>
      </c>
      <c r="D3453" s="107" t="str">
        <f>IF(LEN(Table1722[[#This Row],[Uraian]])&gt;2,1," ")</f>
        <v xml:space="preserve"> </v>
      </c>
      <c r="E3453" s="113" t="str">
        <f>IF(Table1722[[#This Row],[Lawan Transaksi]]="CV AGUNG KARYA",COUNTIF($I$10:I3453,"CV AGUNG KARYA")," ")</f>
        <v xml:space="preserve"> </v>
      </c>
      <c r="F3453" s="107" t="str">
        <f>IF(LEN(Table1722[[#This Row],[Uraian]])&gt;2,TRIM(RIGHT(SUBSTITUTE(TRIM(C3453)," ",REPT(" ",255)),255))," ")</f>
        <v xml:space="preserve"> </v>
      </c>
      <c r="G3453" s="110">
        <f>COPY!Z3445</f>
        <v>0</v>
      </c>
      <c r="H3453" s="111" t="str">
        <f>IFERROR(VLOOKUP(Table1722[[#This Row],[Bukti]],'Un nOTA'!$A$4:$K$5003,10,FALSE),"")</f>
        <v/>
      </c>
      <c r="I3453" s="123" t="str">
        <f>IFERROR(VLOOKUP(Table1722[[#This Row],[Bukti]],Table13[#Data],11,FALSE),"")</f>
        <v/>
      </c>
    </row>
    <row r="3454" spans="1:9" hidden="1" x14ac:dyDescent="0.2">
      <c r="A3454" s="105" t="str">
        <f>IF(D3454=1,COUNTIF($D$10:D3454,1)," ")</f>
        <v xml:space="preserve"> </v>
      </c>
      <c r="B3454" s="106">
        <f>COPY!AR3446</f>
        <v>0</v>
      </c>
      <c r="C3454" s="107">
        <f>COPY!AC3446</f>
        <v>0</v>
      </c>
      <c r="D3454" s="107" t="str">
        <f>IF(LEN(Table1722[[#This Row],[Uraian]])&gt;2,1," ")</f>
        <v xml:space="preserve"> </v>
      </c>
      <c r="E3454" s="113" t="str">
        <f>IF(Table1722[[#This Row],[Lawan Transaksi]]="CV AGUNG KARYA",COUNTIF($I$10:I3454,"CV AGUNG KARYA")," ")</f>
        <v xml:space="preserve"> </v>
      </c>
      <c r="F3454" s="107" t="str">
        <f>IF(LEN(Table1722[[#This Row],[Uraian]])&gt;2,TRIM(RIGHT(SUBSTITUTE(TRIM(C3454)," ",REPT(" ",255)),255))," ")</f>
        <v xml:space="preserve"> </v>
      </c>
      <c r="G3454" s="110">
        <f>COPY!Z3446</f>
        <v>0</v>
      </c>
      <c r="H3454" s="111" t="str">
        <f>IFERROR(VLOOKUP(Table1722[[#This Row],[Bukti]],'Un nOTA'!$A$4:$K$5003,10,FALSE),"")</f>
        <v/>
      </c>
      <c r="I3454" s="123" t="str">
        <f>IFERROR(VLOOKUP(Table1722[[#This Row],[Bukti]],Table13[#Data],11,FALSE),"")</f>
        <v/>
      </c>
    </row>
    <row r="3455" spans="1:9" hidden="1" x14ac:dyDescent="0.2">
      <c r="A3455" s="105" t="str">
        <f>IF(D3455=1,COUNTIF($D$10:D3455,1)," ")</f>
        <v xml:space="preserve"> </v>
      </c>
      <c r="B3455" s="106">
        <f>COPY!AR3447</f>
        <v>0</v>
      </c>
      <c r="C3455" s="107">
        <f>COPY!AC3447</f>
        <v>0</v>
      </c>
      <c r="D3455" s="107" t="str">
        <f>IF(LEN(Table1722[[#This Row],[Uraian]])&gt;2,1," ")</f>
        <v xml:space="preserve"> </v>
      </c>
      <c r="E3455" s="113" t="str">
        <f>IF(Table1722[[#This Row],[Lawan Transaksi]]="CV AGUNG KARYA",COUNTIF($I$10:I3455,"CV AGUNG KARYA")," ")</f>
        <v xml:space="preserve"> </v>
      </c>
      <c r="F3455" s="107" t="str">
        <f>IF(LEN(Table1722[[#This Row],[Uraian]])&gt;2,TRIM(RIGHT(SUBSTITUTE(TRIM(C3455)," ",REPT(" ",255)),255))," ")</f>
        <v xml:space="preserve"> </v>
      </c>
      <c r="G3455" s="110">
        <f>COPY!Z3447</f>
        <v>0</v>
      </c>
      <c r="H3455" s="111" t="str">
        <f>IFERROR(VLOOKUP(Table1722[[#This Row],[Bukti]],'Un nOTA'!$A$4:$K$5003,10,FALSE),"")</f>
        <v/>
      </c>
      <c r="I3455" s="123" t="str">
        <f>IFERROR(VLOOKUP(Table1722[[#This Row],[Bukti]],Table13[#Data],11,FALSE),"")</f>
        <v/>
      </c>
    </row>
    <row r="3456" spans="1:9" hidden="1" x14ac:dyDescent="0.2">
      <c r="A3456" s="105" t="str">
        <f>IF(D3456=1,COUNTIF($D$10:D3456,1)," ")</f>
        <v xml:space="preserve"> </v>
      </c>
      <c r="B3456" s="106">
        <f>COPY!AR3448</f>
        <v>0</v>
      </c>
      <c r="C3456" s="107">
        <f>COPY!AC3448</f>
        <v>0</v>
      </c>
      <c r="D3456" s="107" t="str">
        <f>IF(LEN(Table1722[[#This Row],[Uraian]])&gt;2,1," ")</f>
        <v xml:space="preserve"> </v>
      </c>
      <c r="E3456" s="113" t="str">
        <f>IF(Table1722[[#This Row],[Lawan Transaksi]]="CV AGUNG KARYA",COUNTIF($I$10:I3456,"CV AGUNG KARYA")," ")</f>
        <v xml:space="preserve"> </v>
      </c>
      <c r="F3456" s="107" t="str">
        <f>IF(LEN(Table1722[[#This Row],[Uraian]])&gt;2,TRIM(RIGHT(SUBSTITUTE(TRIM(C3456)," ",REPT(" ",255)),255))," ")</f>
        <v xml:space="preserve"> </v>
      </c>
      <c r="G3456" s="110">
        <f>COPY!Z3448</f>
        <v>0</v>
      </c>
      <c r="H3456" s="111" t="str">
        <f>IFERROR(VLOOKUP(Table1722[[#This Row],[Bukti]],'Un nOTA'!$A$4:$K$5003,10,FALSE),"")</f>
        <v/>
      </c>
      <c r="I3456" s="123" t="str">
        <f>IFERROR(VLOOKUP(Table1722[[#This Row],[Bukti]],Table13[#Data],11,FALSE),"")</f>
        <v/>
      </c>
    </row>
    <row r="3457" spans="1:9" hidden="1" x14ac:dyDescent="0.2">
      <c r="A3457" s="105" t="str">
        <f>IF(D3457=1,COUNTIF($D$10:D3457,1)," ")</f>
        <v xml:space="preserve"> </v>
      </c>
      <c r="B3457" s="106">
        <f>COPY!AR3449</f>
        <v>0</v>
      </c>
      <c r="C3457" s="107">
        <f>COPY!AC3449</f>
        <v>0</v>
      </c>
      <c r="D3457" s="107" t="str">
        <f>IF(LEN(Table1722[[#This Row],[Uraian]])&gt;2,1," ")</f>
        <v xml:space="preserve"> </v>
      </c>
      <c r="E3457" s="113" t="str">
        <f>IF(Table1722[[#This Row],[Lawan Transaksi]]="CV AGUNG KARYA",COUNTIF($I$10:I3457,"CV AGUNG KARYA")," ")</f>
        <v xml:space="preserve"> </v>
      </c>
      <c r="F3457" s="107" t="str">
        <f>IF(LEN(Table1722[[#This Row],[Uraian]])&gt;2,TRIM(RIGHT(SUBSTITUTE(TRIM(C3457)," ",REPT(" ",255)),255))," ")</f>
        <v xml:space="preserve"> </v>
      </c>
      <c r="G3457" s="110">
        <f>COPY!Z3449</f>
        <v>0</v>
      </c>
      <c r="H3457" s="111" t="str">
        <f>IFERROR(VLOOKUP(Table1722[[#This Row],[Bukti]],'Un nOTA'!$A$4:$K$5003,10,FALSE),"")</f>
        <v/>
      </c>
      <c r="I3457" s="123" t="str">
        <f>IFERROR(VLOOKUP(Table1722[[#This Row],[Bukti]],Table13[#Data],11,FALSE),"")</f>
        <v/>
      </c>
    </row>
    <row r="3458" spans="1:9" hidden="1" x14ac:dyDescent="0.2">
      <c r="A3458" s="105" t="str">
        <f>IF(D3458=1,COUNTIF($D$10:D3458,1)," ")</f>
        <v xml:space="preserve"> </v>
      </c>
      <c r="B3458" s="106">
        <f>COPY!AR3450</f>
        <v>0</v>
      </c>
      <c r="C3458" s="107">
        <f>COPY!AC3450</f>
        <v>0</v>
      </c>
      <c r="D3458" s="107" t="str">
        <f>IF(LEN(Table1722[[#This Row],[Uraian]])&gt;2,1," ")</f>
        <v xml:space="preserve"> </v>
      </c>
      <c r="E3458" s="113" t="str">
        <f>IF(Table1722[[#This Row],[Lawan Transaksi]]="CV AGUNG KARYA",COUNTIF($I$10:I3458,"CV AGUNG KARYA")," ")</f>
        <v xml:space="preserve"> </v>
      </c>
      <c r="F3458" s="107" t="str">
        <f>IF(LEN(Table1722[[#This Row],[Uraian]])&gt;2,TRIM(RIGHT(SUBSTITUTE(TRIM(C3458)," ",REPT(" ",255)),255))," ")</f>
        <v xml:space="preserve"> </v>
      </c>
      <c r="G3458" s="110">
        <f>COPY!Z3450</f>
        <v>0</v>
      </c>
      <c r="H3458" s="111" t="str">
        <f>IFERROR(VLOOKUP(Table1722[[#This Row],[Bukti]],'Un nOTA'!$A$4:$K$5003,10,FALSE),"")</f>
        <v/>
      </c>
      <c r="I3458" s="123" t="str">
        <f>IFERROR(VLOOKUP(Table1722[[#This Row],[Bukti]],Table13[#Data],11,FALSE),"")</f>
        <v/>
      </c>
    </row>
    <row r="3459" spans="1:9" hidden="1" x14ac:dyDescent="0.2">
      <c r="A3459" s="105" t="str">
        <f>IF(D3459=1,COUNTIF($D$10:D3459,1)," ")</f>
        <v xml:space="preserve"> </v>
      </c>
      <c r="B3459" s="106">
        <f>COPY!AR3451</f>
        <v>0</v>
      </c>
      <c r="C3459" s="107">
        <f>COPY!AC3451</f>
        <v>0</v>
      </c>
      <c r="D3459" s="107" t="str">
        <f>IF(LEN(Table1722[[#This Row],[Uraian]])&gt;2,1," ")</f>
        <v xml:space="preserve"> </v>
      </c>
      <c r="E3459" s="113" t="str">
        <f>IF(Table1722[[#This Row],[Lawan Transaksi]]="CV AGUNG KARYA",COUNTIF($I$10:I3459,"CV AGUNG KARYA")," ")</f>
        <v xml:space="preserve"> </v>
      </c>
      <c r="F3459" s="107" t="str">
        <f>IF(LEN(Table1722[[#This Row],[Uraian]])&gt;2,TRIM(RIGHT(SUBSTITUTE(TRIM(C3459)," ",REPT(" ",255)),255))," ")</f>
        <v xml:space="preserve"> </v>
      </c>
      <c r="G3459" s="110">
        <f>COPY!Z3451</f>
        <v>0</v>
      </c>
      <c r="H3459" s="111" t="str">
        <f>IFERROR(VLOOKUP(Table1722[[#This Row],[Bukti]],'Un nOTA'!$A$4:$K$5003,10,FALSE),"")</f>
        <v/>
      </c>
      <c r="I3459" s="123" t="str">
        <f>IFERROR(VLOOKUP(Table1722[[#This Row],[Bukti]],Table13[#Data],11,FALSE),"")</f>
        <v/>
      </c>
    </row>
    <row r="3460" spans="1:9" hidden="1" x14ac:dyDescent="0.2">
      <c r="A3460" s="105" t="str">
        <f>IF(D3460=1,COUNTIF($D$10:D3460,1)," ")</f>
        <v xml:space="preserve"> </v>
      </c>
      <c r="B3460" s="106">
        <f>COPY!AR3452</f>
        <v>0</v>
      </c>
      <c r="C3460" s="107">
        <f>COPY!AC3452</f>
        <v>0</v>
      </c>
      <c r="D3460" s="107" t="str">
        <f>IF(LEN(Table1722[[#This Row],[Uraian]])&gt;2,1," ")</f>
        <v xml:space="preserve"> </v>
      </c>
      <c r="E3460" s="113" t="str">
        <f>IF(Table1722[[#This Row],[Lawan Transaksi]]="CV AGUNG KARYA",COUNTIF($I$10:I3460,"CV AGUNG KARYA")," ")</f>
        <v xml:space="preserve"> </v>
      </c>
      <c r="F3460" s="107" t="str">
        <f>IF(LEN(Table1722[[#This Row],[Uraian]])&gt;2,TRIM(RIGHT(SUBSTITUTE(TRIM(C3460)," ",REPT(" ",255)),255))," ")</f>
        <v xml:space="preserve"> </v>
      </c>
      <c r="G3460" s="110">
        <f>COPY!Z3452</f>
        <v>0</v>
      </c>
      <c r="H3460" s="111" t="str">
        <f>IFERROR(VLOOKUP(Table1722[[#This Row],[Bukti]],'Un nOTA'!$A$4:$K$5003,10,FALSE),"")</f>
        <v/>
      </c>
      <c r="I3460" s="123" t="str">
        <f>IFERROR(VLOOKUP(Table1722[[#This Row],[Bukti]],Table13[#Data],11,FALSE),"")</f>
        <v/>
      </c>
    </row>
    <row r="3461" spans="1:9" hidden="1" x14ac:dyDescent="0.2">
      <c r="A3461" s="105" t="str">
        <f>IF(D3461=1,COUNTIF($D$10:D3461,1)," ")</f>
        <v xml:space="preserve"> </v>
      </c>
      <c r="B3461" s="106">
        <f>COPY!AR3453</f>
        <v>0</v>
      </c>
      <c r="C3461" s="107">
        <f>COPY!AC3453</f>
        <v>0</v>
      </c>
      <c r="D3461" s="107" t="str">
        <f>IF(LEN(Table1722[[#This Row],[Uraian]])&gt;2,1," ")</f>
        <v xml:space="preserve"> </v>
      </c>
      <c r="E3461" s="113" t="str">
        <f>IF(Table1722[[#This Row],[Lawan Transaksi]]="CV AGUNG KARYA",COUNTIF($I$10:I3461,"CV AGUNG KARYA")," ")</f>
        <v xml:space="preserve"> </v>
      </c>
      <c r="F3461" s="107" t="str">
        <f>IF(LEN(Table1722[[#This Row],[Uraian]])&gt;2,TRIM(RIGHT(SUBSTITUTE(TRIM(C3461)," ",REPT(" ",255)),255))," ")</f>
        <v xml:space="preserve"> </v>
      </c>
      <c r="G3461" s="110">
        <f>COPY!Z3453</f>
        <v>0</v>
      </c>
      <c r="H3461" s="111" t="str">
        <f>IFERROR(VLOOKUP(Table1722[[#This Row],[Bukti]],'Un nOTA'!$A$4:$K$5003,10,FALSE),"")</f>
        <v/>
      </c>
      <c r="I3461" s="123" t="str">
        <f>IFERROR(VLOOKUP(Table1722[[#This Row],[Bukti]],Table13[#Data],11,FALSE),"")</f>
        <v/>
      </c>
    </row>
    <row r="3462" spans="1:9" hidden="1" x14ac:dyDescent="0.2">
      <c r="A3462" s="105" t="str">
        <f>IF(D3462=1,COUNTIF($D$10:D3462,1)," ")</f>
        <v xml:space="preserve"> </v>
      </c>
      <c r="B3462" s="106">
        <f>COPY!AR3454</f>
        <v>0</v>
      </c>
      <c r="C3462" s="107">
        <f>COPY!AC3454</f>
        <v>0</v>
      </c>
      <c r="D3462" s="107" t="str">
        <f>IF(LEN(Table1722[[#This Row],[Uraian]])&gt;2,1," ")</f>
        <v xml:space="preserve"> </v>
      </c>
      <c r="E3462" s="113" t="str">
        <f>IF(Table1722[[#This Row],[Lawan Transaksi]]="CV AGUNG KARYA",COUNTIF($I$10:I3462,"CV AGUNG KARYA")," ")</f>
        <v xml:space="preserve"> </v>
      </c>
      <c r="F3462" s="107" t="str">
        <f>IF(LEN(Table1722[[#This Row],[Uraian]])&gt;2,TRIM(RIGHT(SUBSTITUTE(TRIM(C3462)," ",REPT(" ",255)),255))," ")</f>
        <v xml:space="preserve"> </v>
      </c>
      <c r="G3462" s="110">
        <f>COPY!Z3454</f>
        <v>0</v>
      </c>
      <c r="H3462" s="111" t="str">
        <f>IFERROR(VLOOKUP(Table1722[[#This Row],[Bukti]],'Un nOTA'!$A$4:$K$5003,10,FALSE),"")</f>
        <v/>
      </c>
      <c r="I3462" s="123" t="str">
        <f>IFERROR(VLOOKUP(Table1722[[#This Row],[Bukti]],Table13[#Data],11,FALSE),"")</f>
        <v/>
      </c>
    </row>
    <row r="3463" spans="1:9" hidden="1" x14ac:dyDescent="0.2">
      <c r="A3463" s="105" t="str">
        <f>IF(D3463=1,COUNTIF($D$10:D3463,1)," ")</f>
        <v xml:space="preserve"> </v>
      </c>
      <c r="B3463" s="106">
        <f>COPY!AR3455</f>
        <v>0</v>
      </c>
      <c r="C3463" s="107">
        <f>COPY!AC3455</f>
        <v>0</v>
      </c>
      <c r="D3463" s="107" t="str">
        <f>IF(LEN(Table1722[[#This Row],[Uraian]])&gt;2,1," ")</f>
        <v xml:space="preserve"> </v>
      </c>
      <c r="E3463" s="113" t="str">
        <f>IF(Table1722[[#This Row],[Lawan Transaksi]]="CV AGUNG KARYA",COUNTIF($I$10:I3463,"CV AGUNG KARYA")," ")</f>
        <v xml:space="preserve"> </v>
      </c>
      <c r="F3463" s="107" t="str">
        <f>IF(LEN(Table1722[[#This Row],[Uraian]])&gt;2,TRIM(RIGHT(SUBSTITUTE(TRIM(C3463)," ",REPT(" ",255)),255))," ")</f>
        <v xml:space="preserve"> </v>
      </c>
      <c r="G3463" s="110">
        <f>COPY!Z3455</f>
        <v>0</v>
      </c>
      <c r="H3463" s="111" t="str">
        <f>IFERROR(VLOOKUP(Table1722[[#This Row],[Bukti]],'Un nOTA'!$A$4:$K$5003,10,FALSE),"")</f>
        <v/>
      </c>
      <c r="I3463" s="123" t="str">
        <f>IFERROR(VLOOKUP(Table1722[[#This Row],[Bukti]],Table13[#Data],11,FALSE),"")</f>
        <v/>
      </c>
    </row>
    <row r="3464" spans="1:9" hidden="1" x14ac:dyDescent="0.2">
      <c r="A3464" s="105" t="str">
        <f>IF(D3464=1,COUNTIF($D$10:D3464,1)," ")</f>
        <v xml:space="preserve"> </v>
      </c>
      <c r="B3464" s="106">
        <f>COPY!AR3456</f>
        <v>0</v>
      </c>
      <c r="C3464" s="107">
        <f>COPY!AC3456</f>
        <v>0</v>
      </c>
      <c r="D3464" s="107" t="str">
        <f>IF(LEN(Table1722[[#This Row],[Uraian]])&gt;2,1," ")</f>
        <v xml:space="preserve"> </v>
      </c>
      <c r="E3464" s="113" t="str">
        <f>IF(Table1722[[#This Row],[Lawan Transaksi]]="CV AGUNG KARYA",COUNTIF($I$10:I3464,"CV AGUNG KARYA")," ")</f>
        <v xml:space="preserve"> </v>
      </c>
      <c r="F3464" s="107" t="str">
        <f>IF(LEN(Table1722[[#This Row],[Uraian]])&gt;2,TRIM(RIGHT(SUBSTITUTE(TRIM(C3464)," ",REPT(" ",255)),255))," ")</f>
        <v xml:space="preserve"> </v>
      </c>
      <c r="G3464" s="110">
        <f>COPY!Z3456</f>
        <v>0</v>
      </c>
      <c r="H3464" s="111" t="str">
        <f>IFERROR(VLOOKUP(Table1722[[#This Row],[Bukti]],'Un nOTA'!$A$4:$K$5003,10,FALSE),"")</f>
        <v/>
      </c>
      <c r="I3464" s="123" t="str">
        <f>IFERROR(VLOOKUP(Table1722[[#This Row],[Bukti]],Table13[#Data],11,FALSE),"")</f>
        <v/>
      </c>
    </row>
    <row r="3465" spans="1:9" hidden="1" x14ac:dyDescent="0.2">
      <c r="A3465" s="105" t="str">
        <f>IF(D3465=1,COUNTIF($D$10:D3465,1)," ")</f>
        <v xml:space="preserve"> </v>
      </c>
      <c r="B3465" s="106">
        <f>COPY!AR3457</f>
        <v>0</v>
      </c>
      <c r="C3465" s="107">
        <f>COPY!AC3457</f>
        <v>0</v>
      </c>
      <c r="D3465" s="107" t="str">
        <f>IF(LEN(Table1722[[#This Row],[Uraian]])&gt;2,1," ")</f>
        <v xml:space="preserve"> </v>
      </c>
      <c r="E3465" s="113" t="str">
        <f>IF(Table1722[[#This Row],[Lawan Transaksi]]="CV AGUNG KARYA",COUNTIF($I$10:I3465,"CV AGUNG KARYA")," ")</f>
        <v xml:space="preserve"> </v>
      </c>
      <c r="F3465" s="107" t="str">
        <f>IF(LEN(Table1722[[#This Row],[Uraian]])&gt;2,TRIM(RIGHT(SUBSTITUTE(TRIM(C3465)," ",REPT(" ",255)),255))," ")</f>
        <v xml:space="preserve"> </v>
      </c>
      <c r="G3465" s="110">
        <f>COPY!Z3457</f>
        <v>0</v>
      </c>
      <c r="H3465" s="111" t="str">
        <f>IFERROR(VLOOKUP(Table1722[[#This Row],[Bukti]],'Un nOTA'!$A$4:$K$5003,10,FALSE),"")</f>
        <v/>
      </c>
      <c r="I3465" s="123" t="str">
        <f>IFERROR(VLOOKUP(Table1722[[#This Row],[Bukti]],Table13[#Data],11,FALSE),"")</f>
        <v/>
      </c>
    </row>
    <row r="3466" spans="1:9" hidden="1" x14ac:dyDescent="0.2">
      <c r="A3466" s="105" t="str">
        <f>IF(D3466=1,COUNTIF($D$10:D3466,1)," ")</f>
        <v xml:space="preserve"> </v>
      </c>
      <c r="B3466" s="106">
        <f>COPY!AR3458</f>
        <v>0</v>
      </c>
      <c r="C3466" s="107">
        <f>COPY!AC3458</f>
        <v>0</v>
      </c>
      <c r="D3466" s="107" t="str">
        <f>IF(LEN(Table1722[[#This Row],[Uraian]])&gt;2,1," ")</f>
        <v xml:space="preserve"> </v>
      </c>
      <c r="E3466" s="113" t="str">
        <f>IF(Table1722[[#This Row],[Lawan Transaksi]]="CV AGUNG KARYA",COUNTIF($I$10:I3466,"CV AGUNG KARYA")," ")</f>
        <v xml:space="preserve"> </v>
      </c>
      <c r="F3466" s="107" t="str">
        <f>IF(LEN(Table1722[[#This Row],[Uraian]])&gt;2,TRIM(RIGHT(SUBSTITUTE(TRIM(C3466)," ",REPT(" ",255)),255))," ")</f>
        <v xml:space="preserve"> </v>
      </c>
      <c r="G3466" s="110">
        <f>COPY!Z3458</f>
        <v>0</v>
      </c>
      <c r="H3466" s="111" t="str">
        <f>IFERROR(VLOOKUP(Table1722[[#This Row],[Bukti]],'Un nOTA'!$A$4:$K$5003,10,FALSE),"")</f>
        <v/>
      </c>
      <c r="I3466" s="123" t="str">
        <f>IFERROR(VLOOKUP(Table1722[[#This Row],[Bukti]],Table13[#Data],11,FALSE),"")</f>
        <v/>
      </c>
    </row>
    <row r="3467" spans="1:9" hidden="1" x14ac:dyDescent="0.2">
      <c r="A3467" s="105" t="str">
        <f>IF(D3467=1,COUNTIF($D$10:D3467,1)," ")</f>
        <v xml:space="preserve"> </v>
      </c>
      <c r="B3467" s="106">
        <f>COPY!AR3459</f>
        <v>0</v>
      </c>
      <c r="C3467" s="107">
        <f>COPY!AC3459</f>
        <v>0</v>
      </c>
      <c r="D3467" s="107" t="str">
        <f>IF(LEN(Table1722[[#This Row],[Uraian]])&gt;2,1," ")</f>
        <v xml:space="preserve"> </v>
      </c>
      <c r="E3467" s="113" t="str">
        <f>IF(Table1722[[#This Row],[Lawan Transaksi]]="CV AGUNG KARYA",COUNTIF($I$10:I3467,"CV AGUNG KARYA")," ")</f>
        <v xml:space="preserve"> </v>
      </c>
      <c r="F3467" s="107" t="str">
        <f>IF(LEN(Table1722[[#This Row],[Uraian]])&gt;2,TRIM(RIGHT(SUBSTITUTE(TRIM(C3467)," ",REPT(" ",255)),255))," ")</f>
        <v xml:space="preserve"> </v>
      </c>
      <c r="G3467" s="110">
        <f>COPY!Z3459</f>
        <v>0</v>
      </c>
      <c r="H3467" s="111" t="str">
        <f>IFERROR(VLOOKUP(Table1722[[#This Row],[Bukti]],'Un nOTA'!$A$4:$K$5003,10,FALSE),"")</f>
        <v/>
      </c>
      <c r="I3467" s="123" t="str">
        <f>IFERROR(VLOOKUP(Table1722[[#This Row],[Bukti]],Table13[#Data],11,FALSE),"")</f>
        <v/>
      </c>
    </row>
    <row r="3468" spans="1:9" hidden="1" x14ac:dyDescent="0.2">
      <c r="A3468" s="105" t="str">
        <f>IF(D3468=1,COUNTIF($D$10:D3468,1)," ")</f>
        <v xml:space="preserve"> </v>
      </c>
      <c r="B3468" s="106">
        <f>COPY!AR3460</f>
        <v>0</v>
      </c>
      <c r="C3468" s="107">
        <f>COPY!AC3460</f>
        <v>0</v>
      </c>
      <c r="D3468" s="107" t="str">
        <f>IF(LEN(Table1722[[#This Row],[Uraian]])&gt;2,1," ")</f>
        <v xml:space="preserve"> </v>
      </c>
      <c r="E3468" s="113" t="str">
        <f>IF(Table1722[[#This Row],[Lawan Transaksi]]="CV AGUNG KARYA",COUNTIF($I$10:I3468,"CV AGUNG KARYA")," ")</f>
        <v xml:space="preserve"> </v>
      </c>
      <c r="F3468" s="107" t="str">
        <f>IF(LEN(Table1722[[#This Row],[Uraian]])&gt;2,TRIM(RIGHT(SUBSTITUTE(TRIM(C3468)," ",REPT(" ",255)),255))," ")</f>
        <v xml:space="preserve"> </v>
      </c>
      <c r="G3468" s="110">
        <f>COPY!Z3460</f>
        <v>0</v>
      </c>
      <c r="H3468" s="111" t="str">
        <f>IFERROR(VLOOKUP(Table1722[[#This Row],[Bukti]],'Un nOTA'!$A$4:$K$5003,10,FALSE),"")</f>
        <v/>
      </c>
      <c r="I3468" s="123" t="str">
        <f>IFERROR(VLOOKUP(Table1722[[#This Row],[Bukti]],Table13[#Data],11,FALSE),"")</f>
        <v/>
      </c>
    </row>
    <row r="3469" spans="1:9" hidden="1" x14ac:dyDescent="0.2">
      <c r="A3469" s="105" t="str">
        <f>IF(D3469=1,COUNTIF($D$10:D3469,1)," ")</f>
        <v xml:space="preserve"> </v>
      </c>
      <c r="B3469" s="106">
        <f>COPY!AR3461</f>
        <v>0</v>
      </c>
      <c r="C3469" s="107">
        <f>COPY!AC3461</f>
        <v>0</v>
      </c>
      <c r="D3469" s="107" t="str">
        <f>IF(LEN(Table1722[[#This Row],[Uraian]])&gt;2,1," ")</f>
        <v xml:space="preserve"> </v>
      </c>
      <c r="E3469" s="113" t="str">
        <f>IF(Table1722[[#This Row],[Lawan Transaksi]]="CV AGUNG KARYA",COUNTIF($I$10:I3469,"CV AGUNG KARYA")," ")</f>
        <v xml:space="preserve"> </v>
      </c>
      <c r="F3469" s="107" t="str">
        <f>IF(LEN(Table1722[[#This Row],[Uraian]])&gt;2,TRIM(RIGHT(SUBSTITUTE(TRIM(C3469)," ",REPT(" ",255)),255))," ")</f>
        <v xml:space="preserve"> </v>
      </c>
      <c r="G3469" s="110">
        <f>COPY!Z3461</f>
        <v>0</v>
      </c>
      <c r="H3469" s="111" t="str">
        <f>IFERROR(VLOOKUP(Table1722[[#This Row],[Bukti]],'Un nOTA'!$A$4:$K$5003,10,FALSE),"")</f>
        <v/>
      </c>
      <c r="I3469" s="123" t="str">
        <f>IFERROR(VLOOKUP(Table1722[[#This Row],[Bukti]],Table13[#Data],11,FALSE),"")</f>
        <v/>
      </c>
    </row>
    <row r="3470" spans="1:9" hidden="1" x14ac:dyDescent="0.2">
      <c r="A3470" s="105" t="str">
        <f>IF(D3470=1,COUNTIF($D$10:D3470,1)," ")</f>
        <v xml:space="preserve"> </v>
      </c>
      <c r="B3470" s="106">
        <f>COPY!AR3462</f>
        <v>0</v>
      </c>
      <c r="C3470" s="107">
        <f>COPY!AC3462</f>
        <v>0</v>
      </c>
      <c r="D3470" s="107" t="str">
        <f>IF(LEN(Table1722[[#This Row],[Uraian]])&gt;2,1," ")</f>
        <v xml:space="preserve"> </v>
      </c>
      <c r="E3470" s="113" t="str">
        <f>IF(Table1722[[#This Row],[Lawan Transaksi]]="CV AGUNG KARYA",COUNTIF($I$10:I3470,"CV AGUNG KARYA")," ")</f>
        <v xml:space="preserve"> </v>
      </c>
      <c r="F3470" s="107" t="str">
        <f>IF(LEN(Table1722[[#This Row],[Uraian]])&gt;2,TRIM(RIGHT(SUBSTITUTE(TRIM(C3470)," ",REPT(" ",255)),255))," ")</f>
        <v xml:space="preserve"> </v>
      </c>
      <c r="G3470" s="110">
        <f>COPY!Z3462</f>
        <v>0</v>
      </c>
      <c r="H3470" s="111" t="str">
        <f>IFERROR(VLOOKUP(Table1722[[#This Row],[Bukti]],'Un nOTA'!$A$4:$K$5003,10,FALSE),"")</f>
        <v/>
      </c>
      <c r="I3470" s="123" t="str">
        <f>IFERROR(VLOOKUP(Table1722[[#This Row],[Bukti]],Table13[#Data],11,FALSE),"")</f>
        <v/>
      </c>
    </row>
    <row r="3471" spans="1:9" hidden="1" x14ac:dyDescent="0.2">
      <c r="A3471" s="105" t="str">
        <f>IF(D3471=1,COUNTIF($D$10:D3471,1)," ")</f>
        <v xml:space="preserve"> </v>
      </c>
      <c r="B3471" s="106">
        <f>COPY!AR3463</f>
        <v>0</v>
      </c>
      <c r="C3471" s="107">
        <f>COPY!AC3463</f>
        <v>0</v>
      </c>
      <c r="D3471" s="107" t="str">
        <f>IF(LEN(Table1722[[#This Row],[Uraian]])&gt;2,1," ")</f>
        <v xml:space="preserve"> </v>
      </c>
      <c r="E3471" s="113" t="str">
        <f>IF(Table1722[[#This Row],[Lawan Transaksi]]="CV AGUNG KARYA",COUNTIF($I$10:I3471,"CV AGUNG KARYA")," ")</f>
        <v xml:space="preserve"> </v>
      </c>
      <c r="F3471" s="107" t="str">
        <f>IF(LEN(Table1722[[#This Row],[Uraian]])&gt;2,TRIM(RIGHT(SUBSTITUTE(TRIM(C3471)," ",REPT(" ",255)),255))," ")</f>
        <v xml:space="preserve"> </v>
      </c>
      <c r="G3471" s="110">
        <f>COPY!Z3463</f>
        <v>0</v>
      </c>
      <c r="H3471" s="111" t="str">
        <f>IFERROR(VLOOKUP(Table1722[[#This Row],[Bukti]],'Un nOTA'!$A$4:$K$5003,10,FALSE),"")</f>
        <v/>
      </c>
      <c r="I3471" s="123" t="str">
        <f>IFERROR(VLOOKUP(Table1722[[#This Row],[Bukti]],Table13[#Data],11,FALSE),"")</f>
        <v/>
      </c>
    </row>
    <row r="3472" spans="1:9" hidden="1" x14ac:dyDescent="0.2">
      <c r="A3472" s="105" t="str">
        <f>IF(D3472=1,COUNTIF($D$10:D3472,1)," ")</f>
        <v xml:space="preserve"> </v>
      </c>
      <c r="B3472" s="106">
        <f>COPY!AR3464</f>
        <v>0</v>
      </c>
      <c r="C3472" s="107">
        <f>COPY!AC3464</f>
        <v>0</v>
      </c>
      <c r="D3472" s="107" t="str">
        <f>IF(LEN(Table1722[[#This Row],[Uraian]])&gt;2,1," ")</f>
        <v xml:space="preserve"> </v>
      </c>
      <c r="E3472" s="113" t="str">
        <f>IF(Table1722[[#This Row],[Lawan Transaksi]]="CV AGUNG KARYA",COUNTIF($I$10:I3472,"CV AGUNG KARYA")," ")</f>
        <v xml:space="preserve"> </v>
      </c>
      <c r="F3472" s="107" t="str">
        <f>IF(LEN(Table1722[[#This Row],[Uraian]])&gt;2,TRIM(RIGHT(SUBSTITUTE(TRIM(C3472)," ",REPT(" ",255)),255))," ")</f>
        <v xml:space="preserve"> </v>
      </c>
      <c r="G3472" s="110">
        <f>COPY!Z3464</f>
        <v>0</v>
      </c>
      <c r="H3472" s="111" t="str">
        <f>IFERROR(VLOOKUP(Table1722[[#This Row],[Bukti]],'Un nOTA'!$A$4:$K$5003,10,FALSE),"")</f>
        <v/>
      </c>
      <c r="I3472" s="123" t="str">
        <f>IFERROR(VLOOKUP(Table1722[[#This Row],[Bukti]],Table13[#Data],11,FALSE),"")</f>
        <v/>
      </c>
    </row>
    <row r="3473" spans="1:9" hidden="1" x14ac:dyDescent="0.2">
      <c r="A3473" s="105" t="str">
        <f>IF(D3473=1,COUNTIF($D$10:D3473,1)," ")</f>
        <v xml:space="preserve"> </v>
      </c>
      <c r="B3473" s="106">
        <f>COPY!AR3465</f>
        <v>0</v>
      </c>
      <c r="C3473" s="107">
        <f>COPY!AC3465</f>
        <v>0</v>
      </c>
      <c r="D3473" s="107" t="str">
        <f>IF(LEN(Table1722[[#This Row],[Uraian]])&gt;2,1," ")</f>
        <v xml:space="preserve"> </v>
      </c>
      <c r="E3473" s="113" t="str">
        <f>IF(Table1722[[#This Row],[Lawan Transaksi]]="CV AGUNG KARYA",COUNTIF($I$10:I3473,"CV AGUNG KARYA")," ")</f>
        <v xml:space="preserve"> </v>
      </c>
      <c r="F3473" s="107" t="str">
        <f>IF(LEN(Table1722[[#This Row],[Uraian]])&gt;2,TRIM(RIGHT(SUBSTITUTE(TRIM(C3473)," ",REPT(" ",255)),255))," ")</f>
        <v xml:space="preserve"> </v>
      </c>
      <c r="G3473" s="110">
        <f>COPY!Z3465</f>
        <v>0</v>
      </c>
      <c r="H3473" s="111" t="str">
        <f>IFERROR(VLOOKUP(Table1722[[#This Row],[Bukti]],'Un nOTA'!$A$4:$K$5003,10,FALSE),"")</f>
        <v/>
      </c>
      <c r="I3473" s="123" t="str">
        <f>IFERROR(VLOOKUP(Table1722[[#This Row],[Bukti]],Table13[#Data],11,FALSE),"")</f>
        <v/>
      </c>
    </row>
    <row r="3474" spans="1:9" hidden="1" x14ac:dyDescent="0.2">
      <c r="A3474" s="105" t="str">
        <f>IF(D3474=1,COUNTIF($D$10:D3474,1)," ")</f>
        <v xml:space="preserve"> </v>
      </c>
      <c r="B3474" s="106">
        <f>COPY!AR3466</f>
        <v>0</v>
      </c>
      <c r="C3474" s="107">
        <f>COPY!AC3466</f>
        <v>0</v>
      </c>
      <c r="D3474" s="107" t="str">
        <f>IF(LEN(Table1722[[#This Row],[Uraian]])&gt;2,1," ")</f>
        <v xml:space="preserve"> </v>
      </c>
      <c r="E3474" s="113" t="str">
        <f>IF(Table1722[[#This Row],[Lawan Transaksi]]="CV AGUNG KARYA",COUNTIF($I$10:I3474,"CV AGUNG KARYA")," ")</f>
        <v xml:space="preserve"> </v>
      </c>
      <c r="F3474" s="107" t="str">
        <f>IF(LEN(Table1722[[#This Row],[Uraian]])&gt;2,TRIM(RIGHT(SUBSTITUTE(TRIM(C3474)," ",REPT(" ",255)),255))," ")</f>
        <v xml:space="preserve"> </v>
      </c>
      <c r="G3474" s="110">
        <f>COPY!Z3466</f>
        <v>0</v>
      </c>
      <c r="H3474" s="111" t="str">
        <f>IFERROR(VLOOKUP(Table1722[[#This Row],[Bukti]],'Un nOTA'!$A$4:$K$5003,10,FALSE),"")</f>
        <v/>
      </c>
      <c r="I3474" s="123" t="str">
        <f>IFERROR(VLOOKUP(Table1722[[#This Row],[Bukti]],Table13[#Data],11,FALSE),"")</f>
        <v/>
      </c>
    </row>
    <row r="3475" spans="1:9" hidden="1" x14ac:dyDescent="0.2">
      <c r="A3475" s="105" t="str">
        <f>IF(D3475=1,COUNTIF($D$10:D3475,1)," ")</f>
        <v xml:space="preserve"> </v>
      </c>
      <c r="B3475" s="106">
        <f>COPY!AR3467</f>
        <v>0</v>
      </c>
      <c r="C3475" s="107">
        <f>COPY!AC3467</f>
        <v>0</v>
      </c>
      <c r="D3475" s="107" t="str">
        <f>IF(LEN(Table1722[[#This Row],[Uraian]])&gt;2,1," ")</f>
        <v xml:space="preserve"> </v>
      </c>
      <c r="E3475" s="113" t="str">
        <f>IF(Table1722[[#This Row],[Lawan Transaksi]]="CV AGUNG KARYA",COUNTIF($I$10:I3475,"CV AGUNG KARYA")," ")</f>
        <v xml:space="preserve"> </v>
      </c>
      <c r="F3475" s="107" t="str">
        <f>IF(LEN(Table1722[[#This Row],[Uraian]])&gt;2,TRIM(RIGHT(SUBSTITUTE(TRIM(C3475)," ",REPT(" ",255)),255))," ")</f>
        <v xml:space="preserve"> </v>
      </c>
      <c r="G3475" s="110">
        <f>COPY!Z3467</f>
        <v>0</v>
      </c>
      <c r="H3475" s="111" t="str">
        <f>IFERROR(VLOOKUP(Table1722[[#This Row],[Bukti]],'Un nOTA'!$A$4:$K$5003,10,FALSE),"")</f>
        <v/>
      </c>
      <c r="I3475" s="123" t="str">
        <f>IFERROR(VLOOKUP(Table1722[[#This Row],[Bukti]],Table13[#Data],11,FALSE),"")</f>
        <v/>
      </c>
    </row>
    <row r="3476" spans="1:9" hidden="1" x14ac:dyDescent="0.2">
      <c r="A3476" s="105" t="str">
        <f>IF(D3476=1,COUNTIF($D$10:D3476,1)," ")</f>
        <v xml:space="preserve"> </v>
      </c>
      <c r="B3476" s="106">
        <f>COPY!AR3468</f>
        <v>0</v>
      </c>
      <c r="C3476" s="107">
        <f>COPY!AC3468</f>
        <v>0</v>
      </c>
      <c r="D3476" s="107" t="str">
        <f>IF(LEN(Table1722[[#This Row],[Uraian]])&gt;2,1," ")</f>
        <v xml:space="preserve"> </v>
      </c>
      <c r="E3476" s="113" t="str">
        <f>IF(Table1722[[#This Row],[Lawan Transaksi]]="CV AGUNG KARYA",COUNTIF($I$10:I3476,"CV AGUNG KARYA")," ")</f>
        <v xml:space="preserve"> </v>
      </c>
      <c r="F3476" s="107" t="str">
        <f>IF(LEN(Table1722[[#This Row],[Uraian]])&gt;2,TRIM(RIGHT(SUBSTITUTE(TRIM(C3476)," ",REPT(" ",255)),255))," ")</f>
        <v xml:space="preserve"> </v>
      </c>
      <c r="G3476" s="110">
        <f>COPY!Z3468</f>
        <v>0</v>
      </c>
      <c r="H3476" s="111" t="str">
        <f>IFERROR(VLOOKUP(Table1722[[#This Row],[Bukti]],'Un nOTA'!$A$4:$K$5003,10,FALSE),"")</f>
        <v/>
      </c>
      <c r="I3476" s="123" t="str">
        <f>IFERROR(VLOOKUP(Table1722[[#This Row],[Bukti]],Table13[#Data],11,FALSE),"")</f>
        <v/>
      </c>
    </row>
    <row r="3477" spans="1:9" hidden="1" x14ac:dyDescent="0.2">
      <c r="A3477" s="105" t="str">
        <f>IF(D3477=1,COUNTIF($D$10:D3477,1)," ")</f>
        <v xml:space="preserve"> </v>
      </c>
      <c r="B3477" s="106">
        <f>COPY!AR3469</f>
        <v>0</v>
      </c>
      <c r="C3477" s="107">
        <f>COPY!AC3469</f>
        <v>0</v>
      </c>
      <c r="D3477" s="107" t="str">
        <f>IF(LEN(Table1722[[#This Row],[Uraian]])&gt;2,1," ")</f>
        <v xml:space="preserve"> </v>
      </c>
      <c r="E3477" s="113" t="str">
        <f>IF(Table1722[[#This Row],[Lawan Transaksi]]="CV AGUNG KARYA",COUNTIF($I$10:I3477,"CV AGUNG KARYA")," ")</f>
        <v xml:space="preserve"> </v>
      </c>
      <c r="F3477" s="107" t="str">
        <f>IF(LEN(Table1722[[#This Row],[Uraian]])&gt;2,TRIM(RIGHT(SUBSTITUTE(TRIM(C3477)," ",REPT(" ",255)),255))," ")</f>
        <v xml:space="preserve"> </v>
      </c>
      <c r="G3477" s="110">
        <f>COPY!Z3469</f>
        <v>0</v>
      </c>
      <c r="H3477" s="111" t="str">
        <f>IFERROR(VLOOKUP(Table1722[[#This Row],[Bukti]],'Un nOTA'!$A$4:$K$5003,10,FALSE),"")</f>
        <v/>
      </c>
      <c r="I3477" s="123" t="str">
        <f>IFERROR(VLOOKUP(Table1722[[#This Row],[Bukti]],Table13[#Data],11,FALSE),"")</f>
        <v/>
      </c>
    </row>
    <row r="3478" spans="1:9" hidden="1" x14ac:dyDescent="0.2">
      <c r="A3478" s="105" t="str">
        <f>IF(D3478=1,COUNTIF($D$10:D3478,1)," ")</f>
        <v xml:space="preserve"> </v>
      </c>
      <c r="B3478" s="106">
        <f>COPY!AR3470</f>
        <v>0</v>
      </c>
      <c r="C3478" s="107">
        <f>COPY!AC3470</f>
        <v>0</v>
      </c>
      <c r="D3478" s="107" t="str">
        <f>IF(LEN(Table1722[[#This Row],[Uraian]])&gt;2,1," ")</f>
        <v xml:space="preserve"> </v>
      </c>
      <c r="E3478" s="113" t="str">
        <f>IF(Table1722[[#This Row],[Lawan Transaksi]]="CV AGUNG KARYA",COUNTIF($I$10:I3478,"CV AGUNG KARYA")," ")</f>
        <v xml:space="preserve"> </v>
      </c>
      <c r="F3478" s="107" t="str">
        <f>IF(LEN(Table1722[[#This Row],[Uraian]])&gt;2,TRIM(RIGHT(SUBSTITUTE(TRIM(C3478)," ",REPT(" ",255)),255))," ")</f>
        <v xml:space="preserve"> </v>
      </c>
      <c r="G3478" s="110">
        <f>COPY!Z3470</f>
        <v>0</v>
      </c>
      <c r="H3478" s="111" t="str">
        <f>IFERROR(VLOOKUP(Table1722[[#This Row],[Bukti]],'Un nOTA'!$A$4:$K$5003,10,FALSE),"")</f>
        <v/>
      </c>
      <c r="I3478" s="123" t="str">
        <f>IFERROR(VLOOKUP(Table1722[[#This Row],[Bukti]],Table13[#Data],11,FALSE),"")</f>
        <v/>
      </c>
    </row>
    <row r="3479" spans="1:9" hidden="1" x14ac:dyDescent="0.2">
      <c r="A3479" s="105" t="str">
        <f>IF(D3479=1,COUNTIF($D$10:D3479,1)," ")</f>
        <v xml:space="preserve"> </v>
      </c>
      <c r="B3479" s="106">
        <f>COPY!AR3471</f>
        <v>0</v>
      </c>
      <c r="C3479" s="107">
        <f>COPY!AC3471</f>
        <v>0</v>
      </c>
      <c r="D3479" s="107" t="str">
        <f>IF(LEN(Table1722[[#This Row],[Uraian]])&gt;2,1," ")</f>
        <v xml:space="preserve"> </v>
      </c>
      <c r="E3479" s="113" t="str">
        <f>IF(Table1722[[#This Row],[Lawan Transaksi]]="CV AGUNG KARYA",COUNTIF($I$10:I3479,"CV AGUNG KARYA")," ")</f>
        <v xml:space="preserve"> </v>
      </c>
      <c r="F3479" s="107" t="str">
        <f>IF(LEN(Table1722[[#This Row],[Uraian]])&gt;2,TRIM(RIGHT(SUBSTITUTE(TRIM(C3479)," ",REPT(" ",255)),255))," ")</f>
        <v xml:space="preserve"> </v>
      </c>
      <c r="G3479" s="110">
        <f>COPY!Z3471</f>
        <v>0</v>
      </c>
      <c r="H3479" s="111" t="str">
        <f>IFERROR(VLOOKUP(Table1722[[#This Row],[Bukti]],'Un nOTA'!$A$4:$K$5003,10,FALSE),"")</f>
        <v/>
      </c>
      <c r="I3479" s="123" t="str">
        <f>IFERROR(VLOOKUP(Table1722[[#This Row],[Bukti]],Table13[#Data],11,FALSE),"")</f>
        <v/>
      </c>
    </row>
    <row r="3480" spans="1:9" hidden="1" x14ac:dyDescent="0.2">
      <c r="A3480" s="105" t="str">
        <f>IF(D3480=1,COUNTIF($D$10:D3480,1)," ")</f>
        <v xml:space="preserve"> </v>
      </c>
      <c r="B3480" s="106">
        <f>COPY!AR3472</f>
        <v>0</v>
      </c>
      <c r="C3480" s="107">
        <f>COPY!AC3472</f>
        <v>0</v>
      </c>
      <c r="D3480" s="107" t="str">
        <f>IF(LEN(Table1722[[#This Row],[Uraian]])&gt;2,1," ")</f>
        <v xml:space="preserve"> </v>
      </c>
      <c r="E3480" s="113" t="str">
        <f>IF(Table1722[[#This Row],[Lawan Transaksi]]="CV AGUNG KARYA",COUNTIF($I$10:I3480,"CV AGUNG KARYA")," ")</f>
        <v xml:space="preserve"> </v>
      </c>
      <c r="F3480" s="107" t="str">
        <f>IF(LEN(Table1722[[#This Row],[Uraian]])&gt;2,TRIM(RIGHT(SUBSTITUTE(TRIM(C3480)," ",REPT(" ",255)),255))," ")</f>
        <v xml:space="preserve"> </v>
      </c>
      <c r="G3480" s="110">
        <f>COPY!Z3472</f>
        <v>0</v>
      </c>
      <c r="H3480" s="111" t="str">
        <f>IFERROR(VLOOKUP(Table1722[[#This Row],[Bukti]],'Un nOTA'!$A$4:$K$5003,10,FALSE),"")</f>
        <v/>
      </c>
      <c r="I3480" s="123" t="str">
        <f>IFERROR(VLOOKUP(Table1722[[#This Row],[Bukti]],Table13[#Data],11,FALSE),"")</f>
        <v/>
      </c>
    </row>
    <row r="3481" spans="1:9" hidden="1" x14ac:dyDescent="0.2">
      <c r="A3481" s="105" t="str">
        <f>IF(D3481=1,COUNTIF($D$10:D3481,1)," ")</f>
        <v xml:space="preserve"> </v>
      </c>
      <c r="B3481" s="106">
        <f>COPY!AR3473</f>
        <v>0</v>
      </c>
      <c r="C3481" s="107">
        <f>COPY!AC3473</f>
        <v>0</v>
      </c>
      <c r="D3481" s="107" t="str">
        <f>IF(LEN(Table1722[[#This Row],[Uraian]])&gt;2,1," ")</f>
        <v xml:space="preserve"> </v>
      </c>
      <c r="E3481" s="113" t="str">
        <f>IF(Table1722[[#This Row],[Lawan Transaksi]]="CV AGUNG KARYA",COUNTIF($I$10:I3481,"CV AGUNG KARYA")," ")</f>
        <v xml:space="preserve"> </v>
      </c>
      <c r="F3481" s="107" t="str">
        <f>IF(LEN(Table1722[[#This Row],[Uraian]])&gt;2,TRIM(RIGHT(SUBSTITUTE(TRIM(C3481)," ",REPT(" ",255)),255))," ")</f>
        <v xml:space="preserve"> </v>
      </c>
      <c r="G3481" s="110">
        <f>COPY!Z3473</f>
        <v>0</v>
      </c>
      <c r="H3481" s="111" t="str">
        <f>IFERROR(VLOOKUP(Table1722[[#This Row],[Bukti]],'Un nOTA'!$A$4:$K$5003,10,FALSE),"")</f>
        <v/>
      </c>
      <c r="I3481" s="123" t="str">
        <f>IFERROR(VLOOKUP(Table1722[[#This Row],[Bukti]],Table13[#Data],11,FALSE),"")</f>
        <v/>
      </c>
    </row>
    <row r="3482" spans="1:9" hidden="1" x14ac:dyDescent="0.2">
      <c r="A3482" s="105" t="str">
        <f>IF(D3482=1,COUNTIF($D$10:D3482,1)," ")</f>
        <v xml:space="preserve"> </v>
      </c>
      <c r="B3482" s="106">
        <f>COPY!AR3474</f>
        <v>0</v>
      </c>
      <c r="C3482" s="107">
        <f>COPY!AC3474</f>
        <v>0</v>
      </c>
      <c r="D3482" s="107" t="str">
        <f>IF(LEN(Table1722[[#This Row],[Uraian]])&gt;2,1," ")</f>
        <v xml:space="preserve"> </v>
      </c>
      <c r="E3482" s="113" t="str">
        <f>IF(Table1722[[#This Row],[Lawan Transaksi]]="CV AGUNG KARYA",COUNTIF($I$10:I3482,"CV AGUNG KARYA")," ")</f>
        <v xml:space="preserve"> </v>
      </c>
      <c r="F3482" s="107" t="str">
        <f>IF(LEN(Table1722[[#This Row],[Uraian]])&gt;2,TRIM(RIGHT(SUBSTITUTE(TRIM(C3482)," ",REPT(" ",255)),255))," ")</f>
        <v xml:space="preserve"> </v>
      </c>
      <c r="G3482" s="110">
        <f>COPY!Z3474</f>
        <v>0</v>
      </c>
      <c r="H3482" s="111" t="str">
        <f>IFERROR(VLOOKUP(Table1722[[#This Row],[Bukti]],'Un nOTA'!$A$4:$K$5003,10,FALSE),"")</f>
        <v/>
      </c>
      <c r="I3482" s="123" t="str">
        <f>IFERROR(VLOOKUP(Table1722[[#This Row],[Bukti]],Table13[#Data],11,FALSE),"")</f>
        <v/>
      </c>
    </row>
    <row r="3483" spans="1:9" hidden="1" x14ac:dyDescent="0.2">
      <c r="A3483" s="105" t="str">
        <f>IF(D3483=1,COUNTIF($D$10:D3483,1)," ")</f>
        <v xml:space="preserve"> </v>
      </c>
      <c r="B3483" s="106">
        <f>COPY!AR3475</f>
        <v>0</v>
      </c>
      <c r="C3483" s="107">
        <f>COPY!AC3475</f>
        <v>0</v>
      </c>
      <c r="D3483" s="107" t="str">
        <f>IF(LEN(Table1722[[#This Row],[Uraian]])&gt;2,1," ")</f>
        <v xml:space="preserve"> </v>
      </c>
      <c r="E3483" s="113" t="str">
        <f>IF(Table1722[[#This Row],[Lawan Transaksi]]="CV AGUNG KARYA",COUNTIF($I$10:I3483,"CV AGUNG KARYA")," ")</f>
        <v xml:space="preserve"> </v>
      </c>
      <c r="F3483" s="107" t="str">
        <f>IF(LEN(Table1722[[#This Row],[Uraian]])&gt;2,TRIM(RIGHT(SUBSTITUTE(TRIM(C3483)," ",REPT(" ",255)),255))," ")</f>
        <v xml:space="preserve"> </v>
      </c>
      <c r="G3483" s="110">
        <f>COPY!Z3475</f>
        <v>0</v>
      </c>
      <c r="H3483" s="111" t="str">
        <f>IFERROR(VLOOKUP(Table1722[[#This Row],[Bukti]],'Un nOTA'!$A$4:$K$5003,10,FALSE),"")</f>
        <v/>
      </c>
      <c r="I3483" s="123" t="str">
        <f>IFERROR(VLOOKUP(Table1722[[#This Row],[Bukti]],Table13[#Data],11,FALSE),"")</f>
        <v/>
      </c>
    </row>
    <row r="3484" spans="1:9" hidden="1" x14ac:dyDescent="0.2">
      <c r="A3484" s="105" t="str">
        <f>IF(D3484=1,COUNTIF($D$10:D3484,1)," ")</f>
        <v xml:space="preserve"> </v>
      </c>
      <c r="B3484" s="106">
        <f>COPY!AR3476</f>
        <v>0</v>
      </c>
      <c r="C3484" s="107">
        <f>COPY!AC3476</f>
        <v>0</v>
      </c>
      <c r="D3484" s="107" t="str">
        <f>IF(LEN(Table1722[[#This Row],[Uraian]])&gt;2,1," ")</f>
        <v xml:space="preserve"> </v>
      </c>
      <c r="E3484" s="113" t="str">
        <f>IF(Table1722[[#This Row],[Lawan Transaksi]]="CV AGUNG KARYA",COUNTIF($I$10:I3484,"CV AGUNG KARYA")," ")</f>
        <v xml:space="preserve"> </v>
      </c>
      <c r="F3484" s="107" t="str">
        <f>IF(LEN(Table1722[[#This Row],[Uraian]])&gt;2,TRIM(RIGHT(SUBSTITUTE(TRIM(C3484)," ",REPT(" ",255)),255))," ")</f>
        <v xml:space="preserve"> </v>
      </c>
      <c r="G3484" s="110">
        <f>COPY!Z3476</f>
        <v>0</v>
      </c>
      <c r="H3484" s="111" t="str">
        <f>IFERROR(VLOOKUP(Table1722[[#This Row],[Bukti]],'Un nOTA'!$A$4:$K$5003,10,FALSE),"")</f>
        <v/>
      </c>
      <c r="I3484" s="123" t="str">
        <f>IFERROR(VLOOKUP(Table1722[[#This Row],[Bukti]],Table13[#Data],11,FALSE),"")</f>
        <v/>
      </c>
    </row>
    <row r="3485" spans="1:9" hidden="1" x14ac:dyDescent="0.2">
      <c r="A3485" s="105" t="str">
        <f>IF(D3485=1,COUNTIF($D$10:D3485,1)," ")</f>
        <v xml:space="preserve"> </v>
      </c>
      <c r="B3485" s="106">
        <f>COPY!AR3477</f>
        <v>0</v>
      </c>
      <c r="C3485" s="107">
        <f>COPY!AC3477</f>
        <v>0</v>
      </c>
      <c r="D3485" s="107" t="str">
        <f>IF(LEN(Table1722[[#This Row],[Uraian]])&gt;2,1," ")</f>
        <v xml:space="preserve"> </v>
      </c>
      <c r="E3485" s="113" t="str">
        <f>IF(Table1722[[#This Row],[Lawan Transaksi]]="CV AGUNG KARYA",COUNTIF($I$10:I3485,"CV AGUNG KARYA")," ")</f>
        <v xml:space="preserve"> </v>
      </c>
      <c r="F3485" s="107" t="str">
        <f>IF(LEN(Table1722[[#This Row],[Uraian]])&gt;2,TRIM(RIGHT(SUBSTITUTE(TRIM(C3485)," ",REPT(" ",255)),255))," ")</f>
        <v xml:space="preserve"> </v>
      </c>
      <c r="G3485" s="110">
        <f>COPY!Z3477</f>
        <v>0</v>
      </c>
      <c r="H3485" s="111" t="str">
        <f>IFERROR(VLOOKUP(Table1722[[#This Row],[Bukti]],'Un nOTA'!$A$4:$K$5003,10,FALSE),"")</f>
        <v/>
      </c>
      <c r="I3485" s="123" t="str">
        <f>IFERROR(VLOOKUP(Table1722[[#This Row],[Bukti]],Table13[#Data],11,FALSE),"")</f>
        <v/>
      </c>
    </row>
    <row r="3486" spans="1:9" hidden="1" x14ac:dyDescent="0.2">
      <c r="A3486" s="105" t="str">
        <f>IF(D3486=1,COUNTIF($D$10:D3486,1)," ")</f>
        <v xml:space="preserve"> </v>
      </c>
      <c r="B3486" s="106">
        <f>COPY!AR3478</f>
        <v>0</v>
      </c>
      <c r="C3486" s="107">
        <f>COPY!AC3478</f>
        <v>0</v>
      </c>
      <c r="D3486" s="107" t="str">
        <f>IF(LEN(Table1722[[#This Row],[Uraian]])&gt;2,1," ")</f>
        <v xml:space="preserve"> </v>
      </c>
      <c r="E3486" s="113" t="str">
        <f>IF(Table1722[[#This Row],[Lawan Transaksi]]="CV AGUNG KARYA",COUNTIF($I$10:I3486,"CV AGUNG KARYA")," ")</f>
        <v xml:space="preserve"> </v>
      </c>
      <c r="F3486" s="107" t="str">
        <f>IF(LEN(Table1722[[#This Row],[Uraian]])&gt;2,TRIM(RIGHT(SUBSTITUTE(TRIM(C3486)," ",REPT(" ",255)),255))," ")</f>
        <v xml:space="preserve"> </v>
      </c>
      <c r="G3486" s="110">
        <f>COPY!Z3478</f>
        <v>0</v>
      </c>
      <c r="H3486" s="111" t="str">
        <f>IFERROR(VLOOKUP(Table1722[[#This Row],[Bukti]],'Un nOTA'!$A$4:$K$5003,10,FALSE),"")</f>
        <v/>
      </c>
      <c r="I3486" s="123" t="str">
        <f>IFERROR(VLOOKUP(Table1722[[#This Row],[Bukti]],Table13[#Data],11,FALSE),"")</f>
        <v/>
      </c>
    </row>
    <row r="3487" spans="1:9" hidden="1" x14ac:dyDescent="0.2">
      <c r="A3487" s="105" t="str">
        <f>IF(D3487=1,COUNTIF($D$10:D3487,1)," ")</f>
        <v xml:space="preserve"> </v>
      </c>
      <c r="B3487" s="106">
        <f>COPY!AR3479</f>
        <v>0</v>
      </c>
      <c r="C3487" s="107">
        <f>COPY!AC3479</f>
        <v>0</v>
      </c>
      <c r="D3487" s="107" t="str">
        <f>IF(LEN(Table1722[[#This Row],[Uraian]])&gt;2,1," ")</f>
        <v xml:space="preserve"> </v>
      </c>
      <c r="E3487" s="113" t="str">
        <f>IF(Table1722[[#This Row],[Lawan Transaksi]]="CV AGUNG KARYA",COUNTIF($I$10:I3487,"CV AGUNG KARYA")," ")</f>
        <v xml:space="preserve"> </v>
      </c>
      <c r="F3487" s="107" t="str">
        <f>IF(LEN(Table1722[[#This Row],[Uraian]])&gt;2,TRIM(RIGHT(SUBSTITUTE(TRIM(C3487)," ",REPT(" ",255)),255))," ")</f>
        <v xml:space="preserve"> </v>
      </c>
      <c r="G3487" s="110">
        <f>COPY!Z3479</f>
        <v>0</v>
      </c>
      <c r="H3487" s="111" t="str">
        <f>IFERROR(VLOOKUP(Table1722[[#This Row],[Bukti]],'Un nOTA'!$A$4:$K$5003,10,FALSE),"")</f>
        <v/>
      </c>
      <c r="I3487" s="123" t="str">
        <f>IFERROR(VLOOKUP(Table1722[[#This Row],[Bukti]],Table13[#Data],11,FALSE),"")</f>
        <v/>
      </c>
    </row>
    <row r="3488" spans="1:9" hidden="1" x14ac:dyDescent="0.2">
      <c r="A3488" s="105" t="str">
        <f>IF(D3488=1,COUNTIF($D$10:D3488,1)," ")</f>
        <v xml:space="preserve"> </v>
      </c>
      <c r="B3488" s="106">
        <f>COPY!AR3480</f>
        <v>0</v>
      </c>
      <c r="C3488" s="107">
        <f>COPY!AC3480</f>
        <v>0</v>
      </c>
      <c r="D3488" s="107" t="str">
        <f>IF(LEN(Table1722[[#This Row],[Uraian]])&gt;2,1," ")</f>
        <v xml:space="preserve"> </v>
      </c>
      <c r="E3488" s="113" t="str">
        <f>IF(Table1722[[#This Row],[Lawan Transaksi]]="CV AGUNG KARYA",COUNTIF($I$10:I3488,"CV AGUNG KARYA")," ")</f>
        <v xml:space="preserve"> </v>
      </c>
      <c r="F3488" s="107" t="str">
        <f>IF(LEN(Table1722[[#This Row],[Uraian]])&gt;2,TRIM(RIGHT(SUBSTITUTE(TRIM(C3488)," ",REPT(" ",255)),255))," ")</f>
        <v xml:space="preserve"> </v>
      </c>
      <c r="G3488" s="110">
        <f>COPY!Z3480</f>
        <v>0</v>
      </c>
      <c r="H3488" s="111" t="str">
        <f>IFERROR(VLOOKUP(Table1722[[#This Row],[Bukti]],'Un nOTA'!$A$4:$K$5003,10,FALSE),"")</f>
        <v/>
      </c>
      <c r="I3488" s="123" t="str">
        <f>IFERROR(VLOOKUP(Table1722[[#This Row],[Bukti]],Table13[#Data],11,FALSE),"")</f>
        <v/>
      </c>
    </row>
    <row r="3489" spans="1:9" hidden="1" x14ac:dyDescent="0.2">
      <c r="A3489" s="105" t="str">
        <f>IF(D3489=1,COUNTIF($D$10:D3489,1)," ")</f>
        <v xml:space="preserve"> </v>
      </c>
      <c r="B3489" s="106">
        <f>COPY!AR3481</f>
        <v>0</v>
      </c>
      <c r="C3489" s="107">
        <f>COPY!AC3481</f>
        <v>0</v>
      </c>
      <c r="D3489" s="107" t="str">
        <f>IF(LEN(Table1722[[#This Row],[Uraian]])&gt;2,1," ")</f>
        <v xml:space="preserve"> </v>
      </c>
      <c r="E3489" s="113" t="str">
        <f>IF(Table1722[[#This Row],[Lawan Transaksi]]="CV AGUNG KARYA",COUNTIF($I$10:I3489,"CV AGUNG KARYA")," ")</f>
        <v xml:space="preserve"> </v>
      </c>
      <c r="F3489" s="107" t="str">
        <f>IF(LEN(Table1722[[#This Row],[Uraian]])&gt;2,TRIM(RIGHT(SUBSTITUTE(TRIM(C3489)," ",REPT(" ",255)),255))," ")</f>
        <v xml:space="preserve"> </v>
      </c>
      <c r="G3489" s="110">
        <f>COPY!Z3481</f>
        <v>0</v>
      </c>
      <c r="H3489" s="111" t="str">
        <f>IFERROR(VLOOKUP(Table1722[[#This Row],[Bukti]],'Un nOTA'!$A$4:$K$5003,10,FALSE),"")</f>
        <v/>
      </c>
      <c r="I3489" s="123" t="str">
        <f>IFERROR(VLOOKUP(Table1722[[#This Row],[Bukti]],Table13[#Data],11,FALSE),"")</f>
        <v/>
      </c>
    </row>
    <row r="3490" spans="1:9" hidden="1" x14ac:dyDescent="0.2">
      <c r="A3490" s="105" t="str">
        <f>IF(D3490=1,COUNTIF($D$10:D3490,1)," ")</f>
        <v xml:space="preserve"> </v>
      </c>
      <c r="B3490" s="106">
        <f>COPY!AR3482</f>
        <v>0</v>
      </c>
      <c r="C3490" s="107">
        <f>COPY!AC3482</f>
        <v>0</v>
      </c>
      <c r="D3490" s="107" t="str">
        <f>IF(LEN(Table1722[[#This Row],[Uraian]])&gt;2,1," ")</f>
        <v xml:space="preserve"> </v>
      </c>
      <c r="E3490" s="113" t="str">
        <f>IF(Table1722[[#This Row],[Lawan Transaksi]]="CV AGUNG KARYA",COUNTIF($I$10:I3490,"CV AGUNG KARYA")," ")</f>
        <v xml:space="preserve"> </v>
      </c>
      <c r="F3490" s="107" t="str">
        <f>IF(LEN(Table1722[[#This Row],[Uraian]])&gt;2,TRIM(RIGHT(SUBSTITUTE(TRIM(C3490)," ",REPT(" ",255)),255))," ")</f>
        <v xml:space="preserve"> </v>
      </c>
      <c r="G3490" s="110">
        <f>COPY!Z3482</f>
        <v>0</v>
      </c>
      <c r="H3490" s="111" t="str">
        <f>IFERROR(VLOOKUP(Table1722[[#This Row],[Bukti]],'Un nOTA'!$A$4:$K$5003,10,FALSE),"")</f>
        <v/>
      </c>
      <c r="I3490" s="123" t="str">
        <f>IFERROR(VLOOKUP(Table1722[[#This Row],[Bukti]],Table13[#Data],11,FALSE),"")</f>
        <v/>
      </c>
    </row>
    <row r="3491" spans="1:9" hidden="1" x14ac:dyDescent="0.2">
      <c r="A3491" s="105" t="str">
        <f>IF(D3491=1,COUNTIF($D$10:D3491,1)," ")</f>
        <v xml:space="preserve"> </v>
      </c>
      <c r="B3491" s="106">
        <f>COPY!AR3483</f>
        <v>0</v>
      </c>
      <c r="C3491" s="107">
        <f>COPY!AC3483</f>
        <v>0</v>
      </c>
      <c r="D3491" s="107" t="str">
        <f>IF(LEN(Table1722[[#This Row],[Uraian]])&gt;2,1," ")</f>
        <v xml:space="preserve"> </v>
      </c>
      <c r="E3491" s="113" t="str">
        <f>IF(Table1722[[#This Row],[Lawan Transaksi]]="CV AGUNG KARYA",COUNTIF($I$10:I3491,"CV AGUNG KARYA")," ")</f>
        <v xml:space="preserve"> </v>
      </c>
      <c r="F3491" s="107" t="str">
        <f>IF(LEN(Table1722[[#This Row],[Uraian]])&gt;2,TRIM(RIGHT(SUBSTITUTE(TRIM(C3491)," ",REPT(" ",255)),255))," ")</f>
        <v xml:space="preserve"> </v>
      </c>
      <c r="G3491" s="110">
        <f>COPY!Z3483</f>
        <v>0</v>
      </c>
      <c r="H3491" s="111" t="str">
        <f>IFERROR(VLOOKUP(Table1722[[#This Row],[Bukti]],'Un nOTA'!$A$4:$K$5003,10,FALSE),"")</f>
        <v/>
      </c>
      <c r="I3491" s="123" t="str">
        <f>IFERROR(VLOOKUP(Table1722[[#This Row],[Bukti]],Table13[#Data],11,FALSE),"")</f>
        <v/>
      </c>
    </row>
    <row r="3492" spans="1:9" hidden="1" x14ac:dyDescent="0.2">
      <c r="A3492" s="105" t="str">
        <f>IF(D3492=1,COUNTIF($D$10:D3492,1)," ")</f>
        <v xml:space="preserve"> </v>
      </c>
      <c r="B3492" s="106">
        <f>COPY!AR3484</f>
        <v>0</v>
      </c>
      <c r="C3492" s="107">
        <f>COPY!AC3484</f>
        <v>0</v>
      </c>
      <c r="D3492" s="107" t="str">
        <f>IF(LEN(Table1722[[#This Row],[Uraian]])&gt;2,1," ")</f>
        <v xml:space="preserve"> </v>
      </c>
      <c r="E3492" s="113" t="str">
        <f>IF(Table1722[[#This Row],[Lawan Transaksi]]="CV AGUNG KARYA",COUNTIF($I$10:I3492,"CV AGUNG KARYA")," ")</f>
        <v xml:space="preserve"> </v>
      </c>
      <c r="F3492" s="107" t="str">
        <f>IF(LEN(Table1722[[#This Row],[Uraian]])&gt;2,TRIM(RIGHT(SUBSTITUTE(TRIM(C3492)," ",REPT(" ",255)),255))," ")</f>
        <v xml:space="preserve"> </v>
      </c>
      <c r="G3492" s="110">
        <f>COPY!Z3484</f>
        <v>0</v>
      </c>
      <c r="H3492" s="111" t="str">
        <f>IFERROR(VLOOKUP(Table1722[[#This Row],[Bukti]],'Un nOTA'!$A$4:$K$5003,10,FALSE),"")</f>
        <v/>
      </c>
      <c r="I3492" s="123" t="str">
        <f>IFERROR(VLOOKUP(Table1722[[#This Row],[Bukti]],Table13[#Data],11,FALSE),"")</f>
        <v/>
      </c>
    </row>
    <row r="3493" spans="1:9" hidden="1" x14ac:dyDescent="0.2">
      <c r="A3493" s="105" t="str">
        <f>IF(D3493=1,COUNTIF($D$10:D3493,1)," ")</f>
        <v xml:space="preserve"> </v>
      </c>
      <c r="B3493" s="106">
        <f>COPY!AR3485</f>
        <v>0</v>
      </c>
      <c r="C3493" s="107">
        <f>COPY!AC3485</f>
        <v>0</v>
      </c>
      <c r="D3493" s="107" t="str">
        <f>IF(LEN(Table1722[[#This Row],[Uraian]])&gt;2,1," ")</f>
        <v xml:space="preserve"> </v>
      </c>
      <c r="E3493" s="113" t="str">
        <f>IF(Table1722[[#This Row],[Lawan Transaksi]]="CV AGUNG KARYA",COUNTIF($I$10:I3493,"CV AGUNG KARYA")," ")</f>
        <v xml:space="preserve"> </v>
      </c>
      <c r="F3493" s="107" t="str">
        <f>IF(LEN(Table1722[[#This Row],[Uraian]])&gt;2,TRIM(RIGHT(SUBSTITUTE(TRIM(C3493)," ",REPT(" ",255)),255))," ")</f>
        <v xml:space="preserve"> </v>
      </c>
      <c r="G3493" s="110">
        <f>COPY!Z3485</f>
        <v>0</v>
      </c>
      <c r="H3493" s="111" t="str">
        <f>IFERROR(VLOOKUP(Table1722[[#This Row],[Bukti]],'Un nOTA'!$A$4:$K$5003,10,FALSE),"")</f>
        <v/>
      </c>
      <c r="I3493" s="123" t="str">
        <f>IFERROR(VLOOKUP(Table1722[[#This Row],[Bukti]],Table13[#Data],11,FALSE),"")</f>
        <v/>
      </c>
    </row>
    <row r="3494" spans="1:9" hidden="1" x14ac:dyDescent="0.2">
      <c r="A3494" s="105" t="str">
        <f>IF(D3494=1,COUNTIF($D$10:D3494,1)," ")</f>
        <v xml:space="preserve"> </v>
      </c>
      <c r="B3494" s="106">
        <f>COPY!AR3486</f>
        <v>0</v>
      </c>
      <c r="C3494" s="107">
        <f>COPY!AC3486</f>
        <v>0</v>
      </c>
      <c r="D3494" s="107" t="str">
        <f>IF(LEN(Table1722[[#This Row],[Uraian]])&gt;2,1," ")</f>
        <v xml:space="preserve"> </v>
      </c>
      <c r="E3494" s="113" t="str">
        <f>IF(Table1722[[#This Row],[Lawan Transaksi]]="CV AGUNG KARYA",COUNTIF($I$10:I3494,"CV AGUNG KARYA")," ")</f>
        <v xml:space="preserve"> </v>
      </c>
      <c r="F3494" s="107" t="str">
        <f>IF(LEN(Table1722[[#This Row],[Uraian]])&gt;2,TRIM(RIGHT(SUBSTITUTE(TRIM(C3494)," ",REPT(" ",255)),255))," ")</f>
        <v xml:space="preserve"> </v>
      </c>
      <c r="G3494" s="110">
        <f>COPY!Z3486</f>
        <v>0</v>
      </c>
      <c r="H3494" s="111" t="str">
        <f>IFERROR(VLOOKUP(Table1722[[#This Row],[Bukti]],'Un nOTA'!$A$4:$K$5003,10,FALSE),"")</f>
        <v/>
      </c>
      <c r="I3494" s="123" t="str">
        <f>IFERROR(VLOOKUP(Table1722[[#This Row],[Bukti]],Table13[#Data],11,FALSE),"")</f>
        <v/>
      </c>
    </row>
    <row r="3495" spans="1:9" hidden="1" x14ac:dyDescent="0.2">
      <c r="A3495" s="105" t="str">
        <f>IF(D3495=1,COUNTIF($D$10:D3495,1)," ")</f>
        <v xml:space="preserve"> </v>
      </c>
      <c r="B3495" s="106">
        <f>COPY!AR3487</f>
        <v>0</v>
      </c>
      <c r="C3495" s="107">
        <f>COPY!AC3487</f>
        <v>0</v>
      </c>
      <c r="D3495" s="107" t="str">
        <f>IF(LEN(Table1722[[#This Row],[Uraian]])&gt;2,1," ")</f>
        <v xml:space="preserve"> </v>
      </c>
      <c r="E3495" s="113" t="str">
        <f>IF(Table1722[[#This Row],[Lawan Transaksi]]="CV AGUNG KARYA",COUNTIF($I$10:I3495,"CV AGUNG KARYA")," ")</f>
        <v xml:space="preserve"> </v>
      </c>
      <c r="F3495" s="107" t="str">
        <f>IF(LEN(Table1722[[#This Row],[Uraian]])&gt;2,TRIM(RIGHT(SUBSTITUTE(TRIM(C3495)," ",REPT(" ",255)),255))," ")</f>
        <v xml:space="preserve"> </v>
      </c>
      <c r="G3495" s="110">
        <f>COPY!Z3487</f>
        <v>0</v>
      </c>
      <c r="H3495" s="111" t="str">
        <f>IFERROR(VLOOKUP(Table1722[[#This Row],[Bukti]],'Un nOTA'!$A$4:$K$5003,10,FALSE),"")</f>
        <v/>
      </c>
      <c r="I3495" s="123" t="str">
        <f>IFERROR(VLOOKUP(Table1722[[#This Row],[Bukti]],Table13[#Data],11,FALSE),"")</f>
        <v/>
      </c>
    </row>
    <row r="3496" spans="1:9" hidden="1" x14ac:dyDescent="0.2">
      <c r="A3496" s="105" t="str">
        <f>IF(D3496=1,COUNTIF($D$10:D3496,1)," ")</f>
        <v xml:space="preserve"> </v>
      </c>
      <c r="B3496" s="106">
        <f>COPY!AR3488</f>
        <v>0</v>
      </c>
      <c r="C3496" s="107">
        <f>COPY!AC3488</f>
        <v>0</v>
      </c>
      <c r="D3496" s="107" t="str">
        <f>IF(LEN(Table1722[[#This Row],[Uraian]])&gt;2,1," ")</f>
        <v xml:space="preserve"> </v>
      </c>
      <c r="E3496" s="113" t="str">
        <f>IF(Table1722[[#This Row],[Lawan Transaksi]]="CV AGUNG KARYA",COUNTIF($I$10:I3496,"CV AGUNG KARYA")," ")</f>
        <v xml:space="preserve"> </v>
      </c>
      <c r="F3496" s="107" t="str">
        <f>IF(LEN(Table1722[[#This Row],[Uraian]])&gt;2,TRIM(RIGHT(SUBSTITUTE(TRIM(C3496)," ",REPT(" ",255)),255))," ")</f>
        <v xml:space="preserve"> </v>
      </c>
      <c r="G3496" s="110">
        <f>COPY!Z3488</f>
        <v>0</v>
      </c>
      <c r="H3496" s="111" t="str">
        <f>IFERROR(VLOOKUP(Table1722[[#This Row],[Bukti]],'Un nOTA'!$A$4:$K$5003,10,FALSE),"")</f>
        <v/>
      </c>
      <c r="I3496" s="123" t="str">
        <f>IFERROR(VLOOKUP(Table1722[[#This Row],[Bukti]],Table13[#Data],11,FALSE),"")</f>
        <v/>
      </c>
    </row>
    <row r="3497" spans="1:9" hidden="1" x14ac:dyDescent="0.2">
      <c r="A3497" s="105" t="str">
        <f>IF(D3497=1,COUNTIF($D$10:D3497,1)," ")</f>
        <v xml:space="preserve"> </v>
      </c>
      <c r="B3497" s="106">
        <f>COPY!AR3489</f>
        <v>0</v>
      </c>
      <c r="C3497" s="107">
        <f>COPY!AC3489</f>
        <v>0</v>
      </c>
      <c r="D3497" s="107" t="str">
        <f>IF(LEN(Table1722[[#This Row],[Uraian]])&gt;2,1," ")</f>
        <v xml:space="preserve"> </v>
      </c>
      <c r="E3497" s="113" t="str">
        <f>IF(Table1722[[#This Row],[Lawan Transaksi]]="CV AGUNG KARYA",COUNTIF($I$10:I3497,"CV AGUNG KARYA")," ")</f>
        <v xml:space="preserve"> </v>
      </c>
      <c r="F3497" s="107" t="str">
        <f>IF(LEN(Table1722[[#This Row],[Uraian]])&gt;2,TRIM(RIGHT(SUBSTITUTE(TRIM(C3497)," ",REPT(" ",255)),255))," ")</f>
        <v xml:space="preserve"> </v>
      </c>
      <c r="G3497" s="110">
        <f>COPY!Z3489</f>
        <v>0</v>
      </c>
      <c r="H3497" s="111" t="str">
        <f>IFERROR(VLOOKUP(Table1722[[#This Row],[Bukti]],'Un nOTA'!$A$4:$K$5003,10,FALSE),"")</f>
        <v/>
      </c>
      <c r="I3497" s="123" t="str">
        <f>IFERROR(VLOOKUP(Table1722[[#This Row],[Bukti]],Table13[#Data],11,FALSE),"")</f>
        <v/>
      </c>
    </row>
    <row r="3498" spans="1:9" hidden="1" x14ac:dyDescent="0.2">
      <c r="A3498" s="105" t="str">
        <f>IF(D3498=1,COUNTIF($D$10:D3498,1)," ")</f>
        <v xml:space="preserve"> </v>
      </c>
      <c r="B3498" s="106">
        <f>COPY!AR3490</f>
        <v>0</v>
      </c>
      <c r="C3498" s="107">
        <f>COPY!AC3490</f>
        <v>0</v>
      </c>
      <c r="D3498" s="107" t="str">
        <f>IF(LEN(Table1722[[#This Row],[Uraian]])&gt;2,1," ")</f>
        <v xml:space="preserve"> </v>
      </c>
      <c r="E3498" s="113" t="str">
        <f>IF(Table1722[[#This Row],[Lawan Transaksi]]="CV AGUNG KARYA",COUNTIF($I$10:I3498,"CV AGUNG KARYA")," ")</f>
        <v xml:space="preserve"> </v>
      </c>
      <c r="F3498" s="107" t="str">
        <f>IF(LEN(Table1722[[#This Row],[Uraian]])&gt;2,TRIM(RIGHT(SUBSTITUTE(TRIM(C3498)," ",REPT(" ",255)),255))," ")</f>
        <v xml:space="preserve"> </v>
      </c>
      <c r="G3498" s="110">
        <f>COPY!Z3490</f>
        <v>0</v>
      </c>
      <c r="H3498" s="111" t="str">
        <f>IFERROR(VLOOKUP(Table1722[[#This Row],[Bukti]],'Un nOTA'!$A$4:$K$5003,10,FALSE),"")</f>
        <v/>
      </c>
      <c r="I3498" s="123" t="str">
        <f>IFERROR(VLOOKUP(Table1722[[#This Row],[Bukti]],Table13[#Data],11,FALSE),"")</f>
        <v/>
      </c>
    </row>
    <row r="3499" spans="1:9" hidden="1" x14ac:dyDescent="0.2">
      <c r="A3499" s="105" t="str">
        <f>IF(D3499=1,COUNTIF($D$10:D3499,1)," ")</f>
        <v xml:space="preserve"> </v>
      </c>
      <c r="B3499" s="106">
        <f>COPY!AR3491</f>
        <v>0</v>
      </c>
      <c r="C3499" s="107">
        <f>COPY!AC3491</f>
        <v>0</v>
      </c>
      <c r="D3499" s="107" t="str">
        <f>IF(LEN(Table1722[[#This Row],[Uraian]])&gt;2,1," ")</f>
        <v xml:space="preserve"> </v>
      </c>
      <c r="E3499" s="113" t="str">
        <f>IF(Table1722[[#This Row],[Lawan Transaksi]]="CV AGUNG KARYA",COUNTIF($I$10:I3499,"CV AGUNG KARYA")," ")</f>
        <v xml:space="preserve"> </v>
      </c>
      <c r="F3499" s="107" t="str">
        <f>IF(LEN(Table1722[[#This Row],[Uraian]])&gt;2,TRIM(RIGHT(SUBSTITUTE(TRIM(C3499)," ",REPT(" ",255)),255))," ")</f>
        <v xml:space="preserve"> </v>
      </c>
      <c r="G3499" s="110">
        <f>COPY!Z3491</f>
        <v>0</v>
      </c>
      <c r="H3499" s="111" t="str">
        <f>IFERROR(VLOOKUP(Table1722[[#This Row],[Bukti]],'Un nOTA'!$A$4:$K$5003,10,FALSE),"")</f>
        <v/>
      </c>
      <c r="I3499" s="123" t="str">
        <f>IFERROR(VLOOKUP(Table1722[[#This Row],[Bukti]],Table13[#Data],11,FALSE),"")</f>
        <v/>
      </c>
    </row>
    <row r="3500" spans="1:9" hidden="1" x14ac:dyDescent="0.2">
      <c r="A3500" s="105" t="str">
        <f>IF(D3500=1,COUNTIF($D$10:D3500,1)," ")</f>
        <v xml:space="preserve"> </v>
      </c>
      <c r="B3500" s="106">
        <f>COPY!AR3492</f>
        <v>0</v>
      </c>
      <c r="C3500" s="107">
        <f>COPY!AC3492</f>
        <v>0</v>
      </c>
      <c r="D3500" s="107" t="str">
        <f>IF(LEN(Table1722[[#This Row],[Uraian]])&gt;2,1," ")</f>
        <v xml:space="preserve"> </v>
      </c>
      <c r="E3500" s="113" t="str">
        <f>IF(Table1722[[#This Row],[Lawan Transaksi]]="CV AGUNG KARYA",COUNTIF($I$10:I3500,"CV AGUNG KARYA")," ")</f>
        <v xml:space="preserve"> </v>
      </c>
      <c r="F3500" s="107" t="str">
        <f>IF(LEN(Table1722[[#This Row],[Uraian]])&gt;2,TRIM(RIGHT(SUBSTITUTE(TRIM(C3500)," ",REPT(" ",255)),255))," ")</f>
        <v xml:space="preserve"> </v>
      </c>
      <c r="G3500" s="110">
        <f>COPY!Z3492</f>
        <v>0</v>
      </c>
      <c r="H3500" s="111" t="str">
        <f>IFERROR(VLOOKUP(Table1722[[#This Row],[Bukti]],'Un nOTA'!$A$4:$K$5003,10,FALSE),"")</f>
        <v/>
      </c>
      <c r="I3500" s="123" t="str">
        <f>IFERROR(VLOOKUP(Table1722[[#This Row],[Bukti]],Table13[#Data],11,FALSE),"")</f>
        <v/>
      </c>
    </row>
    <row r="3501" spans="1:9" hidden="1" x14ac:dyDescent="0.2">
      <c r="A3501" s="105" t="str">
        <f>IF(D3501=1,COUNTIF($D$10:D3501,1)," ")</f>
        <v xml:space="preserve"> </v>
      </c>
      <c r="B3501" s="106">
        <f>COPY!AR3493</f>
        <v>0</v>
      </c>
      <c r="C3501" s="107">
        <f>COPY!AC3493</f>
        <v>0</v>
      </c>
      <c r="D3501" s="107" t="str">
        <f>IF(LEN(Table1722[[#This Row],[Uraian]])&gt;2,1," ")</f>
        <v xml:space="preserve"> </v>
      </c>
      <c r="E3501" s="113" t="str">
        <f>IF(Table1722[[#This Row],[Lawan Transaksi]]="CV AGUNG KARYA",COUNTIF($I$10:I3501,"CV AGUNG KARYA")," ")</f>
        <v xml:space="preserve"> </v>
      </c>
      <c r="F3501" s="107" t="str">
        <f>IF(LEN(Table1722[[#This Row],[Uraian]])&gt;2,TRIM(RIGHT(SUBSTITUTE(TRIM(C3501)," ",REPT(" ",255)),255))," ")</f>
        <v xml:space="preserve"> </v>
      </c>
      <c r="G3501" s="110">
        <f>COPY!Z3493</f>
        <v>0</v>
      </c>
      <c r="H3501" s="111" t="str">
        <f>IFERROR(VLOOKUP(Table1722[[#This Row],[Bukti]],'Un nOTA'!$A$4:$K$5003,10,FALSE),"")</f>
        <v/>
      </c>
      <c r="I3501" s="123" t="str">
        <f>IFERROR(VLOOKUP(Table1722[[#This Row],[Bukti]],Table13[#Data],11,FALSE),"")</f>
        <v/>
      </c>
    </row>
    <row r="3502" spans="1:9" hidden="1" x14ac:dyDescent="0.2">
      <c r="A3502" s="105" t="str">
        <f>IF(D3502=1,COUNTIF($D$10:D3502,1)," ")</f>
        <v xml:space="preserve"> </v>
      </c>
      <c r="B3502" s="106">
        <f>COPY!AR3494</f>
        <v>0</v>
      </c>
      <c r="C3502" s="107">
        <f>COPY!AC3494</f>
        <v>0</v>
      </c>
      <c r="D3502" s="107" t="str">
        <f>IF(LEN(Table1722[[#This Row],[Uraian]])&gt;2,1," ")</f>
        <v xml:space="preserve"> </v>
      </c>
      <c r="E3502" s="113" t="str">
        <f>IF(Table1722[[#This Row],[Lawan Transaksi]]="CV AGUNG KARYA",COUNTIF($I$10:I3502,"CV AGUNG KARYA")," ")</f>
        <v xml:space="preserve"> </v>
      </c>
      <c r="F3502" s="107" t="str">
        <f>IF(LEN(Table1722[[#This Row],[Uraian]])&gt;2,TRIM(RIGHT(SUBSTITUTE(TRIM(C3502)," ",REPT(" ",255)),255))," ")</f>
        <v xml:space="preserve"> </v>
      </c>
      <c r="G3502" s="110">
        <f>COPY!Z3494</f>
        <v>0</v>
      </c>
      <c r="H3502" s="111" t="str">
        <f>IFERROR(VLOOKUP(Table1722[[#This Row],[Bukti]],'Un nOTA'!$A$4:$K$5003,10,FALSE),"")</f>
        <v/>
      </c>
      <c r="I3502" s="123" t="str">
        <f>IFERROR(VLOOKUP(Table1722[[#This Row],[Bukti]],Table13[#Data],11,FALSE),"")</f>
        <v/>
      </c>
    </row>
    <row r="3503" spans="1:9" hidden="1" x14ac:dyDescent="0.2">
      <c r="A3503" s="105" t="str">
        <f>IF(D3503=1,COUNTIF($D$10:D3503,1)," ")</f>
        <v xml:space="preserve"> </v>
      </c>
      <c r="B3503" s="106">
        <f>COPY!AR3495</f>
        <v>0</v>
      </c>
      <c r="C3503" s="107">
        <f>COPY!AC3495</f>
        <v>0</v>
      </c>
      <c r="D3503" s="107" t="str">
        <f>IF(LEN(Table1722[[#This Row],[Uraian]])&gt;2,1," ")</f>
        <v xml:space="preserve"> </v>
      </c>
      <c r="E3503" s="113" t="str">
        <f>IF(Table1722[[#This Row],[Lawan Transaksi]]="CV AGUNG KARYA",COUNTIF($I$10:I3503,"CV AGUNG KARYA")," ")</f>
        <v xml:space="preserve"> </v>
      </c>
      <c r="F3503" s="107" t="str">
        <f>IF(LEN(Table1722[[#This Row],[Uraian]])&gt;2,TRIM(RIGHT(SUBSTITUTE(TRIM(C3503)," ",REPT(" ",255)),255))," ")</f>
        <v xml:space="preserve"> </v>
      </c>
      <c r="G3503" s="110">
        <f>COPY!Z3495</f>
        <v>0</v>
      </c>
      <c r="H3503" s="111" t="str">
        <f>IFERROR(VLOOKUP(Table1722[[#This Row],[Bukti]],'Un nOTA'!$A$4:$K$5003,10,FALSE),"")</f>
        <v/>
      </c>
      <c r="I3503" s="123" t="str">
        <f>IFERROR(VLOOKUP(Table1722[[#This Row],[Bukti]],Table13[#Data],11,FALSE),"")</f>
        <v/>
      </c>
    </row>
    <row r="3504" spans="1:9" hidden="1" x14ac:dyDescent="0.2">
      <c r="A3504" s="105" t="str">
        <f>IF(D3504=1,COUNTIF($D$10:D3504,1)," ")</f>
        <v xml:space="preserve"> </v>
      </c>
      <c r="B3504" s="106">
        <f>COPY!AR3496</f>
        <v>0</v>
      </c>
      <c r="C3504" s="107">
        <f>COPY!AC3496</f>
        <v>0</v>
      </c>
      <c r="D3504" s="107" t="str">
        <f>IF(LEN(Table1722[[#This Row],[Uraian]])&gt;2,1," ")</f>
        <v xml:space="preserve"> </v>
      </c>
      <c r="E3504" s="113" t="str">
        <f>IF(Table1722[[#This Row],[Lawan Transaksi]]="CV AGUNG KARYA",COUNTIF($I$10:I3504,"CV AGUNG KARYA")," ")</f>
        <v xml:space="preserve"> </v>
      </c>
      <c r="F3504" s="107" t="str">
        <f>IF(LEN(Table1722[[#This Row],[Uraian]])&gt;2,TRIM(RIGHT(SUBSTITUTE(TRIM(C3504)," ",REPT(" ",255)),255))," ")</f>
        <v xml:space="preserve"> </v>
      </c>
      <c r="G3504" s="110">
        <f>COPY!Z3496</f>
        <v>0</v>
      </c>
      <c r="H3504" s="111" t="str">
        <f>IFERROR(VLOOKUP(Table1722[[#This Row],[Bukti]],'Un nOTA'!$A$4:$K$5003,10,FALSE),"")</f>
        <v/>
      </c>
      <c r="I3504" s="123" t="str">
        <f>IFERROR(VLOOKUP(Table1722[[#This Row],[Bukti]],Table13[#Data],11,FALSE),"")</f>
        <v/>
      </c>
    </row>
    <row r="3505" spans="1:9" hidden="1" x14ac:dyDescent="0.2">
      <c r="A3505" s="105" t="str">
        <f>IF(D3505=1,COUNTIF($D$10:D3505,1)," ")</f>
        <v xml:space="preserve"> </v>
      </c>
      <c r="B3505" s="106">
        <f>COPY!AR3497</f>
        <v>0</v>
      </c>
      <c r="C3505" s="107">
        <f>COPY!AC3497</f>
        <v>0</v>
      </c>
      <c r="D3505" s="107" t="str">
        <f>IF(LEN(Table1722[[#This Row],[Uraian]])&gt;2,1," ")</f>
        <v xml:space="preserve"> </v>
      </c>
      <c r="E3505" s="113" t="str">
        <f>IF(Table1722[[#This Row],[Lawan Transaksi]]="CV AGUNG KARYA",COUNTIF($I$10:I3505,"CV AGUNG KARYA")," ")</f>
        <v xml:space="preserve"> </v>
      </c>
      <c r="F3505" s="107" t="str">
        <f>IF(LEN(Table1722[[#This Row],[Uraian]])&gt;2,TRIM(RIGHT(SUBSTITUTE(TRIM(C3505)," ",REPT(" ",255)),255))," ")</f>
        <v xml:space="preserve"> </v>
      </c>
      <c r="G3505" s="110">
        <f>COPY!Z3497</f>
        <v>0</v>
      </c>
      <c r="H3505" s="111" t="str">
        <f>IFERROR(VLOOKUP(Table1722[[#This Row],[Bukti]],'Un nOTA'!$A$4:$K$5003,10,FALSE),"")</f>
        <v/>
      </c>
      <c r="I3505" s="123" t="str">
        <f>IFERROR(VLOOKUP(Table1722[[#This Row],[Bukti]],Table13[#Data],11,FALSE),"")</f>
        <v/>
      </c>
    </row>
    <row r="3506" spans="1:9" hidden="1" x14ac:dyDescent="0.2">
      <c r="A3506" s="105" t="str">
        <f>IF(D3506=1,COUNTIF($D$10:D3506,1)," ")</f>
        <v xml:space="preserve"> </v>
      </c>
      <c r="B3506" s="106">
        <f>COPY!AR3498</f>
        <v>0</v>
      </c>
      <c r="C3506" s="107">
        <f>COPY!AC3498</f>
        <v>0</v>
      </c>
      <c r="D3506" s="107" t="str">
        <f>IF(LEN(Table1722[[#This Row],[Uraian]])&gt;2,1," ")</f>
        <v xml:space="preserve"> </v>
      </c>
      <c r="E3506" s="113" t="str">
        <f>IF(Table1722[[#This Row],[Lawan Transaksi]]="CV AGUNG KARYA",COUNTIF($I$10:I3506,"CV AGUNG KARYA")," ")</f>
        <v xml:space="preserve"> </v>
      </c>
      <c r="F3506" s="107" t="str">
        <f>IF(LEN(Table1722[[#This Row],[Uraian]])&gt;2,TRIM(RIGHT(SUBSTITUTE(TRIM(C3506)," ",REPT(" ",255)),255))," ")</f>
        <v xml:space="preserve"> </v>
      </c>
      <c r="G3506" s="110">
        <f>COPY!Z3498</f>
        <v>0</v>
      </c>
      <c r="H3506" s="111" t="str">
        <f>IFERROR(VLOOKUP(Table1722[[#This Row],[Bukti]],'Un nOTA'!$A$4:$K$5003,10,FALSE),"")</f>
        <v/>
      </c>
      <c r="I3506" s="123" t="str">
        <f>IFERROR(VLOOKUP(Table1722[[#This Row],[Bukti]],Table13[#Data],11,FALSE),"")</f>
        <v/>
      </c>
    </row>
    <row r="3507" spans="1:9" hidden="1" x14ac:dyDescent="0.2">
      <c r="A3507" s="105" t="str">
        <f>IF(D3507=1,COUNTIF($D$10:D3507,1)," ")</f>
        <v xml:space="preserve"> </v>
      </c>
      <c r="B3507" s="106">
        <f>COPY!AR3499</f>
        <v>0</v>
      </c>
      <c r="C3507" s="107">
        <f>COPY!AC3499</f>
        <v>0</v>
      </c>
      <c r="D3507" s="107" t="str">
        <f>IF(LEN(Table1722[[#This Row],[Uraian]])&gt;2,1," ")</f>
        <v xml:space="preserve"> </v>
      </c>
      <c r="E3507" s="113" t="str">
        <f>IF(Table1722[[#This Row],[Lawan Transaksi]]="CV AGUNG KARYA",COUNTIF($I$10:I3507,"CV AGUNG KARYA")," ")</f>
        <v xml:space="preserve"> </v>
      </c>
      <c r="F3507" s="107" t="str">
        <f>IF(LEN(Table1722[[#This Row],[Uraian]])&gt;2,TRIM(RIGHT(SUBSTITUTE(TRIM(C3507)," ",REPT(" ",255)),255))," ")</f>
        <v xml:space="preserve"> </v>
      </c>
      <c r="G3507" s="110">
        <f>COPY!Z3499</f>
        <v>0</v>
      </c>
      <c r="H3507" s="111" t="str">
        <f>IFERROR(VLOOKUP(Table1722[[#This Row],[Bukti]],'Un nOTA'!$A$4:$K$5003,10,FALSE),"")</f>
        <v/>
      </c>
      <c r="I3507" s="123" t="str">
        <f>IFERROR(VLOOKUP(Table1722[[#This Row],[Bukti]],Table13[#Data],11,FALSE),"")</f>
        <v/>
      </c>
    </row>
    <row r="3508" spans="1:9" hidden="1" x14ac:dyDescent="0.2">
      <c r="A3508" s="105" t="str">
        <f>IF(D3508=1,COUNTIF($D$10:D3508,1)," ")</f>
        <v xml:space="preserve"> </v>
      </c>
      <c r="B3508" s="106">
        <f>COPY!AR3500</f>
        <v>0</v>
      </c>
      <c r="C3508" s="107">
        <f>COPY!AC3500</f>
        <v>0</v>
      </c>
      <c r="D3508" s="107" t="str">
        <f>IF(LEN(Table1722[[#This Row],[Uraian]])&gt;2,1," ")</f>
        <v xml:space="preserve"> </v>
      </c>
      <c r="E3508" s="113" t="str">
        <f>IF(Table1722[[#This Row],[Lawan Transaksi]]="CV AGUNG KARYA",COUNTIF($I$10:I3508,"CV AGUNG KARYA")," ")</f>
        <v xml:space="preserve"> </v>
      </c>
      <c r="F3508" s="107" t="str">
        <f>IF(LEN(Table1722[[#This Row],[Uraian]])&gt;2,TRIM(RIGHT(SUBSTITUTE(TRIM(C3508)," ",REPT(" ",255)),255))," ")</f>
        <v xml:space="preserve"> </v>
      </c>
      <c r="G3508" s="110">
        <f>COPY!Z3500</f>
        <v>0</v>
      </c>
      <c r="H3508" s="111" t="str">
        <f>IFERROR(VLOOKUP(Table1722[[#This Row],[Bukti]],'Un nOTA'!$A$4:$K$5003,10,FALSE),"")</f>
        <v/>
      </c>
      <c r="I3508" s="123" t="str">
        <f>IFERROR(VLOOKUP(Table1722[[#This Row],[Bukti]],Table13[#Data],11,FALSE),"")</f>
        <v/>
      </c>
    </row>
    <row r="3509" spans="1:9" hidden="1" x14ac:dyDescent="0.2">
      <c r="A3509" s="105" t="str">
        <f>IF(D3509=1,COUNTIF($D$10:D3509,1)," ")</f>
        <v xml:space="preserve"> </v>
      </c>
      <c r="B3509" s="106">
        <f>COPY!AR3501</f>
        <v>0</v>
      </c>
      <c r="C3509" s="107">
        <f>COPY!AC3501</f>
        <v>0</v>
      </c>
      <c r="D3509" s="107" t="str">
        <f>IF(LEN(Table1722[[#This Row],[Uraian]])&gt;2,1," ")</f>
        <v xml:space="preserve"> </v>
      </c>
      <c r="E3509" s="113" t="str">
        <f>IF(Table1722[[#This Row],[Lawan Transaksi]]="CV AGUNG KARYA",COUNTIF($I$10:I3509,"CV AGUNG KARYA")," ")</f>
        <v xml:space="preserve"> </v>
      </c>
      <c r="F3509" s="107" t="str">
        <f>IF(LEN(Table1722[[#This Row],[Uraian]])&gt;2,TRIM(RIGHT(SUBSTITUTE(TRIM(C3509)," ",REPT(" ",255)),255))," ")</f>
        <v xml:space="preserve"> </v>
      </c>
      <c r="G3509" s="110">
        <f>COPY!Z3501</f>
        <v>0</v>
      </c>
      <c r="H3509" s="111" t="str">
        <f>IFERROR(VLOOKUP(Table1722[[#This Row],[Bukti]],'Un nOTA'!$A$4:$K$5003,10,FALSE),"")</f>
        <v/>
      </c>
      <c r="I3509" s="123" t="str">
        <f>IFERROR(VLOOKUP(Table1722[[#This Row],[Bukti]],Table13[#Data],11,FALSE),"")</f>
        <v/>
      </c>
    </row>
    <row r="3510" spans="1:9" hidden="1" x14ac:dyDescent="0.2">
      <c r="A3510" s="105" t="str">
        <f>IF(D3510=1,COUNTIF($D$10:D3510,1)," ")</f>
        <v xml:space="preserve"> </v>
      </c>
      <c r="B3510" s="106">
        <f>COPY!AR3502</f>
        <v>0</v>
      </c>
      <c r="C3510" s="107">
        <f>COPY!AC3502</f>
        <v>0</v>
      </c>
      <c r="D3510" s="107" t="str">
        <f>IF(LEN(Table1722[[#This Row],[Uraian]])&gt;2,1," ")</f>
        <v xml:space="preserve"> </v>
      </c>
      <c r="E3510" s="113" t="str">
        <f>IF(Table1722[[#This Row],[Lawan Transaksi]]="CV AGUNG KARYA",COUNTIF($I$10:I3510,"CV AGUNG KARYA")," ")</f>
        <v xml:space="preserve"> </v>
      </c>
      <c r="F3510" s="107" t="str">
        <f>IF(LEN(Table1722[[#This Row],[Uraian]])&gt;2,TRIM(RIGHT(SUBSTITUTE(TRIM(C3510)," ",REPT(" ",255)),255))," ")</f>
        <v xml:space="preserve"> </v>
      </c>
      <c r="G3510" s="110">
        <f>COPY!Z3502</f>
        <v>0</v>
      </c>
      <c r="H3510" s="111" t="str">
        <f>IFERROR(VLOOKUP(Table1722[[#This Row],[Bukti]],'Un nOTA'!$A$4:$K$5003,10,FALSE),"")</f>
        <v/>
      </c>
      <c r="I3510" s="123" t="str">
        <f>IFERROR(VLOOKUP(Table1722[[#This Row],[Bukti]],Table13[#Data],11,FALSE),"")</f>
        <v/>
      </c>
    </row>
    <row r="3511" spans="1:9" hidden="1" x14ac:dyDescent="0.2">
      <c r="A3511" s="105" t="str">
        <f>IF(D3511=1,COUNTIF($D$10:D3511,1)," ")</f>
        <v xml:space="preserve"> </v>
      </c>
      <c r="B3511" s="106">
        <f>COPY!AR3503</f>
        <v>0</v>
      </c>
      <c r="C3511" s="107">
        <f>COPY!AC3503</f>
        <v>0</v>
      </c>
      <c r="D3511" s="107" t="str">
        <f>IF(LEN(Table1722[[#This Row],[Uraian]])&gt;2,1," ")</f>
        <v xml:space="preserve"> </v>
      </c>
      <c r="E3511" s="113" t="str">
        <f>IF(Table1722[[#This Row],[Lawan Transaksi]]="CV AGUNG KARYA",COUNTIF($I$10:I3511,"CV AGUNG KARYA")," ")</f>
        <v xml:space="preserve"> </v>
      </c>
      <c r="F3511" s="107" t="str">
        <f>IF(LEN(Table1722[[#This Row],[Uraian]])&gt;2,TRIM(RIGHT(SUBSTITUTE(TRIM(C3511)," ",REPT(" ",255)),255))," ")</f>
        <v xml:space="preserve"> </v>
      </c>
      <c r="G3511" s="110">
        <f>COPY!Z3503</f>
        <v>0</v>
      </c>
      <c r="H3511" s="111" t="str">
        <f>IFERROR(VLOOKUP(Table1722[[#This Row],[Bukti]],'Un nOTA'!$A$4:$K$5003,10,FALSE),"")</f>
        <v/>
      </c>
      <c r="I3511" s="123" t="str">
        <f>IFERROR(VLOOKUP(Table1722[[#This Row],[Bukti]],Table13[#Data],11,FALSE),"")</f>
        <v/>
      </c>
    </row>
    <row r="3512" spans="1:9" hidden="1" x14ac:dyDescent="0.2">
      <c r="A3512" s="105" t="str">
        <f>IF(D3512=1,COUNTIF($D$10:D3512,1)," ")</f>
        <v xml:space="preserve"> </v>
      </c>
      <c r="B3512" s="106">
        <f>COPY!AR3504</f>
        <v>0</v>
      </c>
      <c r="C3512" s="107">
        <f>COPY!AC3504</f>
        <v>0</v>
      </c>
      <c r="D3512" s="107" t="str">
        <f>IF(LEN(Table1722[[#This Row],[Uraian]])&gt;2,1," ")</f>
        <v xml:space="preserve"> </v>
      </c>
      <c r="E3512" s="113" t="str">
        <f>IF(Table1722[[#This Row],[Lawan Transaksi]]="CV AGUNG KARYA",COUNTIF($I$10:I3512,"CV AGUNG KARYA")," ")</f>
        <v xml:space="preserve"> </v>
      </c>
      <c r="F3512" s="107" t="str">
        <f>IF(LEN(Table1722[[#This Row],[Uraian]])&gt;2,TRIM(RIGHT(SUBSTITUTE(TRIM(C3512)," ",REPT(" ",255)),255))," ")</f>
        <v xml:space="preserve"> </v>
      </c>
      <c r="G3512" s="110">
        <f>COPY!Z3504</f>
        <v>0</v>
      </c>
      <c r="H3512" s="111" t="str">
        <f>IFERROR(VLOOKUP(Table1722[[#This Row],[Bukti]],'Un nOTA'!$A$4:$K$5003,10,FALSE),"")</f>
        <v/>
      </c>
      <c r="I3512" s="123" t="str">
        <f>IFERROR(VLOOKUP(Table1722[[#This Row],[Bukti]],Table13[#Data],11,FALSE),"")</f>
        <v/>
      </c>
    </row>
    <row r="3513" spans="1:9" hidden="1" x14ac:dyDescent="0.2">
      <c r="A3513" s="105" t="str">
        <f>IF(D3513=1,COUNTIF($D$10:D3513,1)," ")</f>
        <v xml:space="preserve"> </v>
      </c>
      <c r="B3513" s="106">
        <f>COPY!AR3505</f>
        <v>0</v>
      </c>
      <c r="C3513" s="107">
        <f>COPY!AC3505</f>
        <v>0</v>
      </c>
      <c r="D3513" s="107" t="str">
        <f>IF(LEN(Table1722[[#This Row],[Uraian]])&gt;2,1," ")</f>
        <v xml:space="preserve"> </v>
      </c>
      <c r="E3513" s="113" t="str">
        <f>IF(Table1722[[#This Row],[Lawan Transaksi]]="CV AGUNG KARYA",COUNTIF($I$10:I3513,"CV AGUNG KARYA")," ")</f>
        <v xml:space="preserve"> </v>
      </c>
      <c r="F3513" s="107" t="str">
        <f>IF(LEN(Table1722[[#This Row],[Uraian]])&gt;2,TRIM(RIGHT(SUBSTITUTE(TRIM(C3513)," ",REPT(" ",255)),255))," ")</f>
        <v xml:space="preserve"> </v>
      </c>
      <c r="G3513" s="110">
        <f>COPY!Z3505</f>
        <v>0</v>
      </c>
      <c r="H3513" s="111" t="str">
        <f>IFERROR(VLOOKUP(Table1722[[#This Row],[Bukti]],'Un nOTA'!$A$4:$K$5003,10,FALSE),"")</f>
        <v/>
      </c>
      <c r="I3513" s="123" t="str">
        <f>IFERROR(VLOOKUP(Table1722[[#This Row],[Bukti]],Table13[#Data],11,FALSE),"")</f>
        <v/>
      </c>
    </row>
    <row r="3514" spans="1:9" hidden="1" x14ac:dyDescent="0.2">
      <c r="A3514" s="105" t="str">
        <f>IF(D3514=1,COUNTIF($D$10:D3514,1)," ")</f>
        <v xml:space="preserve"> </v>
      </c>
      <c r="B3514" s="106">
        <f>COPY!AR3506</f>
        <v>0</v>
      </c>
      <c r="C3514" s="107">
        <f>COPY!AC3506</f>
        <v>0</v>
      </c>
      <c r="D3514" s="107" t="str">
        <f>IF(LEN(Table1722[[#This Row],[Uraian]])&gt;2,1," ")</f>
        <v xml:space="preserve"> </v>
      </c>
      <c r="E3514" s="113" t="str">
        <f>IF(Table1722[[#This Row],[Lawan Transaksi]]="CV AGUNG KARYA",COUNTIF($I$10:I3514,"CV AGUNG KARYA")," ")</f>
        <v xml:space="preserve"> </v>
      </c>
      <c r="F3514" s="107" t="str">
        <f>IF(LEN(Table1722[[#This Row],[Uraian]])&gt;2,TRIM(RIGHT(SUBSTITUTE(TRIM(C3514)," ",REPT(" ",255)),255))," ")</f>
        <v xml:space="preserve"> </v>
      </c>
      <c r="G3514" s="110">
        <f>COPY!Z3506</f>
        <v>0</v>
      </c>
      <c r="H3514" s="111" t="str">
        <f>IFERROR(VLOOKUP(Table1722[[#This Row],[Bukti]],'Un nOTA'!$A$4:$K$5003,10,FALSE),"")</f>
        <v/>
      </c>
      <c r="I3514" s="123" t="str">
        <f>IFERROR(VLOOKUP(Table1722[[#This Row],[Bukti]],Table13[#Data],11,FALSE),"")</f>
        <v/>
      </c>
    </row>
    <row r="3515" spans="1:9" hidden="1" x14ac:dyDescent="0.2">
      <c r="A3515" s="105" t="str">
        <f>IF(D3515=1,COUNTIF($D$10:D3515,1)," ")</f>
        <v xml:space="preserve"> </v>
      </c>
      <c r="B3515" s="106">
        <f>COPY!AR3507</f>
        <v>0</v>
      </c>
      <c r="C3515" s="107">
        <f>COPY!AC3507</f>
        <v>0</v>
      </c>
      <c r="D3515" s="107" t="str">
        <f>IF(LEN(Table1722[[#This Row],[Uraian]])&gt;2,1," ")</f>
        <v xml:space="preserve"> </v>
      </c>
      <c r="E3515" s="113" t="str">
        <f>IF(Table1722[[#This Row],[Lawan Transaksi]]="CV AGUNG KARYA",COUNTIF($I$10:I3515,"CV AGUNG KARYA")," ")</f>
        <v xml:space="preserve"> </v>
      </c>
      <c r="F3515" s="107" t="str">
        <f>IF(LEN(Table1722[[#This Row],[Uraian]])&gt;2,TRIM(RIGHT(SUBSTITUTE(TRIM(C3515)," ",REPT(" ",255)),255))," ")</f>
        <v xml:space="preserve"> </v>
      </c>
      <c r="G3515" s="110">
        <f>COPY!Z3507</f>
        <v>0</v>
      </c>
      <c r="H3515" s="111" t="str">
        <f>IFERROR(VLOOKUP(Table1722[[#This Row],[Bukti]],'Un nOTA'!$A$4:$K$5003,10,FALSE),"")</f>
        <v/>
      </c>
      <c r="I3515" s="123" t="str">
        <f>IFERROR(VLOOKUP(Table1722[[#This Row],[Bukti]],Table13[#Data],11,FALSE),"")</f>
        <v/>
      </c>
    </row>
    <row r="3516" spans="1:9" hidden="1" x14ac:dyDescent="0.2">
      <c r="A3516" s="105" t="str">
        <f>IF(D3516=1,COUNTIF($D$10:D3516,1)," ")</f>
        <v xml:space="preserve"> </v>
      </c>
      <c r="B3516" s="106">
        <f>COPY!AR3508</f>
        <v>0</v>
      </c>
      <c r="C3516" s="107">
        <f>COPY!AC3508</f>
        <v>0</v>
      </c>
      <c r="D3516" s="107" t="str">
        <f>IF(LEN(Table1722[[#This Row],[Uraian]])&gt;2,1," ")</f>
        <v xml:space="preserve"> </v>
      </c>
      <c r="E3516" s="113" t="str">
        <f>IF(Table1722[[#This Row],[Lawan Transaksi]]="CV AGUNG KARYA",COUNTIF($I$10:I3516,"CV AGUNG KARYA")," ")</f>
        <v xml:space="preserve"> </v>
      </c>
      <c r="F3516" s="107" t="str">
        <f>IF(LEN(Table1722[[#This Row],[Uraian]])&gt;2,TRIM(RIGHT(SUBSTITUTE(TRIM(C3516)," ",REPT(" ",255)),255))," ")</f>
        <v xml:space="preserve"> </v>
      </c>
      <c r="G3516" s="110">
        <f>COPY!Z3508</f>
        <v>0</v>
      </c>
      <c r="H3516" s="111" t="str">
        <f>IFERROR(VLOOKUP(Table1722[[#This Row],[Bukti]],'Un nOTA'!$A$4:$K$5003,10,FALSE),"")</f>
        <v/>
      </c>
      <c r="I3516" s="123" t="str">
        <f>IFERROR(VLOOKUP(Table1722[[#This Row],[Bukti]],Table13[#Data],11,FALSE),"")</f>
        <v/>
      </c>
    </row>
    <row r="3517" spans="1:9" hidden="1" x14ac:dyDescent="0.2">
      <c r="A3517" s="105" t="str">
        <f>IF(D3517=1,COUNTIF($D$10:D3517,1)," ")</f>
        <v xml:space="preserve"> </v>
      </c>
      <c r="B3517" s="106">
        <f>COPY!AR3509</f>
        <v>0</v>
      </c>
      <c r="C3517" s="107">
        <f>COPY!AC3509</f>
        <v>0</v>
      </c>
      <c r="D3517" s="107" t="str">
        <f>IF(LEN(Table1722[[#This Row],[Uraian]])&gt;2,1," ")</f>
        <v xml:space="preserve"> </v>
      </c>
      <c r="E3517" s="113" t="str">
        <f>IF(Table1722[[#This Row],[Lawan Transaksi]]="CV AGUNG KARYA",COUNTIF($I$10:I3517,"CV AGUNG KARYA")," ")</f>
        <v xml:space="preserve"> </v>
      </c>
      <c r="F3517" s="107" t="str">
        <f>IF(LEN(Table1722[[#This Row],[Uraian]])&gt;2,TRIM(RIGHT(SUBSTITUTE(TRIM(C3517)," ",REPT(" ",255)),255))," ")</f>
        <v xml:space="preserve"> </v>
      </c>
      <c r="G3517" s="110">
        <f>COPY!Z3509</f>
        <v>0</v>
      </c>
      <c r="H3517" s="111" t="str">
        <f>IFERROR(VLOOKUP(Table1722[[#This Row],[Bukti]],'Un nOTA'!$A$4:$K$5003,10,FALSE),"")</f>
        <v/>
      </c>
      <c r="I3517" s="123" t="str">
        <f>IFERROR(VLOOKUP(Table1722[[#This Row],[Bukti]],Table13[#Data],11,FALSE),"")</f>
        <v/>
      </c>
    </row>
    <row r="3518" spans="1:9" hidden="1" x14ac:dyDescent="0.2">
      <c r="A3518" s="105" t="str">
        <f>IF(D3518=1,COUNTIF($D$10:D3518,1)," ")</f>
        <v xml:space="preserve"> </v>
      </c>
      <c r="B3518" s="106">
        <f>COPY!AR3510</f>
        <v>0</v>
      </c>
      <c r="C3518" s="107">
        <f>COPY!AC3510</f>
        <v>0</v>
      </c>
      <c r="D3518" s="107" t="str">
        <f>IF(LEN(Table1722[[#This Row],[Uraian]])&gt;2,1," ")</f>
        <v xml:space="preserve"> </v>
      </c>
      <c r="E3518" s="113" t="str">
        <f>IF(Table1722[[#This Row],[Lawan Transaksi]]="CV AGUNG KARYA",COUNTIF($I$10:I3518,"CV AGUNG KARYA")," ")</f>
        <v xml:space="preserve"> </v>
      </c>
      <c r="F3518" s="107" t="str">
        <f>IF(LEN(Table1722[[#This Row],[Uraian]])&gt;2,TRIM(RIGHT(SUBSTITUTE(TRIM(C3518)," ",REPT(" ",255)),255))," ")</f>
        <v xml:space="preserve"> </v>
      </c>
      <c r="G3518" s="110">
        <f>COPY!Z3510</f>
        <v>0</v>
      </c>
      <c r="H3518" s="111" t="str">
        <f>IFERROR(VLOOKUP(Table1722[[#This Row],[Bukti]],'Un nOTA'!$A$4:$K$5003,10,FALSE),"")</f>
        <v/>
      </c>
      <c r="I3518" s="123" t="str">
        <f>IFERROR(VLOOKUP(Table1722[[#This Row],[Bukti]],Table13[#Data],11,FALSE),"")</f>
        <v/>
      </c>
    </row>
    <row r="3519" spans="1:9" hidden="1" x14ac:dyDescent="0.2">
      <c r="A3519" s="105" t="str">
        <f>IF(D3519=1,COUNTIF($D$10:D3519,1)," ")</f>
        <v xml:space="preserve"> </v>
      </c>
      <c r="B3519" s="106">
        <f>COPY!AR3511</f>
        <v>0</v>
      </c>
      <c r="C3519" s="107">
        <f>COPY!AC3511</f>
        <v>0</v>
      </c>
      <c r="D3519" s="107" t="str">
        <f>IF(LEN(Table1722[[#This Row],[Uraian]])&gt;2,1," ")</f>
        <v xml:space="preserve"> </v>
      </c>
      <c r="E3519" s="113" t="str">
        <f>IF(Table1722[[#This Row],[Lawan Transaksi]]="CV AGUNG KARYA",COUNTIF($I$10:I3519,"CV AGUNG KARYA")," ")</f>
        <v xml:space="preserve"> </v>
      </c>
      <c r="F3519" s="107" t="str">
        <f>IF(LEN(Table1722[[#This Row],[Uraian]])&gt;2,TRIM(RIGHT(SUBSTITUTE(TRIM(C3519)," ",REPT(" ",255)),255))," ")</f>
        <v xml:space="preserve"> </v>
      </c>
      <c r="G3519" s="110">
        <f>COPY!Z3511</f>
        <v>0</v>
      </c>
      <c r="H3519" s="111" t="str">
        <f>IFERROR(VLOOKUP(Table1722[[#This Row],[Bukti]],'Un nOTA'!$A$4:$K$5003,10,FALSE),"")</f>
        <v/>
      </c>
      <c r="I3519" s="123" t="str">
        <f>IFERROR(VLOOKUP(Table1722[[#This Row],[Bukti]],Table13[#Data],11,FALSE),"")</f>
        <v/>
      </c>
    </row>
    <row r="3520" spans="1:9" hidden="1" x14ac:dyDescent="0.2">
      <c r="A3520" s="105" t="str">
        <f>IF(D3520=1,COUNTIF($D$10:D3520,1)," ")</f>
        <v xml:space="preserve"> </v>
      </c>
      <c r="B3520" s="106">
        <f>COPY!AR3512</f>
        <v>0</v>
      </c>
      <c r="C3520" s="107">
        <f>COPY!AC3512</f>
        <v>0</v>
      </c>
      <c r="D3520" s="107" t="str">
        <f>IF(LEN(Table1722[[#This Row],[Uraian]])&gt;2,1," ")</f>
        <v xml:space="preserve"> </v>
      </c>
      <c r="E3520" s="113" t="str">
        <f>IF(Table1722[[#This Row],[Lawan Transaksi]]="CV AGUNG KARYA",COUNTIF($I$10:I3520,"CV AGUNG KARYA")," ")</f>
        <v xml:space="preserve"> </v>
      </c>
      <c r="F3520" s="107" t="str">
        <f>IF(LEN(Table1722[[#This Row],[Uraian]])&gt;2,TRIM(RIGHT(SUBSTITUTE(TRIM(C3520)," ",REPT(" ",255)),255))," ")</f>
        <v xml:space="preserve"> </v>
      </c>
      <c r="G3520" s="110">
        <f>COPY!Z3512</f>
        <v>0</v>
      </c>
      <c r="H3520" s="111" t="str">
        <f>IFERROR(VLOOKUP(Table1722[[#This Row],[Bukti]],'Un nOTA'!$A$4:$K$5003,10,FALSE),"")</f>
        <v/>
      </c>
      <c r="I3520" s="123" t="str">
        <f>IFERROR(VLOOKUP(Table1722[[#This Row],[Bukti]],Table13[#Data],11,FALSE),"")</f>
        <v/>
      </c>
    </row>
    <row r="3521" spans="1:9" hidden="1" x14ac:dyDescent="0.2">
      <c r="A3521" s="105" t="str">
        <f>IF(D3521=1,COUNTIF($D$10:D3521,1)," ")</f>
        <v xml:space="preserve"> </v>
      </c>
      <c r="B3521" s="106">
        <f>COPY!AR3513</f>
        <v>0</v>
      </c>
      <c r="C3521" s="107">
        <f>COPY!AC3513</f>
        <v>0</v>
      </c>
      <c r="D3521" s="107" t="str">
        <f>IF(LEN(Table1722[[#This Row],[Uraian]])&gt;2,1," ")</f>
        <v xml:space="preserve"> </v>
      </c>
      <c r="E3521" s="113" t="str">
        <f>IF(Table1722[[#This Row],[Lawan Transaksi]]="CV AGUNG KARYA",COUNTIF($I$10:I3521,"CV AGUNG KARYA")," ")</f>
        <v xml:space="preserve"> </v>
      </c>
      <c r="F3521" s="107" t="str">
        <f>IF(LEN(Table1722[[#This Row],[Uraian]])&gt;2,TRIM(RIGHT(SUBSTITUTE(TRIM(C3521)," ",REPT(" ",255)),255))," ")</f>
        <v xml:space="preserve"> </v>
      </c>
      <c r="G3521" s="110">
        <f>COPY!Z3513</f>
        <v>0</v>
      </c>
      <c r="H3521" s="111" t="str">
        <f>IFERROR(VLOOKUP(Table1722[[#This Row],[Bukti]],'Un nOTA'!$A$4:$K$5003,10,FALSE),"")</f>
        <v/>
      </c>
      <c r="I3521" s="123" t="str">
        <f>IFERROR(VLOOKUP(Table1722[[#This Row],[Bukti]],Table13[#Data],11,FALSE),"")</f>
        <v/>
      </c>
    </row>
    <row r="3522" spans="1:9" hidden="1" x14ac:dyDescent="0.2">
      <c r="A3522" s="105" t="str">
        <f>IF(D3522=1,COUNTIF($D$10:D3522,1)," ")</f>
        <v xml:space="preserve"> </v>
      </c>
      <c r="B3522" s="106">
        <f>COPY!AR3514</f>
        <v>0</v>
      </c>
      <c r="C3522" s="107">
        <f>COPY!AC3514</f>
        <v>0</v>
      </c>
      <c r="D3522" s="107" t="str">
        <f>IF(LEN(Table1722[[#This Row],[Uraian]])&gt;2,1," ")</f>
        <v xml:space="preserve"> </v>
      </c>
      <c r="E3522" s="113" t="str">
        <f>IF(Table1722[[#This Row],[Lawan Transaksi]]="CV AGUNG KARYA",COUNTIF($I$10:I3522,"CV AGUNG KARYA")," ")</f>
        <v xml:space="preserve"> </v>
      </c>
      <c r="F3522" s="107" t="str">
        <f>IF(LEN(Table1722[[#This Row],[Uraian]])&gt;2,TRIM(RIGHT(SUBSTITUTE(TRIM(C3522)," ",REPT(" ",255)),255))," ")</f>
        <v xml:space="preserve"> </v>
      </c>
      <c r="G3522" s="110">
        <f>COPY!Z3514</f>
        <v>0</v>
      </c>
      <c r="H3522" s="111" t="str">
        <f>IFERROR(VLOOKUP(Table1722[[#This Row],[Bukti]],'Un nOTA'!$A$4:$K$5003,10,FALSE),"")</f>
        <v/>
      </c>
      <c r="I3522" s="123" t="str">
        <f>IFERROR(VLOOKUP(Table1722[[#This Row],[Bukti]],Table13[#Data],11,FALSE),"")</f>
        <v/>
      </c>
    </row>
    <row r="3523" spans="1:9" hidden="1" x14ac:dyDescent="0.2">
      <c r="A3523" s="105" t="str">
        <f>IF(D3523=1,COUNTIF($D$10:D3523,1)," ")</f>
        <v xml:space="preserve"> </v>
      </c>
      <c r="B3523" s="106">
        <f>COPY!AR3515</f>
        <v>0</v>
      </c>
      <c r="C3523" s="107">
        <f>COPY!AC3515</f>
        <v>0</v>
      </c>
      <c r="D3523" s="107" t="str">
        <f>IF(LEN(Table1722[[#This Row],[Uraian]])&gt;2,1," ")</f>
        <v xml:space="preserve"> </v>
      </c>
      <c r="E3523" s="113" t="str">
        <f>IF(Table1722[[#This Row],[Lawan Transaksi]]="CV AGUNG KARYA",COUNTIF($I$10:I3523,"CV AGUNG KARYA")," ")</f>
        <v xml:space="preserve"> </v>
      </c>
      <c r="F3523" s="107" t="str">
        <f>IF(LEN(Table1722[[#This Row],[Uraian]])&gt;2,TRIM(RIGHT(SUBSTITUTE(TRIM(C3523)," ",REPT(" ",255)),255))," ")</f>
        <v xml:space="preserve"> </v>
      </c>
      <c r="G3523" s="110">
        <f>COPY!Z3515</f>
        <v>0</v>
      </c>
      <c r="H3523" s="111" t="str">
        <f>IFERROR(VLOOKUP(Table1722[[#This Row],[Bukti]],'Un nOTA'!$A$4:$K$5003,10,FALSE),"")</f>
        <v/>
      </c>
      <c r="I3523" s="123" t="str">
        <f>IFERROR(VLOOKUP(Table1722[[#This Row],[Bukti]],Table13[#Data],11,FALSE),"")</f>
        <v/>
      </c>
    </row>
    <row r="3524" spans="1:9" hidden="1" x14ac:dyDescent="0.2">
      <c r="A3524" s="105" t="str">
        <f>IF(D3524=1,COUNTIF($D$10:D3524,1)," ")</f>
        <v xml:space="preserve"> </v>
      </c>
      <c r="B3524" s="106">
        <f>COPY!AR3516</f>
        <v>0</v>
      </c>
      <c r="C3524" s="107">
        <f>COPY!AC3516</f>
        <v>0</v>
      </c>
      <c r="D3524" s="107" t="str">
        <f>IF(LEN(Table1722[[#This Row],[Uraian]])&gt;2,1," ")</f>
        <v xml:space="preserve"> </v>
      </c>
      <c r="E3524" s="113" t="str">
        <f>IF(Table1722[[#This Row],[Lawan Transaksi]]="CV AGUNG KARYA",COUNTIF($I$10:I3524,"CV AGUNG KARYA")," ")</f>
        <v xml:space="preserve"> </v>
      </c>
      <c r="F3524" s="107" t="str">
        <f>IF(LEN(Table1722[[#This Row],[Uraian]])&gt;2,TRIM(RIGHT(SUBSTITUTE(TRIM(C3524)," ",REPT(" ",255)),255))," ")</f>
        <v xml:space="preserve"> </v>
      </c>
      <c r="G3524" s="110">
        <f>COPY!Z3516</f>
        <v>0</v>
      </c>
      <c r="H3524" s="111" t="str">
        <f>IFERROR(VLOOKUP(Table1722[[#This Row],[Bukti]],'Un nOTA'!$A$4:$K$5003,10,FALSE),"")</f>
        <v/>
      </c>
      <c r="I3524" s="123" t="str">
        <f>IFERROR(VLOOKUP(Table1722[[#This Row],[Bukti]],Table13[#Data],11,FALSE),"")</f>
        <v/>
      </c>
    </row>
    <row r="3525" spans="1:9" hidden="1" x14ac:dyDescent="0.2">
      <c r="A3525" s="105" t="str">
        <f>IF(D3525=1,COUNTIF($D$10:D3525,1)," ")</f>
        <v xml:space="preserve"> </v>
      </c>
      <c r="B3525" s="106">
        <f>COPY!AR3517</f>
        <v>0</v>
      </c>
      <c r="C3525" s="107">
        <f>COPY!AC3517</f>
        <v>0</v>
      </c>
      <c r="D3525" s="107" t="str">
        <f>IF(LEN(Table1722[[#This Row],[Uraian]])&gt;2,1," ")</f>
        <v xml:space="preserve"> </v>
      </c>
      <c r="E3525" s="113" t="str">
        <f>IF(Table1722[[#This Row],[Lawan Transaksi]]="CV AGUNG KARYA",COUNTIF($I$10:I3525,"CV AGUNG KARYA")," ")</f>
        <v xml:space="preserve"> </v>
      </c>
      <c r="F3525" s="107" t="str">
        <f>IF(LEN(Table1722[[#This Row],[Uraian]])&gt;2,TRIM(RIGHT(SUBSTITUTE(TRIM(C3525)," ",REPT(" ",255)),255))," ")</f>
        <v xml:space="preserve"> </v>
      </c>
      <c r="G3525" s="110">
        <f>COPY!Z3517</f>
        <v>0</v>
      </c>
      <c r="H3525" s="111" t="str">
        <f>IFERROR(VLOOKUP(Table1722[[#This Row],[Bukti]],'Un nOTA'!$A$4:$K$5003,10,FALSE),"")</f>
        <v/>
      </c>
      <c r="I3525" s="123" t="str">
        <f>IFERROR(VLOOKUP(Table1722[[#This Row],[Bukti]],Table13[#Data],11,FALSE),"")</f>
        <v/>
      </c>
    </row>
    <row r="3526" spans="1:9" hidden="1" x14ac:dyDescent="0.2">
      <c r="A3526" s="105" t="str">
        <f>IF(D3526=1,COUNTIF($D$10:D3526,1)," ")</f>
        <v xml:space="preserve"> </v>
      </c>
      <c r="B3526" s="106">
        <f>COPY!AR3518</f>
        <v>0</v>
      </c>
      <c r="C3526" s="107">
        <f>COPY!AC3518</f>
        <v>0</v>
      </c>
      <c r="D3526" s="107" t="str">
        <f>IF(LEN(Table1722[[#This Row],[Uraian]])&gt;2,1," ")</f>
        <v xml:space="preserve"> </v>
      </c>
      <c r="E3526" s="113" t="str">
        <f>IF(Table1722[[#This Row],[Lawan Transaksi]]="CV AGUNG KARYA",COUNTIF($I$10:I3526,"CV AGUNG KARYA")," ")</f>
        <v xml:space="preserve"> </v>
      </c>
      <c r="F3526" s="107" t="str">
        <f>IF(LEN(Table1722[[#This Row],[Uraian]])&gt;2,TRIM(RIGHT(SUBSTITUTE(TRIM(C3526)," ",REPT(" ",255)),255))," ")</f>
        <v xml:space="preserve"> </v>
      </c>
      <c r="G3526" s="110">
        <f>COPY!Z3518</f>
        <v>0</v>
      </c>
      <c r="H3526" s="111" t="str">
        <f>IFERROR(VLOOKUP(Table1722[[#This Row],[Bukti]],'Un nOTA'!$A$4:$K$5003,10,FALSE),"")</f>
        <v/>
      </c>
      <c r="I3526" s="123" t="str">
        <f>IFERROR(VLOOKUP(Table1722[[#This Row],[Bukti]],Table13[#Data],11,FALSE),"")</f>
        <v/>
      </c>
    </row>
    <row r="3527" spans="1:9" hidden="1" x14ac:dyDescent="0.2">
      <c r="A3527" s="105" t="str">
        <f>IF(D3527=1,COUNTIF($D$10:D3527,1)," ")</f>
        <v xml:space="preserve"> </v>
      </c>
      <c r="B3527" s="106">
        <f>COPY!AR3519</f>
        <v>0</v>
      </c>
      <c r="C3527" s="107">
        <f>COPY!AC3519</f>
        <v>0</v>
      </c>
      <c r="D3527" s="107" t="str">
        <f>IF(LEN(Table1722[[#This Row],[Uraian]])&gt;2,1," ")</f>
        <v xml:space="preserve"> </v>
      </c>
      <c r="E3527" s="113" t="str">
        <f>IF(Table1722[[#This Row],[Lawan Transaksi]]="CV AGUNG KARYA",COUNTIF($I$10:I3527,"CV AGUNG KARYA")," ")</f>
        <v xml:space="preserve"> </v>
      </c>
      <c r="F3527" s="107" t="str">
        <f>IF(LEN(Table1722[[#This Row],[Uraian]])&gt;2,TRIM(RIGHT(SUBSTITUTE(TRIM(C3527)," ",REPT(" ",255)),255))," ")</f>
        <v xml:space="preserve"> </v>
      </c>
      <c r="G3527" s="110">
        <f>COPY!Z3519</f>
        <v>0</v>
      </c>
      <c r="H3527" s="111" t="str">
        <f>IFERROR(VLOOKUP(Table1722[[#This Row],[Bukti]],'Un nOTA'!$A$4:$K$5003,10,FALSE),"")</f>
        <v/>
      </c>
      <c r="I3527" s="123" t="str">
        <f>IFERROR(VLOOKUP(Table1722[[#This Row],[Bukti]],Table13[#Data],11,FALSE),"")</f>
        <v/>
      </c>
    </row>
    <row r="3528" spans="1:9" hidden="1" x14ac:dyDescent="0.2">
      <c r="A3528" s="105" t="str">
        <f>IF(D3528=1,COUNTIF($D$10:D3528,1)," ")</f>
        <v xml:space="preserve"> </v>
      </c>
      <c r="B3528" s="106">
        <f>COPY!AR3520</f>
        <v>0</v>
      </c>
      <c r="C3528" s="107">
        <f>COPY!AC3520</f>
        <v>0</v>
      </c>
      <c r="D3528" s="107" t="str">
        <f>IF(LEN(Table1722[[#This Row],[Uraian]])&gt;2,1," ")</f>
        <v xml:space="preserve"> </v>
      </c>
      <c r="E3528" s="113" t="str">
        <f>IF(Table1722[[#This Row],[Lawan Transaksi]]="CV AGUNG KARYA",COUNTIF($I$10:I3528,"CV AGUNG KARYA")," ")</f>
        <v xml:space="preserve"> </v>
      </c>
      <c r="F3528" s="107" t="str">
        <f>IF(LEN(Table1722[[#This Row],[Uraian]])&gt;2,TRIM(RIGHT(SUBSTITUTE(TRIM(C3528)," ",REPT(" ",255)),255))," ")</f>
        <v xml:space="preserve"> </v>
      </c>
      <c r="G3528" s="110">
        <f>COPY!Z3520</f>
        <v>0</v>
      </c>
      <c r="H3528" s="111" t="str">
        <f>IFERROR(VLOOKUP(Table1722[[#This Row],[Bukti]],'Un nOTA'!$A$4:$K$5003,10,FALSE),"")</f>
        <v/>
      </c>
      <c r="I3528" s="123" t="str">
        <f>IFERROR(VLOOKUP(Table1722[[#This Row],[Bukti]],Table13[#Data],11,FALSE),"")</f>
        <v/>
      </c>
    </row>
    <row r="3529" spans="1:9" hidden="1" x14ac:dyDescent="0.2">
      <c r="A3529" s="105" t="str">
        <f>IF(D3529=1,COUNTIF($D$10:D3529,1)," ")</f>
        <v xml:space="preserve"> </v>
      </c>
      <c r="B3529" s="106">
        <f>COPY!AR3521</f>
        <v>0</v>
      </c>
      <c r="C3529" s="107">
        <f>COPY!AC3521</f>
        <v>0</v>
      </c>
      <c r="D3529" s="107" t="str">
        <f>IF(LEN(Table1722[[#This Row],[Uraian]])&gt;2,1," ")</f>
        <v xml:space="preserve"> </v>
      </c>
      <c r="E3529" s="113" t="str">
        <f>IF(Table1722[[#This Row],[Lawan Transaksi]]="CV AGUNG KARYA",COUNTIF($I$10:I3529,"CV AGUNG KARYA")," ")</f>
        <v xml:space="preserve"> </v>
      </c>
      <c r="F3529" s="107" t="str">
        <f>IF(LEN(Table1722[[#This Row],[Uraian]])&gt;2,TRIM(RIGHT(SUBSTITUTE(TRIM(C3529)," ",REPT(" ",255)),255))," ")</f>
        <v xml:space="preserve"> </v>
      </c>
      <c r="G3529" s="110">
        <f>COPY!Z3521</f>
        <v>0</v>
      </c>
      <c r="H3529" s="111" t="str">
        <f>IFERROR(VLOOKUP(Table1722[[#This Row],[Bukti]],'Un nOTA'!$A$4:$K$5003,10,FALSE),"")</f>
        <v/>
      </c>
      <c r="I3529" s="123" t="str">
        <f>IFERROR(VLOOKUP(Table1722[[#This Row],[Bukti]],Table13[#Data],11,FALSE),"")</f>
        <v/>
      </c>
    </row>
    <row r="3530" spans="1:9" hidden="1" x14ac:dyDescent="0.2">
      <c r="A3530" s="105" t="str">
        <f>IF(D3530=1,COUNTIF($D$10:D3530,1)," ")</f>
        <v xml:space="preserve"> </v>
      </c>
      <c r="B3530" s="106">
        <f>COPY!AR3522</f>
        <v>0</v>
      </c>
      <c r="C3530" s="107">
        <f>COPY!AC3522</f>
        <v>0</v>
      </c>
      <c r="D3530" s="107" t="str">
        <f>IF(LEN(Table1722[[#This Row],[Uraian]])&gt;2,1," ")</f>
        <v xml:space="preserve"> </v>
      </c>
      <c r="E3530" s="113" t="str">
        <f>IF(Table1722[[#This Row],[Lawan Transaksi]]="CV AGUNG KARYA",COUNTIF($I$10:I3530,"CV AGUNG KARYA")," ")</f>
        <v xml:space="preserve"> </v>
      </c>
      <c r="F3530" s="107" t="str">
        <f>IF(LEN(Table1722[[#This Row],[Uraian]])&gt;2,TRIM(RIGHT(SUBSTITUTE(TRIM(C3530)," ",REPT(" ",255)),255))," ")</f>
        <v xml:space="preserve"> </v>
      </c>
      <c r="G3530" s="110">
        <f>COPY!Z3522</f>
        <v>0</v>
      </c>
      <c r="H3530" s="111" t="str">
        <f>IFERROR(VLOOKUP(Table1722[[#This Row],[Bukti]],'Un nOTA'!$A$4:$K$5003,10,FALSE),"")</f>
        <v/>
      </c>
      <c r="I3530" s="123" t="str">
        <f>IFERROR(VLOOKUP(Table1722[[#This Row],[Bukti]],Table13[#Data],11,FALSE),"")</f>
        <v/>
      </c>
    </row>
    <row r="3531" spans="1:9" hidden="1" x14ac:dyDescent="0.2">
      <c r="A3531" s="105" t="str">
        <f>IF(D3531=1,COUNTIF($D$10:D3531,1)," ")</f>
        <v xml:space="preserve"> </v>
      </c>
      <c r="B3531" s="106">
        <f>COPY!AR3523</f>
        <v>0</v>
      </c>
      <c r="C3531" s="107">
        <f>COPY!AC3523</f>
        <v>0</v>
      </c>
      <c r="D3531" s="107" t="str">
        <f>IF(LEN(Table1722[[#This Row],[Uraian]])&gt;2,1," ")</f>
        <v xml:space="preserve"> </v>
      </c>
      <c r="E3531" s="113" t="str">
        <f>IF(Table1722[[#This Row],[Lawan Transaksi]]="CV AGUNG KARYA",COUNTIF($I$10:I3531,"CV AGUNG KARYA")," ")</f>
        <v xml:space="preserve"> </v>
      </c>
      <c r="F3531" s="107" t="str">
        <f>IF(LEN(Table1722[[#This Row],[Uraian]])&gt;2,TRIM(RIGHT(SUBSTITUTE(TRIM(C3531)," ",REPT(" ",255)),255))," ")</f>
        <v xml:space="preserve"> </v>
      </c>
      <c r="G3531" s="110">
        <f>COPY!Z3523</f>
        <v>0</v>
      </c>
      <c r="H3531" s="111" t="str">
        <f>IFERROR(VLOOKUP(Table1722[[#This Row],[Bukti]],'Un nOTA'!$A$4:$K$5003,10,FALSE),"")</f>
        <v/>
      </c>
      <c r="I3531" s="123" t="str">
        <f>IFERROR(VLOOKUP(Table1722[[#This Row],[Bukti]],Table13[#Data],11,FALSE),"")</f>
        <v/>
      </c>
    </row>
    <row r="3532" spans="1:9" hidden="1" x14ac:dyDescent="0.2">
      <c r="A3532" s="105" t="str">
        <f>IF(D3532=1,COUNTIF($D$10:D3532,1)," ")</f>
        <v xml:space="preserve"> </v>
      </c>
      <c r="B3532" s="106">
        <f>COPY!AR3524</f>
        <v>0</v>
      </c>
      <c r="C3532" s="107">
        <f>COPY!AC3524</f>
        <v>0</v>
      </c>
      <c r="D3532" s="107" t="str">
        <f>IF(LEN(Table1722[[#This Row],[Uraian]])&gt;2,1," ")</f>
        <v xml:space="preserve"> </v>
      </c>
      <c r="E3532" s="113" t="str">
        <f>IF(Table1722[[#This Row],[Lawan Transaksi]]="CV AGUNG KARYA",COUNTIF($I$10:I3532,"CV AGUNG KARYA")," ")</f>
        <v xml:space="preserve"> </v>
      </c>
      <c r="F3532" s="107" t="str">
        <f>IF(LEN(Table1722[[#This Row],[Uraian]])&gt;2,TRIM(RIGHT(SUBSTITUTE(TRIM(C3532)," ",REPT(" ",255)),255))," ")</f>
        <v xml:space="preserve"> </v>
      </c>
      <c r="G3532" s="110">
        <f>COPY!Z3524</f>
        <v>0</v>
      </c>
      <c r="H3532" s="111" t="str">
        <f>IFERROR(VLOOKUP(Table1722[[#This Row],[Bukti]],'Un nOTA'!$A$4:$K$5003,10,FALSE),"")</f>
        <v/>
      </c>
      <c r="I3532" s="123" t="str">
        <f>IFERROR(VLOOKUP(Table1722[[#This Row],[Bukti]],Table13[#Data],11,FALSE),"")</f>
        <v/>
      </c>
    </row>
    <row r="3533" spans="1:9" hidden="1" x14ac:dyDescent="0.2">
      <c r="A3533" s="105" t="str">
        <f>IF(D3533=1,COUNTIF($D$10:D3533,1)," ")</f>
        <v xml:space="preserve"> </v>
      </c>
      <c r="B3533" s="106">
        <f>COPY!AR3525</f>
        <v>0</v>
      </c>
      <c r="C3533" s="107">
        <f>COPY!AC3525</f>
        <v>0</v>
      </c>
      <c r="D3533" s="107" t="str">
        <f>IF(LEN(Table1722[[#This Row],[Uraian]])&gt;2,1," ")</f>
        <v xml:space="preserve"> </v>
      </c>
      <c r="E3533" s="113" t="str">
        <f>IF(Table1722[[#This Row],[Lawan Transaksi]]="CV AGUNG KARYA",COUNTIF($I$10:I3533,"CV AGUNG KARYA")," ")</f>
        <v xml:space="preserve"> </v>
      </c>
      <c r="F3533" s="107" t="str">
        <f>IF(LEN(Table1722[[#This Row],[Uraian]])&gt;2,TRIM(RIGHT(SUBSTITUTE(TRIM(C3533)," ",REPT(" ",255)),255))," ")</f>
        <v xml:space="preserve"> </v>
      </c>
      <c r="G3533" s="110">
        <f>COPY!Z3525</f>
        <v>0</v>
      </c>
      <c r="H3533" s="111" t="str">
        <f>IFERROR(VLOOKUP(Table1722[[#This Row],[Bukti]],'Un nOTA'!$A$4:$K$5003,10,FALSE),"")</f>
        <v/>
      </c>
      <c r="I3533" s="123" t="str">
        <f>IFERROR(VLOOKUP(Table1722[[#This Row],[Bukti]],Table13[#Data],11,FALSE),"")</f>
        <v/>
      </c>
    </row>
    <row r="3534" spans="1:9" hidden="1" x14ac:dyDescent="0.2">
      <c r="A3534" s="105" t="str">
        <f>IF(D3534=1,COUNTIF($D$10:D3534,1)," ")</f>
        <v xml:space="preserve"> </v>
      </c>
      <c r="B3534" s="106">
        <f>COPY!AR3526</f>
        <v>0</v>
      </c>
      <c r="C3534" s="107">
        <f>COPY!AC3526</f>
        <v>0</v>
      </c>
      <c r="D3534" s="107" t="str">
        <f>IF(LEN(Table1722[[#This Row],[Uraian]])&gt;2,1," ")</f>
        <v xml:space="preserve"> </v>
      </c>
      <c r="E3534" s="113" t="str">
        <f>IF(Table1722[[#This Row],[Lawan Transaksi]]="CV AGUNG KARYA",COUNTIF($I$10:I3534,"CV AGUNG KARYA")," ")</f>
        <v xml:space="preserve"> </v>
      </c>
      <c r="F3534" s="107" t="str">
        <f>IF(LEN(Table1722[[#This Row],[Uraian]])&gt;2,TRIM(RIGHT(SUBSTITUTE(TRIM(C3534)," ",REPT(" ",255)),255))," ")</f>
        <v xml:space="preserve"> </v>
      </c>
      <c r="G3534" s="110">
        <f>COPY!Z3526</f>
        <v>0</v>
      </c>
      <c r="H3534" s="111" t="str">
        <f>IFERROR(VLOOKUP(Table1722[[#This Row],[Bukti]],'Un nOTA'!$A$4:$K$5003,10,FALSE),"")</f>
        <v/>
      </c>
      <c r="I3534" s="123" t="str">
        <f>IFERROR(VLOOKUP(Table1722[[#This Row],[Bukti]],Table13[#Data],11,FALSE),"")</f>
        <v/>
      </c>
    </row>
    <row r="3535" spans="1:9" hidden="1" x14ac:dyDescent="0.2">
      <c r="A3535" s="105" t="str">
        <f>IF(D3535=1,COUNTIF($D$10:D3535,1)," ")</f>
        <v xml:space="preserve"> </v>
      </c>
      <c r="B3535" s="106">
        <f>COPY!AR3527</f>
        <v>0</v>
      </c>
      <c r="C3535" s="107">
        <f>COPY!AC3527</f>
        <v>0</v>
      </c>
      <c r="D3535" s="107" t="str">
        <f>IF(LEN(Table1722[[#This Row],[Uraian]])&gt;2,1," ")</f>
        <v xml:space="preserve"> </v>
      </c>
      <c r="E3535" s="113" t="str">
        <f>IF(Table1722[[#This Row],[Lawan Transaksi]]="CV AGUNG KARYA",COUNTIF($I$10:I3535,"CV AGUNG KARYA")," ")</f>
        <v xml:space="preserve"> </v>
      </c>
      <c r="F3535" s="107" t="str">
        <f>IF(LEN(Table1722[[#This Row],[Uraian]])&gt;2,TRIM(RIGHT(SUBSTITUTE(TRIM(C3535)," ",REPT(" ",255)),255))," ")</f>
        <v xml:space="preserve"> </v>
      </c>
      <c r="G3535" s="110">
        <f>COPY!Z3527</f>
        <v>0</v>
      </c>
      <c r="H3535" s="111" t="str">
        <f>IFERROR(VLOOKUP(Table1722[[#This Row],[Bukti]],'Un nOTA'!$A$4:$K$5003,10,FALSE),"")</f>
        <v/>
      </c>
      <c r="I3535" s="123" t="str">
        <f>IFERROR(VLOOKUP(Table1722[[#This Row],[Bukti]],Table13[#Data],11,FALSE),"")</f>
        <v/>
      </c>
    </row>
    <row r="3536" spans="1:9" hidden="1" x14ac:dyDescent="0.2">
      <c r="A3536" s="105" t="str">
        <f>IF(D3536=1,COUNTIF($D$10:D3536,1)," ")</f>
        <v xml:space="preserve"> </v>
      </c>
      <c r="B3536" s="106">
        <f>COPY!AR3528</f>
        <v>0</v>
      </c>
      <c r="C3536" s="107">
        <f>COPY!AC3528</f>
        <v>0</v>
      </c>
      <c r="D3536" s="107" t="str">
        <f>IF(LEN(Table1722[[#This Row],[Uraian]])&gt;2,1," ")</f>
        <v xml:space="preserve"> </v>
      </c>
      <c r="E3536" s="113" t="str">
        <f>IF(Table1722[[#This Row],[Lawan Transaksi]]="CV AGUNG KARYA",COUNTIF($I$10:I3536,"CV AGUNG KARYA")," ")</f>
        <v xml:space="preserve"> </v>
      </c>
      <c r="F3536" s="107" t="str">
        <f>IF(LEN(Table1722[[#This Row],[Uraian]])&gt;2,TRIM(RIGHT(SUBSTITUTE(TRIM(C3536)," ",REPT(" ",255)),255))," ")</f>
        <v xml:space="preserve"> </v>
      </c>
      <c r="G3536" s="110">
        <f>COPY!Z3528</f>
        <v>0</v>
      </c>
      <c r="H3536" s="111" t="str">
        <f>IFERROR(VLOOKUP(Table1722[[#This Row],[Bukti]],'Un nOTA'!$A$4:$K$5003,10,FALSE),"")</f>
        <v/>
      </c>
      <c r="I3536" s="123" t="str">
        <f>IFERROR(VLOOKUP(Table1722[[#This Row],[Bukti]],Table13[#Data],11,FALSE),"")</f>
        <v/>
      </c>
    </row>
    <row r="3537" spans="1:9" hidden="1" x14ac:dyDescent="0.2">
      <c r="A3537" s="105" t="str">
        <f>IF(D3537=1,COUNTIF($D$10:D3537,1)," ")</f>
        <v xml:space="preserve"> </v>
      </c>
      <c r="B3537" s="106">
        <f>COPY!AR3529</f>
        <v>0</v>
      </c>
      <c r="C3537" s="107">
        <f>COPY!AC3529</f>
        <v>0</v>
      </c>
      <c r="D3537" s="107" t="str">
        <f>IF(LEN(Table1722[[#This Row],[Uraian]])&gt;2,1," ")</f>
        <v xml:space="preserve"> </v>
      </c>
      <c r="E3537" s="113" t="str">
        <f>IF(Table1722[[#This Row],[Lawan Transaksi]]="CV AGUNG KARYA",COUNTIF($I$10:I3537,"CV AGUNG KARYA")," ")</f>
        <v xml:space="preserve"> </v>
      </c>
      <c r="F3537" s="107" t="str">
        <f>IF(LEN(Table1722[[#This Row],[Uraian]])&gt;2,TRIM(RIGHT(SUBSTITUTE(TRIM(C3537)," ",REPT(" ",255)),255))," ")</f>
        <v xml:space="preserve"> </v>
      </c>
      <c r="G3537" s="110">
        <f>COPY!Z3529</f>
        <v>0</v>
      </c>
      <c r="H3537" s="111" t="str">
        <f>IFERROR(VLOOKUP(Table1722[[#This Row],[Bukti]],'Un nOTA'!$A$4:$K$5003,10,FALSE),"")</f>
        <v/>
      </c>
      <c r="I3537" s="123" t="str">
        <f>IFERROR(VLOOKUP(Table1722[[#This Row],[Bukti]],Table13[#Data],11,FALSE),"")</f>
        <v/>
      </c>
    </row>
    <row r="3538" spans="1:9" hidden="1" x14ac:dyDescent="0.2">
      <c r="A3538" s="105" t="str">
        <f>IF(D3538=1,COUNTIF($D$10:D3538,1)," ")</f>
        <v xml:space="preserve"> </v>
      </c>
      <c r="B3538" s="106">
        <f>COPY!AR3530</f>
        <v>0</v>
      </c>
      <c r="C3538" s="107">
        <f>COPY!AC3530</f>
        <v>0</v>
      </c>
      <c r="D3538" s="107" t="str">
        <f>IF(LEN(Table1722[[#This Row],[Uraian]])&gt;2,1," ")</f>
        <v xml:space="preserve"> </v>
      </c>
      <c r="E3538" s="113" t="str">
        <f>IF(Table1722[[#This Row],[Lawan Transaksi]]="CV AGUNG KARYA",COUNTIF($I$10:I3538,"CV AGUNG KARYA")," ")</f>
        <v xml:space="preserve"> </v>
      </c>
      <c r="F3538" s="107" t="str">
        <f>IF(LEN(Table1722[[#This Row],[Uraian]])&gt;2,TRIM(RIGHT(SUBSTITUTE(TRIM(C3538)," ",REPT(" ",255)),255))," ")</f>
        <v xml:space="preserve"> </v>
      </c>
      <c r="G3538" s="110">
        <f>COPY!Z3530</f>
        <v>0</v>
      </c>
      <c r="H3538" s="111" t="str">
        <f>IFERROR(VLOOKUP(Table1722[[#This Row],[Bukti]],'Un nOTA'!$A$4:$K$5003,10,FALSE),"")</f>
        <v/>
      </c>
      <c r="I3538" s="123" t="str">
        <f>IFERROR(VLOOKUP(Table1722[[#This Row],[Bukti]],Table13[#Data],11,FALSE),"")</f>
        <v/>
      </c>
    </row>
    <row r="3539" spans="1:9" hidden="1" x14ac:dyDescent="0.2">
      <c r="A3539" s="105" t="str">
        <f>IF(D3539=1,COUNTIF($D$10:D3539,1)," ")</f>
        <v xml:space="preserve"> </v>
      </c>
      <c r="B3539" s="106">
        <f>COPY!AR3531</f>
        <v>0</v>
      </c>
      <c r="C3539" s="107">
        <f>COPY!AC3531</f>
        <v>0</v>
      </c>
      <c r="D3539" s="107" t="str">
        <f>IF(LEN(Table1722[[#This Row],[Uraian]])&gt;2,1," ")</f>
        <v xml:space="preserve"> </v>
      </c>
      <c r="E3539" s="113" t="str">
        <f>IF(Table1722[[#This Row],[Lawan Transaksi]]="CV AGUNG KARYA",COUNTIF($I$10:I3539,"CV AGUNG KARYA")," ")</f>
        <v xml:space="preserve"> </v>
      </c>
      <c r="F3539" s="107" t="str">
        <f>IF(LEN(Table1722[[#This Row],[Uraian]])&gt;2,TRIM(RIGHT(SUBSTITUTE(TRIM(C3539)," ",REPT(" ",255)),255))," ")</f>
        <v xml:space="preserve"> </v>
      </c>
      <c r="G3539" s="110">
        <f>COPY!Z3531</f>
        <v>0</v>
      </c>
      <c r="H3539" s="111" t="str">
        <f>IFERROR(VLOOKUP(Table1722[[#This Row],[Bukti]],'Un nOTA'!$A$4:$K$5003,10,FALSE),"")</f>
        <v/>
      </c>
      <c r="I3539" s="123" t="str">
        <f>IFERROR(VLOOKUP(Table1722[[#This Row],[Bukti]],Table13[#Data],11,FALSE),"")</f>
        <v/>
      </c>
    </row>
    <row r="3540" spans="1:9" hidden="1" x14ac:dyDescent="0.2">
      <c r="A3540" s="105" t="str">
        <f>IF(D3540=1,COUNTIF($D$10:D3540,1)," ")</f>
        <v xml:space="preserve"> </v>
      </c>
      <c r="B3540" s="106">
        <f>COPY!AR3532</f>
        <v>0</v>
      </c>
      <c r="C3540" s="107">
        <f>COPY!AC3532</f>
        <v>0</v>
      </c>
      <c r="D3540" s="107" t="str">
        <f>IF(LEN(Table1722[[#This Row],[Uraian]])&gt;2,1," ")</f>
        <v xml:space="preserve"> </v>
      </c>
      <c r="E3540" s="113" t="str">
        <f>IF(Table1722[[#This Row],[Lawan Transaksi]]="CV AGUNG KARYA",COUNTIF($I$10:I3540,"CV AGUNG KARYA")," ")</f>
        <v xml:space="preserve"> </v>
      </c>
      <c r="F3540" s="107" t="str">
        <f>IF(LEN(Table1722[[#This Row],[Uraian]])&gt;2,TRIM(RIGHT(SUBSTITUTE(TRIM(C3540)," ",REPT(" ",255)),255))," ")</f>
        <v xml:space="preserve"> </v>
      </c>
      <c r="G3540" s="110">
        <f>COPY!Z3532</f>
        <v>0</v>
      </c>
      <c r="H3540" s="111" t="str">
        <f>IFERROR(VLOOKUP(Table1722[[#This Row],[Bukti]],'Un nOTA'!$A$4:$K$5003,10,FALSE),"")</f>
        <v/>
      </c>
      <c r="I3540" s="123" t="str">
        <f>IFERROR(VLOOKUP(Table1722[[#This Row],[Bukti]],Table13[#Data],11,FALSE),"")</f>
        <v/>
      </c>
    </row>
    <row r="3541" spans="1:9" hidden="1" x14ac:dyDescent="0.2">
      <c r="A3541" s="105" t="str">
        <f>IF(D3541=1,COUNTIF($D$10:D3541,1)," ")</f>
        <v xml:space="preserve"> </v>
      </c>
      <c r="B3541" s="106">
        <f>COPY!AR3533</f>
        <v>0</v>
      </c>
      <c r="C3541" s="107">
        <f>COPY!AC3533</f>
        <v>0</v>
      </c>
      <c r="D3541" s="107" t="str">
        <f>IF(LEN(Table1722[[#This Row],[Uraian]])&gt;2,1," ")</f>
        <v xml:space="preserve"> </v>
      </c>
      <c r="E3541" s="113" t="str">
        <f>IF(Table1722[[#This Row],[Lawan Transaksi]]="CV AGUNG KARYA",COUNTIF($I$10:I3541,"CV AGUNG KARYA")," ")</f>
        <v xml:space="preserve"> </v>
      </c>
      <c r="F3541" s="107" t="str">
        <f>IF(LEN(Table1722[[#This Row],[Uraian]])&gt;2,TRIM(RIGHT(SUBSTITUTE(TRIM(C3541)," ",REPT(" ",255)),255))," ")</f>
        <v xml:space="preserve"> </v>
      </c>
      <c r="G3541" s="110">
        <f>COPY!Z3533</f>
        <v>0</v>
      </c>
      <c r="H3541" s="111" t="str">
        <f>IFERROR(VLOOKUP(Table1722[[#This Row],[Bukti]],'Un nOTA'!$A$4:$K$5003,10,FALSE),"")</f>
        <v/>
      </c>
      <c r="I3541" s="123" t="str">
        <f>IFERROR(VLOOKUP(Table1722[[#This Row],[Bukti]],Table13[#Data],11,FALSE),"")</f>
        <v/>
      </c>
    </row>
    <row r="3542" spans="1:9" hidden="1" x14ac:dyDescent="0.2">
      <c r="A3542" s="105" t="str">
        <f>IF(D3542=1,COUNTIF($D$10:D3542,1)," ")</f>
        <v xml:space="preserve"> </v>
      </c>
      <c r="B3542" s="106">
        <f>COPY!AR3534</f>
        <v>0</v>
      </c>
      <c r="C3542" s="107">
        <f>COPY!AC3534</f>
        <v>0</v>
      </c>
      <c r="D3542" s="107" t="str">
        <f>IF(LEN(Table1722[[#This Row],[Uraian]])&gt;2,1," ")</f>
        <v xml:space="preserve"> </v>
      </c>
      <c r="E3542" s="113" t="str">
        <f>IF(Table1722[[#This Row],[Lawan Transaksi]]="CV AGUNG KARYA",COUNTIF($I$10:I3542,"CV AGUNG KARYA")," ")</f>
        <v xml:space="preserve"> </v>
      </c>
      <c r="F3542" s="107" t="str">
        <f>IF(LEN(Table1722[[#This Row],[Uraian]])&gt;2,TRIM(RIGHT(SUBSTITUTE(TRIM(C3542)," ",REPT(" ",255)),255))," ")</f>
        <v xml:space="preserve"> </v>
      </c>
      <c r="G3542" s="110">
        <f>COPY!Z3534</f>
        <v>0</v>
      </c>
      <c r="H3542" s="111" t="str">
        <f>IFERROR(VLOOKUP(Table1722[[#This Row],[Bukti]],'Un nOTA'!$A$4:$K$5003,10,FALSE),"")</f>
        <v/>
      </c>
      <c r="I3542" s="123" t="str">
        <f>IFERROR(VLOOKUP(Table1722[[#This Row],[Bukti]],Table13[#Data],11,FALSE),"")</f>
        <v/>
      </c>
    </row>
    <row r="3543" spans="1:9" hidden="1" x14ac:dyDescent="0.2">
      <c r="A3543" s="105" t="str">
        <f>IF(D3543=1,COUNTIF($D$10:D3543,1)," ")</f>
        <v xml:space="preserve"> </v>
      </c>
      <c r="B3543" s="106">
        <f>COPY!AR3535</f>
        <v>0</v>
      </c>
      <c r="C3543" s="107">
        <f>COPY!AC3535</f>
        <v>0</v>
      </c>
      <c r="D3543" s="107" t="str">
        <f>IF(LEN(Table1722[[#This Row],[Uraian]])&gt;2,1," ")</f>
        <v xml:space="preserve"> </v>
      </c>
      <c r="E3543" s="113" t="str">
        <f>IF(Table1722[[#This Row],[Lawan Transaksi]]="CV AGUNG KARYA",COUNTIF($I$10:I3543,"CV AGUNG KARYA")," ")</f>
        <v xml:space="preserve"> </v>
      </c>
      <c r="F3543" s="107" t="str">
        <f>IF(LEN(Table1722[[#This Row],[Uraian]])&gt;2,TRIM(RIGHT(SUBSTITUTE(TRIM(C3543)," ",REPT(" ",255)),255))," ")</f>
        <v xml:space="preserve"> </v>
      </c>
      <c r="G3543" s="110">
        <f>COPY!Z3535</f>
        <v>0</v>
      </c>
      <c r="H3543" s="111" t="str">
        <f>IFERROR(VLOOKUP(Table1722[[#This Row],[Bukti]],'Un nOTA'!$A$4:$K$5003,10,FALSE),"")</f>
        <v/>
      </c>
      <c r="I3543" s="123" t="str">
        <f>IFERROR(VLOOKUP(Table1722[[#This Row],[Bukti]],Table13[#Data],11,FALSE),"")</f>
        <v/>
      </c>
    </row>
    <row r="3544" spans="1:9" hidden="1" x14ac:dyDescent="0.2">
      <c r="A3544" s="105" t="str">
        <f>IF(D3544=1,COUNTIF($D$10:D3544,1)," ")</f>
        <v xml:space="preserve"> </v>
      </c>
      <c r="B3544" s="106">
        <f>COPY!AR3536</f>
        <v>0</v>
      </c>
      <c r="C3544" s="107">
        <f>COPY!AC3536</f>
        <v>0</v>
      </c>
      <c r="D3544" s="107" t="str">
        <f>IF(LEN(Table1722[[#This Row],[Uraian]])&gt;2,1," ")</f>
        <v xml:space="preserve"> </v>
      </c>
      <c r="E3544" s="113" t="str">
        <f>IF(Table1722[[#This Row],[Lawan Transaksi]]="CV AGUNG KARYA",COUNTIF($I$10:I3544,"CV AGUNG KARYA")," ")</f>
        <v xml:space="preserve"> </v>
      </c>
      <c r="F3544" s="107" t="str">
        <f>IF(LEN(Table1722[[#This Row],[Uraian]])&gt;2,TRIM(RIGHT(SUBSTITUTE(TRIM(C3544)," ",REPT(" ",255)),255))," ")</f>
        <v xml:space="preserve"> </v>
      </c>
      <c r="G3544" s="110">
        <f>COPY!Z3536</f>
        <v>0</v>
      </c>
      <c r="H3544" s="111" t="str">
        <f>IFERROR(VLOOKUP(Table1722[[#This Row],[Bukti]],'Un nOTA'!$A$4:$K$5003,10,FALSE),"")</f>
        <v/>
      </c>
      <c r="I3544" s="123" t="str">
        <f>IFERROR(VLOOKUP(Table1722[[#This Row],[Bukti]],Table13[#Data],11,FALSE),"")</f>
        <v/>
      </c>
    </row>
    <row r="3545" spans="1:9" hidden="1" x14ac:dyDescent="0.2">
      <c r="A3545" s="105" t="str">
        <f>IF(D3545=1,COUNTIF($D$10:D3545,1)," ")</f>
        <v xml:space="preserve"> </v>
      </c>
      <c r="B3545" s="106">
        <f>COPY!AR3537</f>
        <v>0</v>
      </c>
      <c r="C3545" s="107">
        <f>COPY!AC3537</f>
        <v>0</v>
      </c>
      <c r="D3545" s="107" t="str">
        <f>IF(LEN(Table1722[[#This Row],[Uraian]])&gt;2,1," ")</f>
        <v xml:space="preserve"> </v>
      </c>
      <c r="E3545" s="113" t="str">
        <f>IF(Table1722[[#This Row],[Lawan Transaksi]]="CV AGUNG KARYA",COUNTIF($I$10:I3545,"CV AGUNG KARYA")," ")</f>
        <v xml:space="preserve"> </v>
      </c>
      <c r="F3545" s="107" t="str">
        <f>IF(LEN(Table1722[[#This Row],[Uraian]])&gt;2,TRIM(RIGHT(SUBSTITUTE(TRIM(C3545)," ",REPT(" ",255)),255))," ")</f>
        <v xml:space="preserve"> </v>
      </c>
      <c r="G3545" s="110">
        <f>COPY!Z3537</f>
        <v>0</v>
      </c>
      <c r="H3545" s="111" t="str">
        <f>IFERROR(VLOOKUP(Table1722[[#This Row],[Bukti]],'Un nOTA'!$A$4:$K$5003,10,FALSE),"")</f>
        <v/>
      </c>
      <c r="I3545" s="123" t="str">
        <f>IFERROR(VLOOKUP(Table1722[[#This Row],[Bukti]],Table13[#Data],11,FALSE),"")</f>
        <v/>
      </c>
    </row>
    <row r="3546" spans="1:9" hidden="1" x14ac:dyDescent="0.2">
      <c r="A3546" s="105" t="str">
        <f>IF(D3546=1,COUNTIF($D$10:D3546,1)," ")</f>
        <v xml:space="preserve"> </v>
      </c>
      <c r="B3546" s="106">
        <f>COPY!AR3538</f>
        <v>0</v>
      </c>
      <c r="C3546" s="107">
        <f>COPY!AC3538</f>
        <v>0</v>
      </c>
      <c r="D3546" s="107" t="str">
        <f>IF(LEN(Table1722[[#This Row],[Uraian]])&gt;2,1," ")</f>
        <v xml:space="preserve"> </v>
      </c>
      <c r="E3546" s="113" t="str">
        <f>IF(Table1722[[#This Row],[Lawan Transaksi]]="CV AGUNG KARYA",COUNTIF($I$10:I3546,"CV AGUNG KARYA")," ")</f>
        <v xml:space="preserve"> </v>
      </c>
      <c r="F3546" s="107" t="str">
        <f>IF(LEN(Table1722[[#This Row],[Uraian]])&gt;2,TRIM(RIGHT(SUBSTITUTE(TRIM(C3546)," ",REPT(" ",255)),255))," ")</f>
        <v xml:space="preserve"> </v>
      </c>
      <c r="G3546" s="110">
        <f>COPY!Z3538</f>
        <v>0</v>
      </c>
      <c r="H3546" s="111" t="str">
        <f>IFERROR(VLOOKUP(Table1722[[#This Row],[Bukti]],'Un nOTA'!$A$4:$K$5003,10,FALSE),"")</f>
        <v/>
      </c>
      <c r="I3546" s="123" t="str">
        <f>IFERROR(VLOOKUP(Table1722[[#This Row],[Bukti]],Table13[#Data],11,FALSE),"")</f>
        <v/>
      </c>
    </row>
    <row r="3547" spans="1:9" hidden="1" x14ac:dyDescent="0.2">
      <c r="A3547" s="105" t="str">
        <f>IF(D3547=1,COUNTIF($D$10:D3547,1)," ")</f>
        <v xml:space="preserve"> </v>
      </c>
      <c r="B3547" s="106">
        <f>COPY!AR3539</f>
        <v>0</v>
      </c>
      <c r="C3547" s="107">
        <f>COPY!AC3539</f>
        <v>0</v>
      </c>
      <c r="D3547" s="107" t="str">
        <f>IF(LEN(Table1722[[#This Row],[Uraian]])&gt;2,1," ")</f>
        <v xml:space="preserve"> </v>
      </c>
      <c r="E3547" s="113" t="str">
        <f>IF(Table1722[[#This Row],[Lawan Transaksi]]="CV AGUNG KARYA",COUNTIF($I$10:I3547,"CV AGUNG KARYA")," ")</f>
        <v xml:space="preserve"> </v>
      </c>
      <c r="F3547" s="107" t="str">
        <f>IF(LEN(Table1722[[#This Row],[Uraian]])&gt;2,TRIM(RIGHT(SUBSTITUTE(TRIM(C3547)," ",REPT(" ",255)),255))," ")</f>
        <v xml:space="preserve"> </v>
      </c>
      <c r="G3547" s="110">
        <f>COPY!Z3539</f>
        <v>0</v>
      </c>
      <c r="H3547" s="111" t="str">
        <f>IFERROR(VLOOKUP(Table1722[[#This Row],[Bukti]],'Un nOTA'!$A$4:$K$5003,10,FALSE),"")</f>
        <v/>
      </c>
      <c r="I3547" s="123" t="str">
        <f>IFERROR(VLOOKUP(Table1722[[#This Row],[Bukti]],Table13[#Data],11,FALSE),"")</f>
        <v/>
      </c>
    </row>
    <row r="3548" spans="1:9" hidden="1" x14ac:dyDescent="0.2">
      <c r="A3548" s="105" t="str">
        <f>IF(D3548=1,COUNTIF($D$10:D3548,1)," ")</f>
        <v xml:space="preserve"> </v>
      </c>
      <c r="B3548" s="106">
        <f>COPY!AR3540</f>
        <v>0</v>
      </c>
      <c r="C3548" s="107">
        <f>COPY!AC3540</f>
        <v>0</v>
      </c>
      <c r="D3548" s="107" t="str">
        <f>IF(LEN(Table1722[[#This Row],[Uraian]])&gt;2,1," ")</f>
        <v xml:space="preserve"> </v>
      </c>
      <c r="E3548" s="113" t="str">
        <f>IF(Table1722[[#This Row],[Lawan Transaksi]]="CV AGUNG KARYA",COUNTIF($I$10:I3548,"CV AGUNG KARYA")," ")</f>
        <v xml:space="preserve"> </v>
      </c>
      <c r="F3548" s="107" t="str">
        <f>IF(LEN(Table1722[[#This Row],[Uraian]])&gt;2,TRIM(RIGHT(SUBSTITUTE(TRIM(C3548)," ",REPT(" ",255)),255))," ")</f>
        <v xml:space="preserve"> </v>
      </c>
      <c r="G3548" s="110">
        <f>COPY!Z3540</f>
        <v>0</v>
      </c>
      <c r="H3548" s="111" t="str">
        <f>IFERROR(VLOOKUP(Table1722[[#This Row],[Bukti]],'Un nOTA'!$A$4:$K$5003,10,FALSE),"")</f>
        <v/>
      </c>
      <c r="I3548" s="123" t="str">
        <f>IFERROR(VLOOKUP(Table1722[[#This Row],[Bukti]],Table13[#Data],11,FALSE),"")</f>
        <v/>
      </c>
    </row>
    <row r="3549" spans="1:9" hidden="1" x14ac:dyDescent="0.2">
      <c r="A3549" s="105" t="str">
        <f>IF(D3549=1,COUNTIF($D$10:D3549,1)," ")</f>
        <v xml:space="preserve"> </v>
      </c>
      <c r="B3549" s="106">
        <f>COPY!AR3541</f>
        <v>0</v>
      </c>
      <c r="C3549" s="107">
        <f>COPY!AC3541</f>
        <v>0</v>
      </c>
      <c r="D3549" s="107" t="str">
        <f>IF(LEN(Table1722[[#This Row],[Uraian]])&gt;2,1," ")</f>
        <v xml:space="preserve"> </v>
      </c>
      <c r="E3549" s="113" t="str">
        <f>IF(Table1722[[#This Row],[Lawan Transaksi]]="CV AGUNG KARYA",COUNTIF($I$10:I3549,"CV AGUNG KARYA")," ")</f>
        <v xml:space="preserve"> </v>
      </c>
      <c r="F3549" s="107" t="str">
        <f>IF(LEN(Table1722[[#This Row],[Uraian]])&gt;2,TRIM(RIGHT(SUBSTITUTE(TRIM(C3549)," ",REPT(" ",255)),255))," ")</f>
        <v xml:space="preserve"> </v>
      </c>
      <c r="G3549" s="110">
        <f>COPY!Z3541</f>
        <v>0</v>
      </c>
      <c r="H3549" s="111" t="str">
        <f>IFERROR(VLOOKUP(Table1722[[#This Row],[Bukti]],'Un nOTA'!$A$4:$K$5003,10,FALSE),"")</f>
        <v/>
      </c>
      <c r="I3549" s="123" t="str">
        <f>IFERROR(VLOOKUP(Table1722[[#This Row],[Bukti]],Table13[#Data],11,FALSE),"")</f>
        <v/>
      </c>
    </row>
    <row r="3550" spans="1:9" hidden="1" x14ac:dyDescent="0.2">
      <c r="A3550" s="105" t="str">
        <f>IF(D3550=1,COUNTIF($D$10:D3550,1)," ")</f>
        <v xml:space="preserve"> </v>
      </c>
      <c r="B3550" s="106">
        <f>COPY!AR3542</f>
        <v>0</v>
      </c>
      <c r="C3550" s="107">
        <f>COPY!AC3542</f>
        <v>0</v>
      </c>
      <c r="D3550" s="107" t="str">
        <f>IF(LEN(Table1722[[#This Row],[Uraian]])&gt;2,1," ")</f>
        <v xml:space="preserve"> </v>
      </c>
      <c r="E3550" s="113" t="str">
        <f>IF(Table1722[[#This Row],[Lawan Transaksi]]="CV AGUNG KARYA",COUNTIF($I$10:I3550,"CV AGUNG KARYA")," ")</f>
        <v xml:space="preserve"> </v>
      </c>
      <c r="F3550" s="107" t="str">
        <f>IF(LEN(Table1722[[#This Row],[Uraian]])&gt;2,TRIM(RIGHT(SUBSTITUTE(TRIM(C3550)," ",REPT(" ",255)),255))," ")</f>
        <v xml:space="preserve"> </v>
      </c>
      <c r="G3550" s="110">
        <f>COPY!Z3542</f>
        <v>0</v>
      </c>
      <c r="H3550" s="111" t="str">
        <f>IFERROR(VLOOKUP(Table1722[[#This Row],[Bukti]],'Un nOTA'!$A$4:$K$5003,10,FALSE),"")</f>
        <v/>
      </c>
      <c r="I3550" s="123" t="str">
        <f>IFERROR(VLOOKUP(Table1722[[#This Row],[Bukti]],Table13[#Data],11,FALSE),"")</f>
        <v/>
      </c>
    </row>
    <row r="3551" spans="1:9" hidden="1" x14ac:dyDescent="0.2">
      <c r="A3551" s="105" t="str">
        <f>IF(D3551=1,COUNTIF($D$10:D3551,1)," ")</f>
        <v xml:space="preserve"> </v>
      </c>
      <c r="B3551" s="106">
        <f>COPY!AR3543</f>
        <v>0</v>
      </c>
      <c r="C3551" s="107">
        <f>COPY!AC3543</f>
        <v>0</v>
      </c>
      <c r="D3551" s="107" t="str">
        <f>IF(LEN(Table1722[[#This Row],[Uraian]])&gt;2,1," ")</f>
        <v xml:space="preserve"> </v>
      </c>
      <c r="E3551" s="113" t="str">
        <f>IF(Table1722[[#This Row],[Lawan Transaksi]]="CV AGUNG KARYA",COUNTIF($I$10:I3551,"CV AGUNG KARYA")," ")</f>
        <v xml:space="preserve"> </v>
      </c>
      <c r="F3551" s="107" t="str">
        <f>IF(LEN(Table1722[[#This Row],[Uraian]])&gt;2,TRIM(RIGHT(SUBSTITUTE(TRIM(C3551)," ",REPT(" ",255)),255))," ")</f>
        <v xml:space="preserve"> </v>
      </c>
      <c r="G3551" s="110">
        <f>COPY!Z3543</f>
        <v>0</v>
      </c>
      <c r="H3551" s="111" t="str">
        <f>IFERROR(VLOOKUP(Table1722[[#This Row],[Bukti]],'Un nOTA'!$A$4:$K$5003,10,FALSE),"")</f>
        <v/>
      </c>
      <c r="I3551" s="123" t="str">
        <f>IFERROR(VLOOKUP(Table1722[[#This Row],[Bukti]],Table13[#Data],11,FALSE),"")</f>
        <v/>
      </c>
    </row>
    <row r="3552" spans="1:9" hidden="1" x14ac:dyDescent="0.2">
      <c r="A3552" s="105" t="str">
        <f>IF(D3552=1,COUNTIF($D$10:D3552,1)," ")</f>
        <v xml:space="preserve"> </v>
      </c>
      <c r="B3552" s="106">
        <f>COPY!AR3544</f>
        <v>0</v>
      </c>
      <c r="C3552" s="107">
        <f>COPY!AC3544</f>
        <v>0</v>
      </c>
      <c r="D3552" s="107" t="str">
        <f>IF(LEN(Table1722[[#This Row],[Uraian]])&gt;2,1," ")</f>
        <v xml:space="preserve"> </v>
      </c>
      <c r="E3552" s="113" t="str">
        <f>IF(Table1722[[#This Row],[Lawan Transaksi]]="CV AGUNG KARYA",COUNTIF($I$10:I3552,"CV AGUNG KARYA")," ")</f>
        <v xml:space="preserve"> </v>
      </c>
      <c r="F3552" s="107" t="str">
        <f>IF(LEN(Table1722[[#This Row],[Uraian]])&gt;2,TRIM(RIGHT(SUBSTITUTE(TRIM(C3552)," ",REPT(" ",255)),255))," ")</f>
        <v xml:space="preserve"> </v>
      </c>
      <c r="G3552" s="110">
        <f>COPY!Z3544</f>
        <v>0</v>
      </c>
      <c r="H3552" s="111" t="str">
        <f>IFERROR(VLOOKUP(Table1722[[#This Row],[Bukti]],'Un nOTA'!$A$4:$K$5003,10,FALSE),"")</f>
        <v/>
      </c>
      <c r="I3552" s="123" t="str">
        <f>IFERROR(VLOOKUP(Table1722[[#This Row],[Bukti]],Table13[#Data],11,FALSE),"")</f>
        <v/>
      </c>
    </row>
    <row r="3553" spans="1:9" hidden="1" x14ac:dyDescent="0.2">
      <c r="A3553" s="105" t="str">
        <f>IF(D3553=1,COUNTIF($D$10:D3553,1)," ")</f>
        <v xml:space="preserve"> </v>
      </c>
      <c r="B3553" s="106">
        <f>COPY!AR3545</f>
        <v>0</v>
      </c>
      <c r="C3553" s="107">
        <f>COPY!AC3545</f>
        <v>0</v>
      </c>
      <c r="D3553" s="107" t="str">
        <f>IF(LEN(Table1722[[#This Row],[Uraian]])&gt;2,1," ")</f>
        <v xml:space="preserve"> </v>
      </c>
      <c r="E3553" s="113" t="str">
        <f>IF(Table1722[[#This Row],[Lawan Transaksi]]="CV AGUNG KARYA",COUNTIF($I$10:I3553,"CV AGUNG KARYA")," ")</f>
        <v xml:space="preserve"> </v>
      </c>
      <c r="F3553" s="107" t="str">
        <f>IF(LEN(Table1722[[#This Row],[Uraian]])&gt;2,TRIM(RIGHT(SUBSTITUTE(TRIM(C3553)," ",REPT(" ",255)),255))," ")</f>
        <v xml:space="preserve"> </v>
      </c>
      <c r="G3553" s="110">
        <f>COPY!Z3545</f>
        <v>0</v>
      </c>
      <c r="H3553" s="111" t="str">
        <f>IFERROR(VLOOKUP(Table1722[[#This Row],[Bukti]],'Un nOTA'!$A$4:$K$5003,10,FALSE),"")</f>
        <v/>
      </c>
      <c r="I3553" s="123" t="str">
        <f>IFERROR(VLOOKUP(Table1722[[#This Row],[Bukti]],Table13[#Data],11,FALSE),"")</f>
        <v/>
      </c>
    </row>
    <row r="3554" spans="1:9" hidden="1" x14ac:dyDescent="0.2">
      <c r="A3554" s="105" t="str">
        <f>IF(D3554=1,COUNTIF($D$10:D3554,1)," ")</f>
        <v xml:space="preserve"> </v>
      </c>
      <c r="B3554" s="106">
        <f>COPY!AR3546</f>
        <v>0</v>
      </c>
      <c r="C3554" s="107">
        <f>COPY!AC3546</f>
        <v>0</v>
      </c>
      <c r="D3554" s="107" t="str">
        <f>IF(LEN(Table1722[[#This Row],[Uraian]])&gt;2,1," ")</f>
        <v xml:space="preserve"> </v>
      </c>
      <c r="E3554" s="113" t="str">
        <f>IF(Table1722[[#This Row],[Lawan Transaksi]]="CV AGUNG KARYA",COUNTIF($I$10:I3554,"CV AGUNG KARYA")," ")</f>
        <v xml:space="preserve"> </v>
      </c>
      <c r="F3554" s="107" t="str">
        <f>IF(LEN(Table1722[[#This Row],[Uraian]])&gt;2,TRIM(RIGHT(SUBSTITUTE(TRIM(C3554)," ",REPT(" ",255)),255))," ")</f>
        <v xml:space="preserve"> </v>
      </c>
      <c r="G3554" s="110">
        <f>COPY!Z3546</f>
        <v>0</v>
      </c>
      <c r="H3554" s="111" t="str">
        <f>IFERROR(VLOOKUP(Table1722[[#This Row],[Bukti]],'Un nOTA'!$A$4:$K$5003,10,FALSE),"")</f>
        <v/>
      </c>
      <c r="I3554" s="123" t="str">
        <f>IFERROR(VLOOKUP(Table1722[[#This Row],[Bukti]],Table13[#Data],11,FALSE),"")</f>
        <v/>
      </c>
    </row>
    <row r="3555" spans="1:9" hidden="1" x14ac:dyDescent="0.2">
      <c r="A3555" s="105" t="str">
        <f>IF(D3555=1,COUNTIF($D$10:D3555,1)," ")</f>
        <v xml:space="preserve"> </v>
      </c>
      <c r="B3555" s="106">
        <f>COPY!AR3547</f>
        <v>0</v>
      </c>
      <c r="C3555" s="107">
        <f>COPY!AC3547</f>
        <v>0</v>
      </c>
      <c r="D3555" s="107" t="str">
        <f>IF(LEN(Table1722[[#This Row],[Uraian]])&gt;2,1," ")</f>
        <v xml:space="preserve"> </v>
      </c>
      <c r="E3555" s="113" t="str">
        <f>IF(Table1722[[#This Row],[Lawan Transaksi]]="CV AGUNG KARYA",COUNTIF($I$10:I3555,"CV AGUNG KARYA")," ")</f>
        <v xml:space="preserve"> </v>
      </c>
      <c r="F3555" s="107" t="str">
        <f>IF(LEN(Table1722[[#This Row],[Uraian]])&gt;2,TRIM(RIGHT(SUBSTITUTE(TRIM(C3555)," ",REPT(" ",255)),255))," ")</f>
        <v xml:space="preserve"> </v>
      </c>
      <c r="G3555" s="110">
        <f>COPY!Z3547</f>
        <v>0</v>
      </c>
      <c r="H3555" s="111" t="str">
        <f>IFERROR(VLOOKUP(Table1722[[#This Row],[Bukti]],'Un nOTA'!$A$4:$K$5003,10,FALSE),"")</f>
        <v/>
      </c>
      <c r="I3555" s="123" t="str">
        <f>IFERROR(VLOOKUP(Table1722[[#This Row],[Bukti]],Table13[#Data],11,FALSE),"")</f>
        <v/>
      </c>
    </row>
    <row r="3556" spans="1:9" hidden="1" x14ac:dyDescent="0.2">
      <c r="A3556" s="105" t="str">
        <f>IF(D3556=1,COUNTIF($D$10:D3556,1)," ")</f>
        <v xml:space="preserve"> </v>
      </c>
      <c r="B3556" s="106">
        <f>COPY!AR3548</f>
        <v>0</v>
      </c>
      <c r="C3556" s="107">
        <f>COPY!AC3548</f>
        <v>0</v>
      </c>
      <c r="D3556" s="107" t="str">
        <f>IF(LEN(Table1722[[#This Row],[Uraian]])&gt;2,1," ")</f>
        <v xml:space="preserve"> </v>
      </c>
      <c r="E3556" s="113" t="str">
        <f>IF(Table1722[[#This Row],[Lawan Transaksi]]="CV AGUNG KARYA",COUNTIF($I$10:I3556,"CV AGUNG KARYA")," ")</f>
        <v xml:space="preserve"> </v>
      </c>
      <c r="F3556" s="107" t="str">
        <f>IF(LEN(Table1722[[#This Row],[Uraian]])&gt;2,TRIM(RIGHT(SUBSTITUTE(TRIM(C3556)," ",REPT(" ",255)),255))," ")</f>
        <v xml:space="preserve"> </v>
      </c>
      <c r="G3556" s="110">
        <f>COPY!Z3548</f>
        <v>0</v>
      </c>
      <c r="H3556" s="111" t="str">
        <f>IFERROR(VLOOKUP(Table1722[[#This Row],[Bukti]],'Un nOTA'!$A$4:$K$5003,10,FALSE),"")</f>
        <v/>
      </c>
      <c r="I3556" s="123" t="str">
        <f>IFERROR(VLOOKUP(Table1722[[#This Row],[Bukti]],Table13[#Data],11,FALSE),"")</f>
        <v/>
      </c>
    </row>
    <row r="3557" spans="1:9" hidden="1" x14ac:dyDescent="0.2">
      <c r="A3557" s="105" t="str">
        <f>IF(D3557=1,COUNTIF($D$10:D3557,1)," ")</f>
        <v xml:space="preserve"> </v>
      </c>
      <c r="B3557" s="106">
        <f>COPY!AR3549</f>
        <v>0</v>
      </c>
      <c r="C3557" s="107">
        <f>COPY!AC3549</f>
        <v>0</v>
      </c>
      <c r="D3557" s="107" t="str">
        <f>IF(LEN(Table1722[[#This Row],[Uraian]])&gt;2,1," ")</f>
        <v xml:space="preserve"> </v>
      </c>
      <c r="E3557" s="113" t="str">
        <f>IF(Table1722[[#This Row],[Lawan Transaksi]]="CV AGUNG KARYA",COUNTIF($I$10:I3557,"CV AGUNG KARYA")," ")</f>
        <v xml:space="preserve"> </v>
      </c>
      <c r="F3557" s="107" t="str">
        <f>IF(LEN(Table1722[[#This Row],[Uraian]])&gt;2,TRIM(RIGHT(SUBSTITUTE(TRIM(C3557)," ",REPT(" ",255)),255))," ")</f>
        <v xml:space="preserve"> </v>
      </c>
      <c r="G3557" s="110">
        <f>COPY!Z3549</f>
        <v>0</v>
      </c>
      <c r="H3557" s="111" t="str">
        <f>IFERROR(VLOOKUP(Table1722[[#This Row],[Bukti]],'Un nOTA'!$A$4:$K$5003,10,FALSE),"")</f>
        <v/>
      </c>
      <c r="I3557" s="123" t="str">
        <f>IFERROR(VLOOKUP(Table1722[[#This Row],[Bukti]],Table13[#Data],11,FALSE),"")</f>
        <v/>
      </c>
    </row>
    <row r="3558" spans="1:9" hidden="1" x14ac:dyDescent="0.2">
      <c r="A3558" s="105" t="str">
        <f>IF(D3558=1,COUNTIF($D$10:D3558,1)," ")</f>
        <v xml:space="preserve"> </v>
      </c>
      <c r="B3558" s="106">
        <f>COPY!AR3550</f>
        <v>0</v>
      </c>
      <c r="C3558" s="107">
        <f>COPY!AC3550</f>
        <v>0</v>
      </c>
      <c r="D3558" s="107" t="str">
        <f>IF(LEN(Table1722[[#This Row],[Uraian]])&gt;2,1," ")</f>
        <v xml:space="preserve"> </v>
      </c>
      <c r="E3558" s="113" t="str">
        <f>IF(Table1722[[#This Row],[Lawan Transaksi]]="CV AGUNG KARYA",COUNTIF($I$10:I3558,"CV AGUNG KARYA")," ")</f>
        <v xml:space="preserve"> </v>
      </c>
      <c r="F3558" s="107" t="str">
        <f>IF(LEN(Table1722[[#This Row],[Uraian]])&gt;2,TRIM(RIGHT(SUBSTITUTE(TRIM(C3558)," ",REPT(" ",255)),255))," ")</f>
        <v xml:space="preserve"> </v>
      </c>
      <c r="G3558" s="110">
        <f>COPY!Z3550</f>
        <v>0</v>
      </c>
      <c r="H3558" s="111" t="str">
        <f>IFERROR(VLOOKUP(Table1722[[#This Row],[Bukti]],'Un nOTA'!$A$4:$K$5003,10,FALSE),"")</f>
        <v/>
      </c>
      <c r="I3558" s="123" t="str">
        <f>IFERROR(VLOOKUP(Table1722[[#This Row],[Bukti]],Table13[#Data],11,FALSE),"")</f>
        <v/>
      </c>
    </row>
    <row r="3559" spans="1:9" hidden="1" x14ac:dyDescent="0.2">
      <c r="A3559" s="105" t="str">
        <f>IF(D3559=1,COUNTIF($D$10:D3559,1)," ")</f>
        <v xml:space="preserve"> </v>
      </c>
      <c r="B3559" s="106">
        <f>COPY!AR3551</f>
        <v>0</v>
      </c>
      <c r="C3559" s="107">
        <f>COPY!AC3551</f>
        <v>0</v>
      </c>
      <c r="D3559" s="107" t="str">
        <f>IF(LEN(Table1722[[#This Row],[Uraian]])&gt;2,1," ")</f>
        <v xml:space="preserve"> </v>
      </c>
      <c r="E3559" s="113" t="str">
        <f>IF(Table1722[[#This Row],[Lawan Transaksi]]="CV AGUNG KARYA",COUNTIF($I$10:I3559,"CV AGUNG KARYA")," ")</f>
        <v xml:space="preserve"> </v>
      </c>
      <c r="F3559" s="107" t="str">
        <f>IF(LEN(Table1722[[#This Row],[Uraian]])&gt;2,TRIM(RIGHT(SUBSTITUTE(TRIM(C3559)," ",REPT(" ",255)),255))," ")</f>
        <v xml:space="preserve"> </v>
      </c>
      <c r="G3559" s="110">
        <f>COPY!Z3551</f>
        <v>0</v>
      </c>
      <c r="H3559" s="111" t="str">
        <f>IFERROR(VLOOKUP(Table1722[[#This Row],[Bukti]],'Un nOTA'!$A$4:$K$5003,10,FALSE),"")</f>
        <v/>
      </c>
      <c r="I3559" s="123" t="str">
        <f>IFERROR(VLOOKUP(Table1722[[#This Row],[Bukti]],Table13[#Data],11,FALSE),"")</f>
        <v/>
      </c>
    </row>
    <row r="3560" spans="1:9" hidden="1" x14ac:dyDescent="0.2">
      <c r="A3560" s="105" t="str">
        <f>IF(D3560=1,COUNTIF($D$10:D3560,1)," ")</f>
        <v xml:space="preserve"> </v>
      </c>
      <c r="B3560" s="106">
        <f>COPY!AR3552</f>
        <v>0</v>
      </c>
      <c r="C3560" s="107">
        <f>COPY!AC3552</f>
        <v>0</v>
      </c>
      <c r="D3560" s="107" t="str">
        <f>IF(LEN(Table1722[[#This Row],[Uraian]])&gt;2,1," ")</f>
        <v xml:space="preserve"> </v>
      </c>
      <c r="E3560" s="113" t="str">
        <f>IF(Table1722[[#This Row],[Lawan Transaksi]]="CV AGUNG KARYA",COUNTIF($I$10:I3560,"CV AGUNG KARYA")," ")</f>
        <v xml:space="preserve"> </v>
      </c>
      <c r="F3560" s="107" t="str">
        <f>IF(LEN(Table1722[[#This Row],[Uraian]])&gt;2,TRIM(RIGHT(SUBSTITUTE(TRIM(C3560)," ",REPT(" ",255)),255))," ")</f>
        <v xml:space="preserve"> </v>
      </c>
      <c r="G3560" s="110">
        <f>COPY!Z3552</f>
        <v>0</v>
      </c>
      <c r="H3560" s="111" t="str">
        <f>IFERROR(VLOOKUP(Table1722[[#This Row],[Bukti]],'Un nOTA'!$A$4:$K$5003,10,FALSE),"")</f>
        <v/>
      </c>
      <c r="I3560" s="123" t="str">
        <f>IFERROR(VLOOKUP(Table1722[[#This Row],[Bukti]],Table13[#Data],11,FALSE),"")</f>
        <v/>
      </c>
    </row>
    <row r="3561" spans="1:9" hidden="1" x14ac:dyDescent="0.2">
      <c r="A3561" s="105" t="str">
        <f>IF(D3561=1,COUNTIF($D$10:D3561,1)," ")</f>
        <v xml:space="preserve"> </v>
      </c>
      <c r="B3561" s="106">
        <f>COPY!AR3553</f>
        <v>0</v>
      </c>
      <c r="C3561" s="107">
        <f>COPY!AC3553</f>
        <v>0</v>
      </c>
      <c r="D3561" s="107" t="str">
        <f>IF(LEN(Table1722[[#This Row],[Uraian]])&gt;2,1," ")</f>
        <v xml:space="preserve"> </v>
      </c>
      <c r="E3561" s="113" t="str">
        <f>IF(Table1722[[#This Row],[Lawan Transaksi]]="CV AGUNG KARYA",COUNTIF($I$10:I3561,"CV AGUNG KARYA")," ")</f>
        <v xml:space="preserve"> </v>
      </c>
      <c r="F3561" s="107" t="str">
        <f>IF(LEN(Table1722[[#This Row],[Uraian]])&gt;2,TRIM(RIGHT(SUBSTITUTE(TRIM(C3561)," ",REPT(" ",255)),255))," ")</f>
        <v xml:space="preserve"> </v>
      </c>
      <c r="G3561" s="110">
        <f>COPY!Z3553</f>
        <v>0</v>
      </c>
      <c r="H3561" s="111" t="str">
        <f>IFERROR(VLOOKUP(Table1722[[#This Row],[Bukti]],'Un nOTA'!$A$4:$K$5003,10,FALSE),"")</f>
        <v/>
      </c>
      <c r="I3561" s="123" t="str">
        <f>IFERROR(VLOOKUP(Table1722[[#This Row],[Bukti]],Table13[#Data],11,FALSE),"")</f>
        <v/>
      </c>
    </row>
    <row r="3562" spans="1:9" hidden="1" x14ac:dyDescent="0.2">
      <c r="A3562" s="105" t="str">
        <f>IF(D3562=1,COUNTIF($D$10:D3562,1)," ")</f>
        <v xml:space="preserve"> </v>
      </c>
      <c r="B3562" s="106">
        <f>COPY!AR3554</f>
        <v>0</v>
      </c>
      <c r="C3562" s="107">
        <f>COPY!AC3554</f>
        <v>0</v>
      </c>
      <c r="D3562" s="107" t="str">
        <f>IF(LEN(Table1722[[#This Row],[Uraian]])&gt;2,1," ")</f>
        <v xml:space="preserve"> </v>
      </c>
      <c r="E3562" s="113" t="str">
        <f>IF(Table1722[[#This Row],[Lawan Transaksi]]="CV AGUNG KARYA",COUNTIF($I$10:I3562,"CV AGUNG KARYA")," ")</f>
        <v xml:space="preserve"> </v>
      </c>
      <c r="F3562" s="107" t="str">
        <f>IF(LEN(Table1722[[#This Row],[Uraian]])&gt;2,TRIM(RIGHT(SUBSTITUTE(TRIM(C3562)," ",REPT(" ",255)),255))," ")</f>
        <v xml:space="preserve"> </v>
      </c>
      <c r="G3562" s="110">
        <f>COPY!Z3554</f>
        <v>0</v>
      </c>
      <c r="H3562" s="111" t="str">
        <f>IFERROR(VLOOKUP(Table1722[[#This Row],[Bukti]],'Un nOTA'!$A$4:$K$5003,10,FALSE),"")</f>
        <v/>
      </c>
      <c r="I3562" s="123" t="str">
        <f>IFERROR(VLOOKUP(Table1722[[#This Row],[Bukti]],Table13[#Data],11,FALSE),"")</f>
        <v/>
      </c>
    </row>
    <row r="3563" spans="1:9" hidden="1" x14ac:dyDescent="0.2">
      <c r="A3563" s="105" t="str">
        <f>IF(D3563=1,COUNTIF($D$10:D3563,1)," ")</f>
        <v xml:space="preserve"> </v>
      </c>
      <c r="B3563" s="106">
        <f>COPY!AR3555</f>
        <v>0</v>
      </c>
      <c r="C3563" s="107">
        <f>COPY!AC3555</f>
        <v>0</v>
      </c>
      <c r="D3563" s="107" t="str">
        <f>IF(LEN(Table1722[[#This Row],[Uraian]])&gt;2,1," ")</f>
        <v xml:space="preserve"> </v>
      </c>
      <c r="E3563" s="113" t="str">
        <f>IF(Table1722[[#This Row],[Lawan Transaksi]]="CV AGUNG KARYA",COUNTIF($I$10:I3563,"CV AGUNG KARYA")," ")</f>
        <v xml:space="preserve"> </v>
      </c>
      <c r="F3563" s="107" t="str">
        <f>IF(LEN(Table1722[[#This Row],[Uraian]])&gt;2,TRIM(RIGHT(SUBSTITUTE(TRIM(C3563)," ",REPT(" ",255)),255))," ")</f>
        <v xml:space="preserve"> </v>
      </c>
      <c r="G3563" s="110">
        <f>COPY!Z3555</f>
        <v>0</v>
      </c>
      <c r="H3563" s="111" t="str">
        <f>IFERROR(VLOOKUP(Table1722[[#This Row],[Bukti]],'Un nOTA'!$A$4:$K$5003,10,FALSE),"")</f>
        <v/>
      </c>
      <c r="I3563" s="123" t="str">
        <f>IFERROR(VLOOKUP(Table1722[[#This Row],[Bukti]],Table13[#Data],11,FALSE),"")</f>
        <v/>
      </c>
    </row>
    <row r="3564" spans="1:9" hidden="1" x14ac:dyDescent="0.2">
      <c r="A3564" s="105" t="str">
        <f>IF(D3564=1,COUNTIF($D$10:D3564,1)," ")</f>
        <v xml:space="preserve"> </v>
      </c>
      <c r="B3564" s="106">
        <f>COPY!AR3556</f>
        <v>0</v>
      </c>
      <c r="C3564" s="107">
        <f>COPY!AC3556</f>
        <v>0</v>
      </c>
      <c r="D3564" s="107" t="str">
        <f>IF(LEN(Table1722[[#This Row],[Uraian]])&gt;2,1," ")</f>
        <v xml:space="preserve"> </v>
      </c>
      <c r="E3564" s="113" t="str">
        <f>IF(Table1722[[#This Row],[Lawan Transaksi]]="CV AGUNG KARYA",COUNTIF($I$10:I3564,"CV AGUNG KARYA")," ")</f>
        <v xml:space="preserve"> </v>
      </c>
      <c r="F3564" s="107" t="str">
        <f>IF(LEN(Table1722[[#This Row],[Uraian]])&gt;2,TRIM(RIGHT(SUBSTITUTE(TRIM(C3564)," ",REPT(" ",255)),255))," ")</f>
        <v xml:space="preserve"> </v>
      </c>
      <c r="G3564" s="110">
        <f>COPY!Z3556</f>
        <v>0</v>
      </c>
      <c r="H3564" s="111" t="str">
        <f>IFERROR(VLOOKUP(Table1722[[#This Row],[Bukti]],'Un nOTA'!$A$4:$K$5003,10,FALSE),"")</f>
        <v/>
      </c>
      <c r="I3564" s="123" t="str">
        <f>IFERROR(VLOOKUP(Table1722[[#This Row],[Bukti]],Table13[#Data],11,FALSE),"")</f>
        <v/>
      </c>
    </row>
    <row r="3565" spans="1:9" hidden="1" x14ac:dyDescent="0.2">
      <c r="A3565" s="105" t="str">
        <f>IF(D3565=1,COUNTIF($D$10:D3565,1)," ")</f>
        <v xml:space="preserve"> </v>
      </c>
      <c r="B3565" s="106">
        <f>COPY!AR3557</f>
        <v>0</v>
      </c>
      <c r="C3565" s="107">
        <f>COPY!AC3557</f>
        <v>0</v>
      </c>
      <c r="D3565" s="107" t="str">
        <f>IF(LEN(Table1722[[#This Row],[Uraian]])&gt;2,1," ")</f>
        <v xml:space="preserve"> </v>
      </c>
      <c r="E3565" s="113" t="str">
        <f>IF(Table1722[[#This Row],[Lawan Transaksi]]="CV AGUNG KARYA",COUNTIF($I$10:I3565,"CV AGUNG KARYA")," ")</f>
        <v xml:space="preserve"> </v>
      </c>
      <c r="F3565" s="107" t="str">
        <f>IF(LEN(Table1722[[#This Row],[Uraian]])&gt;2,TRIM(RIGHT(SUBSTITUTE(TRIM(C3565)," ",REPT(" ",255)),255))," ")</f>
        <v xml:space="preserve"> </v>
      </c>
      <c r="G3565" s="110">
        <f>COPY!Z3557</f>
        <v>0</v>
      </c>
      <c r="H3565" s="111" t="str">
        <f>IFERROR(VLOOKUP(Table1722[[#This Row],[Bukti]],'Un nOTA'!$A$4:$K$5003,10,FALSE),"")</f>
        <v/>
      </c>
      <c r="I3565" s="123" t="str">
        <f>IFERROR(VLOOKUP(Table1722[[#This Row],[Bukti]],Table13[#Data],11,FALSE),"")</f>
        <v/>
      </c>
    </row>
    <row r="3566" spans="1:9" hidden="1" x14ac:dyDescent="0.2">
      <c r="A3566" s="105" t="str">
        <f>IF(D3566=1,COUNTIF($D$10:D3566,1)," ")</f>
        <v xml:space="preserve"> </v>
      </c>
      <c r="B3566" s="106">
        <f>COPY!AR3558</f>
        <v>0</v>
      </c>
      <c r="C3566" s="107">
        <f>COPY!AC3558</f>
        <v>0</v>
      </c>
      <c r="D3566" s="107" t="str">
        <f>IF(LEN(Table1722[[#This Row],[Uraian]])&gt;2,1," ")</f>
        <v xml:space="preserve"> </v>
      </c>
      <c r="E3566" s="113" t="str">
        <f>IF(Table1722[[#This Row],[Lawan Transaksi]]="CV AGUNG KARYA",COUNTIF($I$10:I3566,"CV AGUNG KARYA")," ")</f>
        <v xml:space="preserve"> </v>
      </c>
      <c r="F3566" s="107" t="str">
        <f>IF(LEN(Table1722[[#This Row],[Uraian]])&gt;2,TRIM(RIGHT(SUBSTITUTE(TRIM(C3566)," ",REPT(" ",255)),255))," ")</f>
        <v xml:space="preserve"> </v>
      </c>
      <c r="G3566" s="110">
        <f>COPY!Z3558</f>
        <v>0</v>
      </c>
      <c r="H3566" s="111" t="str">
        <f>IFERROR(VLOOKUP(Table1722[[#This Row],[Bukti]],'Un nOTA'!$A$4:$K$5003,10,FALSE),"")</f>
        <v/>
      </c>
      <c r="I3566" s="123" t="str">
        <f>IFERROR(VLOOKUP(Table1722[[#This Row],[Bukti]],Table13[#Data],11,FALSE),"")</f>
        <v/>
      </c>
    </row>
    <row r="3567" spans="1:9" hidden="1" x14ac:dyDescent="0.2">
      <c r="A3567" s="105" t="str">
        <f>IF(D3567=1,COUNTIF($D$10:D3567,1)," ")</f>
        <v xml:space="preserve"> </v>
      </c>
      <c r="B3567" s="106">
        <f>COPY!AR3559</f>
        <v>0</v>
      </c>
      <c r="C3567" s="107">
        <f>COPY!AC3559</f>
        <v>0</v>
      </c>
      <c r="D3567" s="107" t="str">
        <f>IF(LEN(Table1722[[#This Row],[Uraian]])&gt;2,1," ")</f>
        <v xml:space="preserve"> </v>
      </c>
      <c r="E3567" s="113" t="str">
        <f>IF(Table1722[[#This Row],[Lawan Transaksi]]="CV AGUNG KARYA",COUNTIF($I$10:I3567,"CV AGUNG KARYA")," ")</f>
        <v xml:space="preserve"> </v>
      </c>
      <c r="F3567" s="107" t="str">
        <f>IF(LEN(Table1722[[#This Row],[Uraian]])&gt;2,TRIM(RIGHT(SUBSTITUTE(TRIM(C3567)," ",REPT(" ",255)),255))," ")</f>
        <v xml:space="preserve"> </v>
      </c>
      <c r="G3567" s="110">
        <f>COPY!Z3559</f>
        <v>0</v>
      </c>
      <c r="H3567" s="111" t="str">
        <f>IFERROR(VLOOKUP(Table1722[[#This Row],[Bukti]],'Un nOTA'!$A$4:$K$5003,10,FALSE),"")</f>
        <v/>
      </c>
      <c r="I3567" s="123" t="str">
        <f>IFERROR(VLOOKUP(Table1722[[#This Row],[Bukti]],Table13[#Data],11,FALSE),"")</f>
        <v/>
      </c>
    </row>
    <row r="3568" spans="1:9" hidden="1" x14ac:dyDescent="0.2">
      <c r="A3568" s="105" t="str">
        <f>IF(D3568=1,COUNTIF($D$10:D3568,1)," ")</f>
        <v xml:space="preserve"> </v>
      </c>
      <c r="B3568" s="106">
        <f>COPY!AR3560</f>
        <v>0</v>
      </c>
      <c r="C3568" s="107">
        <f>COPY!AC3560</f>
        <v>0</v>
      </c>
      <c r="D3568" s="107" t="str">
        <f>IF(LEN(Table1722[[#This Row],[Uraian]])&gt;2,1," ")</f>
        <v xml:space="preserve"> </v>
      </c>
      <c r="E3568" s="113" t="str">
        <f>IF(Table1722[[#This Row],[Lawan Transaksi]]="CV AGUNG KARYA",COUNTIF($I$10:I3568,"CV AGUNG KARYA")," ")</f>
        <v xml:space="preserve"> </v>
      </c>
      <c r="F3568" s="107" t="str">
        <f>IF(LEN(Table1722[[#This Row],[Uraian]])&gt;2,TRIM(RIGHT(SUBSTITUTE(TRIM(C3568)," ",REPT(" ",255)),255))," ")</f>
        <v xml:space="preserve"> </v>
      </c>
      <c r="G3568" s="110">
        <f>COPY!Z3560</f>
        <v>0</v>
      </c>
      <c r="H3568" s="111" t="str">
        <f>IFERROR(VLOOKUP(Table1722[[#This Row],[Bukti]],'Un nOTA'!$A$4:$K$5003,10,FALSE),"")</f>
        <v/>
      </c>
      <c r="I3568" s="123" t="str">
        <f>IFERROR(VLOOKUP(Table1722[[#This Row],[Bukti]],Table13[#Data],11,FALSE),"")</f>
        <v/>
      </c>
    </row>
    <row r="3569" spans="1:9" hidden="1" x14ac:dyDescent="0.2">
      <c r="A3569" s="105" t="str">
        <f>IF(D3569=1,COUNTIF($D$10:D3569,1)," ")</f>
        <v xml:space="preserve"> </v>
      </c>
      <c r="B3569" s="106">
        <f>COPY!AR3561</f>
        <v>0</v>
      </c>
      <c r="C3569" s="107">
        <f>COPY!AC3561</f>
        <v>0</v>
      </c>
      <c r="D3569" s="107" t="str">
        <f>IF(LEN(Table1722[[#This Row],[Uraian]])&gt;2,1," ")</f>
        <v xml:space="preserve"> </v>
      </c>
      <c r="E3569" s="113" t="str">
        <f>IF(Table1722[[#This Row],[Lawan Transaksi]]="CV AGUNG KARYA",COUNTIF($I$10:I3569,"CV AGUNG KARYA")," ")</f>
        <v xml:space="preserve"> </v>
      </c>
      <c r="F3569" s="107" t="str">
        <f>IF(LEN(Table1722[[#This Row],[Uraian]])&gt;2,TRIM(RIGHT(SUBSTITUTE(TRIM(C3569)," ",REPT(" ",255)),255))," ")</f>
        <v xml:space="preserve"> </v>
      </c>
      <c r="G3569" s="110">
        <f>COPY!Z3561</f>
        <v>0</v>
      </c>
      <c r="H3569" s="111" t="str">
        <f>IFERROR(VLOOKUP(Table1722[[#This Row],[Bukti]],'Un nOTA'!$A$4:$K$5003,10,FALSE),"")</f>
        <v/>
      </c>
      <c r="I3569" s="123" t="str">
        <f>IFERROR(VLOOKUP(Table1722[[#This Row],[Bukti]],Table13[#Data],11,FALSE),"")</f>
        <v/>
      </c>
    </row>
    <row r="3570" spans="1:9" hidden="1" x14ac:dyDescent="0.2">
      <c r="A3570" s="105" t="str">
        <f>IF(D3570=1,COUNTIF($D$10:D3570,1)," ")</f>
        <v xml:space="preserve"> </v>
      </c>
      <c r="B3570" s="106">
        <f>COPY!AR3562</f>
        <v>0</v>
      </c>
      <c r="C3570" s="107">
        <f>COPY!AC3562</f>
        <v>0</v>
      </c>
      <c r="D3570" s="107" t="str">
        <f>IF(LEN(Table1722[[#This Row],[Uraian]])&gt;2,1," ")</f>
        <v xml:space="preserve"> </v>
      </c>
      <c r="E3570" s="113" t="str">
        <f>IF(Table1722[[#This Row],[Lawan Transaksi]]="CV AGUNG KARYA",COUNTIF($I$10:I3570,"CV AGUNG KARYA")," ")</f>
        <v xml:space="preserve"> </v>
      </c>
      <c r="F3570" s="107" t="str">
        <f>IF(LEN(Table1722[[#This Row],[Uraian]])&gt;2,TRIM(RIGHT(SUBSTITUTE(TRIM(C3570)," ",REPT(" ",255)),255))," ")</f>
        <v xml:space="preserve"> </v>
      </c>
      <c r="G3570" s="110">
        <f>COPY!Z3562</f>
        <v>0</v>
      </c>
      <c r="H3570" s="111" t="str">
        <f>IFERROR(VLOOKUP(Table1722[[#This Row],[Bukti]],'Un nOTA'!$A$4:$K$5003,10,FALSE),"")</f>
        <v/>
      </c>
      <c r="I3570" s="123" t="str">
        <f>IFERROR(VLOOKUP(Table1722[[#This Row],[Bukti]],Table13[#Data],11,FALSE),"")</f>
        <v/>
      </c>
    </row>
    <row r="3571" spans="1:9" hidden="1" x14ac:dyDescent="0.2">
      <c r="A3571" s="105" t="str">
        <f>IF(D3571=1,COUNTIF($D$10:D3571,1)," ")</f>
        <v xml:space="preserve"> </v>
      </c>
      <c r="B3571" s="106">
        <f>COPY!AR3563</f>
        <v>0</v>
      </c>
      <c r="C3571" s="107">
        <f>COPY!AC3563</f>
        <v>0</v>
      </c>
      <c r="D3571" s="107" t="str">
        <f>IF(LEN(Table1722[[#This Row],[Uraian]])&gt;2,1," ")</f>
        <v xml:space="preserve"> </v>
      </c>
      <c r="E3571" s="113" t="str">
        <f>IF(Table1722[[#This Row],[Lawan Transaksi]]="CV AGUNG KARYA",COUNTIF($I$10:I3571,"CV AGUNG KARYA")," ")</f>
        <v xml:space="preserve"> </v>
      </c>
      <c r="F3571" s="107" t="str">
        <f>IF(LEN(Table1722[[#This Row],[Uraian]])&gt;2,TRIM(RIGHT(SUBSTITUTE(TRIM(C3571)," ",REPT(" ",255)),255))," ")</f>
        <v xml:space="preserve"> </v>
      </c>
      <c r="G3571" s="110">
        <f>COPY!Z3563</f>
        <v>0</v>
      </c>
      <c r="H3571" s="111" t="str">
        <f>IFERROR(VLOOKUP(Table1722[[#This Row],[Bukti]],'Un nOTA'!$A$4:$K$5003,10,FALSE),"")</f>
        <v/>
      </c>
      <c r="I3571" s="123" t="str">
        <f>IFERROR(VLOOKUP(Table1722[[#This Row],[Bukti]],Table13[#Data],11,FALSE),"")</f>
        <v/>
      </c>
    </row>
    <row r="3572" spans="1:9" hidden="1" x14ac:dyDescent="0.2">
      <c r="A3572" s="105" t="str">
        <f>IF(D3572=1,COUNTIF($D$10:D3572,1)," ")</f>
        <v xml:space="preserve"> </v>
      </c>
      <c r="B3572" s="106">
        <f>COPY!AR3564</f>
        <v>0</v>
      </c>
      <c r="C3572" s="107">
        <f>COPY!AC3564</f>
        <v>0</v>
      </c>
      <c r="D3572" s="107" t="str">
        <f>IF(LEN(Table1722[[#This Row],[Uraian]])&gt;2,1," ")</f>
        <v xml:space="preserve"> </v>
      </c>
      <c r="E3572" s="113" t="str">
        <f>IF(Table1722[[#This Row],[Lawan Transaksi]]="CV AGUNG KARYA",COUNTIF($I$10:I3572,"CV AGUNG KARYA")," ")</f>
        <v xml:space="preserve"> </v>
      </c>
      <c r="F3572" s="107" t="str">
        <f>IF(LEN(Table1722[[#This Row],[Uraian]])&gt;2,TRIM(RIGHT(SUBSTITUTE(TRIM(C3572)," ",REPT(" ",255)),255))," ")</f>
        <v xml:space="preserve"> </v>
      </c>
      <c r="G3572" s="110">
        <f>COPY!Z3564</f>
        <v>0</v>
      </c>
      <c r="H3572" s="111" t="str">
        <f>IFERROR(VLOOKUP(Table1722[[#This Row],[Bukti]],'Un nOTA'!$A$4:$K$5003,10,FALSE),"")</f>
        <v/>
      </c>
      <c r="I3572" s="123" t="str">
        <f>IFERROR(VLOOKUP(Table1722[[#This Row],[Bukti]],Table13[#Data],11,FALSE),"")</f>
        <v/>
      </c>
    </row>
    <row r="3573" spans="1:9" hidden="1" x14ac:dyDescent="0.2">
      <c r="A3573" s="105" t="str">
        <f>IF(D3573=1,COUNTIF($D$10:D3573,1)," ")</f>
        <v xml:space="preserve"> </v>
      </c>
      <c r="B3573" s="106">
        <f>COPY!AR3565</f>
        <v>0</v>
      </c>
      <c r="C3573" s="107">
        <f>COPY!AC3565</f>
        <v>0</v>
      </c>
      <c r="D3573" s="107" t="str">
        <f>IF(LEN(Table1722[[#This Row],[Uraian]])&gt;2,1," ")</f>
        <v xml:space="preserve"> </v>
      </c>
      <c r="E3573" s="113" t="str">
        <f>IF(Table1722[[#This Row],[Lawan Transaksi]]="CV AGUNG KARYA",COUNTIF($I$10:I3573,"CV AGUNG KARYA")," ")</f>
        <v xml:space="preserve"> </v>
      </c>
      <c r="F3573" s="107" t="str">
        <f>IF(LEN(Table1722[[#This Row],[Uraian]])&gt;2,TRIM(RIGHT(SUBSTITUTE(TRIM(C3573)," ",REPT(" ",255)),255))," ")</f>
        <v xml:space="preserve"> </v>
      </c>
      <c r="G3573" s="110">
        <f>COPY!Z3565</f>
        <v>0</v>
      </c>
      <c r="H3573" s="111" t="str">
        <f>IFERROR(VLOOKUP(Table1722[[#This Row],[Bukti]],'Un nOTA'!$A$4:$K$5003,10,FALSE),"")</f>
        <v/>
      </c>
      <c r="I3573" s="123" t="str">
        <f>IFERROR(VLOOKUP(Table1722[[#This Row],[Bukti]],Table13[#Data],11,FALSE),"")</f>
        <v/>
      </c>
    </row>
    <row r="3574" spans="1:9" hidden="1" x14ac:dyDescent="0.2">
      <c r="A3574" s="105" t="str">
        <f>IF(D3574=1,COUNTIF($D$10:D3574,1)," ")</f>
        <v xml:space="preserve"> </v>
      </c>
      <c r="B3574" s="106">
        <f>COPY!AR3566</f>
        <v>0</v>
      </c>
      <c r="C3574" s="107">
        <f>COPY!AC3566</f>
        <v>0</v>
      </c>
      <c r="D3574" s="107" t="str">
        <f>IF(LEN(Table1722[[#This Row],[Uraian]])&gt;2,1," ")</f>
        <v xml:space="preserve"> </v>
      </c>
      <c r="E3574" s="113" t="str">
        <f>IF(Table1722[[#This Row],[Lawan Transaksi]]="CV AGUNG KARYA",COUNTIF($I$10:I3574,"CV AGUNG KARYA")," ")</f>
        <v xml:space="preserve"> </v>
      </c>
      <c r="F3574" s="107" t="str">
        <f>IF(LEN(Table1722[[#This Row],[Uraian]])&gt;2,TRIM(RIGHT(SUBSTITUTE(TRIM(C3574)," ",REPT(" ",255)),255))," ")</f>
        <v xml:space="preserve"> </v>
      </c>
      <c r="G3574" s="110">
        <f>COPY!Z3566</f>
        <v>0</v>
      </c>
      <c r="H3574" s="111" t="str">
        <f>IFERROR(VLOOKUP(Table1722[[#This Row],[Bukti]],'Un nOTA'!$A$4:$K$5003,10,FALSE),"")</f>
        <v/>
      </c>
      <c r="I3574" s="123" t="str">
        <f>IFERROR(VLOOKUP(Table1722[[#This Row],[Bukti]],Table13[#Data],11,FALSE),"")</f>
        <v/>
      </c>
    </row>
    <row r="3575" spans="1:9" hidden="1" x14ac:dyDescent="0.2">
      <c r="A3575" s="105" t="str">
        <f>IF(D3575=1,COUNTIF($D$10:D3575,1)," ")</f>
        <v xml:space="preserve"> </v>
      </c>
      <c r="B3575" s="106">
        <f>COPY!AR3567</f>
        <v>0</v>
      </c>
      <c r="C3575" s="107">
        <f>COPY!AC3567</f>
        <v>0</v>
      </c>
      <c r="D3575" s="107" t="str">
        <f>IF(LEN(Table1722[[#This Row],[Uraian]])&gt;2,1," ")</f>
        <v xml:space="preserve"> </v>
      </c>
      <c r="E3575" s="113" t="str">
        <f>IF(Table1722[[#This Row],[Lawan Transaksi]]="CV AGUNG KARYA",COUNTIF($I$10:I3575,"CV AGUNG KARYA")," ")</f>
        <v xml:space="preserve"> </v>
      </c>
      <c r="F3575" s="107" t="str">
        <f>IF(LEN(Table1722[[#This Row],[Uraian]])&gt;2,TRIM(RIGHT(SUBSTITUTE(TRIM(C3575)," ",REPT(" ",255)),255))," ")</f>
        <v xml:space="preserve"> </v>
      </c>
      <c r="G3575" s="110">
        <f>COPY!Z3567</f>
        <v>0</v>
      </c>
      <c r="H3575" s="111" t="str">
        <f>IFERROR(VLOOKUP(Table1722[[#This Row],[Bukti]],'Un nOTA'!$A$4:$K$5003,10,FALSE),"")</f>
        <v/>
      </c>
      <c r="I3575" s="123" t="str">
        <f>IFERROR(VLOOKUP(Table1722[[#This Row],[Bukti]],Table13[#Data],11,FALSE),"")</f>
        <v/>
      </c>
    </row>
    <row r="3576" spans="1:9" hidden="1" x14ac:dyDescent="0.2">
      <c r="A3576" s="105" t="str">
        <f>IF(D3576=1,COUNTIF($D$10:D3576,1)," ")</f>
        <v xml:space="preserve"> </v>
      </c>
      <c r="B3576" s="106">
        <f>COPY!AR3568</f>
        <v>0</v>
      </c>
      <c r="C3576" s="107">
        <f>COPY!AC3568</f>
        <v>0</v>
      </c>
      <c r="D3576" s="107" t="str">
        <f>IF(LEN(Table1722[[#This Row],[Uraian]])&gt;2,1," ")</f>
        <v xml:space="preserve"> </v>
      </c>
      <c r="E3576" s="113" t="str">
        <f>IF(Table1722[[#This Row],[Lawan Transaksi]]="CV AGUNG KARYA",COUNTIF($I$10:I3576,"CV AGUNG KARYA")," ")</f>
        <v xml:space="preserve"> </v>
      </c>
      <c r="F3576" s="107" t="str">
        <f>IF(LEN(Table1722[[#This Row],[Uraian]])&gt;2,TRIM(RIGHT(SUBSTITUTE(TRIM(C3576)," ",REPT(" ",255)),255))," ")</f>
        <v xml:space="preserve"> </v>
      </c>
      <c r="G3576" s="110">
        <f>COPY!Z3568</f>
        <v>0</v>
      </c>
      <c r="H3576" s="111" t="str">
        <f>IFERROR(VLOOKUP(Table1722[[#This Row],[Bukti]],'Un nOTA'!$A$4:$K$5003,10,FALSE),"")</f>
        <v/>
      </c>
      <c r="I3576" s="123" t="str">
        <f>IFERROR(VLOOKUP(Table1722[[#This Row],[Bukti]],Table13[#Data],11,FALSE),"")</f>
        <v/>
      </c>
    </row>
    <row r="3577" spans="1:9" hidden="1" x14ac:dyDescent="0.2">
      <c r="A3577" s="105" t="str">
        <f>IF(D3577=1,COUNTIF($D$10:D3577,1)," ")</f>
        <v xml:space="preserve"> </v>
      </c>
      <c r="B3577" s="106">
        <f>COPY!AR3569</f>
        <v>0</v>
      </c>
      <c r="C3577" s="107">
        <f>COPY!AC3569</f>
        <v>0</v>
      </c>
      <c r="D3577" s="107" t="str">
        <f>IF(LEN(Table1722[[#This Row],[Uraian]])&gt;2,1," ")</f>
        <v xml:space="preserve"> </v>
      </c>
      <c r="E3577" s="113" t="str">
        <f>IF(Table1722[[#This Row],[Lawan Transaksi]]="CV AGUNG KARYA",COUNTIF($I$10:I3577,"CV AGUNG KARYA")," ")</f>
        <v xml:space="preserve"> </v>
      </c>
      <c r="F3577" s="107" t="str">
        <f>IF(LEN(Table1722[[#This Row],[Uraian]])&gt;2,TRIM(RIGHT(SUBSTITUTE(TRIM(C3577)," ",REPT(" ",255)),255))," ")</f>
        <v xml:space="preserve"> </v>
      </c>
      <c r="G3577" s="110">
        <f>COPY!Z3569</f>
        <v>0</v>
      </c>
      <c r="H3577" s="111" t="str">
        <f>IFERROR(VLOOKUP(Table1722[[#This Row],[Bukti]],'Un nOTA'!$A$4:$K$5003,10,FALSE),"")</f>
        <v/>
      </c>
      <c r="I3577" s="123" t="str">
        <f>IFERROR(VLOOKUP(Table1722[[#This Row],[Bukti]],Table13[#Data],11,FALSE),"")</f>
        <v/>
      </c>
    </row>
    <row r="3578" spans="1:9" hidden="1" x14ac:dyDescent="0.2">
      <c r="A3578" s="105" t="str">
        <f>IF(D3578=1,COUNTIF($D$10:D3578,1)," ")</f>
        <v xml:space="preserve"> </v>
      </c>
      <c r="B3578" s="106">
        <f>COPY!AR3570</f>
        <v>0</v>
      </c>
      <c r="C3578" s="107">
        <f>COPY!AC3570</f>
        <v>0</v>
      </c>
      <c r="D3578" s="107" t="str">
        <f>IF(LEN(Table1722[[#This Row],[Uraian]])&gt;2,1," ")</f>
        <v xml:space="preserve"> </v>
      </c>
      <c r="E3578" s="113" t="str">
        <f>IF(Table1722[[#This Row],[Lawan Transaksi]]="CV AGUNG KARYA",COUNTIF($I$10:I3578,"CV AGUNG KARYA")," ")</f>
        <v xml:space="preserve"> </v>
      </c>
      <c r="F3578" s="107" t="str">
        <f>IF(LEN(Table1722[[#This Row],[Uraian]])&gt;2,TRIM(RIGHT(SUBSTITUTE(TRIM(C3578)," ",REPT(" ",255)),255))," ")</f>
        <v xml:space="preserve"> </v>
      </c>
      <c r="G3578" s="110">
        <f>COPY!Z3570</f>
        <v>0</v>
      </c>
      <c r="H3578" s="111" t="str">
        <f>IFERROR(VLOOKUP(Table1722[[#This Row],[Bukti]],'Un nOTA'!$A$4:$K$5003,10,FALSE),"")</f>
        <v/>
      </c>
      <c r="I3578" s="123" t="str">
        <f>IFERROR(VLOOKUP(Table1722[[#This Row],[Bukti]],Table13[#Data],11,FALSE),"")</f>
        <v/>
      </c>
    </row>
    <row r="3579" spans="1:9" hidden="1" x14ac:dyDescent="0.2">
      <c r="A3579" s="105" t="str">
        <f>IF(D3579=1,COUNTIF($D$10:D3579,1)," ")</f>
        <v xml:space="preserve"> </v>
      </c>
      <c r="B3579" s="106">
        <f>COPY!AR3571</f>
        <v>0</v>
      </c>
      <c r="C3579" s="107">
        <f>COPY!AC3571</f>
        <v>0</v>
      </c>
      <c r="D3579" s="107" t="str">
        <f>IF(LEN(Table1722[[#This Row],[Uraian]])&gt;2,1," ")</f>
        <v xml:space="preserve"> </v>
      </c>
      <c r="E3579" s="113" t="str">
        <f>IF(Table1722[[#This Row],[Lawan Transaksi]]="CV AGUNG KARYA",COUNTIF($I$10:I3579,"CV AGUNG KARYA")," ")</f>
        <v xml:space="preserve"> </v>
      </c>
      <c r="F3579" s="107" t="str">
        <f>IF(LEN(Table1722[[#This Row],[Uraian]])&gt;2,TRIM(RIGHT(SUBSTITUTE(TRIM(C3579)," ",REPT(" ",255)),255))," ")</f>
        <v xml:space="preserve"> </v>
      </c>
      <c r="G3579" s="110">
        <f>COPY!Z3571</f>
        <v>0</v>
      </c>
      <c r="H3579" s="111" t="str">
        <f>IFERROR(VLOOKUP(Table1722[[#This Row],[Bukti]],'Un nOTA'!$A$4:$K$5003,10,FALSE),"")</f>
        <v/>
      </c>
      <c r="I3579" s="123" t="str">
        <f>IFERROR(VLOOKUP(Table1722[[#This Row],[Bukti]],Table13[#Data],11,FALSE),"")</f>
        <v/>
      </c>
    </row>
    <row r="3580" spans="1:9" hidden="1" x14ac:dyDescent="0.2">
      <c r="A3580" s="105" t="str">
        <f>IF(D3580=1,COUNTIF($D$10:D3580,1)," ")</f>
        <v xml:space="preserve"> </v>
      </c>
      <c r="B3580" s="106">
        <f>COPY!AR3572</f>
        <v>0</v>
      </c>
      <c r="C3580" s="107">
        <f>COPY!AC3572</f>
        <v>0</v>
      </c>
      <c r="D3580" s="107" t="str">
        <f>IF(LEN(Table1722[[#This Row],[Uraian]])&gt;2,1," ")</f>
        <v xml:space="preserve"> </v>
      </c>
      <c r="E3580" s="113" t="str">
        <f>IF(Table1722[[#This Row],[Lawan Transaksi]]="CV AGUNG KARYA",COUNTIF($I$10:I3580,"CV AGUNG KARYA")," ")</f>
        <v xml:space="preserve"> </v>
      </c>
      <c r="F3580" s="107" t="str">
        <f>IF(LEN(Table1722[[#This Row],[Uraian]])&gt;2,TRIM(RIGHT(SUBSTITUTE(TRIM(C3580)," ",REPT(" ",255)),255))," ")</f>
        <v xml:space="preserve"> </v>
      </c>
      <c r="G3580" s="110">
        <f>COPY!Z3572</f>
        <v>0</v>
      </c>
      <c r="H3580" s="111" t="str">
        <f>IFERROR(VLOOKUP(Table1722[[#This Row],[Bukti]],'Un nOTA'!$A$4:$K$5003,10,FALSE),"")</f>
        <v/>
      </c>
      <c r="I3580" s="123" t="str">
        <f>IFERROR(VLOOKUP(Table1722[[#This Row],[Bukti]],Table13[#Data],11,FALSE),"")</f>
        <v/>
      </c>
    </row>
    <row r="3581" spans="1:9" hidden="1" x14ac:dyDescent="0.2">
      <c r="A3581" s="105" t="str">
        <f>IF(D3581=1,COUNTIF($D$10:D3581,1)," ")</f>
        <v xml:space="preserve"> </v>
      </c>
      <c r="B3581" s="106">
        <f>COPY!AR3573</f>
        <v>0</v>
      </c>
      <c r="C3581" s="107">
        <f>COPY!AC3573</f>
        <v>0</v>
      </c>
      <c r="D3581" s="107" t="str">
        <f>IF(LEN(Table1722[[#This Row],[Uraian]])&gt;2,1," ")</f>
        <v xml:space="preserve"> </v>
      </c>
      <c r="E3581" s="113" t="str">
        <f>IF(Table1722[[#This Row],[Lawan Transaksi]]="CV AGUNG KARYA",COUNTIF($I$10:I3581,"CV AGUNG KARYA")," ")</f>
        <v xml:space="preserve"> </v>
      </c>
      <c r="F3581" s="107" t="str">
        <f>IF(LEN(Table1722[[#This Row],[Uraian]])&gt;2,TRIM(RIGHT(SUBSTITUTE(TRIM(C3581)," ",REPT(" ",255)),255))," ")</f>
        <v xml:space="preserve"> </v>
      </c>
      <c r="G3581" s="110">
        <f>COPY!Z3573</f>
        <v>0</v>
      </c>
      <c r="H3581" s="111" t="str">
        <f>IFERROR(VLOOKUP(Table1722[[#This Row],[Bukti]],'Un nOTA'!$A$4:$K$5003,10,FALSE),"")</f>
        <v/>
      </c>
      <c r="I3581" s="123" t="str">
        <f>IFERROR(VLOOKUP(Table1722[[#This Row],[Bukti]],Table13[#Data],11,FALSE),"")</f>
        <v/>
      </c>
    </row>
    <row r="3582" spans="1:9" hidden="1" x14ac:dyDescent="0.2">
      <c r="A3582" s="105" t="str">
        <f>IF(D3582=1,COUNTIF($D$10:D3582,1)," ")</f>
        <v xml:space="preserve"> </v>
      </c>
      <c r="B3582" s="106">
        <f>COPY!AR3574</f>
        <v>0</v>
      </c>
      <c r="C3582" s="107">
        <f>COPY!AC3574</f>
        <v>0</v>
      </c>
      <c r="D3582" s="107" t="str">
        <f>IF(LEN(Table1722[[#This Row],[Uraian]])&gt;2,1," ")</f>
        <v xml:space="preserve"> </v>
      </c>
      <c r="E3582" s="113" t="str">
        <f>IF(Table1722[[#This Row],[Lawan Transaksi]]="CV AGUNG KARYA",COUNTIF($I$10:I3582,"CV AGUNG KARYA")," ")</f>
        <v xml:space="preserve"> </v>
      </c>
      <c r="F3582" s="107" t="str">
        <f>IF(LEN(Table1722[[#This Row],[Uraian]])&gt;2,TRIM(RIGHT(SUBSTITUTE(TRIM(C3582)," ",REPT(" ",255)),255))," ")</f>
        <v xml:space="preserve"> </v>
      </c>
      <c r="G3582" s="110">
        <f>COPY!Z3574</f>
        <v>0</v>
      </c>
      <c r="H3582" s="111" t="str">
        <f>IFERROR(VLOOKUP(Table1722[[#This Row],[Bukti]],'Un nOTA'!$A$4:$K$5003,10,FALSE),"")</f>
        <v/>
      </c>
      <c r="I3582" s="123" t="str">
        <f>IFERROR(VLOOKUP(Table1722[[#This Row],[Bukti]],Table13[#Data],11,FALSE),"")</f>
        <v/>
      </c>
    </row>
    <row r="3583" spans="1:9" hidden="1" x14ac:dyDescent="0.2">
      <c r="A3583" s="105" t="str">
        <f>IF(D3583=1,COUNTIF($D$10:D3583,1)," ")</f>
        <v xml:space="preserve"> </v>
      </c>
      <c r="B3583" s="106">
        <f>COPY!AR3575</f>
        <v>0</v>
      </c>
      <c r="C3583" s="107">
        <f>COPY!AC3575</f>
        <v>0</v>
      </c>
      <c r="D3583" s="107" t="str">
        <f>IF(LEN(Table1722[[#This Row],[Uraian]])&gt;2,1," ")</f>
        <v xml:space="preserve"> </v>
      </c>
      <c r="E3583" s="113" t="str">
        <f>IF(Table1722[[#This Row],[Lawan Transaksi]]="CV AGUNG KARYA",COUNTIF($I$10:I3583,"CV AGUNG KARYA")," ")</f>
        <v xml:space="preserve"> </v>
      </c>
      <c r="F3583" s="107" t="str">
        <f>IF(LEN(Table1722[[#This Row],[Uraian]])&gt;2,TRIM(RIGHT(SUBSTITUTE(TRIM(C3583)," ",REPT(" ",255)),255))," ")</f>
        <v xml:space="preserve"> </v>
      </c>
      <c r="G3583" s="110">
        <f>COPY!Z3575</f>
        <v>0</v>
      </c>
      <c r="H3583" s="111" t="str">
        <f>IFERROR(VLOOKUP(Table1722[[#This Row],[Bukti]],'Un nOTA'!$A$4:$K$5003,10,FALSE),"")</f>
        <v/>
      </c>
      <c r="I3583" s="123" t="str">
        <f>IFERROR(VLOOKUP(Table1722[[#This Row],[Bukti]],Table13[#Data],11,FALSE),"")</f>
        <v/>
      </c>
    </row>
    <row r="3584" spans="1:9" hidden="1" x14ac:dyDescent="0.2">
      <c r="A3584" s="105" t="str">
        <f>IF(D3584=1,COUNTIF($D$10:D3584,1)," ")</f>
        <v xml:space="preserve"> </v>
      </c>
      <c r="B3584" s="106">
        <f>COPY!AR3576</f>
        <v>0</v>
      </c>
      <c r="C3584" s="107">
        <f>COPY!AC3576</f>
        <v>0</v>
      </c>
      <c r="D3584" s="107" t="str">
        <f>IF(LEN(Table1722[[#This Row],[Uraian]])&gt;2,1," ")</f>
        <v xml:space="preserve"> </v>
      </c>
      <c r="E3584" s="113" t="str">
        <f>IF(Table1722[[#This Row],[Lawan Transaksi]]="CV AGUNG KARYA",COUNTIF($I$10:I3584,"CV AGUNG KARYA")," ")</f>
        <v xml:space="preserve"> </v>
      </c>
      <c r="F3584" s="107" t="str">
        <f>IF(LEN(Table1722[[#This Row],[Uraian]])&gt;2,TRIM(RIGHT(SUBSTITUTE(TRIM(C3584)," ",REPT(" ",255)),255))," ")</f>
        <v xml:space="preserve"> </v>
      </c>
      <c r="G3584" s="110">
        <f>COPY!Z3576</f>
        <v>0</v>
      </c>
      <c r="H3584" s="111" t="str">
        <f>IFERROR(VLOOKUP(Table1722[[#This Row],[Bukti]],'Un nOTA'!$A$4:$K$5003,10,FALSE),"")</f>
        <v/>
      </c>
      <c r="I3584" s="123" t="str">
        <f>IFERROR(VLOOKUP(Table1722[[#This Row],[Bukti]],Table13[#Data],11,FALSE),"")</f>
        <v/>
      </c>
    </row>
    <row r="3585" spans="1:9" hidden="1" x14ac:dyDescent="0.2">
      <c r="A3585" s="105" t="str">
        <f>IF(D3585=1,COUNTIF($D$10:D3585,1)," ")</f>
        <v xml:space="preserve"> </v>
      </c>
      <c r="B3585" s="106">
        <f>COPY!AR3577</f>
        <v>0</v>
      </c>
      <c r="C3585" s="107">
        <f>COPY!AC3577</f>
        <v>0</v>
      </c>
      <c r="D3585" s="107" t="str">
        <f>IF(LEN(Table1722[[#This Row],[Uraian]])&gt;2,1," ")</f>
        <v xml:space="preserve"> </v>
      </c>
      <c r="E3585" s="113" t="str">
        <f>IF(Table1722[[#This Row],[Lawan Transaksi]]="CV AGUNG KARYA",COUNTIF($I$10:I3585,"CV AGUNG KARYA")," ")</f>
        <v xml:space="preserve"> </v>
      </c>
      <c r="F3585" s="107" t="str">
        <f>IF(LEN(Table1722[[#This Row],[Uraian]])&gt;2,TRIM(RIGHT(SUBSTITUTE(TRIM(C3585)," ",REPT(" ",255)),255))," ")</f>
        <v xml:space="preserve"> </v>
      </c>
      <c r="G3585" s="110">
        <f>COPY!Z3577</f>
        <v>0</v>
      </c>
      <c r="H3585" s="111" t="str">
        <f>IFERROR(VLOOKUP(Table1722[[#This Row],[Bukti]],'Un nOTA'!$A$4:$K$5003,10,FALSE),"")</f>
        <v/>
      </c>
      <c r="I3585" s="123" t="str">
        <f>IFERROR(VLOOKUP(Table1722[[#This Row],[Bukti]],Table13[#Data],11,FALSE),"")</f>
        <v/>
      </c>
    </row>
    <row r="3586" spans="1:9" hidden="1" x14ac:dyDescent="0.2">
      <c r="A3586" s="105" t="str">
        <f>IF(D3586=1,COUNTIF($D$10:D3586,1)," ")</f>
        <v xml:space="preserve"> </v>
      </c>
      <c r="B3586" s="106">
        <f>COPY!AR3578</f>
        <v>0</v>
      </c>
      <c r="C3586" s="107">
        <f>COPY!AC3578</f>
        <v>0</v>
      </c>
      <c r="D3586" s="107" t="str">
        <f>IF(LEN(Table1722[[#This Row],[Uraian]])&gt;2,1," ")</f>
        <v xml:space="preserve"> </v>
      </c>
      <c r="E3586" s="113" t="str">
        <f>IF(Table1722[[#This Row],[Lawan Transaksi]]="CV AGUNG KARYA",COUNTIF($I$10:I3586,"CV AGUNG KARYA")," ")</f>
        <v xml:space="preserve"> </v>
      </c>
      <c r="F3586" s="107" t="str">
        <f>IF(LEN(Table1722[[#This Row],[Uraian]])&gt;2,TRIM(RIGHT(SUBSTITUTE(TRIM(C3586)," ",REPT(" ",255)),255))," ")</f>
        <v xml:space="preserve"> </v>
      </c>
      <c r="G3586" s="110">
        <f>COPY!Z3578</f>
        <v>0</v>
      </c>
      <c r="H3586" s="111" t="str">
        <f>IFERROR(VLOOKUP(Table1722[[#This Row],[Bukti]],'Un nOTA'!$A$4:$K$5003,10,FALSE),"")</f>
        <v/>
      </c>
      <c r="I3586" s="123" t="str">
        <f>IFERROR(VLOOKUP(Table1722[[#This Row],[Bukti]],Table13[#Data],11,FALSE),"")</f>
        <v/>
      </c>
    </row>
    <row r="3587" spans="1:9" hidden="1" x14ac:dyDescent="0.2">
      <c r="A3587" s="105" t="str">
        <f>IF(D3587=1,COUNTIF($D$10:D3587,1)," ")</f>
        <v xml:space="preserve"> </v>
      </c>
      <c r="B3587" s="106">
        <f>COPY!AR3579</f>
        <v>0</v>
      </c>
      <c r="C3587" s="107">
        <f>COPY!AC3579</f>
        <v>0</v>
      </c>
      <c r="D3587" s="107" t="str">
        <f>IF(LEN(Table1722[[#This Row],[Uraian]])&gt;2,1," ")</f>
        <v xml:space="preserve"> </v>
      </c>
      <c r="E3587" s="113" t="str">
        <f>IF(Table1722[[#This Row],[Lawan Transaksi]]="CV AGUNG KARYA",COUNTIF($I$10:I3587,"CV AGUNG KARYA")," ")</f>
        <v xml:space="preserve"> </v>
      </c>
      <c r="F3587" s="107" t="str">
        <f>IF(LEN(Table1722[[#This Row],[Uraian]])&gt;2,TRIM(RIGHT(SUBSTITUTE(TRIM(C3587)," ",REPT(" ",255)),255))," ")</f>
        <v xml:space="preserve"> </v>
      </c>
      <c r="G3587" s="110">
        <f>COPY!Z3579</f>
        <v>0</v>
      </c>
      <c r="H3587" s="111" t="str">
        <f>IFERROR(VLOOKUP(Table1722[[#This Row],[Bukti]],'Un nOTA'!$A$4:$K$5003,10,FALSE),"")</f>
        <v/>
      </c>
      <c r="I3587" s="123" t="str">
        <f>IFERROR(VLOOKUP(Table1722[[#This Row],[Bukti]],Table13[#Data],11,FALSE),"")</f>
        <v/>
      </c>
    </row>
    <row r="3588" spans="1:9" hidden="1" x14ac:dyDescent="0.2">
      <c r="A3588" s="105" t="str">
        <f>IF(D3588=1,COUNTIF($D$10:D3588,1)," ")</f>
        <v xml:space="preserve"> </v>
      </c>
      <c r="B3588" s="106">
        <f>COPY!AR3580</f>
        <v>0</v>
      </c>
      <c r="C3588" s="107">
        <f>COPY!AC3580</f>
        <v>0</v>
      </c>
      <c r="D3588" s="107" t="str">
        <f>IF(LEN(Table1722[[#This Row],[Uraian]])&gt;2,1," ")</f>
        <v xml:space="preserve"> </v>
      </c>
      <c r="E3588" s="113" t="str">
        <f>IF(Table1722[[#This Row],[Lawan Transaksi]]="CV AGUNG KARYA",COUNTIF($I$10:I3588,"CV AGUNG KARYA")," ")</f>
        <v xml:space="preserve"> </v>
      </c>
      <c r="F3588" s="107" t="str">
        <f>IF(LEN(Table1722[[#This Row],[Uraian]])&gt;2,TRIM(RIGHT(SUBSTITUTE(TRIM(C3588)," ",REPT(" ",255)),255))," ")</f>
        <v xml:space="preserve"> </v>
      </c>
      <c r="G3588" s="110">
        <f>COPY!Z3580</f>
        <v>0</v>
      </c>
      <c r="H3588" s="111" t="str">
        <f>IFERROR(VLOOKUP(Table1722[[#This Row],[Bukti]],'Un nOTA'!$A$4:$K$5003,10,FALSE),"")</f>
        <v/>
      </c>
      <c r="I3588" s="123" t="str">
        <f>IFERROR(VLOOKUP(Table1722[[#This Row],[Bukti]],Table13[#Data],11,FALSE),"")</f>
        <v/>
      </c>
    </row>
    <row r="3589" spans="1:9" hidden="1" x14ac:dyDescent="0.2">
      <c r="A3589" s="105" t="str">
        <f>IF(D3589=1,COUNTIF($D$10:D3589,1)," ")</f>
        <v xml:space="preserve"> </v>
      </c>
      <c r="B3589" s="106">
        <f>COPY!AR3581</f>
        <v>0</v>
      </c>
      <c r="C3589" s="107">
        <f>COPY!AC3581</f>
        <v>0</v>
      </c>
      <c r="D3589" s="107" t="str">
        <f>IF(LEN(Table1722[[#This Row],[Uraian]])&gt;2,1," ")</f>
        <v xml:space="preserve"> </v>
      </c>
      <c r="E3589" s="113" t="str">
        <f>IF(Table1722[[#This Row],[Lawan Transaksi]]="CV AGUNG KARYA",COUNTIF($I$10:I3589,"CV AGUNG KARYA")," ")</f>
        <v xml:space="preserve"> </v>
      </c>
      <c r="F3589" s="107" t="str">
        <f>IF(LEN(Table1722[[#This Row],[Uraian]])&gt;2,TRIM(RIGHT(SUBSTITUTE(TRIM(C3589)," ",REPT(" ",255)),255))," ")</f>
        <v xml:space="preserve"> </v>
      </c>
      <c r="G3589" s="110">
        <f>COPY!Z3581</f>
        <v>0</v>
      </c>
      <c r="H3589" s="111" t="str">
        <f>IFERROR(VLOOKUP(Table1722[[#This Row],[Bukti]],'Un nOTA'!$A$4:$K$5003,10,FALSE),"")</f>
        <v/>
      </c>
      <c r="I3589" s="123" t="str">
        <f>IFERROR(VLOOKUP(Table1722[[#This Row],[Bukti]],Table13[#Data],11,FALSE),"")</f>
        <v/>
      </c>
    </row>
    <row r="3590" spans="1:9" hidden="1" x14ac:dyDescent="0.2">
      <c r="A3590" s="105" t="str">
        <f>IF(D3590=1,COUNTIF($D$10:D3590,1)," ")</f>
        <v xml:space="preserve"> </v>
      </c>
      <c r="B3590" s="106">
        <f>COPY!AR3582</f>
        <v>0</v>
      </c>
      <c r="C3590" s="107">
        <f>COPY!AC3582</f>
        <v>0</v>
      </c>
      <c r="D3590" s="107" t="str">
        <f>IF(LEN(Table1722[[#This Row],[Uraian]])&gt;2,1," ")</f>
        <v xml:space="preserve"> </v>
      </c>
      <c r="E3590" s="113" t="str">
        <f>IF(Table1722[[#This Row],[Lawan Transaksi]]="CV AGUNG KARYA",COUNTIF($I$10:I3590,"CV AGUNG KARYA")," ")</f>
        <v xml:space="preserve"> </v>
      </c>
      <c r="F3590" s="107" t="str">
        <f>IF(LEN(Table1722[[#This Row],[Uraian]])&gt;2,TRIM(RIGHT(SUBSTITUTE(TRIM(C3590)," ",REPT(" ",255)),255))," ")</f>
        <v xml:space="preserve"> </v>
      </c>
      <c r="G3590" s="110">
        <f>COPY!Z3582</f>
        <v>0</v>
      </c>
      <c r="H3590" s="111" t="str">
        <f>IFERROR(VLOOKUP(Table1722[[#This Row],[Bukti]],'Un nOTA'!$A$4:$K$5003,10,FALSE),"")</f>
        <v/>
      </c>
      <c r="I3590" s="123" t="str">
        <f>IFERROR(VLOOKUP(Table1722[[#This Row],[Bukti]],Table13[#Data],11,FALSE),"")</f>
        <v/>
      </c>
    </row>
    <row r="3591" spans="1:9" hidden="1" x14ac:dyDescent="0.2">
      <c r="A3591" s="105" t="str">
        <f>IF(D3591=1,COUNTIF($D$10:D3591,1)," ")</f>
        <v xml:space="preserve"> </v>
      </c>
      <c r="B3591" s="106">
        <f>COPY!AR3583</f>
        <v>0</v>
      </c>
      <c r="C3591" s="107">
        <f>COPY!AC3583</f>
        <v>0</v>
      </c>
      <c r="D3591" s="107" t="str">
        <f>IF(LEN(Table1722[[#This Row],[Uraian]])&gt;2,1," ")</f>
        <v xml:space="preserve"> </v>
      </c>
      <c r="E3591" s="113" t="str">
        <f>IF(Table1722[[#This Row],[Lawan Transaksi]]="CV AGUNG KARYA",COUNTIF($I$10:I3591,"CV AGUNG KARYA")," ")</f>
        <v xml:space="preserve"> </v>
      </c>
      <c r="F3591" s="107" t="str">
        <f>IF(LEN(Table1722[[#This Row],[Uraian]])&gt;2,TRIM(RIGHT(SUBSTITUTE(TRIM(C3591)," ",REPT(" ",255)),255))," ")</f>
        <v xml:space="preserve"> </v>
      </c>
      <c r="G3591" s="110">
        <f>COPY!Z3583</f>
        <v>0</v>
      </c>
      <c r="H3591" s="111" t="str">
        <f>IFERROR(VLOOKUP(Table1722[[#This Row],[Bukti]],'Un nOTA'!$A$4:$K$5003,10,FALSE),"")</f>
        <v/>
      </c>
      <c r="I3591" s="123" t="str">
        <f>IFERROR(VLOOKUP(Table1722[[#This Row],[Bukti]],Table13[#Data],11,FALSE),"")</f>
        <v/>
      </c>
    </row>
    <row r="3592" spans="1:9" hidden="1" x14ac:dyDescent="0.2">
      <c r="A3592" s="105" t="str">
        <f>IF(D3592=1,COUNTIF($D$10:D3592,1)," ")</f>
        <v xml:space="preserve"> </v>
      </c>
      <c r="B3592" s="106">
        <f>COPY!AR3584</f>
        <v>0</v>
      </c>
      <c r="C3592" s="107">
        <f>COPY!AC3584</f>
        <v>0</v>
      </c>
      <c r="D3592" s="107" t="str">
        <f>IF(LEN(Table1722[[#This Row],[Uraian]])&gt;2,1," ")</f>
        <v xml:space="preserve"> </v>
      </c>
      <c r="E3592" s="113" t="str">
        <f>IF(Table1722[[#This Row],[Lawan Transaksi]]="CV AGUNG KARYA",COUNTIF($I$10:I3592,"CV AGUNG KARYA")," ")</f>
        <v xml:space="preserve"> </v>
      </c>
      <c r="F3592" s="107" t="str">
        <f>IF(LEN(Table1722[[#This Row],[Uraian]])&gt;2,TRIM(RIGHT(SUBSTITUTE(TRIM(C3592)," ",REPT(" ",255)),255))," ")</f>
        <v xml:space="preserve"> </v>
      </c>
      <c r="G3592" s="110">
        <f>COPY!Z3584</f>
        <v>0</v>
      </c>
      <c r="H3592" s="111" t="str">
        <f>IFERROR(VLOOKUP(Table1722[[#This Row],[Bukti]],'Un nOTA'!$A$4:$K$5003,10,FALSE),"")</f>
        <v/>
      </c>
      <c r="I3592" s="123" t="str">
        <f>IFERROR(VLOOKUP(Table1722[[#This Row],[Bukti]],Table13[#Data],11,FALSE),"")</f>
        <v/>
      </c>
    </row>
    <row r="3593" spans="1:9" hidden="1" x14ac:dyDescent="0.2">
      <c r="A3593" s="105" t="str">
        <f>IF(D3593=1,COUNTIF($D$10:D3593,1)," ")</f>
        <v xml:space="preserve"> </v>
      </c>
      <c r="B3593" s="106">
        <f>COPY!AR3585</f>
        <v>0</v>
      </c>
      <c r="C3593" s="107">
        <f>COPY!AC3585</f>
        <v>0</v>
      </c>
      <c r="D3593" s="107" t="str">
        <f>IF(LEN(Table1722[[#This Row],[Uraian]])&gt;2,1," ")</f>
        <v xml:space="preserve"> </v>
      </c>
      <c r="E3593" s="113" t="str">
        <f>IF(Table1722[[#This Row],[Lawan Transaksi]]="CV AGUNG KARYA",COUNTIF($I$10:I3593,"CV AGUNG KARYA")," ")</f>
        <v xml:space="preserve"> </v>
      </c>
      <c r="F3593" s="107" t="str">
        <f>IF(LEN(Table1722[[#This Row],[Uraian]])&gt;2,TRIM(RIGHT(SUBSTITUTE(TRIM(C3593)," ",REPT(" ",255)),255))," ")</f>
        <v xml:space="preserve"> </v>
      </c>
      <c r="G3593" s="110">
        <f>COPY!Z3585</f>
        <v>0</v>
      </c>
      <c r="H3593" s="111" t="str">
        <f>IFERROR(VLOOKUP(Table1722[[#This Row],[Bukti]],'Un nOTA'!$A$4:$K$5003,10,FALSE),"")</f>
        <v/>
      </c>
      <c r="I3593" s="123" t="str">
        <f>IFERROR(VLOOKUP(Table1722[[#This Row],[Bukti]],Table13[#Data],11,FALSE),"")</f>
        <v/>
      </c>
    </row>
    <row r="3594" spans="1:9" hidden="1" x14ac:dyDescent="0.2">
      <c r="A3594" s="105" t="str">
        <f>IF(D3594=1,COUNTIF($D$10:D3594,1)," ")</f>
        <v xml:space="preserve"> </v>
      </c>
      <c r="B3594" s="106">
        <f>COPY!AR3586</f>
        <v>0</v>
      </c>
      <c r="C3594" s="107">
        <f>COPY!AC3586</f>
        <v>0</v>
      </c>
      <c r="D3594" s="107" t="str">
        <f>IF(LEN(Table1722[[#This Row],[Uraian]])&gt;2,1," ")</f>
        <v xml:space="preserve"> </v>
      </c>
      <c r="E3594" s="113" t="str">
        <f>IF(Table1722[[#This Row],[Lawan Transaksi]]="CV AGUNG KARYA",COUNTIF($I$10:I3594,"CV AGUNG KARYA")," ")</f>
        <v xml:space="preserve"> </v>
      </c>
      <c r="F3594" s="107" t="str">
        <f>IF(LEN(Table1722[[#This Row],[Uraian]])&gt;2,TRIM(RIGHT(SUBSTITUTE(TRIM(C3594)," ",REPT(" ",255)),255))," ")</f>
        <v xml:space="preserve"> </v>
      </c>
      <c r="G3594" s="110">
        <f>COPY!Z3586</f>
        <v>0</v>
      </c>
      <c r="H3594" s="111" t="str">
        <f>IFERROR(VLOOKUP(Table1722[[#This Row],[Bukti]],'Un nOTA'!$A$4:$K$5003,10,FALSE),"")</f>
        <v/>
      </c>
      <c r="I3594" s="123" t="str">
        <f>IFERROR(VLOOKUP(Table1722[[#This Row],[Bukti]],Table13[#Data],11,FALSE),"")</f>
        <v/>
      </c>
    </row>
    <row r="3595" spans="1:9" hidden="1" x14ac:dyDescent="0.2">
      <c r="A3595" s="105" t="str">
        <f>IF(D3595=1,COUNTIF($D$10:D3595,1)," ")</f>
        <v xml:space="preserve"> </v>
      </c>
      <c r="B3595" s="106">
        <f>COPY!AR3587</f>
        <v>0</v>
      </c>
      <c r="C3595" s="107">
        <f>COPY!AC3587</f>
        <v>0</v>
      </c>
      <c r="D3595" s="107" t="str">
        <f>IF(LEN(Table1722[[#This Row],[Uraian]])&gt;2,1," ")</f>
        <v xml:space="preserve"> </v>
      </c>
      <c r="E3595" s="113" t="str">
        <f>IF(Table1722[[#This Row],[Lawan Transaksi]]="CV AGUNG KARYA",COUNTIF($I$10:I3595,"CV AGUNG KARYA")," ")</f>
        <v xml:space="preserve"> </v>
      </c>
      <c r="F3595" s="107" t="str">
        <f>IF(LEN(Table1722[[#This Row],[Uraian]])&gt;2,TRIM(RIGHT(SUBSTITUTE(TRIM(C3595)," ",REPT(" ",255)),255))," ")</f>
        <v xml:space="preserve"> </v>
      </c>
      <c r="G3595" s="110">
        <f>COPY!Z3587</f>
        <v>0</v>
      </c>
      <c r="H3595" s="111" t="str">
        <f>IFERROR(VLOOKUP(Table1722[[#This Row],[Bukti]],'Un nOTA'!$A$4:$K$5003,10,FALSE),"")</f>
        <v/>
      </c>
      <c r="I3595" s="123" t="str">
        <f>IFERROR(VLOOKUP(Table1722[[#This Row],[Bukti]],Table13[#Data],11,FALSE),"")</f>
        <v/>
      </c>
    </row>
    <row r="3596" spans="1:9" hidden="1" x14ac:dyDescent="0.2">
      <c r="A3596" s="105" t="str">
        <f>IF(D3596=1,COUNTIF($D$10:D3596,1)," ")</f>
        <v xml:space="preserve"> </v>
      </c>
      <c r="B3596" s="106">
        <f>COPY!AR3588</f>
        <v>0</v>
      </c>
      <c r="C3596" s="107">
        <f>COPY!AC3588</f>
        <v>0</v>
      </c>
      <c r="D3596" s="107" t="str">
        <f>IF(LEN(Table1722[[#This Row],[Uraian]])&gt;2,1," ")</f>
        <v xml:space="preserve"> </v>
      </c>
      <c r="E3596" s="113" t="str">
        <f>IF(Table1722[[#This Row],[Lawan Transaksi]]="CV AGUNG KARYA",COUNTIF($I$10:I3596,"CV AGUNG KARYA")," ")</f>
        <v xml:space="preserve"> </v>
      </c>
      <c r="F3596" s="107" t="str">
        <f>IF(LEN(Table1722[[#This Row],[Uraian]])&gt;2,TRIM(RIGHT(SUBSTITUTE(TRIM(C3596)," ",REPT(" ",255)),255))," ")</f>
        <v xml:space="preserve"> </v>
      </c>
      <c r="G3596" s="110">
        <f>COPY!Z3588</f>
        <v>0</v>
      </c>
      <c r="H3596" s="111" t="str">
        <f>IFERROR(VLOOKUP(Table1722[[#This Row],[Bukti]],'Un nOTA'!$A$4:$K$5003,10,FALSE),"")</f>
        <v/>
      </c>
      <c r="I3596" s="123" t="str">
        <f>IFERROR(VLOOKUP(Table1722[[#This Row],[Bukti]],Table13[#Data],11,FALSE),"")</f>
        <v/>
      </c>
    </row>
    <row r="3597" spans="1:9" hidden="1" x14ac:dyDescent="0.2">
      <c r="A3597" s="105" t="str">
        <f>IF(D3597=1,COUNTIF($D$10:D3597,1)," ")</f>
        <v xml:space="preserve"> </v>
      </c>
      <c r="B3597" s="106">
        <f>COPY!AR3589</f>
        <v>0</v>
      </c>
      <c r="C3597" s="107">
        <f>COPY!AC3589</f>
        <v>0</v>
      </c>
      <c r="D3597" s="107" t="str">
        <f>IF(LEN(Table1722[[#This Row],[Uraian]])&gt;2,1," ")</f>
        <v xml:space="preserve"> </v>
      </c>
      <c r="E3597" s="113" t="str">
        <f>IF(Table1722[[#This Row],[Lawan Transaksi]]="CV AGUNG KARYA",COUNTIF($I$10:I3597,"CV AGUNG KARYA")," ")</f>
        <v xml:space="preserve"> </v>
      </c>
      <c r="F3597" s="107" t="str">
        <f>IF(LEN(Table1722[[#This Row],[Uraian]])&gt;2,TRIM(RIGHT(SUBSTITUTE(TRIM(C3597)," ",REPT(" ",255)),255))," ")</f>
        <v xml:space="preserve"> </v>
      </c>
      <c r="G3597" s="110">
        <f>COPY!Z3589</f>
        <v>0</v>
      </c>
      <c r="H3597" s="111" t="str">
        <f>IFERROR(VLOOKUP(Table1722[[#This Row],[Bukti]],'Un nOTA'!$A$4:$K$5003,10,FALSE),"")</f>
        <v/>
      </c>
      <c r="I3597" s="123" t="str">
        <f>IFERROR(VLOOKUP(Table1722[[#This Row],[Bukti]],Table13[#Data],11,FALSE),"")</f>
        <v/>
      </c>
    </row>
    <row r="3598" spans="1:9" hidden="1" x14ac:dyDescent="0.2">
      <c r="A3598" s="105" t="str">
        <f>IF(D3598=1,COUNTIF($D$10:D3598,1)," ")</f>
        <v xml:space="preserve"> </v>
      </c>
      <c r="B3598" s="106">
        <f>COPY!AR3590</f>
        <v>0</v>
      </c>
      <c r="C3598" s="107">
        <f>COPY!AC3590</f>
        <v>0</v>
      </c>
      <c r="D3598" s="107" t="str">
        <f>IF(LEN(Table1722[[#This Row],[Uraian]])&gt;2,1," ")</f>
        <v xml:space="preserve"> </v>
      </c>
      <c r="E3598" s="113" t="str">
        <f>IF(Table1722[[#This Row],[Lawan Transaksi]]="CV AGUNG KARYA",COUNTIF($I$10:I3598,"CV AGUNG KARYA")," ")</f>
        <v xml:space="preserve"> </v>
      </c>
      <c r="F3598" s="107" t="str">
        <f>IF(LEN(Table1722[[#This Row],[Uraian]])&gt;2,TRIM(RIGHT(SUBSTITUTE(TRIM(C3598)," ",REPT(" ",255)),255))," ")</f>
        <v xml:space="preserve"> </v>
      </c>
      <c r="G3598" s="110">
        <f>COPY!Z3590</f>
        <v>0</v>
      </c>
      <c r="H3598" s="111" t="str">
        <f>IFERROR(VLOOKUP(Table1722[[#This Row],[Bukti]],'Un nOTA'!$A$4:$K$5003,10,FALSE),"")</f>
        <v/>
      </c>
      <c r="I3598" s="123" t="str">
        <f>IFERROR(VLOOKUP(Table1722[[#This Row],[Bukti]],Table13[#Data],11,FALSE),"")</f>
        <v/>
      </c>
    </row>
    <row r="3599" spans="1:9" hidden="1" x14ac:dyDescent="0.2">
      <c r="A3599" s="105" t="str">
        <f>IF(D3599=1,COUNTIF($D$10:D3599,1)," ")</f>
        <v xml:space="preserve"> </v>
      </c>
      <c r="B3599" s="106">
        <f>COPY!AR3591</f>
        <v>0</v>
      </c>
      <c r="C3599" s="107">
        <f>COPY!AC3591</f>
        <v>0</v>
      </c>
      <c r="D3599" s="107" t="str">
        <f>IF(LEN(Table1722[[#This Row],[Uraian]])&gt;2,1," ")</f>
        <v xml:space="preserve"> </v>
      </c>
      <c r="E3599" s="113" t="str">
        <f>IF(Table1722[[#This Row],[Lawan Transaksi]]="CV AGUNG KARYA",COUNTIF($I$10:I3599,"CV AGUNG KARYA")," ")</f>
        <v xml:space="preserve"> </v>
      </c>
      <c r="F3599" s="107" t="str">
        <f>IF(LEN(Table1722[[#This Row],[Uraian]])&gt;2,TRIM(RIGHT(SUBSTITUTE(TRIM(C3599)," ",REPT(" ",255)),255))," ")</f>
        <v xml:space="preserve"> </v>
      </c>
      <c r="G3599" s="110">
        <f>COPY!Z3591</f>
        <v>0</v>
      </c>
      <c r="H3599" s="111" t="str">
        <f>IFERROR(VLOOKUP(Table1722[[#This Row],[Bukti]],'Un nOTA'!$A$4:$K$5003,10,FALSE),"")</f>
        <v/>
      </c>
      <c r="I3599" s="123" t="str">
        <f>IFERROR(VLOOKUP(Table1722[[#This Row],[Bukti]],Table13[#Data],11,FALSE),"")</f>
        <v/>
      </c>
    </row>
    <row r="3600" spans="1:9" hidden="1" x14ac:dyDescent="0.2">
      <c r="A3600" s="105" t="str">
        <f>IF(D3600=1,COUNTIF($D$10:D3600,1)," ")</f>
        <v xml:space="preserve"> </v>
      </c>
      <c r="B3600" s="106">
        <f>COPY!AR3592</f>
        <v>0</v>
      </c>
      <c r="C3600" s="107">
        <f>COPY!AC3592</f>
        <v>0</v>
      </c>
      <c r="D3600" s="107" t="str">
        <f>IF(LEN(Table1722[[#This Row],[Uraian]])&gt;2,1," ")</f>
        <v xml:space="preserve"> </v>
      </c>
      <c r="E3600" s="113" t="str">
        <f>IF(Table1722[[#This Row],[Lawan Transaksi]]="CV AGUNG KARYA",COUNTIF($I$10:I3600,"CV AGUNG KARYA")," ")</f>
        <v xml:space="preserve"> </v>
      </c>
      <c r="F3600" s="107" t="str">
        <f>IF(LEN(Table1722[[#This Row],[Uraian]])&gt;2,TRIM(RIGHT(SUBSTITUTE(TRIM(C3600)," ",REPT(" ",255)),255))," ")</f>
        <v xml:space="preserve"> </v>
      </c>
      <c r="G3600" s="110">
        <f>COPY!Z3592</f>
        <v>0</v>
      </c>
      <c r="H3600" s="111" t="str">
        <f>IFERROR(VLOOKUP(Table1722[[#This Row],[Bukti]],'Un nOTA'!$A$4:$K$5003,10,FALSE),"")</f>
        <v/>
      </c>
      <c r="I3600" s="123" t="str">
        <f>IFERROR(VLOOKUP(Table1722[[#This Row],[Bukti]],Table13[#Data],11,FALSE),"")</f>
        <v/>
      </c>
    </row>
    <row r="3601" spans="1:9" hidden="1" x14ac:dyDescent="0.2">
      <c r="A3601" s="105" t="str">
        <f>IF(D3601=1,COUNTIF($D$10:D3601,1)," ")</f>
        <v xml:space="preserve"> </v>
      </c>
      <c r="B3601" s="106">
        <f>COPY!AR3593</f>
        <v>0</v>
      </c>
      <c r="C3601" s="107">
        <f>COPY!AC3593</f>
        <v>0</v>
      </c>
      <c r="D3601" s="107" t="str">
        <f>IF(LEN(Table1722[[#This Row],[Uraian]])&gt;2,1," ")</f>
        <v xml:space="preserve"> </v>
      </c>
      <c r="E3601" s="113" t="str">
        <f>IF(Table1722[[#This Row],[Lawan Transaksi]]="CV AGUNG KARYA",COUNTIF($I$10:I3601,"CV AGUNG KARYA")," ")</f>
        <v xml:space="preserve"> </v>
      </c>
      <c r="F3601" s="107" t="str">
        <f>IF(LEN(Table1722[[#This Row],[Uraian]])&gt;2,TRIM(RIGHT(SUBSTITUTE(TRIM(C3601)," ",REPT(" ",255)),255))," ")</f>
        <v xml:space="preserve"> </v>
      </c>
      <c r="G3601" s="110">
        <f>COPY!Z3593</f>
        <v>0</v>
      </c>
      <c r="H3601" s="111" t="str">
        <f>IFERROR(VLOOKUP(Table1722[[#This Row],[Bukti]],'Un nOTA'!$A$4:$K$5003,10,FALSE),"")</f>
        <v/>
      </c>
      <c r="I3601" s="123" t="str">
        <f>IFERROR(VLOOKUP(Table1722[[#This Row],[Bukti]],Table13[#Data],11,FALSE),"")</f>
        <v/>
      </c>
    </row>
    <row r="3602" spans="1:9" hidden="1" x14ac:dyDescent="0.2">
      <c r="A3602" s="105" t="str">
        <f>IF(D3602=1,COUNTIF($D$10:D3602,1)," ")</f>
        <v xml:space="preserve"> </v>
      </c>
      <c r="B3602" s="106">
        <f>COPY!AR3594</f>
        <v>0</v>
      </c>
      <c r="C3602" s="107">
        <f>COPY!AC3594</f>
        <v>0</v>
      </c>
      <c r="D3602" s="107" t="str">
        <f>IF(LEN(Table1722[[#This Row],[Uraian]])&gt;2,1," ")</f>
        <v xml:space="preserve"> </v>
      </c>
      <c r="E3602" s="113" t="str">
        <f>IF(Table1722[[#This Row],[Lawan Transaksi]]="CV AGUNG KARYA",COUNTIF($I$10:I3602,"CV AGUNG KARYA")," ")</f>
        <v xml:space="preserve"> </v>
      </c>
      <c r="F3602" s="107" t="str">
        <f>IF(LEN(Table1722[[#This Row],[Uraian]])&gt;2,TRIM(RIGHT(SUBSTITUTE(TRIM(C3602)," ",REPT(" ",255)),255))," ")</f>
        <v xml:space="preserve"> </v>
      </c>
      <c r="G3602" s="110">
        <f>COPY!Z3594</f>
        <v>0</v>
      </c>
      <c r="H3602" s="111" t="str">
        <f>IFERROR(VLOOKUP(Table1722[[#This Row],[Bukti]],'Un nOTA'!$A$4:$K$5003,10,FALSE),"")</f>
        <v/>
      </c>
      <c r="I3602" s="123" t="str">
        <f>IFERROR(VLOOKUP(Table1722[[#This Row],[Bukti]],Table13[#Data],11,FALSE),"")</f>
        <v/>
      </c>
    </row>
    <row r="3603" spans="1:9" hidden="1" x14ac:dyDescent="0.2">
      <c r="A3603" s="105" t="str">
        <f>IF(D3603=1,COUNTIF($D$10:D3603,1)," ")</f>
        <v xml:space="preserve"> </v>
      </c>
      <c r="B3603" s="106">
        <f>COPY!AR3595</f>
        <v>0</v>
      </c>
      <c r="C3603" s="107">
        <f>COPY!AC3595</f>
        <v>0</v>
      </c>
      <c r="D3603" s="107" t="str">
        <f>IF(LEN(Table1722[[#This Row],[Uraian]])&gt;2,1," ")</f>
        <v xml:space="preserve"> </v>
      </c>
      <c r="E3603" s="113" t="str">
        <f>IF(Table1722[[#This Row],[Lawan Transaksi]]="CV AGUNG KARYA",COUNTIF($I$10:I3603,"CV AGUNG KARYA")," ")</f>
        <v xml:space="preserve"> </v>
      </c>
      <c r="F3603" s="107" t="str">
        <f>IF(LEN(Table1722[[#This Row],[Uraian]])&gt;2,TRIM(RIGHT(SUBSTITUTE(TRIM(C3603)," ",REPT(" ",255)),255))," ")</f>
        <v xml:space="preserve"> </v>
      </c>
      <c r="G3603" s="110">
        <f>COPY!Z3595</f>
        <v>0</v>
      </c>
      <c r="H3603" s="111" t="str">
        <f>IFERROR(VLOOKUP(Table1722[[#This Row],[Bukti]],'Un nOTA'!$A$4:$K$5003,10,FALSE),"")</f>
        <v/>
      </c>
      <c r="I3603" s="123" t="str">
        <f>IFERROR(VLOOKUP(Table1722[[#This Row],[Bukti]],Table13[#Data],11,FALSE),"")</f>
        <v/>
      </c>
    </row>
    <row r="3604" spans="1:9" hidden="1" x14ac:dyDescent="0.2">
      <c r="A3604" s="105" t="str">
        <f>IF(D3604=1,COUNTIF($D$10:D3604,1)," ")</f>
        <v xml:space="preserve"> </v>
      </c>
      <c r="B3604" s="106">
        <f>COPY!AR3596</f>
        <v>0</v>
      </c>
      <c r="C3604" s="107">
        <f>COPY!AC3596</f>
        <v>0</v>
      </c>
      <c r="D3604" s="107" t="str">
        <f>IF(LEN(Table1722[[#This Row],[Uraian]])&gt;2,1," ")</f>
        <v xml:space="preserve"> </v>
      </c>
      <c r="E3604" s="113" t="str">
        <f>IF(Table1722[[#This Row],[Lawan Transaksi]]="CV AGUNG KARYA",COUNTIF($I$10:I3604,"CV AGUNG KARYA")," ")</f>
        <v xml:space="preserve"> </v>
      </c>
      <c r="F3604" s="107" t="str">
        <f>IF(LEN(Table1722[[#This Row],[Uraian]])&gt;2,TRIM(RIGHT(SUBSTITUTE(TRIM(C3604)," ",REPT(" ",255)),255))," ")</f>
        <v xml:space="preserve"> </v>
      </c>
      <c r="G3604" s="110">
        <f>COPY!Z3596</f>
        <v>0</v>
      </c>
      <c r="H3604" s="111" t="str">
        <f>IFERROR(VLOOKUP(Table1722[[#This Row],[Bukti]],'Un nOTA'!$A$4:$K$5003,10,FALSE),"")</f>
        <v/>
      </c>
      <c r="I3604" s="123" t="str">
        <f>IFERROR(VLOOKUP(Table1722[[#This Row],[Bukti]],Table13[#Data],11,FALSE),"")</f>
        <v/>
      </c>
    </row>
    <row r="3605" spans="1:9" hidden="1" x14ac:dyDescent="0.2">
      <c r="A3605" s="105" t="str">
        <f>IF(D3605=1,COUNTIF($D$10:D3605,1)," ")</f>
        <v xml:space="preserve"> </v>
      </c>
      <c r="B3605" s="106">
        <f>COPY!AR3597</f>
        <v>0</v>
      </c>
      <c r="C3605" s="107">
        <f>COPY!AC3597</f>
        <v>0</v>
      </c>
      <c r="D3605" s="107" t="str">
        <f>IF(LEN(Table1722[[#This Row],[Uraian]])&gt;2,1," ")</f>
        <v xml:space="preserve"> </v>
      </c>
      <c r="E3605" s="113" t="str">
        <f>IF(Table1722[[#This Row],[Lawan Transaksi]]="CV AGUNG KARYA",COUNTIF($I$10:I3605,"CV AGUNG KARYA")," ")</f>
        <v xml:space="preserve"> </v>
      </c>
      <c r="F3605" s="107" t="str">
        <f>IF(LEN(Table1722[[#This Row],[Uraian]])&gt;2,TRIM(RIGHT(SUBSTITUTE(TRIM(C3605)," ",REPT(" ",255)),255))," ")</f>
        <v xml:space="preserve"> </v>
      </c>
      <c r="G3605" s="110">
        <f>COPY!Z3597</f>
        <v>0</v>
      </c>
      <c r="H3605" s="111" t="str">
        <f>IFERROR(VLOOKUP(Table1722[[#This Row],[Bukti]],'Un nOTA'!$A$4:$K$5003,10,FALSE),"")</f>
        <v/>
      </c>
      <c r="I3605" s="123" t="str">
        <f>IFERROR(VLOOKUP(Table1722[[#This Row],[Bukti]],Table13[#Data],11,FALSE),"")</f>
        <v/>
      </c>
    </row>
    <row r="3606" spans="1:9" hidden="1" x14ac:dyDescent="0.2">
      <c r="A3606" s="105" t="str">
        <f>IF(D3606=1,COUNTIF($D$10:D3606,1)," ")</f>
        <v xml:space="preserve"> </v>
      </c>
      <c r="B3606" s="106">
        <f>COPY!AR3598</f>
        <v>0</v>
      </c>
      <c r="C3606" s="107">
        <f>COPY!AC3598</f>
        <v>0</v>
      </c>
      <c r="D3606" s="107" t="str">
        <f>IF(LEN(Table1722[[#This Row],[Uraian]])&gt;2,1," ")</f>
        <v xml:space="preserve"> </v>
      </c>
      <c r="E3606" s="113" t="str">
        <f>IF(Table1722[[#This Row],[Lawan Transaksi]]="CV AGUNG KARYA",COUNTIF($I$10:I3606,"CV AGUNG KARYA")," ")</f>
        <v xml:space="preserve"> </v>
      </c>
      <c r="F3606" s="107" t="str">
        <f>IF(LEN(Table1722[[#This Row],[Uraian]])&gt;2,TRIM(RIGHT(SUBSTITUTE(TRIM(C3606)," ",REPT(" ",255)),255))," ")</f>
        <v xml:space="preserve"> </v>
      </c>
      <c r="G3606" s="110">
        <f>COPY!Z3598</f>
        <v>0</v>
      </c>
      <c r="H3606" s="111" t="str">
        <f>IFERROR(VLOOKUP(Table1722[[#This Row],[Bukti]],'Un nOTA'!$A$4:$K$5003,10,FALSE),"")</f>
        <v/>
      </c>
      <c r="I3606" s="123" t="str">
        <f>IFERROR(VLOOKUP(Table1722[[#This Row],[Bukti]],Table13[#Data],11,FALSE),"")</f>
        <v/>
      </c>
    </row>
    <row r="3607" spans="1:9" hidden="1" x14ac:dyDescent="0.2">
      <c r="A3607" s="105" t="str">
        <f>IF(D3607=1,COUNTIF($D$10:D3607,1)," ")</f>
        <v xml:space="preserve"> </v>
      </c>
      <c r="B3607" s="106">
        <f>COPY!AR3599</f>
        <v>0</v>
      </c>
      <c r="C3607" s="107">
        <f>COPY!AC3599</f>
        <v>0</v>
      </c>
      <c r="D3607" s="107" t="str">
        <f>IF(LEN(Table1722[[#This Row],[Uraian]])&gt;2,1," ")</f>
        <v xml:space="preserve"> </v>
      </c>
      <c r="E3607" s="113" t="str">
        <f>IF(Table1722[[#This Row],[Lawan Transaksi]]="CV AGUNG KARYA",COUNTIF($I$10:I3607,"CV AGUNG KARYA")," ")</f>
        <v xml:space="preserve"> </v>
      </c>
      <c r="F3607" s="107" t="str">
        <f>IF(LEN(Table1722[[#This Row],[Uraian]])&gt;2,TRIM(RIGHT(SUBSTITUTE(TRIM(C3607)," ",REPT(" ",255)),255))," ")</f>
        <v xml:space="preserve"> </v>
      </c>
      <c r="G3607" s="110">
        <f>COPY!Z3599</f>
        <v>0</v>
      </c>
      <c r="H3607" s="111" t="str">
        <f>IFERROR(VLOOKUP(Table1722[[#This Row],[Bukti]],'Un nOTA'!$A$4:$K$5003,10,FALSE),"")</f>
        <v/>
      </c>
      <c r="I3607" s="123" t="str">
        <f>IFERROR(VLOOKUP(Table1722[[#This Row],[Bukti]],Table13[#Data],11,FALSE),"")</f>
        <v/>
      </c>
    </row>
    <row r="3608" spans="1:9" hidden="1" x14ac:dyDescent="0.2">
      <c r="A3608" s="105" t="str">
        <f>IF(D3608=1,COUNTIF($D$10:D3608,1)," ")</f>
        <v xml:space="preserve"> </v>
      </c>
      <c r="B3608" s="106">
        <f>COPY!AR3600</f>
        <v>0</v>
      </c>
      <c r="C3608" s="107">
        <f>COPY!AC3600</f>
        <v>0</v>
      </c>
      <c r="D3608" s="107" t="str">
        <f>IF(LEN(Table1722[[#This Row],[Uraian]])&gt;2,1," ")</f>
        <v xml:space="preserve"> </v>
      </c>
      <c r="E3608" s="113" t="str">
        <f>IF(Table1722[[#This Row],[Lawan Transaksi]]="CV AGUNG KARYA",COUNTIF($I$10:I3608,"CV AGUNG KARYA")," ")</f>
        <v xml:space="preserve"> </v>
      </c>
      <c r="F3608" s="107" t="str">
        <f>IF(LEN(Table1722[[#This Row],[Uraian]])&gt;2,TRIM(RIGHT(SUBSTITUTE(TRIM(C3608)," ",REPT(" ",255)),255))," ")</f>
        <v xml:space="preserve"> </v>
      </c>
      <c r="G3608" s="110">
        <f>COPY!Z3600</f>
        <v>0</v>
      </c>
      <c r="H3608" s="111" t="str">
        <f>IFERROR(VLOOKUP(Table1722[[#This Row],[Bukti]],'Un nOTA'!$A$4:$K$5003,10,FALSE),"")</f>
        <v/>
      </c>
      <c r="I3608" s="123" t="str">
        <f>IFERROR(VLOOKUP(Table1722[[#This Row],[Bukti]],Table13[#Data],11,FALSE),"")</f>
        <v/>
      </c>
    </row>
    <row r="3609" spans="1:9" hidden="1" x14ac:dyDescent="0.2">
      <c r="A3609" s="105" t="str">
        <f>IF(D3609=1,COUNTIF($D$10:D3609,1)," ")</f>
        <v xml:space="preserve"> </v>
      </c>
      <c r="B3609" s="106">
        <f>COPY!AR3601</f>
        <v>0</v>
      </c>
      <c r="C3609" s="107">
        <f>COPY!AC3601</f>
        <v>0</v>
      </c>
      <c r="D3609" s="107" t="str">
        <f>IF(LEN(Table1722[[#This Row],[Uraian]])&gt;2,1," ")</f>
        <v xml:space="preserve"> </v>
      </c>
      <c r="E3609" s="113" t="str">
        <f>IF(Table1722[[#This Row],[Lawan Transaksi]]="CV AGUNG KARYA",COUNTIF($I$10:I3609,"CV AGUNG KARYA")," ")</f>
        <v xml:space="preserve"> </v>
      </c>
      <c r="F3609" s="107" t="str">
        <f>IF(LEN(Table1722[[#This Row],[Uraian]])&gt;2,TRIM(RIGHT(SUBSTITUTE(TRIM(C3609)," ",REPT(" ",255)),255))," ")</f>
        <v xml:space="preserve"> </v>
      </c>
      <c r="G3609" s="110">
        <f>COPY!Z3601</f>
        <v>0</v>
      </c>
      <c r="H3609" s="111" t="str">
        <f>IFERROR(VLOOKUP(Table1722[[#This Row],[Bukti]],'Un nOTA'!$A$4:$K$5003,10,FALSE),"")</f>
        <v/>
      </c>
      <c r="I3609" s="123" t="str">
        <f>IFERROR(VLOOKUP(Table1722[[#This Row],[Bukti]],Table13[#Data],11,FALSE),"")</f>
        <v/>
      </c>
    </row>
    <row r="3610" spans="1:9" hidden="1" x14ac:dyDescent="0.2">
      <c r="A3610" s="105" t="str">
        <f>IF(D3610=1,COUNTIF($D$10:D3610,1)," ")</f>
        <v xml:space="preserve"> </v>
      </c>
      <c r="B3610" s="106">
        <f>COPY!AR3602</f>
        <v>0</v>
      </c>
      <c r="C3610" s="107">
        <f>COPY!AC3602</f>
        <v>0</v>
      </c>
      <c r="D3610" s="107" t="str">
        <f>IF(LEN(Table1722[[#This Row],[Uraian]])&gt;2,1," ")</f>
        <v xml:space="preserve"> </v>
      </c>
      <c r="E3610" s="113" t="str">
        <f>IF(Table1722[[#This Row],[Lawan Transaksi]]="CV AGUNG KARYA",COUNTIF($I$10:I3610,"CV AGUNG KARYA")," ")</f>
        <v xml:space="preserve"> </v>
      </c>
      <c r="F3610" s="107" t="str">
        <f>IF(LEN(Table1722[[#This Row],[Uraian]])&gt;2,TRIM(RIGHT(SUBSTITUTE(TRIM(C3610)," ",REPT(" ",255)),255))," ")</f>
        <v xml:space="preserve"> </v>
      </c>
      <c r="G3610" s="110">
        <f>COPY!Z3602</f>
        <v>0</v>
      </c>
      <c r="H3610" s="111" t="str">
        <f>IFERROR(VLOOKUP(Table1722[[#This Row],[Bukti]],'Un nOTA'!$A$4:$K$5003,10,FALSE),"")</f>
        <v/>
      </c>
      <c r="I3610" s="123" t="str">
        <f>IFERROR(VLOOKUP(Table1722[[#This Row],[Bukti]],Table13[#Data],11,FALSE),"")</f>
        <v/>
      </c>
    </row>
    <row r="3611" spans="1:9" hidden="1" x14ac:dyDescent="0.2">
      <c r="A3611" s="105" t="str">
        <f>IF(D3611=1,COUNTIF($D$10:D3611,1)," ")</f>
        <v xml:space="preserve"> </v>
      </c>
      <c r="B3611" s="106">
        <f>COPY!AR3603</f>
        <v>0</v>
      </c>
      <c r="C3611" s="107">
        <f>COPY!AC3603</f>
        <v>0</v>
      </c>
      <c r="D3611" s="107" t="str">
        <f>IF(LEN(Table1722[[#This Row],[Uraian]])&gt;2,1," ")</f>
        <v xml:space="preserve"> </v>
      </c>
      <c r="E3611" s="113" t="str">
        <f>IF(Table1722[[#This Row],[Lawan Transaksi]]="CV AGUNG KARYA",COUNTIF($I$10:I3611,"CV AGUNG KARYA")," ")</f>
        <v xml:space="preserve"> </v>
      </c>
      <c r="F3611" s="107" t="str">
        <f>IF(LEN(Table1722[[#This Row],[Uraian]])&gt;2,TRIM(RIGHT(SUBSTITUTE(TRIM(C3611)," ",REPT(" ",255)),255))," ")</f>
        <v xml:space="preserve"> </v>
      </c>
      <c r="G3611" s="110">
        <f>COPY!Z3603</f>
        <v>0</v>
      </c>
      <c r="H3611" s="111" t="str">
        <f>IFERROR(VLOOKUP(Table1722[[#This Row],[Bukti]],'Un nOTA'!$A$4:$K$5003,10,FALSE),"")</f>
        <v/>
      </c>
      <c r="I3611" s="123" t="str">
        <f>IFERROR(VLOOKUP(Table1722[[#This Row],[Bukti]],Table13[#Data],11,FALSE),"")</f>
        <v/>
      </c>
    </row>
    <row r="3612" spans="1:9" hidden="1" x14ac:dyDescent="0.2">
      <c r="A3612" s="105" t="str">
        <f>IF(D3612=1,COUNTIF($D$10:D3612,1)," ")</f>
        <v xml:space="preserve"> </v>
      </c>
      <c r="B3612" s="106">
        <f>COPY!AR3604</f>
        <v>0</v>
      </c>
      <c r="C3612" s="107">
        <f>COPY!AC3604</f>
        <v>0</v>
      </c>
      <c r="D3612" s="107" t="str">
        <f>IF(LEN(Table1722[[#This Row],[Uraian]])&gt;2,1," ")</f>
        <v xml:space="preserve"> </v>
      </c>
      <c r="E3612" s="113" t="str">
        <f>IF(Table1722[[#This Row],[Lawan Transaksi]]="CV AGUNG KARYA",COUNTIF($I$10:I3612,"CV AGUNG KARYA")," ")</f>
        <v xml:space="preserve"> </v>
      </c>
      <c r="F3612" s="107" t="str">
        <f>IF(LEN(Table1722[[#This Row],[Uraian]])&gt;2,TRIM(RIGHT(SUBSTITUTE(TRIM(C3612)," ",REPT(" ",255)),255))," ")</f>
        <v xml:space="preserve"> </v>
      </c>
      <c r="G3612" s="110">
        <f>COPY!Z3604</f>
        <v>0</v>
      </c>
      <c r="H3612" s="111" t="str">
        <f>IFERROR(VLOOKUP(Table1722[[#This Row],[Bukti]],'Un nOTA'!$A$4:$K$5003,10,FALSE),"")</f>
        <v/>
      </c>
      <c r="I3612" s="123" t="str">
        <f>IFERROR(VLOOKUP(Table1722[[#This Row],[Bukti]],Table13[#Data],11,FALSE),"")</f>
        <v/>
      </c>
    </row>
    <row r="3613" spans="1:9" hidden="1" x14ac:dyDescent="0.2">
      <c r="A3613" s="105" t="str">
        <f>IF(D3613=1,COUNTIF($D$10:D3613,1)," ")</f>
        <v xml:space="preserve"> </v>
      </c>
      <c r="B3613" s="106">
        <f>COPY!AR3605</f>
        <v>0</v>
      </c>
      <c r="C3613" s="107">
        <f>COPY!AC3605</f>
        <v>0</v>
      </c>
      <c r="D3613" s="107" t="str">
        <f>IF(LEN(Table1722[[#This Row],[Uraian]])&gt;2,1," ")</f>
        <v xml:space="preserve"> </v>
      </c>
      <c r="E3613" s="113" t="str">
        <f>IF(Table1722[[#This Row],[Lawan Transaksi]]="CV AGUNG KARYA",COUNTIF($I$10:I3613,"CV AGUNG KARYA")," ")</f>
        <v xml:space="preserve"> </v>
      </c>
      <c r="F3613" s="107" t="str">
        <f>IF(LEN(Table1722[[#This Row],[Uraian]])&gt;2,TRIM(RIGHT(SUBSTITUTE(TRIM(C3613)," ",REPT(" ",255)),255))," ")</f>
        <v xml:space="preserve"> </v>
      </c>
      <c r="G3613" s="110">
        <f>COPY!Z3605</f>
        <v>0</v>
      </c>
      <c r="H3613" s="111" t="str">
        <f>IFERROR(VLOOKUP(Table1722[[#This Row],[Bukti]],'Un nOTA'!$A$4:$K$5003,10,FALSE),"")</f>
        <v/>
      </c>
      <c r="I3613" s="123" t="str">
        <f>IFERROR(VLOOKUP(Table1722[[#This Row],[Bukti]],Table13[#Data],11,FALSE),"")</f>
        <v/>
      </c>
    </row>
    <row r="3614" spans="1:9" hidden="1" x14ac:dyDescent="0.2">
      <c r="A3614" s="105" t="str">
        <f>IF(D3614=1,COUNTIF($D$10:D3614,1)," ")</f>
        <v xml:space="preserve"> </v>
      </c>
      <c r="B3614" s="106">
        <f>COPY!AR3606</f>
        <v>0</v>
      </c>
      <c r="C3614" s="107">
        <f>COPY!AC3606</f>
        <v>0</v>
      </c>
      <c r="D3614" s="107" t="str">
        <f>IF(LEN(Table1722[[#This Row],[Uraian]])&gt;2,1," ")</f>
        <v xml:space="preserve"> </v>
      </c>
      <c r="E3614" s="113" t="str">
        <f>IF(Table1722[[#This Row],[Lawan Transaksi]]="CV AGUNG KARYA",COUNTIF($I$10:I3614,"CV AGUNG KARYA")," ")</f>
        <v xml:space="preserve"> </v>
      </c>
      <c r="F3614" s="107" t="str">
        <f>IF(LEN(Table1722[[#This Row],[Uraian]])&gt;2,TRIM(RIGHT(SUBSTITUTE(TRIM(C3614)," ",REPT(" ",255)),255))," ")</f>
        <v xml:space="preserve"> </v>
      </c>
      <c r="G3614" s="110">
        <f>COPY!Z3606</f>
        <v>0</v>
      </c>
      <c r="H3614" s="111" t="str">
        <f>IFERROR(VLOOKUP(Table1722[[#This Row],[Bukti]],'Un nOTA'!$A$4:$K$5003,10,FALSE),"")</f>
        <v/>
      </c>
      <c r="I3614" s="123" t="str">
        <f>IFERROR(VLOOKUP(Table1722[[#This Row],[Bukti]],Table13[#Data],11,FALSE),"")</f>
        <v/>
      </c>
    </row>
    <row r="3615" spans="1:9" hidden="1" x14ac:dyDescent="0.2">
      <c r="A3615" s="105" t="str">
        <f>IF(D3615=1,COUNTIF($D$10:D3615,1)," ")</f>
        <v xml:space="preserve"> </v>
      </c>
      <c r="B3615" s="106">
        <f>COPY!AR3607</f>
        <v>0</v>
      </c>
      <c r="C3615" s="107">
        <f>COPY!AC3607</f>
        <v>0</v>
      </c>
      <c r="D3615" s="107" t="str">
        <f>IF(LEN(Table1722[[#This Row],[Uraian]])&gt;2,1," ")</f>
        <v xml:space="preserve"> </v>
      </c>
      <c r="E3615" s="113" t="str">
        <f>IF(Table1722[[#This Row],[Lawan Transaksi]]="CV AGUNG KARYA",COUNTIF($I$10:I3615,"CV AGUNG KARYA")," ")</f>
        <v xml:space="preserve"> </v>
      </c>
      <c r="F3615" s="107" t="str">
        <f>IF(LEN(Table1722[[#This Row],[Uraian]])&gt;2,TRIM(RIGHT(SUBSTITUTE(TRIM(C3615)," ",REPT(" ",255)),255))," ")</f>
        <v xml:space="preserve"> </v>
      </c>
      <c r="G3615" s="110">
        <f>COPY!Z3607</f>
        <v>0</v>
      </c>
      <c r="H3615" s="111" t="str">
        <f>IFERROR(VLOOKUP(Table1722[[#This Row],[Bukti]],'Un nOTA'!$A$4:$K$5003,10,FALSE),"")</f>
        <v/>
      </c>
      <c r="I3615" s="123" t="str">
        <f>IFERROR(VLOOKUP(Table1722[[#This Row],[Bukti]],Table13[#Data],11,FALSE),"")</f>
        <v/>
      </c>
    </row>
    <row r="3616" spans="1:9" hidden="1" x14ac:dyDescent="0.2">
      <c r="A3616" s="105" t="str">
        <f>IF(D3616=1,COUNTIF($D$10:D3616,1)," ")</f>
        <v xml:space="preserve"> </v>
      </c>
      <c r="B3616" s="106">
        <f>COPY!AR3608</f>
        <v>0</v>
      </c>
      <c r="C3616" s="107">
        <f>COPY!AC3608</f>
        <v>0</v>
      </c>
      <c r="D3616" s="107" t="str">
        <f>IF(LEN(Table1722[[#This Row],[Uraian]])&gt;2,1," ")</f>
        <v xml:space="preserve"> </v>
      </c>
      <c r="E3616" s="113" t="str">
        <f>IF(Table1722[[#This Row],[Lawan Transaksi]]="CV AGUNG KARYA",COUNTIF($I$10:I3616,"CV AGUNG KARYA")," ")</f>
        <v xml:space="preserve"> </v>
      </c>
      <c r="F3616" s="107" t="str">
        <f>IF(LEN(Table1722[[#This Row],[Uraian]])&gt;2,TRIM(RIGHT(SUBSTITUTE(TRIM(C3616)," ",REPT(" ",255)),255))," ")</f>
        <v xml:space="preserve"> </v>
      </c>
      <c r="G3616" s="110">
        <f>COPY!Z3608</f>
        <v>0</v>
      </c>
      <c r="H3616" s="111" t="str">
        <f>IFERROR(VLOOKUP(Table1722[[#This Row],[Bukti]],'Un nOTA'!$A$4:$K$5003,10,FALSE),"")</f>
        <v/>
      </c>
      <c r="I3616" s="123" t="str">
        <f>IFERROR(VLOOKUP(Table1722[[#This Row],[Bukti]],Table13[#Data],11,FALSE),"")</f>
        <v/>
      </c>
    </row>
    <row r="3617" spans="1:9" hidden="1" x14ac:dyDescent="0.2">
      <c r="A3617" s="105" t="str">
        <f>IF(D3617=1,COUNTIF($D$10:D3617,1)," ")</f>
        <v xml:space="preserve"> </v>
      </c>
      <c r="B3617" s="106">
        <f>COPY!AR3609</f>
        <v>0</v>
      </c>
      <c r="C3617" s="107">
        <f>COPY!AC3609</f>
        <v>0</v>
      </c>
      <c r="D3617" s="107" t="str">
        <f>IF(LEN(Table1722[[#This Row],[Uraian]])&gt;2,1," ")</f>
        <v xml:space="preserve"> </v>
      </c>
      <c r="E3617" s="113" t="str">
        <f>IF(Table1722[[#This Row],[Lawan Transaksi]]="CV AGUNG KARYA",COUNTIF($I$10:I3617,"CV AGUNG KARYA")," ")</f>
        <v xml:space="preserve"> </v>
      </c>
      <c r="F3617" s="107" t="str">
        <f>IF(LEN(Table1722[[#This Row],[Uraian]])&gt;2,TRIM(RIGHT(SUBSTITUTE(TRIM(C3617)," ",REPT(" ",255)),255))," ")</f>
        <v xml:space="preserve"> </v>
      </c>
      <c r="G3617" s="110">
        <f>COPY!Z3609</f>
        <v>0</v>
      </c>
      <c r="H3617" s="111" t="str">
        <f>IFERROR(VLOOKUP(Table1722[[#This Row],[Bukti]],'Un nOTA'!$A$4:$K$5003,10,FALSE),"")</f>
        <v/>
      </c>
      <c r="I3617" s="123" t="str">
        <f>IFERROR(VLOOKUP(Table1722[[#This Row],[Bukti]],Table13[#Data],11,FALSE),"")</f>
        <v/>
      </c>
    </row>
    <row r="3618" spans="1:9" hidden="1" x14ac:dyDescent="0.2">
      <c r="A3618" s="105" t="str">
        <f>IF(D3618=1,COUNTIF($D$10:D3618,1)," ")</f>
        <v xml:space="preserve"> </v>
      </c>
      <c r="B3618" s="106">
        <f>COPY!AR3610</f>
        <v>0</v>
      </c>
      <c r="C3618" s="107">
        <f>COPY!AC3610</f>
        <v>0</v>
      </c>
      <c r="D3618" s="107" t="str">
        <f>IF(LEN(Table1722[[#This Row],[Uraian]])&gt;2,1," ")</f>
        <v xml:space="preserve"> </v>
      </c>
      <c r="E3618" s="113" t="str">
        <f>IF(Table1722[[#This Row],[Lawan Transaksi]]="CV AGUNG KARYA",COUNTIF($I$10:I3618,"CV AGUNG KARYA")," ")</f>
        <v xml:space="preserve"> </v>
      </c>
      <c r="F3618" s="107" t="str">
        <f>IF(LEN(Table1722[[#This Row],[Uraian]])&gt;2,TRIM(RIGHT(SUBSTITUTE(TRIM(C3618)," ",REPT(" ",255)),255))," ")</f>
        <v xml:space="preserve"> </v>
      </c>
      <c r="G3618" s="110">
        <f>COPY!Z3610</f>
        <v>0</v>
      </c>
      <c r="H3618" s="111" t="str">
        <f>IFERROR(VLOOKUP(Table1722[[#This Row],[Bukti]],'Un nOTA'!$A$4:$K$5003,10,FALSE),"")</f>
        <v/>
      </c>
      <c r="I3618" s="123" t="str">
        <f>IFERROR(VLOOKUP(Table1722[[#This Row],[Bukti]],Table13[#Data],11,FALSE),"")</f>
        <v/>
      </c>
    </row>
    <row r="3619" spans="1:9" hidden="1" x14ac:dyDescent="0.2">
      <c r="A3619" s="105" t="str">
        <f>IF(D3619=1,COUNTIF($D$10:D3619,1)," ")</f>
        <v xml:space="preserve"> </v>
      </c>
      <c r="B3619" s="106">
        <f>COPY!AR3611</f>
        <v>0</v>
      </c>
      <c r="C3619" s="107">
        <f>COPY!AC3611</f>
        <v>0</v>
      </c>
      <c r="D3619" s="107" t="str">
        <f>IF(LEN(Table1722[[#This Row],[Uraian]])&gt;2,1," ")</f>
        <v xml:space="preserve"> </v>
      </c>
      <c r="E3619" s="113" t="str">
        <f>IF(Table1722[[#This Row],[Lawan Transaksi]]="CV AGUNG KARYA",COUNTIF($I$10:I3619,"CV AGUNG KARYA")," ")</f>
        <v xml:space="preserve"> </v>
      </c>
      <c r="F3619" s="107" t="str">
        <f>IF(LEN(Table1722[[#This Row],[Uraian]])&gt;2,TRIM(RIGHT(SUBSTITUTE(TRIM(C3619)," ",REPT(" ",255)),255))," ")</f>
        <v xml:space="preserve"> </v>
      </c>
      <c r="G3619" s="110">
        <f>COPY!Z3611</f>
        <v>0</v>
      </c>
      <c r="H3619" s="111" t="str">
        <f>IFERROR(VLOOKUP(Table1722[[#This Row],[Bukti]],'Un nOTA'!$A$4:$K$5003,10,FALSE),"")</f>
        <v/>
      </c>
      <c r="I3619" s="123" t="str">
        <f>IFERROR(VLOOKUP(Table1722[[#This Row],[Bukti]],Table13[#Data],11,FALSE),"")</f>
        <v/>
      </c>
    </row>
    <row r="3620" spans="1:9" hidden="1" x14ac:dyDescent="0.2">
      <c r="A3620" s="105" t="str">
        <f>IF(D3620=1,COUNTIF($D$10:D3620,1)," ")</f>
        <v xml:space="preserve"> </v>
      </c>
      <c r="B3620" s="106">
        <f>COPY!AR3612</f>
        <v>0</v>
      </c>
      <c r="C3620" s="107">
        <f>COPY!AC3612</f>
        <v>0</v>
      </c>
      <c r="D3620" s="107" t="str">
        <f>IF(LEN(Table1722[[#This Row],[Uraian]])&gt;2,1," ")</f>
        <v xml:space="preserve"> </v>
      </c>
      <c r="E3620" s="113" t="str">
        <f>IF(Table1722[[#This Row],[Lawan Transaksi]]="CV AGUNG KARYA",COUNTIF($I$10:I3620,"CV AGUNG KARYA")," ")</f>
        <v xml:space="preserve"> </v>
      </c>
      <c r="F3620" s="107" t="str">
        <f>IF(LEN(Table1722[[#This Row],[Uraian]])&gt;2,TRIM(RIGHT(SUBSTITUTE(TRIM(C3620)," ",REPT(" ",255)),255))," ")</f>
        <v xml:space="preserve"> </v>
      </c>
      <c r="G3620" s="110">
        <f>COPY!Z3612</f>
        <v>0</v>
      </c>
      <c r="H3620" s="111" t="str">
        <f>IFERROR(VLOOKUP(Table1722[[#This Row],[Bukti]],'Un nOTA'!$A$4:$K$5003,10,FALSE),"")</f>
        <v/>
      </c>
      <c r="I3620" s="123" t="str">
        <f>IFERROR(VLOOKUP(Table1722[[#This Row],[Bukti]],Table13[#Data],11,FALSE),"")</f>
        <v/>
      </c>
    </row>
    <row r="3621" spans="1:9" hidden="1" x14ac:dyDescent="0.2">
      <c r="A3621" s="105" t="str">
        <f>IF(D3621=1,COUNTIF($D$10:D3621,1)," ")</f>
        <v xml:space="preserve"> </v>
      </c>
      <c r="B3621" s="106">
        <f>COPY!AR3613</f>
        <v>0</v>
      </c>
      <c r="C3621" s="107">
        <f>COPY!AC3613</f>
        <v>0</v>
      </c>
      <c r="D3621" s="107" t="str">
        <f>IF(LEN(Table1722[[#This Row],[Uraian]])&gt;2,1," ")</f>
        <v xml:space="preserve"> </v>
      </c>
      <c r="E3621" s="113" t="str">
        <f>IF(Table1722[[#This Row],[Lawan Transaksi]]="CV AGUNG KARYA",COUNTIF($I$10:I3621,"CV AGUNG KARYA")," ")</f>
        <v xml:space="preserve"> </v>
      </c>
      <c r="F3621" s="107" t="str">
        <f>IF(LEN(Table1722[[#This Row],[Uraian]])&gt;2,TRIM(RIGHT(SUBSTITUTE(TRIM(C3621)," ",REPT(" ",255)),255))," ")</f>
        <v xml:space="preserve"> </v>
      </c>
      <c r="G3621" s="110">
        <f>COPY!Z3613</f>
        <v>0</v>
      </c>
      <c r="H3621" s="111" t="str">
        <f>IFERROR(VLOOKUP(Table1722[[#This Row],[Bukti]],'Un nOTA'!$A$4:$K$5003,10,FALSE),"")</f>
        <v/>
      </c>
      <c r="I3621" s="123" t="str">
        <f>IFERROR(VLOOKUP(Table1722[[#This Row],[Bukti]],Table13[#Data],11,FALSE),"")</f>
        <v/>
      </c>
    </row>
    <row r="3622" spans="1:9" hidden="1" x14ac:dyDescent="0.2">
      <c r="A3622" s="105" t="str">
        <f>IF(D3622=1,COUNTIF($D$10:D3622,1)," ")</f>
        <v xml:space="preserve"> </v>
      </c>
      <c r="B3622" s="106">
        <f>COPY!AR3614</f>
        <v>0</v>
      </c>
      <c r="C3622" s="107">
        <f>COPY!AC3614</f>
        <v>0</v>
      </c>
      <c r="D3622" s="107" t="str">
        <f>IF(LEN(Table1722[[#This Row],[Uraian]])&gt;2,1," ")</f>
        <v xml:space="preserve"> </v>
      </c>
      <c r="E3622" s="113" t="str">
        <f>IF(Table1722[[#This Row],[Lawan Transaksi]]="CV AGUNG KARYA",COUNTIF($I$10:I3622,"CV AGUNG KARYA")," ")</f>
        <v xml:space="preserve"> </v>
      </c>
      <c r="F3622" s="107" t="str">
        <f>IF(LEN(Table1722[[#This Row],[Uraian]])&gt;2,TRIM(RIGHT(SUBSTITUTE(TRIM(C3622)," ",REPT(" ",255)),255))," ")</f>
        <v xml:space="preserve"> </v>
      </c>
      <c r="G3622" s="110">
        <f>COPY!Z3614</f>
        <v>0</v>
      </c>
      <c r="H3622" s="111" t="str">
        <f>IFERROR(VLOOKUP(Table1722[[#This Row],[Bukti]],'Un nOTA'!$A$4:$K$5003,10,FALSE),"")</f>
        <v/>
      </c>
      <c r="I3622" s="123" t="str">
        <f>IFERROR(VLOOKUP(Table1722[[#This Row],[Bukti]],Table13[#Data],11,FALSE),"")</f>
        <v/>
      </c>
    </row>
    <row r="3623" spans="1:9" hidden="1" x14ac:dyDescent="0.2">
      <c r="A3623" s="105" t="str">
        <f>IF(D3623=1,COUNTIF($D$10:D3623,1)," ")</f>
        <v xml:space="preserve"> </v>
      </c>
      <c r="B3623" s="106">
        <f>COPY!AR3615</f>
        <v>0</v>
      </c>
      <c r="C3623" s="107">
        <f>COPY!AC3615</f>
        <v>0</v>
      </c>
      <c r="D3623" s="107" t="str">
        <f>IF(LEN(Table1722[[#This Row],[Uraian]])&gt;2,1," ")</f>
        <v xml:space="preserve"> </v>
      </c>
      <c r="E3623" s="113" t="str">
        <f>IF(Table1722[[#This Row],[Lawan Transaksi]]="CV AGUNG KARYA",COUNTIF($I$10:I3623,"CV AGUNG KARYA")," ")</f>
        <v xml:space="preserve"> </v>
      </c>
      <c r="F3623" s="107" t="str">
        <f>IF(LEN(Table1722[[#This Row],[Uraian]])&gt;2,TRIM(RIGHT(SUBSTITUTE(TRIM(C3623)," ",REPT(" ",255)),255))," ")</f>
        <v xml:space="preserve"> </v>
      </c>
      <c r="G3623" s="110">
        <f>COPY!Z3615</f>
        <v>0</v>
      </c>
      <c r="H3623" s="111" t="str">
        <f>IFERROR(VLOOKUP(Table1722[[#This Row],[Bukti]],'Un nOTA'!$A$4:$K$5003,10,FALSE),"")</f>
        <v/>
      </c>
      <c r="I3623" s="123" t="str">
        <f>IFERROR(VLOOKUP(Table1722[[#This Row],[Bukti]],Table13[#Data],11,FALSE),"")</f>
        <v/>
      </c>
    </row>
    <row r="3624" spans="1:9" hidden="1" x14ac:dyDescent="0.2">
      <c r="A3624" s="105" t="str">
        <f>IF(D3624=1,COUNTIF($D$10:D3624,1)," ")</f>
        <v xml:space="preserve"> </v>
      </c>
      <c r="B3624" s="106">
        <f>COPY!AR3616</f>
        <v>0</v>
      </c>
      <c r="C3624" s="107">
        <f>COPY!AC3616</f>
        <v>0</v>
      </c>
      <c r="D3624" s="107" t="str">
        <f>IF(LEN(Table1722[[#This Row],[Uraian]])&gt;2,1," ")</f>
        <v xml:space="preserve"> </v>
      </c>
      <c r="E3624" s="113" t="str">
        <f>IF(Table1722[[#This Row],[Lawan Transaksi]]="CV AGUNG KARYA",COUNTIF($I$10:I3624,"CV AGUNG KARYA")," ")</f>
        <v xml:space="preserve"> </v>
      </c>
      <c r="F3624" s="107" t="str">
        <f>IF(LEN(Table1722[[#This Row],[Uraian]])&gt;2,TRIM(RIGHT(SUBSTITUTE(TRIM(C3624)," ",REPT(" ",255)),255))," ")</f>
        <v xml:space="preserve"> </v>
      </c>
      <c r="G3624" s="110">
        <f>COPY!Z3616</f>
        <v>0</v>
      </c>
      <c r="H3624" s="111" t="str">
        <f>IFERROR(VLOOKUP(Table1722[[#This Row],[Bukti]],'Un nOTA'!$A$4:$K$5003,10,FALSE),"")</f>
        <v/>
      </c>
      <c r="I3624" s="123" t="str">
        <f>IFERROR(VLOOKUP(Table1722[[#This Row],[Bukti]],Table13[#Data],11,FALSE),"")</f>
        <v/>
      </c>
    </row>
    <row r="3625" spans="1:9" hidden="1" x14ac:dyDescent="0.2">
      <c r="A3625" s="105" t="str">
        <f>IF(D3625=1,COUNTIF($D$10:D3625,1)," ")</f>
        <v xml:space="preserve"> </v>
      </c>
      <c r="B3625" s="106">
        <f>COPY!AR3617</f>
        <v>0</v>
      </c>
      <c r="C3625" s="107">
        <f>COPY!AC3617</f>
        <v>0</v>
      </c>
      <c r="D3625" s="107" t="str">
        <f>IF(LEN(Table1722[[#This Row],[Uraian]])&gt;2,1," ")</f>
        <v xml:space="preserve"> </v>
      </c>
      <c r="E3625" s="113" t="str">
        <f>IF(Table1722[[#This Row],[Lawan Transaksi]]="CV AGUNG KARYA",COUNTIF($I$10:I3625,"CV AGUNG KARYA")," ")</f>
        <v xml:space="preserve"> </v>
      </c>
      <c r="F3625" s="107" t="str">
        <f>IF(LEN(Table1722[[#This Row],[Uraian]])&gt;2,TRIM(RIGHT(SUBSTITUTE(TRIM(C3625)," ",REPT(" ",255)),255))," ")</f>
        <v xml:space="preserve"> </v>
      </c>
      <c r="G3625" s="110">
        <f>COPY!Z3617</f>
        <v>0</v>
      </c>
      <c r="H3625" s="111" t="str">
        <f>IFERROR(VLOOKUP(Table1722[[#This Row],[Bukti]],'Un nOTA'!$A$4:$K$5003,10,FALSE),"")</f>
        <v/>
      </c>
      <c r="I3625" s="123" t="str">
        <f>IFERROR(VLOOKUP(Table1722[[#This Row],[Bukti]],Table13[#Data],11,FALSE),"")</f>
        <v/>
      </c>
    </row>
    <row r="3626" spans="1:9" hidden="1" x14ac:dyDescent="0.2">
      <c r="A3626" s="105" t="str">
        <f>IF(D3626=1,COUNTIF($D$10:D3626,1)," ")</f>
        <v xml:space="preserve"> </v>
      </c>
      <c r="B3626" s="106">
        <f>COPY!AR3618</f>
        <v>0</v>
      </c>
      <c r="C3626" s="107">
        <f>COPY!AC3618</f>
        <v>0</v>
      </c>
      <c r="D3626" s="107" t="str">
        <f>IF(LEN(Table1722[[#This Row],[Uraian]])&gt;2,1," ")</f>
        <v xml:space="preserve"> </v>
      </c>
      <c r="E3626" s="113" t="str">
        <f>IF(Table1722[[#This Row],[Lawan Transaksi]]="CV AGUNG KARYA",COUNTIF($I$10:I3626,"CV AGUNG KARYA")," ")</f>
        <v xml:space="preserve"> </v>
      </c>
      <c r="F3626" s="107" t="str">
        <f>IF(LEN(Table1722[[#This Row],[Uraian]])&gt;2,TRIM(RIGHT(SUBSTITUTE(TRIM(C3626)," ",REPT(" ",255)),255))," ")</f>
        <v xml:space="preserve"> </v>
      </c>
      <c r="G3626" s="110">
        <f>COPY!Z3618</f>
        <v>0</v>
      </c>
      <c r="H3626" s="111" t="str">
        <f>IFERROR(VLOOKUP(Table1722[[#This Row],[Bukti]],'Un nOTA'!$A$4:$K$5003,10,FALSE),"")</f>
        <v/>
      </c>
      <c r="I3626" s="123" t="str">
        <f>IFERROR(VLOOKUP(Table1722[[#This Row],[Bukti]],Table13[#Data],11,FALSE),"")</f>
        <v/>
      </c>
    </row>
    <row r="3627" spans="1:9" hidden="1" x14ac:dyDescent="0.2">
      <c r="A3627" s="105" t="str">
        <f>IF(D3627=1,COUNTIF($D$10:D3627,1)," ")</f>
        <v xml:space="preserve"> </v>
      </c>
      <c r="B3627" s="106">
        <f>COPY!AR3619</f>
        <v>0</v>
      </c>
      <c r="C3627" s="107">
        <f>COPY!AC3619</f>
        <v>0</v>
      </c>
      <c r="D3627" s="107" t="str">
        <f>IF(LEN(Table1722[[#This Row],[Uraian]])&gt;2,1," ")</f>
        <v xml:space="preserve"> </v>
      </c>
      <c r="E3627" s="113" t="str">
        <f>IF(Table1722[[#This Row],[Lawan Transaksi]]="CV AGUNG KARYA",COUNTIF($I$10:I3627,"CV AGUNG KARYA")," ")</f>
        <v xml:space="preserve"> </v>
      </c>
      <c r="F3627" s="107" t="str">
        <f>IF(LEN(Table1722[[#This Row],[Uraian]])&gt;2,TRIM(RIGHT(SUBSTITUTE(TRIM(C3627)," ",REPT(" ",255)),255))," ")</f>
        <v xml:space="preserve"> </v>
      </c>
      <c r="G3627" s="110">
        <f>COPY!Z3619</f>
        <v>0</v>
      </c>
      <c r="H3627" s="111" t="str">
        <f>IFERROR(VLOOKUP(Table1722[[#This Row],[Bukti]],'Un nOTA'!$A$4:$K$5003,10,FALSE),"")</f>
        <v/>
      </c>
      <c r="I3627" s="123" t="str">
        <f>IFERROR(VLOOKUP(Table1722[[#This Row],[Bukti]],Table13[#Data],11,FALSE),"")</f>
        <v/>
      </c>
    </row>
    <row r="3628" spans="1:9" hidden="1" x14ac:dyDescent="0.2">
      <c r="A3628" s="105" t="str">
        <f>IF(D3628=1,COUNTIF($D$10:D3628,1)," ")</f>
        <v xml:space="preserve"> </v>
      </c>
      <c r="B3628" s="106">
        <f>COPY!AR3620</f>
        <v>0</v>
      </c>
      <c r="C3628" s="107">
        <f>COPY!AC3620</f>
        <v>0</v>
      </c>
      <c r="D3628" s="107" t="str">
        <f>IF(LEN(Table1722[[#This Row],[Uraian]])&gt;2,1," ")</f>
        <v xml:space="preserve"> </v>
      </c>
      <c r="E3628" s="113" t="str">
        <f>IF(Table1722[[#This Row],[Lawan Transaksi]]="CV AGUNG KARYA",COUNTIF($I$10:I3628,"CV AGUNG KARYA")," ")</f>
        <v xml:space="preserve"> </v>
      </c>
      <c r="F3628" s="107" t="str">
        <f>IF(LEN(Table1722[[#This Row],[Uraian]])&gt;2,TRIM(RIGHT(SUBSTITUTE(TRIM(C3628)," ",REPT(" ",255)),255))," ")</f>
        <v xml:space="preserve"> </v>
      </c>
      <c r="G3628" s="110">
        <f>COPY!Z3620</f>
        <v>0</v>
      </c>
      <c r="H3628" s="111" t="str">
        <f>IFERROR(VLOOKUP(Table1722[[#This Row],[Bukti]],'Un nOTA'!$A$4:$K$5003,10,FALSE),"")</f>
        <v/>
      </c>
      <c r="I3628" s="123" t="str">
        <f>IFERROR(VLOOKUP(Table1722[[#This Row],[Bukti]],Table13[#Data],11,FALSE),"")</f>
        <v/>
      </c>
    </row>
    <row r="3629" spans="1:9" hidden="1" x14ac:dyDescent="0.2">
      <c r="A3629" s="105" t="str">
        <f>IF(D3629=1,COUNTIF($D$10:D3629,1)," ")</f>
        <v xml:space="preserve"> </v>
      </c>
      <c r="B3629" s="106">
        <f>COPY!AR3621</f>
        <v>0</v>
      </c>
      <c r="C3629" s="107">
        <f>COPY!AC3621</f>
        <v>0</v>
      </c>
      <c r="D3629" s="107" t="str">
        <f>IF(LEN(Table1722[[#This Row],[Uraian]])&gt;2,1," ")</f>
        <v xml:space="preserve"> </v>
      </c>
      <c r="E3629" s="113" t="str">
        <f>IF(Table1722[[#This Row],[Lawan Transaksi]]="CV AGUNG KARYA",COUNTIF($I$10:I3629,"CV AGUNG KARYA")," ")</f>
        <v xml:space="preserve"> </v>
      </c>
      <c r="F3629" s="107" t="str">
        <f>IF(LEN(Table1722[[#This Row],[Uraian]])&gt;2,TRIM(RIGHT(SUBSTITUTE(TRIM(C3629)," ",REPT(" ",255)),255))," ")</f>
        <v xml:space="preserve"> </v>
      </c>
      <c r="G3629" s="110">
        <f>COPY!Z3621</f>
        <v>0</v>
      </c>
      <c r="H3629" s="111" t="str">
        <f>IFERROR(VLOOKUP(Table1722[[#This Row],[Bukti]],'Un nOTA'!$A$4:$K$5003,10,FALSE),"")</f>
        <v/>
      </c>
      <c r="I3629" s="123" t="str">
        <f>IFERROR(VLOOKUP(Table1722[[#This Row],[Bukti]],Table13[#Data],11,FALSE),"")</f>
        <v/>
      </c>
    </row>
    <row r="3630" spans="1:9" hidden="1" x14ac:dyDescent="0.2">
      <c r="A3630" s="105" t="str">
        <f>IF(D3630=1,COUNTIF($D$10:D3630,1)," ")</f>
        <v xml:space="preserve"> </v>
      </c>
      <c r="B3630" s="106">
        <f>COPY!AR3622</f>
        <v>0</v>
      </c>
      <c r="C3630" s="107">
        <f>COPY!AC3622</f>
        <v>0</v>
      </c>
      <c r="D3630" s="107" t="str">
        <f>IF(LEN(Table1722[[#This Row],[Uraian]])&gt;2,1," ")</f>
        <v xml:space="preserve"> </v>
      </c>
      <c r="E3630" s="113" t="str">
        <f>IF(Table1722[[#This Row],[Lawan Transaksi]]="CV AGUNG KARYA",COUNTIF($I$10:I3630,"CV AGUNG KARYA")," ")</f>
        <v xml:space="preserve"> </v>
      </c>
      <c r="F3630" s="107" t="str">
        <f>IF(LEN(Table1722[[#This Row],[Uraian]])&gt;2,TRIM(RIGHT(SUBSTITUTE(TRIM(C3630)," ",REPT(" ",255)),255))," ")</f>
        <v xml:space="preserve"> </v>
      </c>
      <c r="G3630" s="110">
        <f>COPY!Z3622</f>
        <v>0</v>
      </c>
      <c r="H3630" s="111" t="str">
        <f>IFERROR(VLOOKUP(Table1722[[#This Row],[Bukti]],'Un nOTA'!$A$4:$K$5003,10,FALSE),"")</f>
        <v/>
      </c>
      <c r="I3630" s="123" t="str">
        <f>IFERROR(VLOOKUP(Table1722[[#This Row],[Bukti]],Table13[#Data],11,FALSE),"")</f>
        <v/>
      </c>
    </row>
    <row r="3631" spans="1:9" hidden="1" x14ac:dyDescent="0.2">
      <c r="A3631" s="105" t="str">
        <f>IF(D3631=1,COUNTIF($D$10:D3631,1)," ")</f>
        <v xml:space="preserve"> </v>
      </c>
      <c r="B3631" s="106">
        <f>COPY!AR3623</f>
        <v>0</v>
      </c>
      <c r="C3631" s="107">
        <f>COPY!AC3623</f>
        <v>0</v>
      </c>
      <c r="D3631" s="107" t="str">
        <f>IF(LEN(Table1722[[#This Row],[Uraian]])&gt;2,1," ")</f>
        <v xml:space="preserve"> </v>
      </c>
      <c r="E3631" s="113" t="str">
        <f>IF(Table1722[[#This Row],[Lawan Transaksi]]="CV AGUNG KARYA",COUNTIF($I$10:I3631,"CV AGUNG KARYA")," ")</f>
        <v xml:space="preserve"> </v>
      </c>
      <c r="F3631" s="107" t="str">
        <f>IF(LEN(Table1722[[#This Row],[Uraian]])&gt;2,TRIM(RIGHT(SUBSTITUTE(TRIM(C3631)," ",REPT(" ",255)),255))," ")</f>
        <v xml:space="preserve"> </v>
      </c>
      <c r="G3631" s="110">
        <f>COPY!Z3623</f>
        <v>0</v>
      </c>
      <c r="H3631" s="111" t="str">
        <f>IFERROR(VLOOKUP(Table1722[[#This Row],[Bukti]],'Un nOTA'!$A$4:$K$5003,10,FALSE),"")</f>
        <v/>
      </c>
      <c r="I3631" s="123" t="str">
        <f>IFERROR(VLOOKUP(Table1722[[#This Row],[Bukti]],Table13[#Data],11,FALSE),"")</f>
        <v/>
      </c>
    </row>
    <row r="3632" spans="1:9" hidden="1" x14ac:dyDescent="0.2">
      <c r="A3632" s="105" t="str">
        <f>IF(D3632=1,COUNTIF($D$10:D3632,1)," ")</f>
        <v xml:space="preserve"> </v>
      </c>
      <c r="B3632" s="106">
        <f>COPY!AR3624</f>
        <v>0</v>
      </c>
      <c r="C3632" s="107">
        <f>COPY!AC3624</f>
        <v>0</v>
      </c>
      <c r="D3632" s="107" t="str">
        <f>IF(LEN(Table1722[[#This Row],[Uraian]])&gt;2,1," ")</f>
        <v xml:space="preserve"> </v>
      </c>
      <c r="E3632" s="113" t="str">
        <f>IF(Table1722[[#This Row],[Lawan Transaksi]]="CV AGUNG KARYA",COUNTIF($I$10:I3632,"CV AGUNG KARYA")," ")</f>
        <v xml:space="preserve"> </v>
      </c>
      <c r="F3632" s="107" t="str">
        <f>IF(LEN(Table1722[[#This Row],[Uraian]])&gt;2,TRIM(RIGHT(SUBSTITUTE(TRIM(C3632)," ",REPT(" ",255)),255))," ")</f>
        <v xml:space="preserve"> </v>
      </c>
      <c r="G3632" s="110">
        <f>COPY!Z3624</f>
        <v>0</v>
      </c>
      <c r="H3632" s="111" t="str">
        <f>IFERROR(VLOOKUP(Table1722[[#This Row],[Bukti]],'Un nOTA'!$A$4:$K$5003,10,FALSE),"")</f>
        <v/>
      </c>
      <c r="I3632" s="123" t="str">
        <f>IFERROR(VLOOKUP(Table1722[[#This Row],[Bukti]],Table13[#Data],11,FALSE),"")</f>
        <v/>
      </c>
    </row>
    <row r="3633" spans="1:9" hidden="1" x14ac:dyDescent="0.2">
      <c r="A3633" s="105" t="str">
        <f>IF(D3633=1,COUNTIF($D$10:D3633,1)," ")</f>
        <v xml:space="preserve"> </v>
      </c>
      <c r="B3633" s="106">
        <f>COPY!AR3625</f>
        <v>0</v>
      </c>
      <c r="C3633" s="107">
        <f>COPY!AC3625</f>
        <v>0</v>
      </c>
      <c r="D3633" s="107" t="str">
        <f>IF(LEN(Table1722[[#This Row],[Uraian]])&gt;2,1," ")</f>
        <v xml:space="preserve"> </v>
      </c>
      <c r="E3633" s="113" t="str">
        <f>IF(Table1722[[#This Row],[Lawan Transaksi]]="CV AGUNG KARYA",COUNTIF($I$10:I3633,"CV AGUNG KARYA")," ")</f>
        <v xml:space="preserve"> </v>
      </c>
      <c r="F3633" s="107" t="str">
        <f>IF(LEN(Table1722[[#This Row],[Uraian]])&gt;2,TRIM(RIGHT(SUBSTITUTE(TRIM(C3633)," ",REPT(" ",255)),255))," ")</f>
        <v xml:space="preserve"> </v>
      </c>
      <c r="G3633" s="110">
        <f>COPY!Z3625</f>
        <v>0</v>
      </c>
      <c r="H3633" s="111" t="str">
        <f>IFERROR(VLOOKUP(Table1722[[#This Row],[Bukti]],'Un nOTA'!$A$4:$K$5003,10,FALSE),"")</f>
        <v/>
      </c>
      <c r="I3633" s="123" t="str">
        <f>IFERROR(VLOOKUP(Table1722[[#This Row],[Bukti]],Table13[#Data],11,FALSE),"")</f>
        <v/>
      </c>
    </row>
    <row r="3634" spans="1:9" hidden="1" x14ac:dyDescent="0.2">
      <c r="A3634" s="105" t="str">
        <f>IF(D3634=1,COUNTIF($D$10:D3634,1)," ")</f>
        <v xml:space="preserve"> </v>
      </c>
      <c r="B3634" s="106">
        <f>COPY!AR3626</f>
        <v>0</v>
      </c>
      <c r="C3634" s="107">
        <f>COPY!AC3626</f>
        <v>0</v>
      </c>
      <c r="D3634" s="107" t="str">
        <f>IF(LEN(Table1722[[#This Row],[Uraian]])&gt;2,1," ")</f>
        <v xml:space="preserve"> </v>
      </c>
      <c r="E3634" s="113" t="str">
        <f>IF(Table1722[[#This Row],[Lawan Transaksi]]="CV AGUNG KARYA",COUNTIF($I$10:I3634,"CV AGUNG KARYA")," ")</f>
        <v xml:space="preserve"> </v>
      </c>
      <c r="F3634" s="107" t="str">
        <f>IF(LEN(Table1722[[#This Row],[Uraian]])&gt;2,TRIM(RIGHT(SUBSTITUTE(TRIM(C3634)," ",REPT(" ",255)),255))," ")</f>
        <v xml:space="preserve"> </v>
      </c>
      <c r="G3634" s="110">
        <f>COPY!Z3626</f>
        <v>0</v>
      </c>
      <c r="H3634" s="111" t="str">
        <f>IFERROR(VLOOKUP(Table1722[[#This Row],[Bukti]],'Un nOTA'!$A$4:$K$5003,10,FALSE),"")</f>
        <v/>
      </c>
      <c r="I3634" s="123" t="str">
        <f>IFERROR(VLOOKUP(Table1722[[#This Row],[Bukti]],Table13[#Data],11,FALSE),"")</f>
        <v/>
      </c>
    </row>
    <row r="3635" spans="1:9" hidden="1" x14ac:dyDescent="0.2">
      <c r="A3635" s="105" t="str">
        <f>IF(D3635=1,COUNTIF($D$10:D3635,1)," ")</f>
        <v xml:space="preserve"> </v>
      </c>
      <c r="B3635" s="106">
        <f>COPY!AR3627</f>
        <v>0</v>
      </c>
      <c r="C3635" s="107">
        <f>COPY!AC3627</f>
        <v>0</v>
      </c>
      <c r="D3635" s="107" t="str">
        <f>IF(LEN(Table1722[[#This Row],[Uraian]])&gt;2,1," ")</f>
        <v xml:space="preserve"> </v>
      </c>
      <c r="E3635" s="113" t="str">
        <f>IF(Table1722[[#This Row],[Lawan Transaksi]]="CV AGUNG KARYA",COUNTIF($I$10:I3635,"CV AGUNG KARYA")," ")</f>
        <v xml:space="preserve"> </v>
      </c>
      <c r="F3635" s="107" t="str">
        <f>IF(LEN(Table1722[[#This Row],[Uraian]])&gt;2,TRIM(RIGHT(SUBSTITUTE(TRIM(C3635)," ",REPT(" ",255)),255))," ")</f>
        <v xml:space="preserve"> </v>
      </c>
      <c r="G3635" s="110">
        <f>COPY!Z3627</f>
        <v>0</v>
      </c>
      <c r="H3635" s="111" t="str">
        <f>IFERROR(VLOOKUP(Table1722[[#This Row],[Bukti]],'Un nOTA'!$A$4:$K$5003,10,FALSE),"")</f>
        <v/>
      </c>
      <c r="I3635" s="123" t="str">
        <f>IFERROR(VLOOKUP(Table1722[[#This Row],[Bukti]],Table13[#Data],11,FALSE),"")</f>
        <v/>
      </c>
    </row>
    <row r="3636" spans="1:9" hidden="1" x14ac:dyDescent="0.2">
      <c r="A3636" s="105" t="str">
        <f>IF(D3636=1,COUNTIF($D$10:D3636,1)," ")</f>
        <v xml:space="preserve"> </v>
      </c>
      <c r="B3636" s="106">
        <f>COPY!AR3628</f>
        <v>0</v>
      </c>
      <c r="C3636" s="107">
        <f>COPY!AC3628</f>
        <v>0</v>
      </c>
      <c r="D3636" s="107" t="str">
        <f>IF(LEN(Table1722[[#This Row],[Uraian]])&gt;2,1," ")</f>
        <v xml:space="preserve"> </v>
      </c>
      <c r="E3636" s="113" t="str">
        <f>IF(Table1722[[#This Row],[Lawan Transaksi]]="CV AGUNG KARYA",COUNTIF($I$10:I3636,"CV AGUNG KARYA")," ")</f>
        <v xml:space="preserve"> </v>
      </c>
      <c r="F3636" s="107" t="str">
        <f>IF(LEN(Table1722[[#This Row],[Uraian]])&gt;2,TRIM(RIGHT(SUBSTITUTE(TRIM(C3636)," ",REPT(" ",255)),255))," ")</f>
        <v xml:space="preserve"> </v>
      </c>
      <c r="G3636" s="110">
        <f>COPY!Z3628</f>
        <v>0</v>
      </c>
      <c r="H3636" s="111" t="str">
        <f>IFERROR(VLOOKUP(Table1722[[#This Row],[Bukti]],'Un nOTA'!$A$4:$K$5003,10,FALSE),"")</f>
        <v/>
      </c>
      <c r="I3636" s="123" t="str">
        <f>IFERROR(VLOOKUP(Table1722[[#This Row],[Bukti]],Table13[#Data],11,FALSE),"")</f>
        <v/>
      </c>
    </row>
    <row r="3637" spans="1:9" hidden="1" x14ac:dyDescent="0.2">
      <c r="A3637" s="105" t="str">
        <f>IF(D3637=1,COUNTIF($D$10:D3637,1)," ")</f>
        <v xml:space="preserve"> </v>
      </c>
      <c r="B3637" s="106">
        <f>COPY!AR3629</f>
        <v>0</v>
      </c>
      <c r="C3637" s="107">
        <f>COPY!AC3629</f>
        <v>0</v>
      </c>
      <c r="D3637" s="107" t="str">
        <f>IF(LEN(Table1722[[#This Row],[Uraian]])&gt;2,1," ")</f>
        <v xml:space="preserve"> </v>
      </c>
      <c r="E3637" s="113" t="str">
        <f>IF(Table1722[[#This Row],[Lawan Transaksi]]="CV AGUNG KARYA",COUNTIF($I$10:I3637,"CV AGUNG KARYA")," ")</f>
        <v xml:space="preserve"> </v>
      </c>
      <c r="F3637" s="107" t="str">
        <f>IF(LEN(Table1722[[#This Row],[Uraian]])&gt;2,TRIM(RIGHT(SUBSTITUTE(TRIM(C3637)," ",REPT(" ",255)),255))," ")</f>
        <v xml:space="preserve"> </v>
      </c>
      <c r="G3637" s="110">
        <f>COPY!Z3629</f>
        <v>0</v>
      </c>
      <c r="H3637" s="111" t="str">
        <f>IFERROR(VLOOKUP(Table1722[[#This Row],[Bukti]],'Un nOTA'!$A$4:$K$5003,10,FALSE),"")</f>
        <v/>
      </c>
      <c r="I3637" s="123" t="str">
        <f>IFERROR(VLOOKUP(Table1722[[#This Row],[Bukti]],Table13[#Data],11,FALSE),"")</f>
        <v/>
      </c>
    </row>
    <row r="3638" spans="1:9" hidden="1" x14ac:dyDescent="0.2">
      <c r="A3638" s="105" t="str">
        <f>IF(D3638=1,COUNTIF($D$10:D3638,1)," ")</f>
        <v xml:space="preserve"> </v>
      </c>
      <c r="B3638" s="106">
        <f>COPY!AR3630</f>
        <v>0</v>
      </c>
      <c r="C3638" s="107">
        <f>COPY!AC3630</f>
        <v>0</v>
      </c>
      <c r="D3638" s="107" t="str">
        <f>IF(LEN(Table1722[[#This Row],[Uraian]])&gt;2,1," ")</f>
        <v xml:space="preserve"> </v>
      </c>
      <c r="E3638" s="113" t="str">
        <f>IF(Table1722[[#This Row],[Lawan Transaksi]]="CV AGUNG KARYA",COUNTIF($I$10:I3638,"CV AGUNG KARYA")," ")</f>
        <v xml:space="preserve"> </v>
      </c>
      <c r="F3638" s="107" t="str">
        <f>IF(LEN(Table1722[[#This Row],[Uraian]])&gt;2,TRIM(RIGHT(SUBSTITUTE(TRIM(C3638)," ",REPT(" ",255)),255))," ")</f>
        <v xml:space="preserve"> </v>
      </c>
      <c r="G3638" s="110">
        <f>COPY!Z3630</f>
        <v>0</v>
      </c>
      <c r="H3638" s="111" t="str">
        <f>IFERROR(VLOOKUP(Table1722[[#This Row],[Bukti]],'Un nOTA'!$A$4:$K$5003,10,FALSE),"")</f>
        <v/>
      </c>
      <c r="I3638" s="123" t="str">
        <f>IFERROR(VLOOKUP(Table1722[[#This Row],[Bukti]],Table13[#Data],11,FALSE),"")</f>
        <v/>
      </c>
    </row>
    <row r="3639" spans="1:9" hidden="1" x14ac:dyDescent="0.2">
      <c r="A3639" s="105" t="str">
        <f>IF(D3639=1,COUNTIF($D$10:D3639,1)," ")</f>
        <v xml:space="preserve"> </v>
      </c>
      <c r="B3639" s="106">
        <f>COPY!AR3631</f>
        <v>0</v>
      </c>
      <c r="C3639" s="107">
        <f>COPY!AC3631</f>
        <v>0</v>
      </c>
      <c r="D3639" s="107" t="str">
        <f>IF(LEN(Table1722[[#This Row],[Uraian]])&gt;2,1," ")</f>
        <v xml:space="preserve"> </v>
      </c>
      <c r="E3639" s="113" t="str">
        <f>IF(Table1722[[#This Row],[Lawan Transaksi]]="CV AGUNG KARYA",COUNTIF($I$10:I3639,"CV AGUNG KARYA")," ")</f>
        <v xml:space="preserve"> </v>
      </c>
      <c r="F3639" s="107" t="str">
        <f>IF(LEN(Table1722[[#This Row],[Uraian]])&gt;2,TRIM(RIGHT(SUBSTITUTE(TRIM(C3639)," ",REPT(" ",255)),255))," ")</f>
        <v xml:space="preserve"> </v>
      </c>
      <c r="G3639" s="110">
        <f>COPY!Z3631</f>
        <v>0</v>
      </c>
      <c r="H3639" s="111" t="str">
        <f>IFERROR(VLOOKUP(Table1722[[#This Row],[Bukti]],'Un nOTA'!$A$4:$K$5003,10,FALSE),"")</f>
        <v/>
      </c>
      <c r="I3639" s="123" t="str">
        <f>IFERROR(VLOOKUP(Table1722[[#This Row],[Bukti]],Table13[#Data],11,FALSE),"")</f>
        <v/>
      </c>
    </row>
    <row r="3640" spans="1:9" hidden="1" x14ac:dyDescent="0.2">
      <c r="A3640" s="105" t="str">
        <f>IF(D3640=1,COUNTIF($D$10:D3640,1)," ")</f>
        <v xml:space="preserve"> </v>
      </c>
      <c r="B3640" s="106">
        <f>COPY!AR3632</f>
        <v>0</v>
      </c>
      <c r="C3640" s="107">
        <f>COPY!AC3632</f>
        <v>0</v>
      </c>
      <c r="D3640" s="107" t="str">
        <f>IF(LEN(Table1722[[#This Row],[Uraian]])&gt;2,1," ")</f>
        <v xml:space="preserve"> </v>
      </c>
      <c r="E3640" s="113" t="str">
        <f>IF(Table1722[[#This Row],[Lawan Transaksi]]="CV AGUNG KARYA",COUNTIF($I$10:I3640,"CV AGUNG KARYA")," ")</f>
        <v xml:space="preserve"> </v>
      </c>
      <c r="F3640" s="107" t="str">
        <f>IF(LEN(Table1722[[#This Row],[Uraian]])&gt;2,TRIM(RIGHT(SUBSTITUTE(TRIM(C3640)," ",REPT(" ",255)),255))," ")</f>
        <v xml:space="preserve"> </v>
      </c>
      <c r="G3640" s="110">
        <f>COPY!Z3632</f>
        <v>0</v>
      </c>
      <c r="H3640" s="111" t="str">
        <f>IFERROR(VLOOKUP(Table1722[[#This Row],[Bukti]],'Un nOTA'!$A$4:$K$5003,10,FALSE),"")</f>
        <v/>
      </c>
      <c r="I3640" s="123" t="str">
        <f>IFERROR(VLOOKUP(Table1722[[#This Row],[Bukti]],Table13[#Data],11,FALSE),"")</f>
        <v/>
      </c>
    </row>
    <row r="3641" spans="1:9" hidden="1" x14ac:dyDescent="0.2">
      <c r="A3641" s="105" t="str">
        <f>IF(D3641=1,COUNTIF($D$10:D3641,1)," ")</f>
        <v xml:space="preserve"> </v>
      </c>
      <c r="B3641" s="106">
        <f>COPY!AR3633</f>
        <v>0</v>
      </c>
      <c r="C3641" s="107">
        <f>COPY!AC3633</f>
        <v>0</v>
      </c>
      <c r="D3641" s="107" t="str">
        <f>IF(LEN(Table1722[[#This Row],[Uraian]])&gt;2,1," ")</f>
        <v xml:space="preserve"> </v>
      </c>
      <c r="E3641" s="113" t="str">
        <f>IF(Table1722[[#This Row],[Lawan Transaksi]]="CV AGUNG KARYA",COUNTIF($I$10:I3641,"CV AGUNG KARYA")," ")</f>
        <v xml:space="preserve"> </v>
      </c>
      <c r="F3641" s="107" t="str">
        <f>IF(LEN(Table1722[[#This Row],[Uraian]])&gt;2,TRIM(RIGHT(SUBSTITUTE(TRIM(C3641)," ",REPT(" ",255)),255))," ")</f>
        <v xml:space="preserve"> </v>
      </c>
      <c r="G3641" s="110">
        <f>COPY!Z3633</f>
        <v>0</v>
      </c>
      <c r="H3641" s="111" t="str">
        <f>IFERROR(VLOOKUP(Table1722[[#This Row],[Bukti]],'Un nOTA'!$A$4:$K$5003,10,FALSE),"")</f>
        <v/>
      </c>
      <c r="I3641" s="123" t="str">
        <f>IFERROR(VLOOKUP(Table1722[[#This Row],[Bukti]],Table13[#Data],11,FALSE),"")</f>
        <v/>
      </c>
    </row>
    <row r="3642" spans="1:9" hidden="1" x14ac:dyDescent="0.2">
      <c r="A3642" s="105" t="str">
        <f>IF(D3642=1,COUNTIF($D$10:D3642,1)," ")</f>
        <v xml:space="preserve"> </v>
      </c>
      <c r="B3642" s="106">
        <f>COPY!AR3634</f>
        <v>0</v>
      </c>
      <c r="C3642" s="107">
        <f>COPY!AC3634</f>
        <v>0</v>
      </c>
      <c r="D3642" s="107" t="str">
        <f>IF(LEN(Table1722[[#This Row],[Uraian]])&gt;2,1," ")</f>
        <v xml:space="preserve"> </v>
      </c>
      <c r="E3642" s="113" t="str">
        <f>IF(Table1722[[#This Row],[Lawan Transaksi]]="CV AGUNG KARYA",COUNTIF($I$10:I3642,"CV AGUNG KARYA")," ")</f>
        <v xml:space="preserve"> </v>
      </c>
      <c r="F3642" s="107" t="str">
        <f>IF(LEN(Table1722[[#This Row],[Uraian]])&gt;2,TRIM(RIGHT(SUBSTITUTE(TRIM(C3642)," ",REPT(" ",255)),255))," ")</f>
        <v xml:space="preserve"> </v>
      </c>
      <c r="G3642" s="110">
        <f>COPY!Z3634</f>
        <v>0</v>
      </c>
      <c r="H3642" s="111" t="str">
        <f>IFERROR(VLOOKUP(Table1722[[#This Row],[Bukti]],'Un nOTA'!$A$4:$K$5003,10,FALSE),"")</f>
        <v/>
      </c>
      <c r="I3642" s="123" t="str">
        <f>IFERROR(VLOOKUP(Table1722[[#This Row],[Bukti]],Table13[#Data],11,FALSE),"")</f>
        <v/>
      </c>
    </row>
    <row r="3643" spans="1:9" hidden="1" x14ac:dyDescent="0.2">
      <c r="A3643" s="105" t="str">
        <f>IF(D3643=1,COUNTIF($D$10:D3643,1)," ")</f>
        <v xml:space="preserve"> </v>
      </c>
      <c r="B3643" s="106">
        <f>COPY!AR3635</f>
        <v>0</v>
      </c>
      <c r="C3643" s="107">
        <f>COPY!AC3635</f>
        <v>0</v>
      </c>
      <c r="D3643" s="107" t="str">
        <f>IF(LEN(Table1722[[#This Row],[Uraian]])&gt;2,1," ")</f>
        <v xml:space="preserve"> </v>
      </c>
      <c r="E3643" s="113" t="str">
        <f>IF(Table1722[[#This Row],[Lawan Transaksi]]="CV AGUNG KARYA",COUNTIF($I$10:I3643,"CV AGUNG KARYA")," ")</f>
        <v xml:space="preserve"> </v>
      </c>
      <c r="F3643" s="107" t="str">
        <f>IF(LEN(Table1722[[#This Row],[Uraian]])&gt;2,TRIM(RIGHT(SUBSTITUTE(TRIM(C3643)," ",REPT(" ",255)),255))," ")</f>
        <v xml:space="preserve"> </v>
      </c>
      <c r="G3643" s="110">
        <f>COPY!Z3635</f>
        <v>0</v>
      </c>
      <c r="H3643" s="111" t="str">
        <f>IFERROR(VLOOKUP(Table1722[[#This Row],[Bukti]],'Un nOTA'!$A$4:$K$5003,10,FALSE),"")</f>
        <v/>
      </c>
      <c r="I3643" s="123" t="str">
        <f>IFERROR(VLOOKUP(Table1722[[#This Row],[Bukti]],Table13[#Data],11,FALSE),"")</f>
        <v/>
      </c>
    </row>
    <row r="3644" spans="1:9" hidden="1" x14ac:dyDescent="0.2">
      <c r="A3644" s="105" t="str">
        <f>IF(D3644=1,COUNTIF($D$10:D3644,1)," ")</f>
        <v xml:space="preserve"> </v>
      </c>
      <c r="B3644" s="106">
        <f>COPY!AR3636</f>
        <v>0</v>
      </c>
      <c r="C3644" s="107">
        <f>COPY!AC3636</f>
        <v>0</v>
      </c>
      <c r="D3644" s="107" t="str">
        <f>IF(LEN(Table1722[[#This Row],[Uraian]])&gt;2,1," ")</f>
        <v xml:space="preserve"> </v>
      </c>
      <c r="E3644" s="113" t="str">
        <f>IF(Table1722[[#This Row],[Lawan Transaksi]]="CV AGUNG KARYA",COUNTIF($I$10:I3644,"CV AGUNG KARYA")," ")</f>
        <v xml:space="preserve"> </v>
      </c>
      <c r="F3644" s="107" t="str">
        <f>IF(LEN(Table1722[[#This Row],[Uraian]])&gt;2,TRIM(RIGHT(SUBSTITUTE(TRIM(C3644)," ",REPT(" ",255)),255))," ")</f>
        <v xml:space="preserve"> </v>
      </c>
      <c r="G3644" s="110">
        <f>COPY!Z3636</f>
        <v>0</v>
      </c>
      <c r="H3644" s="111" t="str">
        <f>IFERROR(VLOOKUP(Table1722[[#This Row],[Bukti]],'Un nOTA'!$A$4:$K$5003,10,FALSE),"")</f>
        <v/>
      </c>
      <c r="I3644" s="123" t="str">
        <f>IFERROR(VLOOKUP(Table1722[[#This Row],[Bukti]],Table13[#Data],11,FALSE),"")</f>
        <v/>
      </c>
    </row>
    <row r="3645" spans="1:9" hidden="1" x14ac:dyDescent="0.2">
      <c r="A3645" s="105" t="str">
        <f>IF(D3645=1,COUNTIF($D$10:D3645,1)," ")</f>
        <v xml:space="preserve"> </v>
      </c>
      <c r="B3645" s="106">
        <f>COPY!AR3637</f>
        <v>0</v>
      </c>
      <c r="C3645" s="107">
        <f>COPY!AC3637</f>
        <v>0</v>
      </c>
      <c r="D3645" s="107" t="str">
        <f>IF(LEN(Table1722[[#This Row],[Uraian]])&gt;2,1," ")</f>
        <v xml:space="preserve"> </v>
      </c>
      <c r="E3645" s="113" t="str">
        <f>IF(Table1722[[#This Row],[Lawan Transaksi]]="CV AGUNG KARYA",COUNTIF($I$10:I3645,"CV AGUNG KARYA")," ")</f>
        <v xml:space="preserve"> </v>
      </c>
      <c r="F3645" s="107" t="str">
        <f>IF(LEN(Table1722[[#This Row],[Uraian]])&gt;2,TRIM(RIGHT(SUBSTITUTE(TRIM(C3645)," ",REPT(" ",255)),255))," ")</f>
        <v xml:space="preserve"> </v>
      </c>
      <c r="G3645" s="110">
        <f>COPY!Z3637</f>
        <v>0</v>
      </c>
      <c r="H3645" s="111" t="str">
        <f>IFERROR(VLOOKUP(Table1722[[#This Row],[Bukti]],'Un nOTA'!$A$4:$K$5003,10,FALSE),"")</f>
        <v/>
      </c>
      <c r="I3645" s="123" t="str">
        <f>IFERROR(VLOOKUP(Table1722[[#This Row],[Bukti]],Table13[#Data],11,FALSE),"")</f>
        <v/>
      </c>
    </row>
    <row r="3646" spans="1:9" hidden="1" x14ac:dyDescent="0.2">
      <c r="A3646" s="105" t="str">
        <f>IF(D3646=1,COUNTIF($D$10:D3646,1)," ")</f>
        <v xml:space="preserve"> </v>
      </c>
      <c r="B3646" s="106">
        <f>COPY!AR3638</f>
        <v>0</v>
      </c>
      <c r="C3646" s="107">
        <f>COPY!AC3638</f>
        <v>0</v>
      </c>
      <c r="D3646" s="107" t="str">
        <f>IF(LEN(Table1722[[#This Row],[Uraian]])&gt;2,1," ")</f>
        <v xml:space="preserve"> </v>
      </c>
      <c r="E3646" s="113" t="str">
        <f>IF(Table1722[[#This Row],[Lawan Transaksi]]="CV AGUNG KARYA",COUNTIF($I$10:I3646,"CV AGUNG KARYA")," ")</f>
        <v xml:space="preserve"> </v>
      </c>
      <c r="F3646" s="107" t="str">
        <f>IF(LEN(Table1722[[#This Row],[Uraian]])&gt;2,TRIM(RIGHT(SUBSTITUTE(TRIM(C3646)," ",REPT(" ",255)),255))," ")</f>
        <v xml:space="preserve"> </v>
      </c>
      <c r="G3646" s="110">
        <f>COPY!Z3638</f>
        <v>0</v>
      </c>
      <c r="H3646" s="111" t="str">
        <f>IFERROR(VLOOKUP(Table1722[[#This Row],[Bukti]],'Un nOTA'!$A$4:$K$5003,10,FALSE),"")</f>
        <v/>
      </c>
      <c r="I3646" s="123" t="str">
        <f>IFERROR(VLOOKUP(Table1722[[#This Row],[Bukti]],Table13[#Data],11,FALSE),"")</f>
        <v/>
      </c>
    </row>
    <row r="3647" spans="1:9" hidden="1" x14ac:dyDescent="0.2">
      <c r="A3647" s="105" t="str">
        <f>IF(D3647=1,COUNTIF($D$10:D3647,1)," ")</f>
        <v xml:space="preserve"> </v>
      </c>
      <c r="B3647" s="106">
        <f>COPY!AR3639</f>
        <v>0</v>
      </c>
      <c r="C3647" s="107">
        <f>COPY!AC3639</f>
        <v>0</v>
      </c>
      <c r="D3647" s="107" t="str">
        <f>IF(LEN(Table1722[[#This Row],[Uraian]])&gt;2,1," ")</f>
        <v xml:space="preserve"> </v>
      </c>
      <c r="E3647" s="113" t="str">
        <f>IF(Table1722[[#This Row],[Lawan Transaksi]]="CV AGUNG KARYA",COUNTIF($I$10:I3647,"CV AGUNG KARYA")," ")</f>
        <v xml:space="preserve"> </v>
      </c>
      <c r="F3647" s="107" t="str">
        <f>IF(LEN(Table1722[[#This Row],[Uraian]])&gt;2,TRIM(RIGHT(SUBSTITUTE(TRIM(C3647)," ",REPT(" ",255)),255))," ")</f>
        <v xml:space="preserve"> </v>
      </c>
      <c r="G3647" s="110">
        <f>COPY!Z3639</f>
        <v>0</v>
      </c>
      <c r="H3647" s="111" t="str">
        <f>IFERROR(VLOOKUP(Table1722[[#This Row],[Bukti]],'Un nOTA'!$A$4:$K$5003,10,FALSE),"")</f>
        <v/>
      </c>
      <c r="I3647" s="123" t="str">
        <f>IFERROR(VLOOKUP(Table1722[[#This Row],[Bukti]],Table13[#Data],11,FALSE),"")</f>
        <v/>
      </c>
    </row>
    <row r="3648" spans="1:9" hidden="1" x14ac:dyDescent="0.2">
      <c r="A3648" s="105" t="str">
        <f>IF(D3648=1,COUNTIF($D$10:D3648,1)," ")</f>
        <v xml:space="preserve"> </v>
      </c>
      <c r="B3648" s="106">
        <f>COPY!AR3640</f>
        <v>0</v>
      </c>
      <c r="C3648" s="107">
        <f>COPY!AC3640</f>
        <v>0</v>
      </c>
      <c r="D3648" s="107" t="str">
        <f>IF(LEN(Table1722[[#This Row],[Uraian]])&gt;2,1," ")</f>
        <v xml:space="preserve"> </v>
      </c>
      <c r="E3648" s="113" t="str">
        <f>IF(Table1722[[#This Row],[Lawan Transaksi]]="CV AGUNG KARYA",COUNTIF($I$10:I3648,"CV AGUNG KARYA")," ")</f>
        <v xml:space="preserve"> </v>
      </c>
      <c r="F3648" s="107" t="str">
        <f>IF(LEN(Table1722[[#This Row],[Uraian]])&gt;2,TRIM(RIGHT(SUBSTITUTE(TRIM(C3648)," ",REPT(" ",255)),255))," ")</f>
        <v xml:space="preserve"> </v>
      </c>
      <c r="G3648" s="110">
        <f>COPY!Z3640</f>
        <v>0</v>
      </c>
      <c r="H3648" s="111" t="str">
        <f>IFERROR(VLOOKUP(Table1722[[#This Row],[Bukti]],'Un nOTA'!$A$4:$K$5003,10,FALSE),"")</f>
        <v/>
      </c>
      <c r="I3648" s="123" t="str">
        <f>IFERROR(VLOOKUP(Table1722[[#This Row],[Bukti]],Table13[#Data],11,FALSE),"")</f>
        <v/>
      </c>
    </row>
    <row r="3649" spans="1:9" hidden="1" x14ac:dyDescent="0.2">
      <c r="A3649" s="105" t="str">
        <f>IF(D3649=1,COUNTIF($D$10:D3649,1)," ")</f>
        <v xml:space="preserve"> </v>
      </c>
      <c r="B3649" s="106">
        <f>COPY!AR3641</f>
        <v>0</v>
      </c>
      <c r="C3649" s="107">
        <f>COPY!AC3641</f>
        <v>0</v>
      </c>
      <c r="D3649" s="107" t="str">
        <f>IF(LEN(Table1722[[#This Row],[Uraian]])&gt;2,1," ")</f>
        <v xml:space="preserve"> </v>
      </c>
      <c r="E3649" s="113" t="str">
        <f>IF(Table1722[[#This Row],[Lawan Transaksi]]="CV AGUNG KARYA",COUNTIF($I$10:I3649,"CV AGUNG KARYA")," ")</f>
        <v xml:space="preserve"> </v>
      </c>
      <c r="F3649" s="107" t="str">
        <f>IF(LEN(Table1722[[#This Row],[Uraian]])&gt;2,TRIM(RIGHT(SUBSTITUTE(TRIM(C3649)," ",REPT(" ",255)),255))," ")</f>
        <v xml:space="preserve"> </v>
      </c>
      <c r="G3649" s="110">
        <f>COPY!Z3641</f>
        <v>0</v>
      </c>
      <c r="H3649" s="111" t="str">
        <f>IFERROR(VLOOKUP(Table1722[[#This Row],[Bukti]],'Un nOTA'!$A$4:$K$5003,10,FALSE),"")</f>
        <v/>
      </c>
      <c r="I3649" s="123" t="str">
        <f>IFERROR(VLOOKUP(Table1722[[#This Row],[Bukti]],Table13[#Data],11,FALSE),"")</f>
        <v/>
      </c>
    </row>
    <row r="3650" spans="1:9" hidden="1" x14ac:dyDescent="0.2">
      <c r="A3650" s="105" t="str">
        <f>IF(D3650=1,COUNTIF($D$10:D3650,1)," ")</f>
        <v xml:space="preserve"> </v>
      </c>
      <c r="B3650" s="106">
        <f>COPY!AR3642</f>
        <v>0</v>
      </c>
      <c r="C3650" s="107">
        <f>COPY!AC3642</f>
        <v>0</v>
      </c>
      <c r="D3650" s="107" t="str">
        <f>IF(LEN(Table1722[[#This Row],[Uraian]])&gt;2,1," ")</f>
        <v xml:space="preserve"> </v>
      </c>
      <c r="E3650" s="113" t="str">
        <f>IF(Table1722[[#This Row],[Lawan Transaksi]]="CV AGUNG KARYA",COUNTIF($I$10:I3650,"CV AGUNG KARYA")," ")</f>
        <v xml:space="preserve"> </v>
      </c>
      <c r="F3650" s="107" t="str">
        <f>IF(LEN(Table1722[[#This Row],[Uraian]])&gt;2,TRIM(RIGHT(SUBSTITUTE(TRIM(C3650)," ",REPT(" ",255)),255))," ")</f>
        <v xml:space="preserve"> </v>
      </c>
      <c r="G3650" s="110">
        <f>COPY!Z3642</f>
        <v>0</v>
      </c>
      <c r="H3650" s="111" t="str">
        <f>IFERROR(VLOOKUP(Table1722[[#This Row],[Bukti]],'Un nOTA'!$A$4:$K$5003,10,FALSE),"")</f>
        <v/>
      </c>
      <c r="I3650" s="123" t="str">
        <f>IFERROR(VLOOKUP(Table1722[[#This Row],[Bukti]],Table13[#Data],11,FALSE),"")</f>
        <v/>
      </c>
    </row>
    <row r="3651" spans="1:9" hidden="1" x14ac:dyDescent="0.2">
      <c r="A3651" s="105" t="str">
        <f>IF(D3651=1,COUNTIF($D$10:D3651,1)," ")</f>
        <v xml:space="preserve"> </v>
      </c>
      <c r="B3651" s="106">
        <f>COPY!AR3643</f>
        <v>0</v>
      </c>
      <c r="C3651" s="107">
        <f>COPY!AC3643</f>
        <v>0</v>
      </c>
      <c r="D3651" s="107" t="str">
        <f>IF(LEN(Table1722[[#This Row],[Uraian]])&gt;2,1," ")</f>
        <v xml:space="preserve"> </v>
      </c>
      <c r="E3651" s="113" t="str">
        <f>IF(Table1722[[#This Row],[Lawan Transaksi]]="CV AGUNG KARYA",COUNTIF($I$10:I3651,"CV AGUNG KARYA")," ")</f>
        <v xml:space="preserve"> </v>
      </c>
      <c r="F3651" s="107" t="str">
        <f>IF(LEN(Table1722[[#This Row],[Uraian]])&gt;2,TRIM(RIGHT(SUBSTITUTE(TRIM(C3651)," ",REPT(" ",255)),255))," ")</f>
        <v xml:space="preserve"> </v>
      </c>
      <c r="G3651" s="110">
        <f>COPY!Z3643</f>
        <v>0</v>
      </c>
      <c r="H3651" s="111" t="str">
        <f>IFERROR(VLOOKUP(Table1722[[#This Row],[Bukti]],'Un nOTA'!$A$4:$K$5003,10,FALSE),"")</f>
        <v/>
      </c>
      <c r="I3651" s="123" t="str">
        <f>IFERROR(VLOOKUP(Table1722[[#This Row],[Bukti]],Table13[#Data],11,FALSE),"")</f>
        <v/>
      </c>
    </row>
    <row r="3652" spans="1:9" hidden="1" x14ac:dyDescent="0.2">
      <c r="A3652" s="105" t="str">
        <f>IF(D3652=1,COUNTIF($D$10:D3652,1)," ")</f>
        <v xml:space="preserve"> </v>
      </c>
      <c r="B3652" s="106">
        <f>COPY!AR3644</f>
        <v>0</v>
      </c>
      <c r="C3652" s="107">
        <f>COPY!AC3644</f>
        <v>0</v>
      </c>
      <c r="D3652" s="107" t="str">
        <f>IF(LEN(Table1722[[#This Row],[Uraian]])&gt;2,1," ")</f>
        <v xml:space="preserve"> </v>
      </c>
      <c r="E3652" s="113" t="str">
        <f>IF(Table1722[[#This Row],[Lawan Transaksi]]="CV AGUNG KARYA",COUNTIF($I$10:I3652,"CV AGUNG KARYA")," ")</f>
        <v xml:space="preserve"> </v>
      </c>
      <c r="F3652" s="107" t="str">
        <f>IF(LEN(Table1722[[#This Row],[Uraian]])&gt;2,TRIM(RIGHT(SUBSTITUTE(TRIM(C3652)," ",REPT(" ",255)),255))," ")</f>
        <v xml:space="preserve"> </v>
      </c>
      <c r="G3652" s="110">
        <f>COPY!Z3644</f>
        <v>0</v>
      </c>
      <c r="H3652" s="111" t="str">
        <f>IFERROR(VLOOKUP(Table1722[[#This Row],[Bukti]],'Un nOTA'!$A$4:$K$5003,10,FALSE),"")</f>
        <v/>
      </c>
      <c r="I3652" s="123" t="str">
        <f>IFERROR(VLOOKUP(Table1722[[#This Row],[Bukti]],Table13[#Data],11,FALSE),"")</f>
        <v/>
      </c>
    </row>
    <row r="3653" spans="1:9" hidden="1" x14ac:dyDescent="0.2">
      <c r="A3653" s="105" t="str">
        <f>IF(D3653=1,COUNTIF($D$10:D3653,1)," ")</f>
        <v xml:space="preserve"> </v>
      </c>
      <c r="B3653" s="106">
        <f>COPY!AR3645</f>
        <v>0</v>
      </c>
      <c r="C3653" s="107">
        <f>COPY!AC3645</f>
        <v>0</v>
      </c>
      <c r="D3653" s="107" t="str">
        <f>IF(LEN(Table1722[[#This Row],[Uraian]])&gt;2,1," ")</f>
        <v xml:space="preserve"> </v>
      </c>
      <c r="E3653" s="113" t="str">
        <f>IF(Table1722[[#This Row],[Lawan Transaksi]]="CV AGUNG KARYA",COUNTIF($I$10:I3653,"CV AGUNG KARYA")," ")</f>
        <v xml:space="preserve"> </v>
      </c>
      <c r="F3653" s="107" t="str">
        <f>IF(LEN(Table1722[[#This Row],[Uraian]])&gt;2,TRIM(RIGHT(SUBSTITUTE(TRIM(C3653)," ",REPT(" ",255)),255))," ")</f>
        <v xml:space="preserve"> </v>
      </c>
      <c r="G3653" s="110">
        <f>COPY!Z3645</f>
        <v>0</v>
      </c>
      <c r="H3653" s="111" t="str">
        <f>IFERROR(VLOOKUP(Table1722[[#This Row],[Bukti]],'Un nOTA'!$A$4:$K$5003,10,FALSE),"")</f>
        <v/>
      </c>
      <c r="I3653" s="123" t="str">
        <f>IFERROR(VLOOKUP(Table1722[[#This Row],[Bukti]],Table13[#Data],11,FALSE),"")</f>
        <v/>
      </c>
    </row>
    <row r="3654" spans="1:9" hidden="1" x14ac:dyDescent="0.2">
      <c r="A3654" s="105" t="str">
        <f>IF(D3654=1,COUNTIF($D$10:D3654,1)," ")</f>
        <v xml:space="preserve"> </v>
      </c>
      <c r="B3654" s="106">
        <f>COPY!AR3646</f>
        <v>0</v>
      </c>
      <c r="C3654" s="107">
        <f>COPY!AC3646</f>
        <v>0</v>
      </c>
      <c r="D3654" s="107" t="str">
        <f>IF(LEN(Table1722[[#This Row],[Uraian]])&gt;2,1," ")</f>
        <v xml:space="preserve"> </v>
      </c>
      <c r="E3654" s="113" t="str">
        <f>IF(Table1722[[#This Row],[Lawan Transaksi]]="CV AGUNG KARYA",COUNTIF($I$10:I3654,"CV AGUNG KARYA")," ")</f>
        <v xml:space="preserve"> </v>
      </c>
      <c r="F3654" s="107" t="str">
        <f>IF(LEN(Table1722[[#This Row],[Uraian]])&gt;2,TRIM(RIGHT(SUBSTITUTE(TRIM(C3654)," ",REPT(" ",255)),255))," ")</f>
        <v xml:space="preserve"> </v>
      </c>
      <c r="G3654" s="110">
        <f>COPY!Z3646</f>
        <v>0</v>
      </c>
      <c r="H3654" s="111" t="str">
        <f>IFERROR(VLOOKUP(Table1722[[#This Row],[Bukti]],'Un nOTA'!$A$4:$K$5003,10,FALSE),"")</f>
        <v/>
      </c>
      <c r="I3654" s="123" t="str">
        <f>IFERROR(VLOOKUP(Table1722[[#This Row],[Bukti]],Table13[#Data],11,FALSE),"")</f>
        <v/>
      </c>
    </row>
    <row r="3655" spans="1:9" hidden="1" x14ac:dyDescent="0.2">
      <c r="A3655" s="105" t="str">
        <f>IF(D3655=1,COUNTIF($D$10:D3655,1)," ")</f>
        <v xml:space="preserve"> </v>
      </c>
      <c r="B3655" s="106">
        <f>COPY!AR3647</f>
        <v>0</v>
      </c>
      <c r="C3655" s="107">
        <f>COPY!AC3647</f>
        <v>0</v>
      </c>
      <c r="D3655" s="107" t="str">
        <f>IF(LEN(Table1722[[#This Row],[Uraian]])&gt;2,1," ")</f>
        <v xml:space="preserve"> </v>
      </c>
      <c r="E3655" s="113" t="str">
        <f>IF(Table1722[[#This Row],[Lawan Transaksi]]="CV AGUNG KARYA",COUNTIF($I$10:I3655,"CV AGUNG KARYA")," ")</f>
        <v xml:space="preserve"> </v>
      </c>
      <c r="F3655" s="107" t="str">
        <f>IF(LEN(Table1722[[#This Row],[Uraian]])&gt;2,TRIM(RIGHT(SUBSTITUTE(TRIM(C3655)," ",REPT(" ",255)),255))," ")</f>
        <v xml:space="preserve"> </v>
      </c>
      <c r="G3655" s="110">
        <f>COPY!Z3647</f>
        <v>0</v>
      </c>
      <c r="H3655" s="111" t="str">
        <f>IFERROR(VLOOKUP(Table1722[[#This Row],[Bukti]],'Un nOTA'!$A$4:$K$5003,10,FALSE),"")</f>
        <v/>
      </c>
      <c r="I3655" s="123" t="str">
        <f>IFERROR(VLOOKUP(Table1722[[#This Row],[Bukti]],Table13[#Data],11,FALSE),"")</f>
        <v/>
      </c>
    </row>
    <row r="3656" spans="1:9" hidden="1" x14ac:dyDescent="0.2">
      <c r="A3656" s="105" t="str">
        <f>IF(D3656=1,COUNTIF($D$10:D3656,1)," ")</f>
        <v xml:space="preserve"> </v>
      </c>
      <c r="B3656" s="106">
        <f>COPY!AR3648</f>
        <v>0</v>
      </c>
      <c r="C3656" s="107">
        <f>COPY!AC3648</f>
        <v>0</v>
      </c>
      <c r="D3656" s="107" t="str">
        <f>IF(LEN(Table1722[[#This Row],[Uraian]])&gt;2,1," ")</f>
        <v xml:space="preserve"> </v>
      </c>
      <c r="E3656" s="113" t="str">
        <f>IF(Table1722[[#This Row],[Lawan Transaksi]]="CV AGUNG KARYA",COUNTIF($I$10:I3656,"CV AGUNG KARYA")," ")</f>
        <v xml:space="preserve"> </v>
      </c>
      <c r="F3656" s="107" t="str">
        <f>IF(LEN(Table1722[[#This Row],[Uraian]])&gt;2,TRIM(RIGHT(SUBSTITUTE(TRIM(C3656)," ",REPT(" ",255)),255))," ")</f>
        <v xml:space="preserve"> </v>
      </c>
      <c r="G3656" s="110">
        <f>COPY!Z3648</f>
        <v>0</v>
      </c>
      <c r="H3656" s="111" t="str">
        <f>IFERROR(VLOOKUP(Table1722[[#This Row],[Bukti]],'Un nOTA'!$A$4:$K$5003,10,FALSE),"")</f>
        <v/>
      </c>
      <c r="I3656" s="123" t="str">
        <f>IFERROR(VLOOKUP(Table1722[[#This Row],[Bukti]],Table13[#Data],11,FALSE),"")</f>
        <v/>
      </c>
    </row>
    <row r="3657" spans="1:9" hidden="1" x14ac:dyDescent="0.2">
      <c r="A3657" s="105" t="str">
        <f>IF(D3657=1,COUNTIF($D$10:D3657,1)," ")</f>
        <v xml:space="preserve"> </v>
      </c>
      <c r="B3657" s="106">
        <f>COPY!AR3649</f>
        <v>0</v>
      </c>
      <c r="C3657" s="107">
        <f>COPY!AC3649</f>
        <v>0</v>
      </c>
      <c r="D3657" s="107" t="str">
        <f>IF(LEN(Table1722[[#This Row],[Uraian]])&gt;2,1," ")</f>
        <v xml:space="preserve"> </v>
      </c>
      <c r="E3657" s="113" t="str">
        <f>IF(Table1722[[#This Row],[Lawan Transaksi]]="CV AGUNG KARYA",COUNTIF($I$10:I3657,"CV AGUNG KARYA")," ")</f>
        <v xml:space="preserve"> </v>
      </c>
      <c r="F3657" s="107" t="str">
        <f>IF(LEN(Table1722[[#This Row],[Uraian]])&gt;2,TRIM(RIGHT(SUBSTITUTE(TRIM(C3657)," ",REPT(" ",255)),255))," ")</f>
        <v xml:space="preserve"> </v>
      </c>
      <c r="G3657" s="110">
        <f>COPY!Z3649</f>
        <v>0</v>
      </c>
      <c r="H3657" s="111" t="str">
        <f>IFERROR(VLOOKUP(Table1722[[#This Row],[Bukti]],'Un nOTA'!$A$4:$K$5003,10,FALSE),"")</f>
        <v/>
      </c>
      <c r="I3657" s="123" t="str">
        <f>IFERROR(VLOOKUP(Table1722[[#This Row],[Bukti]],Table13[#Data],11,FALSE),"")</f>
        <v/>
      </c>
    </row>
    <row r="3658" spans="1:9" hidden="1" x14ac:dyDescent="0.2">
      <c r="A3658" s="105" t="str">
        <f>IF(D3658=1,COUNTIF($D$10:D3658,1)," ")</f>
        <v xml:space="preserve"> </v>
      </c>
      <c r="B3658" s="106">
        <f>COPY!AR3650</f>
        <v>0</v>
      </c>
      <c r="C3658" s="107">
        <f>COPY!AC3650</f>
        <v>0</v>
      </c>
      <c r="D3658" s="107" t="str">
        <f>IF(LEN(Table1722[[#This Row],[Uraian]])&gt;2,1," ")</f>
        <v xml:space="preserve"> </v>
      </c>
      <c r="E3658" s="113" t="str">
        <f>IF(Table1722[[#This Row],[Lawan Transaksi]]="CV AGUNG KARYA",COUNTIF($I$10:I3658,"CV AGUNG KARYA")," ")</f>
        <v xml:space="preserve"> </v>
      </c>
      <c r="F3658" s="107" t="str">
        <f>IF(LEN(Table1722[[#This Row],[Uraian]])&gt;2,TRIM(RIGHT(SUBSTITUTE(TRIM(C3658)," ",REPT(" ",255)),255))," ")</f>
        <v xml:space="preserve"> </v>
      </c>
      <c r="G3658" s="110">
        <f>COPY!Z3650</f>
        <v>0</v>
      </c>
      <c r="H3658" s="111" t="str">
        <f>IFERROR(VLOOKUP(Table1722[[#This Row],[Bukti]],'Un nOTA'!$A$4:$K$5003,10,FALSE),"")</f>
        <v/>
      </c>
      <c r="I3658" s="123" t="str">
        <f>IFERROR(VLOOKUP(Table1722[[#This Row],[Bukti]],Table13[#Data],11,FALSE),"")</f>
        <v/>
      </c>
    </row>
    <row r="3659" spans="1:9" hidden="1" x14ac:dyDescent="0.2">
      <c r="A3659" s="105" t="str">
        <f>IF(D3659=1,COUNTIF($D$10:D3659,1)," ")</f>
        <v xml:space="preserve"> </v>
      </c>
      <c r="B3659" s="106">
        <f>COPY!AR3651</f>
        <v>0</v>
      </c>
      <c r="C3659" s="107">
        <f>COPY!AC3651</f>
        <v>0</v>
      </c>
      <c r="D3659" s="107" t="str">
        <f>IF(LEN(Table1722[[#This Row],[Uraian]])&gt;2,1," ")</f>
        <v xml:space="preserve"> </v>
      </c>
      <c r="E3659" s="113" t="str">
        <f>IF(Table1722[[#This Row],[Lawan Transaksi]]="CV AGUNG KARYA",COUNTIF($I$10:I3659,"CV AGUNG KARYA")," ")</f>
        <v xml:space="preserve"> </v>
      </c>
      <c r="F3659" s="107" t="str">
        <f>IF(LEN(Table1722[[#This Row],[Uraian]])&gt;2,TRIM(RIGHT(SUBSTITUTE(TRIM(C3659)," ",REPT(" ",255)),255))," ")</f>
        <v xml:space="preserve"> </v>
      </c>
      <c r="G3659" s="110">
        <f>COPY!Z3651</f>
        <v>0</v>
      </c>
      <c r="H3659" s="111" t="str">
        <f>IFERROR(VLOOKUP(Table1722[[#This Row],[Bukti]],'Un nOTA'!$A$4:$K$5003,10,FALSE),"")</f>
        <v/>
      </c>
      <c r="I3659" s="123" t="str">
        <f>IFERROR(VLOOKUP(Table1722[[#This Row],[Bukti]],Table13[#Data],11,FALSE),"")</f>
        <v/>
      </c>
    </row>
    <row r="3660" spans="1:9" hidden="1" x14ac:dyDescent="0.2">
      <c r="A3660" s="105" t="str">
        <f>IF(D3660=1,COUNTIF($D$10:D3660,1)," ")</f>
        <v xml:space="preserve"> </v>
      </c>
      <c r="B3660" s="106">
        <f>COPY!AR3652</f>
        <v>0</v>
      </c>
      <c r="C3660" s="107">
        <f>COPY!AC3652</f>
        <v>0</v>
      </c>
      <c r="D3660" s="107" t="str">
        <f>IF(LEN(Table1722[[#This Row],[Uraian]])&gt;2,1," ")</f>
        <v xml:space="preserve"> </v>
      </c>
      <c r="E3660" s="113" t="str">
        <f>IF(Table1722[[#This Row],[Lawan Transaksi]]="CV AGUNG KARYA",COUNTIF($I$10:I3660,"CV AGUNG KARYA")," ")</f>
        <v xml:space="preserve"> </v>
      </c>
      <c r="F3660" s="107" t="str">
        <f>IF(LEN(Table1722[[#This Row],[Uraian]])&gt;2,TRIM(RIGHT(SUBSTITUTE(TRIM(C3660)," ",REPT(" ",255)),255))," ")</f>
        <v xml:space="preserve"> </v>
      </c>
      <c r="G3660" s="110">
        <f>COPY!Z3652</f>
        <v>0</v>
      </c>
      <c r="H3660" s="111" t="str">
        <f>IFERROR(VLOOKUP(Table1722[[#This Row],[Bukti]],'Un nOTA'!$A$4:$K$5003,10,FALSE),"")</f>
        <v/>
      </c>
      <c r="I3660" s="123" t="str">
        <f>IFERROR(VLOOKUP(Table1722[[#This Row],[Bukti]],Table13[#Data],11,FALSE),"")</f>
        <v/>
      </c>
    </row>
    <row r="3661" spans="1:9" hidden="1" x14ac:dyDescent="0.2">
      <c r="A3661" s="105" t="str">
        <f>IF(D3661=1,COUNTIF($D$10:D3661,1)," ")</f>
        <v xml:space="preserve"> </v>
      </c>
      <c r="B3661" s="106">
        <f>COPY!AR3653</f>
        <v>0</v>
      </c>
      <c r="C3661" s="107">
        <f>COPY!AC3653</f>
        <v>0</v>
      </c>
      <c r="D3661" s="107" t="str">
        <f>IF(LEN(Table1722[[#This Row],[Uraian]])&gt;2,1," ")</f>
        <v xml:space="preserve"> </v>
      </c>
      <c r="E3661" s="113" t="str">
        <f>IF(Table1722[[#This Row],[Lawan Transaksi]]="CV AGUNG KARYA",COUNTIF($I$10:I3661,"CV AGUNG KARYA")," ")</f>
        <v xml:space="preserve"> </v>
      </c>
      <c r="F3661" s="107" t="str">
        <f>IF(LEN(Table1722[[#This Row],[Uraian]])&gt;2,TRIM(RIGHT(SUBSTITUTE(TRIM(C3661)," ",REPT(" ",255)),255))," ")</f>
        <v xml:space="preserve"> </v>
      </c>
      <c r="G3661" s="110">
        <f>COPY!Z3653</f>
        <v>0</v>
      </c>
      <c r="H3661" s="111" t="str">
        <f>IFERROR(VLOOKUP(Table1722[[#This Row],[Bukti]],'Un nOTA'!$A$4:$K$5003,10,FALSE),"")</f>
        <v/>
      </c>
      <c r="I3661" s="123" t="str">
        <f>IFERROR(VLOOKUP(Table1722[[#This Row],[Bukti]],Table13[#Data],11,FALSE),"")</f>
        <v/>
      </c>
    </row>
    <row r="3662" spans="1:9" hidden="1" x14ac:dyDescent="0.2">
      <c r="A3662" s="105" t="str">
        <f>IF(D3662=1,COUNTIF($D$10:D3662,1)," ")</f>
        <v xml:space="preserve"> </v>
      </c>
      <c r="B3662" s="106">
        <f>COPY!AR3654</f>
        <v>0</v>
      </c>
      <c r="C3662" s="107">
        <f>COPY!AC3654</f>
        <v>0</v>
      </c>
      <c r="D3662" s="107" t="str">
        <f>IF(LEN(Table1722[[#This Row],[Uraian]])&gt;2,1," ")</f>
        <v xml:space="preserve"> </v>
      </c>
      <c r="E3662" s="113" t="str">
        <f>IF(Table1722[[#This Row],[Lawan Transaksi]]="CV AGUNG KARYA",COUNTIF($I$10:I3662,"CV AGUNG KARYA")," ")</f>
        <v xml:space="preserve"> </v>
      </c>
      <c r="F3662" s="107" t="str">
        <f>IF(LEN(Table1722[[#This Row],[Uraian]])&gt;2,TRIM(RIGHT(SUBSTITUTE(TRIM(C3662)," ",REPT(" ",255)),255))," ")</f>
        <v xml:space="preserve"> </v>
      </c>
      <c r="G3662" s="110">
        <f>COPY!Z3654</f>
        <v>0</v>
      </c>
      <c r="H3662" s="111" t="str">
        <f>IFERROR(VLOOKUP(Table1722[[#This Row],[Bukti]],'Un nOTA'!$A$4:$K$5003,10,FALSE),"")</f>
        <v/>
      </c>
      <c r="I3662" s="123" t="str">
        <f>IFERROR(VLOOKUP(Table1722[[#This Row],[Bukti]],Table13[#Data],11,FALSE),"")</f>
        <v/>
      </c>
    </row>
    <row r="3663" spans="1:9" hidden="1" x14ac:dyDescent="0.2">
      <c r="A3663" s="105" t="str">
        <f>IF(D3663=1,COUNTIF($D$10:D3663,1)," ")</f>
        <v xml:space="preserve"> </v>
      </c>
      <c r="B3663" s="106">
        <f>COPY!AR3655</f>
        <v>0</v>
      </c>
      <c r="C3663" s="107">
        <f>COPY!AC3655</f>
        <v>0</v>
      </c>
      <c r="D3663" s="107" t="str">
        <f>IF(LEN(Table1722[[#This Row],[Uraian]])&gt;2,1," ")</f>
        <v xml:space="preserve"> </v>
      </c>
      <c r="E3663" s="113" t="str">
        <f>IF(Table1722[[#This Row],[Lawan Transaksi]]="CV AGUNG KARYA",COUNTIF($I$10:I3663,"CV AGUNG KARYA")," ")</f>
        <v xml:space="preserve"> </v>
      </c>
      <c r="F3663" s="107" t="str">
        <f>IF(LEN(Table1722[[#This Row],[Uraian]])&gt;2,TRIM(RIGHT(SUBSTITUTE(TRIM(C3663)," ",REPT(" ",255)),255))," ")</f>
        <v xml:space="preserve"> </v>
      </c>
      <c r="G3663" s="110">
        <f>COPY!Z3655</f>
        <v>0</v>
      </c>
      <c r="H3663" s="111" t="str">
        <f>IFERROR(VLOOKUP(Table1722[[#This Row],[Bukti]],'Un nOTA'!$A$4:$K$5003,10,FALSE),"")</f>
        <v/>
      </c>
      <c r="I3663" s="123" t="str">
        <f>IFERROR(VLOOKUP(Table1722[[#This Row],[Bukti]],Table13[#Data],11,FALSE),"")</f>
        <v/>
      </c>
    </row>
    <row r="3664" spans="1:9" hidden="1" x14ac:dyDescent="0.2">
      <c r="A3664" s="105" t="str">
        <f>IF(D3664=1,COUNTIF($D$10:D3664,1)," ")</f>
        <v xml:space="preserve"> </v>
      </c>
      <c r="B3664" s="106">
        <f>COPY!AR3656</f>
        <v>0</v>
      </c>
      <c r="C3664" s="107">
        <f>COPY!AC3656</f>
        <v>0</v>
      </c>
      <c r="D3664" s="107" t="str">
        <f>IF(LEN(Table1722[[#This Row],[Uraian]])&gt;2,1," ")</f>
        <v xml:space="preserve"> </v>
      </c>
      <c r="E3664" s="113" t="str">
        <f>IF(Table1722[[#This Row],[Lawan Transaksi]]="CV AGUNG KARYA",COUNTIF($I$10:I3664,"CV AGUNG KARYA")," ")</f>
        <v xml:space="preserve"> </v>
      </c>
      <c r="F3664" s="107" t="str">
        <f>IF(LEN(Table1722[[#This Row],[Uraian]])&gt;2,TRIM(RIGHT(SUBSTITUTE(TRIM(C3664)," ",REPT(" ",255)),255))," ")</f>
        <v xml:space="preserve"> </v>
      </c>
      <c r="G3664" s="110">
        <f>COPY!Z3656</f>
        <v>0</v>
      </c>
      <c r="H3664" s="111" t="str">
        <f>IFERROR(VLOOKUP(Table1722[[#This Row],[Bukti]],'Un nOTA'!$A$4:$K$5003,10,FALSE),"")</f>
        <v/>
      </c>
      <c r="I3664" s="123" t="str">
        <f>IFERROR(VLOOKUP(Table1722[[#This Row],[Bukti]],Table13[#Data],11,FALSE),"")</f>
        <v/>
      </c>
    </row>
    <row r="3665" spans="1:9" hidden="1" x14ac:dyDescent="0.2">
      <c r="A3665" s="105" t="str">
        <f>IF(D3665=1,COUNTIF($D$10:D3665,1)," ")</f>
        <v xml:space="preserve"> </v>
      </c>
      <c r="B3665" s="106">
        <f>COPY!AR3657</f>
        <v>0</v>
      </c>
      <c r="C3665" s="107">
        <f>COPY!AC3657</f>
        <v>0</v>
      </c>
      <c r="D3665" s="107" t="str">
        <f>IF(LEN(Table1722[[#This Row],[Uraian]])&gt;2,1," ")</f>
        <v xml:space="preserve"> </v>
      </c>
      <c r="E3665" s="113" t="str">
        <f>IF(Table1722[[#This Row],[Lawan Transaksi]]="CV AGUNG KARYA",COUNTIF($I$10:I3665,"CV AGUNG KARYA")," ")</f>
        <v xml:space="preserve"> </v>
      </c>
      <c r="F3665" s="107" t="str">
        <f>IF(LEN(Table1722[[#This Row],[Uraian]])&gt;2,TRIM(RIGHT(SUBSTITUTE(TRIM(C3665)," ",REPT(" ",255)),255))," ")</f>
        <v xml:space="preserve"> </v>
      </c>
      <c r="G3665" s="110">
        <f>COPY!Z3657</f>
        <v>0</v>
      </c>
      <c r="H3665" s="111" t="str">
        <f>IFERROR(VLOOKUP(Table1722[[#This Row],[Bukti]],'Un nOTA'!$A$4:$K$5003,10,FALSE),"")</f>
        <v/>
      </c>
      <c r="I3665" s="123" t="str">
        <f>IFERROR(VLOOKUP(Table1722[[#This Row],[Bukti]],Table13[#Data],11,FALSE),"")</f>
        <v/>
      </c>
    </row>
    <row r="3666" spans="1:9" hidden="1" x14ac:dyDescent="0.2">
      <c r="A3666" s="105" t="str">
        <f>IF(D3666=1,COUNTIF($D$10:D3666,1)," ")</f>
        <v xml:space="preserve"> </v>
      </c>
      <c r="B3666" s="106">
        <f>COPY!AR3658</f>
        <v>0</v>
      </c>
      <c r="C3666" s="107">
        <f>COPY!AC3658</f>
        <v>0</v>
      </c>
      <c r="D3666" s="107" t="str">
        <f>IF(LEN(Table1722[[#This Row],[Uraian]])&gt;2,1," ")</f>
        <v xml:space="preserve"> </v>
      </c>
      <c r="E3666" s="113" t="str">
        <f>IF(Table1722[[#This Row],[Lawan Transaksi]]="CV AGUNG KARYA",COUNTIF($I$10:I3666,"CV AGUNG KARYA")," ")</f>
        <v xml:space="preserve"> </v>
      </c>
      <c r="F3666" s="107" t="str">
        <f>IF(LEN(Table1722[[#This Row],[Uraian]])&gt;2,TRIM(RIGHT(SUBSTITUTE(TRIM(C3666)," ",REPT(" ",255)),255))," ")</f>
        <v xml:space="preserve"> </v>
      </c>
      <c r="G3666" s="110">
        <f>COPY!Z3658</f>
        <v>0</v>
      </c>
      <c r="H3666" s="111" t="str">
        <f>IFERROR(VLOOKUP(Table1722[[#This Row],[Bukti]],'Un nOTA'!$A$4:$K$5003,10,FALSE),"")</f>
        <v/>
      </c>
      <c r="I3666" s="123" t="str">
        <f>IFERROR(VLOOKUP(Table1722[[#This Row],[Bukti]],Table13[#Data],11,FALSE),"")</f>
        <v/>
      </c>
    </row>
    <row r="3667" spans="1:9" hidden="1" x14ac:dyDescent="0.2">
      <c r="A3667" s="105" t="str">
        <f>IF(D3667=1,COUNTIF($D$10:D3667,1)," ")</f>
        <v xml:space="preserve"> </v>
      </c>
      <c r="B3667" s="106">
        <f>COPY!AR3659</f>
        <v>0</v>
      </c>
      <c r="C3667" s="107">
        <f>COPY!AC3659</f>
        <v>0</v>
      </c>
      <c r="D3667" s="107" t="str">
        <f>IF(LEN(Table1722[[#This Row],[Uraian]])&gt;2,1," ")</f>
        <v xml:space="preserve"> </v>
      </c>
      <c r="E3667" s="113" t="str">
        <f>IF(Table1722[[#This Row],[Lawan Transaksi]]="CV AGUNG KARYA",COUNTIF($I$10:I3667,"CV AGUNG KARYA")," ")</f>
        <v xml:space="preserve"> </v>
      </c>
      <c r="F3667" s="107" t="str">
        <f>IF(LEN(Table1722[[#This Row],[Uraian]])&gt;2,TRIM(RIGHT(SUBSTITUTE(TRIM(C3667)," ",REPT(" ",255)),255))," ")</f>
        <v xml:space="preserve"> </v>
      </c>
      <c r="G3667" s="110">
        <f>COPY!Z3659</f>
        <v>0</v>
      </c>
      <c r="H3667" s="111" t="str">
        <f>IFERROR(VLOOKUP(Table1722[[#This Row],[Bukti]],'Un nOTA'!$A$4:$K$5003,10,FALSE),"")</f>
        <v/>
      </c>
      <c r="I3667" s="123" t="str">
        <f>IFERROR(VLOOKUP(Table1722[[#This Row],[Bukti]],Table13[#Data],11,FALSE),"")</f>
        <v/>
      </c>
    </row>
    <row r="3668" spans="1:9" hidden="1" x14ac:dyDescent="0.2">
      <c r="A3668" s="105" t="str">
        <f>IF(D3668=1,COUNTIF($D$10:D3668,1)," ")</f>
        <v xml:space="preserve"> </v>
      </c>
      <c r="B3668" s="106">
        <f>COPY!AR3660</f>
        <v>0</v>
      </c>
      <c r="C3668" s="107">
        <f>COPY!AC3660</f>
        <v>0</v>
      </c>
      <c r="D3668" s="107" t="str">
        <f>IF(LEN(Table1722[[#This Row],[Uraian]])&gt;2,1," ")</f>
        <v xml:space="preserve"> </v>
      </c>
      <c r="E3668" s="113" t="str">
        <f>IF(Table1722[[#This Row],[Lawan Transaksi]]="CV AGUNG KARYA",COUNTIF($I$10:I3668,"CV AGUNG KARYA")," ")</f>
        <v xml:space="preserve"> </v>
      </c>
      <c r="F3668" s="107" t="str">
        <f>IF(LEN(Table1722[[#This Row],[Uraian]])&gt;2,TRIM(RIGHT(SUBSTITUTE(TRIM(C3668)," ",REPT(" ",255)),255))," ")</f>
        <v xml:space="preserve"> </v>
      </c>
      <c r="G3668" s="110">
        <f>COPY!Z3660</f>
        <v>0</v>
      </c>
      <c r="H3668" s="111" t="str">
        <f>IFERROR(VLOOKUP(Table1722[[#This Row],[Bukti]],'Un nOTA'!$A$4:$K$5003,10,FALSE),"")</f>
        <v/>
      </c>
      <c r="I3668" s="123" t="str">
        <f>IFERROR(VLOOKUP(Table1722[[#This Row],[Bukti]],Table13[#Data],11,FALSE),"")</f>
        <v/>
      </c>
    </row>
    <row r="3669" spans="1:9" hidden="1" x14ac:dyDescent="0.2">
      <c r="A3669" s="105" t="str">
        <f>IF(D3669=1,COUNTIF($D$10:D3669,1)," ")</f>
        <v xml:space="preserve"> </v>
      </c>
      <c r="B3669" s="106">
        <f>COPY!AR3661</f>
        <v>0</v>
      </c>
      <c r="C3669" s="107">
        <f>COPY!AC3661</f>
        <v>0</v>
      </c>
      <c r="D3669" s="107" t="str">
        <f>IF(LEN(Table1722[[#This Row],[Uraian]])&gt;2,1," ")</f>
        <v xml:space="preserve"> </v>
      </c>
      <c r="E3669" s="113" t="str">
        <f>IF(Table1722[[#This Row],[Lawan Transaksi]]="CV AGUNG KARYA",COUNTIF($I$10:I3669,"CV AGUNG KARYA")," ")</f>
        <v xml:space="preserve"> </v>
      </c>
      <c r="F3669" s="107" t="str">
        <f>IF(LEN(Table1722[[#This Row],[Uraian]])&gt;2,TRIM(RIGHT(SUBSTITUTE(TRIM(C3669)," ",REPT(" ",255)),255))," ")</f>
        <v xml:space="preserve"> </v>
      </c>
      <c r="G3669" s="110">
        <f>COPY!Z3661</f>
        <v>0</v>
      </c>
      <c r="H3669" s="111" t="str">
        <f>IFERROR(VLOOKUP(Table1722[[#This Row],[Bukti]],'Un nOTA'!$A$4:$K$5003,10,FALSE),"")</f>
        <v/>
      </c>
      <c r="I3669" s="123" t="str">
        <f>IFERROR(VLOOKUP(Table1722[[#This Row],[Bukti]],Table13[#Data],11,FALSE),"")</f>
        <v/>
      </c>
    </row>
    <row r="3670" spans="1:9" hidden="1" x14ac:dyDescent="0.2">
      <c r="A3670" s="105" t="str">
        <f>IF(D3670=1,COUNTIF($D$10:D3670,1)," ")</f>
        <v xml:space="preserve"> </v>
      </c>
      <c r="B3670" s="106">
        <f>COPY!AR3662</f>
        <v>0</v>
      </c>
      <c r="C3670" s="107">
        <f>COPY!AC3662</f>
        <v>0</v>
      </c>
      <c r="D3670" s="107" t="str">
        <f>IF(LEN(Table1722[[#This Row],[Uraian]])&gt;2,1," ")</f>
        <v xml:space="preserve"> </v>
      </c>
      <c r="E3670" s="113" t="str">
        <f>IF(Table1722[[#This Row],[Lawan Transaksi]]="CV AGUNG KARYA",COUNTIF($I$10:I3670,"CV AGUNG KARYA")," ")</f>
        <v xml:space="preserve"> </v>
      </c>
      <c r="F3670" s="107" t="str">
        <f>IF(LEN(Table1722[[#This Row],[Uraian]])&gt;2,TRIM(RIGHT(SUBSTITUTE(TRIM(C3670)," ",REPT(" ",255)),255))," ")</f>
        <v xml:space="preserve"> </v>
      </c>
      <c r="G3670" s="110">
        <f>COPY!Z3662</f>
        <v>0</v>
      </c>
      <c r="H3670" s="111" t="str">
        <f>IFERROR(VLOOKUP(Table1722[[#This Row],[Bukti]],'Un nOTA'!$A$4:$K$5003,10,FALSE),"")</f>
        <v/>
      </c>
      <c r="I3670" s="123" t="str">
        <f>IFERROR(VLOOKUP(Table1722[[#This Row],[Bukti]],Table13[#Data],11,FALSE),"")</f>
        <v/>
      </c>
    </row>
    <row r="3671" spans="1:9" hidden="1" x14ac:dyDescent="0.2">
      <c r="A3671" s="105" t="str">
        <f>IF(D3671=1,COUNTIF($D$10:D3671,1)," ")</f>
        <v xml:space="preserve"> </v>
      </c>
      <c r="B3671" s="106">
        <f>COPY!AR3663</f>
        <v>0</v>
      </c>
      <c r="C3671" s="107">
        <f>COPY!AC3663</f>
        <v>0</v>
      </c>
      <c r="D3671" s="107" t="str">
        <f>IF(LEN(Table1722[[#This Row],[Uraian]])&gt;2,1," ")</f>
        <v xml:space="preserve"> </v>
      </c>
      <c r="E3671" s="113" t="str">
        <f>IF(Table1722[[#This Row],[Lawan Transaksi]]="CV AGUNG KARYA",COUNTIF($I$10:I3671,"CV AGUNG KARYA")," ")</f>
        <v xml:space="preserve"> </v>
      </c>
      <c r="F3671" s="107" t="str">
        <f>IF(LEN(Table1722[[#This Row],[Uraian]])&gt;2,TRIM(RIGHT(SUBSTITUTE(TRIM(C3671)," ",REPT(" ",255)),255))," ")</f>
        <v xml:space="preserve"> </v>
      </c>
      <c r="G3671" s="110">
        <f>COPY!Z3663</f>
        <v>0</v>
      </c>
      <c r="H3671" s="111" t="str">
        <f>IFERROR(VLOOKUP(Table1722[[#This Row],[Bukti]],'Un nOTA'!$A$4:$K$5003,10,FALSE),"")</f>
        <v/>
      </c>
      <c r="I3671" s="123" t="str">
        <f>IFERROR(VLOOKUP(Table1722[[#This Row],[Bukti]],Table13[#Data],11,FALSE),"")</f>
        <v/>
      </c>
    </row>
    <row r="3672" spans="1:9" hidden="1" x14ac:dyDescent="0.2">
      <c r="A3672" s="105" t="str">
        <f>IF(D3672=1,COUNTIF($D$10:D3672,1)," ")</f>
        <v xml:space="preserve"> </v>
      </c>
      <c r="B3672" s="106">
        <f>COPY!AR3664</f>
        <v>0</v>
      </c>
      <c r="C3672" s="107">
        <f>COPY!AC3664</f>
        <v>0</v>
      </c>
      <c r="D3672" s="107" t="str">
        <f>IF(LEN(Table1722[[#This Row],[Uraian]])&gt;2,1," ")</f>
        <v xml:space="preserve"> </v>
      </c>
      <c r="E3672" s="113" t="str">
        <f>IF(Table1722[[#This Row],[Lawan Transaksi]]="CV AGUNG KARYA",COUNTIF($I$10:I3672,"CV AGUNG KARYA")," ")</f>
        <v xml:space="preserve"> </v>
      </c>
      <c r="F3672" s="107" t="str">
        <f>IF(LEN(Table1722[[#This Row],[Uraian]])&gt;2,TRIM(RIGHT(SUBSTITUTE(TRIM(C3672)," ",REPT(" ",255)),255))," ")</f>
        <v xml:space="preserve"> </v>
      </c>
      <c r="G3672" s="110">
        <f>COPY!Z3664</f>
        <v>0</v>
      </c>
      <c r="H3672" s="111" t="str">
        <f>IFERROR(VLOOKUP(Table1722[[#This Row],[Bukti]],'Un nOTA'!$A$4:$K$5003,10,FALSE),"")</f>
        <v/>
      </c>
      <c r="I3672" s="123" t="str">
        <f>IFERROR(VLOOKUP(Table1722[[#This Row],[Bukti]],Table13[#Data],11,FALSE),"")</f>
        <v/>
      </c>
    </row>
    <row r="3673" spans="1:9" hidden="1" x14ac:dyDescent="0.2">
      <c r="A3673" s="105" t="str">
        <f>IF(D3673=1,COUNTIF($D$10:D3673,1)," ")</f>
        <v xml:space="preserve"> </v>
      </c>
      <c r="B3673" s="106">
        <f>COPY!AR3665</f>
        <v>0</v>
      </c>
      <c r="C3673" s="107">
        <f>COPY!AC3665</f>
        <v>0</v>
      </c>
      <c r="D3673" s="107" t="str">
        <f>IF(LEN(Table1722[[#This Row],[Uraian]])&gt;2,1," ")</f>
        <v xml:space="preserve"> </v>
      </c>
      <c r="E3673" s="113" t="str">
        <f>IF(Table1722[[#This Row],[Lawan Transaksi]]="CV AGUNG KARYA",COUNTIF($I$10:I3673,"CV AGUNG KARYA")," ")</f>
        <v xml:space="preserve"> </v>
      </c>
      <c r="F3673" s="107" t="str">
        <f>IF(LEN(Table1722[[#This Row],[Uraian]])&gt;2,TRIM(RIGHT(SUBSTITUTE(TRIM(C3673)," ",REPT(" ",255)),255))," ")</f>
        <v xml:space="preserve"> </v>
      </c>
      <c r="G3673" s="110">
        <f>COPY!Z3665</f>
        <v>0</v>
      </c>
      <c r="H3673" s="111" t="str">
        <f>IFERROR(VLOOKUP(Table1722[[#This Row],[Bukti]],'Un nOTA'!$A$4:$K$5003,10,FALSE),"")</f>
        <v/>
      </c>
      <c r="I3673" s="123" t="str">
        <f>IFERROR(VLOOKUP(Table1722[[#This Row],[Bukti]],Table13[#Data],11,FALSE),"")</f>
        <v/>
      </c>
    </row>
    <row r="3674" spans="1:9" hidden="1" x14ac:dyDescent="0.2">
      <c r="A3674" s="105" t="str">
        <f>IF(D3674=1,COUNTIF($D$10:D3674,1)," ")</f>
        <v xml:space="preserve"> </v>
      </c>
      <c r="B3674" s="106">
        <f>COPY!AR3666</f>
        <v>0</v>
      </c>
      <c r="C3674" s="107">
        <f>COPY!AC3666</f>
        <v>0</v>
      </c>
      <c r="D3674" s="107" t="str">
        <f>IF(LEN(Table1722[[#This Row],[Uraian]])&gt;2,1," ")</f>
        <v xml:space="preserve"> </v>
      </c>
      <c r="E3674" s="113" t="str">
        <f>IF(Table1722[[#This Row],[Lawan Transaksi]]="CV AGUNG KARYA",COUNTIF($I$10:I3674,"CV AGUNG KARYA")," ")</f>
        <v xml:space="preserve"> </v>
      </c>
      <c r="F3674" s="107" t="str">
        <f>IF(LEN(Table1722[[#This Row],[Uraian]])&gt;2,TRIM(RIGHT(SUBSTITUTE(TRIM(C3674)," ",REPT(" ",255)),255))," ")</f>
        <v xml:space="preserve"> </v>
      </c>
      <c r="G3674" s="110">
        <f>COPY!Z3666</f>
        <v>0</v>
      </c>
      <c r="H3674" s="111" t="str">
        <f>IFERROR(VLOOKUP(Table1722[[#This Row],[Bukti]],'Un nOTA'!$A$4:$K$5003,10,FALSE),"")</f>
        <v/>
      </c>
      <c r="I3674" s="123" t="str">
        <f>IFERROR(VLOOKUP(Table1722[[#This Row],[Bukti]],Table13[#Data],11,FALSE),"")</f>
        <v/>
      </c>
    </row>
    <row r="3675" spans="1:9" hidden="1" x14ac:dyDescent="0.2">
      <c r="A3675" s="105" t="str">
        <f>IF(D3675=1,COUNTIF($D$10:D3675,1)," ")</f>
        <v xml:space="preserve"> </v>
      </c>
      <c r="B3675" s="106">
        <f>COPY!AR3667</f>
        <v>0</v>
      </c>
      <c r="C3675" s="107">
        <f>COPY!AC3667</f>
        <v>0</v>
      </c>
      <c r="D3675" s="107" t="str">
        <f>IF(LEN(Table1722[[#This Row],[Uraian]])&gt;2,1," ")</f>
        <v xml:space="preserve"> </v>
      </c>
      <c r="E3675" s="113" t="str">
        <f>IF(Table1722[[#This Row],[Lawan Transaksi]]="CV AGUNG KARYA",COUNTIF($I$10:I3675,"CV AGUNG KARYA")," ")</f>
        <v xml:space="preserve"> </v>
      </c>
      <c r="F3675" s="107" t="str">
        <f>IF(LEN(Table1722[[#This Row],[Uraian]])&gt;2,TRIM(RIGHT(SUBSTITUTE(TRIM(C3675)," ",REPT(" ",255)),255))," ")</f>
        <v xml:space="preserve"> </v>
      </c>
      <c r="G3675" s="110">
        <f>COPY!Z3667</f>
        <v>0</v>
      </c>
      <c r="H3675" s="111" t="str">
        <f>IFERROR(VLOOKUP(Table1722[[#This Row],[Bukti]],'Un nOTA'!$A$4:$K$5003,10,FALSE),"")</f>
        <v/>
      </c>
      <c r="I3675" s="123" t="str">
        <f>IFERROR(VLOOKUP(Table1722[[#This Row],[Bukti]],Table13[#Data],11,FALSE),"")</f>
        <v/>
      </c>
    </row>
    <row r="3676" spans="1:9" hidden="1" x14ac:dyDescent="0.2">
      <c r="A3676" s="105" t="str">
        <f>IF(D3676=1,COUNTIF($D$10:D3676,1)," ")</f>
        <v xml:space="preserve"> </v>
      </c>
      <c r="B3676" s="106">
        <f>COPY!AR3668</f>
        <v>0</v>
      </c>
      <c r="C3676" s="107">
        <f>COPY!AC3668</f>
        <v>0</v>
      </c>
      <c r="D3676" s="107" t="str">
        <f>IF(LEN(Table1722[[#This Row],[Uraian]])&gt;2,1," ")</f>
        <v xml:space="preserve"> </v>
      </c>
      <c r="E3676" s="113" t="str">
        <f>IF(Table1722[[#This Row],[Lawan Transaksi]]="CV AGUNG KARYA",COUNTIF($I$10:I3676,"CV AGUNG KARYA")," ")</f>
        <v xml:space="preserve"> </v>
      </c>
      <c r="F3676" s="107" t="str">
        <f>IF(LEN(Table1722[[#This Row],[Uraian]])&gt;2,TRIM(RIGHT(SUBSTITUTE(TRIM(C3676)," ",REPT(" ",255)),255))," ")</f>
        <v xml:space="preserve"> </v>
      </c>
      <c r="G3676" s="110">
        <f>COPY!Z3668</f>
        <v>0</v>
      </c>
      <c r="H3676" s="111" t="str">
        <f>IFERROR(VLOOKUP(Table1722[[#This Row],[Bukti]],'Un nOTA'!$A$4:$K$5003,10,FALSE),"")</f>
        <v/>
      </c>
      <c r="I3676" s="123" t="str">
        <f>IFERROR(VLOOKUP(Table1722[[#This Row],[Bukti]],Table13[#Data],11,FALSE),"")</f>
        <v/>
      </c>
    </row>
    <row r="3677" spans="1:9" hidden="1" x14ac:dyDescent="0.2">
      <c r="A3677" s="105" t="str">
        <f>IF(D3677=1,COUNTIF($D$10:D3677,1)," ")</f>
        <v xml:space="preserve"> </v>
      </c>
      <c r="B3677" s="106">
        <f>COPY!AR3669</f>
        <v>0</v>
      </c>
      <c r="C3677" s="107">
        <f>COPY!AC3669</f>
        <v>0</v>
      </c>
      <c r="D3677" s="107" t="str">
        <f>IF(LEN(Table1722[[#This Row],[Uraian]])&gt;2,1," ")</f>
        <v xml:space="preserve"> </v>
      </c>
      <c r="E3677" s="113" t="str">
        <f>IF(Table1722[[#This Row],[Lawan Transaksi]]="CV AGUNG KARYA",COUNTIF($I$10:I3677,"CV AGUNG KARYA")," ")</f>
        <v xml:space="preserve"> </v>
      </c>
      <c r="F3677" s="107" t="str">
        <f>IF(LEN(Table1722[[#This Row],[Uraian]])&gt;2,TRIM(RIGHT(SUBSTITUTE(TRIM(C3677)," ",REPT(" ",255)),255))," ")</f>
        <v xml:space="preserve"> </v>
      </c>
      <c r="G3677" s="110">
        <f>COPY!Z3669</f>
        <v>0</v>
      </c>
      <c r="H3677" s="111" t="str">
        <f>IFERROR(VLOOKUP(Table1722[[#This Row],[Bukti]],'Un nOTA'!$A$4:$K$5003,10,FALSE),"")</f>
        <v/>
      </c>
      <c r="I3677" s="123" t="str">
        <f>IFERROR(VLOOKUP(Table1722[[#This Row],[Bukti]],Table13[#Data],11,FALSE),"")</f>
        <v/>
      </c>
    </row>
    <row r="3678" spans="1:9" hidden="1" x14ac:dyDescent="0.2">
      <c r="A3678" s="105" t="str">
        <f>IF(D3678=1,COUNTIF($D$10:D3678,1)," ")</f>
        <v xml:space="preserve"> </v>
      </c>
      <c r="B3678" s="106">
        <f>COPY!AR3670</f>
        <v>0</v>
      </c>
      <c r="C3678" s="107">
        <f>COPY!AC3670</f>
        <v>0</v>
      </c>
      <c r="D3678" s="107" t="str">
        <f>IF(LEN(Table1722[[#This Row],[Uraian]])&gt;2,1," ")</f>
        <v xml:space="preserve"> </v>
      </c>
      <c r="E3678" s="113" t="str">
        <f>IF(Table1722[[#This Row],[Lawan Transaksi]]="CV AGUNG KARYA",COUNTIF($I$10:I3678,"CV AGUNG KARYA")," ")</f>
        <v xml:space="preserve"> </v>
      </c>
      <c r="F3678" s="107" t="str">
        <f>IF(LEN(Table1722[[#This Row],[Uraian]])&gt;2,TRIM(RIGHT(SUBSTITUTE(TRIM(C3678)," ",REPT(" ",255)),255))," ")</f>
        <v xml:space="preserve"> </v>
      </c>
      <c r="G3678" s="110">
        <f>COPY!Z3670</f>
        <v>0</v>
      </c>
      <c r="H3678" s="111" t="str">
        <f>IFERROR(VLOOKUP(Table1722[[#This Row],[Bukti]],'Un nOTA'!$A$4:$K$5003,10,FALSE),"")</f>
        <v/>
      </c>
      <c r="I3678" s="123" t="str">
        <f>IFERROR(VLOOKUP(Table1722[[#This Row],[Bukti]],Table13[#Data],11,FALSE),"")</f>
        <v/>
      </c>
    </row>
    <row r="3679" spans="1:9" hidden="1" x14ac:dyDescent="0.2">
      <c r="A3679" s="105" t="str">
        <f>IF(D3679=1,COUNTIF($D$10:D3679,1)," ")</f>
        <v xml:space="preserve"> </v>
      </c>
      <c r="B3679" s="106">
        <f>COPY!AR3671</f>
        <v>0</v>
      </c>
      <c r="C3679" s="107">
        <f>COPY!AC3671</f>
        <v>0</v>
      </c>
      <c r="D3679" s="107" t="str">
        <f>IF(LEN(Table1722[[#This Row],[Uraian]])&gt;2,1," ")</f>
        <v xml:space="preserve"> </v>
      </c>
      <c r="E3679" s="113" t="str">
        <f>IF(Table1722[[#This Row],[Lawan Transaksi]]="CV AGUNG KARYA",COUNTIF($I$10:I3679,"CV AGUNG KARYA")," ")</f>
        <v xml:space="preserve"> </v>
      </c>
      <c r="F3679" s="107" t="str">
        <f>IF(LEN(Table1722[[#This Row],[Uraian]])&gt;2,TRIM(RIGHT(SUBSTITUTE(TRIM(C3679)," ",REPT(" ",255)),255))," ")</f>
        <v xml:space="preserve"> </v>
      </c>
      <c r="G3679" s="110">
        <f>COPY!Z3671</f>
        <v>0</v>
      </c>
      <c r="H3679" s="111" t="str">
        <f>IFERROR(VLOOKUP(Table1722[[#This Row],[Bukti]],'Un nOTA'!$A$4:$K$5003,10,FALSE),"")</f>
        <v/>
      </c>
      <c r="I3679" s="123" t="str">
        <f>IFERROR(VLOOKUP(Table1722[[#This Row],[Bukti]],Table13[#Data],11,FALSE),"")</f>
        <v/>
      </c>
    </row>
    <row r="3680" spans="1:9" hidden="1" x14ac:dyDescent="0.2">
      <c r="A3680" s="105" t="str">
        <f>IF(D3680=1,COUNTIF($D$10:D3680,1)," ")</f>
        <v xml:space="preserve"> </v>
      </c>
      <c r="B3680" s="106">
        <f>COPY!AR3672</f>
        <v>0</v>
      </c>
      <c r="C3680" s="107">
        <f>COPY!AC3672</f>
        <v>0</v>
      </c>
      <c r="D3680" s="107" t="str">
        <f>IF(LEN(Table1722[[#This Row],[Uraian]])&gt;2,1," ")</f>
        <v xml:space="preserve"> </v>
      </c>
      <c r="E3680" s="113" t="str">
        <f>IF(Table1722[[#This Row],[Lawan Transaksi]]="CV AGUNG KARYA",COUNTIF($I$10:I3680,"CV AGUNG KARYA")," ")</f>
        <v xml:space="preserve"> </v>
      </c>
      <c r="F3680" s="107" t="str">
        <f>IF(LEN(Table1722[[#This Row],[Uraian]])&gt;2,TRIM(RIGHT(SUBSTITUTE(TRIM(C3680)," ",REPT(" ",255)),255))," ")</f>
        <v xml:space="preserve"> </v>
      </c>
      <c r="G3680" s="110">
        <f>COPY!Z3672</f>
        <v>0</v>
      </c>
      <c r="H3680" s="111" t="str">
        <f>IFERROR(VLOOKUP(Table1722[[#This Row],[Bukti]],'Un nOTA'!$A$4:$K$5003,10,FALSE),"")</f>
        <v/>
      </c>
      <c r="I3680" s="123" t="str">
        <f>IFERROR(VLOOKUP(Table1722[[#This Row],[Bukti]],Table13[#Data],11,FALSE),"")</f>
        <v/>
      </c>
    </row>
    <row r="3681" spans="1:9" hidden="1" x14ac:dyDescent="0.2">
      <c r="A3681" s="105" t="str">
        <f>IF(D3681=1,COUNTIF($D$10:D3681,1)," ")</f>
        <v xml:space="preserve"> </v>
      </c>
      <c r="B3681" s="106">
        <f>COPY!AR3673</f>
        <v>0</v>
      </c>
      <c r="C3681" s="107">
        <f>COPY!AC3673</f>
        <v>0</v>
      </c>
      <c r="D3681" s="107" t="str">
        <f>IF(LEN(Table1722[[#This Row],[Uraian]])&gt;2,1," ")</f>
        <v xml:space="preserve"> </v>
      </c>
      <c r="E3681" s="113" t="str">
        <f>IF(Table1722[[#This Row],[Lawan Transaksi]]="CV AGUNG KARYA",COUNTIF($I$10:I3681,"CV AGUNG KARYA")," ")</f>
        <v xml:space="preserve"> </v>
      </c>
      <c r="F3681" s="107" t="str">
        <f>IF(LEN(Table1722[[#This Row],[Uraian]])&gt;2,TRIM(RIGHT(SUBSTITUTE(TRIM(C3681)," ",REPT(" ",255)),255))," ")</f>
        <v xml:space="preserve"> </v>
      </c>
      <c r="G3681" s="110">
        <f>COPY!Z3673</f>
        <v>0</v>
      </c>
      <c r="H3681" s="111" t="str">
        <f>IFERROR(VLOOKUP(Table1722[[#This Row],[Bukti]],'Un nOTA'!$A$4:$K$5003,10,FALSE),"")</f>
        <v/>
      </c>
      <c r="I3681" s="123" t="str">
        <f>IFERROR(VLOOKUP(Table1722[[#This Row],[Bukti]],Table13[#Data],11,FALSE),"")</f>
        <v/>
      </c>
    </row>
    <row r="3682" spans="1:9" hidden="1" x14ac:dyDescent="0.2">
      <c r="A3682" s="105" t="str">
        <f>IF(D3682=1,COUNTIF($D$10:D3682,1)," ")</f>
        <v xml:space="preserve"> </v>
      </c>
      <c r="B3682" s="106">
        <f>COPY!AR3674</f>
        <v>0</v>
      </c>
      <c r="C3682" s="107">
        <f>COPY!AC3674</f>
        <v>0</v>
      </c>
      <c r="D3682" s="107" t="str">
        <f>IF(LEN(Table1722[[#This Row],[Uraian]])&gt;2,1," ")</f>
        <v xml:space="preserve"> </v>
      </c>
      <c r="E3682" s="113" t="str">
        <f>IF(Table1722[[#This Row],[Lawan Transaksi]]="CV AGUNG KARYA",COUNTIF($I$10:I3682,"CV AGUNG KARYA")," ")</f>
        <v xml:space="preserve"> </v>
      </c>
      <c r="F3682" s="107" t="str">
        <f>IF(LEN(Table1722[[#This Row],[Uraian]])&gt;2,TRIM(RIGHT(SUBSTITUTE(TRIM(C3682)," ",REPT(" ",255)),255))," ")</f>
        <v xml:space="preserve"> </v>
      </c>
      <c r="G3682" s="110">
        <f>COPY!Z3674</f>
        <v>0</v>
      </c>
      <c r="H3682" s="111" t="str">
        <f>IFERROR(VLOOKUP(Table1722[[#This Row],[Bukti]],'Un nOTA'!$A$4:$K$5003,10,FALSE),"")</f>
        <v/>
      </c>
      <c r="I3682" s="123" t="str">
        <f>IFERROR(VLOOKUP(Table1722[[#This Row],[Bukti]],Table13[#Data],11,FALSE),"")</f>
        <v/>
      </c>
    </row>
    <row r="3683" spans="1:9" hidden="1" x14ac:dyDescent="0.2">
      <c r="A3683" s="105" t="str">
        <f>IF(D3683=1,COUNTIF($D$10:D3683,1)," ")</f>
        <v xml:space="preserve"> </v>
      </c>
      <c r="B3683" s="106">
        <f>COPY!AR3675</f>
        <v>0</v>
      </c>
      <c r="C3683" s="107">
        <f>COPY!AC3675</f>
        <v>0</v>
      </c>
      <c r="D3683" s="107" t="str">
        <f>IF(LEN(Table1722[[#This Row],[Uraian]])&gt;2,1," ")</f>
        <v xml:space="preserve"> </v>
      </c>
      <c r="E3683" s="113" t="str">
        <f>IF(Table1722[[#This Row],[Lawan Transaksi]]="CV AGUNG KARYA",COUNTIF($I$10:I3683,"CV AGUNG KARYA")," ")</f>
        <v xml:space="preserve"> </v>
      </c>
      <c r="F3683" s="107" t="str">
        <f>IF(LEN(Table1722[[#This Row],[Uraian]])&gt;2,TRIM(RIGHT(SUBSTITUTE(TRIM(C3683)," ",REPT(" ",255)),255))," ")</f>
        <v xml:space="preserve"> </v>
      </c>
      <c r="G3683" s="110">
        <f>COPY!Z3675</f>
        <v>0</v>
      </c>
      <c r="H3683" s="111" t="str">
        <f>IFERROR(VLOOKUP(Table1722[[#This Row],[Bukti]],'Un nOTA'!$A$4:$K$5003,10,FALSE),"")</f>
        <v/>
      </c>
      <c r="I3683" s="123" t="str">
        <f>IFERROR(VLOOKUP(Table1722[[#This Row],[Bukti]],Table13[#Data],11,FALSE),"")</f>
        <v/>
      </c>
    </row>
    <row r="3684" spans="1:9" hidden="1" x14ac:dyDescent="0.2">
      <c r="A3684" s="105" t="str">
        <f>IF(D3684=1,COUNTIF($D$10:D3684,1)," ")</f>
        <v xml:space="preserve"> </v>
      </c>
      <c r="B3684" s="106">
        <f>COPY!AR3676</f>
        <v>0</v>
      </c>
      <c r="C3684" s="107">
        <f>COPY!AC3676</f>
        <v>0</v>
      </c>
      <c r="D3684" s="107" t="str">
        <f>IF(LEN(Table1722[[#This Row],[Uraian]])&gt;2,1," ")</f>
        <v xml:space="preserve"> </v>
      </c>
      <c r="E3684" s="113" t="str">
        <f>IF(Table1722[[#This Row],[Lawan Transaksi]]="CV AGUNG KARYA",COUNTIF($I$10:I3684,"CV AGUNG KARYA")," ")</f>
        <v xml:space="preserve"> </v>
      </c>
      <c r="F3684" s="107" t="str">
        <f>IF(LEN(Table1722[[#This Row],[Uraian]])&gt;2,TRIM(RIGHT(SUBSTITUTE(TRIM(C3684)," ",REPT(" ",255)),255))," ")</f>
        <v xml:space="preserve"> </v>
      </c>
      <c r="G3684" s="110">
        <f>COPY!Z3676</f>
        <v>0</v>
      </c>
      <c r="H3684" s="111" t="str">
        <f>IFERROR(VLOOKUP(Table1722[[#This Row],[Bukti]],'Un nOTA'!$A$4:$K$5003,10,FALSE),"")</f>
        <v/>
      </c>
      <c r="I3684" s="123" t="str">
        <f>IFERROR(VLOOKUP(Table1722[[#This Row],[Bukti]],Table13[#Data],11,FALSE),"")</f>
        <v/>
      </c>
    </row>
    <row r="3685" spans="1:9" hidden="1" x14ac:dyDescent="0.2">
      <c r="A3685" s="105" t="str">
        <f>IF(D3685=1,COUNTIF($D$10:D3685,1)," ")</f>
        <v xml:space="preserve"> </v>
      </c>
      <c r="B3685" s="106">
        <f>COPY!AR3677</f>
        <v>0</v>
      </c>
      <c r="C3685" s="107">
        <f>COPY!AC3677</f>
        <v>0</v>
      </c>
      <c r="D3685" s="107" t="str">
        <f>IF(LEN(Table1722[[#This Row],[Uraian]])&gt;2,1," ")</f>
        <v xml:space="preserve"> </v>
      </c>
      <c r="E3685" s="113" t="str">
        <f>IF(Table1722[[#This Row],[Lawan Transaksi]]="CV AGUNG KARYA",COUNTIF($I$10:I3685,"CV AGUNG KARYA")," ")</f>
        <v xml:space="preserve"> </v>
      </c>
      <c r="F3685" s="107" t="str">
        <f>IF(LEN(Table1722[[#This Row],[Uraian]])&gt;2,TRIM(RIGHT(SUBSTITUTE(TRIM(C3685)," ",REPT(" ",255)),255))," ")</f>
        <v xml:space="preserve"> </v>
      </c>
      <c r="G3685" s="110">
        <f>COPY!Z3677</f>
        <v>0</v>
      </c>
      <c r="H3685" s="111" t="str">
        <f>IFERROR(VLOOKUP(Table1722[[#This Row],[Bukti]],'Un nOTA'!$A$4:$K$5003,10,FALSE),"")</f>
        <v/>
      </c>
      <c r="I3685" s="123" t="str">
        <f>IFERROR(VLOOKUP(Table1722[[#This Row],[Bukti]],Table13[#Data],11,FALSE),"")</f>
        <v/>
      </c>
    </row>
    <row r="3686" spans="1:9" hidden="1" x14ac:dyDescent="0.2">
      <c r="A3686" s="105" t="str">
        <f>IF(D3686=1,COUNTIF($D$10:D3686,1)," ")</f>
        <v xml:space="preserve"> </v>
      </c>
      <c r="B3686" s="106">
        <f>COPY!AR3678</f>
        <v>0</v>
      </c>
      <c r="C3686" s="107">
        <f>COPY!AC3678</f>
        <v>0</v>
      </c>
      <c r="D3686" s="107" t="str">
        <f>IF(LEN(Table1722[[#This Row],[Uraian]])&gt;2,1," ")</f>
        <v xml:space="preserve"> </v>
      </c>
      <c r="E3686" s="113" t="str">
        <f>IF(Table1722[[#This Row],[Lawan Transaksi]]="CV AGUNG KARYA",COUNTIF($I$10:I3686,"CV AGUNG KARYA")," ")</f>
        <v xml:space="preserve"> </v>
      </c>
      <c r="F3686" s="107" t="str">
        <f>IF(LEN(Table1722[[#This Row],[Uraian]])&gt;2,TRIM(RIGHT(SUBSTITUTE(TRIM(C3686)," ",REPT(" ",255)),255))," ")</f>
        <v xml:space="preserve"> </v>
      </c>
      <c r="G3686" s="110">
        <f>COPY!Z3678</f>
        <v>0</v>
      </c>
      <c r="H3686" s="111" t="str">
        <f>IFERROR(VLOOKUP(Table1722[[#This Row],[Bukti]],'Un nOTA'!$A$4:$K$5003,10,FALSE),"")</f>
        <v/>
      </c>
      <c r="I3686" s="123" t="str">
        <f>IFERROR(VLOOKUP(Table1722[[#This Row],[Bukti]],Table13[#Data],11,FALSE),"")</f>
        <v/>
      </c>
    </row>
    <row r="3687" spans="1:9" hidden="1" x14ac:dyDescent="0.2">
      <c r="A3687" s="105" t="str">
        <f>IF(D3687=1,COUNTIF($D$10:D3687,1)," ")</f>
        <v xml:space="preserve"> </v>
      </c>
      <c r="B3687" s="106">
        <f>COPY!AR3679</f>
        <v>0</v>
      </c>
      <c r="C3687" s="107">
        <f>COPY!AC3679</f>
        <v>0</v>
      </c>
      <c r="D3687" s="107" t="str">
        <f>IF(LEN(Table1722[[#This Row],[Uraian]])&gt;2,1," ")</f>
        <v xml:space="preserve"> </v>
      </c>
      <c r="E3687" s="113" t="str">
        <f>IF(Table1722[[#This Row],[Lawan Transaksi]]="CV AGUNG KARYA",COUNTIF($I$10:I3687,"CV AGUNG KARYA")," ")</f>
        <v xml:space="preserve"> </v>
      </c>
      <c r="F3687" s="107" t="str">
        <f>IF(LEN(Table1722[[#This Row],[Uraian]])&gt;2,TRIM(RIGHT(SUBSTITUTE(TRIM(C3687)," ",REPT(" ",255)),255))," ")</f>
        <v xml:space="preserve"> </v>
      </c>
      <c r="G3687" s="110">
        <f>COPY!Z3679</f>
        <v>0</v>
      </c>
      <c r="H3687" s="111" t="str">
        <f>IFERROR(VLOOKUP(Table1722[[#This Row],[Bukti]],'Un nOTA'!$A$4:$K$5003,10,FALSE),"")</f>
        <v/>
      </c>
      <c r="I3687" s="123" t="str">
        <f>IFERROR(VLOOKUP(Table1722[[#This Row],[Bukti]],Table13[#Data],11,FALSE),"")</f>
        <v/>
      </c>
    </row>
    <row r="3688" spans="1:9" hidden="1" x14ac:dyDescent="0.2">
      <c r="A3688" s="105" t="str">
        <f>IF(D3688=1,COUNTIF($D$10:D3688,1)," ")</f>
        <v xml:space="preserve"> </v>
      </c>
      <c r="B3688" s="106">
        <f>COPY!AR3680</f>
        <v>0</v>
      </c>
      <c r="C3688" s="107">
        <f>COPY!AC3680</f>
        <v>0</v>
      </c>
      <c r="D3688" s="107" t="str">
        <f>IF(LEN(Table1722[[#This Row],[Uraian]])&gt;2,1," ")</f>
        <v xml:space="preserve"> </v>
      </c>
      <c r="E3688" s="113" t="str">
        <f>IF(Table1722[[#This Row],[Lawan Transaksi]]="CV AGUNG KARYA",COUNTIF($I$10:I3688,"CV AGUNG KARYA")," ")</f>
        <v xml:space="preserve"> </v>
      </c>
      <c r="F3688" s="107" t="str">
        <f>IF(LEN(Table1722[[#This Row],[Uraian]])&gt;2,TRIM(RIGHT(SUBSTITUTE(TRIM(C3688)," ",REPT(" ",255)),255))," ")</f>
        <v xml:space="preserve"> </v>
      </c>
      <c r="G3688" s="110">
        <f>COPY!Z3680</f>
        <v>0</v>
      </c>
      <c r="H3688" s="111" t="str">
        <f>IFERROR(VLOOKUP(Table1722[[#This Row],[Bukti]],'Un nOTA'!$A$4:$K$5003,10,FALSE),"")</f>
        <v/>
      </c>
      <c r="I3688" s="123" t="str">
        <f>IFERROR(VLOOKUP(Table1722[[#This Row],[Bukti]],Table13[#Data],11,FALSE),"")</f>
        <v/>
      </c>
    </row>
    <row r="3689" spans="1:9" hidden="1" x14ac:dyDescent="0.2">
      <c r="A3689" s="105" t="str">
        <f>IF(D3689=1,COUNTIF($D$10:D3689,1)," ")</f>
        <v xml:space="preserve"> </v>
      </c>
      <c r="B3689" s="106">
        <f>COPY!AR3681</f>
        <v>0</v>
      </c>
      <c r="C3689" s="107">
        <f>COPY!AC3681</f>
        <v>0</v>
      </c>
      <c r="D3689" s="107" t="str">
        <f>IF(LEN(Table1722[[#This Row],[Uraian]])&gt;2,1," ")</f>
        <v xml:space="preserve"> </v>
      </c>
      <c r="E3689" s="113" t="str">
        <f>IF(Table1722[[#This Row],[Lawan Transaksi]]="CV AGUNG KARYA",COUNTIF($I$10:I3689,"CV AGUNG KARYA")," ")</f>
        <v xml:space="preserve"> </v>
      </c>
      <c r="F3689" s="107" t="str">
        <f>IF(LEN(Table1722[[#This Row],[Uraian]])&gt;2,TRIM(RIGHT(SUBSTITUTE(TRIM(C3689)," ",REPT(" ",255)),255))," ")</f>
        <v xml:space="preserve"> </v>
      </c>
      <c r="G3689" s="110">
        <f>COPY!Z3681</f>
        <v>0</v>
      </c>
      <c r="H3689" s="111" t="str">
        <f>IFERROR(VLOOKUP(Table1722[[#This Row],[Bukti]],'Un nOTA'!$A$4:$K$5003,10,FALSE),"")</f>
        <v/>
      </c>
      <c r="I3689" s="123" t="str">
        <f>IFERROR(VLOOKUP(Table1722[[#This Row],[Bukti]],Table13[#Data],11,FALSE),"")</f>
        <v/>
      </c>
    </row>
    <row r="3690" spans="1:9" hidden="1" x14ac:dyDescent="0.2">
      <c r="A3690" s="105" t="str">
        <f>IF(D3690=1,COUNTIF($D$10:D3690,1)," ")</f>
        <v xml:space="preserve"> </v>
      </c>
      <c r="B3690" s="106">
        <f>COPY!AR3682</f>
        <v>0</v>
      </c>
      <c r="C3690" s="107">
        <f>COPY!AC3682</f>
        <v>0</v>
      </c>
      <c r="D3690" s="107" t="str">
        <f>IF(LEN(Table1722[[#This Row],[Uraian]])&gt;2,1," ")</f>
        <v xml:space="preserve"> </v>
      </c>
      <c r="E3690" s="113" t="str">
        <f>IF(Table1722[[#This Row],[Lawan Transaksi]]="CV AGUNG KARYA",COUNTIF($I$10:I3690,"CV AGUNG KARYA")," ")</f>
        <v xml:space="preserve"> </v>
      </c>
      <c r="F3690" s="107" t="str">
        <f>IF(LEN(Table1722[[#This Row],[Uraian]])&gt;2,TRIM(RIGHT(SUBSTITUTE(TRIM(C3690)," ",REPT(" ",255)),255))," ")</f>
        <v xml:space="preserve"> </v>
      </c>
      <c r="G3690" s="110">
        <f>COPY!Z3682</f>
        <v>0</v>
      </c>
      <c r="H3690" s="111" t="str">
        <f>IFERROR(VLOOKUP(Table1722[[#This Row],[Bukti]],'Un nOTA'!$A$4:$K$5003,10,FALSE),"")</f>
        <v/>
      </c>
      <c r="I3690" s="123" t="str">
        <f>IFERROR(VLOOKUP(Table1722[[#This Row],[Bukti]],Table13[#Data],11,FALSE),"")</f>
        <v/>
      </c>
    </row>
    <row r="3691" spans="1:9" hidden="1" x14ac:dyDescent="0.2">
      <c r="A3691" s="105" t="str">
        <f>IF(D3691=1,COUNTIF($D$10:D3691,1)," ")</f>
        <v xml:space="preserve"> </v>
      </c>
      <c r="B3691" s="106">
        <f>COPY!AR3683</f>
        <v>0</v>
      </c>
      <c r="C3691" s="107">
        <f>COPY!AC3683</f>
        <v>0</v>
      </c>
      <c r="D3691" s="107" t="str">
        <f>IF(LEN(Table1722[[#This Row],[Uraian]])&gt;2,1," ")</f>
        <v xml:space="preserve"> </v>
      </c>
      <c r="E3691" s="113" t="str">
        <f>IF(Table1722[[#This Row],[Lawan Transaksi]]="CV AGUNG KARYA",COUNTIF($I$10:I3691,"CV AGUNG KARYA")," ")</f>
        <v xml:space="preserve"> </v>
      </c>
      <c r="F3691" s="107" t="str">
        <f>IF(LEN(Table1722[[#This Row],[Uraian]])&gt;2,TRIM(RIGHT(SUBSTITUTE(TRIM(C3691)," ",REPT(" ",255)),255))," ")</f>
        <v xml:space="preserve"> </v>
      </c>
      <c r="G3691" s="110">
        <f>COPY!Z3683</f>
        <v>0</v>
      </c>
      <c r="H3691" s="111" t="str">
        <f>IFERROR(VLOOKUP(Table1722[[#This Row],[Bukti]],'Un nOTA'!$A$4:$K$5003,10,FALSE),"")</f>
        <v/>
      </c>
      <c r="I3691" s="123" t="str">
        <f>IFERROR(VLOOKUP(Table1722[[#This Row],[Bukti]],Table13[#Data],11,FALSE),"")</f>
        <v/>
      </c>
    </row>
    <row r="3692" spans="1:9" hidden="1" x14ac:dyDescent="0.2">
      <c r="A3692" s="105" t="str">
        <f>IF(D3692=1,COUNTIF($D$10:D3692,1)," ")</f>
        <v xml:space="preserve"> </v>
      </c>
      <c r="B3692" s="106">
        <f>COPY!AR3684</f>
        <v>0</v>
      </c>
      <c r="C3692" s="107">
        <f>COPY!AC3684</f>
        <v>0</v>
      </c>
      <c r="D3692" s="107" t="str">
        <f>IF(LEN(Table1722[[#This Row],[Uraian]])&gt;2,1," ")</f>
        <v xml:space="preserve"> </v>
      </c>
      <c r="E3692" s="113" t="str">
        <f>IF(Table1722[[#This Row],[Lawan Transaksi]]="CV AGUNG KARYA",COUNTIF($I$10:I3692,"CV AGUNG KARYA")," ")</f>
        <v xml:space="preserve"> </v>
      </c>
      <c r="F3692" s="107" t="str">
        <f>IF(LEN(Table1722[[#This Row],[Uraian]])&gt;2,TRIM(RIGHT(SUBSTITUTE(TRIM(C3692)," ",REPT(" ",255)),255))," ")</f>
        <v xml:space="preserve"> </v>
      </c>
      <c r="G3692" s="110">
        <f>COPY!Z3684</f>
        <v>0</v>
      </c>
      <c r="H3692" s="111" t="str">
        <f>IFERROR(VLOOKUP(Table1722[[#This Row],[Bukti]],'Un nOTA'!$A$4:$K$5003,10,FALSE),"")</f>
        <v/>
      </c>
      <c r="I3692" s="123" t="str">
        <f>IFERROR(VLOOKUP(Table1722[[#This Row],[Bukti]],Table13[#Data],11,FALSE),"")</f>
        <v/>
      </c>
    </row>
    <row r="3693" spans="1:9" hidden="1" x14ac:dyDescent="0.2">
      <c r="A3693" s="105" t="str">
        <f>IF(D3693=1,COUNTIF($D$10:D3693,1)," ")</f>
        <v xml:space="preserve"> </v>
      </c>
      <c r="B3693" s="106">
        <f>COPY!AR3685</f>
        <v>0</v>
      </c>
      <c r="C3693" s="107">
        <f>COPY!AC3685</f>
        <v>0</v>
      </c>
      <c r="D3693" s="107" t="str">
        <f>IF(LEN(Table1722[[#This Row],[Uraian]])&gt;2,1," ")</f>
        <v xml:space="preserve"> </v>
      </c>
      <c r="E3693" s="113" t="str">
        <f>IF(Table1722[[#This Row],[Lawan Transaksi]]="CV AGUNG KARYA",COUNTIF($I$10:I3693,"CV AGUNG KARYA")," ")</f>
        <v xml:space="preserve"> </v>
      </c>
      <c r="F3693" s="107" t="str">
        <f>IF(LEN(Table1722[[#This Row],[Uraian]])&gt;2,TRIM(RIGHT(SUBSTITUTE(TRIM(C3693)," ",REPT(" ",255)),255))," ")</f>
        <v xml:space="preserve"> </v>
      </c>
      <c r="G3693" s="110">
        <f>COPY!Z3685</f>
        <v>0</v>
      </c>
      <c r="H3693" s="111" t="str">
        <f>IFERROR(VLOOKUP(Table1722[[#This Row],[Bukti]],'Un nOTA'!$A$4:$K$5003,10,FALSE),"")</f>
        <v/>
      </c>
      <c r="I3693" s="123" t="str">
        <f>IFERROR(VLOOKUP(Table1722[[#This Row],[Bukti]],Table13[#Data],11,FALSE),"")</f>
        <v/>
      </c>
    </row>
    <row r="3694" spans="1:9" hidden="1" x14ac:dyDescent="0.2">
      <c r="A3694" s="105" t="str">
        <f>IF(D3694=1,COUNTIF($D$10:D3694,1)," ")</f>
        <v xml:space="preserve"> </v>
      </c>
      <c r="B3694" s="106">
        <f>COPY!AR3686</f>
        <v>0</v>
      </c>
      <c r="C3694" s="107">
        <f>COPY!AC3686</f>
        <v>0</v>
      </c>
      <c r="D3694" s="107" t="str">
        <f>IF(LEN(Table1722[[#This Row],[Uraian]])&gt;2,1," ")</f>
        <v xml:space="preserve"> </v>
      </c>
      <c r="E3694" s="113" t="str">
        <f>IF(Table1722[[#This Row],[Lawan Transaksi]]="CV AGUNG KARYA",COUNTIF($I$10:I3694,"CV AGUNG KARYA")," ")</f>
        <v xml:space="preserve"> </v>
      </c>
      <c r="F3694" s="107" t="str">
        <f>IF(LEN(Table1722[[#This Row],[Uraian]])&gt;2,TRIM(RIGHT(SUBSTITUTE(TRIM(C3694)," ",REPT(" ",255)),255))," ")</f>
        <v xml:space="preserve"> </v>
      </c>
      <c r="G3694" s="110">
        <f>COPY!Z3686</f>
        <v>0</v>
      </c>
      <c r="H3694" s="111" t="str">
        <f>IFERROR(VLOOKUP(Table1722[[#This Row],[Bukti]],'Un nOTA'!$A$4:$K$5003,10,FALSE),"")</f>
        <v/>
      </c>
      <c r="I3694" s="123" t="str">
        <f>IFERROR(VLOOKUP(Table1722[[#This Row],[Bukti]],Table13[#Data],11,FALSE),"")</f>
        <v/>
      </c>
    </row>
    <row r="3695" spans="1:9" hidden="1" x14ac:dyDescent="0.2">
      <c r="A3695" s="105" t="str">
        <f>IF(D3695=1,COUNTIF($D$10:D3695,1)," ")</f>
        <v xml:space="preserve"> </v>
      </c>
      <c r="B3695" s="106">
        <f>COPY!AR3687</f>
        <v>0</v>
      </c>
      <c r="C3695" s="107">
        <f>COPY!AC3687</f>
        <v>0</v>
      </c>
      <c r="D3695" s="107" t="str">
        <f>IF(LEN(Table1722[[#This Row],[Uraian]])&gt;2,1," ")</f>
        <v xml:space="preserve"> </v>
      </c>
      <c r="E3695" s="113" t="str">
        <f>IF(Table1722[[#This Row],[Lawan Transaksi]]="CV AGUNG KARYA",COUNTIF($I$10:I3695,"CV AGUNG KARYA")," ")</f>
        <v xml:space="preserve"> </v>
      </c>
      <c r="F3695" s="107" t="str">
        <f>IF(LEN(Table1722[[#This Row],[Uraian]])&gt;2,TRIM(RIGHT(SUBSTITUTE(TRIM(C3695)," ",REPT(" ",255)),255))," ")</f>
        <v xml:space="preserve"> </v>
      </c>
      <c r="G3695" s="110">
        <f>COPY!Z3687</f>
        <v>0</v>
      </c>
      <c r="H3695" s="111" t="str">
        <f>IFERROR(VLOOKUP(Table1722[[#This Row],[Bukti]],'Un nOTA'!$A$4:$K$5003,10,FALSE),"")</f>
        <v/>
      </c>
      <c r="I3695" s="123" t="str">
        <f>IFERROR(VLOOKUP(Table1722[[#This Row],[Bukti]],Table13[#Data],11,FALSE),"")</f>
        <v/>
      </c>
    </row>
    <row r="3696" spans="1:9" hidden="1" x14ac:dyDescent="0.2">
      <c r="A3696" s="105" t="str">
        <f>IF(D3696=1,COUNTIF($D$10:D3696,1)," ")</f>
        <v xml:space="preserve"> </v>
      </c>
      <c r="B3696" s="106">
        <f>COPY!AR3688</f>
        <v>0</v>
      </c>
      <c r="C3696" s="107">
        <f>COPY!AC3688</f>
        <v>0</v>
      </c>
      <c r="D3696" s="107" t="str">
        <f>IF(LEN(Table1722[[#This Row],[Uraian]])&gt;2,1," ")</f>
        <v xml:space="preserve"> </v>
      </c>
      <c r="E3696" s="113" t="str">
        <f>IF(Table1722[[#This Row],[Lawan Transaksi]]="CV AGUNG KARYA",COUNTIF($I$10:I3696,"CV AGUNG KARYA")," ")</f>
        <v xml:space="preserve"> </v>
      </c>
      <c r="F3696" s="107" t="str">
        <f>IF(LEN(Table1722[[#This Row],[Uraian]])&gt;2,TRIM(RIGHT(SUBSTITUTE(TRIM(C3696)," ",REPT(" ",255)),255))," ")</f>
        <v xml:space="preserve"> </v>
      </c>
      <c r="G3696" s="110">
        <f>COPY!Z3688</f>
        <v>0</v>
      </c>
      <c r="H3696" s="111" t="str">
        <f>IFERROR(VLOOKUP(Table1722[[#This Row],[Bukti]],'Un nOTA'!$A$4:$K$5003,10,FALSE),"")</f>
        <v/>
      </c>
      <c r="I3696" s="123" t="str">
        <f>IFERROR(VLOOKUP(Table1722[[#This Row],[Bukti]],Table13[#Data],11,FALSE),"")</f>
        <v/>
      </c>
    </row>
    <row r="3697" spans="1:9" hidden="1" x14ac:dyDescent="0.2">
      <c r="A3697" s="105" t="str">
        <f>IF(D3697=1,COUNTIF($D$10:D3697,1)," ")</f>
        <v xml:space="preserve"> </v>
      </c>
      <c r="B3697" s="106">
        <f>COPY!AR3689</f>
        <v>0</v>
      </c>
      <c r="C3697" s="107">
        <f>COPY!AC3689</f>
        <v>0</v>
      </c>
      <c r="D3697" s="107" t="str">
        <f>IF(LEN(Table1722[[#This Row],[Uraian]])&gt;2,1," ")</f>
        <v xml:space="preserve"> </v>
      </c>
      <c r="E3697" s="113" t="str">
        <f>IF(Table1722[[#This Row],[Lawan Transaksi]]="CV AGUNG KARYA",COUNTIF($I$10:I3697,"CV AGUNG KARYA")," ")</f>
        <v xml:space="preserve"> </v>
      </c>
      <c r="F3697" s="107" t="str">
        <f>IF(LEN(Table1722[[#This Row],[Uraian]])&gt;2,TRIM(RIGHT(SUBSTITUTE(TRIM(C3697)," ",REPT(" ",255)),255))," ")</f>
        <v xml:space="preserve"> </v>
      </c>
      <c r="G3697" s="110">
        <f>COPY!Z3689</f>
        <v>0</v>
      </c>
      <c r="H3697" s="111" t="str">
        <f>IFERROR(VLOOKUP(Table1722[[#This Row],[Bukti]],'Un nOTA'!$A$4:$K$5003,10,FALSE),"")</f>
        <v/>
      </c>
      <c r="I3697" s="123" t="str">
        <f>IFERROR(VLOOKUP(Table1722[[#This Row],[Bukti]],Table13[#Data],11,FALSE),"")</f>
        <v/>
      </c>
    </row>
    <row r="3698" spans="1:9" hidden="1" x14ac:dyDescent="0.2">
      <c r="A3698" s="105" t="str">
        <f>IF(D3698=1,COUNTIF($D$10:D3698,1)," ")</f>
        <v xml:space="preserve"> </v>
      </c>
      <c r="B3698" s="106">
        <f>COPY!AR3690</f>
        <v>0</v>
      </c>
      <c r="C3698" s="107">
        <f>COPY!AC3690</f>
        <v>0</v>
      </c>
      <c r="D3698" s="107" t="str">
        <f>IF(LEN(Table1722[[#This Row],[Uraian]])&gt;2,1," ")</f>
        <v xml:space="preserve"> </v>
      </c>
      <c r="E3698" s="113" t="str">
        <f>IF(Table1722[[#This Row],[Lawan Transaksi]]="CV AGUNG KARYA",COUNTIF($I$10:I3698,"CV AGUNG KARYA")," ")</f>
        <v xml:space="preserve"> </v>
      </c>
      <c r="F3698" s="107" t="str">
        <f>IF(LEN(Table1722[[#This Row],[Uraian]])&gt;2,TRIM(RIGHT(SUBSTITUTE(TRIM(C3698)," ",REPT(" ",255)),255))," ")</f>
        <v xml:space="preserve"> </v>
      </c>
      <c r="G3698" s="110">
        <f>COPY!Z3690</f>
        <v>0</v>
      </c>
      <c r="H3698" s="111" t="str">
        <f>IFERROR(VLOOKUP(Table1722[[#This Row],[Bukti]],'Un nOTA'!$A$4:$K$5003,10,FALSE),"")</f>
        <v/>
      </c>
      <c r="I3698" s="123" t="str">
        <f>IFERROR(VLOOKUP(Table1722[[#This Row],[Bukti]],Table13[#Data],11,FALSE),"")</f>
        <v/>
      </c>
    </row>
    <row r="3699" spans="1:9" hidden="1" x14ac:dyDescent="0.2">
      <c r="A3699" s="105" t="str">
        <f>IF(D3699=1,COUNTIF($D$10:D3699,1)," ")</f>
        <v xml:space="preserve"> </v>
      </c>
      <c r="B3699" s="106">
        <f>COPY!AR3691</f>
        <v>0</v>
      </c>
      <c r="C3699" s="107">
        <f>COPY!AC3691</f>
        <v>0</v>
      </c>
      <c r="D3699" s="107" t="str">
        <f>IF(LEN(Table1722[[#This Row],[Uraian]])&gt;2,1," ")</f>
        <v xml:space="preserve"> </v>
      </c>
      <c r="E3699" s="113" t="str">
        <f>IF(Table1722[[#This Row],[Lawan Transaksi]]="CV AGUNG KARYA",COUNTIF($I$10:I3699,"CV AGUNG KARYA")," ")</f>
        <v xml:space="preserve"> </v>
      </c>
      <c r="F3699" s="107" t="str">
        <f>IF(LEN(Table1722[[#This Row],[Uraian]])&gt;2,TRIM(RIGHT(SUBSTITUTE(TRIM(C3699)," ",REPT(" ",255)),255))," ")</f>
        <v xml:space="preserve"> </v>
      </c>
      <c r="G3699" s="110">
        <f>COPY!Z3691</f>
        <v>0</v>
      </c>
      <c r="H3699" s="111" t="str">
        <f>IFERROR(VLOOKUP(Table1722[[#This Row],[Bukti]],'Un nOTA'!$A$4:$K$5003,10,FALSE),"")</f>
        <v/>
      </c>
      <c r="I3699" s="123" t="str">
        <f>IFERROR(VLOOKUP(Table1722[[#This Row],[Bukti]],Table13[#Data],11,FALSE),"")</f>
        <v/>
      </c>
    </row>
    <row r="3700" spans="1:9" hidden="1" x14ac:dyDescent="0.2">
      <c r="A3700" s="105" t="str">
        <f>IF(D3700=1,COUNTIF($D$10:D3700,1)," ")</f>
        <v xml:space="preserve"> </v>
      </c>
      <c r="B3700" s="106">
        <f>COPY!AR3692</f>
        <v>0</v>
      </c>
      <c r="C3700" s="107">
        <f>COPY!AC3692</f>
        <v>0</v>
      </c>
      <c r="D3700" s="107" t="str">
        <f>IF(LEN(Table1722[[#This Row],[Uraian]])&gt;2,1," ")</f>
        <v xml:space="preserve"> </v>
      </c>
      <c r="E3700" s="113" t="str">
        <f>IF(Table1722[[#This Row],[Lawan Transaksi]]="CV AGUNG KARYA",COUNTIF($I$10:I3700,"CV AGUNG KARYA")," ")</f>
        <v xml:space="preserve"> </v>
      </c>
      <c r="F3700" s="107" t="str">
        <f>IF(LEN(Table1722[[#This Row],[Uraian]])&gt;2,TRIM(RIGHT(SUBSTITUTE(TRIM(C3700)," ",REPT(" ",255)),255))," ")</f>
        <v xml:space="preserve"> </v>
      </c>
      <c r="G3700" s="110">
        <f>COPY!Z3692</f>
        <v>0</v>
      </c>
      <c r="H3700" s="111" t="str">
        <f>IFERROR(VLOOKUP(Table1722[[#This Row],[Bukti]],'Un nOTA'!$A$4:$K$5003,10,FALSE),"")</f>
        <v/>
      </c>
      <c r="I3700" s="123" t="str">
        <f>IFERROR(VLOOKUP(Table1722[[#This Row],[Bukti]],Table13[#Data],11,FALSE),"")</f>
        <v/>
      </c>
    </row>
    <row r="3701" spans="1:9" hidden="1" x14ac:dyDescent="0.2">
      <c r="A3701" s="105" t="str">
        <f>IF(D3701=1,COUNTIF($D$10:D3701,1)," ")</f>
        <v xml:space="preserve"> </v>
      </c>
      <c r="B3701" s="106">
        <f>COPY!AR3693</f>
        <v>0</v>
      </c>
      <c r="C3701" s="107">
        <f>COPY!AC3693</f>
        <v>0</v>
      </c>
      <c r="D3701" s="107" t="str">
        <f>IF(LEN(Table1722[[#This Row],[Uraian]])&gt;2,1," ")</f>
        <v xml:space="preserve"> </v>
      </c>
      <c r="E3701" s="113" t="str">
        <f>IF(Table1722[[#This Row],[Lawan Transaksi]]="CV AGUNG KARYA",COUNTIF($I$10:I3701,"CV AGUNG KARYA")," ")</f>
        <v xml:space="preserve"> </v>
      </c>
      <c r="F3701" s="107" t="str">
        <f>IF(LEN(Table1722[[#This Row],[Uraian]])&gt;2,TRIM(RIGHT(SUBSTITUTE(TRIM(C3701)," ",REPT(" ",255)),255))," ")</f>
        <v xml:space="preserve"> </v>
      </c>
      <c r="G3701" s="110">
        <f>COPY!Z3693</f>
        <v>0</v>
      </c>
      <c r="H3701" s="111" t="str">
        <f>IFERROR(VLOOKUP(Table1722[[#This Row],[Bukti]],'Un nOTA'!$A$4:$K$5003,10,FALSE),"")</f>
        <v/>
      </c>
      <c r="I3701" s="123" t="str">
        <f>IFERROR(VLOOKUP(Table1722[[#This Row],[Bukti]],Table13[#Data],11,FALSE),"")</f>
        <v/>
      </c>
    </row>
    <row r="3702" spans="1:9" hidden="1" x14ac:dyDescent="0.2">
      <c r="A3702" s="105" t="str">
        <f>IF(D3702=1,COUNTIF($D$10:D3702,1)," ")</f>
        <v xml:space="preserve"> </v>
      </c>
      <c r="B3702" s="106">
        <f>COPY!AR3694</f>
        <v>0</v>
      </c>
      <c r="C3702" s="107">
        <f>COPY!AC3694</f>
        <v>0</v>
      </c>
      <c r="D3702" s="107" t="str">
        <f>IF(LEN(Table1722[[#This Row],[Uraian]])&gt;2,1," ")</f>
        <v xml:space="preserve"> </v>
      </c>
      <c r="E3702" s="113" t="str">
        <f>IF(Table1722[[#This Row],[Lawan Transaksi]]="CV AGUNG KARYA",COUNTIF($I$10:I3702,"CV AGUNG KARYA")," ")</f>
        <v xml:space="preserve"> </v>
      </c>
      <c r="F3702" s="107" t="str">
        <f>IF(LEN(Table1722[[#This Row],[Uraian]])&gt;2,TRIM(RIGHT(SUBSTITUTE(TRIM(C3702)," ",REPT(" ",255)),255))," ")</f>
        <v xml:space="preserve"> </v>
      </c>
      <c r="G3702" s="110">
        <f>COPY!Z3694</f>
        <v>0</v>
      </c>
      <c r="H3702" s="111" t="str">
        <f>IFERROR(VLOOKUP(Table1722[[#This Row],[Bukti]],'Un nOTA'!$A$4:$K$5003,10,FALSE),"")</f>
        <v/>
      </c>
      <c r="I3702" s="123" t="str">
        <f>IFERROR(VLOOKUP(Table1722[[#This Row],[Bukti]],Table13[#Data],11,FALSE),"")</f>
        <v/>
      </c>
    </row>
    <row r="3703" spans="1:9" hidden="1" x14ac:dyDescent="0.2">
      <c r="A3703" s="105" t="str">
        <f>IF(D3703=1,COUNTIF($D$10:D3703,1)," ")</f>
        <v xml:space="preserve"> </v>
      </c>
      <c r="B3703" s="106">
        <f>COPY!AR3695</f>
        <v>0</v>
      </c>
      <c r="C3703" s="107">
        <f>COPY!AC3695</f>
        <v>0</v>
      </c>
      <c r="D3703" s="107" t="str">
        <f>IF(LEN(Table1722[[#This Row],[Uraian]])&gt;2,1," ")</f>
        <v xml:space="preserve"> </v>
      </c>
      <c r="E3703" s="113" t="str">
        <f>IF(Table1722[[#This Row],[Lawan Transaksi]]="CV AGUNG KARYA",COUNTIF($I$10:I3703,"CV AGUNG KARYA")," ")</f>
        <v xml:space="preserve"> </v>
      </c>
      <c r="F3703" s="107" t="str">
        <f>IF(LEN(Table1722[[#This Row],[Uraian]])&gt;2,TRIM(RIGHT(SUBSTITUTE(TRIM(C3703)," ",REPT(" ",255)),255))," ")</f>
        <v xml:space="preserve"> </v>
      </c>
      <c r="G3703" s="110">
        <f>COPY!Z3695</f>
        <v>0</v>
      </c>
      <c r="H3703" s="111" t="str">
        <f>IFERROR(VLOOKUP(Table1722[[#This Row],[Bukti]],'Un nOTA'!$A$4:$K$5003,10,FALSE),"")</f>
        <v/>
      </c>
      <c r="I3703" s="123" t="str">
        <f>IFERROR(VLOOKUP(Table1722[[#This Row],[Bukti]],Table13[#Data],11,FALSE),"")</f>
        <v/>
      </c>
    </row>
    <row r="3704" spans="1:9" hidden="1" x14ac:dyDescent="0.2">
      <c r="A3704" s="105" t="str">
        <f>IF(D3704=1,COUNTIF($D$10:D3704,1)," ")</f>
        <v xml:space="preserve"> </v>
      </c>
      <c r="B3704" s="106">
        <f>COPY!AR3696</f>
        <v>0</v>
      </c>
      <c r="C3704" s="107">
        <f>COPY!AC3696</f>
        <v>0</v>
      </c>
      <c r="D3704" s="107" t="str">
        <f>IF(LEN(Table1722[[#This Row],[Uraian]])&gt;2,1," ")</f>
        <v xml:space="preserve"> </v>
      </c>
      <c r="E3704" s="113" t="str">
        <f>IF(Table1722[[#This Row],[Lawan Transaksi]]="CV AGUNG KARYA",COUNTIF($I$10:I3704,"CV AGUNG KARYA")," ")</f>
        <v xml:space="preserve"> </v>
      </c>
      <c r="F3704" s="107" t="str">
        <f>IF(LEN(Table1722[[#This Row],[Uraian]])&gt;2,TRIM(RIGHT(SUBSTITUTE(TRIM(C3704)," ",REPT(" ",255)),255))," ")</f>
        <v xml:space="preserve"> </v>
      </c>
      <c r="G3704" s="110">
        <f>COPY!Z3696</f>
        <v>0</v>
      </c>
      <c r="H3704" s="111" t="str">
        <f>IFERROR(VLOOKUP(Table1722[[#This Row],[Bukti]],'Un nOTA'!$A$4:$K$5003,10,FALSE),"")</f>
        <v/>
      </c>
      <c r="I3704" s="123" t="str">
        <f>IFERROR(VLOOKUP(Table1722[[#This Row],[Bukti]],Table13[#Data],11,FALSE),"")</f>
        <v/>
      </c>
    </row>
    <row r="3705" spans="1:9" hidden="1" x14ac:dyDescent="0.2">
      <c r="A3705" s="105" t="str">
        <f>IF(D3705=1,COUNTIF($D$10:D3705,1)," ")</f>
        <v xml:space="preserve"> </v>
      </c>
      <c r="B3705" s="106">
        <f>COPY!AR3697</f>
        <v>0</v>
      </c>
      <c r="C3705" s="107">
        <f>COPY!AC3697</f>
        <v>0</v>
      </c>
      <c r="D3705" s="107" t="str">
        <f>IF(LEN(Table1722[[#This Row],[Uraian]])&gt;2,1," ")</f>
        <v xml:space="preserve"> </v>
      </c>
      <c r="E3705" s="113" t="str">
        <f>IF(Table1722[[#This Row],[Lawan Transaksi]]="CV AGUNG KARYA",COUNTIF($I$10:I3705,"CV AGUNG KARYA")," ")</f>
        <v xml:space="preserve"> </v>
      </c>
      <c r="F3705" s="107" t="str">
        <f>IF(LEN(Table1722[[#This Row],[Uraian]])&gt;2,TRIM(RIGHT(SUBSTITUTE(TRIM(C3705)," ",REPT(" ",255)),255))," ")</f>
        <v xml:space="preserve"> </v>
      </c>
      <c r="G3705" s="110">
        <f>COPY!Z3697</f>
        <v>0</v>
      </c>
      <c r="H3705" s="111" t="str">
        <f>IFERROR(VLOOKUP(Table1722[[#This Row],[Bukti]],'Un nOTA'!$A$4:$K$5003,10,FALSE),"")</f>
        <v/>
      </c>
      <c r="I3705" s="123" t="str">
        <f>IFERROR(VLOOKUP(Table1722[[#This Row],[Bukti]],Table13[#Data],11,FALSE),"")</f>
        <v/>
      </c>
    </row>
    <row r="3706" spans="1:9" hidden="1" x14ac:dyDescent="0.2">
      <c r="A3706" s="105" t="str">
        <f>IF(D3706=1,COUNTIF($D$10:D3706,1)," ")</f>
        <v xml:space="preserve"> </v>
      </c>
      <c r="B3706" s="106">
        <f>COPY!AR3698</f>
        <v>0</v>
      </c>
      <c r="C3706" s="107">
        <f>COPY!AC3698</f>
        <v>0</v>
      </c>
      <c r="D3706" s="107" t="str">
        <f>IF(LEN(Table1722[[#This Row],[Uraian]])&gt;2,1," ")</f>
        <v xml:space="preserve"> </v>
      </c>
      <c r="E3706" s="113" t="str">
        <f>IF(Table1722[[#This Row],[Lawan Transaksi]]="CV AGUNG KARYA",COUNTIF($I$10:I3706,"CV AGUNG KARYA")," ")</f>
        <v xml:space="preserve"> </v>
      </c>
      <c r="F3706" s="107" t="str">
        <f>IF(LEN(Table1722[[#This Row],[Uraian]])&gt;2,TRIM(RIGHT(SUBSTITUTE(TRIM(C3706)," ",REPT(" ",255)),255))," ")</f>
        <v xml:space="preserve"> </v>
      </c>
      <c r="G3706" s="110">
        <f>COPY!Z3698</f>
        <v>0</v>
      </c>
      <c r="H3706" s="111" t="str">
        <f>IFERROR(VLOOKUP(Table1722[[#This Row],[Bukti]],'Un nOTA'!$A$4:$K$5003,10,FALSE),"")</f>
        <v/>
      </c>
      <c r="I3706" s="123" t="str">
        <f>IFERROR(VLOOKUP(Table1722[[#This Row],[Bukti]],Table13[#Data],11,FALSE),"")</f>
        <v/>
      </c>
    </row>
    <row r="3707" spans="1:9" hidden="1" x14ac:dyDescent="0.2">
      <c r="A3707" s="105" t="str">
        <f>IF(D3707=1,COUNTIF($D$10:D3707,1)," ")</f>
        <v xml:space="preserve"> </v>
      </c>
      <c r="B3707" s="106">
        <f>COPY!AR3699</f>
        <v>0</v>
      </c>
      <c r="C3707" s="107">
        <f>COPY!AC3699</f>
        <v>0</v>
      </c>
      <c r="D3707" s="107" t="str">
        <f>IF(LEN(Table1722[[#This Row],[Uraian]])&gt;2,1," ")</f>
        <v xml:space="preserve"> </v>
      </c>
      <c r="E3707" s="113" t="str">
        <f>IF(Table1722[[#This Row],[Lawan Transaksi]]="CV AGUNG KARYA",COUNTIF($I$10:I3707,"CV AGUNG KARYA")," ")</f>
        <v xml:space="preserve"> </v>
      </c>
      <c r="F3707" s="107" t="str">
        <f>IF(LEN(Table1722[[#This Row],[Uraian]])&gt;2,TRIM(RIGHT(SUBSTITUTE(TRIM(C3707)," ",REPT(" ",255)),255))," ")</f>
        <v xml:space="preserve"> </v>
      </c>
      <c r="G3707" s="110">
        <f>COPY!Z3699</f>
        <v>0</v>
      </c>
      <c r="H3707" s="111" t="str">
        <f>IFERROR(VLOOKUP(Table1722[[#This Row],[Bukti]],'Un nOTA'!$A$4:$K$5003,10,FALSE),"")</f>
        <v/>
      </c>
      <c r="I3707" s="123" t="str">
        <f>IFERROR(VLOOKUP(Table1722[[#This Row],[Bukti]],Table13[#Data],11,FALSE),"")</f>
        <v/>
      </c>
    </row>
    <row r="3708" spans="1:9" hidden="1" x14ac:dyDescent="0.2">
      <c r="A3708" s="105" t="str">
        <f>IF(D3708=1,COUNTIF($D$10:D3708,1)," ")</f>
        <v xml:space="preserve"> </v>
      </c>
      <c r="B3708" s="106">
        <f>COPY!AR3700</f>
        <v>0</v>
      </c>
      <c r="C3708" s="107">
        <f>COPY!AC3700</f>
        <v>0</v>
      </c>
      <c r="D3708" s="107" t="str">
        <f>IF(LEN(Table1722[[#This Row],[Uraian]])&gt;2,1," ")</f>
        <v xml:space="preserve"> </v>
      </c>
      <c r="E3708" s="113" t="str">
        <f>IF(Table1722[[#This Row],[Lawan Transaksi]]="CV AGUNG KARYA",COUNTIF($I$10:I3708,"CV AGUNG KARYA")," ")</f>
        <v xml:space="preserve"> </v>
      </c>
      <c r="F3708" s="107" t="str">
        <f>IF(LEN(Table1722[[#This Row],[Uraian]])&gt;2,TRIM(RIGHT(SUBSTITUTE(TRIM(C3708)," ",REPT(" ",255)),255))," ")</f>
        <v xml:space="preserve"> </v>
      </c>
      <c r="G3708" s="110">
        <f>COPY!Z3700</f>
        <v>0</v>
      </c>
      <c r="H3708" s="111" t="str">
        <f>IFERROR(VLOOKUP(Table1722[[#This Row],[Bukti]],'Un nOTA'!$A$4:$K$5003,10,FALSE),"")</f>
        <v/>
      </c>
      <c r="I3708" s="123" t="str">
        <f>IFERROR(VLOOKUP(Table1722[[#This Row],[Bukti]],Table13[#Data],11,FALSE),"")</f>
        <v/>
      </c>
    </row>
    <row r="3709" spans="1:9" hidden="1" x14ac:dyDescent="0.2">
      <c r="A3709" s="105" t="str">
        <f>IF(D3709=1,COUNTIF($D$10:D3709,1)," ")</f>
        <v xml:space="preserve"> </v>
      </c>
      <c r="B3709" s="106">
        <f>COPY!AR3701</f>
        <v>0</v>
      </c>
      <c r="C3709" s="107">
        <f>COPY!AC3701</f>
        <v>0</v>
      </c>
      <c r="D3709" s="107" t="str">
        <f>IF(LEN(Table1722[[#This Row],[Uraian]])&gt;2,1," ")</f>
        <v xml:space="preserve"> </v>
      </c>
      <c r="E3709" s="113" t="str">
        <f>IF(Table1722[[#This Row],[Lawan Transaksi]]="CV AGUNG KARYA",COUNTIF($I$10:I3709,"CV AGUNG KARYA")," ")</f>
        <v xml:space="preserve"> </v>
      </c>
      <c r="F3709" s="107" t="str">
        <f>IF(LEN(Table1722[[#This Row],[Uraian]])&gt;2,TRIM(RIGHT(SUBSTITUTE(TRIM(C3709)," ",REPT(" ",255)),255))," ")</f>
        <v xml:space="preserve"> </v>
      </c>
      <c r="G3709" s="110">
        <f>COPY!Z3701</f>
        <v>0</v>
      </c>
      <c r="H3709" s="111" t="str">
        <f>IFERROR(VLOOKUP(Table1722[[#This Row],[Bukti]],'Un nOTA'!$A$4:$K$5003,10,FALSE),"")</f>
        <v/>
      </c>
      <c r="I3709" s="123" t="str">
        <f>IFERROR(VLOOKUP(Table1722[[#This Row],[Bukti]],Table13[#Data],11,FALSE),"")</f>
        <v/>
      </c>
    </row>
    <row r="3710" spans="1:9" hidden="1" x14ac:dyDescent="0.2">
      <c r="A3710" s="105" t="str">
        <f>IF(D3710=1,COUNTIF($D$10:D3710,1)," ")</f>
        <v xml:space="preserve"> </v>
      </c>
      <c r="B3710" s="106">
        <f>COPY!AR3702</f>
        <v>0</v>
      </c>
      <c r="C3710" s="107">
        <f>COPY!AC3702</f>
        <v>0</v>
      </c>
      <c r="D3710" s="107" t="str">
        <f>IF(LEN(Table1722[[#This Row],[Uraian]])&gt;2,1," ")</f>
        <v xml:space="preserve"> </v>
      </c>
      <c r="E3710" s="113" t="str">
        <f>IF(Table1722[[#This Row],[Lawan Transaksi]]="CV AGUNG KARYA",COUNTIF($I$10:I3710,"CV AGUNG KARYA")," ")</f>
        <v xml:space="preserve"> </v>
      </c>
      <c r="F3710" s="107" t="str">
        <f>IF(LEN(Table1722[[#This Row],[Uraian]])&gt;2,TRIM(RIGHT(SUBSTITUTE(TRIM(C3710)," ",REPT(" ",255)),255))," ")</f>
        <v xml:space="preserve"> </v>
      </c>
      <c r="G3710" s="110">
        <f>COPY!Z3702</f>
        <v>0</v>
      </c>
      <c r="H3710" s="111" t="str">
        <f>IFERROR(VLOOKUP(Table1722[[#This Row],[Bukti]],'Un nOTA'!$A$4:$K$5003,10,FALSE),"")</f>
        <v/>
      </c>
      <c r="I3710" s="123" t="str">
        <f>IFERROR(VLOOKUP(Table1722[[#This Row],[Bukti]],Table13[#Data],11,FALSE),"")</f>
        <v/>
      </c>
    </row>
    <row r="3711" spans="1:9" hidden="1" x14ac:dyDescent="0.2">
      <c r="A3711" s="105" t="str">
        <f>IF(D3711=1,COUNTIF($D$10:D3711,1)," ")</f>
        <v xml:space="preserve"> </v>
      </c>
      <c r="B3711" s="106">
        <f>COPY!AR3703</f>
        <v>0</v>
      </c>
      <c r="C3711" s="107">
        <f>COPY!AC3703</f>
        <v>0</v>
      </c>
      <c r="D3711" s="107" t="str">
        <f>IF(LEN(Table1722[[#This Row],[Uraian]])&gt;2,1," ")</f>
        <v xml:space="preserve"> </v>
      </c>
      <c r="E3711" s="113" t="str">
        <f>IF(Table1722[[#This Row],[Lawan Transaksi]]="CV AGUNG KARYA",COUNTIF($I$10:I3711,"CV AGUNG KARYA")," ")</f>
        <v xml:space="preserve"> </v>
      </c>
      <c r="F3711" s="107" t="str">
        <f>IF(LEN(Table1722[[#This Row],[Uraian]])&gt;2,TRIM(RIGHT(SUBSTITUTE(TRIM(C3711)," ",REPT(" ",255)),255))," ")</f>
        <v xml:space="preserve"> </v>
      </c>
      <c r="G3711" s="110">
        <f>COPY!Z3703</f>
        <v>0</v>
      </c>
      <c r="H3711" s="111" t="str">
        <f>IFERROR(VLOOKUP(Table1722[[#This Row],[Bukti]],'Un nOTA'!$A$4:$K$5003,10,FALSE),"")</f>
        <v/>
      </c>
      <c r="I3711" s="123" t="str">
        <f>IFERROR(VLOOKUP(Table1722[[#This Row],[Bukti]],Table13[#Data],11,FALSE),"")</f>
        <v/>
      </c>
    </row>
    <row r="3712" spans="1:9" hidden="1" x14ac:dyDescent="0.2">
      <c r="A3712" s="105" t="str">
        <f>IF(D3712=1,COUNTIF($D$10:D3712,1)," ")</f>
        <v xml:space="preserve"> </v>
      </c>
      <c r="B3712" s="106">
        <f>COPY!AR3704</f>
        <v>0</v>
      </c>
      <c r="C3712" s="107">
        <f>COPY!AC3704</f>
        <v>0</v>
      </c>
      <c r="D3712" s="107" t="str">
        <f>IF(LEN(Table1722[[#This Row],[Uraian]])&gt;2,1," ")</f>
        <v xml:space="preserve"> </v>
      </c>
      <c r="E3712" s="113" t="str">
        <f>IF(Table1722[[#This Row],[Lawan Transaksi]]="CV AGUNG KARYA",COUNTIF($I$10:I3712,"CV AGUNG KARYA")," ")</f>
        <v xml:space="preserve"> </v>
      </c>
      <c r="F3712" s="107" t="str">
        <f>IF(LEN(Table1722[[#This Row],[Uraian]])&gt;2,TRIM(RIGHT(SUBSTITUTE(TRIM(C3712)," ",REPT(" ",255)),255))," ")</f>
        <v xml:space="preserve"> </v>
      </c>
      <c r="G3712" s="110">
        <f>COPY!Z3704</f>
        <v>0</v>
      </c>
      <c r="H3712" s="111" t="str">
        <f>IFERROR(VLOOKUP(Table1722[[#This Row],[Bukti]],'Un nOTA'!$A$4:$K$5003,10,FALSE),"")</f>
        <v/>
      </c>
      <c r="I3712" s="123" t="str">
        <f>IFERROR(VLOOKUP(Table1722[[#This Row],[Bukti]],Table13[#Data],11,FALSE),"")</f>
        <v/>
      </c>
    </row>
    <row r="3713" spans="1:9" hidden="1" x14ac:dyDescent="0.2">
      <c r="A3713" s="105" t="str">
        <f>IF(D3713=1,COUNTIF($D$10:D3713,1)," ")</f>
        <v xml:space="preserve"> </v>
      </c>
      <c r="B3713" s="106">
        <f>COPY!AR3705</f>
        <v>0</v>
      </c>
      <c r="C3713" s="107">
        <f>COPY!AC3705</f>
        <v>0</v>
      </c>
      <c r="D3713" s="107" t="str">
        <f>IF(LEN(Table1722[[#This Row],[Uraian]])&gt;2,1," ")</f>
        <v xml:space="preserve"> </v>
      </c>
      <c r="E3713" s="113" t="str">
        <f>IF(Table1722[[#This Row],[Lawan Transaksi]]="CV AGUNG KARYA",COUNTIF($I$10:I3713,"CV AGUNG KARYA")," ")</f>
        <v xml:space="preserve"> </v>
      </c>
      <c r="F3713" s="107" t="str">
        <f>IF(LEN(Table1722[[#This Row],[Uraian]])&gt;2,TRIM(RIGHT(SUBSTITUTE(TRIM(C3713)," ",REPT(" ",255)),255))," ")</f>
        <v xml:space="preserve"> </v>
      </c>
      <c r="G3713" s="110">
        <f>COPY!Z3705</f>
        <v>0</v>
      </c>
      <c r="H3713" s="111" t="str">
        <f>IFERROR(VLOOKUP(Table1722[[#This Row],[Bukti]],'Un nOTA'!$A$4:$K$5003,10,FALSE),"")</f>
        <v/>
      </c>
      <c r="I3713" s="123" t="str">
        <f>IFERROR(VLOOKUP(Table1722[[#This Row],[Bukti]],Table13[#Data],11,FALSE),"")</f>
        <v/>
      </c>
    </row>
    <row r="3714" spans="1:9" hidden="1" x14ac:dyDescent="0.2">
      <c r="A3714" s="105" t="str">
        <f>IF(D3714=1,COUNTIF($D$10:D3714,1)," ")</f>
        <v xml:space="preserve"> </v>
      </c>
      <c r="B3714" s="106">
        <f>COPY!AR3706</f>
        <v>0</v>
      </c>
      <c r="C3714" s="107">
        <f>COPY!AC3706</f>
        <v>0</v>
      </c>
      <c r="D3714" s="107" t="str">
        <f>IF(LEN(Table1722[[#This Row],[Uraian]])&gt;2,1," ")</f>
        <v xml:space="preserve"> </v>
      </c>
      <c r="E3714" s="113" t="str">
        <f>IF(Table1722[[#This Row],[Lawan Transaksi]]="CV AGUNG KARYA",COUNTIF($I$10:I3714,"CV AGUNG KARYA")," ")</f>
        <v xml:space="preserve"> </v>
      </c>
      <c r="F3714" s="107" t="str">
        <f>IF(LEN(Table1722[[#This Row],[Uraian]])&gt;2,TRIM(RIGHT(SUBSTITUTE(TRIM(C3714)," ",REPT(" ",255)),255))," ")</f>
        <v xml:space="preserve"> </v>
      </c>
      <c r="G3714" s="110">
        <f>COPY!Z3706</f>
        <v>0</v>
      </c>
      <c r="H3714" s="111" t="str">
        <f>IFERROR(VLOOKUP(Table1722[[#This Row],[Bukti]],'Un nOTA'!$A$4:$K$5003,10,FALSE),"")</f>
        <v/>
      </c>
      <c r="I3714" s="123" t="str">
        <f>IFERROR(VLOOKUP(Table1722[[#This Row],[Bukti]],Table13[#Data],11,FALSE),"")</f>
        <v/>
      </c>
    </row>
    <row r="3715" spans="1:9" hidden="1" x14ac:dyDescent="0.2">
      <c r="A3715" s="105" t="str">
        <f>IF(D3715=1,COUNTIF($D$10:D3715,1)," ")</f>
        <v xml:space="preserve"> </v>
      </c>
      <c r="B3715" s="106">
        <f>COPY!AR3707</f>
        <v>0</v>
      </c>
      <c r="C3715" s="107">
        <f>COPY!AC3707</f>
        <v>0</v>
      </c>
      <c r="D3715" s="107" t="str">
        <f>IF(LEN(Table1722[[#This Row],[Uraian]])&gt;2,1," ")</f>
        <v xml:space="preserve"> </v>
      </c>
      <c r="E3715" s="113" t="str">
        <f>IF(Table1722[[#This Row],[Lawan Transaksi]]="CV AGUNG KARYA",COUNTIF($I$10:I3715,"CV AGUNG KARYA")," ")</f>
        <v xml:space="preserve"> </v>
      </c>
      <c r="F3715" s="107" t="str">
        <f>IF(LEN(Table1722[[#This Row],[Uraian]])&gt;2,TRIM(RIGHT(SUBSTITUTE(TRIM(C3715)," ",REPT(" ",255)),255))," ")</f>
        <v xml:space="preserve"> </v>
      </c>
      <c r="G3715" s="110">
        <f>COPY!Z3707</f>
        <v>0</v>
      </c>
      <c r="H3715" s="111" t="str">
        <f>IFERROR(VLOOKUP(Table1722[[#This Row],[Bukti]],'Un nOTA'!$A$4:$K$5003,10,FALSE),"")</f>
        <v/>
      </c>
      <c r="I3715" s="123" t="str">
        <f>IFERROR(VLOOKUP(Table1722[[#This Row],[Bukti]],Table13[#Data],11,FALSE),"")</f>
        <v/>
      </c>
    </row>
    <row r="3716" spans="1:9" hidden="1" x14ac:dyDescent="0.2">
      <c r="A3716" s="105" t="str">
        <f>IF(D3716=1,COUNTIF($D$10:D3716,1)," ")</f>
        <v xml:space="preserve"> </v>
      </c>
      <c r="B3716" s="106">
        <f>COPY!AR3708</f>
        <v>0</v>
      </c>
      <c r="C3716" s="107">
        <f>COPY!AC3708</f>
        <v>0</v>
      </c>
      <c r="D3716" s="107" t="str">
        <f>IF(LEN(Table1722[[#This Row],[Uraian]])&gt;2,1," ")</f>
        <v xml:space="preserve"> </v>
      </c>
      <c r="E3716" s="113" t="str">
        <f>IF(Table1722[[#This Row],[Lawan Transaksi]]="CV AGUNG KARYA",COUNTIF($I$10:I3716,"CV AGUNG KARYA")," ")</f>
        <v xml:space="preserve"> </v>
      </c>
      <c r="F3716" s="107" t="str">
        <f>IF(LEN(Table1722[[#This Row],[Uraian]])&gt;2,TRIM(RIGHT(SUBSTITUTE(TRIM(C3716)," ",REPT(" ",255)),255))," ")</f>
        <v xml:space="preserve"> </v>
      </c>
      <c r="G3716" s="110">
        <f>COPY!Z3708</f>
        <v>0</v>
      </c>
      <c r="H3716" s="111" t="str">
        <f>IFERROR(VLOOKUP(Table1722[[#This Row],[Bukti]],'Un nOTA'!$A$4:$K$5003,10,FALSE),"")</f>
        <v/>
      </c>
      <c r="I3716" s="123" t="str">
        <f>IFERROR(VLOOKUP(Table1722[[#This Row],[Bukti]],Table13[#Data],11,FALSE),"")</f>
        <v/>
      </c>
    </row>
    <row r="3717" spans="1:9" hidden="1" x14ac:dyDescent="0.2">
      <c r="A3717" s="105" t="str">
        <f>IF(D3717=1,COUNTIF($D$10:D3717,1)," ")</f>
        <v xml:space="preserve"> </v>
      </c>
      <c r="B3717" s="106">
        <f>COPY!AR3709</f>
        <v>0</v>
      </c>
      <c r="C3717" s="107">
        <f>COPY!AC3709</f>
        <v>0</v>
      </c>
      <c r="D3717" s="107" t="str">
        <f>IF(LEN(Table1722[[#This Row],[Uraian]])&gt;2,1," ")</f>
        <v xml:space="preserve"> </v>
      </c>
      <c r="E3717" s="113" t="str">
        <f>IF(Table1722[[#This Row],[Lawan Transaksi]]="CV AGUNG KARYA",COUNTIF($I$10:I3717,"CV AGUNG KARYA")," ")</f>
        <v xml:space="preserve"> </v>
      </c>
      <c r="F3717" s="107" t="str">
        <f>IF(LEN(Table1722[[#This Row],[Uraian]])&gt;2,TRIM(RIGHT(SUBSTITUTE(TRIM(C3717)," ",REPT(" ",255)),255))," ")</f>
        <v xml:space="preserve"> </v>
      </c>
      <c r="G3717" s="110">
        <f>COPY!Z3709</f>
        <v>0</v>
      </c>
      <c r="H3717" s="111" t="str">
        <f>IFERROR(VLOOKUP(Table1722[[#This Row],[Bukti]],'Un nOTA'!$A$4:$K$5003,10,FALSE),"")</f>
        <v/>
      </c>
      <c r="I3717" s="123" t="str">
        <f>IFERROR(VLOOKUP(Table1722[[#This Row],[Bukti]],Table13[#Data],11,FALSE),"")</f>
        <v/>
      </c>
    </row>
    <row r="3718" spans="1:9" hidden="1" x14ac:dyDescent="0.2">
      <c r="A3718" s="105" t="str">
        <f>IF(D3718=1,COUNTIF($D$10:D3718,1)," ")</f>
        <v xml:space="preserve"> </v>
      </c>
      <c r="B3718" s="106">
        <f>COPY!AR3710</f>
        <v>0</v>
      </c>
      <c r="C3718" s="107">
        <f>COPY!AC3710</f>
        <v>0</v>
      </c>
      <c r="D3718" s="107" t="str">
        <f>IF(LEN(Table1722[[#This Row],[Uraian]])&gt;2,1," ")</f>
        <v xml:space="preserve"> </v>
      </c>
      <c r="E3718" s="113" t="str">
        <f>IF(Table1722[[#This Row],[Lawan Transaksi]]="CV AGUNG KARYA",COUNTIF($I$10:I3718,"CV AGUNG KARYA")," ")</f>
        <v xml:space="preserve"> </v>
      </c>
      <c r="F3718" s="107" t="str">
        <f>IF(LEN(Table1722[[#This Row],[Uraian]])&gt;2,TRIM(RIGHT(SUBSTITUTE(TRIM(C3718)," ",REPT(" ",255)),255))," ")</f>
        <v xml:space="preserve"> </v>
      </c>
      <c r="G3718" s="110">
        <f>COPY!Z3710</f>
        <v>0</v>
      </c>
      <c r="H3718" s="111" t="str">
        <f>IFERROR(VLOOKUP(Table1722[[#This Row],[Bukti]],'Un nOTA'!$A$4:$K$5003,10,FALSE),"")</f>
        <v/>
      </c>
      <c r="I3718" s="123" t="str">
        <f>IFERROR(VLOOKUP(Table1722[[#This Row],[Bukti]],Table13[#Data],11,FALSE),"")</f>
        <v/>
      </c>
    </row>
    <row r="3719" spans="1:9" hidden="1" x14ac:dyDescent="0.2">
      <c r="A3719" s="105" t="str">
        <f>IF(D3719=1,COUNTIF($D$10:D3719,1)," ")</f>
        <v xml:space="preserve"> </v>
      </c>
      <c r="B3719" s="106">
        <f>COPY!AR3711</f>
        <v>0</v>
      </c>
      <c r="C3719" s="107">
        <f>COPY!AC3711</f>
        <v>0</v>
      </c>
      <c r="D3719" s="107" t="str">
        <f>IF(LEN(Table1722[[#This Row],[Uraian]])&gt;2,1," ")</f>
        <v xml:space="preserve"> </v>
      </c>
      <c r="E3719" s="113" t="str">
        <f>IF(Table1722[[#This Row],[Lawan Transaksi]]="CV AGUNG KARYA",COUNTIF($I$10:I3719,"CV AGUNG KARYA")," ")</f>
        <v xml:space="preserve"> </v>
      </c>
      <c r="F3719" s="107" t="str">
        <f>IF(LEN(Table1722[[#This Row],[Uraian]])&gt;2,TRIM(RIGHT(SUBSTITUTE(TRIM(C3719)," ",REPT(" ",255)),255))," ")</f>
        <v xml:space="preserve"> </v>
      </c>
      <c r="G3719" s="110">
        <f>COPY!Z3711</f>
        <v>0</v>
      </c>
      <c r="H3719" s="111" t="str">
        <f>IFERROR(VLOOKUP(Table1722[[#This Row],[Bukti]],'Un nOTA'!$A$4:$K$5003,10,FALSE),"")</f>
        <v/>
      </c>
      <c r="I3719" s="123" t="str">
        <f>IFERROR(VLOOKUP(Table1722[[#This Row],[Bukti]],Table13[#Data],11,FALSE),"")</f>
        <v/>
      </c>
    </row>
    <row r="3720" spans="1:9" hidden="1" x14ac:dyDescent="0.2">
      <c r="A3720" s="105" t="str">
        <f>IF(D3720=1,COUNTIF($D$10:D3720,1)," ")</f>
        <v xml:space="preserve"> </v>
      </c>
      <c r="B3720" s="106">
        <f>COPY!AR3712</f>
        <v>0</v>
      </c>
      <c r="C3720" s="107">
        <f>COPY!AC3712</f>
        <v>0</v>
      </c>
      <c r="D3720" s="107" t="str">
        <f>IF(LEN(Table1722[[#This Row],[Uraian]])&gt;2,1," ")</f>
        <v xml:space="preserve"> </v>
      </c>
      <c r="E3720" s="113" t="str">
        <f>IF(Table1722[[#This Row],[Lawan Transaksi]]="CV AGUNG KARYA",COUNTIF($I$10:I3720,"CV AGUNG KARYA")," ")</f>
        <v xml:space="preserve"> </v>
      </c>
      <c r="F3720" s="107" t="str">
        <f>IF(LEN(Table1722[[#This Row],[Uraian]])&gt;2,TRIM(RIGHT(SUBSTITUTE(TRIM(C3720)," ",REPT(" ",255)),255))," ")</f>
        <v xml:space="preserve"> </v>
      </c>
      <c r="G3720" s="110">
        <f>COPY!Z3712</f>
        <v>0</v>
      </c>
      <c r="H3720" s="111" t="str">
        <f>IFERROR(VLOOKUP(Table1722[[#This Row],[Bukti]],'Un nOTA'!$A$4:$K$5003,10,FALSE),"")</f>
        <v/>
      </c>
      <c r="I3720" s="123" t="str">
        <f>IFERROR(VLOOKUP(Table1722[[#This Row],[Bukti]],Table13[#Data],11,FALSE),"")</f>
        <v/>
      </c>
    </row>
    <row r="3721" spans="1:9" hidden="1" x14ac:dyDescent="0.2">
      <c r="A3721" s="105" t="str">
        <f>IF(D3721=1,COUNTIF($D$10:D3721,1)," ")</f>
        <v xml:space="preserve"> </v>
      </c>
      <c r="B3721" s="106">
        <f>COPY!AR3713</f>
        <v>0</v>
      </c>
      <c r="C3721" s="107">
        <f>COPY!AC3713</f>
        <v>0</v>
      </c>
      <c r="D3721" s="107" t="str">
        <f>IF(LEN(Table1722[[#This Row],[Uraian]])&gt;2,1," ")</f>
        <v xml:space="preserve"> </v>
      </c>
      <c r="E3721" s="113" t="str">
        <f>IF(Table1722[[#This Row],[Lawan Transaksi]]="CV AGUNG KARYA",COUNTIF($I$10:I3721,"CV AGUNG KARYA")," ")</f>
        <v xml:space="preserve"> </v>
      </c>
      <c r="F3721" s="107" t="str">
        <f>IF(LEN(Table1722[[#This Row],[Uraian]])&gt;2,TRIM(RIGHT(SUBSTITUTE(TRIM(C3721)," ",REPT(" ",255)),255))," ")</f>
        <v xml:space="preserve"> </v>
      </c>
      <c r="G3721" s="110">
        <f>COPY!Z3713</f>
        <v>0</v>
      </c>
      <c r="H3721" s="111" t="str">
        <f>IFERROR(VLOOKUP(Table1722[[#This Row],[Bukti]],'Un nOTA'!$A$4:$K$5003,10,FALSE),"")</f>
        <v/>
      </c>
      <c r="I3721" s="123" t="str">
        <f>IFERROR(VLOOKUP(Table1722[[#This Row],[Bukti]],Table13[#Data],11,FALSE),"")</f>
        <v/>
      </c>
    </row>
    <row r="3722" spans="1:9" hidden="1" x14ac:dyDescent="0.2">
      <c r="A3722" s="105" t="str">
        <f>IF(D3722=1,COUNTIF($D$10:D3722,1)," ")</f>
        <v xml:space="preserve"> </v>
      </c>
      <c r="B3722" s="106">
        <f>COPY!AR3714</f>
        <v>0</v>
      </c>
      <c r="C3722" s="107">
        <f>COPY!AC3714</f>
        <v>0</v>
      </c>
      <c r="D3722" s="107" t="str">
        <f>IF(LEN(Table1722[[#This Row],[Uraian]])&gt;2,1," ")</f>
        <v xml:space="preserve"> </v>
      </c>
      <c r="E3722" s="113" t="str">
        <f>IF(Table1722[[#This Row],[Lawan Transaksi]]="CV AGUNG KARYA",COUNTIF($I$10:I3722,"CV AGUNG KARYA")," ")</f>
        <v xml:space="preserve"> </v>
      </c>
      <c r="F3722" s="107" t="str">
        <f>IF(LEN(Table1722[[#This Row],[Uraian]])&gt;2,TRIM(RIGHT(SUBSTITUTE(TRIM(C3722)," ",REPT(" ",255)),255))," ")</f>
        <v xml:space="preserve"> </v>
      </c>
      <c r="G3722" s="110">
        <f>COPY!Z3714</f>
        <v>0</v>
      </c>
      <c r="H3722" s="111" t="str">
        <f>IFERROR(VLOOKUP(Table1722[[#This Row],[Bukti]],'Un nOTA'!$A$4:$K$5003,10,FALSE),"")</f>
        <v/>
      </c>
      <c r="I3722" s="123" t="str">
        <f>IFERROR(VLOOKUP(Table1722[[#This Row],[Bukti]],Table13[#Data],11,FALSE),"")</f>
        <v/>
      </c>
    </row>
    <row r="3723" spans="1:9" hidden="1" x14ac:dyDescent="0.2">
      <c r="A3723" s="105" t="str">
        <f>IF(D3723=1,COUNTIF($D$10:D3723,1)," ")</f>
        <v xml:space="preserve"> </v>
      </c>
      <c r="B3723" s="106">
        <f>COPY!AR3715</f>
        <v>0</v>
      </c>
      <c r="C3723" s="107">
        <f>COPY!AC3715</f>
        <v>0</v>
      </c>
      <c r="D3723" s="107" t="str">
        <f>IF(LEN(Table1722[[#This Row],[Uraian]])&gt;2,1," ")</f>
        <v xml:space="preserve"> </v>
      </c>
      <c r="E3723" s="113" t="str">
        <f>IF(Table1722[[#This Row],[Lawan Transaksi]]="CV AGUNG KARYA",COUNTIF($I$10:I3723,"CV AGUNG KARYA")," ")</f>
        <v xml:space="preserve"> </v>
      </c>
      <c r="F3723" s="107" t="str">
        <f>IF(LEN(Table1722[[#This Row],[Uraian]])&gt;2,TRIM(RIGHT(SUBSTITUTE(TRIM(C3723)," ",REPT(" ",255)),255))," ")</f>
        <v xml:space="preserve"> </v>
      </c>
      <c r="G3723" s="110">
        <f>COPY!Z3715</f>
        <v>0</v>
      </c>
      <c r="H3723" s="111" t="str">
        <f>IFERROR(VLOOKUP(Table1722[[#This Row],[Bukti]],'Un nOTA'!$A$4:$K$5003,10,FALSE),"")</f>
        <v/>
      </c>
      <c r="I3723" s="123" t="str">
        <f>IFERROR(VLOOKUP(Table1722[[#This Row],[Bukti]],Table13[#Data],11,FALSE),"")</f>
        <v/>
      </c>
    </row>
    <row r="3724" spans="1:9" hidden="1" x14ac:dyDescent="0.2">
      <c r="A3724" s="105" t="str">
        <f>IF(D3724=1,COUNTIF($D$10:D3724,1)," ")</f>
        <v xml:space="preserve"> </v>
      </c>
      <c r="B3724" s="106">
        <f>COPY!AR3716</f>
        <v>0</v>
      </c>
      <c r="C3724" s="107">
        <f>COPY!AC3716</f>
        <v>0</v>
      </c>
      <c r="D3724" s="107" t="str">
        <f>IF(LEN(Table1722[[#This Row],[Uraian]])&gt;2,1," ")</f>
        <v xml:space="preserve"> </v>
      </c>
      <c r="E3724" s="113" t="str">
        <f>IF(Table1722[[#This Row],[Lawan Transaksi]]="CV AGUNG KARYA",COUNTIF($I$10:I3724,"CV AGUNG KARYA")," ")</f>
        <v xml:space="preserve"> </v>
      </c>
      <c r="F3724" s="107" t="str">
        <f>IF(LEN(Table1722[[#This Row],[Uraian]])&gt;2,TRIM(RIGHT(SUBSTITUTE(TRIM(C3724)," ",REPT(" ",255)),255))," ")</f>
        <v xml:space="preserve"> </v>
      </c>
      <c r="G3724" s="110">
        <f>COPY!Z3716</f>
        <v>0</v>
      </c>
      <c r="H3724" s="111" t="str">
        <f>IFERROR(VLOOKUP(Table1722[[#This Row],[Bukti]],'Un nOTA'!$A$4:$K$5003,10,FALSE),"")</f>
        <v/>
      </c>
      <c r="I3724" s="123" t="str">
        <f>IFERROR(VLOOKUP(Table1722[[#This Row],[Bukti]],Table13[#Data],11,FALSE),"")</f>
        <v/>
      </c>
    </row>
    <row r="3725" spans="1:9" hidden="1" x14ac:dyDescent="0.2">
      <c r="A3725" s="105" t="str">
        <f>IF(D3725=1,COUNTIF($D$10:D3725,1)," ")</f>
        <v xml:space="preserve"> </v>
      </c>
      <c r="B3725" s="106">
        <f>COPY!AR3717</f>
        <v>0</v>
      </c>
      <c r="C3725" s="107">
        <f>COPY!AC3717</f>
        <v>0</v>
      </c>
      <c r="D3725" s="107" t="str">
        <f>IF(LEN(Table1722[[#This Row],[Uraian]])&gt;2,1," ")</f>
        <v xml:space="preserve"> </v>
      </c>
      <c r="E3725" s="113" t="str">
        <f>IF(Table1722[[#This Row],[Lawan Transaksi]]="CV AGUNG KARYA",COUNTIF($I$10:I3725,"CV AGUNG KARYA")," ")</f>
        <v xml:space="preserve"> </v>
      </c>
      <c r="F3725" s="107" t="str">
        <f>IF(LEN(Table1722[[#This Row],[Uraian]])&gt;2,TRIM(RIGHT(SUBSTITUTE(TRIM(C3725)," ",REPT(" ",255)),255))," ")</f>
        <v xml:space="preserve"> </v>
      </c>
      <c r="G3725" s="110">
        <f>COPY!Z3717</f>
        <v>0</v>
      </c>
      <c r="H3725" s="111" t="str">
        <f>IFERROR(VLOOKUP(Table1722[[#This Row],[Bukti]],'Un nOTA'!$A$4:$K$5003,10,FALSE),"")</f>
        <v/>
      </c>
      <c r="I3725" s="123" t="str">
        <f>IFERROR(VLOOKUP(Table1722[[#This Row],[Bukti]],Table13[#Data],11,FALSE),"")</f>
        <v/>
      </c>
    </row>
    <row r="3726" spans="1:9" hidden="1" x14ac:dyDescent="0.2">
      <c r="A3726" s="105" t="str">
        <f>IF(D3726=1,COUNTIF($D$10:D3726,1)," ")</f>
        <v xml:space="preserve"> </v>
      </c>
      <c r="B3726" s="106">
        <f>COPY!AR3718</f>
        <v>0</v>
      </c>
      <c r="C3726" s="107">
        <f>COPY!AC3718</f>
        <v>0</v>
      </c>
      <c r="D3726" s="107" t="str">
        <f>IF(LEN(Table1722[[#This Row],[Uraian]])&gt;2,1," ")</f>
        <v xml:space="preserve"> </v>
      </c>
      <c r="E3726" s="113" t="str">
        <f>IF(Table1722[[#This Row],[Lawan Transaksi]]="CV AGUNG KARYA",COUNTIF($I$10:I3726,"CV AGUNG KARYA")," ")</f>
        <v xml:space="preserve"> </v>
      </c>
      <c r="F3726" s="107" t="str">
        <f>IF(LEN(Table1722[[#This Row],[Uraian]])&gt;2,TRIM(RIGHT(SUBSTITUTE(TRIM(C3726)," ",REPT(" ",255)),255))," ")</f>
        <v xml:space="preserve"> </v>
      </c>
      <c r="G3726" s="110">
        <f>COPY!Z3718</f>
        <v>0</v>
      </c>
      <c r="H3726" s="111" t="str">
        <f>IFERROR(VLOOKUP(Table1722[[#This Row],[Bukti]],'Un nOTA'!$A$4:$K$5003,10,FALSE),"")</f>
        <v/>
      </c>
      <c r="I3726" s="123" t="str">
        <f>IFERROR(VLOOKUP(Table1722[[#This Row],[Bukti]],Table13[#Data],11,FALSE),"")</f>
        <v/>
      </c>
    </row>
    <row r="3727" spans="1:9" hidden="1" x14ac:dyDescent="0.2">
      <c r="A3727" s="105" t="str">
        <f>IF(D3727=1,COUNTIF($D$10:D3727,1)," ")</f>
        <v xml:space="preserve"> </v>
      </c>
      <c r="B3727" s="106">
        <f>COPY!AR3719</f>
        <v>0</v>
      </c>
      <c r="C3727" s="107">
        <f>COPY!AC3719</f>
        <v>0</v>
      </c>
      <c r="D3727" s="107" t="str">
        <f>IF(LEN(Table1722[[#This Row],[Uraian]])&gt;2,1," ")</f>
        <v xml:space="preserve"> </v>
      </c>
      <c r="E3727" s="113" t="str">
        <f>IF(Table1722[[#This Row],[Lawan Transaksi]]="CV AGUNG KARYA",COUNTIF($I$10:I3727,"CV AGUNG KARYA")," ")</f>
        <v xml:space="preserve"> </v>
      </c>
      <c r="F3727" s="107" t="str">
        <f>IF(LEN(Table1722[[#This Row],[Uraian]])&gt;2,TRIM(RIGHT(SUBSTITUTE(TRIM(C3727)," ",REPT(" ",255)),255))," ")</f>
        <v xml:space="preserve"> </v>
      </c>
      <c r="G3727" s="110">
        <f>COPY!Z3719</f>
        <v>0</v>
      </c>
      <c r="H3727" s="111" t="str">
        <f>IFERROR(VLOOKUP(Table1722[[#This Row],[Bukti]],'Un nOTA'!$A$4:$K$5003,10,FALSE),"")</f>
        <v/>
      </c>
      <c r="I3727" s="123" t="str">
        <f>IFERROR(VLOOKUP(Table1722[[#This Row],[Bukti]],Table13[#Data],11,FALSE),"")</f>
        <v/>
      </c>
    </row>
    <row r="3728" spans="1:9" hidden="1" x14ac:dyDescent="0.2">
      <c r="A3728" s="105" t="str">
        <f>IF(D3728=1,COUNTIF($D$10:D3728,1)," ")</f>
        <v xml:space="preserve"> </v>
      </c>
      <c r="B3728" s="106">
        <f>COPY!AR3720</f>
        <v>0</v>
      </c>
      <c r="C3728" s="107">
        <f>COPY!AC3720</f>
        <v>0</v>
      </c>
      <c r="D3728" s="107" t="str">
        <f>IF(LEN(Table1722[[#This Row],[Uraian]])&gt;2,1," ")</f>
        <v xml:space="preserve"> </v>
      </c>
      <c r="E3728" s="113" t="str">
        <f>IF(Table1722[[#This Row],[Lawan Transaksi]]="CV AGUNG KARYA",COUNTIF($I$10:I3728,"CV AGUNG KARYA")," ")</f>
        <v xml:space="preserve"> </v>
      </c>
      <c r="F3728" s="107" t="str">
        <f>IF(LEN(Table1722[[#This Row],[Uraian]])&gt;2,TRIM(RIGHT(SUBSTITUTE(TRIM(C3728)," ",REPT(" ",255)),255))," ")</f>
        <v xml:space="preserve"> </v>
      </c>
      <c r="G3728" s="110">
        <f>COPY!Z3720</f>
        <v>0</v>
      </c>
      <c r="H3728" s="111" t="str">
        <f>IFERROR(VLOOKUP(Table1722[[#This Row],[Bukti]],'Un nOTA'!$A$4:$K$5003,10,FALSE),"")</f>
        <v/>
      </c>
      <c r="I3728" s="123" t="str">
        <f>IFERROR(VLOOKUP(Table1722[[#This Row],[Bukti]],Table13[#Data],11,FALSE),"")</f>
        <v/>
      </c>
    </row>
    <row r="3729" spans="1:9" hidden="1" x14ac:dyDescent="0.2">
      <c r="A3729" s="105" t="str">
        <f>IF(D3729=1,COUNTIF($D$10:D3729,1)," ")</f>
        <v xml:space="preserve"> </v>
      </c>
      <c r="B3729" s="106">
        <f>COPY!AR3721</f>
        <v>0</v>
      </c>
      <c r="C3729" s="107">
        <f>COPY!AC3721</f>
        <v>0</v>
      </c>
      <c r="D3729" s="107" t="str">
        <f>IF(LEN(Table1722[[#This Row],[Uraian]])&gt;2,1," ")</f>
        <v xml:space="preserve"> </v>
      </c>
      <c r="E3729" s="113" t="str">
        <f>IF(Table1722[[#This Row],[Lawan Transaksi]]="CV AGUNG KARYA",COUNTIF($I$10:I3729,"CV AGUNG KARYA")," ")</f>
        <v xml:space="preserve"> </v>
      </c>
      <c r="F3729" s="107" t="str">
        <f>IF(LEN(Table1722[[#This Row],[Uraian]])&gt;2,TRIM(RIGHT(SUBSTITUTE(TRIM(C3729)," ",REPT(" ",255)),255))," ")</f>
        <v xml:space="preserve"> </v>
      </c>
      <c r="G3729" s="110">
        <f>COPY!Z3721</f>
        <v>0</v>
      </c>
      <c r="H3729" s="111" t="str">
        <f>IFERROR(VLOOKUP(Table1722[[#This Row],[Bukti]],'Un nOTA'!$A$4:$K$5003,10,FALSE),"")</f>
        <v/>
      </c>
      <c r="I3729" s="123" t="str">
        <f>IFERROR(VLOOKUP(Table1722[[#This Row],[Bukti]],Table13[#Data],11,FALSE),"")</f>
        <v/>
      </c>
    </row>
    <row r="3730" spans="1:9" hidden="1" x14ac:dyDescent="0.2">
      <c r="A3730" s="105" t="str">
        <f>IF(D3730=1,COUNTIF($D$10:D3730,1)," ")</f>
        <v xml:space="preserve"> </v>
      </c>
      <c r="B3730" s="106">
        <f>COPY!AR3722</f>
        <v>0</v>
      </c>
      <c r="C3730" s="107">
        <f>COPY!AC3722</f>
        <v>0</v>
      </c>
      <c r="D3730" s="107" t="str">
        <f>IF(LEN(Table1722[[#This Row],[Uraian]])&gt;2,1," ")</f>
        <v xml:space="preserve"> </v>
      </c>
      <c r="E3730" s="113" t="str">
        <f>IF(Table1722[[#This Row],[Lawan Transaksi]]="CV AGUNG KARYA",COUNTIF($I$10:I3730,"CV AGUNG KARYA")," ")</f>
        <v xml:space="preserve"> </v>
      </c>
      <c r="F3730" s="107" t="str">
        <f>IF(LEN(Table1722[[#This Row],[Uraian]])&gt;2,TRIM(RIGHT(SUBSTITUTE(TRIM(C3730)," ",REPT(" ",255)),255))," ")</f>
        <v xml:space="preserve"> </v>
      </c>
      <c r="G3730" s="110">
        <f>COPY!Z3722</f>
        <v>0</v>
      </c>
      <c r="H3730" s="111" t="str">
        <f>IFERROR(VLOOKUP(Table1722[[#This Row],[Bukti]],'Un nOTA'!$A$4:$K$5003,10,FALSE),"")</f>
        <v/>
      </c>
      <c r="I3730" s="123" t="str">
        <f>IFERROR(VLOOKUP(Table1722[[#This Row],[Bukti]],Table13[#Data],11,FALSE),"")</f>
        <v/>
      </c>
    </row>
    <row r="3731" spans="1:9" hidden="1" x14ac:dyDescent="0.2">
      <c r="A3731" s="105" t="str">
        <f>IF(D3731=1,COUNTIF($D$10:D3731,1)," ")</f>
        <v xml:space="preserve"> </v>
      </c>
      <c r="B3731" s="106">
        <f>COPY!AR3723</f>
        <v>0</v>
      </c>
      <c r="C3731" s="107">
        <f>COPY!AC3723</f>
        <v>0</v>
      </c>
      <c r="D3731" s="107" t="str">
        <f>IF(LEN(Table1722[[#This Row],[Uraian]])&gt;2,1," ")</f>
        <v xml:space="preserve"> </v>
      </c>
      <c r="E3731" s="113" t="str">
        <f>IF(Table1722[[#This Row],[Lawan Transaksi]]="CV AGUNG KARYA",COUNTIF($I$10:I3731,"CV AGUNG KARYA")," ")</f>
        <v xml:space="preserve"> </v>
      </c>
      <c r="F3731" s="107" t="str">
        <f>IF(LEN(Table1722[[#This Row],[Uraian]])&gt;2,TRIM(RIGHT(SUBSTITUTE(TRIM(C3731)," ",REPT(" ",255)),255))," ")</f>
        <v xml:space="preserve"> </v>
      </c>
      <c r="G3731" s="110">
        <f>COPY!Z3723</f>
        <v>0</v>
      </c>
      <c r="H3731" s="111" t="str">
        <f>IFERROR(VLOOKUP(Table1722[[#This Row],[Bukti]],'Un nOTA'!$A$4:$K$5003,10,FALSE),"")</f>
        <v/>
      </c>
      <c r="I3731" s="123" t="str">
        <f>IFERROR(VLOOKUP(Table1722[[#This Row],[Bukti]],Table13[#Data],11,FALSE),"")</f>
        <v/>
      </c>
    </row>
    <row r="3732" spans="1:9" hidden="1" x14ac:dyDescent="0.2">
      <c r="A3732" s="105" t="str">
        <f>IF(D3732=1,COUNTIF($D$10:D3732,1)," ")</f>
        <v xml:space="preserve"> </v>
      </c>
      <c r="B3732" s="106">
        <f>COPY!AR3724</f>
        <v>0</v>
      </c>
      <c r="C3732" s="107">
        <f>COPY!AC3724</f>
        <v>0</v>
      </c>
      <c r="D3732" s="107" t="str">
        <f>IF(LEN(Table1722[[#This Row],[Uraian]])&gt;2,1," ")</f>
        <v xml:space="preserve"> </v>
      </c>
      <c r="E3732" s="113" t="str">
        <f>IF(Table1722[[#This Row],[Lawan Transaksi]]="CV AGUNG KARYA",COUNTIF($I$10:I3732,"CV AGUNG KARYA")," ")</f>
        <v xml:space="preserve"> </v>
      </c>
      <c r="F3732" s="107" t="str">
        <f>IF(LEN(Table1722[[#This Row],[Uraian]])&gt;2,TRIM(RIGHT(SUBSTITUTE(TRIM(C3732)," ",REPT(" ",255)),255))," ")</f>
        <v xml:space="preserve"> </v>
      </c>
      <c r="G3732" s="110">
        <f>COPY!Z3724</f>
        <v>0</v>
      </c>
      <c r="H3732" s="111" t="str">
        <f>IFERROR(VLOOKUP(Table1722[[#This Row],[Bukti]],'Un nOTA'!$A$4:$K$5003,10,FALSE),"")</f>
        <v/>
      </c>
      <c r="I3732" s="123" t="str">
        <f>IFERROR(VLOOKUP(Table1722[[#This Row],[Bukti]],Table13[#Data],11,FALSE),"")</f>
        <v/>
      </c>
    </row>
    <row r="3733" spans="1:9" hidden="1" x14ac:dyDescent="0.2">
      <c r="A3733" s="105" t="str">
        <f>IF(D3733=1,COUNTIF($D$10:D3733,1)," ")</f>
        <v xml:space="preserve"> </v>
      </c>
      <c r="B3733" s="106">
        <f>COPY!AR3725</f>
        <v>0</v>
      </c>
      <c r="C3733" s="107">
        <f>COPY!AC3725</f>
        <v>0</v>
      </c>
      <c r="D3733" s="107" t="str">
        <f>IF(LEN(Table1722[[#This Row],[Uraian]])&gt;2,1," ")</f>
        <v xml:space="preserve"> </v>
      </c>
      <c r="E3733" s="113" t="str">
        <f>IF(Table1722[[#This Row],[Lawan Transaksi]]="CV AGUNG KARYA",COUNTIF($I$10:I3733,"CV AGUNG KARYA")," ")</f>
        <v xml:space="preserve"> </v>
      </c>
      <c r="F3733" s="107" t="str">
        <f>IF(LEN(Table1722[[#This Row],[Uraian]])&gt;2,TRIM(RIGHT(SUBSTITUTE(TRIM(C3733)," ",REPT(" ",255)),255))," ")</f>
        <v xml:space="preserve"> </v>
      </c>
      <c r="G3733" s="110">
        <f>COPY!Z3725</f>
        <v>0</v>
      </c>
      <c r="H3733" s="111" t="str">
        <f>IFERROR(VLOOKUP(Table1722[[#This Row],[Bukti]],'Un nOTA'!$A$4:$K$5003,10,FALSE),"")</f>
        <v/>
      </c>
      <c r="I3733" s="123" t="str">
        <f>IFERROR(VLOOKUP(Table1722[[#This Row],[Bukti]],Table13[#Data],11,FALSE),"")</f>
        <v/>
      </c>
    </row>
    <row r="3734" spans="1:9" hidden="1" x14ac:dyDescent="0.2">
      <c r="A3734" s="105" t="str">
        <f>IF(D3734=1,COUNTIF($D$10:D3734,1)," ")</f>
        <v xml:space="preserve"> </v>
      </c>
      <c r="B3734" s="106">
        <f>COPY!AR3726</f>
        <v>0</v>
      </c>
      <c r="C3734" s="107">
        <f>COPY!AC3726</f>
        <v>0</v>
      </c>
      <c r="D3734" s="107" t="str">
        <f>IF(LEN(Table1722[[#This Row],[Uraian]])&gt;2,1," ")</f>
        <v xml:space="preserve"> </v>
      </c>
      <c r="E3734" s="113" t="str">
        <f>IF(Table1722[[#This Row],[Lawan Transaksi]]="CV AGUNG KARYA",COUNTIF($I$10:I3734,"CV AGUNG KARYA")," ")</f>
        <v xml:space="preserve"> </v>
      </c>
      <c r="F3734" s="107" t="str">
        <f>IF(LEN(Table1722[[#This Row],[Uraian]])&gt;2,TRIM(RIGHT(SUBSTITUTE(TRIM(C3734)," ",REPT(" ",255)),255))," ")</f>
        <v xml:space="preserve"> </v>
      </c>
      <c r="G3734" s="110">
        <f>COPY!Z3726</f>
        <v>0</v>
      </c>
      <c r="H3734" s="111" t="str">
        <f>IFERROR(VLOOKUP(Table1722[[#This Row],[Bukti]],'Un nOTA'!$A$4:$K$5003,10,FALSE),"")</f>
        <v/>
      </c>
      <c r="I3734" s="123" t="str">
        <f>IFERROR(VLOOKUP(Table1722[[#This Row],[Bukti]],Table13[#Data],11,FALSE),"")</f>
        <v/>
      </c>
    </row>
    <row r="3735" spans="1:9" hidden="1" x14ac:dyDescent="0.2">
      <c r="A3735" s="105" t="str">
        <f>IF(D3735=1,COUNTIF($D$10:D3735,1)," ")</f>
        <v xml:space="preserve"> </v>
      </c>
      <c r="B3735" s="106">
        <f>COPY!AR3727</f>
        <v>0</v>
      </c>
      <c r="C3735" s="107">
        <f>COPY!AC3727</f>
        <v>0</v>
      </c>
      <c r="D3735" s="107" t="str">
        <f>IF(LEN(Table1722[[#This Row],[Uraian]])&gt;2,1," ")</f>
        <v xml:space="preserve"> </v>
      </c>
      <c r="E3735" s="113" t="str">
        <f>IF(Table1722[[#This Row],[Lawan Transaksi]]="CV AGUNG KARYA",COUNTIF($I$10:I3735,"CV AGUNG KARYA")," ")</f>
        <v xml:space="preserve"> </v>
      </c>
      <c r="F3735" s="107" t="str">
        <f>IF(LEN(Table1722[[#This Row],[Uraian]])&gt;2,TRIM(RIGHT(SUBSTITUTE(TRIM(C3735)," ",REPT(" ",255)),255))," ")</f>
        <v xml:space="preserve"> </v>
      </c>
      <c r="G3735" s="110">
        <f>COPY!Z3727</f>
        <v>0</v>
      </c>
      <c r="H3735" s="111" t="str">
        <f>IFERROR(VLOOKUP(Table1722[[#This Row],[Bukti]],'Un nOTA'!$A$4:$K$5003,10,FALSE),"")</f>
        <v/>
      </c>
      <c r="I3735" s="123" t="str">
        <f>IFERROR(VLOOKUP(Table1722[[#This Row],[Bukti]],Table13[#Data],11,FALSE),"")</f>
        <v/>
      </c>
    </row>
    <row r="3736" spans="1:9" hidden="1" x14ac:dyDescent="0.2">
      <c r="A3736" s="105" t="str">
        <f>IF(D3736=1,COUNTIF($D$10:D3736,1)," ")</f>
        <v xml:space="preserve"> </v>
      </c>
      <c r="B3736" s="106">
        <f>COPY!AR3728</f>
        <v>0</v>
      </c>
      <c r="C3736" s="107">
        <f>COPY!AC3728</f>
        <v>0</v>
      </c>
      <c r="D3736" s="107" t="str">
        <f>IF(LEN(Table1722[[#This Row],[Uraian]])&gt;2,1," ")</f>
        <v xml:space="preserve"> </v>
      </c>
      <c r="E3736" s="113" t="str">
        <f>IF(Table1722[[#This Row],[Lawan Transaksi]]="CV AGUNG KARYA",COUNTIF($I$10:I3736,"CV AGUNG KARYA")," ")</f>
        <v xml:space="preserve"> </v>
      </c>
      <c r="F3736" s="107" t="str">
        <f>IF(LEN(Table1722[[#This Row],[Uraian]])&gt;2,TRIM(RIGHT(SUBSTITUTE(TRIM(C3736)," ",REPT(" ",255)),255))," ")</f>
        <v xml:space="preserve"> </v>
      </c>
      <c r="G3736" s="110">
        <f>COPY!Z3728</f>
        <v>0</v>
      </c>
      <c r="H3736" s="111" t="str">
        <f>IFERROR(VLOOKUP(Table1722[[#This Row],[Bukti]],'Un nOTA'!$A$4:$K$5003,10,FALSE),"")</f>
        <v/>
      </c>
      <c r="I3736" s="123" t="str">
        <f>IFERROR(VLOOKUP(Table1722[[#This Row],[Bukti]],Table13[#Data],11,FALSE),"")</f>
        <v/>
      </c>
    </row>
    <row r="3737" spans="1:9" hidden="1" x14ac:dyDescent="0.2">
      <c r="A3737" s="105" t="str">
        <f>IF(D3737=1,COUNTIF($D$10:D3737,1)," ")</f>
        <v xml:space="preserve"> </v>
      </c>
      <c r="B3737" s="106">
        <f>COPY!AR3729</f>
        <v>0</v>
      </c>
      <c r="C3737" s="107">
        <f>COPY!AC3729</f>
        <v>0</v>
      </c>
      <c r="D3737" s="107" t="str">
        <f>IF(LEN(Table1722[[#This Row],[Uraian]])&gt;2,1," ")</f>
        <v xml:space="preserve"> </v>
      </c>
      <c r="E3737" s="113" t="str">
        <f>IF(Table1722[[#This Row],[Lawan Transaksi]]="CV AGUNG KARYA",COUNTIF($I$10:I3737,"CV AGUNG KARYA")," ")</f>
        <v xml:space="preserve"> </v>
      </c>
      <c r="F3737" s="107" t="str">
        <f>IF(LEN(Table1722[[#This Row],[Uraian]])&gt;2,TRIM(RIGHT(SUBSTITUTE(TRIM(C3737)," ",REPT(" ",255)),255))," ")</f>
        <v xml:space="preserve"> </v>
      </c>
      <c r="G3737" s="110">
        <f>COPY!Z3729</f>
        <v>0</v>
      </c>
      <c r="H3737" s="111" t="str">
        <f>IFERROR(VLOOKUP(Table1722[[#This Row],[Bukti]],'Un nOTA'!$A$4:$K$5003,10,FALSE),"")</f>
        <v/>
      </c>
      <c r="I3737" s="123" t="str">
        <f>IFERROR(VLOOKUP(Table1722[[#This Row],[Bukti]],Table13[#Data],11,FALSE),"")</f>
        <v/>
      </c>
    </row>
    <row r="3738" spans="1:9" hidden="1" x14ac:dyDescent="0.2">
      <c r="A3738" s="105" t="str">
        <f>IF(D3738=1,COUNTIF($D$10:D3738,1)," ")</f>
        <v xml:space="preserve"> </v>
      </c>
      <c r="B3738" s="106">
        <f>COPY!AR3730</f>
        <v>0</v>
      </c>
      <c r="C3738" s="107">
        <f>COPY!AC3730</f>
        <v>0</v>
      </c>
      <c r="D3738" s="107" t="str">
        <f>IF(LEN(Table1722[[#This Row],[Uraian]])&gt;2,1," ")</f>
        <v xml:space="preserve"> </v>
      </c>
      <c r="E3738" s="113" t="str">
        <f>IF(Table1722[[#This Row],[Lawan Transaksi]]="CV AGUNG KARYA",COUNTIF($I$10:I3738,"CV AGUNG KARYA")," ")</f>
        <v xml:space="preserve"> </v>
      </c>
      <c r="F3738" s="107" t="str">
        <f>IF(LEN(Table1722[[#This Row],[Uraian]])&gt;2,TRIM(RIGHT(SUBSTITUTE(TRIM(C3738)," ",REPT(" ",255)),255))," ")</f>
        <v xml:space="preserve"> </v>
      </c>
      <c r="G3738" s="110">
        <f>COPY!Z3730</f>
        <v>0</v>
      </c>
      <c r="H3738" s="111" t="str">
        <f>IFERROR(VLOOKUP(Table1722[[#This Row],[Bukti]],'Un nOTA'!$A$4:$K$5003,10,FALSE),"")</f>
        <v/>
      </c>
      <c r="I3738" s="123" t="str">
        <f>IFERROR(VLOOKUP(Table1722[[#This Row],[Bukti]],Table13[#Data],11,FALSE),"")</f>
        <v/>
      </c>
    </row>
    <row r="3739" spans="1:9" hidden="1" x14ac:dyDescent="0.2">
      <c r="A3739" s="105" t="str">
        <f>IF(D3739=1,COUNTIF($D$10:D3739,1)," ")</f>
        <v xml:space="preserve"> </v>
      </c>
      <c r="B3739" s="106">
        <f>COPY!AR3731</f>
        <v>0</v>
      </c>
      <c r="C3739" s="107">
        <f>COPY!AC3731</f>
        <v>0</v>
      </c>
      <c r="D3739" s="107" t="str">
        <f>IF(LEN(Table1722[[#This Row],[Uraian]])&gt;2,1," ")</f>
        <v xml:space="preserve"> </v>
      </c>
      <c r="E3739" s="113" t="str">
        <f>IF(Table1722[[#This Row],[Lawan Transaksi]]="CV AGUNG KARYA",COUNTIF($I$10:I3739,"CV AGUNG KARYA")," ")</f>
        <v xml:space="preserve"> </v>
      </c>
      <c r="F3739" s="107" t="str">
        <f>IF(LEN(Table1722[[#This Row],[Uraian]])&gt;2,TRIM(RIGHT(SUBSTITUTE(TRIM(C3739)," ",REPT(" ",255)),255))," ")</f>
        <v xml:space="preserve"> </v>
      </c>
      <c r="G3739" s="110">
        <f>COPY!Z3731</f>
        <v>0</v>
      </c>
      <c r="H3739" s="111" t="str">
        <f>IFERROR(VLOOKUP(Table1722[[#This Row],[Bukti]],'Un nOTA'!$A$4:$K$5003,10,FALSE),"")</f>
        <v/>
      </c>
      <c r="I3739" s="123" t="str">
        <f>IFERROR(VLOOKUP(Table1722[[#This Row],[Bukti]],Table13[#Data],11,FALSE),"")</f>
        <v/>
      </c>
    </row>
    <row r="3740" spans="1:9" hidden="1" x14ac:dyDescent="0.2">
      <c r="A3740" s="105" t="str">
        <f>IF(D3740=1,COUNTIF($D$10:D3740,1)," ")</f>
        <v xml:space="preserve"> </v>
      </c>
      <c r="B3740" s="106">
        <f>COPY!AR3732</f>
        <v>0</v>
      </c>
      <c r="C3740" s="107">
        <f>COPY!AC3732</f>
        <v>0</v>
      </c>
      <c r="D3740" s="107" t="str">
        <f>IF(LEN(Table1722[[#This Row],[Uraian]])&gt;2,1," ")</f>
        <v xml:space="preserve"> </v>
      </c>
      <c r="E3740" s="113" t="str">
        <f>IF(Table1722[[#This Row],[Lawan Transaksi]]="CV AGUNG KARYA",COUNTIF($I$10:I3740,"CV AGUNG KARYA")," ")</f>
        <v xml:space="preserve"> </v>
      </c>
      <c r="F3740" s="107" t="str">
        <f>IF(LEN(Table1722[[#This Row],[Uraian]])&gt;2,TRIM(RIGHT(SUBSTITUTE(TRIM(C3740)," ",REPT(" ",255)),255))," ")</f>
        <v xml:space="preserve"> </v>
      </c>
      <c r="G3740" s="110">
        <f>COPY!Z3732</f>
        <v>0</v>
      </c>
      <c r="H3740" s="111" t="str">
        <f>IFERROR(VLOOKUP(Table1722[[#This Row],[Bukti]],'Un nOTA'!$A$4:$K$5003,10,FALSE),"")</f>
        <v/>
      </c>
      <c r="I3740" s="123" t="str">
        <f>IFERROR(VLOOKUP(Table1722[[#This Row],[Bukti]],Table13[#Data],11,FALSE),"")</f>
        <v/>
      </c>
    </row>
    <row r="3741" spans="1:9" hidden="1" x14ac:dyDescent="0.2">
      <c r="A3741" s="105" t="str">
        <f>IF(D3741=1,COUNTIF($D$10:D3741,1)," ")</f>
        <v xml:space="preserve"> </v>
      </c>
      <c r="B3741" s="106">
        <f>COPY!AR3733</f>
        <v>0</v>
      </c>
      <c r="C3741" s="107">
        <f>COPY!AC3733</f>
        <v>0</v>
      </c>
      <c r="D3741" s="107" t="str">
        <f>IF(LEN(Table1722[[#This Row],[Uraian]])&gt;2,1," ")</f>
        <v xml:space="preserve"> </v>
      </c>
      <c r="E3741" s="113" t="str">
        <f>IF(Table1722[[#This Row],[Lawan Transaksi]]="CV AGUNG KARYA",COUNTIF($I$10:I3741,"CV AGUNG KARYA")," ")</f>
        <v xml:space="preserve"> </v>
      </c>
      <c r="F3741" s="107" t="str">
        <f>IF(LEN(Table1722[[#This Row],[Uraian]])&gt;2,TRIM(RIGHT(SUBSTITUTE(TRIM(C3741)," ",REPT(" ",255)),255))," ")</f>
        <v xml:space="preserve"> </v>
      </c>
      <c r="G3741" s="110">
        <f>COPY!Z3733</f>
        <v>0</v>
      </c>
      <c r="H3741" s="111" t="str">
        <f>IFERROR(VLOOKUP(Table1722[[#This Row],[Bukti]],'Un nOTA'!$A$4:$K$5003,10,FALSE),"")</f>
        <v/>
      </c>
      <c r="I3741" s="123" t="str">
        <f>IFERROR(VLOOKUP(Table1722[[#This Row],[Bukti]],Table13[#Data],11,FALSE),"")</f>
        <v/>
      </c>
    </row>
    <row r="3742" spans="1:9" hidden="1" x14ac:dyDescent="0.2">
      <c r="A3742" s="105" t="str">
        <f>IF(D3742=1,COUNTIF($D$10:D3742,1)," ")</f>
        <v xml:space="preserve"> </v>
      </c>
      <c r="B3742" s="106">
        <f>COPY!AR3734</f>
        <v>0</v>
      </c>
      <c r="C3742" s="107">
        <f>COPY!AC3734</f>
        <v>0</v>
      </c>
      <c r="D3742" s="107" t="str">
        <f>IF(LEN(Table1722[[#This Row],[Uraian]])&gt;2,1," ")</f>
        <v xml:space="preserve"> </v>
      </c>
      <c r="E3742" s="113" t="str">
        <f>IF(Table1722[[#This Row],[Lawan Transaksi]]="CV AGUNG KARYA",COUNTIF($I$10:I3742,"CV AGUNG KARYA")," ")</f>
        <v xml:space="preserve"> </v>
      </c>
      <c r="F3742" s="107" t="str">
        <f>IF(LEN(Table1722[[#This Row],[Uraian]])&gt;2,TRIM(RIGHT(SUBSTITUTE(TRIM(C3742)," ",REPT(" ",255)),255))," ")</f>
        <v xml:space="preserve"> </v>
      </c>
      <c r="G3742" s="110">
        <f>COPY!Z3734</f>
        <v>0</v>
      </c>
      <c r="H3742" s="111" t="str">
        <f>IFERROR(VLOOKUP(Table1722[[#This Row],[Bukti]],'Un nOTA'!$A$4:$K$5003,10,FALSE),"")</f>
        <v/>
      </c>
      <c r="I3742" s="123" t="str">
        <f>IFERROR(VLOOKUP(Table1722[[#This Row],[Bukti]],Table13[#Data],11,FALSE),"")</f>
        <v/>
      </c>
    </row>
    <row r="3743" spans="1:9" hidden="1" x14ac:dyDescent="0.2">
      <c r="A3743" s="105" t="str">
        <f>IF(D3743=1,COUNTIF($D$10:D3743,1)," ")</f>
        <v xml:space="preserve"> </v>
      </c>
      <c r="B3743" s="106">
        <f>COPY!AR3735</f>
        <v>0</v>
      </c>
      <c r="C3743" s="107">
        <f>COPY!AC3735</f>
        <v>0</v>
      </c>
      <c r="D3743" s="107" t="str">
        <f>IF(LEN(Table1722[[#This Row],[Uraian]])&gt;2,1," ")</f>
        <v xml:space="preserve"> </v>
      </c>
      <c r="E3743" s="113" t="str">
        <f>IF(Table1722[[#This Row],[Lawan Transaksi]]="CV AGUNG KARYA",COUNTIF($I$10:I3743,"CV AGUNG KARYA")," ")</f>
        <v xml:space="preserve"> </v>
      </c>
      <c r="F3743" s="107" t="str">
        <f>IF(LEN(Table1722[[#This Row],[Uraian]])&gt;2,TRIM(RIGHT(SUBSTITUTE(TRIM(C3743)," ",REPT(" ",255)),255))," ")</f>
        <v xml:space="preserve"> </v>
      </c>
      <c r="G3743" s="110">
        <f>COPY!Z3735</f>
        <v>0</v>
      </c>
      <c r="H3743" s="111" t="str">
        <f>IFERROR(VLOOKUP(Table1722[[#This Row],[Bukti]],'Un nOTA'!$A$4:$K$5003,10,FALSE),"")</f>
        <v/>
      </c>
      <c r="I3743" s="123" t="str">
        <f>IFERROR(VLOOKUP(Table1722[[#This Row],[Bukti]],Table13[#Data],11,FALSE),"")</f>
        <v/>
      </c>
    </row>
    <row r="3744" spans="1:9" hidden="1" x14ac:dyDescent="0.2">
      <c r="A3744" s="105" t="str">
        <f>IF(D3744=1,COUNTIF($D$10:D3744,1)," ")</f>
        <v xml:space="preserve"> </v>
      </c>
      <c r="B3744" s="106">
        <f>COPY!AR3736</f>
        <v>0</v>
      </c>
      <c r="C3744" s="107">
        <f>COPY!AC3736</f>
        <v>0</v>
      </c>
      <c r="D3744" s="107" t="str">
        <f>IF(LEN(Table1722[[#This Row],[Uraian]])&gt;2,1," ")</f>
        <v xml:space="preserve"> </v>
      </c>
      <c r="E3744" s="113" t="str">
        <f>IF(Table1722[[#This Row],[Lawan Transaksi]]="CV AGUNG KARYA",COUNTIF($I$10:I3744,"CV AGUNG KARYA")," ")</f>
        <v xml:space="preserve"> </v>
      </c>
      <c r="F3744" s="107" t="str">
        <f>IF(LEN(Table1722[[#This Row],[Uraian]])&gt;2,TRIM(RIGHT(SUBSTITUTE(TRIM(C3744)," ",REPT(" ",255)),255))," ")</f>
        <v xml:space="preserve"> </v>
      </c>
      <c r="G3744" s="110">
        <f>COPY!Z3736</f>
        <v>0</v>
      </c>
      <c r="H3744" s="111" t="str">
        <f>IFERROR(VLOOKUP(Table1722[[#This Row],[Bukti]],'Un nOTA'!$A$4:$K$5003,10,FALSE),"")</f>
        <v/>
      </c>
      <c r="I3744" s="123" t="str">
        <f>IFERROR(VLOOKUP(Table1722[[#This Row],[Bukti]],Table13[#Data],11,FALSE),"")</f>
        <v/>
      </c>
    </row>
    <row r="3745" spans="1:9" hidden="1" x14ac:dyDescent="0.2">
      <c r="A3745" s="105" t="str">
        <f>IF(D3745=1,COUNTIF($D$10:D3745,1)," ")</f>
        <v xml:space="preserve"> </v>
      </c>
      <c r="B3745" s="106">
        <f>COPY!AR3737</f>
        <v>0</v>
      </c>
      <c r="C3745" s="107">
        <f>COPY!AC3737</f>
        <v>0</v>
      </c>
      <c r="D3745" s="107" t="str">
        <f>IF(LEN(Table1722[[#This Row],[Uraian]])&gt;2,1," ")</f>
        <v xml:space="preserve"> </v>
      </c>
      <c r="E3745" s="113" t="str">
        <f>IF(Table1722[[#This Row],[Lawan Transaksi]]="CV AGUNG KARYA",COUNTIF($I$10:I3745,"CV AGUNG KARYA")," ")</f>
        <v xml:space="preserve"> </v>
      </c>
      <c r="F3745" s="107" t="str">
        <f>IF(LEN(Table1722[[#This Row],[Uraian]])&gt;2,TRIM(RIGHT(SUBSTITUTE(TRIM(C3745)," ",REPT(" ",255)),255))," ")</f>
        <v xml:space="preserve"> </v>
      </c>
      <c r="G3745" s="110">
        <f>COPY!Z3737</f>
        <v>0</v>
      </c>
      <c r="H3745" s="111" t="str">
        <f>IFERROR(VLOOKUP(Table1722[[#This Row],[Bukti]],'Un nOTA'!$A$4:$K$5003,10,FALSE),"")</f>
        <v/>
      </c>
      <c r="I3745" s="123" t="str">
        <f>IFERROR(VLOOKUP(Table1722[[#This Row],[Bukti]],Table13[#Data],11,FALSE),"")</f>
        <v/>
      </c>
    </row>
    <row r="3746" spans="1:9" hidden="1" x14ac:dyDescent="0.2">
      <c r="A3746" s="105" t="str">
        <f>IF(D3746=1,COUNTIF($D$10:D3746,1)," ")</f>
        <v xml:space="preserve"> </v>
      </c>
      <c r="B3746" s="106">
        <f>COPY!AR3738</f>
        <v>0</v>
      </c>
      <c r="C3746" s="107">
        <f>COPY!AC3738</f>
        <v>0</v>
      </c>
      <c r="D3746" s="107" t="str">
        <f>IF(LEN(Table1722[[#This Row],[Uraian]])&gt;2,1," ")</f>
        <v xml:space="preserve"> </v>
      </c>
      <c r="E3746" s="113" t="str">
        <f>IF(Table1722[[#This Row],[Lawan Transaksi]]="CV AGUNG KARYA",COUNTIF($I$10:I3746,"CV AGUNG KARYA")," ")</f>
        <v xml:space="preserve"> </v>
      </c>
      <c r="F3746" s="107" t="str">
        <f>IF(LEN(Table1722[[#This Row],[Uraian]])&gt;2,TRIM(RIGHT(SUBSTITUTE(TRIM(C3746)," ",REPT(" ",255)),255))," ")</f>
        <v xml:space="preserve"> </v>
      </c>
      <c r="G3746" s="110">
        <f>COPY!Z3738</f>
        <v>0</v>
      </c>
      <c r="H3746" s="111" t="str">
        <f>IFERROR(VLOOKUP(Table1722[[#This Row],[Bukti]],'Un nOTA'!$A$4:$K$5003,10,FALSE),"")</f>
        <v/>
      </c>
      <c r="I3746" s="123" t="str">
        <f>IFERROR(VLOOKUP(Table1722[[#This Row],[Bukti]],Table13[#Data],11,FALSE),"")</f>
        <v/>
      </c>
    </row>
    <row r="3747" spans="1:9" hidden="1" x14ac:dyDescent="0.2">
      <c r="A3747" s="105" t="str">
        <f>IF(D3747=1,COUNTIF($D$10:D3747,1)," ")</f>
        <v xml:space="preserve"> </v>
      </c>
      <c r="B3747" s="106">
        <f>COPY!AR3739</f>
        <v>0</v>
      </c>
      <c r="C3747" s="107">
        <f>COPY!AC3739</f>
        <v>0</v>
      </c>
      <c r="D3747" s="107" t="str">
        <f>IF(LEN(Table1722[[#This Row],[Uraian]])&gt;2,1," ")</f>
        <v xml:space="preserve"> </v>
      </c>
      <c r="E3747" s="113" t="str">
        <f>IF(Table1722[[#This Row],[Lawan Transaksi]]="CV AGUNG KARYA",COUNTIF($I$10:I3747,"CV AGUNG KARYA")," ")</f>
        <v xml:space="preserve"> </v>
      </c>
      <c r="F3747" s="107" t="str">
        <f>IF(LEN(Table1722[[#This Row],[Uraian]])&gt;2,TRIM(RIGHT(SUBSTITUTE(TRIM(C3747)," ",REPT(" ",255)),255))," ")</f>
        <v xml:space="preserve"> </v>
      </c>
      <c r="G3747" s="110">
        <f>COPY!Z3739</f>
        <v>0</v>
      </c>
      <c r="H3747" s="111" t="str">
        <f>IFERROR(VLOOKUP(Table1722[[#This Row],[Bukti]],'Un nOTA'!$A$4:$K$5003,10,FALSE),"")</f>
        <v/>
      </c>
      <c r="I3747" s="123" t="str">
        <f>IFERROR(VLOOKUP(Table1722[[#This Row],[Bukti]],Table13[#Data],11,FALSE),"")</f>
        <v/>
      </c>
    </row>
    <row r="3748" spans="1:9" hidden="1" x14ac:dyDescent="0.2">
      <c r="A3748" s="105" t="str">
        <f>IF(D3748=1,COUNTIF($D$10:D3748,1)," ")</f>
        <v xml:space="preserve"> </v>
      </c>
      <c r="B3748" s="106">
        <f>COPY!AR3740</f>
        <v>0</v>
      </c>
      <c r="C3748" s="107">
        <f>COPY!AC3740</f>
        <v>0</v>
      </c>
      <c r="D3748" s="107" t="str">
        <f>IF(LEN(Table1722[[#This Row],[Uraian]])&gt;2,1," ")</f>
        <v xml:space="preserve"> </v>
      </c>
      <c r="E3748" s="113" t="str">
        <f>IF(Table1722[[#This Row],[Lawan Transaksi]]="CV AGUNG KARYA",COUNTIF($I$10:I3748,"CV AGUNG KARYA")," ")</f>
        <v xml:space="preserve"> </v>
      </c>
      <c r="F3748" s="107" t="str">
        <f>IF(LEN(Table1722[[#This Row],[Uraian]])&gt;2,TRIM(RIGHT(SUBSTITUTE(TRIM(C3748)," ",REPT(" ",255)),255))," ")</f>
        <v xml:space="preserve"> </v>
      </c>
      <c r="G3748" s="110">
        <f>COPY!Z3740</f>
        <v>0</v>
      </c>
      <c r="H3748" s="111" t="str">
        <f>IFERROR(VLOOKUP(Table1722[[#This Row],[Bukti]],'Un nOTA'!$A$4:$K$5003,10,FALSE),"")</f>
        <v/>
      </c>
      <c r="I3748" s="123" t="str">
        <f>IFERROR(VLOOKUP(Table1722[[#This Row],[Bukti]],Table13[#Data],11,FALSE),"")</f>
        <v/>
      </c>
    </row>
    <row r="3749" spans="1:9" hidden="1" x14ac:dyDescent="0.2">
      <c r="A3749" s="105" t="str">
        <f>IF(D3749=1,COUNTIF($D$10:D3749,1)," ")</f>
        <v xml:space="preserve"> </v>
      </c>
      <c r="B3749" s="106">
        <f>COPY!AR3741</f>
        <v>0</v>
      </c>
      <c r="C3749" s="107">
        <f>COPY!AC3741</f>
        <v>0</v>
      </c>
      <c r="D3749" s="107" t="str">
        <f>IF(LEN(Table1722[[#This Row],[Uraian]])&gt;2,1," ")</f>
        <v xml:space="preserve"> </v>
      </c>
      <c r="E3749" s="113" t="str">
        <f>IF(Table1722[[#This Row],[Lawan Transaksi]]="CV AGUNG KARYA",COUNTIF($I$10:I3749,"CV AGUNG KARYA")," ")</f>
        <v xml:space="preserve"> </v>
      </c>
      <c r="F3749" s="107" t="str">
        <f>IF(LEN(Table1722[[#This Row],[Uraian]])&gt;2,TRIM(RIGHT(SUBSTITUTE(TRIM(C3749)," ",REPT(" ",255)),255))," ")</f>
        <v xml:space="preserve"> </v>
      </c>
      <c r="G3749" s="110">
        <f>COPY!Z3741</f>
        <v>0</v>
      </c>
      <c r="H3749" s="111" t="str">
        <f>IFERROR(VLOOKUP(Table1722[[#This Row],[Bukti]],'Un nOTA'!$A$4:$K$5003,10,FALSE),"")</f>
        <v/>
      </c>
      <c r="I3749" s="123" t="str">
        <f>IFERROR(VLOOKUP(Table1722[[#This Row],[Bukti]],Table13[#Data],11,FALSE),"")</f>
        <v/>
      </c>
    </row>
    <row r="3750" spans="1:9" hidden="1" x14ac:dyDescent="0.2">
      <c r="A3750" s="105" t="str">
        <f>IF(D3750=1,COUNTIF($D$10:D3750,1)," ")</f>
        <v xml:space="preserve"> </v>
      </c>
      <c r="B3750" s="106">
        <f>COPY!AR3742</f>
        <v>0</v>
      </c>
      <c r="C3750" s="107">
        <f>COPY!AC3742</f>
        <v>0</v>
      </c>
      <c r="D3750" s="107" t="str">
        <f>IF(LEN(Table1722[[#This Row],[Uraian]])&gt;2,1," ")</f>
        <v xml:space="preserve"> </v>
      </c>
      <c r="E3750" s="113" t="str">
        <f>IF(Table1722[[#This Row],[Lawan Transaksi]]="CV AGUNG KARYA",COUNTIF($I$10:I3750,"CV AGUNG KARYA")," ")</f>
        <v xml:space="preserve"> </v>
      </c>
      <c r="F3750" s="107" t="str">
        <f>IF(LEN(Table1722[[#This Row],[Uraian]])&gt;2,TRIM(RIGHT(SUBSTITUTE(TRIM(C3750)," ",REPT(" ",255)),255))," ")</f>
        <v xml:space="preserve"> </v>
      </c>
      <c r="G3750" s="110">
        <f>COPY!Z3742</f>
        <v>0</v>
      </c>
      <c r="H3750" s="111" t="str">
        <f>IFERROR(VLOOKUP(Table1722[[#This Row],[Bukti]],'Un nOTA'!$A$4:$K$5003,10,FALSE),"")</f>
        <v/>
      </c>
      <c r="I3750" s="123" t="str">
        <f>IFERROR(VLOOKUP(Table1722[[#This Row],[Bukti]],Table13[#Data],11,FALSE),"")</f>
        <v/>
      </c>
    </row>
    <row r="3751" spans="1:9" hidden="1" x14ac:dyDescent="0.2">
      <c r="A3751" s="105" t="str">
        <f>IF(D3751=1,COUNTIF($D$10:D3751,1)," ")</f>
        <v xml:space="preserve"> </v>
      </c>
      <c r="B3751" s="106">
        <f>COPY!AR3743</f>
        <v>0</v>
      </c>
      <c r="C3751" s="107">
        <f>COPY!AC3743</f>
        <v>0</v>
      </c>
      <c r="D3751" s="107" t="str">
        <f>IF(LEN(Table1722[[#This Row],[Uraian]])&gt;2,1," ")</f>
        <v xml:space="preserve"> </v>
      </c>
      <c r="E3751" s="113" t="str">
        <f>IF(Table1722[[#This Row],[Lawan Transaksi]]="CV AGUNG KARYA",COUNTIF($I$10:I3751,"CV AGUNG KARYA")," ")</f>
        <v xml:space="preserve"> </v>
      </c>
      <c r="F3751" s="107" t="str">
        <f>IF(LEN(Table1722[[#This Row],[Uraian]])&gt;2,TRIM(RIGHT(SUBSTITUTE(TRIM(C3751)," ",REPT(" ",255)),255))," ")</f>
        <v xml:space="preserve"> </v>
      </c>
      <c r="G3751" s="110">
        <f>COPY!Z3743</f>
        <v>0</v>
      </c>
      <c r="H3751" s="111" t="str">
        <f>IFERROR(VLOOKUP(Table1722[[#This Row],[Bukti]],'Un nOTA'!$A$4:$K$5003,10,FALSE),"")</f>
        <v/>
      </c>
      <c r="I3751" s="123" t="str">
        <f>IFERROR(VLOOKUP(Table1722[[#This Row],[Bukti]],Table13[#Data],11,FALSE),"")</f>
        <v/>
      </c>
    </row>
    <row r="3752" spans="1:9" hidden="1" x14ac:dyDescent="0.2">
      <c r="A3752" s="105" t="str">
        <f>IF(D3752=1,COUNTIF($D$10:D3752,1)," ")</f>
        <v xml:space="preserve"> </v>
      </c>
      <c r="B3752" s="106">
        <f>COPY!AR3744</f>
        <v>0</v>
      </c>
      <c r="C3752" s="107">
        <f>COPY!AC3744</f>
        <v>0</v>
      </c>
      <c r="D3752" s="107" t="str">
        <f>IF(LEN(Table1722[[#This Row],[Uraian]])&gt;2,1," ")</f>
        <v xml:space="preserve"> </v>
      </c>
      <c r="E3752" s="113" t="str">
        <f>IF(Table1722[[#This Row],[Lawan Transaksi]]="CV AGUNG KARYA",COUNTIF($I$10:I3752,"CV AGUNG KARYA")," ")</f>
        <v xml:space="preserve"> </v>
      </c>
      <c r="F3752" s="107" t="str">
        <f>IF(LEN(Table1722[[#This Row],[Uraian]])&gt;2,TRIM(RIGHT(SUBSTITUTE(TRIM(C3752)," ",REPT(" ",255)),255))," ")</f>
        <v xml:space="preserve"> </v>
      </c>
      <c r="G3752" s="110">
        <f>COPY!Z3744</f>
        <v>0</v>
      </c>
      <c r="H3752" s="111" t="str">
        <f>IFERROR(VLOOKUP(Table1722[[#This Row],[Bukti]],'Un nOTA'!$A$4:$K$5003,10,FALSE),"")</f>
        <v/>
      </c>
      <c r="I3752" s="123" t="str">
        <f>IFERROR(VLOOKUP(Table1722[[#This Row],[Bukti]],Table13[#Data],11,FALSE),"")</f>
        <v/>
      </c>
    </row>
    <row r="3753" spans="1:9" hidden="1" x14ac:dyDescent="0.2">
      <c r="A3753" s="105" t="str">
        <f>IF(D3753=1,COUNTIF($D$10:D3753,1)," ")</f>
        <v xml:space="preserve"> </v>
      </c>
      <c r="B3753" s="106">
        <f>COPY!AR3745</f>
        <v>0</v>
      </c>
      <c r="C3753" s="107">
        <f>COPY!AC3745</f>
        <v>0</v>
      </c>
      <c r="D3753" s="107" t="str">
        <f>IF(LEN(Table1722[[#This Row],[Uraian]])&gt;2,1," ")</f>
        <v xml:space="preserve"> </v>
      </c>
      <c r="E3753" s="113" t="str">
        <f>IF(Table1722[[#This Row],[Lawan Transaksi]]="CV AGUNG KARYA",COUNTIF($I$10:I3753,"CV AGUNG KARYA")," ")</f>
        <v xml:space="preserve"> </v>
      </c>
      <c r="F3753" s="107" t="str">
        <f>IF(LEN(Table1722[[#This Row],[Uraian]])&gt;2,TRIM(RIGHT(SUBSTITUTE(TRIM(C3753)," ",REPT(" ",255)),255))," ")</f>
        <v xml:space="preserve"> </v>
      </c>
      <c r="G3753" s="110">
        <f>COPY!Z3745</f>
        <v>0</v>
      </c>
      <c r="H3753" s="111" t="str">
        <f>IFERROR(VLOOKUP(Table1722[[#This Row],[Bukti]],'Un nOTA'!$A$4:$K$5003,10,FALSE),"")</f>
        <v/>
      </c>
      <c r="I3753" s="123" t="str">
        <f>IFERROR(VLOOKUP(Table1722[[#This Row],[Bukti]],Table13[#Data],11,FALSE),"")</f>
        <v/>
      </c>
    </row>
    <row r="3754" spans="1:9" hidden="1" x14ac:dyDescent="0.2">
      <c r="A3754" s="105" t="str">
        <f>IF(D3754=1,COUNTIF($D$10:D3754,1)," ")</f>
        <v xml:space="preserve"> </v>
      </c>
      <c r="B3754" s="106">
        <f>COPY!AR3746</f>
        <v>0</v>
      </c>
      <c r="C3754" s="107">
        <f>COPY!AC3746</f>
        <v>0</v>
      </c>
      <c r="D3754" s="107" t="str">
        <f>IF(LEN(Table1722[[#This Row],[Uraian]])&gt;2,1," ")</f>
        <v xml:space="preserve"> </v>
      </c>
      <c r="E3754" s="113" t="str">
        <f>IF(Table1722[[#This Row],[Lawan Transaksi]]="CV AGUNG KARYA",COUNTIF($I$10:I3754,"CV AGUNG KARYA")," ")</f>
        <v xml:space="preserve"> </v>
      </c>
      <c r="F3754" s="107" t="str">
        <f>IF(LEN(Table1722[[#This Row],[Uraian]])&gt;2,TRIM(RIGHT(SUBSTITUTE(TRIM(C3754)," ",REPT(" ",255)),255))," ")</f>
        <v xml:space="preserve"> </v>
      </c>
      <c r="G3754" s="110">
        <f>COPY!Z3746</f>
        <v>0</v>
      </c>
      <c r="H3754" s="111" t="str">
        <f>IFERROR(VLOOKUP(Table1722[[#This Row],[Bukti]],'Un nOTA'!$A$4:$K$5003,10,FALSE),"")</f>
        <v/>
      </c>
      <c r="I3754" s="123" t="str">
        <f>IFERROR(VLOOKUP(Table1722[[#This Row],[Bukti]],Table13[#Data],11,FALSE),"")</f>
        <v/>
      </c>
    </row>
    <row r="3755" spans="1:9" hidden="1" x14ac:dyDescent="0.2">
      <c r="A3755" s="105" t="str">
        <f>IF(D3755=1,COUNTIF($D$10:D3755,1)," ")</f>
        <v xml:space="preserve"> </v>
      </c>
      <c r="B3755" s="106">
        <f>COPY!AR3747</f>
        <v>0</v>
      </c>
      <c r="C3755" s="107">
        <f>COPY!AC3747</f>
        <v>0</v>
      </c>
      <c r="D3755" s="107" t="str">
        <f>IF(LEN(Table1722[[#This Row],[Uraian]])&gt;2,1," ")</f>
        <v xml:space="preserve"> </v>
      </c>
      <c r="E3755" s="113" t="str">
        <f>IF(Table1722[[#This Row],[Lawan Transaksi]]="CV AGUNG KARYA",COUNTIF($I$10:I3755,"CV AGUNG KARYA")," ")</f>
        <v xml:space="preserve"> </v>
      </c>
      <c r="F3755" s="107" t="str">
        <f>IF(LEN(Table1722[[#This Row],[Uraian]])&gt;2,TRIM(RIGHT(SUBSTITUTE(TRIM(C3755)," ",REPT(" ",255)),255))," ")</f>
        <v xml:space="preserve"> </v>
      </c>
      <c r="G3755" s="110">
        <f>COPY!Z3747</f>
        <v>0</v>
      </c>
      <c r="H3755" s="111" t="str">
        <f>IFERROR(VLOOKUP(Table1722[[#This Row],[Bukti]],'Un nOTA'!$A$4:$K$5003,10,FALSE),"")</f>
        <v/>
      </c>
      <c r="I3755" s="123" t="str">
        <f>IFERROR(VLOOKUP(Table1722[[#This Row],[Bukti]],Table13[#Data],11,FALSE),"")</f>
        <v/>
      </c>
    </row>
    <row r="3756" spans="1:9" hidden="1" x14ac:dyDescent="0.2">
      <c r="A3756" s="105" t="str">
        <f>IF(D3756=1,COUNTIF($D$10:D3756,1)," ")</f>
        <v xml:space="preserve"> </v>
      </c>
      <c r="B3756" s="106">
        <f>COPY!AR3748</f>
        <v>0</v>
      </c>
      <c r="C3756" s="107">
        <f>COPY!AC3748</f>
        <v>0</v>
      </c>
      <c r="D3756" s="107" t="str">
        <f>IF(LEN(Table1722[[#This Row],[Uraian]])&gt;2,1," ")</f>
        <v xml:space="preserve"> </v>
      </c>
      <c r="E3756" s="113" t="str">
        <f>IF(Table1722[[#This Row],[Lawan Transaksi]]="CV AGUNG KARYA",COUNTIF($I$10:I3756,"CV AGUNG KARYA")," ")</f>
        <v xml:space="preserve"> </v>
      </c>
      <c r="F3756" s="107" t="str">
        <f>IF(LEN(Table1722[[#This Row],[Uraian]])&gt;2,TRIM(RIGHT(SUBSTITUTE(TRIM(C3756)," ",REPT(" ",255)),255))," ")</f>
        <v xml:space="preserve"> </v>
      </c>
      <c r="G3756" s="110">
        <f>COPY!Z3748</f>
        <v>0</v>
      </c>
      <c r="H3756" s="111" t="str">
        <f>IFERROR(VLOOKUP(Table1722[[#This Row],[Bukti]],'Un nOTA'!$A$4:$K$5003,10,FALSE),"")</f>
        <v/>
      </c>
      <c r="I3756" s="123" t="str">
        <f>IFERROR(VLOOKUP(Table1722[[#This Row],[Bukti]],Table13[#Data],11,FALSE),"")</f>
        <v/>
      </c>
    </row>
    <row r="3757" spans="1:9" hidden="1" x14ac:dyDescent="0.2">
      <c r="A3757" s="105" t="str">
        <f>IF(D3757=1,COUNTIF($D$10:D3757,1)," ")</f>
        <v xml:space="preserve"> </v>
      </c>
      <c r="B3757" s="106">
        <f>COPY!AR3749</f>
        <v>0</v>
      </c>
      <c r="C3757" s="107">
        <f>COPY!AC3749</f>
        <v>0</v>
      </c>
      <c r="D3757" s="107" t="str">
        <f>IF(LEN(Table1722[[#This Row],[Uraian]])&gt;2,1," ")</f>
        <v xml:space="preserve"> </v>
      </c>
      <c r="E3757" s="113" t="str">
        <f>IF(Table1722[[#This Row],[Lawan Transaksi]]="CV AGUNG KARYA",COUNTIF($I$10:I3757,"CV AGUNG KARYA")," ")</f>
        <v xml:space="preserve"> </v>
      </c>
      <c r="F3757" s="107" t="str">
        <f>IF(LEN(Table1722[[#This Row],[Uraian]])&gt;2,TRIM(RIGHT(SUBSTITUTE(TRIM(C3757)," ",REPT(" ",255)),255))," ")</f>
        <v xml:space="preserve"> </v>
      </c>
      <c r="G3757" s="110">
        <f>COPY!Z3749</f>
        <v>0</v>
      </c>
      <c r="H3757" s="111" t="str">
        <f>IFERROR(VLOOKUP(Table1722[[#This Row],[Bukti]],'Un nOTA'!$A$4:$K$5003,10,FALSE),"")</f>
        <v/>
      </c>
      <c r="I3757" s="123" t="str">
        <f>IFERROR(VLOOKUP(Table1722[[#This Row],[Bukti]],Table13[#Data],11,FALSE),"")</f>
        <v/>
      </c>
    </row>
    <row r="3758" spans="1:9" hidden="1" x14ac:dyDescent="0.2">
      <c r="A3758" s="105" t="str">
        <f>IF(D3758=1,COUNTIF($D$10:D3758,1)," ")</f>
        <v xml:space="preserve"> </v>
      </c>
      <c r="B3758" s="106">
        <f>COPY!AR3750</f>
        <v>0</v>
      </c>
      <c r="C3758" s="107">
        <f>COPY!AC3750</f>
        <v>0</v>
      </c>
      <c r="D3758" s="107" t="str">
        <f>IF(LEN(Table1722[[#This Row],[Uraian]])&gt;2,1," ")</f>
        <v xml:space="preserve"> </v>
      </c>
      <c r="E3758" s="113" t="str">
        <f>IF(Table1722[[#This Row],[Lawan Transaksi]]="CV AGUNG KARYA",COUNTIF($I$10:I3758,"CV AGUNG KARYA")," ")</f>
        <v xml:space="preserve"> </v>
      </c>
      <c r="F3758" s="107" t="str">
        <f>IF(LEN(Table1722[[#This Row],[Uraian]])&gt;2,TRIM(RIGHT(SUBSTITUTE(TRIM(C3758)," ",REPT(" ",255)),255))," ")</f>
        <v xml:space="preserve"> </v>
      </c>
      <c r="G3758" s="110">
        <f>COPY!Z3750</f>
        <v>0</v>
      </c>
      <c r="H3758" s="111" t="str">
        <f>IFERROR(VLOOKUP(Table1722[[#This Row],[Bukti]],'Un nOTA'!$A$4:$K$5003,10,FALSE),"")</f>
        <v/>
      </c>
      <c r="I3758" s="123" t="str">
        <f>IFERROR(VLOOKUP(Table1722[[#This Row],[Bukti]],Table13[#Data],11,FALSE),"")</f>
        <v/>
      </c>
    </row>
    <row r="3759" spans="1:9" hidden="1" x14ac:dyDescent="0.2">
      <c r="A3759" s="105" t="str">
        <f>IF(D3759=1,COUNTIF($D$10:D3759,1)," ")</f>
        <v xml:space="preserve"> </v>
      </c>
      <c r="B3759" s="106">
        <f>COPY!AR3751</f>
        <v>0</v>
      </c>
      <c r="C3759" s="107">
        <f>COPY!AC3751</f>
        <v>0</v>
      </c>
      <c r="D3759" s="107" t="str">
        <f>IF(LEN(Table1722[[#This Row],[Uraian]])&gt;2,1," ")</f>
        <v xml:space="preserve"> </v>
      </c>
      <c r="E3759" s="113" t="str">
        <f>IF(Table1722[[#This Row],[Lawan Transaksi]]="CV AGUNG KARYA",COUNTIF($I$10:I3759,"CV AGUNG KARYA")," ")</f>
        <v xml:space="preserve"> </v>
      </c>
      <c r="F3759" s="107" t="str">
        <f>IF(LEN(Table1722[[#This Row],[Uraian]])&gt;2,TRIM(RIGHT(SUBSTITUTE(TRIM(C3759)," ",REPT(" ",255)),255))," ")</f>
        <v xml:space="preserve"> </v>
      </c>
      <c r="G3759" s="110">
        <f>COPY!Z3751</f>
        <v>0</v>
      </c>
      <c r="H3759" s="111" t="str">
        <f>IFERROR(VLOOKUP(Table1722[[#This Row],[Bukti]],'Un nOTA'!$A$4:$K$5003,10,FALSE),"")</f>
        <v/>
      </c>
      <c r="I3759" s="123" t="str">
        <f>IFERROR(VLOOKUP(Table1722[[#This Row],[Bukti]],Table13[#Data],11,FALSE),"")</f>
        <v/>
      </c>
    </row>
    <row r="3760" spans="1:9" hidden="1" x14ac:dyDescent="0.2">
      <c r="A3760" s="105" t="str">
        <f>IF(D3760=1,COUNTIF($D$10:D3760,1)," ")</f>
        <v xml:space="preserve"> </v>
      </c>
      <c r="B3760" s="106">
        <f>COPY!AR3752</f>
        <v>0</v>
      </c>
      <c r="C3760" s="107">
        <f>COPY!AC3752</f>
        <v>0</v>
      </c>
      <c r="D3760" s="107" t="str">
        <f>IF(LEN(Table1722[[#This Row],[Uraian]])&gt;2,1," ")</f>
        <v xml:space="preserve"> </v>
      </c>
      <c r="E3760" s="113" t="str">
        <f>IF(Table1722[[#This Row],[Lawan Transaksi]]="CV AGUNG KARYA",COUNTIF($I$10:I3760,"CV AGUNG KARYA")," ")</f>
        <v xml:space="preserve"> </v>
      </c>
      <c r="F3760" s="107" t="str">
        <f>IF(LEN(Table1722[[#This Row],[Uraian]])&gt;2,TRIM(RIGHT(SUBSTITUTE(TRIM(C3760)," ",REPT(" ",255)),255))," ")</f>
        <v xml:space="preserve"> </v>
      </c>
      <c r="G3760" s="110">
        <f>COPY!Z3752</f>
        <v>0</v>
      </c>
      <c r="H3760" s="111" t="str">
        <f>IFERROR(VLOOKUP(Table1722[[#This Row],[Bukti]],'Un nOTA'!$A$4:$K$5003,10,FALSE),"")</f>
        <v/>
      </c>
      <c r="I3760" s="123" t="str">
        <f>IFERROR(VLOOKUP(Table1722[[#This Row],[Bukti]],Table13[#Data],11,FALSE),"")</f>
        <v/>
      </c>
    </row>
    <row r="3761" spans="1:9" hidden="1" x14ac:dyDescent="0.2">
      <c r="A3761" s="105" t="str">
        <f>IF(D3761=1,COUNTIF($D$10:D3761,1)," ")</f>
        <v xml:space="preserve"> </v>
      </c>
      <c r="B3761" s="106">
        <f>COPY!AR3753</f>
        <v>0</v>
      </c>
      <c r="C3761" s="107">
        <f>COPY!AC3753</f>
        <v>0</v>
      </c>
      <c r="D3761" s="107" t="str">
        <f>IF(LEN(Table1722[[#This Row],[Uraian]])&gt;2,1," ")</f>
        <v xml:space="preserve"> </v>
      </c>
      <c r="E3761" s="113" t="str">
        <f>IF(Table1722[[#This Row],[Lawan Transaksi]]="CV AGUNG KARYA",COUNTIF($I$10:I3761,"CV AGUNG KARYA")," ")</f>
        <v xml:space="preserve"> </v>
      </c>
      <c r="F3761" s="107" t="str">
        <f>IF(LEN(Table1722[[#This Row],[Uraian]])&gt;2,TRIM(RIGHT(SUBSTITUTE(TRIM(C3761)," ",REPT(" ",255)),255))," ")</f>
        <v xml:space="preserve"> </v>
      </c>
      <c r="G3761" s="110">
        <f>COPY!Z3753</f>
        <v>0</v>
      </c>
      <c r="H3761" s="111" t="str">
        <f>IFERROR(VLOOKUP(Table1722[[#This Row],[Bukti]],'Un nOTA'!$A$4:$K$5003,10,FALSE),"")</f>
        <v/>
      </c>
      <c r="I3761" s="123" t="str">
        <f>IFERROR(VLOOKUP(Table1722[[#This Row],[Bukti]],Table13[#Data],11,FALSE),"")</f>
        <v/>
      </c>
    </row>
    <row r="3762" spans="1:9" hidden="1" x14ac:dyDescent="0.2">
      <c r="A3762" s="105" t="str">
        <f>IF(D3762=1,COUNTIF($D$10:D3762,1)," ")</f>
        <v xml:space="preserve"> </v>
      </c>
      <c r="B3762" s="106">
        <f>COPY!AR3754</f>
        <v>0</v>
      </c>
      <c r="C3762" s="107">
        <f>COPY!AC3754</f>
        <v>0</v>
      </c>
      <c r="D3762" s="107" t="str">
        <f>IF(LEN(Table1722[[#This Row],[Uraian]])&gt;2,1," ")</f>
        <v xml:space="preserve"> </v>
      </c>
      <c r="E3762" s="113" t="str">
        <f>IF(Table1722[[#This Row],[Lawan Transaksi]]="CV AGUNG KARYA",COUNTIF($I$10:I3762,"CV AGUNG KARYA")," ")</f>
        <v xml:space="preserve"> </v>
      </c>
      <c r="F3762" s="107" t="str">
        <f>IF(LEN(Table1722[[#This Row],[Uraian]])&gt;2,TRIM(RIGHT(SUBSTITUTE(TRIM(C3762)," ",REPT(" ",255)),255))," ")</f>
        <v xml:space="preserve"> </v>
      </c>
      <c r="G3762" s="110">
        <f>COPY!Z3754</f>
        <v>0</v>
      </c>
      <c r="H3762" s="111" t="str">
        <f>IFERROR(VLOOKUP(Table1722[[#This Row],[Bukti]],'Un nOTA'!$A$4:$K$5003,10,FALSE),"")</f>
        <v/>
      </c>
      <c r="I3762" s="123" t="str">
        <f>IFERROR(VLOOKUP(Table1722[[#This Row],[Bukti]],Table13[#Data],11,FALSE),"")</f>
        <v/>
      </c>
    </row>
    <row r="3763" spans="1:9" hidden="1" x14ac:dyDescent="0.2">
      <c r="A3763" s="105" t="str">
        <f>IF(D3763=1,COUNTIF($D$10:D3763,1)," ")</f>
        <v xml:space="preserve"> </v>
      </c>
      <c r="B3763" s="106">
        <f>COPY!AR3755</f>
        <v>0</v>
      </c>
      <c r="C3763" s="107">
        <f>COPY!AC3755</f>
        <v>0</v>
      </c>
      <c r="D3763" s="107" t="str">
        <f>IF(LEN(Table1722[[#This Row],[Uraian]])&gt;2,1," ")</f>
        <v xml:space="preserve"> </v>
      </c>
      <c r="E3763" s="113" t="str">
        <f>IF(Table1722[[#This Row],[Lawan Transaksi]]="CV AGUNG KARYA",COUNTIF($I$10:I3763,"CV AGUNG KARYA")," ")</f>
        <v xml:space="preserve"> </v>
      </c>
      <c r="F3763" s="107" t="str">
        <f>IF(LEN(Table1722[[#This Row],[Uraian]])&gt;2,TRIM(RIGHT(SUBSTITUTE(TRIM(C3763)," ",REPT(" ",255)),255))," ")</f>
        <v xml:space="preserve"> </v>
      </c>
      <c r="G3763" s="110">
        <f>COPY!Z3755</f>
        <v>0</v>
      </c>
      <c r="H3763" s="111" t="str">
        <f>IFERROR(VLOOKUP(Table1722[[#This Row],[Bukti]],'Un nOTA'!$A$4:$K$5003,10,FALSE),"")</f>
        <v/>
      </c>
      <c r="I3763" s="123" t="str">
        <f>IFERROR(VLOOKUP(Table1722[[#This Row],[Bukti]],Table13[#Data],11,FALSE),"")</f>
        <v/>
      </c>
    </row>
    <row r="3764" spans="1:9" hidden="1" x14ac:dyDescent="0.2">
      <c r="A3764" s="105" t="str">
        <f>IF(D3764=1,COUNTIF($D$10:D3764,1)," ")</f>
        <v xml:space="preserve"> </v>
      </c>
      <c r="B3764" s="106">
        <f>COPY!AR3756</f>
        <v>0</v>
      </c>
      <c r="C3764" s="107">
        <f>COPY!AC3756</f>
        <v>0</v>
      </c>
      <c r="D3764" s="107" t="str">
        <f>IF(LEN(Table1722[[#This Row],[Uraian]])&gt;2,1," ")</f>
        <v xml:space="preserve"> </v>
      </c>
      <c r="E3764" s="113" t="str">
        <f>IF(Table1722[[#This Row],[Lawan Transaksi]]="CV AGUNG KARYA",COUNTIF($I$10:I3764,"CV AGUNG KARYA")," ")</f>
        <v xml:space="preserve"> </v>
      </c>
      <c r="F3764" s="107" t="str">
        <f>IF(LEN(Table1722[[#This Row],[Uraian]])&gt;2,TRIM(RIGHT(SUBSTITUTE(TRIM(C3764)," ",REPT(" ",255)),255))," ")</f>
        <v xml:space="preserve"> </v>
      </c>
      <c r="G3764" s="110">
        <f>COPY!Z3756</f>
        <v>0</v>
      </c>
      <c r="H3764" s="111" t="str">
        <f>IFERROR(VLOOKUP(Table1722[[#This Row],[Bukti]],'Un nOTA'!$A$4:$K$5003,10,FALSE),"")</f>
        <v/>
      </c>
      <c r="I3764" s="123" t="str">
        <f>IFERROR(VLOOKUP(Table1722[[#This Row],[Bukti]],Table13[#Data],11,FALSE),"")</f>
        <v/>
      </c>
    </row>
    <row r="3765" spans="1:9" hidden="1" x14ac:dyDescent="0.2">
      <c r="A3765" s="105" t="str">
        <f>IF(D3765=1,COUNTIF($D$10:D3765,1)," ")</f>
        <v xml:space="preserve"> </v>
      </c>
      <c r="B3765" s="106">
        <f>COPY!AR3757</f>
        <v>0</v>
      </c>
      <c r="C3765" s="107">
        <f>COPY!AC3757</f>
        <v>0</v>
      </c>
      <c r="D3765" s="107" t="str">
        <f>IF(LEN(Table1722[[#This Row],[Uraian]])&gt;2,1," ")</f>
        <v xml:space="preserve"> </v>
      </c>
      <c r="E3765" s="113" t="str">
        <f>IF(Table1722[[#This Row],[Lawan Transaksi]]="CV AGUNG KARYA",COUNTIF($I$10:I3765,"CV AGUNG KARYA")," ")</f>
        <v xml:space="preserve"> </v>
      </c>
      <c r="F3765" s="107" t="str">
        <f>IF(LEN(Table1722[[#This Row],[Uraian]])&gt;2,TRIM(RIGHT(SUBSTITUTE(TRIM(C3765)," ",REPT(" ",255)),255))," ")</f>
        <v xml:space="preserve"> </v>
      </c>
      <c r="G3765" s="110">
        <f>COPY!Z3757</f>
        <v>0</v>
      </c>
      <c r="H3765" s="111" t="str">
        <f>IFERROR(VLOOKUP(Table1722[[#This Row],[Bukti]],'Un nOTA'!$A$4:$K$5003,10,FALSE),"")</f>
        <v/>
      </c>
      <c r="I3765" s="123" t="str">
        <f>IFERROR(VLOOKUP(Table1722[[#This Row],[Bukti]],Table13[#Data],11,FALSE),"")</f>
        <v/>
      </c>
    </row>
    <row r="3766" spans="1:9" hidden="1" x14ac:dyDescent="0.2">
      <c r="A3766" s="105" t="str">
        <f>IF(D3766=1,COUNTIF($D$10:D3766,1)," ")</f>
        <v xml:space="preserve"> </v>
      </c>
      <c r="B3766" s="106">
        <f>COPY!AR3758</f>
        <v>0</v>
      </c>
      <c r="C3766" s="107">
        <f>COPY!AC3758</f>
        <v>0</v>
      </c>
      <c r="D3766" s="107" t="str">
        <f>IF(LEN(Table1722[[#This Row],[Uraian]])&gt;2,1," ")</f>
        <v xml:space="preserve"> </v>
      </c>
      <c r="E3766" s="113" t="str">
        <f>IF(Table1722[[#This Row],[Lawan Transaksi]]="CV AGUNG KARYA",COUNTIF($I$10:I3766,"CV AGUNG KARYA")," ")</f>
        <v xml:space="preserve"> </v>
      </c>
      <c r="F3766" s="107" t="str">
        <f>IF(LEN(Table1722[[#This Row],[Uraian]])&gt;2,TRIM(RIGHT(SUBSTITUTE(TRIM(C3766)," ",REPT(" ",255)),255))," ")</f>
        <v xml:space="preserve"> </v>
      </c>
      <c r="G3766" s="110">
        <f>COPY!Z3758</f>
        <v>0</v>
      </c>
      <c r="H3766" s="111" t="str">
        <f>IFERROR(VLOOKUP(Table1722[[#This Row],[Bukti]],'Un nOTA'!$A$4:$K$5003,10,FALSE),"")</f>
        <v/>
      </c>
      <c r="I3766" s="123" t="str">
        <f>IFERROR(VLOOKUP(Table1722[[#This Row],[Bukti]],Table13[#Data],11,FALSE),"")</f>
        <v/>
      </c>
    </row>
    <row r="3767" spans="1:9" hidden="1" x14ac:dyDescent="0.2">
      <c r="A3767" s="105" t="str">
        <f>IF(D3767=1,COUNTIF($D$10:D3767,1)," ")</f>
        <v xml:space="preserve"> </v>
      </c>
      <c r="B3767" s="106">
        <f>COPY!AR3759</f>
        <v>0</v>
      </c>
      <c r="C3767" s="107">
        <f>COPY!AC3759</f>
        <v>0</v>
      </c>
      <c r="D3767" s="107" t="str">
        <f>IF(LEN(Table1722[[#This Row],[Uraian]])&gt;2,1," ")</f>
        <v xml:space="preserve"> </v>
      </c>
      <c r="E3767" s="113" t="str">
        <f>IF(Table1722[[#This Row],[Lawan Transaksi]]="CV AGUNG KARYA",COUNTIF($I$10:I3767,"CV AGUNG KARYA")," ")</f>
        <v xml:space="preserve"> </v>
      </c>
      <c r="F3767" s="107" t="str">
        <f>IF(LEN(Table1722[[#This Row],[Uraian]])&gt;2,TRIM(RIGHT(SUBSTITUTE(TRIM(C3767)," ",REPT(" ",255)),255))," ")</f>
        <v xml:space="preserve"> </v>
      </c>
      <c r="G3767" s="110">
        <f>COPY!Z3759</f>
        <v>0</v>
      </c>
      <c r="H3767" s="111" t="str">
        <f>IFERROR(VLOOKUP(Table1722[[#This Row],[Bukti]],'Un nOTA'!$A$4:$K$5003,10,FALSE),"")</f>
        <v/>
      </c>
      <c r="I3767" s="123" t="str">
        <f>IFERROR(VLOOKUP(Table1722[[#This Row],[Bukti]],Table13[#Data],11,FALSE),"")</f>
        <v/>
      </c>
    </row>
    <row r="3768" spans="1:9" hidden="1" x14ac:dyDescent="0.2">
      <c r="A3768" s="105" t="str">
        <f>IF(D3768=1,COUNTIF($D$10:D3768,1)," ")</f>
        <v xml:space="preserve"> </v>
      </c>
      <c r="B3768" s="106">
        <f>COPY!AR3760</f>
        <v>0</v>
      </c>
      <c r="C3768" s="107">
        <f>COPY!AC3760</f>
        <v>0</v>
      </c>
      <c r="D3768" s="107" t="str">
        <f>IF(LEN(Table1722[[#This Row],[Uraian]])&gt;2,1," ")</f>
        <v xml:space="preserve"> </v>
      </c>
      <c r="E3768" s="113" t="str">
        <f>IF(Table1722[[#This Row],[Lawan Transaksi]]="CV AGUNG KARYA",COUNTIF($I$10:I3768,"CV AGUNG KARYA")," ")</f>
        <v xml:space="preserve"> </v>
      </c>
      <c r="F3768" s="107" t="str">
        <f>IF(LEN(Table1722[[#This Row],[Uraian]])&gt;2,TRIM(RIGHT(SUBSTITUTE(TRIM(C3768)," ",REPT(" ",255)),255))," ")</f>
        <v xml:space="preserve"> </v>
      </c>
      <c r="G3768" s="110">
        <f>COPY!Z3760</f>
        <v>0</v>
      </c>
      <c r="H3768" s="111" t="str">
        <f>IFERROR(VLOOKUP(Table1722[[#This Row],[Bukti]],'Un nOTA'!$A$4:$K$5003,10,FALSE),"")</f>
        <v/>
      </c>
      <c r="I3768" s="123" t="str">
        <f>IFERROR(VLOOKUP(Table1722[[#This Row],[Bukti]],Table13[#Data],11,FALSE),"")</f>
        <v/>
      </c>
    </row>
    <row r="3769" spans="1:9" hidden="1" x14ac:dyDescent="0.2">
      <c r="A3769" s="105" t="str">
        <f>IF(D3769=1,COUNTIF($D$10:D3769,1)," ")</f>
        <v xml:space="preserve"> </v>
      </c>
      <c r="B3769" s="106">
        <f>COPY!AR3761</f>
        <v>0</v>
      </c>
      <c r="C3769" s="107">
        <f>COPY!AC3761</f>
        <v>0</v>
      </c>
      <c r="D3769" s="107" t="str">
        <f>IF(LEN(Table1722[[#This Row],[Uraian]])&gt;2,1," ")</f>
        <v xml:space="preserve"> </v>
      </c>
      <c r="E3769" s="113" t="str">
        <f>IF(Table1722[[#This Row],[Lawan Transaksi]]="CV AGUNG KARYA",COUNTIF($I$10:I3769,"CV AGUNG KARYA")," ")</f>
        <v xml:space="preserve"> </v>
      </c>
      <c r="F3769" s="107" t="str">
        <f>IF(LEN(Table1722[[#This Row],[Uraian]])&gt;2,TRIM(RIGHT(SUBSTITUTE(TRIM(C3769)," ",REPT(" ",255)),255))," ")</f>
        <v xml:space="preserve"> </v>
      </c>
      <c r="G3769" s="110">
        <f>COPY!Z3761</f>
        <v>0</v>
      </c>
      <c r="H3769" s="111" t="str">
        <f>IFERROR(VLOOKUP(Table1722[[#This Row],[Bukti]],'Un nOTA'!$A$4:$K$5003,10,FALSE),"")</f>
        <v/>
      </c>
      <c r="I3769" s="123" t="str">
        <f>IFERROR(VLOOKUP(Table1722[[#This Row],[Bukti]],Table13[#Data],11,FALSE),"")</f>
        <v/>
      </c>
    </row>
    <row r="3770" spans="1:9" hidden="1" x14ac:dyDescent="0.2">
      <c r="A3770" s="105" t="str">
        <f>IF(D3770=1,COUNTIF($D$10:D3770,1)," ")</f>
        <v xml:space="preserve"> </v>
      </c>
      <c r="B3770" s="106">
        <f>COPY!AR3762</f>
        <v>0</v>
      </c>
      <c r="C3770" s="107">
        <f>COPY!AC3762</f>
        <v>0</v>
      </c>
      <c r="D3770" s="107" t="str">
        <f>IF(LEN(Table1722[[#This Row],[Uraian]])&gt;2,1," ")</f>
        <v xml:space="preserve"> </v>
      </c>
      <c r="E3770" s="113" t="str">
        <f>IF(Table1722[[#This Row],[Lawan Transaksi]]="CV AGUNG KARYA",COUNTIF($I$10:I3770,"CV AGUNG KARYA")," ")</f>
        <v xml:space="preserve"> </v>
      </c>
      <c r="F3770" s="107" t="str">
        <f>IF(LEN(Table1722[[#This Row],[Uraian]])&gt;2,TRIM(RIGHT(SUBSTITUTE(TRIM(C3770)," ",REPT(" ",255)),255))," ")</f>
        <v xml:space="preserve"> </v>
      </c>
      <c r="G3770" s="110">
        <f>COPY!Z3762</f>
        <v>0</v>
      </c>
      <c r="H3770" s="111" t="str">
        <f>IFERROR(VLOOKUP(Table1722[[#This Row],[Bukti]],'Un nOTA'!$A$4:$K$5003,10,FALSE),"")</f>
        <v/>
      </c>
      <c r="I3770" s="123" t="str">
        <f>IFERROR(VLOOKUP(Table1722[[#This Row],[Bukti]],Table13[#Data],11,FALSE),"")</f>
        <v/>
      </c>
    </row>
    <row r="3771" spans="1:9" hidden="1" x14ac:dyDescent="0.2">
      <c r="A3771" s="105" t="str">
        <f>IF(D3771=1,COUNTIF($D$10:D3771,1)," ")</f>
        <v xml:space="preserve"> </v>
      </c>
      <c r="B3771" s="106">
        <f>COPY!AR3763</f>
        <v>0</v>
      </c>
      <c r="C3771" s="107">
        <f>COPY!AC3763</f>
        <v>0</v>
      </c>
      <c r="D3771" s="107" t="str">
        <f>IF(LEN(Table1722[[#This Row],[Uraian]])&gt;2,1," ")</f>
        <v xml:space="preserve"> </v>
      </c>
      <c r="E3771" s="113" t="str">
        <f>IF(Table1722[[#This Row],[Lawan Transaksi]]="CV AGUNG KARYA",COUNTIF($I$10:I3771,"CV AGUNG KARYA")," ")</f>
        <v xml:space="preserve"> </v>
      </c>
      <c r="F3771" s="107" t="str">
        <f>IF(LEN(Table1722[[#This Row],[Uraian]])&gt;2,TRIM(RIGHT(SUBSTITUTE(TRIM(C3771)," ",REPT(" ",255)),255))," ")</f>
        <v xml:space="preserve"> </v>
      </c>
      <c r="G3771" s="110">
        <f>COPY!Z3763</f>
        <v>0</v>
      </c>
      <c r="H3771" s="111" t="str">
        <f>IFERROR(VLOOKUP(Table1722[[#This Row],[Bukti]],'Un nOTA'!$A$4:$K$5003,10,FALSE),"")</f>
        <v/>
      </c>
      <c r="I3771" s="123" t="str">
        <f>IFERROR(VLOOKUP(Table1722[[#This Row],[Bukti]],Table13[#Data],11,FALSE),"")</f>
        <v/>
      </c>
    </row>
    <row r="3772" spans="1:9" hidden="1" x14ac:dyDescent="0.2">
      <c r="A3772" s="105" t="str">
        <f>IF(D3772=1,COUNTIF($D$10:D3772,1)," ")</f>
        <v xml:space="preserve"> </v>
      </c>
      <c r="B3772" s="106">
        <f>COPY!AR3764</f>
        <v>0</v>
      </c>
      <c r="C3772" s="107">
        <f>COPY!AC3764</f>
        <v>0</v>
      </c>
      <c r="D3772" s="107" t="str">
        <f>IF(LEN(Table1722[[#This Row],[Uraian]])&gt;2,1," ")</f>
        <v xml:space="preserve"> </v>
      </c>
      <c r="E3772" s="113" t="str">
        <f>IF(Table1722[[#This Row],[Lawan Transaksi]]="CV AGUNG KARYA",COUNTIF($I$10:I3772,"CV AGUNG KARYA")," ")</f>
        <v xml:space="preserve"> </v>
      </c>
      <c r="F3772" s="107" t="str">
        <f>IF(LEN(Table1722[[#This Row],[Uraian]])&gt;2,TRIM(RIGHT(SUBSTITUTE(TRIM(C3772)," ",REPT(" ",255)),255))," ")</f>
        <v xml:space="preserve"> </v>
      </c>
      <c r="G3772" s="110">
        <f>COPY!Z3764</f>
        <v>0</v>
      </c>
      <c r="H3772" s="111" t="str">
        <f>IFERROR(VLOOKUP(Table1722[[#This Row],[Bukti]],'Un nOTA'!$A$4:$K$5003,10,FALSE),"")</f>
        <v/>
      </c>
      <c r="I3772" s="123" t="str">
        <f>IFERROR(VLOOKUP(Table1722[[#This Row],[Bukti]],Table13[#Data],11,FALSE),"")</f>
        <v/>
      </c>
    </row>
    <row r="3773" spans="1:9" hidden="1" x14ac:dyDescent="0.2">
      <c r="A3773" s="105" t="str">
        <f>IF(D3773=1,COUNTIF($D$10:D3773,1)," ")</f>
        <v xml:space="preserve"> </v>
      </c>
      <c r="B3773" s="106">
        <f>COPY!AR3765</f>
        <v>0</v>
      </c>
      <c r="C3773" s="107">
        <f>COPY!AC3765</f>
        <v>0</v>
      </c>
      <c r="D3773" s="107" t="str">
        <f>IF(LEN(Table1722[[#This Row],[Uraian]])&gt;2,1," ")</f>
        <v xml:space="preserve"> </v>
      </c>
      <c r="E3773" s="113" t="str">
        <f>IF(Table1722[[#This Row],[Lawan Transaksi]]="CV AGUNG KARYA",COUNTIF($I$10:I3773,"CV AGUNG KARYA")," ")</f>
        <v xml:space="preserve"> </v>
      </c>
      <c r="F3773" s="107" t="str">
        <f>IF(LEN(Table1722[[#This Row],[Uraian]])&gt;2,TRIM(RIGHT(SUBSTITUTE(TRIM(C3773)," ",REPT(" ",255)),255))," ")</f>
        <v xml:space="preserve"> </v>
      </c>
      <c r="G3773" s="110">
        <f>COPY!Z3765</f>
        <v>0</v>
      </c>
      <c r="H3773" s="111" t="str">
        <f>IFERROR(VLOOKUP(Table1722[[#This Row],[Bukti]],'Un nOTA'!$A$4:$K$5003,10,FALSE),"")</f>
        <v/>
      </c>
      <c r="I3773" s="123" t="str">
        <f>IFERROR(VLOOKUP(Table1722[[#This Row],[Bukti]],Table13[#Data],11,FALSE),"")</f>
        <v/>
      </c>
    </row>
    <row r="3774" spans="1:9" hidden="1" x14ac:dyDescent="0.2">
      <c r="A3774" s="105" t="str">
        <f>IF(D3774=1,COUNTIF($D$10:D3774,1)," ")</f>
        <v xml:space="preserve"> </v>
      </c>
      <c r="B3774" s="106">
        <f>COPY!AR3766</f>
        <v>0</v>
      </c>
      <c r="C3774" s="107">
        <f>COPY!AC3766</f>
        <v>0</v>
      </c>
      <c r="D3774" s="107" t="str">
        <f>IF(LEN(Table1722[[#This Row],[Uraian]])&gt;2,1," ")</f>
        <v xml:space="preserve"> </v>
      </c>
      <c r="E3774" s="113" t="str">
        <f>IF(Table1722[[#This Row],[Lawan Transaksi]]="CV AGUNG KARYA",COUNTIF($I$10:I3774,"CV AGUNG KARYA")," ")</f>
        <v xml:space="preserve"> </v>
      </c>
      <c r="F3774" s="107" t="str">
        <f>IF(LEN(Table1722[[#This Row],[Uraian]])&gt;2,TRIM(RIGHT(SUBSTITUTE(TRIM(C3774)," ",REPT(" ",255)),255))," ")</f>
        <v xml:space="preserve"> </v>
      </c>
      <c r="G3774" s="110">
        <f>COPY!Z3766</f>
        <v>0</v>
      </c>
      <c r="H3774" s="111" t="str">
        <f>IFERROR(VLOOKUP(Table1722[[#This Row],[Bukti]],'Un nOTA'!$A$4:$K$5003,10,FALSE),"")</f>
        <v/>
      </c>
      <c r="I3774" s="123" t="str">
        <f>IFERROR(VLOOKUP(Table1722[[#This Row],[Bukti]],Table13[#Data],11,FALSE),"")</f>
        <v/>
      </c>
    </row>
    <row r="3775" spans="1:9" hidden="1" x14ac:dyDescent="0.2">
      <c r="A3775" s="105" t="str">
        <f>IF(D3775=1,COUNTIF($D$10:D3775,1)," ")</f>
        <v xml:space="preserve"> </v>
      </c>
      <c r="B3775" s="106">
        <f>COPY!AR3767</f>
        <v>0</v>
      </c>
      <c r="C3775" s="107">
        <f>COPY!AC3767</f>
        <v>0</v>
      </c>
      <c r="D3775" s="107" t="str">
        <f>IF(LEN(Table1722[[#This Row],[Uraian]])&gt;2,1," ")</f>
        <v xml:space="preserve"> </v>
      </c>
      <c r="E3775" s="113" t="str">
        <f>IF(Table1722[[#This Row],[Lawan Transaksi]]="CV AGUNG KARYA",COUNTIF($I$10:I3775,"CV AGUNG KARYA")," ")</f>
        <v xml:space="preserve"> </v>
      </c>
      <c r="F3775" s="107" t="str">
        <f>IF(LEN(Table1722[[#This Row],[Uraian]])&gt;2,TRIM(RIGHT(SUBSTITUTE(TRIM(C3775)," ",REPT(" ",255)),255))," ")</f>
        <v xml:space="preserve"> </v>
      </c>
      <c r="G3775" s="110">
        <f>COPY!Z3767</f>
        <v>0</v>
      </c>
      <c r="H3775" s="111" t="str">
        <f>IFERROR(VLOOKUP(Table1722[[#This Row],[Bukti]],'Un nOTA'!$A$4:$K$5003,10,FALSE),"")</f>
        <v/>
      </c>
      <c r="I3775" s="123" t="str">
        <f>IFERROR(VLOOKUP(Table1722[[#This Row],[Bukti]],Table13[#Data],11,FALSE),"")</f>
        <v/>
      </c>
    </row>
    <row r="3776" spans="1:9" hidden="1" x14ac:dyDescent="0.2">
      <c r="A3776" s="105" t="str">
        <f>IF(D3776=1,COUNTIF($D$10:D3776,1)," ")</f>
        <v xml:space="preserve"> </v>
      </c>
      <c r="B3776" s="106">
        <f>COPY!AR3768</f>
        <v>0</v>
      </c>
      <c r="C3776" s="107">
        <f>COPY!AC3768</f>
        <v>0</v>
      </c>
      <c r="D3776" s="107" t="str">
        <f>IF(LEN(Table1722[[#This Row],[Uraian]])&gt;2,1," ")</f>
        <v xml:space="preserve"> </v>
      </c>
      <c r="E3776" s="113" t="str">
        <f>IF(Table1722[[#This Row],[Lawan Transaksi]]="CV AGUNG KARYA",COUNTIF($I$10:I3776,"CV AGUNG KARYA")," ")</f>
        <v xml:space="preserve"> </v>
      </c>
      <c r="F3776" s="107" t="str">
        <f>IF(LEN(Table1722[[#This Row],[Uraian]])&gt;2,TRIM(RIGHT(SUBSTITUTE(TRIM(C3776)," ",REPT(" ",255)),255))," ")</f>
        <v xml:space="preserve"> </v>
      </c>
      <c r="G3776" s="110">
        <f>COPY!Z3768</f>
        <v>0</v>
      </c>
      <c r="H3776" s="111" t="str">
        <f>IFERROR(VLOOKUP(Table1722[[#This Row],[Bukti]],'Un nOTA'!$A$4:$K$5003,10,FALSE),"")</f>
        <v/>
      </c>
      <c r="I3776" s="123" t="str">
        <f>IFERROR(VLOOKUP(Table1722[[#This Row],[Bukti]],Table13[#Data],11,FALSE),"")</f>
        <v/>
      </c>
    </row>
    <row r="3777" spans="1:9" hidden="1" x14ac:dyDescent="0.2">
      <c r="A3777" s="105" t="str">
        <f>IF(D3777=1,COUNTIF($D$10:D3777,1)," ")</f>
        <v xml:space="preserve"> </v>
      </c>
      <c r="B3777" s="106">
        <f>COPY!AR3769</f>
        <v>0</v>
      </c>
      <c r="C3777" s="107">
        <f>COPY!AC3769</f>
        <v>0</v>
      </c>
      <c r="D3777" s="107" t="str">
        <f>IF(LEN(Table1722[[#This Row],[Uraian]])&gt;2,1," ")</f>
        <v xml:space="preserve"> </v>
      </c>
      <c r="E3777" s="113" t="str">
        <f>IF(Table1722[[#This Row],[Lawan Transaksi]]="CV AGUNG KARYA",COUNTIF($I$10:I3777,"CV AGUNG KARYA")," ")</f>
        <v xml:space="preserve"> </v>
      </c>
      <c r="F3777" s="107" t="str">
        <f>IF(LEN(Table1722[[#This Row],[Uraian]])&gt;2,TRIM(RIGHT(SUBSTITUTE(TRIM(C3777)," ",REPT(" ",255)),255))," ")</f>
        <v xml:space="preserve"> </v>
      </c>
      <c r="G3777" s="110">
        <f>COPY!Z3769</f>
        <v>0</v>
      </c>
      <c r="H3777" s="111" t="str">
        <f>IFERROR(VLOOKUP(Table1722[[#This Row],[Bukti]],'Un nOTA'!$A$4:$K$5003,10,FALSE),"")</f>
        <v/>
      </c>
      <c r="I3777" s="123" t="str">
        <f>IFERROR(VLOOKUP(Table1722[[#This Row],[Bukti]],Table13[#Data],11,FALSE),"")</f>
        <v/>
      </c>
    </row>
    <row r="3778" spans="1:9" hidden="1" x14ac:dyDescent="0.2">
      <c r="A3778" s="105" t="str">
        <f>IF(D3778=1,COUNTIF($D$10:D3778,1)," ")</f>
        <v xml:space="preserve"> </v>
      </c>
      <c r="B3778" s="106">
        <f>COPY!AR3770</f>
        <v>0</v>
      </c>
      <c r="C3778" s="107">
        <f>COPY!AC3770</f>
        <v>0</v>
      </c>
      <c r="D3778" s="107" t="str">
        <f>IF(LEN(Table1722[[#This Row],[Uraian]])&gt;2,1," ")</f>
        <v xml:space="preserve"> </v>
      </c>
      <c r="E3778" s="113" t="str">
        <f>IF(Table1722[[#This Row],[Lawan Transaksi]]="CV AGUNG KARYA",COUNTIF($I$10:I3778,"CV AGUNG KARYA")," ")</f>
        <v xml:space="preserve"> </v>
      </c>
      <c r="F3778" s="107" t="str">
        <f>IF(LEN(Table1722[[#This Row],[Uraian]])&gt;2,TRIM(RIGHT(SUBSTITUTE(TRIM(C3778)," ",REPT(" ",255)),255))," ")</f>
        <v xml:space="preserve"> </v>
      </c>
      <c r="G3778" s="110">
        <f>COPY!Z3770</f>
        <v>0</v>
      </c>
      <c r="H3778" s="111" t="str">
        <f>IFERROR(VLOOKUP(Table1722[[#This Row],[Bukti]],'Un nOTA'!$A$4:$K$5003,10,FALSE),"")</f>
        <v/>
      </c>
      <c r="I3778" s="123" t="str">
        <f>IFERROR(VLOOKUP(Table1722[[#This Row],[Bukti]],Table13[#Data],11,FALSE),"")</f>
        <v/>
      </c>
    </row>
    <row r="3779" spans="1:9" hidden="1" x14ac:dyDescent="0.2">
      <c r="A3779" s="105" t="str">
        <f>IF(D3779=1,COUNTIF($D$10:D3779,1)," ")</f>
        <v xml:space="preserve"> </v>
      </c>
      <c r="B3779" s="106">
        <f>COPY!AR3771</f>
        <v>0</v>
      </c>
      <c r="C3779" s="107">
        <f>COPY!AC3771</f>
        <v>0</v>
      </c>
      <c r="D3779" s="107" t="str">
        <f>IF(LEN(Table1722[[#This Row],[Uraian]])&gt;2,1," ")</f>
        <v xml:space="preserve"> </v>
      </c>
      <c r="E3779" s="113" t="str">
        <f>IF(Table1722[[#This Row],[Lawan Transaksi]]="CV AGUNG KARYA",COUNTIF($I$10:I3779,"CV AGUNG KARYA")," ")</f>
        <v xml:space="preserve"> </v>
      </c>
      <c r="F3779" s="107" t="str">
        <f>IF(LEN(Table1722[[#This Row],[Uraian]])&gt;2,TRIM(RIGHT(SUBSTITUTE(TRIM(C3779)," ",REPT(" ",255)),255))," ")</f>
        <v xml:space="preserve"> </v>
      </c>
      <c r="G3779" s="110">
        <f>COPY!Z3771</f>
        <v>0</v>
      </c>
      <c r="H3779" s="111" t="str">
        <f>IFERROR(VLOOKUP(Table1722[[#This Row],[Bukti]],'Un nOTA'!$A$4:$K$5003,10,FALSE),"")</f>
        <v/>
      </c>
      <c r="I3779" s="123" t="str">
        <f>IFERROR(VLOOKUP(Table1722[[#This Row],[Bukti]],Table13[#Data],11,FALSE),"")</f>
        <v/>
      </c>
    </row>
    <row r="3780" spans="1:9" hidden="1" x14ac:dyDescent="0.2">
      <c r="A3780" s="105" t="str">
        <f>IF(D3780=1,COUNTIF($D$10:D3780,1)," ")</f>
        <v xml:space="preserve"> </v>
      </c>
      <c r="B3780" s="106">
        <f>COPY!AR3772</f>
        <v>0</v>
      </c>
      <c r="C3780" s="107">
        <f>COPY!AC3772</f>
        <v>0</v>
      </c>
      <c r="D3780" s="107" t="str">
        <f>IF(LEN(Table1722[[#This Row],[Uraian]])&gt;2,1," ")</f>
        <v xml:space="preserve"> </v>
      </c>
      <c r="E3780" s="113" t="str">
        <f>IF(Table1722[[#This Row],[Lawan Transaksi]]="CV AGUNG KARYA",COUNTIF($I$10:I3780,"CV AGUNG KARYA")," ")</f>
        <v xml:space="preserve"> </v>
      </c>
      <c r="F3780" s="107" t="str">
        <f>IF(LEN(Table1722[[#This Row],[Uraian]])&gt;2,TRIM(RIGHT(SUBSTITUTE(TRIM(C3780)," ",REPT(" ",255)),255))," ")</f>
        <v xml:space="preserve"> </v>
      </c>
      <c r="G3780" s="110">
        <f>COPY!Z3772</f>
        <v>0</v>
      </c>
      <c r="H3780" s="111" t="str">
        <f>IFERROR(VLOOKUP(Table1722[[#This Row],[Bukti]],'Un nOTA'!$A$4:$K$5003,10,FALSE),"")</f>
        <v/>
      </c>
      <c r="I3780" s="123" t="str">
        <f>IFERROR(VLOOKUP(Table1722[[#This Row],[Bukti]],Table13[#Data],11,FALSE),"")</f>
        <v/>
      </c>
    </row>
    <row r="3781" spans="1:9" hidden="1" x14ac:dyDescent="0.2">
      <c r="A3781" s="105" t="str">
        <f>IF(D3781=1,COUNTIF($D$10:D3781,1)," ")</f>
        <v xml:space="preserve"> </v>
      </c>
      <c r="B3781" s="106">
        <f>COPY!AR3773</f>
        <v>0</v>
      </c>
      <c r="C3781" s="107">
        <f>COPY!AC3773</f>
        <v>0</v>
      </c>
      <c r="D3781" s="107" t="str">
        <f>IF(LEN(Table1722[[#This Row],[Uraian]])&gt;2,1," ")</f>
        <v xml:space="preserve"> </v>
      </c>
      <c r="E3781" s="113" t="str">
        <f>IF(Table1722[[#This Row],[Lawan Transaksi]]="CV AGUNG KARYA",COUNTIF($I$10:I3781,"CV AGUNG KARYA")," ")</f>
        <v xml:space="preserve"> </v>
      </c>
      <c r="F3781" s="107" t="str">
        <f>IF(LEN(Table1722[[#This Row],[Uraian]])&gt;2,TRIM(RIGHT(SUBSTITUTE(TRIM(C3781)," ",REPT(" ",255)),255))," ")</f>
        <v xml:space="preserve"> </v>
      </c>
      <c r="G3781" s="110">
        <f>COPY!Z3773</f>
        <v>0</v>
      </c>
      <c r="H3781" s="111" t="str">
        <f>IFERROR(VLOOKUP(Table1722[[#This Row],[Bukti]],'Un nOTA'!$A$4:$K$5003,10,FALSE),"")</f>
        <v/>
      </c>
      <c r="I3781" s="123" t="str">
        <f>IFERROR(VLOOKUP(Table1722[[#This Row],[Bukti]],Table13[#Data],11,FALSE),"")</f>
        <v/>
      </c>
    </row>
    <row r="3782" spans="1:9" hidden="1" x14ac:dyDescent="0.2">
      <c r="A3782" s="105" t="str">
        <f>IF(D3782=1,COUNTIF($D$10:D3782,1)," ")</f>
        <v xml:space="preserve"> </v>
      </c>
      <c r="B3782" s="106">
        <f>COPY!AR3774</f>
        <v>0</v>
      </c>
      <c r="C3782" s="107">
        <f>COPY!AC3774</f>
        <v>0</v>
      </c>
      <c r="D3782" s="107" t="str">
        <f>IF(LEN(Table1722[[#This Row],[Uraian]])&gt;2,1," ")</f>
        <v xml:space="preserve"> </v>
      </c>
      <c r="E3782" s="113" t="str">
        <f>IF(Table1722[[#This Row],[Lawan Transaksi]]="CV AGUNG KARYA",COUNTIF($I$10:I3782,"CV AGUNG KARYA")," ")</f>
        <v xml:space="preserve"> </v>
      </c>
      <c r="F3782" s="107" t="str">
        <f>IF(LEN(Table1722[[#This Row],[Uraian]])&gt;2,TRIM(RIGHT(SUBSTITUTE(TRIM(C3782)," ",REPT(" ",255)),255))," ")</f>
        <v xml:space="preserve"> </v>
      </c>
      <c r="G3782" s="110">
        <f>COPY!Z3774</f>
        <v>0</v>
      </c>
      <c r="H3782" s="111" t="str">
        <f>IFERROR(VLOOKUP(Table1722[[#This Row],[Bukti]],'Un nOTA'!$A$4:$K$5003,10,FALSE),"")</f>
        <v/>
      </c>
      <c r="I3782" s="123" t="str">
        <f>IFERROR(VLOOKUP(Table1722[[#This Row],[Bukti]],Table13[#Data],11,FALSE),"")</f>
        <v/>
      </c>
    </row>
    <row r="3783" spans="1:9" hidden="1" x14ac:dyDescent="0.2">
      <c r="A3783" s="105" t="str">
        <f>IF(D3783=1,COUNTIF($D$10:D3783,1)," ")</f>
        <v xml:space="preserve"> </v>
      </c>
      <c r="B3783" s="106">
        <f>COPY!AR3775</f>
        <v>0</v>
      </c>
      <c r="C3783" s="107">
        <f>COPY!AC3775</f>
        <v>0</v>
      </c>
      <c r="D3783" s="107" t="str">
        <f>IF(LEN(Table1722[[#This Row],[Uraian]])&gt;2,1," ")</f>
        <v xml:space="preserve"> </v>
      </c>
      <c r="E3783" s="113" t="str">
        <f>IF(Table1722[[#This Row],[Lawan Transaksi]]="CV AGUNG KARYA",COUNTIF($I$10:I3783,"CV AGUNG KARYA")," ")</f>
        <v xml:space="preserve"> </v>
      </c>
      <c r="F3783" s="107" t="str">
        <f>IF(LEN(Table1722[[#This Row],[Uraian]])&gt;2,TRIM(RIGHT(SUBSTITUTE(TRIM(C3783)," ",REPT(" ",255)),255))," ")</f>
        <v xml:space="preserve"> </v>
      </c>
      <c r="G3783" s="110">
        <f>COPY!Z3775</f>
        <v>0</v>
      </c>
      <c r="H3783" s="111" t="str">
        <f>IFERROR(VLOOKUP(Table1722[[#This Row],[Bukti]],'Un nOTA'!$A$4:$K$5003,10,FALSE),"")</f>
        <v/>
      </c>
      <c r="I3783" s="123" t="str">
        <f>IFERROR(VLOOKUP(Table1722[[#This Row],[Bukti]],Table13[#Data],11,FALSE),"")</f>
        <v/>
      </c>
    </row>
    <row r="3784" spans="1:9" hidden="1" x14ac:dyDescent="0.2">
      <c r="A3784" s="105" t="str">
        <f>IF(D3784=1,COUNTIF($D$10:D3784,1)," ")</f>
        <v xml:space="preserve"> </v>
      </c>
      <c r="B3784" s="106">
        <f>COPY!AR3776</f>
        <v>0</v>
      </c>
      <c r="C3784" s="107">
        <f>COPY!AC3776</f>
        <v>0</v>
      </c>
      <c r="D3784" s="107" t="str">
        <f>IF(LEN(Table1722[[#This Row],[Uraian]])&gt;2,1," ")</f>
        <v xml:space="preserve"> </v>
      </c>
      <c r="E3784" s="113" t="str">
        <f>IF(Table1722[[#This Row],[Lawan Transaksi]]="CV AGUNG KARYA",COUNTIF($I$10:I3784,"CV AGUNG KARYA")," ")</f>
        <v xml:space="preserve"> </v>
      </c>
      <c r="F3784" s="107" t="str">
        <f>IF(LEN(Table1722[[#This Row],[Uraian]])&gt;2,TRIM(RIGHT(SUBSTITUTE(TRIM(C3784)," ",REPT(" ",255)),255))," ")</f>
        <v xml:space="preserve"> </v>
      </c>
      <c r="G3784" s="110">
        <f>COPY!Z3776</f>
        <v>0</v>
      </c>
      <c r="H3784" s="111" t="str">
        <f>IFERROR(VLOOKUP(Table1722[[#This Row],[Bukti]],'Un nOTA'!$A$4:$K$5003,10,FALSE),"")</f>
        <v/>
      </c>
      <c r="I3784" s="123" t="str">
        <f>IFERROR(VLOOKUP(Table1722[[#This Row],[Bukti]],Table13[#Data],11,FALSE),"")</f>
        <v/>
      </c>
    </row>
    <row r="3785" spans="1:9" hidden="1" x14ac:dyDescent="0.2">
      <c r="A3785" s="105" t="str">
        <f>IF(D3785=1,COUNTIF($D$10:D3785,1)," ")</f>
        <v xml:space="preserve"> </v>
      </c>
      <c r="B3785" s="106">
        <f>COPY!AR3777</f>
        <v>0</v>
      </c>
      <c r="C3785" s="107">
        <f>COPY!AC3777</f>
        <v>0</v>
      </c>
      <c r="D3785" s="107" t="str">
        <f>IF(LEN(Table1722[[#This Row],[Uraian]])&gt;2,1," ")</f>
        <v xml:space="preserve"> </v>
      </c>
      <c r="E3785" s="113" t="str">
        <f>IF(Table1722[[#This Row],[Lawan Transaksi]]="CV AGUNG KARYA",COUNTIF($I$10:I3785,"CV AGUNG KARYA")," ")</f>
        <v xml:space="preserve"> </v>
      </c>
      <c r="F3785" s="107" t="str">
        <f>IF(LEN(Table1722[[#This Row],[Uraian]])&gt;2,TRIM(RIGHT(SUBSTITUTE(TRIM(C3785)," ",REPT(" ",255)),255))," ")</f>
        <v xml:space="preserve"> </v>
      </c>
      <c r="G3785" s="110">
        <f>COPY!Z3777</f>
        <v>0</v>
      </c>
      <c r="H3785" s="111" t="str">
        <f>IFERROR(VLOOKUP(Table1722[[#This Row],[Bukti]],'Un nOTA'!$A$4:$K$5003,10,FALSE),"")</f>
        <v/>
      </c>
      <c r="I3785" s="123" t="str">
        <f>IFERROR(VLOOKUP(Table1722[[#This Row],[Bukti]],Table13[#Data],11,FALSE),"")</f>
        <v/>
      </c>
    </row>
    <row r="3786" spans="1:9" hidden="1" x14ac:dyDescent="0.2">
      <c r="A3786" s="105" t="str">
        <f>IF(D3786=1,COUNTIF($D$10:D3786,1)," ")</f>
        <v xml:space="preserve"> </v>
      </c>
      <c r="B3786" s="106">
        <f>COPY!AR3778</f>
        <v>0</v>
      </c>
      <c r="C3786" s="107">
        <f>COPY!AC3778</f>
        <v>0</v>
      </c>
      <c r="D3786" s="107" t="str">
        <f>IF(LEN(Table1722[[#This Row],[Uraian]])&gt;2,1," ")</f>
        <v xml:space="preserve"> </v>
      </c>
      <c r="E3786" s="113" t="str">
        <f>IF(Table1722[[#This Row],[Lawan Transaksi]]="CV AGUNG KARYA",COUNTIF($I$10:I3786,"CV AGUNG KARYA")," ")</f>
        <v xml:space="preserve"> </v>
      </c>
      <c r="F3786" s="107" t="str">
        <f>IF(LEN(Table1722[[#This Row],[Uraian]])&gt;2,TRIM(RIGHT(SUBSTITUTE(TRIM(C3786)," ",REPT(" ",255)),255))," ")</f>
        <v xml:space="preserve"> </v>
      </c>
      <c r="G3786" s="110">
        <f>COPY!Z3778</f>
        <v>0</v>
      </c>
      <c r="H3786" s="111" t="str">
        <f>IFERROR(VLOOKUP(Table1722[[#This Row],[Bukti]],'Un nOTA'!$A$4:$K$5003,10,FALSE),"")</f>
        <v/>
      </c>
      <c r="I3786" s="123" t="str">
        <f>IFERROR(VLOOKUP(Table1722[[#This Row],[Bukti]],Table13[#Data],11,FALSE),"")</f>
        <v/>
      </c>
    </row>
    <row r="3787" spans="1:9" hidden="1" x14ac:dyDescent="0.2">
      <c r="A3787" s="105" t="str">
        <f>IF(D3787=1,COUNTIF($D$10:D3787,1)," ")</f>
        <v xml:space="preserve"> </v>
      </c>
      <c r="B3787" s="106">
        <f>COPY!AR3779</f>
        <v>0</v>
      </c>
      <c r="C3787" s="107">
        <f>COPY!AC3779</f>
        <v>0</v>
      </c>
      <c r="D3787" s="107" t="str">
        <f>IF(LEN(Table1722[[#This Row],[Uraian]])&gt;2,1," ")</f>
        <v xml:space="preserve"> </v>
      </c>
      <c r="E3787" s="113" t="str">
        <f>IF(Table1722[[#This Row],[Lawan Transaksi]]="CV AGUNG KARYA",COUNTIF($I$10:I3787,"CV AGUNG KARYA")," ")</f>
        <v xml:space="preserve"> </v>
      </c>
      <c r="F3787" s="107" t="str">
        <f>IF(LEN(Table1722[[#This Row],[Uraian]])&gt;2,TRIM(RIGHT(SUBSTITUTE(TRIM(C3787)," ",REPT(" ",255)),255))," ")</f>
        <v xml:space="preserve"> </v>
      </c>
      <c r="G3787" s="110">
        <f>COPY!Z3779</f>
        <v>0</v>
      </c>
      <c r="H3787" s="111" t="str">
        <f>IFERROR(VLOOKUP(Table1722[[#This Row],[Bukti]],'Un nOTA'!$A$4:$K$5003,10,FALSE),"")</f>
        <v/>
      </c>
      <c r="I3787" s="123" t="str">
        <f>IFERROR(VLOOKUP(Table1722[[#This Row],[Bukti]],Table13[#Data],11,FALSE),"")</f>
        <v/>
      </c>
    </row>
    <row r="3788" spans="1:9" hidden="1" x14ac:dyDescent="0.2">
      <c r="A3788" s="105" t="str">
        <f>IF(D3788=1,COUNTIF($D$10:D3788,1)," ")</f>
        <v xml:space="preserve"> </v>
      </c>
      <c r="B3788" s="106">
        <f>COPY!AR3780</f>
        <v>0</v>
      </c>
      <c r="C3788" s="107">
        <f>COPY!AC3780</f>
        <v>0</v>
      </c>
      <c r="D3788" s="107" t="str">
        <f>IF(LEN(Table1722[[#This Row],[Uraian]])&gt;2,1," ")</f>
        <v xml:space="preserve"> </v>
      </c>
      <c r="E3788" s="113" t="str">
        <f>IF(Table1722[[#This Row],[Lawan Transaksi]]="CV AGUNG KARYA",COUNTIF($I$10:I3788,"CV AGUNG KARYA")," ")</f>
        <v xml:space="preserve"> </v>
      </c>
      <c r="F3788" s="107" t="str">
        <f>IF(LEN(Table1722[[#This Row],[Uraian]])&gt;2,TRIM(RIGHT(SUBSTITUTE(TRIM(C3788)," ",REPT(" ",255)),255))," ")</f>
        <v xml:space="preserve"> </v>
      </c>
      <c r="G3788" s="110">
        <f>COPY!Z3780</f>
        <v>0</v>
      </c>
      <c r="H3788" s="111" t="str">
        <f>IFERROR(VLOOKUP(Table1722[[#This Row],[Bukti]],'Un nOTA'!$A$4:$K$5003,10,FALSE),"")</f>
        <v/>
      </c>
      <c r="I3788" s="123" t="str">
        <f>IFERROR(VLOOKUP(Table1722[[#This Row],[Bukti]],Table13[#Data],11,FALSE),"")</f>
        <v/>
      </c>
    </row>
    <row r="3789" spans="1:9" hidden="1" x14ac:dyDescent="0.2">
      <c r="A3789" s="105" t="str">
        <f>IF(D3789=1,COUNTIF($D$10:D3789,1)," ")</f>
        <v xml:space="preserve"> </v>
      </c>
      <c r="B3789" s="106">
        <f>COPY!AR3781</f>
        <v>0</v>
      </c>
      <c r="C3789" s="107">
        <f>COPY!AC3781</f>
        <v>0</v>
      </c>
      <c r="D3789" s="107" t="str">
        <f>IF(LEN(Table1722[[#This Row],[Uraian]])&gt;2,1," ")</f>
        <v xml:space="preserve"> </v>
      </c>
      <c r="E3789" s="113" t="str">
        <f>IF(Table1722[[#This Row],[Lawan Transaksi]]="CV AGUNG KARYA",COUNTIF($I$10:I3789,"CV AGUNG KARYA")," ")</f>
        <v xml:space="preserve"> </v>
      </c>
      <c r="F3789" s="107" t="str">
        <f>IF(LEN(Table1722[[#This Row],[Uraian]])&gt;2,TRIM(RIGHT(SUBSTITUTE(TRIM(C3789)," ",REPT(" ",255)),255))," ")</f>
        <v xml:space="preserve"> </v>
      </c>
      <c r="G3789" s="110">
        <f>COPY!Z3781</f>
        <v>0</v>
      </c>
      <c r="H3789" s="111" t="str">
        <f>IFERROR(VLOOKUP(Table1722[[#This Row],[Bukti]],'Un nOTA'!$A$4:$K$5003,10,FALSE),"")</f>
        <v/>
      </c>
      <c r="I3789" s="123" t="str">
        <f>IFERROR(VLOOKUP(Table1722[[#This Row],[Bukti]],Table13[#Data],11,FALSE),"")</f>
        <v/>
      </c>
    </row>
    <row r="3790" spans="1:9" hidden="1" x14ac:dyDescent="0.2">
      <c r="A3790" s="105" t="str">
        <f>IF(D3790=1,COUNTIF($D$10:D3790,1)," ")</f>
        <v xml:space="preserve"> </v>
      </c>
      <c r="B3790" s="106">
        <f>COPY!AR3782</f>
        <v>0</v>
      </c>
      <c r="C3790" s="107">
        <f>COPY!AC3782</f>
        <v>0</v>
      </c>
      <c r="D3790" s="107" t="str">
        <f>IF(LEN(Table1722[[#This Row],[Uraian]])&gt;2,1," ")</f>
        <v xml:space="preserve"> </v>
      </c>
      <c r="E3790" s="113" t="str">
        <f>IF(Table1722[[#This Row],[Lawan Transaksi]]="CV AGUNG KARYA",COUNTIF($I$10:I3790,"CV AGUNG KARYA")," ")</f>
        <v xml:space="preserve"> </v>
      </c>
      <c r="F3790" s="107" t="str">
        <f>IF(LEN(Table1722[[#This Row],[Uraian]])&gt;2,TRIM(RIGHT(SUBSTITUTE(TRIM(C3790)," ",REPT(" ",255)),255))," ")</f>
        <v xml:space="preserve"> </v>
      </c>
      <c r="G3790" s="110">
        <f>COPY!Z3782</f>
        <v>0</v>
      </c>
      <c r="H3790" s="111" t="str">
        <f>IFERROR(VLOOKUP(Table1722[[#This Row],[Bukti]],'Un nOTA'!$A$4:$K$5003,10,FALSE),"")</f>
        <v/>
      </c>
      <c r="I3790" s="123" t="str">
        <f>IFERROR(VLOOKUP(Table1722[[#This Row],[Bukti]],Table13[#Data],11,FALSE),"")</f>
        <v/>
      </c>
    </row>
    <row r="3791" spans="1:9" hidden="1" x14ac:dyDescent="0.2">
      <c r="A3791" s="105" t="str">
        <f>IF(D3791=1,COUNTIF($D$10:D3791,1)," ")</f>
        <v xml:space="preserve"> </v>
      </c>
      <c r="B3791" s="106">
        <f>COPY!AR3783</f>
        <v>0</v>
      </c>
      <c r="C3791" s="107">
        <f>COPY!AC3783</f>
        <v>0</v>
      </c>
      <c r="D3791" s="107" t="str">
        <f>IF(LEN(Table1722[[#This Row],[Uraian]])&gt;2,1," ")</f>
        <v xml:space="preserve"> </v>
      </c>
      <c r="E3791" s="113" t="str">
        <f>IF(Table1722[[#This Row],[Lawan Transaksi]]="CV AGUNG KARYA",COUNTIF($I$10:I3791,"CV AGUNG KARYA")," ")</f>
        <v xml:space="preserve"> </v>
      </c>
      <c r="F3791" s="107" t="str">
        <f>IF(LEN(Table1722[[#This Row],[Uraian]])&gt;2,TRIM(RIGHT(SUBSTITUTE(TRIM(C3791)," ",REPT(" ",255)),255))," ")</f>
        <v xml:space="preserve"> </v>
      </c>
      <c r="G3791" s="110">
        <f>COPY!Z3783</f>
        <v>0</v>
      </c>
      <c r="H3791" s="111" t="str">
        <f>IFERROR(VLOOKUP(Table1722[[#This Row],[Bukti]],'Un nOTA'!$A$4:$K$5003,10,FALSE),"")</f>
        <v/>
      </c>
      <c r="I3791" s="123" t="str">
        <f>IFERROR(VLOOKUP(Table1722[[#This Row],[Bukti]],Table13[#Data],11,FALSE),"")</f>
        <v/>
      </c>
    </row>
    <row r="3792" spans="1:9" hidden="1" x14ac:dyDescent="0.2">
      <c r="A3792" s="105" t="str">
        <f>IF(D3792=1,COUNTIF($D$10:D3792,1)," ")</f>
        <v xml:space="preserve"> </v>
      </c>
      <c r="B3792" s="106">
        <f>COPY!AR3784</f>
        <v>0</v>
      </c>
      <c r="C3792" s="107">
        <f>COPY!AC3784</f>
        <v>0</v>
      </c>
      <c r="D3792" s="107" t="str">
        <f>IF(LEN(Table1722[[#This Row],[Uraian]])&gt;2,1," ")</f>
        <v xml:space="preserve"> </v>
      </c>
      <c r="E3792" s="113" t="str">
        <f>IF(Table1722[[#This Row],[Lawan Transaksi]]="CV AGUNG KARYA",COUNTIF($I$10:I3792,"CV AGUNG KARYA")," ")</f>
        <v xml:space="preserve"> </v>
      </c>
      <c r="F3792" s="107" t="str">
        <f>IF(LEN(Table1722[[#This Row],[Uraian]])&gt;2,TRIM(RIGHT(SUBSTITUTE(TRIM(C3792)," ",REPT(" ",255)),255))," ")</f>
        <v xml:space="preserve"> </v>
      </c>
      <c r="G3792" s="110">
        <f>COPY!Z3784</f>
        <v>0</v>
      </c>
      <c r="H3792" s="111" t="str">
        <f>IFERROR(VLOOKUP(Table1722[[#This Row],[Bukti]],'Un nOTA'!$A$4:$K$5003,10,FALSE),"")</f>
        <v/>
      </c>
      <c r="I3792" s="123" t="str">
        <f>IFERROR(VLOOKUP(Table1722[[#This Row],[Bukti]],Table13[#Data],11,FALSE),"")</f>
        <v/>
      </c>
    </row>
    <row r="3793" spans="1:9" hidden="1" x14ac:dyDescent="0.2">
      <c r="A3793" s="105" t="str">
        <f>IF(D3793=1,COUNTIF($D$10:D3793,1)," ")</f>
        <v xml:space="preserve"> </v>
      </c>
      <c r="B3793" s="106">
        <f>COPY!AR3785</f>
        <v>0</v>
      </c>
      <c r="C3793" s="107">
        <f>COPY!AC3785</f>
        <v>0</v>
      </c>
      <c r="D3793" s="107" t="str">
        <f>IF(LEN(Table1722[[#This Row],[Uraian]])&gt;2,1," ")</f>
        <v xml:space="preserve"> </v>
      </c>
      <c r="E3793" s="113" t="str">
        <f>IF(Table1722[[#This Row],[Lawan Transaksi]]="CV AGUNG KARYA",COUNTIF($I$10:I3793,"CV AGUNG KARYA")," ")</f>
        <v xml:space="preserve"> </v>
      </c>
      <c r="F3793" s="107" t="str">
        <f>IF(LEN(Table1722[[#This Row],[Uraian]])&gt;2,TRIM(RIGHT(SUBSTITUTE(TRIM(C3793)," ",REPT(" ",255)),255))," ")</f>
        <v xml:space="preserve"> </v>
      </c>
      <c r="G3793" s="110">
        <f>COPY!Z3785</f>
        <v>0</v>
      </c>
      <c r="H3793" s="111" t="str">
        <f>IFERROR(VLOOKUP(Table1722[[#This Row],[Bukti]],'Un nOTA'!$A$4:$K$5003,10,FALSE),"")</f>
        <v/>
      </c>
      <c r="I3793" s="123" t="str">
        <f>IFERROR(VLOOKUP(Table1722[[#This Row],[Bukti]],Table13[#Data],11,FALSE),"")</f>
        <v/>
      </c>
    </row>
    <row r="3794" spans="1:9" hidden="1" x14ac:dyDescent="0.2">
      <c r="A3794" s="105" t="str">
        <f>IF(D3794=1,COUNTIF($D$10:D3794,1)," ")</f>
        <v xml:space="preserve"> </v>
      </c>
      <c r="B3794" s="106">
        <f>COPY!AR3786</f>
        <v>0</v>
      </c>
      <c r="C3794" s="107">
        <f>COPY!AC3786</f>
        <v>0</v>
      </c>
      <c r="D3794" s="107" t="str">
        <f>IF(LEN(Table1722[[#This Row],[Uraian]])&gt;2,1," ")</f>
        <v xml:space="preserve"> </v>
      </c>
      <c r="E3794" s="113" t="str">
        <f>IF(Table1722[[#This Row],[Lawan Transaksi]]="CV AGUNG KARYA",COUNTIF($I$10:I3794,"CV AGUNG KARYA")," ")</f>
        <v xml:space="preserve"> </v>
      </c>
      <c r="F3794" s="107" t="str">
        <f>IF(LEN(Table1722[[#This Row],[Uraian]])&gt;2,TRIM(RIGHT(SUBSTITUTE(TRIM(C3794)," ",REPT(" ",255)),255))," ")</f>
        <v xml:space="preserve"> </v>
      </c>
      <c r="G3794" s="110">
        <f>COPY!Z3786</f>
        <v>0</v>
      </c>
      <c r="H3794" s="111" t="str">
        <f>IFERROR(VLOOKUP(Table1722[[#This Row],[Bukti]],'Un nOTA'!$A$4:$K$5003,10,FALSE),"")</f>
        <v/>
      </c>
      <c r="I3794" s="123" t="str">
        <f>IFERROR(VLOOKUP(Table1722[[#This Row],[Bukti]],Table13[#Data],11,FALSE),"")</f>
        <v/>
      </c>
    </row>
    <row r="3795" spans="1:9" hidden="1" x14ac:dyDescent="0.2">
      <c r="A3795" s="105" t="str">
        <f>IF(D3795=1,COUNTIF($D$10:D3795,1)," ")</f>
        <v xml:space="preserve"> </v>
      </c>
      <c r="B3795" s="106">
        <f>COPY!AR3787</f>
        <v>0</v>
      </c>
      <c r="C3795" s="107">
        <f>COPY!AC3787</f>
        <v>0</v>
      </c>
      <c r="D3795" s="107" t="str">
        <f>IF(LEN(Table1722[[#This Row],[Uraian]])&gt;2,1," ")</f>
        <v xml:space="preserve"> </v>
      </c>
      <c r="E3795" s="113" t="str">
        <f>IF(Table1722[[#This Row],[Lawan Transaksi]]="CV AGUNG KARYA",COUNTIF($I$10:I3795,"CV AGUNG KARYA")," ")</f>
        <v xml:space="preserve"> </v>
      </c>
      <c r="F3795" s="107" t="str">
        <f>IF(LEN(Table1722[[#This Row],[Uraian]])&gt;2,TRIM(RIGHT(SUBSTITUTE(TRIM(C3795)," ",REPT(" ",255)),255))," ")</f>
        <v xml:space="preserve"> </v>
      </c>
      <c r="G3795" s="110">
        <f>COPY!Z3787</f>
        <v>0</v>
      </c>
      <c r="H3795" s="111" t="str">
        <f>IFERROR(VLOOKUP(Table1722[[#This Row],[Bukti]],'Un nOTA'!$A$4:$K$5003,10,FALSE),"")</f>
        <v/>
      </c>
      <c r="I3795" s="123" t="str">
        <f>IFERROR(VLOOKUP(Table1722[[#This Row],[Bukti]],Table13[#Data],11,FALSE),"")</f>
        <v/>
      </c>
    </row>
    <row r="3796" spans="1:9" hidden="1" x14ac:dyDescent="0.2">
      <c r="A3796" s="105" t="str">
        <f>IF(D3796=1,COUNTIF($D$10:D3796,1)," ")</f>
        <v xml:space="preserve"> </v>
      </c>
      <c r="B3796" s="106">
        <f>COPY!AR3788</f>
        <v>0</v>
      </c>
      <c r="C3796" s="107">
        <f>COPY!AC3788</f>
        <v>0</v>
      </c>
      <c r="D3796" s="107" t="str">
        <f>IF(LEN(Table1722[[#This Row],[Uraian]])&gt;2,1," ")</f>
        <v xml:space="preserve"> </v>
      </c>
      <c r="E3796" s="113" t="str">
        <f>IF(Table1722[[#This Row],[Lawan Transaksi]]="CV AGUNG KARYA",COUNTIF($I$10:I3796,"CV AGUNG KARYA")," ")</f>
        <v xml:space="preserve"> </v>
      </c>
      <c r="F3796" s="107" t="str">
        <f>IF(LEN(Table1722[[#This Row],[Uraian]])&gt;2,TRIM(RIGHT(SUBSTITUTE(TRIM(C3796)," ",REPT(" ",255)),255))," ")</f>
        <v xml:space="preserve"> </v>
      </c>
      <c r="G3796" s="110">
        <f>COPY!Z3788</f>
        <v>0</v>
      </c>
      <c r="H3796" s="111" t="str">
        <f>IFERROR(VLOOKUP(Table1722[[#This Row],[Bukti]],'Un nOTA'!$A$4:$K$5003,10,FALSE),"")</f>
        <v/>
      </c>
      <c r="I3796" s="123" t="str">
        <f>IFERROR(VLOOKUP(Table1722[[#This Row],[Bukti]],Table13[#Data],11,FALSE),"")</f>
        <v/>
      </c>
    </row>
    <row r="3797" spans="1:9" hidden="1" x14ac:dyDescent="0.2">
      <c r="A3797" s="105" t="str">
        <f>IF(D3797=1,COUNTIF($D$10:D3797,1)," ")</f>
        <v xml:space="preserve"> </v>
      </c>
      <c r="B3797" s="106">
        <f>COPY!AR3789</f>
        <v>0</v>
      </c>
      <c r="C3797" s="107">
        <f>COPY!AC3789</f>
        <v>0</v>
      </c>
      <c r="D3797" s="107" t="str">
        <f>IF(LEN(Table1722[[#This Row],[Uraian]])&gt;2,1," ")</f>
        <v xml:space="preserve"> </v>
      </c>
      <c r="E3797" s="113" t="str">
        <f>IF(Table1722[[#This Row],[Lawan Transaksi]]="CV AGUNG KARYA",COUNTIF($I$10:I3797,"CV AGUNG KARYA")," ")</f>
        <v xml:space="preserve"> </v>
      </c>
      <c r="F3797" s="107" t="str">
        <f>IF(LEN(Table1722[[#This Row],[Uraian]])&gt;2,TRIM(RIGHT(SUBSTITUTE(TRIM(C3797)," ",REPT(" ",255)),255))," ")</f>
        <v xml:space="preserve"> </v>
      </c>
      <c r="G3797" s="110">
        <f>COPY!Z3789</f>
        <v>0</v>
      </c>
      <c r="H3797" s="111" t="str">
        <f>IFERROR(VLOOKUP(Table1722[[#This Row],[Bukti]],'Un nOTA'!$A$4:$K$5003,10,FALSE),"")</f>
        <v/>
      </c>
      <c r="I3797" s="123" t="str">
        <f>IFERROR(VLOOKUP(Table1722[[#This Row],[Bukti]],Table13[#Data],11,FALSE),"")</f>
        <v/>
      </c>
    </row>
    <row r="3798" spans="1:9" hidden="1" x14ac:dyDescent="0.2">
      <c r="A3798" s="105" t="str">
        <f>IF(D3798=1,COUNTIF($D$10:D3798,1)," ")</f>
        <v xml:space="preserve"> </v>
      </c>
      <c r="B3798" s="106">
        <f>COPY!AR3790</f>
        <v>0</v>
      </c>
      <c r="C3798" s="107">
        <f>COPY!AC3790</f>
        <v>0</v>
      </c>
      <c r="D3798" s="107" t="str">
        <f>IF(LEN(Table1722[[#This Row],[Uraian]])&gt;2,1," ")</f>
        <v xml:space="preserve"> </v>
      </c>
      <c r="E3798" s="113" t="str">
        <f>IF(Table1722[[#This Row],[Lawan Transaksi]]="CV AGUNG KARYA",COUNTIF($I$10:I3798,"CV AGUNG KARYA")," ")</f>
        <v xml:space="preserve"> </v>
      </c>
      <c r="F3798" s="107" t="str">
        <f>IF(LEN(Table1722[[#This Row],[Uraian]])&gt;2,TRIM(RIGHT(SUBSTITUTE(TRIM(C3798)," ",REPT(" ",255)),255))," ")</f>
        <v xml:space="preserve"> </v>
      </c>
      <c r="G3798" s="110">
        <f>COPY!Z3790</f>
        <v>0</v>
      </c>
      <c r="H3798" s="111" t="str">
        <f>IFERROR(VLOOKUP(Table1722[[#This Row],[Bukti]],'Un nOTA'!$A$4:$K$5003,10,FALSE),"")</f>
        <v/>
      </c>
      <c r="I3798" s="123" t="str">
        <f>IFERROR(VLOOKUP(Table1722[[#This Row],[Bukti]],Table13[#Data],11,FALSE),"")</f>
        <v/>
      </c>
    </row>
    <row r="3799" spans="1:9" hidden="1" x14ac:dyDescent="0.2">
      <c r="A3799" s="105" t="str">
        <f>IF(D3799=1,COUNTIF($D$10:D3799,1)," ")</f>
        <v xml:space="preserve"> </v>
      </c>
      <c r="B3799" s="106">
        <f>COPY!AR3791</f>
        <v>0</v>
      </c>
      <c r="C3799" s="107">
        <f>COPY!AC3791</f>
        <v>0</v>
      </c>
      <c r="D3799" s="107" t="str">
        <f>IF(LEN(Table1722[[#This Row],[Uraian]])&gt;2,1," ")</f>
        <v xml:space="preserve"> </v>
      </c>
      <c r="E3799" s="113" t="str">
        <f>IF(Table1722[[#This Row],[Lawan Transaksi]]="CV AGUNG KARYA",COUNTIF($I$10:I3799,"CV AGUNG KARYA")," ")</f>
        <v xml:space="preserve"> </v>
      </c>
      <c r="F3799" s="107" t="str">
        <f>IF(LEN(Table1722[[#This Row],[Uraian]])&gt;2,TRIM(RIGHT(SUBSTITUTE(TRIM(C3799)," ",REPT(" ",255)),255))," ")</f>
        <v xml:space="preserve"> </v>
      </c>
      <c r="G3799" s="110">
        <f>COPY!Z3791</f>
        <v>0</v>
      </c>
      <c r="H3799" s="111" t="str">
        <f>IFERROR(VLOOKUP(Table1722[[#This Row],[Bukti]],'Un nOTA'!$A$4:$K$5003,10,FALSE),"")</f>
        <v/>
      </c>
      <c r="I3799" s="123" t="str">
        <f>IFERROR(VLOOKUP(Table1722[[#This Row],[Bukti]],Table13[#Data],11,FALSE),"")</f>
        <v/>
      </c>
    </row>
    <row r="3800" spans="1:9" hidden="1" x14ac:dyDescent="0.2">
      <c r="A3800" s="105" t="str">
        <f>IF(D3800=1,COUNTIF($D$10:D3800,1)," ")</f>
        <v xml:space="preserve"> </v>
      </c>
      <c r="B3800" s="106">
        <f>COPY!AR3792</f>
        <v>0</v>
      </c>
      <c r="C3800" s="107">
        <f>COPY!AC3792</f>
        <v>0</v>
      </c>
      <c r="D3800" s="107" t="str">
        <f>IF(LEN(Table1722[[#This Row],[Uraian]])&gt;2,1," ")</f>
        <v xml:space="preserve"> </v>
      </c>
      <c r="E3800" s="113" t="str">
        <f>IF(Table1722[[#This Row],[Lawan Transaksi]]="CV AGUNG KARYA",COUNTIF($I$10:I3800,"CV AGUNG KARYA")," ")</f>
        <v xml:space="preserve"> </v>
      </c>
      <c r="F3800" s="107" t="str">
        <f>IF(LEN(Table1722[[#This Row],[Uraian]])&gt;2,TRIM(RIGHT(SUBSTITUTE(TRIM(C3800)," ",REPT(" ",255)),255))," ")</f>
        <v xml:space="preserve"> </v>
      </c>
      <c r="G3800" s="110">
        <f>COPY!Z3792</f>
        <v>0</v>
      </c>
      <c r="H3800" s="111" t="str">
        <f>IFERROR(VLOOKUP(Table1722[[#This Row],[Bukti]],'Un nOTA'!$A$4:$K$5003,10,FALSE),"")</f>
        <v/>
      </c>
      <c r="I3800" s="123" t="str">
        <f>IFERROR(VLOOKUP(Table1722[[#This Row],[Bukti]],Table13[#Data],11,FALSE),"")</f>
        <v/>
      </c>
    </row>
    <row r="3801" spans="1:9" hidden="1" x14ac:dyDescent="0.2">
      <c r="A3801" s="105" t="str">
        <f>IF(D3801=1,COUNTIF($D$10:D3801,1)," ")</f>
        <v xml:space="preserve"> </v>
      </c>
      <c r="B3801" s="106">
        <f>COPY!AR3793</f>
        <v>0</v>
      </c>
      <c r="C3801" s="107">
        <f>COPY!AC3793</f>
        <v>0</v>
      </c>
      <c r="D3801" s="107" t="str">
        <f>IF(LEN(Table1722[[#This Row],[Uraian]])&gt;2,1," ")</f>
        <v xml:space="preserve"> </v>
      </c>
      <c r="E3801" s="113" t="str">
        <f>IF(Table1722[[#This Row],[Lawan Transaksi]]="CV AGUNG KARYA",COUNTIF($I$10:I3801,"CV AGUNG KARYA")," ")</f>
        <v xml:space="preserve"> </v>
      </c>
      <c r="F3801" s="107" t="str">
        <f>IF(LEN(Table1722[[#This Row],[Uraian]])&gt;2,TRIM(RIGHT(SUBSTITUTE(TRIM(C3801)," ",REPT(" ",255)),255))," ")</f>
        <v xml:space="preserve"> </v>
      </c>
      <c r="G3801" s="110">
        <f>COPY!Z3793</f>
        <v>0</v>
      </c>
      <c r="H3801" s="111" t="str">
        <f>IFERROR(VLOOKUP(Table1722[[#This Row],[Bukti]],'Un nOTA'!$A$4:$K$5003,10,FALSE),"")</f>
        <v/>
      </c>
      <c r="I3801" s="123" t="str">
        <f>IFERROR(VLOOKUP(Table1722[[#This Row],[Bukti]],Table13[#Data],11,FALSE),"")</f>
        <v/>
      </c>
    </row>
    <row r="3802" spans="1:9" hidden="1" x14ac:dyDescent="0.2">
      <c r="A3802" s="105" t="str">
        <f>IF(D3802=1,COUNTIF($D$10:D3802,1)," ")</f>
        <v xml:space="preserve"> </v>
      </c>
      <c r="B3802" s="106">
        <f>COPY!AR3794</f>
        <v>0</v>
      </c>
      <c r="C3802" s="107">
        <f>COPY!AC3794</f>
        <v>0</v>
      </c>
      <c r="D3802" s="107" t="str">
        <f>IF(LEN(Table1722[[#This Row],[Uraian]])&gt;2,1," ")</f>
        <v xml:space="preserve"> </v>
      </c>
      <c r="E3802" s="113" t="str">
        <f>IF(Table1722[[#This Row],[Lawan Transaksi]]="CV AGUNG KARYA",COUNTIF($I$10:I3802,"CV AGUNG KARYA")," ")</f>
        <v xml:space="preserve"> </v>
      </c>
      <c r="F3802" s="107" t="str">
        <f>IF(LEN(Table1722[[#This Row],[Uraian]])&gt;2,TRIM(RIGHT(SUBSTITUTE(TRIM(C3802)," ",REPT(" ",255)),255))," ")</f>
        <v xml:space="preserve"> </v>
      </c>
      <c r="G3802" s="110">
        <f>COPY!Z3794</f>
        <v>0</v>
      </c>
      <c r="H3802" s="111" t="str">
        <f>IFERROR(VLOOKUP(Table1722[[#This Row],[Bukti]],'Un nOTA'!$A$4:$K$5003,10,FALSE),"")</f>
        <v/>
      </c>
      <c r="I3802" s="123" t="str">
        <f>IFERROR(VLOOKUP(Table1722[[#This Row],[Bukti]],Table13[#Data],11,FALSE),"")</f>
        <v/>
      </c>
    </row>
    <row r="3803" spans="1:9" hidden="1" x14ac:dyDescent="0.2">
      <c r="A3803" s="105" t="str">
        <f>IF(D3803=1,COUNTIF($D$10:D3803,1)," ")</f>
        <v xml:space="preserve"> </v>
      </c>
      <c r="B3803" s="106">
        <f>COPY!AR3795</f>
        <v>0</v>
      </c>
      <c r="C3803" s="107">
        <f>COPY!AC3795</f>
        <v>0</v>
      </c>
      <c r="D3803" s="107" t="str">
        <f>IF(LEN(Table1722[[#This Row],[Uraian]])&gt;2,1," ")</f>
        <v xml:space="preserve"> </v>
      </c>
      <c r="E3803" s="113" t="str">
        <f>IF(Table1722[[#This Row],[Lawan Transaksi]]="CV AGUNG KARYA",COUNTIF($I$10:I3803,"CV AGUNG KARYA")," ")</f>
        <v xml:space="preserve"> </v>
      </c>
      <c r="F3803" s="107" t="str">
        <f>IF(LEN(Table1722[[#This Row],[Uraian]])&gt;2,TRIM(RIGHT(SUBSTITUTE(TRIM(C3803)," ",REPT(" ",255)),255))," ")</f>
        <v xml:space="preserve"> </v>
      </c>
      <c r="G3803" s="110">
        <f>COPY!Z3795</f>
        <v>0</v>
      </c>
      <c r="H3803" s="111" t="str">
        <f>IFERROR(VLOOKUP(Table1722[[#This Row],[Bukti]],'Un nOTA'!$A$4:$K$5003,10,FALSE),"")</f>
        <v/>
      </c>
      <c r="I3803" s="123" t="str">
        <f>IFERROR(VLOOKUP(Table1722[[#This Row],[Bukti]],Table13[#Data],11,FALSE),"")</f>
        <v/>
      </c>
    </row>
    <row r="3804" spans="1:9" hidden="1" x14ac:dyDescent="0.2">
      <c r="A3804" s="105" t="str">
        <f>IF(D3804=1,COUNTIF($D$10:D3804,1)," ")</f>
        <v xml:space="preserve"> </v>
      </c>
      <c r="B3804" s="106">
        <f>COPY!AR3796</f>
        <v>0</v>
      </c>
      <c r="C3804" s="107">
        <f>COPY!AC3796</f>
        <v>0</v>
      </c>
      <c r="D3804" s="107" t="str">
        <f>IF(LEN(Table1722[[#This Row],[Uraian]])&gt;2,1," ")</f>
        <v xml:space="preserve"> </v>
      </c>
      <c r="E3804" s="113" t="str">
        <f>IF(Table1722[[#This Row],[Lawan Transaksi]]="CV AGUNG KARYA",COUNTIF($I$10:I3804,"CV AGUNG KARYA")," ")</f>
        <v xml:space="preserve"> </v>
      </c>
      <c r="F3804" s="107" t="str">
        <f>IF(LEN(Table1722[[#This Row],[Uraian]])&gt;2,TRIM(RIGHT(SUBSTITUTE(TRIM(C3804)," ",REPT(" ",255)),255))," ")</f>
        <v xml:space="preserve"> </v>
      </c>
      <c r="G3804" s="110">
        <f>COPY!Z3796</f>
        <v>0</v>
      </c>
      <c r="H3804" s="111" t="str">
        <f>IFERROR(VLOOKUP(Table1722[[#This Row],[Bukti]],'Un nOTA'!$A$4:$K$5003,10,FALSE),"")</f>
        <v/>
      </c>
      <c r="I3804" s="123" t="str">
        <f>IFERROR(VLOOKUP(Table1722[[#This Row],[Bukti]],Table13[#Data],11,FALSE),"")</f>
        <v/>
      </c>
    </row>
    <row r="3805" spans="1:9" hidden="1" x14ac:dyDescent="0.2">
      <c r="A3805" s="105" t="str">
        <f>IF(D3805=1,COUNTIF($D$10:D3805,1)," ")</f>
        <v xml:space="preserve"> </v>
      </c>
      <c r="B3805" s="106">
        <f>COPY!AR3797</f>
        <v>0</v>
      </c>
      <c r="C3805" s="107">
        <f>COPY!AC3797</f>
        <v>0</v>
      </c>
      <c r="D3805" s="107" t="str">
        <f>IF(LEN(Table1722[[#This Row],[Uraian]])&gt;2,1," ")</f>
        <v xml:space="preserve"> </v>
      </c>
      <c r="E3805" s="113" t="str">
        <f>IF(Table1722[[#This Row],[Lawan Transaksi]]="CV AGUNG KARYA",COUNTIF($I$10:I3805,"CV AGUNG KARYA")," ")</f>
        <v xml:space="preserve"> </v>
      </c>
      <c r="F3805" s="107" t="str">
        <f>IF(LEN(Table1722[[#This Row],[Uraian]])&gt;2,TRIM(RIGHT(SUBSTITUTE(TRIM(C3805)," ",REPT(" ",255)),255))," ")</f>
        <v xml:space="preserve"> </v>
      </c>
      <c r="G3805" s="110">
        <f>COPY!Z3797</f>
        <v>0</v>
      </c>
      <c r="H3805" s="111" t="str">
        <f>IFERROR(VLOOKUP(Table1722[[#This Row],[Bukti]],'Un nOTA'!$A$4:$K$5003,10,FALSE),"")</f>
        <v/>
      </c>
      <c r="I3805" s="123" t="str">
        <f>IFERROR(VLOOKUP(Table1722[[#This Row],[Bukti]],Table13[#Data],11,FALSE),"")</f>
        <v/>
      </c>
    </row>
    <row r="3806" spans="1:9" hidden="1" x14ac:dyDescent="0.2">
      <c r="A3806" s="105" t="str">
        <f>IF(D3806=1,COUNTIF($D$10:D3806,1)," ")</f>
        <v xml:space="preserve"> </v>
      </c>
      <c r="B3806" s="106">
        <f>COPY!AR3798</f>
        <v>0</v>
      </c>
      <c r="C3806" s="107">
        <f>COPY!AC3798</f>
        <v>0</v>
      </c>
      <c r="D3806" s="107" t="str">
        <f>IF(LEN(Table1722[[#This Row],[Uraian]])&gt;2,1," ")</f>
        <v xml:space="preserve"> </v>
      </c>
      <c r="E3806" s="113" t="str">
        <f>IF(Table1722[[#This Row],[Lawan Transaksi]]="CV AGUNG KARYA",COUNTIF($I$10:I3806,"CV AGUNG KARYA")," ")</f>
        <v xml:space="preserve"> </v>
      </c>
      <c r="F3806" s="107" t="str">
        <f>IF(LEN(Table1722[[#This Row],[Uraian]])&gt;2,TRIM(RIGHT(SUBSTITUTE(TRIM(C3806)," ",REPT(" ",255)),255))," ")</f>
        <v xml:space="preserve"> </v>
      </c>
      <c r="G3806" s="110">
        <f>COPY!Z3798</f>
        <v>0</v>
      </c>
      <c r="H3806" s="111" t="str">
        <f>IFERROR(VLOOKUP(Table1722[[#This Row],[Bukti]],'Un nOTA'!$A$4:$K$5003,10,FALSE),"")</f>
        <v/>
      </c>
      <c r="I3806" s="123" t="str">
        <f>IFERROR(VLOOKUP(Table1722[[#This Row],[Bukti]],Table13[#Data],11,FALSE),"")</f>
        <v/>
      </c>
    </row>
    <row r="3807" spans="1:9" hidden="1" x14ac:dyDescent="0.2">
      <c r="A3807" s="105" t="str">
        <f>IF(D3807=1,COUNTIF($D$10:D3807,1)," ")</f>
        <v xml:space="preserve"> </v>
      </c>
      <c r="B3807" s="106">
        <f>COPY!AR3799</f>
        <v>0</v>
      </c>
      <c r="C3807" s="107">
        <f>COPY!AC3799</f>
        <v>0</v>
      </c>
      <c r="D3807" s="107" t="str">
        <f>IF(LEN(Table1722[[#This Row],[Uraian]])&gt;2,1," ")</f>
        <v xml:space="preserve"> </v>
      </c>
      <c r="E3807" s="113" t="str">
        <f>IF(Table1722[[#This Row],[Lawan Transaksi]]="CV AGUNG KARYA",COUNTIF($I$10:I3807,"CV AGUNG KARYA")," ")</f>
        <v xml:space="preserve"> </v>
      </c>
      <c r="F3807" s="107" t="str">
        <f>IF(LEN(Table1722[[#This Row],[Uraian]])&gt;2,TRIM(RIGHT(SUBSTITUTE(TRIM(C3807)," ",REPT(" ",255)),255))," ")</f>
        <v xml:space="preserve"> </v>
      </c>
      <c r="G3807" s="110">
        <f>COPY!Z3799</f>
        <v>0</v>
      </c>
      <c r="H3807" s="111" t="str">
        <f>IFERROR(VLOOKUP(Table1722[[#This Row],[Bukti]],'Un nOTA'!$A$4:$K$5003,10,FALSE),"")</f>
        <v/>
      </c>
      <c r="I3807" s="123" t="str">
        <f>IFERROR(VLOOKUP(Table1722[[#This Row],[Bukti]],Table13[#Data],11,FALSE),"")</f>
        <v/>
      </c>
    </row>
    <row r="3808" spans="1:9" hidden="1" x14ac:dyDescent="0.2">
      <c r="A3808" s="105" t="str">
        <f>IF(D3808=1,COUNTIF($D$10:D3808,1)," ")</f>
        <v xml:space="preserve"> </v>
      </c>
      <c r="B3808" s="106">
        <f>COPY!AR3800</f>
        <v>0</v>
      </c>
      <c r="C3808" s="107">
        <f>COPY!AC3800</f>
        <v>0</v>
      </c>
      <c r="D3808" s="107" t="str">
        <f>IF(LEN(Table1722[[#This Row],[Uraian]])&gt;2,1," ")</f>
        <v xml:space="preserve"> </v>
      </c>
      <c r="E3808" s="113" t="str">
        <f>IF(Table1722[[#This Row],[Lawan Transaksi]]="CV AGUNG KARYA",COUNTIF($I$10:I3808,"CV AGUNG KARYA")," ")</f>
        <v xml:space="preserve"> </v>
      </c>
      <c r="F3808" s="107" t="str">
        <f>IF(LEN(Table1722[[#This Row],[Uraian]])&gt;2,TRIM(RIGHT(SUBSTITUTE(TRIM(C3808)," ",REPT(" ",255)),255))," ")</f>
        <v xml:space="preserve"> </v>
      </c>
      <c r="G3808" s="110">
        <f>COPY!Z3800</f>
        <v>0</v>
      </c>
      <c r="H3808" s="111" t="str">
        <f>IFERROR(VLOOKUP(Table1722[[#This Row],[Bukti]],'Un nOTA'!$A$4:$K$5003,10,FALSE),"")</f>
        <v/>
      </c>
      <c r="I3808" s="123" t="str">
        <f>IFERROR(VLOOKUP(Table1722[[#This Row],[Bukti]],Table13[#Data],11,FALSE),"")</f>
        <v/>
      </c>
    </row>
    <row r="3809" spans="1:9" hidden="1" x14ac:dyDescent="0.2">
      <c r="A3809" s="105" t="str">
        <f>IF(D3809=1,COUNTIF($D$10:D3809,1)," ")</f>
        <v xml:space="preserve"> </v>
      </c>
      <c r="B3809" s="106">
        <f>COPY!AR3801</f>
        <v>0</v>
      </c>
      <c r="C3809" s="107">
        <f>COPY!AC3801</f>
        <v>0</v>
      </c>
      <c r="D3809" s="107" t="str">
        <f>IF(LEN(Table1722[[#This Row],[Uraian]])&gt;2,1," ")</f>
        <v xml:space="preserve"> </v>
      </c>
      <c r="E3809" s="113" t="str">
        <f>IF(Table1722[[#This Row],[Lawan Transaksi]]="CV AGUNG KARYA",COUNTIF($I$10:I3809,"CV AGUNG KARYA")," ")</f>
        <v xml:space="preserve"> </v>
      </c>
      <c r="F3809" s="107" t="str">
        <f>IF(LEN(Table1722[[#This Row],[Uraian]])&gt;2,TRIM(RIGHT(SUBSTITUTE(TRIM(C3809)," ",REPT(" ",255)),255))," ")</f>
        <v xml:space="preserve"> </v>
      </c>
      <c r="G3809" s="110">
        <f>COPY!Z3801</f>
        <v>0</v>
      </c>
      <c r="H3809" s="111" t="str">
        <f>IFERROR(VLOOKUP(Table1722[[#This Row],[Bukti]],'Un nOTA'!$A$4:$K$5003,10,FALSE),"")</f>
        <v/>
      </c>
      <c r="I3809" s="123" t="str">
        <f>IFERROR(VLOOKUP(Table1722[[#This Row],[Bukti]],Table13[#Data],11,FALSE),"")</f>
        <v/>
      </c>
    </row>
    <row r="3810" spans="1:9" hidden="1" x14ac:dyDescent="0.2">
      <c r="A3810" s="105" t="str">
        <f>IF(D3810=1,COUNTIF($D$10:D3810,1)," ")</f>
        <v xml:space="preserve"> </v>
      </c>
      <c r="B3810" s="106">
        <f>COPY!AR3802</f>
        <v>0</v>
      </c>
      <c r="C3810" s="107">
        <f>COPY!AC3802</f>
        <v>0</v>
      </c>
      <c r="D3810" s="107" t="str">
        <f>IF(LEN(Table1722[[#This Row],[Uraian]])&gt;2,1," ")</f>
        <v xml:space="preserve"> </v>
      </c>
      <c r="E3810" s="113" t="str">
        <f>IF(Table1722[[#This Row],[Lawan Transaksi]]="CV AGUNG KARYA",COUNTIF($I$10:I3810,"CV AGUNG KARYA")," ")</f>
        <v xml:space="preserve"> </v>
      </c>
      <c r="F3810" s="107" t="str">
        <f>IF(LEN(Table1722[[#This Row],[Uraian]])&gt;2,TRIM(RIGHT(SUBSTITUTE(TRIM(C3810)," ",REPT(" ",255)),255))," ")</f>
        <v xml:space="preserve"> </v>
      </c>
      <c r="G3810" s="110">
        <f>COPY!Z3802</f>
        <v>0</v>
      </c>
      <c r="H3810" s="111" t="str">
        <f>IFERROR(VLOOKUP(Table1722[[#This Row],[Bukti]],'Un nOTA'!$A$4:$K$5003,10,FALSE),"")</f>
        <v/>
      </c>
      <c r="I3810" s="123" t="str">
        <f>IFERROR(VLOOKUP(Table1722[[#This Row],[Bukti]],Table13[#Data],11,FALSE),"")</f>
        <v/>
      </c>
    </row>
    <row r="3811" spans="1:9" hidden="1" x14ac:dyDescent="0.2">
      <c r="A3811" s="105" t="str">
        <f>IF(D3811=1,COUNTIF($D$10:D3811,1)," ")</f>
        <v xml:space="preserve"> </v>
      </c>
      <c r="B3811" s="106">
        <f>COPY!AR3803</f>
        <v>0</v>
      </c>
      <c r="C3811" s="107">
        <f>COPY!AC3803</f>
        <v>0</v>
      </c>
      <c r="D3811" s="107" t="str">
        <f>IF(LEN(Table1722[[#This Row],[Uraian]])&gt;2,1," ")</f>
        <v xml:space="preserve"> </v>
      </c>
      <c r="E3811" s="113" t="str">
        <f>IF(Table1722[[#This Row],[Lawan Transaksi]]="CV AGUNG KARYA",COUNTIF($I$10:I3811,"CV AGUNG KARYA")," ")</f>
        <v xml:space="preserve"> </v>
      </c>
      <c r="F3811" s="107" t="str">
        <f>IF(LEN(Table1722[[#This Row],[Uraian]])&gt;2,TRIM(RIGHT(SUBSTITUTE(TRIM(C3811)," ",REPT(" ",255)),255))," ")</f>
        <v xml:space="preserve"> </v>
      </c>
      <c r="G3811" s="110">
        <f>COPY!Z3803</f>
        <v>0</v>
      </c>
      <c r="H3811" s="111" t="str">
        <f>IFERROR(VLOOKUP(Table1722[[#This Row],[Bukti]],'Un nOTA'!$A$4:$K$5003,10,FALSE),"")</f>
        <v/>
      </c>
      <c r="I3811" s="123" t="str">
        <f>IFERROR(VLOOKUP(Table1722[[#This Row],[Bukti]],Table13[#Data],11,FALSE),"")</f>
        <v/>
      </c>
    </row>
    <row r="3812" spans="1:9" hidden="1" x14ac:dyDescent="0.2">
      <c r="A3812" s="105" t="str">
        <f>IF(D3812=1,COUNTIF($D$10:D3812,1)," ")</f>
        <v xml:space="preserve"> </v>
      </c>
      <c r="B3812" s="106">
        <f>COPY!AR3804</f>
        <v>0</v>
      </c>
      <c r="C3812" s="107">
        <f>COPY!AC3804</f>
        <v>0</v>
      </c>
      <c r="D3812" s="107" t="str">
        <f>IF(LEN(Table1722[[#This Row],[Uraian]])&gt;2,1," ")</f>
        <v xml:space="preserve"> </v>
      </c>
      <c r="E3812" s="113" t="str">
        <f>IF(Table1722[[#This Row],[Lawan Transaksi]]="CV AGUNG KARYA",COUNTIF($I$10:I3812,"CV AGUNG KARYA")," ")</f>
        <v xml:space="preserve"> </v>
      </c>
      <c r="F3812" s="107" t="str">
        <f>IF(LEN(Table1722[[#This Row],[Uraian]])&gt;2,TRIM(RIGHT(SUBSTITUTE(TRIM(C3812)," ",REPT(" ",255)),255))," ")</f>
        <v xml:space="preserve"> </v>
      </c>
      <c r="G3812" s="110">
        <f>COPY!Z3804</f>
        <v>0</v>
      </c>
      <c r="H3812" s="111" t="str">
        <f>IFERROR(VLOOKUP(Table1722[[#This Row],[Bukti]],'Un nOTA'!$A$4:$K$5003,10,FALSE),"")</f>
        <v/>
      </c>
      <c r="I3812" s="123" t="str">
        <f>IFERROR(VLOOKUP(Table1722[[#This Row],[Bukti]],Table13[#Data],11,FALSE),"")</f>
        <v/>
      </c>
    </row>
    <row r="3813" spans="1:9" hidden="1" x14ac:dyDescent="0.2">
      <c r="A3813" s="105" t="str">
        <f>IF(D3813=1,COUNTIF($D$10:D3813,1)," ")</f>
        <v xml:space="preserve"> </v>
      </c>
      <c r="B3813" s="106">
        <f>COPY!AR3805</f>
        <v>0</v>
      </c>
      <c r="C3813" s="107">
        <f>COPY!AC3805</f>
        <v>0</v>
      </c>
      <c r="D3813" s="107" t="str">
        <f>IF(LEN(Table1722[[#This Row],[Uraian]])&gt;2,1," ")</f>
        <v xml:space="preserve"> </v>
      </c>
      <c r="E3813" s="113" t="str">
        <f>IF(Table1722[[#This Row],[Lawan Transaksi]]="CV AGUNG KARYA",COUNTIF($I$10:I3813,"CV AGUNG KARYA")," ")</f>
        <v xml:space="preserve"> </v>
      </c>
      <c r="F3813" s="107" t="str">
        <f>IF(LEN(Table1722[[#This Row],[Uraian]])&gt;2,TRIM(RIGHT(SUBSTITUTE(TRIM(C3813)," ",REPT(" ",255)),255))," ")</f>
        <v xml:space="preserve"> </v>
      </c>
      <c r="G3813" s="110">
        <f>COPY!Z3805</f>
        <v>0</v>
      </c>
      <c r="H3813" s="111" t="str">
        <f>IFERROR(VLOOKUP(Table1722[[#This Row],[Bukti]],'Un nOTA'!$A$4:$K$5003,10,FALSE),"")</f>
        <v/>
      </c>
      <c r="I3813" s="123" t="str">
        <f>IFERROR(VLOOKUP(Table1722[[#This Row],[Bukti]],Table13[#Data],11,FALSE),"")</f>
        <v/>
      </c>
    </row>
    <row r="3814" spans="1:9" hidden="1" x14ac:dyDescent="0.2">
      <c r="A3814" s="105" t="str">
        <f>IF(D3814=1,COUNTIF($D$10:D3814,1)," ")</f>
        <v xml:space="preserve"> </v>
      </c>
      <c r="B3814" s="106">
        <f>COPY!AR3806</f>
        <v>0</v>
      </c>
      <c r="C3814" s="107">
        <f>COPY!AC3806</f>
        <v>0</v>
      </c>
      <c r="D3814" s="107" t="str">
        <f>IF(LEN(Table1722[[#This Row],[Uraian]])&gt;2,1," ")</f>
        <v xml:space="preserve"> </v>
      </c>
      <c r="E3814" s="113" t="str">
        <f>IF(Table1722[[#This Row],[Lawan Transaksi]]="CV AGUNG KARYA",COUNTIF($I$10:I3814,"CV AGUNG KARYA")," ")</f>
        <v xml:space="preserve"> </v>
      </c>
      <c r="F3814" s="107" t="str">
        <f>IF(LEN(Table1722[[#This Row],[Uraian]])&gt;2,TRIM(RIGHT(SUBSTITUTE(TRIM(C3814)," ",REPT(" ",255)),255))," ")</f>
        <v xml:space="preserve"> </v>
      </c>
      <c r="G3814" s="110">
        <f>COPY!Z3806</f>
        <v>0</v>
      </c>
      <c r="H3814" s="111" t="str">
        <f>IFERROR(VLOOKUP(Table1722[[#This Row],[Bukti]],'Un nOTA'!$A$4:$K$5003,10,FALSE),"")</f>
        <v/>
      </c>
      <c r="I3814" s="123" t="str">
        <f>IFERROR(VLOOKUP(Table1722[[#This Row],[Bukti]],Table13[#Data],11,FALSE),"")</f>
        <v/>
      </c>
    </row>
    <row r="3815" spans="1:9" hidden="1" x14ac:dyDescent="0.2">
      <c r="A3815" s="105" t="str">
        <f>IF(D3815=1,COUNTIF($D$10:D3815,1)," ")</f>
        <v xml:space="preserve"> </v>
      </c>
      <c r="B3815" s="106">
        <f>COPY!AR3807</f>
        <v>0</v>
      </c>
      <c r="C3815" s="107">
        <f>COPY!AC3807</f>
        <v>0</v>
      </c>
      <c r="D3815" s="107" t="str">
        <f>IF(LEN(Table1722[[#This Row],[Uraian]])&gt;2,1," ")</f>
        <v xml:space="preserve"> </v>
      </c>
      <c r="E3815" s="113" t="str">
        <f>IF(Table1722[[#This Row],[Lawan Transaksi]]="CV AGUNG KARYA",COUNTIF($I$10:I3815,"CV AGUNG KARYA")," ")</f>
        <v xml:space="preserve"> </v>
      </c>
      <c r="F3815" s="107" t="str">
        <f>IF(LEN(Table1722[[#This Row],[Uraian]])&gt;2,TRIM(RIGHT(SUBSTITUTE(TRIM(C3815)," ",REPT(" ",255)),255))," ")</f>
        <v xml:space="preserve"> </v>
      </c>
      <c r="G3815" s="110">
        <f>COPY!Z3807</f>
        <v>0</v>
      </c>
      <c r="H3815" s="111" t="str">
        <f>IFERROR(VLOOKUP(Table1722[[#This Row],[Bukti]],'Un nOTA'!$A$4:$K$5003,10,FALSE),"")</f>
        <v/>
      </c>
      <c r="I3815" s="123" t="str">
        <f>IFERROR(VLOOKUP(Table1722[[#This Row],[Bukti]],Table13[#Data],11,FALSE),"")</f>
        <v/>
      </c>
    </row>
    <row r="3816" spans="1:9" hidden="1" x14ac:dyDescent="0.2">
      <c r="A3816" s="105" t="str">
        <f>IF(D3816=1,COUNTIF($D$10:D3816,1)," ")</f>
        <v xml:space="preserve"> </v>
      </c>
      <c r="B3816" s="106">
        <f>COPY!AR3808</f>
        <v>0</v>
      </c>
      <c r="C3816" s="107">
        <f>COPY!AC3808</f>
        <v>0</v>
      </c>
      <c r="D3816" s="107" t="str">
        <f>IF(LEN(Table1722[[#This Row],[Uraian]])&gt;2,1," ")</f>
        <v xml:space="preserve"> </v>
      </c>
      <c r="E3816" s="113" t="str">
        <f>IF(Table1722[[#This Row],[Lawan Transaksi]]="CV AGUNG KARYA",COUNTIF($I$10:I3816,"CV AGUNG KARYA")," ")</f>
        <v xml:space="preserve"> </v>
      </c>
      <c r="F3816" s="107" t="str">
        <f>IF(LEN(Table1722[[#This Row],[Uraian]])&gt;2,TRIM(RIGHT(SUBSTITUTE(TRIM(C3816)," ",REPT(" ",255)),255))," ")</f>
        <v xml:space="preserve"> </v>
      </c>
      <c r="G3816" s="110">
        <f>COPY!Z3808</f>
        <v>0</v>
      </c>
      <c r="H3816" s="111" t="str">
        <f>IFERROR(VLOOKUP(Table1722[[#This Row],[Bukti]],'Un nOTA'!$A$4:$K$5003,10,FALSE),"")</f>
        <v/>
      </c>
      <c r="I3816" s="123" t="str">
        <f>IFERROR(VLOOKUP(Table1722[[#This Row],[Bukti]],Table13[#Data],11,FALSE),"")</f>
        <v/>
      </c>
    </row>
    <row r="3817" spans="1:9" hidden="1" x14ac:dyDescent="0.2">
      <c r="A3817" s="105" t="str">
        <f>IF(D3817=1,COUNTIF($D$10:D3817,1)," ")</f>
        <v xml:space="preserve"> </v>
      </c>
      <c r="B3817" s="106">
        <f>COPY!AR3809</f>
        <v>0</v>
      </c>
      <c r="C3817" s="107">
        <f>COPY!AC3809</f>
        <v>0</v>
      </c>
      <c r="D3817" s="107" t="str">
        <f>IF(LEN(Table1722[[#This Row],[Uraian]])&gt;2,1," ")</f>
        <v xml:space="preserve"> </v>
      </c>
      <c r="E3817" s="113" t="str">
        <f>IF(Table1722[[#This Row],[Lawan Transaksi]]="CV AGUNG KARYA",COUNTIF($I$10:I3817,"CV AGUNG KARYA")," ")</f>
        <v xml:space="preserve"> </v>
      </c>
      <c r="F3817" s="107" t="str">
        <f>IF(LEN(Table1722[[#This Row],[Uraian]])&gt;2,TRIM(RIGHT(SUBSTITUTE(TRIM(C3817)," ",REPT(" ",255)),255))," ")</f>
        <v xml:space="preserve"> </v>
      </c>
      <c r="G3817" s="110">
        <f>COPY!Z3809</f>
        <v>0</v>
      </c>
      <c r="H3817" s="111" t="str">
        <f>IFERROR(VLOOKUP(Table1722[[#This Row],[Bukti]],'Un nOTA'!$A$4:$K$5003,10,FALSE),"")</f>
        <v/>
      </c>
      <c r="I3817" s="123" t="str">
        <f>IFERROR(VLOOKUP(Table1722[[#This Row],[Bukti]],Table13[#Data],11,FALSE),"")</f>
        <v/>
      </c>
    </row>
    <row r="3818" spans="1:9" hidden="1" x14ac:dyDescent="0.2">
      <c r="A3818" s="105" t="str">
        <f>IF(D3818=1,COUNTIF($D$10:D3818,1)," ")</f>
        <v xml:space="preserve"> </v>
      </c>
      <c r="B3818" s="106">
        <f>COPY!AR3810</f>
        <v>0</v>
      </c>
      <c r="C3818" s="107">
        <f>COPY!AC3810</f>
        <v>0</v>
      </c>
      <c r="D3818" s="107" t="str">
        <f>IF(LEN(Table1722[[#This Row],[Uraian]])&gt;2,1," ")</f>
        <v xml:space="preserve"> </v>
      </c>
      <c r="E3818" s="113" t="str">
        <f>IF(Table1722[[#This Row],[Lawan Transaksi]]="CV AGUNG KARYA",COUNTIF($I$10:I3818,"CV AGUNG KARYA")," ")</f>
        <v xml:space="preserve"> </v>
      </c>
      <c r="F3818" s="107" t="str">
        <f>IF(LEN(Table1722[[#This Row],[Uraian]])&gt;2,TRIM(RIGHT(SUBSTITUTE(TRIM(C3818)," ",REPT(" ",255)),255))," ")</f>
        <v xml:space="preserve"> </v>
      </c>
      <c r="G3818" s="110">
        <f>COPY!Z3810</f>
        <v>0</v>
      </c>
      <c r="H3818" s="111" t="str">
        <f>IFERROR(VLOOKUP(Table1722[[#This Row],[Bukti]],'Un nOTA'!$A$4:$K$5003,10,FALSE),"")</f>
        <v/>
      </c>
      <c r="I3818" s="123" t="str">
        <f>IFERROR(VLOOKUP(Table1722[[#This Row],[Bukti]],Table13[#Data],11,FALSE),"")</f>
        <v/>
      </c>
    </row>
    <row r="3819" spans="1:9" hidden="1" x14ac:dyDescent="0.2">
      <c r="A3819" s="105" t="str">
        <f>IF(D3819=1,COUNTIF($D$10:D3819,1)," ")</f>
        <v xml:space="preserve"> </v>
      </c>
      <c r="B3819" s="106">
        <f>COPY!AR3811</f>
        <v>0</v>
      </c>
      <c r="C3819" s="107">
        <f>COPY!AC3811</f>
        <v>0</v>
      </c>
      <c r="D3819" s="107" t="str">
        <f>IF(LEN(Table1722[[#This Row],[Uraian]])&gt;2,1," ")</f>
        <v xml:space="preserve"> </v>
      </c>
      <c r="E3819" s="113" t="str">
        <f>IF(Table1722[[#This Row],[Lawan Transaksi]]="CV AGUNG KARYA",COUNTIF($I$10:I3819,"CV AGUNG KARYA")," ")</f>
        <v xml:space="preserve"> </v>
      </c>
      <c r="F3819" s="107" t="str">
        <f>IF(LEN(Table1722[[#This Row],[Uraian]])&gt;2,TRIM(RIGHT(SUBSTITUTE(TRIM(C3819)," ",REPT(" ",255)),255))," ")</f>
        <v xml:space="preserve"> </v>
      </c>
      <c r="G3819" s="110">
        <f>COPY!Z3811</f>
        <v>0</v>
      </c>
      <c r="H3819" s="111" t="str">
        <f>IFERROR(VLOOKUP(Table1722[[#This Row],[Bukti]],'Un nOTA'!$A$4:$K$5003,10,FALSE),"")</f>
        <v/>
      </c>
      <c r="I3819" s="123" t="str">
        <f>IFERROR(VLOOKUP(Table1722[[#This Row],[Bukti]],Table13[#Data],11,FALSE),"")</f>
        <v/>
      </c>
    </row>
    <row r="3820" spans="1:9" hidden="1" x14ac:dyDescent="0.2">
      <c r="A3820" s="105" t="str">
        <f>IF(D3820=1,COUNTIF($D$10:D3820,1)," ")</f>
        <v xml:space="preserve"> </v>
      </c>
      <c r="B3820" s="106">
        <f>COPY!AR3812</f>
        <v>0</v>
      </c>
      <c r="C3820" s="107">
        <f>COPY!AC3812</f>
        <v>0</v>
      </c>
      <c r="D3820" s="107" t="str">
        <f>IF(LEN(Table1722[[#This Row],[Uraian]])&gt;2,1," ")</f>
        <v xml:space="preserve"> </v>
      </c>
      <c r="E3820" s="113" t="str">
        <f>IF(Table1722[[#This Row],[Lawan Transaksi]]="CV AGUNG KARYA",COUNTIF($I$10:I3820,"CV AGUNG KARYA")," ")</f>
        <v xml:space="preserve"> </v>
      </c>
      <c r="F3820" s="107" t="str">
        <f>IF(LEN(Table1722[[#This Row],[Uraian]])&gt;2,TRIM(RIGHT(SUBSTITUTE(TRIM(C3820)," ",REPT(" ",255)),255))," ")</f>
        <v xml:space="preserve"> </v>
      </c>
      <c r="G3820" s="110">
        <f>COPY!Z3812</f>
        <v>0</v>
      </c>
      <c r="H3820" s="111" t="str">
        <f>IFERROR(VLOOKUP(Table1722[[#This Row],[Bukti]],'Un nOTA'!$A$4:$K$5003,10,FALSE),"")</f>
        <v/>
      </c>
      <c r="I3820" s="123" t="str">
        <f>IFERROR(VLOOKUP(Table1722[[#This Row],[Bukti]],Table13[#Data],11,FALSE),"")</f>
        <v/>
      </c>
    </row>
    <row r="3821" spans="1:9" hidden="1" x14ac:dyDescent="0.2">
      <c r="A3821" s="105" t="str">
        <f>IF(D3821=1,COUNTIF($D$10:D3821,1)," ")</f>
        <v xml:space="preserve"> </v>
      </c>
      <c r="B3821" s="106">
        <f>COPY!AR3813</f>
        <v>0</v>
      </c>
      <c r="C3821" s="107">
        <f>COPY!AC3813</f>
        <v>0</v>
      </c>
      <c r="D3821" s="107" t="str">
        <f>IF(LEN(Table1722[[#This Row],[Uraian]])&gt;2,1," ")</f>
        <v xml:space="preserve"> </v>
      </c>
      <c r="E3821" s="113" t="str">
        <f>IF(Table1722[[#This Row],[Lawan Transaksi]]="CV AGUNG KARYA",COUNTIF($I$10:I3821,"CV AGUNG KARYA")," ")</f>
        <v xml:space="preserve"> </v>
      </c>
      <c r="F3821" s="107" t="str">
        <f>IF(LEN(Table1722[[#This Row],[Uraian]])&gt;2,TRIM(RIGHT(SUBSTITUTE(TRIM(C3821)," ",REPT(" ",255)),255))," ")</f>
        <v xml:space="preserve"> </v>
      </c>
      <c r="G3821" s="110">
        <f>COPY!Z3813</f>
        <v>0</v>
      </c>
      <c r="H3821" s="111" t="str">
        <f>IFERROR(VLOOKUP(Table1722[[#This Row],[Bukti]],'Un nOTA'!$A$4:$K$5003,10,FALSE),"")</f>
        <v/>
      </c>
      <c r="I3821" s="123" t="str">
        <f>IFERROR(VLOOKUP(Table1722[[#This Row],[Bukti]],Table13[#Data],11,FALSE),"")</f>
        <v/>
      </c>
    </row>
    <row r="3822" spans="1:9" hidden="1" x14ac:dyDescent="0.2">
      <c r="A3822" s="105" t="str">
        <f>IF(D3822=1,COUNTIF($D$10:D3822,1)," ")</f>
        <v xml:space="preserve"> </v>
      </c>
      <c r="B3822" s="106">
        <f>COPY!AR3814</f>
        <v>0</v>
      </c>
      <c r="C3822" s="107">
        <f>COPY!AC3814</f>
        <v>0</v>
      </c>
      <c r="D3822" s="107" t="str">
        <f>IF(LEN(Table1722[[#This Row],[Uraian]])&gt;2,1," ")</f>
        <v xml:space="preserve"> </v>
      </c>
      <c r="E3822" s="113" t="str">
        <f>IF(Table1722[[#This Row],[Lawan Transaksi]]="CV AGUNG KARYA",COUNTIF($I$10:I3822,"CV AGUNG KARYA")," ")</f>
        <v xml:space="preserve"> </v>
      </c>
      <c r="F3822" s="107" t="str">
        <f>IF(LEN(Table1722[[#This Row],[Uraian]])&gt;2,TRIM(RIGHT(SUBSTITUTE(TRIM(C3822)," ",REPT(" ",255)),255))," ")</f>
        <v xml:space="preserve"> </v>
      </c>
      <c r="G3822" s="110">
        <f>COPY!Z3814</f>
        <v>0</v>
      </c>
      <c r="H3822" s="111" t="str">
        <f>IFERROR(VLOOKUP(Table1722[[#This Row],[Bukti]],'Un nOTA'!$A$4:$K$5003,10,FALSE),"")</f>
        <v/>
      </c>
      <c r="I3822" s="123" t="str">
        <f>IFERROR(VLOOKUP(Table1722[[#This Row],[Bukti]],Table13[#Data],11,FALSE),"")</f>
        <v/>
      </c>
    </row>
    <row r="3823" spans="1:9" hidden="1" x14ac:dyDescent="0.2">
      <c r="A3823" s="105" t="str">
        <f>IF(D3823=1,COUNTIF($D$10:D3823,1)," ")</f>
        <v xml:space="preserve"> </v>
      </c>
      <c r="B3823" s="106">
        <f>COPY!AR3815</f>
        <v>0</v>
      </c>
      <c r="C3823" s="107">
        <f>COPY!AC3815</f>
        <v>0</v>
      </c>
      <c r="D3823" s="107" t="str">
        <f>IF(LEN(Table1722[[#This Row],[Uraian]])&gt;2,1," ")</f>
        <v xml:space="preserve"> </v>
      </c>
      <c r="E3823" s="113" t="str">
        <f>IF(Table1722[[#This Row],[Lawan Transaksi]]="CV AGUNG KARYA",COUNTIF($I$10:I3823,"CV AGUNG KARYA")," ")</f>
        <v xml:space="preserve"> </v>
      </c>
      <c r="F3823" s="107" t="str">
        <f>IF(LEN(Table1722[[#This Row],[Uraian]])&gt;2,TRIM(RIGHT(SUBSTITUTE(TRIM(C3823)," ",REPT(" ",255)),255))," ")</f>
        <v xml:space="preserve"> </v>
      </c>
      <c r="G3823" s="110">
        <f>COPY!Z3815</f>
        <v>0</v>
      </c>
      <c r="H3823" s="111" t="str">
        <f>IFERROR(VLOOKUP(Table1722[[#This Row],[Bukti]],'Un nOTA'!$A$4:$K$5003,10,FALSE),"")</f>
        <v/>
      </c>
      <c r="I3823" s="123" t="str">
        <f>IFERROR(VLOOKUP(Table1722[[#This Row],[Bukti]],Table13[#Data],11,FALSE),"")</f>
        <v/>
      </c>
    </row>
    <row r="3824" spans="1:9" hidden="1" x14ac:dyDescent="0.2">
      <c r="A3824" s="105" t="str">
        <f>IF(D3824=1,COUNTIF($D$10:D3824,1)," ")</f>
        <v xml:space="preserve"> </v>
      </c>
      <c r="B3824" s="106">
        <f>COPY!AR3816</f>
        <v>0</v>
      </c>
      <c r="C3824" s="107">
        <f>COPY!AC3816</f>
        <v>0</v>
      </c>
      <c r="D3824" s="107" t="str">
        <f>IF(LEN(Table1722[[#This Row],[Uraian]])&gt;2,1," ")</f>
        <v xml:space="preserve"> </v>
      </c>
      <c r="E3824" s="113" t="str">
        <f>IF(Table1722[[#This Row],[Lawan Transaksi]]="CV AGUNG KARYA",COUNTIF($I$10:I3824,"CV AGUNG KARYA")," ")</f>
        <v xml:space="preserve"> </v>
      </c>
      <c r="F3824" s="107" t="str">
        <f>IF(LEN(Table1722[[#This Row],[Uraian]])&gt;2,TRIM(RIGHT(SUBSTITUTE(TRIM(C3824)," ",REPT(" ",255)),255))," ")</f>
        <v xml:space="preserve"> </v>
      </c>
      <c r="G3824" s="110">
        <f>COPY!Z3816</f>
        <v>0</v>
      </c>
      <c r="H3824" s="111" t="str">
        <f>IFERROR(VLOOKUP(Table1722[[#This Row],[Bukti]],'Un nOTA'!$A$4:$K$5003,10,FALSE),"")</f>
        <v/>
      </c>
      <c r="I3824" s="123" t="str">
        <f>IFERROR(VLOOKUP(Table1722[[#This Row],[Bukti]],Table13[#Data],11,FALSE),"")</f>
        <v/>
      </c>
    </row>
    <row r="3825" spans="1:9" hidden="1" x14ac:dyDescent="0.2">
      <c r="A3825" s="105" t="str">
        <f>IF(D3825=1,COUNTIF($D$10:D3825,1)," ")</f>
        <v xml:space="preserve"> </v>
      </c>
      <c r="B3825" s="106">
        <f>COPY!AR3817</f>
        <v>0</v>
      </c>
      <c r="C3825" s="107">
        <f>COPY!AC3817</f>
        <v>0</v>
      </c>
      <c r="D3825" s="107" t="str">
        <f>IF(LEN(Table1722[[#This Row],[Uraian]])&gt;2,1," ")</f>
        <v xml:space="preserve"> </v>
      </c>
      <c r="E3825" s="113" t="str">
        <f>IF(Table1722[[#This Row],[Lawan Transaksi]]="CV AGUNG KARYA",COUNTIF($I$10:I3825,"CV AGUNG KARYA")," ")</f>
        <v xml:space="preserve"> </v>
      </c>
      <c r="F3825" s="107" t="str">
        <f>IF(LEN(Table1722[[#This Row],[Uraian]])&gt;2,TRIM(RIGHT(SUBSTITUTE(TRIM(C3825)," ",REPT(" ",255)),255))," ")</f>
        <v xml:space="preserve"> </v>
      </c>
      <c r="G3825" s="110">
        <f>COPY!Z3817</f>
        <v>0</v>
      </c>
      <c r="H3825" s="111" t="str">
        <f>IFERROR(VLOOKUP(Table1722[[#This Row],[Bukti]],'Un nOTA'!$A$4:$K$5003,10,FALSE),"")</f>
        <v/>
      </c>
      <c r="I3825" s="123" t="str">
        <f>IFERROR(VLOOKUP(Table1722[[#This Row],[Bukti]],Table13[#Data],11,FALSE),"")</f>
        <v/>
      </c>
    </row>
    <row r="3826" spans="1:9" hidden="1" x14ac:dyDescent="0.2">
      <c r="A3826" s="105" t="str">
        <f>IF(D3826=1,COUNTIF($D$10:D3826,1)," ")</f>
        <v xml:space="preserve"> </v>
      </c>
      <c r="B3826" s="106">
        <f>COPY!AR3818</f>
        <v>0</v>
      </c>
      <c r="C3826" s="107">
        <f>COPY!AC3818</f>
        <v>0</v>
      </c>
      <c r="D3826" s="107" t="str">
        <f>IF(LEN(Table1722[[#This Row],[Uraian]])&gt;2,1," ")</f>
        <v xml:space="preserve"> </v>
      </c>
      <c r="E3826" s="113" t="str">
        <f>IF(Table1722[[#This Row],[Lawan Transaksi]]="CV AGUNG KARYA",COUNTIF($I$10:I3826,"CV AGUNG KARYA")," ")</f>
        <v xml:space="preserve"> </v>
      </c>
      <c r="F3826" s="107" t="str">
        <f>IF(LEN(Table1722[[#This Row],[Uraian]])&gt;2,TRIM(RIGHT(SUBSTITUTE(TRIM(C3826)," ",REPT(" ",255)),255))," ")</f>
        <v xml:space="preserve"> </v>
      </c>
      <c r="G3826" s="110">
        <f>COPY!Z3818</f>
        <v>0</v>
      </c>
      <c r="H3826" s="111" t="str">
        <f>IFERROR(VLOOKUP(Table1722[[#This Row],[Bukti]],'Un nOTA'!$A$4:$K$5003,10,FALSE),"")</f>
        <v/>
      </c>
      <c r="I3826" s="123" t="str">
        <f>IFERROR(VLOOKUP(Table1722[[#This Row],[Bukti]],Table13[#Data],11,FALSE),"")</f>
        <v/>
      </c>
    </row>
    <row r="3827" spans="1:9" hidden="1" x14ac:dyDescent="0.2">
      <c r="A3827" s="105" t="str">
        <f>IF(D3827=1,COUNTIF($D$10:D3827,1)," ")</f>
        <v xml:space="preserve"> </v>
      </c>
      <c r="B3827" s="106">
        <f>COPY!AR3819</f>
        <v>0</v>
      </c>
      <c r="C3827" s="107">
        <f>COPY!AC3819</f>
        <v>0</v>
      </c>
      <c r="D3827" s="107" t="str">
        <f>IF(LEN(Table1722[[#This Row],[Uraian]])&gt;2,1," ")</f>
        <v xml:space="preserve"> </v>
      </c>
      <c r="E3827" s="113" t="str">
        <f>IF(Table1722[[#This Row],[Lawan Transaksi]]="CV AGUNG KARYA",COUNTIF($I$10:I3827,"CV AGUNG KARYA")," ")</f>
        <v xml:space="preserve"> </v>
      </c>
      <c r="F3827" s="107" t="str">
        <f>IF(LEN(Table1722[[#This Row],[Uraian]])&gt;2,TRIM(RIGHT(SUBSTITUTE(TRIM(C3827)," ",REPT(" ",255)),255))," ")</f>
        <v xml:space="preserve"> </v>
      </c>
      <c r="G3827" s="110">
        <f>COPY!Z3819</f>
        <v>0</v>
      </c>
      <c r="H3827" s="111" t="str">
        <f>IFERROR(VLOOKUP(Table1722[[#This Row],[Bukti]],'Un nOTA'!$A$4:$K$5003,10,FALSE),"")</f>
        <v/>
      </c>
      <c r="I3827" s="123" t="str">
        <f>IFERROR(VLOOKUP(Table1722[[#This Row],[Bukti]],Table13[#Data],11,FALSE),"")</f>
        <v/>
      </c>
    </row>
    <row r="3828" spans="1:9" hidden="1" x14ac:dyDescent="0.2">
      <c r="A3828" s="105" t="str">
        <f>IF(D3828=1,COUNTIF($D$10:D3828,1)," ")</f>
        <v xml:space="preserve"> </v>
      </c>
      <c r="B3828" s="106">
        <f>COPY!AR3820</f>
        <v>0</v>
      </c>
      <c r="C3828" s="107">
        <f>COPY!AC3820</f>
        <v>0</v>
      </c>
      <c r="D3828" s="107" t="str">
        <f>IF(LEN(Table1722[[#This Row],[Uraian]])&gt;2,1," ")</f>
        <v xml:space="preserve"> </v>
      </c>
      <c r="E3828" s="113" t="str">
        <f>IF(Table1722[[#This Row],[Lawan Transaksi]]="CV AGUNG KARYA",COUNTIF($I$10:I3828,"CV AGUNG KARYA")," ")</f>
        <v xml:space="preserve"> </v>
      </c>
      <c r="F3828" s="107" t="str">
        <f>IF(LEN(Table1722[[#This Row],[Uraian]])&gt;2,TRIM(RIGHT(SUBSTITUTE(TRIM(C3828)," ",REPT(" ",255)),255))," ")</f>
        <v xml:space="preserve"> </v>
      </c>
      <c r="G3828" s="110">
        <f>COPY!Z3820</f>
        <v>0</v>
      </c>
      <c r="H3828" s="111" t="str">
        <f>IFERROR(VLOOKUP(Table1722[[#This Row],[Bukti]],'Un nOTA'!$A$4:$K$5003,10,FALSE),"")</f>
        <v/>
      </c>
      <c r="I3828" s="123" t="str">
        <f>IFERROR(VLOOKUP(Table1722[[#This Row],[Bukti]],Table13[#Data],11,FALSE),"")</f>
        <v/>
      </c>
    </row>
    <row r="3829" spans="1:9" hidden="1" x14ac:dyDescent="0.2">
      <c r="A3829" s="105" t="str">
        <f>IF(D3829=1,COUNTIF($D$10:D3829,1)," ")</f>
        <v xml:space="preserve"> </v>
      </c>
      <c r="B3829" s="106">
        <f>COPY!AR3821</f>
        <v>0</v>
      </c>
      <c r="C3829" s="107">
        <f>COPY!AC3821</f>
        <v>0</v>
      </c>
      <c r="D3829" s="107" t="str">
        <f>IF(LEN(Table1722[[#This Row],[Uraian]])&gt;2,1," ")</f>
        <v xml:space="preserve"> </v>
      </c>
      <c r="E3829" s="113" t="str">
        <f>IF(Table1722[[#This Row],[Lawan Transaksi]]="CV AGUNG KARYA",COUNTIF($I$10:I3829,"CV AGUNG KARYA")," ")</f>
        <v xml:space="preserve"> </v>
      </c>
      <c r="F3829" s="107" t="str">
        <f>IF(LEN(Table1722[[#This Row],[Uraian]])&gt;2,TRIM(RIGHT(SUBSTITUTE(TRIM(C3829)," ",REPT(" ",255)),255))," ")</f>
        <v xml:space="preserve"> </v>
      </c>
      <c r="G3829" s="110">
        <f>COPY!Z3821</f>
        <v>0</v>
      </c>
      <c r="H3829" s="111" t="str">
        <f>IFERROR(VLOOKUP(Table1722[[#This Row],[Bukti]],'Un nOTA'!$A$4:$K$5003,10,FALSE),"")</f>
        <v/>
      </c>
      <c r="I3829" s="123" t="str">
        <f>IFERROR(VLOOKUP(Table1722[[#This Row],[Bukti]],Table13[#Data],11,FALSE),"")</f>
        <v/>
      </c>
    </row>
    <row r="3830" spans="1:9" hidden="1" x14ac:dyDescent="0.2">
      <c r="A3830" s="105" t="str">
        <f>IF(D3830=1,COUNTIF($D$10:D3830,1)," ")</f>
        <v xml:space="preserve"> </v>
      </c>
      <c r="B3830" s="106">
        <f>COPY!AR3822</f>
        <v>0</v>
      </c>
      <c r="C3830" s="107">
        <f>COPY!AC3822</f>
        <v>0</v>
      </c>
      <c r="D3830" s="107" t="str">
        <f>IF(LEN(Table1722[[#This Row],[Uraian]])&gt;2,1," ")</f>
        <v xml:space="preserve"> </v>
      </c>
      <c r="E3830" s="113" t="str">
        <f>IF(Table1722[[#This Row],[Lawan Transaksi]]="CV AGUNG KARYA",COUNTIF($I$10:I3830,"CV AGUNG KARYA")," ")</f>
        <v xml:space="preserve"> </v>
      </c>
      <c r="F3830" s="107" t="str">
        <f>IF(LEN(Table1722[[#This Row],[Uraian]])&gt;2,TRIM(RIGHT(SUBSTITUTE(TRIM(C3830)," ",REPT(" ",255)),255))," ")</f>
        <v xml:space="preserve"> </v>
      </c>
      <c r="G3830" s="110">
        <f>COPY!Z3822</f>
        <v>0</v>
      </c>
      <c r="H3830" s="111" t="str">
        <f>IFERROR(VLOOKUP(Table1722[[#This Row],[Bukti]],'Un nOTA'!$A$4:$K$5003,10,FALSE),"")</f>
        <v/>
      </c>
      <c r="I3830" s="123" t="str">
        <f>IFERROR(VLOOKUP(Table1722[[#This Row],[Bukti]],Table13[#Data],11,FALSE),"")</f>
        <v/>
      </c>
    </row>
    <row r="3831" spans="1:9" hidden="1" x14ac:dyDescent="0.2">
      <c r="A3831" s="105" t="str">
        <f>IF(D3831=1,COUNTIF($D$10:D3831,1)," ")</f>
        <v xml:space="preserve"> </v>
      </c>
      <c r="B3831" s="106">
        <f>COPY!AR3823</f>
        <v>0</v>
      </c>
      <c r="C3831" s="107">
        <f>COPY!AC3823</f>
        <v>0</v>
      </c>
      <c r="D3831" s="107" t="str">
        <f>IF(LEN(Table1722[[#This Row],[Uraian]])&gt;2,1," ")</f>
        <v xml:space="preserve"> </v>
      </c>
      <c r="E3831" s="113" t="str">
        <f>IF(Table1722[[#This Row],[Lawan Transaksi]]="CV AGUNG KARYA",COUNTIF($I$10:I3831,"CV AGUNG KARYA")," ")</f>
        <v xml:space="preserve"> </v>
      </c>
      <c r="F3831" s="107" t="str">
        <f>IF(LEN(Table1722[[#This Row],[Uraian]])&gt;2,TRIM(RIGHT(SUBSTITUTE(TRIM(C3831)," ",REPT(" ",255)),255))," ")</f>
        <v xml:space="preserve"> </v>
      </c>
      <c r="G3831" s="110">
        <f>COPY!Z3823</f>
        <v>0</v>
      </c>
      <c r="H3831" s="111" t="str">
        <f>IFERROR(VLOOKUP(Table1722[[#This Row],[Bukti]],'Un nOTA'!$A$4:$K$5003,10,FALSE),"")</f>
        <v/>
      </c>
      <c r="I3831" s="123" t="str">
        <f>IFERROR(VLOOKUP(Table1722[[#This Row],[Bukti]],Table13[#Data],11,FALSE),"")</f>
        <v/>
      </c>
    </row>
    <row r="3832" spans="1:9" hidden="1" x14ac:dyDescent="0.2">
      <c r="A3832" s="105" t="str">
        <f>IF(D3832=1,COUNTIF($D$10:D3832,1)," ")</f>
        <v xml:space="preserve"> </v>
      </c>
      <c r="B3832" s="106">
        <f>COPY!AR3824</f>
        <v>0</v>
      </c>
      <c r="C3832" s="107">
        <f>COPY!AC3824</f>
        <v>0</v>
      </c>
      <c r="D3832" s="107" t="str">
        <f>IF(LEN(Table1722[[#This Row],[Uraian]])&gt;2,1," ")</f>
        <v xml:space="preserve"> </v>
      </c>
      <c r="E3832" s="113" t="str">
        <f>IF(Table1722[[#This Row],[Lawan Transaksi]]="CV AGUNG KARYA",COUNTIF($I$10:I3832,"CV AGUNG KARYA")," ")</f>
        <v xml:space="preserve"> </v>
      </c>
      <c r="F3832" s="107" t="str">
        <f>IF(LEN(Table1722[[#This Row],[Uraian]])&gt;2,TRIM(RIGHT(SUBSTITUTE(TRIM(C3832)," ",REPT(" ",255)),255))," ")</f>
        <v xml:space="preserve"> </v>
      </c>
      <c r="G3832" s="110">
        <f>COPY!Z3824</f>
        <v>0</v>
      </c>
      <c r="H3832" s="111" t="str">
        <f>IFERROR(VLOOKUP(Table1722[[#This Row],[Bukti]],'Un nOTA'!$A$4:$K$5003,10,FALSE),"")</f>
        <v/>
      </c>
      <c r="I3832" s="123" t="str">
        <f>IFERROR(VLOOKUP(Table1722[[#This Row],[Bukti]],Table13[#Data],11,FALSE),"")</f>
        <v/>
      </c>
    </row>
    <row r="3833" spans="1:9" hidden="1" x14ac:dyDescent="0.2">
      <c r="A3833" s="105" t="str">
        <f>IF(D3833=1,COUNTIF($D$10:D3833,1)," ")</f>
        <v xml:space="preserve"> </v>
      </c>
      <c r="B3833" s="106">
        <f>COPY!AR3825</f>
        <v>0</v>
      </c>
      <c r="C3833" s="107">
        <f>COPY!AC3825</f>
        <v>0</v>
      </c>
      <c r="D3833" s="107" t="str">
        <f>IF(LEN(Table1722[[#This Row],[Uraian]])&gt;2,1," ")</f>
        <v xml:space="preserve"> </v>
      </c>
      <c r="E3833" s="113" t="str">
        <f>IF(Table1722[[#This Row],[Lawan Transaksi]]="CV AGUNG KARYA",COUNTIF($I$10:I3833,"CV AGUNG KARYA")," ")</f>
        <v xml:space="preserve"> </v>
      </c>
      <c r="F3833" s="107" t="str">
        <f>IF(LEN(Table1722[[#This Row],[Uraian]])&gt;2,TRIM(RIGHT(SUBSTITUTE(TRIM(C3833)," ",REPT(" ",255)),255))," ")</f>
        <v xml:space="preserve"> </v>
      </c>
      <c r="G3833" s="110">
        <f>COPY!Z3825</f>
        <v>0</v>
      </c>
      <c r="H3833" s="111" t="str">
        <f>IFERROR(VLOOKUP(Table1722[[#This Row],[Bukti]],'Un nOTA'!$A$4:$K$5003,10,FALSE),"")</f>
        <v/>
      </c>
      <c r="I3833" s="123" t="str">
        <f>IFERROR(VLOOKUP(Table1722[[#This Row],[Bukti]],Table13[#Data],11,FALSE),"")</f>
        <v/>
      </c>
    </row>
    <row r="3834" spans="1:9" hidden="1" x14ac:dyDescent="0.2">
      <c r="A3834" s="105" t="str">
        <f>IF(D3834=1,COUNTIF($D$10:D3834,1)," ")</f>
        <v xml:space="preserve"> </v>
      </c>
      <c r="B3834" s="106">
        <f>COPY!AR3826</f>
        <v>0</v>
      </c>
      <c r="C3834" s="107">
        <f>COPY!AC3826</f>
        <v>0</v>
      </c>
      <c r="D3834" s="107" t="str">
        <f>IF(LEN(Table1722[[#This Row],[Uraian]])&gt;2,1," ")</f>
        <v xml:space="preserve"> </v>
      </c>
      <c r="E3834" s="113" t="str">
        <f>IF(Table1722[[#This Row],[Lawan Transaksi]]="CV AGUNG KARYA",COUNTIF($I$10:I3834,"CV AGUNG KARYA")," ")</f>
        <v xml:space="preserve"> </v>
      </c>
      <c r="F3834" s="107" t="str">
        <f>IF(LEN(Table1722[[#This Row],[Uraian]])&gt;2,TRIM(RIGHT(SUBSTITUTE(TRIM(C3834)," ",REPT(" ",255)),255))," ")</f>
        <v xml:space="preserve"> </v>
      </c>
      <c r="G3834" s="110">
        <f>COPY!Z3826</f>
        <v>0</v>
      </c>
      <c r="H3834" s="111" t="str">
        <f>IFERROR(VLOOKUP(Table1722[[#This Row],[Bukti]],'Un nOTA'!$A$4:$K$5003,10,FALSE),"")</f>
        <v/>
      </c>
      <c r="I3834" s="123" t="str">
        <f>IFERROR(VLOOKUP(Table1722[[#This Row],[Bukti]],Table13[#Data],11,FALSE),"")</f>
        <v/>
      </c>
    </row>
    <row r="3835" spans="1:9" hidden="1" x14ac:dyDescent="0.2">
      <c r="A3835" s="105" t="str">
        <f>IF(D3835=1,COUNTIF($D$10:D3835,1)," ")</f>
        <v xml:space="preserve"> </v>
      </c>
      <c r="B3835" s="106">
        <f>COPY!AR3827</f>
        <v>0</v>
      </c>
      <c r="C3835" s="107">
        <f>COPY!AC3827</f>
        <v>0</v>
      </c>
      <c r="D3835" s="107" t="str">
        <f>IF(LEN(Table1722[[#This Row],[Uraian]])&gt;2,1," ")</f>
        <v xml:space="preserve"> </v>
      </c>
      <c r="E3835" s="113" t="str">
        <f>IF(Table1722[[#This Row],[Lawan Transaksi]]="CV AGUNG KARYA",COUNTIF($I$10:I3835,"CV AGUNG KARYA")," ")</f>
        <v xml:space="preserve"> </v>
      </c>
      <c r="F3835" s="107" t="str">
        <f>IF(LEN(Table1722[[#This Row],[Uraian]])&gt;2,TRIM(RIGHT(SUBSTITUTE(TRIM(C3835)," ",REPT(" ",255)),255))," ")</f>
        <v xml:space="preserve"> </v>
      </c>
      <c r="G3835" s="110">
        <f>COPY!Z3827</f>
        <v>0</v>
      </c>
      <c r="H3835" s="111" t="str">
        <f>IFERROR(VLOOKUP(Table1722[[#This Row],[Bukti]],'Un nOTA'!$A$4:$K$5003,10,FALSE),"")</f>
        <v/>
      </c>
      <c r="I3835" s="123" t="str">
        <f>IFERROR(VLOOKUP(Table1722[[#This Row],[Bukti]],Table13[#Data],11,FALSE),"")</f>
        <v/>
      </c>
    </row>
    <row r="3836" spans="1:9" hidden="1" x14ac:dyDescent="0.2">
      <c r="A3836" s="105" t="str">
        <f>IF(D3836=1,COUNTIF($D$10:D3836,1)," ")</f>
        <v xml:space="preserve"> </v>
      </c>
      <c r="B3836" s="106">
        <f>COPY!AR3828</f>
        <v>0</v>
      </c>
      <c r="C3836" s="107">
        <f>COPY!AC3828</f>
        <v>0</v>
      </c>
      <c r="D3836" s="107" t="str">
        <f>IF(LEN(Table1722[[#This Row],[Uraian]])&gt;2,1," ")</f>
        <v xml:space="preserve"> </v>
      </c>
      <c r="E3836" s="113" t="str">
        <f>IF(Table1722[[#This Row],[Lawan Transaksi]]="CV AGUNG KARYA",COUNTIF($I$10:I3836,"CV AGUNG KARYA")," ")</f>
        <v xml:space="preserve"> </v>
      </c>
      <c r="F3836" s="107" t="str">
        <f>IF(LEN(Table1722[[#This Row],[Uraian]])&gt;2,TRIM(RIGHT(SUBSTITUTE(TRIM(C3836)," ",REPT(" ",255)),255))," ")</f>
        <v xml:space="preserve"> </v>
      </c>
      <c r="G3836" s="110">
        <f>COPY!Z3828</f>
        <v>0</v>
      </c>
      <c r="H3836" s="111" t="str">
        <f>IFERROR(VLOOKUP(Table1722[[#This Row],[Bukti]],'Un nOTA'!$A$4:$K$5003,10,FALSE),"")</f>
        <v/>
      </c>
      <c r="I3836" s="123" t="str">
        <f>IFERROR(VLOOKUP(Table1722[[#This Row],[Bukti]],Table13[#Data],11,FALSE),"")</f>
        <v/>
      </c>
    </row>
    <row r="3837" spans="1:9" hidden="1" x14ac:dyDescent="0.2">
      <c r="A3837" s="105" t="str">
        <f>IF(D3837=1,COUNTIF($D$10:D3837,1)," ")</f>
        <v xml:space="preserve"> </v>
      </c>
      <c r="B3837" s="106">
        <f>COPY!AR3829</f>
        <v>0</v>
      </c>
      <c r="C3837" s="107">
        <f>COPY!AC3829</f>
        <v>0</v>
      </c>
      <c r="D3837" s="107" t="str">
        <f>IF(LEN(Table1722[[#This Row],[Uraian]])&gt;2,1," ")</f>
        <v xml:space="preserve"> </v>
      </c>
      <c r="E3837" s="113" t="str">
        <f>IF(Table1722[[#This Row],[Lawan Transaksi]]="CV AGUNG KARYA",COUNTIF($I$10:I3837,"CV AGUNG KARYA")," ")</f>
        <v xml:space="preserve"> </v>
      </c>
      <c r="F3837" s="107" t="str">
        <f>IF(LEN(Table1722[[#This Row],[Uraian]])&gt;2,TRIM(RIGHT(SUBSTITUTE(TRIM(C3837)," ",REPT(" ",255)),255))," ")</f>
        <v xml:space="preserve"> </v>
      </c>
      <c r="G3837" s="110">
        <f>COPY!Z3829</f>
        <v>0</v>
      </c>
      <c r="H3837" s="111" t="str">
        <f>IFERROR(VLOOKUP(Table1722[[#This Row],[Bukti]],'Un nOTA'!$A$4:$K$5003,10,FALSE),"")</f>
        <v/>
      </c>
      <c r="I3837" s="123" t="str">
        <f>IFERROR(VLOOKUP(Table1722[[#This Row],[Bukti]],Table13[#Data],11,FALSE),"")</f>
        <v/>
      </c>
    </row>
    <row r="3838" spans="1:9" hidden="1" x14ac:dyDescent="0.2">
      <c r="A3838" s="105" t="str">
        <f>IF(D3838=1,COUNTIF($D$10:D3838,1)," ")</f>
        <v xml:space="preserve"> </v>
      </c>
      <c r="B3838" s="106">
        <f>COPY!AR3830</f>
        <v>0</v>
      </c>
      <c r="C3838" s="107">
        <f>COPY!AC3830</f>
        <v>0</v>
      </c>
      <c r="D3838" s="107" t="str">
        <f>IF(LEN(Table1722[[#This Row],[Uraian]])&gt;2,1," ")</f>
        <v xml:space="preserve"> </v>
      </c>
      <c r="E3838" s="113" t="str">
        <f>IF(Table1722[[#This Row],[Lawan Transaksi]]="CV AGUNG KARYA",COUNTIF($I$10:I3838,"CV AGUNG KARYA")," ")</f>
        <v xml:space="preserve"> </v>
      </c>
      <c r="F3838" s="107" t="str">
        <f>IF(LEN(Table1722[[#This Row],[Uraian]])&gt;2,TRIM(RIGHT(SUBSTITUTE(TRIM(C3838)," ",REPT(" ",255)),255))," ")</f>
        <v xml:space="preserve"> </v>
      </c>
      <c r="G3838" s="110">
        <f>COPY!Z3830</f>
        <v>0</v>
      </c>
      <c r="H3838" s="111" t="str">
        <f>IFERROR(VLOOKUP(Table1722[[#This Row],[Bukti]],'Un nOTA'!$A$4:$K$5003,10,FALSE),"")</f>
        <v/>
      </c>
      <c r="I3838" s="123" t="str">
        <f>IFERROR(VLOOKUP(Table1722[[#This Row],[Bukti]],Table13[#Data],11,FALSE),"")</f>
        <v/>
      </c>
    </row>
    <row r="3839" spans="1:9" hidden="1" x14ac:dyDescent="0.2">
      <c r="A3839" s="105" t="str">
        <f>IF(D3839=1,COUNTIF($D$10:D3839,1)," ")</f>
        <v xml:space="preserve"> </v>
      </c>
      <c r="B3839" s="106">
        <f>COPY!AR3831</f>
        <v>0</v>
      </c>
      <c r="C3839" s="107">
        <f>COPY!AC3831</f>
        <v>0</v>
      </c>
      <c r="D3839" s="107" t="str">
        <f>IF(LEN(Table1722[[#This Row],[Uraian]])&gt;2,1," ")</f>
        <v xml:space="preserve"> </v>
      </c>
      <c r="E3839" s="113" t="str">
        <f>IF(Table1722[[#This Row],[Lawan Transaksi]]="CV AGUNG KARYA",COUNTIF($I$10:I3839,"CV AGUNG KARYA")," ")</f>
        <v xml:space="preserve"> </v>
      </c>
      <c r="F3839" s="107" t="str">
        <f>IF(LEN(Table1722[[#This Row],[Uraian]])&gt;2,TRIM(RIGHT(SUBSTITUTE(TRIM(C3839)," ",REPT(" ",255)),255))," ")</f>
        <v xml:space="preserve"> </v>
      </c>
      <c r="G3839" s="110">
        <f>COPY!Z3831</f>
        <v>0</v>
      </c>
      <c r="H3839" s="111" t="str">
        <f>IFERROR(VLOOKUP(Table1722[[#This Row],[Bukti]],'Un nOTA'!$A$4:$K$5003,10,FALSE),"")</f>
        <v/>
      </c>
      <c r="I3839" s="123" t="str">
        <f>IFERROR(VLOOKUP(Table1722[[#This Row],[Bukti]],Table13[#Data],11,FALSE),"")</f>
        <v/>
      </c>
    </row>
    <row r="3840" spans="1:9" hidden="1" x14ac:dyDescent="0.2">
      <c r="A3840" s="105" t="str">
        <f>IF(D3840=1,COUNTIF($D$10:D3840,1)," ")</f>
        <v xml:space="preserve"> </v>
      </c>
      <c r="B3840" s="106">
        <f>COPY!AR3832</f>
        <v>0</v>
      </c>
      <c r="C3840" s="107">
        <f>COPY!AC3832</f>
        <v>0</v>
      </c>
      <c r="D3840" s="107" t="str">
        <f>IF(LEN(Table1722[[#This Row],[Uraian]])&gt;2,1," ")</f>
        <v xml:space="preserve"> </v>
      </c>
      <c r="E3840" s="113" t="str">
        <f>IF(Table1722[[#This Row],[Lawan Transaksi]]="CV AGUNG KARYA",COUNTIF($I$10:I3840,"CV AGUNG KARYA")," ")</f>
        <v xml:space="preserve"> </v>
      </c>
      <c r="F3840" s="107" t="str">
        <f>IF(LEN(Table1722[[#This Row],[Uraian]])&gt;2,TRIM(RIGHT(SUBSTITUTE(TRIM(C3840)," ",REPT(" ",255)),255))," ")</f>
        <v xml:space="preserve"> </v>
      </c>
      <c r="G3840" s="110">
        <f>COPY!Z3832</f>
        <v>0</v>
      </c>
      <c r="H3840" s="111" t="str">
        <f>IFERROR(VLOOKUP(Table1722[[#This Row],[Bukti]],'Un nOTA'!$A$4:$K$5003,10,FALSE),"")</f>
        <v/>
      </c>
      <c r="I3840" s="123" t="str">
        <f>IFERROR(VLOOKUP(Table1722[[#This Row],[Bukti]],Table13[#Data],11,FALSE),"")</f>
        <v/>
      </c>
    </row>
    <row r="3841" spans="1:9" hidden="1" x14ac:dyDescent="0.2">
      <c r="A3841" s="105" t="str">
        <f>IF(D3841=1,COUNTIF($D$10:D3841,1)," ")</f>
        <v xml:space="preserve"> </v>
      </c>
      <c r="B3841" s="106">
        <f>COPY!AR3833</f>
        <v>0</v>
      </c>
      <c r="C3841" s="107">
        <f>COPY!AC3833</f>
        <v>0</v>
      </c>
      <c r="D3841" s="107" t="str">
        <f>IF(LEN(Table1722[[#This Row],[Uraian]])&gt;2,1," ")</f>
        <v xml:space="preserve"> </v>
      </c>
      <c r="E3841" s="113" t="str">
        <f>IF(Table1722[[#This Row],[Lawan Transaksi]]="CV AGUNG KARYA",COUNTIF($I$10:I3841,"CV AGUNG KARYA")," ")</f>
        <v xml:space="preserve"> </v>
      </c>
      <c r="F3841" s="107" t="str">
        <f>IF(LEN(Table1722[[#This Row],[Uraian]])&gt;2,TRIM(RIGHT(SUBSTITUTE(TRIM(C3841)," ",REPT(" ",255)),255))," ")</f>
        <v xml:space="preserve"> </v>
      </c>
      <c r="G3841" s="110">
        <f>COPY!Z3833</f>
        <v>0</v>
      </c>
      <c r="H3841" s="111" t="str">
        <f>IFERROR(VLOOKUP(Table1722[[#This Row],[Bukti]],'Un nOTA'!$A$4:$K$5003,10,FALSE),"")</f>
        <v/>
      </c>
      <c r="I3841" s="123" t="str">
        <f>IFERROR(VLOOKUP(Table1722[[#This Row],[Bukti]],Table13[#Data],11,FALSE),"")</f>
        <v/>
      </c>
    </row>
    <row r="3842" spans="1:9" hidden="1" x14ac:dyDescent="0.2">
      <c r="A3842" s="105" t="str">
        <f>IF(D3842=1,COUNTIF($D$10:D3842,1)," ")</f>
        <v xml:space="preserve"> </v>
      </c>
      <c r="B3842" s="106">
        <f>COPY!AR3834</f>
        <v>0</v>
      </c>
      <c r="C3842" s="107">
        <f>COPY!AC3834</f>
        <v>0</v>
      </c>
      <c r="D3842" s="107" t="str">
        <f>IF(LEN(Table1722[[#This Row],[Uraian]])&gt;2,1," ")</f>
        <v xml:space="preserve"> </v>
      </c>
      <c r="E3842" s="113" t="str">
        <f>IF(Table1722[[#This Row],[Lawan Transaksi]]="CV AGUNG KARYA",COUNTIF($I$10:I3842,"CV AGUNG KARYA")," ")</f>
        <v xml:space="preserve"> </v>
      </c>
      <c r="F3842" s="107" t="str">
        <f>IF(LEN(Table1722[[#This Row],[Uraian]])&gt;2,TRIM(RIGHT(SUBSTITUTE(TRIM(C3842)," ",REPT(" ",255)),255))," ")</f>
        <v xml:space="preserve"> </v>
      </c>
      <c r="G3842" s="110">
        <f>COPY!Z3834</f>
        <v>0</v>
      </c>
      <c r="H3842" s="111" t="str">
        <f>IFERROR(VLOOKUP(Table1722[[#This Row],[Bukti]],'Un nOTA'!$A$4:$K$5003,10,FALSE),"")</f>
        <v/>
      </c>
      <c r="I3842" s="123" t="str">
        <f>IFERROR(VLOOKUP(Table1722[[#This Row],[Bukti]],Table13[#Data],11,FALSE),"")</f>
        <v/>
      </c>
    </row>
    <row r="3843" spans="1:9" hidden="1" x14ac:dyDescent="0.2">
      <c r="A3843" s="105" t="str">
        <f>IF(D3843=1,COUNTIF($D$10:D3843,1)," ")</f>
        <v xml:space="preserve"> </v>
      </c>
      <c r="B3843" s="106">
        <f>COPY!AR3835</f>
        <v>0</v>
      </c>
      <c r="C3843" s="107">
        <f>COPY!AC3835</f>
        <v>0</v>
      </c>
      <c r="D3843" s="107" t="str">
        <f>IF(LEN(Table1722[[#This Row],[Uraian]])&gt;2,1," ")</f>
        <v xml:space="preserve"> </v>
      </c>
      <c r="E3843" s="113" t="str">
        <f>IF(Table1722[[#This Row],[Lawan Transaksi]]="CV AGUNG KARYA",COUNTIF($I$10:I3843,"CV AGUNG KARYA")," ")</f>
        <v xml:space="preserve"> </v>
      </c>
      <c r="F3843" s="107" t="str">
        <f>IF(LEN(Table1722[[#This Row],[Uraian]])&gt;2,TRIM(RIGHT(SUBSTITUTE(TRIM(C3843)," ",REPT(" ",255)),255))," ")</f>
        <v xml:space="preserve"> </v>
      </c>
      <c r="G3843" s="110">
        <f>COPY!Z3835</f>
        <v>0</v>
      </c>
      <c r="H3843" s="111" t="str">
        <f>IFERROR(VLOOKUP(Table1722[[#This Row],[Bukti]],'Un nOTA'!$A$4:$K$5003,10,FALSE),"")</f>
        <v/>
      </c>
      <c r="I3843" s="123" t="str">
        <f>IFERROR(VLOOKUP(Table1722[[#This Row],[Bukti]],Table13[#Data],11,FALSE),"")</f>
        <v/>
      </c>
    </row>
    <row r="3844" spans="1:9" hidden="1" x14ac:dyDescent="0.2">
      <c r="A3844" s="105" t="str">
        <f>IF(D3844=1,COUNTIF($D$10:D3844,1)," ")</f>
        <v xml:space="preserve"> </v>
      </c>
      <c r="B3844" s="106">
        <f>COPY!AR3836</f>
        <v>0</v>
      </c>
      <c r="C3844" s="107">
        <f>COPY!AC3836</f>
        <v>0</v>
      </c>
      <c r="D3844" s="107" t="str">
        <f>IF(LEN(Table1722[[#This Row],[Uraian]])&gt;2,1," ")</f>
        <v xml:space="preserve"> </v>
      </c>
      <c r="E3844" s="113" t="str">
        <f>IF(Table1722[[#This Row],[Lawan Transaksi]]="CV AGUNG KARYA",COUNTIF($I$10:I3844,"CV AGUNG KARYA")," ")</f>
        <v xml:space="preserve"> </v>
      </c>
      <c r="F3844" s="107" t="str">
        <f>IF(LEN(Table1722[[#This Row],[Uraian]])&gt;2,TRIM(RIGHT(SUBSTITUTE(TRIM(C3844)," ",REPT(" ",255)),255))," ")</f>
        <v xml:space="preserve"> </v>
      </c>
      <c r="G3844" s="110">
        <f>COPY!Z3836</f>
        <v>0</v>
      </c>
      <c r="H3844" s="111" t="str">
        <f>IFERROR(VLOOKUP(Table1722[[#This Row],[Bukti]],'Un nOTA'!$A$4:$K$5003,10,FALSE),"")</f>
        <v/>
      </c>
      <c r="I3844" s="123" t="str">
        <f>IFERROR(VLOOKUP(Table1722[[#This Row],[Bukti]],Table13[#Data],11,FALSE),"")</f>
        <v/>
      </c>
    </row>
    <row r="3845" spans="1:9" hidden="1" x14ac:dyDescent="0.2">
      <c r="A3845" s="105" t="str">
        <f>IF(D3845=1,COUNTIF($D$10:D3845,1)," ")</f>
        <v xml:space="preserve"> </v>
      </c>
      <c r="B3845" s="106">
        <f>COPY!AR3837</f>
        <v>0</v>
      </c>
      <c r="C3845" s="107">
        <f>COPY!AC3837</f>
        <v>0</v>
      </c>
      <c r="D3845" s="107" t="str">
        <f>IF(LEN(Table1722[[#This Row],[Uraian]])&gt;2,1," ")</f>
        <v xml:space="preserve"> </v>
      </c>
      <c r="E3845" s="113" t="str">
        <f>IF(Table1722[[#This Row],[Lawan Transaksi]]="CV AGUNG KARYA",COUNTIF($I$10:I3845,"CV AGUNG KARYA")," ")</f>
        <v xml:space="preserve"> </v>
      </c>
      <c r="F3845" s="107" t="str">
        <f>IF(LEN(Table1722[[#This Row],[Uraian]])&gt;2,TRIM(RIGHT(SUBSTITUTE(TRIM(C3845)," ",REPT(" ",255)),255))," ")</f>
        <v xml:space="preserve"> </v>
      </c>
      <c r="G3845" s="110">
        <f>COPY!Z3837</f>
        <v>0</v>
      </c>
      <c r="H3845" s="111" t="str">
        <f>IFERROR(VLOOKUP(Table1722[[#This Row],[Bukti]],'Un nOTA'!$A$4:$K$5003,10,FALSE),"")</f>
        <v/>
      </c>
      <c r="I3845" s="123" t="str">
        <f>IFERROR(VLOOKUP(Table1722[[#This Row],[Bukti]],Table13[#Data],11,FALSE),"")</f>
        <v/>
      </c>
    </row>
    <row r="3846" spans="1:9" hidden="1" x14ac:dyDescent="0.2">
      <c r="A3846" s="105" t="str">
        <f>IF(D3846=1,COUNTIF($D$10:D3846,1)," ")</f>
        <v xml:space="preserve"> </v>
      </c>
      <c r="B3846" s="106">
        <f>COPY!AR3838</f>
        <v>0</v>
      </c>
      <c r="C3846" s="107">
        <f>COPY!AC3838</f>
        <v>0</v>
      </c>
      <c r="D3846" s="107" t="str">
        <f>IF(LEN(Table1722[[#This Row],[Uraian]])&gt;2,1," ")</f>
        <v xml:space="preserve"> </v>
      </c>
      <c r="E3846" s="113" t="str">
        <f>IF(Table1722[[#This Row],[Lawan Transaksi]]="CV AGUNG KARYA",COUNTIF($I$10:I3846,"CV AGUNG KARYA")," ")</f>
        <v xml:space="preserve"> </v>
      </c>
      <c r="F3846" s="107" t="str">
        <f>IF(LEN(Table1722[[#This Row],[Uraian]])&gt;2,TRIM(RIGHT(SUBSTITUTE(TRIM(C3846)," ",REPT(" ",255)),255))," ")</f>
        <v xml:space="preserve"> </v>
      </c>
      <c r="G3846" s="110">
        <f>COPY!Z3838</f>
        <v>0</v>
      </c>
      <c r="H3846" s="111" t="str">
        <f>IFERROR(VLOOKUP(Table1722[[#This Row],[Bukti]],'Un nOTA'!$A$4:$K$5003,10,FALSE),"")</f>
        <v/>
      </c>
      <c r="I3846" s="123" t="str">
        <f>IFERROR(VLOOKUP(Table1722[[#This Row],[Bukti]],Table13[#Data],11,FALSE),"")</f>
        <v/>
      </c>
    </row>
    <row r="3847" spans="1:9" hidden="1" x14ac:dyDescent="0.2">
      <c r="A3847" s="105" t="str">
        <f>IF(D3847=1,COUNTIF($D$10:D3847,1)," ")</f>
        <v xml:space="preserve"> </v>
      </c>
      <c r="B3847" s="106">
        <f>COPY!AR3839</f>
        <v>0</v>
      </c>
      <c r="C3847" s="107">
        <f>COPY!AC3839</f>
        <v>0</v>
      </c>
      <c r="D3847" s="107" t="str">
        <f>IF(LEN(Table1722[[#This Row],[Uraian]])&gt;2,1," ")</f>
        <v xml:space="preserve"> </v>
      </c>
      <c r="E3847" s="113" t="str">
        <f>IF(Table1722[[#This Row],[Lawan Transaksi]]="CV AGUNG KARYA",COUNTIF($I$10:I3847,"CV AGUNG KARYA")," ")</f>
        <v xml:space="preserve"> </v>
      </c>
      <c r="F3847" s="107" t="str">
        <f>IF(LEN(Table1722[[#This Row],[Uraian]])&gt;2,TRIM(RIGHT(SUBSTITUTE(TRIM(C3847)," ",REPT(" ",255)),255))," ")</f>
        <v xml:space="preserve"> </v>
      </c>
      <c r="G3847" s="110">
        <f>COPY!Z3839</f>
        <v>0</v>
      </c>
      <c r="H3847" s="111" t="str">
        <f>IFERROR(VLOOKUP(Table1722[[#This Row],[Bukti]],'Un nOTA'!$A$4:$K$5003,10,FALSE),"")</f>
        <v/>
      </c>
      <c r="I3847" s="123" t="str">
        <f>IFERROR(VLOOKUP(Table1722[[#This Row],[Bukti]],Table13[#Data],11,FALSE),"")</f>
        <v/>
      </c>
    </row>
    <row r="3848" spans="1:9" hidden="1" x14ac:dyDescent="0.2">
      <c r="A3848" s="105" t="str">
        <f>IF(D3848=1,COUNTIF($D$10:D3848,1)," ")</f>
        <v xml:space="preserve"> </v>
      </c>
      <c r="B3848" s="106">
        <f>COPY!AR3840</f>
        <v>0</v>
      </c>
      <c r="C3848" s="107">
        <f>COPY!AC3840</f>
        <v>0</v>
      </c>
      <c r="D3848" s="107" t="str">
        <f>IF(LEN(Table1722[[#This Row],[Uraian]])&gt;2,1," ")</f>
        <v xml:space="preserve"> </v>
      </c>
      <c r="E3848" s="113" t="str">
        <f>IF(Table1722[[#This Row],[Lawan Transaksi]]="CV AGUNG KARYA",COUNTIF($I$10:I3848,"CV AGUNG KARYA")," ")</f>
        <v xml:space="preserve"> </v>
      </c>
      <c r="F3848" s="107" t="str">
        <f>IF(LEN(Table1722[[#This Row],[Uraian]])&gt;2,TRIM(RIGHT(SUBSTITUTE(TRIM(C3848)," ",REPT(" ",255)),255))," ")</f>
        <v xml:space="preserve"> </v>
      </c>
      <c r="G3848" s="110">
        <f>COPY!Z3840</f>
        <v>0</v>
      </c>
      <c r="H3848" s="111" t="str">
        <f>IFERROR(VLOOKUP(Table1722[[#This Row],[Bukti]],'Un nOTA'!$A$4:$K$5003,10,FALSE),"")</f>
        <v/>
      </c>
      <c r="I3848" s="123" t="str">
        <f>IFERROR(VLOOKUP(Table1722[[#This Row],[Bukti]],Table13[#Data],11,FALSE),"")</f>
        <v/>
      </c>
    </row>
    <row r="3849" spans="1:9" hidden="1" x14ac:dyDescent="0.2">
      <c r="A3849" s="105" t="str">
        <f>IF(D3849=1,COUNTIF($D$10:D3849,1)," ")</f>
        <v xml:space="preserve"> </v>
      </c>
      <c r="B3849" s="106">
        <f>COPY!AR3841</f>
        <v>0</v>
      </c>
      <c r="C3849" s="107">
        <f>COPY!AC3841</f>
        <v>0</v>
      </c>
      <c r="D3849" s="107" t="str">
        <f>IF(LEN(Table1722[[#This Row],[Uraian]])&gt;2,1," ")</f>
        <v xml:space="preserve"> </v>
      </c>
      <c r="E3849" s="113" t="str">
        <f>IF(Table1722[[#This Row],[Lawan Transaksi]]="CV AGUNG KARYA",COUNTIF($I$10:I3849,"CV AGUNG KARYA")," ")</f>
        <v xml:space="preserve"> </v>
      </c>
      <c r="F3849" s="107" t="str">
        <f>IF(LEN(Table1722[[#This Row],[Uraian]])&gt;2,TRIM(RIGHT(SUBSTITUTE(TRIM(C3849)," ",REPT(" ",255)),255))," ")</f>
        <v xml:space="preserve"> </v>
      </c>
      <c r="G3849" s="110">
        <f>COPY!Z3841</f>
        <v>0</v>
      </c>
      <c r="H3849" s="111" t="str">
        <f>IFERROR(VLOOKUP(Table1722[[#This Row],[Bukti]],'Un nOTA'!$A$4:$K$5003,10,FALSE),"")</f>
        <v/>
      </c>
      <c r="I3849" s="123" t="str">
        <f>IFERROR(VLOOKUP(Table1722[[#This Row],[Bukti]],Table13[#Data],11,FALSE),"")</f>
        <v/>
      </c>
    </row>
    <row r="3850" spans="1:9" hidden="1" x14ac:dyDescent="0.2">
      <c r="A3850" s="105" t="str">
        <f>IF(D3850=1,COUNTIF($D$10:D3850,1)," ")</f>
        <v xml:space="preserve"> </v>
      </c>
      <c r="B3850" s="106">
        <f>COPY!AR3842</f>
        <v>0</v>
      </c>
      <c r="C3850" s="107">
        <f>COPY!AC3842</f>
        <v>0</v>
      </c>
      <c r="D3850" s="107" t="str">
        <f>IF(LEN(Table1722[[#This Row],[Uraian]])&gt;2,1," ")</f>
        <v xml:space="preserve"> </v>
      </c>
      <c r="E3850" s="113" t="str">
        <f>IF(Table1722[[#This Row],[Lawan Transaksi]]="CV AGUNG KARYA",COUNTIF($I$10:I3850,"CV AGUNG KARYA")," ")</f>
        <v xml:space="preserve"> </v>
      </c>
      <c r="F3850" s="107" t="str">
        <f>IF(LEN(Table1722[[#This Row],[Uraian]])&gt;2,TRIM(RIGHT(SUBSTITUTE(TRIM(C3850)," ",REPT(" ",255)),255))," ")</f>
        <v xml:space="preserve"> </v>
      </c>
      <c r="G3850" s="110">
        <f>COPY!Z3842</f>
        <v>0</v>
      </c>
      <c r="H3850" s="111" t="str">
        <f>IFERROR(VLOOKUP(Table1722[[#This Row],[Bukti]],'Un nOTA'!$A$4:$K$5003,10,FALSE),"")</f>
        <v/>
      </c>
      <c r="I3850" s="123" t="str">
        <f>IFERROR(VLOOKUP(Table1722[[#This Row],[Bukti]],Table13[#Data],11,FALSE),"")</f>
        <v/>
      </c>
    </row>
    <row r="3851" spans="1:9" hidden="1" x14ac:dyDescent="0.2">
      <c r="A3851" s="105" t="str">
        <f>IF(D3851=1,COUNTIF($D$10:D3851,1)," ")</f>
        <v xml:space="preserve"> </v>
      </c>
      <c r="B3851" s="106">
        <f>COPY!AR3843</f>
        <v>0</v>
      </c>
      <c r="C3851" s="107">
        <f>COPY!AC3843</f>
        <v>0</v>
      </c>
      <c r="D3851" s="107" t="str">
        <f>IF(LEN(Table1722[[#This Row],[Uraian]])&gt;2,1," ")</f>
        <v xml:space="preserve"> </v>
      </c>
      <c r="E3851" s="113" t="str">
        <f>IF(Table1722[[#This Row],[Lawan Transaksi]]="CV AGUNG KARYA",COUNTIF($I$10:I3851,"CV AGUNG KARYA")," ")</f>
        <v xml:space="preserve"> </v>
      </c>
      <c r="F3851" s="107" t="str">
        <f>IF(LEN(Table1722[[#This Row],[Uraian]])&gt;2,TRIM(RIGHT(SUBSTITUTE(TRIM(C3851)," ",REPT(" ",255)),255))," ")</f>
        <v xml:space="preserve"> </v>
      </c>
      <c r="G3851" s="110">
        <f>COPY!Z3843</f>
        <v>0</v>
      </c>
      <c r="H3851" s="111" t="str">
        <f>IFERROR(VLOOKUP(Table1722[[#This Row],[Bukti]],'Un nOTA'!$A$4:$K$5003,10,FALSE),"")</f>
        <v/>
      </c>
      <c r="I3851" s="123" t="str">
        <f>IFERROR(VLOOKUP(Table1722[[#This Row],[Bukti]],Table13[#Data],11,FALSE),"")</f>
        <v/>
      </c>
    </row>
    <row r="3852" spans="1:9" hidden="1" x14ac:dyDescent="0.2">
      <c r="A3852" s="105" t="str">
        <f>IF(D3852=1,COUNTIF($D$10:D3852,1)," ")</f>
        <v xml:space="preserve"> </v>
      </c>
      <c r="B3852" s="106">
        <f>COPY!AR3844</f>
        <v>0</v>
      </c>
      <c r="C3852" s="107">
        <f>COPY!AC3844</f>
        <v>0</v>
      </c>
      <c r="D3852" s="107" t="str">
        <f>IF(LEN(Table1722[[#This Row],[Uraian]])&gt;2,1," ")</f>
        <v xml:space="preserve"> </v>
      </c>
      <c r="E3852" s="113" t="str">
        <f>IF(Table1722[[#This Row],[Lawan Transaksi]]="CV AGUNG KARYA",COUNTIF($I$10:I3852,"CV AGUNG KARYA")," ")</f>
        <v xml:space="preserve"> </v>
      </c>
      <c r="F3852" s="107" t="str">
        <f>IF(LEN(Table1722[[#This Row],[Uraian]])&gt;2,TRIM(RIGHT(SUBSTITUTE(TRIM(C3852)," ",REPT(" ",255)),255))," ")</f>
        <v xml:space="preserve"> </v>
      </c>
      <c r="G3852" s="110">
        <f>COPY!Z3844</f>
        <v>0</v>
      </c>
      <c r="H3852" s="111" t="str">
        <f>IFERROR(VLOOKUP(Table1722[[#This Row],[Bukti]],'Un nOTA'!$A$4:$K$5003,10,FALSE),"")</f>
        <v/>
      </c>
      <c r="I3852" s="123" t="str">
        <f>IFERROR(VLOOKUP(Table1722[[#This Row],[Bukti]],Table13[#Data],11,FALSE),"")</f>
        <v/>
      </c>
    </row>
    <row r="3853" spans="1:9" hidden="1" x14ac:dyDescent="0.2">
      <c r="A3853" s="105" t="str">
        <f>IF(D3853=1,COUNTIF($D$10:D3853,1)," ")</f>
        <v xml:space="preserve"> </v>
      </c>
      <c r="B3853" s="106">
        <f>COPY!AR3845</f>
        <v>0</v>
      </c>
      <c r="C3853" s="107">
        <f>COPY!AC3845</f>
        <v>0</v>
      </c>
      <c r="D3853" s="107" t="str">
        <f>IF(LEN(Table1722[[#This Row],[Uraian]])&gt;2,1," ")</f>
        <v xml:space="preserve"> </v>
      </c>
      <c r="E3853" s="113" t="str">
        <f>IF(Table1722[[#This Row],[Lawan Transaksi]]="CV AGUNG KARYA",COUNTIF($I$10:I3853,"CV AGUNG KARYA")," ")</f>
        <v xml:space="preserve"> </v>
      </c>
      <c r="F3853" s="107" t="str">
        <f>IF(LEN(Table1722[[#This Row],[Uraian]])&gt;2,TRIM(RIGHT(SUBSTITUTE(TRIM(C3853)," ",REPT(" ",255)),255))," ")</f>
        <v xml:space="preserve"> </v>
      </c>
      <c r="G3853" s="110">
        <f>COPY!Z3845</f>
        <v>0</v>
      </c>
      <c r="H3853" s="111" t="str">
        <f>IFERROR(VLOOKUP(Table1722[[#This Row],[Bukti]],'Un nOTA'!$A$4:$K$5003,10,FALSE),"")</f>
        <v/>
      </c>
      <c r="I3853" s="123" t="str">
        <f>IFERROR(VLOOKUP(Table1722[[#This Row],[Bukti]],Table13[#Data],11,FALSE),"")</f>
        <v/>
      </c>
    </row>
    <row r="3854" spans="1:9" hidden="1" x14ac:dyDescent="0.2">
      <c r="A3854" s="105" t="str">
        <f>IF(D3854=1,COUNTIF($D$10:D3854,1)," ")</f>
        <v xml:space="preserve"> </v>
      </c>
      <c r="B3854" s="106">
        <f>COPY!AR3846</f>
        <v>0</v>
      </c>
      <c r="C3854" s="107">
        <f>COPY!AC3846</f>
        <v>0</v>
      </c>
      <c r="D3854" s="107" t="str">
        <f>IF(LEN(Table1722[[#This Row],[Uraian]])&gt;2,1," ")</f>
        <v xml:space="preserve"> </v>
      </c>
      <c r="E3854" s="113" t="str">
        <f>IF(Table1722[[#This Row],[Lawan Transaksi]]="CV AGUNG KARYA",COUNTIF($I$10:I3854,"CV AGUNG KARYA")," ")</f>
        <v xml:space="preserve"> </v>
      </c>
      <c r="F3854" s="107" t="str">
        <f>IF(LEN(Table1722[[#This Row],[Uraian]])&gt;2,TRIM(RIGHT(SUBSTITUTE(TRIM(C3854)," ",REPT(" ",255)),255))," ")</f>
        <v xml:space="preserve"> </v>
      </c>
      <c r="G3854" s="110">
        <f>COPY!Z3846</f>
        <v>0</v>
      </c>
      <c r="H3854" s="111" t="str">
        <f>IFERROR(VLOOKUP(Table1722[[#This Row],[Bukti]],'Un nOTA'!$A$4:$K$5003,10,FALSE),"")</f>
        <v/>
      </c>
      <c r="I3854" s="123" t="str">
        <f>IFERROR(VLOOKUP(Table1722[[#This Row],[Bukti]],Table13[#Data],11,FALSE),"")</f>
        <v/>
      </c>
    </row>
    <row r="3855" spans="1:9" hidden="1" x14ac:dyDescent="0.2">
      <c r="A3855" s="105" t="str">
        <f>IF(D3855=1,COUNTIF($D$10:D3855,1)," ")</f>
        <v xml:space="preserve"> </v>
      </c>
      <c r="B3855" s="106">
        <f>COPY!AR3847</f>
        <v>0</v>
      </c>
      <c r="C3855" s="107">
        <f>COPY!AC3847</f>
        <v>0</v>
      </c>
      <c r="D3855" s="107" t="str">
        <f>IF(LEN(Table1722[[#This Row],[Uraian]])&gt;2,1," ")</f>
        <v xml:space="preserve"> </v>
      </c>
      <c r="E3855" s="113" t="str">
        <f>IF(Table1722[[#This Row],[Lawan Transaksi]]="CV AGUNG KARYA",COUNTIF($I$10:I3855,"CV AGUNG KARYA")," ")</f>
        <v xml:space="preserve"> </v>
      </c>
      <c r="F3855" s="107" t="str">
        <f>IF(LEN(Table1722[[#This Row],[Uraian]])&gt;2,TRIM(RIGHT(SUBSTITUTE(TRIM(C3855)," ",REPT(" ",255)),255))," ")</f>
        <v xml:space="preserve"> </v>
      </c>
      <c r="G3855" s="110">
        <f>COPY!Z3847</f>
        <v>0</v>
      </c>
      <c r="H3855" s="111" t="str">
        <f>IFERROR(VLOOKUP(Table1722[[#This Row],[Bukti]],'Un nOTA'!$A$4:$K$5003,10,FALSE),"")</f>
        <v/>
      </c>
      <c r="I3855" s="123" t="str">
        <f>IFERROR(VLOOKUP(Table1722[[#This Row],[Bukti]],Table13[#Data],11,FALSE),"")</f>
        <v/>
      </c>
    </row>
    <row r="3856" spans="1:9" hidden="1" x14ac:dyDescent="0.2">
      <c r="A3856" s="105" t="str">
        <f>IF(D3856=1,COUNTIF($D$10:D3856,1)," ")</f>
        <v xml:space="preserve"> </v>
      </c>
      <c r="B3856" s="106">
        <f>COPY!AR3848</f>
        <v>0</v>
      </c>
      <c r="C3856" s="107">
        <f>COPY!AC3848</f>
        <v>0</v>
      </c>
      <c r="D3856" s="107" t="str">
        <f>IF(LEN(Table1722[[#This Row],[Uraian]])&gt;2,1," ")</f>
        <v xml:space="preserve"> </v>
      </c>
      <c r="E3856" s="113" t="str">
        <f>IF(Table1722[[#This Row],[Lawan Transaksi]]="CV AGUNG KARYA",COUNTIF($I$10:I3856,"CV AGUNG KARYA")," ")</f>
        <v xml:space="preserve"> </v>
      </c>
      <c r="F3856" s="107" t="str">
        <f>IF(LEN(Table1722[[#This Row],[Uraian]])&gt;2,TRIM(RIGHT(SUBSTITUTE(TRIM(C3856)," ",REPT(" ",255)),255))," ")</f>
        <v xml:space="preserve"> </v>
      </c>
      <c r="G3856" s="110">
        <f>COPY!Z3848</f>
        <v>0</v>
      </c>
      <c r="H3856" s="111" t="str">
        <f>IFERROR(VLOOKUP(Table1722[[#This Row],[Bukti]],'Un nOTA'!$A$4:$K$5003,10,FALSE),"")</f>
        <v/>
      </c>
      <c r="I3856" s="123" t="str">
        <f>IFERROR(VLOOKUP(Table1722[[#This Row],[Bukti]],Table13[#Data],11,FALSE),"")</f>
        <v/>
      </c>
    </row>
    <row r="3857" spans="1:9" hidden="1" x14ac:dyDescent="0.2">
      <c r="A3857" s="105" t="str">
        <f>IF(D3857=1,COUNTIF($D$10:D3857,1)," ")</f>
        <v xml:space="preserve"> </v>
      </c>
      <c r="B3857" s="106">
        <f>COPY!AR3849</f>
        <v>0</v>
      </c>
      <c r="C3857" s="107">
        <f>COPY!AC3849</f>
        <v>0</v>
      </c>
      <c r="D3857" s="107" t="str">
        <f>IF(LEN(Table1722[[#This Row],[Uraian]])&gt;2,1," ")</f>
        <v xml:space="preserve"> </v>
      </c>
      <c r="E3857" s="113" t="str">
        <f>IF(Table1722[[#This Row],[Lawan Transaksi]]="CV AGUNG KARYA",COUNTIF($I$10:I3857,"CV AGUNG KARYA")," ")</f>
        <v xml:space="preserve"> </v>
      </c>
      <c r="F3857" s="107" t="str">
        <f>IF(LEN(Table1722[[#This Row],[Uraian]])&gt;2,TRIM(RIGHT(SUBSTITUTE(TRIM(C3857)," ",REPT(" ",255)),255))," ")</f>
        <v xml:space="preserve"> </v>
      </c>
      <c r="G3857" s="110">
        <f>COPY!Z3849</f>
        <v>0</v>
      </c>
      <c r="H3857" s="111" t="str">
        <f>IFERROR(VLOOKUP(Table1722[[#This Row],[Bukti]],'Un nOTA'!$A$4:$K$5003,10,FALSE),"")</f>
        <v/>
      </c>
      <c r="I3857" s="123" t="str">
        <f>IFERROR(VLOOKUP(Table1722[[#This Row],[Bukti]],Table13[#Data],11,FALSE),"")</f>
        <v/>
      </c>
    </row>
    <row r="3858" spans="1:9" hidden="1" x14ac:dyDescent="0.2">
      <c r="A3858" s="105" t="str">
        <f>IF(D3858=1,COUNTIF($D$10:D3858,1)," ")</f>
        <v xml:space="preserve"> </v>
      </c>
      <c r="B3858" s="106">
        <f>COPY!AR3850</f>
        <v>0</v>
      </c>
      <c r="C3858" s="107">
        <f>COPY!AC3850</f>
        <v>0</v>
      </c>
      <c r="D3858" s="107" t="str">
        <f>IF(LEN(Table1722[[#This Row],[Uraian]])&gt;2,1," ")</f>
        <v xml:space="preserve"> </v>
      </c>
      <c r="E3858" s="113" t="str">
        <f>IF(Table1722[[#This Row],[Lawan Transaksi]]="CV AGUNG KARYA",COUNTIF($I$10:I3858,"CV AGUNG KARYA")," ")</f>
        <v xml:space="preserve"> </v>
      </c>
      <c r="F3858" s="107" t="str">
        <f>IF(LEN(Table1722[[#This Row],[Uraian]])&gt;2,TRIM(RIGHT(SUBSTITUTE(TRIM(C3858)," ",REPT(" ",255)),255))," ")</f>
        <v xml:space="preserve"> </v>
      </c>
      <c r="G3858" s="110">
        <f>COPY!Z3850</f>
        <v>0</v>
      </c>
      <c r="H3858" s="111" t="str">
        <f>IFERROR(VLOOKUP(Table1722[[#This Row],[Bukti]],'Un nOTA'!$A$4:$K$5003,10,FALSE),"")</f>
        <v/>
      </c>
      <c r="I3858" s="123" t="str">
        <f>IFERROR(VLOOKUP(Table1722[[#This Row],[Bukti]],Table13[#Data],11,FALSE),"")</f>
        <v/>
      </c>
    </row>
    <row r="3859" spans="1:9" hidden="1" x14ac:dyDescent="0.2">
      <c r="A3859" s="105" t="str">
        <f>IF(D3859=1,COUNTIF($D$10:D3859,1)," ")</f>
        <v xml:space="preserve"> </v>
      </c>
      <c r="B3859" s="106">
        <f>COPY!AR3851</f>
        <v>0</v>
      </c>
      <c r="C3859" s="107">
        <f>COPY!AC3851</f>
        <v>0</v>
      </c>
      <c r="D3859" s="107" t="str">
        <f>IF(LEN(Table1722[[#This Row],[Uraian]])&gt;2,1," ")</f>
        <v xml:space="preserve"> </v>
      </c>
      <c r="E3859" s="113" t="str">
        <f>IF(Table1722[[#This Row],[Lawan Transaksi]]="CV AGUNG KARYA",COUNTIF($I$10:I3859,"CV AGUNG KARYA")," ")</f>
        <v xml:space="preserve"> </v>
      </c>
      <c r="F3859" s="107" t="str">
        <f>IF(LEN(Table1722[[#This Row],[Uraian]])&gt;2,TRIM(RIGHT(SUBSTITUTE(TRIM(C3859)," ",REPT(" ",255)),255))," ")</f>
        <v xml:space="preserve"> </v>
      </c>
      <c r="G3859" s="110">
        <f>COPY!Z3851</f>
        <v>0</v>
      </c>
      <c r="H3859" s="111" t="str">
        <f>IFERROR(VLOOKUP(Table1722[[#This Row],[Bukti]],'Un nOTA'!$A$4:$K$5003,10,FALSE),"")</f>
        <v/>
      </c>
      <c r="I3859" s="123" t="str">
        <f>IFERROR(VLOOKUP(Table1722[[#This Row],[Bukti]],Table13[#Data],11,FALSE),"")</f>
        <v/>
      </c>
    </row>
    <row r="3860" spans="1:9" hidden="1" x14ac:dyDescent="0.2">
      <c r="A3860" s="105" t="str">
        <f>IF(D3860=1,COUNTIF($D$10:D3860,1)," ")</f>
        <v xml:space="preserve"> </v>
      </c>
      <c r="B3860" s="106">
        <f>COPY!AR3852</f>
        <v>0</v>
      </c>
      <c r="C3860" s="107">
        <f>COPY!AC3852</f>
        <v>0</v>
      </c>
      <c r="D3860" s="107" t="str">
        <f>IF(LEN(Table1722[[#This Row],[Uraian]])&gt;2,1," ")</f>
        <v xml:space="preserve"> </v>
      </c>
      <c r="E3860" s="113" t="str">
        <f>IF(Table1722[[#This Row],[Lawan Transaksi]]="CV AGUNG KARYA",COUNTIF($I$10:I3860,"CV AGUNG KARYA")," ")</f>
        <v xml:space="preserve"> </v>
      </c>
      <c r="F3860" s="107" t="str">
        <f>IF(LEN(Table1722[[#This Row],[Uraian]])&gt;2,TRIM(RIGHT(SUBSTITUTE(TRIM(C3860)," ",REPT(" ",255)),255))," ")</f>
        <v xml:space="preserve"> </v>
      </c>
      <c r="G3860" s="110">
        <f>COPY!Z3852</f>
        <v>0</v>
      </c>
      <c r="H3860" s="111" t="str">
        <f>IFERROR(VLOOKUP(Table1722[[#This Row],[Bukti]],'Un nOTA'!$A$4:$K$5003,10,FALSE),"")</f>
        <v/>
      </c>
      <c r="I3860" s="123" t="str">
        <f>IFERROR(VLOOKUP(Table1722[[#This Row],[Bukti]],Table13[#Data],11,FALSE),"")</f>
        <v/>
      </c>
    </row>
    <row r="3861" spans="1:9" hidden="1" x14ac:dyDescent="0.2">
      <c r="A3861" s="105" t="str">
        <f>IF(D3861=1,COUNTIF($D$10:D3861,1)," ")</f>
        <v xml:space="preserve"> </v>
      </c>
      <c r="B3861" s="106">
        <f>COPY!AR3853</f>
        <v>0</v>
      </c>
      <c r="C3861" s="107">
        <f>COPY!AC3853</f>
        <v>0</v>
      </c>
      <c r="D3861" s="107" t="str">
        <f>IF(LEN(Table1722[[#This Row],[Uraian]])&gt;2,1," ")</f>
        <v xml:space="preserve"> </v>
      </c>
      <c r="E3861" s="113" t="str">
        <f>IF(Table1722[[#This Row],[Lawan Transaksi]]="CV AGUNG KARYA",COUNTIF($I$10:I3861,"CV AGUNG KARYA")," ")</f>
        <v xml:space="preserve"> </v>
      </c>
      <c r="F3861" s="107" t="str">
        <f>IF(LEN(Table1722[[#This Row],[Uraian]])&gt;2,TRIM(RIGHT(SUBSTITUTE(TRIM(C3861)," ",REPT(" ",255)),255))," ")</f>
        <v xml:space="preserve"> </v>
      </c>
      <c r="G3861" s="110">
        <f>COPY!Z3853</f>
        <v>0</v>
      </c>
      <c r="H3861" s="111" t="str">
        <f>IFERROR(VLOOKUP(Table1722[[#This Row],[Bukti]],'Un nOTA'!$A$4:$K$5003,10,FALSE),"")</f>
        <v/>
      </c>
      <c r="I3861" s="123" t="str">
        <f>IFERROR(VLOOKUP(Table1722[[#This Row],[Bukti]],Table13[#Data],11,FALSE),"")</f>
        <v/>
      </c>
    </row>
    <row r="3862" spans="1:9" hidden="1" x14ac:dyDescent="0.2">
      <c r="A3862" s="105" t="str">
        <f>IF(D3862=1,COUNTIF($D$10:D3862,1)," ")</f>
        <v xml:space="preserve"> </v>
      </c>
      <c r="B3862" s="106">
        <f>COPY!AR3854</f>
        <v>0</v>
      </c>
      <c r="C3862" s="107">
        <f>COPY!AC3854</f>
        <v>0</v>
      </c>
      <c r="D3862" s="107" t="str">
        <f>IF(LEN(Table1722[[#This Row],[Uraian]])&gt;2,1," ")</f>
        <v xml:space="preserve"> </v>
      </c>
      <c r="E3862" s="113" t="str">
        <f>IF(Table1722[[#This Row],[Lawan Transaksi]]="CV AGUNG KARYA",COUNTIF($I$10:I3862,"CV AGUNG KARYA")," ")</f>
        <v xml:space="preserve"> </v>
      </c>
      <c r="F3862" s="107" t="str">
        <f>IF(LEN(Table1722[[#This Row],[Uraian]])&gt;2,TRIM(RIGHT(SUBSTITUTE(TRIM(C3862)," ",REPT(" ",255)),255))," ")</f>
        <v xml:space="preserve"> </v>
      </c>
      <c r="G3862" s="110">
        <f>COPY!Z3854</f>
        <v>0</v>
      </c>
      <c r="H3862" s="111" t="str">
        <f>IFERROR(VLOOKUP(Table1722[[#This Row],[Bukti]],'Un nOTA'!$A$4:$K$5003,10,FALSE),"")</f>
        <v/>
      </c>
      <c r="I3862" s="123" t="str">
        <f>IFERROR(VLOOKUP(Table1722[[#This Row],[Bukti]],Table13[#Data],11,FALSE),"")</f>
        <v/>
      </c>
    </row>
    <row r="3863" spans="1:9" hidden="1" x14ac:dyDescent="0.2">
      <c r="A3863" s="105" t="str">
        <f>IF(D3863=1,COUNTIF($D$10:D3863,1)," ")</f>
        <v xml:space="preserve"> </v>
      </c>
      <c r="B3863" s="106">
        <f>COPY!AR3855</f>
        <v>0</v>
      </c>
      <c r="C3863" s="107">
        <f>COPY!AC3855</f>
        <v>0</v>
      </c>
      <c r="D3863" s="107" t="str">
        <f>IF(LEN(Table1722[[#This Row],[Uraian]])&gt;2,1," ")</f>
        <v xml:space="preserve"> </v>
      </c>
      <c r="E3863" s="113" t="str">
        <f>IF(Table1722[[#This Row],[Lawan Transaksi]]="CV AGUNG KARYA",COUNTIF($I$10:I3863,"CV AGUNG KARYA")," ")</f>
        <v xml:space="preserve"> </v>
      </c>
      <c r="F3863" s="107" t="str">
        <f>IF(LEN(Table1722[[#This Row],[Uraian]])&gt;2,TRIM(RIGHT(SUBSTITUTE(TRIM(C3863)," ",REPT(" ",255)),255))," ")</f>
        <v xml:space="preserve"> </v>
      </c>
      <c r="G3863" s="110">
        <f>COPY!Z3855</f>
        <v>0</v>
      </c>
      <c r="H3863" s="111" t="str">
        <f>IFERROR(VLOOKUP(Table1722[[#This Row],[Bukti]],'Un nOTA'!$A$4:$K$5003,10,FALSE),"")</f>
        <v/>
      </c>
      <c r="I3863" s="123" t="str">
        <f>IFERROR(VLOOKUP(Table1722[[#This Row],[Bukti]],Table13[#Data],11,FALSE),"")</f>
        <v/>
      </c>
    </row>
    <row r="3864" spans="1:9" hidden="1" x14ac:dyDescent="0.2">
      <c r="A3864" s="105" t="str">
        <f>IF(D3864=1,COUNTIF($D$10:D3864,1)," ")</f>
        <v xml:space="preserve"> </v>
      </c>
      <c r="B3864" s="106">
        <f>COPY!AR3856</f>
        <v>0</v>
      </c>
      <c r="C3864" s="107">
        <f>COPY!AC3856</f>
        <v>0</v>
      </c>
      <c r="D3864" s="107" t="str">
        <f>IF(LEN(Table1722[[#This Row],[Uraian]])&gt;2,1," ")</f>
        <v xml:space="preserve"> </v>
      </c>
      <c r="E3864" s="113" t="str">
        <f>IF(Table1722[[#This Row],[Lawan Transaksi]]="CV AGUNG KARYA",COUNTIF($I$10:I3864,"CV AGUNG KARYA")," ")</f>
        <v xml:space="preserve"> </v>
      </c>
      <c r="F3864" s="107" t="str">
        <f>IF(LEN(Table1722[[#This Row],[Uraian]])&gt;2,TRIM(RIGHT(SUBSTITUTE(TRIM(C3864)," ",REPT(" ",255)),255))," ")</f>
        <v xml:space="preserve"> </v>
      </c>
      <c r="G3864" s="110">
        <f>COPY!Z3856</f>
        <v>0</v>
      </c>
      <c r="H3864" s="111" t="str">
        <f>IFERROR(VLOOKUP(Table1722[[#This Row],[Bukti]],'Un nOTA'!$A$4:$K$5003,10,FALSE),"")</f>
        <v/>
      </c>
      <c r="I3864" s="123" t="str">
        <f>IFERROR(VLOOKUP(Table1722[[#This Row],[Bukti]],Table13[#Data],11,FALSE),"")</f>
        <v/>
      </c>
    </row>
    <row r="3865" spans="1:9" hidden="1" x14ac:dyDescent="0.2">
      <c r="A3865" s="105" t="str">
        <f>IF(D3865=1,COUNTIF($D$10:D3865,1)," ")</f>
        <v xml:space="preserve"> </v>
      </c>
      <c r="B3865" s="106">
        <f>COPY!AR3857</f>
        <v>0</v>
      </c>
      <c r="C3865" s="107">
        <f>COPY!AC3857</f>
        <v>0</v>
      </c>
      <c r="D3865" s="107" t="str">
        <f>IF(LEN(Table1722[[#This Row],[Uraian]])&gt;2,1," ")</f>
        <v xml:space="preserve"> </v>
      </c>
      <c r="E3865" s="113" t="str">
        <f>IF(Table1722[[#This Row],[Lawan Transaksi]]="CV AGUNG KARYA",COUNTIF($I$10:I3865,"CV AGUNG KARYA")," ")</f>
        <v xml:space="preserve"> </v>
      </c>
      <c r="F3865" s="107" t="str">
        <f>IF(LEN(Table1722[[#This Row],[Uraian]])&gt;2,TRIM(RIGHT(SUBSTITUTE(TRIM(C3865)," ",REPT(" ",255)),255))," ")</f>
        <v xml:space="preserve"> </v>
      </c>
      <c r="G3865" s="110">
        <f>COPY!Z3857</f>
        <v>0</v>
      </c>
      <c r="H3865" s="111" t="str">
        <f>IFERROR(VLOOKUP(Table1722[[#This Row],[Bukti]],'Un nOTA'!$A$4:$K$5003,10,FALSE),"")</f>
        <v/>
      </c>
      <c r="I3865" s="123" t="str">
        <f>IFERROR(VLOOKUP(Table1722[[#This Row],[Bukti]],Table13[#Data],11,FALSE),"")</f>
        <v/>
      </c>
    </row>
    <row r="3866" spans="1:9" hidden="1" x14ac:dyDescent="0.2">
      <c r="A3866" s="105" t="str">
        <f>IF(D3866=1,COUNTIF($D$10:D3866,1)," ")</f>
        <v xml:space="preserve"> </v>
      </c>
      <c r="B3866" s="106">
        <f>COPY!AR3858</f>
        <v>0</v>
      </c>
      <c r="C3866" s="107">
        <f>COPY!AC3858</f>
        <v>0</v>
      </c>
      <c r="D3866" s="107" t="str">
        <f>IF(LEN(Table1722[[#This Row],[Uraian]])&gt;2,1," ")</f>
        <v xml:space="preserve"> </v>
      </c>
      <c r="E3866" s="113" t="str">
        <f>IF(Table1722[[#This Row],[Lawan Transaksi]]="CV AGUNG KARYA",COUNTIF($I$10:I3866,"CV AGUNG KARYA")," ")</f>
        <v xml:space="preserve"> </v>
      </c>
      <c r="F3866" s="107" t="str">
        <f>IF(LEN(Table1722[[#This Row],[Uraian]])&gt;2,TRIM(RIGHT(SUBSTITUTE(TRIM(C3866)," ",REPT(" ",255)),255))," ")</f>
        <v xml:space="preserve"> </v>
      </c>
      <c r="G3866" s="110">
        <f>COPY!Z3858</f>
        <v>0</v>
      </c>
      <c r="H3866" s="111" t="str">
        <f>IFERROR(VLOOKUP(Table1722[[#This Row],[Bukti]],'Un nOTA'!$A$4:$K$5003,10,FALSE),"")</f>
        <v/>
      </c>
      <c r="I3866" s="123" t="str">
        <f>IFERROR(VLOOKUP(Table1722[[#This Row],[Bukti]],Table13[#Data],11,FALSE),"")</f>
        <v/>
      </c>
    </row>
    <row r="3867" spans="1:9" hidden="1" x14ac:dyDescent="0.2">
      <c r="A3867" s="105" t="str">
        <f>IF(D3867=1,COUNTIF($D$10:D3867,1)," ")</f>
        <v xml:space="preserve"> </v>
      </c>
      <c r="B3867" s="106">
        <f>COPY!AR3859</f>
        <v>0</v>
      </c>
      <c r="C3867" s="107">
        <f>COPY!AC3859</f>
        <v>0</v>
      </c>
      <c r="D3867" s="107" t="str">
        <f>IF(LEN(Table1722[[#This Row],[Uraian]])&gt;2,1," ")</f>
        <v xml:space="preserve"> </v>
      </c>
      <c r="E3867" s="113" t="str">
        <f>IF(Table1722[[#This Row],[Lawan Transaksi]]="CV AGUNG KARYA",COUNTIF($I$10:I3867,"CV AGUNG KARYA")," ")</f>
        <v xml:space="preserve"> </v>
      </c>
      <c r="F3867" s="107" t="str">
        <f>IF(LEN(Table1722[[#This Row],[Uraian]])&gt;2,TRIM(RIGHT(SUBSTITUTE(TRIM(C3867)," ",REPT(" ",255)),255))," ")</f>
        <v xml:space="preserve"> </v>
      </c>
      <c r="G3867" s="110">
        <f>COPY!Z3859</f>
        <v>0</v>
      </c>
      <c r="H3867" s="111" t="str">
        <f>IFERROR(VLOOKUP(Table1722[[#This Row],[Bukti]],'Un nOTA'!$A$4:$K$5003,10,FALSE),"")</f>
        <v/>
      </c>
      <c r="I3867" s="123" t="str">
        <f>IFERROR(VLOOKUP(Table1722[[#This Row],[Bukti]],Table13[#Data],11,FALSE),"")</f>
        <v/>
      </c>
    </row>
    <row r="3868" spans="1:9" hidden="1" x14ac:dyDescent="0.2">
      <c r="A3868" s="105" t="str">
        <f>IF(D3868=1,COUNTIF($D$10:D3868,1)," ")</f>
        <v xml:space="preserve"> </v>
      </c>
      <c r="B3868" s="106">
        <f>COPY!AR3860</f>
        <v>0</v>
      </c>
      <c r="C3868" s="107">
        <f>COPY!AC3860</f>
        <v>0</v>
      </c>
      <c r="D3868" s="107" t="str">
        <f>IF(LEN(Table1722[[#This Row],[Uraian]])&gt;2,1," ")</f>
        <v xml:space="preserve"> </v>
      </c>
      <c r="E3868" s="113" t="str">
        <f>IF(Table1722[[#This Row],[Lawan Transaksi]]="CV AGUNG KARYA",COUNTIF($I$10:I3868,"CV AGUNG KARYA")," ")</f>
        <v xml:space="preserve"> </v>
      </c>
      <c r="F3868" s="107" t="str">
        <f>IF(LEN(Table1722[[#This Row],[Uraian]])&gt;2,TRIM(RIGHT(SUBSTITUTE(TRIM(C3868)," ",REPT(" ",255)),255))," ")</f>
        <v xml:space="preserve"> </v>
      </c>
      <c r="G3868" s="110">
        <f>COPY!Z3860</f>
        <v>0</v>
      </c>
      <c r="H3868" s="111" t="str">
        <f>IFERROR(VLOOKUP(Table1722[[#This Row],[Bukti]],'Un nOTA'!$A$4:$K$5003,10,FALSE),"")</f>
        <v/>
      </c>
      <c r="I3868" s="123" t="str">
        <f>IFERROR(VLOOKUP(Table1722[[#This Row],[Bukti]],Table13[#Data],11,FALSE),"")</f>
        <v/>
      </c>
    </row>
    <row r="3869" spans="1:9" hidden="1" x14ac:dyDescent="0.2">
      <c r="A3869" s="105" t="str">
        <f>IF(D3869=1,COUNTIF($D$10:D3869,1)," ")</f>
        <v xml:space="preserve"> </v>
      </c>
      <c r="B3869" s="106">
        <f>COPY!AR3861</f>
        <v>0</v>
      </c>
      <c r="C3869" s="107">
        <f>COPY!AC3861</f>
        <v>0</v>
      </c>
      <c r="D3869" s="107" t="str">
        <f>IF(LEN(Table1722[[#This Row],[Uraian]])&gt;2,1," ")</f>
        <v xml:space="preserve"> </v>
      </c>
      <c r="E3869" s="113" t="str">
        <f>IF(Table1722[[#This Row],[Lawan Transaksi]]="CV AGUNG KARYA",COUNTIF($I$10:I3869,"CV AGUNG KARYA")," ")</f>
        <v xml:space="preserve"> </v>
      </c>
      <c r="F3869" s="107" t="str">
        <f>IF(LEN(Table1722[[#This Row],[Uraian]])&gt;2,TRIM(RIGHT(SUBSTITUTE(TRIM(C3869)," ",REPT(" ",255)),255))," ")</f>
        <v xml:space="preserve"> </v>
      </c>
      <c r="G3869" s="110">
        <f>COPY!Z3861</f>
        <v>0</v>
      </c>
      <c r="H3869" s="111" t="str">
        <f>IFERROR(VLOOKUP(Table1722[[#This Row],[Bukti]],'Un nOTA'!$A$4:$K$5003,10,FALSE),"")</f>
        <v/>
      </c>
      <c r="I3869" s="123" t="str">
        <f>IFERROR(VLOOKUP(Table1722[[#This Row],[Bukti]],Table13[#Data],11,FALSE),"")</f>
        <v/>
      </c>
    </row>
    <row r="3870" spans="1:9" hidden="1" x14ac:dyDescent="0.2">
      <c r="A3870" s="105" t="str">
        <f>IF(D3870=1,COUNTIF($D$10:D3870,1)," ")</f>
        <v xml:space="preserve"> </v>
      </c>
      <c r="B3870" s="106">
        <f>COPY!AR3862</f>
        <v>0</v>
      </c>
      <c r="C3870" s="107">
        <f>COPY!AC3862</f>
        <v>0</v>
      </c>
      <c r="D3870" s="107" t="str">
        <f>IF(LEN(Table1722[[#This Row],[Uraian]])&gt;2,1," ")</f>
        <v xml:space="preserve"> </v>
      </c>
      <c r="E3870" s="113" t="str">
        <f>IF(Table1722[[#This Row],[Lawan Transaksi]]="CV AGUNG KARYA",COUNTIF($I$10:I3870,"CV AGUNG KARYA")," ")</f>
        <v xml:space="preserve"> </v>
      </c>
      <c r="F3870" s="107" t="str">
        <f>IF(LEN(Table1722[[#This Row],[Uraian]])&gt;2,TRIM(RIGHT(SUBSTITUTE(TRIM(C3870)," ",REPT(" ",255)),255))," ")</f>
        <v xml:space="preserve"> </v>
      </c>
      <c r="G3870" s="110">
        <f>COPY!Z3862</f>
        <v>0</v>
      </c>
      <c r="H3870" s="111" t="str">
        <f>IFERROR(VLOOKUP(Table1722[[#This Row],[Bukti]],'Un nOTA'!$A$4:$K$5003,10,FALSE),"")</f>
        <v/>
      </c>
      <c r="I3870" s="123" t="str">
        <f>IFERROR(VLOOKUP(Table1722[[#This Row],[Bukti]],Table13[#Data],11,FALSE),"")</f>
        <v/>
      </c>
    </row>
    <row r="3871" spans="1:9" hidden="1" x14ac:dyDescent="0.2">
      <c r="A3871" s="105" t="str">
        <f>IF(D3871=1,COUNTIF($D$10:D3871,1)," ")</f>
        <v xml:space="preserve"> </v>
      </c>
      <c r="B3871" s="106">
        <f>COPY!AR3863</f>
        <v>0</v>
      </c>
      <c r="C3871" s="107">
        <f>COPY!AC3863</f>
        <v>0</v>
      </c>
      <c r="D3871" s="107" t="str">
        <f>IF(LEN(Table1722[[#This Row],[Uraian]])&gt;2,1," ")</f>
        <v xml:space="preserve"> </v>
      </c>
      <c r="E3871" s="113" t="str">
        <f>IF(Table1722[[#This Row],[Lawan Transaksi]]="CV AGUNG KARYA",COUNTIF($I$10:I3871,"CV AGUNG KARYA")," ")</f>
        <v xml:space="preserve"> </v>
      </c>
      <c r="F3871" s="107" t="str">
        <f>IF(LEN(Table1722[[#This Row],[Uraian]])&gt;2,TRIM(RIGHT(SUBSTITUTE(TRIM(C3871)," ",REPT(" ",255)),255))," ")</f>
        <v xml:space="preserve"> </v>
      </c>
      <c r="G3871" s="110">
        <f>COPY!Z3863</f>
        <v>0</v>
      </c>
      <c r="H3871" s="111" t="str">
        <f>IFERROR(VLOOKUP(Table1722[[#This Row],[Bukti]],'Un nOTA'!$A$4:$K$5003,10,FALSE),"")</f>
        <v/>
      </c>
      <c r="I3871" s="123" t="str">
        <f>IFERROR(VLOOKUP(Table1722[[#This Row],[Bukti]],Table13[#Data],11,FALSE),"")</f>
        <v/>
      </c>
    </row>
    <row r="3872" spans="1:9" hidden="1" x14ac:dyDescent="0.2">
      <c r="A3872" s="105" t="str">
        <f>IF(D3872=1,COUNTIF($D$10:D3872,1)," ")</f>
        <v xml:space="preserve"> </v>
      </c>
      <c r="B3872" s="106">
        <f>COPY!AR3864</f>
        <v>0</v>
      </c>
      <c r="C3872" s="107">
        <f>COPY!AC3864</f>
        <v>0</v>
      </c>
      <c r="D3872" s="107" t="str">
        <f>IF(LEN(Table1722[[#This Row],[Uraian]])&gt;2,1," ")</f>
        <v xml:space="preserve"> </v>
      </c>
      <c r="E3872" s="113" t="str">
        <f>IF(Table1722[[#This Row],[Lawan Transaksi]]="CV AGUNG KARYA",COUNTIF($I$10:I3872,"CV AGUNG KARYA")," ")</f>
        <v xml:space="preserve"> </v>
      </c>
      <c r="F3872" s="107" t="str">
        <f>IF(LEN(Table1722[[#This Row],[Uraian]])&gt;2,TRIM(RIGHT(SUBSTITUTE(TRIM(C3872)," ",REPT(" ",255)),255))," ")</f>
        <v xml:space="preserve"> </v>
      </c>
      <c r="G3872" s="110">
        <f>COPY!Z3864</f>
        <v>0</v>
      </c>
      <c r="H3872" s="111" t="str">
        <f>IFERROR(VLOOKUP(Table1722[[#This Row],[Bukti]],'Un nOTA'!$A$4:$K$5003,10,FALSE),"")</f>
        <v/>
      </c>
      <c r="I3872" s="123" t="str">
        <f>IFERROR(VLOOKUP(Table1722[[#This Row],[Bukti]],Table13[#Data],11,FALSE),"")</f>
        <v/>
      </c>
    </row>
    <row r="3873" spans="1:9" hidden="1" x14ac:dyDescent="0.2">
      <c r="A3873" s="105" t="str">
        <f>IF(D3873=1,COUNTIF($D$10:D3873,1)," ")</f>
        <v xml:space="preserve"> </v>
      </c>
      <c r="B3873" s="106">
        <f>COPY!AR3865</f>
        <v>0</v>
      </c>
      <c r="C3873" s="107">
        <f>COPY!AC3865</f>
        <v>0</v>
      </c>
      <c r="D3873" s="107" t="str">
        <f>IF(LEN(Table1722[[#This Row],[Uraian]])&gt;2,1," ")</f>
        <v xml:space="preserve"> </v>
      </c>
      <c r="E3873" s="113" t="str">
        <f>IF(Table1722[[#This Row],[Lawan Transaksi]]="CV AGUNG KARYA",COUNTIF($I$10:I3873,"CV AGUNG KARYA")," ")</f>
        <v xml:space="preserve"> </v>
      </c>
      <c r="F3873" s="107" t="str">
        <f>IF(LEN(Table1722[[#This Row],[Uraian]])&gt;2,TRIM(RIGHT(SUBSTITUTE(TRIM(C3873)," ",REPT(" ",255)),255))," ")</f>
        <v xml:space="preserve"> </v>
      </c>
      <c r="G3873" s="110">
        <f>COPY!Z3865</f>
        <v>0</v>
      </c>
      <c r="H3873" s="111" t="str">
        <f>IFERROR(VLOOKUP(Table1722[[#This Row],[Bukti]],'Un nOTA'!$A$4:$K$5003,10,FALSE),"")</f>
        <v/>
      </c>
      <c r="I3873" s="123" t="str">
        <f>IFERROR(VLOOKUP(Table1722[[#This Row],[Bukti]],Table13[#Data],11,FALSE),"")</f>
        <v/>
      </c>
    </row>
    <row r="3874" spans="1:9" hidden="1" x14ac:dyDescent="0.2">
      <c r="A3874" s="105" t="str">
        <f>IF(D3874=1,COUNTIF($D$10:D3874,1)," ")</f>
        <v xml:space="preserve"> </v>
      </c>
      <c r="B3874" s="106">
        <f>COPY!AR3866</f>
        <v>0</v>
      </c>
      <c r="C3874" s="107">
        <f>COPY!AC3866</f>
        <v>0</v>
      </c>
      <c r="D3874" s="107" t="str">
        <f>IF(LEN(Table1722[[#This Row],[Uraian]])&gt;2,1," ")</f>
        <v xml:space="preserve"> </v>
      </c>
      <c r="E3874" s="113" t="str">
        <f>IF(Table1722[[#This Row],[Lawan Transaksi]]="CV AGUNG KARYA",COUNTIF($I$10:I3874,"CV AGUNG KARYA")," ")</f>
        <v xml:space="preserve"> </v>
      </c>
      <c r="F3874" s="107" t="str">
        <f>IF(LEN(Table1722[[#This Row],[Uraian]])&gt;2,TRIM(RIGHT(SUBSTITUTE(TRIM(C3874)," ",REPT(" ",255)),255))," ")</f>
        <v xml:space="preserve"> </v>
      </c>
      <c r="G3874" s="110">
        <f>COPY!Z3866</f>
        <v>0</v>
      </c>
      <c r="H3874" s="111" t="str">
        <f>IFERROR(VLOOKUP(Table1722[[#This Row],[Bukti]],'Un nOTA'!$A$4:$K$5003,10,FALSE),"")</f>
        <v/>
      </c>
      <c r="I3874" s="123" t="str">
        <f>IFERROR(VLOOKUP(Table1722[[#This Row],[Bukti]],Table13[#Data],11,FALSE),"")</f>
        <v/>
      </c>
    </row>
    <row r="3875" spans="1:9" hidden="1" x14ac:dyDescent="0.2">
      <c r="A3875" s="105" t="str">
        <f>IF(D3875=1,COUNTIF($D$10:D3875,1)," ")</f>
        <v xml:space="preserve"> </v>
      </c>
      <c r="B3875" s="106">
        <f>COPY!AR3867</f>
        <v>0</v>
      </c>
      <c r="C3875" s="107">
        <f>COPY!AC3867</f>
        <v>0</v>
      </c>
      <c r="D3875" s="107" t="str">
        <f>IF(LEN(Table1722[[#This Row],[Uraian]])&gt;2,1," ")</f>
        <v xml:space="preserve"> </v>
      </c>
      <c r="E3875" s="113" t="str">
        <f>IF(Table1722[[#This Row],[Lawan Transaksi]]="CV AGUNG KARYA",COUNTIF($I$10:I3875,"CV AGUNG KARYA")," ")</f>
        <v xml:space="preserve"> </v>
      </c>
      <c r="F3875" s="107" t="str">
        <f>IF(LEN(Table1722[[#This Row],[Uraian]])&gt;2,TRIM(RIGHT(SUBSTITUTE(TRIM(C3875)," ",REPT(" ",255)),255))," ")</f>
        <v xml:space="preserve"> </v>
      </c>
      <c r="G3875" s="110">
        <f>COPY!Z3867</f>
        <v>0</v>
      </c>
      <c r="H3875" s="111" t="str">
        <f>IFERROR(VLOOKUP(Table1722[[#This Row],[Bukti]],'Un nOTA'!$A$4:$K$5003,10,FALSE),"")</f>
        <v/>
      </c>
      <c r="I3875" s="123" t="str">
        <f>IFERROR(VLOOKUP(Table1722[[#This Row],[Bukti]],Table13[#Data],11,FALSE),"")</f>
        <v/>
      </c>
    </row>
    <row r="3876" spans="1:9" hidden="1" x14ac:dyDescent="0.2">
      <c r="A3876" s="105" t="str">
        <f>IF(D3876=1,COUNTIF($D$10:D3876,1)," ")</f>
        <v xml:space="preserve"> </v>
      </c>
      <c r="B3876" s="106">
        <f>COPY!AR3868</f>
        <v>0</v>
      </c>
      <c r="C3876" s="107">
        <f>COPY!AC3868</f>
        <v>0</v>
      </c>
      <c r="D3876" s="107" t="str">
        <f>IF(LEN(Table1722[[#This Row],[Uraian]])&gt;2,1," ")</f>
        <v xml:space="preserve"> </v>
      </c>
      <c r="E3876" s="113" t="str">
        <f>IF(Table1722[[#This Row],[Lawan Transaksi]]="CV AGUNG KARYA",COUNTIF($I$10:I3876,"CV AGUNG KARYA")," ")</f>
        <v xml:space="preserve"> </v>
      </c>
      <c r="F3876" s="107" t="str">
        <f>IF(LEN(Table1722[[#This Row],[Uraian]])&gt;2,TRIM(RIGHT(SUBSTITUTE(TRIM(C3876)," ",REPT(" ",255)),255))," ")</f>
        <v xml:space="preserve"> </v>
      </c>
      <c r="G3876" s="110">
        <f>COPY!Z3868</f>
        <v>0</v>
      </c>
      <c r="H3876" s="111" t="str">
        <f>IFERROR(VLOOKUP(Table1722[[#This Row],[Bukti]],'Un nOTA'!$A$4:$K$5003,10,FALSE),"")</f>
        <v/>
      </c>
      <c r="I3876" s="123" t="str">
        <f>IFERROR(VLOOKUP(Table1722[[#This Row],[Bukti]],Table13[#Data],11,FALSE),"")</f>
        <v/>
      </c>
    </row>
    <row r="3877" spans="1:9" hidden="1" x14ac:dyDescent="0.2">
      <c r="A3877" s="105" t="str">
        <f>IF(D3877=1,COUNTIF($D$10:D3877,1)," ")</f>
        <v xml:space="preserve"> </v>
      </c>
      <c r="B3877" s="106">
        <f>COPY!AR3869</f>
        <v>0</v>
      </c>
      <c r="C3877" s="107">
        <f>COPY!AC3869</f>
        <v>0</v>
      </c>
      <c r="D3877" s="107" t="str">
        <f>IF(LEN(Table1722[[#This Row],[Uraian]])&gt;2,1," ")</f>
        <v xml:space="preserve"> </v>
      </c>
      <c r="E3877" s="113" t="str">
        <f>IF(Table1722[[#This Row],[Lawan Transaksi]]="CV AGUNG KARYA",COUNTIF($I$10:I3877,"CV AGUNG KARYA")," ")</f>
        <v xml:space="preserve"> </v>
      </c>
      <c r="F3877" s="107" t="str">
        <f>IF(LEN(Table1722[[#This Row],[Uraian]])&gt;2,TRIM(RIGHT(SUBSTITUTE(TRIM(C3877)," ",REPT(" ",255)),255))," ")</f>
        <v xml:space="preserve"> </v>
      </c>
      <c r="G3877" s="110">
        <f>COPY!Z3869</f>
        <v>0</v>
      </c>
      <c r="H3877" s="111" t="str">
        <f>IFERROR(VLOOKUP(Table1722[[#This Row],[Bukti]],'Un nOTA'!$A$4:$K$5003,10,FALSE),"")</f>
        <v/>
      </c>
      <c r="I3877" s="123" t="str">
        <f>IFERROR(VLOOKUP(Table1722[[#This Row],[Bukti]],Table13[#Data],11,FALSE),"")</f>
        <v/>
      </c>
    </row>
    <row r="3878" spans="1:9" hidden="1" x14ac:dyDescent="0.2">
      <c r="A3878" s="105" t="str">
        <f>IF(D3878=1,COUNTIF($D$10:D3878,1)," ")</f>
        <v xml:space="preserve"> </v>
      </c>
      <c r="B3878" s="106">
        <f>COPY!AR3870</f>
        <v>0</v>
      </c>
      <c r="C3878" s="107">
        <f>COPY!AC3870</f>
        <v>0</v>
      </c>
      <c r="D3878" s="107" t="str">
        <f>IF(LEN(Table1722[[#This Row],[Uraian]])&gt;2,1," ")</f>
        <v xml:space="preserve"> </v>
      </c>
      <c r="E3878" s="113" t="str">
        <f>IF(Table1722[[#This Row],[Lawan Transaksi]]="CV AGUNG KARYA",COUNTIF($I$10:I3878,"CV AGUNG KARYA")," ")</f>
        <v xml:space="preserve"> </v>
      </c>
      <c r="F3878" s="107" t="str">
        <f>IF(LEN(Table1722[[#This Row],[Uraian]])&gt;2,TRIM(RIGHT(SUBSTITUTE(TRIM(C3878)," ",REPT(" ",255)),255))," ")</f>
        <v xml:space="preserve"> </v>
      </c>
      <c r="G3878" s="110">
        <f>COPY!Z3870</f>
        <v>0</v>
      </c>
      <c r="H3878" s="111" t="str">
        <f>IFERROR(VLOOKUP(Table1722[[#This Row],[Bukti]],'Un nOTA'!$A$4:$K$5003,10,FALSE),"")</f>
        <v/>
      </c>
      <c r="I3878" s="123" t="str">
        <f>IFERROR(VLOOKUP(Table1722[[#This Row],[Bukti]],Table13[#Data],11,FALSE),"")</f>
        <v/>
      </c>
    </row>
    <row r="3879" spans="1:9" hidden="1" x14ac:dyDescent="0.2">
      <c r="A3879" s="105" t="str">
        <f>IF(D3879=1,COUNTIF($D$10:D3879,1)," ")</f>
        <v xml:space="preserve"> </v>
      </c>
      <c r="B3879" s="106">
        <f>COPY!AR3871</f>
        <v>0</v>
      </c>
      <c r="C3879" s="107">
        <f>COPY!AC3871</f>
        <v>0</v>
      </c>
      <c r="D3879" s="107" t="str">
        <f>IF(LEN(Table1722[[#This Row],[Uraian]])&gt;2,1," ")</f>
        <v xml:space="preserve"> </v>
      </c>
      <c r="E3879" s="113" t="str">
        <f>IF(Table1722[[#This Row],[Lawan Transaksi]]="CV AGUNG KARYA",COUNTIF($I$10:I3879,"CV AGUNG KARYA")," ")</f>
        <v xml:space="preserve"> </v>
      </c>
      <c r="F3879" s="107" t="str">
        <f>IF(LEN(Table1722[[#This Row],[Uraian]])&gt;2,TRIM(RIGHT(SUBSTITUTE(TRIM(C3879)," ",REPT(" ",255)),255))," ")</f>
        <v xml:space="preserve"> </v>
      </c>
      <c r="G3879" s="110">
        <f>COPY!Z3871</f>
        <v>0</v>
      </c>
      <c r="H3879" s="111" t="str">
        <f>IFERROR(VLOOKUP(Table1722[[#This Row],[Bukti]],'Un nOTA'!$A$4:$K$5003,10,FALSE),"")</f>
        <v/>
      </c>
      <c r="I3879" s="123" t="str">
        <f>IFERROR(VLOOKUP(Table1722[[#This Row],[Bukti]],Table13[#Data],11,FALSE),"")</f>
        <v/>
      </c>
    </row>
    <row r="3880" spans="1:9" hidden="1" x14ac:dyDescent="0.2">
      <c r="A3880" s="105" t="str">
        <f>IF(D3880=1,COUNTIF($D$10:D3880,1)," ")</f>
        <v xml:space="preserve"> </v>
      </c>
      <c r="B3880" s="106">
        <f>COPY!AR3872</f>
        <v>0</v>
      </c>
      <c r="C3880" s="107">
        <f>COPY!AC3872</f>
        <v>0</v>
      </c>
      <c r="D3880" s="107" t="str">
        <f>IF(LEN(Table1722[[#This Row],[Uraian]])&gt;2,1," ")</f>
        <v xml:space="preserve"> </v>
      </c>
      <c r="E3880" s="113" t="str">
        <f>IF(Table1722[[#This Row],[Lawan Transaksi]]="CV AGUNG KARYA",COUNTIF($I$10:I3880,"CV AGUNG KARYA")," ")</f>
        <v xml:space="preserve"> </v>
      </c>
      <c r="F3880" s="107" t="str">
        <f>IF(LEN(Table1722[[#This Row],[Uraian]])&gt;2,TRIM(RIGHT(SUBSTITUTE(TRIM(C3880)," ",REPT(" ",255)),255))," ")</f>
        <v xml:space="preserve"> </v>
      </c>
      <c r="G3880" s="110">
        <f>COPY!Z3872</f>
        <v>0</v>
      </c>
      <c r="H3880" s="111" t="str">
        <f>IFERROR(VLOOKUP(Table1722[[#This Row],[Bukti]],'Un nOTA'!$A$4:$K$5003,10,FALSE),"")</f>
        <v/>
      </c>
      <c r="I3880" s="123" t="str">
        <f>IFERROR(VLOOKUP(Table1722[[#This Row],[Bukti]],Table13[#Data],11,FALSE),"")</f>
        <v/>
      </c>
    </row>
    <row r="3881" spans="1:9" hidden="1" x14ac:dyDescent="0.2">
      <c r="A3881" s="105" t="str">
        <f>IF(D3881=1,COUNTIF($D$10:D3881,1)," ")</f>
        <v xml:space="preserve"> </v>
      </c>
      <c r="B3881" s="106">
        <f>COPY!AR3873</f>
        <v>0</v>
      </c>
      <c r="C3881" s="107">
        <f>COPY!AC3873</f>
        <v>0</v>
      </c>
      <c r="D3881" s="107" t="str">
        <f>IF(LEN(Table1722[[#This Row],[Uraian]])&gt;2,1," ")</f>
        <v xml:space="preserve"> </v>
      </c>
      <c r="E3881" s="113" t="str">
        <f>IF(Table1722[[#This Row],[Lawan Transaksi]]="CV AGUNG KARYA",COUNTIF($I$10:I3881,"CV AGUNG KARYA")," ")</f>
        <v xml:space="preserve"> </v>
      </c>
      <c r="F3881" s="107" t="str">
        <f>IF(LEN(Table1722[[#This Row],[Uraian]])&gt;2,TRIM(RIGHT(SUBSTITUTE(TRIM(C3881)," ",REPT(" ",255)),255))," ")</f>
        <v xml:space="preserve"> </v>
      </c>
      <c r="G3881" s="110">
        <f>COPY!Z3873</f>
        <v>0</v>
      </c>
      <c r="H3881" s="111" t="str">
        <f>IFERROR(VLOOKUP(Table1722[[#This Row],[Bukti]],'Un nOTA'!$A$4:$K$5003,10,FALSE),"")</f>
        <v/>
      </c>
      <c r="I3881" s="123" t="str">
        <f>IFERROR(VLOOKUP(Table1722[[#This Row],[Bukti]],Table13[#Data],11,FALSE),"")</f>
        <v/>
      </c>
    </row>
    <row r="3882" spans="1:9" hidden="1" x14ac:dyDescent="0.2">
      <c r="A3882" s="105" t="str">
        <f>IF(D3882=1,COUNTIF($D$10:D3882,1)," ")</f>
        <v xml:space="preserve"> </v>
      </c>
      <c r="B3882" s="106">
        <f>COPY!AR3874</f>
        <v>0</v>
      </c>
      <c r="C3882" s="107">
        <f>COPY!AC3874</f>
        <v>0</v>
      </c>
      <c r="D3882" s="107" t="str">
        <f>IF(LEN(Table1722[[#This Row],[Uraian]])&gt;2,1," ")</f>
        <v xml:space="preserve"> </v>
      </c>
      <c r="E3882" s="113" t="str">
        <f>IF(Table1722[[#This Row],[Lawan Transaksi]]="CV AGUNG KARYA",COUNTIF($I$10:I3882,"CV AGUNG KARYA")," ")</f>
        <v xml:space="preserve"> </v>
      </c>
      <c r="F3882" s="107" t="str">
        <f>IF(LEN(Table1722[[#This Row],[Uraian]])&gt;2,TRIM(RIGHT(SUBSTITUTE(TRIM(C3882)," ",REPT(" ",255)),255))," ")</f>
        <v xml:space="preserve"> </v>
      </c>
      <c r="G3882" s="110">
        <f>COPY!Z3874</f>
        <v>0</v>
      </c>
      <c r="H3882" s="111" t="str">
        <f>IFERROR(VLOOKUP(Table1722[[#This Row],[Bukti]],'Un nOTA'!$A$4:$K$5003,10,FALSE),"")</f>
        <v/>
      </c>
      <c r="I3882" s="123" t="str">
        <f>IFERROR(VLOOKUP(Table1722[[#This Row],[Bukti]],Table13[#Data],11,FALSE),"")</f>
        <v/>
      </c>
    </row>
    <row r="3883" spans="1:9" hidden="1" x14ac:dyDescent="0.2">
      <c r="A3883" s="105" t="str">
        <f>IF(D3883=1,COUNTIF($D$10:D3883,1)," ")</f>
        <v xml:space="preserve"> </v>
      </c>
      <c r="B3883" s="106">
        <f>COPY!AR3875</f>
        <v>0</v>
      </c>
      <c r="C3883" s="107">
        <f>COPY!AC3875</f>
        <v>0</v>
      </c>
      <c r="D3883" s="107" t="str">
        <f>IF(LEN(Table1722[[#This Row],[Uraian]])&gt;2,1," ")</f>
        <v xml:space="preserve"> </v>
      </c>
      <c r="E3883" s="113" t="str">
        <f>IF(Table1722[[#This Row],[Lawan Transaksi]]="CV AGUNG KARYA",COUNTIF($I$10:I3883,"CV AGUNG KARYA")," ")</f>
        <v xml:space="preserve"> </v>
      </c>
      <c r="F3883" s="107" t="str">
        <f>IF(LEN(Table1722[[#This Row],[Uraian]])&gt;2,TRIM(RIGHT(SUBSTITUTE(TRIM(C3883)," ",REPT(" ",255)),255))," ")</f>
        <v xml:space="preserve"> </v>
      </c>
      <c r="G3883" s="110">
        <f>COPY!Z3875</f>
        <v>0</v>
      </c>
      <c r="H3883" s="111" t="str">
        <f>IFERROR(VLOOKUP(Table1722[[#This Row],[Bukti]],'Un nOTA'!$A$4:$K$5003,10,FALSE),"")</f>
        <v/>
      </c>
      <c r="I3883" s="123" t="str">
        <f>IFERROR(VLOOKUP(Table1722[[#This Row],[Bukti]],Table13[#Data],11,FALSE),"")</f>
        <v/>
      </c>
    </row>
    <row r="3884" spans="1:9" hidden="1" x14ac:dyDescent="0.2">
      <c r="A3884" s="105" t="str">
        <f>IF(D3884=1,COUNTIF($D$10:D3884,1)," ")</f>
        <v xml:space="preserve"> </v>
      </c>
      <c r="B3884" s="106">
        <f>COPY!AR3876</f>
        <v>0</v>
      </c>
      <c r="C3884" s="107">
        <f>COPY!AC3876</f>
        <v>0</v>
      </c>
      <c r="D3884" s="107" t="str">
        <f>IF(LEN(Table1722[[#This Row],[Uraian]])&gt;2,1," ")</f>
        <v xml:space="preserve"> </v>
      </c>
      <c r="E3884" s="113" t="str">
        <f>IF(Table1722[[#This Row],[Lawan Transaksi]]="CV AGUNG KARYA",COUNTIF($I$10:I3884,"CV AGUNG KARYA")," ")</f>
        <v xml:space="preserve"> </v>
      </c>
      <c r="F3884" s="107" t="str">
        <f>IF(LEN(Table1722[[#This Row],[Uraian]])&gt;2,TRIM(RIGHT(SUBSTITUTE(TRIM(C3884)," ",REPT(" ",255)),255))," ")</f>
        <v xml:space="preserve"> </v>
      </c>
      <c r="G3884" s="110">
        <f>COPY!Z3876</f>
        <v>0</v>
      </c>
      <c r="H3884" s="111" t="str">
        <f>IFERROR(VLOOKUP(Table1722[[#This Row],[Bukti]],'Un nOTA'!$A$4:$K$5003,10,FALSE),"")</f>
        <v/>
      </c>
      <c r="I3884" s="123" t="str">
        <f>IFERROR(VLOOKUP(Table1722[[#This Row],[Bukti]],Table13[#Data],11,FALSE),"")</f>
        <v/>
      </c>
    </row>
    <row r="3885" spans="1:9" hidden="1" x14ac:dyDescent="0.2">
      <c r="A3885" s="105" t="str">
        <f>IF(D3885=1,COUNTIF($D$10:D3885,1)," ")</f>
        <v xml:space="preserve"> </v>
      </c>
      <c r="B3885" s="106">
        <f>COPY!AR3877</f>
        <v>0</v>
      </c>
      <c r="C3885" s="107">
        <f>COPY!AC3877</f>
        <v>0</v>
      </c>
      <c r="D3885" s="107" t="str">
        <f>IF(LEN(Table1722[[#This Row],[Uraian]])&gt;2,1," ")</f>
        <v xml:space="preserve"> </v>
      </c>
      <c r="E3885" s="113" t="str">
        <f>IF(Table1722[[#This Row],[Lawan Transaksi]]="CV AGUNG KARYA",COUNTIF($I$10:I3885,"CV AGUNG KARYA")," ")</f>
        <v xml:space="preserve"> </v>
      </c>
      <c r="F3885" s="107" t="str">
        <f>IF(LEN(Table1722[[#This Row],[Uraian]])&gt;2,TRIM(RIGHT(SUBSTITUTE(TRIM(C3885)," ",REPT(" ",255)),255))," ")</f>
        <v xml:space="preserve"> </v>
      </c>
      <c r="G3885" s="110">
        <f>COPY!Z3877</f>
        <v>0</v>
      </c>
      <c r="H3885" s="111" t="str">
        <f>IFERROR(VLOOKUP(Table1722[[#This Row],[Bukti]],'Un nOTA'!$A$4:$K$5003,10,FALSE),"")</f>
        <v/>
      </c>
      <c r="I3885" s="123" t="str">
        <f>IFERROR(VLOOKUP(Table1722[[#This Row],[Bukti]],Table13[#Data],11,FALSE),"")</f>
        <v/>
      </c>
    </row>
    <row r="3886" spans="1:9" hidden="1" x14ac:dyDescent="0.2">
      <c r="A3886" s="105" t="str">
        <f>IF(D3886=1,COUNTIF($D$10:D3886,1)," ")</f>
        <v xml:space="preserve"> </v>
      </c>
      <c r="B3886" s="106">
        <f>COPY!AR3878</f>
        <v>0</v>
      </c>
      <c r="C3886" s="107">
        <f>COPY!AC3878</f>
        <v>0</v>
      </c>
      <c r="D3886" s="107" t="str">
        <f>IF(LEN(Table1722[[#This Row],[Uraian]])&gt;2,1," ")</f>
        <v xml:space="preserve"> </v>
      </c>
      <c r="E3886" s="113" t="str">
        <f>IF(Table1722[[#This Row],[Lawan Transaksi]]="CV AGUNG KARYA",COUNTIF($I$10:I3886,"CV AGUNG KARYA")," ")</f>
        <v xml:space="preserve"> </v>
      </c>
      <c r="F3886" s="107" t="str">
        <f>IF(LEN(Table1722[[#This Row],[Uraian]])&gt;2,TRIM(RIGHT(SUBSTITUTE(TRIM(C3886)," ",REPT(" ",255)),255))," ")</f>
        <v xml:space="preserve"> </v>
      </c>
      <c r="G3886" s="110">
        <f>COPY!Z3878</f>
        <v>0</v>
      </c>
      <c r="H3886" s="111" t="str">
        <f>IFERROR(VLOOKUP(Table1722[[#This Row],[Bukti]],'Un nOTA'!$A$4:$K$5003,10,FALSE),"")</f>
        <v/>
      </c>
      <c r="I3886" s="123" t="str">
        <f>IFERROR(VLOOKUP(Table1722[[#This Row],[Bukti]],Table13[#Data],11,FALSE),"")</f>
        <v/>
      </c>
    </row>
    <row r="3887" spans="1:9" hidden="1" x14ac:dyDescent="0.2">
      <c r="A3887" s="105" t="str">
        <f>IF(D3887=1,COUNTIF($D$10:D3887,1)," ")</f>
        <v xml:space="preserve"> </v>
      </c>
      <c r="B3887" s="106">
        <f>COPY!AR3879</f>
        <v>0</v>
      </c>
      <c r="C3887" s="107">
        <f>COPY!AC3879</f>
        <v>0</v>
      </c>
      <c r="D3887" s="107" t="str">
        <f>IF(LEN(Table1722[[#This Row],[Uraian]])&gt;2,1," ")</f>
        <v xml:space="preserve"> </v>
      </c>
      <c r="E3887" s="113" t="str">
        <f>IF(Table1722[[#This Row],[Lawan Transaksi]]="CV AGUNG KARYA",COUNTIF($I$10:I3887,"CV AGUNG KARYA")," ")</f>
        <v xml:space="preserve"> </v>
      </c>
      <c r="F3887" s="107" t="str">
        <f>IF(LEN(Table1722[[#This Row],[Uraian]])&gt;2,TRIM(RIGHT(SUBSTITUTE(TRIM(C3887)," ",REPT(" ",255)),255))," ")</f>
        <v xml:space="preserve"> </v>
      </c>
      <c r="G3887" s="110">
        <f>COPY!Z3879</f>
        <v>0</v>
      </c>
      <c r="H3887" s="111" t="str">
        <f>IFERROR(VLOOKUP(Table1722[[#This Row],[Bukti]],'Un nOTA'!$A$4:$K$5003,10,FALSE),"")</f>
        <v/>
      </c>
      <c r="I3887" s="123" t="str">
        <f>IFERROR(VLOOKUP(Table1722[[#This Row],[Bukti]],Table13[#Data],11,FALSE),"")</f>
        <v/>
      </c>
    </row>
    <row r="3888" spans="1:9" hidden="1" x14ac:dyDescent="0.2">
      <c r="A3888" s="105" t="str">
        <f>IF(D3888=1,COUNTIF($D$10:D3888,1)," ")</f>
        <v xml:space="preserve"> </v>
      </c>
      <c r="B3888" s="106">
        <f>COPY!AR3880</f>
        <v>0</v>
      </c>
      <c r="C3888" s="107">
        <f>COPY!AC3880</f>
        <v>0</v>
      </c>
      <c r="D3888" s="107" t="str">
        <f>IF(LEN(Table1722[[#This Row],[Uraian]])&gt;2,1," ")</f>
        <v xml:space="preserve"> </v>
      </c>
      <c r="E3888" s="113" t="str">
        <f>IF(Table1722[[#This Row],[Lawan Transaksi]]="CV AGUNG KARYA",COUNTIF($I$10:I3888,"CV AGUNG KARYA")," ")</f>
        <v xml:space="preserve"> </v>
      </c>
      <c r="F3888" s="107" t="str">
        <f>IF(LEN(Table1722[[#This Row],[Uraian]])&gt;2,TRIM(RIGHT(SUBSTITUTE(TRIM(C3888)," ",REPT(" ",255)),255))," ")</f>
        <v xml:space="preserve"> </v>
      </c>
      <c r="G3888" s="110">
        <f>COPY!Z3880</f>
        <v>0</v>
      </c>
      <c r="H3888" s="111" t="str">
        <f>IFERROR(VLOOKUP(Table1722[[#This Row],[Bukti]],'Un nOTA'!$A$4:$K$5003,10,FALSE),"")</f>
        <v/>
      </c>
      <c r="I3888" s="123" t="str">
        <f>IFERROR(VLOOKUP(Table1722[[#This Row],[Bukti]],Table13[#Data],11,FALSE),"")</f>
        <v/>
      </c>
    </row>
    <row r="3889" spans="1:9" hidden="1" x14ac:dyDescent="0.2">
      <c r="A3889" s="105" t="str">
        <f>IF(D3889=1,COUNTIF($D$10:D3889,1)," ")</f>
        <v xml:space="preserve"> </v>
      </c>
      <c r="B3889" s="106">
        <f>COPY!AR3881</f>
        <v>0</v>
      </c>
      <c r="C3889" s="107">
        <f>COPY!AC3881</f>
        <v>0</v>
      </c>
      <c r="D3889" s="107" t="str">
        <f>IF(LEN(Table1722[[#This Row],[Uraian]])&gt;2,1," ")</f>
        <v xml:space="preserve"> </v>
      </c>
      <c r="E3889" s="113" t="str">
        <f>IF(Table1722[[#This Row],[Lawan Transaksi]]="CV AGUNG KARYA",COUNTIF($I$10:I3889,"CV AGUNG KARYA")," ")</f>
        <v xml:space="preserve"> </v>
      </c>
      <c r="F3889" s="107" t="str">
        <f>IF(LEN(Table1722[[#This Row],[Uraian]])&gt;2,TRIM(RIGHT(SUBSTITUTE(TRIM(C3889)," ",REPT(" ",255)),255))," ")</f>
        <v xml:space="preserve"> </v>
      </c>
      <c r="G3889" s="110">
        <f>COPY!Z3881</f>
        <v>0</v>
      </c>
      <c r="H3889" s="111" t="str">
        <f>IFERROR(VLOOKUP(Table1722[[#This Row],[Bukti]],'Un nOTA'!$A$4:$K$5003,10,FALSE),"")</f>
        <v/>
      </c>
      <c r="I3889" s="123" t="str">
        <f>IFERROR(VLOOKUP(Table1722[[#This Row],[Bukti]],Table13[#Data],11,FALSE),"")</f>
        <v/>
      </c>
    </row>
    <row r="3890" spans="1:9" hidden="1" x14ac:dyDescent="0.2">
      <c r="A3890" s="105" t="str">
        <f>IF(D3890=1,COUNTIF($D$10:D3890,1)," ")</f>
        <v xml:space="preserve"> </v>
      </c>
      <c r="B3890" s="106">
        <f>COPY!AR3882</f>
        <v>0</v>
      </c>
      <c r="C3890" s="107">
        <f>COPY!AC3882</f>
        <v>0</v>
      </c>
      <c r="D3890" s="107" t="str">
        <f>IF(LEN(Table1722[[#This Row],[Uraian]])&gt;2,1," ")</f>
        <v xml:space="preserve"> </v>
      </c>
      <c r="E3890" s="113" t="str">
        <f>IF(Table1722[[#This Row],[Lawan Transaksi]]="CV AGUNG KARYA",COUNTIF($I$10:I3890,"CV AGUNG KARYA")," ")</f>
        <v xml:space="preserve"> </v>
      </c>
      <c r="F3890" s="107" t="str">
        <f>IF(LEN(Table1722[[#This Row],[Uraian]])&gt;2,TRIM(RIGHT(SUBSTITUTE(TRIM(C3890)," ",REPT(" ",255)),255))," ")</f>
        <v xml:space="preserve"> </v>
      </c>
      <c r="G3890" s="110">
        <f>COPY!Z3882</f>
        <v>0</v>
      </c>
      <c r="H3890" s="111" t="str">
        <f>IFERROR(VLOOKUP(Table1722[[#This Row],[Bukti]],'Un nOTA'!$A$4:$K$5003,10,FALSE),"")</f>
        <v/>
      </c>
      <c r="I3890" s="123" t="str">
        <f>IFERROR(VLOOKUP(Table1722[[#This Row],[Bukti]],Table13[#Data],11,FALSE),"")</f>
        <v/>
      </c>
    </row>
    <row r="3891" spans="1:9" hidden="1" x14ac:dyDescent="0.2">
      <c r="A3891" s="105" t="str">
        <f>IF(D3891=1,COUNTIF($D$10:D3891,1)," ")</f>
        <v xml:space="preserve"> </v>
      </c>
      <c r="B3891" s="106">
        <f>COPY!AR3883</f>
        <v>0</v>
      </c>
      <c r="C3891" s="107">
        <f>COPY!AC3883</f>
        <v>0</v>
      </c>
      <c r="D3891" s="107" t="str">
        <f>IF(LEN(Table1722[[#This Row],[Uraian]])&gt;2,1," ")</f>
        <v xml:space="preserve"> </v>
      </c>
      <c r="E3891" s="113" t="str">
        <f>IF(Table1722[[#This Row],[Lawan Transaksi]]="CV AGUNG KARYA",COUNTIF($I$10:I3891,"CV AGUNG KARYA")," ")</f>
        <v xml:space="preserve"> </v>
      </c>
      <c r="F3891" s="107" t="str">
        <f>IF(LEN(Table1722[[#This Row],[Uraian]])&gt;2,TRIM(RIGHT(SUBSTITUTE(TRIM(C3891)," ",REPT(" ",255)),255))," ")</f>
        <v xml:space="preserve"> </v>
      </c>
      <c r="G3891" s="110">
        <f>COPY!Z3883</f>
        <v>0</v>
      </c>
      <c r="H3891" s="111" t="str">
        <f>IFERROR(VLOOKUP(Table1722[[#This Row],[Bukti]],'Un nOTA'!$A$4:$K$5003,10,FALSE),"")</f>
        <v/>
      </c>
      <c r="I3891" s="123" t="str">
        <f>IFERROR(VLOOKUP(Table1722[[#This Row],[Bukti]],Table13[#Data],11,FALSE),"")</f>
        <v/>
      </c>
    </row>
    <row r="3892" spans="1:9" hidden="1" x14ac:dyDescent="0.2">
      <c r="A3892" s="105" t="str">
        <f>IF(D3892=1,COUNTIF($D$10:D3892,1)," ")</f>
        <v xml:space="preserve"> </v>
      </c>
      <c r="B3892" s="106">
        <f>COPY!AR3884</f>
        <v>0</v>
      </c>
      <c r="C3892" s="107">
        <f>COPY!AC3884</f>
        <v>0</v>
      </c>
      <c r="D3892" s="107" t="str">
        <f>IF(LEN(Table1722[[#This Row],[Uraian]])&gt;2,1," ")</f>
        <v xml:space="preserve"> </v>
      </c>
      <c r="E3892" s="113" t="str">
        <f>IF(Table1722[[#This Row],[Lawan Transaksi]]="CV AGUNG KARYA",COUNTIF($I$10:I3892,"CV AGUNG KARYA")," ")</f>
        <v xml:space="preserve"> </v>
      </c>
      <c r="F3892" s="107" t="str">
        <f>IF(LEN(Table1722[[#This Row],[Uraian]])&gt;2,TRIM(RIGHT(SUBSTITUTE(TRIM(C3892)," ",REPT(" ",255)),255))," ")</f>
        <v xml:space="preserve"> </v>
      </c>
      <c r="G3892" s="110">
        <f>COPY!Z3884</f>
        <v>0</v>
      </c>
      <c r="H3892" s="111" t="str">
        <f>IFERROR(VLOOKUP(Table1722[[#This Row],[Bukti]],'Un nOTA'!$A$4:$K$5003,10,FALSE),"")</f>
        <v/>
      </c>
      <c r="I3892" s="123" t="str">
        <f>IFERROR(VLOOKUP(Table1722[[#This Row],[Bukti]],Table13[#Data],11,FALSE),"")</f>
        <v/>
      </c>
    </row>
    <row r="3893" spans="1:9" hidden="1" x14ac:dyDescent="0.2">
      <c r="A3893" s="105" t="str">
        <f>IF(D3893=1,COUNTIF($D$10:D3893,1)," ")</f>
        <v xml:space="preserve"> </v>
      </c>
      <c r="B3893" s="106">
        <f>COPY!AR3885</f>
        <v>0</v>
      </c>
      <c r="C3893" s="107">
        <f>COPY!AC3885</f>
        <v>0</v>
      </c>
      <c r="D3893" s="107" t="str">
        <f>IF(LEN(Table1722[[#This Row],[Uraian]])&gt;2,1," ")</f>
        <v xml:space="preserve"> </v>
      </c>
      <c r="E3893" s="113" t="str">
        <f>IF(Table1722[[#This Row],[Lawan Transaksi]]="CV AGUNG KARYA",COUNTIF($I$10:I3893,"CV AGUNG KARYA")," ")</f>
        <v xml:space="preserve"> </v>
      </c>
      <c r="F3893" s="107" t="str">
        <f>IF(LEN(Table1722[[#This Row],[Uraian]])&gt;2,TRIM(RIGHT(SUBSTITUTE(TRIM(C3893)," ",REPT(" ",255)),255))," ")</f>
        <v xml:space="preserve"> </v>
      </c>
      <c r="G3893" s="110">
        <f>COPY!Z3885</f>
        <v>0</v>
      </c>
      <c r="H3893" s="111" t="str">
        <f>IFERROR(VLOOKUP(Table1722[[#This Row],[Bukti]],'Un nOTA'!$A$4:$K$5003,10,FALSE),"")</f>
        <v/>
      </c>
      <c r="I3893" s="123" t="str">
        <f>IFERROR(VLOOKUP(Table1722[[#This Row],[Bukti]],Table13[#Data],11,FALSE),"")</f>
        <v/>
      </c>
    </row>
    <row r="3894" spans="1:9" hidden="1" x14ac:dyDescent="0.2">
      <c r="A3894" s="105" t="str">
        <f>IF(D3894=1,COUNTIF($D$10:D3894,1)," ")</f>
        <v xml:space="preserve"> </v>
      </c>
      <c r="B3894" s="106">
        <f>COPY!AR3886</f>
        <v>0</v>
      </c>
      <c r="C3894" s="107">
        <f>COPY!AC3886</f>
        <v>0</v>
      </c>
      <c r="D3894" s="107" t="str">
        <f>IF(LEN(Table1722[[#This Row],[Uraian]])&gt;2,1," ")</f>
        <v xml:space="preserve"> </v>
      </c>
      <c r="E3894" s="113" t="str">
        <f>IF(Table1722[[#This Row],[Lawan Transaksi]]="CV AGUNG KARYA",COUNTIF($I$10:I3894,"CV AGUNG KARYA")," ")</f>
        <v xml:space="preserve"> </v>
      </c>
      <c r="F3894" s="107" t="str">
        <f>IF(LEN(Table1722[[#This Row],[Uraian]])&gt;2,TRIM(RIGHT(SUBSTITUTE(TRIM(C3894)," ",REPT(" ",255)),255))," ")</f>
        <v xml:space="preserve"> </v>
      </c>
      <c r="G3894" s="110">
        <f>COPY!Z3886</f>
        <v>0</v>
      </c>
      <c r="H3894" s="111" t="str">
        <f>IFERROR(VLOOKUP(Table1722[[#This Row],[Bukti]],'Un nOTA'!$A$4:$K$5003,10,FALSE),"")</f>
        <v/>
      </c>
      <c r="I3894" s="123" t="str">
        <f>IFERROR(VLOOKUP(Table1722[[#This Row],[Bukti]],Table13[#Data],11,FALSE),"")</f>
        <v/>
      </c>
    </row>
    <row r="3895" spans="1:9" hidden="1" x14ac:dyDescent="0.2">
      <c r="A3895" s="105" t="str">
        <f>IF(D3895=1,COUNTIF($D$10:D3895,1)," ")</f>
        <v xml:space="preserve"> </v>
      </c>
      <c r="B3895" s="106">
        <f>COPY!AR3887</f>
        <v>0</v>
      </c>
      <c r="C3895" s="107">
        <f>COPY!AC3887</f>
        <v>0</v>
      </c>
      <c r="D3895" s="107" t="str">
        <f>IF(LEN(Table1722[[#This Row],[Uraian]])&gt;2,1," ")</f>
        <v xml:space="preserve"> </v>
      </c>
      <c r="E3895" s="113" t="str">
        <f>IF(Table1722[[#This Row],[Lawan Transaksi]]="CV AGUNG KARYA",COUNTIF($I$10:I3895,"CV AGUNG KARYA")," ")</f>
        <v xml:space="preserve"> </v>
      </c>
      <c r="F3895" s="107" t="str">
        <f>IF(LEN(Table1722[[#This Row],[Uraian]])&gt;2,TRIM(RIGHT(SUBSTITUTE(TRIM(C3895)," ",REPT(" ",255)),255))," ")</f>
        <v xml:space="preserve"> </v>
      </c>
      <c r="G3895" s="110">
        <f>COPY!Z3887</f>
        <v>0</v>
      </c>
      <c r="H3895" s="111" t="str">
        <f>IFERROR(VLOOKUP(Table1722[[#This Row],[Bukti]],'Un nOTA'!$A$4:$K$5003,10,FALSE),"")</f>
        <v/>
      </c>
      <c r="I3895" s="123" t="str">
        <f>IFERROR(VLOOKUP(Table1722[[#This Row],[Bukti]],Table13[#Data],11,FALSE),"")</f>
        <v/>
      </c>
    </row>
    <row r="3896" spans="1:9" hidden="1" x14ac:dyDescent="0.2">
      <c r="A3896" s="105" t="str">
        <f>IF(D3896=1,COUNTIF($D$10:D3896,1)," ")</f>
        <v xml:space="preserve"> </v>
      </c>
      <c r="B3896" s="106">
        <f>COPY!AR3888</f>
        <v>0</v>
      </c>
      <c r="C3896" s="107">
        <f>COPY!AC3888</f>
        <v>0</v>
      </c>
      <c r="D3896" s="107" t="str">
        <f>IF(LEN(Table1722[[#This Row],[Uraian]])&gt;2,1," ")</f>
        <v xml:space="preserve"> </v>
      </c>
      <c r="E3896" s="113" t="str">
        <f>IF(Table1722[[#This Row],[Lawan Transaksi]]="CV AGUNG KARYA",COUNTIF($I$10:I3896,"CV AGUNG KARYA")," ")</f>
        <v xml:space="preserve"> </v>
      </c>
      <c r="F3896" s="107" t="str">
        <f>IF(LEN(Table1722[[#This Row],[Uraian]])&gt;2,TRIM(RIGHT(SUBSTITUTE(TRIM(C3896)," ",REPT(" ",255)),255))," ")</f>
        <v xml:space="preserve"> </v>
      </c>
      <c r="G3896" s="110">
        <f>COPY!Z3888</f>
        <v>0</v>
      </c>
      <c r="H3896" s="111" t="str">
        <f>IFERROR(VLOOKUP(Table1722[[#This Row],[Bukti]],'Un nOTA'!$A$4:$K$5003,10,FALSE),"")</f>
        <v/>
      </c>
      <c r="I3896" s="123" t="str">
        <f>IFERROR(VLOOKUP(Table1722[[#This Row],[Bukti]],Table13[#Data],11,FALSE),"")</f>
        <v/>
      </c>
    </row>
    <row r="3897" spans="1:9" hidden="1" x14ac:dyDescent="0.2">
      <c r="A3897" s="105" t="str">
        <f>IF(D3897=1,COUNTIF($D$10:D3897,1)," ")</f>
        <v xml:space="preserve"> </v>
      </c>
      <c r="B3897" s="106">
        <f>COPY!AR3889</f>
        <v>0</v>
      </c>
      <c r="C3897" s="107">
        <f>COPY!AC3889</f>
        <v>0</v>
      </c>
      <c r="D3897" s="107" t="str">
        <f>IF(LEN(Table1722[[#This Row],[Uraian]])&gt;2,1," ")</f>
        <v xml:space="preserve"> </v>
      </c>
      <c r="E3897" s="113" t="str">
        <f>IF(Table1722[[#This Row],[Lawan Transaksi]]="CV AGUNG KARYA",COUNTIF($I$10:I3897,"CV AGUNG KARYA")," ")</f>
        <v xml:space="preserve"> </v>
      </c>
      <c r="F3897" s="107" t="str">
        <f>IF(LEN(Table1722[[#This Row],[Uraian]])&gt;2,TRIM(RIGHT(SUBSTITUTE(TRIM(C3897)," ",REPT(" ",255)),255))," ")</f>
        <v xml:space="preserve"> </v>
      </c>
      <c r="G3897" s="110">
        <f>COPY!Z3889</f>
        <v>0</v>
      </c>
      <c r="H3897" s="111" t="str">
        <f>IFERROR(VLOOKUP(Table1722[[#This Row],[Bukti]],'Un nOTA'!$A$4:$K$5003,10,FALSE),"")</f>
        <v/>
      </c>
      <c r="I3897" s="123" t="str">
        <f>IFERROR(VLOOKUP(Table1722[[#This Row],[Bukti]],Table13[#Data],11,FALSE),"")</f>
        <v/>
      </c>
    </row>
    <row r="3898" spans="1:9" hidden="1" x14ac:dyDescent="0.2">
      <c r="A3898" s="105" t="str">
        <f>IF(D3898=1,COUNTIF($D$10:D3898,1)," ")</f>
        <v xml:space="preserve"> </v>
      </c>
      <c r="B3898" s="106">
        <f>COPY!AR3890</f>
        <v>0</v>
      </c>
      <c r="C3898" s="107">
        <f>COPY!AC3890</f>
        <v>0</v>
      </c>
      <c r="D3898" s="107" t="str">
        <f>IF(LEN(Table1722[[#This Row],[Uraian]])&gt;2,1," ")</f>
        <v xml:space="preserve"> </v>
      </c>
      <c r="E3898" s="113" t="str">
        <f>IF(Table1722[[#This Row],[Lawan Transaksi]]="CV AGUNG KARYA",COUNTIF($I$10:I3898,"CV AGUNG KARYA")," ")</f>
        <v xml:space="preserve"> </v>
      </c>
      <c r="F3898" s="107" t="str">
        <f>IF(LEN(Table1722[[#This Row],[Uraian]])&gt;2,TRIM(RIGHT(SUBSTITUTE(TRIM(C3898)," ",REPT(" ",255)),255))," ")</f>
        <v xml:space="preserve"> </v>
      </c>
      <c r="G3898" s="110">
        <f>COPY!Z3890</f>
        <v>0</v>
      </c>
      <c r="H3898" s="111" t="str">
        <f>IFERROR(VLOOKUP(Table1722[[#This Row],[Bukti]],'Un nOTA'!$A$4:$K$5003,10,FALSE),"")</f>
        <v/>
      </c>
      <c r="I3898" s="123" t="str">
        <f>IFERROR(VLOOKUP(Table1722[[#This Row],[Bukti]],Table13[#Data],11,FALSE),"")</f>
        <v/>
      </c>
    </row>
    <row r="3899" spans="1:9" hidden="1" x14ac:dyDescent="0.2">
      <c r="A3899" s="105" t="str">
        <f>IF(D3899=1,COUNTIF($D$10:D3899,1)," ")</f>
        <v xml:space="preserve"> </v>
      </c>
      <c r="B3899" s="106">
        <f>COPY!AR3891</f>
        <v>0</v>
      </c>
      <c r="C3899" s="107">
        <f>COPY!AC3891</f>
        <v>0</v>
      </c>
      <c r="D3899" s="107" t="str">
        <f>IF(LEN(Table1722[[#This Row],[Uraian]])&gt;2,1," ")</f>
        <v xml:space="preserve"> </v>
      </c>
      <c r="E3899" s="113" t="str">
        <f>IF(Table1722[[#This Row],[Lawan Transaksi]]="CV AGUNG KARYA",COUNTIF($I$10:I3899,"CV AGUNG KARYA")," ")</f>
        <v xml:space="preserve"> </v>
      </c>
      <c r="F3899" s="107" t="str">
        <f>IF(LEN(Table1722[[#This Row],[Uraian]])&gt;2,TRIM(RIGHT(SUBSTITUTE(TRIM(C3899)," ",REPT(" ",255)),255))," ")</f>
        <v xml:space="preserve"> </v>
      </c>
      <c r="G3899" s="110">
        <f>COPY!Z3891</f>
        <v>0</v>
      </c>
      <c r="H3899" s="111" t="str">
        <f>IFERROR(VLOOKUP(Table1722[[#This Row],[Bukti]],'Un nOTA'!$A$4:$K$5003,10,FALSE),"")</f>
        <v/>
      </c>
      <c r="I3899" s="123" t="str">
        <f>IFERROR(VLOOKUP(Table1722[[#This Row],[Bukti]],Table13[#Data],11,FALSE),"")</f>
        <v/>
      </c>
    </row>
    <row r="3900" spans="1:9" hidden="1" x14ac:dyDescent="0.2">
      <c r="A3900" s="105" t="str">
        <f>IF(D3900=1,COUNTIF($D$10:D3900,1)," ")</f>
        <v xml:space="preserve"> </v>
      </c>
      <c r="B3900" s="106">
        <f>COPY!AR3892</f>
        <v>0</v>
      </c>
      <c r="C3900" s="107">
        <f>COPY!AC3892</f>
        <v>0</v>
      </c>
      <c r="D3900" s="107" t="str">
        <f>IF(LEN(Table1722[[#This Row],[Uraian]])&gt;2,1," ")</f>
        <v xml:space="preserve"> </v>
      </c>
      <c r="E3900" s="113" t="str">
        <f>IF(Table1722[[#This Row],[Lawan Transaksi]]="CV AGUNG KARYA",COUNTIF($I$10:I3900,"CV AGUNG KARYA")," ")</f>
        <v xml:space="preserve"> </v>
      </c>
      <c r="F3900" s="107" t="str">
        <f>IF(LEN(Table1722[[#This Row],[Uraian]])&gt;2,TRIM(RIGHT(SUBSTITUTE(TRIM(C3900)," ",REPT(" ",255)),255))," ")</f>
        <v xml:space="preserve"> </v>
      </c>
      <c r="G3900" s="110">
        <f>COPY!Z3892</f>
        <v>0</v>
      </c>
      <c r="H3900" s="111" t="str">
        <f>IFERROR(VLOOKUP(Table1722[[#This Row],[Bukti]],'Un nOTA'!$A$4:$K$5003,10,FALSE),"")</f>
        <v/>
      </c>
      <c r="I3900" s="123" t="str">
        <f>IFERROR(VLOOKUP(Table1722[[#This Row],[Bukti]],Table13[#Data],11,FALSE),"")</f>
        <v/>
      </c>
    </row>
    <row r="3901" spans="1:9" hidden="1" x14ac:dyDescent="0.2">
      <c r="A3901" s="105" t="str">
        <f>IF(D3901=1,COUNTIF($D$10:D3901,1)," ")</f>
        <v xml:space="preserve"> </v>
      </c>
      <c r="B3901" s="106">
        <f>COPY!AR3893</f>
        <v>0</v>
      </c>
      <c r="C3901" s="107">
        <f>COPY!AC3893</f>
        <v>0</v>
      </c>
      <c r="D3901" s="107" t="str">
        <f>IF(LEN(Table1722[[#This Row],[Uraian]])&gt;2,1," ")</f>
        <v xml:space="preserve"> </v>
      </c>
      <c r="E3901" s="113" t="str">
        <f>IF(Table1722[[#This Row],[Lawan Transaksi]]="CV AGUNG KARYA",COUNTIF($I$10:I3901,"CV AGUNG KARYA")," ")</f>
        <v xml:space="preserve"> </v>
      </c>
      <c r="F3901" s="107" t="str">
        <f>IF(LEN(Table1722[[#This Row],[Uraian]])&gt;2,TRIM(RIGHT(SUBSTITUTE(TRIM(C3901)," ",REPT(" ",255)),255))," ")</f>
        <v xml:space="preserve"> </v>
      </c>
      <c r="G3901" s="110">
        <f>COPY!Z3893</f>
        <v>0</v>
      </c>
      <c r="H3901" s="111" t="str">
        <f>IFERROR(VLOOKUP(Table1722[[#This Row],[Bukti]],'Un nOTA'!$A$4:$K$5003,10,FALSE),"")</f>
        <v/>
      </c>
      <c r="I3901" s="123" t="str">
        <f>IFERROR(VLOOKUP(Table1722[[#This Row],[Bukti]],Table13[#Data],11,FALSE),"")</f>
        <v/>
      </c>
    </row>
    <row r="3902" spans="1:9" hidden="1" x14ac:dyDescent="0.2">
      <c r="A3902" s="105" t="str">
        <f>IF(D3902=1,COUNTIF($D$10:D3902,1)," ")</f>
        <v xml:space="preserve"> </v>
      </c>
      <c r="B3902" s="106">
        <f>COPY!AR3894</f>
        <v>0</v>
      </c>
      <c r="C3902" s="107">
        <f>COPY!AC3894</f>
        <v>0</v>
      </c>
      <c r="D3902" s="107" t="str">
        <f>IF(LEN(Table1722[[#This Row],[Uraian]])&gt;2,1," ")</f>
        <v xml:space="preserve"> </v>
      </c>
      <c r="E3902" s="113" t="str">
        <f>IF(Table1722[[#This Row],[Lawan Transaksi]]="CV AGUNG KARYA",COUNTIF($I$10:I3902,"CV AGUNG KARYA")," ")</f>
        <v xml:space="preserve"> </v>
      </c>
      <c r="F3902" s="107" t="str">
        <f>IF(LEN(Table1722[[#This Row],[Uraian]])&gt;2,TRIM(RIGHT(SUBSTITUTE(TRIM(C3902)," ",REPT(" ",255)),255))," ")</f>
        <v xml:space="preserve"> </v>
      </c>
      <c r="G3902" s="110">
        <f>COPY!Z3894</f>
        <v>0</v>
      </c>
      <c r="H3902" s="111" t="str">
        <f>IFERROR(VLOOKUP(Table1722[[#This Row],[Bukti]],'Un nOTA'!$A$4:$K$5003,10,FALSE),"")</f>
        <v/>
      </c>
      <c r="I3902" s="123" t="str">
        <f>IFERROR(VLOOKUP(Table1722[[#This Row],[Bukti]],Table13[#Data],11,FALSE),"")</f>
        <v/>
      </c>
    </row>
    <row r="3903" spans="1:9" hidden="1" x14ac:dyDescent="0.2">
      <c r="A3903" s="105" t="str">
        <f>IF(D3903=1,COUNTIF($D$10:D3903,1)," ")</f>
        <v xml:space="preserve"> </v>
      </c>
      <c r="B3903" s="106">
        <f>COPY!AR3895</f>
        <v>0</v>
      </c>
      <c r="C3903" s="107">
        <f>COPY!AC3895</f>
        <v>0</v>
      </c>
      <c r="D3903" s="107" t="str">
        <f>IF(LEN(Table1722[[#This Row],[Uraian]])&gt;2,1," ")</f>
        <v xml:space="preserve"> </v>
      </c>
      <c r="E3903" s="113" t="str">
        <f>IF(Table1722[[#This Row],[Lawan Transaksi]]="CV AGUNG KARYA",COUNTIF($I$10:I3903,"CV AGUNG KARYA")," ")</f>
        <v xml:space="preserve"> </v>
      </c>
      <c r="F3903" s="107" t="str">
        <f>IF(LEN(Table1722[[#This Row],[Uraian]])&gt;2,TRIM(RIGHT(SUBSTITUTE(TRIM(C3903)," ",REPT(" ",255)),255))," ")</f>
        <v xml:space="preserve"> </v>
      </c>
      <c r="G3903" s="110">
        <f>COPY!Z3895</f>
        <v>0</v>
      </c>
      <c r="H3903" s="111" t="str">
        <f>IFERROR(VLOOKUP(Table1722[[#This Row],[Bukti]],'Un nOTA'!$A$4:$K$5003,10,FALSE),"")</f>
        <v/>
      </c>
      <c r="I3903" s="123" t="str">
        <f>IFERROR(VLOOKUP(Table1722[[#This Row],[Bukti]],Table13[#Data],11,FALSE),"")</f>
        <v/>
      </c>
    </row>
    <row r="3904" spans="1:9" hidden="1" x14ac:dyDescent="0.2">
      <c r="A3904" s="105" t="str">
        <f>IF(D3904=1,COUNTIF($D$10:D3904,1)," ")</f>
        <v xml:space="preserve"> </v>
      </c>
      <c r="B3904" s="106">
        <f>COPY!AR3896</f>
        <v>0</v>
      </c>
      <c r="C3904" s="107">
        <f>COPY!AC3896</f>
        <v>0</v>
      </c>
      <c r="D3904" s="107" t="str">
        <f>IF(LEN(Table1722[[#This Row],[Uraian]])&gt;2,1," ")</f>
        <v xml:space="preserve"> </v>
      </c>
      <c r="E3904" s="113" t="str">
        <f>IF(Table1722[[#This Row],[Lawan Transaksi]]="CV AGUNG KARYA",COUNTIF($I$10:I3904,"CV AGUNG KARYA")," ")</f>
        <v xml:space="preserve"> </v>
      </c>
      <c r="F3904" s="107" t="str">
        <f>IF(LEN(Table1722[[#This Row],[Uraian]])&gt;2,TRIM(RIGHT(SUBSTITUTE(TRIM(C3904)," ",REPT(" ",255)),255))," ")</f>
        <v xml:space="preserve"> </v>
      </c>
      <c r="G3904" s="110">
        <f>COPY!Z3896</f>
        <v>0</v>
      </c>
      <c r="H3904" s="111" t="str">
        <f>IFERROR(VLOOKUP(Table1722[[#This Row],[Bukti]],'Un nOTA'!$A$4:$K$5003,10,FALSE),"")</f>
        <v/>
      </c>
      <c r="I3904" s="123" t="str">
        <f>IFERROR(VLOOKUP(Table1722[[#This Row],[Bukti]],Table13[#Data],11,FALSE),"")</f>
        <v/>
      </c>
    </row>
    <row r="3905" spans="1:9" hidden="1" x14ac:dyDescent="0.2">
      <c r="A3905" s="105" t="str">
        <f>IF(D3905=1,COUNTIF($D$10:D3905,1)," ")</f>
        <v xml:space="preserve"> </v>
      </c>
      <c r="B3905" s="106">
        <f>COPY!AR3897</f>
        <v>0</v>
      </c>
      <c r="C3905" s="107">
        <f>COPY!AC3897</f>
        <v>0</v>
      </c>
      <c r="D3905" s="107" t="str">
        <f>IF(LEN(Table1722[[#This Row],[Uraian]])&gt;2,1," ")</f>
        <v xml:space="preserve"> </v>
      </c>
      <c r="E3905" s="113" t="str">
        <f>IF(Table1722[[#This Row],[Lawan Transaksi]]="CV AGUNG KARYA",COUNTIF($I$10:I3905,"CV AGUNG KARYA")," ")</f>
        <v xml:space="preserve"> </v>
      </c>
      <c r="F3905" s="107" t="str">
        <f>IF(LEN(Table1722[[#This Row],[Uraian]])&gt;2,TRIM(RIGHT(SUBSTITUTE(TRIM(C3905)," ",REPT(" ",255)),255))," ")</f>
        <v xml:space="preserve"> </v>
      </c>
      <c r="G3905" s="110">
        <f>COPY!Z3897</f>
        <v>0</v>
      </c>
      <c r="H3905" s="111" t="str">
        <f>IFERROR(VLOOKUP(Table1722[[#This Row],[Bukti]],'Un nOTA'!$A$4:$K$5003,10,FALSE),"")</f>
        <v/>
      </c>
      <c r="I3905" s="123" t="str">
        <f>IFERROR(VLOOKUP(Table1722[[#This Row],[Bukti]],Table13[#Data],11,FALSE),"")</f>
        <v/>
      </c>
    </row>
    <row r="3906" spans="1:9" hidden="1" x14ac:dyDescent="0.2">
      <c r="A3906" s="105" t="str">
        <f>IF(D3906=1,COUNTIF($D$10:D3906,1)," ")</f>
        <v xml:space="preserve"> </v>
      </c>
      <c r="B3906" s="106">
        <f>COPY!AR3898</f>
        <v>0</v>
      </c>
      <c r="C3906" s="107">
        <f>COPY!AC3898</f>
        <v>0</v>
      </c>
      <c r="D3906" s="107" t="str">
        <f>IF(LEN(Table1722[[#This Row],[Uraian]])&gt;2,1," ")</f>
        <v xml:space="preserve"> </v>
      </c>
      <c r="E3906" s="113" t="str">
        <f>IF(Table1722[[#This Row],[Lawan Transaksi]]="CV AGUNG KARYA",COUNTIF($I$10:I3906,"CV AGUNG KARYA")," ")</f>
        <v xml:space="preserve"> </v>
      </c>
      <c r="F3906" s="107" t="str">
        <f>IF(LEN(Table1722[[#This Row],[Uraian]])&gt;2,TRIM(RIGHT(SUBSTITUTE(TRIM(C3906)," ",REPT(" ",255)),255))," ")</f>
        <v xml:space="preserve"> </v>
      </c>
      <c r="G3906" s="110">
        <f>COPY!Z3898</f>
        <v>0</v>
      </c>
      <c r="H3906" s="111" t="str">
        <f>IFERROR(VLOOKUP(Table1722[[#This Row],[Bukti]],'Un nOTA'!$A$4:$K$5003,10,FALSE),"")</f>
        <v/>
      </c>
      <c r="I3906" s="123" t="str">
        <f>IFERROR(VLOOKUP(Table1722[[#This Row],[Bukti]],Table13[#Data],11,FALSE),"")</f>
        <v/>
      </c>
    </row>
    <row r="3907" spans="1:9" hidden="1" x14ac:dyDescent="0.2">
      <c r="A3907" s="105" t="str">
        <f>IF(D3907=1,COUNTIF($D$10:D3907,1)," ")</f>
        <v xml:space="preserve"> </v>
      </c>
      <c r="B3907" s="106">
        <f>COPY!AR3899</f>
        <v>0</v>
      </c>
      <c r="C3907" s="107">
        <f>COPY!AC3899</f>
        <v>0</v>
      </c>
      <c r="D3907" s="107" t="str">
        <f>IF(LEN(Table1722[[#This Row],[Uraian]])&gt;2,1," ")</f>
        <v xml:space="preserve"> </v>
      </c>
      <c r="E3907" s="113" t="str">
        <f>IF(Table1722[[#This Row],[Lawan Transaksi]]="CV AGUNG KARYA",COUNTIF($I$10:I3907,"CV AGUNG KARYA")," ")</f>
        <v xml:space="preserve"> </v>
      </c>
      <c r="F3907" s="107" t="str">
        <f>IF(LEN(Table1722[[#This Row],[Uraian]])&gt;2,TRIM(RIGHT(SUBSTITUTE(TRIM(C3907)," ",REPT(" ",255)),255))," ")</f>
        <v xml:space="preserve"> </v>
      </c>
      <c r="G3907" s="110">
        <f>COPY!Z3899</f>
        <v>0</v>
      </c>
      <c r="H3907" s="111" t="str">
        <f>IFERROR(VLOOKUP(Table1722[[#This Row],[Bukti]],'Un nOTA'!$A$4:$K$5003,10,FALSE),"")</f>
        <v/>
      </c>
      <c r="I3907" s="123" t="str">
        <f>IFERROR(VLOOKUP(Table1722[[#This Row],[Bukti]],Table13[#Data],11,FALSE),"")</f>
        <v/>
      </c>
    </row>
    <row r="3908" spans="1:9" hidden="1" x14ac:dyDescent="0.2">
      <c r="A3908" s="105" t="str">
        <f>IF(D3908=1,COUNTIF($D$10:D3908,1)," ")</f>
        <v xml:space="preserve"> </v>
      </c>
      <c r="B3908" s="106">
        <f>COPY!AR3900</f>
        <v>0</v>
      </c>
      <c r="C3908" s="107">
        <f>COPY!AC3900</f>
        <v>0</v>
      </c>
      <c r="D3908" s="107" t="str">
        <f>IF(LEN(Table1722[[#This Row],[Uraian]])&gt;2,1," ")</f>
        <v xml:space="preserve"> </v>
      </c>
      <c r="E3908" s="113" t="str">
        <f>IF(Table1722[[#This Row],[Lawan Transaksi]]="CV AGUNG KARYA",COUNTIF($I$10:I3908,"CV AGUNG KARYA")," ")</f>
        <v xml:space="preserve"> </v>
      </c>
      <c r="F3908" s="107" t="str">
        <f>IF(LEN(Table1722[[#This Row],[Uraian]])&gt;2,TRIM(RIGHT(SUBSTITUTE(TRIM(C3908)," ",REPT(" ",255)),255))," ")</f>
        <v xml:space="preserve"> </v>
      </c>
      <c r="G3908" s="110">
        <f>COPY!Z3900</f>
        <v>0</v>
      </c>
      <c r="H3908" s="111" t="str">
        <f>IFERROR(VLOOKUP(Table1722[[#This Row],[Bukti]],'Un nOTA'!$A$4:$K$5003,10,FALSE),"")</f>
        <v/>
      </c>
      <c r="I3908" s="123" t="str">
        <f>IFERROR(VLOOKUP(Table1722[[#This Row],[Bukti]],Table13[#Data],11,FALSE),"")</f>
        <v/>
      </c>
    </row>
    <row r="3909" spans="1:9" hidden="1" x14ac:dyDescent="0.2">
      <c r="A3909" s="105" t="str">
        <f>IF(D3909=1,COUNTIF($D$10:D3909,1)," ")</f>
        <v xml:space="preserve"> </v>
      </c>
      <c r="B3909" s="106">
        <f>COPY!AR3901</f>
        <v>0</v>
      </c>
      <c r="C3909" s="107">
        <f>COPY!AC3901</f>
        <v>0</v>
      </c>
      <c r="D3909" s="107" t="str">
        <f>IF(LEN(Table1722[[#This Row],[Uraian]])&gt;2,1," ")</f>
        <v xml:space="preserve"> </v>
      </c>
      <c r="E3909" s="113" t="str">
        <f>IF(Table1722[[#This Row],[Lawan Transaksi]]="CV AGUNG KARYA",COUNTIF($I$10:I3909,"CV AGUNG KARYA")," ")</f>
        <v xml:space="preserve"> </v>
      </c>
      <c r="F3909" s="107" t="str">
        <f>IF(LEN(Table1722[[#This Row],[Uraian]])&gt;2,TRIM(RIGHT(SUBSTITUTE(TRIM(C3909)," ",REPT(" ",255)),255))," ")</f>
        <v xml:space="preserve"> </v>
      </c>
      <c r="G3909" s="110">
        <f>COPY!Z3901</f>
        <v>0</v>
      </c>
      <c r="H3909" s="111" t="str">
        <f>IFERROR(VLOOKUP(Table1722[[#This Row],[Bukti]],'Un nOTA'!$A$4:$K$5003,10,FALSE),"")</f>
        <v/>
      </c>
      <c r="I3909" s="123" t="str">
        <f>IFERROR(VLOOKUP(Table1722[[#This Row],[Bukti]],Table13[#Data],11,FALSE),"")</f>
        <v/>
      </c>
    </row>
    <row r="3910" spans="1:9" hidden="1" x14ac:dyDescent="0.2">
      <c r="A3910" s="105" t="str">
        <f>IF(D3910=1,COUNTIF($D$10:D3910,1)," ")</f>
        <v xml:space="preserve"> </v>
      </c>
      <c r="B3910" s="106">
        <f>COPY!AR3902</f>
        <v>0</v>
      </c>
      <c r="C3910" s="107">
        <f>COPY!AC3902</f>
        <v>0</v>
      </c>
      <c r="D3910" s="107" t="str">
        <f>IF(LEN(Table1722[[#This Row],[Uraian]])&gt;2,1," ")</f>
        <v xml:space="preserve"> </v>
      </c>
      <c r="E3910" s="113" t="str">
        <f>IF(Table1722[[#This Row],[Lawan Transaksi]]="CV AGUNG KARYA",COUNTIF($I$10:I3910,"CV AGUNG KARYA")," ")</f>
        <v xml:space="preserve"> </v>
      </c>
      <c r="F3910" s="107" t="str">
        <f>IF(LEN(Table1722[[#This Row],[Uraian]])&gt;2,TRIM(RIGHT(SUBSTITUTE(TRIM(C3910)," ",REPT(" ",255)),255))," ")</f>
        <v xml:space="preserve"> </v>
      </c>
      <c r="G3910" s="110">
        <f>COPY!Z3902</f>
        <v>0</v>
      </c>
      <c r="H3910" s="111" t="str">
        <f>IFERROR(VLOOKUP(Table1722[[#This Row],[Bukti]],'Un nOTA'!$A$4:$K$5003,10,FALSE),"")</f>
        <v/>
      </c>
      <c r="I3910" s="123" t="str">
        <f>IFERROR(VLOOKUP(Table1722[[#This Row],[Bukti]],Table13[#Data],11,FALSE),"")</f>
        <v/>
      </c>
    </row>
    <row r="3911" spans="1:9" hidden="1" x14ac:dyDescent="0.2">
      <c r="A3911" s="105" t="str">
        <f>IF(D3911=1,COUNTIF($D$10:D3911,1)," ")</f>
        <v xml:space="preserve"> </v>
      </c>
      <c r="B3911" s="106">
        <f>COPY!AR3903</f>
        <v>0</v>
      </c>
      <c r="C3911" s="107">
        <f>COPY!AC3903</f>
        <v>0</v>
      </c>
      <c r="D3911" s="107" t="str">
        <f>IF(LEN(Table1722[[#This Row],[Uraian]])&gt;2,1," ")</f>
        <v xml:space="preserve"> </v>
      </c>
      <c r="E3911" s="113" t="str">
        <f>IF(Table1722[[#This Row],[Lawan Transaksi]]="CV AGUNG KARYA",COUNTIF($I$10:I3911,"CV AGUNG KARYA")," ")</f>
        <v xml:space="preserve"> </v>
      </c>
      <c r="F3911" s="107" t="str">
        <f>IF(LEN(Table1722[[#This Row],[Uraian]])&gt;2,TRIM(RIGHT(SUBSTITUTE(TRIM(C3911)," ",REPT(" ",255)),255))," ")</f>
        <v xml:space="preserve"> </v>
      </c>
      <c r="G3911" s="110">
        <f>COPY!Z3903</f>
        <v>0</v>
      </c>
      <c r="H3911" s="111" t="str">
        <f>IFERROR(VLOOKUP(Table1722[[#This Row],[Bukti]],'Un nOTA'!$A$4:$K$5003,10,FALSE),"")</f>
        <v/>
      </c>
      <c r="I3911" s="123" t="str">
        <f>IFERROR(VLOOKUP(Table1722[[#This Row],[Bukti]],Table13[#Data],11,FALSE),"")</f>
        <v/>
      </c>
    </row>
    <row r="3912" spans="1:9" hidden="1" x14ac:dyDescent="0.2">
      <c r="A3912" s="105" t="str">
        <f>IF(D3912=1,COUNTIF($D$10:D3912,1)," ")</f>
        <v xml:space="preserve"> </v>
      </c>
      <c r="B3912" s="106">
        <f>COPY!AR3904</f>
        <v>0</v>
      </c>
      <c r="C3912" s="107">
        <f>COPY!AC3904</f>
        <v>0</v>
      </c>
      <c r="D3912" s="107" t="str">
        <f>IF(LEN(Table1722[[#This Row],[Uraian]])&gt;2,1," ")</f>
        <v xml:space="preserve"> </v>
      </c>
      <c r="E3912" s="113" t="str">
        <f>IF(Table1722[[#This Row],[Lawan Transaksi]]="CV AGUNG KARYA",COUNTIF($I$10:I3912,"CV AGUNG KARYA")," ")</f>
        <v xml:space="preserve"> </v>
      </c>
      <c r="F3912" s="107" t="str">
        <f>IF(LEN(Table1722[[#This Row],[Uraian]])&gt;2,TRIM(RIGHT(SUBSTITUTE(TRIM(C3912)," ",REPT(" ",255)),255))," ")</f>
        <v xml:space="preserve"> </v>
      </c>
      <c r="G3912" s="110">
        <f>COPY!Z3904</f>
        <v>0</v>
      </c>
      <c r="H3912" s="111" t="str">
        <f>IFERROR(VLOOKUP(Table1722[[#This Row],[Bukti]],'Un nOTA'!$A$4:$K$5003,10,FALSE),"")</f>
        <v/>
      </c>
      <c r="I3912" s="123" t="str">
        <f>IFERROR(VLOOKUP(Table1722[[#This Row],[Bukti]],Table13[#Data],11,FALSE),"")</f>
        <v/>
      </c>
    </row>
    <row r="3913" spans="1:9" hidden="1" x14ac:dyDescent="0.2">
      <c r="A3913" s="105" t="str">
        <f>IF(D3913=1,COUNTIF($D$10:D3913,1)," ")</f>
        <v xml:space="preserve"> </v>
      </c>
      <c r="B3913" s="106">
        <f>COPY!AR3905</f>
        <v>0</v>
      </c>
      <c r="C3913" s="107">
        <f>COPY!AC3905</f>
        <v>0</v>
      </c>
      <c r="D3913" s="107" t="str">
        <f>IF(LEN(Table1722[[#This Row],[Uraian]])&gt;2,1," ")</f>
        <v xml:space="preserve"> </v>
      </c>
      <c r="E3913" s="113" t="str">
        <f>IF(Table1722[[#This Row],[Lawan Transaksi]]="CV AGUNG KARYA",COUNTIF($I$10:I3913,"CV AGUNG KARYA")," ")</f>
        <v xml:space="preserve"> </v>
      </c>
      <c r="F3913" s="107" t="str">
        <f>IF(LEN(Table1722[[#This Row],[Uraian]])&gt;2,TRIM(RIGHT(SUBSTITUTE(TRIM(C3913)," ",REPT(" ",255)),255))," ")</f>
        <v xml:space="preserve"> </v>
      </c>
      <c r="G3913" s="110">
        <f>COPY!Z3905</f>
        <v>0</v>
      </c>
      <c r="H3913" s="111" t="str">
        <f>IFERROR(VLOOKUP(Table1722[[#This Row],[Bukti]],'Un nOTA'!$A$4:$K$5003,10,FALSE),"")</f>
        <v/>
      </c>
      <c r="I3913" s="123" t="str">
        <f>IFERROR(VLOOKUP(Table1722[[#This Row],[Bukti]],Table13[#Data],11,FALSE),"")</f>
        <v/>
      </c>
    </row>
    <row r="3914" spans="1:9" hidden="1" x14ac:dyDescent="0.2">
      <c r="A3914" s="105" t="str">
        <f>IF(D3914=1,COUNTIF($D$10:D3914,1)," ")</f>
        <v xml:space="preserve"> </v>
      </c>
      <c r="B3914" s="106">
        <f>COPY!AR3906</f>
        <v>0</v>
      </c>
      <c r="C3914" s="107">
        <f>COPY!AC3906</f>
        <v>0</v>
      </c>
      <c r="D3914" s="107" t="str">
        <f>IF(LEN(Table1722[[#This Row],[Uraian]])&gt;2,1," ")</f>
        <v xml:space="preserve"> </v>
      </c>
      <c r="E3914" s="113" t="str">
        <f>IF(Table1722[[#This Row],[Lawan Transaksi]]="CV AGUNG KARYA",COUNTIF($I$10:I3914,"CV AGUNG KARYA")," ")</f>
        <v xml:space="preserve"> </v>
      </c>
      <c r="F3914" s="107" t="str">
        <f>IF(LEN(Table1722[[#This Row],[Uraian]])&gt;2,TRIM(RIGHT(SUBSTITUTE(TRIM(C3914)," ",REPT(" ",255)),255))," ")</f>
        <v xml:space="preserve"> </v>
      </c>
      <c r="G3914" s="110">
        <f>COPY!Z3906</f>
        <v>0</v>
      </c>
      <c r="H3914" s="111" t="str">
        <f>IFERROR(VLOOKUP(Table1722[[#This Row],[Bukti]],'Un nOTA'!$A$4:$K$5003,10,FALSE),"")</f>
        <v/>
      </c>
      <c r="I3914" s="123" t="str">
        <f>IFERROR(VLOOKUP(Table1722[[#This Row],[Bukti]],Table13[#Data],11,FALSE),"")</f>
        <v/>
      </c>
    </row>
    <row r="3915" spans="1:9" hidden="1" x14ac:dyDescent="0.2">
      <c r="A3915" s="105" t="str">
        <f>IF(D3915=1,COUNTIF($D$10:D3915,1)," ")</f>
        <v xml:space="preserve"> </v>
      </c>
      <c r="B3915" s="106">
        <f>COPY!AR3907</f>
        <v>0</v>
      </c>
      <c r="C3915" s="107">
        <f>COPY!AC3907</f>
        <v>0</v>
      </c>
      <c r="D3915" s="107" t="str">
        <f>IF(LEN(Table1722[[#This Row],[Uraian]])&gt;2,1," ")</f>
        <v xml:space="preserve"> </v>
      </c>
      <c r="E3915" s="113" t="str">
        <f>IF(Table1722[[#This Row],[Lawan Transaksi]]="CV AGUNG KARYA",COUNTIF($I$10:I3915,"CV AGUNG KARYA")," ")</f>
        <v xml:space="preserve"> </v>
      </c>
      <c r="F3915" s="107" t="str">
        <f>IF(LEN(Table1722[[#This Row],[Uraian]])&gt;2,TRIM(RIGHT(SUBSTITUTE(TRIM(C3915)," ",REPT(" ",255)),255))," ")</f>
        <v xml:space="preserve"> </v>
      </c>
      <c r="G3915" s="110">
        <f>COPY!Z3907</f>
        <v>0</v>
      </c>
      <c r="H3915" s="111" t="str">
        <f>IFERROR(VLOOKUP(Table1722[[#This Row],[Bukti]],'Un nOTA'!$A$4:$K$5003,10,FALSE),"")</f>
        <v/>
      </c>
      <c r="I3915" s="123" t="str">
        <f>IFERROR(VLOOKUP(Table1722[[#This Row],[Bukti]],Table13[#Data],11,FALSE),"")</f>
        <v/>
      </c>
    </row>
    <row r="3916" spans="1:9" hidden="1" x14ac:dyDescent="0.2">
      <c r="A3916" s="105" t="str">
        <f>IF(D3916=1,COUNTIF($D$10:D3916,1)," ")</f>
        <v xml:space="preserve"> </v>
      </c>
      <c r="B3916" s="106">
        <f>COPY!AR3908</f>
        <v>0</v>
      </c>
      <c r="C3916" s="107">
        <f>COPY!AC3908</f>
        <v>0</v>
      </c>
      <c r="D3916" s="107" t="str">
        <f>IF(LEN(Table1722[[#This Row],[Uraian]])&gt;2,1," ")</f>
        <v xml:space="preserve"> </v>
      </c>
      <c r="E3916" s="113" t="str">
        <f>IF(Table1722[[#This Row],[Lawan Transaksi]]="CV AGUNG KARYA",COUNTIF($I$10:I3916,"CV AGUNG KARYA")," ")</f>
        <v xml:space="preserve"> </v>
      </c>
      <c r="F3916" s="107" t="str">
        <f>IF(LEN(Table1722[[#This Row],[Uraian]])&gt;2,TRIM(RIGHT(SUBSTITUTE(TRIM(C3916)," ",REPT(" ",255)),255))," ")</f>
        <v xml:space="preserve"> </v>
      </c>
      <c r="G3916" s="110">
        <f>COPY!Z3908</f>
        <v>0</v>
      </c>
      <c r="H3916" s="111" t="str">
        <f>IFERROR(VLOOKUP(Table1722[[#This Row],[Bukti]],'Un nOTA'!$A$4:$K$5003,10,FALSE),"")</f>
        <v/>
      </c>
      <c r="I3916" s="123" t="str">
        <f>IFERROR(VLOOKUP(Table1722[[#This Row],[Bukti]],Table13[#Data],11,FALSE),"")</f>
        <v/>
      </c>
    </row>
    <row r="3917" spans="1:9" hidden="1" x14ac:dyDescent="0.2">
      <c r="A3917" s="105" t="str">
        <f>IF(D3917=1,COUNTIF($D$10:D3917,1)," ")</f>
        <v xml:space="preserve"> </v>
      </c>
      <c r="B3917" s="106">
        <f>COPY!AR3909</f>
        <v>0</v>
      </c>
      <c r="C3917" s="107">
        <f>COPY!AC3909</f>
        <v>0</v>
      </c>
      <c r="D3917" s="107" t="str">
        <f>IF(LEN(Table1722[[#This Row],[Uraian]])&gt;2,1," ")</f>
        <v xml:space="preserve"> </v>
      </c>
      <c r="E3917" s="113" t="str">
        <f>IF(Table1722[[#This Row],[Lawan Transaksi]]="CV AGUNG KARYA",COUNTIF($I$10:I3917,"CV AGUNG KARYA")," ")</f>
        <v xml:space="preserve"> </v>
      </c>
      <c r="F3917" s="107" t="str">
        <f>IF(LEN(Table1722[[#This Row],[Uraian]])&gt;2,TRIM(RIGHT(SUBSTITUTE(TRIM(C3917)," ",REPT(" ",255)),255))," ")</f>
        <v xml:space="preserve"> </v>
      </c>
      <c r="G3917" s="110">
        <f>COPY!Z3909</f>
        <v>0</v>
      </c>
      <c r="H3917" s="111" t="str">
        <f>IFERROR(VLOOKUP(Table1722[[#This Row],[Bukti]],'Un nOTA'!$A$4:$K$5003,10,FALSE),"")</f>
        <v/>
      </c>
      <c r="I3917" s="123" t="str">
        <f>IFERROR(VLOOKUP(Table1722[[#This Row],[Bukti]],Table13[#Data],11,FALSE),"")</f>
        <v/>
      </c>
    </row>
    <row r="3918" spans="1:9" hidden="1" x14ac:dyDescent="0.2">
      <c r="A3918" s="105" t="str">
        <f>IF(D3918=1,COUNTIF($D$10:D3918,1)," ")</f>
        <v xml:space="preserve"> </v>
      </c>
      <c r="B3918" s="106">
        <f>COPY!AR3910</f>
        <v>0</v>
      </c>
      <c r="C3918" s="107">
        <f>COPY!AC3910</f>
        <v>0</v>
      </c>
      <c r="D3918" s="107" t="str">
        <f>IF(LEN(Table1722[[#This Row],[Uraian]])&gt;2,1," ")</f>
        <v xml:space="preserve"> </v>
      </c>
      <c r="E3918" s="113" t="str">
        <f>IF(Table1722[[#This Row],[Lawan Transaksi]]="CV AGUNG KARYA",COUNTIF($I$10:I3918,"CV AGUNG KARYA")," ")</f>
        <v xml:space="preserve"> </v>
      </c>
      <c r="F3918" s="107" t="str">
        <f>IF(LEN(Table1722[[#This Row],[Uraian]])&gt;2,TRIM(RIGHT(SUBSTITUTE(TRIM(C3918)," ",REPT(" ",255)),255))," ")</f>
        <v xml:space="preserve"> </v>
      </c>
      <c r="G3918" s="110">
        <f>COPY!Z3910</f>
        <v>0</v>
      </c>
      <c r="H3918" s="111" t="str">
        <f>IFERROR(VLOOKUP(Table1722[[#This Row],[Bukti]],'Un nOTA'!$A$4:$K$5003,10,FALSE),"")</f>
        <v/>
      </c>
      <c r="I3918" s="123" t="str">
        <f>IFERROR(VLOOKUP(Table1722[[#This Row],[Bukti]],Table13[#Data],11,FALSE),"")</f>
        <v/>
      </c>
    </row>
    <row r="3919" spans="1:9" hidden="1" x14ac:dyDescent="0.2">
      <c r="A3919" s="105" t="str">
        <f>IF(D3919=1,COUNTIF($D$10:D3919,1)," ")</f>
        <v xml:space="preserve"> </v>
      </c>
      <c r="B3919" s="106">
        <f>COPY!AR3911</f>
        <v>0</v>
      </c>
      <c r="C3919" s="107">
        <f>COPY!AC3911</f>
        <v>0</v>
      </c>
      <c r="D3919" s="107" t="str">
        <f>IF(LEN(Table1722[[#This Row],[Uraian]])&gt;2,1," ")</f>
        <v xml:space="preserve"> </v>
      </c>
      <c r="E3919" s="113" t="str">
        <f>IF(Table1722[[#This Row],[Lawan Transaksi]]="CV AGUNG KARYA",COUNTIF($I$10:I3919,"CV AGUNG KARYA")," ")</f>
        <v xml:space="preserve"> </v>
      </c>
      <c r="F3919" s="107" t="str">
        <f>IF(LEN(Table1722[[#This Row],[Uraian]])&gt;2,TRIM(RIGHT(SUBSTITUTE(TRIM(C3919)," ",REPT(" ",255)),255))," ")</f>
        <v xml:space="preserve"> </v>
      </c>
      <c r="G3919" s="110">
        <f>COPY!Z3911</f>
        <v>0</v>
      </c>
      <c r="H3919" s="111" t="str">
        <f>IFERROR(VLOOKUP(Table1722[[#This Row],[Bukti]],'Un nOTA'!$A$4:$K$5003,10,FALSE),"")</f>
        <v/>
      </c>
      <c r="I3919" s="123" t="str">
        <f>IFERROR(VLOOKUP(Table1722[[#This Row],[Bukti]],Table13[#Data],11,FALSE),"")</f>
        <v/>
      </c>
    </row>
    <row r="3920" spans="1:9" hidden="1" x14ac:dyDescent="0.2">
      <c r="A3920" s="105" t="str">
        <f>IF(D3920=1,COUNTIF($D$10:D3920,1)," ")</f>
        <v xml:space="preserve"> </v>
      </c>
      <c r="B3920" s="106">
        <f>COPY!AR3912</f>
        <v>0</v>
      </c>
      <c r="C3920" s="107">
        <f>COPY!AC3912</f>
        <v>0</v>
      </c>
      <c r="D3920" s="107" t="str">
        <f>IF(LEN(Table1722[[#This Row],[Uraian]])&gt;2,1," ")</f>
        <v xml:space="preserve"> </v>
      </c>
      <c r="E3920" s="113" t="str">
        <f>IF(Table1722[[#This Row],[Lawan Transaksi]]="CV AGUNG KARYA",COUNTIF($I$10:I3920,"CV AGUNG KARYA")," ")</f>
        <v xml:space="preserve"> </v>
      </c>
      <c r="F3920" s="107" t="str">
        <f>IF(LEN(Table1722[[#This Row],[Uraian]])&gt;2,TRIM(RIGHT(SUBSTITUTE(TRIM(C3920)," ",REPT(" ",255)),255))," ")</f>
        <v xml:space="preserve"> </v>
      </c>
      <c r="G3920" s="110">
        <f>COPY!Z3912</f>
        <v>0</v>
      </c>
      <c r="H3920" s="111" t="str">
        <f>IFERROR(VLOOKUP(Table1722[[#This Row],[Bukti]],'Un nOTA'!$A$4:$K$5003,10,FALSE),"")</f>
        <v/>
      </c>
      <c r="I3920" s="123" t="str">
        <f>IFERROR(VLOOKUP(Table1722[[#This Row],[Bukti]],Table13[#Data],11,FALSE),"")</f>
        <v/>
      </c>
    </row>
    <row r="3921" spans="1:9" hidden="1" x14ac:dyDescent="0.2">
      <c r="A3921" s="105" t="str">
        <f>IF(D3921=1,COUNTIF($D$10:D3921,1)," ")</f>
        <v xml:space="preserve"> </v>
      </c>
      <c r="B3921" s="106">
        <f>COPY!AR3913</f>
        <v>0</v>
      </c>
      <c r="C3921" s="107">
        <f>COPY!AC3913</f>
        <v>0</v>
      </c>
      <c r="D3921" s="107" t="str">
        <f>IF(LEN(Table1722[[#This Row],[Uraian]])&gt;2,1," ")</f>
        <v xml:space="preserve"> </v>
      </c>
      <c r="E3921" s="113" t="str">
        <f>IF(Table1722[[#This Row],[Lawan Transaksi]]="CV AGUNG KARYA",COUNTIF($I$10:I3921,"CV AGUNG KARYA")," ")</f>
        <v xml:space="preserve"> </v>
      </c>
      <c r="F3921" s="107" t="str">
        <f>IF(LEN(Table1722[[#This Row],[Uraian]])&gt;2,TRIM(RIGHT(SUBSTITUTE(TRIM(C3921)," ",REPT(" ",255)),255))," ")</f>
        <v xml:space="preserve"> </v>
      </c>
      <c r="G3921" s="110">
        <f>COPY!Z3913</f>
        <v>0</v>
      </c>
      <c r="H3921" s="111" t="str">
        <f>IFERROR(VLOOKUP(Table1722[[#This Row],[Bukti]],'Un nOTA'!$A$4:$K$5003,10,FALSE),"")</f>
        <v/>
      </c>
      <c r="I3921" s="123" t="str">
        <f>IFERROR(VLOOKUP(Table1722[[#This Row],[Bukti]],Table13[#Data],11,FALSE),"")</f>
        <v/>
      </c>
    </row>
    <row r="3922" spans="1:9" hidden="1" x14ac:dyDescent="0.2">
      <c r="A3922" s="105" t="str">
        <f>IF(D3922=1,COUNTIF($D$10:D3922,1)," ")</f>
        <v xml:space="preserve"> </v>
      </c>
      <c r="B3922" s="106">
        <f>COPY!AR3914</f>
        <v>0</v>
      </c>
      <c r="C3922" s="107">
        <f>COPY!AC3914</f>
        <v>0</v>
      </c>
      <c r="D3922" s="107" t="str">
        <f>IF(LEN(Table1722[[#This Row],[Uraian]])&gt;2,1," ")</f>
        <v xml:space="preserve"> </v>
      </c>
      <c r="E3922" s="113" t="str">
        <f>IF(Table1722[[#This Row],[Lawan Transaksi]]="CV AGUNG KARYA",COUNTIF($I$10:I3922,"CV AGUNG KARYA")," ")</f>
        <v xml:space="preserve"> </v>
      </c>
      <c r="F3922" s="107" t="str">
        <f>IF(LEN(Table1722[[#This Row],[Uraian]])&gt;2,TRIM(RIGHT(SUBSTITUTE(TRIM(C3922)," ",REPT(" ",255)),255))," ")</f>
        <v xml:space="preserve"> </v>
      </c>
      <c r="G3922" s="110">
        <f>COPY!Z3914</f>
        <v>0</v>
      </c>
      <c r="H3922" s="111" t="str">
        <f>IFERROR(VLOOKUP(Table1722[[#This Row],[Bukti]],'Un nOTA'!$A$4:$K$5003,10,FALSE),"")</f>
        <v/>
      </c>
      <c r="I3922" s="123" t="str">
        <f>IFERROR(VLOOKUP(Table1722[[#This Row],[Bukti]],Table13[#Data],11,FALSE),"")</f>
        <v/>
      </c>
    </row>
    <row r="3923" spans="1:9" hidden="1" x14ac:dyDescent="0.2">
      <c r="A3923" s="105" t="str">
        <f>IF(D3923=1,COUNTIF($D$10:D3923,1)," ")</f>
        <v xml:space="preserve"> </v>
      </c>
      <c r="B3923" s="106">
        <f>COPY!AR3915</f>
        <v>0</v>
      </c>
      <c r="C3923" s="107">
        <f>COPY!AC3915</f>
        <v>0</v>
      </c>
      <c r="D3923" s="107" t="str">
        <f>IF(LEN(Table1722[[#This Row],[Uraian]])&gt;2,1," ")</f>
        <v xml:space="preserve"> </v>
      </c>
      <c r="E3923" s="113" t="str">
        <f>IF(Table1722[[#This Row],[Lawan Transaksi]]="CV AGUNG KARYA",COUNTIF($I$10:I3923,"CV AGUNG KARYA")," ")</f>
        <v xml:space="preserve"> </v>
      </c>
      <c r="F3923" s="107" t="str">
        <f>IF(LEN(Table1722[[#This Row],[Uraian]])&gt;2,TRIM(RIGHT(SUBSTITUTE(TRIM(C3923)," ",REPT(" ",255)),255))," ")</f>
        <v xml:space="preserve"> </v>
      </c>
      <c r="G3923" s="110">
        <f>COPY!Z3915</f>
        <v>0</v>
      </c>
      <c r="H3923" s="111" t="str">
        <f>IFERROR(VLOOKUP(Table1722[[#This Row],[Bukti]],'Un nOTA'!$A$4:$K$5003,10,FALSE),"")</f>
        <v/>
      </c>
      <c r="I3923" s="123" t="str">
        <f>IFERROR(VLOOKUP(Table1722[[#This Row],[Bukti]],Table13[#Data],11,FALSE),"")</f>
        <v/>
      </c>
    </row>
    <row r="3924" spans="1:9" hidden="1" x14ac:dyDescent="0.2">
      <c r="A3924" s="105" t="str">
        <f>IF(D3924=1,COUNTIF($D$10:D3924,1)," ")</f>
        <v xml:space="preserve"> </v>
      </c>
      <c r="B3924" s="106">
        <f>COPY!AR3916</f>
        <v>0</v>
      </c>
      <c r="C3924" s="107">
        <f>COPY!AC3916</f>
        <v>0</v>
      </c>
      <c r="D3924" s="107" t="str">
        <f>IF(LEN(Table1722[[#This Row],[Uraian]])&gt;2,1," ")</f>
        <v xml:space="preserve"> </v>
      </c>
      <c r="E3924" s="113" t="str">
        <f>IF(Table1722[[#This Row],[Lawan Transaksi]]="CV AGUNG KARYA",COUNTIF($I$10:I3924,"CV AGUNG KARYA")," ")</f>
        <v xml:space="preserve"> </v>
      </c>
      <c r="F3924" s="107" t="str">
        <f>IF(LEN(Table1722[[#This Row],[Uraian]])&gt;2,TRIM(RIGHT(SUBSTITUTE(TRIM(C3924)," ",REPT(" ",255)),255))," ")</f>
        <v xml:space="preserve"> </v>
      </c>
      <c r="G3924" s="110">
        <f>COPY!Z3916</f>
        <v>0</v>
      </c>
      <c r="H3924" s="111" t="str">
        <f>IFERROR(VLOOKUP(Table1722[[#This Row],[Bukti]],'Un nOTA'!$A$4:$K$5003,10,FALSE),"")</f>
        <v/>
      </c>
      <c r="I3924" s="123" t="str">
        <f>IFERROR(VLOOKUP(Table1722[[#This Row],[Bukti]],Table13[#Data],11,FALSE),"")</f>
        <v/>
      </c>
    </row>
    <row r="3925" spans="1:9" hidden="1" x14ac:dyDescent="0.2">
      <c r="A3925" s="105" t="str">
        <f>IF(D3925=1,COUNTIF($D$10:D3925,1)," ")</f>
        <v xml:space="preserve"> </v>
      </c>
      <c r="B3925" s="106">
        <f>COPY!AR3917</f>
        <v>0</v>
      </c>
      <c r="C3925" s="107">
        <f>COPY!AC3917</f>
        <v>0</v>
      </c>
      <c r="D3925" s="107" t="str">
        <f>IF(LEN(Table1722[[#This Row],[Uraian]])&gt;2,1," ")</f>
        <v xml:space="preserve"> </v>
      </c>
      <c r="E3925" s="113" t="str">
        <f>IF(Table1722[[#This Row],[Lawan Transaksi]]="CV AGUNG KARYA",COUNTIF($I$10:I3925,"CV AGUNG KARYA")," ")</f>
        <v xml:space="preserve"> </v>
      </c>
      <c r="F3925" s="107" t="str">
        <f>IF(LEN(Table1722[[#This Row],[Uraian]])&gt;2,TRIM(RIGHT(SUBSTITUTE(TRIM(C3925)," ",REPT(" ",255)),255))," ")</f>
        <v xml:space="preserve"> </v>
      </c>
      <c r="G3925" s="110">
        <f>COPY!Z3917</f>
        <v>0</v>
      </c>
      <c r="H3925" s="111" t="str">
        <f>IFERROR(VLOOKUP(Table1722[[#This Row],[Bukti]],'Un nOTA'!$A$4:$K$5003,10,FALSE),"")</f>
        <v/>
      </c>
      <c r="I3925" s="123" t="str">
        <f>IFERROR(VLOOKUP(Table1722[[#This Row],[Bukti]],Table13[#Data],11,FALSE),"")</f>
        <v/>
      </c>
    </row>
    <row r="3926" spans="1:9" hidden="1" x14ac:dyDescent="0.2">
      <c r="A3926" s="105" t="str">
        <f>IF(D3926=1,COUNTIF($D$10:D3926,1)," ")</f>
        <v xml:space="preserve"> </v>
      </c>
      <c r="B3926" s="106">
        <f>COPY!AR3918</f>
        <v>0</v>
      </c>
      <c r="C3926" s="107">
        <f>COPY!AC3918</f>
        <v>0</v>
      </c>
      <c r="D3926" s="107" t="str">
        <f>IF(LEN(Table1722[[#This Row],[Uraian]])&gt;2,1," ")</f>
        <v xml:space="preserve"> </v>
      </c>
      <c r="E3926" s="113" t="str">
        <f>IF(Table1722[[#This Row],[Lawan Transaksi]]="CV AGUNG KARYA",COUNTIF($I$10:I3926,"CV AGUNG KARYA")," ")</f>
        <v xml:space="preserve"> </v>
      </c>
      <c r="F3926" s="107" t="str">
        <f>IF(LEN(Table1722[[#This Row],[Uraian]])&gt;2,TRIM(RIGHT(SUBSTITUTE(TRIM(C3926)," ",REPT(" ",255)),255))," ")</f>
        <v xml:space="preserve"> </v>
      </c>
      <c r="G3926" s="110">
        <f>COPY!Z3918</f>
        <v>0</v>
      </c>
      <c r="H3926" s="111" t="str">
        <f>IFERROR(VLOOKUP(Table1722[[#This Row],[Bukti]],'Un nOTA'!$A$4:$K$5003,10,FALSE),"")</f>
        <v/>
      </c>
      <c r="I3926" s="123" t="str">
        <f>IFERROR(VLOOKUP(Table1722[[#This Row],[Bukti]],Table13[#Data],11,FALSE),"")</f>
        <v/>
      </c>
    </row>
    <row r="3927" spans="1:9" hidden="1" x14ac:dyDescent="0.2">
      <c r="A3927" s="105" t="str">
        <f>IF(D3927=1,COUNTIF($D$10:D3927,1)," ")</f>
        <v xml:space="preserve"> </v>
      </c>
      <c r="B3927" s="106">
        <f>COPY!AR3919</f>
        <v>0</v>
      </c>
      <c r="C3927" s="107">
        <f>COPY!AC3919</f>
        <v>0</v>
      </c>
      <c r="D3927" s="107" t="str">
        <f>IF(LEN(Table1722[[#This Row],[Uraian]])&gt;2,1," ")</f>
        <v xml:space="preserve"> </v>
      </c>
      <c r="E3927" s="113" t="str">
        <f>IF(Table1722[[#This Row],[Lawan Transaksi]]="CV AGUNG KARYA",COUNTIF($I$10:I3927,"CV AGUNG KARYA")," ")</f>
        <v xml:space="preserve"> </v>
      </c>
      <c r="F3927" s="107" t="str">
        <f>IF(LEN(Table1722[[#This Row],[Uraian]])&gt;2,TRIM(RIGHT(SUBSTITUTE(TRIM(C3927)," ",REPT(" ",255)),255))," ")</f>
        <v xml:space="preserve"> </v>
      </c>
      <c r="G3927" s="110">
        <f>COPY!Z3919</f>
        <v>0</v>
      </c>
      <c r="H3927" s="111" t="str">
        <f>IFERROR(VLOOKUP(Table1722[[#This Row],[Bukti]],'Un nOTA'!$A$4:$K$5003,10,FALSE),"")</f>
        <v/>
      </c>
      <c r="I3927" s="123" t="str">
        <f>IFERROR(VLOOKUP(Table1722[[#This Row],[Bukti]],Table13[#Data],11,FALSE),"")</f>
        <v/>
      </c>
    </row>
    <row r="3928" spans="1:9" hidden="1" x14ac:dyDescent="0.2">
      <c r="A3928" s="105" t="str">
        <f>IF(D3928=1,COUNTIF($D$10:D3928,1)," ")</f>
        <v xml:space="preserve"> </v>
      </c>
      <c r="B3928" s="106">
        <f>COPY!AR3920</f>
        <v>0</v>
      </c>
      <c r="C3928" s="107">
        <f>COPY!AC3920</f>
        <v>0</v>
      </c>
      <c r="D3928" s="107" t="str">
        <f>IF(LEN(Table1722[[#This Row],[Uraian]])&gt;2,1," ")</f>
        <v xml:space="preserve"> </v>
      </c>
      <c r="E3928" s="113" t="str">
        <f>IF(Table1722[[#This Row],[Lawan Transaksi]]="CV AGUNG KARYA",COUNTIF($I$10:I3928,"CV AGUNG KARYA")," ")</f>
        <v xml:space="preserve"> </v>
      </c>
      <c r="F3928" s="107" t="str">
        <f>IF(LEN(Table1722[[#This Row],[Uraian]])&gt;2,TRIM(RIGHT(SUBSTITUTE(TRIM(C3928)," ",REPT(" ",255)),255))," ")</f>
        <v xml:space="preserve"> </v>
      </c>
      <c r="G3928" s="110">
        <f>COPY!Z3920</f>
        <v>0</v>
      </c>
      <c r="H3928" s="111" t="str">
        <f>IFERROR(VLOOKUP(Table1722[[#This Row],[Bukti]],'Un nOTA'!$A$4:$K$5003,10,FALSE),"")</f>
        <v/>
      </c>
      <c r="I3928" s="123" t="str">
        <f>IFERROR(VLOOKUP(Table1722[[#This Row],[Bukti]],Table13[#Data],11,FALSE),"")</f>
        <v/>
      </c>
    </row>
    <row r="3929" spans="1:9" hidden="1" x14ac:dyDescent="0.2">
      <c r="A3929" s="105" t="str">
        <f>IF(D3929=1,COUNTIF($D$10:D3929,1)," ")</f>
        <v xml:space="preserve"> </v>
      </c>
      <c r="B3929" s="106">
        <f>COPY!AR3921</f>
        <v>0</v>
      </c>
      <c r="C3929" s="107">
        <f>COPY!AC3921</f>
        <v>0</v>
      </c>
      <c r="D3929" s="107" t="str">
        <f>IF(LEN(Table1722[[#This Row],[Uraian]])&gt;2,1," ")</f>
        <v xml:space="preserve"> </v>
      </c>
      <c r="E3929" s="113" t="str">
        <f>IF(Table1722[[#This Row],[Lawan Transaksi]]="CV AGUNG KARYA",COUNTIF($I$10:I3929,"CV AGUNG KARYA")," ")</f>
        <v xml:space="preserve"> </v>
      </c>
      <c r="F3929" s="107" t="str">
        <f>IF(LEN(Table1722[[#This Row],[Uraian]])&gt;2,TRIM(RIGHT(SUBSTITUTE(TRIM(C3929)," ",REPT(" ",255)),255))," ")</f>
        <v xml:space="preserve"> </v>
      </c>
      <c r="G3929" s="110">
        <f>COPY!Z3921</f>
        <v>0</v>
      </c>
      <c r="H3929" s="111" t="str">
        <f>IFERROR(VLOOKUP(Table1722[[#This Row],[Bukti]],'Un nOTA'!$A$4:$K$5003,10,FALSE),"")</f>
        <v/>
      </c>
      <c r="I3929" s="123" t="str">
        <f>IFERROR(VLOOKUP(Table1722[[#This Row],[Bukti]],Table13[#Data],11,FALSE),"")</f>
        <v/>
      </c>
    </row>
    <row r="3930" spans="1:9" hidden="1" x14ac:dyDescent="0.2">
      <c r="A3930" s="105" t="str">
        <f>IF(D3930=1,COUNTIF($D$10:D3930,1)," ")</f>
        <v xml:space="preserve"> </v>
      </c>
      <c r="B3930" s="106">
        <f>COPY!AR3922</f>
        <v>0</v>
      </c>
      <c r="C3930" s="107">
        <f>COPY!AC3922</f>
        <v>0</v>
      </c>
      <c r="D3930" s="107" t="str">
        <f>IF(LEN(Table1722[[#This Row],[Uraian]])&gt;2,1," ")</f>
        <v xml:space="preserve"> </v>
      </c>
      <c r="E3930" s="113" t="str">
        <f>IF(Table1722[[#This Row],[Lawan Transaksi]]="CV AGUNG KARYA",COUNTIF($I$10:I3930,"CV AGUNG KARYA")," ")</f>
        <v xml:space="preserve"> </v>
      </c>
      <c r="F3930" s="107" t="str">
        <f>IF(LEN(Table1722[[#This Row],[Uraian]])&gt;2,TRIM(RIGHT(SUBSTITUTE(TRIM(C3930)," ",REPT(" ",255)),255))," ")</f>
        <v xml:space="preserve"> </v>
      </c>
      <c r="G3930" s="110">
        <f>COPY!Z3922</f>
        <v>0</v>
      </c>
      <c r="H3930" s="111" t="str">
        <f>IFERROR(VLOOKUP(Table1722[[#This Row],[Bukti]],'Un nOTA'!$A$4:$K$5003,10,FALSE),"")</f>
        <v/>
      </c>
      <c r="I3930" s="123" t="str">
        <f>IFERROR(VLOOKUP(Table1722[[#This Row],[Bukti]],Table13[#Data],11,FALSE),"")</f>
        <v/>
      </c>
    </row>
    <row r="3931" spans="1:9" hidden="1" x14ac:dyDescent="0.2">
      <c r="A3931" s="105" t="str">
        <f>IF(D3931=1,COUNTIF($D$10:D3931,1)," ")</f>
        <v xml:space="preserve"> </v>
      </c>
      <c r="B3931" s="106">
        <f>COPY!AR3923</f>
        <v>0</v>
      </c>
      <c r="C3931" s="107">
        <f>COPY!AC3923</f>
        <v>0</v>
      </c>
      <c r="D3931" s="107" t="str">
        <f>IF(LEN(Table1722[[#This Row],[Uraian]])&gt;2,1," ")</f>
        <v xml:space="preserve"> </v>
      </c>
      <c r="E3931" s="113" t="str">
        <f>IF(Table1722[[#This Row],[Lawan Transaksi]]="CV AGUNG KARYA",COUNTIF($I$10:I3931,"CV AGUNG KARYA")," ")</f>
        <v xml:space="preserve"> </v>
      </c>
      <c r="F3931" s="107" t="str">
        <f>IF(LEN(Table1722[[#This Row],[Uraian]])&gt;2,TRIM(RIGHT(SUBSTITUTE(TRIM(C3931)," ",REPT(" ",255)),255))," ")</f>
        <v xml:space="preserve"> </v>
      </c>
      <c r="G3931" s="110">
        <f>COPY!Z3923</f>
        <v>0</v>
      </c>
      <c r="H3931" s="111" t="str">
        <f>IFERROR(VLOOKUP(Table1722[[#This Row],[Bukti]],'Un nOTA'!$A$4:$K$5003,10,FALSE),"")</f>
        <v/>
      </c>
      <c r="I3931" s="123" t="str">
        <f>IFERROR(VLOOKUP(Table1722[[#This Row],[Bukti]],Table13[#Data],11,FALSE),"")</f>
        <v/>
      </c>
    </row>
    <row r="3932" spans="1:9" hidden="1" x14ac:dyDescent="0.2">
      <c r="A3932" s="105" t="str">
        <f>IF(D3932=1,COUNTIF($D$10:D3932,1)," ")</f>
        <v xml:space="preserve"> </v>
      </c>
      <c r="B3932" s="106">
        <f>COPY!AR3924</f>
        <v>0</v>
      </c>
      <c r="C3932" s="107">
        <f>COPY!AC3924</f>
        <v>0</v>
      </c>
      <c r="D3932" s="107" t="str">
        <f>IF(LEN(Table1722[[#This Row],[Uraian]])&gt;2,1," ")</f>
        <v xml:space="preserve"> </v>
      </c>
      <c r="E3932" s="113" t="str">
        <f>IF(Table1722[[#This Row],[Lawan Transaksi]]="CV AGUNG KARYA",COUNTIF($I$10:I3932,"CV AGUNG KARYA")," ")</f>
        <v xml:space="preserve"> </v>
      </c>
      <c r="F3932" s="107" t="str">
        <f>IF(LEN(Table1722[[#This Row],[Uraian]])&gt;2,TRIM(RIGHT(SUBSTITUTE(TRIM(C3932)," ",REPT(" ",255)),255))," ")</f>
        <v xml:space="preserve"> </v>
      </c>
      <c r="G3932" s="110">
        <f>COPY!Z3924</f>
        <v>0</v>
      </c>
      <c r="H3932" s="111" t="str">
        <f>IFERROR(VLOOKUP(Table1722[[#This Row],[Bukti]],'Un nOTA'!$A$4:$K$5003,10,FALSE),"")</f>
        <v/>
      </c>
      <c r="I3932" s="123" t="str">
        <f>IFERROR(VLOOKUP(Table1722[[#This Row],[Bukti]],Table13[#Data],11,FALSE),"")</f>
        <v/>
      </c>
    </row>
    <row r="3933" spans="1:9" hidden="1" x14ac:dyDescent="0.2">
      <c r="A3933" s="105" t="str">
        <f>IF(D3933=1,COUNTIF($D$10:D3933,1)," ")</f>
        <v xml:space="preserve"> </v>
      </c>
      <c r="B3933" s="106">
        <f>COPY!AR3925</f>
        <v>0</v>
      </c>
      <c r="C3933" s="107">
        <f>COPY!AC3925</f>
        <v>0</v>
      </c>
      <c r="D3933" s="107" t="str">
        <f>IF(LEN(Table1722[[#This Row],[Uraian]])&gt;2,1," ")</f>
        <v xml:space="preserve"> </v>
      </c>
      <c r="E3933" s="113" t="str">
        <f>IF(Table1722[[#This Row],[Lawan Transaksi]]="CV AGUNG KARYA",COUNTIF($I$10:I3933,"CV AGUNG KARYA")," ")</f>
        <v xml:space="preserve"> </v>
      </c>
      <c r="F3933" s="107" t="str">
        <f>IF(LEN(Table1722[[#This Row],[Uraian]])&gt;2,TRIM(RIGHT(SUBSTITUTE(TRIM(C3933)," ",REPT(" ",255)),255))," ")</f>
        <v xml:space="preserve"> </v>
      </c>
      <c r="G3933" s="110">
        <f>COPY!Z3925</f>
        <v>0</v>
      </c>
      <c r="H3933" s="111" t="str">
        <f>IFERROR(VLOOKUP(Table1722[[#This Row],[Bukti]],'Un nOTA'!$A$4:$K$5003,10,FALSE),"")</f>
        <v/>
      </c>
      <c r="I3933" s="123" t="str">
        <f>IFERROR(VLOOKUP(Table1722[[#This Row],[Bukti]],Table13[#Data],11,FALSE),"")</f>
        <v/>
      </c>
    </row>
    <row r="3934" spans="1:9" hidden="1" x14ac:dyDescent="0.2">
      <c r="A3934" s="105" t="str">
        <f>IF(D3934=1,COUNTIF($D$10:D3934,1)," ")</f>
        <v xml:space="preserve"> </v>
      </c>
      <c r="B3934" s="106">
        <f>COPY!AR3926</f>
        <v>0</v>
      </c>
      <c r="C3934" s="107">
        <f>COPY!AC3926</f>
        <v>0</v>
      </c>
      <c r="D3934" s="107" t="str">
        <f>IF(LEN(Table1722[[#This Row],[Uraian]])&gt;2,1," ")</f>
        <v xml:space="preserve"> </v>
      </c>
      <c r="E3934" s="113" t="str">
        <f>IF(Table1722[[#This Row],[Lawan Transaksi]]="CV AGUNG KARYA",COUNTIF($I$10:I3934,"CV AGUNG KARYA")," ")</f>
        <v xml:space="preserve"> </v>
      </c>
      <c r="F3934" s="107" t="str">
        <f>IF(LEN(Table1722[[#This Row],[Uraian]])&gt;2,TRIM(RIGHT(SUBSTITUTE(TRIM(C3934)," ",REPT(" ",255)),255))," ")</f>
        <v xml:space="preserve"> </v>
      </c>
      <c r="G3934" s="110">
        <f>COPY!Z3926</f>
        <v>0</v>
      </c>
      <c r="H3934" s="111" t="str">
        <f>IFERROR(VLOOKUP(Table1722[[#This Row],[Bukti]],'Un nOTA'!$A$4:$K$5003,10,FALSE),"")</f>
        <v/>
      </c>
      <c r="I3934" s="123" t="str">
        <f>IFERROR(VLOOKUP(Table1722[[#This Row],[Bukti]],Table13[#Data],11,FALSE),"")</f>
        <v/>
      </c>
    </row>
    <row r="3935" spans="1:9" hidden="1" x14ac:dyDescent="0.2">
      <c r="A3935" s="105" t="str">
        <f>IF(D3935=1,COUNTIF($D$10:D3935,1)," ")</f>
        <v xml:space="preserve"> </v>
      </c>
      <c r="B3935" s="106">
        <f>COPY!AR3927</f>
        <v>0</v>
      </c>
      <c r="C3935" s="107">
        <f>COPY!AC3927</f>
        <v>0</v>
      </c>
      <c r="D3935" s="107" t="str">
        <f>IF(LEN(Table1722[[#This Row],[Uraian]])&gt;2,1," ")</f>
        <v xml:space="preserve"> </v>
      </c>
      <c r="E3935" s="113" t="str">
        <f>IF(Table1722[[#This Row],[Lawan Transaksi]]="CV AGUNG KARYA",COUNTIF($I$10:I3935,"CV AGUNG KARYA")," ")</f>
        <v xml:space="preserve"> </v>
      </c>
      <c r="F3935" s="107" t="str">
        <f>IF(LEN(Table1722[[#This Row],[Uraian]])&gt;2,TRIM(RIGHT(SUBSTITUTE(TRIM(C3935)," ",REPT(" ",255)),255))," ")</f>
        <v xml:space="preserve"> </v>
      </c>
      <c r="G3935" s="110">
        <f>COPY!Z3927</f>
        <v>0</v>
      </c>
      <c r="H3935" s="111" t="str">
        <f>IFERROR(VLOOKUP(Table1722[[#This Row],[Bukti]],'Un nOTA'!$A$4:$K$5003,10,FALSE),"")</f>
        <v/>
      </c>
      <c r="I3935" s="123" t="str">
        <f>IFERROR(VLOOKUP(Table1722[[#This Row],[Bukti]],Table13[#Data],11,FALSE),"")</f>
        <v/>
      </c>
    </row>
    <row r="3936" spans="1:9" hidden="1" x14ac:dyDescent="0.2">
      <c r="A3936" s="105" t="str">
        <f>IF(D3936=1,COUNTIF($D$10:D3936,1)," ")</f>
        <v xml:space="preserve"> </v>
      </c>
      <c r="B3936" s="106">
        <f>COPY!AR3928</f>
        <v>0</v>
      </c>
      <c r="C3936" s="107">
        <f>COPY!AC3928</f>
        <v>0</v>
      </c>
      <c r="D3936" s="107" t="str">
        <f>IF(LEN(Table1722[[#This Row],[Uraian]])&gt;2,1," ")</f>
        <v xml:space="preserve"> </v>
      </c>
      <c r="E3936" s="113" t="str">
        <f>IF(Table1722[[#This Row],[Lawan Transaksi]]="CV AGUNG KARYA",COUNTIF($I$10:I3936,"CV AGUNG KARYA")," ")</f>
        <v xml:space="preserve"> </v>
      </c>
      <c r="F3936" s="107" t="str">
        <f>IF(LEN(Table1722[[#This Row],[Uraian]])&gt;2,TRIM(RIGHT(SUBSTITUTE(TRIM(C3936)," ",REPT(" ",255)),255))," ")</f>
        <v xml:space="preserve"> </v>
      </c>
      <c r="G3936" s="110">
        <f>COPY!Z3928</f>
        <v>0</v>
      </c>
      <c r="H3936" s="111" t="str">
        <f>IFERROR(VLOOKUP(Table1722[[#This Row],[Bukti]],'Un nOTA'!$A$4:$K$5003,10,FALSE),"")</f>
        <v/>
      </c>
      <c r="I3936" s="123" t="str">
        <f>IFERROR(VLOOKUP(Table1722[[#This Row],[Bukti]],Table13[#Data],11,FALSE),"")</f>
        <v/>
      </c>
    </row>
    <row r="3937" spans="1:9" hidden="1" x14ac:dyDescent="0.2">
      <c r="A3937" s="105" t="str">
        <f>IF(D3937=1,COUNTIF($D$10:D3937,1)," ")</f>
        <v xml:space="preserve"> </v>
      </c>
      <c r="B3937" s="106">
        <f>COPY!AR3929</f>
        <v>0</v>
      </c>
      <c r="C3937" s="107">
        <f>COPY!AC3929</f>
        <v>0</v>
      </c>
      <c r="D3937" s="107" t="str">
        <f>IF(LEN(Table1722[[#This Row],[Uraian]])&gt;2,1," ")</f>
        <v xml:space="preserve"> </v>
      </c>
      <c r="E3937" s="113" t="str">
        <f>IF(Table1722[[#This Row],[Lawan Transaksi]]="CV AGUNG KARYA",COUNTIF($I$10:I3937,"CV AGUNG KARYA")," ")</f>
        <v xml:space="preserve"> </v>
      </c>
      <c r="F3937" s="107" t="str">
        <f>IF(LEN(Table1722[[#This Row],[Uraian]])&gt;2,TRIM(RIGHT(SUBSTITUTE(TRIM(C3937)," ",REPT(" ",255)),255))," ")</f>
        <v xml:space="preserve"> </v>
      </c>
      <c r="G3937" s="110">
        <f>COPY!Z3929</f>
        <v>0</v>
      </c>
      <c r="H3937" s="111" t="str">
        <f>IFERROR(VLOOKUP(Table1722[[#This Row],[Bukti]],'Un nOTA'!$A$4:$K$5003,10,FALSE),"")</f>
        <v/>
      </c>
      <c r="I3937" s="123" t="str">
        <f>IFERROR(VLOOKUP(Table1722[[#This Row],[Bukti]],Table13[#Data],11,FALSE),"")</f>
        <v/>
      </c>
    </row>
    <row r="3938" spans="1:9" hidden="1" x14ac:dyDescent="0.2">
      <c r="A3938" s="105" t="str">
        <f>IF(D3938=1,COUNTIF($D$10:D3938,1)," ")</f>
        <v xml:space="preserve"> </v>
      </c>
      <c r="B3938" s="106">
        <f>COPY!AR3930</f>
        <v>0</v>
      </c>
      <c r="C3938" s="107">
        <f>COPY!AC3930</f>
        <v>0</v>
      </c>
      <c r="D3938" s="107" t="str">
        <f>IF(LEN(Table1722[[#This Row],[Uraian]])&gt;2,1," ")</f>
        <v xml:space="preserve"> </v>
      </c>
      <c r="E3938" s="113" t="str">
        <f>IF(Table1722[[#This Row],[Lawan Transaksi]]="CV AGUNG KARYA",COUNTIF($I$10:I3938,"CV AGUNG KARYA")," ")</f>
        <v xml:space="preserve"> </v>
      </c>
      <c r="F3938" s="107" t="str">
        <f>IF(LEN(Table1722[[#This Row],[Uraian]])&gt;2,TRIM(RIGHT(SUBSTITUTE(TRIM(C3938)," ",REPT(" ",255)),255))," ")</f>
        <v xml:space="preserve"> </v>
      </c>
      <c r="G3938" s="110">
        <f>COPY!Z3930</f>
        <v>0</v>
      </c>
      <c r="H3938" s="111" t="str">
        <f>IFERROR(VLOOKUP(Table1722[[#This Row],[Bukti]],'Un nOTA'!$A$4:$K$5003,10,FALSE),"")</f>
        <v/>
      </c>
      <c r="I3938" s="123" t="str">
        <f>IFERROR(VLOOKUP(Table1722[[#This Row],[Bukti]],Table13[#Data],11,FALSE),"")</f>
        <v/>
      </c>
    </row>
    <row r="3939" spans="1:9" hidden="1" x14ac:dyDescent="0.2">
      <c r="A3939" s="105" t="str">
        <f>IF(D3939=1,COUNTIF($D$10:D3939,1)," ")</f>
        <v xml:space="preserve"> </v>
      </c>
      <c r="B3939" s="106">
        <f>COPY!AR3931</f>
        <v>0</v>
      </c>
      <c r="C3939" s="107">
        <f>COPY!AC3931</f>
        <v>0</v>
      </c>
      <c r="D3939" s="107" t="str">
        <f>IF(LEN(Table1722[[#This Row],[Uraian]])&gt;2,1," ")</f>
        <v xml:space="preserve"> </v>
      </c>
      <c r="E3939" s="113" t="str">
        <f>IF(Table1722[[#This Row],[Lawan Transaksi]]="CV AGUNG KARYA",COUNTIF($I$10:I3939,"CV AGUNG KARYA")," ")</f>
        <v xml:space="preserve"> </v>
      </c>
      <c r="F3939" s="107" t="str">
        <f>IF(LEN(Table1722[[#This Row],[Uraian]])&gt;2,TRIM(RIGHT(SUBSTITUTE(TRIM(C3939)," ",REPT(" ",255)),255))," ")</f>
        <v xml:space="preserve"> </v>
      </c>
      <c r="G3939" s="110">
        <f>COPY!Z3931</f>
        <v>0</v>
      </c>
      <c r="H3939" s="111" t="str">
        <f>IFERROR(VLOOKUP(Table1722[[#This Row],[Bukti]],'Un nOTA'!$A$4:$K$5003,10,FALSE),"")</f>
        <v/>
      </c>
      <c r="I3939" s="123" t="str">
        <f>IFERROR(VLOOKUP(Table1722[[#This Row],[Bukti]],Table13[#Data],11,FALSE),"")</f>
        <v/>
      </c>
    </row>
    <row r="3940" spans="1:9" hidden="1" x14ac:dyDescent="0.2">
      <c r="A3940" s="105" t="str">
        <f>IF(D3940=1,COUNTIF($D$10:D3940,1)," ")</f>
        <v xml:space="preserve"> </v>
      </c>
      <c r="B3940" s="106">
        <f>COPY!AR3932</f>
        <v>0</v>
      </c>
      <c r="C3940" s="107">
        <f>COPY!AC3932</f>
        <v>0</v>
      </c>
      <c r="D3940" s="107" t="str">
        <f>IF(LEN(Table1722[[#This Row],[Uraian]])&gt;2,1," ")</f>
        <v xml:space="preserve"> </v>
      </c>
      <c r="E3940" s="113" t="str">
        <f>IF(Table1722[[#This Row],[Lawan Transaksi]]="CV AGUNG KARYA",COUNTIF($I$10:I3940,"CV AGUNG KARYA")," ")</f>
        <v xml:space="preserve"> </v>
      </c>
      <c r="F3940" s="107" t="str">
        <f>IF(LEN(Table1722[[#This Row],[Uraian]])&gt;2,TRIM(RIGHT(SUBSTITUTE(TRIM(C3940)," ",REPT(" ",255)),255))," ")</f>
        <v xml:space="preserve"> </v>
      </c>
      <c r="G3940" s="110">
        <f>COPY!Z3932</f>
        <v>0</v>
      </c>
      <c r="H3940" s="111" t="str">
        <f>IFERROR(VLOOKUP(Table1722[[#This Row],[Bukti]],'Un nOTA'!$A$4:$K$5003,10,FALSE),"")</f>
        <v/>
      </c>
      <c r="I3940" s="123" t="str">
        <f>IFERROR(VLOOKUP(Table1722[[#This Row],[Bukti]],Table13[#Data],11,FALSE),"")</f>
        <v/>
      </c>
    </row>
    <row r="3941" spans="1:9" hidden="1" x14ac:dyDescent="0.2">
      <c r="A3941" s="105" t="str">
        <f>IF(D3941=1,COUNTIF($D$10:D3941,1)," ")</f>
        <v xml:space="preserve"> </v>
      </c>
      <c r="B3941" s="106">
        <f>COPY!AR3933</f>
        <v>0</v>
      </c>
      <c r="C3941" s="107">
        <f>COPY!AC3933</f>
        <v>0</v>
      </c>
      <c r="D3941" s="107" t="str">
        <f>IF(LEN(Table1722[[#This Row],[Uraian]])&gt;2,1," ")</f>
        <v xml:space="preserve"> </v>
      </c>
      <c r="E3941" s="113" t="str">
        <f>IF(Table1722[[#This Row],[Lawan Transaksi]]="CV AGUNG KARYA",COUNTIF($I$10:I3941,"CV AGUNG KARYA")," ")</f>
        <v xml:space="preserve"> </v>
      </c>
      <c r="F3941" s="107" t="str">
        <f>IF(LEN(Table1722[[#This Row],[Uraian]])&gt;2,TRIM(RIGHT(SUBSTITUTE(TRIM(C3941)," ",REPT(" ",255)),255))," ")</f>
        <v xml:space="preserve"> </v>
      </c>
      <c r="G3941" s="110">
        <f>COPY!Z3933</f>
        <v>0</v>
      </c>
      <c r="H3941" s="111" t="str">
        <f>IFERROR(VLOOKUP(Table1722[[#This Row],[Bukti]],'Un nOTA'!$A$4:$K$5003,10,FALSE),"")</f>
        <v/>
      </c>
      <c r="I3941" s="123" t="str">
        <f>IFERROR(VLOOKUP(Table1722[[#This Row],[Bukti]],Table13[#Data],11,FALSE),"")</f>
        <v/>
      </c>
    </row>
    <row r="3942" spans="1:9" hidden="1" x14ac:dyDescent="0.2">
      <c r="A3942" s="105" t="str">
        <f>IF(D3942=1,COUNTIF($D$10:D3942,1)," ")</f>
        <v xml:space="preserve"> </v>
      </c>
      <c r="B3942" s="106">
        <f>COPY!AR3934</f>
        <v>0</v>
      </c>
      <c r="C3942" s="107">
        <f>COPY!AC3934</f>
        <v>0</v>
      </c>
      <c r="D3942" s="107" t="str">
        <f>IF(LEN(Table1722[[#This Row],[Uraian]])&gt;2,1," ")</f>
        <v xml:space="preserve"> </v>
      </c>
      <c r="E3942" s="113" t="str">
        <f>IF(Table1722[[#This Row],[Lawan Transaksi]]="CV AGUNG KARYA",COUNTIF($I$10:I3942,"CV AGUNG KARYA")," ")</f>
        <v xml:space="preserve"> </v>
      </c>
      <c r="F3942" s="107" t="str">
        <f>IF(LEN(Table1722[[#This Row],[Uraian]])&gt;2,TRIM(RIGHT(SUBSTITUTE(TRIM(C3942)," ",REPT(" ",255)),255))," ")</f>
        <v xml:space="preserve"> </v>
      </c>
      <c r="G3942" s="110">
        <f>COPY!Z3934</f>
        <v>0</v>
      </c>
      <c r="H3942" s="111" t="str">
        <f>IFERROR(VLOOKUP(Table1722[[#This Row],[Bukti]],'Un nOTA'!$A$4:$K$5003,10,FALSE),"")</f>
        <v/>
      </c>
      <c r="I3942" s="123" t="str">
        <f>IFERROR(VLOOKUP(Table1722[[#This Row],[Bukti]],Table13[#Data],11,FALSE),"")</f>
        <v/>
      </c>
    </row>
    <row r="3943" spans="1:9" hidden="1" x14ac:dyDescent="0.2">
      <c r="A3943" s="105" t="str">
        <f>IF(D3943=1,COUNTIF($D$10:D3943,1)," ")</f>
        <v xml:space="preserve"> </v>
      </c>
      <c r="B3943" s="106">
        <f>COPY!AR3935</f>
        <v>0</v>
      </c>
      <c r="C3943" s="107">
        <f>COPY!AC3935</f>
        <v>0</v>
      </c>
      <c r="D3943" s="107" t="str">
        <f>IF(LEN(Table1722[[#This Row],[Uraian]])&gt;2,1," ")</f>
        <v xml:space="preserve"> </v>
      </c>
      <c r="E3943" s="113" t="str">
        <f>IF(Table1722[[#This Row],[Lawan Transaksi]]="CV AGUNG KARYA",COUNTIF($I$10:I3943,"CV AGUNG KARYA")," ")</f>
        <v xml:space="preserve"> </v>
      </c>
      <c r="F3943" s="107" t="str">
        <f>IF(LEN(Table1722[[#This Row],[Uraian]])&gt;2,TRIM(RIGHT(SUBSTITUTE(TRIM(C3943)," ",REPT(" ",255)),255))," ")</f>
        <v xml:space="preserve"> </v>
      </c>
      <c r="G3943" s="110">
        <f>COPY!Z3935</f>
        <v>0</v>
      </c>
      <c r="H3943" s="111" t="str">
        <f>IFERROR(VLOOKUP(Table1722[[#This Row],[Bukti]],'Un nOTA'!$A$4:$K$5003,10,FALSE),"")</f>
        <v/>
      </c>
      <c r="I3943" s="123" t="str">
        <f>IFERROR(VLOOKUP(Table1722[[#This Row],[Bukti]],Table13[#Data],11,FALSE),"")</f>
        <v/>
      </c>
    </row>
    <row r="3944" spans="1:9" hidden="1" x14ac:dyDescent="0.2">
      <c r="A3944" s="105" t="str">
        <f>IF(D3944=1,COUNTIF($D$10:D3944,1)," ")</f>
        <v xml:space="preserve"> </v>
      </c>
      <c r="B3944" s="106">
        <f>COPY!AR3936</f>
        <v>0</v>
      </c>
      <c r="C3944" s="107">
        <f>COPY!AC3936</f>
        <v>0</v>
      </c>
      <c r="D3944" s="107" t="str">
        <f>IF(LEN(Table1722[[#This Row],[Uraian]])&gt;2,1," ")</f>
        <v xml:space="preserve"> </v>
      </c>
      <c r="E3944" s="113" t="str">
        <f>IF(Table1722[[#This Row],[Lawan Transaksi]]="CV AGUNG KARYA",COUNTIF($I$10:I3944,"CV AGUNG KARYA")," ")</f>
        <v xml:space="preserve"> </v>
      </c>
      <c r="F3944" s="107" t="str">
        <f>IF(LEN(Table1722[[#This Row],[Uraian]])&gt;2,TRIM(RIGHT(SUBSTITUTE(TRIM(C3944)," ",REPT(" ",255)),255))," ")</f>
        <v xml:space="preserve"> </v>
      </c>
      <c r="G3944" s="110">
        <f>COPY!Z3936</f>
        <v>0</v>
      </c>
      <c r="H3944" s="111" t="str">
        <f>IFERROR(VLOOKUP(Table1722[[#This Row],[Bukti]],'Un nOTA'!$A$4:$K$5003,10,FALSE),"")</f>
        <v/>
      </c>
      <c r="I3944" s="123" t="str">
        <f>IFERROR(VLOOKUP(Table1722[[#This Row],[Bukti]],Table13[#Data],11,FALSE),"")</f>
        <v/>
      </c>
    </row>
    <row r="3945" spans="1:9" hidden="1" x14ac:dyDescent="0.2">
      <c r="A3945" s="105" t="str">
        <f>IF(D3945=1,COUNTIF($D$10:D3945,1)," ")</f>
        <v xml:space="preserve"> </v>
      </c>
      <c r="B3945" s="106">
        <f>COPY!AR3937</f>
        <v>0</v>
      </c>
      <c r="C3945" s="107">
        <f>COPY!AC3937</f>
        <v>0</v>
      </c>
      <c r="D3945" s="107" t="str">
        <f>IF(LEN(Table1722[[#This Row],[Uraian]])&gt;2,1," ")</f>
        <v xml:space="preserve"> </v>
      </c>
      <c r="E3945" s="113" t="str">
        <f>IF(Table1722[[#This Row],[Lawan Transaksi]]="CV AGUNG KARYA",COUNTIF($I$10:I3945,"CV AGUNG KARYA")," ")</f>
        <v xml:space="preserve"> </v>
      </c>
      <c r="F3945" s="107" t="str">
        <f>IF(LEN(Table1722[[#This Row],[Uraian]])&gt;2,TRIM(RIGHT(SUBSTITUTE(TRIM(C3945)," ",REPT(" ",255)),255))," ")</f>
        <v xml:space="preserve"> </v>
      </c>
      <c r="G3945" s="110">
        <f>COPY!Z3937</f>
        <v>0</v>
      </c>
      <c r="H3945" s="111" t="str">
        <f>IFERROR(VLOOKUP(Table1722[[#This Row],[Bukti]],'Un nOTA'!$A$4:$K$5003,10,FALSE),"")</f>
        <v/>
      </c>
      <c r="I3945" s="123" t="str">
        <f>IFERROR(VLOOKUP(Table1722[[#This Row],[Bukti]],Table13[#Data],11,FALSE),"")</f>
        <v/>
      </c>
    </row>
    <row r="3946" spans="1:9" hidden="1" x14ac:dyDescent="0.2">
      <c r="A3946" s="105" t="str">
        <f>IF(D3946=1,COUNTIF($D$10:D3946,1)," ")</f>
        <v xml:space="preserve"> </v>
      </c>
      <c r="B3946" s="106">
        <f>COPY!AR3938</f>
        <v>0</v>
      </c>
      <c r="C3946" s="107">
        <f>COPY!AC3938</f>
        <v>0</v>
      </c>
      <c r="D3946" s="107" t="str">
        <f>IF(LEN(Table1722[[#This Row],[Uraian]])&gt;2,1," ")</f>
        <v xml:space="preserve"> </v>
      </c>
      <c r="E3946" s="113" t="str">
        <f>IF(Table1722[[#This Row],[Lawan Transaksi]]="CV AGUNG KARYA",COUNTIF($I$10:I3946,"CV AGUNG KARYA")," ")</f>
        <v xml:space="preserve"> </v>
      </c>
      <c r="F3946" s="107" t="str">
        <f>IF(LEN(Table1722[[#This Row],[Uraian]])&gt;2,TRIM(RIGHT(SUBSTITUTE(TRIM(C3946)," ",REPT(" ",255)),255))," ")</f>
        <v xml:space="preserve"> </v>
      </c>
      <c r="G3946" s="110">
        <f>COPY!Z3938</f>
        <v>0</v>
      </c>
      <c r="H3946" s="111" t="str">
        <f>IFERROR(VLOOKUP(Table1722[[#This Row],[Bukti]],'Un nOTA'!$A$4:$K$5003,10,FALSE),"")</f>
        <v/>
      </c>
      <c r="I3946" s="123" t="str">
        <f>IFERROR(VLOOKUP(Table1722[[#This Row],[Bukti]],Table13[#Data],11,FALSE),"")</f>
        <v/>
      </c>
    </row>
    <row r="3947" spans="1:9" hidden="1" x14ac:dyDescent="0.2">
      <c r="A3947" s="105" t="str">
        <f>IF(D3947=1,COUNTIF($D$10:D3947,1)," ")</f>
        <v xml:space="preserve"> </v>
      </c>
      <c r="B3947" s="106">
        <f>COPY!AR3939</f>
        <v>0</v>
      </c>
      <c r="C3947" s="107">
        <f>COPY!AC3939</f>
        <v>0</v>
      </c>
      <c r="D3947" s="107" t="str">
        <f>IF(LEN(Table1722[[#This Row],[Uraian]])&gt;2,1," ")</f>
        <v xml:space="preserve"> </v>
      </c>
      <c r="E3947" s="113" t="str">
        <f>IF(Table1722[[#This Row],[Lawan Transaksi]]="CV AGUNG KARYA",COUNTIF($I$10:I3947,"CV AGUNG KARYA")," ")</f>
        <v xml:space="preserve"> </v>
      </c>
      <c r="F3947" s="107" t="str">
        <f>IF(LEN(Table1722[[#This Row],[Uraian]])&gt;2,TRIM(RIGHT(SUBSTITUTE(TRIM(C3947)," ",REPT(" ",255)),255))," ")</f>
        <v xml:space="preserve"> </v>
      </c>
      <c r="G3947" s="110">
        <f>COPY!Z3939</f>
        <v>0</v>
      </c>
      <c r="H3947" s="111" t="str">
        <f>IFERROR(VLOOKUP(Table1722[[#This Row],[Bukti]],'Un nOTA'!$A$4:$K$5003,10,FALSE),"")</f>
        <v/>
      </c>
      <c r="I3947" s="123" t="str">
        <f>IFERROR(VLOOKUP(Table1722[[#This Row],[Bukti]],Table13[#Data],11,FALSE),"")</f>
        <v/>
      </c>
    </row>
    <row r="3948" spans="1:9" hidden="1" x14ac:dyDescent="0.2">
      <c r="A3948" s="105" t="str">
        <f>IF(D3948=1,COUNTIF($D$10:D3948,1)," ")</f>
        <v xml:space="preserve"> </v>
      </c>
      <c r="B3948" s="106">
        <f>COPY!AR3940</f>
        <v>0</v>
      </c>
      <c r="C3948" s="107">
        <f>COPY!AC3940</f>
        <v>0</v>
      </c>
      <c r="D3948" s="107" t="str">
        <f>IF(LEN(Table1722[[#This Row],[Uraian]])&gt;2,1," ")</f>
        <v xml:space="preserve"> </v>
      </c>
      <c r="E3948" s="113" t="str">
        <f>IF(Table1722[[#This Row],[Lawan Transaksi]]="CV AGUNG KARYA",COUNTIF($I$10:I3948,"CV AGUNG KARYA")," ")</f>
        <v xml:space="preserve"> </v>
      </c>
      <c r="F3948" s="107" t="str">
        <f>IF(LEN(Table1722[[#This Row],[Uraian]])&gt;2,TRIM(RIGHT(SUBSTITUTE(TRIM(C3948)," ",REPT(" ",255)),255))," ")</f>
        <v xml:space="preserve"> </v>
      </c>
      <c r="G3948" s="110">
        <f>COPY!Z3940</f>
        <v>0</v>
      </c>
      <c r="H3948" s="111" t="str">
        <f>IFERROR(VLOOKUP(Table1722[[#This Row],[Bukti]],'Un nOTA'!$A$4:$K$5003,10,FALSE),"")</f>
        <v/>
      </c>
      <c r="I3948" s="123" t="str">
        <f>IFERROR(VLOOKUP(Table1722[[#This Row],[Bukti]],Table13[#Data],11,FALSE),"")</f>
        <v/>
      </c>
    </row>
    <row r="3949" spans="1:9" hidden="1" x14ac:dyDescent="0.2">
      <c r="A3949" s="105" t="str">
        <f>IF(D3949=1,COUNTIF($D$10:D3949,1)," ")</f>
        <v xml:space="preserve"> </v>
      </c>
      <c r="B3949" s="106">
        <f>COPY!AR3941</f>
        <v>0</v>
      </c>
      <c r="C3949" s="107">
        <f>COPY!AC3941</f>
        <v>0</v>
      </c>
      <c r="D3949" s="107" t="str">
        <f>IF(LEN(Table1722[[#This Row],[Uraian]])&gt;2,1," ")</f>
        <v xml:space="preserve"> </v>
      </c>
      <c r="E3949" s="113" t="str">
        <f>IF(Table1722[[#This Row],[Lawan Transaksi]]="CV AGUNG KARYA",COUNTIF($I$10:I3949,"CV AGUNG KARYA")," ")</f>
        <v xml:space="preserve"> </v>
      </c>
      <c r="F3949" s="107" t="str">
        <f>IF(LEN(Table1722[[#This Row],[Uraian]])&gt;2,TRIM(RIGHT(SUBSTITUTE(TRIM(C3949)," ",REPT(" ",255)),255))," ")</f>
        <v xml:space="preserve"> </v>
      </c>
      <c r="G3949" s="110">
        <f>COPY!Z3941</f>
        <v>0</v>
      </c>
      <c r="H3949" s="111" t="str">
        <f>IFERROR(VLOOKUP(Table1722[[#This Row],[Bukti]],'Un nOTA'!$A$4:$K$5003,10,FALSE),"")</f>
        <v/>
      </c>
      <c r="I3949" s="123" t="str">
        <f>IFERROR(VLOOKUP(Table1722[[#This Row],[Bukti]],Table13[#Data],11,FALSE),"")</f>
        <v/>
      </c>
    </row>
    <row r="3950" spans="1:9" hidden="1" x14ac:dyDescent="0.2">
      <c r="A3950" s="105" t="str">
        <f>IF(D3950=1,COUNTIF($D$10:D3950,1)," ")</f>
        <v xml:space="preserve"> </v>
      </c>
      <c r="B3950" s="106">
        <f>COPY!AR3942</f>
        <v>0</v>
      </c>
      <c r="C3950" s="107">
        <f>COPY!AC3942</f>
        <v>0</v>
      </c>
      <c r="D3950" s="107" t="str">
        <f>IF(LEN(Table1722[[#This Row],[Uraian]])&gt;2,1," ")</f>
        <v xml:space="preserve"> </v>
      </c>
      <c r="E3950" s="113" t="str">
        <f>IF(Table1722[[#This Row],[Lawan Transaksi]]="CV AGUNG KARYA",COUNTIF($I$10:I3950,"CV AGUNG KARYA")," ")</f>
        <v xml:space="preserve"> </v>
      </c>
      <c r="F3950" s="107" t="str">
        <f>IF(LEN(Table1722[[#This Row],[Uraian]])&gt;2,TRIM(RIGHT(SUBSTITUTE(TRIM(C3950)," ",REPT(" ",255)),255))," ")</f>
        <v xml:space="preserve"> </v>
      </c>
      <c r="G3950" s="110">
        <f>COPY!Z3942</f>
        <v>0</v>
      </c>
      <c r="H3950" s="111" t="str">
        <f>IFERROR(VLOOKUP(Table1722[[#This Row],[Bukti]],'Un nOTA'!$A$4:$K$5003,10,FALSE),"")</f>
        <v/>
      </c>
      <c r="I3950" s="123" t="str">
        <f>IFERROR(VLOOKUP(Table1722[[#This Row],[Bukti]],Table13[#Data],11,FALSE),"")</f>
        <v/>
      </c>
    </row>
    <row r="3951" spans="1:9" hidden="1" x14ac:dyDescent="0.2">
      <c r="A3951" s="105" t="str">
        <f>IF(D3951=1,COUNTIF($D$10:D3951,1)," ")</f>
        <v xml:space="preserve"> </v>
      </c>
      <c r="B3951" s="106">
        <f>COPY!AR3943</f>
        <v>0</v>
      </c>
      <c r="C3951" s="107">
        <f>COPY!AC3943</f>
        <v>0</v>
      </c>
      <c r="D3951" s="107" t="str">
        <f>IF(LEN(Table1722[[#This Row],[Uraian]])&gt;2,1," ")</f>
        <v xml:space="preserve"> </v>
      </c>
      <c r="E3951" s="113" t="str">
        <f>IF(Table1722[[#This Row],[Lawan Transaksi]]="CV AGUNG KARYA",COUNTIF($I$10:I3951,"CV AGUNG KARYA")," ")</f>
        <v xml:space="preserve"> </v>
      </c>
      <c r="F3951" s="107" t="str">
        <f>IF(LEN(Table1722[[#This Row],[Uraian]])&gt;2,TRIM(RIGHT(SUBSTITUTE(TRIM(C3951)," ",REPT(" ",255)),255))," ")</f>
        <v xml:space="preserve"> </v>
      </c>
      <c r="G3951" s="110">
        <f>COPY!Z3943</f>
        <v>0</v>
      </c>
      <c r="H3951" s="111" t="str">
        <f>IFERROR(VLOOKUP(Table1722[[#This Row],[Bukti]],'Un nOTA'!$A$4:$K$5003,10,FALSE),"")</f>
        <v/>
      </c>
      <c r="I3951" s="123" t="str">
        <f>IFERROR(VLOOKUP(Table1722[[#This Row],[Bukti]],Table13[#Data],11,FALSE),"")</f>
        <v/>
      </c>
    </row>
    <row r="3952" spans="1:9" hidden="1" x14ac:dyDescent="0.2">
      <c r="A3952" s="105" t="str">
        <f>IF(D3952=1,COUNTIF($D$10:D3952,1)," ")</f>
        <v xml:space="preserve"> </v>
      </c>
      <c r="B3952" s="106">
        <f>COPY!AR3944</f>
        <v>0</v>
      </c>
      <c r="C3952" s="107">
        <f>COPY!AC3944</f>
        <v>0</v>
      </c>
      <c r="D3952" s="107" t="str">
        <f>IF(LEN(Table1722[[#This Row],[Uraian]])&gt;2,1," ")</f>
        <v xml:space="preserve"> </v>
      </c>
      <c r="E3952" s="113" t="str">
        <f>IF(Table1722[[#This Row],[Lawan Transaksi]]="CV AGUNG KARYA",COUNTIF($I$10:I3952,"CV AGUNG KARYA")," ")</f>
        <v xml:space="preserve"> </v>
      </c>
      <c r="F3952" s="107" t="str">
        <f>IF(LEN(Table1722[[#This Row],[Uraian]])&gt;2,TRIM(RIGHT(SUBSTITUTE(TRIM(C3952)," ",REPT(" ",255)),255))," ")</f>
        <v xml:space="preserve"> </v>
      </c>
      <c r="G3952" s="110">
        <f>COPY!Z3944</f>
        <v>0</v>
      </c>
      <c r="H3952" s="111" t="str">
        <f>IFERROR(VLOOKUP(Table1722[[#This Row],[Bukti]],'Un nOTA'!$A$4:$K$5003,10,FALSE),"")</f>
        <v/>
      </c>
      <c r="I3952" s="123" t="str">
        <f>IFERROR(VLOOKUP(Table1722[[#This Row],[Bukti]],Table13[#Data],11,FALSE),"")</f>
        <v/>
      </c>
    </row>
    <row r="3953" spans="1:9" hidden="1" x14ac:dyDescent="0.2">
      <c r="A3953" s="105" t="str">
        <f>IF(D3953=1,COUNTIF($D$10:D3953,1)," ")</f>
        <v xml:space="preserve"> </v>
      </c>
      <c r="B3953" s="106">
        <f>COPY!AR3945</f>
        <v>0</v>
      </c>
      <c r="C3953" s="107">
        <f>COPY!AC3945</f>
        <v>0</v>
      </c>
      <c r="D3953" s="107" t="str">
        <f>IF(LEN(Table1722[[#This Row],[Uraian]])&gt;2,1," ")</f>
        <v xml:space="preserve"> </v>
      </c>
      <c r="E3953" s="113" t="str">
        <f>IF(Table1722[[#This Row],[Lawan Transaksi]]="CV AGUNG KARYA",COUNTIF($I$10:I3953,"CV AGUNG KARYA")," ")</f>
        <v xml:space="preserve"> </v>
      </c>
      <c r="F3953" s="107" t="str">
        <f>IF(LEN(Table1722[[#This Row],[Uraian]])&gt;2,TRIM(RIGHT(SUBSTITUTE(TRIM(C3953)," ",REPT(" ",255)),255))," ")</f>
        <v xml:space="preserve"> </v>
      </c>
      <c r="G3953" s="110">
        <f>COPY!Z3945</f>
        <v>0</v>
      </c>
      <c r="H3953" s="111" t="str">
        <f>IFERROR(VLOOKUP(Table1722[[#This Row],[Bukti]],'Un nOTA'!$A$4:$K$5003,10,FALSE),"")</f>
        <v/>
      </c>
      <c r="I3953" s="123" t="str">
        <f>IFERROR(VLOOKUP(Table1722[[#This Row],[Bukti]],Table13[#Data],11,FALSE),"")</f>
        <v/>
      </c>
    </row>
    <row r="3954" spans="1:9" hidden="1" x14ac:dyDescent="0.2">
      <c r="A3954" s="105" t="str">
        <f>IF(D3954=1,COUNTIF($D$10:D3954,1)," ")</f>
        <v xml:space="preserve"> </v>
      </c>
      <c r="B3954" s="106">
        <f>COPY!AR3946</f>
        <v>0</v>
      </c>
      <c r="C3954" s="107">
        <f>COPY!AC3946</f>
        <v>0</v>
      </c>
      <c r="D3954" s="107" t="str">
        <f>IF(LEN(Table1722[[#This Row],[Uraian]])&gt;2,1," ")</f>
        <v xml:space="preserve"> </v>
      </c>
      <c r="E3954" s="113" t="str">
        <f>IF(Table1722[[#This Row],[Lawan Transaksi]]="CV AGUNG KARYA",COUNTIF($I$10:I3954,"CV AGUNG KARYA")," ")</f>
        <v xml:space="preserve"> </v>
      </c>
      <c r="F3954" s="107" t="str">
        <f>IF(LEN(Table1722[[#This Row],[Uraian]])&gt;2,TRIM(RIGHT(SUBSTITUTE(TRIM(C3954)," ",REPT(" ",255)),255))," ")</f>
        <v xml:space="preserve"> </v>
      </c>
      <c r="G3954" s="110">
        <f>COPY!Z3946</f>
        <v>0</v>
      </c>
      <c r="H3954" s="111" t="str">
        <f>IFERROR(VLOOKUP(Table1722[[#This Row],[Bukti]],'Un nOTA'!$A$4:$K$5003,10,FALSE),"")</f>
        <v/>
      </c>
      <c r="I3954" s="123" t="str">
        <f>IFERROR(VLOOKUP(Table1722[[#This Row],[Bukti]],Table13[#Data],11,FALSE),"")</f>
        <v/>
      </c>
    </row>
    <row r="3955" spans="1:9" hidden="1" x14ac:dyDescent="0.2">
      <c r="A3955" s="105" t="str">
        <f>IF(D3955=1,COUNTIF($D$10:D3955,1)," ")</f>
        <v xml:space="preserve"> </v>
      </c>
      <c r="B3955" s="106">
        <f>COPY!AR3947</f>
        <v>0</v>
      </c>
      <c r="C3955" s="107">
        <f>COPY!AC3947</f>
        <v>0</v>
      </c>
      <c r="D3955" s="107" t="str">
        <f>IF(LEN(Table1722[[#This Row],[Uraian]])&gt;2,1," ")</f>
        <v xml:space="preserve"> </v>
      </c>
      <c r="E3955" s="113" t="str">
        <f>IF(Table1722[[#This Row],[Lawan Transaksi]]="CV AGUNG KARYA",COUNTIF($I$10:I3955,"CV AGUNG KARYA")," ")</f>
        <v xml:space="preserve"> </v>
      </c>
      <c r="F3955" s="107" t="str">
        <f>IF(LEN(Table1722[[#This Row],[Uraian]])&gt;2,TRIM(RIGHT(SUBSTITUTE(TRIM(C3955)," ",REPT(" ",255)),255))," ")</f>
        <v xml:space="preserve"> </v>
      </c>
      <c r="G3955" s="110">
        <f>COPY!Z3947</f>
        <v>0</v>
      </c>
      <c r="H3955" s="111" t="str">
        <f>IFERROR(VLOOKUP(Table1722[[#This Row],[Bukti]],'Un nOTA'!$A$4:$K$5003,10,FALSE),"")</f>
        <v/>
      </c>
      <c r="I3955" s="123" t="str">
        <f>IFERROR(VLOOKUP(Table1722[[#This Row],[Bukti]],Table13[#Data],11,FALSE),"")</f>
        <v/>
      </c>
    </row>
    <row r="3956" spans="1:9" hidden="1" x14ac:dyDescent="0.2">
      <c r="A3956" s="105" t="str">
        <f>IF(D3956=1,COUNTIF($D$10:D3956,1)," ")</f>
        <v xml:space="preserve"> </v>
      </c>
      <c r="B3956" s="106">
        <f>COPY!AR3948</f>
        <v>0</v>
      </c>
      <c r="C3956" s="107">
        <f>COPY!AC3948</f>
        <v>0</v>
      </c>
      <c r="D3956" s="107" t="str">
        <f>IF(LEN(Table1722[[#This Row],[Uraian]])&gt;2,1," ")</f>
        <v xml:space="preserve"> </v>
      </c>
      <c r="E3956" s="113" t="str">
        <f>IF(Table1722[[#This Row],[Lawan Transaksi]]="CV AGUNG KARYA",COUNTIF($I$10:I3956,"CV AGUNG KARYA")," ")</f>
        <v xml:space="preserve"> </v>
      </c>
      <c r="F3956" s="107" t="str">
        <f>IF(LEN(Table1722[[#This Row],[Uraian]])&gt;2,TRIM(RIGHT(SUBSTITUTE(TRIM(C3956)," ",REPT(" ",255)),255))," ")</f>
        <v xml:space="preserve"> </v>
      </c>
      <c r="G3956" s="110">
        <f>COPY!Z3948</f>
        <v>0</v>
      </c>
      <c r="H3956" s="111" t="str">
        <f>IFERROR(VLOOKUP(Table1722[[#This Row],[Bukti]],'Un nOTA'!$A$4:$K$5003,10,FALSE),"")</f>
        <v/>
      </c>
      <c r="I3956" s="123" t="str">
        <f>IFERROR(VLOOKUP(Table1722[[#This Row],[Bukti]],Table13[#Data],11,FALSE),"")</f>
        <v/>
      </c>
    </row>
    <row r="3957" spans="1:9" hidden="1" x14ac:dyDescent="0.2">
      <c r="A3957" s="105" t="str">
        <f>IF(D3957=1,COUNTIF($D$10:D3957,1)," ")</f>
        <v xml:space="preserve"> </v>
      </c>
      <c r="B3957" s="106">
        <f>COPY!AR3949</f>
        <v>0</v>
      </c>
      <c r="C3957" s="107">
        <f>COPY!AC3949</f>
        <v>0</v>
      </c>
      <c r="D3957" s="107" t="str">
        <f>IF(LEN(Table1722[[#This Row],[Uraian]])&gt;2,1," ")</f>
        <v xml:space="preserve"> </v>
      </c>
      <c r="E3957" s="113" t="str">
        <f>IF(Table1722[[#This Row],[Lawan Transaksi]]="CV AGUNG KARYA",COUNTIF($I$10:I3957,"CV AGUNG KARYA")," ")</f>
        <v xml:space="preserve"> </v>
      </c>
      <c r="F3957" s="107" t="str">
        <f>IF(LEN(Table1722[[#This Row],[Uraian]])&gt;2,TRIM(RIGHT(SUBSTITUTE(TRIM(C3957)," ",REPT(" ",255)),255))," ")</f>
        <v xml:space="preserve"> </v>
      </c>
      <c r="G3957" s="110">
        <f>COPY!Z3949</f>
        <v>0</v>
      </c>
      <c r="H3957" s="111" t="str">
        <f>IFERROR(VLOOKUP(Table1722[[#This Row],[Bukti]],'Un nOTA'!$A$4:$K$5003,10,FALSE),"")</f>
        <v/>
      </c>
      <c r="I3957" s="123" t="str">
        <f>IFERROR(VLOOKUP(Table1722[[#This Row],[Bukti]],Table13[#Data],11,FALSE),"")</f>
        <v/>
      </c>
    </row>
    <row r="3958" spans="1:9" hidden="1" x14ac:dyDescent="0.2">
      <c r="A3958" s="105" t="str">
        <f>IF(D3958=1,COUNTIF($D$10:D3958,1)," ")</f>
        <v xml:space="preserve"> </v>
      </c>
      <c r="B3958" s="106">
        <f>COPY!AR3950</f>
        <v>0</v>
      </c>
      <c r="C3958" s="107">
        <f>COPY!AC3950</f>
        <v>0</v>
      </c>
      <c r="D3958" s="107" t="str">
        <f>IF(LEN(Table1722[[#This Row],[Uraian]])&gt;2,1," ")</f>
        <v xml:space="preserve"> </v>
      </c>
      <c r="E3958" s="113" t="str">
        <f>IF(Table1722[[#This Row],[Lawan Transaksi]]="CV AGUNG KARYA",COUNTIF($I$10:I3958,"CV AGUNG KARYA")," ")</f>
        <v xml:space="preserve"> </v>
      </c>
      <c r="F3958" s="107" t="str">
        <f>IF(LEN(Table1722[[#This Row],[Uraian]])&gt;2,TRIM(RIGHT(SUBSTITUTE(TRIM(C3958)," ",REPT(" ",255)),255))," ")</f>
        <v xml:space="preserve"> </v>
      </c>
      <c r="G3958" s="110">
        <f>COPY!Z3950</f>
        <v>0</v>
      </c>
      <c r="H3958" s="111" t="str">
        <f>IFERROR(VLOOKUP(Table1722[[#This Row],[Bukti]],'Un nOTA'!$A$4:$K$5003,10,FALSE),"")</f>
        <v/>
      </c>
      <c r="I3958" s="123" t="str">
        <f>IFERROR(VLOOKUP(Table1722[[#This Row],[Bukti]],Table13[#Data],11,FALSE),"")</f>
        <v/>
      </c>
    </row>
    <row r="3959" spans="1:9" hidden="1" x14ac:dyDescent="0.2">
      <c r="A3959" s="105" t="str">
        <f>IF(D3959=1,COUNTIF($D$10:D3959,1)," ")</f>
        <v xml:space="preserve"> </v>
      </c>
      <c r="B3959" s="106">
        <f>COPY!AR3951</f>
        <v>0</v>
      </c>
      <c r="C3959" s="107">
        <f>COPY!AC3951</f>
        <v>0</v>
      </c>
      <c r="D3959" s="107" t="str">
        <f>IF(LEN(Table1722[[#This Row],[Uraian]])&gt;2,1," ")</f>
        <v xml:space="preserve"> </v>
      </c>
      <c r="E3959" s="113" t="str">
        <f>IF(Table1722[[#This Row],[Lawan Transaksi]]="CV AGUNG KARYA",COUNTIF($I$10:I3959,"CV AGUNG KARYA")," ")</f>
        <v xml:space="preserve"> </v>
      </c>
      <c r="F3959" s="107" t="str">
        <f>IF(LEN(Table1722[[#This Row],[Uraian]])&gt;2,TRIM(RIGHT(SUBSTITUTE(TRIM(C3959)," ",REPT(" ",255)),255))," ")</f>
        <v xml:space="preserve"> </v>
      </c>
      <c r="G3959" s="110">
        <f>COPY!Z3951</f>
        <v>0</v>
      </c>
      <c r="H3959" s="111" t="str">
        <f>IFERROR(VLOOKUP(Table1722[[#This Row],[Bukti]],'Un nOTA'!$A$4:$K$5003,10,FALSE),"")</f>
        <v/>
      </c>
      <c r="I3959" s="123" t="str">
        <f>IFERROR(VLOOKUP(Table1722[[#This Row],[Bukti]],Table13[#Data],11,FALSE),"")</f>
        <v/>
      </c>
    </row>
    <row r="3960" spans="1:9" hidden="1" x14ac:dyDescent="0.2">
      <c r="A3960" s="105" t="str">
        <f>IF(D3960=1,COUNTIF($D$10:D3960,1)," ")</f>
        <v xml:space="preserve"> </v>
      </c>
      <c r="B3960" s="106">
        <f>COPY!AR3952</f>
        <v>0</v>
      </c>
      <c r="C3960" s="107">
        <f>COPY!AC3952</f>
        <v>0</v>
      </c>
      <c r="D3960" s="107" t="str">
        <f>IF(LEN(Table1722[[#This Row],[Uraian]])&gt;2,1," ")</f>
        <v xml:space="preserve"> </v>
      </c>
      <c r="E3960" s="113" t="str">
        <f>IF(Table1722[[#This Row],[Lawan Transaksi]]="CV AGUNG KARYA",COUNTIF($I$10:I3960,"CV AGUNG KARYA")," ")</f>
        <v xml:space="preserve"> </v>
      </c>
      <c r="F3960" s="107" t="str">
        <f>IF(LEN(Table1722[[#This Row],[Uraian]])&gt;2,TRIM(RIGHT(SUBSTITUTE(TRIM(C3960)," ",REPT(" ",255)),255))," ")</f>
        <v xml:space="preserve"> </v>
      </c>
      <c r="G3960" s="110">
        <f>COPY!Z3952</f>
        <v>0</v>
      </c>
      <c r="H3960" s="111" t="str">
        <f>IFERROR(VLOOKUP(Table1722[[#This Row],[Bukti]],'Un nOTA'!$A$4:$K$5003,10,FALSE),"")</f>
        <v/>
      </c>
      <c r="I3960" s="123" t="str">
        <f>IFERROR(VLOOKUP(Table1722[[#This Row],[Bukti]],Table13[#Data],11,FALSE),"")</f>
        <v/>
      </c>
    </row>
    <row r="3961" spans="1:9" hidden="1" x14ac:dyDescent="0.2">
      <c r="A3961" s="105" t="str">
        <f>IF(D3961=1,COUNTIF($D$10:D3961,1)," ")</f>
        <v xml:space="preserve"> </v>
      </c>
      <c r="B3961" s="106">
        <f>COPY!AR3953</f>
        <v>0</v>
      </c>
      <c r="C3961" s="107">
        <f>COPY!AC3953</f>
        <v>0</v>
      </c>
      <c r="D3961" s="107" t="str">
        <f>IF(LEN(Table1722[[#This Row],[Uraian]])&gt;2,1," ")</f>
        <v xml:space="preserve"> </v>
      </c>
      <c r="E3961" s="113" t="str">
        <f>IF(Table1722[[#This Row],[Lawan Transaksi]]="CV AGUNG KARYA",COUNTIF($I$10:I3961,"CV AGUNG KARYA")," ")</f>
        <v xml:space="preserve"> </v>
      </c>
      <c r="F3961" s="107" t="str">
        <f>IF(LEN(Table1722[[#This Row],[Uraian]])&gt;2,TRIM(RIGHT(SUBSTITUTE(TRIM(C3961)," ",REPT(" ",255)),255))," ")</f>
        <v xml:space="preserve"> </v>
      </c>
      <c r="G3961" s="110">
        <f>COPY!Z3953</f>
        <v>0</v>
      </c>
      <c r="H3961" s="111" t="str">
        <f>IFERROR(VLOOKUP(Table1722[[#This Row],[Bukti]],'Un nOTA'!$A$4:$K$5003,10,FALSE),"")</f>
        <v/>
      </c>
      <c r="I3961" s="123" t="str">
        <f>IFERROR(VLOOKUP(Table1722[[#This Row],[Bukti]],Table13[#Data],11,FALSE),"")</f>
        <v/>
      </c>
    </row>
    <row r="3962" spans="1:9" hidden="1" x14ac:dyDescent="0.2">
      <c r="A3962" s="105" t="str">
        <f>IF(D3962=1,COUNTIF($D$10:D3962,1)," ")</f>
        <v xml:space="preserve"> </v>
      </c>
      <c r="B3962" s="106">
        <f>COPY!AR3954</f>
        <v>0</v>
      </c>
      <c r="C3962" s="107">
        <f>COPY!AC3954</f>
        <v>0</v>
      </c>
      <c r="D3962" s="107" t="str">
        <f>IF(LEN(Table1722[[#This Row],[Uraian]])&gt;2,1," ")</f>
        <v xml:space="preserve"> </v>
      </c>
      <c r="E3962" s="113" t="str">
        <f>IF(Table1722[[#This Row],[Lawan Transaksi]]="CV AGUNG KARYA",COUNTIF($I$10:I3962,"CV AGUNG KARYA")," ")</f>
        <v xml:space="preserve"> </v>
      </c>
      <c r="F3962" s="107" t="str">
        <f>IF(LEN(Table1722[[#This Row],[Uraian]])&gt;2,TRIM(RIGHT(SUBSTITUTE(TRIM(C3962)," ",REPT(" ",255)),255))," ")</f>
        <v xml:space="preserve"> </v>
      </c>
      <c r="G3962" s="110">
        <f>COPY!Z3954</f>
        <v>0</v>
      </c>
      <c r="H3962" s="111" t="str">
        <f>IFERROR(VLOOKUP(Table1722[[#This Row],[Bukti]],'Un nOTA'!$A$4:$K$5003,10,FALSE),"")</f>
        <v/>
      </c>
      <c r="I3962" s="123" t="str">
        <f>IFERROR(VLOOKUP(Table1722[[#This Row],[Bukti]],Table13[#Data],11,FALSE),"")</f>
        <v/>
      </c>
    </row>
    <row r="3963" spans="1:9" hidden="1" x14ac:dyDescent="0.2">
      <c r="A3963" s="105" t="str">
        <f>IF(D3963=1,COUNTIF($D$10:D3963,1)," ")</f>
        <v xml:space="preserve"> </v>
      </c>
      <c r="B3963" s="106">
        <f>COPY!AR3955</f>
        <v>0</v>
      </c>
      <c r="C3963" s="107">
        <f>COPY!AC3955</f>
        <v>0</v>
      </c>
      <c r="D3963" s="107" t="str">
        <f>IF(LEN(Table1722[[#This Row],[Uraian]])&gt;2,1," ")</f>
        <v xml:space="preserve"> </v>
      </c>
      <c r="E3963" s="113" t="str">
        <f>IF(Table1722[[#This Row],[Lawan Transaksi]]="CV AGUNG KARYA",COUNTIF($I$10:I3963,"CV AGUNG KARYA")," ")</f>
        <v xml:space="preserve"> </v>
      </c>
      <c r="F3963" s="107" t="str">
        <f>IF(LEN(Table1722[[#This Row],[Uraian]])&gt;2,TRIM(RIGHT(SUBSTITUTE(TRIM(C3963)," ",REPT(" ",255)),255))," ")</f>
        <v xml:space="preserve"> </v>
      </c>
      <c r="G3963" s="110">
        <f>COPY!Z3955</f>
        <v>0</v>
      </c>
      <c r="H3963" s="111" t="str">
        <f>IFERROR(VLOOKUP(Table1722[[#This Row],[Bukti]],'Un nOTA'!$A$4:$K$5003,10,FALSE),"")</f>
        <v/>
      </c>
      <c r="I3963" s="123" t="str">
        <f>IFERROR(VLOOKUP(Table1722[[#This Row],[Bukti]],Table13[#Data],11,FALSE),"")</f>
        <v/>
      </c>
    </row>
    <row r="3964" spans="1:9" hidden="1" x14ac:dyDescent="0.2">
      <c r="A3964" s="105" t="str">
        <f>IF(D3964=1,COUNTIF($D$10:D3964,1)," ")</f>
        <v xml:space="preserve"> </v>
      </c>
      <c r="B3964" s="106">
        <f>COPY!AR3956</f>
        <v>0</v>
      </c>
      <c r="C3964" s="107">
        <f>COPY!AC3956</f>
        <v>0</v>
      </c>
      <c r="D3964" s="107" t="str">
        <f>IF(LEN(Table1722[[#This Row],[Uraian]])&gt;2,1," ")</f>
        <v xml:space="preserve"> </v>
      </c>
      <c r="E3964" s="113" t="str">
        <f>IF(Table1722[[#This Row],[Lawan Transaksi]]="CV AGUNG KARYA",COUNTIF($I$10:I3964,"CV AGUNG KARYA")," ")</f>
        <v xml:space="preserve"> </v>
      </c>
      <c r="F3964" s="107" t="str">
        <f>IF(LEN(Table1722[[#This Row],[Uraian]])&gt;2,TRIM(RIGHT(SUBSTITUTE(TRIM(C3964)," ",REPT(" ",255)),255))," ")</f>
        <v xml:space="preserve"> </v>
      </c>
      <c r="G3964" s="110">
        <f>COPY!Z3956</f>
        <v>0</v>
      </c>
      <c r="H3964" s="111" t="str">
        <f>IFERROR(VLOOKUP(Table1722[[#This Row],[Bukti]],'Un nOTA'!$A$4:$K$5003,10,FALSE),"")</f>
        <v/>
      </c>
      <c r="I3964" s="123" t="str">
        <f>IFERROR(VLOOKUP(Table1722[[#This Row],[Bukti]],Table13[#Data],11,FALSE),"")</f>
        <v/>
      </c>
    </row>
    <row r="3965" spans="1:9" hidden="1" x14ac:dyDescent="0.2">
      <c r="A3965" s="105" t="str">
        <f>IF(D3965=1,COUNTIF($D$10:D3965,1)," ")</f>
        <v xml:space="preserve"> </v>
      </c>
      <c r="B3965" s="106">
        <f>COPY!AR3957</f>
        <v>0</v>
      </c>
      <c r="C3965" s="107">
        <f>COPY!AC3957</f>
        <v>0</v>
      </c>
      <c r="D3965" s="107" t="str">
        <f>IF(LEN(Table1722[[#This Row],[Uraian]])&gt;2,1," ")</f>
        <v xml:space="preserve"> </v>
      </c>
      <c r="E3965" s="113" t="str">
        <f>IF(Table1722[[#This Row],[Lawan Transaksi]]="CV AGUNG KARYA",COUNTIF($I$10:I3965,"CV AGUNG KARYA")," ")</f>
        <v xml:space="preserve"> </v>
      </c>
      <c r="F3965" s="107" t="str">
        <f>IF(LEN(Table1722[[#This Row],[Uraian]])&gt;2,TRIM(RIGHT(SUBSTITUTE(TRIM(C3965)," ",REPT(" ",255)),255))," ")</f>
        <v xml:space="preserve"> </v>
      </c>
      <c r="G3965" s="110">
        <f>COPY!Z3957</f>
        <v>0</v>
      </c>
      <c r="H3965" s="111" t="str">
        <f>IFERROR(VLOOKUP(Table1722[[#This Row],[Bukti]],'Un nOTA'!$A$4:$K$5003,10,FALSE),"")</f>
        <v/>
      </c>
      <c r="I3965" s="123" t="str">
        <f>IFERROR(VLOOKUP(Table1722[[#This Row],[Bukti]],Table13[#Data],11,FALSE),"")</f>
        <v/>
      </c>
    </row>
    <row r="3966" spans="1:9" hidden="1" x14ac:dyDescent="0.2">
      <c r="A3966" s="105" t="str">
        <f>IF(D3966=1,COUNTIF($D$10:D3966,1)," ")</f>
        <v xml:space="preserve"> </v>
      </c>
      <c r="B3966" s="106">
        <f>COPY!AR3958</f>
        <v>0</v>
      </c>
      <c r="C3966" s="107">
        <f>COPY!AC3958</f>
        <v>0</v>
      </c>
      <c r="D3966" s="107" t="str">
        <f>IF(LEN(Table1722[[#This Row],[Uraian]])&gt;2,1," ")</f>
        <v xml:space="preserve"> </v>
      </c>
      <c r="E3966" s="113" t="str">
        <f>IF(Table1722[[#This Row],[Lawan Transaksi]]="CV AGUNG KARYA",COUNTIF($I$10:I3966,"CV AGUNG KARYA")," ")</f>
        <v xml:space="preserve"> </v>
      </c>
      <c r="F3966" s="107" t="str">
        <f>IF(LEN(Table1722[[#This Row],[Uraian]])&gt;2,TRIM(RIGHT(SUBSTITUTE(TRIM(C3966)," ",REPT(" ",255)),255))," ")</f>
        <v xml:space="preserve"> </v>
      </c>
      <c r="G3966" s="110">
        <f>COPY!Z3958</f>
        <v>0</v>
      </c>
      <c r="H3966" s="111" t="str">
        <f>IFERROR(VLOOKUP(Table1722[[#This Row],[Bukti]],'Un nOTA'!$A$4:$K$5003,10,FALSE),"")</f>
        <v/>
      </c>
      <c r="I3966" s="123" t="str">
        <f>IFERROR(VLOOKUP(Table1722[[#This Row],[Bukti]],Table13[#Data],11,FALSE),"")</f>
        <v/>
      </c>
    </row>
    <row r="3967" spans="1:9" hidden="1" x14ac:dyDescent="0.2">
      <c r="A3967" s="105" t="str">
        <f>IF(D3967=1,COUNTIF($D$10:D3967,1)," ")</f>
        <v xml:space="preserve"> </v>
      </c>
      <c r="B3967" s="106">
        <f>COPY!AR3959</f>
        <v>0</v>
      </c>
      <c r="C3967" s="107">
        <f>COPY!AC3959</f>
        <v>0</v>
      </c>
      <c r="D3967" s="107" t="str">
        <f>IF(LEN(Table1722[[#This Row],[Uraian]])&gt;2,1," ")</f>
        <v xml:space="preserve"> </v>
      </c>
      <c r="E3967" s="113" t="str">
        <f>IF(Table1722[[#This Row],[Lawan Transaksi]]="CV AGUNG KARYA",COUNTIF($I$10:I3967,"CV AGUNG KARYA")," ")</f>
        <v xml:space="preserve"> </v>
      </c>
      <c r="F3967" s="107" t="str">
        <f>IF(LEN(Table1722[[#This Row],[Uraian]])&gt;2,TRIM(RIGHT(SUBSTITUTE(TRIM(C3967)," ",REPT(" ",255)),255))," ")</f>
        <v xml:space="preserve"> </v>
      </c>
      <c r="G3967" s="110">
        <f>COPY!Z3959</f>
        <v>0</v>
      </c>
      <c r="H3967" s="111" t="str">
        <f>IFERROR(VLOOKUP(Table1722[[#This Row],[Bukti]],'Un nOTA'!$A$4:$K$5003,10,FALSE),"")</f>
        <v/>
      </c>
      <c r="I3967" s="123" t="str">
        <f>IFERROR(VLOOKUP(Table1722[[#This Row],[Bukti]],Table13[#Data],11,FALSE),"")</f>
        <v/>
      </c>
    </row>
    <row r="3968" spans="1:9" hidden="1" x14ac:dyDescent="0.2">
      <c r="A3968" s="105" t="str">
        <f>IF(D3968=1,COUNTIF($D$10:D3968,1)," ")</f>
        <v xml:space="preserve"> </v>
      </c>
      <c r="B3968" s="106">
        <f>COPY!AR3960</f>
        <v>0</v>
      </c>
      <c r="C3968" s="107">
        <f>COPY!AC3960</f>
        <v>0</v>
      </c>
      <c r="D3968" s="107" t="str">
        <f>IF(LEN(Table1722[[#This Row],[Uraian]])&gt;2,1," ")</f>
        <v xml:space="preserve"> </v>
      </c>
      <c r="E3968" s="113" t="str">
        <f>IF(Table1722[[#This Row],[Lawan Transaksi]]="CV AGUNG KARYA",COUNTIF($I$10:I3968,"CV AGUNG KARYA")," ")</f>
        <v xml:space="preserve"> </v>
      </c>
      <c r="F3968" s="107" t="str">
        <f>IF(LEN(Table1722[[#This Row],[Uraian]])&gt;2,TRIM(RIGHT(SUBSTITUTE(TRIM(C3968)," ",REPT(" ",255)),255))," ")</f>
        <v xml:space="preserve"> </v>
      </c>
      <c r="G3968" s="110">
        <f>COPY!Z3960</f>
        <v>0</v>
      </c>
      <c r="H3968" s="111" t="str">
        <f>IFERROR(VLOOKUP(Table1722[[#This Row],[Bukti]],'Un nOTA'!$A$4:$K$5003,10,FALSE),"")</f>
        <v/>
      </c>
      <c r="I3968" s="123" t="str">
        <f>IFERROR(VLOOKUP(Table1722[[#This Row],[Bukti]],Table13[#Data],11,FALSE),"")</f>
        <v/>
      </c>
    </row>
    <row r="3969" spans="1:9" hidden="1" x14ac:dyDescent="0.2">
      <c r="A3969" s="105" t="str">
        <f>IF(D3969=1,COUNTIF($D$10:D3969,1)," ")</f>
        <v xml:space="preserve"> </v>
      </c>
      <c r="B3969" s="106">
        <f>COPY!AR3961</f>
        <v>0</v>
      </c>
      <c r="C3969" s="107">
        <f>COPY!AC3961</f>
        <v>0</v>
      </c>
      <c r="D3969" s="107" t="str">
        <f>IF(LEN(Table1722[[#This Row],[Uraian]])&gt;2,1," ")</f>
        <v xml:space="preserve"> </v>
      </c>
      <c r="E3969" s="113" t="str">
        <f>IF(Table1722[[#This Row],[Lawan Transaksi]]="CV AGUNG KARYA",COUNTIF($I$10:I3969,"CV AGUNG KARYA")," ")</f>
        <v xml:space="preserve"> </v>
      </c>
      <c r="F3969" s="107" t="str">
        <f>IF(LEN(Table1722[[#This Row],[Uraian]])&gt;2,TRIM(RIGHT(SUBSTITUTE(TRIM(C3969)," ",REPT(" ",255)),255))," ")</f>
        <v xml:space="preserve"> </v>
      </c>
      <c r="G3969" s="110">
        <f>COPY!Z3961</f>
        <v>0</v>
      </c>
      <c r="H3969" s="111" t="str">
        <f>IFERROR(VLOOKUP(Table1722[[#This Row],[Bukti]],'Un nOTA'!$A$4:$K$5003,10,FALSE),"")</f>
        <v/>
      </c>
      <c r="I3969" s="123" t="str">
        <f>IFERROR(VLOOKUP(Table1722[[#This Row],[Bukti]],Table13[#Data],11,FALSE),"")</f>
        <v/>
      </c>
    </row>
    <row r="3970" spans="1:9" hidden="1" x14ac:dyDescent="0.2">
      <c r="A3970" s="105" t="str">
        <f>IF(D3970=1,COUNTIF($D$10:D3970,1)," ")</f>
        <v xml:space="preserve"> </v>
      </c>
      <c r="B3970" s="106">
        <f>COPY!AR3962</f>
        <v>0</v>
      </c>
      <c r="C3970" s="107">
        <f>COPY!AC3962</f>
        <v>0</v>
      </c>
      <c r="D3970" s="107" t="str">
        <f>IF(LEN(Table1722[[#This Row],[Uraian]])&gt;2,1," ")</f>
        <v xml:space="preserve"> </v>
      </c>
      <c r="E3970" s="113" t="str">
        <f>IF(Table1722[[#This Row],[Lawan Transaksi]]="CV AGUNG KARYA",COUNTIF($I$10:I3970,"CV AGUNG KARYA")," ")</f>
        <v xml:space="preserve"> </v>
      </c>
      <c r="F3970" s="107" t="str">
        <f>IF(LEN(Table1722[[#This Row],[Uraian]])&gt;2,TRIM(RIGHT(SUBSTITUTE(TRIM(C3970)," ",REPT(" ",255)),255))," ")</f>
        <v xml:space="preserve"> </v>
      </c>
      <c r="G3970" s="110">
        <f>COPY!Z3962</f>
        <v>0</v>
      </c>
      <c r="H3970" s="111" t="str">
        <f>IFERROR(VLOOKUP(Table1722[[#This Row],[Bukti]],'Un nOTA'!$A$4:$K$5003,10,FALSE),"")</f>
        <v/>
      </c>
      <c r="I3970" s="123" t="str">
        <f>IFERROR(VLOOKUP(Table1722[[#This Row],[Bukti]],Table13[#Data],11,FALSE),"")</f>
        <v/>
      </c>
    </row>
    <row r="3971" spans="1:9" hidden="1" x14ac:dyDescent="0.2">
      <c r="A3971" s="105" t="str">
        <f>IF(D3971=1,COUNTIF($D$10:D3971,1)," ")</f>
        <v xml:space="preserve"> </v>
      </c>
      <c r="B3971" s="106">
        <f>COPY!AR3963</f>
        <v>0</v>
      </c>
      <c r="C3971" s="107">
        <f>COPY!AC3963</f>
        <v>0</v>
      </c>
      <c r="D3971" s="107" t="str">
        <f>IF(LEN(Table1722[[#This Row],[Uraian]])&gt;2,1," ")</f>
        <v xml:space="preserve"> </v>
      </c>
      <c r="E3971" s="113" t="str">
        <f>IF(Table1722[[#This Row],[Lawan Transaksi]]="CV AGUNG KARYA",COUNTIF($I$10:I3971,"CV AGUNG KARYA")," ")</f>
        <v xml:space="preserve"> </v>
      </c>
      <c r="F3971" s="107" t="str">
        <f>IF(LEN(Table1722[[#This Row],[Uraian]])&gt;2,TRIM(RIGHT(SUBSTITUTE(TRIM(C3971)," ",REPT(" ",255)),255))," ")</f>
        <v xml:space="preserve"> </v>
      </c>
      <c r="G3971" s="110">
        <f>COPY!Z3963</f>
        <v>0</v>
      </c>
      <c r="H3971" s="111" t="str">
        <f>IFERROR(VLOOKUP(Table1722[[#This Row],[Bukti]],'Un nOTA'!$A$4:$K$5003,10,FALSE),"")</f>
        <v/>
      </c>
      <c r="I3971" s="123" t="str">
        <f>IFERROR(VLOOKUP(Table1722[[#This Row],[Bukti]],Table13[#Data],11,FALSE),"")</f>
        <v/>
      </c>
    </row>
    <row r="3972" spans="1:9" hidden="1" x14ac:dyDescent="0.2">
      <c r="A3972" s="105" t="str">
        <f>IF(D3972=1,COUNTIF($D$10:D3972,1)," ")</f>
        <v xml:space="preserve"> </v>
      </c>
      <c r="B3972" s="106">
        <f>COPY!AR3964</f>
        <v>0</v>
      </c>
      <c r="C3972" s="107">
        <f>COPY!AC3964</f>
        <v>0</v>
      </c>
      <c r="D3972" s="107" t="str">
        <f>IF(LEN(Table1722[[#This Row],[Uraian]])&gt;2,1," ")</f>
        <v xml:space="preserve"> </v>
      </c>
      <c r="E3972" s="113" t="str">
        <f>IF(Table1722[[#This Row],[Lawan Transaksi]]="CV AGUNG KARYA",COUNTIF($I$10:I3972,"CV AGUNG KARYA")," ")</f>
        <v xml:space="preserve"> </v>
      </c>
      <c r="F3972" s="107" t="str">
        <f>IF(LEN(Table1722[[#This Row],[Uraian]])&gt;2,TRIM(RIGHT(SUBSTITUTE(TRIM(C3972)," ",REPT(" ",255)),255))," ")</f>
        <v xml:space="preserve"> </v>
      </c>
      <c r="G3972" s="110">
        <f>COPY!Z3964</f>
        <v>0</v>
      </c>
      <c r="H3972" s="111" t="str">
        <f>IFERROR(VLOOKUP(Table1722[[#This Row],[Bukti]],'Un nOTA'!$A$4:$K$5003,10,FALSE),"")</f>
        <v/>
      </c>
      <c r="I3972" s="123" t="str">
        <f>IFERROR(VLOOKUP(Table1722[[#This Row],[Bukti]],Table13[#Data],11,FALSE),"")</f>
        <v/>
      </c>
    </row>
    <row r="3973" spans="1:9" hidden="1" x14ac:dyDescent="0.2">
      <c r="A3973" s="105" t="str">
        <f>IF(D3973=1,COUNTIF($D$10:D3973,1)," ")</f>
        <v xml:space="preserve"> </v>
      </c>
      <c r="B3973" s="106">
        <f>COPY!AR3965</f>
        <v>0</v>
      </c>
      <c r="C3973" s="107">
        <f>COPY!AC3965</f>
        <v>0</v>
      </c>
      <c r="D3973" s="107" t="str">
        <f>IF(LEN(Table1722[[#This Row],[Uraian]])&gt;2,1," ")</f>
        <v xml:space="preserve"> </v>
      </c>
      <c r="E3973" s="113" t="str">
        <f>IF(Table1722[[#This Row],[Lawan Transaksi]]="CV AGUNG KARYA",COUNTIF($I$10:I3973,"CV AGUNG KARYA")," ")</f>
        <v xml:space="preserve"> </v>
      </c>
      <c r="F3973" s="107" t="str">
        <f>IF(LEN(Table1722[[#This Row],[Uraian]])&gt;2,TRIM(RIGHT(SUBSTITUTE(TRIM(C3973)," ",REPT(" ",255)),255))," ")</f>
        <v xml:space="preserve"> </v>
      </c>
      <c r="G3973" s="110">
        <f>COPY!Z3965</f>
        <v>0</v>
      </c>
      <c r="H3973" s="111" t="str">
        <f>IFERROR(VLOOKUP(Table1722[[#This Row],[Bukti]],'Un nOTA'!$A$4:$K$5003,10,FALSE),"")</f>
        <v/>
      </c>
      <c r="I3973" s="123" t="str">
        <f>IFERROR(VLOOKUP(Table1722[[#This Row],[Bukti]],Table13[#Data],11,FALSE),"")</f>
        <v/>
      </c>
    </row>
    <row r="3974" spans="1:9" hidden="1" x14ac:dyDescent="0.2">
      <c r="A3974" s="105" t="str">
        <f>IF(D3974=1,COUNTIF($D$10:D3974,1)," ")</f>
        <v xml:space="preserve"> </v>
      </c>
      <c r="B3974" s="106">
        <f>COPY!AR3966</f>
        <v>0</v>
      </c>
      <c r="C3974" s="107">
        <f>COPY!AC3966</f>
        <v>0</v>
      </c>
      <c r="D3974" s="107" t="str">
        <f>IF(LEN(Table1722[[#This Row],[Uraian]])&gt;2,1," ")</f>
        <v xml:space="preserve"> </v>
      </c>
      <c r="E3974" s="113" t="str">
        <f>IF(Table1722[[#This Row],[Lawan Transaksi]]="CV AGUNG KARYA",COUNTIF($I$10:I3974,"CV AGUNG KARYA")," ")</f>
        <v xml:space="preserve"> </v>
      </c>
      <c r="F3974" s="107" t="str">
        <f>IF(LEN(Table1722[[#This Row],[Uraian]])&gt;2,TRIM(RIGHT(SUBSTITUTE(TRIM(C3974)," ",REPT(" ",255)),255))," ")</f>
        <v xml:space="preserve"> </v>
      </c>
      <c r="G3974" s="110">
        <f>COPY!Z3966</f>
        <v>0</v>
      </c>
      <c r="H3974" s="111" t="str">
        <f>IFERROR(VLOOKUP(Table1722[[#This Row],[Bukti]],'Un nOTA'!$A$4:$K$5003,10,FALSE),"")</f>
        <v/>
      </c>
      <c r="I3974" s="123" t="str">
        <f>IFERROR(VLOOKUP(Table1722[[#This Row],[Bukti]],Table13[#Data],11,FALSE),"")</f>
        <v/>
      </c>
    </row>
    <row r="3975" spans="1:9" hidden="1" x14ac:dyDescent="0.2">
      <c r="A3975" s="105" t="str">
        <f>IF(D3975=1,COUNTIF($D$10:D3975,1)," ")</f>
        <v xml:space="preserve"> </v>
      </c>
      <c r="B3975" s="106">
        <f>COPY!AR3967</f>
        <v>0</v>
      </c>
      <c r="C3975" s="107">
        <f>COPY!AC3967</f>
        <v>0</v>
      </c>
      <c r="D3975" s="107" t="str">
        <f>IF(LEN(Table1722[[#This Row],[Uraian]])&gt;2,1," ")</f>
        <v xml:space="preserve"> </v>
      </c>
      <c r="E3975" s="113" t="str">
        <f>IF(Table1722[[#This Row],[Lawan Transaksi]]="CV AGUNG KARYA",COUNTIF($I$10:I3975,"CV AGUNG KARYA")," ")</f>
        <v xml:space="preserve"> </v>
      </c>
      <c r="F3975" s="107" t="str">
        <f>IF(LEN(Table1722[[#This Row],[Uraian]])&gt;2,TRIM(RIGHT(SUBSTITUTE(TRIM(C3975)," ",REPT(" ",255)),255))," ")</f>
        <v xml:space="preserve"> </v>
      </c>
      <c r="G3975" s="110">
        <f>COPY!Z3967</f>
        <v>0</v>
      </c>
      <c r="H3975" s="111" t="str">
        <f>IFERROR(VLOOKUP(Table1722[[#This Row],[Bukti]],'Un nOTA'!$A$4:$K$5003,10,FALSE),"")</f>
        <v/>
      </c>
      <c r="I3975" s="123" t="str">
        <f>IFERROR(VLOOKUP(Table1722[[#This Row],[Bukti]],Table13[#Data],11,FALSE),"")</f>
        <v/>
      </c>
    </row>
    <row r="3976" spans="1:9" hidden="1" x14ac:dyDescent="0.2">
      <c r="A3976" s="105" t="str">
        <f>IF(D3976=1,COUNTIF($D$10:D3976,1)," ")</f>
        <v xml:space="preserve"> </v>
      </c>
      <c r="B3976" s="106">
        <f>COPY!AR3968</f>
        <v>0</v>
      </c>
      <c r="C3976" s="107">
        <f>COPY!AC3968</f>
        <v>0</v>
      </c>
      <c r="D3976" s="107" t="str">
        <f>IF(LEN(Table1722[[#This Row],[Uraian]])&gt;2,1," ")</f>
        <v xml:space="preserve"> </v>
      </c>
      <c r="E3976" s="113" t="str">
        <f>IF(Table1722[[#This Row],[Lawan Transaksi]]="CV AGUNG KARYA",COUNTIF($I$10:I3976,"CV AGUNG KARYA")," ")</f>
        <v xml:space="preserve"> </v>
      </c>
      <c r="F3976" s="107" t="str">
        <f>IF(LEN(Table1722[[#This Row],[Uraian]])&gt;2,TRIM(RIGHT(SUBSTITUTE(TRIM(C3976)," ",REPT(" ",255)),255))," ")</f>
        <v xml:space="preserve"> </v>
      </c>
      <c r="G3976" s="110">
        <f>COPY!Z3968</f>
        <v>0</v>
      </c>
      <c r="H3976" s="111" t="str">
        <f>IFERROR(VLOOKUP(Table1722[[#This Row],[Bukti]],'Un nOTA'!$A$4:$K$5003,10,FALSE),"")</f>
        <v/>
      </c>
      <c r="I3976" s="123" t="str">
        <f>IFERROR(VLOOKUP(Table1722[[#This Row],[Bukti]],Table13[#Data],11,FALSE),"")</f>
        <v/>
      </c>
    </row>
    <row r="3977" spans="1:9" hidden="1" x14ac:dyDescent="0.2">
      <c r="A3977" s="105" t="str">
        <f>IF(D3977=1,COUNTIF($D$10:D3977,1)," ")</f>
        <v xml:space="preserve"> </v>
      </c>
      <c r="B3977" s="106">
        <f>COPY!AR3969</f>
        <v>0</v>
      </c>
      <c r="C3977" s="107">
        <f>COPY!AC3969</f>
        <v>0</v>
      </c>
      <c r="D3977" s="107" t="str">
        <f>IF(LEN(Table1722[[#This Row],[Uraian]])&gt;2,1," ")</f>
        <v xml:space="preserve"> </v>
      </c>
      <c r="E3977" s="113" t="str">
        <f>IF(Table1722[[#This Row],[Lawan Transaksi]]="CV AGUNG KARYA",COUNTIF($I$10:I3977,"CV AGUNG KARYA")," ")</f>
        <v xml:space="preserve"> </v>
      </c>
      <c r="F3977" s="107" t="str">
        <f>IF(LEN(Table1722[[#This Row],[Uraian]])&gt;2,TRIM(RIGHT(SUBSTITUTE(TRIM(C3977)," ",REPT(" ",255)),255))," ")</f>
        <v xml:space="preserve"> </v>
      </c>
      <c r="G3977" s="110">
        <f>COPY!Z3969</f>
        <v>0</v>
      </c>
      <c r="H3977" s="111" t="str">
        <f>IFERROR(VLOOKUP(Table1722[[#This Row],[Bukti]],'Un nOTA'!$A$4:$K$5003,10,FALSE),"")</f>
        <v/>
      </c>
      <c r="I3977" s="123" t="str">
        <f>IFERROR(VLOOKUP(Table1722[[#This Row],[Bukti]],Table13[#Data],11,FALSE),"")</f>
        <v/>
      </c>
    </row>
    <row r="3978" spans="1:9" hidden="1" x14ac:dyDescent="0.2">
      <c r="A3978" s="105" t="str">
        <f>IF(D3978=1,COUNTIF($D$10:D3978,1)," ")</f>
        <v xml:space="preserve"> </v>
      </c>
      <c r="B3978" s="106">
        <f>COPY!AR3970</f>
        <v>0</v>
      </c>
      <c r="C3978" s="107">
        <f>COPY!AC3970</f>
        <v>0</v>
      </c>
      <c r="D3978" s="107" t="str">
        <f>IF(LEN(Table1722[[#This Row],[Uraian]])&gt;2,1," ")</f>
        <v xml:space="preserve"> </v>
      </c>
      <c r="E3978" s="113" t="str">
        <f>IF(Table1722[[#This Row],[Lawan Transaksi]]="CV AGUNG KARYA",COUNTIF($I$10:I3978,"CV AGUNG KARYA")," ")</f>
        <v xml:space="preserve"> </v>
      </c>
      <c r="F3978" s="107" t="str">
        <f>IF(LEN(Table1722[[#This Row],[Uraian]])&gt;2,TRIM(RIGHT(SUBSTITUTE(TRIM(C3978)," ",REPT(" ",255)),255))," ")</f>
        <v xml:space="preserve"> </v>
      </c>
      <c r="G3978" s="110">
        <f>COPY!Z3970</f>
        <v>0</v>
      </c>
      <c r="H3978" s="111" t="str">
        <f>IFERROR(VLOOKUP(Table1722[[#This Row],[Bukti]],'Un nOTA'!$A$4:$K$5003,10,FALSE),"")</f>
        <v/>
      </c>
      <c r="I3978" s="123" t="str">
        <f>IFERROR(VLOOKUP(Table1722[[#This Row],[Bukti]],Table13[#Data],11,FALSE),"")</f>
        <v/>
      </c>
    </row>
    <row r="3979" spans="1:9" hidden="1" x14ac:dyDescent="0.2">
      <c r="A3979" s="105" t="str">
        <f>IF(D3979=1,COUNTIF($D$10:D3979,1)," ")</f>
        <v xml:space="preserve"> </v>
      </c>
      <c r="B3979" s="106">
        <f>COPY!AR3971</f>
        <v>0</v>
      </c>
      <c r="C3979" s="107">
        <f>COPY!AC3971</f>
        <v>0</v>
      </c>
      <c r="D3979" s="107" t="str">
        <f>IF(LEN(Table1722[[#This Row],[Uraian]])&gt;2,1," ")</f>
        <v xml:space="preserve"> </v>
      </c>
      <c r="E3979" s="113" t="str">
        <f>IF(Table1722[[#This Row],[Lawan Transaksi]]="CV AGUNG KARYA",COUNTIF($I$10:I3979,"CV AGUNG KARYA")," ")</f>
        <v xml:space="preserve"> </v>
      </c>
      <c r="F3979" s="107" t="str">
        <f>IF(LEN(Table1722[[#This Row],[Uraian]])&gt;2,TRIM(RIGHT(SUBSTITUTE(TRIM(C3979)," ",REPT(" ",255)),255))," ")</f>
        <v xml:space="preserve"> </v>
      </c>
      <c r="G3979" s="110">
        <f>COPY!Z3971</f>
        <v>0</v>
      </c>
      <c r="H3979" s="111" t="str">
        <f>IFERROR(VLOOKUP(Table1722[[#This Row],[Bukti]],'Un nOTA'!$A$4:$K$5003,10,FALSE),"")</f>
        <v/>
      </c>
      <c r="I3979" s="123" t="str">
        <f>IFERROR(VLOOKUP(Table1722[[#This Row],[Bukti]],Table13[#Data],11,FALSE),"")</f>
        <v/>
      </c>
    </row>
    <row r="3980" spans="1:9" hidden="1" x14ac:dyDescent="0.2">
      <c r="A3980" s="105" t="str">
        <f>IF(D3980=1,COUNTIF($D$10:D3980,1)," ")</f>
        <v xml:space="preserve"> </v>
      </c>
      <c r="B3980" s="106">
        <f>COPY!AR3972</f>
        <v>0</v>
      </c>
      <c r="C3980" s="107">
        <f>COPY!AC3972</f>
        <v>0</v>
      </c>
      <c r="D3980" s="107" t="str">
        <f>IF(LEN(Table1722[[#This Row],[Uraian]])&gt;2,1," ")</f>
        <v xml:space="preserve"> </v>
      </c>
      <c r="E3980" s="113" t="str">
        <f>IF(Table1722[[#This Row],[Lawan Transaksi]]="CV AGUNG KARYA",COUNTIF($I$10:I3980,"CV AGUNG KARYA")," ")</f>
        <v xml:space="preserve"> </v>
      </c>
      <c r="F3980" s="107" t="str">
        <f>IF(LEN(Table1722[[#This Row],[Uraian]])&gt;2,TRIM(RIGHT(SUBSTITUTE(TRIM(C3980)," ",REPT(" ",255)),255))," ")</f>
        <v xml:space="preserve"> </v>
      </c>
      <c r="G3980" s="110">
        <f>COPY!Z3972</f>
        <v>0</v>
      </c>
      <c r="H3980" s="111" t="str">
        <f>IFERROR(VLOOKUP(Table1722[[#This Row],[Bukti]],'Un nOTA'!$A$4:$K$5003,10,FALSE),"")</f>
        <v/>
      </c>
      <c r="I3980" s="123" t="str">
        <f>IFERROR(VLOOKUP(Table1722[[#This Row],[Bukti]],Table13[#Data],11,FALSE),"")</f>
        <v/>
      </c>
    </row>
    <row r="3981" spans="1:9" hidden="1" x14ac:dyDescent="0.2">
      <c r="A3981" s="105" t="str">
        <f>IF(D3981=1,COUNTIF($D$10:D3981,1)," ")</f>
        <v xml:space="preserve"> </v>
      </c>
      <c r="B3981" s="106">
        <f>COPY!AR3973</f>
        <v>0</v>
      </c>
      <c r="C3981" s="107">
        <f>COPY!AC3973</f>
        <v>0</v>
      </c>
      <c r="D3981" s="107" t="str">
        <f>IF(LEN(Table1722[[#This Row],[Uraian]])&gt;2,1," ")</f>
        <v xml:space="preserve"> </v>
      </c>
      <c r="E3981" s="113" t="str">
        <f>IF(Table1722[[#This Row],[Lawan Transaksi]]="CV AGUNG KARYA",COUNTIF($I$10:I3981,"CV AGUNG KARYA")," ")</f>
        <v xml:space="preserve"> </v>
      </c>
      <c r="F3981" s="107" t="str">
        <f>IF(LEN(Table1722[[#This Row],[Uraian]])&gt;2,TRIM(RIGHT(SUBSTITUTE(TRIM(C3981)," ",REPT(" ",255)),255))," ")</f>
        <v xml:space="preserve"> </v>
      </c>
      <c r="G3981" s="110">
        <f>COPY!Z3973</f>
        <v>0</v>
      </c>
      <c r="H3981" s="111" t="str">
        <f>IFERROR(VLOOKUP(Table1722[[#This Row],[Bukti]],'Un nOTA'!$A$4:$K$5003,10,FALSE),"")</f>
        <v/>
      </c>
      <c r="I3981" s="123" t="str">
        <f>IFERROR(VLOOKUP(Table1722[[#This Row],[Bukti]],Table13[#Data],11,FALSE),"")</f>
        <v/>
      </c>
    </row>
    <row r="3982" spans="1:9" hidden="1" x14ac:dyDescent="0.2">
      <c r="A3982" s="105" t="str">
        <f>IF(D3982=1,COUNTIF($D$10:D3982,1)," ")</f>
        <v xml:space="preserve"> </v>
      </c>
      <c r="B3982" s="106">
        <f>COPY!AR3974</f>
        <v>0</v>
      </c>
      <c r="C3982" s="107">
        <f>COPY!AC3974</f>
        <v>0</v>
      </c>
      <c r="D3982" s="107" t="str">
        <f>IF(LEN(Table1722[[#This Row],[Uraian]])&gt;2,1," ")</f>
        <v xml:space="preserve"> </v>
      </c>
      <c r="E3982" s="113" t="str">
        <f>IF(Table1722[[#This Row],[Lawan Transaksi]]="CV AGUNG KARYA",COUNTIF($I$10:I3982,"CV AGUNG KARYA")," ")</f>
        <v xml:space="preserve"> </v>
      </c>
      <c r="F3982" s="107" t="str">
        <f>IF(LEN(Table1722[[#This Row],[Uraian]])&gt;2,TRIM(RIGHT(SUBSTITUTE(TRIM(C3982)," ",REPT(" ",255)),255))," ")</f>
        <v xml:space="preserve"> </v>
      </c>
      <c r="G3982" s="110">
        <f>COPY!Z3974</f>
        <v>0</v>
      </c>
      <c r="H3982" s="111" t="str">
        <f>IFERROR(VLOOKUP(Table1722[[#This Row],[Bukti]],'Un nOTA'!$A$4:$K$5003,10,FALSE),"")</f>
        <v/>
      </c>
      <c r="I3982" s="123" t="str">
        <f>IFERROR(VLOOKUP(Table1722[[#This Row],[Bukti]],Table13[#Data],11,FALSE),"")</f>
        <v/>
      </c>
    </row>
    <row r="3983" spans="1:9" hidden="1" x14ac:dyDescent="0.2">
      <c r="A3983" s="105" t="str">
        <f>IF(D3983=1,COUNTIF($D$10:D3983,1)," ")</f>
        <v xml:space="preserve"> </v>
      </c>
      <c r="B3983" s="106">
        <f>COPY!AR3975</f>
        <v>0</v>
      </c>
      <c r="C3983" s="107">
        <f>COPY!AC3975</f>
        <v>0</v>
      </c>
      <c r="D3983" s="107" t="str">
        <f>IF(LEN(Table1722[[#This Row],[Uraian]])&gt;2,1," ")</f>
        <v xml:space="preserve"> </v>
      </c>
      <c r="E3983" s="113" t="str">
        <f>IF(Table1722[[#This Row],[Lawan Transaksi]]="CV AGUNG KARYA",COUNTIF($I$10:I3983,"CV AGUNG KARYA")," ")</f>
        <v xml:space="preserve"> </v>
      </c>
      <c r="F3983" s="107" t="str">
        <f>IF(LEN(Table1722[[#This Row],[Uraian]])&gt;2,TRIM(RIGHT(SUBSTITUTE(TRIM(C3983)," ",REPT(" ",255)),255))," ")</f>
        <v xml:space="preserve"> </v>
      </c>
      <c r="G3983" s="110">
        <f>COPY!Z3975</f>
        <v>0</v>
      </c>
      <c r="H3983" s="111" t="str">
        <f>IFERROR(VLOOKUP(Table1722[[#This Row],[Bukti]],'Un nOTA'!$A$4:$K$5003,10,FALSE),"")</f>
        <v/>
      </c>
      <c r="I3983" s="123" t="str">
        <f>IFERROR(VLOOKUP(Table1722[[#This Row],[Bukti]],Table13[#Data],11,FALSE),"")</f>
        <v/>
      </c>
    </row>
    <row r="3984" spans="1:9" hidden="1" x14ac:dyDescent="0.2">
      <c r="A3984" s="105" t="str">
        <f>IF(D3984=1,COUNTIF($D$10:D3984,1)," ")</f>
        <v xml:space="preserve"> </v>
      </c>
      <c r="B3984" s="106">
        <f>COPY!AR3976</f>
        <v>0</v>
      </c>
      <c r="C3984" s="107">
        <f>COPY!AC3976</f>
        <v>0</v>
      </c>
      <c r="D3984" s="107" t="str">
        <f>IF(LEN(Table1722[[#This Row],[Uraian]])&gt;2,1," ")</f>
        <v xml:space="preserve"> </v>
      </c>
      <c r="E3984" s="113" t="str">
        <f>IF(Table1722[[#This Row],[Lawan Transaksi]]="CV AGUNG KARYA",COUNTIF($I$10:I3984,"CV AGUNG KARYA")," ")</f>
        <v xml:space="preserve"> </v>
      </c>
      <c r="F3984" s="107" t="str">
        <f>IF(LEN(Table1722[[#This Row],[Uraian]])&gt;2,TRIM(RIGHT(SUBSTITUTE(TRIM(C3984)," ",REPT(" ",255)),255))," ")</f>
        <v xml:space="preserve"> </v>
      </c>
      <c r="G3984" s="110">
        <f>COPY!Z3976</f>
        <v>0</v>
      </c>
      <c r="H3984" s="111" t="str">
        <f>IFERROR(VLOOKUP(Table1722[[#This Row],[Bukti]],'Un nOTA'!$A$4:$K$5003,10,FALSE),"")</f>
        <v/>
      </c>
      <c r="I3984" s="123" t="str">
        <f>IFERROR(VLOOKUP(Table1722[[#This Row],[Bukti]],Table13[#Data],11,FALSE),"")</f>
        <v/>
      </c>
    </row>
    <row r="3985" spans="1:9" hidden="1" x14ac:dyDescent="0.2">
      <c r="A3985" s="105" t="str">
        <f>IF(D3985=1,COUNTIF($D$10:D3985,1)," ")</f>
        <v xml:space="preserve"> </v>
      </c>
      <c r="B3985" s="106">
        <f>COPY!AR3977</f>
        <v>0</v>
      </c>
      <c r="C3985" s="107">
        <f>COPY!AC3977</f>
        <v>0</v>
      </c>
      <c r="D3985" s="107" t="str">
        <f>IF(LEN(Table1722[[#This Row],[Uraian]])&gt;2,1," ")</f>
        <v xml:space="preserve"> </v>
      </c>
      <c r="E3985" s="113" t="str">
        <f>IF(Table1722[[#This Row],[Lawan Transaksi]]="CV AGUNG KARYA",COUNTIF($I$10:I3985,"CV AGUNG KARYA")," ")</f>
        <v xml:space="preserve"> </v>
      </c>
      <c r="F3985" s="107" t="str">
        <f>IF(LEN(Table1722[[#This Row],[Uraian]])&gt;2,TRIM(RIGHT(SUBSTITUTE(TRIM(C3985)," ",REPT(" ",255)),255))," ")</f>
        <v xml:space="preserve"> </v>
      </c>
      <c r="G3985" s="110">
        <f>COPY!Z3977</f>
        <v>0</v>
      </c>
      <c r="H3985" s="111" t="str">
        <f>IFERROR(VLOOKUP(Table1722[[#This Row],[Bukti]],'Un nOTA'!$A$4:$K$5003,10,FALSE),"")</f>
        <v/>
      </c>
      <c r="I3985" s="123" t="str">
        <f>IFERROR(VLOOKUP(Table1722[[#This Row],[Bukti]],Table13[#Data],11,FALSE),"")</f>
        <v/>
      </c>
    </row>
    <row r="3986" spans="1:9" hidden="1" x14ac:dyDescent="0.2">
      <c r="A3986" s="105" t="str">
        <f>IF(D3986=1,COUNTIF($D$10:D3986,1)," ")</f>
        <v xml:space="preserve"> </v>
      </c>
      <c r="B3986" s="106">
        <f>COPY!AR3978</f>
        <v>0</v>
      </c>
      <c r="C3986" s="107">
        <f>COPY!AC3978</f>
        <v>0</v>
      </c>
      <c r="D3986" s="107" t="str">
        <f>IF(LEN(Table1722[[#This Row],[Uraian]])&gt;2,1," ")</f>
        <v xml:space="preserve"> </v>
      </c>
      <c r="E3986" s="113" t="str">
        <f>IF(Table1722[[#This Row],[Lawan Transaksi]]="CV AGUNG KARYA",COUNTIF($I$10:I3986,"CV AGUNG KARYA")," ")</f>
        <v xml:space="preserve"> </v>
      </c>
      <c r="F3986" s="107" t="str">
        <f>IF(LEN(Table1722[[#This Row],[Uraian]])&gt;2,TRIM(RIGHT(SUBSTITUTE(TRIM(C3986)," ",REPT(" ",255)),255))," ")</f>
        <v xml:space="preserve"> </v>
      </c>
      <c r="G3986" s="110">
        <f>COPY!Z3978</f>
        <v>0</v>
      </c>
      <c r="H3986" s="111" t="str">
        <f>IFERROR(VLOOKUP(Table1722[[#This Row],[Bukti]],'Un nOTA'!$A$4:$K$5003,10,FALSE),"")</f>
        <v/>
      </c>
      <c r="I3986" s="123" t="str">
        <f>IFERROR(VLOOKUP(Table1722[[#This Row],[Bukti]],Table13[#Data],11,FALSE),"")</f>
        <v/>
      </c>
    </row>
    <row r="3987" spans="1:9" hidden="1" x14ac:dyDescent="0.2">
      <c r="A3987" s="105" t="str">
        <f>IF(D3987=1,COUNTIF($D$10:D3987,1)," ")</f>
        <v xml:space="preserve"> </v>
      </c>
      <c r="B3987" s="106">
        <f>COPY!AR3979</f>
        <v>0</v>
      </c>
      <c r="C3987" s="107">
        <f>COPY!AC3979</f>
        <v>0</v>
      </c>
      <c r="D3987" s="107" t="str">
        <f>IF(LEN(Table1722[[#This Row],[Uraian]])&gt;2,1," ")</f>
        <v xml:space="preserve"> </v>
      </c>
      <c r="E3987" s="113" t="str">
        <f>IF(Table1722[[#This Row],[Lawan Transaksi]]="CV AGUNG KARYA",COUNTIF($I$10:I3987,"CV AGUNG KARYA")," ")</f>
        <v xml:space="preserve"> </v>
      </c>
      <c r="F3987" s="107" t="str">
        <f>IF(LEN(Table1722[[#This Row],[Uraian]])&gt;2,TRIM(RIGHT(SUBSTITUTE(TRIM(C3987)," ",REPT(" ",255)),255))," ")</f>
        <v xml:space="preserve"> </v>
      </c>
      <c r="G3987" s="110">
        <f>COPY!Z3979</f>
        <v>0</v>
      </c>
      <c r="H3987" s="111" t="str">
        <f>IFERROR(VLOOKUP(Table1722[[#This Row],[Bukti]],'Un nOTA'!$A$4:$K$5003,10,FALSE),"")</f>
        <v/>
      </c>
      <c r="I3987" s="123" t="str">
        <f>IFERROR(VLOOKUP(Table1722[[#This Row],[Bukti]],Table13[#Data],11,FALSE),"")</f>
        <v/>
      </c>
    </row>
    <row r="3988" spans="1:9" hidden="1" x14ac:dyDescent="0.2">
      <c r="A3988" s="105" t="str">
        <f>IF(D3988=1,COUNTIF($D$10:D3988,1)," ")</f>
        <v xml:space="preserve"> </v>
      </c>
      <c r="B3988" s="106">
        <f>COPY!AR3980</f>
        <v>0</v>
      </c>
      <c r="C3988" s="107">
        <f>COPY!AC3980</f>
        <v>0</v>
      </c>
      <c r="D3988" s="107" t="str">
        <f>IF(LEN(Table1722[[#This Row],[Uraian]])&gt;2,1," ")</f>
        <v xml:space="preserve"> </v>
      </c>
      <c r="E3988" s="113" t="str">
        <f>IF(Table1722[[#This Row],[Lawan Transaksi]]="CV AGUNG KARYA",COUNTIF($I$10:I3988,"CV AGUNG KARYA")," ")</f>
        <v xml:space="preserve"> </v>
      </c>
      <c r="F3988" s="107" t="str">
        <f>IF(LEN(Table1722[[#This Row],[Uraian]])&gt;2,TRIM(RIGHT(SUBSTITUTE(TRIM(C3988)," ",REPT(" ",255)),255))," ")</f>
        <v xml:space="preserve"> </v>
      </c>
      <c r="G3988" s="110">
        <f>COPY!Z3980</f>
        <v>0</v>
      </c>
      <c r="H3988" s="111" t="str">
        <f>IFERROR(VLOOKUP(Table1722[[#This Row],[Bukti]],'Un nOTA'!$A$4:$K$5003,10,FALSE),"")</f>
        <v/>
      </c>
      <c r="I3988" s="123" t="str">
        <f>IFERROR(VLOOKUP(Table1722[[#This Row],[Bukti]],Table13[#Data],11,FALSE),"")</f>
        <v/>
      </c>
    </row>
    <row r="3989" spans="1:9" hidden="1" x14ac:dyDescent="0.2">
      <c r="A3989" s="105" t="str">
        <f>IF(D3989=1,COUNTIF($D$10:D3989,1)," ")</f>
        <v xml:space="preserve"> </v>
      </c>
      <c r="B3989" s="106">
        <f>COPY!AR3981</f>
        <v>0</v>
      </c>
      <c r="C3989" s="107">
        <f>COPY!AC3981</f>
        <v>0</v>
      </c>
      <c r="D3989" s="107" t="str">
        <f>IF(LEN(Table1722[[#This Row],[Uraian]])&gt;2,1," ")</f>
        <v xml:space="preserve"> </v>
      </c>
      <c r="E3989" s="113" t="str">
        <f>IF(Table1722[[#This Row],[Lawan Transaksi]]="CV AGUNG KARYA",COUNTIF($I$10:I3989,"CV AGUNG KARYA")," ")</f>
        <v xml:space="preserve"> </v>
      </c>
      <c r="F3989" s="107" t="str">
        <f>IF(LEN(Table1722[[#This Row],[Uraian]])&gt;2,TRIM(RIGHT(SUBSTITUTE(TRIM(C3989)," ",REPT(" ",255)),255))," ")</f>
        <v xml:space="preserve"> </v>
      </c>
      <c r="G3989" s="110">
        <f>COPY!Z3981</f>
        <v>0</v>
      </c>
      <c r="H3989" s="111" t="str">
        <f>IFERROR(VLOOKUP(Table1722[[#This Row],[Bukti]],'Un nOTA'!$A$4:$K$5003,10,FALSE),"")</f>
        <v/>
      </c>
      <c r="I3989" s="123" t="str">
        <f>IFERROR(VLOOKUP(Table1722[[#This Row],[Bukti]],Table13[#Data],11,FALSE),"")</f>
        <v/>
      </c>
    </row>
    <row r="3990" spans="1:9" hidden="1" x14ac:dyDescent="0.2">
      <c r="A3990" s="105" t="str">
        <f>IF(D3990=1,COUNTIF($D$10:D3990,1)," ")</f>
        <v xml:space="preserve"> </v>
      </c>
      <c r="B3990" s="106">
        <f>COPY!AR3982</f>
        <v>0</v>
      </c>
      <c r="C3990" s="107">
        <f>COPY!AC3982</f>
        <v>0</v>
      </c>
      <c r="D3990" s="107" t="str">
        <f>IF(LEN(Table1722[[#This Row],[Uraian]])&gt;2,1," ")</f>
        <v xml:space="preserve"> </v>
      </c>
      <c r="E3990" s="113" t="str">
        <f>IF(Table1722[[#This Row],[Lawan Transaksi]]="CV AGUNG KARYA",COUNTIF($I$10:I3990,"CV AGUNG KARYA")," ")</f>
        <v xml:space="preserve"> </v>
      </c>
      <c r="F3990" s="107" t="str">
        <f>IF(LEN(Table1722[[#This Row],[Uraian]])&gt;2,TRIM(RIGHT(SUBSTITUTE(TRIM(C3990)," ",REPT(" ",255)),255))," ")</f>
        <v xml:space="preserve"> </v>
      </c>
      <c r="G3990" s="110">
        <f>COPY!Z3982</f>
        <v>0</v>
      </c>
      <c r="H3990" s="111" t="str">
        <f>IFERROR(VLOOKUP(Table1722[[#This Row],[Bukti]],'Un nOTA'!$A$4:$K$5003,10,FALSE),"")</f>
        <v/>
      </c>
      <c r="I3990" s="123" t="str">
        <f>IFERROR(VLOOKUP(Table1722[[#This Row],[Bukti]],Table13[#Data],11,FALSE),"")</f>
        <v/>
      </c>
    </row>
    <row r="3991" spans="1:9" hidden="1" x14ac:dyDescent="0.2">
      <c r="A3991" s="105" t="str">
        <f>IF(D3991=1,COUNTIF($D$10:D3991,1)," ")</f>
        <v xml:space="preserve"> </v>
      </c>
      <c r="B3991" s="106">
        <f>COPY!AR3983</f>
        <v>0</v>
      </c>
      <c r="C3991" s="107">
        <f>COPY!AC3983</f>
        <v>0</v>
      </c>
      <c r="D3991" s="107" t="str">
        <f>IF(LEN(Table1722[[#This Row],[Uraian]])&gt;2,1," ")</f>
        <v xml:space="preserve"> </v>
      </c>
      <c r="E3991" s="113" t="str">
        <f>IF(Table1722[[#This Row],[Lawan Transaksi]]="CV AGUNG KARYA",COUNTIF($I$10:I3991,"CV AGUNG KARYA")," ")</f>
        <v xml:space="preserve"> </v>
      </c>
      <c r="F3991" s="107" t="str">
        <f>IF(LEN(Table1722[[#This Row],[Uraian]])&gt;2,TRIM(RIGHT(SUBSTITUTE(TRIM(C3991)," ",REPT(" ",255)),255))," ")</f>
        <v xml:space="preserve"> </v>
      </c>
      <c r="G3991" s="110">
        <f>COPY!Z3983</f>
        <v>0</v>
      </c>
      <c r="H3991" s="111" t="str">
        <f>IFERROR(VLOOKUP(Table1722[[#This Row],[Bukti]],'Un nOTA'!$A$4:$K$5003,10,FALSE),"")</f>
        <v/>
      </c>
      <c r="I3991" s="123" t="str">
        <f>IFERROR(VLOOKUP(Table1722[[#This Row],[Bukti]],Table13[#Data],11,FALSE),"")</f>
        <v/>
      </c>
    </row>
    <row r="3992" spans="1:9" hidden="1" x14ac:dyDescent="0.2">
      <c r="A3992" s="105" t="str">
        <f>IF(D3992=1,COUNTIF($D$10:D3992,1)," ")</f>
        <v xml:space="preserve"> </v>
      </c>
      <c r="B3992" s="106">
        <f>COPY!AR3984</f>
        <v>0</v>
      </c>
      <c r="C3992" s="107">
        <f>COPY!AC3984</f>
        <v>0</v>
      </c>
      <c r="D3992" s="107" t="str">
        <f>IF(LEN(Table1722[[#This Row],[Uraian]])&gt;2,1," ")</f>
        <v xml:space="preserve"> </v>
      </c>
      <c r="E3992" s="113" t="str">
        <f>IF(Table1722[[#This Row],[Lawan Transaksi]]="CV AGUNG KARYA",COUNTIF($I$10:I3992,"CV AGUNG KARYA")," ")</f>
        <v xml:space="preserve"> </v>
      </c>
      <c r="F3992" s="107" t="str">
        <f>IF(LEN(Table1722[[#This Row],[Uraian]])&gt;2,TRIM(RIGHT(SUBSTITUTE(TRIM(C3992)," ",REPT(" ",255)),255))," ")</f>
        <v xml:space="preserve"> </v>
      </c>
      <c r="G3992" s="110">
        <f>COPY!Z3984</f>
        <v>0</v>
      </c>
      <c r="H3992" s="111" t="str">
        <f>IFERROR(VLOOKUP(Table1722[[#This Row],[Bukti]],'Un nOTA'!$A$4:$K$5003,10,FALSE),"")</f>
        <v/>
      </c>
      <c r="I3992" s="123" t="str">
        <f>IFERROR(VLOOKUP(Table1722[[#This Row],[Bukti]],Table13[#Data],11,FALSE),"")</f>
        <v/>
      </c>
    </row>
    <row r="3993" spans="1:9" hidden="1" x14ac:dyDescent="0.2">
      <c r="A3993" s="105" t="str">
        <f>IF(D3993=1,COUNTIF($D$10:D3993,1)," ")</f>
        <v xml:space="preserve"> </v>
      </c>
      <c r="B3993" s="106">
        <f>COPY!AR3985</f>
        <v>0</v>
      </c>
      <c r="C3993" s="107">
        <f>COPY!AC3985</f>
        <v>0</v>
      </c>
      <c r="D3993" s="107" t="str">
        <f>IF(LEN(Table1722[[#This Row],[Uraian]])&gt;2,1," ")</f>
        <v xml:space="preserve"> </v>
      </c>
      <c r="E3993" s="113" t="str">
        <f>IF(Table1722[[#This Row],[Lawan Transaksi]]="CV AGUNG KARYA",COUNTIF($I$10:I3993,"CV AGUNG KARYA")," ")</f>
        <v xml:space="preserve"> </v>
      </c>
      <c r="F3993" s="107" t="str">
        <f>IF(LEN(Table1722[[#This Row],[Uraian]])&gt;2,TRIM(RIGHT(SUBSTITUTE(TRIM(C3993)," ",REPT(" ",255)),255))," ")</f>
        <v xml:space="preserve"> </v>
      </c>
      <c r="G3993" s="110">
        <f>COPY!Z3985</f>
        <v>0</v>
      </c>
      <c r="H3993" s="111" t="str">
        <f>IFERROR(VLOOKUP(Table1722[[#This Row],[Bukti]],'Un nOTA'!$A$4:$K$5003,10,FALSE),"")</f>
        <v/>
      </c>
      <c r="I3993" s="123" t="str">
        <f>IFERROR(VLOOKUP(Table1722[[#This Row],[Bukti]],Table13[#Data],11,FALSE),"")</f>
        <v/>
      </c>
    </row>
    <row r="3994" spans="1:9" hidden="1" x14ac:dyDescent="0.2">
      <c r="A3994" s="105" t="str">
        <f>IF(D3994=1,COUNTIF($D$10:D3994,1)," ")</f>
        <v xml:space="preserve"> </v>
      </c>
      <c r="B3994" s="106">
        <f>COPY!AR3986</f>
        <v>0</v>
      </c>
      <c r="C3994" s="107">
        <f>COPY!AC3986</f>
        <v>0</v>
      </c>
      <c r="D3994" s="107" t="str">
        <f>IF(LEN(Table1722[[#This Row],[Uraian]])&gt;2,1," ")</f>
        <v xml:space="preserve"> </v>
      </c>
      <c r="E3994" s="113" t="str">
        <f>IF(Table1722[[#This Row],[Lawan Transaksi]]="CV AGUNG KARYA",COUNTIF($I$10:I3994,"CV AGUNG KARYA")," ")</f>
        <v xml:space="preserve"> </v>
      </c>
      <c r="F3994" s="107" t="str">
        <f>IF(LEN(Table1722[[#This Row],[Uraian]])&gt;2,TRIM(RIGHT(SUBSTITUTE(TRIM(C3994)," ",REPT(" ",255)),255))," ")</f>
        <v xml:space="preserve"> </v>
      </c>
      <c r="G3994" s="110">
        <f>COPY!Z3986</f>
        <v>0</v>
      </c>
      <c r="H3994" s="111" t="str">
        <f>IFERROR(VLOOKUP(Table1722[[#This Row],[Bukti]],'Un nOTA'!$A$4:$K$5003,10,FALSE),"")</f>
        <v/>
      </c>
      <c r="I3994" s="123" t="str">
        <f>IFERROR(VLOOKUP(Table1722[[#This Row],[Bukti]],Table13[#Data],11,FALSE),"")</f>
        <v/>
      </c>
    </row>
    <row r="3995" spans="1:9" hidden="1" x14ac:dyDescent="0.2">
      <c r="A3995" s="105" t="str">
        <f>IF(D3995=1,COUNTIF($D$10:D3995,1)," ")</f>
        <v xml:space="preserve"> </v>
      </c>
      <c r="B3995" s="106">
        <f>COPY!AR3987</f>
        <v>0</v>
      </c>
      <c r="C3995" s="107">
        <f>COPY!AC3987</f>
        <v>0</v>
      </c>
      <c r="D3995" s="107" t="str">
        <f>IF(LEN(Table1722[[#This Row],[Uraian]])&gt;2,1," ")</f>
        <v xml:space="preserve"> </v>
      </c>
      <c r="E3995" s="113" t="str">
        <f>IF(Table1722[[#This Row],[Lawan Transaksi]]="CV AGUNG KARYA",COUNTIF($I$10:I3995,"CV AGUNG KARYA")," ")</f>
        <v xml:space="preserve"> </v>
      </c>
      <c r="F3995" s="107" t="str">
        <f>IF(LEN(Table1722[[#This Row],[Uraian]])&gt;2,TRIM(RIGHT(SUBSTITUTE(TRIM(C3995)," ",REPT(" ",255)),255))," ")</f>
        <v xml:space="preserve"> </v>
      </c>
      <c r="G3995" s="110">
        <f>COPY!Z3987</f>
        <v>0</v>
      </c>
      <c r="H3995" s="111" t="str">
        <f>IFERROR(VLOOKUP(Table1722[[#This Row],[Bukti]],'Un nOTA'!$A$4:$K$5003,10,FALSE),"")</f>
        <v/>
      </c>
      <c r="I3995" s="123" t="str">
        <f>IFERROR(VLOOKUP(Table1722[[#This Row],[Bukti]],Table13[#Data],11,FALSE),"")</f>
        <v/>
      </c>
    </row>
    <row r="3996" spans="1:9" hidden="1" x14ac:dyDescent="0.2">
      <c r="A3996" s="105" t="str">
        <f>IF(D3996=1,COUNTIF($D$10:D3996,1)," ")</f>
        <v xml:space="preserve"> </v>
      </c>
      <c r="B3996" s="106">
        <f>COPY!AR3988</f>
        <v>0</v>
      </c>
      <c r="C3996" s="107">
        <f>COPY!AC3988</f>
        <v>0</v>
      </c>
      <c r="D3996" s="107" t="str">
        <f>IF(LEN(Table1722[[#This Row],[Uraian]])&gt;2,1," ")</f>
        <v xml:space="preserve"> </v>
      </c>
      <c r="E3996" s="113" t="str">
        <f>IF(Table1722[[#This Row],[Lawan Transaksi]]="CV AGUNG KARYA",COUNTIF($I$10:I3996,"CV AGUNG KARYA")," ")</f>
        <v xml:space="preserve"> </v>
      </c>
      <c r="F3996" s="107" t="str">
        <f>IF(LEN(Table1722[[#This Row],[Uraian]])&gt;2,TRIM(RIGHT(SUBSTITUTE(TRIM(C3996)," ",REPT(" ",255)),255))," ")</f>
        <v xml:space="preserve"> </v>
      </c>
      <c r="G3996" s="110">
        <f>COPY!Z3988</f>
        <v>0</v>
      </c>
      <c r="H3996" s="111" t="str">
        <f>IFERROR(VLOOKUP(Table1722[[#This Row],[Bukti]],'Un nOTA'!$A$4:$K$5003,10,FALSE),"")</f>
        <v/>
      </c>
      <c r="I3996" s="123" t="str">
        <f>IFERROR(VLOOKUP(Table1722[[#This Row],[Bukti]],Table13[#Data],11,FALSE),"")</f>
        <v/>
      </c>
    </row>
    <row r="3997" spans="1:9" hidden="1" x14ac:dyDescent="0.2">
      <c r="A3997" s="105" t="str">
        <f>IF(D3997=1,COUNTIF($D$10:D3997,1)," ")</f>
        <v xml:space="preserve"> </v>
      </c>
      <c r="B3997" s="106">
        <f>COPY!AR3989</f>
        <v>0</v>
      </c>
      <c r="C3997" s="107">
        <f>COPY!AC3989</f>
        <v>0</v>
      </c>
      <c r="D3997" s="107" t="str">
        <f>IF(LEN(Table1722[[#This Row],[Uraian]])&gt;2,1," ")</f>
        <v xml:space="preserve"> </v>
      </c>
      <c r="E3997" s="113" t="str">
        <f>IF(Table1722[[#This Row],[Lawan Transaksi]]="CV AGUNG KARYA",COUNTIF($I$10:I3997,"CV AGUNG KARYA")," ")</f>
        <v xml:space="preserve"> </v>
      </c>
      <c r="F3997" s="107" t="str">
        <f>IF(LEN(Table1722[[#This Row],[Uraian]])&gt;2,TRIM(RIGHT(SUBSTITUTE(TRIM(C3997)," ",REPT(" ",255)),255))," ")</f>
        <v xml:space="preserve"> </v>
      </c>
      <c r="G3997" s="110">
        <f>COPY!Z3989</f>
        <v>0</v>
      </c>
      <c r="H3997" s="111" t="str">
        <f>IFERROR(VLOOKUP(Table1722[[#This Row],[Bukti]],'Un nOTA'!$A$4:$K$5003,10,FALSE),"")</f>
        <v/>
      </c>
      <c r="I3997" s="123" t="str">
        <f>IFERROR(VLOOKUP(Table1722[[#This Row],[Bukti]],Table13[#Data],11,FALSE),"")</f>
        <v/>
      </c>
    </row>
    <row r="3998" spans="1:9" hidden="1" x14ac:dyDescent="0.2">
      <c r="A3998" s="105" t="str">
        <f>IF(D3998=1,COUNTIF($D$10:D3998,1)," ")</f>
        <v xml:space="preserve"> </v>
      </c>
      <c r="B3998" s="106">
        <f>COPY!AR3990</f>
        <v>0</v>
      </c>
      <c r="C3998" s="107">
        <f>COPY!AC3990</f>
        <v>0</v>
      </c>
      <c r="D3998" s="107" t="str">
        <f>IF(LEN(Table1722[[#This Row],[Uraian]])&gt;2,1," ")</f>
        <v xml:space="preserve"> </v>
      </c>
      <c r="E3998" s="113" t="str">
        <f>IF(Table1722[[#This Row],[Lawan Transaksi]]="CV AGUNG KARYA",COUNTIF($I$10:I3998,"CV AGUNG KARYA")," ")</f>
        <v xml:space="preserve"> </v>
      </c>
      <c r="F3998" s="107" t="str">
        <f>IF(LEN(Table1722[[#This Row],[Uraian]])&gt;2,TRIM(RIGHT(SUBSTITUTE(TRIM(C3998)," ",REPT(" ",255)),255))," ")</f>
        <v xml:space="preserve"> </v>
      </c>
      <c r="G3998" s="110">
        <f>COPY!Z3990</f>
        <v>0</v>
      </c>
      <c r="H3998" s="111" t="str">
        <f>IFERROR(VLOOKUP(Table1722[[#This Row],[Bukti]],'Un nOTA'!$A$4:$K$5003,10,FALSE),"")</f>
        <v/>
      </c>
      <c r="I3998" s="123" t="str">
        <f>IFERROR(VLOOKUP(Table1722[[#This Row],[Bukti]],Table13[#Data],11,FALSE),"")</f>
        <v/>
      </c>
    </row>
    <row r="3999" spans="1:9" hidden="1" x14ac:dyDescent="0.2">
      <c r="A3999" s="105" t="str">
        <f>IF(D3999=1,COUNTIF($D$10:D3999,1)," ")</f>
        <v xml:space="preserve"> </v>
      </c>
      <c r="B3999" s="106">
        <f>COPY!AR3991</f>
        <v>0</v>
      </c>
      <c r="C3999" s="107">
        <f>COPY!AC3991</f>
        <v>0</v>
      </c>
      <c r="D3999" s="107" t="str">
        <f>IF(LEN(Table1722[[#This Row],[Uraian]])&gt;2,1," ")</f>
        <v xml:space="preserve"> </v>
      </c>
      <c r="E3999" s="113" t="str">
        <f>IF(Table1722[[#This Row],[Lawan Transaksi]]="CV AGUNG KARYA",COUNTIF($I$10:I3999,"CV AGUNG KARYA")," ")</f>
        <v xml:space="preserve"> </v>
      </c>
      <c r="F3999" s="107" t="str">
        <f>IF(LEN(Table1722[[#This Row],[Uraian]])&gt;2,TRIM(RIGHT(SUBSTITUTE(TRIM(C3999)," ",REPT(" ",255)),255))," ")</f>
        <v xml:space="preserve"> </v>
      </c>
      <c r="G3999" s="110">
        <f>COPY!Z3991</f>
        <v>0</v>
      </c>
      <c r="H3999" s="111" t="str">
        <f>IFERROR(VLOOKUP(Table1722[[#This Row],[Bukti]],'Un nOTA'!$A$4:$K$5003,10,FALSE),"")</f>
        <v/>
      </c>
      <c r="I3999" s="123" t="str">
        <f>IFERROR(VLOOKUP(Table1722[[#This Row],[Bukti]],Table13[#Data],11,FALSE),"")</f>
        <v/>
      </c>
    </row>
    <row r="4000" spans="1:9" hidden="1" x14ac:dyDescent="0.2">
      <c r="A4000" s="105" t="str">
        <f>IF(D4000=1,COUNTIF($D$10:D4000,1)," ")</f>
        <v xml:space="preserve"> </v>
      </c>
      <c r="B4000" s="106">
        <f>COPY!AR3992</f>
        <v>0</v>
      </c>
      <c r="C4000" s="107">
        <f>COPY!AC3992</f>
        <v>0</v>
      </c>
      <c r="D4000" s="107" t="str">
        <f>IF(LEN(Table1722[[#This Row],[Uraian]])&gt;2,1," ")</f>
        <v xml:space="preserve"> </v>
      </c>
      <c r="E4000" s="113" t="str">
        <f>IF(Table1722[[#This Row],[Lawan Transaksi]]="CV AGUNG KARYA",COUNTIF($I$10:I4000,"CV AGUNG KARYA")," ")</f>
        <v xml:space="preserve"> </v>
      </c>
      <c r="F4000" s="107" t="str">
        <f>IF(LEN(Table1722[[#This Row],[Uraian]])&gt;2,TRIM(RIGHT(SUBSTITUTE(TRIM(C4000)," ",REPT(" ",255)),255))," ")</f>
        <v xml:space="preserve"> </v>
      </c>
      <c r="G4000" s="110">
        <f>COPY!Z3992</f>
        <v>0</v>
      </c>
      <c r="H4000" s="111" t="str">
        <f>IFERROR(VLOOKUP(Table1722[[#This Row],[Bukti]],'Un nOTA'!$A$4:$K$5003,10,FALSE),"")</f>
        <v/>
      </c>
      <c r="I4000" s="123" t="str">
        <f>IFERROR(VLOOKUP(Table1722[[#This Row],[Bukti]],Table13[#Data],11,FALSE),"")</f>
        <v/>
      </c>
    </row>
    <row r="4001" spans="1:9" hidden="1" x14ac:dyDescent="0.2">
      <c r="A4001" s="105" t="str">
        <f>IF(D4001=1,COUNTIF($D$10:D4001,1)," ")</f>
        <v xml:space="preserve"> </v>
      </c>
      <c r="B4001" s="106">
        <f>COPY!AR3993</f>
        <v>0</v>
      </c>
      <c r="C4001" s="107">
        <f>COPY!AC3993</f>
        <v>0</v>
      </c>
      <c r="D4001" s="107" t="str">
        <f>IF(LEN(Table1722[[#This Row],[Uraian]])&gt;2,1," ")</f>
        <v xml:space="preserve"> </v>
      </c>
      <c r="E4001" s="113" t="str">
        <f>IF(Table1722[[#This Row],[Lawan Transaksi]]="CV AGUNG KARYA",COUNTIF($I$10:I4001,"CV AGUNG KARYA")," ")</f>
        <v xml:space="preserve"> </v>
      </c>
      <c r="F4001" s="107" t="str">
        <f>IF(LEN(Table1722[[#This Row],[Uraian]])&gt;2,TRIM(RIGHT(SUBSTITUTE(TRIM(C4001)," ",REPT(" ",255)),255))," ")</f>
        <v xml:space="preserve"> </v>
      </c>
      <c r="G4001" s="110">
        <f>COPY!Z3993</f>
        <v>0</v>
      </c>
      <c r="H4001" s="111" t="str">
        <f>IFERROR(VLOOKUP(Table1722[[#This Row],[Bukti]],'Un nOTA'!$A$4:$K$5003,10,FALSE),"")</f>
        <v/>
      </c>
      <c r="I4001" s="123" t="str">
        <f>IFERROR(VLOOKUP(Table1722[[#This Row],[Bukti]],Table13[#Data],11,FALSE),"")</f>
        <v/>
      </c>
    </row>
    <row r="4002" spans="1:9" hidden="1" x14ac:dyDescent="0.2">
      <c r="A4002" s="105" t="str">
        <f>IF(D4002=1,COUNTIF($D$10:D4002,1)," ")</f>
        <v xml:space="preserve"> </v>
      </c>
      <c r="B4002" s="106">
        <f>COPY!AR3994</f>
        <v>0</v>
      </c>
      <c r="C4002" s="107">
        <f>COPY!AC3994</f>
        <v>0</v>
      </c>
      <c r="D4002" s="107" t="str">
        <f>IF(LEN(Table1722[[#This Row],[Uraian]])&gt;2,1," ")</f>
        <v xml:space="preserve"> </v>
      </c>
      <c r="E4002" s="113" t="str">
        <f>IF(Table1722[[#This Row],[Lawan Transaksi]]="CV AGUNG KARYA",COUNTIF($I$10:I4002,"CV AGUNG KARYA")," ")</f>
        <v xml:space="preserve"> </v>
      </c>
      <c r="F4002" s="107" t="str">
        <f>IF(LEN(Table1722[[#This Row],[Uraian]])&gt;2,TRIM(RIGHT(SUBSTITUTE(TRIM(C4002)," ",REPT(" ",255)),255))," ")</f>
        <v xml:space="preserve"> </v>
      </c>
      <c r="G4002" s="110">
        <f>COPY!Z3994</f>
        <v>0</v>
      </c>
      <c r="H4002" s="111" t="str">
        <f>IFERROR(VLOOKUP(Table1722[[#This Row],[Bukti]],'Un nOTA'!$A$4:$K$5003,10,FALSE),"")</f>
        <v/>
      </c>
      <c r="I4002" s="123" t="str">
        <f>IFERROR(VLOOKUP(Table1722[[#This Row],[Bukti]],Table13[#Data],11,FALSE),"")</f>
        <v/>
      </c>
    </row>
    <row r="4003" spans="1:9" hidden="1" x14ac:dyDescent="0.2">
      <c r="A4003" s="105" t="str">
        <f>IF(D4003=1,COUNTIF($D$10:D4003,1)," ")</f>
        <v xml:space="preserve"> </v>
      </c>
      <c r="B4003" s="106">
        <f>COPY!AR3995</f>
        <v>0</v>
      </c>
      <c r="C4003" s="107">
        <f>COPY!AC3995</f>
        <v>0</v>
      </c>
      <c r="D4003" s="107" t="str">
        <f>IF(LEN(Table1722[[#This Row],[Uraian]])&gt;2,1," ")</f>
        <v xml:space="preserve"> </v>
      </c>
      <c r="E4003" s="113" t="str">
        <f>IF(Table1722[[#This Row],[Lawan Transaksi]]="CV AGUNG KARYA",COUNTIF($I$10:I4003,"CV AGUNG KARYA")," ")</f>
        <v xml:space="preserve"> </v>
      </c>
      <c r="F4003" s="107" t="str">
        <f>IF(LEN(Table1722[[#This Row],[Uraian]])&gt;2,TRIM(RIGHT(SUBSTITUTE(TRIM(C4003)," ",REPT(" ",255)),255))," ")</f>
        <v xml:space="preserve"> </v>
      </c>
      <c r="G4003" s="110">
        <f>COPY!Z3995</f>
        <v>0</v>
      </c>
      <c r="H4003" s="111" t="str">
        <f>IFERROR(VLOOKUP(Table1722[[#This Row],[Bukti]],'Un nOTA'!$A$4:$K$5003,10,FALSE),"")</f>
        <v/>
      </c>
      <c r="I4003" s="123" t="str">
        <f>IFERROR(VLOOKUP(Table1722[[#This Row],[Bukti]],Table13[#Data],11,FALSE),"")</f>
        <v/>
      </c>
    </row>
    <row r="4004" spans="1:9" hidden="1" x14ac:dyDescent="0.2">
      <c r="A4004" s="105" t="str">
        <f>IF(D4004=1,COUNTIF($D$10:D4004,1)," ")</f>
        <v xml:space="preserve"> </v>
      </c>
      <c r="B4004" s="106">
        <f>COPY!AR3996</f>
        <v>0</v>
      </c>
      <c r="C4004" s="107">
        <f>COPY!AC3996</f>
        <v>0</v>
      </c>
      <c r="D4004" s="107" t="str">
        <f>IF(LEN(Table1722[[#This Row],[Uraian]])&gt;2,1," ")</f>
        <v xml:space="preserve"> </v>
      </c>
      <c r="E4004" s="113" t="str">
        <f>IF(Table1722[[#This Row],[Lawan Transaksi]]="CV AGUNG KARYA",COUNTIF($I$10:I4004,"CV AGUNG KARYA")," ")</f>
        <v xml:space="preserve"> </v>
      </c>
      <c r="F4004" s="107" t="str">
        <f>IF(LEN(Table1722[[#This Row],[Uraian]])&gt;2,TRIM(RIGHT(SUBSTITUTE(TRIM(C4004)," ",REPT(" ",255)),255))," ")</f>
        <v xml:space="preserve"> </v>
      </c>
      <c r="G4004" s="110">
        <f>COPY!Z3996</f>
        <v>0</v>
      </c>
      <c r="H4004" s="111" t="str">
        <f>IFERROR(VLOOKUP(Table1722[[#This Row],[Bukti]],'Un nOTA'!$A$4:$K$5003,10,FALSE),"")</f>
        <v/>
      </c>
      <c r="I4004" s="123" t="str">
        <f>IFERROR(VLOOKUP(Table1722[[#This Row],[Bukti]],Table13[#Data],11,FALSE),"")</f>
        <v/>
      </c>
    </row>
    <row r="4005" spans="1:9" hidden="1" x14ac:dyDescent="0.2">
      <c r="A4005" s="105" t="str">
        <f>IF(D4005=1,COUNTIF($D$10:D4005,1)," ")</f>
        <v xml:space="preserve"> </v>
      </c>
      <c r="B4005" s="106">
        <f>COPY!AR3997</f>
        <v>0</v>
      </c>
      <c r="C4005" s="107">
        <f>COPY!AC3997</f>
        <v>0</v>
      </c>
      <c r="D4005" s="107" t="str">
        <f>IF(LEN(Table1722[[#This Row],[Uraian]])&gt;2,1," ")</f>
        <v xml:space="preserve"> </v>
      </c>
      <c r="E4005" s="113" t="str">
        <f>IF(Table1722[[#This Row],[Lawan Transaksi]]="CV AGUNG KARYA",COUNTIF($I$10:I4005,"CV AGUNG KARYA")," ")</f>
        <v xml:space="preserve"> </v>
      </c>
      <c r="F4005" s="107" t="str">
        <f>IF(LEN(Table1722[[#This Row],[Uraian]])&gt;2,TRIM(RIGHT(SUBSTITUTE(TRIM(C4005)," ",REPT(" ",255)),255))," ")</f>
        <v xml:space="preserve"> </v>
      </c>
      <c r="G4005" s="110">
        <f>COPY!Z3997</f>
        <v>0</v>
      </c>
      <c r="H4005" s="111" t="str">
        <f>IFERROR(VLOOKUP(Table1722[[#This Row],[Bukti]],'Un nOTA'!$A$4:$K$5003,10,FALSE),"")</f>
        <v/>
      </c>
      <c r="I4005" s="123" t="str">
        <f>IFERROR(VLOOKUP(Table1722[[#This Row],[Bukti]],Table13[#Data],11,FALSE),"")</f>
        <v/>
      </c>
    </row>
    <row r="4006" spans="1:9" hidden="1" x14ac:dyDescent="0.2">
      <c r="A4006" s="105" t="str">
        <f>IF(D4006=1,COUNTIF($D$10:D4006,1)," ")</f>
        <v xml:space="preserve"> </v>
      </c>
      <c r="B4006" s="106">
        <f>COPY!AR3998</f>
        <v>0</v>
      </c>
      <c r="C4006" s="107">
        <f>COPY!AC3998</f>
        <v>0</v>
      </c>
      <c r="D4006" s="107" t="str">
        <f>IF(LEN(Table1722[[#This Row],[Uraian]])&gt;2,1," ")</f>
        <v xml:space="preserve"> </v>
      </c>
      <c r="E4006" s="113" t="str">
        <f>IF(Table1722[[#This Row],[Lawan Transaksi]]="CV AGUNG KARYA",COUNTIF($I$10:I4006,"CV AGUNG KARYA")," ")</f>
        <v xml:space="preserve"> </v>
      </c>
      <c r="F4006" s="107" t="str">
        <f>IF(LEN(Table1722[[#This Row],[Uraian]])&gt;2,TRIM(RIGHT(SUBSTITUTE(TRIM(C4006)," ",REPT(" ",255)),255))," ")</f>
        <v xml:space="preserve"> </v>
      </c>
      <c r="G4006" s="110">
        <f>COPY!Z3998</f>
        <v>0</v>
      </c>
      <c r="H4006" s="111" t="str">
        <f>IFERROR(VLOOKUP(Table1722[[#This Row],[Bukti]],'Un nOTA'!$A$4:$K$5003,10,FALSE),"")</f>
        <v/>
      </c>
      <c r="I4006" s="123" t="str">
        <f>IFERROR(VLOOKUP(Table1722[[#This Row],[Bukti]],Table13[#Data],11,FALSE),"")</f>
        <v/>
      </c>
    </row>
    <row r="4007" spans="1:9" hidden="1" x14ac:dyDescent="0.2">
      <c r="A4007" s="105" t="str">
        <f>IF(D4007=1,COUNTIF($D$10:D4007,1)," ")</f>
        <v xml:space="preserve"> </v>
      </c>
      <c r="B4007" s="106">
        <f>COPY!AR3999</f>
        <v>0</v>
      </c>
      <c r="C4007" s="107">
        <f>COPY!AC3999</f>
        <v>0</v>
      </c>
      <c r="D4007" s="107" t="str">
        <f>IF(LEN(Table1722[[#This Row],[Uraian]])&gt;2,1," ")</f>
        <v xml:space="preserve"> </v>
      </c>
      <c r="E4007" s="113" t="str">
        <f>IF(Table1722[[#This Row],[Lawan Transaksi]]="CV AGUNG KARYA",COUNTIF($I$10:I4007,"CV AGUNG KARYA")," ")</f>
        <v xml:space="preserve"> </v>
      </c>
      <c r="F4007" s="107" t="str">
        <f>IF(LEN(Table1722[[#This Row],[Uraian]])&gt;2,TRIM(RIGHT(SUBSTITUTE(TRIM(C4007)," ",REPT(" ",255)),255))," ")</f>
        <v xml:space="preserve"> </v>
      </c>
      <c r="G4007" s="110">
        <f>COPY!Z3999</f>
        <v>0</v>
      </c>
      <c r="H4007" s="111" t="str">
        <f>IFERROR(VLOOKUP(Table1722[[#This Row],[Bukti]],'Un nOTA'!$A$4:$K$5003,10,FALSE),"")</f>
        <v/>
      </c>
      <c r="I4007" s="123" t="str">
        <f>IFERROR(VLOOKUP(Table1722[[#This Row],[Bukti]],Table13[#Data],11,FALSE),"")</f>
        <v/>
      </c>
    </row>
    <row r="4008" spans="1:9" hidden="1" x14ac:dyDescent="0.2">
      <c r="A4008" s="105" t="str">
        <f>IF(D4008=1,COUNTIF($D$10:D4008,1)," ")</f>
        <v xml:space="preserve"> </v>
      </c>
      <c r="B4008" s="106">
        <f>COPY!AR4000</f>
        <v>0</v>
      </c>
      <c r="C4008" s="107">
        <f>COPY!AC4000</f>
        <v>0</v>
      </c>
      <c r="D4008" s="107" t="str">
        <f>IF(LEN(Table1722[[#This Row],[Uraian]])&gt;2,1," ")</f>
        <v xml:space="preserve"> </v>
      </c>
      <c r="E4008" s="113" t="str">
        <f>IF(Table1722[[#This Row],[Lawan Transaksi]]="CV AGUNG KARYA",COUNTIF($I$10:I4008,"CV AGUNG KARYA")," ")</f>
        <v xml:space="preserve"> </v>
      </c>
      <c r="F4008" s="107" t="str">
        <f>IF(LEN(Table1722[[#This Row],[Uraian]])&gt;2,TRIM(RIGHT(SUBSTITUTE(TRIM(C4008)," ",REPT(" ",255)),255))," ")</f>
        <v xml:space="preserve"> </v>
      </c>
      <c r="G4008" s="110">
        <f>COPY!Z4000</f>
        <v>0</v>
      </c>
      <c r="H4008" s="111" t="str">
        <f>IFERROR(VLOOKUP(Table1722[[#This Row],[Bukti]],'Un nOTA'!$A$4:$K$5003,10,FALSE),"")</f>
        <v/>
      </c>
      <c r="I4008" s="123" t="str">
        <f>IFERROR(VLOOKUP(Table1722[[#This Row],[Bukti]],Table13[#Data],11,FALSE),"")</f>
        <v/>
      </c>
    </row>
    <row r="4009" spans="1:9" hidden="1" x14ac:dyDescent="0.2">
      <c r="A4009" s="105" t="str">
        <f>IF(D4009=1,COUNTIF($D$10:D4009,1)," ")</f>
        <v xml:space="preserve"> </v>
      </c>
      <c r="B4009" s="106">
        <f>COPY!AR4001</f>
        <v>0</v>
      </c>
      <c r="C4009" s="107">
        <f>COPY!AC4001</f>
        <v>0</v>
      </c>
      <c r="D4009" s="107" t="str">
        <f>IF(LEN(Table1722[[#This Row],[Uraian]])&gt;2,1," ")</f>
        <v xml:space="preserve"> </v>
      </c>
      <c r="E4009" s="113" t="str">
        <f>IF(Table1722[[#This Row],[Lawan Transaksi]]="CV AGUNG KARYA",COUNTIF($I$10:I4009,"CV AGUNG KARYA")," ")</f>
        <v xml:space="preserve"> </v>
      </c>
      <c r="F4009" s="107" t="str">
        <f>IF(LEN(Table1722[[#This Row],[Uraian]])&gt;2,TRIM(RIGHT(SUBSTITUTE(TRIM(C4009)," ",REPT(" ",255)),255))," ")</f>
        <v xml:space="preserve"> </v>
      </c>
      <c r="G4009" s="110">
        <f>COPY!Z4001</f>
        <v>0</v>
      </c>
      <c r="H4009" s="111" t="str">
        <f>IFERROR(VLOOKUP(Table1722[[#This Row],[Bukti]],'Un nOTA'!$A$4:$K$5003,10,FALSE),"")</f>
        <v/>
      </c>
      <c r="I4009" s="123" t="str">
        <f>IFERROR(VLOOKUP(Table1722[[#This Row],[Bukti]],Table13[#Data],11,FALSE),"")</f>
        <v/>
      </c>
    </row>
    <row r="4010" spans="1:9" hidden="1" x14ac:dyDescent="0.2">
      <c r="A4010" s="105" t="str">
        <f>IF(D4010=1,COUNTIF($D$10:D4010,1)," ")</f>
        <v xml:space="preserve"> </v>
      </c>
      <c r="B4010" s="106">
        <f>COPY!AR4002</f>
        <v>0</v>
      </c>
      <c r="C4010" s="107">
        <f>COPY!AC4002</f>
        <v>0</v>
      </c>
      <c r="D4010" s="107" t="str">
        <f>IF(LEN(Table1722[[#This Row],[Uraian]])&gt;2,1," ")</f>
        <v xml:space="preserve"> </v>
      </c>
      <c r="E4010" s="113" t="str">
        <f>IF(Table1722[[#This Row],[Lawan Transaksi]]="CV AGUNG KARYA",COUNTIF($I$10:I4010,"CV AGUNG KARYA")," ")</f>
        <v xml:space="preserve"> </v>
      </c>
      <c r="F4010" s="107" t="str">
        <f>IF(LEN(Table1722[[#This Row],[Uraian]])&gt;2,TRIM(RIGHT(SUBSTITUTE(TRIM(C4010)," ",REPT(" ",255)),255))," ")</f>
        <v xml:space="preserve"> </v>
      </c>
      <c r="G4010" s="110">
        <f>COPY!Z4002</f>
        <v>0</v>
      </c>
      <c r="H4010" s="111" t="str">
        <f>IFERROR(VLOOKUP(Table1722[[#This Row],[Bukti]],'Un nOTA'!$A$4:$K$5003,10,FALSE),"")</f>
        <v/>
      </c>
      <c r="I4010" s="123" t="str">
        <f>IFERROR(VLOOKUP(Table1722[[#This Row],[Bukti]],Table13[#Data],11,FALSE),"")</f>
        <v/>
      </c>
    </row>
    <row r="4011" spans="1:9" hidden="1" x14ac:dyDescent="0.2">
      <c r="A4011" s="105" t="str">
        <f>IF(D4011=1,COUNTIF($D$10:D4011,1)," ")</f>
        <v xml:space="preserve"> </v>
      </c>
      <c r="B4011" s="106">
        <f>COPY!AR4003</f>
        <v>0</v>
      </c>
      <c r="C4011" s="107">
        <f>COPY!AC4003</f>
        <v>0</v>
      </c>
      <c r="D4011" s="107" t="str">
        <f>IF(LEN(Table1722[[#This Row],[Uraian]])&gt;2,1," ")</f>
        <v xml:space="preserve"> </v>
      </c>
      <c r="E4011" s="113" t="str">
        <f>IF(Table1722[[#This Row],[Lawan Transaksi]]="CV AGUNG KARYA",COUNTIF($I$10:I4011,"CV AGUNG KARYA")," ")</f>
        <v xml:space="preserve"> </v>
      </c>
      <c r="F4011" s="107" t="str">
        <f>IF(LEN(Table1722[[#This Row],[Uraian]])&gt;2,TRIM(RIGHT(SUBSTITUTE(TRIM(C4011)," ",REPT(" ",255)),255))," ")</f>
        <v xml:space="preserve"> </v>
      </c>
      <c r="G4011" s="110">
        <f>COPY!Z4003</f>
        <v>0</v>
      </c>
      <c r="H4011" s="111" t="str">
        <f>IFERROR(VLOOKUP(Table1722[[#This Row],[Bukti]],'Un nOTA'!$A$4:$K$5003,10,FALSE),"")</f>
        <v/>
      </c>
      <c r="I4011" s="123" t="str">
        <f>IFERROR(VLOOKUP(Table1722[[#This Row],[Bukti]],Table13[#Data],11,FALSE),"")</f>
        <v/>
      </c>
    </row>
    <row r="4012" spans="1:9" hidden="1" x14ac:dyDescent="0.2">
      <c r="A4012" s="105" t="str">
        <f>IF(D4012=1,COUNTIF($D$10:D4012,1)," ")</f>
        <v xml:space="preserve"> </v>
      </c>
      <c r="B4012" s="106">
        <f>COPY!AR4004</f>
        <v>0</v>
      </c>
      <c r="C4012" s="107">
        <f>COPY!AC4004</f>
        <v>0</v>
      </c>
      <c r="D4012" s="107" t="str">
        <f>IF(LEN(Table1722[[#This Row],[Uraian]])&gt;2,1," ")</f>
        <v xml:space="preserve"> </v>
      </c>
      <c r="E4012" s="113" t="str">
        <f>IF(Table1722[[#This Row],[Lawan Transaksi]]="CV AGUNG KARYA",COUNTIF($I$10:I4012,"CV AGUNG KARYA")," ")</f>
        <v xml:space="preserve"> </v>
      </c>
      <c r="F4012" s="107" t="str">
        <f>IF(LEN(Table1722[[#This Row],[Uraian]])&gt;2,TRIM(RIGHT(SUBSTITUTE(TRIM(C4012)," ",REPT(" ",255)),255))," ")</f>
        <v xml:space="preserve"> </v>
      </c>
      <c r="G4012" s="110">
        <f>COPY!Z4004</f>
        <v>0</v>
      </c>
      <c r="H4012" s="111" t="str">
        <f>IFERROR(VLOOKUP(Table1722[[#This Row],[Bukti]],'Un nOTA'!$A$4:$K$5003,10,FALSE),"")</f>
        <v/>
      </c>
      <c r="I4012" s="123" t="str">
        <f>IFERROR(VLOOKUP(Table1722[[#This Row],[Bukti]],Table13[#Data],11,FALSE),"")</f>
        <v/>
      </c>
    </row>
    <row r="4013" spans="1:9" hidden="1" x14ac:dyDescent="0.2">
      <c r="A4013" s="105" t="str">
        <f>IF(D4013=1,COUNTIF($D$10:D4013,1)," ")</f>
        <v xml:space="preserve"> </v>
      </c>
      <c r="B4013" s="106">
        <f>COPY!AR4005</f>
        <v>0</v>
      </c>
      <c r="C4013" s="107">
        <f>COPY!AC4005</f>
        <v>0</v>
      </c>
      <c r="D4013" s="107" t="str">
        <f>IF(LEN(Table1722[[#This Row],[Uraian]])&gt;2,1," ")</f>
        <v xml:space="preserve"> </v>
      </c>
      <c r="E4013" s="113" t="str">
        <f>IF(Table1722[[#This Row],[Lawan Transaksi]]="CV AGUNG KARYA",COUNTIF($I$10:I4013,"CV AGUNG KARYA")," ")</f>
        <v xml:space="preserve"> </v>
      </c>
      <c r="F4013" s="107" t="str">
        <f>IF(LEN(Table1722[[#This Row],[Uraian]])&gt;2,TRIM(RIGHT(SUBSTITUTE(TRIM(C4013)," ",REPT(" ",255)),255))," ")</f>
        <v xml:space="preserve"> </v>
      </c>
      <c r="G4013" s="110">
        <f>COPY!Z4005</f>
        <v>0</v>
      </c>
      <c r="H4013" s="111" t="str">
        <f>IFERROR(VLOOKUP(Table1722[[#This Row],[Bukti]],'Un nOTA'!$A$4:$K$5003,10,FALSE),"")</f>
        <v/>
      </c>
      <c r="I4013" s="123" t="str">
        <f>IFERROR(VLOOKUP(Table1722[[#This Row],[Bukti]],Table13[#Data],11,FALSE),"")</f>
        <v/>
      </c>
    </row>
    <row r="4014" spans="1:9" hidden="1" x14ac:dyDescent="0.2">
      <c r="A4014" s="105" t="str">
        <f>IF(D4014=1,COUNTIF($D$10:D4014,1)," ")</f>
        <v xml:space="preserve"> </v>
      </c>
      <c r="B4014" s="106">
        <f>COPY!AR4006</f>
        <v>0</v>
      </c>
      <c r="C4014" s="107">
        <f>COPY!AC4006</f>
        <v>0</v>
      </c>
      <c r="D4014" s="107" t="str">
        <f>IF(LEN(Table1722[[#This Row],[Uraian]])&gt;2,1," ")</f>
        <v xml:space="preserve"> </v>
      </c>
      <c r="E4014" s="113" t="str">
        <f>IF(Table1722[[#This Row],[Lawan Transaksi]]="CV AGUNG KARYA",COUNTIF($I$10:I4014,"CV AGUNG KARYA")," ")</f>
        <v xml:space="preserve"> </v>
      </c>
      <c r="F4014" s="107" t="str">
        <f>IF(LEN(Table1722[[#This Row],[Uraian]])&gt;2,TRIM(RIGHT(SUBSTITUTE(TRIM(C4014)," ",REPT(" ",255)),255))," ")</f>
        <v xml:space="preserve"> </v>
      </c>
      <c r="G4014" s="110">
        <f>COPY!Z4006</f>
        <v>0</v>
      </c>
      <c r="H4014" s="111" t="str">
        <f>IFERROR(VLOOKUP(Table1722[[#This Row],[Bukti]],'Un nOTA'!$A$4:$K$5003,10,FALSE),"")</f>
        <v/>
      </c>
      <c r="I4014" s="123" t="str">
        <f>IFERROR(VLOOKUP(Table1722[[#This Row],[Bukti]],Table13[#Data],11,FALSE),"")</f>
        <v/>
      </c>
    </row>
    <row r="4015" spans="1:9" hidden="1" x14ac:dyDescent="0.2">
      <c r="A4015" s="105" t="str">
        <f>IF(D4015=1,COUNTIF($D$10:D4015,1)," ")</f>
        <v xml:space="preserve"> </v>
      </c>
      <c r="B4015" s="106">
        <f>COPY!AR4007</f>
        <v>0</v>
      </c>
      <c r="C4015" s="107">
        <f>COPY!AC4007</f>
        <v>0</v>
      </c>
      <c r="D4015" s="107" t="str">
        <f>IF(LEN(Table1722[[#This Row],[Uraian]])&gt;2,1," ")</f>
        <v xml:space="preserve"> </v>
      </c>
      <c r="E4015" s="113" t="str">
        <f>IF(Table1722[[#This Row],[Lawan Transaksi]]="CV AGUNG KARYA",COUNTIF($I$10:I4015,"CV AGUNG KARYA")," ")</f>
        <v xml:space="preserve"> </v>
      </c>
      <c r="F4015" s="107" t="str">
        <f>IF(LEN(Table1722[[#This Row],[Uraian]])&gt;2,TRIM(RIGHT(SUBSTITUTE(TRIM(C4015)," ",REPT(" ",255)),255))," ")</f>
        <v xml:space="preserve"> </v>
      </c>
      <c r="G4015" s="110">
        <f>COPY!Z4007</f>
        <v>0</v>
      </c>
      <c r="H4015" s="111" t="str">
        <f>IFERROR(VLOOKUP(Table1722[[#This Row],[Bukti]],'Un nOTA'!$A$4:$K$5003,10,FALSE),"")</f>
        <v/>
      </c>
      <c r="I4015" s="123" t="str">
        <f>IFERROR(VLOOKUP(Table1722[[#This Row],[Bukti]],Table13[#Data],11,FALSE),"")</f>
        <v/>
      </c>
    </row>
    <row r="4016" spans="1:9" hidden="1" x14ac:dyDescent="0.2">
      <c r="A4016" s="105" t="str">
        <f>IF(D4016=1,COUNTIF($D$10:D4016,1)," ")</f>
        <v xml:space="preserve"> </v>
      </c>
      <c r="B4016" s="106">
        <f>COPY!AR4008</f>
        <v>0</v>
      </c>
      <c r="C4016" s="107">
        <f>COPY!AC4008</f>
        <v>0</v>
      </c>
      <c r="D4016" s="107" t="str">
        <f>IF(LEN(Table1722[[#This Row],[Uraian]])&gt;2,1," ")</f>
        <v xml:space="preserve"> </v>
      </c>
      <c r="E4016" s="113" t="str">
        <f>IF(Table1722[[#This Row],[Lawan Transaksi]]="CV AGUNG KARYA",COUNTIF($I$10:I4016,"CV AGUNG KARYA")," ")</f>
        <v xml:space="preserve"> </v>
      </c>
      <c r="F4016" s="107" t="str">
        <f>IF(LEN(Table1722[[#This Row],[Uraian]])&gt;2,TRIM(RIGHT(SUBSTITUTE(TRIM(C4016)," ",REPT(" ",255)),255))," ")</f>
        <v xml:space="preserve"> </v>
      </c>
      <c r="G4016" s="110">
        <f>COPY!Z4008</f>
        <v>0</v>
      </c>
      <c r="H4016" s="111" t="str">
        <f>IFERROR(VLOOKUP(Table1722[[#This Row],[Bukti]],'Un nOTA'!$A$4:$K$5003,10,FALSE),"")</f>
        <v/>
      </c>
      <c r="I4016" s="123" t="str">
        <f>IFERROR(VLOOKUP(Table1722[[#This Row],[Bukti]],Table13[#Data],11,FALSE),"")</f>
        <v/>
      </c>
    </row>
    <row r="4017" spans="1:9" hidden="1" x14ac:dyDescent="0.2">
      <c r="A4017" s="105" t="str">
        <f>IF(D4017=1,COUNTIF($D$10:D4017,1)," ")</f>
        <v xml:space="preserve"> </v>
      </c>
      <c r="B4017" s="106">
        <f>COPY!AR4009</f>
        <v>0</v>
      </c>
      <c r="C4017" s="107">
        <f>COPY!AC4009</f>
        <v>0</v>
      </c>
      <c r="D4017" s="107" t="str">
        <f>IF(LEN(Table1722[[#This Row],[Uraian]])&gt;2,1," ")</f>
        <v xml:space="preserve"> </v>
      </c>
      <c r="E4017" s="113" t="str">
        <f>IF(Table1722[[#This Row],[Lawan Transaksi]]="CV AGUNG KARYA",COUNTIF($I$10:I4017,"CV AGUNG KARYA")," ")</f>
        <v xml:space="preserve"> </v>
      </c>
      <c r="F4017" s="107" t="str">
        <f>IF(LEN(Table1722[[#This Row],[Uraian]])&gt;2,TRIM(RIGHT(SUBSTITUTE(TRIM(C4017)," ",REPT(" ",255)),255))," ")</f>
        <v xml:space="preserve"> </v>
      </c>
      <c r="G4017" s="110">
        <f>COPY!Z4009</f>
        <v>0</v>
      </c>
      <c r="H4017" s="111" t="str">
        <f>IFERROR(VLOOKUP(Table1722[[#This Row],[Bukti]],'Un nOTA'!$A$4:$K$5003,10,FALSE),"")</f>
        <v/>
      </c>
      <c r="I4017" s="123" t="str">
        <f>IFERROR(VLOOKUP(Table1722[[#This Row],[Bukti]],Table13[#Data],11,FALSE),"")</f>
        <v/>
      </c>
    </row>
    <row r="4018" spans="1:9" hidden="1" x14ac:dyDescent="0.2">
      <c r="A4018" s="105" t="str">
        <f>IF(D4018=1,COUNTIF($D$10:D4018,1)," ")</f>
        <v xml:space="preserve"> </v>
      </c>
      <c r="B4018" s="106">
        <f>COPY!AR4010</f>
        <v>0</v>
      </c>
      <c r="C4018" s="107">
        <f>COPY!AC4010</f>
        <v>0</v>
      </c>
      <c r="D4018" s="107" t="str">
        <f>IF(LEN(Table1722[[#This Row],[Uraian]])&gt;2,1," ")</f>
        <v xml:space="preserve"> </v>
      </c>
      <c r="E4018" s="113" t="str">
        <f>IF(Table1722[[#This Row],[Lawan Transaksi]]="CV AGUNG KARYA",COUNTIF($I$10:I4018,"CV AGUNG KARYA")," ")</f>
        <v xml:space="preserve"> </v>
      </c>
      <c r="F4018" s="107" t="str">
        <f>IF(LEN(Table1722[[#This Row],[Uraian]])&gt;2,TRIM(RIGHT(SUBSTITUTE(TRIM(C4018)," ",REPT(" ",255)),255))," ")</f>
        <v xml:space="preserve"> </v>
      </c>
      <c r="G4018" s="110">
        <f>COPY!Z4010</f>
        <v>0</v>
      </c>
      <c r="H4018" s="111" t="str">
        <f>IFERROR(VLOOKUP(Table1722[[#This Row],[Bukti]],'Un nOTA'!$A$4:$K$5003,10,FALSE),"")</f>
        <v/>
      </c>
      <c r="I4018" s="123" t="str">
        <f>IFERROR(VLOOKUP(Table1722[[#This Row],[Bukti]],Table13[#Data],11,FALSE),"")</f>
        <v/>
      </c>
    </row>
    <row r="4019" spans="1:9" hidden="1" x14ac:dyDescent="0.2">
      <c r="A4019" s="105" t="str">
        <f>IF(D4019=1,COUNTIF($D$10:D4019,1)," ")</f>
        <v xml:space="preserve"> </v>
      </c>
      <c r="B4019" s="106">
        <f>COPY!AR4011</f>
        <v>0</v>
      </c>
      <c r="C4019" s="107">
        <f>COPY!AC4011</f>
        <v>0</v>
      </c>
      <c r="D4019" s="107" t="str">
        <f>IF(LEN(Table1722[[#This Row],[Uraian]])&gt;2,1," ")</f>
        <v xml:space="preserve"> </v>
      </c>
      <c r="E4019" s="113" t="str">
        <f>IF(Table1722[[#This Row],[Lawan Transaksi]]="CV AGUNG KARYA",COUNTIF($I$10:I4019,"CV AGUNG KARYA")," ")</f>
        <v xml:space="preserve"> </v>
      </c>
      <c r="F4019" s="107" t="str">
        <f>IF(LEN(Table1722[[#This Row],[Uraian]])&gt;2,TRIM(RIGHT(SUBSTITUTE(TRIM(C4019)," ",REPT(" ",255)),255))," ")</f>
        <v xml:space="preserve"> </v>
      </c>
      <c r="G4019" s="110">
        <f>COPY!Z4011</f>
        <v>0</v>
      </c>
      <c r="H4019" s="111" t="str">
        <f>IFERROR(VLOOKUP(Table1722[[#This Row],[Bukti]],'Un nOTA'!$A$4:$K$5003,10,FALSE),"")</f>
        <v/>
      </c>
      <c r="I4019" s="123" t="str">
        <f>IFERROR(VLOOKUP(Table1722[[#This Row],[Bukti]],Table13[#Data],11,FALSE),"")</f>
        <v/>
      </c>
    </row>
    <row r="4020" spans="1:9" hidden="1" x14ac:dyDescent="0.2">
      <c r="A4020" s="105" t="str">
        <f>IF(D4020=1,COUNTIF($D$10:D4020,1)," ")</f>
        <v xml:space="preserve"> </v>
      </c>
      <c r="B4020" s="106">
        <f>COPY!AR4012</f>
        <v>0</v>
      </c>
      <c r="C4020" s="107">
        <f>COPY!AC4012</f>
        <v>0</v>
      </c>
      <c r="D4020" s="107" t="str">
        <f>IF(LEN(Table1722[[#This Row],[Uraian]])&gt;2,1," ")</f>
        <v xml:space="preserve"> </v>
      </c>
      <c r="E4020" s="113" t="str">
        <f>IF(Table1722[[#This Row],[Lawan Transaksi]]="CV AGUNG KARYA",COUNTIF($I$10:I4020,"CV AGUNG KARYA")," ")</f>
        <v xml:space="preserve"> </v>
      </c>
      <c r="F4020" s="107" t="str">
        <f>IF(LEN(Table1722[[#This Row],[Uraian]])&gt;2,TRIM(RIGHT(SUBSTITUTE(TRIM(C4020)," ",REPT(" ",255)),255))," ")</f>
        <v xml:space="preserve"> </v>
      </c>
      <c r="G4020" s="110">
        <f>COPY!Z4012</f>
        <v>0</v>
      </c>
      <c r="H4020" s="111" t="str">
        <f>IFERROR(VLOOKUP(Table1722[[#This Row],[Bukti]],'Un nOTA'!$A$4:$K$5003,10,FALSE),"")</f>
        <v/>
      </c>
      <c r="I4020" s="123" t="str">
        <f>IFERROR(VLOOKUP(Table1722[[#This Row],[Bukti]],Table13[#Data],11,FALSE),"")</f>
        <v/>
      </c>
    </row>
    <row r="4021" spans="1:9" hidden="1" x14ac:dyDescent="0.2">
      <c r="A4021" s="105" t="str">
        <f>IF(D4021=1,COUNTIF($D$10:D4021,1)," ")</f>
        <v xml:space="preserve"> </v>
      </c>
      <c r="B4021" s="106">
        <f>COPY!AR4013</f>
        <v>0</v>
      </c>
      <c r="C4021" s="107">
        <f>COPY!AC4013</f>
        <v>0</v>
      </c>
      <c r="D4021" s="107" t="str">
        <f>IF(LEN(Table1722[[#This Row],[Uraian]])&gt;2,1," ")</f>
        <v xml:space="preserve"> </v>
      </c>
      <c r="E4021" s="113" t="str">
        <f>IF(Table1722[[#This Row],[Lawan Transaksi]]="CV AGUNG KARYA",COUNTIF($I$10:I4021,"CV AGUNG KARYA")," ")</f>
        <v xml:space="preserve"> </v>
      </c>
      <c r="F4021" s="107" t="str">
        <f>IF(LEN(Table1722[[#This Row],[Uraian]])&gt;2,TRIM(RIGHT(SUBSTITUTE(TRIM(C4021)," ",REPT(" ",255)),255))," ")</f>
        <v xml:space="preserve"> </v>
      </c>
      <c r="G4021" s="110">
        <f>COPY!Z4013</f>
        <v>0</v>
      </c>
      <c r="H4021" s="111" t="str">
        <f>IFERROR(VLOOKUP(Table1722[[#This Row],[Bukti]],'Un nOTA'!$A$4:$K$5003,10,FALSE),"")</f>
        <v/>
      </c>
      <c r="I4021" s="123" t="str">
        <f>IFERROR(VLOOKUP(Table1722[[#This Row],[Bukti]],Table13[#Data],11,FALSE),"")</f>
        <v/>
      </c>
    </row>
    <row r="4022" spans="1:9" hidden="1" x14ac:dyDescent="0.2">
      <c r="A4022" s="105" t="str">
        <f>IF(D4022=1,COUNTIF($D$10:D4022,1)," ")</f>
        <v xml:space="preserve"> </v>
      </c>
      <c r="B4022" s="106">
        <f>COPY!AR4014</f>
        <v>0</v>
      </c>
      <c r="C4022" s="107">
        <f>COPY!AC4014</f>
        <v>0</v>
      </c>
      <c r="D4022" s="107" t="str">
        <f>IF(LEN(Table1722[[#This Row],[Uraian]])&gt;2,1," ")</f>
        <v xml:space="preserve"> </v>
      </c>
      <c r="E4022" s="113" t="str">
        <f>IF(Table1722[[#This Row],[Lawan Transaksi]]="CV AGUNG KARYA",COUNTIF($I$10:I4022,"CV AGUNG KARYA")," ")</f>
        <v xml:space="preserve"> </v>
      </c>
      <c r="F4022" s="107" t="str">
        <f>IF(LEN(Table1722[[#This Row],[Uraian]])&gt;2,TRIM(RIGHT(SUBSTITUTE(TRIM(C4022)," ",REPT(" ",255)),255))," ")</f>
        <v xml:space="preserve"> </v>
      </c>
      <c r="G4022" s="110">
        <f>COPY!Z4014</f>
        <v>0</v>
      </c>
      <c r="H4022" s="111" t="str">
        <f>IFERROR(VLOOKUP(Table1722[[#This Row],[Bukti]],'Un nOTA'!$A$4:$K$5003,10,FALSE),"")</f>
        <v/>
      </c>
      <c r="I4022" s="123" t="str">
        <f>IFERROR(VLOOKUP(Table1722[[#This Row],[Bukti]],Table13[#Data],11,FALSE),"")</f>
        <v/>
      </c>
    </row>
    <row r="4023" spans="1:9" hidden="1" x14ac:dyDescent="0.2">
      <c r="A4023" s="105" t="str">
        <f>IF(D4023=1,COUNTIF($D$10:D4023,1)," ")</f>
        <v xml:space="preserve"> </v>
      </c>
      <c r="B4023" s="106">
        <f>COPY!AR4015</f>
        <v>0</v>
      </c>
      <c r="C4023" s="107">
        <f>COPY!AC4015</f>
        <v>0</v>
      </c>
      <c r="D4023" s="107" t="str">
        <f>IF(LEN(Table1722[[#This Row],[Uraian]])&gt;2,1," ")</f>
        <v xml:space="preserve"> </v>
      </c>
      <c r="E4023" s="113" t="str">
        <f>IF(Table1722[[#This Row],[Lawan Transaksi]]="CV AGUNG KARYA",COUNTIF($I$10:I4023,"CV AGUNG KARYA")," ")</f>
        <v xml:space="preserve"> </v>
      </c>
      <c r="F4023" s="107" t="str">
        <f>IF(LEN(Table1722[[#This Row],[Uraian]])&gt;2,TRIM(RIGHT(SUBSTITUTE(TRIM(C4023)," ",REPT(" ",255)),255))," ")</f>
        <v xml:space="preserve"> </v>
      </c>
      <c r="G4023" s="110">
        <f>COPY!Z4015</f>
        <v>0</v>
      </c>
      <c r="H4023" s="111" t="str">
        <f>IFERROR(VLOOKUP(Table1722[[#This Row],[Bukti]],'Un nOTA'!$A$4:$K$5003,10,FALSE),"")</f>
        <v/>
      </c>
      <c r="I4023" s="123" t="str">
        <f>IFERROR(VLOOKUP(Table1722[[#This Row],[Bukti]],Table13[#Data],11,FALSE),"")</f>
        <v/>
      </c>
    </row>
    <row r="4024" spans="1:9" hidden="1" x14ac:dyDescent="0.2">
      <c r="A4024" s="105" t="str">
        <f>IF(D4024=1,COUNTIF($D$10:D4024,1)," ")</f>
        <v xml:space="preserve"> </v>
      </c>
      <c r="B4024" s="106">
        <f>COPY!AR4016</f>
        <v>0</v>
      </c>
      <c r="C4024" s="107">
        <f>COPY!AC4016</f>
        <v>0</v>
      </c>
      <c r="D4024" s="107" t="str">
        <f>IF(LEN(Table1722[[#This Row],[Uraian]])&gt;2,1," ")</f>
        <v xml:space="preserve"> </v>
      </c>
      <c r="E4024" s="113" t="str">
        <f>IF(Table1722[[#This Row],[Lawan Transaksi]]="CV AGUNG KARYA",COUNTIF($I$10:I4024,"CV AGUNG KARYA")," ")</f>
        <v xml:space="preserve"> </v>
      </c>
      <c r="F4024" s="107" t="str">
        <f>IF(LEN(Table1722[[#This Row],[Uraian]])&gt;2,TRIM(RIGHT(SUBSTITUTE(TRIM(C4024)," ",REPT(" ",255)),255))," ")</f>
        <v xml:space="preserve"> </v>
      </c>
      <c r="G4024" s="110">
        <f>COPY!Z4016</f>
        <v>0</v>
      </c>
      <c r="H4024" s="111" t="str">
        <f>IFERROR(VLOOKUP(Table1722[[#This Row],[Bukti]],'Un nOTA'!$A$4:$K$5003,10,FALSE),"")</f>
        <v/>
      </c>
      <c r="I4024" s="123" t="str">
        <f>IFERROR(VLOOKUP(Table1722[[#This Row],[Bukti]],Table13[#Data],11,FALSE),"")</f>
        <v/>
      </c>
    </row>
    <row r="4025" spans="1:9" hidden="1" x14ac:dyDescent="0.2">
      <c r="A4025" s="105" t="str">
        <f>IF(D4025=1,COUNTIF($D$10:D4025,1)," ")</f>
        <v xml:space="preserve"> </v>
      </c>
      <c r="B4025" s="106">
        <f>COPY!AR4017</f>
        <v>0</v>
      </c>
      <c r="C4025" s="107">
        <f>COPY!AC4017</f>
        <v>0</v>
      </c>
      <c r="D4025" s="107" t="str">
        <f>IF(LEN(Table1722[[#This Row],[Uraian]])&gt;2,1," ")</f>
        <v xml:space="preserve"> </v>
      </c>
      <c r="E4025" s="113" t="str">
        <f>IF(Table1722[[#This Row],[Lawan Transaksi]]="CV AGUNG KARYA",COUNTIF($I$10:I4025,"CV AGUNG KARYA")," ")</f>
        <v xml:space="preserve"> </v>
      </c>
      <c r="F4025" s="107" t="str">
        <f>IF(LEN(Table1722[[#This Row],[Uraian]])&gt;2,TRIM(RIGHT(SUBSTITUTE(TRIM(C4025)," ",REPT(" ",255)),255))," ")</f>
        <v xml:space="preserve"> </v>
      </c>
      <c r="G4025" s="110">
        <f>COPY!Z4017</f>
        <v>0</v>
      </c>
      <c r="H4025" s="111" t="str">
        <f>IFERROR(VLOOKUP(Table1722[[#This Row],[Bukti]],'Un nOTA'!$A$4:$K$5003,10,FALSE),"")</f>
        <v/>
      </c>
      <c r="I4025" s="123" t="str">
        <f>IFERROR(VLOOKUP(Table1722[[#This Row],[Bukti]],Table13[#Data],11,FALSE),"")</f>
        <v/>
      </c>
    </row>
    <row r="4026" spans="1:9" hidden="1" x14ac:dyDescent="0.2">
      <c r="A4026" s="105" t="str">
        <f>IF(D4026=1,COUNTIF($D$10:D4026,1)," ")</f>
        <v xml:space="preserve"> </v>
      </c>
      <c r="B4026" s="106">
        <f>COPY!AR4018</f>
        <v>0</v>
      </c>
      <c r="C4026" s="107">
        <f>COPY!AC4018</f>
        <v>0</v>
      </c>
      <c r="D4026" s="107" t="str">
        <f>IF(LEN(Table1722[[#This Row],[Uraian]])&gt;2,1," ")</f>
        <v xml:space="preserve"> </v>
      </c>
      <c r="E4026" s="113" t="str">
        <f>IF(Table1722[[#This Row],[Lawan Transaksi]]="CV AGUNG KARYA",COUNTIF($I$10:I4026,"CV AGUNG KARYA")," ")</f>
        <v xml:space="preserve"> </v>
      </c>
      <c r="F4026" s="107" t="str">
        <f>IF(LEN(Table1722[[#This Row],[Uraian]])&gt;2,TRIM(RIGHT(SUBSTITUTE(TRIM(C4026)," ",REPT(" ",255)),255))," ")</f>
        <v xml:space="preserve"> </v>
      </c>
      <c r="G4026" s="110">
        <f>COPY!Z4018</f>
        <v>0</v>
      </c>
      <c r="H4026" s="111" t="str">
        <f>IFERROR(VLOOKUP(Table1722[[#This Row],[Bukti]],'Un nOTA'!$A$4:$K$5003,10,FALSE),"")</f>
        <v/>
      </c>
      <c r="I4026" s="123" t="str">
        <f>IFERROR(VLOOKUP(Table1722[[#This Row],[Bukti]],Table13[#Data],11,FALSE),"")</f>
        <v/>
      </c>
    </row>
    <row r="4027" spans="1:9" hidden="1" x14ac:dyDescent="0.2">
      <c r="A4027" s="105" t="str">
        <f>IF(D4027=1,COUNTIF($D$10:D4027,1)," ")</f>
        <v xml:space="preserve"> </v>
      </c>
      <c r="B4027" s="106">
        <f>COPY!AR4019</f>
        <v>0</v>
      </c>
      <c r="C4027" s="107">
        <f>COPY!AC4019</f>
        <v>0</v>
      </c>
      <c r="D4027" s="107" t="str">
        <f>IF(LEN(Table1722[[#This Row],[Uraian]])&gt;2,1," ")</f>
        <v xml:space="preserve"> </v>
      </c>
      <c r="E4027" s="113" t="str">
        <f>IF(Table1722[[#This Row],[Lawan Transaksi]]="CV AGUNG KARYA",COUNTIF($I$10:I4027,"CV AGUNG KARYA")," ")</f>
        <v xml:space="preserve"> </v>
      </c>
      <c r="F4027" s="107" t="str">
        <f>IF(LEN(Table1722[[#This Row],[Uraian]])&gt;2,TRIM(RIGHT(SUBSTITUTE(TRIM(C4027)," ",REPT(" ",255)),255))," ")</f>
        <v xml:space="preserve"> </v>
      </c>
      <c r="G4027" s="110">
        <f>COPY!Z4019</f>
        <v>0</v>
      </c>
      <c r="H4027" s="111" t="str">
        <f>IFERROR(VLOOKUP(Table1722[[#This Row],[Bukti]],'Un nOTA'!$A$4:$K$5003,10,FALSE),"")</f>
        <v/>
      </c>
      <c r="I4027" s="123" t="str">
        <f>IFERROR(VLOOKUP(Table1722[[#This Row],[Bukti]],Table13[#Data],11,FALSE),"")</f>
        <v/>
      </c>
    </row>
    <row r="4028" spans="1:9" hidden="1" x14ac:dyDescent="0.2">
      <c r="A4028" s="105" t="str">
        <f>IF(D4028=1,COUNTIF($D$10:D4028,1)," ")</f>
        <v xml:space="preserve"> </v>
      </c>
      <c r="B4028" s="106">
        <f>COPY!AR4020</f>
        <v>0</v>
      </c>
      <c r="C4028" s="107">
        <f>COPY!AC4020</f>
        <v>0</v>
      </c>
      <c r="D4028" s="107" t="str">
        <f>IF(LEN(Table1722[[#This Row],[Uraian]])&gt;2,1," ")</f>
        <v xml:space="preserve"> </v>
      </c>
      <c r="E4028" s="113" t="str">
        <f>IF(Table1722[[#This Row],[Lawan Transaksi]]="CV AGUNG KARYA",COUNTIF($I$10:I4028,"CV AGUNG KARYA")," ")</f>
        <v xml:space="preserve"> </v>
      </c>
      <c r="F4028" s="107" t="str">
        <f>IF(LEN(Table1722[[#This Row],[Uraian]])&gt;2,TRIM(RIGHT(SUBSTITUTE(TRIM(C4028)," ",REPT(" ",255)),255))," ")</f>
        <v xml:space="preserve"> </v>
      </c>
      <c r="G4028" s="110">
        <f>COPY!Z4020</f>
        <v>0</v>
      </c>
      <c r="H4028" s="111" t="str">
        <f>IFERROR(VLOOKUP(Table1722[[#This Row],[Bukti]],'Un nOTA'!$A$4:$K$5003,10,FALSE),"")</f>
        <v/>
      </c>
      <c r="I4028" s="123" t="str">
        <f>IFERROR(VLOOKUP(Table1722[[#This Row],[Bukti]],Table13[#Data],11,FALSE),"")</f>
        <v/>
      </c>
    </row>
    <row r="4029" spans="1:9" hidden="1" x14ac:dyDescent="0.2">
      <c r="A4029" s="105" t="str">
        <f>IF(D4029=1,COUNTIF($D$10:D4029,1)," ")</f>
        <v xml:space="preserve"> </v>
      </c>
      <c r="B4029" s="106">
        <f>COPY!AR4021</f>
        <v>0</v>
      </c>
      <c r="C4029" s="107">
        <f>COPY!AC4021</f>
        <v>0</v>
      </c>
      <c r="D4029" s="107" t="str">
        <f>IF(LEN(Table1722[[#This Row],[Uraian]])&gt;2,1," ")</f>
        <v xml:space="preserve"> </v>
      </c>
      <c r="E4029" s="113" t="str">
        <f>IF(Table1722[[#This Row],[Lawan Transaksi]]="CV AGUNG KARYA",COUNTIF($I$10:I4029,"CV AGUNG KARYA")," ")</f>
        <v xml:space="preserve"> </v>
      </c>
      <c r="F4029" s="107" t="str">
        <f>IF(LEN(Table1722[[#This Row],[Uraian]])&gt;2,TRIM(RIGHT(SUBSTITUTE(TRIM(C4029)," ",REPT(" ",255)),255))," ")</f>
        <v xml:space="preserve"> </v>
      </c>
      <c r="G4029" s="110">
        <f>COPY!Z4021</f>
        <v>0</v>
      </c>
      <c r="H4029" s="111" t="str">
        <f>IFERROR(VLOOKUP(Table1722[[#This Row],[Bukti]],'Un nOTA'!$A$4:$K$5003,10,FALSE),"")</f>
        <v/>
      </c>
      <c r="I4029" s="123" t="str">
        <f>IFERROR(VLOOKUP(Table1722[[#This Row],[Bukti]],Table13[#Data],11,FALSE),"")</f>
        <v/>
      </c>
    </row>
    <row r="4030" spans="1:9" hidden="1" x14ac:dyDescent="0.2">
      <c r="A4030" s="105" t="str">
        <f>IF(D4030=1,COUNTIF($D$10:D4030,1)," ")</f>
        <v xml:space="preserve"> </v>
      </c>
      <c r="B4030" s="106">
        <f>COPY!AR4022</f>
        <v>0</v>
      </c>
      <c r="C4030" s="107">
        <f>COPY!AC4022</f>
        <v>0</v>
      </c>
      <c r="D4030" s="107" t="str">
        <f>IF(LEN(Table1722[[#This Row],[Uraian]])&gt;2,1," ")</f>
        <v xml:space="preserve"> </v>
      </c>
      <c r="E4030" s="113" t="str">
        <f>IF(Table1722[[#This Row],[Lawan Transaksi]]="CV AGUNG KARYA",COUNTIF($I$10:I4030,"CV AGUNG KARYA")," ")</f>
        <v xml:space="preserve"> </v>
      </c>
      <c r="F4030" s="107" t="str">
        <f>IF(LEN(Table1722[[#This Row],[Uraian]])&gt;2,TRIM(RIGHT(SUBSTITUTE(TRIM(C4030)," ",REPT(" ",255)),255))," ")</f>
        <v xml:space="preserve"> </v>
      </c>
      <c r="G4030" s="110">
        <f>COPY!Z4022</f>
        <v>0</v>
      </c>
      <c r="H4030" s="111" t="str">
        <f>IFERROR(VLOOKUP(Table1722[[#This Row],[Bukti]],'Un nOTA'!$A$4:$K$5003,10,FALSE),"")</f>
        <v/>
      </c>
      <c r="I4030" s="123" t="str">
        <f>IFERROR(VLOOKUP(Table1722[[#This Row],[Bukti]],Table13[#Data],11,FALSE),"")</f>
        <v/>
      </c>
    </row>
    <row r="4031" spans="1:9" hidden="1" x14ac:dyDescent="0.2">
      <c r="A4031" s="105" t="str">
        <f>IF(D4031=1,COUNTIF($D$10:D4031,1)," ")</f>
        <v xml:space="preserve"> </v>
      </c>
      <c r="B4031" s="106">
        <f>COPY!AR4023</f>
        <v>0</v>
      </c>
      <c r="C4031" s="107">
        <f>COPY!AC4023</f>
        <v>0</v>
      </c>
      <c r="D4031" s="107" t="str">
        <f>IF(LEN(Table1722[[#This Row],[Uraian]])&gt;2,1," ")</f>
        <v xml:space="preserve"> </v>
      </c>
      <c r="E4031" s="113" t="str">
        <f>IF(Table1722[[#This Row],[Lawan Transaksi]]="CV AGUNG KARYA",COUNTIF($I$10:I4031,"CV AGUNG KARYA")," ")</f>
        <v xml:space="preserve"> </v>
      </c>
      <c r="F4031" s="107" t="str">
        <f>IF(LEN(Table1722[[#This Row],[Uraian]])&gt;2,TRIM(RIGHT(SUBSTITUTE(TRIM(C4031)," ",REPT(" ",255)),255))," ")</f>
        <v xml:space="preserve"> </v>
      </c>
      <c r="G4031" s="110">
        <f>COPY!Z4023</f>
        <v>0</v>
      </c>
      <c r="H4031" s="111" t="str">
        <f>IFERROR(VLOOKUP(Table1722[[#This Row],[Bukti]],'Un nOTA'!$A$4:$K$5003,10,FALSE),"")</f>
        <v/>
      </c>
      <c r="I4031" s="123" t="str">
        <f>IFERROR(VLOOKUP(Table1722[[#This Row],[Bukti]],Table13[#Data],11,FALSE),"")</f>
        <v/>
      </c>
    </row>
    <row r="4032" spans="1:9" hidden="1" x14ac:dyDescent="0.2">
      <c r="A4032" s="105" t="str">
        <f>IF(D4032=1,COUNTIF($D$10:D4032,1)," ")</f>
        <v xml:space="preserve"> </v>
      </c>
      <c r="B4032" s="106">
        <f>COPY!AR4024</f>
        <v>0</v>
      </c>
      <c r="C4032" s="107">
        <f>COPY!AC4024</f>
        <v>0</v>
      </c>
      <c r="D4032" s="107" t="str">
        <f>IF(LEN(Table1722[[#This Row],[Uraian]])&gt;2,1," ")</f>
        <v xml:space="preserve"> </v>
      </c>
      <c r="E4032" s="113" t="str">
        <f>IF(Table1722[[#This Row],[Lawan Transaksi]]="CV AGUNG KARYA",COUNTIF($I$10:I4032,"CV AGUNG KARYA")," ")</f>
        <v xml:space="preserve"> </v>
      </c>
      <c r="F4032" s="107" t="str">
        <f>IF(LEN(Table1722[[#This Row],[Uraian]])&gt;2,TRIM(RIGHT(SUBSTITUTE(TRIM(C4032)," ",REPT(" ",255)),255))," ")</f>
        <v xml:space="preserve"> </v>
      </c>
      <c r="G4032" s="110">
        <f>COPY!Z4024</f>
        <v>0</v>
      </c>
      <c r="H4032" s="111" t="str">
        <f>IFERROR(VLOOKUP(Table1722[[#This Row],[Bukti]],'Un nOTA'!$A$4:$K$5003,10,FALSE),"")</f>
        <v/>
      </c>
      <c r="I4032" s="123" t="str">
        <f>IFERROR(VLOOKUP(Table1722[[#This Row],[Bukti]],Table13[#Data],11,FALSE),"")</f>
        <v/>
      </c>
    </row>
    <row r="4033" spans="1:9" hidden="1" x14ac:dyDescent="0.2">
      <c r="A4033" s="105" t="str">
        <f>IF(D4033=1,COUNTIF($D$10:D4033,1)," ")</f>
        <v xml:space="preserve"> </v>
      </c>
      <c r="B4033" s="106">
        <f>COPY!AR4025</f>
        <v>0</v>
      </c>
      <c r="C4033" s="107">
        <f>COPY!AC4025</f>
        <v>0</v>
      </c>
      <c r="D4033" s="107" t="str">
        <f>IF(LEN(Table1722[[#This Row],[Uraian]])&gt;2,1," ")</f>
        <v xml:space="preserve"> </v>
      </c>
      <c r="E4033" s="113" t="str">
        <f>IF(Table1722[[#This Row],[Lawan Transaksi]]="CV AGUNG KARYA",COUNTIF($I$10:I4033,"CV AGUNG KARYA")," ")</f>
        <v xml:space="preserve"> </v>
      </c>
      <c r="F4033" s="107" t="str">
        <f>IF(LEN(Table1722[[#This Row],[Uraian]])&gt;2,TRIM(RIGHT(SUBSTITUTE(TRIM(C4033)," ",REPT(" ",255)),255))," ")</f>
        <v xml:space="preserve"> </v>
      </c>
      <c r="G4033" s="110">
        <f>COPY!Z4025</f>
        <v>0</v>
      </c>
      <c r="H4033" s="111" t="str">
        <f>IFERROR(VLOOKUP(Table1722[[#This Row],[Bukti]],'Un nOTA'!$A$4:$K$5003,10,FALSE),"")</f>
        <v/>
      </c>
      <c r="I4033" s="123" t="str">
        <f>IFERROR(VLOOKUP(Table1722[[#This Row],[Bukti]],Table13[#Data],11,FALSE),"")</f>
        <v/>
      </c>
    </row>
    <row r="4034" spans="1:9" hidden="1" x14ac:dyDescent="0.2">
      <c r="A4034" s="105" t="str">
        <f>IF(D4034=1,COUNTIF($D$10:D4034,1)," ")</f>
        <v xml:space="preserve"> </v>
      </c>
      <c r="B4034" s="106">
        <f>COPY!AR4026</f>
        <v>0</v>
      </c>
      <c r="C4034" s="107">
        <f>COPY!AC4026</f>
        <v>0</v>
      </c>
      <c r="D4034" s="107" t="str">
        <f>IF(LEN(Table1722[[#This Row],[Uraian]])&gt;2,1," ")</f>
        <v xml:space="preserve"> </v>
      </c>
      <c r="E4034" s="113" t="str">
        <f>IF(Table1722[[#This Row],[Lawan Transaksi]]="CV AGUNG KARYA",COUNTIF($I$10:I4034,"CV AGUNG KARYA")," ")</f>
        <v xml:space="preserve"> </v>
      </c>
      <c r="F4034" s="107" t="str">
        <f>IF(LEN(Table1722[[#This Row],[Uraian]])&gt;2,TRIM(RIGHT(SUBSTITUTE(TRIM(C4034)," ",REPT(" ",255)),255))," ")</f>
        <v xml:space="preserve"> </v>
      </c>
      <c r="G4034" s="110">
        <f>COPY!Z4026</f>
        <v>0</v>
      </c>
      <c r="H4034" s="111" t="str">
        <f>IFERROR(VLOOKUP(Table1722[[#This Row],[Bukti]],'Un nOTA'!$A$4:$K$5003,10,FALSE),"")</f>
        <v/>
      </c>
      <c r="I4034" s="123" t="str">
        <f>IFERROR(VLOOKUP(Table1722[[#This Row],[Bukti]],Table13[#Data],11,FALSE),"")</f>
        <v/>
      </c>
    </row>
    <row r="4035" spans="1:9" hidden="1" x14ac:dyDescent="0.2">
      <c r="A4035" s="105" t="str">
        <f>IF(D4035=1,COUNTIF($D$10:D4035,1)," ")</f>
        <v xml:space="preserve"> </v>
      </c>
      <c r="B4035" s="106">
        <f>COPY!AR4027</f>
        <v>0</v>
      </c>
      <c r="C4035" s="107">
        <f>COPY!AC4027</f>
        <v>0</v>
      </c>
      <c r="D4035" s="107" t="str">
        <f>IF(LEN(Table1722[[#This Row],[Uraian]])&gt;2,1," ")</f>
        <v xml:space="preserve"> </v>
      </c>
      <c r="E4035" s="113" t="str">
        <f>IF(Table1722[[#This Row],[Lawan Transaksi]]="CV AGUNG KARYA",COUNTIF($I$10:I4035,"CV AGUNG KARYA")," ")</f>
        <v xml:space="preserve"> </v>
      </c>
      <c r="F4035" s="107" t="str">
        <f>IF(LEN(Table1722[[#This Row],[Uraian]])&gt;2,TRIM(RIGHT(SUBSTITUTE(TRIM(C4035)," ",REPT(" ",255)),255))," ")</f>
        <v xml:space="preserve"> </v>
      </c>
      <c r="G4035" s="110">
        <f>COPY!Z4027</f>
        <v>0</v>
      </c>
      <c r="H4035" s="111" t="str">
        <f>IFERROR(VLOOKUP(Table1722[[#This Row],[Bukti]],'Un nOTA'!$A$4:$K$5003,10,FALSE),"")</f>
        <v/>
      </c>
      <c r="I4035" s="123" t="str">
        <f>IFERROR(VLOOKUP(Table1722[[#This Row],[Bukti]],Table13[#Data],11,FALSE),"")</f>
        <v/>
      </c>
    </row>
    <row r="4036" spans="1:9" hidden="1" x14ac:dyDescent="0.2">
      <c r="A4036" s="105" t="str">
        <f>IF(D4036=1,COUNTIF($D$10:D4036,1)," ")</f>
        <v xml:space="preserve"> </v>
      </c>
      <c r="B4036" s="106">
        <f>COPY!AR4028</f>
        <v>0</v>
      </c>
      <c r="C4036" s="107">
        <f>COPY!AC4028</f>
        <v>0</v>
      </c>
      <c r="D4036" s="107" t="str">
        <f>IF(LEN(Table1722[[#This Row],[Uraian]])&gt;2,1," ")</f>
        <v xml:space="preserve"> </v>
      </c>
      <c r="E4036" s="113" t="str">
        <f>IF(Table1722[[#This Row],[Lawan Transaksi]]="CV AGUNG KARYA",COUNTIF($I$10:I4036,"CV AGUNG KARYA")," ")</f>
        <v xml:space="preserve"> </v>
      </c>
      <c r="F4036" s="107" t="str">
        <f>IF(LEN(Table1722[[#This Row],[Uraian]])&gt;2,TRIM(RIGHT(SUBSTITUTE(TRIM(C4036)," ",REPT(" ",255)),255))," ")</f>
        <v xml:space="preserve"> </v>
      </c>
      <c r="G4036" s="110">
        <f>COPY!Z4028</f>
        <v>0</v>
      </c>
      <c r="H4036" s="111" t="str">
        <f>IFERROR(VLOOKUP(Table1722[[#This Row],[Bukti]],'Un nOTA'!$A$4:$K$5003,10,FALSE),"")</f>
        <v/>
      </c>
      <c r="I4036" s="123" t="str">
        <f>IFERROR(VLOOKUP(Table1722[[#This Row],[Bukti]],Table13[#Data],11,FALSE),"")</f>
        <v/>
      </c>
    </row>
    <row r="4037" spans="1:9" hidden="1" x14ac:dyDescent="0.2">
      <c r="A4037" s="105" t="str">
        <f>IF(D4037=1,COUNTIF($D$10:D4037,1)," ")</f>
        <v xml:space="preserve"> </v>
      </c>
      <c r="B4037" s="106">
        <f>COPY!AR4029</f>
        <v>0</v>
      </c>
      <c r="C4037" s="107">
        <f>COPY!AC4029</f>
        <v>0</v>
      </c>
      <c r="D4037" s="107" t="str">
        <f>IF(LEN(Table1722[[#This Row],[Uraian]])&gt;2,1," ")</f>
        <v xml:space="preserve"> </v>
      </c>
      <c r="E4037" s="113" t="str">
        <f>IF(Table1722[[#This Row],[Lawan Transaksi]]="CV AGUNG KARYA",COUNTIF($I$10:I4037,"CV AGUNG KARYA")," ")</f>
        <v xml:space="preserve"> </v>
      </c>
      <c r="F4037" s="107" t="str">
        <f>IF(LEN(Table1722[[#This Row],[Uraian]])&gt;2,TRIM(RIGHT(SUBSTITUTE(TRIM(C4037)," ",REPT(" ",255)),255))," ")</f>
        <v xml:space="preserve"> </v>
      </c>
      <c r="G4037" s="110">
        <f>COPY!Z4029</f>
        <v>0</v>
      </c>
      <c r="H4037" s="111" t="str">
        <f>IFERROR(VLOOKUP(Table1722[[#This Row],[Bukti]],'Un nOTA'!$A$4:$K$5003,10,FALSE),"")</f>
        <v/>
      </c>
      <c r="I4037" s="123" t="str">
        <f>IFERROR(VLOOKUP(Table1722[[#This Row],[Bukti]],Table13[#Data],11,FALSE),"")</f>
        <v/>
      </c>
    </row>
    <row r="4038" spans="1:9" hidden="1" x14ac:dyDescent="0.2">
      <c r="A4038" s="105" t="str">
        <f>IF(D4038=1,COUNTIF($D$10:D4038,1)," ")</f>
        <v xml:space="preserve"> </v>
      </c>
      <c r="B4038" s="106">
        <f>COPY!AR4030</f>
        <v>0</v>
      </c>
      <c r="C4038" s="107">
        <f>COPY!AC4030</f>
        <v>0</v>
      </c>
      <c r="D4038" s="107" t="str">
        <f>IF(LEN(Table1722[[#This Row],[Uraian]])&gt;2,1," ")</f>
        <v xml:space="preserve"> </v>
      </c>
      <c r="E4038" s="113" t="str">
        <f>IF(Table1722[[#This Row],[Lawan Transaksi]]="CV AGUNG KARYA",COUNTIF($I$10:I4038,"CV AGUNG KARYA")," ")</f>
        <v xml:space="preserve"> </v>
      </c>
      <c r="F4038" s="107" t="str">
        <f>IF(LEN(Table1722[[#This Row],[Uraian]])&gt;2,TRIM(RIGHT(SUBSTITUTE(TRIM(C4038)," ",REPT(" ",255)),255))," ")</f>
        <v xml:space="preserve"> </v>
      </c>
      <c r="G4038" s="110">
        <f>COPY!Z4030</f>
        <v>0</v>
      </c>
      <c r="H4038" s="111" t="str">
        <f>IFERROR(VLOOKUP(Table1722[[#This Row],[Bukti]],'Un nOTA'!$A$4:$K$5003,10,FALSE),"")</f>
        <v/>
      </c>
      <c r="I4038" s="123" t="str">
        <f>IFERROR(VLOOKUP(Table1722[[#This Row],[Bukti]],Table13[#Data],11,FALSE),"")</f>
        <v/>
      </c>
    </row>
    <row r="4039" spans="1:9" hidden="1" x14ac:dyDescent="0.2">
      <c r="A4039" s="105" t="str">
        <f>IF(D4039=1,COUNTIF($D$10:D4039,1)," ")</f>
        <v xml:space="preserve"> </v>
      </c>
      <c r="B4039" s="106">
        <f>COPY!AR4031</f>
        <v>0</v>
      </c>
      <c r="C4039" s="107">
        <f>COPY!AC4031</f>
        <v>0</v>
      </c>
      <c r="D4039" s="107" t="str">
        <f>IF(LEN(Table1722[[#This Row],[Uraian]])&gt;2,1," ")</f>
        <v xml:space="preserve"> </v>
      </c>
      <c r="E4039" s="113" t="str">
        <f>IF(Table1722[[#This Row],[Lawan Transaksi]]="CV AGUNG KARYA",COUNTIF($I$10:I4039,"CV AGUNG KARYA")," ")</f>
        <v xml:space="preserve"> </v>
      </c>
      <c r="F4039" s="107" t="str">
        <f>IF(LEN(Table1722[[#This Row],[Uraian]])&gt;2,TRIM(RIGHT(SUBSTITUTE(TRIM(C4039)," ",REPT(" ",255)),255))," ")</f>
        <v xml:space="preserve"> </v>
      </c>
      <c r="G4039" s="110">
        <f>COPY!Z4031</f>
        <v>0</v>
      </c>
      <c r="H4039" s="111" t="str">
        <f>IFERROR(VLOOKUP(Table1722[[#This Row],[Bukti]],'Un nOTA'!$A$4:$K$5003,10,FALSE),"")</f>
        <v/>
      </c>
      <c r="I4039" s="123" t="str">
        <f>IFERROR(VLOOKUP(Table1722[[#This Row],[Bukti]],Table13[#Data],11,FALSE),"")</f>
        <v/>
      </c>
    </row>
    <row r="4040" spans="1:9" hidden="1" x14ac:dyDescent="0.2">
      <c r="A4040" s="105" t="str">
        <f>IF(D4040=1,COUNTIF($D$10:D4040,1)," ")</f>
        <v xml:space="preserve"> </v>
      </c>
      <c r="B4040" s="106">
        <f>COPY!AR4032</f>
        <v>0</v>
      </c>
      <c r="C4040" s="107">
        <f>COPY!AC4032</f>
        <v>0</v>
      </c>
      <c r="D4040" s="107" t="str">
        <f>IF(LEN(Table1722[[#This Row],[Uraian]])&gt;2,1," ")</f>
        <v xml:space="preserve"> </v>
      </c>
      <c r="E4040" s="113" t="str">
        <f>IF(Table1722[[#This Row],[Lawan Transaksi]]="CV AGUNG KARYA",COUNTIF($I$10:I4040,"CV AGUNG KARYA")," ")</f>
        <v xml:space="preserve"> </v>
      </c>
      <c r="F4040" s="107" t="str">
        <f>IF(LEN(Table1722[[#This Row],[Uraian]])&gt;2,TRIM(RIGHT(SUBSTITUTE(TRIM(C4040)," ",REPT(" ",255)),255))," ")</f>
        <v xml:space="preserve"> </v>
      </c>
      <c r="G4040" s="110">
        <f>COPY!Z4032</f>
        <v>0</v>
      </c>
      <c r="H4040" s="111" t="str">
        <f>IFERROR(VLOOKUP(Table1722[[#This Row],[Bukti]],'Un nOTA'!$A$4:$K$5003,10,FALSE),"")</f>
        <v/>
      </c>
      <c r="I4040" s="123" t="str">
        <f>IFERROR(VLOOKUP(Table1722[[#This Row],[Bukti]],Table13[#Data],11,FALSE),"")</f>
        <v/>
      </c>
    </row>
    <row r="4041" spans="1:9" hidden="1" x14ac:dyDescent="0.2">
      <c r="A4041" s="105" t="str">
        <f>IF(D4041=1,COUNTIF($D$10:D4041,1)," ")</f>
        <v xml:space="preserve"> </v>
      </c>
      <c r="B4041" s="106">
        <f>COPY!AR4033</f>
        <v>0</v>
      </c>
      <c r="C4041" s="107">
        <f>COPY!AC4033</f>
        <v>0</v>
      </c>
      <c r="D4041" s="107" t="str">
        <f>IF(LEN(Table1722[[#This Row],[Uraian]])&gt;2,1," ")</f>
        <v xml:space="preserve"> </v>
      </c>
      <c r="E4041" s="113" t="str">
        <f>IF(Table1722[[#This Row],[Lawan Transaksi]]="CV AGUNG KARYA",COUNTIF($I$10:I4041,"CV AGUNG KARYA")," ")</f>
        <v xml:space="preserve"> </v>
      </c>
      <c r="F4041" s="107" t="str">
        <f>IF(LEN(Table1722[[#This Row],[Uraian]])&gt;2,TRIM(RIGHT(SUBSTITUTE(TRIM(C4041)," ",REPT(" ",255)),255))," ")</f>
        <v xml:space="preserve"> </v>
      </c>
      <c r="G4041" s="110">
        <f>COPY!Z4033</f>
        <v>0</v>
      </c>
      <c r="H4041" s="111" t="str">
        <f>IFERROR(VLOOKUP(Table1722[[#This Row],[Bukti]],'Un nOTA'!$A$4:$K$5003,10,FALSE),"")</f>
        <v/>
      </c>
      <c r="I4041" s="123" t="str">
        <f>IFERROR(VLOOKUP(Table1722[[#This Row],[Bukti]],Table13[#Data],11,FALSE),"")</f>
        <v/>
      </c>
    </row>
    <row r="4042" spans="1:9" hidden="1" x14ac:dyDescent="0.2">
      <c r="A4042" s="105" t="str">
        <f>IF(D4042=1,COUNTIF($D$10:D4042,1)," ")</f>
        <v xml:space="preserve"> </v>
      </c>
      <c r="B4042" s="106">
        <f>COPY!AR4034</f>
        <v>0</v>
      </c>
      <c r="C4042" s="107">
        <f>COPY!AC4034</f>
        <v>0</v>
      </c>
      <c r="D4042" s="107" t="str">
        <f>IF(LEN(Table1722[[#This Row],[Uraian]])&gt;2,1," ")</f>
        <v xml:space="preserve"> </v>
      </c>
      <c r="E4042" s="113" t="str">
        <f>IF(Table1722[[#This Row],[Lawan Transaksi]]="CV AGUNG KARYA",COUNTIF($I$10:I4042,"CV AGUNG KARYA")," ")</f>
        <v xml:space="preserve"> </v>
      </c>
      <c r="F4042" s="107" t="str">
        <f>IF(LEN(Table1722[[#This Row],[Uraian]])&gt;2,TRIM(RIGHT(SUBSTITUTE(TRIM(C4042)," ",REPT(" ",255)),255))," ")</f>
        <v xml:space="preserve"> </v>
      </c>
      <c r="G4042" s="110">
        <f>COPY!Z4034</f>
        <v>0</v>
      </c>
      <c r="H4042" s="111" t="str">
        <f>IFERROR(VLOOKUP(Table1722[[#This Row],[Bukti]],'Un nOTA'!$A$4:$K$5003,10,FALSE),"")</f>
        <v/>
      </c>
      <c r="I4042" s="123" t="str">
        <f>IFERROR(VLOOKUP(Table1722[[#This Row],[Bukti]],Table13[#Data],11,FALSE),"")</f>
        <v/>
      </c>
    </row>
    <row r="4043" spans="1:9" hidden="1" x14ac:dyDescent="0.2">
      <c r="A4043" s="105" t="str">
        <f>IF(D4043=1,COUNTIF($D$10:D4043,1)," ")</f>
        <v xml:space="preserve"> </v>
      </c>
      <c r="B4043" s="106">
        <f>COPY!AR4035</f>
        <v>0</v>
      </c>
      <c r="C4043" s="107">
        <f>COPY!AC4035</f>
        <v>0</v>
      </c>
      <c r="D4043" s="107" t="str">
        <f>IF(LEN(Table1722[[#This Row],[Uraian]])&gt;2,1," ")</f>
        <v xml:space="preserve"> </v>
      </c>
      <c r="E4043" s="113" t="str">
        <f>IF(Table1722[[#This Row],[Lawan Transaksi]]="CV AGUNG KARYA",COUNTIF($I$10:I4043,"CV AGUNG KARYA")," ")</f>
        <v xml:space="preserve"> </v>
      </c>
      <c r="F4043" s="107" t="str">
        <f>IF(LEN(Table1722[[#This Row],[Uraian]])&gt;2,TRIM(RIGHT(SUBSTITUTE(TRIM(C4043)," ",REPT(" ",255)),255))," ")</f>
        <v xml:space="preserve"> </v>
      </c>
      <c r="G4043" s="110">
        <f>COPY!Z4035</f>
        <v>0</v>
      </c>
      <c r="H4043" s="111" t="str">
        <f>IFERROR(VLOOKUP(Table1722[[#This Row],[Bukti]],'Un nOTA'!$A$4:$K$5003,10,FALSE),"")</f>
        <v/>
      </c>
      <c r="I4043" s="123" t="str">
        <f>IFERROR(VLOOKUP(Table1722[[#This Row],[Bukti]],Table13[#Data],11,FALSE),"")</f>
        <v/>
      </c>
    </row>
    <row r="4044" spans="1:9" hidden="1" x14ac:dyDescent="0.2">
      <c r="A4044" s="105" t="str">
        <f>IF(D4044=1,COUNTIF($D$10:D4044,1)," ")</f>
        <v xml:space="preserve"> </v>
      </c>
      <c r="B4044" s="106">
        <f>COPY!AR4036</f>
        <v>0</v>
      </c>
      <c r="C4044" s="107">
        <f>COPY!AC4036</f>
        <v>0</v>
      </c>
      <c r="D4044" s="107" t="str">
        <f>IF(LEN(Table1722[[#This Row],[Uraian]])&gt;2,1," ")</f>
        <v xml:space="preserve"> </v>
      </c>
      <c r="E4044" s="113" t="str">
        <f>IF(Table1722[[#This Row],[Lawan Transaksi]]="CV AGUNG KARYA",COUNTIF($I$10:I4044,"CV AGUNG KARYA")," ")</f>
        <v xml:space="preserve"> </v>
      </c>
      <c r="F4044" s="107" t="str">
        <f>IF(LEN(Table1722[[#This Row],[Uraian]])&gt;2,TRIM(RIGHT(SUBSTITUTE(TRIM(C4044)," ",REPT(" ",255)),255))," ")</f>
        <v xml:space="preserve"> </v>
      </c>
      <c r="G4044" s="110">
        <f>COPY!Z4036</f>
        <v>0</v>
      </c>
      <c r="H4044" s="111" t="str">
        <f>IFERROR(VLOOKUP(Table1722[[#This Row],[Bukti]],'Un nOTA'!$A$4:$K$5003,10,FALSE),"")</f>
        <v/>
      </c>
      <c r="I4044" s="123" t="str">
        <f>IFERROR(VLOOKUP(Table1722[[#This Row],[Bukti]],Table13[#Data],11,FALSE),"")</f>
        <v/>
      </c>
    </row>
    <row r="4045" spans="1:9" hidden="1" x14ac:dyDescent="0.2">
      <c r="A4045" s="105" t="str">
        <f>IF(D4045=1,COUNTIF($D$10:D4045,1)," ")</f>
        <v xml:space="preserve"> </v>
      </c>
      <c r="B4045" s="106">
        <f>COPY!AR4037</f>
        <v>0</v>
      </c>
      <c r="C4045" s="107">
        <f>COPY!AC4037</f>
        <v>0</v>
      </c>
      <c r="D4045" s="107" t="str">
        <f>IF(LEN(Table1722[[#This Row],[Uraian]])&gt;2,1," ")</f>
        <v xml:space="preserve"> </v>
      </c>
      <c r="E4045" s="113" t="str">
        <f>IF(Table1722[[#This Row],[Lawan Transaksi]]="CV AGUNG KARYA",COUNTIF($I$10:I4045,"CV AGUNG KARYA")," ")</f>
        <v xml:space="preserve"> </v>
      </c>
      <c r="F4045" s="107" t="str">
        <f>IF(LEN(Table1722[[#This Row],[Uraian]])&gt;2,TRIM(RIGHT(SUBSTITUTE(TRIM(C4045)," ",REPT(" ",255)),255))," ")</f>
        <v xml:space="preserve"> </v>
      </c>
      <c r="G4045" s="110">
        <f>COPY!Z4037</f>
        <v>0</v>
      </c>
      <c r="H4045" s="111" t="str">
        <f>IFERROR(VLOOKUP(Table1722[[#This Row],[Bukti]],'Un nOTA'!$A$4:$K$5003,10,FALSE),"")</f>
        <v/>
      </c>
      <c r="I4045" s="123" t="str">
        <f>IFERROR(VLOOKUP(Table1722[[#This Row],[Bukti]],Table13[#Data],11,FALSE),"")</f>
        <v/>
      </c>
    </row>
    <row r="4046" spans="1:9" hidden="1" x14ac:dyDescent="0.2">
      <c r="A4046" s="105" t="str">
        <f>IF(D4046=1,COUNTIF($D$10:D4046,1)," ")</f>
        <v xml:space="preserve"> </v>
      </c>
      <c r="B4046" s="106">
        <f>COPY!AR4038</f>
        <v>0</v>
      </c>
      <c r="C4046" s="107">
        <f>COPY!AC4038</f>
        <v>0</v>
      </c>
      <c r="D4046" s="107" t="str">
        <f>IF(LEN(Table1722[[#This Row],[Uraian]])&gt;2,1," ")</f>
        <v xml:space="preserve"> </v>
      </c>
      <c r="E4046" s="113" t="str">
        <f>IF(Table1722[[#This Row],[Lawan Transaksi]]="CV AGUNG KARYA",COUNTIF($I$10:I4046,"CV AGUNG KARYA")," ")</f>
        <v xml:space="preserve"> </v>
      </c>
      <c r="F4046" s="107" t="str">
        <f>IF(LEN(Table1722[[#This Row],[Uraian]])&gt;2,TRIM(RIGHT(SUBSTITUTE(TRIM(C4046)," ",REPT(" ",255)),255))," ")</f>
        <v xml:space="preserve"> </v>
      </c>
      <c r="G4046" s="110">
        <f>COPY!Z4038</f>
        <v>0</v>
      </c>
      <c r="H4046" s="111" t="str">
        <f>IFERROR(VLOOKUP(Table1722[[#This Row],[Bukti]],'Un nOTA'!$A$4:$K$5003,10,FALSE),"")</f>
        <v/>
      </c>
      <c r="I4046" s="123" t="str">
        <f>IFERROR(VLOOKUP(Table1722[[#This Row],[Bukti]],Table13[#Data],11,FALSE),"")</f>
        <v/>
      </c>
    </row>
    <row r="4047" spans="1:9" hidden="1" x14ac:dyDescent="0.2">
      <c r="A4047" s="105" t="str">
        <f>IF(D4047=1,COUNTIF($D$10:D4047,1)," ")</f>
        <v xml:space="preserve"> </v>
      </c>
      <c r="B4047" s="106">
        <f>COPY!AR4039</f>
        <v>0</v>
      </c>
      <c r="C4047" s="107">
        <f>COPY!AC4039</f>
        <v>0</v>
      </c>
      <c r="D4047" s="107" t="str">
        <f>IF(LEN(Table1722[[#This Row],[Uraian]])&gt;2,1," ")</f>
        <v xml:space="preserve"> </v>
      </c>
      <c r="E4047" s="113" t="str">
        <f>IF(Table1722[[#This Row],[Lawan Transaksi]]="CV AGUNG KARYA",COUNTIF($I$10:I4047,"CV AGUNG KARYA")," ")</f>
        <v xml:space="preserve"> </v>
      </c>
      <c r="F4047" s="107" t="str">
        <f>IF(LEN(Table1722[[#This Row],[Uraian]])&gt;2,TRIM(RIGHT(SUBSTITUTE(TRIM(C4047)," ",REPT(" ",255)),255))," ")</f>
        <v xml:space="preserve"> </v>
      </c>
      <c r="G4047" s="110">
        <f>COPY!Z4039</f>
        <v>0</v>
      </c>
      <c r="H4047" s="111" t="str">
        <f>IFERROR(VLOOKUP(Table1722[[#This Row],[Bukti]],'Un nOTA'!$A$4:$K$5003,10,FALSE),"")</f>
        <v/>
      </c>
      <c r="I4047" s="123" t="str">
        <f>IFERROR(VLOOKUP(Table1722[[#This Row],[Bukti]],Table13[#Data],11,FALSE),"")</f>
        <v/>
      </c>
    </row>
    <row r="4048" spans="1:9" hidden="1" x14ac:dyDescent="0.2">
      <c r="A4048" s="105" t="str">
        <f>IF(D4048=1,COUNTIF($D$10:D4048,1)," ")</f>
        <v xml:space="preserve"> </v>
      </c>
      <c r="B4048" s="106">
        <f>COPY!AR4040</f>
        <v>0</v>
      </c>
      <c r="C4048" s="107">
        <f>COPY!AC4040</f>
        <v>0</v>
      </c>
      <c r="D4048" s="107" t="str">
        <f>IF(LEN(Table1722[[#This Row],[Uraian]])&gt;2,1," ")</f>
        <v xml:space="preserve"> </v>
      </c>
      <c r="E4048" s="113" t="str">
        <f>IF(Table1722[[#This Row],[Lawan Transaksi]]="CV AGUNG KARYA",COUNTIF($I$10:I4048,"CV AGUNG KARYA")," ")</f>
        <v xml:space="preserve"> </v>
      </c>
      <c r="F4048" s="107" t="str">
        <f>IF(LEN(Table1722[[#This Row],[Uraian]])&gt;2,TRIM(RIGHT(SUBSTITUTE(TRIM(C4048)," ",REPT(" ",255)),255))," ")</f>
        <v xml:space="preserve"> </v>
      </c>
      <c r="G4048" s="110">
        <f>COPY!Z4040</f>
        <v>0</v>
      </c>
      <c r="H4048" s="111" t="str">
        <f>IFERROR(VLOOKUP(Table1722[[#This Row],[Bukti]],'Un nOTA'!$A$4:$K$5003,10,FALSE),"")</f>
        <v/>
      </c>
      <c r="I4048" s="123" t="str">
        <f>IFERROR(VLOOKUP(Table1722[[#This Row],[Bukti]],Table13[#Data],11,FALSE),"")</f>
        <v/>
      </c>
    </row>
    <row r="4049" spans="1:9" hidden="1" x14ac:dyDescent="0.2">
      <c r="A4049" s="105" t="str">
        <f>IF(D4049=1,COUNTIF($D$10:D4049,1)," ")</f>
        <v xml:space="preserve"> </v>
      </c>
      <c r="B4049" s="106">
        <f>COPY!AR4041</f>
        <v>0</v>
      </c>
      <c r="C4049" s="107">
        <f>COPY!AC4041</f>
        <v>0</v>
      </c>
      <c r="D4049" s="107" t="str">
        <f>IF(LEN(Table1722[[#This Row],[Uraian]])&gt;2,1," ")</f>
        <v xml:space="preserve"> </v>
      </c>
      <c r="E4049" s="113" t="str">
        <f>IF(Table1722[[#This Row],[Lawan Transaksi]]="CV AGUNG KARYA",COUNTIF($I$10:I4049,"CV AGUNG KARYA")," ")</f>
        <v xml:space="preserve"> </v>
      </c>
      <c r="F4049" s="107" t="str">
        <f>IF(LEN(Table1722[[#This Row],[Uraian]])&gt;2,TRIM(RIGHT(SUBSTITUTE(TRIM(C4049)," ",REPT(" ",255)),255))," ")</f>
        <v xml:space="preserve"> </v>
      </c>
      <c r="G4049" s="110">
        <f>COPY!Z4041</f>
        <v>0</v>
      </c>
      <c r="H4049" s="111" t="str">
        <f>IFERROR(VLOOKUP(Table1722[[#This Row],[Bukti]],'Un nOTA'!$A$4:$K$5003,10,FALSE),"")</f>
        <v/>
      </c>
      <c r="I4049" s="123" t="str">
        <f>IFERROR(VLOOKUP(Table1722[[#This Row],[Bukti]],Table13[#Data],11,FALSE),"")</f>
        <v/>
      </c>
    </row>
    <row r="4050" spans="1:9" hidden="1" x14ac:dyDescent="0.2">
      <c r="A4050" s="105" t="str">
        <f>IF(D4050=1,COUNTIF($D$10:D4050,1)," ")</f>
        <v xml:space="preserve"> </v>
      </c>
      <c r="B4050" s="106">
        <f>COPY!AR4042</f>
        <v>0</v>
      </c>
      <c r="C4050" s="107">
        <f>COPY!AC4042</f>
        <v>0</v>
      </c>
      <c r="D4050" s="107" t="str">
        <f>IF(LEN(Table1722[[#This Row],[Uraian]])&gt;2,1," ")</f>
        <v xml:space="preserve"> </v>
      </c>
      <c r="E4050" s="113" t="str">
        <f>IF(Table1722[[#This Row],[Lawan Transaksi]]="CV AGUNG KARYA",COUNTIF($I$10:I4050,"CV AGUNG KARYA")," ")</f>
        <v xml:space="preserve"> </v>
      </c>
      <c r="F4050" s="107" t="str">
        <f>IF(LEN(Table1722[[#This Row],[Uraian]])&gt;2,TRIM(RIGHT(SUBSTITUTE(TRIM(C4050)," ",REPT(" ",255)),255))," ")</f>
        <v xml:space="preserve"> </v>
      </c>
      <c r="G4050" s="110">
        <f>COPY!Z4042</f>
        <v>0</v>
      </c>
      <c r="H4050" s="111" t="str">
        <f>IFERROR(VLOOKUP(Table1722[[#This Row],[Bukti]],'Un nOTA'!$A$4:$K$5003,10,FALSE),"")</f>
        <v/>
      </c>
      <c r="I4050" s="123" t="str">
        <f>IFERROR(VLOOKUP(Table1722[[#This Row],[Bukti]],Table13[#Data],11,FALSE),"")</f>
        <v/>
      </c>
    </row>
    <row r="4051" spans="1:9" hidden="1" x14ac:dyDescent="0.2">
      <c r="A4051" s="105" t="str">
        <f>IF(D4051=1,COUNTIF($D$10:D4051,1)," ")</f>
        <v xml:space="preserve"> </v>
      </c>
      <c r="B4051" s="106">
        <f>COPY!AR4043</f>
        <v>0</v>
      </c>
      <c r="C4051" s="107">
        <f>COPY!AC4043</f>
        <v>0</v>
      </c>
      <c r="D4051" s="107" t="str">
        <f>IF(LEN(Table1722[[#This Row],[Uraian]])&gt;2,1," ")</f>
        <v xml:space="preserve"> </v>
      </c>
      <c r="E4051" s="113" t="str">
        <f>IF(Table1722[[#This Row],[Lawan Transaksi]]="CV AGUNG KARYA",COUNTIF($I$10:I4051,"CV AGUNG KARYA")," ")</f>
        <v xml:space="preserve"> </v>
      </c>
      <c r="F4051" s="107" t="str">
        <f>IF(LEN(Table1722[[#This Row],[Uraian]])&gt;2,TRIM(RIGHT(SUBSTITUTE(TRIM(C4051)," ",REPT(" ",255)),255))," ")</f>
        <v xml:space="preserve"> </v>
      </c>
      <c r="G4051" s="110">
        <f>COPY!Z4043</f>
        <v>0</v>
      </c>
      <c r="H4051" s="111" t="str">
        <f>IFERROR(VLOOKUP(Table1722[[#This Row],[Bukti]],'Un nOTA'!$A$4:$K$5003,10,FALSE),"")</f>
        <v/>
      </c>
      <c r="I4051" s="123" t="str">
        <f>IFERROR(VLOOKUP(Table1722[[#This Row],[Bukti]],Table13[#Data],11,FALSE),"")</f>
        <v/>
      </c>
    </row>
    <row r="4052" spans="1:9" hidden="1" x14ac:dyDescent="0.2">
      <c r="A4052" s="105" t="str">
        <f>IF(D4052=1,COUNTIF($D$10:D4052,1)," ")</f>
        <v xml:space="preserve"> </v>
      </c>
      <c r="B4052" s="106">
        <f>COPY!AR4044</f>
        <v>0</v>
      </c>
      <c r="C4052" s="107">
        <f>COPY!AC4044</f>
        <v>0</v>
      </c>
      <c r="D4052" s="107" t="str">
        <f>IF(LEN(Table1722[[#This Row],[Uraian]])&gt;2,1," ")</f>
        <v xml:space="preserve"> </v>
      </c>
      <c r="E4052" s="113" t="str">
        <f>IF(Table1722[[#This Row],[Lawan Transaksi]]="CV AGUNG KARYA",COUNTIF($I$10:I4052,"CV AGUNG KARYA")," ")</f>
        <v xml:space="preserve"> </v>
      </c>
      <c r="F4052" s="107" t="str">
        <f>IF(LEN(Table1722[[#This Row],[Uraian]])&gt;2,TRIM(RIGHT(SUBSTITUTE(TRIM(C4052)," ",REPT(" ",255)),255))," ")</f>
        <v xml:space="preserve"> </v>
      </c>
      <c r="G4052" s="110">
        <f>COPY!Z4044</f>
        <v>0</v>
      </c>
      <c r="H4052" s="111" t="str">
        <f>IFERROR(VLOOKUP(Table1722[[#This Row],[Bukti]],'Un nOTA'!$A$4:$K$5003,10,FALSE),"")</f>
        <v/>
      </c>
      <c r="I4052" s="123" t="str">
        <f>IFERROR(VLOOKUP(Table1722[[#This Row],[Bukti]],Table13[#Data],11,FALSE),"")</f>
        <v/>
      </c>
    </row>
    <row r="4053" spans="1:9" hidden="1" x14ac:dyDescent="0.2">
      <c r="A4053" s="105" t="str">
        <f>IF(D4053=1,COUNTIF($D$10:D4053,1)," ")</f>
        <v xml:space="preserve"> </v>
      </c>
      <c r="B4053" s="106">
        <f>COPY!AR4045</f>
        <v>0</v>
      </c>
      <c r="C4053" s="107">
        <f>COPY!AC4045</f>
        <v>0</v>
      </c>
      <c r="D4053" s="107" t="str">
        <f>IF(LEN(Table1722[[#This Row],[Uraian]])&gt;2,1," ")</f>
        <v xml:space="preserve"> </v>
      </c>
      <c r="E4053" s="113" t="str">
        <f>IF(Table1722[[#This Row],[Lawan Transaksi]]="CV AGUNG KARYA",COUNTIF($I$10:I4053,"CV AGUNG KARYA")," ")</f>
        <v xml:space="preserve"> </v>
      </c>
      <c r="F4053" s="107" t="str">
        <f>IF(LEN(Table1722[[#This Row],[Uraian]])&gt;2,TRIM(RIGHT(SUBSTITUTE(TRIM(C4053)," ",REPT(" ",255)),255))," ")</f>
        <v xml:space="preserve"> </v>
      </c>
      <c r="G4053" s="110">
        <f>COPY!Z4045</f>
        <v>0</v>
      </c>
      <c r="H4053" s="111" t="str">
        <f>IFERROR(VLOOKUP(Table1722[[#This Row],[Bukti]],'Un nOTA'!$A$4:$K$5003,10,FALSE),"")</f>
        <v/>
      </c>
      <c r="I4053" s="123" t="str">
        <f>IFERROR(VLOOKUP(Table1722[[#This Row],[Bukti]],Table13[#Data],11,FALSE),"")</f>
        <v/>
      </c>
    </row>
    <row r="4054" spans="1:9" hidden="1" x14ac:dyDescent="0.2">
      <c r="A4054" s="105" t="str">
        <f>IF(D4054=1,COUNTIF($D$10:D4054,1)," ")</f>
        <v xml:space="preserve"> </v>
      </c>
      <c r="B4054" s="106">
        <f>COPY!AR4046</f>
        <v>0</v>
      </c>
      <c r="C4054" s="107">
        <f>COPY!AC4046</f>
        <v>0</v>
      </c>
      <c r="D4054" s="107" t="str">
        <f>IF(LEN(Table1722[[#This Row],[Uraian]])&gt;2,1," ")</f>
        <v xml:space="preserve"> </v>
      </c>
      <c r="E4054" s="113" t="str">
        <f>IF(Table1722[[#This Row],[Lawan Transaksi]]="CV AGUNG KARYA",COUNTIF($I$10:I4054,"CV AGUNG KARYA")," ")</f>
        <v xml:space="preserve"> </v>
      </c>
      <c r="F4054" s="107" t="str">
        <f>IF(LEN(Table1722[[#This Row],[Uraian]])&gt;2,TRIM(RIGHT(SUBSTITUTE(TRIM(C4054)," ",REPT(" ",255)),255))," ")</f>
        <v xml:space="preserve"> </v>
      </c>
      <c r="G4054" s="110">
        <f>COPY!Z4046</f>
        <v>0</v>
      </c>
      <c r="H4054" s="111" t="str">
        <f>IFERROR(VLOOKUP(Table1722[[#This Row],[Bukti]],'Un nOTA'!$A$4:$K$5003,10,FALSE),"")</f>
        <v/>
      </c>
      <c r="I4054" s="123" t="str">
        <f>IFERROR(VLOOKUP(Table1722[[#This Row],[Bukti]],Table13[#Data],11,FALSE),"")</f>
        <v/>
      </c>
    </row>
    <row r="4055" spans="1:9" hidden="1" x14ac:dyDescent="0.2">
      <c r="A4055" s="105" t="str">
        <f>IF(D4055=1,COUNTIF($D$10:D4055,1)," ")</f>
        <v xml:space="preserve"> </v>
      </c>
      <c r="B4055" s="106">
        <f>COPY!AR4047</f>
        <v>0</v>
      </c>
      <c r="C4055" s="107">
        <f>COPY!AC4047</f>
        <v>0</v>
      </c>
      <c r="D4055" s="107" t="str">
        <f>IF(LEN(Table1722[[#This Row],[Uraian]])&gt;2,1," ")</f>
        <v xml:space="preserve"> </v>
      </c>
      <c r="E4055" s="113" t="str">
        <f>IF(Table1722[[#This Row],[Lawan Transaksi]]="CV AGUNG KARYA",COUNTIF($I$10:I4055,"CV AGUNG KARYA")," ")</f>
        <v xml:space="preserve"> </v>
      </c>
      <c r="F4055" s="107" t="str">
        <f>IF(LEN(Table1722[[#This Row],[Uraian]])&gt;2,TRIM(RIGHT(SUBSTITUTE(TRIM(C4055)," ",REPT(" ",255)),255))," ")</f>
        <v xml:space="preserve"> </v>
      </c>
      <c r="G4055" s="110">
        <f>COPY!Z4047</f>
        <v>0</v>
      </c>
      <c r="H4055" s="111" t="str">
        <f>IFERROR(VLOOKUP(Table1722[[#This Row],[Bukti]],'Un nOTA'!$A$4:$K$5003,10,FALSE),"")</f>
        <v/>
      </c>
      <c r="I4055" s="123" t="str">
        <f>IFERROR(VLOOKUP(Table1722[[#This Row],[Bukti]],Table13[#Data],11,FALSE),"")</f>
        <v/>
      </c>
    </row>
    <row r="4056" spans="1:9" hidden="1" x14ac:dyDescent="0.2">
      <c r="A4056" s="105" t="str">
        <f>IF(D4056=1,COUNTIF($D$10:D4056,1)," ")</f>
        <v xml:space="preserve"> </v>
      </c>
      <c r="B4056" s="106">
        <f>COPY!AR4048</f>
        <v>0</v>
      </c>
      <c r="C4056" s="107">
        <f>COPY!AC4048</f>
        <v>0</v>
      </c>
      <c r="D4056" s="107" t="str">
        <f>IF(LEN(Table1722[[#This Row],[Uraian]])&gt;2,1," ")</f>
        <v xml:space="preserve"> </v>
      </c>
      <c r="E4056" s="113" t="str">
        <f>IF(Table1722[[#This Row],[Lawan Transaksi]]="CV AGUNG KARYA",COUNTIF($I$10:I4056,"CV AGUNG KARYA")," ")</f>
        <v xml:space="preserve"> </v>
      </c>
      <c r="F4056" s="107" t="str">
        <f>IF(LEN(Table1722[[#This Row],[Uraian]])&gt;2,TRIM(RIGHT(SUBSTITUTE(TRIM(C4056)," ",REPT(" ",255)),255))," ")</f>
        <v xml:space="preserve"> </v>
      </c>
      <c r="G4056" s="110">
        <f>COPY!Z4048</f>
        <v>0</v>
      </c>
      <c r="H4056" s="111" t="str">
        <f>IFERROR(VLOOKUP(Table1722[[#This Row],[Bukti]],'Un nOTA'!$A$4:$K$5003,10,FALSE),"")</f>
        <v/>
      </c>
      <c r="I4056" s="123" t="str">
        <f>IFERROR(VLOOKUP(Table1722[[#This Row],[Bukti]],Table13[#Data],11,FALSE),"")</f>
        <v/>
      </c>
    </row>
    <row r="4057" spans="1:9" hidden="1" x14ac:dyDescent="0.2">
      <c r="A4057" s="105" t="str">
        <f>IF(D4057=1,COUNTIF($D$10:D4057,1)," ")</f>
        <v xml:space="preserve"> </v>
      </c>
      <c r="B4057" s="106">
        <f>COPY!AR4049</f>
        <v>0</v>
      </c>
      <c r="C4057" s="107">
        <f>COPY!AC4049</f>
        <v>0</v>
      </c>
      <c r="D4057" s="107" t="str">
        <f>IF(LEN(Table1722[[#This Row],[Uraian]])&gt;2,1," ")</f>
        <v xml:space="preserve"> </v>
      </c>
      <c r="E4057" s="113" t="str">
        <f>IF(Table1722[[#This Row],[Lawan Transaksi]]="CV AGUNG KARYA",COUNTIF($I$10:I4057,"CV AGUNG KARYA")," ")</f>
        <v xml:space="preserve"> </v>
      </c>
      <c r="F4057" s="107" t="str">
        <f>IF(LEN(Table1722[[#This Row],[Uraian]])&gt;2,TRIM(RIGHT(SUBSTITUTE(TRIM(C4057)," ",REPT(" ",255)),255))," ")</f>
        <v xml:space="preserve"> </v>
      </c>
      <c r="G4057" s="110">
        <f>COPY!Z4049</f>
        <v>0</v>
      </c>
      <c r="H4057" s="111" t="str">
        <f>IFERROR(VLOOKUP(Table1722[[#This Row],[Bukti]],'Un nOTA'!$A$4:$K$5003,10,FALSE),"")</f>
        <v/>
      </c>
      <c r="I4057" s="123" t="str">
        <f>IFERROR(VLOOKUP(Table1722[[#This Row],[Bukti]],Table13[#Data],11,FALSE),"")</f>
        <v/>
      </c>
    </row>
    <row r="4058" spans="1:9" hidden="1" x14ac:dyDescent="0.2">
      <c r="A4058" s="105" t="str">
        <f>IF(D4058=1,COUNTIF($D$10:D4058,1)," ")</f>
        <v xml:space="preserve"> </v>
      </c>
      <c r="B4058" s="106">
        <f>COPY!AR4050</f>
        <v>0</v>
      </c>
      <c r="C4058" s="107">
        <f>COPY!AC4050</f>
        <v>0</v>
      </c>
      <c r="D4058" s="107" t="str">
        <f>IF(LEN(Table1722[[#This Row],[Uraian]])&gt;2,1," ")</f>
        <v xml:space="preserve"> </v>
      </c>
      <c r="E4058" s="113" t="str">
        <f>IF(Table1722[[#This Row],[Lawan Transaksi]]="CV AGUNG KARYA",COUNTIF($I$10:I4058,"CV AGUNG KARYA")," ")</f>
        <v xml:space="preserve"> </v>
      </c>
      <c r="F4058" s="107" t="str">
        <f>IF(LEN(Table1722[[#This Row],[Uraian]])&gt;2,TRIM(RIGHT(SUBSTITUTE(TRIM(C4058)," ",REPT(" ",255)),255))," ")</f>
        <v xml:space="preserve"> </v>
      </c>
      <c r="G4058" s="110">
        <f>COPY!Z4050</f>
        <v>0</v>
      </c>
      <c r="H4058" s="111" t="str">
        <f>IFERROR(VLOOKUP(Table1722[[#This Row],[Bukti]],'Un nOTA'!$A$4:$K$5003,10,FALSE),"")</f>
        <v/>
      </c>
      <c r="I4058" s="123" t="str">
        <f>IFERROR(VLOOKUP(Table1722[[#This Row],[Bukti]],Table13[#Data],11,FALSE),"")</f>
        <v/>
      </c>
    </row>
    <row r="4059" spans="1:9" hidden="1" x14ac:dyDescent="0.2">
      <c r="A4059" s="105" t="str">
        <f>IF(D4059=1,COUNTIF($D$10:D4059,1)," ")</f>
        <v xml:space="preserve"> </v>
      </c>
      <c r="B4059" s="106">
        <f>COPY!AR4051</f>
        <v>0</v>
      </c>
      <c r="C4059" s="107">
        <f>COPY!AC4051</f>
        <v>0</v>
      </c>
      <c r="D4059" s="107" t="str">
        <f>IF(LEN(Table1722[[#This Row],[Uraian]])&gt;2,1," ")</f>
        <v xml:space="preserve"> </v>
      </c>
      <c r="E4059" s="113" t="str">
        <f>IF(Table1722[[#This Row],[Lawan Transaksi]]="CV AGUNG KARYA",COUNTIF($I$10:I4059,"CV AGUNG KARYA")," ")</f>
        <v xml:space="preserve"> </v>
      </c>
      <c r="F4059" s="107" t="str">
        <f>IF(LEN(Table1722[[#This Row],[Uraian]])&gt;2,TRIM(RIGHT(SUBSTITUTE(TRIM(C4059)," ",REPT(" ",255)),255))," ")</f>
        <v xml:space="preserve"> </v>
      </c>
      <c r="G4059" s="110">
        <f>COPY!Z4051</f>
        <v>0</v>
      </c>
      <c r="H4059" s="111" t="str">
        <f>IFERROR(VLOOKUP(Table1722[[#This Row],[Bukti]],'Un nOTA'!$A$4:$K$5003,10,FALSE),"")</f>
        <v/>
      </c>
      <c r="I4059" s="123" t="str">
        <f>IFERROR(VLOOKUP(Table1722[[#This Row],[Bukti]],Table13[#Data],11,FALSE),"")</f>
        <v/>
      </c>
    </row>
    <row r="4060" spans="1:9" hidden="1" x14ac:dyDescent="0.2">
      <c r="A4060" s="105" t="str">
        <f>IF(D4060=1,COUNTIF($D$10:D4060,1)," ")</f>
        <v xml:space="preserve"> </v>
      </c>
      <c r="B4060" s="106">
        <f>COPY!AR4052</f>
        <v>0</v>
      </c>
      <c r="C4060" s="107">
        <f>COPY!AC4052</f>
        <v>0</v>
      </c>
      <c r="D4060" s="107" t="str">
        <f>IF(LEN(Table1722[[#This Row],[Uraian]])&gt;2,1," ")</f>
        <v xml:space="preserve"> </v>
      </c>
      <c r="E4060" s="113" t="str">
        <f>IF(Table1722[[#This Row],[Lawan Transaksi]]="CV AGUNG KARYA",COUNTIF($I$10:I4060,"CV AGUNG KARYA")," ")</f>
        <v xml:space="preserve"> </v>
      </c>
      <c r="F4060" s="107" t="str">
        <f>IF(LEN(Table1722[[#This Row],[Uraian]])&gt;2,TRIM(RIGHT(SUBSTITUTE(TRIM(C4060)," ",REPT(" ",255)),255))," ")</f>
        <v xml:space="preserve"> </v>
      </c>
      <c r="G4060" s="110">
        <f>COPY!Z4052</f>
        <v>0</v>
      </c>
      <c r="H4060" s="111" t="str">
        <f>IFERROR(VLOOKUP(Table1722[[#This Row],[Bukti]],'Un nOTA'!$A$4:$K$5003,10,FALSE),"")</f>
        <v/>
      </c>
      <c r="I4060" s="123" t="str">
        <f>IFERROR(VLOOKUP(Table1722[[#This Row],[Bukti]],Table13[#Data],11,FALSE),"")</f>
        <v/>
      </c>
    </row>
    <row r="4061" spans="1:9" hidden="1" x14ac:dyDescent="0.2">
      <c r="A4061" s="105" t="str">
        <f>IF(D4061=1,COUNTIF($D$10:D4061,1)," ")</f>
        <v xml:space="preserve"> </v>
      </c>
      <c r="B4061" s="106">
        <f>COPY!AR4053</f>
        <v>0</v>
      </c>
      <c r="C4061" s="107">
        <f>COPY!AC4053</f>
        <v>0</v>
      </c>
      <c r="D4061" s="107" t="str">
        <f>IF(LEN(Table1722[[#This Row],[Uraian]])&gt;2,1," ")</f>
        <v xml:space="preserve"> </v>
      </c>
      <c r="E4061" s="113" t="str">
        <f>IF(Table1722[[#This Row],[Lawan Transaksi]]="CV AGUNG KARYA",COUNTIF($I$10:I4061,"CV AGUNG KARYA")," ")</f>
        <v xml:space="preserve"> </v>
      </c>
      <c r="F4061" s="107" t="str">
        <f>IF(LEN(Table1722[[#This Row],[Uraian]])&gt;2,TRIM(RIGHT(SUBSTITUTE(TRIM(C4061)," ",REPT(" ",255)),255))," ")</f>
        <v xml:space="preserve"> </v>
      </c>
      <c r="G4061" s="110">
        <f>COPY!Z4053</f>
        <v>0</v>
      </c>
      <c r="H4061" s="111" t="str">
        <f>IFERROR(VLOOKUP(Table1722[[#This Row],[Bukti]],'Un nOTA'!$A$4:$K$5003,10,FALSE),"")</f>
        <v/>
      </c>
      <c r="I4061" s="123" t="str">
        <f>IFERROR(VLOOKUP(Table1722[[#This Row],[Bukti]],Table13[#Data],11,FALSE),"")</f>
        <v/>
      </c>
    </row>
    <row r="4062" spans="1:9" hidden="1" x14ac:dyDescent="0.2">
      <c r="A4062" s="105" t="str">
        <f>IF(D4062=1,COUNTIF($D$10:D4062,1)," ")</f>
        <v xml:space="preserve"> </v>
      </c>
      <c r="B4062" s="106">
        <f>COPY!AR4054</f>
        <v>0</v>
      </c>
      <c r="C4062" s="107">
        <f>COPY!AC4054</f>
        <v>0</v>
      </c>
      <c r="D4062" s="107" t="str">
        <f>IF(LEN(Table1722[[#This Row],[Uraian]])&gt;2,1," ")</f>
        <v xml:space="preserve"> </v>
      </c>
      <c r="E4062" s="113" t="str">
        <f>IF(Table1722[[#This Row],[Lawan Transaksi]]="CV AGUNG KARYA",COUNTIF($I$10:I4062,"CV AGUNG KARYA")," ")</f>
        <v xml:space="preserve"> </v>
      </c>
      <c r="F4062" s="107" t="str">
        <f>IF(LEN(Table1722[[#This Row],[Uraian]])&gt;2,TRIM(RIGHT(SUBSTITUTE(TRIM(C4062)," ",REPT(" ",255)),255))," ")</f>
        <v xml:space="preserve"> </v>
      </c>
      <c r="G4062" s="110">
        <f>COPY!Z4054</f>
        <v>0</v>
      </c>
      <c r="H4062" s="111" t="str">
        <f>IFERROR(VLOOKUP(Table1722[[#This Row],[Bukti]],'Un nOTA'!$A$4:$K$5003,10,FALSE),"")</f>
        <v/>
      </c>
      <c r="I4062" s="123" t="str">
        <f>IFERROR(VLOOKUP(Table1722[[#This Row],[Bukti]],Table13[#Data],11,FALSE),"")</f>
        <v/>
      </c>
    </row>
    <row r="4063" spans="1:9" hidden="1" x14ac:dyDescent="0.2">
      <c r="A4063" s="105" t="str">
        <f>IF(D4063=1,COUNTIF($D$10:D4063,1)," ")</f>
        <v xml:space="preserve"> </v>
      </c>
      <c r="B4063" s="106">
        <f>COPY!AR4055</f>
        <v>0</v>
      </c>
      <c r="C4063" s="107">
        <f>COPY!AC4055</f>
        <v>0</v>
      </c>
      <c r="D4063" s="107" t="str">
        <f>IF(LEN(Table1722[[#This Row],[Uraian]])&gt;2,1," ")</f>
        <v xml:space="preserve"> </v>
      </c>
      <c r="E4063" s="113" t="str">
        <f>IF(Table1722[[#This Row],[Lawan Transaksi]]="CV AGUNG KARYA",COUNTIF($I$10:I4063,"CV AGUNG KARYA")," ")</f>
        <v xml:space="preserve"> </v>
      </c>
      <c r="F4063" s="107" t="str">
        <f>IF(LEN(Table1722[[#This Row],[Uraian]])&gt;2,TRIM(RIGHT(SUBSTITUTE(TRIM(C4063)," ",REPT(" ",255)),255))," ")</f>
        <v xml:space="preserve"> </v>
      </c>
      <c r="G4063" s="110">
        <f>COPY!Z4055</f>
        <v>0</v>
      </c>
      <c r="H4063" s="111" t="str">
        <f>IFERROR(VLOOKUP(Table1722[[#This Row],[Bukti]],'Un nOTA'!$A$4:$K$5003,10,FALSE),"")</f>
        <v/>
      </c>
      <c r="I4063" s="123" t="str">
        <f>IFERROR(VLOOKUP(Table1722[[#This Row],[Bukti]],Table13[#Data],11,FALSE),"")</f>
        <v/>
      </c>
    </row>
    <row r="4064" spans="1:9" hidden="1" x14ac:dyDescent="0.2">
      <c r="A4064" s="105" t="str">
        <f>IF(D4064=1,COUNTIF($D$10:D4064,1)," ")</f>
        <v xml:space="preserve"> </v>
      </c>
      <c r="B4064" s="106">
        <f>COPY!AR4056</f>
        <v>0</v>
      </c>
      <c r="C4064" s="107">
        <f>COPY!AC4056</f>
        <v>0</v>
      </c>
      <c r="D4064" s="107" t="str">
        <f>IF(LEN(Table1722[[#This Row],[Uraian]])&gt;2,1," ")</f>
        <v xml:space="preserve"> </v>
      </c>
      <c r="E4064" s="113" t="str">
        <f>IF(Table1722[[#This Row],[Lawan Transaksi]]="CV AGUNG KARYA",COUNTIF($I$10:I4064,"CV AGUNG KARYA")," ")</f>
        <v xml:space="preserve"> </v>
      </c>
      <c r="F4064" s="107" t="str">
        <f>IF(LEN(Table1722[[#This Row],[Uraian]])&gt;2,TRIM(RIGHT(SUBSTITUTE(TRIM(C4064)," ",REPT(" ",255)),255))," ")</f>
        <v xml:space="preserve"> </v>
      </c>
      <c r="G4064" s="110">
        <f>COPY!Z4056</f>
        <v>0</v>
      </c>
      <c r="H4064" s="111" t="str">
        <f>IFERROR(VLOOKUP(Table1722[[#This Row],[Bukti]],'Un nOTA'!$A$4:$K$5003,10,FALSE),"")</f>
        <v/>
      </c>
      <c r="I4064" s="123" t="str">
        <f>IFERROR(VLOOKUP(Table1722[[#This Row],[Bukti]],Table13[#Data],11,FALSE),"")</f>
        <v/>
      </c>
    </row>
    <row r="4065" spans="1:9" hidden="1" x14ac:dyDescent="0.2">
      <c r="A4065" s="105" t="str">
        <f>IF(D4065=1,COUNTIF($D$10:D4065,1)," ")</f>
        <v xml:space="preserve"> </v>
      </c>
      <c r="B4065" s="106">
        <f>COPY!AR4057</f>
        <v>0</v>
      </c>
      <c r="C4065" s="107">
        <f>COPY!AC4057</f>
        <v>0</v>
      </c>
      <c r="D4065" s="107" t="str">
        <f>IF(LEN(Table1722[[#This Row],[Uraian]])&gt;2,1," ")</f>
        <v xml:space="preserve"> </v>
      </c>
      <c r="E4065" s="113" t="str">
        <f>IF(Table1722[[#This Row],[Lawan Transaksi]]="CV AGUNG KARYA",COUNTIF($I$10:I4065,"CV AGUNG KARYA")," ")</f>
        <v xml:space="preserve"> </v>
      </c>
      <c r="F4065" s="107" t="str">
        <f>IF(LEN(Table1722[[#This Row],[Uraian]])&gt;2,TRIM(RIGHT(SUBSTITUTE(TRIM(C4065)," ",REPT(" ",255)),255))," ")</f>
        <v xml:space="preserve"> </v>
      </c>
      <c r="G4065" s="110">
        <f>COPY!Z4057</f>
        <v>0</v>
      </c>
      <c r="H4065" s="111" t="str">
        <f>IFERROR(VLOOKUP(Table1722[[#This Row],[Bukti]],'Un nOTA'!$A$4:$K$5003,10,FALSE),"")</f>
        <v/>
      </c>
      <c r="I4065" s="123" t="str">
        <f>IFERROR(VLOOKUP(Table1722[[#This Row],[Bukti]],Table13[#Data],11,FALSE),"")</f>
        <v/>
      </c>
    </row>
    <row r="4066" spans="1:9" hidden="1" x14ac:dyDescent="0.2">
      <c r="A4066" s="105" t="str">
        <f>IF(D4066=1,COUNTIF($D$10:D4066,1)," ")</f>
        <v xml:space="preserve"> </v>
      </c>
      <c r="B4066" s="106">
        <f>COPY!AR4058</f>
        <v>0</v>
      </c>
      <c r="C4066" s="107">
        <f>COPY!AC4058</f>
        <v>0</v>
      </c>
      <c r="D4066" s="107" t="str">
        <f>IF(LEN(Table1722[[#This Row],[Uraian]])&gt;2,1," ")</f>
        <v xml:space="preserve"> </v>
      </c>
      <c r="E4066" s="113" t="str">
        <f>IF(Table1722[[#This Row],[Lawan Transaksi]]="CV AGUNG KARYA",COUNTIF($I$10:I4066,"CV AGUNG KARYA")," ")</f>
        <v xml:space="preserve"> </v>
      </c>
      <c r="F4066" s="107" t="str">
        <f>IF(LEN(Table1722[[#This Row],[Uraian]])&gt;2,TRIM(RIGHT(SUBSTITUTE(TRIM(C4066)," ",REPT(" ",255)),255))," ")</f>
        <v xml:space="preserve"> </v>
      </c>
      <c r="G4066" s="110">
        <f>COPY!Z4058</f>
        <v>0</v>
      </c>
      <c r="H4066" s="111" t="str">
        <f>IFERROR(VLOOKUP(Table1722[[#This Row],[Bukti]],'Un nOTA'!$A$4:$K$5003,10,FALSE),"")</f>
        <v/>
      </c>
      <c r="I4066" s="123" t="str">
        <f>IFERROR(VLOOKUP(Table1722[[#This Row],[Bukti]],Table13[#Data],11,FALSE),"")</f>
        <v/>
      </c>
    </row>
    <row r="4067" spans="1:9" hidden="1" x14ac:dyDescent="0.2">
      <c r="A4067" s="105" t="str">
        <f>IF(D4067=1,COUNTIF($D$10:D4067,1)," ")</f>
        <v xml:space="preserve"> </v>
      </c>
      <c r="B4067" s="106">
        <f>COPY!AR4059</f>
        <v>0</v>
      </c>
      <c r="C4067" s="107">
        <f>COPY!AC4059</f>
        <v>0</v>
      </c>
      <c r="D4067" s="107" t="str">
        <f>IF(LEN(Table1722[[#This Row],[Uraian]])&gt;2,1," ")</f>
        <v xml:space="preserve"> </v>
      </c>
      <c r="E4067" s="113" t="str">
        <f>IF(Table1722[[#This Row],[Lawan Transaksi]]="CV AGUNG KARYA",COUNTIF($I$10:I4067,"CV AGUNG KARYA")," ")</f>
        <v xml:space="preserve"> </v>
      </c>
      <c r="F4067" s="107" t="str">
        <f>IF(LEN(Table1722[[#This Row],[Uraian]])&gt;2,TRIM(RIGHT(SUBSTITUTE(TRIM(C4067)," ",REPT(" ",255)),255))," ")</f>
        <v xml:space="preserve"> </v>
      </c>
      <c r="G4067" s="110">
        <f>COPY!Z4059</f>
        <v>0</v>
      </c>
      <c r="H4067" s="111" t="str">
        <f>IFERROR(VLOOKUP(Table1722[[#This Row],[Bukti]],'Un nOTA'!$A$4:$K$5003,10,FALSE),"")</f>
        <v/>
      </c>
      <c r="I4067" s="123" t="str">
        <f>IFERROR(VLOOKUP(Table1722[[#This Row],[Bukti]],Table13[#Data],11,FALSE),"")</f>
        <v/>
      </c>
    </row>
    <row r="4068" spans="1:9" hidden="1" x14ac:dyDescent="0.2">
      <c r="A4068" s="105" t="str">
        <f>IF(D4068=1,COUNTIF($D$10:D4068,1)," ")</f>
        <v xml:space="preserve"> </v>
      </c>
      <c r="B4068" s="106">
        <f>COPY!AR4060</f>
        <v>0</v>
      </c>
      <c r="C4068" s="107">
        <f>COPY!AC4060</f>
        <v>0</v>
      </c>
      <c r="D4068" s="107" t="str">
        <f>IF(LEN(Table1722[[#This Row],[Uraian]])&gt;2,1," ")</f>
        <v xml:space="preserve"> </v>
      </c>
      <c r="E4068" s="113" t="str">
        <f>IF(Table1722[[#This Row],[Lawan Transaksi]]="CV AGUNG KARYA",COUNTIF($I$10:I4068,"CV AGUNG KARYA")," ")</f>
        <v xml:space="preserve"> </v>
      </c>
      <c r="F4068" s="107" t="str">
        <f>IF(LEN(Table1722[[#This Row],[Uraian]])&gt;2,TRIM(RIGHT(SUBSTITUTE(TRIM(C4068)," ",REPT(" ",255)),255))," ")</f>
        <v xml:space="preserve"> </v>
      </c>
      <c r="G4068" s="110">
        <f>COPY!Z4060</f>
        <v>0</v>
      </c>
      <c r="H4068" s="111" t="str">
        <f>IFERROR(VLOOKUP(Table1722[[#This Row],[Bukti]],'Un nOTA'!$A$4:$K$5003,10,FALSE),"")</f>
        <v/>
      </c>
      <c r="I4068" s="123" t="str">
        <f>IFERROR(VLOOKUP(Table1722[[#This Row],[Bukti]],Table13[#Data],11,FALSE),"")</f>
        <v/>
      </c>
    </row>
    <row r="4069" spans="1:9" hidden="1" x14ac:dyDescent="0.2">
      <c r="A4069" s="105" t="str">
        <f>IF(D4069=1,COUNTIF($D$10:D4069,1)," ")</f>
        <v xml:space="preserve"> </v>
      </c>
      <c r="B4069" s="106">
        <f>COPY!AR4061</f>
        <v>0</v>
      </c>
      <c r="C4069" s="107">
        <f>COPY!AC4061</f>
        <v>0</v>
      </c>
      <c r="D4069" s="107" t="str">
        <f>IF(LEN(Table1722[[#This Row],[Uraian]])&gt;2,1," ")</f>
        <v xml:space="preserve"> </v>
      </c>
      <c r="E4069" s="113" t="str">
        <f>IF(Table1722[[#This Row],[Lawan Transaksi]]="CV AGUNG KARYA",COUNTIF($I$10:I4069,"CV AGUNG KARYA")," ")</f>
        <v xml:space="preserve"> </v>
      </c>
      <c r="F4069" s="107" t="str">
        <f>IF(LEN(Table1722[[#This Row],[Uraian]])&gt;2,TRIM(RIGHT(SUBSTITUTE(TRIM(C4069)," ",REPT(" ",255)),255))," ")</f>
        <v xml:space="preserve"> </v>
      </c>
      <c r="G4069" s="110">
        <f>COPY!Z4061</f>
        <v>0</v>
      </c>
      <c r="H4069" s="111" t="str">
        <f>IFERROR(VLOOKUP(Table1722[[#This Row],[Bukti]],'Un nOTA'!$A$4:$K$5003,10,FALSE),"")</f>
        <v/>
      </c>
      <c r="I4069" s="123" t="str">
        <f>IFERROR(VLOOKUP(Table1722[[#This Row],[Bukti]],Table13[#Data],11,FALSE),"")</f>
        <v/>
      </c>
    </row>
    <row r="4070" spans="1:9" hidden="1" x14ac:dyDescent="0.2">
      <c r="A4070" s="105" t="str">
        <f>IF(D4070=1,COUNTIF($D$10:D4070,1)," ")</f>
        <v xml:space="preserve"> </v>
      </c>
      <c r="B4070" s="106">
        <f>COPY!AR4062</f>
        <v>0</v>
      </c>
      <c r="C4070" s="107">
        <f>COPY!AC4062</f>
        <v>0</v>
      </c>
      <c r="D4070" s="107" t="str">
        <f>IF(LEN(Table1722[[#This Row],[Uraian]])&gt;2,1," ")</f>
        <v xml:space="preserve"> </v>
      </c>
      <c r="E4070" s="113" t="str">
        <f>IF(Table1722[[#This Row],[Lawan Transaksi]]="CV AGUNG KARYA",COUNTIF($I$10:I4070,"CV AGUNG KARYA")," ")</f>
        <v xml:space="preserve"> </v>
      </c>
      <c r="F4070" s="107" t="str">
        <f>IF(LEN(Table1722[[#This Row],[Uraian]])&gt;2,TRIM(RIGHT(SUBSTITUTE(TRIM(C4070)," ",REPT(" ",255)),255))," ")</f>
        <v xml:space="preserve"> </v>
      </c>
      <c r="G4070" s="110">
        <f>COPY!Z4062</f>
        <v>0</v>
      </c>
      <c r="H4070" s="111" t="str">
        <f>IFERROR(VLOOKUP(Table1722[[#This Row],[Bukti]],'Un nOTA'!$A$4:$K$5003,10,FALSE),"")</f>
        <v/>
      </c>
      <c r="I4070" s="123" t="str">
        <f>IFERROR(VLOOKUP(Table1722[[#This Row],[Bukti]],Table13[#Data],11,FALSE),"")</f>
        <v/>
      </c>
    </row>
    <row r="4071" spans="1:9" hidden="1" x14ac:dyDescent="0.2">
      <c r="A4071" s="105" t="str">
        <f>IF(D4071=1,COUNTIF($D$10:D4071,1)," ")</f>
        <v xml:space="preserve"> </v>
      </c>
      <c r="B4071" s="106">
        <f>COPY!AR4063</f>
        <v>0</v>
      </c>
      <c r="C4071" s="107">
        <f>COPY!AC4063</f>
        <v>0</v>
      </c>
      <c r="D4071" s="107" t="str">
        <f>IF(LEN(Table1722[[#This Row],[Uraian]])&gt;2,1," ")</f>
        <v xml:space="preserve"> </v>
      </c>
      <c r="E4071" s="113" t="str">
        <f>IF(Table1722[[#This Row],[Lawan Transaksi]]="CV AGUNG KARYA",COUNTIF($I$10:I4071,"CV AGUNG KARYA")," ")</f>
        <v xml:space="preserve"> </v>
      </c>
      <c r="F4071" s="107" t="str">
        <f>IF(LEN(Table1722[[#This Row],[Uraian]])&gt;2,TRIM(RIGHT(SUBSTITUTE(TRIM(C4071)," ",REPT(" ",255)),255))," ")</f>
        <v xml:space="preserve"> </v>
      </c>
      <c r="G4071" s="110">
        <f>COPY!Z4063</f>
        <v>0</v>
      </c>
      <c r="H4071" s="111" t="str">
        <f>IFERROR(VLOOKUP(Table1722[[#This Row],[Bukti]],'Un nOTA'!$A$4:$K$5003,10,FALSE),"")</f>
        <v/>
      </c>
      <c r="I4071" s="123" t="str">
        <f>IFERROR(VLOOKUP(Table1722[[#This Row],[Bukti]],Table13[#Data],11,FALSE),"")</f>
        <v/>
      </c>
    </row>
    <row r="4072" spans="1:9" hidden="1" x14ac:dyDescent="0.2">
      <c r="A4072" s="105" t="str">
        <f>IF(D4072=1,COUNTIF($D$10:D4072,1)," ")</f>
        <v xml:space="preserve"> </v>
      </c>
      <c r="B4072" s="106">
        <f>COPY!AR4064</f>
        <v>0</v>
      </c>
      <c r="C4072" s="107">
        <f>COPY!AC4064</f>
        <v>0</v>
      </c>
      <c r="D4072" s="107" t="str">
        <f>IF(LEN(Table1722[[#This Row],[Uraian]])&gt;2,1," ")</f>
        <v xml:space="preserve"> </v>
      </c>
      <c r="E4072" s="113" t="str">
        <f>IF(Table1722[[#This Row],[Lawan Transaksi]]="CV AGUNG KARYA",COUNTIF($I$10:I4072,"CV AGUNG KARYA")," ")</f>
        <v xml:space="preserve"> </v>
      </c>
      <c r="F4072" s="107" t="str">
        <f>IF(LEN(Table1722[[#This Row],[Uraian]])&gt;2,TRIM(RIGHT(SUBSTITUTE(TRIM(C4072)," ",REPT(" ",255)),255))," ")</f>
        <v xml:space="preserve"> </v>
      </c>
      <c r="G4072" s="110">
        <f>COPY!Z4064</f>
        <v>0</v>
      </c>
      <c r="H4072" s="111" t="str">
        <f>IFERROR(VLOOKUP(Table1722[[#This Row],[Bukti]],'Un nOTA'!$A$4:$K$5003,10,FALSE),"")</f>
        <v/>
      </c>
      <c r="I4072" s="123" t="str">
        <f>IFERROR(VLOOKUP(Table1722[[#This Row],[Bukti]],Table13[#Data],11,FALSE),"")</f>
        <v/>
      </c>
    </row>
    <row r="4073" spans="1:9" hidden="1" x14ac:dyDescent="0.2">
      <c r="A4073" s="105" t="str">
        <f>IF(D4073=1,COUNTIF($D$10:D4073,1)," ")</f>
        <v xml:space="preserve"> </v>
      </c>
      <c r="B4073" s="106">
        <f>COPY!AR4065</f>
        <v>0</v>
      </c>
      <c r="C4073" s="107">
        <f>COPY!AC4065</f>
        <v>0</v>
      </c>
      <c r="D4073" s="107" t="str">
        <f>IF(LEN(Table1722[[#This Row],[Uraian]])&gt;2,1," ")</f>
        <v xml:space="preserve"> </v>
      </c>
      <c r="E4073" s="113" t="str">
        <f>IF(Table1722[[#This Row],[Lawan Transaksi]]="CV AGUNG KARYA",COUNTIF($I$10:I4073,"CV AGUNG KARYA")," ")</f>
        <v xml:space="preserve"> </v>
      </c>
      <c r="F4073" s="107" t="str">
        <f>IF(LEN(Table1722[[#This Row],[Uraian]])&gt;2,TRIM(RIGHT(SUBSTITUTE(TRIM(C4073)," ",REPT(" ",255)),255))," ")</f>
        <v xml:space="preserve"> </v>
      </c>
      <c r="G4073" s="110">
        <f>COPY!Z4065</f>
        <v>0</v>
      </c>
      <c r="H4073" s="111" t="str">
        <f>IFERROR(VLOOKUP(Table1722[[#This Row],[Bukti]],'Un nOTA'!$A$4:$K$5003,10,FALSE),"")</f>
        <v/>
      </c>
      <c r="I4073" s="123" t="str">
        <f>IFERROR(VLOOKUP(Table1722[[#This Row],[Bukti]],Table13[#Data],11,FALSE),"")</f>
        <v/>
      </c>
    </row>
    <row r="4074" spans="1:9" hidden="1" x14ac:dyDescent="0.2">
      <c r="A4074" s="105" t="str">
        <f>IF(D4074=1,COUNTIF($D$10:D4074,1)," ")</f>
        <v xml:space="preserve"> </v>
      </c>
      <c r="B4074" s="106">
        <f>COPY!AR4066</f>
        <v>0</v>
      </c>
      <c r="C4074" s="107">
        <f>COPY!AC4066</f>
        <v>0</v>
      </c>
      <c r="D4074" s="107" t="str">
        <f>IF(LEN(Table1722[[#This Row],[Uraian]])&gt;2,1," ")</f>
        <v xml:space="preserve"> </v>
      </c>
      <c r="E4074" s="113" t="str">
        <f>IF(Table1722[[#This Row],[Lawan Transaksi]]="CV AGUNG KARYA",COUNTIF($I$10:I4074,"CV AGUNG KARYA")," ")</f>
        <v xml:space="preserve"> </v>
      </c>
      <c r="F4074" s="107" t="str">
        <f>IF(LEN(Table1722[[#This Row],[Uraian]])&gt;2,TRIM(RIGHT(SUBSTITUTE(TRIM(C4074)," ",REPT(" ",255)),255))," ")</f>
        <v xml:space="preserve"> </v>
      </c>
      <c r="G4074" s="110">
        <f>COPY!Z4066</f>
        <v>0</v>
      </c>
      <c r="H4074" s="111" t="str">
        <f>IFERROR(VLOOKUP(Table1722[[#This Row],[Bukti]],'Un nOTA'!$A$4:$K$5003,10,FALSE),"")</f>
        <v/>
      </c>
      <c r="I4074" s="123" t="str">
        <f>IFERROR(VLOOKUP(Table1722[[#This Row],[Bukti]],Table13[#Data],11,FALSE),"")</f>
        <v/>
      </c>
    </row>
    <row r="4075" spans="1:9" hidden="1" x14ac:dyDescent="0.2">
      <c r="A4075" s="105" t="str">
        <f>IF(D4075=1,COUNTIF($D$10:D4075,1)," ")</f>
        <v xml:space="preserve"> </v>
      </c>
      <c r="B4075" s="106">
        <f>COPY!AR4067</f>
        <v>0</v>
      </c>
      <c r="C4075" s="107">
        <f>COPY!AC4067</f>
        <v>0</v>
      </c>
      <c r="D4075" s="107" t="str">
        <f>IF(LEN(Table1722[[#This Row],[Uraian]])&gt;2,1," ")</f>
        <v xml:space="preserve"> </v>
      </c>
      <c r="E4075" s="113" t="str">
        <f>IF(Table1722[[#This Row],[Lawan Transaksi]]="CV AGUNG KARYA",COUNTIF($I$10:I4075,"CV AGUNG KARYA")," ")</f>
        <v xml:space="preserve"> </v>
      </c>
      <c r="F4075" s="107" t="str">
        <f>IF(LEN(Table1722[[#This Row],[Uraian]])&gt;2,TRIM(RIGHT(SUBSTITUTE(TRIM(C4075)," ",REPT(" ",255)),255))," ")</f>
        <v xml:space="preserve"> </v>
      </c>
      <c r="G4075" s="110">
        <f>COPY!Z4067</f>
        <v>0</v>
      </c>
      <c r="H4075" s="111" t="str">
        <f>IFERROR(VLOOKUP(Table1722[[#This Row],[Bukti]],'Un nOTA'!$A$4:$K$5003,10,FALSE),"")</f>
        <v/>
      </c>
      <c r="I4075" s="123" t="str">
        <f>IFERROR(VLOOKUP(Table1722[[#This Row],[Bukti]],Table13[#Data],11,FALSE),"")</f>
        <v/>
      </c>
    </row>
    <row r="4076" spans="1:9" hidden="1" x14ac:dyDescent="0.2">
      <c r="A4076" s="105" t="str">
        <f>IF(D4076=1,COUNTIF($D$10:D4076,1)," ")</f>
        <v xml:space="preserve"> </v>
      </c>
      <c r="B4076" s="106">
        <f>COPY!AR4068</f>
        <v>0</v>
      </c>
      <c r="C4076" s="107">
        <f>COPY!AC4068</f>
        <v>0</v>
      </c>
      <c r="D4076" s="107" t="str">
        <f>IF(LEN(Table1722[[#This Row],[Uraian]])&gt;2,1," ")</f>
        <v xml:space="preserve"> </v>
      </c>
      <c r="E4076" s="113" t="str">
        <f>IF(Table1722[[#This Row],[Lawan Transaksi]]="CV AGUNG KARYA",COUNTIF($I$10:I4076,"CV AGUNG KARYA")," ")</f>
        <v xml:space="preserve"> </v>
      </c>
      <c r="F4076" s="107" t="str">
        <f>IF(LEN(Table1722[[#This Row],[Uraian]])&gt;2,TRIM(RIGHT(SUBSTITUTE(TRIM(C4076)," ",REPT(" ",255)),255))," ")</f>
        <v xml:space="preserve"> </v>
      </c>
      <c r="G4076" s="110">
        <f>COPY!Z4068</f>
        <v>0</v>
      </c>
      <c r="H4076" s="111" t="str">
        <f>IFERROR(VLOOKUP(Table1722[[#This Row],[Bukti]],'Un nOTA'!$A$4:$K$5003,10,FALSE),"")</f>
        <v/>
      </c>
      <c r="I4076" s="123" t="str">
        <f>IFERROR(VLOOKUP(Table1722[[#This Row],[Bukti]],Table13[#Data],11,FALSE),"")</f>
        <v/>
      </c>
    </row>
    <row r="4077" spans="1:9" hidden="1" x14ac:dyDescent="0.2">
      <c r="A4077" s="105" t="str">
        <f>IF(D4077=1,COUNTIF($D$10:D4077,1)," ")</f>
        <v xml:space="preserve"> </v>
      </c>
      <c r="B4077" s="106">
        <f>COPY!AR4069</f>
        <v>0</v>
      </c>
      <c r="C4077" s="107">
        <f>COPY!AC4069</f>
        <v>0</v>
      </c>
      <c r="D4077" s="107" t="str">
        <f>IF(LEN(Table1722[[#This Row],[Uraian]])&gt;2,1," ")</f>
        <v xml:space="preserve"> </v>
      </c>
      <c r="E4077" s="113" t="str">
        <f>IF(Table1722[[#This Row],[Lawan Transaksi]]="CV AGUNG KARYA",COUNTIF($I$10:I4077,"CV AGUNG KARYA")," ")</f>
        <v xml:space="preserve"> </v>
      </c>
      <c r="F4077" s="107" t="str">
        <f>IF(LEN(Table1722[[#This Row],[Uraian]])&gt;2,TRIM(RIGHT(SUBSTITUTE(TRIM(C4077)," ",REPT(" ",255)),255))," ")</f>
        <v xml:space="preserve"> </v>
      </c>
      <c r="G4077" s="110">
        <f>COPY!Z4069</f>
        <v>0</v>
      </c>
      <c r="H4077" s="111" t="str">
        <f>IFERROR(VLOOKUP(Table1722[[#This Row],[Bukti]],'Un nOTA'!$A$4:$K$5003,10,FALSE),"")</f>
        <v/>
      </c>
      <c r="I4077" s="123" t="str">
        <f>IFERROR(VLOOKUP(Table1722[[#This Row],[Bukti]],Table13[#Data],11,FALSE),"")</f>
        <v/>
      </c>
    </row>
    <row r="4078" spans="1:9" hidden="1" x14ac:dyDescent="0.2">
      <c r="A4078" s="105" t="str">
        <f>IF(D4078=1,COUNTIF($D$10:D4078,1)," ")</f>
        <v xml:space="preserve"> </v>
      </c>
      <c r="B4078" s="106">
        <f>COPY!AR4070</f>
        <v>0</v>
      </c>
      <c r="C4078" s="107">
        <f>COPY!AC4070</f>
        <v>0</v>
      </c>
      <c r="D4078" s="107" t="str">
        <f>IF(LEN(Table1722[[#This Row],[Uraian]])&gt;2,1," ")</f>
        <v xml:space="preserve"> </v>
      </c>
      <c r="E4078" s="113" t="str">
        <f>IF(Table1722[[#This Row],[Lawan Transaksi]]="CV AGUNG KARYA",COUNTIF($I$10:I4078,"CV AGUNG KARYA")," ")</f>
        <v xml:space="preserve"> </v>
      </c>
      <c r="F4078" s="107" t="str">
        <f>IF(LEN(Table1722[[#This Row],[Uraian]])&gt;2,TRIM(RIGHT(SUBSTITUTE(TRIM(C4078)," ",REPT(" ",255)),255))," ")</f>
        <v xml:space="preserve"> </v>
      </c>
      <c r="G4078" s="110">
        <f>COPY!Z4070</f>
        <v>0</v>
      </c>
      <c r="H4078" s="111" t="str">
        <f>IFERROR(VLOOKUP(Table1722[[#This Row],[Bukti]],'Un nOTA'!$A$4:$K$5003,10,FALSE),"")</f>
        <v/>
      </c>
      <c r="I4078" s="123" t="str">
        <f>IFERROR(VLOOKUP(Table1722[[#This Row],[Bukti]],Table13[#Data],11,FALSE),"")</f>
        <v/>
      </c>
    </row>
    <row r="4079" spans="1:9" hidden="1" x14ac:dyDescent="0.2">
      <c r="A4079" s="105" t="str">
        <f>IF(D4079=1,COUNTIF($D$10:D4079,1)," ")</f>
        <v xml:space="preserve"> </v>
      </c>
      <c r="B4079" s="106">
        <f>COPY!AR4071</f>
        <v>0</v>
      </c>
      <c r="C4079" s="107">
        <f>COPY!AC4071</f>
        <v>0</v>
      </c>
      <c r="D4079" s="107" t="str">
        <f>IF(LEN(Table1722[[#This Row],[Uraian]])&gt;2,1," ")</f>
        <v xml:space="preserve"> </v>
      </c>
      <c r="E4079" s="113" t="str">
        <f>IF(Table1722[[#This Row],[Lawan Transaksi]]="CV AGUNG KARYA",COUNTIF($I$10:I4079,"CV AGUNG KARYA")," ")</f>
        <v xml:space="preserve"> </v>
      </c>
      <c r="F4079" s="107" t="str">
        <f>IF(LEN(Table1722[[#This Row],[Uraian]])&gt;2,TRIM(RIGHT(SUBSTITUTE(TRIM(C4079)," ",REPT(" ",255)),255))," ")</f>
        <v xml:space="preserve"> </v>
      </c>
      <c r="G4079" s="110">
        <f>COPY!Z4071</f>
        <v>0</v>
      </c>
      <c r="H4079" s="111" t="str">
        <f>IFERROR(VLOOKUP(Table1722[[#This Row],[Bukti]],'Un nOTA'!$A$4:$K$5003,10,FALSE),"")</f>
        <v/>
      </c>
      <c r="I4079" s="123" t="str">
        <f>IFERROR(VLOOKUP(Table1722[[#This Row],[Bukti]],Table13[#Data],11,FALSE),"")</f>
        <v/>
      </c>
    </row>
    <row r="4080" spans="1:9" hidden="1" x14ac:dyDescent="0.2">
      <c r="A4080" s="105" t="str">
        <f>IF(D4080=1,COUNTIF($D$10:D4080,1)," ")</f>
        <v xml:space="preserve"> </v>
      </c>
      <c r="B4080" s="106">
        <f>COPY!AR4072</f>
        <v>0</v>
      </c>
      <c r="C4080" s="107">
        <f>COPY!AC4072</f>
        <v>0</v>
      </c>
      <c r="D4080" s="107" t="str">
        <f>IF(LEN(Table1722[[#This Row],[Uraian]])&gt;2,1," ")</f>
        <v xml:space="preserve"> </v>
      </c>
      <c r="E4080" s="113" t="str">
        <f>IF(Table1722[[#This Row],[Lawan Transaksi]]="CV AGUNG KARYA",COUNTIF($I$10:I4080,"CV AGUNG KARYA")," ")</f>
        <v xml:space="preserve"> </v>
      </c>
      <c r="F4080" s="107" t="str">
        <f>IF(LEN(Table1722[[#This Row],[Uraian]])&gt;2,TRIM(RIGHT(SUBSTITUTE(TRIM(C4080)," ",REPT(" ",255)),255))," ")</f>
        <v xml:space="preserve"> </v>
      </c>
      <c r="G4080" s="110">
        <f>COPY!Z4072</f>
        <v>0</v>
      </c>
      <c r="H4080" s="111" t="str">
        <f>IFERROR(VLOOKUP(Table1722[[#This Row],[Bukti]],'Un nOTA'!$A$4:$K$5003,10,FALSE),"")</f>
        <v/>
      </c>
      <c r="I4080" s="123" t="str">
        <f>IFERROR(VLOOKUP(Table1722[[#This Row],[Bukti]],Table13[#Data],11,FALSE),"")</f>
        <v/>
      </c>
    </row>
    <row r="4081" spans="1:9" hidden="1" x14ac:dyDescent="0.2">
      <c r="A4081" s="105" t="str">
        <f>IF(D4081=1,COUNTIF($D$10:D4081,1)," ")</f>
        <v xml:space="preserve"> </v>
      </c>
      <c r="B4081" s="106">
        <f>COPY!AR4073</f>
        <v>0</v>
      </c>
      <c r="C4081" s="107">
        <f>COPY!AC4073</f>
        <v>0</v>
      </c>
      <c r="D4081" s="107" t="str">
        <f>IF(LEN(Table1722[[#This Row],[Uraian]])&gt;2,1," ")</f>
        <v xml:space="preserve"> </v>
      </c>
      <c r="E4081" s="113" t="str">
        <f>IF(Table1722[[#This Row],[Lawan Transaksi]]="CV AGUNG KARYA",COUNTIF($I$10:I4081,"CV AGUNG KARYA")," ")</f>
        <v xml:space="preserve"> </v>
      </c>
      <c r="F4081" s="107" t="str">
        <f>IF(LEN(Table1722[[#This Row],[Uraian]])&gt;2,TRIM(RIGHT(SUBSTITUTE(TRIM(C4081)," ",REPT(" ",255)),255))," ")</f>
        <v xml:space="preserve"> </v>
      </c>
      <c r="G4081" s="110">
        <f>COPY!Z4073</f>
        <v>0</v>
      </c>
      <c r="H4081" s="111" t="str">
        <f>IFERROR(VLOOKUP(Table1722[[#This Row],[Bukti]],'Un nOTA'!$A$4:$K$5003,10,FALSE),"")</f>
        <v/>
      </c>
      <c r="I4081" s="123" t="str">
        <f>IFERROR(VLOOKUP(Table1722[[#This Row],[Bukti]],Table13[#Data],11,FALSE),"")</f>
        <v/>
      </c>
    </row>
    <row r="4082" spans="1:9" hidden="1" x14ac:dyDescent="0.2">
      <c r="A4082" s="105" t="str">
        <f>IF(D4082=1,COUNTIF($D$10:D4082,1)," ")</f>
        <v xml:space="preserve"> </v>
      </c>
      <c r="B4082" s="106">
        <f>COPY!AR4074</f>
        <v>0</v>
      </c>
      <c r="C4082" s="107">
        <f>COPY!AC4074</f>
        <v>0</v>
      </c>
      <c r="D4082" s="107" t="str">
        <f>IF(LEN(Table1722[[#This Row],[Uraian]])&gt;2,1," ")</f>
        <v xml:space="preserve"> </v>
      </c>
      <c r="E4082" s="113" t="str">
        <f>IF(Table1722[[#This Row],[Lawan Transaksi]]="CV AGUNG KARYA",COUNTIF($I$10:I4082,"CV AGUNG KARYA")," ")</f>
        <v xml:space="preserve"> </v>
      </c>
      <c r="F4082" s="107" t="str">
        <f>IF(LEN(Table1722[[#This Row],[Uraian]])&gt;2,TRIM(RIGHT(SUBSTITUTE(TRIM(C4082)," ",REPT(" ",255)),255))," ")</f>
        <v xml:space="preserve"> </v>
      </c>
      <c r="G4082" s="110">
        <f>COPY!Z4074</f>
        <v>0</v>
      </c>
      <c r="H4082" s="111" t="str">
        <f>IFERROR(VLOOKUP(Table1722[[#This Row],[Bukti]],'Un nOTA'!$A$4:$K$5003,10,FALSE),"")</f>
        <v/>
      </c>
      <c r="I4082" s="123" t="str">
        <f>IFERROR(VLOOKUP(Table1722[[#This Row],[Bukti]],Table13[#Data],11,FALSE),"")</f>
        <v/>
      </c>
    </row>
    <row r="4083" spans="1:9" hidden="1" x14ac:dyDescent="0.2">
      <c r="A4083" s="105" t="str">
        <f>IF(D4083=1,COUNTIF($D$10:D4083,1)," ")</f>
        <v xml:space="preserve"> </v>
      </c>
      <c r="B4083" s="106">
        <f>COPY!AR4075</f>
        <v>0</v>
      </c>
      <c r="C4083" s="107">
        <f>COPY!AC4075</f>
        <v>0</v>
      </c>
      <c r="D4083" s="107" t="str">
        <f>IF(LEN(Table1722[[#This Row],[Uraian]])&gt;2,1," ")</f>
        <v xml:space="preserve"> </v>
      </c>
      <c r="E4083" s="113" t="str">
        <f>IF(Table1722[[#This Row],[Lawan Transaksi]]="CV AGUNG KARYA",COUNTIF($I$10:I4083,"CV AGUNG KARYA")," ")</f>
        <v xml:space="preserve"> </v>
      </c>
      <c r="F4083" s="107" t="str">
        <f>IF(LEN(Table1722[[#This Row],[Uraian]])&gt;2,TRIM(RIGHT(SUBSTITUTE(TRIM(C4083)," ",REPT(" ",255)),255))," ")</f>
        <v xml:space="preserve"> </v>
      </c>
      <c r="G4083" s="110">
        <f>COPY!Z4075</f>
        <v>0</v>
      </c>
      <c r="H4083" s="111" t="str">
        <f>IFERROR(VLOOKUP(Table1722[[#This Row],[Bukti]],'Un nOTA'!$A$4:$K$5003,10,FALSE),"")</f>
        <v/>
      </c>
      <c r="I4083" s="123" t="str">
        <f>IFERROR(VLOOKUP(Table1722[[#This Row],[Bukti]],Table13[#Data],11,FALSE),"")</f>
        <v/>
      </c>
    </row>
    <row r="4084" spans="1:9" hidden="1" x14ac:dyDescent="0.2">
      <c r="A4084" s="105" t="str">
        <f>IF(D4084=1,COUNTIF($D$10:D4084,1)," ")</f>
        <v xml:space="preserve"> </v>
      </c>
      <c r="B4084" s="106">
        <f>COPY!AR4076</f>
        <v>0</v>
      </c>
      <c r="C4084" s="107">
        <f>COPY!AC4076</f>
        <v>0</v>
      </c>
      <c r="D4084" s="107" t="str">
        <f>IF(LEN(Table1722[[#This Row],[Uraian]])&gt;2,1," ")</f>
        <v xml:space="preserve"> </v>
      </c>
      <c r="E4084" s="113" t="str">
        <f>IF(Table1722[[#This Row],[Lawan Transaksi]]="CV AGUNG KARYA",COUNTIF($I$10:I4084,"CV AGUNG KARYA")," ")</f>
        <v xml:space="preserve"> </v>
      </c>
      <c r="F4084" s="107" t="str">
        <f>IF(LEN(Table1722[[#This Row],[Uraian]])&gt;2,TRIM(RIGHT(SUBSTITUTE(TRIM(C4084)," ",REPT(" ",255)),255))," ")</f>
        <v xml:space="preserve"> </v>
      </c>
      <c r="G4084" s="110">
        <f>COPY!Z4076</f>
        <v>0</v>
      </c>
      <c r="H4084" s="111" t="str">
        <f>IFERROR(VLOOKUP(Table1722[[#This Row],[Bukti]],'Un nOTA'!$A$4:$K$5003,10,FALSE),"")</f>
        <v/>
      </c>
      <c r="I4084" s="123" t="str">
        <f>IFERROR(VLOOKUP(Table1722[[#This Row],[Bukti]],Table13[#Data],11,FALSE),"")</f>
        <v/>
      </c>
    </row>
    <row r="4085" spans="1:9" hidden="1" x14ac:dyDescent="0.2">
      <c r="A4085" s="105" t="str">
        <f>IF(D4085=1,COUNTIF($D$10:D4085,1)," ")</f>
        <v xml:space="preserve"> </v>
      </c>
      <c r="B4085" s="106">
        <f>COPY!AR4077</f>
        <v>0</v>
      </c>
      <c r="C4085" s="107">
        <f>COPY!AC4077</f>
        <v>0</v>
      </c>
      <c r="D4085" s="107" t="str">
        <f>IF(LEN(Table1722[[#This Row],[Uraian]])&gt;2,1," ")</f>
        <v xml:space="preserve"> </v>
      </c>
      <c r="E4085" s="113" t="str">
        <f>IF(Table1722[[#This Row],[Lawan Transaksi]]="CV AGUNG KARYA",COUNTIF($I$10:I4085,"CV AGUNG KARYA")," ")</f>
        <v xml:space="preserve"> </v>
      </c>
      <c r="F4085" s="107" t="str">
        <f>IF(LEN(Table1722[[#This Row],[Uraian]])&gt;2,TRIM(RIGHT(SUBSTITUTE(TRIM(C4085)," ",REPT(" ",255)),255))," ")</f>
        <v xml:space="preserve"> </v>
      </c>
      <c r="G4085" s="110">
        <f>COPY!Z4077</f>
        <v>0</v>
      </c>
      <c r="H4085" s="111" t="str">
        <f>IFERROR(VLOOKUP(Table1722[[#This Row],[Bukti]],'Un nOTA'!$A$4:$K$5003,10,FALSE),"")</f>
        <v/>
      </c>
      <c r="I4085" s="123" t="str">
        <f>IFERROR(VLOOKUP(Table1722[[#This Row],[Bukti]],Table13[#Data],11,FALSE),"")</f>
        <v/>
      </c>
    </row>
    <row r="4086" spans="1:9" hidden="1" x14ac:dyDescent="0.2">
      <c r="A4086" s="105" t="str">
        <f>IF(D4086=1,COUNTIF($D$10:D4086,1)," ")</f>
        <v xml:space="preserve"> </v>
      </c>
      <c r="B4086" s="106">
        <f>COPY!AR4078</f>
        <v>0</v>
      </c>
      <c r="C4086" s="107">
        <f>COPY!AC4078</f>
        <v>0</v>
      </c>
      <c r="D4086" s="107" t="str">
        <f>IF(LEN(Table1722[[#This Row],[Uraian]])&gt;2,1," ")</f>
        <v xml:space="preserve"> </v>
      </c>
      <c r="E4086" s="113" t="str">
        <f>IF(Table1722[[#This Row],[Lawan Transaksi]]="CV AGUNG KARYA",COUNTIF($I$10:I4086,"CV AGUNG KARYA")," ")</f>
        <v xml:space="preserve"> </v>
      </c>
      <c r="F4086" s="107" t="str">
        <f>IF(LEN(Table1722[[#This Row],[Uraian]])&gt;2,TRIM(RIGHT(SUBSTITUTE(TRIM(C4086)," ",REPT(" ",255)),255))," ")</f>
        <v xml:space="preserve"> </v>
      </c>
      <c r="G4086" s="110">
        <f>COPY!Z4078</f>
        <v>0</v>
      </c>
      <c r="H4086" s="111" t="str">
        <f>IFERROR(VLOOKUP(Table1722[[#This Row],[Bukti]],'Un nOTA'!$A$4:$K$5003,10,FALSE),"")</f>
        <v/>
      </c>
      <c r="I4086" s="123" t="str">
        <f>IFERROR(VLOOKUP(Table1722[[#This Row],[Bukti]],Table13[#Data],11,FALSE),"")</f>
        <v/>
      </c>
    </row>
    <row r="4087" spans="1:9" hidden="1" x14ac:dyDescent="0.2">
      <c r="A4087" s="105" t="str">
        <f>IF(D4087=1,COUNTIF($D$10:D4087,1)," ")</f>
        <v xml:space="preserve"> </v>
      </c>
      <c r="B4087" s="106">
        <f>COPY!AR4079</f>
        <v>0</v>
      </c>
      <c r="C4087" s="107">
        <f>COPY!AC4079</f>
        <v>0</v>
      </c>
      <c r="D4087" s="107" t="str">
        <f>IF(LEN(Table1722[[#This Row],[Uraian]])&gt;2,1," ")</f>
        <v xml:space="preserve"> </v>
      </c>
      <c r="E4087" s="113" t="str">
        <f>IF(Table1722[[#This Row],[Lawan Transaksi]]="CV AGUNG KARYA",COUNTIF($I$10:I4087,"CV AGUNG KARYA")," ")</f>
        <v xml:space="preserve"> </v>
      </c>
      <c r="F4087" s="107" t="str">
        <f>IF(LEN(Table1722[[#This Row],[Uraian]])&gt;2,TRIM(RIGHT(SUBSTITUTE(TRIM(C4087)," ",REPT(" ",255)),255))," ")</f>
        <v xml:space="preserve"> </v>
      </c>
      <c r="G4087" s="110">
        <f>COPY!Z4079</f>
        <v>0</v>
      </c>
      <c r="H4087" s="111" t="str">
        <f>IFERROR(VLOOKUP(Table1722[[#This Row],[Bukti]],'Un nOTA'!$A$4:$K$5003,10,FALSE),"")</f>
        <v/>
      </c>
      <c r="I4087" s="123" t="str">
        <f>IFERROR(VLOOKUP(Table1722[[#This Row],[Bukti]],Table13[#Data],11,FALSE),"")</f>
        <v/>
      </c>
    </row>
    <row r="4088" spans="1:9" hidden="1" x14ac:dyDescent="0.2">
      <c r="A4088" s="105" t="str">
        <f>IF(D4088=1,COUNTIF($D$10:D4088,1)," ")</f>
        <v xml:space="preserve"> </v>
      </c>
      <c r="B4088" s="106">
        <f>COPY!AR4080</f>
        <v>0</v>
      </c>
      <c r="C4088" s="107">
        <f>COPY!AC4080</f>
        <v>0</v>
      </c>
      <c r="D4088" s="107" t="str">
        <f>IF(LEN(Table1722[[#This Row],[Uraian]])&gt;2,1," ")</f>
        <v xml:space="preserve"> </v>
      </c>
      <c r="E4088" s="113" t="str">
        <f>IF(Table1722[[#This Row],[Lawan Transaksi]]="CV AGUNG KARYA",COUNTIF($I$10:I4088,"CV AGUNG KARYA")," ")</f>
        <v xml:space="preserve"> </v>
      </c>
      <c r="F4088" s="107" t="str">
        <f>IF(LEN(Table1722[[#This Row],[Uraian]])&gt;2,TRIM(RIGHT(SUBSTITUTE(TRIM(C4088)," ",REPT(" ",255)),255))," ")</f>
        <v xml:space="preserve"> </v>
      </c>
      <c r="G4088" s="110">
        <f>COPY!Z4080</f>
        <v>0</v>
      </c>
      <c r="H4088" s="111" t="str">
        <f>IFERROR(VLOOKUP(Table1722[[#This Row],[Bukti]],'Un nOTA'!$A$4:$K$5003,10,FALSE),"")</f>
        <v/>
      </c>
      <c r="I4088" s="123" t="str">
        <f>IFERROR(VLOOKUP(Table1722[[#This Row],[Bukti]],Table13[#Data],11,FALSE),"")</f>
        <v/>
      </c>
    </row>
    <row r="4089" spans="1:9" hidden="1" x14ac:dyDescent="0.2">
      <c r="A4089" s="105" t="str">
        <f>IF(D4089=1,COUNTIF($D$10:D4089,1)," ")</f>
        <v xml:space="preserve"> </v>
      </c>
      <c r="B4089" s="106">
        <f>COPY!AR4081</f>
        <v>0</v>
      </c>
      <c r="C4089" s="107">
        <f>COPY!AC4081</f>
        <v>0</v>
      </c>
      <c r="D4089" s="107" t="str">
        <f>IF(LEN(Table1722[[#This Row],[Uraian]])&gt;2,1," ")</f>
        <v xml:space="preserve"> </v>
      </c>
      <c r="E4089" s="113" t="str">
        <f>IF(Table1722[[#This Row],[Lawan Transaksi]]="CV AGUNG KARYA",COUNTIF($I$10:I4089,"CV AGUNG KARYA")," ")</f>
        <v xml:space="preserve"> </v>
      </c>
      <c r="F4089" s="107" t="str">
        <f>IF(LEN(Table1722[[#This Row],[Uraian]])&gt;2,TRIM(RIGHT(SUBSTITUTE(TRIM(C4089)," ",REPT(" ",255)),255))," ")</f>
        <v xml:space="preserve"> </v>
      </c>
      <c r="G4089" s="110">
        <f>COPY!Z4081</f>
        <v>0</v>
      </c>
      <c r="H4089" s="111" t="str">
        <f>IFERROR(VLOOKUP(Table1722[[#This Row],[Bukti]],'Un nOTA'!$A$4:$K$5003,10,FALSE),"")</f>
        <v/>
      </c>
      <c r="I4089" s="123" t="str">
        <f>IFERROR(VLOOKUP(Table1722[[#This Row],[Bukti]],Table13[#Data],11,FALSE),"")</f>
        <v/>
      </c>
    </row>
    <row r="4090" spans="1:9" hidden="1" x14ac:dyDescent="0.2">
      <c r="A4090" s="105" t="str">
        <f>IF(D4090=1,COUNTIF($D$10:D4090,1)," ")</f>
        <v xml:space="preserve"> </v>
      </c>
      <c r="B4090" s="106">
        <f>COPY!AR4082</f>
        <v>0</v>
      </c>
      <c r="C4090" s="107">
        <f>COPY!AC4082</f>
        <v>0</v>
      </c>
      <c r="D4090" s="107" t="str">
        <f>IF(LEN(Table1722[[#This Row],[Uraian]])&gt;2,1," ")</f>
        <v xml:space="preserve"> </v>
      </c>
      <c r="E4090" s="113" t="str">
        <f>IF(Table1722[[#This Row],[Lawan Transaksi]]="CV AGUNG KARYA",COUNTIF($I$10:I4090,"CV AGUNG KARYA")," ")</f>
        <v xml:space="preserve"> </v>
      </c>
      <c r="F4090" s="107" t="str">
        <f>IF(LEN(Table1722[[#This Row],[Uraian]])&gt;2,TRIM(RIGHT(SUBSTITUTE(TRIM(C4090)," ",REPT(" ",255)),255))," ")</f>
        <v xml:space="preserve"> </v>
      </c>
      <c r="G4090" s="110">
        <f>COPY!Z4082</f>
        <v>0</v>
      </c>
      <c r="H4090" s="111" t="str">
        <f>IFERROR(VLOOKUP(Table1722[[#This Row],[Bukti]],'Un nOTA'!$A$4:$K$5003,10,FALSE),"")</f>
        <v/>
      </c>
      <c r="I4090" s="123" t="str">
        <f>IFERROR(VLOOKUP(Table1722[[#This Row],[Bukti]],Table13[#Data],11,FALSE),"")</f>
        <v/>
      </c>
    </row>
    <row r="4091" spans="1:9" hidden="1" x14ac:dyDescent="0.2">
      <c r="A4091" s="105" t="str">
        <f>IF(D4091=1,COUNTIF($D$10:D4091,1)," ")</f>
        <v xml:space="preserve"> </v>
      </c>
      <c r="B4091" s="106">
        <f>COPY!AR4083</f>
        <v>0</v>
      </c>
      <c r="C4091" s="107">
        <f>COPY!AC4083</f>
        <v>0</v>
      </c>
      <c r="D4091" s="107" t="str">
        <f>IF(LEN(Table1722[[#This Row],[Uraian]])&gt;2,1," ")</f>
        <v xml:space="preserve"> </v>
      </c>
      <c r="E4091" s="113" t="str">
        <f>IF(Table1722[[#This Row],[Lawan Transaksi]]="CV AGUNG KARYA",COUNTIF($I$10:I4091,"CV AGUNG KARYA")," ")</f>
        <v xml:space="preserve"> </v>
      </c>
      <c r="F4091" s="107" t="str">
        <f>IF(LEN(Table1722[[#This Row],[Uraian]])&gt;2,TRIM(RIGHT(SUBSTITUTE(TRIM(C4091)," ",REPT(" ",255)),255))," ")</f>
        <v xml:space="preserve"> </v>
      </c>
      <c r="G4091" s="110">
        <f>COPY!Z4083</f>
        <v>0</v>
      </c>
      <c r="H4091" s="111" t="str">
        <f>IFERROR(VLOOKUP(Table1722[[#This Row],[Bukti]],'Un nOTA'!$A$4:$K$5003,10,FALSE),"")</f>
        <v/>
      </c>
      <c r="I4091" s="123" t="str">
        <f>IFERROR(VLOOKUP(Table1722[[#This Row],[Bukti]],Table13[#Data],11,FALSE),"")</f>
        <v/>
      </c>
    </row>
    <row r="4092" spans="1:9" hidden="1" x14ac:dyDescent="0.2">
      <c r="A4092" s="105" t="str">
        <f>IF(D4092=1,COUNTIF($D$10:D4092,1)," ")</f>
        <v xml:space="preserve"> </v>
      </c>
      <c r="B4092" s="106">
        <f>COPY!AR4084</f>
        <v>0</v>
      </c>
      <c r="C4092" s="107">
        <f>COPY!AC4084</f>
        <v>0</v>
      </c>
      <c r="D4092" s="107" t="str">
        <f>IF(LEN(Table1722[[#This Row],[Uraian]])&gt;2,1," ")</f>
        <v xml:space="preserve"> </v>
      </c>
      <c r="E4092" s="113" t="str">
        <f>IF(Table1722[[#This Row],[Lawan Transaksi]]="CV AGUNG KARYA",COUNTIF($I$10:I4092,"CV AGUNG KARYA")," ")</f>
        <v xml:space="preserve"> </v>
      </c>
      <c r="F4092" s="107" t="str">
        <f>IF(LEN(Table1722[[#This Row],[Uraian]])&gt;2,TRIM(RIGHT(SUBSTITUTE(TRIM(C4092)," ",REPT(" ",255)),255))," ")</f>
        <v xml:space="preserve"> </v>
      </c>
      <c r="G4092" s="110">
        <f>COPY!Z4084</f>
        <v>0</v>
      </c>
      <c r="H4092" s="111" t="str">
        <f>IFERROR(VLOOKUP(Table1722[[#This Row],[Bukti]],'Un nOTA'!$A$4:$K$5003,10,FALSE),"")</f>
        <v/>
      </c>
      <c r="I4092" s="123" t="str">
        <f>IFERROR(VLOOKUP(Table1722[[#This Row],[Bukti]],Table13[#Data],11,FALSE),"")</f>
        <v/>
      </c>
    </row>
    <row r="4093" spans="1:9" hidden="1" x14ac:dyDescent="0.2">
      <c r="A4093" s="105" t="str">
        <f>IF(D4093=1,COUNTIF($D$10:D4093,1)," ")</f>
        <v xml:space="preserve"> </v>
      </c>
      <c r="B4093" s="106">
        <f>COPY!AR4085</f>
        <v>0</v>
      </c>
      <c r="C4093" s="107">
        <f>COPY!AC4085</f>
        <v>0</v>
      </c>
      <c r="D4093" s="107" t="str">
        <f>IF(LEN(Table1722[[#This Row],[Uraian]])&gt;2,1," ")</f>
        <v xml:space="preserve"> </v>
      </c>
      <c r="E4093" s="113" t="str">
        <f>IF(Table1722[[#This Row],[Lawan Transaksi]]="CV AGUNG KARYA",COUNTIF($I$10:I4093,"CV AGUNG KARYA")," ")</f>
        <v xml:space="preserve"> </v>
      </c>
      <c r="F4093" s="107" t="str">
        <f>IF(LEN(Table1722[[#This Row],[Uraian]])&gt;2,TRIM(RIGHT(SUBSTITUTE(TRIM(C4093)," ",REPT(" ",255)),255))," ")</f>
        <v xml:space="preserve"> </v>
      </c>
      <c r="G4093" s="110">
        <f>COPY!Z4085</f>
        <v>0</v>
      </c>
      <c r="H4093" s="111" t="str">
        <f>IFERROR(VLOOKUP(Table1722[[#This Row],[Bukti]],'Un nOTA'!$A$4:$K$5003,10,FALSE),"")</f>
        <v/>
      </c>
      <c r="I4093" s="123" t="str">
        <f>IFERROR(VLOOKUP(Table1722[[#This Row],[Bukti]],Table13[#Data],11,FALSE),"")</f>
        <v/>
      </c>
    </row>
    <row r="4094" spans="1:9" hidden="1" x14ac:dyDescent="0.2">
      <c r="A4094" s="105" t="str">
        <f>IF(D4094=1,COUNTIF($D$10:D4094,1)," ")</f>
        <v xml:space="preserve"> </v>
      </c>
      <c r="B4094" s="106">
        <f>COPY!AR4086</f>
        <v>0</v>
      </c>
      <c r="C4094" s="107">
        <f>COPY!AC4086</f>
        <v>0</v>
      </c>
      <c r="D4094" s="107" t="str">
        <f>IF(LEN(Table1722[[#This Row],[Uraian]])&gt;2,1," ")</f>
        <v xml:space="preserve"> </v>
      </c>
      <c r="E4094" s="113" t="str">
        <f>IF(Table1722[[#This Row],[Lawan Transaksi]]="CV AGUNG KARYA",COUNTIF($I$10:I4094,"CV AGUNG KARYA")," ")</f>
        <v xml:space="preserve"> </v>
      </c>
      <c r="F4094" s="107" t="str">
        <f>IF(LEN(Table1722[[#This Row],[Uraian]])&gt;2,TRIM(RIGHT(SUBSTITUTE(TRIM(C4094)," ",REPT(" ",255)),255))," ")</f>
        <v xml:space="preserve"> </v>
      </c>
      <c r="G4094" s="110">
        <f>COPY!Z4086</f>
        <v>0</v>
      </c>
      <c r="H4094" s="111" t="str">
        <f>IFERROR(VLOOKUP(Table1722[[#This Row],[Bukti]],'Un nOTA'!$A$4:$K$5003,10,FALSE),"")</f>
        <v/>
      </c>
      <c r="I4094" s="123" t="str">
        <f>IFERROR(VLOOKUP(Table1722[[#This Row],[Bukti]],Table13[#Data],11,FALSE),"")</f>
        <v/>
      </c>
    </row>
    <row r="4095" spans="1:9" hidden="1" x14ac:dyDescent="0.2">
      <c r="A4095" s="105" t="str">
        <f>IF(D4095=1,COUNTIF($D$10:D4095,1)," ")</f>
        <v xml:space="preserve"> </v>
      </c>
      <c r="B4095" s="106">
        <f>COPY!AR4087</f>
        <v>0</v>
      </c>
      <c r="C4095" s="107">
        <f>COPY!AC4087</f>
        <v>0</v>
      </c>
      <c r="D4095" s="107" t="str">
        <f>IF(LEN(Table1722[[#This Row],[Uraian]])&gt;2,1," ")</f>
        <v xml:space="preserve"> </v>
      </c>
      <c r="E4095" s="113" t="str">
        <f>IF(Table1722[[#This Row],[Lawan Transaksi]]="CV AGUNG KARYA",COUNTIF($I$10:I4095,"CV AGUNG KARYA")," ")</f>
        <v xml:space="preserve"> </v>
      </c>
      <c r="F4095" s="107" t="str">
        <f>IF(LEN(Table1722[[#This Row],[Uraian]])&gt;2,TRIM(RIGHT(SUBSTITUTE(TRIM(C4095)," ",REPT(" ",255)),255))," ")</f>
        <v xml:space="preserve"> </v>
      </c>
      <c r="G4095" s="110">
        <f>COPY!Z4087</f>
        <v>0</v>
      </c>
      <c r="H4095" s="111" t="str">
        <f>IFERROR(VLOOKUP(Table1722[[#This Row],[Bukti]],'Un nOTA'!$A$4:$K$5003,10,FALSE),"")</f>
        <v/>
      </c>
      <c r="I4095" s="123" t="str">
        <f>IFERROR(VLOOKUP(Table1722[[#This Row],[Bukti]],Table13[#Data],11,FALSE),"")</f>
        <v/>
      </c>
    </row>
    <row r="4096" spans="1:9" hidden="1" x14ac:dyDescent="0.2">
      <c r="A4096" s="105" t="str">
        <f>IF(D4096=1,COUNTIF($D$10:D4096,1)," ")</f>
        <v xml:space="preserve"> </v>
      </c>
      <c r="B4096" s="106">
        <f>COPY!AR4088</f>
        <v>0</v>
      </c>
      <c r="C4096" s="107">
        <f>COPY!AC4088</f>
        <v>0</v>
      </c>
      <c r="D4096" s="107" t="str">
        <f>IF(LEN(Table1722[[#This Row],[Uraian]])&gt;2,1," ")</f>
        <v xml:space="preserve"> </v>
      </c>
      <c r="E4096" s="113" t="str">
        <f>IF(Table1722[[#This Row],[Lawan Transaksi]]="CV AGUNG KARYA",COUNTIF($I$10:I4096,"CV AGUNG KARYA")," ")</f>
        <v xml:space="preserve"> </v>
      </c>
      <c r="F4096" s="107" t="str">
        <f>IF(LEN(Table1722[[#This Row],[Uraian]])&gt;2,TRIM(RIGHT(SUBSTITUTE(TRIM(C4096)," ",REPT(" ",255)),255))," ")</f>
        <v xml:space="preserve"> </v>
      </c>
      <c r="G4096" s="110">
        <f>COPY!Z4088</f>
        <v>0</v>
      </c>
      <c r="H4096" s="111" t="str">
        <f>IFERROR(VLOOKUP(Table1722[[#This Row],[Bukti]],'Un nOTA'!$A$4:$K$5003,10,FALSE),"")</f>
        <v/>
      </c>
      <c r="I4096" s="123" t="str">
        <f>IFERROR(VLOOKUP(Table1722[[#This Row],[Bukti]],Table13[#Data],11,FALSE),"")</f>
        <v/>
      </c>
    </row>
    <row r="4097" spans="1:9" hidden="1" x14ac:dyDescent="0.2">
      <c r="A4097" s="105" t="str">
        <f>IF(D4097=1,COUNTIF($D$10:D4097,1)," ")</f>
        <v xml:space="preserve"> </v>
      </c>
      <c r="B4097" s="106">
        <f>COPY!AR4089</f>
        <v>0</v>
      </c>
      <c r="C4097" s="107">
        <f>COPY!AC4089</f>
        <v>0</v>
      </c>
      <c r="D4097" s="107" t="str">
        <f>IF(LEN(Table1722[[#This Row],[Uraian]])&gt;2,1," ")</f>
        <v xml:space="preserve"> </v>
      </c>
      <c r="E4097" s="113" t="str">
        <f>IF(Table1722[[#This Row],[Lawan Transaksi]]="CV AGUNG KARYA",COUNTIF($I$10:I4097,"CV AGUNG KARYA")," ")</f>
        <v xml:space="preserve"> </v>
      </c>
      <c r="F4097" s="107" t="str">
        <f>IF(LEN(Table1722[[#This Row],[Uraian]])&gt;2,TRIM(RIGHT(SUBSTITUTE(TRIM(C4097)," ",REPT(" ",255)),255))," ")</f>
        <v xml:space="preserve"> </v>
      </c>
      <c r="G4097" s="110">
        <f>COPY!Z4089</f>
        <v>0</v>
      </c>
      <c r="H4097" s="111" t="str">
        <f>IFERROR(VLOOKUP(Table1722[[#This Row],[Bukti]],'Un nOTA'!$A$4:$K$5003,10,FALSE),"")</f>
        <v/>
      </c>
      <c r="I4097" s="123" t="str">
        <f>IFERROR(VLOOKUP(Table1722[[#This Row],[Bukti]],Table13[#Data],11,FALSE),"")</f>
        <v/>
      </c>
    </row>
    <row r="4098" spans="1:9" hidden="1" x14ac:dyDescent="0.2">
      <c r="A4098" s="105" t="str">
        <f>IF(D4098=1,COUNTIF($D$10:D4098,1)," ")</f>
        <v xml:space="preserve"> </v>
      </c>
      <c r="B4098" s="106">
        <f>COPY!AR4090</f>
        <v>0</v>
      </c>
      <c r="C4098" s="107">
        <f>COPY!AC4090</f>
        <v>0</v>
      </c>
      <c r="D4098" s="107" t="str">
        <f>IF(LEN(Table1722[[#This Row],[Uraian]])&gt;2,1," ")</f>
        <v xml:space="preserve"> </v>
      </c>
      <c r="E4098" s="113" t="str">
        <f>IF(Table1722[[#This Row],[Lawan Transaksi]]="CV AGUNG KARYA",COUNTIF($I$10:I4098,"CV AGUNG KARYA")," ")</f>
        <v xml:space="preserve"> </v>
      </c>
      <c r="F4098" s="107" t="str">
        <f>IF(LEN(Table1722[[#This Row],[Uraian]])&gt;2,TRIM(RIGHT(SUBSTITUTE(TRIM(C4098)," ",REPT(" ",255)),255))," ")</f>
        <v xml:space="preserve"> </v>
      </c>
      <c r="G4098" s="110">
        <f>COPY!Z4090</f>
        <v>0</v>
      </c>
      <c r="H4098" s="111" t="str">
        <f>IFERROR(VLOOKUP(Table1722[[#This Row],[Bukti]],'Un nOTA'!$A$4:$K$5003,10,FALSE),"")</f>
        <v/>
      </c>
      <c r="I4098" s="123" t="str">
        <f>IFERROR(VLOOKUP(Table1722[[#This Row],[Bukti]],Table13[#Data],11,FALSE),"")</f>
        <v/>
      </c>
    </row>
    <row r="4099" spans="1:9" hidden="1" x14ac:dyDescent="0.2">
      <c r="A4099" s="105" t="str">
        <f>IF(D4099=1,COUNTIF($D$10:D4099,1)," ")</f>
        <v xml:space="preserve"> </v>
      </c>
      <c r="B4099" s="106">
        <f>COPY!AR4091</f>
        <v>0</v>
      </c>
      <c r="C4099" s="107">
        <f>COPY!AC4091</f>
        <v>0</v>
      </c>
      <c r="D4099" s="107" t="str">
        <f>IF(LEN(Table1722[[#This Row],[Uraian]])&gt;2,1," ")</f>
        <v xml:space="preserve"> </v>
      </c>
      <c r="E4099" s="113" t="str">
        <f>IF(Table1722[[#This Row],[Lawan Transaksi]]="CV AGUNG KARYA",COUNTIF($I$10:I4099,"CV AGUNG KARYA")," ")</f>
        <v xml:space="preserve"> </v>
      </c>
      <c r="F4099" s="107" t="str">
        <f>IF(LEN(Table1722[[#This Row],[Uraian]])&gt;2,TRIM(RIGHT(SUBSTITUTE(TRIM(C4099)," ",REPT(" ",255)),255))," ")</f>
        <v xml:space="preserve"> </v>
      </c>
      <c r="G4099" s="110">
        <f>COPY!Z4091</f>
        <v>0</v>
      </c>
      <c r="H4099" s="111" t="str">
        <f>IFERROR(VLOOKUP(Table1722[[#This Row],[Bukti]],'Un nOTA'!$A$4:$K$5003,10,FALSE),"")</f>
        <v/>
      </c>
      <c r="I4099" s="123" t="str">
        <f>IFERROR(VLOOKUP(Table1722[[#This Row],[Bukti]],Table13[#Data],11,FALSE),"")</f>
        <v/>
      </c>
    </row>
    <row r="4100" spans="1:9" hidden="1" x14ac:dyDescent="0.2">
      <c r="A4100" s="105" t="str">
        <f>IF(D4100=1,COUNTIF($D$10:D4100,1)," ")</f>
        <v xml:space="preserve"> </v>
      </c>
      <c r="B4100" s="106">
        <f>COPY!AR4092</f>
        <v>0</v>
      </c>
      <c r="C4100" s="107">
        <f>COPY!AC4092</f>
        <v>0</v>
      </c>
      <c r="D4100" s="107" t="str">
        <f>IF(LEN(Table1722[[#This Row],[Uraian]])&gt;2,1," ")</f>
        <v xml:space="preserve"> </v>
      </c>
      <c r="E4100" s="113" t="str">
        <f>IF(Table1722[[#This Row],[Lawan Transaksi]]="CV AGUNG KARYA",COUNTIF($I$10:I4100,"CV AGUNG KARYA")," ")</f>
        <v xml:space="preserve"> </v>
      </c>
      <c r="F4100" s="107" t="str">
        <f>IF(LEN(Table1722[[#This Row],[Uraian]])&gt;2,TRIM(RIGHT(SUBSTITUTE(TRIM(C4100)," ",REPT(" ",255)),255))," ")</f>
        <v xml:space="preserve"> </v>
      </c>
      <c r="G4100" s="110">
        <f>COPY!Z4092</f>
        <v>0</v>
      </c>
      <c r="H4100" s="111" t="str">
        <f>IFERROR(VLOOKUP(Table1722[[#This Row],[Bukti]],'Un nOTA'!$A$4:$K$5003,10,FALSE),"")</f>
        <v/>
      </c>
      <c r="I4100" s="123" t="str">
        <f>IFERROR(VLOOKUP(Table1722[[#This Row],[Bukti]],Table13[#Data],11,FALSE),"")</f>
        <v/>
      </c>
    </row>
    <row r="4101" spans="1:9" hidden="1" x14ac:dyDescent="0.2">
      <c r="A4101" s="105" t="str">
        <f>IF(D4101=1,COUNTIF($D$10:D4101,1)," ")</f>
        <v xml:space="preserve"> </v>
      </c>
      <c r="B4101" s="106">
        <f>COPY!AR4093</f>
        <v>0</v>
      </c>
      <c r="C4101" s="107">
        <f>COPY!AC4093</f>
        <v>0</v>
      </c>
      <c r="D4101" s="107" t="str">
        <f>IF(LEN(Table1722[[#This Row],[Uraian]])&gt;2,1," ")</f>
        <v xml:space="preserve"> </v>
      </c>
      <c r="E4101" s="113" t="str">
        <f>IF(Table1722[[#This Row],[Lawan Transaksi]]="CV AGUNG KARYA",COUNTIF($I$10:I4101,"CV AGUNG KARYA")," ")</f>
        <v xml:space="preserve"> </v>
      </c>
      <c r="F4101" s="107" t="str">
        <f>IF(LEN(Table1722[[#This Row],[Uraian]])&gt;2,TRIM(RIGHT(SUBSTITUTE(TRIM(C4101)," ",REPT(" ",255)),255))," ")</f>
        <v xml:space="preserve"> </v>
      </c>
      <c r="G4101" s="110">
        <f>COPY!Z4093</f>
        <v>0</v>
      </c>
      <c r="H4101" s="111" t="str">
        <f>IFERROR(VLOOKUP(Table1722[[#This Row],[Bukti]],'Un nOTA'!$A$4:$K$5003,10,FALSE),"")</f>
        <v/>
      </c>
      <c r="I4101" s="123" t="str">
        <f>IFERROR(VLOOKUP(Table1722[[#This Row],[Bukti]],Table13[#Data],11,FALSE),"")</f>
        <v/>
      </c>
    </row>
    <row r="4102" spans="1:9" hidden="1" x14ac:dyDescent="0.2">
      <c r="A4102" s="105" t="str">
        <f>IF(D4102=1,COUNTIF($D$10:D4102,1)," ")</f>
        <v xml:space="preserve"> </v>
      </c>
      <c r="B4102" s="106">
        <f>COPY!AR4094</f>
        <v>0</v>
      </c>
      <c r="C4102" s="107">
        <f>COPY!AC4094</f>
        <v>0</v>
      </c>
      <c r="D4102" s="107" t="str">
        <f>IF(LEN(Table1722[[#This Row],[Uraian]])&gt;2,1," ")</f>
        <v xml:space="preserve"> </v>
      </c>
      <c r="E4102" s="113" t="str">
        <f>IF(Table1722[[#This Row],[Lawan Transaksi]]="CV AGUNG KARYA",COUNTIF($I$10:I4102,"CV AGUNG KARYA")," ")</f>
        <v xml:space="preserve"> </v>
      </c>
      <c r="F4102" s="107" t="str">
        <f>IF(LEN(Table1722[[#This Row],[Uraian]])&gt;2,TRIM(RIGHT(SUBSTITUTE(TRIM(C4102)," ",REPT(" ",255)),255))," ")</f>
        <v xml:space="preserve"> </v>
      </c>
      <c r="G4102" s="110">
        <f>COPY!Z4094</f>
        <v>0</v>
      </c>
      <c r="H4102" s="111" t="str">
        <f>IFERROR(VLOOKUP(Table1722[[#This Row],[Bukti]],'Un nOTA'!$A$4:$K$5003,10,FALSE),"")</f>
        <v/>
      </c>
      <c r="I4102" s="123" t="str">
        <f>IFERROR(VLOOKUP(Table1722[[#This Row],[Bukti]],Table13[#Data],11,FALSE),"")</f>
        <v/>
      </c>
    </row>
    <row r="4103" spans="1:9" hidden="1" x14ac:dyDescent="0.2">
      <c r="A4103" s="105" t="str">
        <f>IF(D4103=1,COUNTIF($D$10:D4103,1)," ")</f>
        <v xml:space="preserve"> </v>
      </c>
      <c r="B4103" s="106">
        <f>COPY!AR4095</f>
        <v>0</v>
      </c>
      <c r="C4103" s="107">
        <f>COPY!AC4095</f>
        <v>0</v>
      </c>
      <c r="D4103" s="107" t="str">
        <f>IF(LEN(Table1722[[#This Row],[Uraian]])&gt;2,1," ")</f>
        <v xml:space="preserve"> </v>
      </c>
      <c r="E4103" s="113" t="str">
        <f>IF(Table1722[[#This Row],[Lawan Transaksi]]="CV AGUNG KARYA",COUNTIF($I$10:I4103,"CV AGUNG KARYA")," ")</f>
        <v xml:space="preserve"> </v>
      </c>
      <c r="F4103" s="107" t="str">
        <f>IF(LEN(Table1722[[#This Row],[Uraian]])&gt;2,TRIM(RIGHT(SUBSTITUTE(TRIM(C4103)," ",REPT(" ",255)),255))," ")</f>
        <v xml:space="preserve"> </v>
      </c>
      <c r="G4103" s="110">
        <f>COPY!Z4095</f>
        <v>0</v>
      </c>
      <c r="H4103" s="111" t="str">
        <f>IFERROR(VLOOKUP(Table1722[[#This Row],[Bukti]],'Un nOTA'!$A$4:$K$5003,10,FALSE),"")</f>
        <v/>
      </c>
      <c r="I4103" s="123" t="str">
        <f>IFERROR(VLOOKUP(Table1722[[#This Row],[Bukti]],Table13[#Data],11,FALSE),"")</f>
        <v/>
      </c>
    </row>
    <row r="4104" spans="1:9" hidden="1" x14ac:dyDescent="0.2">
      <c r="A4104" s="105" t="str">
        <f>IF(D4104=1,COUNTIF($D$10:D4104,1)," ")</f>
        <v xml:space="preserve"> </v>
      </c>
      <c r="B4104" s="106">
        <f>COPY!AR4096</f>
        <v>0</v>
      </c>
      <c r="C4104" s="107">
        <f>COPY!AC4096</f>
        <v>0</v>
      </c>
      <c r="D4104" s="107" t="str">
        <f>IF(LEN(Table1722[[#This Row],[Uraian]])&gt;2,1," ")</f>
        <v xml:space="preserve"> </v>
      </c>
      <c r="E4104" s="113" t="str">
        <f>IF(Table1722[[#This Row],[Lawan Transaksi]]="CV AGUNG KARYA",COUNTIF($I$10:I4104,"CV AGUNG KARYA")," ")</f>
        <v xml:space="preserve"> </v>
      </c>
      <c r="F4104" s="107" t="str">
        <f>IF(LEN(Table1722[[#This Row],[Uraian]])&gt;2,TRIM(RIGHT(SUBSTITUTE(TRIM(C4104)," ",REPT(" ",255)),255))," ")</f>
        <v xml:space="preserve"> </v>
      </c>
      <c r="G4104" s="110">
        <f>COPY!Z4096</f>
        <v>0</v>
      </c>
      <c r="H4104" s="111" t="str">
        <f>IFERROR(VLOOKUP(Table1722[[#This Row],[Bukti]],'Un nOTA'!$A$4:$K$5003,10,FALSE),"")</f>
        <v/>
      </c>
      <c r="I4104" s="123" t="str">
        <f>IFERROR(VLOOKUP(Table1722[[#This Row],[Bukti]],Table13[#Data],11,FALSE),"")</f>
        <v/>
      </c>
    </row>
    <row r="4105" spans="1:9" hidden="1" x14ac:dyDescent="0.2">
      <c r="A4105" s="105" t="str">
        <f>IF(D4105=1,COUNTIF($D$10:D4105,1)," ")</f>
        <v xml:space="preserve"> </v>
      </c>
      <c r="B4105" s="106">
        <f>COPY!AR4097</f>
        <v>0</v>
      </c>
      <c r="C4105" s="107">
        <f>COPY!AC4097</f>
        <v>0</v>
      </c>
      <c r="D4105" s="107" t="str">
        <f>IF(LEN(Table1722[[#This Row],[Uraian]])&gt;2,1," ")</f>
        <v xml:space="preserve"> </v>
      </c>
      <c r="E4105" s="113" t="str">
        <f>IF(Table1722[[#This Row],[Lawan Transaksi]]="CV AGUNG KARYA",COUNTIF($I$10:I4105,"CV AGUNG KARYA")," ")</f>
        <v xml:space="preserve"> </v>
      </c>
      <c r="F4105" s="107" t="str">
        <f>IF(LEN(Table1722[[#This Row],[Uraian]])&gt;2,TRIM(RIGHT(SUBSTITUTE(TRIM(C4105)," ",REPT(" ",255)),255))," ")</f>
        <v xml:space="preserve"> </v>
      </c>
      <c r="G4105" s="110">
        <f>COPY!Z4097</f>
        <v>0</v>
      </c>
      <c r="H4105" s="111" t="str">
        <f>IFERROR(VLOOKUP(Table1722[[#This Row],[Bukti]],'Un nOTA'!$A$4:$K$5003,10,FALSE),"")</f>
        <v/>
      </c>
      <c r="I4105" s="123" t="str">
        <f>IFERROR(VLOOKUP(Table1722[[#This Row],[Bukti]],Table13[#Data],11,FALSE),"")</f>
        <v/>
      </c>
    </row>
    <row r="4106" spans="1:9" hidden="1" x14ac:dyDescent="0.2">
      <c r="A4106" s="105" t="str">
        <f>IF(D4106=1,COUNTIF($D$10:D4106,1)," ")</f>
        <v xml:space="preserve"> </v>
      </c>
      <c r="B4106" s="106">
        <f>COPY!AR4098</f>
        <v>0</v>
      </c>
      <c r="C4106" s="107">
        <f>COPY!AC4098</f>
        <v>0</v>
      </c>
      <c r="D4106" s="107" t="str">
        <f>IF(LEN(Table1722[[#This Row],[Uraian]])&gt;2,1," ")</f>
        <v xml:space="preserve"> </v>
      </c>
      <c r="E4106" s="113" t="str">
        <f>IF(Table1722[[#This Row],[Lawan Transaksi]]="CV AGUNG KARYA",COUNTIF($I$10:I4106,"CV AGUNG KARYA")," ")</f>
        <v xml:space="preserve"> </v>
      </c>
      <c r="F4106" s="107" t="str">
        <f>IF(LEN(Table1722[[#This Row],[Uraian]])&gt;2,TRIM(RIGHT(SUBSTITUTE(TRIM(C4106)," ",REPT(" ",255)),255))," ")</f>
        <v xml:space="preserve"> </v>
      </c>
      <c r="G4106" s="110">
        <f>COPY!Z4098</f>
        <v>0</v>
      </c>
      <c r="H4106" s="111" t="str">
        <f>IFERROR(VLOOKUP(Table1722[[#This Row],[Bukti]],'Un nOTA'!$A$4:$K$5003,10,FALSE),"")</f>
        <v/>
      </c>
      <c r="I4106" s="123" t="str">
        <f>IFERROR(VLOOKUP(Table1722[[#This Row],[Bukti]],Table13[#Data],11,FALSE),"")</f>
        <v/>
      </c>
    </row>
    <row r="4107" spans="1:9" hidden="1" x14ac:dyDescent="0.2">
      <c r="A4107" s="105" t="str">
        <f>IF(D4107=1,COUNTIF($D$10:D4107,1)," ")</f>
        <v xml:space="preserve"> </v>
      </c>
      <c r="B4107" s="106">
        <f>COPY!AR4099</f>
        <v>0</v>
      </c>
      <c r="C4107" s="107">
        <f>COPY!AC4099</f>
        <v>0</v>
      </c>
      <c r="D4107" s="107" t="str">
        <f>IF(LEN(Table1722[[#This Row],[Uraian]])&gt;2,1," ")</f>
        <v xml:space="preserve"> </v>
      </c>
      <c r="E4107" s="113" t="str">
        <f>IF(Table1722[[#This Row],[Lawan Transaksi]]="CV AGUNG KARYA",COUNTIF($I$10:I4107,"CV AGUNG KARYA")," ")</f>
        <v xml:space="preserve"> </v>
      </c>
      <c r="F4107" s="107" t="str">
        <f>IF(LEN(Table1722[[#This Row],[Uraian]])&gt;2,TRIM(RIGHT(SUBSTITUTE(TRIM(C4107)," ",REPT(" ",255)),255))," ")</f>
        <v xml:space="preserve"> </v>
      </c>
      <c r="G4107" s="110">
        <f>COPY!Z4099</f>
        <v>0</v>
      </c>
      <c r="H4107" s="111" t="str">
        <f>IFERROR(VLOOKUP(Table1722[[#This Row],[Bukti]],'Un nOTA'!$A$4:$K$5003,10,FALSE),"")</f>
        <v/>
      </c>
      <c r="I4107" s="123" t="str">
        <f>IFERROR(VLOOKUP(Table1722[[#This Row],[Bukti]],Table13[#Data],11,FALSE),"")</f>
        <v/>
      </c>
    </row>
    <row r="4108" spans="1:9" hidden="1" x14ac:dyDescent="0.2">
      <c r="A4108" s="105" t="str">
        <f>IF(D4108=1,COUNTIF($D$10:D4108,1)," ")</f>
        <v xml:space="preserve"> </v>
      </c>
      <c r="B4108" s="106">
        <f>COPY!AR4100</f>
        <v>0</v>
      </c>
      <c r="C4108" s="107">
        <f>COPY!AC4100</f>
        <v>0</v>
      </c>
      <c r="D4108" s="107" t="str">
        <f>IF(LEN(Table1722[[#This Row],[Uraian]])&gt;2,1," ")</f>
        <v xml:space="preserve"> </v>
      </c>
      <c r="E4108" s="113" t="str">
        <f>IF(Table1722[[#This Row],[Lawan Transaksi]]="CV AGUNG KARYA",COUNTIF($I$10:I4108,"CV AGUNG KARYA")," ")</f>
        <v xml:space="preserve"> </v>
      </c>
      <c r="F4108" s="107" t="str">
        <f>IF(LEN(Table1722[[#This Row],[Uraian]])&gt;2,TRIM(RIGHT(SUBSTITUTE(TRIM(C4108)," ",REPT(" ",255)),255))," ")</f>
        <v xml:space="preserve"> </v>
      </c>
      <c r="G4108" s="110">
        <f>COPY!Z4100</f>
        <v>0</v>
      </c>
      <c r="H4108" s="111" t="str">
        <f>IFERROR(VLOOKUP(Table1722[[#This Row],[Bukti]],'Un nOTA'!$A$4:$K$5003,10,FALSE),"")</f>
        <v/>
      </c>
      <c r="I4108" s="123" t="str">
        <f>IFERROR(VLOOKUP(Table1722[[#This Row],[Bukti]],Table13[#Data],11,FALSE),"")</f>
        <v/>
      </c>
    </row>
    <row r="4109" spans="1:9" hidden="1" x14ac:dyDescent="0.2">
      <c r="A4109" s="105" t="str">
        <f>IF(D4109=1,COUNTIF($D$10:D4109,1)," ")</f>
        <v xml:space="preserve"> </v>
      </c>
      <c r="B4109" s="106">
        <f>COPY!AR4101</f>
        <v>0</v>
      </c>
      <c r="C4109" s="107">
        <f>COPY!AC4101</f>
        <v>0</v>
      </c>
      <c r="D4109" s="107" t="str">
        <f>IF(LEN(Table1722[[#This Row],[Uraian]])&gt;2,1," ")</f>
        <v xml:space="preserve"> </v>
      </c>
      <c r="E4109" s="113" t="str">
        <f>IF(Table1722[[#This Row],[Lawan Transaksi]]="CV AGUNG KARYA",COUNTIF($I$10:I4109,"CV AGUNG KARYA")," ")</f>
        <v xml:space="preserve"> </v>
      </c>
      <c r="F4109" s="107" t="str">
        <f>IF(LEN(Table1722[[#This Row],[Uraian]])&gt;2,TRIM(RIGHT(SUBSTITUTE(TRIM(C4109)," ",REPT(" ",255)),255))," ")</f>
        <v xml:space="preserve"> </v>
      </c>
      <c r="G4109" s="110">
        <f>COPY!Z4101</f>
        <v>0</v>
      </c>
      <c r="H4109" s="111" t="str">
        <f>IFERROR(VLOOKUP(Table1722[[#This Row],[Bukti]],'Un nOTA'!$A$4:$K$5003,10,FALSE),"")</f>
        <v/>
      </c>
      <c r="I4109" s="123" t="str">
        <f>IFERROR(VLOOKUP(Table1722[[#This Row],[Bukti]],Table13[#Data],11,FALSE),"")</f>
        <v/>
      </c>
    </row>
    <row r="4110" spans="1:9" hidden="1" x14ac:dyDescent="0.2">
      <c r="A4110" s="105" t="str">
        <f>IF(D4110=1,COUNTIF($D$10:D4110,1)," ")</f>
        <v xml:space="preserve"> </v>
      </c>
      <c r="B4110" s="106">
        <f>COPY!AR4102</f>
        <v>0</v>
      </c>
      <c r="C4110" s="107">
        <f>COPY!AC4102</f>
        <v>0</v>
      </c>
      <c r="D4110" s="107" t="str">
        <f>IF(LEN(Table1722[[#This Row],[Uraian]])&gt;2,1," ")</f>
        <v xml:space="preserve"> </v>
      </c>
      <c r="E4110" s="113" t="str">
        <f>IF(Table1722[[#This Row],[Lawan Transaksi]]="CV AGUNG KARYA",COUNTIF($I$10:I4110,"CV AGUNG KARYA")," ")</f>
        <v xml:space="preserve"> </v>
      </c>
      <c r="F4110" s="107" t="str">
        <f>IF(LEN(Table1722[[#This Row],[Uraian]])&gt;2,TRIM(RIGHT(SUBSTITUTE(TRIM(C4110)," ",REPT(" ",255)),255))," ")</f>
        <v xml:space="preserve"> </v>
      </c>
      <c r="G4110" s="110">
        <f>COPY!Z4102</f>
        <v>0</v>
      </c>
      <c r="H4110" s="111" t="str">
        <f>IFERROR(VLOOKUP(Table1722[[#This Row],[Bukti]],'Un nOTA'!$A$4:$K$5003,10,FALSE),"")</f>
        <v/>
      </c>
      <c r="I4110" s="123" t="str">
        <f>IFERROR(VLOOKUP(Table1722[[#This Row],[Bukti]],Table13[#Data],11,FALSE),"")</f>
        <v/>
      </c>
    </row>
    <row r="4111" spans="1:9" hidden="1" x14ac:dyDescent="0.2">
      <c r="A4111" s="105" t="str">
        <f>IF(D4111=1,COUNTIF($D$10:D4111,1)," ")</f>
        <v xml:space="preserve"> </v>
      </c>
      <c r="B4111" s="106">
        <f>COPY!AR4103</f>
        <v>0</v>
      </c>
      <c r="C4111" s="107">
        <f>COPY!AC4103</f>
        <v>0</v>
      </c>
      <c r="D4111" s="107" t="str">
        <f>IF(LEN(Table1722[[#This Row],[Uraian]])&gt;2,1," ")</f>
        <v xml:space="preserve"> </v>
      </c>
      <c r="E4111" s="113" t="str">
        <f>IF(Table1722[[#This Row],[Lawan Transaksi]]="CV AGUNG KARYA",COUNTIF($I$10:I4111,"CV AGUNG KARYA")," ")</f>
        <v xml:space="preserve"> </v>
      </c>
      <c r="F4111" s="107" t="str">
        <f>IF(LEN(Table1722[[#This Row],[Uraian]])&gt;2,TRIM(RIGHT(SUBSTITUTE(TRIM(C4111)," ",REPT(" ",255)),255))," ")</f>
        <v xml:space="preserve"> </v>
      </c>
      <c r="G4111" s="110">
        <f>COPY!Z4103</f>
        <v>0</v>
      </c>
      <c r="H4111" s="111" t="str">
        <f>IFERROR(VLOOKUP(Table1722[[#This Row],[Bukti]],'Un nOTA'!$A$4:$K$5003,10,FALSE),"")</f>
        <v/>
      </c>
      <c r="I4111" s="123" t="str">
        <f>IFERROR(VLOOKUP(Table1722[[#This Row],[Bukti]],Table13[#Data],11,FALSE),"")</f>
        <v/>
      </c>
    </row>
    <row r="4112" spans="1:9" hidden="1" x14ac:dyDescent="0.2">
      <c r="A4112" s="105" t="str">
        <f>IF(D4112=1,COUNTIF($D$10:D4112,1)," ")</f>
        <v xml:space="preserve"> </v>
      </c>
      <c r="B4112" s="106">
        <f>COPY!AR4104</f>
        <v>0</v>
      </c>
      <c r="C4112" s="107">
        <f>COPY!AC4104</f>
        <v>0</v>
      </c>
      <c r="D4112" s="107" t="str">
        <f>IF(LEN(Table1722[[#This Row],[Uraian]])&gt;2,1," ")</f>
        <v xml:space="preserve"> </v>
      </c>
      <c r="E4112" s="113" t="str">
        <f>IF(Table1722[[#This Row],[Lawan Transaksi]]="CV AGUNG KARYA",COUNTIF($I$10:I4112,"CV AGUNG KARYA")," ")</f>
        <v xml:space="preserve"> </v>
      </c>
      <c r="F4112" s="107" t="str">
        <f>IF(LEN(Table1722[[#This Row],[Uraian]])&gt;2,TRIM(RIGHT(SUBSTITUTE(TRIM(C4112)," ",REPT(" ",255)),255))," ")</f>
        <v xml:space="preserve"> </v>
      </c>
      <c r="G4112" s="110">
        <f>COPY!Z4104</f>
        <v>0</v>
      </c>
      <c r="H4112" s="111" t="str">
        <f>IFERROR(VLOOKUP(Table1722[[#This Row],[Bukti]],'Un nOTA'!$A$4:$K$5003,10,FALSE),"")</f>
        <v/>
      </c>
      <c r="I4112" s="123" t="str">
        <f>IFERROR(VLOOKUP(Table1722[[#This Row],[Bukti]],Table13[#Data],11,FALSE),"")</f>
        <v/>
      </c>
    </row>
    <row r="4113" spans="1:9" hidden="1" x14ac:dyDescent="0.2">
      <c r="A4113" s="105" t="str">
        <f>IF(D4113=1,COUNTIF($D$10:D4113,1)," ")</f>
        <v xml:space="preserve"> </v>
      </c>
      <c r="B4113" s="106">
        <f>COPY!AR4105</f>
        <v>0</v>
      </c>
      <c r="C4113" s="107">
        <f>COPY!AC4105</f>
        <v>0</v>
      </c>
      <c r="D4113" s="107" t="str">
        <f>IF(LEN(Table1722[[#This Row],[Uraian]])&gt;2,1," ")</f>
        <v xml:space="preserve"> </v>
      </c>
      <c r="E4113" s="113" t="str">
        <f>IF(Table1722[[#This Row],[Lawan Transaksi]]="CV AGUNG KARYA",COUNTIF($I$10:I4113,"CV AGUNG KARYA")," ")</f>
        <v xml:space="preserve"> </v>
      </c>
      <c r="F4113" s="107" t="str">
        <f>IF(LEN(Table1722[[#This Row],[Uraian]])&gt;2,TRIM(RIGHT(SUBSTITUTE(TRIM(C4113)," ",REPT(" ",255)),255))," ")</f>
        <v xml:space="preserve"> </v>
      </c>
      <c r="G4113" s="110">
        <f>COPY!Z4105</f>
        <v>0</v>
      </c>
      <c r="H4113" s="111" t="str">
        <f>IFERROR(VLOOKUP(Table1722[[#This Row],[Bukti]],'Un nOTA'!$A$4:$K$5003,10,FALSE),"")</f>
        <v/>
      </c>
      <c r="I4113" s="123" t="str">
        <f>IFERROR(VLOOKUP(Table1722[[#This Row],[Bukti]],Table13[#Data],11,FALSE),"")</f>
        <v/>
      </c>
    </row>
    <row r="4114" spans="1:9" hidden="1" x14ac:dyDescent="0.2">
      <c r="A4114" s="105" t="str">
        <f>IF(D4114=1,COUNTIF($D$10:D4114,1)," ")</f>
        <v xml:space="preserve"> </v>
      </c>
      <c r="B4114" s="106">
        <f>COPY!AR4106</f>
        <v>0</v>
      </c>
      <c r="C4114" s="107">
        <f>COPY!AC4106</f>
        <v>0</v>
      </c>
      <c r="D4114" s="107" t="str">
        <f>IF(LEN(Table1722[[#This Row],[Uraian]])&gt;2,1," ")</f>
        <v xml:space="preserve"> </v>
      </c>
      <c r="E4114" s="113" t="str">
        <f>IF(Table1722[[#This Row],[Lawan Transaksi]]="CV AGUNG KARYA",COUNTIF($I$10:I4114,"CV AGUNG KARYA")," ")</f>
        <v xml:space="preserve"> </v>
      </c>
      <c r="F4114" s="107" t="str">
        <f>IF(LEN(Table1722[[#This Row],[Uraian]])&gt;2,TRIM(RIGHT(SUBSTITUTE(TRIM(C4114)," ",REPT(" ",255)),255))," ")</f>
        <v xml:space="preserve"> </v>
      </c>
      <c r="G4114" s="110">
        <f>COPY!Z4106</f>
        <v>0</v>
      </c>
      <c r="H4114" s="111" t="str">
        <f>IFERROR(VLOOKUP(Table1722[[#This Row],[Bukti]],'Un nOTA'!$A$4:$K$5003,10,FALSE),"")</f>
        <v/>
      </c>
      <c r="I4114" s="123" t="str">
        <f>IFERROR(VLOOKUP(Table1722[[#This Row],[Bukti]],Table13[#Data],11,FALSE),"")</f>
        <v/>
      </c>
    </row>
    <row r="4115" spans="1:9" hidden="1" x14ac:dyDescent="0.2">
      <c r="A4115" s="105" t="str">
        <f>IF(D4115=1,COUNTIF($D$10:D4115,1)," ")</f>
        <v xml:space="preserve"> </v>
      </c>
      <c r="B4115" s="106">
        <f>COPY!AR4107</f>
        <v>0</v>
      </c>
      <c r="C4115" s="107">
        <f>COPY!AC4107</f>
        <v>0</v>
      </c>
      <c r="D4115" s="107" t="str">
        <f>IF(LEN(Table1722[[#This Row],[Uraian]])&gt;2,1," ")</f>
        <v xml:space="preserve"> </v>
      </c>
      <c r="E4115" s="113" t="str">
        <f>IF(Table1722[[#This Row],[Lawan Transaksi]]="CV AGUNG KARYA",COUNTIF($I$10:I4115,"CV AGUNG KARYA")," ")</f>
        <v xml:space="preserve"> </v>
      </c>
      <c r="F4115" s="107" t="str">
        <f>IF(LEN(Table1722[[#This Row],[Uraian]])&gt;2,TRIM(RIGHT(SUBSTITUTE(TRIM(C4115)," ",REPT(" ",255)),255))," ")</f>
        <v xml:space="preserve"> </v>
      </c>
      <c r="G4115" s="110">
        <f>COPY!Z4107</f>
        <v>0</v>
      </c>
      <c r="H4115" s="111" t="str">
        <f>IFERROR(VLOOKUP(Table1722[[#This Row],[Bukti]],'Un nOTA'!$A$4:$K$5003,10,FALSE),"")</f>
        <v/>
      </c>
      <c r="I4115" s="123" t="str">
        <f>IFERROR(VLOOKUP(Table1722[[#This Row],[Bukti]],Table13[#Data],11,FALSE),"")</f>
        <v/>
      </c>
    </row>
    <row r="4116" spans="1:9" hidden="1" x14ac:dyDescent="0.2">
      <c r="A4116" s="105" t="str">
        <f>IF(D4116=1,COUNTIF($D$10:D4116,1)," ")</f>
        <v xml:space="preserve"> </v>
      </c>
      <c r="B4116" s="106">
        <f>COPY!AR4108</f>
        <v>0</v>
      </c>
      <c r="C4116" s="107">
        <f>COPY!AC4108</f>
        <v>0</v>
      </c>
      <c r="D4116" s="107" t="str">
        <f>IF(LEN(Table1722[[#This Row],[Uraian]])&gt;2,1," ")</f>
        <v xml:space="preserve"> </v>
      </c>
      <c r="E4116" s="113" t="str">
        <f>IF(Table1722[[#This Row],[Lawan Transaksi]]="CV AGUNG KARYA",COUNTIF($I$10:I4116,"CV AGUNG KARYA")," ")</f>
        <v xml:space="preserve"> </v>
      </c>
      <c r="F4116" s="107" t="str">
        <f>IF(LEN(Table1722[[#This Row],[Uraian]])&gt;2,TRIM(RIGHT(SUBSTITUTE(TRIM(C4116)," ",REPT(" ",255)),255))," ")</f>
        <v xml:space="preserve"> </v>
      </c>
      <c r="G4116" s="110">
        <f>COPY!Z4108</f>
        <v>0</v>
      </c>
      <c r="H4116" s="111" t="str">
        <f>IFERROR(VLOOKUP(Table1722[[#This Row],[Bukti]],'Un nOTA'!$A$4:$K$5003,10,FALSE),"")</f>
        <v/>
      </c>
      <c r="I4116" s="123" t="str">
        <f>IFERROR(VLOOKUP(Table1722[[#This Row],[Bukti]],Table13[#Data],11,FALSE),"")</f>
        <v/>
      </c>
    </row>
    <row r="4117" spans="1:9" hidden="1" x14ac:dyDescent="0.2">
      <c r="A4117" s="105" t="str">
        <f>IF(D4117=1,COUNTIF($D$10:D4117,1)," ")</f>
        <v xml:space="preserve"> </v>
      </c>
      <c r="B4117" s="106">
        <f>COPY!AR4109</f>
        <v>0</v>
      </c>
      <c r="C4117" s="107">
        <f>COPY!AC4109</f>
        <v>0</v>
      </c>
      <c r="D4117" s="107" t="str">
        <f>IF(LEN(Table1722[[#This Row],[Uraian]])&gt;2,1," ")</f>
        <v xml:space="preserve"> </v>
      </c>
      <c r="E4117" s="113" t="str">
        <f>IF(Table1722[[#This Row],[Lawan Transaksi]]="CV AGUNG KARYA",COUNTIF($I$10:I4117,"CV AGUNG KARYA")," ")</f>
        <v xml:space="preserve"> </v>
      </c>
      <c r="F4117" s="107" t="str">
        <f>IF(LEN(Table1722[[#This Row],[Uraian]])&gt;2,TRIM(RIGHT(SUBSTITUTE(TRIM(C4117)," ",REPT(" ",255)),255))," ")</f>
        <v xml:space="preserve"> </v>
      </c>
      <c r="G4117" s="110">
        <f>COPY!Z4109</f>
        <v>0</v>
      </c>
      <c r="H4117" s="111" t="str">
        <f>IFERROR(VLOOKUP(Table1722[[#This Row],[Bukti]],'Un nOTA'!$A$4:$K$5003,10,FALSE),"")</f>
        <v/>
      </c>
      <c r="I4117" s="123" t="str">
        <f>IFERROR(VLOOKUP(Table1722[[#This Row],[Bukti]],Table13[#Data],11,FALSE),"")</f>
        <v/>
      </c>
    </row>
    <row r="4118" spans="1:9" hidden="1" x14ac:dyDescent="0.2">
      <c r="A4118" s="105" t="str">
        <f>IF(D4118=1,COUNTIF($D$10:D4118,1)," ")</f>
        <v xml:space="preserve"> </v>
      </c>
      <c r="B4118" s="106">
        <f>COPY!AR4110</f>
        <v>0</v>
      </c>
      <c r="C4118" s="107">
        <f>COPY!AC4110</f>
        <v>0</v>
      </c>
      <c r="D4118" s="107" t="str">
        <f>IF(LEN(Table1722[[#This Row],[Uraian]])&gt;2,1," ")</f>
        <v xml:space="preserve"> </v>
      </c>
      <c r="E4118" s="113" t="str">
        <f>IF(Table1722[[#This Row],[Lawan Transaksi]]="CV AGUNG KARYA",COUNTIF($I$10:I4118,"CV AGUNG KARYA")," ")</f>
        <v xml:space="preserve"> </v>
      </c>
      <c r="F4118" s="107" t="str">
        <f>IF(LEN(Table1722[[#This Row],[Uraian]])&gt;2,TRIM(RIGHT(SUBSTITUTE(TRIM(C4118)," ",REPT(" ",255)),255))," ")</f>
        <v xml:space="preserve"> </v>
      </c>
      <c r="G4118" s="110">
        <f>COPY!Z4110</f>
        <v>0</v>
      </c>
      <c r="H4118" s="111" t="str">
        <f>IFERROR(VLOOKUP(Table1722[[#This Row],[Bukti]],'Un nOTA'!$A$4:$K$5003,10,FALSE),"")</f>
        <v/>
      </c>
      <c r="I4118" s="123" t="str">
        <f>IFERROR(VLOOKUP(Table1722[[#This Row],[Bukti]],Table13[#Data],11,FALSE),"")</f>
        <v/>
      </c>
    </row>
    <row r="4119" spans="1:9" hidden="1" x14ac:dyDescent="0.2">
      <c r="A4119" s="105" t="str">
        <f>IF(D4119=1,COUNTIF($D$10:D4119,1)," ")</f>
        <v xml:space="preserve"> </v>
      </c>
      <c r="B4119" s="106">
        <f>COPY!AR4111</f>
        <v>0</v>
      </c>
      <c r="C4119" s="107">
        <f>COPY!AC4111</f>
        <v>0</v>
      </c>
      <c r="D4119" s="107" t="str">
        <f>IF(LEN(Table1722[[#This Row],[Uraian]])&gt;2,1," ")</f>
        <v xml:space="preserve"> </v>
      </c>
      <c r="E4119" s="113" t="str">
        <f>IF(Table1722[[#This Row],[Lawan Transaksi]]="CV AGUNG KARYA",COUNTIF($I$10:I4119,"CV AGUNG KARYA")," ")</f>
        <v xml:space="preserve"> </v>
      </c>
      <c r="F4119" s="107" t="str">
        <f>IF(LEN(Table1722[[#This Row],[Uraian]])&gt;2,TRIM(RIGHT(SUBSTITUTE(TRIM(C4119)," ",REPT(" ",255)),255))," ")</f>
        <v xml:space="preserve"> </v>
      </c>
      <c r="G4119" s="110">
        <f>COPY!Z4111</f>
        <v>0</v>
      </c>
      <c r="H4119" s="111" t="str">
        <f>IFERROR(VLOOKUP(Table1722[[#This Row],[Bukti]],'Un nOTA'!$A$4:$K$5003,10,FALSE),"")</f>
        <v/>
      </c>
      <c r="I4119" s="123" t="str">
        <f>IFERROR(VLOOKUP(Table1722[[#This Row],[Bukti]],Table13[#Data],11,FALSE),"")</f>
        <v/>
      </c>
    </row>
    <row r="4120" spans="1:9" hidden="1" x14ac:dyDescent="0.2">
      <c r="A4120" s="105" t="str">
        <f>IF(D4120=1,COUNTIF($D$10:D4120,1)," ")</f>
        <v xml:space="preserve"> </v>
      </c>
      <c r="B4120" s="106">
        <f>COPY!AR4112</f>
        <v>0</v>
      </c>
      <c r="C4120" s="107">
        <f>COPY!AC4112</f>
        <v>0</v>
      </c>
      <c r="D4120" s="107" t="str">
        <f>IF(LEN(Table1722[[#This Row],[Uraian]])&gt;2,1," ")</f>
        <v xml:space="preserve"> </v>
      </c>
      <c r="E4120" s="113" t="str">
        <f>IF(Table1722[[#This Row],[Lawan Transaksi]]="CV AGUNG KARYA",COUNTIF($I$10:I4120,"CV AGUNG KARYA")," ")</f>
        <v xml:space="preserve"> </v>
      </c>
      <c r="F4120" s="107" t="str">
        <f>IF(LEN(Table1722[[#This Row],[Uraian]])&gt;2,TRIM(RIGHT(SUBSTITUTE(TRIM(C4120)," ",REPT(" ",255)),255))," ")</f>
        <v xml:space="preserve"> </v>
      </c>
      <c r="G4120" s="110">
        <f>COPY!Z4112</f>
        <v>0</v>
      </c>
      <c r="H4120" s="111" t="str">
        <f>IFERROR(VLOOKUP(Table1722[[#This Row],[Bukti]],'Un nOTA'!$A$4:$K$5003,10,FALSE),"")</f>
        <v/>
      </c>
      <c r="I4120" s="123" t="str">
        <f>IFERROR(VLOOKUP(Table1722[[#This Row],[Bukti]],Table13[#Data],11,FALSE),"")</f>
        <v/>
      </c>
    </row>
    <row r="4121" spans="1:9" hidden="1" x14ac:dyDescent="0.2">
      <c r="A4121" s="105" t="str">
        <f>IF(D4121=1,COUNTIF($D$10:D4121,1)," ")</f>
        <v xml:space="preserve"> </v>
      </c>
      <c r="B4121" s="106">
        <f>COPY!AR4113</f>
        <v>0</v>
      </c>
      <c r="C4121" s="107">
        <f>COPY!AC4113</f>
        <v>0</v>
      </c>
      <c r="D4121" s="107" t="str">
        <f>IF(LEN(Table1722[[#This Row],[Uraian]])&gt;2,1," ")</f>
        <v xml:space="preserve"> </v>
      </c>
      <c r="E4121" s="113" t="str">
        <f>IF(Table1722[[#This Row],[Lawan Transaksi]]="CV AGUNG KARYA",COUNTIF($I$10:I4121,"CV AGUNG KARYA")," ")</f>
        <v xml:space="preserve"> </v>
      </c>
      <c r="F4121" s="107" t="str">
        <f>IF(LEN(Table1722[[#This Row],[Uraian]])&gt;2,TRIM(RIGHT(SUBSTITUTE(TRIM(C4121)," ",REPT(" ",255)),255))," ")</f>
        <v xml:space="preserve"> </v>
      </c>
      <c r="G4121" s="110">
        <f>COPY!Z4113</f>
        <v>0</v>
      </c>
      <c r="H4121" s="111" t="str">
        <f>IFERROR(VLOOKUP(Table1722[[#This Row],[Bukti]],'Un nOTA'!$A$4:$K$5003,10,FALSE),"")</f>
        <v/>
      </c>
      <c r="I4121" s="123" t="str">
        <f>IFERROR(VLOOKUP(Table1722[[#This Row],[Bukti]],Table13[#Data],11,FALSE),"")</f>
        <v/>
      </c>
    </row>
    <row r="4122" spans="1:9" hidden="1" x14ac:dyDescent="0.2">
      <c r="A4122" s="105" t="str">
        <f>IF(D4122=1,COUNTIF($D$10:D4122,1)," ")</f>
        <v xml:space="preserve"> </v>
      </c>
      <c r="B4122" s="106">
        <f>COPY!AR4114</f>
        <v>0</v>
      </c>
      <c r="C4122" s="107">
        <f>COPY!AC4114</f>
        <v>0</v>
      </c>
      <c r="D4122" s="107" t="str">
        <f>IF(LEN(Table1722[[#This Row],[Uraian]])&gt;2,1," ")</f>
        <v xml:space="preserve"> </v>
      </c>
      <c r="E4122" s="113" t="str">
        <f>IF(Table1722[[#This Row],[Lawan Transaksi]]="CV AGUNG KARYA",COUNTIF($I$10:I4122,"CV AGUNG KARYA")," ")</f>
        <v xml:space="preserve"> </v>
      </c>
      <c r="F4122" s="107" t="str">
        <f>IF(LEN(Table1722[[#This Row],[Uraian]])&gt;2,TRIM(RIGHT(SUBSTITUTE(TRIM(C4122)," ",REPT(" ",255)),255))," ")</f>
        <v xml:space="preserve"> </v>
      </c>
      <c r="G4122" s="110">
        <f>COPY!Z4114</f>
        <v>0</v>
      </c>
      <c r="H4122" s="111" t="str">
        <f>IFERROR(VLOOKUP(Table1722[[#This Row],[Bukti]],'Un nOTA'!$A$4:$K$5003,10,FALSE),"")</f>
        <v/>
      </c>
      <c r="I4122" s="123" t="str">
        <f>IFERROR(VLOOKUP(Table1722[[#This Row],[Bukti]],Table13[#Data],11,FALSE),"")</f>
        <v/>
      </c>
    </row>
    <row r="4123" spans="1:9" hidden="1" x14ac:dyDescent="0.2">
      <c r="A4123" s="105" t="str">
        <f>IF(D4123=1,COUNTIF($D$10:D4123,1)," ")</f>
        <v xml:space="preserve"> </v>
      </c>
      <c r="B4123" s="106">
        <f>COPY!AR4115</f>
        <v>0</v>
      </c>
      <c r="C4123" s="107">
        <f>COPY!AC4115</f>
        <v>0</v>
      </c>
      <c r="D4123" s="107" t="str">
        <f>IF(LEN(Table1722[[#This Row],[Uraian]])&gt;2,1," ")</f>
        <v xml:space="preserve"> </v>
      </c>
      <c r="E4123" s="113" t="str">
        <f>IF(Table1722[[#This Row],[Lawan Transaksi]]="CV AGUNG KARYA",COUNTIF($I$10:I4123,"CV AGUNG KARYA")," ")</f>
        <v xml:space="preserve"> </v>
      </c>
      <c r="F4123" s="107" t="str">
        <f>IF(LEN(Table1722[[#This Row],[Uraian]])&gt;2,TRIM(RIGHT(SUBSTITUTE(TRIM(C4123)," ",REPT(" ",255)),255))," ")</f>
        <v xml:space="preserve"> </v>
      </c>
      <c r="G4123" s="110">
        <f>COPY!Z4115</f>
        <v>0</v>
      </c>
      <c r="H4123" s="111" t="str">
        <f>IFERROR(VLOOKUP(Table1722[[#This Row],[Bukti]],'Un nOTA'!$A$4:$K$5003,10,FALSE),"")</f>
        <v/>
      </c>
      <c r="I4123" s="123" t="str">
        <f>IFERROR(VLOOKUP(Table1722[[#This Row],[Bukti]],Table13[#Data],11,FALSE),"")</f>
        <v/>
      </c>
    </row>
    <row r="4124" spans="1:9" hidden="1" x14ac:dyDescent="0.2">
      <c r="A4124" s="105" t="str">
        <f>IF(D4124=1,COUNTIF($D$10:D4124,1)," ")</f>
        <v xml:space="preserve"> </v>
      </c>
      <c r="B4124" s="106">
        <f>COPY!AR4116</f>
        <v>0</v>
      </c>
      <c r="C4124" s="107">
        <f>COPY!AC4116</f>
        <v>0</v>
      </c>
      <c r="D4124" s="107" t="str">
        <f>IF(LEN(Table1722[[#This Row],[Uraian]])&gt;2,1," ")</f>
        <v xml:space="preserve"> </v>
      </c>
      <c r="E4124" s="113" t="str">
        <f>IF(Table1722[[#This Row],[Lawan Transaksi]]="CV AGUNG KARYA",COUNTIF($I$10:I4124,"CV AGUNG KARYA")," ")</f>
        <v xml:space="preserve"> </v>
      </c>
      <c r="F4124" s="107" t="str">
        <f>IF(LEN(Table1722[[#This Row],[Uraian]])&gt;2,TRIM(RIGHT(SUBSTITUTE(TRIM(C4124)," ",REPT(" ",255)),255))," ")</f>
        <v xml:space="preserve"> </v>
      </c>
      <c r="G4124" s="110">
        <f>COPY!Z4116</f>
        <v>0</v>
      </c>
      <c r="H4124" s="111" t="str">
        <f>IFERROR(VLOOKUP(Table1722[[#This Row],[Bukti]],'Un nOTA'!$A$4:$K$5003,10,FALSE),"")</f>
        <v/>
      </c>
      <c r="I4124" s="123" t="str">
        <f>IFERROR(VLOOKUP(Table1722[[#This Row],[Bukti]],Table13[#Data],11,FALSE),"")</f>
        <v/>
      </c>
    </row>
    <row r="4125" spans="1:9" hidden="1" x14ac:dyDescent="0.2">
      <c r="A4125" s="105" t="str">
        <f>IF(D4125=1,COUNTIF($D$10:D4125,1)," ")</f>
        <v xml:space="preserve"> </v>
      </c>
      <c r="B4125" s="106">
        <f>COPY!AR4117</f>
        <v>0</v>
      </c>
      <c r="C4125" s="107">
        <f>COPY!AC4117</f>
        <v>0</v>
      </c>
      <c r="D4125" s="107" t="str">
        <f>IF(LEN(Table1722[[#This Row],[Uraian]])&gt;2,1," ")</f>
        <v xml:space="preserve"> </v>
      </c>
      <c r="E4125" s="113" t="str">
        <f>IF(Table1722[[#This Row],[Lawan Transaksi]]="CV AGUNG KARYA",COUNTIF($I$10:I4125,"CV AGUNG KARYA")," ")</f>
        <v xml:space="preserve"> </v>
      </c>
      <c r="F4125" s="107" t="str">
        <f>IF(LEN(Table1722[[#This Row],[Uraian]])&gt;2,TRIM(RIGHT(SUBSTITUTE(TRIM(C4125)," ",REPT(" ",255)),255))," ")</f>
        <v xml:space="preserve"> </v>
      </c>
      <c r="G4125" s="110">
        <f>COPY!Z4117</f>
        <v>0</v>
      </c>
      <c r="H4125" s="111" t="str">
        <f>IFERROR(VLOOKUP(Table1722[[#This Row],[Bukti]],'Un nOTA'!$A$4:$K$5003,10,FALSE),"")</f>
        <v/>
      </c>
      <c r="I4125" s="123" t="str">
        <f>IFERROR(VLOOKUP(Table1722[[#This Row],[Bukti]],Table13[#Data],11,FALSE),"")</f>
        <v/>
      </c>
    </row>
    <row r="4126" spans="1:9" hidden="1" x14ac:dyDescent="0.2">
      <c r="A4126" s="105" t="str">
        <f>IF(D4126=1,COUNTIF($D$10:D4126,1)," ")</f>
        <v xml:space="preserve"> </v>
      </c>
      <c r="B4126" s="106">
        <f>COPY!AR4118</f>
        <v>0</v>
      </c>
      <c r="C4126" s="107">
        <f>COPY!AC4118</f>
        <v>0</v>
      </c>
      <c r="D4126" s="107" t="str">
        <f>IF(LEN(Table1722[[#This Row],[Uraian]])&gt;2,1," ")</f>
        <v xml:space="preserve"> </v>
      </c>
      <c r="E4126" s="113" t="str">
        <f>IF(Table1722[[#This Row],[Lawan Transaksi]]="CV AGUNG KARYA",COUNTIF($I$10:I4126,"CV AGUNG KARYA")," ")</f>
        <v xml:space="preserve"> </v>
      </c>
      <c r="F4126" s="107" t="str">
        <f>IF(LEN(Table1722[[#This Row],[Uraian]])&gt;2,TRIM(RIGHT(SUBSTITUTE(TRIM(C4126)," ",REPT(" ",255)),255))," ")</f>
        <v xml:space="preserve"> </v>
      </c>
      <c r="G4126" s="110">
        <f>COPY!Z4118</f>
        <v>0</v>
      </c>
      <c r="H4126" s="111" t="str">
        <f>IFERROR(VLOOKUP(Table1722[[#This Row],[Bukti]],'Un nOTA'!$A$4:$K$5003,10,FALSE),"")</f>
        <v/>
      </c>
      <c r="I4126" s="123" t="str">
        <f>IFERROR(VLOOKUP(Table1722[[#This Row],[Bukti]],Table13[#Data],11,FALSE),"")</f>
        <v/>
      </c>
    </row>
    <row r="4127" spans="1:9" hidden="1" x14ac:dyDescent="0.2">
      <c r="A4127" s="105" t="str">
        <f>IF(D4127=1,COUNTIF($D$10:D4127,1)," ")</f>
        <v xml:space="preserve"> </v>
      </c>
      <c r="B4127" s="106">
        <f>COPY!AR4119</f>
        <v>0</v>
      </c>
      <c r="C4127" s="107">
        <f>COPY!AC4119</f>
        <v>0</v>
      </c>
      <c r="D4127" s="107" t="str">
        <f>IF(LEN(Table1722[[#This Row],[Uraian]])&gt;2,1," ")</f>
        <v xml:space="preserve"> </v>
      </c>
      <c r="E4127" s="113" t="str">
        <f>IF(Table1722[[#This Row],[Lawan Transaksi]]="CV AGUNG KARYA",COUNTIF($I$10:I4127,"CV AGUNG KARYA")," ")</f>
        <v xml:space="preserve"> </v>
      </c>
      <c r="F4127" s="107" t="str">
        <f>IF(LEN(Table1722[[#This Row],[Uraian]])&gt;2,TRIM(RIGHT(SUBSTITUTE(TRIM(C4127)," ",REPT(" ",255)),255))," ")</f>
        <v xml:space="preserve"> </v>
      </c>
      <c r="G4127" s="110">
        <f>COPY!Z4119</f>
        <v>0</v>
      </c>
      <c r="H4127" s="111" t="str">
        <f>IFERROR(VLOOKUP(Table1722[[#This Row],[Bukti]],'Un nOTA'!$A$4:$K$5003,10,FALSE),"")</f>
        <v/>
      </c>
      <c r="I4127" s="123" t="str">
        <f>IFERROR(VLOOKUP(Table1722[[#This Row],[Bukti]],Table13[#Data],11,FALSE),"")</f>
        <v/>
      </c>
    </row>
    <row r="4128" spans="1:9" hidden="1" x14ac:dyDescent="0.2">
      <c r="A4128" s="105" t="str">
        <f>IF(D4128=1,COUNTIF($D$10:D4128,1)," ")</f>
        <v xml:space="preserve"> </v>
      </c>
      <c r="B4128" s="106">
        <f>COPY!AR4120</f>
        <v>0</v>
      </c>
      <c r="C4128" s="107">
        <f>COPY!AC4120</f>
        <v>0</v>
      </c>
      <c r="D4128" s="107" t="str">
        <f>IF(LEN(Table1722[[#This Row],[Uraian]])&gt;2,1," ")</f>
        <v xml:space="preserve"> </v>
      </c>
      <c r="E4128" s="113" t="str">
        <f>IF(Table1722[[#This Row],[Lawan Transaksi]]="CV AGUNG KARYA",COUNTIF($I$10:I4128,"CV AGUNG KARYA")," ")</f>
        <v xml:space="preserve"> </v>
      </c>
      <c r="F4128" s="107" t="str">
        <f>IF(LEN(Table1722[[#This Row],[Uraian]])&gt;2,TRIM(RIGHT(SUBSTITUTE(TRIM(C4128)," ",REPT(" ",255)),255))," ")</f>
        <v xml:space="preserve"> </v>
      </c>
      <c r="G4128" s="110">
        <f>COPY!Z4120</f>
        <v>0</v>
      </c>
      <c r="H4128" s="111" t="str">
        <f>IFERROR(VLOOKUP(Table1722[[#This Row],[Bukti]],'Un nOTA'!$A$4:$K$5003,10,FALSE),"")</f>
        <v/>
      </c>
      <c r="I4128" s="123" t="str">
        <f>IFERROR(VLOOKUP(Table1722[[#This Row],[Bukti]],Table13[#Data],11,FALSE),"")</f>
        <v/>
      </c>
    </row>
    <row r="4129" spans="1:9" hidden="1" x14ac:dyDescent="0.2">
      <c r="A4129" s="105" t="str">
        <f>IF(D4129=1,COUNTIF($D$10:D4129,1)," ")</f>
        <v xml:space="preserve"> </v>
      </c>
      <c r="B4129" s="106">
        <f>COPY!AR4121</f>
        <v>0</v>
      </c>
      <c r="C4129" s="107">
        <f>COPY!AC4121</f>
        <v>0</v>
      </c>
      <c r="D4129" s="107" t="str">
        <f>IF(LEN(Table1722[[#This Row],[Uraian]])&gt;2,1," ")</f>
        <v xml:space="preserve"> </v>
      </c>
      <c r="E4129" s="113" t="str">
        <f>IF(Table1722[[#This Row],[Lawan Transaksi]]="CV AGUNG KARYA",COUNTIF($I$10:I4129,"CV AGUNG KARYA")," ")</f>
        <v xml:space="preserve"> </v>
      </c>
      <c r="F4129" s="107" t="str">
        <f>IF(LEN(Table1722[[#This Row],[Uraian]])&gt;2,TRIM(RIGHT(SUBSTITUTE(TRIM(C4129)," ",REPT(" ",255)),255))," ")</f>
        <v xml:space="preserve"> </v>
      </c>
      <c r="G4129" s="110">
        <f>COPY!Z4121</f>
        <v>0</v>
      </c>
      <c r="H4129" s="111" t="str">
        <f>IFERROR(VLOOKUP(Table1722[[#This Row],[Bukti]],'Un nOTA'!$A$4:$K$5003,10,FALSE),"")</f>
        <v/>
      </c>
      <c r="I4129" s="123" t="str">
        <f>IFERROR(VLOOKUP(Table1722[[#This Row],[Bukti]],Table13[#Data],11,FALSE),"")</f>
        <v/>
      </c>
    </row>
    <row r="4130" spans="1:9" hidden="1" x14ac:dyDescent="0.2">
      <c r="A4130" s="105" t="str">
        <f>IF(D4130=1,COUNTIF($D$10:D4130,1)," ")</f>
        <v xml:space="preserve"> </v>
      </c>
      <c r="B4130" s="106">
        <f>COPY!AR4122</f>
        <v>0</v>
      </c>
      <c r="C4130" s="107">
        <f>COPY!AC4122</f>
        <v>0</v>
      </c>
      <c r="D4130" s="107" t="str">
        <f>IF(LEN(Table1722[[#This Row],[Uraian]])&gt;2,1," ")</f>
        <v xml:space="preserve"> </v>
      </c>
      <c r="E4130" s="113" t="str">
        <f>IF(Table1722[[#This Row],[Lawan Transaksi]]="CV AGUNG KARYA",COUNTIF($I$10:I4130,"CV AGUNG KARYA")," ")</f>
        <v xml:space="preserve"> </v>
      </c>
      <c r="F4130" s="107" t="str">
        <f>IF(LEN(Table1722[[#This Row],[Uraian]])&gt;2,TRIM(RIGHT(SUBSTITUTE(TRIM(C4130)," ",REPT(" ",255)),255))," ")</f>
        <v xml:space="preserve"> </v>
      </c>
      <c r="G4130" s="110">
        <f>COPY!Z4122</f>
        <v>0</v>
      </c>
      <c r="H4130" s="111" t="str">
        <f>IFERROR(VLOOKUP(Table1722[[#This Row],[Bukti]],'Un nOTA'!$A$4:$K$5003,10,FALSE),"")</f>
        <v/>
      </c>
      <c r="I4130" s="123" t="str">
        <f>IFERROR(VLOOKUP(Table1722[[#This Row],[Bukti]],Table13[#Data],11,FALSE),"")</f>
        <v/>
      </c>
    </row>
    <row r="4131" spans="1:9" hidden="1" x14ac:dyDescent="0.2">
      <c r="A4131" s="105" t="str">
        <f>IF(D4131=1,COUNTIF($D$10:D4131,1)," ")</f>
        <v xml:space="preserve"> </v>
      </c>
      <c r="B4131" s="106">
        <f>COPY!AR4123</f>
        <v>0</v>
      </c>
      <c r="C4131" s="107">
        <f>COPY!AC4123</f>
        <v>0</v>
      </c>
      <c r="D4131" s="107" t="str">
        <f>IF(LEN(Table1722[[#This Row],[Uraian]])&gt;2,1," ")</f>
        <v xml:space="preserve"> </v>
      </c>
      <c r="E4131" s="113" t="str">
        <f>IF(Table1722[[#This Row],[Lawan Transaksi]]="CV AGUNG KARYA",COUNTIF($I$10:I4131,"CV AGUNG KARYA")," ")</f>
        <v xml:space="preserve"> </v>
      </c>
      <c r="F4131" s="107" t="str">
        <f>IF(LEN(Table1722[[#This Row],[Uraian]])&gt;2,TRIM(RIGHT(SUBSTITUTE(TRIM(C4131)," ",REPT(" ",255)),255))," ")</f>
        <v xml:space="preserve"> </v>
      </c>
      <c r="G4131" s="110">
        <f>COPY!Z4123</f>
        <v>0</v>
      </c>
      <c r="H4131" s="111" t="str">
        <f>IFERROR(VLOOKUP(Table1722[[#This Row],[Bukti]],'Un nOTA'!$A$4:$K$5003,10,FALSE),"")</f>
        <v/>
      </c>
      <c r="I4131" s="123" t="str">
        <f>IFERROR(VLOOKUP(Table1722[[#This Row],[Bukti]],Table13[#Data],11,FALSE),"")</f>
        <v/>
      </c>
    </row>
    <row r="4132" spans="1:9" hidden="1" x14ac:dyDescent="0.2">
      <c r="A4132" s="105" t="str">
        <f>IF(D4132=1,COUNTIF($D$10:D4132,1)," ")</f>
        <v xml:space="preserve"> </v>
      </c>
      <c r="B4132" s="106">
        <f>COPY!AR4124</f>
        <v>0</v>
      </c>
      <c r="C4132" s="107">
        <f>COPY!AC4124</f>
        <v>0</v>
      </c>
      <c r="D4132" s="107" t="str">
        <f>IF(LEN(Table1722[[#This Row],[Uraian]])&gt;2,1," ")</f>
        <v xml:space="preserve"> </v>
      </c>
      <c r="E4132" s="113" t="str">
        <f>IF(Table1722[[#This Row],[Lawan Transaksi]]="CV AGUNG KARYA",COUNTIF($I$10:I4132,"CV AGUNG KARYA")," ")</f>
        <v xml:space="preserve"> </v>
      </c>
      <c r="F4132" s="107" t="str">
        <f>IF(LEN(Table1722[[#This Row],[Uraian]])&gt;2,TRIM(RIGHT(SUBSTITUTE(TRIM(C4132)," ",REPT(" ",255)),255))," ")</f>
        <v xml:space="preserve"> </v>
      </c>
      <c r="G4132" s="110">
        <f>COPY!Z4124</f>
        <v>0</v>
      </c>
      <c r="H4132" s="111" t="str">
        <f>IFERROR(VLOOKUP(Table1722[[#This Row],[Bukti]],'Un nOTA'!$A$4:$K$5003,10,FALSE),"")</f>
        <v/>
      </c>
      <c r="I4132" s="123" t="str">
        <f>IFERROR(VLOOKUP(Table1722[[#This Row],[Bukti]],Table13[#Data],11,FALSE),"")</f>
        <v/>
      </c>
    </row>
    <row r="4133" spans="1:9" hidden="1" x14ac:dyDescent="0.2">
      <c r="A4133" s="105" t="str">
        <f>IF(D4133=1,COUNTIF($D$10:D4133,1)," ")</f>
        <v xml:space="preserve"> </v>
      </c>
      <c r="B4133" s="106">
        <f>COPY!AR4125</f>
        <v>0</v>
      </c>
      <c r="C4133" s="107">
        <f>COPY!AC4125</f>
        <v>0</v>
      </c>
      <c r="D4133" s="107" t="str">
        <f>IF(LEN(Table1722[[#This Row],[Uraian]])&gt;2,1," ")</f>
        <v xml:space="preserve"> </v>
      </c>
      <c r="E4133" s="113" t="str">
        <f>IF(Table1722[[#This Row],[Lawan Transaksi]]="CV AGUNG KARYA",COUNTIF($I$10:I4133,"CV AGUNG KARYA")," ")</f>
        <v xml:space="preserve"> </v>
      </c>
      <c r="F4133" s="107" t="str">
        <f>IF(LEN(Table1722[[#This Row],[Uraian]])&gt;2,TRIM(RIGHT(SUBSTITUTE(TRIM(C4133)," ",REPT(" ",255)),255))," ")</f>
        <v xml:space="preserve"> </v>
      </c>
      <c r="G4133" s="110">
        <f>COPY!Z4125</f>
        <v>0</v>
      </c>
      <c r="H4133" s="111" t="str">
        <f>IFERROR(VLOOKUP(Table1722[[#This Row],[Bukti]],'Un nOTA'!$A$4:$K$5003,10,FALSE),"")</f>
        <v/>
      </c>
      <c r="I4133" s="123" t="str">
        <f>IFERROR(VLOOKUP(Table1722[[#This Row],[Bukti]],Table13[#Data],11,FALSE),"")</f>
        <v/>
      </c>
    </row>
    <row r="4134" spans="1:9" hidden="1" x14ac:dyDescent="0.2">
      <c r="A4134" s="105" t="str">
        <f>IF(D4134=1,COUNTIF($D$10:D4134,1)," ")</f>
        <v xml:space="preserve"> </v>
      </c>
      <c r="B4134" s="106">
        <f>COPY!AR4126</f>
        <v>0</v>
      </c>
      <c r="C4134" s="107">
        <f>COPY!AC4126</f>
        <v>0</v>
      </c>
      <c r="D4134" s="107" t="str">
        <f>IF(LEN(Table1722[[#This Row],[Uraian]])&gt;2,1," ")</f>
        <v xml:space="preserve"> </v>
      </c>
      <c r="E4134" s="113" t="str">
        <f>IF(Table1722[[#This Row],[Lawan Transaksi]]="CV AGUNG KARYA",COUNTIF($I$10:I4134,"CV AGUNG KARYA")," ")</f>
        <v xml:space="preserve"> </v>
      </c>
      <c r="F4134" s="107" t="str">
        <f>IF(LEN(Table1722[[#This Row],[Uraian]])&gt;2,TRIM(RIGHT(SUBSTITUTE(TRIM(C4134)," ",REPT(" ",255)),255))," ")</f>
        <v xml:space="preserve"> </v>
      </c>
      <c r="G4134" s="110">
        <f>COPY!Z4126</f>
        <v>0</v>
      </c>
      <c r="H4134" s="111" t="str">
        <f>IFERROR(VLOOKUP(Table1722[[#This Row],[Bukti]],'Un nOTA'!$A$4:$K$5003,10,FALSE),"")</f>
        <v/>
      </c>
      <c r="I4134" s="123" t="str">
        <f>IFERROR(VLOOKUP(Table1722[[#This Row],[Bukti]],Table13[#Data],11,FALSE),"")</f>
        <v/>
      </c>
    </row>
    <row r="4135" spans="1:9" hidden="1" x14ac:dyDescent="0.2">
      <c r="A4135" s="105" t="str">
        <f>IF(D4135=1,COUNTIF($D$10:D4135,1)," ")</f>
        <v xml:space="preserve"> </v>
      </c>
      <c r="B4135" s="106">
        <f>COPY!AR4127</f>
        <v>0</v>
      </c>
      <c r="C4135" s="107">
        <f>COPY!AC4127</f>
        <v>0</v>
      </c>
      <c r="D4135" s="107" t="str">
        <f>IF(LEN(Table1722[[#This Row],[Uraian]])&gt;2,1," ")</f>
        <v xml:space="preserve"> </v>
      </c>
      <c r="E4135" s="113" t="str">
        <f>IF(Table1722[[#This Row],[Lawan Transaksi]]="CV AGUNG KARYA",COUNTIF($I$10:I4135,"CV AGUNG KARYA")," ")</f>
        <v xml:space="preserve"> </v>
      </c>
      <c r="F4135" s="107" t="str">
        <f>IF(LEN(Table1722[[#This Row],[Uraian]])&gt;2,TRIM(RIGHT(SUBSTITUTE(TRIM(C4135)," ",REPT(" ",255)),255))," ")</f>
        <v xml:space="preserve"> </v>
      </c>
      <c r="G4135" s="110">
        <f>COPY!Z4127</f>
        <v>0</v>
      </c>
      <c r="H4135" s="111" t="str">
        <f>IFERROR(VLOOKUP(Table1722[[#This Row],[Bukti]],'Un nOTA'!$A$4:$K$5003,10,FALSE),"")</f>
        <v/>
      </c>
      <c r="I4135" s="123" t="str">
        <f>IFERROR(VLOOKUP(Table1722[[#This Row],[Bukti]],Table13[#Data],11,FALSE),"")</f>
        <v/>
      </c>
    </row>
    <row r="4136" spans="1:9" hidden="1" x14ac:dyDescent="0.2">
      <c r="A4136" s="105" t="str">
        <f>IF(D4136=1,COUNTIF($D$10:D4136,1)," ")</f>
        <v xml:space="preserve"> </v>
      </c>
      <c r="B4136" s="106">
        <f>COPY!AR4128</f>
        <v>0</v>
      </c>
      <c r="C4136" s="107">
        <f>COPY!AC4128</f>
        <v>0</v>
      </c>
      <c r="D4136" s="107" t="str">
        <f>IF(LEN(Table1722[[#This Row],[Uraian]])&gt;2,1," ")</f>
        <v xml:space="preserve"> </v>
      </c>
      <c r="E4136" s="113" t="str">
        <f>IF(Table1722[[#This Row],[Lawan Transaksi]]="CV AGUNG KARYA",COUNTIF($I$10:I4136,"CV AGUNG KARYA")," ")</f>
        <v xml:space="preserve"> </v>
      </c>
      <c r="F4136" s="107" t="str">
        <f>IF(LEN(Table1722[[#This Row],[Uraian]])&gt;2,TRIM(RIGHT(SUBSTITUTE(TRIM(C4136)," ",REPT(" ",255)),255))," ")</f>
        <v xml:space="preserve"> </v>
      </c>
      <c r="G4136" s="110">
        <f>COPY!Z4128</f>
        <v>0</v>
      </c>
      <c r="H4136" s="111" t="str">
        <f>IFERROR(VLOOKUP(Table1722[[#This Row],[Bukti]],'Un nOTA'!$A$4:$K$5003,10,FALSE),"")</f>
        <v/>
      </c>
      <c r="I4136" s="123" t="str">
        <f>IFERROR(VLOOKUP(Table1722[[#This Row],[Bukti]],Table13[#Data],11,FALSE),"")</f>
        <v/>
      </c>
    </row>
    <row r="4137" spans="1:9" hidden="1" x14ac:dyDescent="0.2">
      <c r="A4137" s="105" t="str">
        <f>IF(D4137=1,COUNTIF($D$10:D4137,1)," ")</f>
        <v xml:space="preserve"> </v>
      </c>
      <c r="B4137" s="106">
        <f>COPY!AR4129</f>
        <v>0</v>
      </c>
      <c r="C4137" s="107">
        <f>COPY!AC4129</f>
        <v>0</v>
      </c>
      <c r="D4137" s="107" t="str">
        <f>IF(LEN(Table1722[[#This Row],[Uraian]])&gt;2,1," ")</f>
        <v xml:space="preserve"> </v>
      </c>
      <c r="E4137" s="113" t="str">
        <f>IF(Table1722[[#This Row],[Lawan Transaksi]]="CV AGUNG KARYA",COUNTIF($I$10:I4137,"CV AGUNG KARYA")," ")</f>
        <v xml:space="preserve"> </v>
      </c>
      <c r="F4137" s="107" t="str">
        <f>IF(LEN(Table1722[[#This Row],[Uraian]])&gt;2,TRIM(RIGHT(SUBSTITUTE(TRIM(C4137)," ",REPT(" ",255)),255))," ")</f>
        <v xml:space="preserve"> </v>
      </c>
      <c r="G4137" s="110">
        <f>COPY!Z4129</f>
        <v>0</v>
      </c>
      <c r="H4137" s="111" t="str">
        <f>IFERROR(VLOOKUP(Table1722[[#This Row],[Bukti]],'Un nOTA'!$A$4:$K$5003,10,FALSE),"")</f>
        <v/>
      </c>
      <c r="I4137" s="123" t="str">
        <f>IFERROR(VLOOKUP(Table1722[[#This Row],[Bukti]],Table13[#Data],11,FALSE),"")</f>
        <v/>
      </c>
    </row>
    <row r="4138" spans="1:9" hidden="1" x14ac:dyDescent="0.2">
      <c r="A4138" s="105" t="str">
        <f>IF(D4138=1,COUNTIF($D$10:D4138,1)," ")</f>
        <v xml:space="preserve"> </v>
      </c>
      <c r="B4138" s="106">
        <f>COPY!AR4130</f>
        <v>0</v>
      </c>
      <c r="C4138" s="107">
        <f>COPY!AC4130</f>
        <v>0</v>
      </c>
      <c r="D4138" s="107" t="str">
        <f>IF(LEN(Table1722[[#This Row],[Uraian]])&gt;2,1," ")</f>
        <v xml:space="preserve"> </v>
      </c>
      <c r="E4138" s="113" t="str">
        <f>IF(Table1722[[#This Row],[Lawan Transaksi]]="CV AGUNG KARYA",COUNTIF($I$10:I4138,"CV AGUNG KARYA")," ")</f>
        <v xml:space="preserve"> </v>
      </c>
      <c r="F4138" s="107" t="str">
        <f>IF(LEN(Table1722[[#This Row],[Uraian]])&gt;2,TRIM(RIGHT(SUBSTITUTE(TRIM(C4138)," ",REPT(" ",255)),255))," ")</f>
        <v xml:space="preserve"> </v>
      </c>
      <c r="G4138" s="110">
        <f>COPY!Z4130</f>
        <v>0</v>
      </c>
      <c r="H4138" s="111" t="str">
        <f>IFERROR(VLOOKUP(Table1722[[#This Row],[Bukti]],'Un nOTA'!$A$4:$K$5003,10,FALSE),"")</f>
        <v/>
      </c>
      <c r="I4138" s="123" t="str">
        <f>IFERROR(VLOOKUP(Table1722[[#This Row],[Bukti]],Table13[#Data],11,FALSE),"")</f>
        <v/>
      </c>
    </row>
    <row r="4139" spans="1:9" hidden="1" x14ac:dyDescent="0.2">
      <c r="A4139" s="105" t="str">
        <f>IF(D4139=1,COUNTIF($D$10:D4139,1)," ")</f>
        <v xml:space="preserve"> </v>
      </c>
      <c r="B4139" s="106">
        <f>COPY!AR4131</f>
        <v>0</v>
      </c>
      <c r="C4139" s="107">
        <f>COPY!AC4131</f>
        <v>0</v>
      </c>
      <c r="D4139" s="107" t="str">
        <f>IF(LEN(Table1722[[#This Row],[Uraian]])&gt;2,1," ")</f>
        <v xml:space="preserve"> </v>
      </c>
      <c r="E4139" s="113" t="str">
        <f>IF(Table1722[[#This Row],[Lawan Transaksi]]="CV AGUNG KARYA",COUNTIF($I$10:I4139,"CV AGUNG KARYA")," ")</f>
        <v xml:space="preserve"> </v>
      </c>
      <c r="F4139" s="107" t="str">
        <f>IF(LEN(Table1722[[#This Row],[Uraian]])&gt;2,TRIM(RIGHT(SUBSTITUTE(TRIM(C4139)," ",REPT(" ",255)),255))," ")</f>
        <v xml:space="preserve"> </v>
      </c>
      <c r="G4139" s="110">
        <f>COPY!Z4131</f>
        <v>0</v>
      </c>
      <c r="H4139" s="111" t="str">
        <f>IFERROR(VLOOKUP(Table1722[[#This Row],[Bukti]],'Un nOTA'!$A$4:$K$5003,10,FALSE),"")</f>
        <v/>
      </c>
      <c r="I4139" s="123" t="str">
        <f>IFERROR(VLOOKUP(Table1722[[#This Row],[Bukti]],Table13[#Data],11,FALSE),"")</f>
        <v/>
      </c>
    </row>
    <row r="4140" spans="1:9" hidden="1" x14ac:dyDescent="0.2">
      <c r="A4140" s="105" t="str">
        <f>IF(D4140=1,COUNTIF($D$10:D4140,1)," ")</f>
        <v xml:space="preserve"> </v>
      </c>
      <c r="B4140" s="106">
        <f>COPY!AR4132</f>
        <v>0</v>
      </c>
      <c r="C4140" s="107">
        <f>COPY!AC4132</f>
        <v>0</v>
      </c>
      <c r="D4140" s="107" t="str">
        <f>IF(LEN(Table1722[[#This Row],[Uraian]])&gt;2,1," ")</f>
        <v xml:space="preserve"> </v>
      </c>
      <c r="E4140" s="113" t="str">
        <f>IF(Table1722[[#This Row],[Lawan Transaksi]]="CV AGUNG KARYA",COUNTIF($I$10:I4140,"CV AGUNG KARYA")," ")</f>
        <v xml:space="preserve"> </v>
      </c>
      <c r="F4140" s="107" t="str">
        <f>IF(LEN(Table1722[[#This Row],[Uraian]])&gt;2,TRIM(RIGHT(SUBSTITUTE(TRIM(C4140)," ",REPT(" ",255)),255))," ")</f>
        <v xml:space="preserve"> </v>
      </c>
      <c r="G4140" s="110">
        <f>COPY!Z4132</f>
        <v>0</v>
      </c>
      <c r="H4140" s="111" t="str">
        <f>IFERROR(VLOOKUP(Table1722[[#This Row],[Bukti]],'Un nOTA'!$A$4:$K$5003,10,FALSE),"")</f>
        <v/>
      </c>
      <c r="I4140" s="123" t="str">
        <f>IFERROR(VLOOKUP(Table1722[[#This Row],[Bukti]],Table13[#Data],11,FALSE),"")</f>
        <v/>
      </c>
    </row>
    <row r="4141" spans="1:9" hidden="1" x14ac:dyDescent="0.2">
      <c r="A4141" s="105" t="str">
        <f>IF(D4141=1,COUNTIF($D$10:D4141,1)," ")</f>
        <v xml:space="preserve"> </v>
      </c>
      <c r="B4141" s="106">
        <f>COPY!AR4133</f>
        <v>0</v>
      </c>
      <c r="C4141" s="107">
        <f>COPY!AC4133</f>
        <v>0</v>
      </c>
      <c r="D4141" s="107" t="str">
        <f>IF(LEN(Table1722[[#This Row],[Uraian]])&gt;2,1," ")</f>
        <v xml:space="preserve"> </v>
      </c>
      <c r="E4141" s="113" t="str">
        <f>IF(Table1722[[#This Row],[Lawan Transaksi]]="CV AGUNG KARYA",COUNTIF($I$10:I4141,"CV AGUNG KARYA")," ")</f>
        <v xml:space="preserve"> </v>
      </c>
      <c r="F4141" s="107" t="str">
        <f>IF(LEN(Table1722[[#This Row],[Uraian]])&gt;2,TRIM(RIGHT(SUBSTITUTE(TRIM(C4141)," ",REPT(" ",255)),255))," ")</f>
        <v xml:space="preserve"> </v>
      </c>
      <c r="G4141" s="110">
        <f>COPY!Z4133</f>
        <v>0</v>
      </c>
      <c r="H4141" s="111" t="str">
        <f>IFERROR(VLOOKUP(Table1722[[#This Row],[Bukti]],'Un nOTA'!$A$4:$K$5003,10,FALSE),"")</f>
        <v/>
      </c>
      <c r="I4141" s="123" t="str">
        <f>IFERROR(VLOOKUP(Table1722[[#This Row],[Bukti]],Table13[#Data],11,FALSE),"")</f>
        <v/>
      </c>
    </row>
    <row r="4142" spans="1:9" hidden="1" x14ac:dyDescent="0.2">
      <c r="A4142" s="105" t="str">
        <f>IF(D4142=1,COUNTIF($D$10:D4142,1)," ")</f>
        <v xml:space="preserve"> </v>
      </c>
      <c r="B4142" s="106">
        <f>COPY!AR4134</f>
        <v>0</v>
      </c>
      <c r="C4142" s="107">
        <f>COPY!AC4134</f>
        <v>0</v>
      </c>
      <c r="D4142" s="107" t="str">
        <f>IF(LEN(Table1722[[#This Row],[Uraian]])&gt;2,1," ")</f>
        <v xml:space="preserve"> </v>
      </c>
      <c r="E4142" s="113" t="str">
        <f>IF(Table1722[[#This Row],[Lawan Transaksi]]="CV AGUNG KARYA",COUNTIF($I$10:I4142,"CV AGUNG KARYA")," ")</f>
        <v xml:space="preserve"> </v>
      </c>
      <c r="F4142" s="107" t="str">
        <f>IF(LEN(Table1722[[#This Row],[Uraian]])&gt;2,TRIM(RIGHT(SUBSTITUTE(TRIM(C4142)," ",REPT(" ",255)),255))," ")</f>
        <v xml:space="preserve"> </v>
      </c>
      <c r="G4142" s="110">
        <f>COPY!Z4134</f>
        <v>0</v>
      </c>
      <c r="H4142" s="111" t="str">
        <f>IFERROR(VLOOKUP(Table1722[[#This Row],[Bukti]],'Un nOTA'!$A$4:$K$5003,10,FALSE),"")</f>
        <v/>
      </c>
      <c r="I4142" s="123" t="str">
        <f>IFERROR(VLOOKUP(Table1722[[#This Row],[Bukti]],Table13[#Data],11,FALSE),"")</f>
        <v/>
      </c>
    </row>
    <row r="4143" spans="1:9" hidden="1" x14ac:dyDescent="0.2">
      <c r="A4143" s="105" t="str">
        <f>IF(D4143=1,COUNTIF($D$10:D4143,1)," ")</f>
        <v xml:space="preserve"> </v>
      </c>
      <c r="B4143" s="106">
        <f>COPY!AR4135</f>
        <v>0</v>
      </c>
      <c r="C4143" s="107">
        <f>COPY!AC4135</f>
        <v>0</v>
      </c>
      <c r="D4143" s="107" t="str">
        <f>IF(LEN(Table1722[[#This Row],[Uraian]])&gt;2,1," ")</f>
        <v xml:space="preserve"> </v>
      </c>
      <c r="E4143" s="113" t="str">
        <f>IF(Table1722[[#This Row],[Lawan Transaksi]]="CV AGUNG KARYA",COUNTIF($I$10:I4143,"CV AGUNG KARYA")," ")</f>
        <v xml:space="preserve"> </v>
      </c>
      <c r="F4143" s="107" t="str">
        <f>IF(LEN(Table1722[[#This Row],[Uraian]])&gt;2,TRIM(RIGHT(SUBSTITUTE(TRIM(C4143)," ",REPT(" ",255)),255))," ")</f>
        <v xml:space="preserve"> </v>
      </c>
      <c r="G4143" s="110">
        <f>COPY!Z4135</f>
        <v>0</v>
      </c>
      <c r="H4143" s="111" t="str">
        <f>IFERROR(VLOOKUP(Table1722[[#This Row],[Bukti]],'Un nOTA'!$A$4:$K$5003,10,FALSE),"")</f>
        <v/>
      </c>
      <c r="I4143" s="123" t="str">
        <f>IFERROR(VLOOKUP(Table1722[[#This Row],[Bukti]],Table13[#Data],11,FALSE),"")</f>
        <v/>
      </c>
    </row>
    <row r="4144" spans="1:9" hidden="1" x14ac:dyDescent="0.2">
      <c r="A4144" s="105" t="str">
        <f>IF(D4144=1,COUNTIF($D$10:D4144,1)," ")</f>
        <v xml:space="preserve"> </v>
      </c>
      <c r="B4144" s="106">
        <f>COPY!AR4136</f>
        <v>0</v>
      </c>
      <c r="C4144" s="107">
        <f>COPY!AC4136</f>
        <v>0</v>
      </c>
      <c r="D4144" s="107" t="str">
        <f>IF(LEN(Table1722[[#This Row],[Uraian]])&gt;2,1," ")</f>
        <v xml:space="preserve"> </v>
      </c>
      <c r="E4144" s="113" t="str">
        <f>IF(Table1722[[#This Row],[Lawan Transaksi]]="CV AGUNG KARYA",COUNTIF($I$10:I4144,"CV AGUNG KARYA")," ")</f>
        <v xml:space="preserve"> </v>
      </c>
      <c r="F4144" s="107" t="str">
        <f>IF(LEN(Table1722[[#This Row],[Uraian]])&gt;2,TRIM(RIGHT(SUBSTITUTE(TRIM(C4144)," ",REPT(" ",255)),255))," ")</f>
        <v xml:space="preserve"> </v>
      </c>
      <c r="G4144" s="110">
        <f>COPY!Z4136</f>
        <v>0</v>
      </c>
      <c r="H4144" s="111" t="str">
        <f>IFERROR(VLOOKUP(Table1722[[#This Row],[Bukti]],'Un nOTA'!$A$4:$K$5003,10,FALSE),"")</f>
        <v/>
      </c>
      <c r="I4144" s="123" t="str">
        <f>IFERROR(VLOOKUP(Table1722[[#This Row],[Bukti]],Table13[#Data],11,FALSE),"")</f>
        <v/>
      </c>
    </row>
    <row r="4145" spans="1:9" hidden="1" x14ac:dyDescent="0.2">
      <c r="A4145" s="105" t="str">
        <f>IF(D4145=1,COUNTIF($D$10:D4145,1)," ")</f>
        <v xml:space="preserve"> </v>
      </c>
      <c r="B4145" s="106">
        <f>COPY!AR4137</f>
        <v>0</v>
      </c>
      <c r="C4145" s="107">
        <f>COPY!AC4137</f>
        <v>0</v>
      </c>
      <c r="D4145" s="107" t="str">
        <f>IF(LEN(Table1722[[#This Row],[Uraian]])&gt;2,1," ")</f>
        <v xml:space="preserve"> </v>
      </c>
      <c r="E4145" s="113" t="str">
        <f>IF(Table1722[[#This Row],[Lawan Transaksi]]="CV AGUNG KARYA",COUNTIF($I$10:I4145,"CV AGUNG KARYA")," ")</f>
        <v xml:space="preserve"> </v>
      </c>
      <c r="F4145" s="107" t="str">
        <f>IF(LEN(Table1722[[#This Row],[Uraian]])&gt;2,TRIM(RIGHT(SUBSTITUTE(TRIM(C4145)," ",REPT(" ",255)),255))," ")</f>
        <v xml:space="preserve"> </v>
      </c>
      <c r="G4145" s="110">
        <f>COPY!Z4137</f>
        <v>0</v>
      </c>
      <c r="H4145" s="111" t="str">
        <f>IFERROR(VLOOKUP(Table1722[[#This Row],[Bukti]],'Un nOTA'!$A$4:$K$5003,10,FALSE),"")</f>
        <v/>
      </c>
      <c r="I4145" s="123" t="str">
        <f>IFERROR(VLOOKUP(Table1722[[#This Row],[Bukti]],Table13[#Data],11,FALSE),"")</f>
        <v/>
      </c>
    </row>
    <row r="4146" spans="1:9" hidden="1" x14ac:dyDescent="0.2">
      <c r="A4146" s="105" t="str">
        <f>IF(D4146=1,COUNTIF($D$10:D4146,1)," ")</f>
        <v xml:space="preserve"> </v>
      </c>
      <c r="B4146" s="106">
        <f>COPY!AR4138</f>
        <v>0</v>
      </c>
      <c r="C4146" s="107">
        <f>COPY!AC4138</f>
        <v>0</v>
      </c>
      <c r="D4146" s="107" t="str">
        <f>IF(LEN(Table1722[[#This Row],[Uraian]])&gt;2,1," ")</f>
        <v xml:space="preserve"> </v>
      </c>
      <c r="E4146" s="113" t="str">
        <f>IF(Table1722[[#This Row],[Lawan Transaksi]]="CV AGUNG KARYA",COUNTIF($I$10:I4146,"CV AGUNG KARYA")," ")</f>
        <v xml:space="preserve"> </v>
      </c>
      <c r="F4146" s="107" t="str">
        <f>IF(LEN(Table1722[[#This Row],[Uraian]])&gt;2,TRIM(RIGHT(SUBSTITUTE(TRIM(C4146)," ",REPT(" ",255)),255))," ")</f>
        <v xml:space="preserve"> </v>
      </c>
      <c r="G4146" s="110">
        <f>COPY!Z4138</f>
        <v>0</v>
      </c>
      <c r="H4146" s="111" t="str">
        <f>IFERROR(VLOOKUP(Table1722[[#This Row],[Bukti]],'Un nOTA'!$A$4:$K$5003,10,FALSE),"")</f>
        <v/>
      </c>
      <c r="I4146" s="123" t="str">
        <f>IFERROR(VLOOKUP(Table1722[[#This Row],[Bukti]],Table13[#Data],11,FALSE),"")</f>
        <v/>
      </c>
    </row>
    <row r="4147" spans="1:9" hidden="1" x14ac:dyDescent="0.2">
      <c r="A4147" s="105" t="str">
        <f>IF(D4147=1,COUNTIF($D$10:D4147,1)," ")</f>
        <v xml:space="preserve"> </v>
      </c>
      <c r="B4147" s="106">
        <f>COPY!AR4139</f>
        <v>0</v>
      </c>
      <c r="C4147" s="107">
        <f>COPY!AC4139</f>
        <v>0</v>
      </c>
      <c r="D4147" s="107" t="str">
        <f>IF(LEN(Table1722[[#This Row],[Uraian]])&gt;2,1," ")</f>
        <v xml:space="preserve"> </v>
      </c>
      <c r="E4147" s="113" t="str">
        <f>IF(Table1722[[#This Row],[Lawan Transaksi]]="CV AGUNG KARYA",COUNTIF($I$10:I4147,"CV AGUNG KARYA")," ")</f>
        <v xml:space="preserve"> </v>
      </c>
      <c r="F4147" s="107" t="str">
        <f>IF(LEN(Table1722[[#This Row],[Uraian]])&gt;2,TRIM(RIGHT(SUBSTITUTE(TRIM(C4147)," ",REPT(" ",255)),255))," ")</f>
        <v xml:space="preserve"> </v>
      </c>
      <c r="G4147" s="110">
        <f>COPY!Z4139</f>
        <v>0</v>
      </c>
      <c r="H4147" s="111" t="str">
        <f>IFERROR(VLOOKUP(Table1722[[#This Row],[Bukti]],'Un nOTA'!$A$4:$K$5003,10,FALSE),"")</f>
        <v/>
      </c>
      <c r="I4147" s="123" t="str">
        <f>IFERROR(VLOOKUP(Table1722[[#This Row],[Bukti]],Table13[#Data],11,FALSE),"")</f>
        <v/>
      </c>
    </row>
    <row r="4148" spans="1:9" hidden="1" x14ac:dyDescent="0.2">
      <c r="A4148" s="105" t="str">
        <f>IF(D4148=1,COUNTIF($D$10:D4148,1)," ")</f>
        <v xml:space="preserve"> </v>
      </c>
      <c r="B4148" s="106">
        <f>COPY!AR4140</f>
        <v>0</v>
      </c>
      <c r="C4148" s="107">
        <f>COPY!AC4140</f>
        <v>0</v>
      </c>
      <c r="D4148" s="107" t="str">
        <f>IF(LEN(Table1722[[#This Row],[Uraian]])&gt;2,1," ")</f>
        <v xml:space="preserve"> </v>
      </c>
      <c r="E4148" s="113" t="str">
        <f>IF(Table1722[[#This Row],[Lawan Transaksi]]="CV AGUNG KARYA",COUNTIF($I$10:I4148,"CV AGUNG KARYA")," ")</f>
        <v xml:space="preserve"> </v>
      </c>
      <c r="F4148" s="107" t="str">
        <f>IF(LEN(Table1722[[#This Row],[Uraian]])&gt;2,TRIM(RIGHT(SUBSTITUTE(TRIM(C4148)," ",REPT(" ",255)),255))," ")</f>
        <v xml:space="preserve"> </v>
      </c>
      <c r="G4148" s="110">
        <f>COPY!Z4140</f>
        <v>0</v>
      </c>
      <c r="H4148" s="111" t="str">
        <f>IFERROR(VLOOKUP(Table1722[[#This Row],[Bukti]],'Un nOTA'!$A$4:$K$5003,10,FALSE),"")</f>
        <v/>
      </c>
      <c r="I4148" s="123" t="str">
        <f>IFERROR(VLOOKUP(Table1722[[#This Row],[Bukti]],Table13[#Data],11,FALSE),"")</f>
        <v/>
      </c>
    </row>
    <row r="4149" spans="1:9" hidden="1" x14ac:dyDescent="0.2">
      <c r="A4149" s="105" t="str">
        <f>IF(D4149=1,COUNTIF($D$10:D4149,1)," ")</f>
        <v xml:space="preserve"> </v>
      </c>
      <c r="B4149" s="106">
        <f>COPY!AR4141</f>
        <v>0</v>
      </c>
      <c r="C4149" s="107">
        <f>COPY!AC4141</f>
        <v>0</v>
      </c>
      <c r="D4149" s="107" t="str">
        <f>IF(LEN(Table1722[[#This Row],[Uraian]])&gt;2,1," ")</f>
        <v xml:space="preserve"> </v>
      </c>
      <c r="E4149" s="113" t="str">
        <f>IF(Table1722[[#This Row],[Lawan Transaksi]]="CV AGUNG KARYA",COUNTIF($I$10:I4149,"CV AGUNG KARYA")," ")</f>
        <v xml:space="preserve"> </v>
      </c>
      <c r="F4149" s="107" t="str">
        <f>IF(LEN(Table1722[[#This Row],[Uraian]])&gt;2,TRIM(RIGHT(SUBSTITUTE(TRIM(C4149)," ",REPT(" ",255)),255))," ")</f>
        <v xml:space="preserve"> </v>
      </c>
      <c r="G4149" s="110">
        <f>COPY!Z4141</f>
        <v>0</v>
      </c>
      <c r="H4149" s="111" t="str">
        <f>IFERROR(VLOOKUP(Table1722[[#This Row],[Bukti]],'Un nOTA'!$A$4:$K$5003,10,FALSE),"")</f>
        <v/>
      </c>
      <c r="I4149" s="123" t="str">
        <f>IFERROR(VLOOKUP(Table1722[[#This Row],[Bukti]],Table13[#Data],11,FALSE),"")</f>
        <v/>
      </c>
    </row>
    <row r="4150" spans="1:9" hidden="1" x14ac:dyDescent="0.2">
      <c r="A4150" s="105" t="str">
        <f>IF(D4150=1,COUNTIF($D$10:D4150,1)," ")</f>
        <v xml:space="preserve"> </v>
      </c>
      <c r="B4150" s="106">
        <f>COPY!AR4142</f>
        <v>0</v>
      </c>
      <c r="C4150" s="107">
        <f>COPY!AC4142</f>
        <v>0</v>
      </c>
      <c r="D4150" s="107" t="str">
        <f>IF(LEN(Table1722[[#This Row],[Uraian]])&gt;2,1," ")</f>
        <v xml:space="preserve"> </v>
      </c>
      <c r="E4150" s="113" t="str">
        <f>IF(Table1722[[#This Row],[Lawan Transaksi]]="CV AGUNG KARYA",COUNTIF($I$10:I4150,"CV AGUNG KARYA")," ")</f>
        <v xml:space="preserve"> </v>
      </c>
      <c r="F4150" s="107" t="str">
        <f>IF(LEN(Table1722[[#This Row],[Uraian]])&gt;2,TRIM(RIGHT(SUBSTITUTE(TRIM(C4150)," ",REPT(" ",255)),255))," ")</f>
        <v xml:space="preserve"> </v>
      </c>
      <c r="G4150" s="110">
        <f>COPY!Z4142</f>
        <v>0</v>
      </c>
      <c r="H4150" s="111" t="str">
        <f>IFERROR(VLOOKUP(Table1722[[#This Row],[Bukti]],'Un nOTA'!$A$4:$K$5003,10,FALSE),"")</f>
        <v/>
      </c>
      <c r="I4150" s="123" t="str">
        <f>IFERROR(VLOOKUP(Table1722[[#This Row],[Bukti]],Table13[#Data],11,FALSE),"")</f>
        <v/>
      </c>
    </row>
    <row r="4151" spans="1:9" hidden="1" x14ac:dyDescent="0.2">
      <c r="A4151" s="105" t="str">
        <f>IF(D4151=1,COUNTIF($D$10:D4151,1)," ")</f>
        <v xml:space="preserve"> </v>
      </c>
      <c r="B4151" s="106">
        <f>COPY!AR4143</f>
        <v>0</v>
      </c>
      <c r="C4151" s="107">
        <f>COPY!AC4143</f>
        <v>0</v>
      </c>
      <c r="D4151" s="107" t="str">
        <f>IF(LEN(Table1722[[#This Row],[Uraian]])&gt;2,1," ")</f>
        <v xml:space="preserve"> </v>
      </c>
      <c r="E4151" s="113" t="str">
        <f>IF(Table1722[[#This Row],[Lawan Transaksi]]="CV AGUNG KARYA",COUNTIF($I$10:I4151,"CV AGUNG KARYA")," ")</f>
        <v xml:space="preserve"> </v>
      </c>
      <c r="F4151" s="107" t="str">
        <f>IF(LEN(Table1722[[#This Row],[Uraian]])&gt;2,TRIM(RIGHT(SUBSTITUTE(TRIM(C4151)," ",REPT(" ",255)),255))," ")</f>
        <v xml:space="preserve"> </v>
      </c>
      <c r="G4151" s="110">
        <f>COPY!Z4143</f>
        <v>0</v>
      </c>
      <c r="H4151" s="111" t="str">
        <f>IFERROR(VLOOKUP(Table1722[[#This Row],[Bukti]],'Un nOTA'!$A$4:$K$5003,10,FALSE),"")</f>
        <v/>
      </c>
      <c r="I4151" s="123" t="str">
        <f>IFERROR(VLOOKUP(Table1722[[#This Row],[Bukti]],Table13[#Data],11,FALSE),"")</f>
        <v/>
      </c>
    </row>
    <row r="4152" spans="1:9" hidden="1" x14ac:dyDescent="0.2">
      <c r="A4152" s="105" t="str">
        <f>IF(D4152=1,COUNTIF($D$10:D4152,1)," ")</f>
        <v xml:space="preserve"> </v>
      </c>
      <c r="B4152" s="106">
        <f>COPY!AR4144</f>
        <v>0</v>
      </c>
      <c r="C4152" s="107">
        <f>COPY!AC4144</f>
        <v>0</v>
      </c>
      <c r="D4152" s="107" t="str">
        <f>IF(LEN(Table1722[[#This Row],[Uraian]])&gt;2,1," ")</f>
        <v xml:space="preserve"> </v>
      </c>
      <c r="E4152" s="113" t="str">
        <f>IF(Table1722[[#This Row],[Lawan Transaksi]]="CV AGUNG KARYA",COUNTIF($I$10:I4152,"CV AGUNG KARYA")," ")</f>
        <v xml:space="preserve"> </v>
      </c>
      <c r="F4152" s="107" t="str">
        <f>IF(LEN(Table1722[[#This Row],[Uraian]])&gt;2,TRIM(RIGHT(SUBSTITUTE(TRIM(C4152)," ",REPT(" ",255)),255))," ")</f>
        <v xml:space="preserve"> </v>
      </c>
      <c r="G4152" s="110">
        <f>COPY!Z4144</f>
        <v>0</v>
      </c>
      <c r="H4152" s="111" t="str">
        <f>IFERROR(VLOOKUP(Table1722[[#This Row],[Bukti]],'Un nOTA'!$A$4:$K$5003,10,FALSE),"")</f>
        <v/>
      </c>
      <c r="I4152" s="123" t="str">
        <f>IFERROR(VLOOKUP(Table1722[[#This Row],[Bukti]],Table13[#Data],11,FALSE),"")</f>
        <v/>
      </c>
    </row>
    <row r="4153" spans="1:9" hidden="1" x14ac:dyDescent="0.2">
      <c r="A4153" s="105" t="str">
        <f>IF(D4153=1,COUNTIF($D$10:D4153,1)," ")</f>
        <v xml:space="preserve"> </v>
      </c>
      <c r="B4153" s="106">
        <f>COPY!AR4145</f>
        <v>0</v>
      </c>
      <c r="C4153" s="107">
        <f>COPY!AC4145</f>
        <v>0</v>
      </c>
      <c r="D4153" s="107" t="str">
        <f>IF(LEN(Table1722[[#This Row],[Uraian]])&gt;2,1," ")</f>
        <v xml:space="preserve"> </v>
      </c>
      <c r="E4153" s="113" t="str">
        <f>IF(Table1722[[#This Row],[Lawan Transaksi]]="CV AGUNG KARYA",COUNTIF($I$10:I4153,"CV AGUNG KARYA")," ")</f>
        <v xml:space="preserve"> </v>
      </c>
      <c r="F4153" s="107" t="str">
        <f>IF(LEN(Table1722[[#This Row],[Uraian]])&gt;2,TRIM(RIGHT(SUBSTITUTE(TRIM(C4153)," ",REPT(" ",255)),255))," ")</f>
        <v xml:space="preserve"> </v>
      </c>
      <c r="G4153" s="110">
        <f>COPY!Z4145</f>
        <v>0</v>
      </c>
      <c r="H4153" s="111" t="str">
        <f>IFERROR(VLOOKUP(Table1722[[#This Row],[Bukti]],'Un nOTA'!$A$4:$K$5003,10,FALSE),"")</f>
        <v/>
      </c>
      <c r="I4153" s="123" t="str">
        <f>IFERROR(VLOOKUP(Table1722[[#This Row],[Bukti]],Table13[#Data],11,FALSE),"")</f>
        <v/>
      </c>
    </row>
    <row r="4154" spans="1:9" hidden="1" x14ac:dyDescent="0.2">
      <c r="A4154" s="105" t="str">
        <f>IF(D4154=1,COUNTIF($D$10:D4154,1)," ")</f>
        <v xml:space="preserve"> </v>
      </c>
      <c r="B4154" s="106">
        <f>COPY!AR4146</f>
        <v>0</v>
      </c>
      <c r="C4154" s="107">
        <f>COPY!AC4146</f>
        <v>0</v>
      </c>
      <c r="D4154" s="107" t="str">
        <f>IF(LEN(Table1722[[#This Row],[Uraian]])&gt;2,1," ")</f>
        <v xml:space="preserve"> </v>
      </c>
      <c r="E4154" s="113" t="str">
        <f>IF(Table1722[[#This Row],[Lawan Transaksi]]="CV AGUNG KARYA",COUNTIF($I$10:I4154,"CV AGUNG KARYA")," ")</f>
        <v xml:space="preserve"> </v>
      </c>
      <c r="F4154" s="107" t="str">
        <f>IF(LEN(Table1722[[#This Row],[Uraian]])&gt;2,TRIM(RIGHT(SUBSTITUTE(TRIM(C4154)," ",REPT(" ",255)),255))," ")</f>
        <v xml:space="preserve"> </v>
      </c>
      <c r="G4154" s="110">
        <f>COPY!Z4146</f>
        <v>0</v>
      </c>
      <c r="H4154" s="111" t="str">
        <f>IFERROR(VLOOKUP(Table1722[[#This Row],[Bukti]],'Un nOTA'!$A$4:$K$5003,10,FALSE),"")</f>
        <v/>
      </c>
      <c r="I4154" s="123" t="str">
        <f>IFERROR(VLOOKUP(Table1722[[#This Row],[Bukti]],Table13[#Data],11,FALSE),"")</f>
        <v/>
      </c>
    </row>
    <row r="4155" spans="1:9" hidden="1" x14ac:dyDescent="0.2">
      <c r="A4155" s="105" t="str">
        <f>IF(D4155=1,COUNTIF($D$10:D4155,1)," ")</f>
        <v xml:space="preserve"> </v>
      </c>
      <c r="B4155" s="106">
        <f>COPY!AR4147</f>
        <v>0</v>
      </c>
      <c r="C4155" s="107">
        <f>COPY!AC4147</f>
        <v>0</v>
      </c>
      <c r="D4155" s="107" t="str">
        <f>IF(LEN(Table1722[[#This Row],[Uraian]])&gt;2,1," ")</f>
        <v xml:space="preserve"> </v>
      </c>
      <c r="E4155" s="113" t="str">
        <f>IF(Table1722[[#This Row],[Lawan Transaksi]]="CV AGUNG KARYA",COUNTIF($I$10:I4155,"CV AGUNG KARYA")," ")</f>
        <v xml:space="preserve"> </v>
      </c>
      <c r="F4155" s="107" t="str">
        <f>IF(LEN(Table1722[[#This Row],[Uraian]])&gt;2,TRIM(RIGHT(SUBSTITUTE(TRIM(C4155)," ",REPT(" ",255)),255))," ")</f>
        <v xml:space="preserve"> </v>
      </c>
      <c r="G4155" s="110">
        <f>COPY!Z4147</f>
        <v>0</v>
      </c>
      <c r="H4155" s="111" t="str">
        <f>IFERROR(VLOOKUP(Table1722[[#This Row],[Bukti]],'Un nOTA'!$A$4:$K$5003,10,FALSE),"")</f>
        <v/>
      </c>
      <c r="I4155" s="123" t="str">
        <f>IFERROR(VLOOKUP(Table1722[[#This Row],[Bukti]],Table13[#Data],11,FALSE),"")</f>
        <v/>
      </c>
    </row>
    <row r="4156" spans="1:9" hidden="1" x14ac:dyDescent="0.2">
      <c r="A4156" s="105" t="str">
        <f>IF(D4156=1,COUNTIF($D$10:D4156,1)," ")</f>
        <v xml:space="preserve"> </v>
      </c>
      <c r="B4156" s="106">
        <f>COPY!AR4148</f>
        <v>0</v>
      </c>
      <c r="C4156" s="107">
        <f>COPY!AC4148</f>
        <v>0</v>
      </c>
      <c r="D4156" s="107" t="str">
        <f>IF(LEN(Table1722[[#This Row],[Uraian]])&gt;2,1," ")</f>
        <v xml:space="preserve"> </v>
      </c>
      <c r="E4156" s="113" t="str">
        <f>IF(Table1722[[#This Row],[Lawan Transaksi]]="CV AGUNG KARYA",COUNTIF($I$10:I4156,"CV AGUNG KARYA")," ")</f>
        <v xml:space="preserve"> </v>
      </c>
      <c r="F4156" s="107" t="str">
        <f>IF(LEN(Table1722[[#This Row],[Uraian]])&gt;2,TRIM(RIGHT(SUBSTITUTE(TRIM(C4156)," ",REPT(" ",255)),255))," ")</f>
        <v xml:space="preserve"> </v>
      </c>
      <c r="G4156" s="110">
        <f>COPY!Z4148</f>
        <v>0</v>
      </c>
      <c r="H4156" s="111" t="str">
        <f>IFERROR(VLOOKUP(Table1722[[#This Row],[Bukti]],'Un nOTA'!$A$4:$K$5003,10,FALSE),"")</f>
        <v/>
      </c>
      <c r="I4156" s="123" t="str">
        <f>IFERROR(VLOOKUP(Table1722[[#This Row],[Bukti]],Table13[#Data],11,FALSE),"")</f>
        <v/>
      </c>
    </row>
    <row r="4157" spans="1:9" hidden="1" x14ac:dyDescent="0.2">
      <c r="A4157" s="105" t="str">
        <f>IF(D4157=1,COUNTIF($D$10:D4157,1)," ")</f>
        <v xml:space="preserve"> </v>
      </c>
      <c r="B4157" s="106">
        <f>COPY!AR4149</f>
        <v>0</v>
      </c>
      <c r="C4157" s="107">
        <f>COPY!AC4149</f>
        <v>0</v>
      </c>
      <c r="D4157" s="107" t="str">
        <f>IF(LEN(Table1722[[#This Row],[Uraian]])&gt;2,1," ")</f>
        <v xml:space="preserve"> </v>
      </c>
      <c r="E4157" s="113" t="str">
        <f>IF(Table1722[[#This Row],[Lawan Transaksi]]="CV AGUNG KARYA",COUNTIF($I$10:I4157,"CV AGUNG KARYA")," ")</f>
        <v xml:space="preserve"> </v>
      </c>
      <c r="F4157" s="107" t="str">
        <f>IF(LEN(Table1722[[#This Row],[Uraian]])&gt;2,TRIM(RIGHT(SUBSTITUTE(TRIM(C4157)," ",REPT(" ",255)),255))," ")</f>
        <v xml:space="preserve"> </v>
      </c>
      <c r="G4157" s="110">
        <f>COPY!Z4149</f>
        <v>0</v>
      </c>
      <c r="H4157" s="111" t="str">
        <f>IFERROR(VLOOKUP(Table1722[[#This Row],[Bukti]],'Un nOTA'!$A$4:$K$5003,10,FALSE),"")</f>
        <v/>
      </c>
      <c r="I4157" s="123" t="str">
        <f>IFERROR(VLOOKUP(Table1722[[#This Row],[Bukti]],Table13[#Data],11,FALSE),"")</f>
        <v/>
      </c>
    </row>
    <row r="4158" spans="1:9" hidden="1" x14ac:dyDescent="0.2">
      <c r="A4158" s="105" t="str">
        <f>IF(D4158=1,COUNTIF($D$10:D4158,1)," ")</f>
        <v xml:space="preserve"> </v>
      </c>
      <c r="B4158" s="106">
        <f>COPY!AR4150</f>
        <v>0</v>
      </c>
      <c r="C4158" s="107">
        <f>COPY!AC4150</f>
        <v>0</v>
      </c>
      <c r="D4158" s="107" t="str">
        <f>IF(LEN(Table1722[[#This Row],[Uraian]])&gt;2,1," ")</f>
        <v xml:space="preserve"> </v>
      </c>
      <c r="E4158" s="113" t="str">
        <f>IF(Table1722[[#This Row],[Lawan Transaksi]]="CV AGUNG KARYA",COUNTIF($I$10:I4158,"CV AGUNG KARYA")," ")</f>
        <v xml:space="preserve"> </v>
      </c>
      <c r="F4158" s="107" t="str">
        <f>IF(LEN(Table1722[[#This Row],[Uraian]])&gt;2,TRIM(RIGHT(SUBSTITUTE(TRIM(C4158)," ",REPT(" ",255)),255))," ")</f>
        <v xml:space="preserve"> </v>
      </c>
      <c r="G4158" s="110">
        <f>COPY!Z4150</f>
        <v>0</v>
      </c>
      <c r="H4158" s="111" t="str">
        <f>IFERROR(VLOOKUP(Table1722[[#This Row],[Bukti]],'Un nOTA'!$A$4:$K$5003,10,FALSE),"")</f>
        <v/>
      </c>
      <c r="I4158" s="123" t="str">
        <f>IFERROR(VLOOKUP(Table1722[[#This Row],[Bukti]],Table13[#Data],11,FALSE),"")</f>
        <v/>
      </c>
    </row>
    <row r="4159" spans="1:9" hidden="1" x14ac:dyDescent="0.2">
      <c r="A4159" s="105" t="str">
        <f>IF(D4159=1,COUNTIF($D$10:D4159,1)," ")</f>
        <v xml:space="preserve"> </v>
      </c>
      <c r="B4159" s="106">
        <f>COPY!AR4151</f>
        <v>0</v>
      </c>
      <c r="C4159" s="107">
        <f>COPY!AC4151</f>
        <v>0</v>
      </c>
      <c r="D4159" s="107" t="str">
        <f>IF(LEN(Table1722[[#This Row],[Uraian]])&gt;2,1," ")</f>
        <v xml:space="preserve"> </v>
      </c>
      <c r="E4159" s="113" t="str">
        <f>IF(Table1722[[#This Row],[Lawan Transaksi]]="CV AGUNG KARYA",COUNTIF($I$10:I4159,"CV AGUNG KARYA")," ")</f>
        <v xml:space="preserve"> </v>
      </c>
      <c r="F4159" s="107" t="str">
        <f>IF(LEN(Table1722[[#This Row],[Uraian]])&gt;2,TRIM(RIGHT(SUBSTITUTE(TRIM(C4159)," ",REPT(" ",255)),255))," ")</f>
        <v xml:space="preserve"> </v>
      </c>
      <c r="G4159" s="110">
        <f>COPY!Z4151</f>
        <v>0</v>
      </c>
      <c r="H4159" s="111" t="str">
        <f>IFERROR(VLOOKUP(Table1722[[#This Row],[Bukti]],'Un nOTA'!$A$4:$K$5003,10,FALSE),"")</f>
        <v/>
      </c>
      <c r="I4159" s="123" t="str">
        <f>IFERROR(VLOOKUP(Table1722[[#This Row],[Bukti]],Table13[#Data],11,FALSE),"")</f>
        <v/>
      </c>
    </row>
    <row r="4160" spans="1:9" hidden="1" x14ac:dyDescent="0.2">
      <c r="A4160" s="105" t="str">
        <f>IF(D4160=1,COUNTIF($D$10:D4160,1)," ")</f>
        <v xml:space="preserve"> </v>
      </c>
      <c r="B4160" s="106">
        <f>COPY!AR4152</f>
        <v>0</v>
      </c>
      <c r="C4160" s="107">
        <f>COPY!AC4152</f>
        <v>0</v>
      </c>
      <c r="D4160" s="107" t="str">
        <f>IF(LEN(Table1722[[#This Row],[Uraian]])&gt;2,1," ")</f>
        <v xml:space="preserve"> </v>
      </c>
      <c r="E4160" s="113" t="str">
        <f>IF(Table1722[[#This Row],[Lawan Transaksi]]="CV AGUNG KARYA",COUNTIF($I$10:I4160,"CV AGUNG KARYA")," ")</f>
        <v xml:space="preserve"> </v>
      </c>
      <c r="F4160" s="107" t="str">
        <f>IF(LEN(Table1722[[#This Row],[Uraian]])&gt;2,TRIM(RIGHT(SUBSTITUTE(TRIM(C4160)," ",REPT(" ",255)),255))," ")</f>
        <v xml:space="preserve"> </v>
      </c>
      <c r="G4160" s="110">
        <f>COPY!Z4152</f>
        <v>0</v>
      </c>
      <c r="H4160" s="111" t="str">
        <f>IFERROR(VLOOKUP(Table1722[[#This Row],[Bukti]],'Un nOTA'!$A$4:$K$5003,10,FALSE),"")</f>
        <v/>
      </c>
      <c r="I4160" s="123" t="str">
        <f>IFERROR(VLOOKUP(Table1722[[#This Row],[Bukti]],Table13[#Data],11,FALSE),"")</f>
        <v/>
      </c>
    </row>
    <row r="4161" spans="1:9" hidden="1" x14ac:dyDescent="0.2">
      <c r="A4161" s="105" t="str">
        <f>IF(D4161=1,COUNTIF($D$10:D4161,1)," ")</f>
        <v xml:space="preserve"> </v>
      </c>
      <c r="B4161" s="106">
        <f>COPY!AR4153</f>
        <v>0</v>
      </c>
      <c r="C4161" s="107">
        <f>COPY!AC4153</f>
        <v>0</v>
      </c>
      <c r="D4161" s="107" t="str">
        <f>IF(LEN(Table1722[[#This Row],[Uraian]])&gt;2,1," ")</f>
        <v xml:space="preserve"> </v>
      </c>
      <c r="E4161" s="113" t="str">
        <f>IF(Table1722[[#This Row],[Lawan Transaksi]]="CV AGUNG KARYA",COUNTIF($I$10:I4161,"CV AGUNG KARYA")," ")</f>
        <v xml:space="preserve"> </v>
      </c>
      <c r="F4161" s="107" t="str">
        <f>IF(LEN(Table1722[[#This Row],[Uraian]])&gt;2,TRIM(RIGHT(SUBSTITUTE(TRIM(C4161)," ",REPT(" ",255)),255))," ")</f>
        <v xml:space="preserve"> </v>
      </c>
      <c r="G4161" s="110">
        <f>COPY!Z4153</f>
        <v>0</v>
      </c>
      <c r="H4161" s="111" t="str">
        <f>IFERROR(VLOOKUP(Table1722[[#This Row],[Bukti]],'Un nOTA'!$A$4:$K$5003,10,FALSE),"")</f>
        <v/>
      </c>
      <c r="I4161" s="123" t="str">
        <f>IFERROR(VLOOKUP(Table1722[[#This Row],[Bukti]],Table13[#Data],11,FALSE),"")</f>
        <v/>
      </c>
    </row>
    <row r="4162" spans="1:9" hidden="1" x14ac:dyDescent="0.2">
      <c r="A4162" s="105" t="str">
        <f>IF(D4162=1,COUNTIF($D$10:D4162,1)," ")</f>
        <v xml:space="preserve"> </v>
      </c>
      <c r="B4162" s="106">
        <f>COPY!AR4154</f>
        <v>0</v>
      </c>
      <c r="C4162" s="107">
        <f>COPY!AC4154</f>
        <v>0</v>
      </c>
      <c r="D4162" s="107" t="str">
        <f>IF(LEN(Table1722[[#This Row],[Uraian]])&gt;2,1," ")</f>
        <v xml:space="preserve"> </v>
      </c>
      <c r="E4162" s="113" t="str">
        <f>IF(Table1722[[#This Row],[Lawan Transaksi]]="CV AGUNG KARYA",COUNTIF($I$10:I4162,"CV AGUNG KARYA")," ")</f>
        <v xml:space="preserve"> </v>
      </c>
      <c r="F4162" s="107" t="str">
        <f>IF(LEN(Table1722[[#This Row],[Uraian]])&gt;2,TRIM(RIGHT(SUBSTITUTE(TRIM(C4162)," ",REPT(" ",255)),255))," ")</f>
        <v xml:space="preserve"> </v>
      </c>
      <c r="G4162" s="110">
        <f>COPY!Z4154</f>
        <v>0</v>
      </c>
      <c r="H4162" s="111" t="str">
        <f>IFERROR(VLOOKUP(Table1722[[#This Row],[Bukti]],'Un nOTA'!$A$4:$K$5003,10,FALSE),"")</f>
        <v/>
      </c>
      <c r="I4162" s="123" t="str">
        <f>IFERROR(VLOOKUP(Table1722[[#This Row],[Bukti]],Table13[#Data],11,FALSE),"")</f>
        <v/>
      </c>
    </row>
    <row r="4163" spans="1:9" hidden="1" x14ac:dyDescent="0.2">
      <c r="A4163" s="105" t="str">
        <f>IF(D4163=1,COUNTIF($D$10:D4163,1)," ")</f>
        <v xml:space="preserve"> </v>
      </c>
      <c r="B4163" s="106">
        <f>COPY!AR4155</f>
        <v>0</v>
      </c>
      <c r="C4163" s="107">
        <f>COPY!AC4155</f>
        <v>0</v>
      </c>
      <c r="D4163" s="107" t="str">
        <f>IF(LEN(Table1722[[#This Row],[Uraian]])&gt;2,1," ")</f>
        <v xml:space="preserve"> </v>
      </c>
      <c r="E4163" s="113" t="str">
        <f>IF(Table1722[[#This Row],[Lawan Transaksi]]="CV AGUNG KARYA",COUNTIF($I$10:I4163,"CV AGUNG KARYA")," ")</f>
        <v xml:space="preserve"> </v>
      </c>
      <c r="F4163" s="107" t="str">
        <f>IF(LEN(Table1722[[#This Row],[Uraian]])&gt;2,TRIM(RIGHT(SUBSTITUTE(TRIM(C4163)," ",REPT(" ",255)),255))," ")</f>
        <v xml:space="preserve"> </v>
      </c>
      <c r="G4163" s="110">
        <f>COPY!Z4155</f>
        <v>0</v>
      </c>
      <c r="H4163" s="111" t="str">
        <f>IFERROR(VLOOKUP(Table1722[[#This Row],[Bukti]],'Un nOTA'!$A$4:$K$5003,10,FALSE),"")</f>
        <v/>
      </c>
      <c r="I4163" s="123" t="str">
        <f>IFERROR(VLOOKUP(Table1722[[#This Row],[Bukti]],Table13[#Data],11,FALSE),"")</f>
        <v/>
      </c>
    </row>
    <row r="4164" spans="1:9" hidden="1" x14ac:dyDescent="0.2">
      <c r="A4164" s="105" t="str">
        <f>IF(D4164=1,COUNTIF($D$10:D4164,1)," ")</f>
        <v xml:space="preserve"> </v>
      </c>
      <c r="B4164" s="106">
        <f>COPY!AR4156</f>
        <v>0</v>
      </c>
      <c r="C4164" s="107">
        <f>COPY!AC4156</f>
        <v>0</v>
      </c>
      <c r="D4164" s="107" t="str">
        <f>IF(LEN(Table1722[[#This Row],[Uraian]])&gt;2,1," ")</f>
        <v xml:space="preserve"> </v>
      </c>
      <c r="E4164" s="113" t="str">
        <f>IF(Table1722[[#This Row],[Lawan Transaksi]]="CV AGUNG KARYA",COUNTIF($I$10:I4164,"CV AGUNG KARYA")," ")</f>
        <v xml:space="preserve"> </v>
      </c>
      <c r="F4164" s="107" t="str">
        <f>IF(LEN(Table1722[[#This Row],[Uraian]])&gt;2,TRIM(RIGHT(SUBSTITUTE(TRIM(C4164)," ",REPT(" ",255)),255))," ")</f>
        <v xml:space="preserve"> </v>
      </c>
      <c r="G4164" s="110">
        <f>COPY!Z4156</f>
        <v>0</v>
      </c>
      <c r="H4164" s="111" t="str">
        <f>IFERROR(VLOOKUP(Table1722[[#This Row],[Bukti]],'Un nOTA'!$A$4:$K$5003,10,FALSE),"")</f>
        <v/>
      </c>
      <c r="I4164" s="123" t="str">
        <f>IFERROR(VLOOKUP(Table1722[[#This Row],[Bukti]],Table13[#Data],11,FALSE),"")</f>
        <v/>
      </c>
    </row>
    <row r="4165" spans="1:9" hidden="1" x14ac:dyDescent="0.2">
      <c r="A4165" s="105" t="str">
        <f>IF(D4165=1,COUNTIF($D$10:D4165,1)," ")</f>
        <v xml:space="preserve"> </v>
      </c>
      <c r="B4165" s="106">
        <f>COPY!AR4157</f>
        <v>0</v>
      </c>
      <c r="C4165" s="107">
        <f>COPY!AC4157</f>
        <v>0</v>
      </c>
      <c r="D4165" s="107" t="str">
        <f>IF(LEN(Table1722[[#This Row],[Uraian]])&gt;2,1," ")</f>
        <v xml:space="preserve"> </v>
      </c>
      <c r="E4165" s="113" t="str">
        <f>IF(Table1722[[#This Row],[Lawan Transaksi]]="CV AGUNG KARYA",COUNTIF($I$10:I4165,"CV AGUNG KARYA")," ")</f>
        <v xml:space="preserve"> </v>
      </c>
      <c r="F4165" s="107" t="str">
        <f>IF(LEN(Table1722[[#This Row],[Uraian]])&gt;2,TRIM(RIGHT(SUBSTITUTE(TRIM(C4165)," ",REPT(" ",255)),255))," ")</f>
        <v xml:space="preserve"> </v>
      </c>
      <c r="G4165" s="110">
        <f>COPY!Z4157</f>
        <v>0</v>
      </c>
      <c r="H4165" s="111" t="str">
        <f>IFERROR(VLOOKUP(Table1722[[#This Row],[Bukti]],'Un nOTA'!$A$4:$K$5003,10,FALSE),"")</f>
        <v/>
      </c>
      <c r="I4165" s="123" t="str">
        <f>IFERROR(VLOOKUP(Table1722[[#This Row],[Bukti]],Table13[#Data],11,FALSE),"")</f>
        <v/>
      </c>
    </row>
    <row r="4166" spans="1:9" hidden="1" x14ac:dyDescent="0.2">
      <c r="A4166" s="105" t="str">
        <f>IF(D4166=1,COUNTIF($D$10:D4166,1)," ")</f>
        <v xml:space="preserve"> </v>
      </c>
      <c r="B4166" s="106">
        <f>COPY!AR4158</f>
        <v>0</v>
      </c>
      <c r="C4166" s="107">
        <f>COPY!AC4158</f>
        <v>0</v>
      </c>
      <c r="D4166" s="107" t="str">
        <f>IF(LEN(Table1722[[#This Row],[Uraian]])&gt;2,1," ")</f>
        <v xml:space="preserve"> </v>
      </c>
      <c r="E4166" s="113" t="str">
        <f>IF(Table1722[[#This Row],[Lawan Transaksi]]="CV AGUNG KARYA",COUNTIF($I$10:I4166,"CV AGUNG KARYA")," ")</f>
        <v xml:space="preserve"> </v>
      </c>
      <c r="F4166" s="107" t="str">
        <f>IF(LEN(Table1722[[#This Row],[Uraian]])&gt;2,TRIM(RIGHT(SUBSTITUTE(TRIM(C4166)," ",REPT(" ",255)),255))," ")</f>
        <v xml:space="preserve"> </v>
      </c>
      <c r="G4166" s="110">
        <f>COPY!Z4158</f>
        <v>0</v>
      </c>
      <c r="H4166" s="111" t="str">
        <f>IFERROR(VLOOKUP(Table1722[[#This Row],[Bukti]],'Un nOTA'!$A$4:$K$5003,10,FALSE),"")</f>
        <v/>
      </c>
      <c r="I4166" s="123" t="str">
        <f>IFERROR(VLOOKUP(Table1722[[#This Row],[Bukti]],Table13[#Data],11,FALSE),"")</f>
        <v/>
      </c>
    </row>
    <row r="4167" spans="1:9" hidden="1" x14ac:dyDescent="0.2">
      <c r="A4167" s="105" t="str">
        <f>IF(D4167=1,COUNTIF($D$10:D4167,1)," ")</f>
        <v xml:space="preserve"> </v>
      </c>
      <c r="B4167" s="106">
        <f>COPY!AR4159</f>
        <v>0</v>
      </c>
      <c r="C4167" s="107">
        <f>COPY!AC4159</f>
        <v>0</v>
      </c>
      <c r="D4167" s="107" t="str">
        <f>IF(LEN(Table1722[[#This Row],[Uraian]])&gt;2,1," ")</f>
        <v xml:space="preserve"> </v>
      </c>
      <c r="E4167" s="113" t="str">
        <f>IF(Table1722[[#This Row],[Lawan Transaksi]]="CV AGUNG KARYA",COUNTIF($I$10:I4167,"CV AGUNG KARYA")," ")</f>
        <v xml:space="preserve"> </v>
      </c>
      <c r="F4167" s="107" t="str">
        <f>IF(LEN(Table1722[[#This Row],[Uraian]])&gt;2,TRIM(RIGHT(SUBSTITUTE(TRIM(C4167)," ",REPT(" ",255)),255))," ")</f>
        <v xml:space="preserve"> </v>
      </c>
      <c r="G4167" s="110">
        <f>COPY!Z4159</f>
        <v>0</v>
      </c>
      <c r="H4167" s="111" t="str">
        <f>IFERROR(VLOOKUP(Table1722[[#This Row],[Bukti]],'Un nOTA'!$A$4:$K$5003,10,FALSE),"")</f>
        <v/>
      </c>
      <c r="I4167" s="123" t="str">
        <f>IFERROR(VLOOKUP(Table1722[[#This Row],[Bukti]],Table13[#Data],11,FALSE),"")</f>
        <v/>
      </c>
    </row>
    <row r="4168" spans="1:9" hidden="1" x14ac:dyDescent="0.2">
      <c r="A4168" s="105" t="str">
        <f>IF(D4168=1,COUNTIF($D$10:D4168,1)," ")</f>
        <v xml:space="preserve"> </v>
      </c>
      <c r="B4168" s="106">
        <f>COPY!AR4160</f>
        <v>0</v>
      </c>
      <c r="C4168" s="107">
        <f>COPY!AC4160</f>
        <v>0</v>
      </c>
      <c r="D4168" s="107" t="str">
        <f>IF(LEN(Table1722[[#This Row],[Uraian]])&gt;2,1," ")</f>
        <v xml:space="preserve"> </v>
      </c>
      <c r="E4168" s="113" t="str">
        <f>IF(Table1722[[#This Row],[Lawan Transaksi]]="CV AGUNG KARYA",COUNTIF($I$10:I4168,"CV AGUNG KARYA")," ")</f>
        <v xml:space="preserve"> </v>
      </c>
      <c r="F4168" s="107" t="str">
        <f>IF(LEN(Table1722[[#This Row],[Uraian]])&gt;2,TRIM(RIGHT(SUBSTITUTE(TRIM(C4168)," ",REPT(" ",255)),255))," ")</f>
        <v xml:space="preserve"> </v>
      </c>
      <c r="G4168" s="110">
        <f>COPY!Z4160</f>
        <v>0</v>
      </c>
      <c r="H4168" s="111" t="str">
        <f>IFERROR(VLOOKUP(Table1722[[#This Row],[Bukti]],'Un nOTA'!$A$4:$K$5003,10,FALSE),"")</f>
        <v/>
      </c>
      <c r="I4168" s="123" t="str">
        <f>IFERROR(VLOOKUP(Table1722[[#This Row],[Bukti]],Table13[#Data],11,FALSE),"")</f>
        <v/>
      </c>
    </row>
    <row r="4169" spans="1:9" hidden="1" x14ac:dyDescent="0.2">
      <c r="A4169" s="105" t="str">
        <f>IF(D4169=1,COUNTIF($D$10:D4169,1)," ")</f>
        <v xml:space="preserve"> </v>
      </c>
      <c r="B4169" s="106">
        <f>COPY!AR4161</f>
        <v>0</v>
      </c>
      <c r="C4169" s="107">
        <f>COPY!AC4161</f>
        <v>0</v>
      </c>
      <c r="D4169" s="107" t="str">
        <f>IF(LEN(Table1722[[#This Row],[Uraian]])&gt;2,1," ")</f>
        <v xml:space="preserve"> </v>
      </c>
      <c r="E4169" s="113" t="str">
        <f>IF(Table1722[[#This Row],[Lawan Transaksi]]="CV AGUNG KARYA",COUNTIF($I$10:I4169,"CV AGUNG KARYA")," ")</f>
        <v xml:space="preserve"> </v>
      </c>
      <c r="F4169" s="107" t="str">
        <f>IF(LEN(Table1722[[#This Row],[Uraian]])&gt;2,TRIM(RIGHT(SUBSTITUTE(TRIM(C4169)," ",REPT(" ",255)),255))," ")</f>
        <v xml:space="preserve"> </v>
      </c>
      <c r="G4169" s="110">
        <f>COPY!Z4161</f>
        <v>0</v>
      </c>
      <c r="H4169" s="111" t="str">
        <f>IFERROR(VLOOKUP(Table1722[[#This Row],[Bukti]],'Un nOTA'!$A$4:$K$5003,10,FALSE),"")</f>
        <v/>
      </c>
      <c r="I4169" s="123" t="str">
        <f>IFERROR(VLOOKUP(Table1722[[#This Row],[Bukti]],Table13[#Data],11,FALSE),"")</f>
        <v/>
      </c>
    </row>
    <row r="4170" spans="1:9" hidden="1" x14ac:dyDescent="0.2">
      <c r="A4170" s="105" t="str">
        <f>IF(D4170=1,COUNTIF($D$10:D4170,1)," ")</f>
        <v xml:space="preserve"> </v>
      </c>
      <c r="B4170" s="106">
        <f>COPY!AR4162</f>
        <v>0</v>
      </c>
      <c r="C4170" s="107">
        <f>COPY!AC4162</f>
        <v>0</v>
      </c>
      <c r="D4170" s="107" t="str">
        <f>IF(LEN(Table1722[[#This Row],[Uraian]])&gt;2,1," ")</f>
        <v xml:space="preserve"> </v>
      </c>
      <c r="E4170" s="113" t="str">
        <f>IF(Table1722[[#This Row],[Lawan Transaksi]]="CV AGUNG KARYA",COUNTIF($I$10:I4170,"CV AGUNG KARYA")," ")</f>
        <v xml:space="preserve"> </v>
      </c>
      <c r="F4170" s="107" t="str">
        <f>IF(LEN(Table1722[[#This Row],[Uraian]])&gt;2,TRIM(RIGHT(SUBSTITUTE(TRIM(C4170)," ",REPT(" ",255)),255))," ")</f>
        <v xml:space="preserve"> </v>
      </c>
      <c r="G4170" s="110">
        <f>COPY!Z4162</f>
        <v>0</v>
      </c>
      <c r="H4170" s="111" t="str">
        <f>IFERROR(VLOOKUP(Table1722[[#This Row],[Bukti]],'Un nOTA'!$A$4:$K$5003,10,FALSE),"")</f>
        <v/>
      </c>
      <c r="I4170" s="123" t="str">
        <f>IFERROR(VLOOKUP(Table1722[[#This Row],[Bukti]],Table13[#Data],11,FALSE),"")</f>
        <v/>
      </c>
    </row>
    <row r="4171" spans="1:9" hidden="1" x14ac:dyDescent="0.2">
      <c r="A4171" s="105" t="str">
        <f>IF(D4171=1,COUNTIF($D$10:D4171,1)," ")</f>
        <v xml:space="preserve"> </v>
      </c>
      <c r="B4171" s="106">
        <f>COPY!AR4163</f>
        <v>0</v>
      </c>
      <c r="C4171" s="107">
        <f>COPY!AC4163</f>
        <v>0</v>
      </c>
      <c r="D4171" s="107" t="str">
        <f>IF(LEN(Table1722[[#This Row],[Uraian]])&gt;2,1," ")</f>
        <v xml:space="preserve"> </v>
      </c>
      <c r="E4171" s="113" t="str">
        <f>IF(Table1722[[#This Row],[Lawan Transaksi]]="CV AGUNG KARYA",COUNTIF($I$10:I4171,"CV AGUNG KARYA")," ")</f>
        <v xml:space="preserve"> </v>
      </c>
      <c r="F4171" s="107" t="str">
        <f>IF(LEN(Table1722[[#This Row],[Uraian]])&gt;2,TRIM(RIGHT(SUBSTITUTE(TRIM(C4171)," ",REPT(" ",255)),255))," ")</f>
        <v xml:space="preserve"> </v>
      </c>
      <c r="G4171" s="110">
        <f>COPY!Z4163</f>
        <v>0</v>
      </c>
      <c r="H4171" s="111" t="str">
        <f>IFERROR(VLOOKUP(Table1722[[#This Row],[Bukti]],'Un nOTA'!$A$4:$K$5003,10,FALSE),"")</f>
        <v/>
      </c>
      <c r="I4171" s="123" t="str">
        <f>IFERROR(VLOOKUP(Table1722[[#This Row],[Bukti]],Table13[#Data],11,FALSE),"")</f>
        <v/>
      </c>
    </row>
    <row r="4172" spans="1:9" hidden="1" x14ac:dyDescent="0.2">
      <c r="A4172" s="105" t="str">
        <f>IF(D4172=1,COUNTIF($D$10:D4172,1)," ")</f>
        <v xml:space="preserve"> </v>
      </c>
      <c r="B4172" s="106">
        <f>COPY!AR4164</f>
        <v>0</v>
      </c>
      <c r="C4172" s="107">
        <f>COPY!AC4164</f>
        <v>0</v>
      </c>
      <c r="D4172" s="107" t="str">
        <f>IF(LEN(Table1722[[#This Row],[Uraian]])&gt;2,1," ")</f>
        <v xml:space="preserve"> </v>
      </c>
      <c r="E4172" s="113" t="str">
        <f>IF(Table1722[[#This Row],[Lawan Transaksi]]="CV AGUNG KARYA",COUNTIF($I$10:I4172,"CV AGUNG KARYA")," ")</f>
        <v xml:space="preserve"> </v>
      </c>
      <c r="F4172" s="107" t="str">
        <f>IF(LEN(Table1722[[#This Row],[Uraian]])&gt;2,TRIM(RIGHT(SUBSTITUTE(TRIM(C4172)," ",REPT(" ",255)),255))," ")</f>
        <v xml:space="preserve"> </v>
      </c>
      <c r="G4172" s="110">
        <f>COPY!Z4164</f>
        <v>0</v>
      </c>
      <c r="H4172" s="111" t="str">
        <f>IFERROR(VLOOKUP(Table1722[[#This Row],[Bukti]],'Un nOTA'!$A$4:$K$5003,10,FALSE),"")</f>
        <v/>
      </c>
      <c r="I4172" s="123" t="str">
        <f>IFERROR(VLOOKUP(Table1722[[#This Row],[Bukti]],Table13[#Data],11,FALSE),"")</f>
        <v/>
      </c>
    </row>
    <row r="4173" spans="1:9" hidden="1" x14ac:dyDescent="0.2">
      <c r="A4173" s="105" t="str">
        <f>IF(D4173=1,COUNTIF($D$10:D4173,1)," ")</f>
        <v xml:space="preserve"> </v>
      </c>
      <c r="B4173" s="106">
        <f>COPY!AR4165</f>
        <v>0</v>
      </c>
      <c r="C4173" s="107">
        <f>COPY!AC4165</f>
        <v>0</v>
      </c>
      <c r="D4173" s="107" t="str">
        <f>IF(LEN(Table1722[[#This Row],[Uraian]])&gt;2,1," ")</f>
        <v xml:space="preserve"> </v>
      </c>
      <c r="E4173" s="113" t="str">
        <f>IF(Table1722[[#This Row],[Lawan Transaksi]]="CV AGUNG KARYA",COUNTIF($I$10:I4173,"CV AGUNG KARYA")," ")</f>
        <v xml:space="preserve"> </v>
      </c>
      <c r="F4173" s="107" t="str">
        <f>IF(LEN(Table1722[[#This Row],[Uraian]])&gt;2,TRIM(RIGHT(SUBSTITUTE(TRIM(C4173)," ",REPT(" ",255)),255))," ")</f>
        <v xml:space="preserve"> </v>
      </c>
      <c r="G4173" s="110">
        <f>COPY!Z4165</f>
        <v>0</v>
      </c>
      <c r="H4173" s="111" t="str">
        <f>IFERROR(VLOOKUP(Table1722[[#This Row],[Bukti]],'Un nOTA'!$A$4:$K$5003,10,FALSE),"")</f>
        <v/>
      </c>
      <c r="I4173" s="123" t="str">
        <f>IFERROR(VLOOKUP(Table1722[[#This Row],[Bukti]],Table13[#Data],11,FALSE),"")</f>
        <v/>
      </c>
    </row>
    <row r="4174" spans="1:9" hidden="1" x14ac:dyDescent="0.2">
      <c r="A4174" s="105" t="str">
        <f>IF(D4174=1,COUNTIF($D$10:D4174,1)," ")</f>
        <v xml:space="preserve"> </v>
      </c>
      <c r="B4174" s="106">
        <f>COPY!AR4166</f>
        <v>0</v>
      </c>
      <c r="C4174" s="107">
        <f>COPY!AC4166</f>
        <v>0</v>
      </c>
      <c r="D4174" s="107" t="str">
        <f>IF(LEN(Table1722[[#This Row],[Uraian]])&gt;2,1," ")</f>
        <v xml:space="preserve"> </v>
      </c>
      <c r="E4174" s="113" t="str">
        <f>IF(Table1722[[#This Row],[Lawan Transaksi]]="CV AGUNG KARYA",COUNTIF($I$10:I4174,"CV AGUNG KARYA")," ")</f>
        <v xml:space="preserve"> </v>
      </c>
      <c r="F4174" s="107" t="str">
        <f>IF(LEN(Table1722[[#This Row],[Uraian]])&gt;2,TRIM(RIGHT(SUBSTITUTE(TRIM(C4174)," ",REPT(" ",255)),255))," ")</f>
        <v xml:space="preserve"> </v>
      </c>
      <c r="G4174" s="110">
        <f>COPY!Z4166</f>
        <v>0</v>
      </c>
      <c r="H4174" s="111" t="str">
        <f>IFERROR(VLOOKUP(Table1722[[#This Row],[Bukti]],'Un nOTA'!$A$4:$K$5003,10,FALSE),"")</f>
        <v/>
      </c>
      <c r="I4174" s="123" t="str">
        <f>IFERROR(VLOOKUP(Table1722[[#This Row],[Bukti]],Table13[#Data],11,FALSE),"")</f>
        <v/>
      </c>
    </row>
    <row r="4175" spans="1:9" hidden="1" x14ac:dyDescent="0.2">
      <c r="A4175" s="105" t="str">
        <f>IF(D4175=1,COUNTIF($D$10:D4175,1)," ")</f>
        <v xml:space="preserve"> </v>
      </c>
      <c r="B4175" s="106">
        <f>COPY!AR4167</f>
        <v>0</v>
      </c>
      <c r="C4175" s="107">
        <f>COPY!AC4167</f>
        <v>0</v>
      </c>
      <c r="D4175" s="107" t="str">
        <f>IF(LEN(Table1722[[#This Row],[Uraian]])&gt;2,1," ")</f>
        <v xml:space="preserve"> </v>
      </c>
      <c r="E4175" s="113" t="str">
        <f>IF(Table1722[[#This Row],[Lawan Transaksi]]="CV AGUNG KARYA",COUNTIF($I$10:I4175,"CV AGUNG KARYA")," ")</f>
        <v xml:space="preserve"> </v>
      </c>
      <c r="F4175" s="107" t="str">
        <f>IF(LEN(Table1722[[#This Row],[Uraian]])&gt;2,TRIM(RIGHT(SUBSTITUTE(TRIM(C4175)," ",REPT(" ",255)),255))," ")</f>
        <v xml:space="preserve"> </v>
      </c>
      <c r="G4175" s="110">
        <f>COPY!Z4167</f>
        <v>0</v>
      </c>
      <c r="H4175" s="111" t="str">
        <f>IFERROR(VLOOKUP(Table1722[[#This Row],[Bukti]],'Un nOTA'!$A$4:$K$5003,10,FALSE),"")</f>
        <v/>
      </c>
      <c r="I4175" s="123" t="str">
        <f>IFERROR(VLOOKUP(Table1722[[#This Row],[Bukti]],Table13[#Data],11,FALSE),"")</f>
        <v/>
      </c>
    </row>
    <row r="4176" spans="1:9" hidden="1" x14ac:dyDescent="0.2">
      <c r="A4176" s="105" t="str">
        <f>IF(D4176=1,COUNTIF($D$10:D4176,1)," ")</f>
        <v xml:space="preserve"> </v>
      </c>
      <c r="B4176" s="106">
        <f>COPY!AR4168</f>
        <v>0</v>
      </c>
      <c r="C4176" s="107">
        <f>COPY!AC4168</f>
        <v>0</v>
      </c>
      <c r="D4176" s="107" t="str">
        <f>IF(LEN(Table1722[[#This Row],[Uraian]])&gt;2,1," ")</f>
        <v xml:space="preserve"> </v>
      </c>
      <c r="E4176" s="113" t="str">
        <f>IF(Table1722[[#This Row],[Lawan Transaksi]]="CV AGUNG KARYA",COUNTIF($I$10:I4176,"CV AGUNG KARYA")," ")</f>
        <v xml:space="preserve"> </v>
      </c>
      <c r="F4176" s="107" t="str">
        <f>IF(LEN(Table1722[[#This Row],[Uraian]])&gt;2,TRIM(RIGHT(SUBSTITUTE(TRIM(C4176)," ",REPT(" ",255)),255))," ")</f>
        <v xml:space="preserve"> </v>
      </c>
      <c r="G4176" s="110">
        <f>COPY!Z4168</f>
        <v>0</v>
      </c>
      <c r="H4176" s="111" t="str">
        <f>IFERROR(VLOOKUP(Table1722[[#This Row],[Bukti]],'Un nOTA'!$A$4:$K$5003,10,FALSE),"")</f>
        <v/>
      </c>
      <c r="I4176" s="123" t="str">
        <f>IFERROR(VLOOKUP(Table1722[[#This Row],[Bukti]],Table13[#Data],11,FALSE),"")</f>
        <v/>
      </c>
    </row>
    <row r="4177" spans="1:9" hidden="1" x14ac:dyDescent="0.2">
      <c r="A4177" s="105" t="str">
        <f>IF(D4177=1,COUNTIF($D$10:D4177,1)," ")</f>
        <v xml:space="preserve"> </v>
      </c>
      <c r="B4177" s="106">
        <f>COPY!AR4169</f>
        <v>0</v>
      </c>
      <c r="C4177" s="107">
        <f>COPY!AC4169</f>
        <v>0</v>
      </c>
      <c r="D4177" s="107" t="str">
        <f>IF(LEN(Table1722[[#This Row],[Uraian]])&gt;2,1," ")</f>
        <v xml:space="preserve"> </v>
      </c>
      <c r="E4177" s="113" t="str">
        <f>IF(Table1722[[#This Row],[Lawan Transaksi]]="CV AGUNG KARYA",COUNTIF($I$10:I4177,"CV AGUNG KARYA")," ")</f>
        <v xml:space="preserve"> </v>
      </c>
      <c r="F4177" s="107" t="str">
        <f>IF(LEN(Table1722[[#This Row],[Uraian]])&gt;2,TRIM(RIGHT(SUBSTITUTE(TRIM(C4177)," ",REPT(" ",255)),255))," ")</f>
        <v xml:space="preserve"> </v>
      </c>
      <c r="G4177" s="110">
        <f>COPY!Z4169</f>
        <v>0</v>
      </c>
      <c r="H4177" s="111" t="str">
        <f>IFERROR(VLOOKUP(Table1722[[#This Row],[Bukti]],'Un nOTA'!$A$4:$K$5003,10,FALSE),"")</f>
        <v/>
      </c>
      <c r="I4177" s="123" t="str">
        <f>IFERROR(VLOOKUP(Table1722[[#This Row],[Bukti]],Table13[#Data],11,FALSE),"")</f>
        <v/>
      </c>
    </row>
    <row r="4178" spans="1:9" hidden="1" x14ac:dyDescent="0.2">
      <c r="A4178" s="105" t="str">
        <f>IF(D4178=1,COUNTIF($D$10:D4178,1)," ")</f>
        <v xml:space="preserve"> </v>
      </c>
      <c r="B4178" s="106">
        <f>COPY!AR4170</f>
        <v>0</v>
      </c>
      <c r="C4178" s="107">
        <f>COPY!AC4170</f>
        <v>0</v>
      </c>
      <c r="D4178" s="107" t="str">
        <f>IF(LEN(Table1722[[#This Row],[Uraian]])&gt;2,1," ")</f>
        <v xml:space="preserve"> </v>
      </c>
      <c r="E4178" s="113" t="str">
        <f>IF(Table1722[[#This Row],[Lawan Transaksi]]="CV AGUNG KARYA",COUNTIF($I$10:I4178,"CV AGUNG KARYA")," ")</f>
        <v xml:space="preserve"> </v>
      </c>
      <c r="F4178" s="107" t="str">
        <f>IF(LEN(Table1722[[#This Row],[Uraian]])&gt;2,TRIM(RIGHT(SUBSTITUTE(TRIM(C4178)," ",REPT(" ",255)),255))," ")</f>
        <v xml:space="preserve"> </v>
      </c>
      <c r="G4178" s="110">
        <f>COPY!Z4170</f>
        <v>0</v>
      </c>
      <c r="H4178" s="111" t="str">
        <f>IFERROR(VLOOKUP(Table1722[[#This Row],[Bukti]],'Un nOTA'!$A$4:$K$5003,10,FALSE),"")</f>
        <v/>
      </c>
      <c r="I4178" s="123" t="str">
        <f>IFERROR(VLOOKUP(Table1722[[#This Row],[Bukti]],Table13[#Data],11,FALSE),"")</f>
        <v/>
      </c>
    </row>
    <row r="4179" spans="1:9" hidden="1" x14ac:dyDescent="0.2">
      <c r="A4179" s="105" t="str">
        <f>IF(D4179=1,COUNTIF($D$10:D4179,1)," ")</f>
        <v xml:space="preserve"> </v>
      </c>
      <c r="B4179" s="106">
        <f>COPY!AR4171</f>
        <v>0</v>
      </c>
      <c r="C4179" s="107">
        <f>COPY!AC4171</f>
        <v>0</v>
      </c>
      <c r="D4179" s="107" t="str">
        <f>IF(LEN(Table1722[[#This Row],[Uraian]])&gt;2,1," ")</f>
        <v xml:space="preserve"> </v>
      </c>
      <c r="E4179" s="113" t="str">
        <f>IF(Table1722[[#This Row],[Lawan Transaksi]]="CV AGUNG KARYA",COUNTIF($I$10:I4179,"CV AGUNG KARYA")," ")</f>
        <v xml:space="preserve"> </v>
      </c>
      <c r="F4179" s="107" t="str">
        <f>IF(LEN(Table1722[[#This Row],[Uraian]])&gt;2,TRIM(RIGHT(SUBSTITUTE(TRIM(C4179)," ",REPT(" ",255)),255))," ")</f>
        <v xml:space="preserve"> </v>
      </c>
      <c r="G4179" s="110">
        <f>COPY!Z4171</f>
        <v>0</v>
      </c>
      <c r="H4179" s="111" t="str">
        <f>IFERROR(VLOOKUP(Table1722[[#This Row],[Bukti]],'Un nOTA'!$A$4:$K$5003,10,FALSE),"")</f>
        <v/>
      </c>
      <c r="I4179" s="123" t="str">
        <f>IFERROR(VLOOKUP(Table1722[[#This Row],[Bukti]],Table13[#Data],11,FALSE),"")</f>
        <v/>
      </c>
    </row>
    <row r="4180" spans="1:9" hidden="1" x14ac:dyDescent="0.2">
      <c r="A4180" s="105" t="str">
        <f>IF(D4180=1,COUNTIF($D$10:D4180,1)," ")</f>
        <v xml:space="preserve"> </v>
      </c>
      <c r="B4180" s="106">
        <f>COPY!AR4172</f>
        <v>0</v>
      </c>
      <c r="C4180" s="107">
        <f>COPY!AC4172</f>
        <v>0</v>
      </c>
      <c r="D4180" s="107" t="str">
        <f>IF(LEN(Table1722[[#This Row],[Uraian]])&gt;2,1," ")</f>
        <v xml:space="preserve"> </v>
      </c>
      <c r="E4180" s="113" t="str">
        <f>IF(Table1722[[#This Row],[Lawan Transaksi]]="CV AGUNG KARYA",COUNTIF($I$10:I4180,"CV AGUNG KARYA")," ")</f>
        <v xml:space="preserve"> </v>
      </c>
      <c r="F4180" s="107" t="str">
        <f>IF(LEN(Table1722[[#This Row],[Uraian]])&gt;2,TRIM(RIGHT(SUBSTITUTE(TRIM(C4180)," ",REPT(" ",255)),255))," ")</f>
        <v xml:space="preserve"> </v>
      </c>
      <c r="G4180" s="110">
        <f>COPY!Z4172</f>
        <v>0</v>
      </c>
      <c r="H4180" s="111" t="str">
        <f>IFERROR(VLOOKUP(Table1722[[#This Row],[Bukti]],'Un nOTA'!$A$4:$K$5003,10,FALSE),"")</f>
        <v/>
      </c>
      <c r="I4180" s="123" t="str">
        <f>IFERROR(VLOOKUP(Table1722[[#This Row],[Bukti]],Table13[#Data],11,FALSE),"")</f>
        <v/>
      </c>
    </row>
    <row r="4181" spans="1:9" hidden="1" x14ac:dyDescent="0.2">
      <c r="A4181" s="105" t="str">
        <f>IF(D4181=1,COUNTIF($D$10:D4181,1)," ")</f>
        <v xml:space="preserve"> </v>
      </c>
      <c r="B4181" s="106">
        <f>COPY!AR4173</f>
        <v>0</v>
      </c>
      <c r="C4181" s="107">
        <f>COPY!AC4173</f>
        <v>0</v>
      </c>
      <c r="D4181" s="107" t="str">
        <f>IF(LEN(Table1722[[#This Row],[Uraian]])&gt;2,1," ")</f>
        <v xml:space="preserve"> </v>
      </c>
      <c r="E4181" s="113" t="str">
        <f>IF(Table1722[[#This Row],[Lawan Transaksi]]="CV AGUNG KARYA",COUNTIF($I$10:I4181,"CV AGUNG KARYA")," ")</f>
        <v xml:space="preserve"> </v>
      </c>
      <c r="F4181" s="107" t="str">
        <f>IF(LEN(Table1722[[#This Row],[Uraian]])&gt;2,TRIM(RIGHT(SUBSTITUTE(TRIM(C4181)," ",REPT(" ",255)),255))," ")</f>
        <v xml:space="preserve"> </v>
      </c>
      <c r="G4181" s="110">
        <f>COPY!Z4173</f>
        <v>0</v>
      </c>
      <c r="H4181" s="111" t="str">
        <f>IFERROR(VLOOKUP(Table1722[[#This Row],[Bukti]],'Un nOTA'!$A$4:$K$5003,10,FALSE),"")</f>
        <v/>
      </c>
      <c r="I4181" s="123" t="str">
        <f>IFERROR(VLOOKUP(Table1722[[#This Row],[Bukti]],Table13[#Data],11,FALSE),"")</f>
        <v/>
      </c>
    </row>
    <row r="4182" spans="1:9" hidden="1" x14ac:dyDescent="0.2">
      <c r="A4182" s="105" t="str">
        <f>IF(D4182=1,COUNTIF($D$10:D4182,1)," ")</f>
        <v xml:space="preserve"> </v>
      </c>
      <c r="B4182" s="106">
        <f>COPY!AR4174</f>
        <v>0</v>
      </c>
      <c r="C4182" s="107">
        <f>COPY!AC4174</f>
        <v>0</v>
      </c>
      <c r="D4182" s="107" t="str">
        <f>IF(LEN(Table1722[[#This Row],[Uraian]])&gt;2,1," ")</f>
        <v xml:space="preserve"> </v>
      </c>
      <c r="E4182" s="113" t="str">
        <f>IF(Table1722[[#This Row],[Lawan Transaksi]]="CV AGUNG KARYA",COUNTIF($I$10:I4182,"CV AGUNG KARYA")," ")</f>
        <v xml:space="preserve"> </v>
      </c>
      <c r="F4182" s="107" t="str">
        <f>IF(LEN(Table1722[[#This Row],[Uraian]])&gt;2,TRIM(RIGHT(SUBSTITUTE(TRIM(C4182)," ",REPT(" ",255)),255))," ")</f>
        <v xml:space="preserve"> </v>
      </c>
      <c r="G4182" s="110">
        <f>COPY!Z4174</f>
        <v>0</v>
      </c>
      <c r="H4182" s="111" t="str">
        <f>IFERROR(VLOOKUP(Table1722[[#This Row],[Bukti]],'Un nOTA'!$A$4:$K$5003,10,FALSE),"")</f>
        <v/>
      </c>
      <c r="I4182" s="123" t="str">
        <f>IFERROR(VLOOKUP(Table1722[[#This Row],[Bukti]],Table13[#Data],11,FALSE),"")</f>
        <v/>
      </c>
    </row>
    <row r="4183" spans="1:9" hidden="1" x14ac:dyDescent="0.2">
      <c r="A4183" s="105" t="str">
        <f>IF(D4183=1,COUNTIF($D$10:D4183,1)," ")</f>
        <v xml:space="preserve"> </v>
      </c>
      <c r="B4183" s="106">
        <f>COPY!AR4175</f>
        <v>0</v>
      </c>
      <c r="C4183" s="107">
        <f>COPY!AC4175</f>
        <v>0</v>
      </c>
      <c r="D4183" s="107" t="str">
        <f>IF(LEN(Table1722[[#This Row],[Uraian]])&gt;2,1," ")</f>
        <v xml:space="preserve"> </v>
      </c>
      <c r="E4183" s="113" t="str">
        <f>IF(Table1722[[#This Row],[Lawan Transaksi]]="CV AGUNG KARYA",COUNTIF($I$10:I4183,"CV AGUNG KARYA")," ")</f>
        <v xml:space="preserve"> </v>
      </c>
      <c r="F4183" s="107" t="str">
        <f>IF(LEN(Table1722[[#This Row],[Uraian]])&gt;2,TRIM(RIGHT(SUBSTITUTE(TRIM(C4183)," ",REPT(" ",255)),255))," ")</f>
        <v xml:space="preserve"> </v>
      </c>
      <c r="G4183" s="110">
        <f>COPY!Z4175</f>
        <v>0</v>
      </c>
      <c r="H4183" s="111" t="str">
        <f>IFERROR(VLOOKUP(Table1722[[#This Row],[Bukti]],'Un nOTA'!$A$4:$K$5003,10,FALSE),"")</f>
        <v/>
      </c>
      <c r="I4183" s="123" t="str">
        <f>IFERROR(VLOOKUP(Table1722[[#This Row],[Bukti]],Table13[#Data],11,FALSE),"")</f>
        <v/>
      </c>
    </row>
    <row r="4184" spans="1:9" hidden="1" x14ac:dyDescent="0.2">
      <c r="A4184" s="105" t="str">
        <f>IF(D4184=1,COUNTIF($D$10:D4184,1)," ")</f>
        <v xml:space="preserve"> </v>
      </c>
      <c r="B4184" s="106">
        <f>COPY!AR4176</f>
        <v>0</v>
      </c>
      <c r="C4184" s="107">
        <f>COPY!AC4176</f>
        <v>0</v>
      </c>
      <c r="D4184" s="107" t="str">
        <f>IF(LEN(Table1722[[#This Row],[Uraian]])&gt;2,1," ")</f>
        <v xml:space="preserve"> </v>
      </c>
      <c r="E4184" s="113" t="str">
        <f>IF(Table1722[[#This Row],[Lawan Transaksi]]="CV AGUNG KARYA",COUNTIF($I$10:I4184,"CV AGUNG KARYA")," ")</f>
        <v xml:space="preserve"> </v>
      </c>
      <c r="F4184" s="107" t="str">
        <f>IF(LEN(Table1722[[#This Row],[Uraian]])&gt;2,TRIM(RIGHT(SUBSTITUTE(TRIM(C4184)," ",REPT(" ",255)),255))," ")</f>
        <v xml:space="preserve"> </v>
      </c>
      <c r="G4184" s="110">
        <f>COPY!Z4176</f>
        <v>0</v>
      </c>
      <c r="H4184" s="111" t="str">
        <f>IFERROR(VLOOKUP(Table1722[[#This Row],[Bukti]],'Un nOTA'!$A$4:$K$5003,10,FALSE),"")</f>
        <v/>
      </c>
      <c r="I4184" s="123" t="str">
        <f>IFERROR(VLOOKUP(Table1722[[#This Row],[Bukti]],Table13[#Data],11,FALSE),"")</f>
        <v/>
      </c>
    </row>
    <row r="4185" spans="1:9" hidden="1" x14ac:dyDescent="0.2">
      <c r="A4185" s="105" t="str">
        <f>IF(D4185=1,COUNTIF($D$10:D4185,1)," ")</f>
        <v xml:space="preserve"> </v>
      </c>
      <c r="B4185" s="106">
        <f>COPY!AR4177</f>
        <v>0</v>
      </c>
      <c r="C4185" s="107">
        <f>COPY!AC4177</f>
        <v>0</v>
      </c>
      <c r="D4185" s="107" t="str">
        <f>IF(LEN(Table1722[[#This Row],[Uraian]])&gt;2,1," ")</f>
        <v xml:space="preserve"> </v>
      </c>
      <c r="E4185" s="113" t="str">
        <f>IF(Table1722[[#This Row],[Lawan Transaksi]]="CV AGUNG KARYA",COUNTIF($I$10:I4185,"CV AGUNG KARYA")," ")</f>
        <v xml:space="preserve"> </v>
      </c>
      <c r="F4185" s="107" t="str">
        <f>IF(LEN(Table1722[[#This Row],[Uraian]])&gt;2,TRIM(RIGHT(SUBSTITUTE(TRIM(C4185)," ",REPT(" ",255)),255))," ")</f>
        <v xml:space="preserve"> </v>
      </c>
      <c r="G4185" s="110">
        <f>COPY!Z4177</f>
        <v>0</v>
      </c>
      <c r="H4185" s="111" t="str">
        <f>IFERROR(VLOOKUP(Table1722[[#This Row],[Bukti]],'Un nOTA'!$A$4:$K$5003,10,FALSE),"")</f>
        <v/>
      </c>
      <c r="I4185" s="123" t="str">
        <f>IFERROR(VLOOKUP(Table1722[[#This Row],[Bukti]],Table13[#Data],11,FALSE),"")</f>
        <v/>
      </c>
    </row>
    <row r="4186" spans="1:9" hidden="1" x14ac:dyDescent="0.2">
      <c r="A4186" s="105" t="str">
        <f>IF(D4186=1,COUNTIF($D$10:D4186,1)," ")</f>
        <v xml:space="preserve"> </v>
      </c>
      <c r="B4186" s="106">
        <f>COPY!AR4178</f>
        <v>0</v>
      </c>
      <c r="C4186" s="107">
        <f>COPY!AC4178</f>
        <v>0</v>
      </c>
      <c r="D4186" s="107" t="str">
        <f>IF(LEN(Table1722[[#This Row],[Uraian]])&gt;2,1," ")</f>
        <v xml:space="preserve"> </v>
      </c>
      <c r="E4186" s="113" t="str">
        <f>IF(Table1722[[#This Row],[Lawan Transaksi]]="CV AGUNG KARYA",COUNTIF($I$10:I4186,"CV AGUNG KARYA")," ")</f>
        <v xml:space="preserve"> </v>
      </c>
      <c r="F4186" s="107" t="str">
        <f>IF(LEN(Table1722[[#This Row],[Uraian]])&gt;2,TRIM(RIGHT(SUBSTITUTE(TRIM(C4186)," ",REPT(" ",255)),255))," ")</f>
        <v xml:space="preserve"> </v>
      </c>
      <c r="G4186" s="110">
        <f>COPY!Z4178</f>
        <v>0</v>
      </c>
      <c r="H4186" s="111" t="str">
        <f>IFERROR(VLOOKUP(Table1722[[#This Row],[Bukti]],'Un nOTA'!$A$4:$K$5003,10,FALSE),"")</f>
        <v/>
      </c>
      <c r="I4186" s="123" t="str">
        <f>IFERROR(VLOOKUP(Table1722[[#This Row],[Bukti]],Table13[#Data],11,FALSE),"")</f>
        <v/>
      </c>
    </row>
    <row r="4187" spans="1:9" hidden="1" x14ac:dyDescent="0.2">
      <c r="A4187" s="105" t="str">
        <f>IF(D4187=1,COUNTIF($D$10:D4187,1)," ")</f>
        <v xml:space="preserve"> </v>
      </c>
      <c r="B4187" s="106">
        <f>COPY!AR4179</f>
        <v>0</v>
      </c>
      <c r="C4187" s="107">
        <f>COPY!AC4179</f>
        <v>0</v>
      </c>
      <c r="D4187" s="107" t="str">
        <f>IF(LEN(Table1722[[#This Row],[Uraian]])&gt;2,1," ")</f>
        <v xml:space="preserve"> </v>
      </c>
      <c r="E4187" s="113" t="str">
        <f>IF(Table1722[[#This Row],[Lawan Transaksi]]="CV AGUNG KARYA",COUNTIF($I$10:I4187,"CV AGUNG KARYA")," ")</f>
        <v xml:space="preserve"> </v>
      </c>
      <c r="F4187" s="107" t="str">
        <f>IF(LEN(Table1722[[#This Row],[Uraian]])&gt;2,TRIM(RIGHT(SUBSTITUTE(TRIM(C4187)," ",REPT(" ",255)),255))," ")</f>
        <v xml:space="preserve"> </v>
      </c>
      <c r="G4187" s="110">
        <f>COPY!Z4179</f>
        <v>0</v>
      </c>
      <c r="H4187" s="111" t="str">
        <f>IFERROR(VLOOKUP(Table1722[[#This Row],[Bukti]],'Un nOTA'!$A$4:$K$5003,10,FALSE),"")</f>
        <v/>
      </c>
      <c r="I4187" s="123" t="str">
        <f>IFERROR(VLOOKUP(Table1722[[#This Row],[Bukti]],Table13[#Data],11,FALSE),"")</f>
        <v/>
      </c>
    </row>
    <row r="4188" spans="1:9" hidden="1" x14ac:dyDescent="0.2">
      <c r="A4188" s="105" t="str">
        <f>IF(D4188=1,COUNTIF($D$10:D4188,1)," ")</f>
        <v xml:space="preserve"> </v>
      </c>
      <c r="B4188" s="106">
        <f>COPY!AR4180</f>
        <v>0</v>
      </c>
      <c r="C4188" s="107">
        <f>COPY!AC4180</f>
        <v>0</v>
      </c>
      <c r="D4188" s="107" t="str">
        <f>IF(LEN(Table1722[[#This Row],[Uraian]])&gt;2,1," ")</f>
        <v xml:space="preserve"> </v>
      </c>
      <c r="E4188" s="113" t="str">
        <f>IF(Table1722[[#This Row],[Lawan Transaksi]]="CV AGUNG KARYA",COUNTIF($I$10:I4188,"CV AGUNG KARYA")," ")</f>
        <v xml:space="preserve"> </v>
      </c>
      <c r="F4188" s="107" t="str">
        <f>IF(LEN(Table1722[[#This Row],[Uraian]])&gt;2,TRIM(RIGHT(SUBSTITUTE(TRIM(C4188)," ",REPT(" ",255)),255))," ")</f>
        <v xml:space="preserve"> </v>
      </c>
      <c r="G4188" s="110">
        <f>COPY!Z4180</f>
        <v>0</v>
      </c>
      <c r="H4188" s="111" t="str">
        <f>IFERROR(VLOOKUP(Table1722[[#This Row],[Bukti]],'Un nOTA'!$A$4:$K$5003,10,FALSE),"")</f>
        <v/>
      </c>
      <c r="I4188" s="123" t="str">
        <f>IFERROR(VLOOKUP(Table1722[[#This Row],[Bukti]],Table13[#Data],11,FALSE),"")</f>
        <v/>
      </c>
    </row>
    <row r="4189" spans="1:9" hidden="1" x14ac:dyDescent="0.2">
      <c r="A4189" s="105" t="str">
        <f>IF(D4189=1,COUNTIF($D$10:D4189,1)," ")</f>
        <v xml:space="preserve"> </v>
      </c>
      <c r="B4189" s="106">
        <f>COPY!AR4181</f>
        <v>0</v>
      </c>
      <c r="C4189" s="107">
        <f>COPY!AC4181</f>
        <v>0</v>
      </c>
      <c r="D4189" s="107" t="str">
        <f>IF(LEN(Table1722[[#This Row],[Uraian]])&gt;2,1," ")</f>
        <v xml:space="preserve"> </v>
      </c>
      <c r="E4189" s="113" t="str">
        <f>IF(Table1722[[#This Row],[Lawan Transaksi]]="CV AGUNG KARYA",COUNTIF($I$10:I4189,"CV AGUNG KARYA")," ")</f>
        <v xml:space="preserve"> </v>
      </c>
      <c r="F4189" s="107" t="str">
        <f>IF(LEN(Table1722[[#This Row],[Uraian]])&gt;2,TRIM(RIGHT(SUBSTITUTE(TRIM(C4189)," ",REPT(" ",255)),255))," ")</f>
        <v xml:space="preserve"> </v>
      </c>
      <c r="G4189" s="110">
        <f>COPY!Z4181</f>
        <v>0</v>
      </c>
      <c r="H4189" s="111" t="str">
        <f>IFERROR(VLOOKUP(Table1722[[#This Row],[Bukti]],'Un nOTA'!$A$4:$K$5003,10,FALSE),"")</f>
        <v/>
      </c>
      <c r="I4189" s="123" t="str">
        <f>IFERROR(VLOOKUP(Table1722[[#This Row],[Bukti]],Table13[#Data],11,FALSE),"")</f>
        <v/>
      </c>
    </row>
    <row r="4190" spans="1:9" hidden="1" x14ac:dyDescent="0.2">
      <c r="A4190" s="105" t="str">
        <f>IF(D4190=1,COUNTIF($D$10:D4190,1)," ")</f>
        <v xml:space="preserve"> </v>
      </c>
      <c r="B4190" s="106">
        <f>COPY!AR4182</f>
        <v>0</v>
      </c>
      <c r="C4190" s="107">
        <f>COPY!AC4182</f>
        <v>0</v>
      </c>
      <c r="D4190" s="107" t="str">
        <f>IF(LEN(Table1722[[#This Row],[Uraian]])&gt;2,1," ")</f>
        <v xml:space="preserve"> </v>
      </c>
      <c r="E4190" s="113" t="str">
        <f>IF(Table1722[[#This Row],[Lawan Transaksi]]="CV AGUNG KARYA",COUNTIF($I$10:I4190,"CV AGUNG KARYA")," ")</f>
        <v xml:space="preserve"> </v>
      </c>
      <c r="F4190" s="107" t="str">
        <f>IF(LEN(Table1722[[#This Row],[Uraian]])&gt;2,TRIM(RIGHT(SUBSTITUTE(TRIM(C4190)," ",REPT(" ",255)),255))," ")</f>
        <v xml:space="preserve"> </v>
      </c>
      <c r="G4190" s="110">
        <f>COPY!Z4182</f>
        <v>0</v>
      </c>
      <c r="H4190" s="111" t="str">
        <f>IFERROR(VLOOKUP(Table1722[[#This Row],[Bukti]],'Un nOTA'!$A$4:$K$5003,10,FALSE),"")</f>
        <v/>
      </c>
      <c r="I4190" s="123" t="str">
        <f>IFERROR(VLOOKUP(Table1722[[#This Row],[Bukti]],Table13[#Data],11,FALSE),"")</f>
        <v/>
      </c>
    </row>
    <row r="4191" spans="1:9" hidden="1" x14ac:dyDescent="0.2">
      <c r="A4191" s="105" t="str">
        <f>IF(D4191=1,COUNTIF($D$10:D4191,1)," ")</f>
        <v xml:space="preserve"> </v>
      </c>
      <c r="B4191" s="106">
        <f>COPY!AR4183</f>
        <v>0</v>
      </c>
      <c r="C4191" s="107">
        <f>COPY!AC4183</f>
        <v>0</v>
      </c>
      <c r="D4191" s="107" t="str">
        <f>IF(LEN(Table1722[[#This Row],[Uraian]])&gt;2,1," ")</f>
        <v xml:space="preserve"> </v>
      </c>
      <c r="E4191" s="113" t="str">
        <f>IF(Table1722[[#This Row],[Lawan Transaksi]]="CV AGUNG KARYA",COUNTIF($I$10:I4191,"CV AGUNG KARYA")," ")</f>
        <v xml:space="preserve"> </v>
      </c>
      <c r="F4191" s="107" t="str">
        <f>IF(LEN(Table1722[[#This Row],[Uraian]])&gt;2,TRIM(RIGHT(SUBSTITUTE(TRIM(C4191)," ",REPT(" ",255)),255))," ")</f>
        <v xml:space="preserve"> </v>
      </c>
      <c r="G4191" s="110">
        <f>COPY!Z4183</f>
        <v>0</v>
      </c>
      <c r="H4191" s="111" t="str">
        <f>IFERROR(VLOOKUP(Table1722[[#This Row],[Bukti]],'Un nOTA'!$A$4:$K$5003,10,FALSE),"")</f>
        <v/>
      </c>
      <c r="I4191" s="123" t="str">
        <f>IFERROR(VLOOKUP(Table1722[[#This Row],[Bukti]],Table13[#Data],11,FALSE),"")</f>
        <v/>
      </c>
    </row>
    <row r="4192" spans="1:9" hidden="1" x14ac:dyDescent="0.2">
      <c r="A4192" s="105" t="str">
        <f>IF(D4192=1,COUNTIF($D$10:D4192,1)," ")</f>
        <v xml:space="preserve"> </v>
      </c>
      <c r="B4192" s="106">
        <f>COPY!AR4184</f>
        <v>0</v>
      </c>
      <c r="C4192" s="107">
        <f>COPY!AC4184</f>
        <v>0</v>
      </c>
      <c r="D4192" s="107" t="str">
        <f>IF(LEN(Table1722[[#This Row],[Uraian]])&gt;2,1," ")</f>
        <v xml:space="preserve"> </v>
      </c>
      <c r="E4192" s="113" t="str">
        <f>IF(Table1722[[#This Row],[Lawan Transaksi]]="CV AGUNG KARYA",COUNTIF($I$10:I4192,"CV AGUNG KARYA")," ")</f>
        <v xml:space="preserve"> </v>
      </c>
      <c r="F4192" s="107" t="str">
        <f>IF(LEN(Table1722[[#This Row],[Uraian]])&gt;2,TRIM(RIGHT(SUBSTITUTE(TRIM(C4192)," ",REPT(" ",255)),255))," ")</f>
        <v xml:space="preserve"> </v>
      </c>
      <c r="G4192" s="110">
        <f>COPY!Z4184</f>
        <v>0</v>
      </c>
      <c r="H4192" s="111" t="str">
        <f>IFERROR(VLOOKUP(Table1722[[#This Row],[Bukti]],'Un nOTA'!$A$4:$K$5003,10,FALSE),"")</f>
        <v/>
      </c>
      <c r="I4192" s="123" t="str">
        <f>IFERROR(VLOOKUP(Table1722[[#This Row],[Bukti]],Table13[#Data],11,FALSE),"")</f>
        <v/>
      </c>
    </row>
    <row r="4193" spans="1:9" hidden="1" x14ac:dyDescent="0.2">
      <c r="A4193" s="105" t="str">
        <f>IF(D4193=1,COUNTIF($D$10:D4193,1)," ")</f>
        <v xml:space="preserve"> </v>
      </c>
      <c r="B4193" s="106">
        <f>COPY!AR4185</f>
        <v>0</v>
      </c>
      <c r="C4193" s="107">
        <f>COPY!AC4185</f>
        <v>0</v>
      </c>
      <c r="D4193" s="107" t="str">
        <f>IF(LEN(Table1722[[#This Row],[Uraian]])&gt;2,1," ")</f>
        <v xml:space="preserve"> </v>
      </c>
      <c r="E4193" s="113" t="str">
        <f>IF(Table1722[[#This Row],[Lawan Transaksi]]="CV AGUNG KARYA",COUNTIF($I$10:I4193,"CV AGUNG KARYA")," ")</f>
        <v xml:space="preserve"> </v>
      </c>
      <c r="F4193" s="107" t="str">
        <f>IF(LEN(Table1722[[#This Row],[Uraian]])&gt;2,TRIM(RIGHT(SUBSTITUTE(TRIM(C4193)," ",REPT(" ",255)),255))," ")</f>
        <v xml:space="preserve"> </v>
      </c>
      <c r="G4193" s="110">
        <f>COPY!Z4185</f>
        <v>0</v>
      </c>
      <c r="H4193" s="111" t="str">
        <f>IFERROR(VLOOKUP(Table1722[[#This Row],[Bukti]],'Un nOTA'!$A$4:$K$5003,10,FALSE),"")</f>
        <v/>
      </c>
      <c r="I4193" s="123" t="str">
        <f>IFERROR(VLOOKUP(Table1722[[#This Row],[Bukti]],Table13[#Data],11,FALSE),"")</f>
        <v/>
      </c>
    </row>
    <row r="4194" spans="1:9" hidden="1" x14ac:dyDescent="0.2">
      <c r="A4194" s="105" t="str">
        <f>IF(D4194=1,COUNTIF($D$10:D4194,1)," ")</f>
        <v xml:space="preserve"> </v>
      </c>
      <c r="B4194" s="106">
        <f>COPY!AR4186</f>
        <v>0</v>
      </c>
      <c r="C4194" s="107">
        <f>COPY!AC4186</f>
        <v>0</v>
      </c>
      <c r="D4194" s="107" t="str">
        <f>IF(LEN(Table1722[[#This Row],[Uraian]])&gt;2,1," ")</f>
        <v xml:space="preserve"> </v>
      </c>
      <c r="E4194" s="113" t="str">
        <f>IF(Table1722[[#This Row],[Lawan Transaksi]]="CV AGUNG KARYA",COUNTIF($I$10:I4194,"CV AGUNG KARYA")," ")</f>
        <v xml:space="preserve"> </v>
      </c>
      <c r="F4194" s="107" t="str">
        <f>IF(LEN(Table1722[[#This Row],[Uraian]])&gt;2,TRIM(RIGHT(SUBSTITUTE(TRIM(C4194)," ",REPT(" ",255)),255))," ")</f>
        <v xml:space="preserve"> </v>
      </c>
      <c r="G4194" s="110">
        <f>COPY!Z4186</f>
        <v>0</v>
      </c>
      <c r="H4194" s="111" t="str">
        <f>IFERROR(VLOOKUP(Table1722[[#This Row],[Bukti]],'Un nOTA'!$A$4:$K$5003,10,FALSE),"")</f>
        <v/>
      </c>
      <c r="I4194" s="123" t="str">
        <f>IFERROR(VLOOKUP(Table1722[[#This Row],[Bukti]],Table13[#Data],11,FALSE),"")</f>
        <v/>
      </c>
    </row>
    <row r="4195" spans="1:9" hidden="1" x14ac:dyDescent="0.2">
      <c r="A4195" s="105" t="str">
        <f>IF(D4195=1,COUNTIF($D$10:D4195,1)," ")</f>
        <v xml:space="preserve"> </v>
      </c>
      <c r="B4195" s="106">
        <f>COPY!AR4187</f>
        <v>0</v>
      </c>
      <c r="C4195" s="107">
        <f>COPY!AC4187</f>
        <v>0</v>
      </c>
      <c r="D4195" s="107" t="str">
        <f>IF(LEN(Table1722[[#This Row],[Uraian]])&gt;2,1," ")</f>
        <v xml:space="preserve"> </v>
      </c>
      <c r="E4195" s="113" t="str">
        <f>IF(Table1722[[#This Row],[Lawan Transaksi]]="CV AGUNG KARYA",COUNTIF($I$10:I4195,"CV AGUNG KARYA")," ")</f>
        <v xml:space="preserve"> </v>
      </c>
      <c r="F4195" s="107" t="str">
        <f>IF(LEN(Table1722[[#This Row],[Uraian]])&gt;2,TRIM(RIGHT(SUBSTITUTE(TRIM(C4195)," ",REPT(" ",255)),255))," ")</f>
        <v xml:space="preserve"> </v>
      </c>
      <c r="G4195" s="110">
        <f>COPY!Z4187</f>
        <v>0</v>
      </c>
      <c r="H4195" s="111" t="str">
        <f>IFERROR(VLOOKUP(Table1722[[#This Row],[Bukti]],'Un nOTA'!$A$4:$K$5003,10,FALSE),"")</f>
        <v/>
      </c>
      <c r="I4195" s="123" t="str">
        <f>IFERROR(VLOOKUP(Table1722[[#This Row],[Bukti]],Table13[#Data],11,FALSE),"")</f>
        <v/>
      </c>
    </row>
    <row r="4196" spans="1:9" hidden="1" x14ac:dyDescent="0.2">
      <c r="A4196" s="105" t="str">
        <f>IF(D4196=1,COUNTIF($D$10:D4196,1)," ")</f>
        <v xml:space="preserve"> </v>
      </c>
      <c r="B4196" s="106">
        <f>COPY!AR4188</f>
        <v>0</v>
      </c>
      <c r="C4196" s="107">
        <f>COPY!AC4188</f>
        <v>0</v>
      </c>
      <c r="D4196" s="107" t="str">
        <f>IF(LEN(Table1722[[#This Row],[Uraian]])&gt;2,1," ")</f>
        <v xml:space="preserve"> </v>
      </c>
      <c r="E4196" s="113" t="str">
        <f>IF(Table1722[[#This Row],[Lawan Transaksi]]="CV AGUNG KARYA",COUNTIF($I$10:I4196,"CV AGUNG KARYA")," ")</f>
        <v xml:space="preserve"> </v>
      </c>
      <c r="F4196" s="107" t="str">
        <f>IF(LEN(Table1722[[#This Row],[Uraian]])&gt;2,TRIM(RIGHT(SUBSTITUTE(TRIM(C4196)," ",REPT(" ",255)),255))," ")</f>
        <v xml:space="preserve"> </v>
      </c>
      <c r="G4196" s="110">
        <f>COPY!Z4188</f>
        <v>0</v>
      </c>
      <c r="H4196" s="111" t="str">
        <f>IFERROR(VLOOKUP(Table1722[[#This Row],[Bukti]],'Un nOTA'!$A$4:$K$5003,10,FALSE),"")</f>
        <v/>
      </c>
      <c r="I4196" s="123" t="str">
        <f>IFERROR(VLOOKUP(Table1722[[#This Row],[Bukti]],Table13[#Data],11,FALSE),"")</f>
        <v/>
      </c>
    </row>
    <row r="4197" spans="1:9" hidden="1" x14ac:dyDescent="0.2">
      <c r="A4197" s="105" t="str">
        <f>IF(D4197=1,COUNTIF($D$10:D4197,1)," ")</f>
        <v xml:space="preserve"> </v>
      </c>
      <c r="B4197" s="106">
        <f>COPY!AR4189</f>
        <v>0</v>
      </c>
      <c r="C4197" s="107">
        <f>COPY!AC4189</f>
        <v>0</v>
      </c>
      <c r="D4197" s="107" t="str">
        <f>IF(LEN(Table1722[[#This Row],[Uraian]])&gt;2,1," ")</f>
        <v xml:space="preserve"> </v>
      </c>
      <c r="E4197" s="113" t="str">
        <f>IF(Table1722[[#This Row],[Lawan Transaksi]]="CV AGUNG KARYA",COUNTIF($I$10:I4197,"CV AGUNG KARYA")," ")</f>
        <v xml:space="preserve"> </v>
      </c>
      <c r="F4197" s="107" t="str">
        <f>IF(LEN(Table1722[[#This Row],[Uraian]])&gt;2,TRIM(RIGHT(SUBSTITUTE(TRIM(C4197)," ",REPT(" ",255)),255))," ")</f>
        <v xml:space="preserve"> </v>
      </c>
      <c r="G4197" s="110">
        <f>COPY!Z4189</f>
        <v>0</v>
      </c>
      <c r="H4197" s="111" t="str">
        <f>IFERROR(VLOOKUP(Table1722[[#This Row],[Bukti]],'Un nOTA'!$A$4:$K$5003,10,FALSE),"")</f>
        <v/>
      </c>
      <c r="I4197" s="123" t="str">
        <f>IFERROR(VLOOKUP(Table1722[[#This Row],[Bukti]],Table13[#Data],11,FALSE),"")</f>
        <v/>
      </c>
    </row>
    <row r="4198" spans="1:9" hidden="1" x14ac:dyDescent="0.2">
      <c r="A4198" s="105" t="str">
        <f>IF(D4198=1,COUNTIF($D$10:D4198,1)," ")</f>
        <v xml:space="preserve"> </v>
      </c>
      <c r="B4198" s="106">
        <f>COPY!AR4190</f>
        <v>0</v>
      </c>
      <c r="C4198" s="107">
        <f>COPY!AC4190</f>
        <v>0</v>
      </c>
      <c r="D4198" s="107" t="str">
        <f>IF(LEN(Table1722[[#This Row],[Uraian]])&gt;2,1," ")</f>
        <v xml:space="preserve"> </v>
      </c>
      <c r="E4198" s="113" t="str">
        <f>IF(Table1722[[#This Row],[Lawan Transaksi]]="CV AGUNG KARYA",COUNTIF($I$10:I4198,"CV AGUNG KARYA")," ")</f>
        <v xml:space="preserve"> </v>
      </c>
      <c r="F4198" s="107" t="str">
        <f>IF(LEN(Table1722[[#This Row],[Uraian]])&gt;2,TRIM(RIGHT(SUBSTITUTE(TRIM(C4198)," ",REPT(" ",255)),255))," ")</f>
        <v xml:space="preserve"> </v>
      </c>
      <c r="G4198" s="110">
        <f>COPY!Z4190</f>
        <v>0</v>
      </c>
      <c r="H4198" s="111" t="str">
        <f>IFERROR(VLOOKUP(Table1722[[#This Row],[Bukti]],'Un nOTA'!$A$4:$K$5003,10,FALSE),"")</f>
        <v/>
      </c>
      <c r="I4198" s="123" t="str">
        <f>IFERROR(VLOOKUP(Table1722[[#This Row],[Bukti]],Table13[#Data],11,FALSE),"")</f>
        <v/>
      </c>
    </row>
    <row r="4199" spans="1:9" hidden="1" x14ac:dyDescent="0.2">
      <c r="A4199" s="105" t="str">
        <f>IF(D4199=1,COUNTIF($D$10:D4199,1)," ")</f>
        <v xml:space="preserve"> </v>
      </c>
      <c r="B4199" s="106">
        <f>COPY!AR4191</f>
        <v>0</v>
      </c>
      <c r="C4199" s="107">
        <f>COPY!AC4191</f>
        <v>0</v>
      </c>
      <c r="D4199" s="107" t="str">
        <f>IF(LEN(Table1722[[#This Row],[Uraian]])&gt;2,1," ")</f>
        <v xml:space="preserve"> </v>
      </c>
      <c r="E4199" s="113" t="str">
        <f>IF(Table1722[[#This Row],[Lawan Transaksi]]="CV AGUNG KARYA",COUNTIF($I$10:I4199,"CV AGUNG KARYA")," ")</f>
        <v xml:space="preserve"> </v>
      </c>
      <c r="F4199" s="107" t="str">
        <f>IF(LEN(Table1722[[#This Row],[Uraian]])&gt;2,TRIM(RIGHT(SUBSTITUTE(TRIM(C4199)," ",REPT(" ",255)),255))," ")</f>
        <v xml:space="preserve"> </v>
      </c>
      <c r="G4199" s="110">
        <f>COPY!Z4191</f>
        <v>0</v>
      </c>
      <c r="H4199" s="111" t="str">
        <f>IFERROR(VLOOKUP(Table1722[[#This Row],[Bukti]],'Un nOTA'!$A$4:$K$5003,10,FALSE),"")</f>
        <v/>
      </c>
      <c r="I4199" s="123" t="str">
        <f>IFERROR(VLOOKUP(Table1722[[#This Row],[Bukti]],Table13[#Data],11,FALSE),"")</f>
        <v/>
      </c>
    </row>
    <row r="4200" spans="1:9" hidden="1" x14ac:dyDescent="0.2">
      <c r="A4200" s="105" t="str">
        <f>IF(D4200=1,COUNTIF($D$10:D4200,1)," ")</f>
        <v xml:space="preserve"> </v>
      </c>
      <c r="B4200" s="106">
        <f>COPY!AR4192</f>
        <v>0</v>
      </c>
      <c r="C4200" s="107">
        <f>COPY!AC4192</f>
        <v>0</v>
      </c>
      <c r="D4200" s="107" t="str">
        <f>IF(LEN(Table1722[[#This Row],[Uraian]])&gt;2,1," ")</f>
        <v xml:space="preserve"> </v>
      </c>
      <c r="E4200" s="113" t="str">
        <f>IF(Table1722[[#This Row],[Lawan Transaksi]]="CV AGUNG KARYA",COUNTIF($I$10:I4200,"CV AGUNG KARYA")," ")</f>
        <v xml:space="preserve"> </v>
      </c>
      <c r="F4200" s="107" t="str">
        <f>IF(LEN(Table1722[[#This Row],[Uraian]])&gt;2,TRIM(RIGHT(SUBSTITUTE(TRIM(C4200)," ",REPT(" ",255)),255))," ")</f>
        <v xml:space="preserve"> </v>
      </c>
      <c r="G4200" s="110">
        <f>COPY!Z4192</f>
        <v>0</v>
      </c>
      <c r="H4200" s="111" t="str">
        <f>IFERROR(VLOOKUP(Table1722[[#This Row],[Bukti]],'Un nOTA'!$A$4:$K$5003,10,FALSE),"")</f>
        <v/>
      </c>
      <c r="I4200" s="123" t="str">
        <f>IFERROR(VLOOKUP(Table1722[[#This Row],[Bukti]],Table13[#Data],11,FALSE),"")</f>
        <v/>
      </c>
    </row>
    <row r="4201" spans="1:9" hidden="1" x14ac:dyDescent="0.2">
      <c r="A4201" s="105" t="str">
        <f>IF(D4201=1,COUNTIF($D$10:D4201,1)," ")</f>
        <v xml:space="preserve"> </v>
      </c>
      <c r="B4201" s="106">
        <f>COPY!AR4193</f>
        <v>0</v>
      </c>
      <c r="C4201" s="107">
        <f>COPY!AC4193</f>
        <v>0</v>
      </c>
      <c r="D4201" s="107" t="str">
        <f>IF(LEN(Table1722[[#This Row],[Uraian]])&gt;2,1," ")</f>
        <v xml:space="preserve"> </v>
      </c>
      <c r="E4201" s="113" t="str">
        <f>IF(Table1722[[#This Row],[Lawan Transaksi]]="CV AGUNG KARYA",COUNTIF($I$10:I4201,"CV AGUNG KARYA")," ")</f>
        <v xml:space="preserve"> </v>
      </c>
      <c r="F4201" s="107" t="str">
        <f>IF(LEN(Table1722[[#This Row],[Uraian]])&gt;2,TRIM(RIGHT(SUBSTITUTE(TRIM(C4201)," ",REPT(" ",255)),255))," ")</f>
        <v xml:space="preserve"> </v>
      </c>
      <c r="G4201" s="110">
        <f>COPY!Z4193</f>
        <v>0</v>
      </c>
      <c r="H4201" s="111" t="str">
        <f>IFERROR(VLOOKUP(Table1722[[#This Row],[Bukti]],'Un nOTA'!$A$4:$K$5003,10,FALSE),"")</f>
        <v/>
      </c>
      <c r="I4201" s="123" t="str">
        <f>IFERROR(VLOOKUP(Table1722[[#This Row],[Bukti]],Table13[#Data],11,FALSE),"")</f>
        <v/>
      </c>
    </row>
    <row r="4202" spans="1:9" hidden="1" x14ac:dyDescent="0.2">
      <c r="A4202" s="105" t="str">
        <f>IF(D4202=1,COUNTIF($D$10:D4202,1)," ")</f>
        <v xml:space="preserve"> </v>
      </c>
      <c r="B4202" s="106">
        <f>COPY!AR4194</f>
        <v>0</v>
      </c>
      <c r="C4202" s="107">
        <f>COPY!AC4194</f>
        <v>0</v>
      </c>
      <c r="D4202" s="107" t="str">
        <f>IF(LEN(Table1722[[#This Row],[Uraian]])&gt;2,1," ")</f>
        <v xml:space="preserve"> </v>
      </c>
      <c r="E4202" s="113" t="str">
        <f>IF(Table1722[[#This Row],[Lawan Transaksi]]="CV AGUNG KARYA",COUNTIF($I$10:I4202,"CV AGUNG KARYA")," ")</f>
        <v xml:space="preserve"> </v>
      </c>
      <c r="F4202" s="107" t="str">
        <f>IF(LEN(Table1722[[#This Row],[Uraian]])&gt;2,TRIM(RIGHT(SUBSTITUTE(TRIM(C4202)," ",REPT(" ",255)),255))," ")</f>
        <v xml:space="preserve"> </v>
      </c>
      <c r="G4202" s="110">
        <f>COPY!Z4194</f>
        <v>0</v>
      </c>
      <c r="H4202" s="111" t="str">
        <f>IFERROR(VLOOKUP(Table1722[[#This Row],[Bukti]],'Un nOTA'!$A$4:$K$5003,10,FALSE),"")</f>
        <v/>
      </c>
      <c r="I4202" s="123" t="str">
        <f>IFERROR(VLOOKUP(Table1722[[#This Row],[Bukti]],Table13[#Data],11,FALSE),"")</f>
        <v/>
      </c>
    </row>
    <row r="4203" spans="1:9" hidden="1" x14ac:dyDescent="0.2">
      <c r="A4203" s="105" t="str">
        <f>IF(D4203=1,COUNTIF($D$10:D4203,1)," ")</f>
        <v xml:space="preserve"> </v>
      </c>
      <c r="B4203" s="106">
        <f>COPY!AR4195</f>
        <v>0</v>
      </c>
      <c r="C4203" s="107">
        <f>COPY!AC4195</f>
        <v>0</v>
      </c>
      <c r="D4203" s="107" t="str">
        <f>IF(LEN(Table1722[[#This Row],[Uraian]])&gt;2,1," ")</f>
        <v xml:space="preserve"> </v>
      </c>
      <c r="E4203" s="113" t="str">
        <f>IF(Table1722[[#This Row],[Lawan Transaksi]]="CV AGUNG KARYA",COUNTIF($I$10:I4203,"CV AGUNG KARYA")," ")</f>
        <v xml:space="preserve"> </v>
      </c>
      <c r="F4203" s="107" t="str">
        <f>IF(LEN(Table1722[[#This Row],[Uraian]])&gt;2,TRIM(RIGHT(SUBSTITUTE(TRIM(C4203)," ",REPT(" ",255)),255))," ")</f>
        <v xml:space="preserve"> </v>
      </c>
      <c r="G4203" s="110">
        <f>COPY!Z4195</f>
        <v>0</v>
      </c>
      <c r="H4203" s="111" t="str">
        <f>IFERROR(VLOOKUP(Table1722[[#This Row],[Bukti]],'Un nOTA'!$A$4:$K$5003,10,FALSE),"")</f>
        <v/>
      </c>
      <c r="I4203" s="123" t="str">
        <f>IFERROR(VLOOKUP(Table1722[[#This Row],[Bukti]],Table13[#Data],11,FALSE),"")</f>
        <v/>
      </c>
    </row>
    <row r="4204" spans="1:9" hidden="1" x14ac:dyDescent="0.2">
      <c r="A4204" s="105" t="str">
        <f>IF(D4204=1,COUNTIF($D$10:D4204,1)," ")</f>
        <v xml:space="preserve"> </v>
      </c>
      <c r="B4204" s="106">
        <f>COPY!AR4196</f>
        <v>0</v>
      </c>
      <c r="C4204" s="107">
        <f>COPY!AC4196</f>
        <v>0</v>
      </c>
      <c r="D4204" s="107" t="str">
        <f>IF(LEN(Table1722[[#This Row],[Uraian]])&gt;2,1," ")</f>
        <v xml:space="preserve"> </v>
      </c>
      <c r="E4204" s="113" t="str">
        <f>IF(Table1722[[#This Row],[Lawan Transaksi]]="CV AGUNG KARYA",COUNTIF($I$10:I4204,"CV AGUNG KARYA")," ")</f>
        <v xml:space="preserve"> </v>
      </c>
      <c r="F4204" s="107" t="str">
        <f>IF(LEN(Table1722[[#This Row],[Uraian]])&gt;2,TRIM(RIGHT(SUBSTITUTE(TRIM(C4204)," ",REPT(" ",255)),255))," ")</f>
        <v xml:space="preserve"> </v>
      </c>
      <c r="G4204" s="110">
        <f>COPY!Z4196</f>
        <v>0</v>
      </c>
      <c r="H4204" s="111" t="str">
        <f>IFERROR(VLOOKUP(Table1722[[#This Row],[Bukti]],'Un nOTA'!$A$4:$K$5003,10,FALSE),"")</f>
        <v/>
      </c>
      <c r="I4204" s="123" t="str">
        <f>IFERROR(VLOOKUP(Table1722[[#This Row],[Bukti]],Table13[#Data],11,FALSE),"")</f>
        <v/>
      </c>
    </row>
    <row r="4205" spans="1:9" hidden="1" x14ac:dyDescent="0.2">
      <c r="A4205" s="105" t="str">
        <f>IF(D4205=1,COUNTIF($D$10:D4205,1)," ")</f>
        <v xml:space="preserve"> </v>
      </c>
      <c r="B4205" s="106">
        <f>COPY!AR4197</f>
        <v>0</v>
      </c>
      <c r="C4205" s="107">
        <f>COPY!AC4197</f>
        <v>0</v>
      </c>
      <c r="D4205" s="107" t="str">
        <f>IF(LEN(Table1722[[#This Row],[Uraian]])&gt;2,1," ")</f>
        <v xml:space="preserve"> </v>
      </c>
      <c r="E4205" s="113" t="str">
        <f>IF(Table1722[[#This Row],[Lawan Transaksi]]="CV AGUNG KARYA",COUNTIF($I$10:I4205,"CV AGUNG KARYA")," ")</f>
        <v xml:space="preserve"> </v>
      </c>
      <c r="F4205" s="107" t="str">
        <f>IF(LEN(Table1722[[#This Row],[Uraian]])&gt;2,TRIM(RIGHT(SUBSTITUTE(TRIM(C4205)," ",REPT(" ",255)),255))," ")</f>
        <v xml:space="preserve"> </v>
      </c>
      <c r="G4205" s="110">
        <f>COPY!Z4197</f>
        <v>0</v>
      </c>
      <c r="H4205" s="111" t="str">
        <f>IFERROR(VLOOKUP(Table1722[[#This Row],[Bukti]],'Un nOTA'!$A$4:$K$5003,10,FALSE),"")</f>
        <v/>
      </c>
      <c r="I4205" s="123" t="str">
        <f>IFERROR(VLOOKUP(Table1722[[#This Row],[Bukti]],Table13[#Data],11,FALSE),"")</f>
        <v/>
      </c>
    </row>
    <row r="4206" spans="1:9" hidden="1" x14ac:dyDescent="0.2">
      <c r="A4206" s="105" t="str">
        <f>IF(D4206=1,COUNTIF($D$10:D4206,1)," ")</f>
        <v xml:space="preserve"> </v>
      </c>
      <c r="B4206" s="106">
        <f>COPY!AR4198</f>
        <v>0</v>
      </c>
      <c r="C4206" s="107">
        <f>COPY!AC4198</f>
        <v>0</v>
      </c>
      <c r="D4206" s="107" t="str">
        <f>IF(LEN(Table1722[[#This Row],[Uraian]])&gt;2,1," ")</f>
        <v xml:space="preserve"> </v>
      </c>
      <c r="E4206" s="113" t="str">
        <f>IF(Table1722[[#This Row],[Lawan Transaksi]]="CV AGUNG KARYA",COUNTIF($I$10:I4206,"CV AGUNG KARYA")," ")</f>
        <v xml:space="preserve"> </v>
      </c>
      <c r="F4206" s="107" t="str">
        <f>IF(LEN(Table1722[[#This Row],[Uraian]])&gt;2,TRIM(RIGHT(SUBSTITUTE(TRIM(C4206)," ",REPT(" ",255)),255))," ")</f>
        <v xml:space="preserve"> </v>
      </c>
      <c r="G4206" s="110">
        <f>COPY!Z4198</f>
        <v>0</v>
      </c>
      <c r="H4206" s="111" t="str">
        <f>IFERROR(VLOOKUP(Table1722[[#This Row],[Bukti]],'Un nOTA'!$A$4:$K$5003,10,FALSE),"")</f>
        <v/>
      </c>
      <c r="I4206" s="123" t="str">
        <f>IFERROR(VLOOKUP(Table1722[[#This Row],[Bukti]],Table13[#Data],11,FALSE),"")</f>
        <v/>
      </c>
    </row>
    <row r="4207" spans="1:9" hidden="1" x14ac:dyDescent="0.2">
      <c r="A4207" s="105" t="str">
        <f>IF(D4207=1,COUNTIF($D$10:D4207,1)," ")</f>
        <v xml:space="preserve"> </v>
      </c>
      <c r="B4207" s="106">
        <f>COPY!AR4199</f>
        <v>0</v>
      </c>
      <c r="C4207" s="107">
        <f>COPY!AC4199</f>
        <v>0</v>
      </c>
      <c r="D4207" s="107" t="str">
        <f>IF(LEN(Table1722[[#This Row],[Uraian]])&gt;2,1," ")</f>
        <v xml:space="preserve"> </v>
      </c>
      <c r="E4207" s="113" t="str">
        <f>IF(Table1722[[#This Row],[Lawan Transaksi]]="CV AGUNG KARYA",COUNTIF($I$10:I4207,"CV AGUNG KARYA")," ")</f>
        <v xml:space="preserve"> </v>
      </c>
      <c r="F4207" s="107" t="str">
        <f>IF(LEN(Table1722[[#This Row],[Uraian]])&gt;2,TRIM(RIGHT(SUBSTITUTE(TRIM(C4207)," ",REPT(" ",255)),255))," ")</f>
        <v xml:space="preserve"> </v>
      </c>
      <c r="G4207" s="110">
        <f>COPY!Z4199</f>
        <v>0</v>
      </c>
      <c r="H4207" s="111" t="str">
        <f>IFERROR(VLOOKUP(Table1722[[#This Row],[Bukti]],'Un nOTA'!$A$4:$K$5003,10,FALSE),"")</f>
        <v/>
      </c>
      <c r="I4207" s="123" t="str">
        <f>IFERROR(VLOOKUP(Table1722[[#This Row],[Bukti]],Table13[#Data],11,FALSE),"")</f>
        <v/>
      </c>
    </row>
    <row r="4208" spans="1:9" hidden="1" x14ac:dyDescent="0.2">
      <c r="A4208" s="105" t="str">
        <f>IF(D4208=1,COUNTIF($D$10:D4208,1)," ")</f>
        <v xml:space="preserve"> </v>
      </c>
      <c r="B4208" s="106">
        <f>COPY!AR4200</f>
        <v>0</v>
      </c>
      <c r="C4208" s="107">
        <f>COPY!AC4200</f>
        <v>0</v>
      </c>
      <c r="D4208" s="107" t="str">
        <f>IF(LEN(Table1722[[#This Row],[Uraian]])&gt;2,1," ")</f>
        <v xml:space="preserve"> </v>
      </c>
      <c r="E4208" s="113" t="str">
        <f>IF(Table1722[[#This Row],[Lawan Transaksi]]="CV AGUNG KARYA",COUNTIF($I$10:I4208,"CV AGUNG KARYA")," ")</f>
        <v xml:space="preserve"> </v>
      </c>
      <c r="F4208" s="107" t="str">
        <f>IF(LEN(Table1722[[#This Row],[Uraian]])&gt;2,TRIM(RIGHT(SUBSTITUTE(TRIM(C4208)," ",REPT(" ",255)),255))," ")</f>
        <v xml:space="preserve"> </v>
      </c>
      <c r="G4208" s="110">
        <f>COPY!Z4200</f>
        <v>0</v>
      </c>
      <c r="H4208" s="111" t="str">
        <f>IFERROR(VLOOKUP(Table1722[[#This Row],[Bukti]],'Un nOTA'!$A$4:$K$5003,10,FALSE),"")</f>
        <v/>
      </c>
      <c r="I4208" s="123" t="str">
        <f>IFERROR(VLOOKUP(Table1722[[#This Row],[Bukti]],Table13[#Data],11,FALSE),"")</f>
        <v/>
      </c>
    </row>
    <row r="4209" spans="1:9" hidden="1" x14ac:dyDescent="0.2">
      <c r="A4209" s="105" t="str">
        <f>IF(D4209=1,COUNTIF($D$10:D4209,1)," ")</f>
        <v xml:space="preserve"> </v>
      </c>
      <c r="B4209" s="106">
        <f>COPY!AR4201</f>
        <v>0</v>
      </c>
      <c r="C4209" s="107">
        <f>COPY!AC4201</f>
        <v>0</v>
      </c>
      <c r="D4209" s="107" t="str">
        <f>IF(LEN(Table1722[[#This Row],[Uraian]])&gt;2,1," ")</f>
        <v xml:space="preserve"> </v>
      </c>
      <c r="E4209" s="113" t="str">
        <f>IF(Table1722[[#This Row],[Lawan Transaksi]]="CV AGUNG KARYA",COUNTIF($I$10:I4209,"CV AGUNG KARYA")," ")</f>
        <v xml:space="preserve"> </v>
      </c>
      <c r="F4209" s="107" t="str">
        <f>IF(LEN(Table1722[[#This Row],[Uraian]])&gt;2,TRIM(RIGHT(SUBSTITUTE(TRIM(C4209)," ",REPT(" ",255)),255))," ")</f>
        <v xml:space="preserve"> </v>
      </c>
      <c r="G4209" s="110">
        <f>COPY!Z4201</f>
        <v>0</v>
      </c>
      <c r="H4209" s="111" t="str">
        <f>IFERROR(VLOOKUP(Table1722[[#This Row],[Bukti]],'Un nOTA'!$A$4:$K$5003,10,FALSE),"")</f>
        <v/>
      </c>
      <c r="I4209" s="123" t="str">
        <f>IFERROR(VLOOKUP(Table1722[[#This Row],[Bukti]],Table13[#Data],11,FALSE),"")</f>
        <v/>
      </c>
    </row>
    <row r="4210" spans="1:9" hidden="1" x14ac:dyDescent="0.2">
      <c r="A4210" s="105" t="str">
        <f>IF(D4210=1,COUNTIF($D$10:D4210,1)," ")</f>
        <v xml:space="preserve"> </v>
      </c>
      <c r="B4210" s="106">
        <f>COPY!AR4202</f>
        <v>0</v>
      </c>
      <c r="C4210" s="107">
        <f>COPY!AC4202</f>
        <v>0</v>
      </c>
      <c r="D4210" s="107" t="str">
        <f>IF(LEN(Table1722[[#This Row],[Uraian]])&gt;2,1," ")</f>
        <v xml:space="preserve"> </v>
      </c>
      <c r="E4210" s="113" t="str">
        <f>IF(Table1722[[#This Row],[Lawan Transaksi]]="CV AGUNG KARYA",COUNTIF($I$10:I4210,"CV AGUNG KARYA")," ")</f>
        <v xml:space="preserve"> </v>
      </c>
      <c r="F4210" s="107" t="str">
        <f>IF(LEN(Table1722[[#This Row],[Uraian]])&gt;2,TRIM(RIGHT(SUBSTITUTE(TRIM(C4210)," ",REPT(" ",255)),255))," ")</f>
        <v xml:space="preserve"> </v>
      </c>
      <c r="G4210" s="110">
        <f>COPY!Z4202</f>
        <v>0</v>
      </c>
      <c r="H4210" s="111" t="str">
        <f>IFERROR(VLOOKUP(Table1722[[#This Row],[Bukti]],'Un nOTA'!$A$4:$K$5003,10,FALSE),"")</f>
        <v/>
      </c>
      <c r="I4210" s="123" t="str">
        <f>IFERROR(VLOOKUP(Table1722[[#This Row],[Bukti]],Table13[#Data],11,FALSE),"")</f>
        <v/>
      </c>
    </row>
    <row r="4211" spans="1:9" hidden="1" x14ac:dyDescent="0.2">
      <c r="A4211" s="105" t="str">
        <f>IF(D4211=1,COUNTIF($D$10:D4211,1)," ")</f>
        <v xml:space="preserve"> </v>
      </c>
      <c r="B4211" s="106">
        <f>COPY!AR4203</f>
        <v>0</v>
      </c>
      <c r="C4211" s="107">
        <f>COPY!AC4203</f>
        <v>0</v>
      </c>
      <c r="D4211" s="107" t="str">
        <f>IF(LEN(Table1722[[#This Row],[Uraian]])&gt;2,1," ")</f>
        <v xml:space="preserve"> </v>
      </c>
      <c r="E4211" s="113" t="str">
        <f>IF(Table1722[[#This Row],[Lawan Transaksi]]="CV AGUNG KARYA",COUNTIF($I$10:I4211,"CV AGUNG KARYA")," ")</f>
        <v xml:space="preserve"> </v>
      </c>
      <c r="F4211" s="107" t="str">
        <f>IF(LEN(Table1722[[#This Row],[Uraian]])&gt;2,TRIM(RIGHT(SUBSTITUTE(TRIM(C4211)," ",REPT(" ",255)),255))," ")</f>
        <v xml:space="preserve"> </v>
      </c>
      <c r="G4211" s="110">
        <f>COPY!Z4203</f>
        <v>0</v>
      </c>
      <c r="H4211" s="111" t="str">
        <f>IFERROR(VLOOKUP(Table1722[[#This Row],[Bukti]],'Un nOTA'!$A$4:$K$5003,10,FALSE),"")</f>
        <v/>
      </c>
      <c r="I4211" s="123" t="str">
        <f>IFERROR(VLOOKUP(Table1722[[#This Row],[Bukti]],Table13[#Data],11,FALSE),"")</f>
        <v/>
      </c>
    </row>
    <row r="4212" spans="1:9" hidden="1" x14ac:dyDescent="0.2">
      <c r="A4212" s="105" t="str">
        <f>IF(D4212=1,COUNTIF($D$10:D4212,1)," ")</f>
        <v xml:space="preserve"> </v>
      </c>
      <c r="B4212" s="106">
        <f>COPY!AR4204</f>
        <v>0</v>
      </c>
      <c r="C4212" s="107">
        <f>COPY!AC4204</f>
        <v>0</v>
      </c>
      <c r="D4212" s="107" t="str">
        <f>IF(LEN(Table1722[[#This Row],[Uraian]])&gt;2,1," ")</f>
        <v xml:space="preserve"> </v>
      </c>
      <c r="E4212" s="113" t="str">
        <f>IF(Table1722[[#This Row],[Lawan Transaksi]]="CV AGUNG KARYA",COUNTIF($I$10:I4212,"CV AGUNG KARYA")," ")</f>
        <v xml:space="preserve"> </v>
      </c>
      <c r="F4212" s="107" t="str">
        <f>IF(LEN(Table1722[[#This Row],[Uraian]])&gt;2,TRIM(RIGHT(SUBSTITUTE(TRIM(C4212)," ",REPT(" ",255)),255))," ")</f>
        <v xml:space="preserve"> </v>
      </c>
      <c r="G4212" s="110">
        <f>COPY!Z4204</f>
        <v>0</v>
      </c>
      <c r="H4212" s="111" t="str">
        <f>IFERROR(VLOOKUP(Table1722[[#This Row],[Bukti]],'Un nOTA'!$A$4:$K$5003,10,FALSE),"")</f>
        <v/>
      </c>
      <c r="I4212" s="123" t="str">
        <f>IFERROR(VLOOKUP(Table1722[[#This Row],[Bukti]],Table13[#Data],11,FALSE),"")</f>
        <v/>
      </c>
    </row>
    <row r="4213" spans="1:9" hidden="1" x14ac:dyDescent="0.2">
      <c r="A4213" s="105" t="str">
        <f>IF(D4213=1,COUNTIF($D$10:D4213,1)," ")</f>
        <v xml:space="preserve"> </v>
      </c>
      <c r="B4213" s="106">
        <f>COPY!AR4205</f>
        <v>0</v>
      </c>
      <c r="C4213" s="107">
        <f>COPY!AC4205</f>
        <v>0</v>
      </c>
      <c r="D4213" s="107" t="str">
        <f>IF(LEN(Table1722[[#This Row],[Uraian]])&gt;2,1," ")</f>
        <v xml:space="preserve"> </v>
      </c>
      <c r="E4213" s="113" t="str">
        <f>IF(Table1722[[#This Row],[Lawan Transaksi]]="CV AGUNG KARYA",COUNTIF($I$10:I4213,"CV AGUNG KARYA")," ")</f>
        <v xml:space="preserve"> </v>
      </c>
      <c r="F4213" s="107" t="str">
        <f>IF(LEN(Table1722[[#This Row],[Uraian]])&gt;2,TRIM(RIGHT(SUBSTITUTE(TRIM(C4213)," ",REPT(" ",255)),255))," ")</f>
        <v xml:space="preserve"> </v>
      </c>
      <c r="G4213" s="110">
        <f>COPY!Z4205</f>
        <v>0</v>
      </c>
      <c r="H4213" s="111" t="str">
        <f>IFERROR(VLOOKUP(Table1722[[#This Row],[Bukti]],'Un nOTA'!$A$4:$K$5003,10,FALSE),"")</f>
        <v/>
      </c>
      <c r="I4213" s="123" t="str">
        <f>IFERROR(VLOOKUP(Table1722[[#This Row],[Bukti]],Table13[#Data],11,FALSE),"")</f>
        <v/>
      </c>
    </row>
    <row r="4214" spans="1:9" hidden="1" x14ac:dyDescent="0.2">
      <c r="A4214" s="105" t="str">
        <f>IF(D4214=1,COUNTIF($D$10:D4214,1)," ")</f>
        <v xml:space="preserve"> </v>
      </c>
      <c r="B4214" s="106">
        <f>COPY!AR4206</f>
        <v>0</v>
      </c>
      <c r="C4214" s="107">
        <f>COPY!AC4206</f>
        <v>0</v>
      </c>
      <c r="D4214" s="107" t="str">
        <f>IF(LEN(Table1722[[#This Row],[Uraian]])&gt;2,1," ")</f>
        <v xml:space="preserve"> </v>
      </c>
      <c r="E4214" s="113" t="str">
        <f>IF(Table1722[[#This Row],[Lawan Transaksi]]="CV AGUNG KARYA",COUNTIF($I$10:I4214,"CV AGUNG KARYA")," ")</f>
        <v xml:space="preserve"> </v>
      </c>
      <c r="F4214" s="107" t="str">
        <f>IF(LEN(Table1722[[#This Row],[Uraian]])&gt;2,TRIM(RIGHT(SUBSTITUTE(TRIM(C4214)," ",REPT(" ",255)),255))," ")</f>
        <v xml:space="preserve"> </v>
      </c>
      <c r="G4214" s="110">
        <f>COPY!Z4206</f>
        <v>0</v>
      </c>
      <c r="H4214" s="111" t="str">
        <f>IFERROR(VLOOKUP(Table1722[[#This Row],[Bukti]],'Un nOTA'!$A$4:$K$5003,10,FALSE),"")</f>
        <v/>
      </c>
      <c r="I4214" s="123" t="str">
        <f>IFERROR(VLOOKUP(Table1722[[#This Row],[Bukti]],Table13[#Data],11,FALSE),"")</f>
        <v/>
      </c>
    </row>
    <row r="4215" spans="1:9" hidden="1" x14ac:dyDescent="0.2">
      <c r="A4215" s="105" t="str">
        <f>IF(D4215=1,COUNTIF($D$10:D4215,1)," ")</f>
        <v xml:space="preserve"> </v>
      </c>
      <c r="B4215" s="106">
        <f>COPY!AR4207</f>
        <v>0</v>
      </c>
      <c r="C4215" s="107">
        <f>COPY!AC4207</f>
        <v>0</v>
      </c>
      <c r="D4215" s="107" t="str">
        <f>IF(LEN(Table1722[[#This Row],[Uraian]])&gt;2,1," ")</f>
        <v xml:space="preserve"> </v>
      </c>
      <c r="E4215" s="113" t="str">
        <f>IF(Table1722[[#This Row],[Lawan Transaksi]]="CV AGUNG KARYA",COUNTIF($I$10:I4215,"CV AGUNG KARYA")," ")</f>
        <v xml:space="preserve"> </v>
      </c>
      <c r="F4215" s="107" t="str">
        <f>IF(LEN(Table1722[[#This Row],[Uraian]])&gt;2,TRIM(RIGHT(SUBSTITUTE(TRIM(C4215)," ",REPT(" ",255)),255))," ")</f>
        <v xml:space="preserve"> </v>
      </c>
      <c r="G4215" s="110">
        <f>COPY!Z4207</f>
        <v>0</v>
      </c>
      <c r="H4215" s="111" t="str">
        <f>IFERROR(VLOOKUP(Table1722[[#This Row],[Bukti]],'Un nOTA'!$A$4:$K$5003,10,FALSE),"")</f>
        <v/>
      </c>
      <c r="I4215" s="123" t="str">
        <f>IFERROR(VLOOKUP(Table1722[[#This Row],[Bukti]],Table13[#Data],11,FALSE),"")</f>
        <v/>
      </c>
    </row>
    <row r="4216" spans="1:9" hidden="1" x14ac:dyDescent="0.2">
      <c r="A4216" s="105" t="str">
        <f>IF(D4216=1,COUNTIF($D$10:D4216,1)," ")</f>
        <v xml:space="preserve"> </v>
      </c>
      <c r="B4216" s="106">
        <f>COPY!AR4208</f>
        <v>0</v>
      </c>
      <c r="C4216" s="107">
        <f>COPY!AC4208</f>
        <v>0</v>
      </c>
      <c r="D4216" s="107" t="str">
        <f>IF(LEN(Table1722[[#This Row],[Uraian]])&gt;2,1," ")</f>
        <v xml:space="preserve"> </v>
      </c>
      <c r="E4216" s="113" t="str">
        <f>IF(Table1722[[#This Row],[Lawan Transaksi]]="CV AGUNG KARYA",COUNTIF($I$10:I4216,"CV AGUNG KARYA")," ")</f>
        <v xml:space="preserve"> </v>
      </c>
      <c r="F4216" s="107" t="str">
        <f>IF(LEN(Table1722[[#This Row],[Uraian]])&gt;2,TRIM(RIGHT(SUBSTITUTE(TRIM(C4216)," ",REPT(" ",255)),255))," ")</f>
        <v xml:space="preserve"> </v>
      </c>
      <c r="G4216" s="110">
        <f>COPY!Z4208</f>
        <v>0</v>
      </c>
      <c r="H4216" s="111" t="str">
        <f>IFERROR(VLOOKUP(Table1722[[#This Row],[Bukti]],'Un nOTA'!$A$4:$K$5003,10,FALSE),"")</f>
        <v/>
      </c>
      <c r="I4216" s="123" t="str">
        <f>IFERROR(VLOOKUP(Table1722[[#This Row],[Bukti]],Table13[#Data],11,FALSE),"")</f>
        <v/>
      </c>
    </row>
    <row r="4217" spans="1:9" hidden="1" x14ac:dyDescent="0.2">
      <c r="A4217" s="105" t="str">
        <f>IF(D4217=1,COUNTIF($D$10:D4217,1)," ")</f>
        <v xml:space="preserve"> </v>
      </c>
      <c r="B4217" s="106">
        <f>COPY!AR4209</f>
        <v>0</v>
      </c>
      <c r="C4217" s="107">
        <f>COPY!AC4209</f>
        <v>0</v>
      </c>
      <c r="D4217" s="107" t="str">
        <f>IF(LEN(Table1722[[#This Row],[Uraian]])&gt;2,1," ")</f>
        <v xml:space="preserve"> </v>
      </c>
      <c r="E4217" s="113" t="str">
        <f>IF(Table1722[[#This Row],[Lawan Transaksi]]="CV AGUNG KARYA",COUNTIF($I$10:I4217,"CV AGUNG KARYA")," ")</f>
        <v xml:space="preserve"> </v>
      </c>
      <c r="F4217" s="107" t="str">
        <f>IF(LEN(Table1722[[#This Row],[Uraian]])&gt;2,TRIM(RIGHT(SUBSTITUTE(TRIM(C4217)," ",REPT(" ",255)),255))," ")</f>
        <v xml:space="preserve"> </v>
      </c>
      <c r="G4217" s="110">
        <f>COPY!Z4209</f>
        <v>0</v>
      </c>
      <c r="H4217" s="111" t="str">
        <f>IFERROR(VLOOKUP(Table1722[[#This Row],[Bukti]],'Un nOTA'!$A$4:$K$5003,10,FALSE),"")</f>
        <v/>
      </c>
      <c r="I4217" s="123" t="str">
        <f>IFERROR(VLOOKUP(Table1722[[#This Row],[Bukti]],Table13[#Data],11,FALSE),"")</f>
        <v/>
      </c>
    </row>
    <row r="4218" spans="1:9" hidden="1" x14ac:dyDescent="0.2">
      <c r="A4218" s="105" t="str">
        <f>IF(D4218=1,COUNTIF($D$10:D4218,1)," ")</f>
        <v xml:space="preserve"> </v>
      </c>
      <c r="B4218" s="106">
        <f>COPY!AR4210</f>
        <v>0</v>
      </c>
      <c r="C4218" s="107">
        <f>COPY!AC4210</f>
        <v>0</v>
      </c>
      <c r="D4218" s="107" t="str">
        <f>IF(LEN(Table1722[[#This Row],[Uraian]])&gt;2,1," ")</f>
        <v xml:space="preserve"> </v>
      </c>
      <c r="E4218" s="113" t="str">
        <f>IF(Table1722[[#This Row],[Lawan Transaksi]]="CV AGUNG KARYA",COUNTIF($I$10:I4218,"CV AGUNG KARYA")," ")</f>
        <v xml:space="preserve"> </v>
      </c>
      <c r="F4218" s="107" t="str">
        <f>IF(LEN(Table1722[[#This Row],[Uraian]])&gt;2,TRIM(RIGHT(SUBSTITUTE(TRIM(C4218)," ",REPT(" ",255)),255))," ")</f>
        <v xml:space="preserve"> </v>
      </c>
      <c r="G4218" s="110">
        <f>COPY!Z4210</f>
        <v>0</v>
      </c>
      <c r="H4218" s="111" t="str">
        <f>IFERROR(VLOOKUP(Table1722[[#This Row],[Bukti]],'Un nOTA'!$A$4:$K$5003,10,FALSE),"")</f>
        <v/>
      </c>
      <c r="I4218" s="123" t="str">
        <f>IFERROR(VLOOKUP(Table1722[[#This Row],[Bukti]],Table13[#Data],11,FALSE),"")</f>
        <v/>
      </c>
    </row>
    <row r="4219" spans="1:9" hidden="1" x14ac:dyDescent="0.2">
      <c r="A4219" s="105" t="str">
        <f>IF(D4219=1,COUNTIF($D$10:D4219,1)," ")</f>
        <v xml:space="preserve"> </v>
      </c>
      <c r="B4219" s="106">
        <f>COPY!AR4211</f>
        <v>0</v>
      </c>
      <c r="C4219" s="107">
        <f>COPY!AC4211</f>
        <v>0</v>
      </c>
      <c r="D4219" s="107" t="str">
        <f>IF(LEN(Table1722[[#This Row],[Uraian]])&gt;2,1," ")</f>
        <v xml:space="preserve"> </v>
      </c>
      <c r="E4219" s="113" t="str">
        <f>IF(Table1722[[#This Row],[Lawan Transaksi]]="CV AGUNG KARYA",COUNTIF($I$10:I4219,"CV AGUNG KARYA")," ")</f>
        <v xml:space="preserve"> </v>
      </c>
      <c r="F4219" s="107" t="str">
        <f>IF(LEN(Table1722[[#This Row],[Uraian]])&gt;2,TRIM(RIGHT(SUBSTITUTE(TRIM(C4219)," ",REPT(" ",255)),255))," ")</f>
        <v xml:space="preserve"> </v>
      </c>
      <c r="G4219" s="110">
        <f>COPY!Z4211</f>
        <v>0</v>
      </c>
      <c r="H4219" s="111" t="str">
        <f>IFERROR(VLOOKUP(Table1722[[#This Row],[Bukti]],'Un nOTA'!$A$4:$K$5003,10,FALSE),"")</f>
        <v/>
      </c>
      <c r="I4219" s="123" t="str">
        <f>IFERROR(VLOOKUP(Table1722[[#This Row],[Bukti]],Table13[#Data],11,FALSE),"")</f>
        <v/>
      </c>
    </row>
    <row r="4220" spans="1:9" hidden="1" x14ac:dyDescent="0.2">
      <c r="A4220" s="105" t="str">
        <f>IF(D4220=1,COUNTIF($D$10:D4220,1)," ")</f>
        <v xml:space="preserve"> </v>
      </c>
      <c r="B4220" s="106">
        <f>COPY!AR4212</f>
        <v>0</v>
      </c>
      <c r="C4220" s="107">
        <f>COPY!AC4212</f>
        <v>0</v>
      </c>
      <c r="D4220" s="107" t="str">
        <f>IF(LEN(Table1722[[#This Row],[Uraian]])&gt;2,1," ")</f>
        <v xml:space="preserve"> </v>
      </c>
      <c r="E4220" s="113" t="str">
        <f>IF(Table1722[[#This Row],[Lawan Transaksi]]="CV AGUNG KARYA",COUNTIF($I$10:I4220,"CV AGUNG KARYA")," ")</f>
        <v xml:space="preserve"> </v>
      </c>
      <c r="F4220" s="107" t="str">
        <f>IF(LEN(Table1722[[#This Row],[Uraian]])&gt;2,TRIM(RIGHT(SUBSTITUTE(TRIM(C4220)," ",REPT(" ",255)),255))," ")</f>
        <v xml:space="preserve"> </v>
      </c>
      <c r="G4220" s="110">
        <f>COPY!Z4212</f>
        <v>0</v>
      </c>
      <c r="H4220" s="111" t="str">
        <f>IFERROR(VLOOKUP(Table1722[[#This Row],[Bukti]],'Un nOTA'!$A$4:$K$5003,10,FALSE),"")</f>
        <v/>
      </c>
      <c r="I4220" s="123" t="str">
        <f>IFERROR(VLOOKUP(Table1722[[#This Row],[Bukti]],Table13[#Data],11,FALSE),"")</f>
        <v/>
      </c>
    </row>
    <row r="4221" spans="1:9" hidden="1" x14ac:dyDescent="0.2">
      <c r="A4221" s="105" t="str">
        <f>IF(D4221=1,COUNTIF($D$10:D4221,1)," ")</f>
        <v xml:space="preserve"> </v>
      </c>
      <c r="B4221" s="106">
        <f>COPY!AR4213</f>
        <v>0</v>
      </c>
      <c r="C4221" s="107">
        <f>COPY!AC4213</f>
        <v>0</v>
      </c>
      <c r="D4221" s="107" t="str">
        <f>IF(LEN(Table1722[[#This Row],[Uraian]])&gt;2,1," ")</f>
        <v xml:space="preserve"> </v>
      </c>
      <c r="E4221" s="113" t="str">
        <f>IF(Table1722[[#This Row],[Lawan Transaksi]]="CV AGUNG KARYA",COUNTIF($I$10:I4221,"CV AGUNG KARYA")," ")</f>
        <v xml:space="preserve"> </v>
      </c>
      <c r="F4221" s="107" t="str">
        <f>IF(LEN(Table1722[[#This Row],[Uraian]])&gt;2,TRIM(RIGHT(SUBSTITUTE(TRIM(C4221)," ",REPT(" ",255)),255))," ")</f>
        <v xml:space="preserve"> </v>
      </c>
      <c r="G4221" s="110">
        <f>COPY!Z4213</f>
        <v>0</v>
      </c>
      <c r="H4221" s="111" t="str">
        <f>IFERROR(VLOOKUP(Table1722[[#This Row],[Bukti]],'Un nOTA'!$A$4:$K$5003,10,FALSE),"")</f>
        <v/>
      </c>
      <c r="I4221" s="123" t="str">
        <f>IFERROR(VLOOKUP(Table1722[[#This Row],[Bukti]],Table13[#Data],11,FALSE),"")</f>
        <v/>
      </c>
    </row>
    <row r="4222" spans="1:9" hidden="1" x14ac:dyDescent="0.2">
      <c r="A4222" s="105" t="str">
        <f>IF(D4222=1,COUNTIF($D$10:D4222,1)," ")</f>
        <v xml:space="preserve"> </v>
      </c>
      <c r="B4222" s="106">
        <f>COPY!AR4214</f>
        <v>0</v>
      </c>
      <c r="C4222" s="107">
        <f>COPY!AC4214</f>
        <v>0</v>
      </c>
      <c r="D4222" s="107" t="str">
        <f>IF(LEN(Table1722[[#This Row],[Uraian]])&gt;2,1," ")</f>
        <v xml:space="preserve"> </v>
      </c>
      <c r="E4222" s="113" t="str">
        <f>IF(Table1722[[#This Row],[Lawan Transaksi]]="CV AGUNG KARYA",COUNTIF($I$10:I4222,"CV AGUNG KARYA")," ")</f>
        <v xml:space="preserve"> </v>
      </c>
      <c r="F4222" s="107" t="str">
        <f>IF(LEN(Table1722[[#This Row],[Uraian]])&gt;2,TRIM(RIGHT(SUBSTITUTE(TRIM(C4222)," ",REPT(" ",255)),255))," ")</f>
        <v xml:space="preserve"> </v>
      </c>
      <c r="G4222" s="110">
        <f>COPY!Z4214</f>
        <v>0</v>
      </c>
      <c r="H4222" s="111" t="str">
        <f>IFERROR(VLOOKUP(Table1722[[#This Row],[Bukti]],'Un nOTA'!$A$4:$K$5003,10,FALSE),"")</f>
        <v/>
      </c>
      <c r="I4222" s="123" t="str">
        <f>IFERROR(VLOOKUP(Table1722[[#This Row],[Bukti]],Table13[#Data],11,FALSE),"")</f>
        <v/>
      </c>
    </row>
    <row r="4223" spans="1:9" hidden="1" x14ac:dyDescent="0.2">
      <c r="A4223" s="105" t="str">
        <f>IF(D4223=1,COUNTIF($D$10:D4223,1)," ")</f>
        <v xml:space="preserve"> </v>
      </c>
      <c r="B4223" s="106">
        <f>COPY!AR4215</f>
        <v>0</v>
      </c>
      <c r="C4223" s="107">
        <f>COPY!AC4215</f>
        <v>0</v>
      </c>
      <c r="D4223" s="107" t="str">
        <f>IF(LEN(Table1722[[#This Row],[Uraian]])&gt;2,1," ")</f>
        <v xml:space="preserve"> </v>
      </c>
      <c r="E4223" s="113" t="str">
        <f>IF(Table1722[[#This Row],[Lawan Transaksi]]="CV AGUNG KARYA",COUNTIF($I$10:I4223,"CV AGUNG KARYA")," ")</f>
        <v xml:space="preserve"> </v>
      </c>
      <c r="F4223" s="107" t="str">
        <f>IF(LEN(Table1722[[#This Row],[Uraian]])&gt;2,TRIM(RIGHT(SUBSTITUTE(TRIM(C4223)," ",REPT(" ",255)),255))," ")</f>
        <v xml:space="preserve"> </v>
      </c>
      <c r="G4223" s="110">
        <f>COPY!Z4215</f>
        <v>0</v>
      </c>
      <c r="H4223" s="111" t="str">
        <f>IFERROR(VLOOKUP(Table1722[[#This Row],[Bukti]],'Un nOTA'!$A$4:$K$5003,10,FALSE),"")</f>
        <v/>
      </c>
      <c r="I4223" s="123" t="str">
        <f>IFERROR(VLOOKUP(Table1722[[#This Row],[Bukti]],Table13[#Data],11,FALSE),"")</f>
        <v/>
      </c>
    </row>
    <row r="4224" spans="1:9" hidden="1" x14ac:dyDescent="0.2">
      <c r="A4224" s="105" t="str">
        <f>IF(D4224=1,COUNTIF($D$10:D4224,1)," ")</f>
        <v xml:space="preserve"> </v>
      </c>
      <c r="B4224" s="106">
        <f>COPY!AR4216</f>
        <v>0</v>
      </c>
      <c r="C4224" s="107">
        <f>COPY!AC4216</f>
        <v>0</v>
      </c>
      <c r="D4224" s="107" t="str">
        <f>IF(LEN(Table1722[[#This Row],[Uraian]])&gt;2,1," ")</f>
        <v xml:space="preserve"> </v>
      </c>
      <c r="E4224" s="113" t="str">
        <f>IF(Table1722[[#This Row],[Lawan Transaksi]]="CV AGUNG KARYA",COUNTIF($I$10:I4224,"CV AGUNG KARYA")," ")</f>
        <v xml:space="preserve"> </v>
      </c>
      <c r="F4224" s="107" t="str">
        <f>IF(LEN(Table1722[[#This Row],[Uraian]])&gt;2,TRIM(RIGHT(SUBSTITUTE(TRIM(C4224)," ",REPT(" ",255)),255))," ")</f>
        <v xml:space="preserve"> </v>
      </c>
      <c r="G4224" s="110">
        <f>COPY!Z4216</f>
        <v>0</v>
      </c>
      <c r="H4224" s="111" t="str">
        <f>IFERROR(VLOOKUP(Table1722[[#This Row],[Bukti]],'Un nOTA'!$A$4:$K$5003,10,FALSE),"")</f>
        <v/>
      </c>
      <c r="I4224" s="123" t="str">
        <f>IFERROR(VLOOKUP(Table1722[[#This Row],[Bukti]],Table13[#Data],11,FALSE),"")</f>
        <v/>
      </c>
    </row>
    <row r="4225" spans="1:9" hidden="1" x14ac:dyDescent="0.2">
      <c r="A4225" s="105" t="str">
        <f>IF(D4225=1,COUNTIF($D$10:D4225,1)," ")</f>
        <v xml:space="preserve"> </v>
      </c>
      <c r="B4225" s="106">
        <f>COPY!AR4217</f>
        <v>0</v>
      </c>
      <c r="C4225" s="107">
        <f>COPY!AC4217</f>
        <v>0</v>
      </c>
      <c r="D4225" s="107" t="str">
        <f>IF(LEN(Table1722[[#This Row],[Uraian]])&gt;2,1," ")</f>
        <v xml:space="preserve"> </v>
      </c>
      <c r="E4225" s="113" t="str">
        <f>IF(Table1722[[#This Row],[Lawan Transaksi]]="CV AGUNG KARYA",COUNTIF($I$10:I4225,"CV AGUNG KARYA")," ")</f>
        <v xml:space="preserve"> </v>
      </c>
      <c r="F4225" s="107" t="str">
        <f>IF(LEN(Table1722[[#This Row],[Uraian]])&gt;2,TRIM(RIGHT(SUBSTITUTE(TRIM(C4225)," ",REPT(" ",255)),255))," ")</f>
        <v xml:space="preserve"> </v>
      </c>
      <c r="G4225" s="110">
        <f>COPY!Z4217</f>
        <v>0</v>
      </c>
      <c r="H4225" s="111" t="str">
        <f>IFERROR(VLOOKUP(Table1722[[#This Row],[Bukti]],'Un nOTA'!$A$4:$K$5003,10,FALSE),"")</f>
        <v/>
      </c>
      <c r="I4225" s="123" t="str">
        <f>IFERROR(VLOOKUP(Table1722[[#This Row],[Bukti]],Table13[#Data],11,FALSE),"")</f>
        <v/>
      </c>
    </row>
    <row r="4226" spans="1:9" hidden="1" x14ac:dyDescent="0.2">
      <c r="A4226" s="105" t="str">
        <f>IF(D4226=1,COUNTIF($D$10:D4226,1)," ")</f>
        <v xml:space="preserve"> </v>
      </c>
      <c r="B4226" s="106">
        <f>COPY!AR4218</f>
        <v>0</v>
      </c>
      <c r="C4226" s="107">
        <f>COPY!AC4218</f>
        <v>0</v>
      </c>
      <c r="D4226" s="107" t="str">
        <f>IF(LEN(Table1722[[#This Row],[Uraian]])&gt;2,1," ")</f>
        <v xml:space="preserve"> </v>
      </c>
      <c r="E4226" s="113" t="str">
        <f>IF(Table1722[[#This Row],[Lawan Transaksi]]="CV AGUNG KARYA",COUNTIF($I$10:I4226,"CV AGUNG KARYA")," ")</f>
        <v xml:space="preserve"> </v>
      </c>
      <c r="F4226" s="107" t="str">
        <f>IF(LEN(Table1722[[#This Row],[Uraian]])&gt;2,TRIM(RIGHT(SUBSTITUTE(TRIM(C4226)," ",REPT(" ",255)),255))," ")</f>
        <v xml:space="preserve"> </v>
      </c>
      <c r="G4226" s="110">
        <f>COPY!Z4218</f>
        <v>0</v>
      </c>
      <c r="H4226" s="111" t="str">
        <f>IFERROR(VLOOKUP(Table1722[[#This Row],[Bukti]],'Un nOTA'!$A$4:$K$5003,10,FALSE),"")</f>
        <v/>
      </c>
      <c r="I4226" s="123" t="str">
        <f>IFERROR(VLOOKUP(Table1722[[#This Row],[Bukti]],Table13[#Data],11,FALSE),"")</f>
        <v/>
      </c>
    </row>
    <row r="4227" spans="1:9" hidden="1" x14ac:dyDescent="0.2">
      <c r="A4227" s="105" t="str">
        <f>IF(D4227=1,COUNTIF($D$10:D4227,1)," ")</f>
        <v xml:space="preserve"> </v>
      </c>
      <c r="B4227" s="106">
        <f>COPY!AR4219</f>
        <v>0</v>
      </c>
      <c r="C4227" s="107">
        <f>COPY!AC4219</f>
        <v>0</v>
      </c>
      <c r="D4227" s="107" t="str">
        <f>IF(LEN(Table1722[[#This Row],[Uraian]])&gt;2,1," ")</f>
        <v xml:space="preserve"> </v>
      </c>
      <c r="E4227" s="113" t="str">
        <f>IF(Table1722[[#This Row],[Lawan Transaksi]]="CV AGUNG KARYA",COUNTIF($I$10:I4227,"CV AGUNG KARYA")," ")</f>
        <v xml:space="preserve"> </v>
      </c>
      <c r="F4227" s="107" t="str">
        <f>IF(LEN(Table1722[[#This Row],[Uraian]])&gt;2,TRIM(RIGHT(SUBSTITUTE(TRIM(C4227)," ",REPT(" ",255)),255))," ")</f>
        <v xml:space="preserve"> </v>
      </c>
      <c r="G4227" s="110">
        <f>COPY!Z4219</f>
        <v>0</v>
      </c>
      <c r="H4227" s="111" t="str">
        <f>IFERROR(VLOOKUP(Table1722[[#This Row],[Bukti]],'Un nOTA'!$A$4:$K$5003,10,FALSE),"")</f>
        <v/>
      </c>
      <c r="I4227" s="123" t="str">
        <f>IFERROR(VLOOKUP(Table1722[[#This Row],[Bukti]],Table13[#Data],11,FALSE),"")</f>
        <v/>
      </c>
    </row>
    <row r="4228" spans="1:9" hidden="1" x14ac:dyDescent="0.2">
      <c r="A4228" s="105" t="str">
        <f>IF(D4228=1,COUNTIF($D$10:D4228,1)," ")</f>
        <v xml:space="preserve"> </v>
      </c>
      <c r="B4228" s="106">
        <f>COPY!AR4220</f>
        <v>0</v>
      </c>
      <c r="C4228" s="107">
        <f>COPY!AC4220</f>
        <v>0</v>
      </c>
      <c r="D4228" s="107" t="str">
        <f>IF(LEN(Table1722[[#This Row],[Uraian]])&gt;2,1," ")</f>
        <v xml:space="preserve"> </v>
      </c>
      <c r="E4228" s="113" t="str">
        <f>IF(Table1722[[#This Row],[Lawan Transaksi]]="CV AGUNG KARYA",COUNTIF($I$10:I4228,"CV AGUNG KARYA")," ")</f>
        <v xml:space="preserve"> </v>
      </c>
      <c r="F4228" s="107" t="str">
        <f>IF(LEN(Table1722[[#This Row],[Uraian]])&gt;2,TRIM(RIGHT(SUBSTITUTE(TRIM(C4228)," ",REPT(" ",255)),255))," ")</f>
        <v xml:space="preserve"> </v>
      </c>
      <c r="G4228" s="110">
        <f>COPY!Z4220</f>
        <v>0</v>
      </c>
      <c r="H4228" s="111" t="str">
        <f>IFERROR(VLOOKUP(Table1722[[#This Row],[Bukti]],'Un nOTA'!$A$4:$K$5003,10,FALSE),"")</f>
        <v/>
      </c>
      <c r="I4228" s="123" t="str">
        <f>IFERROR(VLOOKUP(Table1722[[#This Row],[Bukti]],Table13[#Data],11,FALSE),"")</f>
        <v/>
      </c>
    </row>
    <row r="4229" spans="1:9" hidden="1" x14ac:dyDescent="0.2">
      <c r="A4229" s="105" t="str">
        <f>IF(D4229=1,COUNTIF($D$10:D4229,1)," ")</f>
        <v xml:space="preserve"> </v>
      </c>
      <c r="B4229" s="106">
        <f>COPY!AR4221</f>
        <v>0</v>
      </c>
      <c r="C4229" s="107">
        <f>COPY!AC4221</f>
        <v>0</v>
      </c>
      <c r="D4229" s="107" t="str">
        <f>IF(LEN(Table1722[[#This Row],[Uraian]])&gt;2,1," ")</f>
        <v xml:space="preserve"> </v>
      </c>
      <c r="E4229" s="113" t="str">
        <f>IF(Table1722[[#This Row],[Lawan Transaksi]]="CV AGUNG KARYA",COUNTIF($I$10:I4229,"CV AGUNG KARYA")," ")</f>
        <v xml:space="preserve"> </v>
      </c>
      <c r="F4229" s="107" t="str">
        <f>IF(LEN(Table1722[[#This Row],[Uraian]])&gt;2,TRIM(RIGHT(SUBSTITUTE(TRIM(C4229)," ",REPT(" ",255)),255))," ")</f>
        <v xml:space="preserve"> </v>
      </c>
      <c r="G4229" s="110">
        <f>COPY!Z4221</f>
        <v>0</v>
      </c>
      <c r="H4229" s="111" t="str">
        <f>IFERROR(VLOOKUP(Table1722[[#This Row],[Bukti]],'Un nOTA'!$A$4:$K$5003,10,FALSE),"")</f>
        <v/>
      </c>
      <c r="I4229" s="123" t="str">
        <f>IFERROR(VLOOKUP(Table1722[[#This Row],[Bukti]],Table13[#Data],11,FALSE),"")</f>
        <v/>
      </c>
    </row>
    <row r="4230" spans="1:9" hidden="1" x14ac:dyDescent="0.2">
      <c r="A4230" s="105" t="str">
        <f>IF(D4230=1,COUNTIF($D$10:D4230,1)," ")</f>
        <v xml:space="preserve"> </v>
      </c>
      <c r="B4230" s="106">
        <f>COPY!AR4222</f>
        <v>0</v>
      </c>
      <c r="C4230" s="107">
        <f>COPY!AC4222</f>
        <v>0</v>
      </c>
      <c r="D4230" s="107" t="str">
        <f>IF(LEN(Table1722[[#This Row],[Uraian]])&gt;2,1," ")</f>
        <v xml:space="preserve"> </v>
      </c>
      <c r="E4230" s="113" t="str">
        <f>IF(Table1722[[#This Row],[Lawan Transaksi]]="CV AGUNG KARYA",COUNTIF($I$10:I4230,"CV AGUNG KARYA")," ")</f>
        <v xml:space="preserve"> </v>
      </c>
      <c r="F4230" s="107" t="str">
        <f>IF(LEN(Table1722[[#This Row],[Uraian]])&gt;2,TRIM(RIGHT(SUBSTITUTE(TRIM(C4230)," ",REPT(" ",255)),255))," ")</f>
        <v xml:space="preserve"> </v>
      </c>
      <c r="G4230" s="110">
        <f>COPY!Z4222</f>
        <v>0</v>
      </c>
      <c r="H4230" s="111" t="str">
        <f>IFERROR(VLOOKUP(Table1722[[#This Row],[Bukti]],'Un nOTA'!$A$4:$K$5003,10,FALSE),"")</f>
        <v/>
      </c>
      <c r="I4230" s="123" t="str">
        <f>IFERROR(VLOOKUP(Table1722[[#This Row],[Bukti]],Table13[#Data],11,FALSE),"")</f>
        <v/>
      </c>
    </row>
    <row r="4231" spans="1:9" hidden="1" x14ac:dyDescent="0.2">
      <c r="A4231" s="105" t="str">
        <f>IF(D4231=1,COUNTIF($D$10:D4231,1)," ")</f>
        <v xml:space="preserve"> </v>
      </c>
      <c r="B4231" s="106">
        <f>COPY!AR4223</f>
        <v>0</v>
      </c>
      <c r="C4231" s="107">
        <f>COPY!AC4223</f>
        <v>0</v>
      </c>
      <c r="D4231" s="107" t="str">
        <f>IF(LEN(Table1722[[#This Row],[Uraian]])&gt;2,1," ")</f>
        <v xml:space="preserve"> </v>
      </c>
      <c r="E4231" s="113" t="str">
        <f>IF(Table1722[[#This Row],[Lawan Transaksi]]="CV AGUNG KARYA",COUNTIF($I$10:I4231,"CV AGUNG KARYA")," ")</f>
        <v xml:space="preserve"> </v>
      </c>
      <c r="F4231" s="107" t="str">
        <f>IF(LEN(Table1722[[#This Row],[Uraian]])&gt;2,TRIM(RIGHT(SUBSTITUTE(TRIM(C4231)," ",REPT(" ",255)),255))," ")</f>
        <v xml:space="preserve"> </v>
      </c>
      <c r="G4231" s="110">
        <f>COPY!Z4223</f>
        <v>0</v>
      </c>
      <c r="H4231" s="111" t="str">
        <f>IFERROR(VLOOKUP(Table1722[[#This Row],[Bukti]],'Un nOTA'!$A$4:$K$5003,10,FALSE),"")</f>
        <v/>
      </c>
      <c r="I4231" s="123" t="str">
        <f>IFERROR(VLOOKUP(Table1722[[#This Row],[Bukti]],Table13[#Data],11,FALSE),"")</f>
        <v/>
      </c>
    </row>
    <row r="4232" spans="1:9" hidden="1" x14ac:dyDescent="0.2">
      <c r="A4232" s="105" t="str">
        <f>IF(D4232=1,COUNTIF($D$10:D4232,1)," ")</f>
        <v xml:space="preserve"> </v>
      </c>
      <c r="B4232" s="106">
        <f>COPY!AR4224</f>
        <v>0</v>
      </c>
      <c r="C4232" s="107">
        <f>COPY!AC4224</f>
        <v>0</v>
      </c>
      <c r="D4232" s="107" t="str">
        <f>IF(LEN(Table1722[[#This Row],[Uraian]])&gt;2,1," ")</f>
        <v xml:space="preserve"> </v>
      </c>
      <c r="E4232" s="113" t="str">
        <f>IF(Table1722[[#This Row],[Lawan Transaksi]]="CV AGUNG KARYA",COUNTIF($I$10:I4232,"CV AGUNG KARYA")," ")</f>
        <v xml:space="preserve"> </v>
      </c>
      <c r="F4232" s="107" t="str">
        <f>IF(LEN(Table1722[[#This Row],[Uraian]])&gt;2,TRIM(RIGHT(SUBSTITUTE(TRIM(C4232)," ",REPT(" ",255)),255))," ")</f>
        <v xml:space="preserve"> </v>
      </c>
      <c r="G4232" s="110">
        <f>COPY!Z4224</f>
        <v>0</v>
      </c>
      <c r="H4232" s="111" t="str">
        <f>IFERROR(VLOOKUP(Table1722[[#This Row],[Bukti]],'Un nOTA'!$A$4:$K$5003,10,FALSE),"")</f>
        <v/>
      </c>
      <c r="I4232" s="123" t="str">
        <f>IFERROR(VLOOKUP(Table1722[[#This Row],[Bukti]],Table13[#Data],11,FALSE),"")</f>
        <v/>
      </c>
    </row>
    <row r="4233" spans="1:9" hidden="1" x14ac:dyDescent="0.2">
      <c r="A4233" s="105" t="str">
        <f>IF(D4233=1,COUNTIF($D$10:D4233,1)," ")</f>
        <v xml:space="preserve"> </v>
      </c>
      <c r="B4233" s="106">
        <f>COPY!AR4225</f>
        <v>0</v>
      </c>
      <c r="C4233" s="107">
        <f>COPY!AC4225</f>
        <v>0</v>
      </c>
      <c r="D4233" s="107" t="str">
        <f>IF(LEN(Table1722[[#This Row],[Uraian]])&gt;2,1," ")</f>
        <v xml:space="preserve"> </v>
      </c>
      <c r="E4233" s="113" t="str">
        <f>IF(Table1722[[#This Row],[Lawan Transaksi]]="CV AGUNG KARYA",COUNTIF($I$10:I4233,"CV AGUNG KARYA")," ")</f>
        <v xml:space="preserve"> </v>
      </c>
      <c r="F4233" s="107" t="str">
        <f>IF(LEN(Table1722[[#This Row],[Uraian]])&gt;2,TRIM(RIGHT(SUBSTITUTE(TRIM(C4233)," ",REPT(" ",255)),255))," ")</f>
        <v xml:space="preserve"> </v>
      </c>
      <c r="G4233" s="110">
        <f>COPY!Z4225</f>
        <v>0</v>
      </c>
      <c r="H4233" s="111" t="str">
        <f>IFERROR(VLOOKUP(Table1722[[#This Row],[Bukti]],'Un nOTA'!$A$4:$K$5003,10,FALSE),"")</f>
        <v/>
      </c>
      <c r="I4233" s="123" t="str">
        <f>IFERROR(VLOOKUP(Table1722[[#This Row],[Bukti]],Table13[#Data],11,FALSE),"")</f>
        <v/>
      </c>
    </row>
    <row r="4234" spans="1:9" hidden="1" x14ac:dyDescent="0.2">
      <c r="A4234" s="105" t="str">
        <f>IF(D4234=1,COUNTIF($D$10:D4234,1)," ")</f>
        <v xml:space="preserve"> </v>
      </c>
      <c r="B4234" s="106">
        <f>COPY!AR4226</f>
        <v>0</v>
      </c>
      <c r="C4234" s="107">
        <f>COPY!AC4226</f>
        <v>0</v>
      </c>
      <c r="D4234" s="107" t="str">
        <f>IF(LEN(Table1722[[#This Row],[Uraian]])&gt;2,1," ")</f>
        <v xml:space="preserve"> </v>
      </c>
      <c r="E4234" s="113" t="str">
        <f>IF(Table1722[[#This Row],[Lawan Transaksi]]="CV AGUNG KARYA",COUNTIF($I$10:I4234,"CV AGUNG KARYA")," ")</f>
        <v xml:space="preserve"> </v>
      </c>
      <c r="F4234" s="107" t="str">
        <f>IF(LEN(Table1722[[#This Row],[Uraian]])&gt;2,TRIM(RIGHT(SUBSTITUTE(TRIM(C4234)," ",REPT(" ",255)),255))," ")</f>
        <v xml:space="preserve"> </v>
      </c>
      <c r="G4234" s="110">
        <f>COPY!Z4226</f>
        <v>0</v>
      </c>
      <c r="H4234" s="111" t="str">
        <f>IFERROR(VLOOKUP(Table1722[[#This Row],[Bukti]],'Un nOTA'!$A$4:$K$5003,10,FALSE),"")</f>
        <v/>
      </c>
      <c r="I4234" s="123" t="str">
        <f>IFERROR(VLOOKUP(Table1722[[#This Row],[Bukti]],Table13[#Data],11,FALSE),"")</f>
        <v/>
      </c>
    </row>
    <row r="4235" spans="1:9" hidden="1" x14ac:dyDescent="0.2">
      <c r="A4235" s="105" t="str">
        <f>IF(D4235=1,COUNTIF($D$10:D4235,1)," ")</f>
        <v xml:space="preserve"> </v>
      </c>
      <c r="B4235" s="106">
        <f>COPY!AR4227</f>
        <v>0</v>
      </c>
      <c r="C4235" s="107">
        <f>COPY!AC4227</f>
        <v>0</v>
      </c>
      <c r="D4235" s="107" t="str">
        <f>IF(LEN(Table1722[[#This Row],[Uraian]])&gt;2,1," ")</f>
        <v xml:space="preserve"> </v>
      </c>
      <c r="E4235" s="113" t="str">
        <f>IF(Table1722[[#This Row],[Lawan Transaksi]]="CV AGUNG KARYA",COUNTIF($I$10:I4235,"CV AGUNG KARYA")," ")</f>
        <v xml:space="preserve"> </v>
      </c>
      <c r="F4235" s="107" t="str">
        <f>IF(LEN(Table1722[[#This Row],[Uraian]])&gt;2,TRIM(RIGHT(SUBSTITUTE(TRIM(C4235)," ",REPT(" ",255)),255))," ")</f>
        <v xml:space="preserve"> </v>
      </c>
      <c r="G4235" s="110">
        <f>COPY!Z4227</f>
        <v>0</v>
      </c>
      <c r="H4235" s="111" t="str">
        <f>IFERROR(VLOOKUP(Table1722[[#This Row],[Bukti]],'Un nOTA'!$A$4:$K$5003,10,FALSE),"")</f>
        <v/>
      </c>
      <c r="I4235" s="123" t="str">
        <f>IFERROR(VLOOKUP(Table1722[[#This Row],[Bukti]],Table13[#Data],11,FALSE),"")</f>
        <v/>
      </c>
    </row>
    <row r="4236" spans="1:9" hidden="1" x14ac:dyDescent="0.2">
      <c r="A4236" s="105" t="str">
        <f>IF(D4236=1,COUNTIF($D$10:D4236,1)," ")</f>
        <v xml:space="preserve"> </v>
      </c>
      <c r="B4236" s="106">
        <f>COPY!AR4228</f>
        <v>0</v>
      </c>
      <c r="C4236" s="107">
        <f>COPY!AC4228</f>
        <v>0</v>
      </c>
      <c r="D4236" s="107" t="str">
        <f>IF(LEN(Table1722[[#This Row],[Uraian]])&gt;2,1," ")</f>
        <v xml:space="preserve"> </v>
      </c>
      <c r="E4236" s="113" t="str">
        <f>IF(Table1722[[#This Row],[Lawan Transaksi]]="CV AGUNG KARYA",COUNTIF($I$10:I4236,"CV AGUNG KARYA")," ")</f>
        <v xml:space="preserve"> </v>
      </c>
      <c r="F4236" s="107" t="str">
        <f>IF(LEN(Table1722[[#This Row],[Uraian]])&gt;2,TRIM(RIGHT(SUBSTITUTE(TRIM(C4236)," ",REPT(" ",255)),255))," ")</f>
        <v xml:space="preserve"> </v>
      </c>
      <c r="G4236" s="110">
        <f>COPY!Z4228</f>
        <v>0</v>
      </c>
      <c r="H4236" s="111" t="str">
        <f>IFERROR(VLOOKUP(Table1722[[#This Row],[Bukti]],'Un nOTA'!$A$4:$K$5003,10,FALSE),"")</f>
        <v/>
      </c>
      <c r="I4236" s="123" t="str">
        <f>IFERROR(VLOOKUP(Table1722[[#This Row],[Bukti]],Table13[#Data],11,FALSE),"")</f>
        <v/>
      </c>
    </row>
    <row r="4237" spans="1:9" hidden="1" x14ac:dyDescent="0.2">
      <c r="A4237" s="105" t="str">
        <f>IF(D4237=1,COUNTIF($D$10:D4237,1)," ")</f>
        <v xml:space="preserve"> </v>
      </c>
      <c r="B4237" s="106">
        <f>COPY!AR4229</f>
        <v>0</v>
      </c>
      <c r="C4237" s="107">
        <f>COPY!AC4229</f>
        <v>0</v>
      </c>
      <c r="D4237" s="107" t="str">
        <f>IF(LEN(Table1722[[#This Row],[Uraian]])&gt;2,1," ")</f>
        <v xml:space="preserve"> </v>
      </c>
      <c r="E4237" s="113" t="str">
        <f>IF(Table1722[[#This Row],[Lawan Transaksi]]="CV AGUNG KARYA",COUNTIF($I$10:I4237,"CV AGUNG KARYA")," ")</f>
        <v xml:space="preserve"> </v>
      </c>
      <c r="F4237" s="107" t="str">
        <f>IF(LEN(Table1722[[#This Row],[Uraian]])&gt;2,TRIM(RIGHT(SUBSTITUTE(TRIM(C4237)," ",REPT(" ",255)),255))," ")</f>
        <v xml:space="preserve"> </v>
      </c>
      <c r="G4237" s="110">
        <f>COPY!Z4229</f>
        <v>0</v>
      </c>
      <c r="H4237" s="111" t="str">
        <f>IFERROR(VLOOKUP(Table1722[[#This Row],[Bukti]],'Un nOTA'!$A$4:$K$5003,10,FALSE),"")</f>
        <v/>
      </c>
      <c r="I4237" s="123" t="str">
        <f>IFERROR(VLOOKUP(Table1722[[#This Row],[Bukti]],Table13[#Data],11,FALSE),"")</f>
        <v/>
      </c>
    </row>
    <row r="4238" spans="1:9" hidden="1" x14ac:dyDescent="0.2">
      <c r="A4238" s="105" t="str">
        <f>IF(D4238=1,COUNTIF($D$10:D4238,1)," ")</f>
        <v xml:space="preserve"> </v>
      </c>
      <c r="B4238" s="106">
        <f>COPY!AR4230</f>
        <v>0</v>
      </c>
      <c r="C4238" s="107">
        <f>COPY!AC4230</f>
        <v>0</v>
      </c>
      <c r="D4238" s="107" t="str">
        <f>IF(LEN(Table1722[[#This Row],[Uraian]])&gt;2,1," ")</f>
        <v xml:space="preserve"> </v>
      </c>
      <c r="E4238" s="113" t="str">
        <f>IF(Table1722[[#This Row],[Lawan Transaksi]]="CV AGUNG KARYA",COUNTIF($I$10:I4238,"CV AGUNG KARYA")," ")</f>
        <v xml:space="preserve"> </v>
      </c>
      <c r="F4238" s="107" t="str">
        <f>IF(LEN(Table1722[[#This Row],[Uraian]])&gt;2,TRIM(RIGHT(SUBSTITUTE(TRIM(C4238)," ",REPT(" ",255)),255))," ")</f>
        <v xml:space="preserve"> </v>
      </c>
      <c r="G4238" s="110">
        <f>COPY!Z4230</f>
        <v>0</v>
      </c>
      <c r="H4238" s="111" t="str">
        <f>IFERROR(VLOOKUP(Table1722[[#This Row],[Bukti]],'Un nOTA'!$A$4:$K$5003,10,FALSE),"")</f>
        <v/>
      </c>
      <c r="I4238" s="123" t="str">
        <f>IFERROR(VLOOKUP(Table1722[[#This Row],[Bukti]],Table13[#Data],11,FALSE),"")</f>
        <v/>
      </c>
    </row>
    <row r="4239" spans="1:9" hidden="1" x14ac:dyDescent="0.2">
      <c r="A4239" s="105" t="str">
        <f>IF(D4239=1,COUNTIF($D$10:D4239,1)," ")</f>
        <v xml:space="preserve"> </v>
      </c>
      <c r="B4239" s="106">
        <f>COPY!AR4231</f>
        <v>0</v>
      </c>
      <c r="C4239" s="107">
        <f>COPY!AC4231</f>
        <v>0</v>
      </c>
      <c r="D4239" s="107" t="str">
        <f>IF(LEN(Table1722[[#This Row],[Uraian]])&gt;2,1," ")</f>
        <v xml:space="preserve"> </v>
      </c>
      <c r="E4239" s="113" t="str">
        <f>IF(Table1722[[#This Row],[Lawan Transaksi]]="CV AGUNG KARYA",COUNTIF($I$10:I4239,"CV AGUNG KARYA")," ")</f>
        <v xml:space="preserve"> </v>
      </c>
      <c r="F4239" s="107" t="str">
        <f>IF(LEN(Table1722[[#This Row],[Uraian]])&gt;2,TRIM(RIGHT(SUBSTITUTE(TRIM(C4239)," ",REPT(" ",255)),255))," ")</f>
        <v xml:space="preserve"> </v>
      </c>
      <c r="G4239" s="110">
        <f>COPY!Z4231</f>
        <v>0</v>
      </c>
      <c r="H4239" s="111" t="str">
        <f>IFERROR(VLOOKUP(Table1722[[#This Row],[Bukti]],'Un nOTA'!$A$4:$K$5003,10,FALSE),"")</f>
        <v/>
      </c>
      <c r="I4239" s="123" t="str">
        <f>IFERROR(VLOOKUP(Table1722[[#This Row],[Bukti]],Table13[#Data],11,FALSE),"")</f>
        <v/>
      </c>
    </row>
    <row r="4240" spans="1:9" hidden="1" x14ac:dyDescent="0.2">
      <c r="A4240" s="105" t="str">
        <f>IF(D4240=1,COUNTIF($D$10:D4240,1)," ")</f>
        <v xml:space="preserve"> </v>
      </c>
      <c r="B4240" s="106">
        <f>COPY!AR4232</f>
        <v>0</v>
      </c>
      <c r="C4240" s="107">
        <f>COPY!AC4232</f>
        <v>0</v>
      </c>
      <c r="D4240" s="107" t="str">
        <f>IF(LEN(Table1722[[#This Row],[Uraian]])&gt;2,1," ")</f>
        <v xml:space="preserve"> </v>
      </c>
      <c r="E4240" s="113" t="str">
        <f>IF(Table1722[[#This Row],[Lawan Transaksi]]="CV AGUNG KARYA",COUNTIF($I$10:I4240,"CV AGUNG KARYA")," ")</f>
        <v xml:space="preserve"> </v>
      </c>
      <c r="F4240" s="107" t="str">
        <f>IF(LEN(Table1722[[#This Row],[Uraian]])&gt;2,TRIM(RIGHT(SUBSTITUTE(TRIM(C4240)," ",REPT(" ",255)),255))," ")</f>
        <v xml:space="preserve"> </v>
      </c>
      <c r="G4240" s="110">
        <f>COPY!Z4232</f>
        <v>0</v>
      </c>
      <c r="H4240" s="111" t="str">
        <f>IFERROR(VLOOKUP(Table1722[[#This Row],[Bukti]],'Un nOTA'!$A$4:$K$5003,10,FALSE),"")</f>
        <v/>
      </c>
      <c r="I4240" s="123" t="str">
        <f>IFERROR(VLOOKUP(Table1722[[#This Row],[Bukti]],Table13[#Data],11,FALSE),"")</f>
        <v/>
      </c>
    </row>
    <row r="4241" spans="1:9" hidden="1" x14ac:dyDescent="0.2">
      <c r="A4241" s="105" t="str">
        <f>IF(D4241=1,COUNTIF($D$10:D4241,1)," ")</f>
        <v xml:space="preserve"> </v>
      </c>
      <c r="B4241" s="106">
        <f>COPY!AR4233</f>
        <v>0</v>
      </c>
      <c r="C4241" s="107">
        <f>COPY!AC4233</f>
        <v>0</v>
      </c>
      <c r="D4241" s="107" t="str">
        <f>IF(LEN(Table1722[[#This Row],[Uraian]])&gt;2,1," ")</f>
        <v xml:space="preserve"> </v>
      </c>
      <c r="E4241" s="113" t="str">
        <f>IF(Table1722[[#This Row],[Lawan Transaksi]]="CV AGUNG KARYA",COUNTIF($I$10:I4241,"CV AGUNG KARYA")," ")</f>
        <v xml:space="preserve"> </v>
      </c>
      <c r="F4241" s="107" t="str">
        <f>IF(LEN(Table1722[[#This Row],[Uraian]])&gt;2,TRIM(RIGHT(SUBSTITUTE(TRIM(C4241)," ",REPT(" ",255)),255))," ")</f>
        <v xml:space="preserve"> </v>
      </c>
      <c r="G4241" s="110">
        <f>COPY!Z4233</f>
        <v>0</v>
      </c>
      <c r="H4241" s="111" t="str">
        <f>IFERROR(VLOOKUP(Table1722[[#This Row],[Bukti]],'Un nOTA'!$A$4:$K$5003,10,FALSE),"")</f>
        <v/>
      </c>
      <c r="I4241" s="123" t="str">
        <f>IFERROR(VLOOKUP(Table1722[[#This Row],[Bukti]],Table13[#Data],11,FALSE),"")</f>
        <v/>
      </c>
    </row>
    <row r="4242" spans="1:9" hidden="1" x14ac:dyDescent="0.2">
      <c r="A4242" s="105" t="str">
        <f>IF(D4242=1,COUNTIF($D$10:D4242,1)," ")</f>
        <v xml:space="preserve"> </v>
      </c>
      <c r="B4242" s="106">
        <f>COPY!AR4234</f>
        <v>0</v>
      </c>
      <c r="C4242" s="107">
        <f>COPY!AC4234</f>
        <v>0</v>
      </c>
      <c r="D4242" s="107" t="str">
        <f>IF(LEN(Table1722[[#This Row],[Uraian]])&gt;2,1," ")</f>
        <v xml:space="preserve"> </v>
      </c>
      <c r="E4242" s="113" t="str">
        <f>IF(Table1722[[#This Row],[Lawan Transaksi]]="CV AGUNG KARYA",COUNTIF($I$10:I4242,"CV AGUNG KARYA")," ")</f>
        <v xml:space="preserve"> </v>
      </c>
      <c r="F4242" s="107" t="str">
        <f>IF(LEN(Table1722[[#This Row],[Uraian]])&gt;2,TRIM(RIGHT(SUBSTITUTE(TRIM(C4242)," ",REPT(" ",255)),255))," ")</f>
        <v xml:space="preserve"> </v>
      </c>
      <c r="G4242" s="110">
        <f>COPY!Z4234</f>
        <v>0</v>
      </c>
      <c r="H4242" s="111" t="str">
        <f>IFERROR(VLOOKUP(Table1722[[#This Row],[Bukti]],'Un nOTA'!$A$4:$K$5003,10,FALSE),"")</f>
        <v/>
      </c>
      <c r="I4242" s="123" t="str">
        <f>IFERROR(VLOOKUP(Table1722[[#This Row],[Bukti]],Table13[#Data],11,FALSE),"")</f>
        <v/>
      </c>
    </row>
    <row r="4243" spans="1:9" hidden="1" x14ac:dyDescent="0.2">
      <c r="A4243" s="105" t="str">
        <f>IF(D4243=1,COUNTIF($D$10:D4243,1)," ")</f>
        <v xml:space="preserve"> </v>
      </c>
      <c r="B4243" s="106">
        <f>COPY!AR4235</f>
        <v>0</v>
      </c>
      <c r="C4243" s="107">
        <f>COPY!AC4235</f>
        <v>0</v>
      </c>
      <c r="D4243" s="107" t="str">
        <f>IF(LEN(Table1722[[#This Row],[Uraian]])&gt;2,1," ")</f>
        <v xml:space="preserve"> </v>
      </c>
      <c r="E4243" s="113" t="str">
        <f>IF(Table1722[[#This Row],[Lawan Transaksi]]="CV AGUNG KARYA",COUNTIF($I$10:I4243,"CV AGUNG KARYA")," ")</f>
        <v xml:space="preserve"> </v>
      </c>
      <c r="F4243" s="107" t="str">
        <f>IF(LEN(Table1722[[#This Row],[Uraian]])&gt;2,TRIM(RIGHT(SUBSTITUTE(TRIM(C4243)," ",REPT(" ",255)),255))," ")</f>
        <v xml:space="preserve"> </v>
      </c>
      <c r="G4243" s="110">
        <f>COPY!Z4235</f>
        <v>0</v>
      </c>
      <c r="H4243" s="111" t="str">
        <f>IFERROR(VLOOKUP(Table1722[[#This Row],[Bukti]],'Un nOTA'!$A$4:$K$5003,10,FALSE),"")</f>
        <v/>
      </c>
      <c r="I4243" s="123" t="str">
        <f>IFERROR(VLOOKUP(Table1722[[#This Row],[Bukti]],Table13[#Data],11,FALSE),"")</f>
        <v/>
      </c>
    </row>
    <row r="4244" spans="1:9" hidden="1" x14ac:dyDescent="0.2">
      <c r="A4244" s="105" t="str">
        <f>IF(D4244=1,COUNTIF($D$10:D4244,1)," ")</f>
        <v xml:space="preserve"> </v>
      </c>
      <c r="B4244" s="106">
        <f>COPY!AR4236</f>
        <v>0</v>
      </c>
      <c r="C4244" s="107">
        <f>COPY!AC4236</f>
        <v>0</v>
      </c>
      <c r="D4244" s="107" t="str">
        <f>IF(LEN(Table1722[[#This Row],[Uraian]])&gt;2,1," ")</f>
        <v xml:space="preserve"> </v>
      </c>
      <c r="E4244" s="113" t="str">
        <f>IF(Table1722[[#This Row],[Lawan Transaksi]]="CV AGUNG KARYA",COUNTIF($I$10:I4244,"CV AGUNG KARYA")," ")</f>
        <v xml:space="preserve"> </v>
      </c>
      <c r="F4244" s="107" t="str">
        <f>IF(LEN(Table1722[[#This Row],[Uraian]])&gt;2,TRIM(RIGHT(SUBSTITUTE(TRIM(C4244)," ",REPT(" ",255)),255))," ")</f>
        <v xml:space="preserve"> </v>
      </c>
      <c r="G4244" s="110">
        <f>COPY!Z4236</f>
        <v>0</v>
      </c>
      <c r="H4244" s="111" t="str">
        <f>IFERROR(VLOOKUP(Table1722[[#This Row],[Bukti]],'Un nOTA'!$A$4:$K$5003,10,FALSE),"")</f>
        <v/>
      </c>
      <c r="I4244" s="123" t="str">
        <f>IFERROR(VLOOKUP(Table1722[[#This Row],[Bukti]],Table13[#Data],11,FALSE),"")</f>
        <v/>
      </c>
    </row>
    <row r="4245" spans="1:9" hidden="1" x14ac:dyDescent="0.2">
      <c r="A4245" s="105" t="str">
        <f>IF(D4245=1,COUNTIF($D$10:D4245,1)," ")</f>
        <v xml:space="preserve"> </v>
      </c>
      <c r="B4245" s="106">
        <f>COPY!AR4237</f>
        <v>0</v>
      </c>
      <c r="C4245" s="107">
        <f>COPY!AC4237</f>
        <v>0</v>
      </c>
      <c r="D4245" s="107" t="str">
        <f>IF(LEN(Table1722[[#This Row],[Uraian]])&gt;2,1," ")</f>
        <v xml:space="preserve"> </v>
      </c>
      <c r="E4245" s="113" t="str">
        <f>IF(Table1722[[#This Row],[Lawan Transaksi]]="CV AGUNG KARYA",COUNTIF($I$10:I4245,"CV AGUNG KARYA")," ")</f>
        <v xml:space="preserve"> </v>
      </c>
      <c r="F4245" s="107" t="str">
        <f>IF(LEN(Table1722[[#This Row],[Uraian]])&gt;2,TRIM(RIGHT(SUBSTITUTE(TRIM(C4245)," ",REPT(" ",255)),255))," ")</f>
        <v xml:space="preserve"> </v>
      </c>
      <c r="G4245" s="110">
        <f>COPY!Z4237</f>
        <v>0</v>
      </c>
      <c r="H4245" s="111" t="str">
        <f>IFERROR(VLOOKUP(Table1722[[#This Row],[Bukti]],'Un nOTA'!$A$4:$K$5003,10,FALSE),"")</f>
        <v/>
      </c>
      <c r="I4245" s="123" t="str">
        <f>IFERROR(VLOOKUP(Table1722[[#This Row],[Bukti]],Table13[#Data],11,FALSE),"")</f>
        <v/>
      </c>
    </row>
    <row r="4246" spans="1:9" hidden="1" x14ac:dyDescent="0.2">
      <c r="A4246" s="105" t="str">
        <f>IF(D4246=1,COUNTIF($D$10:D4246,1)," ")</f>
        <v xml:space="preserve"> </v>
      </c>
      <c r="B4246" s="106">
        <f>COPY!AR4238</f>
        <v>0</v>
      </c>
      <c r="C4246" s="107">
        <f>COPY!AC4238</f>
        <v>0</v>
      </c>
      <c r="D4246" s="107" t="str">
        <f>IF(LEN(Table1722[[#This Row],[Uraian]])&gt;2,1," ")</f>
        <v xml:space="preserve"> </v>
      </c>
      <c r="E4246" s="113" t="str">
        <f>IF(Table1722[[#This Row],[Lawan Transaksi]]="CV AGUNG KARYA",COUNTIF($I$10:I4246,"CV AGUNG KARYA")," ")</f>
        <v xml:space="preserve"> </v>
      </c>
      <c r="F4246" s="107" t="str">
        <f>IF(LEN(Table1722[[#This Row],[Uraian]])&gt;2,TRIM(RIGHT(SUBSTITUTE(TRIM(C4246)," ",REPT(" ",255)),255))," ")</f>
        <v xml:space="preserve"> </v>
      </c>
      <c r="G4246" s="110">
        <f>COPY!Z4238</f>
        <v>0</v>
      </c>
      <c r="H4246" s="111" t="str">
        <f>IFERROR(VLOOKUP(Table1722[[#This Row],[Bukti]],'Un nOTA'!$A$4:$K$5003,10,FALSE),"")</f>
        <v/>
      </c>
      <c r="I4246" s="123" t="str">
        <f>IFERROR(VLOOKUP(Table1722[[#This Row],[Bukti]],Table13[#Data],11,FALSE),"")</f>
        <v/>
      </c>
    </row>
    <row r="4247" spans="1:9" hidden="1" x14ac:dyDescent="0.2">
      <c r="A4247" s="105" t="str">
        <f>IF(D4247=1,COUNTIF($D$10:D4247,1)," ")</f>
        <v xml:space="preserve"> </v>
      </c>
      <c r="B4247" s="106">
        <f>COPY!AR4239</f>
        <v>0</v>
      </c>
      <c r="C4247" s="107">
        <f>COPY!AC4239</f>
        <v>0</v>
      </c>
      <c r="D4247" s="107" t="str">
        <f>IF(LEN(Table1722[[#This Row],[Uraian]])&gt;2,1," ")</f>
        <v xml:space="preserve"> </v>
      </c>
      <c r="E4247" s="113" t="str">
        <f>IF(Table1722[[#This Row],[Lawan Transaksi]]="CV AGUNG KARYA",COUNTIF($I$10:I4247,"CV AGUNG KARYA")," ")</f>
        <v xml:space="preserve"> </v>
      </c>
      <c r="F4247" s="107" t="str">
        <f>IF(LEN(Table1722[[#This Row],[Uraian]])&gt;2,TRIM(RIGHT(SUBSTITUTE(TRIM(C4247)," ",REPT(" ",255)),255))," ")</f>
        <v xml:space="preserve"> </v>
      </c>
      <c r="G4247" s="110">
        <f>COPY!Z4239</f>
        <v>0</v>
      </c>
      <c r="H4247" s="111" t="str">
        <f>IFERROR(VLOOKUP(Table1722[[#This Row],[Bukti]],'Un nOTA'!$A$4:$K$5003,10,FALSE),"")</f>
        <v/>
      </c>
      <c r="I4247" s="123" t="str">
        <f>IFERROR(VLOOKUP(Table1722[[#This Row],[Bukti]],Table13[#Data],11,FALSE),"")</f>
        <v/>
      </c>
    </row>
    <row r="4248" spans="1:9" hidden="1" x14ac:dyDescent="0.2">
      <c r="A4248" s="105" t="str">
        <f>IF(D4248=1,COUNTIF($D$10:D4248,1)," ")</f>
        <v xml:space="preserve"> </v>
      </c>
      <c r="B4248" s="106">
        <f>COPY!AR4240</f>
        <v>0</v>
      </c>
      <c r="C4248" s="107">
        <f>COPY!AC4240</f>
        <v>0</v>
      </c>
      <c r="D4248" s="107" t="str">
        <f>IF(LEN(Table1722[[#This Row],[Uraian]])&gt;2,1," ")</f>
        <v xml:space="preserve"> </v>
      </c>
      <c r="E4248" s="113" t="str">
        <f>IF(Table1722[[#This Row],[Lawan Transaksi]]="CV AGUNG KARYA",COUNTIF($I$10:I4248,"CV AGUNG KARYA")," ")</f>
        <v xml:space="preserve"> </v>
      </c>
      <c r="F4248" s="107" t="str">
        <f>IF(LEN(Table1722[[#This Row],[Uraian]])&gt;2,TRIM(RIGHT(SUBSTITUTE(TRIM(C4248)," ",REPT(" ",255)),255))," ")</f>
        <v xml:space="preserve"> </v>
      </c>
      <c r="G4248" s="110">
        <f>COPY!Z4240</f>
        <v>0</v>
      </c>
      <c r="H4248" s="111" t="str">
        <f>IFERROR(VLOOKUP(Table1722[[#This Row],[Bukti]],'Un nOTA'!$A$4:$K$5003,10,FALSE),"")</f>
        <v/>
      </c>
      <c r="I4248" s="123" t="str">
        <f>IFERROR(VLOOKUP(Table1722[[#This Row],[Bukti]],Table13[#Data],11,FALSE),"")</f>
        <v/>
      </c>
    </row>
    <row r="4249" spans="1:9" hidden="1" x14ac:dyDescent="0.2">
      <c r="A4249" s="105" t="str">
        <f>IF(D4249=1,COUNTIF($D$10:D4249,1)," ")</f>
        <v xml:space="preserve"> </v>
      </c>
      <c r="B4249" s="106">
        <f>COPY!AR4241</f>
        <v>0</v>
      </c>
      <c r="C4249" s="107">
        <f>COPY!AC4241</f>
        <v>0</v>
      </c>
      <c r="D4249" s="107" t="str">
        <f>IF(LEN(Table1722[[#This Row],[Uraian]])&gt;2,1," ")</f>
        <v xml:space="preserve"> </v>
      </c>
      <c r="E4249" s="113" t="str">
        <f>IF(Table1722[[#This Row],[Lawan Transaksi]]="CV AGUNG KARYA",COUNTIF($I$10:I4249,"CV AGUNG KARYA")," ")</f>
        <v xml:space="preserve"> </v>
      </c>
      <c r="F4249" s="107" t="str">
        <f>IF(LEN(Table1722[[#This Row],[Uraian]])&gt;2,TRIM(RIGHT(SUBSTITUTE(TRIM(C4249)," ",REPT(" ",255)),255))," ")</f>
        <v xml:space="preserve"> </v>
      </c>
      <c r="G4249" s="110">
        <f>COPY!Z4241</f>
        <v>0</v>
      </c>
      <c r="H4249" s="111" t="str">
        <f>IFERROR(VLOOKUP(Table1722[[#This Row],[Bukti]],'Un nOTA'!$A$4:$K$5003,10,FALSE),"")</f>
        <v/>
      </c>
      <c r="I4249" s="123" t="str">
        <f>IFERROR(VLOOKUP(Table1722[[#This Row],[Bukti]],Table13[#Data],11,FALSE),"")</f>
        <v/>
      </c>
    </row>
    <row r="4250" spans="1:9" hidden="1" x14ac:dyDescent="0.2">
      <c r="A4250" s="105" t="str">
        <f>IF(D4250=1,COUNTIF($D$10:D4250,1)," ")</f>
        <v xml:space="preserve"> </v>
      </c>
      <c r="B4250" s="106">
        <f>COPY!AR4242</f>
        <v>0</v>
      </c>
      <c r="C4250" s="107">
        <f>COPY!AC4242</f>
        <v>0</v>
      </c>
      <c r="D4250" s="107" t="str">
        <f>IF(LEN(Table1722[[#This Row],[Uraian]])&gt;2,1," ")</f>
        <v xml:space="preserve"> </v>
      </c>
      <c r="E4250" s="113" t="str">
        <f>IF(Table1722[[#This Row],[Lawan Transaksi]]="CV AGUNG KARYA",COUNTIF($I$10:I4250,"CV AGUNG KARYA")," ")</f>
        <v xml:space="preserve"> </v>
      </c>
      <c r="F4250" s="107" t="str">
        <f>IF(LEN(Table1722[[#This Row],[Uraian]])&gt;2,TRIM(RIGHT(SUBSTITUTE(TRIM(C4250)," ",REPT(" ",255)),255))," ")</f>
        <v xml:space="preserve"> </v>
      </c>
      <c r="G4250" s="110">
        <f>COPY!Z4242</f>
        <v>0</v>
      </c>
      <c r="H4250" s="111" t="str">
        <f>IFERROR(VLOOKUP(Table1722[[#This Row],[Bukti]],'Un nOTA'!$A$4:$K$5003,10,FALSE),"")</f>
        <v/>
      </c>
      <c r="I4250" s="123" t="str">
        <f>IFERROR(VLOOKUP(Table1722[[#This Row],[Bukti]],Table13[#Data],11,FALSE),"")</f>
        <v/>
      </c>
    </row>
    <row r="4251" spans="1:9" hidden="1" x14ac:dyDescent="0.2">
      <c r="A4251" s="105" t="str">
        <f>IF(D4251=1,COUNTIF($D$10:D4251,1)," ")</f>
        <v xml:space="preserve"> </v>
      </c>
      <c r="B4251" s="106">
        <f>COPY!AR4243</f>
        <v>0</v>
      </c>
      <c r="C4251" s="107">
        <f>COPY!AC4243</f>
        <v>0</v>
      </c>
      <c r="D4251" s="107" t="str">
        <f>IF(LEN(Table1722[[#This Row],[Uraian]])&gt;2,1," ")</f>
        <v xml:space="preserve"> </v>
      </c>
      <c r="E4251" s="113" t="str">
        <f>IF(Table1722[[#This Row],[Lawan Transaksi]]="CV AGUNG KARYA",COUNTIF($I$10:I4251,"CV AGUNG KARYA")," ")</f>
        <v xml:space="preserve"> </v>
      </c>
      <c r="F4251" s="107" t="str">
        <f>IF(LEN(Table1722[[#This Row],[Uraian]])&gt;2,TRIM(RIGHT(SUBSTITUTE(TRIM(C4251)," ",REPT(" ",255)),255))," ")</f>
        <v xml:space="preserve"> </v>
      </c>
      <c r="G4251" s="110">
        <f>COPY!Z4243</f>
        <v>0</v>
      </c>
      <c r="H4251" s="111" t="str">
        <f>IFERROR(VLOOKUP(Table1722[[#This Row],[Bukti]],'Un nOTA'!$A$4:$K$5003,10,FALSE),"")</f>
        <v/>
      </c>
      <c r="I4251" s="123" t="str">
        <f>IFERROR(VLOOKUP(Table1722[[#This Row],[Bukti]],Table13[#Data],11,FALSE),"")</f>
        <v/>
      </c>
    </row>
    <row r="4252" spans="1:9" hidden="1" x14ac:dyDescent="0.2">
      <c r="A4252" s="105" t="str">
        <f>IF(D4252=1,COUNTIF($D$10:D4252,1)," ")</f>
        <v xml:space="preserve"> </v>
      </c>
      <c r="B4252" s="106">
        <f>COPY!AR4244</f>
        <v>0</v>
      </c>
      <c r="C4252" s="107">
        <f>COPY!AC4244</f>
        <v>0</v>
      </c>
      <c r="D4252" s="107" t="str">
        <f>IF(LEN(Table1722[[#This Row],[Uraian]])&gt;2,1," ")</f>
        <v xml:space="preserve"> </v>
      </c>
      <c r="E4252" s="113" t="str">
        <f>IF(Table1722[[#This Row],[Lawan Transaksi]]="CV AGUNG KARYA",COUNTIF($I$10:I4252,"CV AGUNG KARYA")," ")</f>
        <v xml:space="preserve"> </v>
      </c>
      <c r="F4252" s="107" t="str">
        <f>IF(LEN(Table1722[[#This Row],[Uraian]])&gt;2,TRIM(RIGHT(SUBSTITUTE(TRIM(C4252)," ",REPT(" ",255)),255))," ")</f>
        <v xml:space="preserve"> </v>
      </c>
      <c r="G4252" s="110">
        <f>COPY!Z4244</f>
        <v>0</v>
      </c>
      <c r="H4252" s="111" t="str">
        <f>IFERROR(VLOOKUP(Table1722[[#This Row],[Bukti]],'Un nOTA'!$A$4:$K$5003,10,FALSE),"")</f>
        <v/>
      </c>
      <c r="I4252" s="123" t="str">
        <f>IFERROR(VLOOKUP(Table1722[[#This Row],[Bukti]],Table13[#Data],11,FALSE),"")</f>
        <v/>
      </c>
    </row>
    <row r="4253" spans="1:9" hidden="1" x14ac:dyDescent="0.2">
      <c r="A4253" s="105" t="str">
        <f>IF(D4253=1,COUNTIF($D$10:D4253,1)," ")</f>
        <v xml:space="preserve"> </v>
      </c>
      <c r="B4253" s="106">
        <f>COPY!AR4245</f>
        <v>0</v>
      </c>
      <c r="C4253" s="107">
        <f>COPY!AC4245</f>
        <v>0</v>
      </c>
      <c r="D4253" s="107" t="str">
        <f>IF(LEN(Table1722[[#This Row],[Uraian]])&gt;2,1," ")</f>
        <v xml:space="preserve"> </v>
      </c>
      <c r="E4253" s="113" t="str">
        <f>IF(Table1722[[#This Row],[Lawan Transaksi]]="CV AGUNG KARYA",COUNTIF($I$10:I4253,"CV AGUNG KARYA")," ")</f>
        <v xml:space="preserve"> </v>
      </c>
      <c r="F4253" s="107" t="str">
        <f>IF(LEN(Table1722[[#This Row],[Uraian]])&gt;2,TRIM(RIGHT(SUBSTITUTE(TRIM(C4253)," ",REPT(" ",255)),255))," ")</f>
        <v xml:space="preserve"> </v>
      </c>
      <c r="G4253" s="110">
        <f>COPY!Z4245</f>
        <v>0</v>
      </c>
      <c r="H4253" s="111" t="str">
        <f>IFERROR(VLOOKUP(Table1722[[#This Row],[Bukti]],'Un nOTA'!$A$4:$K$5003,10,FALSE),"")</f>
        <v/>
      </c>
      <c r="I4253" s="123" t="str">
        <f>IFERROR(VLOOKUP(Table1722[[#This Row],[Bukti]],Table13[#Data],11,FALSE),"")</f>
        <v/>
      </c>
    </row>
    <row r="4254" spans="1:9" hidden="1" x14ac:dyDescent="0.2">
      <c r="A4254" s="105" t="str">
        <f>IF(D4254=1,COUNTIF($D$10:D4254,1)," ")</f>
        <v xml:space="preserve"> </v>
      </c>
      <c r="B4254" s="106">
        <f>COPY!AR4246</f>
        <v>0</v>
      </c>
      <c r="C4254" s="107">
        <f>COPY!AC4246</f>
        <v>0</v>
      </c>
      <c r="D4254" s="107" t="str">
        <f>IF(LEN(Table1722[[#This Row],[Uraian]])&gt;2,1," ")</f>
        <v xml:space="preserve"> </v>
      </c>
      <c r="E4254" s="113" t="str">
        <f>IF(Table1722[[#This Row],[Lawan Transaksi]]="CV AGUNG KARYA",COUNTIF($I$10:I4254,"CV AGUNG KARYA")," ")</f>
        <v xml:space="preserve"> </v>
      </c>
      <c r="F4254" s="107" t="str">
        <f>IF(LEN(Table1722[[#This Row],[Uraian]])&gt;2,TRIM(RIGHT(SUBSTITUTE(TRIM(C4254)," ",REPT(" ",255)),255))," ")</f>
        <v xml:space="preserve"> </v>
      </c>
      <c r="G4254" s="110">
        <f>COPY!Z4246</f>
        <v>0</v>
      </c>
      <c r="H4254" s="111" t="str">
        <f>IFERROR(VLOOKUP(Table1722[[#This Row],[Bukti]],'Un nOTA'!$A$4:$K$5003,10,FALSE),"")</f>
        <v/>
      </c>
      <c r="I4254" s="123" t="str">
        <f>IFERROR(VLOOKUP(Table1722[[#This Row],[Bukti]],Table13[#Data],11,FALSE),"")</f>
        <v/>
      </c>
    </row>
    <row r="4255" spans="1:9" hidden="1" x14ac:dyDescent="0.2">
      <c r="A4255" s="105" t="str">
        <f>IF(D4255=1,COUNTIF($D$10:D4255,1)," ")</f>
        <v xml:space="preserve"> </v>
      </c>
      <c r="B4255" s="106">
        <f>COPY!AR4247</f>
        <v>0</v>
      </c>
      <c r="C4255" s="107">
        <f>COPY!AC4247</f>
        <v>0</v>
      </c>
      <c r="D4255" s="107" t="str">
        <f>IF(LEN(Table1722[[#This Row],[Uraian]])&gt;2,1," ")</f>
        <v xml:space="preserve"> </v>
      </c>
      <c r="E4255" s="113" t="str">
        <f>IF(Table1722[[#This Row],[Lawan Transaksi]]="CV AGUNG KARYA",COUNTIF($I$10:I4255,"CV AGUNG KARYA")," ")</f>
        <v xml:space="preserve"> </v>
      </c>
      <c r="F4255" s="107" t="str">
        <f>IF(LEN(Table1722[[#This Row],[Uraian]])&gt;2,TRIM(RIGHT(SUBSTITUTE(TRIM(C4255)," ",REPT(" ",255)),255))," ")</f>
        <v xml:space="preserve"> </v>
      </c>
      <c r="G4255" s="110">
        <f>COPY!Z4247</f>
        <v>0</v>
      </c>
      <c r="H4255" s="111" t="str">
        <f>IFERROR(VLOOKUP(Table1722[[#This Row],[Bukti]],'Un nOTA'!$A$4:$K$5003,10,FALSE),"")</f>
        <v/>
      </c>
      <c r="I4255" s="123" t="str">
        <f>IFERROR(VLOOKUP(Table1722[[#This Row],[Bukti]],Table13[#Data],11,FALSE),"")</f>
        <v/>
      </c>
    </row>
    <row r="4256" spans="1:9" hidden="1" x14ac:dyDescent="0.2">
      <c r="A4256" s="105" t="str">
        <f>IF(D4256=1,COUNTIF($D$10:D4256,1)," ")</f>
        <v xml:space="preserve"> </v>
      </c>
      <c r="B4256" s="106">
        <f>COPY!AR4248</f>
        <v>0</v>
      </c>
      <c r="C4256" s="107">
        <f>COPY!AC4248</f>
        <v>0</v>
      </c>
      <c r="D4256" s="107" t="str">
        <f>IF(LEN(Table1722[[#This Row],[Uraian]])&gt;2,1," ")</f>
        <v xml:space="preserve"> </v>
      </c>
      <c r="E4256" s="113" t="str">
        <f>IF(Table1722[[#This Row],[Lawan Transaksi]]="CV AGUNG KARYA",COUNTIF($I$10:I4256,"CV AGUNG KARYA")," ")</f>
        <v xml:space="preserve"> </v>
      </c>
      <c r="F4256" s="107" t="str">
        <f>IF(LEN(Table1722[[#This Row],[Uraian]])&gt;2,TRIM(RIGHT(SUBSTITUTE(TRIM(C4256)," ",REPT(" ",255)),255))," ")</f>
        <v xml:space="preserve"> </v>
      </c>
      <c r="G4256" s="110">
        <f>COPY!Z4248</f>
        <v>0</v>
      </c>
      <c r="H4256" s="111" t="str">
        <f>IFERROR(VLOOKUP(Table1722[[#This Row],[Bukti]],'Un nOTA'!$A$4:$K$5003,10,FALSE),"")</f>
        <v/>
      </c>
      <c r="I4256" s="123" t="str">
        <f>IFERROR(VLOOKUP(Table1722[[#This Row],[Bukti]],Table13[#Data],11,FALSE),"")</f>
        <v/>
      </c>
    </row>
    <row r="4257" spans="1:9" hidden="1" x14ac:dyDescent="0.2">
      <c r="A4257" s="105" t="str">
        <f>IF(D4257=1,COUNTIF($D$10:D4257,1)," ")</f>
        <v xml:space="preserve"> </v>
      </c>
      <c r="B4257" s="106">
        <f>COPY!AR4249</f>
        <v>0</v>
      </c>
      <c r="C4257" s="107">
        <f>COPY!AC4249</f>
        <v>0</v>
      </c>
      <c r="D4257" s="107" t="str">
        <f>IF(LEN(Table1722[[#This Row],[Uraian]])&gt;2,1," ")</f>
        <v xml:space="preserve"> </v>
      </c>
      <c r="E4257" s="113" t="str">
        <f>IF(Table1722[[#This Row],[Lawan Transaksi]]="CV AGUNG KARYA",COUNTIF($I$10:I4257,"CV AGUNG KARYA")," ")</f>
        <v xml:space="preserve"> </v>
      </c>
      <c r="F4257" s="107" t="str">
        <f>IF(LEN(Table1722[[#This Row],[Uraian]])&gt;2,TRIM(RIGHT(SUBSTITUTE(TRIM(C4257)," ",REPT(" ",255)),255))," ")</f>
        <v xml:space="preserve"> </v>
      </c>
      <c r="G4257" s="110">
        <f>COPY!Z4249</f>
        <v>0</v>
      </c>
      <c r="H4257" s="111" t="str">
        <f>IFERROR(VLOOKUP(Table1722[[#This Row],[Bukti]],'Un nOTA'!$A$4:$K$5003,10,FALSE),"")</f>
        <v/>
      </c>
      <c r="I4257" s="123" t="str">
        <f>IFERROR(VLOOKUP(Table1722[[#This Row],[Bukti]],Table13[#Data],11,FALSE),"")</f>
        <v/>
      </c>
    </row>
    <row r="4258" spans="1:9" hidden="1" x14ac:dyDescent="0.2">
      <c r="A4258" s="105" t="str">
        <f>IF(D4258=1,COUNTIF($D$10:D4258,1)," ")</f>
        <v xml:space="preserve"> </v>
      </c>
      <c r="B4258" s="106">
        <f>COPY!AR4250</f>
        <v>0</v>
      </c>
      <c r="C4258" s="107">
        <f>COPY!AC4250</f>
        <v>0</v>
      </c>
      <c r="D4258" s="107" t="str">
        <f>IF(LEN(Table1722[[#This Row],[Uraian]])&gt;2,1," ")</f>
        <v xml:space="preserve"> </v>
      </c>
      <c r="E4258" s="113" t="str">
        <f>IF(Table1722[[#This Row],[Lawan Transaksi]]="CV AGUNG KARYA",COUNTIF($I$10:I4258,"CV AGUNG KARYA")," ")</f>
        <v xml:space="preserve"> </v>
      </c>
      <c r="F4258" s="107" t="str">
        <f>IF(LEN(Table1722[[#This Row],[Uraian]])&gt;2,TRIM(RIGHT(SUBSTITUTE(TRIM(C4258)," ",REPT(" ",255)),255))," ")</f>
        <v xml:space="preserve"> </v>
      </c>
      <c r="G4258" s="110">
        <f>COPY!Z4250</f>
        <v>0</v>
      </c>
      <c r="H4258" s="111" t="str">
        <f>IFERROR(VLOOKUP(Table1722[[#This Row],[Bukti]],'Un nOTA'!$A$4:$K$5003,10,FALSE),"")</f>
        <v/>
      </c>
      <c r="I4258" s="123" t="str">
        <f>IFERROR(VLOOKUP(Table1722[[#This Row],[Bukti]],Table13[#Data],11,FALSE),"")</f>
        <v/>
      </c>
    </row>
    <row r="4259" spans="1:9" hidden="1" x14ac:dyDescent="0.2">
      <c r="A4259" s="105" t="str">
        <f>IF(D4259=1,COUNTIF($D$10:D4259,1)," ")</f>
        <v xml:space="preserve"> </v>
      </c>
      <c r="B4259" s="106">
        <f>COPY!AR4251</f>
        <v>0</v>
      </c>
      <c r="C4259" s="107">
        <f>COPY!AC4251</f>
        <v>0</v>
      </c>
      <c r="D4259" s="107" t="str">
        <f>IF(LEN(Table1722[[#This Row],[Uraian]])&gt;2,1," ")</f>
        <v xml:space="preserve"> </v>
      </c>
      <c r="E4259" s="113" t="str">
        <f>IF(Table1722[[#This Row],[Lawan Transaksi]]="CV AGUNG KARYA",COUNTIF($I$10:I4259,"CV AGUNG KARYA")," ")</f>
        <v xml:space="preserve"> </v>
      </c>
      <c r="F4259" s="107" t="str">
        <f>IF(LEN(Table1722[[#This Row],[Uraian]])&gt;2,TRIM(RIGHT(SUBSTITUTE(TRIM(C4259)," ",REPT(" ",255)),255))," ")</f>
        <v xml:space="preserve"> </v>
      </c>
      <c r="G4259" s="110">
        <f>COPY!Z4251</f>
        <v>0</v>
      </c>
      <c r="H4259" s="111" t="str">
        <f>IFERROR(VLOOKUP(Table1722[[#This Row],[Bukti]],'Un nOTA'!$A$4:$K$5003,10,FALSE),"")</f>
        <v/>
      </c>
      <c r="I4259" s="123" t="str">
        <f>IFERROR(VLOOKUP(Table1722[[#This Row],[Bukti]],Table13[#Data],11,FALSE),"")</f>
        <v/>
      </c>
    </row>
    <row r="4260" spans="1:9" hidden="1" x14ac:dyDescent="0.2">
      <c r="A4260" s="105" t="str">
        <f>IF(D4260=1,COUNTIF($D$10:D4260,1)," ")</f>
        <v xml:space="preserve"> </v>
      </c>
      <c r="B4260" s="106">
        <f>COPY!AR4252</f>
        <v>0</v>
      </c>
      <c r="C4260" s="107">
        <f>COPY!AC4252</f>
        <v>0</v>
      </c>
      <c r="D4260" s="107" t="str">
        <f>IF(LEN(Table1722[[#This Row],[Uraian]])&gt;2,1," ")</f>
        <v xml:space="preserve"> </v>
      </c>
      <c r="E4260" s="113" t="str">
        <f>IF(Table1722[[#This Row],[Lawan Transaksi]]="CV AGUNG KARYA",COUNTIF($I$10:I4260,"CV AGUNG KARYA")," ")</f>
        <v xml:space="preserve"> </v>
      </c>
      <c r="F4260" s="107" t="str">
        <f>IF(LEN(Table1722[[#This Row],[Uraian]])&gt;2,TRIM(RIGHT(SUBSTITUTE(TRIM(C4260)," ",REPT(" ",255)),255))," ")</f>
        <v xml:space="preserve"> </v>
      </c>
      <c r="G4260" s="110">
        <f>COPY!Z4252</f>
        <v>0</v>
      </c>
      <c r="H4260" s="111" t="str">
        <f>IFERROR(VLOOKUP(Table1722[[#This Row],[Bukti]],'Un nOTA'!$A$4:$K$5003,10,FALSE),"")</f>
        <v/>
      </c>
      <c r="I4260" s="123" t="str">
        <f>IFERROR(VLOOKUP(Table1722[[#This Row],[Bukti]],Table13[#Data],11,FALSE),"")</f>
        <v/>
      </c>
    </row>
    <row r="4261" spans="1:9" hidden="1" x14ac:dyDescent="0.2">
      <c r="A4261" s="105" t="str">
        <f>IF(D4261=1,COUNTIF($D$10:D4261,1)," ")</f>
        <v xml:space="preserve"> </v>
      </c>
      <c r="B4261" s="106">
        <f>COPY!AR4253</f>
        <v>0</v>
      </c>
      <c r="C4261" s="107">
        <f>COPY!AC4253</f>
        <v>0</v>
      </c>
      <c r="D4261" s="107" t="str">
        <f>IF(LEN(Table1722[[#This Row],[Uraian]])&gt;2,1," ")</f>
        <v xml:space="preserve"> </v>
      </c>
      <c r="E4261" s="113" t="str">
        <f>IF(Table1722[[#This Row],[Lawan Transaksi]]="CV AGUNG KARYA",COUNTIF($I$10:I4261,"CV AGUNG KARYA")," ")</f>
        <v xml:space="preserve"> </v>
      </c>
      <c r="F4261" s="107" t="str">
        <f>IF(LEN(Table1722[[#This Row],[Uraian]])&gt;2,TRIM(RIGHT(SUBSTITUTE(TRIM(C4261)," ",REPT(" ",255)),255))," ")</f>
        <v xml:space="preserve"> </v>
      </c>
      <c r="G4261" s="110">
        <f>COPY!Z4253</f>
        <v>0</v>
      </c>
      <c r="H4261" s="111" t="str">
        <f>IFERROR(VLOOKUP(Table1722[[#This Row],[Bukti]],'Un nOTA'!$A$4:$K$5003,10,FALSE),"")</f>
        <v/>
      </c>
      <c r="I4261" s="123" t="str">
        <f>IFERROR(VLOOKUP(Table1722[[#This Row],[Bukti]],Table13[#Data],11,FALSE),"")</f>
        <v/>
      </c>
    </row>
    <row r="4262" spans="1:9" hidden="1" x14ac:dyDescent="0.2">
      <c r="A4262" s="105" t="str">
        <f>IF(D4262=1,COUNTIF($D$10:D4262,1)," ")</f>
        <v xml:space="preserve"> </v>
      </c>
      <c r="B4262" s="106">
        <f>COPY!AR4254</f>
        <v>0</v>
      </c>
      <c r="C4262" s="107">
        <f>COPY!AC4254</f>
        <v>0</v>
      </c>
      <c r="D4262" s="107" t="str">
        <f>IF(LEN(Table1722[[#This Row],[Uraian]])&gt;2,1," ")</f>
        <v xml:space="preserve"> </v>
      </c>
      <c r="E4262" s="113" t="str">
        <f>IF(Table1722[[#This Row],[Lawan Transaksi]]="CV AGUNG KARYA",COUNTIF($I$10:I4262,"CV AGUNG KARYA")," ")</f>
        <v xml:space="preserve"> </v>
      </c>
      <c r="F4262" s="107" t="str">
        <f>IF(LEN(Table1722[[#This Row],[Uraian]])&gt;2,TRIM(RIGHT(SUBSTITUTE(TRIM(C4262)," ",REPT(" ",255)),255))," ")</f>
        <v xml:space="preserve"> </v>
      </c>
      <c r="G4262" s="110">
        <f>COPY!Z4254</f>
        <v>0</v>
      </c>
      <c r="H4262" s="111" t="str">
        <f>IFERROR(VLOOKUP(Table1722[[#This Row],[Bukti]],'Un nOTA'!$A$4:$K$5003,10,FALSE),"")</f>
        <v/>
      </c>
      <c r="I4262" s="123" t="str">
        <f>IFERROR(VLOOKUP(Table1722[[#This Row],[Bukti]],Table13[#Data],11,FALSE),"")</f>
        <v/>
      </c>
    </row>
    <row r="4263" spans="1:9" hidden="1" x14ac:dyDescent="0.2">
      <c r="A4263" s="105" t="str">
        <f>IF(D4263=1,COUNTIF($D$10:D4263,1)," ")</f>
        <v xml:space="preserve"> </v>
      </c>
      <c r="B4263" s="106">
        <f>COPY!AR4255</f>
        <v>0</v>
      </c>
      <c r="C4263" s="107">
        <f>COPY!AC4255</f>
        <v>0</v>
      </c>
      <c r="D4263" s="107" t="str">
        <f>IF(LEN(Table1722[[#This Row],[Uraian]])&gt;2,1," ")</f>
        <v xml:space="preserve"> </v>
      </c>
      <c r="E4263" s="113" t="str">
        <f>IF(Table1722[[#This Row],[Lawan Transaksi]]="CV AGUNG KARYA",COUNTIF($I$10:I4263,"CV AGUNG KARYA")," ")</f>
        <v xml:space="preserve"> </v>
      </c>
      <c r="F4263" s="107" t="str">
        <f>IF(LEN(Table1722[[#This Row],[Uraian]])&gt;2,TRIM(RIGHT(SUBSTITUTE(TRIM(C4263)," ",REPT(" ",255)),255))," ")</f>
        <v xml:space="preserve"> </v>
      </c>
      <c r="G4263" s="110">
        <f>COPY!Z4255</f>
        <v>0</v>
      </c>
      <c r="H4263" s="111" t="str">
        <f>IFERROR(VLOOKUP(Table1722[[#This Row],[Bukti]],'Un nOTA'!$A$4:$K$5003,10,FALSE),"")</f>
        <v/>
      </c>
      <c r="I4263" s="123" t="str">
        <f>IFERROR(VLOOKUP(Table1722[[#This Row],[Bukti]],Table13[#Data],11,FALSE),"")</f>
        <v/>
      </c>
    </row>
    <row r="4264" spans="1:9" hidden="1" x14ac:dyDescent="0.2">
      <c r="A4264" s="105" t="str">
        <f>IF(D4264=1,COUNTIF($D$10:D4264,1)," ")</f>
        <v xml:space="preserve"> </v>
      </c>
      <c r="B4264" s="106">
        <f>COPY!AR4256</f>
        <v>0</v>
      </c>
      <c r="C4264" s="107">
        <f>COPY!AC4256</f>
        <v>0</v>
      </c>
      <c r="D4264" s="107" t="str">
        <f>IF(LEN(Table1722[[#This Row],[Uraian]])&gt;2,1," ")</f>
        <v xml:space="preserve"> </v>
      </c>
      <c r="E4264" s="113" t="str">
        <f>IF(Table1722[[#This Row],[Lawan Transaksi]]="CV AGUNG KARYA",COUNTIF($I$10:I4264,"CV AGUNG KARYA")," ")</f>
        <v xml:space="preserve"> </v>
      </c>
      <c r="F4264" s="107" t="str">
        <f>IF(LEN(Table1722[[#This Row],[Uraian]])&gt;2,TRIM(RIGHT(SUBSTITUTE(TRIM(C4264)," ",REPT(" ",255)),255))," ")</f>
        <v xml:space="preserve"> </v>
      </c>
      <c r="G4264" s="110">
        <f>COPY!Z4256</f>
        <v>0</v>
      </c>
      <c r="H4264" s="111" t="str">
        <f>IFERROR(VLOOKUP(Table1722[[#This Row],[Bukti]],'Un nOTA'!$A$4:$K$5003,10,FALSE),"")</f>
        <v/>
      </c>
      <c r="I4264" s="123" t="str">
        <f>IFERROR(VLOOKUP(Table1722[[#This Row],[Bukti]],Table13[#Data],11,FALSE),"")</f>
        <v/>
      </c>
    </row>
    <row r="4265" spans="1:9" hidden="1" x14ac:dyDescent="0.2">
      <c r="A4265" s="105" t="str">
        <f>IF(D4265=1,COUNTIF($D$10:D4265,1)," ")</f>
        <v xml:space="preserve"> </v>
      </c>
      <c r="B4265" s="106">
        <f>COPY!AR4257</f>
        <v>0</v>
      </c>
      <c r="C4265" s="107">
        <f>COPY!AC4257</f>
        <v>0</v>
      </c>
      <c r="D4265" s="107" t="str">
        <f>IF(LEN(Table1722[[#This Row],[Uraian]])&gt;2,1," ")</f>
        <v xml:space="preserve"> </v>
      </c>
      <c r="E4265" s="113" t="str">
        <f>IF(Table1722[[#This Row],[Lawan Transaksi]]="CV AGUNG KARYA",COUNTIF($I$10:I4265,"CV AGUNG KARYA")," ")</f>
        <v xml:space="preserve"> </v>
      </c>
      <c r="F4265" s="107" t="str">
        <f>IF(LEN(Table1722[[#This Row],[Uraian]])&gt;2,TRIM(RIGHT(SUBSTITUTE(TRIM(C4265)," ",REPT(" ",255)),255))," ")</f>
        <v xml:space="preserve"> </v>
      </c>
      <c r="G4265" s="110">
        <f>COPY!Z4257</f>
        <v>0</v>
      </c>
      <c r="H4265" s="111" t="str">
        <f>IFERROR(VLOOKUP(Table1722[[#This Row],[Bukti]],'Un nOTA'!$A$4:$K$5003,10,FALSE),"")</f>
        <v/>
      </c>
      <c r="I4265" s="123" t="str">
        <f>IFERROR(VLOOKUP(Table1722[[#This Row],[Bukti]],Table13[#Data],11,FALSE),"")</f>
        <v/>
      </c>
    </row>
    <row r="4266" spans="1:9" hidden="1" x14ac:dyDescent="0.2">
      <c r="A4266" s="105" t="str">
        <f>IF(D4266=1,COUNTIF($D$10:D4266,1)," ")</f>
        <v xml:space="preserve"> </v>
      </c>
      <c r="B4266" s="106">
        <f>COPY!AR4258</f>
        <v>0</v>
      </c>
      <c r="C4266" s="107">
        <f>COPY!AC4258</f>
        <v>0</v>
      </c>
      <c r="D4266" s="107" t="str">
        <f>IF(LEN(Table1722[[#This Row],[Uraian]])&gt;2,1," ")</f>
        <v xml:space="preserve"> </v>
      </c>
      <c r="E4266" s="113" t="str">
        <f>IF(Table1722[[#This Row],[Lawan Transaksi]]="CV AGUNG KARYA",COUNTIF($I$10:I4266,"CV AGUNG KARYA")," ")</f>
        <v xml:space="preserve"> </v>
      </c>
      <c r="F4266" s="107" t="str">
        <f>IF(LEN(Table1722[[#This Row],[Uraian]])&gt;2,TRIM(RIGHT(SUBSTITUTE(TRIM(C4266)," ",REPT(" ",255)),255))," ")</f>
        <v xml:space="preserve"> </v>
      </c>
      <c r="G4266" s="110">
        <f>COPY!Z4258</f>
        <v>0</v>
      </c>
      <c r="H4266" s="111" t="str">
        <f>IFERROR(VLOOKUP(Table1722[[#This Row],[Bukti]],'Un nOTA'!$A$4:$K$5003,10,FALSE),"")</f>
        <v/>
      </c>
      <c r="I4266" s="123" t="str">
        <f>IFERROR(VLOOKUP(Table1722[[#This Row],[Bukti]],Table13[#Data],11,FALSE),"")</f>
        <v/>
      </c>
    </row>
    <row r="4267" spans="1:9" hidden="1" x14ac:dyDescent="0.2">
      <c r="A4267" s="105" t="str">
        <f>IF(D4267=1,COUNTIF($D$10:D4267,1)," ")</f>
        <v xml:space="preserve"> </v>
      </c>
      <c r="B4267" s="106">
        <f>COPY!AR4259</f>
        <v>0</v>
      </c>
      <c r="C4267" s="107">
        <f>COPY!AC4259</f>
        <v>0</v>
      </c>
      <c r="D4267" s="107" t="str">
        <f>IF(LEN(Table1722[[#This Row],[Uraian]])&gt;2,1," ")</f>
        <v xml:space="preserve"> </v>
      </c>
      <c r="E4267" s="113" t="str">
        <f>IF(Table1722[[#This Row],[Lawan Transaksi]]="CV AGUNG KARYA",COUNTIF($I$10:I4267,"CV AGUNG KARYA")," ")</f>
        <v xml:space="preserve"> </v>
      </c>
      <c r="F4267" s="107" t="str">
        <f>IF(LEN(Table1722[[#This Row],[Uraian]])&gt;2,TRIM(RIGHT(SUBSTITUTE(TRIM(C4267)," ",REPT(" ",255)),255))," ")</f>
        <v xml:space="preserve"> </v>
      </c>
      <c r="G4267" s="110">
        <f>COPY!Z4259</f>
        <v>0</v>
      </c>
      <c r="H4267" s="111" t="str">
        <f>IFERROR(VLOOKUP(Table1722[[#This Row],[Bukti]],'Un nOTA'!$A$4:$K$5003,10,FALSE),"")</f>
        <v/>
      </c>
      <c r="I4267" s="123" t="str">
        <f>IFERROR(VLOOKUP(Table1722[[#This Row],[Bukti]],Table13[#Data],11,FALSE),"")</f>
        <v/>
      </c>
    </row>
    <row r="4268" spans="1:9" hidden="1" x14ac:dyDescent="0.2">
      <c r="A4268" s="105" t="str">
        <f>IF(D4268=1,COUNTIF($D$10:D4268,1)," ")</f>
        <v xml:space="preserve"> </v>
      </c>
      <c r="B4268" s="106">
        <f>COPY!AR4260</f>
        <v>0</v>
      </c>
      <c r="C4268" s="107">
        <f>COPY!AC4260</f>
        <v>0</v>
      </c>
      <c r="D4268" s="107" t="str">
        <f>IF(LEN(Table1722[[#This Row],[Uraian]])&gt;2,1," ")</f>
        <v xml:space="preserve"> </v>
      </c>
      <c r="E4268" s="113" t="str">
        <f>IF(Table1722[[#This Row],[Lawan Transaksi]]="CV AGUNG KARYA",COUNTIF($I$10:I4268,"CV AGUNG KARYA")," ")</f>
        <v xml:space="preserve"> </v>
      </c>
      <c r="F4268" s="107" t="str">
        <f>IF(LEN(Table1722[[#This Row],[Uraian]])&gt;2,TRIM(RIGHT(SUBSTITUTE(TRIM(C4268)," ",REPT(" ",255)),255))," ")</f>
        <v xml:space="preserve"> </v>
      </c>
      <c r="G4268" s="110">
        <f>COPY!Z4260</f>
        <v>0</v>
      </c>
      <c r="H4268" s="111" t="str">
        <f>IFERROR(VLOOKUP(Table1722[[#This Row],[Bukti]],'Un nOTA'!$A$4:$K$5003,10,FALSE),"")</f>
        <v/>
      </c>
      <c r="I4268" s="123" t="str">
        <f>IFERROR(VLOOKUP(Table1722[[#This Row],[Bukti]],Table13[#Data],11,FALSE),"")</f>
        <v/>
      </c>
    </row>
    <row r="4269" spans="1:9" hidden="1" x14ac:dyDescent="0.2">
      <c r="A4269" s="105" t="str">
        <f>IF(D4269=1,COUNTIF($D$10:D4269,1)," ")</f>
        <v xml:space="preserve"> </v>
      </c>
      <c r="B4269" s="106">
        <f>COPY!AR4261</f>
        <v>0</v>
      </c>
      <c r="C4269" s="107">
        <f>COPY!AC4261</f>
        <v>0</v>
      </c>
      <c r="D4269" s="107" t="str">
        <f>IF(LEN(Table1722[[#This Row],[Uraian]])&gt;2,1," ")</f>
        <v xml:space="preserve"> </v>
      </c>
      <c r="E4269" s="113" t="str">
        <f>IF(Table1722[[#This Row],[Lawan Transaksi]]="CV AGUNG KARYA",COUNTIF($I$10:I4269,"CV AGUNG KARYA")," ")</f>
        <v xml:space="preserve"> </v>
      </c>
      <c r="F4269" s="107" t="str">
        <f>IF(LEN(Table1722[[#This Row],[Uraian]])&gt;2,TRIM(RIGHT(SUBSTITUTE(TRIM(C4269)," ",REPT(" ",255)),255))," ")</f>
        <v xml:space="preserve"> </v>
      </c>
      <c r="G4269" s="110">
        <f>COPY!Z4261</f>
        <v>0</v>
      </c>
      <c r="H4269" s="111" t="str">
        <f>IFERROR(VLOOKUP(Table1722[[#This Row],[Bukti]],'Un nOTA'!$A$4:$K$5003,10,FALSE),"")</f>
        <v/>
      </c>
      <c r="I4269" s="123" t="str">
        <f>IFERROR(VLOOKUP(Table1722[[#This Row],[Bukti]],Table13[#Data],11,FALSE),"")</f>
        <v/>
      </c>
    </row>
    <row r="4270" spans="1:9" hidden="1" x14ac:dyDescent="0.2">
      <c r="A4270" s="105" t="str">
        <f>IF(D4270=1,COUNTIF($D$10:D4270,1)," ")</f>
        <v xml:space="preserve"> </v>
      </c>
      <c r="B4270" s="106">
        <f>COPY!AR4262</f>
        <v>0</v>
      </c>
      <c r="C4270" s="107">
        <f>COPY!AC4262</f>
        <v>0</v>
      </c>
      <c r="D4270" s="107" t="str">
        <f>IF(LEN(Table1722[[#This Row],[Uraian]])&gt;2,1," ")</f>
        <v xml:space="preserve"> </v>
      </c>
      <c r="E4270" s="113" t="str">
        <f>IF(Table1722[[#This Row],[Lawan Transaksi]]="CV AGUNG KARYA",COUNTIF($I$10:I4270,"CV AGUNG KARYA")," ")</f>
        <v xml:space="preserve"> </v>
      </c>
      <c r="F4270" s="107" t="str">
        <f>IF(LEN(Table1722[[#This Row],[Uraian]])&gt;2,TRIM(RIGHT(SUBSTITUTE(TRIM(C4270)," ",REPT(" ",255)),255))," ")</f>
        <v xml:space="preserve"> </v>
      </c>
      <c r="G4270" s="110">
        <f>COPY!Z4262</f>
        <v>0</v>
      </c>
      <c r="H4270" s="111" t="str">
        <f>IFERROR(VLOOKUP(Table1722[[#This Row],[Bukti]],'Un nOTA'!$A$4:$K$5003,10,FALSE),"")</f>
        <v/>
      </c>
      <c r="I4270" s="123" t="str">
        <f>IFERROR(VLOOKUP(Table1722[[#This Row],[Bukti]],Table13[#Data],11,FALSE),"")</f>
        <v/>
      </c>
    </row>
    <row r="4271" spans="1:9" hidden="1" x14ac:dyDescent="0.2">
      <c r="A4271" s="105" t="str">
        <f>IF(D4271=1,COUNTIF($D$10:D4271,1)," ")</f>
        <v xml:space="preserve"> </v>
      </c>
      <c r="B4271" s="106">
        <f>COPY!AR4263</f>
        <v>0</v>
      </c>
      <c r="C4271" s="107">
        <f>COPY!AC4263</f>
        <v>0</v>
      </c>
      <c r="D4271" s="107" t="str">
        <f>IF(LEN(Table1722[[#This Row],[Uraian]])&gt;2,1," ")</f>
        <v xml:space="preserve"> </v>
      </c>
      <c r="E4271" s="113" t="str">
        <f>IF(Table1722[[#This Row],[Lawan Transaksi]]="CV AGUNG KARYA",COUNTIF($I$10:I4271,"CV AGUNG KARYA")," ")</f>
        <v xml:space="preserve"> </v>
      </c>
      <c r="F4271" s="107" t="str">
        <f>IF(LEN(Table1722[[#This Row],[Uraian]])&gt;2,TRIM(RIGHT(SUBSTITUTE(TRIM(C4271)," ",REPT(" ",255)),255))," ")</f>
        <v xml:space="preserve"> </v>
      </c>
      <c r="G4271" s="110">
        <f>COPY!Z4263</f>
        <v>0</v>
      </c>
      <c r="H4271" s="111" t="str">
        <f>IFERROR(VLOOKUP(Table1722[[#This Row],[Bukti]],'Un nOTA'!$A$4:$K$5003,10,FALSE),"")</f>
        <v/>
      </c>
      <c r="I4271" s="123" t="str">
        <f>IFERROR(VLOOKUP(Table1722[[#This Row],[Bukti]],Table13[#Data],11,FALSE),"")</f>
        <v/>
      </c>
    </row>
    <row r="4272" spans="1:9" hidden="1" x14ac:dyDescent="0.2">
      <c r="A4272" s="105" t="str">
        <f>IF(D4272=1,COUNTIF($D$10:D4272,1)," ")</f>
        <v xml:space="preserve"> </v>
      </c>
      <c r="B4272" s="106">
        <f>COPY!AR4264</f>
        <v>0</v>
      </c>
      <c r="C4272" s="107">
        <f>COPY!AC4264</f>
        <v>0</v>
      </c>
      <c r="D4272" s="107" t="str">
        <f>IF(LEN(Table1722[[#This Row],[Uraian]])&gt;2,1," ")</f>
        <v xml:space="preserve"> </v>
      </c>
      <c r="E4272" s="113" t="str">
        <f>IF(Table1722[[#This Row],[Lawan Transaksi]]="CV AGUNG KARYA",COUNTIF($I$10:I4272,"CV AGUNG KARYA")," ")</f>
        <v xml:space="preserve"> </v>
      </c>
      <c r="F4272" s="107" t="str">
        <f>IF(LEN(Table1722[[#This Row],[Uraian]])&gt;2,TRIM(RIGHT(SUBSTITUTE(TRIM(C4272)," ",REPT(" ",255)),255))," ")</f>
        <v xml:space="preserve"> </v>
      </c>
      <c r="G4272" s="110">
        <f>COPY!Z4264</f>
        <v>0</v>
      </c>
      <c r="H4272" s="111" t="str">
        <f>IFERROR(VLOOKUP(Table1722[[#This Row],[Bukti]],'Un nOTA'!$A$4:$K$5003,10,FALSE),"")</f>
        <v/>
      </c>
      <c r="I4272" s="123" t="str">
        <f>IFERROR(VLOOKUP(Table1722[[#This Row],[Bukti]],Table13[#Data],11,FALSE),"")</f>
        <v/>
      </c>
    </row>
    <row r="4273" spans="1:9" hidden="1" x14ac:dyDescent="0.2">
      <c r="A4273" s="105" t="str">
        <f>IF(D4273=1,COUNTIF($D$10:D4273,1)," ")</f>
        <v xml:space="preserve"> </v>
      </c>
      <c r="B4273" s="106">
        <f>COPY!AR4265</f>
        <v>0</v>
      </c>
      <c r="C4273" s="107">
        <f>COPY!AC4265</f>
        <v>0</v>
      </c>
      <c r="D4273" s="107" t="str">
        <f>IF(LEN(Table1722[[#This Row],[Uraian]])&gt;2,1," ")</f>
        <v xml:space="preserve"> </v>
      </c>
      <c r="E4273" s="113" t="str">
        <f>IF(Table1722[[#This Row],[Lawan Transaksi]]="CV AGUNG KARYA",COUNTIF($I$10:I4273,"CV AGUNG KARYA")," ")</f>
        <v xml:space="preserve"> </v>
      </c>
      <c r="F4273" s="107" t="str">
        <f>IF(LEN(Table1722[[#This Row],[Uraian]])&gt;2,TRIM(RIGHT(SUBSTITUTE(TRIM(C4273)," ",REPT(" ",255)),255))," ")</f>
        <v xml:space="preserve"> </v>
      </c>
      <c r="G4273" s="110">
        <f>COPY!Z4265</f>
        <v>0</v>
      </c>
      <c r="H4273" s="111" t="str">
        <f>IFERROR(VLOOKUP(Table1722[[#This Row],[Bukti]],'Un nOTA'!$A$4:$K$5003,10,FALSE),"")</f>
        <v/>
      </c>
      <c r="I4273" s="123" t="str">
        <f>IFERROR(VLOOKUP(Table1722[[#This Row],[Bukti]],Table13[#Data],11,FALSE),"")</f>
        <v/>
      </c>
    </row>
    <row r="4274" spans="1:9" hidden="1" x14ac:dyDescent="0.2">
      <c r="A4274" s="105" t="str">
        <f>IF(D4274=1,COUNTIF($D$10:D4274,1)," ")</f>
        <v xml:space="preserve"> </v>
      </c>
      <c r="B4274" s="106">
        <f>COPY!AR4266</f>
        <v>0</v>
      </c>
      <c r="C4274" s="107">
        <f>COPY!AC4266</f>
        <v>0</v>
      </c>
      <c r="D4274" s="107" t="str">
        <f>IF(LEN(Table1722[[#This Row],[Uraian]])&gt;2,1," ")</f>
        <v xml:space="preserve"> </v>
      </c>
      <c r="E4274" s="113" t="str">
        <f>IF(Table1722[[#This Row],[Lawan Transaksi]]="CV AGUNG KARYA",COUNTIF($I$10:I4274,"CV AGUNG KARYA")," ")</f>
        <v xml:space="preserve"> </v>
      </c>
      <c r="F4274" s="107" t="str">
        <f>IF(LEN(Table1722[[#This Row],[Uraian]])&gt;2,TRIM(RIGHT(SUBSTITUTE(TRIM(C4274)," ",REPT(" ",255)),255))," ")</f>
        <v xml:space="preserve"> </v>
      </c>
      <c r="G4274" s="110">
        <f>COPY!Z4266</f>
        <v>0</v>
      </c>
      <c r="H4274" s="111" t="str">
        <f>IFERROR(VLOOKUP(Table1722[[#This Row],[Bukti]],'Un nOTA'!$A$4:$K$5003,10,FALSE),"")</f>
        <v/>
      </c>
      <c r="I4274" s="123" t="str">
        <f>IFERROR(VLOOKUP(Table1722[[#This Row],[Bukti]],Table13[#Data],11,FALSE),"")</f>
        <v/>
      </c>
    </row>
    <row r="4275" spans="1:9" hidden="1" x14ac:dyDescent="0.2">
      <c r="A4275" s="105" t="str">
        <f>IF(D4275=1,COUNTIF($D$10:D4275,1)," ")</f>
        <v xml:space="preserve"> </v>
      </c>
      <c r="B4275" s="106">
        <f>COPY!AR4267</f>
        <v>0</v>
      </c>
      <c r="C4275" s="107">
        <f>COPY!AC4267</f>
        <v>0</v>
      </c>
      <c r="D4275" s="107" t="str">
        <f>IF(LEN(Table1722[[#This Row],[Uraian]])&gt;2,1," ")</f>
        <v xml:space="preserve"> </v>
      </c>
      <c r="E4275" s="113" t="str">
        <f>IF(Table1722[[#This Row],[Lawan Transaksi]]="CV AGUNG KARYA",COUNTIF($I$10:I4275,"CV AGUNG KARYA")," ")</f>
        <v xml:space="preserve"> </v>
      </c>
      <c r="F4275" s="107" t="str">
        <f>IF(LEN(Table1722[[#This Row],[Uraian]])&gt;2,TRIM(RIGHT(SUBSTITUTE(TRIM(C4275)," ",REPT(" ",255)),255))," ")</f>
        <v xml:space="preserve"> </v>
      </c>
      <c r="G4275" s="110">
        <f>COPY!Z4267</f>
        <v>0</v>
      </c>
      <c r="H4275" s="111" t="str">
        <f>IFERROR(VLOOKUP(Table1722[[#This Row],[Bukti]],'Un nOTA'!$A$4:$K$5003,10,FALSE),"")</f>
        <v/>
      </c>
      <c r="I4275" s="123" t="str">
        <f>IFERROR(VLOOKUP(Table1722[[#This Row],[Bukti]],Table13[#Data],11,FALSE),"")</f>
        <v/>
      </c>
    </row>
    <row r="4276" spans="1:9" hidden="1" x14ac:dyDescent="0.2">
      <c r="A4276" s="105" t="str">
        <f>IF(D4276=1,COUNTIF($D$10:D4276,1)," ")</f>
        <v xml:space="preserve"> </v>
      </c>
      <c r="B4276" s="106">
        <f>COPY!AR4268</f>
        <v>0</v>
      </c>
      <c r="C4276" s="107">
        <f>COPY!AC4268</f>
        <v>0</v>
      </c>
      <c r="D4276" s="107" t="str">
        <f>IF(LEN(Table1722[[#This Row],[Uraian]])&gt;2,1," ")</f>
        <v xml:space="preserve"> </v>
      </c>
      <c r="E4276" s="113" t="str">
        <f>IF(Table1722[[#This Row],[Lawan Transaksi]]="CV AGUNG KARYA",COUNTIF($I$10:I4276,"CV AGUNG KARYA")," ")</f>
        <v xml:space="preserve"> </v>
      </c>
      <c r="F4276" s="107" t="str">
        <f>IF(LEN(Table1722[[#This Row],[Uraian]])&gt;2,TRIM(RIGHT(SUBSTITUTE(TRIM(C4276)," ",REPT(" ",255)),255))," ")</f>
        <v xml:space="preserve"> </v>
      </c>
      <c r="G4276" s="110">
        <f>COPY!Z4268</f>
        <v>0</v>
      </c>
      <c r="H4276" s="111" t="str">
        <f>IFERROR(VLOOKUP(Table1722[[#This Row],[Bukti]],'Un nOTA'!$A$4:$K$5003,10,FALSE),"")</f>
        <v/>
      </c>
      <c r="I4276" s="123" t="str">
        <f>IFERROR(VLOOKUP(Table1722[[#This Row],[Bukti]],Table13[#Data],11,FALSE),"")</f>
        <v/>
      </c>
    </row>
    <row r="4277" spans="1:9" hidden="1" x14ac:dyDescent="0.2">
      <c r="A4277" s="105" t="str">
        <f>IF(D4277=1,COUNTIF($D$10:D4277,1)," ")</f>
        <v xml:space="preserve"> </v>
      </c>
      <c r="B4277" s="106">
        <f>COPY!AR4269</f>
        <v>0</v>
      </c>
      <c r="C4277" s="107">
        <f>COPY!AC4269</f>
        <v>0</v>
      </c>
      <c r="D4277" s="107" t="str">
        <f>IF(LEN(Table1722[[#This Row],[Uraian]])&gt;2,1," ")</f>
        <v xml:space="preserve"> </v>
      </c>
      <c r="E4277" s="113" t="str">
        <f>IF(Table1722[[#This Row],[Lawan Transaksi]]="CV AGUNG KARYA",COUNTIF($I$10:I4277,"CV AGUNG KARYA")," ")</f>
        <v xml:space="preserve"> </v>
      </c>
      <c r="F4277" s="107" t="str">
        <f>IF(LEN(Table1722[[#This Row],[Uraian]])&gt;2,TRIM(RIGHT(SUBSTITUTE(TRIM(C4277)," ",REPT(" ",255)),255))," ")</f>
        <v xml:space="preserve"> </v>
      </c>
      <c r="G4277" s="110">
        <f>COPY!Z4269</f>
        <v>0</v>
      </c>
      <c r="H4277" s="111" t="str">
        <f>IFERROR(VLOOKUP(Table1722[[#This Row],[Bukti]],'Un nOTA'!$A$4:$K$5003,10,FALSE),"")</f>
        <v/>
      </c>
      <c r="I4277" s="123" t="str">
        <f>IFERROR(VLOOKUP(Table1722[[#This Row],[Bukti]],Table13[#Data],11,FALSE),"")</f>
        <v/>
      </c>
    </row>
    <row r="4278" spans="1:9" hidden="1" x14ac:dyDescent="0.2">
      <c r="A4278" s="105" t="str">
        <f>IF(D4278=1,COUNTIF($D$10:D4278,1)," ")</f>
        <v xml:space="preserve"> </v>
      </c>
      <c r="B4278" s="106">
        <f>COPY!AR4270</f>
        <v>0</v>
      </c>
      <c r="C4278" s="107">
        <f>COPY!AC4270</f>
        <v>0</v>
      </c>
      <c r="D4278" s="107" t="str">
        <f>IF(LEN(Table1722[[#This Row],[Uraian]])&gt;2,1," ")</f>
        <v xml:space="preserve"> </v>
      </c>
      <c r="E4278" s="113" t="str">
        <f>IF(Table1722[[#This Row],[Lawan Transaksi]]="CV AGUNG KARYA",COUNTIF($I$10:I4278,"CV AGUNG KARYA")," ")</f>
        <v xml:space="preserve"> </v>
      </c>
      <c r="F4278" s="107" t="str">
        <f>IF(LEN(Table1722[[#This Row],[Uraian]])&gt;2,TRIM(RIGHT(SUBSTITUTE(TRIM(C4278)," ",REPT(" ",255)),255))," ")</f>
        <v xml:space="preserve"> </v>
      </c>
      <c r="G4278" s="110">
        <f>COPY!Z4270</f>
        <v>0</v>
      </c>
      <c r="H4278" s="111" t="str">
        <f>IFERROR(VLOOKUP(Table1722[[#This Row],[Bukti]],'Un nOTA'!$A$4:$K$5003,10,FALSE),"")</f>
        <v/>
      </c>
      <c r="I4278" s="123" t="str">
        <f>IFERROR(VLOOKUP(Table1722[[#This Row],[Bukti]],Table13[#Data],11,FALSE),"")</f>
        <v/>
      </c>
    </row>
    <row r="4279" spans="1:9" hidden="1" x14ac:dyDescent="0.2">
      <c r="A4279" s="105" t="str">
        <f>IF(D4279=1,COUNTIF($D$10:D4279,1)," ")</f>
        <v xml:space="preserve"> </v>
      </c>
      <c r="B4279" s="106">
        <f>COPY!AR4271</f>
        <v>0</v>
      </c>
      <c r="C4279" s="107">
        <f>COPY!AC4271</f>
        <v>0</v>
      </c>
      <c r="D4279" s="107" t="str">
        <f>IF(LEN(Table1722[[#This Row],[Uraian]])&gt;2,1," ")</f>
        <v xml:space="preserve"> </v>
      </c>
      <c r="E4279" s="113" t="str">
        <f>IF(Table1722[[#This Row],[Lawan Transaksi]]="CV AGUNG KARYA",COUNTIF($I$10:I4279,"CV AGUNG KARYA")," ")</f>
        <v xml:space="preserve"> </v>
      </c>
      <c r="F4279" s="107" t="str">
        <f>IF(LEN(Table1722[[#This Row],[Uraian]])&gt;2,TRIM(RIGHT(SUBSTITUTE(TRIM(C4279)," ",REPT(" ",255)),255))," ")</f>
        <v xml:space="preserve"> </v>
      </c>
      <c r="G4279" s="110">
        <f>COPY!Z4271</f>
        <v>0</v>
      </c>
      <c r="H4279" s="111" t="str">
        <f>IFERROR(VLOOKUP(Table1722[[#This Row],[Bukti]],'Un nOTA'!$A$4:$K$5003,10,FALSE),"")</f>
        <v/>
      </c>
      <c r="I4279" s="123" t="str">
        <f>IFERROR(VLOOKUP(Table1722[[#This Row],[Bukti]],Table13[#Data],11,FALSE),"")</f>
        <v/>
      </c>
    </row>
    <row r="4280" spans="1:9" hidden="1" x14ac:dyDescent="0.2">
      <c r="A4280" s="105" t="str">
        <f>IF(D4280=1,COUNTIF($D$10:D4280,1)," ")</f>
        <v xml:space="preserve"> </v>
      </c>
      <c r="B4280" s="106">
        <f>COPY!AR4272</f>
        <v>0</v>
      </c>
      <c r="C4280" s="107">
        <f>COPY!AC4272</f>
        <v>0</v>
      </c>
      <c r="D4280" s="107" t="str">
        <f>IF(LEN(Table1722[[#This Row],[Uraian]])&gt;2,1," ")</f>
        <v xml:space="preserve"> </v>
      </c>
      <c r="E4280" s="113" t="str">
        <f>IF(Table1722[[#This Row],[Lawan Transaksi]]="CV AGUNG KARYA",COUNTIF($I$10:I4280,"CV AGUNG KARYA")," ")</f>
        <v xml:space="preserve"> </v>
      </c>
      <c r="F4280" s="107" t="str">
        <f>IF(LEN(Table1722[[#This Row],[Uraian]])&gt;2,TRIM(RIGHT(SUBSTITUTE(TRIM(C4280)," ",REPT(" ",255)),255))," ")</f>
        <v xml:space="preserve"> </v>
      </c>
      <c r="G4280" s="110">
        <f>COPY!Z4272</f>
        <v>0</v>
      </c>
      <c r="H4280" s="111" t="str">
        <f>IFERROR(VLOOKUP(Table1722[[#This Row],[Bukti]],'Un nOTA'!$A$4:$K$5003,10,FALSE),"")</f>
        <v/>
      </c>
      <c r="I4280" s="123" t="str">
        <f>IFERROR(VLOOKUP(Table1722[[#This Row],[Bukti]],Table13[#Data],11,FALSE),"")</f>
        <v/>
      </c>
    </row>
    <row r="4281" spans="1:9" hidden="1" x14ac:dyDescent="0.2">
      <c r="A4281" s="105" t="str">
        <f>IF(D4281=1,COUNTIF($D$10:D4281,1)," ")</f>
        <v xml:space="preserve"> </v>
      </c>
      <c r="B4281" s="106">
        <f>COPY!AR4273</f>
        <v>0</v>
      </c>
      <c r="C4281" s="107">
        <f>COPY!AC4273</f>
        <v>0</v>
      </c>
      <c r="D4281" s="107" t="str">
        <f>IF(LEN(Table1722[[#This Row],[Uraian]])&gt;2,1," ")</f>
        <v xml:space="preserve"> </v>
      </c>
      <c r="E4281" s="113" t="str">
        <f>IF(Table1722[[#This Row],[Lawan Transaksi]]="CV AGUNG KARYA",COUNTIF($I$10:I4281,"CV AGUNG KARYA")," ")</f>
        <v xml:space="preserve"> </v>
      </c>
      <c r="F4281" s="107" t="str">
        <f>IF(LEN(Table1722[[#This Row],[Uraian]])&gt;2,TRIM(RIGHT(SUBSTITUTE(TRIM(C4281)," ",REPT(" ",255)),255))," ")</f>
        <v xml:space="preserve"> </v>
      </c>
      <c r="G4281" s="110">
        <f>COPY!Z4273</f>
        <v>0</v>
      </c>
      <c r="H4281" s="111" t="str">
        <f>IFERROR(VLOOKUP(Table1722[[#This Row],[Bukti]],'Un nOTA'!$A$4:$K$5003,10,FALSE),"")</f>
        <v/>
      </c>
      <c r="I4281" s="123" t="str">
        <f>IFERROR(VLOOKUP(Table1722[[#This Row],[Bukti]],Table13[#Data],11,FALSE),"")</f>
        <v/>
      </c>
    </row>
    <row r="4282" spans="1:9" hidden="1" x14ac:dyDescent="0.2">
      <c r="A4282" s="105" t="str">
        <f>IF(D4282=1,COUNTIF($D$10:D4282,1)," ")</f>
        <v xml:space="preserve"> </v>
      </c>
      <c r="B4282" s="106">
        <f>COPY!AR4274</f>
        <v>0</v>
      </c>
      <c r="C4282" s="107">
        <f>COPY!AC4274</f>
        <v>0</v>
      </c>
      <c r="D4282" s="107" t="str">
        <f>IF(LEN(Table1722[[#This Row],[Uraian]])&gt;2,1," ")</f>
        <v xml:space="preserve"> </v>
      </c>
      <c r="E4282" s="113" t="str">
        <f>IF(Table1722[[#This Row],[Lawan Transaksi]]="CV AGUNG KARYA",COUNTIF($I$10:I4282,"CV AGUNG KARYA")," ")</f>
        <v xml:space="preserve"> </v>
      </c>
      <c r="F4282" s="107" t="str">
        <f>IF(LEN(Table1722[[#This Row],[Uraian]])&gt;2,TRIM(RIGHT(SUBSTITUTE(TRIM(C4282)," ",REPT(" ",255)),255))," ")</f>
        <v xml:space="preserve"> </v>
      </c>
      <c r="G4282" s="110">
        <f>COPY!Z4274</f>
        <v>0</v>
      </c>
      <c r="H4282" s="111" t="str">
        <f>IFERROR(VLOOKUP(Table1722[[#This Row],[Bukti]],'Un nOTA'!$A$4:$K$5003,10,FALSE),"")</f>
        <v/>
      </c>
      <c r="I4282" s="123" t="str">
        <f>IFERROR(VLOOKUP(Table1722[[#This Row],[Bukti]],Table13[#Data],11,FALSE),"")</f>
        <v/>
      </c>
    </row>
    <row r="4283" spans="1:9" hidden="1" x14ac:dyDescent="0.2">
      <c r="A4283" s="105" t="str">
        <f>IF(D4283=1,COUNTIF($D$10:D4283,1)," ")</f>
        <v xml:space="preserve"> </v>
      </c>
      <c r="B4283" s="106">
        <f>COPY!AR4275</f>
        <v>0</v>
      </c>
      <c r="C4283" s="107">
        <f>COPY!AC4275</f>
        <v>0</v>
      </c>
      <c r="D4283" s="107" t="str">
        <f>IF(LEN(Table1722[[#This Row],[Uraian]])&gt;2,1," ")</f>
        <v xml:space="preserve"> </v>
      </c>
      <c r="E4283" s="113" t="str">
        <f>IF(Table1722[[#This Row],[Lawan Transaksi]]="CV AGUNG KARYA",COUNTIF($I$10:I4283,"CV AGUNG KARYA")," ")</f>
        <v xml:space="preserve"> </v>
      </c>
      <c r="F4283" s="107" t="str">
        <f>IF(LEN(Table1722[[#This Row],[Uraian]])&gt;2,TRIM(RIGHT(SUBSTITUTE(TRIM(C4283)," ",REPT(" ",255)),255))," ")</f>
        <v xml:space="preserve"> </v>
      </c>
      <c r="G4283" s="110">
        <f>COPY!Z4275</f>
        <v>0</v>
      </c>
      <c r="H4283" s="111" t="str">
        <f>IFERROR(VLOOKUP(Table1722[[#This Row],[Bukti]],'Un nOTA'!$A$4:$K$5003,10,FALSE),"")</f>
        <v/>
      </c>
      <c r="I4283" s="123" t="str">
        <f>IFERROR(VLOOKUP(Table1722[[#This Row],[Bukti]],Table13[#Data],11,FALSE),"")</f>
        <v/>
      </c>
    </row>
    <row r="4284" spans="1:9" hidden="1" x14ac:dyDescent="0.2">
      <c r="A4284" s="105" t="str">
        <f>IF(D4284=1,COUNTIF($D$10:D4284,1)," ")</f>
        <v xml:space="preserve"> </v>
      </c>
      <c r="B4284" s="106">
        <f>COPY!AR4276</f>
        <v>0</v>
      </c>
      <c r="C4284" s="107">
        <f>COPY!AC4276</f>
        <v>0</v>
      </c>
      <c r="D4284" s="107" t="str">
        <f>IF(LEN(Table1722[[#This Row],[Uraian]])&gt;2,1," ")</f>
        <v xml:space="preserve"> </v>
      </c>
      <c r="E4284" s="113" t="str">
        <f>IF(Table1722[[#This Row],[Lawan Transaksi]]="CV AGUNG KARYA",COUNTIF($I$10:I4284,"CV AGUNG KARYA")," ")</f>
        <v xml:space="preserve"> </v>
      </c>
      <c r="F4284" s="107" t="str">
        <f>IF(LEN(Table1722[[#This Row],[Uraian]])&gt;2,TRIM(RIGHT(SUBSTITUTE(TRIM(C4284)," ",REPT(" ",255)),255))," ")</f>
        <v xml:space="preserve"> </v>
      </c>
      <c r="G4284" s="110">
        <f>COPY!Z4276</f>
        <v>0</v>
      </c>
      <c r="H4284" s="111" t="str">
        <f>IFERROR(VLOOKUP(Table1722[[#This Row],[Bukti]],'Un nOTA'!$A$4:$K$5003,10,FALSE),"")</f>
        <v/>
      </c>
      <c r="I4284" s="123" t="str">
        <f>IFERROR(VLOOKUP(Table1722[[#This Row],[Bukti]],Table13[#Data],11,FALSE),"")</f>
        <v/>
      </c>
    </row>
    <row r="4285" spans="1:9" hidden="1" x14ac:dyDescent="0.2">
      <c r="A4285" s="105" t="str">
        <f>IF(D4285=1,COUNTIF($D$10:D4285,1)," ")</f>
        <v xml:space="preserve"> </v>
      </c>
      <c r="B4285" s="106">
        <f>COPY!AR4277</f>
        <v>0</v>
      </c>
      <c r="C4285" s="107">
        <f>COPY!AC4277</f>
        <v>0</v>
      </c>
      <c r="D4285" s="107" t="str">
        <f>IF(LEN(Table1722[[#This Row],[Uraian]])&gt;2,1," ")</f>
        <v xml:space="preserve"> </v>
      </c>
      <c r="E4285" s="113" t="str">
        <f>IF(Table1722[[#This Row],[Lawan Transaksi]]="CV AGUNG KARYA",COUNTIF($I$10:I4285,"CV AGUNG KARYA")," ")</f>
        <v xml:space="preserve"> </v>
      </c>
      <c r="F4285" s="107" t="str">
        <f>IF(LEN(Table1722[[#This Row],[Uraian]])&gt;2,TRIM(RIGHT(SUBSTITUTE(TRIM(C4285)," ",REPT(" ",255)),255))," ")</f>
        <v xml:space="preserve"> </v>
      </c>
      <c r="G4285" s="110">
        <f>COPY!Z4277</f>
        <v>0</v>
      </c>
      <c r="H4285" s="111" t="str">
        <f>IFERROR(VLOOKUP(Table1722[[#This Row],[Bukti]],'Un nOTA'!$A$4:$K$5003,10,FALSE),"")</f>
        <v/>
      </c>
      <c r="I4285" s="123" t="str">
        <f>IFERROR(VLOOKUP(Table1722[[#This Row],[Bukti]],Table13[#Data],11,FALSE),"")</f>
        <v/>
      </c>
    </row>
    <row r="4286" spans="1:9" hidden="1" x14ac:dyDescent="0.2">
      <c r="A4286" s="105" t="str">
        <f>IF(D4286=1,COUNTIF($D$10:D4286,1)," ")</f>
        <v xml:space="preserve"> </v>
      </c>
      <c r="B4286" s="106">
        <f>COPY!AR4278</f>
        <v>0</v>
      </c>
      <c r="C4286" s="107">
        <f>COPY!AC4278</f>
        <v>0</v>
      </c>
      <c r="D4286" s="107" t="str">
        <f>IF(LEN(Table1722[[#This Row],[Uraian]])&gt;2,1," ")</f>
        <v xml:space="preserve"> </v>
      </c>
      <c r="E4286" s="113" t="str">
        <f>IF(Table1722[[#This Row],[Lawan Transaksi]]="CV AGUNG KARYA",COUNTIF($I$10:I4286,"CV AGUNG KARYA")," ")</f>
        <v xml:space="preserve"> </v>
      </c>
      <c r="F4286" s="107" t="str">
        <f>IF(LEN(Table1722[[#This Row],[Uraian]])&gt;2,TRIM(RIGHT(SUBSTITUTE(TRIM(C4286)," ",REPT(" ",255)),255))," ")</f>
        <v xml:space="preserve"> </v>
      </c>
      <c r="G4286" s="110">
        <f>COPY!Z4278</f>
        <v>0</v>
      </c>
      <c r="H4286" s="111" t="str">
        <f>IFERROR(VLOOKUP(Table1722[[#This Row],[Bukti]],'Un nOTA'!$A$4:$K$5003,10,FALSE),"")</f>
        <v/>
      </c>
      <c r="I4286" s="123" t="str">
        <f>IFERROR(VLOOKUP(Table1722[[#This Row],[Bukti]],Table13[#Data],11,FALSE),"")</f>
        <v/>
      </c>
    </row>
    <row r="4287" spans="1:9" hidden="1" x14ac:dyDescent="0.2">
      <c r="A4287" s="105" t="str">
        <f>IF(D4287=1,COUNTIF($D$10:D4287,1)," ")</f>
        <v xml:space="preserve"> </v>
      </c>
      <c r="B4287" s="106">
        <f>COPY!AR4279</f>
        <v>0</v>
      </c>
      <c r="C4287" s="107">
        <f>COPY!AC4279</f>
        <v>0</v>
      </c>
      <c r="D4287" s="107" t="str">
        <f>IF(LEN(Table1722[[#This Row],[Uraian]])&gt;2,1," ")</f>
        <v xml:space="preserve"> </v>
      </c>
      <c r="E4287" s="113" t="str">
        <f>IF(Table1722[[#This Row],[Lawan Transaksi]]="CV AGUNG KARYA",COUNTIF($I$10:I4287,"CV AGUNG KARYA")," ")</f>
        <v xml:space="preserve"> </v>
      </c>
      <c r="F4287" s="107" t="str">
        <f>IF(LEN(Table1722[[#This Row],[Uraian]])&gt;2,TRIM(RIGHT(SUBSTITUTE(TRIM(C4287)," ",REPT(" ",255)),255))," ")</f>
        <v xml:space="preserve"> </v>
      </c>
      <c r="G4287" s="110">
        <f>COPY!Z4279</f>
        <v>0</v>
      </c>
      <c r="H4287" s="111" t="str">
        <f>IFERROR(VLOOKUP(Table1722[[#This Row],[Bukti]],'Un nOTA'!$A$4:$K$5003,10,FALSE),"")</f>
        <v/>
      </c>
      <c r="I4287" s="123" t="str">
        <f>IFERROR(VLOOKUP(Table1722[[#This Row],[Bukti]],Table13[#Data],11,FALSE),"")</f>
        <v/>
      </c>
    </row>
    <row r="4288" spans="1:9" hidden="1" x14ac:dyDescent="0.2">
      <c r="A4288" s="105" t="str">
        <f>IF(D4288=1,COUNTIF($D$10:D4288,1)," ")</f>
        <v xml:space="preserve"> </v>
      </c>
      <c r="B4288" s="106">
        <f>COPY!AR4280</f>
        <v>0</v>
      </c>
      <c r="C4288" s="107">
        <f>COPY!AC4280</f>
        <v>0</v>
      </c>
      <c r="D4288" s="107" t="str">
        <f>IF(LEN(Table1722[[#This Row],[Uraian]])&gt;2,1," ")</f>
        <v xml:space="preserve"> </v>
      </c>
      <c r="E4288" s="113" t="str">
        <f>IF(Table1722[[#This Row],[Lawan Transaksi]]="CV AGUNG KARYA",COUNTIF($I$10:I4288,"CV AGUNG KARYA")," ")</f>
        <v xml:space="preserve"> </v>
      </c>
      <c r="F4288" s="107" t="str">
        <f>IF(LEN(Table1722[[#This Row],[Uraian]])&gt;2,TRIM(RIGHT(SUBSTITUTE(TRIM(C4288)," ",REPT(" ",255)),255))," ")</f>
        <v xml:space="preserve"> </v>
      </c>
      <c r="G4288" s="110">
        <f>COPY!Z4280</f>
        <v>0</v>
      </c>
      <c r="H4288" s="111" t="str">
        <f>IFERROR(VLOOKUP(Table1722[[#This Row],[Bukti]],'Un nOTA'!$A$4:$K$5003,10,FALSE),"")</f>
        <v/>
      </c>
      <c r="I4288" s="123" t="str">
        <f>IFERROR(VLOOKUP(Table1722[[#This Row],[Bukti]],Table13[#Data],11,FALSE),"")</f>
        <v/>
      </c>
    </row>
    <row r="4289" spans="1:9" hidden="1" x14ac:dyDescent="0.2">
      <c r="A4289" s="105" t="str">
        <f>IF(D4289=1,COUNTIF($D$10:D4289,1)," ")</f>
        <v xml:space="preserve"> </v>
      </c>
      <c r="B4289" s="106">
        <f>COPY!AR4281</f>
        <v>0</v>
      </c>
      <c r="C4289" s="107">
        <f>COPY!AC4281</f>
        <v>0</v>
      </c>
      <c r="D4289" s="107" t="str">
        <f>IF(LEN(Table1722[[#This Row],[Uraian]])&gt;2,1," ")</f>
        <v xml:space="preserve"> </v>
      </c>
      <c r="E4289" s="113" t="str">
        <f>IF(Table1722[[#This Row],[Lawan Transaksi]]="CV AGUNG KARYA",COUNTIF($I$10:I4289,"CV AGUNG KARYA")," ")</f>
        <v xml:space="preserve"> </v>
      </c>
      <c r="F4289" s="107" t="str">
        <f>IF(LEN(Table1722[[#This Row],[Uraian]])&gt;2,TRIM(RIGHT(SUBSTITUTE(TRIM(C4289)," ",REPT(" ",255)),255))," ")</f>
        <v xml:space="preserve"> </v>
      </c>
      <c r="G4289" s="110">
        <f>COPY!Z4281</f>
        <v>0</v>
      </c>
      <c r="H4289" s="111" t="str">
        <f>IFERROR(VLOOKUP(Table1722[[#This Row],[Bukti]],'Un nOTA'!$A$4:$K$5003,10,FALSE),"")</f>
        <v/>
      </c>
      <c r="I4289" s="123" t="str">
        <f>IFERROR(VLOOKUP(Table1722[[#This Row],[Bukti]],Table13[#Data],11,FALSE),"")</f>
        <v/>
      </c>
    </row>
    <row r="4290" spans="1:9" hidden="1" x14ac:dyDescent="0.2">
      <c r="A4290" s="105" t="str">
        <f>IF(D4290=1,COUNTIF($D$10:D4290,1)," ")</f>
        <v xml:space="preserve"> </v>
      </c>
      <c r="B4290" s="106">
        <f>COPY!AR4282</f>
        <v>0</v>
      </c>
      <c r="C4290" s="107">
        <f>COPY!AC4282</f>
        <v>0</v>
      </c>
      <c r="D4290" s="107" t="str">
        <f>IF(LEN(Table1722[[#This Row],[Uraian]])&gt;2,1," ")</f>
        <v xml:space="preserve"> </v>
      </c>
      <c r="E4290" s="113" t="str">
        <f>IF(Table1722[[#This Row],[Lawan Transaksi]]="CV AGUNG KARYA",COUNTIF($I$10:I4290,"CV AGUNG KARYA")," ")</f>
        <v xml:space="preserve"> </v>
      </c>
      <c r="F4290" s="107" t="str">
        <f>IF(LEN(Table1722[[#This Row],[Uraian]])&gt;2,TRIM(RIGHT(SUBSTITUTE(TRIM(C4290)," ",REPT(" ",255)),255))," ")</f>
        <v xml:space="preserve"> </v>
      </c>
      <c r="G4290" s="110">
        <f>COPY!Z4282</f>
        <v>0</v>
      </c>
      <c r="H4290" s="111" t="str">
        <f>IFERROR(VLOOKUP(Table1722[[#This Row],[Bukti]],'Un nOTA'!$A$4:$K$5003,10,FALSE),"")</f>
        <v/>
      </c>
      <c r="I4290" s="123" t="str">
        <f>IFERROR(VLOOKUP(Table1722[[#This Row],[Bukti]],Table13[#Data],11,FALSE),"")</f>
        <v/>
      </c>
    </row>
    <row r="4291" spans="1:9" hidden="1" x14ac:dyDescent="0.2">
      <c r="A4291" s="105" t="str">
        <f>IF(D4291=1,COUNTIF($D$10:D4291,1)," ")</f>
        <v xml:space="preserve"> </v>
      </c>
      <c r="B4291" s="106">
        <f>COPY!AR4283</f>
        <v>0</v>
      </c>
      <c r="C4291" s="107">
        <f>COPY!AC4283</f>
        <v>0</v>
      </c>
      <c r="D4291" s="107" t="str">
        <f>IF(LEN(Table1722[[#This Row],[Uraian]])&gt;2,1," ")</f>
        <v xml:space="preserve"> </v>
      </c>
      <c r="E4291" s="113" t="str">
        <f>IF(Table1722[[#This Row],[Lawan Transaksi]]="CV AGUNG KARYA",COUNTIF($I$10:I4291,"CV AGUNG KARYA")," ")</f>
        <v xml:space="preserve"> </v>
      </c>
      <c r="F4291" s="107" t="str">
        <f>IF(LEN(Table1722[[#This Row],[Uraian]])&gt;2,TRIM(RIGHT(SUBSTITUTE(TRIM(C4291)," ",REPT(" ",255)),255))," ")</f>
        <v xml:space="preserve"> </v>
      </c>
      <c r="G4291" s="110">
        <f>COPY!Z4283</f>
        <v>0</v>
      </c>
      <c r="H4291" s="111" t="str">
        <f>IFERROR(VLOOKUP(Table1722[[#This Row],[Bukti]],'Un nOTA'!$A$4:$K$5003,10,FALSE),"")</f>
        <v/>
      </c>
      <c r="I4291" s="123" t="str">
        <f>IFERROR(VLOOKUP(Table1722[[#This Row],[Bukti]],Table13[#Data],11,FALSE),"")</f>
        <v/>
      </c>
    </row>
    <row r="4292" spans="1:9" hidden="1" x14ac:dyDescent="0.2">
      <c r="A4292" s="105" t="str">
        <f>IF(D4292=1,COUNTIF($D$10:D4292,1)," ")</f>
        <v xml:space="preserve"> </v>
      </c>
      <c r="B4292" s="106">
        <f>COPY!AR4284</f>
        <v>0</v>
      </c>
      <c r="C4292" s="107">
        <f>COPY!AC4284</f>
        <v>0</v>
      </c>
      <c r="D4292" s="107" t="str">
        <f>IF(LEN(Table1722[[#This Row],[Uraian]])&gt;2,1," ")</f>
        <v xml:space="preserve"> </v>
      </c>
      <c r="E4292" s="113" t="str">
        <f>IF(Table1722[[#This Row],[Lawan Transaksi]]="CV AGUNG KARYA",COUNTIF($I$10:I4292,"CV AGUNG KARYA")," ")</f>
        <v xml:space="preserve"> </v>
      </c>
      <c r="F4292" s="107" t="str">
        <f>IF(LEN(Table1722[[#This Row],[Uraian]])&gt;2,TRIM(RIGHT(SUBSTITUTE(TRIM(C4292)," ",REPT(" ",255)),255))," ")</f>
        <v xml:space="preserve"> </v>
      </c>
      <c r="G4292" s="110">
        <f>COPY!Z4284</f>
        <v>0</v>
      </c>
      <c r="H4292" s="111" t="str">
        <f>IFERROR(VLOOKUP(Table1722[[#This Row],[Bukti]],'Un nOTA'!$A$4:$K$5003,10,FALSE),"")</f>
        <v/>
      </c>
      <c r="I4292" s="123" t="str">
        <f>IFERROR(VLOOKUP(Table1722[[#This Row],[Bukti]],Table13[#Data],11,FALSE),"")</f>
        <v/>
      </c>
    </row>
    <row r="4293" spans="1:9" hidden="1" x14ac:dyDescent="0.2">
      <c r="A4293" s="105" t="str">
        <f>IF(D4293=1,COUNTIF($D$10:D4293,1)," ")</f>
        <v xml:space="preserve"> </v>
      </c>
      <c r="B4293" s="106">
        <f>COPY!AR4285</f>
        <v>0</v>
      </c>
      <c r="C4293" s="107">
        <f>COPY!AC4285</f>
        <v>0</v>
      </c>
      <c r="D4293" s="107" t="str">
        <f>IF(LEN(Table1722[[#This Row],[Uraian]])&gt;2,1," ")</f>
        <v xml:space="preserve"> </v>
      </c>
      <c r="E4293" s="113" t="str">
        <f>IF(Table1722[[#This Row],[Lawan Transaksi]]="CV AGUNG KARYA",COUNTIF($I$10:I4293,"CV AGUNG KARYA")," ")</f>
        <v xml:space="preserve"> </v>
      </c>
      <c r="F4293" s="107" t="str">
        <f>IF(LEN(Table1722[[#This Row],[Uraian]])&gt;2,TRIM(RIGHT(SUBSTITUTE(TRIM(C4293)," ",REPT(" ",255)),255))," ")</f>
        <v xml:space="preserve"> </v>
      </c>
      <c r="G4293" s="110">
        <f>COPY!Z4285</f>
        <v>0</v>
      </c>
      <c r="H4293" s="111" t="str">
        <f>IFERROR(VLOOKUP(Table1722[[#This Row],[Bukti]],'Un nOTA'!$A$4:$K$5003,10,FALSE),"")</f>
        <v/>
      </c>
      <c r="I4293" s="123" t="str">
        <f>IFERROR(VLOOKUP(Table1722[[#This Row],[Bukti]],Table13[#Data],11,FALSE),"")</f>
        <v/>
      </c>
    </row>
    <row r="4294" spans="1:9" hidden="1" x14ac:dyDescent="0.2">
      <c r="A4294" s="105" t="str">
        <f>IF(D4294=1,COUNTIF($D$10:D4294,1)," ")</f>
        <v xml:space="preserve"> </v>
      </c>
      <c r="B4294" s="106">
        <f>COPY!AR4286</f>
        <v>0</v>
      </c>
      <c r="C4294" s="107">
        <f>COPY!AC4286</f>
        <v>0</v>
      </c>
      <c r="D4294" s="107" t="str">
        <f>IF(LEN(Table1722[[#This Row],[Uraian]])&gt;2,1," ")</f>
        <v xml:space="preserve"> </v>
      </c>
      <c r="E4294" s="113" t="str">
        <f>IF(Table1722[[#This Row],[Lawan Transaksi]]="CV AGUNG KARYA",COUNTIF($I$10:I4294,"CV AGUNG KARYA")," ")</f>
        <v xml:space="preserve"> </v>
      </c>
      <c r="F4294" s="107" t="str">
        <f>IF(LEN(Table1722[[#This Row],[Uraian]])&gt;2,TRIM(RIGHT(SUBSTITUTE(TRIM(C4294)," ",REPT(" ",255)),255))," ")</f>
        <v xml:space="preserve"> </v>
      </c>
      <c r="G4294" s="110">
        <f>COPY!Z4286</f>
        <v>0</v>
      </c>
      <c r="H4294" s="111" t="str">
        <f>IFERROR(VLOOKUP(Table1722[[#This Row],[Bukti]],'Un nOTA'!$A$4:$K$5003,10,FALSE),"")</f>
        <v/>
      </c>
      <c r="I4294" s="123" t="str">
        <f>IFERROR(VLOOKUP(Table1722[[#This Row],[Bukti]],Table13[#Data],11,FALSE),"")</f>
        <v/>
      </c>
    </row>
    <row r="4295" spans="1:9" hidden="1" x14ac:dyDescent="0.2">
      <c r="A4295" s="105" t="str">
        <f>IF(D4295=1,COUNTIF($D$10:D4295,1)," ")</f>
        <v xml:space="preserve"> </v>
      </c>
      <c r="B4295" s="106">
        <f>COPY!AR4287</f>
        <v>0</v>
      </c>
      <c r="C4295" s="107">
        <f>COPY!AC4287</f>
        <v>0</v>
      </c>
      <c r="D4295" s="107" t="str">
        <f>IF(LEN(Table1722[[#This Row],[Uraian]])&gt;2,1," ")</f>
        <v xml:space="preserve"> </v>
      </c>
      <c r="E4295" s="113" t="str">
        <f>IF(Table1722[[#This Row],[Lawan Transaksi]]="CV AGUNG KARYA",COUNTIF($I$10:I4295,"CV AGUNG KARYA")," ")</f>
        <v xml:space="preserve"> </v>
      </c>
      <c r="F4295" s="107" t="str">
        <f>IF(LEN(Table1722[[#This Row],[Uraian]])&gt;2,TRIM(RIGHT(SUBSTITUTE(TRIM(C4295)," ",REPT(" ",255)),255))," ")</f>
        <v xml:space="preserve"> </v>
      </c>
      <c r="G4295" s="110">
        <f>COPY!Z4287</f>
        <v>0</v>
      </c>
      <c r="H4295" s="111" t="str">
        <f>IFERROR(VLOOKUP(Table1722[[#This Row],[Bukti]],'Un nOTA'!$A$4:$K$5003,10,FALSE),"")</f>
        <v/>
      </c>
      <c r="I4295" s="123" t="str">
        <f>IFERROR(VLOOKUP(Table1722[[#This Row],[Bukti]],Table13[#Data],11,FALSE),"")</f>
        <v/>
      </c>
    </row>
    <row r="4296" spans="1:9" hidden="1" x14ac:dyDescent="0.2">
      <c r="A4296" s="105" t="str">
        <f>IF(D4296=1,COUNTIF($D$10:D4296,1)," ")</f>
        <v xml:space="preserve"> </v>
      </c>
      <c r="B4296" s="106">
        <f>COPY!AR4288</f>
        <v>0</v>
      </c>
      <c r="C4296" s="107">
        <f>COPY!AC4288</f>
        <v>0</v>
      </c>
      <c r="D4296" s="107" t="str">
        <f>IF(LEN(Table1722[[#This Row],[Uraian]])&gt;2,1," ")</f>
        <v xml:space="preserve"> </v>
      </c>
      <c r="E4296" s="113" t="str">
        <f>IF(Table1722[[#This Row],[Lawan Transaksi]]="CV AGUNG KARYA",COUNTIF($I$10:I4296,"CV AGUNG KARYA")," ")</f>
        <v xml:space="preserve"> </v>
      </c>
      <c r="F4296" s="107" t="str">
        <f>IF(LEN(Table1722[[#This Row],[Uraian]])&gt;2,TRIM(RIGHT(SUBSTITUTE(TRIM(C4296)," ",REPT(" ",255)),255))," ")</f>
        <v xml:space="preserve"> </v>
      </c>
      <c r="G4296" s="110">
        <f>COPY!Z4288</f>
        <v>0</v>
      </c>
      <c r="H4296" s="111" t="str">
        <f>IFERROR(VLOOKUP(Table1722[[#This Row],[Bukti]],'Un nOTA'!$A$4:$K$5003,10,FALSE),"")</f>
        <v/>
      </c>
      <c r="I4296" s="123" t="str">
        <f>IFERROR(VLOOKUP(Table1722[[#This Row],[Bukti]],Table13[#Data],11,FALSE),"")</f>
        <v/>
      </c>
    </row>
    <row r="4297" spans="1:9" hidden="1" x14ac:dyDescent="0.2">
      <c r="A4297" s="105" t="str">
        <f>IF(D4297=1,COUNTIF($D$10:D4297,1)," ")</f>
        <v xml:space="preserve"> </v>
      </c>
      <c r="B4297" s="106">
        <f>COPY!AR4289</f>
        <v>0</v>
      </c>
      <c r="C4297" s="107">
        <f>COPY!AC4289</f>
        <v>0</v>
      </c>
      <c r="D4297" s="107" t="str">
        <f>IF(LEN(Table1722[[#This Row],[Uraian]])&gt;2,1," ")</f>
        <v xml:space="preserve"> </v>
      </c>
      <c r="E4297" s="113" t="str">
        <f>IF(Table1722[[#This Row],[Lawan Transaksi]]="CV AGUNG KARYA",COUNTIF($I$10:I4297,"CV AGUNG KARYA")," ")</f>
        <v xml:space="preserve"> </v>
      </c>
      <c r="F4297" s="107" t="str">
        <f>IF(LEN(Table1722[[#This Row],[Uraian]])&gt;2,TRIM(RIGHT(SUBSTITUTE(TRIM(C4297)," ",REPT(" ",255)),255))," ")</f>
        <v xml:space="preserve"> </v>
      </c>
      <c r="G4297" s="110">
        <f>COPY!Z4289</f>
        <v>0</v>
      </c>
      <c r="H4297" s="111" t="str">
        <f>IFERROR(VLOOKUP(Table1722[[#This Row],[Bukti]],'Un nOTA'!$A$4:$K$5003,10,FALSE),"")</f>
        <v/>
      </c>
      <c r="I4297" s="123" t="str">
        <f>IFERROR(VLOOKUP(Table1722[[#This Row],[Bukti]],Table13[#Data],11,FALSE),"")</f>
        <v/>
      </c>
    </row>
    <row r="4298" spans="1:9" hidden="1" x14ac:dyDescent="0.2">
      <c r="A4298" s="105" t="str">
        <f>IF(D4298=1,COUNTIF($D$10:D4298,1)," ")</f>
        <v xml:space="preserve"> </v>
      </c>
      <c r="B4298" s="106">
        <f>COPY!AR4290</f>
        <v>0</v>
      </c>
      <c r="C4298" s="107">
        <f>COPY!AC4290</f>
        <v>0</v>
      </c>
      <c r="D4298" s="107" t="str">
        <f>IF(LEN(Table1722[[#This Row],[Uraian]])&gt;2,1," ")</f>
        <v xml:space="preserve"> </v>
      </c>
      <c r="E4298" s="113" t="str">
        <f>IF(Table1722[[#This Row],[Lawan Transaksi]]="CV AGUNG KARYA",COUNTIF($I$10:I4298,"CV AGUNG KARYA")," ")</f>
        <v xml:space="preserve"> </v>
      </c>
      <c r="F4298" s="107" t="str">
        <f>IF(LEN(Table1722[[#This Row],[Uraian]])&gt;2,TRIM(RIGHT(SUBSTITUTE(TRIM(C4298)," ",REPT(" ",255)),255))," ")</f>
        <v xml:space="preserve"> </v>
      </c>
      <c r="G4298" s="110">
        <f>COPY!Z4290</f>
        <v>0</v>
      </c>
      <c r="H4298" s="111" t="str">
        <f>IFERROR(VLOOKUP(Table1722[[#This Row],[Bukti]],'Un nOTA'!$A$4:$K$5003,10,FALSE),"")</f>
        <v/>
      </c>
      <c r="I4298" s="123" t="str">
        <f>IFERROR(VLOOKUP(Table1722[[#This Row],[Bukti]],Table13[#Data],11,FALSE),"")</f>
        <v/>
      </c>
    </row>
    <row r="4299" spans="1:9" hidden="1" x14ac:dyDescent="0.2">
      <c r="A4299" s="105" t="str">
        <f>IF(D4299=1,COUNTIF($D$10:D4299,1)," ")</f>
        <v xml:space="preserve"> </v>
      </c>
      <c r="B4299" s="106">
        <f>COPY!AR4291</f>
        <v>0</v>
      </c>
      <c r="C4299" s="107">
        <f>COPY!AC4291</f>
        <v>0</v>
      </c>
      <c r="D4299" s="107" t="str">
        <f>IF(LEN(Table1722[[#This Row],[Uraian]])&gt;2,1," ")</f>
        <v xml:space="preserve"> </v>
      </c>
      <c r="E4299" s="113" t="str">
        <f>IF(Table1722[[#This Row],[Lawan Transaksi]]="CV AGUNG KARYA",COUNTIF($I$10:I4299,"CV AGUNG KARYA")," ")</f>
        <v xml:space="preserve"> </v>
      </c>
      <c r="F4299" s="107" t="str">
        <f>IF(LEN(Table1722[[#This Row],[Uraian]])&gt;2,TRIM(RIGHT(SUBSTITUTE(TRIM(C4299)," ",REPT(" ",255)),255))," ")</f>
        <v xml:space="preserve"> </v>
      </c>
      <c r="G4299" s="110">
        <f>COPY!Z4291</f>
        <v>0</v>
      </c>
      <c r="H4299" s="111" t="str">
        <f>IFERROR(VLOOKUP(Table1722[[#This Row],[Bukti]],'Un nOTA'!$A$4:$K$5003,10,FALSE),"")</f>
        <v/>
      </c>
      <c r="I4299" s="123" t="str">
        <f>IFERROR(VLOOKUP(Table1722[[#This Row],[Bukti]],Table13[#Data],11,FALSE),"")</f>
        <v/>
      </c>
    </row>
    <row r="4300" spans="1:9" hidden="1" x14ac:dyDescent="0.2">
      <c r="A4300" s="105" t="str">
        <f>IF(D4300=1,COUNTIF($D$10:D4300,1)," ")</f>
        <v xml:space="preserve"> </v>
      </c>
      <c r="B4300" s="106">
        <f>COPY!AR4292</f>
        <v>0</v>
      </c>
      <c r="C4300" s="107">
        <f>COPY!AC4292</f>
        <v>0</v>
      </c>
      <c r="D4300" s="107" t="str">
        <f>IF(LEN(Table1722[[#This Row],[Uraian]])&gt;2,1," ")</f>
        <v xml:space="preserve"> </v>
      </c>
      <c r="E4300" s="113" t="str">
        <f>IF(Table1722[[#This Row],[Lawan Transaksi]]="CV AGUNG KARYA",COUNTIF($I$10:I4300,"CV AGUNG KARYA")," ")</f>
        <v xml:space="preserve"> </v>
      </c>
      <c r="F4300" s="107" t="str">
        <f>IF(LEN(Table1722[[#This Row],[Uraian]])&gt;2,TRIM(RIGHT(SUBSTITUTE(TRIM(C4300)," ",REPT(" ",255)),255))," ")</f>
        <v xml:space="preserve"> </v>
      </c>
      <c r="G4300" s="110">
        <f>COPY!Z4292</f>
        <v>0</v>
      </c>
      <c r="H4300" s="111" t="str">
        <f>IFERROR(VLOOKUP(Table1722[[#This Row],[Bukti]],'Un nOTA'!$A$4:$K$5003,10,FALSE),"")</f>
        <v/>
      </c>
      <c r="I4300" s="123" t="str">
        <f>IFERROR(VLOOKUP(Table1722[[#This Row],[Bukti]],Table13[#Data],11,FALSE),"")</f>
        <v/>
      </c>
    </row>
    <row r="4301" spans="1:9" hidden="1" x14ac:dyDescent="0.2">
      <c r="A4301" s="105" t="str">
        <f>IF(D4301=1,COUNTIF($D$10:D4301,1)," ")</f>
        <v xml:space="preserve"> </v>
      </c>
      <c r="B4301" s="106">
        <f>COPY!AR4293</f>
        <v>0</v>
      </c>
      <c r="C4301" s="107">
        <f>COPY!AC4293</f>
        <v>0</v>
      </c>
      <c r="D4301" s="107" t="str">
        <f>IF(LEN(Table1722[[#This Row],[Uraian]])&gt;2,1," ")</f>
        <v xml:space="preserve"> </v>
      </c>
      <c r="E4301" s="113" t="str">
        <f>IF(Table1722[[#This Row],[Lawan Transaksi]]="CV AGUNG KARYA",COUNTIF($I$10:I4301,"CV AGUNG KARYA")," ")</f>
        <v xml:space="preserve"> </v>
      </c>
      <c r="F4301" s="107" t="str">
        <f>IF(LEN(Table1722[[#This Row],[Uraian]])&gt;2,TRIM(RIGHT(SUBSTITUTE(TRIM(C4301)," ",REPT(" ",255)),255))," ")</f>
        <v xml:space="preserve"> </v>
      </c>
      <c r="G4301" s="110">
        <f>COPY!Z4293</f>
        <v>0</v>
      </c>
      <c r="H4301" s="111" t="str">
        <f>IFERROR(VLOOKUP(Table1722[[#This Row],[Bukti]],'Un nOTA'!$A$4:$K$5003,10,FALSE),"")</f>
        <v/>
      </c>
      <c r="I4301" s="123" t="str">
        <f>IFERROR(VLOOKUP(Table1722[[#This Row],[Bukti]],Table13[#Data],11,FALSE),"")</f>
        <v/>
      </c>
    </row>
    <row r="4302" spans="1:9" hidden="1" x14ac:dyDescent="0.2">
      <c r="A4302" s="105" t="str">
        <f>IF(D4302=1,COUNTIF($D$10:D4302,1)," ")</f>
        <v xml:space="preserve"> </v>
      </c>
      <c r="B4302" s="106">
        <f>COPY!AR4294</f>
        <v>0</v>
      </c>
      <c r="C4302" s="107">
        <f>COPY!AC4294</f>
        <v>0</v>
      </c>
      <c r="D4302" s="107" t="str">
        <f>IF(LEN(Table1722[[#This Row],[Uraian]])&gt;2,1," ")</f>
        <v xml:space="preserve"> </v>
      </c>
      <c r="E4302" s="113" t="str">
        <f>IF(Table1722[[#This Row],[Lawan Transaksi]]="CV AGUNG KARYA",COUNTIF($I$10:I4302,"CV AGUNG KARYA")," ")</f>
        <v xml:space="preserve"> </v>
      </c>
      <c r="F4302" s="107" t="str">
        <f>IF(LEN(Table1722[[#This Row],[Uraian]])&gt;2,TRIM(RIGHT(SUBSTITUTE(TRIM(C4302)," ",REPT(" ",255)),255))," ")</f>
        <v xml:space="preserve"> </v>
      </c>
      <c r="G4302" s="110">
        <f>COPY!Z4294</f>
        <v>0</v>
      </c>
      <c r="H4302" s="111" t="str">
        <f>IFERROR(VLOOKUP(Table1722[[#This Row],[Bukti]],'Un nOTA'!$A$4:$K$5003,10,FALSE),"")</f>
        <v/>
      </c>
      <c r="I4302" s="123" t="str">
        <f>IFERROR(VLOOKUP(Table1722[[#This Row],[Bukti]],Table13[#Data],11,FALSE),"")</f>
        <v/>
      </c>
    </row>
    <row r="4303" spans="1:9" hidden="1" x14ac:dyDescent="0.2">
      <c r="A4303" s="105" t="str">
        <f>IF(D4303=1,COUNTIF($D$10:D4303,1)," ")</f>
        <v xml:space="preserve"> </v>
      </c>
      <c r="B4303" s="106">
        <f>COPY!AR4295</f>
        <v>0</v>
      </c>
      <c r="C4303" s="107">
        <f>COPY!AC4295</f>
        <v>0</v>
      </c>
      <c r="D4303" s="107" t="str">
        <f>IF(LEN(Table1722[[#This Row],[Uraian]])&gt;2,1," ")</f>
        <v xml:space="preserve"> </v>
      </c>
      <c r="E4303" s="113" t="str">
        <f>IF(Table1722[[#This Row],[Lawan Transaksi]]="CV AGUNG KARYA",COUNTIF($I$10:I4303,"CV AGUNG KARYA")," ")</f>
        <v xml:space="preserve"> </v>
      </c>
      <c r="F4303" s="107" t="str">
        <f>IF(LEN(Table1722[[#This Row],[Uraian]])&gt;2,TRIM(RIGHT(SUBSTITUTE(TRIM(C4303)," ",REPT(" ",255)),255))," ")</f>
        <v xml:space="preserve"> </v>
      </c>
      <c r="G4303" s="110">
        <f>COPY!Z4295</f>
        <v>0</v>
      </c>
      <c r="H4303" s="111" t="str">
        <f>IFERROR(VLOOKUP(Table1722[[#This Row],[Bukti]],'Un nOTA'!$A$4:$K$5003,10,FALSE),"")</f>
        <v/>
      </c>
      <c r="I4303" s="123" t="str">
        <f>IFERROR(VLOOKUP(Table1722[[#This Row],[Bukti]],Table13[#Data],11,FALSE),"")</f>
        <v/>
      </c>
    </row>
    <row r="4304" spans="1:9" hidden="1" x14ac:dyDescent="0.2">
      <c r="A4304" s="105" t="str">
        <f>IF(D4304=1,COUNTIF($D$10:D4304,1)," ")</f>
        <v xml:space="preserve"> </v>
      </c>
      <c r="B4304" s="106">
        <f>COPY!AR4296</f>
        <v>0</v>
      </c>
      <c r="C4304" s="107">
        <f>COPY!AC4296</f>
        <v>0</v>
      </c>
      <c r="D4304" s="107" t="str">
        <f>IF(LEN(Table1722[[#This Row],[Uraian]])&gt;2,1," ")</f>
        <v xml:space="preserve"> </v>
      </c>
      <c r="E4304" s="113" t="str">
        <f>IF(Table1722[[#This Row],[Lawan Transaksi]]="CV AGUNG KARYA",COUNTIF($I$10:I4304,"CV AGUNG KARYA")," ")</f>
        <v xml:space="preserve"> </v>
      </c>
      <c r="F4304" s="107" t="str">
        <f>IF(LEN(Table1722[[#This Row],[Uraian]])&gt;2,TRIM(RIGHT(SUBSTITUTE(TRIM(C4304)," ",REPT(" ",255)),255))," ")</f>
        <v xml:space="preserve"> </v>
      </c>
      <c r="G4304" s="110">
        <f>COPY!Z4296</f>
        <v>0</v>
      </c>
      <c r="H4304" s="111" t="str">
        <f>IFERROR(VLOOKUP(Table1722[[#This Row],[Bukti]],'Un nOTA'!$A$4:$K$5003,10,FALSE),"")</f>
        <v/>
      </c>
      <c r="I4304" s="123" t="str">
        <f>IFERROR(VLOOKUP(Table1722[[#This Row],[Bukti]],Table13[#Data],11,FALSE),"")</f>
        <v/>
      </c>
    </row>
    <row r="4305" spans="1:9" hidden="1" x14ac:dyDescent="0.2">
      <c r="A4305" s="105" t="str">
        <f>IF(D4305=1,COUNTIF($D$10:D4305,1)," ")</f>
        <v xml:space="preserve"> </v>
      </c>
      <c r="B4305" s="106">
        <f>COPY!AR4297</f>
        <v>0</v>
      </c>
      <c r="C4305" s="107">
        <f>COPY!AC4297</f>
        <v>0</v>
      </c>
      <c r="D4305" s="107" t="str">
        <f>IF(LEN(Table1722[[#This Row],[Uraian]])&gt;2,1," ")</f>
        <v xml:space="preserve"> </v>
      </c>
      <c r="E4305" s="113" t="str">
        <f>IF(Table1722[[#This Row],[Lawan Transaksi]]="CV AGUNG KARYA",COUNTIF($I$10:I4305,"CV AGUNG KARYA")," ")</f>
        <v xml:space="preserve"> </v>
      </c>
      <c r="F4305" s="107" t="str">
        <f>IF(LEN(Table1722[[#This Row],[Uraian]])&gt;2,TRIM(RIGHT(SUBSTITUTE(TRIM(C4305)," ",REPT(" ",255)),255))," ")</f>
        <v xml:space="preserve"> </v>
      </c>
      <c r="G4305" s="110">
        <f>COPY!Z4297</f>
        <v>0</v>
      </c>
      <c r="H4305" s="111" t="str">
        <f>IFERROR(VLOOKUP(Table1722[[#This Row],[Bukti]],'Un nOTA'!$A$4:$K$5003,10,FALSE),"")</f>
        <v/>
      </c>
      <c r="I4305" s="123" t="str">
        <f>IFERROR(VLOOKUP(Table1722[[#This Row],[Bukti]],Table13[#Data],11,FALSE),"")</f>
        <v/>
      </c>
    </row>
    <row r="4306" spans="1:9" hidden="1" x14ac:dyDescent="0.2">
      <c r="A4306" s="105" t="str">
        <f>IF(D4306=1,COUNTIF($D$10:D4306,1)," ")</f>
        <v xml:space="preserve"> </v>
      </c>
      <c r="B4306" s="106">
        <f>COPY!AR4298</f>
        <v>0</v>
      </c>
      <c r="C4306" s="107">
        <f>COPY!AC4298</f>
        <v>0</v>
      </c>
      <c r="D4306" s="107" t="str">
        <f>IF(LEN(Table1722[[#This Row],[Uraian]])&gt;2,1," ")</f>
        <v xml:space="preserve"> </v>
      </c>
      <c r="E4306" s="113" t="str">
        <f>IF(Table1722[[#This Row],[Lawan Transaksi]]="CV AGUNG KARYA",COUNTIF($I$10:I4306,"CV AGUNG KARYA")," ")</f>
        <v xml:space="preserve"> </v>
      </c>
      <c r="F4306" s="107" t="str">
        <f>IF(LEN(Table1722[[#This Row],[Uraian]])&gt;2,TRIM(RIGHT(SUBSTITUTE(TRIM(C4306)," ",REPT(" ",255)),255))," ")</f>
        <v xml:space="preserve"> </v>
      </c>
      <c r="G4306" s="110">
        <f>COPY!Z4298</f>
        <v>0</v>
      </c>
      <c r="H4306" s="111" t="str">
        <f>IFERROR(VLOOKUP(Table1722[[#This Row],[Bukti]],'Un nOTA'!$A$4:$K$5003,10,FALSE),"")</f>
        <v/>
      </c>
      <c r="I4306" s="123" t="str">
        <f>IFERROR(VLOOKUP(Table1722[[#This Row],[Bukti]],Table13[#Data],11,FALSE),"")</f>
        <v/>
      </c>
    </row>
    <row r="4307" spans="1:9" hidden="1" x14ac:dyDescent="0.2">
      <c r="A4307" s="105" t="str">
        <f>IF(D4307=1,COUNTIF($D$10:D4307,1)," ")</f>
        <v xml:space="preserve"> </v>
      </c>
      <c r="B4307" s="106">
        <f>COPY!AR4299</f>
        <v>0</v>
      </c>
      <c r="C4307" s="107">
        <f>COPY!AC4299</f>
        <v>0</v>
      </c>
      <c r="D4307" s="107" t="str">
        <f>IF(LEN(Table1722[[#This Row],[Uraian]])&gt;2,1," ")</f>
        <v xml:space="preserve"> </v>
      </c>
      <c r="E4307" s="113" t="str">
        <f>IF(Table1722[[#This Row],[Lawan Transaksi]]="CV AGUNG KARYA",COUNTIF($I$10:I4307,"CV AGUNG KARYA")," ")</f>
        <v xml:space="preserve"> </v>
      </c>
      <c r="F4307" s="107" t="str">
        <f>IF(LEN(Table1722[[#This Row],[Uraian]])&gt;2,TRIM(RIGHT(SUBSTITUTE(TRIM(C4307)," ",REPT(" ",255)),255))," ")</f>
        <v xml:space="preserve"> </v>
      </c>
      <c r="G4307" s="110">
        <f>COPY!Z4299</f>
        <v>0</v>
      </c>
      <c r="H4307" s="111" t="str">
        <f>IFERROR(VLOOKUP(Table1722[[#This Row],[Bukti]],'Un nOTA'!$A$4:$K$5003,10,FALSE),"")</f>
        <v/>
      </c>
      <c r="I4307" s="123" t="str">
        <f>IFERROR(VLOOKUP(Table1722[[#This Row],[Bukti]],Table13[#Data],11,FALSE),"")</f>
        <v/>
      </c>
    </row>
    <row r="4308" spans="1:9" hidden="1" x14ac:dyDescent="0.2">
      <c r="A4308" s="105" t="str">
        <f>IF(D4308=1,COUNTIF($D$10:D4308,1)," ")</f>
        <v xml:space="preserve"> </v>
      </c>
      <c r="B4308" s="106">
        <f>COPY!AR4300</f>
        <v>0</v>
      </c>
      <c r="C4308" s="107">
        <f>COPY!AC4300</f>
        <v>0</v>
      </c>
      <c r="D4308" s="107" t="str">
        <f>IF(LEN(Table1722[[#This Row],[Uraian]])&gt;2,1," ")</f>
        <v xml:space="preserve"> </v>
      </c>
      <c r="E4308" s="113" t="str">
        <f>IF(Table1722[[#This Row],[Lawan Transaksi]]="CV AGUNG KARYA",COUNTIF($I$10:I4308,"CV AGUNG KARYA")," ")</f>
        <v xml:space="preserve"> </v>
      </c>
      <c r="F4308" s="107" t="str">
        <f>IF(LEN(Table1722[[#This Row],[Uraian]])&gt;2,TRIM(RIGHT(SUBSTITUTE(TRIM(C4308)," ",REPT(" ",255)),255))," ")</f>
        <v xml:space="preserve"> </v>
      </c>
      <c r="G4308" s="110">
        <f>COPY!Z4300</f>
        <v>0</v>
      </c>
      <c r="H4308" s="111" t="str">
        <f>IFERROR(VLOOKUP(Table1722[[#This Row],[Bukti]],'Un nOTA'!$A$4:$K$5003,10,FALSE),"")</f>
        <v/>
      </c>
      <c r="I4308" s="123" t="str">
        <f>IFERROR(VLOOKUP(Table1722[[#This Row],[Bukti]],Table13[#Data],11,FALSE),"")</f>
        <v/>
      </c>
    </row>
    <row r="4309" spans="1:9" hidden="1" x14ac:dyDescent="0.2">
      <c r="A4309" s="105" t="str">
        <f>IF(D4309=1,COUNTIF($D$10:D4309,1)," ")</f>
        <v xml:space="preserve"> </v>
      </c>
      <c r="B4309" s="106">
        <f>COPY!AR4301</f>
        <v>0</v>
      </c>
      <c r="C4309" s="107">
        <f>COPY!AC4301</f>
        <v>0</v>
      </c>
      <c r="D4309" s="107" t="str">
        <f>IF(LEN(Table1722[[#This Row],[Uraian]])&gt;2,1," ")</f>
        <v xml:space="preserve"> </v>
      </c>
      <c r="E4309" s="113" t="str">
        <f>IF(Table1722[[#This Row],[Lawan Transaksi]]="CV AGUNG KARYA",COUNTIF($I$10:I4309,"CV AGUNG KARYA")," ")</f>
        <v xml:space="preserve"> </v>
      </c>
      <c r="F4309" s="107" t="str">
        <f>IF(LEN(Table1722[[#This Row],[Uraian]])&gt;2,TRIM(RIGHT(SUBSTITUTE(TRIM(C4309)," ",REPT(" ",255)),255))," ")</f>
        <v xml:space="preserve"> </v>
      </c>
      <c r="G4309" s="110">
        <f>COPY!Z4301</f>
        <v>0</v>
      </c>
      <c r="H4309" s="111" t="str">
        <f>IFERROR(VLOOKUP(Table1722[[#This Row],[Bukti]],'Un nOTA'!$A$4:$K$5003,10,FALSE),"")</f>
        <v/>
      </c>
      <c r="I4309" s="123" t="str">
        <f>IFERROR(VLOOKUP(Table1722[[#This Row],[Bukti]],Table13[#Data],11,FALSE),"")</f>
        <v/>
      </c>
    </row>
    <row r="4310" spans="1:9" hidden="1" x14ac:dyDescent="0.2">
      <c r="A4310" s="105" t="str">
        <f>IF(D4310=1,COUNTIF($D$10:D4310,1)," ")</f>
        <v xml:space="preserve"> </v>
      </c>
      <c r="B4310" s="106">
        <f>COPY!AR4302</f>
        <v>0</v>
      </c>
      <c r="C4310" s="107">
        <f>COPY!AC4302</f>
        <v>0</v>
      </c>
      <c r="D4310" s="107" t="str">
        <f>IF(LEN(Table1722[[#This Row],[Uraian]])&gt;2,1," ")</f>
        <v xml:space="preserve"> </v>
      </c>
      <c r="E4310" s="113" t="str">
        <f>IF(Table1722[[#This Row],[Lawan Transaksi]]="CV AGUNG KARYA",COUNTIF($I$10:I4310,"CV AGUNG KARYA")," ")</f>
        <v xml:space="preserve"> </v>
      </c>
      <c r="F4310" s="107" t="str">
        <f>IF(LEN(Table1722[[#This Row],[Uraian]])&gt;2,TRIM(RIGHT(SUBSTITUTE(TRIM(C4310)," ",REPT(" ",255)),255))," ")</f>
        <v xml:space="preserve"> </v>
      </c>
      <c r="G4310" s="110">
        <f>COPY!Z4302</f>
        <v>0</v>
      </c>
      <c r="H4310" s="111" t="str">
        <f>IFERROR(VLOOKUP(Table1722[[#This Row],[Bukti]],'Un nOTA'!$A$4:$K$5003,10,FALSE),"")</f>
        <v/>
      </c>
      <c r="I4310" s="123" t="str">
        <f>IFERROR(VLOOKUP(Table1722[[#This Row],[Bukti]],Table13[#Data],11,FALSE),"")</f>
        <v/>
      </c>
    </row>
    <row r="4311" spans="1:9" hidden="1" x14ac:dyDescent="0.2">
      <c r="A4311" s="105" t="str">
        <f>IF(D4311=1,COUNTIF($D$10:D4311,1)," ")</f>
        <v xml:space="preserve"> </v>
      </c>
      <c r="B4311" s="106">
        <f>COPY!AR4303</f>
        <v>0</v>
      </c>
      <c r="C4311" s="107">
        <f>COPY!AC4303</f>
        <v>0</v>
      </c>
      <c r="D4311" s="107" t="str">
        <f>IF(LEN(Table1722[[#This Row],[Uraian]])&gt;2,1," ")</f>
        <v xml:space="preserve"> </v>
      </c>
      <c r="E4311" s="113" t="str">
        <f>IF(Table1722[[#This Row],[Lawan Transaksi]]="CV AGUNG KARYA",COUNTIF($I$10:I4311,"CV AGUNG KARYA")," ")</f>
        <v xml:space="preserve"> </v>
      </c>
      <c r="F4311" s="107" t="str">
        <f>IF(LEN(Table1722[[#This Row],[Uraian]])&gt;2,TRIM(RIGHT(SUBSTITUTE(TRIM(C4311)," ",REPT(" ",255)),255))," ")</f>
        <v xml:space="preserve"> </v>
      </c>
      <c r="G4311" s="110">
        <f>COPY!Z4303</f>
        <v>0</v>
      </c>
      <c r="H4311" s="111" t="str">
        <f>IFERROR(VLOOKUP(Table1722[[#This Row],[Bukti]],'Un nOTA'!$A$4:$K$5003,10,FALSE),"")</f>
        <v/>
      </c>
      <c r="I4311" s="123" t="str">
        <f>IFERROR(VLOOKUP(Table1722[[#This Row],[Bukti]],Table13[#Data],11,FALSE),"")</f>
        <v/>
      </c>
    </row>
    <row r="4312" spans="1:9" hidden="1" x14ac:dyDescent="0.2">
      <c r="A4312" s="105" t="str">
        <f>IF(D4312=1,COUNTIF($D$10:D4312,1)," ")</f>
        <v xml:space="preserve"> </v>
      </c>
      <c r="B4312" s="106">
        <f>COPY!AR4304</f>
        <v>0</v>
      </c>
      <c r="C4312" s="107">
        <f>COPY!AC4304</f>
        <v>0</v>
      </c>
      <c r="D4312" s="107" t="str">
        <f>IF(LEN(Table1722[[#This Row],[Uraian]])&gt;2,1," ")</f>
        <v xml:space="preserve"> </v>
      </c>
      <c r="E4312" s="113" t="str">
        <f>IF(Table1722[[#This Row],[Lawan Transaksi]]="CV AGUNG KARYA",COUNTIF($I$10:I4312,"CV AGUNG KARYA")," ")</f>
        <v xml:space="preserve"> </v>
      </c>
      <c r="F4312" s="107" t="str">
        <f>IF(LEN(Table1722[[#This Row],[Uraian]])&gt;2,TRIM(RIGHT(SUBSTITUTE(TRIM(C4312)," ",REPT(" ",255)),255))," ")</f>
        <v xml:space="preserve"> </v>
      </c>
      <c r="G4312" s="110">
        <f>COPY!Z4304</f>
        <v>0</v>
      </c>
      <c r="H4312" s="111" t="str">
        <f>IFERROR(VLOOKUP(Table1722[[#This Row],[Bukti]],'Un nOTA'!$A$4:$K$5003,10,FALSE),"")</f>
        <v/>
      </c>
      <c r="I4312" s="123" t="str">
        <f>IFERROR(VLOOKUP(Table1722[[#This Row],[Bukti]],Table13[#Data],11,FALSE),"")</f>
        <v/>
      </c>
    </row>
    <row r="4313" spans="1:9" hidden="1" x14ac:dyDescent="0.2">
      <c r="A4313" s="105" t="str">
        <f>IF(D4313=1,COUNTIF($D$10:D4313,1)," ")</f>
        <v xml:space="preserve"> </v>
      </c>
      <c r="B4313" s="106">
        <f>COPY!AR4305</f>
        <v>0</v>
      </c>
      <c r="C4313" s="107">
        <f>COPY!AC4305</f>
        <v>0</v>
      </c>
      <c r="D4313" s="107" t="str">
        <f>IF(LEN(Table1722[[#This Row],[Uraian]])&gt;2,1," ")</f>
        <v xml:space="preserve"> </v>
      </c>
      <c r="E4313" s="113" t="str">
        <f>IF(Table1722[[#This Row],[Lawan Transaksi]]="CV AGUNG KARYA",COUNTIF($I$10:I4313,"CV AGUNG KARYA")," ")</f>
        <v xml:space="preserve"> </v>
      </c>
      <c r="F4313" s="107" t="str">
        <f>IF(LEN(Table1722[[#This Row],[Uraian]])&gt;2,TRIM(RIGHT(SUBSTITUTE(TRIM(C4313)," ",REPT(" ",255)),255))," ")</f>
        <v xml:space="preserve"> </v>
      </c>
      <c r="G4313" s="110">
        <f>COPY!Z4305</f>
        <v>0</v>
      </c>
      <c r="H4313" s="111" t="str">
        <f>IFERROR(VLOOKUP(Table1722[[#This Row],[Bukti]],'Un nOTA'!$A$4:$K$5003,10,FALSE),"")</f>
        <v/>
      </c>
      <c r="I4313" s="123" t="str">
        <f>IFERROR(VLOOKUP(Table1722[[#This Row],[Bukti]],Table13[#Data],11,FALSE),"")</f>
        <v/>
      </c>
    </row>
    <row r="4314" spans="1:9" hidden="1" x14ac:dyDescent="0.2">
      <c r="A4314" s="105" t="str">
        <f>IF(D4314=1,COUNTIF($D$10:D4314,1)," ")</f>
        <v xml:space="preserve"> </v>
      </c>
      <c r="B4314" s="106">
        <f>COPY!AR4306</f>
        <v>0</v>
      </c>
      <c r="C4314" s="107">
        <f>COPY!AC4306</f>
        <v>0</v>
      </c>
      <c r="D4314" s="107" t="str">
        <f>IF(LEN(Table1722[[#This Row],[Uraian]])&gt;2,1," ")</f>
        <v xml:space="preserve"> </v>
      </c>
      <c r="E4314" s="113" t="str">
        <f>IF(Table1722[[#This Row],[Lawan Transaksi]]="CV AGUNG KARYA",COUNTIF($I$10:I4314,"CV AGUNG KARYA")," ")</f>
        <v xml:space="preserve"> </v>
      </c>
      <c r="F4314" s="107" t="str">
        <f>IF(LEN(Table1722[[#This Row],[Uraian]])&gt;2,TRIM(RIGHT(SUBSTITUTE(TRIM(C4314)," ",REPT(" ",255)),255))," ")</f>
        <v xml:space="preserve"> </v>
      </c>
      <c r="G4314" s="110">
        <f>COPY!Z4306</f>
        <v>0</v>
      </c>
      <c r="H4314" s="111" t="str">
        <f>IFERROR(VLOOKUP(Table1722[[#This Row],[Bukti]],'Un nOTA'!$A$4:$K$5003,10,FALSE),"")</f>
        <v/>
      </c>
      <c r="I4314" s="123" t="str">
        <f>IFERROR(VLOOKUP(Table1722[[#This Row],[Bukti]],Table13[#Data],11,FALSE),"")</f>
        <v/>
      </c>
    </row>
    <row r="4315" spans="1:9" hidden="1" x14ac:dyDescent="0.2">
      <c r="A4315" s="105" t="str">
        <f>IF(D4315=1,COUNTIF($D$10:D4315,1)," ")</f>
        <v xml:space="preserve"> </v>
      </c>
      <c r="B4315" s="106">
        <f>COPY!AR4307</f>
        <v>0</v>
      </c>
      <c r="C4315" s="107">
        <f>COPY!AC4307</f>
        <v>0</v>
      </c>
      <c r="D4315" s="107" t="str">
        <f>IF(LEN(Table1722[[#This Row],[Uraian]])&gt;2,1," ")</f>
        <v xml:space="preserve"> </v>
      </c>
      <c r="E4315" s="113" t="str">
        <f>IF(Table1722[[#This Row],[Lawan Transaksi]]="CV AGUNG KARYA",COUNTIF($I$10:I4315,"CV AGUNG KARYA")," ")</f>
        <v xml:space="preserve"> </v>
      </c>
      <c r="F4315" s="107" t="str">
        <f>IF(LEN(Table1722[[#This Row],[Uraian]])&gt;2,TRIM(RIGHT(SUBSTITUTE(TRIM(C4315)," ",REPT(" ",255)),255))," ")</f>
        <v xml:space="preserve"> </v>
      </c>
      <c r="G4315" s="110">
        <f>COPY!Z4307</f>
        <v>0</v>
      </c>
      <c r="H4315" s="111" t="str">
        <f>IFERROR(VLOOKUP(Table1722[[#This Row],[Bukti]],'Un nOTA'!$A$4:$K$5003,10,FALSE),"")</f>
        <v/>
      </c>
      <c r="I4315" s="123" t="str">
        <f>IFERROR(VLOOKUP(Table1722[[#This Row],[Bukti]],Table13[#Data],11,FALSE),"")</f>
        <v/>
      </c>
    </row>
    <row r="4316" spans="1:9" hidden="1" x14ac:dyDescent="0.2">
      <c r="A4316" s="105" t="str">
        <f>IF(D4316=1,COUNTIF($D$10:D4316,1)," ")</f>
        <v xml:space="preserve"> </v>
      </c>
      <c r="B4316" s="106">
        <f>COPY!AR4308</f>
        <v>0</v>
      </c>
      <c r="C4316" s="107">
        <f>COPY!AC4308</f>
        <v>0</v>
      </c>
      <c r="D4316" s="107" t="str">
        <f>IF(LEN(Table1722[[#This Row],[Uraian]])&gt;2,1," ")</f>
        <v xml:space="preserve"> </v>
      </c>
      <c r="E4316" s="113" t="str">
        <f>IF(Table1722[[#This Row],[Lawan Transaksi]]="CV AGUNG KARYA",COUNTIF($I$10:I4316,"CV AGUNG KARYA")," ")</f>
        <v xml:space="preserve"> </v>
      </c>
      <c r="F4316" s="107" t="str">
        <f>IF(LEN(Table1722[[#This Row],[Uraian]])&gt;2,TRIM(RIGHT(SUBSTITUTE(TRIM(C4316)," ",REPT(" ",255)),255))," ")</f>
        <v xml:space="preserve"> </v>
      </c>
      <c r="G4316" s="110">
        <f>COPY!Z4308</f>
        <v>0</v>
      </c>
      <c r="H4316" s="111" t="str">
        <f>IFERROR(VLOOKUP(Table1722[[#This Row],[Bukti]],'Un nOTA'!$A$4:$K$5003,10,FALSE),"")</f>
        <v/>
      </c>
      <c r="I4316" s="123" t="str">
        <f>IFERROR(VLOOKUP(Table1722[[#This Row],[Bukti]],Table13[#Data],11,FALSE),"")</f>
        <v/>
      </c>
    </row>
    <row r="4317" spans="1:9" hidden="1" x14ac:dyDescent="0.2">
      <c r="A4317" s="105" t="str">
        <f>IF(D4317=1,COUNTIF($D$10:D4317,1)," ")</f>
        <v xml:space="preserve"> </v>
      </c>
      <c r="B4317" s="106">
        <f>COPY!AR4309</f>
        <v>0</v>
      </c>
      <c r="C4317" s="107">
        <f>COPY!AC4309</f>
        <v>0</v>
      </c>
      <c r="D4317" s="107" t="str">
        <f>IF(LEN(Table1722[[#This Row],[Uraian]])&gt;2,1," ")</f>
        <v xml:space="preserve"> </v>
      </c>
      <c r="E4317" s="113" t="str">
        <f>IF(Table1722[[#This Row],[Lawan Transaksi]]="CV AGUNG KARYA",COUNTIF($I$10:I4317,"CV AGUNG KARYA")," ")</f>
        <v xml:space="preserve"> </v>
      </c>
      <c r="F4317" s="107" t="str">
        <f>IF(LEN(Table1722[[#This Row],[Uraian]])&gt;2,TRIM(RIGHT(SUBSTITUTE(TRIM(C4317)," ",REPT(" ",255)),255))," ")</f>
        <v xml:space="preserve"> </v>
      </c>
      <c r="G4317" s="110">
        <f>COPY!Z4309</f>
        <v>0</v>
      </c>
      <c r="H4317" s="111" t="str">
        <f>IFERROR(VLOOKUP(Table1722[[#This Row],[Bukti]],'Un nOTA'!$A$4:$K$5003,10,FALSE),"")</f>
        <v/>
      </c>
      <c r="I4317" s="123" t="str">
        <f>IFERROR(VLOOKUP(Table1722[[#This Row],[Bukti]],Table13[#Data],11,FALSE),"")</f>
        <v/>
      </c>
    </row>
    <row r="4318" spans="1:9" hidden="1" x14ac:dyDescent="0.2">
      <c r="A4318" s="105" t="str">
        <f>IF(D4318=1,COUNTIF($D$10:D4318,1)," ")</f>
        <v xml:space="preserve"> </v>
      </c>
      <c r="B4318" s="106">
        <f>COPY!AR4310</f>
        <v>0</v>
      </c>
      <c r="C4318" s="107">
        <f>COPY!AC4310</f>
        <v>0</v>
      </c>
      <c r="D4318" s="107" t="str">
        <f>IF(LEN(Table1722[[#This Row],[Uraian]])&gt;2,1," ")</f>
        <v xml:space="preserve"> </v>
      </c>
      <c r="E4318" s="113" t="str">
        <f>IF(Table1722[[#This Row],[Lawan Transaksi]]="CV AGUNG KARYA",COUNTIF($I$10:I4318,"CV AGUNG KARYA")," ")</f>
        <v xml:space="preserve"> </v>
      </c>
      <c r="F4318" s="107" t="str">
        <f>IF(LEN(Table1722[[#This Row],[Uraian]])&gt;2,TRIM(RIGHT(SUBSTITUTE(TRIM(C4318)," ",REPT(" ",255)),255))," ")</f>
        <v xml:space="preserve"> </v>
      </c>
      <c r="G4318" s="110">
        <f>COPY!Z4310</f>
        <v>0</v>
      </c>
      <c r="H4318" s="111" t="str">
        <f>IFERROR(VLOOKUP(Table1722[[#This Row],[Bukti]],'Un nOTA'!$A$4:$K$5003,10,FALSE),"")</f>
        <v/>
      </c>
      <c r="I4318" s="123" t="str">
        <f>IFERROR(VLOOKUP(Table1722[[#This Row],[Bukti]],Table13[#Data],11,FALSE),"")</f>
        <v/>
      </c>
    </row>
    <row r="4319" spans="1:9" hidden="1" x14ac:dyDescent="0.2">
      <c r="A4319" s="105" t="str">
        <f>IF(D4319=1,COUNTIF($D$10:D4319,1)," ")</f>
        <v xml:space="preserve"> </v>
      </c>
      <c r="B4319" s="106">
        <f>COPY!AR4311</f>
        <v>0</v>
      </c>
      <c r="C4319" s="107">
        <f>COPY!AC4311</f>
        <v>0</v>
      </c>
      <c r="D4319" s="107" t="str">
        <f>IF(LEN(Table1722[[#This Row],[Uraian]])&gt;2,1," ")</f>
        <v xml:space="preserve"> </v>
      </c>
      <c r="E4319" s="113" t="str">
        <f>IF(Table1722[[#This Row],[Lawan Transaksi]]="CV AGUNG KARYA",COUNTIF($I$10:I4319,"CV AGUNG KARYA")," ")</f>
        <v xml:space="preserve"> </v>
      </c>
      <c r="F4319" s="107" t="str">
        <f>IF(LEN(Table1722[[#This Row],[Uraian]])&gt;2,TRIM(RIGHT(SUBSTITUTE(TRIM(C4319)," ",REPT(" ",255)),255))," ")</f>
        <v xml:space="preserve"> </v>
      </c>
      <c r="G4319" s="110">
        <f>COPY!Z4311</f>
        <v>0</v>
      </c>
      <c r="H4319" s="111" t="str">
        <f>IFERROR(VLOOKUP(Table1722[[#This Row],[Bukti]],'Un nOTA'!$A$4:$K$5003,10,FALSE),"")</f>
        <v/>
      </c>
      <c r="I4319" s="123" t="str">
        <f>IFERROR(VLOOKUP(Table1722[[#This Row],[Bukti]],Table13[#Data],11,FALSE),"")</f>
        <v/>
      </c>
    </row>
    <row r="4320" spans="1:9" hidden="1" x14ac:dyDescent="0.2">
      <c r="A4320" s="105" t="str">
        <f>IF(D4320=1,COUNTIF($D$10:D4320,1)," ")</f>
        <v xml:space="preserve"> </v>
      </c>
      <c r="B4320" s="106">
        <f>COPY!AR4312</f>
        <v>0</v>
      </c>
      <c r="C4320" s="107">
        <f>COPY!AC4312</f>
        <v>0</v>
      </c>
      <c r="D4320" s="107" t="str">
        <f>IF(LEN(Table1722[[#This Row],[Uraian]])&gt;2,1," ")</f>
        <v xml:space="preserve"> </v>
      </c>
      <c r="E4320" s="113" t="str">
        <f>IF(Table1722[[#This Row],[Lawan Transaksi]]="CV AGUNG KARYA",COUNTIF($I$10:I4320,"CV AGUNG KARYA")," ")</f>
        <v xml:space="preserve"> </v>
      </c>
      <c r="F4320" s="107" t="str">
        <f>IF(LEN(Table1722[[#This Row],[Uraian]])&gt;2,TRIM(RIGHT(SUBSTITUTE(TRIM(C4320)," ",REPT(" ",255)),255))," ")</f>
        <v xml:space="preserve"> </v>
      </c>
      <c r="G4320" s="110">
        <f>COPY!Z4312</f>
        <v>0</v>
      </c>
      <c r="H4320" s="111" t="str">
        <f>IFERROR(VLOOKUP(Table1722[[#This Row],[Bukti]],'Un nOTA'!$A$4:$K$5003,10,FALSE),"")</f>
        <v/>
      </c>
      <c r="I4320" s="123" t="str">
        <f>IFERROR(VLOOKUP(Table1722[[#This Row],[Bukti]],Table13[#Data],11,FALSE),"")</f>
        <v/>
      </c>
    </row>
    <row r="4321" spans="1:9" hidden="1" x14ac:dyDescent="0.2">
      <c r="A4321" s="105" t="str">
        <f>IF(D4321=1,COUNTIF($D$10:D4321,1)," ")</f>
        <v xml:space="preserve"> </v>
      </c>
      <c r="B4321" s="106">
        <f>COPY!AR4313</f>
        <v>0</v>
      </c>
      <c r="C4321" s="107">
        <f>COPY!AC4313</f>
        <v>0</v>
      </c>
      <c r="D4321" s="107" t="str">
        <f>IF(LEN(Table1722[[#This Row],[Uraian]])&gt;2,1," ")</f>
        <v xml:space="preserve"> </v>
      </c>
      <c r="E4321" s="113" t="str">
        <f>IF(Table1722[[#This Row],[Lawan Transaksi]]="CV AGUNG KARYA",COUNTIF($I$10:I4321,"CV AGUNG KARYA")," ")</f>
        <v xml:space="preserve"> </v>
      </c>
      <c r="F4321" s="107" t="str">
        <f>IF(LEN(Table1722[[#This Row],[Uraian]])&gt;2,TRIM(RIGHT(SUBSTITUTE(TRIM(C4321)," ",REPT(" ",255)),255))," ")</f>
        <v xml:space="preserve"> </v>
      </c>
      <c r="G4321" s="110">
        <f>COPY!Z4313</f>
        <v>0</v>
      </c>
      <c r="H4321" s="111" t="str">
        <f>IFERROR(VLOOKUP(Table1722[[#This Row],[Bukti]],'Un nOTA'!$A$4:$K$5003,10,FALSE),"")</f>
        <v/>
      </c>
      <c r="I4321" s="123" t="str">
        <f>IFERROR(VLOOKUP(Table1722[[#This Row],[Bukti]],Table13[#Data],11,FALSE),"")</f>
        <v/>
      </c>
    </row>
    <row r="4322" spans="1:9" hidden="1" x14ac:dyDescent="0.2">
      <c r="A4322" s="105" t="str">
        <f>IF(D4322=1,COUNTIF($D$10:D4322,1)," ")</f>
        <v xml:space="preserve"> </v>
      </c>
      <c r="B4322" s="106">
        <f>COPY!AR4314</f>
        <v>0</v>
      </c>
      <c r="C4322" s="107">
        <f>COPY!AC4314</f>
        <v>0</v>
      </c>
      <c r="D4322" s="107" t="str">
        <f>IF(LEN(Table1722[[#This Row],[Uraian]])&gt;2,1," ")</f>
        <v xml:space="preserve"> </v>
      </c>
      <c r="E4322" s="113" t="str">
        <f>IF(Table1722[[#This Row],[Lawan Transaksi]]="CV AGUNG KARYA",COUNTIF($I$10:I4322,"CV AGUNG KARYA")," ")</f>
        <v xml:space="preserve"> </v>
      </c>
      <c r="F4322" s="107" t="str">
        <f>IF(LEN(Table1722[[#This Row],[Uraian]])&gt;2,TRIM(RIGHT(SUBSTITUTE(TRIM(C4322)," ",REPT(" ",255)),255))," ")</f>
        <v xml:space="preserve"> </v>
      </c>
      <c r="G4322" s="110">
        <f>COPY!Z4314</f>
        <v>0</v>
      </c>
      <c r="H4322" s="111" t="str">
        <f>IFERROR(VLOOKUP(Table1722[[#This Row],[Bukti]],'Un nOTA'!$A$4:$K$5003,10,FALSE),"")</f>
        <v/>
      </c>
      <c r="I4322" s="123" t="str">
        <f>IFERROR(VLOOKUP(Table1722[[#This Row],[Bukti]],Table13[#Data],11,FALSE),"")</f>
        <v/>
      </c>
    </row>
    <row r="4323" spans="1:9" hidden="1" x14ac:dyDescent="0.2">
      <c r="A4323" s="105" t="str">
        <f>IF(D4323=1,COUNTIF($D$10:D4323,1)," ")</f>
        <v xml:space="preserve"> </v>
      </c>
      <c r="B4323" s="106">
        <f>COPY!AR4315</f>
        <v>0</v>
      </c>
      <c r="C4323" s="107">
        <f>COPY!AC4315</f>
        <v>0</v>
      </c>
      <c r="D4323" s="107" t="str">
        <f>IF(LEN(Table1722[[#This Row],[Uraian]])&gt;2,1," ")</f>
        <v xml:space="preserve"> </v>
      </c>
      <c r="E4323" s="113" t="str">
        <f>IF(Table1722[[#This Row],[Lawan Transaksi]]="CV AGUNG KARYA",COUNTIF($I$10:I4323,"CV AGUNG KARYA")," ")</f>
        <v xml:space="preserve"> </v>
      </c>
      <c r="F4323" s="107" t="str">
        <f>IF(LEN(Table1722[[#This Row],[Uraian]])&gt;2,TRIM(RIGHT(SUBSTITUTE(TRIM(C4323)," ",REPT(" ",255)),255))," ")</f>
        <v xml:space="preserve"> </v>
      </c>
      <c r="G4323" s="110">
        <f>COPY!Z4315</f>
        <v>0</v>
      </c>
      <c r="H4323" s="111" t="str">
        <f>IFERROR(VLOOKUP(Table1722[[#This Row],[Bukti]],'Un nOTA'!$A$4:$K$5003,10,FALSE),"")</f>
        <v/>
      </c>
      <c r="I4323" s="123" t="str">
        <f>IFERROR(VLOOKUP(Table1722[[#This Row],[Bukti]],Table13[#Data],11,FALSE),"")</f>
        <v/>
      </c>
    </row>
    <row r="4324" spans="1:9" hidden="1" x14ac:dyDescent="0.2">
      <c r="A4324" s="105" t="str">
        <f>IF(D4324=1,COUNTIF($D$10:D4324,1)," ")</f>
        <v xml:space="preserve"> </v>
      </c>
      <c r="B4324" s="106">
        <f>COPY!AR4316</f>
        <v>0</v>
      </c>
      <c r="C4324" s="107">
        <f>COPY!AC4316</f>
        <v>0</v>
      </c>
      <c r="D4324" s="107" t="str">
        <f>IF(LEN(Table1722[[#This Row],[Uraian]])&gt;2,1," ")</f>
        <v xml:space="preserve"> </v>
      </c>
      <c r="E4324" s="113" t="str">
        <f>IF(Table1722[[#This Row],[Lawan Transaksi]]="CV AGUNG KARYA",COUNTIF($I$10:I4324,"CV AGUNG KARYA")," ")</f>
        <v xml:space="preserve"> </v>
      </c>
      <c r="F4324" s="107" t="str">
        <f>IF(LEN(Table1722[[#This Row],[Uraian]])&gt;2,TRIM(RIGHT(SUBSTITUTE(TRIM(C4324)," ",REPT(" ",255)),255))," ")</f>
        <v xml:space="preserve"> </v>
      </c>
      <c r="G4324" s="110">
        <f>COPY!Z4316</f>
        <v>0</v>
      </c>
      <c r="H4324" s="111" t="str">
        <f>IFERROR(VLOOKUP(Table1722[[#This Row],[Bukti]],'Un nOTA'!$A$4:$K$5003,10,FALSE),"")</f>
        <v/>
      </c>
      <c r="I4324" s="123" t="str">
        <f>IFERROR(VLOOKUP(Table1722[[#This Row],[Bukti]],Table13[#Data],11,FALSE),"")</f>
        <v/>
      </c>
    </row>
    <row r="4325" spans="1:9" hidden="1" x14ac:dyDescent="0.2">
      <c r="A4325" s="105" t="str">
        <f>IF(D4325=1,COUNTIF($D$10:D4325,1)," ")</f>
        <v xml:space="preserve"> </v>
      </c>
      <c r="B4325" s="106">
        <f>COPY!AR4317</f>
        <v>0</v>
      </c>
      <c r="C4325" s="107">
        <f>COPY!AC4317</f>
        <v>0</v>
      </c>
      <c r="D4325" s="107" t="str">
        <f>IF(LEN(Table1722[[#This Row],[Uraian]])&gt;2,1," ")</f>
        <v xml:space="preserve"> </v>
      </c>
      <c r="E4325" s="113" t="str">
        <f>IF(Table1722[[#This Row],[Lawan Transaksi]]="CV AGUNG KARYA",COUNTIF($I$10:I4325,"CV AGUNG KARYA")," ")</f>
        <v xml:space="preserve"> </v>
      </c>
      <c r="F4325" s="107" t="str">
        <f>IF(LEN(Table1722[[#This Row],[Uraian]])&gt;2,TRIM(RIGHT(SUBSTITUTE(TRIM(C4325)," ",REPT(" ",255)),255))," ")</f>
        <v xml:space="preserve"> </v>
      </c>
      <c r="G4325" s="110">
        <f>COPY!Z4317</f>
        <v>0</v>
      </c>
      <c r="H4325" s="111" t="str">
        <f>IFERROR(VLOOKUP(Table1722[[#This Row],[Bukti]],'Un nOTA'!$A$4:$K$5003,10,FALSE),"")</f>
        <v/>
      </c>
      <c r="I4325" s="123" t="str">
        <f>IFERROR(VLOOKUP(Table1722[[#This Row],[Bukti]],Table13[#Data],11,FALSE),"")</f>
        <v/>
      </c>
    </row>
    <row r="4326" spans="1:9" hidden="1" x14ac:dyDescent="0.2">
      <c r="A4326" s="105" t="str">
        <f>IF(D4326=1,COUNTIF($D$10:D4326,1)," ")</f>
        <v xml:space="preserve"> </v>
      </c>
      <c r="B4326" s="106">
        <f>COPY!AR4318</f>
        <v>0</v>
      </c>
      <c r="C4326" s="107">
        <f>COPY!AC4318</f>
        <v>0</v>
      </c>
      <c r="D4326" s="107" t="str">
        <f>IF(LEN(Table1722[[#This Row],[Uraian]])&gt;2,1," ")</f>
        <v xml:space="preserve"> </v>
      </c>
      <c r="E4326" s="113" t="str">
        <f>IF(Table1722[[#This Row],[Lawan Transaksi]]="CV AGUNG KARYA",COUNTIF($I$10:I4326,"CV AGUNG KARYA")," ")</f>
        <v xml:space="preserve"> </v>
      </c>
      <c r="F4326" s="107" t="str">
        <f>IF(LEN(Table1722[[#This Row],[Uraian]])&gt;2,TRIM(RIGHT(SUBSTITUTE(TRIM(C4326)," ",REPT(" ",255)),255))," ")</f>
        <v xml:space="preserve"> </v>
      </c>
      <c r="G4326" s="110">
        <f>COPY!Z4318</f>
        <v>0</v>
      </c>
      <c r="H4326" s="111" t="str">
        <f>IFERROR(VLOOKUP(Table1722[[#This Row],[Bukti]],'Un nOTA'!$A$4:$K$5003,10,FALSE),"")</f>
        <v/>
      </c>
      <c r="I4326" s="123" t="str">
        <f>IFERROR(VLOOKUP(Table1722[[#This Row],[Bukti]],Table13[#Data],11,FALSE),"")</f>
        <v/>
      </c>
    </row>
    <row r="4327" spans="1:9" hidden="1" x14ac:dyDescent="0.2">
      <c r="A4327" s="105" t="str">
        <f>IF(D4327=1,COUNTIF($D$10:D4327,1)," ")</f>
        <v xml:space="preserve"> </v>
      </c>
      <c r="B4327" s="106">
        <f>COPY!AR4319</f>
        <v>0</v>
      </c>
      <c r="C4327" s="107">
        <f>COPY!AC4319</f>
        <v>0</v>
      </c>
      <c r="D4327" s="107" t="str">
        <f>IF(LEN(Table1722[[#This Row],[Uraian]])&gt;2,1," ")</f>
        <v xml:space="preserve"> </v>
      </c>
      <c r="E4327" s="113" t="str">
        <f>IF(Table1722[[#This Row],[Lawan Transaksi]]="CV AGUNG KARYA",COUNTIF($I$10:I4327,"CV AGUNG KARYA")," ")</f>
        <v xml:space="preserve"> </v>
      </c>
      <c r="F4327" s="107" t="str">
        <f>IF(LEN(Table1722[[#This Row],[Uraian]])&gt;2,TRIM(RIGHT(SUBSTITUTE(TRIM(C4327)," ",REPT(" ",255)),255))," ")</f>
        <v xml:space="preserve"> </v>
      </c>
      <c r="G4327" s="110">
        <f>COPY!Z4319</f>
        <v>0</v>
      </c>
      <c r="H4327" s="111" t="str">
        <f>IFERROR(VLOOKUP(Table1722[[#This Row],[Bukti]],'Un nOTA'!$A$4:$K$5003,10,FALSE),"")</f>
        <v/>
      </c>
      <c r="I4327" s="123" t="str">
        <f>IFERROR(VLOOKUP(Table1722[[#This Row],[Bukti]],Table13[#Data],11,FALSE),"")</f>
        <v/>
      </c>
    </row>
    <row r="4328" spans="1:9" hidden="1" x14ac:dyDescent="0.2">
      <c r="A4328" s="105" t="str">
        <f>IF(D4328=1,COUNTIF($D$10:D4328,1)," ")</f>
        <v xml:space="preserve"> </v>
      </c>
      <c r="B4328" s="106">
        <f>COPY!AR4320</f>
        <v>0</v>
      </c>
      <c r="C4328" s="107">
        <f>COPY!AC4320</f>
        <v>0</v>
      </c>
      <c r="D4328" s="107" t="str">
        <f>IF(LEN(Table1722[[#This Row],[Uraian]])&gt;2,1," ")</f>
        <v xml:space="preserve"> </v>
      </c>
      <c r="E4328" s="113" t="str">
        <f>IF(Table1722[[#This Row],[Lawan Transaksi]]="CV AGUNG KARYA",COUNTIF($I$10:I4328,"CV AGUNG KARYA")," ")</f>
        <v xml:space="preserve"> </v>
      </c>
      <c r="F4328" s="107" t="str">
        <f>IF(LEN(Table1722[[#This Row],[Uraian]])&gt;2,TRIM(RIGHT(SUBSTITUTE(TRIM(C4328)," ",REPT(" ",255)),255))," ")</f>
        <v xml:space="preserve"> </v>
      </c>
      <c r="G4328" s="110">
        <f>COPY!Z4320</f>
        <v>0</v>
      </c>
      <c r="H4328" s="111" t="str">
        <f>IFERROR(VLOOKUP(Table1722[[#This Row],[Bukti]],'Un nOTA'!$A$4:$K$5003,10,FALSE),"")</f>
        <v/>
      </c>
      <c r="I4328" s="123" t="str">
        <f>IFERROR(VLOOKUP(Table1722[[#This Row],[Bukti]],Table13[#Data],11,FALSE),"")</f>
        <v/>
      </c>
    </row>
    <row r="4329" spans="1:9" hidden="1" x14ac:dyDescent="0.2">
      <c r="A4329" s="105" t="str">
        <f>IF(D4329=1,COUNTIF($D$10:D4329,1)," ")</f>
        <v xml:space="preserve"> </v>
      </c>
      <c r="B4329" s="106">
        <f>COPY!AR4321</f>
        <v>0</v>
      </c>
      <c r="C4329" s="107">
        <f>COPY!AC4321</f>
        <v>0</v>
      </c>
      <c r="D4329" s="107" t="str">
        <f>IF(LEN(Table1722[[#This Row],[Uraian]])&gt;2,1," ")</f>
        <v xml:space="preserve"> </v>
      </c>
      <c r="E4329" s="113" t="str">
        <f>IF(Table1722[[#This Row],[Lawan Transaksi]]="CV AGUNG KARYA",COUNTIF($I$10:I4329,"CV AGUNG KARYA")," ")</f>
        <v xml:space="preserve"> </v>
      </c>
      <c r="F4329" s="107" t="str">
        <f>IF(LEN(Table1722[[#This Row],[Uraian]])&gt;2,TRIM(RIGHT(SUBSTITUTE(TRIM(C4329)," ",REPT(" ",255)),255))," ")</f>
        <v xml:space="preserve"> </v>
      </c>
      <c r="G4329" s="110">
        <f>COPY!Z4321</f>
        <v>0</v>
      </c>
      <c r="H4329" s="111" t="str">
        <f>IFERROR(VLOOKUP(Table1722[[#This Row],[Bukti]],'Un nOTA'!$A$4:$K$5003,10,FALSE),"")</f>
        <v/>
      </c>
      <c r="I4329" s="123" t="str">
        <f>IFERROR(VLOOKUP(Table1722[[#This Row],[Bukti]],Table13[#Data],11,FALSE),"")</f>
        <v/>
      </c>
    </row>
    <row r="4330" spans="1:9" hidden="1" x14ac:dyDescent="0.2">
      <c r="A4330" s="105" t="str">
        <f>IF(D4330=1,COUNTIF($D$10:D4330,1)," ")</f>
        <v xml:space="preserve"> </v>
      </c>
      <c r="B4330" s="106">
        <f>COPY!AR4322</f>
        <v>0</v>
      </c>
      <c r="C4330" s="107">
        <f>COPY!AC4322</f>
        <v>0</v>
      </c>
      <c r="D4330" s="107" t="str">
        <f>IF(LEN(Table1722[[#This Row],[Uraian]])&gt;2,1," ")</f>
        <v xml:space="preserve"> </v>
      </c>
      <c r="E4330" s="113" t="str">
        <f>IF(Table1722[[#This Row],[Lawan Transaksi]]="CV AGUNG KARYA",COUNTIF($I$10:I4330,"CV AGUNG KARYA")," ")</f>
        <v xml:space="preserve"> </v>
      </c>
      <c r="F4330" s="107" t="str">
        <f>IF(LEN(Table1722[[#This Row],[Uraian]])&gt;2,TRIM(RIGHT(SUBSTITUTE(TRIM(C4330)," ",REPT(" ",255)),255))," ")</f>
        <v xml:space="preserve"> </v>
      </c>
      <c r="G4330" s="110">
        <f>COPY!Z4322</f>
        <v>0</v>
      </c>
      <c r="H4330" s="111" t="str">
        <f>IFERROR(VLOOKUP(Table1722[[#This Row],[Bukti]],'Un nOTA'!$A$4:$K$5003,10,FALSE),"")</f>
        <v/>
      </c>
      <c r="I4330" s="123" t="str">
        <f>IFERROR(VLOOKUP(Table1722[[#This Row],[Bukti]],Table13[#Data],11,FALSE),"")</f>
        <v/>
      </c>
    </row>
    <row r="4331" spans="1:9" hidden="1" x14ac:dyDescent="0.2">
      <c r="A4331" s="105" t="str">
        <f>IF(D4331=1,COUNTIF($D$10:D4331,1)," ")</f>
        <v xml:space="preserve"> </v>
      </c>
      <c r="B4331" s="106">
        <f>COPY!AR4323</f>
        <v>0</v>
      </c>
      <c r="C4331" s="107">
        <f>COPY!AC4323</f>
        <v>0</v>
      </c>
      <c r="D4331" s="107" t="str">
        <f>IF(LEN(Table1722[[#This Row],[Uraian]])&gt;2,1," ")</f>
        <v xml:space="preserve"> </v>
      </c>
      <c r="E4331" s="113" t="str">
        <f>IF(Table1722[[#This Row],[Lawan Transaksi]]="CV AGUNG KARYA",COUNTIF($I$10:I4331,"CV AGUNG KARYA")," ")</f>
        <v xml:space="preserve"> </v>
      </c>
      <c r="F4331" s="107" t="str">
        <f>IF(LEN(Table1722[[#This Row],[Uraian]])&gt;2,TRIM(RIGHT(SUBSTITUTE(TRIM(C4331)," ",REPT(" ",255)),255))," ")</f>
        <v xml:space="preserve"> </v>
      </c>
      <c r="G4331" s="110">
        <f>COPY!Z4323</f>
        <v>0</v>
      </c>
      <c r="H4331" s="111" t="str">
        <f>IFERROR(VLOOKUP(Table1722[[#This Row],[Bukti]],'Un nOTA'!$A$4:$K$5003,10,FALSE),"")</f>
        <v/>
      </c>
      <c r="I4331" s="123" t="str">
        <f>IFERROR(VLOOKUP(Table1722[[#This Row],[Bukti]],Table13[#Data],11,FALSE),"")</f>
        <v/>
      </c>
    </row>
    <row r="4332" spans="1:9" hidden="1" x14ac:dyDescent="0.2">
      <c r="A4332" s="105" t="str">
        <f>IF(D4332=1,COUNTIF($D$10:D4332,1)," ")</f>
        <v xml:space="preserve"> </v>
      </c>
      <c r="B4332" s="106">
        <f>COPY!AR4324</f>
        <v>0</v>
      </c>
      <c r="C4332" s="107">
        <f>COPY!AC4324</f>
        <v>0</v>
      </c>
      <c r="D4332" s="107" t="str">
        <f>IF(LEN(Table1722[[#This Row],[Uraian]])&gt;2,1," ")</f>
        <v xml:space="preserve"> </v>
      </c>
      <c r="E4332" s="113" t="str">
        <f>IF(Table1722[[#This Row],[Lawan Transaksi]]="CV AGUNG KARYA",COUNTIF($I$10:I4332,"CV AGUNG KARYA")," ")</f>
        <v xml:space="preserve"> </v>
      </c>
      <c r="F4332" s="107" t="str">
        <f>IF(LEN(Table1722[[#This Row],[Uraian]])&gt;2,TRIM(RIGHT(SUBSTITUTE(TRIM(C4332)," ",REPT(" ",255)),255))," ")</f>
        <v xml:space="preserve"> </v>
      </c>
      <c r="G4332" s="110">
        <f>COPY!Z4324</f>
        <v>0</v>
      </c>
      <c r="H4332" s="111" t="str">
        <f>IFERROR(VLOOKUP(Table1722[[#This Row],[Bukti]],'Un nOTA'!$A$4:$K$5003,10,FALSE),"")</f>
        <v/>
      </c>
      <c r="I4332" s="123" t="str">
        <f>IFERROR(VLOOKUP(Table1722[[#This Row],[Bukti]],Table13[#Data],11,FALSE),"")</f>
        <v/>
      </c>
    </row>
    <row r="4333" spans="1:9" hidden="1" x14ac:dyDescent="0.2">
      <c r="A4333" s="105" t="str">
        <f>IF(D4333=1,COUNTIF($D$10:D4333,1)," ")</f>
        <v xml:space="preserve"> </v>
      </c>
      <c r="B4333" s="106">
        <f>COPY!AR4325</f>
        <v>0</v>
      </c>
      <c r="C4333" s="107">
        <f>COPY!AC4325</f>
        <v>0</v>
      </c>
      <c r="D4333" s="107" t="str">
        <f>IF(LEN(Table1722[[#This Row],[Uraian]])&gt;2,1," ")</f>
        <v xml:space="preserve"> </v>
      </c>
      <c r="E4333" s="113" t="str">
        <f>IF(Table1722[[#This Row],[Lawan Transaksi]]="CV AGUNG KARYA",COUNTIF($I$10:I4333,"CV AGUNG KARYA")," ")</f>
        <v xml:space="preserve"> </v>
      </c>
      <c r="F4333" s="107" t="str">
        <f>IF(LEN(Table1722[[#This Row],[Uraian]])&gt;2,TRIM(RIGHT(SUBSTITUTE(TRIM(C4333)," ",REPT(" ",255)),255))," ")</f>
        <v xml:space="preserve"> </v>
      </c>
      <c r="G4333" s="110">
        <f>COPY!Z4325</f>
        <v>0</v>
      </c>
      <c r="H4333" s="111" t="str">
        <f>IFERROR(VLOOKUP(Table1722[[#This Row],[Bukti]],'Un nOTA'!$A$4:$K$5003,10,FALSE),"")</f>
        <v/>
      </c>
      <c r="I4333" s="123" t="str">
        <f>IFERROR(VLOOKUP(Table1722[[#This Row],[Bukti]],Table13[#Data],11,FALSE),"")</f>
        <v/>
      </c>
    </row>
    <row r="4334" spans="1:9" hidden="1" x14ac:dyDescent="0.2">
      <c r="A4334" s="105" t="str">
        <f>IF(D4334=1,COUNTIF($D$10:D4334,1)," ")</f>
        <v xml:space="preserve"> </v>
      </c>
      <c r="B4334" s="106">
        <f>COPY!AR4326</f>
        <v>0</v>
      </c>
      <c r="C4334" s="107">
        <f>COPY!AC4326</f>
        <v>0</v>
      </c>
      <c r="D4334" s="107" t="str">
        <f>IF(LEN(Table1722[[#This Row],[Uraian]])&gt;2,1," ")</f>
        <v xml:space="preserve"> </v>
      </c>
      <c r="E4334" s="113" t="str">
        <f>IF(Table1722[[#This Row],[Lawan Transaksi]]="CV AGUNG KARYA",COUNTIF($I$10:I4334,"CV AGUNG KARYA")," ")</f>
        <v xml:space="preserve"> </v>
      </c>
      <c r="F4334" s="107" t="str">
        <f>IF(LEN(Table1722[[#This Row],[Uraian]])&gt;2,TRIM(RIGHT(SUBSTITUTE(TRIM(C4334)," ",REPT(" ",255)),255))," ")</f>
        <v xml:space="preserve"> </v>
      </c>
      <c r="G4334" s="110">
        <f>COPY!Z4326</f>
        <v>0</v>
      </c>
      <c r="H4334" s="111" t="str">
        <f>IFERROR(VLOOKUP(Table1722[[#This Row],[Bukti]],'Un nOTA'!$A$4:$K$5003,10,FALSE),"")</f>
        <v/>
      </c>
      <c r="I4334" s="123" t="str">
        <f>IFERROR(VLOOKUP(Table1722[[#This Row],[Bukti]],Table13[#Data],11,FALSE),"")</f>
        <v/>
      </c>
    </row>
    <row r="4335" spans="1:9" hidden="1" x14ac:dyDescent="0.2">
      <c r="A4335" s="105" t="str">
        <f>IF(D4335=1,COUNTIF($D$10:D4335,1)," ")</f>
        <v xml:space="preserve"> </v>
      </c>
      <c r="B4335" s="106">
        <f>COPY!AR4327</f>
        <v>0</v>
      </c>
      <c r="C4335" s="107">
        <f>COPY!AC4327</f>
        <v>0</v>
      </c>
      <c r="D4335" s="107" t="str">
        <f>IF(LEN(Table1722[[#This Row],[Uraian]])&gt;2,1," ")</f>
        <v xml:space="preserve"> </v>
      </c>
      <c r="E4335" s="113" t="str">
        <f>IF(Table1722[[#This Row],[Lawan Transaksi]]="CV AGUNG KARYA",COUNTIF($I$10:I4335,"CV AGUNG KARYA")," ")</f>
        <v xml:space="preserve"> </v>
      </c>
      <c r="F4335" s="107" t="str">
        <f>IF(LEN(Table1722[[#This Row],[Uraian]])&gt;2,TRIM(RIGHT(SUBSTITUTE(TRIM(C4335)," ",REPT(" ",255)),255))," ")</f>
        <v xml:space="preserve"> </v>
      </c>
      <c r="G4335" s="110">
        <f>COPY!Z4327</f>
        <v>0</v>
      </c>
      <c r="H4335" s="111" t="str">
        <f>IFERROR(VLOOKUP(Table1722[[#This Row],[Bukti]],'Un nOTA'!$A$4:$K$5003,10,FALSE),"")</f>
        <v/>
      </c>
      <c r="I4335" s="123" t="str">
        <f>IFERROR(VLOOKUP(Table1722[[#This Row],[Bukti]],Table13[#Data],11,FALSE),"")</f>
        <v/>
      </c>
    </row>
    <row r="4336" spans="1:9" hidden="1" x14ac:dyDescent="0.2">
      <c r="A4336" s="105" t="str">
        <f>IF(D4336=1,COUNTIF($D$10:D4336,1)," ")</f>
        <v xml:space="preserve"> </v>
      </c>
      <c r="B4336" s="106">
        <f>COPY!AR4328</f>
        <v>0</v>
      </c>
      <c r="C4336" s="107">
        <f>COPY!AC4328</f>
        <v>0</v>
      </c>
      <c r="D4336" s="107" t="str">
        <f>IF(LEN(Table1722[[#This Row],[Uraian]])&gt;2,1," ")</f>
        <v xml:space="preserve"> </v>
      </c>
      <c r="E4336" s="113" t="str">
        <f>IF(Table1722[[#This Row],[Lawan Transaksi]]="CV AGUNG KARYA",COUNTIF($I$10:I4336,"CV AGUNG KARYA")," ")</f>
        <v xml:space="preserve"> </v>
      </c>
      <c r="F4336" s="107" t="str">
        <f>IF(LEN(Table1722[[#This Row],[Uraian]])&gt;2,TRIM(RIGHT(SUBSTITUTE(TRIM(C4336)," ",REPT(" ",255)),255))," ")</f>
        <v xml:space="preserve"> </v>
      </c>
      <c r="G4336" s="110">
        <f>COPY!Z4328</f>
        <v>0</v>
      </c>
      <c r="H4336" s="111" t="str">
        <f>IFERROR(VLOOKUP(Table1722[[#This Row],[Bukti]],'Un nOTA'!$A$4:$K$5003,10,FALSE),"")</f>
        <v/>
      </c>
      <c r="I4336" s="123" t="str">
        <f>IFERROR(VLOOKUP(Table1722[[#This Row],[Bukti]],Table13[#Data],11,FALSE),"")</f>
        <v/>
      </c>
    </row>
    <row r="4337" spans="1:9" hidden="1" x14ac:dyDescent="0.2">
      <c r="A4337" s="105" t="str">
        <f>IF(D4337=1,COUNTIF($D$10:D4337,1)," ")</f>
        <v xml:space="preserve"> </v>
      </c>
      <c r="B4337" s="106">
        <f>COPY!AR4329</f>
        <v>0</v>
      </c>
      <c r="C4337" s="107">
        <f>COPY!AC4329</f>
        <v>0</v>
      </c>
      <c r="D4337" s="107" t="str">
        <f>IF(LEN(Table1722[[#This Row],[Uraian]])&gt;2,1," ")</f>
        <v xml:space="preserve"> </v>
      </c>
      <c r="E4337" s="113" t="str">
        <f>IF(Table1722[[#This Row],[Lawan Transaksi]]="CV AGUNG KARYA",COUNTIF($I$10:I4337,"CV AGUNG KARYA")," ")</f>
        <v xml:space="preserve"> </v>
      </c>
      <c r="F4337" s="107" t="str">
        <f>IF(LEN(Table1722[[#This Row],[Uraian]])&gt;2,TRIM(RIGHT(SUBSTITUTE(TRIM(C4337)," ",REPT(" ",255)),255))," ")</f>
        <v xml:space="preserve"> </v>
      </c>
      <c r="G4337" s="110">
        <f>COPY!Z4329</f>
        <v>0</v>
      </c>
      <c r="H4337" s="111" t="str">
        <f>IFERROR(VLOOKUP(Table1722[[#This Row],[Bukti]],'Un nOTA'!$A$4:$K$5003,10,FALSE),"")</f>
        <v/>
      </c>
      <c r="I4337" s="123" t="str">
        <f>IFERROR(VLOOKUP(Table1722[[#This Row],[Bukti]],Table13[#Data],11,FALSE),"")</f>
        <v/>
      </c>
    </row>
    <row r="4338" spans="1:9" hidden="1" x14ac:dyDescent="0.2">
      <c r="A4338" s="105" t="str">
        <f>IF(D4338=1,COUNTIF($D$10:D4338,1)," ")</f>
        <v xml:space="preserve"> </v>
      </c>
      <c r="B4338" s="106">
        <f>COPY!AR4330</f>
        <v>0</v>
      </c>
      <c r="C4338" s="107">
        <f>COPY!AC4330</f>
        <v>0</v>
      </c>
      <c r="D4338" s="107" t="str">
        <f>IF(LEN(Table1722[[#This Row],[Uraian]])&gt;2,1," ")</f>
        <v xml:space="preserve"> </v>
      </c>
      <c r="E4338" s="113" t="str">
        <f>IF(Table1722[[#This Row],[Lawan Transaksi]]="CV AGUNG KARYA",COUNTIF($I$10:I4338,"CV AGUNG KARYA")," ")</f>
        <v xml:space="preserve"> </v>
      </c>
      <c r="F4338" s="107" t="str">
        <f>IF(LEN(Table1722[[#This Row],[Uraian]])&gt;2,TRIM(RIGHT(SUBSTITUTE(TRIM(C4338)," ",REPT(" ",255)),255))," ")</f>
        <v xml:space="preserve"> </v>
      </c>
      <c r="G4338" s="110">
        <f>COPY!Z4330</f>
        <v>0</v>
      </c>
      <c r="H4338" s="111" t="str">
        <f>IFERROR(VLOOKUP(Table1722[[#This Row],[Bukti]],'Un nOTA'!$A$4:$K$5003,10,FALSE),"")</f>
        <v/>
      </c>
      <c r="I4338" s="123" t="str">
        <f>IFERROR(VLOOKUP(Table1722[[#This Row],[Bukti]],Table13[#Data],11,FALSE),"")</f>
        <v/>
      </c>
    </row>
    <row r="4339" spans="1:9" hidden="1" x14ac:dyDescent="0.2">
      <c r="A4339" s="105" t="str">
        <f>IF(D4339=1,COUNTIF($D$10:D4339,1)," ")</f>
        <v xml:space="preserve"> </v>
      </c>
      <c r="B4339" s="106">
        <f>COPY!AR4331</f>
        <v>0</v>
      </c>
      <c r="C4339" s="107">
        <f>COPY!AC4331</f>
        <v>0</v>
      </c>
      <c r="D4339" s="107" t="str">
        <f>IF(LEN(Table1722[[#This Row],[Uraian]])&gt;2,1," ")</f>
        <v xml:space="preserve"> </v>
      </c>
      <c r="E4339" s="113" t="str">
        <f>IF(Table1722[[#This Row],[Lawan Transaksi]]="CV AGUNG KARYA",COUNTIF($I$10:I4339,"CV AGUNG KARYA")," ")</f>
        <v xml:space="preserve"> </v>
      </c>
      <c r="F4339" s="107" t="str">
        <f>IF(LEN(Table1722[[#This Row],[Uraian]])&gt;2,TRIM(RIGHT(SUBSTITUTE(TRIM(C4339)," ",REPT(" ",255)),255))," ")</f>
        <v xml:space="preserve"> </v>
      </c>
      <c r="G4339" s="110">
        <f>COPY!Z4331</f>
        <v>0</v>
      </c>
      <c r="H4339" s="111" t="str">
        <f>IFERROR(VLOOKUP(Table1722[[#This Row],[Bukti]],'Un nOTA'!$A$4:$K$5003,10,FALSE),"")</f>
        <v/>
      </c>
      <c r="I4339" s="123" t="str">
        <f>IFERROR(VLOOKUP(Table1722[[#This Row],[Bukti]],Table13[#Data],11,FALSE),"")</f>
        <v/>
      </c>
    </row>
    <row r="4340" spans="1:9" hidden="1" x14ac:dyDescent="0.2">
      <c r="A4340" s="105" t="str">
        <f>IF(D4340=1,COUNTIF($D$10:D4340,1)," ")</f>
        <v xml:space="preserve"> </v>
      </c>
      <c r="B4340" s="106">
        <f>COPY!AR4332</f>
        <v>0</v>
      </c>
      <c r="C4340" s="107">
        <f>COPY!AC4332</f>
        <v>0</v>
      </c>
      <c r="D4340" s="107" t="str">
        <f>IF(LEN(Table1722[[#This Row],[Uraian]])&gt;2,1," ")</f>
        <v xml:space="preserve"> </v>
      </c>
      <c r="E4340" s="113" t="str">
        <f>IF(Table1722[[#This Row],[Lawan Transaksi]]="CV AGUNG KARYA",COUNTIF($I$10:I4340,"CV AGUNG KARYA")," ")</f>
        <v xml:space="preserve"> </v>
      </c>
      <c r="F4340" s="107" t="str">
        <f>IF(LEN(Table1722[[#This Row],[Uraian]])&gt;2,TRIM(RIGHT(SUBSTITUTE(TRIM(C4340)," ",REPT(" ",255)),255))," ")</f>
        <v xml:space="preserve"> </v>
      </c>
      <c r="G4340" s="110">
        <f>COPY!Z4332</f>
        <v>0</v>
      </c>
      <c r="H4340" s="111" t="str">
        <f>IFERROR(VLOOKUP(Table1722[[#This Row],[Bukti]],'Un nOTA'!$A$4:$K$5003,10,FALSE),"")</f>
        <v/>
      </c>
      <c r="I4340" s="123" t="str">
        <f>IFERROR(VLOOKUP(Table1722[[#This Row],[Bukti]],Table13[#Data],11,FALSE),"")</f>
        <v/>
      </c>
    </row>
    <row r="4341" spans="1:9" hidden="1" x14ac:dyDescent="0.2">
      <c r="A4341" s="105" t="str">
        <f>IF(D4341=1,COUNTIF($D$10:D4341,1)," ")</f>
        <v xml:space="preserve"> </v>
      </c>
      <c r="B4341" s="106">
        <f>COPY!AR4333</f>
        <v>0</v>
      </c>
      <c r="C4341" s="107">
        <f>COPY!AC4333</f>
        <v>0</v>
      </c>
      <c r="D4341" s="107" t="str">
        <f>IF(LEN(Table1722[[#This Row],[Uraian]])&gt;2,1," ")</f>
        <v xml:space="preserve"> </v>
      </c>
      <c r="E4341" s="113" t="str">
        <f>IF(Table1722[[#This Row],[Lawan Transaksi]]="CV AGUNG KARYA",COUNTIF($I$10:I4341,"CV AGUNG KARYA")," ")</f>
        <v xml:space="preserve"> </v>
      </c>
      <c r="F4341" s="107" t="str">
        <f>IF(LEN(Table1722[[#This Row],[Uraian]])&gt;2,TRIM(RIGHT(SUBSTITUTE(TRIM(C4341)," ",REPT(" ",255)),255))," ")</f>
        <v xml:space="preserve"> </v>
      </c>
      <c r="G4341" s="110">
        <f>COPY!Z4333</f>
        <v>0</v>
      </c>
      <c r="H4341" s="111" t="str">
        <f>IFERROR(VLOOKUP(Table1722[[#This Row],[Bukti]],'Un nOTA'!$A$4:$K$5003,10,FALSE),"")</f>
        <v/>
      </c>
      <c r="I4341" s="123" t="str">
        <f>IFERROR(VLOOKUP(Table1722[[#This Row],[Bukti]],Table13[#Data],11,FALSE),"")</f>
        <v/>
      </c>
    </row>
    <row r="4342" spans="1:9" hidden="1" x14ac:dyDescent="0.2">
      <c r="A4342" s="105" t="str">
        <f>IF(D4342=1,COUNTIF($D$10:D4342,1)," ")</f>
        <v xml:space="preserve"> </v>
      </c>
      <c r="B4342" s="106">
        <f>COPY!AR4334</f>
        <v>0</v>
      </c>
      <c r="C4342" s="107">
        <f>COPY!AC4334</f>
        <v>0</v>
      </c>
      <c r="D4342" s="107" t="str">
        <f>IF(LEN(Table1722[[#This Row],[Uraian]])&gt;2,1," ")</f>
        <v xml:space="preserve"> </v>
      </c>
      <c r="E4342" s="113" t="str">
        <f>IF(Table1722[[#This Row],[Lawan Transaksi]]="CV AGUNG KARYA",COUNTIF($I$10:I4342,"CV AGUNG KARYA")," ")</f>
        <v xml:space="preserve"> </v>
      </c>
      <c r="F4342" s="107" t="str">
        <f>IF(LEN(Table1722[[#This Row],[Uraian]])&gt;2,TRIM(RIGHT(SUBSTITUTE(TRIM(C4342)," ",REPT(" ",255)),255))," ")</f>
        <v xml:space="preserve"> </v>
      </c>
      <c r="G4342" s="110">
        <f>COPY!Z4334</f>
        <v>0</v>
      </c>
      <c r="H4342" s="111" t="str">
        <f>IFERROR(VLOOKUP(Table1722[[#This Row],[Bukti]],'Un nOTA'!$A$4:$K$5003,10,FALSE),"")</f>
        <v/>
      </c>
      <c r="I4342" s="123" t="str">
        <f>IFERROR(VLOOKUP(Table1722[[#This Row],[Bukti]],Table13[#Data],11,FALSE),"")</f>
        <v/>
      </c>
    </row>
    <row r="4343" spans="1:9" hidden="1" x14ac:dyDescent="0.2">
      <c r="A4343" s="105" t="str">
        <f>IF(D4343=1,COUNTIF($D$10:D4343,1)," ")</f>
        <v xml:space="preserve"> </v>
      </c>
      <c r="B4343" s="106">
        <f>COPY!AR4335</f>
        <v>0</v>
      </c>
      <c r="C4343" s="107">
        <f>COPY!AC4335</f>
        <v>0</v>
      </c>
      <c r="D4343" s="107" t="str">
        <f>IF(LEN(Table1722[[#This Row],[Uraian]])&gt;2,1," ")</f>
        <v xml:space="preserve"> </v>
      </c>
      <c r="E4343" s="113" t="str">
        <f>IF(Table1722[[#This Row],[Lawan Transaksi]]="CV AGUNG KARYA",COUNTIF($I$10:I4343,"CV AGUNG KARYA")," ")</f>
        <v xml:space="preserve"> </v>
      </c>
      <c r="F4343" s="107" t="str">
        <f>IF(LEN(Table1722[[#This Row],[Uraian]])&gt;2,TRIM(RIGHT(SUBSTITUTE(TRIM(C4343)," ",REPT(" ",255)),255))," ")</f>
        <v xml:space="preserve"> </v>
      </c>
      <c r="G4343" s="110">
        <f>COPY!Z4335</f>
        <v>0</v>
      </c>
      <c r="H4343" s="111" t="str">
        <f>IFERROR(VLOOKUP(Table1722[[#This Row],[Bukti]],'Un nOTA'!$A$4:$K$5003,10,FALSE),"")</f>
        <v/>
      </c>
      <c r="I4343" s="123" t="str">
        <f>IFERROR(VLOOKUP(Table1722[[#This Row],[Bukti]],Table13[#Data],11,FALSE),"")</f>
        <v/>
      </c>
    </row>
    <row r="4344" spans="1:9" hidden="1" x14ac:dyDescent="0.2">
      <c r="A4344" s="105" t="str">
        <f>IF(D4344=1,COUNTIF($D$10:D4344,1)," ")</f>
        <v xml:space="preserve"> </v>
      </c>
      <c r="B4344" s="106">
        <f>COPY!AR4336</f>
        <v>0</v>
      </c>
      <c r="C4344" s="107">
        <f>COPY!AC4336</f>
        <v>0</v>
      </c>
      <c r="D4344" s="107" t="str">
        <f>IF(LEN(Table1722[[#This Row],[Uraian]])&gt;2,1," ")</f>
        <v xml:space="preserve"> </v>
      </c>
      <c r="E4344" s="113" t="str">
        <f>IF(Table1722[[#This Row],[Lawan Transaksi]]="CV AGUNG KARYA",COUNTIF($I$10:I4344,"CV AGUNG KARYA")," ")</f>
        <v xml:space="preserve"> </v>
      </c>
      <c r="F4344" s="107" t="str">
        <f>IF(LEN(Table1722[[#This Row],[Uraian]])&gt;2,TRIM(RIGHT(SUBSTITUTE(TRIM(C4344)," ",REPT(" ",255)),255))," ")</f>
        <v xml:space="preserve"> </v>
      </c>
      <c r="G4344" s="110">
        <f>COPY!Z4336</f>
        <v>0</v>
      </c>
      <c r="H4344" s="111" t="str">
        <f>IFERROR(VLOOKUP(Table1722[[#This Row],[Bukti]],'Un nOTA'!$A$4:$K$5003,10,FALSE),"")</f>
        <v/>
      </c>
      <c r="I4344" s="123" t="str">
        <f>IFERROR(VLOOKUP(Table1722[[#This Row],[Bukti]],Table13[#Data],11,FALSE),"")</f>
        <v/>
      </c>
    </row>
    <row r="4345" spans="1:9" hidden="1" x14ac:dyDescent="0.2">
      <c r="A4345" s="105" t="str">
        <f>IF(D4345=1,COUNTIF($D$10:D4345,1)," ")</f>
        <v xml:space="preserve"> </v>
      </c>
      <c r="B4345" s="106">
        <f>COPY!AR4337</f>
        <v>0</v>
      </c>
      <c r="C4345" s="107">
        <f>COPY!AC4337</f>
        <v>0</v>
      </c>
      <c r="D4345" s="107" t="str">
        <f>IF(LEN(Table1722[[#This Row],[Uraian]])&gt;2,1," ")</f>
        <v xml:space="preserve"> </v>
      </c>
      <c r="E4345" s="113" t="str">
        <f>IF(Table1722[[#This Row],[Lawan Transaksi]]="CV AGUNG KARYA",COUNTIF($I$10:I4345,"CV AGUNG KARYA")," ")</f>
        <v xml:space="preserve"> </v>
      </c>
      <c r="F4345" s="107" t="str">
        <f>IF(LEN(Table1722[[#This Row],[Uraian]])&gt;2,TRIM(RIGHT(SUBSTITUTE(TRIM(C4345)," ",REPT(" ",255)),255))," ")</f>
        <v xml:space="preserve"> </v>
      </c>
      <c r="G4345" s="110">
        <f>COPY!Z4337</f>
        <v>0</v>
      </c>
      <c r="H4345" s="111" t="str">
        <f>IFERROR(VLOOKUP(Table1722[[#This Row],[Bukti]],'Un nOTA'!$A$4:$K$5003,10,FALSE),"")</f>
        <v/>
      </c>
      <c r="I4345" s="123" t="str">
        <f>IFERROR(VLOOKUP(Table1722[[#This Row],[Bukti]],Table13[#Data],11,FALSE),"")</f>
        <v/>
      </c>
    </row>
    <row r="4346" spans="1:9" hidden="1" x14ac:dyDescent="0.2">
      <c r="A4346" s="105" t="str">
        <f>IF(D4346=1,COUNTIF($D$10:D4346,1)," ")</f>
        <v xml:space="preserve"> </v>
      </c>
      <c r="B4346" s="106">
        <f>COPY!AR4338</f>
        <v>0</v>
      </c>
      <c r="C4346" s="107">
        <f>COPY!AC4338</f>
        <v>0</v>
      </c>
      <c r="D4346" s="107" t="str">
        <f>IF(LEN(Table1722[[#This Row],[Uraian]])&gt;2,1," ")</f>
        <v xml:space="preserve"> </v>
      </c>
      <c r="E4346" s="113" t="str">
        <f>IF(Table1722[[#This Row],[Lawan Transaksi]]="CV AGUNG KARYA",COUNTIF($I$10:I4346,"CV AGUNG KARYA")," ")</f>
        <v xml:space="preserve"> </v>
      </c>
      <c r="F4346" s="107" t="str">
        <f>IF(LEN(Table1722[[#This Row],[Uraian]])&gt;2,TRIM(RIGHT(SUBSTITUTE(TRIM(C4346)," ",REPT(" ",255)),255))," ")</f>
        <v xml:space="preserve"> </v>
      </c>
      <c r="G4346" s="110">
        <f>COPY!Z4338</f>
        <v>0</v>
      </c>
      <c r="H4346" s="111" t="str">
        <f>IFERROR(VLOOKUP(Table1722[[#This Row],[Bukti]],'Un nOTA'!$A$4:$K$5003,10,FALSE),"")</f>
        <v/>
      </c>
      <c r="I4346" s="123" t="str">
        <f>IFERROR(VLOOKUP(Table1722[[#This Row],[Bukti]],Table13[#Data],11,FALSE),"")</f>
        <v/>
      </c>
    </row>
    <row r="4347" spans="1:9" hidden="1" x14ac:dyDescent="0.2">
      <c r="A4347" s="105" t="str">
        <f>IF(D4347=1,COUNTIF($D$10:D4347,1)," ")</f>
        <v xml:space="preserve"> </v>
      </c>
      <c r="B4347" s="106">
        <f>COPY!AR4339</f>
        <v>0</v>
      </c>
      <c r="C4347" s="107">
        <f>COPY!AC4339</f>
        <v>0</v>
      </c>
      <c r="D4347" s="107" t="str">
        <f>IF(LEN(Table1722[[#This Row],[Uraian]])&gt;2,1," ")</f>
        <v xml:space="preserve"> </v>
      </c>
      <c r="E4347" s="113" t="str">
        <f>IF(Table1722[[#This Row],[Lawan Transaksi]]="CV AGUNG KARYA",COUNTIF($I$10:I4347,"CV AGUNG KARYA")," ")</f>
        <v xml:space="preserve"> </v>
      </c>
      <c r="F4347" s="107" t="str">
        <f>IF(LEN(Table1722[[#This Row],[Uraian]])&gt;2,TRIM(RIGHT(SUBSTITUTE(TRIM(C4347)," ",REPT(" ",255)),255))," ")</f>
        <v xml:space="preserve"> </v>
      </c>
      <c r="G4347" s="110">
        <f>COPY!Z4339</f>
        <v>0</v>
      </c>
      <c r="H4347" s="111" t="str">
        <f>IFERROR(VLOOKUP(Table1722[[#This Row],[Bukti]],'Un nOTA'!$A$4:$K$5003,10,FALSE),"")</f>
        <v/>
      </c>
      <c r="I4347" s="123" t="str">
        <f>IFERROR(VLOOKUP(Table1722[[#This Row],[Bukti]],Table13[#Data],11,FALSE),"")</f>
        <v/>
      </c>
    </row>
    <row r="4348" spans="1:9" hidden="1" x14ac:dyDescent="0.2">
      <c r="A4348" s="105" t="str">
        <f>IF(D4348=1,COUNTIF($D$10:D4348,1)," ")</f>
        <v xml:space="preserve"> </v>
      </c>
      <c r="B4348" s="106">
        <f>COPY!AR4340</f>
        <v>0</v>
      </c>
      <c r="C4348" s="107">
        <f>COPY!AC4340</f>
        <v>0</v>
      </c>
      <c r="D4348" s="107" t="str">
        <f>IF(LEN(Table1722[[#This Row],[Uraian]])&gt;2,1," ")</f>
        <v xml:space="preserve"> </v>
      </c>
      <c r="E4348" s="113" t="str">
        <f>IF(Table1722[[#This Row],[Lawan Transaksi]]="CV AGUNG KARYA",COUNTIF($I$10:I4348,"CV AGUNG KARYA")," ")</f>
        <v xml:space="preserve"> </v>
      </c>
      <c r="F4348" s="107" t="str">
        <f>IF(LEN(Table1722[[#This Row],[Uraian]])&gt;2,TRIM(RIGHT(SUBSTITUTE(TRIM(C4348)," ",REPT(" ",255)),255))," ")</f>
        <v xml:space="preserve"> </v>
      </c>
      <c r="G4348" s="110">
        <f>COPY!Z4340</f>
        <v>0</v>
      </c>
      <c r="H4348" s="111" t="str">
        <f>IFERROR(VLOOKUP(Table1722[[#This Row],[Bukti]],'Un nOTA'!$A$4:$K$5003,10,FALSE),"")</f>
        <v/>
      </c>
      <c r="I4348" s="123" t="str">
        <f>IFERROR(VLOOKUP(Table1722[[#This Row],[Bukti]],Table13[#Data],11,FALSE),"")</f>
        <v/>
      </c>
    </row>
    <row r="4349" spans="1:9" hidden="1" x14ac:dyDescent="0.2">
      <c r="A4349" s="105" t="str">
        <f>IF(D4349=1,COUNTIF($D$10:D4349,1)," ")</f>
        <v xml:space="preserve"> </v>
      </c>
      <c r="B4349" s="106">
        <f>COPY!AR4341</f>
        <v>0</v>
      </c>
      <c r="C4349" s="107">
        <f>COPY!AC4341</f>
        <v>0</v>
      </c>
      <c r="D4349" s="107" t="str">
        <f>IF(LEN(Table1722[[#This Row],[Uraian]])&gt;2,1," ")</f>
        <v xml:space="preserve"> </v>
      </c>
      <c r="E4349" s="113" t="str">
        <f>IF(Table1722[[#This Row],[Lawan Transaksi]]="CV AGUNG KARYA",COUNTIF($I$10:I4349,"CV AGUNG KARYA")," ")</f>
        <v xml:space="preserve"> </v>
      </c>
      <c r="F4349" s="107" t="str">
        <f>IF(LEN(Table1722[[#This Row],[Uraian]])&gt;2,TRIM(RIGHT(SUBSTITUTE(TRIM(C4349)," ",REPT(" ",255)),255))," ")</f>
        <v xml:space="preserve"> </v>
      </c>
      <c r="G4349" s="110">
        <f>COPY!Z4341</f>
        <v>0</v>
      </c>
      <c r="H4349" s="111" t="str">
        <f>IFERROR(VLOOKUP(Table1722[[#This Row],[Bukti]],'Un nOTA'!$A$4:$K$5003,10,FALSE),"")</f>
        <v/>
      </c>
      <c r="I4349" s="123" t="str">
        <f>IFERROR(VLOOKUP(Table1722[[#This Row],[Bukti]],Table13[#Data],11,FALSE),"")</f>
        <v/>
      </c>
    </row>
    <row r="4350" spans="1:9" hidden="1" x14ac:dyDescent="0.2">
      <c r="A4350" s="105" t="str">
        <f>IF(D4350=1,COUNTIF($D$10:D4350,1)," ")</f>
        <v xml:space="preserve"> </v>
      </c>
      <c r="B4350" s="106">
        <f>COPY!AR4342</f>
        <v>0</v>
      </c>
      <c r="C4350" s="107">
        <f>COPY!AC4342</f>
        <v>0</v>
      </c>
      <c r="D4350" s="107" t="str">
        <f>IF(LEN(Table1722[[#This Row],[Uraian]])&gt;2,1," ")</f>
        <v xml:space="preserve"> </v>
      </c>
      <c r="E4350" s="113" t="str">
        <f>IF(Table1722[[#This Row],[Lawan Transaksi]]="CV AGUNG KARYA",COUNTIF($I$10:I4350,"CV AGUNG KARYA")," ")</f>
        <v xml:space="preserve"> </v>
      </c>
      <c r="F4350" s="107" t="str">
        <f>IF(LEN(Table1722[[#This Row],[Uraian]])&gt;2,TRIM(RIGHT(SUBSTITUTE(TRIM(C4350)," ",REPT(" ",255)),255))," ")</f>
        <v xml:space="preserve"> </v>
      </c>
      <c r="G4350" s="110">
        <f>COPY!Z4342</f>
        <v>0</v>
      </c>
      <c r="H4350" s="111" t="str">
        <f>IFERROR(VLOOKUP(Table1722[[#This Row],[Bukti]],'Un nOTA'!$A$4:$K$5003,10,FALSE),"")</f>
        <v/>
      </c>
      <c r="I4350" s="123" t="str">
        <f>IFERROR(VLOOKUP(Table1722[[#This Row],[Bukti]],Table13[#Data],11,FALSE),"")</f>
        <v/>
      </c>
    </row>
    <row r="4351" spans="1:9" hidden="1" x14ac:dyDescent="0.2">
      <c r="A4351" s="105" t="str">
        <f>IF(D4351=1,COUNTIF($D$10:D4351,1)," ")</f>
        <v xml:space="preserve"> </v>
      </c>
      <c r="B4351" s="106">
        <f>COPY!AR4343</f>
        <v>0</v>
      </c>
      <c r="C4351" s="107">
        <f>COPY!AC4343</f>
        <v>0</v>
      </c>
      <c r="D4351" s="107" t="str">
        <f>IF(LEN(Table1722[[#This Row],[Uraian]])&gt;2,1," ")</f>
        <v xml:space="preserve"> </v>
      </c>
      <c r="E4351" s="113" t="str">
        <f>IF(Table1722[[#This Row],[Lawan Transaksi]]="CV AGUNG KARYA",COUNTIF($I$10:I4351,"CV AGUNG KARYA")," ")</f>
        <v xml:space="preserve"> </v>
      </c>
      <c r="F4351" s="107" t="str">
        <f>IF(LEN(Table1722[[#This Row],[Uraian]])&gt;2,TRIM(RIGHT(SUBSTITUTE(TRIM(C4351)," ",REPT(" ",255)),255))," ")</f>
        <v xml:space="preserve"> </v>
      </c>
      <c r="G4351" s="110">
        <f>COPY!Z4343</f>
        <v>0</v>
      </c>
      <c r="H4351" s="111" t="str">
        <f>IFERROR(VLOOKUP(Table1722[[#This Row],[Bukti]],'Un nOTA'!$A$4:$K$5003,10,FALSE),"")</f>
        <v/>
      </c>
      <c r="I4351" s="123" t="str">
        <f>IFERROR(VLOOKUP(Table1722[[#This Row],[Bukti]],Table13[#Data],11,FALSE),"")</f>
        <v/>
      </c>
    </row>
    <row r="4352" spans="1:9" hidden="1" x14ac:dyDescent="0.2">
      <c r="A4352" s="105" t="str">
        <f>IF(D4352=1,COUNTIF($D$10:D4352,1)," ")</f>
        <v xml:space="preserve"> </v>
      </c>
      <c r="B4352" s="106">
        <f>COPY!AR4344</f>
        <v>0</v>
      </c>
      <c r="C4352" s="107">
        <f>COPY!AC4344</f>
        <v>0</v>
      </c>
      <c r="D4352" s="107" t="str">
        <f>IF(LEN(Table1722[[#This Row],[Uraian]])&gt;2,1," ")</f>
        <v xml:space="preserve"> </v>
      </c>
      <c r="E4352" s="113" t="str">
        <f>IF(Table1722[[#This Row],[Lawan Transaksi]]="CV AGUNG KARYA",COUNTIF($I$10:I4352,"CV AGUNG KARYA")," ")</f>
        <v xml:space="preserve"> </v>
      </c>
      <c r="F4352" s="107" t="str">
        <f>IF(LEN(Table1722[[#This Row],[Uraian]])&gt;2,TRIM(RIGHT(SUBSTITUTE(TRIM(C4352)," ",REPT(" ",255)),255))," ")</f>
        <v xml:space="preserve"> </v>
      </c>
      <c r="G4352" s="110">
        <f>COPY!Z4344</f>
        <v>0</v>
      </c>
      <c r="H4352" s="111" t="str">
        <f>IFERROR(VLOOKUP(Table1722[[#This Row],[Bukti]],'Un nOTA'!$A$4:$K$5003,10,FALSE),"")</f>
        <v/>
      </c>
      <c r="I4352" s="123" t="str">
        <f>IFERROR(VLOOKUP(Table1722[[#This Row],[Bukti]],Table13[#Data],11,FALSE),"")</f>
        <v/>
      </c>
    </row>
    <row r="4353" spans="1:9" hidden="1" x14ac:dyDescent="0.2">
      <c r="A4353" s="105" t="str">
        <f>IF(D4353=1,COUNTIF($D$10:D4353,1)," ")</f>
        <v xml:space="preserve"> </v>
      </c>
      <c r="B4353" s="106">
        <f>COPY!AR4345</f>
        <v>0</v>
      </c>
      <c r="C4353" s="107">
        <f>COPY!AC4345</f>
        <v>0</v>
      </c>
      <c r="D4353" s="107" t="str">
        <f>IF(LEN(Table1722[[#This Row],[Uraian]])&gt;2,1," ")</f>
        <v xml:space="preserve"> </v>
      </c>
      <c r="E4353" s="113" t="str">
        <f>IF(Table1722[[#This Row],[Lawan Transaksi]]="CV AGUNG KARYA",COUNTIF($I$10:I4353,"CV AGUNG KARYA")," ")</f>
        <v xml:space="preserve"> </v>
      </c>
      <c r="F4353" s="107" t="str">
        <f>IF(LEN(Table1722[[#This Row],[Uraian]])&gt;2,TRIM(RIGHT(SUBSTITUTE(TRIM(C4353)," ",REPT(" ",255)),255))," ")</f>
        <v xml:space="preserve"> </v>
      </c>
      <c r="G4353" s="110">
        <f>COPY!Z4345</f>
        <v>0</v>
      </c>
      <c r="H4353" s="111" t="str">
        <f>IFERROR(VLOOKUP(Table1722[[#This Row],[Bukti]],'Un nOTA'!$A$4:$K$5003,10,FALSE),"")</f>
        <v/>
      </c>
      <c r="I4353" s="123" t="str">
        <f>IFERROR(VLOOKUP(Table1722[[#This Row],[Bukti]],Table13[#Data],11,FALSE),"")</f>
        <v/>
      </c>
    </row>
    <row r="4354" spans="1:9" hidden="1" x14ac:dyDescent="0.2">
      <c r="A4354" s="105" t="str">
        <f>IF(D4354=1,COUNTIF($D$10:D4354,1)," ")</f>
        <v xml:space="preserve"> </v>
      </c>
      <c r="B4354" s="106">
        <f>COPY!AR4346</f>
        <v>0</v>
      </c>
      <c r="C4354" s="107">
        <f>COPY!AC4346</f>
        <v>0</v>
      </c>
      <c r="D4354" s="107" t="str">
        <f>IF(LEN(Table1722[[#This Row],[Uraian]])&gt;2,1," ")</f>
        <v xml:space="preserve"> </v>
      </c>
      <c r="E4354" s="113" t="str">
        <f>IF(Table1722[[#This Row],[Lawan Transaksi]]="CV AGUNG KARYA",COUNTIF($I$10:I4354,"CV AGUNG KARYA")," ")</f>
        <v xml:space="preserve"> </v>
      </c>
      <c r="F4354" s="107" t="str">
        <f>IF(LEN(Table1722[[#This Row],[Uraian]])&gt;2,TRIM(RIGHT(SUBSTITUTE(TRIM(C4354)," ",REPT(" ",255)),255))," ")</f>
        <v xml:space="preserve"> </v>
      </c>
      <c r="G4354" s="110">
        <f>COPY!Z4346</f>
        <v>0</v>
      </c>
      <c r="H4354" s="111" t="str">
        <f>IFERROR(VLOOKUP(Table1722[[#This Row],[Bukti]],'Un nOTA'!$A$4:$K$5003,10,FALSE),"")</f>
        <v/>
      </c>
      <c r="I4354" s="123" t="str">
        <f>IFERROR(VLOOKUP(Table1722[[#This Row],[Bukti]],Table13[#Data],11,FALSE),"")</f>
        <v/>
      </c>
    </row>
    <row r="4355" spans="1:9" hidden="1" x14ac:dyDescent="0.2">
      <c r="A4355" s="105" t="str">
        <f>IF(D4355=1,COUNTIF($D$10:D4355,1)," ")</f>
        <v xml:space="preserve"> </v>
      </c>
      <c r="B4355" s="106">
        <f>COPY!AR4347</f>
        <v>0</v>
      </c>
      <c r="C4355" s="107">
        <f>COPY!AC4347</f>
        <v>0</v>
      </c>
      <c r="D4355" s="107" t="str">
        <f>IF(LEN(Table1722[[#This Row],[Uraian]])&gt;2,1," ")</f>
        <v xml:space="preserve"> </v>
      </c>
      <c r="E4355" s="113" t="str">
        <f>IF(Table1722[[#This Row],[Lawan Transaksi]]="CV AGUNG KARYA",COUNTIF($I$10:I4355,"CV AGUNG KARYA")," ")</f>
        <v xml:space="preserve"> </v>
      </c>
      <c r="F4355" s="107" t="str">
        <f>IF(LEN(Table1722[[#This Row],[Uraian]])&gt;2,TRIM(RIGHT(SUBSTITUTE(TRIM(C4355)," ",REPT(" ",255)),255))," ")</f>
        <v xml:space="preserve"> </v>
      </c>
      <c r="G4355" s="110">
        <f>COPY!Z4347</f>
        <v>0</v>
      </c>
      <c r="H4355" s="111" t="str">
        <f>IFERROR(VLOOKUP(Table1722[[#This Row],[Bukti]],'Un nOTA'!$A$4:$K$5003,10,FALSE),"")</f>
        <v/>
      </c>
      <c r="I4355" s="123" t="str">
        <f>IFERROR(VLOOKUP(Table1722[[#This Row],[Bukti]],Table13[#Data],11,FALSE),"")</f>
        <v/>
      </c>
    </row>
    <row r="4356" spans="1:9" hidden="1" x14ac:dyDescent="0.2">
      <c r="A4356" s="105" t="str">
        <f>IF(D4356=1,COUNTIF($D$10:D4356,1)," ")</f>
        <v xml:space="preserve"> </v>
      </c>
      <c r="B4356" s="106">
        <f>COPY!AR4348</f>
        <v>0</v>
      </c>
      <c r="C4356" s="107">
        <f>COPY!AC4348</f>
        <v>0</v>
      </c>
      <c r="D4356" s="107" t="str">
        <f>IF(LEN(Table1722[[#This Row],[Uraian]])&gt;2,1," ")</f>
        <v xml:space="preserve"> </v>
      </c>
      <c r="E4356" s="113" t="str">
        <f>IF(Table1722[[#This Row],[Lawan Transaksi]]="CV AGUNG KARYA",COUNTIF($I$10:I4356,"CV AGUNG KARYA")," ")</f>
        <v xml:space="preserve"> </v>
      </c>
      <c r="F4356" s="107" t="str">
        <f>IF(LEN(Table1722[[#This Row],[Uraian]])&gt;2,TRIM(RIGHT(SUBSTITUTE(TRIM(C4356)," ",REPT(" ",255)),255))," ")</f>
        <v xml:space="preserve"> </v>
      </c>
      <c r="G4356" s="110">
        <f>COPY!Z4348</f>
        <v>0</v>
      </c>
      <c r="H4356" s="111" t="str">
        <f>IFERROR(VLOOKUP(Table1722[[#This Row],[Bukti]],'Un nOTA'!$A$4:$K$5003,10,FALSE),"")</f>
        <v/>
      </c>
      <c r="I4356" s="123" t="str">
        <f>IFERROR(VLOOKUP(Table1722[[#This Row],[Bukti]],Table13[#Data],11,FALSE),"")</f>
        <v/>
      </c>
    </row>
    <row r="4357" spans="1:9" hidden="1" x14ac:dyDescent="0.2">
      <c r="A4357" s="105" t="str">
        <f>IF(D4357=1,COUNTIF($D$10:D4357,1)," ")</f>
        <v xml:space="preserve"> </v>
      </c>
      <c r="B4357" s="106">
        <f>COPY!AR4349</f>
        <v>0</v>
      </c>
      <c r="C4357" s="107">
        <f>COPY!AC4349</f>
        <v>0</v>
      </c>
      <c r="D4357" s="107" t="str">
        <f>IF(LEN(Table1722[[#This Row],[Uraian]])&gt;2,1," ")</f>
        <v xml:space="preserve"> </v>
      </c>
      <c r="E4357" s="113" t="str">
        <f>IF(Table1722[[#This Row],[Lawan Transaksi]]="CV AGUNG KARYA",COUNTIF($I$10:I4357,"CV AGUNG KARYA")," ")</f>
        <v xml:space="preserve"> </v>
      </c>
      <c r="F4357" s="107" t="str">
        <f>IF(LEN(Table1722[[#This Row],[Uraian]])&gt;2,TRIM(RIGHT(SUBSTITUTE(TRIM(C4357)," ",REPT(" ",255)),255))," ")</f>
        <v xml:space="preserve"> </v>
      </c>
      <c r="G4357" s="110">
        <f>COPY!Z4349</f>
        <v>0</v>
      </c>
      <c r="H4357" s="111" t="str">
        <f>IFERROR(VLOOKUP(Table1722[[#This Row],[Bukti]],'Un nOTA'!$A$4:$K$5003,10,FALSE),"")</f>
        <v/>
      </c>
      <c r="I4357" s="123" t="str">
        <f>IFERROR(VLOOKUP(Table1722[[#This Row],[Bukti]],Table13[#Data],11,FALSE),"")</f>
        <v/>
      </c>
    </row>
    <row r="4358" spans="1:9" hidden="1" x14ac:dyDescent="0.2">
      <c r="A4358" s="105" t="str">
        <f>IF(D4358=1,COUNTIF($D$10:D4358,1)," ")</f>
        <v xml:space="preserve"> </v>
      </c>
      <c r="B4358" s="106">
        <f>COPY!AR4350</f>
        <v>0</v>
      </c>
      <c r="C4358" s="107">
        <f>COPY!AC4350</f>
        <v>0</v>
      </c>
      <c r="D4358" s="107" t="str">
        <f>IF(LEN(Table1722[[#This Row],[Uraian]])&gt;2,1," ")</f>
        <v xml:space="preserve"> </v>
      </c>
      <c r="E4358" s="113" t="str">
        <f>IF(Table1722[[#This Row],[Lawan Transaksi]]="CV AGUNG KARYA",COUNTIF($I$10:I4358,"CV AGUNG KARYA")," ")</f>
        <v xml:space="preserve"> </v>
      </c>
      <c r="F4358" s="107" t="str">
        <f>IF(LEN(Table1722[[#This Row],[Uraian]])&gt;2,TRIM(RIGHT(SUBSTITUTE(TRIM(C4358)," ",REPT(" ",255)),255))," ")</f>
        <v xml:space="preserve"> </v>
      </c>
      <c r="G4358" s="110">
        <f>COPY!Z4350</f>
        <v>0</v>
      </c>
      <c r="H4358" s="111" t="str">
        <f>IFERROR(VLOOKUP(Table1722[[#This Row],[Bukti]],'Un nOTA'!$A$4:$K$5003,10,FALSE),"")</f>
        <v/>
      </c>
      <c r="I4358" s="123" t="str">
        <f>IFERROR(VLOOKUP(Table1722[[#This Row],[Bukti]],Table13[#Data],11,FALSE),"")</f>
        <v/>
      </c>
    </row>
    <row r="4359" spans="1:9" hidden="1" x14ac:dyDescent="0.2">
      <c r="A4359" s="105" t="str">
        <f>IF(D4359=1,COUNTIF($D$10:D4359,1)," ")</f>
        <v xml:space="preserve"> </v>
      </c>
      <c r="B4359" s="106">
        <f>COPY!AR4351</f>
        <v>0</v>
      </c>
      <c r="C4359" s="107">
        <f>COPY!AC4351</f>
        <v>0</v>
      </c>
      <c r="D4359" s="107" t="str">
        <f>IF(LEN(Table1722[[#This Row],[Uraian]])&gt;2,1," ")</f>
        <v xml:space="preserve"> </v>
      </c>
      <c r="E4359" s="113" t="str">
        <f>IF(Table1722[[#This Row],[Lawan Transaksi]]="CV AGUNG KARYA",COUNTIF($I$10:I4359,"CV AGUNG KARYA")," ")</f>
        <v xml:space="preserve"> </v>
      </c>
      <c r="F4359" s="107" t="str">
        <f>IF(LEN(Table1722[[#This Row],[Uraian]])&gt;2,TRIM(RIGHT(SUBSTITUTE(TRIM(C4359)," ",REPT(" ",255)),255))," ")</f>
        <v xml:space="preserve"> </v>
      </c>
      <c r="G4359" s="110">
        <f>COPY!Z4351</f>
        <v>0</v>
      </c>
      <c r="H4359" s="111" t="str">
        <f>IFERROR(VLOOKUP(Table1722[[#This Row],[Bukti]],'Un nOTA'!$A$4:$K$5003,10,FALSE),"")</f>
        <v/>
      </c>
      <c r="I4359" s="123" t="str">
        <f>IFERROR(VLOOKUP(Table1722[[#This Row],[Bukti]],Table13[#Data],11,FALSE),"")</f>
        <v/>
      </c>
    </row>
    <row r="4360" spans="1:9" hidden="1" x14ac:dyDescent="0.2">
      <c r="A4360" s="105" t="str">
        <f>IF(D4360=1,COUNTIF($D$10:D4360,1)," ")</f>
        <v xml:space="preserve"> </v>
      </c>
      <c r="B4360" s="106">
        <f>COPY!AR4352</f>
        <v>0</v>
      </c>
      <c r="C4360" s="107">
        <f>COPY!AC4352</f>
        <v>0</v>
      </c>
      <c r="D4360" s="107" t="str">
        <f>IF(LEN(Table1722[[#This Row],[Uraian]])&gt;2,1," ")</f>
        <v xml:space="preserve"> </v>
      </c>
      <c r="E4360" s="113" t="str">
        <f>IF(Table1722[[#This Row],[Lawan Transaksi]]="CV AGUNG KARYA",COUNTIF($I$10:I4360,"CV AGUNG KARYA")," ")</f>
        <v xml:space="preserve"> </v>
      </c>
      <c r="F4360" s="107" t="str">
        <f>IF(LEN(Table1722[[#This Row],[Uraian]])&gt;2,TRIM(RIGHT(SUBSTITUTE(TRIM(C4360)," ",REPT(" ",255)),255))," ")</f>
        <v xml:space="preserve"> </v>
      </c>
      <c r="G4360" s="110">
        <f>COPY!Z4352</f>
        <v>0</v>
      </c>
      <c r="H4360" s="111" t="str">
        <f>IFERROR(VLOOKUP(Table1722[[#This Row],[Bukti]],'Un nOTA'!$A$4:$K$5003,10,FALSE),"")</f>
        <v/>
      </c>
      <c r="I4360" s="123" t="str">
        <f>IFERROR(VLOOKUP(Table1722[[#This Row],[Bukti]],Table13[#Data],11,FALSE),"")</f>
        <v/>
      </c>
    </row>
    <row r="4361" spans="1:9" hidden="1" x14ac:dyDescent="0.2">
      <c r="A4361" s="105" t="str">
        <f>IF(D4361=1,COUNTIF($D$10:D4361,1)," ")</f>
        <v xml:space="preserve"> </v>
      </c>
      <c r="B4361" s="106">
        <f>COPY!AR4353</f>
        <v>0</v>
      </c>
      <c r="C4361" s="107">
        <f>COPY!AC4353</f>
        <v>0</v>
      </c>
      <c r="D4361" s="107" t="str">
        <f>IF(LEN(Table1722[[#This Row],[Uraian]])&gt;2,1," ")</f>
        <v xml:space="preserve"> </v>
      </c>
      <c r="E4361" s="113" t="str">
        <f>IF(Table1722[[#This Row],[Lawan Transaksi]]="CV AGUNG KARYA",COUNTIF($I$10:I4361,"CV AGUNG KARYA")," ")</f>
        <v xml:space="preserve"> </v>
      </c>
      <c r="F4361" s="107" t="str">
        <f>IF(LEN(Table1722[[#This Row],[Uraian]])&gt;2,TRIM(RIGHT(SUBSTITUTE(TRIM(C4361)," ",REPT(" ",255)),255))," ")</f>
        <v xml:space="preserve"> </v>
      </c>
      <c r="G4361" s="110">
        <f>COPY!Z4353</f>
        <v>0</v>
      </c>
      <c r="H4361" s="111" t="str">
        <f>IFERROR(VLOOKUP(Table1722[[#This Row],[Bukti]],'Un nOTA'!$A$4:$K$5003,10,FALSE),"")</f>
        <v/>
      </c>
      <c r="I4361" s="123" t="str">
        <f>IFERROR(VLOOKUP(Table1722[[#This Row],[Bukti]],Table13[#Data],11,FALSE),"")</f>
        <v/>
      </c>
    </row>
    <row r="4362" spans="1:9" hidden="1" x14ac:dyDescent="0.2">
      <c r="A4362" s="105" t="str">
        <f>IF(D4362=1,COUNTIF($D$10:D4362,1)," ")</f>
        <v xml:space="preserve"> </v>
      </c>
      <c r="B4362" s="106">
        <f>COPY!AR4354</f>
        <v>0</v>
      </c>
      <c r="C4362" s="107">
        <f>COPY!AC4354</f>
        <v>0</v>
      </c>
      <c r="D4362" s="107" t="str">
        <f>IF(LEN(Table1722[[#This Row],[Uraian]])&gt;2,1," ")</f>
        <v xml:space="preserve"> </v>
      </c>
      <c r="E4362" s="113" t="str">
        <f>IF(Table1722[[#This Row],[Lawan Transaksi]]="CV AGUNG KARYA",COUNTIF($I$10:I4362,"CV AGUNG KARYA")," ")</f>
        <v xml:space="preserve"> </v>
      </c>
      <c r="F4362" s="107" t="str">
        <f>IF(LEN(Table1722[[#This Row],[Uraian]])&gt;2,TRIM(RIGHT(SUBSTITUTE(TRIM(C4362)," ",REPT(" ",255)),255))," ")</f>
        <v xml:space="preserve"> </v>
      </c>
      <c r="G4362" s="110">
        <f>COPY!Z4354</f>
        <v>0</v>
      </c>
      <c r="H4362" s="111" t="str">
        <f>IFERROR(VLOOKUP(Table1722[[#This Row],[Bukti]],'Un nOTA'!$A$4:$K$5003,10,FALSE),"")</f>
        <v/>
      </c>
      <c r="I4362" s="123" t="str">
        <f>IFERROR(VLOOKUP(Table1722[[#This Row],[Bukti]],Table13[#Data],11,FALSE),"")</f>
        <v/>
      </c>
    </row>
    <row r="4363" spans="1:9" hidden="1" x14ac:dyDescent="0.2">
      <c r="A4363" s="105" t="str">
        <f>IF(D4363=1,COUNTIF($D$10:D4363,1)," ")</f>
        <v xml:space="preserve"> </v>
      </c>
      <c r="B4363" s="106">
        <f>COPY!AR4355</f>
        <v>0</v>
      </c>
      <c r="C4363" s="107">
        <f>COPY!AC4355</f>
        <v>0</v>
      </c>
      <c r="D4363" s="107" t="str">
        <f>IF(LEN(Table1722[[#This Row],[Uraian]])&gt;2,1," ")</f>
        <v xml:space="preserve"> </v>
      </c>
      <c r="E4363" s="113" t="str">
        <f>IF(Table1722[[#This Row],[Lawan Transaksi]]="CV AGUNG KARYA",COUNTIF($I$10:I4363,"CV AGUNG KARYA")," ")</f>
        <v xml:space="preserve"> </v>
      </c>
      <c r="F4363" s="107" t="str">
        <f>IF(LEN(Table1722[[#This Row],[Uraian]])&gt;2,TRIM(RIGHT(SUBSTITUTE(TRIM(C4363)," ",REPT(" ",255)),255))," ")</f>
        <v xml:space="preserve"> </v>
      </c>
      <c r="G4363" s="110">
        <f>COPY!Z4355</f>
        <v>0</v>
      </c>
      <c r="H4363" s="111" t="str">
        <f>IFERROR(VLOOKUP(Table1722[[#This Row],[Bukti]],'Un nOTA'!$A$4:$K$5003,10,FALSE),"")</f>
        <v/>
      </c>
      <c r="I4363" s="123" t="str">
        <f>IFERROR(VLOOKUP(Table1722[[#This Row],[Bukti]],Table13[#Data],11,FALSE),"")</f>
        <v/>
      </c>
    </row>
    <row r="4364" spans="1:9" hidden="1" x14ac:dyDescent="0.2">
      <c r="A4364" s="105" t="str">
        <f>IF(D4364=1,COUNTIF($D$10:D4364,1)," ")</f>
        <v xml:space="preserve"> </v>
      </c>
      <c r="B4364" s="106">
        <f>COPY!AR4356</f>
        <v>0</v>
      </c>
      <c r="C4364" s="107">
        <f>COPY!AC4356</f>
        <v>0</v>
      </c>
      <c r="D4364" s="107" t="str">
        <f>IF(LEN(Table1722[[#This Row],[Uraian]])&gt;2,1," ")</f>
        <v xml:space="preserve"> </v>
      </c>
      <c r="E4364" s="113" t="str">
        <f>IF(Table1722[[#This Row],[Lawan Transaksi]]="CV AGUNG KARYA",COUNTIF($I$10:I4364,"CV AGUNG KARYA")," ")</f>
        <v xml:space="preserve"> </v>
      </c>
      <c r="F4364" s="107" t="str">
        <f>IF(LEN(Table1722[[#This Row],[Uraian]])&gt;2,TRIM(RIGHT(SUBSTITUTE(TRIM(C4364)," ",REPT(" ",255)),255))," ")</f>
        <v xml:space="preserve"> </v>
      </c>
      <c r="G4364" s="110">
        <f>COPY!Z4356</f>
        <v>0</v>
      </c>
      <c r="H4364" s="111" t="str">
        <f>IFERROR(VLOOKUP(Table1722[[#This Row],[Bukti]],'Un nOTA'!$A$4:$K$5003,10,FALSE),"")</f>
        <v/>
      </c>
      <c r="I4364" s="123" t="str">
        <f>IFERROR(VLOOKUP(Table1722[[#This Row],[Bukti]],Table13[#Data],11,FALSE),"")</f>
        <v/>
      </c>
    </row>
    <row r="4365" spans="1:9" hidden="1" x14ac:dyDescent="0.2">
      <c r="A4365" s="105" t="str">
        <f>IF(D4365=1,COUNTIF($D$10:D4365,1)," ")</f>
        <v xml:space="preserve"> </v>
      </c>
      <c r="B4365" s="106">
        <f>COPY!AR4357</f>
        <v>0</v>
      </c>
      <c r="C4365" s="107">
        <f>COPY!AC4357</f>
        <v>0</v>
      </c>
      <c r="D4365" s="107" t="str">
        <f>IF(LEN(Table1722[[#This Row],[Uraian]])&gt;2,1," ")</f>
        <v xml:space="preserve"> </v>
      </c>
      <c r="E4365" s="113" t="str">
        <f>IF(Table1722[[#This Row],[Lawan Transaksi]]="CV AGUNG KARYA",COUNTIF($I$10:I4365,"CV AGUNG KARYA")," ")</f>
        <v xml:space="preserve"> </v>
      </c>
      <c r="F4365" s="107" t="str">
        <f>IF(LEN(Table1722[[#This Row],[Uraian]])&gt;2,TRIM(RIGHT(SUBSTITUTE(TRIM(C4365)," ",REPT(" ",255)),255))," ")</f>
        <v xml:space="preserve"> </v>
      </c>
      <c r="G4365" s="110">
        <f>COPY!Z4357</f>
        <v>0</v>
      </c>
      <c r="H4365" s="111" t="str">
        <f>IFERROR(VLOOKUP(Table1722[[#This Row],[Bukti]],'Un nOTA'!$A$4:$K$5003,10,FALSE),"")</f>
        <v/>
      </c>
      <c r="I4365" s="123" t="str">
        <f>IFERROR(VLOOKUP(Table1722[[#This Row],[Bukti]],Table13[#Data],11,FALSE),"")</f>
        <v/>
      </c>
    </row>
    <row r="4366" spans="1:9" hidden="1" x14ac:dyDescent="0.2">
      <c r="A4366" s="105" t="str">
        <f>IF(D4366=1,COUNTIF($D$10:D4366,1)," ")</f>
        <v xml:space="preserve"> </v>
      </c>
      <c r="B4366" s="106">
        <f>COPY!AR4358</f>
        <v>0</v>
      </c>
      <c r="C4366" s="107">
        <f>COPY!AC4358</f>
        <v>0</v>
      </c>
      <c r="D4366" s="107" t="str">
        <f>IF(LEN(Table1722[[#This Row],[Uraian]])&gt;2,1," ")</f>
        <v xml:space="preserve"> </v>
      </c>
      <c r="E4366" s="113" t="str">
        <f>IF(Table1722[[#This Row],[Lawan Transaksi]]="CV AGUNG KARYA",COUNTIF($I$10:I4366,"CV AGUNG KARYA")," ")</f>
        <v xml:space="preserve"> </v>
      </c>
      <c r="F4366" s="107" t="str">
        <f>IF(LEN(Table1722[[#This Row],[Uraian]])&gt;2,TRIM(RIGHT(SUBSTITUTE(TRIM(C4366)," ",REPT(" ",255)),255))," ")</f>
        <v xml:space="preserve"> </v>
      </c>
      <c r="G4366" s="110">
        <f>COPY!Z4358</f>
        <v>0</v>
      </c>
      <c r="H4366" s="111" t="str">
        <f>IFERROR(VLOOKUP(Table1722[[#This Row],[Bukti]],'Un nOTA'!$A$4:$K$5003,10,FALSE),"")</f>
        <v/>
      </c>
      <c r="I4366" s="123" t="str">
        <f>IFERROR(VLOOKUP(Table1722[[#This Row],[Bukti]],Table13[#Data],11,FALSE),"")</f>
        <v/>
      </c>
    </row>
    <row r="4367" spans="1:9" hidden="1" x14ac:dyDescent="0.2">
      <c r="A4367" s="105" t="str">
        <f>IF(D4367=1,COUNTIF($D$10:D4367,1)," ")</f>
        <v xml:space="preserve"> </v>
      </c>
      <c r="B4367" s="106">
        <f>COPY!AR4359</f>
        <v>0</v>
      </c>
      <c r="C4367" s="107">
        <f>COPY!AC4359</f>
        <v>0</v>
      </c>
      <c r="D4367" s="107" t="str">
        <f>IF(LEN(Table1722[[#This Row],[Uraian]])&gt;2,1," ")</f>
        <v xml:space="preserve"> </v>
      </c>
      <c r="E4367" s="113" t="str">
        <f>IF(Table1722[[#This Row],[Lawan Transaksi]]="CV AGUNG KARYA",COUNTIF($I$10:I4367,"CV AGUNG KARYA")," ")</f>
        <v xml:space="preserve"> </v>
      </c>
      <c r="F4367" s="107" t="str">
        <f>IF(LEN(Table1722[[#This Row],[Uraian]])&gt;2,TRIM(RIGHT(SUBSTITUTE(TRIM(C4367)," ",REPT(" ",255)),255))," ")</f>
        <v xml:space="preserve"> </v>
      </c>
      <c r="G4367" s="110">
        <f>COPY!Z4359</f>
        <v>0</v>
      </c>
      <c r="H4367" s="111" t="str">
        <f>IFERROR(VLOOKUP(Table1722[[#This Row],[Bukti]],'Un nOTA'!$A$4:$K$5003,10,FALSE),"")</f>
        <v/>
      </c>
      <c r="I4367" s="123" t="str">
        <f>IFERROR(VLOOKUP(Table1722[[#This Row],[Bukti]],Table13[#Data],11,FALSE),"")</f>
        <v/>
      </c>
    </row>
    <row r="4368" spans="1:9" hidden="1" x14ac:dyDescent="0.2">
      <c r="A4368" s="105" t="str">
        <f>IF(D4368=1,COUNTIF($D$10:D4368,1)," ")</f>
        <v xml:space="preserve"> </v>
      </c>
      <c r="B4368" s="106">
        <f>COPY!AR4360</f>
        <v>0</v>
      </c>
      <c r="C4368" s="107">
        <f>COPY!AC4360</f>
        <v>0</v>
      </c>
      <c r="D4368" s="107" t="str">
        <f>IF(LEN(Table1722[[#This Row],[Uraian]])&gt;2,1," ")</f>
        <v xml:space="preserve"> </v>
      </c>
      <c r="E4368" s="113" t="str">
        <f>IF(Table1722[[#This Row],[Lawan Transaksi]]="CV AGUNG KARYA",COUNTIF($I$10:I4368,"CV AGUNG KARYA")," ")</f>
        <v xml:space="preserve"> </v>
      </c>
      <c r="F4368" s="107" t="str">
        <f>IF(LEN(Table1722[[#This Row],[Uraian]])&gt;2,TRIM(RIGHT(SUBSTITUTE(TRIM(C4368)," ",REPT(" ",255)),255))," ")</f>
        <v xml:space="preserve"> </v>
      </c>
      <c r="G4368" s="110">
        <f>COPY!Z4360</f>
        <v>0</v>
      </c>
      <c r="H4368" s="111" t="str">
        <f>IFERROR(VLOOKUP(Table1722[[#This Row],[Bukti]],'Un nOTA'!$A$4:$K$5003,10,FALSE),"")</f>
        <v/>
      </c>
      <c r="I4368" s="123" t="str">
        <f>IFERROR(VLOOKUP(Table1722[[#This Row],[Bukti]],Table13[#Data],11,FALSE),"")</f>
        <v/>
      </c>
    </row>
    <row r="4369" spans="1:9" hidden="1" x14ac:dyDescent="0.2">
      <c r="A4369" s="105" t="str">
        <f>IF(D4369=1,COUNTIF($D$10:D4369,1)," ")</f>
        <v xml:space="preserve"> </v>
      </c>
      <c r="B4369" s="106">
        <f>COPY!AR4361</f>
        <v>0</v>
      </c>
      <c r="C4369" s="107">
        <f>COPY!AC4361</f>
        <v>0</v>
      </c>
      <c r="D4369" s="107" t="str">
        <f>IF(LEN(Table1722[[#This Row],[Uraian]])&gt;2,1," ")</f>
        <v xml:space="preserve"> </v>
      </c>
      <c r="E4369" s="113" t="str">
        <f>IF(Table1722[[#This Row],[Lawan Transaksi]]="CV AGUNG KARYA",COUNTIF($I$10:I4369,"CV AGUNG KARYA")," ")</f>
        <v xml:space="preserve"> </v>
      </c>
      <c r="F4369" s="107" t="str">
        <f>IF(LEN(Table1722[[#This Row],[Uraian]])&gt;2,TRIM(RIGHT(SUBSTITUTE(TRIM(C4369)," ",REPT(" ",255)),255))," ")</f>
        <v xml:space="preserve"> </v>
      </c>
      <c r="G4369" s="110">
        <f>COPY!Z4361</f>
        <v>0</v>
      </c>
      <c r="H4369" s="111" t="str">
        <f>IFERROR(VLOOKUP(Table1722[[#This Row],[Bukti]],'Un nOTA'!$A$4:$K$5003,10,FALSE),"")</f>
        <v/>
      </c>
      <c r="I4369" s="123" t="str">
        <f>IFERROR(VLOOKUP(Table1722[[#This Row],[Bukti]],Table13[#Data],11,FALSE),"")</f>
        <v/>
      </c>
    </row>
    <row r="4370" spans="1:9" hidden="1" x14ac:dyDescent="0.2">
      <c r="A4370" s="105" t="str">
        <f>IF(D4370=1,COUNTIF($D$10:D4370,1)," ")</f>
        <v xml:space="preserve"> </v>
      </c>
      <c r="B4370" s="106">
        <f>COPY!AR4362</f>
        <v>0</v>
      </c>
      <c r="C4370" s="107">
        <f>COPY!AC4362</f>
        <v>0</v>
      </c>
      <c r="D4370" s="107" t="str">
        <f>IF(LEN(Table1722[[#This Row],[Uraian]])&gt;2,1," ")</f>
        <v xml:space="preserve"> </v>
      </c>
      <c r="E4370" s="113" t="str">
        <f>IF(Table1722[[#This Row],[Lawan Transaksi]]="CV AGUNG KARYA",COUNTIF($I$10:I4370,"CV AGUNG KARYA")," ")</f>
        <v xml:space="preserve"> </v>
      </c>
      <c r="F4370" s="107" t="str">
        <f>IF(LEN(Table1722[[#This Row],[Uraian]])&gt;2,TRIM(RIGHT(SUBSTITUTE(TRIM(C4370)," ",REPT(" ",255)),255))," ")</f>
        <v xml:space="preserve"> </v>
      </c>
      <c r="G4370" s="110">
        <f>COPY!Z4362</f>
        <v>0</v>
      </c>
      <c r="H4370" s="111" t="str">
        <f>IFERROR(VLOOKUP(Table1722[[#This Row],[Bukti]],'Un nOTA'!$A$4:$K$5003,10,FALSE),"")</f>
        <v/>
      </c>
      <c r="I4370" s="123" t="str">
        <f>IFERROR(VLOOKUP(Table1722[[#This Row],[Bukti]],Table13[#Data],11,FALSE),"")</f>
        <v/>
      </c>
    </row>
    <row r="4371" spans="1:9" hidden="1" x14ac:dyDescent="0.2">
      <c r="A4371" s="105" t="str">
        <f>IF(D4371=1,COUNTIF($D$10:D4371,1)," ")</f>
        <v xml:space="preserve"> </v>
      </c>
      <c r="B4371" s="106">
        <f>COPY!AR4363</f>
        <v>0</v>
      </c>
      <c r="C4371" s="107">
        <f>COPY!AC4363</f>
        <v>0</v>
      </c>
      <c r="D4371" s="107" t="str">
        <f>IF(LEN(Table1722[[#This Row],[Uraian]])&gt;2,1," ")</f>
        <v xml:space="preserve"> </v>
      </c>
      <c r="E4371" s="113" t="str">
        <f>IF(Table1722[[#This Row],[Lawan Transaksi]]="CV AGUNG KARYA",COUNTIF($I$10:I4371,"CV AGUNG KARYA")," ")</f>
        <v xml:space="preserve"> </v>
      </c>
      <c r="F4371" s="107" t="str">
        <f>IF(LEN(Table1722[[#This Row],[Uraian]])&gt;2,TRIM(RIGHT(SUBSTITUTE(TRIM(C4371)," ",REPT(" ",255)),255))," ")</f>
        <v xml:space="preserve"> </v>
      </c>
      <c r="G4371" s="110">
        <f>COPY!Z4363</f>
        <v>0</v>
      </c>
      <c r="H4371" s="111" t="str">
        <f>IFERROR(VLOOKUP(Table1722[[#This Row],[Bukti]],'Un nOTA'!$A$4:$K$5003,10,FALSE),"")</f>
        <v/>
      </c>
      <c r="I4371" s="123" t="str">
        <f>IFERROR(VLOOKUP(Table1722[[#This Row],[Bukti]],Table13[#Data],11,FALSE),"")</f>
        <v/>
      </c>
    </row>
    <row r="4372" spans="1:9" hidden="1" x14ac:dyDescent="0.2">
      <c r="A4372" s="105" t="str">
        <f>IF(D4372=1,COUNTIF($D$10:D4372,1)," ")</f>
        <v xml:space="preserve"> </v>
      </c>
      <c r="B4372" s="106">
        <f>COPY!AR4364</f>
        <v>0</v>
      </c>
      <c r="C4372" s="107">
        <f>COPY!AC4364</f>
        <v>0</v>
      </c>
      <c r="D4372" s="107" t="str">
        <f>IF(LEN(Table1722[[#This Row],[Uraian]])&gt;2,1," ")</f>
        <v xml:space="preserve"> </v>
      </c>
      <c r="E4372" s="113" t="str">
        <f>IF(Table1722[[#This Row],[Lawan Transaksi]]="CV AGUNG KARYA",COUNTIF($I$10:I4372,"CV AGUNG KARYA")," ")</f>
        <v xml:space="preserve"> </v>
      </c>
      <c r="F4372" s="107" t="str">
        <f>IF(LEN(Table1722[[#This Row],[Uraian]])&gt;2,TRIM(RIGHT(SUBSTITUTE(TRIM(C4372)," ",REPT(" ",255)),255))," ")</f>
        <v xml:space="preserve"> </v>
      </c>
      <c r="G4372" s="110">
        <f>COPY!Z4364</f>
        <v>0</v>
      </c>
      <c r="H4372" s="111" t="str">
        <f>IFERROR(VLOOKUP(Table1722[[#This Row],[Bukti]],'Un nOTA'!$A$4:$K$5003,10,FALSE),"")</f>
        <v/>
      </c>
      <c r="I4372" s="123" t="str">
        <f>IFERROR(VLOOKUP(Table1722[[#This Row],[Bukti]],Table13[#Data],11,FALSE),"")</f>
        <v/>
      </c>
    </row>
    <row r="4373" spans="1:9" hidden="1" x14ac:dyDescent="0.2">
      <c r="A4373" s="105" t="str">
        <f>IF(D4373=1,COUNTIF($D$10:D4373,1)," ")</f>
        <v xml:space="preserve"> </v>
      </c>
      <c r="B4373" s="106">
        <f>COPY!AR4365</f>
        <v>0</v>
      </c>
      <c r="C4373" s="107">
        <f>COPY!AC4365</f>
        <v>0</v>
      </c>
      <c r="D4373" s="107" t="str">
        <f>IF(LEN(Table1722[[#This Row],[Uraian]])&gt;2,1," ")</f>
        <v xml:space="preserve"> </v>
      </c>
      <c r="E4373" s="113" t="str">
        <f>IF(Table1722[[#This Row],[Lawan Transaksi]]="CV AGUNG KARYA",COUNTIF($I$10:I4373,"CV AGUNG KARYA")," ")</f>
        <v xml:space="preserve"> </v>
      </c>
      <c r="F4373" s="107" t="str">
        <f>IF(LEN(Table1722[[#This Row],[Uraian]])&gt;2,TRIM(RIGHT(SUBSTITUTE(TRIM(C4373)," ",REPT(" ",255)),255))," ")</f>
        <v xml:space="preserve"> </v>
      </c>
      <c r="G4373" s="110">
        <f>COPY!Z4365</f>
        <v>0</v>
      </c>
      <c r="H4373" s="111" t="str">
        <f>IFERROR(VLOOKUP(Table1722[[#This Row],[Bukti]],'Un nOTA'!$A$4:$K$5003,10,FALSE),"")</f>
        <v/>
      </c>
      <c r="I4373" s="123" t="str">
        <f>IFERROR(VLOOKUP(Table1722[[#This Row],[Bukti]],Table13[#Data],11,FALSE),"")</f>
        <v/>
      </c>
    </row>
    <row r="4374" spans="1:9" hidden="1" x14ac:dyDescent="0.2">
      <c r="A4374" s="105" t="str">
        <f>IF(D4374=1,COUNTIF($D$10:D4374,1)," ")</f>
        <v xml:space="preserve"> </v>
      </c>
      <c r="B4374" s="106">
        <f>COPY!AR4366</f>
        <v>0</v>
      </c>
      <c r="C4374" s="107">
        <f>COPY!AC4366</f>
        <v>0</v>
      </c>
      <c r="D4374" s="107" t="str">
        <f>IF(LEN(Table1722[[#This Row],[Uraian]])&gt;2,1," ")</f>
        <v xml:space="preserve"> </v>
      </c>
      <c r="E4374" s="113" t="str">
        <f>IF(Table1722[[#This Row],[Lawan Transaksi]]="CV AGUNG KARYA",COUNTIF($I$10:I4374,"CV AGUNG KARYA")," ")</f>
        <v xml:space="preserve"> </v>
      </c>
      <c r="F4374" s="107" t="str">
        <f>IF(LEN(Table1722[[#This Row],[Uraian]])&gt;2,TRIM(RIGHT(SUBSTITUTE(TRIM(C4374)," ",REPT(" ",255)),255))," ")</f>
        <v xml:space="preserve"> </v>
      </c>
      <c r="G4374" s="110">
        <f>COPY!Z4366</f>
        <v>0</v>
      </c>
      <c r="H4374" s="111" t="str">
        <f>IFERROR(VLOOKUP(Table1722[[#This Row],[Bukti]],'Un nOTA'!$A$4:$K$5003,10,FALSE),"")</f>
        <v/>
      </c>
      <c r="I4374" s="123" t="str">
        <f>IFERROR(VLOOKUP(Table1722[[#This Row],[Bukti]],Table13[#Data],11,FALSE),"")</f>
        <v/>
      </c>
    </row>
    <row r="4375" spans="1:9" hidden="1" x14ac:dyDescent="0.2">
      <c r="A4375" s="105" t="str">
        <f>IF(D4375=1,COUNTIF($D$10:D4375,1)," ")</f>
        <v xml:space="preserve"> </v>
      </c>
      <c r="B4375" s="106">
        <f>COPY!AR4367</f>
        <v>0</v>
      </c>
      <c r="C4375" s="107">
        <f>COPY!AC4367</f>
        <v>0</v>
      </c>
      <c r="D4375" s="107" t="str">
        <f>IF(LEN(Table1722[[#This Row],[Uraian]])&gt;2,1," ")</f>
        <v xml:space="preserve"> </v>
      </c>
      <c r="E4375" s="113" t="str">
        <f>IF(Table1722[[#This Row],[Lawan Transaksi]]="CV AGUNG KARYA",COUNTIF($I$10:I4375,"CV AGUNG KARYA")," ")</f>
        <v xml:space="preserve"> </v>
      </c>
      <c r="F4375" s="107" t="str">
        <f>IF(LEN(Table1722[[#This Row],[Uraian]])&gt;2,TRIM(RIGHT(SUBSTITUTE(TRIM(C4375)," ",REPT(" ",255)),255))," ")</f>
        <v xml:space="preserve"> </v>
      </c>
      <c r="G4375" s="110">
        <f>COPY!Z4367</f>
        <v>0</v>
      </c>
      <c r="H4375" s="111" t="str">
        <f>IFERROR(VLOOKUP(Table1722[[#This Row],[Bukti]],'Un nOTA'!$A$4:$K$5003,10,FALSE),"")</f>
        <v/>
      </c>
      <c r="I4375" s="123" t="str">
        <f>IFERROR(VLOOKUP(Table1722[[#This Row],[Bukti]],Table13[#Data],11,FALSE),"")</f>
        <v/>
      </c>
    </row>
    <row r="4376" spans="1:9" hidden="1" x14ac:dyDescent="0.2">
      <c r="A4376" s="105" t="str">
        <f>IF(D4376=1,COUNTIF($D$10:D4376,1)," ")</f>
        <v xml:space="preserve"> </v>
      </c>
      <c r="B4376" s="106">
        <f>COPY!AR4368</f>
        <v>0</v>
      </c>
      <c r="C4376" s="107">
        <f>COPY!AC4368</f>
        <v>0</v>
      </c>
      <c r="D4376" s="107" t="str">
        <f>IF(LEN(Table1722[[#This Row],[Uraian]])&gt;2,1," ")</f>
        <v xml:space="preserve"> </v>
      </c>
      <c r="E4376" s="113" t="str">
        <f>IF(Table1722[[#This Row],[Lawan Transaksi]]="CV AGUNG KARYA",COUNTIF($I$10:I4376,"CV AGUNG KARYA")," ")</f>
        <v xml:space="preserve"> </v>
      </c>
      <c r="F4376" s="107" t="str">
        <f>IF(LEN(Table1722[[#This Row],[Uraian]])&gt;2,TRIM(RIGHT(SUBSTITUTE(TRIM(C4376)," ",REPT(" ",255)),255))," ")</f>
        <v xml:space="preserve"> </v>
      </c>
      <c r="G4376" s="110">
        <f>COPY!Z4368</f>
        <v>0</v>
      </c>
      <c r="H4376" s="111" t="str">
        <f>IFERROR(VLOOKUP(Table1722[[#This Row],[Bukti]],'Un nOTA'!$A$4:$K$5003,10,FALSE),"")</f>
        <v/>
      </c>
      <c r="I4376" s="123" t="str">
        <f>IFERROR(VLOOKUP(Table1722[[#This Row],[Bukti]],Table13[#Data],11,FALSE),"")</f>
        <v/>
      </c>
    </row>
    <row r="4377" spans="1:9" hidden="1" x14ac:dyDescent="0.2">
      <c r="A4377" s="105" t="str">
        <f>IF(D4377=1,COUNTIF($D$10:D4377,1)," ")</f>
        <v xml:space="preserve"> </v>
      </c>
      <c r="B4377" s="106">
        <f>COPY!AR4369</f>
        <v>0</v>
      </c>
      <c r="C4377" s="107">
        <f>COPY!AC4369</f>
        <v>0</v>
      </c>
      <c r="D4377" s="107" t="str">
        <f>IF(LEN(Table1722[[#This Row],[Uraian]])&gt;2,1," ")</f>
        <v xml:space="preserve"> </v>
      </c>
      <c r="E4377" s="113" t="str">
        <f>IF(Table1722[[#This Row],[Lawan Transaksi]]="CV AGUNG KARYA",COUNTIF($I$10:I4377,"CV AGUNG KARYA")," ")</f>
        <v xml:space="preserve"> </v>
      </c>
      <c r="F4377" s="107" t="str">
        <f>IF(LEN(Table1722[[#This Row],[Uraian]])&gt;2,TRIM(RIGHT(SUBSTITUTE(TRIM(C4377)," ",REPT(" ",255)),255))," ")</f>
        <v xml:space="preserve"> </v>
      </c>
      <c r="G4377" s="110">
        <f>COPY!Z4369</f>
        <v>0</v>
      </c>
      <c r="H4377" s="111" t="str">
        <f>IFERROR(VLOOKUP(Table1722[[#This Row],[Bukti]],'Un nOTA'!$A$4:$K$5003,10,FALSE),"")</f>
        <v/>
      </c>
      <c r="I4377" s="123" t="str">
        <f>IFERROR(VLOOKUP(Table1722[[#This Row],[Bukti]],Table13[#Data],11,FALSE),"")</f>
        <v/>
      </c>
    </row>
    <row r="4378" spans="1:9" hidden="1" x14ac:dyDescent="0.2">
      <c r="A4378" s="105" t="str">
        <f>IF(D4378=1,COUNTIF($D$10:D4378,1)," ")</f>
        <v xml:space="preserve"> </v>
      </c>
      <c r="B4378" s="106">
        <f>COPY!AR4370</f>
        <v>0</v>
      </c>
      <c r="C4378" s="107">
        <f>COPY!AC4370</f>
        <v>0</v>
      </c>
      <c r="D4378" s="107" t="str">
        <f>IF(LEN(Table1722[[#This Row],[Uraian]])&gt;2,1," ")</f>
        <v xml:space="preserve"> </v>
      </c>
      <c r="E4378" s="113" t="str">
        <f>IF(Table1722[[#This Row],[Lawan Transaksi]]="CV AGUNG KARYA",COUNTIF($I$10:I4378,"CV AGUNG KARYA")," ")</f>
        <v xml:space="preserve"> </v>
      </c>
      <c r="F4378" s="107" t="str">
        <f>IF(LEN(Table1722[[#This Row],[Uraian]])&gt;2,TRIM(RIGHT(SUBSTITUTE(TRIM(C4378)," ",REPT(" ",255)),255))," ")</f>
        <v xml:space="preserve"> </v>
      </c>
      <c r="G4378" s="110">
        <f>COPY!Z4370</f>
        <v>0</v>
      </c>
      <c r="H4378" s="111" t="str">
        <f>IFERROR(VLOOKUP(Table1722[[#This Row],[Bukti]],'Un nOTA'!$A$4:$K$5003,10,FALSE),"")</f>
        <v/>
      </c>
      <c r="I4378" s="123" t="str">
        <f>IFERROR(VLOOKUP(Table1722[[#This Row],[Bukti]],Table13[#Data],11,FALSE),"")</f>
        <v/>
      </c>
    </row>
    <row r="4379" spans="1:9" hidden="1" x14ac:dyDescent="0.2">
      <c r="A4379" s="105" t="str">
        <f>IF(D4379=1,COUNTIF($D$10:D4379,1)," ")</f>
        <v xml:space="preserve"> </v>
      </c>
      <c r="B4379" s="106">
        <f>COPY!AR4371</f>
        <v>0</v>
      </c>
      <c r="C4379" s="107">
        <f>COPY!AC4371</f>
        <v>0</v>
      </c>
      <c r="D4379" s="107" t="str">
        <f>IF(LEN(Table1722[[#This Row],[Uraian]])&gt;2,1," ")</f>
        <v xml:space="preserve"> </v>
      </c>
      <c r="E4379" s="113" t="str">
        <f>IF(Table1722[[#This Row],[Lawan Transaksi]]="CV AGUNG KARYA",COUNTIF($I$10:I4379,"CV AGUNG KARYA")," ")</f>
        <v xml:space="preserve"> </v>
      </c>
      <c r="F4379" s="107" t="str">
        <f>IF(LEN(Table1722[[#This Row],[Uraian]])&gt;2,TRIM(RIGHT(SUBSTITUTE(TRIM(C4379)," ",REPT(" ",255)),255))," ")</f>
        <v xml:space="preserve"> </v>
      </c>
      <c r="G4379" s="110">
        <f>COPY!Z4371</f>
        <v>0</v>
      </c>
      <c r="H4379" s="111" t="str">
        <f>IFERROR(VLOOKUP(Table1722[[#This Row],[Bukti]],'Un nOTA'!$A$4:$K$5003,10,FALSE),"")</f>
        <v/>
      </c>
      <c r="I4379" s="123" t="str">
        <f>IFERROR(VLOOKUP(Table1722[[#This Row],[Bukti]],Table13[#Data],11,FALSE),"")</f>
        <v/>
      </c>
    </row>
    <row r="4380" spans="1:9" hidden="1" x14ac:dyDescent="0.2">
      <c r="A4380" s="105" t="str">
        <f>IF(D4380=1,COUNTIF($D$10:D4380,1)," ")</f>
        <v xml:space="preserve"> </v>
      </c>
      <c r="B4380" s="106">
        <f>COPY!AR4372</f>
        <v>0</v>
      </c>
      <c r="C4380" s="107">
        <f>COPY!AC4372</f>
        <v>0</v>
      </c>
      <c r="D4380" s="107" t="str">
        <f>IF(LEN(Table1722[[#This Row],[Uraian]])&gt;2,1," ")</f>
        <v xml:space="preserve"> </v>
      </c>
      <c r="E4380" s="113" t="str">
        <f>IF(Table1722[[#This Row],[Lawan Transaksi]]="CV AGUNG KARYA",COUNTIF($I$10:I4380,"CV AGUNG KARYA")," ")</f>
        <v xml:space="preserve"> </v>
      </c>
      <c r="F4380" s="107" t="str">
        <f>IF(LEN(Table1722[[#This Row],[Uraian]])&gt;2,TRIM(RIGHT(SUBSTITUTE(TRIM(C4380)," ",REPT(" ",255)),255))," ")</f>
        <v xml:space="preserve"> </v>
      </c>
      <c r="G4380" s="110">
        <f>COPY!Z4372</f>
        <v>0</v>
      </c>
      <c r="H4380" s="111" t="str">
        <f>IFERROR(VLOOKUP(Table1722[[#This Row],[Bukti]],'Un nOTA'!$A$4:$K$5003,10,FALSE),"")</f>
        <v/>
      </c>
      <c r="I4380" s="123" t="str">
        <f>IFERROR(VLOOKUP(Table1722[[#This Row],[Bukti]],Table13[#Data],11,FALSE),"")</f>
        <v/>
      </c>
    </row>
    <row r="4381" spans="1:9" hidden="1" x14ac:dyDescent="0.2">
      <c r="A4381" s="105" t="str">
        <f>IF(D4381=1,COUNTIF($D$10:D4381,1)," ")</f>
        <v xml:space="preserve"> </v>
      </c>
      <c r="B4381" s="106">
        <f>COPY!AR4373</f>
        <v>0</v>
      </c>
      <c r="C4381" s="107">
        <f>COPY!AC4373</f>
        <v>0</v>
      </c>
      <c r="D4381" s="107" t="str">
        <f>IF(LEN(Table1722[[#This Row],[Uraian]])&gt;2,1," ")</f>
        <v xml:space="preserve"> </v>
      </c>
      <c r="E4381" s="113" t="str">
        <f>IF(Table1722[[#This Row],[Lawan Transaksi]]="CV AGUNG KARYA",COUNTIF($I$10:I4381,"CV AGUNG KARYA")," ")</f>
        <v xml:space="preserve"> </v>
      </c>
      <c r="F4381" s="107" t="str">
        <f>IF(LEN(Table1722[[#This Row],[Uraian]])&gt;2,TRIM(RIGHT(SUBSTITUTE(TRIM(C4381)," ",REPT(" ",255)),255))," ")</f>
        <v xml:space="preserve"> </v>
      </c>
      <c r="G4381" s="110">
        <f>COPY!Z4373</f>
        <v>0</v>
      </c>
      <c r="H4381" s="111" t="str">
        <f>IFERROR(VLOOKUP(Table1722[[#This Row],[Bukti]],'Un nOTA'!$A$4:$K$5003,10,FALSE),"")</f>
        <v/>
      </c>
      <c r="I4381" s="123" t="str">
        <f>IFERROR(VLOOKUP(Table1722[[#This Row],[Bukti]],Table13[#Data],11,FALSE),"")</f>
        <v/>
      </c>
    </row>
    <row r="4382" spans="1:9" hidden="1" x14ac:dyDescent="0.2">
      <c r="A4382" s="105" t="str">
        <f>IF(D4382=1,COUNTIF($D$10:D4382,1)," ")</f>
        <v xml:space="preserve"> </v>
      </c>
      <c r="B4382" s="106">
        <f>COPY!AR4374</f>
        <v>0</v>
      </c>
      <c r="C4382" s="107">
        <f>COPY!AC4374</f>
        <v>0</v>
      </c>
      <c r="D4382" s="107" t="str">
        <f>IF(LEN(Table1722[[#This Row],[Uraian]])&gt;2,1," ")</f>
        <v xml:space="preserve"> </v>
      </c>
      <c r="E4382" s="113" t="str">
        <f>IF(Table1722[[#This Row],[Lawan Transaksi]]="CV AGUNG KARYA",COUNTIF($I$10:I4382,"CV AGUNG KARYA")," ")</f>
        <v xml:space="preserve"> </v>
      </c>
      <c r="F4382" s="107" t="str">
        <f>IF(LEN(Table1722[[#This Row],[Uraian]])&gt;2,TRIM(RIGHT(SUBSTITUTE(TRIM(C4382)," ",REPT(" ",255)),255))," ")</f>
        <v xml:space="preserve"> </v>
      </c>
      <c r="G4382" s="110">
        <f>COPY!Z4374</f>
        <v>0</v>
      </c>
      <c r="H4382" s="111" t="str">
        <f>IFERROR(VLOOKUP(Table1722[[#This Row],[Bukti]],'Un nOTA'!$A$4:$K$5003,10,FALSE),"")</f>
        <v/>
      </c>
      <c r="I4382" s="123" t="str">
        <f>IFERROR(VLOOKUP(Table1722[[#This Row],[Bukti]],Table13[#Data],11,FALSE),"")</f>
        <v/>
      </c>
    </row>
    <row r="4383" spans="1:9" hidden="1" x14ac:dyDescent="0.2">
      <c r="A4383" s="105" t="str">
        <f>IF(D4383=1,COUNTIF($D$10:D4383,1)," ")</f>
        <v xml:space="preserve"> </v>
      </c>
      <c r="B4383" s="106">
        <f>COPY!AR4375</f>
        <v>0</v>
      </c>
      <c r="C4383" s="107">
        <f>COPY!AC4375</f>
        <v>0</v>
      </c>
      <c r="D4383" s="107" t="str">
        <f>IF(LEN(Table1722[[#This Row],[Uraian]])&gt;2,1," ")</f>
        <v xml:space="preserve"> </v>
      </c>
      <c r="E4383" s="113" t="str">
        <f>IF(Table1722[[#This Row],[Lawan Transaksi]]="CV AGUNG KARYA",COUNTIF($I$10:I4383,"CV AGUNG KARYA")," ")</f>
        <v xml:space="preserve"> </v>
      </c>
      <c r="F4383" s="107" t="str">
        <f>IF(LEN(Table1722[[#This Row],[Uraian]])&gt;2,TRIM(RIGHT(SUBSTITUTE(TRIM(C4383)," ",REPT(" ",255)),255))," ")</f>
        <v xml:space="preserve"> </v>
      </c>
      <c r="G4383" s="110">
        <f>COPY!Z4375</f>
        <v>0</v>
      </c>
      <c r="H4383" s="111" t="str">
        <f>IFERROR(VLOOKUP(Table1722[[#This Row],[Bukti]],'Un nOTA'!$A$4:$K$5003,10,FALSE),"")</f>
        <v/>
      </c>
      <c r="I4383" s="123" t="str">
        <f>IFERROR(VLOOKUP(Table1722[[#This Row],[Bukti]],Table13[#Data],11,FALSE),"")</f>
        <v/>
      </c>
    </row>
    <row r="4384" spans="1:9" hidden="1" x14ac:dyDescent="0.2">
      <c r="A4384" s="105" t="str">
        <f>IF(D4384=1,COUNTIF($D$10:D4384,1)," ")</f>
        <v xml:space="preserve"> </v>
      </c>
      <c r="B4384" s="106">
        <f>COPY!AR4376</f>
        <v>0</v>
      </c>
      <c r="C4384" s="107">
        <f>COPY!AC4376</f>
        <v>0</v>
      </c>
      <c r="D4384" s="107" t="str">
        <f>IF(LEN(Table1722[[#This Row],[Uraian]])&gt;2,1," ")</f>
        <v xml:space="preserve"> </v>
      </c>
      <c r="E4384" s="113" t="str">
        <f>IF(Table1722[[#This Row],[Lawan Transaksi]]="CV AGUNG KARYA",COUNTIF($I$10:I4384,"CV AGUNG KARYA")," ")</f>
        <v xml:space="preserve"> </v>
      </c>
      <c r="F4384" s="107" t="str">
        <f>IF(LEN(Table1722[[#This Row],[Uraian]])&gt;2,TRIM(RIGHT(SUBSTITUTE(TRIM(C4384)," ",REPT(" ",255)),255))," ")</f>
        <v xml:space="preserve"> </v>
      </c>
      <c r="G4384" s="110">
        <f>COPY!Z4376</f>
        <v>0</v>
      </c>
      <c r="H4384" s="111" t="str">
        <f>IFERROR(VLOOKUP(Table1722[[#This Row],[Bukti]],'Un nOTA'!$A$4:$K$5003,10,FALSE),"")</f>
        <v/>
      </c>
      <c r="I4384" s="123" t="str">
        <f>IFERROR(VLOOKUP(Table1722[[#This Row],[Bukti]],Table13[#Data],11,FALSE),"")</f>
        <v/>
      </c>
    </row>
    <row r="4385" spans="1:9" hidden="1" x14ac:dyDescent="0.2">
      <c r="A4385" s="105" t="str">
        <f>IF(D4385=1,COUNTIF($D$10:D4385,1)," ")</f>
        <v xml:space="preserve"> </v>
      </c>
      <c r="B4385" s="106">
        <f>COPY!AR4377</f>
        <v>0</v>
      </c>
      <c r="C4385" s="107">
        <f>COPY!AC4377</f>
        <v>0</v>
      </c>
      <c r="D4385" s="107" t="str">
        <f>IF(LEN(Table1722[[#This Row],[Uraian]])&gt;2,1," ")</f>
        <v xml:space="preserve"> </v>
      </c>
      <c r="E4385" s="113" t="str">
        <f>IF(Table1722[[#This Row],[Lawan Transaksi]]="CV AGUNG KARYA",COUNTIF($I$10:I4385,"CV AGUNG KARYA")," ")</f>
        <v xml:space="preserve"> </v>
      </c>
      <c r="F4385" s="107" t="str">
        <f>IF(LEN(Table1722[[#This Row],[Uraian]])&gt;2,TRIM(RIGHT(SUBSTITUTE(TRIM(C4385)," ",REPT(" ",255)),255))," ")</f>
        <v xml:space="preserve"> </v>
      </c>
      <c r="G4385" s="110">
        <f>COPY!Z4377</f>
        <v>0</v>
      </c>
      <c r="H4385" s="111" t="str">
        <f>IFERROR(VLOOKUP(Table1722[[#This Row],[Bukti]],'Un nOTA'!$A$4:$K$5003,10,FALSE),"")</f>
        <v/>
      </c>
      <c r="I4385" s="123" t="str">
        <f>IFERROR(VLOOKUP(Table1722[[#This Row],[Bukti]],Table13[#Data],11,FALSE),"")</f>
        <v/>
      </c>
    </row>
    <row r="4386" spans="1:9" hidden="1" x14ac:dyDescent="0.2">
      <c r="A4386" s="105" t="str">
        <f>IF(D4386=1,COUNTIF($D$10:D4386,1)," ")</f>
        <v xml:space="preserve"> </v>
      </c>
      <c r="B4386" s="106">
        <f>COPY!AR4378</f>
        <v>0</v>
      </c>
      <c r="C4386" s="107">
        <f>COPY!AC4378</f>
        <v>0</v>
      </c>
      <c r="D4386" s="107" t="str">
        <f>IF(LEN(Table1722[[#This Row],[Uraian]])&gt;2,1," ")</f>
        <v xml:space="preserve"> </v>
      </c>
      <c r="E4386" s="113" t="str">
        <f>IF(Table1722[[#This Row],[Lawan Transaksi]]="CV AGUNG KARYA",COUNTIF($I$10:I4386,"CV AGUNG KARYA")," ")</f>
        <v xml:space="preserve"> </v>
      </c>
      <c r="F4386" s="107" t="str">
        <f>IF(LEN(Table1722[[#This Row],[Uraian]])&gt;2,TRIM(RIGHT(SUBSTITUTE(TRIM(C4386)," ",REPT(" ",255)),255))," ")</f>
        <v xml:space="preserve"> </v>
      </c>
      <c r="G4386" s="110">
        <f>COPY!Z4378</f>
        <v>0</v>
      </c>
      <c r="H4386" s="111" t="str">
        <f>IFERROR(VLOOKUP(Table1722[[#This Row],[Bukti]],'Un nOTA'!$A$4:$K$5003,10,FALSE),"")</f>
        <v/>
      </c>
      <c r="I4386" s="123" t="str">
        <f>IFERROR(VLOOKUP(Table1722[[#This Row],[Bukti]],Table13[#Data],11,FALSE),"")</f>
        <v/>
      </c>
    </row>
    <row r="4387" spans="1:9" hidden="1" x14ac:dyDescent="0.2">
      <c r="A4387" s="105" t="str">
        <f>IF(D4387=1,COUNTIF($D$10:D4387,1)," ")</f>
        <v xml:space="preserve"> </v>
      </c>
      <c r="B4387" s="106">
        <f>COPY!AR4379</f>
        <v>0</v>
      </c>
      <c r="C4387" s="107">
        <f>COPY!AC4379</f>
        <v>0</v>
      </c>
      <c r="D4387" s="107" t="str">
        <f>IF(LEN(Table1722[[#This Row],[Uraian]])&gt;2,1," ")</f>
        <v xml:space="preserve"> </v>
      </c>
      <c r="E4387" s="113" t="str">
        <f>IF(Table1722[[#This Row],[Lawan Transaksi]]="CV AGUNG KARYA",COUNTIF($I$10:I4387,"CV AGUNG KARYA")," ")</f>
        <v xml:space="preserve"> </v>
      </c>
      <c r="F4387" s="107" t="str">
        <f>IF(LEN(Table1722[[#This Row],[Uraian]])&gt;2,TRIM(RIGHT(SUBSTITUTE(TRIM(C4387)," ",REPT(" ",255)),255))," ")</f>
        <v xml:space="preserve"> </v>
      </c>
      <c r="G4387" s="110">
        <f>COPY!Z4379</f>
        <v>0</v>
      </c>
      <c r="H4387" s="111" t="str">
        <f>IFERROR(VLOOKUP(Table1722[[#This Row],[Bukti]],'Un nOTA'!$A$4:$K$5003,10,FALSE),"")</f>
        <v/>
      </c>
      <c r="I4387" s="123" t="str">
        <f>IFERROR(VLOOKUP(Table1722[[#This Row],[Bukti]],Table13[#Data],11,FALSE),"")</f>
        <v/>
      </c>
    </row>
    <row r="4388" spans="1:9" hidden="1" x14ac:dyDescent="0.2">
      <c r="A4388" s="105" t="str">
        <f>IF(D4388=1,COUNTIF($D$10:D4388,1)," ")</f>
        <v xml:space="preserve"> </v>
      </c>
      <c r="B4388" s="106">
        <f>COPY!AR4380</f>
        <v>0</v>
      </c>
      <c r="C4388" s="107">
        <f>COPY!AC4380</f>
        <v>0</v>
      </c>
      <c r="D4388" s="107" t="str">
        <f>IF(LEN(Table1722[[#This Row],[Uraian]])&gt;2,1," ")</f>
        <v xml:space="preserve"> </v>
      </c>
      <c r="E4388" s="113" t="str">
        <f>IF(Table1722[[#This Row],[Lawan Transaksi]]="CV AGUNG KARYA",COUNTIF($I$10:I4388,"CV AGUNG KARYA")," ")</f>
        <v xml:space="preserve"> </v>
      </c>
      <c r="F4388" s="107" t="str">
        <f>IF(LEN(Table1722[[#This Row],[Uraian]])&gt;2,TRIM(RIGHT(SUBSTITUTE(TRIM(C4388)," ",REPT(" ",255)),255))," ")</f>
        <v xml:space="preserve"> </v>
      </c>
      <c r="G4388" s="110">
        <f>COPY!Z4380</f>
        <v>0</v>
      </c>
      <c r="H4388" s="111" t="str">
        <f>IFERROR(VLOOKUP(Table1722[[#This Row],[Bukti]],'Un nOTA'!$A$4:$K$5003,10,FALSE),"")</f>
        <v/>
      </c>
      <c r="I4388" s="123" t="str">
        <f>IFERROR(VLOOKUP(Table1722[[#This Row],[Bukti]],Table13[#Data],11,FALSE),"")</f>
        <v/>
      </c>
    </row>
    <row r="4389" spans="1:9" hidden="1" x14ac:dyDescent="0.2">
      <c r="A4389" s="105" t="str">
        <f>IF(D4389=1,COUNTIF($D$10:D4389,1)," ")</f>
        <v xml:space="preserve"> </v>
      </c>
      <c r="B4389" s="106">
        <f>COPY!AR4381</f>
        <v>0</v>
      </c>
      <c r="C4389" s="107">
        <f>COPY!AC4381</f>
        <v>0</v>
      </c>
      <c r="D4389" s="107" t="str">
        <f>IF(LEN(Table1722[[#This Row],[Uraian]])&gt;2,1," ")</f>
        <v xml:space="preserve"> </v>
      </c>
      <c r="E4389" s="113" t="str">
        <f>IF(Table1722[[#This Row],[Lawan Transaksi]]="CV AGUNG KARYA",COUNTIF($I$10:I4389,"CV AGUNG KARYA")," ")</f>
        <v xml:space="preserve"> </v>
      </c>
      <c r="F4389" s="107" t="str">
        <f>IF(LEN(Table1722[[#This Row],[Uraian]])&gt;2,TRIM(RIGHT(SUBSTITUTE(TRIM(C4389)," ",REPT(" ",255)),255))," ")</f>
        <v xml:space="preserve"> </v>
      </c>
      <c r="G4389" s="110">
        <f>COPY!Z4381</f>
        <v>0</v>
      </c>
      <c r="H4389" s="111" t="str">
        <f>IFERROR(VLOOKUP(Table1722[[#This Row],[Bukti]],'Un nOTA'!$A$4:$K$5003,10,FALSE),"")</f>
        <v/>
      </c>
      <c r="I4389" s="123" t="str">
        <f>IFERROR(VLOOKUP(Table1722[[#This Row],[Bukti]],Table13[#Data],11,FALSE),"")</f>
        <v/>
      </c>
    </row>
    <row r="4390" spans="1:9" hidden="1" x14ac:dyDescent="0.2">
      <c r="A4390" s="105" t="str">
        <f>IF(D4390=1,COUNTIF($D$10:D4390,1)," ")</f>
        <v xml:space="preserve"> </v>
      </c>
      <c r="B4390" s="106">
        <f>COPY!AR4382</f>
        <v>0</v>
      </c>
      <c r="C4390" s="107">
        <f>COPY!AC4382</f>
        <v>0</v>
      </c>
      <c r="D4390" s="107" t="str">
        <f>IF(LEN(Table1722[[#This Row],[Uraian]])&gt;2,1," ")</f>
        <v xml:space="preserve"> </v>
      </c>
      <c r="E4390" s="113" t="str">
        <f>IF(Table1722[[#This Row],[Lawan Transaksi]]="CV AGUNG KARYA",COUNTIF($I$10:I4390,"CV AGUNG KARYA")," ")</f>
        <v xml:space="preserve"> </v>
      </c>
      <c r="F4390" s="107" t="str">
        <f>IF(LEN(Table1722[[#This Row],[Uraian]])&gt;2,TRIM(RIGHT(SUBSTITUTE(TRIM(C4390)," ",REPT(" ",255)),255))," ")</f>
        <v xml:space="preserve"> </v>
      </c>
      <c r="G4390" s="110">
        <f>COPY!Z4382</f>
        <v>0</v>
      </c>
      <c r="H4390" s="111" t="str">
        <f>IFERROR(VLOOKUP(Table1722[[#This Row],[Bukti]],'Un nOTA'!$A$4:$K$5003,10,FALSE),"")</f>
        <v/>
      </c>
      <c r="I4390" s="123" t="str">
        <f>IFERROR(VLOOKUP(Table1722[[#This Row],[Bukti]],Table13[#Data],11,FALSE),"")</f>
        <v/>
      </c>
    </row>
    <row r="4391" spans="1:9" hidden="1" x14ac:dyDescent="0.2">
      <c r="A4391" s="105" t="str">
        <f>IF(D4391=1,COUNTIF($D$10:D4391,1)," ")</f>
        <v xml:space="preserve"> </v>
      </c>
      <c r="B4391" s="106">
        <f>COPY!AR4383</f>
        <v>0</v>
      </c>
      <c r="C4391" s="107">
        <f>COPY!AC4383</f>
        <v>0</v>
      </c>
      <c r="D4391" s="107" t="str">
        <f>IF(LEN(Table1722[[#This Row],[Uraian]])&gt;2,1," ")</f>
        <v xml:space="preserve"> </v>
      </c>
      <c r="E4391" s="113" t="str">
        <f>IF(Table1722[[#This Row],[Lawan Transaksi]]="CV AGUNG KARYA",COUNTIF($I$10:I4391,"CV AGUNG KARYA")," ")</f>
        <v xml:space="preserve"> </v>
      </c>
      <c r="F4391" s="107" t="str">
        <f>IF(LEN(Table1722[[#This Row],[Uraian]])&gt;2,TRIM(RIGHT(SUBSTITUTE(TRIM(C4391)," ",REPT(" ",255)),255))," ")</f>
        <v xml:space="preserve"> </v>
      </c>
      <c r="G4391" s="110">
        <f>COPY!Z4383</f>
        <v>0</v>
      </c>
      <c r="H4391" s="111" t="str">
        <f>IFERROR(VLOOKUP(Table1722[[#This Row],[Bukti]],'Un nOTA'!$A$4:$K$5003,10,FALSE),"")</f>
        <v/>
      </c>
      <c r="I4391" s="123" t="str">
        <f>IFERROR(VLOOKUP(Table1722[[#This Row],[Bukti]],Table13[#Data],11,FALSE),"")</f>
        <v/>
      </c>
    </row>
    <row r="4392" spans="1:9" hidden="1" x14ac:dyDescent="0.2">
      <c r="A4392" s="105" t="str">
        <f>IF(D4392=1,COUNTIF($D$10:D4392,1)," ")</f>
        <v xml:space="preserve"> </v>
      </c>
      <c r="B4392" s="106">
        <f>COPY!AR4384</f>
        <v>0</v>
      </c>
      <c r="C4392" s="107">
        <f>COPY!AC4384</f>
        <v>0</v>
      </c>
      <c r="D4392" s="107" t="str">
        <f>IF(LEN(Table1722[[#This Row],[Uraian]])&gt;2,1," ")</f>
        <v xml:space="preserve"> </v>
      </c>
      <c r="E4392" s="113" t="str">
        <f>IF(Table1722[[#This Row],[Lawan Transaksi]]="CV AGUNG KARYA",COUNTIF($I$10:I4392,"CV AGUNG KARYA")," ")</f>
        <v xml:space="preserve"> </v>
      </c>
      <c r="F4392" s="107" t="str">
        <f>IF(LEN(Table1722[[#This Row],[Uraian]])&gt;2,TRIM(RIGHT(SUBSTITUTE(TRIM(C4392)," ",REPT(" ",255)),255))," ")</f>
        <v xml:space="preserve"> </v>
      </c>
      <c r="G4392" s="110">
        <f>COPY!Z4384</f>
        <v>0</v>
      </c>
      <c r="H4392" s="111" t="str">
        <f>IFERROR(VLOOKUP(Table1722[[#This Row],[Bukti]],'Un nOTA'!$A$4:$K$5003,10,FALSE),"")</f>
        <v/>
      </c>
      <c r="I4392" s="123" t="str">
        <f>IFERROR(VLOOKUP(Table1722[[#This Row],[Bukti]],Table13[#Data],11,FALSE),"")</f>
        <v/>
      </c>
    </row>
    <row r="4393" spans="1:9" hidden="1" x14ac:dyDescent="0.2">
      <c r="A4393" s="105" t="str">
        <f>IF(D4393=1,COUNTIF($D$10:D4393,1)," ")</f>
        <v xml:space="preserve"> </v>
      </c>
      <c r="B4393" s="106">
        <f>COPY!AR4385</f>
        <v>0</v>
      </c>
      <c r="C4393" s="107">
        <f>COPY!AC4385</f>
        <v>0</v>
      </c>
      <c r="D4393" s="107" t="str">
        <f>IF(LEN(Table1722[[#This Row],[Uraian]])&gt;2,1," ")</f>
        <v xml:space="preserve"> </v>
      </c>
      <c r="E4393" s="113" t="str">
        <f>IF(Table1722[[#This Row],[Lawan Transaksi]]="CV AGUNG KARYA",COUNTIF($I$10:I4393,"CV AGUNG KARYA")," ")</f>
        <v xml:space="preserve"> </v>
      </c>
      <c r="F4393" s="107" t="str">
        <f>IF(LEN(Table1722[[#This Row],[Uraian]])&gt;2,TRIM(RIGHT(SUBSTITUTE(TRIM(C4393)," ",REPT(" ",255)),255))," ")</f>
        <v xml:space="preserve"> </v>
      </c>
      <c r="G4393" s="110">
        <f>COPY!Z4385</f>
        <v>0</v>
      </c>
      <c r="H4393" s="111" t="str">
        <f>IFERROR(VLOOKUP(Table1722[[#This Row],[Bukti]],'Un nOTA'!$A$4:$K$5003,10,FALSE),"")</f>
        <v/>
      </c>
      <c r="I4393" s="123" t="str">
        <f>IFERROR(VLOOKUP(Table1722[[#This Row],[Bukti]],Table13[#Data],11,FALSE),"")</f>
        <v/>
      </c>
    </row>
    <row r="4394" spans="1:9" hidden="1" x14ac:dyDescent="0.2">
      <c r="A4394" s="105" t="str">
        <f>IF(D4394=1,COUNTIF($D$10:D4394,1)," ")</f>
        <v xml:space="preserve"> </v>
      </c>
      <c r="B4394" s="106">
        <f>COPY!AR4386</f>
        <v>0</v>
      </c>
      <c r="C4394" s="107">
        <f>COPY!AC4386</f>
        <v>0</v>
      </c>
      <c r="D4394" s="107" t="str">
        <f>IF(LEN(Table1722[[#This Row],[Uraian]])&gt;2,1," ")</f>
        <v xml:space="preserve"> </v>
      </c>
      <c r="E4394" s="113" t="str">
        <f>IF(Table1722[[#This Row],[Lawan Transaksi]]="CV AGUNG KARYA",COUNTIF($I$10:I4394,"CV AGUNG KARYA")," ")</f>
        <v xml:space="preserve"> </v>
      </c>
      <c r="F4394" s="107" t="str">
        <f>IF(LEN(Table1722[[#This Row],[Uraian]])&gt;2,TRIM(RIGHT(SUBSTITUTE(TRIM(C4394)," ",REPT(" ",255)),255))," ")</f>
        <v xml:space="preserve"> </v>
      </c>
      <c r="G4394" s="110">
        <f>COPY!Z4386</f>
        <v>0</v>
      </c>
      <c r="H4394" s="111" t="str">
        <f>IFERROR(VLOOKUP(Table1722[[#This Row],[Bukti]],'Un nOTA'!$A$4:$K$5003,10,FALSE),"")</f>
        <v/>
      </c>
      <c r="I4394" s="123" t="str">
        <f>IFERROR(VLOOKUP(Table1722[[#This Row],[Bukti]],Table13[#Data],11,FALSE),"")</f>
        <v/>
      </c>
    </row>
    <row r="4395" spans="1:9" hidden="1" x14ac:dyDescent="0.2">
      <c r="A4395" s="105" t="str">
        <f>IF(D4395=1,COUNTIF($D$10:D4395,1)," ")</f>
        <v xml:space="preserve"> </v>
      </c>
      <c r="B4395" s="106">
        <f>COPY!AR4387</f>
        <v>0</v>
      </c>
      <c r="C4395" s="107">
        <f>COPY!AC4387</f>
        <v>0</v>
      </c>
      <c r="D4395" s="107" t="str">
        <f>IF(LEN(Table1722[[#This Row],[Uraian]])&gt;2,1," ")</f>
        <v xml:space="preserve"> </v>
      </c>
      <c r="E4395" s="113" t="str">
        <f>IF(Table1722[[#This Row],[Lawan Transaksi]]="CV AGUNG KARYA",COUNTIF($I$10:I4395,"CV AGUNG KARYA")," ")</f>
        <v xml:space="preserve"> </v>
      </c>
      <c r="F4395" s="107" t="str">
        <f>IF(LEN(Table1722[[#This Row],[Uraian]])&gt;2,TRIM(RIGHT(SUBSTITUTE(TRIM(C4395)," ",REPT(" ",255)),255))," ")</f>
        <v xml:space="preserve"> </v>
      </c>
      <c r="G4395" s="110">
        <f>COPY!Z4387</f>
        <v>0</v>
      </c>
      <c r="H4395" s="111" t="str">
        <f>IFERROR(VLOOKUP(Table1722[[#This Row],[Bukti]],'Un nOTA'!$A$4:$K$5003,10,FALSE),"")</f>
        <v/>
      </c>
      <c r="I4395" s="123" t="str">
        <f>IFERROR(VLOOKUP(Table1722[[#This Row],[Bukti]],Table13[#Data],11,FALSE),"")</f>
        <v/>
      </c>
    </row>
    <row r="4396" spans="1:9" hidden="1" x14ac:dyDescent="0.2">
      <c r="A4396" s="105" t="str">
        <f>IF(D4396=1,COUNTIF($D$10:D4396,1)," ")</f>
        <v xml:space="preserve"> </v>
      </c>
      <c r="B4396" s="106">
        <f>COPY!AR4388</f>
        <v>0</v>
      </c>
      <c r="C4396" s="107">
        <f>COPY!AC4388</f>
        <v>0</v>
      </c>
      <c r="D4396" s="107" t="str">
        <f>IF(LEN(Table1722[[#This Row],[Uraian]])&gt;2,1," ")</f>
        <v xml:space="preserve"> </v>
      </c>
      <c r="E4396" s="113" t="str">
        <f>IF(Table1722[[#This Row],[Lawan Transaksi]]="CV AGUNG KARYA",COUNTIF($I$10:I4396,"CV AGUNG KARYA")," ")</f>
        <v xml:space="preserve"> </v>
      </c>
      <c r="F4396" s="107" t="str">
        <f>IF(LEN(Table1722[[#This Row],[Uraian]])&gt;2,TRIM(RIGHT(SUBSTITUTE(TRIM(C4396)," ",REPT(" ",255)),255))," ")</f>
        <v xml:space="preserve"> </v>
      </c>
      <c r="G4396" s="110">
        <f>COPY!Z4388</f>
        <v>0</v>
      </c>
      <c r="H4396" s="111" t="str">
        <f>IFERROR(VLOOKUP(Table1722[[#This Row],[Bukti]],'Un nOTA'!$A$4:$K$5003,10,FALSE),"")</f>
        <v/>
      </c>
      <c r="I4396" s="123" t="str">
        <f>IFERROR(VLOOKUP(Table1722[[#This Row],[Bukti]],Table13[#Data],11,FALSE),"")</f>
        <v/>
      </c>
    </row>
    <row r="4397" spans="1:9" hidden="1" x14ac:dyDescent="0.2">
      <c r="A4397" s="105" t="str">
        <f>IF(D4397=1,COUNTIF($D$10:D4397,1)," ")</f>
        <v xml:space="preserve"> </v>
      </c>
      <c r="B4397" s="106">
        <f>COPY!AR4389</f>
        <v>0</v>
      </c>
      <c r="C4397" s="107">
        <f>COPY!AC4389</f>
        <v>0</v>
      </c>
      <c r="D4397" s="107" t="str">
        <f>IF(LEN(Table1722[[#This Row],[Uraian]])&gt;2,1," ")</f>
        <v xml:space="preserve"> </v>
      </c>
      <c r="E4397" s="113" t="str">
        <f>IF(Table1722[[#This Row],[Lawan Transaksi]]="CV AGUNG KARYA",COUNTIF($I$10:I4397,"CV AGUNG KARYA")," ")</f>
        <v xml:space="preserve"> </v>
      </c>
      <c r="F4397" s="107" t="str">
        <f>IF(LEN(Table1722[[#This Row],[Uraian]])&gt;2,TRIM(RIGHT(SUBSTITUTE(TRIM(C4397)," ",REPT(" ",255)),255))," ")</f>
        <v xml:space="preserve"> </v>
      </c>
      <c r="G4397" s="110">
        <f>COPY!Z4389</f>
        <v>0</v>
      </c>
      <c r="H4397" s="111" t="str">
        <f>IFERROR(VLOOKUP(Table1722[[#This Row],[Bukti]],'Un nOTA'!$A$4:$K$5003,10,FALSE),"")</f>
        <v/>
      </c>
      <c r="I4397" s="123" t="str">
        <f>IFERROR(VLOOKUP(Table1722[[#This Row],[Bukti]],Table13[#Data],11,FALSE),"")</f>
        <v/>
      </c>
    </row>
    <row r="4398" spans="1:9" hidden="1" x14ac:dyDescent="0.2">
      <c r="A4398" s="105" t="str">
        <f>IF(D4398=1,COUNTIF($D$10:D4398,1)," ")</f>
        <v xml:space="preserve"> </v>
      </c>
      <c r="B4398" s="106">
        <f>COPY!AR4390</f>
        <v>0</v>
      </c>
      <c r="C4398" s="107">
        <f>COPY!AC4390</f>
        <v>0</v>
      </c>
      <c r="D4398" s="107" t="str">
        <f>IF(LEN(Table1722[[#This Row],[Uraian]])&gt;2,1," ")</f>
        <v xml:space="preserve"> </v>
      </c>
      <c r="E4398" s="113" t="str">
        <f>IF(Table1722[[#This Row],[Lawan Transaksi]]="CV AGUNG KARYA",COUNTIF($I$10:I4398,"CV AGUNG KARYA")," ")</f>
        <v xml:space="preserve"> </v>
      </c>
      <c r="F4398" s="107" t="str">
        <f>IF(LEN(Table1722[[#This Row],[Uraian]])&gt;2,TRIM(RIGHT(SUBSTITUTE(TRIM(C4398)," ",REPT(" ",255)),255))," ")</f>
        <v xml:space="preserve"> </v>
      </c>
      <c r="G4398" s="110">
        <f>COPY!Z4390</f>
        <v>0</v>
      </c>
      <c r="H4398" s="111" t="str">
        <f>IFERROR(VLOOKUP(Table1722[[#This Row],[Bukti]],'Un nOTA'!$A$4:$K$5003,10,FALSE),"")</f>
        <v/>
      </c>
      <c r="I4398" s="123" t="str">
        <f>IFERROR(VLOOKUP(Table1722[[#This Row],[Bukti]],Table13[#Data],11,FALSE),"")</f>
        <v/>
      </c>
    </row>
    <row r="4399" spans="1:9" hidden="1" x14ac:dyDescent="0.2">
      <c r="A4399" s="105" t="str">
        <f>IF(D4399=1,COUNTIF($D$10:D4399,1)," ")</f>
        <v xml:space="preserve"> </v>
      </c>
      <c r="B4399" s="106">
        <f>COPY!AR4391</f>
        <v>0</v>
      </c>
      <c r="C4399" s="107">
        <f>COPY!AC4391</f>
        <v>0</v>
      </c>
      <c r="D4399" s="107" t="str">
        <f>IF(LEN(Table1722[[#This Row],[Uraian]])&gt;2,1," ")</f>
        <v xml:space="preserve"> </v>
      </c>
      <c r="E4399" s="113" t="str">
        <f>IF(Table1722[[#This Row],[Lawan Transaksi]]="CV AGUNG KARYA",COUNTIF($I$10:I4399,"CV AGUNG KARYA")," ")</f>
        <v xml:space="preserve"> </v>
      </c>
      <c r="F4399" s="107" t="str">
        <f>IF(LEN(Table1722[[#This Row],[Uraian]])&gt;2,TRIM(RIGHT(SUBSTITUTE(TRIM(C4399)," ",REPT(" ",255)),255))," ")</f>
        <v xml:space="preserve"> </v>
      </c>
      <c r="G4399" s="110">
        <f>COPY!Z4391</f>
        <v>0</v>
      </c>
      <c r="H4399" s="111" t="str">
        <f>IFERROR(VLOOKUP(Table1722[[#This Row],[Bukti]],'Un nOTA'!$A$4:$K$5003,10,FALSE),"")</f>
        <v/>
      </c>
      <c r="I4399" s="123" t="str">
        <f>IFERROR(VLOOKUP(Table1722[[#This Row],[Bukti]],Table13[#Data],11,FALSE),"")</f>
        <v/>
      </c>
    </row>
    <row r="4400" spans="1:9" hidden="1" x14ac:dyDescent="0.2">
      <c r="A4400" s="105" t="str">
        <f>IF(D4400=1,COUNTIF($D$10:D4400,1)," ")</f>
        <v xml:space="preserve"> </v>
      </c>
      <c r="B4400" s="106">
        <f>COPY!AR4392</f>
        <v>0</v>
      </c>
      <c r="C4400" s="107">
        <f>COPY!AC4392</f>
        <v>0</v>
      </c>
      <c r="D4400" s="107" t="str">
        <f>IF(LEN(Table1722[[#This Row],[Uraian]])&gt;2,1," ")</f>
        <v xml:space="preserve"> </v>
      </c>
      <c r="E4400" s="113" t="str">
        <f>IF(Table1722[[#This Row],[Lawan Transaksi]]="CV AGUNG KARYA",COUNTIF($I$10:I4400,"CV AGUNG KARYA")," ")</f>
        <v xml:space="preserve"> </v>
      </c>
      <c r="F4400" s="107" t="str">
        <f>IF(LEN(Table1722[[#This Row],[Uraian]])&gt;2,TRIM(RIGHT(SUBSTITUTE(TRIM(C4400)," ",REPT(" ",255)),255))," ")</f>
        <v xml:space="preserve"> </v>
      </c>
      <c r="G4400" s="110">
        <f>COPY!Z4392</f>
        <v>0</v>
      </c>
      <c r="H4400" s="111" t="str">
        <f>IFERROR(VLOOKUP(Table1722[[#This Row],[Bukti]],'Un nOTA'!$A$4:$K$5003,10,FALSE),"")</f>
        <v/>
      </c>
      <c r="I4400" s="123" t="str">
        <f>IFERROR(VLOOKUP(Table1722[[#This Row],[Bukti]],Table13[#Data],11,FALSE),"")</f>
        <v/>
      </c>
    </row>
    <row r="4401" spans="1:9" hidden="1" x14ac:dyDescent="0.2">
      <c r="A4401" s="105" t="str">
        <f>IF(D4401=1,COUNTIF($D$10:D4401,1)," ")</f>
        <v xml:space="preserve"> </v>
      </c>
      <c r="B4401" s="106">
        <f>COPY!AR4393</f>
        <v>0</v>
      </c>
      <c r="C4401" s="107">
        <f>COPY!AC4393</f>
        <v>0</v>
      </c>
      <c r="D4401" s="107" t="str">
        <f>IF(LEN(Table1722[[#This Row],[Uraian]])&gt;2,1," ")</f>
        <v xml:space="preserve"> </v>
      </c>
      <c r="E4401" s="113" t="str">
        <f>IF(Table1722[[#This Row],[Lawan Transaksi]]="CV AGUNG KARYA",COUNTIF($I$10:I4401,"CV AGUNG KARYA")," ")</f>
        <v xml:space="preserve"> </v>
      </c>
      <c r="F4401" s="107" t="str">
        <f>IF(LEN(Table1722[[#This Row],[Uraian]])&gt;2,TRIM(RIGHT(SUBSTITUTE(TRIM(C4401)," ",REPT(" ",255)),255))," ")</f>
        <v xml:space="preserve"> </v>
      </c>
      <c r="G4401" s="110">
        <f>COPY!Z4393</f>
        <v>0</v>
      </c>
      <c r="H4401" s="111" t="str">
        <f>IFERROR(VLOOKUP(Table1722[[#This Row],[Bukti]],'Un nOTA'!$A$4:$K$5003,10,FALSE),"")</f>
        <v/>
      </c>
      <c r="I4401" s="123" t="str">
        <f>IFERROR(VLOOKUP(Table1722[[#This Row],[Bukti]],Table13[#Data],11,FALSE),"")</f>
        <v/>
      </c>
    </row>
    <row r="4402" spans="1:9" hidden="1" x14ac:dyDescent="0.2">
      <c r="A4402" s="105" t="str">
        <f>IF(D4402=1,COUNTIF($D$10:D4402,1)," ")</f>
        <v xml:space="preserve"> </v>
      </c>
      <c r="B4402" s="106">
        <f>COPY!AR4394</f>
        <v>0</v>
      </c>
      <c r="C4402" s="107">
        <f>COPY!AC4394</f>
        <v>0</v>
      </c>
      <c r="D4402" s="107" t="str">
        <f>IF(LEN(Table1722[[#This Row],[Uraian]])&gt;2,1," ")</f>
        <v xml:space="preserve"> </v>
      </c>
      <c r="E4402" s="113" t="str">
        <f>IF(Table1722[[#This Row],[Lawan Transaksi]]="CV AGUNG KARYA",COUNTIF($I$10:I4402,"CV AGUNG KARYA")," ")</f>
        <v xml:space="preserve"> </v>
      </c>
      <c r="F4402" s="107" t="str">
        <f>IF(LEN(Table1722[[#This Row],[Uraian]])&gt;2,TRIM(RIGHT(SUBSTITUTE(TRIM(C4402)," ",REPT(" ",255)),255))," ")</f>
        <v xml:space="preserve"> </v>
      </c>
      <c r="G4402" s="110">
        <f>COPY!Z4394</f>
        <v>0</v>
      </c>
      <c r="H4402" s="111" t="str">
        <f>IFERROR(VLOOKUP(Table1722[[#This Row],[Bukti]],'Un nOTA'!$A$4:$K$5003,10,FALSE),"")</f>
        <v/>
      </c>
      <c r="I4402" s="123" t="str">
        <f>IFERROR(VLOOKUP(Table1722[[#This Row],[Bukti]],Table13[#Data],11,FALSE),"")</f>
        <v/>
      </c>
    </row>
    <row r="4403" spans="1:9" hidden="1" x14ac:dyDescent="0.2">
      <c r="A4403" s="105" t="str">
        <f>IF(D4403=1,COUNTIF($D$10:D4403,1)," ")</f>
        <v xml:space="preserve"> </v>
      </c>
      <c r="B4403" s="106">
        <f>COPY!AR4395</f>
        <v>0</v>
      </c>
      <c r="C4403" s="107">
        <f>COPY!AC4395</f>
        <v>0</v>
      </c>
      <c r="D4403" s="107" t="str">
        <f>IF(LEN(Table1722[[#This Row],[Uraian]])&gt;2,1," ")</f>
        <v xml:space="preserve"> </v>
      </c>
      <c r="E4403" s="113" t="str">
        <f>IF(Table1722[[#This Row],[Lawan Transaksi]]="CV AGUNG KARYA",COUNTIF($I$10:I4403,"CV AGUNG KARYA")," ")</f>
        <v xml:space="preserve"> </v>
      </c>
      <c r="F4403" s="107" t="str">
        <f>IF(LEN(Table1722[[#This Row],[Uraian]])&gt;2,TRIM(RIGHT(SUBSTITUTE(TRIM(C4403)," ",REPT(" ",255)),255))," ")</f>
        <v xml:space="preserve"> </v>
      </c>
      <c r="G4403" s="110">
        <f>COPY!Z4395</f>
        <v>0</v>
      </c>
      <c r="H4403" s="111" t="str">
        <f>IFERROR(VLOOKUP(Table1722[[#This Row],[Bukti]],'Un nOTA'!$A$4:$K$5003,10,FALSE),"")</f>
        <v/>
      </c>
      <c r="I4403" s="123" t="str">
        <f>IFERROR(VLOOKUP(Table1722[[#This Row],[Bukti]],Table13[#Data],11,FALSE),"")</f>
        <v/>
      </c>
    </row>
    <row r="4404" spans="1:9" hidden="1" x14ac:dyDescent="0.2">
      <c r="A4404" s="105" t="str">
        <f>IF(D4404=1,COUNTIF($D$10:D4404,1)," ")</f>
        <v xml:space="preserve"> </v>
      </c>
      <c r="B4404" s="106">
        <f>COPY!AR4396</f>
        <v>0</v>
      </c>
      <c r="C4404" s="107">
        <f>COPY!AC4396</f>
        <v>0</v>
      </c>
      <c r="D4404" s="107" t="str">
        <f>IF(LEN(Table1722[[#This Row],[Uraian]])&gt;2,1," ")</f>
        <v xml:space="preserve"> </v>
      </c>
      <c r="E4404" s="113" t="str">
        <f>IF(Table1722[[#This Row],[Lawan Transaksi]]="CV AGUNG KARYA",COUNTIF($I$10:I4404,"CV AGUNG KARYA")," ")</f>
        <v xml:space="preserve"> </v>
      </c>
      <c r="F4404" s="107" t="str">
        <f>IF(LEN(Table1722[[#This Row],[Uraian]])&gt;2,TRIM(RIGHT(SUBSTITUTE(TRIM(C4404)," ",REPT(" ",255)),255))," ")</f>
        <v xml:space="preserve"> </v>
      </c>
      <c r="G4404" s="110">
        <f>COPY!Z4396</f>
        <v>0</v>
      </c>
      <c r="H4404" s="111" t="str">
        <f>IFERROR(VLOOKUP(Table1722[[#This Row],[Bukti]],'Un nOTA'!$A$4:$K$5003,10,FALSE),"")</f>
        <v/>
      </c>
      <c r="I4404" s="123" t="str">
        <f>IFERROR(VLOOKUP(Table1722[[#This Row],[Bukti]],Table13[#Data],11,FALSE),"")</f>
        <v/>
      </c>
    </row>
    <row r="4405" spans="1:9" hidden="1" x14ac:dyDescent="0.2">
      <c r="A4405" s="105" t="str">
        <f>IF(D4405=1,COUNTIF($D$10:D4405,1)," ")</f>
        <v xml:space="preserve"> </v>
      </c>
      <c r="B4405" s="106">
        <f>COPY!AR4397</f>
        <v>0</v>
      </c>
      <c r="C4405" s="107">
        <f>COPY!AC4397</f>
        <v>0</v>
      </c>
      <c r="D4405" s="107" t="str">
        <f>IF(LEN(Table1722[[#This Row],[Uraian]])&gt;2,1," ")</f>
        <v xml:space="preserve"> </v>
      </c>
      <c r="E4405" s="113" t="str">
        <f>IF(Table1722[[#This Row],[Lawan Transaksi]]="CV AGUNG KARYA",COUNTIF($I$10:I4405,"CV AGUNG KARYA")," ")</f>
        <v xml:space="preserve"> </v>
      </c>
      <c r="F4405" s="107" t="str">
        <f>IF(LEN(Table1722[[#This Row],[Uraian]])&gt;2,TRIM(RIGHT(SUBSTITUTE(TRIM(C4405)," ",REPT(" ",255)),255))," ")</f>
        <v xml:space="preserve"> </v>
      </c>
      <c r="G4405" s="110">
        <f>COPY!Z4397</f>
        <v>0</v>
      </c>
      <c r="H4405" s="111" t="str">
        <f>IFERROR(VLOOKUP(Table1722[[#This Row],[Bukti]],'Un nOTA'!$A$4:$K$5003,10,FALSE),"")</f>
        <v/>
      </c>
      <c r="I4405" s="123" t="str">
        <f>IFERROR(VLOOKUP(Table1722[[#This Row],[Bukti]],Table13[#Data],11,FALSE),"")</f>
        <v/>
      </c>
    </row>
    <row r="4406" spans="1:9" hidden="1" x14ac:dyDescent="0.2">
      <c r="A4406" s="105" t="str">
        <f>IF(D4406=1,COUNTIF($D$10:D4406,1)," ")</f>
        <v xml:space="preserve"> </v>
      </c>
      <c r="B4406" s="106">
        <f>COPY!AR4398</f>
        <v>0</v>
      </c>
      <c r="C4406" s="107">
        <f>COPY!AC4398</f>
        <v>0</v>
      </c>
      <c r="D4406" s="107" t="str">
        <f>IF(LEN(Table1722[[#This Row],[Uraian]])&gt;2,1," ")</f>
        <v xml:space="preserve"> </v>
      </c>
      <c r="E4406" s="113" t="str">
        <f>IF(Table1722[[#This Row],[Lawan Transaksi]]="CV AGUNG KARYA",COUNTIF($I$10:I4406,"CV AGUNG KARYA")," ")</f>
        <v xml:space="preserve"> </v>
      </c>
      <c r="F4406" s="107" t="str">
        <f>IF(LEN(Table1722[[#This Row],[Uraian]])&gt;2,TRIM(RIGHT(SUBSTITUTE(TRIM(C4406)," ",REPT(" ",255)),255))," ")</f>
        <v xml:space="preserve"> </v>
      </c>
      <c r="G4406" s="110">
        <f>COPY!Z4398</f>
        <v>0</v>
      </c>
      <c r="H4406" s="111" t="str">
        <f>IFERROR(VLOOKUP(Table1722[[#This Row],[Bukti]],'Un nOTA'!$A$4:$K$5003,10,FALSE),"")</f>
        <v/>
      </c>
      <c r="I4406" s="123" t="str">
        <f>IFERROR(VLOOKUP(Table1722[[#This Row],[Bukti]],Table13[#Data],11,FALSE),"")</f>
        <v/>
      </c>
    </row>
    <row r="4407" spans="1:9" hidden="1" x14ac:dyDescent="0.2">
      <c r="A4407" s="105" t="str">
        <f>IF(D4407=1,COUNTIF($D$10:D4407,1)," ")</f>
        <v xml:space="preserve"> </v>
      </c>
      <c r="B4407" s="106">
        <f>COPY!AR4399</f>
        <v>0</v>
      </c>
      <c r="C4407" s="107">
        <f>COPY!AC4399</f>
        <v>0</v>
      </c>
      <c r="D4407" s="107" t="str">
        <f>IF(LEN(Table1722[[#This Row],[Uraian]])&gt;2,1," ")</f>
        <v xml:space="preserve"> </v>
      </c>
      <c r="E4407" s="113" t="str">
        <f>IF(Table1722[[#This Row],[Lawan Transaksi]]="CV AGUNG KARYA",COUNTIF($I$10:I4407,"CV AGUNG KARYA")," ")</f>
        <v xml:space="preserve"> </v>
      </c>
      <c r="F4407" s="107" t="str">
        <f>IF(LEN(Table1722[[#This Row],[Uraian]])&gt;2,TRIM(RIGHT(SUBSTITUTE(TRIM(C4407)," ",REPT(" ",255)),255))," ")</f>
        <v xml:space="preserve"> </v>
      </c>
      <c r="G4407" s="110">
        <f>COPY!Z4399</f>
        <v>0</v>
      </c>
      <c r="H4407" s="111" t="str">
        <f>IFERROR(VLOOKUP(Table1722[[#This Row],[Bukti]],'Un nOTA'!$A$4:$K$5003,10,FALSE),"")</f>
        <v/>
      </c>
      <c r="I4407" s="123" t="str">
        <f>IFERROR(VLOOKUP(Table1722[[#This Row],[Bukti]],Table13[#Data],11,FALSE),"")</f>
        <v/>
      </c>
    </row>
    <row r="4408" spans="1:9" hidden="1" x14ac:dyDescent="0.2">
      <c r="A4408" s="105" t="str">
        <f>IF(D4408=1,COUNTIF($D$10:D4408,1)," ")</f>
        <v xml:space="preserve"> </v>
      </c>
      <c r="B4408" s="106">
        <f>COPY!AR4400</f>
        <v>0</v>
      </c>
      <c r="C4408" s="107">
        <f>COPY!AC4400</f>
        <v>0</v>
      </c>
      <c r="D4408" s="107" t="str">
        <f>IF(LEN(Table1722[[#This Row],[Uraian]])&gt;2,1," ")</f>
        <v xml:space="preserve"> </v>
      </c>
      <c r="E4408" s="113" t="str">
        <f>IF(Table1722[[#This Row],[Lawan Transaksi]]="CV AGUNG KARYA",COUNTIF($I$10:I4408,"CV AGUNG KARYA")," ")</f>
        <v xml:space="preserve"> </v>
      </c>
      <c r="F4408" s="107" t="str">
        <f>IF(LEN(Table1722[[#This Row],[Uraian]])&gt;2,TRIM(RIGHT(SUBSTITUTE(TRIM(C4408)," ",REPT(" ",255)),255))," ")</f>
        <v xml:space="preserve"> </v>
      </c>
      <c r="G4408" s="110">
        <f>COPY!Z4400</f>
        <v>0</v>
      </c>
      <c r="H4408" s="111" t="str">
        <f>IFERROR(VLOOKUP(Table1722[[#This Row],[Bukti]],'Un nOTA'!$A$4:$K$5003,10,FALSE),"")</f>
        <v/>
      </c>
      <c r="I4408" s="123" t="str">
        <f>IFERROR(VLOOKUP(Table1722[[#This Row],[Bukti]],Table13[#Data],11,FALSE),"")</f>
        <v/>
      </c>
    </row>
    <row r="4409" spans="1:9" hidden="1" x14ac:dyDescent="0.2">
      <c r="A4409" s="105" t="str">
        <f>IF(D4409=1,COUNTIF($D$10:D4409,1)," ")</f>
        <v xml:space="preserve"> </v>
      </c>
      <c r="B4409" s="106">
        <f>COPY!AR4401</f>
        <v>0</v>
      </c>
      <c r="C4409" s="107">
        <f>COPY!AC4401</f>
        <v>0</v>
      </c>
      <c r="D4409" s="107" t="str">
        <f>IF(LEN(Table1722[[#This Row],[Uraian]])&gt;2,1," ")</f>
        <v xml:space="preserve"> </v>
      </c>
      <c r="E4409" s="113" t="str">
        <f>IF(Table1722[[#This Row],[Lawan Transaksi]]="CV AGUNG KARYA",COUNTIF($I$10:I4409,"CV AGUNG KARYA")," ")</f>
        <v xml:space="preserve"> </v>
      </c>
      <c r="F4409" s="107" t="str">
        <f>IF(LEN(Table1722[[#This Row],[Uraian]])&gt;2,TRIM(RIGHT(SUBSTITUTE(TRIM(C4409)," ",REPT(" ",255)),255))," ")</f>
        <v xml:space="preserve"> </v>
      </c>
      <c r="G4409" s="110">
        <f>COPY!Z4401</f>
        <v>0</v>
      </c>
      <c r="H4409" s="111" t="str">
        <f>IFERROR(VLOOKUP(Table1722[[#This Row],[Bukti]],'Un nOTA'!$A$4:$K$5003,10,FALSE),"")</f>
        <v/>
      </c>
      <c r="I4409" s="123" t="str">
        <f>IFERROR(VLOOKUP(Table1722[[#This Row],[Bukti]],Table13[#Data],11,FALSE),"")</f>
        <v/>
      </c>
    </row>
    <row r="4410" spans="1:9" hidden="1" x14ac:dyDescent="0.2">
      <c r="A4410" s="105" t="str">
        <f>IF(D4410=1,COUNTIF($D$10:D4410,1)," ")</f>
        <v xml:space="preserve"> </v>
      </c>
      <c r="B4410" s="106">
        <f>COPY!AR4402</f>
        <v>0</v>
      </c>
      <c r="C4410" s="107">
        <f>COPY!AC4402</f>
        <v>0</v>
      </c>
      <c r="D4410" s="107" t="str">
        <f>IF(LEN(Table1722[[#This Row],[Uraian]])&gt;2,1," ")</f>
        <v xml:space="preserve"> </v>
      </c>
      <c r="E4410" s="113" t="str">
        <f>IF(Table1722[[#This Row],[Lawan Transaksi]]="CV AGUNG KARYA",COUNTIF($I$10:I4410,"CV AGUNG KARYA")," ")</f>
        <v xml:space="preserve"> </v>
      </c>
      <c r="F4410" s="107" t="str">
        <f>IF(LEN(Table1722[[#This Row],[Uraian]])&gt;2,TRIM(RIGHT(SUBSTITUTE(TRIM(C4410)," ",REPT(" ",255)),255))," ")</f>
        <v xml:space="preserve"> </v>
      </c>
      <c r="G4410" s="110">
        <f>COPY!Z4402</f>
        <v>0</v>
      </c>
      <c r="H4410" s="111" t="str">
        <f>IFERROR(VLOOKUP(Table1722[[#This Row],[Bukti]],'Un nOTA'!$A$4:$K$5003,10,FALSE),"")</f>
        <v/>
      </c>
      <c r="I4410" s="123" t="str">
        <f>IFERROR(VLOOKUP(Table1722[[#This Row],[Bukti]],Table13[#Data],11,FALSE),"")</f>
        <v/>
      </c>
    </row>
    <row r="4411" spans="1:9" hidden="1" x14ac:dyDescent="0.2">
      <c r="A4411" s="105" t="str">
        <f>IF(D4411=1,COUNTIF($D$10:D4411,1)," ")</f>
        <v xml:space="preserve"> </v>
      </c>
      <c r="B4411" s="106">
        <f>COPY!AR4403</f>
        <v>0</v>
      </c>
      <c r="C4411" s="107">
        <f>COPY!AC4403</f>
        <v>0</v>
      </c>
      <c r="D4411" s="107" t="str">
        <f>IF(LEN(Table1722[[#This Row],[Uraian]])&gt;2,1," ")</f>
        <v xml:space="preserve"> </v>
      </c>
      <c r="E4411" s="113" t="str">
        <f>IF(Table1722[[#This Row],[Lawan Transaksi]]="CV AGUNG KARYA",COUNTIF($I$10:I4411,"CV AGUNG KARYA")," ")</f>
        <v xml:space="preserve"> </v>
      </c>
      <c r="F4411" s="107" t="str">
        <f>IF(LEN(Table1722[[#This Row],[Uraian]])&gt;2,TRIM(RIGHT(SUBSTITUTE(TRIM(C4411)," ",REPT(" ",255)),255))," ")</f>
        <v xml:space="preserve"> </v>
      </c>
      <c r="G4411" s="110">
        <f>COPY!Z4403</f>
        <v>0</v>
      </c>
      <c r="H4411" s="111" t="str">
        <f>IFERROR(VLOOKUP(Table1722[[#This Row],[Bukti]],'Un nOTA'!$A$4:$K$5003,10,FALSE),"")</f>
        <v/>
      </c>
      <c r="I4411" s="123" t="str">
        <f>IFERROR(VLOOKUP(Table1722[[#This Row],[Bukti]],Table13[#Data],11,FALSE),"")</f>
        <v/>
      </c>
    </row>
    <row r="4412" spans="1:9" hidden="1" x14ac:dyDescent="0.2">
      <c r="A4412" s="105" t="str">
        <f>IF(D4412=1,COUNTIF($D$10:D4412,1)," ")</f>
        <v xml:space="preserve"> </v>
      </c>
      <c r="B4412" s="106">
        <f>COPY!AR4404</f>
        <v>0</v>
      </c>
      <c r="C4412" s="107">
        <f>COPY!AC4404</f>
        <v>0</v>
      </c>
      <c r="D4412" s="107" t="str">
        <f>IF(LEN(Table1722[[#This Row],[Uraian]])&gt;2,1," ")</f>
        <v xml:space="preserve"> </v>
      </c>
      <c r="E4412" s="113" t="str">
        <f>IF(Table1722[[#This Row],[Lawan Transaksi]]="CV AGUNG KARYA",COUNTIF($I$10:I4412,"CV AGUNG KARYA")," ")</f>
        <v xml:space="preserve"> </v>
      </c>
      <c r="F4412" s="107" t="str">
        <f>IF(LEN(Table1722[[#This Row],[Uraian]])&gt;2,TRIM(RIGHT(SUBSTITUTE(TRIM(C4412)," ",REPT(" ",255)),255))," ")</f>
        <v xml:space="preserve"> </v>
      </c>
      <c r="G4412" s="110">
        <f>COPY!Z4404</f>
        <v>0</v>
      </c>
      <c r="H4412" s="111" t="str">
        <f>IFERROR(VLOOKUP(Table1722[[#This Row],[Bukti]],'Un nOTA'!$A$4:$K$5003,10,FALSE),"")</f>
        <v/>
      </c>
      <c r="I4412" s="123" t="str">
        <f>IFERROR(VLOOKUP(Table1722[[#This Row],[Bukti]],Table13[#Data],11,FALSE),"")</f>
        <v/>
      </c>
    </row>
    <row r="4413" spans="1:9" hidden="1" x14ac:dyDescent="0.2">
      <c r="A4413" s="105" t="str">
        <f>IF(D4413=1,COUNTIF($D$10:D4413,1)," ")</f>
        <v xml:space="preserve"> </v>
      </c>
      <c r="B4413" s="106">
        <f>COPY!AR4405</f>
        <v>0</v>
      </c>
      <c r="C4413" s="107">
        <f>COPY!AC4405</f>
        <v>0</v>
      </c>
      <c r="D4413" s="107" t="str">
        <f>IF(LEN(Table1722[[#This Row],[Uraian]])&gt;2,1," ")</f>
        <v xml:space="preserve"> </v>
      </c>
      <c r="E4413" s="113" t="str">
        <f>IF(Table1722[[#This Row],[Lawan Transaksi]]="CV AGUNG KARYA",COUNTIF($I$10:I4413,"CV AGUNG KARYA")," ")</f>
        <v xml:space="preserve"> </v>
      </c>
      <c r="F4413" s="107" t="str">
        <f>IF(LEN(Table1722[[#This Row],[Uraian]])&gt;2,TRIM(RIGHT(SUBSTITUTE(TRIM(C4413)," ",REPT(" ",255)),255))," ")</f>
        <v xml:space="preserve"> </v>
      </c>
      <c r="G4413" s="110">
        <f>COPY!Z4405</f>
        <v>0</v>
      </c>
      <c r="H4413" s="111" t="str">
        <f>IFERROR(VLOOKUP(Table1722[[#This Row],[Bukti]],'Un nOTA'!$A$4:$K$5003,10,FALSE),"")</f>
        <v/>
      </c>
      <c r="I4413" s="123" t="str">
        <f>IFERROR(VLOOKUP(Table1722[[#This Row],[Bukti]],Table13[#Data],11,FALSE),"")</f>
        <v/>
      </c>
    </row>
    <row r="4414" spans="1:9" hidden="1" x14ac:dyDescent="0.2">
      <c r="A4414" s="105" t="str">
        <f>IF(D4414=1,COUNTIF($D$10:D4414,1)," ")</f>
        <v xml:space="preserve"> </v>
      </c>
      <c r="B4414" s="106">
        <f>COPY!AR4406</f>
        <v>0</v>
      </c>
      <c r="C4414" s="107">
        <f>COPY!AC4406</f>
        <v>0</v>
      </c>
      <c r="D4414" s="107" t="str">
        <f>IF(LEN(Table1722[[#This Row],[Uraian]])&gt;2,1," ")</f>
        <v xml:space="preserve"> </v>
      </c>
      <c r="E4414" s="113" t="str">
        <f>IF(Table1722[[#This Row],[Lawan Transaksi]]="CV AGUNG KARYA",COUNTIF($I$10:I4414,"CV AGUNG KARYA")," ")</f>
        <v xml:space="preserve"> </v>
      </c>
      <c r="F4414" s="107" t="str">
        <f>IF(LEN(Table1722[[#This Row],[Uraian]])&gt;2,TRIM(RIGHT(SUBSTITUTE(TRIM(C4414)," ",REPT(" ",255)),255))," ")</f>
        <v xml:space="preserve"> </v>
      </c>
      <c r="G4414" s="110">
        <f>COPY!Z4406</f>
        <v>0</v>
      </c>
      <c r="H4414" s="111" t="str">
        <f>IFERROR(VLOOKUP(Table1722[[#This Row],[Bukti]],'Un nOTA'!$A$4:$K$5003,10,FALSE),"")</f>
        <v/>
      </c>
      <c r="I4414" s="123" t="str">
        <f>IFERROR(VLOOKUP(Table1722[[#This Row],[Bukti]],Table13[#Data],11,FALSE),"")</f>
        <v/>
      </c>
    </row>
    <row r="4415" spans="1:9" hidden="1" x14ac:dyDescent="0.2">
      <c r="A4415" s="105" t="str">
        <f>IF(D4415=1,COUNTIF($D$10:D4415,1)," ")</f>
        <v xml:space="preserve"> </v>
      </c>
      <c r="B4415" s="106">
        <f>COPY!AR4407</f>
        <v>0</v>
      </c>
      <c r="C4415" s="107">
        <f>COPY!AC4407</f>
        <v>0</v>
      </c>
      <c r="D4415" s="107" t="str">
        <f>IF(LEN(Table1722[[#This Row],[Uraian]])&gt;2,1," ")</f>
        <v xml:space="preserve"> </v>
      </c>
      <c r="E4415" s="113" t="str">
        <f>IF(Table1722[[#This Row],[Lawan Transaksi]]="CV AGUNG KARYA",COUNTIF($I$10:I4415,"CV AGUNG KARYA")," ")</f>
        <v xml:space="preserve"> </v>
      </c>
      <c r="F4415" s="107" t="str">
        <f>IF(LEN(Table1722[[#This Row],[Uraian]])&gt;2,TRIM(RIGHT(SUBSTITUTE(TRIM(C4415)," ",REPT(" ",255)),255))," ")</f>
        <v xml:space="preserve"> </v>
      </c>
      <c r="G4415" s="110">
        <f>COPY!Z4407</f>
        <v>0</v>
      </c>
      <c r="H4415" s="111" t="str">
        <f>IFERROR(VLOOKUP(Table1722[[#This Row],[Bukti]],'Un nOTA'!$A$4:$K$5003,10,FALSE),"")</f>
        <v/>
      </c>
      <c r="I4415" s="123" t="str">
        <f>IFERROR(VLOOKUP(Table1722[[#This Row],[Bukti]],Table13[#Data],11,FALSE),"")</f>
        <v/>
      </c>
    </row>
    <row r="4416" spans="1:9" hidden="1" x14ac:dyDescent="0.2">
      <c r="A4416" s="105" t="str">
        <f>IF(D4416=1,COUNTIF($D$10:D4416,1)," ")</f>
        <v xml:space="preserve"> </v>
      </c>
      <c r="B4416" s="106">
        <f>COPY!AR4408</f>
        <v>0</v>
      </c>
      <c r="C4416" s="107">
        <f>COPY!AC4408</f>
        <v>0</v>
      </c>
      <c r="D4416" s="107" t="str">
        <f>IF(LEN(Table1722[[#This Row],[Uraian]])&gt;2,1," ")</f>
        <v xml:space="preserve"> </v>
      </c>
      <c r="E4416" s="113" t="str">
        <f>IF(Table1722[[#This Row],[Lawan Transaksi]]="CV AGUNG KARYA",COUNTIF($I$10:I4416,"CV AGUNG KARYA")," ")</f>
        <v xml:space="preserve"> </v>
      </c>
      <c r="F4416" s="107" t="str">
        <f>IF(LEN(Table1722[[#This Row],[Uraian]])&gt;2,TRIM(RIGHT(SUBSTITUTE(TRIM(C4416)," ",REPT(" ",255)),255))," ")</f>
        <v xml:space="preserve"> </v>
      </c>
      <c r="G4416" s="110">
        <f>COPY!Z4408</f>
        <v>0</v>
      </c>
      <c r="H4416" s="111" t="str">
        <f>IFERROR(VLOOKUP(Table1722[[#This Row],[Bukti]],'Un nOTA'!$A$4:$K$5003,10,FALSE),"")</f>
        <v/>
      </c>
      <c r="I4416" s="123" t="str">
        <f>IFERROR(VLOOKUP(Table1722[[#This Row],[Bukti]],Table13[#Data],11,FALSE),"")</f>
        <v/>
      </c>
    </row>
    <row r="4417" spans="1:9" hidden="1" x14ac:dyDescent="0.2">
      <c r="A4417" s="105" t="str">
        <f>IF(D4417=1,COUNTIF($D$10:D4417,1)," ")</f>
        <v xml:space="preserve"> </v>
      </c>
      <c r="B4417" s="106">
        <f>COPY!AR4409</f>
        <v>0</v>
      </c>
      <c r="C4417" s="107">
        <f>COPY!AC4409</f>
        <v>0</v>
      </c>
      <c r="D4417" s="107" t="str">
        <f>IF(LEN(Table1722[[#This Row],[Uraian]])&gt;2,1," ")</f>
        <v xml:space="preserve"> </v>
      </c>
      <c r="E4417" s="113" t="str">
        <f>IF(Table1722[[#This Row],[Lawan Transaksi]]="CV AGUNG KARYA",COUNTIF($I$10:I4417,"CV AGUNG KARYA")," ")</f>
        <v xml:space="preserve"> </v>
      </c>
      <c r="F4417" s="107" t="str">
        <f>IF(LEN(Table1722[[#This Row],[Uraian]])&gt;2,TRIM(RIGHT(SUBSTITUTE(TRIM(C4417)," ",REPT(" ",255)),255))," ")</f>
        <v xml:space="preserve"> </v>
      </c>
      <c r="G4417" s="110">
        <f>COPY!Z4409</f>
        <v>0</v>
      </c>
      <c r="H4417" s="111" t="str">
        <f>IFERROR(VLOOKUP(Table1722[[#This Row],[Bukti]],'Un nOTA'!$A$4:$K$5003,10,FALSE),"")</f>
        <v/>
      </c>
      <c r="I4417" s="123" t="str">
        <f>IFERROR(VLOOKUP(Table1722[[#This Row],[Bukti]],Table13[#Data],11,FALSE),"")</f>
        <v/>
      </c>
    </row>
    <row r="4418" spans="1:9" hidden="1" x14ac:dyDescent="0.2">
      <c r="A4418" s="105" t="str">
        <f>IF(D4418=1,COUNTIF($D$10:D4418,1)," ")</f>
        <v xml:space="preserve"> </v>
      </c>
      <c r="B4418" s="106">
        <f>COPY!AR4410</f>
        <v>0</v>
      </c>
      <c r="C4418" s="107">
        <f>COPY!AC4410</f>
        <v>0</v>
      </c>
      <c r="D4418" s="107" t="str">
        <f>IF(LEN(Table1722[[#This Row],[Uraian]])&gt;2,1," ")</f>
        <v xml:space="preserve"> </v>
      </c>
      <c r="E4418" s="113" t="str">
        <f>IF(Table1722[[#This Row],[Lawan Transaksi]]="CV AGUNG KARYA",COUNTIF($I$10:I4418,"CV AGUNG KARYA")," ")</f>
        <v xml:space="preserve"> </v>
      </c>
      <c r="F4418" s="107" t="str">
        <f>IF(LEN(Table1722[[#This Row],[Uraian]])&gt;2,TRIM(RIGHT(SUBSTITUTE(TRIM(C4418)," ",REPT(" ",255)),255))," ")</f>
        <v xml:space="preserve"> </v>
      </c>
      <c r="G4418" s="110">
        <f>COPY!Z4410</f>
        <v>0</v>
      </c>
      <c r="H4418" s="111" t="str">
        <f>IFERROR(VLOOKUP(Table1722[[#This Row],[Bukti]],'Un nOTA'!$A$4:$K$5003,10,FALSE),"")</f>
        <v/>
      </c>
      <c r="I4418" s="123" t="str">
        <f>IFERROR(VLOOKUP(Table1722[[#This Row],[Bukti]],Table13[#Data],11,FALSE),"")</f>
        <v/>
      </c>
    </row>
    <row r="4419" spans="1:9" hidden="1" x14ac:dyDescent="0.2">
      <c r="A4419" s="105" t="str">
        <f>IF(D4419=1,COUNTIF($D$10:D4419,1)," ")</f>
        <v xml:space="preserve"> </v>
      </c>
      <c r="B4419" s="106">
        <f>COPY!AR4411</f>
        <v>0</v>
      </c>
      <c r="C4419" s="107">
        <f>COPY!AC4411</f>
        <v>0</v>
      </c>
      <c r="D4419" s="107" t="str">
        <f>IF(LEN(Table1722[[#This Row],[Uraian]])&gt;2,1," ")</f>
        <v xml:space="preserve"> </v>
      </c>
      <c r="E4419" s="113" t="str">
        <f>IF(Table1722[[#This Row],[Lawan Transaksi]]="CV AGUNG KARYA",COUNTIF($I$10:I4419,"CV AGUNG KARYA")," ")</f>
        <v xml:space="preserve"> </v>
      </c>
      <c r="F4419" s="107" t="str">
        <f>IF(LEN(Table1722[[#This Row],[Uraian]])&gt;2,TRIM(RIGHT(SUBSTITUTE(TRIM(C4419)," ",REPT(" ",255)),255))," ")</f>
        <v xml:space="preserve"> </v>
      </c>
      <c r="G4419" s="110">
        <f>COPY!Z4411</f>
        <v>0</v>
      </c>
      <c r="H4419" s="111" t="str">
        <f>IFERROR(VLOOKUP(Table1722[[#This Row],[Bukti]],'Un nOTA'!$A$4:$K$5003,10,FALSE),"")</f>
        <v/>
      </c>
      <c r="I4419" s="123" t="str">
        <f>IFERROR(VLOOKUP(Table1722[[#This Row],[Bukti]],Table13[#Data],11,FALSE),"")</f>
        <v/>
      </c>
    </row>
    <row r="4420" spans="1:9" hidden="1" x14ac:dyDescent="0.2">
      <c r="A4420" s="105" t="str">
        <f>IF(D4420=1,COUNTIF($D$10:D4420,1)," ")</f>
        <v xml:space="preserve"> </v>
      </c>
      <c r="B4420" s="106">
        <f>COPY!AR4412</f>
        <v>0</v>
      </c>
      <c r="C4420" s="107">
        <f>COPY!AC4412</f>
        <v>0</v>
      </c>
      <c r="D4420" s="107" t="str">
        <f>IF(LEN(Table1722[[#This Row],[Uraian]])&gt;2,1," ")</f>
        <v xml:space="preserve"> </v>
      </c>
      <c r="E4420" s="113" t="str">
        <f>IF(Table1722[[#This Row],[Lawan Transaksi]]="CV AGUNG KARYA",COUNTIF($I$10:I4420,"CV AGUNG KARYA")," ")</f>
        <v xml:space="preserve"> </v>
      </c>
      <c r="F4420" s="107" t="str">
        <f>IF(LEN(Table1722[[#This Row],[Uraian]])&gt;2,TRIM(RIGHT(SUBSTITUTE(TRIM(C4420)," ",REPT(" ",255)),255))," ")</f>
        <v xml:space="preserve"> </v>
      </c>
      <c r="G4420" s="110">
        <f>COPY!Z4412</f>
        <v>0</v>
      </c>
      <c r="H4420" s="111" t="str">
        <f>IFERROR(VLOOKUP(Table1722[[#This Row],[Bukti]],'Un nOTA'!$A$4:$K$5003,10,FALSE),"")</f>
        <v/>
      </c>
      <c r="I4420" s="123" t="str">
        <f>IFERROR(VLOOKUP(Table1722[[#This Row],[Bukti]],Table13[#Data],11,FALSE),"")</f>
        <v/>
      </c>
    </row>
    <row r="4421" spans="1:9" hidden="1" x14ac:dyDescent="0.2">
      <c r="A4421" s="105" t="str">
        <f>IF(D4421=1,COUNTIF($D$10:D4421,1)," ")</f>
        <v xml:space="preserve"> </v>
      </c>
      <c r="B4421" s="106">
        <f>COPY!AR4413</f>
        <v>0</v>
      </c>
      <c r="C4421" s="107">
        <f>COPY!AC4413</f>
        <v>0</v>
      </c>
      <c r="D4421" s="107" t="str">
        <f>IF(LEN(Table1722[[#This Row],[Uraian]])&gt;2,1," ")</f>
        <v xml:space="preserve"> </v>
      </c>
      <c r="E4421" s="113" t="str">
        <f>IF(Table1722[[#This Row],[Lawan Transaksi]]="CV AGUNG KARYA",COUNTIF($I$10:I4421,"CV AGUNG KARYA")," ")</f>
        <v xml:space="preserve"> </v>
      </c>
      <c r="F4421" s="107" t="str">
        <f>IF(LEN(Table1722[[#This Row],[Uraian]])&gt;2,TRIM(RIGHT(SUBSTITUTE(TRIM(C4421)," ",REPT(" ",255)),255))," ")</f>
        <v xml:space="preserve"> </v>
      </c>
      <c r="G4421" s="110">
        <f>COPY!Z4413</f>
        <v>0</v>
      </c>
      <c r="H4421" s="111" t="str">
        <f>IFERROR(VLOOKUP(Table1722[[#This Row],[Bukti]],'Un nOTA'!$A$4:$K$5003,10,FALSE),"")</f>
        <v/>
      </c>
      <c r="I4421" s="123" t="str">
        <f>IFERROR(VLOOKUP(Table1722[[#This Row],[Bukti]],Table13[#Data],11,FALSE),"")</f>
        <v/>
      </c>
    </row>
    <row r="4422" spans="1:9" hidden="1" x14ac:dyDescent="0.2">
      <c r="A4422" s="105" t="str">
        <f>IF(D4422=1,COUNTIF($D$10:D4422,1)," ")</f>
        <v xml:space="preserve"> </v>
      </c>
      <c r="B4422" s="106">
        <f>COPY!AR4414</f>
        <v>0</v>
      </c>
      <c r="C4422" s="107">
        <f>COPY!AC4414</f>
        <v>0</v>
      </c>
      <c r="D4422" s="107" t="str">
        <f>IF(LEN(Table1722[[#This Row],[Uraian]])&gt;2,1," ")</f>
        <v xml:space="preserve"> </v>
      </c>
      <c r="E4422" s="113" t="str">
        <f>IF(Table1722[[#This Row],[Lawan Transaksi]]="CV AGUNG KARYA",COUNTIF($I$10:I4422,"CV AGUNG KARYA")," ")</f>
        <v xml:space="preserve"> </v>
      </c>
      <c r="F4422" s="107" t="str">
        <f>IF(LEN(Table1722[[#This Row],[Uraian]])&gt;2,TRIM(RIGHT(SUBSTITUTE(TRIM(C4422)," ",REPT(" ",255)),255))," ")</f>
        <v xml:space="preserve"> </v>
      </c>
      <c r="G4422" s="110">
        <f>COPY!Z4414</f>
        <v>0</v>
      </c>
      <c r="H4422" s="111" t="str">
        <f>IFERROR(VLOOKUP(Table1722[[#This Row],[Bukti]],'Un nOTA'!$A$4:$K$5003,10,FALSE),"")</f>
        <v/>
      </c>
      <c r="I4422" s="123" t="str">
        <f>IFERROR(VLOOKUP(Table1722[[#This Row],[Bukti]],Table13[#Data],11,FALSE),"")</f>
        <v/>
      </c>
    </row>
    <row r="4423" spans="1:9" hidden="1" x14ac:dyDescent="0.2">
      <c r="A4423" s="105" t="str">
        <f>IF(D4423=1,COUNTIF($D$10:D4423,1)," ")</f>
        <v xml:space="preserve"> </v>
      </c>
      <c r="B4423" s="106">
        <f>COPY!AR4415</f>
        <v>0</v>
      </c>
      <c r="C4423" s="107">
        <f>COPY!AC4415</f>
        <v>0</v>
      </c>
      <c r="D4423" s="107" t="str">
        <f>IF(LEN(Table1722[[#This Row],[Uraian]])&gt;2,1," ")</f>
        <v xml:space="preserve"> </v>
      </c>
      <c r="E4423" s="113" t="str">
        <f>IF(Table1722[[#This Row],[Lawan Transaksi]]="CV AGUNG KARYA",COUNTIF($I$10:I4423,"CV AGUNG KARYA")," ")</f>
        <v xml:space="preserve"> </v>
      </c>
      <c r="F4423" s="107" t="str">
        <f>IF(LEN(Table1722[[#This Row],[Uraian]])&gt;2,TRIM(RIGHT(SUBSTITUTE(TRIM(C4423)," ",REPT(" ",255)),255))," ")</f>
        <v xml:space="preserve"> </v>
      </c>
      <c r="G4423" s="110">
        <f>COPY!Z4415</f>
        <v>0</v>
      </c>
      <c r="H4423" s="111" t="str">
        <f>IFERROR(VLOOKUP(Table1722[[#This Row],[Bukti]],'Un nOTA'!$A$4:$K$5003,10,FALSE),"")</f>
        <v/>
      </c>
      <c r="I4423" s="123" t="str">
        <f>IFERROR(VLOOKUP(Table1722[[#This Row],[Bukti]],Table13[#Data],11,FALSE),"")</f>
        <v/>
      </c>
    </row>
    <row r="4424" spans="1:9" hidden="1" x14ac:dyDescent="0.2">
      <c r="A4424" s="105" t="str">
        <f>IF(D4424=1,COUNTIF($D$10:D4424,1)," ")</f>
        <v xml:space="preserve"> </v>
      </c>
      <c r="B4424" s="106">
        <f>COPY!AR4416</f>
        <v>0</v>
      </c>
      <c r="C4424" s="107">
        <f>COPY!AC4416</f>
        <v>0</v>
      </c>
      <c r="D4424" s="107" t="str">
        <f>IF(LEN(Table1722[[#This Row],[Uraian]])&gt;2,1," ")</f>
        <v xml:space="preserve"> </v>
      </c>
      <c r="E4424" s="113" t="str">
        <f>IF(Table1722[[#This Row],[Lawan Transaksi]]="CV AGUNG KARYA",COUNTIF($I$10:I4424,"CV AGUNG KARYA")," ")</f>
        <v xml:space="preserve"> </v>
      </c>
      <c r="F4424" s="107" t="str">
        <f>IF(LEN(Table1722[[#This Row],[Uraian]])&gt;2,TRIM(RIGHT(SUBSTITUTE(TRIM(C4424)," ",REPT(" ",255)),255))," ")</f>
        <v xml:space="preserve"> </v>
      </c>
      <c r="G4424" s="110">
        <f>COPY!Z4416</f>
        <v>0</v>
      </c>
      <c r="H4424" s="111" t="str">
        <f>IFERROR(VLOOKUP(Table1722[[#This Row],[Bukti]],'Un nOTA'!$A$4:$K$5003,10,FALSE),"")</f>
        <v/>
      </c>
      <c r="I4424" s="123" t="str">
        <f>IFERROR(VLOOKUP(Table1722[[#This Row],[Bukti]],Table13[#Data],11,FALSE),"")</f>
        <v/>
      </c>
    </row>
    <row r="4425" spans="1:9" hidden="1" x14ac:dyDescent="0.2">
      <c r="A4425" s="105" t="str">
        <f>IF(D4425=1,COUNTIF($D$10:D4425,1)," ")</f>
        <v xml:space="preserve"> </v>
      </c>
      <c r="B4425" s="106">
        <f>COPY!AR4417</f>
        <v>0</v>
      </c>
      <c r="C4425" s="107">
        <f>COPY!AC4417</f>
        <v>0</v>
      </c>
      <c r="D4425" s="107" t="str">
        <f>IF(LEN(Table1722[[#This Row],[Uraian]])&gt;2,1," ")</f>
        <v xml:space="preserve"> </v>
      </c>
      <c r="E4425" s="113" t="str">
        <f>IF(Table1722[[#This Row],[Lawan Transaksi]]="CV AGUNG KARYA",COUNTIF($I$10:I4425,"CV AGUNG KARYA")," ")</f>
        <v xml:space="preserve"> </v>
      </c>
      <c r="F4425" s="107" t="str">
        <f>IF(LEN(Table1722[[#This Row],[Uraian]])&gt;2,TRIM(RIGHT(SUBSTITUTE(TRIM(C4425)," ",REPT(" ",255)),255))," ")</f>
        <v xml:space="preserve"> </v>
      </c>
      <c r="G4425" s="110">
        <f>COPY!Z4417</f>
        <v>0</v>
      </c>
      <c r="H4425" s="111" t="str">
        <f>IFERROR(VLOOKUP(Table1722[[#This Row],[Bukti]],'Un nOTA'!$A$4:$K$5003,10,FALSE),"")</f>
        <v/>
      </c>
      <c r="I4425" s="123" t="str">
        <f>IFERROR(VLOOKUP(Table1722[[#This Row],[Bukti]],Table13[#Data],11,FALSE),"")</f>
        <v/>
      </c>
    </row>
    <row r="4426" spans="1:9" hidden="1" x14ac:dyDescent="0.2">
      <c r="A4426" s="105" t="str">
        <f>IF(D4426=1,COUNTIF($D$10:D4426,1)," ")</f>
        <v xml:space="preserve"> </v>
      </c>
      <c r="B4426" s="106">
        <f>COPY!AR4418</f>
        <v>0</v>
      </c>
      <c r="C4426" s="107">
        <f>COPY!AC4418</f>
        <v>0</v>
      </c>
      <c r="D4426" s="107" t="str">
        <f>IF(LEN(Table1722[[#This Row],[Uraian]])&gt;2,1," ")</f>
        <v xml:space="preserve"> </v>
      </c>
      <c r="E4426" s="113" t="str">
        <f>IF(Table1722[[#This Row],[Lawan Transaksi]]="CV AGUNG KARYA",COUNTIF($I$10:I4426,"CV AGUNG KARYA")," ")</f>
        <v xml:space="preserve"> </v>
      </c>
      <c r="F4426" s="107" t="str">
        <f>IF(LEN(Table1722[[#This Row],[Uraian]])&gt;2,TRIM(RIGHT(SUBSTITUTE(TRIM(C4426)," ",REPT(" ",255)),255))," ")</f>
        <v xml:space="preserve"> </v>
      </c>
      <c r="G4426" s="110">
        <f>COPY!Z4418</f>
        <v>0</v>
      </c>
      <c r="H4426" s="111" t="str">
        <f>IFERROR(VLOOKUP(Table1722[[#This Row],[Bukti]],'Un nOTA'!$A$4:$K$5003,10,FALSE),"")</f>
        <v/>
      </c>
      <c r="I4426" s="123" t="str">
        <f>IFERROR(VLOOKUP(Table1722[[#This Row],[Bukti]],Table13[#Data],11,FALSE),"")</f>
        <v/>
      </c>
    </row>
    <row r="4427" spans="1:9" hidden="1" x14ac:dyDescent="0.2">
      <c r="A4427" s="105" t="str">
        <f>IF(D4427=1,COUNTIF($D$10:D4427,1)," ")</f>
        <v xml:space="preserve"> </v>
      </c>
      <c r="B4427" s="106">
        <f>COPY!AR4419</f>
        <v>0</v>
      </c>
      <c r="C4427" s="107">
        <f>COPY!AC4419</f>
        <v>0</v>
      </c>
      <c r="D4427" s="107" t="str">
        <f>IF(LEN(Table1722[[#This Row],[Uraian]])&gt;2,1," ")</f>
        <v xml:space="preserve"> </v>
      </c>
      <c r="E4427" s="113" t="str">
        <f>IF(Table1722[[#This Row],[Lawan Transaksi]]="CV AGUNG KARYA",COUNTIF($I$10:I4427,"CV AGUNG KARYA")," ")</f>
        <v xml:space="preserve"> </v>
      </c>
      <c r="F4427" s="107" t="str">
        <f>IF(LEN(Table1722[[#This Row],[Uraian]])&gt;2,TRIM(RIGHT(SUBSTITUTE(TRIM(C4427)," ",REPT(" ",255)),255))," ")</f>
        <v xml:space="preserve"> </v>
      </c>
      <c r="G4427" s="110">
        <f>COPY!Z4419</f>
        <v>0</v>
      </c>
      <c r="H4427" s="111" t="str">
        <f>IFERROR(VLOOKUP(Table1722[[#This Row],[Bukti]],'Un nOTA'!$A$4:$K$5003,10,FALSE),"")</f>
        <v/>
      </c>
      <c r="I4427" s="123" t="str">
        <f>IFERROR(VLOOKUP(Table1722[[#This Row],[Bukti]],Table13[#Data],11,FALSE),"")</f>
        <v/>
      </c>
    </row>
    <row r="4428" spans="1:9" hidden="1" x14ac:dyDescent="0.2">
      <c r="A4428" s="105" t="str">
        <f>IF(D4428=1,COUNTIF($D$10:D4428,1)," ")</f>
        <v xml:space="preserve"> </v>
      </c>
      <c r="B4428" s="106">
        <f>COPY!AR4420</f>
        <v>0</v>
      </c>
      <c r="C4428" s="107">
        <f>COPY!AC4420</f>
        <v>0</v>
      </c>
      <c r="D4428" s="107" t="str">
        <f>IF(LEN(Table1722[[#This Row],[Uraian]])&gt;2,1," ")</f>
        <v xml:space="preserve"> </v>
      </c>
      <c r="E4428" s="113" t="str">
        <f>IF(Table1722[[#This Row],[Lawan Transaksi]]="CV AGUNG KARYA",COUNTIF($I$10:I4428,"CV AGUNG KARYA")," ")</f>
        <v xml:space="preserve"> </v>
      </c>
      <c r="F4428" s="107" t="str">
        <f>IF(LEN(Table1722[[#This Row],[Uraian]])&gt;2,TRIM(RIGHT(SUBSTITUTE(TRIM(C4428)," ",REPT(" ",255)),255))," ")</f>
        <v xml:space="preserve"> </v>
      </c>
      <c r="G4428" s="110">
        <f>COPY!Z4420</f>
        <v>0</v>
      </c>
      <c r="H4428" s="111" t="str">
        <f>IFERROR(VLOOKUP(Table1722[[#This Row],[Bukti]],'Un nOTA'!$A$4:$K$5003,10,FALSE),"")</f>
        <v/>
      </c>
      <c r="I4428" s="123" t="str">
        <f>IFERROR(VLOOKUP(Table1722[[#This Row],[Bukti]],Table13[#Data],11,FALSE),"")</f>
        <v/>
      </c>
    </row>
    <row r="4429" spans="1:9" hidden="1" x14ac:dyDescent="0.2">
      <c r="A4429" s="105" t="str">
        <f>IF(D4429=1,COUNTIF($D$10:D4429,1)," ")</f>
        <v xml:space="preserve"> </v>
      </c>
      <c r="B4429" s="106">
        <f>COPY!AR4421</f>
        <v>0</v>
      </c>
      <c r="C4429" s="107">
        <f>COPY!AC4421</f>
        <v>0</v>
      </c>
      <c r="D4429" s="107" t="str">
        <f>IF(LEN(Table1722[[#This Row],[Uraian]])&gt;2,1," ")</f>
        <v xml:space="preserve"> </v>
      </c>
      <c r="E4429" s="113" t="str">
        <f>IF(Table1722[[#This Row],[Lawan Transaksi]]="CV AGUNG KARYA",COUNTIF($I$10:I4429,"CV AGUNG KARYA")," ")</f>
        <v xml:space="preserve"> </v>
      </c>
      <c r="F4429" s="107" t="str">
        <f>IF(LEN(Table1722[[#This Row],[Uraian]])&gt;2,TRIM(RIGHT(SUBSTITUTE(TRIM(C4429)," ",REPT(" ",255)),255))," ")</f>
        <v xml:space="preserve"> </v>
      </c>
      <c r="G4429" s="110">
        <f>COPY!Z4421</f>
        <v>0</v>
      </c>
      <c r="H4429" s="111" t="str">
        <f>IFERROR(VLOOKUP(Table1722[[#This Row],[Bukti]],'Un nOTA'!$A$4:$K$5003,10,FALSE),"")</f>
        <v/>
      </c>
      <c r="I4429" s="123" t="str">
        <f>IFERROR(VLOOKUP(Table1722[[#This Row],[Bukti]],Table13[#Data],11,FALSE),"")</f>
        <v/>
      </c>
    </row>
    <row r="4430" spans="1:9" hidden="1" x14ac:dyDescent="0.2">
      <c r="A4430" s="105" t="str">
        <f>IF(D4430=1,COUNTIF($D$10:D4430,1)," ")</f>
        <v xml:space="preserve"> </v>
      </c>
      <c r="B4430" s="106">
        <f>COPY!AR4422</f>
        <v>0</v>
      </c>
      <c r="C4430" s="107">
        <f>COPY!AC4422</f>
        <v>0</v>
      </c>
      <c r="D4430" s="107" t="str">
        <f>IF(LEN(Table1722[[#This Row],[Uraian]])&gt;2,1," ")</f>
        <v xml:space="preserve"> </v>
      </c>
      <c r="E4430" s="113" t="str">
        <f>IF(Table1722[[#This Row],[Lawan Transaksi]]="CV AGUNG KARYA",COUNTIF($I$10:I4430,"CV AGUNG KARYA")," ")</f>
        <v xml:space="preserve"> </v>
      </c>
      <c r="F4430" s="107" t="str">
        <f>IF(LEN(Table1722[[#This Row],[Uraian]])&gt;2,TRIM(RIGHT(SUBSTITUTE(TRIM(C4430)," ",REPT(" ",255)),255))," ")</f>
        <v xml:space="preserve"> </v>
      </c>
      <c r="G4430" s="110">
        <f>COPY!Z4422</f>
        <v>0</v>
      </c>
      <c r="H4430" s="111" t="str">
        <f>IFERROR(VLOOKUP(Table1722[[#This Row],[Bukti]],'Un nOTA'!$A$4:$K$5003,10,FALSE),"")</f>
        <v/>
      </c>
      <c r="I4430" s="123" t="str">
        <f>IFERROR(VLOOKUP(Table1722[[#This Row],[Bukti]],Table13[#Data],11,FALSE),"")</f>
        <v/>
      </c>
    </row>
    <row r="4431" spans="1:9" hidden="1" x14ac:dyDescent="0.2">
      <c r="A4431" s="105" t="str">
        <f>IF(D4431=1,COUNTIF($D$10:D4431,1)," ")</f>
        <v xml:space="preserve"> </v>
      </c>
      <c r="B4431" s="106">
        <f>COPY!AR4423</f>
        <v>0</v>
      </c>
      <c r="C4431" s="107">
        <f>COPY!AC4423</f>
        <v>0</v>
      </c>
      <c r="D4431" s="107" t="str">
        <f>IF(LEN(Table1722[[#This Row],[Uraian]])&gt;2,1," ")</f>
        <v xml:space="preserve"> </v>
      </c>
      <c r="E4431" s="113" t="str">
        <f>IF(Table1722[[#This Row],[Lawan Transaksi]]="CV AGUNG KARYA",COUNTIF($I$10:I4431,"CV AGUNG KARYA")," ")</f>
        <v xml:space="preserve"> </v>
      </c>
      <c r="F4431" s="107" t="str">
        <f>IF(LEN(Table1722[[#This Row],[Uraian]])&gt;2,TRIM(RIGHT(SUBSTITUTE(TRIM(C4431)," ",REPT(" ",255)),255))," ")</f>
        <v xml:space="preserve"> </v>
      </c>
      <c r="G4431" s="110">
        <f>COPY!Z4423</f>
        <v>0</v>
      </c>
      <c r="H4431" s="111" t="str">
        <f>IFERROR(VLOOKUP(Table1722[[#This Row],[Bukti]],'Un nOTA'!$A$4:$K$5003,10,FALSE),"")</f>
        <v/>
      </c>
      <c r="I4431" s="123" t="str">
        <f>IFERROR(VLOOKUP(Table1722[[#This Row],[Bukti]],Table13[#Data],11,FALSE),"")</f>
        <v/>
      </c>
    </row>
    <row r="4432" spans="1:9" hidden="1" x14ac:dyDescent="0.2">
      <c r="A4432" s="105" t="str">
        <f>IF(D4432=1,COUNTIF($D$10:D4432,1)," ")</f>
        <v xml:space="preserve"> </v>
      </c>
      <c r="B4432" s="106">
        <f>COPY!AR4424</f>
        <v>0</v>
      </c>
      <c r="C4432" s="107">
        <f>COPY!AC4424</f>
        <v>0</v>
      </c>
      <c r="D4432" s="107" t="str">
        <f>IF(LEN(Table1722[[#This Row],[Uraian]])&gt;2,1," ")</f>
        <v xml:space="preserve"> </v>
      </c>
      <c r="E4432" s="113" t="str">
        <f>IF(Table1722[[#This Row],[Lawan Transaksi]]="CV AGUNG KARYA",COUNTIF($I$10:I4432,"CV AGUNG KARYA")," ")</f>
        <v xml:space="preserve"> </v>
      </c>
      <c r="F4432" s="107" t="str">
        <f>IF(LEN(Table1722[[#This Row],[Uraian]])&gt;2,TRIM(RIGHT(SUBSTITUTE(TRIM(C4432)," ",REPT(" ",255)),255))," ")</f>
        <v xml:space="preserve"> </v>
      </c>
      <c r="G4432" s="110">
        <f>COPY!Z4424</f>
        <v>0</v>
      </c>
      <c r="H4432" s="111" t="str">
        <f>IFERROR(VLOOKUP(Table1722[[#This Row],[Bukti]],'Un nOTA'!$A$4:$K$5003,10,FALSE),"")</f>
        <v/>
      </c>
      <c r="I4432" s="123" t="str">
        <f>IFERROR(VLOOKUP(Table1722[[#This Row],[Bukti]],Table13[#Data],11,FALSE),"")</f>
        <v/>
      </c>
    </row>
    <row r="4433" spans="1:9" hidden="1" x14ac:dyDescent="0.2">
      <c r="A4433" s="105" t="str">
        <f>IF(D4433=1,COUNTIF($D$10:D4433,1)," ")</f>
        <v xml:space="preserve"> </v>
      </c>
      <c r="B4433" s="106">
        <f>COPY!AR4425</f>
        <v>0</v>
      </c>
      <c r="C4433" s="107">
        <f>COPY!AC4425</f>
        <v>0</v>
      </c>
      <c r="D4433" s="107" t="str">
        <f>IF(LEN(Table1722[[#This Row],[Uraian]])&gt;2,1," ")</f>
        <v xml:space="preserve"> </v>
      </c>
      <c r="E4433" s="113" t="str">
        <f>IF(Table1722[[#This Row],[Lawan Transaksi]]="CV AGUNG KARYA",COUNTIF($I$10:I4433,"CV AGUNG KARYA")," ")</f>
        <v xml:space="preserve"> </v>
      </c>
      <c r="F4433" s="107" t="str">
        <f>IF(LEN(Table1722[[#This Row],[Uraian]])&gt;2,TRIM(RIGHT(SUBSTITUTE(TRIM(C4433)," ",REPT(" ",255)),255))," ")</f>
        <v xml:space="preserve"> </v>
      </c>
      <c r="G4433" s="110">
        <f>COPY!Z4425</f>
        <v>0</v>
      </c>
      <c r="H4433" s="111" t="str">
        <f>IFERROR(VLOOKUP(Table1722[[#This Row],[Bukti]],'Un nOTA'!$A$4:$K$5003,10,FALSE),"")</f>
        <v/>
      </c>
      <c r="I4433" s="123" t="str">
        <f>IFERROR(VLOOKUP(Table1722[[#This Row],[Bukti]],Table13[#Data],11,FALSE),"")</f>
        <v/>
      </c>
    </row>
    <row r="4434" spans="1:9" hidden="1" x14ac:dyDescent="0.2">
      <c r="A4434" s="105" t="str">
        <f>IF(D4434=1,COUNTIF($D$10:D4434,1)," ")</f>
        <v xml:space="preserve"> </v>
      </c>
      <c r="B4434" s="106">
        <f>COPY!AR4426</f>
        <v>0</v>
      </c>
      <c r="C4434" s="107">
        <f>COPY!AC4426</f>
        <v>0</v>
      </c>
      <c r="D4434" s="107" t="str">
        <f>IF(LEN(Table1722[[#This Row],[Uraian]])&gt;2,1," ")</f>
        <v xml:space="preserve"> </v>
      </c>
      <c r="E4434" s="113" t="str">
        <f>IF(Table1722[[#This Row],[Lawan Transaksi]]="CV AGUNG KARYA",COUNTIF($I$10:I4434,"CV AGUNG KARYA")," ")</f>
        <v xml:space="preserve"> </v>
      </c>
      <c r="F4434" s="107" t="str">
        <f>IF(LEN(Table1722[[#This Row],[Uraian]])&gt;2,TRIM(RIGHT(SUBSTITUTE(TRIM(C4434)," ",REPT(" ",255)),255))," ")</f>
        <v xml:space="preserve"> </v>
      </c>
      <c r="G4434" s="110">
        <f>COPY!Z4426</f>
        <v>0</v>
      </c>
      <c r="H4434" s="111" t="str">
        <f>IFERROR(VLOOKUP(Table1722[[#This Row],[Bukti]],'Un nOTA'!$A$4:$K$5003,10,FALSE),"")</f>
        <v/>
      </c>
      <c r="I4434" s="123" t="str">
        <f>IFERROR(VLOOKUP(Table1722[[#This Row],[Bukti]],Table13[#Data],11,FALSE),"")</f>
        <v/>
      </c>
    </row>
    <row r="4435" spans="1:9" hidden="1" x14ac:dyDescent="0.2">
      <c r="A4435" s="105" t="str">
        <f>IF(D4435=1,COUNTIF($D$10:D4435,1)," ")</f>
        <v xml:space="preserve"> </v>
      </c>
      <c r="B4435" s="106">
        <f>COPY!AR4427</f>
        <v>0</v>
      </c>
      <c r="C4435" s="107">
        <f>COPY!AC4427</f>
        <v>0</v>
      </c>
      <c r="D4435" s="107" t="str">
        <f>IF(LEN(Table1722[[#This Row],[Uraian]])&gt;2,1," ")</f>
        <v xml:space="preserve"> </v>
      </c>
      <c r="E4435" s="113" t="str">
        <f>IF(Table1722[[#This Row],[Lawan Transaksi]]="CV AGUNG KARYA",COUNTIF($I$10:I4435,"CV AGUNG KARYA")," ")</f>
        <v xml:space="preserve"> </v>
      </c>
      <c r="F4435" s="107" t="str">
        <f>IF(LEN(Table1722[[#This Row],[Uraian]])&gt;2,TRIM(RIGHT(SUBSTITUTE(TRIM(C4435)," ",REPT(" ",255)),255))," ")</f>
        <v xml:space="preserve"> </v>
      </c>
      <c r="G4435" s="110">
        <f>COPY!Z4427</f>
        <v>0</v>
      </c>
      <c r="H4435" s="111" t="str">
        <f>IFERROR(VLOOKUP(Table1722[[#This Row],[Bukti]],'Un nOTA'!$A$4:$K$5003,10,FALSE),"")</f>
        <v/>
      </c>
      <c r="I4435" s="123" t="str">
        <f>IFERROR(VLOOKUP(Table1722[[#This Row],[Bukti]],Table13[#Data],11,FALSE),"")</f>
        <v/>
      </c>
    </row>
    <row r="4436" spans="1:9" hidden="1" x14ac:dyDescent="0.2">
      <c r="A4436" s="105" t="str">
        <f>IF(D4436=1,COUNTIF($D$10:D4436,1)," ")</f>
        <v xml:space="preserve"> </v>
      </c>
      <c r="B4436" s="106">
        <f>COPY!AR4428</f>
        <v>0</v>
      </c>
      <c r="C4436" s="107">
        <f>COPY!AC4428</f>
        <v>0</v>
      </c>
      <c r="D4436" s="107" t="str">
        <f>IF(LEN(Table1722[[#This Row],[Uraian]])&gt;2,1," ")</f>
        <v xml:space="preserve"> </v>
      </c>
      <c r="E4436" s="113" t="str">
        <f>IF(Table1722[[#This Row],[Lawan Transaksi]]="CV AGUNG KARYA",COUNTIF($I$10:I4436,"CV AGUNG KARYA")," ")</f>
        <v xml:space="preserve"> </v>
      </c>
      <c r="F4436" s="107" t="str">
        <f>IF(LEN(Table1722[[#This Row],[Uraian]])&gt;2,TRIM(RIGHT(SUBSTITUTE(TRIM(C4436)," ",REPT(" ",255)),255))," ")</f>
        <v xml:space="preserve"> </v>
      </c>
      <c r="G4436" s="110">
        <f>COPY!Z4428</f>
        <v>0</v>
      </c>
      <c r="H4436" s="111" t="str">
        <f>IFERROR(VLOOKUP(Table1722[[#This Row],[Bukti]],'Un nOTA'!$A$4:$K$5003,10,FALSE),"")</f>
        <v/>
      </c>
      <c r="I4436" s="123" t="str">
        <f>IFERROR(VLOOKUP(Table1722[[#This Row],[Bukti]],Table13[#Data],11,FALSE),"")</f>
        <v/>
      </c>
    </row>
    <row r="4437" spans="1:9" hidden="1" x14ac:dyDescent="0.2">
      <c r="A4437" s="105" t="str">
        <f>IF(D4437=1,COUNTIF($D$10:D4437,1)," ")</f>
        <v xml:space="preserve"> </v>
      </c>
      <c r="B4437" s="106">
        <f>COPY!AR4429</f>
        <v>0</v>
      </c>
      <c r="C4437" s="107">
        <f>COPY!AC4429</f>
        <v>0</v>
      </c>
      <c r="D4437" s="107" t="str">
        <f>IF(LEN(Table1722[[#This Row],[Uraian]])&gt;2,1," ")</f>
        <v xml:space="preserve"> </v>
      </c>
      <c r="E4437" s="113" t="str">
        <f>IF(Table1722[[#This Row],[Lawan Transaksi]]="CV AGUNG KARYA",COUNTIF($I$10:I4437,"CV AGUNG KARYA")," ")</f>
        <v xml:space="preserve"> </v>
      </c>
      <c r="F4437" s="107" t="str">
        <f>IF(LEN(Table1722[[#This Row],[Uraian]])&gt;2,TRIM(RIGHT(SUBSTITUTE(TRIM(C4437)," ",REPT(" ",255)),255))," ")</f>
        <v xml:space="preserve"> </v>
      </c>
      <c r="G4437" s="110">
        <f>COPY!Z4429</f>
        <v>0</v>
      </c>
      <c r="H4437" s="111" t="str">
        <f>IFERROR(VLOOKUP(Table1722[[#This Row],[Bukti]],'Un nOTA'!$A$4:$K$5003,10,FALSE),"")</f>
        <v/>
      </c>
      <c r="I4437" s="123" t="str">
        <f>IFERROR(VLOOKUP(Table1722[[#This Row],[Bukti]],Table13[#Data],11,FALSE),"")</f>
        <v/>
      </c>
    </row>
    <row r="4438" spans="1:9" hidden="1" x14ac:dyDescent="0.2">
      <c r="A4438" s="105" t="str">
        <f>IF(D4438=1,COUNTIF($D$10:D4438,1)," ")</f>
        <v xml:space="preserve"> </v>
      </c>
      <c r="B4438" s="106">
        <f>COPY!AR4430</f>
        <v>0</v>
      </c>
      <c r="C4438" s="107">
        <f>COPY!AC4430</f>
        <v>0</v>
      </c>
      <c r="D4438" s="107" t="str">
        <f>IF(LEN(Table1722[[#This Row],[Uraian]])&gt;2,1," ")</f>
        <v xml:space="preserve"> </v>
      </c>
      <c r="E4438" s="113" t="str">
        <f>IF(Table1722[[#This Row],[Lawan Transaksi]]="CV AGUNG KARYA",COUNTIF($I$10:I4438,"CV AGUNG KARYA")," ")</f>
        <v xml:space="preserve"> </v>
      </c>
      <c r="F4438" s="107" t="str">
        <f>IF(LEN(Table1722[[#This Row],[Uraian]])&gt;2,TRIM(RIGHT(SUBSTITUTE(TRIM(C4438)," ",REPT(" ",255)),255))," ")</f>
        <v xml:space="preserve"> </v>
      </c>
      <c r="G4438" s="110">
        <f>COPY!Z4430</f>
        <v>0</v>
      </c>
      <c r="H4438" s="111" t="str">
        <f>IFERROR(VLOOKUP(Table1722[[#This Row],[Bukti]],'Un nOTA'!$A$4:$K$5003,10,FALSE),"")</f>
        <v/>
      </c>
      <c r="I4438" s="123" t="str">
        <f>IFERROR(VLOOKUP(Table1722[[#This Row],[Bukti]],Table13[#Data],11,FALSE),"")</f>
        <v/>
      </c>
    </row>
    <row r="4439" spans="1:9" hidden="1" x14ac:dyDescent="0.2">
      <c r="A4439" s="105" t="str">
        <f>IF(D4439=1,COUNTIF($D$10:D4439,1)," ")</f>
        <v xml:space="preserve"> </v>
      </c>
      <c r="B4439" s="106">
        <f>COPY!AR4431</f>
        <v>0</v>
      </c>
      <c r="C4439" s="107">
        <f>COPY!AC4431</f>
        <v>0</v>
      </c>
      <c r="D4439" s="107" t="str">
        <f>IF(LEN(Table1722[[#This Row],[Uraian]])&gt;2,1," ")</f>
        <v xml:space="preserve"> </v>
      </c>
      <c r="E4439" s="113" t="str">
        <f>IF(Table1722[[#This Row],[Lawan Transaksi]]="CV AGUNG KARYA",COUNTIF($I$10:I4439,"CV AGUNG KARYA")," ")</f>
        <v xml:space="preserve"> </v>
      </c>
      <c r="F4439" s="107" t="str">
        <f>IF(LEN(Table1722[[#This Row],[Uraian]])&gt;2,TRIM(RIGHT(SUBSTITUTE(TRIM(C4439)," ",REPT(" ",255)),255))," ")</f>
        <v xml:space="preserve"> </v>
      </c>
      <c r="G4439" s="110">
        <f>COPY!Z4431</f>
        <v>0</v>
      </c>
      <c r="H4439" s="111" t="str">
        <f>IFERROR(VLOOKUP(Table1722[[#This Row],[Bukti]],'Un nOTA'!$A$4:$K$5003,10,FALSE),"")</f>
        <v/>
      </c>
      <c r="I4439" s="123" t="str">
        <f>IFERROR(VLOOKUP(Table1722[[#This Row],[Bukti]],Table13[#Data],11,FALSE),"")</f>
        <v/>
      </c>
    </row>
    <row r="4440" spans="1:9" hidden="1" x14ac:dyDescent="0.2">
      <c r="A4440" s="105" t="str">
        <f>IF(D4440=1,COUNTIF($D$10:D4440,1)," ")</f>
        <v xml:space="preserve"> </v>
      </c>
      <c r="B4440" s="106">
        <f>COPY!AR4432</f>
        <v>0</v>
      </c>
      <c r="C4440" s="107">
        <f>COPY!AC4432</f>
        <v>0</v>
      </c>
      <c r="D4440" s="107" t="str">
        <f>IF(LEN(Table1722[[#This Row],[Uraian]])&gt;2,1," ")</f>
        <v xml:space="preserve"> </v>
      </c>
      <c r="E4440" s="113" t="str">
        <f>IF(Table1722[[#This Row],[Lawan Transaksi]]="CV AGUNG KARYA",COUNTIF($I$10:I4440,"CV AGUNG KARYA")," ")</f>
        <v xml:space="preserve"> </v>
      </c>
      <c r="F4440" s="107" t="str">
        <f>IF(LEN(Table1722[[#This Row],[Uraian]])&gt;2,TRIM(RIGHT(SUBSTITUTE(TRIM(C4440)," ",REPT(" ",255)),255))," ")</f>
        <v xml:space="preserve"> </v>
      </c>
      <c r="G4440" s="110">
        <f>COPY!Z4432</f>
        <v>0</v>
      </c>
      <c r="H4440" s="111" t="str">
        <f>IFERROR(VLOOKUP(Table1722[[#This Row],[Bukti]],'Un nOTA'!$A$4:$K$5003,10,FALSE),"")</f>
        <v/>
      </c>
      <c r="I4440" s="123" t="str">
        <f>IFERROR(VLOOKUP(Table1722[[#This Row],[Bukti]],Table13[#Data],11,FALSE),"")</f>
        <v/>
      </c>
    </row>
    <row r="4441" spans="1:9" hidden="1" x14ac:dyDescent="0.2">
      <c r="A4441" s="105" t="str">
        <f>IF(D4441=1,COUNTIF($D$10:D4441,1)," ")</f>
        <v xml:space="preserve"> </v>
      </c>
      <c r="B4441" s="106">
        <f>COPY!AR4433</f>
        <v>0</v>
      </c>
      <c r="C4441" s="107">
        <f>COPY!AC4433</f>
        <v>0</v>
      </c>
      <c r="D4441" s="107" t="str">
        <f>IF(LEN(Table1722[[#This Row],[Uraian]])&gt;2,1," ")</f>
        <v xml:space="preserve"> </v>
      </c>
      <c r="E4441" s="113" t="str">
        <f>IF(Table1722[[#This Row],[Lawan Transaksi]]="CV AGUNG KARYA",COUNTIF($I$10:I4441,"CV AGUNG KARYA")," ")</f>
        <v xml:space="preserve"> </v>
      </c>
      <c r="F4441" s="107" t="str">
        <f>IF(LEN(Table1722[[#This Row],[Uraian]])&gt;2,TRIM(RIGHT(SUBSTITUTE(TRIM(C4441)," ",REPT(" ",255)),255))," ")</f>
        <v xml:space="preserve"> </v>
      </c>
      <c r="G4441" s="110">
        <f>COPY!Z4433</f>
        <v>0</v>
      </c>
      <c r="H4441" s="111" t="str">
        <f>IFERROR(VLOOKUP(Table1722[[#This Row],[Bukti]],'Un nOTA'!$A$4:$K$5003,10,FALSE),"")</f>
        <v/>
      </c>
      <c r="I4441" s="123" t="str">
        <f>IFERROR(VLOOKUP(Table1722[[#This Row],[Bukti]],Table13[#Data],11,FALSE),"")</f>
        <v/>
      </c>
    </row>
    <row r="4442" spans="1:9" hidden="1" x14ac:dyDescent="0.2">
      <c r="A4442" s="105" t="str">
        <f>IF(D4442=1,COUNTIF($D$10:D4442,1)," ")</f>
        <v xml:space="preserve"> </v>
      </c>
      <c r="B4442" s="106">
        <f>COPY!AR4434</f>
        <v>0</v>
      </c>
      <c r="C4442" s="107">
        <f>COPY!AC4434</f>
        <v>0</v>
      </c>
      <c r="D4442" s="107" t="str">
        <f>IF(LEN(Table1722[[#This Row],[Uraian]])&gt;2,1," ")</f>
        <v xml:space="preserve"> </v>
      </c>
      <c r="E4442" s="113" t="str">
        <f>IF(Table1722[[#This Row],[Lawan Transaksi]]="CV AGUNG KARYA",COUNTIF($I$10:I4442,"CV AGUNG KARYA")," ")</f>
        <v xml:space="preserve"> </v>
      </c>
      <c r="F4442" s="107" t="str">
        <f>IF(LEN(Table1722[[#This Row],[Uraian]])&gt;2,TRIM(RIGHT(SUBSTITUTE(TRIM(C4442)," ",REPT(" ",255)),255))," ")</f>
        <v xml:space="preserve"> </v>
      </c>
      <c r="G4442" s="110">
        <f>COPY!Z4434</f>
        <v>0</v>
      </c>
      <c r="H4442" s="111" t="str">
        <f>IFERROR(VLOOKUP(Table1722[[#This Row],[Bukti]],'Un nOTA'!$A$4:$K$5003,10,FALSE),"")</f>
        <v/>
      </c>
      <c r="I4442" s="123" t="str">
        <f>IFERROR(VLOOKUP(Table1722[[#This Row],[Bukti]],Table13[#Data],11,FALSE),"")</f>
        <v/>
      </c>
    </row>
    <row r="4443" spans="1:9" hidden="1" x14ac:dyDescent="0.2">
      <c r="A4443" s="105" t="str">
        <f>IF(D4443=1,COUNTIF($D$10:D4443,1)," ")</f>
        <v xml:space="preserve"> </v>
      </c>
      <c r="B4443" s="106">
        <f>COPY!AR4435</f>
        <v>0</v>
      </c>
      <c r="C4443" s="107">
        <f>COPY!AC4435</f>
        <v>0</v>
      </c>
      <c r="D4443" s="107" t="str">
        <f>IF(LEN(Table1722[[#This Row],[Uraian]])&gt;2,1," ")</f>
        <v xml:space="preserve"> </v>
      </c>
      <c r="E4443" s="113" t="str">
        <f>IF(Table1722[[#This Row],[Lawan Transaksi]]="CV AGUNG KARYA",COUNTIF($I$10:I4443,"CV AGUNG KARYA")," ")</f>
        <v xml:space="preserve"> </v>
      </c>
      <c r="F4443" s="107" t="str">
        <f>IF(LEN(Table1722[[#This Row],[Uraian]])&gt;2,TRIM(RIGHT(SUBSTITUTE(TRIM(C4443)," ",REPT(" ",255)),255))," ")</f>
        <v xml:space="preserve"> </v>
      </c>
      <c r="G4443" s="110">
        <f>COPY!Z4435</f>
        <v>0</v>
      </c>
      <c r="H4443" s="111" t="str">
        <f>IFERROR(VLOOKUP(Table1722[[#This Row],[Bukti]],'Un nOTA'!$A$4:$K$5003,10,FALSE),"")</f>
        <v/>
      </c>
      <c r="I4443" s="123" t="str">
        <f>IFERROR(VLOOKUP(Table1722[[#This Row],[Bukti]],Table13[#Data],11,FALSE),"")</f>
        <v/>
      </c>
    </row>
    <row r="4444" spans="1:9" hidden="1" x14ac:dyDescent="0.2">
      <c r="A4444" s="105" t="str">
        <f>IF(D4444=1,COUNTIF($D$10:D4444,1)," ")</f>
        <v xml:space="preserve"> </v>
      </c>
      <c r="B4444" s="106">
        <f>COPY!AR4436</f>
        <v>0</v>
      </c>
      <c r="C4444" s="107">
        <f>COPY!AC4436</f>
        <v>0</v>
      </c>
      <c r="D4444" s="107" t="str">
        <f>IF(LEN(Table1722[[#This Row],[Uraian]])&gt;2,1," ")</f>
        <v xml:space="preserve"> </v>
      </c>
      <c r="E4444" s="113" t="str">
        <f>IF(Table1722[[#This Row],[Lawan Transaksi]]="CV AGUNG KARYA",COUNTIF($I$10:I4444,"CV AGUNG KARYA")," ")</f>
        <v xml:space="preserve"> </v>
      </c>
      <c r="F4444" s="107" t="str">
        <f>IF(LEN(Table1722[[#This Row],[Uraian]])&gt;2,TRIM(RIGHT(SUBSTITUTE(TRIM(C4444)," ",REPT(" ",255)),255))," ")</f>
        <v xml:space="preserve"> </v>
      </c>
      <c r="G4444" s="110">
        <f>COPY!Z4436</f>
        <v>0</v>
      </c>
      <c r="H4444" s="111" t="str">
        <f>IFERROR(VLOOKUP(Table1722[[#This Row],[Bukti]],'Un nOTA'!$A$4:$K$5003,10,FALSE),"")</f>
        <v/>
      </c>
      <c r="I4444" s="123" t="str">
        <f>IFERROR(VLOOKUP(Table1722[[#This Row],[Bukti]],Table13[#Data],11,FALSE),"")</f>
        <v/>
      </c>
    </row>
    <row r="4445" spans="1:9" hidden="1" x14ac:dyDescent="0.2">
      <c r="A4445" s="105" t="str">
        <f>IF(D4445=1,COUNTIF($D$10:D4445,1)," ")</f>
        <v xml:space="preserve"> </v>
      </c>
      <c r="B4445" s="106">
        <f>COPY!AR4437</f>
        <v>0</v>
      </c>
      <c r="C4445" s="107">
        <f>COPY!AC4437</f>
        <v>0</v>
      </c>
      <c r="D4445" s="107" t="str">
        <f>IF(LEN(Table1722[[#This Row],[Uraian]])&gt;2,1," ")</f>
        <v xml:space="preserve"> </v>
      </c>
      <c r="E4445" s="113" t="str">
        <f>IF(Table1722[[#This Row],[Lawan Transaksi]]="CV AGUNG KARYA",COUNTIF($I$10:I4445,"CV AGUNG KARYA")," ")</f>
        <v xml:space="preserve"> </v>
      </c>
      <c r="F4445" s="107" t="str">
        <f>IF(LEN(Table1722[[#This Row],[Uraian]])&gt;2,TRIM(RIGHT(SUBSTITUTE(TRIM(C4445)," ",REPT(" ",255)),255))," ")</f>
        <v xml:space="preserve"> </v>
      </c>
      <c r="G4445" s="110">
        <f>COPY!Z4437</f>
        <v>0</v>
      </c>
      <c r="H4445" s="111" t="str">
        <f>IFERROR(VLOOKUP(Table1722[[#This Row],[Bukti]],'Un nOTA'!$A$4:$K$5003,10,FALSE),"")</f>
        <v/>
      </c>
      <c r="I4445" s="123" t="str">
        <f>IFERROR(VLOOKUP(Table1722[[#This Row],[Bukti]],Table13[#Data],11,FALSE),"")</f>
        <v/>
      </c>
    </row>
    <row r="4446" spans="1:9" hidden="1" x14ac:dyDescent="0.2">
      <c r="A4446" s="105" t="str">
        <f>IF(D4446=1,COUNTIF($D$10:D4446,1)," ")</f>
        <v xml:space="preserve"> </v>
      </c>
      <c r="B4446" s="106">
        <f>COPY!AR4438</f>
        <v>0</v>
      </c>
      <c r="C4446" s="107">
        <f>COPY!AC4438</f>
        <v>0</v>
      </c>
      <c r="D4446" s="107" t="str">
        <f>IF(LEN(Table1722[[#This Row],[Uraian]])&gt;2,1," ")</f>
        <v xml:space="preserve"> </v>
      </c>
      <c r="E4446" s="113" t="str">
        <f>IF(Table1722[[#This Row],[Lawan Transaksi]]="CV AGUNG KARYA",COUNTIF($I$10:I4446,"CV AGUNG KARYA")," ")</f>
        <v xml:space="preserve"> </v>
      </c>
      <c r="F4446" s="107" t="str">
        <f>IF(LEN(Table1722[[#This Row],[Uraian]])&gt;2,TRIM(RIGHT(SUBSTITUTE(TRIM(C4446)," ",REPT(" ",255)),255))," ")</f>
        <v xml:space="preserve"> </v>
      </c>
      <c r="G4446" s="110">
        <f>COPY!Z4438</f>
        <v>0</v>
      </c>
      <c r="H4446" s="111" t="str">
        <f>IFERROR(VLOOKUP(Table1722[[#This Row],[Bukti]],'Un nOTA'!$A$4:$K$5003,10,FALSE),"")</f>
        <v/>
      </c>
      <c r="I4446" s="123" t="str">
        <f>IFERROR(VLOOKUP(Table1722[[#This Row],[Bukti]],Table13[#Data],11,FALSE),"")</f>
        <v/>
      </c>
    </row>
    <row r="4447" spans="1:9" hidden="1" x14ac:dyDescent="0.2">
      <c r="A4447" s="105" t="str">
        <f>IF(D4447=1,COUNTIF($D$10:D4447,1)," ")</f>
        <v xml:space="preserve"> </v>
      </c>
      <c r="B4447" s="106">
        <f>COPY!AR4439</f>
        <v>0</v>
      </c>
      <c r="C4447" s="107">
        <f>COPY!AC4439</f>
        <v>0</v>
      </c>
      <c r="D4447" s="107" t="str">
        <f>IF(LEN(Table1722[[#This Row],[Uraian]])&gt;2,1," ")</f>
        <v xml:space="preserve"> </v>
      </c>
      <c r="E4447" s="113" t="str">
        <f>IF(Table1722[[#This Row],[Lawan Transaksi]]="CV AGUNG KARYA",COUNTIF($I$10:I4447,"CV AGUNG KARYA")," ")</f>
        <v xml:space="preserve"> </v>
      </c>
      <c r="F4447" s="107" t="str">
        <f>IF(LEN(Table1722[[#This Row],[Uraian]])&gt;2,TRIM(RIGHT(SUBSTITUTE(TRIM(C4447)," ",REPT(" ",255)),255))," ")</f>
        <v xml:space="preserve"> </v>
      </c>
      <c r="G4447" s="110">
        <f>COPY!Z4439</f>
        <v>0</v>
      </c>
      <c r="H4447" s="111" t="str">
        <f>IFERROR(VLOOKUP(Table1722[[#This Row],[Bukti]],'Un nOTA'!$A$4:$K$5003,10,FALSE),"")</f>
        <v/>
      </c>
      <c r="I4447" s="123" t="str">
        <f>IFERROR(VLOOKUP(Table1722[[#This Row],[Bukti]],Table13[#Data],11,FALSE),"")</f>
        <v/>
      </c>
    </row>
    <row r="4448" spans="1:9" hidden="1" x14ac:dyDescent="0.2">
      <c r="A4448" s="105" t="str">
        <f>IF(D4448=1,COUNTIF($D$10:D4448,1)," ")</f>
        <v xml:space="preserve"> </v>
      </c>
      <c r="B4448" s="106">
        <f>COPY!AR4440</f>
        <v>0</v>
      </c>
      <c r="C4448" s="107">
        <f>COPY!AC4440</f>
        <v>0</v>
      </c>
      <c r="D4448" s="107" t="str">
        <f>IF(LEN(Table1722[[#This Row],[Uraian]])&gt;2,1," ")</f>
        <v xml:space="preserve"> </v>
      </c>
      <c r="E4448" s="113" t="str">
        <f>IF(Table1722[[#This Row],[Lawan Transaksi]]="CV AGUNG KARYA",COUNTIF($I$10:I4448,"CV AGUNG KARYA")," ")</f>
        <v xml:space="preserve"> </v>
      </c>
      <c r="F4448" s="107" t="str">
        <f>IF(LEN(Table1722[[#This Row],[Uraian]])&gt;2,TRIM(RIGHT(SUBSTITUTE(TRIM(C4448)," ",REPT(" ",255)),255))," ")</f>
        <v xml:space="preserve"> </v>
      </c>
      <c r="G4448" s="110">
        <f>COPY!Z4440</f>
        <v>0</v>
      </c>
      <c r="H4448" s="111" t="str">
        <f>IFERROR(VLOOKUP(Table1722[[#This Row],[Bukti]],'Un nOTA'!$A$4:$K$5003,10,FALSE),"")</f>
        <v/>
      </c>
      <c r="I4448" s="123" t="str">
        <f>IFERROR(VLOOKUP(Table1722[[#This Row],[Bukti]],Table13[#Data],11,FALSE),"")</f>
        <v/>
      </c>
    </row>
    <row r="4449" spans="1:9" hidden="1" x14ac:dyDescent="0.2">
      <c r="A4449" s="105" t="str">
        <f>IF(D4449=1,COUNTIF($D$10:D4449,1)," ")</f>
        <v xml:space="preserve"> </v>
      </c>
      <c r="B4449" s="106">
        <f>COPY!AR4441</f>
        <v>0</v>
      </c>
      <c r="C4449" s="107">
        <f>COPY!AC4441</f>
        <v>0</v>
      </c>
      <c r="D4449" s="107" t="str">
        <f>IF(LEN(Table1722[[#This Row],[Uraian]])&gt;2,1," ")</f>
        <v xml:space="preserve"> </v>
      </c>
      <c r="E4449" s="113" t="str">
        <f>IF(Table1722[[#This Row],[Lawan Transaksi]]="CV AGUNG KARYA",COUNTIF($I$10:I4449,"CV AGUNG KARYA")," ")</f>
        <v xml:space="preserve"> </v>
      </c>
      <c r="F4449" s="107" t="str">
        <f>IF(LEN(Table1722[[#This Row],[Uraian]])&gt;2,TRIM(RIGHT(SUBSTITUTE(TRIM(C4449)," ",REPT(" ",255)),255))," ")</f>
        <v xml:space="preserve"> </v>
      </c>
      <c r="G4449" s="110">
        <f>COPY!Z4441</f>
        <v>0</v>
      </c>
      <c r="H4449" s="111" t="str">
        <f>IFERROR(VLOOKUP(Table1722[[#This Row],[Bukti]],'Un nOTA'!$A$4:$K$5003,10,FALSE),"")</f>
        <v/>
      </c>
      <c r="I4449" s="123" t="str">
        <f>IFERROR(VLOOKUP(Table1722[[#This Row],[Bukti]],Table13[#Data],11,FALSE),"")</f>
        <v/>
      </c>
    </row>
    <row r="4450" spans="1:9" hidden="1" x14ac:dyDescent="0.2">
      <c r="A4450" s="105" t="str">
        <f>IF(D4450=1,COUNTIF($D$10:D4450,1)," ")</f>
        <v xml:space="preserve"> </v>
      </c>
      <c r="B4450" s="106">
        <f>COPY!AR4442</f>
        <v>0</v>
      </c>
      <c r="C4450" s="107">
        <f>COPY!AC4442</f>
        <v>0</v>
      </c>
      <c r="D4450" s="107" t="str">
        <f>IF(LEN(Table1722[[#This Row],[Uraian]])&gt;2,1," ")</f>
        <v xml:space="preserve"> </v>
      </c>
      <c r="E4450" s="113" t="str">
        <f>IF(Table1722[[#This Row],[Lawan Transaksi]]="CV AGUNG KARYA",COUNTIF($I$10:I4450,"CV AGUNG KARYA")," ")</f>
        <v xml:space="preserve"> </v>
      </c>
      <c r="F4450" s="107" t="str">
        <f>IF(LEN(Table1722[[#This Row],[Uraian]])&gt;2,TRIM(RIGHT(SUBSTITUTE(TRIM(C4450)," ",REPT(" ",255)),255))," ")</f>
        <v xml:space="preserve"> </v>
      </c>
      <c r="G4450" s="110">
        <f>COPY!Z4442</f>
        <v>0</v>
      </c>
      <c r="H4450" s="111" t="str">
        <f>IFERROR(VLOOKUP(Table1722[[#This Row],[Bukti]],'Un nOTA'!$A$4:$K$5003,10,FALSE),"")</f>
        <v/>
      </c>
      <c r="I4450" s="123" t="str">
        <f>IFERROR(VLOOKUP(Table1722[[#This Row],[Bukti]],Table13[#Data],11,FALSE),"")</f>
        <v/>
      </c>
    </row>
    <row r="4451" spans="1:9" hidden="1" x14ac:dyDescent="0.2">
      <c r="A4451" s="105" t="str">
        <f>IF(D4451=1,COUNTIF($D$10:D4451,1)," ")</f>
        <v xml:space="preserve"> </v>
      </c>
      <c r="B4451" s="106">
        <f>COPY!AR4443</f>
        <v>0</v>
      </c>
      <c r="C4451" s="107">
        <f>COPY!AC4443</f>
        <v>0</v>
      </c>
      <c r="D4451" s="107" t="str">
        <f>IF(LEN(Table1722[[#This Row],[Uraian]])&gt;2,1," ")</f>
        <v xml:space="preserve"> </v>
      </c>
      <c r="E4451" s="113" t="str">
        <f>IF(Table1722[[#This Row],[Lawan Transaksi]]="CV AGUNG KARYA",COUNTIF($I$10:I4451,"CV AGUNG KARYA")," ")</f>
        <v xml:space="preserve"> </v>
      </c>
      <c r="F4451" s="107" t="str">
        <f>IF(LEN(Table1722[[#This Row],[Uraian]])&gt;2,TRIM(RIGHT(SUBSTITUTE(TRIM(C4451)," ",REPT(" ",255)),255))," ")</f>
        <v xml:space="preserve"> </v>
      </c>
      <c r="G4451" s="110">
        <f>COPY!Z4443</f>
        <v>0</v>
      </c>
      <c r="H4451" s="111" t="str">
        <f>IFERROR(VLOOKUP(Table1722[[#This Row],[Bukti]],'Un nOTA'!$A$4:$K$5003,10,FALSE),"")</f>
        <v/>
      </c>
      <c r="I4451" s="123" t="str">
        <f>IFERROR(VLOOKUP(Table1722[[#This Row],[Bukti]],Table13[#Data],11,FALSE),"")</f>
        <v/>
      </c>
    </row>
    <row r="4452" spans="1:9" hidden="1" x14ac:dyDescent="0.2">
      <c r="A4452" s="105" t="str">
        <f>IF(D4452=1,COUNTIF($D$10:D4452,1)," ")</f>
        <v xml:space="preserve"> </v>
      </c>
      <c r="B4452" s="106">
        <f>COPY!AR4444</f>
        <v>0</v>
      </c>
      <c r="C4452" s="107">
        <f>COPY!AC4444</f>
        <v>0</v>
      </c>
      <c r="D4452" s="107" t="str">
        <f>IF(LEN(Table1722[[#This Row],[Uraian]])&gt;2,1," ")</f>
        <v xml:space="preserve"> </v>
      </c>
      <c r="E4452" s="113" t="str">
        <f>IF(Table1722[[#This Row],[Lawan Transaksi]]="CV AGUNG KARYA",COUNTIF($I$10:I4452,"CV AGUNG KARYA")," ")</f>
        <v xml:space="preserve"> </v>
      </c>
      <c r="F4452" s="107" t="str">
        <f>IF(LEN(Table1722[[#This Row],[Uraian]])&gt;2,TRIM(RIGHT(SUBSTITUTE(TRIM(C4452)," ",REPT(" ",255)),255))," ")</f>
        <v xml:space="preserve"> </v>
      </c>
      <c r="G4452" s="110">
        <f>COPY!Z4444</f>
        <v>0</v>
      </c>
      <c r="H4452" s="111" t="str">
        <f>IFERROR(VLOOKUP(Table1722[[#This Row],[Bukti]],'Un nOTA'!$A$4:$K$5003,10,FALSE),"")</f>
        <v/>
      </c>
      <c r="I4452" s="123" t="str">
        <f>IFERROR(VLOOKUP(Table1722[[#This Row],[Bukti]],Table13[#Data],11,FALSE),"")</f>
        <v/>
      </c>
    </row>
    <row r="4453" spans="1:9" hidden="1" x14ac:dyDescent="0.2">
      <c r="A4453" s="105" t="str">
        <f>IF(D4453=1,COUNTIF($D$10:D4453,1)," ")</f>
        <v xml:space="preserve"> </v>
      </c>
      <c r="B4453" s="106">
        <f>COPY!AR4445</f>
        <v>0</v>
      </c>
      <c r="C4453" s="107">
        <f>COPY!AC4445</f>
        <v>0</v>
      </c>
      <c r="D4453" s="107" t="str">
        <f>IF(LEN(Table1722[[#This Row],[Uraian]])&gt;2,1," ")</f>
        <v xml:space="preserve"> </v>
      </c>
      <c r="E4453" s="113" t="str">
        <f>IF(Table1722[[#This Row],[Lawan Transaksi]]="CV AGUNG KARYA",COUNTIF($I$10:I4453,"CV AGUNG KARYA")," ")</f>
        <v xml:space="preserve"> </v>
      </c>
      <c r="F4453" s="107" t="str">
        <f>IF(LEN(Table1722[[#This Row],[Uraian]])&gt;2,TRIM(RIGHT(SUBSTITUTE(TRIM(C4453)," ",REPT(" ",255)),255))," ")</f>
        <v xml:space="preserve"> </v>
      </c>
      <c r="G4453" s="110">
        <f>COPY!Z4445</f>
        <v>0</v>
      </c>
      <c r="H4453" s="111" t="str">
        <f>IFERROR(VLOOKUP(Table1722[[#This Row],[Bukti]],'Un nOTA'!$A$4:$K$5003,10,FALSE),"")</f>
        <v/>
      </c>
      <c r="I4453" s="123" t="str">
        <f>IFERROR(VLOOKUP(Table1722[[#This Row],[Bukti]],Table13[#Data],11,FALSE),"")</f>
        <v/>
      </c>
    </row>
    <row r="4454" spans="1:9" hidden="1" x14ac:dyDescent="0.2">
      <c r="A4454" s="105" t="str">
        <f>IF(D4454=1,COUNTIF($D$10:D4454,1)," ")</f>
        <v xml:space="preserve"> </v>
      </c>
      <c r="B4454" s="106">
        <f>COPY!AR4446</f>
        <v>0</v>
      </c>
      <c r="C4454" s="107">
        <f>COPY!AC4446</f>
        <v>0</v>
      </c>
      <c r="D4454" s="107" t="str">
        <f>IF(LEN(Table1722[[#This Row],[Uraian]])&gt;2,1," ")</f>
        <v xml:space="preserve"> </v>
      </c>
      <c r="E4454" s="113" t="str">
        <f>IF(Table1722[[#This Row],[Lawan Transaksi]]="CV AGUNG KARYA",COUNTIF($I$10:I4454,"CV AGUNG KARYA")," ")</f>
        <v xml:space="preserve"> </v>
      </c>
      <c r="F4454" s="107" t="str">
        <f>IF(LEN(Table1722[[#This Row],[Uraian]])&gt;2,TRIM(RIGHT(SUBSTITUTE(TRIM(C4454)," ",REPT(" ",255)),255))," ")</f>
        <v xml:space="preserve"> </v>
      </c>
      <c r="G4454" s="110">
        <f>COPY!Z4446</f>
        <v>0</v>
      </c>
      <c r="H4454" s="111" t="str">
        <f>IFERROR(VLOOKUP(Table1722[[#This Row],[Bukti]],'Un nOTA'!$A$4:$K$5003,10,FALSE),"")</f>
        <v/>
      </c>
      <c r="I4454" s="123" t="str">
        <f>IFERROR(VLOOKUP(Table1722[[#This Row],[Bukti]],Table13[#Data],11,FALSE),"")</f>
        <v/>
      </c>
    </row>
    <row r="4455" spans="1:9" hidden="1" x14ac:dyDescent="0.2">
      <c r="A4455" s="105" t="str">
        <f>IF(D4455=1,COUNTIF($D$10:D4455,1)," ")</f>
        <v xml:space="preserve"> </v>
      </c>
      <c r="B4455" s="106">
        <f>COPY!AR4447</f>
        <v>0</v>
      </c>
      <c r="C4455" s="107">
        <f>COPY!AC4447</f>
        <v>0</v>
      </c>
      <c r="D4455" s="107" t="str">
        <f>IF(LEN(Table1722[[#This Row],[Uraian]])&gt;2,1," ")</f>
        <v xml:space="preserve"> </v>
      </c>
      <c r="E4455" s="113" t="str">
        <f>IF(Table1722[[#This Row],[Lawan Transaksi]]="CV AGUNG KARYA",COUNTIF($I$10:I4455,"CV AGUNG KARYA")," ")</f>
        <v xml:space="preserve"> </v>
      </c>
      <c r="F4455" s="107" t="str">
        <f>IF(LEN(Table1722[[#This Row],[Uraian]])&gt;2,TRIM(RIGHT(SUBSTITUTE(TRIM(C4455)," ",REPT(" ",255)),255))," ")</f>
        <v xml:space="preserve"> </v>
      </c>
      <c r="G4455" s="110">
        <f>COPY!Z4447</f>
        <v>0</v>
      </c>
      <c r="H4455" s="111" t="str">
        <f>IFERROR(VLOOKUP(Table1722[[#This Row],[Bukti]],'Un nOTA'!$A$4:$K$5003,10,FALSE),"")</f>
        <v/>
      </c>
      <c r="I4455" s="123" t="str">
        <f>IFERROR(VLOOKUP(Table1722[[#This Row],[Bukti]],Table13[#Data],11,FALSE),"")</f>
        <v/>
      </c>
    </row>
    <row r="4456" spans="1:9" hidden="1" x14ac:dyDescent="0.2">
      <c r="A4456" s="105" t="str">
        <f>IF(D4456=1,COUNTIF($D$10:D4456,1)," ")</f>
        <v xml:space="preserve"> </v>
      </c>
      <c r="B4456" s="106">
        <f>COPY!AR4448</f>
        <v>0</v>
      </c>
      <c r="C4456" s="107">
        <f>COPY!AC4448</f>
        <v>0</v>
      </c>
      <c r="D4456" s="107" t="str">
        <f>IF(LEN(Table1722[[#This Row],[Uraian]])&gt;2,1," ")</f>
        <v xml:space="preserve"> </v>
      </c>
      <c r="E4456" s="113" t="str">
        <f>IF(Table1722[[#This Row],[Lawan Transaksi]]="CV AGUNG KARYA",COUNTIF($I$10:I4456,"CV AGUNG KARYA")," ")</f>
        <v xml:space="preserve"> </v>
      </c>
      <c r="F4456" s="107" t="str">
        <f>IF(LEN(Table1722[[#This Row],[Uraian]])&gt;2,TRIM(RIGHT(SUBSTITUTE(TRIM(C4456)," ",REPT(" ",255)),255))," ")</f>
        <v xml:space="preserve"> </v>
      </c>
      <c r="G4456" s="110">
        <f>COPY!Z4448</f>
        <v>0</v>
      </c>
      <c r="H4456" s="111" t="str">
        <f>IFERROR(VLOOKUP(Table1722[[#This Row],[Bukti]],'Un nOTA'!$A$4:$K$5003,10,FALSE),"")</f>
        <v/>
      </c>
      <c r="I4456" s="123" t="str">
        <f>IFERROR(VLOOKUP(Table1722[[#This Row],[Bukti]],Table13[#Data],11,FALSE),"")</f>
        <v/>
      </c>
    </row>
    <row r="4457" spans="1:9" hidden="1" x14ac:dyDescent="0.2">
      <c r="A4457" s="105" t="str">
        <f>IF(D4457=1,COUNTIF($D$10:D4457,1)," ")</f>
        <v xml:space="preserve"> </v>
      </c>
      <c r="B4457" s="106">
        <f>COPY!AR4449</f>
        <v>0</v>
      </c>
      <c r="C4457" s="107">
        <f>COPY!AC4449</f>
        <v>0</v>
      </c>
      <c r="D4457" s="107" t="str">
        <f>IF(LEN(Table1722[[#This Row],[Uraian]])&gt;2,1," ")</f>
        <v xml:space="preserve"> </v>
      </c>
      <c r="E4457" s="113" t="str">
        <f>IF(Table1722[[#This Row],[Lawan Transaksi]]="CV AGUNG KARYA",COUNTIF($I$10:I4457,"CV AGUNG KARYA")," ")</f>
        <v xml:space="preserve"> </v>
      </c>
      <c r="F4457" s="107" t="str">
        <f>IF(LEN(Table1722[[#This Row],[Uraian]])&gt;2,TRIM(RIGHT(SUBSTITUTE(TRIM(C4457)," ",REPT(" ",255)),255))," ")</f>
        <v xml:space="preserve"> </v>
      </c>
      <c r="G4457" s="110">
        <f>COPY!Z4449</f>
        <v>0</v>
      </c>
      <c r="H4457" s="111" t="str">
        <f>IFERROR(VLOOKUP(Table1722[[#This Row],[Bukti]],'Un nOTA'!$A$4:$K$5003,10,FALSE),"")</f>
        <v/>
      </c>
      <c r="I4457" s="123" t="str">
        <f>IFERROR(VLOOKUP(Table1722[[#This Row],[Bukti]],Table13[#Data],11,FALSE),"")</f>
        <v/>
      </c>
    </row>
    <row r="4458" spans="1:9" hidden="1" x14ac:dyDescent="0.2">
      <c r="A4458" s="105" t="str">
        <f>IF(D4458=1,COUNTIF($D$10:D4458,1)," ")</f>
        <v xml:space="preserve"> </v>
      </c>
      <c r="B4458" s="106">
        <f>COPY!AR4450</f>
        <v>0</v>
      </c>
      <c r="C4458" s="107">
        <f>COPY!AC4450</f>
        <v>0</v>
      </c>
      <c r="D4458" s="107" t="str">
        <f>IF(LEN(Table1722[[#This Row],[Uraian]])&gt;2,1," ")</f>
        <v xml:space="preserve"> </v>
      </c>
      <c r="E4458" s="113" t="str">
        <f>IF(Table1722[[#This Row],[Lawan Transaksi]]="CV AGUNG KARYA",COUNTIF($I$10:I4458,"CV AGUNG KARYA")," ")</f>
        <v xml:space="preserve"> </v>
      </c>
      <c r="F4458" s="107" t="str">
        <f>IF(LEN(Table1722[[#This Row],[Uraian]])&gt;2,TRIM(RIGHT(SUBSTITUTE(TRIM(C4458)," ",REPT(" ",255)),255))," ")</f>
        <v xml:space="preserve"> </v>
      </c>
      <c r="G4458" s="110">
        <f>COPY!Z4450</f>
        <v>0</v>
      </c>
      <c r="H4458" s="111" t="str">
        <f>IFERROR(VLOOKUP(Table1722[[#This Row],[Bukti]],'Un nOTA'!$A$4:$K$5003,10,FALSE),"")</f>
        <v/>
      </c>
      <c r="I4458" s="123" t="str">
        <f>IFERROR(VLOOKUP(Table1722[[#This Row],[Bukti]],Table13[#Data],11,FALSE),"")</f>
        <v/>
      </c>
    </row>
    <row r="4459" spans="1:9" hidden="1" x14ac:dyDescent="0.2">
      <c r="A4459" s="105" t="str">
        <f>IF(D4459=1,COUNTIF($D$10:D4459,1)," ")</f>
        <v xml:space="preserve"> </v>
      </c>
      <c r="B4459" s="106">
        <f>COPY!AR4451</f>
        <v>0</v>
      </c>
      <c r="C4459" s="107">
        <f>COPY!AC4451</f>
        <v>0</v>
      </c>
      <c r="D4459" s="107" t="str">
        <f>IF(LEN(Table1722[[#This Row],[Uraian]])&gt;2,1," ")</f>
        <v xml:space="preserve"> </v>
      </c>
      <c r="E4459" s="113" t="str">
        <f>IF(Table1722[[#This Row],[Lawan Transaksi]]="CV AGUNG KARYA",COUNTIF($I$10:I4459,"CV AGUNG KARYA")," ")</f>
        <v xml:space="preserve"> </v>
      </c>
      <c r="F4459" s="107" t="str">
        <f>IF(LEN(Table1722[[#This Row],[Uraian]])&gt;2,TRIM(RIGHT(SUBSTITUTE(TRIM(C4459)," ",REPT(" ",255)),255))," ")</f>
        <v xml:space="preserve"> </v>
      </c>
      <c r="G4459" s="110">
        <f>COPY!Z4451</f>
        <v>0</v>
      </c>
      <c r="H4459" s="111" t="str">
        <f>IFERROR(VLOOKUP(Table1722[[#This Row],[Bukti]],'Un nOTA'!$A$4:$K$5003,10,FALSE),"")</f>
        <v/>
      </c>
      <c r="I4459" s="123" t="str">
        <f>IFERROR(VLOOKUP(Table1722[[#This Row],[Bukti]],Table13[#Data],11,FALSE),"")</f>
        <v/>
      </c>
    </row>
    <row r="4460" spans="1:9" hidden="1" x14ac:dyDescent="0.2">
      <c r="A4460" s="105" t="str">
        <f>IF(D4460=1,COUNTIF($D$10:D4460,1)," ")</f>
        <v xml:space="preserve"> </v>
      </c>
      <c r="B4460" s="106">
        <f>COPY!AR4452</f>
        <v>0</v>
      </c>
      <c r="C4460" s="107">
        <f>COPY!AC4452</f>
        <v>0</v>
      </c>
      <c r="D4460" s="107" t="str">
        <f>IF(LEN(Table1722[[#This Row],[Uraian]])&gt;2,1," ")</f>
        <v xml:space="preserve"> </v>
      </c>
      <c r="E4460" s="113" t="str">
        <f>IF(Table1722[[#This Row],[Lawan Transaksi]]="CV AGUNG KARYA",COUNTIF($I$10:I4460,"CV AGUNG KARYA")," ")</f>
        <v xml:space="preserve"> </v>
      </c>
      <c r="F4460" s="107" t="str">
        <f>IF(LEN(Table1722[[#This Row],[Uraian]])&gt;2,TRIM(RIGHT(SUBSTITUTE(TRIM(C4460)," ",REPT(" ",255)),255))," ")</f>
        <v xml:space="preserve"> </v>
      </c>
      <c r="G4460" s="110">
        <f>COPY!Z4452</f>
        <v>0</v>
      </c>
      <c r="H4460" s="111" t="str">
        <f>IFERROR(VLOOKUP(Table1722[[#This Row],[Bukti]],'Un nOTA'!$A$4:$K$5003,10,FALSE),"")</f>
        <v/>
      </c>
      <c r="I4460" s="123" t="str">
        <f>IFERROR(VLOOKUP(Table1722[[#This Row],[Bukti]],Table13[#Data],11,FALSE),"")</f>
        <v/>
      </c>
    </row>
    <row r="4461" spans="1:9" hidden="1" x14ac:dyDescent="0.2">
      <c r="A4461" s="105" t="str">
        <f>IF(D4461=1,COUNTIF($D$10:D4461,1)," ")</f>
        <v xml:space="preserve"> </v>
      </c>
      <c r="B4461" s="106">
        <f>COPY!AR4453</f>
        <v>0</v>
      </c>
      <c r="C4461" s="107">
        <f>COPY!AC4453</f>
        <v>0</v>
      </c>
      <c r="D4461" s="107" t="str">
        <f>IF(LEN(Table1722[[#This Row],[Uraian]])&gt;2,1," ")</f>
        <v xml:space="preserve"> </v>
      </c>
      <c r="E4461" s="113" t="str">
        <f>IF(Table1722[[#This Row],[Lawan Transaksi]]="CV AGUNG KARYA",COUNTIF($I$10:I4461,"CV AGUNG KARYA")," ")</f>
        <v xml:space="preserve"> </v>
      </c>
      <c r="F4461" s="107" t="str">
        <f>IF(LEN(Table1722[[#This Row],[Uraian]])&gt;2,TRIM(RIGHT(SUBSTITUTE(TRIM(C4461)," ",REPT(" ",255)),255))," ")</f>
        <v xml:space="preserve"> </v>
      </c>
      <c r="G4461" s="110">
        <f>COPY!Z4453</f>
        <v>0</v>
      </c>
      <c r="H4461" s="111" t="str">
        <f>IFERROR(VLOOKUP(Table1722[[#This Row],[Bukti]],'Un nOTA'!$A$4:$K$5003,10,FALSE),"")</f>
        <v/>
      </c>
      <c r="I4461" s="123" t="str">
        <f>IFERROR(VLOOKUP(Table1722[[#This Row],[Bukti]],Table13[#Data],11,FALSE),"")</f>
        <v/>
      </c>
    </row>
    <row r="4462" spans="1:9" hidden="1" x14ac:dyDescent="0.2">
      <c r="A4462" s="105" t="str">
        <f>IF(D4462=1,COUNTIF($D$10:D4462,1)," ")</f>
        <v xml:space="preserve"> </v>
      </c>
      <c r="B4462" s="106">
        <f>COPY!AR4454</f>
        <v>0</v>
      </c>
      <c r="C4462" s="107">
        <f>COPY!AC4454</f>
        <v>0</v>
      </c>
      <c r="D4462" s="107" t="str">
        <f>IF(LEN(Table1722[[#This Row],[Uraian]])&gt;2,1," ")</f>
        <v xml:space="preserve"> </v>
      </c>
      <c r="E4462" s="113" t="str">
        <f>IF(Table1722[[#This Row],[Lawan Transaksi]]="CV AGUNG KARYA",COUNTIF($I$10:I4462,"CV AGUNG KARYA")," ")</f>
        <v xml:space="preserve"> </v>
      </c>
      <c r="F4462" s="107" t="str">
        <f>IF(LEN(Table1722[[#This Row],[Uraian]])&gt;2,TRIM(RIGHT(SUBSTITUTE(TRIM(C4462)," ",REPT(" ",255)),255))," ")</f>
        <v xml:space="preserve"> </v>
      </c>
      <c r="G4462" s="110">
        <f>COPY!Z4454</f>
        <v>0</v>
      </c>
      <c r="H4462" s="111" t="str">
        <f>IFERROR(VLOOKUP(Table1722[[#This Row],[Bukti]],'Un nOTA'!$A$4:$K$5003,10,FALSE),"")</f>
        <v/>
      </c>
      <c r="I4462" s="123" t="str">
        <f>IFERROR(VLOOKUP(Table1722[[#This Row],[Bukti]],Table13[#Data],11,FALSE),"")</f>
        <v/>
      </c>
    </row>
    <row r="4463" spans="1:9" hidden="1" x14ac:dyDescent="0.2">
      <c r="A4463" s="105" t="str">
        <f>IF(D4463=1,COUNTIF($D$10:D4463,1)," ")</f>
        <v xml:space="preserve"> </v>
      </c>
      <c r="B4463" s="106">
        <f>COPY!AR4455</f>
        <v>0</v>
      </c>
      <c r="C4463" s="107">
        <f>COPY!AC4455</f>
        <v>0</v>
      </c>
      <c r="D4463" s="107" t="str">
        <f>IF(LEN(Table1722[[#This Row],[Uraian]])&gt;2,1," ")</f>
        <v xml:space="preserve"> </v>
      </c>
      <c r="E4463" s="113" t="str">
        <f>IF(Table1722[[#This Row],[Lawan Transaksi]]="CV AGUNG KARYA",COUNTIF($I$10:I4463,"CV AGUNG KARYA")," ")</f>
        <v xml:space="preserve"> </v>
      </c>
      <c r="F4463" s="107" t="str">
        <f>IF(LEN(Table1722[[#This Row],[Uraian]])&gt;2,TRIM(RIGHT(SUBSTITUTE(TRIM(C4463)," ",REPT(" ",255)),255))," ")</f>
        <v xml:space="preserve"> </v>
      </c>
      <c r="G4463" s="110">
        <f>COPY!Z4455</f>
        <v>0</v>
      </c>
      <c r="H4463" s="111" t="str">
        <f>IFERROR(VLOOKUP(Table1722[[#This Row],[Bukti]],'Un nOTA'!$A$4:$K$5003,10,FALSE),"")</f>
        <v/>
      </c>
      <c r="I4463" s="123" t="str">
        <f>IFERROR(VLOOKUP(Table1722[[#This Row],[Bukti]],Table13[#Data],11,FALSE),"")</f>
        <v/>
      </c>
    </row>
    <row r="4464" spans="1:9" hidden="1" x14ac:dyDescent="0.2">
      <c r="A4464" s="105" t="str">
        <f>IF(D4464=1,COUNTIF($D$10:D4464,1)," ")</f>
        <v xml:space="preserve"> </v>
      </c>
      <c r="B4464" s="106">
        <f>COPY!AR4456</f>
        <v>0</v>
      </c>
      <c r="C4464" s="107">
        <f>COPY!AC4456</f>
        <v>0</v>
      </c>
      <c r="D4464" s="107" t="str">
        <f>IF(LEN(Table1722[[#This Row],[Uraian]])&gt;2,1," ")</f>
        <v xml:space="preserve"> </v>
      </c>
      <c r="E4464" s="113" t="str">
        <f>IF(Table1722[[#This Row],[Lawan Transaksi]]="CV AGUNG KARYA",COUNTIF($I$10:I4464,"CV AGUNG KARYA")," ")</f>
        <v xml:space="preserve"> </v>
      </c>
      <c r="F4464" s="107" t="str">
        <f>IF(LEN(Table1722[[#This Row],[Uraian]])&gt;2,TRIM(RIGHT(SUBSTITUTE(TRIM(C4464)," ",REPT(" ",255)),255))," ")</f>
        <v xml:space="preserve"> </v>
      </c>
      <c r="G4464" s="110">
        <f>COPY!Z4456</f>
        <v>0</v>
      </c>
      <c r="H4464" s="111" t="str">
        <f>IFERROR(VLOOKUP(Table1722[[#This Row],[Bukti]],'Un nOTA'!$A$4:$K$5003,10,FALSE),"")</f>
        <v/>
      </c>
      <c r="I4464" s="123" t="str">
        <f>IFERROR(VLOOKUP(Table1722[[#This Row],[Bukti]],Table13[#Data],11,FALSE),"")</f>
        <v/>
      </c>
    </row>
    <row r="4465" spans="1:9" hidden="1" x14ac:dyDescent="0.2">
      <c r="A4465" s="105" t="str">
        <f>IF(D4465=1,COUNTIF($D$10:D4465,1)," ")</f>
        <v xml:space="preserve"> </v>
      </c>
      <c r="B4465" s="106">
        <f>COPY!AR4457</f>
        <v>0</v>
      </c>
      <c r="C4465" s="107">
        <f>COPY!AC4457</f>
        <v>0</v>
      </c>
      <c r="D4465" s="107" t="str">
        <f>IF(LEN(Table1722[[#This Row],[Uraian]])&gt;2,1," ")</f>
        <v xml:space="preserve"> </v>
      </c>
      <c r="E4465" s="113" t="str">
        <f>IF(Table1722[[#This Row],[Lawan Transaksi]]="CV AGUNG KARYA",COUNTIF($I$10:I4465,"CV AGUNG KARYA")," ")</f>
        <v xml:space="preserve"> </v>
      </c>
      <c r="F4465" s="107" t="str">
        <f>IF(LEN(Table1722[[#This Row],[Uraian]])&gt;2,TRIM(RIGHT(SUBSTITUTE(TRIM(C4465)," ",REPT(" ",255)),255))," ")</f>
        <v xml:space="preserve"> </v>
      </c>
      <c r="G4465" s="110">
        <f>COPY!Z4457</f>
        <v>0</v>
      </c>
      <c r="H4465" s="111" t="str">
        <f>IFERROR(VLOOKUP(Table1722[[#This Row],[Bukti]],'Un nOTA'!$A$4:$K$5003,10,FALSE),"")</f>
        <v/>
      </c>
      <c r="I4465" s="123" t="str">
        <f>IFERROR(VLOOKUP(Table1722[[#This Row],[Bukti]],Table13[#Data],11,FALSE),"")</f>
        <v/>
      </c>
    </row>
    <row r="4466" spans="1:9" hidden="1" x14ac:dyDescent="0.2">
      <c r="A4466" s="105" t="str">
        <f>IF(D4466=1,COUNTIF($D$10:D4466,1)," ")</f>
        <v xml:space="preserve"> </v>
      </c>
      <c r="B4466" s="106">
        <f>COPY!AR4458</f>
        <v>0</v>
      </c>
      <c r="C4466" s="107">
        <f>COPY!AC4458</f>
        <v>0</v>
      </c>
      <c r="D4466" s="107" t="str">
        <f>IF(LEN(Table1722[[#This Row],[Uraian]])&gt;2,1," ")</f>
        <v xml:space="preserve"> </v>
      </c>
      <c r="E4466" s="113" t="str">
        <f>IF(Table1722[[#This Row],[Lawan Transaksi]]="CV AGUNG KARYA",COUNTIF($I$10:I4466,"CV AGUNG KARYA")," ")</f>
        <v xml:space="preserve"> </v>
      </c>
      <c r="F4466" s="107" t="str">
        <f>IF(LEN(Table1722[[#This Row],[Uraian]])&gt;2,TRIM(RIGHT(SUBSTITUTE(TRIM(C4466)," ",REPT(" ",255)),255))," ")</f>
        <v xml:space="preserve"> </v>
      </c>
      <c r="G4466" s="110">
        <f>COPY!Z4458</f>
        <v>0</v>
      </c>
      <c r="H4466" s="111" t="str">
        <f>IFERROR(VLOOKUP(Table1722[[#This Row],[Bukti]],'Un nOTA'!$A$4:$K$5003,10,FALSE),"")</f>
        <v/>
      </c>
      <c r="I4466" s="123" t="str">
        <f>IFERROR(VLOOKUP(Table1722[[#This Row],[Bukti]],Table13[#Data],11,FALSE),"")</f>
        <v/>
      </c>
    </row>
    <row r="4467" spans="1:9" hidden="1" x14ac:dyDescent="0.2">
      <c r="A4467" s="105" t="str">
        <f>IF(D4467=1,COUNTIF($D$10:D4467,1)," ")</f>
        <v xml:space="preserve"> </v>
      </c>
      <c r="B4467" s="106">
        <f>COPY!AR4459</f>
        <v>0</v>
      </c>
      <c r="C4467" s="107">
        <f>COPY!AC4459</f>
        <v>0</v>
      </c>
      <c r="D4467" s="107" t="str">
        <f>IF(LEN(Table1722[[#This Row],[Uraian]])&gt;2,1," ")</f>
        <v xml:space="preserve"> </v>
      </c>
      <c r="E4467" s="113" t="str">
        <f>IF(Table1722[[#This Row],[Lawan Transaksi]]="CV AGUNG KARYA",COUNTIF($I$10:I4467,"CV AGUNG KARYA")," ")</f>
        <v xml:space="preserve"> </v>
      </c>
      <c r="F4467" s="107" t="str">
        <f>IF(LEN(Table1722[[#This Row],[Uraian]])&gt;2,TRIM(RIGHT(SUBSTITUTE(TRIM(C4467)," ",REPT(" ",255)),255))," ")</f>
        <v xml:space="preserve"> </v>
      </c>
      <c r="G4467" s="110">
        <f>COPY!Z4459</f>
        <v>0</v>
      </c>
      <c r="H4467" s="111" t="str">
        <f>IFERROR(VLOOKUP(Table1722[[#This Row],[Bukti]],'Un nOTA'!$A$4:$K$5003,10,FALSE),"")</f>
        <v/>
      </c>
      <c r="I4467" s="123" t="str">
        <f>IFERROR(VLOOKUP(Table1722[[#This Row],[Bukti]],Table13[#Data],11,FALSE),"")</f>
        <v/>
      </c>
    </row>
    <row r="4468" spans="1:9" hidden="1" x14ac:dyDescent="0.2">
      <c r="A4468" s="105" t="str">
        <f>IF(D4468=1,COUNTIF($D$10:D4468,1)," ")</f>
        <v xml:space="preserve"> </v>
      </c>
      <c r="B4468" s="106">
        <f>COPY!AR4460</f>
        <v>0</v>
      </c>
      <c r="C4468" s="107">
        <f>COPY!AC4460</f>
        <v>0</v>
      </c>
      <c r="D4468" s="107" t="str">
        <f>IF(LEN(Table1722[[#This Row],[Uraian]])&gt;2,1," ")</f>
        <v xml:space="preserve"> </v>
      </c>
      <c r="E4468" s="113" t="str">
        <f>IF(Table1722[[#This Row],[Lawan Transaksi]]="CV AGUNG KARYA",COUNTIF($I$10:I4468,"CV AGUNG KARYA")," ")</f>
        <v xml:space="preserve"> </v>
      </c>
      <c r="F4468" s="107" t="str">
        <f>IF(LEN(Table1722[[#This Row],[Uraian]])&gt;2,TRIM(RIGHT(SUBSTITUTE(TRIM(C4468)," ",REPT(" ",255)),255))," ")</f>
        <v xml:space="preserve"> </v>
      </c>
      <c r="G4468" s="110">
        <f>COPY!Z4460</f>
        <v>0</v>
      </c>
      <c r="H4468" s="111" t="str">
        <f>IFERROR(VLOOKUP(Table1722[[#This Row],[Bukti]],'Un nOTA'!$A$4:$K$5003,10,FALSE),"")</f>
        <v/>
      </c>
      <c r="I4468" s="123" t="str">
        <f>IFERROR(VLOOKUP(Table1722[[#This Row],[Bukti]],Table13[#Data],11,FALSE),"")</f>
        <v/>
      </c>
    </row>
    <row r="4469" spans="1:9" hidden="1" x14ac:dyDescent="0.2">
      <c r="A4469" s="105" t="str">
        <f>IF(D4469=1,COUNTIF($D$10:D4469,1)," ")</f>
        <v xml:space="preserve"> </v>
      </c>
      <c r="B4469" s="106">
        <f>COPY!AR4461</f>
        <v>0</v>
      </c>
      <c r="C4469" s="107">
        <f>COPY!AC4461</f>
        <v>0</v>
      </c>
      <c r="D4469" s="107" t="str">
        <f>IF(LEN(Table1722[[#This Row],[Uraian]])&gt;2,1," ")</f>
        <v xml:space="preserve"> </v>
      </c>
      <c r="E4469" s="113" t="str">
        <f>IF(Table1722[[#This Row],[Lawan Transaksi]]="CV AGUNG KARYA",COUNTIF($I$10:I4469,"CV AGUNG KARYA")," ")</f>
        <v xml:space="preserve"> </v>
      </c>
      <c r="F4469" s="107" t="str">
        <f>IF(LEN(Table1722[[#This Row],[Uraian]])&gt;2,TRIM(RIGHT(SUBSTITUTE(TRIM(C4469)," ",REPT(" ",255)),255))," ")</f>
        <v xml:space="preserve"> </v>
      </c>
      <c r="G4469" s="110">
        <f>COPY!Z4461</f>
        <v>0</v>
      </c>
      <c r="H4469" s="111" t="str">
        <f>IFERROR(VLOOKUP(Table1722[[#This Row],[Bukti]],'Un nOTA'!$A$4:$K$5003,10,FALSE),"")</f>
        <v/>
      </c>
      <c r="I4469" s="123" t="str">
        <f>IFERROR(VLOOKUP(Table1722[[#This Row],[Bukti]],Table13[#Data],11,FALSE),"")</f>
        <v/>
      </c>
    </row>
    <row r="4470" spans="1:9" hidden="1" x14ac:dyDescent="0.2">
      <c r="A4470" s="105" t="str">
        <f>IF(D4470=1,COUNTIF($D$10:D4470,1)," ")</f>
        <v xml:space="preserve"> </v>
      </c>
      <c r="B4470" s="106">
        <f>COPY!AR4462</f>
        <v>0</v>
      </c>
      <c r="C4470" s="107">
        <f>COPY!AC4462</f>
        <v>0</v>
      </c>
      <c r="D4470" s="107" t="str">
        <f>IF(LEN(Table1722[[#This Row],[Uraian]])&gt;2,1," ")</f>
        <v xml:space="preserve"> </v>
      </c>
      <c r="E4470" s="113" t="str">
        <f>IF(Table1722[[#This Row],[Lawan Transaksi]]="CV AGUNG KARYA",COUNTIF($I$10:I4470,"CV AGUNG KARYA")," ")</f>
        <v xml:space="preserve"> </v>
      </c>
      <c r="F4470" s="107" t="str">
        <f>IF(LEN(Table1722[[#This Row],[Uraian]])&gt;2,TRIM(RIGHT(SUBSTITUTE(TRIM(C4470)," ",REPT(" ",255)),255))," ")</f>
        <v xml:space="preserve"> </v>
      </c>
      <c r="G4470" s="110">
        <f>COPY!Z4462</f>
        <v>0</v>
      </c>
      <c r="H4470" s="111" t="str">
        <f>IFERROR(VLOOKUP(Table1722[[#This Row],[Bukti]],'Un nOTA'!$A$4:$K$5003,10,FALSE),"")</f>
        <v/>
      </c>
      <c r="I4470" s="123" t="str">
        <f>IFERROR(VLOOKUP(Table1722[[#This Row],[Bukti]],Table13[#Data],11,FALSE),"")</f>
        <v/>
      </c>
    </row>
    <row r="4471" spans="1:9" hidden="1" x14ac:dyDescent="0.2">
      <c r="A4471" s="105" t="str">
        <f>IF(D4471=1,COUNTIF($D$10:D4471,1)," ")</f>
        <v xml:space="preserve"> </v>
      </c>
      <c r="B4471" s="106">
        <f>COPY!AR4463</f>
        <v>0</v>
      </c>
      <c r="C4471" s="107">
        <f>COPY!AC4463</f>
        <v>0</v>
      </c>
      <c r="D4471" s="107" t="str">
        <f>IF(LEN(Table1722[[#This Row],[Uraian]])&gt;2,1," ")</f>
        <v xml:space="preserve"> </v>
      </c>
      <c r="E4471" s="113" t="str">
        <f>IF(Table1722[[#This Row],[Lawan Transaksi]]="CV AGUNG KARYA",COUNTIF($I$10:I4471,"CV AGUNG KARYA")," ")</f>
        <v xml:space="preserve"> </v>
      </c>
      <c r="F4471" s="107" t="str">
        <f>IF(LEN(Table1722[[#This Row],[Uraian]])&gt;2,TRIM(RIGHT(SUBSTITUTE(TRIM(C4471)," ",REPT(" ",255)),255))," ")</f>
        <v xml:space="preserve"> </v>
      </c>
      <c r="G4471" s="110">
        <f>COPY!Z4463</f>
        <v>0</v>
      </c>
      <c r="H4471" s="111" t="str">
        <f>IFERROR(VLOOKUP(Table1722[[#This Row],[Bukti]],'Un nOTA'!$A$4:$K$5003,10,FALSE),"")</f>
        <v/>
      </c>
      <c r="I4471" s="123" t="str">
        <f>IFERROR(VLOOKUP(Table1722[[#This Row],[Bukti]],Table13[#Data],11,FALSE),"")</f>
        <v/>
      </c>
    </row>
    <row r="4472" spans="1:9" hidden="1" x14ac:dyDescent="0.2">
      <c r="A4472" s="105" t="str">
        <f>IF(D4472=1,COUNTIF($D$10:D4472,1)," ")</f>
        <v xml:space="preserve"> </v>
      </c>
      <c r="B4472" s="106">
        <f>COPY!AR4464</f>
        <v>0</v>
      </c>
      <c r="C4472" s="107">
        <f>COPY!AC4464</f>
        <v>0</v>
      </c>
      <c r="D4472" s="107" t="str">
        <f>IF(LEN(Table1722[[#This Row],[Uraian]])&gt;2,1," ")</f>
        <v xml:space="preserve"> </v>
      </c>
      <c r="E4472" s="113" t="str">
        <f>IF(Table1722[[#This Row],[Lawan Transaksi]]="CV AGUNG KARYA",COUNTIF($I$10:I4472,"CV AGUNG KARYA")," ")</f>
        <v xml:space="preserve"> </v>
      </c>
      <c r="F4472" s="107" t="str">
        <f>IF(LEN(Table1722[[#This Row],[Uraian]])&gt;2,TRIM(RIGHT(SUBSTITUTE(TRIM(C4472)," ",REPT(" ",255)),255))," ")</f>
        <v xml:space="preserve"> </v>
      </c>
      <c r="G4472" s="110">
        <f>COPY!Z4464</f>
        <v>0</v>
      </c>
      <c r="H4472" s="111" t="str">
        <f>IFERROR(VLOOKUP(Table1722[[#This Row],[Bukti]],'Un nOTA'!$A$4:$K$5003,10,FALSE),"")</f>
        <v/>
      </c>
      <c r="I4472" s="123" t="str">
        <f>IFERROR(VLOOKUP(Table1722[[#This Row],[Bukti]],Table13[#Data],11,FALSE),"")</f>
        <v/>
      </c>
    </row>
    <row r="4473" spans="1:9" hidden="1" x14ac:dyDescent="0.2">
      <c r="A4473" s="105" t="str">
        <f>IF(D4473=1,COUNTIF($D$10:D4473,1)," ")</f>
        <v xml:space="preserve"> </v>
      </c>
      <c r="B4473" s="106">
        <f>COPY!AR4465</f>
        <v>0</v>
      </c>
      <c r="C4473" s="107">
        <f>COPY!AC4465</f>
        <v>0</v>
      </c>
      <c r="D4473" s="107" t="str">
        <f>IF(LEN(Table1722[[#This Row],[Uraian]])&gt;2,1," ")</f>
        <v xml:space="preserve"> </v>
      </c>
      <c r="E4473" s="113" t="str">
        <f>IF(Table1722[[#This Row],[Lawan Transaksi]]="CV AGUNG KARYA",COUNTIF($I$10:I4473,"CV AGUNG KARYA")," ")</f>
        <v xml:space="preserve"> </v>
      </c>
      <c r="F4473" s="107" t="str">
        <f>IF(LEN(Table1722[[#This Row],[Uraian]])&gt;2,TRIM(RIGHT(SUBSTITUTE(TRIM(C4473)," ",REPT(" ",255)),255))," ")</f>
        <v xml:space="preserve"> </v>
      </c>
      <c r="G4473" s="110">
        <f>COPY!Z4465</f>
        <v>0</v>
      </c>
      <c r="H4473" s="111" t="str">
        <f>IFERROR(VLOOKUP(Table1722[[#This Row],[Bukti]],'Un nOTA'!$A$4:$K$5003,10,FALSE),"")</f>
        <v/>
      </c>
      <c r="I4473" s="123" t="str">
        <f>IFERROR(VLOOKUP(Table1722[[#This Row],[Bukti]],Table13[#Data],11,FALSE),"")</f>
        <v/>
      </c>
    </row>
    <row r="4474" spans="1:9" hidden="1" x14ac:dyDescent="0.2">
      <c r="A4474" s="105" t="str">
        <f>IF(D4474=1,COUNTIF($D$10:D4474,1)," ")</f>
        <v xml:space="preserve"> </v>
      </c>
      <c r="B4474" s="106">
        <f>COPY!AR4466</f>
        <v>0</v>
      </c>
      <c r="C4474" s="107">
        <f>COPY!AC4466</f>
        <v>0</v>
      </c>
      <c r="D4474" s="107" t="str">
        <f>IF(LEN(Table1722[[#This Row],[Uraian]])&gt;2,1," ")</f>
        <v xml:space="preserve"> </v>
      </c>
      <c r="E4474" s="113" t="str">
        <f>IF(Table1722[[#This Row],[Lawan Transaksi]]="CV AGUNG KARYA",COUNTIF($I$10:I4474,"CV AGUNG KARYA")," ")</f>
        <v xml:space="preserve"> </v>
      </c>
      <c r="F4474" s="107" t="str">
        <f>IF(LEN(Table1722[[#This Row],[Uraian]])&gt;2,TRIM(RIGHT(SUBSTITUTE(TRIM(C4474)," ",REPT(" ",255)),255))," ")</f>
        <v xml:space="preserve"> </v>
      </c>
      <c r="G4474" s="110">
        <f>COPY!Z4466</f>
        <v>0</v>
      </c>
      <c r="H4474" s="111" t="str">
        <f>IFERROR(VLOOKUP(Table1722[[#This Row],[Bukti]],'Un nOTA'!$A$4:$K$5003,10,FALSE),"")</f>
        <v/>
      </c>
      <c r="I4474" s="123" t="str">
        <f>IFERROR(VLOOKUP(Table1722[[#This Row],[Bukti]],Table13[#Data],11,FALSE),"")</f>
        <v/>
      </c>
    </row>
    <row r="4475" spans="1:9" hidden="1" x14ac:dyDescent="0.2">
      <c r="A4475" s="105" t="str">
        <f>IF(D4475=1,COUNTIF($D$10:D4475,1)," ")</f>
        <v xml:space="preserve"> </v>
      </c>
      <c r="B4475" s="106">
        <f>COPY!AR4467</f>
        <v>0</v>
      </c>
      <c r="C4475" s="107">
        <f>COPY!AC4467</f>
        <v>0</v>
      </c>
      <c r="D4475" s="107" t="str">
        <f>IF(LEN(Table1722[[#This Row],[Uraian]])&gt;2,1," ")</f>
        <v xml:space="preserve"> </v>
      </c>
      <c r="E4475" s="113" t="str">
        <f>IF(Table1722[[#This Row],[Lawan Transaksi]]="CV AGUNG KARYA",COUNTIF($I$10:I4475,"CV AGUNG KARYA")," ")</f>
        <v xml:space="preserve"> </v>
      </c>
      <c r="F4475" s="107" t="str">
        <f>IF(LEN(Table1722[[#This Row],[Uraian]])&gt;2,TRIM(RIGHT(SUBSTITUTE(TRIM(C4475)," ",REPT(" ",255)),255))," ")</f>
        <v xml:space="preserve"> </v>
      </c>
      <c r="G4475" s="110">
        <f>COPY!Z4467</f>
        <v>0</v>
      </c>
      <c r="H4475" s="111" t="str">
        <f>IFERROR(VLOOKUP(Table1722[[#This Row],[Bukti]],'Un nOTA'!$A$4:$K$5003,10,FALSE),"")</f>
        <v/>
      </c>
      <c r="I4475" s="123" t="str">
        <f>IFERROR(VLOOKUP(Table1722[[#This Row],[Bukti]],Table13[#Data],11,FALSE),"")</f>
        <v/>
      </c>
    </row>
    <row r="4476" spans="1:9" hidden="1" x14ac:dyDescent="0.2">
      <c r="A4476" s="105" t="str">
        <f>IF(D4476=1,COUNTIF($D$10:D4476,1)," ")</f>
        <v xml:space="preserve"> </v>
      </c>
      <c r="B4476" s="106">
        <f>COPY!AR4468</f>
        <v>0</v>
      </c>
      <c r="C4476" s="107">
        <f>COPY!AC4468</f>
        <v>0</v>
      </c>
      <c r="D4476" s="107" t="str">
        <f>IF(LEN(Table1722[[#This Row],[Uraian]])&gt;2,1," ")</f>
        <v xml:space="preserve"> </v>
      </c>
      <c r="E4476" s="113" t="str">
        <f>IF(Table1722[[#This Row],[Lawan Transaksi]]="CV AGUNG KARYA",COUNTIF($I$10:I4476,"CV AGUNG KARYA")," ")</f>
        <v xml:space="preserve"> </v>
      </c>
      <c r="F4476" s="107" t="str">
        <f>IF(LEN(Table1722[[#This Row],[Uraian]])&gt;2,TRIM(RIGHT(SUBSTITUTE(TRIM(C4476)," ",REPT(" ",255)),255))," ")</f>
        <v xml:space="preserve"> </v>
      </c>
      <c r="G4476" s="110">
        <f>COPY!Z4468</f>
        <v>0</v>
      </c>
      <c r="H4476" s="111" t="str">
        <f>IFERROR(VLOOKUP(Table1722[[#This Row],[Bukti]],'Un nOTA'!$A$4:$K$5003,10,FALSE),"")</f>
        <v/>
      </c>
      <c r="I4476" s="123" t="str">
        <f>IFERROR(VLOOKUP(Table1722[[#This Row],[Bukti]],Table13[#Data],11,FALSE),"")</f>
        <v/>
      </c>
    </row>
    <row r="4477" spans="1:9" hidden="1" x14ac:dyDescent="0.2">
      <c r="A4477" s="105" t="str">
        <f>IF(D4477=1,COUNTIF($D$10:D4477,1)," ")</f>
        <v xml:space="preserve"> </v>
      </c>
      <c r="B4477" s="106">
        <f>COPY!AR4469</f>
        <v>0</v>
      </c>
      <c r="C4477" s="107">
        <f>COPY!AC4469</f>
        <v>0</v>
      </c>
      <c r="D4477" s="107" t="str">
        <f>IF(LEN(Table1722[[#This Row],[Uraian]])&gt;2,1," ")</f>
        <v xml:space="preserve"> </v>
      </c>
      <c r="E4477" s="113" t="str">
        <f>IF(Table1722[[#This Row],[Lawan Transaksi]]="CV AGUNG KARYA",COUNTIF($I$10:I4477,"CV AGUNG KARYA")," ")</f>
        <v xml:space="preserve"> </v>
      </c>
      <c r="F4477" s="107" t="str">
        <f>IF(LEN(Table1722[[#This Row],[Uraian]])&gt;2,TRIM(RIGHT(SUBSTITUTE(TRIM(C4477)," ",REPT(" ",255)),255))," ")</f>
        <v xml:space="preserve"> </v>
      </c>
      <c r="G4477" s="110">
        <f>COPY!Z4469</f>
        <v>0</v>
      </c>
      <c r="H4477" s="111" t="str">
        <f>IFERROR(VLOOKUP(Table1722[[#This Row],[Bukti]],'Un nOTA'!$A$4:$K$5003,10,FALSE),"")</f>
        <v/>
      </c>
      <c r="I4477" s="123" t="str">
        <f>IFERROR(VLOOKUP(Table1722[[#This Row],[Bukti]],Table13[#Data],11,FALSE),"")</f>
        <v/>
      </c>
    </row>
    <row r="4478" spans="1:9" hidden="1" x14ac:dyDescent="0.2">
      <c r="A4478" s="105" t="str">
        <f>IF(D4478=1,COUNTIF($D$10:D4478,1)," ")</f>
        <v xml:space="preserve"> </v>
      </c>
      <c r="B4478" s="106">
        <f>COPY!AR4470</f>
        <v>0</v>
      </c>
      <c r="C4478" s="107">
        <f>COPY!AC4470</f>
        <v>0</v>
      </c>
      <c r="D4478" s="107" t="str">
        <f>IF(LEN(Table1722[[#This Row],[Uraian]])&gt;2,1," ")</f>
        <v xml:space="preserve"> </v>
      </c>
      <c r="E4478" s="113" t="str">
        <f>IF(Table1722[[#This Row],[Lawan Transaksi]]="CV AGUNG KARYA",COUNTIF($I$10:I4478,"CV AGUNG KARYA")," ")</f>
        <v xml:space="preserve"> </v>
      </c>
      <c r="F4478" s="107" t="str">
        <f>IF(LEN(Table1722[[#This Row],[Uraian]])&gt;2,TRIM(RIGHT(SUBSTITUTE(TRIM(C4478)," ",REPT(" ",255)),255))," ")</f>
        <v xml:space="preserve"> </v>
      </c>
      <c r="G4478" s="110">
        <f>COPY!Z4470</f>
        <v>0</v>
      </c>
      <c r="H4478" s="111" t="str">
        <f>IFERROR(VLOOKUP(Table1722[[#This Row],[Bukti]],'Un nOTA'!$A$4:$K$5003,10,FALSE),"")</f>
        <v/>
      </c>
      <c r="I4478" s="123" t="str">
        <f>IFERROR(VLOOKUP(Table1722[[#This Row],[Bukti]],Table13[#Data],11,FALSE),"")</f>
        <v/>
      </c>
    </row>
    <row r="4479" spans="1:9" hidden="1" x14ac:dyDescent="0.2">
      <c r="A4479" s="105" t="str">
        <f>IF(D4479=1,COUNTIF($D$10:D4479,1)," ")</f>
        <v xml:space="preserve"> </v>
      </c>
      <c r="B4479" s="106">
        <f>COPY!AR4471</f>
        <v>0</v>
      </c>
      <c r="C4479" s="107">
        <f>COPY!AC4471</f>
        <v>0</v>
      </c>
      <c r="D4479" s="107" t="str">
        <f>IF(LEN(Table1722[[#This Row],[Uraian]])&gt;2,1," ")</f>
        <v xml:space="preserve"> </v>
      </c>
      <c r="E4479" s="113" t="str">
        <f>IF(Table1722[[#This Row],[Lawan Transaksi]]="CV AGUNG KARYA",COUNTIF($I$10:I4479,"CV AGUNG KARYA")," ")</f>
        <v xml:space="preserve"> </v>
      </c>
      <c r="F4479" s="107" t="str">
        <f>IF(LEN(Table1722[[#This Row],[Uraian]])&gt;2,TRIM(RIGHT(SUBSTITUTE(TRIM(C4479)," ",REPT(" ",255)),255))," ")</f>
        <v xml:space="preserve"> </v>
      </c>
      <c r="G4479" s="110">
        <f>COPY!Z4471</f>
        <v>0</v>
      </c>
      <c r="H4479" s="111" t="str">
        <f>IFERROR(VLOOKUP(Table1722[[#This Row],[Bukti]],'Un nOTA'!$A$4:$K$5003,10,FALSE),"")</f>
        <v/>
      </c>
      <c r="I4479" s="123" t="str">
        <f>IFERROR(VLOOKUP(Table1722[[#This Row],[Bukti]],Table13[#Data],11,FALSE),"")</f>
        <v/>
      </c>
    </row>
    <row r="4480" spans="1:9" hidden="1" x14ac:dyDescent="0.2">
      <c r="A4480" s="105" t="str">
        <f>IF(D4480=1,COUNTIF($D$10:D4480,1)," ")</f>
        <v xml:space="preserve"> </v>
      </c>
      <c r="B4480" s="106">
        <f>COPY!AR4472</f>
        <v>0</v>
      </c>
      <c r="C4480" s="107">
        <f>COPY!AC4472</f>
        <v>0</v>
      </c>
      <c r="D4480" s="107" t="str">
        <f>IF(LEN(Table1722[[#This Row],[Uraian]])&gt;2,1," ")</f>
        <v xml:space="preserve"> </v>
      </c>
      <c r="E4480" s="113" t="str">
        <f>IF(Table1722[[#This Row],[Lawan Transaksi]]="CV AGUNG KARYA",COUNTIF($I$10:I4480,"CV AGUNG KARYA")," ")</f>
        <v xml:space="preserve"> </v>
      </c>
      <c r="F4480" s="107" t="str">
        <f>IF(LEN(Table1722[[#This Row],[Uraian]])&gt;2,TRIM(RIGHT(SUBSTITUTE(TRIM(C4480)," ",REPT(" ",255)),255))," ")</f>
        <v xml:space="preserve"> </v>
      </c>
      <c r="G4480" s="110">
        <f>COPY!Z4472</f>
        <v>0</v>
      </c>
      <c r="H4480" s="111" t="str">
        <f>IFERROR(VLOOKUP(Table1722[[#This Row],[Bukti]],'Un nOTA'!$A$4:$K$5003,10,FALSE),"")</f>
        <v/>
      </c>
      <c r="I4480" s="123" t="str">
        <f>IFERROR(VLOOKUP(Table1722[[#This Row],[Bukti]],Table13[#Data],11,FALSE),"")</f>
        <v/>
      </c>
    </row>
    <row r="4481" spans="1:9" hidden="1" x14ac:dyDescent="0.2">
      <c r="A4481" s="105" t="str">
        <f>IF(D4481=1,COUNTIF($D$10:D4481,1)," ")</f>
        <v xml:space="preserve"> </v>
      </c>
      <c r="B4481" s="106">
        <f>COPY!AR4473</f>
        <v>0</v>
      </c>
      <c r="C4481" s="107">
        <f>COPY!AC4473</f>
        <v>0</v>
      </c>
      <c r="D4481" s="107" t="str">
        <f>IF(LEN(Table1722[[#This Row],[Uraian]])&gt;2,1," ")</f>
        <v xml:space="preserve"> </v>
      </c>
      <c r="E4481" s="113" t="str">
        <f>IF(Table1722[[#This Row],[Lawan Transaksi]]="CV AGUNG KARYA",COUNTIF($I$10:I4481,"CV AGUNG KARYA")," ")</f>
        <v xml:space="preserve"> </v>
      </c>
      <c r="F4481" s="107" t="str">
        <f>IF(LEN(Table1722[[#This Row],[Uraian]])&gt;2,TRIM(RIGHT(SUBSTITUTE(TRIM(C4481)," ",REPT(" ",255)),255))," ")</f>
        <v xml:space="preserve"> </v>
      </c>
      <c r="G4481" s="110">
        <f>COPY!Z4473</f>
        <v>0</v>
      </c>
      <c r="H4481" s="111" t="str">
        <f>IFERROR(VLOOKUP(Table1722[[#This Row],[Bukti]],'Un nOTA'!$A$4:$K$5003,10,FALSE),"")</f>
        <v/>
      </c>
      <c r="I4481" s="123" t="str">
        <f>IFERROR(VLOOKUP(Table1722[[#This Row],[Bukti]],Table13[#Data],11,FALSE),"")</f>
        <v/>
      </c>
    </row>
    <row r="4482" spans="1:9" hidden="1" x14ac:dyDescent="0.2">
      <c r="A4482" s="105" t="str">
        <f>IF(D4482=1,COUNTIF($D$10:D4482,1)," ")</f>
        <v xml:space="preserve"> </v>
      </c>
      <c r="B4482" s="106">
        <f>COPY!AR4474</f>
        <v>0</v>
      </c>
      <c r="C4482" s="107">
        <f>COPY!AC4474</f>
        <v>0</v>
      </c>
      <c r="D4482" s="107" t="str">
        <f>IF(LEN(Table1722[[#This Row],[Uraian]])&gt;2,1," ")</f>
        <v xml:space="preserve"> </v>
      </c>
      <c r="E4482" s="113" t="str">
        <f>IF(Table1722[[#This Row],[Lawan Transaksi]]="CV AGUNG KARYA",COUNTIF($I$10:I4482,"CV AGUNG KARYA")," ")</f>
        <v xml:space="preserve"> </v>
      </c>
      <c r="F4482" s="107" t="str">
        <f>IF(LEN(Table1722[[#This Row],[Uraian]])&gt;2,TRIM(RIGHT(SUBSTITUTE(TRIM(C4482)," ",REPT(" ",255)),255))," ")</f>
        <v xml:space="preserve"> </v>
      </c>
      <c r="G4482" s="110">
        <f>COPY!Z4474</f>
        <v>0</v>
      </c>
      <c r="H4482" s="111" t="str">
        <f>IFERROR(VLOOKUP(Table1722[[#This Row],[Bukti]],'Un nOTA'!$A$4:$K$5003,10,FALSE),"")</f>
        <v/>
      </c>
      <c r="I4482" s="123" t="str">
        <f>IFERROR(VLOOKUP(Table1722[[#This Row],[Bukti]],Table13[#Data],11,FALSE),"")</f>
        <v/>
      </c>
    </row>
    <row r="4483" spans="1:9" hidden="1" x14ac:dyDescent="0.2">
      <c r="A4483" s="105" t="str">
        <f>IF(D4483=1,COUNTIF($D$10:D4483,1)," ")</f>
        <v xml:space="preserve"> </v>
      </c>
      <c r="B4483" s="106">
        <f>COPY!AR4475</f>
        <v>0</v>
      </c>
      <c r="C4483" s="107">
        <f>COPY!AC4475</f>
        <v>0</v>
      </c>
      <c r="D4483" s="107" t="str">
        <f>IF(LEN(Table1722[[#This Row],[Uraian]])&gt;2,1," ")</f>
        <v xml:space="preserve"> </v>
      </c>
      <c r="E4483" s="113" t="str">
        <f>IF(Table1722[[#This Row],[Lawan Transaksi]]="CV AGUNG KARYA",COUNTIF($I$10:I4483,"CV AGUNG KARYA")," ")</f>
        <v xml:space="preserve"> </v>
      </c>
      <c r="F4483" s="107" t="str">
        <f>IF(LEN(Table1722[[#This Row],[Uraian]])&gt;2,TRIM(RIGHT(SUBSTITUTE(TRIM(C4483)," ",REPT(" ",255)),255))," ")</f>
        <v xml:space="preserve"> </v>
      </c>
      <c r="G4483" s="110">
        <f>COPY!Z4475</f>
        <v>0</v>
      </c>
      <c r="H4483" s="111" t="str">
        <f>IFERROR(VLOOKUP(Table1722[[#This Row],[Bukti]],'Un nOTA'!$A$4:$K$5003,10,FALSE),"")</f>
        <v/>
      </c>
      <c r="I4483" s="123" t="str">
        <f>IFERROR(VLOOKUP(Table1722[[#This Row],[Bukti]],Table13[#Data],11,FALSE),"")</f>
        <v/>
      </c>
    </row>
    <row r="4484" spans="1:9" hidden="1" x14ac:dyDescent="0.2">
      <c r="A4484" s="105" t="str">
        <f>IF(D4484=1,COUNTIF($D$10:D4484,1)," ")</f>
        <v xml:space="preserve"> </v>
      </c>
      <c r="B4484" s="106">
        <f>COPY!AR4476</f>
        <v>0</v>
      </c>
      <c r="C4484" s="107">
        <f>COPY!AC4476</f>
        <v>0</v>
      </c>
      <c r="D4484" s="107" t="str">
        <f>IF(LEN(Table1722[[#This Row],[Uraian]])&gt;2,1," ")</f>
        <v xml:space="preserve"> </v>
      </c>
      <c r="E4484" s="113" t="str">
        <f>IF(Table1722[[#This Row],[Lawan Transaksi]]="CV AGUNG KARYA",COUNTIF($I$10:I4484,"CV AGUNG KARYA")," ")</f>
        <v xml:space="preserve"> </v>
      </c>
      <c r="F4484" s="107" t="str">
        <f>IF(LEN(Table1722[[#This Row],[Uraian]])&gt;2,TRIM(RIGHT(SUBSTITUTE(TRIM(C4484)," ",REPT(" ",255)),255))," ")</f>
        <v xml:space="preserve"> </v>
      </c>
      <c r="G4484" s="110">
        <f>COPY!Z4476</f>
        <v>0</v>
      </c>
      <c r="H4484" s="111" t="str">
        <f>IFERROR(VLOOKUP(Table1722[[#This Row],[Bukti]],'Un nOTA'!$A$4:$K$5003,10,FALSE),"")</f>
        <v/>
      </c>
      <c r="I4484" s="123" t="str">
        <f>IFERROR(VLOOKUP(Table1722[[#This Row],[Bukti]],Table13[#Data],11,FALSE),"")</f>
        <v/>
      </c>
    </row>
    <row r="4485" spans="1:9" hidden="1" x14ac:dyDescent="0.2">
      <c r="A4485" s="105" t="str">
        <f>IF(D4485=1,COUNTIF($D$10:D4485,1)," ")</f>
        <v xml:space="preserve"> </v>
      </c>
      <c r="B4485" s="106">
        <f>COPY!AR4477</f>
        <v>0</v>
      </c>
      <c r="C4485" s="107">
        <f>COPY!AC4477</f>
        <v>0</v>
      </c>
      <c r="D4485" s="107" t="str">
        <f>IF(LEN(Table1722[[#This Row],[Uraian]])&gt;2,1," ")</f>
        <v xml:space="preserve"> </v>
      </c>
      <c r="E4485" s="113" t="str">
        <f>IF(Table1722[[#This Row],[Lawan Transaksi]]="CV AGUNG KARYA",COUNTIF($I$10:I4485,"CV AGUNG KARYA")," ")</f>
        <v xml:space="preserve"> </v>
      </c>
      <c r="F4485" s="107" t="str">
        <f>IF(LEN(Table1722[[#This Row],[Uraian]])&gt;2,TRIM(RIGHT(SUBSTITUTE(TRIM(C4485)," ",REPT(" ",255)),255))," ")</f>
        <v xml:space="preserve"> </v>
      </c>
      <c r="G4485" s="110">
        <f>COPY!Z4477</f>
        <v>0</v>
      </c>
      <c r="H4485" s="111" t="str">
        <f>IFERROR(VLOOKUP(Table1722[[#This Row],[Bukti]],'Un nOTA'!$A$4:$K$5003,10,FALSE),"")</f>
        <v/>
      </c>
      <c r="I4485" s="123" t="str">
        <f>IFERROR(VLOOKUP(Table1722[[#This Row],[Bukti]],Table13[#Data],11,FALSE),"")</f>
        <v/>
      </c>
    </row>
    <row r="4486" spans="1:9" hidden="1" x14ac:dyDescent="0.2">
      <c r="A4486" s="105" t="str">
        <f>IF(D4486=1,COUNTIF($D$10:D4486,1)," ")</f>
        <v xml:space="preserve"> </v>
      </c>
      <c r="B4486" s="106">
        <f>COPY!AR4478</f>
        <v>0</v>
      </c>
      <c r="C4486" s="107">
        <f>COPY!AC4478</f>
        <v>0</v>
      </c>
      <c r="D4486" s="107" t="str">
        <f>IF(LEN(Table1722[[#This Row],[Uraian]])&gt;2,1," ")</f>
        <v xml:space="preserve"> </v>
      </c>
      <c r="E4486" s="113" t="str">
        <f>IF(Table1722[[#This Row],[Lawan Transaksi]]="CV AGUNG KARYA",COUNTIF($I$10:I4486,"CV AGUNG KARYA")," ")</f>
        <v xml:space="preserve"> </v>
      </c>
      <c r="F4486" s="107" t="str">
        <f>IF(LEN(Table1722[[#This Row],[Uraian]])&gt;2,TRIM(RIGHT(SUBSTITUTE(TRIM(C4486)," ",REPT(" ",255)),255))," ")</f>
        <v xml:space="preserve"> </v>
      </c>
      <c r="G4486" s="110">
        <f>COPY!Z4478</f>
        <v>0</v>
      </c>
      <c r="H4486" s="111" t="str">
        <f>IFERROR(VLOOKUP(Table1722[[#This Row],[Bukti]],'Un nOTA'!$A$4:$K$5003,10,FALSE),"")</f>
        <v/>
      </c>
      <c r="I4486" s="123" t="str">
        <f>IFERROR(VLOOKUP(Table1722[[#This Row],[Bukti]],Table13[#Data],11,FALSE),"")</f>
        <v/>
      </c>
    </row>
    <row r="4487" spans="1:9" hidden="1" x14ac:dyDescent="0.2">
      <c r="A4487" s="105" t="str">
        <f>IF(D4487=1,COUNTIF($D$10:D4487,1)," ")</f>
        <v xml:space="preserve"> </v>
      </c>
      <c r="B4487" s="106">
        <f>COPY!AR4479</f>
        <v>0</v>
      </c>
      <c r="C4487" s="107">
        <f>COPY!AC4479</f>
        <v>0</v>
      </c>
      <c r="D4487" s="107" t="str">
        <f>IF(LEN(Table1722[[#This Row],[Uraian]])&gt;2,1," ")</f>
        <v xml:space="preserve"> </v>
      </c>
      <c r="E4487" s="113" t="str">
        <f>IF(Table1722[[#This Row],[Lawan Transaksi]]="CV AGUNG KARYA",COUNTIF($I$10:I4487,"CV AGUNG KARYA")," ")</f>
        <v xml:space="preserve"> </v>
      </c>
      <c r="F4487" s="107" t="str">
        <f>IF(LEN(Table1722[[#This Row],[Uraian]])&gt;2,TRIM(RIGHT(SUBSTITUTE(TRIM(C4487)," ",REPT(" ",255)),255))," ")</f>
        <v xml:space="preserve"> </v>
      </c>
      <c r="G4487" s="110">
        <f>COPY!Z4479</f>
        <v>0</v>
      </c>
      <c r="H4487" s="111" t="str">
        <f>IFERROR(VLOOKUP(Table1722[[#This Row],[Bukti]],'Un nOTA'!$A$4:$K$5003,10,FALSE),"")</f>
        <v/>
      </c>
      <c r="I4487" s="123" t="str">
        <f>IFERROR(VLOOKUP(Table1722[[#This Row],[Bukti]],Table13[#Data],11,FALSE),"")</f>
        <v/>
      </c>
    </row>
    <row r="4488" spans="1:9" hidden="1" x14ac:dyDescent="0.2">
      <c r="A4488" s="105" t="str">
        <f>IF(D4488=1,COUNTIF($D$10:D4488,1)," ")</f>
        <v xml:space="preserve"> </v>
      </c>
      <c r="B4488" s="106">
        <f>COPY!AR4480</f>
        <v>0</v>
      </c>
      <c r="C4488" s="107">
        <f>COPY!AC4480</f>
        <v>0</v>
      </c>
      <c r="D4488" s="107" t="str">
        <f>IF(LEN(Table1722[[#This Row],[Uraian]])&gt;2,1," ")</f>
        <v xml:space="preserve"> </v>
      </c>
      <c r="E4488" s="113" t="str">
        <f>IF(Table1722[[#This Row],[Lawan Transaksi]]="CV AGUNG KARYA",COUNTIF($I$10:I4488,"CV AGUNG KARYA")," ")</f>
        <v xml:space="preserve"> </v>
      </c>
      <c r="F4488" s="107" t="str">
        <f>IF(LEN(Table1722[[#This Row],[Uraian]])&gt;2,TRIM(RIGHT(SUBSTITUTE(TRIM(C4488)," ",REPT(" ",255)),255))," ")</f>
        <v xml:space="preserve"> </v>
      </c>
      <c r="G4488" s="110">
        <f>COPY!Z4480</f>
        <v>0</v>
      </c>
      <c r="H4488" s="111" t="str">
        <f>IFERROR(VLOOKUP(Table1722[[#This Row],[Bukti]],'Un nOTA'!$A$4:$K$5003,10,FALSE),"")</f>
        <v/>
      </c>
      <c r="I4488" s="123" t="str">
        <f>IFERROR(VLOOKUP(Table1722[[#This Row],[Bukti]],Table13[#Data],11,FALSE),"")</f>
        <v/>
      </c>
    </row>
    <row r="4489" spans="1:9" hidden="1" x14ac:dyDescent="0.2">
      <c r="A4489" s="105" t="str">
        <f>IF(D4489=1,COUNTIF($D$10:D4489,1)," ")</f>
        <v xml:space="preserve"> </v>
      </c>
      <c r="B4489" s="106">
        <f>COPY!AR4481</f>
        <v>0</v>
      </c>
      <c r="C4489" s="107">
        <f>COPY!AC4481</f>
        <v>0</v>
      </c>
      <c r="D4489" s="107" t="str">
        <f>IF(LEN(Table1722[[#This Row],[Uraian]])&gt;2,1," ")</f>
        <v xml:space="preserve"> </v>
      </c>
      <c r="E4489" s="113" t="str">
        <f>IF(Table1722[[#This Row],[Lawan Transaksi]]="CV AGUNG KARYA",COUNTIF($I$10:I4489,"CV AGUNG KARYA")," ")</f>
        <v xml:space="preserve"> </v>
      </c>
      <c r="F4489" s="107" t="str">
        <f>IF(LEN(Table1722[[#This Row],[Uraian]])&gt;2,TRIM(RIGHT(SUBSTITUTE(TRIM(C4489)," ",REPT(" ",255)),255))," ")</f>
        <v xml:space="preserve"> </v>
      </c>
      <c r="G4489" s="110">
        <f>COPY!Z4481</f>
        <v>0</v>
      </c>
      <c r="H4489" s="111" t="str">
        <f>IFERROR(VLOOKUP(Table1722[[#This Row],[Bukti]],'Un nOTA'!$A$4:$K$5003,10,FALSE),"")</f>
        <v/>
      </c>
      <c r="I4489" s="123" t="str">
        <f>IFERROR(VLOOKUP(Table1722[[#This Row],[Bukti]],Table13[#Data],11,FALSE),"")</f>
        <v/>
      </c>
    </row>
    <row r="4490" spans="1:9" hidden="1" x14ac:dyDescent="0.2">
      <c r="A4490" s="105" t="str">
        <f>IF(D4490=1,COUNTIF($D$10:D4490,1)," ")</f>
        <v xml:space="preserve"> </v>
      </c>
      <c r="B4490" s="106">
        <f>COPY!AR4482</f>
        <v>0</v>
      </c>
      <c r="C4490" s="107">
        <f>COPY!AC4482</f>
        <v>0</v>
      </c>
      <c r="D4490" s="107" t="str">
        <f>IF(LEN(Table1722[[#This Row],[Uraian]])&gt;2,1," ")</f>
        <v xml:space="preserve"> </v>
      </c>
      <c r="E4490" s="113" t="str">
        <f>IF(Table1722[[#This Row],[Lawan Transaksi]]="CV AGUNG KARYA",COUNTIF($I$10:I4490,"CV AGUNG KARYA")," ")</f>
        <v xml:space="preserve"> </v>
      </c>
      <c r="F4490" s="107" t="str">
        <f>IF(LEN(Table1722[[#This Row],[Uraian]])&gt;2,TRIM(RIGHT(SUBSTITUTE(TRIM(C4490)," ",REPT(" ",255)),255))," ")</f>
        <v xml:space="preserve"> </v>
      </c>
      <c r="G4490" s="110">
        <f>COPY!Z4482</f>
        <v>0</v>
      </c>
      <c r="H4490" s="111" t="str">
        <f>IFERROR(VLOOKUP(Table1722[[#This Row],[Bukti]],'Un nOTA'!$A$4:$K$5003,10,FALSE),"")</f>
        <v/>
      </c>
      <c r="I4490" s="123" t="str">
        <f>IFERROR(VLOOKUP(Table1722[[#This Row],[Bukti]],Table13[#Data],11,FALSE),"")</f>
        <v/>
      </c>
    </row>
    <row r="4491" spans="1:9" hidden="1" x14ac:dyDescent="0.2">
      <c r="A4491" s="105" t="str">
        <f>IF(D4491=1,COUNTIF($D$10:D4491,1)," ")</f>
        <v xml:space="preserve"> </v>
      </c>
      <c r="B4491" s="106">
        <f>COPY!AR4483</f>
        <v>0</v>
      </c>
      <c r="C4491" s="107">
        <f>COPY!AC4483</f>
        <v>0</v>
      </c>
      <c r="D4491" s="107" t="str">
        <f>IF(LEN(Table1722[[#This Row],[Uraian]])&gt;2,1," ")</f>
        <v xml:space="preserve"> </v>
      </c>
      <c r="E4491" s="113" t="str">
        <f>IF(Table1722[[#This Row],[Lawan Transaksi]]="CV AGUNG KARYA",COUNTIF($I$10:I4491,"CV AGUNG KARYA")," ")</f>
        <v xml:space="preserve"> </v>
      </c>
      <c r="F4491" s="107" t="str">
        <f>IF(LEN(Table1722[[#This Row],[Uraian]])&gt;2,TRIM(RIGHT(SUBSTITUTE(TRIM(C4491)," ",REPT(" ",255)),255))," ")</f>
        <v xml:space="preserve"> </v>
      </c>
      <c r="G4491" s="110">
        <f>COPY!Z4483</f>
        <v>0</v>
      </c>
      <c r="H4491" s="111" t="str">
        <f>IFERROR(VLOOKUP(Table1722[[#This Row],[Bukti]],'Un nOTA'!$A$4:$K$5003,10,FALSE),"")</f>
        <v/>
      </c>
      <c r="I4491" s="123" t="str">
        <f>IFERROR(VLOOKUP(Table1722[[#This Row],[Bukti]],Table13[#Data],11,FALSE),"")</f>
        <v/>
      </c>
    </row>
    <row r="4492" spans="1:9" hidden="1" x14ac:dyDescent="0.2">
      <c r="A4492" s="105" t="str">
        <f>IF(D4492=1,COUNTIF($D$10:D4492,1)," ")</f>
        <v xml:space="preserve"> </v>
      </c>
      <c r="B4492" s="106">
        <f>COPY!AR4484</f>
        <v>0</v>
      </c>
      <c r="C4492" s="107">
        <f>COPY!AC4484</f>
        <v>0</v>
      </c>
      <c r="D4492" s="107" t="str">
        <f>IF(LEN(Table1722[[#This Row],[Uraian]])&gt;2,1," ")</f>
        <v xml:space="preserve"> </v>
      </c>
      <c r="E4492" s="113" t="str">
        <f>IF(Table1722[[#This Row],[Lawan Transaksi]]="CV AGUNG KARYA",COUNTIF($I$10:I4492,"CV AGUNG KARYA")," ")</f>
        <v xml:space="preserve"> </v>
      </c>
      <c r="F4492" s="107" t="str">
        <f>IF(LEN(Table1722[[#This Row],[Uraian]])&gt;2,TRIM(RIGHT(SUBSTITUTE(TRIM(C4492)," ",REPT(" ",255)),255))," ")</f>
        <v xml:space="preserve"> </v>
      </c>
      <c r="G4492" s="110">
        <f>COPY!Z4484</f>
        <v>0</v>
      </c>
      <c r="H4492" s="111" t="str">
        <f>IFERROR(VLOOKUP(Table1722[[#This Row],[Bukti]],'Un nOTA'!$A$4:$K$5003,10,FALSE),"")</f>
        <v/>
      </c>
      <c r="I4492" s="123" t="str">
        <f>IFERROR(VLOOKUP(Table1722[[#This Row],[Bukti]],Table13[#Data],11,FALSE),"")</f>
        <v/>
      </c>
    </row>
    <row r="4493" spans="1:9" hidden="1" x14ac:dyDescent="0.2">
      <c r="A4493" s="105" t="str">
        <f>IF(D4493=1,COUNTIF($D$10:D4493,1)," ")</f>
        <v xml:space="preserve"> </v>
      </c>
      <c r="B4493" s="106">
        <f>COPY!AR4485</f>
        <v>0</v>
      </c>
      <c r="C4493" s="107">
        <f>COPY!AC4485</f>
        <v>0</v>
      </c>
      <c r="D4493" s="107" t="str">
        <f>IF(LEN(Table1722[[#This Row],[Uraian]])&gt;2,1," ")</f>
        <v xml:space="preserve"> </v>
      </c>
      <c r="E4493" s="113" t="str">
        <f>IF(Table1722[[#This Row],[Lawan Transaksi]]="CV AGUNG KARYA",COUNTIF($I$10:I4493,"CV AGUNG KARYA")," ")</f>
        <v xml:space="preserve"> </v>
      </c>
      <c r="F4493" s="107" t="str">
        <f>IF(LEN(Table1722[[#This Row],[Uraian]])&gt;2,TRIM(RIGHT(SUBSTITUTE(TRIM(C4493)," ",REPT(" ",255)),255))," ")</f>
        <v xml:space="preserve"> </v>
      </c>
      <c r="G4493" s="110">
        <f>COPY!Z4485</f>
        <v>0</v>
      </c>
      <c r="H4493" s="111" t="str">
        <f>IFERROR(VLOOKUP(Table1722[[#This Row],[Bukti]],'Un nOTA'!$A$4:$K$5003,10,FALSE),"")</f>
        <v/>
      </c>
      <c r="I4493" s="123" t="str">
        <f>IFERROR(VLOOKUP(Table1722[[#This Row],[Bukti]],Table13[#Data],11,FALSE),"")</f>
        <v/>
      </c>
    </row>
    <row r="4494" spans="1:9" hidden="1" x14ac:dyDescent="0.2">
      <c r="A4494" s="105" t="str">
        <f>IF(D4494=1,COUNTIF($D$10:D4494,1)," ")</f>
        <v xml:space="preserve"> </v>
      </c>
      <c r="B4494" s="106">
        <f>COPY!AR4486</f>
        <v>0</v>
      </c>
      <c r="C4494" s="107">
        <f>COPY!AC4486</f>
        <v>0</v>
      </c>
      <c r="D4494" s="107" t="str">
        <f>IF(LEN(Table1722[[#This Row],[Uraian]])&gt;2,1," ")</f>
        <v xml:space="preserve"> </v>
      </c>
      <c r="E4494" s="113" t="str">
        <f>IF(Table1722[[#This Row],[Lawan Transaksi]]="CV AGUNG KARYA",COUNTIF($I$10:I4494,"CV AGUNG KARYA")," ")</f>
        <v xml:space="preserve"> </v>
      </c>
      <c r="F4494" s="107" t="str">
        <f>IF(LEN(Table1722[[#This Row],[Uraian]])&gt;2,TRIM(RIGHT(SUBSTITUTE(TRIM(C4494)," ",REPT(" ",255)),255))," ")</f>
        <v xml:space="preserve"> </v>
      </c>
      <c r="G4494" s="110">
        <f>COPY!Z4486</f>
        <v>0</v>
      </c>
      <c r="H4494" s="111" t="str">
        <f>IFERROR(VLOOKUP(Table1722[[#This Row],[Bukti]],'Un nOTA'!$A$4:$K$5003,10,FALSE),"")</f>
        <v/>
      </c>
      <c r="I4494" s="123" t="str">
        <f>IFERROR(VLOOKUP(Table1722[[#This Row],[Bukti]],Table13[#Data],11,FALSE),"")</f>
        <v/>
      </c>
    </row>
    <row r="4495" spans="1:9" hidden="1" x14ac:dyDescent="0.2">
      <c r="A4495" s="105" t="str">
        <f>IF(D4495=1,COUNTIF($D$10:D4495,1)," ")</f>
        <v xml:space="preserve"> </v>
      </c>
      <c r="B4495" s="106">
        <f>COPY!AR4487</f>
        <v>0</v>
      </c>
      <c r="C4495" s="107">
        <f>COPY!AC4487</f>
        <v>0</v>
      </c>
      <c r="D4495" s="107" t="str">
        <f>IF(LEN(Table1722[[#This Row],[Uraian]])&gt;2,1," ")</f>
        <v xml:space="preserve"> </v>
      </c>
      <c r="E4495" s="113" t="str">
        <f>IF(Table1722[[#This Row],[Lawan Transaksi]]="CV AGUNG KARYA",COUNTIF($I$10:I4495,"CV AGUNG KARYA")," ")</f>
        <v xml:space="preserve"> </v>
      </c>
      <c r="F4495" s="107" t="str">
        <f>IF(LEN(Table1722[[#This Row],[Uraian]])&gt;2,TRIM(RIGHT(SUBSTITUTE(TRIM(C4495)," ",REPT(" ",255)),255))," ")</f>
        <v xml:space="preserve"> </v>
      </c>
      <c r="G4495" s="110">
        <f>COPY!Z4487</f>
        <v>0</v>
      </c>
      <c r="H4495" s="111" t="str">
        <f>IFERROR(VLOOKUP(Table1722[[#This Row],[Bukti]],'Un nOTA'!$A$4:$K$5003,10,FALSE),"")</f>
        <v/>
      </c>
      <c r="I4495" s="123" t="str">
        <f>IFERROR(VLOOKUP(Table1722[[#This Row],[Bukti]],Table13[#Data],11,FALSE),"")</f>
        <v/>
      </c>
    </row>
    <row r="4496" spans="1:9" hidden="1" x14ac:dyDescent="0.2">
      <c r="A4496" s="105" t="str">
        <f>IF(D4496=1,COUNTIF($D$10:D4496,1)," ")</f>
        <v xml:space="preserve"> </v>
      </c>
      <c r="B4496" s="106">
        <f>COPY!AR4488</f>
        <v>0</v>
      </c>
      <c r="C4496" s="107">
        <f>COPY!AC4488</f>
        <v>0</v>
      </c>
      <c r="D4496" s="107" t="str">
        <f>IF(LEN(Table1722[[#This Row],[Uraian]])&gt;2,1," ")</f>
        <v xml:space="preserve"> </v>
      </c>
      <c r="E4496" s="113" t="str">
        <f>IF(Table1722[[#This Row],[Lawan Transaksi]]="CV AGUNG KARYA",COUNTIF($I$10:I4496,"CV AGUNG KARYA")," ")</f>
        <v xml:space="preserve"> </v>
      </c>
      <c r="F4496" s="107" t="str">
        <f>IF(LEN(Table1722[[#This Row],[Uraian]])&gt;2,TRIM(RIGHT(SUBSTITUTE(TRIM(C4496)," ",REPT(" ",255)),255))," ")</f>
        <v xml:space="preserve"> </v>
      </c>
      <c r="G4496" s="110">
        <f>COPY!Z4488</f>
        <v>0</v>
      </c>
      <c r="H4496" s="111" t="str">
        <f>IFERROR(VLOOKUP(Table1722[[#This Row],[Bukti]],'Un nOTA'!$A$4:$K$5003,10,FALSE),"")</f>
        <v/>
      </c>
      <c r="I4496" s="123" t="str">
        <f>IFERROR(VLOOKUP(Table1722[[#This Row],[Bukti]],Table13[#Data],11,FALSE),"")</f>
        <v/>
      </c>
    </row>
    <row r="4497" spans="1:9" hidden="1" x14ac:dyDescent="0.2">
      <c r="A4497" s="105" t="str">
        <f>IF(D4497=1,COUNTIF($D$10:D4497,1)," ")</f>
        <v xml:space="preserve"> </v>
      </c>
      <c r="B4497" s="106">
        <f>COPY!AR4489</f>
        <v>0</v>
      </c>
      <c r="C4497" s="107">
        <f>COPY!AC4489</f>
        <v>0</v>
      </c>
      <c r="D4497" s="107" t="str">
        <f>IF(LEN(Table1722[[#This Row],[Uraian]])&gt;2,1," ")</f>
        <v xml:space="preserve"> </v>
      </c>
      <c r="E4497" s="113" t="str">
        <f>IF(Table1722[[#This Row],[Lawan Transaksi]]="CV AGUNG KARYA",COUNTIF($I$10:I4497,"CV AGUNG KARYA")," ")</f>
        <v xml:space="preserve"> </v>
      </c>
      <c r="F4497" s="107" t="str">
        <f>IF(LEN(Table1722[[#This Row],[Uraian]])&gt;2,TRIM(RIGHT(SUBSTITUTE(TRIM(C4497)," ",REPT(" ",255)),255))," ")</f>
        <v xml:space="preserve"> </v>
      </c>
      <c r="G4497" s="110">
        <f>COPY!Z4489</f>
        <v>0</v>
      </c>
      <c r="H4497" s="111" t="str">
        <f>IFERROR(VLOOKUP(Table1722[[#This Row],[Bukti]],'Un nOTA'!$A$4:$K$5003,10,FALSE),"")</f>
        <v/>
      </c>
      <c r="I4497" s="123" t="str">
        <f>IFERROR(VLOOKUP(Table1722[[#This Row],[Bukti]],Table13[#Data],11,FALSE),"")</f>
        <v/>
      </c>
    </row>
    <row r="4498" spans="1:9" hidden="1" x14ac:dyDescent="0.2">
      <c r="A4498" s="105" t="str">
        <f>IF(D4498=1,COUNTIF($D$10:D4498,1)," ")</f>
        <v xml:space="preserve"> </v>
      </c>
      <c r="B4498" s="106">
        <f>COPY!AR4490</f>
        <v>0</v>
      </c>
      <c r="C4498" s="107">
        <f>COPY!AC4490</f>
        <v>0</v>
      </c>
      <c r="D4498" s="107" t="str">
        <f>IF(LEN(Table1722[[#This Row],[Uraian]])&gt;2,1," ")</f>
        <v xml:space="preserve"> </v>
      </c>
      <c r="E4498" s="113" t="str">
        <f>IF(Table1722[[#This Row],[Lawan Transaksi]]="CV AGUNG KARYA",COUNTIF($I$10:I4498,"CV AGUNG KARYA")," ")</f>
        <v xml:space="preserve"> </v>
      </c>
      <c r="F4498" s="107" t="str">
        <f>IF(LEN(Table1722[[#This Row],[Uraian]])&gt;2,TRIM(RIGHT(SUBSTITUTE(TRIM(C4498)," ",REPT(" ",255)),255))," ")</f>
        <v xml:space="preserve"> </v>
      </c>
      <c r="G4498" s="110">
        <f>COPY!Z4490</f>
        <v>0</v>
      </c>
      <c r="H4498" s="111" t="str">
        <f>IFERROR(VLOOKUP(Table1722[[#This Row],[Bukti]],'Un nOTA'!$A$4:$K$5003,10,FALSE),"")</f>
        <v/>
      </c>
      <c r="I4498" s="123" t="str">
        <f>IFERROR(VLOOKUP(Table1722[[#This Row],[Bukti]],Table13[#Data],11,FALSE),"")</f>
        <v/>
      </c>
    </row>
    <row r="4499" spans="1:9" hidden="1" x14ac:dyDescent="0.2">
      <c r="A4499" s="105" t="str">
        <f>IF(D4499=1,COUNTIF($D$10:D4499,1)," ")</f>
        <v xml:space="preserve"> </v>
      </c>
      <c r="B4499" s="106">
        <f>COPY!AR4491</f>
        <v>0</v>
      </c>
      <c r="C4499" s="107">
        <f>COPY!AC4491</f>
        <v>0</v>
      </c>
      <c r="D4499" s="107" t="str">
        <f>IF(LEN(Table1722[[#This Row],[Uraian]])&gt;2,1," ")</f>
        <v xml:space="preserve"> </v>
      </c>
      <c r="E4499" s="113" t="str">
        <f>IF(Table1722[[#This Row],[Lawan Transaksi]]="CV AGUNG KARYA",COUNTIF($I$10:I4499,"CV AGUNG KARYA")," ")</f>
        <v xml:space="preserve"> </v>
      </c>
      <c r="F4499" s="107" t="str">
        <f>IF(LEN(Table1722[[#This Row],[Uraian]])&gt;2,TRIM(RIGHT(SUBSTITUTE(TRIM(C4499)," ",REPT(" ",255)),255))," ")</f>
        <v xml:space="preserve"> </v>
      </c>
      <c r="G4499" s="110">
        <f>COPY!Z4491</f>
        <v>0</v>
      </c>
      <c r="H4499" s="111" t="str">
        <f>IFERROR(VLOOKUP(Table1722[[#This Row],[Bukti]],'Un nOTA'!$A$4:$K$5003,10,FALSE),"")</f>
        <v/>
      </c>
      <c r="I4499" s="123" t="str">
        <f>IFERROR(VLOOKUP(Table1722[[#This Row],[Bukti]],Table13[#Data],11,FALSE),"")</f>
        <v/>
      </c>
    </row>
    <row r="4500" spans="1:9" hidden="1" x14ac:dyDescent="0.2">
      <c r="A4500" s="105" t="str">
        <f>IF(D4500=1,COUNTIF($D$10:D4500,1)," ")</f>
        <v xml:space="preserve"> </v>
      </c>
      <c r="B4500" s="106">
        <f>COPY!AR4492</f>
        <v>0</v>
      </c>
      <c r="C4500" s="107">
        <f>COPY!AC4492</f>
        <v>0</v>
      </c>
      <c r="D4500" s="107" t="str">
        <f>IF(LEN(Table1722[[#This Row],[Uraian]])&gt;2,1," ")</f>
        <v xml:space="preserve"> </v>
      </c>
      <c r="E4500" s="113" t="str">
        <f>IF(Table1722[[#This Row],[Lawan Transaksi]]="CV AGUNG KARYA",COUNTIF($I$10:I4500,"CV AGUNG KARYA")," ")</f>
        <v xml:space="preserve"> </v>
      </c>
      <c r="F4500" s="107" t="str">
        <f>IF(LEN(Table1722[[#This Row],[Uraian]])&gt;2,TRIM(RIGHT(SUBSTITUTE(TRIM(C4500)," ",REPT(" ",255)),255))," ")</f>
        <v xml:space="preserve"> </v>
      </c>
      <c r="G4500" s="110">
        <f>COPY!Z4492</f>
        <v>0</v>
      </c>
      <c r="H4500" s="111" t="str">
        <f>IFERROR(VLOOKUP(Table1722[[#This Row],[Bukti]],'Un nOTA'!$A$4:$K$5003,10,FALSE),"")</f>
        <v/>
      </c>
      <c r="I4500" s="123" t="str">
        <f>IFERROR(VLOOKUP(Table1722[[#This Row],[Bukti]],Table13[#Data],11,FALSE),"")</f>
        <v/>
      </c>
    </row>
    <row r="4501" spans="1:9" hidden="1" x14ac:dyDescent="0.2">
      <c r="A4501" s="105" t="str">
        <f>IF(D4501=1,COUNTIF($D$10:D4501,1)," ")</f>
        <v xml:space="preserve"> </v>
      </c>
      <c r="B4501" s="106">
        <f>COPY!AR4493</f>
        <v>0</v>
      </c>
      <c r="C4501" s="107">
        <f>COPY!AC4493</f>
        <v>0</v>
      </c>
      <c r="D4501" s="107" t="str">
        <f>IF(LEN(Table1722[[#This Row],[Uraian]])&gt;2,1," ")</f>
        <v xml:space="preserve"> </v>
      </c>
      <c r="E4501" s="113" t="str">
        <f>IF(Table1722[[#This Row],[Lawan Transaksi]]="CV AGUNG KARYA",COUNTIF($I$10:I4501,"CV AGUNG KARYA")," ")</f>
        <v xml:space="preserve"> </v>
      </c>
      <c r="F4501" s="107" t="str">
        <f>IF(LEN(Table1722[[#This Row],[Uraian]])&gt;2,TRIM(RIGHT(SUBSTITUTE(TRIM(C4501)," ",REPT(" ",255)),255))," ")</f>
        <v xml:space="preserve"> </v>
      </c>
      <c r="G4501" s="110">
        <f>COPY!Z4493</f>
        <v>0</v>
      </c>
      <c r="H4501" s="111" t="str">
        <f>IFERROR(VLOOKUP(Table1722[[#This Row],[Bukti]],'Un nOTA'!$A$4:$K$5003,10,FALSE),"")</f>
        <v/>
      </c>
      <c r="I4501" s="123" t="str">
        <f>IFERROR(VLOOKUP(Table1722[[#This Row],[Bukti]],Table13[#Data],11,FALSE),"")</f>
        <v/>
      </c>
    </row>
    <row r="4502" spans="1:9" hidden="1" x14ac:dyDescent="0.2">
      <c r="A4502" s="105" t="str">
        <f>IF(D4502=1,COUNTIF($D$10:D4502,1)," ")</f>
        <v xml:space="preserve"> </v>
      </c>
      <c r="B4502" s="106">
        <f>COPY!AR4494</f>
        <v>0</v>
      </c>
      <c r="C4502" s="107">
        <f>COPY!AC4494</f>
        <v>0</v>
      </c>
      <c r="D4502" s="107" t="str">
        <f>IF(LEN(Table1722[[#This Row],[Uraian]])&gt;2,1," ")</f>
        <v xml:space="preserve"> </v>
      </c>
      <c r="E4502" s="113" t="str">
        <f>IF(Table1722[[#This Row],[Lawan Transaksi]]="CV AGUNG KARYA",COUNTIF($I$10:I4502,"CV AGUNG KARYA")," ")</f>
        <v xml:space="preserve"> </v>
      </c>
      <c r="F4502" s="107" t="str">
        <f>IF(LEN(Table1722[[#This Row],[Uraian]])&gt;2,TRIM(RIGHT(SUBSTITUTE(TRIM(C4502)," ",REPT(" ",255)),255))," ")</f>
        <v xml:space="preserve"> </v>
      </c>
      <c r="G4502" s="110">
        <f>COPY!Z4494</f>
        <v>0</v>
      </c>
      <c r="H4502" s="111" t="str">
        <f>IFERROR(VLOOKUP(Table1722[[#This Row],[Bukti]],'Un nOTA'!$A$4:$K$5003,10,FALSE),"")</f>
        <v/>
      </c>
      <c r="I4502" s="123" t="str">
        <f>IFERROR(VLOOKUP(Table1722[[#This Row],[Bukti]],Table13[#Data],11,FALSE),"")</f>
        <v/>
      </c>
    </row>
    <row r="4503" spans="1:9" hidden="1" x14ac:dyDescent="0.2">
      <c r="A4503" s="105" t="str">
        <f>IF(D4503=1,COUNTIF($D$10:D4503,1)," ")</f>
        <v xml:space="preserve"> </v>
      </c>
      <c r="B4503" s="106">
        <f>COPY!AR4495</f>
        <v>0</v>
      </c>
      <c r="C4503" s="107">
        <f>COPY!AC4495</f>
        <v>0</v>
      </c>
      <c r="D4503" s="107" t="str">
        <f>IF(LEN(Table1722[[#This Row],[Uraian]])&gt;2,1," ")</f>
        <v xml:space="preserve"> </v>
      </c>
      <c r="E4503" s="113" t="str">
        <f>IF(Table1722[[#This Row],[Lawan Transaksi]]="CV AGUNG KARYA",COUNTIF($I$10:I4503,"CV AGUNG KARYA")," ")</f>
        <v xml:space="preserve"> </v>
      </c>
      <c r="F4503" s="107" t="str">
        <f>IF(LEN(Table1722[[#This Row],[Uraian]])&gt;2,TRIM(RIGHT(SUBSTITUTE(TRIM(C4503)," ",REPT(" ",255)),255))," ")</f>
        <v xml:space="preserve"> </v>
      </c>
      <c r="G4503" s="110">
        <f>COPY!Z4495</f>
        <v>0</v>
      </c>
      <c r="H4503" s="111" t="str">
        <f>IFERROR(VLOOKUP(Table1722[[#This Row],[Bukti]],'Un nOTA'!$A$4:$K$5003,10,FALSE),"")</f>
        <v/>
      </c>
      <c r="I4503" s="123" t="str">
        <f>IFERROR(VLOOKUP(Table1722[[#This Row],[Bukti]],Table13[#Data],11,FALSE),"")</f>
        <v/>
      </c>
    </row>
    <row r="4504" spans="1:9" hidden="1" x14ac:dyDescent="0.2">
      <c r="A4504" s="105" t="str">
        <f>IF(D4504=1,COUNTIF($D$10:D4504,1)," ")</f>
        <v xml:space="preserve"> </v>
      </c>
      <c r="B4504" s="106">
        <f>COPY!AR4496</f>
        <v>0</v>
      </c>
      <c r="C4504" s="107">
        <f>COPY!AC4496</f>
        <v>0</v>
      </c>
      <c r="D4504" s="107" t="str">
        <f>IF(LEN(Table1722[[#This Row],[Uraian]])&gt;2,1," ")</f>
        <v xml:space="preserve"> </v>
      </c>
      <c r="E4504" s="113" t="str">
        <f>IF(Table1722[[#This Row],[Lawan Transaksi]]="CV AGUNG KARYA",COUNTIF($I$10:I4504,"CV AGUNG KARYA")," ")</f>
        <v xml:space="preserve"> </v>
      </c>
      <c r="F4504" s="107" t="str">
        <f>IF(LEN(Table1722[[#This Row],[Uraian]])&gt;2,TRIM(RIGHT(SUBSTITUTE(TRIM(C4504)," ",REPT(" ",255)),255))," ")</f>
        <v xml:space="preserve"> </v>
      </c>
      <c r="G4504" s="110">
        <f>COPY!Z4496</f>
        <v>0</v>
      </c>
      <c r="H4504" s="111" t="str">
        <f>IFERROR(VLOOKUP(Table1722[[#This Row],[Bukti]],'Un nOTA'!$A$4:$K$5003,10,FALSE),"")</f>
        <v/>
      </c>
      <c r="I4504" s="123" t="str">
        <f>IFERROR(VLOOKUP(Table1722[[#This Row],[Bukti]],Table13[#Data],11,FALSE),"")</f>
        <v/>
      </c>
    </row>
    <row r="4505" spans="1:9" hidden="1" x14ac:dyDescent="0.2">
      <c r="A4505" s="105" t="str">
        <f>IF(D4505=1,COUNTIF($D$10:D4505,1)," ")</f>
        <v xml:space="preserve"> </v>
      </c>
      <c r="B4505" s="106">
        <f>COPY!AR4497</f>
        <v>0</v>
      </c>
      <c r="C4505" s="107">
        <f>COPY!AC4497</f>
        <v>0</v>
      </c>
      <c r="D4505" s="107" t="str">
        <f>IF(LEN(Table1722[[#This Row],[Uraian]])&gt;2,1," ")</f>
        <v xml:space="preserve"> </v>
      </c>
      <c r="E4505" s="113" t="str">
        <f>IF(Table1722[[#This Row],[Lawan Transaksi]]="CV AGUNG KARYA",COUNTIF($I$10:I4505,"CV AGUNG KARYA")," ")</f>
        <v xml:space="preserve"> </v>
      </c>
      <c r="F4505" s="107" t="str">
        <f>IF(LEN(Table1722[[#This Row],[Uraian]])&gt;2,TRIM(RIGHT(SUBSTITUTE(TRIM(C4505)," ",REPT(" ",255)),255))," ")</f>
        <v xml:space="preserve"> </v>
      </c>
      <c r="G4505" s="110">
        <f>COPY!Z4497</f>
        <v>0</v>
      </c>
      <c r="H4505" s="111" t="str">
        <f>IFERROR(VLOOKUP(Table1722[[#This Row],[Bukti]],'Un nOTA'!$A$4:$K$5003,10,FALSE),"")</f>
        <v/>
      </c>
      <c r="I4505" s="123" t="str">
        <f>IFERROR(VLOOKUP(Table1722[[#This Row],[Bukti]],Table13[#Data],11,FALSE),"")</f>
        <v/>
      </c>
    </row>
    <row r="4506" spans="1:9" hidden="1" x14ac:dyDescent="0.2">
      <c r="A4506" s="105" t="str">
        <f>IF(D4506=1,COUNTIF($D$10:D4506,1)," ")</f>
        <v xml:space="preserve"> </v>
      </c>
      <c r="B4506" s="106">
        <f>COPY!AR4498</f>
        <v>0</v>
      </c>
      <c r="C4506" s="107">
        <f>COPY!AC4498</f>
        <v>0</v>
      </c>
      <c r="D4506" s="107" t="str">
        <f>IF(LEN(Table1722[[#This Row],[Uraian]])&gt;2,1," ")</f>
        <v xml:space="preserve"> </v>
      </c>
      <c r="E4506" s="113" t="str">
        <f>IF(Table1722[[#This Row],[Lawan Transaksi]]="CV AGUNG KARYA",COUNTIF($I$10:I4506,"CV AGUNG KARYA")," ")</f>
        <v xml:space="preserve"> </v>
      </c>
      <c r="F4506" s="107" t="str">
        <f>IF(LEN(Table1722[[#This Row],[Uraian]])&gt;2,TRIM(RIGHT(SUBSTITUTE(TRIM(C4506)," ",REPT(" ",255)),255))," ")</f>
        <v xml:space="preserve"> </v>
      </c>
      <c r="G4506" s="110">
        <f>COPY!Z4498</f>
        <v>0</v>
      </c>
      <c r="H4506" s="111" t="str">
        <f>IFERROR(VLOOKUP(Table1722[[#This Row],[Bukti]],'Un nOTA'!$A$4:$K$5003,10,FALSE),"")</f>
        <v/>
      </c>
      <c r="I4506" s="123" t="str">
        <f>IFERROR(VLOOKUP(Table1722[[#This Row],[Bukti]],Table13[#Data],11,FALSE),"")</f>
        <v/>
      </c>
    </row>
    <row r="4507" spans="1:9" hidden="1" x14ac:dyDescent="0.2">
      <c r="A4507" s="105" t="str">
        <f>IF(D4507=1,COUNTIF($D$10:D4507,1)," ")</f>
        <v xml:space="preserve"> </v>
      </c>
      <c r="B4507" s="106">
        <f>COPY!AR4499</f>
        <v>0</v>
      </c>
      <c r="C4507" s="107">
        <f>COPY!AC4499</f>
        <v>0</v>
      </c>
      <c r="D4507" s="107" t="str">
        <f>IF(LEN(Table1722[[#This Row],[Uraian]])&gt;2,1," ")</f>
        <v xml:space="preserve"> </v>
      </c>
      <c r="E4507" s="113" t="str">
        <f>IF(Table1722[[#This Row],[Lawan Transaksi]]="CV AGUNG KARYA",COUNTIF($I$10:I4507,"CV AGUNG KARYA")," ")</f>
        <v xml:space="preserve"> </v>
      </c>
      <c r="F4507" s="107" t="str">
        <f>IF(LEN(Table1722[[#This Row],[Uraian]])&gt;2,TRIM(RIGHT(SUBSTITUTE(TRIM(C4507)," ",REPT(" ",255)),255))," ")</f>
        <v xml:space="preserve"> </v>
      </c>
      <c r="G4507" s="110">
        <f>COPY!Z4499</f>
        <v>0</v>
      </c>
      <c r="H4507" s="111" t="str">
        <f>IFERROR(VLOOKUP(Table1722[[#This Row],[Bukti]],'Un nOTA'!$A$4:$K$5003,10,FALSE),"")</f>
        <v/>
      </c>
      <c r="I4507" s="123" t="str">
        <f>IFERROR(VLOOKUP(Table1722[[#This Row],[Bukti]],Table13[#Data],11,FALSE),"")</f>
        <v/>
      </c>
    </row>
    <row r="4508" spans="1:9" hidden="1" x14ac:dyDescent="0.2">
      <c r="A4508" s="105" t="str">
        <f>IF(D4508=1,COUNTIF($D$10:D4508,1)," ")</f>
        <v xml:space="preserve"> </v>
      </c>
      <c r="B4508" s="106">
        <f>COPY!AR4500</f>
        <v>0</v>
      </c>
      <c r="C4508" s="107">
        <f>COPY!AC4500</f>
        <v>0</v>
      </c>
      <c r="D4508" s="107" t="str">
        <f>IF(LEN(Table1722[[#This Row],[Uraian]])&gt;2,1," ")</f>
        <v xml:space="preserve"> </v>
      </c>
      <c r="E4508" s="113" t="str">
        <f>IF(Table1722[[#This Row],[Lawan Transaksi]]="CV AGUNG KARYA",COUNTIF($I$10:I4508,"CV AGUNG KARYA")," ")</f>
        <v xml:space="preserve"> </v>
      </c>
      <c r="F4508" s="107" t="str">
        <f>IF(LEN(Table1722[[#This Row],[Uraian]])&gt;2,TRIM(RIGHT(SUBSTITUTE(TRIM(C4508)," ",REPT(" ",255)),255))," ")</f>
        <v xml:space="preserve"> </v>
      </c>
      <c r="G4508" s="110">
        <f>COPY!Z4500</f>
        <v>0</v>
      </c>
      <c r="H4508" s="111" t="str">
        <f>IFERROR(VLOOKUP(Table1722[[#This Row],[Bukti]],'Un nOTA'!$A$4:$K$5003,10,FALSE),"")</f>
        <v/>
      </c>
      <c r="I4508" s="123" t="str">
        <f>IFERROR(VLOOKUP(Table1722[[#This Row],[Bukti]],Table13[#Data],11,FALSE),"")</f>
        <v/>
      </c>
    </row>
    <row r="4509" spans="1:9" hidden="1" x14ac:dyDescent="0.2">
      <c r="A4509" s="105" t="str">
        <f>IF(D4509=1,COUNTIF($D$10:D4509,1)," ")</f>
        <v xml:space="preserve"> </v>
      </c>
      <c r="B4509" s="106">
        <f>COPY!AR4501</f>
        <v>0</v>
      </c>
      <c r="C4509" s="107">
        <f>COPY!AC4501</f>
        <v>0</v>
      </c>
      <c r="D4509" s="107" t="str">
        <f>IF(LEN(Table1722[[#This Row],[Uraian]])&gt;2,1," ")</f>
        <v xml:space="preserve"> </v>
      </c>
      <c r="E4509" s="113" t="str">
        <f>IF(Table1722[[#This Row],[Lawan Transaksi]]="CV AGUNG KARYA",COUNTIF($I$10:I4509,"CV AGUNG KARYA")," ")</f>
        <v xml:space="preserve"> </v>
      </c>
      <c r="F4509" s="107" t="str">
        <f>IF(LEN(Table1722[[#This Row],[Uraian]])&gt;2,TRIM(RIGHT(SUBSTITUTE(TRIM(C4509)," ",REPT(" ",255)),255))," ")</f>
        <v xml:space="preserve"> </v>
      </c>
      <c r="G4509" s="110">
        <f>COPY!Z4501</f>
        <v>0</v>
      </c>
      <c r="H4509" s="111" t="str">
        <f>IFERROR(VLOOKUP(Table1722[[#This Row],[Bukti]],'Un nOTA'!$A$4:$K$5003,10,FALSE),"")</f>
        <v/>
      </c>
      <c r="I4509" s="123" t="str">
        <f>IFERROR(VLOOKUP(Table1722[[#This Row],[Bukti]],Table13[#Data],11,FALSE),"")</f>
        <v/>
      </c>
    </row>
    <row r="4510" spans="1:9" hidden="1" x14ac:dyDescent="0.2">
      <c r="A4510" s="105" t="str">
        <f>IF(D4510=1,COUNTIF($D$10:D4510,1)," ")</f>
        <v xml:space="preserve"> </v>
      </c>
      <c r="B4510" s="106">
        <f>COPY!AR4502</f>
        <v>0</v>
      </c>
      <c r="C4510" s="107">
        <f>COPY!AC4502</f>
        <v>0</v>
      </c>
      <c r="D4510" s="107" t="str">
        <f>IF(LEN(Table1722[[#This Row],[Uraian]])&gt;2,1," ")</f>
        <v xml:space="preserve"> </v>
      </c>
      <c r="E4510" s="113" t="str">
        <f>IF(Table1722[[#This Row],[Lawan Transaksi]]="CV AGUNG KARYA",COUNTIF($I$10:I4510,"CV AGUNG KARYA")," ")</f>
        <v xml:space="preserve"> </v>
      </c>
      <c r="F4510" s="107" t="str">
        <f>IF(LEN(Table1722[[#This Row],[Uraian]])&gt;2,TRIM(RIGHT(SUBSTITUTE(TRIM(C4510)," ",REPT(" ",255)),255))," ")</f>
        <v xml:space="preserve"> </v>
      </c>
      <c r="G4510" s="110">
        <f>COPY!Z4502</f>
        <v>0</v>
      </c>
      <c r="H4510" s="111" t="str">
        <f>IFERROR(VLOOKUP(Table1722[[#This Row],[Bukti]],'Un nOTA'!$A$4:$K$5003,10,FALSE),"")</f>
        <v/>
      </c>
      <c r="I4510" s="123" t="str">
        <f>IFERROR(VLOOKUP(Table1722[[#This Row],[Bukti]],Table13[#Data],11,FALSE),"")</f>
        <v/>
      </c>
    </row>
    <row r="4511" spans="1:9" hidden="1" x14ac:dyDescent="0.2">
      <c r="A4511" s="105" t="str">
        <f>IF(D4511=1,COUNTIF($D$10:D4511,1)," ")</f>
        <v xml:space="preserve"> </v>
      </c>
      <c r="B4511" s="106">
        <f>COPY!AR4503</f>
        <v>0</v>
      </c>
      <c r="C4511" s="107">
        <f>COPY!AC4503</f>
        <v>0</v>
      </c>
      <c r="D4511" s="107" t="str">
        <f>IF(LEN(Table1722[[#This Row],[Uraian]])&gt;2,1," ")</f>
        <v xml:space="preserve"> </v>
      </c>
      <c r="E4511" s="113" t="str">
        <f>IF(Table1722[[#This Row],[Lawan Transaksi]]="CV AGUNG KARYA",COUNTIF($I$10:I4511,"CV AGUNG KARYA")," ")</f>
        <v xml:space="preserve"> </v>
      </c>
      <c r="F4511" s="107" t="str">
        <f>IF(LEN(Table1722[[#This Row],[Uraian]])&gt;2,TRIM(RIGHT(SUBSTITUTE(TRIM(C4511)," ",REPT(" ",255)),255))," ")</f>
        <v xml:space="preserve"> </v>
      </c>
      <c r="G4511" s="110">
        <f>COPY!Z4503</f>
        <v>0</v>
      </c>
      <c r="H4511" s="111" t="str">
        <f>IFERROR(VLOOKUP(Table1722[[#This Row],[Bukti]],'Un nOTA'!$A$4:$K$5003,10,FALSE),"")</f>
        <v/>
      </c>
      <c r="I4511" s="123" t="str">
        <f>IFERROR(VLOOKUP(Table1722[[#This Row],[Bukti]],Table13[#Data],11,FALSE),"")</f>
        <v/>
      </c>
    </row>
    <row r="4512" spans="1:9" hidden="1" x14ac:dyDescent="0.2">
      <c r="A4512" s="105" t="str">
        <f>IF(D4512=1,COUNTIF($D$10:D4512,1)," ")</f>
        <v xml:space="preserve"> </v>
      </c>
      <c r="B4512" s="106">
        <f>COPY!AR4504</f>
        <v>0</v>
      </c>
      <c r="C4512" s="107">
        <f>COPY!AC4504</f>
        <v>0</v>
      </c>
      <c r="D4512" s="107" t="str">
        <f>IF(LEN(Table1722[[#This Row],[Uraian]])&gt;2,1," ")</f>
        <v xml:space="preserve"> </v>
      </c>
      <c r="E4512" s="113" t="str">
        <f>IF(Table1722[[#This Row],[Lawan Transaksi]]="CV AGUNG KARYA",COUNTIF($I$10:I4512,"CV AGUNG KARYA")," ")</f>
        <v xml:space="preserve"> </v>
      </c>
      <c r="F4512" s="107" t="str">
        <f>IF(LEN(Table1722[[#This Row],[Uraian]])&gt;2,TRIM(RIGHT(SUBSTITUTE(TRIM(C4512)," ",REPT(" ",255)),255))," ")</f>
        <v xml:space="preserve"> </v>
      </c>
      <c r="G4512" s="110">
        <f>COPY!Z4504</f>
        <v>0</v>
      </c>
      <c r="H4512" s="111" t="str">
        <f>IFERROR(VLOOKUP(Table1722[[#This Row],[Bukti]],'Un nOTA'!$A$4:$K$5003,10,FALSE),"")</f>
        <v/>
      </c>
      <c r="I4512" s="123" t="str">
        <f>IFERROR(VLOOKUP(Table1722[[#This Row],[Bukti]],Table13[#Data],11,FALSE),"")</f>
        <v/>
      </c>
    </row>
    <row r="4513" spans="1:9" hidden="1" x14ac:dyDescent="0.2">
      <c r="A4513" s="105" t="str">
        <f>IF(D4513=1,COUNTIF($D$10:D4513,1)," ")</f>
        <v xml:space="preserve"> </v>
      </c>
      <c r="B4513" s="106">
        <f>COPY!AR4505</f>
        <v>0</v>
      </c>
      <c r="C4513" s="107">
        <f>COPY!AC4505</f>
        <v>0</v>
      </c>
      <c r="D4513" s="107" t="str">
        <f>IF(LEN(Table1722[[#This Row],[Uraian]])&gt;2,1," ")</f>
        <v xml:space="preserve"> </v>
      </c>
      <c r="E4513" s="113" t="str">
        <f>IF(Table1722[[#This Row],[Lawan Transaksi]]="CV AGUNG KARYA",COUNTIF($I$10:I4513,"CV AGUNG KARYA")," ")</f>
        <v xml:space="preserve"> </v>
      </c>
      <c r="F4513" s="107" t="str">
        <f>IF(LEN(Table1722[[#This Row],[Uraian]])&gt;2,TRIM(RIGHT(SUBSTITUTE(TRIM(C4513)," ",REPT(" ",255)),255))," ")</f>
        <v xml:space="preserve"> </v>
      </c>
      <c r="G4513" s="110">
        <f>COPY!Z4505</f>
        <v>0</v>
      </c>
      <c r="H4513" s="111" t="str">
        <f>IFERROR(VLOOKUP(Table1722[[#This Row],[Bukti]],'Un nOTA'!$A$4:$K$5003,10,FALSE),"")</f>
        <v/>
      </c>
      <c r="I4513" s="123" t="str">
        <f>IFERROR(VLOOKUP(Table1722[[#This Row],[Bukti]],Table13[#Data],11,FALSE),"")</f>
        <v/>
      </c>
    </row>
    <row r="4514" spans="1:9" hidden="1" x14ac:dyDescent="0.2">
      <c r="A4514" s="105" t="str">
        <f>IF(D4514=1,COUNTIF($D$10:D4514,1)," ")</f>
        <v xml:space="preserve"> </v>
      </c>
      <c r="B4514" s="106">
        <f>COPY!AR4506</f>
        <v>0</v>
      </c>
      <c r="C4514" s="107">
        <f>COPY!AC4506</f>
        <v>0</v>
      </c>
      <c r="D4514" s="107" t="str">
        <f>IF(LEN(Table1722[[#This Row],[Uraian]])&gt;2,1," ")</f>
        <v xml:space="preserve"> </v>
      </c>
      <c r="E4514" s="113" t="str">
        <f>IF(Table1722[[#This Row],[Lawan Transaksi]]="CV AGUNG KARYA",COUNTIF($I$10:I4514,"CV AGUNG KARYA")," ")</f>
        <v xml:space="preserve"> </v>
      </c>
      <c r="F4514" s="107" t="str">
        <f>IF(LEN(Table1722[[#This Row],[Uraian]])&gt;2,TRIM(RIGHT(SUBSTITUTE(TRIM(C4514)," ",REPT(" ",255)),255))," ")</f>
        <v xml:space="preserve"> </v>
      </c>
      <c r="G4514" s="110">
        <f>COPY!Z4506</f>
        <v>0</v>
      </c>
      <c r="H4514" s="111" t="str">
        <f>IFERROR(VLOOKUP(Table1722[[#This Row],[Bukti]],'Un nOTA'!$A$4:$K$5003,10,FALSE),"")</f>
        <v/>
      </c>
      <c r="I4514" s="123" t="str">
        <f>IFERROR(VLOOKUP(Table1722[[#This Row],[Bukti]],Table13[#Data],11,FALSE),"")</f>
        <v/>
      </c>
    </row>
    <row r="4515" spans="1:9" hidden="1" x14ac:dyDescent="0.2">
      <c r="A4515" s="105" t="str">
        <f>IF(D4515=1,COUNTIF($D$10:D4515,1)," ")</f>
        <v xml:space="preserve"> </v>
      </c>
      <c r="B4515" s="106">
        <f>COPY!AR4507</f>
        <v>0</v>
      </c>
      <c r="C4515" s="107">
        <f>COPY!AC4507</f>
        <v>0</v>
      </c>
      <c r="D4515" s="107" t="str">
        <f>IF(LEN(Table1722[[#This Row],[Uraian]])&gt;2,1," ")</f>
        <v xml:space="preserve"> </v>
      </c>
      <c r="E4515" s="113" t="str">
        <f>IF(Table1722[[#This Row],[Lawan Transaksi]]="CV AGUNG KARYA",COUNTIF($I$10:I4515,"CV AGUNG KARYA")," ")</f>
        <v xml:space="preserve"> </v>
      </c>
      <c r="F4515" s="107" t="str">
        <f>IF(LEN(Table1722[[#This Row],[Uraian]])&gt;2,TRIM(RIGHT(SUBSTITUTE(TRIM(C4515)," ",REPT(" ",255)),255))," ")</f>
        <v xml:space="preserve"> </v>
      </c>
      <c r="G4515" s="110">
        <f>COPY!Z4507</f>
        <v>0</v>
      </c>
      <c r="H4515" s="111" t="str">
        <f>IFERROR(VLOOKUP(Table1722[[#This Row],[Bukti]],'Un nOTA'!$A$4:$K$5003,10,FALSE),"")</f>
        <v/>
      </c>
      <c r="I4515" s="123" t="str">
        <f>IFERROR(VLOOKUP(Table1722[[#This Row],[Bukti]],Table13[#Data],11,FALSE),"")</f>
        <v/>
      </c>
    </row>
    <row r="4516" spans="1:9" hidden="1" x14ac:dyDescent="0.2">
      <c r="A4516" s="105" t="str">
        <f>IF(D4516=1,COUNTIF($D$10:D4516,1)," ")</f>
        <v xml:space="preserve"> </v>
      </c>
      <c r="B4516" s="106">
        <f>COPY!AR4508</f>
        <v>0</v>
      </c>
      <c r="C4516" s="107">
        <f>COPY!AC4508</f>
        <v>0</v>
      </c>
      <c r="D4516" s="107" t="str">
        <f>IF(LEN(Table1722[[#This Row],[Uraian]])&gt;2,1," ")</f>
        <v xml:space="preserve"> </v>
      </c>
      <c r="E4516" s="113" t="str">
        <f>IF(Table1722[[#This Row],[Lawan Transaksi]]="CV AGUNG KARYA",COUNTIF($I$10:I4516,"CV AGUNG KARYA")," ")</f>
        <v xml:space="preserve"> </v>
      </c>
      <c r="F4516" s="107" t="str">
        <f>IF(LEN(Table1722[[#This Row],[Uraian]])&gt;2,TRIM(RIGHT(SUBSTITUTE(TRIM(C4516)," ",REPT(" ",255)),255))," ")</f>
        <v xml:space="preserve"> </v>
      </c>
      <c r="G4516" s="110">
        <f>COPY!Z4508</f>
        <v>0</v>
      </c>
      <c r="H4516" s="111" t="str">
        <f>IFERROR(VLOOKUP(Table1722[[#This Row],[Bukti]],'Un nOTA'!$A$4:$K$5003,10,FALSE),"")</f>
        <v/>
      </c>
      <c r="I4516" s="123" t="str">
        <f>IFERROR(VLOOKUP(Table1722[[#This Row],[Bukti]],Table13[#Data],11,FALSE),"")</f>
        <v/>
      </c>
    </row>
    <row r="4517" spans="1:9" hidden="1" x14ac:dyDescent="0.2">
      <c r="A4517" s="105" t="str">
        <f>IF(D4517=1,COUNTIF($D$10:D4517,1)," ")</f>
        <v xml:space="preserve"> </v>
      </c>
      <c r="B4517" s="106">
        <f>COPY!AR4509</f>
        <v>0</v>
      </c>
      <c r="C4517" s="107">
        <f>COPY!AC4509</f>
        <v>0</v>
      </c>
      <c r="D4517" s="107" t="str">
        <f>IF(LEN(Table1722[[#This Row],[Uraian]])&gt;2,1," ")</f>
        <v xml:space="preserve"> </v>
      </c>
      <c r="E4517" s="113" t="str">
        <f>IF(Table1722[[#This Row],[Lawan Transaksi]]="CV AGUNG KARYA",COUNTIF($I$10:I4517,"CV AGUNG KARYA")," ")</f>
        <v xml:space="preserve"> </v>
      </c>
      <c r="F4517" s="107" t="str">
        <f>IF(LEN(Table1722[[#This Row],[Uraian]])&gt;2,TRIM(RIGHT(SUBSTITUTE(TRIM(C4517)," ",REPT(" ",255)),255))," ")</f>
        <v xml:space="preserve"> </v>
      </c>
      <c r="G4517" s="110">
        <f>COPY!Z4509</f>
        <v>0</v>
      </c>
      <c r="H4517" s="111" t="str">
        <f>IFERROR(VLOOKUP(Table1722[[#This Row],[Bukti]],'Un nOTA'!$A$4:$K$5003,10,FALSE),"")</f>
        <v/>
      </c>
      <c r="I4517" s="123" t="str">
        <f>IFERROR(VLOOKUP(Table1722[[#This Row],[Bukti]],Table13[#Data],11,FALSE),"")</f>
        <v/>
      </c>
    </row>
    <row r="4518" spans="1:9" hidden="1" x14ac:dyDescent="0.2">
      <c r="A4518" s="105" t="str">
        <f>IF(D4518=1,COUNTIF($D$10:D4518,1)," ")</f>
        <v xml:space="preserve"> </v>
      </c>
      <c r="B4518" s="106">
        <f>COPY!AR4510</f>
        <v>0</v>
      </c>
      <c r="C4518" s="107">
        <f>COPY!AC4510</f>
        <v>0</v>
      </c>
      <c r="D4518" s="107" t="str">
        <f>IF(LEN(Table1722[[#This Row],[Uraian]])&gt;2,1," ")</f>
        <v xml:space="preserve"> </v>
      </c>
      <c r="E4518" s="113" t="str">
        <f>IF(Table1722[[#This Row],[Lawan Transaksi]]="CV AGUNG KARYA",COUNTIF($I$10:I4518,"CV AGUNG KARYA")," ")</f>
        <v xml:space="preserve"> </v>
      </c>
      <c r="F4518" s="107" t="str">
        <f>IF(LEN(Table1722[[#This Row],[Uraian]])&gt;2,TRIM(RIGHT(SUBSTITUTE(TRIM(C4518)," ",REPT(" ",255)),255))," ")</f>
        <v xml:space="preserve"> </v>
      </c>
      <c r="G4518" s="110">
        <f>COPY!Z4510</f>
        <v>0</v>
      </c>
      <c r="H4518" s="111" t="str">
        <f>IFERROR(VLOOKUP(Table1722[[#This Row],[Bukti]],'Un nOTA'!$A$4:$K$5003,10,FALSE),"")</f>
        <v/>
      </c>
      <c r="I4518" s="123" t="str">
        <f>IFERROR(VLOOKUP(Table1722[[#This Row],[Bukti]],Table13[#Data],11,FALSE),"")</f>
        <v/>
      </c>
    </row>
    <row r="4519" spans="1:9" hidden="1" x14ac:dyDescent="0.2">
      <c r="A4519" s="105" t="str">
        <f>IF(D4519=1,COUNTIF($D$10:D4519,1)," ")</f>
        <v xml:space="preserve"> </v>
      </c>
      <c r="B4519" s="106">
        <f>COPY!AR4511</f>
        <v>0</v>
      </c>
      <c r="C4519" s="107">
        <f>COPY!AC4511</f>
        <v>0</v>
      </c>
      <c r="D4519" s="107" t="str">
        <f>IF(LEN(Table1722[[#This Row],[Uraian]])&gt;2,1," ")</f>
        <v xml:space="preserve"> </v>
      </c>
      <c r="E4519" s="113" t="str">
        <f>IF(Table1722[[#This Row],[Lawan Transaksi]]="CV AGUNG KARYA",COUNTIF($I$10:I4519,"CV AGUNG KARYA")," ")</f>
        <v xml:space="preserve"> </v>
      </c>
      <c r="F4519" s="107" t="str">
        <f>IF(LEN(Table1722[[#This Row],[Uraian]])&gt;2,TRIM(RIGHT(SUBSTITUTE(TRIM(C4519)," ",REPT(" ",255)),255))," ")</f>
        <v xml:space="preserve"> </v>
      </c>
      <c r="G4519" s="110">
        <f>COPY!Z4511</f>
        <v>0</v>
      </c>
      <c r="H4519" s="111" t="str">
        <f>IFERROR(VLOOKUP(Table1722[[#This Row],[Bukti]],'Un nOTA'!$A$4:$K$5003,10,FALSE),"")</f>
        <v/>
      </c>
      <c r="I4519" s="123" t="str">
        <f>IFERROR(VLOOKUP(Table1722[[#This Row],[Bukti]],Table13[#Data],11,FALSE),"")</f>
        <v/>
      </c>
    </row>
    <row r="4520" spans="1:9" hidden="1" x14ac:dyDescent="0.2">
      <c r="A4520" s="105" t="str">
        <f>IF(D4520=1,COUNTIF($D$10:D4520,1)," ")</f>
        <v xml:space="preserve"> </v>
      </c>
      <c r="B4520" s="106">
        <f>COPY!AR4512</f>
        <v>0</v>
      </c>
      <c r="C4520" s="107">
        <f>COPY!AC4512</f>
        <v>0</v>
      </c>
      <c r="D4520" s="107" t="str">
        <f>IF(LEN(Table1722[[#This Row],[Uraian]])&gt;2,1," ")</f>
        <v xml:space="preserve"> </v>
      </c>
      <c r="E4520" s="113" t="str">
        <f>IF(Table1722[[#This Row],[Lawan Transaksi]]="CV AGUNG KARYA",COUNTIF($I$10:I4520,"CV AGUNG KARYA")," ")</f>
        <v xml:space="preserve"> </v>
      </c>
      <c r="F4520" s="107" t="str">
        <f>IF(LEN(Table1722[[#This Row],[Uraian]])&gt;2,TRIM(RIGHT(SUBSTITUTE(TRIM(C4520)," ",REPT(" ",255)),255))," ")</f>
        <v xml:space="preserve"> </v>
      </c>
      <c r="G4520" s="110">
        <f>COPY!Z4512</f>
        <v>0</v>
      </c>
      <c r="H4520" s="111" t="str">
        <f>IFERROR(VLOOKUP(Table1722[[#This Row],[Bukti]],'Un nOTA'!$A$4:$K$5003,10,FALSE),"")</f>
        <v/>
      </c>
      <c r="I4520" s="123" t="str">
        <f>IFERROR(VLOOKUP(Table1722[[#This Row],[Bukti]],Table13[#Data],11,FALSE),"")</f>
        <v/>
      </c>
    </row>
    <row r="4521" spans="1:9" hidden="1" x14ac:dyDescent="0.2">
      <c r="A4521" s="105" t="str">
        <f>IF(D4521=1,COUNTIF($D$10:D4521,1)," ")</f>
        <v xml:space="preserve"> </v>
      </c>
      <c r="B4521" s="106">
        <f>COPY!AR4513</f>
        <v>0</v>
      </c>
      <c r="C4521" s="107">
        <f>COPY!AC4513</f>
        <v>0</v>
      </c>
      <c r="D4521" s="107" t="str">
        <f>IF(LEN(Table1722[[#This Row],[Uraian]])&gt;2,1," ")</f>
        <v xml:space="preserve"> </v>
      </c>
      <c r="E4521" s="113" t="str">
        <f>IF(Table1722[[#This Row],[Lawan Transaksi]]="CV AGUNG KARYA",COUNTIF($I$10:I4521,"CV AGUNG KARYA")," ")</f>
        <v xml:space="preserve"> </v>
      </c>
      <c r="F4521" s="107" t="str">
        <f>IF(LEN(Table1722[[#This Row],[Uraian]])&gt;2,TRIM(RIGHT(SUBSTITUTE(TRIM(C4521)," ",REPT(" ",255)),255))," ")</f>
        <v xml:space="preserve"> </v>
      </c>
      <c r="G4521" s="110">
        <f>COPY!Z4513</f>
        <v>0</v>
      </c>
      <c r="H4521" s="111" t="str">
        <f>IFERROR(VLOOKUP(Table1722[[#This Row],[Bukti]],'Un nOTA'!$A$4:$K$5003,10,FALSE),"")</f>
        <v/>
      </c>
      <c r="I4521" s="123" t="str">
        <f>IFERROR(VLOOKUP(Table1722[[#This Row],[Bukti]],Table13[#Data],11,FALSE),"")</f>
        <v/>
      </c>
    </row>
    <row r="4522" spans="1:9" hidden="1" x14ac:dyDescent="0.2">
      <c r="A4522" s="105" t="str">
        <f>IF(D4522=1,COUNTIF($D$10:D4522,1)," ")</f>
        <v xml:space="preserve"> </v>
      </c>
      <c r="B4522" s="106">
        <f>COPY!AR4514</f>
        <v>0</v>
      </c>
      <c r="C4522" s="107">
        <f>COPY!AC4514</f>
        <v>0</v>
      </c>
      <c r="D4522" s="107" t="str">
        <f>IF(LEN(Table1722[[#This Row],[Uraian]])&gt;2,1," ")</f>
        <v xml:space="preserve"> </v>
      </c>
      <c r="E4522" s="113" t="str">
        <f>IF(Table1722[[#This Row],[Lawan Transaksi]]="CV AGUNG KARYA",COUNTIF($I$10:I4522,"CV AGUNG KARYA")," ")</f>
        <v xml:space="preserve"> </v>
      </c>
      <c r="F4522" s="107" t="str">
        <f>IF(LEN(Table1722[[#This Row],[Uraian]])&gt;2,TRIM(RIGHT(SUBSTITUTE(TRIM(C4522)," ",REPT(" ",255)),255))," ")</f>
        <v xml:space="preserve"> </v>
      </c>
      <c r="G4522" s="110">
        <f>COPY!Z4514</f>
        <v>0</v>
      </c>
      <c r="H4522" s="111" t="str">
        <f>IFERROR(VLOOKUP(Table1722[[#This Row],[Bukti]],'Un nOTA'!$A$4:$K$5003,10,FALSE),"")</f>
        <v/>
      </c>
      <c r="I4522" s="123" t="str">
        <f>IFERROR(VLOOKUP(Table1722[[#This Row],[Bukti]],Table13[#Data],11,FALSE),"")</f>
        <v/>
      </c>
    </row>
    <row r="4523" spans="1:9" hidden="1" x14ac:dyDescent="0.2">
      <c r="A4523" s="105" t="str">
        <f>IF(D4523=1,COUNTIF($D$10:D4523,1)," ")</f>
        <v xml:space="preserve"> </v>
      </c>
      <c r="B4523" s="106">
        <f>COPY!AR4515</f>
        <v>0</v>
      </c>
      <c r="C4523" s="107">
        <f>COPY!AC4515</f>
        <v>0</v>
      </c>
      <c r="D4523" s="107" t="str">
        <f>IF(LEN(Table1722[[#This Row],[Uraian]])&gt;2,1," ")</f>
        <v xml:space="preserve"> </v>
      </c>
      <c r="E4523" s="113" t="str">
        <f>IF(Table1722[[#This Row],[Lawan Transaksi]]="CV AGUNG KARYA",COUNTIF($I$10:I4523,"CV AGUNG KARYA")," ")</f>
        <v xml:space="preserve"> </v>
      </c>
      <c r="F4523" s="107" t="str">
        <f>IF(LEN(Table1722[[#This Row],[Uraian]])&gt;2,TRIM(RIGHT(SUBSTITUTE(TRIM(C4523)," ",REPT(" ",255)),255))," ")</f>
        <v xml:space="preserve"> </v>
      </c>
      <c r="G4523" s="110">
        <f>COPY!Z4515</f>
        <v>0</v>
      </c>
      <c r="H4523" s="111" t="str">
        <f>IFERROR(VLOOKUP(Table1722[[#This Row],[Bukti]],'Un nOTA'!$A$4:$K$5003,10,FALSE),"")</f>
        <v/>
      </c>
      <c r="I4523" s="123" t="str">
        <f>IFERROR(VLOOKUP(Table1722[[#This Row],[Bukti]],Table13[#Data],11,FALSE),"")</f>
        <v/>
      </c>
    </row>
    <row r="4524" spans="1:9" hidden="1" x14ac:dyDescent="0.2">
      <c r="A4524" s="105" t="str">
        <f>IF(D4524=1,COUNTIF($D$10:D4524,1)," ")</f>
        <v xml:space="preserve"> </v>
      </c>
      <c r="B4524" s="106">
        <f>COPY!AR4516</f>
        <v>0</v>
      </c>
      <c r="C4524" s="107">
        <f>COPY!AC4516</f>
        <v>0</v>
      </c>
      <c r="D4524" s="107" t="str">
        <f>IF(LEN(Table1722[[#This Row],[Uraian]])&gt;2,1," ")</f>
        <v xml:space="preserve"> </v>
      </c>
      <c r="E4524" s="113" t="str">
        <f>IF(Table1722[[#This Row],[Lawan Transaksi]]="CV AGUNG KARYA",COUNTIF($I$10:I4524,"CV AGUNG KARYA")," ")</f>
        <v xml:space="preserve"> </v>
      </c>
      <c r="F4524" s="107" t="str">
        <f>IF(LEN(Table1722[[#This Row],[Uraian]])&gt;2,TRIM(RIGHT(SUBSTITUTE(TRIM(C4524)," ",REPT(" ",255)),255))," ")</f>
        <v xml:space="preserve"> </v>
      </c>
      <c r="G4524" s="110">
        <f>COPY!Z4516</f>
        <v>0</v>
      </c>
      <c r="H4524" s="111" t="str">
        <f>IFERROR(VLOOKUP(Table1722[[#This Row],[Bukti]],'Un nOTA'!$A$4:$K$5003,10,FALSE),"")</f>
        <v/>
      </c>
      <c r="I4524" s="123" t="str">
        <f>IFERROR(VLOOKUP(Table1722[[#This Row],[Bukti]],Table13[#Data],11,FALSE),"")</f>
        <v/>
      </c>
    </row>
    <row r="4525" spans="1:9" hidden="1" x14ac:dyDescent="0.2">
      <c r="A4525" s="105" t="str">
        <f>IF(D4525=1,COUNTIF($D$10:D4525,1)," ")</f>
        <v xml:space="preserve"> </v>
      </c>
      <c r="B4525" s="106">
        <f>COPY!AR4517</f>
        <v>0</v>
      </c>
      <c r="C4525" s="107">
        <f>COPY!AC4517</f>
        <v>0</v>
      </c>
      <c r="D4525" s="107" t="str">
        <f>IF(LEN(Table1722[[#This Row],[Uraian]])&gt;2,1," ")</f>
        <v xml:space="preserve"> </v>
      </c>
      <c r="E4525" s="113" t="str">
        <f>IF(Table1722[[#This Row],[Lawan Transaksi]]="CV AGUNG KARYA",COUNTIF($I$10:I4525,"CV AGUNG KARYA")," ")</f>
        <v xml:space="preserve"> </v>
      </c>
      <c r="F4525" s="107" t="str">
        <f>IF(LEN(Table1722[[#This Row],[Uraian]])&gt;2,TRIM(RIGHT(SUBSTITUTE(TRIM(C4525)," ",REPT(" ",255)),255))," ")</f>
        <v xml:space="preserve"> </v>
      </c>
      <c r="G4525" s="110">
        <f>COPY!Z4517</f>
        <v>0</v>
      </c>
      <c r="H4525" s="111" t="str">
        <f>IFERROR(VLOOKUP(Table1722[[#This Row],[Bukti]],'Un nOTA'!$A$4:$K$5003,10,FALSE),"")</f>
        <v/>
      </c>
      <c r="I4525" s="123" t="str">
        <f>IFERROR(VLOOKUP(Table1722[[#This Row],[Bukti]],Table13[#Data],11,FALSE),"")</f>
        <v/>
      </c>
    </row>
    <row r="4526" spans="1:9" hidden="1" x14ac:dyDescent="0.2">
      <c r="A4526" s="105" t="str">
        <f>IF(D4526=1,COUNTIF($D$10:D4526,1)," ")</f>
        <v xml:space="preserve"> </v>
      </c>
      <c r="B4526" s="106">
        <f>COPY!AR4518</f>
        <v>0</v>
      </c>
      <c r="C4526" s="107">
        <f>COPY!AC4518</f>
        <v>0</v>
      </c>
      <c r="D4526" s="107" t="str">
        <f>IF(LEN(Table1722[[#This Row],[Uraian]])&gt;2,1," ")</f>
        <v xml:space="preserve"> </v>
      </c>
      <c r="E4526" s="113" t="str">
        <f>IF(Table1722[[#This Row],[Lawan Transaksi]]="CV AGUNG KARYA",COUNTIF($I$10:I4526,"CV AGUNG KARYA")," ")</f>
        <v xml:space="preserve"> </v>
      </c>
      <c r="F4526" s="107" t="str">
        <f>IF(LEN(Table1722[[#This Row],[Uraian]])&gt;2,TRIM(RIGHT(SUBSTITUTE(TRIM(C4526)," ",REPT(" ",255)),255))," ")</f>
        <v xml:space="preserve"> </v>
      </c>
      <c r="G4526" s="110">
        <f>COPY!Z4518</f>
        <v>0</v>
      </c>
      <c r="H4526" s="111" t="str">
        <f>IFERROR(VLOOKUP(Table1722[[#This Row],[Bukti]],'Un nOTA'!$A$4:$K$5003,10,FALSE),"")</f>
        <v/>
      </c>
      <c r="I4526" s="123" t="str">
        <f>IFERROR(VLOOKUP(Table1722[[#This Row],[Bukti]],Table13[#Data],11,FALSE),"")</f>
        <v/>
      </c>
    </row>
    <row r="4527" spans="1:9" hidden="1" x14ac:dyDescent="0.2">
      <c r="A4527" s="105" t="str">
        <f>IF(D4527=1,COUNTIF($D$10:D4527,1)," ")</f>
        <v xml:space="preserve"> </v>
      </c>
      <c r="B4527" s="106">
        <f>COPY!AR4519</f>
        <v>0</v>
      </c>
      <c r="C4527" s="107">
        <f>COPY!AC4519</f>
        <v>0</v>
      </c>
      <c r="D4527" s="107" t="str">
        <f>IF(LEN(Table1722[[#This Row],[Uraian]])&gt;2,1," ")</f>
        <v xml:space="preserve"> </v>
      </c>
      <c r="E4527" s="113" t="str">
        <f>IF(Table1722[[#This Row],[Lawan Transaksi]]="CV AGUNG KARYA",COUNTIF($I$10:I4527,"CV AGUNG KARYA")," ")</f>
        <v xml:space="preserve"> </v>
      </c>
      <c r="F4527" s="107" t="str">
        <f>IF(LEN(Table1722[[#This Row],[Uraian]])&gt;2,TRIM(RIGHT(SUBSTITUTE(TRIM(C4527)," ",REPT(" ",255)),255))," ")</f>
        <v xml:space="preserve"> </v>
      </c>
      <c r="G4527" s="110">
        <f>COPY!Z4519</f>
        <v>0</v>
      </c>
      <c r="H4527" s="111" t="str">
        <f>IFERROR(VLOOKUP(Table1722[[#This Row],[Bukti]],'Un nOTA'!$A$4:$K$5003,10,FALSE),"")</f>
        <v/>
      </c>
      <c r="I4527" s="123" t="str">
        <f>IFERROR(VLOOKUP(Table1722[[#This Row],[Bukti]],Table13[#Data],11,FALSE),"")</f>
        <v/>
      </c>
    </row>
    <row r="4528" spans="1:9" hidden="1" x14ac:dyDescent="0.2">
      <c r="A4528" s="105" t="str">
        <f>IF(D4528=1,COUNTIF($D$10:D4528,1)," ")</f>
        <v xml:space="preserve"> </v>
      </c>
      <c r="B4528" s="106">
        <f>COPY!AR4520</f>
        <v>0</v>
      </c>
      <c r="C4528" s="107">
        <f>COPY!AC4520</f>
        <v>0</v>
      </c>
      <c r="D4528" s="107" t="str">
        <f>IF(LEN(Table1722[[#This Row],[Uraian]])&gt;2,1," ")</f>
        <v xml:space="preserve"> </v>
      </c>
      <c r="E4528" s="113" t="str">
        <f>IF(Table1722[[#This Row],[Lawan Transaksi]]="CV AGUNG KARYA",COUNTIF($I$10:I4528,"CV AGUNG KARYA")," ")</f>
        <v xml:space="preserve"> </v>
      </c>
      <c r="F4528" s="107" t="str">
        <f>IF(LEN(Table1722[[#This Row],[Uraian]])&gt;2,TRIM(RIGHT(SUBSTITUTE(TRIM(C4528)," ",REPT(" ",255)),255))," ")</f>
        <v xml:space="preserve"> </v>
      </c>
      <c r="G4528" s="110">
        <f>COPY!Z4520</f>
        <v>0</v>
      </c>
      <c r="H4528" s="111" t="str">
        <f>IFERROR(VLOOKUP(Table1722[[#This Row],[Bukti]],'Un nOTA'!$A$4:$K$5003,10,FALSE),"")</f>
        <v/>
      </c>
      <c r="I4528" s="123" t="str">
        <f>IFERROR(VLOOKUP(Table1722[[#This Row],[Bukti]],Table13[#Data],11,FALSE),"")</f>
        <v/>
      </c>
    </row>
    <row r="4529" spans="1:9" hidden="1" x14ac:dyDescent="0.2">
      <c r="A4529" s="105" t="str">
        <f>IF(D4529=1,COUNTIF($D$10:D4529,1)," ")</f>
        <v xml:space="preserve"> </v>
      </c>
      <c r="B4529" s="106">
        <f>COPY!AR4521</f>
        <v>0</v>
      </c>
      <c r="C4529" s="107">
        <f>COPY!AC4521</f>
        <v>0</v>
      </c>
      <c r="D4529" s="107" t="str">
        <f>IF(LEN(Table1722[[#This Row],[Uraian]])&gt;2,1," ")</f>
        <v xml:space="preserve"> </v>
      </c>
      <c r="E4529" s="113" t="str">
        <f>IF(Table1722[[#This Row],[Lawan Transaksi]]="CV AGUNG KARYA",COUNTIF($I$10:I4529,"CV AGUNG KARYA")," ")</f>
        <v xml:space="preserve"> </v>
      </c>
      <c r="F4529" s="107" t="str">
        <f>IF(LEN(Table1722[[#This Row],[Uraian]])&gt;2,TRIM(RIGHT(SUBSTITUTE(TRIM(C4529)," ",REPT(" ",255)),255))," ")</f>
        <v xml:space="preserve"> </v>
      </c>
      <c r="G4529" s="110">
        <f>COPY!Z4521</f>
        <v>0</v>
      </c>
      <c r="H4529" s="111" t="str">
        <f>IFERROR(VLOOKUP(Table1722[[#This Row],[Bukti]],'Un nOTA'!$A$4:$K$5003,10,FALSE),"")</f>
        <v/>
      </c>
      <c r="I4529" s="123" t="str">
        <f>IFERROR(VLOOKUP(Table1722[[#This Row],[Bukti]],Table13[#Data],11,FALSE),"")</f>
        <v/>
      </c>
    </row>
    <row r="4530" spans="1:9" hidden="1" x14ac:dyDescent="0.2">
      <c r="A4530" s="105" t="str">
        <f>IF(D4530=1,COUNTIF($D$10:D4530,1)," ")</f>
        <v xml:space="preserve"> </v>
      </c>
      <c r="B4530" s="106">
        <f>COPY!AR4522</f>
        <v>0</v>
      </c>
      <c r="C4530" s="107">
        <f>COPY!AC4522</f>
        <v>0</v>
      </c>
      <c r="D4530" s="107" t="str">
        <f>IF(LEN(Table1722[[#This Row],[Uraian]])&gt;2,1," ")</f>
        <v xml:space="preserve"> </v>
      </c>
      <c r="E4530" s="113" t="str">
        <f>IF(Table1722[[#This Row],[Lawan Transaksi]]="CV AGUNG KARYA",COUNTIF($I$10:I4530,"CV AGUNG KARYA")," ")</f>
        <v xml:space="preserve"> </v>
      </c>
      <c r="F4530" s="107" t="str">
        <f>IF(LEN(Table1722[[#This Row],[Uraian]])&gt;2,TRIM(RIGHT(SUBSTITUTE(TRIM(C4530)," ",REPT(" ",255)),255))," ")</f>
        <v xml:space="preserve"> </v>
      </c>
      <c r="G4530" s="110">
        <f>COPY!Z4522</f>
        <v>0</v>
      </c>
      <c r="H4530" s="111" t="str">
        <f>IFERROR(VLOOKUP(Table1722[[#This Row],[Bukti]],'Un nOTA'!$A$4:$K$5003,10,FALSE),"")</f>
        <v/>
      </c>
      <c r="I4530" s="123" t="str">
        <f>IFERROR(VLOOKUP(Table1722[[#This Row],[Bukti]],Table13[#Data],11,FALSE),"")</f>
        <v/>
      </c>
    </row>
    <row r="4531" spans="1:9" hidden="1" x14ac:dyDescent="0.2">
      <c r="A4531" s="105" t="str">
        <f>IF(D4531=1,COUNTIF($D$10:D4531,1)," ")</f>
        <v xml:space="preserve"> </v>
      </c>
      <c r="B4531" s="106">
        <f>COPY!AR4523</f>
        <v>0</v>
      </c>
      <c r="C4531" s="107">
        <f>COPY!AC4523</f>
        <v>0</v>
      </c>
      <c r="D4531" s="107" t="str">
        <f>IF(LEN(Table1722[[#This Row],[Uraian]])&gt;2,1," ")</f>
        <v xml:space="preserve"> </v>
      </c>
      <c r="E4531" s="113" t="str">
        <f>IF(Table1722[[#This Row],[Lawan Transaksi]]="CV AGUNG KARYA",COUNTIF($I$10:I4531,"CV AGUNG KARYA")," ")</f>
        <v xml:space="preserve"> </v>
      </c>
      <c r="F4531" s="107" t="str">
        <f>IF(LEN(Table1722[[#This Row],[Uraian]])&gt;2,TRIM(RIGHT(SUBSTITUTE(TRIM(C4531)," ",REPT(" ",255)),255))," ")</f>
        <v xml:space="preserve"> </v>
      </c>
      <c r="G4531" s="110">
        <f>COPY!Z4523</f>
        <v>0</v>
      </c>
      <c r="H4531" s="111" t="str">
        <f>IFERROR(VLOOKUP(Table1722[[#This Row],[Bukti]],'Un nOTA'!$A$4:$K$5003,10,FALSE),"")</f>
        <v/>
      </c>
      <c r="I4531" s="123" t="str">
        <f>IFERROR(VLOOKUP(Table1722[[#This Row],[Bukti]],Table13[#Data],11,FALSE),"")</f>
        <v/>
      </c>
    </row>
    <row r="4532" spans="1:9" hidden="1" x14ac:dyDescent="0.2">
      <c r="A4532" s="105" t="str">
        <f>IF(D4532=1,COUNTIF($D$10:D4532,1)," ")</f>
        <v xml:space="preserve"> </v>
      </c>
      <c r="B4532" s="106">
        <f>COPY!AR4524</f>
        <v>0</v>
      </c>
      <c r="C4532" s="107">
        <f>COPY!AC4524</f>
        <v>0</v>
      </c>
      <c r="D4532" s="107" t="str">
        <f>IF(LEN(Table1722[[#This Row],[Uraian]])&gt;2,1," ")</f>
        <v xml:space="preserve"> </v>
      </c>
      <c r="E4532" s="113" t="str">
        <f>IF(Table1722[[#This Row],[Lawan Transaksi]]="CV AGUNG KARYA",COUNTIF($I$10:I4532,"CV AGUNG KARYA")," ")</f>
        <v xml:space="preserve"> </v>
      </c>
      <c r="F4532" s="107" t="str">
        <f>IF(LEN(Table1722[[#This Row],[Uraian]])&gt;2,TRIM(RIGHT(SUBSTITUTE(TRIM(C4532)," ",REPT(" ",255)),255))," ")</f>
        <v xml:space="preserve"> </v>
      </c>
      <c r="G4532" s="110">
        <f>COPY!Z4524</f>
        <v>0</v>
      </c>
      <c r="H4532" s="111" t="str">
        <f>IFERROR(VLOOKUP(Table1722[[#This Row],[Bukti]],'Un nOTA'!$A$4:$K$5003,10,FALSE),"")</f>
        <v/>
      </c>
      <c r="I4532" s="123" t="str">
        <f>IFERROR(VLOOKUP(Table1722[[#This Row],[Bukti]],Table13[#Data],11,FALSE),"")</f>
        <v/>
      </c>
    </row>
    <row r="4533" spans="1:9" hidden="1" x14ac:dyDescent="0.2">
      <c r="A4533" s="105" t="str">
        <f>IF(D4533=1,COUNTIF($D$10:D4533,1)," ")</f>
        <v xml:space="preserve"> </v>
      </c>
      <c r="B4533" s="106">
        <f>COPY!AR4525</f>
        <v>0</v>
      </c>
      <c r="C4533" s="107">
        <f>COPY!AC4525</f>
        <v>0</v>
      </c>
      <c r="D4533" s="107" t="str">
        <f>IF(LEN(Table1722[[#This Row],[Uraian]])&gt;2,1," ")</f>
        <v xml:space="preserve"> </v>
      </c>
      <c r="E4533" s="113" t="str">
        <f>IF(Table1722[[#This Row],[Lawan Transaksi]]="CV AGUNG KARYA",COUNTIF($I$10:I4533,"CV AGUNG KARYA")," ")</f>
        <v xml:space="preserve"> </v>
      </c>
      <c r="F4533" s="107" t="str">
        <f>IF(LEN(Table1722[[#This Row],[Uraian]])&gt;2,TRIM(RIGHT(SUBSTITUTE(TRIM(C4533)," ",REPT(" ",255)),255))," ")</f>
        <v xml:space="preserve"> </v>
      </c>
      <c r="G4533" s="110">
        <f>COPY!Z4525</f>
        <v>0</v>
      </c>
      <c r="H4533" s="111" t="str">
        <f>IFERROR(VLOOKUP(Table1722[[#This Row],[Bukti]],'Un nOTA'!$A$4:$K$5003,10,FALSE),"")</f>
        <v/>
      </c>
      <c r="I4533" s="123" t="str">
        <f>IFERROR(VLOOKUP(Table1722[[#This Row],[Bukti]],Table13[#Data],11,FALSE),"")</f>
        <v/>
      </c>
    </row>
    <row r="4534" spans="1:9" hidden="1" x14ac:dyDescent="0.2">
      <c r="A4534" s="105" t="str">
        <f>IF(D4534=1,COUNTIF($D$10:D4534,1)," ")</f>
        <v xml:space="preserve"> </v>
      </c>
      <c r="B4534" s="106">
        <f>COPY!AR4526</f>
        <v>0</v>
      </c>
      <c r="C4534" s="107">
        <f>COPY!AC4526</f>
        <v>0</v>
      </c>
      <c r="D4534" s="107" t="str">
        <f>IF(LEN(Table1722[[#This Row],[Uraian]])&gt;2,1," ")</f>
        <v xml:space="preserve"> </v>
      </c>
      <c r="E4534" s="113" t="str">
        <f>IF(Table1722[[#This Row],[Lawan Transaksi]]="CV AGUNG KARYA",COUNTIF($I$10:I4534,"CV AGUNG KARYA")," ")</f>
        <v xml:space="preserve"> </v>
      </c>
      <c r="F4534" s="107" t="str">
        <f>IF(LEN(Table1722[[#This Row],[Uraian]])&gt;2,TRIM(RIGHT(SUBSTITUTE(TRIM(C4534)," ",REPT(" ",255)),255))," ")</f>
        <v xml:space="preserve"> </v>
      </c>
      <c r="G4534" s="110">
        <f>COPY!Z4526</f>
        <v>0</v>
      </c>
      <c r="H4534" s="111" t="str">
        <f>IFERROR(VLOOKUP(Table1722[[#This Row],[Bukti]],'Un nOTA'!$A$4:$K$5003,10,FALSE),"")</f>
        <v/>
      </c>
      <c r="I4534" s="123" t="str">
        <f>IFERROR(VLOOKUP(Table1722[[#This Row],[Bukti]],Table13[#Data],11,FALSE),"")</f>
        <v/>
      </c>
    </row>
    <row r="4535" spans="1:9" hidden="1" x14ac:dyDescent="0.2">
      <c r="A4535" s="105" t="str">
        <f>IF(D4535=1,COUNTIF($D$10:D4535,1)," ")</f>
        <v xml:space="preserve"> </v>
      </c>
      <c r="B4535" s="106">
        <f>COPY!AR4527</f>
        <v>0</v>
      </c>
      <c r="C4535" s="107">
        <f>COPY!AC4527</f>
        <v>0</v>
      </c>
      <c r="D4535" s="107" t="str">
        <f>IF(LEN(Table1722[[#This Row],[Uraian]])&gt;2,1," ")</f>
        <v xml:space="preserve"> </v>
      </c>
      <c r="E4535" s="113" t="str">
        <f>IF(Table1722[[#This Row],[Lawan Transaksi]]="CV AGUNG KARYA",COUNTIF($I$10:I4535,"CV AGUNG KARYA")," ")</f>
        <v xml:space="preserve"> </v>
      </c>
      <c r="F4535" s="107" t="str">
        <f>IF(LEN(Table1722[[#This Row],[Uraian]])&gt;2,TRIM(RIGHT(SUBSTITUTE(TRIM(C4535)," ",REPT(" ",255)),255))," ")</f>
        <v xml:space="preserve"> </v>
      </c>
      <c r="G4535" s="110">
        <f>COPY!Z4527</f>
        <v>0</v>
      </c>
      <c r="H4535" s="111" t="str">
        <f>IFERROR(VLOOKUP(Table1722[[#This Row],[Bukti]],'Un nOTA'!$A$4:$K$5003,10,FALSE),"")</f>
        <v/>
      </c>
      <c r="I4535" s="123" t="str">
        <f>IFERROR(VLOOKUP(Table1722[[#This Row],[Bukti]],Table13[#Data],11,FALSE),"")</f>
        <v/>
      </c>
    </row>
    <row r="4536" spans="1:9" hidden="1" x14ac:dyDescent="0.2">
      <c r="A4536" s="105" t="str">
        <f>IF(D4536=1,COUNTIF($D$10:D4536,1)," ")</f>
        <v xml:space="preserve"> </v>
      </c>
      <c r="B4536" s="106">
        <f>COPY!AR4528</f>
        <v>0</v>
      </c>
      <c r="C4536" s="107">
        <f>COPY!AC4528</f>
        <v>0</v>
      </c>
      <c r="D4536" s="107" t="str">
        <f>IF(LEN(Table1722[[#This Row],[Uraian]])&gt;2,1," ")</f>
        <v xml:space="preserve"> </v>
      </c>
      <c r="E4536" s="113" t="str">
        <f>IF(Table1722[[#This Row],[Lawan Transaksi]]="CV AGUNG KARYA",COUNTIF($I$10:I4536,"CV AGUNG KARYA")," ")</f>
        <v xml:space="preserve"> </v>
      </c>
      <c r="F4536" s="107" t="str">
        <f>IF(LEN(Table1722[[#This Row],[Uraian]])&gt;2,TRIM(RIGHT(SUBSTITUTE(TRIM(C4536)," ",REPT(" ",255)),255))," ")</f>
        <v xml:space="preserve"> </v>
      </c>
      <c r="G4536" s="110">
        <f>COPY!Z4528</f>
        <v>0</v>
      </c>
      <c r="H4536" s="111" t="str">
        <f>IFERROR(VLOOKUP(Table1722[[#This Row],[Bukti]],'Un nOTA'!$A$4:$K$5003,10,FALSE),"")</f>
        <v/>
      </c>
      <c r="I4536" s="123" t="str">
        <f>IFERROR(VLOOKUP(Table1722[[#This Row],[Bukti]],Table13[#Data],11,FALSE),"")</f>
        <v/>
      </c>
    </row>
    <row r="4537" spans="1:9" hidden="1" x14ac:dyDescent="0.2">
      <c r="A4537" s="105" t="str">
        <f>IF(D4537=1,COUNTIF($D$10:D4537,1)," ")</f>
        <v xml:space="preserve"> </v>
      </c>
      <c r="B4537" s="106">
        <f>COPY!AR4529</f>
        <v>0</v>
      </c>
      <c r="C4537" s="107">
        <f>COPY!AC4529</f>
        <v>0</v>
      </c>
      <c r="D4537" s="107" t="str">
        <f>IF(LEN(Table1722[[#This Row],[Uraian]])&gt;2,1," ")</f>
        <v xml:space="preserve"> </v>
      </c>
      <c r="E4537" s="113" t="str">
        <f>IF(Table1722[[#This Row],[Lawan Transaksi]]="CV AGUNG KARYA",COUNTIF($I$10:I4537,"CV AGUNG KARYA")," ")</f>
        <v xml:space="preserve"> </v>
      </c>
      <c r="F4537" s="107" t="str">
        <f>IF(LEN(Table1722[[#This Row],[Uraian]])&gt;2,TRIM(RIGHT(SUBSTITUTE(TRIM(C4537)," ",REPT(" ",255)),255))," ")</f>
        <v xml:space="preserve"> </v>
      </c>
      <c r="G4537" s="110">
        <f>COPY!Z4529</f>
        <v>0</v>
      </c>
      <c r="H4537" s="111" t="str">
        <f>IFERROR(VLOOKUP(Table1722[[#This Row],[Bukti]],'Un nOTA'!$A$4:$K$5003,10,FALSE),"")</f>
        <v/>
      </c>
      <c r="I4537" s="123" t="str">
        <f>IFERROR(VLOOKUP(Table1722[[#This Row],[Bukti]],Table13[#Data],11,FALSE),"")</f>
        <v/>
      </c>
    </row>
    <row r="4538" spans="1:9" hidden="1" x14ac:dyDescent="0.2">
      <c r="A4538" s="105" t="str">
        <f>IF(D4538=1,COUNTIF($D$10:D4538,1)," ")</f>
        <v xml:space="preserve"> </v>
      </c>
      <c r="B4538" s="106">
        <f>COPY!AR4530</f>
        <v>0</v>
      </c>
      <c r="C4538" s="107">
        <f>COPY!AC4530</f>
        <v>0</v>
      </c>
      <c r="D4538" s="107" t="str">
        <f>IF(LEN(Table1722[[#This Row],[Uraian]])&gt;2,1," ")</f>
        <v xml:space="preserve"> </v>
      </c>
      <c r="E4538" s="113" t="str">
        <f>IF(Table1722[[#This Row],[Lawan Transaksi]]="CV AGUNG KARYA",COUNTIF($I$10:I4538,"CV AGUNG KARYA")," ")</f>
        <v xml:space="preserve"> </v>
      </c>
      <c r="F4538" s="107" t="str">
        <f>IF(LEN(Table1722[[#This Row],[Uraian]])&gt;2,TRIM(RIGHT(SUBSTITUTE(TRIM(C4538)," ",REPT(" ",255)),255))," ")</f>
        <v xml:space="preserve"> </v>
      </c>
      <c r="G4538" s="110">
        <f>COPY!Z4530</f>
        <v>0</v>
      </c>
      <c r="H4538" s="111" t="str">
        <f>IFERROR(VLOOKUP(Table1722[[#This Row],[Bukti]],'Un nOTA'!$A$4:$K$5003,10,FALSE),"")</f>
        <v/>
      </c>
      <c r="I4538" s="123" t="str">
        <f>IFERROR(VLOOKUP(Table1722[[#This Row],[Bukti]],Table13[#Data],11,FALSE),"")</f>
        <v/>
      </c>
    </row>
    <row r="4539" spans="1:9" hidden="1" x14ac:dyDescent="0.2">
      <c r="A4539" s="105" t="str">
        <f>IF(D4539=1,COUNTIF($D$10:D4539,1)," ")</f>
        <v xml:space="preserve"> </v>
      </c>
      <c r="B4539" s="106">
        <f>COPY!AR4531</f>
        <v>0</v>
      </c>
      <c r="C4539" s="107">
        <f>COPY!AC4531</f>
        <v>0</v>
      </c>
      <c r="D4539" s="107" t="str">
        <f>IF(LEN(Table1722[[#This Row],[Uraian]])&gt;2,1," ")</f>
        <v xml:space="preserve"> </v>
      </c>
      <c r="E4539" s="113" t="str">
        <f>IF(Table1722[[#This Row],[Lawan Transaksi]]="CV AGUNG KARYA",COUNTIF($I$10:I4539,"CV AGUNG KARYA")," ")</f>
        <v xml:space="preserve"> </v>
      </c>
      <c r="F4539" s="107" t="str">
        <f>IF(LEN(Table1722[[#This Row],[Uraian]])&gt;2,TRIM(RIGHT(SUBSTITUTE(TRIM(C4539)," ",REPT(" ",255)),255))," ")</f>
        <v xml:space="preserve"> </v>
      </c>
      <c r="G4539" s="110">
        <f>COPY!Z4531</f>
        <v>0</v>
      </c>
      <c r="H4539" s="111" t="str">
        <f>IFERROR(VLOOKUP(Table1722[[#This Row],[Bukti]],'Un nOTA'!$A$4:$K$5003,10,FALSE),"")</f>
        <v/>
      </c>
      <c r="I4539" s="123" t="str">
        <f>IFERROR(VLOOKUP(Table1722[[#This Row],[Bukti]],Table13[#Data],11,FALSE),"")</f>
        <v/>
      </c>
    </row>
    <row r="4540" spans="1:9" hidden="1" x14ac:dyDescent="0.2">
      <c r="A4540" s="105" t="str">
        <f>IF(D4540=1,COUNTIF($D$10:D4540,1)," ")</f>
        <v xml:space="preserve"> </v>
      </c>
      <c r="B4540" s="106">
        <f>COPY!AR4532</f>
        <v>0</v>
      </c>
      <c r="C4540" s="107">
        <f>COPY!AC4532</f>
        <v>0</v>
      </c>
      <c r="D4540" s="107" t="str">
        <f>IF(LEN(Table1722[[#This Row],[Uraian]])&gt;2,1," ")</f>
        <v xml:space="preserve"> </v>
      </c>
      <c r="E4540" s="113" t="str">
        <f>IF(Table1722[[#This Row],[Lawan Transaksi]]="CV AGUNG KARYA",COUNTIF($I$10:I4540,"CV AGUNG KARYA")," ")</f>
        <v xml:space="preserve"> </v>
      </c>
      <c r="F4540" s="107" t="str">
        <f>IF(LEN(Table1722[[#This Row],[Uraian]])&gt;2,TRIM(RIGHT(SUBSTITUTE(TRIM(C4540)," ",REPT(" ",255)),255))," ")</f>
        <v xml:space="preserve"> </v>
      </c>
      <c r="G4540" s="110">
        <f>COPY!Z4532</f>
        <v>0</v>
      </c>
      <c r="H4540" s="111" t="str">
        <f>IFERROR(VLOOKUP(Table1722[[#This Row],[Bukti]],'Un nOTA'!$A$4:$K$5003,10,FALSE),"")</f>
        <v/>
      </c>
      <c r="I4540" s="123" t="str">
        <f>IFERROR(VLOOKUP(Table1722[[#This Row],[Bukti]],Table13[#Data],11,FALSE),"")</f>
        <v/>
      </c>
    </row>
    <row r="4541" spans="1:9" hidden="1" x14ac:dyDescent="0.2">
      <c r="A4541" s="105" t="str">
        <f>IF(D4541=1,COUNTIF($D$10:D4541,1)," ")</f>
        <v xml:space="preserve"> </v>
      </c>
      <c r="B4541" s="106">
        <f>COPY!AR4533</f>
        <v>0</v>
      </c>
      <c r="C4541" s="107">
        <f>COPY!AC4533</f>
        <v>0</v>
      </c>
      <c r="D4541" s="107" t="str">
        <f>IF(LEN(Table1722[[#This Row],[Uraian]])&gt;2,1," ")</f>
        <v xml:space="preserve"> </v>
      </c>
      <c r="E4541" s="113" t="str">
        <f>IF(Table1722[[#This Row],[Lawan Transaksi]]="CV AGUNG KARYA",COUNTIF($I$10:I4541,"CV AGUNG KARYA")," ")</f>
        <v xml:space="preserve"> </v>
      </c>
      <c r="F4541" s="107" t="str">
        <f>IF(LEN(Table1722[[#This Row],[Uraian]])&gt;2,TRIM(RIGHT(SUBSTITUTE(TRIM(C4541)," ",REPT(" ",255)),255))," ")</f>
        <v xml:space="preserve"> </v>
      </c>
      <c r="G4541" s="110">
        <f>COPY!Z4533</f>
        <v>0</v>
      </c>
      <c r="H4541" s="111" t="str">
        <f>IFERROR(VLOOKUP(Table1722[[#This Row],[Bukti]],'Un nOTA'!$A$4:$K$5003,10,FALSE),"")</f>
        <v/>
      </c>
      <c r="I4541" s="123" t="str">
        <f>IFERROR(VLOOKUP(Table1722[[#This Row],[Bukti]],Table13[#Data],11,FALSE),"")</f>
        <v/>
      </c>
    </row>
    <row r="4542" spans="1:9" hidden="1" x14ac:dyDescent="0.2">
      <c r="A4542" s="105" t="str">
        <f>IF(D4542=1,COUNTIF($D$10:D4542,1)," ")</f>
        <v xml:space="preserve"> </v>
      </c>
      <c r="B4542" s="106">
        <f>COPY!AR4534</f>
        <v>0</v>
      </c>
      <c r="C4542" s="107">
        <f>COPY!AC4534</f>
        <v>0</v>
      </c>
      <c r="D4542" s="107" t="str">
        <f>IF(LEN(Table1722[[#This Row],[Uraian]])&gt;2,1," ")</f>
        <v xml:space="preserve"> </v>
      </c>
      <c r="E4542" s="113" t="str">
        <f>IF(Table1722[[#This Row],[Lawan Transaksi]]="CV AGUNG KARYA",COUNTIF($I$10:I4542,"CV AGUNG KARYA")," ")</f>
        <v xml:space="preserve"> </v>
      </c>
      <c r="F4542" s="107" t="str">
        <f>IF(LEN(Table1722[[#This Row],[Uraian]])&gt;2,TRIM(RIGHT(SUBSTITUTE(TRIM(C4542)," ",REPT(" ",255)),255))," ")</f>
        <v xml:space="preserve"> </v>
      </c>
      <c r="G4542" s="110">
        <f>COPY!Z4534</f>
        <v>0</v>
      </c>
      <c r="H4542" s="111" t="str">
        <f>IFERROR(VLOOKUP(Table1722[[#This Row],[Bukti]],'Un nOTA'!$A$4:$K$5003,10,FALSE),"")</f>
        <v/>
      </c>
      <c r="I4542" s="123" t="str">
        <f>IFERROR(VLOOKUP(Table1722[[#This Row],[Bukti]],Table13[#Data],11,FALSE),"")</f>
        <v/>
      </c>
    </row>
    <row r="4543" spans="1:9" hidden="1" x14ac:dyDescent="0.2">
      <c r="A4543" s="105" t="str">
        <f>IF(D4543=1,COUNTIF($D$10:D4543,1)," ")</f>
        <v xml:space="preserve"> </v>
      </c>
      <c r="B4543" s="106">
        <f>COPY!AR4535</f>
        <v>0</v>
      </c>
      <c r="C4543" s="107">
        <f>COPY!AC4535</f>
        <v>0</v>
      </c>
      <c r="D4543" s="107" t="str">
        <f>IF(LEN(Table1722[[#This Row],[Uraian]])&gt;2,1," ")</f>
        <v xml:space="preserve"> </v>
      </c>
      <c r="E4543" s="113" t="str">
        <f>IF(Table1722[[#This Row],[Lawan Transaksi]]="CV AGUNG KARYA",COUNTIF($I$10:I4543,"CV AGUNG KARYA")," ")</f>
        <v xml:space="preserve"> </v>
      </c>
      <c r="F4543" s="107" t="str">
        <f>IF(LEN(Table1722[[#This Row],[Uraian]])&gt;2,TRIM(RIGHT(SUBSTITUTE(TRIM(C4543)," ",REPT(" ",255)),255))," ")</f>
        <v xml:space="preserve"> </v>
      </c>
      <c r="G4543" s="110">
        <f>COPY!Z4535</f>
        <v>0</v>
      </c>
      <c r="H4543" s="111" t="str">
        <f>IFERROR(VLOOKUP(Table1722[[#This Row],[Bukti]],'Un nOTA'!$A$4:$K$5003,10,FALSE),"")</f>
        <v/>
      </c>
      <c r="I4543" s="123" t="str">
        <f>IFERROR(VLOOKUP(Table1722[[#This Row],[Bukti]],Table13[#Data],11,FALSE),"")</f>
        <v/>
      </c>
    </row>
    <row r="4544" spans="1:9" hidden="1" x14ac:dyDescent="0.2">
      <c r="A4544" s="105" t="str">
        <f>IF(D4544=1,COUNTIF($D$10:D4544,1)," ")</f>
        <v xml:space="preserve"> </v>
      </c>
      <c r="B4544" s="106">
        <f>COPY!AR4536</f>
        <v>0</v>
      </c>
      <c r="C4544" s="107">
        <f>COPY!AC4536</f>
        <v>0</v>
      </c>
      <c r="D4544" s="107" t="str">
        <f>IF(LEN(Table1722[[#This Row],[Uraian]])&gt;2,1," ")</f>
        <v xml:space="preserve"> </v>
      </c>
      <c r="E4544" s="113" t="str">
        <f>IF(Table1722[[#This Row],[Lawan Transaksi]]="CV AGUNG KARYA",COUNTIF($I$10:I4544,"CV AGUNG KARYA")," ")</f>
        <v xml:space="preserve"> </v>
      </c>
      <c r="F4544" s="107" t="str">
        <f>IF(LEN(Table1722[[#This Row],[Uraian]])&gt;2,TRIM(RIGHT(SUBSTITUTE(TRIM(C4544)," ",REPT(" ",255)),255))," ")</f>
        <v xml:space="preserve"> </v>
      </c>
      <c r="G4544" s="110">
        <f>COPY!Z4536</f>
        <v>0</v>
      </c>
      <c r="H4544" s="111" t="str">
        <f>IFERROR(VLOOKUP(Table1722[[#This Row],[Bukti]],'Un nOTA'!$A$4:$K$5003,10,FALSE),"")</f>
        <v/>
      </c>
      <c r="I4544" s="123" t="str">
        <f>IFERROR(VLOOKUP(Table1722[[#This Row],[Bukti]],Table13[#Data],11,FALSE),"")</f>
        <v/>
      </c>
    </row>
    <row r="4545" spans="1:9" hidden="1" x14ac:dyDescent="0.2">
      <c r="A4545" s="105" t="str">
        <f>IF(D4545=1,COUNTIF($D$10:D4545,1)," ")</f>
        <v xml:space="preserve"> </v>
      </c>
      <c r="B4545" s="106">
        <f>COPY!AR4537</f>
        <v>0</v>
      </c>
      <c r="C4545" s="107">
        <f>COPY!AC4537</f>
        <v>0</v>
      </c>
      <c r="D4545" s="107" t="str">
        <f>IF(LEN(Table1722[[#This Row],[Uraian]])&gt;2,1," ")</f>
        <v xml:space="preserve"> </v>
      </c>
      <c r="E4545" s="113" t="str">
        <f>IF(Table1722[[#This Row],[Lawan Transaksi]]="CV AGUNG KARYA",COUNTIF($I$10:I4545,"CV AGUNG KARYA")," ")</f>
        <v xml:space="preserve"> </v>
      </c>
      <c r="F4545" s="107" t="str">
        <f>IF(LEN(Table1722[[#This Row],[Uraian]])&gt;2,TRIM(RIGHT(SUBSTITUTE(TRIM(C4545)," ",REPT(" ",255)),255))," ")</f>
        <v xml:space="preserve"> </v>
      </c>
      <c r="G4545" s="110">
        <f>COPY!Z4537</f>
        <v>0</v>
      </c>
      <c r="H4545" s="111" t="str">
        <f>IFERROR(VLOOKUP(Table1722[[#This Row],[Bukti]],'Un nOTA'!$A$4:$K$5003,10,FALSE),"")</f>
        <v/>
      </c>
      <c r="I4545" s="123" t="str">
        <f>IFERROR(VLOOKUP(Table1722[[#This Row],[Bukti]],Table13[#Data],11,FALSE),"")</f>
        <v/>
      </c>
    </row>
    <row r="4546" spans="1:9" hidden="1" x14ac:dyDescent="0.2">
      <c r="A4546" s="105" t="str">
        <f>IF(D4546=1,COUNTIF($D$10:D4546,1)," ")</f>
        <v xml:space="preserve"> </v>
      </c>
      <c r="B4546" s="106">
        <f>COPY!AR4538</f>
        <v>0</v>
      </c>
      <c r="C4546" s="107">
        <f>COPY!AC4538</f>
        <v>0</v>
      </c>
      <c r="D4546" s="107" t="str">
        <f>IF(LEN(Table1722[[#This Row],[Uraian]])&gt;2,1," ")</f>
        <v xml:space="preserve"> </v>
      </c>
      <c r="E4546" s="113" t="str">
        <f>IF(Table1722[[#This Row],[Lawan Transaksi]]="CV AGUNG KARYA",COUNTIF($I$10:I4546,"CV AGUNG KARYA")," ")</f>
        <v xml:space="preserve"> </v>
      </c>
      <c r="F4546" s="107" t="str">
        <f>IF(LEN(Table1722[[#This Row],[Uraian]])&gt;2,TRIM(RIGHT(SUBSTITUTE(TRIM(C4546)," ",REPT(" ",255)),255))," ")</f>
        <v xml:space="preserve"> </v>
      </c>
      <c r="G4546" s="110">
        <f>COPY!Z4538</f>
        <v>0</v>
      </c>
      <c r="H4546" s="111" t="str">
        <f>IFERROR(VLOOKUP(Table1722[[#This Row],[Bukti]],'Un nOTA'!$A$4:$K$5003,10,FALSE),"")</f>
        <v/>
      </c>
      <c r="I4546" s="123" t="str">
        <f>IFERROR(VLOOKUP(Table1722[[#This Row],[Bukti]],Table13[#Data],11,FALSE),"")</f>
        <v/>
      </c>
    </row>
    <row r="4547" spans="1:9" hidden="1" x14ac:dyDescent="0.2">
      <c r="A4547" s="105" t="str">
        <f>IF(D4547=1,COUNTIF($D$10:D4547,1)," ")</f>
        <v xml:space="preserve"> </v>
      </c>
      <c r="B4547" s="106">
        <f>COPY!AR4539</f>
        <v>0</v>
      </c>
      <c r="C4547" s="107">
        <f>COPY!AC4539</f>
        <v>0</v>
      </c>
      <c r="D4547" s="107" t="str">
        <f>IF(LEN(Table1722[[#This Row],[Uraian]])&gt;2,1," ")</f>
        <v xml:space="preserve"> </v>
      </c>
      <c r="E4547" s="113" t="str">
        <f>IF(Table1722[[#This Row],[Lawan Transaksi]]="CV AGUNG KARYA",COUNTIF($I$10:I4547,"CV AGUNG KARYA")," ")</f>
        <v xml:space="preserve"> </v>
      </c>
      <c r="F4547" s="107" t="str">
        <f>IF(LEN(Table1722[[#This Row],[Uraian]])&gt;2,TRIM(RIGHT(SUBSTITUTE(TRIM(C4547)," ",REPT(" ",255)),255))," ")</f>
        <v xml:space="preserve"> </v>
      </c>
      <c r="G4547" s="110">
        <f>COPY!Z4539</f>
        <v>0</v>
      </c>
      <c r="H4547" s="111" t="str">
        <f>IFERROR(VLOOKUP(Table1722[[#This Row],[Bukti]],'Un nOTA'!$A$4:$K$5003,10,FALSE),"")</f>
        <v/>
      </c>
      <c r="I4547" s="123" t="str">
        <f>IFERROR(VLOOKUP(Table1722[[#This Row],[Bukti]],Table13[#Data],11,FALSE),"")</f>
        <v/>
      </c>
    </row>
    <row r="4548" spans="1:9" hidden="1" x14ac:dyDescent="0.2">
      <c r="A4548" s="105" t="str">
        <f>IF(D4548=1,COUNTIF($D$10:D4548,1)," ")</f>
        <v xml:space="preserve"> </v>
      </c>
      <c r="B4548" s="106">
        <f>COPY!AR4540</f>
        <v>0</v>
      </c>
      <c r="C4548" s="107">
        <f>COPY!AC4540</f>
        <v>0</v>
      </c>
      <c r="D4548" s="107" t="str">
        <f>IF(LEN(Table1722[[#This Row],[Uraian]])&gt;2,1," ")</f>
        <v xml:space="preserve"> </v>
      </c>
      <c r="E4548" s="113" t="str">
        <f>IF(Table1722[[#This Row],[Lawan Transaksi]]="CV AGUNG KARYA",COUNTIF($I$10:I4548,"CV AGUNG KARYA")," ")</f>
        <v xml:space="preserve"> </v>
      </c>
      <c r="F4548" s="107" t="str">
        <f>IF(LEN(Table1722[[#This Row],[Uraian]])&gt;2,TRIM(RIGHT(SUBSTITUTE(TRIM(C4548)," ",REPT(" ",255)),255))," ")</f>
        <v xml:space="preserve"> </v>
      </c>
      <c r="G4548" s="110">
        <f>COPY!Z4540</f>
        <v>0</v>
      </c>
      <c r="H4548" s="111" t="str">
        <f>IFERROR(VLOOKUP(Table1722[[#This Row],[Bukti]],'Un nOTA'!$A$4:$K$5003,10,FALSE),"")</f>
        <v/>
      </c>
      <c r="I4548" s="123" t="str">
        <f>IFERROR(VLOOKUP(Table1722[[#This Row],[Bukti]],Table13[#Data],11,FALSE),"")</f>
        <v/>
      </c>
    </row>
    <row r="4549" spans="1:9" hidden="1" x14ac:dyDescent="0.2">
      <c r="A4549" s="105" t="str">
        <f>IF(D4549=1,COUNTIF($D$10:D4549,1)," ")</f>
        <v xml:space="preserve"> </v>
      </c>
      <c r="B4549" s="106">
        <f>COPY!AR4541</f>
        <v>0</v>
      </c>
      <c r="C4549" s="107">
        <f>COPY!AC4541</f>
        <v>0</v>
      </c>
      <c r="D4549" s="107" t="str">
        <f>IF(LEN(Table1722[[#This Row],[Uraian]])&gt;2,1," ")</f>
        <v xml:space="preserve"> </v>
      </c>
      <c r="E4549" s="113" t="str">
        <f>IF(Table1722[[#This Row],[Lawan Transaksi]]="CV AGUNG KARYA",COUNTIF($I$10:I4549,"CV AGUNG KARYA")," ")</f>
        <v xml:space="preserve"> </v>
      </c>
      <c r="F4549" s="107" t="str">
        <f>IF(LEN(Table1722[[#This Row],[Uraian]])&gt;2,TRIM(RIGHT(SUBSTITUTE(TRIM(C4549)," ",REPT(" ",255)),255))," ")</f>
        <v xml:space="preserve"> </v>
      </c>
      <c r="G4549" s="110">
        <f>COPY!Z4541</f>
        <v>0</v>
      </c>
      <c r="H4549" s="111" t="str">
        <f>IFERROR(VLOOKUP(Table1722[[#This Row],[Bukti]],'Un nOTA'!$A$4:$K$5003,10,FALSE),"")</f>
        <v/>
      </c>
      <c r="I4549" s="123" t="str">
        <f>IFERROR(VLOOKUP(Table1722[[#This Row],[Bukti]],Table13[#Data],11,FALSE),"")</f>
        <v/>
      </c>
    </row>
    <row r="4550" spans="1:9" hidden="1" x14ac:dyDescent="0.2">
      <c r="A4550" s="105" t="str">
        <f>IF(D4550=1,COUNTIF($D$10:D4550,1)," ")</f>
        <v xml:space="preserve"> </v>
      </c>
      <c r="B4550" s="106">
        <f>COPY!AR4542</f>
        <v>0</v>
      </c>
      <c r="C4550" s="107">
        <f>COPY!AC4542</f>
        <v>0</v>
      </c>
      <c r="D4550" s="107" t="str">
        <f>IF(LEN(Table1722[[#This Row],[Uraian]])&gt;2,1," ")</f>
        <v xml:space="preserve"> </v>
      </c>
      <c r="E4550" s="113" t="str">
        <f>IF(Table1722[[#This Row],[Lawan Transaksi]]="CV AGUNG KARYA",COUNTIF($I$10:I4550,"CV AGUNG KARYA")," ")</f>
        <v xml:space="preserve"> </v>
      </c>
      <c r="F4550" s="107" t="str">
        <f>IF(LEN(Table1722[[#This Row],[Uraian]])&gt;2,TRIM(RIGHT(SUBSTITUTE(TRIM(C4550)," ",REPT(" ",255)),255))," ")</f>
        <v xml:space="preserve"> </v>
      </c>
      <c r="G4550" s="110">
        <f>COPY!Z4542</f>
        <v>0</v>
      </c>
      <c r="H4550" s="111" t="str">
        <f>IFERROR(VLOOKUP(Table1722[[#This Row],[Bukti]],'Un nOTA'!$A$4:$K$5003,10,FALSE),"")</f>
        <v/>
      </c>
      <c r="I4550" s="123" t="str">
        <f>IFERROR(VLOOKUP(Table1722[[#This Row],[Bukti]],Table13[#Data],11,FALSE),"")</f>
        <v/>
      </c>
    </row>
    <row r="4551" spans="1:9" hidden="1" x14ac:dyDescent="0.2">
      <c r="A4551" s="105" t="str">
        <f>IF(D4551=1,COUNTIF($D$10:D4551,1)," ")</f>
        <v xml:space="preserve"> </v>
      </c>
      <c r="B4551" s="106">
        <f>COPY!AR4543</f>
        <v>0</v>
      </c>
      <c r="C4551" s="107">
        <f>COPY!AC4543</f>
        <v>0</v>
      </c>
      <c r="D4551" s="107" t="str">
        <f>IF(LEN(Table1722[[#This Row],[Uraian]])&gt;2,1," ")</f>
        <v xml:space="preserve"> </v>
      </c>
      <c r="E4551" s="113" t="str">
        <f>IF(Table1722[[#This Row],[Lawan Transaksi]]="CV AGUNG KARYA",COUNTIF($I$10:I4551,"CV AGUNG KARYA")," ")</f>
        <v xml:space="preserve"> </v>
      </c>
      <c r="F4551" s="107" t="str">
        <f>IF(LEN(Table1722[[#This Row],[Uraian]])&gt;2,TRIM(RIGHT(SUBSTITUTE(TRIM(C4551)," ",REPT(" ",255)),255))," ")</f>
        <v xml:space="preserve"> </v>
      </c>
      <c r="G4551" s="110">
        <f>COPY!Z4543</f>
        <v>0</v>
      </c>
      <c r="H4551" s="111" t="str">
        <f>IFERROR(VLOOKUP(Table1722[[#This Row],[Bukti]],'Un nOTA'!$A$4:$K$5003,10,FALSE),"")</f>
        <v/>
      </c>
      <c r="I4551" s="123" t="str">
        <f>IFERROR(VLOOKUP(Table1722[[#This Row],[Bukti]],Table13[#Data],11,FALSE),"")</f>
        <v/>
      </c>
    </row>
    <row r="4552" spans="1:9" hidden="1" x14ac:dyDescent="0.2">
      <c r="A4552" s="105" t="str">
        <f>IF(D4552=1,COUNTIF($D$10:D4552,1)," ")</f>
        <v xml:space="preserve"> </v>
      </c>
      <c r="B4552" s="106">
        <f>COPY!AR4544</f>
        <v>0</v>
      </c>
      <c r="C4552" s="107">
        <f>COPY!AC4544</f>
        <v>0</v>
      </c>
      <c r="D4552" s="107" t="str">
        <f>IF(LEN(Table1722[[#This Row],[Uraian]])&gt;2,1," ")</f>
        <v xml:space="preserve"> </v>
      </c>
      <c r="E4552" s="113" t="str">
        <f>IF(Table1722[[#This Row],[Lawan Transaksi]]="CV AGUNG KARYA",COUNTIF($I$10:I4552,"CV AGUNG KARYA")," ")</f>
        <v xml:space="preserve"> </v>
      </c>
      <c r="F4552" s="107" t="str">
        <f>IF(LEN(Table1722[[#This Row],[Uraian]])&gt;2,TRIM(RIGHT(SUBSTITUTE(TRIM(C4552)," ",REPT(" ",255)),255))," ")</f>
        <v xml:space="preserve"> </v>
      </c>
      <c r="G4552" s="110">
        <f>COPY!Z4544</f>
        <v>0</v>
      </c>
      <c r="H4552" s="111" t="str">
        <f>IFERROR(VLOOKUP(Table1722[[#This Row],[Bukti]],'Un nOTA'!$A$4:$K$5003,10,FALSE),"")</f>
        <v/>
      </c>
      <c r="I4552" s="123" t="str">
        <f>IFERROR(VLOOKUP(Table1722[[#This Row],[Bukti]],Table13[#Data],11,FALSE),"")</f>
        <v/>
      </c>
    </row>
    <row r="4553" spans="1:9" hidden="1" x14ac:dyDescent="0.2">
      <c r="A4553" s="105" t="str">
        <f>IF(D4553=1,COUNTIF($D$10:D4553,1)," ")</f>
        <v xml:space="preserve"> </v>
      </c>
      <c r="B4553" s="106">
        <f>COPY!AR4545</f>
        <v>0</v>
      </c>
      <c r="C4553" s="107">
        <f>COPY!AC4545</f>
        <v>0</v>
      </c>
      <c r="D4553" s="107" t="str">
        <f>IF(LEN(Table1722[[#This Row],[Uraian]])&gt;2,1," ")</f>
        <v xml:space="preserve"> </v>
      </c>
      <c r="E4553" s="113" t="str">
        <f>IF(Table1722[[#This Row],[Lawan Transaksi]]="CV AGUNG KARYA",COUNTIF($I$10:I4553,"CV AGUNG KARYA")," ")</f>
        <v xml:space="preserve"> </v>
      </c>
      <c r="F4553" s="107" t="str">
        <f>IF(LEN(Table1722[[#This Row],[Uraian]])&gt;2,TRIM(RIGHT(SUBSTITUTE(TRIM(C4553)," ",REPT(" ",255)),255))," ")</f>
        <v xml:space="preserve"> </v>
      </c>
      <c r="G4553" s="110">
        <f>COPY!Z4545</f>
        <v>0</v>
      </c>
      <c r="H4553" s="111" t="str">
        <f>IFERROR(VLOOKUP(Table1722[[#This Row],[Bukti]],'Un nOTA'!$A$4:$K$5003,10,FALSE),"")</f>
        <v/>
      </c>
      <c r="I4553" s="123" t="str">
        <f>IFERROR(VLOOKUP(Table1722[[#This Row],[Bukti]],Table13[#Data],11,FALSE),"")</f>
        <v/>
      </c>
    </row>
    <row r="4554" spans="1:9" hidden="1" x14ac:dyDescent="0.2">
      <c r="A4554" s="105" t="str">
        <f>IF(D4554=1,COUNTIF($D$10:D4554,1)," ")</f>
        <v xml:space="preserve"> </v>
      </c>
      <c r="B4554" s="106">
        <f>COPY!AR4546</f>
        <v>0</v>
      </c>
      <c r="C4554" s="107">
        <f>COPY!AC4546</f>
        <v>0</v>
      </c>
      <c r="D4554" s="107" t="str">
        <f>IF(LEN(Table1722[[#This Row],[Uraian]])&gt;2,1," ")</f>
        <v xml:space="preserve"> </v>
      </c>
      <c r="E4554" s="113" t="str">
        <f>IF(Table1722[[#This Row],[Lawan Transaksi]]="CV AGUNG KARYA",COUNTIF($I$10:I4554,"CV AGUNG KARYA")," ")</f>
        <v xml:space="preserve"> </v>
      </c>
      <c r="F4554" s="107" t="str">
        <f>IF(LEN(Table1722[[#This Row],[Uraian]])&gt;2,TRIM(RIGHT(SUBSTITUTE(TRIM(C4554)," ",REPT(" ",255)),255))," ")</f>
        <v xml:space="preserve"> </v>
      </c>
      <c r="G4554" s="110">
        <f>COPY!Z4546</f>
        <v>0</v>
      </c>
      <c r="H4554" s="111" t="str">
        <f>IFERROR(VLOOKUP(Table1722[[#This Row],[Bukti]],'Un nOTA'!$A$4:$K$5003,10,FALSE),"")</f>
        <v/>
      </c>
      <c r="I4554" s="123" t="str">
        <f>IFERROR(VLOOKUP(Table1722[[#This Row],[Bukti]],Table13[#Data],11,FALSE),"")</f>
        <v/>
      </c>
    </row>
    <row r="4555" spans="1:9" hidden="1" x14ac:dyDescent="0.2">
      <c r="A4555" s="105" t="str">
        <f>IF(D4555=1,COUNTIF($D$10:D4555,1)," ")</f>
        <v xml:space="preserve"> </v>
      </c>
      <c r="B4555" s="106">
        <f>COPY!AR4547</f>
        <v>0</v>
      </c>
      <c r="C4555" s="107">
        <f>COPY!AC4547</f>
        <v>0</v>
      </c>
      <c r="D4555" s="107" t="str">
        <f>IF(LEN(Table1722[[#This Row],[Uraian]])&gt;2,1," ")</f>
        <v xml:space="preserve"> </v>
      </c>
      <c r="E4555" s="113" t="str">
        <f>IF(Table1722[[#This Row],[Lawan Transaksi]]="CV AGUNG KARYA",COUNTIF($I$10:I4555,"CV AGUNG KARYA")," ")</f>
        <v xml:space="preserve"> </v>
      </c>
      <c r="F4555" s="107" t="str">
        <f>IF(LEN(Table1722[[#This Row],[Uraian]])&gt;2,TRIM(RIGHT(SUBSTITUTE(TRIM(C4555)," ",REPT(" ",255)),255))," ")</f>
        <v xml:space="preserve"> </v>
      </c>
      <c r="G4555" s="110">
        <f>COPY!Z4547</f>
        <v>0</v>
      </c>
      <c r="H4555" s="111" t="str">
        <f>IFERROR(VLOOKUP(Table1722[[#This Row],[Bukti]],'Un nOTA'!$A$4:$K$5003,10,FALSE),"")</f>
        <v/>
      </c>
      <c r="I4555" s="123" t="str">
        <f>IFERROR(VLOOKUP(Table1722[[#This Row],[Bukti]],Table13[#Data],11,FALSE),"")</f>
        <v/>
      </c>
    </row>
    <row r="4556" spans="1:9" hidden="1" x14ac:dyDescent="0.2">
      <c r="A4556" s="105" t="str">
        <f>IF(D4556=1,COUNTIF($D$10:D4556,1)," ")</f>
        <v xml:space="preserve"> </v>
      </c>
      <c r="B4556" s="106">
        <f>COPY!AR4548</f>
        <v>0</v>
      </c>
      <c r="C4556" s="107">
        <f>COPY!AC4548</f>
        <v>0</v>
      </c>
      <c r="D4556" s="107" t="str">
        <f>IF(LEN(Table1722[[#This Row],[Uraian]])&gt;2,1," ")</f>
        <v xml:space="preserve"> </v>
      </c>
      <c r="E4556" s="113" t="str">
        <f>IF(Table1722[[#This Row],[Lawan Transaksi]]="CV AGUNG KARYA",COUNTIF($I$10:I4556,"CV AGUNG KARYA")," ")</f>
        <v xml:space="preserve"> </v>
      </c>
      <c r="F4556" s="107" t="str">
        <f>IF(LEN(Table1722[[#This Row],[Uraian]])&gt;2,TRIM(RIGHT(SUBSTITUTE(TRIM(C4556)," ",REPT(" ",255)),255))," ")</f>
        <v xml:space="preserve"> </v>
      </c>
      <c r="G4556" s="110">
        <f>COPY!Z4548</f>
        <v>0</v>
      </c>
      <c r="H4556" s="111" t="str">
        <f>IFERROR(VLOOKUP(Table1722[[#This Row],[Bukti]],'Un nOTA'!$A$4:$K$5003,10,FALSE),"")</f>
        <v/>
      </c>
      <c r="I4556" s="123" t="str">
        <f>IFERROR(VLOOKUP(Table1722[[#This Row],[Bukti]],Table13[#Data],11,FALSE),"")</f>
        <v/>
      </c>
    </row>
    <row r="4557" spans="1:9" hidden="1" x14ac:dyDescent="0.2">
      <c r="A4557" s="105" t="str">
        <f>IF(D4557=1,COUNTIF($D$10:D4557,1)," ")</f>
        <v xml:space="preserve"> </v>
      </c>
      <c r="B4557" s="106">
        <f>COPY!AR4549</f>
        <v>0</v>
      </c>
      <c r="C4557" s="107">
        <f>COPY!AC4549</f>
        <v>0</v>
      </c>
      <c r="D4557" s="107" t="str">
        <f>IF(LEN(Table1722[[#This Row],[Uraian]])&gt;2,1," ")</f>
        <v xml:space="preserve"> </v>
      </c>
      <c r="E4557" s="113" t="str">
        <f>IF(Table1722[[#This Row],[Lawan Transaksi]]="CV AGUNG KARYA",COUNTIF($I$10:I4557,"CV AGUNG KARYA")," ")</f>
        <v xml:space="preserve"> </v>
      </c>
      <c r="F4557" s="107" t="str">
        <f>IF(LEN(Table1722[[#This Row],[Uraian]])&gt;2,TRIM(RIGHT(SUBSTITUTE(TRIM(C4557)," ",REPT(" ",255)),255))," ")</f>
        <v xml:space="preserve"> </v>
      </c>
      <c r="G4557" s="110">
        <f>COPY!Z4549</f>
        <v>0</v>
      </c>
      <c r="H4557" s="111" t="str">
        <f>IFERROR(VLOOKUP(Table1722[[#This Row],[Bukti]],'Un nOTA'!$A$4:$K$5003,10,FALSE),"")</f>
        <v/>
      </c>
      <c r="I4557" s="123" t="str">
        <f>IFERROR(VLOOKUP(Table1722[[#This Row],[Bukti]],Table13[#Data],11,FALSE),"")</f>
        <v/>
      </c>
    </row>
    <row r="4558" spans="1:9" hidden="1" x14ac:dyDescent="0.2">
      <c r="A4558" s="105" t="str">
        <f>IF(D4558=1,COUNTIF($D$10:D4558,1)," ")</f>
        <v xml:space="preserve"> </v>
      </c>
      <c r="B4558" s="106">
        <f>COPY!AR4550</f>
        <v>0</v>
      </c>
      <c r="C4558" s="107">
        <f>COPY!AC4550</f>
        <v>0</v>
      </c>
      <c r="D4558" s="107" t="str">
        <f>IF(LEN(Table1722[[#This Row],[Uraian]])&gt;2,1," ")</f>
        <v xml:space="preserve"> </v>
      </c>
      <c r="E4558" s="113" t="str">
        <f>IF(Table1722[[#This Row],[Lawan Transaksi]]="CV AGUNG KARYA",COUNTIF($I$10:I4558,"CV AGUNG KARYA")," ")</f>
        <v xml:space="preserve"> </v>
      </c>
      <c r="F4558" s="107" t="str">
        <f>IF(LEN(Table1722[[#This Row],[Uraian]])&gt;2,TRIM(RIGHT(SUBSTITUTE(TRIM(C4558)," ",REPT(" ",255)),255))," ")</f>
        <v xml:space="preserve"> </v>
      </c>
      <c r="G4558" s="110">
        <f>COPY!Z4550</f>
        <v>0</v>
      </c>
      <c r="H4558" s="111" t="str">
        <f>IFERROR(VLOOKUP(Table1722[[#This Row],[Bukti]],'Un nOTA'!$A$4:$K$5003,10,FALSE),"")</f>
        <v/>
      </c>
      <c r="I4558" s="123" t="str">
        <f>IFERROR(VLOOKUP(Table1722[[#This Row],[Bukti]],Table13[#Data],11,FALSE),"")</f>
        <v/>
      </c>
    </row>
    <row r="4559" spans="1:9" hidden="1" x14ac:dyDescent="0.2">
      <c r="A4559" s="105" t="str">
        <f>IF(D4559=1,COUNTIF($D$10:D4559,1)," ")</f>
        <v xml:space="preserve"> </v>
      </c>
      <c r="B4559" s="106">
        <f>COPY!AR4551</f>
        <v>0</v>
      </c>
      <c r="C4559" s="107">
        <f>COPY!AC4551</f>
        <v>0</v>
      </c>
      <c r="D4559" s="107" t="str">
        <f>IF(LEN(Table1722[[#This Row],[Uraian]])&gt;2,1," ")</f>
        <v xml:space="preserve"> </v>
      </c>
      <c r="E4559" s="113" t="str">
        <f>IF(Table1722[[#This Row],[Lawan Transaksi]]="CV AGUNG KARYA",COUNTIF($I$10:I4559,"CV AGUNG KARYA")," ")</f>
        <v xml:space="preserve"> </v>
      </c>
      <c r="F4559" s="107" t="str">
        <f>IF(LEN(Table1722[[#This Row],[Uraian]])&gt;2,TRIM(RIGHT(SUBSTITUTE(TRIM(C4559)," ",REPT(" ",255)),255))," ")</f>
        <v xml:space="preserve"> </v>
      </c>
      <c r="G4559" s="110">
        <f>COPY!Z4551</f>
        <v>0</v>
      </c>
      <c r="H4559" s="111" t="str">
        <f>IFERROR(VLOOKUP(Table1722[[#This Row],[Bukti]],'Un nOTA'!$A$4:$K$5003,10,FALSE),"")</f>
        <v/>
      </c>
      <c r="I4559" s="123" t="str">
        <f>IFERROR(VLOOKUP(Table1722[[#This Row],[Bukti]],Table13[#Data],11,FALSE),"")</f>
        <v/>
      </c>
    </row>
    <row r="4560" spans="1:9" hidden="1" x14ac:dyDescent="0.2">
      <c r="A4560" s="105" t="str">
        <f>IF(D4560=1,COUNTIF($D$10:D4560,1)," ")</f>
        <v xml:space="preserve"> </v>
      </c>
      <c r="B4560" s="106">
        <f>COPY!AR4552</f>
        <v>0</v>
      </c>
      <c r="C4560" s="107">
        <f>COPY!AC4552</f>
        <v>0</v>
      </c>
      <c r="D4560" s="107" t="str">
        <f>IF(LEN(Table1722[[#This Row],[Uraian]])&gt;2,1," ")</f>
        <v xml:space="preserve"> </v>
      </c>
      <c r="E4560" s="113" t="str">
        <f>IF(Table1722[[#This Row],[Lawan Transaksi]]="CV AGUNG KARYA",COUNTIF($I$10:I4560,"CV AGUNG KARYA")," ")</f>
        <v xml:space="preserve"> </v>
      </c>
      <c r="F4560" s="107" t="str">
        <f>IF(LEN(Table1722[[#This Row],[Uraian]])&gt;2,TRIM(RIGHT(SUBSTITUTE(TRIM(C4560)," ",REPT(" ",255)),255))," ")</f>
        <v xml:space="preserve"> </v>
      </c>
      <c r="G4560" s="110">
        <f>COPY!Z4552</f>
        <v>0</v>
      </c>
      <c r="H4560" s="111" t="str">
        <f>IFERROR(VLOOKUP(Table1722[[#This Row],[Bukti]],'Un nOTA'!$A$4:$K$5003,10,FALSE),"")</f>
        <v/>
      </c>
      <c r="I4560" s="123" t="str">
        <f>IFERROR(VLOOKUP(Table1722[[#This Row],[Bukti]],Table13[#Data],11,FALSE),"")</f>
        <v/>
      </c>
    </row>
    <row r="4561" spans="1:9" hidden="1" x14ac:dyDescent="0.2">
      <c r="A4561" s="105" t="str">
        <f>IF(D4561=1,COUNTIF($D$10:D4561,1)," ")</f>
        <v xml:space="preserve"> </v>
      </c>
      <c r="B4561" s="106">
        <f>COPY!AR4553</f>
        <v>0</v>
      </c>
      <c r="C4561" s="107">
        <f>COPY!AC4553</f>
        <v>0</v>
      </c>
      <c r="D4561" s="107" t="str">
        <f>IF(LEN(Table1722[[#This Row],[Uraian]])&gt;2,1," ")</f>
        <v xml:space="preserve"> </v>
      </c>
      <c r="E4561" s="113" t="str">
        <f>IF(Table1722[[#This Row],[Lawan Transaksi]]="CV AGUNG KARYA",COUNTIF($I$10:I4561,"CV AGUNG KARYA")," ")</f>
        <v xml:space="preserve"> </v>
      </c>
      <c r="F4561" s="107" t="str">
        <f>IF(LEN(Table1722[[#This Row],[Uraian]])&gt;2,TRIM(RIGHT(SUBSTITUTE(TRIM(C4561)," ",REPT(" ",255)),255))," ")</f>
        <v xml:space="preserve"> </v>
      </c>
      <c r="G4561" s="110">
        <f>COPY!Z4553</f>
        <v>0</v>
      </c>
      <c r="H4561" s="111" t="str">
        <f>IFERROR(VLOOKUP(Table1722[[#This Row],[Bukti]],'Un nOTA'!$A$4:$K$5003,10,FALSE),"")</f>
        <v/>
      </c>
      <c r="I4561" s="123" t="str">
        <f>IFERROR(VLOOKUP(Table1722[[#This Row],[Bukti]],Table13[#Data],11,FALSE),"")</f>
        <v/>
      </c>
    </row>
    <row r="4562" spans="1:9" hidden="1" x14ac:dyDescent="0.2">
      <c r="A4562" s="105" t="str">
        <f>IF(D4562=1,COUNTIF($D$10:D4562,1)," ")</f>
        <v xml:space="preserve"> </v>
      </c>
      <c r="B4562" s="106">
        <f>COPY!AR4554</f>
        <v>0</v>
      </c>
      <c r="C4562" s="107">
        <f>COPY!AC4554</f>
        <v>0</v>
      </c>
      <c r="D4562" s="107" t="str">
        <f>IF(LEN(Table1722[[#This Row],[Uraian]])&gt;2,1," ")</f>
        <v xml:space="preserve"> </v>
      </c>
      <c r="E4562" s="113" t="str">
        <f>IF(Table1722[[#This Row],[Lawan Transaksi]]="CV AGUNG KARYA",COUNTIF($I$10:I4562,"CV AGUNG KARYA")," ")</f>
        <v xml:space="preserve"> </v>
      </c>
      <c r="F4562" s="107" t="str">
        <f>IF(LEN(Table1722[[#This Row],[Uraian]])&gt;2,TRIM(RIGHT(SUBSTITUTE(TRIM(C4562)," ",REPT(" ",255)),255))," ")</f>
        <v xml:space="preserve"> </v>
      </c>
      <c r="G4562" s="110">
        <f>COPY!Z4554</f>
        <v>0</v>
      </c>
      <c r="H4562" s="111" t="str">
        <f>IFERROR(VLOOKUP(Table1722[[#This Row],[Bukti]],'Un nOTA'!$A$4:$K$5003,10,FALSE),"")</f>
        <v/>
      </c>
      <c r="I4562" s="123" t="str">
        <f>IFERROR(VLOOKUP(Table1722[[#This Row],[Bukti]],Table13[#Data],11,FALSE),"")</f>
        <v/>
      </c>
    </row>
    <row r="4563" spans="1:9" hidden="1" x14ac:dyDescent="0.2">
      <c r="A4563" s="105" t="str">
        <f>IF(D4563=1,COUNTIF($D$10:D4563,1)," ")</f>
        <v xml:space="preserve"> </v>
      </c>
      <c r="B4563" s="106">
        <f>COPY!AR4555</f>
        <v>0</v>
      </c>
      <c r="C4563" s="107">
        <f>COPY!AC4555</f>
        <v>0</v>
      </c>
      <c r="D4563" s="107" t="str">
        <f>IF(LEN(Table1722[[#This Row],[Uraian]])&gt;2,1," ")</f>
        <v xml:space="preserve"> </v>
      </c>
      <c r="E4563" s="113" t="str">
        <f>IF(Table1722[[#This Row],[Lawan Transaksi]]="CV AGUNG KARYA",COUNTIF($I$10:I4563,"CV AGUNG KARYA")," ")</f>
        <v xml:space="preserve"> </v>
      </c>
      <c r="F4563" s="107" t="str">
        <f>IF(LEN(Table1722[[#This Row],[Uraian]])&gt;2,TRIM(RIGHT(SUBSTITUTE(TRIM(C4563)," ",REPT(" ",255)),255))," ")</f>
        <v xml:space="preserve"> </v>
      </c>
      <c r="G4563" s="110">
        <f>COPY!Z4555</f>
        <v>0</v>
      </c>
      <c r="H4563" s="111" t="str">
        <f>IFERROR(VLOOKUP(Table1722[[#This Row],[Bukti]],'Un nOTA'!$A$4:$K$5003,10,FALSE),"")</f>
        <v/>
      </c>
      <c r="I4563" s="123" t="str">
        <f>IFERROR(VLOOKUP(Table1722[[#This Row],[Bukti]],Table13[#Data],11,FALSE),"")</f>
        <v/>
      </c>
    </row>
    <row r="4564" spans="1:9" hidden="1" x14ac:dyDescent="0.2">
      <c r="A4564" s="105" t="str">
        <f>IF(D4564=1,COUNTIF($D$10:D4564,1)," ")</f>
        <v xml:space="preserve"> </v>
      </c>
      <c r="B4564" s="106">
        <f>COPY!AR4556</f>
        <v>0</v>
      </c>
      <c r="C4564" s="107">
        <f>COPY!AC4556</f>
        <v>0</v>
      </c>
      <c r="D4564" s="107" t="str">
        <f>IF(LEN(Table1722[[#This Row],[Uraian]])&gt;2,1," ")</f>
        <v xml:space="preserve"> </v>
      </c>
      <c r="E4564" s="113" t="str">
        <f>IF(Table1722[[#This Row],[Lawan Transaksi]]="CV AGUNG KARYA",COUNTIF($I$10:I4564,"CV AGUNG KARYA")," ")</f>
        <v xml:space="preserve"> </v>
      </c>
      <c r="F4564" s="107" t="str">
        <f>IF(LEN(Table1722[[#This Row],[Uraian]])&gt;2,TRIM(RIGHT(SUBSTITUTE(TRIM(C4564)," ",REPT(" ",255)),255))," ")</f>
        <v xml:space="preserve"> </v>
      </c>
      <c r="G4564" s="110">
        <f>COPY!Z4556</f>
        <v>0</v>
      </c>
      <c r="H4564" s="111" t="str">
        <f>IFERROR(VLOOKUP(Table1722[[#This Row],[Bukti]],'Un nOTA'!$A$4:$K$5003,10,FALSE),"")</f>
        <v/>
      </c>
      <c r="I4564" s="123" t="str">
        <f>IFERROR(VLOOKUP(Table1722[[#This Row],[Bukti]],Table13[#Data],11,FALSE),"")</f>
        <v/>
      </c>
    </row>
    <row r="4565" spans="1:9" hidden="1" x14ac:dyDescent="0.2">
      <c r="A4565" s="105" t="str">
        <f>IF(D4565=1,COUNTIF($D$10:D4565,1)," ")</f>
        <v xml:space="preserve"> </v>
      </c>
      <c r="B4565" s="106">
        <f>COPY!AR4557</f>
        <v>0</v>
      </c>
      <c r="C4565" s="107">
        <f>COPY!AC4557</f>
        <v>0</v>
      </c>
      <c r="D4565" s="107" t="str">
        <f>IF(LEN(Table1722[[#This Row],[Uraian]])&gt;2,1," ")</f>
        <v xml:space="preserve"> </v>
      </c>
      <c r="E4565" s="113" t="str">
        <f>IF(Table1722[[#This Row],[Lawan Transaksi]]="CV AGUNG KARYA",COUNTIF($I$10:I4565,"CV AGUNG KARYA")," ")</f>
        <v xml:space="preserve"> </v>
      </c>
      <c r="F4565" s="107" t="str">
        <f>IF(LEN(Table1722[[#This Row],[Uraian]])&gt;2,TRIM(RIGHT(SUBSTITUTE(TRIM(C4565)," ",REPT(" ",255)),255))," ")</f>
        <v xml:space="preserve"> </v>
      </c>
      <c r="G4565" s="110">
        <f>COPY!Z4557</f>
        <v>0</v>
      </c>
      <c r="H4565" s="111" t="str">
        <f>IFERROR(VLOOKUP(Table1722[[#This Row],[Bukti]],'Un nOTA'!$A$4:$K$5003,10,FALSE),"")</f>
        <v/>
      </c>
      <c r="I4565" s="123" t="str">
        <f>IFERROR(VLOOKUP(Table1722[[#This Row],[Bukti]],Table13[#Data],11,FALSE),"")</f>
        <v/>
      </c>
    </row>
    <row r="4566" spans="1:9" hidden="1" x14ac:dyDescent="0.2">
      <c r="A4566" s="105" t="str">
        <f>IF(D4566=1,COUNTIF($D$10:D4566,1)," ")</f>
        <v xml:space="preserve"> </v>
      </c>
      <c r="B4566" s="106">
        <f>COPY!AR4558</f>
        <v>0</v>
      </c>
      <c r="C4566" s="107">
        <f>COPY!AC4558</f>
        <v>0</v>
      </c>
      <c r="D4566" s="107" t="str">
        <f>IF(LEN(Table1722[[#This Row],[Uraian]])&gt;2,1," ")</f>
        <v xml:space="preserve"> </v>
      </c>
      <c r="E4566" s="113" t="str">
        <f>IF(Table1722[[#This Row],[Lawan Transaksi]]="CV AGUNG KARYA",COUNTIF($I$10:I4566,"CV AGUNG KARYA")," ")</f>
        <v xml:space="preserve"> </v>
      </c>
      <c r="F4566" s="107" t="str">
        <f>IF(LEN(Table1722[[#This Row],[Uraian]])&gt;2,TRIM(RIGHT(SUBSTITUTE(TRIM(C4566)," ",REPT(" ",255)),255))," ")</f>
        <v xml:space="preserve"> </v>
      </c>
      <c r="G4566" s="110">
        <f>COPY!Z4558</f>
        <v>0</v>
      </c>
      <c r="H4566" s="111" t="str">
        <f>IFERROR(VLOOKUP(Table1722[[#This Row],[Bukti]],'Un nOTA'!$A$4:$K$5003,10,FALSE),"")</f>
        <v/>
      </c>
      <c r="I4566" s="123" t="str">
        <f>IFERROR(VLOOKUP(Table1722[[#This Row],[Bukti]],Table13[#Data],11,FALSE),"")</f>
        <v/>
      </c>
    </row>
    <row r="4567" spans="1:9" hidden="1" x14ac:dyDescent="0.2">
      <c r="A4567" s="105" t="str">
        <f>IF(D4567=1,COUNTIF($D$10:D4567,1)," ")</f>
        <v xml:space="preserve"> </v>
      </c>
      <c r="B4567" s="106">
        <f>COPY!AR4559</f>
        <v>0</v>
      </c>
      <c r="C4567" s="107">
        <f>COPY!AC4559</f>
        <v>0</v>
      </c>
      <c r="D4567" s="107" t="str">
        <f>IF(LEN(Table1722[[#This Row],[Uraian]])&gt;2,1," ")</f>
        <v xml:space="preserve"> </v>
      </c>
      <c r="E4567" s="113" t="str">
        <f>IF(Table1722[[#This Row],[Lawan Transaksi]]="CV AGUNG KARYA",COUNTIF($I$10:I4567,"CV AGUNG KARYA")," ")</f>
        <v xml:space="preserve"> </v>
      </c>
      <c r="F4567" s="107" t="str">
        <f>IF(LEN(Table1722[[#This Row],[Uraian]])&gt;2,TRIM(RIGHT(SUBSTITUTE(TRIM(C4567)," ",REPT(" ",255)),255))," ")</f>
        <v xml:space="preserve"> </v>
      </c>
      <c r="G4567" s="110">
        <f>COPY!Z4559</f>
        <v>0</v>
      </c>
      <c r="H4567" s="111" t="str">
        <f>IFERROR(VLOOKUP(Table1722[[#This Row],[Bukti]],'Un nOTA'!$A$4:$K$5003,10,FALSE),"")</f>
        <v/>
      </c>
      <c r="I4567" s="123" t="str">
        <f>IFERROR(VLOOKUP(Table1722[[#This Row],[Bukti]],Table13[#Data],11,FALSE),"")</f>
        <v/>
      </c>
    </row>
    <row r="4568" spans="1:9" hidden="1" x14ac:dyDescent="0.2">
      <c r="A4568" s="105" t="str">
        <f>IF(D4568=1,COUNTIF($D$10:D4568,1)," ")</f>
        <v xml:space="preserve"> </v>
      </c>
      <c r="B4568" s="106">
        <f>COPY!AR4560</f>
        <v>0</v>
      </c>
      <c r="C4568" s="107">
        <f>COPY!AC4560</f>
        <v>0</v>
      </c>
      <c r="D4568" s="107" t="str">
        <f>IF(LEN(Table1722[[#This Row],[Uraian]])&gt;2,1," ")</f>
        <v xml:space="preserve"> </v>
      </c>
      <c r="E4568" s="113" t="str">
        <f>IF(Table1722[[#This Row],[Lawan Transaksi]]="CV AGUNG KARYA",COUNTIF($I$10:I4568,"CV AGUNG KARYA")," ")</f>
        <v xml:space="preserve"> </v>
      </c>
      <c r="F4568" s="107" t="str">
        <f>IF(LEN(Table1722[[#This Row],[Uraian]])&gt;2,TRIM(RIGHT(SUBSTITUTE(TRIM(C4568)," ",REPT(" ",255)),255))," ")</f>
        <v xml:space="preserve"> </v>
      </c>
      <c r="G4568" s="110">
        <f>COPY!Z4560</f>
        <v>0</v>
      </c>
      <c r="H4568" s="111" t="str">
        <f>IFERROR(VLOOKUP(Table1722[[#This Row],[Bukti]],'Un nOTA'!$A$4:$K$5003,10,FALSE),"")</f>
        <v/>
      </c>
      <c r="I4568" s="123" t="str">
        <f>IFERROR(VLOOKUP(Table1722[[#This Row],[Bukti]],Table13[#Data],11,FALSE),"")</f>
        <v/>
      </c>
    </row>
    <row r="4569" spans="1:9" hidden="1" x14ac:dyDescent="0.2">
      <c r="A4569" s="105" t="str">
        <f>IF(D4569=1,COUNTIF($D$10:D4569,1)," ")</f>
        <v xml:space="preserve"> </v>
      </c>
      <c r="B4569" s="106">
        <f>COPY!AR4561</f>
        <v>0</v>
      </c>
      <c r="C4569" s="107">
        <f>COPY!AC4561</f>
        <v>0</v>
      </c>
      <c r="D4569" s="107" t="str">
        <f>IF(LEN(Table1722[[#This Row],[Uraian]])&gt;2,1," ")</f>
        <v xml:space="preserve"> </v>
      </c>
      <c r="E4569" s="113" t="str">
        <f>IF(Table1722[[#This Row],[Lawan Transaksi]]="CV AGUNG KARYA",COUNTIF($I$10:I4569,"CV AGUNG KARYA")," ")</f>
        <v xml:space="preserve"> </v>
      </c>
      <c r="F4569" s="107" t="str">
        <f>IF(LEN(Table1722[[#This Row],[Uraian]])&gt;2,TRIM(RIGHT(SUBSTITUTE(TRIM(C4569)," ",REPT(" ",255)),255))," ")</f>
        <v xml:space="preserve"> </v>
      </c>
      <c r="G4569" s="110">
        <f>COPY!Z4561</f>
        <v>0</v>
      </c>
      <c r="H4569" s="111" t="str">
        <f>IFERROR(VLOOKUP(Table1722[[#This Row],[Bukti]],'Un nOTA'!$A$4:$K$5003,10,FALSE),"")</f>
        <v/>
      </c>
      <c r="I4569" s="123" t="str">
        <f>IFERROR(VLOOKUP(Table1722[[#This Row],[Bukti]],Table13[#Data],11,FALSE),"")</f>
        <v/>
      </c>
    </row>
    <row r="4570" spans="1:9" hidden="1" x14ac:dyDescent="0.2">
      <c r="A4570" s="105" t="str">
        <f>IF(D4570=1,COUNTIF($D$10:D4570,1)," ")</f>
        <v xml:space="preserve"> </v>
      </c>
      <c r="B4570" s="106">
        <f>COPY!AR4562</f>
        <v>0</v>
      </c>
      <c r="C4570" s="107">
        <f>COPY!AC4562</f>
        <v>0</v>
      </c>
      <c r="D4570" s="107" t="str">
        <f>IF(LEN(Table1722[[#This Row],[Uraian]])&gt;2,1," ")</f>
        <v xml:space="preserve"> </v>
      </c>
      <c r="E4570" s="113" t="str">
        <f>IF(Table1722[[#This Row],[Lawan Transaksi]]="CV AGUNG KARYA",COUNTIF($I$10:I4570,"CV AGUNG KARYA")," ")</f>
        <v xml:space="preserve"> </v>
      </c>
      <c r="F4570" s="107" t="str">
        <f>IF(LEN(Table1722[[#This Row],[Uraian]])&gt;2,TRIM(RIGHT(SUBSTITUTE(TRIM(C4570)," ",REPT(" ",255)),255))," ")</f>
        <v xml:space="preserve"> </v>
      </c>
      <c r="G4570" s="110">
        <f>COPY!Z4562</f>
        <v>0</v>
      </c>
      <c r="H4570" s="111" t="str">
        <f>IFERROR(VLOOKUP(Table1722[[#This Row],[Bukti]],'Un nOTA'!$A$4:$K$5003,10,FALSE),"")</f>
        <v/>
      </c>
      <c r="I4570" s="123" t="str">
        <f>IFERROR(VLOOKUP(Table1722[[#This Row],[Bukti]],Table13[#Data],11,FALSE),"")</f>
        <v/>
      </c>
    </row>
    <row r="4571" spans="1:9" hidden="1" x14ac:dyDescent="0.2">
      <c r="A4571" s="105" t="str">
        <f>IF(D4571=1,COUNTIF($D$10:D4571,1)," ")</f>
        <v xml:space="preserve"> </v>
      </c>
      <c r="B4571" s="106">
        <f>COPY!AR4563</f>
        <v>0</v>
      </c>
      <c r="C4571" s="107">
        <f>COPY!AC4563</f>
        <v>0</v>
      </c>
      <c r="D4571" s="107" t="str">
        <f>IF(LEN(Table1722[[#This Row],[Uraian]])&gt;2,1," ")</f>
        <v xml:space="preserve"> </v>
      </c>
      <c r="E4571" s="113" t="str">
        <f>IF(Table1722[[#This Row],[Lawan Transaksi]]="CV AGUNG KARYA",COUNTIF($I$10:I4571,"CV AGUNG KARYA")," ")</f>
        <v xml:space="preserve"> </v>
      </c>
      <c r="F4571" s="107" t="str">
        <f>IF(LEN(Table1722[[#This Row],[Uraian]])&gt;2,TRIM(RIGHT(SUBSTITUTE(TRIM(C4571)," ",REPT(" ",255)),255))," ")</f>
        <v xml:space="preserve"> </v>
      </c>
      <c r="G4571" s="110">
        <f>COPY!Z4563</f>
        <v>0</v>
      </c>
      <c r="H4571" s="111" t="str">
        <f>IFERROR(VLOOKUP(Table1722[[#This Row],[Bukti]],'Un nOTA'!$A$4:$K$5003,10,FALSE),"")</f>
        <v/>
      </c>
      <c r="I4571" s="123" t="str">
        <f>IFERROR(VLOOKUP(Table1722[[#This Row],[Bukti]],Table13[#Data],11,FALSE),"")</f>
        <v/>
      </c>
    </row>
    <row r="4572" spans="1:9" hidden="1" x14ac:dyDescent="0.2">
      <c r="A4572" s="105" t="str">
        <f>IF(D4572=1,COUNTIF($D$10:D4572,1)," ")</f>
        <v xml:space="preserve"> </v>
      </c>
      <c r="B4572" s="106">
        <f>COPY!AR4564</f>
        <v>0</v>
      </c>
      <c r="C4572" s="107">
        <f>COPY!AC4564</f>
        <v>0</v>
      </c>
      <c r="D4572" s="107" t="str">
        <f>IF(LEN(Table1722[[#This Row],[Uraian]])&gt;2,1," ")</f>
        <v xml:space="preserve"> </v>
      </c>
      <c r="E4572" s="113" t="str">
        <f>IF(Table1722[[#This Row],[Lawan Transaksi]]="CV AGUNG KARYA",COUNTIF($I$10:I4572,"CV AGUNG KARYA")," ")</f>
        <v xml:space="preserve"> </v>
      </c>
      <c r="F4572" s="107" t="str">
        <f>IF(LEN(Table1722[[#This Row],[Uraian]])&gt;2,TRIM(RIGHT(SUBSTITUTE(TRIM(C4572)," ",REPT(" ",255)),255))," ")</f>
        <v xml:space="preserve"> </v>
      </c>
      <c r="G4572" s="110">
        <f>COPY!Z4564</f>
        <v>0</v>
      </c>
      <c r="H4572" s="111" t="str">
        <f>IFERROR(VLOOKUP(Table1722[[#This Row],[Bukti]],'Un nOTA'!$A$4:$K$5003,10,FALSE),"")</f>
        <v/>
      </c>
      <c r="I4572" s="123" t="str">
        <f>IFERROR(VLOOKUP(Table1722[[#This Row],[Bukti]],Table13[#Data],11,FALSE),"")</f>
        <v/>
      </c>
    </row>
    <row r="4573" spans="1:9" hidden="1" x14ac:dyDescent="0.2">
      <c r="A4573" s="105" t="str">
        <f>IF(D4573=1,COUNTIF($D$10:D4573,1)," ")</f>
        <v xml:space="preserve"> </v>
      </c>
      <c r="B4573" s="106">
        <f>COPY!AR4565</f>
        <v>0</v>
      </c>
      <c r="C4573" s="107">
        <f>COPY!AC4565</f>
        <v>0</v>
      </c>
      <c r="D4573" s="107" t="str">
        <f>IF(LEN(Table1722[[#This Row],[Uraian]])&gt;2,1," ")</f>
        <v xml:space="preserve"> </v>
      </c>
      <c r="E4573" s="113" t="str">
        <f>IF(Table1722[[#This Row],[Lawan Transaksi]]="CV AGUNG KARYA",COUNTIF($I$10:I4573,"CV AGUNG KARYA")," ")</f>
        <v xml:space="preserve"> </v>
      </c>
      <c r="F4573" s="107" t="str">
        <f>IF(LEN(Table1722[[#This Row],[Uraian]])&gt;2,TRIM(RIGHT(SUBSTITUTE(TRIM(C4573)," ",REPT(" ",255)),255))," ")</f>
        <v xml:space="preserve"> </v>
      </c>
      <c r="G4573" s="110">
        <f>COPY!Z4565</f>
        <v>0</v>
      </c>
      <c r="H4573" s="111" t="str">
        <f>IFERROR(VLOOKUP(Table1722[[#This Row],[Bukti]],'Un nOTA'!$A$4:$K$5003,10,FALSE),"")</f>
        <v/>
      </c>
      <c r="I4573" s="123" t="str">
        <f>IFERROR(VLOOKUP(Table1722[[#This Row],[Bukti]],Table13[#Data],11,FALSE),"")</f>
        <v/>
      </c>
    </row>
    <row r="4574" spans="1:9" hidden="1" x14ac:dyDescent="0.2">
      <c r="A4574" s="105" t="str">
        <f>IF(D4574=1,COUNTIF($D$10:D4574,1)," ")</f>
        <v xml:space="preserve"> </v>
      </c>
      <c r="B4574" s="106">
        <f>COPY!AR4566</f>
        <v>0</v>
      </c>
      <c r="C4574" s="107">
        <f>COPY!AC4566</f>
        <v>0</v>
      </c>
      <c r="D4574" s="107" t="str">
        <f>IF(LEN(Table1722[[#This Row],[Uraian]])&gt;2,1," ")</f>
        <v xml:space="preserve"> </v>
      </c>
      <c r="E4574" s="113" t="str">
        <f>IF(Table1722[[#This Row],[Lawan Transaksi]]="CV AGUNG KARYA",COUNTIF($I$10:I4574,"CV AGUNG KARYA")," ")</f>
        <v xml:space="preserve"> </v>
      </c>
      <c r="F4574" s="107" t="str">
        <f>IF(LEN(Table1722[[#This Row],[Uraian]])&gt;2,TRIM(RIGHT(SUBSTITUTE(TRIM(C4574)," ",REPT(" ",255)),255))," ")</f>
        <v xml:space="preserve"> </v>
      </c>
      <c r="G4574" s="110">
        <f>COPY!Z4566</f>
        <v>0</v>
      </c>
      <c r="H4574" s="111" t="str">
        <f>IFERROR(VLOOKUP(Table1722[[#This Row],[Bukti]],'Un nOTA'!$A$4:$K$5003,10,FALSE),"")</f>
        <v/>
      </c>
      <c r="I4574" s="123" t="str">
        <f>IFERROR(VLOOKUP(Table1722[[#This Row],[Bukti]],Table13[#Data],11,FALSE),"")</f>
        <v/>
      </c>
    </row>
    <row r="4575" spans="1:9" hidden="1" x14ac:dyDescent="0.2">
      <c r="A4575" s="105" t="str">
        <f>IF(D4575=1,COUNTIF($D$10:D4575,1)," ")</f>
        <v xml:space="preserve"> </v>
      </c>
      <c r="B4575" s="106">
        <f>COPY!AR4567</f>
        <v>0</v>
      </c>
      <c r="C4575" s="107">
        <f>COPY!AC4567</f>
        <v>0</v>
      </c>
      <c r="D4575" s="107" t="str">
        <f>IF(LEN(Table1722[[#This Row],[Uraian]])&gt;2,1," ")</f>
        <v xml:space="preserve"> </v>
      </c>
      <c r="E4575" s="113" t="str">
        <f>IF(Table1722[[#This Row],[Lawan Transaksi]]="CV AGUNG KARYA",COUNTIF($I$10:I4575,"CV AGUNG KARYA")," ")</f>
        <v xml:space="preserve"> </v>
      </c>
      <c r="F4575" s="107" t="str">
        <f>IF(LEN(Table1722[[#This Row],[Uraian]])&gt;2,TRIM(RIGHT(SUBSTITUTE(TRIM(C4575)," ",REPT(" ",255)),255))," ")</f>
        <v xml:space="preserve"> </v>
      </c>
      <c r="G4575" s="110">
        <f>COPY!Z4567</f>
        <v>0</v>
      </c>
      <c r="H4575" s="111" t="str">
        <f>IFERROR(VLOOKUP(Table1722[[#This Row],[Bukti]],'Un nOTA'!$A$4:$K$5003,10,FALSE),"")</f>
        <v/>
      </c>
      <c r="I4575" s="123" t="str">
        <f>IFERROR(VLOOKUP(Table1722[[#This Row],[Bukti]],Table13[#Data],11,FALSE),"")</f>
        <v/>
      </c>
    </row>
    <row r="4576" spans="1:9" hidden="1" x14ac:dyDescent="0.2">
      <c r="A4576" s="105" t="str">
        <f>IF(D4576=1,COUNTIF($D$10:D4576,1)," ")</f>
        <v xml:space="preserve"> </v>
      </c>
      <c r="B4576" s="106">
        <f>COPY!AR4568</f>
        <v>0</v>
      </c>
      <c r="C4576" s="107">
        <f>COPY!AC4568</f>
        <v>0</v>
      </c>
      <c r="D4576" s="107" t="str">
        <f>IF(LEN(Table1722[[#This Row],[Uraian]])&gt;2,1," ")</f>
        <v xml:space="preserve"> </v>
      </c>
      <c r="E4576" s="113" t="str">
        <f>IF(Table1722[[#This Row],[Lawan Transaksi]]="CV AGUNG KARYA",COUNTIF($I$10:I4576,"CV AGUNG KARYA")," ")</f>
        <v xml:space="preserve"> </v>
      </c>
      <c r="F4576" s="107" t="str">
        <f>IF(LEN(Table1722[[#This Row],[Uraian]])&gt;2,TRIM(RIGHT(SUBSTITUTE(TRIM(C4576)," ",REPT(" ",255)),255))," ")</f>
        <v xml:space="preserve"> </v>
      </c>
      <c r="G4576" s="110">
        <f>COPY!Z4568</f>
        <v>0</v>
      </c>
      <c r="H4576" s="111" t="str">
        <f>IFERROR(VLOOKUP(Table1722[[#This Row],[Bukti]],'Un nOTA'!$A$4:$K$5003,10,FALSE),"")</f>
        <v/>
      </c>
      <c r="I4576" s="123" t="str">
        <f>IFERROR(VLOOKUP(Table1722[[#This Row],[Bukti]],Table13[#Data],11,FALSE),"")</f>
        <v/>
      </c>
    </row>
    <row r="4577" spans="1:9" hidden="1" x14ac:dyDescent="0.2">
      <c r="A4577" s="105" t="str">
        <f>IF(D4577=1,COUNTIF($D$10:D4577,1)," ")</f>
        <v xml:space="preserve"> </v>
      </c>
      <c r="B4577" s="106">
        <f>COPY!AR4569</f>
        <v>0</v>
      </c>
      <c r="C4577" s="107">
        <f>COPY!AC4569</f>
        <v>0</v>
      </c>
      <c r="D4577" s="107" t="str">
        <f>IF(LEN(Table1722[[#This Row],[Uraian]])&gt;2,1," ")</f>
        <v xml:space="preserve"> </v>
      </c>
      <c r="E4577" s="113" t="str">
        <f>IF(Table1722[[#This Row],[Lawan Transaksi]]="CV AGUNG KARYA",COUNTIF($I$10:I4577,"CV AGUNG KARYA")," ")</f>
        <v xml:space="preserve"> </v>
      </c>
      <c r="F4577" s="107" t="str">
        <f>IF(LEN(Table1722[[#This Row],[Uraian]])&gt;2,TRIM(RIGHT(SUBSTITUTE(TRIM(C4577)," ",REPT(" ",255)),255))," ")</f>
        <v xml:space="preserve"> </v>
      </c>
      <c r="G4577" s="110">
        <f>COPY!Z4569</f>
        <v>0</v>
      </c>
      <c r="H4577" s="111" t="str">
        <f>IFERROR(VLOOKUP(Table1722[[#This Row],[Bukti]],'Un nOTA'!$A$4:$K$5003,10,FALSE),"")</f>
        <v/>
      </c>
      <c r="I4577" s="123" t="str">
        <f>IFERROR(VLOOKUP(Table1722[[#This Row],[Bukti]],Table13[#Data],11,FALSE),"")</f>
        <v/>
      </c>
    </row>
    <row r="4578" spans="1:9" hidden="1" x14ac:dyDescent="0.2">
      <c r="A4578" s="105" t="str">
        <f>IF(D4578=1,COUNTIF($D$10:D4578,1)," ")</f>
        <v xml:space="preserve"> </v>
      </c>
      <c r="B4578" s="106">
        <f>COPY!AR4570</f>
        <v>0</v>
      </c>
      <c r="C4578" s="107">
        <f>COPY!AC4570</f>
        <v>0</v>
      </c>
      <c r="D4578" s="107" t="str">
        <f>IF(LEN(Table1722[[#This Row],[Uraian]])&gt;2,1," ")</f>
        <v xml:space="preserve"> </v>
      </c>
      <c r="E4578" s="113" t="str">
        <f>IF(Table1722[[#This Row],[Lawan Transaksi]]="CV AGUNG KARYA",COUNTIF($I$10:I4578,"CV AGUNG KARYA")," ")</f>
        <v xml:space="preserve"> </v>
      </c>
      <c r="F4578" s="107" t="str">
        <f>IF(LEN(Table1722[[#This Row],[Uraian]])&gt;2,TRIM(RIGHT(SUBSTITUTE(TRIM(C4578)," ",REPT(" ",255)),255))," ")</f>
        <v xml:space="preserve"> </v>
      </c>
      <c r="G4578" s="110">
        <f>COPY!Z4570</f>
        <v>0</v>
      </c>
      <c r="H4578" s="111" t="str">
        <f>IFERROR(VLOOKUP(Table1722[[#This Row],[Bukti]],'Un nOTA'!$A$4:$K$5003,10,FALSE),"")</f>
        <v/>
      </c>
      <c r="I4578" s="123" t="str">
        <f>IFERROR(VLOOKUP(Table1722[[#This Row],[Bukti]],Table13[#Data],11,FALSE),"")</f>
        <v/>
      </c>
    </row>
    <row r="4579" spans="1:9" hidden="1" x14ac:dyDescent="0.2">
      <c r="A4579" s="105" t="str">
        <f>IF(D4579=1,COUNTIF($D$10:D4579,1)," ")</f>
        <v xml:space="preserve"> </v>
      </c>
      <c r="B4579" s="106">
        <f>COPY!AR4571</f>
        <v>0</v>
      </c>
      <c r="C4579" s="107">
        <f>COPY!AC4571</f>
        <v>0</v>
      </c>
      <c r="D4579" s="107" t="str">
        <f>IF(LEN(Table1722[[#This Row],[Uraian]])&gt;2,1," ")</f>
        <v xml:space="preserve"> </v>
      </c>
      <c r="E4579" s="113" t="str">
        <f>IF(Table1722[[#This Row],[Lawan Transaksi]]="CV AGUNG KARYA",COUNTIF($I$10:I4579,"CV AGUNG KARYA")," ")</f>
        <v xml:space="preserve"> </v>
      </c>
      <c r="F4579" s="107" t="str">
        <f>IF(LEN(Table1722[[#This Row],[Uraian]])&gt;2,TRIM(RIGHT(SUBSTITUTE(TRIM(C4579)," ",REPT(" ",255)),255))," ")</f>
        <v xml:space="preserve"> </v>
      </c>
      <c r="G4579" s="110">
        <f>COPY!Z4571</f>
        <v>0</v>
      </c>
      <c r="H4579" s="111" t="str">
        <f>IFERROR(VLOOKUP(Table1722[[#This Row],[Bukti]],'Un nOTA'!$A$4:$K$5003,10,FALSE),"")</f>
        <v/>
      </c>
      <c r="I4579" s="123" t="str">
        <f>IFERROR(VLOOKUP(Table1722[[#This Row],[Bukti]],Table13[#Data],11,FALSE),"")</f>
        <v/>
      </c>
    </row>
    <row r="4580" spans="1:9" hidden="1" x14ac:dyDescent="0.2">
      <c r="A4580" s="105" t="str">
        <f>IF(D4580=1,COUNTIF($D$10:D4580,1)," ")</f>
        <v xml:space="preserve"> </v>
      </c>
      <c r="B4580" s="106">
        <f>COPY!AR4572</f>
        <v>0</v>
      </c>
      <c r="C4580" s="107">
        <f>COPY!AC4572</f>
        <v>0</v>
      </c>
      <c r="D4580" s="107" t="str">
        <f>IF(LEN(Table1722[[#This Row],[Uraian]])&gt;2,1," ")</f>
        <v xml:space="preserve"> </v>
      </c>
      <c r="E4580" s="113" t="str">
        <f>IF(Table1722[[#This Row],[Lawan Transaksi]]="CV AGUNG KARYA",COUNTIF($I$10:I4580,"CV AGUNG KARYA")," ")</f>
        <v xml:space="preserve"> </v>
      </c>
      <c r="F4580" s="107" t="str">
        <f>IF(LEN(Table1722[[#This Row],[Uraian]])&gt;2,TRIM(RIGHT(SUBSTITUTE(TRIM(C4580)," ",REPT(" ",255)),255))," ")</f>
        <v xml:space="preserve"> </v>
      </c>
      <c r="G4580" s="110">
        <f>COPY!Z4572</f>
        <v>0</v>
      </c>
      <c r="H4580" s="111" t="str">
        <f>IFERROR(VLOOKUP(Table1722[[#This Row],[Bukti]],'Un nOTA'!$A$4:$K$5003,10,FALSE),"")</f>
        <v/>
      </c>
      <c r="I4580" s="123" t="str">
        <f>IFERROR(VLOOKUP(Table1722[[#This Row],[Bukti]],Table13[#Data],11,FALSE),"")</f>
        <v/>
      </c>
    </row>
    <row r="4581" spans="1:9" hidden="1" x14ac:dyDescent="0.2">
      <c r="A4581" s="105" t="str">
        <f>IF(D4581=1,COUNTIF($D$10:D4581,1)," ")</f>
        <v xml:space="preserve"> </v>
      </c>
      <c r="B4581" s="106">
        <f>COPY!AR4573</f>
        <v>0</v>
      </c>
      <c r="C4581" s="107">
        <f>COPY!AC4573</f>
        <v>0</v>
      </c>
      <c r="D4581" s="107" t="str">
        <f>IF(LEN(Table1722[[#This Row],[Uraian]])&gt;2,1," ")</f>
        <v xml:space="preserve"> </v>
      </c>
      <c r="E4581" s="113" t="str">
        <f>IF(Table1722[[#This Row],[Lawan Transaksi]]="CV AGUNG KARYA",COUNTIF($I$10:I4581,"CV AGUNG KARYA")," ")</f>
        <v xml:space="preserve"> </v>
      </c>
      <c r="F4581" s="107" t="str">
        <f>IF(LEN(Table1722[[#This Row],[Uraian]])&gt;2,TRIM(RIGHT(SUBSTITUTE(TRIM(C4581)," ",REPT(" ",255)),255))," ")</f>
        <v xml:space="preserve"> </v>
      </c>
      <c r="G4581" s="110">
        <f>COPY!Z4573</f>
        <v>0</v>
      </c>
      <c r="H4581" s="111" t="str">
        <f>IFERROR(VLOOKUP(Table1722[[#This Row],[Bukti]],'Un nOTA'!$A$4:$K$5003,10,FALSE),"")</f>
        <v/>
      </c>
      <c r="I4581" s="123" t="str">
        <f>IFERROR(VLOOKUP(Table1722[[#This Row],[Bukti]],Table13[#Data],11,FALSE),"")</f>
        <v/>
      </c>
    </row>
    <row r="4582" spans="1:9" hidden="1" x14ac:dyDescent="0.2">
      <c r="A4582" s="105" t="str">
        <f>IF(D4582=1,COUNTIF($D$10:D4582,1)," ")</f>
        <v xml:space="preserve"> </v>
      </c>
      <c r="B4582" s="106">
        <f>COPY!AR4574</f>
        <v>0</v>
      </c>
      <c r="C4582" s="107">
        <f>COPY!AC4574</f>
        <v>0</v>
      </c>
      <c r="D4582" s="107" t="str">
        <f>IF(LEN(Table1722[[#This Row],[Uraian]])&gt;2,1," ")</f>
        <v xml:space="preserve"> </v>
      </c>
      <c r="E4582" s="113" t="str">
        <f>IF(Table1722[[#This Row],[Lawan Transaksi]]="CV AGUNG KARYA",COUNTIF($I$10:I4582,"CV AGUNG KARYA")," ")</f>
        <v xml:space="preserve"> </v>
      </c>
      <c r="F4582" s="107" t="str">
        <f>IF(LEN(Table1722[[#This Row],[Uraian]])&gt;2,TRIM(RIGHT(SUBSTITUTE(TRIM(C4582)," ",REPT(" ",255)),255))," ")</f>
        <v xml:space="preserve"> </v>
      </c>
      <c r="G4582" s="110">
        <f>COPY!Z4574</f>
        <v>0</v>
      </c>
      <c r="H4582" s="111" t="str">
        <f>IFERROR(VLOOKUP(Table1722[[#This Row],[Bukti]],'Un nOTA'!$A$4:$K$5003,10,FALSE),"")</f>
        <v/>
      </c>
      <c r="I4582" s="123" t="str">
        <f>IFERROR(VLOOKUP(Table1722[[#This Row],[Bukti]],Table13[#Data],11,FALSE),"")</f>
        <v/>
      </c>
    </row>
    <row r="4583" spans="1:9" hidden="1" x14ac:dyDescent="0.2">
      <c r="A4583" s="105" t="str">
        <f>IF(D4583=1,COUNTIF($D$10:D4583,1)," ")</f>
        <v xml:space="preserve"> </v>
      </c>
      <c r="B4583" s="106">
        <f>COPY!AR4575</f>
        <v>0</v>
      </c>
      <c r="C4583" s="107">
        <f>COPY!AC4575</f>
        <v>0</v>
      </c>
      <c r="D4583" s="107" t="str">
        <f>IF(LEN(Table1722[[#This Row],[Uraian]])&gt;2,1," ")</f>
        <v xml:space="preserve"> </v>
      </c>
      <c r="E4583" s="113" t="str">
        <f>IF(Table1722[[#This Row],[Lawan Transaksi]]="CV AGUNG KARYA",COUNTIF($I$10:I4583,"CV AGUNG KARYA")," ")</f>
        <v xml:space="preserve"> </v>
      </c>
      <c r="F4583" s="107" t="str">
        <f>IF(LEN(Table1722[[#This Row],[Uraian]])&gt;2,TRIM(RIGHT(SUBSTITUTE(TRIM(C4583)," ",REPT(" ",255)),255))," ")</f>
        <v xml:space="preserve"> </v>
      </c>
      <c r="G4583" s="110">
        <f>COPY!Z4575</f>
        <v>0</v>
      </c>
      <c r="H4583" s="111" t="str">
        <f>IFERROR(VLOOKUP(Table1722[[#This Row],[Bukti]],'Un nOTA'!$A$4:$K$5003,10,FALSE),"")</f>
        <v/>
      </c>
      <c r="I4583" s="123" t="str">
        <f>IFERROR(VLOOKUP(Table1722[[#This Row],[Bukti]],Table13[#Data],11,FALSE),"")</f>
        <v/>
      </c>
    </row>
    <row r="4584" spans="1:9" hidden="1" x14ac:dyDescent="0.2">
      <c r="A4584" s="105" t="str">
        <f>IF(D4584=1,COUNTIF($D$10:D4584,1)," ")</f>
        <v xml:space="preserve"> </v>
      </c>
      <c r="B4584" s="106">
        <f>COPY!AR4576</f>
        <v>0</v>
      </c>
      <c r="C4584" s="107">
        <f>COPY!AC4576</f>
        <v>0</v>
      </c>
      <c r="D4584" s="107" t="str">
        <f>IF(LEN(Table1722[[#This Row],[Uraian]])&gt;2,1," ")</f>
        <v xml:space="preserve"> </v>
      </c>
      <c r="E4584" s="113" t="str">
        <f>IF(Table1722[[#This Row],[Lawan Transaksi]]="CV AGUNG KARYA",COUNTIF($I$10:I4584,"CV AGUNG KARYA")," ")</f>
        <v xml:space="preserve"> </v>
      </c>
      <c r="F4584" s="107" t="str">
        <f>IF(LEN(Table1722[[#This Row],[Uraian]])&gt;2,TRIM(RIGHT(SUBSTITUTE(TRIM(C4584)," ",REPT(" ",255)),255))," ")</f>
        <v xml:space="preserve"> </v>
      </c>
      <c r="G4584" s="110">
        <f>COPY!Z4576</f>
        <v>0</v>
      </c>
      <c r="H4584" s="111" t="str">
        <f>IFERROR(VLOOKUP(Table1722[[#This Row],[Bukti]],'Un nOTA'!$A$4:$K$5003,10,FALSE),"")</f>
        <v/>
      </c>
      <c r="I4584" s="123" t="str">
        <f>IFERROR(VLOOKUP(Table1722[[#This Row],[Bukti]],Table13[#Data],11,FALSE),"")</f>
        <v/>
      </c>
    </row>
    <row r="4585" spans="1:9" hidden="1" x14ac:dyDescent="0.2">
      <c r="A4585" s="105" t="str">
        <f>IF(D4585=1,COUNTIF($D$10:D4585,1)," ")</f>
        <v xml:space="preserve"> </v>
      </c>
      <c r="B4585" s="106">
        <f>COPY!AR4577</f>
        <v>0</v>
      </c>
      <c r="C4585" s="107">
        <f>COPY!AC4577</f>
        <v>0</v>
      </c>
      <c r="D4585" s="107" t="str">
        <f>IF(LEN(Table1722[[#This Row],[Uraian]])&gt;2,1," ")</f>
        <v xml:space="preserve"> </v>
      </c>
      <c r="E4585" s="113" t="str">
        <f>IF(Table1722[[#This Row],[Lawan Transaksi]]="CV AGUNG KARYA",COUNTIF($I$10:I4585,"CV AGUNG KARYA")," ")</f>
        <v xml:space="preserve"> </v>
      </c>
      <c r="F4585" s="107" t="str">
        <f>IF(LEN(Table1722[[#This Row],[Uraian]])&gt;2,TRIM(RIGHT(SUBSTITUTE(TRIM(C4585)," ",REPT(" ",255)),255))," ")</f>
        <v xml:space="preserve"> </v>
      </c>
      <c r="G4585" s="110">
        <f>COPY!Z4577</f>
        <v>0</v>
      </c>
      <c r="H4585" s="111" t="str">
        <f>IFERROR(VLOOKUP(Table1722[[#This Row],[Bukti]],'Un nOTA'!$A$4:$K$5003,10,FALSE),"")</f>
        <v/>
      </c>
      <c r="I4585" s="123" t="str">
        <f>IFERROR(VLOOKUP(Table1722[[#This Row],[Bukti]],Table13[#Data],11,FALSE),"")</f>
        <v/>
      </c>
    </row>
    <row r="4586" spans="1:9" hidden="1" x14ac:dyDescent="0.2">
      <c r="A4586" s="105" t="str">
        <f>IF(D4586=1,COUNTIF($D$10:D4586,1)," ")</f>
        <v xml:space="preserve"> </v>
      </c>
      <c r="B4586" s="106">
        <f>COPY!AR4578</f>
        <v>0</v>
      </c>
      <c r="C4586" s="107">
        <f>COPY!AC4578</f>
        <v>0</v>
      </c>
      <c r="D4586" s="107" t="str">
        <f>IF(LEN(Table1722[[#This Row],[Uraian]])&gt;2,1," ")</f>
        <v xml:space="preserve"> </v>
      </c>
      <c r="E4586" s="113" t="str">
        <f>IF(Table1722[[#This Row],[Lawan Transaksi]]="CV AGUNG KARYA",COUNTIF($I$10:I4586,"CV AGUNG KARYA")," ")</f>
        <v xml:space="preserve"> </v>
      </c>
      <c r="F4586" s="107" t="str">
        <f>IF(LEN(Table1722[[#This Row],[Uraian]])&gt;2,TRIM(RIGHT(SUBSTITUTE(TRIM(C4586)," ",REPT(" ",255)),255))," ")</f>
        <v xml:space="preserve"> </v>
      </c>
      <c r="G4586" s="110">
        <f>COPY!Z4578</f>
        <v>0</v>
      </c>
      <c r="H4586" s="111" t="str">
        <f>IFERROR(VLOOKUP(Table1722[[#This Row],[Bukti]],'Un nOTA'!$A$4:$K$5003,10,FALSE),"")</f>
        <v/>
      </c>
      <c r="I4586" s="123" t="str">
        <f>IFERROR(VLOOKUP(Table1722[[#This Row],[Bukti]],Table13[#Data],11,FALSE),"")</f>
        <v/>
      </c>
    </row>
    <row r="4587" spans="1:9" hidden="1" x14ac:dyDescent="0.2">
      <c r="A4587" s="105" t="str">
        <f>IF(D4587=1,COUNTIF($D$10:D4587,1)," ")</f>
        <v xml:space="preserve"> </v>
      </c>
      <c r="B4587" s="106">
        <f>COPY!AR4579</f>
        <v>0</v>
      </c>
      <c r="C4587" s="107">
        <f>COPY!AC4579</f>
        <v>0</v>
      </c>
      <c r="D4587" s="107" t="str">
        <f>IF(LEN(Table1722[[#This Row],[Uraian]])&gt;2,1," ")</f>
        <v xml:space="preserve"> </v>
      </c>
      <c r="E4587" s="113" t="str">
        <f>IF(Table1722[[#This Row],[Lawan Transaksi]]="CV AGUNG KARYA",COUNTIF($I$10:I4587,"CV AGUNG KARYA")," ")</f>
        <v xml:space="preserve"> </v>
      </c>
      <c r="F4587" s="107" t="str">
        <f>IF(LEN(Table1722[[#This Row],[Uraian]])&gt;2,TRIM(RIGHT(SUBSTITUTE(TRIM(C4587)," ",REPT(" ",255)),255))," ")</f>
        <v xml:space="preserve"> </v>
      </c>
      <c r="G4587" s="110">
        <f>COPY!Z4579</f>
        <v>0</v>
      </c>
      <c r="H4587" s="111" t="str">
        <f>IFERROR(VLOOKUP(Table1722[[#This Row],[Bukti]],'Un nOTA'!$A$4:$K$5003,10,FALSE),"")</f>
        <v/>
      </c>
      <c r="I4587" s="123" t="str">
        <f>IFERROR(VLOOKUP(Table1722[[#This Row],[Bukti]],Table13[#Data],11,FALSE),"")</f>
        <v/>
      </c>
    </row>
    <row r="4588" spans="1:9" hidden="1" x14ac:dyDescent="0.2">
      <c r="A4588" s="105" t="str">
        <f>IF(D4588=1,COUNTIF($D$10:D4588,1)," ")</f>
        <v xml:space="preserve"> </v>
      </c>
      <c r="B4588" s="106">
        <f>COPY!AR4580</f>
        <v>0</v>
      </c>
      <c r="C4588" s="107">
        <f>COPY!AC4580</f>
        <v>0</v>
      </c>
      <c r="D4588" s="107" t="str">
        <f>IF(LEN(Table1722[[#This Row],[Uraian]])&gt;2,1," ")</f>
        <v xml:space="preserve"> </v>
      </c>
      <c r="E4588" s="113" t="str">
        <f>IF(Table1722[[#This Row],[Lawan Transaksi]]="CV AGUNG KARYA",COUNTIF($I$10:I4588,"CV AGUNG KARYA")," ")</f>
        <v xml:space="preserve"> </v>
      </c>
      <c r="F4588" s="107" t="str">
        <f>IF(LEN(Table1722[[#This Row],[Uraian]])&gt;2,TRIM(RIGHT(SUBSTITUTE(TRIM(C4588)," ",REPT(" ",255)),255))," ")</f>
        <v xml:space="preserve"> </v>
      </c>
      <c r="G4588" s="110">
        <f>COPY!Z4580</f>
        <v>0</v>
      </c>
      <c r="H4588" s="111" t="str">
        <f>IFERROR(VLOOKUP(Table1722[[#This Row],[Bukti]],'Un nOTA'!$A$4:$K$5003,10,FALSE),"")</f>
        <v/>
      </c>
      <c r="I4588" s="123" t="str">
        <f>IFERROR(VLOOKUP(Table1722[[#This Row],[Bukti]],Table13[#Data],11,FALSE),"")</f>
        <v/>
      </c>
    </row>
    <row r="4589" spans="1:9" hidden="1" x14ac:dyDescent="0.2">
      <c r="A4589" s="105" t="str">
        <f>IF(D4589=1,COUNTIF($D$10:D4589,1)," ")</f>
        <v xml:space="preserve"> </v>
      </c>
      <c r="B4589" s="106">
        <f>COPY!AR4581</f>
        <v>0</v>
      </c>
      <c r="C4589" s="107">
        <f>COPY!AC4581</f>
        <v>0</v>
      </c>
      <c r="D4589" s="107" t="str">
        <f>IF(LEN(Table1722[[#This Row],[Uraian]])&gt;2,1," ")</f>
        <v xml:space="preserve"> </v>
      </c>
      <c r="E4589" s="113" t="str">
        <f>IF(Table1722[[#This Row],[Lawan Transaksi]]="CV AGUNG KARYA",COUNTIF($I$10:I4589,"CV AGUNG KARYA")," ")</f>
        <v xml:space="preserve"> </v>
      </c>
      <c r="F4589" s="107" t="str">
        <f>IF(LEN(Table1722[[#This Row],[Uraian]])&gt;2,TRIM(RIGHT(SUBSTITUTE(TRIM(C4589)," ",REPT(" ",255)),255))," ")</f>
        <v xml:space="preserve"> </v>
      </c>
      <c r="G4589" s="110">
        <f>COPY!Z4581</f>
        <v>0</v>
      </c>
      <c r="H4589" s="111" t="str">
        <f>IFERROR(VLOOKUP(Table1722[[#This Row],[Bukti]],'Un nOTA'!$A$4:$K$5003,10,FALSE),"")</f>
        <v/>
      </c>
      <c r="I4589" s="123" t="str">
        <f>IFERROR(VLOOKUP(Table1722[[#This Row],[Bukti]],Table13[#Data],11,FALSE),"")</f>
        <v/>
      </c>
    </row>
    <row r="4590" spans="1:9" hidden="1" x14ac:dyDescent="0.2">
      <c r="A4590" s="105" t="str">
        <f>IF(D4590=1,COUNTIF($D$10:D4590,1)," ")</f>
        <v xml:space="preserve"> </v>
      </c>
      <c r="B4590" s="106">
        <f>COPY!AR4582</f>
        <v>0</v>
      </c>
      <c r="C4590" s="107">
        <f>COPY!AC4582</f>
        <v>0</v>
      </c>
      <c r="D4590" s="107" t="str">
        <f>IF(LEN(Table1722[[#This Row],[Uraian]])&gt;2,1," ")</f>
        <v xml:space="preserve"> </v>
      </c>
      <c r="E4590" s="113" t="str">
        <f>IF(Table1722[[#This Row],[Lawan Transaksi]]="CV AGUNG KARYA",COUNTIF($I$10:I4590,"CV AGUNG KARYA")," ")</f>
        <v xml:space="preserve"> </v>
      </c>
      <c r="F4590" s="107" t="str">
        <f>IF(LEN(Table1722[[#This Row],[Uraian]])&gt;2,TRIM(RIGHT(SUBSTITUTE(TRIM(C4590)," ",REPT(" ",255)),255))," ")</f>
        <v xml:space="preserve"> </v>
      </c>
      <c r="G4590" s="110">
        <f>COPY!Z4582</f>
        <v>0</v>
      </c>
      <c r="H4590" s="111" t="str">
        <f>IFERROR(VLOOKUP(Table1722[[#This Row],[Bukti]],'Un nOTA'!$A$4:$K$5003,10,FALSE),"")</f>
        <v/>
      </c>
      <c r="I4590" s="123" t="str">
        <f>IFERROR(VLOOKUP(Table1722[[#This Row],[Bukti]],Table13[#Data],11,FALSE),"")</f>
        <v/>
      </c>
    </row>
    <row r="4591" spans="1:9" hidden="1" x14ac:dyDescent="0.2">
      <c r="A4591" s="105" t="str">
        <f>IF(D4591=1,COUNTIF($D$10:D4591,1)," ")</f>
        <v xml:space="preserve"> </v>
      </c>
      <c r="B4591" s="106">
        <f>COPY!AR4583</f>
        <v>0</v>
      </c>
      <c r="C4591" s="107">
        <f>COPY!AC4583</f>
        <v>0</v>
      </c>
      <c r="D4591" s="107" t="str">
        <f>IF(LEN(Table1722[[#This Row],[Uraian]])&gt;2,1," ")</f>
        <v xml:space="preserve"> </v>
      </c>
      <c r="E4591" s="113" t="str">
        <f>IF(Table1722[[#This Row],[Lawan Transaksi]]="CV AGUNG KARYA",COUNTIF($I$10:I4591,"CV AGUNG KARYA")," ")</f>
        <v xml:space="preserve"> </v>
      </c>
      <c r="F4591" s="107" t="str">
        <f>IF(LEN(Table1722[[#This Row],[Uraian]])&gt;2,TRIM(RIGHT(SUBSTITUTE(TRIM(C4591)," ",REPT(" ",255)),255))," ")</f>
        <v xml:space="preserve"> </v>
      </c>
      <c r="G4591" s="110">
        <f>COPY!Z4583</f>
        <v>0</v>
      </c>
      <c r="H4591" s="111" t="str">
        <f>IFERROR(VLOOKUP(Table1722[[#This Row],[Bukti]],'Un nOTA'!$A$4:$K$5003,10,FALSE),"")</f>
        <v/>
      </c>
      <c r="I4591" s="123" t="str">
        <f>IFERROR(VLOOKUP(Table1722[[#This Row],[Bukti]],Table13[#Data],11,FALSE),"")</f>
        <v/>
      </c>
    </row>
    <row r="4592" spans="1:9" hidden="1" x14ac:dyDescent="0.2">
      <c r="A4592" s="105" t="str">
        <f>IF(D4592=1,COUNTIF($D$10:D4592,1)," ")</f>
        <v xml:space="preserve"> </v>
      </c>
      <c r="B4592" s="106">
        <f>COPY!AR4584</f>
        <v>0</v>
      </c>
      <c r="C4592" s="107">
        <f>COPY!AC4584</f>
        <v>0</v>
      </c>
      <c r="D4592" s="107" t="str">
        <f>IF(LEN(Table1722[[#This Row],[Uraian]])&gt;2,1," ")</f>
        <v xml:space="preserve"> </v>
      </c>
      <c r="E4592" s="113" t="str">
        <f>IF(Table1722[[#This Row],[Lawan Transaksi]]="CV AGUNG KARYA",COUNTIF($I$10:I4592,"CV AGUNG KARYA")," ")</f>
        <v xml:space="preserve"> </v>
      </c>
      <c r="F4592" s="107" t="str">
        <f>IF(LEN(Table1722[[#This Row],[Uraian]])&gt;2,TRIM(RIGHT(SUBSTITUTE(TRIM(C4592)," ",REPT(" ",255)),255))," ")</f>
        <v xml:space="preserve"> </v>
      </c>
      <c r="G4592" s="110">
        <f>COPY!Z4584</f>
        <v>0</v>
      </c>
      <c r="H4592" s="111" t="str">
        <f>IFERROR(VLOOKUP(Table1722[[#This Row],[Bukti]],'Un nOTA'!$A$4:$K$5003,10,FALSE),"")</f>
        <v/>
      </c>
      <c r="I4592" s="123" t="str">
        <f>IFERROR(VLOOKUP(Table1722[[#This Row],[Bukti]],Table13[#Data],11,FALSE),"")</f>
        <v/>
      </c>
    </row>
    <row r="4593" spans="1:9" hidden="1" x14ac:dyDescent="0.2">
      <c r="A4593" s="105" t="str">
        <f>IF(D4593=1,COUNTIF($D$10:D4593,1)," ")</f>
        <v xml:space="preserve"> </v>
      </c>
      <c r="B4593" s="106">
        <f>COPY!AR4585</f>
        <v>0</v>
      </c>
      <c r="C4593" s="107">
        <f>COPY!AC4585</f>
        <v>0</v>
      </c>
      <c r="D4593" s="107" t="str">
        <f>IF(LEN(Table1722[[#This Row],[Uraian]])&gt;2,1," ")</f>
        <v xml:space="preserve"> </v>
      </c>
      <c r="E4593" s="113" t="str">
        <f>IF(Table1722[[#This Row],[Lawan Transaksi]]="CV AGUNG KARYA",COUNTIF($I$10:I4593,"CV AGUNG KARYA")," ")</f>
        <v xml:space="preserve"> </v>
      </c>
      <c r="F4593" s="107" t="str">
        <f>IF(LEN(Table1722[[#This Row],[Uraian]])&gt;2,TRIM(RIGHT(SUBSTITUTE(TRIM(C4593)," ",REPT(" ",255)),255))," ")</f>
        <v xml:space="preserve"> </v>
      </c>
      <c r="G4593" s="110">
        <f>COPY!Z4585</f>
        <v>0</v>
      </c>
      <c r="H4593" s="111" t="str">
        <f>IFERROR(VLOOKUP(Table1722[[#This Row],[Bukti]],'Un nOTA'!$A$4:$K$5003,10,FALSE),"")</f>
        <v/>
      </c>
      <c r="I4593" s="123" t="str">
        <f>IFERROR(VLOOKUP(Table1722[[#This Row],[Bukti]],Table13[#Data],11,FALSE),"")</f>
        <v/>
      </c>
    </row>
    <row r="4594" spans="1:9" hidden="1" x14ac:dyDescent="0.2">
      <c r="A4594" s="105" t="str">
        <f>IF(D4594=1,COUNTIF($D$10:D4594,1)," ")</f>
        <v xml:space="preserve"> </v>
      </c>
      <c r="B4594" s="106">
        <f>COPY!AR4586</f>
        <v>0</v>
      </c>
      <c r="C4594" s="107">
        <f>COPY!AC4586</f>
        <v>0</v>
      </c>
      <c r="D4594" s="107" t="str">
        <f>IF(LEN(Table1722[[#This Row],[Uraian]])&gt;2,1," ")</f>
        <v xml:space="preserve"> </v>
      </c>
      <c r="E4594" s="113" t="str">
        <f>IF(Table1722[[#This Row],[Lawan Transaksi]]="CV AGUNG KARYA",COUNTIF($I$10:I4594,"CV AGUNG KARYA")," ")</f>
        <v xml:space="preserve"> </v>
      </c>
      <c r="F4594" s="107" t="str">
        <f>IF(LEN(Table1722[[#This Row],[Uraian]])&gt;2,TRIM(RIGHT(SUBSTITUTE(TRIM(C4594)," ",REPT(" ",255)),255))," ")</f>
        <v xml:space="preserve"> </v>
      </c>
      <c r="G4594" s="110">
        <f>COPY!Z4586</f>
        <v>0</v>
      </c>
      <c r="H4594" s="111" t="str">
        <f>IFERROR(VLOOKUP(Table1722[[#This Row],[Bukti]],'Un nOTA'!$A$4:$K$5003,10,FALSE),"")</f>
        <v/>
      </c>
      <c r="I4594" s="123" t="str">
        <f>IFERROR(VLOOKUP(Table1722[[#This Row],[Bukti]],Table13[#Data],11,FALSE),"")</f>
        <v/>
      </c>
    </row>
    <row r="4595" spans="1:9" hidden="1" x14ac:dyDescent="0.2">
      <c r="A4595" s="105" t="str">
        <f>IF(D4595=1,COUNTIF($D$10:D4595,1)," ")</f>
        <v xml:space="preserve"> </v>
      </c>
      <c r="B4595" s="106">
        <f>COPY!AR4587</f>
        <v>0</v>
      </c>
      <c r="C4595" s="107">
        <f>COPY!AC4587</f>
        <v>0</v>
      </c>
      <c r="D4595" s="107" t="str">
        <f>IF(LEN(Table1722[[#This Row],[Uraian]])&gt;2,1," ")</f>
        <v xml:space="preserve"> </v>
      </c>
      <c r="E4595" s="113" t="str">
        <f>IF(Table1722[[#This Row],[Lawan Transaksi]]="CV AGUNG KARYA",COUNTIF($I$10:I4595,"CV AGUNG KARYA")," ")</f>
        <v xml:space="preserve"> </v>
      </c>
      <c r="F4595" s="107" t="str">
        <f>IF(LEN(Table1722[[#This Row],[Uraian]])&gt;2,TRIM(RIGHT(SUBSTITUTE(TRIM(C4595)," ",REPT(" ",255)),255))," ")</f>
        <v xml:space="preserve"> </v>
      </c>
      <c r="G4595" s="110">
        <f>COPY!Z4587</f>
        <v>0</v>
      </c>
      <c r="H4595" s="111" t="str">
        <f>IFERROR(VLOOKUP(Table1722[[#This Row],[Bukti]],'Un nOTA'!$A$4:$K$5003,10,FALSE),"")</f>
        <v/>
      </c>
      <c r="I4595" s="123" t="str">
        <f>IFERROR(VLOOKUP(Table1722[[#This Row],[Bukti]],Table13[#Data],11,FALSE),"")</f>
        <v/>
      </c>
    </row>
    <row r="4596" spans="1:9" hidden="1" x14ac:dyDescent="0.2">
      <c r="A4596" s="105" t="str">
        <f>IF(D4596=1,COUNTIF($D$10:D4596,1)," ")</f>
        <v xml:space="preserve"> </v>
      </c>
      <c r="B4596" s="106">
        <f>COPY!AR4588</f>
        <v>0</v>
      </c>
      <c r="C4596" s="107">
        <f>COPY!AC4588</f>
        <v>0</v>
      </c>
      <c r="D4596" s="107" t="str">
        <f>IF(LEN(Table1722[[#This Row],[Uraian]])&gt;2,1," ")</f>
        <v xml:space="preserve"> </v>
      </c>
      <c r="E4596" s="113" t="str">
        <f>IF(Table1722[[#This Row],[Lawan Transaksi]]="CV AGUNG KARYA",COUNTIF($I$10:I4596,"CV AGUNG KARYA")," ")</f>
        <v xml:space="preserve"> </v>
      </c>
      <c r="F4596" s="107" t="str">
        <f>IF(LEN(Table1722[[#This Row],[Uraian]])&gt;2,TRIM(RIGHT(SUBSTITUTE(TRIM(C4596)," ",REPT(" ",255)),255))," ")</f>
        <v xml:space="preserve"> </v>
      </c>
      <c r="G4596" s="110">
        <f>COPY!Z4588</f>
        <v>0</v>
      </c>
      <c r="H4596" s="111" t="str">
        <f>IFERROR(VLOOKUP(Table1722[[#This Row],[Bukti]],'Un nOTA'!$A$4:$K$5003,10,FALSE),"")</f>
        <v/>
      </c>
      <c r="I4596" s="123" t="str">
        <f>IFERROR(VLOOKUP(Table1722[[#This Row],[Bukti]],Table13[#Data],11,FALSE),"")</f>
        <v/>
      </c>
    </row>
    <row r="4597" spans="1:9" hidden="1" x14ac:dyDescent="0.2">
      <c r="A4597" s="105" t="str">
        <f>IF(D4597=1,COUNTIF($D$10:D4597,1)," ")</f>
        <v xml:space="preserve"> </v>
      </c>
      <c r="B4597" s="106">
        <f>COPY!AR4589</f>
        <v>0</v>
      </c>
      <c r="C4597" s="107">
        <f>COPY!AC4589</f>
        <v>0</v>
      </c>
      <c r="D4597" s="107" t="str">
        <f>IF(LEN(Table1722[[#This Row],[Uraian]])&gt;2,1," ")</f>
        <v xml:space="preserve"> </v>
      </c>
      <c r="E4597" s="113" t="str">
        <f>IF(Table1722[[#This Row],[Lawan Transaksi]]="CV AGUNG KARYA",COUNTIF($I$10:I4597,"CV AGUNG KARYA")," ")</f>
        <v xml:space="preserve"> </v>
      </c>
      <c r="F4597" s="107" t="str">
        <f>IF(LEN(Table1722[[#This Row],[Uraian]])&gt;2,TRIM(RIGHT(SUBSTITUTE(TRIM(C4597)," ",REPT(" ",255)),255))," ")</f>
        <v xml:space="preserve"> </v>
      </c>
      <c r="G4597" s="110">
        <f>COPY!Z4589</f>
        <v>0</v>
      </c>
      <c r="H4597" s="111" t="str">
        <f>IFERROR(VLOOKUP(Table1722[[#This Row],[Bukti]],'Un nOTA'!$A$4:$K$5003,10,FALSE),"")</f>
        <v/>
      </c>
      <c r="I4597" s="123" t="str">
        <f>IFERROR(VLOOKUP(Table1722[[#This Row],[Bukti]],Table13[#Data],11,FALSE),"")</f>
        <v/>
      </c>
    </row>
    <row r="4598" spans="1:9" hidden="1" x14ac:dyDescent="0.2">
      <c r="A4598" s="105" t="str">
        <f>IF(D4598=1,COUNTIF($D$10:D4598,1)," ")</f>
        <v xml:space="preserve"> </v>
      </c>
      <c r="B4598" s="106">
        <f>COPY!AR4590</f>
        <v>0</v>
      </c>
      <c r="C4598" s="107">
        <f>COPY!AC4590</f>
        <v>0</v>
      </c>
      <c r="D4598" s="107" t="str">
        <f>IF(LEN(Table1722[[#This Row],[Uraian]])&gt;2,1," ")</f>
        <v xml:space="preserve"> </v>
      </c>
      <c r="E4598" s="113" t="str">
        <f>IF(Table1722[[#This Row],[Lawan Transaksi]]="CV AGUNG KARYA",COUNTIF($I$10:I4598,"CV AGUNG KARYA")," ")</f>
        <v xml:space="preserve"> </v>
      </c>
      <c r="F4598" s="107" t="str">
        <f>IF(LEN(Table1722[[#This Row],[Uraian]])&gt;2,TRIM(RIGHT(SUBSTITUTE(TRIM(C4598)," ",REPT(" ",255)),255))," ")</f>
        <v xml:space="preserve"> </v>
      </c>
      <c r="G4598" s="110">
        <f>COPY!Z4590</f>
        <v>0</v>
      </c>
      <c r="H4598" s="111" t="str">
        <f>IFERROR(VLOOKUP(Table1722[[#This Row],[Bukti]],'Un nOTA'!$A$4:$K$5003,10,FALSE),"")</f>
        <v/>
      </c>
      <c r="I4598" s="123" t="str">
        <f>IFERROR(VLOOKUP(Table1722[[#This Row],[Bukti]],Table13[#Data],11,FALSE),"")</f>
        <v/>
      </c>
    </row>
    <row r="4599" spans="1:9" hidden="1" x14ac:dyDescent="0.2">
      <c r="A4599" s="105" t="str">
        <f>IF(D4599=1,COUNTIF($D$10:D4599,1)," ")</f>
        <v xml:space="preserve"> </v>
      </c>
      <c r="B4599" s="106">
        <f>COPY!AR4591</f>
        <v>0</v>
      </c>
      <c r="C4599" s="107">
        <f>COPY!AC4591</f>
        <v>0</v>
      </c>
      <c r="D4599" s="107" t="str">
        <f>IF(LEN(Table1722[[#This Row],[Uraian]])&gt;2,1," ")</f>
        <v xml:space="preserve"> </v>
      </c>
      <c r="E4599" s="113" t="str">
        <f>IF(Table1722[[#This Row],[Lawan Transaksi]]="CV AGUNG KARYA",COUNTIF($I$10:I4599,"CV AGUNG KARYA")," ")</f>
        <v xml:space="preserve"> </v>
      </c>
      <c r="F4599" s="107" t="str">
        <f>IF(LEN(Table1722[[#This Row],[Uraian]])&gt;2,TRIM(RIGHT(SUBSTITUTE(TRIM(C4599)," ",REPT(" ",255)),255))," ")</f>
        <v xml:space="preserve"> </v>
      </c>
      <c r="G4599" s="110">
        <f>COPY!Z4591</f>
        <v>0</v>
      </c>
      <c r="H4599" s="111" t="str">
        <f>IFERROR(VLOOKUP(Table1722[[#This Row],[Bukti]],'Un nOTA'!$A$4:$K$5003,10,FALSE),"")</f>
        <v/>
      </c>
      <c r="I4599" s="123" t="str">
        <f>IFERROR(VLOOKUP(Table1722[[#This Row],[Bukti]],Table13[#Data],11,FALSE),"")</f>
        <v/>
      </c>
    </row>
    <row r="4600" spans="1:9" hidden="1" x14ac:dyDescent="0.2">
      <c r="A4600" s="105" t="str">
        <f>IF(D4600=1,COUNTIF($D$10:D4600,1)," ")</f>
        <v xml:space="preserve"> </v>
      </c>
      <c r="B4600" s="106">
        <f>COPY!AR4592</f>
        <v>0</v>
      </c>
      <c r="C4600" s="107">
        <f>COPY!AC4592</f>
        <v>0</v>
      </c>
      <c r="D4600" s="107" t="str">
        <f>IF(LEN(Table1722[[#This Row],[Uraian]])&gt;2,1," ")</f>
        <v xml:space="preserve"> </v>
      </c>
      <c r="E4600" s="113" t="str">
        <f>IF(Table1722[[#This Row],[Lawan Transaksi]]="CV AGUNG KARYA",COUNTIF($I$10:I4600,"CV AGUNG KARYA")," ")</f>
        <v xml:space="preserve"> </v>
      </c>
      <c r="F4600" s="107" t="str">
        <f>IF(LEN(Table1722[[#This Row],[Uraian]])&gt;2,TRIM(RIGHT(SUBSTITUTE(TRIM(C4600)," ",REPT(" ",255)),255))," ")</f>
        <v xml:space="preserve"> </v>
      </c>
      <c r="G4600" s="110">
        <f>COPY!Z4592</f>
        <v>0</v>
      </c>
      <c r="H4600" s="111" t="str">
        <f>IFERROR(VLOOKUP(Table1722[[#This Row],[Bukti]],'Un nOTA'!$A$4:$K$5003,10,FALSE),"")</f>
        <v/>
      </c>
      <c r="I4600" s="123" t="str">
        <f>IFERROR(VLOOKUP(Table1722[[#This Row],[Bukti]],Table13[#Data],11,FALSE),"")</f>
        <v/>
      </c>
    </row>
    <row r="4601" spans="1:9" hidden="1" x14ac:dyDescent="0.2">
      <c r="A4601" s="105" t="str">
        <f>IF(D4601=1,COUNTIF($D$10:D4601,1)," ")</f>
        <v xml:space="preserve"> </v>
      </c>
      <c r="B4601" s="106">
        <f>COPY!AR4593</f>
        <v>0</v>
      </c>
      <c r="C4601" s="107">
        <f>COPY!AC4593</f>
        <v>0</v>
      </c>
      <c r="D4601" s="107" t="str">
        <f>IF(LEN(Table1722[[#This Row],[Uraian]])&gt;2,1," ")</f>
        <v xml:space="preserve"> </v>
      </c>
      <c r="E4601" s="113" t="str">
        <f>IF(Table1722[[#This Row],[Lawan Transaksi]]="CV AGUNG KARYA",COUNTIF($I$10:I4601,"CV AGUNG KARYA")," ")</f>
        <v xml:space="preserve"> </v>
      </c>
      <c r="F4601" s="107" t="str">
        <f>IF(LEN(Table1722[[#This Row],[Uraian]])&gt;2,TRIM(RIGHT(SUBSTITUTE(TRIM(C4601)," ",REPT(" ",255)),255))," ")</f>
        <v xml:space="preserve"> </v>
      </c>
      <c r="G4601" s="110">
        <f>COPY!Z4593</f>
        <v>0</v>
      </c>
      <c r="H4601" s="111" t="str">
        <f>IFERROR(VLOOKUP(Table1722[[#This Row],[Bukti]],'Un nOTA'!$A$4:$K$5003,10,FALSE),"")</f>
        <v/>
      </c>
      <c r="I4601" s="123" t="str">
        <f>IFERROR(VLOOKUP(Table1722[[#This Row],[Bukti]],Table13[#Data],11,FALSE),"")</f>
        <v/>
      </c>
    </row>
    <row r="4602" spans="1:9" hidden="1" x14ac:dyDescent="0.2">
      <c r="A4602" s="105" t="str">
        <f>IF(D4602=1,COUNTIF($D$10:D4602,1)," ")</f>
        <v xml:space="preserve"> </v>
      </c>
      <c r="B4602" s="106">
        <f>COPY!AR4594</f>
        <v>0</v>
      </c>
      <c r="C4602" s="107">
        <f>COPY!AC4594</f>
        <v>0</v>
      </c>
      <c r="D4602" s="107" t="str">
        <f>IF(LEN(Table1722[[#This Row],[Uraian]])&gt;2,1," ")</f>
        <v xml:space="preserve"> </v>
      </c>
      <c r="E4602" s="113" t="str">
        <f>IF(Table1722[[#This Row],[Lawan Transaksi]]="CV AGUNG KARYA",COUNTIF($I$10:I4602,"CV AGUNG KARYA")," ")</f>
        <v xml:space="preserve"> </v>
      </c>
      <c r="F4602" s="107" t="str">
        <f>IF(LEN(Table1722[[#This Row],[Uraian]])&gt;2,TRIM(RIGHT(SUBSTITUTE(TRIM(C4602)," ",REPT(" ",255)),255))," ")</f>
        <v xml:space="preserve"> </v>
      </c>
      <c r="G4602" s="110">
        <f>COPY!Z4594</f>
        <v>0</v>
      </c>
      <c r="H4602" s="111" t="str">
        <f>IFERROR(VLOOKUP(Table1722[[#This Row],[Bukti]],'Un nOTA'!$A$4:$K$5003,10,FALSE),"")</f>
        <v/>
      </c>
      <c r="I4602" s="123" t="str">
        <f>IFERROR(VLOOKUP(Table1722[[#This Row],[Bukti]],Table13[#Data],11,FALSE),"")</f>
        <v/>
      </c>
    </row>
    <row r="4603" spans="1:9" hidden="1" x14ac:dyDescent="0.2">
      <c r="A4603" s="105" t="str">
        <f>IF(D4603=1,COUNTIF($D$10:D4603,1)," ")</f>
        <v xml:space="preserve"> </v>
      </c>
      <c r="B4603" s="106">
        <f>COPY!AR4595</f>
        <v>0</v>
      </c>
      <c r="C4603" s="107">
        <f>COPY!AC4595</f>
        <v>0</v>
      </c>
      <c r="D4603" s="107" t="str">
        <f>IF(LEN(Table1722[[#This Row],[Uraian]])&gt;2,1," ")</f>
        <v xml:space="preserve"> </v>
      </c>
      <c r="E4603" s="113" t="str">
        <f>IF(Table1722[[#This Row],[Lawan Transaksi]]="CV AGUNG KARYA",COUNTIF($I$10:I4603,"CV AGUNG KARYA")," ")</f>
        <v xml:space="preserve"> </v>
      </c>
      <c r="F4603" s="107" t="str">
        <f>IF(LEN(Table1722[[#This Row],[Uraian]])&gt;2,TRIM(RIGHT(SUBSTITUTE(TRIM(C4603)," ",REPT(" ",255)),255))," ")</f>
        <v xml:space="preserve"> </v>
      </c>
      <c r="G4603" s="110">
        <f>COPY!Z4595</f>
        <v>0</v>
      </c>
      <c r="H4603" s="111" t="str">
        <f>IFERROR(VLOOKUP(Table1722[[#This Row],[Bukti]],'Un nOTA'!$A$4:$K$5003,10,FALSE),"")</f>
        <v/>
      </c>
      <c r="I4603" s="123" t="str">
        <f>IFERROR(VLOOKUP(Table1722[[#This Row],[Bukti]],Table13[#Data],11,FALSE),"")</f>
        <v/>
      </c>
    </row>
    <row r="4604" spans="1:9" hidden="1" x14ac:dyDescent="0.2">
      <c r="A4604" s="105" t="str">
        <f>IF(D4604=1,COUNTIF($D$10:D4604,1)," ")</f>
        <v xml:space="preserve"> </v>
      </c>
      <c r="B4604" s="106">
        <f>COPY!AR4596</f>
        <v>0</v>
      </c>
      <c r="C4604" s="107">
        <f>COPY!AC4596</f>
        <v>0</v>
      </c>
      <c r="D4604" s="107" t="str">
        <f>IF(LEN(Table1722[[#This Row],[Uraian]])&gt;2,1," ")</f>
        <v xml:space="preserve"> </v>
      </c>
      <c r="E4604" s="113" t="str">
        <f>IF(Table1722[[#This Row],[Lawan Transaksi]]="CV AGUNG KARYA",COUNTIF($I$10:I4604,"CV AGUNG KARYA")," ")</f>
        <v xml:space="preserve"> </v>
      </c>
      <c r="F4604" s="107" t="str">
        <f>IF(LEN(Table1722[[#This Row],[Uraian]])&gt;2,TRIM(RIGHT(SUBSTITUTE(TRIM(C4604)," ",REPT(" ",255)),255))," ")</f>
        <v xml:space="preserve"> </v>
      </c>
      <c r="G4604" s="110">
        <f>COPY!Z4596</f>
        <v>0</v>
      </c>
      <c r="H4604" s="111" t="str">
        <f>IFERROR(VLOOKUP(Table1722[[#This Row],[Bukti]],'Un nOTA'!$A$4:$K$5003,10,FALSE),"")</f>
        <v/>
      </c>
      <c r="I4604" s="123" t="str">
        <f>IFERROR(VLOOKUP(Table1722[[#This Row],[Bukti]],Table13[#Data],11,FALSE),"")</f>
        <v/>
      </c>
    </row>
    <row r="4605" spans="1:9" hidden="1" x14ac:dyDescent="0.2">
      <c r="A4605" s="105" t="str">
        <f>IF(D4605=1,COUNTIF($D$10:D4605,1)," ")</f>
        <v xml:space="preserve"> </v>
      </c>
      <c r="B4605" s="106">
        <f>COPY!AR4597</f>
        <v>0</v>
      </c>
      <c r="C4605" s="107">
        <f>COPY!AC4597</f>
        <v>0</v>
      </c>
      <c r="D4605" s="107" t="str">
        <f>IF(LEN(Table1722[[#This Row],[Uraian]])&gt;2,1," ")</f>
        <v xml:space="preserve"> </v>
      </c>
      <c r="E4605" s="113" t="str">
        <f>IF(Table1722[[#This Row],[Lawan Transaksi]]="CV AGUNG KARYA",COUNTIF($I$10:I4605,"CV AGUNG KARYA")," ")</f>
        <v xml:space="preserve"> </v>
      </c>
      <c r="F4605" s="107" t="str">
        <f>IF(LEN(Table1722[[#This Row],[Uraian]])&gt;2,TRIM(RIGHT(SUBSTITUTE(TRIM(C4605)," ",REPT(" ",255)),255))," ")</f>
        <v xml:space="preserve"> </v>
      </c>
      <c r="G4605" s="110">
        <f>COPY!Z4597</f>
        <v>0</v>
      </c>
      <c r="H4605" s="111" t="str">
        <f>IFERROR(VLOOKUP(Table1722[[#This Row],[Bukti]],'Un nOTA'!$A$4:$K$5003,10,FALSE),"")</f>
        <v/>
      </c>
      <c r="I4605" s="123" t="str">
        <f>IFERROR(VLOOKUP(Table1722[[#This Row],[Bukti]],Table13[#Data],11,FALSE),"")</f>
        <v/>
      </c>
    </row>
    <row r="4606" spans="1:9" hidden="1" x14ac:dyDescent="0.2">
      <c r="A4606" s="105" t="str">
        <f>IF(D4606=1,COUNTIF($D$10:D4606,1)," ")</f>
        <v xml:space="preserve"> </v>
      </c>
      <c r="B4606" s="106">
        <f>COPY!AR4598</f>
        <v>0</v>
      </c>
      <c r="C4606" s="107">
        <f>COPY!AC4598</f>
        <v>0</v>
      </c>
      <c r="D4606" s="107" t="str">
        <f>IF(LEN(Table1722[[#This Row],[Uraian]])&gt;2,1," ")</f>
        <v xml:space="preserve"> </v>
      </c>
      <c r="E4606" s="113" t="str">
        <f>IF(Table1722[[#This Row],[Lawan Transaksi]]="CV AGUNG KARYA",COUNTIF($I$10:I4606,"CV AGUNG KARYA")," ")</f>
        <v xml:space="preserve"> </v>
      </c>
      <c r="F4606" s="107" t="str">
        <f>IF(LEN(Table1722[[#This Row],[Uraian]])&gt;2,TRIM(RIGHT(SUBSTITUTE(TRIM(C4606)," ",REPT(" ",255)),255))," ")</f>
        <v xml:space="preserve"> </v>
      </c>
      <c r="G4606" s="110">
        <f>COPY!Z4598</f>
        <v>0</v>
      </c>
      <c r="H4606" s="111" t="str">
        <f>IFERROR(VLOOKUP(Table1722[[#This Row],[Bukti]],'Un nOTA'!$A$4:$K$5003,10,FALSE),"")</f>
        <v/>
      </c>
      <c r="I4606" s="123" t="str">
        <f>IFERROR(VLOOKUP(Table1722[[#This Row],[Bukti]],Table13[#Data],11,FALSE),"")</f>
        <v/>
      </c>
    </row>
    <row r="4607" spans="1:9" hidden="1" x14ac:dyDescent="0.2">
      <c r="A4607" s="105" t="str">
        <f>IF(D4607=1,COUNTIF($D$10:D4607,1)," ")</f>
        <v xml:space="preserve"> </v>
      </c>
      <c r="B4607" s="106">
        <f>COPY!AR4599</f>
        <v>0</v>
      </c>
      <c r="C4607" s="107">
        <f>COPY!AC4599</f>
        <v>0</v>
      </c>
      <c r="D4607" s="107" t="str">
        <f>IF(LEN(Table1722[[#This Row],[Uraian]])&gt;2,1," ")</f>
        <v xml:space="preserve"> </v>
      </c>
      <c r="E4607" s="113" t="str">
        <f>IF(Table1722[[#This Row],[Lawan Transaksi]]="CV AGUNG KARYA",COUNTIF($I$10:I4607,"CV AGUNG KARYA")," ")</f>
        <v xml:space="preserve"> </v>
      </c>
      <c r="F4607" s="107" t="str">
        <f>IF(LEN(Table1722[[#This Row],[Uraian]])&gt;2,TRIM(RIGHT(SUBSTITUTE(TRIM(C4607)," ",REPT(" ",255)),255))," ")</f>
        <v xml:space="preserve"> </v>
      </c>
      <c r="G4607" s="110">
        <f>COPY!Z4599</f>
        <v>0</v>
      </c>
      <c r="H4607" s="111" t="str">
        <f>IFERROR(VLOOKUP(Table1722[[#This Row],[Bukti]],'Un nOTA'!$A$4:$K$5003,10,FALSE),"")</f>
        <v/>
      </c>
      <c r="I4607" s="123" t="str">
        <f>IFERROR(VLOOKUP(Table1722[[#This Row],[Bukti]],Table13[#Data],11,FALSE),"")</f>
        <v/>
      </c>
    </row>
    <row r="4608" spans="1:9" hidden="1" x14ac:dyDescent="0.2">
      <c r="A4608" s="105" t="str">
        <f>IF(D4608=1,COUNTIF($D$10:D4608,1)," ")</f>
        <v xml:space="preserve"> </v>
      </c>
      <c r="B4608" s="106">
        <f>COPY!AR4600</f>
        <v>0</v>
      </c>
      <c r="C4608" s="107">
        <f>COPY!AC4600</f>
        <v>0</v>
      </c>
      <c r="D4608" s="107" t="str">
        <f>IF(LEN(Table1722[[#This Row],[Uraian]])&gt;2,1," ")</f>
        <v xml:space="preserve"> </v>
      </c>
      <c r="E4608" s="113" t="str">
        <f>IF(Table1722[[#This Row],[Lawan Transaksi]]="CV AGUNG KARYA",COUNTIF($I$10:I4608,"CV AGUNG KARYA")," ")</f>
        <v xml:space="preserve"> </v>
      </c>
      <c r="F4608" s="107" t="str">
        <f>IF(LEN(Table1722[[#This Row],[Uraian]])&gt;2,TRIM(RIGHT(SUBSTITUTE(TRIM(C4608)," ",REPT(" ",255)),255))," ")</f>
        <v xml:space="preserve"> </v>
      </c>
      <c r="G4608" s="110">
        <f>COPY!Z4600</f>
        <v>0</v>
      </c>
      <c r="H4608" s="111" t="str">
        <f>IFERROR(VLOOKUP(Table1722[[#This Row],[Bukti]],'Un nOTA'!$A$4:$K$5003,10,FALSE),"")</f>
        <v/>
      </c>
      <c r="I4608" s="123" t="str">
        <f>IFERROR(VLOOKUP(Table1722[[#This Row],[Bukti]],Table13[#Data],11,FALSE),"")</f>
        <v/>
      </c>
    </row>
    <row r="4609" spans="1:9" hidden="1" x14ac:dyDescent="0.2">
      <c r="A4609" s="105" t="str">
        <f>IF(D4609=1,COUNTIF($D$10:D4609,1)," ")</f>
        <v xml:space="preserve"> </v>
      </c>
      <c r="B4609" s="106">
        <f>COPY!AR4601</f>
        <v>0</v>
      </c>
      <c r="C4609" s="107">
        <f>COPY!AC4601</f>
        <v>0</v>
      </c>
      <c r="D4609" s="107" t="str">
        <f>IF(LEN(Table1722[[#This Row],[Uraian]])&gt;2,1," ")</f>
        <v xml:space="preserve"> </v>
      </c>
      <c r="E4609" s="113" t="str">
        <f>IF(Table1722[[#This Row],[Lawan Transaksi]]="CV AGUNG KARYA",COUNTIF($I$10:I4609,"CV AGUNG KARYA")," ")</f>
        <v xml:space="preserve"> </v>
      </c>
      <c r="F4609" s="107" t="str">
        <f>IF(LEN(Table1722[[#This Row],[Uraian]])&gt;2,TRIM(RIGHT(SUBSTITUTE(TRIM(C4609)," ",REPT(" ",255)),255))," ")</f>
        <v xml:space="preserve"> </v>
      </c>
      <c r="G4609" s="110">
        <f>COPY!Z4601</f>
        <v>0</v>
      </c>
      <c r="H4609" s="111" t="str">
        <f>IFERROR(VLOOKUP(Table1722[[#This Row],[Bukti]],'Un nOTA'!$A$4:$K$5003,10,FALSE),"")</f>
        <v/>
      </c>
      <c r="I4609" s="123" t="str">
        <f>IFERROR(VLOOKUP(Table1722[[#This Row],[Bukti]],Table13[#Data],11,FALSE),"")</f>
        <v/>
      </c>
    </row>
    <row r="4610" spans="1:9" hidden="1" x14ac:dyDescent="0.2">
      <c r="A4610" s="105" t="str">
        <f>IF(D4610=1,COUNTIF($D$10:D4610,1)," ")</f>
        <v xml:space="preserve"> </v>
      </c>
      <c r="B4610" s="106">
        <f>COPY!AR4602</f>
        <v>0</v>
      </c>
      <c r="C4610" s="107">
        <f>COPY!AC4602</f>
        <v>0</v>
      </c>
      <c r="D4610" s="107" t="str">
        <f>IF(LEN(Table1722[[#This Row],[Uraian]])&gt;2,1," ")</f>
        <v xml:space="preserve"> </v>
      </c>
      <c r="E4610" s="113" t="str">
        <f>IF(Table1722[[#This Row],[Lawan Transaksi]]="CV AGUNG KARYA",COUNTIF($I$10:I4610,"CV AGUNG KARYA")," ")</f>
        <v xml:space="preserve"> </v>
      </c>
      <c r="F4610" s="107" t="str">
        <f>IF(LEN(Table1722[[#This Row],[Uraian]])&gt;2,TRIM(RIGHT(SUBSTITUTE(TRIM(C4610)," ",REPT(" ",255)),255))," ")</f>
        <v xml:space="preserve"> </v>
      </c>
      <c r="G4610" s="110">
        <f>COPY!Z4602</f>
        <v>0</v>
      </c>
      <c r="H4610" s="111" t="str">
        <f>IFERROR(VLOOKUP(Table1722[[#This Row],[Bukti]],'Un nOTA'!$A$4:$K$5003,10,FALSE),"")</f>
        <v/>
      </c>
      <c r="I4610" s="123" t="str">
        <f>IFERROR(VLOOKUP(Table1722[[#This Row],[Bukti]],Table13[#Data],11,FALSE),"")</f>
        <v/>
      </c>
    </row>
    <row r="4611" spans="1:9" hidden="1" x14ac:dyDescent="0.2">
      <c r="A4611" s="105" t="str">
        <f>IF(D4611=1,COUNTIF($D$10:D4611,1)," ")</f>
        <v xml:space="preserve"> </v>
      </c>
      <c r="B4611" s="106">
        <f>COPY!AR4603</f>
        <v>0</v>
      </c>
      <c r="C4611" s="107">
        <f>COPY!AC4603</f>
        <v>0</v>
      </c>
      <c r="D4611" s="107" t="str">
        <f>IF(LEN(Table1722[[#This Row],[Uraian]])&gt;2,1," ")</f>
        <v xml:space="preserve"> </v>
      </c>
      <c r="E4611" s="113" t="str">
        <f>IF(Table1722[[#This Row],[Lawan Transaksi]]="CV AGUNG KARYA",COUNTIF($I$10:I4611,"CV AGUNG KARYA")," ")</f>
        <v xml:space="preserve"> </v>
      </c>
      <c r="F4611" s="107" t="str">
        <f>IF(LEN(Table1722[[#This Row],[Uraian]])&gt;2,TRIM(RIGHT(SUBSTITUTE(TRIM(C4611)," ",REPT(" ",255)),255))," ")</f>
        <v xml:space="preserve"> </v>
      </c>
      <c r="G4611" s="110">
        <f>COPY!Z4603</f>
        <v>0</v>
      </c>
      <c r="H4611" s="111" t="str">
        <f>IFERROR(VLOOKUP(Table1722[[#This Row],[Bukti]],'Un nOTA'!$A$4:$K$5003,10,FALSE),"")</f>
        <v/>
      </c>
      <c r="I4611" s="123" t="str">
        <f>IFERROR(VLOOKUP(Table1722[[#This Row],[Bukti]],Table13[#Data],11,FALSE),"")</f>
        <v/>
      </c>
    </row>
    <row r="4612" spans="1:9" hidden="1" x14ac:dyDescent="0.2">
      <c r="A4612" s="105" t="str">
        <f>IF(D4612=1,COUNTIF($D$10:D4612,1)," ")</f>
        <v xml:space="preserve"> </v>
      </c>
      <c r="B4612" s="106">
        <f>COPY!AR4604</f>
        <v>0</v>
      </c>
      <c r="C4612" s="107">
        <f>COPY!AC4604</f>
        <v>0</v>
      </c>
      <c r="D4612" s="107" t="str">
        <f>IF(LEN(Table1722[[#This Row],[Uraian]])&gt;2,1," ")</f>
        <v xml:space="preserve"> </v>
      </c>
      <c r="E4612" s="113" t="str">
        <f>IF(Table1722[[#This Row],[Lawan Transaksi]]="CV AGUNG KARYA",COUNTIF($I$10:I4612,"CV AGUNG KARYA")," ")</f>
        <v xml:space="preserve"> </v>
      </c>
      <c r="F4612" s="107" t="str">
        <f>IF(LEN(Table1722[[#This Row],[Uraian]])&gt;2,TRIM(RIGHT(SUBSTITUTE(TRIM(C4612)," ",REPT(" ",255)),255))," ")</f>
        <v xml:space="preserve"> </v>
      </c>
      <c r="G4612" s="110">
        <f>COPY!Z4604</f>
        <v>0</v>
      </c>
      <c r="H4612" s="111" t="str">
        <f>IFERROR(VLOOKUP(Table1722[[#This Row],[Bukti]],'Un nOTA'!$A$4:$K$5003,10,FALSE),"")</f>
        <v/>
      </c>
      <c r="I4612" s="123" t="str">
        <f>IFERROR(VLOOKUP(Table1722[[#This Row],[Bukti]],Table13[#Data],11,FALSE),"")</f>
        <v/>
      </c>
    </row>
    <row r="4613" spans="1:9" hidden="1" x14ac:dyDescent="0.2">
      <c r="A4613" s="105" t="str">
        <f>IF(D4613=1,COUNTIF($D$10:D4613,1)," ")</f>
        <v xml:space="preserve"> </v>
      </c>
      <c r="B4613" s="106">
        <f>COPY!AR4605</f>
        <v>0</v>
      </c>
      <c r="C4613" s="107">
        <f>COPY!AC4605</f>
        <v>0</v>
      </c>
      <c r="D4613" s="107" t="str">
        <f>IF(LEN(Table1722[[#This Row],[Uraian]])&gt;2,1," ")</f>
        <v xml:space="preserve"> </v>
      </c>
      <c r="E4613" s="113" t="str">
        <f>IF(Table1722[[#This Row],[Lawan Transaksi]]="CV AGUNG KARYA",COUNTIF($I$10:I4613,"CV AGUNG KARYA")," ")</f>
        <v xml:space="preserve"> </v>
      </c>
      <c r="F4613" s="107" t="str">
        <f>IF(LEN(Table1722[[#This Row],[Uraian]])&gt;2,TRIM(RIGHT(SUBSTITUTE(TRIM(C4613)," ",REPT(" ",255)),255))," ")</f>
        <v xml:space="preserve"> </v>
      </c>
      <c r="G4613" s="110">
        <f>COPY!Z4605</f>
        <v>0</v>
      </c>
      <c r="H4613" s="111" t="str">
        <f>IFERROR(VLOOKUP(Table1722[[#This Row],[Bukti]],'Un nOTA'!$A$4:$K$5003,10,FALSE),"")</f>
        <v/>
      </c>
      <c r="I4613" s="123" t="str">
        <f>IFERROR(VLOOKUP(Table1722[[#This Row],[Bukti]],Table13[#Data],11,FALSE),"")</f>
        <v/>
      </c>
    </row>
    <row r="4614" spans="1:9" hidden="1" x14ac:dyDescent="0.2">
      <c r="A4614" s="105" t="str">
        <f>IF(D4614=1,COUNTIF($D$10:D4614,1)," ")</f>
        <v xml:space="preserve"> </v>
      </c>
      <c r="B4614" s="106">
        <f>COPY!AR4606</f>
        <v>0</v>
      </c>
      <c r="C4614" s="107">
        <f>COPY!AC4606</f>
        <v>0</v>
      </c>
      <c r="D4614" s="107" t="str">
        <f>IF(LEN(Table1722[[#This Row],[Uraian]])&gt;2,1," ")</f>
        <v xml:space="preserve"> </v>
      </c>
      <c r="E4614" s="113" t="str">
        <f>IF(Table1722[[#This Row],[Lawan Transaksi]]="CV AGUNG KARYA",COUNTIF($I$10:I4614,"CV AGUNG KARYA")," ")</f>
        <v xml:space="preserve"> </v>
      </c>
      <c r="F4614" s="107" t="str">
        <f>IF(LEN(Table1722[[#This Row],[Uraian]])&gt;2,TRIM(RIGHT(SUBSTITUTE(TRIM(C4614)," ",REPT(" ",255)),255))," ")</f>
        <v xml:space="preserve"> </v>
      </c>
      <c r="G4614" s="110">
        <f>COPY!Z4606</f>
        <v>0</v>
      </c>
      <c r="H4614" s="111" t="str">
        <f>IFERROR(VLOOKUP(Table1722[[#This Row],[Bukti]],'Un nOTA'!$A$4:$K$5003,10,FALSE),"")</f>
        <v/>
      </c>
      <c r="I4614" s="123" t="str">
        <f>IFERROR(VLOOKUP(Table1722[[#This Row],[Bukti]],Table13[#Data],11,FALSE),"")</f>
        <v/>
      </c>
    </row>
    <row r="4615" spans="1:9" hidden="1" x14ac:dyDescent="0.2">
      <c r="A4615" s="105" t="str">
        <f>IF(D4615=1,COUNTIF($D$10:D4615,1)," ")</f>
        <v xml:space="preserve"> </v>
      </c>
      <c r="B4615" s="106">
        <f>COPY!AR4607</f>
        <v>0</v>
      </c>
      <c r="C4615" s="107">
        <f>COPY!AC4607</f>
        <v>0</v>
      </c>
      <c r="D4615" s="107" t="str">
        <f>IF(LEN(Table1722[[#This Row],[Uraian]])&gt;2,1," ")</f>
        <v xml:space="preserve"> </v>
      </c>
      <c r="E4615" s="113" t="str">
        <f>IF(Table1722[[#This Row],[Lawan Transaksi]]="CV AGUNG KARYA",COUNTIF($I$10:I4615,"CV AGUNG KARYA")," ")</f>
        <v xml:space="preserve"> </v>
      </c>
      <c r="F4615" s="107" t="str">
        <f>IF(LEN(Table1722[[#This Row],[Uraian]])&gt;2,TRIM(RIGHT(SUBSTITUTE(TRIM(C4615)," ",REPT(" ",255)),255))," ")</f>
        <v xml:space="preserve"> </v>
      </c>
      <c r="G4615" s="110">
        <f>COPY!Z4607</f>
        <v>0</v>
      </c>
      <c r="H4615" s="111" t="str">
        <f>IFERROR(VLOOKUP(Table1722[[#This Row],[Bukti]],'Un nOTA'!$A$4:$K$5003,10,FALSE),"")</f>
        <v/>
      </c>
      <c r="I4615" s="123" t="str">
        <f>IFERROR(VLOOKUP(Table1722[[#This Row],[Bukti]],Table13[#Data],11,FALSE),"")</f>
        <v/>
      </c>
    </row>
    <row r="4616" spans="1:9" hidden="1" x14ac:dyDescent="0.2">
      <c r="A4616" s="105" t="str">
        <f>IF(D4616=1,COUNTIF($D$10:D4616,1)," ")</f>
        <v xml:space="preserve"> </v>
      </c>
      <c r="B4616" s="106">
        <f>COPY!AR4608</f>
        <v>0</v>
      </c>
      <c r="C4616" s="107">
        <f>COPY!AC4608</f>
        <v>0</v>
      </c>
      <c r="D4616" s="107" t="str">
        <f>IF(LEN(Table1722[[#This Row],[Uraian]])&gt;2,1," ")</f>
        <v xml:space="preserve"> </v>
      </c>
      <c r="E4616" s="113" t="str">
        <f>IF(Table1722[[#This Row],[Lawan Transaksi]]="CV AGUNG KARYA",COUNTIF($I$10:I4616,"CV AGUNG KARYA")," ")</f>
        <v xml:space="preserve"> </v>
      </c>
      <c r="F4616" s="107" t="str">
        <f>IF(LEN(Table1722[[#This Row],[Uraian]])&gt;2,TRIM(RIGHT(SUBSTITUTE(TRIM(C4616)," ",REPT(" ",255)),255))," ")</f>
        <v xml:space="preserve"> </v>
      </c>
      <c r="G4616" s="110">
        <f>COPY!Z4608</f>
        <v>0</v>
      </c>
      <c r="H4616" s="111" t="str">
        <f>IFERROR(VLOOKUP(Table1722[[#This Row],[Bukti]],'Un nOTA'!$A$4:$K$5003,10,FALSE),"")</f>
        <v/>
      </c>
      <c r="I4616" s="123" t="str">
        <f>IFERROR(VLOOKUP(Table1722[[#This Row],[Bukti]],Table13[#Data],11,FALSE),"")</f>
        <v/>
      </c>
    </row>
    <row r="4617" spans="1:9" hidden="1" x14ac:dyDescent="0.2">
      <c r="A4617" s="105" t="str">
        <f>IF(D4617=1,COUNTIF($D$10:D4617,1)," ")</f>
        <v xml:space="preserve"> </v>
      </c>
      <c r="B4617" s="106">
        <f>COPY!AR4609</f>
        <v>0</v>
      </c>
      <c r="C4617" s="107">
        <f>COPY!AC4609</f>
        <v>0</v>
      </c>
      <c r="D4617" s="107" t="str">
        <f>IF(LEN(Table1722[[#This Row],[Uraian]])&gt;2,1," ")</f>
        <v xml:space="preserve"> </v>
      </c>
      <c r="E4617" s="113" t="str">
        <f>IF(Table1722[[#This Row],[Lawan Transaksi]]="CV AGUNG KARYA",COUNTIF($I$10:I4617,"CV AGUNG KARYA")," ")</f>
        <v xml:space="preserve"> </v>
      </c>
      <c r="F4617" s="107" t="str">
        <f>IF(LEN(Table1722[[#This Row],[Uraian]])&gt;2,TRIM(RIGHT(SUBSTITUTE(TRIM(C4617)," ",REPT(" ",255)),255))," ")</f>
        <v xml:space="preserve"> </v>
      </c>
      <c r="G4617" s="110">
        <f>COPY!Z4609</f>
        <v>0</v>
      </c>
      <c r="H4617" s="111" t="str">
        <f>IFERROR(VLOOKUP(Table1722[[#This Row],[Bukti]],'Un nOTA'!$A$4:$K$5003,10,FALSE),"")</f>
        <v/>
      </c>
      <c r="I4617" s="123" t="str">
        <f>IFERROR(VLOOKUP(Table1722[[#This Row],[Bukti]],Table13[#Data],11,FALSE),"")</f>
        <v/>
      </c>
    </row>
    <row r="4618" spans="1:9" hidden="1" x14ac:dyDescent="0.2">
      <c r="A4618" s="105" t="str">
        <f>IF(D4618=1,COUNTIF($D$10:D4618,1)," ")</f>
        <v xml:space="preserve"> </v>
      </c>
      <c r="B4618" s="106">
        <f>COPY!AR4610</f>
        <v>0</v>
      </c>
      <c r="C4618" s="107">
        <f>COPY!AC4610</f>
        <v>0</v>
      </c>
      <c r="D4618" s="107" t="str">
        <f>IF(LEN(Table1722[[#This Row],[Uraian]])&gt;2,1," ")</f>
        <v xml:space="preserve"> </v>
      </c>
      <c r="E4618" s="113" t="str">
        <f>IF(Table1722[[#This Row],[Lawan Transaksi]]="CV AGUNG KARYA",COUNTIF($I$10:I4618,"CV AGUNG KARYA")," ")</f>
        <v xml:space="preserve"> </v>
      </c>
      <c r="F4618" s="107" t="str">
        <f>IF(LEN(Table1722[[#This Row],[Uraian]])&gt;2,TRIM(RIGHT(SUBSTITUTE(TRIM(C4618)," ",REPT(" ",255)),255))," ")</f>
        <v xml:space="preserve"> </v>
      </c>
      <c r="G4618" s="110">
        <f>COPY!Z4610</f>
        <v>0</v>
      </c>
      <c r="H4618" s="111" t="str">
        <f>IFERROR(VLOOKUP(Table1722[[#This Row],[Bukti]],'Un nOTA'!$A$4:$K$5003,10,FALSE),"")</f>
        <v/>
      </c>
      <c r="I4618" s="123" t="str">
        <f>IFERROR(VLOOKUP(Table1722[[#This Row],[Bukti]],Table13[#Data],11,FALSE),"")</f>
        <v/>
      </c>
    </row>
    <row r="4619" spans="1:9" hidden="1" x14ac:dyDescent="0.2">
      <c r="A4619" s="105" t="str">
        <f>IF(D4619=1,COUNTIF($D$10:D4619,1)," ")</f>
        <v xml:space="preserve"> </v>
      </c>
      <c r="B4619" s="106">
        <f>COPY!AR4611</f>
        <v>0</v>
      </c>
      <c r="C4619" s="107">
        <f>COPY!AC4611</f>
        <v>0</v>
      </c>
      <c r="D4619" s="107" t="str">
        <f>IF(LEN(Table1722[[#This Row],[Uraian]])&gt;2,1," ")</f>
        <v xml:space="preserve"> </v>
      </c>
      <c r="E4619" s="113" t="str">
        <f>IF(Table1722[[#This Row],[Lawan Transaksi]]="CV AGUNG KARYA",COUNTIF($I$10:I4619,"CV AGUNG KARYA")," ")</f>
        <v xml:space="preserve"> </v>
      </c>
      <c r="F4619" s="107" t="str">
        <f>IF(LEN(Table1722[[#This Row],[Uraian]])&gt;2,TRIM(RIGHT(SUBSTITUTE(TRIM(C4619)," ",REPT(" ",255)),255))," ")</f>
        <v xml:space="preserve"> </v>
      </c>
      <c r="G4619" s="110">
        <f>COPY!Z4611</f>
        <v>0</v>
      </c>
      <c r="H4619" s="111" t="str">
        <f>IFERROR(VLOOKUP(Table1722[[#This Row],[Bukti]],'Un nOTA'!$A$4:$K$5003,10,FALSE),"")</f>
        <v/>
      </c>
      <c r="I4619" s="123" t="str">
        <f>IFERROR(VLOOKUP(Table1722[[#This Row],[Bukti]],Table13[#Data],11,FALSE),"")</f>
        <v/>
      </c>
    </row>
    <row r="4620" spans="1:9" hidden="1" x14ac:dyDescent="0.2">
      <c r="A4620" s="105" t="str">
        <f>IF(D4620=1,COUNTIF($D$10:D4620,1)," ")</f>
        <v xml:space="preserve"> </v>
      </c>
      <c r="B4620" s="106">
        <f>COPY!AR4612</f>
        <v>0</v>
      </c>
      <c r="C4620" s="107">
        <f>COPY!AC4612</f>
        <v>0</v>
      </c>
      <c r="D4620" s="107" t="str">
        <f>IF(LEN(Table1722[[#This Row],[Uraian]])&gt;2,1," ")</f>
        <v xml:space="preserve"> </v>
      </c>
      <c r="E4620" s="113" t="str">
        <f>IF(Table1722[[#This Row],[Lawan Transaksi]]="CV AGUNG KARYA",COUNTIF($I$10:I4620,"CV AGUNG KARYA")," ")</f>
        <v xml:space="preserve"> </v>
      </c>
      <c r="F4620" s="107" t="str">
        <f>IF(LEN(Table1722[[#This Row],[Uraian]])&gt;2,TRIM(RIGHT(SUBSTITUTE(TRIM(C4620)," ",REPT(" ",255)),255))," ")</f>
        <v xml:space="preserve"> </v>
      </c>
      <c r="G4620" s="110">
        <f>COPY!Z4612</f>
        <v>0</v>
      </c>
      <c r="H4620" s="111" t="str">
        <f>IFERROR(VLOOKUP(Table1722[[#This Row],[Bukti]],'Un nOTA'!$A$4:$K$5003,10,FALSE),"")</f>
        <v/>
      </c>
      <c r="I4620" s="123" t="str">
        <f>IFERROR(VLOOKUP(Table1722[[#This Row],[Bukti]],Table13[#Data],11,FALSE),"")</f>
        <v/>
      </c>
    </row>
    <row r="4621" spans="1:9" hidden="1" x14ac:dyDescent="0.2">
      <c r="A4621" s="105" t="str">
        <f>IF(D4621=1,COUNTIF($D$10:D4621,1)," ")</f>
        <v xml:space="preserve"> </v>
      </c>
      <c r="B4621" s="106">
        <f>COPY!AR4613</f>
        <v>0</v>
      </c>
      <c r="C4621" s="107">
        <f>COPY!AC4613</f>
        <v>0</v>
      </c>
      <c r="D4621" s="107" t="str">
        <f>IF(LEN(Table1722[[#This Row],[Uraian]])&gt;2,1," ")</f>
        <v xml:space="preserve"> </v>
      </c>
      <c r="E4621" s="113" t="str">
        <f>IF(Table1722[[#This Row],[Lawan Transaksi]]="CV AGUNG KARYA",COUNTIF($I$10:I4621,"CV AGUNG KARYA")," ")</f>
        <v xml:space="preserve"> </v>
      </c>
      <c r="F4621" s="107" t="str">
        <f>IF(LEN(Table1722[[#This Row],[Uraian]])&gt;2,TRIM(RIGHT(SUBSTITUTE(TRIM(C4621)," ",REPT(" ",255)),255))," ")</f>
        <v xml:space="preserve"> </v>
      </c>
      <c r="G4621" s="110">
        <f>COPY!Z4613</f>
        <v>0</v>
      </c>
      <c r="H4621" s="111" t="str">
        <f>IFERROR(VLOOKUP(Table1722[[#This Row],[Bukti]],'Un nOTA'!$A$4:$K$5003,10,FALSE),"")</f>
        <v/>
      </c>
      <c r="I4621" s="123" t="str">
        <f>IFERROR(VLOOKUP(Table1722[[#This Row],[Bukti]],Table13[#Data],11,FALSE),"")</f>
        <v/>
      </c>
    </row>
    <row r="4622" spans="1:9" hidden="1" x14ac:dyDescent="0.2">
      <c r="A4622" s="105" t="str">
        <f>IF(D4622=1,COUNTIF($D$10:D4622,1)," ")</f>
        <v xml:space="preserve"> </v>
      </c>
      <c r="B4622" s="106">
        <f>COPY!AR4614</f>
        <v>0</v>
      </c>
      <c r="C4622" s="107">
        <f>COPY!AC4614</f>
        <v>0</v>
      </c>
      <c r="D4622" s="107" t="str">
        <f>IF(LEN(Table1722[[#This Row],[Uraian]])&gt;2,1," ")</f>
        <v xml:space="preserve"> </v>
      </c>
      <c r="E4622" s="113" t="str">
        <f>IF(Table1722[[#This Row],[Lawan Transaksi]]="CV AGUNG KARYA",COUNTIF($I$10:I4622,"CV AGUNG KARYA")," ")</f>
        <v xml:space="preserve"> </v>
      </c>
      <c r="F4622" s="107" t="str">
        <f>IF(LEN(Table1722[[#This Row],[Uraian]])&gt;2,TRIM(RIGHT(SUBSTITUTE(TRIM(C4622)," ",REPT(" ",255)),255))," ")</f>
        <v xml:space="preserve"> </v>
      </c>
      <c r="G4622" s="110">
        <f>COPY!Z4614</f>
        <v>0</v>
      </c>
      <c r="H4622" s="111" t="str">
        <f>IFERROR(VLOOKUP(Table1722[[#This Row],[Bukti]],'Un nOTA'!$A$4:$K$5003,10,FALSE),"")</f>
        <v/>
      </c>
      <c r="I4622" s="123" t="str">
        <f>IFERROR(VLOOKUP(Table1722[[#This Row],[Bukti]],Table13[#Data],11,FALSE),"")</f>
        <v/>
      </c>
    </row>
    <row r="4623" spans="1:9" hidden="1" x14ac:dyDescent="0.2">
      <c r="A4623" s="105" t="str">
        <f>IF(D4623=1,COUNTIF($D$10:D4623,1)," ")</f>
        <v xml:space="preserve"> </v>
      </c>
      <c r="B4623" s="106">
        <f>COPY!AR4615</f>
        <v>0</v>
      </c>
      <c r="C4623" s="107">
        <f>COPY!AC4615</f>
        <v>0</v>
      </c>
      <c r="D4623" s="107" t="str">
        <f>IF(LEN(Table1722[[#This Row],[Uraian]])&gt;2,1," ")</f>
        <v xml:space="preserve"> </v>
      </c>
      <c r="E4623" s="113" t="str">
        <f>IF(Table1722[[#This Row],[Lawan Transaksi]]="CV AGUNG KARYA",COUNTIF($I$10:I4623,"CV AGUNG KARYA")," ")</f>
        <v xml:space="preserve"> </v>
      </c>
      <c r="F4623" s="107" t="str">
        <f>IF(LEN(Table1722[[#This Row],[Uraian]])&gt;2,TRIM(RIGHT(SUBSTITUTE(TRIM(C4623)," ",REPT(" ",255)),255))," ")</f>
        <v xml:space="preserve"> </v>
      </c>
      <c r="G4623" s="110">
        <f>COPY!Z4615</f>
        <v>0</v>
      </c>
      <c r="H4623" s="111" t="str">
        <f>IFERROR(VLOOKUP(Table1722[[#This Row],[Bukti]],'Un nOTA'!$A$4:$K$5003,10,FALSE),"")</f>
        <v/>
      </c>
      <c r="I4623" s="123" t="str">
        <f>IFERROR(VLOOKUP(Table1722[[#This Row],[Bukti]],Table13[#Data],11,FALSE),"")</f>
        <v/>
      </c>
    </row>
    <row r="4624" spans="1:9" hidden="1" x14ac:dyDescent="0.2">
      <c r="A4624" s="105" t="str">
        <f>IF(D4624=1,COUNTIF($D$10:D4624,1)," ")</f>
        <v xml:space="preserve"> </v>
      </c>
      <c r="B4624" s="106">
        <f>COPY!AR4616</f>
        <v>0</v>
      </c>
      <c r="C4624" s="107">
        <f>COPY!AC4616</f>
        <v>0</v>
      </c>
      <c r="D4624" s="107" t="str">
        <f>IF(LEN(Table1722[[#This Row],[Uraian]])&gt;2,1," ")</f>
        <v xml:space="preserve"> </v>
      </c>
      <c r="E4624" s="113" t="str">
        <f>IF(Table1722[[#This Row],[Lawan Transaksi]]="CV AGUNG KARYA",COUNTIF($I$10:I4624,"CV AGUNG KARYA")," ")</f>
        <v xml:space="preserve"> </v>
      </c>
      <c r="F4624" s="107" t="str">
        <f>IF(LEN(Table1722[[#This Row],[Uraian]])&gt;2,TRIM(RIGHT(SUBSTITUTE(TRIM(C4624)," ",REPT(" ",255)),255))," ")</f>
        <v xml:space="preserve"> </v>
      </c>
      <c r="G4624" s="110">
        <f>COPY!Z4616</f>
        <v>0</v>
      </c>
      <c r="H4624" s="111" t="str">
        <f>IFERROR(VLOOKUP(Table1722[[#This Row],[Bukti]],'Un nOTA'!$A$4:$K$5003,10,FALSE),"")</f>
        <v/>
      </c>
      <c r="I4624" s="123" t="str">
        <f>IFERROR(VLOOKUP(Table1722[[#This Row],[Bukti]],Table13[#Data],11,FALSE),"")</f>
        <v/>
      </c>
    </row>
    <row r="4625" spans="1:9" hidden="1" x14ac:dyDescent="0.2">
      <c r="A4625" s="105" t="str">
        <f>IF(D4625=1,COUNTIF($D$10:D4625,1)," ")</f>
        <v xml:space="preserve"> </v>
      </c>
      <c r="B4625" s="106">
        <f>COPY!AR4617</f>
        <v>0</v>
      </c>
      <c r="C4625" s="107">
        <f>COPY!AC4617</f>
        <v>0</v>
      </c>
      <c r="D4625" s="107" t="str">
        <f>IF(LEN(Table1722[[#This Row],[Uraian]])&gt;2,1," ")</f>
        <v xml:space="preserve"> </v>
      </c>
      <c r="E4625" s="113" t="str">
        <f>IF(Table1722[[#This Row],[Lawan Transaksi]]="CV AGUNG KARYA",COUNTIF($I$10:I4625,"CV AGUNG KARYA")," ")</f>
        <v xml:space="preserve"> </v>
      </c>
      <c r="F4625" s="107" t="str">
        <f>IF(LEN(Table1722[[#This Row],[Uraian]])&gt;2,TRIM(RIGHT(SUBSTITUTE(TRIM(C4625)," ",REPT(" ",255)),255))," ")</f>
        <v xml:space="preserve"> </v>
      </c>
      <c r="G4625" s="110">
        <f>COPY!Z4617</f>
        <v>0</v>
      </c>
      <c r="H4625" s="111" t="str">
        <f>IFERROR(VLOOKUP(Table1722[[#This Row],[Bukti]],'Un nOTA'!$A$4:$K$5003,10,FALSE),"")</f>
        <v/>
      </c>
      <c r="I4625" s="123" t="str">
        <f>IFERROR(VLOOKUP(Table1722[[#This Row],[Bukti]],Table13[#Data],11,FALSE),"")</f>
        <v/>
      </c>
    </row>
    <row r="4626" spans="1:9" hidden="1" x14ac:dyDescent="0.2">
      <c r="A4626" s="105" t="str">
        <f>IF(D4626=1,COUNTIF($D$10:D4626,1)," ")</f>
        <v xml:space="preserve"> </v>
      </c>
      <c r="B4626" s="106">
        <f>COPY!AR4618</f>
        <v>0</v>
      </c>
      <c r="C4626" s="107">
        <f>COPY!AC4618</f>
        <v>0</v>
      </c>
      <c r="D4626" s="107" t="str">
        <f>IF(LEN(Table1722[[#This Row],[Uraian]])&gt;2,1," ")</f>
        <v xml:space="preserve"> </v>
      </c>
      <c r="E4626" s="113" t="str">
        <f>IF(Table1722[[#This Row],[Lawan Transaksi]]="CV AGUNG KARYA",COUNTIF($I$10:I4626,"CV AGUNG KARYA")," ")</f>
        <v xml:space="preserve"> </v>
      </c>
      <c r="F4626" s="107" t="str">
        <f>IF(LEN(Table1722[[#This Row],[Uraian]])&gt;2,TRIM(RIGHT(SUBSTITUTE(TRIM(C4626)," ",REPT(" ",255)),255))," ")</f>
        <v xml:space="preserve"> </v>
      </c>
      <c r="G4626" s="110">
        <f>COPY!Z4618</f>
        <v>0</v>
      </c>
      <c r="H4626" s="111" t="str">
        <f>IFERROR(VLOOKUP(Table1722[[#This Row],[Bukti]],'Un nOTA'!$A$4:$K$5003,10,FALSE),"")</f>
        <v/>
      </c>
      <c r="I4626" s="123" t="str">
        <f>IFERROR(VLOOKUP(Table1722[[#This Row],[Bukti]],Table13[#Data],11,FALSE),"")</f>
        <v/>
      </c>
    </row>
    <row r="4627" spans="1:9" hidden="1" x14ac:dyDescent="0.2">
      <c r="A4627" s="105" t="str">
        <f>IF(D4627=1,COUNTIF($D$10:D4627,1)," ")</f>
        <v xml:space="preserve"> </v>
      </c>
      <c r="B4627" s="106">
        <f>COPY!AR4619</f>
        <v>0</v>
      </c>
      <c r="C4627" s="107">
        <f>COPY!AC4619</f>
        <v>0</v>
      </c>
      <c r="D4627" s="107" t="str">
        <f>IF(LEN(Table1722[[#This Row],[Uraian]])&gt;2,1," ")</f>
        <v xml:space="preserve"> </v>
      </c>
      <c r="E4627" s="113" t="str">
        <f>IF(Table1722[[#This Row],[Lawan Transaksi]]="CV AGUNG KARYA",COUNTIF($I$10:I4627,"CV AGUNG KARYA")," ")</f>
        <v xml:space="preserve"> </v>
      </c>
      <c r="F4627" s="107" t="str">
        <f>IF(LEN(Table1722[[#This Row],[Uraian]])&gt;2,TRIM(RIGHT(SUBSTITUTE(TRIM(C4627)," ",REPT(" ",255)),255))," ")</f>
        <v xml:space="preserve"> </v>
      </c>
      <c r="G4627" s="110">
        <f>COPY!Z4619</f>
        <v>0</v>
      </c>
      <c r="H4627" s="111" t="str">
        <f>IFERROR(VLOOKUP(Table1722[[#This Row],[Bukti]],'Un nOTA'!$A$4:$K$5003,10,FALSE),"")</f>
        <v/>
      </c>
      <c r="I4627" s="123" t="str">
        <f>IFERROR(VLOOKUP(Table1722[[#This Row],[Bukti]],Table13[#Data],11,FALSE),"")</f>
        <v/>
      </c>
    </row>
    <row r="4628" spans="1:9" hidden="1" x14ac:dyDescent="0.2">
      <c r="A4628" s="105" t="str">
        <f>IF(D4628=1,COUNTIF($D$10:D4628,1)," ")</f>
        <v xml:space="preserve"> </v>
      </c>
      <c r="B4628" s="106">
        <f>COPY!AR4620</f>
        <v>0</v>
      </c>
      <c r="C4628" s="107">
        <f>COPY!AC4620</f>
        <v>0</v>
      </c>
      <c r="D4628" s="107" t="str">
        <f>IF(LEN(Table1722[[#This Row],[Uraian]])&gt;2,1," ")</f>
        <v xml:space="preserve"> </v>
      </c>
      <c r="E4628" s="113" t="str">
        <f>IF(Table1722[[#This Row],[Lawan Transaksi]]="CV AGUNG KARYA",COUNTIF($I$10:I4628,"CV AGUNG KARYA")," ")</f>
        <v xml:space="preserve"> </v>
      </c>
      <c r="F4628" s="107" t="str">
        <f>IF(LEN(Table1722[[#This Row],[Uraian]])&gt;2,TRIM(RIGHT(SUBSTITUTE(TRIM(C4628)," ",REPT(" ",255)),255))," ")</f>
        <v xml:space="preserve"> </v>
      </c>
      <c r="G4628" s="110">
        <f>COPY!Z4620</f>
        <v>0</v>
      </c>
      <c r="H4628" s="111" t="str">
        <f>IFERROR(VLOOKUP(Table1722[[#This Row],[Bukti]],'Un nOTA'!$A$4:$K$5003,10,FALSE),"")</f>
        <v/>
      </c>
      <c r="I4628" s="123" t="str">
        <f>IFERROR(VLOOKUP(Table1722[[#This Row],[Bukti]],Table13[#Data],11,FALSE),"")</f>
        <v/>
      </c>
    </row>
    <row r="4629" spans="1:9" hidden="1" x14ac:dyDescent="0.2">
      <c r="A4629" s="105" t="str">
        <f>IF(D4629=1,COUNTIF($D$10:D4629,1)," ")</f>
        <v xml:space="preserve"> </v>
      </c>
      <c r="B4629" s="106">
        <f>COPY!AR4621</f>
        <v>0</v>
      </c>
      <c r="C4629" s="107">
        <f>COPY!AC4621</f>
        <v>0</v>
      </c>
      <c r="D4629" s="107" t="str">
        <f>IF(LEN(Table1722[[#This Row],[Uraian]])&gt;2,1," ")</f>
        <v xml:space="preserve"> </v>
      </c>
      <c r="E4629" s="113" t="str">
        <f>IF(Table1722[[#This Row],[Lawan Transaksi]]="CV AGUNG KARYA",COUNTIF($I$10:I4629,"CV AGUNG KARYA")," ")</f>
        <v xml:space="preserve"> </v>
      </c>
      <c r="F4629" s="107" t="str">
        <f>IF(LEN(Table1722[[#This Row],[Uraian]])&gt;2,TRIM(RIGHT(SUBSTITUTE(TRIM(C4629)," ",REPT(" ",255)),255))," ")</f>
        <v xml:space="preserve"> </v>
      </c>
      <c r="G4629" s="110">
        <f>COPY!Z4621</f>
        <v>0</v>
      </c>
      <c r="H4629" s="111" t="str">
        <f>IFERROR(VLOOKUP(Table1722[[#This Row],[Bukti]],'Un nOTA'!$A$4:$K$5003,10,FALSE),"")</f>
        <v/>
      </c>
      <c r="I4629" s="123" t="str">
        <f>IFERROR(VLOOKUP(Table1722[[#This Row],[Bukti]],Table13[#Data],11,FALSE),"")</f>
        <v/>
      </c>
    </row>
    <row r="4630" spans="1:9" hidden="1" x14ac:dyDescent="0.2">
      <c r="A4630" s="105" t="str">
        <f>IF(D4630=1,COUNTIF($D$10:D4630,1)," ")</f>
        <v xml:space="preserve"> </v>
      </c>
      <c r="B4630" s="106">
        <f>COPY!AR4622</f>
        <v>0</v>
      </c>
      <c r="C4630" s="107">
        <f>COPY!AC4622</f>
        <v>0</v>
      </c>
      <c r="D4630" s="107" t="str">
        <f>IF(LEN(Table1722[[#This Row],[Uraian]])&gt;2,1," ")</f>
        <v xml:space="preserve"> </v>
      </c>
      <c r="E4630" s="113" t="str">
        <f>IF(Table1722[[#This Row],[Lawan Transaksi]]="CV AGUNG KARYA",COUNTIF($I$10:I4630,"CV AGUNG KARYA")," ")</f>
        <v xml:space="preserve"> </v>
      </c>
      <c r="F4630" s="107" t="str">
        <f>IF(LEN(Table1722[[#This Row],[Uraian]])&gt;2,TRIM(RIGHT(SUBSTITUTE(TRIM(C4630)," ",REPT(" ",255)),255))," ")</f>
        <v xml:space="preserve"> </v>
      </c>
      <c r="G4630" s="110">
        <f>COPY!Z4622</f>
        <v>0</v>
      </c>
      <c r="H4630" s="111" t="str">
        <f>IFERROR(VLOOKUP(Table1722[[#This Row],[Bukti]],'Un nOTA'!$A$4:$K$5003,10,FALSE),"")</f>
        <v/>
      </c>
      <c r="I4630" s="123" t="str">
        <f>IFERROR(VLOOKUP(Table1722[[#This Row],[Bukti]],Table13[#Data],11,FALSE),"")</f>
        <v/>
      </c>
    </row>
    <row r="4631" spans="1:9" hidden="1" x14ac:dyDescent="0.2">
      <c r="A4631" s="105" t="str">
        <f>IF(D4631=1,COUNTIF($D$10:D4631,1)," ")</f>
        <v xml:space="preserve"> </v>
      </c>
      <c r="B4631" s="106">
        <f>COPY!AR4623</f>
        <v>0</v>
      </c>
      <c r="C4631" s="107">
        <f>COPY!AC4623</f>
        <v>0</v>
      </c>
      <c r="D4631" s="107" t="str">
        <f>IF(LEN(Table1722[[#This Row],[Uraian]])&gt;2,1," ")</f>
        <v xml:space="preserve"> </v>
      </c>
      <c r="E4631" s="113" t="str">
        <f>IF(Table1722[[#This Row],[Lawan Transaksi]]="CV AGUNG KARYA",COUNTIF($I$10:I4631,"CV AGUNG KARYA")," ")</f>
        <v xml:space="preserve"> </v>
      </c>
      <c r="F4631" s="107" t="str">
        <f>IF(LEN(Table1722[[#This Row],[Uraian]])&gt;2,TRIM(RIGHT(SUBSTITUTE(TRIM(C4631)," ",REPT(" ",255)),255))," ")</f>
        <v xml:space="preserve"> </v>
      </c>
      <c r="G4631" s="110">
        <f>COPY!Z4623</f>
        <v>0</v>
      </c>
      <c r="H4631" s="111" t="str">
        <f>IFERROR(VLOOKUP(Table1722[[#This Row],[Bukti]],'Un nOTA'!$A$4:$K$5003,10,FALSE),"")</f>
        <v/>
      </c>
      <c r="I4631" s="123" t="str">
        <f>IFERROR(VLOOKUP(Table1722[[#This Row],[Bukti]],Table13[#Data],11,FALSE),"")</f>
        <v/>
      </c>
    </row>
    <row r="4632" spans="1:9" hidden="1" x14ac:dyDescent="0.2">
      <c r="A4632" s="105" t="str">
        <f>IF(D4632=1,COUNTIF($D$10:D4632,1)," ")</f>
        <v xml:space="preserve"> </v>
      </c>
      <c r="B4632" s="106">
        <f>COPY!AR4624</f>
        <v>0</v>
      </c>
      <c r="C4632" s="107">
        <f>COPY!AC4624</f>
        <v>0</v>
      </c>
      <c r="D4632" s="107" t="str">
        <f>IF(LEN(Table1722[[#This Row],[Uraian]])&gt;2,1," ")</f>
        <v xml:space="preserve"> </v>
      </c>
      <c r="E4632" s="113" t="str">
        <f>IF(Table1722[[#This Row],[Lawan Transaksi]]="CV AGUNG KARYA",COUNTIF($I$10:I4632,"CV AGUNG KARYA")," ")</f>
        <v xml:space="preserve"> </v>
      </c>
      <c r="F4632" s="107" t="str">
        <f>IF(LEN(Table1722[[#This Row],[Uraian]])&gt;2,TRIM(RIGHT(SUBSTITUTE(TRIM(C4632)," ",REPT(" ",255)),255))," ")</f>
        <v xml:space="preserve"> </v>
      </c>
      <c r="G4632" s="110">
        <f>COPY!Z4624</f>
        <v>0</v>
      </c>
      <c r="H4632" s="111" t="str">
        <f>IFERROR(VLOOKUP(Table1722[[#This Row],[Bukti]],'Un nOTA'!$A$4:$K$5003,10,FALSE),"")</f>
        <v/>
      </c>
      <c r="I4632" s="123" t="str">
        <f>IFERROR(VLOOKUP(Table1722[[#This Row],[Bukti]],Table13[#Data],11,FALSE),"")</f>
        <v/>
      </c>
    </row>
    <row r="4633" spans="1:9" hidden="1" x14ac:dyDescent="0.2">
      <c r="A4633" s="105" t="str">
        <f>IF(D4633=1,COUNTIF($D$10:D4633,1)," ")</f>
        <v xml:space="preserve"> </v>
      </c>
      <c r="B4633" s="106">
        <f>COPY!AR4625</f>
        <v>0</v>
      </c>
      <c r="C4633" s="107">
        <f>COPY!AC4625</f>
        <v>0</v>
      </c>
      <c r="D4633" s="107" t="str">
        <f>IF(LEN(Table1722[[#This Row],[Uraian]])&gt;2,1," ")</f>
        <v xml:space="preserve"> </v>
      </c>
      <c r="E4633" s="113" t="str">
        <f>IF(Table1722[[#This Row],[Lawan Transaksi]]="CV AGUNG KARYA",COUNTIF($I$10:I4633,"CV AGUNG KARYA")," ")</f>
        <v xml:space="preserve"> </v>
      </c>
      <c r="F4633" s="107" t="str">
        <f>IF(LEN(Table1722[[#This Row],[Uraian]])&gt;2,TRIM(RIGHT(SUBSTITUTE(TRIM(C4633)," ",REPT(" ",255)),255))," ")</f>
        <v xml:space="preserve"> </v>
      </c>
      <c r="G4633" s="110">
        <f>COPY!Z4625</f>
        <v>0</v>
      </c>
      <c r="H4633" s="111" t="str">
        <f>IFERROR(VLOOKUP(Table1722[[#This Row],[Bukti]],'Un nOTA'!$A$4:$K$5003,10,FALSE),"")</f>
        <v/>
      </c>
      <c r="I4633" s="123" t="str">
        <f>IFERROR(VLOOKUP(Table1722[[#This Row],[Bukti]],Table13[#Data],11,FALSE),"")</f>
        <v/>
      </c>
    </row>
    <row r="4634" spans="1:9" hidden="1" x14ac:dyDescent="0.2">
      <c r="A4634" s="105" t="str">
        <f>IF(D4634=1,COUNTIF($D$10:D4634,1)," ")</f>
        <v xml:space="preserve"> </v>
      </c>
      <c r="B4634" s="106">
        <f>COPY!AR4626</f>
        <v>0</v>
      </c>
      <c r="C4634" s="107">
        <f>COPY!AC4626</f>
        <v>0</v>
      </c>
      <c r="D4634" s="107" t="str">
        <f>IF(LEN(Table1722[[#This Row],[Uraian]])&gt;2,1," ")</f>
        <v xml:space="preserve"> </v>
      </c>
      <c r="E4634" s="113" t="str">
        <f>IF(Table1722[[#This Row],[Lawan Transaksi]]="CV AGUNG KARYA",COUNTIF($I$10:I4634,"CV AGUNG KARYA")," ")</f>
        <v xml:space="preserve"> </v>
      </c>
      <c r="F4634" s="107" t="str">
        <f>IF(LEN(Table1722[[#This Row],[Uraian]])&gt;2,TRIM(RIGHT(SUBSTITUTE(TRIM(C4634)," ",REPT(" ",255)),255))," ")</f>
        <v xml:space="preserve"> </v>
      </c>
      <c r="G4634" s="110">
        <f>COPY!Z4626</f>
        <v>0</v>
      </c>
      <c r="H4634" s="111" t="str">
        <f>IFERROR(VLOOKUP(Table1722[[#This Row],[Bukti]],'Un nOTA'!$A$4:$K$5003,10,FALSE),"")</f>
        <v/>
      </c>
      <c r="I4634" s="123" t="str">
        <f>IFERROR(VLOOKUP(Table1722[[#This Row],[Bukti]],Table13[#Data],11,FALSE),"")</f>
        <v/>
      </c>
    </row>
    <row r="4635" spans="1:9" hidden="1" x14ac:dyDescent="0.2">
      <c r="A4635" s="105" t="str">
        <f>IF(D4635=1,COUNTIF($D$10:D4635,1)," ")</f>
        <v xml:space="preserve"> </v>
      </c>
      <c r="B4635" s="106">
        <f>COPY!AR4627</f>
        <v>0</v>
      </c>
      <c r="C4635" s="107">
        <f>COPY!AC4627</f>
        <v>0</v>
      </c>
      <c r="D4635" s="107" t="str">
        <f>IF(LEN(Table1722[[#This Row],[Uraian]])&gt;2,1," ")</f>
        <v xml:space="preserve"> </v>
      </c>
      <c r="E4635" s="113" t="str">
        <f>IF(Table1722[[#This Row],[Lawan Transaksi]]="CV AGUNG KARYA",COUNTIF($I$10:I4635,"CV AGUNG KARYA")," ")</f>
        <v xml:space="preserve"> </v>
      </c>
      <c r="F4635" s="107" t="str">
        <f>IF(LEN(Table1722[[#This Row],[Uraian]])&gt;2,TRIM(RIGHT(SUBSTITUTE(TRIM(C4635)," ",REPT(" ",255)),255))," ")</f>
        <v xml:space="preserve"> </v>
      </c>
      <c r="G4635" s="110">
        <f>COPY!Z4627</f>
        <v>0</v>
      </c>
      <c r="H4635" s="111" t="str">
        <f>IFERROR(VLOOKUP(Table1722[[#This Row],[Bukti]],'Un nOTA'!$A$4:$K$5003,10,FALSE),"")</f>
        <v/>
      </c>
      <c r="I4635" s="123" t="str">
        <f>IFERROR(VLOOKUP(Table1722[[#This Row],[Bukti]],Table13[#Data],11,FALSE),"")</f>
        <v/>
      </c>
    </row>
    <row r="4636" spans="1:9" hidden="1" x14ac:dyDescent="0.2">
      <c r="A4636" s="105" t="str">
        <f>IF(D4636=1,COUNTIF($D$10:D4636,1)," ")</f>
        <v xml:space="preserve"> </v>
      </c>
      <c r="B4636" s="106">
        <f>COPY!AR4628</f>
        <v>0</v>
      </c>
      <c r="C4636" s="107">
        <f>COPY!AC4628</f>
        <v>0</v>
      </c>
      <c r="D4636" s="107" t="str">
        <f>IF(LEN(Table1722[[#This Row],[Uraian]])&gt;2,1," ")</f>
        <v xml:space="preserve"> </v>
      </c>
      <c r="E4636" s="113" t="str">
        <f>IF(Table1722[[#This Row],[Lawan Transaksi]]="CV AGUNG KARYA",COUNTIF($I$10:I4636,"CV AGUNG KARYA")," ")</f>
        <v xml:space="preserve"> </v>
      </c>
      <c r="F4636" s="107" t="str">
        <f>IF(LEN(Table1722[[#This Row],[Uraian]])&gt;2,TRIM(RIGHT(SUBSTITUTE(TRIM(C4636)," ",REPT(" ",255)),255))," ")</f>
        <v xml:space="preserve"> </v>
      </c>
      <c r="G4636" s="110">
        <f>COPY!Z4628</f>
        <v>0</v>
      </c>
      <c r="H4636" s="111" t="str">
        <f>IFERROR(VLOOKUP(Table1722[[#This Row],[Bukti]],'Un nOTA'!$A$4:$K$5003,10,FALSE),"")</f>
        <v/>
      </c>
      <c r="I4636" s="123" t="str">
        <f>IFERROR(VLOOKUP(Table1722[[#This Row],[Bukti]],Table13[#Data],11,FALSE),"")</f>
        <v/>
      </c>
    </row>
    <row r="4637" spans="1:9" hidden="1" x14ac:dyDescent="0.2">
      <c r="A4637" s="105" t="str">
        <f>IF(D4637=1,COUNTIF($D$10:D4637,1)," ")</f>
        <v xml:space="preserve"> </v>
      </c>
      <c r="B4637" s="106">
        <f>COPY!AR4629</f>
        <v>0</v>
      </c>
      <c r="C4637" s="107">
        <f>COPY!AC4629</f>
        <v>0</v>
      </c>
      <c r="D4637" s="107" t="str">
        <f>IF(LEN(Table1722[[#This Row],[Uraian]])&gt;2,1," ")</f>
        <v xml:space="preserve"> </v>
      </c>
      <c r="E4637" s="113" t="str">
        <f>IF(Table1722[[#This Row],[Lawan Transaksi]]="CV AGUNG KARYA",COUNTIF($I$10:I4637,"CV AGUNG KARYA")," ")</f>
        <v xml:space="preserve"> </v>
      </c>
      <c r="F4637" s="107" t="str">
        <f>IF(LEN(Table1722[[#This Row],[Uraian]])&gt;2,TRIM(RIGHT(SUBSTITUTE(TRIM(C4637)," ",REPT(" ",255)),255))," ")</f>
        <v xml:space="preserve"> </v>
      </c>
      <c r="G4637" s="110">
        <f>COPY!Z4629</f>
        <v>0</v>
      </c>
      <c r="H4637" s="111" t="str">
        <f>IFERROR(VLOOKUP(Table1722[[#This Row],[Bukti]],'Un nOTA'!$A$4:$K$5003,10,FALSE),"")</f>
        <v/>
      </c>
      <c r="I4637" s="123" t="str">
        <f>IFERROR(VLOOKUP(Table1722[[#This Row],[Bukti]],Table13[#Data],11,FALSE),"")</f>
        <v/>
      </c>
    </row>
    <row r="4638" spans="1:9" hidden="1" x14ac:dyDescent="0.2">
      <c r="A4638" s="105" t="str">
        <f>IF(D4638=1,COUNTIF($D$10:D4638,1)," ")</f>
        <v xml:space="preserve"> </v>
      </c>
      <c r="B4638" s="106">
        <f>COPY!AR4630</f>
        <v>0</v>
      </c>
      <c r="C4638" s="107">
        <f>COPY!AC4630</f>
        <v>0</v>
      </c>
      <c r="D4638" s="107" t="str">
        <f>IF(LEN(Table1722[[#This Row],[Uraian]])&gt;2,1," ")</f>
        <v xml:space="preserve"> </v>
      </c>
      <c r="E4638" s="113" t="str">
        <f>IF(Table1722[[#This Row],[Lawan Transaksi]]="CV AGUNG KARYA",COUNTIF($I$10:I4638,"CV AGUNG KARYA")," ")</f>
        <v xml:space="preserve"> </v>
      </c>
      <c r="F4638" s="107" t="str">
        <f>IF(LEN(Table1722[[#This Row],[Uraian]])&gt;2,TRIM(RIGHT(SUBSTITUTE(TRIM(C4638)," ",REPT(" ",255)),255))," ")</f>
        <v xml:space="preserve"> </v>
      </c>
      <c r="G4638" s="110">
        <f>COPY!Z4630</f>
        <v>0</v>
      </c>
      <c r="H4638" s="111" t="str">
        <f>IFERROR(VLOOKUP(Table1722[[#This Row],[Bukti]],'Un nOTA'!$A$4:$K$5003,10,FALSE),"")</f>
        <v/>
      </c>
      <c r="I4638" s="123" t="str">
        <f>IFERROR(VLOOKUP(Table1722[[#This Row],[Bukti]],Table13[#Data],11,FALSE),"")</f>
        <v/>
      </c>
    </row>
    <row r="4639" spans="1:9" hidden="1" x14ac:dyDescent="0.2">
      <c r="A4639" s="105" t="str">
        <f>IF(D4639=1,COUNTIF($D$10:D4639,1)," ")</f>
        <v xml:space="preserve"> </v>
      </c>
      <c r="B4639" s="106">
        <f>COPY!AR4631</f>
        <v>0</v>
      </c>
      <c r="C4639" s="107">
        <f>COPY!AC4631</f>
        <v>0</v>
      </c>
      <c r="D4639" s="107" t="str">
        <f>IF(LEN(Table1722[[#This Row],[Uraian]])&gt;2,1," ")</f>
        <v xml:space="preserve"> </v>
      </c>
      <c r="E4639" s="113" t="str">
        <f>IF(Table1722[[#This Row],[Lawan Transaksi]]="CV AGUNG KARYA",COUNTIF($I$10:I4639,"CV AGUNG KARYA")," ")</f>
        <v xml:space="preserve"> </v>
      </c>
      <c r="F4639" s="107" t="str">
        <f>IF(LEN(Table1722[[#This Row],[Uraian]])&gt;2,TRIM(RIGHT(SUBSTITUTE(TRIM(C4639)," ",REPT(" ",255)),255))," ")</f>
        <v xml:space="preserve"> </v>
      </c>
      <c r="G4639" s="110">
        <f>COPY!Z4631</f>
        <v>0</v>
      </c>
      <c r="H4639" s="111" t="str">
        <f>IFERROR(VLOOKUP(Table1722[[#This Row],[Bukti]],'Un nOTA'!$A$4:$K$5003,10,FALSE),"")</f>
        <v/>
      </c>
      <c r="I4639" s="123" t="str">
        <f>IFERROR(VLOOKUP(Table1722[[#This Row],[Bukti]],Table13[#Data],11,FALSE),"")</f>
        <v/>
      </c>
    </row>
    <row r="4640" spans="1:9" hidden="1" x14ac:dyDescent="0.2">
      <c r="A4640" s="105" t="str">
        <f>IF(D4640=1,COUNTIF($D$10:D4640,1)," ")</f>
        <v xml:space="preserve"> </v>
      </c>
      <c r="B4640" s="106">
        <f>COPY!AR4632</f>
        <v>0</v>
      </c>
      <c r="C4640" s="107">
        <f>COPY!AC4632</f>
        <v>0</v>
      </c>
      <c r="D4640" s="107" t="str">
        <f>IF(LEN(Table1722[[#This Row],[Uraian]])&gt;2,1," ")</f>
        <v xml:space="preserve"> </v>
      </c>
      <c r="E4640" s="113" t="str">
        <f>IF(Table1722[[#This Row],[Lawan Transaksi]]="CV AGUNG KARYA",COUNTIF($I$10:I4640,"CV AGUNG KARYA")," ")</f>
        <v xml:space="preserve"> </v>
      </c>
      <c r="F4640" s="107" t="str">
        <f>IF(LEN(Table1722[[#This Row],[Uraian]])&gt;2,TRIM(RIGHT(SUBSTITUTE(TRIM(C4640)," ",REPT(" ",255)),255))," ")</f>
        <v xml:space="preserve"> </v>
      </c>
      <c r="G4640" s="110">
        <f>COPY!Z4632</f>
        <v>0</v>
      </c>
      <c r="H4640" s="111" t="str">
        <f>IFERROR(VLOOKUP(Table1722[[#This Row],[Bukti]],'Un nOTA'!$A$4:$K$5003,10,FALSE),"")</f>
        <v/>
      </c>
      <c r="I4640" s="123" t="str">
        <f>IFERROR(VLOOKUP(Table1722[[#This Row],[Bukti]],Table13[#Data],11,FALSE),"")</f>
        <v/>
      </c>
    </row>
    <row r="4641" spans="1:9" hidden="1" x14ac:dyDescent="0.2">
      <c r="A4641" s="105" t="str">
        <f>IF(D4641=1,COUNTIF($D$10:D4641,1)," ")</f>
        <v xml:space="preserve"> </v>
      </c>
      <c r="B4641" s="106">
        <f>COPY!AR4633</f>
        <v>0</v>
      </c>
      <c r="C4641" s="107">
        <f>COPY!AC4633</f>
        <v>0</v>
      </c>
      <c r="D4641" s="107" t="str">
        <f>IF(LEN(Table1722[[#This Row],[Uraian]])&gt;2,1," ")</f>
        <v xml:space="preserve"> </v>
      </c>
      <c r="E4641" s="113" t="str">
        <f>IF(Table1722[[#This Row],[Lawan Transaksi]]="CV AGUNG KARYA",COUNTIF($I$10:I4641,"CV AGUNG KARYA")," ")</f>
        <v xml:space="preserve"> </v>
      </c>
      <c r="F4641" s="107" t="str">
        <f>IF(LEN(Table1722[[#This Row],[Uraian]])&gt;2,TRIM(RIGHT(SUBSTITUTE(TRIM(C4641)," ",REPT(" ",255)),255))," ")</f>
        <v xml:space="preserve"> </v>
      </c>
      <c r="G4641" s="110">
        <f>COPY!Z4633</f>
        <v>0</v>
      </c>
      <c r="H4641" s="111" t="str">
        <f>IFERROR(VLOOKUP(Table1722[[#This Row],[Bukti]],'Un nOTA'!$A$4:$K$5003,10,FALSE),"")</f>
        <v/>
      </c>
      <c r="I4641" s="123" t="str">
        <f>IFERROR(VLOOKUP(Table1722[[#This Row],[Bukti]],Table13[#Data],11,FALSE),"")</f>
        <v/>
      </c>
    </row>
    <row r="4642" spans="1:9" hidden="1" x14ac:dyDescent="0.2">
      <c r="A4642" s="105" t="str">
        <f>IF(D4642=1,COUNTIF($D$10:D4642,1)," ")</f>
        <v xml:space="preserve"> </v>
      </c>
      <c r="B4642" s="106">
        <f>COPY!AR4634</f>
        <v>0</v>
      </c>
      <c r="C4642" s="107">
        <f>COPY!AC4634</f>
        <v>0</v>
      </c>
      <c r="D4642" s="107" t="str">
        <f>IF(LEN(Table1722[[#This Row],[Uraian]])&gt;2,1," ")</f>
        <v xml:space="preserve"> </v>
      </c>
      <c r="E4642" s="113" t="str">
        <f>IF(Table1722[[#This Row],[Lawan Transaksi]]="CV AGUNG KARYA",COUNTIF($I$10:I4642,"CV AGUNG KARYA")," ")</f>
        <v xml:space="preserve"> </v>
      </c>
      <c r="F4642" s="107" t="str">
        <f>IF(LEN(Table1722[[#This Row],[Uraian]])&gt;2,TRIM(RIGHT(SUBSTITUTE(TRIM(C4642)," ",REPT(" ",255)),255))," ")</f>
        <v xml:space="preserve"> </v>
      </c>
      <c r="G4642" s="110">
        <f>COPY!Z4634</f>
        <v>0</v>
      </c>
      <c r="H4642" s="111" t="str">
        <f>IFERROR(VLOOKUP(Table1722[[#This Row],[Bukti]],'Un nOTA'!$A$4:$K$5003,10,FALSE),"")</f>
        <v/>
      </c>
      <c r="I4642" s="123" t="str">
        <f>IFERROR(VLOOKUP(Table1722[[#This Row],[Bukti]],Table13[#Data],11,FALSE),"")</f>
        <v/>
      </c>
    </row>
    <row r="4643" spans="1:9" hidden="1" x14ac:dyDescent="0.2">
      <c r="A4643" s="105" t="str">
        <f>IF(D4643=1,COUNTIF($D$10:D4643,1)," ")</f>
        <v xml:space="preserve"> </v>
      </c>
      <c r="B4643" s="106">
        <f>COPY!AR4635</f>
        <v>0</v>
      </c>
      <c r="C4643" s="107">
        <f>COPY!AC4635</f>
        <v>0</v>
      </c>
      <c r="D4643" s="107" t="str">
        <f>IF(LEN(Table1722[[#This Row],[Uraian]])&gt;2,1," ")</f>
        <v xml:space="preserve"> </v>
      </c>
      <c r="E4643" s="113" t="str">
        <f>IF(Table1722[[#This Row],[Lawan Transaksi]]="CV AGUNG KARYA",COUNTIF($I$10:I4643,"CV AGUNG KARYA")," ")</f>
        <v xml:space="preserve"> </v>
      </c>
      <c r="F4643" s="107" t="str">
        <f>IF(LEN(Table1722[[#This Row],[Uraian]])&gt;2,TRIM(RIGHT(SUBSTITUTE(TRIM(C4643)," ",REPT(" ",255)),255))," ")</f>
        <v xml:space="preserve"> </v>
      </c>
      <c r="G4643" s="110">
        <f>COPY!Z4635</f>
        <v>0</v>
      </c>
      <c r="H4643" s="111" t="str">
        <f>IFERROR(VLOOKUP(Table1722[[#This Row],[Bukti]],'Un nOTA'!$A$4:$K$5003,10,FALSE),"")</f>
        <v/>
      </c>
      <c r="I4643" s="123" t="str">
        <f>IFERROR(VLOOKUP(Table1722[[#This Row],[Bukti]],Table13[#Data],11,FALSE),"")</f>
        <v/>
      </c>
    </row>
    <row r="4644" spans="1:9" hidden="1" x14ac:dyDescent="0.2">
      <c r="A4644" s="105" t="str">
        <f>IF(D4644=1,COUNTIF($D$10:D4644,1)," ")</f>
        <v xml:space="preserve"> </v>
      </c>
      <c r="B4644" s="106">
        <f>COPY!AR4636</f>
        <v>0</v>
      </c>
      <c r="C4644" s="107">
        <f>COPY!AC4636</f>
        <v>0</v>
      </c>
      <c r="D4644" s="107" t="str">
        <f>IF(LEN(Table1722[[#This Row],[Uraian]])&gt;2,1," ")</f>
        <v xml:space="preserve"> </v>
      </c>
      <c r="E4644" s="113" t="str">
        <f>IF(Table1722[[#This Row],[Lawan Transaksi]]="CV AGUNG KARYA",COUNTIF($I$10:I4644,"CV AGUNG KARYA")," ")</f>
        <v xml:space="preserve"> </v>
      </c>
      <c r="F4644" s="107" t="str">
        <f>IF(LEN(Table1722[[#This Row],[Uraian]])&gt;2,TRIM(RIGHT(SUBSTITUTE(TRIM(C4644)," ",REPT(" ",255)),255))," ")</f>
        <v xml:space="preserve"> </v>
      </c>
      <c r="G4644" s="110">
        <f>COPY!Z4636</f>
        <v>0</v>
      </c>
      <c r="H4644" s="111" t="str">
        <f>IFERROR(VLOOKUP(Table1722[[#This Row],[Bukti]],'Un nOTA'!$A$4:$K$5003,10,FALSE),"")</f>
        <v/>
      </c>
      <c r="I4644" s="123" t="str">
        <f>IFERROR(VLOOKUP(Table1722[[#This Row],[Bukti]],Table13[#Data],11,FALSE),"")</f>
        <v/>
      </c>
    </row>
    <row r="4645" spans="1:9" hidden="1" x14ac:dyDescent="0.2">
      <c r="A4645" s="105" t="str">
        <f>IF(D4645=1,COUNTIF($D$10:D4645,1)," ")</f>
        <v xml:space="preserve"> </v>
      </c>
      <c r="B4645" s="106">
        <f>COPY!AR4637</f>
        <v>0</v>
      </c>
      <c r="C4645" s="107">
        <f>COPY!AC4637</f>
        <v>0</v>
      </c>
      <c r="D4645" s="107" t="str">
        <f>IF(LEN(Table1722[[#This Row],[Uraian]])&gt;2,1," ")</f>
        <v xml:space="preserve"> </v>
      </c>
      <c r="E4645" s="113" t="str">
        <f>IF(Table1722[[#This Row],[Lawan Transaksi]]="CV AGUNG KARYA",COUNTIF($I$10:I4645,"CV AGUNG KARYA")," ")</f>
        <v xml:space="preserve"> </v>
      </c>
      <c r="F4645" s="107" t="str">
        <f>IF(LEN(Table1722[[#This Row],[Uraian]])&gt;2,TRIM(RIGHT(SUBSTITUTE(TRIM(C4645)," ",REPT(" ",255)),255))," ")</f>
        <v xml:space="preserve"> </v>
      </c>
      <c r="G4645" s="110">
        <f>COPY!Z4637</f>
        <v>0</v>
      </c>
      <c r="H4645" s="111" t="str">
        <f>IFERROR(VLOOKUP(Table1722[[#This Row],[Bukti]],'Un nOTA'!$A$4:$K$5003,10,FALSE),"")</f>
        <v/>
      </c>
      <c r="I4645" s="123" t="str">
        <f>IFERROR(VLOOKUP(Table1722[[#This Row],[Bukti]],Table13[#Data],11,FALSE),"")</f>
        <v/>
      </c>
    </row>
    <row r="4646" spans="1:9" hidden="1" x14ac:dyDescent="0.2">
      <c r="A4646" s="105" t="str">
        <f>IF(D4646=1,COUNTIF($D$10:D4646,1)," ")</f>
        <v xml:space="preserve"> </v>
      </c>
      <c r="B4646" s="106">
        <f>COPY!AR4638</f>
        <v>0</v>
      </c>
      <c r="C4646" s="107">
        <f>COPY!AC4638</f>
        <v>0</v>
      </c>
      <c r="D4646" s="107" t="str">
        <f>IF(LEN(Table1722[[#This Row],[Uraian]])&gt;2,1," ")</f>
        <v xml:space="preserve"> </v>
      </c>
      <c r="E4646" s="113" t="str">
        <f>IF(Table1722[[#This Row],[Lawan Transaksi]]="CV AGUNG KARYA",COUNTIF($I$10:I4646,"CV AGUNG KARYA")," ")</f>
        <v xml:space="preserve"> </v>
      </c>
      <c r="F4646" s="107" t="str">
        <f>IF(LEN(Table1722[[#This Row],[Uraian]])&gt;2,TRIM(RIGHT(SUBSTITUTE(TRIM(C4646)," ",REPT(" ",255)),255))," ")</f>
        <v xml:space="preserve"> </v>
      </c>
      <c r="G4646" s="110">
        <f>COPY!Z4638</f>
        <v>0</v>
      </c>
      <c r="H4646" s="111" t="str">
        <f>IFERROR(VLOOKUP(Table1722[[#This Row],[Bukti]],'Un nOTA'!$A$4:$K$5003,10,FALSE),"")</f>
        <v/>
      </c>
      <c r="I4646" s="123" t="str">
        <f>IFERROR(VLOOKUP(Table1722[[#This Row],[Bukti]],Table13[#Data],11,FALSE),"")</f>
        <v/>
      </c>
    </row>
    <row r="4647" spans="1:9" hidden="1" x14ac:dyDescent="0.2">
      <c r="A4647" s="105" t="str">
        <f>IF(D4647=1,COUNTIF($D$10:D4647,1)," ")</f>
        <v xml:space="preserve"> </v>
      </c>
      <c r="B4647" s="106">
        <f>COPY!AR4639</f>
        <v>0</v>
      </c>
      <c r="C4647" s="107">
        <f>COPY!AC4639</f>
        <v>0</v>
      </c>
      <c r="D4647" s="107" t="str">
        <f>IF(LEN(Table1722[[#This Row],[Uraian]])&gt;2,1," ")</f>
        <v xml:space="preserve"> </v>
      </c>
      <c r="E4647" s="113" t="str">
        <f>IF(Table1722[[#This Row],[Lawan Transaksi]]="CV AGUNG KARYA",COUNTIF($I$10:I4647,"CV AGUNG KARYA")," ")</f>
        <v xml:space="preserve"> </v>
      </c>
      <c r="F4647" s="107" t="str">
        <f>IF(LEN(Table1722[[#This Row],[Uraian]])&gt;2,TRIM(RIGHT(SUBSTITUTE(TRIM(C4647)," ",REPT(" ",255)),255))," ")</f>
        <v xml:space="preserve"> </v>
      </c>
      <c r="G4647" s="110">
        <f>COPY!Z4639</f>
        <v>0</v>
      </c>
      <c r="H4647" s="111" t="str">
        <f>IFERROR(VLOOKUP(Table1722[[#This Row],[Bukti]],'Un nOTA'!$A$4:$K$5003,10,FALSE),"")</f>
        <v/>
      </c>
      <c r="I4647" s="123" t="str">
        <f>IFERROR(VLOOKUP(Table1722[[#This Row],[Bukti]],Table13[#Data],11,FALSE),"")</f>
        <v/>
      </c>
    </row>
    <row r="4648" spans="1:9" hidden="1" x14ac:dyDescent="0.2">
      <c r="A4648" s="105" t="str">
        <f>IF(D4648=1,COUNTIF($D$10:D4648,1)," ")</f>
        <v xml:space="preserve"> </v>
      </c>
      <c r="B4648" s="106">
        <f>COPY!AR4640</f>
        <v>0</v>
      </c>
      <c r="C4648" s="107">
        <f>COPY!AC4640</f>
        <v>0</v>
      </c>
      <c r="D4648" s="107" t="str">
        <f>IF(LEN(Table1722[[#This Row],[Uraian]])&gt;2,1," ")</f>
        <v xml:space="preserve"> </v>
      </c>
      <c r="E4648" s="113" t="str">
        <f>IF(Table1722[[#This Row],[Lawan Transaksi]]="CV AGUNG KARYA",COUNTIF($I$10:I4648,"CV AGUNG KARYA")," ")</f>
        <v xml:space="preserve"> </v>
      </c>
      <c r="F4648" s="107" t="str">
        <f>IF(LEN(Table1722[[#This Row],[Uraian]])&gt;2,TRIM(RIGHT(SUBSTITUTE(TRIM(C4648)," ",REPT(" ",255)),255))," ")</f>
        <v xml:space="preserve"> </v>
      </c>
      <c r="G4648" s="110">
        <f>COPY!Z4640</f>
        <v>0</v>
      </c>
      <c r="H4648" s="111" t="str">
        <f>IFERROR(VLOOKUP(Table1722[[#This Row],[Bukti]],'Un nOTA'!$A$4:$K$5003,10,FALSE),"")</f>
        <v/>
      </c>
      <c r="I4648" s="123" t="str">
        <f>IFERROR(VLOOKUP(Table1722[[#This Row],[Bukti]],Table13[#Data],11,FALSE),"")</f>
        <v/>
      </c>
    </row>
    <row r="4649" spans="1:9" hidden="1" x14ac:dyDescent="0.2">
      <c r="A4649" s="105" t="str">
        <f>IF(D4649=1,COUNTIF($D$10:D4649,1)," ")</f>
        <v xml:space="preserve"> </v>
      </c>
      <c r="B4649" s="106">
        <f>COPY!AR4641</f>
        <v>0</v>
      </c>
      <c r="C4649" s="107">
        <f>COPY!AC4641</f>
        <v>0</v>
      </c>
      <c r="D4649" s="107" t="str">
        <f>IF(LEN(Table1722[[#This Row],[Uraian]])&gt;2,1," ")</f>
        <v xml:space="preserve"> </v>
      </c>
      <c r="E4649" s="113" t="str">
        <f>IF(Table1722[[#This Row],[Lawan Transaksi]]="CV AGUNG KARYA",COUNTIF($I$10:I4649,"CV AGUNG KARYA")," ")</f>
        <v xml:space="preserve"> </v>
      </c>
      <c r="F4649" s="107" t="str">
        <f>IF(LEN(Table1722[[#This Row],[Uraian]])&gt;2,TRIM(RIGHT(SUBSTITUTE(TRIM(C4649)," ",REPT(" ",255)),255))," ")</f>
        <v xml:space="preserve"> </v>
      </c>
      <c r="G4649" s="110">
        <f>COPY!Z4641</f>
        <v>0</v>
      </c>
      <c r="H4649" s="111" t="str">
        <f>IFERROR(VLOOKUP(Table1722[[#This Row],[Bukti]],'Un nOTA'!$A$4:$K$5003,10,FALSE),"")</f>
        <v/>
      </c>
      <c r="I4649" s="123" t="str">
        <f>IFERROR(VLOOKUP(Table1722[[#This Row],[Bukti]],Table13[#Data],11,FALSE),"")</f>
        <v/>
      </c>
    </row>
    <row r="4650" spans="1:9" hidden="1" x14ac:dyDescent="0.2">
      <c r="A4650" s="105" t="str">
        <f>IF(D4650=1,COUNTIF($D$10:D4650,1)," ")</f>
        <v xml:space="preserve"> </v>
      </c>
      <c r="B4650" s="106">
        <f>COPY!AR4642</f>
        <v>0</v>
      </c>
      <c r="C4650" s="107">
        <f>COPY!AC4642</f>
        <v>0</v>
      </c>
      <c r="D4650" s="107" t="str">
        <f>IF(LEN(Table1722[[#This Row],[Uraian]])&gt;2,1," ")</f>
        <v xml:space="preserve"> </v>
      </c>
      <c r="E4650" s="113" t="str">
        <f>IF(Table1722[[#This Row],[Lawan Transaksi]]="CV AGUNG KARYA",COUNTIF($I$10:I4650,"CV AGUNG KARYA")," ")</f>
        <v xml:space="preserve"> </v>
      </c>
      <c r="F4650" s="107" t="str">
        <f>IF(LEN(Table1722[[#This Row],[Uraian]])&gt;2,TRIM(RIGHT(SUBSTITUTE(TRIM(C4650)," ",REPT(" ",255)),255))," ")</f>
        <v xml:space="preserve"> </v>
      </c>
      <c r="G4650" s="110">
        <f>COPY!Z4642</f>
        <v>0</v>
      </c>
      <c r="H4650" s="111" t="str">
        <f>IFERROR(VLOOKUP(Table1722[[#This Row],[Bukti]],'Un nOTA'!$A$4:$K$5003,10,FALSE),"")</f>
        <v/>
      </c>
      <c r="I4650" s="123" t="str">
        <f>IFERROR(VLOOKUP(Table1722[[#This Row],[Bukti]],Table13[#Data],11,FALSE),"")</f>
        <v/>
      </c>
    </row>
    <row r="4651" spans="1:9" hidden="1" x14ac:dyDescent="0.2">
      <c r="A4651" s="105" t="str">
        <f>IF(D4651=1,COUNTIF($D$10:D4651,1)," ")</f>
        <v xml:space="preserve"> </v>
      </c>
      <c r="B4651" s="106">
        <f>COPY!AR4643</f>
        <v>0</v>
      </c>
      <c r="C4651" s="107">
        <f>COPY!AC4643</f>
        <v>0</v>
      </c>
      <c r="D4651" s="107" t="str">
        <f>IF(LEN(Table1722[[#This Row],[Uraian]])&gt;2,1," ")</f>
        <v xml:space="preserve"> </v>
      </c>
      <c r="E4651" s="113" t="str">
        <f>IF(Table1722[[#This Row],[Lawan Transaksi]]="CV AGUNG KARYA",COUNTIF($I$10:I4651,"CV AGUNG KARYA")," ")</f>
        <v xml:space="preserve"> </v>
      </c>
      <c r="F4651" s="107" t="str">
        <f>IF(LEN(Table1722[[#This Row],[Uraian]])&gt;2,TRIM(RIGHT(SUBSTITUTE(TRIM(C4651)," ",REPT(" ",255)),255))," ")</f>
        <v xml:space="preserve"> </v>
      </c>
      <c r="G4651" s="110">
        <f>COPY!Z4643</f>
        <v>0</v>
      </c>
      <c r="H4651" s="111" t="str">
        <f>IFERROR(VLOOKUP(Table1722[[#This Row],[Bukti]],'Un nOTA'!$A$4:$K$5003,10,FALSE),"")</f>
        <v/>
      </c>
      <c r="I4651" s="123" t="str">
        <f>IFERROR(VLOOKUP(Table1722[[#This Row],[Bukti]],Table13[#Data],11,FALSE),"")</f>
        <v/>
      </c>
    </row>
    <row r="4652" spans="1:9" hidden="1" x14ac:dyDescent="0.2">
      <c r="A4652" s="105" t="str">
        <f>IF(D4652=1,COUNTIF($D$10:D4652,1)," ")</f>
        <v xml:space="preserve"> </v>
      </c>
      <c r="B4652" s="106">
        <f>COPY!AR4644</f>
        <v>0</v>
      </c>
      <c r="C4652" s="107">
        <f>COPY!AC4644</f>
        <v>0</v>
      </c>
      <c r="D4652" s="107" t="str">
        <f>IF(LEN(Table1722[[#This Row],[Uraian]])&gt;2,1," ")</f>
        <v xml:space="preserve"> </v>
      </c>
      <c r="E4652" s="113" t="str">
        <f>IF(Table1722[[#This Row],[Lawan Transaksi]]="CV AGUNG KARYA",COUNTIF($I$10:I4652,"CV AGUNG KARYA")," ")</f>
        <v xml:space="preserve"> </v>
      </c>
      <c r="F4652" s="107" t="str">
        <f>IF(LEN(Table1722[[#This Row],[Uraian]])&gt;2,TRIM(RIGHT(SUBSTITUTE(TRIM(C4652)," ",REPT(" ",255)),255))," ")</f>
        <v xml:space="preserve"> </v>
      </c>
      <c r="G4652" s="110">
        <f>COPY!Z4644</f>
        <v>0</v>
      </c>
      <c r="H4652" s="111" t="str">
        <f>IFERROR(VLOOKUP(Table1722[[#This Row],[Bukti]],'Un nOTA'!$A$4:$K$5003,10,FALSE),"")</f>
        <v/>
      </c>
      <c r="I4652" s="123" t="str">
        <f>IFERROR(VLOOKUP(Table1722[[#This Row],[Bukti]],Table13[#Data],11,FALSE),"")</f>
        <v/>
      </c>
    </row>
    <row r="4653" spans="1:9" hidden="1" x14ac:dyDescent="0.2">
      <c r="A4653" s="105" t="str">
        <f>IF(D4653=1,COUNTIF($D$10:D4653,1)," ")</f>
        <v xml:space="preserve"> </v>
      </c>
      <c r="B4653" s="106">
        <f>COPY!AR4645</f>
        <v>0</v>
      </c>
      <c r="C4653" s="107">
        <f>COPY!AC4645</f>
        <v>0</v>
      </c>
      <c r="D4653" s="107" t="str">
        <f>IF(LEN(Table1722[[#This Row],[Uraian]])&gt;2,1," ")</f>
        <v xml:space="preserve"> </v>
      </c>
      <c r="E4653" s="113" t="str">
        <f>IF(Table1722[[#This Row],[Lawan Transaksi]]="CV AGUNG KARYA",COUNTIF($I$10:I4653,"CV AGUNG KARYA")," ")</f>
        <v xml:space="preserve"> </v>
      </c>
      <c r="F4653" s="107" t="str">
        <f>IF(LEN(Table1722[[#This Row],[Uraian]])&gt;2,TRIM(RIGHT(SUBSTITUTE(TRIM(C4653)," ",REPT(" ",255)),255))," ")</f>
        <v xml:space="preserve"> </v>
      </c>
      <c r="G4653" s="110">
        <f>COPY!Z4645</f>
        <v>0</v>
      </c>
      <c r="H4653" s="111" t="str">
        <f>IFERROR(VLOOKUP(Table1722[[#This Row],[Bukti]],'Un nOTA'!$A$4:$K$5003,10,FALSE),"")</f>
        <v/>
      </c>
      <c r="I4653" s="123" t="str">
        <f>IFERROR(VLOOKUP(Table1722[[#This Row],[Bukti]],Table13[#Data],11,FALSE),"")</f>
        <v/>
      </c>
    </row>
    <row r="4654" spans="1:9" hidden="1" x14ac:dyDescent="0.2">
      <c r="A4654" s="105" t="str">
        <f>IF(D4654=1,COUNTIF($D$10:D4654,1)," ")</f>
        <v xml:space="preserve"> </v>
      </c>
      <c r="B4654" s="106">
        <f>COPY!AR4646</f>
        <v>0</v>
      </c>
      <c r="C4654" s="107">
        <f>COPY!AC4646</f>
        <v>0</v>
      </c>
      <c r="D4654" s="107" t="str">
        <f>IF(LEN(Table1722[[#This Row],[Uraian]])&gt;2,1," ")</f>
        <v xml:space="preserve"> </v>
      </c>
      <c r="E4654" s="113" t="str">
        <f>IF(Table1722[[#This Row],[Lawan Transaksi]]="CV AGUNG KARYA",COUNTIF($I$10:I4654,"CV AGUNG KARYA")," ")</f>
        <v xml:space="preserve"> </v>
      </c>
      <c r="F4654" s="107" t="str">
        <f>IF(LEN(Table1722[[#This Row],[Uraian]])&gt;2,TRIM(RIGHT(SUBSTITUTE(TRIM(C4654)," ",REPT(" ",255)),255))," ")</f>
        <v xml:space="preserve"> </v>
      </c>
      <c r="G4654" s="110">
        <f>COPY!Z4646</f>
        <v>0</v>
      </c>
      <c r="H4654" s="111" t="str">
        <f>IFERROR(VLOOKUP(Table1722[[#This Row],[Bukti]],'Un nOTA'!$A$4:$K$5003,10,FALSE),"")</f>
        <v/>
      </c>
      <c r="I4654" s="123" t="str">
        <f>IFERROR(VLOOKUP(Table1722[[#This Row],[Bukti]],Table13[#Data],11,FALSE),"")</f>
        <v/>
      </c>
    </row>
    <row r="4655" spans="1:9" hidden="1" x14ac:dyDescent="0.2">
      <c r="A4655" s="105" t="str">
        <f>IF(D4655=1,COUNTIF($D$10:D4655,1)," ")</f>
        <v xml:space="preserve"> </v>
      </c>
      <c r="B4655" s="106">
        <f>COPY!AR4647</f>
        <v>0</v>
      </c>
      <c r="C4655" s="107">
        <f>COPY!AC4647</f>
        <v>0</v>
      </c>
      <c r="D4655" s="107" t="str">
        <f>IF(LEN(Table1722[[#This Row],[Uraian]])&gt;2,1," ")</f>
        <v xml:space="preserve"> </v>
      </c>
      <c r="E4655" s="113" t="str">
        <f>IF(Table1722[[#This Row],[Lawan Transaksi]]="CV AGUNG KARYA",COUNTIF($I$10:I4655,"CV AGUNG KARYA")," ")</f>
        <v xml:space="preserve"> </v>
      </c>
      <c r="F4655" s="107" t="str">
        <f>IF(LEN(Table1722[[#This Row],[Uraian]])&gt;2,TRIM(RIGHT(SUBSTITUTE(TRIM(C4655)," ",REPT(" ",255)),255))," ")</f>
        <v xml:space="preserve"> </v>
      </c>
      <c r="G4655" s="110">
        <f>COPY!Z4647</f>
        <v>0</v>
      </c>
      <c r="H4655" s="111" t="str">
        <f>IFERROR(VLOOKUP(Table1722[[#This Row],[Bukti]],'Un nOTA'!$A$4:$K$5003,10,FALSE),"")</f>
        <v/>
      </c>
      <c r="I4655" s="123" t="str">
        <f>IFERROR(VLOOKUP(Table1722[[#This Row],[Bukti]],Table13[#Data],11,FALSE),"")</f>
        <v/>
      </c>
    </row>
    <row r="4656" spans="1:9" hidden="1" x14ac:dyDescent="0.2">
      <c r="A4656" s="105" t="str">
        <f>IF(D4656=1,COUNTIF($D$10:D4656,1)," ")</f>
        <v xml:space="preserve"> </v>
      </c>
      <c r="B4656" s="106">
        <f>COPY!AR4648</f>
        <v>0</v>
      </c>
      <c r="C4656" s="107">
        <f>COPY!AC4648</f>
        <v>0</v>
      </c>
      <c r="D4656" s="107" t="str">
        <f>IF(LEN(Table1722[[#This Row],[Uraian]])&gt;2,1," ")</f>
        <v xml:space="preserve"> </v>
      </c>
      <c r="E4656" s="113" t="str">
        <f>IF(Table1722[[#This Row],[Lawan Transaksi]]="CV AGUNG KARYA",COUNTIF($I$10:I4656,"CV AGUNG KARYA")," ")</f>
        <v xml:space="preserve"> </v>
      </c>
      <c r="F4656" s="107" t="str">
        <f>IF(LEN(Table1722[[#This Row],[Uraian]])&gt;2,TRIM(RIGHT(SUBSTITUTE(TRIM(C4656)," ",REPT(" ",255)),255))," ")</f>
        <v xml:space="preserve"> </v>
      </c>
      <c r="G4656" s="110">
        <f>COPY!Z4648</f>
        <v>0</v>
      </c>
      <c r="H4656" s="111" t="str">
        <f>IFERROR(VLOOKUP(Table1722[[#This Row],[Bukti]],'Un nOTA'!$A$4:$K$5003,10,FALSE),"")</f>
        <v/>
      </c>
      <c r="I4656" s="123" t="str">
        <f>IFERROR(VLOOKUP(Table1722[[#This Row],[Bukti]],Table13[#Data],11,FALSE),"")</f>
        <v/>
      </c>
    </row>
    <row r="4657" spans="1:9" hidden="1" x14ac:dyDescent="0.2">
      <c r="A4657" s="105" t="str">
        <f>IF(D4657=1,COUNTIF($D$10:D4657,1)," ")</f>
        <v xml:space="preserve"> </v>
      </c>
      <c r="B4657" s="106">
        <f>COPY!AR4649</f>
        <v>0</v>
      </c>
      <c r="C4657" s="107">
        <f>COPY!AC4649</f>
        <v>0</v>
      </c>
      <c r="D4657" s="107" t="str">
        <f>IF(LEN(Table1722[[#This Row],[Uraian]])&gt;2,1," ")</f>
        <v xml:space="preserve"> </v>
      </c>
      <c r="E4657" s="113" t="str">
        <f>IF(Table1722[[#This Row],[Lawan Transaksi]]="CV AGUNG KARYA",COUNTIF($I$10:I4657,"CV AGUNG KARYA")," ")</f>
        <v xml:space="preserve"> </v>
      </c>
      <c r="F4657" s="107" t="str">
        <f>IF(LEN(Table1722[[#This Row],[Uraian]])&gt;2,TRIM(RIGHT(SUBSTITUTE(TRIM(C4657)," ",REPT(" ",255)),255))," ")</f>
        <v xml:space="preserve"> </v>
      </c>
      <c r="G4657" s="110">
        <f>COPY!Z4649</f>
        <v>0</v>
      </c>
      <c r="H4657" s="111" t="str">
        <f>IFERROR(VLOOKUP(Table1722[[#This Row],[Bukti]],'Un nOTA'!$A$4:$K$5003,10,FALSE),"")</f>
        <v/>
      </c>
      <c r="I4657" s="123" t="str">
        <f>IFERROR(VLOOKUP(Table1722[[#This Row],[Bukti]],Table13[#Data],11,FALSE),"")</f>
        <v/>
      </c>
    </row>
    <row r="4658" spans="1:9" hidden="1" x14ac:dyDescent="0.2">
      <c r="A4658" s="105" t="str">
        <f>IF(D4658=1,COUNTIF($D$10:D4658,1)," ")</f>
        <v xml:space="preserve"> </v>
      </c>
      <c r="B4658" s="106">
        <f>COPY!AR4650</f>
        <v>0</v>
      </c>
      <c r="C4658" s="107">
        <f>COPY!AC4650</f>
        <v>0</v>
      </c>
      <c r="D4658" s="107" t="str">
        <f>IF(LEN(Table1722[[#This Row],[Uraian]])&gt;2,1," ")</f>
        <v xml:space="preserve"> </v>
      </c>
      <c r="E4658" s="113" t="str">
        <f>IF(Table1722[[#This Row],[Lawan Transaksi]]="CV AGUNG KARYA",COUNTIF($I$10:I4658,"CV AGUNG KARYA")," ")</f>
        <v xml:space="preserve"> </v>
      </c>
      <c r="F4658" s="107" t="str">
        <f>IF(LEN(Table1722[[#This Row],[Uraian]])&gt;2,TRIM(RIGHT(SUBSTITUTE(TRIM(C4658)," ",REPT(" ",255)),255))," ")</f>
        <v xml:space="preserve"> </v>
      </c>
      <c r="G4658" s="110">
        <f>COPY!Z4650</f>
        <v>0</v>
      </c>
      <c r="H4658" s="111" t="str">
        <f>IFERROR(VLOOKUP(Table1722[[#This Row],[Bukti]],'Un nOTA'!$A$4:$K$5003,10,FALSE),"")</f>
        <v/>
      </c>
      <c r="I4658" s="123" t="str">
        <f>IFERROR(VLOOKUP(Table1722[[#This Row],[Bukti]],Table13[#Data],11,FALSE),"")</f>
        <v/>
      </c>
    </row>
    <row r="4659" spans="1:9" hidden="1" x14ac:dyDescent="0.2">
      <c r="A4659" s="105" t="str">
        <f>IF(D4659=1,COUNTIF($D$10:D4659,1)," ")</f>
        <v xml:space="preserve"> </v>
      </c>
      <c r="B4659" s="106">
        <f>COPY!AR4651</f>
        <v>0</v>
      </c>
      <c r="C4659" s="107">
        <f>COPY!AC4651</f>
        <v>0</v>
      </c>
      <c r="D4659" s="107" t="str">
        <f>IF(LEN(Table1722[[#This Row],[Uraian]])&gt;2,1," ")</f>
        <v xml:space="preserve"> </v>
      </c>
      <c r="E4659" s="113" t="str">
        <f>IF(Table1722[[#This Row],[Lawan Transaksi]]="CV AGUNG KARYA",COUNTIF($I$10:I4659,"CV AGUNG KARYA")," ")</f>
        <v xml:space="preserve"> </v>
      </c>
      <c r="F4659" s="107" t="str">
        <f>IF(LEN(Table1722[[#This Row],[Uraian]])&gt;2,TRIM(RIGHT(SUBSTITUTE(TRIM(C4659)," ",REPT(" ",255)),255))," ")</f>
        <v xml:space="preserve"> </v>
      </c>
      <c r="G4659" s="110">
        <f>COPY!Z4651</f>
        <v>0</v>
      </c>
      <c r="H4659" s="111" t="str">
        <f>IFERROR(VLOOKUP(Table1722[[#This Row],[Bukti]],'Un nOTA'!$A$4:$K$5003,10,FALSE),"")</f>
        <v/>
      </c>
      <c r="I4659" s="123" t="str">
        <f>IFERROR(VLOOKUP(Table1722[[#This Row],[Bukti]],Table13[#Data],11,FALSE),"")</f>
        <v/>
      </c>
    </row>
    <row r="4660" spans="1:9" hidden="1" x14ac:dyDescent="0.2">
      <c r="A4660" s="105" t="str">
        <f>IF(D4660=1,COUNTIF($D$10:D4660,1)," ")</f>
        <v xml:space="preserve"> </v>
      </c>
      <c r="B4660" s="106">
        <f>COPY!AR4652</f>
        <v>0</v>
      </c>
      <c r="C4660" s="107">
        <f>COPY!AC4652</f>
        <v>0</v>
      </c>
      <c r="D4660" s="107" t="str">
        <f>IF(LEN(Table1722[[#This Row],[Uraian]])&gt;2,1," ")</f>
        <v xml:space="preserve"> </v>
      </c>
      <c r="E4660" s="113" t="str">
        <f>IF(Table1722[[#This Row],[Lawan Transaksi]]="CV AGUNG KARYA",COUNTIF($I$10:I4660,"CV AGUNG KARYA")," ")</f>
        <v xml:space="preserve"> </v>
      </c>
      <c r="F4660" s="107" t="str">
        <f>IF(LEN(Table1722[[#This Row],[Uraian]])&gt;2,TRIM(RIGHT(SUBSTITUTE(TRIM(C4660)," ",REPT(" ",255)),255))," ")</f>
        <v xml:space="preserve"> </v>
      </c>
      <c r="G4660" s="110">
        <f>COPY!Z4652</f>
        <v>0</v>
      </c>
      <c r="H4660" s="111" t="str">
        <f>IFERROR(VLOOKUP(Table1722[[#This Row],[Bukti]],'Un nOTA'!$A$4:$K$5003,10,FALSE),"")</f>
        <v/>
      </c>
      <c r="I4660" s="123" t="str">
        <f>IFERROR(VLOOKUP(Table1722[[#This Row],[Bukti]],Table13[#Data],11,FALSE),"")</f>
        <v/>
      </c>
    </row>
    <row r="4661" spans="1:9" hidden="1" x14ac:dyDescent="0.2">
      <c r="A4661" s="105" t="str">
        <f>IF(D4661=1,COUNTIF($D$10:D4661,1)," ")</f>
        <v xml:space="preserve"> </v>
      </c>
      <c r="B4661" s="106">
        <f>COPY!AR4653</f>
        <v>0</v>
      </c>
      <c r="C4661" s="107">
        <f>COPY!AC4653</f>
        <v>0</v>
      </c>
      <c r="D4661" s="107" t="str">
        <f>IF(LEN(Table1722[[#This Row],[Uraian]])&gt;2,1," ")</f>
        <v xml:space="preserve"> </v>
      </c>
      <c r="E4661" s="113" t="str">
        <f>IF(Table1722[[#This Row],[Lawan Transaksi]]="CV AGUNG KARYA",COUNTIF($I$10:I4661,"CV AGUNG KARYA")," ")</f>
        <v xml:space="preserve"> </v>
      </c>
      <c r="F4661" s="107" t="str">
        <f>IF(LEN(Table1722[[#This Row],[Uraian]])&gt;2,TRIM(RIGHT(SUBSTITUTE(TRIM(C4661)," ",REPT(" ",255)),255))," ")</f>
        <v xml:space="preserve"> </v>
      </c>
      <c r="G4661" s="110">
        <f>COPY!Z4653</f>
        <v>0</v>
      </c>
      <c r="H4661" s="111" t="str">
        <f>IFERROR(VLOOKUP(Table1722[[#This Row],[Bukti]],'Un nOTA'!$A$4:$K$5003,10,FALSE),"")</f>
        <v/>
      </c>
      <c r="I4661" s="123" t="str">
        <f>IFERROR(VLOOKUP(Table1722[[#This Row],[Bukti]],Table13[#Data],11,FALSE),"")</f>
        <v/>
      </c>
    </row>
    <row r="4662" spans="1:9" hidden="1" x14ac:dyDescent="0.2">
      <c r="A4662" s="105" t="str">
        <f>IF(D4662=1,COUNTIF($D$10:D4662,1)," ")</f>
        <v xml:space="preserve"> </v>
      </c>
      <c r="B4662" s="106">
        <f>COPY!AR4654</f>
        <v>0</v>
      </c>
      <c r="C4662" s="107">
        <f>COPY!AC4654</f>
        <v>0</v>
      </c>
      <c r="D4662" s="107" t="str">
        <f>IF(LEN(Table1722[[#This Row],[Uraian]])&gt;2,1," ")</f>
        <v xml:space="preserve"> </v>
      </c>
      <c r="E4662" s="113" t="str">
        <f>IF(Table1722[[#This Row],[Lawan Transaksi]]="CV AGUNG KARYA",COUNTIF($I$10:I4662,"CV AGUNG KARYA")," ")</f>
        <v xml:space="preserve"> </v>
      </c>
      <c r="F4662" s="107" t="str">
        <f>IF(LEN(Table1722[[#This Row],[Uraian]])&gt;2,TRIM(RIGHT(SUBSTITUTE(TRIM(C4662)," ",REPT(" ",255)),255))," ")</f>
        <v xml:space="preserve"> </v>
      </c>
      <c r="G4662" s="110">
        <f>COPY!Z4654</f>
        <v>0</v>
      </c>
      <c r="H4662" s="111" t="str">
        <f>IFERROR(VLOOKUP(Table1722[[#This Row],[Bukti]],'Un nOTA'!$A$4:$K$5003,10,FALSE),"")</f>
        <v/>
      </c>
      <c r="I4662" s="123" t="str">
        <f>IFERROR(VLOOKUP(Table1722[[#This Row],[Bukti]],Table13[#Data],11,FALSE),"")</f>
        <v/>
      </c>
    </row>
    <row r="4663" spans="1:9" hidden="1" x14ac:dyDescent="0.2">
      <c r="A4663" s="105" t="str">
        <f>IF(D4663=1,COUNTIF($D$10:D4663,1)," ")</f>
        <v xml:space="preserve"> </v>
      </c>
      <c r="B4663" s="106">
        <f>COPY!AR4655</f>
        <v>0</v>
      </c>
      <c r="C4663" s="107">
        <f>COPY!AC4655</f>
        <v>0</v>
      </c>
      <c r="D4663" s="107" t="str">
        <f>IF(LEN(Table1722[[#This Row],[Uraian]])&gt;2,1," ")</f>
        <v xml:space="preserve"> </v>
      </c>
      <c r="E4663" s="113" t="str">
        <f>IF(Table1722[[#This Row],[Lawan Transaksi]]="CV AGUNG KARYA",COUNTIF($I$10:I4663,"CV AGUNG KARYA")," ")</f>
        <v xml:space="preserve"> </v>
      </c>
      <c r="F4663" s="107" t="str">
        <f>IF(LEN(Table1722[[#This Row],[Uraian]])&gt;2,TRIM(RIGHT(SUBSTITUTE(TRIM(C4663)," ",REPT(" ",255)),255))," ")</f>
        <v xml:space="preserve"> </v>
      </c>
      <c r="G4663" s="110">
        <f>COPY!Z4655</f>
        <v>0</v>
      </c>
      <c r="H4663" s="111" t="str">
        <f>IFERROR(VLOOKUP(Table1722[[#This Row],[Bukti]],'Un nOTA'!$A$4:$K$5003,10,FALSE),"")</f>
        <v/>
      </c>
      <c r="I4663" s="123" t="str">
        <f>IFERROR(VLOOKUP(Table1722[[#This Row],[Bukti]],Table13[#Data],11,FALSE),"")</f>
        <v/>
      </c>
    </row>
    <row r="4664" spans="1:9" hidden="1" x14ac:dyDescent="0.2">
      <c r="A4664" s="105" t="str">
        <f>IF(D4664=1,COUNTIF($D$10:D4664,1)," ")</f>
        <v xml:space="preserve"> </v>
      </c>
      <c r="B4664" s="106">
        <f>COPY!AR4656</f>
        <v>0</v>
      </c>
      <c r="C4664" s="107">
        <f>COPY!AC4656</f>
        <v>0</v>
      </c>
      <c r="D4664" s="107" t="str">
        <f>IF(LEN(Table1722[[#This Row],[Uraian]])&gt;2,1," ")</f>
        <v xml:space="preserve"> </v>
      </c>
      <c r="E4664" s="113" t="str">
        <f>IF(Table1722[[#This Row],[Lawan Transaksi]]="CV AGUNG KARYA",COUNTIF($I$10:I4664,"CV AGUNG KARYA")," ")</f>
        <v xml:space="preserve"> </v>
      </c>
      <c r="F4664" s="107" t="str">
        <f>IF(LEN(Table1722[[#This Row],[Uraian]])&gt;2,TRIM(RIGHT(SUBSTITUTE(TRIM(C4664)," ",REPT(" ",255)),255))," ")</f>
        <v xml:space="preserve"> </v>
      </c>
      <c r="G4664" s="110">
        <f>COPY!Z4656</f>
        <v>0</v>
      </c>
      <c r="H4664" s="111" t="str">
        <f>IFERROR(VLOOKUP(Table1722[[#This Row],[Bukti]],'Un nOTA'!$A$4:$K$5003,10,FALSE),"")</f>
        <v/>
      </c>
      <c r="I4664" s="123" t="str">
        <f>IFERROR(VLOOKUP(Table1722[[#This Row],[Bukti]],Table13[#Data],11,FALSE),"")</f>
        <v/>
      </c>
    </row>
    <row r="4665" spans="1:9" hidden="1" x14ac:dyDescent="0.2">
      <c r="A4665" s="105" t="str">
        <f>IF(D4665=1,COUNTIF($D$10:D4665,1)," ")</f>
        <v xml:space="preserve"> </v>
      </c>
      <c r="B4665" s="106">
        <f>COPY!AR4657</f>
        <v>0</v>
      </c>
      <c r="C4665" s="107">
        <f>COPY!AC4657</f>
        <v>0</v>
      </c>
      <c r="D4665" s="107" t="str">
        <f>IF(LEN(Table1722[[#This Row],[Uraian]])&gt;2,1," ")</f>
        <v xml:space="preserve"> </v>
      </c>
      <c r="E4665" s="113" t="str">
        <f>IF(Table1722[[#This Row],[Lawan Transaksi]]="CV AGUNG KARYA",COUNTIF($I$10:I4665,"CV AGUNG KARYA")," ")</f>
        <v xml:space="preserve"> </v>
      </c>
      <c r="F4665" s="107" t="str">
        <f>IF(LEN(Table1722[[#This Row],[Uraian]])&gt;2,TRIM(RIGHT(SUBSTITUTE(TRIM(C4665)," ",REPT(" ",255)),255))," ")</f>
        <v xml:space="preserve"> </v>
      </c>
      <c r="G4665" s="110">
        <f>COPY!Z4657</f>
        <v>0</v>
      </c>
      <c r="H4665" s="111" t="str">
        <f>IFERROR(VLOOKUP(Table1722[[#This Row],[Bukti]],'Un nOTA'!$A$4:$K$5003,10,FALSE),"")</f>
        <v/>
      </c>
      <c r="I4665" s="123" t="str">
        <f>IFERROR(VLOOKUP(Table1722[[#This Row],[Bukti]],Table13[#Data],11,FALSE),"")</f>
        <v/>
      </c>
    </row>
    <row r="4666" spans="1:9" hidden="1" x14ac:dyDescent="0.2">
      <c r="A4666" s="105" t="str">
        <f>IF(D4666=1,COUNTIF($D$10:D4666,1)," ")</f>
        <v xml:space="preserve"> </v>
      </c>
      <c r="B4666" s="106">
        <f>COPY!AR4658</f>
        <v>0</v>
      </c>
      <c r="C4666" s="107">
        <f>COPY!AC4658</f>
        <v>0</v>
      </c>
      <c r="D4666" s="107" t="str">
        <f>IF(LEN(Table1722[[#This Row],[Uraian]])&gt;2,1," ")</f>
        <v xml:space="preserve"> </v>
      </c>
      <c r="E4666" s="113" t="str">
        <f>IF(Table1722[[#This Row],[Lawan Transaksi]]="CV AGUNG KARYA",COUNTIF($I$10:I4666,"CV AGUNG KARYA")," ")</f>
        <v xml:space="preserve"> </v>
      </c>
      <c r="F4666" s="107" t="str">
        <f>IF(LEN(Table1722[[#This Row],[Uraian]])&gt;2,TRIM(RIGHT(SUBSTITUTE(TRIM(C4666)," ",REPT(" ",255)),255))," ")</f>
        <v xml:space="preserve"> </v>
      </c>
      <c r="G4666" s="110">
        <f>COPY!Z4658</f>
        <v>0</v>
      </c>
      <c r="H4666" s="111" t="str">
        <f>IFERROR(VLOOKUP(Table1722[[#This Row],[Bukti]],'Un nOTA'!$A$4:$K$5003,10,FALSE),"")</f>
        <v/>
      </c>
      <c r="I4666" s="123" t="str">
        <f>IFERROR(VLOOKUP(Table1722[[#This Row],[Bukti]],Table13[#Data],11,FALSE),"")</f>
        <v/>
      </c>
    </row>
    <row r="4667" spans="1:9" hidden="1" x14ac:dyDescent="0.2">
      <c r="A4667" s="105" t="str">
        <f>IF(D4667=1,COUNTIF($D$10:D4667,1)," ")</f>
        <v xml:space="preserve"> </v>
      </c>
      <c r="B4667" s="106">
        <f>COPY!AR4659</f>
        <v>0</v>
      </c>
      <c r="C4667" s="107">
        <f>COPY!AC4659</f>
        <v>0</v>
      </c>
      <c r="D4667" s="107" t="str">
        <f>IF(LEN(Table1722[[#This Row],[Uraian]])&gt;2,1," ")</f>
        <v xml:space="preserve"> </v>
      </c>
      <c r="E4667" s="113" t="str">
        <f>IF(Table1722[[#This Row],[Lawan Transaksi]]="CV AGUNG KARYA",COUNTIF($I$10:I4667,"CV AGUNG KARYA")," ")</f>
        <v xml:space="preserve"> </v>
      </c>
      <c r="F4667" s="107" t="str">
        <f>IF(LEN(Table1722[[#This Row],[Uraian]])&gt;2,TRIM(RIGHT(SUBSTITUTE(TRIM(C4667)," ",REPT(" ",255)),255))," ")</f>
        <v xml:space="preserve"> </v>
      </c>
      <c r="G4667" s="110">
        <f>COPY!Z4659</f>
        <v>0</v>
      </c>
      <c r="H4667" s="111" t="str">
        <f>IFERROR(VLOOKUP(Table1722[[#This Row],[Bukti]],'Un nOTA'!$A$4:$K$5003,10,FALSE),"")</f>
        <v/>
      </c>
      <c r="I4667" s="123" t="str">
        <f>IFERROR(VLOOKUP(Table1722[[#This Row],[Bukti]],Table13[#Data],11,FALSE),"")</f>
        <v/>
      </c>
    </row>
    <row r="4668" spans="1:9" hidden="1" x14ac:dyDescent="0.2">
      <c r="A4668" s="105" t="str">
        <f>IF(D4668=1,COUNTIF($D$10:D4668,1)," ")</f>
        <v xml:space="preserve"> </v>
      </c>
      <c r="B4668" s="106">
        <f>COPY!AR4660</f>
        <v>0</v>
      </c>
      <c r="C4668" s="107">
        <f>COPY!AC4660</f>
        <v>0</v>
      </c>
      <c r="D4668" s="107" t="str">
        <f>IF(LEN(Table1722[[#This Row],[Uraian]])&gt;2,1," ")</f>
        <v xml:space="preserve"> </v>
      </c>
      <c r="E4668" s="113" t="str">
        <f>IF(Table1722[[#This Row],[Lawan Transaksi]]="CV AGUNG KARYA",COUNTIF($I$10:I4668,"CV AGUNG KARYA")," ")</f>
        <v xml:space="preserve"> </v>
      </c>
      <c r="F4668" s="107" t="str">
        <f>IF(LEN(Table1722[[#This Row],[Uraian]])&gt;2,TRIM(RIGHT(SUBSTITUTE(TRIM(C4668)," ",REPT(" ",255)),255))," ")</f>
        <v xml:space="preserve"> </v>
      </c>
      <c r="G4668" s="110">
        <f>COPY!Z4660</f>
        <v>0</v>
      </c>
      <c r="H4668" s="111" t="str">
        <f>IFERROR(VLOOKUP(Table1722[[#This Row],[Bukti]],'Un nOTA'!$A$4:$K$5003,10,FALSE),"")</f>
        <v/>
      </c>
      <c r="I4668" s="123" t="str">
        <f>IFERROR(VLOOKUP(Table1722[[#This Row],[Bukti]],Table13[#Data],11,FALSE),"")</f>
        <v/>
      </c>
    </row>
    <row r="4669" spans="1:9" hidden="1" x14ac:dyDescent="0.2">
      <c r="A4669" s="105" t="str">
        <f>IF(D4669=1,COUNTIF($D$10:D4669,1)," ")</f>
        <v xml:space="preserve"> </v>
      </c>
      <c r="B4669" s="106">
        <f>COPY!AR4661</f>
        <v>0</v>
      </c>
      <c r="C4669" s="107">
        <f>COPY!AC4661</f>
        <v>0</v>
      </c>
      <c r="D4669" s="107" t="str">
        <f>IF(LEN(Table1722[[#This Row],[Uraian]])&gt;2,1," ")</f>
        <v xml:space="preserve"> </v>
      </c>
      <c r="E4669" s="113" t="str">
        <f>IF(Table1722[[#This Row],[Lawan Transaksi]]="CV AGUNG KARYA",COUNTIF($I$10:I4669,"CV AGUNG KARYA")," ")</f>
        <v xml:space="preserve"> </v>
      </c>
      <c r="F4669" s="107" t="str">
        <f>IF(LEN(Table1722[[#This Row],[Uraian]])&gt;2,TRIM(RIGHT(SUBSTITUTE(TRIM(C4669)," ",REPT(" ",255)),255))," ")</f>
        <v xml:space="preserve"> </v>
      </c>
      <c r="G4669" s="110">
        <f>COPY!Z4661</f>
        <v>0</v>
      </c>
      <c r="H4669" s="111" t="str">
        <f>IFERROR(VLOOKUP(Table1722[[#This Row],[Bukti]],'Un nOTA'!$A$4:$K$5003,10,FALSE),"")</f>
        <v/>
      </c>
      <c r="I4669" s="123" t="str">
        <f>IFERROR(VLOOKUP(Table1722[[#This Row],[Bukti]],Table13[#Data],11,FALSE),"")</f>
        <v/>
      </c>
    </row>
    <row r="4670" spans="1:9" hidden="1" x14ac:dyDescent="0.2">
      <c r="A4670" s="105" t="str">
        <f>IF(D4670=1,COUNTIF($D$10:D4670,1)," ")</f>
        <v xml:space="preserve"> </v>
      </c>
      <c r="B4670" s="106">
        <f>COPY!AR4662</f>
        <v>0</v>
      </c>
      <c r="C4670" s="107">
        <f>COPY!AC4662</f>
        <v>0</v>
      </c>
      <c r="D4670" s="107" t="str">
        <f>IF(LEN(Table1722[[#This Row],[Uraian]])&gt;2,1," ")</f>
        <v xml:space="preserve"> </v>
      </c>
      <c r="E4670" s="113" t="str">
        <f>IF(Table1722[[#This Row],[Lawan Transaksi]]="CV AGUNG KARYA",COUNTIF($I$10:I4670,"CV AGUNG KARYA")," ")</f>
        <v xml:space="preserve"> </v>
      </c>
      <c r="F4670" s="107" t="str">
        <f>IF(LEN(Table1722[[#This Row],[Uraian]])&gt;2,TRIM(RIGHT(SUBSTITUTE(TRIM(C4670)," ",REPT(" ",255)),255))," ")</f>
        <v xml:space="preserve"> </v>
      </c>
      <c r="G4670" s="110">
        <f>COPY!Z4662</f>
        <v>0</v>
      </c>
      <c r="H4670" s="111" t="str">
        <f>IFERROR(VLOOKUP(Table1722[[#This Row],[Bukti]],'Un nOTA'!$A$4:$K$5003,10,FALSE),"")</f>
        <v/>
      </c>
      <c r="I4670" s="123" t="str">
        <f>IFERROR(VLOOKUP(Table1722[[#This Row],[Bukti]],Table13[#Data],11,FALSE),"")</f>
        <v/>
      </c>
    </row>
    <row r="4671" spans="1:9" hidden="1" x14ac:dyDescent="0.2">
      <c r="A4671" s="105" t="str">
        <f>IF(D4671=1,COUNTIF($D$10:D4671,1)," ")</f>
        <v xml:space="preserve"> </v>
      </c>
      <c r="B4671" s="106">
        <f>COPY!AR4663</f>
        <v>0</v>
      </c>
      <c r="C4671" s="107">
        <f>COPY!AC4663</f>
        <v>0</v>
      </c>
      <c r="D4671" s="107" t="str">
        <f>IF(LEN(Table1722[[#This Row],[Uraian]])&gt;2,1," ")</f>
        <v xml:space="preserve"> </v>
      </c>
      <c r="E4671" s="113" t="str">
        <f>IF(Table1722[[#This Row],[Lawan Transaksi]]="CV AGUNG KARYA",COUNTIF($I$10:I4671,"CV AGUNG KARYA")," ")</f>
        <v xml:space="preserve"> </v>
      </c>
      <c r="F4671" s="107" t="str">
        <f>IF(LEN(Table1722[[#This Row],[Uraian]])&gt;2,TRIM(RIGHT(SUBSTITUTE(TRIM(C4671)," ",REPT(" ",255)),255))," ")</f>
        <v xml:space="preserve"> </v>
      </c>
      <c r="G4671" s="110">
        <f>COPY!Z4663</f>
        <v>0</v>
      </c>
      <c r="H4671" s="111" t="str">
        <f>IFERROR(VLOOKUP(Table1722[[#This Row],[Bukti]],'Un nOTA'!$A$4:$K$5003,10,FALSE),"")</f>
        <v/>
      </c>
      <c r="I4671" s="123" t="str">
        <f>IFERROR(VLOOKUP(Table1722[[#This Row],[Bukti]],Table13[#Data],11,FALSE),"")</f>
        <v/>
      </c>
    </row>
    <row r="4672" spans="1:9" hidden="1" x14ac:dyDescent="0.2">
      <c r="A4672" s="105" t="str">
        <f>IF(D4672=1,COUNTIF($D$10:D4672,1)," ")</f>
        <v xml:space="preserve"> </v>
      </c>
      <c r="B4672" s="106">
        <f>COPY!AR4664</f>
        <v>0</v>
      </c>
      <c r="C4672" s="107">
        <f>COPY!AC4664</f>
        <v>0</v>
      </c>
      <c r="D4672" s="107" t="str">
        <f>IF(LEN(Table1722[[#This Row],[Uraian]])&gt;2,1," ")</f>
        <v xml:space="preserve"> </v>
      </c>
      <c r="E4672" s="113" t="str">
        <f>IF(Table1722[[#This Row],[Lawan Transaksi]]="CV AGUNG KARYA",COUNTIF($I$10:I4672,"CV AGUNG KARYA")," ")</f>
        <v xml:space="preserve"> </v>
      </c>
      <c r="F4672" s="107" t="str">
        <f>IF(LEN(Table1722[[#This Row],[Uraian]])&gt;2,TRIM(RIGHT(SUBSTITUTE(TRIM(C4672)," ",REPT(" ",255)),255))," ")</f>
        <v xml:space="preserve"> </v>
      </c>
      <c r="G4672" s="110">
        <f>COPY!Z4664</f>
        <v>0</v>
      </c>
      <c r="H4672" s="111" t="str">
        <f>IFERROR(VLOOKUP(Table1722[[#This Row],[Bukti]],'Un nOTA'!$A$4:$K$5003,10,FALSE),"")</f>
        <v/>
      </c>
      <c r="I4672" s="123" t="str">
        <f>IFERROR(VLOOKUP(Table1722[[#This Row],[Bukti]],Table13[#Data],11,FALSE),"")</f>
        <v/>
      </c>
    </row>
    <row r="4673" spans="1:9" hidden="1" x14ac:dyDescent="0.2">
      <c r="A4673" s="105" t="str">
        <f>IF(D4673=1,COUNTIF($D$10:D4673,1)," ")</f>
        <v xml:space="preserve"> </v>
      </c>
      <c r="B4673" s="106">
        <f>COPY!AR4665</f>
        <v>0</v>
      </c>
      <c r="C4673" s="107">
        <f>COPY!AC4665</f>
        <v>0</v>
      </c>
      <c r="D4673" s="107" t="str">
        <f>IF(LEN(Table1722[[#This Row],[Uraian]])&gt;2,1," ")</f>
        <v xml:space="preserve"> </v>
      </c>
      <c r="E4673" s="113" t="str">
        <f>IF(Table1722[[#This Row],[Lawan Transaksi]]="CV AGUNG KARYA",COUNTIF($I$10:I4673,"CV AGUNG KARYA")," ")</f>
        <v xml:space="preserve"> </v>
      </c>
      <c r="F4673" s="107" t="str">
        <f>IF(LEN(Table1722[[#This Row],[Uraian]])&gt;2,TRIM(RIGHT(SUBSTITUTE(TRIM(C4673)," ",REPT(" ",255)),255))," ")</f>
        <v xml:space="preserve"> </v>
      </c>
      <c r="G4673" s="110">
        <f>COPY!Z4665</f>
        <v>0</v>
      </c>
      <c r="H4673" s="111" t="str">
        <f>IFERROR(VLOOKUP(Table1722[[#This Row],[Bukti]],'Un nOTA'!$A$4:$K$5003,10,FALSE),"")</f>
        <v/>
      </c>
      <c r="I4673" s="123" t="str">
        <f>IFERROR(VLOOKUP(Table1722[[#This Row],[Bukti]],Table13[#Data],11,FALSE),"")</f>
        <v/>
      </c>
    </row>
    <row r="4674" spans="1:9" hidden="1" x14ac:dyDescent="0.2">
      <c r="A4674" s="105" t="str">
        <f>IF(D4674=1,COUNTIF($D$10:D4674,1)," ")</f>
        <v xml:space="preserve"> </v>
      </c>
      <c r="B4674" s="106">
        <f>COPY!AR4666</f>
        <v>0</v>
      </c>
      <c r="C4674" s="107">
        <f>COPY!AC4666</f>
        <v>0</v>
      </c>
      <c r="D4674" s="107" t="str">
        <f>IF(LEN(Table1722[[#This Row],[Uraian]])&gt;2,1," ")</f>
        <v xml:space="preserve"> </v>
      </c>
      <c r="E4674" s="113" t="str">
        <f>IF(Table1722[[#This Row],[Lawan Transaksi]]="CV AGUNG KARYA",COUNTIF($I$10:I4674,"CV AGUNG KARYA")," ")</f>
        <v xml:space="preserve"> </v>
      </c>
      <c r="F4674" s="107" t="str">
        <f>IF(LEN(Table1722[[#This Row],[Uraian]])&gt;2,TRIM(RIGHT(SUBSTITUTE(TRIM(C4674)," ",REPT(" ",255)),255))," ")</f>
        <v xml:space="preserve"> </v>
      </c>
      <c r="G4674" s="110">
        <f>COPY!Z4666</f>
        <v>0</v>
      </c>
      <c r="H4674" s="111" t="str">
        <f>IFERROR(VLOOKUP(Table1722[[#This Row],[Bukti]],'Un nOTA'!$A$4:$K$5003,10,FALSE),"")</f>
        <v/>
      </c>
      <c r="I4674" s="123" t="str">
        <f>IFERROR(VLOOKUP(Table1722[[#This Row],[Bukti]],Table13[#Data],11,FALSE),"")</f>
        <v/>
      </c>
    </row>
    <row r="4675" spans="1:9" hidden="1" x14ac:dyDescent="0.2">
      <c r="A4675" s="105" t="str">
        <f>IF(D4675=1,COUNTIF($D$10:D4675,1)," ")</f>
        <v xml:space="preserve"> </v>
      </c>
      <c r="B4675" s="106">
        <f>COPY!AR4667</f>
        <v>0</v>
      </c>
      <c r="C4675" s="107">
        <f>COPY!AC4667</f>
        <v>0</v>
      </c>
      <c r="D4675" s="107" t="str">
        <f>IF(LEN(Table1722[[#This Row],[Uraian]])&gt;2,1," ")</f>
        <v xml:space="preserve"> </v>
      </c>
      <c r="E4675" s="113" t="str">
        <f>IF(Table1722[[#This Row],[Lawan Transaksi]]="CV AGUNG KARYA",COUNTIF($I$10:I4675,"CV AGUNG KARYA")," ")</f>
        <v xml:space="preserve"> </v>
      </c>
      <c r="F4675" s="107" t="str">
        <f>IF(LEN(Table1722[[#This Row],[Uraian]])&gt;2,TRIM(RIGHT(SUBSTITUTE(TRIM(C4675)," ",REPT(" ",255)),255))," ")</f>
        <v xml:space="preserve"> </v>
      </c>
      <c r="G4675" s="110">
        <f>COPY!Z4667</f>
        <v>0</v>
      </c>
      <c r="H4675" s="111" t="str">
        <f>IFERROR(VLOOKUP(Table1722[[#This Row],[Bukti]],'Un nOTA'!$A$4:$K$5003,10,FALSE),"")</f>
        <v/>
      </c>
      <c r="I4675" s="123" t="str">
        <f>IFERROR(VLOOKUP(Table1722[[#This Row],[Bukti]],Table13[#Data],11,FALSE),"")</f>
        <v/>
      </c>
    </row>
    <row r="4676" spans="1:9" hidden="1" x14ac:dyDescent="0.2">
      <c r="A4676" s="105" t="str">
        <f>IF(D4676=1,COUNTIF($D$10:D4676,1)," ")</f>
        <v xml:space="preserve"> </v>
      </c>
      <c r="B4676" s="106">
        <f>COPY!AR4668</f>
        <v>0</v>
      </c>
      <c r="C4676" s="107">
        <f>COPY!AC4668</f>
        <v>0</v>
      </c>
      <c r="D4676" s="107" t="str">
        <f>IF(LEN(Table1722[[#This Row],[Uraian]])&gt;2,1," ")</f>
        <v xml:space="preserve"> </v>
      </c>
      <c r="E4676" s="113" t="str">
        <f>IF(Table1722[[#This Row],[Lawan Transaksi]]="CV AGUNG KARYA",COUNTIF($I$10:I4676,"CV AGUNG KARYA")," ")</f>
        <v xml:space="preserve"> </v>
      </c>
      <c r="F4676" s="107" t="str">
        <f>IF(LEN(Table1722[[#This Row],[Uraian]])&gt;2,TRIM(RIGHT(SUBSTITUTE(TRIM(C4676)," ",REPT(" ",255)),255))," ")</f>
        <v xml:space="preserve"> </v>
      </c>
      <c r="G4676" s="110">
        <f>COPY!Z4668</f>
        <v>0</v>
      </c>
      <c r="H4676" s="111" t="str">
        <f>IFERROR(VLOOKUP(Table1722[[#This Row],[Bukti]],'Un nOTA'!$A$4:$K$5003,10,FALSE),"")</f>
        <v/>
      </c>
      <c r="I4676" s="123" t="str">
        <f>IFERROR(VLOOKUP(Table1722[[#This Row],[Bukti]],Table13[#Data],11,FALSE),"")</f>
        <v/>
      </c>
    </row>
    <row r="4677" spans="1:9" hidden="1" x14ac:dyDescent="0.2">
      <c r="A4677" s="105" t="str">
        <f>IF(D4677=1,COUNTIF($D$10:D4677,1)," ")</f>
        <v xml:space="preserve"> </v>
      </c>
      <c r="B4677" s="106">
        <f>COPY!AR4669</f>
        <v>0</v>
      </c>
      <c r="C4677" s="107">
        <f>COPY!AC4669</f>
        <v>0</v>
      </c>
      <c r="D4677" s="107" t="str">
        <f>IF(LEN(Table1722[[#This Row],[Uraian]])&gt;2,1," ")</f>
        <v xml:space="preserve"> </v>
      </c>
      <c r="E4677" s="113" t="str">
        <f>IF(Table1722[[#This Row],[Lawan Transaksi]]="CV AGUNG KARYA",COUNTIF($I$10:I4677,"CV AGUNG KARYA")," ")</f>
        <v xml:space="preserve"> </v>
      </c>
      <c r="F4677" s="107" t="str">
        <f>IF(LEN(Table1722[[#This Row],[Uraian]])&gt;2,TRIM(RIGHT(SUBSTITUTE(TRIM(C4677)," ",REPT(" ",255)),255))," ")</f>
        <v xml:space="preserve"> </v>
      </c>
      <c r="G4677" s="110">
        <f>COPY!Z4669</f>
        <v>0</v>
      </c>
      <c r="H4677" s="111" t="str">
        <f>IFERROR(VLOOKUP(Table1722[[#This Row],[Bukti]],'Un nOTA'!$A$4:$K$5003,10,FALSE),"")</f>
        <v/>
      </c>
      <c r="I4677" s="123" t="str">
        <f>IFERROR(VLOOKUP(Table1722[[#This Row],[Bukti]],Table13[#Data],11,FALSE),"")</f>
        <v/>
      </c>
    </row>
    <row r="4678" spans="1:9" hidden="1" x14ac:dyDescent="0.2">
      <c r="A4678" s="105" t="str">
        <f>IF(D4678=1,COUNTIF($D$10:D4678,1)," ")</f>
        <v xml:space="preserve"> </v>
      </c>
      <c r="B4678" s="106">
        <f>COPY!AR4670</f>
        <v>0</v>
      </c>
      <c r="C4678" s="107">
        <f>COPY!AC4670</f>
        <v>0</v>
      </c>
      <c r="D4678" s="107" t="str">
        <f>IF(LEN(Table1722[[#This Row],[Uraian]])&gt;2,1," ")</f>
        <v xml:space="preserve"> </v>
      </c>
      <c r="E4678" s="113" t="str">
        <f>IF(Table1722[[#This Row],[Lawan Transaksi]]="CV AGUNG KARYA",COUNTIF($I$10:I4678,"CV AGUNG KARYA")," ")</f>
        <v xml:space="preserve"> </v>
      </c>
      <c r="F4678" s="107" t="str">
        <f>IF(LEN(Table1722[[#This Row],[Uraian]])&gt;2,TRIM(RIGHT(SUBSTITUTE(TRIM(C4678)," ",REPT(" ",255)),255))," ")</f>
        <v xml:space="preserve"> </v>
      </c>
      <c r="G4678" s="110">
        <f>COPY!Z4670</f>
        <v>0</v>
      </c>
      <c r="H4678" s="111" t="str">
        <f>IFERROR(VLOOKUP(Table1722[[#This Row],[Bukti]],'Un nOTA'!$A$4:$K$5003,10,FALSE),"")</f>
        <v/>
      </c>
      <c r="I4678" s="123" t="str">
        <f>IFERROR(VLOOKUP(Table1722[[#This Row],[Bukti]],Table13[#Data],11,FALSE),"")</f>
        <v/>
      </c>
    </row>
    <row r="4679" spans="1:9" hidden="1" x14ac:dyDescent="0.2">
      <c r="A4679" s="105" t="str">
        <f>IF(D4679=1,COUNTIF($D$10:D4679,1)," ")</f>
        <v xml:space="preserve"> </v>
      </c>
      <c r="B4679" s="106">
        <f>COPY!AR4671</f>
        <v>0</v>
      </c>
      <c r="C4679" s="107">
        <f>COPY!AC4671</f>
        <v>0</v>
      </c>
      <c r="D4679" s="107" t="str">
        <f>IF(LEN(Table1722[[#This Row],[Uraian]])&gt;2,1," ")</f>
        <v xml:space="preserve"> </v>
      </c>
      <c r="E4679" s="113" t="str">
        <f>IF(Table1722[[#This Row],[Lawan Transaksi]]="CV AGUNG KARYA",COUNTIF($I$10:I4679,"CV AGUNG KARYA")," ")</f>
        <v xml:space="preserve"> </v>
      </c>
      <c r="F4679" s="107" t="str">
        <f>IF(LEN(Table1722[[#This Row],[Uraian]])&gt;2,TRIM(RIGHT(SUBSTITUTE(TRIM(C4679)," ",REPT(" ",255)),255))," ")</f>
        <v xml:space="preserve"> </v>
      </c>
      <c r="G4679" s="110">
        <f>COPY!Z4671</f>
        <v>0</v>
      </c>
      <c r="H4679" s="111" t="str">
        <f>IFERROR(VLOOKUP(Table1722[[#This Row],[Bukti]],'Un nOTA'!$A$4:$K$5003,10,FALSE),"")</f>
        <v/>
      </c>
      <c r="I4679" s="123" t="str">
        <f>IFERROR(VLOOKUP(Table1722[[#This Row],[Bukti]],Table13[#Data],11,FALSE),"")</f>
        <v/>
      </c>
    </row>
    <row r="4680" spans="1:9" hidden="1" x14ac:dyDescent="0.2">
      <c r="A4680" s="105" t="str">
        <f>IF(D4680=1,COUNTIF($D$10:D4680,1)," ")</f>
        <v xml:space="preserve"> </v>
      </c>
      <c r="B4680" s="106">
        <f>COPY!AR4672</f>
        <v>0</v>
      </c>
      <c r="C4680" s="107">
        <f>COPY!AC4672</f>
        <v>0</v>
      </c>
      <c r="D4680" s="107" t="str">
        <f>IF(LEN(Table1722[[#This Row],[Uraian]])&gt;2,1," ")</f>
        <v xml:space="preserve"> </v>
      </c>
      <c r="E4680" s="113" t="str">
        <f>IF(Table1722[[#This Row],[Lawan Transaksi]]="CV AGUNG KARYA",COUNTIF($I$10:I4680,"CV AGUNG KARYA")," ")</f>
        <v xml:space="preserve"> </v>
      </c>
      <c r="F4680" s="107" t="str">
        <f>IF(LEN(Table1722[[#This Row],[Uraian]])&gt;2,TRIM(RIGHT(SUBSTITUTE(TRIM(C4680)," ",REPT(" ",255)),255))," ")</f>
        <v xml:space="preserve"> </v>
      </c>
      <c r="G4680" s="110">
        <f>COPY!Z4672</f>
        <v>0</v>
      </c>
      <c r="H4680" s="111" t="str">
        <f>IFERROR(VLOOKUP(Table1722[[#This Row],[Bukti]],'Un nOTA'!$A$4:$K$5003,10,FALSE),"")</f>
        <v/>
      </c>
      <c r="I4680" s="123" t="str">
        <f>IFERROR(VLOOKUP(Table1722[[#This Row],[Bukti]],Table13[#Data],11,FALSE),"")</f>
        <v/>
      </c>
    </row>
    <row r="4681" spans="1:9" hidden="1" x14ac:dyDescent="0.2">
      <c r="A4681" s="105" t="str">
        <f>IF(D4681=1,COUNTIF($D$10:D4681,1)," ")</f>
        <v xml:space="preserve"> </v>
      </c>
      <c r="B4681" s="106">
        <f>COPY!AR4673</f>
        <v>0</v>
      </c>
      <c r="C4681" s="107">
        <f>COPY!AC4673</f>
        <v>0</v>
      </c>
      <c r="D4681" s="107" t="str">
        <f>IF(LEN(Table1722[[#This Row],[Uraian]])&gt;2,1," ")</f>
        <v xml:space="preserve"> </v>
      </c>
      <c r="E4681" s="113" t="str">
        <f>IF(Table1722[[#This Row],[Lawan Transaksi]]="CV AGUNG KARYA",COUNTIF($I$10:I4681,"CV AGUNG KARYA")," ")</f>
        <v xml:space="preserve"> </v>
      </c>
      <c r="F4681" s="107" t="str">
        <f>IF(LEN(Table1722[[#This Row],[Uraian]])&gt;2,TRIM(RIGHT(SUBSTITUTE(TRIM(C4681)," ",REPT(" ",255)),255))," ")</f>
        <v xml:space="preserve"> </v>
      </c>
      <c r="G4681" s="110">
        <f>COPY!Z4673</f>
        <v>0</v>
      </c>
      <c r="H4681" s="111" t="str">
        <f>IFERROR(VLOOKUP(Table1722[[#This Row],[Bukti]],'Un nOTA'!$A$4:$K$5003,10,FALSE),"")</f>
        <v/>
      </c>
      <c r="I4681" s="123" t="str">
        <f>IFERROR(VLOOKUP(Table1722[[#This Row],[Bukti]],Table13[#Data],11,FALSE),"")</f>
        <v/>
      </c>
    </row>
    <row r="4682" spans="1:9" hidden="1" x14ac:dyDescent="0.2">
      <c r="A4682" s="105" t="str">
        <f>IF(D4682=1,COUNTIF($D$10:D4682,1)," ")</f>
        <v xml:space="preserve"> </v>
      </c>
      <c r="B4682" s="106">
        <f>COPY!AR4674</f>
        <v>0</v>
      </c>
      <c r="C4682" s="107">
        <f>COPY!AC4674</f>
        <v>0</v>
      </c>
      <c r="D4682" s="107" t="str">
        <f>IF(LEN(Table1722[[#This Row],[Uraian]])&gt;2,1," ")</f>
        <v xml:space="preserve"> </v>
      </c>
      <c r="E4682" s="113" t="str">
        <f>IF(Table1722[[#This Row],[Lawan Transaksi]]="CV AGUNG KARYA",COUNTIF($I$10:I4682,"CV AGUNG KARYA")," ")</f>
        <v xml:space="preserve"> </v>
      </c>
      <c r="F4682" s="107" t="str">
        <f>IF(LEN(Table1722[[#This Row],[Uraian]])&gt;2,TRIM(RIGHT(SUBSTITUTE(TRIM(C4682)," ",REPT(" ",255)),255))," ")</f>
        <v xml:space="preserve"> </v>
      </c>
      <c r="G4682" s="110">
        <f>COPY!Z4674</f>
        <v>0</v>
      </c>
      <c r="H4682" s="111" t="str">
        <f>IFERROR(VLOOKUP(Table1722[[#This Row],[Bukti]],'Un nOTA'!$A$4:$K$5003,10,FALSE),"")</f>
        <v/>
      </c>
      <c r="I4682" s="123" t="str">
        <f>IFERROR(VLOOKUP(Table1722[[#This Row],[Bukti]],Table13[#Data],11,FALSE),"")</f>
        <v/>
      </c>
    </row>
    <row r="4683" spans="1:9" hidden="1" x14ac:dyDescent="0.2">
      <c r="A4683" s="105" t="str">
        <f>IF(D4683=1,COUNTIF($D$10:D4683,1)," ")</f>
        <v xml:space="preserve"> </v>
      </c>
      <c r="B4683" s="106">
        <f>COPY!AR4675</f>
        <v>0</v>
      </c>
      <c r="C4683" s="107">
        <f>COPY!AC4675</f>
        <v>0</v>
      </c>
      <c r="D4683" s="107" t="str">
        <f>IF(LEN(Table1722[[#This Row],[Uraian]])&gt;2,1," ")</f>
        <v xml:space="preserve"> </v>
      </c>
      <c r="E4683" s="113" t="str">
        <f>IF(Table1722[[#This Row],[Lawan Transaksi]]="CV AGUNG KARYA",COUNTIF($I$10:I4683,"CV AGUNG KARYA")," ")</f>
        <v xml:space="preserve"> </v>
      </c>
      <c r="F4683" s="107" t="str">
        <f>IF(LEN(Table1722[[#This Row],[Uraian]])&gt;2,TRIM(RIGHT(SUBSTITUTE(TRIM(C4683)," ",REPT(" ",255)),255))," ")</f>
        <v xml:space="preserve"> </v>
      </c>
      <c r="G4683" s="110">
        <f>COPY!Z4675</f>
        <v>0</v>
      </c>
      <c r="H4683" s="111" t="str">
        <f>IFERROR(VLOOKUP(Table1722[[#This Row],[Bukti]],'Un nOTA'!$A$4:$K$5003,10,FALSE),"")</f>
        <v/>
      </c>
      <c r="I4683" s="123" t="str">
        <f>IFERROR(VLOOKUP(Table1722[[#This Row],[Bukti]],Table13[#Data],11,FALSE),"")</f>
        <v/>
      </c>
    </row>
    <row r="4684" spans="1:9" hidden="1" x14ac:dyDescent="0.2">
      <c r="A4684" s="105" t="str">
        <f>IF(D4684=1,COUNTIF($D$10:D4684,1)," ")</f>
        <v xml:space="preserve"> </v>
      </c>
      <c r="B4684" s="106">
        <f>COPY!AR4676</f>
        <v>0</v>
      </c>
      <c r="C4684" s="107">
        <f>COPY!AC4676</f>
        <v>0</v>
      </c>
      <c r="D4684" s="107" t="str">
        <f>IF(LEN(Table1722[[#This Row],[Uraian]])&gt;2,1," ")</f>
        <v xml:space="preserve"> </v>
      </c>
      <c r="E4684" s="113" t="str">
        <f>IF(Table1722[[#This Row],[Lawan Transaksi]]="CV AGUNG KARYA",COUNTIF($I$10:I4684,"CV AGUNG KARYA")," ")</f>
        <v xml:space="preserve"> </v>
      </c>
      <c r="F4684" s="107" t="str">
        <f>IF(LEN(Table1722[[#This Row],[Uraian]])&gt;2,TRIM(RIGHT(SUBSTITUTE(TRIM(C4684)," ",REPT(" ",255)),255))," ")</f>
        <v xml:space="preserve"> </v>
      </c>
      <c r="G4684" s="110">
        <f>COPY!Z4676</f>
        <v>0</v>
      </c>
      <c r="H4684" s="111" t="str">
        <f>IFERROR(VLOOKUP(Table1722[[#This Row],[Bukti]],'Un nOTA'!$A$4:$K$5003,10,FALSE),"")</f>
        <v/>
      </c>
      <c r="I4684" s="123" t="str">
        <f>IFERROR(VLOOKUP(Table1722[[#This Row],[Bukti]],Table13[#Data],11,FALSE),"")</f>
        <v/>
      </c>
    </row>
    <row r="4685" spans="1:9" hidden="1" x14ac:dyDescent="0.2">
      <c r="A4685" s="105" t="str">
        <f>IF(D4685=1,COUNTIF($D$10:D4685,1)," ")</f>
        <v xml:space="preserve"> </v>
      </c>
      <c r="B4685" s="106">
        <f>COPY!AR4677</f>
        <v>0</v>
      </c>
      <c r="C4685" s="107">
        <f>COPY!AC4677</f>
        <v>0</v>
      </c>
      <c r="D4685" s="107" t="str">
        <f>IF(LEN(Table1722[[#This Row],[Uraian]])&gt;2,1," ")</f>
        <v xml:space="preserve"> </v>
      </c>
      <c r="E4685" s="113" t="str">
        <f>IF(Table1722[[#This Row],[Lawan Transaksi]]="CV AGUNG KARYA",COUNTIF($I$10:I4685,"CV AGUNG KARYA")," ")</f>
        <v xml:space="preserve"> </v>
      </c>
      <c r="F4685" s="107" t="str">
        <f>IF(LEN(Table1722[[#This Row],[Uraian]])&gt;2,TRIM(RIGHT(SUBSTITUTE(TRIM(C4685)," ",REPT(" ",255)),255))," ")</f>
        <v xml:space="preserve"> </v>
      </c>
      <c r="G4685" s="110">
        <f>COPY!Z4677</f>
        <v>0</v>
      </c>
      <c r="H4685" s="111" t="str">
        <f>IFERROR(VLOOKUP(Table1722[[#This Row],[Bukti]],'Un nOTA'!$A$4:$K$5003,10,FALSE),"")</f>
        <v/>
      </c>
      <c r="I4685" s="123" t="str">
        <f>IFERROR(VLOOKUP(Table1722[[#This Row],[Bukti]],Table13[#Data],11,FALSE),"")</f>
        <v/>
      </c>
    </row>
    <row r="4686" spans="1:9" hidden="1" x14ac:dyDescent="0.2">
      <c r="A4686" s="105" t="str">
        <f>IF(D4686=1,COUNTIF($D$10:D4686,1)," ")</f>
        <v xml:space="preserve"> </v>
      </c>
      <c r="B4686" s="106">
        <f>COPY!AR4678</f>
        <v>0</v>
      </c>
      <c r="C4686" s="107">
        <f>COPY!AC4678</f>
        <v>0</v>
      </c>
      <c r="D4686" s="107" t="str">
        <f>IF(LEN(Table1722[[#This Row],[Uraian]])&gt;2,1," ")</f>
        <v xml:space="preserve"> </v>
      </c>
      <c r="E4686" s="113" t="str">
        <f>IF(Table1722[[#This Row],[Lawan Transaksi]]="CV AGUNG KARYA",COUNTIF($I$10:I4686,"CV AGUNG KARYA")," ")</f>
        <v xml:space="preserve"> </v>
      </c>
      <c r="F4686" s="107" t="str">
        <f>IF(LEN(Table1722[[#This Row],[Uraian]])&gt;2,TRIM(RIGHT(SUBSTITUTE(TRIM(C4686)," ",REPT(" ",255)),255))," ")</f>
        <v xml:space="preserve"> </v>
      </c>
      <c r="G4686" s="110">
        <f>COPY!Z4678</f>
        <v>0</v>
      </c>
      <c r="H4686" s="111" t="str">
        <f>IFERROR(VLOOKUP(Table1722[[#This Row],[Bukti]],'Un nOTA'!$A$4:$K$5003,10,FALSE),"")</f>
        <v/>
      </c>
      <c r="I4686" s="123" t="str">
        <f>IFERROR(VLOOKUP(Table1722[[#This Row],[Bukti]],Table13[#Data],11,FALSE),"")</f>
        <v/>
      </c>
    </row>
    <row r="4687" spans="1:9" hidden="1" x14ac:dyDescent="0.2">
      <c r="A4687" s="105" t="str">
        <f>IF(D4687=1,COUNTIF($D$10:D4687,1)," ")</f>
        <v xml:space="preserve"> </v>
      </c>
      <c r="B4687" s="106">
        <f>COPY!AR4679</f>
        <v>0</v>
      </c>
      <c r="C4687" s="107">
        <f>COPY!AC4679</f>
        <v>0</v>
      </c>
      <c r="D4687" s="107" t="str">
        <f>IF(LEN(Table1722[[#This Row],[Uraian]])&gt;2,1," ")</f>
        <v xml:space="preserve"> </v>
      </c>
      <c r="E4687" s="113" t="str">
        <f>IF(Table1722[[#This Row],[Lawan Transaksi]]="CV AGUNG KARYA",COUNTIF($I$10:I4687,"CV AGUNG KARYA")," ")</f>
        <v xml:space="preserve"> </v>
      </c>
      <c r="F4687" s="107" t="str">
        <f>IF(LEN(Table1722[[#This Row],[Uraian]])&gt;2,TRIM(RIGHT(SUBSTITUTE(TRIM(C4687)," ",REPT(" ",255)),255))," ")</f>
        <v xml:space="preserve"> </v>
      </c>
      <c r="G4687" s="110">
        <f>COPY!Z4679</f>
        <v>0</v>
      </c>
      <c r="H4687" s="111" t="str">
        <f>IFERROR(VLOOKUP(Table1722[[#This Row],[Bukti]],'Un nOTA'!$A$4:$K$5003,10,FALSE),"")</f>
        <v/>
      </c>
      <c r="I4687" s="123" t="str">
        <f>IFERROR(VLOOKUP(Table1722[[#This Row],[Bukti]],Table13[#Data],11,FALSE),"")</f>
        <v/>
      </c>
    </row>
    <row r="4688" spans="1:9" hidden="1" x14ac:dyDescent="0.2">
      <c r="A4688" s="105" t="str">
        <f>IF(D4688=1,COUNTIF($D$10:D4688,1)," ")</f>
        <v xml:space="preserve"> </v>
      </c>
      <c r="B4688" s="106">
        <f>COPY!AR4680</f>
        <v>0</v>
      </c>
      <c r="C4688" s="107">
        <f>COPY!AC4680</f>
        <v>0</v>
      </c>
      <c r="D4688" s="107" t="str">
        <f>IF(LEN(Table1722[[#This Row],[Uraian]])&gt;2,1," ")</f>
        <v xml:space="preserve"> </v>
      </c>
      <c r="E4688" s="113" t="str">
        <f>IF(Table1722[[#This Row],[Lawan Transaksi]]="CV AGUNG KARYA",COUNTIF($I$10:I4688,"CV AGUNG KARYA")," ")</f>
        <v xml:space="preserve"> </v>
      </c>
      <c r="F4688" s="107" t="str">
        <f>IF(LEN(Table1722[[#This Row],[Uraian]])&gt;2,TRIM(RIGHT(SUBSTITUTE(TRIM(C4688)," ",REPT(" ",255)),255))," ")</f>
        <v xml:space="preserve"> </v>
      </c>
      <c r="G4688" s="110">
        <f>COPY!Z4680</f>
        <v>0</v>
      </c>
      <c r="H4688" s="111" t="str">
        <f>IFERROR(VLOOKUP(Table1722[[#This Row],[Bukti]],'Un nOTA'!$A$4:$K$5003,10,FALSE),"")</f>
        <v/>
      </c>
      <c r="I4688" s="123" t="str">
        <f>IFERROR(VLOOKUP(Table1722[[#This Row],[Bukti]],Table13[#Data],11,FALSE),"")</f>
        <v/>
      </c>
    </row>
    <row r="4689" spans="1:9" hidden="1" x14ac:dyDescent="0.2">
      <c r="A4689" s="105" t="str">
        <f>IF(D4689=1,COUNTIF($D$10:D4689,1)," ")</f>
        <v xml:space="preserve"> </v>
      </c>
      <c r="B4689" s="106">
        <f>COPY!AR4681</f>
        <v>0</v>
      </c>
      <c r="C4689" s="107">
        <f>COPY!AC4681</f>
        <v>0</v>
      </c>
      <c r="D4689" s="107" t="str">
        <f>IF(LEN(Table1722[[#This Row],[Uraian]])&gt;2,1," ")</f>
        <v xml:space="preserve"> </v>
      </c>
      <c r="E4689" s="113" t="str">
        <f>IF(Table1722[[#This Row],[Lawan Transaksi]]="CV AGUNG KARYA",COUNTIF($I$10:I4689,"CV AGUNG KARYA")," ")</f>
        <v xml:space="preserve"> </v>
      </c>
      <c r="F4689" s="107" t="str">
        <f>IF(LEN(Table1722[[#This Row],[Uraian]])&gt;2,TRIM(RIGHT(SUBSTITUTE(TRIM(C4689)," ",REPT(" ",255)),255))," ")</f>
        <v xml:space="preserve"> </v>
      </c>
      <c r="G4689" s="110">
        <f>COPY!Z4681</f>
        <v>0</v>
      </c>
      <c r="H4689" s="111" t="str">
        <f>IFERROR(VLOOKUP(Table1722[[#This Row],[Bukti]],'Un nOTA'!$A$4:$K$5003,10,FALSE),"")</f>
        <v/>
      </c>
      <c r="I4689" s="123" t="str">
        <f>IFERROR(VLOOKUP(Table1722[[#This Row],[Bukti]],Table13[#Data],11,FALSE),"")</f>
        <v/>
      </c>
    </row>
    <row r="4690" spans="1:9" hidden="1" x14ac:dyDescent="0.2">
      <c r="A4690" s="105" t="str">
        <f>IF(D4690=1,COUNTIF($D$10:D4690,1)," ")</f>
        <v xml:space="preserve"> </v>
      </c>
      <c r="B4690" s="106">
        <f>COPY!AR4682</f>
        <v>0</v>
      </c>
      <c r="C4690" s="107">
        <f>COPY!AC4682</f>
        <v>0</v>
      </c>
      <c r="D4690" s="107" t="str">
        <f>IF(LEN(Table1722[[#This Row],[Uraian]])&gt;2,1," ")</f>
        <v xml:space="preserve"> </v>
      </c>
      <c r="E4690" s="113" t="str">
        <f>IF(Table1722[[#This Row],[Lawan Transaksi]]="CV AGUNG KARYA",COUNTIF($I$10:I4690,"CV AGUNG KARYA")," ")</f>
        <v xml:space="preserve"> </v>
      </c>
      <c r="F4690" s="107" t="str">
        <f>IF(LEN(Table1722[[#This Row],[Uraian]])&gt;2,TRIM(RIGHT(SUBSTITUTE(TRIM(C4690)," ",REPT(" ",255)),255))," ")</f>
        <v xml:space="preserve"> </v>
      </c>
      <c r="G4690" s="110">
        <f>COPY!Z4682</f>
        <v>0</v>
      </c>
      <c r="H4690" s="111" t="str">
        <f>IFERROR(VLOOKUP(Table1722[[#This Row],[Bukti]],'Un nOTA'!$A$4:$K$5003,10,FALSE),"")</f>
        <v/>
      </c>
      <c r="I4690" s="123" t="str">
        <f>IFERROR(VLOOKUP(Table1722[[#This Row],[Bukti]],Table13[#Data],11,FALSE),"")</f>
        <v/>
      </c>
    </row>
    <row r="4691" spans="1:9" hidden="1" x14ac:dyDescent="0.2">
      <c r="A4691" s="105" t="str">
        <f>IF(D4691=1,COUNTIF($D$10:D4691,1)," ")</f>
        <v xml:space="preserve"> </v>
      </c>
      <c r="B4691" s="106">
        <f>COPY!AR4683</f>
        <v>0</v>
      </c>
      <c r="C4691" s="107">
        <f>COPY!AC4683</f>
        <v>0</v>
      </c>
      <c r="D4691" s="107" t="str">
        <f>IF(LEN(Table1722[[#This Row],[Uraian]])&gt;2,1," ")</f>
        <v xml:space="preserve"> </v>
      </c>
      <c r="E4691" s="113" t="str">
        <f>IF(Table1722[[#This Row],[Lawan Transaksi]]="CV AGUNG KARYA",COUNTIF($I$10:I4691,"CV AGUNG KARYA")," ")</f>
        <v xml:space="preserve"> </v>
      </c>
      <c r="F4691" s="107" t="str">
        <f>IF(LEN(Table1722[[#This Row],[Uraian]])&gt;2,TRIM(RIGHT(SUBSTITUTE(TRIM(C4691)," ",REPT(" ",255)),255))," ")</f>
        <v xml:space="preserve"> </v>
      </c>
      <c r="G4691" s="110">
        <f>COPY!Z4683</f>
        <v>0</v>
      </c>
      <c r="H4691" s="111" t="str">
        <f>IFERROR(VLOOKUP(Table1722[[#This Row],[Bukti]],'Un nOTA'!$A$4:$K$5003,10,FALSE),"")</f>
        <v/>
      </c>
      <c r="I4691" s="123" t="str">
        <f>IFERROR(VLOOKUP(Table1722[[#This Row],[Bukti]],Table13[#Data],11,FALSE),"")</f>
        <v/>
      </c>
    </row>
    <row r="4692" spans="1:9" hidden="1" x14ac:dyDescent="0.2">
      <c r="A4692" s="105" t="str">
        <f>IF(D4692=1,COUNTIF($D$10:D4692,1)," ")</f>
        <v xml:space="preserve"> </v>
      </c>
      <c r="B4692" s="106">
        <f>COPY!AR4684</f>
        <v>0</v>
      </c>
      <c r="C4692" s="107">
        <f>COPY!AC4684</f>
        <v>0</v>
      </c>
      <c r="D4692" s="107" t="str">
        <f>IF(LEN(Table1722[[#This Row],[Uraian]])&gt;2,1," ")</f>
        <v xml:space="preserve"> </v>
      </c>
      <c r="E4692" s="113" t="str">
        <f>IF(Table1722[[#This Row],[Lawan Transaksi]]="CV AGUNG KARYA",COUNTIF($I$10:I4692,"CV AGUNG KARYA")," ")</f>
        <v xml:space="preserve"> </v>
      </c>
      <c r="F4692" s="107" t="str">
        <f>IF(LEN(Table1722[[#This Row],[Uraian]])&gt;2,TRIM(RIGHT(SUBSTITUTE(TRIM(C4692)," ",REPT(" ",255)),255))," ")</f>
        <v xml:space="preserve"> </v>
      </c>
      <c r="G4692" s="110">
        <f>COPY!Z4684</f>
        <v>0</v>
      </c>
      <c r="H4692" s="111" t="str">
        <f>IFERROR(VLOOKUP(Table1722[[#This Row],[Bukti]],'Un nOTA'!$A$4:$K$5003,10,FALSE),"")</f>
        <v/>
      </c>
      <c r="I4692" s="123" t="str">
        <f>IFERROR(VLOOKUP(Table1722[[#This Row],[Bukti]],Table13[#Data],11,FALSE),"")</f>
        <v/>
      </c>
    </row>
    <row r="4693" spans="1:9" hidden="1" x14ac:dyDescent="0.2">
      <c r="A4693" s="105" t="str">
        <f>IF(D4693=1,COUNTIF($D$10:D4693,1)," ")</f>
        <v xml:space="preserve"> </v>
      </c>
      <c r="B4693" s="106">
        <f>COPY!AR4685</f>
        <v>0</v>
      </c>
      <c r="C4693" s="107">
        <f>COPY!AC4685</f>
        <v>0</v>
      </c>
      <c r="D4693" s="107" t="str">
        <f>IF(LEN(Table1722[[#This Row],[Uraian]])&gt;2,1," ")</f>
        <v xml:space="preserve"> </v>
      </c>
      <c r="E4693" s="113" t="str">
        <f>IF(Table1722[[#This Row],[Lawan Transaksi]]="CV AGUNG KARYA",COUNTIF($I$10:I4693,"CV AGUNG KARYA")," ")</f>
        <v xml:space="preserve"> </v>
      </c>
      <c r="F4693" s="107" t="str">
        <f>IF(LEN(Table1722[[#This Row],[Uraian]])&gt;2,TRIM(RIGHT(SUBSTITUTE(TRIM(C4693)," ",REPT(" ",255)),255))," ")</f>
        <v xml:space="preserve"> </v>
      </c>
      <c r="G4693" s="110">
        <f>COPY!Z4685</f>
        <v>0</v>
      </c>
      <c r="H4693" s="111" t="str">
        <f>IFERROR(VLOOKUP(Table1722[[#This Row],[Bukti]],'Un nOTA'!$A$4:$K$5003,10,FALSE),"")</f>
        <v/>
      </c>
      <c r="I4693" s="123" t="str">
        <f>IFERROR(VLOOKUP(Table1722[[#This Row],[Bukti]],Table13[#Data],11,FALSE),"")</f>
        <v/>
      </c>
    </row>
    <row r="4694" spans="1:9" hidden="1" x14ac:dyDescent="0.2">
      <c r="A4694" s="105" t="str">
        <f>IF(D4694=1,COUNTIF($D$10:D4694,1)," ")</f>
        <v xml:space="preserve"> </v>
      </c>
      <c r="B4694" s="106">
        <f>COPY!AR4686</f>
        <v>0</v>
      </c>
      <c r="C4694" s="107">
        <f>COPY!AC4686</f>
        <v>0</v>
      </c>
      <c r="D4694" s="107" t="str">
        <f>IF(LEN(Table1722[[#This Row],[Uraian]])&gt;2,1," ")</f>
        <v xml:space="preserve"> </v>
      </c>
      <c r="E4694" s="113" t="str">
        <f>IF(Table1722[[#This Row],[Lawan Transaksi]]="CV AGUNG KARYA",COUNTIF($I$10:I4694,"CV AGUNG KARYA")," ")</f>
        <v xml:space="preserve"> </v>
      </c>
      <c r="F4694" s="107" t="str">
        <f>IF(LEN(Table1722[[#This Row],[Uraian]])&gt;2,TRIM(RIGHT(SUBSTITUTE(TRIM(C4694)," ",REPT(" ",255)),255))," ")</f>
        <v xml:space="preserve"> </v>
      </c>
      <c r="G4694" s="110">
        <f>COPY!Z4686</f>
        <v>0</v>
      </c>
      <c r="H4694" s="111" t="str">
        <f>IFERROR(VLOOKUP(Table1722[[#This Row],[Bukti]],'Un nOTA'!$A$4:$K$5003,10,FALSE),"")</f>
        <v/>
      </c>
      <c r="I4694" s="123" t="str">
        <f>IFERROR(VLOOKUP(Table1722[[#This Row],[Bukti]],Table13[#Data],11,FALSE),"")</f>
        <v/>
      </c>
    </row>
    <row r="4695" spans="1:9" hidden="1" x14ac:dyDescent="0.2">
      <c r="A4695" s="105" t="str">
        <f>IF(D4695=1,COUNTIF($D$10:D4695,1)," ")</f>
        <v xml:space="preserve"> </v>
      </c>
      <c r="B4695" s="106">
        <f>COPY!AR4687</f>
        <v>0</v>
      </c>
      <c r="C4695" s="107">
        <f>COPY!AC4687</f>
        <v>0</v>
      </c>
      <c r="D4695" s="107" t="str">
        <f>IF(LEN(Table1722[[#This Row],[Uraian]])&gt;2,1," ")</f>
        <v xml:space="preserve"> </v>
      </c>
      <c r="E4695" s="113" t="str">
        <f>IF(Table1722[[#This Row],[Lawan Transaksi]]="CV AGUNG KARYA",COUNTIF($I$10:I4695,"CV AGUNG KARYA")," ")</f>
        <v xml:space="preserve"> </v>
      </c>
      <c r="F4695" s="107" t="str">
        <f>IF(LEN(Table1722[[#This Row],[Uraian]])&gt;2,TRIM(RIGHT(SUBSTITUTE(TRIM(C4695)," ",REPT(" ",255)),255))," ")</f>
        <v xml:space="preserve"> </v>
      </c>
      <c r="G4695" s="110">
        <f>COPY!Z4687</f>
        <v>0</v>
      </c>
      <c r="H4695" s="111" t="str">
        <f>IFERROR(VLOOKUP(Table1722[[#This Row],[Bukti]],'Un nOTA'!$A$4:$K$5003,10,FALSE),"")</f>
        <v/>
      </c>
      <c r="I4695" s="123" t="str">
        <f>IFERROR(VLOOKUP(Table1722[[#This Row],[Bukti]],Table13[#Data],11,FALSE),"")</f>
        <v/>
      </c>
    </row>
    <row r="4696" spans="1:9" hidden="1" x14ac:dyDescent="0.2">
      <c r="A4696" s="105" t="str">
        <f>IF(D4696=1,COUNTIF($D$10:D4696,1)," ")</f>
        <v xml:space="preserve"> </v>
      </c>
      <c r="B4696" s="106">
        <f>COPY!AR4688</f>
        <v>0</v>
      </c>
      <c r="C4696" s="107">
        <f>COPY!AC4688</f>
        <v>0</v>
      </c>
      <c r="D4696" s="107" t="str">
        <f>IF(LEN(Table1722[[#This Row],[Uraian]])&gt;2,1," ")</f>
        <v xml:space="preserve"> </v>
      </c>
      <c r="E4696" s="113" t="str">
        <f>IF(Table1722[[#This Row],[Lawan Transaksi]]="CV AGUNG KARYA",COUNTIF($I$10:I4696,"CV AGUNG KARYA")," ")</f>
        <v xml:space="preserve"> </v>
      </c>
      <c r="F4696" s="107" t="str">
        <f>IF(LEN(Table1722[[#This Row],[Uraian]])&gt;2,TRIM(RIGHT(SUBSTITUTE(TRIM(C4696)," ",REPT(" ",255)),255))," ")</f>
        <v xml:space="preserve"> </v>
      </c>
      <c r="G4696" s="110">
        <f>COPY!Z4688</f>
        <v>0</v>
      </c>
      <c r="H4696" s="111" t="str">
        <f>IFERROR(VLOOKUP(Table1722[[#This Row],[Bukti]],'Un nOTA'!$A$4:$K$5003,10,FALSE),"")</f>
        <v/>
      </c>
      <c r="I4696" s="123" t="str">
        <f>IFERROR(VLOOKUP(Table1722[[#This Row],[Bukti]],Table13[#Data],11,FALSE),"")</f>
        <v/>
      </c>
    </row>
    <row r="4697" spans="1:9" hidden="1" x14ac:dyDescent="0.2">
      <c r="A4697" s="105" t="str">
        <f>IF(D4697=1,COUNTIF($D$10:D4697,1)," ")</f>
        <v xml:space="preserve"> </v>
      </c>
      <c r="B4697" s="106">
        <f>COPY!AR4689</f>
        <v>0</v>
      </c>
      <c r="C4697" s="107">
        <f>COPY!AC4689</f>
        <v>0</v>
      </c>
      <c r="D4697" s="107" t="str">
        <f>IF(LEN(Table1722[[#This Row],[Uraian]])&gt;2,1," ")</f>
        <v xml:space="preserve"> </v>
      </c>
      <c r="E4697" s="113" t="str">
        <f>IF(Table1722[[#This Row],[Lawan Transaksi]]="CV AGUNG KARYA",COUNTIF($I$10:I4697,"CV AGUNG KARYA")," ")</f>
        <v xml:space="preserve"> </v>
      </c>
      <c r="F4697" s="107" t="str">
        <f>IF(LEN(Table1722[[#This Row],[Uraian]])&gt;2,TRIM(RIGHT(SUBSTITUTE(TRIM(C4697)," ",REPT(" ",255)),255))," ")</f>
        <v xml:space="preserve"> </v>
      </c>
      <c r="G4697" s="110">
        <f>COPY!Z4689</f>
        <v>0</v>
      </c>
      <c r="H4697" s="111" t="str">
        <f>IFERROR(VLOOKUP(Table1722[[#This Row],[Bukti]],'Un nOTA'!$A$4:$K$5003,10,FALSE),"")</f>
        <v/>
      </c>
      <c r="I4697" s="123" t="str">
        <f>IFERROR(VLOOKUP(Table1722[[#This Row],[Bukti]],Table13[#Data],11,FALSE),"")</f>
        <v/>
      </c>
    </row>
    <row r="4698" spans="1:9" hidden="1" x14ac:dyDescent="0.2">
      <c r="A4698" s="105" t="str">
        <f>IF(D4698=1,COUNTIF($D$10:D4698,1)," ")</f>
        <v xml:space="preserve"> </v>
      </c>
      <c r="B4698" s="106">
        <f>COPY!AR4690</f>
        <v>0</v>
      </c>
      <c r="C4698" s="107">
        <f>COPY!AC4690</f>
        <v>0</v>
      </c>
      <c r="D4698" s="107" t="str">
        <f>IF(LEN(Table1722[[#This Row],[Uraian]])&gt;2,1," ")</f>
        <v xml:space="preserve"> </v>
      </c>
      <c r="E4698" s="113" t="str">
        <f>IF(Table1722[[#This Row],[Lawan Transaksi]]="CV AGUNG KARYA",COUNTIF($I$10:I4698,"CV AGUNG KARYA")," ")</f>
        <v xml:space="preserve"> </v>
      </c>
      <c r="F4698" s="107" t="str">
        <f>IF(LEN(Table1722[[#This Row],[Uraian]])&gt;2,TRIM(RIGHT(SUBSTITUTE(TRIM(C4698)," ",REPT(" ",255)),255))," ")</f>
        <v xml:space="preserve"> </v>
      </c>
      <c r="G4698" s="110">
        <f>COPY!Z4690</f>
        <v>0</v>
      </c>
      <c r="H4698" s="111" t="str">
        <f>IFERROR(VLOOKUP(Table1722[[#This Row],[Bukti]],'Un nOTA'!$A$4:$K$5003,10,FALSE),"")</f>
        <v/>
      </c>
      <c r="I4698" s="123" t="str">
        <f>IFERROR(VLOOKUP(Table1722[[#This Row],[Bukti]],Table13[#Data],11,FALSE),"")</f>
        <v/>
      </c>
    </row>
    <row r="4699" spans="1:9" hidden="1" x14ac:dyDescent="0.2">
      <c r="A4699" s="105" t="str">
        <f>IF(D4699=1,COUNTIF($D$10:D4699,1)," ")</f>
        <v xml:space="preserve"> </v>
      </c>
      <c r="B4699" s="106">
        <f>COPY!AR4691</f>
        <v>0</v>
      </c>
      <c r="C4699" s="107">
        <f>COPY!AC4691</f>
        <v>0</v>
      </c>
      <c r="D4699" s="107" t="str">
        <f>IF(LEN(Table1722[[#This Row],[Uraian]])&gt;2,1," ")</f>
        <v xml:space="preserve"> </v>
      </c>
      <c r="E4699" s="113" t="str">
        <f>IF(Table1722[[#This Row],[Lawan Transaksi]]="CV AGUNG KARYA",COUNTIF($I$10:I4699,"CV AGUNG KARYA")," ")</f>
        <v xml:space="preserve"> </v>
      </c>
      <c r="F4699" s="107" t="str">
        <f>IF(LEN(Table1722[[#This Row],[Uraian]])&gt;2,TRIM(RIGHT(SUBSTITUTE(TRIM(C4699)," ",REPT(" ",255)),255))," ")</f>
        <v xml:space="preserve"> </v>
      </c>
      <c r="G4699" s="110">
        <f>COPY!Z4691</f>
        <v>0</v>
      </c>
      <c r="H4699" s="111" t="str">
        <f>IFERROR(VLOOKUP(Table1722[[#This Row],[Bukti]],'Un nOTA'!$A$4:$K$5003,10,FALSE),"")</f>
        <v/>
      </c>
      <c r="I4699" s="123" t="str">
        <f>IFERROR(VLOOKUP(Table1722[[#This Row],[Bukti]],Table13[#Data],11,FALSE),"")</f>
        <v/>
      </c>
    </row>
    <row r="4700" spans="1:9" hidden="1" x14ac:dyDescent="0.2">
      <c r="A4700" s="105" t="str">
        <f>IF(D4700=1,COUNTIF($D$10:D4700,1)," ")</f>
        <v xml:space="preserve"> </v>
      </c>
      <c r="B4700" s="106">
        <f>COPY!AR4692</f>
        <v>0</v>
      </c>
      <c r="C4700" s="107">
        <f>COPY!AC4692</f>
        <v>0</v>
      </c>
      <c r="D4700" s="107" t="str">
        <f>IF(LEN(Table1722[[#This Row],[Uraian]])&gt;2,1," ")</f>
        <v xml:space="preserve"> </v>
      </c>
      <c r="E4700" s="113" t="str">
        <f>IF(Table1722[[#This Row],[Lawan Transaksi]]="CV AGUNG KARYA",COUNTIF($I$10:I4700,"CV AGUNG KARYA")," ")</f>
        <v xml:space="preserve"> </v>
      </c>
      <c r="F4700" s="107" t="str">
        <f>IF(LEN(Table1722[[#This Row],[Uraian]])&gt;2,TRIM(RIGHT(SUBSTITUTE(TRIM(C4700)," ",REPT(" ",255)),255))," ")</f>
        <v xml:space="preserve"> </v>
      </c>
      <c r="G4700" s="110">
        <f>COPY!Z4692</f>
        <v>0</v>
      </c>
      <c r="H4700" s="111" t="str">
        <f>IFERROR(VLOOKUP(Table1722[[#This Row],[Bukti]],'Un nOTA'!$A$4:$K$5003,10,FALSE),"")</f>
        <v/>
      </c>
      <c r="I4700" s="123" t="str">
        <f>IFERROR(VLOOKUP(Table1722[[#This Row],[Bukti]],Table13[#Data],11,FALSE),"")</f>
        <v/>
      </c>
    </row>
    <row r="4701" spans="1:9" hidden="1" x14ac:dyDescent="0.2">
      <c r="A4701" s="105" t="str">
        <f>IF(D4701=1,COUNTIF($D$10:D4701,1)," ")</f>
        <v xml:space="preserve"> </v>
      </c>
      <c r="B4701" s="106">
        <f>COPY!AR4693</f>
        <v>0</v>
      </c>
      <c r="C4701" s="107">
        <f>COPY!AC4693</f>
        <v>0</v>
      </c>
      <c r="D4701" s="107" t="str">
        <f>IF(LEN(Table1722[[#This Row],[Uraian]])&gt;2,1," ")</f>
        <v xml:space="preserve"> </v>
      </c>
      <c r="E4701" s="113" t="str">
        <f>IF(Table1722[[#This Row],[Lawan Transaksi]]="CV AGUNG KARYA",COUNTIF($I$10:I4701,"CV AGUNG KARYA")," ")</f>
        <v xml:space="preserve"> </v>
      </c>
      <c r="F4701" s="107" t="str">
        <f>IF(LEN(Table1722[[#This Row],[Uraian]])&gt;2,TRIM(RIGHT(SUBSTITUTE(TRIM(C4701)," ",REPT(" ",255)),255))," ")</f>
        <v xml:space="preserve"> </v>
      </c>
      <c r="G4701" s="110">
        <f>COPY!Z4693</f>
        <v>0</v>
      </c>
      <c r="H4701" s="111" t="str">
        <f>IFERROR(VLOOKUP(Table1722[[#This Row],[Bukti]],'Un nOTA'!$A$4:$K$5003,10,FALSE),"")</f>
        <v/>
      </c>
      <c r="I4701" s="123" t="str">
        <f>IFERROR(VLOOKUP(Table1722[[#This Row],[Bukti]],Table13[#Data],11,FALSE),"")</f>
        <v/>
      </c>
    </row>
    <row r="4702" spans="1:9" hidden="1" x14ac:dyDescent="0.2">
      <c r="A4702" s="105" t="str">
        <f>IF(D4702=1,COUNTIF($D$10:D4702,1)," ")</f>
        <v xml:space="preserve"> </v>
      </c>
      <c r="B4702" s="106">
        <f>COPY!AR4694</f>
        <v>0</v>
      </c>
      <c r="C4702" s="107">
        <f>COPY!AC4694</f>
        <v>0</v>
      </c>
      <c r="D4702" s="107" t="str">
        <f>IF(LEN(Table1722[[#This Row],[Uraian]])&gt;2,1," ")</f>
        <v xml:space="preserve"> </v>
      </c>
      <c r="E4702" s="113" t="str">
        <f>IF(Table1722[[#This Row],[Lawan Transaksi]]="CV AGUNG KARYA",COUNTIF($I$10:I4702,"CV AGUNG KARYA")," ")</f>
        <v xml:space="preserve"> </v>
      </c>
      <c r="F4702" s="107" t="str">
        <f>IF(LEN(Table1722[[#This Row],[Uraian]])&gt;2,TRIM(RIGHT(SUBSTITUTE(TRIM(C4702)," ",REPT(" ",255)),255))," ")</f>
        <v xml:space="preserve"> </v>
      </c>
      <c r="G4702" s="110">
        <f>COPY!Z4694</f>
        <v>0</v>
      </c>
      <c r="H4702" s="111" t="str">
        <f>IFERROR(VLOOKUP(Table1722[[#This Row],[Bukti]],'Un nOTA'!$A$4:$K$5003,10,FALSE),"")</f>
        <v/>
      </c>
      <c r="I4702" s="123" t="str">
        <f>IFERROR(VLOOKUP(Table1722[[#This Row],[Bukti]],Table13[#Data],11,FALSE),"")</f>
        <v/>
      </c>
    </row>
    <row r="4703" spans="1:9" hidden="1" x14ac:dyDescent="0.2">
      <c r="A4703" s="105" t="str">
        <f>IF(D4703=1,COUNTIF($D$10:D4703,1)," ")</f>
        <v xml:space="preserve"> </v>
      </c>
      <c r="B4703" s="106">
        <f>COPY!AR4695</f>
        <v>0</v>
      </c>
      <c r="C4703" s="107">
        <f>COPY!AC4695</f>
        <v>0</v>
      </c>
      <c r="D4703" s="107" t="str">
        <f>IF(LEN(Table1722[[#This Row],[Uraian]])&gt;2,1," ")</f>
        <v xml:space="preserve"> </v>
      </c>
      <c r="E4703" s="113" t="str">
        <f>IF(Table1722[[#This Row],[Lawan Transaksi]]="CV AGUNG KARYA",COUNTIF($I$10:I4703,"CV AGUNG KARYA")," ")</f>
        <v xml:space="preserve"> </v>
      </c>
      <c r="F4703" s="107" t="str">
        <f>IF(LEN(Table1722[[#This Row],[Uraian]])&gt;2,TRIM(RIGHT(SUBSTITUTE(TRIM(C4703)," ",REPT(" ",255)),255))," ")</f>
        <v xml:space="preserve"> </v>
      </c>
      <c r="G4703" s="110">
        <f>COPY!Z4695</f>
        <v>0</v>
      </c>
      <c r="H4703" s="111" t="str">
        <f>IFERROR(VLOOKUP(Table1722[[#This Row],[Bukti]],'Un nOTA'!$A$4:$K$5003,10,FALSE),"")</f>
        <v/>
      </c>
      <c r="I4703" s="123" t="str">
        <f>IFERROR(VLOOKUP(Table1722[[#This Row],[Bukti]],Table13[#Data],11,FALSE),"")</f>
        <v/>
      </c>
    </row>
    <row r="4704" spans="1:9" hidden="1" x14ac:dyDescent="0.2">
      <c r="A4704" s="105" t="str">
        <f>IF(D4704=1,COUNTIF($D$10:D4704,1)," ")</f>
        <v xml:space="preserve"> </v>
      </c>
      <c r="B4704" s="106">
        <f>COPY!AR4696</f>
        <v>0</v>
      </c>
      <c r="C4704" s="107">
        <f>COPY!AC4696</f>
        <v>0</v>
      </c>
      <c r="D4704" s="107" t="str">
        <f>IF(LEN(Table1722[[#This Row],[Uraian]])&gt;2,1," ")</f>
        <v xml:space="preserve"> </v>
      </c>
      <c r="E4704" s="113" t="str">
        <f>IF(Table1722[[#This Row],[Lawan Transaksi]]="CV AGUNG KARYA",COUNTIF($I$10:I4704,"CV AGUNG KARYA")," ")</f>
        <v xml:space="preserve"> </v>
      </c>
      <c r="F4704" s="107" t="str">
        <f>IF(LEN(Table1722[[#This Row],[Uraian]])&gt;2,TRIM(RIGHT(SUBSTITUTE(TRIM(C4704)," ",REPT(" ",255)),255))," ")</f>
        <v xml:space="preserve"> </v>
      </c>
      <c r="G4704" s="110">
        <f>COPY!Z4696</f>
        <v>0</v>
      </c>
      <c r="H4704" s="111" t="str">
        <f>IFERROR(VLOOKUP(Table1722[[#This Row],[Bukti]],'Un nOTA'!$A$4:$K$5003,10,FALSE),"")</f>
        <v/>
      </c>
      <c r="I4704" s="123" t="str">
        <f>IFERROR(VLOOKUP(Table1722[[#This Row],[Bukti]],Table13[#Data],11,FALSE),"")</f>
        <v/>
      </c>
    </row>
    <row r="4705" spans="1:9" hidden="1" x14ac:dyDescent="0.2">
      <c r="A4705" s="105" t="str">
        <f>IF(D4705=1,COUNTIF($D$10:D4705,1)," ")</f>
        <v xml:space="preserve"> </v>
      </c>
      <c r="B4705" s="106">
        <f>COPY!AR4697</f>
        <v>0</v>
      </c>
      <c r="C4705" s="107">
        <f>COPY!AC4697</f>
        <v>0</v>
      </c>
      <c r="D4705" s="107" t="str">
        <f>IF(LEN(Table1722[[#This Row],[Uraian]])&gt;2,1," ")</f>
        <v xml:space="preserve"> </v>
      </c>
      <c r="E4705" s="113" t="str">
        <f>IF(Table1722[[#This Row],[Lawan Transaksi]]="CV AGUNG KARYA",COUNTIF($I$10:I4705,"CV AGUNG KARYA")," ")</f>
        <v xml:space="preserve"> </v>
      </c>
      <c r="F4705" s="107" t="str">
        <f>IF(LEN(Table1722[[#This Row],[Uraian]])&gt;2,TRIM(RIGHT(SUBSTITUTE(TRIM(C4705)," ",REPT(" ",255)),255))," ")</f>
        <v xml:space="preserve"> </v>
      </c>
      <c r="G4705" s="110">
        <f>COPY!Z4697</f>
        <v>0</v>
      </c>
      <c r="H4705" s="111" t="str">
        <f>IFERROR(VLOOKUP(Table1722[[#This Row],[Bukti]],'Un nOTA'!$A$4:$K$5003,10,FALSE),"")</f>
        <v/>
      </c>
      <c r="I4705" s="123" t="str">
        <f>IFERROR(VLOOKUP(Table1722[[#This Row],[Bukti]],Table13[#Data],11,FALSE),"")</f>
        <v/>
      </c>
    </row>
    <row r="4706" spans="1:9" hidden="1" x14ac:dyDescent="0.2">
      <c r="A4706" s="105" t="str">
        <f>IF(D4706=1,COUNTIF($D$10:D4706,1)," ")</f>
        <v xml:space="preserve"> </v>
      </c>
      <c r="B4706" s="106">
        <f>COPY!AR4698</f>
        <v>0</v>
      </c>
      <c r="C4706" s="107">
        <f>COPY!AC4698</f>
        <v>0</v>
      </c>
      <c r="D4706" s="107" t="str">
        <f>IF(LEN(Table1722[[#This Row],[Uraian]])&gt;2,1," ")</f>
        <v xml:space="preserve"> </v>
      </c>
      <c r="E4706" s="113" t="str">
        <f>IF(Table1722[[#This Row],[Lawan Transaksi]]="CV AGUNG KARYA",COUNTIF($I$10:I4706,"CV AGUNG KARYA")," ")</f>
        <v xml:space="preserve"> </v>
      </c>
      <c r="F4706" s="107" t="str">
        <f>IF(LEN(Table1722[[#This Row],[Uraian]])&gt;2,TRIM(RIGHT(SUBSTITUTE(TRIM(C4706)," ",REPT(" ",255)),255))," ")</f>
        <v xml:space="preserve"> </v>
      </c>
      <c r="G4706" s="110">
        <f>COPY!Z4698</f>
        <v>0</v>
      </c>
      <c r="H4706" s="111" t="str">
        <f>IFERROR(VLOOKUP(Table1722[[#This Row],[Bukti]],'Un nOTA'!$A$4:$K$5003,10,FALSE),"")</f>
        <v/>
      </c>
      <c r="I4706" s="123" t="str">
        <f>IFERROR(VLOOKUP(Table1722[[#This Row],[Bukti]],Table13[#Data],11,FALSE),"")</f>
        <v/>
      </c>
    </row>
    <row r="4707" spans="1:9" hidden="1" x14ac:dyDescent="0.2">
      <c r="A4707" s="105" t="str">
        <f>IF(D4707=1,COUNTIF($D$10:D4707,1)," ")</f>
        <v xml:space="preserve"> </v>
      </c>
      <c r="B4707" s="106">
        <f>COPY!AR4699</f>
        <v>0</v>
      </c>
      <c r="C4707" s="107">
        <f>COPY!AC4699</f>
        <v>0</v>
      </c>
      <c r="D4707" s="107" t="str">
        <f>IF(LEN(Table1722[[#This Row],[Uraian]])&gt;2,1," ")</f>
        <v xml:space="preserve"> </v>
      </c>
      <c r="E4707" s="113" t="str">
        <f>IF(Table1722[[#This Row],[Lawan Transaksi]]="CV AGUNG KARYA",COUNTIF($I$10:I4707,"CV AGUNG KARYA")," ")</f>
        <v xml:space="preserve"> </v>
      </c>
      <c r="F4707" s="107" t="str">
        <f>IF(LEN(Table1722[[#This Row],[Uraian]])&gt;2,TRIM(RIGHT(SUBSTITUTE(TRIM(C4707)," ",REPT(" ",255)),255))," ")</f>
        <v xml:space="preserve"> </v>
      </c>
      <c r="G4707" s="110">
        <f>COPY!Z4699</f>
        <v>0</v>
      </c>
      <c r="H4707" s="111" t="str">
        <f>IFERROR(VLOOKUP(Table1722[[#This Row],[Bukti]],'Un nOTA'!$A$4:$K$5003,10,FALSE),"")</f>
        <v/>
      </c>
      <c r="I4707" s="123" t="str">
        <f>IFERROR(VLOOKUP(Table1722[[#This Row],[Bukti]],Table13[#Data],11,FALSE),"")</f>
        <v/>
      </c>
    </row>
    <row r="4708" spans="1:9" hidden="1" x14ac:dyDescent="0.2">
      <c r="A4708" s="105" t="str">
        <f>IF(D4708=1,COUNTIF($D$10:D4708,1)," ")</f>
        <v xml:space="preserve"> </v>
      </c>
      <c r="B4708" s="106">
        <f>COPY!AR4700</f>
        <v>0</v>
      </c>
      <c r="C4708" s="107">
        <f>COPY!AC4700</f>
        <v>0</v>
      </c>
      <c r="D4708" s="107" t="str">
        <f>IF(LEN(Table1722[[#This Row],[Uraian]])&gt;2,1," ")</f>
        <v xml:space="preserve"> </v>
      </c>
      <c r="E4708" s="113" t="str">
        <f>IF(Table1722[[#This Row],[Lawan Transaksi]]="CV AGUNG KARYA",COUNTIF($I$10:I4708,"CV AGUNG KARYA")," ")</f>
        <v xml:space="preserve"> </v>
      </c>
      <c r="F4708" s="107" t="str">
        <f>IF(LEN(Table1722[[#This Row],[Uraian]])&gt;2,TRIM(RIGHT(SUBSTITUTE(TRIM(C4708)," ",REPT(" ",255)),255))," ")</f>
        <v xml:space="preserve"> </v>
      </c>
      <c r="G4708" s="110">
        <f>COPY!Z4700</f>
        <v>0</v>
      </c>
      <c r="H4708" s="111" t="str">
        <f>IFERROR(VLOOKUP(Table1722[[#This Row],[Bukti]],'Un nOTA'!$A$4:$K$5003,10,FALSE),"")</f>
        <v/>
      </c>
      <c r="I4708" s="123" t="str">
        <f>IFERROR(VLOOKUP(Table1722[[#This Row],[Bukti]],Table13[#Data],11,FALSE),"")</f>
        <v/>
      </c>
    </row>
    <row r="4709" spans="1:9" hidden="1" x14ac:dyDescent="0.2">
      <c r="A4709" s="105" t="str">
        <f>IF(D4709=1,COUNTIF($D$10:D4709,1)," ")</f>
        <v xml:space="preserve"> </v>
      </c>
      <c r="B4709" s="106">
        <f>COPY!AR4701</f>
        <v>0</v>
      </c>
      <c r="C4709" s="107">
        <f>COPY!AC4701</f>
        <v>0</v>
      </c>
      <c r="D4709" s="107" t="str">
        <f>IF(LEN(Table1722[[#This Row],[Uraian]])&gt;2,1," ")</f>
        <v xml:space="preserve"> </v>
      </c>
      <c r="E4709" s="113" t="str">
        <f>IF(Table1722[[#This Row],[Lawan Transaksi]]="CV AGUNG KARYA",COUNTIF($I$10:I4709,"CV AGUNG KARYA")," ")</f>
        <v xml:space="preserve"> </v>
      </c>
      <c r="F4709" s="107" t="str">
        <f>IF(LEN(Table1722[[#This Row],[Uraian]])&gt;2,TRIM(RIGHT(SUBSTITUTE(TRIM(C4709)," ",REPT(" ",255)),255))," ")</f>
        <v xml:space="preserve"> </v>
      </c>
      <c r="G4709" s="110">
        <f>COPY!Z4701</f>
        <v>0</v>
      </c>
      <c r="H4709" s="111" t="str">
        <f>IFERROR(VLOOKUP(Table1722[[#This Row],[Bukti]],'Un nOTA'!$A$4:$K$5003,10,FALSE),"")</f>
        <v/>
      </c>
      <c r="I4709" s="123" t="str">
        <f>IFERROR(VLOOKUP(Table1722[[#This Row],[Bukti]],Table13[#Data],11,FALSE),"")</f>
        <v/>
      </c>
    </row>
    <row r="4710" spans="1:9" hidden="1" x14ac:dyDescent="0.2">
      <c r="A4710" s="105" t="str">
        <f>IF(D4710=1,COUNTIF($D$10:D4710,1)," ")</f>
        <v xml:space="preserve"> </v>
      </c>
      <c r="B4710" s="106">
        <f>COPY!AR4702</f>
        <v>0</v>
      </c>
      <c r="C4710" s="107">
        <f>COPY!AC4702</f>
        <v>0</v>
      </c>
      <c r="D4710" s="107" t="str">
        <f>IF(LEN(Table1722[[#This Row],[Uraian]])&gt;2,1," ")</f>
        <v xml:space="preserve"> </v>
      </c>
      <c r="E4710" s="113" t="str">
        <f>IF(Table1722[[#This Row],[Lawan Transaksi]]="CV AGUNG KARYA",COUNTIF($I$10:I4710,"CV AGUNG KARYA")," ")</f>
        <v xml:space="preserve"> </v>
      </c>
      <c r="F4710" s="107" t="str">
        <f>IF(LEN(Table1722[[#This Row],[Uraian]])&gt;2,TRIM(RIGHT(SUBSTITUTE(TRIM(C4710)," ",REPT(" ",255)),255))," ")</f>
        <v xml:space="preserve"> </v>
      </c>
      <c r="G4710" s="110">
        <f>COPY!Z4702</f>
        <v>0</v>
      </c>
      <c r="H4710" s="111" t="str">
        <f>IFERROR(VLOOKUP(Table1722[[#This Row],[Bukti]],'Un nOTA'!$A$4:$K$5003,10,FALSE),"")</f>
        <v/>
      </c>
      <c r="I4710" s="123" t="str">
        <f>IFERROR(VLOOKUP(Table1722[[#This Row],[Bukti]],Table13[#Data],11,FALSE),"")</f>
        <v/>
      </c>
    </row>
    <row r="4711" spans="1:9" hidden="1" x14ac:dyDescent="0.2">
      <c r="A4711" s="105" t="str">
        <f>IF(D4711=1,COUNTIF($D$10:D4711,1)," ")</f>
        <v xml:space="preserve"> </v>
      </c>
      <c r="B4711" s="106">
        <f>COPY!AR4703</f>
        <v>0</v>
      </c>
      <c r="C4711" s="107">
        <f>COPY!AC4703</f>
        <v>0</v>
      </c>
      <c r="D4711" s="107" t="str">
        <f>IF(LEN(Table1722[[#This Row],[Uraian]])&gt;2,1," ")</f>
        <v xml:space="preserve"> </v>
      </c>
      <c r="E4711" s="113" t="str">
        <f>IF(Table1722[[#This Row],[Lawan Transaksi]]="CV AGUNG KARYA",COUNTIF($I$10:I4711,"CV AGUNG KARYA")," ")</f>
        <v xml:space="preserve"> </v>
      </c>
      <c r="F4711" s="107" t="str">
        <f>IF(LEN(Table1722[[#This Row],[Uraian]])&gt;2,TRIM(RIGHT(SUBSTITUTE(TRIM(C4711)," ",REPT(" ",255)),255))," ")</f>
        <v xml:space="preserve"> </v>
      </c>
      <c r="G4711" s="110">
        <f>COPY!Z4703</f>
        <v>0</v>
      </c>
      <c r="H4711" s="111" t="str">
        <f>IFERROR(VLOOKUP(Table1722[[#This Row],[Bukti]],'Un nOTA'!$A$4:$K$5003,10,FALSE),"")</f>
        <v/>
      </c>
      <c r="I4711" s="123" t="str">
        <f>IFERROR(VLOOKUP(Table1722[[#This Row],[Bukti]],Table13[#Data],11,FALSE),"")</f>
        <v/>
      </c>
    </row>
    <row r="4712" spans="1:9" hidden="1" x14ac:dyDescent="0.2">
      <c r="A4712" s="105" t="str">
        <f>IF(D4712=1,COUNTIF($D$10:D4712,1)," ")</f>
        <v xml:space="preserve"> </v>
      </c>
      <c r="B4712" s="106">
        <f>COPY!AR4704</f>
        <v>0</v>
      </c>
      <c r="C4712" s="107">
        <f>COPY!AC4704</f>
        <v>0</v>
      </c>
      <c r="D4712" s="107" t="str">
        <f>IF(LEN(Table1722[[#This Row],[Uraian]])&gt;2,1," ")</f>
        <v xml:space="preserve"> </v>
      </c>
      <c r="E4712" s="113" t="str">
        <f>IF(Table1722[[#This Row],[Lawan Transaksi]]="CV AGUNG KARYA",COUNTIF($I$10:I4712,"CV AGUNG KARYA")," ")</f>
        <v xml:space="preserve"> </v>
      </c>
      <c r="F4712" s="107" t="str">
        <f>IF(LEN(Table1722[[#This Row],[Uraian]])&gt;2,TRIM(RIGHT(SUBSTITUTE(TRIM(C4712)," ",REPT(" ",255)),255))," ")</f>
        <v xml:space="preserve"> </v>
      </c>
      <c r="G4712" s="110">
        <f>COPY!Z4704</f>
        <v>0</v>
      </c>
      <c r="H4712" s="111" t="str">
        <f>IFERROR(VLOOKUP(Table1722[[#This Row],[Bukti]],'Un nOTA'!$A$4:$K$5003,10,FALSE),"")</f>
        <v/>
      </c>
      <c r="I4712" s="123" t="str">
        <f>IFERROR(VLOOKUP(Table1722[[#This Row],[Bukti]],Table13[#Data],11,FALSE),"")</f>
        <v/>
      </c>
    </row>
    <row r="4713" spans="1:9" hidden="1" x14ac:dyDescent="0.2">
      <c r="A4713" s="105" t="str">
        <f>IF(D4713=1,COUNTIF($D$10:D4713,1)," ")</f>
        <v xml:space="preserve"> </v>
      </c>
      <c r="B4713" s="106">
        <f>COPY!AR4705</f>
        <v>0</v>
      </c>
      <c r="C4713" s="107">
        <f>COPY!AC4705</f>
        <v>0</v>
      </c>
      <c r="D4713" s="107" t="str">
        <f>IF(LEN(Table1722[[#This Row],[Uraian]])&gt;2,1," ")</f>
        <v xml:space="preserve"> </v>
      </c>
      <c r="E4713" s="113" t="str">
        <f>IF(Table1722[[#This Row],[Lawan Transaksi]]="CV AGUNG KARYA",COUNTIF($I$10:I4713,"CV AGUNG KARYA")," ")</f>
        <v xml:space="preserve"> </v>
      </c>
      <c r="F4713" s="107" t="str">
        <f>IF(LEN(Table1722[[#This Row],[Uraian]])&gt;2,TRIM(RIGHT(SUBSTITUTE(TRIM(C4713)," ",REPT(" ",255)),255))," ")</f>
        <v xml:space="preserve"> </v>
      </c>
      <c r="G4713" s="110">
        <f>COPY!Z4705</f>
        <v>0</v>
      </c>
      <c r="H4713" s="111" t="str">
        <f>IFERROR(VLOOKUP(Table1722[[#This Row],[Bukti]],'Un nOTA'!$A$4:$K$5003,10,FALSE),"")</f>
        <v/>
      </c>
      <c r="I4713" s="123" t="str">
        <f>IFERROR(VLOOKUP(Table1722[[#This Row],[Bukti]],Table13[#Data],11,FALSE),"")</f>
        <v/>
      </c>
    </row>
    <row r="4714" spans="1:9" hidden="1" x14ac:dyDescent="0.2">
      <c r="A4714" s="105" t="str">
        <f>IF(D4714=1,COUNTIF($D$10:D4714,1)," ")</f>
        <v xml:space="preserve"> </v>
      </c>
      <c r="B4714" s="106">
        <f>COPY!AR4706</f>
        <v>0</v>
      </c>
      <c r="C4714" s="107">
        <f>COPY!AC4706</f>
        <v>0</v>
      </c>
      <c r="D4714" s="107" t="str">
        <f>IF(LEN(Table1722[[#This Row],[Uraian]])&gt;2,1," ")</f>
        <v xml:space="preserve"> </v>
      </c>
      <c r="E4714" s="113" t="str">
        <f>IF(Table1722[[#This Row],[Lawan Transaksi]]="CV AGUNG KARYA",COUNTIF($I$10:I4714,"CV AGUNG KARYA")," ")</f>
        <v xml:space="preserve"> </v>
      </c>
      <c r="F4714" s="107" t="str">
        <f>IF(LEN(Table1722[[#This Row],[Uraian]])&gt;2,TRIM(RIGHT(SUBSTITUTE(TRIM(C4714)," ",REPT(" ",255)),255))," ")</f>
        <v xml:space="preserve"> </v>
      </c>
      <c r="G4714" s="110">
        <f>COPY!Z4706</f>
        <v>0</v>
      </c>
      <c r="H4714" s="111" t="str">
        <f>IFERROR(VLOOKUP(Table1722[[#This Row],[Bukti]],'Un nOTA'!$A$4:$K$5003,10,FALSE),"")</f>
        <v/>
      </c>
      <c r="I4714" s="123" t="str">
        <f>IFERROR(VLOOKUP(Table1722[[#This Row],[Bukti]],Table13[#Data],11,FALSE),"")</f>
        <v/>
      </c>
    </row>
    <row r="4715" spans="1:9" hidden="1" x14ac:dyDescent="0.2">
      <c r="A4715" s="105" t="str">
        <f>IF(D4715=1,COUNTIF($D$10:D4715,1)," ")</f>
        <v xml:space="preserve"> </v>
      </c>
      <c r="B4715" s="106">
        <f>COPY!AR4707</f>
        <v>0</v>
      </c>
      <c r="C4715" s="107">
        <f>COPY!AC4707</f>
        <v>0</v>
      </c>
      <c r="D4715" s="107" t="str">
        <f>IF(LEN(Table1722[[#This Row],[Uraian]])&gt;2,1," ")</f>
        <v xml:space="preserve"> </v>
      </c>
      <c r="E4715" s="113" t="str">
        <f>IF(Table1722[[#This Row],[Lawan Transaksi]]="CV AGUNG KARYA",COUNTIF($I$10:I4715,"CV AGUNG KARYA")," ")</f>
        <v xml:space="preserve"> </v>
      </c>
      <c r="F4715" s="107" t="str">
        <f>IF(LEN(Table1722[[#This Row],[Uraian]])&gt;2,TRIM(RIGHT(SUBSTITUTE(TRIM(C4715)," ",REPT(" ",255)),255))," ")</f>
        <v xml:space="preserve"> </v>
      </c>
      <c r="G4715" s="110">
        <f>COPY!Z4707</f>
        <v>0</v>
      </c>
      <c r="H4715" s="111" t="str">
        <f>IFERROR(VLOOKUP(Table1722[[#This Row],[Bukti]],'Un nOTA'!$A$4:$K$5003,10,FALSE),"")</f>
        <v/>
      </c>
      <c r="I4715" s="123" t="str">
        <f>IFERROR(VLOOKUP(Table1722[[#This Row],[Bukti]],Table13[#Data],11,FALSE),"")</f>
        <v/>
      </c>
    </row>
    <row r="4716" spans="1:9" hidden="1" x14ac:dyDescent="0.2">
      <c r="A4716" s="105" t="str">
        <f>IF(D4716=1,COUNTIF($D$10:D4716,1)," ")</f>
        <v xml:space="preserve"> </v>
      </c>
      <c r="B4716" s="106">
        <f>COPY!AR4708</f>
        <v>0</v>
      </c>
      <c r="C4716" s="107">
        <f>COPY!AC4708</f>
        <v>0</v>
      </c>
      <c r="D4716" s="107" t="str">
        <f>IF(LEN(Table1722[[#This Row],[Uraian]])&gt;2,1," ")</f>
        <v xml:space="preserve"> </v>
      </c>
      <c r="E4716" s="113" t="str">
        <f>IF(Table1722[[#This Row],[Lawan Transaksi]]="CV AGUNG KARYA",COUNTIF($I$10:I4716,"CV AGUNG KARYA")," ")</f>
        <v xml:space="preserve"> </v>
      </c>
      <c r="F4716" s="107" t="str">
        <f>IF(LEN(Table1722[[#This Row],[Uraian]])&gt;2,TRIM(RIGHT(SUBSTITUTE(TRIM(C4716)," ",REPT(" ",255)),255))," ")</f>
        <v xml:space="preserve"> </v>
      </c>
      <c r="G4716" s="110">
        <f>COPY!Z4708</f>
        <v>0</v>
      </c>
      <c r="H4716" s="111" t="str">
        <f>IFERROR(VLOOKUP(Table1722[[#This Row],[Bukti]],'Un nOTA'!$A$4:$K$5003,10,FALSE),"")</f>
        <v/>
      </c>
      <c r="I4716" s="123" t="str">
        <f>IFERROR(VLOOKUP(Table1722[[#This Row],[Bukti]],Table13[#Data],11,FALSE),"")</f>
        <v/>
      </c>
    </row>
    <row r="4717" spans="1:9" hidden="1" x14ac:dyDescent="0.2">
      <c r="A4717" s="105" t="str">
        <f>IF(D4717=1,COUNTIF($D$10:D4717,1)," ")</f>
        <v xml:space="preserve"> </v>
      </c>
      <c r="B4717" s="106">
        <f>COPY!AR4709</f>
        <v>0</v>
      </c>
      <c r="C4717" s="107">
        <f>COPY!AC4709</f>
        <v>0</v>
      </c>
      <c r="D4717" s="107" t="str">
        <f>IF(LEN(Table1722[[#This Row],[Uraian]])&gt;2,1," ")</f>
        <v xml:space="preserve"> </v>
      </c>
      <c r="E4717" s="113" t="str">
        <f>IF(Table1722[[#This Row],[Lawan Transaksi]]="CV AGUNG KARYA",COUNTIF($I$10:I4717,"CV AGUNG KARYA")," ")</f>
        <v xml:space="preserve"> </v>
      </c>
      <c r="F4717" s="107" t="str">
        <f>IF(LEN(Table1722[[#This Row],[Uraian]])&gt;2,TRIM(RIGHT(SUBSTITUTE(TRIM(C4717)," ",REPT(" ",255)),255))," ")</f>
        <v xml:space="preserve"> </v>
      </c>
      <c r="G4717" s="110">
        <f>COPY!Z4709</f>
        <v>0</v>
      </c>
      <c r="H4717" s="111" t="str">
        <f>IFERROR(VLOOKUP(Table1722[[#This Row],[Bukti]],'Un nOTA'!$A$4:$K$5003,10,FALSE),"")</f>
        <v/>
      </c>
      <c r="I4717" s="123" t="str">
        <f>IFERROR(VLOOKUP(Table1722[[#This Row],[Bukti]],Table13[#Data],11,FALSE),"")</f>
        <v/>
      </c>
    </row>
    <row r="4718" spans="1:9" hidden="1" x14ac:dyDescent="0.2">
      <c r="A4718" s="105" t="str">
        <f>IF(D4718=1,COUNTIF($D$10:D4718,1)," ")</f>
        <v xml:space="preserve"> </v>
      </c>
      <c r="B4718" s="106">
        <f>COPY!AR4710</f>
        <v>0</v>
      </c>
      <c r="C4718" s="107">
        <f>COPY!AC4710</f>
        <v>0</v>
      </c>
      <c r="D4718" s="107" t="str">
        <f>IF(LEN(Table1722[[#This Row],[Uraian]])&gt;2,1," ")</f>
        <v xml:space="preserve"> </v>
      </c>
      <c r="E4718" s="113" t="str">
        <f>IF(Table1722[[#This Row],[Lawan Transaksi]]="CV AGUNG KARYA",COUNTIF($I$10:I4718,"CV AGUNG KARYA")," ")</f>
        <v xml:space="preserve"> </v>
      </c>
      <c r="F4718" s="107" t="str">
        <f>IF(LEN(Table1722[[#This Row],[Uraian]])&gt;2,TRIM(RIGHT(SUBSTITUTE(TRIM(C4718)," ",REPT(" ",255)),255))," ")</f>
        <v xml:space="preserve"> </v>
      </c>
      <c r="G4718" s="110">
        <f>COPY!Z4710</f>
        <v>0</v>
      </c>
      <c r="H4718" s="111" t="str">
        <f>IFERROR(VLOOKUP(Table1722[[#This Row],[Bukti]],'Un nOTA'!$A$4:$K$5003,10,FALSE),"")</f>
        <v/>
      </c>
      <c r="I4718" s="123" t="str">
        <f>IFERROR(VLOOKUP(Table1722[[#This Row],[Bukti]],Table13[#Data],11,FALSE),"")</f>
        <v/>
      </c>
    </row>
    <row r="4719" spans="1:9" hidden="1" x14ac:dyDescent="0.2">
      <c r="A4719" s="105" t="str">
        <f>IF(D4719=1,COUNTIF($D$10:D4719,1)," ")</f>
        <v xml:space="preserve"> </v>
      </c>
      <c r="B4719" s="106">
        <f>COPY!AR4711</f>
        <v>0</v>
      </c>
      <c r="C4719" s="107">
        <f>COPY!AC4711</f>
        <v>0</v>
      </c>
      <c r="D4719" s="107" t="str">
        <f>IF(LEN(Table1722[[#This Row],[Uraian]])&gt;2,1," ")</f>
        <v xml:space="preserve"> </v>
      </c>
      <c r="E4719" s="113" t="str">
        <f>IF(Table1722[[#This Row],[Lawan Transaksi]]="CV AGUNG KARYA",COUNTIF($I$10:I4719,"CV AGUNG KARYA")," ")</f>
        <v xml:space="preserve"> </v>
      </c>
      <c r="F4719" s="107" t="str">
        <f>IF(LEN(Table1722[[#This Row],[Uraian]])&gt;2,TRIM(RIGHT(SUBSTITUTE(TRIM(C4719)," ",REPT(" ",255)),255))," ")</f>
        <v xml:space="preserve"> </v>
      </c>
      <c r="G4719" s="110">
        <f>COPY!Z4711</f>
        <v>0</v>
      </c>
      <c r="H4719" s="111" t="str">
        <f>IFERROR(VLOOKUP(Table1722[[#This Row],[Bukti]],'Un nOTA'!$A$4:$K$5003,10,FALSE),"")</f>
        <v/>
      </c>
      <c r="I4719" s="123" t="str">
        <f>IFERROR(VLOOKUP(Table1722[[#This Row],[Bukti]],Table13[#Data],11,FALSE),"")</f>
        <v/>
      </c>
    </row>
    <row r="4720" spans="1:9" hidden="1" x14ac:dyDescent="0.2">
      <c r="A4720" s="105" t="str">
        <f>IF(D4720=1,COUNTIF($D$10:D4720,1)," ")</f>
        <v xml:space="preserve"> </v>
      </c>
      <c r="B4720" s="106">
        <f>COPY!AR4712</f>
        <v>0</v>
      </c>
      <c r="C4720" s="107">
        <f>COPY!AC4712</f>
        <v>0</v>
      </c>
      <c r="D4720" s="107" t="str">
        <f>IF(LEN(Table1722[[#This Row],[Uraian]])&gt;2,1," ")</f>
        <v xml:space="preserve"> </v>
      </c>
      <c r="E4720" s="113" t="str">
        <f>IF(Table1722[[#This Row],[Lawan Transaksi]]="CV AGUNG KARYA",COUNTIF($I$10:I4720,"CV AGUNG KARYA")," ")</f>
        <v xml:space="preserve"> </v>
      </c>
      <c r="F4720" s="107" t="str">
        <f>IF(LEN(Table1722[[#This Row],[Uraian]])&gt;2,TRIM(RIGHT(SUBSTITUTE(TRIM(C4720)," ",REPT(" ",255)),255))," ")</f>
        <v xml:space="preserve"> </v>
      </c>
      <c r="G4720" s="110">
        <f>COPY!Z4712</f>
        <v>0</v>
      </c>
      <c r="H4720" s="111" t="str">
        <f>IFERROR(VLOOKUP(Table1722[[#This Row],[Bukti]],'Un nOTA'!$A$4:$K$5003,10,FALSE),"")</f>
        <v/>
      </c>
      <c r="I4720" s="123" t="str">
        <f>IFERROR(VLOOKUP(Table1722[[#This Row],[Bukti]],Table13[#Data],11,FALSE),"")</f>
        <v/>
      </c>
    </row>
    <row r="4721" spans="1:9" hidden="1" x14ac:dyDescent="0.2">
      <c r="A4721" s="105" t="str">
        <f>IF(D4721=1,COUNTIF($D$10:D4721,1)," ")</f>
        <v xml:space="preserve"> </v>
      </c>
      <c r="B4721" s="106">
        <f>COPY!AR4713</f>
        <v>0</v>
      </c>
      <c r="C4721" s="107">
        <f>COPY!AC4713</f>
        <v>0</v>
      </c>
      <c r="D4721" s="107" t="str">
        <f>IF(LEN(Table1722[[#This Row],[Uraian]])&gt;2,1," ")</f>
        <v xml:space="preserve"> </v>
      </c>
      <c r="E4721" s="113" t="str">
        <f>IF(Table1722[[#This Row],[Lawan Transaksi]]="CV AGUNG KARYA",COUNTIF($I$10:I4721,"CV AGUNG KARYA")," ")</f>
        <v xml:space="preserve"> </v>
      </c>
      <c r="F4721" s="107" t="str">
        <f>IF(LEN(Table1722[[#This Row],[Uraian]])&gt;2,TRIM(RIGHT(SUBSTITUTE(TRIM(C4721)," ",REPT(" ",255)),255))," ")</f>
        <v xml:space="preserve"> </v>
      </c>
      <c r="G4721" s="110">
        <f>COPY!Z4713</f>
        <v>0</v>
      </c>
      <c r="H4721" s="111" t="str">
        <f>IFERROR(VLOOKUP(Table1722[[#This Row],[Bukti]],'Un nOTA'!$A$4:$K$5003,10,FALSE),"")</f>
        <v/>
      </c>
      <c r="I4721" s="123" t="str">
        <f>IFERROR(VLOOKUP(Table1722[[#This Row],[Bukti]],Table13[#Data],11,FALSE),"")</f>
        <v/>
      </c>
    </row>
    <row r="4722" spans="1:9" hidden="1" x14ac:dyDescent="0.2">
      <c r="A4722" s="105" t="str">
        <f>IF(D4722=1,COUNTIF($D$10:D4722,1)," ")</f>
        <v xml:space="preserve"> </v>
      </c>
      <c r="B4722" s="106">
        <f>COPY!AR4714</f>
        <v>0</v>
      </c>
      <c r="C4722" s="107">
        <f>COPY!AC4714</f>
        <v>0</v>
      </c>
      <c r="D4722" s="107" t="str">
        <f>IF(LEN(Table1722[[#This Row],[Uraian]])&gt;2,1," ")</f>
        <v xml:space="preserve"> </v>
      </c>
      <c r="E4722" s="113" t="str">
        <f>IF(Table1722[[#This Row],[Lawan Transaksi]]="CV AGUNG KARYA",COUNTIF($I$10:I4722,"CV AGUNG KARYA")," ")</f>
        <v xml:space="preserve"> </v>
      </c>
      <c r="F4722" s="107" t="str">
        <f>IF(LEN(Table1722[[#This Row],[Uraian]])&gt;2,TRIM(RIGHT(SUBSTITUTE(TRIM(C4722)," ",REPT(" ",255)),255))," ")</f>
        <v xml:space="preserve"> </v>
      </c>
      <c r="G4722" s="110">
        <f>COPY!Z4714</f>
        <v>0</v>
      </c>
      <c r="H4722" s="111" t="str">
        <f>IFERROR(VLOOKUP(Table1722[[#This Row],[Bukti]],'Un nOTA'!$A$4:$K$5003,10,FALSE),"")</f>
        <v/>
      </c>
      <c r="I4722" s="123" t="str">
        <f>IFERROR(VLOOKUP(Table1722[[#This Row],[Bukti]],Table13[#Data],11,FALSE),"")</f>
        <v/>
      </c>
    </row>
    <row r="4723" spans="1:9" hidden="1" x14ac:dyDescent="0.2">
      <c r="A4723" s="105" t="str">
        <f>IF(D4723=1,COUNTIF($D$10:D4723,1)," ")</f>
        <v xml:space="preserve"> </v>
      </c>
      <c r="B4723" s="106">
        <f>COPY!AR4715</f>
        <v>0</v>
      </c>
      <c r="C4723" s="107">
        <f>COPY!AC4715</f>
        <v>0</v>
      </c>
      <c r="D4723" s="107" t="str">
        <f>IF(LEN(Table1722[[#This Row],[Uraian]])&gt;2,1," ")</f>
        <v xml:space="preserve"> </v>
      </c>
      <c r="E4723" s="113" t="str">
        <f>IF(Table1722[[#This Row],[Lawan Transaksi]]="CV AGUNG KARYA",COUNTIF($I$10:I4723,"CV AGUNG KARYA")," ")</f>
        <v xml:space="preserve"> </v>
      </c>
      <c r="F4723" s="107" t="str">
        <f>IF(LEN(Table1722[[#This Row],[Uraian]])&gt;2,TRIM(RIGHT(SUBSTITUTE(TRIM(C4723)," ",REPT(" ",255)),255))," ")</f>
        <v xml:space="preserve"> </v>
      </c>
      <c r="G4723" s="110">
        <f>COPY!Z4715</f>
        <v>0</v>
      </c>
      <c r="H4723" s="111" t="str">
        <f>IFERROR(VLOOKUP(Table1722[[#This Row],[Bukti]],'Un nOTA'!$A$4:$K$5003,10,FALSE),"")</f>
        <v/>
      </c>
      <c r="I4723" s="123" t="str">
        <f>IFERROR(VLOOKUP(Table1722[[#This Row],[Bukti]],Table13[#Data],11,FALSE),"")</f>
        <v/>
      </c>
    </row>
    <row r="4724" spans="1:9" hidden="1" x14ac:dyDescent="0.2">
      <c r="A4724" s="105" t="str">
        <f>IF(D4724=1,COUNTIF($D$10:D4724,1)," ")</f>
        <v xml:space="preserve"> </v>
      </c>
      <c r="B4724" s="106">
        <f>COPY!AR4716</f>
        <v>0</v>
      </c>
      <c r="C4724" s="107">
        <f>COPY!AC4716</f>
        <v>0</v>
      </c>
      <c r="D4724" s="107" t="str">
        <f>IF(LEN(Table1722[[#This Row],[Uraian]])&gt;2,1," ")</f>
        <v xml:space="preserve"> </v>
      </c>
      <c r="E4724" s="113" t="str">
        <f>IF(Table1722[[#This Row],[Lawan Transaksi]]="CV AGUNG KARYA",COUNTIF($I$10:I4724,"CV AGUNG KARYA")," ")</f>
        <v xml:space="preserve"> </v>
      </c>
      <c r="F4724" s="107" t="str">
        <f>IF(LEN(Table1722[[#This Row],[Uraian]])&gt;2,TRIM(RIGHT(SUBSTITUTE(TRIM(C4724)," ",REPT(" ",255)),255))," ")</f>
        <v xml:space="preserve"> </v>
      </c>
      <c r="G4724" s="110">
        <f>COPY!Z4716</f>
        <v>0</v>
      </c>
      <c r="H4724" s="111" t="str">
        <f>IFERROR(VLOOKUP(Table1722[[#This Row],[Bukti]],'Un nOTA'!$A$4:$K$5003,10,FALSE),"")</f>
        <v/>
      </c>
      <c r="I4724" s="123" t="str">
        <f>IFERROR(VLOOKUP(Table1722[[#This Row],[Bukti]],Table13[#Data],11,FALSE),"")</f>
        <v/>
      </c>
    </row>
    <row r="4725" spans="1:9" hidden="1" x14ac:dyDescent="0.2">
      <c r="A4725" s="105" t="str">
        <f>IF(D4725=1,COUNTIF($D$10:D4725,1)," ")</f>
        <v xml:space="preserve"> </v>
      </c>
      <c r="B4725" s="106">
        <f>COPY!AR4717</f>
        <v>0</v>
      </c>
      <c r="C4725" s="107">
        <f>COPY!AC4717</f>
        <v>0</v>
      </c>
      <c r="D4725" s="107" t="str">
        <f>IF(LEN(Table1722[[#This Row],[Uraian]])&gt;2,1," ")</f>
        <v xml:space="preserve"> </v>
      </c>
      <c r="E4725" s="113" t="str">
        <f>IF(Table1722[[#This Row],[Lawan Transaksi]]="CV AGUNG KARYA",COUNTIF($I$10:I4725,"CV AGUNG KARYA")," ")</f>
        <v xml:space="preserve"> </v>
      </c>
      <c r="F4725" s="107" t="str">
        <f>IF(LEN(Table1722[[#This Row],[Uraian]])&gt;2,TRIM(RIGHT(SUBSTITUTE(TRIM(C4725)," ",REPT(" ",255)),255))," ")</f>
        <v xml:space="preserve"> </v>
      </c>
      <c r="G4725" s="110">
        <f>COPY!Z4717</f>
        <v>0</v>
      </c>
      <c r="H4725" s="111" t="str">
        <f>IFERROR(VLOOKUP(Table1722[[#This Row],[Bukti]],'Un nOTA'!$A$4:$K$5003,10,FALSE),"")</f>
        <v/>
      </c>
      <c r="I4725" s="123" t="str">
        <f>IFERROR(VLOOKUP(Table1722[[#This Row],[Bukti]],Table13[#Data],11,FALSE),"")</f>
        <v/>
      </c>
    </row>
    <row r="4726" spans="1:9" hidden="1" x14ac:dyDescent="0.2">
      <c r="A4726" s="105" t="str">
        <f>IF(D4726=1,COUNTIF($D$10:D4726,1)," ")</f>
        <v xml:space="preserve"> </v>
      </c>
      <c r="B4726" s="106">
        <f>COPY!AR4718</f>
        <v>0</v>
      </c>
      <c r="C4726" s="107">
        <f>COPY!AC4718</f>
        <v>0</v>
      </c>
      <c r="D4726" s="107" t="str">
        <f>IF(LEN(Table1722[[#This Row],[Uraian]])&gt;2,1," ")</f>
        <v xml:space="preserve"> </v>
      </c>
      <c r="E4726" s="113" t="str">
        <f>IF(Table1722[[#This Row],[Lawan Transaksi]]="CV AGUNG KARYA",COUNTIF($I$10:I4726,"CV AGUNG KARYA")," ")</f>
        <v xml:space="preserve"> </v>
      </c>
      <c r="F4726" s="107" t="str">
        <f>IF(LEN(Table1722[[#This Row],[Uraian]])&gt;2,TRIM(RIGHT(SUBSTITUTE(TRIM(C4726)," ",REPT(" ",255)),255))," ")</f>
        <v xml:space="preserve"> </v>
      </c>
      <c r="G4726" s="110">
        <f>COPY!Z4718</f>
        <v>0</v>
      </c>
      <c r="H4726" s="111" t="str">
        <f>IFERROR(VLOOKUP(Table1722[[#This Row],[Bukti]],'Un nOTA'!$A$4:$K$5003,10,FALSE),"")</f>
        <v/>
      </c>
      <c r="I4726" s="123" t="str">
        <f>IFERROR(VLOOKUP(Table1722[[#This Row],[Bukti]],Table13[#Data],11,FALSE),"")</f>
        <v/>
      </c>
    </row>
    <row r="4727" spans="1:9" hidden="1" x14ac:dyDescent="0.2">
      <c r="A4727" s="105" t="str">
        <f>IF(D4727=1,COUNTIF($D$10:D4727,1)," ")</f>
        <v xml:space="preserve"> </v>
      </c>
      <c r="B4727" s="106">
        <f>COPY!AR4719</f>
        <v>0</v>
      </c>
      <c r="C4727" s="107">
        <f>COPY!AC4719</f>
        <v>0</v>
      </c>
      <c r="D4727" s="107" t="str">
        <f>IF(LEN(Table1722[[#This Row],[Uraian]])&gt;2,1," ")</f>
        <v xml:space="preserve"> </v>
      </c>
      <c r="E4727" s="113" t="str">
        <f>IF(Table1722[[#This Row],[Lawan Transaksi]]="CV AGUNG KARYA",COUNTIF($I$10:I4727,"CV AGUNG KARYA")," ")</f>
        <v xml:space="preserve"> </v>
      </c>
      <c r="F4727" s="107" t="str">
        <f>IF(LEN(Table1722[[#This Row],[Uraian]])&gt;2,TRIM(RIGHT(SUBSTITUTE(TRIM(C4727)," ",REPT(" ",255)),255))," ")</f>
        <v xml:space="preserve"> </v>
      </c>
      <c r="G4727" s="110">
        <f>COPY!Z4719</f>
        <v>0</v>
      </c>
      <c r="H4727" s="111" t="str">
        <f>IFERROR(VLOOKUP(Table1722[[#This Row],[Bukti]],'Un nOTA'!$A$4:$K$5003,10,FALSE),"")</f>
        <v/>
      </c>
      <c r="I4727" s="123" t="str">
        <f>IFERROR(VLOOKUP(Table1722[[#This Row],[Bukti]],Table13[#Data],11,FALSE),"")</f>
        <v/>
      </c>
    </row>
    <row r="4728" spans="1:9" hidden="1" x14ac:dyDescent="0.2">
      <c r="A4728" s="105" t="str">
        <f>IF(D4728=1,COUNTIF($D$10:D4728,1)," ")</f>
        <v xml:space="preserve"> </v>
      </c>
      <c r="B4728" s="106">
        <f>COPY!AR4720</f>
        <v>0</v>
      </c>
      <c r="C4728" s="107">
        <f>COPY!AC4720</f>
        <v>0</v>
      </c>
      <c r="D4728" s="107" t="str">
        <f>IF(LEN(Table1722[[#This Row],[Uraian]])&gt;2,1," ")</f>
        <v xml:space="preserve"> </v>
      </c>
      <c r="E4728" s="113" t="str">
        <f>IF(Table1722[[#This Row],[Lawan Transaksi]]="CV AGUNG KARYA",COUNTIF($I$10:I4728,"CV AGUNG KARYA")," ")</f>
        <v xml:space="preserve"> </v>
      </c>
      <c r="F4728" s="107" t="str">
        <f>IF(LEN(Table1722[[#This Row],[Uraian]])&gt;2,TRIM(RIGHT(SUBSTITUTE(TRIM(C4728)," ",REPT(" ",255)),255))," ")</f>
        <v xml:space="preserve"> </v>
      </c>
      <c r="G4728" s="110">
        <f>COPY!Z4720</f>
        <v>0</v>
      </c>
      <c r="H4728" s="111" t="str">
        <f>IFERROR(VLOOKUP(Table1722[[#This Row],[Bukti]],'Un nOTA'!$A$4:$K$5003,10,FALSE),"")</f>
        <v/>
      </c>
      <c r="I4728" s="123" t="str">
        <f>IFERROR(VLOOKUP(Table1722[[#This Row],[Bukti]],Table13[#Data],11,FALSE),"")</f>
        <v/>
      </c>
    </row>
    <row r="4729" spans="1:9" hidden="1" x14ac:dyDescent="0.2">
      <c r="A4729" s="105" t="str">
        <f>IF(D4729=1,COUNTIF($D$10:D4729,1)," ")</f>
        <v xml:space="preserve"> </v>
      </c>
      <c r="B4729" s="106">
        <f>COPY!AR4721</f>
        <v>0</v>
      </c>
      <c r="C4729" s="107">
        <f>COPY!AC4721</f>
        <v>0</v>
      </c>
      <c r="D4729" s="107" t="str">
        <f>IF(LEN(Table1722[[#This Row],[Uraian]])&gt;2,1," ")</f>
        <v xml:space="preserve"> </v>
      </c>
      <c r="E4729" s="113" t="str">
        <f>IF(Table1722[[#This Row],[Lawan Transaksi]]="CV AGUNG KARYA",COUNTIF($I$10:I4729,"CV AGUNG KARYA")," ")</f>
        <v xml:space="preserve"> </v>
      </c>
      <c r="F4729" s="107" t="str">
        <f>IF(LEN(Table1722[[#This Row],[Uraian]])&gt;2,TRIM(RIGHT(SUBSTITUTE(TRIM(C4729)," ",REPT(" ",255)),255))," ")</f>
        <v xml:space="preserve"> </v>
      </c>
      <c r="G4729" s="110">
        <f>COPY!Z4721</f>
        <v>0</v>
      </c>
      <c r="H4729" s="111" t="str">
        <f>IFERROR(VLOOKUP(Table1722[[#This Row],[Bukti]],'Un nOTA'!$A$4:$K$5003,10,FALSE),"")</f>
        <v/>
      </c>
      <c r="I4729" s="123" t="str">
        <f>IFERROR(VLOOKUP(Table1722[[#This Row],[Bukti]],Table13[#Data],11,FALSE),"")</f>
        <v/>
      </c>
    </row>
    <row r="4730" spans="1:9" hidden="1" x14ac:dyDescent="0.2">
      <c r="A4730" s="105" t="str">
        <f>IF(D4730=1,COUNTIF($D$10:D4730,1)," ")</f>
        <v xml:space="preserve"> </v>
      </c>
      <c r="B4730" s="106">
        <f>COPY!AR4722</f>
        <v>0</v>
      </c>
      <c r="C4730" s="107">
        <f>COPY!AC4722</f>
        <v>0</v>
      </c>
      <c r="D4730" s="107" t="str">
        <f>IF(LEN(Table1722[[#This Row],[Uraian]])&gt;2,1," ")</f>
        <v xml:space="preserve"> </v>
      </c>
      <c r="E4730" s="113" t="str">
        <f>IF(Table1722[[#This Row],[Lawan Transaksi]]="CV AGUNG KARYA",COUNTIF($I$10:I4730,"CV AGUNG KARYA")," ")</f>
        <v xml:space="preserve"> </v>
      </c>
      <c r="F4730" s="107" t="str">
        <f>IF(LEN(Table1722[[#This Row],[Uraian]])&gt;2,TRIM(RIGHT(SUBSTITUTE(TRIM(C4730)," ",REPT(" ",255)),255))," ")</f>
        <v xml:space="preserve"> </v>
      </c>
      <c r="G4730" s="110">
        <f>COPY!Z4722</f>
        <v>0</v>
      </c>
      <c r="H4730" s="111" t="str">
        <f>IFERROR(VLOOKUP(Table1722[[#This Row],[Bukti]],'Un nOTA'!$A$4:$K$5003,10,FALSE),"")</f>
        <v/>
      </c>
      <c r="I4730" s="123" t="str">
        <f>IFERROR(VLOOKUP(Table1722[[#This Row],[Bukti]],Table13[#Data],11,FALSE),"")</f>
        <v/>
      </c>
    </row>
    <row r="4731" spans="1:9" hidden="1" x14ac:dyDescent="0.2">
      <c r="A4731" s="105" t="str">
        <f>IF(D4731=1,COUNTIF($D$10:D4731,1)," ")</f>
        <v xml:space="preserve"> </v>
      </c>
      <c r="B4731" s="106">
        <f>COPY!AR4723</f>
        <v>0</v>
      </c>
      <c r="C4731" s="107">
        <f>COPY!AC4723</f>
        <v>0</v>
      </c>
      <c r="D4731" s="107" t="str">
        <f>IF(LEN(Table1722[[#This Row],[Uraian]])&gt;2,1," ")</f>
        <v xml:space="preserve"> </v>
      </c>
      <c r="E4731" s="113" t="str">
        <f>IF(Table1722[[#This Row],[Lawan Transaksi]]="CV AGUNG KARYA",COUNTIF($I$10:I4731,"CV AGUNG KARYA")," ")</f>
        <v xml:space="preserve"> </v>
      </c>
      <c r="F4731" s="107" t="str">
        <f>IF(LEN(Table1722[[#This Row],[Uraian]])&gt;2,TRIM(RIGHT(SUBSTITUTE(TRIM(C4731)," ",REPT(" ",255)),255))," ")</f>
        <v xml:space="preserve"> </v>
      </c>
      <c r="G4731" s="110">
        <f>COPY!Z4723</f>
        <v>0</v>
      </c>
      <c r="H4731" s="111" t="str">
        <f>IFERROR(VLOOKUP(Table1722[[#This Row],[Bukti]],'Un nOTA'!$A$4:$K$5003,10,FALSE),"")</f>
        <v/>
      </c>
      <c r="I4731" s="123" t="str">
        <f>IFERROR(VLOOKUP(Table1722[[#This Row],[Bukti]],Table13[#Data],11,FALSE),"")</f>
        <v/>
      </c>
    </row>
    <row r="4732" spans="1:9" hidden="1" x14ac:dyDescent="0.2">
      <c r="A4732" s="105" t="str">
        <f>IF(D4732=1,COUNTIF($D$10:D4732,1)," ")</f>
        <v xml:space="preserve"> </v>
      </c>
      <c r="B4732" s="106">
        <f>COPY!AR4724</f>
        <v>0</v>
      </c>
      <c r="C4732" s="107">
        <f>COPY!AC4724</f>
        <v>0</v>
      </c>
      <c r="D4732" s="107" t="str">
        <f>IF(LEN(Table1722[[#This Row],[Uraian]])&gt;2,1," ")</f>
        <v xml:space="preserve"> </v>
      </c>
      <c r="E4732" s="113" t="str">
        <f>IF(Table1722[[#This Row],[Lawan Transaksi]]="CV AGUNG KARYA",COUNTIF($I$10:I4732,"CV AGUNG KARYA")," ")</f>
        <v xml:space="preserve"> </v>
      </c>
      <c r="F4732" s="107" t="str">
        <f>IF(LEN(Table1722[[#This Row],[Uraian]])&gt;2,TRIM(RIGHT(SUBSTITUTE(TRIM(C4732)," ",REPT(" ",255)),255))," ")</f>
        <v xml:space="preserve"> </v>
      </c>
      <c r="G4732" s="110">
        <f>COPY!Z4724</f>
        <v>0</v>
      </c>
      <c r="H4732" s="111" t="str">
        <f>IFERROR(VLOOKUP(Table1722[[#This Row],[Bukti]],'Un nOTA'!$A$4:$K$5003,10,FALSE),"")</f>
        <v/>
      </c>
      <c r="I4732" s="123" t="str">
        <f>IFERROR(VLOOKUP(Table1722[[#This Row],[Bukti]],Table13[#Data],11,FALSE),"")</f>
        <v/>
      </c>
    </row>
    <row r="4733" spans="1:9" hidden="1" x14ac:dyDescent="0.2">
      <c r="A4733" s="105" t="str">
        <f>IF(D4733=1,COUNTIF($D$10:D4733,1)," ")</f>
        <v xml:space="preserve"> </v>
      </c>
      <c r="B4733" s="106">
        <f>COPY!AR4725</f>
        <v>0</v>
      </c>
      <c r="C4733" s="107">
        <f>COPY!AC4725</f>
        <v>0</v>
      </c>
      <c r="D4733" s="107" t="str">
        <f>IF(LEN(Table1722[[#This Row],[Uraian]])&gt;2,1," ")</f>
        <v xml:space="preserve"> </v>
      </c>
      <c r="E4733" s="113" t="str">
        <f>IF(Table1722[[#This Row],[Lawan Transaksi]]="CV AGUNG KARYA",COUNTIF($I$10:I4733,"CV AGUNG KARYA")," ")</f>
        <v xml:space="preserve"> </v>
      </c>
      <c r="F4733" s="107" t="str">
        <f>IF(LEN(Table1722[[#This Row],[Uraian]])&gt;2,TRIM(RIGHT(SUBSTITUTE(TRIM(C4733)," ",REPT(" ",255)),255))," ")</f>
        <v xml:space="preserve"> </v>
      </c>
      <c r="G4733" s="110">
        <f>COPY!Z4725</f>
        <v>0</v>
      </c>
      <c r="H4733" s="111" t="str">
        <f>IFERROR(VLOOKUP(Table1722[[#This Row],[Bukti]],'Un nOTA'!$A$4:$K$5003,10,FALSE),"")</f>
        <v/>
      </c>
      <c r="I4733" s="123" t="str">
        <f>IFERROR(VLOOKUP(Table1722[[#This Row],[Bukti]],Table13[#Data],11,FALSE),"")</f>
        <v/>
      </c>
    </row>
    <row r="4734" spans="1:9" hidden="1" x14ac:dyDescent="0.2">
      <c r="A4734" s="105" t="str">
        <f>IF(D4734=1,COUNTIF($D$10:D4734,1)," ")</f>
        <v xml:space="preserve"> </v>
      </c>
      <c r="B4734" s="106">
        <f>COPY!AR4726</f>
        <v>0</v>
      </c>
      <c r="C4734" s="107">
        <f>COPY!AC4726</f>
        <v>0</v>
      </c>
      <c r="D4734" s="107" t="str">
        <f>IF(LEN(Table1722[[#This Row],[Uraian]])&gt;2,1," ")</f>
        <v xml:space="preserve"> </v>
      </c>
      <c r="E4734" s="113" t="str">
        <f>IF(Table1722[[#This Row],[Lawan Transaksi]]="CV AGUNG KARYA",COUNTIF($I$10:I4734,"CV AGUNG KARYA")," ")</f>
        <v xml:space="preserve"> </v>
      </c>
      <c r="F4734" s="107" t="str">
        <f>IF(LEN(Table1722[[#This Row],[Uraian]])&gt;2,TRIM(RIGHT(SUBSTITUTE(TRIM(C4734)," ",REPT(" ",255)),255))," ")</f>
        <v xml:space="preserve"> </v>
      </c>
      <c r="G4734" s="110">
        <f>COPY!Z4726</f>
        <v>0</v>
      </c>
      <c r="H4734" s="111" t="str">
        <f>IFERROR(VLOOKUP(Table1722[[#This Row],[Bukti]],'Un nOTA'!$A$4:$K$5003,10,FALSE),"")</f>
        <v/>
      </c>
      <c r="I4734" s="123" t="str">
        <f>IFERROR(VLOOKUP(Table1722[[#This Row],[Bukti]],Table13[#Data],11,FALSE),"")</f>
        <v/>
      </c>
    </row>
    <row r="4735" spans="1:9" hidden="1" x14ac:dyDescent="0.2">
      <c r="A4735" s="105" t="str">
        <f>IF(D4735=1,COUNTIF($D$10:D4735,1)," ")</f>
        <v xml:space="preserve"> </v>
      </c>
      <c r="B4735" s="106">
        <f>COPY!AR4727</f>
        <v>0</v>
      </c>
      <c r="C4735" s="107">
        <f>COPY!AC4727</f>
        <v>0</v>
      </c>
      <c r="D4735" s="107" t="str">
        <f>IF(LEN(Table1722[[#This Row],[Uraian]])&gt;2,1," ")</f>
        <v xml:space="preserve"> </v>
      </c>
      <c r="E4735" s="113" t="str">
        <f>IF(Table1722[[#This Row],[Lawan Transaksi]]="CV AGUNG KARYA",COUNTIF($I$10:I4735,"CV AGUNG KARYA")," ")</f>
        <v xml:space="preserve"> </v>
      </c>
      <c r="F4735" s="107" t="str">
        <f>IF(LEN(Table1722[[#This Row],[Uraian]])&gt;2,TRIM(RIGHT(SUBSTITUTE(TRIM(C4735)," ",REPT(" ",255)),255))," ")</f>
        <v xml:space="preserve"> </v>
      </c>
      <c r="G4735" s="110">
        <f>COPY!Z4727</f>
        <v>0</v>
      </c>
      <c r="H4735" s="111" t="str">
        <f>IFERROR(VLOOKUP(Table1722[[#This Row],[Bukti]],'Un nOTA'!$A$4:$K$5003,10,FALSE),"")</f>
        <v/>
      </c>
      <c r="I4735" s="123" t="str">
        <f>IFERROR(VLOOKUP(Table1722[[#This Row],[Bukti]],Table13[#Data],11,FALSE),"")</f>
        <v/>
      </c>
    </row>
    <row r="4736" spans="1:9" hidden="1" x14ac:dyDescent="0.2">
      <c r="A4736" s="105" t="str">
        <f>IF(D4736=1,COUNTIF($D$10:D4736,1)," ")</f>
        <v xml:space="preserve"> </v>
      </c>
      <c r="B4736" s="106">
        <f>COPY!AR4728</f>
        <v>0</v>
      </c>
      <c r="C4736" s="107">
        <f>COPY!AC4728</f>
        <v>0</v>
      </c>
      <c r="D4736" s="107" t="str">
        <f>IF(LEN(Table1722[[#This Row],[Uraian]])&gt;2,1," ")</f>
        <v xml:space="preserve"> </v>
      </c>
      <c r="E4736" s="113" t="str">
        <f>IF(Table1722[[#This Row],[Lawan Transaksi]]="CV AGUNG KARYA",COUNTIF($I$10:I4736,"CV AGUNG KARYA")," ")</f>
        <v xml:space="preserve"> </v>
      </c>
      <c r="F4736" s="107" t="str">
        <f>IF(LEN(Table1722[[#This Row],[Uraian]])&gt;2,TRIM(RIGHT(SUBSTITUTE(TRIM(C4736)," ",REPT(" ",255)),255))," ")</f>
        <v xml:space="preserve"> </v>
      </c>
      <c r="G4736" s="110">
        <f>COPY!Z4728</f>
        <v>0</v>
      </c>
      <c r="H4736" s="111" t="str">
        <f>IFERROR(VLOOKUP(Table1722[[#This Row],[Bukti]],'Un nOTA'!$A$4:$K$5003,10,FALSE),"")</f>
        <v/>
      </c>
      <c r="I4736" s="123" t="str">
        <f>IFERROR(VLOOKUP(Table1722[[#This Row],[Bukti]],Table13[#Data],11,FALSE),"")</f>
        <v/>
      </c>
    </row>
    <row r="4737" spans="1:9" hidden="1" x14ac:dyDescent="0.2">
      <c r="A4737" s="105" t="str">
        <f>IF(D4737=1,COUNTIF($D$10:D4737,1)," ")</f>
        <v xml:space="preserve"> </v>
      </c>
      <c r="B4737" s="106">
        <f>COPY!AR4729</f>
        <v>0</v>
      </c>
      <c r="C4737" s="107">
        <f>COPY!AC4729</f>
        <v>0</v>
      </c>
      <c r="D4737" s="107" t="str">
        <f>IF(LEN(Table1722[[#This Row],[Uraian]])&gt;2,1," ")</f>
        <v xml:space="preserve"> </v>
      </c>
      <c r="E4737" s="113" t="str">
        <f>IF(Table1722[[#This Row],[Lawan Transaksi]]="CV AGUNG KARYA",COUNTIF($I$10:I4737,"CV AGUNG KARYA")," ")</f>
        <v xml:space="preserve"> </v>
      </c>
      <c r="F4737" s="107" t="str">
        <f>IF(LEN(Table1722[[#This Row],[Uraian]])&gt;2,TRIM(RIGHT(SUBSTITUTE(TRIM(C4737)," ",REPT(" ",255)),255))," ")</f>
        <v xml:space="preserve"> </v>
      </c>
      <c r="G4737" s="110">
        <f>COPY!Z4729</f>
        <v>0</v>
      </c>
      <c r="H4737" s="111" t="str">
        <f>IFERROR(VLOOKUP(Table1722[[#This Row],[Bukti]],'Un nOTA'!$A$4:$K$5003,10,FALSE),"")</f>
        <v/>
      </c>
      <c r="I4737" s="123" t="str">
        <f>IFERROR(VLOOKUP(Table1722[[#This Row],[Bukti]],Table13[#Data],11,FALSE),"")</f>
        <v/>
      </c>
    </row>
    <row r="4738" spans="1:9" hidden="1" x14ac:dyDescent="0.2">
      <c r="A4738" s="105" t="str">
        <f>IF(D4738=1,COUNTIF($D$10:D4738,1)," ")</f>
        <v xml:space="preserve"> </v>
      </c>
      <c r="B4738" s="106">
        <f>COPY!AR4730</f>
        <v>0</v>
      </c>
      <c r="C4738" s="107">
        <f>COPY!AC4730</f>
        <v>0</v>
      </c>
      <c r="D4738" s="107" t="str">
        <f>IF(LEN(Table1722[[#This Row],[Uraian]])&gt;2,1," ")</f>
        <v xml:space="preserve"> </v>
      </c>
      <c r="E4738" s="113" t="str">
        <f>IF(Table1722[[#This Row],[Lawan Transaksi]]="CV AGUNG KARYA",COUNTIF($I$10:I4738,"CV AGUNG KARYA")," ")</f>
        <v xml:space="preserve"> </v>
      </c>
      <c r="F4738" s="107" t="str">
        <f>IF(LEN(Table1722[[#This Row],[Uraian]])&gt;2,TRIM(RIGHT(SUBSTITUTE(TRIM(C4738)," ",REPT(" ",255)),255))," ")</f>
        <v xml:space="preserve"> </v>
      </c>
      <c r="G4738" s="110">
        <f>COPY!Z4730</f>
        <v>0</v>
      </c>
      <c r="H4738" s="111" t="str">
        <f>IFERROR(VLOOKUP(Table1722[[#This Row],[Bukti]],'Un nOTA'!$A$4:$K$5003,10,FALSE),"")</f>
        <v/>
      </c>
      <c r="I4738" s="123" t="str">
        <f>IFERROR(VLOOKUP(Table1722[[#This Row],[Bukti]],Table13[#Data],11,FALSE),"")</f>
        <v/>
      </c>
    </row>
    <row r="4739" spans="1:9" hidden="1" x14ac:dyDescent="0.2">
      <c r="A4739" s="105" t="str">
        <f>IF(D4739=1,COUNTIF($D$10:D4739,1)," ")</f>
        <v xml:space="preserve"> </v>
      </c>
      <c r="B4739" s="106">
        <f>COPY!AR4731</f>
        <v>0</v>
      </c>
      <c r="C4739" s="107">
        <f>COPY!AC4731</f>
        <v>0</v>
      </c>
      <c r="D4739" s="107" t="str">
        <f>IF(LEN(Table1722[[#This Row],[Uraian]])&gt;2,1," ")</f>
        <v xml:space="preserve"> </v>
      </c>
      <c r="E4739" s="113" t="str">
        <f>IF(Table1722[[#This Row],[Lawan Transaksi]]="CV AGUNG KARYA",COUNTIF($I$10:I4739,"CV AGUNG KARYA")," ")</f>
        <v xml:space="preserve"> </v>
      </c>
      <c r="F4739" s="107" t="str">
        <f>IF(LEN(Table1722[[#This Row],[Uraian]])&gt;2,TRIM(RIGHT(SUBSTITUTE(TRIM(C4739)," ",REPT(" ",255)),255))," ")</f>
        <v xml:space="preserve"> </v>
      </c>
      <c r="G4739" s="110">
        <f>COPY!Z4731</f>
        <v>0</v>
      </c>
      <c r="H4739" s="111" t="str">
        <f>IFERROR(VLOOKUP(Table1722[[#This Row],[Bukti]],'Un nOTA'!$A$4:$K$5003,10,FALSE),"")</f>
        <v/>
      </c>
      <c r="I4739" s="123" t="str">
        <f>IFERROR(VLOOKUP(Table1722[[#This Row],[Bukti]],Table13[#Data],11,FALSE),"")</f>
        <v/>
      </c>
    </row>
    <row r="4740" spans="1:9" hidden="1" x14ac:dyDescent="0.2">
      <c r="A4740" s="105" t="str">
        <f>IF(D4740=1,COUNTIF($D$10:D4740,1)," ")</f>
        <v xml:space="preserve"> </v>
      </c>
      <c r="B4740" s="106">
        <f>COPY!AR4732</f>
        <v>0</v>
      </c>
      <c r="C4740" s="107">
        <f>COPY!AC4732</f>
        <v>0</v>
      </c>
      <c r="D4740" s="107" t="str">
        <f>IF(LEN(Table1722[[#This Row],[Uraian]])&gt;2,1," ")</f>
        <v xml:space="preserve"> </v>
      </c>
      <c r="E4740" s="113" t="str">
        <f>IF(Table1722[[#This Row],[Lawan Transaksi]]="CV AGUNG KARYA",COUNTIF($I$10:I4740,"CV AGUNG KARYA")," ")</f>
        <v xml:space="preserve"> </v>
      </c>
      <c r="F4740" s="107" t="str">
        <f>IF(LEN(Table1722[[#This Row],[Uraian]])&gt;2,TRIM(RIGHT(SUBSTITUTE(TRIM(C4740)," ",REPT(" ",255)),255))," ")</f>
        <v xml:space="preserve"> </v>
      </c>
      <c r="G4740" s="110">
        <f>COPY!Z4732</f>
        <v>0</v>
      </c>
      <c r="H4740" s="111" t="str">
        <f>IFERROR(VLOOKUP(Table1722[[#This Row],[Bukti]],'Un nOTA'!$A$4:$K$5003,10,FALSE),"")</f>
        <v/>
      </c>
      <c r="I4740" s="123" t="str">
        <f>IFERROR(VLOOKUP(Table1722[[#This Row],[Bukti]],Table13[#Data],11,FALSE),"")</f>
        <v/>
      </c>
    </row>
    <row r="4741" spans="1:9" hidden="1" x14ac:dyDescent="0.2">
      <c r="A4741" s="105" t="str">
        <f>IF(D4741=1,COUNTIF($D$10:D4741,1)," ")</f>
        <v xml:space="preserve"> </v>
      </c>
      <c r="B4741" s="106">
        <f>COPY!AR4733</f>
        <v>0</v>
      </c>
      <c r="C4741" s="107">
        <f>COPY!AC4733</f>
        <v>0</v>
      </c>
      <c r="D4741" s="107" t="str">
        <f>IF(LEN(Table1722[[#This Row],[Uraian]])&gt;2,1," ")</f>
        <v xml:space="preserve"> </v>
      </c>
      <c r="E4741" s="113" t="str">
        <f>IF(Table1722[[#This Row],[Lawan Transaksi]]="CV AGUNG KARYA",COUNTIF($I$10:I4741,"CV AGUNG KARYA")," ")</f>
        <v xml:space="preserve"> </v>
      </c>
      <c r="F4741" s="107" t="str">
        <f>IF(LEN(Table1722[[#This Row],[Uraian]])&gt;2,TRIM(RIGHT(SUBSTITUTE(TRIM(C4741)," ",REPT(" ",255)),255))," ")</f>
        <v xml:space="preserve"> </v>
      </c>
      <c r="G4741" s="110">
        <f>COPY!Z4733</f>
        <v>0</v>
      </c>
      <c r="H4741" s="111" t="str">
        <f>IFERROR(VLOOKUP(Table1722[[#This Row],[Bukti]],'Un nOTA'!$A$4:$K$5003,10,FALSE),"")</f>
        <v/>
      </c>
      <c r="I4741" s="123" t="str">
        <f>IFERROR(VLOOKUP(Table1722[[#This Row],[Bukti]],Table13[#Data],11,FALSE),"")</f>
        <v/>
      </c>
    </row>
    <row r="4742" spans="1:9" hidden="1" x14ac:dyDescent="0.2">
      <c r="A4742" s="105" t="str">
        <f>IF(D4742=1,COUNTIF($D$10:D4742,1)," ")</f>
        <v xml:space="preserve"> </v>
      </c>
      <c r="B4742" s="106">
        <f>COPY!AR4734</f>
        <v>0</v>
      </c>
      <c r="C4742" s="107">
        <f>COPY!AC4734</f>
        <v>0</v>
      </c>
      <c r="D4742" s="107" t="str">
        <f>IF(LEN(Table1722[[#This Row],[Uraian]])&gt;2,1," ")</f>
        <v xml:space="preserve"> </v>
      </c>
      <c r="E4742" s="113" t="str">
        <f>IF(Table1722[[#This Row],[Lawan Transaksi]]="CV AGUNG KARYA",COUNTIF($I$10:I4742,"CV AGUNG KARYA")," ")</f>
        <v xml:space="preserve"> </v>
      </c>
      <c r="F4742" s="107" t="str">
        <f>IF(LEN(Table1722[[#This Row],[Uraian]])&gt;2,TRIM(RIGHT(SUBSTITUTE(TRIM(C4742)," ",REPT(" ",255)),255))," ")</f>
        <v xml:space="preserve"> </v>
      </c>
      <c r="G4742" s="110">
        <f>COPY!Z4734</f>
        <v>0</v>
      </c>
      <c r="H4742" s="111" t="str">
        <f>IFERROR(VLOOKUP(Table1722[[#This Row],[Bukti]],'Un nOTA'!$A$4:$K$5003,10,FALSE),"")</f>
        <v/>
      </c>
      <c r="I4742" s="123" t="str">
        <f>IFERROR(VLOOKUP(Table1722[[#This Row],[Bukti]],Table13[#Data],11,FALSE),"")</f>
        <v/>
      </c>
    </row>
    <row r="4743" spans="1:9" hidden="1" x14ac:dyDescent="0.2">
      <c r="A4743" s="105" t="str">
        <f>IF(D4743=1,COUNTIF($D$10:D4743,1)," ")</f>
        <v xml:space="preserve"> </v>
      </c>
      <c r="B4743" s="106">
        <f>COPY!AR4735</f>
        <v>0</v>
      </c>
      <c r="C4743" s="107">
        <f>COPY!AC4735</f>
        <v>0</v>
      </c>
      <c r="D4743" s="107" t="str">
        <f>IF(LEN(Table1722[[#This Row],[Uraian]])&gt;2,1," ")</f>
        <v xml:space="preserve"> </v>
      </c>
      <c r="E4743" s="113" t="str">
        <f>IF(Table1722[[#This Row],[Lawan Transaksi]]="CV AGUNG KARYA",COUNTIF($I$10:I4743,"CV AGUNG KARYA")," ")</f>
        <v xml:space="preserve"> </v>
      </c>
      <c r="F4743" s="107" t="str">
        <f>IF(LEN(Table1722[[#This Row],[Uraian]])&gt;2,TRIM(RIGHT(SUBSTITUTE(TRIM(C4743)," ",REPT(" ",255)),255))," ")</f>
        <v xml:space="preserve"> </v>
      </c>
      <c r="G4743" s="110">
        <f>COPY!Z4735</f>
        <v>0</v>
      </c>
      <c r="H4743" s="111" t="str">
        <f>IFERROR(VLOOKUP(Table1722[[#This Row],[Bukti]],'Un nOTA'!$A$4:$K$5003,10,FALSE),"")</f>
        <v/>
      </c>
      <c r="I4743" s="123" t="str">
        <f>IFERROR(VLOOKUP(Table1722[[#This Row],[Bukti]],Table13[#Data],11,FALSE),"")</f>
        <v/>
      </c>
    </row>
    <row r="4744" spans="1:9" hidden="1" x14ac:dyDescent="0.2">
      <c r="A4744" s="105" t="str">
        <f>IF(D4744=1,COUNTIF($D$10:D4744,1)," ")</f>
        <v xml:space="preserve"> </v>
      </c>
      <c r="B4744" s="106">
        <f>COPY!AR4736</f>
        <v>0</v>
      </c>
      <c r="C4744" s="107">
        <f>COPY!AC4736</f>
        <v>0</v>
      </c>
      <c r="D4744" s="107" t="str">
        <f>IF(LEN(Table1722[[#This Row],[Uraian]])&gt;2,1," ")</f>
        <v xml:space="preserve"> </v>
      </c>
      <c r="E4744" s="113" t="str">
        <f>IF(Table1722[[#This Row],[Lawan Transaksi]]="CV AGUNG KARYA",COUNTIF($I$10:I4744,"CV AGUNG KARYA")," ")</f>
        <v xml:space="preserve"> </v>
      </c>
      <c r="F4744" s="107" t="str">
        <f>IF(LEN(Table1722[[#This Row],[Uraian]])&gt;2,TRIM(RIGHT(SUBSTITUTE(TRIM(C4744)," ",REPT(" ",255)),255))," ")</f>
        <v xml:space="preserve"> </v>
      </c>
      <c r="G4744" s="110">
        <f>COPY!Z4736</f>
        <v>0</v>
      </c>
      <c r="H4744" s="111" t="str">
        <f>IFERROR(VLOOKUP(Table1722[[#This Row],[Bukti]],'Un nOTA'!$A$4:$K$5003,10,FALSE),"")</f>
        <v/>
      </c>
      <c r="I4744" s="123" t="str">
        <f>IFERROR(VLOOKUP(Table1722[[#This Row],[Bukti]],Table13[#Data],11,FALSE),"")</f>
        <v/>
      </c>
    </row>
    <row r="4745" spans="1:9" hidden="1" x14ac:dyDescent="0.2">
      <c r="A4745" s="105" t="str">
        <f>IF(D4745=1,COUNTIF($D$10:D4745,1)," ")</f>
        <v xml:space="preserve"> </v>
      </c>
      <c r="B4745" s="106">
        <f>COPY!AR4737</f>
        <v>0</v>
      </c>
      <c r="C4745" s="107">
        <f>COPY!AC4737</f>
        <v>0</v>
      </c>
      <c r="D4745" s="107" t="str">
        <f>IF(LEN(Table1722[[#This Row],[Uraian]])&gt;2,1," ")</f>
        <v xml:space="preserve"> </v>
      </c>
      <c r="E4745" s="113" t="str">
        <f>IF(Table1722[[#This Row],[Lawan Transaksi]]="CV AGUNG KARYA",COUNTIF($I$10:I4745,"CV AGUNG KARYA")," ")</f>
        <v xml:space="preserve"> </v>
      </c>
      <c r="F4745" s="107" t="str">
        <f>IF(LEN(Table1722[[#This Row],[Uraian]])&gt;2,TRIM(RIGHT(SUBSTITUTE(TRIM(C4745)," ",REPT(" ",255)),255))," ")</f>
        <v xml:space="preserve"> </v>
      </c>
      <c r="G4745" s="110">
        <f>COPY!Z4737</f>
        <v>0</v>
      </c>
      <c r="H4745" s="111" t="str">
        <f>IFERROR(VLOOKUP(Table1722[[#This Row],[Bukti]],'Un nOTA'!$A$4:$K$5003,10,FALSE),"")</f>
        <v/>
      </c>
      <c r="I4745" s="123" t="str">
        <f>IFERROR(VLOOKUP(Table1722[[#This Row],[Bukti]],Table13[#Data],11,FALSE),"")</f>
        <v/>
      </c>
    </row>
    <row r="4746" spans="1:9" hidden="1" x14ac:dyDescent="0.2">
      <c r="A4746" s="105" t="str">
        <f>IF(D4746=1,COUNTIF($D$10:D4746,1)," ")</f>
        <v xml:space="preserve"> </v>
      </c>
      <c r="B4746" s="106">
        <f>COPY!AR4738</f>
        <v>0</v>
      </c>
      <c r="C4746" s="107">
        <f>COPY!AC4738</f>
        <v>0</v>
      </c>
      <c r="D4746" s="107" t="str">
        <f>IF(LEN(Table1722[[#This Row],[Uraian]])&gt;2,1," ")</f>
        <v xml:space="preserve"> </v>
      </c>
      <c r="E4746" s="113" t="str">
        <f>IF(Table1722[[#This Row],[Lawan Transaksi]]="CV AGUNG KARYA",COUNTIF($I$10:I4746,"CV AGUNG KARYA")," ")</f>
        <v xml:space="preserve"> </v>
      </c>
      <c r="F4746" s="107" t="str">
        <f>IF(LEN(Table1722[[#This Row],[Uraian]])&gt;2,TRIM(RIGHT(SUBSTITUTE(TRIM(C4746)," ",REPT(" ",255)),255))," ")</f>
        <v xml:space="preserve"> </v>
      </c>
      <c r="G4746" s="110">
        <f>COPY!Z4738</f>
        <v>0</v>
      </c>
      <c r="H4746" s="111" t="str">
        <f>IFERROR(VLOOKUP(Table1722[[#This Row],[Bukti]],'Un nOTA'!$A$4:$K$5003,10,FALSE),"")</f>
        <v/>
      </c>
      <c r="I4746" s="123" t="str">
        <f>IFERROR(VLOOKUP(Table1722[[#This Row],[Bukti]],Table13[#Data],11,FALSE),"")</f>
        <v/>
      </c>
    </row>
    <row r="4747" spans="1:9" hidden="1" x14ac:dyDescent="0.2">
      <c r="A4747" s="105" t="str">
        <f>IF(D4747=1,COUNTIF($D$10:D4747,1)," ")</f>
        <v xml:space="preserve"> </v>
      </c>
      <c r="B4747" s="106">
        <f>COPY!AR4739</f>
        <v>0</v>
      </c>
      <c r="C4747" s="107">
        <f>COPY!AC4739</f>
        <v>0</v>
      </c>
      <c r="D4747" s="107" t="str">
        <f>IF(LEN(Table1722[[#This Row],[Uraian]])&gt;2,1," ")</f>
        <v xml:space="preserve"> </v>
      </c>
      <c r="E4747" s="113" t="str">
        <f>IF(Table1722[[#This Row],[Lawan Transaksi]]="CV AGUNG KARYA",COUNTIF($I$10:I4747,"CV AGUNG KARYA")," ")</f>
        <v xml:space="preserve"> </v>
      </c>
      <c r="F4747" s="107" t="str">
        <f>IF(LEN(Table1722[[#This Row],[Uraian]])&gt;2,TRIM(RIGHT(SUBSTITUTE(TRIM(C4747)," ",REPT(" ",255)),255))," ")</f>
        <v xml:space="preserve"> </v>
      </c>
      <c r="G4747" s="110">
        <f>COPY!Z4739</f>
        <v>0</v>
      </c>
      <c r="H4747" s="111" t="str">
        <f>IFERROR(VLOOKUP(Table1722[[#This Row],[Bukti]],'Un nOTA'!$A$4:$K$5003,10,FALSE),"")</f>
        <v/>
      </c>
      <c r="I4747" s="123" t="str">
        <f>IFERROR(VLOOKUP(Table1722[[#This Row],[Bukti]],Table13[#Data],11,FALSE),"")</f>
        <v/>
      </c>
    </row>
    <row r="4748" spans="1:9" hidden="1" x14ac:dyDescent="0.2">
      <c r="A4748" s="105" t="str">
        <f>IF(D4748=1,COUNTIF($D$10:D4748,1)," ")</f>
        <v xml:space="preserve"> </v>
      </c>
      <c r="B4748" s="106">
        <f>COPY!AR4740</f>
        <v>0</v>
      </c>
      <c r="C4748" s="107">
        <f>COPY!AC4740</f>
        <v>0</v>
      </c>
      <c r="D4748" s="107" t="str">
        <f>IF(LEN(Table1722[[#This Row],[Uraian]])&gt;2,1," ")</f>
        <v xml:space="preserve"> </v>
      </c>
      <c r="E4748" s="113" t="str">
        <f>IF(Table1722[[#This Row],[Lawan Transaksi]]="CV AGUNG KARYA",COUNTIF($I$10:I4748,"CV AGUNG KARYA")," ")</f>
        <v xml:space="preserve"> </v>
      </c>
      <c r="F4748" s="107" t="str">
        <f>IF(LEN(Table1722[[#This Row],[Uraian]])&gt;2,TRIM(RIGHT(SUBSTITUTE(TRIM(C4748)," ",REPT(" ",255)),255))," ")</f>
        <v xml:space="preserve"> </v>
      </c>
      <c r="G4748" s="110">
        <f>COPY!Z4740</f>
        <v>0</v>
      </c>
      <c r="H4748" s="111" t="str">
        <f>IFERROR(VLOOKUP(Table1722[[#This Row],[Bukti]],'Un nOTA'!$A$4:$K$5003,10,FALSE),"")</f>
        <v/>
      </c>
      <c r="I4748" s="123" t="str">
        <f>IFERROR(VLOOKUP(Table1722[[#This Row],[Bukti]],Table13[#Data],11,FALSE),"")</f>
        <v/>
      </c>
    </row>
    <row r="4749" spans="1:9" hidden="1" x14ac:dyDescent="0.2">
      <c r="A4749" s="105" t="str">
        <f>IF(D4749=1,COUNTIF($D$10:D4749,1)," ")</f>
        <v xml:space="preserve"> </v>
      </c>
      <c r="B4749" s="106">
        <f>COPY!AR4741</f>
        <v>0</v>
      </c>
      <c r="C4749" s="107">
        <f>COPY!AC4741</f>
        <v>0</v>
      </c>
      <c r="D4749" s="107" t="str">
        <f>IF(LEN(Table1722[[#This Row],[Uraian]])&gt;2,1," ")</f>
        <v xml:space="preserve"> </v>
      </c>
      <c r="E4749" s="113" t="str">
        <f>IF(Table1722[[#This Row],[Lawan Transaksi]]="CV AGUNG KARYA",COUNTIF($I$10:I4749,"CV AGUNG KARYA")," ")</f>
        <v xml:space="preserve"> </v>
      </c>
      <c r="F4749" s="107" t="str">
        <f>IF(LEN(Table1722[[#This Row],[Uraian]])&gt;2,TRIM(RIGHT(SUBSTITUTE(TRIM(C4749)," ",REPT(" ",255)),255))," ")</f>
        <v xml:space="preserve"> </v>
      </c>
      <c r="G4749" s="110">
        <f>COPY!Z4741</f>
        <v>0</v>
      </c>
      <c r="H4749" s="111" t="str">
        <f>IFERROR(VLOOKUP(Table1722[[#This Row],[Bukti]],'Un nOTA'!$A$4:$K$5003,10,FALSE),"")</f>
        <v/>
      </c>
      <c r="I4749" s="123" t="str">
        <f>IFERROR(VLOOKUP(Table1722[[#This Row],[Bukti]],Table13[#Data],11,FALSE),"")</f>
        <v/>
      </c>
    </row>
    <row r="4750" spans="1:9" hidden="1" x14ac:dyDescent="0.2">
      <c r="A4750" s="105" t="str">
        <f>IF(D4750=1,COUNTIF($D$10:D4750,1)," ")</f>
        <v xml:space="preserve"> </v>
      </c>
      <c r="B4750" s="106">
        <f>COPY!AR4742</f>
        <v>0</v>
      </c>
      <c r="C4750" s="107">
        <f>COPY!AC4742</f>
        <v>0</v>
      </c>
      <c r="D4750" s="107" t="str">
        <f>IF(LEN(Table1722[[#This Row],[Uraian]])&gt;2,1," ")</f>
        <v xml:space="preserve"> </v>
      </c>
      <c r="E4750" s="113" t="str">
        <f>IF(Table1722[[#This Row],[Lawan Transaksi]]="CV AGUNG KARYA",COUNTIF($I$10:I4750,"CV AGUNG KARYA")," ")</f>
        <v xml:space="preserve"> </v>
      </c>
      <c r="F4750" s="107" t="str">
        <f>IF(LEN(Table1722[[#This Row],[Uraian]])&gt;2,TRIM(RIGHT(SUBSTITUTE(TRIM(C4750)," ",REPT(" ",255)),255))," ")</f>
        <v xml:space="preserve"> </v>
      </c>
      <c r="G4750" s="110">
        <f>COPY!Z4742</f>
        <v>0</v>
      </c>
      <c r="H4750" s="111" t="str">
        <f>IFERROR(VLOOKUP(Table1722[[#This Row],[Bukti]],'Un nOTA'!$A$4:$K$5003,10,FALSE),"")</f>
        <v/>
      </c>
      <c r="I4750" s="123" t="str">
        <f>IFERROR(VLOOKUP(Table1722[[#This Row],[Bukti]],Table13[#Data],11,FALSE),"")</f>
        <v/>
      </c>
    </row>
    <row r="4751" spans="1:9" hidden="1" x14ac:dyDescent="0.2">
      <c r="A4751" s="105" t="str">
        <f>IF(D4751=1,COUNTIF($D$10:D4751,1)," ")</f>
        <v xml:space="preserve"> </v>
      </c>
      <c r="B4751" s="106">
        <f>COPY!AR4743</f>
        <v>0</v>
      </c>
      <c r="C4751" s="107">
        <f>COPY!AC4743</f>
        <v>0</v>
      </c>
      <c r="D4751" s="107" t="str">
        <f>IF(LEN(Table1722[[#This Row],[Uraian]])&gt;2,1," ")</f>
        <v xml:space="preserve"> </v>
      </c>
      <c r="E4751" s="113" t="str">
        <f>IF(Table1722[[#This Row],[Lawan Transaksi]]="CV AGUNG KARYA",COUNTIF($I$10:I4751,"CV AGUNG KARYA")," ")</f>
        <v xml:space="preserve"> </v>
      </c>
      <c r="F4751" s="107" t="str">
        <f>IF(LEN(Table1722[[#This Row],[Uraian]])&gt;2,TRIM(RIGHT(SUBSTITUTE(TRIM(C4751)," ",REPT(" ",255)),255))," ")</f>
        <v xml:space="preserve"> </v>
      </c>
      <c r="G4751" s="110">
        <f>COPY!Z4743</f>
        <v>0</v>
      </c>
      <c r="H4751" s="111" t="str">
        <f>IFERROR(VLOOKUP(Table1722[[#This Row],[Bukti]],'Un nOTA'!$A$4:$K$5003,10,FALSE),"")</f>
        <v/>
      </c>
      <c r="I4751" s="123" t="str">
        <f>IFERROR(VLOOKUP(Table1722[[#This Row],[Bukti]],Table13[#Data],11,FALSE),"")</f>
        <v/>
      </c>
    </row>
    <row r="4752" spans="1:9" hidden="1" x14ac:dyDescent="0.2">
      <c r="A4752" s="105" t="str">
        <f>IF(D4752=1,COUNTIF($D$10:D4752,1)," ")</f>
        <v xml:space="preserve"> </v>
      </c>
      <c r="B4752" s="106">
        <f>COPY!AR4744</f>
        <v>0</v>
      </c>
      <c r="C4752" s="107">
        <f>COPY!AC4744</f>
        <v>0</v>
      </c>
      <c r="D4752" s="107" t="str">
        <f>IF(LEN(Table1722[[#This Row],[Uraian]])&gt;2,1," ")</f>
        <v xml:space="preserve"> </v>
      </c>
      <c r="E4752" s="113" t="str">
        <f>IF(Table1722[[#This Row],[Lawan Transaksi]]="CV AGUNG KARYA",COUNTIF($I$10:I4752,"CV AGUNG KARYA")," ")</f>
        <v xml:space="preserve"> </v>
      </c>
      <c r="F4752" s="107" t="str">
        <f>IF(LEN(Table1722[[#This Row],[Uraian]])&gt;2,TRIM(RIGHT(SUBSTITUTE(TRIM(C4752)," ",REPT(" ",255)),255))," ")</f>
        <v xml:space="preserve"> </v>
      </c>
      <c r="G4752" s="110">
        <f>COPY!Z4744</f>
        <v>0</v>
      </c>
      <c r="H4752" s="111" t="str">
        <f>IFERROR(VLOOKUP(Table1722[[#This Row],[Bukti]],'Un nOTA'!$A$4:$K$5003,10,FALSE),"")</f>
        <v/>
      </c>
      <c r="I4752" s="123" t="str">
        <f>IFERROR(VLOOKUP(Table1722[[#This Row],[Bukti]],Table13[#Data],11,FALSE),"")</f>
        <v/>
      </c>
    </row>
    <row r="4753" spans="1:9" hidden="1" x14ac:dyDescent="0.2">
      <c r="A4753" s="105" t="str">
        <f>IF(D4753=1,COUNTIF($D$10:D4753,1)," ")</f>
        <v xml:space="preserve"> </v>
      </c>
      <c r="B4753" s="106">
        <f>COPY!AR4745</f>
        <v>0</v>
      </c>
      <c r="C4753" s="107">
        <f>COPY!AC4745</f>
        <v>0</v>
      </c>
      <c r="D4753" s="107" t="str">
        <f>IF(LEN(Table1722[[#This Row],[Uraian]])&gt;2,1," ")</f>
        <v xml:space="preserve"> </v>
      </c>
      <c r="E4753" s="113" t="str">
        <f>IF(Table1722[[#This Row],[Lawan Transaksi]]="CV AGUNG KARYA",COUNTIF($I$10:I4753,"CV AGUNG KARYA")," ")</f>
        <v xml:space="preserve"> </v>
      </c>
      <c r="F4753" s="107" t="str">
        <f>IF(LEN(Table1722[[#This Row],[Uraian]])&gt;2,TRIM(RIGHT(SUBSTITUTE(TRIM(C4753)," ",REPT(" ",255)),255))," ")</f>
        <v xml:space="preserve"> </v>
      </c>
      <c r="G4753" s="110">
        <f>COPY!Z4745</f>
        <v>0</v>
      </c>
      <c r="H4753" s="111" t="str">
        <f>IFERROR(VLOOKUP(Table1722[[#This Row],[Bukti]],'Un nOTA'!$A$4:$K$5003,10,FALSE),"")</f>
        <v/>
      </c>
      <c r="I4753" s="123" t="str">
        <f>IFERROR(VLOOKUP(Table1722[[#This Row],[Bukti]],Table13[#Data],11,FALSE),"")</f>
        <v/>
      </c>
    </row>
    <row r="4754" spans="1:9" hidden="1" x14ac:dyDescent="0.2">
      <c r="A4754" s="105" t="str">
        <f>IF(D4754=1,COUNTIF($D$10:D4754,1)," ")</f>
        <v xml:space="preserve"> </v>
      </c>
      <c r="B4754" s="106">
        <f>COPY!AR4746</f>
        <v>0</v>
      </c>
      <c r="C4754" s="107">
        <f>COPY!AC4746</f>
        <v>0</v>
      </c>
      <c r="D4754" s="107" t="str">
        <f>IF(LEN(Table1722[[#This Row],[Uraian]])&gt;2,1," ")</f>
        <v xml:space="preserve"> </v>
      </c>
      <c r="E4754" s="113" t="str">
        <f>IF(Table1722[[#This Row],[Lawan Transaksi]]="CV AGUNG KARYA",COUNTIF($I$10:I4754,"CV AGUNG KARYA")," ")</f>
        <v xml:space="preserve"> </v>
      </c>
      <c r="F4754" s="107" t="str">
        <f>IF(LEN(Table1722[[#This Row],[Uraian]])&gt;2,TRIM(RIGHT(SUBSTITUTE(TRIM(C4754)," ",REPT(" ",255)),255))," ")</f>
        <v xml:space="preserve"> </v>
      </c>
      <c r="G4754" s="110">
        <f>COPY!Z4746</f>
        <v>0</v>
      </c>
      <c r="H4754" s="111" t="str">
        <f>IFERROR(VLOOKUP(Table1722[[#This Row],[Bukti]],'Un nOTA'!$A$4:$K$5003,10,FALSE),"")</f>
        <v/>
      </c>
      <c r="I4754" s="123" t="str">
        <f>IFERROR(VLOOKUP(Table1722[[#This Row],[Bukti]],Table13[#Data],11,FALSE),"")</f>
        <v/>
      </c>
    </row>
    <row r="4755" spans="1:9" hidden="1" x14ac:dyDescent="0.2">
      <c r="A4755" s="105" t="str">
        <f>IF(D4755=1,COUNTIF($D$10:D4755,1)," ")</f>
        <v xml:space="preserve"> </v>
      </c>
      <c r="B4755" s="106">
        <f>COPY!AR4747</f>
        <v>0</v>
      </c>
      <c r="C4755" s="107">
        <f>COPY!AC4747</f>
        <v>0</v>
      </c>
      <c r="D4755" s="107" t="str">
        <f>IF(LEN(Table1722[[#This Row],[Uraian]])&gt;2,1," ")</f>
        <v xml:space="preserve"> </v>
      </c>
      <c r="E4755" s="113" t="str">
        <f>IF(Table1722[[#This Row],[Lawan Transaksi]]="CV AGUNG KARYA",COUNTIF($I$10:I4755,"CV AGUNG KARYA")," ")</f>
        <v xml:space="preserve"> </v>
      </c>
      <c r="F4755" s="107" t="str">
        <f>IF(LEN(Table1722[[#This Row],[Uraian]])&gt;2,TRIM(RIGHT(SUBSTITUTE(TRIM(C4755)," ",REPT(" ",255)),255))," ")</f>
        <v xml:space="preserve"> </v>
      </c>
      <c r="G4755" s="110">
        <f>COPY!Z4747</f>
        <v>0</v>
      </c>
      <c r="H4755" s="111" t="str">
        <f>IFERROR(VLOOKUP(Table1722[[#This Row],[Bukti]],'Un nOTA'!$A$4:$K$5003,10,FALSE),"")</f>
        <v/>
      </c>
      <c r="I4755" s="123" t="str">
        <f>IFERROR(VLOOKUP(Table1722[[#This Row],[Bukti]],Table13[#Data],11,FALSE),"")</f>
        <v/>
      </c>
    </row>
    <row r="4756" spans="1:9" hidden="1" x14ac:dyDescent="0.2">
      <c r="A4756" s="105" t="str">
        <f>IF(D4756=1,COUNTIF($D$10:D4756,1)," ")</f>
        <v xml:space="preserve"> </v>
      </c>
      <c r="B4756" s="106">
        <f>COPY!AR4748</f>
        <v>0</v>
      </c>
      <c r="C4756" s="107">
        <f>COPY!AC4748</f>
        <v>0</v>
      </c>
      <c r="D4756" s="107" t="str">
        <f>IF(LEN(Table1722[[#This Row],[Uraian]])&gt;2,1," ")</f>
        <v xml:space="preserve"> </v>
      </c>
      <c r="E4756" s="113" t="str">
        <f>IF(Table1722[[#This Row],[Lawan Transaksi]]="CV AGUNG KARYA",COUNTIF($I$10:I4756,"CV AGUNG KARYA")," ")</f>
        <v xml:space="preserve"> </v>
      </c>
      <c r="F4756" s="107" t="str">
        <f>IF(LEN(Table1722[[#This Row],[Uraian]])&gt;2,TRIM(RIGHT(SUBSTITUTE(TRIM(C4756)," ",REPT(" ",255)),255))," ")</f>
        <v xml:space="preserve"> </v>
      </c>
      <c r="G4756" s="110">
        <f>COPY!Z4748</f>
        <v>0</v>
      </c>
      <c r="H4756" s="111" t="str">
        <f>IFERROR(VLOOKUP(Table1722[[#This Row],[Bukti]],'Un nOTA'!$A$4:$K$5003,10,FALSE),"")</f>
        <v/>
      </c>
      <c r="I4756" s="123" t="str">
        <f>IFERROR(VLOOKUP(Table1722[[#This Row],[Bukti]],Table13[#Data],11,FALSE),"")</f>
        <v/>
      </c>
    </row>
    <row r="4757" spans="1:9" hidden="1" x14ac:dyDescent="0.2">
      <c r="A4757" s="105" t="str">
        <f>IF(D4757=1,COUNTIF($D$10:D4757,1)," ")</f>
        <v xml:space="preserve"> </v>
      </c>
      <c r="B4757" s="106">
        <f>COPY!AR4749</f>
        <v>0</v>
      </c>
      <c r="C4757" s="107">
        <f>COPY!AC4749</f>
        <v>0</v>
      </c>
      <c r="D4757" s="107" t="str">
        <f>IF(LEN(Table1722[[#This Row],[Uraian]])&gt;2,1," ")</f>
        <v xml:space="preserve"> </v>
      </c>
      <c r="E4757" s="113" t="str">
        <f>IF(Table1722[[#This Row],[Lawan Transaksi]]="CV AGUNG KARYA",COUNTIF($I$10:I4757,"CV AGUNG KARYA")," ")</f>
        <v xml:space="preserve"> </v>
      </c>
      <c r="F4757" s="107" t="str">
        <f>IF(LEN(Table1722[[#This Row],[Uraian]])&gt;2,TRIM(RIGHT(SUBSTITUTE(TRIM(C4757)," ",REPT(" ",255)),255))," ")</f>
        <v xml:space="preserve"> </v>
      </c>
      <c r="G4757" s="110">
        <f>COPY!Z4749</f>
        <v>0</v>
      </c>
      <c r="H4757" s="111" t="str">
        <f>IFERROR(VLOOKUP(Table1722[[#This Row],[Bukti]],'Un nOTA'!$A$4:$K$5003,10,FALSE),"")</f>
        <v/>
      </c>
      <c r="I4757" s="123" t="str">
        <f>IFERROR(VLOOKUP(Table1722[[#This Row],[Bukti]],Table13[#Data],11,FALSE),"")</f>
        <v/>
      </c>
    </row>
    <row r="4758" spans="1:9" hidden="1" x14ac:dyDescent="0.2">
      <c r="A4758" s="105" t="str">
        <f>IF(D4758=1,COUNTIF($D$10:D4758,1)," ")</f>
        <v xml:space="preserve"> </v>
      </c>
      <c r="B4758" s="106">
        <f>COPY!AR4750</f>
        <v>0</v>
      </c>
      <c r="C4758" s="107">
        <f>COPY!AC4750</f>
        <v>0</v>
      </c>
      <c r="D4758" s="107" t="str">
        <f>IF(LEN(Table1722[[#This Row],[Uraian]])&gt;2,1," ")</f>
        <v xml:space="preserve"> </v>
      </c>
      <c r="E4758" s="113" t="str">
        <f>IF(Table1722[[#This Row],[Lawan Transaksi]]="CV AGUNG KARYA",COUNTIF($I$10:I4758,"CV AGUNG KARYA")," ")</f>
        <v xml:space="preserve"> </v>
      </c>
      <c r="F4758" s="107" t="str">
        <f>IF(LEN(Table1722[[#This Row],[Uraian]])&gt;2,TRIM(RIGHT(SUBSTITUTE(TRIM(C4758)," ",REPT(" ",255)),255))," ")</f>
        <v xml:space="preserve"> </v>
      </c>
      <c r="G4758" s="110">
        <f>COPY!Z4750</f>
        <v>0</v>
      </c>
      <c r="H4758" s="111" t="str">
        <f>IFERROR(VLOOKUP(Table1722[[#This Row],[Bukti]],'Un nOTA'!$A$4:$K$5003,10,FALSE),"")</f>
        <v/>
      </c>
      <c r="I4758" s="123" t="str">
        <f>IFERROR(VLOOKUP(Table1722[[#This Row],[Bukti]],Table13[#Data],11,FALSE),"")</f>
        <v/>
      </c>
    </row>
    <row r="4759" spans="1:9" hidden="1" x14ac:dyDescent="0.2">
      <c r="A4759" s="105" t="str">
        <f>IF(D4759=1,COUNTIF($D$10:D4759,1)," ")</f>
        <v xml:space="preserve"> </v>
      </c>
      <c r="B4759" s="106">
        <f>COPY!AR4751</f>
        <v>0</v>
      </c>
      <c r="C4759" s="107">
        <f>COPY!AC4751</f>
        <v>0</v>
      </c>
      <c r="D4759" s="107" t="str">
        <f>IF(LEN(Table1722[[#This Row],[Uraian]])&gt;2,1," ")</f>
        <v xml:space="preserve"> </v>
      </c>
      <c r="E4759" s="113" t="str">
        <f>IF(Table1722[[#This Row],[Lawan Transaksi]]="CV AGUNG KARYA",COUNTIF($I$10:I4759,"CV AGUNG KARYA")," ")</f>
        <v xml:space="preserve"> </v>
      </c>
      <c r="F4759" s="107" t="str">
        <f>IF(LEN(Table1722[[#This Row],[Uraian]])&gt;2,TRIM(RIGHT(SUBSTITUTE(TRIM(C4759)," ",REPT(" ",255)),255))," ")</f>
        <v xml:space="preserve"> </v>
      </c>
      <c r="G4759" s="110">
        <f>COPY!Z4751</f>
        <v>0</v>
      </c>
      <c r="H4759" s="111" t="str">
        <f>IFERROR(VLOOKUP(Table1722[[#This Row],[Bukti]],'Un nOTA'!$A$4:$K$5003,10,FALSE),"")</f>
        <v/>
      </c>
      <c r="I4759" s="123" t="str">
        <f>IFERROR(VLOOKUP(Table1722[[#This Row],[Bukti]],Table13[#Data],11,FALSE),"")</f>
        <v/>
      </c>
    </row>
    <row r="4760" spans="1:9" hidden="1" x14ac:dyDescent="0.2">
      <c r="A4760" s="105" t="str">
        <f>IF(D4760=1,COUNTIF($D$10:D4760,1)," ")</f>
        <v xml:space="preserve"> </v>
      </c>
      <c r="B4760" s="106">
        <f>COPY!AR4752</f>
        <v>0</v>
      </c>
      <c r="C4760" s="107">
        <f>COPY!AC4752</f>
        <v>0</v>
      </c>
      <c r="D4760" s="107" t="str">
        <f>IF(LEN(Table1722[[#This Row],[Uraian]])&gt;2,1," ")</f>
        <v xml:space="preserve"> </v>
      </c>
      <c r="E4760" s="113" t="str">
        <f>IF(Table1722[[#This Row],[Lawan Transaksi]]="CV AGUNG KARYA",COUNTIF($I$10:I4760,"CV AGUNG KARYA")," ")</f>
        <v xml:space="preserve"> </v>
      </c>
      <c r="F4760" s="107" t="str">
        <f>IF(LEN(Table1722[[#This Row],[Uraian]])&gt;2,TRIM(RIGHT(SUBSTITUTE(TRIM(C4760)," ",REPT(" ",255)),255))," ")</f>
        <v xml:space="preserve"> </v>
      </c>
      <c r="G4760" s="110">
        <f>COPY!Z4752</f>
        <v>0</v>
      </c>
      <c r="H4760" s="111" t="str">
        <f>IFERROR(VLOOKUP(Table1722[[#This Row],[Bukti]],'Un nOTA'!$A$4:$K$5003,10,FALSE),"")</f>
        <v/>
      </c>
      <c r="I4760" s="123" t="str">
        <f>IFERROR(VLOOKUP(Table1722[[#This Row],[Bukti]],Table13[#Data],11,FALSE),"")</f>
        <v/>
      </c>
    </row>
    <row r="4761" spans="1:9" hidden="1" x14ac:dyDescent="0.2">
      <c r="A4761" s="105" t="str">
        <f>IF(D4761=1,COUNTIF($D$10:D4761,1)," ")</f>
        <v xml:space="preserve"> </v>
      </c>
      <c r="B4761" s="106">
        <f>COPY!AR4753</f>
        <v>0</v>
      </c>
      <c r="C4761" s="107">
        <f>COPY!AC4753</f>
        <v>0</v>
      </c>
      <c r="D4761" s="107" t="str">
        <f>IF(LEN(Table1722[[#This Row],[Uraian]])&gt;2,1," ")</f>
        <v xml:space="preserve"> </v>
      </c>
      <c r="E4761" s="113" t="str">
        <f>IF(Table1722[[#This Row],[Lawan Transaksi]]="CV AGUNG KARYA",COUNTIF($I$10:I4761,"CV AGUNG KARYA")," ")</f>
        <v xml:space="preserve"> </v>
      </c>
      <c r="F4761" s="107" t="str">
        <f>IF(LEN(Table1722[[#This Row],[Uraian]])&gt;2,TRIM(RIGHT(SUBSTITUTE(TRIM(C4761)," ",REPT(" ",255)),255))," ")</f>
        <v xml:space="preserve"> </v>
      </c>
      <c r="G4761" s="110">
        <f>COPY!Z4753</f>
        <v>0</v>
      </c>
      <c r="H4761" s="111" t="str">
        <f>IFERROR(VLOOKUP(Table1722[[#This Row],[Bukti]],'Un nOTA'!$A$4:$K$5003,10,FALSE),"")</f>
        <v/>
      </c>
      <c r="I4761" s="123" t="str">
        <f>IFERROR(VLOOKUP(Table1722[[#This Row],[Bukti]],Table13[#Data],11,FALSE),"")</f>
        <v/>
      </c>
    </row>
    <row r="4762" spans="1:9" hidden="1" x14ac:dyDescent="0.2">
      <c r="A4762" s="105" t="str">
        <f>IF(D4762=1,COUNTIF($D$10:D4762,1)," ")</f>
        <v xml:space="preserve"> </v>
      </c>
      <c r="B4762" s="106">
        <f>COPY!AR4754</f>
        <v>0</v>
      </c>
      <c r="C4762" s="107">
        <f>COPY!AC4754</f>
        <v>0</v>
      </c>
      <c r="D4762" s="107" t="str">
        <f>IF(LEN(Table1722[[#This Row],[Uraian]])&gt;2,1," ")</f>
        <v xml:space="preserve"> </v>
      </c>
      <c r="E4762" s="113" t="str">
        <f>IF(Table1722[[#This Row],[Lawan Transaksi]]="CV AGUNG KARYA",COUNTIF($I$10:I4762,"CV AGUNG KARYA")," ")</f>
        <v xml:space="preserve"> </v>
      </c>
      <c r="F4762" s="107" t="str">
        <f>IF(LEN(Table1722[[#This Row],[Uraian]])&gt;2,TRIM(RIGHT(SUBSTITUTE(TRIM(C4762)," ",REPT(" ",255)),255))," ")</f>
        <v xml:space="preserve"> </v>
      </c>
      <c r="G4762" s="110">
        <f>COPY!Z4754</f>
        <v>0</v>
      </c>
      <c r="H4762" s="111" t="str">
        <f>IFERROR(VLOOKUP(Table1722[[#This Row],[Bukti]],'Un nOTA'!$A$4:$K$5003,10,FALSE),"")</f>
        <v/>
      </c>
      <c r="I4762" s="123" t="str">
        <f>IFERROR(VLOOKUP(Table1722[[#This Row],[Bukti]],Table13[#Data],11,FALSE),"")</f>
        <v/>
      </c>
    </row>
    <row r="4763" spans="1:9" hidden="1" x14ac:dyDescent="0.2">
      <c r="A4763" s="105" t="str">
        <f>IF(D4763=1,COUNTIF($D$10:D4763,1)," ")</f>
        <v xml:space="preserve"> </v>
      </c>
      <c r="B4763" s="106">
        <f>COPY!AR4755</f>
        <v>0</v>
      </c>
      <c r="C4763" s="107">
        <f>COPY!AC4755</f>
        <v>0</v>
      </c>
      <c r="D4763" s="107" t="str">
        <f>IF(LEN(Table1722[[#This Row],[Uraian]])&gt;2,1," ")</f>
        <v xml:space="preserve"> </v>
      </c>
      <c r="E4763" s="113" t="str">
        <f>IF(Table1722[[#This Row],[Lawan Transaksi]]="CV AGUNG KARYA",COUNTIF($I$10:I4763,"CV AGUNG KARYA")," ")</f>
        <v xml:space="preserve"> </v>
      </c>
      <c r="F4763" s="107" t="str">
        <f>IF(LEN(Table1722[[#This Row],[Uraian]])&gt;2,TRIM(RIGHT(SUBSTITUTE(TRIM(C4763)," ",REPT(" ",255)),255))," ")</f>
        <v xml:space="preserve"> </v>
      </c>
      <c r="G4763" s="110">
        <f>COPY!Z4755</f>
        <v>0</v>
      </c>
      <c r="H4763" s="111" t="str">
        <f>IFERROR(VLOOKUP(Table1722[[#This Row],[Bukti]],'Un nOTA'!$A$4:$K$5003,10,FALSE),"")</f>
        <v/>
      </c>
      <c r="I4763" s="123" t="str">
        <f>IFERROR(VLOOKUP(Table1722[[#This Row],[Bukti]],Table13[#Data],11,FALSE),"")</f>
        <v/>
      </c>
    </row>
    <row r="4764" spans="1:9" hidden="1" x14ac:dyDescent="0.2">
      <c r="A4764" s="105" t="str">
        <f>IF(D4764=1,COUNTIF($D$10:D4764,1)," ")</f>
        <v xml:space="preserve"> </v>
      </c>
      <c r="B4764" s="106">
        <f>COPY!AR4756</f>
        <v>0</v>
      </c>
      <c r="C4764" s="107">
        <f>COPY!AC4756</f>
        <v>0</v>
      </c>
      <c r="D4764" s="107" t="str">
        <f>IF(LEN(Table1722[[#This Row],[Uraian]])&gt;2,1," ")</f>
        <v xml:space="preserve"> </v>
      </c>
      <c r="E4764" s="113" t="str">
        <f>IF(Table1722[[#This Row],[Lawan Transaksi]]="CV AGUNG KARYA",COUNTIF($I$10:I4764,"CV AGUNG KARYA")," ")</f>
        <v xml:space="preserve"> </v>
      </c>
      <c r="F4764" s="107" t="str">
        <f>IF(LEN(Table1722[[#This Row],[Uraian]])&gt;2,TRIM(RIGHT(SUBSTITUTE(TRIM(C4764)," ",REPT(" ",255)),255))," ")</f>
        <v xml:space="preserve"> </v>
      </c>
      <c r="G4764" s="110">
        <f>COPY!Z4756</f>
        <v>0</v>
      </c>
      <c r="H4764" s="111" t="str">
        <f>IFERROR(VLOOKUP(Table1722[[#This Row],[Bukti]],'Un nOTA'!$A$4:$K$5003,10,FALSE),"")</f>
        <v/>
      </c>
      <c r="I4764" s="123" t="str">
        <f>IFERROR(VLOOKUP(Table1722[[#This Row],[Bukti]],Table13[#Data],11,FALSE),"")</f>
        <v/>
      </c>
    </row>
    <row r="4765" spans="1:9" hidden="1" x14ac:dyDescent="0.2">
      <c r="A4765" s="105" t="str">
        <f>IF(D4765=1,COUNTIF($D$10:D4765,1)," ")</f>
        <v xml:space="preserve"> </v>
      </c>
      <c r="B4765" s="106">
        <f>COPY!AR4757</f>
        <v>0</v>
      </c>
      <c r="C4765" s="107">
        <f>COPY!AC4757</f>
        <v>0</v>
      </c>
      <c r="D4765" s="107" t="str">
        <f>IF(LEN(Table1722[[#This Row],[Uraian]])&gt;2,1," ")</f>
        <v xml:space="preserve"> </v>
      </c>
      <c r="E4765" s="113" t="str">
        <f>IF(Table1722[[#This Row],[Lawan Transaksi]]="CV AGUNG KARYA",COUNTIF($I$10:I4765,"CV AGUNG KARYA")," ")</f>
        <v xml:space="preserve"> </v>
      </c>
      <c r="F4765" s="107" t="str">
        <f>IF(LEN(Table1722[[#This Row],[Uraian]])&gt;2,TRIM(RIGHT(SUBSTITUTE(TRIM(C4765)," ",REPT(" ",255)),255))," ")</f>
        <v xml:space="preserve"> </v>
      </c>
      <c r="G4765" s="110">
        <f>COPY!Z4757</f>
        <v>0</v>
      </c>
      <c r="H4765" s="111" t="str">
        <f>IFERROR(VLOOKUP(Table1722[[#This Row],[Bukti]],'Un nOTA'!$A$4:$K$5003,10,FALSE),"")</f>
        <v/>
      </c>
      <c r="I4765" s="123" t="str">
        <f>IFERROR(VLOOKUP(Table1722[[#This Row],[Bukti]],Table13[#Data],11,FALSE),"")</f>
        <v/>
      </c>
    </row>
    <row r="4766" spans="1:9" hidden="1" x14ac:dyDescent="0.2">
      <c r="A4766" s="105" t="str">
        <f>IF(D4766=1,COUNTIF($D$10:D4766,1)," ")</f>
        <v xml:space="preserve"> </v>
      </c>
      <c r="B4766" s="106">
        <f>COPY!AR4758</f>
        <v>0</v>
      </c>
      <c r="C4766" s="107">
        <f>COPY!AC4758</f>
        <v>0</v>
      </c>
      <c r="D4766" s="107" t="str">
        <f>IF(LEN(Table1722[[#This Row],[Uraian]])&gt;2,1," ")</f>
        <v xml:space="preserve"> </v>
      </c>
      <c r="E4766" s="113" t="str">
        <f>IF(Table1722[[#This Row],[Lawan Transaksi]]="CV AGUNG KARYA",COUNTIF($I$10:I4766,"CV AGUNG KARYA")," ")</f>
        <v xml:space="preserve"> </v>
      </c>
      <c r="F4766" s="107" t="str">
        <f>IF(LEN(Table1722[[#This Row],[Uraian]])&gt;2,TRIM(RIGHT(SUBSTITUTE(TRIM(C4766)," ",REPT(" ",255)),255))," ")</f>
        <v xml:space="preserve"> </v>
      </c>
      <c r="G4766" s="110">
        <f>COPY!Z4758</f>
        <v>0</v>
      </c>
      <c r="H4766" s="111" t="str">
        <f>IFERROR(VLOOKUP(Table1722[[#This Row],[Bukti]],'Un nOTA'!$A$4:$K$5003,10,FALSE),"")</f>
        <v/>
      </c>
      <c r="I4766" s="123" t="str">
        <f>IFERROR(VLOOKUP(Table1722[[#This Row],[Bukti]],Table13[#Data],11,FALSE),"")</f>
        <v/>
      </c>
    </row>
    <row r="4767" spans="1:9" hidden="1" x14ac:dyDescent="0.2">
      <c r="A4767" s="105" t="str">
        <f>IF(D4767=1,COUNTIF($D$10:D4767,1)," ")</f>
        <v xml:space="preserve"> </v>
      </c>
      <c r="B4767" s="106">
        <f>COPY!AR4759</f>
        <v>0</v>
      </c>
      <c r="C4767" s="107">
        <f>COPY!AC4759</f>
        <v>0</v>
      </c>
      <c r="D4767" s="107" t="str">
        <f>IF(LEN(Table1722[[#This Row],[Uraian]])&gt;2,1," ")</f>
        <v xml:space="preserve"> </v>
      </c>
      <c r="E4767" s="113" t="str">
        <f>IF(Table1722[[#This Row],[Lawan Transaksi]]="CV AGUNG KARYA",COUNTIF($I$10:I4767,"CV AGUNG KARYA")," ")</f>
        <v xml:space="preserve"> </v>
      </c>
      <c r="F4767" s="107" t="str">
        <f>IF(LEN(Table1722[[#This Row],[Uraian]])&gt;2,TRIM(RIGHT(SUBSTITUTE(TRIM(C4767)," ",REPT(" ",255)),255))," ")</f>
        <v xml:space="preserve"> </v>
      </c>
      <c r="G4767" s="110">
        <f>COPY!Z4759</f>
        <v>0</v>
      </c>
      <c r="H4767" s="111" t="str">
        <f>IFERROR(VLOOKUP(Table1722[[#This Row],[Bukti]],'Un nOTA'!$A$4:$K$5003,10,FALSE),"")</f>
        <v/>
      </c>
      <c r="I4767" s="123" t="str">
        <f>IFERROR(VLOOKUP(Table1722[[#This Row],[Bukti]],Table13[#Data],11,FALSE),"")</f>
        <v/>
      </c>
    </row>
    <row r="4768" spans="1:9" hidden="1" x14ac:dyDescent="0.2">
      <c r="A4768" s="105" t="str">
        <f>IF(D4768=1,COUNTIF($D$10:D4768,1)," ")</f>
        <v xml:space="preserve"> </v>
      </c>
      <c r="B4768" s="106">
        <f>COPY!AR4760</f>
        <v>0</v>
      </c>
      <c r="C4768" s="107">
        <f>COPY!AC4760</f>
        <v>0</v>
      </c>
      <c r="D4768" s="107" t="str">
        <f>IF(LEN(Table1722[[#This Row],[Uraian]])&gt;2,1," ")</f>
        <v xml:space="preserve"> </v>
      </c>
      <c r="E4768" s="113" t="str">
        <f>IF(Table1722[[#This Row],[Lawan Transaksi]]="CV AGUNG KARYA",COUNTIF($I$10:I4768,"CV AGUNG KARYA")," ")</f>
        <v xml:space="preserve"> </v>
      </c>
      <c r="F4768" s="107" t="str">
        <f>IF(LEN(Table1722[[#This Row],[Uraian]])&gt;2,TRIM(RIGHT(SUBSTITUTE(TRIM(C4768)," ",REPT(" ",255)),255))," ")</f>
        <v xml:space="preserve"> </v>
      </c>
      <c r="G4768" s="110">
        <f>COPY!Z4760</f>
        <v>0</v>
      </c>
      <c r="H4768" s="111" t="str">
        <f>IFERROR(VLOOKUP(Table1722[[#This Row],[Bukti]],'Un nOTA'!$A$4:$K$5003,10,FALSE),"")</f>
        <v/>
      </c>
      <c r="I4768" s="123" t="str">
        <f>IFERROR(VLOOKUP(Table1722[[#This Row],[Bukti]],Table13[#Data],11,FALSE),"")</f>
        <v/>
      </c>
    </row>
    <row r="4769" spans="1:9" hidden="1" x14ac:dyDescent="0.2">
      <c r="A4769" s="105" t="str">
        <f>IF(D4769=1,COUNTIF($D$10:D4769,1)," ")</f>
        <v xml:space="preserve"> </v>
      </c>
      <c r="B4769" s="106">
        <f>COPY!AR4761</f>
        <v>0</v>
      </c>
      <c r="C4769" s="107">
        <f>COPY!AC4761</f>
        <v>0</v>
      </c>
      <c r="D4769" s="107" t="str">
        <f>IF(LEN(Table1722[[#This Row],[Uraian]])&gt;2,1," ")</f>
        <v xml:space="preserve"> </v>
      </c>
      <c r="E4769" s="113" t="str">
        <f>IF(Table1722[[#This Row],[Lawan Transaksi]]="CV AGUNG KARYA",COUNTIF($I$10:I4769,"CV AGUNG KARYA")," ")</f>
        <v xml:space="preserve"> </v>
      </c>
      <c r="F4769" s="107" t="str">
        <f>IF(LEN(Table1722[[#This Row],[Uraian]])&gt;2,TRIM(RIGHT(SUBSTITUTE(TRIM(C4769)," ",REPT(" ",255)),255))," ")</f>
        <v xml:space="preserve"> </v>
      </c>
      <c r="G4769" s="110">
        <f>COPY!Z4761</f>
        <v>0</v>
      </c>
      <c r="H4769" s="111" t="str">
        <f>IFERROR(VLOOKUP(Table1722[[#This Row],[Bukti]],'Un nOTA'!$A$4:$K$5003,10,FALSE),"")</f>
        <v/>
      </c>
      <c r="I4769" s="123" t="str">
        <f>IFERROR(VLOOKUP(Table1722[[#This Row],[Bukti]],Table13[#Data],11,FALSE),"")</f>
        <v/>
      </c>
    </row>
    <row r="4770" spans="1:9" hidden="1" x14ac:dyDescent="0.2">
      <c r="A4770" s="105" t="str">
        <f>IF(D4770=1,COUNTIF($D$10:D4770,1)," ")</f>
        <v xml:space="preserve"> </v>
      </c>
      <c r="B4770" s="106">
        <f>COPY!AR4762</f>
        <v>0</v>
      </c>
      <c r="C4770" s="107">
        <f>COPY!AC4762</f>
        <v>0</v>
      </c>
      <c r="D4770" s="107" t="str">
        <f>IF(LEN(Table1722[[#This Row],[Uraian]])&gt;2,1," ")</f>
        <v xml:space="preserve"> </v>
      </c>
      <c r="E4770" s="113" t="str">
        <f>IF(Table1722[[#This Row],[Lawan Transaksi]]="CV AGUNG KARYA",COUNTIF($I$10:I4770,"CV AGUNG KARYA")," ")</f>
        <v xml:space="preserve"> </v>
      </c>
      <c r="F4770" s="107" t="str">
        <f>IF(LEN(Table1722[[#This Row],[Uraian]])&gt;2,TRIM(RIGHT(SUBSTITUTE(TRIM(C4770)," ",REPT(" ",255)),255))," ")</f>
        <v xml:space="preserve"> </v>
      </c>
      <c r="G4770" s="110">
        <f>COPY!Z4762</f>
        <v>0</v>
      </c>
      <c r="H4770" s="111" t="str">
        <f>IFERROR(VLOOKUP(Table1722[[#This Row],[Bukti]],'Un nOTA'!$A$4:$K$5003,10,FALSE),"")</f>
        <v/>
      </c>
      <c r="I4770" s="123" t="str">
        <f>IFERROR(VLOOKUP(Table1722[[#This Row],[Bukti]],Table13[#Data],11,FALSE),"")</f>
        <v/>
      </c>
    </row>
    <row r="4771" spans="1:9" hidden="1" x14ac:dyDescent="0.2">
      <c r="A4771" s="105" t="str">
        <f>IF(D4771=1,COUNTIF($D$10:D4771,1)," ")</f>
        <v xml:space="preserve"> </v>
      </c>
      <c r="B4771" s="106">
        <f>COPY!AR4763</f>
        <v>0</v>
      </c>
      <c r="C4771" s="107">
        <f>COPY!AC4763</f>
        <v>0</v>
      </c>
      <c r="D4771" s="107" t="str">
        <f>IF(LEN(Table1722[[#This Row],[Uraian]])&gt;2,1," ")</f>
        <v xml:space="preserve"> </v>
      </c>
      <c r="E4771" s="113" t="str">
        <f>IF(Table1722[[#This Row],[Lawan Transaksi]]="CV AGUNG KARYA",COUNTIF($I$10:I4771,"CV AGUNG KARYA")," ")</f>
        <v xml:space="preserve"> </v>
      </c>
      <c r="F4771" s="107" t="str">
        <f>IF(LEN(Table1722[[#This Row],[Uraian]])&gt;2,TRIM(RIGHT(SUBSTITUTE(TRIM(C4771)," ",REPT(" ",255)),255))," ")</f>
        <v xml:space="preserve"> </v>
      </c>
      <c r="G4771" s="110">
        <f>COPY!Z4763</f>
        <v>0</v>
      </c>
      <c r="H4771" s="111" t="str">
        <f>IFERROR(VLOOKUP(Table1722[[#This Row],[Bukti]],'Un nOTA'!$A$4:$K$5003,10,FALSE),"")</f>
        <v/>
      </c>
      <c r="I4771" s="123" t="str">
        <f>IFERROR(VLOOKUP(Table1722[[#This Row],[Bukti]],Table13[#Data],11,FALSE),"")</f>
        <v/>
      </c>
    </row>
    <row r="4772" spans="1:9" hidden="1" x14ac:dyDescent="0.2">
      <c r="A4772" s="105" t="str">
        <f>IF(D4772=1,COUNTIF($D$10:D4772,1)," ")</f>
        <v xml:space="preserve"> </v>
      </c>
      <c r="B4772" s="106">
        <f>COPY!AR4764</f>
        <v>0</v>
      </c>
      <c r="C4772" s="107">
        <f>COPY!AC4764</f>
        <v>0</v>
      </c>
      <c r="D4772" s="107" t="str">
        <f>IF(LEN(Table1722[[#This Row],[Uraian]])&gt;2,1," ")</f>
        <v xml:space="preserve"> </v>
      </c>
      <c r="E4772" s="113" t="str">
        <f>IF(Table1722[[#This Row],[Lawan Transaksi]]="CV AGUNG KARYA",COUNTIF($I$10:I4772,"CV AGUNG KARYA")," ")</f>
        <v xml:space="preserve"> </v>
      </c>
      <c r="F4772" s="107" t="str">
        <f>IF(LEN(Table1722[[#This Row],[Uraian]])&gt;2,TRIM(RIGHT(SUBSTITUTE(TRIM(C4772)," ",REPT(" ",255)),255))," ")</f>
        <v xml:space="preserve"> </v>
      </c>
      <c r="G4772" s="110">
        <f>COPY!Z4764</f>
        <v>0</v>
      </c>
      <c r="H4772" s="111" t="str">
        <f>IFERROR(VLOOKUP(Table1722[[#This Row],[Bukti]],'Un nOTA'!$A$4:$K$5003,10,FALSE),"")</f>
        <v/>
      </c>
      <c r="I4772" s="123" t="str">
        <f>IFERROR(VLOOKUP(Table1722[[#This Row],[Bukti]],Table13[#Data],11,FALSE),"")</f>
        <v/>
      </c>
    </row>
    <row r="4773" spans="1:9" hidden="1" x14ac:dyDescent="0.2">
      <c r="A4773" s="105" t="str">
        <f>IF(D4773=1,COUNTIF($D$10:D4773,1)," ")</f>
        <v xml:space="preserve"> </v>
      </c>
      <c r="B4773" s="106">
        <f>COPY!AR4765</f>
        <v>0</v>
      </c>
      <c r="C4773" s="107">
        <f>COPY!AC4765</f>
        <v>0</v>
      </c>
      <c r="D4773" s="107" t="str">
        <f>IF(LEN(Table1722[[#This Row],[Uraian]])&gt;2,1," ")</f>
        <v xml:space="preserve"> </v>
      </c>
      <c r="E4773" s="113" t="str">
        <f>IF(Table1722[[#This Row],[Lawan Transaksi]]="CV AGUNG KARYA",COUNTIF($I$10:I4773,"CV AGUNG KARYA")," ")</f>
        <v xml:space="preserve"> </v>
      </c>
      <c r="F4773" s="107" t="str">
        <f>IF(LEN(Table1722[[#This Row],[Uraian]])&gt;2,TRIM(RIGHT(SUBSTITUTE(TRIM(C4773)," ",REPT(" ",255)),255))," ")</f>
        <v xml:space="preserve"> </v>
      </c>
      <c r="G4773" s="110">
        <f>COPY!Z4765</f>
        <v>0</v>
      </c>
      <c r="H4773" s="111" t="str">
        <f>IFERROR(VLOOKUP(Table1722[[#This Row],[Bukti]],'Un nOTA'!$A$4:$K$5003,10,FALSE),"")</f>
        <v/>
      </c>
      <c r="I4773" s="123" t="str">
        <f>IFERROR(VLOOKUP(Table1722[[#This Row],[Bukti]],Table13[#Data],11,FALSE),"")</f>
        <v/>
      </c>
    </row>
    <row r="4774" spans="1:9" hidden="1" x14ac:dyDescent="0.2">
      <c r="A4774" s="105" t="str">
        <f>IF(D4774=1,COUNTIF($D$10:D4774,1)," ")</f>
        <v xml:space="preserve"> </v>
      </c>
      <c r="B4774" s="106">
        <f>COPY!AR4766</f>
        <v>0</v>
      </c>
      <c r="C4774" s="107">
        <f>COPY!AC4766</f>
        <v>0</v>
      </c>
      <c r="D4774" s="107" t="str">
        <f>IF(LEN(Table1722[[#This Row],[Uraian]])&gt;2,1," ")</f>
        <v xml:space="preserve"> </v>
      </c>
      <c r="E4774" s="113" t="str">
        <f>IF(Table1722[[#This Row],[Lawan Transaksi]]="CV AGUNG KARYA",COUNTIF($I$10:I4774,"CV AGUNG KARYA")," ")</f>
        <v xml:space="preserve"> </v>
      </c>
      <c r="F4774" s="107" t="str">
        <f>IF(LEN(Table1722[[#This Row],[Uraian]])&gt;2,TRIM(RIGHT(SUBSTITUTE(TRIM(C4774)," ",REPT(" ",255)),255))," ")</f>
        <v xml:space="preserve"> </v>
      </c>
      <c r="G4774" s="110">
        <f>COPY!Z4766</f>
        <v>0</v>
      </c>
      <c r="H4774" s="111" t="str">
        <f>IFERROR(VLOOKUP(Table1722[[#This Row],[Bukti]],'Un nOTA'!$A$4:$K$5003,10,FALSE),"")</f>
        <v/>
      </c>
      <c r="I4774" s="123" t="str">
        <f>IFERROR(VLOOKUP(Table1722[[#This Row],[Bukti]],Table13[#Data],11,FALSE),"")</f>
        <v/>
      </c>
    </row>
    <row r="4775" spans="1:9" hidden="1" x14ac:dyDescent="0.2">
      <c r="A4775" s="105" t="str">
        <f>IF(D4775=1,COUNTIF($D$10:D4775,1)," ")</f>
        <v xml:space="preserve"> </v>
      </c>
      <c r="B4775" s="106">
        <f>COPY!AR4767</f>
        <v>0</v>
      </c>
      <c r="C4775" s="107">
        <f>COPY!AC4767</f>
        <v>0</v>
      </c>
      <c r="D4775" s="107" t="str">
        <f>IF(LEN(Table1722[[#This Row],[Uraian]])&gt;2,1," ")</f>
        <v xml:space="preserve"> </v>
      </c>
      <c r="E4775" s="113" t="str">
        <f>IF(Table1722[[#This Row],[Lawan Transaksi]]="CV AGUNG KARYA",COUNTIF($I$10:I4775,"CV AGUNG KARYA")," ")</f>
        <v xml:space="preserve"> </v>
      </c>
      <c r="F4775" s="107" t="str">
        <f>IF(LEN(Table1722[[#This Row],[Uraian]])&gt;2,TRIM(RIGHT(SUBSTITUTE(TRIM(C4775)," ",REPT(" ",255)),255))," ")</f>
        <v xml:space="preserve"> </v>
      </c>
      <c r="G4775" s="110">
        <f>COPY!Z4767</f>
        <v>0</v>
      </c>
      <c r="H4775" s="111" t="str">
        <f>IFERROR(VLOOKUP(Table1722[[#This Row],[Bukti]],'Un nOTA'!$A$4:$K$5003,10,FALSE),"")</f>
        <v/>
      </c>
      <c r="I4775" s="123" t="str">
        <f>IFERROR(VLOOKUP(Table1722[[#This Row],[Bukti]],Table13[#Data],11,FALSE),"")</f>
        <v/>
      </c>
    </row>
    <row r="4776" spans="1:9" hidden="1" x14ac:dyDescent="0.2">
      <c r="A4776" s="105" t="str">
        <f>IF(D4776=1,COUNTIF($D$10:D4776,1)," ")</f>
        <v xml:space="preserve"> </v>
      </c>
      <c r="B4776" s="106">
        <f>COPY!AR4768</f>
        <v>0</v>
      </c>
      <c r="C4776" s="107">
        <f>COPY!AC4768</f>
        <v>0</v>
      </c>
      <c r="D4776" s="107" t="str">
        <f>IF(LEN(Table1722[[#This Row],[Uraian]])&gt;2,1," ")</f>
        <v xml:space="preserve"> </v>
      </c>
      <c r="E4776" s="113" t="str">
        <f>IF(Table1722[[#This Row],[Lawan Transaksi]]="CV AGUNG KARYA",COUNTIF($I$10:I4776,"CV AGUNG KARYA")," ")</f>
        <v xml:space="preserve"> </v>
      </c>
      <c r="F4776" s="107" t="str">
        <f>IF(LEN(Table1722[[#This Row],[Uraian]])&gt;2,TRIM(RIGHT(SUBSTITUTE(TRIM(C4776)," ",REPT(" ",255)),255))," ")</f>
        <v xml:space="preserve"> </v>
      </c>
      <c r="G4776" s="110">
        <f>COPY!Z4768</f>
        <v>0</v>
      </c>
      <c r="H4776" s="111" t="str">
        <f>IFERROR(VLOOKUP(Table1722[[#This Row],[Bukti]],'Un nOTA'!$A$4:$K$5003,10,FALSE),"")</f>
        <v/>
      </c>
      <c r="I4776" s="123" t="str">
        <f>IFERROR(VLOOKUP(Table1722[[#This Row],[Bukti]],Table13[#Data],11,FALSE),"")</f>
        <v/>
      </c>
    </row>
    <row r="4777" spans="1:9" hidden="1" x14ac:dyDescent="0.2">
      <c r="A4777" s="105" t="str">
        <f>IF(D4777=1,COUNTIF($D$10:D4777,1)," ")</f>
        <v xml:space="preserve"> </v>
      </c>
      <c r="B4777" s="106">
        <f>COPY!AR4769</f>
        <v>0</v>
      </c>
      <c r="C4777" s="107">
        <f>COPY!AC4769</f>
        <v>0</v>
      </c>
      <c r="D4777" s="107" t="str">
        <f>IF(LEN(Table1722[[#This Row],[Uraian]])&gt;2,1," ")</f>
        <v xml:space="preserve"> </v>
      </c>
      <c r="E4777" s="113" t="str">
        <f>IF(Table1722[[#This Row],[Lawan Transaksi]]="CV AGUNG KARYA",COUNTIF($I$10:I4777,"CV AGUNG KARYA")," ")</f>
        <v xml:space="preserve"> </v>
      </c>
      <c r="F4777" s="107" t="str">
        <f>IF(LEN(Table1722[[#This Row],[Uraian]])&gt;2,TRIM(RIGHT(SUBSTITUTE(TRIM(C4777)," ",REPT(" ",255)),255))," ")</f>
        <v xml:space="preserve"> </v>
      </c>
      <c r="G4777" s="110">
        <f>COPY!Z4769</f>
        <v>0</v>
      </c>
      <c r="H4777" s="111" t="str">
        <f>IFERROR(VLOOKUP(Table1722[[#This Row],[Bukti]],'Un nOTA'!$A$4:$K$5003,10,FALSE),"")</f>
        <v/>
      </c>
      <c r="I4777" s="123" t="str">
        <f>IFERROR(VLOOKUP(Table1722[[#This Row],[Bukti]],Table13[#Data],11,FALSE),"")</f>
        <v/>
      </c>
    </row>
    <row r="4778" spans="1:9" hidden="1" x14ac:dyDescent="0.2">
      <c r="A4778" s="105" t="str">
        <f>IF(D4778=1,COUNTIF($D$10:D4778,1)," ")</f>
        <v xml:space="preserve"> </v>
      </c>
      <c r="B4778" s="106">
        <f>COPY!AR4770</f>
        <v>0</v>
      </c>
      <c r="C4778" s="107">
        <f>COPY!AC4770</f>
        <v>0</v>
      </c>
      <c r="D4778" s="107" t="str">
        <f>IF(LEN(Table1722[[#This Row],[Uraian]])&gt;2,1," ")</f>
        <v xml:space="preserve"> </v>
      </c>
      <c r="E4778" s="113" t="str">
        <f>IF(Table1722[[#This Row],[Lawan Transaksi]]="CV AGUNG KARYA",COUNTIF($I$10:I4778,"CV AGUNG KARYA")," ")</f>
        <v xml:space="preserve"> </v>
      </c>
      <c r="F4778" s="107" t="str">
        <f>IF(LEN(Table1722[[#This Row],[Uraian]])&gt;2,TRIM(RIGHT(SUBSTITUTE(TRIM(C4778)," ",REPT(" ",255)),255))," ")</f>
        <v xml:space="preserve"> </v>
      </c>
      <c r="G4778" s="110">
        <f>COPY!Z4770</f>
        <v>0</v>
      </c>
      <c r="H4778" s="111" t="str">
        <f>IFERROR(VLOOKUP(Table1722[[#This Row],[Bukti]],'Un nOTA'!$A$4:$K$5003,10,FALSE),"")</f>
        <v/>
      </c>
      <c r="I4778" s="123" t="str">
        <f>IFERROR(VLOOKUP(Table1722[[#This Row],[Bukti]],Table13[#Data],11,FALSE),"")</f>
        <v/>
      </c>
    </row>
    <row r="4779" spans="1:9" hidden="1" x14ac:dyDescent="0.2">
      <c r="A4779" s="105" t="str">
        <f>IF(D4779=1,COUNTIF($D$10:D4779,1)," ")</f>
        <v xml:space="preserve"> </v>
      </c>
      <c r="B4779" s="106">
        <f>COPY!AR4771</f>
        <v>0</v>
      </c>
      <c r="C4779" s="107">
        <f>COPY!AC4771</f>
        <v>0</v>
      </c>
      <c r="D4779" s="107" t="str">
        <f>IF(LEN(Table1722[[#This Row],[Uraian]])&gt;2,1," ")</f>
        <v xml:space="preserve"> </v>
      </c>
      <c r="E4779" s="113" t="str">
        <f>IF(Table1722[[#This Row],[Lawan Transaksi]]="CV AGUNG KARYA",COUNTIF($I$10:I4779,"CV AGUNG KARYA")," ")</f>
        <v xml:space="preserve"> </v>
      </c>
      <c r="F4779" s="107" t="str">
        <f>IF(LEN(Table1722[[#This Row],[Uraian]])&gt;2,TRIM(RIGHT(SUBSTITUTE(TRIM(C4779)," ",REPT(" ",255)),255))," ")</f>
        <v xml:space="preserve"> </v>
      </c>
      <c r="G4779" s="110">
        <f>COPY!Z4771</f>
        <v>0</v>
      </c>
      <c r="H4779" s="111" t="str">
        <f>IFERROR(VLOOKUP(Table1722[[#This Row],[Bukti]],'Un nOTA'!$A$4:$K$5003,10,FALSE),"")</f>
        <v/>
      </c>
      <c r="I4779" s="123" t="str">
        <f>IFERROR(VLOOKUP(Table1722[[#This Row],[Bukti]],Table13[#Data],11,FALSE),"")</f>
        <v/>
      </c>
    </row>
    <row r="4780" spans="1:9" hidden="1" x14ac:dyDescent="0.2">
      <c r="A4780" s="105" t="str">
        <f>IF(D4780=1,COUNTIF($D$10:D4780,1)," ")</f>
        <v xml:space="preserve"> </v>
      </c>
      <c r="B4780" s="106">
        <f>COPY!AR4772</f>
        <v>0</v>
      </c>
      <c r="C4780" s="107">
        <f>COPY!AC4772</f>
        <v>0</v>
      </c>
      <c r="D4780" s="107" t="str">
        <f>IF(LEN(Table1722[[#This Row],[Uraian]])&gt;2,1," ")</f>
        <v xml:space="preserve"> </v>
      </c>
      <c r="E4780" s="113" t="str">
        <f>IF(Table1722[[#This Row],[Lawan Transaksi]]="CV AGUNG KARYA",COUNTIF($I$10:I4780,"CV AGUNG KARYA")," ")</f>
        <v xml:space="preserve"> </v>
      </c>
      <c r="F4780" s="107" t="str">
        <f>IF(LEN(Table1722[[#This Row],[Uraian]])&gt;2,TRIM(RIGHT(SUBSTITUTE(TRIM(C4780)," ",REPT(" ",255)),255))," ")</f>
        <v xml:space="preserve"> </v>
      </c>
      <c r="G4780" s="110">
        <f>COPY!Z4772</f>
        <v>0</v>
      </c>
      <c r="H4780" s="111" t="str">
        <f>IFERROR(VLOOKUP(Table1722[[#This Row],[Bukti]],'Un nOTA'!$A$4:$K$5003,10,FALSE),"")</f>
        <v/>
      </c>
      <c r="I4780" s="123" t="str">
        <f>IFERROR(VLOOKUP(Table1722[[#This Row],[Bukti]],Table13[#Data],11,FALSE),"")</f>
        <v/>
      </c>
    </row>
    <row r="4781" spans="1:9" hidden="1" x14ac:dyDescent="0.2">
      <c r="A4781" s="105" t="str">
        <f>IF(D4781=1,COUNTIF($D$10:D4781,1)," ")</f>
        <v xml:space="preserve"> </v>
      </c>
      <c r="B4781" s="106">
        <f>COPY!AR4773</f>
        <v>0</v>
      </c>
      <c r="C4781" s="107">
        <f>COPY!AC4773</f>
        <v>0</v>
      </c>
      <c r="D4781" s="107" t="str">
        <f>IF(LEN(Table1722[[#This Row],[Uraian]])&gt;2,1," ")</f>
        <v xml:space="preserve"> </v>
      </c>
      <c r="E4781" s="113" t="str">
        <f>IF(Table1722[[#This Row],[Lawan Transaksi]]="CV AGUNG KARYA",COUNTIF($I$10:I4781,"CV AGUNG KARYA")," ")</f>
        <v xml:space="preserve"> </v>
      </c>
      <c r="F4781" s="107" t="str">
        <f>IF(LEN(Table1722[[#This Row],[Uraian]])&gt;2,TRIM(RIGHT(SUBSTITUTE(TRIM(C4781)," ",REPT(" ",255)),255))," ")</f>
        <v xml:space="preserve"> </v>
      </c>
      <c r="G4781" s="110">
        <f>COPY!Z4773</f>
        <v>0</v>
      </c>
      <c r="H4781" s="111" t="str">
        <f>IFERROR(VLOOKUP(Table1722[[#This Row],[Bukti]],'Un nOTA'!$A$4:$K$5003,10,FALSE),"")</f>
        <v/>
      </c>
      <c r="I4781" s="123" t="str">
        <f>IFERROR(VLOOKUP(Table1722[[#This Row],[Bukti]],Table13[#Data],11,FALSE),"")</f>
        <v/>
      </c>
    </row>
    <row r="4782" spans="1:9" hidden="1" x14ac:dyDescent="0.2">
      <c r="A4782" s="105" t="str">
        <f>IF(D4782=1,COUNTIF($D$10:D4782,1)," ")</f>
        <v xml:space="preserve"> </v>
      </c>
      <c r="B4782" s="106">
        <f>COPY!AR4774</f>
        <v>0</v>
      </c>
      <c r="C4782" s="107">
        <f>COPY!AC4774</f>
        <v>0</v>
      </c>
      <c r="D4782" s="107" t="str">
        <f>IF(LEN(Table1722[[#This Row],[Uraian]])&gt;2,1," ")</f>
        <v xml:space="preserve"> </v>
      </c>
      <c r="E4782" s="113" t="str">
        <f>IF(Table1722[[#This Row],[Lawan Transaksi]]="CV AGUNG KARYA",COUNTIF($I$10:I4782,"CV AGUNG KARYA")," ")</f>
        <v xml:space="preserve"> </v>
      </c>
      <c r="F4782" s="107" t="str">
        <f>IF(LEN(Table1722[[#This Row],[Uraian]])&gt;2,TRIM(RIGHT(SUBSTITUTE(TRIM(C4782)," ",REPT(" ",255)),255))," ")</f>
        <v xml:space="preserve"> </v>
      </c>
      <c r="G4782" s="110">
        <f>COPY!Z4774</f>
        <v>0</v>
      </c>
      <c r="H4782" s="111" t="str">
        <f>IFERROR(VLOOKUP(Table1722[[#This Row],[Bukti]],'Un nOTA'!$A$4:$K$5003,10,FALSE),"")</f>
        <v/>
      </c>
      <c r="I4782" s="123" t="str">
        <f>IFERROR(VLOOKUP(Table1722[[#This Row],[Bukti]],Table13[#Data],11,FALSE),"")</f>
        <v/>
      </c>
    </row>
    <row r="4783" spans="1:9" hidden="1" x14ac:dyDescent="0.2">
      <c r="A4783" s="105" t="str">
        <f>IF(D4783=1,COUNTIF($D$10:D4783,1)," ")</f>
        <v xml:space="preserve"> </v>
      </c>
      <c r="B4783" s="106">
        <f>COPY!AR4775</f>
        <v>0</v>
      </c>
      <c r="C4783" s="107">
        <f>COPY!AC4775</f>
        <v>0</v>
      </c>
      <c r="D4783" s="107" t="str">
        <f>IF(LEN(Table1722[[#This Row],[Uraian]])&gt;2,1," ")</f>
        <v xml:space="preserve"> </v>
      </c>
      <c r="E4783" s="113" t="str">
        <f>IF(Table1722[[#This Row],[Lawan Transaksi]]="CV AGUNG KARYA",COUNTIF($I$10:I4783,"CV AGUNG KARYA")," ")</f>
        <v xml:space="preserve"> </v>
      </c>
      <c r="F4783" s="107" t="str">
        <f>IF(LEN(Table1722[[#This Row],[Uraian]])&gt;2,TRIM(RIGHT(SUBSTITUTE(TRIM(C4783)," ",REPT(" ",255)),255))," ")</f>
        <v xml:space="preserve"> </v>
      </c>
      <c r="G4783" s="110">
        <f>COPY!Z4775</f>
        <v>0</v>
      </c>
      <c r="H4783" s="111" t="str">
        <f>IFERROR(VLOOKUP(Table1722[[#This Row],[Bukti]],'Un nOTA'!$A$4:$K$5003,10,FALSE),"")</f>
        <v/>
      </c>
      <c r="I4783" s="123" t="str">
        <f>IFERROR(VLOOKUP(Table1722[[#This Row],[Bukti]],Table13[#Data],11,FALSE),"")</f>
        <v/>
      </c>
    </row>
    <row r="4784" spans="1:9" hidden="1" x14ac:dyDescent="0.2">
      <c r="A4784" s="105" t="str">
        <f>IF(D4784=1,COUNTIF($D$10:D4784,1)," ")</f>
        <v xml:space="preserve"> </v>
      </c>
      <c r="B4784" s="106">
        <f>COPY!AR4776</f>
        <v>0</v>
      </c>
      <c r="C4784" s="107">
        <f>COPY!AC4776</f>
        <v>0</v>
      </c>
      <c r="D4784" s="107" t="str">
        <f>IF(LEN(Table1722[[#This Row],[Uraian]])&gt;2,1," ")</f>
        <v xml:space="preserve"> </v>
      </c>
      <c r="E4784" s="113" t="str">
        <f>IF(Table1722[[#This Row],[Lawan Transaksi]]="CV AGUNG KARYA",COUNTIF($I$10:I4784,"CV AGUNG KARYA")," ")</f>
        <v xml:space="preserve"> </v>
      </c>
      <c r="F4784" s="107" t="str">
        <f>IF(LEN(Table1722[[#This Row],[Uraian]])&gt;2,TRIM(RIGHT(SUBSTITUTE(TRIM(C4784)," ",REPT(" ",255)),255))," ")</f>
        <v xml:space="preserve"> </v>
      </c>
      <c r="G4784" s="110">
        <f>COPY!Z4776</f>
        <v>0</v>
      </c>
      <c r="H4784" s="111" t="str">
        <f>IFERROR(VLOOKUP(Table1722[[#This Row],[Bukti]],'Un nOTA'!$A$4:$K$5003,10,FALSE),"")</f>
        <v/>
      </c>
      <c r="I4784" s="123" t="str">
        <f>IFERROR(VLOOKUP(Table1722[[#This Row],[Bukti]],Table13[#Data],11,FALSE),"")</f>
        <v/>
      </c>
    </row>
    <row r="4785" spans="1:9" hidden="1" x14ac:dyDescent="0.2">
      <c r="A4785" s="105" t="str">
        <f>IF(D4785=1,COUNTIF($D$10:D4785,1)," ")</f>
        <v xml:space="preserve"> </v>
      </c>
      <c r="B4785" s="106">
        <f>COPY!AR4777</f>
        <v>0</v>
      </c>
      <c r="C4785" s="107">
        <f>COPY!AC4777</f>
        <v>0</v>
      </c>
      <c r="D4785" s="107" t="str">
        <f>IF(LEN(Table1722[[#This Row],[Uraian]])&gt;2,1," ")</f>
        <v xml:space="preserve"> </v>
      </c>
      <c r="E4785" s="113" t="str">
        <f>IF(Table1722[[#This Row],[Lawan Transaksi]]="CV AGUNG KARYA",COUNTIF($I$10:I4785,"CV AGUNG KARYA")," ")</f>
        <v xml:space="preserve"> </v>
      </c>
      <c r="F4785" s="107" t="str">
        <f>IF(LEN(Table1722[[#This Row],[Uraian]])&gt;2,TRIM(RIGHT(SUBSTITUTE(TRIM(C4785)," ",REPT(" ",255)),255))," ")</f>
        <v xml:space="preserve"> </v>
      </c>
      <c r="G4785" s="110">
        <f>COPY!Z4777</f>
        <v>0</v>
      </c>
      <c r="H4785" s="111" t="str">
        <f>IFERROR(VLOOKUP(Table1722[[#This Row],[Bukti]],'Un nOTA'!$A$4:$K$5003,10,FALSE),"")</f>
        <v/>
      </c>
      <c r="I4785" s="123" t="str">
        <f>IFERROR(VLOOKUP(Table1722[[#This Row],[Bukti]],Table13[#Data],11,FALSE),"")</f>
        <v/>
      </c>
    </row>
    <row r="4786" spans="1:9" hidden="1" x14ac:dyDescent="0.2">
      <c r="A4786" s="105" t="str">
        <f>IF(D4786=1,COUNTIF($D$10:D4786,1)," ")</f>
        <v xml:space="preserve"> </v>
      </c>
      <c r="B4786" s="106">
        <f>COPY!AR4778</f>
        <v>0</v>
      </c>
      <c r="C4786" s="107">
        <f>COPY!AC4778</f>
        <v>0</v>
      </c>
      <c r="D4786" s="107" t="str">
        <f>IF(LEN(Table1722[[#This Row],[Uraian]])&gt;2,1," ")</f>
        <v xml:space="preserve"> </v>
      </c>
      <c r="E4786" s="113" t="str">
        <f>IF(Table1722[[#This Row],[Lawan Transaksi]]="CV AGUNG KARYA",COUNTIF($I$10:I4786,"CV AGUNG KARYA")," ")</f>
        <v xml:space="preserve"> </v>
      </c>
      <c r="F4786" s="107" t="str">
        <f>IF(LEN(Table1722[[#This Row],[Uraian]])&gt;2,TRIM(RIGHT(SUBSTITUTE(TRIM(C4786)," ",REPT(" ",255)),255))," ")</f>
        <v xml:space="preserve"> </v>
      </c>
      <c r="G4786" s="110">
        <f>COPY!Z4778</f>
        <v>0</v>
      </c>
      <c r="H4786" s="111" t="str">
        <f>IFERROR(VLOOKUP(Table1722[[#This Row],[Bukti]],'Un nOTA'!$A$4:$K$5003,10,FALSE),"")</f>
        <v/>
      </c>
      <c r="I4786" s="123" t="str">
        <f>IFERROR(VLOOKUP(Table1722[[#This Row],[Bukti]],Table13[#Data],11,FALSE),"")</f>
        <v/>
      </c>
    </row>
    <row r="4787" spans="1:9" hidden="1" x14ac:dyDescent="0.2">
      <c r="A4787" s="105" t="str">
        <f>IF(D4787=1,COUNTIF($D$10:D4787,1)," ")</f>
        <v xml:space="preserve"> </v>
      </c>
      <c r="B4787" s="106">
        <f>COPY!AR4779</f>
        <v>0</v>
      </c>
      <c r="C4787" s="107">
        <f>COPY!AC4779</f>
        <v>0</v>
      </c>
      <c r="D4787" s="107" t="str">
        <f>IF(LEN(Table1722[[#This Row],[Uraian]])&gt;2,1," ")</f>
        <v xml:space="preserve"> </v>
      </c>
      <c r="E4787" s="113" t="str">
        <f>IF(Table1722[[#This Row],[Lawan Transaksi]]="CV AGUNG KARYA",COUNTIF($I$10:I4787,"CV AGUNG KARYA")," ")</f>
        <v xml:space="preserve"> </v>
      </c>
      <c r="F4787" s="107" t="str">
        <f>IF(LEN(Table1722[[#This Row],[Uraian]])&gt;2,TRIM(RIGHT(SUBSTITUTE(TRIM(C4787)," ",REPT(" ",255)),255))," ")</f>
        <v xml:space="preserve"> </v>
      </c>
      <c r="G4787" s="110">
        <f>COPY!Z4779</f>
        <v>0</v>
      </c>
      <c r="H4787" s="111" t="str">
        <f>IFERROR(VLOOKUP(Table1722[[#This Row],[Bukti]],'Un nOTA'!$A$4:$K$5003,10,FALSE),"")</f>
        <v/>
      </c>
      <c r="I4787" s="123" t="str">
        <f>IFERROR(VLOOKUP(Table1722[[#This Row],[Bukti]],Table13[#Data],11,FALSE),"")</f>
        <v/>
      </c>
    </row>
    <row r="4788" spans="1:9" hidden="1" x14ac:dyDescent="0.2">
      <c r="A4788" s="105" t="str">
        <f>IF(D4788=1,COUNTIF($D$10:D4788,1)," ")</f>
        <v xml:space="preserve"> </v>
      </c>
      <c r="B4788" s="106">
        <f>COPY!AR4780</f>
        <v>0</v>
      </c>
      <c r="C4788" s="107">
        <f>COPY!AC4780</f>
        <v>0</v>
      </c>
      <c r="D4788" s="107" t="str">
        <f>IF(LEN(Table1722[[#This Row],[Uraian]])&gt;2,1," ")</f>
        <v xml:space="preserve"> </v>
      </c>
      <c r="E4788" s="113" t="str">
        <f>IF(Table1722[[#This Row],[Lawan Transaksi]]="CV AGUNG KARYA",COUNTIF($I$10:I4788,"CV AGUNG KARYA")," ")</f>
        <v xml:space="preserve"> </v>
      </c>
      <c r="F4788" s="107" t="str">
        <f>IF(LEN(Table1722[[#This Row],[Uraian]])&gt;2,TRIM(RIGHT(SUBSTITUTE(TRIM(C4788)," ",REPT(" ",255)),255))," ")</f>
        <v xml:space="preserve"> </v>
      </c>
      <c r="G4788" s="110">
        <f>COPY!Z4780</f>
        <v>0</v>
      </c>
      <c r="H4788" s="111" t="str">
        <f>IFERROR(VLOOKUP(Table1722[[#This Row],[Bukti]],'Un nOTA'!$A$4:$K$5003,10,FALSE),"")</f>
        <v/>
      </c>
      <c r="I4788" s="123" t="str">
        <f>IFERROR(VLOOKUP(Table1722[[#This Row],[Bukti]],Table13[#Data],11,FALSE),"")</f>
        <v/>
      </c>
    </row>
    <row r="4789" spans="1:9" hidden="1" x14ac:dyDescent="0.2">
      <c r="A4789" s="105" t="str">
        <f>IF(D4789=1,COUNTIF($D$10:D4789,1)," ")</f>
        <v xml:space="preserve"> </v>
      </c>
      <c r="B4789" s="106">
        <f>COPY!AR4781</f>
        <v>0</v>
      </c>
      <c r="C4789" s="107">
        <f>COPY!AC4781</f>
        <v>0</v>
      </c>
      <c r="D4789" s="107" t="str">
        <f>IF(LEN(Table1722[[#This Row],[Uraian]])&gt;2,1," ")</f>
        <v xml:space="preserve"> </v>
      </c>
      <c r="E4789" s="113" t="str">
        <f>IF(Table1722[[#This Row],[Lawan Transaksi]]="CV AGUNG KARYA",COUNTIF($I$10:I4789,"CV AGUNG KARYA")," ")</f>
        <v xml:space="preserve"> </v>
      </c>
      <c r="F4789" s="107" t="str">
        <f>IF(LEN(Table1722[[#This Row],[Uraian]])&gt;2,TRIM(RIGHT(SUBSTITUTE(TRIM(C4789)," ",REPT(" ",255)),255))," ")</f>
        <v xml:space="preserve"> </v>
      </c>
      <c r="G4789" s="110">
        <f>COPY!Z4781</f>
        <v>0</v>
      </c>
      <c r="H4789" s="111" t="str">
        <f>IFERROR(VLOOKUP(Table1722[[#This Row],[Bukti]],'Un nOTA'!$A$4:$K$5003,10,FALSE),"")</f>
        <v/>
      </c>
      <c r="I4789" s="123" t="str">
        <f>IFERROR(VLOOKUP(Table1722[[#This Row],[Bukti]],Table13[#Data],11,FALSE),"")</f>
        <v/>
      </c>
    </row>
    <row r="4790" spans="1:9" hidden="1" x14ac:dyDescent="0.2">
      <c r="A4790" s="105" t="str">
        <f>IF(D4790=1,COUNTIF($D$10:D4790,1)," ")</f>
        <v xml:space="preserve"> </v>
      </c>
      <c r="B4790" s="106">
        <f>COPY!AR4782</f>
        <v>0</v>
      </c>
      <c r="C4790" s="107">
        <f>COPY!AC4782</f>
        <v>0</v>
      </c>
      <c r="D4790" s="107" t="str">
        <f>IF(LEN(Table1722[[#This Row],[Uraian]])&gt;2,1," ")</f>
        <v xml:space="preserve"> </v>
      </c>
      <c r="E4790" s="113" t="str">
        <f>IF(Table1722[[#This Row],[Lawan Transaksi]]="CV AGUNG KARYA",COUNTIF($I$10:I4790,"CV AGUNG KARYA")," ")</f>
        <v xml:space="preserve"> </v>
      </c>
      <c r="F4790" s="107" t="str">
        <f>IF(LEN(Table1722[[#This Row],[Uraian]])&gt;2,TRIM(RIGHT(SUBSTITUTE(TRIM(C4790)," ",REPT(" ",255)),255))," ")</f>
        <v xml:space="preserve"> </v>
      </c>
      <c r="G4790" s="110">
        <f>COPY!Z4782</f>
        <v>0</v>
      </c>
      <c r="H4790" s="111" t="str">
        <f>IFERROR(VLOOKUP(Table1722[[#This Row],[Bukti]],'Un nOTA'!$A$4:$K$5003,10,FALSE),"")</f>
        <v/>
      </c>
      <c r="I4790" s="123" t="str">
        <f>IFERROR(VLOOKUP(Table1722[[#This Row],[Bukti]],Table13[#Data],11,FALSE),"")</f>
        <v/>
      </c>
    </row>
    <row r="4791" spans="1:9" hidden="1" x14ac:dyDescent="0.2">
      <c r="A4791" s="105" t="str">
        <f>IF(D4791=1,COUNTIF($D$10:D4791,1)," ")</f>
        <v xml:space="preserve"> </v>
      </c>
      <c r="B4791" s="106">
        <f>COPY!AR4783</f>
        <v>0</v>
      </c>
      <c r="C4791" s="107">
        <f>COPY!AC4783</f>
        <v>0</v>
      </c>
      <c r="D4791" s="107" t="str">
        <f>IF(LEN(Table1722[[#This Row],[Uraian]])&gt;2,1," ")</f>
        <v xml:space="preserve"> </v>
      </c>
      <c r="E4791" s="113" t="str">
        <f>IF(Table1722[[#This Row],[Lawan Transaksi]]="CV AGUNG KARYA",COUNTIF($I$10:I4791,"CV AGUNG KARYA")," ")</f>
        <v xml:space="preserve"> </v>
      </c>
      <c r="F4791" s="107" t="str">
        <f>IF(LEN(Table1722[[#This Row],[Uraian]])&gt;2,TRIM(RIGHT(SUBSTITUTE(TRIM(C4791)," ",REPT(" ",255)),255))," ")</f>
        <v xml:space="preserve"> </v>
      </c>
      <c r="G4791" s="110">
        <f>COPY!Z4783</f>
        <v>0</v>
      </c>
      <c r="H4791" s="111" t="str">
        <f>IFERROR(VLOOKUP(Table1722[[#This Row],[Bukti]],'Un nOTA'!$A$4:$K$5003,10,FALSE),"")</f>
        <v/>
      </c>
      <c r="I4791" s="123" t="str">
        <f>IFERROR(VLOOKUP(Table1722[[#This Row],[Bukti]],Table13[#Data],11,FALSE),"")</f>
        <v/>
      </c>
    </row>
    <row r="4792" spans="1:9" hidden="1" x14ac:dyDescent="0.2">
      <c r="A4792" s="105" t="str">
        <f>IF(D4792=1,COUNTIF($D$10:D4792,1)," ")</f>
        <v xml:space="preserve"> </v>
      </c>
      <c r="B4792" s="106">
        <f>COPY!AR4784</f>
        <v>0</v>
      </c>
      <c r="C4792" s="107">
        <f>COPY!AC4784</f>
        <v>0</v>
      </c>
      <c r="D4792" s="107" t="str">
        <f>IF(LEN(Table1722[[#This Row],[Uraian]])&gt;2,1," ")</f>
        <v xml:space="preserve"> </v>
      </c>
      <c r="E4792" s="113" t="str">
        <f>IF(Table1722[[#This Row],[Lawan Transaksi]]="CV AGUNG KARYA",COUNTIF($I$10:I4792,"CV AGUNG KARYA")," ")</f>
        <v xml:space="preserve"> </v>
      </c>
      <c r="F4792" s="107" t="str">
        <f>IF(LEN(Table1722[[#This Row],[Uraian]])&gt;2,TRIM(RIGHT(SUBSTITUTE(TRIM(C4792)," ",REPT(" ",255)),255))," ")</f>
        <v xml:space="preserve"> </v>
      </c>
      <c r="G4792" s="110">
        <f>COPY!Z4784</f>
        <v>0</v>
      </c>
      <c r="H4792" s="111" t="str">
        <f>IFERROR(VLOOKUP(Table1722[[#This Row],[Bukti]],'Un nOTA'!$A$4:$K$5003,10,FALSE),"")</f>
        <v/>
      </c>
      <c r="I4792" s="123" t="str">
        <f>IFERROR(VLOOKUP(Table1722[[#This Row],[Bukti]],Table13[#Data],11,FALSE),"")</f>
        <v/>
      </c>
    </row>
    <row r="4793" spans="1:9" hidden="1" x14ac:dyDescent="0.2">
      <c r="A4793" s="105" t="str">
        <f>IF(D4793=1,COUNTIF($D$10:D4793,1)," ")</f>
        <v xml:space="preserve"> </v>
      </c>
      <c r="B4793" s="106">
        <f>COPY!AR4785</f>
        <v>0</v>
      </c>
      <c r="C4793" s="107">
        <f>COPY!AC4785</f>
        <v>0</v>
      </c>
      <c r="D4793" s="107" t="str">
        <f>IF(LEN(Table1722[[#This Row],[Uraian]])&gt;2,1," ")</f>
        <v xml:space="preserve"> </v>
      </c>
      <c r="E4793" s="113" t="str">
        <f>IF(Table1722[[#This Row],[Lawan Transaksi]]="CV AGUNG KARYA",COUNTIF($I$10:I4793,"CV AGUNG KARYA")," ")</f>
        <v xml:space="preserve"> </v>
      </c>
      <c r="F4793" s="107" t="str">
        <f>IF(LEN(Table1722[[#This Row],[Uraian]])&gt;2,TRIM(RIGHT(SUBSTITUTE(TRIM(C4793)," ",REPT(" ",255)),255))," ")</f>
        <v xml:space="preserve"> </v>
      </c>
      <c r="G4793" s="110">
        <f>COPY!Z4785</f>
        <v>0</v>
      </c>
      <c r="H4793" s="111" t="str">
        <f>IFERROR(VLOOKUP(Table1722[[#This Row],[Bukti]],'Un nOTA'!$A$4:$K$5003,10,FALSE),"")</f>
        <v/>
      </c>
      <c r="I4793" s="123" t="str">
        <f>IFERROR(VLOOKUP(Table1722[[#This Row],[Bukti]],Table13[#Data],11,FALSE),"")</f>
        <v/>
      </c>
    </row>
    <row r="4794" spans="1:9" hidden="1" x14ac:dyDescent="0.2">
      <c r="A4794" s="105" t="str">
        <f>IF(D4794=1,COUNTIF($D$10:D4794,1)," ")</f>
        <v xml:space="preserve"> </v>
      </c>
      <c r="B4794" s="106">
        <f>COPY!AR4786</f>
        <v>0</v>
      </c>
      <c r="C4794" s="107">
        <f>COPY!AC4786</f>
        <v>0</v>
      </c>
      <c r="D4794" s="107" t="str">
        <f>IF(LEN(Table1722[[#This Row],[Uraian]])&gt;2,1," ")</f>
        <v xml:space="preserve"> </v>
      </c>
      <c r="E4794" s="113" t="str">
        <f>IF(Table1722[[#This Row],[Lawan Transaksi]]="CV AGUNG KARYA",COUNTIF($I$10:I4794,"CV AGUNG KARYA")," ")</f>
        <v xml:space="preserve"> </v>
      </c>
      <c r="F4794" s="107" t="str">
        <f>IF(LEN(Table1722[[#This Row],[Uraian]])&gt;2,TRIM(RIGHT(SUBSTITUTE(TRIM(C4794)," ",REPT(" ",255)),255))," ")</f>
        <v xml:space="preserve"> </v>
      </c>
      <c r="G4794" s="110">
        <f>COPY!Z4786</f>
        <v>0</v>
      </c>
      <c r="H4794" s="111" t="str">
        <f>IFERROR(VLOOKUP(Table1722[[#This Row],[Bukti]],'Un nOTA'!$A$4:$K$5003,10,FALSE),"")</f>
        <v/>
      </c>
      <c r="I4794" s="123" t="str">
        <f>IFERROR(VLOOKUP(Table1722[[#This Row],[Bukti]],Table13[#Data],11,FALSE),"")</f>
        <v/>
      </c>
    </row>
    <row r="4795" spans="1:9" hidden="1" x14ac:dyDescent="0.2">
      <c r="A4795" s="105" t="str">
        <f>IF(D4795=1,COUNTIF($D$10:D4795,1)," ")</f>
        <v xml:space="preserve"> </v>
      </c>
      <c r="B4795" s="106">
        <f>COPY!AR4787</f>
        <v>0</v>
      </c>
      <c r="C4795" s="107">
        <f>COPY!AC4787</f>
        <v>0</v>
      </c>
      <c r="D4795" s="107" t="str">
        <f>IF(LEN(Table1722[[#This Row],[Uraian]])&gt;2,1," ")</f>
        <v xml:space="preserve"> </v>
      </c>
      <c r="E4795" s="113" t="str">
        <f>IF(Table1722[[#This Row],[Lawan Transaksi]]="CV AGUNG KARYA",COUNTIF($I$10:I4795,"CV AGUNG KARYA")," ")</f>
        <v xml:space="preserve"> </v>
      </c>
      <c r="F4795" s="107" t="str">
        <f>IF(LEN(Table1722[[#This Row],[Uraian]])&gt;2,TRIM(RIGHT(SUBSTITUTE(TRIM(C4795)," ",REPT(" ",255)),255))," ")</f>
        <v xml:space="preserve"> </v>
      </c>
      <c r="G4795" s="110">
        <f>COPY!Z4787</f>
        <v>0</v>
      </c>
      <c r="H4795" s="111" t="str">
        <f>IFERROR(VLOOKUP(Table1722[[#This Row],[Bukti]],'Un nOTA'!$A$4:$K$5003,10,FALSE),"")</f>
        <v/>
      </c>
      <c r="I4795" s="123" t="str">
        <f>IFERROR(VLOOKUP(Table1722[[#This Row],[Bukti]],Table13[#Data],11,FALSE),"")</f>
        <v/>
      </c>
    </row>
    <row r="4796" spans="1:9" hidden="1" x14ac:dyDescent="0.2">
      <c r="A4796" s="105" t="str">
        <f>IF(D4796=1,COUNTIF($D$10:D4796,1)," ")</f>
        <v xml:space="preserve"> </v>
      </c>
      <c r="B4796" s="106">
        <f>COPY!AR4788</f>
        <v>0</v>
      </c>
      <c r="C4796" s="107">
        <f>COPY!AC4788</f>
        <v>0</v>
      </c>
      <c r="D4796" s="107" t="str">
        <f>IF(LEN(Table1722[[#This Row],[Uraian]])&gt;2,1," ")</f>
        <v xml:space="preserve"> </v>
      </c>
      <c r="E4796" s="113" t="str">
        <f>IF(Table1722[[#This Row],[Lawan Transaksi]]="CV AGUNG KARYA",COUNTIF($I$10:I4796,"CV AGUNG KARYA")," ")</f>
        <v xml:space="preserve"> </v>
      </c>
      <c r="F4796" s="107" t="str">
        <f>IF(LEN(Table1722[[#This Row],[Uraian]])&gt;2,TRIM(RIGHT(SUBSTITUTE(TRIM(C4796)," ",REPT(" ",255)),255))," ")</f>
        <v xml:space="preserve"> </v>
      </c>
      <c r="G4796" s="110">
        <f>COPY!Z4788</f>
        <v>0</v>
      </c>
      <c r="H4796" s="111" t="str">
        <f>IFERROR(VLOOKUP(Table1722[[#This Row],[Bukti]],'Un nOTA'!$A$4:$K$5003,10,FALSE),"")</f>
        <v/>
      </c>
      <c r="I4796" s="123" t="str">
        <f>IFERROR(VLOOKUP(Table1722[[#This Row],[Bukti]],Table13[#Data],11,FALSE),"")</f>
        <v/>
      </c>
    </row>
    <row r="4797" spans="1:9" hidden="1" x14ac:dyDescent="0.2">
      <c r="A4797" s="105" t="str">
        <f>IF(D4797=1,COUNTIF($D$10:D4797,1)," ")</f>
        <v xml:space="preserve"> </v>
      </c>
      <c r="B4797" s="106">
        <f>COPY!AR4789</f>
        <v>0</v>
      </c>
      <c r="C4797" s="107">
        <f>COPY!AC4789</f>
        <v>0</v>
      </c>
      <c r="D4797" s="107" t="str">
        <f>IF(LEN(Table1722[[#This Row],[Uraian]])&gt;2,1," ")</f>
        <v xml:space="preserve"> </v>
      </c>
      <c r="E4797" s="113" t="str">
        <f>IF(Table1722[[#This Row],[Lawan Transaksi]]="CV AGUNG KARYA",COUNTIF($I$10:I4797,"CV AGUNG KARYA")," ")</f>
        <v xml:space="preserve"> </v>
      </c>
      <c r="F4797" s="107" t="str">
        <f>IF(LEN(Table1722[[#This Row],[Uraian]])&gt;2,TRIM(RIGHT(SUBSTITUTE(TRIM(C4797)," ",REPT(" ",255)),255))," ")</f>
        <v xml:space="preserve"> </v>
      </c>
      <c r="G4797" s="110">
        <f>COPY!Z4789</f>
        <v>0</v>
      </c>
      <c r="H4797" s="111" t="str">
        <f>IFERROR(VLOOKUP(Table1722[[#This Row],[Bukti]],'Un nOTA'!$A$4:$K$5003,10,FALSE),"")</f>
        <v/>
      </c>
      <c r="I4797" s="123" t="str">
        <f>IFERROR(VLOOKUP(Table1722[[#This Row],[Bukti]],Table13[#Data],11,FALSE),"")</f>
        <v/>
      </c>
    </row>
    <row r="4798" spans="1:9" hidden="1" x14ac:dyDescent="0.2">
      <c r="A4798" s="105" t="str">
        <f>IF(D4798=1,COUNTIF($D$10:D4798,1)," ")</f>
        <v xml:space="preserve"> </v>
      </c>
      <c r="B4798" s="106">
        <f>COPY!AR4790</f>
        <v>0</v>
      </c>
      <c r="C4798" s="107">
        <f>COPY!AC4790</f>
        <v>0</v>
      </c>
      <c r="D4798" s="107" t="str">
        <f>IF(LEN(Table1722[[#This Row],[Uraian]])&gt;2,1," ")</f>
        <v xml:space="preserve"> </v>
      </c>
      <c r="E4798" s="113" t="str">
        <f>IF(Table1722[[#This Row],[Lawan Transaksi]]="CV AGUNG KARYA",COUNTIF($I$10:I4798,"CV AGUNG KARYA")," ")</f>
        <v xml:space="preserve"> </v>
      </c>
      <c r="F4798" s="107" t="str">
        <f>IF(LEN(Table1722[[#This Row],[Uraian]])&gt;2,TRIM(RIGHT(SUBSTITUTE(TRIM(C4798)," ",REPT(" ",255)),255))," ")</f>
        <v xml:space="preserve"> </v>
      </c>
      <c r="G4798" s="110">
        <f>COPY!Z4790</f>
        <v>0</v>
      </c>
      <c r="H4798" s="111" t="str">
        <f>IFERROR(VLOOKUP(Table1722[[#This Row],[Bukti]],'Un nOTA'!$A$4:$K$5003,10,FALSE),"")</f>
        <v/>
      </c>
      <c r="I4798" s="123" t="str">
        <f>IFERROR(VLOOKUP(Table1722[[#This Row],[Bukti]],Table13[#Data],11,FALSE),"")</f>
        <v/>
      </c>
    </row>
    <row r="4799" spans="1:9" hidden="1" x14ac:dyDescent="0.2">
      <c r="A4799" s="105" t="str">
        <f>IF(D4799=1,COUNTIF($D$10:D4799,1)," ")</f>
        <v xml:space="preserve"> </v>
      </c>
      <c r="B4799" s="106">
        <f>COPY!AR4791</f>
        <v>0</v>
      </c>
      <c r="C4799" s="107">
        <f>COPY!AC4791</f>
        <v>0</v>
      </c>
      <c r="D4799" s="107" t="str">
        <f>IF(LEN(Table1722[[#This Row],[Uraian]])&gt;2,1," ")</f>
        <v xml:space="preserve"> </v>
      </c>
      <c r="E4799" s="113" t="str">
        <f>IF(Table1722[[#This Row],[Lawan Transaksi]]="CV AGUNG KARYA",COUNTIF($I$10:I4799,"CV AGUNG KARYA")," ")</f>
        <v xml:space="preserve"> </v>
      </c>
      <c r="F4799" s="107" t="str">
        <f>IF(LEN(Table1722[[#This Row],[Uraian]])&gt;2,TRIM(RIGHT(SUBSTITUTE(TRIM(C4799)," ",REPT(" ",255)),255))," ")</f>
        <v xml:space="preserve"> </v>
      </c>
      <c r="G4799" s="110">
        <f>COPY!Z4791</f>
        <v>0</v>
      </c>
      <c r="H4799" s="111" t="str">
        <f>IFERROR(VLOOKUP(Table1722[[#This Row],[Bukti]],'Un nOTA'!$A$4:$K$5003,10,FALSE),"")</f>
        <v/>
      </c>
      <c r="I4799" s="123" t="str">
        <f>IFERROR(VLOOKUP(Table1722[[#This Row],[Bukti]],Table13[#Data],11,FALSE),"")</f>
        <v/>
      </c>
    </row>
    <row r="4800" spans="1:9" hidden="1" x14ac:dyDescent="0.2">
      <c r="A4800" s="105" t="str">
        <f>IF(D4800=1,COUNTIF($D$10:D4800,1)," ")</f>
        <v xml:space="preserve"> </v>
      </c>
      <c r="B4800" s="106">
        <f>COPY!AR4792</f>
        <v>0</v>
      </c>
      <c r="C4800" s="107">
        <f>COPY!AC4792</f>
        <v>0</v>
      </c>
      <c r="D4800" s="107" t="str">
        <f>IF(LEN(Table1722[[#This Row],[Uraian]])&gt;2,1," ")</f>
        <v xml:space="preserve"> </v>
      </c>
      <c r="E4800" s="113" t="str">
        <f>IF(Table1722[[#This Row],[Lawan Transaksi]]="CV AGUNG KARYA",COUNTIF($I$10:I4800,"CV AGUNG KARYA")," ")</f>
        <v xml:space="preserve"> </v>
      </c>
      <c r="F4800" s="107" t="str">
        <f>IF(LEN(Table1722[[#This Row],[Uraian]])&gt;2,TRIM(RIGHT(SUBSTITUTE(TRIM(C4800)," ",REPT(" ",255)),255))," ")</f>
        <v xml:space="preserve"> </v>
      </c>
      <c r="G4800" s="110">
        <f>COPY!Z4792</f>
        <v>0</v>
      </c>
      <c r="H4800" s="111" t="str">
        <f>IFERROR(VLOOKUP(Table1722[[#This Row],[Bukti]],'Un nOTA'!$A$4:$K$5003,10,FALSE),"")</f>
        <v/>
      </c>
      <c r="I4800" s="123" t="str">
        <f>IFERROR(VLOOKUP(Table1722[[#This Row],[Bukti]],Table13[#Data],11,FALSE),"")</f>
        <v/>
      </c>
    </row>
    <row r="4801" spans="1:9" hidden="1" x14ac:dyDescent="0.2">
      <c r="A4801" s="105" t="str">
        <f>IF(D4801=1,COUNTIF($D$10:D4801,1)," ")</f>
        <v xml:space="preserve"> </v>
      </c>
      <c r="B4801" s="106">
        <f>COPY!AR4793</f>
        <v>0</v>
      </c>
      <c r="C4801" s="107">
        <f>COPY!AC4793</f>
        <v>0</v>
      </c>
      <c r="D4801" s="107" t="str">
        <f>IF(LEN(Table1722[[#This Row],[Uraian]])&gt;2,1," ")</f>
        <v xml:space="preserve"> </v>
      </c>
      <c r="E4801" s="113" t="str">
        <f>IF(Table1722[[#This Row],[Lawan Transaksi]]="CV AGUNG KARYA",COUNTIF($I$10:I4801,"CV AGUNG KARYA")," ")</f>
        <v xml:space="preserve"> </v>
      </c>
      <c r="F4801" s="107" t="str">
        <f>IF(LEN(Table1722[[#This Row],[Uraian]])&gt;2,TRIM(RIGHT(SUBSTITUTE(TRIM(C4801)," ",REPT(" ",255)),255))," ")</f>
        <v xml:space="preserve"> </v>
      </c>
      <c r="G4801" s="110">
        <f>COPY!Z4793</f>
        <v>0</v>
      </c>
      <c r="H4801" s="111" t="str">
        <f>IFERROR(VLOOKUP(Table1722[[#This Row],[Bukti]],'Un nOTA'!$A$4:$K$5003,10,FALSE),"")</f>
        <v/>
      </c>
      <c r="I4801" s="123" t="str">
        <f>IFERROR(VLOOKUP(Table1722[[#This Row],[Bukti]],Table13[#Data],11,FALSE),"")</f>
        <v/>
      </c>
    </row>
    <row r="4802" spans="1:9" hidden="1" x14ac:dyDescent="0.2">
      <c r="A4802" s="105" t="str">
        <f>IF(D4802=1,COUNTIF($D$10:D4802,1)," ")</f>
        <v xml:space="preserve"> </v>
      </c>
      <c r="B4802" s="106">
        <f>COPY!AR4794</f>
        <v>0</v>
      </c>
      <c r="C4802" s="107">
        <f>COPY!AC4794</f>
        <v>0</v>
      </c>
      <c r="D4802" s="107" t="str">
        <f>IF(LEN(Table1722[[#This Row],[Uraian]])&gt;2,1," ")</f>
        <v xml:space="preserve"> </v>
      </c>
      <c r="E4802" s="113" t="str">
        <f>IF(Table1722[[#This Row],[Lawan Transaksi]]="CV AGUNG KARYA",COUNTIF($I$10:I4802,"CV AGUNG KARYA")," ")</f>
        <v xml:space="preserve"> </v>
      </c>
      <c r="F4802" s="107" t="str">
        <f>IF(LEN(Table1722[[#This Row],[Uraian]])&gt;2,TRIM(RIGHT(SUBSTITUTE(TRIM(C4802)," ",REPT(" ",255)),255))," ")</f>
        <v xml:space="preserve"> </v>
      </c>
      <c r="G4802" s="110">
        <f>COPY!Z4794</f>
        <v>0</v>
      </c>
      <c r="H4802" s="111" t="str">
        <f>IFERROR(VLOOKUP(Table1722[[#This Row],[Bukti]],'Un nOTA'!$A$4:$K$5003,10,FALSE),"")</f>
        <v/>
      </c>
      <c r="I4802" s="123" t="str">
        <f>IFERROR(VLOOKUP(Table1722[[#This Row],[Bukti]],Table13[#Data],11,FALSE),"")</f>
        <v/>
      </c>
    </row>
    <row r="4803" spans="1:9" hidden="1" x14ac:dyDescent="0.2">
      <c r="A4803" s="105" t="str">
        <f>IF(D4803=1,COUNTIF($D$10:D4803,1)," ")</f>
        <v xml:space="preserve"> </v>
      </c>
      <c r="B4803" s="106">
        <f>COPY!AR4795</f>
        <v>0</v>
      </c>
      <c r="C4803" s="107">
        <f>COPY!AC4795</f>
        <v>0</v>
      </c>
      <c r="D4803" s="107" t="str">
        <f>IF(LEN(Table1722[[#This Row],[Uraian]])&gt;2,1," ")</f>
        <v xml:space="preserve"> </v>
      </c>
      <c r="E4803" s="113" t="str">
        <f>IF(Table1722[[#This Row],[Lawan Transaksi]]="CV AGUNG KARYA",COUNTIF($I$10:I4803,"CV AGUNG KARYA")," ")</f>
        <v xml:space="preserve"> </v>
      </c>
      <c r="F4803" s="107" t="str">
        <f>IF(LEN(Table1722[[#This Row],[Uraian]])&gt;2,TRIM(RIGHT(SUBSTITUTE(TRIM(C4803)," ",REPT(" ",255)),255))," ")</f>
        <v xml:space="preserve"> </v>
      </c>
      <c r="G4803" s="110">
        <f>COPY!Z4795</f>
        <v>0</v>
      </c>
      <c r="H4803" s="111" t="str">
        <f>IFERROR(VLOOKUP(Table1722[[#This Row],[Bukti]],'Un nOTA'!$A$4:$K$5003,10,FALSE),"")</f>
        <v/>
      </c>
      <c r="I4803" s="123" t="str">
        <f>IFERROR(VLOOKUP(Table1722[[#This Row],[Bukti]],Table13[#Data],11,FALSE),"")</f>
        <v/>
      </c>
    </row>
    <row r="4804" spans="1:9" hidden="1" x14ac:dyDescent="0.2">
      <c r="A4804" s="105" t="str">
        <f>IF(D4804=1,COUNTIF($D$10:D4804,1)," ")</f>
        <v xml:space="preserve"> </v>
      </c>
      <c r="B4804" s="106">
        <f>COPY!AR4796</f>
        <v>0</v>
      </c>
      <c r="C4804" s="107">
        <f>COPY!AC4796</f>
        <v>0</v>
      </c>
      <c r="D4804" s="107" t="str">
        <f>IF(LEN(Table1722[[#This Row],[Uraian]])&gt;2,1," ")</f>
        <v xml:space="preserve"> </v>
      </c>
      <c r="E4804" s="113" t="str">
        <f>IF(Table1722[[#This Row],[Lawan Transaksi]]="CV AGUNG KARYA",COUNTIF($I$10:I4804,"CV AGUNG KARYA")," ")</f>
        <v xml:space="preserve"> </v>
      </c>
      <c r="F4804" s="107" t="str">
        <f>IF(LEN(Table1722[[#This Row],[Uraian]])&gt;2,TRIM(RIGHT(SUBSTITUTE(TRIM(C4804)," ",REPT(" ",255)),255))," ")</f>
        <v xml:space="preserve"> </v>
      </c>
      <c r="G4804" s="110">
        <f>COPY!Z4796</f>
        <v>0</v>
      </c>
      <c r="H4804" s="111" t="str">
        <f>IFERROR(VLOOKUP(Table1722[[#This Row],[Bukti]],'Un nOTA'!$A$4:$K$5003,10,FALSE),"")</f>
        <v/>
      </c>
      <c r="I4804" s="123" t="str">
        <f>IFERROR(VLOOKUP(Table1722[[#This Row],[Bukti]],Table13[#Data],11,FALSE),"")</f>
        <v/>
      </c>
    </row>
    <row r="4805" spans="1:9" hidden="1" x14ac:dyDescent="0.2">
      <c r="A4805" s="105" t="str">
        <f>IF(D4805=1,COUNTIF($D$10:D4805,1)," ")</f>
        <v xml:space="preserve"> </v>
      </c>
      <c r="B4805" s="106">
        <f>COPY!AR4797</f>
        <v>0</v>
      </c>
      <c r="C4805" s="107">
        <f>COPY!AC4797</f>
        <v>0</v>
      </c>
      <c r="D4805" s="107" t="str">
        <f>IF(LEN(Table1722[[#This Row],[Uraian]])&gt;2,1," ")</f>
        <v xml:space="preserve"> </v>
      </c>
      <c r="E4805" s="113" t="str">
        <f>IF(Table1722[[#This Row],[Lawan Transaksi]]="CV AGUNG KARYA",COUNTIF($I$10:I4805,"CV AGUNG KARYA")," ")</f>
        <v xml:space="preserve"> </v>
      </c>
      <c r="F4805" s="107" t="str">
        <f>IF(LEN(Table1722[[#This Row],[Uraian]])&gt;2,TRIM(RIGHT(SUBSTITUTE(TRIM(C4805)," ",REPT(" ",255)),255))," ")</f>
        <v xml:space="preserve"> </v>
      </c>
      <c r="G4805" s="110">
        <f>COPY!Z4797</f>
        <v>0</v>
      </c>
      <c r="H4805" s="111" t="str">
        <f>IFERROR(VLOOKUP(Table1722[[#This Row],[Bukti]],'Un nOTA'!$A$4:$K$5003,10,FALSE),"")</f>
        <v/>
      </c>
      <c r="I4805" s="123" t="str">
        <f>IFERROR(VLOOKUP(Table1722[[#This Row],[Bukti]],Table13[#Data],11,FALSE),"")</f>
        <v/>
      </c>
    </row>
    <row r="4806" spans="1:9" hidden="1" x14ac:dyDescent="0.2">
      <c r="A4806" s="105" t="str">
        <f>IF(D4806=1,COUNTIF($D$10:D4806,1)," ")</f>
        <v xml:space="preserve"> </v>
      </c>
      <c r="B4806" s="106">
        <f>COPY!AR4798</f>
        <v>0</v>
      </c>
      <c r="C4806" s="107">
        <f>COPY!AC4798</f>
        <v>0</v>
      </c>
      <c r="D4806" s="107" t="str">
        <f>IF(LEN(Table1722[[#This Row],[Uraian]])&gt;2,1," ")</f>
        <v xml:space="preserve"> </v>
      </c>
      <c r="E4806" s="113" t="str">
        <f>IF(Table1722[[#This Row],[Lawan Transaksi]]="CV AGUNG KARYA",COUNTIF($I$10:I4806,"CV AGUNG KARYA")," ")</f>
        <v xml:space="preserve"> </v>
      </c>
      <c r="F4806" s="107" t="str">
        <f>IF(LEN(Table1722[[#This Row],[Uraian]])&gt;2,TRIM(RIGHT(SUBSTITUTE(TRIM(C4806)," ",REPT(" ",255)),255))," ")</f>
        <v xml:space="preserve"> </v>
      </c>
      <c r="G4806" s="110">
        <f>COPY!Z4798</f>
        <v>0</v>
      </c>
      <c r="H4806" s="111" t="str">
        <f>IFERROR(VLOOKUP(Table1722[[#This Row],[Bukti]],'Un nOTA'!$A$4:$K$5003,10,FALSE),"")</f>
        <v/>
      </c>
      <c r="I4806" s="123" t="str">
        <f>IFERROR(VLOOKUP(Table1722[[#This Row],[Bukti]],Table13[#Data],11,FALSE),"")</f>
        <v/>
      </c>
    </row>
    <row r="4807" spans="1:9" hidden="1" x14ac:dyDescent="0.2">
      <c r="A4807" s="105" t="str">
        <f>IF(D4807=1,COUNTIF($D$10:D4807,1)," ")</f>
        <v xml:space="preserve"> </v>
      </c>
      <c r="B4807" s="106">
        <f>COPY!AR4799</f>
        <v>0</v>
      </c>
      <c r="C4807" s="107">
        <f>COPY!AC4799</f>
        <v>0</v>
      </c>
      <c r="D4807" s="107" t="str">
        <f>IF(LEN(Table1722[[#This Row],[Uraian]])&gt;2,1," ")</f>
        <v xml:space="preserve"> </v>
      </c>
      <c r="E4807" s="113" t="str">
        <f>IF(Table1722[[#This Row],[Lawan Transaksi]]="CV AGUNG KARYA",COUNTIF($I$10:I4807,"CV AGUNG KARYA")," ")</f>
        <v xml:space="preserve"> </v>
      </c>
      <c r="F4807" s="107" t="str">
        <f>IF(LEN(Table1722[[#This Row],[Uraian]])&gt;2,TRIM(RIGHT(SUBSTITUTE(TRIM(C4807)," ",REPT(" ",255)),255))," ")</f>
        <v xml:space="preserve"> </v>
      </c>
      <c r="G4807" s="110">
        <f>COPY!Z4799</f>
        <v>0</v>
      </c>
      <c r="H4807" s="111" t="str">
        <f>IFERROR(VLOOKUP(Table1722[[#This Row],[Bukti]],'Un nOTA'!$A$4:$K$5003,10,FALSE),"")</f>
        <v/>
      </c>
      <c r="I4807" s="123" t="str">
        <f>IFERROR(VLOOKUP(Table1722[[#This Row],[Bukti]],Table13[#Data],11,FALSE),"")</f>
        <v/>
      </c>
    </row>
    <row r="4808" spans="1:9" hidden="1" x14ac:dyDescent="0.2">
      <c r="A4808" s="105" t="str">
        <f>IF(D4808=1,COUNTIF($D$10:D4808,1)," ")</f>
        <v xml:space="preserve"> </v>
      </c>
      <c r="B4808" s="106">
        <f>COPY!AR4800</f>
        <v>0</v>
      </c>
      <c r="C4808" s="107">
        <f>COPY!AC4800</f>
        <v>0</v>
      </c>
      <c r="D4808" s="107" t="str">
        <f>IF(LEN(Table1722[[#This Row],[Uraian]])&gt;2,1," ")</f>
        <v xml:space="preserve"> </v>
      </c>
      <c r="E4808" s="113" t="str">
        <f>IF(Table1722[[#This Row],[Lawan Transaksi]]="CV AGUNG KARYA",COUNTIF($I$10:I4808,"CV AGUNG KARYA")," ")</f>
        <v xml:space="preserve"> </v>
      </c>
      <c r="F4808" s="107" t="str">
        <f>IF(LEN(Table1722[[#This Row],[Uraian]])&gt;2,TRIM(RIGHT(SUBSTITUTE(TRIM(C4808)," ",REPT(" ",255)),255))," ")</f>
        <v xml:space="preserve"> </v>
      </c>
      <c r="G4808" s="110">
        <f>COPY!Z4800</f>
        <v>0</v>
      </c>
      <c r="H4808" s="111" t="str">
        <f>IFERROR(VLOOKUP(Table1722[[#This Row],[Bukti]],'Un nOTA'!$A$4:$K$5003,10,FALSE),"")</f>
        <v/>
      </c>
      <c r="I4808" s="123" t="str">
        <f>IFERROR(VLOOKUP(Table1722[[#This Row],[Bukti]],Table13[#Data],11,FALSE),"")</f>
        <v/>
      </c>
    </row>
    <row r="4809" spans="1:9" hidden="1" x14ac:dyDescent="0.2">
      <c r="A4809" s="105" t="str">
        <f>IF(D4809=1,COUNTIF($D$10:D4809,1)," ")</f>
        <v xml:space="preserve"> </v>
      </c>
      <c r="B4809" s="106">
        <f>COPY!AR4801</f>
        <v>0</v>
      </c>
      <c r="C4809" s="107">
        <f>COPY!AC4801</f>
        <v>0</v>
      </c>
      <c r="D4809" s="107" t="str">
        <f>IF(LEN(Table1722[[#This Row],[Uraian]])&gt;2,1," ")</f>
        <v xml:space="preserve"> </v>
      </c>
      <c r="E4809" s="113" t="str">
        <f>IF(Table1722[[#This Row],[Lawan Transaksi]]="CV AGUNG KARYA",COUNTIF($I$10:I4809,"CV AGUNG KARYA")," ")</f>
        <v xml:space="preserve"> </v>
      </c>
      <c r="F4809" s="107" t="str">
        <f>IF(LEN(Table1722[[#This Row],[Uraian]])&gt;2,TRIM(RIGHT(SUBSTITUTE(TRIM(C4809)," ",REPT(" ",255)),255))," ")</f>
        <v xml:space="preserve"> </v>
      </c>
      <c r="G4809" s="110">
        <f>COPY!Z4801</f>
        <v>0</v>
      </c>
      <c r="H4809" s="111" t="str">
        <f>IFERROR(VLOOKUP(Table1722[[#This Row],[Bukti]],'Un nOTA'!$A$4:$K$5003,10,FALSE),"")</f>
        <v/>
      </c>
      <c r="I4809" s="123" t="str">
        <f>IFERROR(VLOOKUP(Table1722[[#This Row],[Bukti]],Table13[#Data],11,FALSE),"")</f>
        <v/>
      </c>
    </row>
    <row r="4810" spans="1:9" hidden="1" x14ac:dyDescent="0.2">
      <c r="A4810" s="105" t="str">
        <f>IF(D4810=1,COUNTIF($D$10:D4810,1)," ")</f>
        <v xml:space="preserve"> </v>
      </c>
      <c r="B4810" s="106">
        <f>COPY!AR4802</f>
        <v>0</v>
      </c>
      <c r="C4810" s="107">
        <f>COPY!AC4802</f>
        <v>0</v>
      </c>
      <c r="D4810" s="107" t="str">
        <f>IF(LEN(Table1722[[#This Row],[Uraian]])&gt;2,1," ")</f>
        <v xml:space="preserve"> </v>
      </c>
      <c r="E4810" s="113" t="str">
        <f>IF(Table1722[[#This Row],[Lawan Transaksi]]="CV AGUNG KARYA",COUNTIF($I$10:I4810,"CV AGUNG KARYA")," ")</f>
        <v xml:space="preserve"> </v>
      </c>
      <c r="F4810" s="107" t="str">
        <f>IF(LEN(Table1722[[#This Row],[Uraian]])&gt;2,TRIM(RIGHT(SUBSTITUTE(TRIM(C4810)," ",REPT(" ",255)),255))," ")</f>
        <v xml:space="preserve"> </v>
      </c>
      <c r="G4810" s="110">
        <f>COPY!Z4802</f>
        <v>0</v>
      </c>
      <c r="H4810" s="111" t="str">
        <f>IFERROR(VLOOKUP(Table1722[[#This Row],[Bukti]],'Un nOTA'!$A$4:$K$5003,10,FALSE),"")</f>
        <v/>
      </c>
      <c r="I4810" s="123" t="str">
        <f>IFERROR(VLOOKUP(Table1722[[#This Row],[Bukti]],Table13[#Data],11,FALSE),"")</f>
        <v/>
      </c>
    </row>
    <row r="4811" spans="1:9" hidden="1" x14ac:dyDescent="0.2">
      <c r="A4811" s="105" t="str">
        <f>IF(D4811=1,COUNTIF($D$10:D4811,1)," ")</f>
        <v xml:space="preserve"> </v>
      </c>
      <c r="B4811" s="106">
        <f>COPY!AR4803</f>
        <v>0</v>
      </c>
      <c r="C4811" s="107">
        <f>COPY!AC4803</f>
        <v>0</v>
      </c>
      <c r="D4811" s="107" t="str">
        <f>IF(LEN(Table1722[[#This Row],[Uraian]])&gt;2,1," ")</f>
        <v xml:space="preserve"> </v>
      </c>
      <c r="E4811" s="113" t="str">
        <f>IF(Table1722[[#This Row],[Lawan Transaksi]]="CV AGUNG KARYA",COUNTIF($I$10:I4811,"CV AGUNG KARYA")," ")</f>
        <v xml:space="preserve"> </v>
      </c>
      <c r="F4811" s="107" t="str">
        <f>IF(LEN(Table1722[[#This Row],[Uraian]])&gt;2,TRIM(RIGHT(SUBSTITUTE(TRIM(C4811)," ",REPT(" ",255)),255))," ")</f>
        <v xml:space="preserve"> </v>
      </c>
      <c r="G4811" s="110">
        <f>COPY!Z4803</f>
        <v>0</v>
      </c>
      <c r="H4811" s="111" t="str">
        <f>IFERROR(VLOOKUP(Table1722[[#This Row],[Bukti]],'Un nOTA'!$A$4:$K$5003,10,FALSE),"")</f>
        <v/>
      </c>
      <c r="I4811" s="123" t="str">
        <f>IFERROR(VLOOKUP(Table1722[[#This Row],[Bukti]],Table13[#Data],11,FALSE),"")</f>
        <v/>
      </c>
    </row>
    <row r="4812" spans="1:9" hidden="1" x14ac:dyDescent="0.2">
      <c r="A4812" s="105" t="str">
        <f>IF(D4812=1,COUNTIF($D$10:D4812,1)," ")</f>
        <v xml:space="preserve"> </v>
      </c>
      <c r="B4812" s="106">
        <f>COPY!AR4804</f>
        <v>0</v>
      </c>
      <c r="C4812" s="107">
        <f>COPY!AC4804</f>
        <v>0</v>
      </c>
      <c r="D4812" s="107" t="str">
        <f>IF(LEN(Table1722[[#This Row],[Uraian]])&gt;2,1," ")</f>
        <v xml:space="preserve"> </v>
      </c>
      <c r="E4812" s="113" t="str">
        <f>IF(Table1722[[#This Row],[Lawan Transaksi]]="CV AGUNG KARYA",COUNTIF($I$10:I4812,"CV AGUNG KARYA")," ")</f>
        <v xml:space="preserve"> </v>
      </c>
      <c r="F4812" s="107" t="str">
        <f>IF(LEN(Table1722[[#This Row],[Uraian]])&gt;2,TRIM(RIGHT(SUBSTITUTE(TRIM(C4812)," ",REPT(" ",255)),255))," ")</f>
        <v xml:space="preserve"> </v>
      </c>
      <c r="G4812" s="110">
        <f>COPY!Z4804</f>
        <v>0</v>
      </c>
      <c r="H4812" s="111" t="str">
        <f>IFERROR(VLOOKUP(Table1722[[#This Row],[Bukti]],'Un nOTA'!$A$4:$K$5003,10,FALSE),"")</f>
        <v/>
      </c>
      <c r="I4812" s="123" t="str">
        <f>IFERROR(VLOOKUP(Table1722[[#This Row],[Bukti]],Table13[#Data],11,FALSE),"")</f>
        <v/>
      </c>
    </row>
    <row r="4813" spans="1:9" hidden="1" x14ac:dyDescent="0.2">
      <c r="A4813" s="105" t="str">
        <f>IF(D4813=1,COUNTIF($D$10:D4813,1)," ")</f>
        <v xml:space="preserve"> </v>
      </c>
      <c r="B4813" s="106">
        <f>COPY!AR4805</f>
        <v>0</v>
      </c>
      <c r="C4813" s="107">
        <f>COPY!AC4805</f>
        <v>0</v>
      </c>
      <c r="D4813" s="107" t="str">
        <f>IF(LEN(Table1722[[#This Row],[Uraian]])&gt;2,1," ")</f>
        <v xml:space="preserve"> </v>
      </c>
      <c r="E4813" s="113" t="str">
        <f>IF(Table1722[[#This Row],[Lawan Transaksi]]="CV AGUNG KARYA",COUNTIF($I$10:I4813,"CV AGUNG KARYA")," ")</f>
        <v xml:space="preserve"> </v>
      </c>
      <c r="F4813" s="107" t="str">
        <f>IF(LEN(Table1722[[#This Row],[Uraian]])&gt;2,TRIM(RIGHT(SUBSTITUTE(TRIM(C4813)," ",REPT(" ",255)),255))," ")</f>
        <v xml:space="preserve"> </v>
      </c>
      <c r="G4813" s="110">
        <f>COPY!Z4805</f>
        <v>0</v>
      </c>
      <c r="H4813" s="111" t="str">
        <f>IFERROR(VLOOKUP(Table1722[[#This Row],[Bukti]],'Un nOTA'!$A$4:$K$5003,10,FALSE),"")</f>
        <v/>
      </c>
      <c r="I4813" s="123" t="str">
        <f>IFERROR(VLOOKUP(Table1722[[#This Row],[Bukti]],Table13[#Data],11,FALSE),"")</f>
        <v/>
      </c>
    </row>
    <row r="4814" spans="1:9" hidden="1" x14ac:dyDescent="0.2">
      <c r="A4814" s="105" t="str">
        <f>IF(D4814=1,COUNTIF($D$10:D4814,1)," ")</f>
        <v xml:space="preserve"> </v>
      </c>
      <c r="B4814" s="106">
        <f>COPY!AR4806</f>
        <v>0</v>
      </c>
      <c r="C4814" s="107">
        <f>COPY!AC4806</f>
        <v>0</v>
      </c>
      <c r="D4814" s="107" t="str">
        <f>IF(LEN(Table1722[[#This Row],[Uraian]])&gt;2,1," ")</f>
        <v xml:space="preserve"> </v>
      </c>
      <c r="E4814" s="113" t="str">
        <f>IF(Table1722[[#This Row],[Lawan Transaksi]]="CV AGUNG KARYA",COUNTIF($I$10:I4814,"CV AGUNG KARYA")," ")</f>
        <v xml:space="preserve"> </v>
      </c>
      <c r="F4814" s="107" t="str">
        <f>IF(LEN(Table1722[[#This Row],[Uraian]])&gt;2,TRIM(RIGHT(SUBSTITUTE(TRIM(C4814)," ",REPT(" ",255)),255))," ")</f>
        <v xml:space="preserve"> </v>
      </c>
      <c r="G4814" s="110">
        <f>COPY!Z4806</f>
        <v>0</v>
      </c>
      <c r="H4814" s="111" t="str">
        <f>IFERROR(VLOOKUP(Table1722[[#This Row],[Bukti]],'Un nOTA'!$A$4:$K$5003,10,FALSE),"")</f>
        <v/>
      </c>
      <c r="I4814" s="123" t="str">
        <f>IFERROR(VLOOKUP(Table1722[[#This Row],[Bukti]],Table13[#Data],11,FALSE),"")</f>
        <v/>
      </c>
    </row>
    <row r="4815" spans="1:9" hidden="1" x14ac:dyDescent="0.2">
      <c r="A4815" s="105" t="str">
        <f>IF(D4815=1,COUNTIF($D$10:D4815,1)," ")</f>
        <v xml:space="preserve"> </v>
      </c>
      <c r="B4815" s="106">
        <f>COPY!AR4807</f>
        <v>0</v>
      </c>
      <c r="C4815" s="107">
        <f>COPY!AC4807</f>
        <v>0</v>
      </c>
      <c r="D4815" s="107" t="str">
        <f>IF(LEN(Table1722[[#This Row],[Uraian]])&gt;2,1," ")</f>
        <v xml:space="preserve"> </v>
      </c>
      <c r="E4815" s="113" t="str">
        <f>IF(Table1722[[#This Row],[Lawan Transaksi]]="CV AGUNG KARYA",COUNTIF($I$10:I4815,"CV AGUNG KARYA")," ")</f>
        <v xml:space="preserve"> </v>
      </c>
      <c r="F4815" s="107" t="str">
        <f>IF(LEN(Table1722[[#This Row],[Uraian]])&gt;2,TRIM(RIGHT(SUBSTITUTE(TRIM(C4815)," ",REPT(" ",255)),255))," ")</f>
        <v xml:space="preserve"> </v>
      </c>
      <c r="G4815" s="110">
        <f>COPY!Z4807</f>
        <v>0</v>
      </c>
      <c r="H4815" s="111" t="str">
        <f>IFERROR(VLOOKUP(Table1722[[#This Row],[Bukti]],'Un nOTA'!$A$4:$K$5003,10,FALSE),"")</f>
        <v/>
      </c>
      <c r="I4815" s="123" t="str">
        <f>IFERROR(VLOOKUP(Table1722[[#This Row],[Bukti]],Table13[#Data],11,FALSE),"")</f>
        <v/>
      </c>
    </row>
    <row r="4816" spans="1:9" hidden="1" x14ac:dyDescent="0.2">
      <c r="A4816" s="105" t="str">
        <f>IF(D4816=1,COUNTIF($D$10:D4816,1)," ")</f>
        <v xml:space="preserve"> </v>
      </c>
      <c r="B4816" s="106">
        <f>COPY!AR4808</f>
        <v>0</v>
      </c>
      <c r="C4816" s="107">
        <f>COPY!AC4808</f>
        <v>0</v>
      </c>
      <c r="D4816" s="107" t="str">
        <f>IF(LEN(Table1722[[#This Row],[Uraian]])&gt;2,1," ")</f>
        <v xml:space="preserve"> </v>
      </c>
      <c r="E4816" s="113" t="str">
        <f>IF(Table1722[[#This Row],[Lawan Transaksi]]="CV AGUNG KARYA",COUNTIF($I$10:I4816,"CV AGUNG KARYA")," ")</f>
        <v xml:space="preserve"> </v>
      </c>
      <c r="F4816" s="107" t="str">
        <f>IF(LEN(Table1722[[#This Row],[Uraian]])&gt;2,TRIM(RIGHT(SUBSTITUTE(TRIM(C4816)," ",REPT(" ",255)),255))," ")</f>
        <v xml:space="preserve"> </v>
      </c>
      <c r="G4816" s="110">
        <f>COPY!Z4808</f>
        <v>0</v>
      </c>
      <c r="H4816" s="111" t="str">
        <f>IFERROR(VLOOKUP(Table1722[[#This Row],[Bukti]],'Un nOTA'!$A$4:$K$5003,10,FALSE),"")</f>
        <v/>
      </c>
      <c r="I4816" s="123" t="str">
        <f>IFERROR(VLOOKUP(Table1722[[#This Row],[Bukti]],Table13[#Data],11,FALSE),"")</f>
        <v/>
      </c>
    </row>
    <row r="4817" spans="1:9" hidden="1" x14ac:dyDescent="0.2">
      <c r="A4817" s="105" t="str">
        <f>IF(D4817=1,COUNTIF($D$10:D4817,1)," ")</f>
        <v xml:space="preserve"> </v>
      </c>
      <c r="B4817" s="106">
        <f>COPY!AR4809</f>
        <v>0</v>
      </c>
      <c r="C4817" s="107">
        <f>COPY!AC4809</f>
        <v>0</v>
      </c>
      <c r="D4817" s="107" t="str">
        <f>IF(LEN(Table1722[[#This Row],[Uraian]])&gt;2,1," ")</f>
        <v xml:space="preserve"> </v>
      </c>
      <c r="E4817" s="113" t="str">
        <f>IF(Table1722[[#This Row],[Lawan Transaksi]]="CV AGUNG KARYA",COUNTIF($I$10:I4817,"CV AGUNG KARYA")," ")</f>
        <v xml:space="preserve"> </v>
      </c>
      <c r="F4817" s="107" t="str">
        <f>IF(LEN(Table1722[[#This Row],[Uraian]])&gt;2,TRIM(RIGHT(SUBSTITUTE(TRIM(C4817)," ",REPT(" ",255)),255))," ")</f>
        <v xml:space="preserve"> </v>
      </c>
      <c r="G4817" s="110">
        <f>COPY!Z4809</f>
        <v>0</v>
      </c>
      <c r="H4817" s="111" t="str">
        <f>IFERROR(VLOOKUP(Table1722[[#This Row],[Bukti]],'Un nOTA'!$A$4:$K$5003,10,FALSE),"")</f>
        <v/>
      </c>
      <c r="I4817" s="123" t="str">
        <f>IFERROR(VLOOKUP(Table1722[[#This Row],[Bukti]],Table13[#Data],11,FALSE),"")</f>
        <v/>
      </c>
    </row>
    <row r="4818" spans="1:9" hidden="1" x14ac:dyDescent="0.2">
      <c r="A4818" s="105" t="str">
        <f>IF(D4818=1,COUNTIF($D$10:D4818,1)," ")</f>
        <v xml:space="preserve"> </v>
      </c>
      <c r="B4818" s="106">
        <f>COPY!AR4810</f>
        <v>0</v>
      </c>
      <c r="C4818" s="107">
        <f>COPY!AC4810</f>
        <v>0</v>
      </c>
      <c r="D4818" s="107" t="str">
        <f>IF(LEN(Table1722[[#This Row],[Uraian]])&gt;2,1," ")</f>
        <v xml:space="preserve"> </v>
      </c>
      <c r="E4818" s="113" t="str">
        <f>IF(Table1722[[#This Row],[Lawan Transaksi]]="CV AGUNG KARYA",COUNTIF($I$10:I4818,"CV AGUNG KARYA")," ")</f>
        <v xml:space="preserve"> </v>
      </c>
      <c r="F4818" s="107" t="str">
        <f>IF(LEN(Table1722[[#This Row],[Uraian]])&gt;2,TRIM(RIGHT(SUBSTITUTE(TRIM(C4818)," ",REPT(" ",255)),255))," ")</f>
        <v xml:space="preserve"> </v>
      </c>
      <c r="G4818" s="110">
        <f>COPY!Z4810</f>
        <v>0</v>
      </c>
      <c r="H4818" s="111" t="str">
        <f>IFERROR(VLOOKUP(Table1722[[#This Row],[Bukti]],'Un nOTA'!$A$4:$K$5003,10,FALSE),"")</f>
        <v/>
      </c>
      <c r="I4818" s="123" t="str">
        <f>IFERROR(VLOOKUP(Table1722[[#This Row],[Bukti]],Table13[#Data],11,FALSE),"")</f>
        <v/>
      </c>
    </row>
    <row r="4819" spans="1:9" hidden="1" x14ac:dyDescent="0.2">
      <c r="A4819" s="105" t="str">
        <f>IF(D4819=1,COUNTIF($D$10:D4819,1)," ")</f>
        <v xml:space="preserve"> </v>
      </c>
      <c r="B4819" s="106">
        <f>COPY!AR4811</f>
        <v>0</v>
      </c>
      <c r="C4819" s="107">
        <f>COPY!AC4811</f>
        <v>0</v>
      </c>
      <c r="D4819" s="107" t="str">
        <f>IF(LEN(Table1722[[#This Row],[Uraian]])&gt;2,1," ")</f>
        <v xml:space="preserve"> </v>
      </c>
      <c r="E4819" s="113" t="str">
        <f>IF(Table1722[[#This Row],[Lawan Transaksi]]="CV AGUNG KARYA",COUNTIF($I$10:I4819,"CV AGUNG KARYA")," ")</f>
        <v xml:space="preserve"> </v>
      </c>
      <c r="F4819" s="107" t="str">
        <f>IF(LEN(Table1722[[#This Row],[Uraian]])&gt;2,TRIM(RIGHT(SUBSTITUTE(TRIM(C4819)," ",REPT(" ",255)),255))," ")</f>
        <v xml:space="preserve"> </v>
      </c>
      <c r="G4819" s="110">
        <f>COPY!Z4811</f>
        <v>0</v>
      </c>
      <c r="H4819" s="111" t="str">
        <f>IFERROR(VLOOKUP(Table1722[[#This Row],[Bukti]],'Un nOTA'!$A$4:$K$5003,10,FALSE),"")</f>
        <v/>
      </c>
      <c r="I4819" s="123" t="str">
        <f>IFERROR(VLOOKUP(Table1722[[#This Row],[Bukti]],Table13[#Data],11,FALSE),"")</f>
        <v/>
      </c>
    </row>
    <row r="4820" spans="1:9" hidden="1" x14ac:dyDescent="0.2">
      <c r="A4820" s="105" t="str">
        <f>IF(D4820=1,COUNTIF($D$10:D4820,1)," ")</f>
        <v xml:space="preserve"> </v>
      </c>
      <c r="B4820" s="106">
        <f>COPY!AR4812</f>
        <v>0</v>
      </c>
      <c r="C4820" s="107">
        <f>COPY!AC4812</f>
        <v>0</v>
      </c>
      <c r="D4820" s="107" t="str">
        <f>IF(LEN(Table1722[[#This Row],[Uraian]])&gt;2,1," ")</f>
        <v xml:space="preserve"> </v>
      </c>
      <c r="E4820" s="113" t="str">
        <f>IF(Table1722[[#This Row],[Lawan Transaksi]]="CV AGUNG KARYA",COUNTIF($I$10:I4820,"CV AGUNG KARYA")," ")</f>
        <v xml:space="preserve"> </v>
      </c>
      <c r="F4820" s="107" t="str">
        <f>IF(LEN(Table1722[[#This Row],[Uraian]])&gt;2,TRIM(RIGHT(SUBSTITUTE(TRIM(C4820)," ",REPT(" ",255)),255))," ")</f>
        <v xml:space="preserve"> </v>
      </c>
      <c r="G4820" s="110">
        <f>COPY!Z4812</f>
        <v>0</v>
      </c>
      <c r="H4820" s="111" t="str">
        <f>IFERROR(VLOOKUP(Table1722[[#This Row],[Bukti]],'Un nOTA'!$A$4:$K$5003,10,FALSE),"")</f>
        <v/>
      </c>
      <c r="I4820" s="123" t="str">
        <f>IFERROR(VLOOKUP(Table1722[[#This Row],[Bukti]],Table13[#Data],11,FALSE),"")</f>
        <v/>
      </c>
    </row>
    <row r="4821" spans="1:9" hidden="1" x14ac:dyDescent="0.2">
      <c r="A4821" s="105" t="str">
        <f>IF(D4821=1,COUNTIF($D$10:D4821,1)," ")</f>
        <v xml:space="preserve"> </v>
      </c>
      <c r="B4821" s="106">
        <f>COPY!AR4813</f>
        <v>0</v>
      </c>
      <c r="C4821" s="107">
        <f>COPY!AC4813</f>
        <v>0</v>
      </c>
      <c r="D4821" s="107" t="str">
        <f>IF(LEN(Table1722[[#This Row],[Uraian]])&gt;2,1," ")</f>
        <v xml:space="preserve"> </v>
      </c>
      <c r="E4821" s="113" t="str">
        <f>IF(Table1722[[#This Row],[Lawan Transaksi]]="CV AGUNG KARYA",COUNTIF($I$10:I4821,"CV AGUNG KARYA")," ")</f>
        <v xml:space="preserve"> </v>
      </c>
      <c r="F4821" s="107" t="str">
        <f>IF(LEN(Table1722[[#This Row],[Uraian]])&gt;2,TRIM(RIGHT(SUBSTITUTE(TRIM(C4821)," ",REPT(" ",255)),255))," ")</f>
        <v xml:space="preserve"> </v>
      </c>
      <c r="G4821" s="110">
        <f>COPY!Z4813</f>
        <v>0</v>
      </c>
      <c r="H4821" s="111" t="str">
        <f>IFERROR(VLOOKUP(Table1722[[#This Row],[Bukti]],'Un nOTA'!$A$4:$K$5003,10,FALSE),"")</f>
        <v/>
      </c>
      <c r="I4821" s="123" t="str">
        <f>IFERROR(VLOOKUP(Table1722[[#This Row],[Bukti]],Table13[#Data],11,FALSE),"")</f>
        <v/>
      </c>
    </row>
    <row r="4822" spans="1:9" hidden="1" x14ac:dyDescent="0.2">
      <c r="A4822" s="105" t="str">
        <f>IF(D4822=1,COUNTIF($D$10:D4822,1)," ")</f>
        <v xml:space="preserve"> </v>
      </c>
      <c r="B4822" s="106">
        <f>COPY!AR4814</f>
        <v>0</v>
      </c>
      <c r="C4822" s="107">
        <f>COPY!AC4814</f>
        <v>0</v>
      </c>
      <c r="D4822" s="107" t="str">
        <f>IF(LEN(Table1722[[#This Row],[Uraian]])&gt;2,1," ")</f>
        <v xml:space="preserve"> </v>
      </c>
      <c r="E4822" s="113" t="str">
        <f>IF(Table1722[[#This Row],[Lawan Transaksi]]="CV AGUNG KARYA",COUNTIF($I$10:I4822,"CV AGUNG KARYA")," ")</f>
        <v xml:space="preserve"> </v>
      </c>
      <c r="F4822" s="107" t="str">
        <f>IF(LEN(Table1722[[#This Row],[Uraian]])&gt;2,TRIM(RIGHT(SUBSTITUTE(TRIM(C4822)," ",REPT(" ",255)),255))," ")</f>
        <v xml:space="preserve"> </v>
      </c>
      <c r="G4822" s="110">
        <f>COPY!Z4814</f>
        <v>0</v>
      </c>
      <c r="H4822" s="111" t="str">
        <f>IFERROR(VLOOKUP(Table1722[[#This Row],[Bukti]],'Un nOTA'!$A$4:$K$5003,10,FALSE),"")</f>
        <v/>
      </c>
      <c r="I4822" s="123" t="str">
        <f>IFERROR(VLOOKUP(Table1722[[#This Row],[Bukti]],Table13[#Data],11,FALSE),"")</f>
        <v/>
      </c>
    </row>
    <row r="4823" spans="1:9" hidden="1" x14ac:dyDescent="0.2">
      <c r="A4823" s="105" t="str">
        <f>IF(D4823=1,COUNTIF($D$10:D4823,1)," ")</f>
        <v xml:space="preserve"> </v>
      </c>
      <c r="B4823" s="106">
        <f>COPY!AR4815</f>
        <v>0</v>
      </c>
      <c r="C4823" s="107">
        <f>COPY!AC4815</f>
        <v>0</v>
      </c>
      <c r="D4823" s="107" t="str">
        <f>IF(LEN(Table1722[[#This Row],[Uraian]])&gt;2,1," ")</f>
        <v xml:space="preserve"> </v>
      </c>
      <c r="E4823" s="113" t="str">
        <f>IF(Table1722[[#This Row],[Lawan Transaksi]]="CV AGUNG KARYA",COUNTIF($I$10:I4823,"CV AGUNG KARYA")," ")</f>
        <v xml:space="preserve"> </v>
      </c>
      <c r="F4823" s="107" t="str">
        <f>IF(LEN(Table1722[[#This Row],[Uraian]])&gt;2,TRIM(RIGHT(SUBSTITUTE(TRIM(C4823)," ",REPT(" ",255)),255))," ")</f>
        <v xml:space="preserve"> </v>
      </c>
      <c r="G4823" s="110">
        <f>COPY!Z4815</f>
        <v>0</v>
      </c>
      <c r="H4823" s="111" t="str">
        <f>IFERROR(VLOOKUP(Table1722[[#This Row],[Bukti]],'Un nOTA'!$A$4:$K$5003,10,FALSE),"")</f>
        <v/>
      </c>
      <c r="I4823" s="123" t="str">
        <f>IFERROR(VLOOKUP(Table1722[[#This Row],[Bukti]],Table13[#Data],11,FALSE),"")</f>
        <v/>
      </c>
    </row>
    <row r="4824" spans="1:9" hidden="1" x14ac:dyDescent="0.2">
      <c r="A4824" s="105" t="str">
        <f>IF(D4824=1,COUNTIF($D$10:D4824,1)," ")</f>
        <v xml:space="preserve"> </v>
      </c>
      <c r="B4824" s="106">
        <f>COPY!AR4816</f>
        <v>0</v>
      </c>
      <c r="C4824" s="107">
        <f>COPY!AC4816</f>
        <v>0</v>
      </c>
      <c r="D4824" s="107" t="str">
        <f>IF(LEN(Table1722[[#This Row],[Uraian]])&gt;2,1," ")</f>
        <v xml:space="preserve"> </v>
      </c>
      <c r="E4824" s="113" t="str">
        <f>IF(Table1722[[#This Row],[Lawan Transaksi]]="CV AGUNG KARYA",COUNTIF($I$10:I4824,"CV AGUNG KARYA")," ")</f>
        <v xml:space="preserve"> </v>
      </c>
      <c r="F4824" s="107" t="str">
        <f>IF(LEN(Table1722[[#This Row],[Uraian]])&gt;2,TRIM(RIGHT(SUBSTITUTE(TRIM(C4824)," ",REPT(" ",255)),255))," ")</f>
        <v xml:space="preserve"> </v>
      </c>
      <c r="G4824" s="110">
        <f>COPY!Z4816</f>
        <v>0</v>
      </c>
      <c r="H4824" s="111" t="str">
        <f>IFERROR(VLOOKUP(Table1722[[#This Row],[Bukti]],'Un nOTA'!$A$4:$K$5003,10,FALSE),"")</f>
        <v/>
      </c>
      <c r="I4824" s="123" t="str">
        <f>IFERROR(VLOOKUP(Table1722[[#This Row],[Bukti]],Table13[#Data],11,FALSE),"")</f>
        <v/>
      </c>
    </row>
    <row r="4825" spans="1:9" hidden="1" x14ac:dyDescent="0.2">
      <c r="A4825" s="105" t="str">
        <f>IF(D4825=1,COUNTIF($D$10:D4825,1)," ")</f>
        <v xml:space="preserve"> </v>
      </c>
      <c r="B4825" s="106">
        <f>COPY!AR4817</f>
        <v>0</v>
      </c>
      <c r="C4825" s="107">
        <f>COPY!AC4817</f>
        <v>0</v>
      </c>
      <c r="D4825" s="107" t="str">
        <f>IF(LEN(Table1722[[#This Row],[Uraian]])&gt;2,1," ")</f>
        <v xml:space="preserve"> </v>
      </c>
      <c r="E4825" s="113" t="str">
        <f>IF(Table1722[[#This Row],[Lawan Transaksi]]="CV AGUNG KARYA",COUNTIF($I$10:I4825,"CV AGUNG KARYA")," ")</f>
        <v xml:space="preserve"> </v>
      </c>
      <c r="F4825" s="107" t="str">
        <f>IF(LEN(Table1722[[#This Row],[Uraian]])&gt;2,TRIM(RIGHT(SUBSTITUTE(TRIM(C4825)," ",REPT(" ",255)),255))," ")</f>
        <v xml:space="preserve"> </v>
      </c>
      <c r="G4825" s="110">
        <f>COPY!Z4817</f>
        <v>0</v>
      </c>
      <c r="H4825" s="111" t="str">
        <f>IFERROR(VLOOKUP(Table1722[[#This Row],[Bukti]],'Un nOTA'!$A$4:$K$5003,10,FALSE),"")</f>
        <v/>
      </c>
      <c r="I4825" s="123" t="str">
        <f>IFERROR(VLOOKUP(Table1722[[#This Row],[Bukti]],Table13[#Data],11,FALSE),"")</f>
        <v/>
      </c>
    </row>
    <row r="4826" spans="1:9" hidden="1" x14ac:dyDescent="0.2">
      <c r="A4826" s="105" t="str">
        <f>IF(D4826=1,COUNTIF($D$10:D4826,1)," ")</f>
        <v xml:space="preserve"> </v>
      </c>
      <c r="B4826" s="106">
        <f>COPY!AR4818</f>
        <v>0</v>
      </c>
      <c r="C4826" s="107">
        <f>COPY!AC4818</f>
        <v>0</v>
      </c>
      <c r="D4826" s="107" t="str">
        <f>IF(LEN(Table1722[[#This Row],[Uraian]])&gt;2,1," ")</f>
        <v xml:space="preserve"> </v>
      </c>
      <c r="E4826" s="113" t="str">
        <f>IF(Table1722[[#This Row],[Lawan Transaksi]]="CV AGUNG KARYA",COUNTIF($I$10:I4826,"CV AGUNG KARYA")," ")</f>
        <v xml:space="preserve"> </v>
      </c>
      <c r="F4826" s="107" t="str">
        <f>IF(LEN(Table1722[[#This Row],[Uraian]])&gt;2,TRIM(RIGHT(SUBSTITUTE(TRIM(C4826)," ",REPT(" ",255)),255))," ")</f>
        <v xml:space="preserve"> </v>
      </c>
      <c r="G4826" s="110">
        <f>COPY!Z4818</f>
        <v>0</v>
      </c>
      <c r="H4826" s="111" t="str">
        <f>IFERROR(VLOOKUP(Table1722[[#This Row],[Bukti]],'Un nOTA'!$A$4:$K$5003,10,FALSE),"")</f>
        <v/>
      </c>
      <c r="I4826" s="123" t="str">
        <f>IFERROR(VLOOKUP(Table1722[[#This Row],[Bukti]],Table13[#Data],11,FALSE),"")</f>
        <v/>
      </c>
    </row>
    <row r="4827" spans="1:9" hidden="1" x14ac:dyDescent="0.2">
      <c r="A4827" s="105" t="str">
        <f>IF(D4827=1,COUNTIF($D$10:D4827,1)," ")</f>
        <v xml:space="preserve"> </v>
      </c>
      <c r="B4827" s="106">
        <f>COPY!AR4819</f>
        <v>0</v>
      </c>
      <c r="C4827" s="107">
        <f>COPY!AC4819</f>
        <v>0</v>
      </c>
      <c r="D4827" s="107" t="str">
        <f>IF(LEN(Table1722[[#This Row],[Uraian]])&gt;2,1," ")</f>
        <v xml:space="preserve"> </v>
      </c>
      <c r="E4827" s="113" t="str">
        <f>IF(Table1722[[#This Row],[Lawan Transaksi]]="CV AGUNG KARYA",COUNTIF($I$10:I4827,"CV AGUNG KARYA")," ")</f>
        <v xml:space="preserve"> </v>
      </c>
      <c r="F4827" s="107" t="str">
        <f>IF(LEN(Table1722[[#This Row],[Uraian]])&gt;2,TRIM(RIGHT(SUBSTITUTE(TRIM(C4827)," ",REPT(" ",255)),255))," ")</f>
        <v xml:space="preserve"> </v>
      </c>
      <c r="G4827" s="110">
        <f>COPY!Z4819</f>
        <v>0</v>
      </c>
      <c r="H4827" s="111" t="str">
        <f>IFERROR(VLOOKUP(Table1722[[#This Row],[Bukti]],'Un nOTA'!$A$4:$K$5003,10,FALSE),"")</f>
        <v/>
      </c>
      <c r="I4827" s="123" t="str">
        <f>IFERROR(VLOOKUP(Table1722[[#This Row],[Bukti]],Table13[#Data],11,FALSE),"")</f>
        <v/>
      </c>
    </row>
    <row r="4828" spans="1:9" hidden="1" x14ac:dyDescent="0.2">
      <c r="A4828" s="105" t="str">
        <f>IF(D4828=1,COUNTIF($D$10:D4828,1)," ")</f>
        <v xml:space="preserve"> </v>
      </c>
      <c r="B4828" s="106">
        <f>COPY!AR4820</f>
        <v>0</v>
      </c>
      <c r="C4828" s="107">
        <f>COPY!AC4820</f>
        <v>0</v>
      </c>
      <c r="D4828" s="107" t="str">
        <f>IF(LEN(Table1722[[#This Row],[Uraian]])&gt;2,1," ")</f>
        <v xml:space="preserve"> </v>
      </c>
      <c r="E4828" s="113" t="str">
        <f>IF(Table1722[[#This Row],[Lawan Transaksi]]="CV AGUNG KARYA",COUNTIF($I$10:I4828,"CV AGUNG KARYA")," ")</f>
        <v xml:space="preserve"> </v>
      </c>
      <c r="F4828" s="107" t="str">
        <f>IF(LEN(Table1722[[#This Row],[Uraian]])&gt;2,TRIM(RIGHT(SUBSTITUTE(TRIM(C4828)," ",REPT(" ",255)),255))," ")</f>
        <v xml:space="preserve"> </v>
      </c>
      <c r="G4828" s="110">
        <f>COPY!Z4820</f>
        <v>0</v>
      </c>
      <c r="H4828" s="111" t="str">
        <f>IFERROR(VLOOKUP(Table1722[[#This Row],[Bukti]],'Un nOTA'!$A$4:$K$5003,10,FALSE),"")</f>
        <v/>
      </c>
      <c r="I4828" s="123" t="str">
        <f>IFERROR(VLOOKUP(Table1722[[#This Row],[Bukti]],Table13[#Data],11,FALSE),"")</f>
        <v/>
      </c>
    </row>
    <row r="4829" spans="1:9" hidden="1" x14ac:dyDescent="0.2">
      <c r="A4829" s="105" t="str">
        <f>IF(D4829=1,COUNTIF($D$10:D4829,1)," ")</f>
        <v xml:space="preserve"> </v>
      </c>
      <c r="B4829" s="106">
        <f>COPY!AR4821</f>
        <v>0</v>
      </c>
      <c r="C4829" s="107">
        <f>COPY!AC4821</f>
        <v>0</v>
      </c>
      <c r="D4829" s="107" t="str">
        <f>IF(LEN(Table1722[[#This Row],[Uraian]])&gt;2,1," ")</f>
        <v xml:space="preserve"> </v>
      </c>
      <c r="E4829" s="113" t="str">
        <f>IF(Table1722[[#This Row],[Lawan Transaksi]]="CV AGUNG KARYA",COUNTIF($I$10:I4829,"CV AGUNG KARYA")," ")</f>
        <v xml:space="preserve"> </v>
      </c>
      <c r="F4829" s="107" t="str">
        <f>IF(LEN(Table1722[[#This Row],[Uraian]])&gt;2,TRIM(RIGHT(SUBSTITUTE(TRIM(C4829)," ",REPT(" ",255)),255))," ")</f>
        <v xml:space="preserve"> </v>
      </c>
      <c r="G4829" s="110">
        <f>COPY!Z4821</f>
        <v>0</v>
      </c>
      <c r="H4829" s="111" t="str">
        <f>IFERROR(VLOOKUP(Table1722[[#This Row],[Bukti]],'Un nOTA'!$A$4:$K$5003,10,FALSE),"")</f>
        <v/>
      </c>
      <c r="I4829" s="123" t="str">
        <f>IFERROR(VLOOKUP(Table1722[[#This Row],[Bukti]],Table13[#Data],11,FALSE),"")</f>
        <v/>
      </c>
    </row>
    <row r="4830" spans="1:9" hidden="1" x14ac:dyDescent="0.2">
      <c r="A4830" s="105" t="str">
        <f>IF(D4830=1,COUNTIF($D$10:D4830,1)," ")</f>
        <v xml:space="preserve"> </v>
      </c>
      <c r="B4830" s="106">
        <f>COPY!AR4822</f>
        <v>0</v>
      </c>
      <c r="C4830" s="107">
        <f>COPY!AC4822</f>
        <v>0</v>
      </c>
      <c r="D4830" s="107" t="str">
        <f>IF(LEN(Table1722[[#This Row],[Uraian]])&gt;2,1," ")</f>
        <v xml:space="preserve"> </v>
      </c>
      <c r="E4830" s="113" t="str">
        <f>IF(Table1722[[#This Row],[Lawan Transaksi]]="CV AGUNG KARYA",COUNTIF($I$10:I4830,"CV AGUNG KARYA")," ")</f>
        <v xml:space="preserve"> </v>
      </c>
      <c r="F4830" s="107" t="str">
        <f>IF(LEN(Table1722[[#This Row],[Uraian]])&gt;2,TRIM(RIGHT(SUBSTITUTE(TRIM(C4830)," ",REPT(" ",255)),255))," ")</f>
        <v xml:space="preserve"> </v>
      </c>
      <c r="G4830" s="110">
        <f>COPY!Z4822</f>
        <v>0</v>
      </c>
      <c r="H4830" s="111" t="str">
        <f>IFERROR(VLOOKUP(Table1722[[#This Row],[Bukti]],'Un nOTA'!$A$4:$K$5003,10,FALSE),"")</f>
        <v/>
      </c>
      <c r="I4830" s="123" t="str">
        <f>IFERROR(VLOOKUP(Table1722[[#This Row],[Bukti]],Table13[#Data],11,FALSE),"")</f>
        <v/>
      </c>
    </row>
    <row r="4831" spans="1:9" hidden="1" x14ac:dyDescent="0.2">
      <c r="A4831" s="105" t="str">
        <f>IF(D4831=1,COUNTIF($D$10:D4831,1)," ")</f>
        <v xml:space="preserve"> </v>
      </c>
      <c r="B4831" s="106">
        <f>COPY!AR4823</f>
        <v>0</v>
      </c>
      <c r="C4831" s="107">
        <f>COPY!AC4823</f>
        <v>0</v>
      </c>
      <c r="D4831" s="107" t="str">
        <f>IF(LEN(Table1722[[#This Row],[Uraian]])&gt;2,1," ")</f>
        <v xml:space="preserve"> </v>
      </c>
      <c r="E4831" s="113" t="str">
        <f>IF(Table1722[[#This Row],[Lawan Transaksi]]="CV AGUNG KARYA",COUNTIF($I$10:I4831,"CV AGUNG KARYA")," ")</f>
        <v xml:space="preserve"> </v>
      </c>
      <c r="F4831" s="107" t="str">
        <f>IF(LEN(Table1722[[#This Row],[Uraian]])&gt;2,TRIM(RIGHT(SUBSTITUTE(TRIM(C4831)," ",REPT(" ",255)),255))," ")</f>
        <v xml:space="preserve"> </v>
      </c>
      <c r="G4831" s="110">
        <f>COPY!Z4823</f>
        <v>0</v>
      </c>
      <c r="H4831" s="111" t="str">
        <f>IFERROR(VLOOKUP(Table1722[[#This Row],[Bukti]],'Un nOTA'!$A$4:$K$5003,10,FALSE),"")</f>
        <v/>
      </c>
      <c r="I4831" s="123" t="str">
        <f>IFERROR(VLOOKUP(Table1722[[#This Row],[Bukti]],Table13[#Data],11,FALSE),"")</f>
        <v/>
      </c>
    </row>
    <row r="4832" spans="1:9" hidden="1" x14ac:dyDescent="0.2">
      <c r="A4832" s="105" t="str">
        <f>IF(D4832=1,COUNTIF($D$10:D4832,1)," ")</f>
        <v xml:space="preserve"> </v>
      </c>
      <c r="B4832" s="106">
        <f>COPY!AR4824</f>
        <v>0</v>
      </c>
      <c r="C4832" s="107">
        <f>COPY!AC4824</f>
        <v>0</v>
      </c>
      <c r="D4832" s="107" t="str">
        <f>IF(LEN(Table1722[[#This Row],[Uraian]])&gt;2,1," ")</f>
        <v xml:space="preserve"> </v>
      </c>
      <c r="E4832" s="113" t="str">
        <f>IF(Table1722[[#This Row],[Lawan Transaksi]]="CV AGUNG KARYA",COUNTIF($I$10:I4832,"CV AGUNG KARYA")," ")</f>
        <v xml:space="preserve"> </v>
      </c>
      <c r="F4832" s="107" t="str">
        <f>IF(LEN(Table1722[[#This Row],[Uraian]])&gt;2,TRIM(RIGHT(SUBSTITUTE(TRIM(C4832)," ",REPT(" ",255)),255))," ")</f>
        <v xml:space="preserve"> </v>
      </c>
      <c r="G4832" s="110">
        <f>COPY!Z4824</f>
        <v>0</v>
      </c>
      <c r="H4832" s="111" t="str">
        <f>IFERROR(VLOOKUP(Table1722[[#This Row],[Bukti]],'Un nOTA'!$A$4:$K$5003,10,FALSE),"")</f>
        <v/>
      </c>
      <c r="I4832" s="123" t="str">
        <f>IFERROR(VLOOKUP(Table1722[[#This Row],[Bukti]],Table13[#Data],11,FALSE),"")</f>
        <v/>
      </c>
    </row>
    <row r="4833" spans="1:9" hidden="1" x14ac:dyDescent="0.2">
      <c r="A4833" s="105" t="str">
        <f>IF(D4833=1,COUNTIF($D$10:D4833,1)," ")</f>
        <v xml:space="preserve"> </v>
      </c>
      <c r="B4833" s="106">
        <f>COPY!AR4825</f>
        <v>0</v>
      </c>
      <c r="C4833" s="107">
        <f>COPY!AC4825</f>
        <v>0</v>
      </c>
      <c r="D4833" s="107" t="str">
        <f>IF(LEN(Table1722[[#This Row],[Uraian]])&gt;2,1," ")</f>
        <v xml:space="preserve"> </v>
      </c>
      <c r="E4833" s="113" t="str">
        <f>IF(Table1722[[#This Row],[Lawan Transaksi]]="CV AGUNG KARYA",COUNTIF($I$10:I4833,"CV AGUNG KARYA")," ")</f>
        <v xml:space="preserve"> </v>
      </c>
      <c r="F4833" s="107" t="str">
        <f>IF(LEN(Table1722[[#This Row],[Uraian]])&gt;2,TRIM(RIGHT(SUBSTITUTE(TRIM(C4833)," ",REPT(" ",255)),255))," ")</f>
        <v xml:space="preserve"> </v>
      </c>
      <c r="G4833" s="110">
        <f>COPY!Z4825</f>
        <v>0</v>
      </c>
      <c r="H4833" s="111" t="str">
        <f>IFERROR(VLOOKUP(Table1722[[#This Row],[Bukti]],'Un nOTA'!$A$4:$K$5003,10,FALSE),"")</f>
        <v/>
      </c>
      <c r="I4833" s="123" t="str">
        <f>IFERROR(VLOOKUP(Table1722[[#This Row],[Bukti]],Table13[#Data],11,FALSE),"")</f>
        <v/>
      </c>
    </row>
    <row r="4834" spans="1:9" hidden="1" x14ac:dyDescent="0.2">
      <c r="A4834" s="105" t="str">
        <f>IF(D4834=1,COUNTIF($D$10:D4834,1)," ")</f>
        <v xml:space="preserve"> </v>
      </c>
      <c r="B4834" s="106">
        <f>COPY!AR4826</f>
        <v>0</v>
      </c>
      <c r="C4834" s="107">
        <f>COPY!AC4826</f>
        <v>0</v>
      </c>
      <c r="D4834" s="107" t="str">
        <f>IF(LEN(Table1722[[#This Row],[Uraian]])&gt;2,1," ")</f>
        <v xml:space="preserve"> </v>
      </c>
      <c r="E4834" s="113" t="str">
        <f>IF(Table1722[[#This Row],[Lawan Transaksi]]="CV AGUNG KARYA",COUNTIF($I$10:I4834,"CV AGUNG KARYA")," ")</f>
        <v xml:space="preserve"> </v>
      </c>
      <c r="F4834" s="107" t="str">
        <f>IF(LEN(Table1722[[#This Row],[Uraian]])&gt;2,TRIM(RIGHT(SUBSTITUTE(TRIM(C4834)," ",REPT(" ",255)),255))," ")</f>
        <v xml:space="preserve"> </v>
      </c>
      <c r="G4834" s="110">
        <f>COPY!Z4826</f>
        <v>0</v>
      </c>
      <c r="H4834" s="111" t="str">
        <f>IFERROR(VLOOKUP(Table1722[[#This Row],[Bukti]],'Un nOTA'!$A$4:$K$5003,10,FALSE),"")</f>
        <v/>
      </c>
      <c r="I4834" s="123" t="str">
        <f>IFERROR(VLOOKUP(Table1722[[#This Row],[Bukti]],Table13[#Data],11,FALSE),"")</f>
        <v/>
      </c>
    </row>
    <row r="4835" spans="1:9" hidden="1" x14ac:dyDescent="0.2">
      <c r="A4835" s="105" t="str">
        <f>IF(D4835=1,COUNTIF($D$10:D4835,1)," ")</f>
        <v xml:space="preserve"> </v>
      </c>
      <c r="B4835" s="106">
        <f>COPY!AR4827</f>
        <v>0</v>
      </c>
      <c r="C4835" s="107">
        <f>COPY!AC4827</f>
        <v>0</v>
      </c>
      <c r="D4835" s="107" t="str">
        <f>IF(LEN(Table1722[[#This Row],[Uraian]])&gt;2,1," ")</f>
        <v xml:space="preserve"> </v>
      </c>
      <c r="E4835" s="113" t="str">
        <f>IF(Table1722[[#This Row],[Lawan Transaksi]]="CV AGUNG KARYA",COUNTIF($I$10:I4835,"CV AGUNG KARYA")," ")</f>
        <v xml:space="preserve"> </v>
      </c>
      <c r="F4835" s="107" t="str">
        <f>IF(LEN(Table1722[[#This Row],[Uraian]])&gt;2,TRIM(RIGHT(SUBSTITUTE(TRIM(C4835)," ",REPT(" ",255)),255))," ")</f>
        <v xml:space="preserve"> </v>
      </c>
      <c r="G4835" s="110">
        <f>COPY!Z4827</f>
        <v>0</v>
      </c>
      <c r="H4835" s="111" t="str">
        <f>IFERROR(VLOOKUP(Table1722[[#This Row],[Bukti]],'Un nOTA'!$A$4:$K$5003,10,FALSE),"")</f>
        <v/>
      </c>
      <c r="I4835" s="123" t="str">
        <f>IFERROR(VLOOKUP(Table1722[[#This Row],[Bukti]],Table13[#Data],11,FALSE),"")</f>
        <v/>
      </c>
    </row>
    <row r="4836" spans="1:9" hidden="1" x14ac:dyDescent="0.2">
      <c r="A4836" s="105" t="str">
        <f>IF(D4836=1,COUNTIF($D$10:D4836,1)," ")</f>
        <v xml:space="preserve"> </v>
      </c>
      <c r="B4836" s="106">
        <f>COPY!AR4828</f>
        <v>0</v>
      </c>
      <c r="C4836" s="107">
        <f>COPY!AC4828</f>
        <v>0</v>
      </c>
      <c r="D4836" s="107" t="str">
        <f>IF(LEN(Table1722[[#This Row],[Uraian]])&gt;2,1," ")</f>
        <v xml:space="preserve"> </v>
      </c>
      <c r="E4836" s="113" t="str">
        <f>IF(Table1722[[#This Row],[Lawan Transaksi]]="CV AGUNG KARYA",COUNTIF($I$10:I4836,"CV AGUNG KARYA")," ")</f>
        <v xml:space="preserve"> </v>
      </c>
      <c r="F4836" s="107" t="str">
        <f>IF(LEN(Table1722[[#This Row],[Uraian]])&gt;2,TRIM(RIGHT(SUBSTITUTE(TRIM(C4836)," ",REPT(" ",255)),255))," ")</f>
        <v xml:space="preserve"> </v>
      </c>
      <c r="G4836" s="110">
        <f>COPY!Z4828</f>
        <v>0</v>
      </c>
      <c r="H4836" s="111" t="str">
        <f>IFERROR(VLOOKUP(Table1722[[#This Row],[Bukti]],'Un nOTA'!$A$4:$K$5003,10,FALSE),"")</f>
        <v/>
      </c>
      <c r="I4836" s="123" t="str">
        <f>IFERROR(VLOOKUP(Table1722[[#This Row],[Bukti]],Table13[#Data],11,FALSE),"")</f>
        <v/>
      </c>
    </row>
    <row r="4837" spans="1:9" hidden="1" x14ac:dyDescent="0.2">
      <c r="A4837" s="105" t="str">
        <f>IF(D4837=1,COUNTIF($D$10:D4837,1)," ")</f>
        <v xml:space="preserve"> </v>
      </c>
      <c r="B4837" s="106">
        <f>COPY!AR4829</f>
        <v>0</v>
      </c>
      <c r="C4837" s="107">
        <f>COPY!AC4829</f>
        <v>0</v>
      </c>
      <c r="D4837" s="107" t="str">
        <f>IF(LEN(Table1722[[#This Row],[Uraian]])&gt;2,1," ")</f>
        <v xml:space="preserve"> </v>
      </c>
      <c r="E4837" s="113" t="str">
        <f>IF(Table1722[[#This Row],[Lawan Transaksi]]="CV AGUNG KARYA",COUNTIF($I$10:I4837,"CV AGUNG KARYA")," ")</f>
        <v xml:space="preserve"> </v>
      </c>
      <c r="F4837" s="107" t="str">
        <f>IF(LEN(Table1722[[#This Row],[Uraian]])&gt;2,TRIM(RIGHT(SUBSTITUTE(TRIM(C4837)," ",REPT(" ",255)),255))," ")</f>
        <v xml:space="preserve"> </v>
      </c>
      <c r="G4837" s="110">
        <f>COPY!Z4829</f>
        <v>0</v>
      </c>
      <c r="H4837" s="111" t="str">
        <f>IFERROR(VLOOKUP(Table1722[[#This Row],[Bukti]],'Un nOTA'!$A$4:$K$5003,10,FALSE),"")</f>
        <v/>
      </c>
      <c r="I4837" s="123" t="str">
        <f>IFERROR(VLOOKUP(Table1722[[#This Row],[Bukti]],Table13[#Data],11,FALSE),"")</f>
        <v/>
      </c>
    </row>
    <row r="4838" spans="1:9" hidden="1" x14ac:dyDescent="0.2">
      <c r="A4838" s="105" t="str">
        <f>IF(D4838=1,COUNTIF($D$10:D4838,1)," ")</f>
        <v xml:space="preserve"> </v>
      </c>
      <c r="B4838" s="106">
        <f>COPY!AR4830</f>
        <v>0</v>
      </c>
      <c r="C4838" s="107">
        <f>COPY!AC4830</f>
        <v>0</v>
      </c>
      <c r="D4838" s="107" t="str">
        <f>IF(LEN(Table1722[[#This Row],[Uraian]])&gt;2,1," ")</f>
        <v xml:space="preserve"> </v>
      </c>
      <c r="E4838" s="113" t="str">
        <f>IF(Table1722[[#This Row],[Lawan Transaksi]]="CV AGUNG KARYA",COUNTIF($I$10:I4838,"CV AGUNG KARYA")," ")</f>
        <v xml:space="preserve"> </v>
      </c>
      <c r="F4838" s="107" t="str">
        <f>IF(LEN(Table1722[[#This Row],[Uraian]])&gt;2,TRIM(RIGHT(SUBSTITUTE(TRIM(C4838)," ",REPT(" ",255)),255))," ")</f>
        <v xml:space="preserve"> </v>
      </c>
      <c r="G4838" s="110">
        <f>COPY!Z4830</f>
        <v>0</v>
      </c>
      <c r="H4838" s="111" t="str">
        <f>IFERROR(VLOOKUP(Table1722[[#This Row],[Bukti]],'Un nOTA'!$A$4:$K$5003,10,FALSE),"")</f>
        <v/>
      </c>
      <c r="I4838" s="123" t="str">
        <f>IFERROR(VLOOKUP(Table1722[[#This Row],[Bukti]],Table13[#Data],11,FALSE),"")</f>
        <v/>
      </c>
    </row>
    <row r="4839" spans="1:9" hidden="1" x14ac:dyDescent="0.2">
      <c r="A4839" s="105" t="str">
        <f>IF(D4839=1,COUNTIF($D$10:D4839,1)," ")</f>
        <v xml:space="preserve"> </v>
      </c>
      <c r="B4839" s="106">
        <f>COPY!AR4831</f>
        <v>0</v>
      </c>
      <c r="C4839" s="107">
        <f>COPY!AC4831</f>
        <v>0</v>
      </c>
      <c r="D4839" s="107" t="str">
        <f>IF(LEN(Table1722[[#This Row],[Uraian]])&gt;2,1," ")</f>
        <v xml:space="preserve"> </v>
      </c>
      <c r="E4839" s="113" t="str">
        <f>IF(Table1722[[#This Row],[Lawan Transaksi]]="CV AGUNG KARYA",COUNTIF($I$10:I4839,"CV AGUNG KARYA")," ")</f>
        <v xml:space="preserve"> </v>
      </c>
      <c r="F4839" s="107" t="str">
        <f>IF(LEN(Table1722[[#This Row],[Uraian]])&gt;2,TRIM(RIGHT(SUBSTITUTE(TRIM(C4839)," ",REPT(" ",255)),255))," ")</f>
        <v xml:space="preserve"> </v>
      </c>
      <c r="G4839" s="110">
        <f>COPY!Z4831</f>
        <v>0</v>
      </c>
      <c r="H4839" s="111" t="str">
        <f>IFERROR(VLOOKUP(Table1722[[#This Row],[Bukti]],'Un nOTA'!$A$4:$K$5003,10,FALSE),"")</f>
        <v/>
      </c>
      <c r="I4839" s="123" t="str">
        <f>IFERROR(VLOOKUP(Table1722[[#This Row],[Bukti]],Table13[#Data],11,FALSE),"")</f>
        <v/>
      </c>
    </row>
    <row r="4840" spans="1:9" hidden="1" x14ac:dyDescent="0.2">
      <c r="A4840" s="105" t="str">
        <f>IF(D4840=1,COUNTIF($D$10:D4840,1)," ")</f>
        <v xml:space="preserve"> </v>
      </c>
      <c r="B4840" s="106">
        <f>COPY!AR4832</f>
        <v>0</v>
      </c>
      <c r="C4840" s="107">
        <f>COPY!AC4832</f>
        <v>0</v>
      </c>
      <c r="D4840" s="107" t="str">
        <f>IF(LEN(Table1722[[#This Row],[Uraian]])&gt;2,1," ")</f>
        <v xml:space="preserve"> </v>
      </c>
      <c r="E4840" s="113" t="str">
        <f>IF(Table1722[[#This Row],[Lawan Transaksi]]="CV AGUNG KARYA",COUNTIF($I$10:I4840,"CV AGUNG KARYA")," ")</f>
        <v xml:space="preserve"> </v>
      </c>
      <c r="F4840" s="107" t="str">
        <f>IF(LEN(Table1722[[#This Row],[Uraian]])&gt;2,TRIM(RIGHT(SUBSTITUTE(TRIM(C4840)," ",REPT(" ",255)),255))," ")</f>
        <v xml:space="preserve"> </v>
      </c>
      <c r="G4840" s="110">
        <f>COPY!Z4832</f>
        <v>0</v>
      </c>
      <c r="H4840" s="111" t="str">
        <f>IFERROR(VLOOKUP(Table1722[[#This Row],[Bukti]],'Un nOTA'!$A$4:$K$5003,10,FALSE),"")</f>
        <v/>
      </c>
      <c r="I4840" s="123" t="str">
        <f>IFERROR(VLOOKUP(Table1722[[#This Row],[Bukti]],Table13[#Data],11,FALSE),"")</f>
        <v/>
      </c>
    </row>
    <row r="4841" spans="1:9" hidden="1" x14ac:dyDescent="0.2">
      <c r="A4841" s="105" t="str">
        <f>IF(D4841=1,COUNTIF($D$10:D4841,1)," ")</f>
        <v xml:space="preserve"> </v>
      </c>
      <c r="B4841" s="106">
        <f>COPY!AR4833</f>
        <v>0</v>
      </c>
      <c r="C4841" s="107">
        <f>COPY!AC4833</f>
        <v>0</v>
      </c>
      <c r="D4841" s="107" t="str">
        <f>IF(LEN(Table1722[[#This Row],[Uraian]])&gt;2,1," ")</f>
        <v xml:space="preserve"> </v>
      </c>
      <c r="E4841" s="113" t="str">
        <f>IF(Table1722[[#This Row],[Lawan Transaksi]]="CV AGUNG KARYA",COUNTIF($I$10:I4841,"CV AGUNG KARYA")," ")</f>
        <v xml:space="preserve"> </v>
      </c>
      <c r="F4841" s="107" t="str">
        <f>IF(LEN(Table1722[[#This Row],[Uraian]])&gt;2,TRIM(RIGHT(SUBSTITUTE(TRIM(C4841)," ",REPT(" ",255)),255))," ")</f>
        <v xml:space="preserve"> </v>
      </c>
      <c r="G4841" s="110">
        <f>COPY!Z4833</f>
        <v>0</v>
      </c>
      <c r="H4841" s="111" t="str">
        <f>IFERROR(VLOOKUP(Table1722[[#This Row],[Bukti]],'Un nOTA'!$A$4:$K$5003,10,FALSE),"")</f>
        <v/>
      </c>
      <c r="I4841" s="123" t="str">
        <f>IFERROR(VLOOKUP(Table1722[[#This Row],[Bukti]],Table13[#Data],11,FALSE),"")</f>
        <v/>
      </c>
    </row>
    <row r="4842" spans="1:9" hidden="1" x14ac:dyDescent="0.2">
      <c r="A4842" s="105" t="str">
        <f>IF(D4842=1,COUNTIF($D$10:D4842,1)," ")</f>
        <v xml:space="preserve"> </v>
      </c>
      <c r="B4842" s="106">
        <f>COPY!AR4834</f>
        <v>0</v>
      </c>
      <c r="C4842" s="107">
        <f>COPY!AC4834</f>
        <v>0</v>
      </c>
      <c r="D4842" s="107" t="str">
        <f>IF(LEN(Table1722[[#This Row],[Uraian]])&gt;2,1," ")</f>
        <v xml:space="preserve"> </v>
      </c>
      <c r="E4842" s="113" t="str">
        <f>IF(Table1722[[#This Row],[Lawan Transaksi]]="CV AGUNG KARYA",COUNTIF($I$10:I4842,"CV AGUNG KARYA")," ")</f>
        <v xml:space="preserve"> </v>
      </c>
      <c r="F4842" s="107" t="str">
        <f>IF(LEN(Table1722[[#This Row],[Uraian]])&gt;2,TRIM(RIGHT(SUBSTITUTE(TRIM(C4842)," ",REPT(" ",255)),255))," ")</f>
        <v xml:space="preserve"> </v>
      </c>
      <c r="G4842" s="110">
        <f>COPY!Z4834</f>
        <v>0</v>
      </c>
      <c r="H4842" s="111" t="str">
        <f>IFERROR(VLOOKUP(Table1722[[#This Row],[Bukti]],'Un nOTA'!$A$4:$K$5003,10,FALSE),"")</f>
        <v/>
      </c>
      <c r="I4842" s="123" t="str">
        <f>IFERROR(VLOOKUP(Table1722[[#This Row],[Bukti]],Table13[#Data],11,FALSE),"")</f>
        <v/>
      </c>
    </row>
    <row r="4843" spans="1:9" hidden="1" x14ac:dyDescent="0.2">
      <c r="A4843" s="105" t="str">
        <f>IF(D4843=1,COUNTIF($D$10:D4843,1)," ")</f>
        <v xml:space="preserve"> </v>
      </c>
      <c r="B4843" s="106">
        <f>COPY!AR4835</f>
        <v>0</v>
      </c>
      <c r="C4843" s="107">
        <f>COPY!AC4835</f>
        <v>0</v>
      </c>
      <c r="D4843" s="107" t="str">
        <f>IF(LEN(Table1722[[#This Row],[Uraian]])&gt;2,1," ")</f>
        <v xml:space="preserve"> </v>
      </c>
      <c r="E4843" s="113" t="str">
        <f>IF(Table1722[[#This Row],[Lawan Transaksi]]="CV AGUNG KARYA",COUNTIF($I$10:I4843,"CV AGUNG KARYA")," ")</f>
        <v xml:space="preserve"> </v>
      </c>
      <c r="F4843" s="107" t="str">
        <f>IF(LEN(Table1722[[#This Row],[Uraian]])&gt;2,TRIM(RIGHT(SUBSTITUTE(TRIM(C4843)," ",REPT(" ",255)),255))," ")</f>
        <v xml:space="preserve"> </v>
      </c>
      <c r="G4843" s="110">
        <f>COPY!Z4835</f>
        <v>0</v>
      </c>
      <c r="H4843" s="111" t="str">
        <f>IFERROR(VLOOKUP(Table1722[[#This Row],[Bukti]],'Un nOTA'!$A$4:$K$5003,10,FALSE),"")</f>
        <v/>
      </c>
      <c r="I4843" s="123" t="str">
        <f>IFERROR(VLOOKUP(Table1722[[#This Row],[Bukti]],Table13[#Data],11,FALSE),"")</f>
        <v/>
      </c>
    </row>
    <row r="4844" spans="1:9" hidden="1" x14ac:dyDescent="0.2">
      <c r="A4844" s="105" t="str">
        <f>IF(D4844=1,COUNTIF($D$10:D4844,1)," ")</f>
        <v xml:space="preserve"> </v>
      </c>
      <c r="B4844" s="106">
        <f>COPY!AR4836</f>
        <v>0</v>
      </c>
      <c r="C4844" s="107">
        <f>COPY!AC4836</f>
        <v>0</v>
      </c>
      <c r="D4844" s="107" t="str">
        <f>IF(LEN(Table1722[[#This Row],[Uraian]])&gt;2,1," ")</f>
        <v xml:space="preserve"> </v>
      </c>
      <c r="E4844" s="113" t="str">
        <f>IF(Table1722[[#This Row],[Lawan Transaksi]]="CV AGUNG KARYA",COUNTIF($I$10:I4844,"CV AGUNG KARYA")," ")</f>
        <v xml:space="preserve"> </v>
      </c>
      <c r="F4844" s="107" t="str">
        <f>IF(LEN(Table1722[[#This Row],[Uraian]])&gt;2,TRIM(RIGHT(SUBSTITUTE(TRIM(C4844)," ",REPT(" ",255)),255))," ")</f>
        <v xml:space="preserve"> </v>
      </c>
      <c r="G4844" s="110">
        <f>COPY!Z4836</f>
        <v>0</v>
      </c>
      <c r="H4844" s="111" t="str">
        <f>IFERROR(VLOOKUP(Table1722[[#This Row],[Bukti]],'Un nOTA'!$A$4:$K$5003,10,FALSE),"")</f>
        <v/>
      </c>
      <c r="I4844" s="123" t="str">
        <f>IFERROR(VLOOKUP(Table1722[[#This Row],[Bukti]],Table13[#Data],11,FALSE),"")</f>
        <v/>
      </c>
    </row>
    <row r="4845" spans="1:9" hidden="1" x14ac:dyDescent="0.2">
      <c r="A4845" s="105" t="str">
        <f>IF(D4845=1,COUNTIF($D$10:D4845,1)," ")</f>
        <v xml:space="preserve"> </v>
      </c>
      <c r="B4845" s="106">
        <f>COPY!AR4837</f>
        <v>0</v>
      </c>
      <c r="C4845" s="107">
        <f>COPY!AC4837</f>
        <v>0</v>
      </c>
      <c r="D4845" s="107" t="str">
        <f>IF(LEN(Table1722[[#This Row],[Uraian]])&gt;2,1," ")</f>
        <v xml:space="preserve"> </v>
      </c>
      <c r="E4845" s="113" t="str">
        <f>IF(Table1722[[#This Row],[Lawan Transaksi]]="CV AGUNG KARYA",COUNTIF($I$10:I4845,"CV AGUNG KARYA")," ")</f>
        <v xml:space="preserve"> </v>
      </c>
      <c r="F4845" s="107" t="str">
        <f>IF(LEN(Table1722[[#This Row],[Uraian]])&gt;2,TRIM(RIGHT(SUBSTITUTE(TRIM(C4845)," ",REPT(" ",255)),255))," ")</f>
        <v xml:space="preserve"> </v>
      </c>
      <c r="G4845" s="110">
        <f>COPY!Z4837</f>
        <v>0</v>
      </c>
      <c r="H4845" s="111" t="str">
        <f>IFERROR(VLOOKUP(Table1722[[#This Row],[Bukti]],'Un nOTA'!$A$4:$K$5003,10,FALSE),"")</f>
        <v/>
      </c>
      <c r="I4845" s="123" t="str">
        <f>IFERROR(VLOOKUP(Table1722[[#This Row],[Bukti]],Table13[#Data],11,FALSE),"")</f>
        <v/>
      </c>
    </row>
    <row r="4846" spans="1:9" hidden="1" x14ac:dyDescent="0.2">
      <c r="A4846" s="105" t="str">
        <f>IF(D4846=1,COUNTIF($D$10:D4846,1)," ")</f>
        <v xml:space="preserve"> </v>
      </c>
      <c r="B4846" s="106">
        <f>COPY!AR4838</f>
        <v>0</v>
      </c>
      <c r="C4846" s="107">
        <f>COPY!AC4838</f>
        <v>0</v>
      </c>
      <c r="D4846" s="107" t="str">
        <f>IF(LEN(Table1722[[#This Row],[Uraian]])&gt;2,1," ")</f>
        <v xml:space="preserve"> </v>
      </c>
      <c r="E4846" s="113" t="str">
        <f>IF(Table1722[[#This Row],[Lawan Transaksi]]="CV AGUNG KARYA",COUNTIF($I$10:I4846,"CV AGUNG KARYA")," ")</f>
        <v xml:space="preserve"> </v>
      </c>
      <c r="F4846" s="107" t="str">
        <f>IF(LEN(Table1722[[#This Row],[Uraian]])&gt;2,TRIM(RIGHT(SUBSTITUTE(TRIM(C4846)," ",REPT(" ",255)),255))," ")</f>
        <v xml:space="preserve"> </v>
      </c>
      <c r="G4846" s="110">
        <f>COPY!Z4838</f>
        <v>0</v>
      </c>
      <c r="H4846" s="111" t="str">
        <f>IFERROR(VLOOKUP(Table1722[[#This Row],[Bukti]],'Un nOTA'!$A$4:$K$5003,10,FALSE),"")</f>
        <v/>
      </c>
      <c r="I4846" s="123" t="str">
        <f>IFERROR(VLOOKUP(Table1722[[#This Row],[Bukti]],Table13[#Data],11,FALSE),"")</f>
        <v/>
      </c>
    </row>
    <row r="4847" spans="1:9" hidden="1" x14ac:dyDescent="0.2">
      <c r="A4847" s="105" t="str">
        <f>IF(D4847=1,COUNTIF($D$10:D4847,1)," ")</f>
        <v xml:space="preserve"> </v>
      </c>
      <c r="B4847" s="106">
        <f>COPY!AR4839</f>
        <v>0</v>
      </c>
      <c r="C4847" s="107">
        <f>COPY!AC4839</f>
        <v>0</v>
      </c>
      <c r="D4847" s="107" t="str">
        <f>IF(LEN(Table1722[[#This Row],[Uraian]])&gt;2,1," ")</f>
        <v xml:space="preserve"> </v>
      </c>
      <c r="E4847" s="113" t="str">
        <f>IF(Table1722[[#This Row],[Lawan Transaksi]]="CV AGUNG KARYA",COUNTIF($I$10:I4847,"CV AGUNG KARYA")," ")</f>
        <v xml:space="preserve"> </v>
      </c>
      <c r="F4847" s="107" t="str">
        <f>IF(LEN(Table1722[[#This Row],[Uraian]])&gt;2,TRIM(RIGHT(SUBSTITUTE(TRIM(C4847)," ",REPT(" ",255)),255))," ")</f>
        <v xml:space="preserve"> </v>
      </c>
      <c r="G4847" s="110">
        <f>COPY!Z4839</f>
        <v>0</v>
      </c>
      <c r="H4847" s="111" t="str">
        <f>IFERROR(VLOOKUP(Table1722[[#This Row],[Bukti]],'Un nOTA'!$A$4:$K$5003,10,FALSE),"")</f>
        <v/>
      </c>
      <c r="I4847" s="123" t="str">
        <f>IFERROR(VLOOKUP(Table1722[[#This Row],[Bukti]],Table13[#Data],11,FALSE),"")</f>
        <v/>
      </c>
    </row>
    <row r="4848" spans="1:9" hidden="1" x14ac:dyDescent="0.2">
      <c r="A4848" s="105" t="str">
        <f>IF(D4848=1,COUNTIF($D$10:D4848,1)," ")</f>
        <v xml:space="preserve"> </v>
      </c>
      <c r="B4848" s="106">
        <f>COPY!AR4840</f>
        <v>0</v>
      </c>
      <c r="C4848" s="107">
        <f>COPY!AC4840</f>
        <v>0</v>
      </c>
      <c r="D4848" s="107" t="str">
        <f>IF(LEN(Table1722[[#This Row],[Uraian]])&gt;2,1," ")</f>
        <v xml:space="preserve"> </v>
      </c>
      <c r="E4848" s="113" t="str">
        <f>IF(Table1722[[#This Row],[Lawan Transaksi]]="CV AGUNG KARYA",COUNTIF($I$10:I4848,"CV AGUNG KARYA")," ")</f>
        <v xml:space="preserve"> </v>
      </c>
      <c r="F4848" s="107" t="str">
        <f>IF(LEN(Table1722[[#This Row],[Uraian]])&gt;2,TRIM(RIGHT(SUBSTITUTE(TRIM(C4848)," ",REPT(" ",255)),255))," ")</f>
        <v xml:space="preserve"> </v>
      </c>
      <c r="G4848" s="110">
        <f>COPY!Z4840</f>
        <v>0</v>
      </c>
      <c r="H4848" s="111" t="str">
        <f>IFERROR(VLOOKUP(Table1722[[#This Row],[Bukti]],'Un nOTA'!$A$4:$K$5003,10,FALSE),"")</f>
        <v/>
      </c>
      <c r="I4848" s="123" t="str">
        <f>IFERROR(VLOOKUP(Table1722[[#This Row],[Bukti]],Table13[#Data],11,FALSE),"")</f>
        <v/>
      </c>
    </row>
    <row r="4849" spans="1:9" hidden="1" x14ac:dyDescent="0.2">
      <c r="A4849" s="105" t="str">
        <f>IF(D4849=1,COUNTIF($D$10:D4849,1)," ")</f>
        <v xml:space="preserve"> </v>
      </c>
      <c r="B4849" s="106">
        <f>COPY!AR4841</f>
        <v>0</v>
      </c>
      <c r="C4849" s="107">
        <f>COPY!AC4841</f>
        <v>0</v>
      </c>
      <c r="D4849" s="107" t="str">
        <f>IF(LEN(Table1722[[#This Row],[Uraian]])&gt;2,1," ")</f>
        <v xml:space="preserve"> </v>
      </c>
      <c r="E4849" s="113" t="str">
        <f>IF(Table1722[[#This Row],[Lawan Transaksi]]="CV AGUNG KARYA",COUNTIF($I$10:I4849,"CV AGUNG KARYA")," ")</f>
        <v xml:space="preserve"> </v>
      </c>
      <c r="F4849" s="107" t="str">
        <f>IF(LEN(Table1722[[#This Row],[Uraian]])&gt;2,TRIM(RIGHT(SUBSTITUTE(TRIM(C4849)," ",REPT(" ",255)),255))," ")</f>
        <v xml:space="preserve"> </v>
      </c>
      <c r="G4849" s="110">
        <f>COPY!Z4841</f>
        <v>0</v>
      </c>
      <c r="H4849" s="111" t="str">
        <f>IFERROR(VLOOKUP(Table1722[[#This Row],[Bukti]],'Un nOTA'!$A$4:$K$5003,10,FALSE),"")</f>
        <v/>
      </c>
      <c r="I4849" s="123" t="str">
        <f>IFERROR(VLOOKUP(Table1722[[#This Row],[Bukti]],Table13[#Data],11,FALSE),"")</f>
        <v/>
      </c>
    </row>
    <row r="4850" spans="1:9" hidden="1" x14ac:dyDescent="0.2">
      <c r="A4850" s="105" t="str">
        <f>IF(D4850=1,COUNTIF($D$10:D4850,1)," ")</f>
        <v xml:space="preserve"> </v>
      </c>
      <c r="B4850" s="106">
        <f>COPY!AR4842</f>
        <v>0</v>
      </c>
      <c r="C4850" s="107">
        <f>COPY!AC4842</f>
        <v>0</v>
      </c>
      <c r="D4850" s="107" t="str">
        <f>IF(LEN(Table1722[[#This Row],[Uraian]])&gt;2,1," ")</f>
        <v xml:space="preserve"> </v>
      </c>
      <c r="E4850" s="113" t="str">
        <f>IF(Table1722[[#This Row],[Lawan Transaksi]]="CV AGUNG KARYA",COUNTIF($I$10:I4850,"CV AGUNG KARYA")," ")</f>
        <v xml:space="preserve"> </v>
      </c>
      <c r="F4850" s="107" t="str">
        <f>IF(LEN(Table1722[[#This Row],[Uraian]])&gt;2,TRIM(RIGHT(SUBSTITUTE(TRIM(C4850)," ",REPT(" ",255)),255))," ")</f>
        <v xml:space="preserve"> </v>
      </c>
      <c r="G4850" s="110">
        <f>COPY!Z4842</f>
        <v>0</v>
      </c>
      <c r="H4850" s="111" t="str">
        <f>IFERROR(VLOOKUP(Table1722[[#This Row],[Bukti]],'Un nOTA'!$A$4:$K$5003,10,FALSE),"")</f>
        <v/>
      </c>
      <c r="I4850" s="123" t="str">
        <f>IFERROR(VLOOKUP(Table1722[[#This Row],[Bukti]],Table13[#Data],11,FALSE),"")</f>
        <v/>
      </c>
    </row>
    <row r="4851" spans="1:9" hidden="1" x14ac:dyDescent="0.2">
      <c r="A4851" s="105" t="str">
        <f>IF(D4851=1,COUNTIF($D$10:D4851,1)," ")</f>
        <v xml:space="preserve"> </v>
      </c>
      <c r="B4851" s="106">
        <f>COPY!AR4843</f>
        <v>0</v>
      </c>
      <c r="C4851" s="107">
        <f>COPY!AC4843</f>
        <v>0</v>
      </c>
      <c r="D4851" s="107" t="str">
        <f>IF(LEN(Table1722[[#This Row],[Uraian]])&gt;2,1," ")</f>
        <v xml:space="preserve"> </v>
      </c>
      <c r="E4851" s="113" t="str">
        <f>IF(Table1722[[#This Row],[Lawan Transaksi]]="CV AGUNG KARYA",COUNTIF($I$10:I4851,"CV AGUNG KARYA")," ")</f>
        <v xml:space="preserve"> </v>
      </c>
      <c r="F4851" s="107" t="str">
        <f>IF(LEN(Table1722[[#This Row],[Uraian]])&gt;2,TRIM(RIGHT(SUBSTITUTE(TRIM(C4851)," ",REPT(" ",255)),255))," ")</f>
        <v xml:space="preserve"> </v>
      </c>
      <c r="G4851" s="110">
        <f>COPY!Z4843</f>
        <v>0</v>
      </c>
      <c r="H4851" s="111" t="str">
        <f>IFERROR(VLOOKUP(Table1722[[#This Row],[Bukti]],'Un nOTA'!$A$4:$K$5003,10,FALSE),"")</f>
        <v/>
      </c>
      <c r="I4851" s="123" t="str">
        <f>IFERROR(VLOOKUP(Table1722[[#This Row],[Bukti]],Table13[#Data],11,FALSE),"")</f>
        <v/>
      </c>
    </row>
    <row r="4852" spans="1:9" hidden="1" x14ac:dyDescent="0.2">
      <c r="A4852" s="105" t="str">
        <f>IF(D4852=1,COUNTIF($D$10:D4852,1)," ")</f>
        <v xml:space="preserve"> </v>
      </c>
      <c r="B4852" s="106">
        <f>COPY!AR4844</f>
        <v>0</v>
      </c>
      <c r="C4852" s="107">
        <f>COPY!AC4844</f>
        <v>0</v>
      </c>
      <c r="D4852" s="107" t="str">
        <f>IF(LEN(Table1722[[#This Row],[Uraian]])&gt;2,1," ")</f>
        <v xml:space="preserve"> </v>
      </c>
      <c r="E4852" s="113" t="str">
        <f>IF(Table1722[[#This Row],[Lawan Transaksi]]="CV AGUNG KARYA",COUNTIF($I$10:I4852,"CV AGUNG KARYA")," ")</f>
        <v xml:space="preserve"> </v>
      </c>
      <c r="F4852" s="107" t="str">
        <f>IF(LEN(Table1722[[#This Row],[Uraian]])&gt;2,TRIM(RIGHT(SUBSTITUTE(TRIM(C4852)," ",REPT(" ",255)),255))," ")</f>
        <v xml:space="preserve"> </v>
      </c>
      <c r="G4852" s="110">
        <f>COPY!Z4844</f>
        <v>0</v>
      </c>
      <c r="H4852" s="111" t="str">
        <f>IFERROR(VLOOKUP(Table1722[[#This Row],[Bukti]],'Un nOTA'!$A$4:$K$5003,10,FALSE),"")</f>
        <v/>
      </c>
      <c r="I4852" s="123" t="str">
        <f>IFERROR(VLOOKUP(Table1722[[#This Row],[Bukti]],Table13[#Data],11,FALSE),"")</f>
        <v/>
      </c>
    </row>
    <row r="4853" spans="1:9" hidden="1" x14ac:dyDescent="0.2">
      <c r="A4853" s="105" t="str">
        <f>IF(D4853=1,COUNTIF($D$10:D4853,1)," ")</f>
        <v xml:space="preserve"> </v>
      </c>
      <c r="B4853" s="106">
        <f>COPY!AR4845</f>
        <v>0</v>
      </c>
      <c r="C4853" s="107">
        <f>COPY!AC4845</f>
        <v>0</v>
      </c>
      <c r="D4853" s="107" t="str">
        <f>IF(LEN(Table1722[[#This Row],[Uraian]])&gt;2,1," ")</f>
        <v xml:space="preserve"> </v>
      </c>
      <c r="E4853" s="113" t="str">
        <f>IF(Table1722[[#This Row],[Lawan Transaksi]]="CV AGUNG KARYA",COUNTIF($I$10:I4853,"CV AGUNG KARYA")," ")</f>
        <v xml:space="preserve"> </v>
      </c>
      <c r="F4853" s="107" t="str">
        <f>IF(LEN(Table1722[[#This Row],[Uraian]])&gt;2,TRIM(RIGHT(SUBSTITUTE(TRIM(C4853)," ",REPT(" ",255)),255))," ")</f>
        <v xml:space="preserve"> </v>
      </c>
      <c r="G4853" s="110">
        <f>COPY!Z4845</f>
        <v>0</v>
      </c>
      <c r="H4853" s="111" t="str">
        <f>IFERROR(VLOOKUP(Table1722[[#This Row],[Bukti]],'Un nOTA'!$A$4:$K$5003,10,FALSE),"")</f>
        <v/>
      </c>
      <c r="I4853" s="123" t="str">
        <f>IFERROR(VLOOKUP(Table1722[[#This Row],[Bukti]],Table13[#Data],11,FALSE),"")</f>
        <v/>
      </c>
    </row>
    <row r="4854" spans="1:9" hidden="1" x14ac:dyDescent="0.2">
      <c r="A4854" s="105" t="str">
        <f>IF(D4854=1,COUNTIF($D$10:D4854,1)," ")</f>
        <v xml:space="preserve"> </v>
      </c>
      <c r="B4854" s="106">
        <f>COPY!AR4846</f>
        <v>0</v>
      </c>
      <c r="C4854" s="107">
        <f>COPY!AC4846</f>
        <v>0</v>
      </c>
      <c r="D4854" s="107" t="str">
        <f>IF(LEN(Table1722[[#This Row],[Uraian]])&gt;2,1," ")</f>
        <v xml:space="preserve"> </v>
      </c>
      <c r="E4854" s="113" t="str">
        <f>IF(Table1722[[#This Row],[Lawan Transaksi]]="CV AGUNG KARYA",COUNTIF($I$10:I4854,"CV AGUNG KARYA")," ")</f>
        <v xml:space="preserve"> </v>
      </c>
      <c r="F4854" s="107" t="str">
        <f>IF(LEN(Table1722[[#This Row],[Uraian]])&gt;2,TRIM(RIGHT(SUBSTITUTE(TRIM(C4854)," ",REPT(" ",255)),255))," ")</f>
        <v xml:space="preserve"> </v>
      </c>
      <c r="G4854" s="110">
        <f>COPY!Z4846</f>
        <v>0</v>
      </c>
      <c r="H4854" s="111" t="str">
        <f>IFERROR(VLOOKUP(Table1722[[#This Row],[Bukti]],'Un nOTA'!$A$4:$K$5003,10,FALSE),"")</f>
        <v/>
      </c>
      <c r="I4854" s="123" t="str">
        <f>IFERROR(VLOOKUP(Table1722[[#This Row],[Bukti]],Table13[#Data],11,FALSE),"")</f>
        <v/>
      </c>
    </row>
    <row r="4855" spans="1:9" hidden="1" x14ac:dyDescent="0.2">
      <c r="A4855" s="105" t="str">
        <f>IF(D4855=1,COUNTIF($D$10:D4855,1)," ")</f>
        <v xml:space="preserve"> </v>
      </c>
      <c r="B4855" s="106">
        <f>COPY!AR4847</f>
        <v>0</v>
      </c>
      <c r="C4855" s="107">
        <f>COPY!AC4847</f>
        <v>0</v>
      </c>
      <c r="D4855" s="107" t="str">
        <f>IF(LEN(Table1722[[#This Row],[Uraian]])&gt;2,1," ")</f>
        <v xml:space="preserve"> </v>
      </c>
      <c r="E4855" s="113" t="str">
        <f>IF(Table1722[[#This Row],[Lawan Transaksi]]="CV AGUNG KARYA",COUNTIF($I$10:I4855,"CV AGUNG KARYA")," ")</f>
        <v xml:space="preserve"> </v>
      </c>
      <c r="F4855" s="107" t="str">
        <f>IF(LEN(Table1722[[#This Row],[Uraian]])&gt;2,TRIM(RIGHT(SUBSTITUTE(TRIM(C4855)," ",REPT(" ",255)),255))," ")</f>
        <v xml:space="preserve"> </v>
      </c>
      <c r="G4855" s="110">
        <f>COPY!Z4847</f>
        <v>0</v>
      </c>
      <c r="H4855" s="111" t="str">
        <f>IFERROR(VLOOKUP(Table1722[[#This Row],[Bukti]],'Un nOTA'!$A$4:$K$5003,10,FALSE),"")</f>
        <v/>
      </c>
      <c r="I4855" s="123" t="str">
        <f>IFERROR(VLOOKUP(Table1722[[#This Row],[Bukti]],Table13[#Data],11,FALSE),"")</f>
        <v/>
      </c>
    </row>
    <row r="4856" spans="1:9" hidden="1" x14ac:dyDescent="0.2">
      <c r="A4856" s="105" t="str">
        <f>IF(D4856=1,COUNTIF($D$10:D4856,1)," ")</f>
        <v xml:space="preserve"> </v>
      </c>
      <c r="B4856" s="106">
        <f>COPY!AR4848</f>
        <v>0</v>
      </c>
      <c r="C4856" s="107">
        <f>COPY!AC4848</f>
        <v>0</v>
      </c>
      <c r="D4856" s="107" t="str">
        <f>IF(LEN(Table1722[[#This Row],[Uraian]])&gt;2,1," ")</f>
        <v xml:space="preserve"> </v>
      </c>
      <c r="E4856" s="113" t="str">
        <f>IF(Table1722[[#This Row],[Lawan Transaksi]]="CV AGUNG KARYA",COUNTIF($I$10:I4856,"CV AGUNG KARYA")," ")</f>
        <v xml:space="preserve"> </v>
      </c>
      <c r="F4856" s="107" t="str">
        <f>IF(LEN(Table1722[[#This Row],[Uraian]])&gt;2,TRIM(RIGHT(SUBSTITUTE(TRIM(C4856)," ",REPT(" ",255)),255))," ")</f>
        <v xml:space="preserve"> </v>
      </c>
      <c r="G4856" s="110">
        <f>COPY!Z4848</f>
        <v>0</v>
      </c>
      <c r="H4856" s="111" t="str">
        <f>IFERROR(VLOOKUP(Table1722[[#This Row],[Bukti]],'Un nOTA'!$A$4:$K$5003,10,FALSE),"")</f>
        <v/>
      </c>
      <c r="I4856" s="123" t="str">
        <f>IFERROR(VLOOKUP(Table1722[[#This Row],[Bukti]],Table13[#Data],11,FALSE),"")</f>
        <v/>
      </c>
    </row>
    <row r="4857" spans="1:9" hidden="1" x14ac:dyDescent="0.2">
      <c r="A4857" s="105" t="str">
        <f>IF(D4857=1,COUNTIF($D$10:D4857,1)," ")</f>
        <v xml:space="preserve"> </v>
      </c>
      <c r="B4857" s="106">
        <f>COPY!AR4849</f>
        <v>0</v>
      </c>
      <c r="C4857" s="107">
        <f>COPY!AC4849</f>
        <v>0</v>
      </c>
      <c r="D4857" s="107" t="str">
        <f>IF(LEN(Table1722[[#This Row],[Uraian]])&gt;2,1," ")</f>
        <v xml:space="preserve"> </v>
      </c>
      <c r="E4857" s="113" t="str">
        <f>IF(Table1722[[#This Row],[Lawan Transaksi]]="CV AGUNG KARYA",COUNTIF($I$10:I4857,"CV AGUNG KARYA")," ")</f>
        <v xml:space="preserve"> </v>
      </c>
      <c r="F4857" s="107" t="str">
        <f>IF(LEN(Table1722[[#This Row],[Uraian]])&gt;2,TRIM(RIGHT(SUBSTITUTE(TRIM(C4857)," ",REPT(" ",255)),255))," ")</f>
        <v xml:space="preserve"> </v>
      </c>
      <c r="G4857" s="110">
        <f>COPY!Z4849</f>
        <v>0</v>
      </c>
      <c r="H4857" s="111" t="str">
        <f>IFERROR(VLOOKUP(Table1722[[#This Row],[Bukti]],'Un nOTA'!$A$4:$K$5003,10,FALSE),"")</f>
        <v/>
      </c>
      <c r="I4857" s="123" t="str">
        <f>IFERROR(VLOOKUP(Table1722[[#This Row],[Bukti]],Table13[#Data],11,FALSE),"")</f>
        <v/>
      </c>
    </row>
    <row r="4858" spans="1:9" hidden="1" x14ac:dyDescent="0.2">
      <c r="A4858" s="105" t="str">
        <f>IF(D4858=1,COUNTIF($D$10:D4858,1)," ")</f>
        <v xml:space="preserve"> </v>
      </c>
      <c r="B4858" s="106">
        <f>COPY!AR4850</f>
        <v>0</v>
      </c>
      <c r="C4858" s="107">
        <f>COPY!AC4850</f>
        <v>0</v>
      </c>
      <c r="D4858" s="107" t="str">
        <f>IF(LEN(Table1722[[#This Row],[Uraian]])&gt;2,1," ")</f>
        <v xml:space="preserve"> </v>
      </c>
      <c r="E4858" s="113" t="str">
        <f>IF(Table1722[[#This Row],[Lawan Transaksi]]="CV AGUNG KARYA",COUNTIF($I$10:I4858,"CV AGUNG KARYA")," ")</f>
        <v xml:space="preserve"> </v>
      </c>
      <c r="F4858" s="107" t="str">
        <f>IF(LEN(Table1722[[#This Row],[Uraian]])&gt;2,TRIM(RIGHT(SUBSTITUTE(TRIM(C4858)," ",REPT(" ",255)),255))," ")</f>
        <v xml:space="preserve"> </v>
      </c>
      <c r="G4858" s="110">
        <f>COPY!Z4850</f>
        <v>0</v>
      </c>
      <c r="H4858" s="111" t="str">
        <f>IFERROR(VLOOKUP(Table1722[[#This Row],[Bukti]],'Un nOTA'!$A$4:$K$5003,10,FALSE),"")</f>
        <v/>
      </c>
      <c r="I4858" s="123" t="str">
        <f>IFERROR(VLOOKUP(Table1722[[#This Row],[Bukti]],Table13[#Data],11,FALSE),"")</f>
        <v/>
      </c>
    </row>
    <row r="4859" spans="1:9" hidden="1" x14ac:dyDescent="0.2">
      <c r="A4859" s="105" t="str">
        <f>IF(D4859=1,COUNTIF($D$10:D4859,1)," ")</f>
        <v xml:space="preserve"> </v>
      </c>
      <c r="B4859" s="106">
        <f>COPY!AR4851</f>
        <v>0</v>
      </c>
      <c r="C4859" s="107">
        <f>COPY!AC4851</f>
        <v>0</v>
      </c>
      <c r="D4859" s="107" t="str">
        <f>IF(LEN(Table1722[[#This Row],[Uraian]])&gt;2,1," ")</f>
        <v xml:space="preserve"> </v>
      </c>
      <c r="E4859" s="113" t="str">
        <f>IF(Table1722[[#This Row],[Lawan Transaksi]]="CV AGUNG KARYA",COUNTIF($I$10:I4859,"CV AGUNG KARYA")," ")</f>
        <v xml:space="preserve"> </v>
      </c>
      <c r="F4859" s="107" t="str">
        <f>IF(LEN(Table1722[[#This Row],[Uraian]])&gt;2,TRIM(RIGHT(SUBSTITUTE(TRIM(C4859)," ",REPT(" ",255)),255))," ")</f>
        <v xml:space="preserve"> </v>
      </c>
      <c r="G4859" s="110">
        <f>COPY!Z4851</f>
        <v>0</v>
      </c>
      <c r="H4859" s="111" t="str">
        <f>IFERROR(VLOOKUP(Table1722[[#This Row],[Bukti]],'Un nOTA'!$A$4:$K$5003,10,FALSE),"")</f>
        <v/>
      </c>
      <c r="I4859" s="123" t="str">
        <f>IFERROR(VLOOKUP(Table1722[[#This Row],[Bukti]],Table13[#Data],11,FALSE),"")</f>
        <v/>
      </c>
    </row>
    <row r="4860" spans="1:9" hidden="1" x14ac:dyDescent="0.2">
      <c r="A4860" s="105" t="str">
        <f>IF(D4860=1,COUNTIF($D$10:D4860,1)," ")</f>
        <v xml:space="preserve"> </v>
      </c>
      <c r="B4860" s="106">
        <f>COPY!AR4852</f>
        <v>0</v>
      </c>
      <c r="C4860" s="107">
        <f>COPY!AC4852</f>
        <v>0</v>
      </c>
      <c r="D4860" s="107" t="str">
        <f>IF(LEN(Table1722[[#This Row],[Uraian]])&gt;2,1," ")</f>
        <v xml:space="preserve"> </v>
      </c>
      <c r="E4860" s="113" t="str">
        <f>IF(Table1722[[#This Row],[Lawan Transaksi]]="CV AGUNG KARYA",COUNTIF($I$10:I4860,"CV AGUNG KARYA")," ")</f>
        <v xml:space="preserve"> </v>
      </c>
      <c r="F4860" s="107" t="str">
        <f>IF(LEN(Table1722[[#This Row],[Uraian]])&gt;2,TRIM(RIGHT(SUBSTITUTE(TRIM(C4860)," ",REPT(" ",255)),255))," ")</f>
        <v xml:space="preserve"> </v>
      </c>
      <c r="G4860" s="110">
        <f>COPY!Z4852</f>
        <v>0</v>
      </c>
      <c r="H4860" s="111" t="str">
        <f>IFERROR(VLOOKUP(Table1722[[#This Row],[Bukti]],'Un nOTA'!$A$4:$K$5003,10,FALSE),"")</f>
        <v/>
      </c>
      <c r="I4860" s="123" t="str">
        <f>IFERROR(VLOOKUP(Table1722[[#This Row],[Bukti]],Table13[#Data],11,FALSE),"")</f>
        <v/>
      </c>
    </row>
    <row r="4861" spans="1:9" hidden="1" x14ac:dyDescent="0.2">
      <c r="A4861" s="105" t="str">
        <f>IF(D4861=1,COUNTIF($D$10:D4861,1)," ")</f>
        <v xml:space="preserve"> </v>
      </c>
      <c r="B4861" s="106">
        <f>COPY!AR4853</f>
        <v>0</v>
      </c>
      <c r="C4861" s="107">
        <f>COPY!AC4853</f>
        <v>0</v>
      </c>
      <c r="D4861" s="107" t="str">
        <f>IF(LEN(Table1722[[#This Row],[Uraian]])&gt;2,1," ")</f>
        <v xml:space="preserve"> </v>
      </c>
      <c r="E4861" s="113" t="str">
        <f>IF(Table1722[[#This Row],[Lawan Transaksi]]="CV AGUNG KARYA",COUNTIF($I$10:I4861,"CV AGUNG KARYA")," ")</f>
        <v xml:space="preserve"> </v>
      </c>
      <c r="F4861" s="107" t="str">
        <f>IF(LEN(Table1722[[#This Row],[Uraian]])&gt;2,TRIM(RIGHT(SUBSTITUTE(TRIM(C4861)," ",REPT(" ",255)),255))," ")</f>
        <v xml:space="preserve"> </v>
      </c>
      <c r="G4861" s="110">
        <f>COPY!Z4853</f>
        <v>0</v>
      </c>
      <c r="H4861" s="111" t="str">
        <f>IFERROR(VLOOKUP(Table1722[[#This Row],[Bukti]],'Un nOTA'!$A$4:$K$5003,10,FALSE),"")</f>
        <v/>
      </c>
      <c r="I4861" s="123" t="str">
        <f>IFERROR(VLOOKUP(Table1722[[#This Row],[Bukti]],Table13[#Data],11,FALSE),"")</f>
        <v/>
      </c>
    </row>
    <row r="4862" spans="1:9" hidden="1" x14ac:dyDescent="0.2">
      <c r="A4862" s="105" t="str">
        <f>IF(D4862=1,COUNTIF($D$10:D4862,1)," ")</f>
        <v xml:space="preserve"> </v>
      </c>
      <c r="B4862" s="106">
        <f>COPY!AR4854</f>
        <v>0</v>
      </c>
      <c r="C4862" s="107">
        <f>COPY!AC4854</f>
        <v>0</v>
      </c>
      <c r="D4862" s="107" t="str">
        <f>IF(LEN(Table1722[[#This Row],[Uraian]])&gt;2,1," ")</f>
        <v xml:space="preserve"> </v>
      </c>
      <c r="E4862" s="113" t="str">
        <f>IF(Table1722[[#This Row],[Lawan Transaksi]]="CV AGUNG KARYA",COUNTIF($I$10:I4862,"CV AGUNG KARYA")," ")</f>
        <v xml:space="preserve"> </v>
      </c>
      <c r="F4862" s="107" t="str">
        <f>IF(LEN(Table1722[[#This Row],[Uraian]])&gt;2,TRIM(RIGHT(SUBSTITUTE(TRIM(C4862)," ",REPT(" ",255)),255))," ")</f>
        <v xml:space="preserve"> </v>
      </c>
      <c r="G4862" s="110">
        <f>COPY!Z4854</f>
        <v>0</v>
      </c>
      <c r="H4862" s="111" t="str">
        <f>IFERROR(VLOOKUP(Table1722[[#This Row],[Bukti]],'Un nOTA'!$A$4:$K$5003,10,FALSE),"")</f>
        <v/>
      </c>
      <c r="I4862" s="123" t="str">
        <f>IFERROR(VLOOKUP(Table1722[[#This Row],[Bukti]],Table13[#Data],11,FALSE),"")</f>
        <v/>
      </c>
    </row>
    <row r="4863" spans="1:9" hidden="1" x14ac:dyDescent="0.2">
      <c r="A4863" s="105" t="str">
        <f>IF(D4863=1,COUNTIF($D$10:D4863,1)," ")</f>
        <v xml:space="preserve"> </v>
      </c>
      <c r="B4863" s="106">
        <f>COPY!AR4855</f>
        <v>0</v>
      </c>
      <c r="C4863" s="107">
        <f>COPY!AC4855</f>
        <v>0</v>
      </c>
      <c r="D4863" s="107" t="str">
        <f>IF(LEN(Table1722[[#This Row],[Uraian]])&gt;2,1," ")</f>
        <v xml:space="preserve"> </v>
      </c>
      <c r="E4863" s="113" t="str">
        <f>IF(Table1722[[#This Row],[Lawan Transaksi]]="CV AGUNG KARYA",COUNTIF($I$10:I4863,"CV AGUNG KARYA")," ")</f>
        <v xml:space="preserve"> </v>
      </c>
      <c r="F4863" s="107" t="str">
        <f>IF(LEN(Table1722[[#This Row],[Uraian]])&gt;2,TRIM(RIGHT(SUBSTITUTE(TRIM(C4863)," ",REPT(" ",255)),255))," ")</f>
        <v xml:space="preserve"> </v>
      </c>
      <c r="G4863" s="110">
        <f>COPY!Z4855</f>
        <v>0</v>
      </c>
      <c r="H4863" s="111" t="str">
        <f>IFERROR(VLOOKUP(Table1722[[#This Row],[Bukti]],'Un nOTA'!$A$4:$K$5003,10,FALSE),"")</f>
        <v/>
      </c>
      <c r="I4863" s="123" t="str">
        <f>IFERROR(VLOOKUP(Table1722[[#This Row],[Bukti]],Table13[#Data],11,FALSE),"")</f>
        <v/>
      </c>
    </row>
    <row r="4864" spans="1:9" hidden="1" x14ac:dyDescent="0.2">
      <c r="A4864" s="105" t="str">
        <f>IF(D4864=1,COUNTIF($D$10:D4864,1)," ")</f>
        <v xml:space="preserve"> </v>
      </c>
      <c r="B4864" s="106">
        <f>COPY!AR4856</f>
        <v>0</v>
      </c>
      <c r="C4864" s="107">
        <f>COPY!AC4856</f>
        <v>0</v>
      </c>
      <c r="D4864" s="107" t="str">
        <f>IF(LEN(Table1722[[#This Row],[Uraian]])&gt;2,1," ")</f>
        <v xml:space="preserve"> </v>
      </c>
      <c r="E4864" s="113" t="str">
        <f>IF(Table1722[[#This Row],[Lawan Transaksi]]="CV AGUNG KARYA",COUNTIF($I$10:I4864,"CV AGUNG KARYA")," ")</f>
        <v xml:space="preserve"> </v>
      </c>
      <c r="F4864" s="107" t="str">
        <f>IF(LEN(Table1722[[#This Row],[Uraian]])&gt;2,TRIM(RIGHT(SUBSTITUTE(TRIM(C4864)," ",REPT(" ",255)),255))," ")</f>
        <v xml:space="preserve"> </v>
      </c>
      <c r="G4864" s="110">
        <f>COPY!Z4856</f>
        <v>0</v>
      </c>
      <c r="H4864" s="111" t="str">
        <f>IFERROR(VLOOKUP(Table1722[[#This Row],[Bukti]],'Un nOTA'!$A$4:$K$5003,10,FALSE),"")</f>
        <v/>
      </c>
      <c r="I4864" s="123" t="str">
        <f>IFERROR(VLOOKUP(Table1722[[#This Row],[Bukti]],Table13[#Data],11,FALSE),"")</f>
        <v/>
      </c>
    </row>
    <row r="4865" spans="1:9" hidden="1" x14ac:dyDescent="0.2">
      <c r="A4865" s="105" t="str">
        <f>IF(D4865=1,COUNTIF($D$10:D4865,1)," ")</f>
        <v xml:space="preserve"> </v>
      </c>
      <c r="B4865" s="106">
        <f>COPY!AR4857</f>
        <v>0</v>
      </c>
      <c r="C4865" s="107">
        <f>COPY!AC4857</f>
        <v>0</v>
      </c>
      <c r="D4865" s="107" t="str">
        <f>IF(LEN(Table1722[[#This Row],[Uraian]])&gt;2,1," ")</f>
        <v xml:space="preserve"> </v>
      </c>
      <c r="E4865" s="113" t="str">
        <f>IF(Table1722[[#This Row],[Lawan Transaksi]]="CV AGUNG KARYA",COUNTIF($I$10:I4865,"CV AGUNG KARYA")," ")</f>
        <v xml:space="preserve"> </v>
      </c>
      <c r="F4865" s="107" t="str">
        <f>IF(LEN(Table1722[[#This Row],[Uraian]])&gt;2,TRIM(RIGHT(SUBSTITUTE(TRIM(C4865)," ",REPT(" ",255)),255))," ")</f>
        <v xml:space="preserve"> </v>
      </c>
      <c r="G4865" s="110">
        <f>COPY!Z4857</f>
        <v>0</v>
      </c>
      <c r="H4865" s="111" t="str">
        <f>IFERROR(VLOOKUP(Table1722[[#This Row],[Bukti]],'Un nOTA'!$A$4:$K$5003,10,FALSE),"")</f>
        <v/>
      </c>
      <c r="I4865" s="123" t="str">
        <f>IFERROR(VLOOKUP(Table1722[[#This Row],[Bukti]],Table13[#Data],11,FALSE),"")</f>
        <v/>
      </c>
    </row>
    <row r="4866" spans="1:9" hidden="1" x14ac:dyDescent="0.2">
      <c r="A4866" s="105" t="str">
        <f>IF(D4866=1,COUNTIF($D$10:D4866,1)," ")</f>
        <v xml:space="preserve"> </v>
      </c>
      <c r="B4866" s="106">
        <f>COPY!AR4858</f>
        <v>0</v>
      </c>
      <c r="C4866" s="107">
        <f>COPY!AC4858</f>
        <v>0</v>
      </c>
      <c r="D4866" s="107" t="str">
        <f>IF(LEN(Table1722[[#This Row],[Uraian]])&gt;2,1," ")</f>
        <v xml:space="preserve"> </v>
      </c>
      <c r="E4866" s="113" t="str">
        <f>IF(Table1722[[#This Row],[Lawan Transaksi]]="CV AGUNG KARYA",COUNTIF($I$10:I4866,"CV AGUNG KARYA")," ")</f>
        <v xml:space="preserve"> </v>
      </c>
      <c r="F4866" s="107" t="str">
        <f>IF(LEN(Table1722[[#This Row],[Uraian]])&gt;2,TRIM(RIGHT(SUBSTITUTE(TRIM(C4866)," ",REPT(" ",255)),255))," ")</f>
        <v xml:space="preserve"> </v>
      </c>
      <c r="G4866" s="110">
        <f>COPY!Z4858</f>
        <v>0</v>
      </c>
      <c r="H4866" s="111" t="str">
        <f>IFERROR(VLOOKUP(Table1722[[#This Row],[Bukti]],'Un nOTA'!$A$4:$K$5003,10,FALSE),"")</f>
        <v/>
      </c>
      <c r="I4866" s="123" t="str">
        <f>IFERROR(VLOOKUP(Table1722[[#This Row],[Bukti]],Table13[#Data],11,FALSE),"")</f>
        <v/>
      </c>
    </row>
    <row r="4867" spans="1:9" hidden="1" x14ac:dyDescent="0.2">
      <c r="A4867" s="105" t="str">
        <f>IF(D4867=1,COUNTIF($D$10:D4867,1)," ")</f>
        <v xml:space="preserve"> </v>
      </c>
      <c r="B4867" s="106">
        <f>COPY!AR4859</f>
        <v>0</v>
      </c>
      <c r="C4867" s="107">
        <f>COPY!AC4859</f>
        <v>0</v>
      </c>
      <c r="D4867" s="107" t="str">
        <f>IF(LEN(Table1722[[#This Row],[Uraian]])&gt;2,1," ")</f>
        <v xml:space="preserve"> </v>
      </c>
      <c r="E4867" s="113" t="str">
        <f>IF(Table1722[[#This Row],[Lawan Transaksi]]="CV AGUNG KARYA",COUNTIF($I$10:I4867,"CV AGUNG KARYA")," ")</f>
        <v xml:space="preserve"> </v>
      </c>
      <c r="F4867" s="107" t="str">
        <f>IF(LEN(Table1722[[#This Row],[Uraian]])&gt;2,TRIM(RIGHT(SUBSTITUTE(TRIM(C4867)," ",REPT(" ",255)),255))," ")</f>
        <v xml:space="preserve"> </v>
      </c>
      <c r="G4867" s="110">
        <f>COPY!Z4859</f>
        <v>0</v>
      </c>
      <c r="H4867" s="111" t="str">
        <f>IFERROR(VLOOKUP(Table1722[[#This Row],[Bukti]],'Un nOTA'!$A$4:$K$5003,10,FALSE),"")</f>
        <v/>
      </c>
      <c r="I4867" s="123" t="str">
        <f>IFERROR(VLOOKUP(Table1722[[#This Row],[Bukti]],Table13[#Data],11,FALSE),"")</f>
        <v/>
      </c>
    </row>
    <row r="4868" spans="1:9" hidden="1" x14ac:dyDescent="0.2">
      <c r="A4868" s="105" t="str">
        <f>IF(D4868=1,COUNTIF($D$10:D4868,1)," ")</f>
        <v xml:space="preserve"> </v>
      </c>
      <c r="B4868" s="106">
        <f>COPY!AR4860</f>
        <v>0</v>
      </c>
      <c r="C4868" s="107">
        <f>COPY!AC4860</f>
        <v>0</v>
      </c>
      <c r="D4868" s="107" t="str">
        <f>IF(LEN(Table1722[[#This Row],[Uraian]])&gt;2,1," ")</f>
        <v xml:space="preserve"> </v>
      </c>
      <c r="E4868" s="113" t="str">
        <f>IF(Table1722[[#This Row],[Lawan Transaksi]]="CV AGUNG KARYA",COUNTIF($I$10:I4868,"CV AGUNG KARYA")," ")</f>
        <v xml:space="preserve"> </v>
      </c>
      <c r="F4868" s="107" t="str">
        <f>IF(LEN(Table1722[[#This Row],[Uraian]])&gt;2,TRIM(RIGHT(SUBSTITUTE(TRIM(C4868)," ",REPT(" ",255)),255))," ")</f>
        <v xml:space="preserve"> </v>
      </c>
      <c r="G4868" s="110">
        <f>COPY!Z4860</f>
        <v>0</v>
      </c>
      <c r="H4868" s="111" t="str">
        <f>IFERROR(VLOOKUP(Table1722[[#This Row],[Bukti]],'Un nOTA'!$A$4:$K$5003,10,FALSE),"")</f>
        <v/>
      </c>
      <c r="I4868" s="123" t="str">
        <f>IFERROR(VLOOKUP(Table1722[[#This Row],[Bukti]],Table13[#Data],11,FALSE),"")</f>
        <v/>
      </c>
    </row>
    <row r="4869" spans="1:9" hidden="1" x14ac:dyDescent="0.2">
      <c r="A4869" s="105" t="str">
        <f>IF(D4869=1,COUNTIF($D$10:D4869,1)," ")</f>
        <v xml:space="preserve"> </v>
      </c>
      <c r="B4869" s="106">
        <f>COPY!AR4861</f>
        <v>0</v>
      </c>
      <c r="C4869" s="107">
        <f>COPY!AC4861</f>
        <v>0</v>
      </c>
      <c r="D4869" s="107" t="str">
        <f>IF(LEN(Table1722[[#This Row],[Uraian]])&gt;2,1," ")</f>
        <v xml:space="preserve"> </v>
      </c>
      <c r="E4869" s="113" t="str">
        <f>IF(Table1722[[#This Row],[Lawan Transaksi]]="CV AGUNG KARYA",COUNTIF($I$10:I4869,"CV AGUNG KARYA")," ")</f>
        <v xml:space="preserve"> </v>
      </c>
      <c r="F4869" s="107" t="str">
        <f>IF(LEN(Table1722[[#This Row],[Uraian]])&gt;2,TRIM(RIGHT(SUBSTITUTE(TRIM(C4869)," ",REPT(" ",255)),255))," ")</f>
        <v xml:space="preserve"> </v>
      </c>
      <c r="G4869" s="110">
        <f>COPY!Z4861</f>
        <v>0</v>
      </c>
      <c r="H4869" s="111" t="str">
        <f>IFERROR(VLOOKUP(Table1722[[#This Row],[Bukti]],'Un nOTA'!$A$4:$K$5003,10,FALSE),"")</f>
        <v/>
      </c>
      <c r="I4869" s="123" t="str">
        <f>IFERROR(VLOOKUP(Table1722[[#This Row],[Bukti]],Table13[#Data],11,FALSE),"")</f>
        <v/>
      </c>
    </row>
    <row r="4870" spans="1:9" hidden="1" x14ac:dyDescent="0.2">
      <c r="A4870" s="105" t="str">
        <f>IF(D4870=1,COUNTIF($D$10:D4870,1)," ")</f>
        <v xml:space="preserve"> </v>
      </c>
      <c r="B4870" s="106">
        <f>COPY!AR4862</f>
        <v>0</v>
      </c>
      <c r="C4870" s="107">
        <f>COPY!AC4862</f>
        <v>0</v>
      </c>
      <c r="D4870" s="107" t="str">
        <f>IF(LEN(Table1722[[#This Row],[Uraian]])&gt;2,1," ")</f>
        <v xml:space="preserve"> </v>
      </c>
      <c r="E4870" s="113" t="str">
        <f>IF(Table1722[[#This Row],[Lawan Transaksi]]="CV AGUNG KARYA",COUNTIF($I$10:I4870,"CV AGUNG KARYA")," ")</f>
        <v xml:space="preserve"> </v>
      </c>
      <c r="F4870" s="107" t="str">
        <f>IF(LEN(Table1722[[#This Row],[Uraian]])&gt;2,TRIM(RIGHT(SUBSTITUTE(TRIM(C4870)," ",REPT(" ",255)),255))," ")</f>
        <v xml:space="preserve"> </v>
      </c>
      <c r="G4870" s="110">
        <f>COPY!Z4862</f>
        <v>0</v>
      </c>
      <c r="H4870" s="111" t="str">
        <f>IFERROR(VLOOKUP(Table1722[[#This Row],[Bukti]],'Un nOTA'!$A$4:$K$5003,10,FALSE),"")</f>
        <v/>
      </c>
      <c r="I4870" s="123" t="str">
        <f>IFERROR(VLOOKUP(Table1722[[#This Row],[Bukti]],Table13[#Data],11,FALSE),"")</f>
        <v/>
      </c>
    </row>
    <row r="4871" spans="1:9" hidden="1" x14ac:dyDescent="0.2">
      <c r="A4871" s="105" t="str">
        <f>IF(D4871=1,COUNTIF($D$10:D4871,1)," ")</f>
        <v xml:space="preserve"> </v>
      </c>
      <c r="B4871" s="106">
        <f>COPY!AR4863</f>
        <v>0</v>
      </c>
      <c r="C4871" s="107">
        <f>COPY!AC4863</f>
        <v>0</v>
      </c>
      <c r="D4871" s="107" t="str">
        <f>IF(LEN(Table1722[[#This Row],[Uraian]])&gt;2,1," ")</f>
        <v xml:space="preserve"> </v>
      </c>
      <c r="E4871" s="113" t="str">
        <f>IF(Table1722[[#This Row],[Lawan Transaksi]]="CV AGUNG KARYA",COUNTIF($I$10:I4871,"CV AGUNG KARYA")," ")</f>
        <v xml:space="preserve"> </v>
      </c>
      <c r="F4871" s="107" t="str">
        <f>IF(LEN(Table1722[[#This Row],[Uraian]])&gt;2,TRIM(RIGHT(SUBSTITUTE(TRIM(C4871)," ",REPT(" ",255)),255))," ")</f>
        <v xml:space="preserve"> </v>
      </c>
      <c r="G4871" s="110">
        <f>COPY!Z4863</f>
        <v>0</v>
      </c>
      <c r="H4871" s="111" t="str">
        <f>IFERROR(VLOOKUP(Table1722[[#This Row],[Bukti]],'Un nOTA'!$A$4:$K$5003,10,FALSE),"")</f>
        <v/>
      </c>
      <c r="I4871" s="123" t="str">
        <f>IFERROR(VLOOKUP(Table1722[[#This Row],[Bukti]],Table13[#Data],11,FALSE),"")</f>
        <v/>
      </c>
    </row>
    <row r="4872" spans="1:9" hidden="1" x14ac:dyDescent="0.2">
      <c r="A4872" s="105" t="str">
        <f>IF(D4872=1,COUNTIF($D$10:D4872,1)," ")</f>
        <v xml:space="preserve"> </v>
      </c>
      <c r="B4872" s="106">
        <f>COPY!AR4864</f>
        <v>0</v>
      </c>
      <c r="C4872" s="107">
        <f>COPY!AC4864</f>
        <v>0</v>
      </c>
      <c r="D4872" s="107" t="str">
        <f>IF(LEN(Table1722[[#This Row],[Uraian]])&gt;2,1," ")</f>
        <v xml:space="preserve"> </v>
      </c>
      <c r="E4872" s="113" t="str">
        <f>IF(Table1722[[#This Row],[Lawan Transaksi]]="CV AGUNG KARYA",COUNTIF($I$10:I4872,"CV AGUNG KARYA")," ")</f>
        <v xml:space="preserve"> </v>
      </c>
      <c r="F4872" s="107" t="str">
        <f>IF(LEN(Table1722[[#This Row],[Uraian]])&gt;2,TRIM(RIGHT(SUBSTITUTE(TRIM(C4872)," ",REPT(" ",255)),255))," ")</f>
        <v xml:space="preserve"> </v>
      </c>
      <c r="G4872" s="110">
        <f>COPY!Z4864</f>
        <v>0</v>
      </c>
      <c r="H4872" s="111" t="str">
        <f>IFERROR(VLOOKUP(Table1722[[#This Row],[Bukti]],'Un nOTA'!$A$4:$K$5003,10,FALSE),"")</f>
        <v/>
      </c>
      <c r="I4872" s="123" t="str">
        <f>IFERROR(VLOOKUP(Table1722[[#This Row],[Bukti]],Table13[#Data],11,FALSE),"")</f>
        <v/>
      </c>
    </row>
    <row r="4873" spans="1:9" hidden="1" x14ac:dyDescent="0.2">
      <c r="A4873" s="105" t="str">
        <f>IF(D4873=1,COUNTIF($D$10:D4873,1)," ")</f>
        <v xml:space="preserve"> </v>
      </c>
      <c r="B4873" s="106">
        <f>COPY!AR4865</f>
        <v>0</v>
      </c>
      <c r="C4873" s="107">
        <f>COPY!AC4865</f>
        <v>0</v>
      </c>
      <c r="D4873" s="107" t="str">
        <f>IF(LEN(Table1722[[#This Row],[Uraian]])&gt;2,1," ")</f>
        <v xml:space="preserve"> </v>
      </c>
      <c r="E4873" s="113" t="str">
        <f>IF(Table1722[[#This Row],[Lawan Transaksi]]="CV AGUNG KARYA",COUNTIF($I$10:I4873,"CV AGUNG KARYA")," ")</f>
        <v xml:space="preserve"> </v>
      </c>
      <c r="F4873" s="107" t="str">
        <f>IF(LEN(Table1722[[#This Row],[Uraian]])&gt;2,TRIM(RIGHT(SUBSTITUTE(TRIM(C4873)," ",REPT(" ",255)),255))," ")</f>
        <v xml:space="preserve"> </v>
      </c>
      <c r="G4873" s="110">
        <f>COPY!Z4865</f>
        <v>0</v>
      </c>
      <c r="H4873" s="111" t="str">
        <f>IFERROR(VLOOKUP(Table1722[[#This Row],[Bukti]],'Un nOTA'!$A$4:$K$5003,10,FALSE),"")</f>
        <v/>
      </c>
      <c r="I4873" s="123" t="str">
        <f>IFERROR(VLOOKUP(Table1722[[#This Row],[Bukti]],Table13[#Data],11,FALSE),"")</f>
        <v/>
      </c>
    </row>
    <row r="4874" spans="1:9" hidden="1" x14ac:dyDescent="0.2">
      <c r="A4874" s="105" t="str">
        <f>IF(D4874=1,COUNTIF($D$10:D4874,1)," ")</f>
        <v xml:space="preserve"> </v>
      </c>
      <c r="B4874" s="106">
        <f>COPY!AR4866</f>
        <v>0</v>
      </c>
      <c r="C4874" s="107">
        <f>COPY!AC4866</f>
        <v>0</v>
      </c>
      <c r="D4874" s="107" t="str">
        <f>IF(LEN(Table1722[[#This Row],[Uraian]])&gt;2,1," ")</f>
        <v xml:space="preserve"> </v>
      </c>
      <c r="E4874" s="113" t="str">
        <f>IF(Table1722[[#This Row],[Lawan Transaksi]]="CV AGUNG KARYA",COUNTIF($I$10:I4874,"CV AGUNG KARYA")," ")</f>
        <v xml:space="preserve"> </v>
      </c>
      <c r="F4874" s="107" t="str">
        <f>IF(LEN(Table1722[[#This Row],[Uraian]])&gt;2,TRIM(RIGHT(SUBSTITUTE(TRIM(C4874)," ",REPT(" ",255)),255))," ")</f>
        <v xml:space="preserve"> </v>
      </c>
      <c r="G4874" s="110">
        <f>COPY!Z4866</f>
        <v>0</v>
      </c>
      <c r="H4874" s="111" t="str">
        <f>IFERROR(VLOOKUP(Table1722[[#This Row],[Bukti]],'Un nOTA'!$A$4:$K$5003,10,FALSE),"")</f>
        <v/>
      </c>
      <c r="I4874" s="123" t="str">
        <f>IFERROR(VLOOKUP(Table1722[[#This Row],[Bukti]],Table13[#Data],11,FALSE),"")</f>
        <v/>
      </c>
    </row>
    <row r="4875" spans="1:9" hidden="1" x14ac:dyDescent="0.2">
      <c r="A4875" s="105" t="str">
        <f>IF(D4875=1,COUNTIF($D$10:D4875,1)," ")</f>
        <v xml:space="preserve"> </v>
      </c>
      <c r="B4875" s="106">
        <f>COPY!AR4867</f>
        <v>0</v>
      </c>
      <c r="C4875" s="107">
        <f>COPY!AC4867</f>
        <v>0</v>
      </c>
      <c r="D4875" s="107" t="str">
        <f>IF(LEN(Table1722[[#This Row],[Uraian]])&gt;2,1," ")</f>
        <v xml:space="preserve"> </v>
      </c>
      <c r="E4875" s="113" t="str">
        <f>IF(Table1722[[#This Row],[Lawan Transaksi]]="CV AGUNG KARYA",COUNTIF($I$10:I4875,"CV AGUNG KARYA")," ")</f>
        <v xml:space="preserve"> </v>
      </c>
      <c r="F4875" s="107" t="str">
        <f>IF(LEN(Table1722[[#This Row],[Uraian]])&gt;2,TRIM(RIGHT(SUBSTITUTE(TRIM(C4875)," ",REPT(" ",255)),255))," ")</f>
        <v xml:space="preserve"> </v>
      </c>
      <c r="G4875" s="110">
        <f>COPY!Z4867</f>
        <v>0</v>
      </c>
      <c r="H4875" s="111" t="str">
        <f>IFERROR(VLOOKUP(Table1722[[#This Row],[Bukti]],'Un nOTA'!$A$4:$K$5003,10,FALSE),"")</f>
        <v/>
      </c>
      <c r="I4875" s="123" t="str">
        <f>IFERROR(VLOOKUP(Table1722[[#This Row],[Bukti]],Table13[#Data],11,FALSE),"")</f>
        <v/>
      </c>
    </row>
    <row r="4876" spans="1:9" hidden="1" x14ac:dyDescent="0.2">
      <c r="A4876" s="105" t="str">
        <f>IF(D4876=1,COUNTIF($D$10:D4876,1)," ")</f>
        <v xml:space="preserve"> </v>
      </c>
      <c r="B4876" s="106">
        <f>COPY!AR4868</f>
        <v>0</v>
      </c>
      <c r="C4876" s="107">
        <f>COPY!AC4868</f>
        <v>0</v>
      </c>
      <c r="D4876" s="107" t="str">
        <f>IF(LEN(Table1722[[#This Row],[Uraian]])&gt;2,1," ")</f>
        <v xml:space="preserve"> </v>
      </c>
      <c r="E4876" s="113" t="str">
        <f>IF(Table1722[[#This Row],[Lawan Transaksi]]="CV AGUNG KARYA",COUNTIF($I$10:I4876,"CV AGUNG KARYA")," ")</f>
        <v xml:space="preserve"> </v>
      </c>
      <c r="F4876" s="107" t="str">
        <f>IF(LEN(Table1722[[#This Row],[Uraian]])&gt;2,TRIM(RIGHT(SUBSTITUTE(TRIM(C4876)," ",REPT(" ",255)),255))," ")</f>
        <v xml:space="preserve"> </v>
      </c>
      <c r="G4876" s="110">
        <f>COPY!Z4868</f>
        <v>0</v>
      </c>
      <c r="H4876" s="111" t="str">
        <f>IFERROR(VLOOKUP(Table1722[[#This Row],[Bukti]],'Un nOTA'!$A$4:$K$5003,10,FALSE),"")</f>
        <v/>
      </c>
      <c r="I4876" s="123" t="str">
        <f>IFERROR(VLOOKUP(Table1722[[#This Row],[Bukti]],Table13[#Data],11,FALSE),"")</f>
        <v/>
      </c>
    </row>
    <row r="4877" spans="1:9" hidden="1" x14ac:dyDescent="0.2">
      <c r="A4877" s="105" t="str">
        <f>IF(D4877=1,COUNTIF($D$10:D4877,1)," ")</f>
        <v xml:space="preserve"> </v>
      </c>
      <c r="B4877" s="106">
        <f>COPY!AR4869</f>
        <v>0</v>
      </c>
      <c r="C4877" s="107">
        <f>COPY!AC4869</f>
        <v>0</v>
      </c>
      <c r="D4877" s="107" t="str">
        <f>IF(LEN(Table1722[[#This Row],[Uraian]])&gt;2,1," ")</f>
        <v xml:space="preserve"> </v>
      </c>
      <c r="E4877" s="113" t="str">
        <f>IF(Table1722[[#This Row],[Lawan Transaksi]]="CV AGUNG KARYA",COUNTIF($I$10:I4877,"CV AGUNG KARYA")," ")</f>
        <v xml:space="preserve"> </v>
      </c>
      <c r="F4877" s="107" t="str">
        <f>IF(LEN(Table1722[[#This Row],[Uraian]])&gt;2,TRIM(RIGHT(SUBSTITUTE(TRIM(C4877)," ",REPT(" ",255)),255))," ")</f>
        <v xml:space="preserve"> </v>
      </c>
      <c r="G4877" s="110">
        <f>COPY!Z4869</f>
        <v>0</v>
      </c>
      <c r="H4877" s="111" t="str">
        <f>IFERROR(VLOOKUP(Table1722[[#This Row],[Bukti]],'Un nOTA'!$A$4:$K$5003,10,FALSE),"")</f>
        <v/>
      </c>
      <c r="I4877" s="123" t="str">
        <f>IFERROR(VLOOKUP(Table1722[[#This Row],[Bukti]],Table13[#Data],11,FALSE),"")</f>
        <v/>
      </c>
    </row>
    <row r="4878" spans="1:9" hidden="1" x14ac:dyDescent="0.2">
      <c r="A4878" s="105" t="str">
        <f>IF(D4878=1,COUNTIF($D$10:D4878,1)," ")</f>
        <v xml:space="preserve"> </v>
      </c>
      <c r="B4878" s="106">
        <f>COPY!AR4870</f>
        <v>0</v>
      </c>
      <c r="C4878" s="107">
        <f>COPY!AC4870</f>
        <v>0</v>
      </c>
      <c r="D4878" s="107" t="str">
        <f>IF(LEN(Table1722[[#This Row],[Uraian]])&gt;2,1," ")</f>
        <v xml:space="preserve"> </v>
      </c>
      <c r="E4878" s="113" t="str">
        <f>IF(Table1722[[#This Row],[Lawan Transaksi]]="CV AGUNG KARYA",COUNTIF($I$10:I4878,"CV AGUNG KARYA")," ")</f>
        <v xml:space="preserve"> </v>
      </c>
      <c r="F4878" s="107" t="str">
        <f>IF(LEN(Table1722[[#This Row],[Uraian]])&gt;2,TRIM(RIGHT(SUBSTITUTE(TRIM(C4878)," ",REPT(" ",255)),255))," ")</f>
        <v xml:space="preserve"> </v>
      </c>
      <c r="G4878" s="110">
        <f>COPY!Z4870</f>
        <v>0</v>
      </c>
      <c r="H4878" s="111" t="str">
        <f>IFERROR(VLOOKUP(Table1722[[#This Row],[Bukti]],'Un nOTA'!$A$4:$K$5003,10,FALSE),"")</f>
        <v/>
      </c>
      <c r="I4878" s="123" t="str">
        <f>IFERROR(VLOOKUP(Table1722[[#This Row],[Bukti]],Table13[#Data],11,FALSE),"")</f>
        <v/>
      </c>
    </row>
    <row r="4879" spans="1:9" hidden="1" x14ac:dyDescent="0.2">
      <c r="A4879" s="105" t="str">
        <f>IF(D4879=1,COUNTIF($D$10:D4879,1)," ")</f>
        <v xml:space="preserve"> </v>
      </c>
      <c r="B4879" s="106">
        <f>COPY!AR4871</f>
        <v>0</v>
      </c>
      <c r="C4879" s="107">
        <f>COPY!AC4871</f>
        <v>0</v>
      </c>
      <c r="D4879" s="107" t="str">
        <f>IF(LEN(Table1722[[#This Row],[Uraian]])&gt;2,1," ")</f>
        <v xml:space="preserve"> </v>
      </c>
      <c r="E4879" s="113" t="str">
        <f>IF(Table1722[[#This Row],[Lawan Transaksi]]="CV AGUNG KARYA",COUNTIF($I$10:I4879,"CV AGUNG KARYA")," ")</f>
        <v xml:space="preserve"> </v>
      </c>
      <c r="F4879" s="107" t="str">
        <f>IF(LEN(Table1722[[#This Row],[Uraian]])&gt;2,TRIM(RIGHT(SUBSTITUTE(TRIM(C4879)," ",REPT(" ",255)),255))," ")</f>
        <v xml:space="preserve"> </v>
      </c>
      <c r="G4879" s="110">
        <f>COPY!Z4871</f>
        <v>0</v>
      </c>
      <c r="H4879" s="111" t="str">
        <f>IFERROR(VLOOKUP(Table1722[[#This Row],[Bukti]],'Un nOTA'!$A$4:$K$5003,10,FALSE),"")</f>
        <v/>
      </c>
      <c r="I4879" s="123" t="str">
        <f>IFERROR(VLOOKUP(Table1722[[#This Row],[Bukti]],Table13[#Data],11,FALSE),"")</f>
        <v/>
      </c>
    </row>
    <row r="4880" spans="1:9" hidden="1" x14ac:dyDescent="0.2">
      <c r="A4880" s="105" t="str">
        <f>IF(D4880=1,COUNTIF($D$10:D4880,1)," ")</f>
        <v xml:space="preserve"> </v>
      </c>
      <c r="B4880" s="106">
        <f>COPY!AR4872</f>
        <v>0</v>
      </c>
      <c r="C4880" s="107">
        <f>COPY!AC4872</f>
        <v>0</v>
      </c>
      <c r="D4880" s="107" t="str">
        <f>IF(LEN(Table1722[[#This Row],[Uraian]])&gt;2,1," ")</f>
        <v xml:space="preserve"> </v>
      </c>
      <c r="E4880" s="113" t="str">
        <f>IF(Table1722[[#This Row],[Lawan Transaksi]]="CV AGUNG KARYA",COUNTIF($I$10:I4880,"CV AGUNG KARYA")," ")</f>
        <v xml:space="preserve"> </v>
      </c>
      <c r="F4880" s="107" t="str">
        <f>IF(LEN(Table1722[[#This Row],[Uraian]])&gt;2,TRIM(RIGHT(SUBSTITUTE(TRIM(C4880)," ",REPT(" ",255)),255))," ")</f>
        <v xml:space="preserve"> </v>
      </c>
      <c r="G4880" s="110">
        <f>COPY!Z4872</f>
        <v>0</v>
      </c>
      <c r="H4880" s="111" t="str">
        <f>IFERROR(VLOOKUP(Table1722[[#This Row],[Bukti]],'Un nOTA'!$A$4:$K$5003,10,FALSE),"")</f>
        <v/>
      </c>
      <c r="I4880" s="123" t="str">
        <f>IFERROR(VLOOKUP(Table1722[[#This Row],[Bukti]],Table13[#Data],11,FALSE),"")</f>
        <v/>
      </c>
    </row>
    <row r="4881" spans="1:9" hidden="1" x14ac:dyDescent="0.2">
      <c r="A4881" s="105" t="str">
        <f>IF(D4881=1,COUNTIF($D$10:D4881,1)," ")</f>
        <v xml:space="preserve"> </v>
      </c>
      <c r="B4881" s="106">
        <f>COPY!AR4873</f>
        <v>0</v>
      </c>
      <c r="C4881" s="107">
        <f>COPY!AC4873</f>
        <v>0</v>
      </c>
      <c r="D4881" s="107" t="str">
        <f>IF(LEN(Table1722[[#This Row],[Uraian]])&gt;2,1," ")</f>
        <v xml:space="preserve"> </v>
      </c>
      <c r="E4881" s="113" t="str">
        <f>IF(Table1722[[#This Row],[Lawan Transaksi]]="CV AGUNG KARYA",COUNTIF($I$10:I4881,"CV AGUNG KARYA")," ")</f>
        <v xml:space="preserve"> </v>
      </c>
      <c r="F4881" s="107" t="str">
        <f>IF(LEN(Table1722[[#This Row],[Uraian]])&gt;2,TRIM(RIGHT(SUBSTITUTE(TRIM(C4881)," ",REPT(" ",255)),255))," ")</f>
        <v xml:space="preserve"> </v>
      </c>
      <c r="G4881" s="110">
        <f>COPY!Z4873</f>
        <v>0</v>
      </c>
      <c r="H4881" s="111" t="str">
        <f>IFERROR(VLOOKUP(Table1722[[#This Row],[Bukti]],'Un nOTA'!$A$4:$K$5003,10,FALSE),"")</f>
        <v/>
      </c>
      <c r="I4881" s="123" t="str">
        <f>IFERROR(VLOOKUP(Table1722[[#This Row],[Bukti]],Table13[#Data],11,FALSE),"")</f>
        <v/>
      </c>
    </row>
    <row r="4882" spans="1:9" hidden="1" x14ac:dyDescent="0.2">
      <c r="A4882" s="105" t="str">
        <f>IF(D4882=1,COUNTIF($D$10:D4882,1)," ")</f>
        <v xml:space="preserve"> </v>
      </c>
      <c r="B4882" s="106">
        <f>COPY!AR4874</f>
        <v>0</v>
      </c>
      <c r="C4882" s="107">
        <f>COPY!AC4874</f>
        <v>0</v>
      </c>
      <c r="D4882" s="107" t="str">
        <f>IF(LEN(Table1722[[#This Row],[Uraian]])&gt;2,1," ")</f>
        <v xml:space="preserve"> </v>
      </c>
      <c r="E4882" s="113" t="str">
        <f>IF(Table1722[[#This Row],[Lawan Transaksi]]="CV AGUNG KARYA",COUNTIF($I$10:I4882,"CV AGUNG KARYA")," ")</f>
        <v xml:space="preserve"> </v>
      </c>
      <c r="F4882" s="107" t="str">
        <f>IF(LEN(Table1722[[#This Row],[Uraian]])&gt;2,TRIM(RIGHT(SUBSTITUTE(TRIM(C4882)," ",REPT(" ",255)),255))," ")</f>
        <v xml:space="preserve"> </v>
      </c>
      <c r="G4882" s="110">
        <f>COPY!Z4874</f>
        <v>0</v>
      </c>
      <c r="H4882" s="111" t="str">
        <f>IFERROR(VLOOKUP(Table1722[[#This Row],[Bukti]],'Un nOTA'!$A$4:$K$5003,10,FALSE),"")</f>
        <v/>
      </c>
      <c r="I4882" s="123" t="str">
        <f>IFERROR(VLOOKUP(Table1722[[#This Row],[Bukti]],Table13[#Data],11,FALSE),"")</f>
        <v/>
      </c>
    </row>
    <row r="4883" spans="1:9" hidden="1" x14ac:dyDescent="0.2">
      <c r="A4883" s="105" t="str">
        <f>IF(D4883=1,COUNTIF($D$10:D4883,1)," ")</f>
        <v xml:space="preserve"> </v>
      </c>
      <c r="B4883" s="106">
        <f>COPY!AR4875</f>
        <v>0</v>
      </c>
      <c r="C4883" s="107">
        <f>COPY!AC4875</f>
        <v>0</v>
      </c>
      <c r="D4883" s="107" t="str">
        <f>IF(LEN(Table1722[[#This Row],[Uraian]])&gt;2,1," ")</f>
        <v xml:space="preserve"> </v>
      </c>
      <c r="E4883" s="113" t="str">
        <f>IF(Table1722[[#This Row],[Lawan Transaksi]]="CV AGUNG KARYA",COUNTIF($I$10:I4883,"CV AGUNG KARYA")," ")</f>
        <v xml:space="preserve"> </v>
      </c>
      <c r="F4883" s="107" t="str">
        <f>IF(LEN(Table1722[[#This Row],[Uraian]])&gt;2,TRIM(RIGHT(SUBSTITUTE(TRIM(C4883)," ",REPT(" ",255)),255))," ")</f>
        <v xml:space="preserve"> </v>
      </c>
      <c r="G4883" s="110">
        <f>COPY!Z4875</f>
        <v>0</v>
      </c>
      <c r="H4883" s="111" t="str">
        <f>IFERROR(VLOOKUP(Table1722[[#This Row],[Bukti]],'Un nOTA'!$A$4:$K$5003,10,FALSE),"")</f>
        <v/>
      </c>
      <c r="I4883" s="123" t="str">
        <f>IFERROR(VLOOKUP(Table1722[[#This Row],[Bukti]],Table13[#Data],11,FALSE),"")</f>
        <v/>
      </c>
    </row>
    <row r="4884" spans="1:9" hidden="1" x14ac:dyDescent="0.2">
      <c r="A4884" s="105" t="str">
        <f>IF(D4884=1,COUNTIF($D$10:D4884,1)," ")</f>
        <v xml:space="preserve"> </v>
      </c>
      <c r="B4884" s="106">
        <f>COPY!AR4876</f>
        <v>0</v>
      </c>
      <c r="C4884" s="107">
        <f>COPY!AC4876</f>
        <v>0</v>
      </c>
      <c r="D4884" s="107" t="str">
        <f>IF(LEN(Table1722[[#This Row],[Uraian]])&gt;2,1," ")</f>
        <v xml:space="preserve"> </v>
      </c>
      <c r="E4884" s="113" t="str">
        <f>IF(Table1722[[#This Row],[Lawan Transaksi]]="CV AGUNG KARYA",COUNTIF($I$10:I4884,"CV AGUNG KARYA")," ")</f>
        <v xml:space="preserve"> </v>
      </c>
      <c r="F4884" s="107" t="str">
        <f>IF(LEN(Table1722[[#This Row],[Uraian]])&gt;2,TRIM(RIGHT(SUBSTITUTE(TRIM(C4884)," ",REPT(" ",255)),255))," ")</f>
        <v xml:space="preserve"> </v>
      </c>
      <c r="G4884" s="110">
        <f>COPY!Z4876</f>
        <v>0</v>
      </c>
      <c r="H4884" s="111" t="str">
        <f>IFERROR(VLOOKUP(Table1722[[#This Row],[Bukti]],'Un nOTA'!$A$4:$K$5003,10,FALSE),"")</f>
        <v/>
      </c>
      <c r="I4884" s="123" t="str">
        <f>IFERROR(VLOOKUP(Table1722[[#This Row],[Bukti]],Table13[#Data],11,FALSE),"")</f>
        <v/>
      </c>
    </row>
    <row r="4885" spans="1:9" hidden="1" x14ac:dyDescent="0.2">
      <c r="A4885" s="105" t="str">
        <f>IF(D4885=1,COUNTIF($D$10:D4885,1)," ")</f>
        <v xml:space="preserve"> </v>
      </c>
      <c r="B4885" s="106">
        <f>COPY!AR4877</f>
        <v>0</v>
      </c>
      <c r="C4885" s="107">
        <f>COPY!AC4877</f>
        <v>0</v>
      </c>
      <c r="D4885" s="107" t="str">
        <f>IF(LEN(Table1722[[#This Row],[Uraian]])&gt;2,1," ")</f>
        <v xml:space="preserve"> </v>
      </c>
      <c r="E4885" s="113" t="str">
        <f>IF(Table1722[[#This Row],[Lawan Transaksi]]="CV AGUNG KARYA",COUNTIF($I$10:I4885,"CV AGUNG KARYA")," ")</f>
        <v xml:space="preserve"> </v>
      </c>
      <c r="F4885" s="107" t="str">
        <f>IF(LEN(Table1722[[#This Row],[Uraian]])&gt;2,TRIM(RIGHT(SUBSTITUTE(TRIM(C4885)," ",REPT(" ",255)),255))," ")</f>
        <v xml:space="preserve"> </v>
      </c>
      <c r="G4885" s="110">
        <f>COPY!Z4877</f>
        <v>0</v>
      </c>
      <c r="H4885" s="111" t="str">
        <f>IFERROR(VLOOKUP(Table1722[[#This Row],[Bukti]],'Un nOTA'!$A$4:$K$5003,10,FALSE),"")</f>
        <v/>
      </c>
      <c r="I4885" s="123" t="str">
        <f>IFERROR(VLOOKUP(Table1722[[#This Row],[Bukti]],Table13[#Data],11,FALSE),"")</f>
        <v/>
      </c>
    </row>
    <row r="4886" spans="1:9" hidden="1" x14ac:dyDescent="0.2">
      <c r="A4886" s="105" t="str">
        <f>IF(D4886=1,COUNTIF($D$10:D4886,1)," ")</f>
        <v xml:space="preserve"> </v>
      </c>
      <c r="B4886" s="106">
        <f>COPY!AR4878</f>
        <v>0</v>
      </c>
      <c r="C4886" s="107">
        <f>COPY!AC4878</f>
        <v>0</v>
      </c>
      <c r="D4886" s="107" t="str">
        <f>IF(LEN(Table1722[[#This Row],[Uraian]])&gt;2,1," ")</f>
        <v xml:space="preserve"> </v>
      </c>
      <c r="E4886" s="113" t="str">
        <f>IF(Table1722[[#This Row],[Lawan Transaksi]]="CV AGUNG KARYA",COUNTIF($I$10:I4886,"CV AGUNG KARYA")," ")</f>
        <v xml:space="preserve"> </v>
      </c>
      <c r="F4886" s="107" t="str">
        <f>IF(LEN(Table1722[[#This Row],[Uraian]])&gt;2,TRIM(RIGHT(SUBSTITUTE(TRIM(C4886)," ",REPT(" ",255)),255))," ")</f>
        <v xml:space="preserve"> </v>
      </c>
      <c r="G4886" s="110">
        <f>COPY!Z4878</f>
        <v>0</v>
      </c>
      <c r="H4886" s="111" t="str">
        <f>IFERROR(VLOOKUP(Table1722[[#This Row],[Bukti]],'Un nOTA'!$A$4:$K$5003,10,FALSE),"")</f>
        <v/>
      </c>
      <c r="I4886" s="123" t="str">
        <f>IFERROR(VLOOKUP(Table1722[[#This Row],[Bukti]],Table13[#Data],11,FALSE),"")</f>
        <v/>
      </c>
    </row>
    <row r="4887" spans="1:9" hidden="1" x14ac:dyDescent="0.2">
      <c r="A4887" s="105" t="str">
        <f>IF(D4887=1,COUNTIF($D$10:D4887,1)," ")</f>
        <v xml:space="preserve"> </v>
      </c>
      <c r="B4887" s="106">
        <f>COPY!AR4879</f>
        <v>0</v>
      </c>
      <c r="C4887" s="107">
        <f>COPY!AC4879</f>
        <v>0</v>
      </c>
      <c r="D4887" s="107" t="str">
        <f>IF(LEN(Table1722[[#This Row],[Uraian]])&gt;2,1," ")</f>
        <v xml:space="preserve"> </v>
      </c>
      <c r="E4887" s="113" t="str">
        <f>IF(Table1722[[#This Row],[Lawan Transaksi]]="CV AGUNG KARYA",COUNTIF($I$10:I4887,"CV AGUNG KARYA")," ")</f>
        <v xml:space="preserve"> </v>
      </c>
      <c r="F4887" s="107" t="str">
        <f>IF(LEN(Table1722[[#This Row],[Uraian]])&gt;2,TRIM(RIGHT(SUBSTITUTE(TRIM(C4887)," ",REPT(" ",255)),255))," ")</f>
        <v xml:space="preserve"> </v>
      </c>
      <c r="G4887" s="110">
        <f>COPY!Z4879</f>
        <v>0</v>
      </c>
      <c r="H4887" s="111" t="str">
        <f>IFERROR(VLOOKUP(Table1722[[#This Row],[Bukti]],'Un nOTA'!$A$4:$K$5003,10,FALSE),"")</f>
        <v/>
      </c>
      <c r="I4887" s="123" t="str">
        <f>IFERROR(VLOOKUP(Table1722[[#This Row],[Bukti]],Table13[#Data],11,FALSE),"")</f>
        <v/>
      </c>
    </row>
    <row r="4888" spans="1:9" hidden="1" x14ac:dyDescent="0.2">
      <c r="A4888" s="105" t="str">
        <f>IF(D4888=1,COUNTIF($D$10:D4888,1)," ")</f>
        <v xml:space="preserve"> </v>
      </c>
      <c r="B4888" s="106">
        <f>COPY!AR4880</f>
        <v>0</v>
      </c>
      <c r="C4888" s="107">
        <f>COPY!AC4880</f>
        <v>0</v>
      </c>
      <c r="D4888" s="107" t="str">
        <f>IF(LEN(Table1722[[#This Row],[Uraian]])&gt;2,1," ")</f>
        <v xml:space="preserve"> </v>
      </c>
      <c r="E4888" s="113" t="str">
        <f>IF(Table1722[[#This Row],[Lawan Transaksi]]="CV AGUNG KARYA",COUNTIF($I$10:I4888,"CV AGUNG KARYA")," ")</f>
        <v xml:space="preserve"> </v>
      </c>
      <c r="F4888" s="107" t="str">
        <f>IF(LEN(Table1722[[#This Row],[Uraian]])&gt;2,TRIM(RIGHT(SUBSTITUTE(TRIM(C4888)," ",REPT(" ",255)),255))," ")</f>
        <v xml:space="preserve"> </v>
      </c>
      <c r="G4888" s="110">
        <f>COPY!Z4880</f>
        <v>0</v>
      </c>
      <c r="H4888" s="111" t="str">
        <f>IFERROR(VLOOKUP(Table1722[[#This Row],[Bukti]],'Un nOTA'!$A$4:$K$5003,10,FALSE),"")</f>
        <v/>
      </c>
      <c r="I4888" s="123" t="str">
        <f>IFERROR(VLOOKUP(Table1722[[#This Row],[Bukti]],Table13[#Data],11,FALSE),"")</f>
        <v/>
      </c>
    </row>
    <row r="4889" spans="1:9" hidden="1" x14ac:dyDescent="0.2">
      <c r="A4889" s="105" t="str">
        <f>IF(D4889=1,COUNTIF($D$10:D4889,1)," ")</f>
        <v xml:space="preserve"> </v>
      </c>
      <c r="B4889" s="106">
        <f>COPY!AR4881</f>
        <v>0</v>
      </c>
      <c r="C4889" s="107">
        <f>COPY!AC4881</f>
        <v>0</v>
      </c>
      <c r="D4889" s="107" t="str">
        <f>IF(LEN(Table1722[[#This Row],[Uraian]])&gt;2,1," ")</f>
        <v xml:space="preserve"> </v>
      </c>
      <c r="E4889" s="113" t="str">
        <f>IF(Table1722[[#This Row],[Lawan Transaksi]]="CV AGUNG KARYA",COUNTIF($I$10:I4889,"CV AGUNG KARYA")," ")</f>
        <v xml:space="preserve"> </v>
      </c>
      <c r="F4889" s="107" t="str">
        <f>IF(LEN(Table1722[[#This Row],[Uraian]])&gt;2,TRIM(RIGHT(SUBSTITUTE(TRIM(C4889)," ",REPT(" ",255)),255))," ")</f>
        <v xml:space="preserve"> </v>
      </c>
      <c r="G4889" s="110">
        <f>COPY!Z4881</f>
        <v>0</v>
      </c>
      <c r="H4889" s="111" t="str">
        <f>IFERROR(VLOOKUP(Table1722[[#This Row],[Bukti]],'Un nOTA'!$A$4:$K$5003,10,FALSE),"")</f>
        <v/>
      </c>
      <c r="I4889" s="123" t="str">
        <f>IFERROR(VLOOKUP(Table1722[[#This Row],[Bukti]],Table13[#Data],11,FALSE),"")</f>
        <v/>
      </c>
    </row>
    <row r="4890" spans="1:9" hidden="1" x14ac:dyDescent="0.2">
      <c r="A4890" s="105" t="str">
        <f>IF(D4890=1,COUNTIF($D$10:D4890,1)," ")</f>
        <v xml:space="preserve"> </v>
      </c>
      <c r="B4890" s="106">
        <f>COPY!AR4882</f>
        <v>0</v>
      </c>
      <c r="C4890" s="107">
        <f>COPY!AC4882</f>
        <v>0</v>
      </c>
      <c r="D4890" s="107" t="str">
        <f>IF(LEN(Table1722[[#This Row],[Uraian]])&gt;2,1," ")</f>
        <v xml:space="preserve"> </v>
      </c>
      <c r="E4890" s="113" t="str">
        <f>IF(Table1722[[#This Row],[Lawan Transaksi]]="CV AGUNG KARYA",COUNTIF($I$10:I4890,"CV AGUNG KARYA")," ")</f>
        <v xml:space="preserve"> </v>
      </c>
      <c r="F4890" s="107" t="str">
        <f>IF(LEN(Table1722[[#This Row],[Uraian]])&gt;2,TRIM(RIGHT(SUBSTITUTE(TRIM(C4890)," ",REPT(" ",255)),255))," ")</f>
        <v xml:space="preserve"> </v>
      </c>
      <c r="G4890" s="110">
        <f>COPY!Z4882</f>
        <v>0</v>
      </c>
      <c r="H4890" s="111" t="str">
        <f>IFERROR(VLOOKUP(Table1722[[#This Row],[Bukti]],'Un nOTA'!$A$4:$K$5003,10,FALSE),"")</f>
        <v/>
      </c>
      <c r="I4890" s="123" t="str">
        <f>IFERROR(VLOOKUP(Table1722[[#This Row],[Bukti]],Table13[#Data],11,FALSE),"")</f>
        <v/>
      </c>
    </row>
    <row r="4891" spans="1:9" hidden="1" x14ac:dyDescent="0.2">
      <c r="A4891" s="105" t="str">
        <f>IF(D4891=1,COUNTIF($D$10:D4891,1)," ")</f>
        <v xml:space="preserve"> </v>
      </c>
      <c r="B4891" s="106">
        <f>COPY!AR4883</f>
        <v>0</v>
      </c>
      <c r="C4891" s="107">
        <f>COPY!AC4883</f>
        <v>0</v>
      </c>
      <c r="D4891" s="107" t="str">
        <f>IF(LEN(Table1722[[#This Row],[Uraian]])&gt;2,1," ")</f>
        <v xml:space="preserve"> </v>
      </c>
      <c r="E4891" s="113" t="str">
        <f>IF(Table1722[[#This Row],[Lawan Transaksi]]="CV AGUNG KARYA",COUNTIF($I$10:I4891,"CV AGUNG KARYA")," ")</f>
        <v xml:space="preserve"> </v>
      </c>
      <c r="F4891" s="107" t="str">
        <f>IF(LEN(Table1722[[#This Row],[Uraian]])&gt;2,TRIM(RIGHT(SUBSTITUTE(TRIM(C4891)," ",REPT(" ",255)),255))," ")</f>
        <v xml:space="preserve"> </v>
      </c>
      <c r="G4891" s="110">
        <f>COPY!Z4883</f>
        <v>0</v>
      </c>
      <c r="H4891" s="111" t="str">
        <f>IFERROR(VLOOKUP(Table1722[[#This Row],[Bukti]],'Un nOTA'!$A$4:$K$5003,10,FALSE),"")</f>
        <v/>
      </c>
      <c r="I4891" s="123" t="str">
        <f>IFERROR(VLOOKUP(Table1722[[#This Row],[Bukti]],Table13[#Data],11,FALSE),"")</f>
        <v/>
      </c>
    </row>
    <row r="4892" spans="1:9" hidden="1" x14ac:dyDescent="0.2">
      <c r="A4892" s="105" t="str">
        <f>IF(D4892=1,COUNTIF($D$10:D4892,1)," ")</f>
        <v xml:space="preserve"> </v>
      </c>
      <c r="B4892" s="106">
        <f>COPY!AR4884</f>
        <v>0</v>
      </c>
      <c r="C4892" s="107">
        <f>COPY!AC4884</f>
        <v>0</v>
      </c>
      <c r="D4892" s="107" t="str">
        <f>IF(LEN(Table1722[[#This Row],[Uraian]])&gt;2,1," ")</f>
        <v xml:space="preserve"> </v>
      </c>
      <c r="E4892" s="113" t="str">
        <f>IF(Table1722[[#This Row],[Lawan Transaksi]]="CV AGUNG KARYA",COUNTIF($I$10:I4892,"CV AGUNG KARYA")," ")</f>
        <v xml:space="preserve"> </v>
      </c>
      <c r="F4892" s="107" t="str">
        <f>IF(LEN(Table1722[[#This Row],[Uraian]])&gt;2,TRIM(RIGHT(SUBSTITUTE(TRIM(C4892)," ",REPT(" ",255)),255))," ")</f>
        <v xml:space="preserve"> </v>
      </c>
      <c r="G4892" s="110">
        <f>COPY!Z4884</f>
        <v>0</v>
      </c>
      <c r="H4892" s="111" t="str">
        <f>IFERROR(VLOOKUP(Table1722[[#This Row],[Bukti]],'Un nOTA'!$A$4:$K$5003,10,FALSE),"")</f>
        <v/>
      </c>
      <c r="I4892" s="123" t="str">
        <f>IFERROR(VLOOKUP(Table1722[[#This Row],[Bukti]],Table13[#Data],11,FALSE),"")</f>
        <v/>
      </c>
    </row>
    <row r="4893" spans="1:9" hidden="1" x14ac:dyDescent="0.2">
      <c r="A4893" s="105" t="str">
        <f>IF(D4893=1,COUNTIF($D$10:D4893,1)," ")</f>
        <v xml:space="preserve"> </v>
      </c>
      <c r="B4893" s="106">
        <f>COPY!AR4885</f>
        <v>0</v>
      </c>
      <c r="C4893" s="107">
        <f>COPY!AC4885</f>
        <v>0</v>
      </c>
      <c r="D4893" s="107" t="str">
        <f>IF(LEN(Table1722[[#This Row],[Uraian]])&gt;2,1," ")</f>
        <v xml:space="preserve"> </v>
      </c>
      <c r="E4893" s="113" t="str">
        <f>IF(Table1722[[#This Row],[Lawan Transaksi]]="CV AGUNG KARYA",COUNTIF($I$10:I4893,"CV AGUNG KARYA")," ")</f>
        <v xml:space="preserve"> </v>
      </c>
      <c r="F4893" s="107" t="str">
        <f>IF(LEN(Table1722[[#This Row],[Uraian]])&gt;2,TRIM(RIGHT(SUBSTITUTE(TRIM(C4893)," ",REPT(" ",255)),255))," ")</f>
        <v xml:space="preserve"> </v>
      </c>
      <c r="G4893" s="110">
        <f>COPY!Z4885</f>
        <v>0</v>
      </c>
      <c r="H4893" s="111" t="str">
        <f>IFERROR(VLOOKUP(Table1722[[#This Row],[Bukti]],'Un nOTA'!$A$4:$K$5003,10,FALSE),"")</f>
        <v/>
      </c>
      <c r="I4893" s="123" t="str">
        <f>IFERROR(VLOOKUP(Table1722[[#This Row],[Bukti]],Table13[#Data],11,FALSE),"")</f>
        <v/>
      </c>
    </row>
    <row r="4894" spans="1:9" hidden="1" x14ac:dyDescent="0.2">
      <c r="A4894" s="105" t="str">
        <f>IF(D4894=1,COUNTIF($D$10:D4894,1)," ")</f>
        <v xml:space="preserve"> </v>
      </c>
      <c r="B4894" s="106">
        <f>COPY!AR4886</f>
        <v>0</v>
      </c>
      <c r="C4894" s="107">
        <f>COPY!AC4886</f>
        <v>0</v>
      </c>
      <c r="D4894" s="107" t="str">
        <f>IF(LEN(Table1722[[#This Row],[Uraian]])&gt;2,1," ")</f>
        <v xml:space="preserve"> </v>
      </c>
      <c r="E4894" s="113" t="str">
        <f>IF(Table1722[[#This Row],[Lawan Transaksi]]="CV AGUNG KARYA",COUNTIF($I$10:I4894,"CV AGUNG KARYA")," ")</f>
        <v xml:space="preserve"> </v>
      </c>
      <c r="F4894" s="107" t="str">
        <f>IF(LEN(Table1722[[#This Row],[Uraian]])&gt;2,TRIM(RIGHT(SUBSTITUTE(TRIM(C4894)," ",REPT(" ",255)),255))," ")</f>
        <v xml:space="preserve"> </v>
      </c>
      <c r="G4894" s="110">
        <f>COPY!Z4886</f>
        <v>0</v>
      </c>
      <c r="H4894" s="111" t="str">
        <f>IFERROR(VLOOKUP(Table1722[[#This Row],[Bukti]],'Un nOTA'!$A$4:$K$5003,10,FALSE),"")</f>
        <v/>
      </c>
      <c r="I4894" s="123" t="str">
        <f>IFERROR(VLOOKUP(Table1722[[#This Row],[Bukti]],Table13[#Data],11,FALSE),"")</f>
        <v/>
      </c>
    </row>
    <row r="4895" spans="1:9" hidden="1" x14ac:dyDescent="0.2">
      <c r="A4895" s="105" t="str">
        <f>IF(D4895=1,COUNTIF($D$10:D4895,1)," ")</f>
        <v xml:space="preserve"> </v>
      </c>
      <c r="B4895" s="106">
        <f>COPY!AR4887</f>
        <v>0</v>
      </c>
      <c r="C4895" s="107">
        <f>COPY!AC4887</f>
        <v>0</v>
      </c>
      <c r="D4895" s="107" t="str">
        <f>IF(LEN(Table1722[[#This Row],[Uraian]])&gt;2,1," ")</f>
        <v xml:space="preserve"> </v>
      </c>
      <c r="E4895" s="113" t="str">
        <f>IF(Table1722[[#This Row],[Lawan Transaksi]]="CV AGUNG KARYA",COUNTIF($I$10:I4895,"CV AGUNG KARYA")," ")</f>
        <v xml:space="preserve"> </v>
      </c>
      <c r="F4895" s="107" t="str">
        <f>IF(LEN(Table1722[[#This Row],[Uraian]])&gt;2,TRIM(RIGHT(SUBSTITUTE(TRIM(C4895)," ",REPT(" ",255)),255))," ")</f>
        <v xml:space="preserve"> </v>
      </c>
      <c r="G4895" s="110">
        <f>COPY!Z4887</f>
        <v>0</v>
      </c>
      <c r="H4895" s="111" t="str">
        <f>IFERROR(VLOOKUP(Table1722[[#This Row],[Bukti]],'Un nOTA'!$A$4:$K$5003,10,FALSE),"")</f>
        <v/>
      </c>
      <c r="I4895" s="123" t="str">
        <f>IFERROR(VLOOKUP(Table1722[[#This Row],[Bukti]],Table13[#Data],11,FALSE),"")</f>
        <v/>
      </c>
    </row>
    <row r="4896" spans="1:9" hidden="1" x14ac:dyDescent="0.2">
      <c r="A4896" s="105" t="str">
        <f>IF(D4896=1,COUNTIF($D$10:D4896,1)," ")</f>
        <v xml:space="preserve"> </v>
      </c>
      <c r="B4896" s="106">
        <f>COPY!AR4888</f>
        <v>0</v>
      </c>
      <c r="C4896" s="107">
        <f>COPY!AC4888</f>
        <v>0</v>
      </c>
      <c r="D4896" s="107" t="str">
        <f>IF(LEN(Table1722[[#This Row],[Uraian]])&gt;2,1," ")</f>
        <v xml:space="preserve"> </v>
      </c>
      <c r="E4896" s="113" t="str">
        <f>IF(Table1722[[#This Row],[Lawan Transaksi]]="CV AGUNG KARYA",COUNTIF($I$10:I4896,"CV AGUNG KARYA")," ")</f>
        <v xml:space="preserve"> </v>
      </c>
      <c r="F4896" s="107" t="str">
        <f>IF(LEN(Table1722[[#This Row],[Uraian]])&gt;2,TRIM(RIGHT(SUBSTITUTE(TRIM(C4896)," ",REPT(" ",255)),255))," ")</f>
        <v xml:space="preserve"> </v>
      </c>
      <c r="G4896" s="110">
        <f>COPY!Z4888</f>
        <v>0</v>
      </c>
      <c r="H4896" s="111" t="str">
        <f>IFERROR(VLOOKUP(Table1722[[#This Row],[Bukti]],'Un nOTA'!$A$4:$K$5003,10,FALSE),"")</f>
        <v/>
      </c>
      <c r="I4896" s="123" t="str">
        <f>IFERROR(VLOOKUP(Table1722[[#This Row],[Bukti]],Table13[#Data],11,FALSE),"")</f>
        <v/>
      </c>
    </row>
    <row r="4897" spans="1:9" hidden="1" x14ac:dyDescent="0.2">
      <c r="A4897" s="105" t="str">
        <f>IF(D4897=1,COUNTIF($D$10:D4897,1)," ")</f>
        <v xml:space="preserve"> </v>
      </c>
      <c r="B4897" s="106">
        <f>COPY!AR4889</f>
        <v>0</v>
      </c>
      <c r="C4897" s="107">
        <f>COPY!AC4889</f>
        <v>0</v>
      </c>
      <c r="D4897" s="107" t="str">
        <f>IF(LEN(Table1722[[#This Row],[Uraian]])&gt;2,1," ")</f>
        <v xml:space="preserve"> </v>
      </c>
      <c r="E4897" s="113" t="str">
        <f>IF(Table1722[[#This Row],[Lawan Transaksi]]="CV AGUNG KARYA",COUNTIF($I$10:I4897,"CV AGUNG KARYA")," ")</f>
        <v xml:space="preserve"> </v>
      </c>
      <c r="F4897" s="107" t="str">
        <f>IF(LEN(Table1722[[#This Row],[Uraian]])&gt;2,TRIM(RIGHT(SUBSTITUTE(TRIM(C4897)," ",REPT(" ",255)),255))," ")</f>
        <v xml:space="preserve"> </v>
      </c>
      <c r="G4897" s="110">
        <f>COPY!Z4889</f>
        <v>0</v>
      </c>
      <c r="H4897" s="111" t="str">
        <f>IFERROR(VLOOKUP(Table1722[[#This Row],[Bukti]],'Un nOTA'!$A$4:$K$5003,10,FALSE),"")</f>
        <v/>
      </c>
      <c r="I4897" s="123" t="str">
        <f>IFERROR(VLOOKUP(Table1722[[#This Row],[Bukti]],Table13[#Data],11,FALSE),"")</f>
        <v/>
      </c>
    </row>
    <row r="4898" spans="1:9" hidden="1" x14ac:dyDescent="0.2">
      <c r="A4898" s="105" t="str">
        <f>IF(D4898=1,COUNTIF($D$10:D4898,1)," ")</f>
        <v xml:space="preserve"> </v>
      </c>
      <c r="B4898" s="106">
        <f>COPY!AR4890</f>
        <v>0</v>
      </c>
      <c r="C4898" s="107">
        <f>COPY!AC4890</f>
        <v>0</v>
      </c>
      <c r="D4898" s="107" t="str">
        <f>IF(LEN(Table1722[[#This Row],[Uraian]])&gt;2,1," ")</f>
        <v xml:space="preserve"> </v>
      </c>
      <c r="E4898" s="113" t="str">
        <f>IF(Table1722[[#This Row],[Lawan Transaksi]]="CV AGUNG KARYA",COUNTIF($I$10:I4898,"CV AGUNG KARYA")," ")</f>
        <v xml:space="preserve"> </v>
      </c>
      <c r="F4898" s="107" t="str">
        <f>IF(LEN(Table1722[[#This Row],[Uraian]])&gt;2,TRIM(RIGHT(SUBSTITUTE(TRIM(C4898)," ",REPT(" ",255)),255))," ")</f>
        <v xml:space="preserve"> </v>
      </c>
      <c r="G4898" s="110">
        <f>COPY!Z4890</f>
        <v>0</v>
      </c>
      <c r="H4898" s="111" t="str">
        <f>IFERROR(VLOOKUP(Table1722[[#This Row],[Bukti]],'Un nOTA'!$A$4:$K$5003,10,FALSE),"")</f>
        <v/>
      </c>
      <c r="I4898" s="123" t="str">
        <f>IFERROR(VLOOKUP(Table1722[[#This Row],[Bukti]],Table13[#Data],11,FALSE),"")</f>
        <v/>
      </c>
    </row>
    <row r="4899" spans="1:9" hidden="1" x14ac:dyDescent="0.2">
      <c r="A4899" s="105" t="str">
        <f>IF(D4899=1,COUNTIF($D$10:D4899,1)," ")</f>
        <v xml:space="preserve"> </v>
      </c>
      <c r="B4899" s="106">
        <f>COPY!AR4891</f>
        <v>0</v>
      </c>
      <c r="C4899" s="107">
        <f>COPY!AC4891</f>
        <v>0</v>
      </c>
      <c r="D4899" s="107" t="str">
        <f>IF(LEN(Table1722[[#This Row],[Uraian]])&gt;2,1," ")</f>
        <v xml:space="preserve"> </v>
      </c>
      <c r="E4899" s="113" t="str">
        <f>IF(Table1722[[#This Row],[Lawan Transaksi]]="CV AGUNG KARYA",COUNTIF($I$10:I4899,"CV AGUNG KARYA")," ")</f>
        <v xml:space="preserve"> </v>
      </c>
      <c r="F4899" s="107" t="str">
        <f>IF(LEN(Table1722[[#This Row],[Uraian]])&gt;2,TRIM(RIGHT(SUBSTITUTE(TRIM(C4899)," ",REPT(" ",255)),255))," ")</f>
        <v xml:space="preserve"> </v>
      </c>
      <c r="G4899" s="110">
        <f>COPY!Z4891</f>
        <v>0</v>
      </c>
      <c r="H4899" s="111" t="str">
        <f>IFERROR(VLOOKUP(Table1722[[#This Row],[Bukti]],'Un nOTA'!$A$4:$K$5003,10,FALSE),"")</f>
        <v/>
      </c>
      <c r="I4899" s="123" t="str">
        <f>IFERROR(VLOOKUP(Table1722[[#This Row],[Bukti]],Table13[#Data],11,FALSE),"")</f>
        <v/>
      </c>
    </row>
    <row r="4900" spans="1:9" hidden="1" x14ac:dyDescent="0.2">
      <c r="A4900" s="105" t="str">
        <f>IF(D4900=1,COUNTIF($D$10:D4900,1)," ")</f>
        <v xml:space="preserve"> </v>
      </c>
      <c r="B4900" s="106">
        <f>COPY!AR4892</f>
        <v>0</v>
      </c>
      <c r="C4900" s="107">
        <f>COPY!AC4892</f>
        <v>0</v>
      </c>
      <c r="D4900" s="107" t="str">
        <f>IF(LEN(Table1722[[#This Row],[Uraian]])&gt;2,1," ")</f>
        <v xml:space="preserve"> </v>
      </c>
      <c r="E4900" s="113" t="str">
        <f>IF(Table1722[[#This Row],[Lawan Transaksi]]="CV AGUNG KARYA",COUNTIF($I$10:I4900,"CV AGUNG KARYA")," ")</f>
        <v xml:space="preserve"> </v>
      </c>
      <c r="F4900" s="107" t="str">
        <f>IF(LEN(Table1722[[#This Row],[Uraian]])&gt;2,TRIM(RIGHT(SUBSTITUTE(TRIM(C4900)," ",REPT(" ",255)),255))," ")</f>
        <v xml:space="preserve"> </v>
      </c>
      <c r="G4900" s="110">
        <f>COPY!Z4892</f>
        <v>0</v>
      </c>
      <c r="H4900" s="111" t="str">
        <f>IFERROR(VLOOKUP(Table1722[[#This Row],[Bukti]],'Un nOTA'!$A$4:$K$5003,10,FALSE),"")</f>
        <v/>
      </c>
      <c r="I4900" s="123" t="str">
        <f>IFERROR(VLOOKUP(Table1722[[#This Row],[Bukti]],Table13[#Data],11,FALSE),"")</f>
        <v/>
      </c>
    </row>
    <row r="4901" spans="1:9" hidden="1" x14ac:dyDescent="0.2">
      <c r="A4901" s="105" t="str">
        <f>IF(D4901=1,COUNTIF($D$10:D4901,1)," ")</f>
        <v xml:space="preserve"> </v>
      </c>
      <c r="B4901" s="106">
        <f>COPY!AR4893</f>
        <v>0</v>
      </c>
      <c r="C4901" s="107">
        <f>COPY!AC4893</f>
        <v>0</v>
      </c>
      <c r="D4901" s="107" t="str">
        <f>IF(LEN(Table1722[[#This Row],[Uraian]])&gt;2,1," ")</f>
        <v xml:space="preserve"> </v>
      </c>
      <c r="E4901" s="113" t="str">
        <f>IF(Table1722[[#This Row],[Lawan Transaksi]]="CV AGUNG KARYA",COUNTIF($I$10:I4901,"CV AGUNG KARYA")," ")</f>
        <v xml:space="preserve"> </v>
      </c>
      <c r="F4901" s="107" t="str">
        <f>IF(LEN(Table1722[[#This Row],[Uraian]])&gt;2,TRIM(RIGHT(SUBSTITUTE(TRIM(C4901)," ",REPT(" ",255)),255))," ")</f>
        <v xml:space="preserve"> </v>
      </c>
      <c r="G4901" s="110">
        <f>COPY!Z4893</f>
        <v>0</v>
      </c>
      <c r="H4901" s="111" t="str">
        <f>IFERROR(VLOOKUP(Table1722[[#This Row],[Bukti]],'Un nOTA'!$A$4:$K$5003,10,FALSE),"")</f>
        <v/>
      </c>
      <c r="I4901" s="123" t="str">
        <f>IFERROR(VLOOKUP(Table1722[[#This Row],[Bukti]],Table13[#Data],11,FALSE),"")</f>
        <v/>
      </c>
    </row>
    <row r="4902" spans="1:9" hidden="1" x14ac:dyDescent="0.2">
      <c r="A4902" s="105" t="str">
        <f>IF(D4902=1,COUNTIF($D$10:D4902,1)," ")</f>
        <v xml:space="preserve"> </v>
      </c>
      <c r="B4902" s="106">
        <f>COPY!AR4894</f>
        <v>0</v>
      </c>
      <c r="C4902" s="107">
        <f>COPY!AC4894</f>
        <v>0</v>
      </c>
      <c r="D4902" s="107" t="str">
        <f>IF(LEN(Table1722[[#This Row],[Uraian]])&gt;2,1," ")</f>
        <v xml:space="preserve"> </v>
      </c>
      <c r="E4902" s="113" t="str">
        <f>IF(Table1722[[#This Row],[Lawan Transaksi]]="CV AGUNG KARYA",COUNTIF($I$10:I4902,"CV AGUNG KARYA")," ")</f>
        <v xml:space="preserve"> </v>
      </c>
      <c r="F4902" s="107" t="str">
        <f>IF(LEN(Table1722[[#This Row],[Uraian]])&gt;2,TRIM(RIGHT(SUBSTITUTE(TRIM(C4902)," ",REPT(" ",255)),255))," ")</f>
        <v xml:space="preserve"> </v>
      </c>
      <c r="G4902" s="110">
        <f>COPY!Z4894</f>
        <v>0</v>
      </c>
      <c r="H4902" s="111" t="str">
        <f>IFERROR(VLOOKUP(Table1722[[#This Row],[Bukti]],'Un nOTA'!$A$4:$K$5003,10,FALSE),"")</f>
        <v/>
      </c>
      <c r="I4902" s="123" t="str">
        <f>IFERROR(VLOOKUP(Table1722[[#This Row],[Bukti]],Table13[#Data],11,FALSE),"")</f>
        <v/>
      </c>
    </row>
    <row r="4903" spans="1:9" hidden="1" x14ac:dyDescent="0.2">
      <c r="A4903" s="105" t="str">
        <f>IF(D4903=1,COUNTIF($D$10:D4903,1)," ")</f>
        <v xml:space="preserve"> </v>
      </c>
      <c r="B4903" s="106">
        <f>COPY!AR4895</f>
        <v>0</v>
      </c>
      <c r="C4903" s="107">
        <f>COPY!AC4895</f>
        <v>0</v>
      </c>
      <c r="D4903" s="107" t="str">
        <f>IF(LEN(Table1722[[#This Row],[Uraian]])&gt;2,1," ")</f>
        <v xml:space="preserve"> </v>
      </c>
      <c r="E4903" s="113" t="str">
        <f>IF(Table1722[[#This Row],[Lawan Transaksi]]="CV AGUNG KARYA",COUNTIF($I$10:I4903,"CV AGUNG KARYA")," ")</f>
        <v xml:space="preserve"> </v>
      </c>
      <c r="F4903" s="107" t="str">
        <f>IF(LEN(Table1722[[#This Row],[Uraian]])&gt;2,TRIM(RIGHT(SUBSTITUTE(TRIM(C4903)," ",REPT(" ",255)),255))," ")</f>
        <v xml:space="preserve"> </v>
      </c>
      <c r="G4903" s="110">
        <f>COPY!Z4895</f>
        <v>0</v>
      </c>
      <c r="H4903" s="111" t="str">
        <f>IFERROR(VLOOKUP(Table1722[[#This Row],[Bukti]],'Un nOTA'!$A$4:$K$5003,10,FALSE),"")</f>
        <v/>
      </c>
      <c r="I4903" s="123" t="str">
        <f>IFERROR(VLOOKUP(Table1722[[#This Row],[Bukti]],Table13[#Data],11,FALSE),"")</f>
        <v/>
      </c>
    </row>
    <row r="4904" spans="1:9" hidden="1" x14ac:dyDescent="0.2">
      <c r="A4904" s="105" t="str">
        <f>IF(D4904=1,COUNTIF($D$10:D4904,1)," ")</f>
        <v xml:space="preserve"> </v>
      </c>
      <c r="B4904" s="106">
        <f>COPY!AR4896</f>
        <v>0</v>
      </c>
      <c r="C4904" s="107">
        <f>COPY!AC4896</f>
        <v>0</v>
      </c>
      <c r="D4904" s="107" t="str">
        <f>IF(LEN(Table1722[[#This Row],[Uraian]])&gt;2,1," ")</f>
        <v xml:space="preserve"> </v>
      </c>
      <c r="E4904" s="113" t="str">
        <f>IF(Table1722[[#This Row],[Lawan Transaksi]]="CV AGUNG KARYA",COUNTIF($I$10:I4904,"CV AGUNG KARYA")," ")</f>
        <v xml:space="preserve"> </v>
      </c>
      <c r="F4904" s="107" t="str">
        <f>IF(LEN(Table1722[[#This Row],[Uraian]])&gt;2,TRIM(RIGHT(SUBSTITUTE(TRIM(C4904)," ",REPT(" ",255)),255))," ")</f>
        <v xml:space="preserve"> </v>
      </c>
      <c r="G4904" s="110">
        <f>COPY!Z4896</f>
        <v>0</v>
      </c>
      <c r="H4904" s="111" t="str">
        <f>IFERROR(VLOOKUP(Table1722[[#This Row],[Bukti]],'Un nOTA'!$A$4:$K$5003,10,FALSE),"")</f>
        <v/>
      </c>
      <c r="I4904" s="123" t="str">
        <f>IFERROR(VLOOKUP(Table1722[[#This Row],[Bukti]],Table13[#Data],11,FALSE),"")</f>
        <v/>
      </c>
    </row>
    <row r="4905" spans="1:9" hidden="1" x14ac:dyDescent="0.2">
      <c r="A4905" s="105" t="str">
        <f>IF(D4905=1,COUNTIF($D$10:D4905,1)," ")</f>
        <v xml:space="preserve"> </v>
      </c>
      <c r="B4905" s="106">
        <f>COPY!AR4897</f>
        <v>0</v>
      </c>
      <c r="C4905" s="107">
        <f>COPY!AC4897</f>
        <v>0</v>
      </c>
      <c r="D4905" s="107" t="str">
        <f>IF(LEN(Table1722[[#This Row],[Uraian]])&gt;2,1," ")</f>
        <v xml:space="preserve"> </v>
      </c>
      <c r="E4905" s="113" t="str">
        <f>IF(Table1722[[#This Row],[Lawan Transaksi]]="CV AGUNG KARYA",COUNTIF($I$10:I4905,"CV AGUNG KARYA")," ")</f>
        <v xml:space="preserve"> </v>
      </c>
      <c r="F4905" s="107" t="str">
        <f>IF(LEN(Table1722[[#This Row],[Uraian]])&gt;2,TRIM(RIGHT(SUBSTITUTE(TRIM(C4905)," ",REPT(" ",255)),255))," ")</f>
        <v xml:space="preserve"> </v>
      </c>
      <c r="G4905" s="110">
        <f>COPY!Z4897</f>
        <v>0</v>
      </c>
      <c r="H4905" s="111" t="str">
        <f>IFERROR(VLOOKUP(Table1722[[#This Row],[Bukti]],'Un nOTA'!$A$4:$K$5003,10,FALSE),"")</f>
        <v/>
      </c>
      <c r="I4905" s="123" t="str">
        <f>IFERROR(VLOOKUP(Table1722[[#This Row],[Bukti]],Table13[#Data],11,FALSE),"")</f>
        <v/>
      </c>
    </row>
    <row r="4906" spans="1:9" hidden="1" x14ac:dyDescent="0.2">
      <c r="A4906" s="105" t="str">
        <f>IF(D4906=1,COUNTIF($D$10:D4906,1)," ")</f>
        <v xml:space="preserve"> </v>
      </c>
      <c r="B4906" s="106">
        <f>COPY!AR4898</f>
        <v>0</v>
      </c>
      <c r="C4906" s="107">
        <f>COPY!AC4898</f>
        <v>0</v>
      </c>
      <c r="D4906" s="107" t="str">
        <f>IF(LEN(Table1722[[#This Row],[Uraian]])&gt;2,1," ")</f>
        <v xml:space="preserve"> </v>
      </c>
      <c r="E4906" s="113" t="str">
        <f>IF(Table1722[[#This Row],[Lawan Transaksi]]="CV AGUNG KARYA",COUNTIF($I$10:I4906,"CV AGUNG KARYA")," ")</f>
        <v xml:space="preserve"> </v>
      </c>
      <c r="F4906" s="107" t="str">
        <f>IF(LEN(Table1722[[#This Row],[Uraian]])&gt;2,TRIM(RIGHT(SUBSTITUTE(TRIM(C4906)," ",REPT(" ",255)),255))," ")</f>
        <v xml:space="preserve"> </v>
      </c>
      <c r="G4906" s="110">
        <f>COPY!Z4898</f>
        <v>0</v>
      </c>
      <c r="H4906" s="111" t="str">
        <f>IFERROR(VLOOKUP(Table1722[[#This Row],[Bukti]],'Un nOTA'!$A$4:$K$5003,10,FALSE),"")</f>
        <v/>
      </c>
      <c r="I4906" s="123" t="str">
        <f>IFERROR(VLOOKUP(Table1722[[#This Row],[Bukti]],Table13[#Data],11,FALSE),"")</f>
        <v/>
      </c>
    </row>
    <row r="4907" spans="1:9" hidden="1" x14ac:dyDescent="0.2">
      <c r="A4907" s="105" t="str">
        <f>IF(D4907=1,COUNTIF($D$10:D4907,1)," ")</f>
        <v xml:space="preserve"> </v>
      </c>
      <c r="B4907" s="106">
        <f>COPY!AR4899</f>
        <v>0</v>
      </c>
      <c r="C4907" s="107">
        <f>COPY!AC4899</f>
        <v>0</v>
      </c>
      <c r="D4907" s="107" t="str">
        <f>IF(LEN(Table1722[[#This Row],[Uraian]])&gt;2,1," ")</f>
        <v xml:space="preserve"> </v>
      </c>
      <c r="E4907" s="113" t="str">
        <f>IF(Table1722[[#This Row],[Lawan Transaksi]]="CV AGUNG KARYA",COUNTIF($I$10:I4907,"CV AGUNG KARYA")," ")</f>
        <v xml:space="preserve"> </v>
      </c>
      <c r="F4907" s="107" t="str">
        <f>IF(LEN(Table1722[[#This Row],[Uraian]])&gt;2,TRIM(RIGHT(SUBSTITUTE(TRIM(C4907)," ",REPT(" ",255)),255))," ")</f>
        <v xml:space="preserve"> </v>
      </c>
      <c r="G4907" s="110">
        <f>COPY!Z4899</f>
        <v>0</v>
      </c>
      <c r="H4907" s="111" t="str">
        <f>IFERROR(VLOOKUP(Table1722[[#This Row],[Bukti]],'Un nOTA'!$A$4:$K$5003,10,FALSE),"")</f>
        <v/>
      </c>
      <c r="I4907" s="123" t="str">
        <f>IFERROR(VLOOKUP(Table1722[[#This Row],[Bukti]],Table13[#Data],11,FALSE),"")</f>
        <v/>
      </c>
    </row>
    <row r="4908" spans="1:9" hidden="1" x14ac:dyDescent="0.2">
      <c r="A4908" s="105" t="str">
        <f>IF(D4908=1,COUNTIF($D$10:D4908,1)," ")</f>
        <v xml:space="preserve"> </v>
      </c>
      <c r="B4908" s="106">
        <f>COPY!AR4900</f>
        <v>0</v>
      </c>
      <c r="C4908" s="107">
        <f>COPY!AC4900</f>
        <v>0</v>
      </c>
      <c r="D4908" s="107" t="str">
        <f>IF(LEN(Table1722[[#This Row],[Uraian]])&gt;2,1," ")</f>
        <v xml:space="preserve"> </v>
      </c>
      <c r="E4908" s="113" t="str">
        <f>IF(Table1722[[#This Row],[Lawan Transaksi]]="CV AGUNG KARYA",COUNTIF($I$10:I4908,"CV AGUNG KARYA")," ")</f>
        <v xml:space="preserve"> </v>
      </c>
      <c r="F4908" s="107" t="str">
        <f>IF(LEN(Table1722[[#This Row],[Uraian]])&gt;2,TRIM(RIGHT(SUBSTITUTE(TRIM(C4908)," ",REPT(" ",255)),255))," ")</f>
        <v xml:space="preserve"> </v>
      </c>
      <c r="G4908" s="110">
        <f>COPY!Z4900</f>
        <v>0</v>
      </c>
      <c r="H4908" s="111" t="str">
        <f>IFERROR(VLOOKUP(Table1722[[#This Row],[Bukti]],'Un nOTA'!$A$4:$K$5003,10,FALSE),"")</f>
        <v/>
      </c>
      <c r="I4908" s="123" t="str">
        <f>IFERROR(VLOOKUP(Table1722[[#This Row],[Bukti]],Table13[#Data],11,FALSE),"")</f>
        <v/>
      </c>
    </row>
    <row r="4909" spans="1:9" hidden="1" x14ac:dyDescent="0.2">
      <c r="A4909" s="105" t="str">
        <f>IF(D4909=1,COUNTIF($D$10:D4909,1)," ")</f>
        <v xml:space="preserve"> </v>
      </c>
      <c r="B4909" s="106">
        <f>COPY!AR4901</f>
        <v>0</v>
      </c>
      <c r="C4909" s="107">
        <f>COPY!AC4901</f>
        <v>0</v>
      </c>
      <c r="D4909" s="107" t="str">
        <f>IF(LEN(Table1722[[#This Row],[Uraian]])&gt;2,1," ")</f>
        <v xml:space="preserve"> </v>
      </c>
      <c r="E4909" s="113" t="str">
        <f>IF(Table1722[[#This Row],[Lawan Transaksi]]="CV AGUNG KARYA",COUNTIF($I$10:I4909,"CV AGUNG KARYA")," ")</f>
        <v xml:space="preserve"> </v>
      </c>
      <c r="F4909" s="107" t="str">
        <f>IF(LEN(Table1722[[#This Row],[Uraian]])&gt;2,TRIM(RIGHT(SUBSTITUTE(TRIM(C4909)," ",REPT(" ",255)),255))," ")</f>
        <v xml:space="preserve"> </v>
      </c>
      <c r="G4909" s="110">
        <f>COPY!Z4901</f>
        <v>0</v>
      </c>
      <c r="H4909" s="111" t="str">
        <f>IFERROR(VLOOKUP(Table1722[[#This Row],[Bukti]],'Un nOTA'!$A$4:$K$5003,10,FALSE),"")</f>
        <v/>
      </c>
      <c r="I4909" s="123" t="str">
        <f>IFERROR(VLOOKUP(Table1722[[#This Row],[Bukti]],Table13[#Data],11,FALSE),"")</f>
        <v/>
      </c>
    </row>
    <row r="4910" spans="1:9" hidden="1" x14ac:dyDescent="0.2">
      <c r="A4910" s="105" t="str">
        <f>IF(D4910=1,COUNTIF($D$10:D4910,1)," ")</f>
        <v xml:space="preserve"> </v>
      </c>
      <c r="B4910" s="106">
        <f>COPY!AR4902</f>
        <v>0</v>
      </c>
      <c r="C4910" s="107">
        <f>COPY!AC4902</f>
        <v>0</v>
      </c>
      <c r="D4910" s="107" t="str">
        <f>IF(LEN(Table1722[[#This Row],[Uraian]])&gt;2,1," ")</f>
        <v xml:space="preserve"> </v>
      </c>
      <c r="E4910" s="113" t="str">
        <f>IF(Table1722[[#This Row],[Lawan Transaksi]]="CV AGUNG KARYA",COUNTIF($I$10:I4910,"CV AGUNG KARYA")," ")</f>
        <v xml:space="preserve"> </v>
      </c>
      <c r="F4910" s="107" t="str">
        <f>IF(LEN(Table1722[[#This Row],[Uraian]])&gt;2,TRIM(RIGHT(SUBSTITUTE(TRIM(C4910)," ",REPT(" ",255)),255))," ")</f>
        <v xml:space="preserve"> </v>
      </c>
      <c r="G4910" s="110">
        <f>COPY!Z4902</f>
        <v>0</v>
      </c>
      <c r="H4910" s="111" t="str">
        <f>IFERROR(VLOOKUP(Table1722[[#This Row],[Bukti]],'Un nOTA'!$A$4:$K$5003,10,FALSE),"")</f>
        <v/>
      </c>
      <c r="I4910" s="123" t="str">
        <f>IFERROR(VLOOKUP(Table1722[[#This Row],[Bukti]],Table13[#Data],11,FALSE),"")</f>
        <v/>
      </c>
    </row>
    <row r="4911" spans="1:9" hidden="1" x14ac:dyDescent="0.2">
      <c r="A4911" s="105" t="str">
        <f>IF(D4911=1,COUNTIF($D$10:D4911,1)," ")</f>
        <v xml:space="preserve"> </v>
      </c>
      <c r="B4911" s="106">
        <f>COPY!AR4903</f>
        <v>0</v>
      </c>
      <c r="C4911" s="107">
        <f>COPY!AC4903</f>
        <v>0</v>
      </c>
      <c r="D4911" s="107" t="str">
        <f>IF(LEN(Table1722[[#This Row],[Uraian]])&gt;2,1," ")</f>
        <v xml:space="preserve"> </v>
      </c>
      <c r="E4911" s="113" t="str">
        <f>IF(Table1722[[#This Row],[Lawan Transaksi]]="CV AGUNG KARYA",COUNTIF($I$10:I4911,"CV AGUNG KARYA")," ")</f>
        <v xml:space="preserve"> </v>
      </c>
      <c r="F4911" s="107" t="str">
        <f>IF(LEN(Table1722[[#This Row],[Uraian]])&gt;2,TRIM(RIGHT(SUBSTITUTE(TRIM(C4911)," ",REPT(" ",255)),255))," ")</f>
        <v xml:space="preserve"> </v>
      </c>
      <c r="G4911" s="110">
        <f>COPY!Z4903</f>
        <v>0</v>
      </c>
      <c r="H4911" s="111" t="str">
        <f>IFERROR(VLOOKUP(Table1722[[#This Row],[Bukti]],'Un nOTA'!$A$4:$K$5003,10,FALSE),"")</f>
        <v/>
      </c>
      <c r="I4911" s="123" t="str">
        <f>IFERROR(VLOOKUP(Table1722[[#This Row],[Bukti]],Table13[#Data],11,FALSE),"")</f>
        <v/>
      </c>
    </row>
    <row r="4912" spans="1:9" hidden="1" x14ac:dyDescent="0.2">
      <c r="A4912" s="105" t="str">
        <f>IF(D4912=1,COUNTIF($D$10:D4912,1)," ")</f>
        <v xml:space="preserve"> </v>
      </c>
      <c r="B4912" s="106">
        <f>COPY!AR4904</f>
        <v>0</v>
      </c>
      <c r="C4912" s="107">
        <f>COPY!AC4904</f>
        <v>0</v>
      </c>
      <c r="D4912" s="107" t="str">
        <f>IF(LEN(Table1722[[#This Row],[Uraian]])&gt;2,1," ")</f>
        <v xml:space="preserve"> </v>
      </c>
      <c r="E4912" s="113" t="str">
        <f>IF(Table1722[[#This Row],[Lawan Transaksi]]="CV AGUNG KARYA",COUNTIF($I$10:I4912,"CV AGUNG KARYA")," ")</f>
        <v xml:space="preserve"> </v>
      </c>
      <c r="F4912" s="107" t="str">
        <f>IF(LEN(Table1722[[#This Row],[Uraian]])&gt;2,TRIM(RIGHT(SUBSTITUTE(TRIM(C4912)," ",REPT(" ",255)),255))," ")</f>
        <v xml:space="preserve"> </v>
      </c>
      <c r="G4912" s="110">
        <f>COPY!Z4904</f>
        <v>0</v>
      </c>
      <c r="H4912" s="111" t="str">
        <f>IFERROR(VLOOKUP(Table1722[[#This Row],[Bukti]],'Un nOTA'!$A$4:$K$5003,10,FALSE),"")</f>
        <v/>
      </c>
      <c r="I4912" s="123" t="str">
        <f>IFERROR(VLOOKUP(Table1722[[#This Row],[Bukti]],Table13[#Data],11,FALSE),"")</f>
        <v/>
      </c>
    </row>
    <row r="4913" spans="1:9" hidden="1" x14ac:dyDescent="0.2">
      <c r="A4913" s="105" t="str">
        <f>IF(D4913=1,COUNTIF($D$10:D4913,1)," ")</f>
        <v xml:space="preserve"> </v>
      </c>
      <c r="B4913" s="106">
        <f>COPY!AR4905</f>
        <v>0</v>
      </c>
      <c r="C4913" s="107">
        <f>COPY!AC4905</f>
        <v>0</v>
      </c>
      <c r="D4913" s="107" t="str">
        <f>IF(LEN(Table1722[[#This Row],[Uraian]])&gt;2,1," ")</f>
        <v xml:space="preserve"> </v>
      </c>
      <c r="E4913" s="113" t="str">
        <f>IF(Table1722[[#This Row],[Lawan Transaksi]]="CV AGUNG KARYA",COUNTIF($I$10:I4913,"CV AGUNG KARYA")," ")</f>
        <v xml:space="preserve"> </v>
      </c>
      <c r="F4913" s="107" t="str">
        <f>IF(LEN(Table1722[[#This Row],[Uraian]])&gt;2,TRIM(RIGHT(SUBSTITUTE(TRIM(C4913)," ",REPT(" ",255)),255))," ")</f>
        <v xml:space="preserve"> </v>
      </c>
      <c r="G4913" s="110">
        <f>COPY!Z4905</f>
        <v>0</v>
      </c>
      <c r="H4913" s="111" t="str">
        <f>IFERROR(VLOOKUP(Table1722[[#This Row],[Bukti]],'Un nOTA'!$A$4:$K$5003,10,FALSE),"")</f>
        <v/>
      </c>
      <c r="I4913" s="123" t="str">
        <f>IFERROR(VLOOKUP(Table1722[[#This Row],[Bukti]],Table13[#Data],11,FALSE),"")</f>
        <v/>
      </c>
    </row>
    <row r="4914" spans="1:9" hidden="1" x14ac:dyDescent="0.2">
      <c r="A4914" s="105" t="str">
        <f>IF(D4914=1,COUNTIF($D$10:D4914,1)," ")</f>
        <v xml:space="preserve"> </v>
      </c>
      <c r="B4914" s="106">
        <f>COPY!AR4906</f>
        <v>0</v>
      </c>
      <c r="C4914" s="107">
        <f>COPY!AC4906</f>
        <v>0</v>
      </c>
      <c r="D4914" s="107" t="str">
        <f>IF(LEN(Table1722[[#This Row],[Uraian]])&gt;2,1," ")</f>
        <v xml:space="preserve"> </v>
      </c>
      <c r="E4914" s="113" t="str">
        <f>IF(Table1722[[#This Row],[Lawan Transaksi]]="CV AGUNG KARYA",COUNTIF($I$10:I4914,"CV AGUNG KARYA")," ")</f>
        <v xml:space="preserve"> </v>
      </c>
      <c r="F4914" s="107" t="str">
        <f>IF(LEN(Table1722[[#This Row],[Uraian]])&gt;2,TRIM(RIGHT(SUBSTITUTE(TRIM(C4914)," ",REPT(" ",255)),255))," ")</f>
        <v xml:space="preserve"> </v>
      </c>
      <c r="G4914" s="110">
        <f>COPY!Z4906</f>
        <v>0</v>
      </c>
      <c r="H4914" s="111" t="str">
        <f>IFERROR(VLOOKUP(Table1722[[#This Row],[Bukti]],'Un nOTA'!$A$4:$K$5003,10,FALSE),"")</f>
        <v/>
      </c>
      <c r="I4914" s="123" t="str">
        <f>IFERROR(VLOOKUP(Table1722[[#This Row],[Bukti]],Table13[#Data],11,FALSE),"")</f>
        <v/>
      </c>
    </row>
    <row r="4915" spans="1:9" hidden="1" x14ac:dyDescent="0.2">
      <c r="A4915" s="105" t="str">
        <f>IF(D4915=1,COUNTIF($D$10:D4915,1)," ")</f>
        <v xml:space="preserve"> </v>
      </c>
      <c r="B4915" s="106">
        <f>COPY!AR4907</f>
        <v>0</v>
      </c>
      <c r="C4915" s="107">
        <f>COPY!AC4907</f>
        <v>0</v>
      </c>
      <c r="D4915" s="107" t="str">
        <f>IF(LEN(Table1722[[#This Row],[Uraian]])&gt;2,1," ")</f>
        <v xml:space="preserve"> </v>
      </c>
      <c r="E4915" s="113" t="str">
        <f>IF(Table1722[[#This Row],[Lawan Transaksi]]="CV AGUNG KARYA",COUNTIF($I$10:I4915,"CV AGUNG KARYA")," ")</f>
        <v xml:space="preserve"> </v>
      </c>
      <c r="F4915" s="107" t="str">
        <f>IF(LEN(Table1722[[#This Row],[Uraian]])&gt;2,TRIM(RIGHT(SUBSTITUTE(TRIM(C4915)," ",REPT(" ",255)),255))," ")</f>
        <v xml:space="preserve"> </v>
      </c>
      <c r="G4915" s="110">
        <f>COPY!Z4907</f>
        <v>0</v>
      </c>
      <c r="H4915" s="111" t="str">
        <f>IFERROR(VLOOKUP(Table1722[[#This Row],[Bukti]],'Un nOTA'!$A$4:$K$5003,10,FALSE),"")</f>
        <v/>
      </c>
      <c r="I4915" s="123" t="str">
        <f>IFERROR(VLOOKUP(Table1722[[#This Row],[Bukti]],Table13[#Data],11,FALSE),"")</f>
        <v/>
      </c>
    </row>
    <row r="4916" spans="1:9" hidden="1" x14ac:dyDescent="0.2">
      <c r="A4916" s="105" t="str">
        <f>IF(D4916=1,COUNTIF($D$10:D4916,1)," ")</f>
        <v xml:space="preserve"> </v>
      </c>
      <c r="B4916" s="106">
        <f>COPY!AR4908</f>
        <v>0</v>
      </c>
      <c r="C4916" s="107">
        <f>COPY!AC4908</f>
        <v>0</v>
      </c>
      <c r="D4916" s="107" t="str">
        <f>IF(LEN(Table1722[[#This Row],[Uraian]])&gt;2,1," ")</f>
        <v xml:space="preserve"> </v>
      </c>
      <c r="E4916" s="113" t="str">
        <f>IF(Table1722[[#This Row],[Lawan Transaksi]]="CV AGUNG KARYA",COUNTIF($I$10:I4916,"CV AGUNG KARYA")," ")</f>
        <v xml:space="preserve"> </v>
      </c>
      <c r="F4916" s="107" t="str">
        <f>IF(LEN(Table1722[[#This Row],[Uraian]])&gt;2,TRIM(RIGHT(SUBSTITUTE(TRIM(C4916)," ",REPT(" ",255)),255))," ")</f>
        <v xml:space="preserve"> </v>
      </c>
      <c r="G4916" s="110">
        <f>COPY!Z4908</f>
        <v>0</v>
      </c>
      <c r="H4916" s="111" t="str">
        <f>IFERROR(VLOOKUP(Table1722[[#This Row],[Bukti]],'Un nOTA'!$A$4:$K$5003,10,FALSE),"")</f>
        <v/>
      </c>
      <c r="I4916" s="123" t="str">
        <f>IFERROR(VLOOKUP(Table1722[[#This Row],[Bukti]],Table13[#Data],11,FALSE),"")</f>
        <v/>
      </c>
    </row>
    <row r="4917" spans="1:9" hidden="1" x14ac:dyDescent="0.2">
      <c r="A4917" s="105" t="str">
        <f>IF(D4917=1,COUNTIF($D$10:D4917,1)," ")</f>
        <v xml:space="preserve"> </v>
      </c>
      <c r="B4917" s="106">
        <f>COPY!AR4909</f>
        <v>0</v>
      </c>
      <c r="C4917" s="107">
        <f>COPY!AC4909</f>
        <v>0</v>
      </c>
      <c r="D4917" s="107" t="str">
        <f>IF(LEN(Table1722[[#This Row],[Uraian]])&gt;2,1," ")</f>
        <v xml:space="preserve"> </v>
      </c>
      <c r="E4917" s="113" t="str">
        <f>IF(Table1722[[#This Row],[Lawan Transaksi]]="CV AGUNG KARYA",COUNTIF($I$10:I4917,"CV AGUNG KARYA")," ")</f>
        <v xml:space="preserve"> </v>
      </c>
      <c r="F4917" s="107" t="str">
        <f>IF(LEN(Table1722[[#This Row],[Uraian]])&gt;2,TRIM(RIGHT(SUBSTITUTE(TRIM(C4917)," ",REPT(" ",255)),255))," ")</f>
        <v xml:space="preserve"> </v>
      </c>
      <c r="G4917" s="110">
        <f>COPY!Z4909</f>
        <v>0</v>
      </c>
      <c r="H4917" s="111" t="str">
        <f>IFERROR(VLOOKUP(Table1722[[#This Row],[Bukti]],'Un nOTA'!$A$4:$K$5003,10,FALSE),"")</f>
        <v/>
      </c>
      <c r="I4917" s="123" t="str">
        <f>IFERROR(VLOOKUP(Table1722[[#This Row],[Bukti]],Table13[#Data],11,FALSE),"")</f>
        <v/>
      </c>
    </row>
    <row r="4918" spans="1:9" hidden="1" x14ac:dyDescent="0.2">
      <c r="A4918" s="105" t="str">
        <f>IF(D4918=1,COUNTIF($D$10:D4918,1)," ")</f>
        <v xml:space="preserve"> </v>
      </c>
      <c r="B4918" s="106">
        <f>COPY!AR4910</f>
        <v>0</v>
      </c>
      <c r="C4918" s="107">
        <f>COPY!AC4910</f>
        <v>0</v>
      </c>
      <c r="D4918" s="107" t="str">
        <f>IF(LEN(Table1722[[#This Row],[Uraian]])&gt;2,1," ")</f>
        <v xml:space="preserve"> </v>
      </c>
      <c r="E4918" s="113" t="str">
        <f>IF(Table1722[[#This Row],[Lawan Transaksi]]="CV AGUNG KARYA",COUNTIF($I$10:I4918,"CV AGUNG KARYA")," ")</f>
        <v xml:space="preserve"> </v>
      </c>
      <c r="F4918" s="107" t="str">
        <f>IF(LEN(Table1722[[#This Row],[Uraian]])&gt;2,TRIM(RIGHT(SUBSTITUTE(TRIM(C4918)," ",REPT(" ",255)),255))," ")</f>
        <v xml:space="preserve"> </v>
      </c>
      <c r="G4918" s="110">
        <f>COPY!Z4910</f>
        <v>0</v>
      </c>
      <c r="H4918" s="111" t="str">
        <f>IFERROR(VLOOKUP(Table1722[[#This Row],[Bukti]],'Un nOTA'!$A$4:$K$5003,10,FALSE),"")</f>
        <v/>
      </c>
      <c r="I4918" s="123" t="str">
        <f>IFERROR(VLOOKUP(Table1722[[#This Row],[Bukti]],Table13[#Data],11,FALSE),"")</f>
        <v/>
      </c>
    </row>
    <row r="4919" spans="1:9" hidden="1" x14ac:dyDescent="0.2">
      <c r="A4919" s="105" t="str">
        <f>IF(D4919=1,COUNTIF($D$10:D4919,1)," ")</f>
        <v xml:space="preserve"> </v>
      </c>
      <c r="B4919" s="106">
        <f>COPY!AR4911</f>
        <v>0</v>
      </c>
      <c r="C4919" s="107">
        <f>COPY!AC4911</f>
        <v>0</v>
      </c>
      <c r="D4919" s="107" t="str">
        <f>IF(LEN(Table1722[[#This Row],[Uraian]])&gt;2,1," ")</f>
        <v xml:space="preserve"> </v>
      </c>
      <c r="E4919" s="113" t="str">
        <f>IF(Table1722[[#This Row],[Lawan Transaksi]]="CV AGUNG KARYA",COUNTIF($I$10:I4919,"CV AGUNG KARYA")," ")</f>
        <v xml:space="preserve"> </v>
      </c>
      <c r="F4919" s="107" t="str">
        <f>IF(LEN(Table1722[[#This Row],[Uraian]])&gt;2,TRIM(RIGHT(SUBSTITUTE(TRIM(C4919)," ",REPT(" ",255)),255))," ")</f>
        <v xml:space="preserve"> </v>
      </c>
      <c r="G4919" s="110">
        <f>COPY!Z4911</f>
        <v>0</v>
      </c>
      <c r="H4919" s="111" t="str">
        <f>IFERROR(VLOOKUP(Table1722[[#This Row],[Bukti]],'Un nOTA'!$A$4:$K$5003,10,FALSE),"")</f>
        <v/>
      </c>
      <c r="I4919" s="123" t="str">
        <f>IFERROR(VLOOKUP(Table1722[[#This Row],[Bukti]],Table13[#Data],11,FALSE),"")</f>
        <v/>
      </c>
    </row>
    <row r="4920" spans="1:9" hidden="1" x14ac:dyDescent="0.2">
      <c r="A4920" s="105" t="str">
        <f>IF(D4920=1,COUNTIF($D$10:D4920,1)," ")</f>
        <v xml:space="preserve"> </v>
      </c>
      <c r="B4920" s="106">
        <f>COPY!AR4912</f>
        <v>0</v>
      </c>
      <c r="C4920" s="107">
        <f>COPY!AC4912</f>
        <v>0</v>
      </c>
      <c r="D4920" s="107" t="str">
        <f>IF(LEN(Table1722[[#This Row],[Uraian]])&gt;2,1," ")</f>
        <v xml:space="preserve"> </v>
      </c>
      <c r="E4920" s="113" t="str">
        <f>IF(Table1722[[#This Row],[Lawan Transaksi]]="CV AGUNG KARYA",COUNTIF($I$10:I4920,"CV AGUNG KARYA")," ")</f>
        <v xml:space="preserve"> </v>
      </c>
      <c r="F4920" s="107" t="str">
        <f>IF(LEN(Table1722[[#This Row],[Uraian]])&gt;2,TRIM(RIGHT(SUBSTITUTE(TRIM(C4920)," ",REPT(" ",255)),255))," ")</f>
        <v xml:space="preserve"> </v>
      </c>
      <c r="G4920" s="110">
        <f>COPY!Z4912</f>
        <v>0</v>
      </c>
      <c r="H4920" s="111" t="str">
        <f>IFERROR(VLOOKUP(Table1722[[#This Row],[Bukti]],'Un nOTA'!$A$4:$K$5003,10,FALSE),"")</f>
        <v/>
      </c>
      <c r="I4920" s="123" t="str">
        <f>IFERROR(VLOOKUP(Table1722[[#This Row],[Bukti]],Table13[#Data],11,FALSE),"")</f>
        <v/>
      </c>
    </row>
    <row r="4921" spans="1:9" hidden="1" x14ac:dyDescent="0.2">
      <c r="A4921" s="105" t="str">
        <f>IF(D4921=1,COUNTIF($D$10:D4921,1)," ")</f>
        <v xml:space="preserve"> </v>
      </c>
      <c r="B4921" s="106">
        <f>COPY!AR4913</f>
        <v>0</v>
      </c>
      <c r="C4921" s="107">
        <f>COPY!AC4913</f>
        <v>0</v>
      </c>
      <c r="D4921" s="107" t="str">
        <f>IF(LEN(Table1722[[#This Row],[Uraian]])&gt;2,1," ")</f>
        <v xml:space="preserve"> </v>
      </c>
      <c r="E4921" s="113" t="str">
        <f>IF(Table1722[[#This Row],[Lawan Transaksi]]="CV AGUNG KARYA",COUNTIF($I$10:I4921,"CV AGUNG KARYA")," ")</f>
        <v xml:space="preserve"> </v>
      </c>
      <c r="F4921" s="107" t="str">
        <f>IF(LEN(Table1722[[#This Row],[Uraian]])&gt;2,TRIM(RIGHT(SUBSTITUTE(TRIM(C4921)," ",REPT(" ",255)),255))," ")</f>
        <v xml:space="preserve"> </v>
      </c>
      <c r="G4921" s="110">
        <f>COPY!Z4913</f>
        <v>0</v>
      </c>
      <c r="H4921" s="111" t="str">
        <f>IFERROR(VLOOKUP(Table1722[[#This Row],[Bukti]],'Un nOTA'!$A$4:$K$5003,10,FALSE),"")</f>
        <v/>
      </c>
      <c r="I4921" s="123" t="str">
        <f>IFERROR(VLOOKUP(Table1722[[#This Row],[Bukti]],Table13[#Data],11,FALSE),"")</f>
        <v/>
      </c>
    </row>
    <row r="4922" spans="1:9" hidden="1" x14ac:dyDescent="0.2">
      <c r="A4922" s="105" t="str">
        <f>IF(D4922=1,COUNTIF($D$10:D4922,1)," ")</f>
        <v xml:space="preserve"> </v>
      </c>
      <c r="B4922" s="106">
        <f>COPY!AR4914</f>
        <v>0</v>
      </c>
      <c r="C4922" s="107">
        <f>COPY!AC4914</f>
        <v>0</v>
      </c>
      <c r="D4922" s="107" t="str">
        <f>IF(LEN(Table1722[[#This Row],[Uraian]])&gt;2,1," ")</f>
        <v xml:space="preserve"> </v>
      </c>
      <c r="E4922" s="113" t="str">
        <f>IF(Table1722[[#This Row],[Lawan Transaksi]]="CV AGUNG KARYA",COUNTIF($I$10:I4922,"CV AGUNG KARYA")," ")</f>
        <v xml:space="preserve"> </v>
      </c>
      <c r="F4922" s="107" t="str">
        <f>IF(LEN(Table1722[[#This Row],[Uraian]])&gt;2,TRIM(RIGHT(SUBSTITUTE(TRIM(C4922)," ",REPT(" ",255)),255))," ")</f>
        <v xml:space="preserve"> </v>
      </c>
      <c r="G4922" s="110">
        <f>COPY!Z4914</f>
        <v>0</v>
      </c>
      <c r="H4922" s="111" t="str">
        <f>IFERROR(VLOOKUP(Table1722[[#This Row],[Bukti]],'Un nOTA'!$A$4:$K$5003,10,FALSE),"")</f>
        <v/>
      </c>
      <c r="I4922" s="123" t="str">
        <f>IFERROR(VLOOKUP(Table1722[[#This Row],[Bukti]],Table13[#Data],11,FALSE),"")</f>
        <v/>
      </c>
    </row>
    <row r="4923" spans="1:9" hidden="1" x14ac:dyDescent="0.2">
      <c r="A4923" s="105" t="str">
        <f>IF(D4923=1,COUNTIF($D$10:D4923,1)," ")</f>
        <v xml:space="preserve"> </v>
      </c>
      <c r="B4923" s="106">
        <f>COPY!AR4915</f>
        <v>0</v>
      </c>
      <c r="C4923" s="107">
        <f>COPY!AC4915</f>
        <v>0</v>
      </c>
      <c r="D4923" s="107" t="str">
        <f>IF(LEN(Table1722[[#This Row],[Uraian]])&gt;2,1," ")</f>
        <v xml:space="preserve"> </v>
      </c>
      <c r="E4923" s="113" t="str">
        <f>IF(Table1722[[#This Row],[Lawan Transaksi]]="CV AGUNG KARYA",COUNTIF($I$10:I4923,"CV AGUNG KARYA")," ")</f>
        <v xml:space="preserve"> </v>
      </c>
      <c r="F4923" s="107" t="str">
        <f>IF(LEN(Table1722[[#This Row],[Uraian]])&gt;2,TRIM(RIGHT(SUBSTITUTE(TRIM(C4923)," ",REPT(" ",255)),255))," ")</f>
        <v xml:space="preserve"> </v>
      </c>
      <c r="G4923" s="110">
        <f>COPY!Z4915</f>
        <v>0</v>
      </c>
      <c r="H4923" s="111" t="str">
        <f>IFERROR(VLOOKUP(Table1722[[#This Row],[Bukti]],'Un nOTA'!$A$4:$K$5003,10,FALSE),"")</f>
        <v/>
      </c>
      <c r="I4923" s="123" t="str">
        <f>IFERROR(VLOOKUP(Table1722[[#This Row],[Bukti]],Table13[#Data],11,FALSE),"")</f>
        <v/>
      </c>
    </row>
    <row r="4924" spans="1:9" hidden="1" x14ac:dyDescent="0.2">
      <c r="A4924" s="105" t="str">
        <f>IF(D4924=1,COUNTIF($D$10:D4924,1)," ")</f>
        <v xml:space="preserve"> </v>
      </c>
      <c r="B4924" s="106">
        <f>COPY!AR4916</f>
        <v>0</v>
      </c>
      <c r="C4924" s="107">
        <f>COPY!AC4916</f>
        <v>0</v>
      </c>
      <c r="D4924" s="107" t="str">
        <f>IF(LEN(Table1722[[#This Row],[Uraian]])&gt;2,1," ")</f>
        <v xml:space="preserve"> </v>
      </c>
      <c r="E4924" s="113" t="str">
        <f>IF(Table1722[[#This Row],[Lawan Transaksi]]="CV AGUNG KARYA",COUNTIF($I$10:I4924,"CV AGUNG KARYA")," ")</f>
        <v xml:space="preserve"> </v>
      </c>
      <c r="F4924" s="107" t="str">
        <f>IF(LEN(Table1722[[#This Row],[Uraian]])&gt;2,TRIM(RIGHT(SUBSTITUTE(TRIM(C4924)," ",REPT(" ",255)),255))," ")</f>
        <v xml:space="preserve"> </v>
      </c>
      <c r="G4924" s="110">
        <f>COPY!Z4916</f>
        <v>0</v>
      </c>
      <c r="H4924" s="111" t="str">
        <f>IFERROR(VLOOKUP(Table1722[[#This Row],[Bukti]],'Un nOTA'!$A$4:$K$5003,10,FALSE),"")</f>
        <v/>
      </c>
      <c r="I4924" s="123" t="str">
        <f>IFERROR(VLOOKUP(Table1722[[#This Row],[Bukti]],Table13[#Data],11,FALSE),"")</f>
        <v/>
      </c>
    </row>
    <row r="4925" spans="1:9" hidden="1" x14ac:dyDescent="0.2">
      <c r="A4925" s="105" t="str">
        <f>IF(D4925=1,COUNTIF($D$10:D4925,1)," ")</f>
        <v xml:space="preserve"> </v>
      </c>
      <c r="B4925" s="106">
        <f>COPY!AR4917</f>
        <v>0</v>
      </c>
      <c r="C4925" s="107">
        <f>COPY!AC4917</f>
        <v>0</v>
      </c>
      <c r="D4925" s="107" t="str">
        <f>IF(LEN(Table1722[[#This Row],[Uraian]])&gt;2,1," ")</f>
        <v xml:space="preserve"> </v>
      </c>
      <c r="E4925" s="113" t="str">
        <f>IF(Table1722[[#This Row],[Lawan Transaksi]]="CV AGUNG KARYA",COUNTIF($I$10:I4925,"CV AGUNG KARYA")," ")</f>
        <v xml:space="preserve"> </v>
      </c>
      <c r="F4925" s="107" t="str">
        <f>IF(LEN(Table1722[[#This Row],[Uraian]])&gt;2,TRIM(RIGHT(SUBSTITUTE(TRIM(C4925)," ",REPT(" ",255)),255))," ")</f>
        <v xml:space="preserve"> </v>
      </c>
      <c r="G4925" s="110">
        <f>COPY!Z4917</f>
        <v>0</v>
      </c>
      <c r="H4925" s="111" t="str">
        <f>IFERROR(VLOOKUP(Table1722[[#This Row],[Bukti]],'Un nOTA'!$A$4:$K$5003,10,FALSE),"")</f>
        <v/>
      </c>
      <c r="I4925" s="123" t="str">
        <f>IFERROR(VLOOKUP(Table1722[[#This Row],[Bukti]],Table13[#Data],11,FALSE),"")</f>
        <v/>
      </c>
    </row>
    <row r="4926" spans="1:9" hidden="1" x14ac:dyDescent="0.2">
      <c r="A4926" s="105" t="str">
        <f>IF(D4926=1,COUNTIF($D$10:D4926,1)," ")</f>
        <v xml:space="preserve"> </v>
      </c>
      <c r="B4926" s="106">
        <f>COPY!AR4918</f>
        <v>0</v>
      </c>
      <c r="C4926" s="107">
        <f>COPY!AC4918</f>
        <v>0</v>
      </c>
      <c r="D4926" s="107" t="str">
        <f>IF(LEN(Table1722[[#This Row],[Uraian]])&gt;2,1," ")</f>
        <v xml:space="preserve"> </v>
      </c>
      <c r="E4926" s="113" t="str">
        <f>IF(Table1722[[#This Row],[Lawan Transaksi]]="CV AGUNG KARYA",COUNTIF($I$10:I4926,"CV AGUNG KARYA")," ")</f>
        <v xml:space="preserve"> </v>
      </c>
      <c r="F4926" s="107" t="str">
        <f>IF(LEN(Table1722[[#This Row],[Uraian]])&gt;2,TRIM(RIGHT(SUBSTITUTE(TRIM(C4926)," ",REPT(" ",255)),255))," ")</f>
        <v xml:space="preserve"> </v>
      </c>
      <c r="G4926" s="110">
        <f>COPY!Z4918</f>
        <v>0</v>
      </c>
      <c r="H4926" s="111" t="str">
        <f>IFERROR(VLOOKUP(Table1722[[#This Row],[Bukti]],'Un nOTA'!$A$4:$K$5003,10,FALSE),"")</f>
        <v/>
      </c>
      <c r="I4926" s="123" t="str">
        <f>IFERROR(VLOOKUP(Table1722[[#This Row],[Bukti]],Table13[#Data],11,FALSE),"")</f>
        <v/>
      </c>
    </row>
    <row r="4927" spans="1:9" hidden="1" x14ac:dyDescent="0.2">
      <c r="A4927" s="105" t="str">
        <f>IF(D4927=1,COUNTIF($D$10:D4927,1)," ")</f>
        <v xml:space="preserve"> </v>
      </c>
      <c r="B4927" s="106">
        <f>COPY!AR4919</f>
        <v>0</v>
      </c>
      <c r="C4927" s="107">
        <f>COPY!AC4919</f>
        <v>0</v>
      </c>
      <c r="D4927" s="107" t="str">
        <f>IF(LEN(Table1722[[#This Row],[Uraian]])&gt;2,1," ")</f>
        <v xml:space="preserve"> </v>
      </c>
      <c r="E4927" s="113" t="str">
        <f>IF(Table1722[[#This Row],[Lawan Transaksi]]="CV AGUNG KARYA",COUNTIF($I$10:I4927,"CV AGUNG KARYA")," ")</f>
        <v xml:space="preserve"> </v>
      </c>
      <c r="F4927" s="107" t="str">
        <f>IF(LEN(Table1722[[#This Row],[Uraian]])&gt;2,TRIM(RIGHT(SUBSTITUTE(TRIM(C4927)," ",REPT(" ",255)),255))," ")</f>
        <v xml:space="preserve"> </v>
      </c>
      <c r="G4927" s="110">
        <f>COPY!Z4919</f>
        <v>0</v>
      </c>
      <c r="H4927" s="111" t="str">
        <f>IFERROR(VLOOKUP(Table1722[[#This Row],[Bukti]],'Un nOTA'!$A$4:$K$5003,10,FALSE),"")</f>
        <v/>
      </c>
      <c r="I4927" s="123" t="str">
        <f>IFERROR(VLOOKUP(Table1722[[#This Row],[Bukti]],Table13[#Data],11,FALSE),"")</f>
        <v/>
      </c>
    </row>
    <row r="4928" spans="1:9" hidden="1" x14ac:dyDescent="0.2">
      <c r="A4928" s="105" t="str">
        <f>IF(D4928=1,COUNTIF($D$10:D4928,1)," ")</f>
        <v xml:space="preserve"> </v>
      </c>
      <c r="B4928" s="106">
        <f>COPY!AR4920</f>
        <v>0</v>
      </c>
      <c r="C4928" s="107">
        <f>COPY!AC4920</f>
        <v>0</v>
      </c>
      <c r="D4928" s="107" t="str">
        <f>IF(LEN(Table1722[[#This Row],[Uraian]])&gt;2,1," ")</f>
        <v xml:space="preserve"> </v>
      </c>
      <c r="E4928" s="113" t="str">
        <f>IF(Table1722[[#This Row],[Lawan Transaksi]]="CV AGUNG KARYA",COUNTIF($I$10:I4928,"CV AGUNG KARYA")," ")</f>
        <v xml:space="preserve"> </v>
      </c>
      <c r="F4928" s="107" t="str">
        <f>IF(LEN(Table1722[[#This Row],[Uraian]])&gt;2,TRIM(RIGHT(SUBSTITUTE(TRIM(C4928)," ",REPT(" ",255)),255))," ")</f>
        <v xml:space="preserve"> </v>
      </c>
      <c r="G4928" s="110">
        <f>COPY!Z4920</f>
        <v>0</v>
      </c>
      <c r="H4928" s="111" t="str">
        <f>IFERROR(VLOOKUP(Table1722[[#This Row],[Bukti]],'Un nOTA'!$A$4:$K$5003,10,FALSE),"")</f>
        <v/>
      </c>
      <c r="I4928" s="123" t="str">
        <f>IFERROR(VLOOKUP(Table1722[[#This Row],[Bukti]],Table13[#Data],11,FALSE),"")</f>
        <v/>
      </c>
    </row>
    <row r="4929" spans="1:9" hidden="1" x14ac:dyDescent="0.2">
      <c r="A4929" s="105" t="str">
        <f>IF(D4929=1,COUNTIF($D$10:D4929,1)," ")</f>
        <v xml:space="preserve"> </v>
      </c>
      <c r="B4929" s="106">
        <f>COPY!AR4921</f>
        <v>0</v>
      </c>
      <c r="C4929" s="107">
        <f>COPY!AC4921</f>
        <v>0</v>
      </c>
      <c r="D4929" s="107" t="str">
        <f>IF(LEN(Table1722[[#This Row],[Uraian]])&gt;2,1," ")</f>
        <v xml:space="preserve"> </v>
      </c>
      <c r="E4929" s="113" t="str">
        <f>IF(Table1722[[#This Row],[Lawan Transaksi]]="CV AGUNG KARYA",COUNTIF($I$10:I4929,"CV AGUNG KARYA")," ")</f>
        <v xml:space="preserve"> </v>
      </c>
      <c r="F4929" s="107" t="str">
        <f>IF(LEN(Table1722[[#This Row],[Uraian]])&gt;2,TRIM(RIGHT(SUBSTITUTE(TRIM(C4929)," ",REPT(" ",255)),255))," ")</f>
        <v xml:space="preserve"> </v>
      </c>
      <c r="G4929" s="110">
        <f>COPY!Z4921</f>
        <v>0</v>
      </c>
      <c r="H4929" s="111" t="str">
        <f>IFERROR(VLOOKUP(Table1722[[#This Row],[Bukti]],'Un nOTA'!$A$4:$K$5003,10,FALSE),"")</f>
        <v/>
      </c>
      <c r="I4929" s="123" t="str">
        <f>IFERROR(VLOOKUP(Table1722[[#This Row],[Bukti]],Table13[#Data],11,FALSE),"")</f>
        <v/>
      </c>
    </row>
    <row r="4930" spans="1:9" hidden="1" x14ac:dyDescent="0.2">
      <c r="A4930" s="105" t="str">
        <f>IF(D4930=1,COUNTIF($D$10:D4930,1)," ")</f>
        <v xml:space="preserve"> </v>
      </c>
      <c r="B4930" s="106">
        <f>COPY!AR4922</f>
        <v>0</v>
      </c>
      <c r="C4930" s="107">
        <f>COPY!AC4922</f>
        <v>0</v>
      </c>
      <c r="D4930" s="107" t="str">
        <f>IF(LEN(Table1722[[#This Row],[Uraian]])&gt;2,1," ")</f>
        <v xml:space="preserve"> </v>
      </c>
      <c r="E4930" s="113" t="str">
        <f>IF(Table1722[[#This Row],[Lawan Transaksi]]="CV AGUNG KARYA",COUNTIF($I$10:I4930,"CV AGUNG KARYA")," ")</f>
        <v xml:space="preserve"> </v>
      </c>
      <c r="F4930" s="107" t="str">
        <f>IF(LEN(Table1722[[#This Row],[Uraian]])&gt;2,TRIM(RIGHT(SUBSTITUTE(TRIM(C4930)," ",REPT(" ",255)),255))," ")</f>
        <v xml:space="preserve"> </v>
      </c>
      <c r="G4930" s="110">
        <f>COPY!Z4922</f>
        <v>0</v>
      </c>
      <c r="H4930" s="111" t="str">
        <f>IFERROR(VLOOKUP(Table1722[[#This Row],[Bukti]],'Un nOTA'!$A$4:$K$5003,10,FALSE),"")</f>
        <v/>
      </c>
      <c r="I4930" s="123" t="str">
        <f>IFERROR(VLOOKUP(Table1722[[#This Row],[Bukti]],Table13[#Data],11,FALSE),"")</f>
        <v/>
      </c>
    </row>
    <row r="4931" spans="1:9" hidden="1" x14ac:dyDescent="0.2">
      <c r="A4931" s="105" t="str">
        <f>IF(D4931=1,COUNTIF($D$10:D4931,1)," ")</f>
        <v xml:space="preserve"> </v>
      </c>
      <c r="B4931" s="106">
        <f>COPY!AR4923</f>
        <v>0</v>
      </c>
      <c r="C4931" s="107">
        <f>COPY!AC4923</f>
        <v>0</v>
      </c>
      <c r="D4931" s="107" t="str">
        <f>IF(LEN(Table1722[[#This Row],[Uraian]])&gt;2,1," ")</f>
        <v xml:space="preserve"> </v>
      </c>
      <c r="E4931" s="113" t="str">
        <f>IF(Table1722[[#This Row],[Lawan Transaksi]]="CV AGUNG KARYA",COUNTIF($I$10:I4931,"CV AGUNG KARYA")," ")</f>
        <v xml:space="preserve"> </v>
      </c>
      <c r="F4931" s="107" t="str">
        <f>IF(LEN(Table1722[[#This Row],[Uraian]])&gt;2,TRIM(RIGHT(SUBSTITUTE(TRIM(C4931)," ",REPT(" ",255)),255))," ")</f>
        <v xml:space="preserve"> </v>
      </c>
      <c r="G4931" s="110">
        <f>COPY!Z4923</f>
        <v>0</v>
      </c>
      <c r="H4931" s="111" t="str">
        <f>IFERROR(VLOOKUP(Table1722[[#This Row],[Bukti]],'Un nOTA'!$A$4:$K$5003,10,FALSE),"")</f>
        <v/>
      </c>
      <c r="I4931" s="123" t="str">
        <f>IFERROR(VLOOKUP(Table1722[[#This Row],[Bukti]],Table13[#Data],11,FALSE),"")</f>
        <v/>
      </c>
    </row>
    <row r="4932" spans="1:9" hidden="1" x14ac:dyDescent="0.2">
      <c r="A4932" s="105" t="str">
        <f>IF(D4932=1,COUNTIF($D$10:D4932,1)," ")</f>
        <v xml:space="preserve"> </v>
      </c>
      <c r="B4932" s="106">
        <f>COPY!AR4924</f>
        <v>0</v>
      </c>
      <c r="C4932" s="107">
        <f>COPY!AC4924</f>
        <v>0</v>
      </c>
      <c r="D4932" s="107" t="str">
        <f>IF(LEN(Table1722[[#This Row],[Uraian]])&gt;2,1," ")</f>
        <v xml:space="preserve"> </v>
      </c>
      <c r="E4932" s="113" t="str">
        <f>IF(Table1722[[#This Row],[Lawan Transaksi]]="CV AGUNG KARYA",COUNTIF($I$10:I4932,"CV AGUNG KARYA")," ")</f>
        <v xml:space="preserve"> </v>
      </c>
      <c r="F4932" s="107" t="str">
        <f>IF(LEN(Table1722[[#This Row],[Uraian]])&gt;2,TRIM(RIGHT(SUBSTITUTE(TRIM(C4932)," ",REPT(" ",255)),255))," ")</f>
        <v xml:space="preserve"> </v>
      </c>
      <c r="G4932" s="110">
        <f>COPY!Z4924</f>
        <v>0</v>
      </c>
      <c r="H4932" s="111" t="str">
        <f>IFERROR(VLOOKUP(Table1722[[#This Row],[Bukti]],'Un nOTA'!$A$4:$K$5003,10,FALSE),"")</f>
        <v/>
      </c>
      <c r="I4932" s="123" t="str">
        <f>IFERROR(VLOOKUP(Table1722[[#This Row],[Bukti]],Table13[#Data],11,FALSE),"")</f>
        <v/>
      </c>
    </row>
    <row r="4933" spans="1:9" hidden="1" x14ac:dyDescent="0.2">
      <c r="A4933" s="105" t="str">
        <f>IF(D4933=1,COUNTIF($D$10:D4933,1)," ")</f>
        <v xml:space="preserve"> </v>
      </c>
      <c r="B4933" s="106">
        <f>COPY!AR4925</f>
        <v>0</v>
      </c>
      <c r="C4933" s="107">
        <f>COPY!AC4925</f>
        <v>0</v>
      </c>
      <c r="D4933" s="107" t="str">
        <f>IF(LEN(Table1722[[#This Row],[Uraian]])&gt;2,1," ")</f>
        <v xml:space="preserve"> </v>
      </c>
      <c r="E4933" s="113" t="str">
        <f>IF(Table1722[[#This Row],[Lawan Transaksi]]="CV AGUNG KARYA",COUNTIF($I$10:I4933,"CV AGUNG KARYA")," ")</f>
        <v xml:space="preserve"> </v>
      </c>
      <c r="F4933" s="107" t="str">
        <f>IF(LEN(Table1722[[#This Row],[Uraian]])&gt;2,TRIM(RIGHT(SUBSTITUTE(TRIM(C4933)," ",REPT(" ",255)),255))," ")</f>
        <v xml:space="preserve"> </v>
      </c>
      <c r="G4933" s="110">
        <f>COPY!Z4925</f>
        <v>0</v>
      </c>
      <c r="H4933" s="111" t="str">
        <f>IFERROR(VLOOKUP(Table1722[[#This Row],[Bukti]],'Un nOTA'!$A$4:$K$5003,10,FALSE),"")</f>
        <v/>
      </c>
      <c r="I4933" s="123" t="str">
        <f>IFERROR(VLOOKUP(Table1722[[#This Row],[Bukti]],Table13[#Data],11,FALSE),"")</f>
        <v/>
      </c>
    </row>
    <row r="4934" spans="1:9" hidden="1" x14ac:dyDescent="0.2">
      <c r="A4934" s="105" t="str">
        <f>IF(D4934=1,COUNTIF($D$10:D4934,1)," ")</f>
        <v xml:space="preserve"> </v>
      </c>
      <c r="B4934" s="106">
        <f>COPY!AR4926</f>
        <v>0</v>
      </c>
      <c r="C4934" s="107">
        <f>COPY!AC4926</f>
        <v>0</v>
      </c>
      <c r="D4934" s="107" t="str">
        <f>IF(LEN(Table1722[[#This Row],[Uraian]])&gt;2,1," ")</f>
        <v xml:space="preserve"> </v>
      </c>
      <c r="E4934" s="113" t="str">
        <f>IF(Table1722[[#This Row],[Lawan Transaksi]]="CV AGUNG KARYA",COUNTIF($I$10:I4934,"CV AGUNG KARYA")," ")</f>
        <v xml:space="preserve"> </v>
      </c>
      <c r="F4934" s="107" t="str">
        <f>IF(LEN(Table1722[[#This Row],[Uraian]])&gt;2,TRIM(RIGHT(SUBSTITUTE(TRIM(C4934)," ",REPT(" ",255)),255))," ")</f>
        <v xml:space="preserve"> </v>
      </c>
      <c r="G4934" s="110">
        <f>COPY!Z4926</f>
        <v>0</v>
      </c>
      <c r="H4934" s="111" t="str">
        <f>IFERROR(VLOOKUP(Table1722[[#This Row],[Bukti]],'Un nOTA'!$A$4:$K$5003,10,FALSE),"")</f>
        <v/>
      </c>
      <c r="I4934" s="123" t="str">
        <f>IFERROR(VLOOKUP(Table1722[[#This Row],[Bukti]],Table13[#Data],11,FALSE),"")</f>
        <v/>
      </c>
    </row>
    <row r="4935" spans="1:9" hidden="1" x14ac:dyDescent="0.2">
      <c r="A4935" s="105" t="str">
        <f>IF(D4935=1,COUNTIF($D$10:D4935,1)," ")</f>
        <v xml:space="preserve"> </v>
      </c>
      <c r="B4935" s="106">
        <f>COPY!AR4927</f>
        <v>0</v>
      </c>
      <c r="C4935" s="107">
        <f>COPY!AC4927</f>
        <v>0</v>
      </c>
      <c r="D4935" s="107" t="str">
        <f>IF(LEN(Table1722[[#This Row],[Uraian]])&gt;2,1," ")</f>
        <v xml:space="preserve"> </v>
      </c>
      <c r="E4935" s="113" t="str">
        <f>IF(Table1722[[#This Row],[Lawan Transaksi]]="CV AGUNG KARYA",COUNTIF($I$10:I4935,"CV AGUNG KARYA")," ")</f>
        <v xml:space="preserve"> </v>
      </c>
      <c r="F4935" s="107" t="str">
        <f>IF(LEN(Table1722[[#This Row],[Uraian]])&gt;2,TRIM(RIGHT(SUBSTITUTE(TRIM(C4935)," ",REPT(" ",255)),255))," ")</f>
        <v xml:space="preserve"> </v>
      </c>
      <c r="G4935" s="110">
        <f>COPY!Z4927</f>
        <v>0</v>
      </c>
      <c r="H4935" s="111" t="str">
        <f>IFERROR(VLOOKUP(Table1722[[#This Row],[Bukti]],'Un nOTA'!$A$4:$K$5003,10,FALSE),"")</f>
        <v/>
      </c>
      <c r="I4935" s="123" t="str">
        <f>IFERROR(VLOOKUP(Table1722[[#This Row],[Bukti]],Table13[#Data],11,FALSE),"")</f>
        <v/>
      </c>
    </row>
    <row r="4936" spans="1:9" hidden="1" x14ac:dyDescent="0.2">
      <c r="A4936" s="105" t="str">
        <f>IF(D4936=1,COUNTIF($D$10:D4936,1)," ")</f>
        <v xml:space="preserve"> </v>
      </c>
      <c r="B4936" s="106">
        <f>COPY!AR4928</f>
        <v>0</v>
      </c>
      <c r="C4936" s="107">
        <f>COPY!AC4928</f>
        <v>0</v>
      </c>
      <c r="D4936" s="107" t="str">
        <f>IF(LEN(Table1722[[#This Row],[Uraian]])&gt;2,1," ")</f>
        <v xml:space="preserve"> </v>
      </c>
      <c r="E4936" s="113" t="str">
        <f>IF(Table1722[[#This Row],[Lawan Transaksi]]="CV AGUNG KARYA",COUNTIF($I$10:I4936,"CV AGUNG KARYA")," ")</f>
        <v xml:space="preserve"> </v>
      </c>
      <c r="F4936" s="107" t="str">
        <f>IF(LEN(Table1722[[#This Row],[Uraian]])&gt;2,TRIM(RIGHT(SUBSTITUTE(TRIM(C4936)," ",REPT(" ",255)),255))," ")</f>
        <v xml:space="preserve"> </v>
      </c>
      <c r="G4936" s="110">
        <f>COPY!Z4928</f>
        <v>0</v>
      </c>
      <c r="H4936" s="111" t="str">
        <f>IFERROR(VLOOKUP(Table1722[[#This Row],[Bukti]],'Un nOTA'!$A$4:$K$5003,10,FALSE),"")</f>
        <v/>
      </c>
      <c r="I4936" s="123" t="str">
        <f>IFERROR(VLOOKUP(Table1722[[#This Row],[Bukti]],Table13[#Data],11,FALSE),"")</f>
        <v/>
      </c>
    </row>
    <row r="4937" spans="1:9" hidden="1" x14ac:dyDescent="0.2">
      <c r="A4937" s="105" t="str">
        <f>IF(D4937=1,COUNTIF($D$10:D4937,1)," ")</f>
        <v xml:space="preserve"> </v>
      </c>
      <c r="B4937" s="106">
        <f>COPY!AR4929</f>
        <v>0</v>
      </c>
      <c r="C4937" s="107">
        <f>COPY!AC4929</f>
        <v>0</v>
      </c>
      <c r="D4937" s="107" t="str">
        <f>IF(LEN(Table1722[[#This Row],[Uraian]])&gt;2,1," ")</f>
        <v xml:space="preserve"> </v>
      </c>
      <c r="E4937" s="113" t="str">
        <f>IF(Table1722[[#This Row],[Lawan Transaksi]]="CV AGUNG KARYA",COUNTIF($I$10:I4937,"CV AGUNG KARYA")," ")</f>
        <v xml:space="preserve"> </v>
      </c>
      <c r="F4937" s="107" t="str">
        <f>IF(LEN(Table1722[[#This Row],[Uraian]])&gt;2,TRIM(RIGHT(SUBSTITUTE(TRIM(C4937)," ",REPT(" ",255)),255))," ")</f>
        <v xml:space="preserve"> </v>
      </c>
      <c r="G4937" s="110">
        <f>COPY!Z4929</f>
        <v>0</v>
      </c>
      <c r="H4937" s="111" t="str">
        <f>IFERROR(VLOOKUP(Table1722[[#This Row],[Bukti]],'Un nOTA'!$A$4:$K$5003,10,FALSE),"")</f>
        <v/>
      </c>
      <c r="I4937" s="123" t="str">
        <f>IFERROR(VLOOKUP(Table1722[[#This Row],[Bukti]],Table13[#Data],11,FALSE),"")</f>
        <v/>
      </c>
    </row>
    <row r="4938" spans="1:9" hidden="1" x14ac:dyDescent="0.2">
      <c r="A4938" s="105" t="str">
        <f>IF(D4938=1,COUNTIF($D$10:D4938,1)," ")</f>
        <v xml:space="preserve"> </v>
      </c>
      <c r="B4938" s="106">
        <f>COPY!AR4930</f>
        <v>0</v>
      </c>
      <c r="C4938" s="107">
        <f>COPY!AC4930</f>
        <v>0</v>
      </c>
      <c r="D4938" s="107" t="str">
        <f>IF(LEN(Table1722[[#This Row],[Uraian]])&gt;2,1," ")</f>
        <v xml:space="preserve"> </v>
      </c>
      <c r="E4938" s="113" t="str">
        <f>IF(Table1722[[#This Row],[Lawan Transaksi]]="CV AGUNG KARYA",COUNTIF($I$10:I4938,"CV AGUNG KARYA")," ")</f>
        <v xml:space="preserve"> </v>
      </c>
      <c r="F4938" s="107" t="str">
        <f>IF(LEN(Table1722[[#This Row],[Uraian]])&gt;2,TRIM(RIGHT(SUBSTITUTE(TRIM(C4938)," ",REPT(" ",255)),255))," ")</f>
        <v xml:space="preserve"> </v>
      </c>
      <c r="G4938" s="110">
        <f>COPY!Z4930</f>
        <v>0</v>
      </c>
      <c r="H4938" s="111" t="str">
        <f>IFERROR(VLOOKUP(Table1722[[#This Row],[Bukti]],'Un nOTA'!$A$4:$K$5003,10,FALSE),"")</f>
        <v/>
      </c>
      <c r="I4938" s="123" t="str">
        <f>IFERROR(VLOOKUP(Table1722[[#This Row],[Bukti]],Table13[#Data],11,FALSE),"")</f>
        <v/>
      </c>
    </row>
    <row r="4939" spans="1:9" hidden="1" x14ac:dyDescent="0.2">
      <c r="A4939" s="105" t="str">
        <f>IF(D4939=1,COUNTIF($D$10:D4939,1)," ")</f>
        <v xml:space="preserve"> </v>
      </c>
      <c r="B4939" s="106">
        <f>COPY!AR4931</f>
        <v>0</v>
      </c>
      <c r="C4939" s="107">
        <f>COPY!AC4931</f>
        <v>0</v>
      </c>
      <c r="D4939" s="107" t="str">
        <f>IF(LEN(Table1722[[#This Row],[Uraian]])&gt;2,1," ")</f>
        <v xml:space="preserve"> </v>
      </c>
      <c r="E4939" s="113" t="str">
        <f>IF(Table1722[[#This Row],[Lawan Transaksi]]="CV AGUNG KARYA",COUNTIF($I$10:I4939,"CV AGUNG KARYA")," ")</f>
        <v xml:space="preserve"> </v>
      </c>
      <c r="F4939" s="107" t="str">
        <f>IF(LEN(Table1722[[#This Row],[Uraian]])&gt;2,TRIM(RIGHT(SUBSTITUTE(TRIM(C4939)," ",REPT(" ",255)),255))," ")</f>
        <v xml:space="preserve"> </v>
      </c>
      <c r="G4939" s="110">
        <f>COPY!Z4931</f>
        <v>0</v>
      </c>
      <c r="H4939" s="111" t="str">
        <f>IFERROR(VLOOKUP(Table1722[[#This Row],[Bukti]],'Un nOTA'!$A$4:$K$5003,10,FALSE),"")</f>
        <v/>
      </c>
      <c r="I4939" s="123" t="str">
        <f>IFERROR(VLOOKUP(Table1722[[#This Row],[Bukti]],Table13[#Data],11,FALSE),"")</f>
        <v/>
      </c>
    </row>
    <row r="4940" spans="1:9" hidden="1" x14ac:dyDescent="0.2">
      <c r="A4940" s="105" t="str">
        <f>IF(D4940=1,COUNTIF($D$10:D4940,1)," ")</f>
        <v xml:space="preserve"> </v>
      </c>
      <c r="B4940" s="106">
        <f>COPY!AR4932</f>
        <v>0</v>
      </c>
      <c r="C4940" s="107">
        <f>COPY!AC4932</f>
        <v>0</v>
      </c>
      <c r="D4940" s="107" t="str">
        <f>IF(LEN(Table1722[[#This Row],[Uraian]])&gt;2,1," ")</f>
        <v xml:space="preserve"> </v>
      </c>
      <c r="E4940" s="113" t="str">
        <f>IF(Table1722[[#This Row],[Lawan Transaksi]]="CV AGUNG KARYA",COUNTIF($I$10:I4940,"CV AGUNG KARYA")," ")</f>
        <v xml:space="preserve"> </v>
      </c>
      <c r="F4940" s="107" t="str">
        <f>IF(LEN(Table1722[[#This Row],[Uraian]])&gt;2,TRIM(RIGHT(SUBSTITUTE(TRIM(C4940)," ",REPT(" ",255)),255))," ")</f>
        <v xml:space="preserve"> </v>
      </c>
      <c r="G4940" s="110">
        <f>COPY!Z4932</f>
        <v>0</v>
      </c>
      <c r="H4940" s="111" t="str">
        <f>IFERROR(VLOOKUP(Table1722[[#This Row],[Bukti]],'Un nOTA'!$A$4:$K$5003,10,FALSE),"")</f>
        <v/>
      </c>
      <c r="I4940" s="123" t="str">
        <f>IFERROR(VLOOKUP(Table1722[[#This Row],[Bukti]],Table13[#Data],11,FALSE),"")</f>
        <v/>
      </c>
    </row>
    <row r="4941" spans="1:9" hidden="1" x14ac:dyDescent="0.2">
      <c r="A4941" s="105" t="str">
        <f>IF(D4941=1,COUNTIF($D$10:D4941,1)," ")</f>
        <v xml:space="preserve"> </v>
      </c>
      <c r="B4941" s="106">
        <f>COPY!AR4933</f>
        <v>0</v>
      </c>
      <c r="C4941" s="107">
        <f>COPY!AC4933</f>
        <v>0</v>
      </c>
      <c r="D4941" s="107" t="str">
        <f>IF(LEN(Table1722[[#This Row],[Uraian]])&gt;2,1," ")</f>
        <v xml:space="preserve"> </v>
      </c>
      <c r="E4941" s="113" t="str">
        <f>IF(Table1722[[#This Row],[Lawan Transaksi]]="CV AGUNG KARYA",COUNTIF($I$10:I4941,"CV AGUNG KARYA")," ")</f>
        <v xml:space="preserve"> </v>
      </c>
      <c r="F4941" s="107" t="str">
        <f>IF(LEN(Table1722[[#This Row],[Uraian]])&gt;2,TRIM(RIGHT(SUBSTITUTE(TRIM(C4941)," ",REPT(" ",255)),255))," ")</f>
        <v xml:space="preserve"> </v>
      </c>
      <c r="G4941" s="110">
        <f>COPY!Z4933</f>
        <v>0</v>
      </c>
      <c r="H4941" s="111" t="str">
        <f>IFERROR(VLOOKUP(Table1722[[#This Row],[Bukti]],'Un nOTA'!$A$4:$K$5003,10,FALSE),"")</f>
        <v/>
      </c>
      <c r="I4941" s="123" t="str">
        <f>IFERROR(VLOOKUP(Table1722[[#This Row],[Bukti]],Table13[#Data],11,FALSE),"")</f>
        <v/>
      </c>
    </row>
    <row r="4942" spans="1:9" hidden="1" x14ac:dyDescent="0.2">
      <c r="A4942" s="105" t="str">
        <f>IF(D4942=1,COUNTIF($D$10:D4942,1)," ")</f>
        <v xml:space="preserve"> </v>
      </c>
      <c r="B4942" s="106">
        <f>COPY!AR4934</f>
        <v>0</v>
      </c>
      <c r="C4942" s="107">
        <f>COPY!AC4934</f>
        <v>0</v>
      </c>
      <c r="D4942" s="107" t="str">
        <f>IF(LEN(Table1722[[#This Row],[Uraian]])&gt;2,1," ")</f>
        <v xml:space="preserve"> </v>
      </c>
      <c r="E4942" s="113" t="str">
        <f>IF(Table1722[[#This Row],[Lawan Transaksi]]="CV AGUNG KARYA",COUNTIF($I$10:I4942,"CV AGUNG KARYA")," ")</f>
        <v xml:space="preserve"> </v>
      </c>
      <c r="F4942" s="107" t="str">
        <f>IF(LEN(Table1722[[#This Row],[Uraian]])&gt;2,TRIM(RIGHT(SUBSTITUTE(TRIM(C4942)," ",REPT(" ",255)),255))," ")</f>
        <v xml:space="preserve"> </v>
      </c>
      <c r="G4942" s="110">
        <f>COPY!Z4934</f>
        <v>0</v>
      </c>
      <c r="H4942" s="111" t="str">
        <f>IFERROR(VLOOKUP(Table1722[[#This Row],[Bukti]],'Un nOTA'!$A$4:$K$5003,10,FALSE),"")</f>
        <v/>
      </c>
      <c r="I4942" s="123" t="str">
        <f>IFERROR(VLOOKUP(Table1722[[#This Row],[Bukti]],Table13[#Data],11,FALSE),"")</f>
        <v/>
      </c>
    </row>
    <row r="4943" spans="1:9" hidden="1" x14ac:dyDescent="0.2">
      <c r="A4943" s="105" t="str">
        <f>IF(D4943=1,COUNTIF($D$10:D4943,1)," ")</f>
        <v xml:space="preserve"> </v>
      </c>
      <c r="B4943" s="106">
        <f>COPY!AR4935</f>
        <v>0</v>
      </c>
      <c r="C4943" s="107">
        <f>COPY!AC4935</f>
        <v>0</v>
      </c>
      <c r="D4943" s="107" t="str">
        <f>IF(LEN(Table1722[[#This Row],[Uraian]])&gt;2,1," ")</f>
        <v xml:space="preserve"> </v>
      </c>
      <c r="E4943" s="113" t="str">
        <f>IF(Table1722[[#This Row],[Lawan Transaksi]]="CV AGUNG KARYA",COUNTIF($I$10:I4943,"CV AGUNG KARYA")," ")</f>
        <v xml:space="preserve"> </v>
      </c>
      <c r="F4943" s="107" t="str">
        <f>IF(LEN(Table1722[[#This Row],[Uraian]])&gt;2,TRIM(RIGHT(SUBSTITUTE(TRIM(C4943)," ",REPT(" ",255)),255))," ")</f>
        <v xml:space="preserve"> </v>
      </c>
      <c r="G4943" s="110">
        <f>COPY!Z4935</f>
        <v>0</v>
      </c>
      <c r="H4943" s="111" t="str">
        <f>IFERROR(VLOOKUP(Table1722[[#This Row],[Bukti]],'Un nOTA'!$A$4:$K$5003,10,FALSE),"")</f>
        <v/>
      </c>
      <c r="I4943" s="123" t="str">
        <f>IFERROR(VLOOKUP(Table1722[[#This Row],[Bukti]],Table13[#Data],11,FALSE),"")</f>
        <v/>
      </c>
    </row>
    <row r="4944" spans="1:9" hidden="1" x14ac:dyDescent="0.2">
      <c r="A4944" s="105" t="str">
        <f>IF(D4944=1,COUNTIF($D$10:D4944,1)," ")</f>
        <v xml:space="preserve"> </v>
      </c>
      <c r="B4944" s="106">
        <f>COPY!AR4936</f>
        <v>0</v>
      </c>
      <c r="C4944" s="107">
        <f>COPY!AC4936</f>
        <v>0</v>
      </c>
      <c r="D4944" s="107" t="str">
        <f>IF(LEN(Table1722[[#This Row],[Uraian]])&gt;2,1," ")</f>
        <v xml:space="preserve"> </v>
      </c>
      <c r="E4944" s="113" t="str">
        <f>IF(Table1722[[#This Row],[Lawan Transaksi]]="CV AGUNG KARYA",COUNTIF($I$10:I4944,"CV AGUNG KARYA")," ")</f>
        <v xml:space="preserve"> </v>
      </c>
      <c r="F4944" s="107" t="str">
        <f>IF(LEN(Table1722[[#This Row],[Uraian]])&gt;2,TRIM(RIGHT(SUBSTITUTE(TRIM(C4944)," ",REPT(" ",255)),255))," ")</f>
        <v xml:space="preserve"> </v>
      </c>
      <c r="G4944" s="110">
        <f>COPY!Z4936</f>
        <v>0</v>
      </c>
      <c r="H4944" s="111" t="str">
        <f>IFERROR(VLOOKUP(Table1722[[#This Row],[Bukti]],'Un nOTA'!$A$4:$K$5003,10,FALSE),"")</f>
        <v/>
      </c>
      <c r="I4944" s="123" t="str">
        <f>IFERROR(VLOOKUP(Table1722[[#This Row],[Bukti]],Table13[#Data],11,FALSE),"")</f>
        <v/>
      </c>
    </row>
    <row r="4945" spans="1:9" hidden="1" x14ac:dyDescent="0.2">
      <c r="A4945" s="105" t="str">
        <f>IF(D4945=1,COUNTIF($D$10:D4945,1)," ")</f>
        <v xml:space="preserve"> </v>
      </c>
      <c r="B4945" s="106">
        <f>COPY!AR4937</f>
        <v>0</v>
      </c>
      <c r="C4945" s="107">
        <f>COPY!AC4937</f>
        <v>0</v>
      </c>
      <c r="D4945" s="107" t="str">
        <f>IF(LEN(Table1722[[#This Row],[Uraian]])&gt;2,1," ")</f>
        <v xml:space="preserve"> </v>
      </c>
      <c r="E4945" s="113" t="str">
        <f>IF(Table1722[[#This Row],[Lawan Transaksi]]="CV AGUNG KARYA",COUNTIF($I$10:I4945,"CV AGUNG KARYA")," ")</f>
        <v xml:space="preserve"> </v>
      </c>
      <c r="F4945" s="107" t="str">
        <f>IF(LEN(Table1722[[#This Row],[Uraian]])&gt;2,TRIM(RIGHT(SUBSTITUTE(TRIM(C4945)," ",REPT(" ",255)),255))," ")</f>
        <v xml:space="preserve"> </v>
      </c>
      <c r="G4945" s="110">
        <f>COPY!Z4937</f>
        <v>0</v>
      </c>
      <c r="H4945" s="111" t="str">
        <f>IFERROR(VLOOKUP(Table1722[[#This Row],[Bukti]],'Un nOTA'!$A$4:$K$5003,10,FALSE),"")</f>
        <v/>
      </c>
      <c r="I4945" s="123" t="str">
        <f>IFERROR(VLOOKUP(Table1722[[#This Row],[Bukti]],Table13[#Data],11,FALSE),"")</f>
        <v/>
      </c>
    </row>
    <row r="4946" spans="1:9" hidden="1" x14ac:dyDescent="0.2">
      <c r="A4946" s="105" t="str">
        <f>IF(D4946=1,COUNTIF($D$10:D4946,1)," ")</f>
        <v xml:space="preserve"> </v>
      </c>
      <c r="B4946" s="106">
        <f>COPY!AR4938</f>
        <v>0</v>
      </c>
      <c r="C4946" s="107">
        <f>COPY!AC4938</f>
        <v>0</v>
      </c>
      <c r="D4946" s="107" t="str">
        <f>IF(LEN(Table1722[[#This Row],[Uraian]])&gt;2,1," ")</f>
        <v xml:space="preserve"> </v>
      </c>
      <c r="E4946" s="113" t="str">
        <f>IF(Table1722[[#This Row],[Lawan Transaksi]]="CV AGUNG KARYA",COUNTIF($I$10:I4946,"CV AGUNG KARYA")," ")</f>
        <v xml:space="preserve"> </v>
      </c>
      <c r="F4946" s="107" t="str">
        <f>IF(LEN(Table1722[[#This Row],[Uraian]])&gt;2,TRIM(RIGHT(SUBSTITUTE(TRIM(C4946)," ",REPT(" ",255)),255))," ")</f>
        <v xml:space="preserve"> </v>
      </c>
      <c r="G4946" s="110">
        <f>COPY!Z4938</f>
        <v>0</v>
      </c>
      <c r="H4946" s="111" t="str">
        <f>IFERROR(VLOOKUP(Table1722[[#This Row],[Bukti]],'Un nOTA'!$A$4:$K$5003,10,FALSE),"")</f>
        <v/>
      </c>
      <c r="I4946" s="123" t="str">
        <f>IFERROR(VLOOKUP(Table1722[[#This Row],[Bukti]],Table13[#Data],11,FALSE),"")</f>
        <v/>
      </c>
    </row>
    <row r="4947" spans="1:9" hidden="1" x14ac:dyDescent="0.2">
      <c r="A4947" s="105" t="str">
        <f>IF(D4947=1,COUNTIF($D$10:D4947,1)," ")</f>
        <v xml:space="preserve"> </v>
      </c>
      <c r="B4947" s="106">
        <f>COPY!AR4939</f>
        <v>0</v>
      </c>
      <c r="C4947" s="107">
        <f>COPY!AC4939</f>
        <v>0</v>
      </c>
      <c r="D4947" s="107" t="str">
        <f>IF(LEN(Table1722[[#This Row],[Uraian]])&gt;2,1," ")</f>
        <v xml:space="preserve"> </v>
      </c>
      <c r="E4947" s="113" t="str">
        <f>IF(Table1722[[#This Row],[Lawan Transaksi]]="CV AGUNG KARYA",COUNTIF($I$10:I4947,"CV AGUNG KARYA")," ")</f>
        <v xml:space="preserve"> </v>
      </c>
      <c r="F4947" s="107" t="str">
        <f>IF(LEN(Table1722[[#This Row],[Uraian]])&gt;2,TRIM(RIGHT(SUBSTITUTE(TRIM(C4947)," ",REPT(" ",255)),255))," ")</f>
        <v xml:space="preserve"> </v>
      </c>
      <c r="G4947" s="110">
        <f>COPY!Z4939</f>
        <v>0</v>
      </c>
      <c r="H4947" s="111" t="str">
        <f>IFERROR(VLOOKUP(Table1722[[#This Row],[Bukti]],'Un nOTA'!$A$4:$K$5003,10,FALSE),"")</f>
        <v/>
      </c>
      <c r="I4947" s="123" t="str">
        <f>IFERROR(VLOOKUP(Table1722[[#This Row],[Bukti]],Table13[#Data],11,FALSE),"")</f>
        <v/>
      </c>
    </row>
    <row r="4948" spans="1:9" hidden="1" x14ac:dyDescent="0.2">
      <c r="A4948" s="105" t="str">
        <f>IF(D4948=1,COUNTIF($D$10:D4948,1)," ")</f>
        <v xml:space="preserve"> </v>
      </c>
      <c r="B4948" s="106">
        <f>COPY!AR4940</f>
        <v>0</v>
      </c>
      <c r="C4948" s="107">
        <f>COPY!AC4940</f>
        <v>0</v>
      </c>
      <c r="D4948" s="107" t="str">
        <f>IF(LEN(Table1722[[#This Row],[Uraian]])&gt;2,1," ")</f>
        <v xml:space="preserve"> </v>
      </c>
      <c r="E4948" s="113" t="str">
        <f>IF(Table1722[[#This Row],[Lawan Transaksi]]="CV AGUNG KARYA",COUNTIF($I$10:I4948,"CV AGUNG KARYA")," ")</f>
        <v xml:space="preserve"> </v>
      </c>
      <c r="F4948" s="107" t="str">
        <f>IF(LEN(Table1722[[#This Row],[Uraian]])&gt;2,TRIM(RIGHT(SUBSTITUTE(TRIM(C4948)," ",REPT(" ",255)),255))," ")</f>
        <v xml:space="preserve"> </v>
      </c>
      <c r="G4948" s="110">
        <f>COPY!Z4940</f>
        <v>0</v>
      </c>
      <c r="H4948" s="111" t="str">
        <f>IFERROR(VLOOKUP(Table1722[[#This Row],[Bukti]],'Un nOTA'!$A$4:$K$5003,10,FALSE),"")</f>
        <v/>
      </c>
      <c r="I4948" s="123" t="str">
        <f>IFERROR(VLOOKUP(Table1722[[#This Row],[Bukti]],Table13[#Data],11,FALSE),"")</f>
        <v/>
      </c>
    </row>
    <row r="4949" spans="1:9" hidden="1" x14ac:dyDescent="0.2">
      <c r="A4949" s="105" t="str">
        <f>IF(D4949=1,COUNTIF($D$10:D4949,1)," ")</f>
        <v xml:space="preserve"> </v>
      </c>
      <c r="B4949" s="106">
        <f>COPY!AR4941</f>
        <v>0</v>
      </c>
      <c r="C4949" s="107">
        <f>COPY!AC4941</f>
        <v>0</v>
      </c>
      <c r="D4949" s="107" t="str">
        <f>IF(LEN(Table1722[[#This Row],[Uraian]])&gt;2,1," ")</f>
        <v xml:space="preserve"> </v>
      </c>
      <c r="E4949" s="113" t="str">
        <f>IF(Table1722[[#This Row],[Lawan Transaksi]]="CV AGUNG KARYA",COUNTIF($I$10:I4949,"CV AGUNG KARYA")," ")</f>
        <v xml:space="preserve"> </v>
      </c>
      <c r="F4949" s="107" t="str">
        <f>IF(LEN(Table1722[[#This Row],[Uraian]])&gt;2,TRIM(RIGHT(SUBSTITUTE(TRIM(C4949)," ",REPT(" ",255)),255))," ")</f>
        <v xml:space="preserve"> </v>
      </c>
      <c r="G4949" s="110">
        <f>COPY!Z4941</f>
        <v>0</v>
      </c>
      <c r="H4949" s="111" t="str">
        <f>IFERROR(VLOOKUP(Table1722[[#This Row],[Bukti]],'Un nOTA'!$A$4:$K$5003,10,FALSE),"")</f>
        <v/>
      </c>
      <c r="I4949" s="123" t="str">
        <f>IFERROR(VLOOKUP(Table1722[[#This Row],[Bukti]],Table13[#Data],11,FALSE),"")</f>
        <v/>
      </c>
    </row>
    <row r="4950" spans="1:9" hidden="1" x14ac:dyDescent="0.2">
      <c r="A4950" s="105" t="str">
        <f>IF(D4950=1,COUNTIF($D$10:D4950,1)," ")</f>
        <v xml:space="preserve"> </v>
      </c>
      <c r="B4950" s="106">
        <f>COPY!AR4942</f>
        <v>0</v>
      </c>
      <c r="C4950" s="107">
        <f>COPY!AC4942</f>
        <v>0</v>
      </c>
      <c r="D4950" s="107" t="str">
        <f>IF(LEN(Table1722[[#This Row],[Uraian]])&gt;2,1," ")</f>
        <v xml:space="preserve"> </v>
      </c>
      <c r="E4950" s="113" t="str">
        <f>IF(Table1722[[#This Row],[Lawan Transaksi]]="CV AGUNG KARYA",COUNTIF($I$10:I4950,"CV AGUNG KARYA")," ")</f>
        <v xml:space="preserve"> </v>
      </c>
      <c r="F4950" s="107" t="str">
        <f>IF(LEN(Table1722[[#This Row],[Uraian]])&gt;2,TRIM(RIGHT(SUBSTITUTE(TRIM(C4950)," ",REPT(" ",255)),255))," ")</f>
        <v xml:space="preserve"> </v>
      </c>
      <c r="G4950" s="110">
        <f>COPY!Z4942</f>
        <v>0</v>
      </c>
      <c r="H4950" s="111" t="str">
        <f>IFERROR(VLOOKUP(Table1722[[#This Row],[Bukti]],'Un nOTA'!$A$4:$K$5003,10,FALSE),"")</f>
        <v/>
      </c>
      <c r="I4950" s="123" t="str">
        <f>IFERROR(VLOOKUP(Table1722[[#This Row],[Bukti]],Table13[#Data],11,FALSE),"")</f>
        <v/>
      </c>
    </row>
    <row r="4951" spans="1:9" hidden="1" x14ac:dyDescent="0.2">
      <c r="A4951" s="105" t="str">
        <f>IF(D4951=1,COUNTIF($D$10:D4951,1)," ")</f>
        <v xml:space="preserve"> </v>
      </c>
      <c r="B4951" s="106">
        <f>COPY!AR4943</f>
        <v>0</v>
      </c>
      <c r="C4951" s="107">
        <f>COPY!AC4943</f>
        <v>0</v>
      </c>
      <c r="D4951" s="107" t="str">
        <f>IF(LEN(Table1722[[#This Row],[Uraian]])&gt;2,1," ")</f>
        <v xml:space="preserve"> </v>
      </c>
      <c r="E4951" s="113" t="str">
        <f>IF(Table1722[[#This Row],[Lawan Transaksi]]="CV AGUNG KARYA",COUNTIF($I$10:I4951,"CV AGUNG KARYA")," ")</f>
        <v xml:space="preserve"> </v>
      </c>
      <c r="F4951" s="107" t="str">
        <f>IF(LEN(Table1722[[#This Row],[Uraian]])&gt;2,TRIM(RIGHT(SUBSTITUTE(TRIM(C4951)," ",REPT(" ",255)),255))," ")</f>
        <v xml:space="preserve"> </v>
      </c>
      <c r="G4951" s="110">
        <f>COPY!Z4943</f>
        <v>0</v>
      </c>
      <c r="H4951" s="111" t="str">
        <f>IFERROR(VLOOKUP(Table1722[[#This Row],[Bukti]],'Un nOTA'!$A$4:$K$5003,10,FALSE),"")</f>
        <v/>
      </c>
      <c r="I4951" s="123" t="str">
        <f>IFERROR(VLOOKUP(Table1722[[#This Row],[Bukti]],Table13[#Data],11,FALSE),"")</f>
        <v/>
      </c>
    </row>
    <row r="4952" spans="1:9" hidden="1" x14ac:dyDescent="0.2">
      <c r="A4952" s="105" t="str">
        <f>IF(D4952=1,COUNTIF($D$10:D4952,1)," ")</f>
        <v xml:space="preserve"> </v>
      </c>
      <c r="B4952" s="106">
        <f>COPY!AR4944</f>
        <v>0</v>
      </c>
      <c r="C4952" s="107">
        <f>COPY!AC4944</f>
        <v>0</v>
      </c>
      <c r="D4952" s="107" t="str">
        <f>IF(LEN(Table1722[[#This Row],[Uraian]])&gt;2,1," ")</f>
        <v xml:space="preserve"> </v>
      </c>
      <c r="E4952" s="113" t="str">
        <f>IF(Table1722[[#This Row],[Lawan Transaksi]]="CV AGUNG KARYA",COUNTIF($I$10:I4952,"CV AGUNG KARYA")," ")</f>
        <v xml:space="preserve"> </v>
      </c>
      <c r="F4952" s="107" t="str">
        <f>IF(LEN(Table1722[[#This Row],[Uraian]])&gt;2,TRIM(RIGHT(SUBSTITUTE(TRIM(C4952)," ",REPT(" ",255)),255))," ")</f>
        <v xml:space="preserve"> </v>
      </c>
      <c r="G4952" s="110">
        <f>COPY!Z4944</f>
        <v>0</v>
      </c>
      <c r="H4952" s="111" t="str">
        <f>IFERROR(VLOOKUP(Table1722[[#This Row],[Bukti]],'Un nOTA'!$A$4:$K$5003,10,FALSE),"")</f>
        <v/>
      </c>
      <c r="I4952" s="123" t="str">
        <f>IFERROR(VLOOKUP(Table1722[[#This Row],[Bukti]],Table13[#Data],11,FALSE),"")</f>
        <v/>
      </c>
    </row>
    <row r="4953" spans="1:9" hidden="1" x14ac:dyDescent="0.2">
      <c r="A4953" s="105" t="str">
        <f>IF(D4953=1,COUNTIF($D$10:D4953,1)," ")</f>
        <v xml:space="preserve"> </v>
      </c>
      <c r="B4953" s="106">
        <f>COPY!AR4945</f>
        <v>0</v>
      </c>
      <c r="C4953" s="107">
        <f>COPY!AC4945</f>
        <v>0</v>
      </c>
      <c r="D4953" s="107" t="str">
        <f>IF(LEN(Table1722[[#This Row],[Uraian]])&gt;2,1," ")</f>
        <v xml:space="preserve"> </v>
      </c>
      <c r="E4953" s="113" t="str">
        <f>IF(Table1722[[#This Row],[Lawan Transaksi]]="CV AGUNG KARYA",COUNTIF($I$10:I4953,"CV AGUNG KARYA")," ")</f>
        <v xml:space="preserve"> </v>
      </c>
      <c r="F4953" s="107" t="str">
        <f>IF(LEN(Table1722[[#This Row],[Uraian]])&gt;2,TRIM(RIGHT(SUBSTITUTE(TRIM(C4953)," ",REPT(" ",255)),255))," ")</f>
        <v xml:space="preserve"> </v>
      </c>
      <c r="G4953" s="110">
        <f>COPY!Z4945</f>
        <v>0</v>
      </c>
      <c r="H4953" s="111" t="str">
        <f>IFERROR(VLOOKUP(Table1722[[#This Row],[Bukti]],'Un nOTA'!$A$4:$K$5003,10,FALSE),"")</f>
        <v/>
      </c>
      <c r="I4953" s="123" t="str">
        <f>IFERROR(VLOOKUP(Table1722[[#This Row],[Bukti]],Table13[#Data],11,FALSE),"")</f>
        <v/>
      </c>
    </row>
    <row r="4954" spans="1:9" hidden="1" x14ac:dyDescent="0.2">
      <c r="A4954" s="105" t="str">
        <f>IF(D4954=1,COUNTIF($D$10:D4954,1)," ")</f>
        <v xml:space="preserve"> </v>
      </c>
      <c r="B4954" s="106">
        <f>COPY!AR4946</f>
        <v>0</v>
      </c>
      <c r="C4954" s="107">
        <f>COPY!AC4946</f>
        <v>0</v>
      </c>
      <c r="D4954" s="107" t="str">
        <f>IF(LEN(Table1722[[#This Row],[Uraian]])&gt;2,1," ")</f>
        <v xml:space="preserve"> </v>
      </c>
      <c r="E4954" s="113" t="str">
        <f>IF(Table1722[[#This Row],[Lawan Transaksi]]="CV AGUNG KARYA",COUNTIF($I$10:I4954,"CV AGUNG KARYA")," ")</f>
        <v xml:space="preserve"> </v>
      </c>
      <c r="F4954" s="107" t="str">
        <f>IF(LEN(Table1722[[#This Row],[Uraian]])&gt;2,TRIM(RIGHT(SUBSTITUTE(TRIM(C4954)," ",REPT(" ",255)),255))," ")</f>
        <v xml:space="preserve"> </v>
      </c>
      <c r="G4954" s="110">
        <f>COPY!Z4946</f>
        <v>0</v>
      </c>
      <c r="H4954" s="111" t="str">
        <f>IFERROR(VLOOKUP(Table1722[[#This Row],[Bukti]],'Un nOTA'!$A$4:$K$5003,10,FALSE),"")</f>
        <v/>
      </c>
      <c r="I4954" s="123" t="str">
        <f>IFERROR(VLOOKUP(Table1722[[#This Row],[Bukti]],Table13[#Data],11,FALSE),"")</f>
        <v/>
      </c>
    </row>
    <row r="4955" spans="1:9" hidden="1" x14ac:dyDescent="0.2">
      <c r="A4955" s="105" t="str">
        <f>IF(D4955=1,COUNTIF($D$10:D4955,1)," ")</f>
        <v xml:space="preserve"> </v>
      </c>
      <c r="B4955" s="106">
        <f>COPY!AR4947</f>
        <v>0</v>
      </c>
      <c r="C4955" s="107">
        <f>COPY!AC4947</f>
        <v>0</v>
      </c>
      <c r="D4955" s="107" t="str">
        <f>IF(LEN(Table1722[[#This Row],[Uraian]])&gt;2,1," ")</f>
        <v xml:space="preserve"> </v>
      </c>
      <c r="E4955" s="113" t="str">
        <f>IF(Table1722[[#This Row],[Lawan Transaksi]]="CV AGUNG KARYA",COUNTIF($I$10:I4955,"CV AGUNG KARYA")," ")</f>
        <v xml:space="preserve"> </v>
      </c>
      <c r="F4955" s="107" t="str">
        <f>IF(LEN(Table1722[[#This Row],[Uraian]])&gt;2,TRIM(RIGHT(SUBSTITUTE(TRIM(C4955)," ",REPT(" ",255)),255))," ")</f>
        <v xml:space="preserve"> </v>
      </c>
      <c r="G4955" s="110">
        <f>COPY!Z4947</f>
        <v>0</v>
      </c>
      <c r="H4955" s="111" t="str">
        <f>IFERROR(VLOOKUP(Table1722[[#This Row],[Bukti]],'Un nOTA'!$A$4:$K$5003,10,FALSE),"")</f>
        <v/>
      </c>
      <c r="I4955" s="123" t="str">
        <f>IFERROR(VLOOKUP(Table1722[[#This Row],[Bukti]],Table13[#Data],11,FALSE),"")</f>
        <v/>
      </c>
    </row>
    <row r="4956" spans="1:9" hidden="1" x14ac:dyDescent="0.2">
      <c r="A4956" s="105" t="str">
        <f>IF(D4956=1,COUNTIF($D$10:D4956,1)," ")</f>
        <v xml:space="preserve"> </v>
      </c>
      <c r="B4956" s="106">
        <f>COPY!AR4948</f>
        <v>0</v>
      </c>
      <c r="C4956" s="107">
        <f>COPY!AC4948</f>
        <v>0</v>
      </c>
      <c r="D4956" s="107" t="str">
        <f>IF(LEN(Table1722[[#This Row],[Uraian]])&gt;2,1," ")</f>
        <v xml:space="preserve"> </v>
      </c>
      <c r="E4956" s="113" t="str">
        <f>IF(Table1722[[#This Row],[Lawan Transaksi]]="CV AGUNG KARYA",COUNTIF($I$10:I4956,"CV AGUNG KARYA")," ")</f>
        <v xml:space="preserve"> </v>
      </c>
      <c r="F4956" s="107" t="str">
        <f>IF(LEN(Table1722[[#This Row],[Uraian]])&gt;2,TRIM(RIGHT(SUBSTITUTE(TRIM(C4956)," ",REPT(" ",255)),255))," ")</f>
        <v xml:space="preserve"> </v>
      </c>
      <c r="G4956" s="110">
        <f>COPY!Z4948</f>
        <v>0</v>
      </c>
      <c r="H4956" s="111" t="str">
        <f>IFERROR(VLOOKUP(Table1722[[#This Row],[Bukti]],'Un nOTA'!$A$4:$K$5003,10,FALSE),"")</f>
        <v/>
      </c>
      <c r="I4956" s="123" t="str">
        <f>IFERROR(VLOOKUP(Table1722[[#This Row],[Bukti]],Table13[#Data],11,FALSE),"")</f>
        <v/>
      </c>
    </row>
    <row r="4957" spans="1:9" hidden="1" x14ac:dyDescent="0.2">
      <c r="A4957" s="105" t="str">
        <f>IF(D4957=1,COUNTIF($D$10:D4957,1)," ")</f>
        <v xml:space="preserve"> </v>
      </c>
      <c r="B4957" s="106">
        <f>COPY!AR4949</f>
        <v>0</v>
      </c>
      <c r="C4957" s="107">
        <f>COPY!AC4949</f>
        <v>0</v>
      </c>
      <c r="D4957" s="107" t="str">
        <f>IF(LEN(Table1722[[#This Row],[Uraian]])&gt;2,1," ")</f>
        <v xml:space="preserve"> </v>
      </c>
      <c r="E4957" s="113" t="str">
        <f>IF(Table1722[[#This Row],[Lawan Transaksi]]="CV AGUNG KARYA",COUNTIF($I$10:I4957,"CV AGUNG KARYA")," ")</f>
        <v xml:space="preserve"> </v>
      </c>
      <c r="F4957" s="107" t="str">
        <f>IF(LEN(Table1722[[#This Row],[Uraian]])&gt;2,TRIM(RIGHT(SUBSTITUTE(TRIM(C4957)," ",REPT(" ",255)),255))," ")</f>
        <v xml:space="preserve"> </v>
      </c>
      <c r="G4957" s="110">
        <f>COPY!Z4949</f>
        <v>0</v>
      </c>
      <c r="H4957" s="111" t="str">
        <f>IFERROR(VLOOKUP(Table1722[[#This Row],[Bukti]],'Un nOTA'!$A$4:$K$5003,10,FALSE),"")</f>
        <v/>
      </c>
      <c r="I4957" s="123" t="str">
        <f>IFERROR(VLOOKUP(Table1722[[#This Row],[Bukti]],Table13[#Data],11,FALSE),"")</f>
        <v/>
      </c>
    </row>
    <row r="4958" spans="1:9" hidden="1" x14ac:dyDescent="0.2">
      <c r="A4958" s="105" t="str">
        <f>IF(D4958=1,COUNTIF($D$10:D4958,1)," ")</f>
        <v xml:space="preserve"> </v>
      </c>
      <c r="B4958" s="106">
        <f>COPY!AR4950</f>
        <v>0</v>
      </c>
      <c r="C4958" s="107">
        <f>COPY!AC4950</f>
        <v>0</v>
      </c>
      <c r="D4958" s="107" t="str">
        <f>IF(LEN(Table1722[[#This Row],[Uraian]])&gt;2,1," ")</f>
        <v xml:space="preserve"> </v>
      </c>
      <c r="E4958" s="113" t="str">
        <f>IF(Table1722[[#This Row],[Lawan Transaksi]]="CV AGUNG KARYA",COUNTIF($I$10:I4958,"CV AGUNG KARYA")," ")</f>
        <v xml:space="preserve"> </v>
      </c>
      <c r="F4958" s="107" t="str">
        <f>IF(LEN(Table1722[[#This Row],[Uraian]])&gt;2,TRIM(RIGHT(SUBSTITUTE(TRIM(C4958)," ",REPT(" ",255)),255))," ")</f>
        <v xml:space="preserve"> </v>
      </c>
      <c r="G4958" s="110">
        <f>COPY!Z4950</f>
        <v>0</v>
      </c>
      <c r="H4958" s="111" t="str">
        <f>IFERROR(VLOOKUP(Table1722[[#This Row],[Bukti]],'Un nOTA'!$A$4:$K$5003,10,FALSE),"")</f>
        <v/>
      </c>
      <c r="I4958" s="123" t="str">
        <f>IFERROR(VLOOKUP(Table1722[[#This Row],[Bukti]],Table13[#Data],11,FALSE),"")</f>
        <v/>
      </c>
    </row>
    <row r="4959" spans="1:9" hidden="1" x14ac:dyDescent="0.2">
      <c r="A4959" s="105" t="str">
        <f>IF(D4959=1,COUNTIF($D$10:D4959,1)," ")</f>
        <v xml:space="preserve"> </v>
      </c>
      <c r="B4959" s="106">
        <f>COPY!AR4951</f>
        <v>0</v>
      </c>
      <c r="C4959" s="107">
        <f>COPY!AC4951</f>
        <v>0</v>
      </c>
      <c r="D4959" s="107" t="str">
        <f>IF(LEN(Table1722[[#This Row],[Uraian]])&gt;2,1," ")</f>
        <v xml:space="preserve"> </v>
      </c>
      <c r="E4959" s="113" t="str">
        <f>IF(Table1722[[#This Row],[Lawan Transaksi]]="CV AGUNG KARYA",COUNTIF($I$10:I4959,"CV AGUNG KARYA")," ")</f>
        <v xml:space="preserve"> </v>
      </c>
      <c r="F4959" s="107" t="str">
        <f>IF(LEN(Table1722[[#This Row],[Uraian]])&gt;2,TRIM(RIGHT(SUBSTITUTE(TRIM(C4959)," ",REPT(" ",255)),255))," ")</f>
        <v xml:space="preserve"> </v>
      </c>
      <c r="G4959" s="110">
        <f>COPY!Z4951</f>
        <v>0</v>
      </c>
      <c r="H4959" s="111" t="str">
        <f>IFERROR(VLOOKUP(Table1722[[#This Row],[Bukti]],'Un nOTA'!$A$4:$K$5003,10,FALSE),"")</f>
        <v/>
      </c>
      <c r="I4959" s="123" t="str">
        <f>IFERROR(VLOOKUP(Table1722[[#This Row],[Bukti]],Table13[#Data],11,FALSE),"")</f>
        <v/>
      </c>
    </row>
    <row r="4960" spans="1:9" hidden="1" x14ac:dyDescent="0.2">
      <c r="A4960" s="105" t="str">
        <f>IF(D4960=1,COUNTIF($D$10:D4960,1)," ")</f>
        <v xml:space="preserve"> </v>
      </c>
      <c r="B4960" s="106">
        <f>COPY!AR4952</f>
        <v>0</v>
      </c>
      <c r="C4960" s="107">
        <f>COPY!AC4952</f>
        <v>0</v>
      </c>
      <c r="D4960" s="107" t="str">
        <f>IF(LEN(Table1722[[#This Row],[Uraian]])&gt;2,1," ")</f>
        <v xml:space="preserve"> </v>
      </c>
      <c r="E4960" s="113" t="str">
        <f>IF(Table1722[[#This Row],[Lawan Transaksi]]="CV AGUNG KARYA",COUNTIF($I$10:I4960,"CV AGUNG KARYA")," ")</f>
        <v xml:space="preserve"> </v>
      </c>
      <c r="F4960" s="107" t="str">
        <f>IF(LEN(Table1722[[#This Row],[Uraian]])&gt;2,TRIM(RIGHT(SUBSTITUTE(TRIM(C4960)," ",REPT(" ",255)),255))," ")</f>
        <v xml:space="preserve"> </v>
      </c>
      <c r="G4960" s="110">
        <f>COPY!Z4952</f>
        <v>0</v>
      </c>
      <c r="H4960" s="111" t="str">
        <f>IFERROR(VLOOKUP(Table1722[[#This Row],[Bukti]],'Un nOTA'!$A$4:$K$5003,10,FALSE),"")</f>
        <v/>
      </c>
      <c r="I4960" s="123" t="str">
        <f>IFERROR(VLOOKUP(Table1722[[#This Row],[Bukti]],Table13[#Data],11,FALSE),"")</f>
        <v/>
      </c>
    </row>
    <row r="4961" spans="1:9" hidden="1" x14ac:dyDescent="0.2">
      <c r="A4961" s="105" t="str">
        <f>IF(D4961=1,COUNTIF($D$10:D4961,1)," ")</f>
        <v xml:space="preserve"> </v>
      </c>
      <c r="B4961" s="106">
        <f>COPY!AR4953</f>
        <v>0</v>
      </c>
      <c r="C4961" s="107">
        <f>COPY!AC4953</f>
        <v>0</v>
      </c>
      <c r="D4961" s="107" t="str">
        <f>IF(LEN(Table1722[[#This Row],[Uraian]])&gt;2,1," ")</f>
        <v xml:space="preserve"> </v>
      </c>
      <c r="E4961" s="113" t="str">
        <f>IF(Table1722[[#This Row],[Lawan Transaksi]]="CV AGUNG KARYA",COUNTIF($I$10:I4961,"CV AGUNG KARYA")," ")</f>
        <v xml:space="preserve"> </v>
      </c>
      <c r="F4961" s="107" t="str">
        <f>IF(LEN(Table1722[[#This Row],[Uraian]])&gt;2,TRIM(RIGHT(SUBSTITUTE(TRIM(C4961)," ",REPT(" ",255)),255))," ")</f>
        <v xml:space="preserve"> </v>
      </c>
      <c r="G4961" s="110">
        <f>COPY!Z4953</f>
        <v>0</v>
      </c>
      <c r="H4961" s="111" t="str">
        <f>IFERROR(VLOOKUP(Table1722[[#This Row],[Bukti]],'Un nOTA'!$A$4:$K$5003,10,FALSE),"")</f>
        <v/>
      </c>
      <c r="I4961" s="123" t="str">
        <f>IFERROR(VLOOKUP(Table1722[[#This Row],[Bukti]],Table13[#Data],11,FALSE),"")</f>
        <v/>
      </c>
    </row>
    <row r="4962" spans="1:9" hidden="1" x14ac:dyDescent="0.2">
      <c r="A4962" s="105" t="str">
        <f>IF(D4962=1,COUNTIF($D$10:D4962,1)," ")</f>
        <v xml:space="preserve"> </v>
      </c>
      <c r="B4962" s="106">
        <f>COPY!AR4954</f>
        <v>0</v>
      </c>
      <c r="C4962" s="107">
        <f>COPY!AC4954</f>
        <v>0</v>
      </c>
      <c r="D4962" s="107" t="str">
        <f>IF(LEN(Table1722[[#This Row],[Uraian]])&gt;2,1," ")</f>
        <v xml:space="preserve"> </v>
      </c>
      <c r="E4962" s="113" t="str">
        <f>IF(Table1722[[#This Row],[Lawan Transaksi]]="CV AGUNG KARYA",COUNTIF($I$10:I4962,"CV AGUNG KARYA")," ")</f>
        <v xml:space="preserve"> </v>
      </c>
      <c r="F4962" s="107" t="str">
        <f>IF(LEN(Table1722[[#This Row],[Uraian]])&gt;2,TRIM(RIGHT(SUBSTITUTE(TRIM(C4962)," ",REPT(" ",255)),255))," ")</f>
        <v xml:space="preserve"> </v>
      </c>
      <c r="G4962" s="110">
        <f>COPY!Z4954</f>
        <v>0</v>
      </c>
      <c r="H4962" s="111" t="str">
        <f>IFERROR(VLOOKUP(Table1722[[#This Row],[Bukti]],'Un nOTA'!$A$4:$K$5003,10,FALSE),"")</f>
        <v/>
      </c>
      <c r="I4962" s="123" t="str">
        <f>IFERROR(VLOOKUP(Table1722[[#This Row],[Bukti]],Table13[#Data],11,FALSE),"")</f>
        <v/>
      </c>
    </row>
    <row r="4963" spans="1:9" hidden="1" x14ac:dyDescent="0.2">
      <c r="A4963" s="105" t="str">
        <f>IF(D4963=1,COUNTIF($D$10:D4963,1)," ")</f>
        <v xml:space="preserve"> </v>
      </c>
      <c r="B4963" s="106">
        <f>COPY!AR4955</f>
        <v>0</v>
      </c>
      <c r="C4963" s="107">
        <f>COPY!AC4955</f>
        <v>0</v>
      </c>
      <c r="D4963" s="107" t="str">
        <f>IF(LEN(Table1722[[#This Row],[Uraian]])&gt;2,1," ")</f>
        <v xml:space="preserve"> </v>
      </c>
      <c r="E4963" s="113" t="str">
        <f>IF(Table1722[[#This Row],[Lawan Transaksi]]="CV AGUNG KARYA",COUNTIF($I$10:I4963,"CV AGUNG KARYA")," ")</f>
        <v xml:space="preserve"> </v>
      </c>
      <c r="F4963" s="107" t="str">
        <f>IF(LEN(Table1722[[#This Row],[Uraian]])&gt;2,TRIM(RIGHT(SUBSTITUTE(TRIM(C4963)," ",REPT(" ",255)),255))," ")</f>
        <v xml:space="preserve"> </v>
      </c>
      <c r="G4963" s="110">
        <f>COPY!Z4955</f>
        <v>0</v>
      </c>
      <c r="H4963" s="111" t="str">
        <f>IFERROR(VLOOKUP(Table1722[[#This Row],[Bukti]],'Un nOTA'!$A$4:$K$5003,10,FALSE),"")</f>
        <v/>
      </c>
      <c r="I4963" s="123" t="str">
        <f>IFERROR(VLOOKUP(Table1722[[#This Row],[Bukti]],Table13[#Data],11,FALSE),"")</f>
        <v/>
      </c>
    </row>
    <row r="4964" spans="1:9" hidden="1" x14ac:dyDescent="0.2">
      <c r="A4964" s="105" t="str">
        <f>IF(D4964=1,COUNTIF($D$10:D4964,1)," ")</f>
        <v xml:space="preserve"> </v>
      </c>
      <c r="B4964" s="106">
        <f>COPY!AR4956</f>
        <v>0</v>
      </c>
      <c r="C4964" s="107">
        <f>COPY!AC4956</f>
        <v>0</v>
      </c>
      <c r="D4964" s="107" t="str">
        <f>IF(LEN(Table1722[[#This Row],[Uraian]])&gt;2,1," ")</f>
        <v xml:space="preserve"> </v>
      </c>
      <c r="E4964" s="113" t="str">
        <f>IF(Table1722[[#This Row],[Lawan Transaksi]]="CV AGUNG KARYA",COUNTIF($I$10:I4964,"CV AGUNG KARYA")," ")</f>
        <v xml:space="preserve"> </v>
      </c>
      <c r="F4964" s="107" t="str">
        <f>IF(LEN(Table1722[[#This Row],[Uraian]])&gt;2,TRIM(RIGHT(SUBSTITUTE(TRIM(C4964)," ",REPT(" ",255)),255))," ")</f>
        <v xml:space="preserve"> </v>
      </c>
      <c r="G4964" s="110">
        <f>COPY!Z4956</f>
        <v>0</v>
      </c>
      <c r="H4964" s="111" t="str">
        <f>IFERROR(VLOOKUP(Table1722[[#This Row],[Bukti]],'Un nOTA'!$A$4:$K$5003,10,FALSE),"")</f>
        <v/>
      </c>
      <c r="I4964" s="123" t="str">
        <f>IFERROR(VLOOKUP(Table1722[[#This Row],[Bukti]],Table13[#Data],11,FALSE),"")</f>
        <v/>
      </c>
    </row>
    <row r="4965" spans="1:9" hidden="1" x14ac:dyDescent="0.2">
      <c r="A4965" s="105" t="str">
        <f>IF(D4965=1,COUNTIF($D$10:D4965,1)," ")</f>
        <v xml:space="preserve"> </v>
      </c>
      <c r="B4965" s="106">
        <f>COPY!AR4957</f>
        <v>0</v>
      </c>
      <c r="C4965" s="107">
        <f>COPY!AC4957</f>
        <v>0</v>
      </c>
      <c r="D4965" s="107" t="str">
        <f>IF(LEN(Table1722[[#This Row],[Uraian]])&gt;2,1," ")</f>
        <v xml:space="preserve"> </v>
      </c>
      <c r="E4965" s="113" t="str">
        <f>IF(Table1722[[#This Row],[Lawan Transaksi]]="CV AGUNG KARYA",COUNTIF($I$10:I4965,"CV AGUNG KARYA")," ")</f>
        <v xml:space="preserve"> </v>
      </c>
      <c r="F4965" s="107" t="str">
        <f>IF(LEN(Table1722[[#This Row],[Uraian]])&gt;2,TRIM(RIGHT(SUBSTITUTE(TRIM(C4965)," ",REPT(" ",255)),255))," ")</f>
        <v xml:space="preserve"> </v>
      </c>
      <c r="G4965" s="110">
        <f>COPY!Z4957</f>
        <v>0</v>
      </c>
      <c r="H4965" s="111" t="str">
        <f>IFERROR(VLOOKUP(Table1722[[#This Row],[Bukti]],'Un nOTA'!$A$4:$K$5003,10,FALSE),"")</f>
        <v/>
      </c>
      <c r="I4965" s="123" t="str">
        <f>IFERROR(VLOOKUP(Table1722[[#This Row],[Bukti]],Table13[#Data],11,FALSE),"")</f>
        <v/>
      </c>
    </row>
    <row r="4966" spans="1:9" hidden="1" x14ac:dyDescent="0.2">
      <c r="A4966" s="105" t="str">
        <f>IF(D4966=1,COUNTIF($D$10:D4966,1)," ")</f>
        <v xml:space="preserve"> </v>
      </c>
      <c r="B4966" s="106">
        <f>COPY!AR4958</f>
        <v>0</v>
      </c>
      <c r="C4966" s="107">
        <f>COPY!AC4958</f>
        <v>0</v>
      </c>
      <c r="D4966" s="107" t="str">
        <f>IF(LEN(Table1722[[#This Row],[Uraian]])&gt;2,1," ")</f>
        <v xml:space="preserve"> </v>
      </c>
      <c r="E4966" s="113" t="str">
        <f>IF(Table1722[[#This Row],[Lawan Transaksi]]="CV AGUNG KARYA",COUNTIF($I$10:I4966,"CV AGUNG KARYA")," ")</f>
        <v xml:space="preserve"> </v>
      </c>
      <c r="F4966" s="107" t="str">
        <f>IF(LEN(Table1722[[#This Row],[Uraian]])&gt;2,TRIM(RIGHT(SUBSTITUTE(TRIM(C4966)," ",REPT(" ",255)),255))," ")</f>
        <v xml:space="preserve"> </v>
      </c>
      <c r="G4966" s="110">
        <f>COPY!Z4958</f>
        <v>0</v>
      </c>
      <c r="H4966" s="111" t="str">
        <f>IFERROR(VLOOKUP(Table1722[[#This Row],[Bukti]],'Un nOTA'!$A$4:$K$5003,10,FALSE),"")</f>
        <v/>
      </c>
      <c r="I4966" s="123" t="str">
        <f>IFERROR(VLOOKUP(Table1722[[#This Row],[Bukti]],Table13[#Data],11,FALSE),"")</f>
        <v/>
      </c>
    </row>
    <row r="4967" spans="1:9" hidden="1" x14ac:dyDescent="0.2">
      <c r="A4967" s="105" t="str">
        <f>IF(D4967=1,COUNTIF($D$10:D4967,1)," ")</f>
        <v xml:space="preserve"> </v>
      </c>
      <c r="B4967" s="106">
        <f>COPY!AR4959</f>
        <v>0</v>
      </c>
      <c r="C4967" s="107">
        <f>COPY!AC4959</f>
        <v>0</v>
      </c>
      <c r="D4967" s="107" t="str">
        <f>IF(LEN(Table1722[[#This Row],[Uraian]])&gt;2,1," ")</f>
        <v xml:space="preserve"> </v>
      </c>
      <c r="E4967" s="113" t="str">
        <f>IF(Table1722[[#This Row],[Lawan Transaksi]]="CV AGUNG KARYA",COUNTIF($I$10:I4967,"CV AGUNG KARYA")," ")</f>
        <v xml:space="preserve"> </v>
      </c>
      <c r="F4967" s="107" t="str">
        <f>IF(LEN(Table1722[[#This Row],[Uraian]])&gt;2,TRIM(RIGHT(SUBSTITUTE(TRIM(C4967)," ",REPT(" ",255)),255))," ")</f>
        <v xml:space="preserve"> </v>
      </c>
      <c r="G4967" s="110">
        <f>COPY!Z4959</f>
        <v>0</v>
      </c>
      <c r="H4967" s="111" t="str">
        <f>IFERROR(VLOOKUP(Table1722[[#This Row],[Bukti]],'Un nOTA'!$A$4:$K$5003,10,FALSE),"")</f>
        <v/>
      </c>
      <c r="I4967" s="123" t="str">
        <f>IFERROR(VLOOKUP(Table1722[[#This Row],[Bukti]],Table13[#Data],11,FALSE),"")</f>
        <v/>
      </c>
    </row>
    <row r="4968" spans="1:9" hidden="1" x14ac:dyDescent="0.2">
      <c r="A4968" s="105" t="str">
        <f>IF(D4968=1,COUNTIF($D$10:D4968,1)," ")</f>
        <v xml:space="preserve"> </v>
      </c>
      <c r="B4968" s="106">
        <f>COPY!AR4960</f>
        <v>0</v>
      </c>
      <c r="C4968" s="107">
        <f>COPY!AC4960</f>
        <v>0</v>
      </c>
      <c r="D4968" s="107" t="str">
        <f>IF(LEN(Table1722[[#This Row],[Uraian]])&gt;2,1," ")</f>
        <v xml:space="preserve"> </v>
      </c>
      <c r="E4968" s="113" t="str">
        <f>IF(Table1722[[#This Row],[Lawan Transaksi]]="CV AGUNG KARYA",COUNTIF($I$10:I4968,"CV AGUNG KARYA")," ")</f>
        <v xml:space="preserve"> </v>
      </c>
      <c r="F4968" s="107" t="str">
        <f>IF(LEN(Table1722[[#This Row],[Uraian]])&gt;2,TRIM(RIGHT(SUBSTITUTE(TRIM(C4968)," ",REPT(" ",255)),255))," ")</f>
        <v xml:space="preserve"> </v>
      </c>
      <c r="G4968" s="110">
        <f>COPY!Z4960</f>
        <v>0</v>
      </c>
      <c r="H4968" s="111" t="str">
        <f>IFERROR(VLOOKUP(Table1722[[#This Row],[Bukti]],'Un nOTA'!$A$4:$K$5003,10,FALSE),"")</f>
        <v/>
      </c>
      <c r="I4968" s="123" t="str">
        <f>IFERROR(VLOOKUP(Table1722[[#This Row],[Bukti]],Table13[#Data],11,FALSE),"")</f>
        <v/>
      </c>
    </row>
    <row r="4969" spans="1:9" hidden="1" x14ac:dyDescent="0.2">
      <c r="A4969" s="105" t="str">
        <f>IF(D4969=1,COUNTIF($D$10:D4969,1)," ")</f>
        <v xml:space="preserve"> </v>
      </c>
      <c r="B4969" s="106">
        <f>COPY!AR4961</f>
        <v>0</v>
      </c>
      <c r="C4969" s="107">
        <f>COPY!AC4961</f>
        <v>0</v>
      </c>
      <c r="D4969" s="107" t="str">
        <f>IF(LEN(Table1722[[#This Row],[Uraian]])&gt;2,1," ")</f>
        <v xml:space="preserve"> </v>
      </c>
      <c r="E4969" s="113" t="str">
        <f>IF(Table1722[[#This Row],[Lawan Transaksi]]="CV AGUNG KARYA",COUNTIF($I$10:I4969,"CV AGUNG KARYA")," ")</f>
        <v xml:space="preserve"> </v>
      </c>
      <c r="F4969" s="107" t="str">
        <f>IF(LEN(Table1722[[#This Row],[Uraian]])&gt;2,TRIM(RIGHT(SUBSTITUTE(TRIM(C4969)," ",REPT(" ",255)),255))," ")</f>
        <v xml:space="preserve"> </v>
      </c>
      <c r="G4969" s="110">
        <f>COPY!Z4961</f>
        <v>0</v>
      </c>
      <c r="H4969" s="111" t="str">
        <f>IFERROR(VLOOKUP(Table1722[[#This Row],[Bukti]],'Un nOTA'!$A$4:$K$5003,10,FALSE),"")</f>
        <v/>
      </c>
      <c r="I4969" s="123" t="str">
        <f>IFERROR(VLOOKUP(Table1722[[#This Row],[Bukti]],Table13[#Data],11,FALSE),"")</f>
        <v/>
      </c>
    </row>
    <row r="4970" spans="1:9" hidden="1" x14ac:dyDescent="0.2">
      <c r="A4970" s="105" t="str">
        <f>IF(D4970=1,COUNTIF($D$10:D4970,1)," ")</f>
        <v xml:space="preserve"> </v>
      </c>
      <c r="B4970" s="106">
        <f>COPY!AR4962</f>
        <v>0</v>
      </c>
      <c r="C4970" s="107">
        <f>COPY!AC4962</f>
        <v>0</v>
      </c>
      <c r="D4970" s="107" t="str">
        <f>IF(LEN(Table1722[[#This Row],[Uraian]])&gt;2,1," ")</f>
        <v xml:space="preserve"> </v>
      </c>
      <c r="E4970" s="113" t="str">
        <f>IF(Table1722[[#This Row],[Lawan Transaksi]]="CV AGUNG KARYA",COUNTIF($I$10:I4970,"CV AGUNG KARYA")," ")</f>
        <v xml:space="preserve"> </v>
      </c>
      <c r="F4970" s="107" t="str">
        <f>IF(LEN(Table1722[[#This Row],[Uraian]])&gt;2,TRIM(RIGHT(SUBSTITUTE(TRIM(C4970)," ",REPT(" ",255)),255))," ")</f>
        <v xml:space="preserve"> </v>
      </c>
      <c r="G4970" s="110">
        <f>COPY!Z4962</f>
        <v>0</v>
      </c>
      <c r="H4970" s="111" t="str">
        <f>IFERROR(VLOOKUP(Table1722[[#This Row],[Bukti]],'Un nOTA'!$A$4:$K$5003,10,FALSE),"")</f>
        <v/>
      </c>
      <c r="I4970" s="123" t="str">
        <f>IFERROR(VLOOKUP(Table1722[[#This Row],[Bukti]],Table13[#Data],11,FALSE),"")</f>
        <v/>
      </c>
    </row>
    <row r="4971" spans="1:9" hidden="1" x14ac:dyDescent="0.2">
      <c r="A4971" s="105" t="str">
        <f>IF(D4971=1,COUNTIF($D$10:D4971,1)," ")</f>
        <v xml:space="preserve"> </v>
      </c>
      <c r="B4971" s="106">
        <f>COPY!AR4963</f>
        <v>0</v>
      </c>
      <c r="C4971" s="107">
        <f>COPY!AC4963</f>
        <v>0</v>
      </c>
      <c r="D4971" s="107" t="str">
        <f>IF(LEN(Table1722[[#This Row],[Uraian]])&gt;2,1," ")</f>
        <v xml:space="preserve"> </v>
      </c>
      <c r="E4971" s="113" t="str">
        <f>IF(Table1722[[#This Row],[Lawan Transaksi]]="CV AGUNG KARYA",COUNTIF($I$10:I4971,"CV AGUNG KARYA")," ")</f>
        <v xml:space="preserve"> </v>
      </c>
      <c r="F4971" s="107" t="str">
        <f>IF(LEN(Table1722[[#This Row],[Uraian]])&gt;2,TRIM(RIGHT(SUBSTITUTE(TRIM(C4971)," ",REPT(" ",255)),255))," ")</f>
        <v xml:space="preserve"> </v>
      </c>
      <c r="G4971" s="110">
        <f>COPY!Z4963</f>
        <v>0</v>
      </c>
      <c r="H4971" s="111" t="str">
        <f>IFERROR(VLOOKUP(Table1722[[#This Row],[Bukti]],'Un nOTA'!$A$4:$K$5003,10,FALSE),"")</f>
        <v/>
      </c>
      <c r="I4971" s="123" t="str">
        <f>IFERROR(VLOOKUP(Table1722[[#This Row],[Bukti]],Table13[#Data],11,FALSE),"")</f>
        <v/>
      </c>
    </row>
    <row r="4972" spans="1:9" hidden="1" x14ac:dyDescent="0.2">
      <c r="A4972" s="105" t="str">
        <f>IF(D4972=1,COUNTIF($D$10:D4972,1)," ")</f>
        <v xml:space="preserve"> </v>
      </c>
      <c r="B4972" s="106">
        <f>COPY!AR4964</f>
        <v>0</v>
      </c>
      <c r="C4972" s="107">
        <f>COPY!AC4964</f>
        <v>0</v>
      </c>
      <c r="D4972" s="107" t="str">
        <f>IF(LEN(Table1722[[#This Row],[Uraian]])&gt;2,1," ")</f>
        <v xml:space="preserve"> </v>
      </c>
      <c r="E4972" s="113" t="str">
        <f>IF(Table1722[[#This Row],[Lawan Transaksi]]="CV AGUNG KARYA",COUNTIF($I$10:I4972,"CV AGUNG KARYA")," ")</f>
        <v xml:space="preserve"> </v>
      </c>
      <c r="F4972" s="107" t="str">
        <f>IF(LEN(Table1722[[#This Row],[Uraian]])&gt;2,TRIM(RIGHT(SUBSTITUTE(TRIM(C4972)," ",REPT(" ",255)),255))," ")</f>
        <v xml:space="preserve"> </v>
      </c>
      <c r="G4972" s="110">
        <f>COPY!Z4964</f>
        <v>0</v>
      </c>
      <c r="H4972" s="111" t="str">
        <f>IFERROR(VLOOKUP(Table1722[[#This Row],[Bukti]],'Un nOTA'!$A$4:$K$5003,10,FALSE),"")</f>
        <v/>
      </c>
      <c r="I4972" s="123" t="str">
        <f>IFERROR(VLOOKUP(Table1722[[#This Row],[Bukti]],Table13[#Data],11,FALSE),"")</f>
        <v/>
      </c>
    </row>
    <row r="4973" spans="1:9" hidden="1" x14ac:dyDescent="0.2">
      <c r="A4973" s="105" t="str">
        <f>IF(D4973=1,COUNTIF($D$10:D4973,1)," ")</f>
        <v xml:space="preserve"> </v>
      </c>
      <c r="B4973" s="106">
        <f>COPY!AR4965</f>
        <v>0</v>
      </c>
      <c r="C4973" s="107">
        <f>COPY!AC4965</f>
        <v>0</v>
      </c>
      <c r="D4973" s="107" t="str">
        <f>IF(LEN(Table1722[[#This Row],[Uraian]])&gt;2,1," ")</f>
        <v xml:space="preserve"> </v>
      </c>
      <c r="E4973" s="113" t="str">
        <f>IF(Table1722[[#This Row],[Lawan Transaksi]]="CV AGUNG KARYA",COUNTIF($I$10:I4973,"CV AGUNG KARYA")," ")</f>
        <v xml:space="preserve"> </v>
      </c>
      <c r="F4973" s="107" t="str">
        <f>IF(LEN(Table1722[[#This Row],[Uraian]])&gt;2,TRIM(RIGHT(SUBSTITUTE(TRIM(C4973)," ",REPT(" ",255)),255))," ")</f>
        <v xml:space="preserve"> </v>
      </c>
      <c r="G4973" s="110">
        <f>COPY!Z4965</f>
        <v>0</v>
      </c>
      <c r="H4973" s="111" t="str">
        <f>IFERROR(VLOOKUP(Table1722[[#This Row],[Bukti]],'Un nOTA'!$A$4:$K$5003,10,FALSE),"")</f>
        <v/>
      </c>
      <c r="I4973" s="123" t="str">
        <f>IFERROR(VLOOKUP(Table1722[[#This Row],[Bukti]],Table13[#Data],11,FALSE),"")</f>
        <v/>
      </c>
    </row>
    <row r="4974" spans="1:9" hidden="1" x14ac:dyDescent="0.2">
      <c r="A4974" s="105" t="str">
        <f>IF(D4974=1,COUNTIF($D$10:D4974,1)," ")</f>
        <v xml:space="preserve"> </v>
      </c>
      <c r="B4974" s="106">
        <f>COPY!AR4966</f>
        <v>0</v>
      </c>
      <c r="C4974" s="107">
        <f>COPY!AC4966</f>
        <v>0</v>
      </c>
      <c r="D4974" s="107" t="str">
        <f>IF(LEN(Table1722[[#This Row],[Uraian]])&gt;2,1," ")</f>
        <v xml:space="preserve"> </v>
      </c>
      <c r="E4974" s="113" t="str">
        <f>IF(Table1722[[#This Row],[Lawan Transaksi]]="CV AGUNG KARYA",COUNTIF($I$10:I4974,"CV AGUNG KARYA")," ")</f>
        <v xml:space="preserve"> </v>
      </c>
      <c r="F4974" s="107" t="str">
        <f>IF(LEN(Table1722[[#This Row],[Uraian]])&gt;2,TRIM(RIGHT(SUBSTITUTE(TRIM(C4974)," ",REPT(" ",255)),255))," ")</f>
        <v xml:space="preserve"> </v>
      </c>
      <c r="G4974" s="110">
        <f>COPY!Z4966</f>
        <v>0</v>
      </c>
      <c r="H4974" s="111" t="str">
        <f>IFERROR(VLOOKUP(Table1722[[#This Row],[Bukti]],'Un nOTA'!$A$4:$K$5003,10,FALSE),"")</f>
        <v/>
      </c>
      <c r="I4974" s="123" t="str">
        <f>IFERROR(VLOOKUP(Table1722[[#This Row],[Bukti]],Table13[#Data],11,FALSE),"")</f>
        <v/>
      </c>
    </row>
    <row r="4975" spans="1:9" hidden="1" x14ac:dyDescent="0.2">
      <c r="A4975" s="105" t="str">
        <f>IF(D4975=1,COUNTIF($D$10:D4975,1)," ")</f>
        <v xml:space="preserve"> </v>
      </c>
      <c r="B4975" s="106">
        <f>COPY!AR4967</f>
        <v>0</v>
      </c>
      <c r="C4975" s="107">
        <f>COPY!AC4967</f>
        <v>0</v>
      </c>
      <c r="D4975" s="107" t="str">
        <f>IF(LEN(Table1722[[#This Row],[Uraian]])&gt;2,1," ")</f>
        <v xml:space="preserve"> </v>
      </c>
      <c r="E4975" s="113" t="str">
        <f>IF(Table1722[[#This Row],[Lawan Transaksi]]="CV AGUNG KARYA",COUNTIF($I$10:I4975,"CV AGUNG KARYA")," ")</f>
        <v xml:space="preserve"> </v>
      </c>
      <c r="F4975" s="107" t="str">
        <f>IF(LEN(Table1722[[#This Row],[Uraian]])&gt;2,TRIM(RIGHT(SUBSTITUTE(TRIM(C4975)," ",REPT(" ",255)),255))," ")</f>
        <v xml:space="preserve"> </v>
      </c>
      <c r="G4975" s="110">
        <f>COPY!Z4967</f>
        <v>0</v>
      </c>
      <c r="H4975" s="111" t="str">
        <f>IFERROR(VLOOKUP(Table1722[[#This Row],[Bukti]],'Un nOTA'!$A$4:$K$5003,10,FALSE),"")</f>
        <v/>
      </c>
      <c r="I4975" s="123" t="str">
        <f>IFERROR(VLOOKUP(Table1722[[#This Row],[Bukti]],Table13[#Data],11,FALSE),"")</f>
        <v/>
      </c>
    </row>
    <row r="4976" spans="1:9" hidden="1" x14ac:dyDescent="0.2">
      <c r="A4976" s="105" t="str">
        <f>IF(D4976=1,COUNTIF($D$10:D4976,1)," ")</f>
        <v xml:space="preserve"> </v>
      </c>
      <c r="B4976" s="106">
        <f>COPY!AR4968</f>
        <v>0</v>
      </c>
      <c r="C4976" s="107">
        <f>COPY!AC4968</f>
        <v>0</v>
      </c>
      <c r="D4976" s="107" t="str">
        <f>IF(LEN(Table1722[[#This Row],[Uraian]])&gt;2,1," ")</f>
        <v xml:space="preserve"> </v>
      </c>
      <c r="E4976" s="113" t="str">
        <f>IF(Table1722[[#This Row],[Lawan Transaksi]]="CV AGUNG KARYA",COUNTIF($I$10:I4976,"CV AGUNG KARYA")," ")</f>
        <v xml:space="preserve"> </v>
      </c>
      <c r="F4976" s="107" t="str">
        <f>IF(LEN(Table1722[[#This Row],[Uraian]])&gt;2,TRIM(RIGHT(SUBSTITUTE(TRIM(C4976)," ",REPT(" ",255)),255))," ")</f>
        <v xml:space="preserve"> </v>
      </c>
      <c r="G4976" s="110">
        <f>COPY!Z4968</f>
        <v>0</v>
      </c>
      <c r="H4976" s="111" t="str">
        <f>IFERROR(VLOOKUP(Table1722[[#This Row],[Bukti]],'Un nOTA'!$A$4:$K$5003,10,FALSE),"")</f>
        <v/>
      </c>
      <c r="I4976" s="123" t="str">
        <f>IFERROR(VLOOKUP(Table1722[[#This Row],[Bukti]],Table13[#Data],11,FALSE),"")</f>
        <v/>
      </c>
    </row>
    <row r="4977" spans="1:9" hidden="1" x14ac:dyDescent="0.2">
      <c r="A4977" s="105" t="str">
        <f>IF(D4977=1,COUNTIF($D$10:D4977,1)," ")</f>
        <v xml:space="preserve"> </v>
      </c>
      <c r="B4977" s="106">
        <f>COPY!AR4969</f>
        <v>0</v>
      </c>
      <c r="C4977" s="107">
        <f>COPY!AC4969</f>
        <v>0</v>
      </c>
      <c r="D4977" s="107" t="str">
        <f>IF(LEN(Table1722[[#This Row],[Uraian]])&gt;2,1," ")</f>
        <v xml:space="preserve"> </v>
      </c>
      <c r="E4977" s="113" t="str">
        <f>IF(Table1722[[#This Row],[Lawan Transaksi]]="CV AGUNG KARYA",COUNTIF($I$10:I4977,"CV AGUNG KARYA")," ")</f>
        <v xml:space="preserve"> </v>
      </c>
      <c r="F4977" s="107" t="str">
        <f>IF(LEN(Table1722[[#This Row],[Uraian]])&gt;2,TRIM(RIGHT(SUBSTITUTE(TRIM(C4977)," ",REPT(" ",255)),255))," ")</f>
        <v xml:space="preserve"> </v>
      </c>
      <c r="G4977" s="110">
        <f>COPY!Z4969</f>
        <v>0</v>
      </c>
      <c r="H4977" s="111" t="str">
        <f>IFERROR(VLOOKUP(Table1722[[#This Row],[Bukti]],'Un nOTA'!$A$4:$K$5003,10,FALSE),"")</f>
        <v/>
      </c>
      <c r="I4977" s="123" t="str">
        <f>IFERROR(VLOOKUP(Table1722[[#This Row],[Bukti]],Table13[#Data],11,FALSE),"")</f>
        <v/>
      </c>
    </row>
    <row r="4978" spans="1:9" hidden="1" x14ac:dyDescent="0.2">
      <c r="A4978" s="105" t="str">
        <f>IF(D4978=1,COUNTIF($D$10:D4978,1)," ")</f>
        <v xml:space="preserve"> </v>
      </c>
      <c r="B4978" s="106">
        <f>COPY!AR4970</f>
        <v>0</v>
      </c>
      <c r="C4978" s="107">
        <f>COPY!AC4970</f>
        <v>0</v>
      </c>
      <c r="D4978" s="107" t="str">
        <f>IF(LEN(Table1722[[#This Row],[Uraian]])&gt;2,1," ")</f>
        <v xml:space="preserve"> </v>
      </c>
      <c r="E4978" s="113" t="str">
        <f>IF(Table1722[[#This Row],[Lawan Transaksi]]="CV AGUNG KARYA",COUNTIF($I$10:I4978,"CV AGUNG KARYA")," ")</f>
        <v xml:space="preserve"> </v>
      </c>
      <c r="F4978" s="107" t="str">
        <f>IF(LEN(Table1722[[#This Row],[Uraian]])&gt;2,TRIM(RIGHT(SUBSTITUTE(TRIM(C4978)," ",REPT(" ",255)),255))," ")</f>
        <v xml:space="preserve"> </v>
      </c>
      <c r="G4978" s="110">
        <f>COPY!Z4970</f>
        <v>0</v>
      </c>
      <c r="H4978" s="111" t="str">
        <f>IFERROR(VLOOKUP(Table1722[[#This Row],[Bukti]],'Un nOTA'!$A$4:$K$5003,10,FALSE),"")</f>
        <v/>
      </c>
      <c r="I4978" s="123" t="str">
        <f>IFERROR(VLOOKUP(Table1722[[#This Row],[Bukti]],Table13[#Data],11,FALSE),"")</f>
        <v/>
      </c>
    </row>
    <row r="4979" spans="1:9" hidden="1" x14ac:dyDescent="0.2">
      <c r="A4979" s="105" t="str">
        <f>IF(D4979=1,COUNTIF($D$10:D4979,1)," ")</f>
        <v xml:space="preserve"> </v>
      </c>
      <c r="B4979" s="106">
        <f>COPY!AR4971</f>
        <v>0</v>
      </c>
      <c r="C4979" s="107">
        <f>COPY!AC4971</f>
        <v>0</v>
      </c>
      <c r="D4979" s="107" t="str">
        <f>IF(LEN(Table1722[[#This Row],[Uraian]])&gt;2,1," ")</f>
        <v xml:space="preserve"> </v>
      </c>
      <c r="E4979" s="113" t="str">
        <f>IF(Table1722[[#This Row],[Lawan Transaksi]]="CV AGUNG KARYA",COUNTIF($I$10:I4979,"CV AGUNG KARYA")," ")</f>
        <v xml:space="preserve"> </v>
      </c>
      <c r="F4979" s="107" t="str">
        <f>IF(LEN(Table1722[[#This Row],[Uraian]])&gt;2,TRIM(RIGHT(SUBSTITUTE(TRIM(C4979)," ",REPT(" ",255)),255))," ")</f>
        <v xml:space="preserve"> </v>
      </c>
      <c r="G4979" s="110">
        <f>COPY!Z4971</f>
        <v>0</v>
      </c>
      <c r="H4979" s="111" t="str">
        <f>IFERROR(VLOOKUP(Table1722[[#This Row],[Bukti]],'Un nOTA'!$A$4:$K$5003,10,FALSE),"")</f>
        <v/>
      </c>
      <c r="I4979" s="123" t="str">
        <f>IFERROR(VLOOKUP(Table1722[[#This Row],[Bukti]],Table13[#Data],11,FALSE),"")</f>
        <v/>
      </c>
    </row>
    <row r="4980" spans="1:9" hidden="1" x14ac:dyDescent="0.2">
      <c r="A4980" s="105" t="str">
        <f>IF(D4980=1,COUNTIF($D$10:D4980,1)," ")</f>
        <v xml:space="preserve"> </v>
      </c>
      <c r="B4980" s="106">
        <f>COPY!AR4972</f>
        <v>0</v>
      </c>
      <c r="C4980" s="107">
        <f>COPY!AC4972</f>
        <v>0</v>
      </c>
      <c r="D4980" s="107" t="str">
        <f>IF(LEN(Table1722[[#This Row],[Uraian]])&gt;2,1," ")</f>
        <v xml:space="preserve"> </v>
      </c>
      <c r="E4980" s="113" t="str">
        <f>IF(Table1722[[#This Row],[Lawan Transaksi]]="CV AGUNG KARYA",COUNTIF($I$10:I4980,"CV AGUNG KARYA")," ")</f>
        <v xml:space="preserve"> </v>
      </c>
      <c r="F4980" s="107" t="str">
        <f>IF(LEN(Table1722[[#This Row],[Uraian]])&gt;2,TRIM(RIGHT(SUBSTITUTE(TRIM(C4980)," ",REPT(" ",255)),255))," ")</f>
        <v xml:space="preserve"> </v>
      </c>
      <c r="G4980" s="110">
        <f>COPY!Z4972</f>
        <v>0</v>
      </c>
      <c r="H4980" s="111" t="str">
        <f>IFERROR(VLOOKUP(Table1722[[#This Row],[Bukti]],'Un nOTA'!$A$4:$K$5003,10,FALSE),"")</f>
        <v/>
      </c>
      <c r="I4980" s="123" t="str">
        <f>IFERROR(VLOOKUP(Table1722[[#This Row],[Bukti]],Table13[#Data],11,FALSE),"")</f>
        <v/>
      </c>
    </row>
    <row r="4981" spans="1:9" hidden="1" x14ac:dyDescent="0.2">
      <c r="A4981" s="105" t="str">
        <f>IF(D4981=1,COUNTIF($D$10:D4981,1)," ")</f>
        <v xml:space="preserve"> </v>
      </c>
      <c r="B4981" s="106">
        <f>COPY!AR4973</f>
        <v>0</v>
      </c>
      <c r="C4981" s="107">
        <f>COPY!AC4973</f>
        <v>0</v>
      </c>
      <c r="D4981" s="107" t="str">
        <f>IF(LEN(Table1722[[#This Row],[Uraian]])&gt;2,1," ")</f>
        <v xml:space="preserve"> </v>
      </c>
      <c r="E4981" s="113" t="str">
        <f>IF(Table1722[[#This Row],[Lawan Transaksi]]="CV AGUNG KARYA",COUNTIF($I$10:I4981,"CV AGUNG KARYA")," ")</f>
        <v xml:space="preserve"> </v>
      </c>
      <c r="F4981" s="107" t="str">
        <f>IF(LEN(Table1722[[#This Row],[Uraian]])&gt;2,TRIM(RIGHT(SUBSTITUTE(TRIM(C4981)," ",REPT(" ",255)),255))," ")</f>
        <v xml:space="preserve"> </v>
      </c>
      <c r="G4981" s="110">
        <f>COPY!Z4973</f>
        <v>0</v>
      </c>
      <c r="H4981" s="111" t="str">
        <f>IFERROR(VLOOKUP(Table1722[[#This Row],[Bukti]],'Un nOTA'!$A$4:$K$5003,10,FALSE),"")</f>
        <v/>
      </c>
      <c r="I4981" s="123" t="str">
        <f>IFERROR(VLOOKUP(Table1722[[#This Row],[Bukti]],Table13[#Data],11,FALSE),"")</f>
        <v/>
      </c>
    </row>
    <row r="4982" spans="1:9" hidden="1" x14ac:dyDescent="0.2">
      <c r="A4982" s="105" t="str">
        <f>IF(D4982=1,COUNTIF($D$10:D4982,1)," ")</f>
        <v xml:space="preserve"> </v>
      </c>
      <c r="B4982" s="106">
        <f>COPY!AR4974</f>
        <v>0</v>
      </c>
      <c r="C4982" s="107">
        <f>COPY!AC4974</f>
        <v>0</v>
      </c>
      <c r="D4982" s="107" t="str">
        <f>IF(LEN(Table1722[[#This Row],[Uraian]])&gt;2,1," ")</f>
        <v xml:space="preserve"> </v>
      </c>
      <c r="E4982" s="113" t="str">
        <f>IF(Table1722[[#This Row],[Lawan Transaksi]]="CV AGUNG KARYA",COUNTIF($I$10:I4982,"CV AGUNG KARYA")," ")</f>
        <v xml:space="preserve"> </v>
      </c>
      <c r="F4982" s="107" t="str">
        <f>IF(LEN(Table1722[[#This Row],[Uraian]])&gt;2,TRIM(RIGHT(SUBSTITUTE(TRIM(C4982)," ",REPT(" ",255)),255))," ")</f>
        <v xml:space="preserve"> </v>
      </c>
      <c r="G4982" s="110">
        <f>COPY!Z4974</f>
        <v>0</v>
      </c>
      <c r="H4982" s="111" t="str">
        <f>IFERROR(VLOOKUP(Table1722[[#This Row],[Bukti]],'Un nOTA'!$A$4:$K$5003,10,FALSE),"")</f>
        <v/>
      </c>
      <c r="I4982" s="123" t="str">
        <f>IFERROR(VLOOKUP(Table1722[[#This Row],[Bukti]],Table13[#Data],11,FALSE),"")</f>
        <v/>
      </c>
    </row>
    <row r="4983" spans="1:9" hidden="1" x14ac:dyDescent="0.2">
      <c r="A4983" s="105" t="str">
        <f>IF(D4983=1,COUNTIF($D$10:D4983,1)," ")</f>
        <v xml:space="preserve"> </v>
      </c>
      <c r="B4983" s="106">
        <f>COPY!AR4975</f>
        <v>0</v>
      </c>
      <c r="C4983" s="107">
        <f>COPY!AC4975</f>
        <v>0</v>
      </c>
      <c r="D4983" s="107" t="str">
        <f>IF(LEN(Table1722[[#This Row],[Uraian]])&gt;2,1," ")</f>
        <v xml:space="preserve"> </v>
      </c>
      <c r="E4983" s="113" t="str">
        <f>IF(Table1722[[#This Row],[Lawan Transaksi]]="CV AGUNG KARYA",COUNTIF($I$10:I4983,"CV AGUNG KARYA")," ")</f>
        <v xml:space="preserve"> </v>
      </c>
      <c r="F4983" s="107" t="str">
        <f>IF(LEN(Table1722[[#This Row],[Uraian]])&gt;2,TRIM(RIGHT(SUBSTITUTE(TRIM(C4983)," ",REPT(" ",255)),255))," ")</f>
        <v xml:space="preserve"> </v>
      </c>
      <c r="G4983" s="110">
        <f>COPY!Z4975</f>
        <v>0</v>
      </c>
      <c r="H4983" s="111" t="str">
        <f>IFERROR(VLOOKUP(Table1722[[#This Row],[Bukti]],'Un nOTA'!$A$4:$K$5003,10,FALSE),"")</f>
        <v/>
      </c>
      <c r="I4983" s="123" t="str">
        <f>IFERROR(VLOOKUP(Table1722[[#This Row],[Bukti]],Table13[#Data],11,FALSE),"")</f>
        <v/>
      </c>
    </row>
    <row r="4984" spans="1:9" hidden="1" x14ac:dyDescent="0.2">
      <c r="A4984" s="105" t="str">
        <f>IF(D4984=1,COUNTIF($D$10:D4984,1)," ")</f>
        <v xml:space="preserve"> </v>
      </c>
      <c r="B4984" s="106">
        <f>COPY!AR4976</f>
        <v>0</v>
      </c>
      <c r="C4984" s="107">
        <f>COPY!AC4976</f>
        <v>0</v>
      </c>
      <c r="D4984" s="107" t="str">
        <f>IF(LEN(Table1722[[#This Row],[Uraian]])&gt;2,1," ")</f>
        <v xml:space="preserve"> </v>
      </c>
      <c r="E4984" s="113" t="str">
        <f>IF(Table1722[[#This Row],[Lawan Transaksi]]="CV AGUNG KARYA",COUNTIF($I$10:I4984,"CV AGUNG KARYA")," ")</f>
        <v xml:space="preserve"> </v>
      </c>
      <c r="F4984" s="107" t="str">
        <f>IF(LEN(Table1722[[#This Row],[Uraian]])&gt;2,TRIM(RIGHT(SUBSTITUTE(TRIM(C4984)," ",REPT(" ",255)),255))," ")</f>
        <v xml:space="preserve"> </v>
      </c>
      <c r="G4984" s="110">
        <f>COPY!Z4976</f>
        <v>0</v>
      </c>
      <c r="H4984" s="111" t="str">
        <f>IFERROR(VLOOKUP(Table1722[[#This Row],[Bukti]],'Un nOTA'!$A$4:$K$5003,10,FALSE),"")</f>
        <v/>
      </c>
      <c r="I4984" s="123" t="str">
        <f>IFERROR(VLOOKUP(Table1722[[#This Row],[Bukti]],Table13[#Data],11,FALSE),"")</f>
        <v/>
      </c>
    </row>
    <row r="4985" spans="1:9" hidden="1" x14ac:dyDescent="0.2">
      <c r="A4985" s="105" t="str">
        <f>IF(D4985=1,COUNTIF($D$10:D4985,1)," ")</f>
        <v xml:space="preserve"> </v>
      </c>
      <c r="B4985" s="106">
        <f>COPY!AR4977</f>
        <v>0</v>
      </c>
      <c r="C4985" s="107">
        <f>COPY!AC4977</f>
        <v>0</v>
      </c>
      <c r="D4985" s="107" t="str">
        <f>IF(LEN(Table1722[[#This Row],[Uraian]])&gt;2,1," ")</f>
        <v xml:space="preserve"> </v>
      </c>
      <c r="E4985" s="113" t="str">
        <f>IF(Table1722[[#This Row],[Lawan Transaksi]]="CV AGUNG KARYA",COUNTIF($I$10:I4985,"CV AGUNG KARYA")," ")</f>
        <v xml:space="preserve"> </v>
      </c>
      <c r="F4985" s="107" t="str">
        <f>IF(LEN(Table1722[[#This Row],[Uraian]])&gt;2,TRIM(RIGHT(SUBSTITUTE(TRIM(C4985)," ",REPT(" ",255)),255))," ")</f>
        <v xml:space="preserve"> </v>
      </c>
      <c r="G4985" s="110">
        <f>COPY!Z4977</f>
        <v>0</v>
      </c>
      <c r="H4985" s="111" t="str">
        <f>IFERROR(VLOOKUP(Table1722[[#This Row],[Bukti]],'Un nOTA'!$A$4:$K$5003,10,FALSE),"")</f>
        <v/>
      </c>
      <c r="I4985" s="123" t="str">
        <f>IFERROR(VLOOKUP(Table1722[[#This Row],[Bukti]],Table13[#Data],11,FALSE),"")</f>
        <v/>
      </c>
    </row>
    <row r="4986" spans="1:9" hidden="1" x14ac:dyDescent="0.2">
      <c r="A4986" s="105" t="str">
        <f>IF(D4986=1,COUNTIF($D$10:D4986,1)," ")</f>
        <v xml:space="preserve"> </v>
      </c>
      <c r="B4986" s="106">
        <f>COPY!AR4978</f>
        <v>0</v>
      </c>
      <c r="C4986" s="107">
        <f>COPY!AC4978</f>
        <v>0</v>
      </c>
      <c r="D4986" s="107" t="str">
        <f>IF(LEN(Table1722[[#This Row],[Uraian]])&gt;2,1," ")</f>
        <v xml:space="preserve"> </v>
      </c>
      <c r="E4986" s="113" t="str">
        <f>IF(Table1722[[#This Row],[Lawan Transaksi]]="CV AGUNG KARYA",COUNTIF($I$10:I4986,"CV AGUNG KARYA")," ")</f>
        <v xml:space="preserve"> </v>
      </c>
      <c r="F4986" s="107" t="str">
        <f>IF(LEN(Table1722[[#This Row],[Uraian]])&gt;2,TRIM(RIGHT(SUBSTITUTE(TRIM(C4986)," ",REPT(" ",255)),255))," ")</f>
        <v xml:space="preserve"> </v>
      </c>
      <c r="G4986" s="110">
        <f>COPY!Z4978</f>
        <v>0</v>
      </c>
      <c r="H4986" s="111" t="str">
        <f>IFERROR(VLOOKUP(Table1722[[#This Row],[Bukti]],'Un nOTA'!$A$4:$K$5003,10,FALSE),"")</f>
        <v/>
      </c>
      <c r="I4986" s="123" t="str">
        <f>IFERROR(VLOOKUP(Table1722[[#This Row],[Bukti]],Table13[#Data],11,FALSE),"")</f>
        <v/>
      </c>
    </row>
    <row r="4987" spans="1:9" hidden="1" x14ac:dyDescent="0.2">
      <c r="A4987" s="105" t="str">
        <f>IF(D4987=1,COUNTIF($D$10:D4987,1)," ")</f>
        <v xml:space="preserve"> </v>
      </c>
      <c r="B4987" s="106">
        <f>COPY!AR4979</f>
        <v>0</v>
      </c>
      <c r="C4987" s="107">
        <f>COPY!AC4979</f>
        <v>0</v>
      </c>
      <c r="D4987" s="107" t="str">
        <f>IF(LEN(Table1722[[#This Row],[Uraian]])&gt;2,1," ")</f>
        <v xml:space="preserve"> </v>
      </c>
      <c r="E4987" s="113" t="str">
        <f>IF(Table1722[[#This Row],[Lawan Transaksi]]="CV AGUNG KARYA",COUNTIF($I$10:I4987,"CV AGUNG KARYA")," ")</f>
        <v xml:space="preserve"> </v>
      </c>
      <c r="F4987" s="107" t="str">
        <f>IF(LEN(Table1722[[#This Row],[Uraian]])&gt;2,TRIM(RIGHT(SUBSTITUTE(TRIM(C4987)," ",REPT(" ",255)),255))," ")</f>
        <v xml:space="preserve"> </v>
      </c>
      <c r="G4987" s="110">
        <f>COPY!Z4979</f>
        <v>0</v>
      </c>
      <c r="H4987" s="111" t="str">
        <f>IFERROR(VLOOKUP(Table1722[[#This Row],[Bukti]],'Un nOTA'!$A$4:$K$5003,10,FALSE),"")</f>
        <v/>
      </c>
      <c r="I4987" s="123" t="str">
        <f>IFERROR(VLOOKUP(Table1722[[#This Row],[Bukti]],Table13[#Data],11,FALSE),"")</f>
        <v/>
      </c>
    </row>
    <row r="4988" spans="1:9" hidden="1" x14ac:dyDescent="0.2">
      <c r="A4988" s="105" t="str">
        <f>IF(D4988=1,COUNTIF($D$10:D4988,1)," ")</f>
        <v xml:space="preserve"> </v>
      </c>
      <c r="B4988" s="106">
        <f>COPY!AR4980</f>
        <v>0</v>
      </c>
      <c r="C4988" s="107">
        <f>COPY!AC4980</f>
        <v>0</v>
      </c>
      <c r="D4988" s="107" t="str">
        <f>IF(LEN(Table1722[[#This Row],[Uraian]])&gt;2,1," ")</f>
        <v xml:space="preserve"> </v>
      </c>
      <c r="E4988" s="113" t="str">
        <f>IF(Table1722[[#This Row],[Lawan Transaksi]]="CV AGUNG KARYA",COUNTIF($I$10:I4988,"CV AGUNG KARYA")," ")</f>
        <v xml:space="preserve"> </v>
      </c>
      <c r="F4988" s="107" t="str">
        <f>IF(LEN(Table1722[[#This Row],[Uraian]])&gt;2,TRIM(RIGHT(SUBSTITUTE(TRIM(C4988)," ",REPT(" ",255)),255))," ")</f>
        <v xml:space="preserve"> </v>
      </c>
      <c r="G4988" s="110">
        <f>COPY!Z4980</f>
        <v>0</v>
      </c>
      <c r="H4988" s="111" t="str">
        <f>IFERROR(VLOOKUP(Table1722[[#This Row],[Bukti]],'Un nOTA'!$A$4:$K$5003,10,FALSE),"")</f>
        <v/>
      </c>
      <c r="I4988" s="123" t="str">
        <f>IFERROR(VLOOKUP(Table1722[[#This Row],[Bukti]],Table13[#Data],11,FALSE),"")</f>
        <v/>
      </c>
    </row>
    <row r="4989" spans="1:9" hidden="1" x14ac:dyDescent="0.2">
      <c r="A4989" s="105" t="str">
        <f>IF(D4989=1,COUNTIF($D$10:D4989,1)," ")</f>
        <v xml:space="preserve"> </v>
      </c>
      <c r="B4989" s="106">
        <f>COPY!AR4981</f>
        <v>0</v>
      </c>
      <c r="C4989" s="107">
        <f>COPY!AC4981</f>
        <v>0</v>
      </c>
      <c r="D4989" s="107" t="str">
        <f>IF(LEN(Table1722[[#This Row],[Uraian]])&gt;2,1," ")</f>
        <v xml:space="preserve"> </v>
      </c>
      <c r="E4989" s="113" t="str">
        <f>IF(Table1722[[#This Row],[Lawan Transaksi]]="CV AGUNG KARYA",COUNTIF($I$10:I4989,"CV AGUNG KARYA")," ")</f>
        <v xml:space="preserve"> </v>
      </c>
      <c r="F4989" s="107" t="str">
        <f>IF(LEN(Table1722[[#This Row],[Uraian]])&gt;2,TRIM(RIGHT(SUBSTITUTE(TRIM(C4989)," ",REPT(" ",255)),255))," ")</f>
        <v xml:space="preserve"> </v>
      </c>
      <c r="G4989" s="110">
        <f>COPY!Z4981</f>
        <v>0</v>
      </c>
      <c r="H4989" s="111" t="str">
        <f>IFERROR(VLOOKUP(Table1722[[#This Row],[Bukti]],'Un nOTA'!$A$4:$K$5003,10,FALSE),"")</f>
        <v/>
      </c>
      <c r="I4989" s="123" t="str">
        <f>IFERROR(VLOOKUP(Table1722[[#This Row],[Bukti]],Table13[#Data],11,FALSE),"")</f>
        <v/>
      </c>
    </row>
    <row r="4990" spans="1:9" hidden="1" x14ac:dyDescent="0.2">
      <c r="A4990" s="105" t="str">
        <f>IF(D4990=1,COUNTIF($D$10:D4990,1)," ")</f>
        <v xml:space="preserve"> </v>
      </c>
      <c r="B4990" s="106">
        <f>COPY!AR4982</f>
        <v>0</v>
      </c>
      <c r="C4990" s="107">
        <f>COPY!AC4982</f>
        <v>0</v>
      </c>
      <c r="D4990" s="107" t="str">
        <f>IF(LEN(Table1722[[#This Row],[Uraian]])&gt;2,1," ")</f>
        <v xml:space="preserve"> </v>
      </c>
      <c r="E4990" s="113" t="str">
        <f>IF(Table1722[[#This Row],[Lawan Transaksi]]="CV AGUNG KARYA",COUNTIF($I$10:I4990,"CV AGUNG KARYA")," ")</f>
        <v xml:space="preserve"> </v>
      </c>
      <c r="F4990" s="107" t="str">
        <f>IF(LEN(Table1722[[#This Row],[Uraian]])&gt;2,TRIM(RIGHT(SUBSTITUTE(TRIM(C4990)," ",REPT(" ",255)),255))," ")</f>
        <v xml:space="preserve"> </v>
      </c>
      <c r="G4990" s="110">
        <f>COPY!Z4982</f>
        <v>0</v>
      </c>
      <c r="H4990" s="111" t="str">
        <f>IFERROR(VLOOKUP(Table1722[[#This Row],[Bukti]],'Un nOTA'!$A$4:$K$5003,10,FALSE),"")</f>
        <v/>
      </c>
      <c r="I4990" s="123" t="str">
        <f>IFERROR(VLOOKUP(Table1722[[#This Row],[Bukti]],Table13[#Data],11,FALSE),"")</f>
        <v/>
      </c>
    </row>
    <row r="4991" spans="1:9" hidden="1" x14ac:dyDescent="0.2">
      <c r="A4991" s="105" t="str">
        <f>IF(D4991=1,COUNTIF($D$10:D4991,1)," ")</f>
        <v xml:space="preserve"> </v>
      </c>
      <c r="B4991" s="106">
        <f>COPY!AR4983</f>
        <v>0</v>
      </c>
      <c r="C4991" s="107">
        <f>COPY!AC4983</f>
        <v>0</v>
      </c>
      <c r="D4991" s="107" t="str">
        <f>IF(LEN(Table1722[[#This Row],[Uraian]])&gt;2,1," ")</f>
        <v xml:space="preserve"> </v>
      </c>
      <c r="E4991" s="113" t="str">
        <f>IF(Table1722[[#This Row],[Lawan Transaksi]]="CV AGUNG KARYA",COUNTIF($I$10:I4991,"CV AGUNG KARYA")," ")</f>
        <v xml:space="preserve"> </v>
      </c>
      <c r="F4991" s="107" t="str">
        <f>IF(LEN(Table1722[[#This Row],[Uraian]])&gt;2,TRIM(RIGHT(SUBSTITUTE(TRIM(C4991)," ",REPT(" ",255)),255))," ")</f>
        <v xml:space="preserve"> </v>
      </c>
      <c r="G4991" s="110">
        <f>COPY!Z4983</f>
        <v>0</v>
      </c>
      <c r="H4991" s="111" t="str">
        <f>IFERROR(VLOOKUP(Table1722[[#This Row],[Bukti]],'Un nOTA'!$A$4:$K$5003,10,FALSE),"")</f>
        <v/>
      </c>
      <c r="I4991" s="123" t="str">
        <f>IFERROR(VLOOKUP(Table1722[[#This Row],[Bukti]],Table13[#Data],11,FALSE),"")</f>
        <v/>
      </c>
    </row>
    <row r="4992" spans="1:9" hidden="1" x14ac:dyDescent="0.2">
      <c r="A4992" s="105" t="str">
        <f>IF(D4992=1,COUNTIF($D$10:D4992,1)," ")</f>
        <v xml:space="preserve"> </v>
      </c>
      <c r="B4992" s="106">
        <f>COPY!AR4984</f>
        <v>0</v>
      </c>
      <c r="C4992" s="107">
        <f>COPY!AC4984</f>
        <v>0</v>
      </c>
      <c r="D4992" s="107" t="str">
        <f>IF(LEN(Table1722[[#This Row],[Uraian]])&gt;2,1," ")</f>
        <v xml:space="preserve"> </v>
      </c>
      <c r="E4992" s="113" t="str">
        <f>IF(Table1722[[#This Row],[Lawan Transaksi]]="CV AGUNG KARYA",COUNTIF($I$10:I4992,"CV AGUNG KARYA")," ")</f>
        <v xml:space="preserve"> </v>
      </c>
      <c r="F4992" s="107" t="str">
        <f>IF(LEN(Table1722[[#This Row],[Uraian]])&gt;2,TRIM(RIGHT(SUBSTITUTE(TRIM(C4992)," ",REPT(" ",255)),255))," ")</f>
        <v xml:space="preserve"> </v>
      </c>
      <c r="G4992" s="110">
        <f>COPY!Z4984</f>
        <v>0</v>
      </c>
      <c r="H4992" s="111" t="str">
        <f>IFERROR(VLOOKUP(Table1722[[#This Row],[Bukti]],'Un nOTA'!$A$4:$K$5003,10,FALSE),"")</f>
        <v/>
      </c>
      <c r="I4992" s="123" t="str">
        <f>IFERROR(VLOOKUP(Table1722[[#This Row],[Bukti]],Table13[#Data],11,FALSE),"")</f>
        <v/>
      </c>
    </row>
    <row r="4993" spans="1:9" hidden="1" x14ac:dyDescent="0.2">
      <c r="A4993" s="105" t="str">
        <f>IF(D4993=1,COUNTIF($D$10:D4993,1)," ")</f>
        <v xml:space="preserve"> </v>
      </c>
      <c r="B4993" s="106">
        <f>COPY!AR4985</f>
        <v>0</v>
      </c>
      <c r="C4993" s="107">
        <f>COPY!AC4985</f>
        <v>0</v>
      </c>
      <c r="D4993" s="107" t="str">
        <f>IF(LEN(Table1722[[#This Row],[Uraian]])&gt;2,1," ")</f>
        <v xml:space="preserve"> </v>
      </c>
      <c r="E4993" s="113" t="str">
        <f>IF(Table1722[[#This Row],[Lawan Transaksi]]="CV AGUNG KARYA",COUNTIF($I$10:I4993,"CV AGUNG KARYA")," ")</f>
        <v xml:space="preserve"> </v>
      </c>
      <c r="F4993" s="107" t="str">
        <f>IF(LEN(Table1722[[#This Row],[Uraian]])&gt;2,TRIM(RIGHT(SUBSTITUTE(TRIM(C4993)," ",REPT(" ",255)),255))," ")</f>
        <v xml:space="preserve"> </v>
      </c>
      <c r="G4993" s="110">
        <f>COPY!Z4985</f>
        <v>0</v>
      </c>
      <c r="H4993" s="111" t="str">
        <f>IFERROR(VLOOKUP(Table1722[[#This Row],[Bukti]],'Un nOTA'!$A$4:$K$5003,10,FALSE),"")</f>
        <v/>
      </c>
      <c r="I4993" s="123" t="str">
        <f>IFERROR(VLOOKUP(Table1722[[#This Row],[Bukti]],Table13[#Data],11,FALSE),"")</f>
        <v/>
      </c>
    </row>
    <row r="4994" spans="1:9" hidden="1" x14ac:dyDescent="0.2">
      <c r="A4994" s="105" t="str">
        <f>IF(D4994=1,COUNTIF($D$10:D4994,1)," ")</f>
        <v xml:space="preserve"> </v>
      </c>
      <c r="B4994" s="106">
        <f>COPY!AR4986</f>
        <v>0</v>
      </c>
      <c r="C4994" s="107">
        <f>COPY!AC4986</f>
        <v>0</v>
      </c>
      <c r="D4994" s="107" t="str">
        <f>IF(LEN(Table1722[[#This Row],[Uraian]])&gt;2,1," ")</f>
        <v xml:space="preserve"> </v>
      </c>
      <c r="E4994" s="113" t="str">
        <f>IF(Table1722[[#This Row],[Lawan Transaksi]]="CV AGUNG KARYA",COUNTIF($I$10:I4994,"CV AGUNG KARYA")," ")</f>
        <v xml:space="preserve"> </v>
      </c>
      <c r="F4994" s="107" t="str">
        <f>IF(LEN(Table1722[[#This Row],[Uraian]])&gt;2,TRIM(RIGHT(SUBSTITUTE(TRIM(C4994)," ",REPT(" ",255)),255))," ")</f>
        <v xml:space="preserve"> </v>
      </c>
      <c r="G4994" s="110">
        <f>COPY!Z4986</f>
        <v>0</v>
      </c>
      <c r="H4994" s="111" t="str">
        <f>IFERROR(VLOOKUP(Table1722[[#This Row],[Bukti]],'Un nOTA'!$A$4:$K$5003,10,FALSE),"")</f>
        <v/>
      </c>
      <c r="I4994" s="123" t="str">
        <f>IFERROR(VLOOKUP(Table1722[[#This Row],[Bukti]],Table13[#Data],11,FALSE),"")</f>
        <v/>
      </c>
    </row>
    <row r="4995" spans="1:9" hidden="1" x14ac:dyDescent="0.2">
      <c r="A4995" s="105" t="str">
        <f>IF(D4995=1,COUNTIF($D$10:D4995,1)," ")</f>
        <v xml:space="preserve"> </v>
      </c>
      <c r="B4995" s="106">
        <f>COPY!AR4987</f>
        <v>0</v>
      </c>
      <c r="C4995" s="107">
        <f>COPY!AC4987</f>
        <v>0</v>
      </c>
      <c r="D4995" s="107" t="str">
        <f>IF(LEN(Table1722[[#This Row],[Uraian]])&gt;2,1," ")</f>
        <v xml:space="preserve"> </v>
      </c>
      <c r="E4995" s="113" t="str">
        <f>IF(Table1722[[#This Row],[Lawan Transaksi]]="CV AGUNG KARYA",COUNTIF($I$10:I4995,"CV AGUNG KARYA")," ")</f>
        <v xml:space="preserve"> </v>
      </c>
      <c r="F4995" s="107" t="str">
        <f>IF(LEN(Table1722[[#This Row],[Uraian]])&gt;2,TRIM(RIGHT(SUBSTITUTE(TRIM(C4995)," ",REPT(" ",255)),255))," ")</f>
        <v xml:space="preserve"> </v>
      </c>
      <c r="G4995" s="110">
        <f>COPY!Z4987</f>
        <v>0</v>
      </c>
      <c r="H4995" s="111" t="str">
        <f>IFERROR(VLOOKUP(Table1722[[#This Row],[Bukti]],'Un nOTA'!$A$4:$K$5003,10,FALSE),"")</f>
        <v/>
      </c>
      <c r="I4995" s="123" t="str">
        <f>IFERROR(VLOOKUP(Table1722[[#This Row],[Bukti]],Table13[#Data],11,FALSE),"")</f>
        <v/>
      </c>
    </row>
    <row r="4996" spans="1:9" hidden="1" x14ac:dyDescent="0.2">
      <c r="A4996" s="105" t="str">
        <f>IF(D4996=1,COUNTIF($D$10:D4996,1)," ")</f>
        <v xml:space="preserve"> </v>
      </c>
      <c r="B4996" s="106">
        <f>COPY!AR4988</f>
        <v>0</v>
      </c>
      <c r="C4996" s="107">
        <f>COPY!AC4988</f>
        <v>0</v>
      </c>
      <c r="D4996" s="107" t="str">
        <f>IF(LEN(Table1722[[#This Row],[Uraian]])&gt;2,1," ")</f>
        <v xml:space="preserve"> </v>
      </c>
      <c r="E4996" s="113" t="str">
        <f>IF(Table1722[[#This Row],[Lawan Transaksi]]="CV AGUNG KARYA",COUNTIF($I$10:I4996,"CV AGUNG KARYA")," ")</f>
        <v xml:space="preserve"> </v>
      </c>
      <c r="F4996" s="107" t="str">
        <f>IF(LEN(Table1722[[#This Row],[Uraian]])&gt;2,TRIM(RIGHT(SUBSTITUTE(TRIM(C4996)," ",REPT(" ",255)),255))," ")</f>
        <v xml:space="preserve"> </v>
      </c>
      <c r="G4996" s="110">
        <f>COPY!Z4988</f>
        <v>0</v>
      </c>
      <c r="H4996" s="111" t="str">
        <f>IFERROR(VLOOKUP(Table1722[[#This Row],[Bukti]],'Un nOTA'!$A$4:$K$5003,10,FALSE),"")</f>
        <v/>
      </c>
      <c r="I4996" s="123" t="str">
        <f>IFERROR(VLOOKUP(Table1722[[#This Row],[Bukti]],Table13[#Data],11,FALSE),"")</f>
        <v/>
      </c>
    </row>
    <row r="4997" spans="1:9" hidden="1" x14ac:dyDescent="0.2">
      <c r="A4997" s="105" t="str">
        <f>IF(D4997=1,COUNTIF($D$10:D4997,1)," ")</f>
        <v xml:space="preserve"> </v>
      </c>
      <c r="B4997" s="106">
        <f>COPY!AR4989</f>
        <v>0</v>
      </c>
      <c r="C4997" s="107">
        <f>COPY!AC4989</f>
        <v>0</v>
      </c>
      <c r="D4997" s="107" t="str">
        <f>IF(LEN(Table1722[[#This Row],[Uraian]])&gt;2,1," ")</f>
        <v xml:space="preserve"> </v>
      </c>
      <c r="E4997" s="113" t="str">
        <f>IF(Table1722[[#This Row],[Lawan Transaksi]]="CV AGUNG KARYA",COUNTIF($I$10:I4997,"CV AGUNG KARYA")," ")</f>
        <v xml:space="preserve"> </v>
      </c>
      <c r="F4997" s="107" t="str">
        <f>IF(LEN(Table1722[[#This Row],[Uraian]])&gt;2,TRIM(RIGHT(SUBSTITUTE(TRIM(C4997)," ",REPT(" ",255)),255))," ")</f>
        <v xml:space="preserve"> </v>
      </c>
      <c r="G4997" s="110">
        <f>COPY!Z4989</f>
        <v>0</v>
      </c>
      <c r="H4997" s="111" t="str">
        <f>IFERROR(VLOOKUP(Table1722[[#This Row],[Bukti]],'Un nOTA'!$A$4:$K$5003,10,FALSE),"")</f>
        <v/>
      </c>
      <c r="I4997" s="123" t="str">
        <f>IFERROR(VLOOKUP(Table1722[[#This Row],[Bukti]],Table13[#Data],11,FALSE),"")</f>
        <v/>
      </c>
    </row>
    <row r="4998" spans="1:9" hidden="1" x14ac:dyDescent="0.2">
      <c r="A4998" s="105" t="str">
        <f>IF(D4998=1,COUNTIF($D$10:D4998,1)," ")</f>
        <v xml:space="preserve"> </v>
      </c>
      <c r="B4998" s="106">
        <f>COPY!AR4990</f>
        <v>0</v>
      </c>
      <c r="C4998" s="107">
        <f>COPY!AC4990</f>
        <v>0</v>
      </c>
      <c r="D4998" s="107" t="str">
        <f>IF(LEN(Table1722[[#This Row],[Uraian]])&gt;2,1," ")</f>
        <v xml:space="preserve"> </v>
      </c>
      <c r="E4998" s="113" t="str">
        <f>IF(Table1722[[#This Row],[Lawan Transaksi]]="CV AGUNG KARYA",COUNTIF($I$10:I4998,"CV AGUNG KARYA")," ")</f>
        <v xml:space="preserve"> </v>
      </c>
      <c r="F4998" s="107" t="str">
        <f>IF(LEN(Table1722[[#This Row],[Uraian]])&gt;2,TRIM(RIGHT(SUBSTITUTE(TRIM(C4998)," ",REPT(" ",255)),255))," ")</f>
        <v xml:space="preserve"> </v>
      </c>
      <c r="G4998" s="110">
        <f>COPY!Z4990</f>
        <v>0</v>
      </c>
      <c r="H4998" s="111" t="str">
        <f>IFERROR(VLOOKUP(Table1722[[#This Row],[Bukti]],'Un nOTA'!$A$4:$K$5003,10,FALSE),"")</f>
        <v/>
      </c>
      <c r="I4998" s="123" t="str">
        <f>IFERROR(VLOOKUP(Table1722[[#This Row],[Bukti]],Table13[#Data],11,FALSE),"")</f>
        <v/>
      </c>
    </row>
    <row r="4999" spans="1:9" hidden="1" x14ac:dyDescent="0.2">
      <c r="A4999" s="105" t="str">
        <f>IF(D4999=1,COUNTIF($D$10:D4999,1)," ")</f>
        <v xml:space="preserve"> </v>
      </c>
      <c r="B4999" s="106">
        <f>COPY!AR4991</f>
        <v>0</v>
      </c>
      <c r="C4999" s="107">
        <f>COPY!AC4991</f>
        <v>0</v>
      </c>
      <c r="D4999" s="107" t="str">
        <f>IF(LEN(Table1722[[#This Row],[Uraian]])&gt;2,1," ")</f>
        <v xml:space="preserve"> </v>
      </c>
      <c r="E4999" s="113" t="str">
        <f>IF(Table1722[[#This Row],[Lawan Transaksi]]="CV AGUNG KARYA",COUNTIF($I$10:I4999,"CV AGUNG KARYA")," ")</f>
        <v xml:space="preserve"> </v>
      </c>
      <c r="F4999" s="107" t="str">
        <f>IF(LEN(Table1722[[#This Row],[Uraian]])&gt;2,TRIM(RIGHT(SUBSTITUTE(TRIM(C4999)," ",REPT(" ",255)),255))," ")</f>
        <v xml:space="preserve"> </v>
      </c>
      <c r="G4999" s="110">
        <f>COPY!Z4991</f>
        <v>0</v>
      </c>
      <c r="H4999" s="111" t="str">
        <f>IFERROR(VLOOKUP(Table1722[[#This Row],[Bukti]],'Un nOTA'!$A$4:$K$5003,10,FALSE),"")</f>
        <v/>
      </c>
      <c r="I4999" s="123" t="str">
        <f>IFERROR(VLOOKUP(Table1722[[#This Row],[Bukti]],Table13[#Data],11,FALSE),"")</f>
        <v/>
      </c>
    </row>
    <row r="5000" spans="1:9" hidden="1" x14ac:dyDescent="0.2">
      <c r="A5000" s="105" t="str">
        <f>IF(D5000=1,COUNTIF($D$10:D5000,1)," ")</f>
        <v xml:space="preserve"> </v>
      </c>
      <c r="B5000" s="106">
        <f>COPY!AR4992</f>
        <v>0</v>
      </c>
      <c r="C5000" s="107">
        <f>COPY!AC4992</f>
        <v>0</v>
      </c>
      <c r="D5000" s="107" t="str">
        <f>IF(LEN(Table1722[[#This Row],[Uraian]])&gt;2,1," ")</f>
        <v xml:space="preserve"> </v>
      </c>
      <c r="E5000" s="113" t="str">
        <f>IF(Table1722[[#This Row],[Lawan Transaksi]]="CV AGUNG KARYA",COUNTIF($I$10:I5000,"CV AGUNG KARYA")," ")</f>
        <v xml:space="preserve"> </v>
      </c>
      <c r="F5000" s="107" t="str">
        <f>IF(LEN(Table1722[[#This Row],[Uraian]])&gt;2,TRIM(RIGHT(SUBSTITUTE(TRIM(C5000)," ",REPT(" ",255)),255))," ")</f>
        <v xml:space="preserve"> </v>
      </c>
      <c r="G5000" s="110">
        <f>COPY!Z4992</f>
        <v>0</v>
      </c>
      <c r="H5000" s="111" t="str">
        <f>IFERROR(VLOOKUP(Table1722[[#This Row],[Bukti]],'Un nOTA'!$A$4:$K$5003,10,FALSE),"")</f>
        <v/>
      </c>
      <c r="I5000" s="123" t="str">
        <f>IFERROR(VLOOKUP(Table1722[[#This Row],[Bukti]],Table13[#Data],11,FALSE),"")</f>
        <v/>
      </c>
    </row>
    <row r="5001" spans="1:9" hidden="1" x14ac:dyDescent="0.2">
      <c r="A5001" s="105" t="str">
        <f>IF(D5001=1,COUNTIF($D$10:D5001,1)," ")</f>
        <v xml:space="preserve"> </v>
      </c>
      <c r="B5001" s="106">
        <f>COPY!AR4993</f>
        <v>0</v>
      </c>
      <c r="C5001" s="107">
        <f>COPY!AC4993</f>
        <v>0</v>
      </c>
      <c r="D5001" s="107" t="str">
        <f>IF(LEN(Table1722[[#This Row],[Uraian]])&gt;2,1," ")</f>
        <v xml:space="preserve"> </v>
      </c>
      <c r="E5001" s="113" t="str">
        <f>IF(Table1722[[#This Row],[Lawan Transaksi]]="CV AGUNG KARYA",COUNTIF($I$10:I5001,"CV AGUNG KARYA")," ")</f>
        <v xml:space="preserve"> </v>
      </c>
      <c r="F5001" s="107" t="str">
        <f>IF(LEN(Table1722[[#This Row],[Uraian]])&gt;2,TRIM(RIGHT(SUBSTITUTE(TRIM(C5001)," ",REPT(" ",255)),255))," ")</f>
        <v xml:space="preserve"> </v>
      </c>
      <c r="G5001" s="110">
        <f>COPY!Z4993</f>
        <v>0</v>
      </c>
      <c r="H5001" s="111" t="str">
        <f>IFERROR(VLOOKUP(Table1722[[#This Row],[Bukti]],'Un nOTA'!$A$4:$K$5003,10,FALSE),"")</f>
        <v/>
      </c>
      <c r="I5001" s="123" t="str">
        <f>IFERROR(VLOOKUP(Table1722[[#This Row],[Bukti]],Table13[#Data],11,FALSE),"")</f>
        <v/>
      </c>
    </row>
    <row r="5002" spans="1:9" hidden="1" x14ac:dyDescent="0.2">
      <c r="A5002" s="105" t="str">
        <f>IF(D5002=1,COUNTIF($D$10:D5002,1)," ")</f>
        <v xml:space="preserve"> </v>
      </c>
      <c r="B5002" s="106">
        <f>COPY!AR4994</f>
        <v>0</v>
      </c>
      <c r="C5002" s="107">
        <f>COPY!AC4994</f>
        <v>0</v>
      </c>
      <c r="D5002" s="107" t="str">
        <f>IF(LEN(Table1722[[#This Row],[Uraian]])&gt;2,1," ")</f>
        <v xml:space="preserve"> </v>
      </c>
      <c r="E5002" s="113" t="str">
        <f>IF(Table1722[[#This Row],[Lawan Transaksi]]="CV AGUNG KARYA",COUNTIF($I$10:I5002,"CV AGUNG KARYA")," ")</f>
        <v xml:space="preserve"> </v>
      </c>
      <c r="F5002" s="107" t="str">
        <f>IF(LEN(Table1722[[#This Row],[Uraian]])&gt;2,TRIM(RIGHT(SUBSTITUTE(TRIM(C5002)," ",REPT(" ",255)),255))," ")</f>
        <v xml:space="preserve"> </v>
      </c>
      <c r="G5002" s="110">
        <f>COPY!Z4994</f>
        <v>0</v>
      </c>
      <c r="H5002" s="111" t="str">
        <f>IFERROR(VLOOKUP(Table1722[[#This Row],[Bukti]],'Un nOTA'!$A$4:$K$5003,10,FALSE),"")</f>
        <v/>
      </c>
      <c r="I5002" s="123" t="str">
        <f>IFERROR(VLOOKUP(Table1722[[#This Row],[Bukti]],Table13[#Data],11,FALSE),"")</f>
        <v/>
      </c>
    </row>
    <row r="5003" spans="1:9" hidden="1" x14ac:dyDescent="0.2">
      <c r="A5003" s="105" t="str">
        <f>IF(D5003=1,COUNTIF($D$10:D5003,1)," ")</f>
        <v xml:space="preserve"> </v>
      </c>
      <c r="B5003" s="106">
        <f>COPY!AR4995</f>
        <v>0</v>
      </c>
      <c r="C5003" s="107">
        <f>COPY!AC4995</f>
        <v>0</v>
      </c>
      <c r="D5003" s="107" t="str">
        <f>IF(LEN(Table1722[[#This Row],[Uraian]])&gt;2,1," ")</f>
        <v xml:space="preserve"> </v>
      </c>
      <c r="E5003" s="113" t="str">
        <f>IF(Table1722[[#This Row],[Lawan Transaksi]]="CV AGUNG KARYA",COUNTIF($I$10:I5003,"CV AGUNG KARYA")," ")</f>
        <v xml:space="preserve"> </v>
      </c>
      <c r="F5003" s="107" t="str">
        <f>IF(LEN(Table1722[[#This Row],[Uraian]])&gt;2,TRIM(RIGHT(SUBSTITUTE(TRIM(C5003)," ",REPT(" ",255)),255))," ")</f>
        <v xml:space="preserve"> </v>
      </c>
      <c r="G5003" s="110">
        <f>COPY!Z4995</f>
        <v>0</v>
      </c>
      <c r="H5003" s="111" t="str">
        <f>IFERROR(VLOOKUP(Table1722[[#This Row],[Bukti]],'Un nOTA'!$A$4:$K$5003,10,FALSE),"")</f>
        <v/>
      </c>
      <c r="I5003" s="123" t="str">
        <f>IFERROR(VLOOKUP(Table1722[[#This Row],[Bukti]],Table13[#Data],11,FALSE),"")</f>
        <v/>
      </c>
    </row>
    <row r="5004" spans="1:9" hidden="1" x14ac:dyDescent="0.2">
      <c r="A5004" s="105" t="str">
        <f>IF(D5004=1,COUNTIF($D$10:D5004,1)," ")</f>
        <v xml:space="preserve"> </v>
      </c>
      <c r="B5004" s="106">
        <f>COPY!AR4996</f>
        <v>0</v>
      </c>
      <c r="C5004" s="107">
        <f>COPY!AC4996</f>
        <v>0</v>
      </c>
      <c r="D5004" s="107" t="str">
        <f>IF(LEN(Table1722[[#This Row],[Uraian]])&gt;2,1," ")</f>
        <v xml:space="preserve"> </v>
      </c>
      <c r="E5004" s="113" t="str">
        <f>IF(Table1722[[#This Row],[Lawan Transaksi]]="CV AGUNG KARYA",COUNTIF($I$10:I5004,"CV AGUNG KARYA")," ")</f>
        <v xml:space="preserve"> </v>
      </c>
      <c r="F5004" s="107" t="str">
        <f>IF(LEN(Table1722[[#This Row],[Uraian]])&gt;2,TRIM(RIGHT(SUBSTITUTE(TRIM(C5004)," ",REPT(" ",255)),255))," ")</f>
        <v xml:space="preserve"> </v>
      </c>
      <c r="G5004" s="110">
        <f>COPY!Z4996</f>
        <v>0</v>
      </c>
      <c r="H5004" s="111" t="str">
        <f>IFERROR(VLOOKUP(Table1722[[#This Row],[Bukti]],'Un nOTA'!$A$4:$K$5003,10,FALSE),"")</f>
        <v/>
      </c>
      <c r="I5004" s="123" t="str">
        <f>IFERROR(VLOOKUP(Table1722[[#This Row],[Bukti]],Table13[#Data],11,FALSE),"")</f>
        <v/>
      </c>
    </row>
    <row r="5005" spans="1:9" hidden="1" x14ac:dyDescent="0.2">
      <c r="A5005" s="105" t="str">
        <f>IF(D5005=1,COUNTIF($D$10:D5005,1)," ")</f>
        <v xml:space="preserve"> </v>
      </c>
      <c r="B5005" s="106">
        <f>COPY!AR4997</f>
        <v>0</v>
      </c>
      <c r="C5005" s="107">
        <f>COPY!AC4997</f>
        <v>0</v>
      </c>
      <c r="D5005" s="107" t="str">
        <f>IF(LEN(Table1722[[#This Row],[Uraian]])&gt;2,1," ")</f>
        <v xml:space="preserve"> </v>
      </c>
      <c r="E5005" s="113" t="str">
        <f>IF(Table1722[[#This Row],[Lawan Transaksi]]="CV AGUNG KARYA",COUNTIF($I$10:I5005,"CV AGUNG KARYA")," ")</f>
        <v xml:space="preserve"> </v>
      </c>
      <c r="F5005" s="107" t="str">
        <f>IF(LEN(Table1722[[#This Row],[Uraian]])&gt;2,TRIM(RIGHT(SUBSTITUTE(TRIM(C5005)," ",REPT(" ",255)),255))," ")</f>
        <v xml:space="preserve"> </v>
      </c>
      <c r="G5005" s="110">
        <f>COPY!Z4997</f>
        <v>0</v>
      </c>
      <c r="H5005" s="111" t="str">
        <f>IFERROR(VLOOKUP(Table1722[[#This Row],[Bukti]],'Un nOTA'!$A$4:$K$5003,10,FALSE),"")</f>
        <v/>
      </c>
      <c r="I5005" s="123" t="str">
        <f>IFERROR(VLOOKUP(Table1722[[#This Row],[Bukti]],Table13[#Data],11,FALSE),"")</f>
        <v/>
      </c>
    </row>
    <row r="5006" spans="1:9" hidden="1" x14ac:dyDescent="0.2">
      <c r="A5006" s="105" t="str">
        <f>IF(D5006=1,COUNTIF($D$10:D5006,1)," ")</f>
        <v xml:space="preserve"> </v>
      </c>
      <c r="B5006" s="106">
        <f>COPY!AR4998</f>
        <v>0</v>
      </c>
      <c r="C5006" s="107">
        <f>COPY!AC4998</f>
        <v>0</v>
      </c>
      <c r="D5006" s="107" t="str">
        <f>IF(LEN(Table1722[[#This Row],[Uraian]])&gt;2,1," ")</f>
        <v xml:space="preserve"> </v>
      </c>
      <c r="E5006" s="113" t="str">
        <f>IF(Table1722[[#This Row],[Lawan Transaksi]]="CV AGUNG KARYA",COUNTIF($I$10:I5006,"CV AGUNG KARYA")," ")</f>
        <v xml:space="preserve"> </v>
      </c>
      <c r="F5006" s="107" t="str">
        <f>IF(LEN(Table1722[[#This Row],[Uraian]])&gt;2,TRIM(RIGHT(SUBSTITUTE(TRIM(C5006)," ",REPT(" ",255)),255))," ")</f>
        <v xml:space="preserve"> </v>
      </c>
      <c r="G5006" s="110">
        <f>COPY!Z4998</f>
        <v>0</v>
      </c>
      <c r="H5006" s="111" t="str">
        <f>IFERROR(VLOOKUP(Table1722[[#This Row],[Bukti]],'Un nOTA'!$A$4:$K$5003,10,FALSE),"")</f>
        <v/>
      </c>
      <c r="I5006" s="123" t="str">
        <f>IFERROR(VLOOKUP(Table1722[[#This Row],[Bukti]],Table13[#Data],11,FALSE),"")</f>
        <v/>
      </c>
    </row>
    <row r="5007" spans="1:9" hidden="1" x14ac:dyDescent="0.2">
      <c r="A5007" s="105" t="str">
        <f>IF(D5007=1,COUNTIF($D$10:D5007,1)," ")</f>
        <v xml:space="preserve"> </v>
      </c>
      <c r="B5007" s="106">
        <f>COPY!AR4999</f>
        <v>0</v>
      </c>
      <c r="C5007" s="107">
        <f>COPY!AC4999</f>
        <v>0</v>
      </c>
      <c r="D5007" s="107" t="str">
        <f>IF(LEN(Table1722[[#This Row],[Uraian]])&gt;2,1," ")</f>
        <v xml:space="preserve"> </v>
      </c>
      <c r="E5007" s="113" t="str">
        <f>IF(Table1722[[#This Row],[Lawan Transaksi]]="CV AGUNG KARYA",COUNTIF($I$10:I5007,"CV AGUNG KARYA")," ")</f>
        <v xml:space="preserve"> </v>
      </c>
      <c r="F5007" s="107" t="str">
        <f>IF(LEN(Table1722[[#This Row],[Uraian]])&gt;2,TRIM(RIGHT(SUBSTITUTE(TRIM(C5007)," ",REPT(" ",255)),255))," ")</f>
        <v xml:space="preserve"> </v>
      </c>
      <c r="G5007" s="110">
        <f>COPY!Z4999</f>
        <v>0</v>
      </c>
      <c r="H5007" s="111" t="str">
        <f>IFERROR(VLOOKUP(Table1722[[#This Row],[Bukti]],'Un nOTA'!$A$4:$K$5003,10,FALSE),"")</f>
        <v/>
      </c>
      <c r="I5007" s="123" t="str">
        <f>IFERROR(VLOOKUP(Table1722[[#This Row],[Bukti]],Table13[#Data],11,FALSE),"")</f>
        <v/>
      </c>
    </row>
    <row r="5008" spans="1:9" hidden="1" x14ac:dyDescent="0.2">
      <c r="A5008" s="105" t="str">
        <f>IF(D5008=1,COUNTIF($D$10:D5008,1)," ")</f>
        <v xml:space="preserve"> </v>
      </c>
      <c r="B5008" s="106">
        <f>COPY!AR5000</f>
        <v>0</v>
      </c>
      <c r="C5008" s="107">
        <f>COPY!AC5000</f>
        <v>0</v>
      </c>
      <c r="D5008" s="107" t="str">
        <f>IF(LEN(Table1722[[#This Row],[Uraian]])&gt;2,1," ")</f>
        <v xml:space="preserve"> </v>
      </c>
      <c r="E5008" s="113" t="str">
        <f>IF(Table1722[[#This Row],[Lawan Transaksi]]="CV AGUNG KARYA",COUNTIF($I$10:I5008,"CV AGUNG KARYA")," ")</f>
        <v xml:space="preserve"> </v>
      </c>
      <c r="F5008" s="107" t="str">
        <f>IF(LEN(Table1722[[#This Row],[Uraian]])&gt;2,TRIM(RIGHT(SUBSTITUTE(TRIM(C5008)," ",REPT(" ",255)),255))," ")</f>
        <v xml:space="preserve"> </v>
      </c>
      <c r="G5008" s="110">
        <f>COPY!Z5000</f>
        <v>0</v>
      </c>
      <c r="H5008" s="111" t="str">
        <f>IFERROR(VLOOKUP(Table1722[[#This Row],[Bukti]],'Un nOTA'!$A$4:$K$5003,10,FALSE),"")</f>
        <v/>
      </c>
      <c r="I5008" s="123" t="str">
        <f>IFERROR(VLOOKUP(Table1722[[#This Row],[Bukti]],Table13[#Data],11,FALSE),"")</f>
        <v/>
      </c>
    </row>
    <row r="5009" spans="1:9" hidden="1" x14ac:dyDescent="0.2">
      <c r="A5009" s="105" t="str">
        <f>IF(D5009=1,COUNTIF($D$10:D5009,1)," ")</f>
        <v xml:space="preserve"> </v>
      </c>
      <c r="B5009" s="106">
        <f>COPY!AR5001</f>
        <v>0</v>
      </c>
      <c r="C5009" s="107">
        <f>COPY!AC5001</f>
        <v>0</v>
      </c>
      <c r="D5009" s="107" t="str">
        <f>IF(LEN(Table1722[[#This Row],[Uraian]])&gt;2,1," ")</f>
        <v xml:space="preserve"> </v>
      </c>
      <c r="E5009" s="113" t="str">
        <f>IF(Table1722[[#This Row],[Lawan Transaksi]]="CV AGUNG KARYA",COUNTIF($I$10:I5009,"CV AGUNG KARYA")," ")</f>
        <v xml:space="preserve"> </v>
      </c>
      <c r="F5009" s="107" t="str">
        <f>IF(LEN(Table1722[[#This Row],[Uraian]])&gt;2,TRIM(RIGHT(SUBSTITUTE(TRIM(C5009)," ",REPT(" ",255)),255))," ")</f>
        <v xml:space="preserve"> </v>
      </c>
      <c r="G5009" s="110">
        <f>COPY!Z5001</f>
        <v>0</v>
      </c>
      <c r="H5009" s="111" t="str">
        <f>IFERROR(VLOOKUP(Table1722[[#This Row],[Bukti]],'Un nOTA'!$A$4:$K$5003,10,FALSE),"")</f>
        <v/>
      </c>
      <c r="I5009" s="123" t="str">
        <f>IFERROR(VLOOKUP(Table1722[[#This Row],[Bukti]],Table13[#Data],11,FALSE),"")</f>
        <v/>
      </c>
    </row>
    <row r="5010" spans="1:9" hidden="1" x14ac:dyDescent="0.2">
      <c r="A5010" s="105" t="str">
        <f>IF(D5010=1,COUNTIF($D$10:D5010,1)," ")</f>
        <v xml:space="preserve"> </v>
      </c>
      <c r="B5010" s="106">
        <f>COPY!AR5002</f>
        <v>0</v>
      </c>
      <c r="C5010" s="107">
        <f>COPY!AC5002</f>
        <v>0</v>
      </c>
      <c r="D5010" s="107" t="str">
        <f>IF(LEN(Table1722[[#This Row],[Uraian]])&gt;2,1," ")</f>
        <v xml:space="preserve"> </v>
      </c>
      <c r="E5010" s="113" t="str">
        <f>IF(Table1722[[#This Row],[Lawan Transaksi]]="CV AGUNG KARYA",COUNTIF($I$10:I5010,"CV AGUNG KARYA")," ")</f>
        <v xml:space="preserve"> </v>
      </c>
      <c r="F5010" s="107" t="str">
        <f>IF(LEN(Table1722[[#This Row],[Uraian]])&gt;2,TRIM(RIGHT(SUBSTITUTE(TRIM(C5010)," ",REPT(" ",255)),255))," ")</f>
        <v xml:space="preserve"> </v>
      </c>
      <c r="G5010" s="110">
        <f>COPY!Z5002</f>
        <v>0</v>
      </c>
      <c r="H5010" s="111" t="str">
        <f>IFERROR(VLOOKUP(Table1722[[#This Row],[Bukti]],'Un nOTA'!$A$4:$K$5003,10,FALSE),"")</f>
        <v/>
      </c>
      <c r="I5010" s="123" t="str">
        <f>IFERROR(VLOOKUP(Table1722[[#This Row],[Bukti]],Table13[#Data],11,FALSE),"")</f>
        <v/>
      </c>
    </row>
    <row r="5011" spans="1:9" hidden="1" x14ac:dyDescent="0.2">
      <c r="A5011" s="105" t="str">
        <f>IF(D5011=1,COUNTIF($D$10:D5011,1)," ")</f>
        <v xml:space="preserve"> </v>
      </c>
      <c r="B5011" s="106">
        <f>COPY!AR5003</f>
        <v>0</v>
      </c>
      <c r="C5011" s="107">
        <f>COPY!AC5003</f>
        <v>0</v>
      </c>
      <c r="D5011" s="107" t="str">
        <f>IF(LEN(Table1722[[#This Row],[Uraian]])&gt;2,1," ")</f>
        <v xml:space="preserve"> </v>
      </c>
      <c r="E5011" s="113" t="str">
        <f>IF(Table1722[[#This Row],[Lawan Transaksi]]="CV AGUNG KARYA",COUNTIF($I$10:I5011,"CV AGUNG KARYA")," ")</f>
        <v xml:space="preserve"> </v>
      </c>
      <c r="F5011" s="107" t="str">
        <f>IF(LEN(Table1722[[#This Row],[Uraian]])&gt;2,TRIM(RIGHT(SUBSTITUTE(TRIM(C5011)," ",REPT(" ",255)),255))," ")</f>
        <v xml:space="preserve"> </v>
      </c>
      <c r="G5011" s="110">
        <f>COPY!Z5003</f>
        <v>0</v>
      </c>
      <c r="H5011" s="111" t="str">
        <f>IFERROR(VLOOKUP(Table1722[[#This Row],[Bukti]],'Un nOTA'!$A$4:$K$5003,10,FALSE),"")</f>
        <v/>
      </c>
      <c r="I5011" s="123" t="str">
        <f>IFERROR(VLOOKUP(Table1722[[#This Row],[Bukti]],Table13[#Data],11,FALSE),"")</f>
        <v/>
      </c>
    </row>
    <row r="5012" spans="1:9" hidden="1" x14ac:dyDescent="0.2">
      <c r="A5012" s="105" t="str">
        <f>IF(D5012=1,COUNTIF($D$10:D5012,1)," ")</f>
        <v xml:space="preserve"> </v>
      </c>
      <c r="B5012" s="106">
        <f>COPY!AR5004</f>
        <v>0</v>
      </c>
      <c r="C5012" s="107">
        <f>COPY!AC5004</f>
        <v>0</v>
      </c>
      <c r="D5012" s="107" t="str">
        <f>IF(LEN(Table1722[[#This Row],[Uraian]])&gt;2,1," ")</f>
        <v xml:space="preserve"> </v>
      </c>
      <c r="E5012" s="113" t="str">
        <f>IF(Table1722[[#This Row],[Lawan Transaksi]]="CV AGUNG KARYA",COUNTIF($I$10:I5012,"CV AGUNG KARYA")," ")</f>
        <v xml:space="preserve"> </v>
      </c>
      <c r="F5012" s="107" t="str">
        <f>IF(LEN(Table1722[[#This Row],[Uraian]])&gt;2,TRIM(RIGHT(SUBSTITUTE(TRIM(C5012)," ",REPT(" ",255)),255))," ")</f>
        <v xml:space="preserve"> </v>
      </c>
      <c r="G5012" s="110">
        <f>COPY!Z5004</f>
        <v>0</v>
      </c>
      <c r="H5012" s="111" t="str">
        <f>IFERROR(VLOOKUP(Table1722[[#This Row],[Bukti]],'Un nOTA'!$A$4:$K$5003,10,FALSE),"")</f>
        <v/>
      </c>
      <c r="I5012" s="123" t="str">
        <f>IFERROR(VLOOKUP(Table1722[[#This Row],[Bukti]],Table13[#Data],11,FALSE),"")</f>
        <v/>
      </c>
    </row>
    <row r="5013" spans="1:9" hidden="1" x14ac:dyDescent="0.2">
      <c r="A5013" s="105" t="str">
        <f>IF(D5013=1,COUNTIF($D$10:D5013,1)," ")</f>
        <v xml:space="preserve"> </v>
      </c>
      <c r="B5013" s="106">
        <f>COPY!AR5005</f>
        <v>0</v>
      </c>
      <c r="C5013" s="107">
        <f>COPY!AC5005</f>
        <v>0</v>
      </c>
      <c r="D5013" s="107" t="str">
        <f>IF(LEN(Table1722[[#This Row],[Uraian]])&gt;2,1," ")</f>
        <v xml:space="preserve"> </v>
      </c>
      <c r="E5013" s="113" t="str">
        <f>IF(Table1722[[#This Row],[Lawan Transaksi]]="CV AGUNG KARYA",COUNTIF($I$10:I5013,"CV AGUNG KARYA")," ")</f>
        <v xml:space="preserve"> </v>
      </c>
      <c r="F5013" s="107" t="str">
        <f>IF(LEN(Table1722[[#This Row],[Uraian]])&gt;2,TRIM(RIGHT(SUBSTITUTE(TRIM(C5013)," ",REPT(" ",255)),255))," ")</f>
        <v xml:space="preserve"> </v>
      </c>
      <c r="G5013" s="110">
        <f>COPY!Z5005</f>
        <v>0</v>
      </c>
      <c r="H5013" s="111" t="str">
        <f>IFERROR(VLOOKUP(Table1722[[#This Row],[Bukti]],'Un nOTA'!$A$4:$K$5003,10,FALSE),"")</f>
        <v/>
      </c>
      <c r="I5013" s="123" t="str">
        <f>IFERROR(VLOOKUP(Table1722[[#This Row],[Bukti]],Table13[#Data],11,FALSE),"")</f>
        <v/>
      </c>
    </row>
    <row r="5014" spans="1:9" hidden="1" x14ac:dyDescent="0.2">
      <c r="A5014" s="105" t="str">
        <f>IF(D5014=1,COUNTIF($D$10:D5014,1)," ")</f>
        <v xml:space="preserve"> </v>
      </c>
      <c r="B5014" s="106">
        <f>COPY!AR5006</f>
        <v>0</v>
      </c>
      <c r="C5014" s="107">
        <f>COPY!AC5006</f>
        <v>0</v>
      </c>
      <c r="D5014" s="107" t="str">
        <f>IF(LEN(Table1722[[#This Row],[Uraian]])&gt;2,1," ")</f>
        <v xml:space="preserve"> </v>
      </c>
      <c r="E5014" s="113" t="str">
        <f>IF(Table1722[[#This Row],[Lawan Transaksi]]="CV AGUNG KARYA",COUNTIF($I$10:I5014,"CV AGUNG KARYA")," ")</f>
        <v xml:space="preserve"> </v>
      </c>
      <c r="F5014" s="107" t="str">
        <f>IF(LEN(Table1722[[#This Row],[Uraian]])&gt;2,TRIM(RIGHT(SUBSTITUTE(TRIM(C5014)," ",REPT(" ",255)),255))," ")</f>
        <v xml:space="preserve"> </v>
      </c>
      <c r="G5014" s="110">
        <f>COPY!Z5006</f>
        <v>0</v>
      </c>
      <c r="H5014" s="111" t="str">
        <f>IFERROR(VLOOKUP(Table1722[[#This Row],[Bukti]],'Un nOTA'!$A$4:$K$5003,10,FALSE),"")</f>
        <v/>
      </c>
      <c r="I5014" s="123" t="str">
        <f>IFERROR(VLOOKUP(Table1722[[#This Row],[Bukti]],Table13[#Data],11,FALSE),"")</f>
        <v/>
      </c>
    </row>
    <row r="5015" spans="1:9" hidden="1" x14ac:dyDescent="0.2">
      <c r="A5015" s="105" t="str">
        <f>IF(D5015=1,COUNTIF($D$10:D5015,1)," ")</f>
        <v xml:space="preserve"> </v>
      </c>
      <c r="B5015" s="106">
        <f>COPY!AR5007</f>
        <v>0</v>
      </c>
      <c r="C5015" s="107">
        <f>COPY!AC5007</f>
        <v>0</v>
      </c>
      <c r="D5015" s="107" t="str">
        <f>IF(LEN(Table1722[[#This Row],[Uraian]])&gt;2,1," ")</f>
        <v xml:space="preserve"> </v>
      </c>
      <c r="E5015" s="113" t="str">
        <f>IF(Table1722[[#This Row],[Lawan Transaksi]]="CV AGUNG KARYA",COUNTIF($I$10:I5015,"CV AGUNG KARYA")," ")</f>
        <v xml:space="preserve"> </v>
      </c>
      <c r="F5015" s="107" t="str">
        <f>IF(LEN(Table1722[[#This Row],[Uraian]])&gt;2,TRIM(RIGHT(SUBSTITUTE(TRIM(C5015)," ",REPT(" ",255)),255))," ")</f>
        <v xml:space="preserve"> </v>
      </c>
      <c r="G5015" s="110">
        <f>COPY!Z5007</f>
        <v>0</v>
      </c>
      <c r="H5015" s="111" t="str">
        <f>IFERROR(VLOOKUP(Table1722[[#This Row],[Bukti]],'Un nOTA'!$A$4:$K$5003,10,FALSE),"")</f>
        <v/>
      </c>
      <c r="I5015" s="123" t="str">
        <f>IFERROR(VLOOKUP(Table1722[[#This Row],[Bukti]],Table13[#Data],11,FALSE),"")</f>
        <v/>
      </c>
    </row>
    <row r="5016" spans="1:9" hidden="1" x14ac:dyDescent="0.2">
      <c r="A5016" s="105" t="str">
        <f>IF(D5016=1,COUNTIF($D$10:D5016,1)," ")</f>
        <v xml:space="preserve"> </v>
      </c>
      <c r="B5016" s="106">
        <f>COPY!AR5008</f>
        <v>0</v>
      </c>
      <c r="C5016" s="107">
        <f>COPY!AC5008</f>
        <v>0</v>
      </c>
      <c r="D5016" s="107" t="str">
        <f>IF(LEN(Table1722[[#This Row],[Uraian]])&gt;2,1," ")</f>
        <v xml:space="preserve"> </v>
      </c>
      <c r="E5016" s="113" t="str">
        <f>IF(Table1722[[#This Row],[Lawan Transaksi]]="CV AGUNG KARYA",COUNTIF($I$10:I5016,"CV AGUNG KARYA")," ")</f>
        <v xml:space="preserve"> </v>
      </c>
      <c r="F5016" s="107" t="str">
        <f>IF(LEN(Table1722[[#This Row],[Uraian]])&gt;2,TRIM(RIGHT(SUBSTITUTE(TRIM(C5016)," ",REPT(" ",255)),255))," ")</f>
        <v xml:space="preserve"> </v>
      </c>
      <c r="G5016" s="110">
        <f>COPY!Z5008</f>
        <v>0</v>
      </c>
      <c r="H5016" s="111" t="str">
        <f>IFERROR(VLOOKUP(Table1722[[#This Row],[Bukti]],'Un nOTA'!$A$4:$K$5003,10,FALSE),"")</f>
        <v/>
      </c>
      <c r="I5016" s="123" t="str">
        <f>IFERROR(VLOOKUP(Table1722[[#This Row],[Bukti]],Table13[#Data],11,FALSE),"")</f>
        <v/>
      </c>
    </row>
    <row r="5017" spans="1:9" hidden="1" x14ac:dyDescent="0.2">
      <c r="A5017" s="105" t="str">
        <f>IF(D5017=1,COUNTIF($D$10:D5017,1)," ")</f>
        <v xml:space="preserve"> </v>
      </c>
      <c r="B5017" s="106">
        <f>COPY!AR5009</f>
        <v>0</v>
      </c>
      <c r="C5017" s="107">
        <f>COPY!AC5009</f>
        <v>0</v>
      </c>
      <c r="D5017" s="107" t="str">
        <f>IF(LEN(Table1722[[#This Row],[Uraian]])&gt;2,1," ")</f>
        <v xml:space="preserve"> </v>
      </c>
      <c r="E5017" s="113" t="str">
        <f>IF(Table1722[[#This Row],[Lawan Transaksi]]="CV AGUNG KARYA",COUNTIF($I$10:I5017,"CV AGUNG KARYA")," ")</f>
        <v xml:space="preserve"> </v>
      </c>
      <c r="F5017" s="107" t="str">
        <f>IF(LEN(Table1722[[#This Row],[Uraian]])&gt;2,TRIM(RIGHT(SUBSTITUTE(TRIM(C5017)," ",REPT(" ",255)),255))," ")</f>
        <v xml:space="preserve"> </v>
      </c>
      <c r="G5017" s="110">
        <f>COPY!Z5009</f>
        <v>0</v>
      </c>
      <c r="H5017" s="111" t="str">
        <f>IFERROR(VLOOKUP(Table1722[[#This Row],[Bukti]],'Un nOTA'!$A$4:$K$5003,10,FALSE),"")</f>
        <v/>
      </c>
      <c r="I5017" s="123" t="str">
        <f>IFERROR(VLOOKUP(Table1722[[#This Row],[Bukti]],Table13[#Data],11,FALSE),"")</f>
        <v/>
      </c>
    </row>
    <row r="5018" spans="1:9" hidden="1" x14ac:dyDescent="0.2">
      <c r="A5018" s="105" t="str">
        <f>IF(D5018=1,COUNTIF($D$10:D5018,1)," ")</f>
        <v xml:space="preserve"> </v>
      </c>
      <c r="B5018" s="106">
        <f>COPY!AR5010</f>
        <v>0</v>
      </c>
      <c r="C5018" s="107">
        <f>COPY!AC5010</f>
        <v>0</v>
      </c>
      <c r="D5018" s="107" t="str">
        <f>IF(LEN(Table1722[[#This Row],[Uraian]])&gt;2,1," ")</f>
        <v xml:space="preserve"> </v>
      </c>
      <c r="E5018" s="113" t="str">
        <f>IF(Table1722[[#This Row],[Lawan Transaksi]]="CV AGUNG KARYA",COUNTIF($I$10:I5018,"CV AGUNG KARYA")," ")</f>
        <v xml:space="preserve"> </v>
      </c>
      <c r="F5018" s="107" t="str">
        <f>IF(LEN(Table1722[[#This Row],[Uraian]])&gt;2,TRIM(RIGHT(SUBSTITUTE(TRIM(C5018)," ",REPT(" ",255)),255))," ")</f>
        <v xml:space="preserve"> </v>
      </c>
      <c r="G5018" s="110">
        <f>COPY!Z5010</f>
        <v>0</v>
      </c>
      <c r="H5018" s="111" t="str">
        <f>IFERROR(VLOOKUP(Table1722[[#This Row],[Bukti]],'Un nOTA'!$A$4:$K$5003,10,FALSE),"")</f>
        <v/>
      </c>
      <c r="I5018" s="123" t="str">
        <f>IFERROR(VLOOKUP(Table1722[[#This Row],[Bukti]],Table13[#Data],11,FALSE),"")</f>
        <v/>
      </c>
    </row>
    <row r="5019" spans="1:9" hidden="1" x14ac:dyDescent="0.2">
      <c r="A5019" s="105" t="str">
        <f>IF(D5019=1,COUNTIF($D$10:D5019,1)," ")</f>
        <v xml:space="preserve"> </v>
      </c>
      <c r="B5019" s="106">
        <f>COPY!AR5011</f>
        <v>0</v>
      </c>
      <c r="C5019" s="107">
        <f>COPY!AC5011</f>
        <v>0</v>
      </c>
      <c r="D5019" s="107" t="str">
        <f>IF(LEN(Table1722[[#This Row],[Uraian]])&gt;2,1," ")</f>
        <v xml:space="preserve"> </v>
      </c>
      <c r="E5019" s="113" t="str">
        <f>IF(Table1722[[#This Row],[Lawan Transaksi]]="CV AGUNG KARYA",COUNTIF($I$10:I5019,"CV AGUNG KARYA")," ")</f>
        <v xml:space="preserve"> </v>
      </c>
      <c r="F5019" s="107" t="str">
        <f>IF(LEN(Table1722[[#This Row],[Uraian]])&gt;2,TRIM(RIGHT(SUBSTITUTE(TRIM(C5019)," ",REPT(" ",255)),255))," ")</f>
        <v xml:space="preserve"> </v>
      </c>
      <c r="G5019" s="110">
        <f>COPY!Z5011</f>
        <v>0</v>
      </c>
      <c r="H5019" s="111" t="str">
        <f>IFERROR(VLOOKUP(Table1722[[#This Row],[Bukti]],'Un nOTA'!$A$4:$K$5003,10,FALSE),"")</f>
        <v/>
      </c>
      <c r="I5019" s="123" t="str">
        <f>IFERROR(VLOOKUP(Table1722[[#This Row],[Bukti]],Table13[#Data],11,FALSE),"")</f>
        <v/>
      </c>
    </row>
    <row r="5020" spans="1:9" hidden="1" x14ac:dyDescent="0.2">
      <c r="A5020" s="105" t="str">
        <f>IF(D5020=1,COUNTIF($D$10:D5020,1)," ")</f>
        <v xml:space="preserve"> </v>
      </c>
      <c r="B5020" s="106">
        <f>COPY!AR5012</f>
        <v>0</v>
      </c>
      <c r="C5020" s="107">
        <f>COPY!AC5012</f>
        <v>0</v>
      </c>
      <c r="D5020" s="107" t="str">
        <f>IF(LEN(Table1722[[#This Row],[Uraian]])&gt;2,1," ")</f>
        <v xml:space="preserve"> </v>
      </c>
      <c r="E5020" s="113" t="str">
        <f>IF(Table1722[[#This Row],[Lawan Transaksi]]="CV AGUNG KARYA",COUNTIF($I$10:I5020,"CV AGUNG KARYA")," ")</f>
        <v xml:space="preserve"> </v>
      </c>
      <c r="F5020" s="107" t="str">
        <f>IF(LEN(Table1722[[#This Row],[Uraian]])&gt;2,TRIM(RIGHT(SUBSTITUTE(TRIM(C5020)," ",REPT(" ",255)),255))," ")</f>
        <v xml:space="preserve"> </v>
      </c>
      <c r="G5020" s="110">
        <f>COPY!Z5012</f>
        <v>0</v>
      </c>
      <c r="H5020" s="111" t="str">
        <f>IFERROR(VLOOKUP(Table1722[[#This Row],[Bukti]],'Un nOTA'!$A$4:$K$5003,10,FALSE),"")</f>
        <v/>
      </c>
      <c r="I5020" s="123" t="str">
        <f>IFERROR(VLOOKUP(Table1722[[#This Row],[Bukti]],Table13[#Data],11,FALSE),"")</f>
        <v/>
      </c>
    </row>
    <row r="5021" spans="1:9" hidden="1" x14ac:dyDescent="0.2">
      <c r="A5021" s="105" t="str">
        <f>IF(D5021=1,COUNTIF($D$10:D5021,1)," ")</f>
        <v xml:space="preserve"> </v>
      </c>
      <c r="B5021" s="106">
        <f>COPY!AR5013</f>
        <v>0</v>
      </c>
      <c r="C5021" s="107">
        <f>COPY!AC5013</f>
        <v>0</v>
      </c>
      <c r="D5021" s="107" t="str">
        <f>IF(LEN(Table1722[[#This Row],[Uraian]])&gt;2,1," ")</f>
        <v xml:space="preserve"> </v>
      </c>
      <c r="E5021" s="113" t="str">
        <f>IF(Table1722[[#This Row],[Lawan Transaksi]]="CV AGUNG KARYA",COUNTIF($I$10:I5021,"CV AGUNG KARYA")," ")</f>
        <v xml:space="preserve"> </v>
      </c>
      <c r="F5021" s="107" t="str">
        <f>IF(LEN(Table1722[[#This Row],[Uraian]])&gt;2,TRIM(RIGHT(SUBSTITUTE(TRIM(C5021)," ",REPT(" ",255)),255))," ")</f>
        <v xml:space="preserve"> </v>
      </c>
      <c r="G5021" s="110">
        <f>COPY!Z5013</f>
        <v>0</v>
      </c>
      <c r="H5021" s="111" t="str">
        <f>IFERROR(VLOOKUP(Table1722[[#This Row],[Bukti]],'Un nOTA'!$A$4:$K$5003,10,FALSE),"")</f>
        <v/>
      </c>
      <c r="I5021" s="123" t="str">
        <f>IFERROR(VLOOKUP(Table1722[[#This Row],[Bukti]],Table13[#Data],11,FALSE),"")</f>
        <v/>
      </c>
    </row>
    <row r="5022" spans="1:9" hidden="1" x14ac:dyDescent="0.2">
      <c r="A5022" s="105" t="str">
        <f>IF(D5022=1,COUNTIF($D$10:D5022,1)," ")</f>
        <v xml:space="preserve"> </v>
      </c>
      <c r="B5022" s="106">
        <f>COPY!AR5014</f>
        <v>0</v>
      </c>
      <c r="C5022" s="107">
        <f>COPY!AC5014</f>
        <v>0</v>
      </c>
      <c r="D5022" s="107" t="str">
        <f>IF(LEN(Table1722[[#This Row],[Uraian]])&gt;2,1," ")</f>
        <v xml:space="preserve"> </v>
      </c>
      <c r="E5022" s="113" t="str">
        <f>IF(Table1722[[#This Row],[Lawan Transaksi]]="CV AGUNG KARYA",COUNTIF($I$10:I5022,"CV AGUNG KARYA")," ")</f>
        <v xml:space="preserve"> </v>
      </c>
      <c r="F5022" s="107" t="str">
        <f>IF(LEN(Table1722[[#This Row],[Uraian]])&gt;2,TRIM(RIGHT(SUBSTITUTE(TRIM(C5022)," ",REPT(" ",255)),255))," ")</f>
        <v xml:space="preserve"> </v>
      </c>
      <c r="G5022" s="110">
        <f>COPY!Z5014</f>
        <v>0</v>
      </c>
      <c r="H5022" s="111" t="str">
        <f>IFERROR(VLOOKUP(Table1722[[#This Row],[Bukti]],'Un nOTA'!$A$4:$K$5003,10,FALSE),"")</f>
        <v/>
      </c>
      <c r="I5022" s="123" t="str">
        <f>IFERROR(VLOOKUP(Table1722[[#This Row],[Bukti]],Table13[#Data],11,FALSE),"")</f>
        <v/>
      </c>
    </row>
    <row r="5023" spans="1:9" hidden="1" x14ac:dyDescent="0.2">
      <c r="A5023" s="105" t="str">
        <f>IF(D5023=1,COUNTIF($D$10:D5023,1)," ")</f>
        <v xml:space="preserve"> </v>
      </c>
      <c r="B5023" s="106">
        <f>COPY!AR5015</f>
        <v>0</v>
      </c>
      <c r="C5023" s="107">
        <f>COPY!AC5015</f>
        <v>0</v>
      </c>
      <c r="D5023" s="107" t="str">
        <f>IF(LEN(Table1722[[#This Row],[Uraian]])&gt;2,1," ")</f>
        <v xml:space="preserve"> </v>
      </c>
      <c r="E5023" s="113" t="str">
        <f>IF(Table1722[[#This Row],[Lawan Transaksi]]="CV AGUNG KARYA",COUNTIF($I$10:I5023,"CV AGUNG KARYA")," ")</f>
        <v xml:space="preserve"> </v>
      </c>
      <c r="F5023" s="107" t="str">
        <f>IF(LEN(Table1722[[#This Row],[Uraian]])&gt;2,TRIM(RIGHT(SUBSTITUTE(TRIM(C5023)," ",REPT(" ",255)),255))," ")</f>
        <v xml:space="preserve"> </v>
      </c>
      <c r="G5023" s="110">
        <f>COPY!Z5015</f>
        <v>0</v>
      </c>
      <c r="H5023" s="111" t="str">
        <f>IFERROR(VLOOKUP(Table1722[[#This Row],[Bukti]],'Un nOTA'!$A$4:$K$5003,10,FALSE),"")</f>
        <v/>
      </c>
      <c r="I5023" s="123" t="str">
        <f>IFERROR(VLOOKUP(Table1722[[#This Row],[Bukti]],Table13[#Data],11,FALSE),"")</f>
        <v/>
      </c>
    </row>
    <row r="5024" spans="1:9" hidden="1" x14ac:dyDescent="0.2">
      <c r="A5024" s="105" t="str">
        <f>IF(D5024=1,COUNTIF($D$10:D5024,1)," ")</f>
        <v xml:space="preserve"> </v>
      </c>
      <c r="B5024" s="106">
        <f>COPY!AR5016</f>
        <v>0</v>
      </c>
      <c r="C5024" s="107">
        <f>COPY!AC5016</f>
        <v>0</v>
      </c>
      <c r="D5024" s="107" t="str">
        <f>IF(LEN(Table1722[[#This Row],[Uraian]])&gt;2,1," ")</f>
        <v xml:space="preserve"> </v>
      </c>
      <c r="E5024" s="113" t="str">
        <f>IF(Table1722[[#This Row],[Lawan Transaksi]]="CV AGUNG KARYA",COUNTIF($I$10:I5024,"CV AGUNG KARYA")," ")</f>
        <v xml:space="preserve"> </v>
      </c>
      <c r="F5024" s="107" t="str">
        <f>IF(LEN(Table1722[[#This Row],[Uraian]])&gt;2,TRIM(RIGHT(SUBSTITUTE(TRIM(C5024)," ",REPT(" ",255)),255))," ")</f>
        <v xml:space="preserve"> </v>
      </c>
      <c r="G5024" s="110">
        <f>COPY!Z5016</f>
        <v>0</v>
      </c>
      <c r="H5024" s="111" t="str">
        <f>IFERROR(VLOOKUP(Table1722[[#This Row],[Bukti]],'Un nOTA'!$A$4:$K$5003,10,FALSE),"")</f>
        <v/>
      </c>
      <c r="I5024" s="123" t="str">
        <f>IFERROR(VLOOKUP(Table1722[[#This Row],[Bukti]],Table13[#Data],11,FALSE),"")</f>
        <v/>
      </c>
    </row>
    <row r="5025" spans="1:9" hidden="1" x14ac:dyDescent="0.2">
      <c r="A5025" s="105" t="str">
        <f>IF(D5025=1,COUNTIF($D$10:D5025,1)," ")</f>
        <v xml:space="preserve"> </v>
      </c>
      <c r="B5025" s="106">
        <f>COPY!AR5017</f>
        <v>0</v>
      </c>
      <c r="C5025" s="107">
        <f>COPY!AC5017</f>
        <v>0</v>
      </c>
      <c r="D5025" s="107" t="str">
        <f>IF(LEN(Table1722[[#This Row],[Uraian]])&gt;2,1," ")</f>
        <v xml:space="preserve"> </v>
      </c>
      <c r="E5025" s="113" t="str">
        <f>IF(Table1722[[#This Row],[Lawan Transaksi]]="CV AGUNG KARYA",COUNTIF($I$10:I5025,"CV AGUNG KARYA")," ")</f>
        <v xml:space="preserve"> </v>
      </c>
      <c r="F5025" s="107" t="str">
        <f>IF(LEN(Table1722[[#This Row],[Uraian]])&gt;2,TRIM(RIGHT(SUBSTITUTE(TRIM(C5025)," ",REPT(" ",255)),255))," ")</f>
        <v xml:space="preserve"> </v>
      </c>
      <c r="G5025" s="110">
        <f>COPY!Z5017</f>
        <v>0</v>
      </c>
      <c r="H5025" s="111" t="str">
        <f>IFERROR(VLOOKUP(Table1722[[#This Row],[Bukti]],'Un nOTA'!$A$4:$K$5003,10,FALSE),"")</f>
        <v/>
      </c>
      <c r="I5025" s="123" t="str">
        <f>IFERROR(VLOOKUP(Table1722[[#This Row],[Bukti]],Table13[#Data],11,FALSE),"")</f>
        <v/>
      </c>
    </row>
    <row r="5026" spans="1:9" hidden="1" x14ac:dyDescent="0.2">
      <c r="A5026" s="105" t="str">
        <f>IF(D5026=1,COUNTIF($D$10:D5026,1)," ")</f>
        <v xml:space="preserve"> </v>
      </c>
      <c r="B5026" s="106">
        <f>COPY!AR5018</f>
        <v>0</v>
      </c>
      <c r="C5026" s="107">
        <f>COPY!AC5018</f>
        <v>0</v>
      </c>
      <c r="D5026" s="107" t="str">
        <f>IF(LEN(Table1722[[#This Row],[Uraian]])&gt;2,1," ")</f>
        <v xml:space="preserve"> </v>
      </c>
      <c r="E5026" s="113" t="str">
        <f>IF(Table1722[[#This Row],[Lawan Transaksi]]="CV AGUNG KARYA",COUNTIF($I$10:I5026,"CV AGUNG KARYA")," ")</f>
        <v xml:space="preserve"> </v>
      </c>
      <c r="F5026" s="107" t="str">
        <f>IF(LEN(Table1722[[#This Row],[Uraian]])&gt;2,TRIM(RIGHT(SUBSTITUTE(TRIM(C5026)," ",REPT(" ",255)),255))," ")</f>
        <v xml:space="preserve"> </v>
      </c>
      <c r="G5026" s="110">
        <f>COPY!Z5018</f>
        <v>0</v>
      </c>
      <c r="H5026" s="111" t="str">
        <f>IFERROR(VLOOKUP(Table1722[[#This Row],[Bukti]],'Un nOTA'!$A$4:$K$5003,10,FALSE),"")</f>
        <v/>
      </c>
      <c r="I5026" s="123" t="str">
        <f>IFERROR(VLOOKUP(Table1722[[#This Row],[Bukti]],Table13[#Data],11,FALSE),"")</f>
        <v/>
      </c>
    </row>
    <row r="5027" spans="1:9" hidden="1" x14ac:dyDescent="0.2">
      <c r="A5027" s="105" t="str">
        <f>IF(D5027=1,COUNTIF($D$10:D5027,1)," ")</f>
        <v xml:space="preserve"> </v>
      </c>
      <c r="B5027" s="106">
        <f>COPY!AR5019</f>
        <v>0</v>
      </c>
      <c r="C5027" s="107">
        <f>COPY!AC5019</f>
        <v>0</v>
      </c>
      <c r="D5027" s="107" t="str">
        <f>IF(LEN(Table1722[[#This Row],[Uraian]])&gt;2,1," ")</f>
        <v xml:space="preserve"> </v>
      </c>
      <c r="E5027" s="113" t="str">
        <f>IF(Table1722[[#This Row],[Lawan Transaksi]]="CV AGUNG KARYA",COUNTIF($I$10:I5027,"CV AGUNG KARYA")," ")</f>
        <v xml:space="preserve"> </v>
      </c>
      <c r="F5027" s="107" t="str">
        <f>IF(LEN(Table1722[[#This Row],[Uraian]])&gt;2,TRIM(RIGHT(SUBSTITUTE(TRIM(C5027)," ",REPT(" ",255)),255))," ")</f>
        <v xml:space="preserve"> </v>
      </c>
      <c r="G5027" s="110">
        <f>COPY!Z5019</f>
        <v>0</v>
      </c>
      <c r="H5027" s="111" t="str">
        <f>IFERROR(VLOOKUP(Table1722[[#This Row],[Bukti]],'Un nOTA'!$A$4:$K$5003,10,FALSE),"")</f>
        <v/>
      </c>
      <c r="I5027" s="123" t="str">
        <f>IFERROR(VLOOKUP(Table1722[[#This Row],[Bukti]],Table13[#Data],11,FALSE),"")</f>
        <v/>
      </c>
    </row>
    <row r="5028" spans="1:9" hidden="1" x14ac:dyDescent="0.2">
      <c r="A5028" s="105" t="str">
        <f>IF(D5028=1,COUNTIF($D$10:D5028,1)," ")</f>
        <v xml:space="preserve"> </v>
      </c>
      <c r="B5028" s="106">
        <f>COPY!AR5020</f>
        <v>0</v>
      </c>
      <c r="C5028" s="107">
        <f>COPY!AC5020</f>
        <v>0</v>
      </c>
      <c r="D5028" s="107" t="str">
        <f>IF(LEN(Table1722[[#This Row],[Uraian]])&gt;2,1," ")</f>
        <v xml:space="preserve"> </v>
      </c>
      <c r="E5028" s="113" t="str">
        <f>IF(Table1722[[#This Row],[Lawan Transaksi]]="CV AGUNG KARYA",COUNTIF($I$10:I5028,"CV AGUNG KARYA")," ")</f>
        <v xml:space="preserve"> </v>
      </c>
      <c r="F5028" s="107" t="str">
        <f>IF(LEN(Table1722[[#This Row],[Uraian]])&gt;2,TRIM(RIGHT(SUBSTITUTE(TRIM(C5028)," ",REPT(" ",255)),255))," ")</f>
        <v xml:space="preserve"> </v>
      </c>
      <c r="G5028" s="110">
        <f>COPY!Z5020</f>
        <v>0</v>
      </c>
      <c r="H5028" s="111" t="str">
        <f>IFERROR(VLOOKUP(Table1722[[#This Row],[Bukti]],'Un nOTA'!$A$4:$K$5003,10,FALSE),"")</f>
        <v/>
      </c>
      <c r="I5028" s="123" t="str">
        <f>IFERROR(VLOOKUP(Table1722[[#This Row],[Bukti]],Table13[#Data],11,FALSE),"")</f>
        <v/>
      </c>
    </row>
    <row r="5029" spans="1:9" hidden="1" x14ac:dyDescent="0.2">
      <c r="A5029" s="105" t="str">
        <f>IF(D5029=1,COUNTIF($D$10:D5029,1)," ")</f>
        <v xml:space="preserve"> </v>
      </c>
      <c r="B5029" s="106">
        <f>COPY!AR5021</f>
        <v>0</v>
      </c>
      <c r="C5029" s="107">
        <f>COPY!AC5021</f>
        <v>0</v>
      </c>
      <c r="D5029" s="107" t="str">
        <f>IF(LEN(Table1722[[#This Row],[Uraian]])&gt;2,1," ")</f>
        <v xml:space="preserve"> </v>
      </c>
      <c r="E5029" s="113" t="str">
        <f>IF(Table1722[[#This Row],[Lawan Transaksi]]="CV AGUNG KARYA",COUNTIF($I$10:I5029,"CV AGUNG KARYA")," ")</f>
        <v xml:space="preserve"> </v>
      </c>
      <c r="F5029" s="107" t="str">
        <f>IF(LEN(Table1722[[#This Row],[Uraian]])&gt;2,TRIM(RIGHT(SUBSTITUTE(TRIM(C5029)," ",REPT(" ",255)),255))," ")</f>
        <v xml:space="preserve"> </v>
      </c>
      <c r="G5029" s="110">
        <f>COPY!Z5021</f>
        <v>0</v>
      </c>
      <c r="H5029" s="111" t="str">
        <f>IFERROR(VLOOKUP(Table1722[[#This Row],[Bukti]],'Un nOTA'!$A$4:$K$5003,10,FALSE),"")</f>
        <v/>
      </c>
      <c r="I5029" s="123" t="str">
        <f>IFERROR(VLOOKUP(Table1722[[#This Row],[Bukti]],Table13[#Data],11,FALSE),"")</f>
        <v/>
      </c>
    </row>
    <row r="5030" spans="1:9" hidden="1" x14ac:dyDescent="0.2">
      <c r="A5030" s="105" t="str">
        <f>IF(D5030=1,COUNTIF($D$10:D5030,1)," ")</f>
        <v xml:space="preserve"> </v>
      </c>
      <c r="B5030" s="106">
        <f>COPY!AR5022</f>
        <v>0</v>
      </c>
      <c r="C5030" s="107">
        <f>COPY!AC5022</f>
        <v>0</v>
      </c>
      <c r="D5030" s="107" t="str">
        <f>IF(LEN(Table1722[[#This Row],[Uraian]])&gt;2,1," ")</f>
        <v xml:space="preserve"> </v>
      </c>
      <c r="E5030" s="113" t="str">
        <f>IF(Table1722[[#This Row],[Lawan Transaksi]]="CV AGUNG KARYA",COUNTIF($I$10:I5030,"CV AGUNG KARYA")," ")</f>
        <v xml:space="preserve"> </v>
      </c>
      <c r="F5030" s="107" t="str">
        <f>IF(LEN(Table1722[[#This Row],[Uraian]])&gt;2,TRIM(RIGHT(SUBSTITUTE(TRIM(C5030)," ",REPT(" ",255)),255))," ")</f>
        <v xml:space="preserve"> </v>
      </c>
      <c r="G5030" s="110">
        <f>COPY!Z5022</f>
        <v>0</v>
      </c>
      <c r="H5030" s="111" t="str">
        <f>IFERROR(VLOOKUP(Table1722[[#This Row],[Bukti]],'Un nOTA'!$A$4:$K$5003,10,FALSE),"")</f>
        <v/>
      </c>
      <c r="I5030" s="123" t="str">
        <f>IFERROR(VLOOKUP(Table1722[[#This Row],[Bukti]],Table13[#Data],11,FALSE),"")</f>
        <v/>
      </c>
    </row>
    <row r="5031" spans="1:9" hidden="1" x14ac:dyDescent="0.2">
      <c r="A5031" s="105" t="str">
        <f>IF(D5031=1,COUNTIF($D$10:D5031,1)," ")</f>
        <v xml:space="preserve"> </v>
      </c>
      <c r="B5031" s="106">
        <f>COPY!AR5023</f>
        <v>0</v>
      </c>
      <c r="C5031" s="107">
        <f>COPY!AC5023</f>
        <v>0</v>
      </c>
      <c r="D5031" s="107" t="str">
        <f>IF(LEN(Table1722[[#This Row],[Uraian]])&gt;2,1," ")</f>
        <v xml:space="preserve"> </v>
      </c>
      <c r="E5031" s="113" t="str">
        <f>IF(Table1722[[#This Row],[Lawan Transaksi]]="CV AGUNG KARYA",COUNTIF($I$10:I5031,"CV AGUNG KARYA")," ")</f>
        <v xml:space="preserve"> </v>
      </c>
      <c r="F5031" s="107" t="str">
        <f>IF(LEN(Table1722[[#This Row],[Uraian]])&gt;2,TRIM(RIGHT(SUBSTITUTE(TRIM(C5031)," ",REPT(" ",255)),255))," ")</f>
        <v xml:space="preserve"> </v>
      </c>
      <c r="G5031" s="110">
        <f>COPY!Z5023</f>
        <v>0</v>
      </c>
      <c r="H5031" s="111" t="str">
        <f>IFERROR(VLOOKUP(Table1722[[#This Row],[Bukti]],'Un nOTA'!$A$4:$K$5003,10,FALSE),"")</f>
        <v/>
      </c>
      <c r="I5031" s="123" t="str">
        <f>IFERROR(VLOOKUP(Table1722[[#This Row],[Bukti]],Table13[#Data],11,FALSE),"")</f>
        <v/>
      </c>
    </row>
    <row r="5032" spans="1:9" hidden="1" x14ac:dyDescent="0.2">
      <c r="A5032" s="105" t="str">
        <f>IF(D5032=1,COUNTIF($D$10:D5032,1)," ")</f>
        <v xml:space="preserve"> </v>
      </c>
      <c r="B5032" s="106">
        <f>COPY!AR5024</f>
        <v>0</v>
      </c>
      <c r="C5032" s="107">
        <f>COPY!AC5024</f>
        <v>0</v>
      </c>
      <c r="D5032" s="107" t="str">
        <f>IF(LEN(Table1722[[#This Row],[Uraian]])&gt;2,1," ")</f>
        <v xml:space="preserve"> </v>
      </c>
      <c r="E5032" s="113" t="str">
        <f>IF(Table1722[[#This Row],[Lawan Transaksi]]="CV AGUNG KARYA",COUNTIF($I$10:I5032,"CV AGUNG KARYA")," ")</f>
        <v xml:space="preserve"> </v>
      </c>
      <c r="F5032" s="107" t="str">
        <f>IF(LEN(Table1722[[#This Row],[Uraian]])&gt;2,TRIM(RIGHT(SUBSTITUTE(TRIM(C5032)," ",REPT(" ",255)),255))," ")</f>
        <v xml:space="preserve"> </v>
      </c>
      <c r="G5032" s="110">
        <f>COPY!Z5024</f>
        <v>0</v>
      </c>
      <c r="H5032" s="111" t="str">
        <f>IFERROR(VLOOKUP(Table1722[[#This Row],[Bukti]],'Un nOTA'!$A$4:$K$5003,10,FALSE),"")</f>
        <v/>
      </c>
      <c r="I5032" s="123" t="str">
        <f>IFERROR(VLOOKUP(Table1722[[#This Row],[Bukti]],Table13[#Data],11,FALSE),"")</f>
        <v/>
      </c>
    </row>
    <row r="5033" spans="1:9" hidden="1" x14ac:dyDescent="0.2">
      <c r="A5033" s="105" t="str">
        <f>IF(D5033=1,COUNTIF($D$10:D5033,1)," ")</f>
        <v xml:space="preserve"> </v>
      </c>
      <c r="B5033" s="106">
        <f>COPY!AR5025</f>
        <v>0</v>
      </c>
      <c r="C5033" s="107">
        <f>COPY!AC5025</f>
        <v>0</v>
      </c>
      <c r="D5033" s="107" t="str">
        <f>IF(LEN(Table1722[[#This Row],[Uraian]])&gt;2,1," ")</f>
        <v xml:space="preserve"> </v>
      </c>
      <c r="E5033" s="113" t="str">
        <f>IF(Table1722[[#This Row],[Lawan Transaksi]]="CV AGUNG KARYA",COUNTIF($I$10:I5033,"CV AGUNG KARYA")," ")</f>
        <v xml:space="preserve"> </v>
      </c>
      <c r="F5033" s="107" t="str">
        <f>IF(LEN(Table1722[[#This Row],[Uraian]])&gt;2,TRIM(RIGHT(SUBSTITUTE(TRIM(C5033)," ",REPT(" ",255)),255))," ")</f>
        <v xml:space="preserve"> </v>
      </c>
      <c r="G5033" s="110">
        <f>COPY!Z5025</f>
        <v>0</v>
      </c>
      <c r="H5033" s="111" t="str">
        <f>IFERROR(VLOOKUP(Table1722[[#This Row],[Bukti]],'Un nOTA'!$A$4:$K$5003,10,FALSE),"")</f>
        <v/>
      </c>
      <c r="I5033" s="123" t="str">
        <f>IFERROR(VLOOKUP(Table1722[[#This Row],[Bukti]],Table13[#Data],11,FALSE),"")</f>
        <v/>
      </c>
    </row>
    <row r="5034" spans="1:9" hidden="1" x14ac:dyDescent="0.2">
      <c r="A5034" s="105" t="str">
        <f>IF(D5034=1,COUNTIF($D$10:D5034,1)," ")</f>
        <v xml:space="preserve"> </v>
      </c>
      <c r="B5034" s="106">
        <f>COPY!AR5026</f>
        <v>0</v>
      </c>
      <c r="C5034" s="107">
        <f>COPY!AC5026</f>
        <v>0</v>
      </c>
      <c r="D5034" s="107" t="str">
        <f>IF(LEN(Table1722[[#This Row],[Uraian]])&gt;2,1," ")</f>
        <v xml:space="preserve"> </v>
      </c>
      <c r="E5034" s="113" t="str">
        <f>IF(Table1722[[#This Row],[Lawan Transaksi]]="CV AGUNG KARYA",COUNTIF($I$10:I5034,"CV AGUNG KARYA")," ")</f>
        <v xml:space="preserve"> </v>
      </c>
      <c r="F5034" s="107" t="str">
        <f>IF(LEN(Table1722[[#This Row],[Uraian]])&gt;2,TRIM(RIGHT(SUBSTITUTE(TRIM(C5034)," ",REPT(" ",255)),255))," ")</f>
        <v xml:space="preserve"> </v>
      </c>
      <c r="G5034" s="110">
        <f>COPY!Z5026</f>
        <v>0</v>
      </c>
      <c r="H5034" s="111" t="str">
        <f>IFERROR(VLOOKUP(Table1722[[#This Row],[Bukti]],'Un nOTA'!$A$4:$K$5003,10,FALSE),"")</f>
        <v/>
      </c>
      <c r="I5034" s="123" t="str">
        <f>IFERROR(VLOOKUP(Table1722[[#This Row],[Bukti]],Table13[#Data],11,FALSE),"")</f>
        <v/>
      </c>
    </row>
    <row r="5035" spans="1:9" hidden="1" x14ac:dyDescent="0.2">
      <c r="A5035" s="105" t="str">
        <f>IF(D5035=1,COUNTIF($D$10:D5035,1)," ")</f>
        <v xml:space="preserve"> </v>
      </c>
      <c r="B5035" s="106">
        <f>COPY!AR5027</f>
        <v>0</v>
      </c>
      <c r="C5035" s="107">
        <f>COPY!AC5027</f>
        <v>0</v>
      </c>
      <c r="D5035" s="107" t="str">
        <f>IF(LEN(Table1722[[#This Row],[Uraian]])&gt;2,1," ")</f>
        <v xml:space="preserve"> </v>
      </c>
      <c r="E5035" s="113" t="str">
        <f>IF(Table1722[[#This Row],[Lawan Transaksi]]="CV AGUNG KARYA",COUNTIF($I$10:I5035,"CV AGUNG KARYA")," ")</f>
        <v xml:space="preserve"> </v>
      </c>
      <c r="F5035" s="107" t="str">
        <f>IF(LEN(Table1722[[#This Row],[Uraian]])&gt;2,TRIM(RIGHT(SUBSTITUTE(TRIM(C5035)," ",REPT(" ",255)),255))," ")</f>
        <v xml:space="preserve"> </v>
      </c>
      <c r="G5035" s="110">
        <f>COPY!Z5027</f>
        <v>0</v>
      </c>
      <c r="H5035" s="111" t="str">
        <f>IFERROR(VLOOKUP(Table1722[[#This Row],[Bukti]],'Un nOTA'!$A$4:$K$5003,10,FALSE),"")</f>
        <v/>
      </c>
      <c r="I5035" s="123" t="str">
        <f>IFERROR(VLOOKUP(Table1722[[#This Row],[Bukti]],Table13[#Data],11,FALSE),"")</f>
        <v/>
      </c>
    </row>
    <row r="5036" spans="1:9" hidden="1" x14ac:dyDescent="0.2">
      <c r="A5036" s="105" t="str">
        <f>IF(D5036=1,COUNTIF($D$10:D5036,1)," ")</f>
        <v xml:space="preserve"> </v>
      </c>
      <c r="B5036" s="106">
        <f>COPY!AR5028</f>
        <v>0</v>
      </c>
      <c r="C5036" s="107">
        <f>COPY!AC5028</f>
        <v>0</v>
      </c>
      <c r="D5036" s="107" t="str">
        <f>IF(LEN(Table1722[[#This Row],[Uraian]])&gt;2,1," ")</f>
        <v xml:space="preserve"> </v>
      </c>
      <c r="E5036" s="113" t="str">
        <f>IF(Table1722[[#This Row],[Lawan Transaksi]]="CV AGUNG KARYA",COUNTIF($I$10:I5036,"CV AGUNG KARYA")," ")</f>
        <v xml:space="preserve"> </v>
      </c>
      <c r="F5036" s="107" t="str">
        <f>IF(LEN(Table1722[[#This Row],[Uraian]])&gt;2,TRIM(RIGHT(SUBSTITUTE(TRIM(C5036)," ",REPT(" ",255)),255))," ")</f>
        <v xml:space="preserve"> </v>
      </c>
      <c r="G5036" s="110">
        <f>COPY!Z5028</f>
        <v>0</v>
      </c>
      <c r="H5036" s="111" t="str">
        <f>IFERROR(VLOOKUP(Table1722[[#This Row],[Bukti]],'Un nOTA'!$A$4:$K$5003,10,FALSE),"")</f>
        <v/>
      </c>
      <c r="I5036" s="123" t="str">
        <f>IFERROR(VLOOKUP(Table1722[[#This Row],[Bukti]],Table13[#Data],11,FALSE),"")</f>
        <v/>
      </c>
    </row>
    <row r="5037" spans="1:9" hidden="1" x14ac:dyDescent="0.2">
      <c r="A5037" s="105" t="str">
        <f>IF(D5037=1,COUNTIF($D$10:D5037,1)," ")</f>
        <v xml:space="preserve"> </v>
      </c>
      <c r="B5037" s="106">
        <f>COPY!AR5029</f>
        <v>0</v>
      </c>
      <c r="C5037" s="107">
        <f>COPY!AC5029</f>
        <v>0</v>
      </c>
      <c r="D5037" s="107" t="str">
        <f>IF(LEN(Table1722[[#This Row],[Uraian]])&gt;2,1," ")</f>
        <v xml:space="preserve"> </v>
      </c>
      <c r="E5037" s="113" t="str">
        <f>IF(Table1722[[#This Row],[Lawan Transaksi]]="CV AGUNG KARYA",COUNTIF($I$10:I5037,"CV AGUNG KARYA")," ")</f>
        <v xml:space="preserve"> </v>
      </c>
      <c r="F5037" s="107" t="str">
        <f>IF(LEN(Table1722[[#This Row],[Uraian]])&gt;2,TRIM(RIGHT(SUBSTITUTE(TRIM(C5037)," ",REPT(" ",255)),255))," ")</f>
        <v xml:space="preserve"> </v>
      </c>
      <c r="G5037" s="110">
        <f>COPY!Z5029</f>
        <v>0</v>
      </c>
      <c r="H5037" s="111" t="str">
        <f>IFERROR(VLOOKUP(Table1722[[#This Row],[Bukti]],'Un nOTA'!$A$4:$K$5003,10,FALSE),"")</f>
        <v/>
      </c>
      <c r="I5037" s="123" t="str">
        <f>IFERROR(VLOOKUP(Table1722[[#This Row],[Bukti]],Table13[#Data],11,FALSE),"")</f>
        <v/>
      </c>
    </row>
    <row r="5038" spans="1:9" hidden="1" x14ac:dyDescent="0.2">
      <c r="A5038" s="105" t="str">
        <f>IF(D5038=1,COUNTIF($D$10:D5038,1)," ")</f>
        <v xml:space="preserve"> </v>
      </c>
      <c r="B5038" s="106">
        <f>COPY!AR5030</f>
        <v>0</v>
      </c>
      <c r="C5038" s="107">
        <f>COPY!AC5030</f>
        <v>0</v>
      </c>
      <c r="D5038" s="107" t="str">
        <f>IF(LEN(Table1722[[#This Row],[Uraian]])&gt;2,1," ")</f>
        <v xml:space="preserve"> </v>
      </c>
      <c r="E5038" s="113" t="str">
        <f>IF(Table1722[[#This Row],[Lawan Transaksi]]="CV AGUNG KARYA",COUNTIF($I$10:I5038,"CV AGUNG KARYA")," ")</f>
        <v xml:space="preserve"> </v>
      </c>
      <c r="F5038" s="107" t="str">
        <f>IF(LEN(Table1722[[#This Row],[Uraian]])&gt;2,TRIM(RIGHT(SUBSTITUTE(TRIM(C5038)," ",REPT(" ",255)),255))," ")</f>
        <v xml:space="preserve"> </v>
      </c>
      <c r="G5038" s="110">
        <f>COPY!Z5030</f>
        <v>0</v>
      </c>
      <c r="H5038" s="111" t="str">
        <f>IFERROR(VLOOKUP(Table1722[[#This Row],[Bukti]],'Un nOTA'!$A$4:$K$5003,10,FALSE),"")</f>
        <v/>
      </c>
      <c r="I5038" s="123" t="str">
        <f>IFERROR(VLOOKUP(Table1722[[#This Row],[Bukti]],Table13[#Data],11,FALSE),"")</f>
        <v/>
      </c>
    </row>
    <row r="5039" spans="1:9" hidden="1" x14ac:dyDescent="0.2">
      <c r="A5039" s="105" t="str">
        <f>IF(D5039=1,COUNTIF($D$10:D5039,1)," ")</f>
        <v xml:space="preserve"> </v>
      </c>
      <c r="B5039" s="106">
        <f>COPY!AR5031</f>
        <v>0</v>
      </c>
      <c r="C5039" s="107">
        <f>COPY!AC5031</f>
        <v>0</v>
      </c>
      <c r="D5039" s="107" t="str">
        <f>IF(LEN(Table1722[[#This Row],[Uraian]])&gt;2,1," ")</f>
        <v xml:space="preserve"> </v>
      </c>
      <c r="E5039" s="113" t="str">
        <f>IF(Table1722[[#This Row],[Lawan Transaksi]]="CV AGUNG KARYA",COUNTIF($I$10:I5039,"CV AGUNG KARYA")," ")</f>
        <v xml:space="preserve"> </v>
      </c>
      <c r="F5039" s="107" t="str">
        <f>IF(LEN(Table1722[[#This Row],[Uraian]])&gt;2,TRIM(RIGHT(SUBSTITUTE(TRIM(C5039)," ",REPT(" ",255)),255))," ")</f>
        <v xml:space="preserve"> </v>
      </c>
      <c r="G5039" s="110">
        <f>COPY!Z5031</f>
        <v>0</v>
      </c>
      <c r="H5039" s="111" t="str">
        <f>IFERROR(VLOOKUP(Table1722[[#This Row],[Bukti]],'Un nOTA'!$A$4:$K$5003,10,FALSE),"")</f>
        <v/>
      </c>
      <c r="I5039" s="123" t="str">
        <f>IFERROR(VLOOKUP(Table1722[[#This Row],[Bukti]],Table13[#Data],11,FALSE),"")</f>
        <v/>
      </c>
    </row>
    <row r="5040" spans="1:9" hidden="1" x14ac:dyDescent="0.2">
      <c r="A5040" s="105" t="str">
        <f>IF(D5040=1,COUNTIF($D$10:D5040,1)," ")</f>
        <v xml:space="preserve"> </v>
      </c>
      <c r="B5040" s="106">
        <f>COPY!AR5032</f>
        <v>0</v>
      </c>
      <c r="C5040" s="107">
        <f>COPY!AC5032</f>
        <v>0</v>
      </c>
      <c r="D5040" s="107" t="str">
        <f>IF(LEN(Table1722[[#This Row],[Uraian]])&gt;2,1," ")</f>
        <v xml:space="preserve"> </v>
      </c>
      <c r="E5040" s="113" t="str">
        <f>IF(Table1722[[#This Row],[Lawan Transaksi]]="CV AGUNG KARYA",COUNTIF($I$10:I5040,"CV AGUNG KARYA")," ")</f>
        <v xml:space="preserve"> </v>
      </c>
      <c r="F5040" s="107" t="str">
        <f>IF(LEN(Table1722[[#This Row],[Uraian]])&gt;2,TRIM(RIGHT(SUBSTITUTE(TRIM(C5040)," ",REPT(" ",255)),255))," ")</f>
        <v xml:space="preserve"> </v>
      </c>
      <c r="G5040" s="110">
        <f>COPY!Z5032</f>
        <v>0</v>
      </c>
      <c r="H5040" s="111" t="str">
        <f>IFERROR(VLOOKUP(Table1722[[#This Row],[Bukti]],'Un nOTA'!$A$4:$K$5003,10,FALSE),"")</f>
        <v/>
      </c>
      <c r="I5040" s="123" t="str">
        <f>IFERROR(VLOOKUP(Table1722[[#This Row],[Bukti]],Table13[#Data],11,FALSE),"")</f>
        <v/>
      </c>
    </row>
    <row r="5041" spans="1:9" hidden="1" x14ac:dyDescent="0.2">
      <c r="A5041" s="105" t="str">
        <f>IF(D5041=1,COUNTIF($D$10:D5041,1)," ")</f>
        <v xml:space="preserve"> </v>
      </c>
      <c r="B5041" s="106">
        <f>COPY!AR5033</f>
        <v>0</v>
      </c>
      <c r="C5041" s="107">
        <f>COPY!AC5033</f>
        <v>0</v>
      </c>
      <c r="D5041" s="107" t="str">
        <f>IF(LEN(Table1722[[#This Row],[Uraian]])&gt;2,1," ")</f>
        <v xml:space="preserve"> </v>
      </c>
      <c r="E5041" s="113" t="str">
        <f>IF(Table1722[[#This Row],[Lawan Transaksi]]="CV AGUNG KARYA",COUNTIF($I$10:I5041,"CV AGUNG KARYA")," ")</f>
        <v xml:space="preserve"> </v>
      </c>
      <c r="F5041" s="107" t="str">
        <f>IF(LEN(Table1722[[#This Row],[Uraian]])&gt;2,TRIM(RIGHT(SUBSTITUTE(TRIM(C5041)," ",REPT(" ",255)),255))," ")</f>
        <v xml:space="preserve"> </v>
      </c>
      <c r="G5041" s="110">
        <f>COPY!Z5033</f>
        <v>0</v>
      </c>
      <c r="H5041" s="111" t="str">
        <f>IFERROR(VLOOKUP(Table1722[[#This Row],[Bukti]],'Un nOTA'!$A$4:$K$5003,10,FALSE),"")</f>
        <v/>
      </c>
      <c r="I5041" s="123" t="str">
        <f>IFERROR(VLOOKUP(Table1722[[#This Row],[Bukti]],Table13[#Data],11,FALSE),"")</f>
        <v/>
      </c>
    </row>
    <row r="5042" spans="1:9" hidden="1" x14ac:dyDescent="0.2">
      <c r="A5042" s="105" t="str">
        <f>IF(D5042=1,COUNTIF($D$10:D5042,1)," ")</f>
        <v xml:space="preserve"> </v>
      </c>
      <c r="B5042" s="106">
        <f>COPY!AR5034</f>
        <v>0</v>
      </c>
      <c r="C5042" s="107">
        <f>COPY!AC5034</f>
        <v>0</v>
      </c>
      <c r="D5042" s="107" t="str">
        <f>IF(LEN(Table1722[[#This Row],[Uraian]])&gt;2,1," ")</f>
        <v xml:space="preserve"> </v>
      </c>
      <c r="E5042" s="113" t="str">
        <f>IF(Table1722[[#This Row],[Lawan Transaksi]]="CV AGUNG KARYA",COUNTIF($I$10:I5042,"CV AGUNG KARYA")," ")</f>
        <v xml:space="preserve"> </v>
      </c>
      <c r="F5042" s="107" t="str">
        <f>IF(LEN(Table1722[[#This Row],[Uraian]])&gt;2,TRIM(RIGHT(SUBSTITUTE(TRIM(C5042)," ",REPT(" ",255)),255))," ")</f>
        <v xml:space="preserve"> </v>
      </c>
      <c r="G5042" s="110">
        <f>COPY!Z5034</f>
        <v>0</v>
      </c>
      <c r="H5042" s="111" t="str">
        <f>IFERROR(VLOOKUP(Table1722[[#This Row],[Bukti]],'Un nOTA'!$A$4:$K$5003,10,FALSE),"")</f>
        <v/>
      </c>
      <c r="I5042" s="123" t="str">
        <f>IFERROR(VLOOKUP(Table1722[[#This Row],[Bukti]],Table13[#Data],11,FALSE),"")</f>
        <v/>
      </c>
    </row>
    <row r="5043" spans="1:9" hidden="1" x14ac:dyDescent="0.2">
      <c r="A5043" s="105" t="str">
        <f>IF(D5043=1,COUNTIF($D$10:D5043,1)," ")</f>
        <v xml:space="preserve"> </v>
      </c>
      <c r="B5043" s="106">
        <f>COPY!AR5035</f>
        <v>0</v>
      </c>
      <c r="C5043" s="107">
        <f>COPY!AC5035</f>
        <v>0</v>
      </c>
      <c r="D5043" s="107" t="str">
        <f>IF(LEN(Table1722[[#This Row],[Uraian]])&gt;2,1," ")</f>
        <v xml:space="preserve"> </v>
      </c>
      <c r="E5043" s="113" t="str">
        <f>IF(Table1722[[#This Row],[Lawan Transaksi]]="CV AGUNG KARYA",COUNTIF($I$10:I5043,"CV AGUNG KARYA")," ")</f>
        <v xml:space="preserve"> </v>
      </c>
      <c r="F5043" s="107" t="str">
        <f>IF(LEN(Table1722[[#This Row],[Uraian]])&gt;2,TRIM(RIGHT(SUBSTITUTE(TRIM(C5043)," ",REPT(" ",255)),255))," ")</f>
        <v xml:space="preserve"> </v>
      </c>
      <c r="G5043" s="110">
        <f>COPY!Z5035</f>
        <v>0</v>
      </c>
      <c r="H5043" s="111" t="str">
        <f>IFERROR(VLOOKUP(Table1722[[#This Row],[Bukti]],'Un nOTA'!$A$4:$K$5003,10,FALSE),"")</f>
        <v/>
      </c>
      <c r="I5043" s="123" t="str">
        <f>IFERROR(VLOOKUP(Table1722[[#This Row],[Bukti]],Table13[#Data],11,FALSE),"")</f>
        <v/>
      </c>
    </row>
    <row r="5044" spans="1:9" hidden="1" x14ac:dyDescent="0.2">
      <c r="A5044" s="105" t="str">
        <f>IF(D5044=1,COUNTIF($D$10:D5044,1)," ")</f>
        <v xml:space="preserve"> </v>
      </c>
      <c r="B5044" s="106">
        <f>COPY!AR5036</f>
        <v>0</v>
      </c>
      <c r="C5044" s="107">
        <f>COPY!AC5036</f>
        <v>0</v>
      </c>
      <c r="D5044" s="107" t="str">
        <f>IF(LEN(Table1722[[#This Row],[Uraian]])&gt;2,1," ")</f>
        <v xml:space="preserve"> </v>
      </c>
      <c r="E5044" s="113" t="str">
        <f>IF(Table1722[[#This Row],[Lawan Transaksi]]="CV AGUNG KARYA",COUNTIF($I$10:I5044,"CV AGUNG KARYA")," ")</f>
        <v xml:space="preserve"> </v>
      </c>
      <c r="F5044" s="107" t="str">
        <f>IF(LEN(Table1722[[#This Row],[Uraian]])&gt;2,TRIM(RIGHT(SUBSTITUTE(TRIM(C5044)," ",REPT(" ",255)),255))," ")</f>
        <v xml:space="preserve"> </v>
      </c>
      <c r="G5044" s="110">
        <f>COPY!Z5036</f>
        <v>0</v>
      </c>
      <c r="H5044" s="111" t="str">
        <f>IFERROR(VLOOKUP(Table1722[[#This Row],[Bukti]],'Un nOTA'!$A$4:$K$5003,10,FALSE),"")</f>
        <v/>
      </c>
      <c r="I5044" s="123" t="str">
        <f>IFERROR(VLOOKUP(Table1722[[#This Row],[Bukti]],Table13[#Data],11,FALSE),"")</f>
        <v/>
      </c>
    </row>
    <row r="5045" spans="1:9" hidden="1" x14ac:dyDescent="0.2">
      <c r="A5045" s="105" t="str">
        <f>IF(D5045=1,COUNTIF($D$10:D5045,1)," ")</f>
        <v xml:space="preserve"> </v>
      </c>
      <c r="B5045" s="106">
        <f>COPY!AR5037</f>
        <v>0</v>
      </c>
      <c r="C5045" s="107">
        <f>COPY!AC5037</f>
        <v>0</v>
      </c>
      <c r="D5045" s="107" t="str">
        <f>IF(LEN(Table1722[[#This Row],[Uraian]])&gt;2,1," ")</f>
        <v xml:space="preserve"> </v>
      </c>
      <c r="E5045" s="113" t="str">
        <f>IF(Table1722[[#This Row],[Lawan Transaksi]]="CV AGUNG KARYA",COUNTIF($I$10:I5045,"CV AGUNG KARYA")," ")</f>
        <v xml:space="preserve"> </v>
      </c>
      <c r="F5045" s="107" t="str">
        <f>IF(LEN(Table1722[[#This Row],[Uraian]])&gt;2,TRIM(RIGHT(SUBSTITUTE(TRIM(C5045)," ",REPT(" ",255)),255))," ")</f>
        <v xml:space="preserve"> </v>
      </c>
      <c r="G5045" s="110">
        <f>COPY!Z5037</f>
        <v>0</v>
      </c>
      <c r="H5045" s="111" t="str">
        <f>IFERROR(VLOOKUP(Table1722[[#This Row],[Bukti]],'Un nOTA'!$A$4:$K$5003,10,FALSE),"")</f>
        <v/>
      </c>
      <c r="I5045" s="123" t="str">
        <f>IFERROR(VLOOKUP(Table1722[[#This Row],[Bukti]],Table13[#Data],11,FALSE),"")</f>
        <v/>
      </c>
    </row>
    <row r="5046" spans="1:9" hidden="1" x14ac:dyDescent="0.2">
      <c r="A5046" s="105" t="str">
        <f>IF(D5046=1,COUNTIF($D$10:D5046,1)," ")</f>
        <v xml:space="preserve"> </v>
      </c>
      <c r="B5046" s="106">
        <f>COPY!AR5038</f>
        <v>0</v>
      </c>
      <c r="C5046" s="107">
        <f>COPY!AC5038</f>
        <v>0</v>
      </c>
      <c r="D5046" s="107" t="str">
        <f>IF(LEN(Table1722[[#This Row],[Uraian]])&gt;2,1," ")</f>
        <v xml:space="preserve"> </v>
      </c>
      <c r="E5046" s="113" t="str">
        <f>IF(Table1722[[#This Row],[Lawan Transaksi]]="CV AGUNG KARYA",COUNTIF($I$10:I5046,"CV AGUNG KARYA")," ")</f>
        <v xml:space="preserve"> </v>
      </c>
      <c r="F5046" s="107" t="str">
        <f>IF(LEN(Table1722[[#This Row],[Uraian]])&gt;2,TRIM(RIGHT(SUBSTITUTE(TRIM(C5046)," ",REPT(" ",255)),255))," ")</f>
        <v xml:space="preserve"> </v>
      </c>
      <c r="G5046" s="110">
        <f>COPY!Z5038</f>
        <v>0</v>
      </c>
      <c r="H5046" s="111" t="str">
        <f>IFERROR(VLOOKUP(Table1722[[#This Row],[Bukti]],'Un nOTA'!$A$4:$K$5003,10,FALSE),"")</f>
        <v/>
      </c>
      <c r="I5046" s="123" t="str">
        <f>IFERROR(VLOOKUP(Table1722[[#This Row],[Bukti]],Table13[#Data],11,FALSE),"")</f>
        <v/>
      </c>
    </row>
    <row r="5047" spans="1:9" hidden="1" x14ac:dyDescent="0.2">
      <c r="A5047" s="105" t="str">
        <f>IF(D5047=1,COUNTIF($D$10:D5047,1)," ")</f>
        <v xml:space="preserve"> </v>
      </c>
      <c r="B5047" s="106">
        <f>COPY!AR5039</f>
        <v>0</v>
      </c>
      <c r="C5047" s="107">
        <f>COPY!AC5039</f>
        <v>0</v>
      </c>
      <c r="D5047" s="107" t="str">
        <f>IF(LEN(Table1722[[#This Row],[Uraian]])&gt;2,1," ")</f>
        <v xml:space="preserve"> </v>
      </c>
      <c r="E5047" s="113" t="str">
        <f>IF(Table1722[[#This Row],[Lawan Transaksi]]="CV AGUNG KARYA",COUNTIF($I$10:I5047,"CV AGUNG KARYA")," ")</f>
        <v xml:space="preserve"> </v>
      </c>
      <c r="F5047" s="107" t="str">
        <f>IF(LEN(Table1722[[#This Row],[Uraian]])&gt;2,TRIM(RIGHT(SUBSTITUTE(TRIM(C5047)," ",REPT(" ",255)),255))," ")</f>
        <v xml:space="preserve"> </v>
      </c>
      <c r="G5047" s="110">
        <f>COPY!Z5039</f>
        <v>0</v>
      </c>
      <c r="H5047" s="111" t="str">
        <f>IFERROR(VLOOKUP(Table1722[[#This Row],[Bukti]],'Un nOTA'!$A$4:$K$5003,10,FALSE),"")</f>
        <v/>
      </c>
      <c r="I5047" s="123" t="str">
        <f>IFERROR(VLOOKUP(Table1722[[#This Row],[Bukti]],Table13[#Data],11,FALSE),"")</f>
        <v/>
      </c>
    </row>
    <row r="5048" spans="1:9" hidden="1" x14ac:dyDescent="0.2">
      <c r="A5048" s="105" t="str">
        <f>IF(D5048=1,COUNTIF($D$10:D5048,1)," ")</f>
        <v xml:space="preserve"> </v>
      </c>
      <c r="B5048" s="106">
        <f>COPY!AR5040</f>
        <v>0</v>
      </c>
      <c r="C5048" s="107">
        <f>COPY!AC5040</f>
        <v>0</v>
      </c>
      <c r="D5048" s="107" t="str">
        <f>IF(LEN(Table1722[[#This Row],[Uraian]])&gt;2,1," ")</f>
        <v xml:space="preserve"> </v>
      </c>
      <c r="E5048" s="113" t="str">
        <f>IF(Table1722[[#This Row],[Lawan Transaksi]]="CV AGUNG KARYA",COUNTIF($I$10:I5048,"CV AGUNG KARYA")," ")</f>
        <v xml:space="preserve"> </v>
      </c>
      <c r="F5048" s="107" t="str">
        <f>IF(LEN(Table1722[[#This Row],[Uraian]])&gt;2,TRIM(RIGHT(SUBSTITUTE(TRIM(C5048)," ",REPT(" ",255)),255))," ")</f>
        <v xml:space="preserve"> </v>
      </c>
      <c r="G5048" s="110">
        <f>COPY!Z5040</f>
        <v>0</v>
      </c>
      <c r="H5048" s="111" t="str">
        <f>IFERROR(VLOOKUP(Table1722[[#This Row],[Bukti]],'Un nOTA'!$A$4:$K$5003,10,FALSE),"")</f>
        <v/>
      </c>
      <c r="I5048" s="123" t="str">
        <f>IFERROR(VLOOKUP(Table1722[[#This Row],[Bukti]],Table13[#Data],11,FALSE),"")</f>
        <v/>
      </c>
    </row>
    <row r="5049" spans="1:9" hidden="1" x14ac:dyDescent="0.2">
      <c r="A5049" s="105" t="str">
        <f>IF(D5049=1,COUNTIF($D$10:D5049,1)," ")</f>
        <v xml:space="preserve"> </v>
      </c>
      <c r="B5049" s="106">
        <f>COPY!AR5041</f>
        <v>0</v>
      </c>
      <c r="C5049" s="107">
        <f>COPY!AC5041</f>
        <v>0</v>
      </c>
      <c r="D5049" s="107" t="str">
        <f>IF(LEN(Table1722[[#This Row],[Uraian]])&gt;2,1," ")</f>
        <v xml:space="preserve"> </v>
      </c>
      <c r="E5049" s="113" t="str">
        <f>IF(Table1722[[#This Row],[Lawan Transaksi]]="CV AGUNG KARYA",COUNTIF($I$10:I5049,"CV AGUNG KARYA")," ")</f>
        <v xml:space="preserve"> </v>
      </c>
      <c r="F5049" s="107" t="str">
        <f>IF(LEN(Table1722[[#This Row],[Uraian]])&gt;2,TRIM(RIGHT(SUBSTITUTE(TRIM(C5049)," ",REPT(" ",255)),255))," ")</f>
        <v xml:space="preserve"> </v>
      </c>
      <c r="G5049" s="110">
        <f>COPY!Z5041</f>
        <v>0</v>
      </c>
      <c r="H5049" s="111" t="str">
        <f>IFERROR(VLOOKUP(Table1722[[#This Row],[Bukti]],'Un nOTA'!$A$4:$K$5003,10,FALSE),"")</f>
        <v/>
      </c>
      <c r="I5049" s="123" t="str">
        <f>IFERROR(VLOOKUP(Table1722[[#This Row],[Bukti]],Table13[#Data],11,FALSE),"")</f>
        <v/>
      </c>
    </row>
    <row r="5050" spans="1:9" hidden="1" x14ac:dyDescent="0.2">
      <c r="A5050" s="105" t="str">
        <f>IF(D5050=1,COUNTIF($D$10:D5050,1)," ")</f>
        <v xml:space="preserve"> </v>
      </c>
      <c r="B5050" s="106">
        <f>COPY!AR5042</f>
        <v>0</v>
      </c>
      <c r="C5050" s="107">
        <f>COPY!AC5042</f>
        <v>0</v>
      </c>
      <c r="D5050" s="107" t="str">
        <f>IF(LEN(Table1722[[#This Row],[Uraian]])&gt;2,1," ")</f>
        <v xml:space="preserve"> </v>
      </c>
      <c r="E5050" s="113" t="str">
        <f>IF(Table1722[[#This Row],[Lawan Transaksi]]="CV AGUNG KARYA",COUNTIF($I$10:I5050,"CV AGUNG KARYA")," ")</f>
        <v xml:space="preserve"> </v>
      </c>
      <c r="F5050" s="107" t="str">
        <f>IF(LEN(Table1722[[#This Row],[Uraian]])&gt;2,TRIM(RIGHT(SUBSTITUTE(TRIM(C5050)," ",REPT(" ",255)),255))," ")</f>
        <v xml:space="preserve"> </v>
      </c>
      <c r="G5050" s="110">
        <f>COPY!Z5042</f>
        <v>0</v>
      </c>
      <c r="H5050" s="111" t="str">
        <f>IFERROR(VLOOKUP(Table1722[[#This Row],[Bukti]],'Un nOTA'!$A$4:$K$5003,10,FALSE),"")</f>
        <v/>
      </c>
      <c r="I5050" s="123" t="str">
        <f>IFERROR(VLOOKUP(Table1722[[#This Row],[Bukti]],Table13[#Data],11,FALSE),"")</f>
        <v/>
      </c>
    </row>
    <row r="5051" spans="1:9" hidden="1" x14ac:dyDescent="0.2">
      <c r="A5051" s="105" t="str">
        <f>IF(D5051=1,COUNTIF($D$10:D5051,1)," ")</f>
        <v xml:space="preserve"> </v>
      </c>
      <c r="B5051" s="106">
        <f>COPY!AR5043</f>
        <v>0</v>
      </c>
      <c r="C5051" s="107">
        <f>COPY!AC5043</f>
        <v>0</v>
      </c>
      <c r="D5051" s="107" t="str">
        <f>IF(LEN(Table1722[[#This Row],[Uraian]])&gt;2,1," ")</f>
        <v xml:space="preserve"> </v>
      </c>
      <c r="E5051" s="113" t="str">
        <f>IF(Table1722[[#This Row],[Lawan Transaksi]]="CV AGUNG KARYA",COUNTIF($I$10:I5051,"CV AGUNG KARYA")," ")</f>
        <v xml:space="preserve"> </v>
      </c>
      <c r="F5051" s="107" t="str">
        <f>IF(LEN(Table1722[[#This Row],[Uraian]])&gt;2,TRIM(RIGHT(SUBSTITUTE(TRIM(C5051)," ",REPT(" ",255)),255))," ")</f>
        <v xml:space="preserve"> </v>
      </c>
      <c r="G5051" s="110">
        <f>COPY!Z5043</f>
        <v>0</v>
      </c>
      <c r="H5051" s="111" t="str">
        <f>IFERROR(VLOOKUP(Table1722[[#This Row],[Bukti]],'Un nOTA'!$A$4:$K$5003,10,FALSE),"")</f>
        <v/>
      </c>
      <c r="I5051" s="123" t="str">
        <f>IFERROR(VLOOKUP(Table1722[[#This Row],[Bukti]],Table13[#Data],11,FALSE),"")</f>
        <v/>
      </c>
    </row>
    <row r="5052" spans="1:9" hidden="1" x14ac:dyDescent="0.2">
      <c r="A5052" s="105" t="str">
        <f>IF(D5052=1,COUNTIF($D$10:D5052,1)," ")</f>
        <v xml:space="preserve"> </v>
      </c>
      <c r="B5052" s="106">
        <f>COPY!AR5044</f>
        <v>0</v>
      </c>
      <c r="C5052" s="107">
        <f>COPY!AC5044</f>
        <v>0</v>
      </c>
      <c r="D5052" s="107" t="str">
        <f>IF(LEN(Table1722[[#This Row],[Uraian]])&gt;2,1," ")</f>
        <v xml:space="preserve"> </v>
      </c>
      <c r="E5052" s="113" t="str">
        <f>IF(Table1722[[#This Row],[Lawan Transaksi]]="CV AGUNG KARYA",COUNTIF($I$10:I5052,"CV AGUNG KARYA")," ")</f>
        <v xml:space="preserve"> </v>
      </c>
      <c r="F5052" s="107" t="str">
        <f>IF(LEN(Table1722[[#This Row],[Uraian]])&gt;2,TRIM(RIGHT(SUBSTITUTE(TRIM(C5052)," ",REPT(" ",255)),255))," ")</f>
        <v xml:space="preserve"> </v>
      </c>
      <c r="G5052" s="110">
        <f>COPY!Z5044</f>
        <v>0</v>
      </c>
      <c r="H5052" s="111" t="str">
        <f>IFERROR(VLOOKUP(Table1722[[#This Row],[Bukti]],'Un nOTA'!$A$4:$K$5003,10,FALSE),"")</f>
        <v/>
      </c>
      <c r="I5052" s="123" t="str">
        <f>IFERROR(VLOOKUP(Table1722[[#This Row],[Bukti]],Table13[#Data],11,FALSE),"")</f>
        <v/>
      </c>
    </row>
    <row r="5053" spans="1:9" hidden="1" x14ac:dyDescent="0.2">
      <c r="A5053" s="105" t="str">
        <f>IF(D5053=1,COUNTIF($D$10:D5053,1)," ")</f>
        <v xml:space="preserve"> </v>
      </c>
      <c r="B5053" s="106">
        <f>COPY!AR5045</f>
        <v>0</v>
      </c>
      <c r="C5053" s="107">
        <f>COPY!AC5045</f>
        <v>0</v>
      </c>
      <c r="D5053" s="107" t="str">
        <f>IF(LEN(Table1722[[#This Row],[Uraian]])&gt;2,1," ")</f>
        <v xml:space="preserve"> </v>
      </c>
      <c r="E5053" s="113" t="str">
        <f>IF(Table1722[[#This Row],[Lawan Transaksi]]="CV AGUNG KARYA",COUNTIF($I$10:I5053,"CV AGUNG KARYA")," ")</f>
        <v xml:space="preserve"> </v>
      </c>
      <c r="F5053" s="107" t="str">
        <f>IF(LEN(Table1722[[#This Row],[Uraian]])&gt;2,TRIM(RIGHT(SUBSTITUTE(TRIM(C5053)," ",REPT(" ",255)),255))," ")</f>
        <v xml:space="preserve"> </v>
      </c>
      <c r="G5053" s="110">
        <f>COPY!Z5045</f>
        <v>0</v>
      </c>
      <c r="H5053" s="111" t="str">
        <f>IFERROR(VLOOKUP(Table1722[[#This Row],[Bukti]],'Un nOTA'!$A$4:$K$5003,10,FALSE),"")</f>
        <v/>
      </c>
      <c r="I5053" s="123" t="str">
        <f>IFERROR(VLOOKUP(Table1722[[#This Row],[Bukti]],Table13[#Data],11,FALSE),"")</f>
        <v/>
      </c>
    </row>
    <row r="5054" spans="1:9" hidden="1" x14ac:dyDescent="0.2">
      <c r="A5054" s="105" t="str">
        <f>IF(D5054=1,COUNTIF($D$10:D5054,1)," ")</f>
        <v xml:space="preserve"> </v>
      </c>
      <c r="B5054" s="106">
        <f>COPY!AR5046</f>
        <v>0</v>
      </c>
      <c r="C5054" s="107">
        <f>COPY!AC5046</f>
        <v>0</v>
      </c>
      <c r="D5054" s="107" t="str">
        <f>IF(LEN(Table1722[[#This Row],[Uraian]])&gt;2,1," ")</f>
        <v xml:space="preserve"> </v>
      </c>
      <c r="E5054" s="113" t="str">
        <f>IF(Table1722[[#This Row],[Lawan Transaksi]]="CV AGUNG KARYA",COUNTIF($I$10:I5054,"CV AGUNG KARYA")," ")</f>
        <v xml:space="preserve"> </v>
      </c>
      <c r="F5054" s="107" t="str">
        <f>IF(LEN(Table1722[[#This Row],[Uraian]])&gt;2,TRIM(RIGHT(SUBSTITUTE(TRIM(C5054)," ",REPT(" ",255)),255))," ")</f>
        <v xml:space="preserve"> </v>
      </c>
      <c r="G5054" s="110">
        <f>COPY!Z5046</f>
        <v>0</v>
      </c>
      <c r="H5054" s="111" t="str">
        <f>IFERROR(VLOOKUP(Table1722[[#This Row],[Bukti]],'Un nOTA'!$A$4:$K$5003,10,FALSE),"")</f>
        <v/>
      </c>
      <c r="I5054" s="123" t="str">
        <f>IFERROR(VLOOKUP(Table1722[[#This Row],[Bukti]],Table13[#Data],11,FALSE),"")</f>
        <v/>
      </c>
    </row>
    <row r="5055" spans="1:9" hidden="1" x14ac:dyDescent="0.2">
      <c r="A5055" s="105" t="str">
        <f>IF(D5055=1,COUNTIF($D$10:D5055,1)," ")</f>
        <v xml:space="preserve"> </v>
      </c>
      <c r="B5055" s="106">
        <f>COPY!AR5047</f>
        <v>0</v>
      </c>
      <c r="C5055" s="107">
        <f>COPY!AC5047</f>
        <v>0</v>
      </c>
      <c r="D5055" s="107" t="str">
        <f>IF(LEN(Table1722[[#This Row],[Uraian]])&gt;2,1," ")</f>
        <v xml:space="preserve"> </v>
      </c>
      <c r="E5055" s="113" t="str">
        <f>IF(Table1722[[#This Row],[Lawan Transaksi]]="CV AGUNG KARYA",COUNTIF($I$10:I5055,"CV AGUNG KARYA")," ")</f>
        <v xml:space="preserve"> </v>
      </c>
      <c r="F5055" s="107" t="str">
        <f>IF(LEN(Table1722[[#This Row],[Uraian]])&gt;2,TRIM(RIGHT(SUBSTITUTE(TRIM(C5055)," ",REPT(" ",255)),255))," ")</f>
        <v xml:space="preserve"> </v>
      </c>
      <c r="G5055" s="110">
        <f>COPY!Z5047</f>
        <v>0</v>
      </c>
      <c r="H5055" s="111" t="str">
        <f>IFERROR(VLOOKUP(Table1722[[#This Row],[Bukti]],'Un nOTA'!$A$4:$K$5003,10,FALSE),"")</f>
        <v/>
      </c>
      <c r="I5055" s="123" t="str">
        <f>IFERROR(VLOOKUP(Table1722[[#This Row],[Bukti]],Table13[#Data],11,FALSE),"")</f>
        <v/>
      </c>
    </row>
    <row r="5056" spans="1:9" hidden="1" x14ac:dyDescent="0.2">
      <c r="A5056" s="105" t="str">
        <f>IF(D5056=1,COUNTIF($D$10:D5056,1)," ")</f>
        <v xml:space="preserve"> </v>
      </c>
      <c r="B5056" s="106">
        <f>COPY!AR5048</f>
        <v>0</v>
      </c>
      <c r="C5056" s="107">
        <f>COPY!AC5048</f>
        <v>0</v>
      </c>
      <c r="D5056" s="107" t="str">
        <f>IF(LEN(Table1722[[#This Row],[Uraian]])&gt;2,1," ")</f>
        <v xml:space="preserve"> </v>
      </c>
      <c r="E5056" s="113" t="str">
        <f>IF(Table1722[[#This Row],[Lawan Transaksi]]="CV AGUNG KARYA",COUNTIF($I$10:I5056,"CV AGUNG KARYA")," ")</f>
        <v xml:space="preserve"> </v>
      </c>
      <c r="F5056" s="107" t="str">
        <f>IF(LEN(Table1722[[#This Row],[Uraian]])&gt;2,TRIM(RIGHT(SUBSTITUTE(TRIM(C5056)," ",REPT(" ",255)),255))," ")</f>
        <v xml:space="preserve"> </v>
      </c>
      <c r="G5056" s="110">
        <f>COPY!Z5048</f>
        <v>0</v>
      </c>
      <c r="H5056" s="111" t="str">
        <f>IFERROR(VLOOKUP(Table1722[[#This Row],[Bukti]],'Un nOTA'!$A$4:$K$5003,10,FALSE),"")</f>
        <v/>
      </c>
      <c r="I5056" s="123" t="str">
        <f>IFERROR(VLOOKUP(Table1722[[#This Row],[Bukti]],Table13[#Data],11,FALSE),"")</f>
        <v/>
      </c>
    </row>
    <row r="5057" spans="1:9" hidden="1" x14ac:dyDescent="0.2">
      <c r="A5057" s="105" t="str">
        <f>IF(D5057=1,COUNTIF($D$10:D5057,1)," ")</f>
        <v xml:space="preserve"> </v>
      </c>
      <c r="B5057" s="106">
        <f>COPY!AR5049</f>
        <v>0</v>
      </c>
      <c r="C5057" s="107">
        <f>COPY!AC5049</f>
        <v>0</v>
      </c>
      <c r="D5057" s="107" t="str">
        <f>IF(LEN(Table1722[[#This Row],[Uraian]])&gt;2,1," ")</f>
        <v xml:space="preserve"> </v>
      </c>
      <c r="E5057" s="113" t="str">
        <f>IF(Table1722[[#This Row],[Lawan Transaksi]]="CV AGUNG KARYA",COUNTIF($I$10:I5057,"CV AGUNG KARYA")," ")</f>
        <v xml:space="preserve"> </v>
      </c>
      <c r="F5057" s="107" t="str">
        <f>IF(LEN(Table1722[[#This Row],[Uraian]])&gt;2,TRIM(RIGHT(SUBSTITUTE(TRIM(C5057)," ",REPT(" ",255)),255))," ")</f>
        <v xml:space="preserve"> </v>
      </c>
      <c r="G5057" s="110">
        <f>COPY!Z5049</f>
        <v>0</v>
      </c>
      <c r="H5057" s="111" t="str">
        <f>IFERROR(VLOOKUP(Table1722[[#This Row],[Bukti]],'Un nOTA'!$A$4:$K$5003,10,FALSE),"")</f>
        <v/>
      </c>
      <c r="I5057" s="123" t="str">
        <f>IFERROR(VLOOKUP(Table1722[[#This Row],[Bukti]],Table13[#Data],11,FALSE),"")</f>
        <v/>
      </c>
    </row>
    <row r="5058" spans="1:9" hidden="1" x14ac:dyDescent="0.2">
      <c r="A5058" s="105" t="str">
        <f>IF(D5058=1,COUNTIF($D$10:D5058,1)," ")</f>
        <v xml:space="preserve"> </v>
      </c>
      <c r="B5058" s="106">
        <f>COPY!AR5050</f>
        <v>0</v>
      </c>
      <c r="C5058" s="107">
        <f>COPY!AC5050</f>
        <v>0</v>
      </c>
      <c r="D5058" s="107" t="str">
        <f>IF(LEN(Table1722[[#This Row],[Uraian]])&gt;2,1," ")</f>
        <v xml:space="preserve"> </v>
      </c>
      <c r="E5058" s="113" t="str">
        <f>IF(Table1722[[#This Row],[Lawan Transaksi]]="CV AGUNG KARYA",COUNTIF($I$10:I5058,"CV AGUNG KARYA")," ")</f>
        <v xml:space="preserve"> </v>
      </c>
      <c r="F5058" s="107" t="str">
        <f>IF(LEN(Table1722[[#This Row],[Uraian]])&gt;2,TRIM(RIGHT(SUBSTITUTE(TRIM(C5058)," ",REPT(" ",255)),255))," ")</f>
        <v xml:space="preserve"> </v>
      </c>
      <c r="G5058" s="110">
        <f>COPY!Z5050</f>
        <v>0</v>
      </c>
      <c r="H5058" s="111" t="str">
        <f>IFERROR(VLOOKUP(Table1722[[#This Row],[Bukti]],'Un nOTA'!$A$4:$K$5003,10,FALSE),"")</f>
        <v/>
      </c>
      <c r="I5058" s="123" t="str">
        <f>IFERROR(VLOOKUP(Table1722[[#This Row],[Bukti]],Table13[#Data],11,FALSE),"")</f>
        <v/>
      </c>
    </row>
    <row r="5059" spans="1:9" hidden="1" x14ac:dyDescent="0.2">
      <c r="A5059" s="105" t="str">
        <f>IF(D5059=1,COUNTIF($D$10:D5059,1)," ")</f>
        <v xml:space="preserve"> </v>
      </c>
      <c r="B5059" s="106">
        <f>COPY!AR5051</f>
        <v>0</v>
      </c>
      <c r="C5059" s="107">
        <f>COPY!AC5051</f>
        <v>0</v>
      </c>
      <c r="D5059" s="107" t="str">
        <f>IF(LEN(Table1722[[#This Row],[Uraian]])&gt;2,1," ")</f>
        <v xml:space="preserve"> </v>
      </c>
      <c r="E5059" s="113" t="str">
        <f>IF(Table1722[[#This Row],[Lawan Transaksi]]="CV AGUNG KARYA",COUNTIF($I$10:I5059,"CV AGUNG KARYA")," ")</f>
        <v xml:space="preserve"> </v>
      </c>
      <c r="F5059" s="107" t="str">
        <f>IF(LEN(Table1722[[#This Row],[Uraian]])&gt;2,TRIM(RIGHT(SUBSTITUTE(TRIM(C5059)," ",REPT(" ",255)),255))," ")</f>
        <v xml:space="preserve"> </v>
      </c>
      <c r="G5059" s="110">
        <f>COPY!Z5051</f>
        <v>0</v>
      </c>
      <c r="H5059" s="111" t="str">
        <f>IFERROR(VLOOKUP(Table1722[[#This Row],[Bukti]],'Un nOTA'!$A$4:$K$5003,10,FALSE),"")</f>
        <v/>
      </c>
      <c r="I5059" s="123" t="str">
        <f>IFERROR(VLOOKUP(Table1722[[#This Row],[Bukti]],Table13[#Data],11,FALSE),"")</f>
        <v/>
      </c>
    </row>
    <row r="5060" spans="1:9" hidden="1" x14ac:dyDescent="0.2">
      <c r="A5060" s="105" t="str">
        <f>IF(D5060=1,COUNTIF($D$10:D5060,1)," ")</f>
        <v xml:space="preserve"> </v>
      </c>
      <c r="B5060" s="106">
        <f>COPY!AR5052</f>
        <v>0</v>
      </c>
      <c r="C5060" s="107">
        <f>COPY!AC5052</f>
        <v>0</v>
      </c>
      <c r="D5060" s="107" t="str">
        <f>IF(LEN(Table1722[[#This Row],[Uraian]])&gt;2,1," ")</f>
        <v xml:space="preserve"> </v>
      </c>
      <c r="E5060" s="113" t="str">
        <f>IF(Table1722[[#This Row],[Lawan Transaksi]]="CV AGUNG KARYA",COUNTIF($I$10:I5060,"CV AGUNG KARYA")," ")</f>
        <v xml:space="preserve"> </v>
      </c>
      <c r="F5060" s="107" t="str">
        <f>IF(LEN(Table1722[[#This Row],[Uraian]])&gt;2,TRIM(RIGHT(SUBSTITUTE(TRIM(C5060)," ",REPT(" ",255)),255))," ")</f>
        <v xml:space="preserve"> </v>
      </c>
      <c r="G5060" s="110">
        <f>COPY!Z5052</f>
        <v>0</v>
      </c>
      <c r="H5060" s="111" t="str">
        <f>IFERROR(VLOOKUP(Table1722[[#This Row],[Bukti]],'Un nOTA'!$A$4:$K$5003,10,FALSE),"")</f>
        <v/>
      </c>
      <c r="I5060" s="123" t="str">
        <f>IFERROR(VLOOKUP(Table1722[[#This Row],[Bukti]],Table13[#Data],11,FALSE),"")</f>
        <v/>
      </c>
    </row>
    <row r="5061" spans="1:9" hidden="1" x14ac:dyDescent="0.2">
      <c r="A5061" s="105" t="str">
        <f>IF(D5061=1,COUNTIF($D$10:D5061,1)," ")</f>
        <v xml:space="preserve"> </v>
      </c>
      <c r="B5061" s="106">
        <f>COPY!AR5053</f>
        <v>0</v>
      </c>
      <c r="C5061" s="107">
        <f>COPY!AC5053</f>
        <v>0</v>
      </c>
      <c r="D5061" s="107" t="str">
        <f>IF(LEN(Table1722[[#This Row],[Uraian]])&gt;2,1," ")</f>
        <v xml:space="preserve"> </v>
      </c>
      <c r="E5061" s="113" t="str">
        <f>IF(Table1722[[#This Row],[Lawan Transaksi]]="CV AGUNG KARYA",COUNTIF($I$10:I5061,"CV AGUNG KARYA")," ")</f>
        <v xml:space="preserve"> </v>
      </c>
      <c r="F5061" s="107" t="str">
        <f>IF(LEN(Table1722[[#This Row],[Uraian]])&gt;2,TRIM(RIGHT(SUBSTITUTE(TRIM(C5061)," ",REPT(" ",255)),255))," ")</f>
        <v xml:space="preserve"> </v>
      </c>
      <c r="G5061" s="110">
        <f>COPY!Z5053</f>
        <v>0</v>
      </c>
      <c r="H5061" s="111" t="str">
        <f>IFERROR(VLOOKUP(Table1722[[#This Row],[Bukti]],'Un nOTA'!$A$4:$K$5003,10,FALSE),"")</f>
        <v/>
      </c>
      <c r="I5061" s="123" t="str">
        <f>IFERROR(VLOOKUP(Table1722[[#This Row],[Bukti]],Table13[#Data],11,FALSE),"")</f>
        <v/>
      </c>
    </row>
    <row r="5062" spans="1:9" hidden="1" x14ac:dyDescent="0.2">
      <c r="A5062" s="105" t="str">
        <f>IF(D5062=1,COUNTIF($D$10:D5062,1)," ")</f>
        <v xml:space="preserve"> </v>
      </c>
      <c r="B5062" s="106">
        <f>COPY!AR5054</f>
        <v>0</v>
      </c>
      <c r="C5062" s="107">
        <f>COPY!AC5054</f>
        <v>0</v>
      </c>
      <c r="D5062" s="107" t="str">
        <f>IF(LEN(Table1722[[#This Row],[Uraian]])&gt;2,1," ")</f>
        <v xml:space="preserve"> </v>
      </c>
      <c r="E5062" s="113" t="str">
        <f>IF(Table1722[[#This Row],[Lawan Transaksi]]="CV AGUNG KARYA",COUNTIF($I$10:I5062,"CV AGUNG KARYA")," ")</f>
        <v xml:space="preserve"> </v>
      </c>
      <c r="F5062" s="107" t="str">
        <f>IF(LEN(Table1722[[#This Row],[Uraian]])&gt;2,TRIM(RIGHT(SUBSTITUTE(TRIM(C5062)," ",REPT(" ",255)),255))," ")</f>
        <v xml:space="preserve"> </v>
      </c>
      <c r="G5062" s="110">
        <f>COPY!Z5054</f>
        <v>0</v>
      </c>
      <c r="H5062" s="111" t="str">
        <f>IFERROR(VLOOKUP(Table1722[[#This Row],[Bukti]],'Un nOTA'!$A$4:$K$5003,10,FALSE),"")</f>
        <v/>
      </c>
      <c r="I5062" s="123" t="str">
        <f>IFERROR(VLOOKUP(Table1722[[#This Row],[Bukti]],Table13[#Data],11,FALSE),"")</f>
        <v/>
      </c>
    </row>
    <row r="5063" spans="1:9" hidden="1" x14ac:dyDescent="0.2">
      <c r="A5063" s="105" t="str">
        <f>IF(D5063=1,COUNTIF($D$10:D5063,1)," ")</f>
        <v xml:space="preserve"> </v>
      </c>
      <c r="B5063" s="106">
        <f>COPY!AR5055</f>
        <v>0</v>
      </c>
      <c r="C5063" s="107">
        <f>COPY!AC5055</f>
        <v>0</v>
      </c>
      <c r="D5063" s="107" t="str">
        <f>IF(LEN(Table1722[[#This Row],[Uraian]])&gt;2,1," ")</f>
        <v xml:space="preserve"> </v>
      </c>
      <c r="E5063" s="113" t="str">
        <f>IF(Table1722[[#This Row],[Lawan Transaksi]]="CV AGUNG KARYA",COUNTIF($I$10:I5063,"CV AGUNG KARYA")," ")</f>
        <v xml:space="preserve"> </v>
      </c>
      <c r="F5063" s="107" t="str">
        <f>IF(LEN(Table1722[[#This Row],[Uraian]])&gt;2,TRIM(RIGHT(SUBSTITUTE(TRIM(C5063)," ",REPT(" ",255)),255))," ")</f>
        <v xml:space="preserve"> </v>
      </c>
      <c r="G5063" s="110">
        <f>COPY!Z5055</f>
        <v>0</v>
      </c>
      <c r="H5063" s="111" t="str">
        <f>IFERROR(VLOOKUP(Table1722[[#This Row],[Bukti]],'Un nOTA'!$A$4:$K$5003,10,FALSE),"")</f>
        <v/>
      </c>
      <c r="I5063" s="123" t="str">
        <f>IFERROR(VLOOKUP(Table1722[[#This Row],[Bukti]],Table13[#Data],11,FALSE),"")</f>
        <v/>
      </c>
    </row>
    <row r="5064" spans="1:9" hidden="1" x14ac:dyDescent="0.2">
      <c r="A5064" s="105" t="str">
        <f>IF(D5064=1,COUNTIF($D$10:D5064,1)," ")</f>
        <v xml:space="preserve"> </v>
      </c>
      <c r="B5064" s="106">
        <f>COPY!AR5056</f>
        <v>0</v>
      </c>
      <c r="C5064" s="107">
        <f>COPY!AC5056</f>
        <v>0</v>
      </c>
      <c r="D5064" s="107" t="str">
        <f>IF(LEN(Table1722[[#This Row],[Uraian]])&gt;2,1," ")</f>
        <v xml:space="preserve"> </v>
      </c>
      <c r="E5064" s="113" t="str">
        <f>IF(Table1722[[#This Row],[Lawan Transaksi]]="CV AGUNG KARYA",COUNTIF($I$10:I5064,"CV AGUNG KARYA")," ")</f>
        <v xml:space="preserve"> </v>
      </c>
      <c r="F5064" s="107" t="str">
        <f>IF(LEN(Table1722[[#This Row],[Uraian]])&gt;2,TRIM(RIGHT(SUBSTITUTE(TRIM(C5064)," ",REPT(" ",255)),255))," ")</f>
        <v xml:space="preserve"> </v>
      </c>
      <c r="G5064" s="110">
        <f>COPY!Z5056</f>
        <v>0</v>
      </c>
      <c r="H5064" s="111" t="str">
        <f>IFERROR(VLOOKUP(Table1722[[#This Row],[Bukti]],'Un nOTA'!$A$4:$K$5003,10,FALSE),"")</f>
        <v/>
      </c>
      <c r="I5064" s="123" t="str">
        <f>IFERROR(VLOOKUP(Table1722[[#This Row],[Bukti]],Table13[#Data],11,FALSE),"")</f>
        <v/>
      </c>
    </row>
    <row r="5065" spans="1:9" hidden="1" x14ac:dyDescent="0.2">
      <c r="A5065" s="105" t="str">
        <f>IF(D5065=1,COUNTIF($D$10:D5065,1)," ")</f>
        <v xml:space="preserve"> </v>
      </c>
      <c r="B5065" s="106">
        <f>COPY!AR5057</f>
        <v>0</v>
      </c>
      <c r="C5065" s="107">
        <f>COPY!AC5057</f>
        <v>0</v>
      </c>
      <c r="D5065" s="107" t="str">
        <f>IF(LEN(Table1722[[#This Row],[Uraian]])&gt;2,1," ")</f>
        <v xml:space="preserve"> </v>
      </c>
      <c r="E5065" s="113" t="str">
        <f>IF(Table1722[[#This Row],[Lawan Transaksi]]="CV AGUNG KARYA",COUNTIF($I$10:I5065,"CV AGUNG KARYA")," ")</f>
        <v xml:space="preserve"> </v>
      </c>
      <c r="F5065" s="107" t="str">
        <f>IF(LEN(Table1722[[#This Row],[Uraian]])&gt;2,TRIM(RIGHT(SUBSTITUTE(TRIM(C5065)," ",REPT(" ",255)),255))," ")</f>
        <v xml:space="preserve"> </v>
      </c>
      <c r="G5065" s="110">
        <f>COPY!Z5057</f>
        <v>0</v>
      </c>
      <c r="H5065" s="111" t="str">
        <f>IFERROR(VLOOKUP(Table1722[[#This Row],[Bukti]],'Un nOTA'!$A$4:$K$5003,10,FALSE),"")</f>
        <v/>
      </c>
      <c r="I5065" s="123" t="str">
        <f>IFERROR(VLOOKUP(Table1722[[#This Row],[Bukti]],Table13[#Data],11,FALSE),"")</f>
        <v/>
      </c>
    </row>
    <row r="5066" spans="1:9" hidden="1" x14ac:dyDescent="0.2">
      <c r="A5066" s="105" t="str">
        <f>IF(D5066=1,COUNTIF($D$10:D5066,1)," ")</f>
        <v xml:space="preserve"> </v>
      </c>
      <c r="B5066" s="106">
        <f>COPY!AR5058</f>
        <v>0</v>
      </c>
      <c r="C5066" s="107">
        <f>COPY!AC5058</f>
        <v>0</v>
      </c>
      <c r="D5066" s="107" t="str">
        <f>IF(LEN(Table1722[[#This Row],[Uraian]])&gt;2,1," ")</f>
        <v xml:space="preserve"> </v>
      </c>
      <c r="E5066" s="113" t="str">
        <f>IF(Table1722[[#This Row],[Lawan Transaksi]]="CV AGUNG KARYA",COUNTIF($I$10:I5066,"CV AGUNG KARYA")," ")</f>
        <v xml:space="preserve"> </v>
      </c>
      <c r="F5066" s="107" t="str">
        <f>IF(LEN(Table1722[[#This Row],[Uraian]])&gt;2,TRIM(RIGHT(SUBSTITUTE(TRIM(C5066)," ",REPT(" ",255)),255))," ")</f>
        <v xml:space="preserve"> </v>
      </c>
      <c r="G5066" s="110">
        <f>COPY!Z5058</f>
        <v>0</v>
      </c>
      <c r="H5066" s="111" t="str">
        <f>IFERROR(VLOOKUP(Table1722[[#This Row],[Bukti]],'Un nOTA'!$A$4:$K$5003,10,FALSE),"")</f>
        <v/>
      </c>
      <c r="I5066" s="123" t="str">
        <f>IFERROR(VLOOKUP(Table1722[[#This Row],[Bukti]],Table13[#Data],11,FALSE),"")</f>
        <v/>
      </c>
    </row>
    <row r="5067" spans="1:9" hidden="1" x14ac:dyDescent="0.2">
      <c r="A5067" s="105" t="str">
        <f>IF(D5067=1,COUNTIF($D$10:D5067,1)," ")</f>
        <v xml:space="preserve"> </v>
      </c>
      <c r="B5067" s="106">
        <f>COPY!AR5059</f>
        <v>0</v>
      </c>
      <c r="C5067" s="107">
        <f>COPY!AC5059</f>
        <v>0</v>
      </c>
      <c r="D5067" s="107" t="str">
        <f>IF(LEN(Table1722[[#This Row],[Uraian]])&gt;2,1," ")</f>
        <v xml:space="preserve"> </v>
      </c>
      <c r="E5067" s="113" t="str">
        <f>IF(Table1722[[#This Row],[Lawan Transaksi]]="CV AGUNG KARYA",COUNTIF($I$10:I5067,"CV AGUNG KARYA")," ")</f>
        <v xml:space="preserve"> </v>
      </c>
      <c r="F5067" s="107" t="str">
        <f>IF(LEN(Table1722[[#This Row],[Uraian]])&gt;2,TRIM(RIGHT(SUBSTITUTE(TRIM(C5067)," ",REPT(" ",255)),255))," ")</f>
        <v xml:space="preserve"> </v>
      </c>
      <c r="G5067" s="110">
        <f>COPY!Z5059</f>
        <v>0</v>
      </c>
      <c r="H5067" s="111" t="str">
        <f>IFERROR(VLOOKUP(Table1722[[#This Row],[Bukti]],'Un nOTA'!$A$4:$K$5003,10,FALSE),"")</f>
        <v/>
      </c>
      <c r="I5067" s="123" t="str">
        <f>IFERROR(VLOOKUP(Table1722[[#This Row],[Bukti]],Table13[#Data],11,FALSE),"")</f>
        <v/>
      </c>
    </row>
    <row r="5068" spans="1:9" hidden="1" x14ac:dyDescent="0.2">
      <c r="A5068" s="105" t="str">
        <f>IF(D5068=1,COUNTIF($D$10:D5068,1)," ")</f>
        <v xml:space="preserve"> </v>
      </c>
      <c r="B5068" s="106">
        <f>COPY!AR5060</f>
        <v>0</v>
      </c>
      <c r="C5068" s="107">
        <f>COPY!AC5060</f>
        <v>0</v>
      </c>
      <c r="D5068" s="107" t="str">
        <f>IF(LEN(Table1722[[#This Row],[Uraian]])&gt;2,1," ")</f>
        <v xml:space="preserve"> </v>
      </c>
      <c r="E5068" s="113" t="str">
        <f>IF(Table1722[[#This Row],[Lawan Transaksi]]="CV AGUNG KARYA",COUNTIF($I$10:I5068,"CV AGUNG KARYA")," ")</f>
        <v xml:space="preserve"> </v>
      </c>
      <c r="F5068" s="107" t="str">
        <f>IF(LEN(Table1722[[#This Row],[Uraian]])&gt;2,TRIM(RIGHT(SUBSTITUTE(TRIM(C5068)," ",REPT(" ",255)),255))," ")</f>
        <v xml:space="preserve"> </v>
      </c>
      <c r="G5068" s="110">
        <f>COPY!Z5060</f>
        <v>0</v>
      </c>
      <c r="H5068" s="111" t="str">
        <f>IFERROR(VLOOKUP(Table1722[[#This Row],[Bukti]],'Un nOTA'!$A$4:$K$5003,10,FALSE),"")</f>
        <v/>
      </c>
      <c r="I5068" s="123" t="str">
        <f>IFERROR(VLOOKUP(Table1722[[#This Row],[Bukti]],Table13[#Data],11,FALSE),"")</f>
        <v/>
      </c>
    </row>
    <row r="5069" spans="1:9" hidden="1" x14ac:dyDescent="0.2">
      <c r="A5069" s="105" t="str">
        <f>IF(D5069=1,COUNTIF($D$10:D5069,1)," ")</f>
        <v xml:space="preserve"> </v>
      </c>
      <c r="B5069" s="106">
        <f>COPY!AR5061</f>
        <v>0</v>
      </c>
      <c r="C5069" s="107">
        <f>COPY!AC5061</f>
        <v>0</v>
      </c>
      <c r="D5069" s="107" t="str">
        <f>IF(LEN(Table1722[[#This Row],[Uraian]])&gt;2,1," ")</f>
        <v xml:space="preserve"> </v>
      </c>
      <c r="E5069" s="113" t="str">
        <f>IF(Table1722[[#This Row],[Lawan Transaksi]]="CV AGUNG KARYA",COUNTIF($I$10:I5069,"CV AGUNG KARYA")," ")</f>
        <v xml:space="preserve"> </v>
      </c>
      <c r="F5069" s="107" t="str">
        <f>IF(LEN(Table1722[[#This Row],[Uraian]])&gt;2,TRIM(RIGHT(SUBSTITUTE(TRIM(C5069)," ",REPT(" ",255)),255))," ")</f>
        <v xml:space="preserve"> </v>
      </c>
      <c r="G5069" s="110">
        <f>COPY!Z5061</f>
        <v>0</v>
      </c>
      <c r="H5069" s="111" t="str">
        <f>IFERROR(VLOOKUP(Table1722[[#This Row],[Bukti]],'Un nOTA'!$A$4:$K$5003,10,FALSE),"")</f>
        <v/>
      </c>
      <c r="I5069" s="123" t="str">
        <f>IFERROR(VLOOKUP(Table1722[[#This Row],[Bukti]],Table13[#Data],11,FALSE),"")</f>
        <v/>
      </c>
    </row>
    <row r="5070" spans="1:9" hidden="1" x14ac:dyDescent="0.2">
      <c r="A5070" s="105" t="str">
        <f>IF(D5070=1,COUNTIF($D$10:D5070,1)," ")</f>
        <v xml:space="preserve"> </v>
      </c>
      <c r="B5070" s="106">
        <f>COPY!AR5062</f>
        <v>0</v>
      </c>
      <c r="C5070" s="107">
        <f>COPY!AC5062</f>
        <v>0</v>
      </c>
      <c r="D5070" s="107" t="str">
        <f>IF(LEN(Table1722[[#This Row],[Uraian]])&gt;2,1," ")</f>
        <v xml:space="preserve"> </v>
      </c>
      <c r="E5070" s="113" t="str">
        <f>IF(Table1722[[#This Row],[Lawan Transaksi]]="CV AGUNG KARYA",COUNTIF($I$10:I5070,"CV AGUNG KARYA")," ")</f>
        <v xml:space="preserve"> </v>
      </c>
      <c r="F5070" s="107" t="str">
        <f>IF(LEN(Table1722[[#This Row],[Uraian]])&gt;2,TRIM(RIGHT(SUBSTITUTE(TRIM(C5070)," ",REPT(" ",255)),255))," ")</f>
        <v xml:space="preserve"> </v>
      </c>
      <c r="G5070" s="110">
        <f>COPY!Z5062</f>
        <v>0</v>
      </c>
      <c r="H5070" s="111" t="str">
        <f>IFERROR(VLOOKUP(Table1722[[#This Row],[Bukti]],'Un nOTA'!$A$4:$K$5003,10,FALSE),"")</f>
        <v/>
      </c>
      <c r="I5070" s="123" t="str">
        <f>IFERROR(VLOOKUP(Table1722[[#This Row],[Bukti]],Table13[#Data],11,FALSE),"")</f>
        <v/>
      </c>
    </row>
    <row r="5071" spans="1:9" hidden="1" x14ac:dyDescent="0.2">
      <c r="A5071" s="105" t="str">
        <f>IF(D5071=1,COUNTIF($D$10:D5071,1)," ")</f>
        <v xml:space="preserve"> </v>
      </c>
      <c r="B5071" s="106">
        <f>COPY!AR5063</f>
        <v>0</v>
      </c>
      <c r="C5071" s="107">
        <f>COPY!AC5063</f>
        <v>0</v>
      </c>
      <c r="D5071" s="107" t="str">
        <f>IF(LEN(Table1722[[#This Row],[Uraian]])&gt;2,1," ")</f>
        <v xml:space="preserve"> </v>
      </c>
      <c r="E5071" s="113" t="str">
        <f>IF(Table1722[[#This Row],[Lawan Transaksi]]="CV AGUNG KARYA",COUNTIF($I$10:I5071,"CV AGUNG KARYA")," ")</f>
        <v xml:space="preserve"> </v>
      </c>
      <c r="F5071" s="107" t="str">
        <f>IF(LEN(Table1722[[#This Row],[Uraian]])&gt;2,TRIM(RIGHT(SUBSTITUTE(TRIM(C5071)," ",REPT(" ",255)),255))," ")</f>
        <v xml:space="preserve"> </v>
      </c>
      <c r="G5071" s="110">
        <f>COPY!Z5063</f>
        <v>0</v>
      </c>
      <c r="H5071" s="111" t="str">
        <f>IFERROR(VLOOKUP(Table1722[[#This Row],[Bukti]],'Un nOTA'!$A$4:$K$5003,10,FALSE),"")</f>
        <v/>
      </c>
      <c r="I5071" s="123" t="str">
        <f>IFERROR(VLOOKUP(Table1722[[#This Row],[Bukti]],Table13[#Data],11,FALSE),"")</f>
        <v/>
      </c>
    </row>
    <row r="5072" spans="1:9" hidden="1" x14ac:dyDescent="0.2">
      <c r="A5072" s="105" t="str">
        <f>IF(D5072=1,COUNTIF($D$10:D5072,1)," ")</f>
        <v xml:space="preserve"> </v>
      </c>
      <c r="B5072" s="106">
        <f>COPY!AR5064</f>
        <v>0</v>
      </c>
      <c r="C5072" s="107">
        <f>COPY!AC5064</f>
        <v>0</v>
      </c>
      <c r="D5072" s="107" t="str">
        <f>IF(LEN(Table1722[[#This Row],[Uraian]])&gt;2,1," ")</f>
        <v xml:space="preserve"> </v>
      </c>
      <c r="E5072" s="113" t="str">
        <f>IF(Table1722[[#This Row],[Lawan Transaksi]]="CV AGUNG KARYA",COUNTIF($I$10:I5072,"CV AGUNG KARYA")," ")</f>
        <v xml:space="preserve"> </v>
      </c>
      <c r="F5072" s="107" t="str">
        <f>IF(LEN(Table1722[[#This Row],[Uraian]])&gt;2,TRIM(RIGHT(SUBSTITUTE(TRIM(C5072)," ",REPT(" ",255)),255))," ")</f>
        <v xml:space="preserve"> </v>
      </c>
      <c r="G5072" s="110">
        <f>COPY!Z5064</f>
        <v>0</v>
      </c>
      <c r="H5072" s="111" t="str">
        <f>IFERROR(VLOOKUP(Table1722[[#This Row],[Bukti]],'Un nOTA'!$A$4:$K$5003,10,FALSE),"")</f>
        <v/>
      </c>
      <c r="I5072" s="123" t="str">
        <f>IFERROR(VLOOKUP(Table1722[[#This Row],[Bukti]],Table13[#Data],11,FALSE),"")</f>
        <v/>
      </c>
    </row>
    <row r="5073" spans="1:9" hidden="1" x14ac:dyDescent="0.2">
      <c r="A5073" s="105" t="str">
        <f>IF(D5073=1,COUNTIF($D$10:D5073,1)," ")</f>
        <v xml:space="preserve"> </v>
      </c>
      <c r="B5073" s="106">
        <f>COPY!AR5065</f>
        <v>0</v>
      </c>
      <c r="C5073" s="107">
        <f>COPY!AC5065</f>
        <v>0</v>
      </c>
      <c r="D5073" s="107" t="str">
        <f>IF(LEN(Table1722[[#This Row],[Uraian]])&gt;2,1," ")</f>
        <v xml:space="preserve"> </v>
      </c>
      <c r="E5073" s="113" t="str">
        <f>IF(Table1722[[#This Row],[Lawan Transaksi]]="CV AGUNG KARYA",COUNTIF($I$10:I5073,"CV AGUNG KARYA")," ")</f>
        <v xml:space="preserve"> </v>
      </c>
      <c r="F5073" s="107" t="str">
        <f>IF(LEN(Table1722[[#This Row],[Uraian]])&gt;2,TRIM(RIGHT(SUBSTITUTE(TRIM(C5073)," ",REPT(" ",255)),255))," ")</f>
        <v xml:space="preserve"> </v>
      </c>
      <c r="G5073" s="110">
        <f>COPY!Z5065</f>
        <v>0</v>
      </c>
      <c r="H5073" s="111" t="str">
        <f>IFERROR(VLOOKUP(Table1722[[#This Row],[Bukti]],'Un nOTA'!$A$4:$K$5003,10,FALSE),"")</f>
        <v/>
      </c>
      <c r="I5073" s="123" t="str">
        <f>IFERROR(VLOOKUP(Table1722[[#This Row],[Bukti]],Table13[#Data],11,FALSE),"")</f>
        <v/>
      </c>
    </row>
    <row r="5074" spans="1:9" hidden="1" x14ac:dyDescent="0.2">
      <c r="A5074" s="105" t="str">
        <f>IF(D5074=1,COUNTIF($D$10:D5074,1)," ")</f>
        <v xml:space="preserve"> </v>
      </c>
      <c r="B5074" s="106">
        <f>COPY!AR5066</f>
        <v>0</v>
      </c>
      <c r="C5074" s="107">
        <f>COPY!AC5066</f>
        <v>0</v>
      </c>
      <c r="D5074" s="107" t="str">
        <f>IF(LEN(Table1722[[#This Row],[Uraian]])&gt;2,1," ")</f>
        <v xml:space="preserve"> </v>
      </c>
      <c r="E5074" s="113" t="str">
        <f>IF(Table1722[[#This Row],[Lawan Transaksi]]="CV AGUNG KARYA",COUNTIF($I$10:I5074,"CV AGUNG KARYA")," ")</f>
        <v xml:space="preserve"> </v>
      </c>
      <c r="F5074" s="107" t="str">
        <f>IF(LEN(Table1722[[#This Row],[Uraian]])&gt;2,TRIM(RIGHT(SUBSTITUTE(TRIM(C5074)," ",REPT(" ",255)),255))," ")</f>
        <v xml:space="preserve"> </v>
      </c>
      <c r="G5074" s="110">
        <f>COPY!Z5066</f>
        <v>0</v>
      </c>
      <c r="H5074" s="111" t="str">
        <f>IFERROR(VLOOKUP(Table1722[[#This Row],[Bukti]],'Un nOTA'!$A$4:$K$5003,10,FALSE),"")</f>
        <v/>
      </c>
      <c r="I5074" s="123" t="str">
        <f>IFERROR(VLOOKUP(Table1722[[#This Row],[Bukti]],Table13[#Data],11,FALSE),"")</f>
        <v/>
      </c>
    </row>
    <row r="5075" spans="1:9" hidden="1" x14ac:dyDescent="0.2">
      <c r="A5075" s="105" t="str">
        <f>IF(D5075=1,COUNTIF($D$10:D5075,1)," ")</f>
        <v xml:space="preserve"> </v>
      </c>
      <c r="B5075" s="106">
        <f>COPY!AR5067</f>
        <v>0</v>
      </c>
      <c r="C5075" s="107">
        <f>COPY!AC5067</f>
        <v>0</v>
      </c>
      <c r="D5075" s="107" t="str">
        <f>IF(LEN(Table1722[[#This Row],[Uraian]])&gt;2,1," ")</f>
        <v xml:space="preserve"> </v>
      </c>
      <c r="E5075" s="113" t="str">
        <f>IF(Table1722[[#This Row],[Lawan Transaksi]]="CV AGUNG KARYA",COUNTIF($I$10:I5075,"CV AGUNG KARYA")," ")</f>
        <v xml:space="preserve"> </v>
      </c>
      <c r="F5075" s="107" t="str">
        <f>IF(LEN(Table1722[[#This Row],[Uraian]])&gt;2,TRIM(RIGHT(SUBSTITUTE(TRIM(C5075)," ",REPT(" ",255)),255))," ")</f>
        <v xml:space="preserve"> </v>
      </c>
      <c r="G5075" s="110">
        <f>COPY!Z5067</f>
        <v>0</v>
      </c>
      <c r="H5075" s="111" t="str">
        <f>IFERROR(VLOOKUP(Table1722[[#This Row],[Bukti]],'Un nOTA'!$A$4:$K$5003,10,FALSE),"")</f>
        <v/>
      </c>
      <c r="I5075" s="123" t="str">
        <f>IFERROR(VLOOKUP(Table1722[[#This Row],[Bukti]],Table13[#Data],11,FALSE),"")</f>
        <v/>
      </c>
    </row>
    <row r="5076" spans="1:9" hidden="1" x14ac:dyDescent="0.2">
      <c r="A5076" s="105" t="str">
        <f>IF(D5076=1,COUNTIF($D$10:D5076,1)," ")</f>
        <v xml:space="preserve"> </v>
      </c>
      <c r="B5076" s="106">
        <f>COPY!AR5068</f>
        <v>0</v>
      </c>
      <c r="C5076" s="107">
        <f>COPY!AC5068</f>
        <v>0</v>
      </c>
      <c r="D5076" s="107" t="str">
        <f>IF(LEN(Table1722[[#This Row],[Uraian]])&gt;2,1," ")</f>
        <v xml:space="preserve"> </v>
      </c>
      <c r="E5076" s="113" t="str">
        <f>IF(Table1722[[#This Row],[Lawan Transaksi]]="CV AGUNG KARYA",COUNTIF($I$10:I5076,"CV AGUNG KARYA")," ")</f>
        <v xml:space="preserve"> </v>
      </c>
      <c r="F5076" s="107" t="str">
        <f>IF(LEN(Table1722[[#This Row],[Uraian]])&gt;2,TRIM(RIGHT(SUBSTITUTE(TRIM(C5076)," ",REPT(" ",255)),255))," ")</f>
        <v xml:space="preserve"> </v>
      </c>
      <c r="G5076" s="110">
        <f>COPY!Z5068</f>
        <v>0</v>
      </c>
      <c r="H5076" s="111" t="str">
        <f>IFERROR(VLOOKUP(Table1722[[#This Row],[Bukti]],'Un nOTA'!$A$4:$K$5003,10,FALSE),"")</f>
        <v/>
      </c>
      <c r="I5076" s="123" t="str">
        <f>IFERROR(VLOOKUP(Table1722[[#This Row],[Bukti]],Table13[#Data],11,FALSE),"")</f>
        <v/>
      </c>
    </row>
    <row r="5077" spans="1:9" hidden="1" x14ac:dyDescent="0.2">
      <c r="A5077" s="105" t="str">
        <f>IF(D5077=1,COUNTIF($D$10:D5077,1)," ")</f>
        <v xml:space="preserve"> </v>
      </c>
      <c r="B5077" s="106">
        <f>COPY!AR5069</f>
        <v>0</v>
      </c>
      <c r="C5077" s="107">
        <f>COPY!AC5069</f>
        <v>0</v>
      </c>
      <c r="D5077" s="107" t="str">
        <f>IF(LEN(Table1722[[#This Row],[Uraian]])&gt;2,1," ")</f>
        <v xml:space="preserve"> </v>
      </c>
      <c r="E5077" s="113" t="str">
        <f>IF(Table1722[[#This Row],[Lawan Transaksi]]="CV AGUNG KARYA",COUNTIF($I$10:I5077,"CV AGUNG KARYA")," ")</f>
        <v xml:space="preserve"> </v>
      </c>
      <c r="F5077" s="107" t="str">
        <f>IF(LEN(Table1722[[#This Row],[Uraian]])&gt;2,TRIM(RIGHT(SUBSTITUTE(TRIM(C5077)," ",REPT(" ",255)),255))," ")</f>
        <v xml:space="preserve"> </v>
      </c>
      <c r="G5077" s="110">
        <f>COPY!Z5069</f>
        <v>0</v>
      </c>
      <c r="H5077" s="111" t="str">
        <f>IFERROR(VLOOKUP(Table1722[[#This Row],[Bukti]],'Un nOTA'!$A$4:$K$5003,10,FALSE),"")</f>
        <v/>
      </c>
      <c r="I5077" s="123" t="str">
        <f>IFERROR(VLOOKUP(Table1722[[#This Row],[Bukti]],Table13[#Data],11,FALSE),"")</f>
        <v/>
      </c>
    </row>
    <row r="5078" spans="1:9" hidden="1" x14ac:dyDescent="0.2">
      <c r="A5078" s="105" t="str">
        <f>IF(D5078=1,COUNTIF($D$10:D5078,1)," ")</f>
        <v xml:space="preserve"> </v>
      </c>
      <c r="B5078" s="106">
        <f>COPY!AR5070</f>
        <v>0</v>
      </c>
      <c r="C5078" s="107">
        <f>COPY!AC5070</f>
        <v>0</v>
      </c>
      <c r="D5078" s="107" t="str">
        <f>IF(LEN(Table1722[[#This Row],[Uraian]])&gt;2,1," ")</f>
        <v xml:space="preserve"> </v>
      </c>
      <c r="E5078" s="113" t="str">
        <f>IF(Table1722[[#This Row],[Lawan Transaksi]]="CV AGUNG KARYA",COUNTIF($I$10:I5078,"CV AGUNG KARYA")," ")</f>
        <v xml:space="preserve"> </v>
      </c>
      <c r="F5078" s="107" t="str">
        <f>IF(LEN(Table1722[[#This Row],[Uraian]])&gt;2,TRIM(RIGHT(SUBSTITUTE(TRIM(C5078)," ",REPT(" ",255)),255))," ")</f>
        <v xml:space="preserve"> </v>
      </c>
      <c r="G5078" s="110">
        <f>COPY!Z5070</f>
        <v>0</v>
      </c>
      <c r="H5078" s="111" t="str">
        <f>IFERROR(VLOOKUP(Table1722[[#This Row],[Bukti]],'Un nOTA'!$A$4:$K$5003,10,FALSE),"")</f>
        <v/>
      </c>
      <c r="I5078" s="123" t="str">
        <f>IFERROR(VLOOKUP(Table1722[[#This Row],[Bukti]],Table13[#Data],11,FALSE),"")</f>
        <v/>
      </c>
    </row>
    <row r="5079" spans="1:9" hidden="1" x14ac:dyDescent="0.2">
      <c r="A5079" s="105" t="str">
        <f>IF(D5079=1,COUNTIF($D$10:D5079,1)," ")</f>
        <v xml:space="preserve"> </v>
      </c>
      <c r="B5079" s="106">
        <f>COPY!AR5071</f>
        <v>0</v>
      </c>
      <c r="C5079" s="107">
        <f>COPY!AC5071</f>
        <v>0</v>
      </c>
      <c r="D5079" s="107" t="str">
        <f>IF(LEN(Table1722[[#This Row],[Uraian]])&gt;2,1," ")</f>
        <v xml:space="preserve"> </v>
      </c>
      <c r="E5079" s="113" t="str">
        <f>IF(Table1722[[#This Row],[Lawan Transaksi]]="CV AGUNG KARYA",COUNTIF($I$10:I5079,"CV AGUNG KARYA")," ")</f>
        <v xml:space="preserve"> </v>
      </c>
      <c r="F5079" s="107" t="str">
        <f>IF(LEN(Table1722[[#This Row],[Uraian]])&gt;2,TRIM(RIGHT(SUBSTITUTE(TRIM(C5079)," ",REPT(" ",255)),255))," ")</f>
        <v xml:space="preserve"> </v>
      </c>
      <c r="G5079" s="110">
        <f>COPY!Z5071</f>
        <v>0</v>
      </c>
      <c r="H5079" s="111" t="str">
        <f>IFERROR(VLOOKUP(Table1722[[#This Row],[Bukti]],'Un nOTA'!$A$4:$K$5003,10,FALSE),"")</f>
        <v/>
      </c>
      <c r="I5079" s="123" t="str">
        <f>IFERROR(VLOOKUP(Table1722[[#This Row],[Bukti]],Table13[#Data],11,FALSE),"")</f>
        <v/>
      </c>
    </row>
    <row r="5080" spans="1:9" hidden="1" x14ac:dyDescent="0.2">
      <c r="A5080" s="105" t="str">
        <f>IF(D5080=1,COUNTIF($D$10:D5080,1)," ")</f>
        <v xml:space="preserve"> </v>
      </c>
      <c r="B5080" s="106">
        <f>COPY!AR5072</f>
        <v>0</v>
      </c>
      <c r="C5080" s="107">
        <f>COPY!AC5072</f>
        <v>0</v>
      </c>
      <c r="D5080" s="107" t="str">
        <f>IF(LEN(Table1722[[#This Row],[Uraian]])&gt;2,1," ")</f>
        <v xml:space="preserve"> </v>
      </c>
      <c r="E5080" s="113" t="str">
        <f>IF(Table1722[[#This Row],[Lawan Transaksi]]="CV AGUNG KARYA",COUNTIF($I$10:I5080,"CV AGUNG KARYA")," ")</f>
        <v xml:space="preserve"> </v>
      </c>
      <c r="F5080" s="107" t="str">
        <f>IF(LEN(Table1722[[#This Row],[Uraian]])&gt;2,TRIM(RIGHT(SUBSTITUTE(TRIM(C5080)," ",REPT(" ",255)),255))," ")</f>
        <v xml:space="preserve"> </v>
      </c>
      <c r="G5080" s="110">
        <f>COPY!Z5072</f>
        <v>0</v>
      </c>
      <c r="H5080" s="111" t="str">
        <f>IFERROR(VLOOKUP(Table1722[[#This Row],[Bukti]],'Un nOTA'!$A$4:$K$5003,10,FALSE),"")</f>
        <v/>
      </c>
      <c r="I5080" s="123" t="str">
        <f>IFERROR(VLOOKUP(Table1722[[#This Row],[Bukti]],Table13[#Data],11,FALSE),"")</f>
        <v/>
      </c>
    </row>
    <row r="5081" spans="1:9" hidden="1" x14ac:dyDescent="0.2">
      <c r="A5081" s="105" t="str">
        <f>IF(D5081=1,COUNTIF($D$10:D5081,1)," ")</f>
        <v xml:space="preserve"> </v>
      </c>
      <c r="B5081" s="106">
        <f>COPY!AR5073</f>
        <v>0</v>
      </c>
      <c r="C5081" s="107">
        <f>COPY!AC5073</f>
        <v>0</v>
      </c>
      <c r="D5081" s="107" t="str">
        <f>IF(LEN(Table1722[[#This Row],[Uraian]])&gt;2,1," ")</f>
        <v xml:space="preserve"> </v>
      </c>
      <c r="E5081" s="113" t="str">
        <f>IF(Table1722[[#This Row],[Lawan Transaksi]]="CV AGUNG KARYA",COUNTIF($I$10:I5081,"CV AGUNG KARYA")," ")</f>
        <v xml:space="preserve"> </v>
      </c>
      <c r="F5081" s="107" t="str">
        <f>IF(LEN(Table1722[[#This Row],[Uraian]])&gt;2,TRIM(RIGHT(SUBSTITUTE(TRIM(C5081)," ",REPT(" ",255)),255))," ")</f>
        <v xml:space="preserve"> </v>
      </c>
      <c r="G5081" s="110">
        <f>COPY!Z5073</f>
        <v>0</v>
      </c>
      <c r="H5081" s="111" t="str">
        <f>IFERROR(VLOOKUP(Table1722[[#This Row],[Bukti]],'Un nOTA'!$A$4:$K$5003,10,FALSE),"")</f>
        <v/>
      </c>
      <c r="I5081" s="123" t="str">
        <f>IFERROR(VLOOKUP(Table1722[[#This Row],[Bukti]],Table13[#Data],11,FALSE),"")</f>
        <v/>
      </c>
    </row>
    <row r="5082" spans="1:9" hidden="1" x14ac:dyDescent="0.2">
      <c r="A5082" s="105" t="str">
        <f>IF(D5082=1,COUNTIF($D$10:D5082,1)," ")</f>
        <v xml:space="preserve"> </v>
      </c>
      <c r="B5082" s="106">
        <f>COPY!AR5074</f>
        <v>0</v>
      </c>
      <c r="C5082" s="107">
        <f>COPY!AC5074</f>
        <v>0</v>
      </c>
      <c r="D5082" s="107" t="str">
        <f>IF(LEN(Table1722[[#This Row],[Uraian]])&gt;2,1," ")</f>
        <v xml:space="preserve"> </v>
      </c>
      <c r="E5082" s="113" t="str">
        <f>IF(Table1722[[#This Row],[Lawan Transaksi]]="CV AGUNG KARYA",COUNTIF($I$10:I5082,"CV AGUNG KARYA")," ")</f>
        <v xml:space="preserve"> </v>
      </c>
      <c r="F5082" s="107" t="str">
        <f>IF(LEN(Table1722[[#This Row],[Uraian]])&gt;2,TRIM(RIGHT(SUBSTITUTE(TRIM(C5082)," ",REPT(" ",255)),255))," ")</f>
        <v xml:space="preserve"> </v>
      </c>
      <c r="G5082" s="110">
        <f>COPY!Z5074</f>
        <v>0</v>
      </c>
      <c r="H5082" s="111" t="str">
        <f>IFERROR(VLOOKUP(Table1722[[#This Row],[Bukti]],'Un nOTA'!$A$4:$K$5003,10,FALSE),"")</f>
        <v/>
      </c>
      <c r="I5082" s="123" t="str">
        <f>IFERROR(VLOOKUP(Table1722[[#This Row],[Bukti]],Table13[#Data],11,FALSE),"")</f>
        <v/>
      </c>
    </row>
    <row r="5083" spans="1:9" hidden="1" x14ac:dyDescent="0.2">
      <c r="A5083" s="105" t="str">
        <f>IF(D5083=1,COUNTIF($D$10:D5083,1)," ")</f>
        <v xml:space="preserve"> </v>
      </c>
      <c r="B5083" s="106">
        <f>COPY!AR5075</f>
        <v>0</v>
      </c>
      <c r="C5083" s="107">
        <f>COPY!AC5075</f>
        <v>0</v>
      </c>
      <c r="D5083" s="107" t="str">
        <f>IF(LEN(Table1722[[#This Row],[Uraian]])&gt;2,1," ")</f>
        <v xml:space="preserve"> </v>
      </c>
      <c r="E5083" s="113" t="str">
        <f>IF(Table1722[[#This Row],[Lawan Transaksi]]="CV AGUNG KARYA",COUNTIF($I$10:I5083,"CV AGUNG KARYA")," ")</f>
        <v xml:space="preserve"> </v>
      </c>
      <c r="F5083" s="107" t="str">
        <f>IF(LEN(Table1722[[#This Row],[Uraian]])&gt;2,TRIM(RIGHT(SUBSTITUTE(TRIM(C5083)," ",REPT(" ",255)),255))," ")</f>
        <v xml:space="preserve"> </v>
      </c>
      <c r="G5083" s="110">
        <f>COPY!Z5075</f>
        <v>0</v>
      </c>
      <c r="H5083" s="111" t="str">
        <f>IFERROR(VLOOKUP(Table1722[[#This Row],[Bukti]],'Un nOTA'!$A$4:$K$5003,10,FALSE),"")</f>
        <v/>
      </c>
      <c r="I5083" s="123" t="str">
        <f>IFERROR(VLOOKUP(Table1722[[#This Row],[Bukti]],Table13[#Data],11,FALSE),"")</f>
        <v/>
      </c>
    </row>
    <row r="5084" spans="1:9" hidden="1" x14ac:dyDescent="0.2">
      <c r="A5084" s="105" t="str">
        <f>IF(D5084=1,COUNTIF($D$10:D5084,1)," ")</f>
        <v xml:space="preserve"> </v>
      </c>
      <c r="B5084" s="106">
        <f>COPY!AR5076</f>
        <v>0</v>
      </c>
      <c r="C5084" s="107">
        <f>COPY!AC5076</f>
        <v>0</v>
      </c>
      <c r="D5084" s="107" t="str">
        <f>IF(LEN(Table1722[[#This Row],[Uraian]])&gt;2,1," ")</f>
        <v xml:space="preserve"> </v>
      </c>
      <c r="E5084" s="113" t="str">
        <f>IF(Table1722[[#This Row],[Lawan Transaksi]]="CV AGUNG KARYA",COUNTIF($I$10:I5084,"CV AGUNG KARYA")," ")</f>
        <v xml:space="preserve"> </v>
      </c>
      <c r="F5084" s="107" t="str">
        <f>IF(LEN(Table1722[[#This Row],[Uraian]])&gt;2,TRIM(RIGHT(SUBSTITUTE(TRIM(C5084)," ",REPT(" ",255)),255))," ")</f>
        <v xml:space="preserve"> </v>
      </c>
      <c r="G5084" s="110">
        <f>COPY!Z5076</f>
        <v>0</v>
      </c>
      <c r="H5084" s="111" t="str">
        <f>IFERROR(VLOOKUP(Table1722[[#This Row],[Bukti]],'Un nOTA'!$A$4:$K$5003,10,FALSE),"")</f>
        <v/>
      </c>
      <c r="I5084" s="123" t="str">
        <f>IFERROR(VLOOKUP(Table1722[[#This Row],[Bukti]],Table13[#Data],11,FALSE),"")</f>
        <v/>
      </c>
    </row>
    <row r="5085" spans="1:9" hidden="1" x14ac:dyDescent="0.2">
      <c r="A5085" s="105" t="str">
        <f>IF(D5085=1,COUNTIF($D$10:D5085,1)," ")</f>
        <v xml:space="preserve"> </v>
      </c>
      <c r="B5085" s="106">
        <f>COPY!AR5077</f>
        <v>0</v>
      </c>
      <c r="C5085" s="107">
        <f>COPY!AC5077</f>
        <v>0</v>
      </c>
      <c r="D5085" s="107" t="str">
        <f>IF(LEN(Table1722[[#This Row],[Uraian]])&gt;2,1," ")</f>
        <v xml:space="preserve"> </v>
      </c>
      <c r="E5085" s="113" t="str">
        <f>IF(Table1722[[#This Row],[Lawan Transaksi]]="CV AGUNG KARYA",COUNTIF($I$10:I5085,"CV AGUNG KARYA")," ")</f>
        <v xml:space="preserve"> </v>
      </c>
      <c r="F5085" s="107" t="str">
        <f>IF(LEN(Table1722[[#This Row],[Uraian]])&gt;2,TRIM(RIGHT(SUBSTITUTE(TRIM(C5085)," ",REPT(" ",255)),255))," ")</f>
        <v xml:space="preserve"> </v>
      </c>
      <c r="G5085" s="110">
        <f>COPY!Z5077</f>
        <v>0</v>
      </c>
      <c r="H5085" s="111" t="str">
        <f>IFERROR(VLOOKUP(Table1722[[#This Row],[Bukti]],'Un nOTA'!$A$4:$K$5003,10,FALSE),"")</f>
        <v/>
      </c>
      <c r="I5085" s="123" t="str">
        <f>IFERROR(VLOOKUP(Table1722[[#This Row],[Bukti]],Table13[#Data],11,FALSE),"")</f>
        <v/>
      </c>
    </row>
    <row r="5086" spans="1:9" hidden="1" x14ac:dyDescent="0.2">
      <c r="A5086" s="105" t="str">
        <f>IF(D5086=1,COUNTIF($D$10:D5086,1)," ")</f>
        <v xml:space="preserve"> </v>
      </c>
      <c r="B5086" s="106">
        <f>COPY!AR5078</f>
        <v>0</v>
      </c>
      <c r="C5086" s="107">
        <f>COPY!AC5078</f>
        <v>0</v>
      </c>
      <c r="D5086" s="107" t="str">
        <f>IF(LEN(Table1722[[#This Row],[Uraian]])&gt;2,1," ")</f>
        <v xml:space="preserve"> </v>
      </c>
      <c r="E5086" s="113" t="str">
        <f>IF(Table1722[[#This Row],[Lawan Transaksi]]="CV AGUNG KARYA",COUNTIF($I$10:I5086,"CV AGUNG KARYA")," ")</f>
        <v xml:space="preserve"> </v>
      </c>
      <c r="F5086" s="107" t="str">
        <f>IF(LEN(Table1722[[#This Row],[Uraian]])&gt;2,TRIM(RIGHT(SUBSTITUTE(TRIM(C5086)," ",REPT(" ",255)),255))," ")</f>
        <v xml:space="preserve"> </v>
      </c>
      <c r="G5086" s="110">
        <f>COPY!Z5078</f>
        <v>0</v>
      </c>
      <c r="H5086" s="111" t="str">
        <f>IFERROR(VLOOKUP(Table1722[[#This Row],[Bukti]],'Un nOTA'!$A$4:$K$5003,10,FALSE),"")</f>
        <v/>
      </c>
      <c r="I5086" s="123" t="str">
        <f>IFERROR(VLOOKUP(Table1722[[#This Row],[Bukti]],Table13[#Data],11,FALSE),"")</f>
        <v/>
      </c>
    </row>
    <row r="5087" spans="1:9" hidden="1" x14ac:dyDescent="0.2">
      <c r="A5087" s="105" t="str">
        <f>IF(D5087=1,COUNTIF($D$10:D5087,1)," ")</f>
        <v xml:space="preserve"> </v>
      </c>
      <c r="B5087" s="106">
        <f>COPY!AR5079</f>
        <v>0</v>
      </c>
      <c r="C5087" s="107">
        <f>COPY!AC5079</f>
        <v>0</v>
      </c>
      <c r="D5087" s="107" t="str">
        <f>IF(LEN(Table1722[[#This Row],[Uraian]])&gt;2,1," ")</f>
        <v xml:space="preserve"> </v>
      </c>
      <c r="E5087" s="113" t="str">
        <f>IF(Table1722[[#This Row],[Lawan Transaksi]]="CV AGUNG KARYA",COUNTIF($I$10:I5087,"CV AGUNG KARYA")," ")</f>
        <v xml:space="preserve"> </v>
      </c>
      <c r="F5087" s="107" t="str">
        <f>IF(LEN(Table1722[[#This Row],[Uraian]])&gt;2,TRIM(RIGHT(SUBSTITUTE(TRIM(C5087)," ",REPT(" ",255)),255))," ")</f>
        <v xml:space="preserve"> </v>
      </c>
      <c r="G5087" s="110">
        <f>COPY!Z5079</f>
        <v>0</v>
      </c>
      <c r="H5087" s="111" t="str">
        <f>IFERROR(VLOOKUP(Table1722[[#This Row],[Bukti]],'Un nOTA'!$A$4:$K$5003,10,FALSE),"")</f>
        <v/>
      </c>
      <c r="I5087" s="123" t="str">
        <f>IFERROR(VLOOKUP(Table1722[[#This Row],[Bukti]],Table13[#Data],11,FALSE),"")</f>
        <v/>
      </c>
    </row>
    <row r="5088" spans="1:9" hidden="1" x14ac:dyDescent="0.2">
      <c r="A5088" s="105" t="str">
        <f>IF(D5088=1,COUNTIF($D$10:D5088,1)," ")</f>
        <v xml:space="preserve"> </v>
      </c>
      <c r="B5088" s="106">
        <f>COPY!AR5080</f>
        <v>0</v>
      </c>
      <c r="C5088" s="107">
        <f>COPY!AC5080</f>
        <v>0</v>
      </c>
      <c r="D5088" s="107" t="str">
        <f>IF(LEN(Table1722[[#This Row],[Uraian]])&gt;2,1," ")</f>
        <v xml:space="preserve"> </v>
      </c>
      <c r="E5088" s="113" t="str">
        <f>IF(Table1722[[#This Row],[Lawan Transaksi]]="CV AGUNG KARYA",COUNTIF($I$10:I5088,"CV AGUNG KARYA")," ")</f>
        <v xml:space="preserve"> </v>
      </c>
      <c r="F5088" s="107" t="str">
        <f>IF(LEN(Table1722[[#This Row],[Uraian]])&gt;2,TRIM(RIGHT(SUBSTITUTE(TRIM(C5088)," ",REPT(" ",255)),255))," ")</f>
        <v xml:space="preserve"> </v>
      </c>
      <c r="G5088" s="110">
        <f>COPY!Z5080</f>
        <v>0</v>
      </c>
      <c r="H5088" s="111" t="str">
        <f>IFERROR(VLOOKUP(Table1722[[#This Row],[Bukti]],'Un nOTA'!$A$4:$K$5003,10,FALSE),"")</f>
        <v/>
      </c>
      <c r="I5088" s="123" t="str">
        <f>IFERROR(VLOOKUP(Table1722[[#This Row],[Bukti]],Table13[#Data],11,FALSE),"")</f>
        <v/>
      </c>
    </row>
    <row r="5089" spans="1:9" hidden="1" x14ac:dyDescent="0.2">
      <c r="A5089" s="105" t="str">
        <f>IF(D5089=1,COUNTIF($D$10:D5089,1)," ")</f>
        <v xml:space="preserve"> </v>
      </c>
      <c r="B5089" s="106">
        <f>COPY!AR5081</f>
        <v>0</v>
      </c>
      <c r="C5089" s="107">
        <f>COPY!AC5081</f>
        <v>0</v>
      </c>
      <c r="D5089" s="107" t="str">
        <f>IF(LEN(Table1722[[#This Row],[Uraian]])&gt;2,1," ")</f>
        <v xml:space="preserve"> </v>
      </c>
      <c r="E5089" s="113" t="str">
        <f>IF(Table1722[[#This Row],[Lawan Transaksi]]="CV AGUNG KARYA",COUNTIF($I$10:I5089,"CV AGUNG KARYA")," ")</f>
        <v xml:space="preserve"> </v>
      </c>
      <c r="F5089" s="107" t="str">
        <f>IF(LEN(Table1722[[#This Row],[Uraian]])&gt;2,TRIM(RIGHT(SUBSTITUTE(TRIM(C5089)," ",REPT(" ",255)),255))," ")</f>
        <v xml:space="preserve"> </v>
      </c>
      <c r="G5089" s="110">
        <f>COPY!Z5081</f>
        <v>0</v>
      </c>
      <c r="H5089" s="111" t="str">
        <f>IFERROR(VLOOKUP(Table1722[[#This Row],[Bukti]],'Un nOTA'!$A$4:$K$5003,10,FALSE),"")</f>
        <v/>
      </c>
      <c r="I5089" s="123" t="str">
        <f>IFERROR(VLOOKUP(Table1722[[#This Row],[Bukti]],Table13[#Data],11,FALSE),"")</f>
        <v/>
      </c>
    </row>
    <row r="5090" spans="1:9" hidden="1" x14ac:dyDescent="0.2">
      <c r="A5090" s="105" t="str">
        <f>IF(D5090=1,COUNTIF($D$10:D5090,1)," ")</f>
        <v xml:space="preserve"> </v>
      </c>
      <c r="B5090" s="106">
        <f>COPY!AR5082</f>
        <v>0</v>
      </c>
      <c r="C5090" s="107">
        <f>COPY!AC5082</f>
        <v>0</v>
      </c>
      <c r="D5090" s="107" t="str">
        <f>IF(LEN(Table1722[[#This Row],[Uraian]])&gt;2,1," ")</f>
        <v xml:space="preserve"> </v>
      </c>
      <c r="E5090" s="113" t="str">
        <f>IF(Table1722[[#This Row],[Lawan Transaksi]]="CV AGUNG KARYA",COUNTIF($I$10:I5090,"CV AGUNG KARYA")," ")</f>
        <v xml:space="preserve"> </v>
      </c>
      <c r="F5090" s="107" t="str">
        <f>IF(LEN(Table1722[[#This Row],[Uraian]])&gt;2,TRIM(RIGHT(SUBSTITUTE(TRIM(C5090)," ",REPT(" ",255)),255))," ")</f>
        <v xml:space="preserve"> </v>
      </c>
      <c r="G5090" s="110">
        <f>COPY!Z5082</f>
        <v>0</v>
      </c>
      <c r="H5090" s="111" t="str">
        <f>IFERROR(VLOOKUP(Table1722[[#This Row],[Bukti]],'Un nOTA'!$A$4:$K$5003,10,FALSE),"")</f>
        <v/>
      </c>
      <c r="I5090" s="123" t="str">
        <f>IFERROR(VLOOKUP(Table1722[[#This Row],[Bukti]],Table13[#Data],11,FALSE),"")</f>
        <v/>
      </c>
    </row>
    <row r="5091" spans="1:9" hidden="1" x14ac:dyDescent="0.2">
      <c r="A5091" s="105" t="str">
        <f>IF(D5091=1,COUNTIF($D$10:D5091,1)," ")</f>
        <v xml:space="preserve"> </v>
      </c>
      <c r="B5091" s="106">
        <f>COPY!AR5083</f>
        <v>0</v>
      </c>
      <c r="C5091" s="107">
        <f>COPY!AC5083</f>
        <v>0</v>
      </c>
      <c r="D5091" s="107" t="str">
        <f>IF(LEN(Table1722[[#This Row],[Uraian]])&gt;2,1," ")</f>
        <v xml:space="preserve"> </v>
      </c>
      <c r="E5091" s="113" t="str">
        <f>IF(Table1722[[#This Row],[Lawan Transaksi]]="CV AGUNG KARYA",COUNTIF($I$10:I5091,"CV AGUNG KARYA")," ")</f>
        <v xml:space="preserve"> </v>
      </c>
      <c r="F5091" s="107" t="str">
        <f>IF(LEN(Table1722[[#This Row],[Uraian]])&gt;2,TRIM(RIGHT(SUBSTITUTE(TRIM(C5091)," ",REPT(" ",255)),255))," ")</f>
        <v xml:space="preserve"> </v>
      </c>
      <c r="G5091" s="110">
        <f>COPY!Z5083</f>
        <v>0</v>
      </c>
      <c r="H5091" s="111" t="str">
        <f>IFERROR(VLOOKUP(Table1722[[#This Row],[Bukti]],'Un nOTA'!$A$4:$K$5003,10,FALSE),"")</f>
        <v/>
      </c>
      <c r="I5091" s="123" t="str">
        <f>IFERROR(VLOOKUP(Table1722[[#This Row],[Bukti]],Table13[#Data],11,FALSE),"")</f>
        <v/>
      </c>
    </row>
    <row r="5092" spans="1:9" hidden="1" x14ac:dyDescent="0.2">
      <c r="A5092" s="105" t="str">
        <f>IF(D5092=1,COUNTIF($D$10:D5092,1)," ")</f>
        <v xml:space="preserve"> </v>
      </c>
      <c r="B5092" s="106">
        <f>COPY!AR5084</f>
        <v>0</v>
      </c>
      <c r="C5092" s="107">
        <f>COPY!AC5084</f>
        <v>0</v>
      </c>
      <c r="D5092" s="107" t="str">
        <f>IF(LEN(Table1722[[#This Row],[Uraian]])&gt;2,1," ")</f>
        <v xml:space="preserve"> </v>
      </c>
      <c r="E5092" s="113" t="str">
        <f>IF(Table1722[[#This Row],[Lawan Transaksi]]="CV AGUNG KARYA",COUNTIF($I$10:I5092,"CV AGUNG KARYA")," ")</f>
        <v xml:space="preserve"> </v>
      </c>
      <c r="F5092" s="107" t="str">
        <f>IF(LEN(Table1722[[#This Row],[Uraian]])&gt;2,TRIM(RIGHT(SUBSTITUTE(TRIM(C5092)," ",REPT(" ",255)),255))," ")</f>
        <v xml:space="preserve"> </v>
      </c>
      <c r="G5092" s="110">
        <f>COPY!Z5084</f>
        <v>0</v>
      </c>
      <c r="H5092" s="111" t="str">
        <f>IFERROR(VLOOKUP(Table1722[[#This Row],[Bukti]],'Un nOTA'!$A$4:$K$5003,10,FALSE),"")</f>
        <v/>
      </c>
      <c r="I5092" s="123" t="str">
        <f>IFERROR(VLOOKUP(Table1722[[#This Row],[Bukti]],Table13[#Data],11,FALSE),"")</f>
        <v/>
      </c>
    </row>
    <row r="5093" spans="1:9" hidden="1" x14ac:dyDescent="0.2">
      <c r="A5093" s="105" t="str">
        <f>IF(D5093=1,COUNTIF($D$10:D5093,1)," ")</f>
        <v xml:space="preserve"> </v>
      </c>
      <c r="B5093" s="106">
        <f>COPY!AR5085</f>
        <v>0</v>
      </c>
      <c r="C5093" s="107">
        <f>COPY!AC5085</f>
        <v>0</v>
      </c>
      <c r="D5093" s="107" t="str">
        <f>IF(LEN(Table1722[[#This Row],[Uraian]])&gt;2,1," ")</f>
        <v xml:space="preserve"> </v>
      </c>
      <c r="E5093" s="113" t="str">
        <f>IF(Table1722[[#This Row],[Lawan Transaksi]]="CV AGUNG KARYA",COUNTIF($I$10:I5093,"CV AGUNG KARYA")," ")</f>
        <v xml:space="preserve"> </v>
      </c>
      <c r="F5093" s="107" t="str">
        <f>IF(LEN(Table1722[[#This Row],[Uraian]])&gt;2,TRIM(RIGHT(SUBSTITUTE(TRIM(C5093)," ",REPT(" ",255)),255))," ")</f>
        <v xml:space="preserve"> </v>
      </c>
      <c r="G5093" s="110">
        <f>COPY!Z5085</f>
        <v>0</v>
      </c>
      <c r="H5093" s="111" t="str">
        <f>IFERROR(VLOOKUP(Table1722[[#This Row],[Bukti]],'Un nOTA'!$A$4:$K$5003,10,FALSE),"")</f>
        <v/>
      </c>
      <c r="I5093" s="123" t="str">
        <f>IFERROR(VLOOKUP(Table1722[[#This Row],[Bukti]],Table13[#Data],11,FALSE),"")</f>
        <v/>
      </c>
    </row>
    <row r="5094" spans="1:9" hidden="1" x14ac:dyDescent="0.2">
      <c r="A5094" s="105" t="str">
        <f>IF(D5094=1,COUNTIF($D$10:D5094,1)," ")</f>
        <v xml:space="preserve"> </v>
      </c>
      <c r="B5094" s="106">
        <f>COPY!AR5086</f>
        <v>0</v>
      </c>
      <c r="C5094" s="107">
        <f>COPY!AC5086</f>
        <v>0</v>
      </c>
      <c r="D5094" s="107" t="str">
        <f>IF(LEN(Table1722[[#This Row],[Uraian]])&gt;2,1," ")</f>
        <v xml:space="preserve"> </v>
      </c>
      <c r="E5094" s="113" t="str">
        <f>IF(Table1722[[#This Row],[Lawan Transaksi]]="CV AGUNG KARYA",COUNTIF($I$10:I5094,"CV AGUNG KARYA")," ")</f>
        <v xml:space="preserve"> </v>
      </c>
      <c r="F5094" s="107" t="str">
        <f>IF(LEN(Table1722[[#This Row],[Uraian]])&gt;2,TRIM(RIGHT(SUBSTITUTE(TRIM(C5094)," ",REPT(" ",255)),255))," ")</f>
        <v xml:space="preserve"> </v>
      </c>
      <c r="G5094" s="110">
        <f>COPY!Z5086</f>
        <v>0</v>
      </c>
      <c r="H5094" s="111" t="str">
        <f>IFERROR(VLOOKUP(Table1722[[#This Row],[Bukti]],'Un nOTA'!$A$4:$K$5003,10,FALSE),"")</f>
        <v/>
      </c>
      <c r="I5094" s="123" t="str">
        <f>IFERROR(VLOOKUP(Table1722[[#This Row],[Bukti]],Table13[#Data],11,FALSE),"")</f>
        <v/>
      </c>
    </row>
    <row r="5095" spans="1:9" hidden="1" x14ac:dyDescent="0.2">
      <c r="A5095" s="105" t="str">
        <f>IF(D5095=1,COUNTIF($D$10:D5095,1)," ")</f>
        <v xml:space="preserve"> </v>
      </c>
      <c r="B5095" s="106">
        <f>COPY!AR5087</f>
        <v>0</v>
      </c>
      <c r="C5095" s="107">
        <f>COPY!AC5087</f>
        <v>0</v>
      </c>
      <c r="D5095" s="107" t="str">
        <f>IF(LEN(Table1722[[#This Row],[Uraian]])&gt;2,1," ")</f>
        <v xml:space="preserve"> </v>
      </c>
      <c r="E5095" s="113" t="str">
        <f>IF(Table1722[[#This Row],[Lawan Transaksi]]="CV AGUNG KARYA",COUNTIF($I$10:I5095,"CV AGUNG KARYA")," ")</f>
        <v xml:space="preserve"> </v>
      </c>
      <c r="F5095" s="107" t="str">
        <f>IF(LEN(Table1722[[#This Row],[Uraian]])&gt;2,TRIM(RIGHT(SUBSTITUTE(TRIM(C5095)," ",REPT(" ",255)),255))," ")</f>
        <v xml:space="preserve"> </v>
      </c>
      <c r="G5095" s="110">
        <f>COPY!Z5087</f>
        <v>0</v>
      </c>
      <c r="H5095" s="111" t="str">
        <f>IFERROR(VLOOKUP(Table1722[[#This Row],[Bukti]],'Un nOTA'!$A$4:$K$5003,10,FALSE),"")</f>
        <v/>
      </c>
      <c r="I5095" s="123" t="str">
        <f>IFERROR(VLOOKUP(Table1722[[#This Row],[Bukti]],Table13[#Data],11,FALSE),"")</f>
        <v/>
      </c>
    </row>
    <row r="5096" spans="1:9" hidden="1" x14ac:dyDescent="0.2">
      <c r="A5096" s="105" t="str">
        <f>IF(D5096=1,COUNTIF($D$10:D5096,1)," ")</f>
        <v xml:space="preserve"> </v>
      </c>
      <c r="B5096" s="106">
        <f>COPY!AR5088</f>
        <v>0</v>
      </c>
      <c r="C5096" s="107">
        <f>COPY!AC5088</f>
        <v>0</v>
      </c>
      <c r="D5096" s="107" t="str">
        <f>IF(LEN(Table1722[[#This Row],[Uraian]])&gt;2,1," ")</f>
        <v xml:space="preserve"> </v>
      </c>
      <c r="E5096" s="113" t="str">
        <f>IF(Table1722[[#This Row],[Lawan Transaksi]]="CV AGUNG KARYA",COUNTIF($I$10:I5096,"CV AGUNG KARYA")," ")</f>
        <v xml:space="preserve"> </v>
      </c>
      <c r="F5096" s="107" t="str">
        <f>IF(LEN(Table1722[[#This Row],[Uraian]])&gt;2,TRIM(RIGHT(SUBSTITUTE(TRIM(C5096)," ",REPT(" ",255)),255))," ")</f>
        <v xml:space="preserve"> </v>
      </c>
      <c r="G5096" s="110">
        <f>COPY!Z5088</f>
        <v>0</v>
      </c>
      <c r="H5096" s="111" t="str">
        <f>IFERROR(VLOOKUP(Table1722[[#This Row],[Bukti]],'Un nOTA'!$A$4:$K$5003,10,FALSE),"")</f>
        <v/>
      </c>
      <c r="I5096" s="123" t="str">
        <f>IFERROR(VLOOKUP(Table1722[[#This Row],[Bukti]],Table13[#Data],11,FALSE),"")</f>
        <v/>
      </c>
    </row>
    <row r="5097" spans="1:9" hidden="1" x14ac:dyDescent="0.2">
      <c r="A5097" s="105" t="str">
        <f>IF(D5097=1,COUNTIF($D$10:D5097,1)," ")</f>
        <v xml:space="preserve"> </v>
      </c>
      <c r="B5097" s="106">
        <f>COPY!AR5089</f>
        <v>0</v>
      </c>
      <c r="C5097" s="107">
        <f>COPY!AC5089</f>
        <v>0</v>
      </c>
      <c r="D5097" s="107" t="str">
        <f>IF(LEN(Table1722[[#This Row],[Uraian]])&gt;2,1," ")</f>
        <v xml:space="preserve"> </v>
      </c>
      <c r="E5097" s="113" t="str">
        <f>IF(Table1722[[#This Row],[Lawan Transaksi]]="CV AGUNG KARYA",COUNTIF($I$10:I5097,"CV AGUNG KARYA")," ")</f>
        <v xml:space="preserve"> </v>
      </c>
      <c r="F5097" s="107" t="str">
        <f>IF(LEN(Table1722[[#This Row],[Uraian]])&gt;2,TRIM(RIGHT(SUBSTITUTE(TRIM(C5097)," ",REPT(" ",255)),255))," ")</f>
        <v xml:space="preserve"> </v>
      </c>
      <c r="G5097" s="110">
        <f>COPY!Z5089</f>
        <v>0</v>
      </c>
      <c r="H5097" s="111" t="str">
        <f>IFERROR(VLOOKUP(Table1722[[#This Row],[Bukti]],'Un nOTA'!$A$4:$K$5003,10,FALSE),"")</f>
        <v/>
      </c>
      <c r="I5097" s="123" t="str">
        <f>IFERROR(VLOOKUP(Table1722[[#This Row],[Bukti]],Table13[#Data],11,FALSE),"")</f>
        <v/>
      </c>
    </row>
    <row r="5098" spans="1:9" hidden="1" x14ac:dyDescent="0.2">
      <c r="A5098" s="105" t="str">
        <f>IF(D5098=1,COUNTIF($D$10:D5098,1)," ")</f>
        <v xml:space="preserve"> </v>
      </c>
      <c r="B5098" s="106">
        <f>COPY!AR5090</f>
        <v>0</v>
      </c>
      <c r="C5098" s="107">
        <f>COPY!AC5090</f>
        <v>0</v>
      </c>
      <c r="D5098" s="107" t="str">
        <f>IF(LEN(Table1722[[#This Row],[Uraian]])&gt;2,1," ")</f>
        <v xml:space="preserve"> </v>
      </c>
      <c r="E5098" s="113" t="str">
        <f>IF(Table1722[[#This Row],[Lawan Transaksi]]="CV AGUNG KARYA",COUNTIF($I$10:I5098,"CV AGUNG KARYA")," ")</f>
        <v xml:space="preserve"> </v>
      </c>
      <c r="F5098" s="107" t="str">
        <f>IF(LEN(Table1722[[#This Row],[Uraian]])&gt;2,TRIM(RIGHT(SUBSTITUTE(TRIM(C5098)," ",REPT(" ",255)),255))," ")</f>
        <v xml:space="preserve"> </v>
      </c>
      <c r="G5098" s="110">
        <f>COPY!Z5090</f>
        <v>0</v>
      </c>
      <c r="H5098" s="111" t="str">
        <f>IFERROR(VLOOKUP(Table1722[[#This Row],[Bukti]],'Un nOTA'!$A$4:$K$5003,10,FALSE),"")</f>
        <v/>
      </c>
      <c r="I5098" s="123" t="str">
        <f>IFERROR(VLOOKUP(Table1722[[#This Row],[Bukti]],Table13[#Data],11,FALSE),"")</f>
        <v/>
      </c>
    </row>
    <row r="5099" spans="1:9" hidden="1" x14ac:dyDescent="0.2">
      <c r="A5099" s="105" t="str">
        <f>IF(D5099=1,COUNTIF($D$10:D5099,1)," ")</f>
        <v xml:space="preserve"> </v>
      </c>
      <c r="B5099" s="106">
        <f>COPY!AR5091</f>
        <v>0</v>
      </c>
      <c r="C5099" s="107">
        <f>COPY!AC5091</f>
        <v>0</v>
      </c>
      <c r="D5099" s="107" t="str">
        <f>IF(LEN(Table1722[[#This Row],[Uraian]])&gt;2,1," ")</f>
        <v xml:space="preserve"> </v>
      </c>
      <c r="E5099" s="113" t="str">
        <f>IF(Table1722[[#This Row],[Lawan Transaksi]]="CV AGUNG KARYA",COUNTIF($I$10:I5099,"CV AGUNG KARYA")," ")</f>
        <v xml:space="preserve"> </v>
      </c>
      <c r="F5099" s="107" t="str">
        <f>IF(LEN(Table1722[[#This Row],[Uraian]])&gt;2,TRIM(RIGHT(SUBSTITUTE(TRIM(C5099)," ",REPT(" ",255)),255))," ")</f>
        <v xml:space="preserve"> </v>
      </c>
      <c r="G5099" s="110">
        <f>COPY!Z5091</f>
        <v>0</v>
      </c>
      <c r="H5099" s="111" t="str">
        <f>IFERROR(VLOOKUP(Table1722[[#This Row],[Bukti]],'Un nOTA'!$A$4:$K$5003,10,FALSE),"")</f>
        <v/>
      </c>
      <c r="I5099" s="123" t="str">
        <f>IFERROR(VLOOKUP(Table1722[[#This Row],[Bukti]],Table13[#Data],11,FALSE),"")</f>
        <v/>
      </c>
    </row>
    <row r="5100" spans="1:9" hidden="1" x14ac:dyDescent="0.2">
      <c r="A5100" s="105" t="str">
        <f>IF(D5100=1,COUNTIF($D$10:D5100,1)," ")</f>
        <v xml:space="preserve"> </v>
      </c>
      <c r="B5100" s="106">
        <f>COPY!AR5092</f>
        <v>0</v>
      </c>
      <c r="C5100" s="107">
        <f>COPY!AC5092</f>
        <v>0</v>
      </c>
      <c r="D5100" s="107" t="str">
        <f>IF(LEN(Table1722[[#This Row],[Uraian]])&gt;2,1," ")</f>
        <v xml:space="preserve"> </v>
      </c>
      <c r="E5100" s="113" t="str">
        <f>IF(Table1722[[#This Row],[Lawan Transaksi]]="CV AGUNG KARYA",COUNTIF($I$10:I5100,"CV AGUNG KARYA")," ")</f>
        <v xml:space="preserve"> </v>
      </c>
      <c r="F5100" s="107" t="str">
        <f>IF(LEN(Table1722[[#This Row],[Uraian]])&gt;2,TRIM(RIGHT(SUBSTITUTE(TRIM(C5100)," ",REPT(" ",255)),255))," ")</f>
        <v xml:space="preserve"> </v>
      </c>
      <c r="G5100" s="110">
        <f>COPY!Z5092</f>
        <v>0</v>
      </c>
      <c r="H5100" s="111" t="str">
        <f>IFERROR(VLOOKUP(Table1722[[#This Row],[Bukti]],'Un nOTA'!$A$4:$K$5003,10,FALSE),"")</f>
        <v/>
      </c>
      <c r="I5100" s="123" t="str">
        <f>IFERROR(VLOOKUP(Table1722[[#This Row],[Bukti]],Table13[#Data],11,FALSE),"")</f>
        <v/>
      </c>
    </row>
    <row r="5101" spans="1:9" hidden="1" x14ac:dyDescent="0.2">
      <c r="A5101" s="105" t="str">
        <f>IF(D5101=1,COUNTIF($D$10:D5101,1)," ")</f>
        <v xml:space="preserve"> </v>
      </c>
      <c r="B5101" s="106">
        <f>COPY!AR5093</f>
        <v>0</v>
      </c>
      <c r="C5101" s="107">
        <f>COPY!AC5093</f>
        <v>0</v>
      </c>
      <c r="D5101" s="107" t="str">
        <f>IF(LEN(Table1722[[#This Row],[Uraian]])&gt;2,1," ")</f>
        <v xml:space="preserve"> </v>
      </c>
      <c r="E5101" s="113" t="str">
        <f>IF(Table1722[[#This Row],[Lawan Transaksi]]="CV AGUNG KARYA",COUNTIF($I$10:I5101,"CV AGUNG KARYA")," ")</f>
        <v xml:space="preserve"> </v>
      </c>
      <c r="F5101" s="107" t="str">
        <f>IF(LEN(Table1722[[#This Row],[Uraian]])&gt;2,TRIM(RIGHT(SUBSTITUTE(TRIM(C5101)," ",REPT(" ",255)),255))," ")</f>
        <v xml:space="preserve"> </v>
      </c>
      <c r="G5101" s="110">
        <f>COPY!Z5093</f>
        <v>0</v>
      </c>
      <c r="H5101" s="111" t="str">
        <f>IFERROR(VLOOKUP(Table1722[[#This Row],[Bukti]],'Un nOTA'!$A$4:$K$5003,10,FALSE),"")</f>
        <v/>
      </c>
      <c r="I5101" s="123" t="str">
        <f>IFERROR(VLOOKUP(Table1722[[#This Row],[Bukti]],Table13[#Data],11,FALSE),"")</f>
        <v/>
      </c>
    </row>
    <row r="5102" spans="1:9" hidden="1" x14ac:dyDescent="0.2">
      <c r="A5102" s="105" t="str">
        <f>IF(D5102=1,COUNTIF($D$10:D5102,1)," ")</f>
        <v xml:space="preserve"> </v>
      </c>
      <c r="B5102" s="106">
        <f>COPY!AR5094</f>
        <v>0</v>
      </c>
      <c r="C5102" s="107">
        <f>COPY!AC5094</f>
        <v>0</v>
      </c>
      <c r="D5102" s="107" t="str">
        <f>IF(LEN(Table1722[[#This Row],[Uraian]])&gt;2,1," ")</f>
        <v xml:space="preserve"> </v>
      </c>
      <c r="E5102" s="113" t="str">
        <f>IF(Table1722[[#This Row],[Lawan Transaksi]]="CV AGUNG KARYA",COUNTIF($I$10:I5102,"CV AGUNG KARYA")," ")</f>
        <v xml:space="preserve"> </v>
      </c>
      <c r="F5102" s="107" t="str">
        <f>IF(LEN(Table1722[[#This Row],[Uraian]])&gt;2,TRIM(RIGHT(SUBSTITUTE(TRIM(C5102)," ",REPT(" ",255)),255))," ")</f>
        <v xml:space="preserve"> </v>
      </c>
      <c r="G5102" s="110">
        <f>COPY!Z5094</f>
        <v>0</v>
      </c>
      <c r="H5102" s="111" t="str">
        <f>IFERROR(VLOOKUP(Table1722[[#This Row],[Bukti]],'Un nOTA'!$A$4:$K$5003,10,FALSE),"")</f>
        <v/>
      </c>
      <c r="I5102" s="123" t="str">
        <f>IFERROR(VLOOKUP(Table1722[[#This Row],[Bukti]],Table13[#Data],11,FALSE),"")</f>
        <v/>
      </c>
    </row>
    <row r="5103" spans="1:9" hidden="1" x14ac:dyDescent="0.2">
      <c r="A5103" s="105" t="str">
        <f>IF(D5103=1,COUNTIF($D$10:D5103,1)," ")</f>
        <v xml:space="preserve"> </v>
      </c>
      <c r="B5103" s="106">
        <f>COPY!AR5095</f>
        <v>0</v>
      </c>
      <c r="C5103" s="107">
        <f>COPY!AC5095</f>
        <v>0</v>
      </c>
      <c r="D5103" s="107" t="str">
        <f>IF(LEN(Table1722[[#This Row],[Uraian]])&gt;2,1," ")</f>
        <v xml:space="preserve"> </v>
      </c>
      <c r="E5103" s="113" t="str">
        <f>IF(Table1722[[#This Row],[Lawan Transaksi]]="CV AGUNG KARYA",COUNTIF($I$10:I5103,"CV AGUNG KARYA")," ")</f>
        <v xml:space="preserve"> </v>
      </c>
      <c r="F5103" s="107" t="str">
        <f>IF(LEN(Table1722[[#This Row],[Uraian]])&gt;2,TRIM(RIGHT(SUBSTITUTE(TRIM(C5103)," ",REPT(" ",255)),255))," ")</f>
        <v xml:space="preserve"> </v>
      </c>
      <c r="G5103" s="110">
        <f>COPY!Z5095</f>
        <v>0</v>
      </c>
      <c r="H5103" s="111" t="str">
        <f>IFERROR(VLOOKUP(Table1722[[#This Row],[Bukti]],'Un nOTA'!$A$4:$K$5003,10,FALSE),"")</f>
        <v/>
      </c>
      <c r="I5103" s="123" t="str">
        <f>IFERROR(VLOOKUP(Table1722[[#This Row],[Bukti]],Table13[#Data],11,FALSE),"")</f>
        <v/>
      </c>
    </row>
    <row r="5104" spans="1:9" hidden="1" x14ac:dyDescent="0.2">
      <c r="A5104" s="105" t="str">
        <f>IF(D5104=1,COUNTIF($D$10:D5104,1)," ")</f>
        <v xml:space="preserve"> </v>
      </c>
      <c r="B5104" s="106">
        <f>COPY!AR5096</f>
        <v>0</v>
      </c>
      <c r="C5104" s="107">
        <f>COPY!AC5096</f>
        <v>0</v>
      </c>
      <c r="D5104" s="107" t="str">
        <f>IF(LEN(Table1722[[#This Row],[Uraian]])&gt;2,1," ")</f>
        <v xml:space="preserve"> </v>
      </c>
      <c r="E5104" s="113" t="str">
        <f>IF(Table1722[[#This Row],[Lawan Transaksi]]="CV AGUNG KARYA",COUNTIF($I$10:I5104,"CV AGUNG KARYA")," ")</f>
        <v xml:space="preserve"> </v>
      </c>
      <c r="F5104" s="107" t="str">
        <f>IF(LEN(Table1722[[#This Row],[Uraian]])&gt;2,TRIM(RIGHT(SUBSTITUTE(TRIM(C5104)," ",REPT(" ",255)),255))," ")</f>
        <v xml:space="preserve"> </v>
      </c>
      <c r="G5104" s="110">
        <f>COPY!Z5096</f>
        <v>0</v>
      </c>
      <c r="H5104" s="111" t="str">
        <f>IFERROR(VLOOKUP(Table1722[[#This Row],[Bukti]],'Un nOTA'!$A$4:$K$5003,10,FALSE),"")</f>
        <v/>
      </c>
      <c r="I5104" s="123" t="str">
        <f>IFERROR(VLOOKUP(Table1722[[#This Row],[Bukti]],Table13[#Data],11,FALSE),"")</f>
        <v/>
      </c>
    </row>
    <row r="5105" spans="1:9" hidden="1" x14ac:dyDescent="0.2">
      <c r="A5105" s="105" t="str">
        <f>IF(D5105=1,COUNTIF($D$10:D5105,1)," ")</f>
        <v xml:space="preserve"> </v>
      </c>
      <c r="B5105" s="106">
        <f>COPY!AR5097</f>
        <v>0</v>
      </c>
      <c r="C5105" s="107">
        <f>COPY!AC5097</f>
        <v>0</v>
      </c>
      <c r="D5105" s="107" t="str">
        <f>IF(LEN(Table1722[[#This Row],[Uraian]])&gt;2,1," ")</f>
        <v xml:space="preserve"> </v>
      </c>
      <c r="E5105" s="113" t="str">
        <f>IF(Table1722[[#This Row],[Lawan Transaksi]]="CV AGUNG KARYA",COUNTIF($I$10:I5105,"CV AGUNG KARYA")," ")</f>
        <v xml:space="preserve"> </v>
      </c>
      <c r="F5105" s="107" t="str">
        <f>IF(LEN(Table1722[[#This Row],[Uraian]])&gt;2,TRIM(RIGHT(SUBSTITUTE(TRIM(C5105)," ",REPT(" ",255)),255))," ")</f>
        <v xml:space="preserve"> </v>
      </c>
      <c r="G5105" s="110">
        <f>COPY!Z5097</f>
        <v>0</v>
      </c>
      <c r="H5105" s="111" t="str">
        <f>IFERROR(VLOOKUP(Table1722[[#This Row],[Bukti]],'Un nOTA'!$A$4:$K$5003,10,FALSE),"")</f>
        <v/>
      </c>
      <c r="I5105" s="123" t="str">
        <f>IFERROR(VLOOKUP(Table1722[[#This Row],[Bukti]],Table13[#Data],11,FALSE),"")</f>
        <v/>
      </c>
    </row>
    <row r="5106" spans="1:9" hidden="1" x14ac:dyDescent="0.2">
      <c r="A5106" s="105" t="str">
        <f>IF(D5106=1,COUNTIF($D$10:D5106,1)," ")</f>
        <v xml:space="preserve"> </v>
      </c>
      <c r="B5106" s="106">
        <f>COPY!AR5098</f>
        <v>0</v>
      </c>
      <c r="C5106" s="107">
        <f>COPY!AC5098</f>
        <v>0</v>
      </c>
      <c r="D5106" s="107" t="str">
        <f>IF(LEN(Table1722[[#This Row],[Uraian]])&gt;2,1," ")</f>
        <v xml:space="preserve"> </v>
      </c>
      <c r="E5106" s="113" t="str">
        <f>IF(Table1722[[#This Row],[Lawan Transaksi]]="CV AGUNG KARYA",COUNTIF($I$10:I5106,"CV AGUNG KARYA")," ")</f>
        <v xml:space="preserve"> </v>
      </c>
      <c r="F5106" s="107" t="str">
        <f>IF(LEN(Table1722[[#This Row],[Uraian]])&gt;2,TRIM(RIGHT(SUBSTITUTE(TRIM(C5106)," ",REPT(" ",255)),255))," ")</f>
        <v xml:space="preserve"> </v>
      </c>
      <c r="G5106" s="110">
        <f>COPY!Z5098</f>
        <v>0</v>
      </c>
      <c r="H5106" s="111" t="str">
        <f>IFERROR(VLOOKUP(Table1722[[#This Row],[Bukti]],'Un nOTA'!$A$4:$K$5003,10,FALSE),"")</f>
        <v/>
      </c>
      <c r="I5106" s="123" t="str">
        <f>IFERROR(VLOOKUP(Table1722[[#This Row],[Bukti]],Table13[#Data],11,FALSE),"")</f>
        <v/>
      </c>
    </row>
    <row r="5107" spans="1:9" hidden="1" x14ac:dyDescent="0.2">
      <c r="A5107" s="105" t="str">
        <f>IF(D5107=1,COUNTIF($D$10:D5107,1)," ")</f>
        <v xml:space="preserve"> </v>
      </c>
      <c r="B5107" s="106">
        <f>COPY!AR5099</f>
        <v>0</v>
      </c>
      <c r="C5107" s="107">
        <f>COPY!AC5099</f>
        <v>0</v>
      </c>
      <c r="D5107" s="107" t="str">
        <f>IF(LEN(Table1722[[#This Row],[Uraian]])&gt;2,1," ")</f>
        <v xml:space="preserve"> </v>
      </c>
      <c r="E5107" s="113" t="str">
        <f>IF(Table1722[[#This Row],[Lawan Transaksi]]="CV AGUNG KARYA",COUNTIF($I$10:I5107,"CV AGUNG KARYA")," ")</f>
        <v xml:space="preserve"> </v>
      </c>
      <c r="F5107" s="107" t="str">
        <f>IF(LEN(Table1722[[#This Row],[Uraian]])&gt;2,TRIM(RIGHT(SUBSTITUTE(TRIM(C5107)," ",REPT(" ",255)),255))," ")</f>
        <v xml:space="preserve"> </v>
      </c>
      <c r="G5107" s="110">
        <f>COPY!Z5099</f>
        <v>0</v>
      </c>
      <c r="H5107" s="111" t="str">
        <f>IFERROR(VLOOKUP(Table1722[[#This Row],[Bukti]],'Un nOTA'!$A$4:$K$5003,10,FALSE),"")</f>
        <v/>
      </c>
      <c r="I5107" s="123" t="str">
        <f>IFERROR(VLOOKUP(Table1722[[#This Row],[Bukti]],Table13[#Data],11,FALSE),"")</f>
        <v/>
      </c>
    </row>
    <row r="5108" spans="1:9" hidden="1" x14ac:dyDescent="0.2">
      <c r="A5108" s="105" t="str">
        <f>IF(D5108=1,COUNTIF($D$10:D5108,1)," ")</f>
        <v xml:space="preserve"> </v>
      </c>
      <c r="B5108" s="106">
        <f>COPY!AR5100</f>
        <v>0</v>
      </c>
      <c r="C5108" s="107">
        <f>COPY!AC5100</f>
        <v>0</v>
      </c>
      <c r="D5108" s="107" t="str">
        <f>IF(LEN(Table1722[[#This Row],[Uraian]])&gt;2,1," ")</f>
        <v xml:space="preserve"> </v>
      </c>
      <c r="E5108" s="113" t="str">
        <f>IF(Table1722[[#This Row],[Lawan Transaksi]]="CV AGUNG KARYA",COUNTIF($I$10:I5108,"CV AGUNG KARYA")," ")</f>
        <v xml:space="preserve"> </v>
      </c>
      <c r="F5108" s="107" t="str">
        <f>IF(LEN(Table1722[[#This Row],[Uraian]])&gt;2,TRIM(RIGHT(SUBSTITUTE(TRIM(C5108)," ",REPT(" ",255)),255))," ")</f>
        <v xml:space="preserve"> </v>
      </c>
      <c r="G5108" s="110">
        <f>COPY!Z5100</f>
        <v>0</v>
      </c>
      <c r="H5108" s="111" t="str">
        <f>IFERROR(VLOOKUP(Table1722[[#This Row],[Bukti]],'Un nOTA'!$A$4:$K$5003,10,FALSE),"")</f>
        <v/>
      </c>
      <c r="I5108" s="123" t="str">
        <f>IFERROR(VLOOKUP(Table1722[[#This Row],[Bukti]],Table13[#Data],11,FALSE),"")</f>
        <v/>
      </c>
    </row>
    <row r="5109" spans="1:9" hidden="1" x14ac:dyDescent="0.2">
      <c r="A5109" s="105" t="str">
        <f>IF(D5109=1,COUNTIF($D$10:D5109,1)," ")</f>
        <v xml:space="preserve"> </v>
      </c>
      <c r="B5109" s="106">
        <f>COPY!AR5101</f>
        <v>0</v>
      </c>
      <c r="C5109" s="107">
        <f>COPY!AC5101</f>
        <v>0</v>
      </c>
      <c r="D5109" s="107" t="str">
        <f>IF(LEN(Table1722[[#This Row],[Uraian]])&gt;2,1," ")</f>
        <v xml:space="preserve"> </v>
      </c>
      <c r="E5109" s="113" t="str">
        <f>IF(Table1722[[#This Row],[Lawan Transaksi]]="CV AGUNG KARYA",COUNTIF($I$10:I5109,"CV AGUNG KARYA")," ")</f>
        <v xml:space="preserve"> </v>
      </c>
      <c r="F5109" s="107" t="str">
        <f>IF(LEN(Table1722[[#This Row],[Uraian]])&gt;2,TRIM(RIGHT(SUBSTITUTE(TRIM(C5109)," ",REPT(" ",255)),255))," ")</f>
        <v xml:space="preserve"> </v>
      </c>
      <c r="G5109" s="110">
        <f>COPY!Z5101</f>
        <v>0</v>
      </c>
      <c r="H5109" s="111" t="str">
        <f>IFERROR(VLOOKUP(Table1722[[#This Row],[Bukti]],'Un nOTA'!$A$4:$K$5003,10,FALSE),"")</f>
        <v/>
      </c>
      <c r="I5109" s="123" t="str">
        <f>IFERROR(VLOOKUP(Table1722[[#This Row],[Bukti]],Table13[#Data],11,FALSE),"")</f>
        <v/>
      </c>
    </row>
    <row r="5110" spans="1:9" hidden="1" x14ac:dyDescent="0.2">
      <c r="A5110" s="105" t="str">
        <f>IF(D5110=1,COUNTIF($D$10:D5110,1)," ")</f>
        <v xml:space="preserve"> </v>
      </c>
      <c r="B5110" s="106">
        <f>COPY!AR5102</f>
        <v>0</v>
      </c>
      <c r="C5110" s="107">
        <f>COPY!AC5102</f>
        <v>0</v>
      </c>
      <c r="D5110" s="107" t="str">
        <f>IF(LEN(Table1722[[#This Row],[Uraian]])&gt;2,1," ")</f>
        <v xml:space="preserve"> </v>
      </c>
      <c r="E5110" s="113" t="str">
        <f>IF(Table1722[[#This Row],[Lawan Transaksi]]="CV AGUNG KARYA",COUNTIF($I$10:I5110,"CV AGUNG KARYA")," ")</f>
        <v xml:space="preserve"> </v>
      </c>
      <c r="F5110" s="107" t="str">
        <f>IF(LEN(Table1722[[#This Row],[Uraian]])&gt;2,TRIM(RIGHT(SUBSTITUTE(TRIM(C5110)," ",REPT(" ",255)),255))," ")</f>
        <v xml:space="preserve"> </v>
      </c>
      <c r="G5110" s="110">
        <f>COPY!Z5102</f>
        <v>0</v>
      </c>
      <c r="H5110" s="111" t="str">
        <f>IFERROR(VLOOKUP(Table1722[[#This Row],[Bukti]],'Un nOTA'!$A$4:$K$5003,10,FALSE),"")</f>
        <v/>
      </c>
      <c r="I5110" s="123" t="str">
        <f>IFERROR(VLOOKUP(Table1722[[#This Row],[Bukti]],Table13[#Data],11,FALSE),"")</f>
        <v/>
      </c>
    </row>
    <row r="5111" spans="1:9" hidden="1" x14ac:dyDescent="0.2">
      <c r="A5111" s="105" t="str">
        <f>IF(D5111=1,COUNTIF($D$10:D5111,1)," ")</f>
        <v xml:space="preserve"> </v>
      </c>
      <c r="B5111" s="106">
        <f>COPY!AR5103</f>
        <v>0</v>
      </c>
      <c r="C5111" s="107">
        <f>COPY!AC5103</f>
        <v>0</v>
      </c>
      <c r="D5111" s="107" t="str">
        <f>IF(LEN(Table1722[[#This Row],[Uraian]])&gt;2,1," ")</f>
        <v xml:space="preserve"> </v>
      </c>
      <c r="E5111" s="113" t="str">
        <f>IF(Table1722[[#This Row],[Lawan Transaksi]]="CV AGUNG KARYA",COUNTIF($I$10:I5111,"CV AGUNG KARYA")," ")</f>
        <v xml:space="preserve"> </v>
      </c>
      <c r="F5111" s="107" t="str">
        <f>IF(LEN(Table1722[[#This Row],[Uraian]])&gt;2,TRIM(RIGHT(SUBSTITUTE(TRIM(C5111)," ",REPT(" ",255)),255))," ")</f>
        <v xml:space="preserve"> </v>
      </c>
      <c r="G5111" s="110">
        <f>COPY!Z5103</f>
        <v>0</v>
      </c>
      <c r="H5111" s="111" t="str">
        <f>IFERROR(VLOOKUP(Table1722[[#This Row],[Bukti]],'Un nOTA'!$A$4:$K$5003,10,FALSE),"")</f>
        <v/>
      </c>
      <c r="I5111" s="123" t="str">
        <f>IFERROR(VLOOKUP(Table1722[[#This Row],[Bukti]],Table13[#Data],11,FALSE),"")</f>
        <v/>
      </c>
    </row>
    <row r="5112" spans="1:9" hidden="1" x14ac:dyDescent="0.2">
      <c r="A5112" s="105" t="str">
        <f>IF(D5112=1,COUNTIF($D$10:D5112,1)," ")</f>
        <v xml:space="preserve"> </v>
      </c>
      <c r="B5112" s="106">
        <f>COPY!AR5104</f>
        <v>0</v>
      </c>
      <c r="C5112" s="107">
        <f>COPY!AC5104</f>
        <v>0</v>
      </c>
      <c r="D5112" s="107" t="str">
        <f>IF(LEN(Table1722[[#This Row],[Uraian]])&gt;2,1," ")</f>
        <v xml:space="preserve"> </v>
      </c>
      <c r="E5112" s="113" t="str">
        <f>IF(Table1722[[#This Row],[Lawan Transaksi]]="CV AGUNG KARYA",COUNTIF($I$10:I5112,"CV AGUNG KARYA")," ")</f>
        <v xml:space="preserve"> </v>
      </c>
      <c r="F5112" s="107" t="str">
        <f>IF(LEN(Table1722[[#This Row],[Uraian]])&gt;2,TRIM(RIGHT(SUBSTITUTE(TRIM(C5112)," ",REPT(" ",255)),255))," ")</f>
        <v xml:space="preserve"> </v>
      </c>
      <c r="G5112" s="110">
        <f>COPY!Z5104</f>
        <v>0</v>
      </c>
      <c r="H5112" s="111" t="str">
        <f>IFERROR(VLOOKUP(Table1722[[#This Row],[Bukti]],'Un nOTA'!$A$4:$K$5003,10,FALSE),"")</f>
        <v/>
      </c>
      <c r="I5112" s="123" t="str">
        <f>IFERROR(VLOOKUP(Table1722[[#This Row],[Bukti]],Table13[#Data],11,FALSE),"")</f>
        <v/>
      </c>
    </row>
    <row r="5113" spans="1:9" hidden="1" x14ac:dyDescent="0.2">
      <c r="A5113" s="105" t="str">
        <f>IF(D5113=1,COUNTIF($D$10:D5113,1)," ")</f>
        <v xml:space="preserve"> </v>
      </c>
      <c r="B5113" s="106">
        <f>COPY!AR5105</f>
        <v>0</v>
      </c>
      <c r="C5113" s="107">
        <f>COPY!AC5105</f>
        <v>0</v>
      </c>
      <c r="D5113" s="107" t="str">
        <f>IF(LEN(Table1722[[#This Row],[Uraian]])&gt;2,1," ")</f>
        <v xml:space="preserve"> </v>
      </c>
      <c r="E5113" s="113" t="str">
        <f>IF(Table1722[[#This Row],[Lawan Transaksi]]="CV AGUNG KARYA",COUNTIF($I$10:I5113,"CV AGUNG KARYA")," ")</f>
        <v xml:space="preserve"> </v>
      </c>
      <c r="F5113" s="107" t="str">
        <f>IF(LEN(Table1722[[#This Row],[Uraian]])&gt;2,TRIM(RIGHT(SUBSTITUTE(TRIM(C5113)," ",REPT(" ",255)),255))," ")</f>
        <v xml:space="preserve"> </v>
      </c>
      <c r="G5113" s="110">
        <f>COPY!Z5105</f>
        <v>0</v>
      </c>
      <c r="H5113" s="111" t="str">
        <f>IFERROR(VLOOKUP(Table1722[[#This Row],[Bukti]],'Un nOTA'!$A$4:$K$5003,10,FALSE),"")</f>
        <v/>
      </c>
      <c r="I5113" s="123" t="str">
        <f>IFERROR(VLOOKUP(Table1722[[#This Row],[Bukti]],Table13[#Data],11,FALSE),"")</f>
        <v/>
      </c>
    </row>
    <row r="5114" spans="1:9" hidden="1" x14ac:dyDescent="0.2">
      <c r="A5114" s="105" t="str">
        <f>IF(D5114=1,COUNTIF($D$10:D5114,1)," ")</f>
        <v xml:space="preserve"> </v>
      </c>
      <c r="B5114" s="106">
        <f>COPY!AR5106</f>
        <v>0</v>
      </c>
      <c r="C5114" s="107">
        <f>COPY!AC5106</f>
        <v>0</v>
      </c>
      <c r="D5114" s="107" t="str">
        <f>IF(LEN(Table1722[[#This Row],[Uraian]])&gt;2,1," ")</f>
        <v xml:space="preserve"> </v>
      </c>
      <c r="E5114" s="113" t="str">
        <f>IF(Table1722[[#This Row],[Lawan Transaksi]]="CV AGUNG KARYA",COUNTIF($I$10:I5114,"CV AGUNG KARYA")," ")</f>
        <v xml:space="preserve"> </v>
      </c>
      <c r="F5114" s="107" t="str">
        <f>IF(LEN(Table1722[[#This Row],[Uraian]])&gt;2,TRIM(RIGHT(SUBSTITUTE(TRIM(C5114)," ",REPT(" ",255)),255))," ")</f>
        <v xml:space="preserve"> </v>
      </c>
      <c r="G5114" s="110">
        <f>COPY!Z5106</f>
        <v>0</v>
      </c>
      <c r="H5114" s="111" t="str">
        <f>IFERROR(VLOOKUP(Table1722[[#This Row],[Bukti]],'Un nOTA'!$A$4:$K$5003,10,FALSE),"")</f>
        <v/>
      </c>
      <c r="I5114" s="123" t="str">
        <f>IFERROR(VLOOKUP(Table1722[[#This Row],[Bukti]],Table13[#Data],11,FALSE),"")</f>
        <v/>
      </c>
    </row>
    <row r="5115" spans="1:9" hidden="1" x14ac:dyDescent="0.2">
      <c r="A5115" s="105" t="str">
        <f>IF(D5115=1,COUNTIF($D$10:D5115,1)," ")</f>
        <v xml:space="preserve"> </v>
      </c>
      <c r="B5115" s="106">
        <f>COPY!AR5107</f>
        <v>0</v>
      </c>
      <c r="C5115" s="107">
        <f>COPY!AC5107</f>
        <v>0</v>
      </c>
      <c r="D5115" s="107" t="str">
        <f>IF(LEN(Table1722[[#This Row],[Uraian]])&gt;2,1," ")</f>
        <v xml:space="preserve"> </v>
      </c>
      <c r="E5115" s="113" t="str">
        <f>IF(Table1722[[#This Row],[Lawan Transaksi]]="CV AGUNG KARYA",COUNTIF($I$10:I5115,"CV AGUNG KARYA")," ")</f>
        <v xml:space="preserve"> </v>
      </c>
      <c r="F5115" s="107" t="str">
        <f>IF(LEN(Table1722[[#This Row],[Uraian]])&gt;2,TRIM(RIGHT(SUBSTITUTE(TRIM(C5115)," ",REPT(" ",255)),255))," ")</f>
        <v xml:space="preserve"> </v>
      </c>
      <c r="G5115" s="110">
        <f>COPY!Z5107</f>
        <v>0</v>
      </c>
      <c r="H5115" s="111" t="str">
        <f>IFERROR(VLOOKUP(Table1722[[#This Row],[Bukti]],'Un nOTA'!$A$4:$K$5003,10,FALSE),"")</f>
        <v/>
      </c>
      <c r="I5115" s="123" t="str">
        <f>IFERROR(VLOOKUP(Table1722[[#This Row],[Bukti]],Table13[#Data],11,FALSE),"")</f>
        <v/>
      </c>
    </row>
    <row r="5116" spans="1:9" hidden="1" x14ac:dyDescent="0.2">
      <c r="A5116" s="105" t="str">
        <f>IF(D5116=1,COUNTIF($D$10:D5116,1)," ")</f>
        <v xml:space="preserve"> </v>
      </c>
      <c r="B5116" s="106">
        <f>COPY!AR5108</f>
        <v>0</v>
      </c>
      <c r="C5116" s="107">
        <f>COPY!AC5108</f>
        <v>0</v>
      </c>
      <c r="D5116" s="107" t="str">
        <f>IF(LEN(Table1722[[#This Row],[Uraian]])&gt;2,1," ")</f>
        <v xml:space="preserve"> </v>
      </c>
      <c r="E5116" s="113" t="str">
        <f>IF(Table1722[[#This Row],[Lawan Transaksi]]="CV AGUNG KARYA",COUNTIF($I$10:I5116,"CV AGUNG KARYA")," ")</f>
        <v xml:space="preserve"> </v>
      </c>
      <c r="F5116" s="107" t="str">
        <f>IF(LEN(Table1722[[#This Row],[Uraian]])&gt;2,TRIM(RIGHT(SUBSTITUTE(TRIM(C5116)," ",REPT(" ",255)),255))," ")</f>
        <v xml:space="preserve"> </v>
      </c>
      <c r="G5116" s="110">
        <f>COPY!Z5108</f>
        <v>0</v>
      </c>
      <c r="H5116" s="111" t="str">
        <f>IFERROR(VLOOKUP(Table1722[[#This Row],[Bukti]],'Un nOTA'!$A$4:$K$5003,10,FALSE),"")</f>
        <v/>
      </c>
      <c r="I5116" s="123" t="str">
        <f>IFERROR(VLOOKUP(Table1722[[#This Row],[Bukti]],Table13[#Data],11,FALSE),"")</f>
        <v/>
      </c>
    </row>
    <row r="5117" spans="1:9" hidden="1" x14ac:dyDescent="0.2">
      <c r="A5117" s="105" t="str">
        <f>IF(D5117=1,COUNTIF($D$10:D5117,1)," ")</f>
        <v xml:space="preserve"> </v>
      </c>
      <c r="B5117" s="106">
        <f>COPY!AR5109</f>
        <v>0</v>
      </c>
      <c r="C5117" s="107">
        <f>COPY!AC5109</f>
        <v>0</v>
      </c>
      <c r="D5117" s="107" t="str">
        <f>IF(LEN(Table1722[[#This Row],[Uraian]])&gt;2,1," ")</f>
        <v xml:space="preserve"> </v>
      </c>
      <c r="E5117" s="113" t="str">
        <f>IF(Table1722[[#This Row],[Lawan Transaksi]]="CV AGUNG KARYA",COUNTIF($I$10:I5117,"CV AGUNG KARYA")," ")</f>
        <v xml:space="preserve"> </v>
      </c>
      <c r="F5117" s="107" t="str">
        <f>IF(LEN(Table1722[[#This Row],[Uraian]])&gt;2,TRIM(RIGHT(SUBSTITUTE(TRIM(C5117)," ",REPT(" ",255)),255))," ")</f>
        <v xml:space="preserve"> </v>
      </c>
      <c r="G5117" s="110">
        <f>COPY!Z5109</f>
        <v>0</v>
      </c>
      <c r="H5117" s="111" t="str">
        <f>IFERROR(VLOOKUP(Table1722[[#This Row],[Bukti]],'Un nOTA'!$A$4:$K$5003,10,FALSE),"")</f>
        <v/>
      </c>
      <c r="I5117" s="123" t="str">
        <f>IFERROR(VLOOKUP(Table1722[[#This Row],[Bukti]],Table13[#Data],11,FALSE),"")</f>
        <v/>
      </c>
    </row>
    <row r="5118" spans="1:9" hidden="1" x14ac:dyDescent="0.2">
      <c r="A5118" s="105" t="str">
        <f>IF(D5118=1,COUNTIF($D$10:D5118,1)," ")</f>
        <v xml:space="preserve"> </v>
      </c>
      <c r="B5118" s="106">
        <f>COPY!AR5110</f>
        <v>0</v>
      </c>
      <c r="C5118" s="107">
        <f>COPY!AC5110</f>
        <v>0</v>
      </c>
      <c r="D5118" s="107" t="str">
        <f>IF(LEN(Table1722[[#This Row],[Uraian]])&gt;2,1," ")</f>
        <v xml:space="preserve"> </v>
      </c>
      <c r="E5118" s="113" t="str">
        <f>IF(Table1722[[#This Row],[Lawan Transaksi]]="CV AGUNG KARYA",COUNTIF($I$10:I5118,"CV AGUNG KARYA")," ")</f>
        <v xml:space="preserve"> </v>
      </c>
      <c r="F5118" s="107" t="str">
        <f>IF(LEN(Table1722[[#This Row],[Uraian]])&gt;2,TRIM(RIGHT(SUBSTITUTE(TRIM(C5118)," ",REPT(" ",255)),255))," ")</f>
        <v xml:space="preserve"> </v>
      </c>
      <c r="G5118" s="110">
        <f>COPY!Z5110</f>
        <v>0</v>
      </c>
      <c r="H5118" s="111" t="str">
        <f>IFERROR(VLOOKUP(Table1722[[#This Row],[Bukti]],'Un nOTA'!$A$4:$K$5003,10,FALSE),"")</f>
        <v/>
      </c>
      <c r="I5118" s="123" t="str">
        <f>IFERROR(VLOOKUP(Table1722[[#This Row],[Bukti]],Table13[#Data],11,FALSE),"")</f>
        <v/>
      </c>
    </row>
    <row r="5119" spans="1:9" hidden="1" x14ac:dyDescent="0.2">
      <c r="A5119" s="105" t="str">
        <f>IF(D5119=1,COUNTIF($D$10:D5119,1)," ")</f>
        <v xml:space="preserve"> </v>
      </c>
      <c r="B5119" s="106">
        <f>COPY!AR5111</f>
        <v>0</v>
      </c>
      <c r="C5119" s="107">
        <f>COPY!AC5111</f>
        <v>0</v>
      </c>
      <c r="D5119" s="107" t="str">
        <f>IF(LEN(Table1722[[#This Row],[Uraian]])&gt;2,1," ")</f>
        <v xml:space="preserve"> </v>
      </c>
      <c r="E5119" s="113" t="str">
        <f>IF(Table1722[[#This Row],[Lawan Transaksi]]="CV AGUNG KARYA",COUNTIF($I$10:I5119,"CV AGUNG KARYA")," ")</f>
        <v xml:space="preserve"> </v>
      </c>
      <c r="F5119" s="107" t="str">
        <f>IF(LEN(Table1722[[#This Row],[Uraian]])&gt;2,TRIM(RIGHT(SUBSTITUTE(TRIM(C5119)," ",REPT(" ",255)),255))," ")</f>
        <v xml:space="preserve"> </v>
      </c>
      <c r="G5119" s="110">
        <f>COPY!Z5111</f>
        <v>0</v>
      </c>
      <c r="H5119" s="111" t="str">
        <f>IFERROR(VLOOKUP(Table1722[[#This Row],[Bukti]],'Un nOTA'!$A$4:$K$5003,10,FALSE),"")</f>
        <v/>
      </c>
      <c r="I5119" s="123" t="str">
        <f>IFERROR(VLOOKUP(Table1722[[#This Row],[Bukti]],Table13[#Data],11,FALSE),"")</f>
        <v/>
      </c>
    </row>
    <row r="5120" spans="1:9" hidden="1" x14ac:dyDescent="0.2">
      <c r="A5120" s="105" t="str">
        <f>IF(D5120=1,COUNTIF($D$10:D5120,1)," ")</f>
        <v xml:space="preserve"> </v>
      </c>
      <c r="B5120" s="106">
        <f>COPY!AR5112</f>
        <v>0</v>
      </c>
      <c r="C5120" s="107">
        <f>COPY!AC5112</f>
        <v>0</v>
      </c>
      <c r="D5120" s="107" t="str">
        <f>IF(LEN(Table1722[[#This Row],[Uraian]])&gt;2,1," ")</f>
        <v xml:space="preserve"> </v>
      </c>
      <c r="E5120" s="113" t="str">
        <f>IF(Table1722[[#This Row],[Lawan Transaksi]]="CV AGUNG KARYA",COUNTIF($I$10:I5120,"CV AGUNG KARYA")," ")</f>
        <v xml:space="preserve"> </v>
      </c>
      <c r="F5120" s="107" t="str">
        <f>IF(LEN(Table1722[[#This Row],[Uraian]])&gt;2,TRIM(RIGHT(SUBSTITUTE(TRIM(C5120)," ",REPT(" ",255)),255))," ")</f>
        <v xml:space="preserve"> </v>
      </c>
      <c r="G5120" s="110">
        <f>COPY!Z5112</f>
        <v>0</v>
      </c>
      <c r="H5120" s="111" t="str">
        <f>IFERROR(VLOOKUP(Table1722[[#This Row],[Bukti]],'Un nOTA'!$A$4:$K$5003,10,FALSE),"")</f>
        <v/>
      </c>
      <c r="I5120" s="123" t="str">
        <f>IFERROR(VLOOKUP(Table1722[[#This Row],[Bukti]],Table13[#Data],11,FALSE),"")</f>
        <v/>
      </c>
    </row>
    <row r="5121" spans="1:9" hidden="1" x14ac:dyDescent="0.2">
      <c r="A5121" s="105" t="str">
        <f>IF(D5121=1,COUNTIF($D$10:D5121,1)," ")</f>
        <v xml:space="preserve"> </v>
      </c>
      <c r="B5121" s="106">
        <f>COPY!AR5113</f>
        <v>0</v>
      </c>
      <c r="C5121" s="107">
        <f>COPY!AC5113</f>
        <v>0</v>
      </c>
      <c r="D5121" s="107" t="str">
        <f>IF(LEN(Table1722[[#This Row],[Uraian]])&gt;2,1," ")</f>
        <v xml:space="preserve"> </v>
      </c>
      <c r="E5121" s="113" t="str">
        <f>IF(Table1722[[#This Row],[Lawan Transaksi]]="CV AGUNG KARYA",COUNTIF($I$10:I5121,"CV AGUNG KARYA")," ")</f>
        <v xml:space="preserve"> </v>
      </c>
      <c r="F5121" s="107" t="str">
        <f>IF(LEN(Table1722[[#This Row],[Uraian]])&gt;2,TRIM(RIGHT(SUBSTITUTE(TRIM(C5121)," ",REPT(" ",255)),255))," ")</f>
        <v xml:space="preserve"> </v>
      </c>
      <c r="G5121" s="110">
        <f>COPY!Z5113</f>
        <v>0</v>
      </c>
      <c r="H5121" s="111" t="str">
        <f>IFERROR(VLOOKUP(Table1722[[#This Row],[Bukti]],'Un nOTA'!$A$4:$K$5003,10,FALSE),"")</f>
        <v/>
      </c>
      <c r="I5121" s="123" t="str">
        <f>IFERROR(VLOOKUP(Table1722[[#This Row],[Bukti]],Table13[#Data],11,FALSE),"")</f>
        <v/>
      </c>
    </row>
    <row r="5122" spans="1:9" hidden="1" x14ac:dyDescent="0.2">
      <c r="A5122" s="105" t="str">
        <f>IF(D5122=1,COUNTIF($D$10:D5122,1)," ")</f>
        <v xml:space="preserve"> </v>
      </c>
      <c r="B5122" s="106">
        <f>COPY!AR5114</f>
        <v>0</v>
      </c>
      <c r="C5122" s="107">
        <f>COPY!AC5114</f>
        <v>0</v>
      </c>
      <c r="D5122" s="107" t="str">
        <f>IF(LEN(Table1722[[#This Row],[Uraian]])&gt;2,1," ")</f>
        <v xml:space="preserve"> </v>
      </c>
      <c r="E5122" s="113" t="str">
        <f>IF(Table1722[[#This Row],[Lawan Transaksi]]="CV AGUNG KARYA",COUNTIF($I$10:I5122,"CV AGUNG KARYA")," ")</f>
        <v xml:space="preserve"> </v>
      </c>
      <c r="F5122" s="107" t="str">
        <f>IF(LEN(Table1722[[#This Row],[Uraian]])&gt;2,TRIM(RIGHT(SUBSTITUTE(TRIM(C5122)," ",REPT(" ",255)),255))," ")</f>
        <v xml:space="preserve"> </v>
      </c>
      <c r="G5122" s="110">
        <f>COPY!Z5114</f>
        <v>0</v>
      </c>
      <c r="H5122" s="111" t="str">
        <f>IFERROR(VLOOKUP(Table1722[[#This Row],[Bukti]],'Un nOTA'!$A$4:$K$5003,10,FALSE),"")</f>
        <v/>
      </c>
      <c r="I5122" s="123" t="str">
        <f>IFERROR(VLOOKUP(Table1722[[#This Row],[Bukti]],Table13[#Data],11,FALSE),"")</f>
        <v/>
      </c>
    </row>
    <row r="5123" spans="1:9" hidden="1" x14ac:dyDescent="0.2">
      <c r="A5123" s="105" t="str">
        <f>IF(D5123=1,COUNTIF($D$10:D5123,1)," ")</f>
        <v xml:space="preserve"> </v>
      </c>
      <c r="B5123" s="106">
        <f>COPY!AR5115</f>
        <v>0</v>
      </c>
      <c r="C5123" s="107">
        <f>COPY!AC5115</f>
        <v>0</v>
      </c>
      <c r="D5123" s="107" t="str">
        <f>IF(LEN(Table1722[[#This Row],[Uraian]])&gt;2,1," ")</f>
        <v xml:space="preserve"> </v>
      </c>
      <c r="E5123" s="113" t="str">
        <f>IF(Table1722[[#This Row],[Lawan Transaksi]]="CV AGUNG KARYA",COUNTIF($I$10:I5123,"CV AGUNG KARYA")," ")</f>
        <v xml:space="preserve"> </v>
      </c>
      <c r="F5123" s="107" t="str">
        <f>IF(LEN(Table1722[[#This Row],[Uraian]])&gt;2,TRIM(RIGHT(SUBSTITUTE(TRIM(C5123)," ",REPT(" ",255)),255))," ")</f>
        <v xml:space="preserve"> </v>
      </c>
      <c r="G5123" s="110">
        <f>COPY!Z5115</f>
        <v>0</v>
      </c>
      <c r="H5123" s="111" t="str">
        <f>IFERROR(VLOOKUP(Table1722[[#This Row],[Bukti]],'Un nOTA'!$A$4:$K$5003,10,FALSE),"")</f>
        <v/>
      </c>
      <c r="I5123" s="123" t="str">
        <f>IFERROR(VLOOKUP(Table1722[[#This Row],[Bukti]],Table13[#Data],11,FALSE),"")</f>
        <v/>
      </c>
    </row>
    <row r="5124" spans="1:9" hidden="1" x14ac:dyDescent="0.2">
      <c r="A5124" s="105" t="str">
        <f>IF(D5124=1,COUNTIF($D$10:D5124,1)," ")</f>
        <v xml:space="preserve"> </v>
      </c>
      <c r="B5124" s="106">
        <f>COPY!AR5116</f>
        <v>0</v>
      </c>
      <c r="C5124" s="107">
        <f>COPY!AC5116</f>
        <v>0</v>
      </c>
      <c r="D5124" s="107" t="str">
        <f>IF(LEN(Table1722[[#This Row],[Uraian]])&gt;2,1," ")</f>
        <v xml:space="preserve"> </v>
      </c>
      <c r="E5124" s="113" t="str">
        <f>IF(Table1722[[#This Row],[Lawan Transaksi]]="CV AGUNG KARYA",COUNTIF($I$10:I5124,"CV AGUNG KARYA")," ")</f>
        <v xml:space="preserve"> </v>
      </c>
      <c r="F5124" s="107" t="str">
        <f>IF(LEN(Table1722[[#This Row],[Uraian]])&gt;2,TRIM(RIGHT(SUBSTITUTE(TRIM(C5124)," ",REPT(" ",255)),255))," ")</f>
        <v xml:space="preserve"> </v>
      </c>
      <c r="G5124" s="110">
        <f>COPY!Z5116</f>
        <v>0</v>
      </c>
      <c r="H5124" s="111" t="str">
        <f>IFERROR(VLOOKUP(Table1722[[#This Row],[Bukti]],'Un nOTA'!$A$4:$K$5003,10,FALSE),"")</f>
        <v/>
      </c>
      <c r="I5124" s="123" t="str">
        <f>IFERROR(VLOOKUP(Table1722[[#This Row],[Bukti]],Table13[#Data],11,FALSE),"")</f>
        <v/>
      </c>
    </row>
    <row r="5125" spans="1:9" hidden="1" x14ac:dyDescent="0.2">
      <c r="A5125" s="105" t="str">
        <f>IF(D5125=1,COUNTIF($D$10:D5125,1)," ")</f>
        <v xml:space="preserve"> </v>
      </c>
      <c r="B5125" s="106">
        <f>COPY!AR5117</f>
        <v>0</v>
      </c>
      <c r="C5125" s="107">
        <f>COPY!AC5117</f>
        <v>0</v>
      </c>
      <c r="D5125" s="107" t="str">
        <f>IF(LEN(Table1722[[#This Row],[Uraian]])&gt;2,1," ")</f>
        <v xml:space="preserve"> </v>
      </c>
      <c r="E5125" s="113" t="str">
        <f>IF(Table1722[[#This Row],[Lawan Transaksi]]="CV AGUNG KARYA",COUNTIF($I$10:I5125,"CV AGUNG KARYA")," ")</f>
        <v xml:space="preserve"> </v>
      </c>
      <c r="F5125" s="107" t="str">
        <f>IF(LEN(Table1722[[#This Row],[Uraian]])&gt;2,TRIM(RIGHT(SUBSTITUTE(TRIM(C5125)," ",REPT(" ",255)),255))," ")</f>
        <v xml:space="preserve"> </v>
      </c>
      <c r="G5125" s="110">
        <f>COPY!Z5117</f>
        <v>0</v>
      </c>
      <c r="H5125" s="111" t="str">
        <f>IFERROR(VLOOKUP(Table1722[[#This Row],[Bukti]],'Un nOTA'!$A$4:$K$5003,10,FALSE),"")</f>
        <v/>
      </c>
      <c r="I5125" s="123" t="str">
        <f>IFERROR(VLOOKUP(Table1722[[#This Row],[Bukti]],Table13[#Data],11,FALSE),"")</f>
        <v/>
      </c>
    </row>
    <row r="5126" spans="1:9" hidden="1" x14ac:dyDescent="0.2">
      <c r="A5126" s="105" t="str">
        <f>IF(D5126=1,COUNTIF($D$10:D5126,1)," ")</f>
        <v xml:space="preserve"> </v>
      </c>
      <c r="B5126" s="106">
        <f>COPY!AR5118</f>
        <v>0</v>
      </c>
      <c r="C5126" s="107">
        <f>COPY!AC5118</f>
        <v>0</v>
      </c>
      <c r="D5126" s="107" t="str">
        <f>IF(LEN(Table1722[[#This Row],[Uraian]])&gt;2,1," ")</f>
        <v xml:space="preserve"> </v>
      </c>
      <c r="E5126" s="113" t="str">
        <f>IF(Table1722[[#This Row],[Lawan Transaksi]]="CV AGUNG KARYA",COUNTIF($I$10:I5126,"CV AGUNG KARYA")," ")</f>
        <v xml:space="preserve"> </v>
      </c>
      <c r="F5126" s="107" t="str">
        <f>IF(LEN(Table1722[[#This Row],[Uraian]])&gt;2,TRIM(RIGHT(SUBSTITUTE(TRIM(C5126)," ",REPT(" ",255)),255))," ")</f>
        <v xml:space="preserve"> </v>
      </c>
      <c r="G5126" s="110">
        <f>COPY!Z5118</f>
        <v>0</v>
      </c>
      <c r="H5126" s="111" t="str">
        <f>IFERROR(VLOOKUP(Table1722[[#This Row],[Bukti]],'Un nOTA'!$A$4:$K$5003,10,FALSE),"")</f>
        <v/>
      </c>
      <c r="I5126" s="123" t="str">
        <f>IFERROR(VLOOKUP(Table1722[[#This Row],[Bukti]],Table13[#Data],11,FALSE),"")</f>
        <v/>
      </c>
    </row>
    <row r="5127" spans="1:9" hidden="1" x14ac:dyDescent="0.2">
      <c r="A5127" s="105" t="str">
        <f>IF(D5127=1,COUNTIF($D$10:D5127,1)," ")</f>
        <v xml:space="preserve"> </v>
      </c>
      <c r="B5127" s="106">
        <f>COPY!AR5119</f>
        <v>0</v>
      </c>
      <c r="C5127" s="107">
        <f>COPY!AC5119</f>
        <v>0</v>
      </c>
      <c r="D5127" s="107" t="str">
        <f>IF(LEN(Table1722[[#This Row],[Uraian]])&gt;2,1," ")</f>
        <v xml:space="preserve"> </v>
      </c>
      <c r="E5127" s="113" t="str">
        <f>IF(Table1722[[#This Row],[Lawan Transaksi]]="CV AGUNG KARYA",COUNTIF($I$10:I5127,"CV AGUNG KARYA")," ")</f>
        <v xml:space="preserve"> </v>
      </c>
      <c r="F5127" s="107" t="str">
        <f>IF(LEN(Table1722[[#This Row],[Uraian]])&gt;2,TRIM(RIGHT(SUBSTITUTE(TRIM(C5127)," ",REPT(" ",255)),255))," ")</f>
        <v xml:space="preserve"> </v>
      </c>
      <c r="G5127" s="110">
        <f>COPY!Z5119</f>
        <v>0</v>
      </c>
      <c r="H5127" s="111" t="str">
        <f>IFERROR(VLOOKUP(Table1722[[#This Row],[Bukti]],'Un nOTA'!$A$4:$K$5003,10,FALSE),"")</f>
        <v/>
      </c>
      <c r="I5127" s="123" t="str">
        <f>IFERROR(VLOOKUP(Table1722[[#This Row],[Bukti]],Table13[#Data],11,FALSE),"")</f>
        <v/>
      </c>
    </row>
    <row r="5128" spans="1:9" hidden="1" x14ac:dyDescent="0.2">
      <c r="A5128" s="105" t="str">
        <f>IF(D5128=1,COUNTIF($D$10:D5128,1)," ")</f>
        <v xml:space="preserve"> </v>
      </c>
      <c r="B5128" s="106">
        <f>COPY!AR5120</f>
        <v>0</v>
      </c>
      <c r="C5128" s="107">
        <f>COPY!AC5120</f>
        <v>0</v>
      </c>
      <c r="D5128" s="107" t="str">
        <f>IF(LEN(Table1722[[#This Row],[Uraian]])&gt;2,1," ")</f>
        <v xml:space="preserve"> </v>
      </c>
      <c r="E5128" s="113" t="str">
        <f>IF(Table1722[[#This Row],[Lawan Transaksi]]="CV AGUNG KARYA",COUNTIF($I$10:I5128,"CV AGUNG KARYA")," ")</f>
        <v xml:space="preserve"> </v>
      </c>
      <c r="F5128" s="107" t="str">
        <f>IF(LEN(Table1722[[#This Row],[Uraian]])&gt;2,TRIM(RIGHT(SUBSTITUTE(TRIM(C5128)," ",REPT(" ",255)),255))," ")</f>
        <v xml:space="preserve"> </v>
      </c>
      <c r="G5128" s="110">
        <f>COPY!Z5120</f>
        <v>0</v>
      </c>
      <c r="H5128" s="111" t="str">
        <f>IFERROR(VLOOKUP(Table1722[[#This Row],[Bukti]],'Un nOTA'!$A$4:$K$5003,10,FALSE),"")</f>
        <v/>
      </c>
      <c r="I5128" s="123" t="str">
        <f>IFERROR(VLOOKUP(Table1722[[#This Row],[Bukti]],Table13[#Data],11,FALSE),"")</f>
        <v/>
      </c>
    </row>
    <row r="5129" spans="1:9" hidden="1" x14ac:dyDescent="0.2">
      <c r="A5129" s="105" t="str">
        <f>IF(D5129=1,COUNTIF($D$10:D5129,1)," ")</f>
        <v xml:space="preserve"> </v>
      </c>
      <c r="B5129" s="106">
        <f>COPY!AR5121</f>
        <v>0</v>
      </c>
      <c r="C5129" s="107">
        <f>COPY!AC5121</f>
        <v>0</v>
      </c>
      <c r="D5129" s="107" t="str">
        <f>IF(LEN(Table1722[[#This Row],[Uraian]])&gt;2,1," ")</f>
        <v xml:space="preserve"> </v>
      </c>
      <c r="E5129" s="113" t="str">
        <f>IF(Table1722[[#This Row],[Lawan Transaksi]]="CV AGUNG KARYA",COUNTIF($I$10:I5129,"CV AGUNG KARYA")," ")</f>
        <v xml:space="preserve"> </v>
      </c>
      <c r="F5129" s="107" t="str">
        <f>IF(LEN(Table1722[[#This Row],[Uraian]])&gt;2,TRIM(RIGHT(SUBSTITUTE(TRIM(C5129)," ",REPT(" ",255)),255))," ")</f>
        <v xml:space="preserve"> </v>
      </c>
      <c r="G5129" s="110">
        <f>COPY!Z5121</f>
        <v>0</v>
      </c>
      <c r="H5129" s="111" t="str">
        <f>IFERROR(VLOOKUP(Table1722[[#This Row],[Bukti]],'Un nOTA'!$A$4:$K$5003,10,FALSE),"")</f>
        <v/>
      </c>
      <c r="I5129" s="123" t="str">
        <f>IFERROR(VLOOKUP(Table1722[[#This Row],[Bukti]],Table13[#Data],11,FALSE),"")</f>
        <v/>
      </c>
    </row>
    <row r="5130" spans="1:9" hidden="1" x14ac:dyDescent="0.2">
      <c r="A5130" s="105" t="str">
        <f>IF(D5130=1,COUNTIF($D$10:D5130,1)," ")</f>
        <v xml:space="preserve"> </v>
      </c>
      <c r="B5130" s="106">
        <f>COPY!AR5122</f>
        <v>0</v>
      </c>
      <c r="C5130" s="107">
        <f>COPY!AC5122</f>
        <v>0</v>
      </c>
      <c r="D5130" s="107" t="str">
        <f>IF(LEN(Table1722[[#This Row],[Uraian]])&gt;2,1," ")</f>
        <v xml:space="preserve"> </v>
      </c>
      <c r="E5130" s="113" t="str">
        <f>IF(Table1722[[#This Row],[Lawan Transaksi]]="CV AGUNG KARYA",COUNTIF($I$10:I5130,"CV AGUNG KARYA")," ")</f>
        <v xml:space="preserve"> </v>
      </c>
      <c r="F5130" s="107" t="str">
        <f>IF(LEN(Table1722[[#This Row],[Uraian]])&gt;2,TRIM(RIGHT(SUBSTITUTE(TRIM(C5130)," ",REPT(" ",255)),255))," ")</f>
        <v xml:space="preserve"> </v>
      </c>
      <c r="G5130" s="110">
        <f>COPY!Z5122</f>
        <v>0</v>
      </c>
      <c r="H5130" s="111" t="str">
        <f>IFERROR(VLOOKUP(Table1722[[#This Row],[Bukti]],'Un nOTA'!$A$4:$K$5003,10,FALSE),"")</f>
        <v/>
      </c>
      <c r="I5130" s="123" t="str">
        <f>IFERROR(VLOOKUP(Table1722[[#This Row],[Bukti]],Table13[#Data],11,FALSE),"")</f>
        <v/>
      </c>
    </row>
    <row r="5131" spans="1:9" hidden="1" x14ac:dyDescent="0.2">
      <c r="A5131" s="105" t="str">
        <f>IF(D5131=1,COUNTIF($D$10:D5131,1)," ")</f>
        <v xml:space="preserve"> </v>
      </c>
      <c r="B5131" s="106">
        <f>COPY!AR5123</f>
        <v>0</v>
      </c>
      <c r="C5131" s="107">
        <f>COPY!AC5123</f>
        <v>0</v>
      </c>
      <c r="D5131" s="107" t="str">
        <f>IF(LEN(Table1722[[#This Row],[Uraian]])&gt;2,1," ")</f>
        <v xml:space="preserve"> </v>
      </c>
      <c r="E5131" s="113" t="str">
        <f>IF(Table1722[[#This Row],[Lawan Transaksi]]="CV AGUNG KARYA",COUNTIF($I$10:I5131,"CV AGUNG KARYA")," ")</f>
        <v xml:space="preserve"> </v>
      </c>
      <c r="F5131" s="107" t="str">
        <f>IF(LEN(Table1722[[#This Row],[Uraian]])&gt;2,TRIM(RIGHT(SUBSTITUTE(TRIM(C5131)," ",REPT(" ",255)),255))," ")</f>
        <v xml:space="preserve"> </v>
      </c>
      <c r="G5131" s="110">
        <f>COPY!Z5123</f>
        <v>0</v>
      </c>
      <c r="H5131" s="111" t="str">
        <f>IFERROR(VLOOKUP(Table1722[[#This Row],[Bukti]],'Un nOTA'!$A$4:$K$5003,10,FALSE),"")</f>
        <v/>
      </c>
      <c r="I5131" s="123" t="str">
        <f>IFERROR(VLOOKUP(Table1722[[#This Row],[Bukti]],Table13[#Data],11,FALSE),"")</f>
        <v/>
      </c>
    </row>
    <row r="5132" spans="1:9" hidden="1" x14ac:dyDescent="0.2">
      <c r="A5132" s="105" t="str">
        <f>IF(D5132=1,COUNTIF($D$10:D5132,1)," ")</f>
        <v xml:space="preserve"> </v>
      </c>
      <c r="B5132" s="106">
        <f>COPY!AR5124</f>
        <v>0</v>
      </c>
      <c r="C5132" s="107">
        <f>COPY!AC5124</f>
        <v>0</v>
      </c>
      <c r="D5132" s="107" t="str">
        <f>IF(LEN(Table1722[[#This Row],[Uraian]])&gt;2,1," ")</f>
        <v xml:space="preserve"> </v>
      </c>
      <c r="E5132" s="113" t="str">
        <f>IF(Table1722[[#This Row],[Lawan Transaksi]]="CV AGUNG KARYA",COUNTIF($I$10:I5132,"CV AGUNG KARYA")," ")</f>
        <v xml:space="preserve"> </v>
      </c>
      <c r="F5132" s="107" t="str">
        <f>IF(LEN(Table1722[[#This Row],[Uraian]])&gt;2,TRIM(RIGHT(SUBSTITUTE(TRIM(C5132)," ",REPT(" ",255)),255))," ")</f>
        <v xml:space="preserve"> </v>
      </c>
      <c r="G5132" s="110">
        <f>COPY!Z5124</f>
        <v>0</v>
      </c>
      <c r="H5132" s="111" t="str">
        <f>IFERROR(VLOOKUP(Table1722[[#This Row],[Bukti]],'Un nOTA'!$A$4:$K$5003,10,FALSE),"")</f>
        <v/>
      </c>
      <c r="I5132" s="123" t="str">
        <f>IFERROR(VLOOKUP(Table1722[[#This Row],[Bukti]],Table13[#Data],11,FALSE),"")</f>
        <v/>
      </c>
    </row>
    <row r="5133" spans="1:9" hidden="1" x14ac:dyDescent="0.2">
      <c r="A5133" s="105" t="str">
        <f>IF(D5133=1,COUNTIF($D$10:D5133,1)," ")</f>
        <v xml:space="preserve"> </v>
      </c>
      <c r="B5133" s="106">
        <f>COPY!AR5125</f>
        <v>0</v>
      </c>
      <c r="C5133" s="107">
        <f>COPY!AC5125</f>
        <v>0</v>
      </c>
      <c r="D5133" s="107" t="str">
        <f>IF(LEN(Table1722[[#This Row],[Uraian]])&gt;2,1," ")</f>
        <v xml:space="preserve"> </v>
      </c>
      <c r="E5133" s="113" t="str">
        <f>IF(Table1722[[#This Row],[Lawan Transaksi]]="CV AGUNG KARYA",COUNTIF($I$10:I5133,"CV AGUNG KARYA")," ")</f>
        <v xml:space="preserve"> </v>
      </c>
      <c r="F5133" s="107" t="str">
        <f>IF(LEN(Table1722[[#This Row],[Uraian]])&gt;2,TRIM(RIGHT(SUBSTITUTE(TRIM(C5133)," ",REPT(" ",255)),255))," ")</f>
        <v xml:space="preserve"> </v>
      </c>
      <c r="G5133" s="110">
        <f>COPY!Z5125</f>
        <v>0</v>
      </c>
      <c r="H5133" s="111" t="str">
        <f>IFERROR(VLOOKUP(Table1722[[#This Row],[Bukti]],'Un nOTA'!$A$4:$K$5003,10,FALSE),"")</f>
        <v/>
      </c>
      <c r="I5133" s="123" t="str">
        <f>IFERROR(VLOOKUP(Table1722[[#This Row],[Bukti]],Table13[#Data],11,FALSE),"")</f>
        <v/>
      </c>
    </row>
    <row r="5134" spans="1:9" hidden="1" x14ac:dyDescent="0.2">
      <c r="A5134" s="105" t="str">
        <f>IF(D5134=1,COUNTIF($D$10:D5134,1)," ")</f>
        <v xml:space="preserve"> </v>
      </c>
      <c r="B5134" s="106">
        <f>COPY!AR5126</f>
        <v>0</v>
      </c>
      <c r="C5134" s="107">
        <f>COPY!AC5126</f>
        <v>0</v>
      </c>
      <c r="D5134" s="107" t="str">
        <f>IF(LEN(Table1722[[#This Row],[Uraian]])&gt;2,1," ")</f>
        <v xml:space="preserve"> </v>
      </c>
      <c r="E5134" s="113" t="str">
        <f>IF(Table1722[[#This Row],[Lawan Transaksi]]="CV AGUNG KARYA",COUNTIF($I$10:I5134,"CV AGUNG KARYA")," ")</f>
        <v xml:space="preserve"> </v>
      </c>
      <c r="F5134" s="107" t="str">
        <f>IF(LEN(Table1722[[#This Row],[Uraian]])&gt;2,TRIM(RIGHT(SUBSTITUTE(TRIM(C5134)," ",REPT(" ",255)),255))," ")</f>
        <v xml:space="preserve"> </v>
      </c>
      <c r="G5134" s="110">
        <f>COPY!Z5126</f>
        <v>0</v>
      </c>
      <c r="H5134" s="111" t="str">
        <f>IFERROR(VLOOKUP(Table1722[[#This Row],[Bukti]],'Un nOTA'!$A$4:$K$5003,10,FALSE),"")</f>
        <v/>
      </c>
      <c r="I5134" s="123" t="str">
        <f>IFERROR(VLOOKUP(Table1722[[#This Row],[Bukti]],Table13[#Data],11,FALSE),"")</f>
        <v/>
      </c>
    </row>
    <row r="5135" spans="1:9" hidden="1" x14ac:dyDescent="0.2">
      <c r="A5135" s="105" t="str">
        <f>IF(D5135=1,COUNTIF($D$10:D5135,1)," ")</f>
        <v xml:space="preserve"> </v>
      </c>
      <c r="B5135" s="106">
        <f>COPY!AR5127</f>
        <v>0</v>
      </c>
      <c r="C5135" s="107">
        <f>COPY!AC5127</f>
        <v>0</v>
      </c>
      <c r="D5135" s="107" t="str">
        <f>IF(LEN(Table1722[[#This Row],[Uraian]])&gt;2,1," ")</f>
        <v xml:space="preserve"> </v>
      </c>
      <c r="E5135" s="113" t="str">
        <f>IF(Table1722[[#This Row],[Lawan Transaksi]]="CV AGUNG KARYA",COUNTIF($I$10:I5135,"CV AGUNG KARYA")," ")</f>
        <v xml:space="preserve"> </v>
      </c>
      <c r="F5135" s="107" t="str">
        <f>IF(LEN(Table1722[[#This Row],[Uraian]])&gt;2,TRIM(RIGHT(SUBSTITUTE(TRIM(C5135)," ",REPT(" ",255)),255))," ")</f>
        <v xml:space="preserve"> </v>
      </c>
      <c r="G5135" s="110">
        <f>COPY!Z5127</f>
        <v>0</v>
      </c>
      <c r="H5135" s="111" t="str">
        <f>IFERROR(VLOOKUP(Table1722[[#This Row],[Bukti]],'Un nOTA'!$A$4:$K$5003,10,FALSE),"")</f>
        <v/>
      </c>
      <c r="I5135" s="123" t="str">
        <f>IFERROR(VLOOKUP(Table1722[[#This Row],[Bukti]],Table13[#Data],11,FALSE),"")</f>
        <v/>
      </c>
    </row>
    <row r="5136" spans="1:9" hidden="1" x14ac:dyDescent="0.2">
      <c r="A5136" s="105" t="str">
        <f>IF(D5136=1,COUNTIF($D$10:D5136,1)," ")</f>
        <v xml:space="preserve"> </v>
      </c>
      <c r="B5136" s="106">
        <f>COPY!AR5128</f>
        <v>0</v>
      </c>
      <c r="C5136" s="107">
        <f>COPY!AC5128</f>
        <v>0</v>
      </c>
      <c r="D5136" s="107" t="str">
        <f>IF(LEN(Table1722[[#This Row],[Uraian]])&gt;2,1," ")</f>
        <v xml:space="preserve"> </v>
      </c>
      <c r="E5136" s="113" t="str">
        <f>IF(Table1722[[#This Row],[Lawan Transaksi]]="CV AGUNG KARYA",COUNTIF($I$10:I5136,"CV AGUNG KARYA")," ")</f>
        <v xml:space="preserve"> </v>
      </c>
      <c r="F5136" s="107" t="str">
        <f>IF(LEN(Table1722[[#This Row],[Uraian]])&gt;2,TRIM(RIGHT(SUBSTITUTE(TRIM(C5136)," ",REPT(" ",255)),255))," ")</f>
        <v xml:space="preserve"> </v>
      </c>
      <c r="G5136" s="110">
        <f>COPY!Z5128</f>
        <v>0</v>
      </c>
      <c r="H5136" s="111" t="str">
        <f>IFERROR(VLOOKUP(Table1722[[#This Row],[Bukti]],'Un nOTA'!$A$4:$K$5003,10,FALSE),"")</f>
        <v/>
      </c>
      <c r="I5136" s="123" t="str">
        <f>IFERROR(VLOOKUP(Table1722[[#This Row],[Bukti]],Table13[#Data],11,FALSE),"")</f>
        <v/>
      </c>
    </row>
    <row r="5137" spans="1:9" hidden="1" x14ac:dyDescent="0.2">
      <c r="A5137" s="105" t="str">
        <f>IF(D5137=1,COUNTIF($D$10:D5137,1)," ")</f>
        <v xml:space="preserve"> </v>
      </c>
      <c r="B5137" s="106">
        <f>COPY!AR5129</f>
        <v>0</v>
      </c>
      <c r="C5137" s="107">
        <f>COPY!AC5129</f>
        <v>0</v>
      </c>
      <c r="D5137" s="107" t="str">
        <f>IF(LEN(Table1722[[#This Row],[Uraian]])&gt;2,1," ")</f>
        <v xml:space="preserve"> </v>
      </c>
      <c r="E5137" s="113" t="str">
        <f>IF(Table1722[[#This Row],[Lawan Transaksi]]="CV AGUNG KARYA",COUNTIF($I$10:I5137,"CV AGUNG KARYA")," ")</f>
        <v xml:space="preserve"> </v>
      </c>
      <c r="F5137" s="107" t="str">
        <f>IF(LEN(Table1722[[#This Row],[Uraian]])&gt;2,TRIM(RIGHT(SUBSTITUTE(TRIM(C5137)," ",REPT(" ",255)),255))," ")</f>
        <v xml:space="preserve"> </v>
      </c>
      <c r="G5137" s="110">
        <f>COPY!Z5129</f>
        <v>0</v>
      </c>
      <c r="H5137" s="111" t="str">
        <f>IFERROR(VLOOKUP(Table1722[[#This Row],[Bukti]],'Un nOTA'!$A$4:$K$5003,10,FALSE),"")</f>
        <v/>
      </c>
      <c r="I5137" s="123" t="str">
        <f>IFERROR(VLOOKUP(Table1722[[#This Row],[Bukti]],Table13[#Data],11,FALSE),"")</f>
        <v/>
      </c>
    </row>
    <row r="5138" spans="1:9" hidden="1" x14ac:dyDescent="0.2">
      <c r="A5138" s="105" t="str">
        <f>IF(D5138=1,COUNTIF($D$10:D5138,1)," ")</f>
        <v xml:space="preserve"> </v>
      </c>
      <c r="B5138" s="106">
        <f>COPY!AR5130</f>
        <v>0</v>
      </c>
      <c r="C5138" s="107">
        <f>COPY!AC5130</f>
        <v>0</v>
      </c>
      <c r="D5138" s="107" t="str">
        <f>IF(LEN(Table1722[[#This Row],[Uraian]])&gt;2,1," ")</f>
        <v xml:space="preserve"> </v>
      </c>
      <c r="E5138" s="113" t="str">
        <f>IF(Table1722[[#This Row],[Lawan Transaksi]]="CV AGUNG KARYA",COUNTIF($I$10:I5138,"CV AGUNG KARYA")," ")</f>
        <v xml:space="preserve"> </v>
      </c>
      <c r="F5138" s="107" t="str">
        <f>IF(LEN(Table1722[[#This Row],[Uraian]])&gt;2,TRIM(RIGHT(SUBSTITUTE(TRIM(C5138)," ",REPT(" ",255)),255))," ")</f>
        <v xml:space="preserve"> </v>
      </c>
      <c r="G5138" s="110">
        <f>COPY!Z5130</f>
        <v>0</v>
      </c>
      <c r="H5138" s="111" t="str">
        <f>IFERROR(VLOOKUP(Table1722[[#This Row],[Bukti]],'Un nOTA'!$A$4:$K$5003,10,FALSE),"")</f>
        <v/>
      </c>
      <c r="I5138" s="123" t="str">
        <f>IFERROR(VLOOKUP(Table1722[[#This Row],[Bukti]],Table13[#Data],11,FALSE),"")</f>
        <v/>
      </c>
    </row>
    <row r="5139" spans="1:9" hidden="1" x14ac:dyDescent="0.2">
      <c r="A5139" s="105" t="str">
        <f>IF(D5139=1,COUNTIF($D$10:D5139,1)," ")</f>
        <v xml:space="preserve"> </v>
      </c>
      <c r="B5139" s="106">
        <f>COPY!AR5131</f>
        <v>0</v>
      </c>
      <c r="C5139" s="107">
        <f>COPY!AC5131</f>
        <v>0</v>
      </c>
      <c r="D5139" s="107" t="str">
        <f>IF(LEN(Table1722[[#This Row],[Uraian]])&gt;2,1," ")</f>
        <v xml:space="preserve"> </v>
      </c>
      <c r="E5139" s="113" t="str">
        <f>IF(Table1722[[#This Row],[Lawan Transaksi]]="CV AGUNG KARYA",COUNTIF($I$10:I5139,"CV AGUNG KARYA")," ")</f>
        <v xml:space="preserve"> </v>
      </c>
      <c r="F5139" s="107" t="str">
        <f>IF(LEN(Table1722[[#This Row],[Uraian]])&gt;2,TRIM(RIGHT(SUBSTITUTE(TRIM(C5139)," ",REPT(" ",255)),255))," ")</f>
        <v xml:space="preserve"> </v>
      </c>
      <c r="G5139" s="110">
        <f>COPY!Z5131</f>
        <v>0</v>
      </c>
      <c r="H5139" s="111" t="str">
        <f>IFERROR(VLOOKUP(Table1722[[#This Row],[Bukti]],'Un nOTA'!$A$4:$K$5003,10,FALSE),"")</f>
        <v/>
      </c>
      <c r="I5139" s="123" t="str">
        <f>IFERROR(VLOOKUP(Table1722[[#This Row],[Bukti]],Table13[#Data],11,FALSE),"")</f>
        <v/>
      </c>
    </row>
    <row r="5140" spans="1:9" hidden="1" x14ac:dyDescent="0.2">
      <c r="A5140" s="105" t="str">
        <f>IF(D5140=1,COUNTIF($D$10:D5140,1)," ")</f>
        <v xml:space="preserve"> </v>
      </c>
      <c r="B5140" s="106">
        <f>COPY!AR5132</f>
        <v>0</v>
      </c>
      <c r="C5140" s="107">
        <f>COPY!AC5132</f>
        <v>0</v>
      </c>
      <c r="D5140" s="107" t="str">
        <f>IF(LEN(Table1722[[#This Row],[Uraian]])&gt;2,1," ")</f>
        <v xml:space="preserve"> </v>
      </c>
      <c r="E5140" s="113" t="str">
        <f>IF(Table1722[[#This Row],[Lawan Transaksi]]="CV AGUNG KARYA",COUNTIF($I$10:I5140,"CV AGUNG KARYA")," ")</f>
        <v xml:space="preserve"> </v>
      </c>
      <c r="F5140" s="107" t="str">
        <f>IF(LEN(Table1722[[#This Row],[Uraian]])&gt;2,TRIM(RIGHT(SUBSTITUTE(TRIM(C5140)," ",REPT(" ",255)),255))," ")</f>
        <v xml:space="preserve"> </v>
      </c>
      <c r="G5140" s="110">
        <f>COPY!Z5132</f>
        <v>0</v>
      </c>
      <c r="H5140" s="111" t="str">
        <f>IFERROR(VLOOKUP(Table1722[[#This Row],[Bukti]],'Un nOTA'!$A$4:$K$5003,10,FALSE),"")</f>
        <v/>
      </c>
      <c r="I5140" s="123" t="str">
        <f>IFERROR(VLOOKUP(Table1722[[#This Row],[Bukti]],Table13[#Data],11,FALSE),"")</f>
        <v/>
      </c>
    </row>
    <row r="5141" spans="1:9" hidden="1" x14ac:dyDescent="0.2">
      <c r="A5141" s="105" t="str">
        <f>IF(D5141=1,COUNTIF($D$10:D5141,1)," ")</f>
        <v xml:space="preserve"> </v>
      </c>
      <c r="B5141" s="106">
        <f>COPY!AR5133</f>
        <v>0</v>
      </c>
      <c r="C5141" s="107">
        <f>COPY!AC5133</f>
        <v>0</v>
      </c>
      <c r="D5141" s="107" t="str">
        <f>IF(LEN(Table1722[[#This Row],[Uraian]])&gt;2,1," ")</f>
        <v xml:space="preserve"> </v>
      </c>
      <c r="E5141" s="113" t="str">
        <f>IF(Table1722[[#This Row],[Lawan Transaksi]]="CV AGUNG KARYA",COUNTIF($I$10:I5141,"CV AGUNG KARYA")," ")</f>
        <v xml:space="preserve"> </v>
      </c>
      <c r="F5141" s="107" t="str">
        <f>IF(LEN(Table1722[[#This Row],[Uraian]])&gt;2,TRIM(RIGHT(SUBSTITUTE(TRIM(C5141)," ",REPT(" ",255)),255))," ")</f>
        <v xml:space="preserve"> </v>
      </c>
      <c r="G5141" s="110">
        <f>COPY!Z5133</f>
        <v>0</v>
      </c>
      <c r="H5141" s="111" t="str">
        <f>IFERROR(VLOOKUP(Table1722[[#This Row],[Bukti]],'Un nOTA'!$A$4:$K$5003,10,FALSE),"")</f>
        <v/>
      </c>
      <c r="I5141" s="123" t="str">
        <f>IFERROR(VLOOKUP(Table1722[[#This Row],[Bukti]],Table13[#Data],11,FALSE),"")</f>
        <v/>
      </c>
    </row>
    <row r="5142" spans="1:9" hidden="1" x14ac:dyDescent="0.2">
      <c r="A5142" s="105" t="str">
        <f>IF(D5142=1,COUNTIF($D$10:D5142,1)," ")</f>
        <v xml:space="preserve"> </v>
      </c>
      <c r="B5142" s="106">
        <f>COPY!AR5134</f>
        <v>0</v>
      </c>
      <c r="C5142" s="107">
        <f>COPY!AC5134</f>
        <v>0</v>
      </c>
      <c r="D5142" s="107" t="str">
        <f>IF(LEN(Table1722[[#This Row],[Uraian]])&gt;2,1," ")</f>
        <v xml:space="preserve"> </v>
      </c>
      <c r="E5142" s="113" t="str">
        <f>IF(Table1722[[#This Row],[Lawan Transaksi]]="CV AGUNG KARYA",COUNTIF($I$10:I5142,"CV AGUNG KARYA")," ")</f>
        <v xml:space="preserve"> </v>
      </c>
      <c r="F5142" s="107" t="str">
        <f>IF(LEN(Table1722[[#This Row],[Uraian]])&gt;2,TRIM(RIGHT(SUBSTITUTE(TRIM(C5142)," ",REPT(" ",255)),255))," ")</f>
        <v xml:space="preserve"> </v>
      </c>
      <c r="G5142" s="110">
        <f>COPY!Z5134</f>
        <v>0</v>
      </c>
      <c r="H5142" s="111" t="str">
        <f>IFERROR(VLOOKUP(Table1722[[#This Row],[Bukti]],'Un nOTA'!$A$4:$K$5003,10,FALSE),"")</f>
        <v/>
      </c>
      <c r="I5142" s="123" t="str">
        <f>IFERROR(VLOOKUP(Table1722[[#This Row],[Bukti]],Table13[#Data],11,FALSE),"")</f>
        <v/>
      </c>
    </row>
    <row r="5143" spans="1:9" hidden="1" x14ac:dyDescent="0.2">
      <c r="A5143" s="105" t="str">
        <f>IF(D5143=1,COUNTIF($D$10:D5143,1)," ")</f>
        <v xml:space="preserve"> </v>
      </c>
      <c r="B5143" s="106">
        <f>COPY!AR5135</f>
        <v>0</v>
      </c>
      <c r="C5143" s="107">
        <f>COPY!AC5135</f>
        <v>0</v>
      </c>
      <c r="D5143" s="107" t="str">
        <f>IF(LEN(Table1722[[#This Row],[Uraian]])&gt;2,1," ")</f>
        <v xml:space="preserve"> </v>
      </c>
      <c r="E5143" s="113" t="str">
        <f>IF(Table1722[[#This Row],[Lawan Transaksi]]="CV AGUNG KARYA",COUNTIF($I$10:I5143,"CV AGUNG KARYA")," ")</f>
        <v xml:space="preserve"> </v>
      </c>
      <c r="F5143" s="107" t="str">
        <f>IF(LEN(Table1722[[#This Row],[Uraian]])&gt;2,TRIM(RIGHT(SUBSTITUTE(TRIM(C5143)," ",REPT(" ",255)),255))," ")</f>
        <v xml:space="preserve"> </v>
      </c>
      <c r="G5143" s="110">
        <f>COPY!Z5135</f>
        <v>0</v>
      </c>
      <c r="H5143" s="111" t="str">
        <f>IFERROR(VLOOKUP(Table1722[[#This Row],[Bukti]],'Un nOTA'!$A$4:$K$5003,10,FALSE),"")</f>
        <v/>
      </c>
      <c r="I5143" s="123" t="str">
        <f>IFERROR(VLOOKUP(Table1722[[#This Row],[Bukti]],Table13[#Data],11,FALSE),"")</f>
        <v/>
      </c>
    </row>
    <row r="5144" spans="1:9" hidden="1" x14ac:dyDescent="0.2">
      <c r="A5144" s="105" t="str">
        <f>IF(D5144=1,COUNTIF($D$10:D5144,1)," ")</f>
        <v xml:space="preserve"> </v>
      </c>
      <c r="B5144" s="106">
        <f>COPY!AR5136</f>
        <v>0</v>
      </c>
      <c r="C5144" s="107">
        <f>COPY!AC5136</f>
        <v>0</v>
      </c>
      <c r="D5144" s="107" t="str">
        <f>IF(LEN(Table1722[[#This Row],[Uraian]])&gt;2,1," ")</f>
        <v xml:space="preserve"> </v>
      </c>
      <c r="E5144" s="113" t="str">
        <f>IF(Table1722[[#This Row],[Lawan Transaksi]]="CV AGUNG KARYA",COUNTIF($I$10:I5144,"CV AGUNG KARYA")," ")</f>
        <v xml:space="preserve"> </v>
      </c>
      <c r="F5144" s="107" t="str">
        <f>IF(LEN(Table1722[[#This Row],[Uraian]])&gt;2,TRIM(RIGHT(SUBSTITUTE(TRIM(C5144)," ",REPT(" ",255)),255))," ")</f>
        <v xml:space="preserve"> </v>
      </c>
      <c r="G5144" s="110">
        <f>COPY!Z5136</f>
        <v>0</v>
      </c>
      <c r="H5144" s="111" t="str">
        <f>IFERROR(VLOOKUP(Table1722[[#This Row],[Bukti]],'Un nOTA'!$A$4:$K$5003,10,FALSE),"")</f>
        <v/>
      </c>
      <c r="I5144" s="123" t="str">
        <f>IFERROR(VLOOKUP(Table1722[[#This Row],[Bukti]],Table13[#Data],11,FALSE),"")</f>
        <v/>
      </c>
    </row>
    <row r="5145" spans="1:9" hidden="1" x14ac:dyDescent="0.2">
      <c r="A5145" s="105" t="str">
        <f>IF(D5145=1,COUNTIF($D$10:D5145,1)," ")</f>
        <v xml:space="preserve"> </v>
      </c>
      <c r="B5145" s="106">
        <f>COPY!AR5137</f>
        <v>0</v>
      </c>
      <c r="C5145" s="107">
        <f>COPY!AC5137</f>
        <v>0</v>
      </c>
      <c r="D5145" s="107" t="str">
        <f>IF(LEN(Table1722[[#This Row],[Uraian]])&gt;2,1," ")</f>
        <v xml:space="preserve"> </v>
      </c>
      <c r="E5145" s="113" t="str">
        <f>IF(Table1722[[#This Row],[Lawan Transaksi]]="CV AGUNG KARYA",COUNTIF($I$10:I5145,"CV AGUNG KARYA")," ")</f>
        <v xml:space="preserve"> </v>
      </c>
      <c r="F5145" s="107" t="str">
        <f>IF(LEN(Table1722[[#This Row],[Uraian]])&gt;2,TRIM(RIGHT(SUBSTITUTE(TRIM(C5145)," ",REPT(" ",255)),255))," ")</f>
        <v xml:space="preserve"> </v>
      </c>
      <c r="G5145" s="110">
        <f>COPY!Z5137</f>
        <v>0</v>
      </c>
      <c r="H5145" s="111" t="str">
        <f>IFERROR(VLOOKUP(Table1722[[#This Row],[Bukti]],'Un nOTA'!$A$4:$K$5003,10,FALSE),"")</f>
        <v/>
      </c>
      <c r="I5145" s="123" t="str">
        <f>IFERROR(VLOOKUP(Table1722[[#This Row],[Bukti]],Table13[#Data],11,FALSE),"")</f>
        <v/>
      </c>
    </row>
    <row r="5146" spans="1:9" hidden="1" x14ac:dyDescent="0.2">
      <c r="A5146" s="105" t="str">
        <f>IF(D5146=1,COUNTIF($D$10:D5146,1)," ")</f>
        <v xml:space="preserve"> </v>
      </c>
      <c r="B5146" s="106">
        <f>COPY!AR5138</f>
        <v>0</v>
      </c>
      <c r="C5146" s="107">
        <f>COPY!AC5138</f>
        <v>0</v>
      </c>
      <c r="D5146" s="107" t="str">
        <f>IF(LEN(Table1722[[#This Row],[Uraian]])&gt;2,1," ")</f>
        <v xml:space="preserve"> </v>
      </c>
      <c r="E5146" s="113" t="str">
        <f>IF(Table1722[[#This Row],[Lawan Transaksi]]="CV AGUNG KARYA",COUNTIF($I$10:I5146,"CV AGUNG KARYA")," ")</f>
        <v xml:space="preserve"> </v>
      </c>
      <c r="F5146" s="107" t="str">
        <f>IF(LEN(Table1722[[#This Row],[Uraian]])&gt;2,TRIM(RIGHT(SUBSTITUTE(TRIM(C5146)," ",REPT(" ",255)),255))," ")</f>
        <v xml:space="preserve"> </v>
      </c>
      <c r="G5146" s="110">
        <f>COPY!Z5138</f>
        <v>0</v>
      </c>
      <c r="H5146" s="111" t="str">
        <f>IFERROR(VLOOKUP(Table1722[[#This Row],[Bukti]],'Un nOTA'!$A$4:$K$5003,10,FALSE),"")</f>
        <v/>
      </c>
      <c r="I5146" s="123" t="str">
        <f>IFERROR(VLOOKUP(Table1722[[#This Row],[Bukti]],Table13[#Data],11,FALSE),"")</f>
        <v/>
      </c>
    </row>
    <row r="5147" spans="1:9" hidden="1" x14ac:dyDescent="0.2">
      <c r="A5147" s="105" t="str">
        <f>IF(D5147=1,COUNTIF($D$10:D5147,1)," ")</f>
        <v xml:space="preserve"> </v>
      </c>
      <c r="B5147" s="106">
        <f>COPY!AR5139</f>
        <v>0</v>
      </c>
      <c r="C5147" s="107">
        <f>COPY!AC5139</f>
        <v>0</v>
      </c>
      <c r="D5147" s="107" t="str">
        <f>IF(LEN(Table1722[[#This Row],[Uraian]])&gt;2,1," ")</f>
        <v xml:space="preserve"> </v>
      </c>
      <c r="E5147" s="113" t="str">
        <f>IF(Table1722[[#This Row],[Lawan Transaksi]]="CV AGUNG KARYA",COUNTIF($I$10:I5147,"CV AGUNG KARYA")," ")</f>
        <v xml:space="preserve"> </v>
      </c>
      <c r="F5147" s="107" t="str">
        <f>IF(LEN(Table1722[[#This Row],[Uraian]])&gt;2,TRIM(RIGHT(SUBSTITUTE(TRIM(C5147)," ",REPT(" ",255)),255))," ")</f>
        <v xml:space="preserve"> </v>
      </c>
      <c r="G5147" s="110">
        <f>COPY!Z5139</f>
        <v>0</v>
      </c>
      <c r="H5147" s="111" t="str">
        <f>IFERROR(VLOOKUP(Table1722[[#This Row],[Bukti]],'Un nOTA'!$A$4:$K$5003,10,FALSE),"")</f>
        <v/>
      </c>
      <c r="I5147" s="123" t="str">
        <f>IFERROR(VLOOKUP(Table1722[[#This Row],[Bukti]],Table13[#Data],11,FALSE),"")</f>
        <v/>
      </c>
    </row>
    <row r="5148" spans="1:9" hidden="1" x14ac:dyDescent="0.2">
      <c r="A5148" s="105" t="str">
        <f>IF(D5148=1,COUNTIF($D$10:D5148,1)," ")</f>
        <v xml:space="preserve"> </v>
      </c>
      <c r="B5148" s="106">
        <f>COPY!AR5140</f>
        <v>0</v>
      </c>
      <c r="C5148" s="107">
        <f>COPY!AC5140</f>
        <v>0</v>
      </c>
      <c r="D5148" s="107" t="str">
        <f>IF(LEN(Table1722[[#This Row],[Uraian]])&gt;2,1," ")</f>
        <v xml:space="preserve"> </v>
      </c>
      <c r="E5148" s="113" t="str">
        <f>IF(Table1722[[#This Row],[Lawan Transaksi]]="CV AGUNG KARYA",COUNTIF($I$10:I5148,"CV AGUNG KARYA")," ")</f>
        <v xml:space="preserve"> </v>
      </c>
      <c r="F5148" s="107" t="str">
        <f>IF(LEN(Table1722[[#This Row],[Uraian]])&gt;2,TRIM(RIGHT(SUBSTITUTE(TRIM(C5148)," ",REPT(" ",255)),255))," ")</f>
        <v xml:space="preserve"> </v>
      </c>
      <c r="G5148" s="110">
        <f>COPY!Z5140</f>
        <v>0</v>
      </c>
      <c r="H5148" s="111" t="str">
        <f>IFERROR(VLOOKUP(Table1722[[#This Row],[Bukti]],'Un nOTA'!$A$4:$K$5003,10,FALSE),"")</f>
        <v/>
      </c>
      <c r="I5148" s="123" t="str">
        <f>IFERROR(VLOOKUP(Table1722[[#This Row],[Bukti]],Table13[#Data],11,FALSE),"")</f>
        <v/>
      </c>
    </row>
    <row r="5149" spans="1:9" hidden="1" x14ac:dyDescent="0.2">
      <c r="A5149" s="105" t="str">
        <f>IF(D5149=1,COUNTIF($D$10:D5149,1)," ")</f>
        <v xml:space="preserve"> </v>
      </c>
      <c r="B5149" s="106">
        <f>COPY!AR5141</f>
        <v>0</v>
      </c>
      <c r="C5149" s="107">
        <f>COPY!AC5141</f>
        <v>0</v>
      </c>
      <c r="D5149" s="107" t="str">
        <f>IF(LEN(Table1722[[#This Row],[Uraian]])&gt;2,1," ")</f>
        <v xml:space="preserve"> </v>
      </c>
      <c r="E5149" s="113" t="str">
        <f>IF(Table1722[[#This Row],[Lawan Transaksi]]="CV AGUNG KARYA",COUNTIF($I$10:I5149,"CV AGUNG KARYA")," ")</f>
        <v xml:space="preserve"> </v>
      </c>
      <c r="F5149" s="107" t="str">
        <f>IF(LEN(Table1722[[#This Row],[Uraian]])&gt;2,TRIM(RIGHT(SUBSTITUTE(TRIM(C5149)," ",REPT(" ",255)),255))," ")</f>
        <v xml:space="preserve"> </v>
      </c>
      <c r="G5149" s="110">
        <f>COPY!Z5141</f>
        <v>0</v>
      </c>
      <c r="H5149" s="111" t="str">
        <f>IFERROR(VLOOKUP(Table1722[[#This Row],[Bukti]],'Un nOTA'!$A$4:$K$5003,10,FALSE),"")</f>
        <v/>
      </c>
      <c r="I5149" s="123" t="str">
        <f>IFERROR(VLOOKUP(Table1722[[#This Row],[Bukti]],Table13[#Data],11,FALSE),"")</f>
        <v/>
      </c>
    </row>
    <row r="5150" spans="1:9" hidden="1" x14ac:dyDescent="0.2">
      <c r="A5150" s="105" t="str">
        <f>IF(D5150=1,COUNTIF($D$10:D5150,1)," ")</f>
        <v xml:space="preserve"> </v>
      </c>
      <c r="B5150" s="106">
        <f>COPY!AR5142</f>
        <v>0</v>
      </c>
      <c r="C5150" s="107">
        <f>COPY!AC5142</f>
        <v>0</v>
      </c>
      <c r="D5150" s="107" t="str">
        <f>IF(LEN(Table1722[[#This Row],[Uraian]])&gt;2,1," ")</f>
        <v xml:space="preserve"> </v>
      </c>
      <c r="E5150" s="113" t="str">
        <f>IF(Table1722[[#This Row],[Lawan Transaksi]]="CV AGUNG KARYA",COUNTIF($I$10:I5150,"CV AGUNG KARYA")," ")</f>
        <v xml:space="preserve"> </v>
      </c>
      <c r="F5150" s="107" t="str">
        <f>IF(LEN(Table1722[[#This Row],[Uraian]])&gt;2,TRIM(RIGHT(SUBSTITUTE(TRIM(C5150)," ",REPT(" ",255)),255))," ")</f>
        <v xml:space="preserve"> </v>
      </c>
      <c r="G5150" s="110">
        <f>COPY!Z5142</f>
        <v>0</v>
      </c>
      <c r="H5150" s="111" t="str">
        <f>IFERROR(VLOOKUP(Table1722[[#This Row],[Bukti]],'Un nOTA'!$A$4:$K$5003,10,FALSE),"")</f>
        <v/>
      </c>
      <c r="I5150" s="123" t="str">
        <f>IFERROR(VLOOKUP(Table1722[[#This Row],[Bukti]],Table13[#Data],11,FALSE),"")</f>
        <v/>
      </c>
    </row>
    <row r="5151" spans="1:9" hidden="1" x14ac:dyDescent="0.2">
      <c r="A5151" s="105" t="str">
        <f>IF(D5151=1,COUNTIF($D$10:D5151,1)," ")</f>
        <v xml:space="preserve"> </v>
      </c>
      <c r="B5151" s="106">
        <f>COPY!AR5143</f>
        <v>0</v>
      </c>
      <c r="C5151" s="107">
        <f>COPY!AC5143</f>
        <v>0</v>
      </c>
      <c r="D5151" s="107" t="str">
        <f>IF(LEN(Table1722[[#This Row],[Uraian]])&gt;2,1," ")</f>
        <v xml:space="preserve"> </v>
      </c>
      <c r="E5151" s="113" t="str">
        <f>IF(Table1722[[#This Row],[Lawan Transaksi]]="CV AGUNG KARYA",COUNTIF($I$10:I5151,"CV AGUNG KARYA")," ")</f>
        <v xml:space="preserve"> </v>
      </c>
      <c r="F5151" s="107" t="str">
        <f>IF(LEN(Table1722[[#This Row],[Uraian]])&gt;2,TRIM(RIGHT(SUBSTITUTE(TRIM(C5151)," ",REPT(" ",255)),255))," ")</f>
        <v xml:space="preserve"> </v>
      </c>
      <c r="G5151" s="110">
        <f>COPY!Z5143</f>
        <v>0</v>
      </c>
      <c r="H5151" s="111" t="str">
        <f>IFERROR(VLOOKUP(Table1722[[#This Row],[Bukti]],'Un nOTA'!$A$4:$K$5003,10,FALSE),"")</f>
        <v/>
      </c>
      <c r="I5151" s="123" t="str">
        <f>IFERROR(VLOOKUP(Table1722[[#This Row],[Bukti]],Table13[#Data],11,FALSE),"")</f>
        <v/>
      </c>
    </row>
    <row r="5152" spans="1:9" hidden="1" x14ac:dyDescent="0.2">
      <c r="A5152" s="105" t="str">
        <f>IF(D5152=1,COUNTIF($D$10:D5152,1)," ")</f>
        <v xml:space="preserve"> </v>
      </c>
      <c r="B5152" s="106">
        <f>COPY!AR5144</f>
        <v>0</v>
      </c>
      <c r="C5152" s="107">
        <f>COPY!AC5144</f>
        <v>0</v>
      </c>
      <c r="D5152" s="107" t="str">
        <f>IF(LEN(Table1722[[#This Row],[Uraian]])&gt;2,1," ")</f>
        <v xml:space="preserve"> </v>
      </c>
      <c r="E5152" s="113" t="str">
        <f>IF(Table1722[[#This Row],[Lawan Transaksi]]="CV AGUNG KARYA",COUNTIF($I$10:I5152,"CV AGUNG KARYA")," ")</f>
        <v xml:space="preserve"> </v>
      </c>
      <c r="F5152" s="107" t="str">
        <f>IF(LEN(Table1722[[#This Row],[Uraian]])&gt;2,TRIM(RIGHT(SUBSTITUTE(TRIM(C5152)," ",REPT(" ",255)),255))," ")</f>
        <v xml:space="preserve"> </v>
      </c>
      <c r="G5152" s="110">
        <f>COPY!Z5144</f>
        <v>0</v>
      </c>
      <c r="H5152" s="111" t="str">
        <f>IFERROR(VLOOKUP(Table1722[[#This Row],[Bukti]],'Un nOTA'!$A$4:$K$5003,10,FALSE),"")</f>
        <v/>
      </c>
      <c r="I5152" s="123" t="str">
        <f>IFERROR(VLOOKUP(Table1722[[#This Row],[Bukti]],Table13[#Data],11,FALSE),"")</f>
        <v/>
      </c>
    </row>
    <row r="5153" spans="1:9" hidden="1" x14ac:dyDescent="0.2">
      <c r="A5153" s="105" t="str">
        <f>IF(D5153=1,COUNTIF($D$10:D5153,1)," ")</f>
        <v xml:space="preserve"> </v>
      </c>
      <c r="B5153" s="106">
        <f>COPY!AR5145</f>
        <v>0</v>
      </c>
      <c r="C5153" s="107">
        <f>COPY!AC5145</f>
        <v>0</v>
      </c>
      <c r="D5153" s="107" t="str">
        <f>IF(LEN(Table1722[[#This Row],[Uraian]])&gt;2,1," ")</f>
        <v xml:space="preserve"> </v>
      </c>
      <c r="E5153" s="113" t="str">
        <f>IF(Table1722[[#This Row],[Lawan Transaksi]]="CV AGUNG KARYA",COUNTIF($I$10:I5153,"CV AGUNG KARYA")," ")</f>
        <v xml:space="preserve"> </v>
      </c>
      <c r="F5153" s="107" t="str">
        <f>IF(LEN(Table1722[[#This Row],[Uraian]])&gt;2,TRIM(RIGHT(SUBSTITUTE(TRIM(C5153)," ",REPT(" ",255)),255))," ")</f>
        <v xml:space="preserve"> </v>
      </c>
      <c r="G5153" s="110">
        <f>COPY!Z5145</f>
        <v>0</v>
      </c>
      <c r="H5153" s="111" t="str">
        <f>IFERROR(VLOOKUP(Table1722[[#This Row],[Bukti]],'Un nOTA'!$A$4:$K$5003,10,FALSE),"")</f>
        <v/>
      </c>
      <c r="I5153" s="123" t="str">
        <f>IFERROR(VLOOKUP(Table1722[[#This Row],[Bukti]],Table13[#Data],11,FALSE),"")</f>
        <v/>
      </c>
    </row>
    <row r="5154" spans="1:9" hidden="1" x14ac:dyDescent="0.2">
      <c r="A5154" s="105" t="str">
        <f>IF(D5154=1,COUNTIF($D$10:D5154,1)," ")</f>
        <v xml:space="preserve"> </v>
      </c>
      <c r="B5154" s="106">
        <f>COPY!AR5146</f>
        <v>0</v>
      </c>
      <c r="C5154" s="107">
        <f>COPY!AC5146</f>
        <v>0</v>
      </c>
      <c r="D5154" s="107" t="str">
        <f>IF(LEN(Table1722[[#This Row],[Uraian]])&gt;2,1," ")</f>
        <v xml:space="preserve"> </v>
      </c>
      <c r="E5154" s="113" t="str">
        <f>IF(Table1722[[#This Row],[Lawan Transaksi]]="CV AGUNG KARYA",COUNTIF($I$10:I5154,"CV AGUNG KARYA")," ")</f>
        <v xml:space="preserve"> </v>
      </c>
      <c r="F5154" s="107" t="str">
        <f>IF(LEN(Table1722[[#This Row],[Uraian]])&gt;2,TRIM(RIGHT(SUBSTITUTE(TRIM(C5154)," ",REPT(" ",255)),255))," ")</f>
        <v xml:space="preserve"> </v>
      </c>
      <c r="G5154" s="110">
        <f>COPY!Z5146</f>
        <v>0</v>
      </c>
      <c r="H5154" s="111" t="str">
        <f>IFERROR(VLOOKUP(Table1722[[#This Row],[Bukti]],'Un nOTA'!$A$4:$K$5003,10,FALSE),"")</f>
        <v/>
      </c>
      <c r="I5154" s="123" t="str">
        <f>IFERROR(VLOOKUP(Table1722[[#This Row],[Bukti]],Table13[#Data],11,FALSE),"")</f>
        <v/>
      </c>
    </row>
    <row r="5155" spans="1:9" hidden="1" x14ac:dyDescent="0.2">
      <c r="A5155" s="105" t="str">
        <f>IF(D5155=1,COUNTIF($D$10:D5155,1)," ")</f>
        <v xml:space="preserve"> </v>
      </c>
      <c r="B5155" s="106">
        <f>COPY!AR5147</f>
        <v>0</v>
      </c>
      <c r="C5155" s="107">
        <f>COPY!AC5147</f>
        <v>0</v>
      </c>
      <c r="D5155" s="107" t="str">
        <f>IF(LEN(Table1722[[#This Row],[Uraian]])&gt;2,1," ")</f>
        <v xml:space="preserve"> </v>
      </c>
      <c r="E5155" s="113" t="str">
        <f>IF(Table1722[[#This Row],[Lawan Transaksi]]="CV AGUNG KARYA",COUNTIF($I$10:I5155,"CV AGUNG KARYA")," ")</f>
        <v xml:space="preserve"> </v>
      </c>
      <c r="F5155" s="107" t="str">
        <f>IF(LEN(Table1722[[#This Row],[Uraian]])&gt;2,TRIM(RIGHT(SUBSTITUTE(TRIM(C5155)," ",REPT(" ",255)),255))," ")</f>
        <v xml:space="preserve"> </v>
      </c>
      <c r="G5155" s="110">
        <f>COPY!Z5147</f>
        <v>0</v>
      </c>
      <c r="H5155" s="111" t="str">
        <f>IFERROR(VLOOKUP(Table1722[[#This Row],[Bukti]],'Un nOTA'!$A$4:$K$5003,10,FALSE),"")</f>
        <v/>
      </c>
      <c r="I5155" s="123" t="str">
        <f>IFERROR(VLOOKUP(Table1722[[#This Row],[Bukti]],Table13[#Data],11,FALSE),"")</f>
        <v/>
      </c>
    </row>
    <row r="5156" spans="1:9" hidden="1" x14ac:dyDescent="0.2">
      <c r="A5156" s="105" t="str">
        <f>IF(D5156=1,COUNTIF($D$10:D5156,1)," ")</f>
        <v xml:space="preserve"> </v>
      </c>
      <c r="B5156" s="106">
        <f>COPY!AR5148</f>
        <v>0</v>
      </c>
      <c r="C5156" s="107">
        <f>COPY!AC5148</f>
        <v>0</v>
      </c>
      <c r="D5156" s="107" t="str">
        <f>IF(LEN(Table1722[[#This Row],[Uraian]])&gt;2,1," ")</f>
        <v xml:space="preserve"> </v>
      </c>
      <c r="E5156" s="113" t="str">
        <f>IF(Table1722[[#This Row],[Lawan Transaksi]]="CV AGUNG KARYA",COUNTIF($I$10:I5156,"CV AGUNG KARYA")," ")</f>
        <v xml:space="preserve"> </v>
      </c>
      <c r="F5156" s="107" t="str">
        <f>IF(LEN(Table1722[[#This Row],[Uraian]])&gt;2,TRIM(RIGHT(SUBSTITUTE(TRIM(C5156)," ",REPT(" ",255)),255))," ")</f>
        <v xml:space="preserve"> </v>
      </c>
      <c r="G5156" s="110">
        <f>COPY!Z5148</f>
        <v>0</v>
      </c>
      <c r="H5156" s="111" t="str">
        <f>IFERROR(VLOOKUP(Table1722[[#This Row],[Bukti]],'Un nOTA'!$A$4:$K$5003,10,FALSE),"")</f>
        <v/>
      </c>
      <c r="I5156" s="123" t="str">
        <f>IFERROR(VLOOKUP(Table1722[[#This Row],[Bukti]],Table13[#Data],11,FALSE),"")</f>
        <v/>
      </c>
    </row>
    <row r="5157" spans="1:9" hidden="1" x14ac:dyDescent="0.2">
      <c r="A5157" s="105" t="str">
        <f>IF(D5157=1,COUNTIF($D$10:D5157,1)," ")</f>
        <v xml:space="preserve"> </v>
      </c>
      <c r="B5157" s="106">
        <f>COPY!AR5149</f>
        <v>0</v>
      </c>
      <c r="C5157" s="107">
        <f>COPY!AC5149</f>
        <v>0</v>
      </c>
      <c r="D5157" s="107" t="str">
        <f>IF(LEN(Table1722[[#This Row],[Uraian]])&gt;2,1," ")</f>
        <v xml:space="preserve"> </v>
      </c>
      <c r="E5157" s="113" t="str">
        <f>IF(Table1722[[#This Row],[Lawan Transaksi]]="CV AGUNG KARYA",COUNTIF($I$10:I5157,"CV AGUNG KARYA")," ")</f>
        <v xml:space="preserve"> </v>
      </c>
      <c r="F5157" s="107" t="str">
        <f>IF(LEN(Table1722[[#This Row],[Uraian]])&gt;2,TRIM(RIGHT(SUBSTITUTE(TRIM(C5157)," ",REPT(" ",255)),255))," ")</f>
        <v xml:space="preserve"> </v>
      </c>
      <c r="G5157" s="110">
        <f>COPY!Z5149</f>
        <v>0</v>
      </c>
      <c r="H5157" s="111" t="str">
        <f>IFERROR(VLOOKUP(Table1722[[#This Row],[Bukti]],'Un nOTA'!$A$4:$K$5003,10,FALSE),"")</f>
        <v/>
      </c>
      <c r="I5157" s="123" t="str">
        <f>IFERROR(VLOOKUP(Table1722[[#This Row],[Bukti]],Table13[#Data],11,FALSE),"")</f>
        <v/>
      </c>
    </row>
    <row r="5158" spans="1:9" hidden="1" x14ac:dyDescent="0.2">
      <c r="A5158" s="105" t="str">
        <f>IF(D5158=1,COUNTIF($D$10:D5158,1)," ")</f>
        <v xml:space="preserve"> </v>
      </c>
      <c r="B5158" s="106">
        <f>COPY!AR5150</f>
        <v>0</v>
      </c>
      <c r="C5158" s="107">
        <f>COPY!AC5150</f>
        <v>0</v>
      </c>
      <c r="D5158" s="107" t="str">
        <f>IF(LEN(Table1722[[#This Row],[Uraian]])&gt;2,1," ")</f>
        <v xml:space="preserve"> </v>
      </c>
      <c r="E5158" s="113" t="str">
        <f>IF(Table1722[[#This Row],[Lawan Transaksi]]="CV AGUNG KARYA",COUNTIF($I$10:I5158,"CV AGUNG KARYA")," ")</f>
        <v xml:space="preserve"> </v>
      </c>
      <c r="F5158" s="107" t="str">
        <f>IF(LEN(Table1722[[#This Row],[Uraian]])&gt;2,TRIM(RIGHT(SUBSTITUTE(TRIM(C5158)," ",REPT(" ",255)),255))," ")</f>
        <v xml:space="preserve"> </v>
      </c>
      <c r="G5158" s="110">
        <f>COPY!Z5150</f>
        <v>0</v>
      </c>
      <c r="H5158" s="111" t="str">
        <f>IFERROR(VLOOKUP(Table1722[[#This Row],[Bukti]],'Un nOTA'!$A$4:$K$5003,10,FALSE),"")</f>
        <v/>
      </c>
      <c r="I5158" s="123" t="str">
        <f>IFERROR(VLOOKUP(Table1722[[#This Row],[Bukti]],Table13[#Data],11,FALSE),"")</f>
        <v/>
      </c>
    </row>
    <row r="5159" spans="1:9" hidden="1" x14ac:dyDescent="0.2">
      <c r="A5159" s="105" t="str">
        <f>IF(D5159=1,COUNTIF($D$10:D5159,1)," ")</f>
        <v xml:space="preserve"> </v>
      </c>
      <c r="B5159" s="106">
        <f>COPY!AR5151</f>
        <v>0</v>
      </c>
      <c r="C5159" s="107">
        <f>COPY!AC5151</f>
        <v>0</v>
      </c>
      <c r="D5159" s="107" t="str">
        <f>IF(LEN(Table1722[[#This Row],[Uraian]])&gt;2,1," ")</f>
        <v xml:space="preserve"> </v>
      </c>
      <c r="E5159" s="113" t="str">
        <f>IF(Table1722[[#This Row],[Lawan Transaksi]]="CV AGUNG KARYA",COUNTIF($I$10:I5159,"CV AGUNG KARYA")," ")</f>
        <v xml:space="preserve"> </v>
      </c>
      <c r="F5159" s="107" t="str">
        <f>IF(LEN(Table1722[[#This Row],[Uraian]])&gt;2,TRIM(RIGHT(SUBSTITUTE(TRIM(C5159)," ",REPT(" ",255)),255))," ")</f>
        <v xml:space="preserve"> </v>
      </c>
      <c r="G5159" s="110">
        <f>COPY!Z5151</f>
        <v>0</v>
      </c>
      <c r="H5159" s="111" t="str">
        <f>IFERROR(VLOOKUP(Table1722[[#This Row],[Bukti]],'Un nOTA'!$A$4:$K$5003,10,FALSE),"")</f>
        <v/>
      </c>
      <c r="I5159" s="123" t="str">
        <f>IFERROR(VLOOKUP(Table1722[[#This Row],[Bukti]],Table13[#Data],11,FALSE),"")</f>
        <v/>
      </c>
    </row>
    <row r="5160" spans="1:9" hidden="1" x14ac:dyDescent="0.2">
      <c r="A5160" s="105" t="str">
        <f>IF(D5160=1,COUNTIF($D$10:D5160,1)," ")</f>
        <v xml:space="preserve"> </v>
      </c>
      <c r="B5160" s="106">
        <f>COPY!AR5152</f>
        <v>0</v>
      </c>
      <c r="C5160" s="107">
        <f>COPY!AC5152</f>
        <v>0</v>
      </c>
      <c r="D5160" s="107" t="str">
        <f>IF(LEN(Table1722[[#This Row],[Uraian]])&gt;2,1," ")</f>
        <v xml:space="preserve"> </v>
      </c>
      <c r="E5160" s="113" t="str">
        <f>IF(Table1722[[#This Row],[Lawan Transaksi]]="CV AGUNG KARYA",COUNTIF($I$10:I5160,"CV AGUNG KARYA")," ")</f>
        <v xml:space="preserve"> </v>
      </c>
      <c r="F5160" s="107" t="str">
        <f>IF(LEN(Table1722[[#This Row],[Uraian]])&gt;2,TRIM(RIGHT(SUBSTITUTE(TRIM(C5160)," ",REPT(" ",255)),255))," ")</f>
        <v xml:space="preserve"> </v>
      </c>
      <c r="G5160" s="110">
        <f>COPY!Z5152</f>
        <v>0</v>
      </c>
      <c r="H5160" s="111" t="str">
        <f>IFERROR(VLOOKUP(Table1722[[#This Row],[Bukti]],'Un nOTA'!$A$4:$K$5003,10,FALSE),"")</f>
        <v/>
      </c>
      <c r="I5160" s="123" t="str">
        <f>IFERROR(VLOOKUP(Table1722[[#This Row],[Bukti]],Table13[#Data],11,FALSE),"")</f>
        <v/>
      </c>
    </row>
    <row r="5161" spans="1:9" hidden="1" x14ac:dyDescent="0.2">
      <c r="A5161" s="105" t="str">
        <f>IF(D5161=1,COUNTIF($D$10:D5161,1)," ")</f>
        <v xml:space="preserve"> </v>
      </c>
      <c r="B5161" s="106">
        <f>COPY!AR5153</f>
        <v>0</v>
      </c>
      <c r="C5161" s="107">
        <f>COPY!AC5153</f>
        <v>0</v>
      </c>
      <c r="D5161" s="107" t="str">
        <f>IF(LEN(Table1722[[#This Row],[Uraian]])&gt;2,1," ")</f>
        <v xml:space="preserve"> </v>
      </c>
      <c r="E5161" s="113" t="str">
        <f>IF(Table1722[[#This Row],[Lawan Transaksi]]="CV AGUNG KARYA",COUNTIF($I$10:I5161,"CV AGUNG KARYA")," ")</f>
        <v xml:space="preserve"> </v>
      </c>
      <c r="F5161" s="107" t="str">
        <f>IF(LEN(Table1722[[#This Row],[Uraian]])&gt;2,TRIM(RIGHT(SUBSTITUTE(TRIM(C5161)," ",REPT(" ",255)),255))," ")</f>
        <v xml:space="preserve"> </v>
      </c>
      <c r="G5161" s="110">
        <f>COPY!Z5153</f>
        <v>0</v>
      </c>
      <c r="H5161" s="111" t="str">
        <f>IFERROR(VLOOKUP(Table1722[[#This Row],[Bukti]],'Un nOTA'!$A$4:$K$5003,10,FALSE),"")</f>
        <v/>
      </c>
      <c r="I5161" s="123" t="str">
        <f>IFERROR(VLOOKUP(Table1722[[#This Row],[Bukti]],Table13[#Data],11,FALSE),"")</f>
        <v/>
      </c>
    </row>
    <row r="5162" spans="1:9" hidden="1" x14ac:dyDescent="0.2">
      <c r="A5162" s="105" t="str">
        <f>IF(D5162=1,COUNTIF($D$10:D5162,1)," ")</f>
        <v xml:space="preserve"> </v>
      </c>
      <c r="B5162" s="106">
        <f>COPY!AR5154</f>
        <v>0</v>
      </c>
      <c r="C5162" s="107">
        <f>COPY!AC5154</f>
        <v>0</v>
      </c>
      <c r="D5162" s="107" t="str">
        <f>IF(LEN(Table1722[[#This Row],[Uraian]])&gt;2,1," ")</f>
        <v xml:space="preserve"> </v>
      </c>
      <c r="E5162" s="113" t="str">
        <f>IF(Table1722[[#This Row],[Lawan Transaksi]]="CV AGUNG KARYA",COUNTIF($I$10:I5162,"CV AGUNG KARYA")," ")</f>
        <v xml:space="preserve"> </v>
      </c>
      <c r="F5162" s="107" t="str">
        <f>IF(LEN(Table1722[[#This Row],[Uraian]])&gt;2,TRIM(RIGHT(SUBSTITUTE(TRIM(C5162)," ",REPT(" ",255)),255))," ")</f>
        <v xml:space="preserve"> </v>
      </c>
      <c r="G5162" s="110">
        <f>COPY!Z5154</f>
        <v>0</v>
      </c>
      <c r="H5162" s="111" t="str">
        <f>IFERROR(VLOOKUP(Table1722[[#This Row],[Bukti]],'Un nOTA'!$A$4:$K$5003,10,FALSE),"")</f>
        <v/>
      </c>
      <c r="I5162" s="123" t="str">
        <f>IFERROR(VLOOKUP(Table1722[[#This Row],[Bukti]],Table13[#Data],11,FALSE),"")</f>
        <v/>
      </c>
    </row>
    <row r="5163" spans="1:9" hidden="1" x14ac:dyDescent="0.2">
      <c r="A5163" s="105" t="str">
        <f>IF(D5163=1,COUNTIF($D$10:D5163,1)," ")</f>
        <v xml:space="preserve"> </v>
      </c>
      <c r="B5163" s="106">
        <f>COPY!AR5155</f>
        <v>0</v>
      </c>
      <c r="C5163" s="107">
        <f>COPY!AC5155</f>
        <v>0</v>
      </c>
      <c r="D5163" s="107" t="str">
        <f>IF(LEN(Table1722[[#This Row],[Uraian]])&gt;2,1," ")</f>
        <v xml:space="preserve"> </v>
      </c>
      <c r="E5163" s="113" t="str">
        <f>IF(Table1722[[#This Row],[Lawan Transaksi]]="CV AGUNG KARYA",COUNTIF($I$10:I5163,"CV AGUNG KARYA")," ")</f>
        <v xml:space="preserve"> </v>
      </c>
      <c r="F5163" s="107" t="str">
        <f>IF(LEN(Table1722[[#This Row],[Uraian]])&gt;2,TRIM(RIGHT(SUBSTITUTE(TRIM(C5163)," ",REPT(" ",255)),255))," ")</f>
        <v xml:space="preserve"> </v>
      </c>
      <c r="G5163" s="110">
        <f>COPY!Z5155</f>
        <v>0</v>
      </c>
      <c r="H5163" s="111" t="str">
        <f>IFERROR(VLOOKUP(Table1722[[#This Row],[Bukti]],'Un nOTA'!$A$4:$K$5003,10,FALSE),"")</f>
        <v/>
      </c>
      <c r="I5163" s="123" t="str">
        <f>IFERROR(VLOOKUP(Table1722[[#This Row],[Bukti]],Table13[#Data],11,FALSE),"")</f>
        <v/>
      </c>
    </row>
    <row r="5164" spans="1:9" hidden="1" x14ac:dyDescent="0.2">
      <c r="A5164" s="105" t="str">
        <f>IF(D5164=1,COUNTIF($D$10:D5164,1)," ")</f>
        <v xml:space="preserve"> </v>
      </c>
      <c r="B5164" s="106">
        <f>COPY!AR5156</f>
        <v>0</v>
      </c>
      <c r="C5164" s="107">
        <f>COPY!AC5156</f>
        <v>0</v>
      </c>
      <c r="D5164" s="107" t="str">
        <f>IF(LEN(Table1722[[#This Row],[Uraian]])&gt;2,1," ")</f>
        <v xml:space="preserve"> </v>
      </c>
      <c r="E5164" s="113" t="str">
        <f>IF(Table1722[[#This Row],[Lawan Transaksi]]="CV AGUNG KARYA",COUNTIF($I$10:I5164,"CV AGUNG KARYA")," ")</f>
        <v xml:space="preserve"> </v>
      </c>
      <c r="F5164" s="107" t="str">
        <f>IF(LEN(Table1722[[#This Row],[Uraian]])&gt;2,TRIM(RIGHT(SUBSTITUTE(TRIM(C5164)," ",REPT(" ",255)),255))," ")</f>
        <v xml:space="preserve"> </v>
      </c>
      <c r="G5164" s="110">
        <f>COPY!Z5156</f>
        <v>0</v>
      </c>
      <c r="H5164" s="111" t="str">
        <f>IFERROR(VLOOKUP(Table1722[[#This Row],[Bukti]],'Un nOTA'!$A$4:$K$5003,10,FALSE),"")</f>
        <v/>
      </c>
      <c r="I5164" s="123" t="str">
        <f>IFERROR(VLOOKUP(Table1722[[#This Row],[Bukti]],Table13[#Data],11,FALSE),"")</f>
        <v/>
      </c>
    </row>
    <row r="5165" spans="1:9" hidden="1" x14ac:dyDescent="0.2">
      <c r="A5165" s="105" t="str">
        <f>IF(D5165=1,COUNTIF($D$10:D5165,1)," ")</f>
        <v xml:space="preserve"> </v>
      </c>
      <c r="B5165" s="106">
        <f>COPY!AR5157</f>
        <v>0</v>
      </c>
      <c r="C5165" s="107">
        <f>COPY!AC5157</f>
        <v>0</v>
      </c>
      <c r="D5165" s="107" t="str">
        <f>IF(LEN(Table1722[[#This Row],[Uraian]])&gt;2,1," ")</f>
        <v xml:space="preserve"> </v>
      </c>
      <c r="E5165" s="113" t="str">
        <f>IF(Table1722[[#This Row],[Lawan Transaksi]]="CV AGUNG KARYA",COUNTIF($I$10:I5165,"CV AGUNG KARYA")," ")</f>
        <v xml:space="preserve"> </v>
      </c>
      <c r="F5165" s="107" t="str">
        <f>IF(LEN(Table1722[[#This Row],[Uraian]])&gt;2,TRIM(RIGHT(SUBSTITUTE(TRIM(C5165)," ",REPT(" ",255)),255))," ")</f>
        <v xml:space="preserve"> </v>
      </c>
      <c r="G5165" s="110">
        <f>COPY!Z5157</f>
        <v>0</v>
      </c>
      <c r="H5165" s="111" t="str">
        <f>IFERROR(VLOOKUP(Table1722[[#This Row],[Bukti]],'Un nOTA'!$A$4:$K$5003,10,FALSE),"")</f>
        <v/>
      </c>
      <c r="I5165" s="123" t="str">
        <f>IFERROR(VLOOKUP(Table1722[[#This Row],[Bukti]],Table13[#Data],11,FALSE),"")</f>
        <v/>
      </c>
    </row>
    <row r="5166" spans="1:9" hidden="1" x14ac:dyDescent="0.2">
      <c r="A5166" s="105" t="str">
        <f>IF(D5166=1,COUNTIF($D$10:D5166,1)," ")</f>
        <v xml:space="preserve"> </v>
      </c>
      <c r="B5166" s="106">
        <f>COPY!AR5158</f>
        <v>0</v>
      </c>
      <c r="C5166" s="107">
        <f>COPY!AC5158</f>
        <v>0</v>
      </c>
      <c r="D5166" s="107" t="str">
        <f>IF(LEN(Table1722[[#This Row],[Uraian]])&gt;2,1," ")</f>
        <v xml:space="preserve"> </v>
      </c>
      <c r="E5166" s="113" t="str">
        <f>IF(Table1722[[#This Row],[Lawan Transaksi]]="CV AGUNG KARYA",COUNTIF($I$10:I5166,"CV AGUNG KARYA")," ")</f>
        <v xml:space="preserve"> </v>
      </c>
      <c r="F5166" s="107" t="str">
        <f>IF(LEN(Table1722[[#This Row],[Uraian]])&gt;2,TRIM(RIGHT(SUBSTITUTE(TRIM(C5166)," ",REPT(" ",255)),255))," ")</f>
        <v xml:space="preserve"> </v>
      </c>
      <c r="G5166" s="110">
        <f>COPY!Z5158</f>
        <v>0</v>
      </c>
      <c r="H5166" s="111" t="str">
        <f>IFERROR(VLOOKUP(Table1722[[#This Row],[Bukti]],'Un nOTA'!$A$4:$K$5003,10,FALSE),"")</f>
        <v/>
      </c>
      <c r="I5166" s="123" t="str">
        <f>IFERROR(VLOOKUP(Table1722[[#This Row],[Bukti]],Table13[#Data],11,FALSE),"")</f>
        <v/>
      </c>
    </row>
    <row r="5167" spans="1:9" hidden="1" x14ac:dyDescent="0.2">
      <c r="A5167" s="105" t="str">
        <f>IF(D5167=1,COUNTIF($D$10:D5167,1)," ")</f>
        <v xml:space="preserve"> </v>
      </c>
      <c r="B5167" s="106">
        <f>COPY!AR5159</f>
        <v>0</v>
      </c>
      <c r="C5167" s="107">
        <f>COPY!AC5159</f>
        <v>0</v>
      </c>
      <c r="D5167" s="107" t="str">
        <f>IF(LEN(Table1722[[#This Row],[Uraian]])&gt;2,1," ")</f>
        <v xml:space="preserve"> </v>
      </c>
      <c r="E5167" s="113" t="str">
        <f>IF(Table1722[[#This Row],[Lawan Transaksi]]="CV AGUNG KARYA",COUNTIF($I$10:I5167,"CV AGUNG KARYA")," ")</f>
        <v xml:space="preserve"> </v>
      </c>
      <c r="F5167" s="107" t="str">
        <f>IF(LEN(Table1722[[#This Row],[Uraian]])&gt;2,TRIM(RIGHT(SUBSTITUTE(TRIM(C5167)," ",REPT(" ",255)),255))," ")</f>
        <v xml:space="preserve"> </v>
      </c>
      <c r="G5167" s="110">
        <f>COPY!Z5159</f>
        <v>0</v>
      </c>
      <c r="H5167" s="111" t="str">
        <f>IFERROR(VLOOKUP(Table1722[[#This Row],[Bukti]],'Un nOTA'!$A$4:$K$5003,10,FALSE),"")</f>
        <v/>
      </c>
      <c r="I5167" s="123" t="str">
        <f>IFERROR(VLOOKUP(Table1722[[#This Row],[Bukti]],Table13[#Data],11,FALSE),"")</f>
        <v/>
      </c>
    </row>
    <row r="5168" spans="1:9" hidden="1" x14ac:dyDescent="0.2">
      <c r="A5168" s="105" t="str">
        <f>IF(D5168=1,COUNTIF($D$10:D5168,1)," ")</f>
        <v xml:space="preserve"> </v>
      </c>
      <c r="B5168" s="106">
        <f>COPY!AR5160</f>
        <v>0</v>
      </c>
      <c r="C5168" s="107">
        <f>COPY!AC5160</f>
        <v>0</v>
      </c>
      <c r="D5168" s="107" t="str">
        <f>IF(LEN(Table1722[[#This Row],[Uraian]])&gt;2,1," ")</f>
        <v xml:space="preserve"> </v>
      </c>
      <c r="E5168" s="113" t="str">
        <f>IF(Table1722[[#This Row],[Lawan Transaksi]]="CV AGUNG KARYA",COUNTIF($I$10:I5168,"CV AGUNG KARYA")," ")</f>
        <v xml:space="preserve"> </v>
      </c>
      <c r="F5168" s="107" t="str">
        <f>IF(LEN(Table1722[[#This Row],[Uraian]])&gt;2,TRIM(RIGHT(SUBSTITUTE(TRIM(C5168)," ",REPT(" ",255)),255))," ")</f>
        <v xml:space="preserve"> </v>
      </c>
      <c r="G5168" s="110">
        <f>COPY!Z5160</f>
        <v>0</v>
      </c>
      <c r="H5168" s="111" t="str">
        <f>IFERROR(VLOOKUP(Table1722[[#This Row],[Bukti]],'Un nOTA'!$A$4:$K$5003,10,FALSE),"")</f>
        <v/>
      </c>
      <c r="I5168" s="123" t="str">
        <f>IFERROR(VLOOKUP(Table1722[[#This Row],[Bukti]],Table13[#Data],11,FALSE),"")</f>
        <v/>
      </c>
    </row>
    <row r="5169" spans="1:9" hidden="1" x14ac:dyDescent="0.2">
      <c r="A5169" s="105" t="str">
        <f>IF(D5169=1,COUNTIF($D$10:D5169,1)," ")</f>
        <v xml:space="preserve"> </v>
      </c>
      <c r="B5169" s="106">
        <f>COPY!AR5161</f>
        <v>0</v>
      </c>
      <c r="C5169" s="107">
        <f>COPY!AC5161</f>
        <v>0</v>
      </c>
      <c r="D5169" s="107" t="str">
        <f>IF(LEN(Table1722[[#This Row],[Uraian]])&gt;2,1," ")</f>
        <v xml:space="preserve"> </v>
      </c>
      <c r="E5169" s="113" t="str">
        <f>IF(Table1722[[#This Row],[Lawan Transaksi]]="CV AGUNG KARYA",COUNTIF($I$10:I5169,"CV AGUNG KARYA")," ")</f>
        <v xml:space="preserve"> </v>
      </c>
      <c r="F5169" s="107" t="str">
        <f>IF(LEN(Table1722[[#This Row],[Uraian]])&gt;2,TRIM(RIGHT(SUBSTITUTE(TRIM(C5169)," ",REPT(" ",255)),255))," ")</f>
        <v xml:space="preserve"> </v>
      </c>
      <c r="G5169" s="110">
        <f>COPY!Z5161</f>
        <v>0</v>
      </c>
      <c r="H5169" s="111" t="str">
        <f>IFERROR(VLOOKUP(Table1722[[#This Row],[Bukti]],'Un nOTA'!$A$4:$K$5003,10,FALSE),"")</f>
        <v/>
      </c>
      <c r="I5169" s="123" t="str">
        <f>IFERROR(VLOOKUP(Table1722[[#This Row],[Bukti]],Table13[#Data],11,FALSE),"")</f>
        <v/>
      </c>
    </row>
    <row r="5170" spans="1:9" hidden="1" x14ac:dyDescent="0.2">
      <c r="A5170" s="105" t="str">
        <f>IF(D5170=1,COUNTIF($D$10:D5170,1)," ")</f>
        <v xml:space="preserve"> </v>
      </c>
      <c r="B5170" s="106">
        <f>COPY!AR5162</f>
        <v>0</v>
      </c>
      <c r="C5170" s="107">
        <f>COPY!AC5162</f>
        <v>0</v>
      </c>
      <c r="D5170" s="107" t="str">
        <f>IF(LEN(Table1722[[#This Row],[Uraian]])&gt;2,1," ")</f>
        <v xml:space="preserve"> </v>
      </c>
      <c r="E5170" s="113" t="str">
        <f>IF(Table1722[[#This Row],[Lawan Transaksi]]="CV AGUNG KARYA",COUNTIF($I$10:I5170,"CV AGUNG KARYA")," ")</f>
        <v xml:space="preserve"> </v>
      </c>
      <c r="F5170" s="107" t="str">
        <f>IF(LEN(Table1722[[#This Row],[Uraian]])&gt;2,TRIM(RIGHT(SUBSTITUTE(TRIM(C5170)," ",REPT(" ",255)),255))," ")</f>
        <v xml:space="preserve"> </v>
      </c>
      <c r="G5170" s="110">
        <f>COPY!Z5162</f>
        <v>0</v>
      </c>
      <c r="H5170" s="111" t="str">
        <f>IFERROR(VLOOKUP(Table1722[[#This Row],[Bukti]],'Un nOTA'!$A$4:$K$5003,10,FALSE),"")</f>
        <v/>
      </c>
      <c r="I5170" s="123" t="str">
        <f>IFERROR(VLOOKUP(Table1722[[#This Row],[Bukti]],Table13[#Data],11,FALSE),"")</f>
        <v/>
      </c>
    </row>
    <row r="5171" spans="1:9" hidden="1" x14ac:dyDescent="0.2">
      <c r="A5171" s="105" t="str">
        <f>IF(D5171=1,COUNTIF($D$10:D5171,1)," ")</f>
        <v xml:space="preserve"> </v>
      </c>
      <c r="B5171" s="106">
        <f>COPY!AR5163</f>
        <v>0</v>
      </c>
      <c r="C5171" s="107">
        <f>COPY!AC5163</f>
        <v>0</v>
      </c>
      <c r="D5171" s="107" t="str">
        <f>IF(LEN(Table1722[[#This Row],[Uraian]])&gt;2,1," ")</f>
        <v xml:space="preserve"> </v>
      </c>
      <c r="E5171" s="113" t="str">
        <f>IF(Table1722[[#This Row],[Lawan Transaksi]]="CV AGUNG KARYA",COUNTIF($I$10:I5171,"CV AGUNG KARYA")," ")</f>
        <v xml:space="preserve"> </v>
      </c>
      <c r="F5171" s="107" t="str">
        <f>IF(LEN(Table1722[[#This Row],[Uraian]])&gt;2,TRIM(RIGHT(SUBSTITUTE(TRIM(C5171)," ",REPT(" ",255)),255))," ")</f>
        <v xml:space="preserve"> </v>
      </c>
      <c r="G5171" s="110">
        <f>COPY!Z5163</f>
        <v>0</v>
      </c>
      <c r="H5171" s="111" t="str">
        <f>IFERROR(VLOOKUP(Table1722[[#This Row],[Bukti]],'Un nOTA'!$A$4:$K$5003,10,FALSE),"")</f>
        <v/>
      </c>
      <c r="I5171" s="123" t="str">
        <f>IFERROR(VLOOKUP(Table1722[[#This Row],[Bukti]],Table13[#Data],11,FALSE),"")</f>
        <v/>
      </c>
    </row>
    <row r="5172" spans="1:9" hidden="1" x14ac:dyDescent="0.2">
      <c r="A5172" s="105" t="str">
        <f>IF(D5172=1,COUNTIF($D$10:D5172,1)," ")</f>
        <v xml:space="preserve"> </v>
      </c>
      <c r="B5172" s="106">
        <f>COPY!AR5164</f>
        <v>0</v>
      </c>
      <c r="C5172" s="107">
        <f>COPY!AC5164</f>
        <v>0</v>
      </c>
      <c r="D5172" s="107" t="str">
        <f>IF(LEN(Table1722[[#This Row],[Uraian]])&gt;2,1," ")</f>
        <v xml:space="preserve"> </v>
      </c>
      <c r="E5172" s="113" t="str">
        <f>IF(Table1722[[#This Row],[Lawan Transaksi]]="CV AGUNG KARYA",COUNTIF($I$10:I5172,"CV AGUNG KARYA")," ")</f>
        <v xml:space="preserve"> </v>
      </c>
      <c r="F5172" s="107" t="str">
        <f>IF(LEN(Table1722[[#This Row],[Uraian]])&gt;2,TRIM(RIGHT(SUBSTITUTE(TRIM(C5172)," ",REPT(" ",255)),255))," ")</f>
        <v xml:space="preserve"> </v>
      </c>
      <c r="G5172" s="110">
        <f>COPY!Z5164</f>
        <v>0</v>
      </c>
      <c r="H5172" s="111" t="str">
        <f>IFERROR(VLOOKUP(Table1722[[#This Row],[Bukti]],'Un nOTA'!$A$4:$K$5003,10,FALSE),"")</f>
        <v/>
      </c>
      <c r="I5172" s="123" t="str">
        <f>IFERROR(VLOOKUP(Table1722[[#This Row],[Bukti]],Table13[#Data],11,FALSE),"")</f>
        <v/>
      </c>
    </row>
    <row r="5173" spans="1:9" hidden="1" x14ac:dyDescent="0.2">
      <c r="A5173" s="105" t="str">
        <f>IF(D5173=1,COUNTIF($D$10:D5173,1)," ")</f>
        <v xml:space="preserve"> </v>
      </c>
      <c r="B5173" s="106">
        <f>COPY!AR5165</f>
        <v>0</v>
      </c>
      <c r="C5173" s="107">
        <f>COPY!AC5165</f>
        <v>0</v>
      </c>
      <c r="D5173" s="107" t="str">
        <f>IF(LEN(Table1722[[#This Row],[Uraian]])&gt;2,1," ")</f>
        <v xml:space="preserve"> </v>
      </c>
      <c r="E5173" s="113" t="str">
        <f>IF(Table1722[[#This Row],[Lawan Transaksi]]="CV AGUNG KARYA",COUNTIF($I$10:I5173,"CV AGUNG KARYA")," ")</f>
        <v xml:space="preserve"> </v>
      </c>
      <c r="F5173" s="107" t="str">
        <f>IF(LEN(Table1722[[#This Row],[Uraian]])&gt;2,TRIM(RIGHT(SUBSTITUTE(TRIM(C5173)," ",REPT(" ",255)),255))," ")</f>
        <v xml:space="preserve"> </v>
      </c>
      <c r="G5173" s="110">
        <f>COPY!Z5165</f>
        <v>0</v>
      </c>
      <c r="H5173" s="111" t="str">
        <f>IFERROR(VLOOKUP(Table1722[[#This Row],[Bukti]],'Un nOTA'!$A$4:$K$5003,10,FALSE),"")</f>
        <v/>
      </c>
      <c r="I5173" s="123" t="str">
        <f>IFERROR(VLOOKUP(Table1722[[#This Row],[Bukti]],Table13[#Data],11,FALSE),"")</f>
        <v/>
      </c>
    </row>
    <row r="5174" spans="1:9" hidden="1" x14ac:dyDescent="0.2">
      <c r="A5174" s="105" t="str">
        <f>IF(D5174=1,COUNTIF($D$10:D5174,1)," ")</f>
        <v xml:space="preserve"> </v>
      </c>
      <c r="B5174" s="106">
        <f>COPY!AR5166</f>
        <v>0</v>
      </c>
      <c r="C5174" s="107">
        <f>COPY!AC5166</f>
        <v>0</v>
      </c>
      <c r="D5174" s="107" t="str">
        <f>IF(LEN(Table1722[[#This Row],[Uraian]])&gt;2,1," ")</f>
        <v xml:space="preserve"> </v>
      </c>
      <c r="E5174" s="113" t="str">
        <f>IF(Table1722[[#This Row],[Lawan Transaksi]]="CV AGUNG KARYA",COUNTIF($I$10:I5174,"CV AGUNG KARYA")," ")</f>
        <v xml:space="preserve"> </v>
      </c>
      <c r="F5174" s="107" t="str">
        <f>IF(LEN(Table1722[[#This Row],[Uraian]])&gt;2,TRIM(RIGHT(SUBSTITUTE(TRIM(C5174)," ",REPT(" ",255)),255))," ")</f>
        <v xml:space="preserve"> </v>
      </c>
      <c r="G5174" s="110">
        <f>COPY!Z5166</f>
        <v>0</v>
      </c>
      <c r="H5174" s="111" t="str">
        <f>IFERROR(VLOOKUP(Table1722[[#This Row],[Bukti]],'Un nOTA'!$A$4:$K$5003,10,FALSE),"")</f>
        <v/>
      </c>
      <c r="I5174" s="123" t="str">
        <f>IFERROR(VLOOKUP(Table1722[[#This Row],[Bukti]],Table13[#Data],11,FALSE),"")</f>
        <v/>
      </c>
    </row>
    <row r="5175" spans="1:9" hidden="1" x14ac:dyDescent="0.2">
      <c r="A5175" s="105" t="str">
        <f>IF(D5175=1,COUNTIF($D$10:D5175,1)," ")</f>
        <v xml:space="preserve"> </v>
      </c>
      <c r="B5175" s="106">
        <f>COPY!AR5167</f>
        <v>0</v>
      </c>
      <c r="C5175" s="107">
        <f>COPY!AC5167</f>
        <v>0</v>
      </c>
      <c r="D5175" s="107" t="str">
        <f>IF(LEN(Table1722[[#This Row],[Uraian]])&gt;2,1," ")</f>
        <v xml:space="preserve"> </v>
      </c>
      <c r="E5175" s="113" t="str">
        <f>IF(Table1722[[#This Row],[Lawan Transaksi]]="CV AGUNG KARYA",COUNTIF($I$10:I5175,"CV AGUNG KARYA")," ")</f>
        <v xml:space="preserve"> </v>
      </c>
      <c r="F5175" s="107" t="str">
        <f>IF(LEN(Table1722[[#This Row],[Uraian]])&gt;2,TRIM(RIGHT(SUBSTITUTE(TRIM(C5175)," ",REPT(" ",255)),255))," ")</f>
        <v xml:space="preserve"> </v>
      </c>
      <c r="G5175" s="110">
        <f>COPY!Z5167</f>
        <v>0</v>
      </c>
      <c r="H5175" s="111" t="str">
        <f>IFERROR(VLOOKUP(Table1722[[#This Row],[Bukti]],'Un nOTA'!$A$4:$K$5003,10,FALSE),"")</f>
        <v/>
      </c>
      <c r="I5175" s="123" t="str">
        <f>IFERROR(VLOOKUP(Table1722[[#This Row],[Bukti]],Table13[#Data],11,FALSE),"")</f>
        <v/>
      </c>
    </row>
    <row r="5176" spans="1:9" hidden="1" x14ac:dyDescent="0.2">
      <c r="A5176" s="105" t="str">
        <f>IF(D5176=1,COUNTIF($D$10:D5176,1)," ")</f>
        <v xml:space="preserve"> </v>
      </c>
      <c r="B5176" s="106">
        <f>COPY!AR5168</f>
        <v>0</v>
      </c>
      <c r="C5176" s="107">
        <f>COPY!AC5168</f>
        <v>0</v>
      </c>
      <c r="D5176" s="107" t="str">
        <f>IF(LEN(Table1722[[#This Row],[Uraian]])&gt;2,1," ")</f>
        <v xml:space="preserve"> </v>
      </c>
      <c r="E5176" s="113" t="str">
        <f>IF(Table1722[[#This Row],[Lawan Transaksi]]="CV AGUNG KARYA",COUNTIF($I$10:I5176,"CV AGUNG KARYA")," ")</f>
        <v xml:space="preserve"> </v>
      </c>
      <c r="F5176" s="107" t="str">
        <f>IF(LEN(Table1722[[#This Row],[Uraian]])&gt;2,TRIM(RIGHT(SUBSTITUTE(TRIM(C5176)," ",REPT(" ",255)),255))," ")</f>
        <v xml:space="preserve"> </v>
      </c>
      <c r="G5176" s="110">
        <f>COPY!Z5168</f>
        <v>0</v>
      </c>
      <c r="H5176" s="111" t="str">
        <f>IFERROR(VLOOKUP(Table1722[[#This Row],[Bukti]],'Un nOTA'!$A$4:$K$5003,10,FALSE),"")</f>
        <v/>
      </c>
      <c r="I5176" s="123" t="str">
        <f>IFERROR(VLOOKUP(Table1722[[#This Row],[Bukti]],Table13[#Data],11,FALSE),"")</f>
        <v/>
      </c>
    </row>
    <row r="5177" spans="1:9" hidden="1" x14ac:dyDescent="0.2">
      <c r="A5177" s="105" t="str">
        <f>IF(D5177=1,COUNTIF($D$10:D5177,1)," ")</f>
        <v xml:space="preserve"> </v>
      </c>
      <c r="B5177" s="106">
        <f>COPY!AR5169</f>
        <v>0</v>
      </c>
      <c r="C5177" s="107">
        <f>COPY!AC5169</f>
        <v>0</v>
      </c>
      <c r="D5177" s="107" t="str">
        <f>IF(LEN(Table1722[[#This Row],[Uraian]])&gt;2,1," ")</f>
        <v xml:space="preserve"> </v>
      </c>
      <c r="E5177" s="113" t="str">
        <f>IF(Table1722[[#This Row],[Lawan Transaksi]]="CV AGUNG KARYA",COUNTIF($I$10:I5177,"CV AGUNG KARYA")," ")</f>
        <v xml:space="preserve"> </v>
      </c>
      <c r="F5177" s="107" t="str">
        <f>IF(LEN(Table1722[[#This Row],[Uraian]])&gt;2,TRIM(RIGHT(SUBSTITUTE(TRIM(C5177)," ",REPT(" ",255)),255))," ")</f>
        <v xml:space="preserve"> </v>
      </c>
      <c r="G5177" s="110">
        <f>COPY!Z5169</f>
        <v>0</v>
      </c>
      <c r="H5177" s="111" t="str">
        <f>IFERROR(VLOOKUP(Table1722[[#This Row],[Bukti]],'Un nOTA'!$A$4:$K$5003,10,FALSE),"")</f>
        <v/>
      </c>
      <c r="I5177" s="123" t="str">
        <f>IFERROR(VLOOKUP(Table1722[[#This Row],[Bukti]],Table13[#Data],11,FALSE),"")</f>
        <v/>
      </c>
    </row>
    <row r="5178" spans="1:9" hidden="1" x14ac:dyDescent="0.2">
      <c r="A5178" s="105" t="str">
        <f>IF(D5178=1,COUNTIF($D$10:D5178,1)," ")</f>
        <v xml:space="preserve"> </v>
      </c>
      <c r="B5178" s="106">
        <f>COPY!AR5170</f>
        <v>0</v>
      </c>
      <c r="C5178" s="107">
        <f>COPY!AC5170</f>
        <v>0</v>
      </c>
      <c r="D5178" s="107" t="str">
        <f>IF(LEN(Table1722[[#This Row],[Uraian]])&gt;2,1," ")</f>
        <v xml:space="preserve"> </v>
      </c>
      <c r="E5178" s="113" t="str">
        <f>IF(Table1722[[#This Row],[Lawan Transaksi]]="CV AGUNG KARYA",COUNTIF($I$10:I5178,"CV AGUNG KARYA")," ")</f>
        <v xml:space="preserve"> </v>
      </c>
      <c r="F5178" s="107" t="str">
        <f>IF(LEN(Table1722[[#This Row],[Uraian]])&gt;2,TRIM(RIGHT(SUBSTITUTE(TRIM(C5178)," ",REPT(" ",255)),255))," ")</f>
        <v xml:space="preserve"> </v>
      </c>
      <c r="G5178" s="110">
        <f>COPY!Z5170</f>
        <v>0</v>
      </c>
      <c r="H5178" s="111" t="str">
        <f>IFERROR(VLOOKUP(Table1722[[#This Row],[Bukti]],'Un nOTA'!$A$4:$K$5003,10,FALSE),"")</f>
        <v/>
      </c>
      <c r="I5178" s="123" t="str">
        <f>IFERROR(VLOOKUP(Table1722[[#This Row],[Bukti]],Table13[#Data],11,FALSE),"")</f>
        <v/>
      </c>
    </row>
    <row r="5179" spans="1:9" hidden="1" x14ac:dyDescent="0.2">
      <c r="A5179" s="105" t="str">
        <f>IF(D5179=1,COUNTIF($D$10:D5179,1)," ")</f>
        <v xml:space="preserve"> </v>
      </c>
      <c r="B5179" s="106">
        <f>COPY!AR5171</f>
        <v>0</v>
      </c>
      <c r="C5179" s="107">
        <f>COPY!AC5171</f>
        <v>0</v>
      </c>
      <c r="D5179" s="107" t="str">
        <f>IF(LEN(Table1722[[#This Row],[Uraian]])&gt;2,1," ")</f>
        <v xml:space="preserve"> </v>
      </c>
      <c r="E5179" s="113" t="str">
        <f>IF(Table1722[[#This Row],[Lawan Transaksi]]="CV AGUNG KARYA",COUNTIF($I$10:I5179,"CV AGUNG KARYA")," ")</f>
        <v xml:space="preserve"> </v>
      </c>
      <c r="F5179" s="107" t="str">
        <f>IF(LEN(Table1722[[#This Row],[Uraian]])&gt;2,TRIM(RIGHT(SUBSTITUTE(TRIM(C5179)," ",REPT(" ",255)),255))," ")</f>
        <v xml:space="preserve"> </v>
      </c>
      <c r="G5179" s="110">
        <f>COPY!Z5171</f>
        <v>0</v>
      </c>
      <c r="H5179" s="111" t="str">
        <f>IFERROR(VLOOKUP(Table1722[[#This Row],[Bukti]],'Un nOTA'!$A$4:$K$5003,10,FALSE),"")</f>
        <v/>
      </c>
      <c r="I5179" s="123" t="str">
        <f>IFERROR(VLOOKUP(Table1722[[#This Row],[Bukti]],Table13[#Data],11,FALSE),"")</f>
        <v/>
      </c>
    </row>
    <row r="5180" spans="1:9" hidden="1" x14ac:dyDescent="0.2">
      <c r="A5180" s="105" t="str">
        <f>IF(D5180=1,COUNTIF($D$10:D5180,1)," ")</f>
        <v xml:space="preserve"> </v>
      </c>
      <c r="B5180" s="106">
        <f>COPY!AR5172</f>
        <v>0</v>
      </c>
      <c r="C5180" s="107">
        <f>COPY!AC5172</f>
        <v>0</v>
      </c>
      <c r="D5180" s="107" t="str">
        <f>IF(LEN(Table1722[[#This Row],[Uraian]])&gt;2,1," ")</f>
        <v xml:space="preserve"> </v>
      </c>
      <c r="E5180" s="113" t="str">
        <f>IF(Table1722[[#This Row],[Lawan Transaksi]]="CV AGUNG KARYA",COUNTIF($I$10:I5180,"CV AGUNG KARYA")," ")</f>
        <v xml:space="preserve"> </v>
      </c>
      <c r="F5180" s="107" t="str">
        <f>IF(LEN(Table1722[[#This Row],[Uraian]])&gt;2,TRIM(RIGHT(SUBSTITUTE(TRIM(C5180)," ",REPT(" ",255)),255))," ")</f>
        <v xml:space="preserve"> </v>
      </c>
      <c r="G5180" s="110">
        <f>COPY!Z5172</f>
        <v>0</v>
      </c>
      <c r="H5180" s="111" t="str">
        <f>IFERROR(VLOOKUP(Table1722[[#This Row],[Bukti]],'Un nOTA'!$A$4:$K$5003,10,FALSE),"")</f>
        <v/>
      </c>
      <c r="I5180" s="123" t="str">
        <f>IFERROR(VLOOKUP(Table1722[[#This Row],[Bukti]],Table13[#Data],11,FALSE),"")</f>
        <v/>
      </c>
    </row>
    <row r="5181" spans="1:9" hidden="1" x14ac:dyDescent="0.2">
      <c r="A5181" s="105" t="str">
        <f>IF(D5181=1,COUNTIF($D$10:D5181,1)," ")</f>
        <v xml:space="preserve"> </v>
      </c>
      <c r="B5181" s="106">
        <f>COPY!AR5173</f>
        <v>0</v>
      </c>
      <c r="C5181" s="107">
        <f>COPY!AC5173</f>
        <v>0</v>
      </c>
      <c r="D5181" s="107" t="str">
        <f>IF(LEN(Table1722[[#This Row],[Uraian]])&gt;2,1," ")</f>
        <v xml:space="preserve"> </v>
      </c>
      <c r="E5181" s="113" t="str">
        <f>IF(Table1722[[#This Row],[Lawan Transaksi]]="CV AGUNG KARYA",COUNTIF($I$10:I5181,"CV AGUNG KARYA")," ")</f>
        <v xml:space="preserve"> </v>
      </c>
      <c r="F5181" s="107" t="str">
        <f>IF(LEN(Table1722[[#This Row],[Uraian]])&gt;2,TRIM(RIGHT(SUBSTITUTE(TRIM(C5181)," ",REPT(" ",255)),255))," ")</f>
        <v xml:space="preserve"> </v>
      </c>
      <c r="G5181" s="110">
        <f>COPY!Z5173</f>
        <v>0</v>
      </c>
      <c r="H5181" s="111" t="str">
        <f>IFERROR(VLOOKUP(Table1722[[#This Row],[Bukti]],'Un nOTA'!$A$4:$K$5003,10,FALSE),"")</f>
        <v/>
      </c>
      <c r="I5181" s="123" t="str">
        <f>IFERROR(VLOOKUP(Table1722[[#This Row],[Bukti]],Table13[#Data],11,FALSE),"")</f>
        <v/>
      </c>
    </row>
    <row r="5182" spans="1:9" hidden="1" x14ac:dyDescent="0.2">
      <c r="A5182" s="105" t="str">
        <f>IF(D5182=1,COUNTIF($D$10:D5182,1)," ")</f>
        <v xml:space="preserve"> </v>
      </c>
      <c r="B5182" s="106">
        <f>COPY!AR5174</f>
        <v>0</v>
      </c>
      <c r="C5182" s="107">
        <f>COPY!AC5174</f>
        <v>0</v>
      </c>
      <c r="D5182" s="107" t="str">
        <f>IF(LEN(Table1722[[#This Row],[Uraian]])&gt;2,1," ")</f>
        <v xml:space="preserve"> </v>
      </c>
      <c r="E5182" s="113" t="str">
        <f>IF(Table1722[[#This Row],[Lawan Transaksi]]="CV AGUNG KARYA",COUNTIF($I$10:I5182,"CV AGUNG KARYA")," ")</f>
        <v xml:space="preserve"> </v>
      </c>
      <c r="F5182" s="107" t="str">
        <f>IF(LEN(Table1722[[#This Row],[Uraian]])&gt;2,TRIM(RIGHT(SUBSTITUTE(TRIM(C5182)," ",REPT(" ",255)),255))," ")</f>
        <v xml:space="preserve"> </v>
      </c>
      <c r="G5182" s="110">
        <f>COPY!Z5174</f>
        <v>0</v>
      </c>
      <c r="H5182" s="111" t="str">
        <f>IFERROR(VLOOKUP(Table1722[[#This Row],[Bukti]],'Un nOTA'!$A$4:$K$5003,10,FALSE),"")</f>
        <v/>
      </c>
      <c r="I5182" s="123" t="str">
        <f>IFERROR(VLOOKUP(Table1722[[#This Row],[Bukti]],Table13[#Data],11,FALSE),"")</f>
        <v/>
      </c>
    </row>
    <row r="5183" spans="1:9" hidden="1" x14ac:dyDescent="0.2">
      <c r="A5183" s="105" t="str">
        <f>IF(D5183=1,COUNTIF($D$10:D5183,1)," ")</f>
        <v xml:space="preserve"> </v>
      </c>
      <c r="B5183" s="106">
        <f>COPY!AR5175</f>
        <v>0</v>
      </c>
      <c r="C5183" s="107">
        <f>COPY!AC5175</f>
        <v>0</v>
      </c>
      <c r="D5183" s="107" t="str">
        <f>IF(LEN(Table1722[[#This Row],[Uraian]])&gt;2,1," ")</f>
        <v xml:space="preserve"> </v>
      </c>
      <c r="E5183" s="113" t="str">
        <f>IF(Table1722[[#This Row],[Lawan Transaksi]]="CV AGUNG KARYA",COUNTIF($I$10:I5183,"CV AGUNG KARYA")," ")</f>
        <v xml:space="preserve"> </v>
      </c>
      <c r="F5183" s="107" t="str">
        <f>IF(LEN(Table1722[[#This Row],[Uraian]])&gt;2,TRIM(RIGHT(SUBSTITUTE(TRIM(C5183)," ",REPT(" ",255)),255))," ")</f>
        <v xml:space="preserve"> </v>
      </c>
      <c r="G5183" s="110">
        <f>COPY!Z5175</f>
        <v>0</v>
      </c>
      <c r="H5183" s="111" t="str">
        <f>IFERROR(VLOOKUP(Table1722[[#This Row],[Bukti]],'Un nOTA'!$A$4:$K$5003,10,FALSE),"")</f>
        <v/>
      </c>
      <c r="I5183" s="123" t="str">
        <f>IFERROR(VLOOKUP(Table1722[[#This Row],[Bukti]],Table13[#Data],11,FALSE),"")</f>
        <v/>
      </c>
    </row>
    <row r="5184" spans="1:9" hidden="1" x14ac:dyDescent="0.2">
      <c r="A5184" s="105" t="str">
        <f>IF(D5184=1,COUNTIF($D$10:D5184,1)," ")</f>
        <v xml:space="preserve"> </v>
      </c>
      <c r="B5184" s="106">
        <f>COPY!AR5176</f>
        <v>0</v>
      </c>
      <c r="C5184" s="107">
        <f>COPY!AC5176</f>
        <v>0</v>
      </c>
      <c r="D5184" s="107" t="str">
        <f>IF(LEN(Table1722[[#This Row],[Uraian]])&gt;2,1," ")</f>
        <v xml:space="preserve"> </v>
      </c>
      <c r="E5184" s="113" t="str">
        <f>IF(Table1722[[#This Row],[Lawan Transaksi]]="CV AGUNG KARYA",COUNTIF($I$10:I5184,"CV AGUNG KARYA")," ")</f>
        <v xml:space="preserve"> </v>
      </c>
      <c r="F5184" s="107" t="str">
        <f>IF(LEN(Table1722[[#This Row],[Uraian]])&gt;2,TRIM(RIGHT(SUBSTITUTE(TRIM(C5184)," ",REPT(" ",255)),255))," ")</f>
        <v xml:space="preserve"> </v>
      </c>
      <c r="G5184" s="110">
        <f>COPY!Z5176</f>
        <v>0</v>
      </c>
      <c r="H5184" s="111" t="str">
        <f>IFERROR(VLOOKUP(Table1722[[#This Row],[Bukti]],'Un nOTA'!$A$4:$K$5003,10,FALSE),"")</f>
        <v/>
      </c>
      <c r="I5184" s="123" t="str">
        <f>IFERROR(VLOOKUP(Table1722[[#This Row],[Bukti]],Table13[#Data],11,FALSE),"")</f>
        <v/>
      </c>
    </row>
    <row r="5185" spans="1:9" hidden="1" x14ac:dyDescent="0.2">
      <c r="A5185" s="105" t="str">
        <f>IF(D5185=1,COUNTIF($D$10:D5185,1)," ")</f>
        <v xml:space="preserve"> </v>
      </c>
      <c r="B5185" s="106">
        <f>COPY!AR5177</f>
        <v>0</v>
      </c>
      <c r="C5185" s="107">
        <f>COPY!AC5177</f>
        <v>0</v>
      </c>
      <c r="D5185" s="107" t="str">
        <f>IF(LEN(Table1722[[#This Row],[Uraian]])&gt;2,1," ")</f>
        <v xml:space="preserve"> </v>
      </c>
      <c r="E5185" s="113" t="str">
        <f>IF(Table1722[[#This Row],[Lawan Transaksi]]="CV AGUNG KARYA",COUNTIF($I$10:I5185,"CV AGUNG KARYA")," ")</f>
        <v xml:space="preserve"> </v>
      </c>
      <c r="F5185" s="107" t="str">
        <f>IF(LEN(Table1722[[#This Row],[Uraian]])&gt;2,TRIM(RIGHT(SUBSTITUTE(TRIM(C5185)," ",REPT(" ",255)),255))," ")</f>
        <v xml:space="preserve"> </v>
      </c>
      <c r="G5185" s="110">
        <f>COPY!Z5177</f>
        <v>0</v>
      </c>
      <c r="H5185" s="111" t="str">
        <f>IFERROR(VLOOKUP(Table1722[[#This Row],[Bukti]],'Un nOTA'!$A$4:$K$5003,10,FALSE),"")</f>
        <v/>
      </c>
      <c r="I5185" s="123" t="str">
        <f>IFERROR(VLOOKUP(Table1722[[#This Row],[Bukti]],Table13[#Data],11,FALSE),"")</f>
        <v/>
      </c>
    </row>
    <row r="5186" spans="1:9" hidden="1" x14ac:dyDescent="0.2">
      <c r="A5186" s="105" t="str">
        <f>IF(D5186=1,COUNTIF($D$10:D5186,1)," ")</f>
        <v xml:space="preserve"> </v>
      </c>
      <c r="B5186" s="106">
        <f>COPY!AR5178</f>
        <v>0</v>
      </c>
      <c r="C5186" s="107">
        <f>COPY!AC5178</f>
        <v>0</v>
      </c>
      <c r="D5186" s="107" t="str">
        <f>IF(LEN(Table1722[[#This Row],[Uraian]])&gt;2,1," ")</f>
        <v xml:space="preserve"> </v>
      </c>
      <c r="E5186" s="113" t="str">
        <f>IF(Table1722[[#This Row],[Lawan Transaksi]]="CV AGUNG KARYA",COUNTIF($I$10:I5186,"CV AGUNG KARYA")," ")</f>
        <v xml:space="preserve"> </v>
      </c>
      <c r="F5186" s="107" t="str">
        <f>IF(LEN(Table1722[[#This Row],[Uraian]])&gt;2,TRIM(RIGHT(SUBSTITUTE(TRIM(C5186)," ",REPT(" ",255)),255))," ")</f>
        <v xml:space="preserve"> </v>
      </c>
      <c r="G5186" s="110">
        <f>COPY!Z5178</f>
        <v>0</v>
      </c>
      <c r="H5186" s="111" t="str">
        <f>IFERROR(VLOOKUP(Table1722[[#This Row],[Bukti]],'Un nOTA'!$A$4:$K$5003,10,FALSE),"")</f>
        <v/>
      </c>
      <c r="I5186" s="123" t="str">
        <f>IFERROR(VLOOKUP(Table1722[[#This Row],[Bukti]],Table13[#Data],11,FALSE),"")</f>
        <v/>
      </c>
    </row>
    <row r="5187" spans="1:9" hidden="1" x14ac:dyDescent="0.2">
      <c r="A5187" s="105" t="str">
        <f>IF(D5187=1,COUNTIF($D$10:D5187,1)," ")</f>
        <v xml:space="preserve"> </v>
      </c>
      <c r="B5187" s="106">
        <f>COPY!AR5179</f>
        <v>0</v>
      </c>
      <c r="C5187" s="107">
        <f>COPY!AC5179</f>
        <v>0</v>
      </c>
      <c r="D5187" s="107" t="str">
        <f>IF(LEN(Table1722[[#This Row],[Uraian]])&gt;2,1," ")</f>
        <v xml:space="preserve"> </v>
      </c>
      <c r="E5187" s="113" t="str">
        <f>IF(Table1722[[#This Row],[Lawan Transaksi]]="CV AGUNG KARYA",COUNTIF($I$10:I5187,"CV AGUNG KARYA")," ")</f>
        <v xml:space="preserve"> </v>
      </c>
      <c r="F5187" s="107" t="str">
        <f>IF(LEN(Table1722[[#This Row],[Uraian]])&gt;2,TRIM(RIGHT(SUBSTITUTE(TRIM(C5187)," ",REPT(" ",255)),255))," ")</f>
        <v xml:space="preserve"> </v>
      </c>
      <c r="G5187" s="110">
        <f>COPY!Z5179</f>
        <v>0</v>
      </c>
      <c r="H5187" s="111" t="str">
        <f>IFERROR(VLOOKUP(Table1722[[#This Row],[Bukti]],'Un nOTA'!$A$4:$K$5003,10,FALSE),"")</f>
        <v/>
      </c>
      <c r="I5187" s="123" t="str">
        <f>IFERROR(VLOOKUP(Table1722[[#This Row],[Bukti]],Table13[#Data],11,FALSE),"")</f>
        <v/>
      </c>
    </row>
    <row r="5188" spans="1:9" hidden="1" x14ac:dyDescent="0.2">
      <c r="A5188" s="105" t="str">
        <f>IF(D5188=1,COUNTIF($D$10:D5188,1)," ")</f>
        <v xml:space="preserve"> </v>
      </c>
      <c r="B5188" s="106">
        <f>COPY!AR5180</f>
        <v>0</v>
      </c>
      <c r="C5188" s="107">
        <f>COPY!AC5180</f>
        <v>0</v>
      </c>
      <c r="D5188" s="107" t="str">
        <f>IF(LEN(Table1722[[#This Row],[Uraian]])&gt;2,1," ")</f>
        <v xml:space="preserve"> </v>
      </c>
      <c r="E5188" s="113" t="str">
        <f>IF(Table1722[[#This Row],[Lawan Transaksi]]="CV AGUNG KARYA",COUNTIF($I$10:I5188,"CV AGUNG KARYA")," ")</f>
        <v xml:space="preserve"> </v>
      </c>
      <c r="F5188" s="107" t="str">
        <f>IF(LEN(Table1722[[#This Row],[Uraian]])&gt;2,TRIM(RIGHT(SUBSTITUTE(TRIM(C5188)," ",REPT(" ",255)),255))," ")</f>
        <v xml:space="preserve"> </v>
      </c>
      <c r="G5188" s="110">
        <f>COPY!Z5180</f>
        <v>0</v>
      </c>
      <c r="H5188" s="111" t="str">
        <f>IFERROR(VLOOKUP(Table1722[[#This Row],[Bukti]],'Un nOTA'!$A$4:$K$5003,10,FALSE),"")</f>
        <v/>
      </c>
      <c r="I5188" s="123" t="str">
        <f>IFERROR(VLOOKUP(Table1722[[#This Row],[Bukti]],Table13[#Data],11,FALSE),"")</f>
        <v/>
      </c>
    </row>
    <row r="5189" spans="1:9" hidden="1" x14ac:dyDescent="0.2">
      <c r="A5189" s="105" t="str">
        <f>IF(D5189=1,COUNTIF($D$10:D5189,1)," ")</f>
        <v xml:space="preserve"> </v>
      </c>
      <c r="B5189" s="106">
        <f>COPY!AR5181</f>
        <v>0</v>
      </c>
      <c r="C5189" s="107">
        <f>COPY!AC5181</f>
        <v>0</v>
      </c>
      <c r="D5189" s="107" t="str">
        <f>IF(LEN(Table1722[[#This Row],[Uraian]])&gt;2,1," ")</f>
        <v xml:space="preserve"> </v>
      </c>
      <c r="E5189" s="113" t="str">
        <f>IF(Table1722[[#This Row],[Lawan Transaksi]]="CV AGUNG KARYA",COUNTIF($I$10:I5189,"CV AGUNG KARYA")," ")</f>
        <v xml:space="preserve"> </v>
      </c>
      <c r="F5189" s="107" t="str">
        <f>IF(LEN(Table1722[[#This Row],[Uraian]])&gt;2,TRIM(RIGHT(SUBSTITUTE(TRIM(C5189)," ",REPT(" ",255)),255))," ")</f>
        <v xml:space="preserve"> </v>
      </c>
      <c r="G5189" s="110">
        <f>COPY!Z5181</f>
        <v>0</v>
      </c>
      <c r="H5189" s="111" t="str">
        <f>IFERROR(VLOOKUP(Table1722[[#This Row],[Bukti]],'Un nOTA'!$A$4:$K$5003,10,FALSE),"")</f>
        <v/>
      </c>
      <c r="I5189" s="123" t="str">
        <f>IFERROR(VLOOKUP(Table1722[[#This Row],[Bukti]],Table13[#Data],11,FALSE),"")</f>
        <v/>
      </c>
    </row>
    <row r="5190" spans="1:9" hidden="1" x14ac:dyDescent="0.2">
      <c r="A5190" s="105" t="str">
        <f>IF(D5190=1,COUNTIF($D$10:D5190,1)," ")</f>
        <v xml:space="preserve"> </v>
      </c>
      <c r="B5190" s="106">
        <f>COPY!AR5182</f>
        <v>0</v>
      </c>
      <c r="C5190" s="107">
        <f>COPY!AC5182</f>
        <v>0</v>
      </c>
      <c r="D5190" s="107" t="str">
        <f>IF(LEN(Table1722[[#This Row],[Uraian]])&gt;2,1," ")</f>
        <v xml:space="preserve"> </v>
      </c>
      <c r="E5190" s="113" t="str">
        <f>IF(Table1722[[#This Row],[Lawan Transaksi]]="CV AGUNG KARYA",COUNTIF($I$10:I5190,"CV AGUNG KARYA")," ")</f>
        <v xml:space="preserve"> </v>
      </c>
      <c r="F5190" s="107" t="str">
        <f>IF(LEN(Table1722[[#This Row],[Uraian]])&gt;2,TRIM(RIGHT(SUBSTITUTE(TRIM(C5190)," ",REPT(" ",255)),255))," ")</f>
        <v xml:space="preserve"> </v>
      </c>
      <c r="G5190" s="110">
        <f>COPY!Z5182</f>
        <v>0</v>
      </c>
      <c r="H5190" s="111" t="str">
        <f>IFERROR(VLOOKUP(Table1722[[#This Row],[Bukti]],'Un nOTA'!$A$4:$K$5003,10,FALSE),"")</f>
        <v/>
      </c>
      <c r="I5190" s="123" t="str">
        <f>IFERROR(VLOOKUP(Table1722[[#This Row],[Bukti]],Table13[#Data],11,FALSE),"")</f>
        <v/>
      </c>
    </row>
    <row r="5191" spans="1:9" hidden="1" x14ac:dyDescent="0.2">
      <c r="A5191" s="105" t="str">
        <f>IF(D5191=1,COUNTIF($D$10:D5191,1)," ")</f>
        <v xml:space="preserve"> </v>
      </c>
      <c r="B5191" s="106">
        <f>COPY!AR5183</f>
        <v>0</v>
      </c>
      <c r="C5191" s="107">
        <f>COPY!AC5183</f>
        <v>0</v>
      </c>
      <c r="D5191" s="107" t="str">
        <f>IF(LEN(Table1722[[#This Row],[Uraian]])&gt;2,1," ")</f>
        <v xml:space="preserve"> </v>
      </c>
      <c r="E5191" s="113" t="str">
        <f>IF(Table1722[[#This Row],[Lawan Transaksi]]="CV AGUNG KARYA",COUNTIF($I$10:I5191,"CV AGUNG KARYA")," ")</f>
        <v xml:space="preserve"> </v>
      </c>
      <c r="F5191" s="107" t="str">
        <f>IF(LEN(Table1722[[#This Row],[Uraian]])&gt;2,TRIM(RIGHT(SUBSTITUTE(TRIM(C5191)," ",REPT(" ",255)),255))," ")</f>
        <v xml:space="preserve"> </v>
      </c>
      <c r="G5191" s="110">
        <f>COPY!Z5183</f>
        <v>0</v>
      </c>
      <c r="H5191" s="111" t="str">
        <f>IFERROR(VLOOKUP(Table1722[[#This Row],[Bukti]],'Un nOTA'!$A$4:$K$5003,10,FALSE),"")</f>
        <v/>
      </c>
      <c r="I5191" s="123" t="str">
        <f>IFERROR(VLOOKUP(Table1722[[#This Row],[Bukti]],Table13[#Data],11,FALSE),"")</f>
        <v/>
      </c>
    </row>
    <row r="5192" spans="1:9" hidden="1" x14ac:dyDescent="0.2">
      <c r="A5192" s="105" t="str">
        <f>IF(D5192=1,COUNTIF($D$10:D5192,1)," ")</f>
        <v xml:space="preserve"> </v>
      </c>
      <c r="B5192" s="106">
        <f>COPY!AR5184</f>
        <v>0</v>
      </c>
      <c r="C5192" s="107">
        <f>COPY!AC5184</f>
        <v>0</v>
      </c>
      <c r="D5192" s="107" t="str">
        <f>IF(LEN(Table1722[[#This Row],[Uraian]])&gt;2,1," ")</f>
        <v xml:space="preserve"> </v>
      </c>
      <c r="E5192" s="113" t="str">
        <f>IF(Table1722[[#This Row],[Lawan Transaksi]]="CV AGUNG KARYA",COUNTIF($I$10:I5192,"CV AGUNG KARYA")," ")</f>
        <v xml:space="preserve"> </v>
      </c>
      <c r="F5192" s="107" t="str">
        <f>IF(LEN(Table1722[[#This Row],[Uraian]])&gt;2,TRIM(RIGHT(SUBSTITUTE(TRIM(C5192)," ",REPT(" ",255)),255))," ")</f>
        <v xml:space="preserve"> </v>
      </c>
      <c r="G5192" s="110">
        <f>COPY!Z5184</f>
        <v>0</v>
      </c>
      <c r="H5192" s="111" t="str">
        <f>IFERROR(VLOOKUP(Table1722[[#This Row],[Bukti]],'Un nOTA'!$A$4:$K$5003,10,FALSE),"")</f>
        <v/>
      </c>
      <c r="I5192" s="123" t="str">
        <f>IFERROR(VLOOKUP(Table1722[[#This Row],[Bukti]],Table13[#Data],11,FALSE),"")</f>
        <v/>
      </c>
    </row>
    <row r="5193" spans="1:9" hidden="1" x14ac:dyDescent="0.2">
      <c r="A5193" s="105" t="str">
        <f>IF(D5193=1,COUNTIF($D$10:D5193,1)," ")</f>
        <v xml:space="preserve"> </v>
      </c>
      <c r="B5193" s="106">
        <f>COPY!AR5185</f>
        <v>0</v>
      </c>
      <c r="C5193" s="107">
        <f>COPY!AC5185</f>
        <v>0</v>
      </c>
      <c r="D5193" s="107" t="str">
        <f>IF(LEN(Table1722[[#This Row],[Uraian]])&gt;2,1," ")</f>
        <v xml:space="preserve"> </v>
      </c>
      <c r="E5193" s="113" t="str">
        <f>IF(Table1722[[#This Row],[Lawan Transaksi]]="CV AGUNG KARYA",COUNTIF($I$10:I5193,"CV AGUNG KARYA")," ")</f>
        <v xml:space="preserve"> </v>
      </c>
      <c r="F5193" s="107" t="str">
        <f>IF(LEN(Table1722[[#This Row],[Uraian]])&gt;2,TRIM(RIGHT(SUBSTITUTE(TRIM(C5193)," ",REPT(" ",255)),255))," ")</f>
        <v xml:space="preserve"> </v>
      </c>
      <c r="G5193" s="110">
        <f>COPY!Z5185</f>
        <v>0</v>
      </c>
      <c r="H5193" s="111" t="str">
        <f>IFERROR(VLOOKUP(Table1722[[#This Row],[Bukti]],'Un nOTA'!$A$4:$K$5003,10,FALSE),"")</f>
        <v/>
      </c>
      <c r="I5193" s="123" t="str">
        <f>IFERROR(VLOOKUP(Table1722[[#This Row],[Bukti]],Table13[#Data],11,FALSE),"")</f>
        <v/>
      </c>
    </row>
    <row r="5194" spans="1:9" hidden="1" x14ac:dyDescent="0.2">
      <c r="A5194" s="105" t="str">
        <f>IF(D5194=1,COUNTIF($D$10:D5194,1)," ")</f>
        <v xml:space="preserve"> </v>
      </c>
      <c r="B5194" s="106">
        <f>COPY!AR5186</f>
        <v>0</v>
      </c>
      <c r="C5194" s="107">
        <f>COPY!AC5186</f>
        <v>0</v>
      </c>
      <c r="D5194" s="107" t="str">
        <f>IF(LEN(Table1722[[#This Row],[Uraian]])&gt;2,1," ")</f>
        <v xml:space="preserve"> </v>
      </c>
      <c r="E5194" s="113" t="str">
        <f>IF(Table1722[[#This Row],[Lawan Transaksi]]="CV AGUNG KARYA",COUNTIF($I$10:I5194,"CV AGUNG KARYA")," ")</f>
        <v xml:space="preserve"> </v>
      </c>
      <c r="F5194" s="107" t="str">
        <f>IF(LEN(Table1722[[#This Row],[Uraian]])&gt;2,TRIM(RIGHT(SUBSTITUTE(TRIM(C5194)," ",REPT(" ",255)),255))," ")</f>
        <v xml:space="preserve"> </v>
      </c>
      <c r="G5194" s="110">
        <f>COPY!Z5186</f>
        <v>0</v>
      </c>
      <c r="H5194" s="111" t="str">
        <f>IFERROR(VLOOKUP(Table1722[[#This Row],[Bukti]],'Un nOTA'!$A$4:$K$5003,10,FALSE),"")</f>
        <v/>
      </c>
      <c r="I5194" s="123" t="str">
        <f>IFERROR(VLOOKUP(Table1722[[#This Row],[Bukti]],Table13[#Data],11,FALSE),"")</f>
        <v/>
      </c>
    </row>
    <row r="5195" spans="1:9" hidden="1" x14ac:dyDescent="0.2">
      <c r="A5195" s="105" t="str">
        <f>IF(D5195=1,COUNTIF($D$10:D5195,1)," ")</f>
        <v xml:space="preserve"> </v>
      </c>
      <c r="B5195" s="106">
        <f>COPY!AR5187</f>
        <v>0</v>
      </c>
      <c r="C5195" s="107">
        <f>COPY!AC5187</f>
        <v>0</v>
      </c>
      <c r="D5195" s="107" t="str">
        <f>IF(LEN(Table1722[[#This Row],[Uraian]])&gt;2,1," ")</f>
        <v xml:space="preserve"> </v>
      </c>
      <c r="E5195" s="113" t="str">
        <f>IF(Table1722[[#This Row],[Lawan Transaksi]]="CV AGUNG KARYA",COUNTIF($I$10:I5195,"CV AGUNG KARYA")," ")</f>
        <v xml:space="preserve"> </v>
      </c>
      <c r="F5195" s="107" t="str">
        <f>IF(LEN(Table1722[[#This Row],[Uraian]])&gt;2,TRIM(RIGHT(SUBSTITUTE(TRIM(C5195)," ",REPT(" ",255)),255))," ")</f>
        <v xml:space="preserve"> </v>
      </c>
      <c r="G5195" s="110">
        <f>COPY!Z5187</f>
        <v>0</v>
      </c>
      <c r="H5195" s="111" t="str">
        <f>IFERROR(VLOOKUP(Table1722[[#This Row],[Bukti]],'Un nOTA'!$A$4:$K$5003,10,FALSE),"")</f>
        <v/>
      </c>
      <c r="I5195" s="123" t="str">
        <f>IFERROR(VLOOKUP(Table1722[[#This Row],[Bukti]],Table13[#Data],11,FALSE),"")</f>
        <v/>
      </c>
    </row>
    <row r="5196" spans="1:9" hidden="1" x14ac:dyDescent="0.2">
      <c r="A5196" s="105" t="str">
        <f>IF(D5196=1,COUNTIF($D$10:D5196,1)," ")</f>
        <v xml:space="preserve"> </v>
      </c>
      <c r="B5196" s="106">
        <f>COPY!AR5188</f>
        <v>0</v>
      </c>
      <c r="C5196" s="107">
        <f>COPY!AC5188</f>
        <v>0</v>
      </c>
      <c r="D5196" s="107" t="str">
        <f>IF(LEN(Table1722[[#This Row],[Uraian]])&gt;2,1," ")</f>
        <v xml:space="preserve"> </v>
      </c>
      <c r="E5196" s="113" t="str">
        <f>IF(Table1722[[#This Row],[Lawan Transaksi]]="CV AGUNG KARYA",COUNTIF($I$10:I5196,"CV AGUNG KARYA")," ")</f>
        <v xml:space="preserve"> </v>
      </c>
      <c r="F5196" s="107" t="str">
        <f>IF(LEN(Table1722[[#This Row],[Uraian]])&gt;2,TRIM(RIGHT(SUBSTITUTE(TRIM(C5196)," ",REPT(" ",255)),255))," ")</f>
        <v xml:space="preserve"> </v>
      </c>
      <c r="G5196" s="110">
        <f>COPY!Z5188</f>
        <v>0</v>
      </c>
      <c r="H5196" s="111" t="str">
        <f>IFERROR(VLOOKUP(Table1722[[#This Row],[Bukti]],'Un nOTA'!$A$4:$K$5003,10,FALSE),"")</f>
        <v/>
      </c>
      <c r="I5196" s="123" t="str">
        <f>IFERROR(VLOOKUP(Table1722[[#This Row],[Bukti]],Table13[#Data],11,FALSE),"")</f>
        <v/>
      </c>
    </row>
    <row r="5197" spans="1:9" hidden="1" x14ac:dyDescent="0.2">
      <c r="A5197" s="105" t="str">
        <f>IF(D5197=1,COUNTIF($D$10:D5197,1)," ")</f>
        <v xml:space="preserve"> </v>
      </c>
      <c r="B5197" s="106">
        <f>COPY!AR5189</f>
        <v>0</v>
      </c>
      <c r="C5197" s="107">
        <f>COPY!AC5189</f>
        <v>0</v>
      </c>
      <c r="D5197" s="107" t="str">
        <f>IF(LEN(Table1722[[#This Row],[Uraian]])&gt;2,1," ")</f>
        <v xml:space="preserve"> </v>
      </c>
      <c r="E5197" s="113" t="str">
        <f>IF(Table1722[[#This Row],[Lawan Transaksi]]="CV AGUNG KARYA",COUNTIF($I$10:I5197,"CV AGUNG KARYA")," ")</f>
        <v xml:space="preserve"> </v>
      </c>
      <c r="F5197" s="107" t="str">
        <f>IF(LEN(Table1722[[#This Row],[Uraian]])&gt;2,TRIM(RIGHT(SUBSTITUTE(TRIM(C5197)," ",REPT(" ",255)),255))," ")</f>
        <v xml:space="preserve"> </v>
      </c>
      <c r="G5197" s="110">
        <f>COPY!Z5189</f>
        <v>0</v>
      </c>
      <c r="H5197" s="111" t="str">
        <f>IFERROR(VLOOKUP(Table1722[[#This Row],[Bukti]],'Un nOTA'!$A$4:$K$5003,10,FALSE),"")</f>
        <v/>
      </c>
      <c r="I5197" s="123" t="str">
        <f>IFERROR(VLOOKUP(Table1722[[#This Row],[Bukti]],Table13[#Data],11,FALSE),"")</f>
        <v/>
      </c>
    </row>
    <row r="5198" spans="1:9" hidden="1" x14ac:dyDescent="0.2">
      <c r="A5198" s="105" t="str">
        <f>IF(D5198=1,COUNTIF($D$10:D5198,1)," ")</f>
        <v xml:space="preserve"> </v>
      </c>
      <c r="B5198" s="106">
        <f>COPY!AR5190</f>
        <v>0</v>
      </c>
      <c r="C5198" s="107">
        <f>COPY!AC5190</f>
        <v>0</v>
      </c>
      <c r="D5198" s="107" t="str">
        <f>IF(LEN(Table1722[[#This Row],[Uraian]])&gt;2,1," ")</f>
        <v xml:space="preserve"> </v>
      </c>
      <c r="E5198" s="113" t="str">
        <f>IF(Table1722[[#This Row],[Lawan Transaksi]]="CV AGUNG KARYA",COUNTIF($I$10:I5198,"CV AGUNG KARYA")," ")</f>
        <v xml:space="preserve"> </v>
      </c>
      <c r="F5198" s="107" t="str">
        <f>IF(LEN(Table1722[[#This Row],[Uraian]])&gt;2,TRIM(RIGHT(SUBSTITUTE(TRIM(C5198)," ",REPT(" ",255)),255))," ")</f>
        <v xml:space="preserve"> </v>
      </c>
      <c r="G5198" s="110">
        <f>COPY!Z5190</f>
        <v>0</v>
      </c>
      <c r="H5198" s="111" t="str">
        <f>IFERROR(VLOOKUP(Table1722[[#This Row],[Bukti]],'Un nOTA'!$A$4:$K$5003,10,FALSE),"")</f>
        <v/>
      </c>
      <c r="I5198" s="123" t="str">
        <f>IFERROR(VLOOKUP(Table1722[[#This Row],[Bukti]],Table13[#Data],11,FALSE),"")</f>
        <v/>
      </c>
    </row>
    <row r="5199" spans="1:9" hidden="1" x14ac:dyDescent="0.2">
      <c r="A5199" s="105" t="str">
        <f>IF(D5199=1,COUNTIF($D$10:D5199,1)," ")</f>
        <v xml:space="preserve"> </v>
      </c>
      <c r="B5199" s="106">
        <f>COPY!AR5191</f>
        <v>0</v>
      </c>
      <c r="C5199" s="107">
        <f>COPY!AC5191</f>
        <v>0</v>
      </c>
      <c r="D5199" s="107" t="str">
        <f>IF(LEN(Table1722[[#This Row],[Uraian]])&gt;2,1," ")</f>
        <v xml:space="preserve"> </v>
      </c>
      <c r="E5199" s="113" t="str">
        <f>IF(Table1722[[#This Row],[Lawan Transaksi]]="CV AGUNG KARYA",COUNTIF($I$10:I5199,"CV AGUNG KARYA")," ")</f>
        <v xml:space="preserve"> </v>
      </c>
      <c r="F5199" s="107" t="str">
        <f>IF(LEN(Table1722[[#This Row],[Uraian]])&gt;2,TRIM(RIGHT(SUBSTITUTE(TRIM(C5199)," ",REPT(" ",255)),255))," ")</f>
        <v xml:space="preserve"> </v>
      </c>
      <c r="G5199" s="110">
        <f>COPY!Z5191</f>
        <v>0</v>
      </c>
      <c r="H5199" s="111" t="str">
        <f>IFERROR(VLOOKUP(Table1722[[#This Row],[Bukti]],'Un nOTA'!$A$4:$K$5003,10,FALSE),"")</f>
        <v/>
      </c>
      <c r="I5199" s="123" t="str">
        <f>IFERROR(VLOOKUP(Table1722[[#This Row],[Bukti]],Table13[#Data],11,FALSE),"")</f>
        <v/>
      </c>
    </row>
    <row r="5200" spans="1:9" hidden="1" x14ac:dyDescent="0.2">
      <c r="A5200" s="105" t="str">
        <f>IF(D5200=1,COUNTIF($D$10:D5200,1)," ")</f>
        <v xml:space="preserve"> </v>
      </c>
      <c r="B5200" s="106">
        <f>COPY!AR5192</f>
        <v>0</v>
      </c>
      <c r="C5200" s="107">
        <f>COPY!AC5192</f>
        <v>0</v>
      </c>
      <c r="D5200" s="107" t="str">
        <f>IF(LEN(Table1722[[#This Row],[Uraian]])&gt;2,1," ")</f>
        <v xml:space="preserve"> </v>
      </c>
      <c r="E5200" s="113" t="str">
        <f>IF(Table1722[[#This Row],[Lawan Transaksi]]="CV AGUNG KARYA",COUNTIF($I$10:I5200,"CV AGUNG KARYA")," ")</f>
        <v xml:space="preserve"> </v>
      </c>
      <c r="F5200" s="107" t="str">
        <f>IF(LEN(Table1722[[#This Row],[Uraian]])&gt;2,TRIM(RIGHT(SUBSTITUTE(TRIM(C5200)," ",REPT(" ",255)),255))," ")</f>
        <v xml:space="preserve"> </v>
      </c>
      <c r="G5200" s="110">
        <f>COPY!Z5192</f>
        <v>0</v>
      </c>
      <c r="H5200" s="111" t="str">
        <f>IFERROR(VLOOKUP(Table1722[[#This Row],[Bukti]],'Un nOTA'!$A$4:$K$5003,10,FALSE),"")</f>
        <v/>
      </c>
      <c r="I5200" s="123" t="str">
        <f>IFERROR(VLOOKUP(Table1722[[#This Row],[Bukti]],Table13[#Data],11,FALSE),"")</f>
        <v/>
      </c>
    </row>
    <row r="5201" spans="1:9" hidden="1" x14ac:dyDescent="0.2">
      <c r="A5201" s="105" t="str">
        <f>IF(D5201=1,COUNTIF($D$10:D5201,1)," ")</f>
        <v xml:space="preserve"> </v>
      </c>
      <c r="B5201" s="106">
        <f>COPY!AR5193</f>
        <v>0</v>
      </c>
      <c r="C5201" s="107">
        <f>COPY!AC5193</f>
        <v>0</v>
      </c>
      <c r="D5201" s="107" t="str">
        <f>IF(LEN(Table1722[[#This Row],[Uraian]])&gt;2,1," ")</f>
        <v xml:space="preserve"> </v>
      </c>
      <c r="E5201" s="113" t="str">
        <f>IF(Table1722[[#This Row],[Lawan Transaksi]]="CV AGUNG KARYA",COUNTIF($I$10:I5201,"CV AGUNG KARYA")," ")</f>
        <v xml:space="preserve"> </v>
      </c>
      <c r="F5201" s="107" t="str">
        <f>IF(LEN(Table1722[[#This Row],[Uraian]])&gt;2,TRIM(RIGHT(SUBSTITUTE(TRIM(C5201)," ",REPT(" ",255)),255))," ")</f>
        <v xml:space="preserve"> </v>
      </c>
      <c r="G5201" s="110">
        <f>COPY!Z5193</f>
        <v>0</v>
      </c>
      <c r="H5201" s="111" t="str">
        <f>IFERROR(VLOOKUP(Table1722[[#This Row],[Bukti]],'Un nOTA'!$A$4:$K$5003,10,FALSE),"")</f>
        <v/>
      </c>
      <c r="I5201" s="123" t="str">
        <f>IFERROR(VLOOKUP(Table1722[[#This Row],[Bukti]],Table13[#Data],11,FALSE),"")</f>
        <v/>
      </c>
    </row>
    <row r="5202" spans="1:9" hidden="1" x14ac:dyDescent="0.2">
      <c r="A5202" s="105" t="str">
        <f>IF(D5202=1,COUNTIF($D$10:D5202,1)," ")</f>
        <v xml:space="preserve"> </v>
      </c>
      <c r="B5202" s="106">
        <f>COPY!AR5194</f>
        <v>0</v>
      </c>
      <c r="C5202" s="107">
        <f>COPY!AC5194</f>
        <v>0</v>
      </c>
      <c r="D5202" s="107" t="str">
        <f>IF(LEN(Table1722[[#This Row],[Uraian]])&gt;2,1," ")</f>
        <v xml:space="preserve"> </v>
      </c>
      <c r="E5202" s="113" t="str">
        <f>IF(Table1722[[#This Row],[Lawan Transaksi]]="CV AGUNG KARYA",COUNTIF($I$10:I5202,"CV AGUNG KARYA")," ")</f>
        <v xml:space="preserve"> </v>
      </c>
      <c r="F5202" s="107" t="str">
        <f>IF(LEN(Table1722[[#This Row],[Uraian]])&gt;2,TRIM(RIGHT(SUBSTITUTE(TRIM(C5202)," ",REPT(" ",255)),255))," ")</f>
        <v xml:space="preserve"> </v>
      </c>
      <c r="G5202" s="110">
        <f>COPY!Z5194</f>
        <v>0</v>
      </c>
      <c r="H5202" s="111" t="str">
        <f>IFERROR(VLOOKUP(Table1722[[#This Row],[Bukti]],'Un nOTA'!$A$4:$K$5003,10,FALSE),"")</f>
        <v/>
      </c>
      <c r="I5202" s="123" t="str">
        <f>IFERROR(VLOOKUP(Table1722[[#This Row],[Bukti]],Table13[#Data],11,FALSE),"")</f>
        <v/>
      </c>
    </row>
    <row r="5203" spans="1:9" hidden="1" x14ac:dyDescent="0.2">
      <c r="A5203" s="105" t="str">
        <f>IF(D5203=1,COUNTIF($D$10:D5203,1)," ")</f>
        <v xml:space="preserve"> </v>
      </c>
      <c r="B5203" s="106">
        <f>COPY!AR5195</f>
        <v>0</v>
      </c>
      <c r="C5203" s="107">
        <f>COPY!AC5195</f>
        <v>0</v>
      </c>
      <c r="D5203" s="107" t="str">
        <f>IF(LEN(Table1722[[#This Row],[Uraian]])&gt;2,1," ")</f>
        <v xml:space="preserve"> </v>
      </c>
      <c r="E5203" s="113" t="str">
        <f>IF(Table1722[[#This Row],[Lawan Transaksi]]="CV AGUNG KARYA",COUNTIF($I$10:I5203,"CV AGUNG KARYA")," ")</f>
        <v xml:space="preserve"> </v>
      </c>
      <c r="F5203" s="107" t="str">
        <f>IF(LEN(Table1722[[#This Row],[Uraian]])&gt;2,TRIM(RIGHT(SUBSTITUTE(TRIM(C5203)," ",REPT(" ",255)),255))," ")</f>
        <v xml:space="preserve"> </v>
      </c>
      <c r="G5203" s="110">
        <f>COPY!Z5195</f>
        <v>0</v>
      </c>
      <c r="H5203" s="111" t="str">
        <f>IFERROR(VLOOKUP(Table1722[[#This Row],[Bukti]],'Un nOTA'!$A$4:$K$5003,10,FALSE),"")</f>
        <v/>
      </c>
      <c r="I5203" s="123" t="str">
        <f>IFERROR(VLOOKUP(Table1722[[#This Row],[Bukti]],Table13[#Data],11,FALSE),"")</f>
        <v/>
      </c>
    </row>
    <row r="5204" spans="1:9" hidden="1" x14ac:dyDescent="0.2">
      <c r="A5204" s="105" t="str">
        <f>IF(D5204=1,COUNTIF($D$10:D5204,1)," ")</f>
        <v xml:space="preserve"> </v>
      </c>
      <c r="B5204" s="106">
        <f>COPY!AR5196</f>
        <v>0</v>
      </c>
      <c r="C5204" s="107">
        <f>COPY!AC5196</f>
        <v>0</v>
      </c>
      <c r="D5204" s="107" t="str">
        <f>IF(LEN(Table1722[[#This Row],[Uraian]])&gt;2,1," ")</f>
        <v xml:space="preserve"> </v>
      </c>
      <c r="E5204" s="113" t="str">
        <f>IF(Table1722[[#This Row],[Lawan Transaksi]]="CV AGUNG KARYA",COUNTIF($I$10:I5204,"CV AGUNG KARYA")," ")</f>
        <v xml:space="preserve"> </v>
      </c>
      <c r="F5204" s="107" t="str">
        <f>IF(LEN(Table1722[[#This Row],[Uraian]])&gt;2,TRIM(RIGHT(SUBSTITUTE(TRIM(C5204)," ",REPT(" ",255)),255))," ")</f>
        <v xml:space="preserve"> </v>
      </c>
      <c r="G5204" s="110">
        <f>COPY!Z5196</f>
        <v>0</v>
      </c>
      <c r="H5204" s="111" t="str">
        <f>IFERROR(VLOOKUP(Table1722[[#This Row],[Bukti]],'Un nOTA'!$A$4:$K$5003,10,FALSE),"")</f>
        <v/>
      </c>
      <c r="I5204" s="123" t="str">
        <f>IFERROR(VLOOKUP(Table1722[[#This Row],[Bukti]],Table13[#Data],11,FALSE),"")</f>
        <v/>
      </c>
    </row>
    <row r="5205" spans="1:9" hidden="1" x14ac:dyDescent="0.2">
      <c r="A5205" s="105" t="str">
        <f>IF(D5205=1,COUNTIF($D$10:D5205,1)," ")</f>
        <v xml:space="preserve"> </v>
      </c>
      <c r="B5205" s="106">
        <f>COPY!AR5197</f>
        <v>0</v>
      </c>
      <c r="C5205" s="107">
        <f>COPY!AC5197</f>
        <v>0</v>
      </c>
      <c r="D5205" s="107" t="str">
        <f>IF(LEN(Table1722[[#This Row],[Uraian]])&gt;2,1," ")</f>
        <v xml:space="preserve"> </v>
      </c>
      <c r="E5205" s="113" t="str">
        <f>IF(Table1722[[#This Row],[Lawan Transaksi]]="CV AGUNG KARYA",COUNTIF($I$10:I5205,"CV AGUNG KARYA")," ")</f>
        <v xml:space="preserve"> </v>
      </c>
      <c r="F5205" s="107" t="str">
        <f>IF(LEN(Table1722[[#This Row],[Uraian]])&gt;2,TRIM(RIGHT(SUBSTITUTE(TRIM(C5205)," ",REPT(" ",255)),255))," ")</f>
        <v xml:space="preserve"> </v>
      </c>
      <c r="G5205" s="110">
        <f>COPY!Z5197</f>
        <v>0</v>
      </c>
      <c r="H5205" s="111" t="str">
        <f>IFERROR(VLOOKUP(Table1722[[#This Row],[Bukti]],'Un nOTA'!$A$4:$K$5003,10,FALSE),"")</f>
        <v/>
      </c>
      <c r="I5205" s="123" t="str">
        <f>IFERROR(VLOOKUP(Table1722[[#This Row],[Bukti]],Table13[#Data],11,FALSE),"")</f>
        <v/>
      </c>
    </row>
    <row r="5206" spans="1:9" hidden="1" x14ac:dyDescent="0.2">
      <c r="A5206" s="105" t="str">
        <f>IF(D5206=1,COUNTIF($D$10:D5206,1)," ")</f>
        <v xml:space="preserve"> </v>
      </c>
      <c r="B5206" s="106">
        <f>COPY!AR5198</f>
        <v>0</v>
      </c>
      <c r="C5206" s="107">
        <f>COPY!AC5198</f>
        <v>0</v>
      </c>
      <c r="D5206" s="107" t="str">
        <f>IF(LEN(Table1722[[#This Row],[Uraian]])&gt;2,1," ")</f>
        <v xml:space="preserve"> </v>
      </c>
      <c r="E5206" s="113" t="str">
        <f>IF(Table1722[[#This Row],[Lawan Transaksi]]="CV AGUNG KARYA",COUNTIF($I$10:I5206,"CV AGUNG KARYA")," ")</f>
        <v xml:space="preserve"> </v>
      </c>
      <c r="F5206" s="107" t="str">
        <f>IF(LEN(Table1722[[#This Row],[Uraian]])&gt;2,TRIM(RIGHT(SUBSTITUTE(TRIM(C5206)," ",REPT(" ",255)),255))," ")</f>
        <v xml:space="preserve"> </v>
      </c>
      <c r="G5206" s="110">
        <f>COPY!Z5198</f>
        <v>0</v>
      </c>
      <c r="H5206" s="111" t="str">
        <f>IFERROR(VLOOKUP(Table1722[[#This Row],[Bukti]],'Un nOTA'!$A$4:$K$5003,10,FALSE),"")</f>
        <v/>
      </c>
      <c r="I5206" s="123" t="str">
        <f>IFERROR(VLOOKUP(Table1722[[#This Row],[Bukti]],Table13[#Data],11,FALSE),"")</f>
        <v/>
      </c>
    </row>
    <row r="5207" spans="1:9" hidden="1" x14ac:dyDescent="0.2">
      <c r="A5207" s="105" t="str">
        <f>IF(D5207=1,COUNTIF($D$10:D5207,1)," ")</f>
        <v xml:space="preserve"> </v>
      </c>
      <c r="B5207" s="106">
        <f>COPY!AR5199</f>
        <v>0</v>
      </c>
      <c r="C5207" s="107">
        <f>COPY!AC5199</f>
        <v>0</v>
      </c>
      <c r="D5207" s="107" t="str">
        <f>IF(LEN(Table1722[[#This Row],[Uraian]])&gt;2,1," ")</f>
        <v xml:space="preserve"> </v>
      </c>
      <c r="E5207" s="113" t="str">
        <f>IF(Table1722[[#This Row],[Lawan Transaksi]]="CV AGUNG KARYA",COUNTIF($I$10:I5207,"CV AGUNG KARYA")," ")</f>
        <v xml:space="preserve"> </v>
      </c>
      <c r="F5207" s="107" t="str">
        <f>IF(LEN(Table1722[[#This Row],[Uraian]])&gt;2,TRIM(RIGHT(SUBSTITUTE(TRIM(C5207)," ",REPT(" ",255)),255))," ")</f>
        <v xml:space="preserve"> </v>
      </c>
      <c r="G5207" s="110">
        <f>COPY!Z5199</f>
        <v>0</v>
      </c>
      <c r="H5207" s="111" t="str">
        <f>IFERROR(VLOOKUP(Table1722[[#This Row],[Bukti]],'Un nOTA'!$A$4:$K$5003,10,FALSE),"")</f>
        <v/>
      </c>
      <c r="I5207" s="123" t="str">
        <f>IFERROR(VLOOKUP(Table1722[[#This Row],[Bukti]],Table13[#Data],11,FALSE),"")</f>
        <v/>
      </c>
    </row>
    <row r="5208" spans="1:9" hidden="1" x14ac:dyDescent="0.2">
      <c r="A5208" s="105" t="str">
        <f>IF(D5208=1,COUNTIF($D$10:D5208,1)," ")</f>
        <v xml:space="preserve"> </v>
      </c>
      <c r="B5208" s="106">
        <f>COPY!AR5200</f>
        <v>0</v>
      </c>
      <c r="C5208" s="107">
        <f>COPY!AC5200</f>
        <v>0</v>
      </c>
      <c r="D5208" s="107" t="str">
        <f>IF(LEN(Table1722[[#This Row],[Uraian]])&gt;2,1," ")</f>
        <v xml:space="preserve"> </v>
      </c>
      <c r="E5208" s="113" t="str">
        <f>IF(Table1722[[#This Row],[Lawan Transaksi]]="CV AGUNG KARYA",COUNTIF($I$10:I5208,"CV AGUNG KARYA")," ")</f>
        <v xml:space="preserve"> </v>
      </c>
      <c r="F5208" s="107" t="str">
        <f>IF(LEN(Table1722[[#This Row],[Uraian]])&gt;2,TRIM(RIGHT(SUBSTITUTE(TRIM(C5208)," ",REPT(" ",255)),255))," ")</f>
        <v xml:space="preserve"> </v>
      </c>
      <c r="G5208" s="110">
        <f>COPY!Z5200</f>
        <v>0</v>
      </c>
      <c r="H5208" s="111" t="str">
        <f>IFERROR(VLOOKUP(Table1722[[#This Row],[Bukti]],'Un nOTA'!$A$4:$K$5003,10,FALSE),"")</f>
        <v/>
      </c>
      <c r="I5208" s="123" t="str">
        <f>IFERROR(VLOOKUP(Table1722[[#This Row],[Bukti]],Table13[#Data],11,FALSE),"")</f>
        <v/>
      </c>
    </row>
    <row r="5209" spans="1:9" hidden="1" x14ac:dyDescent="0.2">
      <c r="A5209" s="105" t="str">
        <f>IF(D5209=1,COUNTIF($D$10:D5209,1)," ")</f>
        <v xml:space="preserve"> </v>
      </c>
      <c r="B5209" s="106">
        <f>COPY!AR5201</f>
        <v>0</v>
      </c>
      <c r="C5209" s="107">
        <f>COPY!AC5201</f>
        <v>0</v>
      </c>
      <c r="D5209" s="107" t="str">
        <f>IF(LEN(Table1722[[#This Row],[Uraian]])&gt;2,1," ")</f>
        <v xml:space="preserve"> </v>
      </c>
      <c r="E5209" s="113" t="str">
        <f>IF(Table1722[[#This Row],[Lawan Transaksi]]="CV AGUNG KARYA",COUNTIF($I$10:I5209,"CV AGUNG KARYA")," ")</f>
        <v xml:space="preserve"> </v>
      </c>
      <c r="F5209" s="107" t="str">
        <f>IF(LEN(Table1722[[#This Row],[Uraian]])&gt;2,TRIM(RIGHT(SUBSTITUTE(TRIM(C5209)," ",REPT(" ",255)),255))," ")</f>
        <v xml:space="preserve"> </v>
      </c>
      <c r="G5209" s="110">
        <f>COPY!Z5201</f>
        <v>0</v>
      </c>
      <c r="H5209" s="111" t="str">
        <f>IFERROR(VLOOKUP(Table1722[[#This Row],[Bukti]],'Un nOTA'!$A$4:$K$5003,10,FALSE),"")</f>
        <v/>
      </c>
      <c r="I5209" s="123" t="str">
        <f>IFERROR(VLOOKUP(Table1722[[#This Row],[Bukti]],Table13[#Data],11,FALSE),"")</f>
        <v/>
      </c>
    </row>
    <row r="5210" spans="1:9" hidden="1" x14ac:dyDescent="0.2">
      <c r="A5210" s="105" t="str">
        <f>IF(D5210=1,COUNTIF($D$10:D5210,1)," ")</f>
        <v xml:space="preserve"> </v>
      </c>
      <c r="B5210" s="106">
        <f>COPY!AR5202</f>
        <v>0</v>
      </c>
      <c r="C5210" s="107">
        <f>COPY!AC5202</f>
        <v>0</v>
      </c>
      <c r="D5210" s="107" t="str">
        <f>IF(LEN(Table1722[[#This Row],[Uraian]])&gt;2,1," ")</f>
        <v xml:space="preserve"> </v>
      </c>
      <c r="E5210" s="113" t="str">
        <f>IF(Table1722[[#This Row],[Lawan Transaksi]]="CV AGUNG KARYA",COUNTIF($I$10:I5210,"CV AGUNG KARYA")," ")</f>
        <v xml:space="preserve"> </v>
      </c>
      <c r="F5210" s="107" t="str">
        <f>IF(LEN(Table1722[[#This Row],[Uraian]])&gt;2,TRIM(RIGHT(SUBSTITUTE(TRIM(C5210)," ",REPT(" ",255)),255))," ")</f>
        <v xml:space="preserve"> </v>
      </c>
      <c r="G5210" s="110">
        <f>COPY!Z5202</f>
        <v>0</v>
      </c>
      <c r="H5210" s="111" t="str">
        <f>IFERROR(VLOOKUP(Table1722[[#This Row],[Bukti]],'Un nOTA'!$A$4:$K$5003,10,FALSE),"")</f>
        <v/>
      </c>
      <c r="I5210" s="123" t="str">
        <f>IFERROR(VLOOKUP(Table1722[[#This Row],[Bukti]],Table13[#Data],11,FALSE),"")</f>
        <v/>
      </c>
    </row>
    <row r="5211" spans="1:9" hidden="1" x14ac:dyDescent="0.2">
      <c r="A5211" s="105" t="str">
        <f>IF(D5211=1,COUNTIF($D$10:D5211,1)," ")</f>
        <v xml:space="preserve"> </v>
      </c>
      <c r="B5211" s="106">
        <f>COPY!AR5203</f>
        <v>0</v>
      </c>
      <c r="C5211" s="107">
        <f>COPY!AC5203</f>
        <v>0</v>
      </c>
      <c r="D5211" s="107" t="str">
        <f>IF(LEN(Table1722[[#This Row],[Uraian]])&gt;2,1," ")</f>
        <v xml:space="preserve"> </v>
      </c>
      <c r="E5211" s="113" t="str">
        <f>IF(Table1722[[#This Row],[Lawan Transaksi]]="CV AGUNG KARYA",COUNTIF($I$10:I5211,"CV AGUNG KARYA")," ")</f>
        <v xml:space="preserve"> </v>
      </c>
      <c r="F5211" s="107" t="str">
        <f>IF(LEN(Table1722[[#This Row],[Uraian]])&gt;2,TRIM(RIGHT(SUBSTITUTE(TRIM(C5211)," ",REPT(" ",255)),255))," ")</f>
        <v xml:space="preserve"> </v>
      </c>
      <c r="G5211" s="110">
        <f>COPY!Z5203</f>
        <v>0</v>
      </c>
      <c r="H5211" s="111" t="str">
        <f>IFERROR(VLOOKUP(Table1722[[#This Row],[Bukti]],'Un nOTA'!$A$4:$K$5003,10,FALSE),"")</f>
        <v/>
      </c>
      <c r="I5211" s="123" t="str">
        <f>IFERROR(VLOOKUP(Table1722[[#This Row],[Bukti]],Table13[#Data],11,FALSE),"")</f>
        <v/>
      </c>
    </row>
    <row r="5212" spans="1:9" hidden="1" x14ac:dyDescent="0.2">
      <c r="A5212" s="105" t="str">
        <f>IF(D5212=1,COUNTIF($D$10:D5212,1)," ")</f>
        <v xml:space="preserve"> </v>
      </c>
      <c r="B5212" s="106">
        <f>COPY!AR5204</f>
        <v>0</v>
      </c>
      <c r="C5212" s="107">
        <f>COPY!AC5204</f>
        <v>0</v>
      </c>
      <c r="D5212" s="107" t="str">
        <f>IF(LEN(Table1722[[#This Row],[Uraian]])&gt;2,1," ")</f>
        <v xml:space="preserve"> </v>
      </c>
      <c r="E5212" s="113" t="str">
        <f>IF(Table1722[[#This Row],[Lawan Transaksi]]="CV AGUNG KARYA",COUNTIF($I$10:I5212,"CV AGUNG KARYA")," ")</f>
        <v xml:space="preserve"> </v>
      </c>
      <c r="F5212" s="107" t="str">
        <f>IF(LEN(Table1722[[#This Row],[Uraian]])&gt;2,TRIM(RIGHT(SUBSTITUTE(TRIM(C5212)," ",REPT(" ",255)),255))," ")</f>
        <v xml:space="preserve"> </v>
      </c>
      <c r="G5212" s="110">
        <f>COPY!Z5204</f>
        <v>0</v>
      </c>
      <c r="H5212" s="111" t="str">
        <f>IFERROR(VLOOKUP(Table1722[[#This Row],[Bukti]],'Un nOTA'!$A$4:$K$5003,10,FALSE),"")</f>
        <v/>
      </c>
      <c r="I5212" s="123" t="str">
        <f>IFERROR(VLOOKUP(Table1722[[#This Row],[Bukti]],Table13[#Data],11,FALSE),"")</f>
        <v/>
      </c>
    </row>
    <row r="5213" spans="1:9" hidden="1" x14ac:dyDescent="0.2">
      <c r="A5213" s="105" t="str">
        <f>IF(D5213=1,COUNTIF($D$10:D5213,1)," ")</f>
        <v xml:space="preserve"> </v>
      </c>
      <c r="B5213" s="106">
        <f>COPY!AR5205</f>
        <v>0</v>
      </c>
      <c r="C5213" s="107">
        <f>COPY!AC5205</f>
        <v>0</v>
      </c>
      <c r="D5213" s="107" t="str">
        <f>IF(LEN(Table1722[[#This Row],[Uraian]])&gt;2,1," ")</f>
        <v xml:space="preserve"> </v>
      </c>
      <c r="E5213" s="113" t="str">
        <f>IF(Table1722[[#This Row],[Lawan Transaksi]]="CV AGUNG KARYA",COUNTIF($I$10:I5213,"CV AGUNG KARYA")," ")</f>
        <v xml:space="preserve"> </v>
      </c>
      <c r="F5213" s="107" t="str">
        <f>IF(LEN(Table1722[[#This Row],[Uraian]])&gt;2,TRIM(RIGHT(SUBSTITUTE(TRIM(C5213)," ",REPT(" ",255)),255))," ")</f>
        <v xml:space="preserve"> </v>
      </c>
      <c r="G5213" s="110">
        <f>COPY!Z5205</f>
        <v>0</v>
      </c>
      <c r="H5213" s="111" t="str">
        <f>IFERROR(VLOOKUP(Table1722[[#This Row],[Bukti]],'Un nOTA'!$A$4:$K$5003,10,FALSE),"")</f>
        <v/>
      </c>
      <c r="I5213" s="123" t="str">
        <f>IFERROR(VLOOKUP(Table1722[[#This Row],[Bukti]],Table13[#Data],11,FALSE),"")</f>
        <v/>
      </c>
    </row>
    <row r="5214" spans="1:9" hidden="1" x14ac:dyDescent="0.2">
      <c r="A5214" s="105" t="str">
        <f>IF(D5214=1,COUNTIF($D$10:D5214,1)," ")</f>
        <v xml:space="preserve"> </v>
      </c>
      <c r="B5214" s="106">
        <f>COPY!AR5206</f>
        <v>0</v>
      </c>
      <c r="C5214" s="107">
        <f>COPY!AC5206</f>
        <v>0</v>
      </c>
      <c r="D5214" s="107" t="str">
        <f>IF(LEN(Table1722[[#This Row],[Uraian]])&gt;2,1," ")</f>
        <v xml:space="preserve"> </v>
      </c>
      <c r="E5214" s="113" t="str">
        <f>IF(Table1722[[#This Row],[Lawan Transaksi]]="CV AGUNG KARYA",COUNTIF($I$10:I5214,"CV AGUNG KARYA")," ")</f>
        <v xml:space="preserve"> </v>
      </c>
      <c r="F5214" s="107" t="str">
        <f>IF(LEN(Table1722[[#This Row],[Uraian]])&gt;2,TRIM(RIGHT(SUBSTITUTE(TRIM(C5214)," ",REPT(" ",255)),255))," ")</f>
        <v xml:space="preserve"> </v>
      </c>
      <c r="G5214" s="110">
        <f>COPY!Z5206</f>
        <v>0</v>
      </c>
      <c r="H5214" s="111" t="str">
        <f>IFERROR(VLOOKUP(Table1722[[#This Row],[Bukti]],'Un nOTA'!$A$4:$K$5003,10,FALSE),"")</f>
        <v/>
      </c>
      <c r="I5214" s="123" t="str">
        <f>IFERROR(VLOOKUP(Table1722[[#This Row],[Bukti]],Table13[#Data],11,FALSE),"")</f>
        <v/>
      </c>
    </row>
    <row r="5215" spans="1:9" hidden="1" x14ac:dyDescent="0.2">
      <c r="A5215" s="105" t="str">
        <f>IF(D5215=1,COUNTIF($D$10:D5215,1)," ")</f>
        <v xml:space="preserve"> </v>
      </c>
      <c r="B5215" s="106">
        <f>COPY!AR5207</f>
        <v>0</v>
      </c>
      <c r="C5215" s="107">
        <f>COPY!AC5207</f>
        <v>0</v>
      </c>
      <c r="D5215" s="107" t="str">
        <f>IF(LEN(Table1722[[#This Row],[Uraian]])&gt;2,1," ")</f>
        <v xml:space="preserve"> </v>
      </c>
      <c r="E5215" s="113" t="str">
        <f>IF(Table1722[[#This Row],[Lawan Transaksi]]="CV AGUNG KARYA",COUNTIF($I$10:I5215,"CV AGUNG KARYA")," ")</f>
        <v xml:space="preserve"> </v>
      </c>
      <c r="F5215" s="107" t="str">
        <f>IF(LEN(Table1722[[#This Row],[Uraian]])&gt;2,TRIM(RIGHT(SUBSTITUTE(TRIM(C5215)," ",REPT(" ",255)),255))," ")</f>
        <v xml:space="preserve"> </v>
      </c>
      <c r="G5215" s="110">
        <f>COPY!Z5207</f>
        <v>0</v>
      </c>
      <c r="H5215" s="111" t="str">
        <f>IFERROR(VLOOKUP(Table1722[[#This Row],[Bukti]],'Un nOTA'!$A$4:$K$5003,10,FALSE),"")</f>
        <v/>
      </c>
      <c r="I5215" s="123" t="str">
        <f>IFERROR(VLOOKUP(Table1722[[#This Row],[Bukti]],Table13[#Data],11,FALSE),"")</f>
        <v/>
      </c>
    </row>
    <row r="5216" spans="1:9" hidden="1" x14ac:dyDescent="0.2">
      <c r="A5216" s="105" t="str">
        <f>IF(D5216=1,COUNTIF($D$10:D5216,1)," ")</f>
        <v xml:space="preserve"> </v>
      </c>
      <c r="B5216" s="106">
        <f>COPY!AR5208</f>
        <v>0</v>
      </c>
      <c r="C5216" s="107">
        <f>COPY!AC5208</f>
        <v>0</v>
      </c>
      <c r="D5216" s="107" t="str">
        <f>IF(LEN(Table1722[[#This Row],[Uraian]])&gt;2,1," ")</f>
        <v xml:space="preserve"> </v>
      </c>
      <c r="E5216" s="113" t="str">
        <f>IF(Table1722[[#This Row],[Lawan Transaksi]]="CV AGUNG KARYA",COUNTIF($I$10:I5216,"CV AGUNG KARYA")," ")</f>
        <v xml:space="preserve"> </v>
      </c>
      <c r="F5216" s="107" t="str">
        <f>IF(LEN(Table1722[[#This Row],[Uraian]])&gt;2,TRIM(RIGHT(SUBSTITUTE(TRIM(C5216)," ",REPT(" ",255)),255))," ")</f>
        <v xml:space="preserve"> </v>
      </c>
      <c r="G5216" s="110">
        <f>COPY!Z5208</f>
        <v>0</v>
      </c>
      <c r="H5216" s="111" t="str">
        <f>IFERROR(VLOOKUP(Table1722[[#This Row],[Bukti]],'Un nOTA'!$A$4:$K$5003,10,FALSE),"")</f>
        <v/>
      </c>
      <c r="I5216" s="123" t="str">
        <f>IFERROR(VLOOKUP(Table1722[[#This Row],[Bukti]],Table13[#Data],11,FALSE),"")</f>
        <v/>
      </c>
    </row>
    <row r="5217" spans="1:9" hidden="1" x14ac:dyDescent="0.2">
      <c r="A5217" s="105" t="str">
        <f>IF(D5217=1,COUNTIF($D$10:D5217,1)," ")</f>
        <v xml:space="preserve"> </v>
      </c>
      <c r="B5217" s="106">
        <f>COPY!AR5209</f>
        <v>0</v>
      </c>
      <c r="C5217" s="107">
        <f>COPY!AC5209</f>
        <v>0</v>
      </c>
      <c r="D5217" s="107" t="str">
        <f>IF(LEN(Table1722[[#This Row],[Uraian]])&gt;2,1," ")</f>
        <v xml:space="preserve"> </v>
      </c>
      <c r="E5217" s="113" t="str">
        <f>IF(Table1722[[#This Row],[Lawan Transaksi]]="CV AGUNG KARYA",COUNTIF($I$10:I5217,"CV AGUNG KARYA")," ")</f>
        <v xml:space="preserve"> </v>
      </c>
      <c r="F5217" s="107" t="str">
        <f>IF(LEN(Table1722[[#This Row],[Uraian]])&gt;2,TRIM(RIGHT(SUBSTITUTE(TRIM(C5217)," ",REPT(" ",255)),255))," ")</f>
        <v xml:space="preserve"> </v>
      </c>
      <c r="G5217" s="110">
        <f>COPY!Z5209</f>
        <v>0</v>
      </c>
      <c r="H5217" s="111" t="str">
        <f>IFERROR(VLOOKUP(Table1722[[#This Row],[Bukti]],'Un nOTA'!$A$4:$K$5003,10,FALSE),"")</f>
        <v/>
      </c>
      <c r="I5217" s="123" t="str">
        <f>IFERROR(VLOOKUP(Table1722[[#This Row],[Bukti]],Table13[#Data],11,FALSE),"")</f>
        <v/>
      </c>
    </row>
    <row r="5218" spans="1:9" hidden="1" x14ac:dyDescent="0.2">
      <c r="A5218" s="105" t="str">
        <f>IF(D5218=1,COUNTIF($D$10:D5218,1)," ")</f>
        <v xml:space="preserve"> </v>
      </c>
      <c r="B5218" s="106">
        <f>COPY!AR5210</f>
        <v>0</v>
      </c>
      <c r="C5218" s="107">
        <f>COPY!AC5210</f>
        <v>0</v>
      </c>
      <c r="D5218" s="107" t="str">
        <f>IF(LEN(Table1722[[#This Row],[Uraian]])&gt;2,1," ")</f>
        <v xml:space="preserve"> </v>
      </c>
      <c r="E5218" s="113" t="str">
        <f>IF(Table1722[[#This Row],[Lawan Transaksi]]="CV AGUNG KARYA",COUNTIF($I$10:I5218,"CV AGUNG KARYA")," ")</f>
        <v xml:space="preserve"> </v>
      </c>
      <c r="F5218" s="107" t="str">
        <f>IF(LEN(Table1722[[#This Row],[Uraian]])&gt;2,TRIM(RIGHT(SUBSTITUTE(TRIM(C5218)," ",REPT(" ",255)),255))," ")</f>
        <v xml:space="preserve"> </v>
      </c>
      <c r="G5218" s="110">
        <f>COPY!Z5210</f>
        <v>0</v>
      </c>
      <c r="H5218" s="111" t="str">
        <f>IFERROR(VLOOKUP(Table1722[[#This Row],[Bukti]],'Un nOTA'!$A$4:$K$5003,10,FALSE),"")</f>
        <v/>
      </c>
      <c r="I5218" s="123" t="str">
        <f>IFERROR(VLOOKUP(Table1722[[#This Row],[Bukti]],Table13[#Data],11,FALSE),"")</f>
        <v/>
      </c>
    </row>
    <row r="5219" spans="1:9" hidden="1" x14ac:dyDescent="0.2">
      <c r="A5219" s="105" t="str">
        <f>IF(D5219=1,COUNTIF($D$10:D5219,1)," ")</f>
        <v xml:space="preserve"> </v>
      </c>
      <c r="B5219" s="106">
        <f>COPY!AR5211</f>
        <v>0</v>
      </c>
      <c r="C5219" s="107">
        <f>COPY!AC5211</f>
        <v>0</v>
      </c>
      <c r="D5219" s="107" t="str">
        <f>IF(LEN(Table1722[[#This Row],[Uraian]])&gt;2,1," ")</f>
        <v xml:space="preserve"> </v>
      </c>
      <c r="E5219" s="113" t="str">
        <f>IF(Table1722[[#This Row],[Lawan Transaksi]]="CV AGUNG KARYA",COUNTIF($I$10:I5219,"CV AGUNG KARYA")," ")</f>
        <v xml:space="preserve"> </v>
      </c>
      <c r="F5219" s="107" t="str">
        <f>IF(LEN(Table1722[[#This Row],[Uraian]])&gt;2,TRIM(RIGHT(SUBSTITUTE(TRIM(C5219)," ",REPT(" ",255)),255))," ")</f>
        <v xml:space="preserve"> </v>
      </c>
      <c r="G5219" s="110">
        <f>COPY!Z5211</f>
        <v>0</v>
      </c>
      <c r="H5219" s="111" t="str">
        <f>IFERROR(VLOOKUP(Table1722[[#This Row],[Bukti]],'Un nOTA'!$A$4:$K$5003,10,FALSE),"")</f>
        <v/>
      </c>
      <c r="I5219" s="123" t="str">
        <f>IFERROR(VLOOKUP(Table1722[[#This Row],[Bukti]],Table13[#Data],11,FALSE),"")</f>
        <v/>
      </c>
    </row>
    <row r="5220" spans="1:9" hidden="1" x14ac:dyDescent="0.2">
      <c r="A5220" s="105" t="str">
        <f>IF(D5220=1,COUNTIF($D$10:D5220,1)," ")</f>
        <v xml:space="preserve"> </v>
      </c>
      <c r="B5220" s="106">
        <f>COPY!AR5212</f>
        <v>0</v>
      </c>
      <c r="C5220" s="107">
        <f>COPY!AC5212</f>
        <v>0</v>
      </c>
      <c r="D5220" s="107" t="str">
        <f>IF(LEN(Table1722[[#This Row],[Uraian]])&gt;2,1," ")</f>
        <v xml:space="preserve"> </v>
      </c>
      <c r="E5220" s="113" t="str">
        <f>IF(Table1722[[#This Row],[Lawan Transaksi]]="CV AGUNG KARYA",COUNTIF($I$10:I5220,"CV AGUNG KARYA")," ")</f>
        <v xml:space="preserve"> </v>
      </c>
      <c r="F5220" s="107" t="str">
        <f>IF(LEN(Table1722[[#This Row],[Uraian]])&gt;2,TRIM(RIGHT(SUBSTITUTE(TRIM(C5220)," ",REPT(" ",255)),255))," ")</f>
        <v xml:space="preserve"> </v>
      </c>
      <c r="G5220" s="110">
        <f>COPY!Z5212</f>
        <v>0</v>
      </c>
      <c r="H5220" s="111" t="str">
        <f>IFERROR(VLOOKUP(Table1722[[#This Row],[Bukti]],'Un nOTA'!$A$4:$K$5003,10,FALSE),"")</f>
        <v/>
      </c>
      <c r="I5220" s="123" t="str">
        <f>IFERROR(VLOOKUP(Table1722[[#This Row],[Bukti]],Table13[#Data],11,FALSE),"")</f>
        <v/>
      </c>
    </row>
    <row r="5221" spans="1:9" hidden="1" x14ac:dyDescent="0.2">
      <c r="A5221" s="105" t="str">
        <f>IF(D5221=1,COUNTIF($D$10:D5221,1)," ")</f>
        <v xml:space="preserve"> </v>
      </c>
      <c r="B5221" s="106">
        <f>COPY!AR5213</f>
        <v>0</v>
      </c>
      <c r="C5221" s="107">
        <f>COPY!AC5213</f>
        <v>0</v>
      </c>
      <c r="D5221" s="107" t="str">
        <f>IF(LEN(Table1722[[#This Row],[Uraian]])&gt;2,1," ")</f>
        <v xml:space="preserve"> </v>
      </c>
      <c r="E5221" s="113" t="str">
        <f>IF(Table1722[[#This Row],[Lawan Transaksi]]="CV AGUNG KARYA",COUNTIF($I$10:I5221,"CV AGUNG KARYA")," ")</f>
        <v xml:space="preserve"> </v>
      </c>
      <c r="F5221" s="107" t="str">
        <f>IF(LEN(Table1722[[#This Row],[Uraian]])&gt;2,TRIM(RIGHT(SUBSTITUTE(TRIM(C5221)," ",REPT(" ",255)),255))," ")</f>
        <v xml:space="preserve"> </v>
      </c>
      <c r="G5221" s="110">
        <f>COPY!Z5213</f>
        <v>0</v>
      </c>
      <c r="H5221" s="111" t="str">
        <f>IFERROR(VLOOKUP(Table1722[[#This Row],[Bukti]],'Un nOTA'!$A$4:$K$5003,10,FALSE),"")</f>
        <v/>
      </c>
      <c r="I5221" s="123" t="str">
        <f>IFERROR(VLOOKUP(Table1722[[#This Row],[Bukti]],Table13[#Data],11,FALSE),"")</f>
        <v/>
      </c>
    </row>
    <row r="5222" spans="1:9" hidden="1" x14ac:dyDescent="0.2">
      <c r="A5222" s="105" t="str">
        <f>IF(D5222=1,COUNTIF($D$10:D5222,1)," ")</f>
        <v xml:space="preserve"> </v>
      </c>
      <c r="B5222" s="106">
        <f>COPY!AR5214</f>
        <v>0</v>
      </c>
      <c r="C5222" s="107">
        <f>COPY!AC5214</f>
        <v>0</v>
      </c>
      <c r="D5222" s="107" t="str">
        <f>IF(LEN(Table1722[[#This Row],[Uraian]])&gt;2,1," ")</f>
        <v xml:space="preserve"> </v>
      </c>
      <c r="E5222" s="113" t="str">
        <f>IF(Table1722[[#This Row],[Lawan Transaksi]]="CV AGUNG KARYA",COUNTIF($I$10:I5222,"CV AGUNG KARYA")," ")</f>
        <v xml:space="preserve"> </v>
      </c>
      <c r="F5222" s="107" t="str">
        <f>IF(LEN(Table1722[[#This Row],[Uraian]])&gt;2,TRIM(RIGHT(SUBSTITUTE(TRIM(C5222)," ",REPT(" ",255)),255))," ")</f>
        <v xml:space="preserve"> </v>
      </c>
      <c r="G5222" s="110">
        <f>COPY!Z5214</f>
        <v>0</v>
      </c>
      <c r="H5222" s="111" t="str">
        <f>IFERROR(VLOOKUP(Table1722[[#This Row],[Bukti]],'Un nOTA'!$A$4:$K$5003,10,FALSE),"")</f>
        <v/>
      </c>
      <c r="I5222" s="123" t="str">
        <f>IFERROR(VLOOKUP(Table1722[[#This Row],[Bukti]],Table13[#Data],11,FALSE),"")</f>
        <v/>
      </c>
    </row>
    <row r="5223" spans="1:9" hidden="1" x14ac:dyDescent="0.2">
      <c r="A5223" s="105" t="str">
        <f>IF(D5223=1,COUNTIF($D$10:D5223,1)," ")</f>
        <v xml:space="preserve"> </v>
      </c>
      <c r="B5223" s="106">
        <f>COPY!AR5215</f>
        <v>0</v>
      </c>
      <c r="C5223" s="107">
        <f>COPY!AC5215</f>
        <v>0</v>
      </c>
      <c r="D5223" s="107" t="str">
        <f>IF(LEN(Table1722[[#This Row],[Uraian]])&gt;2,1," ")</f>
        <v xml:space="preserve"> </v>
      </c>
      <c r="E5223" s="113" t="str">
        <f>IF(Table1722[[#This Row],[Lawan Transaksi]]="CV AGUNG KARYA",COUNTIF($I$10:I5223,"CV AGUNG KARYA")," ")</f>
        <v xml:space="preserve"> </v>
      </c>
      <c r="F5223" s="107" t="str">
        <f>IF(LEN(Table1722[[#This Row],[Uraian]])&gt;2,TRIM(RIGHT(SUBSTITUTE(TRIM(C5223)," ",REPT(" ",255)),255))," ")</f>
        <v xml:space="preserve"> </v>
      </c>
      <c r="G5223" s="110">
        <f>COPY!Z5215</f>
        <v>0</v>
      </c>
      <c r="H5223" s="111" t="str">
        <f>IFERROR(VLOOKUP(Table1722[[#This Row],[Bukti]],'Un nOTA'!$A$4:$K$5003,10,FALSE),"")</f>
        <v/>
      </c>
      <c r="I5223" s="123" t="str">
        <f>IFERROR(VLOOKUP(Table1722[[#This Row],[Bukti]],Table13[#Data],11,FALSE),"")</f>
        <v/>
      </c>
    </row>
    <row r="5224" spans="1:9" hidden="1" x14ac:dyDescent="0.2">
      <c r="A5224" s="105" t="str">
        <f>IF(D5224=1,COUNTIF($D$10:D5224,1)," ")</f>
        <v xml:space="preserve"> </v>
      </c>
      <c r="B5224" s="106">
        <f>COPY!AR5216</f>
        <v>0</v>
      </c>
      <c r="C5224" s="107">
        <f>COPY!AC5216</f>
        <v>0</v>
      </c>
      <c r="D5224" s="107" t="str">
        <f>IF(LEN(Table1722[[#This Row],[Uraian]])&gt;2,1," ")</f>
        <v xml:space="preserve"> </v>
      </c>
      <c r="E5224" s="113" t="str">
        <f>IF(Table1722[[#This Row],[Lawan Transaksi]]="CV AGUNG KARYA",COUNTIF($I$10:I5224,"CV AGUNG KARYA")," ")</f>
        <v xml:space="preserve"> </v>
      </c>
      <c r="F5224" s="107" t="str">
        <f>IF(LEN(Table1722[[#This Row],[Uraian]])&gt;2,TRIM(RIGHT(SUBSTITUTE(TRIM(C5224)," ",REPT(" ",255)),255))," ")</f>
        <v xml:space="preserve"> </v>
      </c>
      <c r="G5224" s="110">
        <f>COPY!Z5216</f>
        <v>0</v>
      </c>
      <c r="H5224" s="111" t="str">
        <f>IFERROR(VLOOKUP(Table1722[[#This Row],[Bukti]],'Un nOTA'!$A$4:$K$5003,10,FALSE),"")</f>
        <v/>
      </c>
      <c r="I5224" s="123" t="str">
        <f>IFERROR(VLOOKUP(Table1722[[#This Row],[Bukti]],Table13[#Data],11,FALSE),"")</f>
        <v/>
      </c>
    </row>
    <row r="5225" spans="1:9" hidden="1" x14ac:dyDescent="0.2">
      <c r="A5225" s="105" t="str">
        <f>IF(D5225=1,COUNTIF($D$10:D5225,1)," ")</f>
        <v xml:space="preserve"> </v>
      </c>
      <c r="B5225" s="106">
        <f>COPY!AR5217</f>
        <v>0</v>
      </c>
      <c r="C5225" s="107">
        <f>COPY!AC5217</f>
        <v>0</v>
      </c>
      <c r="D5225" s="107" t="str">
        <f>IF(LEN(Table1722[[#This Row],[Uraian]])&gt;2,1," ")</f>
        <v xml:space="preserve"> </v>
      </c>
      <c r="E5225" s="113" t="str">
        <f>IF(Table1722[[#This Row],[Lawan Transaksi]]="CV AGUNG KARYA",COUNTIF($I$10:I5225,"CV AGUNG KARYA")," ")</f>
        <v xml:space="preserve"> </v>
      </c>
      <c r="F5225" s="107" t="str">
        <f>IF(LEN(Table1722[[#This Row],[Uraian]])&gt;2,TRIM(RIGHT(SUBSTITUTE(TRIM(C5225)," ",REPT(" ",255)),255))," ")</f>
        <v xml:space="preserve"> </v>
      </c>
      <c r="G5225" s="110">
        <f>COPY!Z5217</f>
        <v>0</v>
      </c>
      <c r="H5225" s="111" t="str">
        <f>IFERROR(VLOOKUP(Table1722[[#This Row],[Bukti]],'Un nOTA'!$A$4:$K$5003,10,FALSE),"")</f>
        <v/>
      </c>
      <c r="I5225" s="123" t="str">
        <f>IFERROR(VLOOKUP(Table1722[[#This Row],[Bukti]],Table13[#Data],11,FALSE),"")</f>
        <v/>
      </c>
    </row>
    <row r="5226" spans="1:9" hidden="1" x14ac:dyDescent="0.2">
      <c r="A5226" s="105" t="str">
        <f>IF(D5226=1,COUNTIF($D$10:D5226,1)," ")</f>
        <v xml:space="preserve"> </v>
      </c>
      <c r="B5226" s="106">
        <f>COPY!AR5218</f>
        <v>0</v>
      </c>
      <c r="C5226" s="107">
        <f>COPY!AC5218</f>
        <v>0</v>
      </c>
      <c r="D5226" s="107" t="str">
        <f>IF(LEN(Table1722[[#This Row],[Uraian]])&gt;2,1," ")</f>
        <v xml:space="preserve"> </v>
      </c>
      <c r="E5226" s="113" t="str">
        <f>IF(Table1722[[#This Row],[Lawan Transaksi]]="CV AGUNG KARYA",COUNTIF($I$10:I5226,"CV AGUNG KARYA")," ")</f>
        <v xml:space="preserve"> </v>
      </c>
      <c r="F5226" s="107" t="str">
        <f>IF(LEN(Table1722[[#This Row],[Uraian]])&gt;2,TRIM(RIGHT(SUBSTITUTE(TRIM(C5226)," ",REPT(" ",255)),255))," ")</f>
        <v xml:space="preserve"> </v>
      </c>
      <c r="G5226" s="110">
        <f>COPY!Z5218</f>
        <v>0</v>
      </c>
      <c r="H5226" s="111" t="str">
        <f>IFERROR(VLOOKUP(Table1722[[#This Row],[Bukti]],'Un nOTA'!$A$4:$K$5003,10,FALSE),"")</f>
        <v/>
      </c>
      <c r="I5226" s="123" t="str">
        <f>IFERROR(VLOOKUP(Table1722[[#This Row],[Bukti]],Table13[#Data],11,FALSE),"")</f>
        <v/>
      </c>
    </row>
    <row r="5227" spans="1:9" hidden="1" x14ac:dyDescent="0.2">
      <c r="A5227" s="105" t="str">
        <f>IF(D5227=1,COUNTIF($D$10:D5227,1)," ")</f>
        <v xml:space="preserve"> </v>
      </c>
      <c r="B5227" s="106">
        <f>COPY!AR5219</f>
        <v>0</v>
      </c>
      <c r="C5227" s="107">
        <f>COPY!AC5219</f>
        <v>0</v>
      </c>
      <c r="D5227" s="107" t="str">
        <f>IF(LEN(Table1722[[#This Row],[Uraian]])&gt;2,1," ")</f>
        <v xml:space="preserve"> </v>
      </c>
      <c r="E5227" s="113" t="str">
        <f>IF(Table1722[[#This Row],[Lawan Transaksi]]="CV AGUNG KARYA",COUNTIF($I$10:I5227,"CV AGUNG KARYA")," ")</f>
        <v xml:space="preserve"> </v>
      </c>
      <c r="F5227" s="107" t="str">
        <f>IF(LEN(Table1722[[#This Row],[Uraian]])&gt;2,TRIM(RIGHT(SUBSTITUTE(TRIM(C5227)," ",REPT(" ",255)),255))," ")</f>
        <v xml:space="preserve"> </v>
      </c>
      <c r="G5227" s="110">
        <f>COPY!Z5219</f>
        <v>0</v>
      </c>
      <c r="H5227" s="111" t="str">
        <f>IFERROR(VLOOKUP(Table1722[[#This Row],[Bukti]],'Un nOTA'!$A$4:$K$5003,10,FALSE),"")</f>
        <v/>
      </c>
      <c r="I5227" s="123" t="str">
        <f>IFERROR(VLOOKUP(Table1722[[#This Row],[Bukti]],Table13[#Data],11,FALSE),"")</f>
        <v/>
      </c>
    </row>
    <row r="5228" spans="1:9" hidden="1" x14ac:dyDescent="0.2">
      <c r="A5228" s="105" t="str">
        <f>IF(D5228=1,COUNTIF($D$10:D5228,1)," ")</f>
        <v xml:space="preserve"> </v>
      </c>
      <c r="B5228" s="106">
        <f>COPY!AR5220</f>
        <v>0</v>
      </c>
      <c r="C5228" s="107">
        <f>COPY!AC5220</f>
        <v>0</v>
      </c>
      <c r="D5228" s="107" t="str">
        <f>IF(LEN(Table1722[[#This Row],[Uraian]])&gt;2,1," ")</f>
        <v xml:space="preserve"> </v>
      </c>
      <c r="E5228" s="113" t="str">
        <f>IF(Table1722[[#This Row],[Lawan Transaksi]]="CV AGUNG KARYA",COUNTIF($I$10:I5228,"CV AGUNG KARYA")," ")</f>
        <v xml:space="preserve"> </v>
      </c>
      <c r="F5228" s="107" t="str">
        <f>IF(LEN(Table1722[[#This Row],[Uraian]])&gt;2,TRIM(RIGHT(SUBSTITUTE(TRIM(C5228)," ",REPT(" ",255)),255))," ")</f>
        <v xml:space="preserve"> </v>
      </c>
      <c r="G5228" s="110">
        <f>COPY!Z5220</f>
        <v>0</v>
      </c>
      <c r="H5228" s="111" t="str">
        <f>IFERROR(VLOOKUP(Table1722[[#This Row],[Bukti]],'Un nOTA'!$A$4:$K$5003,10,FALSE),"")</f>
        <v/>
      </c>
      <c r="I5228" s="123" t="str">
        <f>IFERROR(VLOOKUP(Table1722[[#This Row],[Bukti]],Table13[#Data],11,FALSE),"")</f>
        <v/>
      </c>
    </row>
    <row r="5229" spans="1:9" hidden="1" x14ac:dyDescent="0.2">
      <c r="A5229" s="105" t="str">
        <f>IF(D5229=1,COUNTIF($D$10:D5229,1)," ")</f>
        <v xml:space="preserve"> </v>
      </c>
      <c r="B5229" s="106">
        <f>COPY!AR5221</f>
        <v>0</v>
      </c>
      <c r="C5229" s="107">
        <f>COPY!AC5221</f>
        <v>0</v>
      </c>
      <c r="D5229" s="107" t="str">
        <f>IF(LEN(Table1722[[#This Row],[Uraian]])&gt;2,1," ")</f>
        <v xml:space="preserve"> </v>
      </c>
      <c r="E5229" s="113" t="str">
        <f>IF(Table1722[[#This Row],[Lawan Transaksi]]="CV AGUNG KARYA",COUNTIF($I$10:I5229,"CV AGUNG KARYA")," ")</f>
        <v xml:space="preserve"> </v>
      </c>
      <c r="F5229" s="107" t="str">
        <f>IF(LEN(Table1722[[#This Row],[Uraian]])&gt;2,TRIM(RIGHT(SUBSTITUTE(TRIM(C5229)," ",REPT(" ",255)),255))," ")</f>
        <v xml:space="preserve"> </v>
      </c>
      <c r="G5229" s="110">
        <f>COPY!Z5221</f>
        <v>0</v>
      </c>
      <c r="H5229" s="111" t="str">
        <f>IFERROR(VLOOKUP(Table1722[[#This Row],[Bukti]],'Un nOTA'!$A$4:$K$5003,10,FALSE),"")</f>
        <v/>
      </c>
      <c r="I5229" s="123" t="str">
        <f>IFERROR(VLOOKUP(Table1722[[#This Row],[Bukti]],Table13[#Data],11,FALSE),"")</f>
        <v/>
      </c>
    </row>
    <row r="5230" spans="1:9" hidden="1" x14ac:dyDescent="0.2">
      <c r="A5230" s="105" t="str">
        <f>IF(D5230=1,COUNTIF($D$10:D5230,1)," ")</f>
        <v xml:space="preserve"> </v>
      </c>
      <c r="B5230" s="106">
        <f>COPY!AR5222</f>
        <v>0</v>
      </c>
      <c r="C5230" s="107">
        <f>COPY!AC5222</f>
        <v>0</v>
      </c>
      <c r="D5230" s="107" t="str">
        <f>IF(LEN(Table1722[[#This Row],[Uraian]])&gt;2,1," ")</f>
        <v xml:space="preserve"> </v>
      </c>
      <c r="E5230" s="113" t="str">
        <f>IF(Table1722[[#This Row],[Lawan Transaksi]]="CV AGUNG KARYA",COUNTIF($I$10:I5230,"CV AGUNG KARYA")," ")</f>
        <v xml:space="preserve"> </v>
      </c>
      <c r="F5230" s="107" t="str">
        <f>IF(LEN(Table1722[[#This Row],[Uraian]])&gt;2,TRIM(RIGHT(SUBSTITUTE(TRIM(C5230)," ",REPT(" ",255)),255))," ")</f>
        <v xml:space="preserve"> </v>
      </c>
      <c r="G5230" s="110">
        <f>COPY!Z5222</f>
        <v>0</v>
      </c>
      <c r="H5230" s="111" t="str">
        <f>IFERROR(VLOOKUP(Table1722[[#This Row],[Bukti]],'Un nOTA'!$A$4:$K$5003,10,FALSE),"")</f>
        <v/>
      </c>
      <c r="I5230" s="123" t="str">
        <f>IFERROR(VLOOKUP(Table1722[[#This Row],[Bukti]],Table13[#Data],11,FALSE),"")</f>
        <v/>
      </c>
    </row>
    <row r="5231" spans="1:9" hidden="1" x14ac:dyDescent="0.2">
      <c r="A5231" s="105" t="str">
        <f>IF(D5231=1,COUNTIF($D$10:D5231,1)," ")</f>
        <v xml:space="preserve"> </v>
      </c>
      <c r="B5231" s="106">
        <f>COPY!AR5223</f>
        <v>0</v>
      </c>
      <c r="C5231" s="107">
        <f>COPY!AC5223</f>
        <v>0</v>
      </c>
      <c r="D5231" s="107" t="str">
        <f>IF(LEN(Table1722[[#This Row],[Uraian]])&gt;2,1," ")</f>
        <v xml:space="preserve"> </v>
      </c>
      <c r="E5231" s="113" t="str">
        <f>IF(Table1722[[#This Row],[Lawan Transaksi]]="CV AGUNG KARYA",COUNTIF($I$10:I5231,"CV AGUNG KARYA")," ")</f>
        <v xml:space="preserve"> </v>
      </c>
      <c r="F5231" s="107" t="str">
        <f>IF(LEN(Table1722[[#This Row],[Uraian]])&gt;2,TRIM(RIGHT(SUBSTITUTE(TRIM(C5231)," ",REPT(" ",255)),255))," ")</f>
        <v xml:space="preserve"> </v>
      </c>
      <c r="G5231" s="110">
        <f>COPY!Z5223</f>
        <v>0</v>
      </c>
      <c r="H5231" s="111" t="str">
        <f>IFERROR(VLOOKUP(Table1722[[#This Row],[Bukti]],'Un nOTA'!$A$4:$K$5003,10,FALSE),"")</f>
        <v/>
      </c>
      <c r="I5231" s="123" t="str">
        <f>IFERROR(VLOOKUP(Table1722[[#This Row],[Bukti]],Table13[#Data],11,FALSE),"")</f>
        <v/>
      </c>
    </row>
    <row r="5232" spans="1:9" hidden="1" x14ac:dyDescent="0.2">
      <c r="A5232" s="105" t="str">
        <f>IF(D5232=1,COUNTIF($D$10:D5232,1)," ")</f>
        <v xml:space="preserve"> </v>
      </c>
      <c r="B5232" s="106">
        <f>COPY!AR5224</f>
        <v>0</v>
      </c>
      <c r="C5232" s="107">
        <f>COPY!AC5224</f>
        <v>0</v>
      </c>
      <c r="D5232" s="107" t="str">
        <f>IF(LEN(Table1722[[#This Row],[Uraian]])&gt;2,1," ")</f>
        <v xml:space="preserve"> </v>
      </c>
      <c r="E5232" s="113" t="str">
        <f>IF(Table1722[[#This Row],[Lawan Transaksi]]="CV AGUNG KARYA",COUNTIF($I$10:I5232,"CV AGUNG KARYA")," ")</f>
        <v xml:space="preserve"> </v>
      </c>
      <c r="F5232" s="107" t="str">
        <f>IF(LEN(Table1722[[#This Row],[Uraian]])&gt;2,TRIM(RIGHT(SUBSTITUTE(TRIM(C5232)," ",REPT(" ",255)),255))," ")</f>
        <v xml:space="preserve"> </v>
      </c>
      <c r="G5232" s="110">
        <f>COPY!Z5224</f>
        <v>0</v>
      </c>
      <c r="H5232" s="111" t="str">
        <f>IFERROR(VLOOKUP(Table1722[[#This Row],[Bukti]],'Un nOTA'!$A$4:$K$5003,10,FALSE),"")</f>
        <v/>
      </c>
      <c r="I5232" s="123" t="str">
        <f>IFERROR(VLOOKUP(Table1722[[#This Row],[Bukti]],Table13[#Data],11,FALSE),"")</f>
        <v/>
      </c>
    </row>
    <row r="5233" spans="1:9" hidden="1" x14ac:dyDescent="0.2">
      <c r="A5233" s="105" t="str">
        <f>IF(D5233=1,COUNTIF($D$10:D5233,1)," ")</f>
        <v xml:space="preserve"> </v>
      </c>
      <c r="B5233" s="106">
        <f>COPY!AR5225</f>
        <v>0</v>
      </c>
      <c r="C5233" s="107">
        <f>COPY!AC5225</f>
        <v>0</v>
      </c>
      <c r="D5233" s="107" t="str">
        <f>IF(LEN(Table1722[[#This Row],[Uraian]])&gt;2,1," ")</f>
        <v xml:space="preserve"> </v>
      </c>
      <c r="E5233" s="113" t="str">
        <f>IF(Table1722[[#This Row],[Lawan Transaksi]]="CV AGUNG KARYA",COUNTIF($I$10:I5233,"CV AGUNG KARYA")," ")</f>
        <v xml:space="preserve"> </v>
      </c>
      <c r="F5233" s="107" t="str">
        <f>IF(LEN(Table1722[[#This Row],[Uraian]])&gt;2,TRIM(RIGHT(SUBSTITUTE(TRIM(C5233)," ",REPT(" ",255)),255))," ")</f>
        <v xml:space="preserve"> </v>
      </c>
      <c r="G5233" s="110">
        <f>COPY!Z5225</f>
        <v>0</v>
      </c>
      <c r="H5233" s="111" t="str">
        <f>IFERROR(VLOOKUP(Table1722[[#This Row],[Bukti]],'Un nOTA'!$A$4:$K$5003,10,FALSE),"")</f>
        <v/>
      </c>
      <c r="I5233" s="123" t="str">
        <f>IFERROR(VLOOKUP(Table1722[[#This Row],[Bukti]],Table13[#Data],11,FALSE),"")</f>
        <v/>
      </c>
    </row>
    <row r="5234" spans="1:9" hidden="1" x14ac:dyDescent="0.2">
      <c r="A5234" s="105" t="str">
        <f>IF(D5234=1,COUNTIF($D$10:D5234,1)," ")</f>
        <v xml:space="preserve"> </v>
      </c>
      <c r="B5234" s="106">
        <f>COPY!AR5226</f>
        <v>0</v>
      </c>
      <c r="C5234" s="107">
        <f>COPY!AC5226</f>
        <v>0</v>
      </c>
      <c r="D5234" s="107" t="str">
        <f>IF(LEN(Table1722[[#This Row],[Uraian]])&gt;2,1," ")</f>
        <v xml:space="preserve"> </v>
      </c>
      <c r="E5234" s="113" t="str">
        <f>IF(Table1722[[#This Row],[Lawan Transaksi]]="CV AGUNG KARYA",COUNTIF($I$10:I5234,"CV AGUNG KARYA")," ")</f>
        <v xml:space="preserve"> </v>
      </c>
      <c r="F5234" s="107" t="str">
        <f>IF(LEN(Table1722[[#This Row],[Uraian]])&gt;2,TRIM(RIGHT(SUBSTITUTE(TRIM(C5234)," ",REPT(" ",255)),255))," ")</f>
        <v xml:space="preserve"> </v>
      </c>
      <c r="G5234" s="110">
        <f>COPY!Z5226</f>
        <v>0</v>
      </c>
      <c r="H5234" s="111" t="str">
        <f>IFERROR(VLOOKUP(Table1722[[#This Row],[Bukti]],'Un nOTA'!$A$4:$K$5003,10,FALSE),"")</f>
        <v/>
      </c>
      <c r="I5234" s="123" t="str">
        <f>IFERROR(VLOOKUP(Table1722[[#This Row],[Bukti]],Table13[#Data],11,FALSE),"")</f>
        <v/>
      </c>
    </row>
    <row r="5235" spans="1:9" hidden="1" x14ac:dyDescent="0.2">
      <c r="A5235" s="105" t="str">
        <f>IF(D5235=1,COUNTIF($D$10:D5235,1)," ")</f>
        <v xml:space="preserve"> </v>
      </c>
      <c r="B5235" s="106">
        <f>COPY!AR5227</f>
        <v>0</v>
      </c>
      <c r="C5235" s="107">
        <f>COPY!AC5227</f>
        <v>0</v>
      </c>
      <c r="D5235" s="107" t="str">
        <f>IF(LEN(Table1722[[#This Row],[Uraian]])&gt;2,1," ")</f>
        <v xml:space="preserve"> </v>
      </c>
      <c r="E5235" s="113" t="str">
        <f>IF(Table1722[[#This Row],[Lawan Transaksi]]="CV AGUNG KARYA",COUNTIF($I$10:I5235,"CV AGUNG KARYA")," ")</f>
        <v xml:space="preserve"> </v>
      </c>
      <c r="F5235" s="107" t="str">
        <f>IF(LEN(Table1722[[#This Row],[Uraian]])&gt;2,TRIM(RIGHT(SUBSTITUTE(TRIM(C5235)," ",REPT(" ",255)),255))," ")</f>
        <v xml:space="preserve"> </v>
      </c>
      <c r="G5235" s="110">
        <f>COPY!Z5227</f>
        <v>0</v>
      </c>
      <c r="H5235" s="111" t="str">
        <f>IFERROR(VLOOKUP(Table1722[[#This Row],[Bukti]],'Un nOTA'!$A$4:$K$5003,10,FALSE),"")</f>
        <v/>
      </c>
      <c r="I5235" s="123" t="str">
        <f>IFERROR(VLOOKUP(Table1722[[#This Row],[Bukti]],Table13[#Data],11,FALSE),"")</f>
        <v/>
      </c>
    </row>
    <row r="5236" spans="1:9" hidden="1" x14ac:dyDescent="0.2">
      <c r="A5236" s="105" t="str">
        <f>IF(D5236=1,COUNTIF($D$10:D5236,1)," ")</f>
        <v xml:space="preserve"> </v>
      </c>
      <c r="B5236" s="106">
        <f>COPY!AR5228</f>
        <v>0</v>
      </c>
      <c r="C5236" s="107">
        <f>COPY!AC5228</f>
        <v>0</v>
      </c>
      <c r="D5236" s="107" t="str">
        <f>IF(LEN(Table1722[[#This Row],[Uraian]])&gt;2,1," ")</f>
        <v xml:space="preserve"> </v>
      </c>
      <c r="E5236" s="113" t="str">
        <f>IF(Table1722[[#This Row],[Lawan Transaksi]]="CV AGUNG KARYA",COUNTIF($I$10:I5236,"CV AGUNG KARYA")," ")</f>
        <v xml:space="preserve"> </v>
      </c>
      <c r="F5236" s="107" t="str">
        <f>IF(LEN(Table1722[[#This Row],[Uraian]])&gt;2,TRIM(RIGHT(SUBSTITUTE(TRIM(C5236)," ",REPT(" ",255)),255))," ")</f>
        <v xml:space="preserve"> </v>
      </c>
      <c r="G5236" s="110">
        <f>COPY!Z5228</f>
        <v>0</v>
      </c>
      <c r="H5236" s="111" t="str">
        <f>IFERROR(VLOOKUP(Table1722[[#This Row],[Bukti]],'Un nOTA'!$A$4:$K$5003,10,FALSE),"")</f>
        <v/>
      </c>
      <c r="I5236" s="123" t="str">
        <f>IFERROR(VLOOKUP(Table1722[[#This Row],[Bukti]],Table13[#Data],11,FALSE),"")</f>
        <v/>
      </c>
    </row>
    <row r="5237" spans="1:9" hidden="1" x14ac:dyDescent="0.2">
      <c r="A5237" s="105" t="str">
        <f>IF(D5237=1,COUNTIF($D$10:D5237,1)," ")</f>
        <v xml:space="preserve"> </v>
      </c>
      <c r="B5237" s="106">
        <f>COPY!AR5229</f>
        <v>0</v>
      </c>
      <c r="C5237" s="107">
        <f>COPY!AC5229</f>
        <v>0</v>
      </c>
      <c r="D5237" s="107" t="str">
        <f>IF(LEN(Table1722[[#This Row],[Uraian]])&gt;2,1," ")</f>
        <v xml:space="preserve"> </v>
      </c>
      <c r="E5237" s="113" t="str">
        <f>IF(Table1722[[#This Row],[Lawan Transaksi]]="CV AGUNG KARYA",COUNTIF($I$10:I5237,"CV AGUNG KARYA")," ")</f>
        <v xml:space="preserve"> </v>
      </c>
      <c r="F5237" s="107" t="str">
        <f>IF(LEN(Table1722[[#This Row],[Uraian]])&gt;2,TRIM(RIGHT(SUBSTITUTE(TRIM(C5237)," ",REPT(" ",255)),255))," ")</f>
        <v xml:space="preserve"> </v>
      </c>
      <c r="G5237" s="110">
        <f>COPY!Z5229</f>
        <v>0</v>
      </c>
      <c r="H5237" s="111" t="str">
        <f>IFERROR(VLOOKUP(Table1722[[#This Row],[Bukti]],'Un nOTA'!$A$4:$K$5003,10,FALSE),"")</f>
        <v/>
      </c>
      <c r="I5237" s="123" t="str">
        <f>IFERROR(VLOOKUP(Table1722[[#This Row],[Bukti]],Table13[#Data],11,FALSE),"")</f>
        <v/>
      </c>
    </row>
    <row r="5238" spans="1:9" hidden="1" x14ac:dyDescent="0.2">
      <c r="A5238" s="105" t="str">
        <f>IF(D5238=1,COUNTIF($D$10:D5238,1)," ")</f>
        <v xml:space="preserve"> </v>
      </c>
      <c r="B5238" s="106">
        <f>COPY!AR5230</f>
        <v>0</v>
      </c>
      <c r="C5238" s="107">
        <f>COPY!AC5230</f>
        <v>0</v>
      </c>
      <c r="D5238" s="107" t="str">
        <f>IF(LEN(Table1722[[#This Row],[Uraian]])&gt;2,1," ")</f>
        <v xml:space="preserve"> </v>
      </c>
      <c r="E5238" s="113" t="str">
        <f>IF(Table1722[[#This Row],[Lawan Transaksi]]="CV AGUNG KARYA",COUNTIF($I$10:I5238,"CV AGUNG KARYA")," ")</f>
        <v xml:space="preserve"> </v>
      </c>
      <c r="F5238" s="107" t="str">
        <f>IF(LEN(Table1722[[#This Row],[Uraian]])&gt;2,TRIM(RIGHT(SUBSTITUTE(TRIM(C5238)," ",REPT(" ",255)),255))," ")</f>
        <v xml:space="preserve"> </v>
      </c>
      <c r="G5238" s="110">
        <f>COPY!Z5230</f>
        <v>0</v>
      </c>
      <c r="H5238" s="111" t="str">
        <f>IFERROR(VLOOKUP(Table1722[[#This Row],[Bukti]],'Un nOTA'!$A$4:$K$5003,10,FALSE),"")</f>
        <v/>
      </c>
      <c r="I5238" s="123" t="str">
        <f>IFERROR(VLOOKUP(Table1722[[#This Row],[Bukti]],Table13[#Data],11,FALSE),"")</f>
        <v/>
      </c>
    </row>
    <row r="5239" spans="1:9" hidden="1" x14ac:dyDescent="0.2">
      <c r="A5239" s="105" t="str">
        <f>IF(D5239=1,COUNTIF($D$10:D5239,1)," ")</f>
        <v xml:space="preserve"> </v>
      </c>
      <c r="B5239" s="106">
        <f>COPY!AR5231</f>
        <v>0</v>
      </c>
      <c r="C5239" s="107">
        <f>COPY!AC5231</f>
        <v>0</v>
      </c>
      <c r="D5239" s="107" t="str">
        <f>IF(LEN(Table1722[[#This Row],[Uraian]])&gt;2,1," ")</f>
        <v xml:space="preserve"> </v>
      </c>
      <c r="E5239" s="113" t="str">
        <f>IF(Table1722[[#This Row],[Lawan Transaksi]]="CV AGUNG KARYA",COUNTIF($I$10:I5239,"CV AGUNG KARYA")," ")</f>
        <v xml:space="preserve"> </v>
      </c>
      <c r="F5239" s="107" t="str">
        <f>IF(LEN(Table1722[[#This Row],[Uraian]])&gt;2,TRIM(RIGHT(SUBSTITUTE(TRIM(C5239)," ",REPT(" ",255)),255))," ")</f>
        <v xml:space="preserve"> </v>
      </c>
      <c r="G5239" s="110">
        <f>COPY!Z5231</f>
        <v>0</v>
      </c>
      <c r="H5239" s="111" t="str">
        <f>IFERROR(VLOOKUP(Table1722[[#This Row],[Bukti]],'Un nOTA'!$A$4:$K$5003,10,FALSE),"")</f>
        <v/>
      </c>
      <c r="I5239" s="123" t="str">
        <f>IFERROR(VLOOKUP(Table1722[[#This Row],[Bukti]],Table13[#Data],11,FALSE),"")</f>
        <v/>
      </c>
    </row>
    <row r="5240" spans="1:9" hidden="1" x14ac:dyDescent="0.2">
      <c r="A5240" s="105" t="str">
        <f>IF(D5240=1,COUNTIF($D$10:D5240,1)," ")</f>
        <v xml:space="preserve"> </v>
      </c>
      <c r="B5240" s="106">
        <f>COPY!AR5232</f>
        <v>0</v>
      </c>
      <c r="C5240" s="107">
        <f>COPY!AC5232</f>
        <v>0</v>
      </c>
      <c r="D5240" s="107" t="str">
        <f>IF(LEN(Table1722[[#This Row],[Uraian]])&gt;2,1," ")</f>
        <v xml:space="preserve"> </v>
      </c>
      <c r="E5240" s="113" t="str">
        <f>IF(Table1722[[#This Row],[Lawan Transaksi]]="CV AGUNG KARYA",COUNTIF($I$10:I5240,"CV AGUNG KARYA")," ")</f>
        <v xml:space="preserve"> </v>
      </c>
      <c r="F5240" s="107" t="str">
        <f>IF(LEN(Table1722[[#This Row],[Uraian]])&gt;2,TRIM(RIGHT(SUBSTITUTE(TRIM(C5240)," ",REPT(" ",255)),255))," ")</f>
        <v xml:space="preserve"> </v>
      </c>
      <c r="G5240" s="110">
        <f>COPY!Z5232</f>
        <v>0</v>
      </c>
      <c r="H5240" s="111" t="str">
        <f>IFERROR(VLOOKUP(Table1722[[#This Row],[Bukti]],'Un nOTA'!$A$4:$K$5003,10,FALSE),"")</f>
        <v/>
      </c>
      <c r="I5240" s="123" t="str">
        <f>IFERROR(VLOOKUP(Table1722[[#This Row],[Bukti]],Table13[#Data],11,FALSE),"")</f>
        <v/>
      </c>
    </row>
    <row r="5241" spans="1:9" hidden="1" x14ac:dyDescent="0.2">
      <c r="A5241" s="105" t="str">
        <f>IF(D5241=1,COUNTIF($D$10:D5241,1)," ")</f>
        <v xml:space="preserve"> </v>
      </c>
      <c r="B5241" s="106">
        <f>COPY!AR5233</f>
        <v>0</v>
      </c>
      <c r="C5241" s="107">
        <f>COPY!AC5233</f>
        <v>0</v>
      </c>
      <c r="D5241" s="107" t="str">
        <f>IF(LEN(Table1722[[#This Row],[Uraian]])&gt;2,1," ")</f>
        <v xml:space="preserve"> </v>
      </c>
      <c r="E5241" s="113" t="str">
        <f>IF(Table1722[[#This Row],[Lawan Transaksi]]="CV AGUNG KARYA",COUNTIF($I$10:I5241,"CV AGUNG KARYA")," ")</f>
        <v xml:space="preserve"> </v>
      </c>
      <c r="F5241" s="107" t="str">
        <f>IF(LEN(Table1722[[#This Row],[Uraian]])&gt;2,TRIM(RIGHT(SUBSTITUTE(TRIM(C5241)," ",REPT(" ",255)),255))," ")</f>
        <v xml:space="preserve"> </v>
      </c>
      <c r="G5241" s="110">
        <f>COPY!Z5233</f>
        <v>0</v>
      </c>
      <c r="H5241" s="111" t="str">
        <f>IFERROR(VLOOKUP(Table1722[[#This Row],[Bukti]],'Un nOTA'!$A$4:$K$5003,10,FALSE),"")</f>
        <v/>
      </c>
      <c r="I5241" s="123" t="str">
        <f>IFERROR(VLOOKUP(Table1722[[#This Row],[Bukti]],Table13[#Data],11,FALSE),"")</f>
        <v/>
      </c>
    </row>
    <row r="5242" spans="1:9" hidden="1" x14ac:dyDescent="0.2">
      <c r="A5242" s="105" t="str">
        <f>IF(D5242=1,COUNTIF($D$10:D5242,1)," ")</f>
        <v xml:space="preserve"> </v>
      </c>
      <c r="B5242" s="106">
        <f>COPY!AR5234</f>
        <v>0</v>
      </c>
      <c r="C5242" s="107">
        <f>COPY!AC5234</f>
        <v>0</v>
      </c>
      <c r="D5242" s="107" t="str">
        <f>IF(LEN(Table1722[[#This Row],[Uraian]])&gt;2,1," ")</f>
        <v xml:space="preserve"> </v>
      </c>
      <c r="E5242" s="113" t="str">
        <f>IF(Table1722[[#This Row],[Lawan Transaksi]]="CV AGUNG KARYA",COUNTIF($I$10:I5242,"CV AGUNG KARYA")," ")</f>
        <v xml:space="preserve"> </v>
      </c>
      <c r="F5242" s="107" t="str">
        <f>IF(LEN(Table1722[[#This Row],[Uraian]])&gt;2,TRIM(RIGHT(SUBSTITUTE(TRIM(C5242)," ",REPT(" ",255)),255))," ")</f>
        <v xml:space="preserve"> </v>
      </c>
      <c r="G5242" s="110">
        <f>COPY!Z5234</f>
        <v>0</v>
      </c>
      <c r="H5242" s="111" t="str">
        <f>IFERROR(VLOOKUP(Table1722[[#This Row],[Bukti]],'Un nOTA'!$A$4:$K$5003,10,FALSE),"")</f>
        <v/>
      </c>
      <c r="I5242" s="123" t="str">
        <f>IFERROR(VLOOKUP(Table1722[[#This Row],[Bukti]],Table13[#Data],11,FALSE),"")</f>
        <v/>
      </c>
    </row>
    <row r="5243" spans="1:9" hidden="1" x14ac:dyDescent="0.2">
      <c r="A5243" s="105" t="str">
        <f>IF(D5243=1,COUNTIF($D$10:D5243,1)," ")</f>
        <v xml:space="preserve"> </v>
      </c>
      <c r="B5243" s="106">
        <f>COPY!AR5235</f>
        <v>0</v>
      </c>
      <c r="C5243" s="107">
        <f>COPY!AC5235</f>
        <v>0</v>
      </c>
      <c r="D5243" s="107" t="str">
        <f>IF(LEN(Table1722[[#This Row],[Uraian]])&gt;2,1," ")</f>
        <v xml:space="preserve"> </v>
      </c>
      <c r="E5243" s="113" t="str">
        <f>IF(Table1722[[#This Row],[Lawan Transaksi]]="CV AGUNG KARYA",COUNTIF($I$10:I5243,"CV AGUNG KARYA")," ")</f>
        <v xml:space="preserve"> </v>
      </c>
      <c r="F5243" s="107" t="str">
        <f>IF(LEN(Table1722[[#This Row],[Uraian]])&gt;2,TRIM(RIGHT(SUBSTITUTE(TRIM(C5243)," ",REPT(" ",255)),255))," ")</f>
        <v xml:space="preserve"> </v>
      </c>
      <c r="G5243" s="110">
        <f>COPY!Z5235</f>
        <v>0</v>
      </c>
      <c r="H5243" s="111" t="str">
        <f>IFERROR(VLOOKUP(Table1722[[#This Row],[Bukti]],'Un nOTA'!$A$4:$K$5003,10,FALSE),"")</f>
        <v/>
      </c>
      <c r="I5243" s="123" t="str">
        <f>IFERROR(VLOOKUP(Table1722[[#This Row],[Bukti]],Table13[#Data],11,FALSE),"")</f>
        <v/>
      </c>
    </row>
    <row r="5244" spans="1:9" hidden="1" x14ac:dyDescent="0.2">
      <c r="A5244" s="105" t="str">
        <f>IF(D5244=1,COUNTIF($D$10:D5244,1)," ")</f>
        <v xml:space="preserve"> </v>
      </c>
      <c r="B5244" s="106">
        <f>COPY!AR5236</f>
        <v>0</v>
      </c>
      <c r="C5244" s="107">
        <f>COPY!AC5236</f>
        <v>0</v>
      </c>
      <c r="D5244" s="107" t="str">
        <f>IF(LEN(Table1722[[#This Row],[Uraian]])&gt;2,1," ")</f>
        <v xml:space="preserve"> </v>
      </c>
      <c r="E5244" s="113" t="str">
        <f>IF(Table1722[[#This Row],[Lawan Transaksi]]="CV AGUNG KARYA",COUNTIF($I$10:I5244,"CV AGUNG KARYA")," ")</f>
        <v xml:space="preserve"> </v>
      </c>
      <c r="F5244" s="107" t="str">
        <f>IF(LEN(Table1722[[#This Row],[Uraian]])&gt;2,TRIM(RIGHT(SUBSTITUTE(TRIM(C5244)," ",REPT(" ",255)),255))," ")</f>
        <v xml:space="preserve"> </v>
      </c>
      <c r="G5244" s="110">
        <f>COPY!Z5236</f>
        <v>0</v>
      </c>
      <c r="H5244" s="111" t="str">
        <f>IFERROR(VLOOKUP(Table1722[[#This Row],[Bukti]],'Un nOTA'!$A$4:$K$5003,10,FALSE),"")</f>
        <v/>
      </c>
      <c r="I5244" s="123" t="str">
        <f>IFERROR(VLOOKUP(Table1722[[#This Row],[Bukti]],Table13[#Data],11,FALSE),"")</f>
        <v/>
      </c>
    </row>
    <row r="5245" spans="1:9" hidden="1" x14ac:dyDescent="0.2">
      <c r="A5245" s="105" t="str">
        <f>IF(D5245=1,COUNTIF($D$10:D5245,1)," ")</f>
        <v xml:space="preserve"> </v>
      </c>
      <c r="B5245" s="106">
        <f>COPY!AR5237</f>
        <v>0</v>
      </c>
      <c r="C5245" s="107">
        <f>COPY!AC5237</f>
        <v>0</v>
      </c>
      <c r="D5245" s="107" t="str">
        <f>IF(LEN(Table1722[[#This Row],[Uraian]])&gt;2,1," ")</f>
        <v xml:space="preserve"> </v>
      </c>
      <c r="E5245" s="113" t="str">
        <f>IF(Table1722[[#This Row],[Lawan Transaksi]]="CV AGUNG KARYA",COUNTIF($I$10:I5245,"CV AGUNG KARYA")," ")</f>
        <v xml:space="preserve"> </v>
      </c>
      <c r="F5245" s="107" t="str">
        <f>IF(LEN(Table1722[[#This Row],[Uraian]])&gt;2,TRIM(RIGHT(SUBSTITUTE(TRIM(C5245)," ",REPT(" ",255)),255))," ")</f>
        <v xml:space="preserve"> </v>
      </c>
      <c r="G5245" s="110">
        <f>COPY!Z5237</f>
        <v>0</v>
      </c>
      <c r="H5245" s="111" t="str">
        <f>IFERROR(VLOOKUP(Table1722[[#This Row],[Bukti]],'Un nOTA'!$A$4:$K$5003,10,FALSE),"")</f>
        <v/>
      </c>
      <c r="I5245" s="123" t="str">
        <f>IFERROR(VLOOKUP(Table1722[[#This Row],[Bukti]],Table13[#Data],11,FALSE),"")</f>
        <v/>
      </c>
    </row>
    <row r="5246" spans="1:9" hidden="1" x14ac:dyDescent="0.2">
      <c r="A5246" s="105" t="str">
        <f>IF(D5246=1,COUNTIF($D$10:D5246,1)," ")</f>
        <v xml:space="preserve"> </v>
      </c>
      <c r="B5246" s="106">
        <f>COPY!AR5238</f>
        <v>0</v>
      </c>
      <c r="C5246" s="107">
        <f>COPY!AC5238</f>
        <v>0</v>
      </c>
      <c r="D5246" s="107" t="str">
        <f>IF(LEN(Table1722[[#This Row],[Uraian]])&gt;2,1," ")</f>
        <v xml:space="preserve"> </v>
      </c>
      <c r="E5246" s="113" t="str">
        <f>IF(Table1722[[#This Row],[Lawan Transaksi]]="CV AGUNG KARYA",COUNTIF($I$10:I5246,"CV AGUNG KARYA")," ")</f>
        <v xml:space="preserve"> </v>
      </c>
      <c r="F5246" s="107" t="str">
        <f>IF(LEN(Table1722[[#This Row],[Uraian]])&gt;2,TRIM(RIGHT(SUBSTITUTE(TRIM(C5246)," ",REPT(" ",255)),255))," ")</f>
        <v xml:space="preserve"> </v>
      </c>
      <c r="G5246" s="110">
        <f>COPY!Z5238</f>
        <v>0</v>
      </c>
      <c r="H5246" s="111" t="str">
        <f>IFERROR(VLOOKUP(Table1722[[#This Row],[Bukti]],'Un nOTA'!$A$4:$K$5003,10,FALSE),"")</f>
        <v/>
      </c>
      <c r="I5246" s="123" t="str">
        <f>IFERROR(VLOOKUP(Table1722[[#This Row],[Bukti]],Table13[#Data],11,FALSE),"")</f>
        <v/>
      </c>
    </row>
    <row r="5247" spans="1:9" hidden="1" x14ac:dyDescent="0.2">
      <c r="A5247" s="105" t="str">
        <f>IF(D5247=1,COUNTIF($D$10:D5247,1)," ")</f>
        <v xml:space="preserve"> </v>
      </c>
      <c r="B5247" s="106">
        <f>COPY!AR5239</f>
        <v>0</v>
      </c>
      <c r="C5247" s="107">
        <f>COPY!AC5239</f>
        <v>0</v>
      </c>
      <c r="D5247" s="107" t="str">
        <f>IF(LEN(Table1722[[#This Row],[Uraian]])&gt;2,1," ")</f>
        <v xml:space="preserve"> </v>
      </c>
      <c r="E5247" s="113" t="str">
        <f>IF(Table1722[[#This Row],[Lawan Transaksi]]="CV AGUNG KARYA",COUNTIF($I$10:I5247,"CV AGUNG KARYA")," ")</f>
        <v xml:space="preserve"> </v>
      </c>
      <c r="F5247" s="107" t="str">
        <f>IF(LEN(Table1722[[#This Row],[Uraian]])&gt;2,TRIM(RIGHT(SUBSTITUTE(TRIM(C5247)," ",REPT(" ",255)),255))," ")</f>
        <v xml:space="preserve"> </v>
      </c>
      <c r="G5247" s="110">
        <f>COPY!Z5239</f>
        <v>0</v>
      </c>
      <c r="H5247" s="111" t="str">
        <f>IFERROR(VLOOKUP(Table1722[[#This Row],[Bukti]],'Un nOTA'!$A$4:$K$5003,10,FALSE),"")</f>
        <v/>
      </c>
      <c r="I5247" s="123" t="str">
        <f>IFERROR(VLOOKUP(Table1722[[#This Row],[Bukti]],Table13[#Data],11,FALSE),"")</f>
        <v/>
      </c>
    </row>
    <row r="5248" spans="1:9" hidden="1" x14ac:dyDescent="0.2">
      <c r="A5248" s="105" t="str">
        <f>IF(D5248=1,COUNTIF($D$10:D5248,1)," ")</f>
        <v xml:space="preserve"> </v>
      </c>
      <c r="B5248" s="106">
        <f>COPY!AR5240</f>
        <v>0</v>
      </c>
      <c r="C5248" s="107">
        <f>COPY!AC5240</f>
        <v>0</v>
      </c>
      <c r="D5248" s="107" t="str">
        <f>IF(LEN(Table1722[[#This Row],[Uraian]])&gt;2,1," ")</f>
        <v xml:space="preserve"> </v>
      </c>
      <c r="E5248" s="113" t="str">
        <f>IF(Table1722[[#This Row],[Lawan Transaksi]]="CV AGUNG KARYA",COUNTIF($I$10:I5248,"CV AGUNG KARYA")," ")</f>
        <v xml:space="preserve"> </v>
      </c>
      <c r="F5248" s="107" t="str">
        <f>IF(LEN(Table1722[[#This Row],[Uraian]])&gt;2,TRIM(RIGHT(SUBSTITUTE(TRIM(C5248)," ",REPT(" ",255)),255))," ")</f>
        <v xml:space="preserve"> </v>
      </c>
      <c r="G5248" s="110">
        <f>COPY!Z5240</f>
        <v>0</v>
      </c>
      <c r="H5248" s="111" t="str">
        <f>IFERROR(VLOOKUP(Table1722[[#This Row],[Bukti]],'Un nOTA'!$A$4:$K$5003,10,FALSE),"")</f>
        <v/>
      </c>
      <c r="I5248" s="123" t="str">
        <f>IFERROR(VLOOKUP(Table1722[[#This Row],[Bukti]],Table13[#Data],11,FALSE),"")</f>
        <v/>
      </c>
    </row>
    <row r="5249" spans="1:9" hidden="1" x14ac:dyDescent="0.2">
      <c r="A5249" s="105" t="str">
        <f>IF(D5249=1,COUNTIF($D$10:D5249,1)," ")</f>
        <v xml:space="preserve"> </v>
      </c>
      <c r="B5249" s="106">
        <f>COPY!AR5241</f>
        <v>0</v>
      </c>
      <c r="C5249" s="107">
        <f>COPY!AC5241</f>
        <v>0</v>
      </c>
      <c r="D5249" s="107" t="str">
        <f>IF(LEN(Table1722[[#This Row],[Uraian]])&gt;2,1," ")</f>
        <v xml:space="preserve"> </v>
      </c>
      <c r="E5249" s="113" t="str">
        <f>IF(Table1722[[#This Row],[Lawan Transaksi]]="CV AGUNG KARYA",COUNTIF($I$10:I5249,"CV AGUNG KARYA")," ")</f>
        <v xml:space="preserve"> </v>
      </c>
      <c r="F5249" s="107" t="str">
        <f>IF(LEN(Table1722[[#This Row],[Uraian]])&gt;2,TRIM(RIGHT(SUBSTITUTE(TRIM(C5249)," ",REPT(" ",255)),255))," ")</f>
        <v xml:space="preserve"> </v>
      </c>
      <c r="G5249" s="110">
        <f>COPY!Z5241</f>
        <v>0</v>
      </c>
      <c r="H5249" s="111" t="str">
        <f>IFERROR(VLOOKUP(Table1722[[#This Row],[Bukti]],'Un nOTA'!$A$4:$K$5003,10,FALSE),"")</f>
        <v/>
      </c>
      <c r="I5249" s="123" t="str">
        <f>IFERROR(VLOOKUP(Table1722[[#This Row],[Bukti]],Table13[#Data],11,FALSE),"")</f>
        <v/>
      </c>
    </row>
    <row r="5250" spans="1:9" hidden="1" x14ac:dyDescent="0.2">
      <c r="A5250" s="105" t="str">
        <f>IF(D5250=1,COUNTIF($D$10:D5250,1)," ")</f>
        <v xml:space="preserve"> </v>
      </c>
      <c r="B5250" s="106">
        <f>COPY!AR5242</f>
        <v>0</v>
      </c>
      <c r="C5250" s="107">
        <f>COPY!AC5242</f>
        <v>0</v>
      </c>
      <c r="D5250" s="107" t="str">
        <f>IF(LEN(Table1722[[#This Row],[Uraian]])&gt;2,1," ")</f>
        <v xml:space="preserve"> </v>
      </c>
      <c r="E5250" s="113" t="str">
        <f>IF(Table1722[[#This Row],[Lawan Transaksi]]="CV AGUNG KARYA",COUNTIF($I$10:I5250,"CV AGUNG KARYA")," ")</f>
        <v xml:space="preserve"> </v>
      </c>
      <c r="F5250" s="107" t="str">
        <f>IF(LEN(Table1722[[#This Row],[Uraian]])&gt;2,TRIM(RIGHT(SUBSTITUTE(TRIM(C5250)," ",REPT(" ",255)),255))," ")</f>
        <v xml:space="preserve"> </v>
      </c>
      <c r="G5250" s="110">
        <f>COPY!Z5242</f>
        <v>0</v>
      </c>
      <c r="H5250" s="111" t="str">
        <f>IFERROR(VLOOKUP(Table1722[[#This Row],[Bukti]],'Un nOTA'!$A$4:$K$5003,10,FALSE),"")</f>
        <v/>
      </c>
      <c r="I5250" s="123" t="str">
        <f>IFERROR(VLOOKUP(Table1722[[#This Row],[Bukti]],Table13[#Data],11,FALSE),"")</f>
        <v/>
      </c>
    </row>
    <row r="5251" spans="1:9" hidden="1" x14ac:dyDescent="0.2">
      <c r="A5251" s="105" t="str">
        <f>IF(D5251=1,COUNTIF($D$10:D5251,1)," ")</f>
        <v xml:space="preserve"> </v>
      </c>
      <c r="B5251" s="106">
        <f>COPY!AR5243</f>
        <v>0</v>
      </c>
      <c r="C5251" s="107">
        <f>COPY!AC5243</f>
        <v>0</v>
      </c>
      <c r="D5251" s="107" t="str">
        <f>IF(LEN(Table1722[[#This Row],[Uraian]])&gt;2,1," ")</f>
        <v xml:space="preserve"> </v>
      </c>
      <c r="E5251" s="113" t="str">
        <f>IF(Table1722[[#This Row],[Lawan Transaksi]]="CV AGUNG KARYA",COUNTIF($I$10:I5251,"CV AGUNG KARYA")," ")</f>
        <v xml:space="preserve"> </v>
      </c>
      <c r="F5251" s="107" t="str">
        <f>IF(LEN(Table1722[[#This Row],[Uraian]])&gt;2,TRIM(RIGHT(SUBSTITUTE(TRIM(C5251)," ",REPT(" ",255)),255))," ")</f>
        <v xml:space="preserve"> </v>
      </c>
      <c r="G5251" s="110">
        <f>COPY!Z5243</f>
        <v>0</v>
      </c>
      <c r="H5251" s="111" t="str">
        <f>IFERROR(VLOOKUP(Table1722[[#This Row],[Bukti]],'Un nOTA'!$A$4:$K$5003,10,FALSE),"")</f>
        <v/>
      </c>
      <c r="I5251" s="123" t="str">
        <f>IFERROR(VLOOKUP(Table1722[[#This Row],[Bukti]],Table13[#Data],11,FALSE),"")</f>
        <v/>
      </c>
    </row>
    <row r="5252" spans="1:9" hidden="1" x14ac:dyDescent="0.2">
      <c r="A5252" s="105" t="str">
        <f>IF(D5252=1,COUNTIF($D$10:D5252,1)," ")</f>
        <v xml:space="preserve"> </v>
      </c>
      <c r="B5252" s="106">
        <f>COPY!AR5244</f>
        <v>0</v>
      </c>
      <c r="C5252" s="107">
        <f>COPY!AC5244</f>
        <v>0</v>
      </c>
      <c r="D5252" s="107" t="str">
        <f>IF(LEN(Table1722[[#This Row],[Uraian]])&gt;2,1," ")</f>
        <v xml:space="preserve"> </v>
      </c>
      <c r="E5252" s="113" t="str">
        <f>IF(Table1722[[#This Row],[Lawan Transaksi]]="CV AGUNG KARYA",COUNTIF($I$10:I5252,"CV AGUNG KARYA")," ")</f>
        <v xml:space="preserve"> </v>
      </c>
      <c r="F5252" s="107" t="str">
        <f>IF(LEN(Table1722[[#This Row],[Uraian]])&gt;2,TRIM(RIGHT(SUBSTITUTE(TRIM(C5252)," ",REPT(" ",255)),255))," ")</f>
        <v xml:space="preserve"> </v>
      </c>
      <c r="G5252" s="110">
        <f>COPY!Z5244</f>
        <v>0</v>
      </c>
      <c r="H5252" s="111" t="str">
        <f>IFERROR(VLOOKUP(Table1722[[#This Row],[Bukti]],'Un nOTA'!$A$4:$K$5003,10,FALSE),"")</f>
        <v/>
      </c>
      <c r="I5252" s="123" t="str">
        <f>IFERROR(VLOOKUP(Table1722[[#This Row],[Bukti]],Table13[#Data],11,FALSE),"")</f>
        <v/>
      </c>
    </row>
    <row r="5253" spans="1:9" hidden="1" x14ac:dyDescent="0.2">
      <c r="A5253" s="105" t="str">
        <f>IF(D5253=1,COUNTIF($D$10:D5253,1)," ")</f>
        <v xml:space="preserve"> </v>
      </c>
      <c r="B5253" s="106">
        <f>COPY!AR5245</f>
        <v>0</v>
      </c>
      <c r="C5253" s="107">
        <f>COPY!AC5245</f>
        <v>0</v>
      </c>
      <c r="D5253" s="107" t="str">
        <f>IF(LEN(Table1722[[#This Row],[Uraian]])&gt;2,1," ")</f>
        <v xml:space="preserve"> </v>
      </c>
      <c r="E5253" s="113" t="str">
        <f>IF(Table1722[[#This Row],[Lawan Transaksi]]="CV AGUNG KARYA",COUNTIF($I$10:I5253,"CV AGUNG KARYA")," ")</f>
        <v xml:space="preserve"> </v>
      </c>
      <c r="F5253" s="107" t="str">
        <f>IF(LEN(Table1722[[#This Row],[Uraian]])&gt;2,TRIM(RIGHT(SUBSTITUTE(TRIM(C5253)," ",REPT(" ",255)),255))," ")</f>
        <v xml:space="preserve"> </v>
      </c>
      <c r="G5253" s="110">
        <f>COPY!Z5245</f>
        <v>0</v>
      </c>
      <c r="H5253" s="111" t="str">
        <f>IFERROR(VLOOKUP(Table1722[[#This Row],[Bukti]],'Un nOTA'!$A$4:$K$5003,10,FALSE),"")</f>
        <v/>
      </c>
      <c r="I5253" s="123" t="str">
        <f>IFERROR(VLOOKUP(Table1722[[#This Row],[Bukti]],Table13[#Data],11,FALSE),"")</f>
        <v/>
      </c>
    </row>
    <row r="5254" spans="1:9" hidden="1" x14ac:dyDescent="0.2">
      <c r="A5254" s="105" t="str">
        <f>IF(D5254=1,COUNTIF($D$10:D5254,1)," ")</f>
        <v xml:space="preserve"> </v>
      </c>
      <c r="B5254" s="106">
        <f>COPY!AR5246</f>
        <v>0</v>
      </c>
      <c r="C5254" s="107">
        <f>COPY!AC5246</f>
        <v>0</v>
      </c>
      <c r="D5254" s="107" t="str">
        <f>IF(LEN(Table1722[[#This Row],[Uraian]])&gt;2,1," ")</f>
        <v xml:space="preserve"> </v>
      </c>
      <c r="E5254" s="113" t="str">
        <f>IF(Table1722[[#This Row],[Lawan Transaksi]]="CV AGUNG KARYA",COUNTIF($I$10:I5254,"CV AGUNG KARYA")," ")</f>
        <v xml:space="preserve"> </v>
      </c>
      <c r="F5254" s="107" t="str">
        <f>IF(LEN(Table1722[[#This Row],[Uraian]])&gt;2,TRIM(RIGHT(SUBSTITUTE(TRIM(C5254)," ",REPT(" ",255)),255))," ")</f>
        <v xml:space="preserve"> </v>
      </c>
      <c r="G5254" s="110">
        <f>COPY!Z5246</f>
        <v>0</v>
      </c>
      <c r="H5254" s="111" t="str">
        <f>IFERROR(VLOOKUP(Table1722[[#This Row],[Bukti]],'Un nOTA'!$A$4:$K$5003,10,FALSE),"")</f>
        <v/>
      </c>
      <c r="I5254" s="123" t="str">
        <f>IFERROR(VLOOKUP(Table1722[[#This Row],[Bukti]],Table13[#Data],11,FALSE),"")</f>
        <v/>
      </c>
    </row>
    <row r="5255" spans="1:9" hidden="1" x14ac:dyDescent="0.2">
      <c r="A5255" s="105" t="str">
        <f>IF(D5255=1,COUNTIF($D$10:D5255,1)," ")</f>
        <v xml:space="preserve"> </v>
      </c>
      <c r="B5255" s="106">
        <f>COPY!AR5247</f>
        <v>0</v>
      </c>
      <c r="C5255" s="107">
        <f>COPY!AC5247</f>
        <v>0</v>
      </c>
      <c r="D5255" s="107" t="str">
        <f>IF(LEN(Table1722[[#This Row],[Uraian]])&gt;2,1," ")</f>
        <v xml:space="preserve"> </v>
      </c>
      <c r="E5255" s="113" t="str">
        <f>IF(Table1722[[#This Row],[Lawan Transaksi]]="CV AGUNG KARYA",COUNTIF($I$10:I5255,"CV AGUNG KARYA")," ")</f>
        <v xml:space="preserve"> </v>
      </c>
      <c r="F5255" s="107" t="str">
        <f>IF(LEN(Table1722[[#This Row],[Uraian]])&gt;2,TRIM(RIGHT(SUBSTITUTE(TRIM(C5255)," ",REPT(" ",255)),255))," ")</f>
        <v xml:space="preserve"> </v>
      </c>
      <c r="G5255" s="110">
        <f>COPY!Z5247</f>
        <v>0</v>
      </c>
      <c r="H5255" s="111" t="str">
        <f>IFERROR(VLOOKUP(Table1722[[#This Row],[Bukti]],'Un nOTA'!$A$4:$K$5003,10,FALSE),"")</f>
        <v/>
      </c>
      <c r="I5255" s="123" t="str">
        <f>IFERROR(VLOOKUP(Table1722[[#This Row],[Bukti]],Table13[#Data],11,FALSE),"")</f>
        <v/>
      </c>
    </row>
    <row r="5256" spans="1:9" hidden="1" x14ac:dyDescent="0.2">
      <c r="A5256" s="105" t="str">
        <f>IF(D5256=1,COUNTIF($D$10:D5256,1)," ")</f>
        <v xml:space="preserve"> </v>
      </c>
      <c r="B5256" s="106">
        <f>COPY!AR5248</f>
        <v>0</v>
      </c>
      <c r="C5256" s="107">
        <f>COPY!AC5248</f>
        <v>0</v>
      </c>
      <c r="D5256" s="107" t="str">
        <f>IF(LEN(Table1722[[#This Row],[Uraian]])&gt;2,1," ")</f>
        <v xml:space="preserve"> </v>
      </c>
      <c r="E5256" s="113" t="str">
        <f>IF(Table1722[[#This Row],[Lawan Transaksi]]="CV AGUNG KARYA",COUNTIF($I$10:I5256,"CV AGUNG KARYA")," ")</f>
        <v xml:space="preserve"> </v>
      </c>
      <c r="F5256" s="107" t="str">
        <f>IF(LEN(Table1722[[#This Row],[Uraian]])&gt;2,TRIM(RIGHT(SUBSTITUTE(TRIM(C5256)," ",REPT(" ",255)),255))," ")</f>
        <v xml:space="preserve"> </v>
      </c>
      <c r="G5256" s="110">
        <f>COPY!Z5248</f>
        <v>0</v>
      </c>
      <c r="H5256" s="111" t="str">
        <f>IFERROR(VLOOKUP(Table1722[[#This Row],[Bukti]],'Un nOTA'!$A$4:$K$5003,10,FALSE),"")</f>
        <v/>
      </c>
      <c r="I5256" s="123" t="str">
        <f>IFERROR(VLOOKUP(Table1722[[#This Row],[Bukti]],Table13[#Data],11,FALSE),"")</f>
        <v/>
      </c>
    </row>
    <row r="5257" spans="1:9" hidden="1" x14ac:dyDescent="0.2">
      <c r="A5257" s="105" t="str">
        <f>IF(D5257=1,COUNTIF($D$10:D5257,1)," ")</f>
        <v xml:space="preserve"> </v>
      </c>
      <c r="B5257" s="106">
        <f>COPY!AR5249</f>
        <v>0</v>
      </c>
      <c r="C5257" s="107">
        <f>COPY!AC5249</f>
        <v>0</v>
      </c>
      <c r="D5257" s="107" t="str">
        <f>IF(LEN(Table1722[[#This Row],[Uraian]])&gt;2,1," ")</f>
        <v xml:space="preserve"> </v>
      </c>
      <c r="E5257" s="113" t="str">
        <f>IF(Table1722[[#This Row],[Lawan Transaksi]]="CV AGUNG KARYA",COUNTIF($I$10:I5257,"CV AGUNG KARYA")," ")</f>
        <v xml:space="preserve"> </v>
      </c>
      <c r="F5257" s="107" t="str">
        <f>IF(LEN(Table1722[[#This Row],[Uraian]])&gt;2,TRIM(RIGHT(SUBSTITUTE(TRIM(C5257)," ",REPT(" ",255)),255))," ")</f>
        <v xml:space="preserve"> </v>
      </c>
      <c r="G5257" s="110">
        <f>COPY!Z5249</f>
        <v>0</v>
      </c>
      <c r="H5257" s="111" t="str">
        <f>IFERROR(VLOOKUP(Table1722[[#This Row],[Bukti]],'Un nOTA'!$A$4:$K$5003,10,FALSE),"")</f>
        <v/>
      </c>
      <c r="I5257" s="123" t="str">
        <f>IFERROR(VLOOKUP(Table1722[[#This Row],[Bukti]],Table13[#Data],11,FALSE),"")</f>
        <v/>
      </c>
    </row>
    <row r="5258" spans="1:9" hidden="1" x14ac:dyDescent="0.2">
      <c r="A5258" s="105" t="str">
        <f>IF(D5258=1,COUNTIF($D$10:D5258,1)," ")</f>
        <v xml:space="preserve"> </v>
      </c>
      <c r="B5258" s="106">
        <f>COPY!AR5250</f>
        <v>0</v>
      </c>
      <c r="C5258" s="107">
        <f>COPY!AC5250</f>
        <v>0</v>
      </c>
      <c r="D5258" s="107" t="str">
        <f>IF(LEN(Table1722[[#This Row],[Uraian]])&gt;2,1," ")</f>
        <v xml:space="preserve"> </v>
      </c>
      <c r="E5258" s="113" t="str">
        <f>IF(Table1722[[#This Row],[Lawan Transaksi]]="CV AGUNG KARYA",COUNTIF($I$10:I5258,"CV AGUNG KARYA")," ")</f>
        <v xml:space="preserve"> </v>
      </c>
      <c r="F5258" s="107" t="str">
        <f>IF(LEN(Table1722[[#This Row],[Uraian]])&gt;2,TRIM(RIGHT(SUBSTITUTE(TRIM(C5258)," ",REPT(" ",255)),255))," ")</f>
        <v xml:space="preserve"> </v>
      </c>
      <c r="G5258" s="110">
        <f>COPY!Z5250</f>
        <v>0</v>
      </c>
      <c r="H5258" s="111" t="str">
        <f>IFERROR(VLOOKUP(Table1722[[#This Row],[Bukti]],'Un nOTA'!$A$4:$K$5003,10,FALSE),"")</f>
        <v/>
      </c>
      <c r="I5258" s="123" t="str">
        <f>IFERROR(VLOOKUP(Table1722[[#This Row],[Bukti]],Table13[#Data],11,FALSE),"")</f>
        <v/>
      </c>
    </row>
    <row r="5259" spans="1:9" hidden="1" x14ac:dyDescent="0.2">
      <c r="A5259" s="105" t="str">
        <f>IF(D5259=1,COUNTIF($D$10:D5259,1)," ")</f>
        <v xml:space="preserve"> </v>
      </c>
      <c r="B5259" s="106">
        <f>COPY!AR5251</f>
        <v>0</v>
      </c>
      <c r="C5259" s="107">
        <f>COPY!AC5251</f>
        <v>0</v>
      </c>
      <c r="D5259" s="107" t="str">
        <f>IF(LEN(Table1722[[#This Row],[Uraian]])&gt;2,1," ")</f>
        <v xml:space="preserve"> </v>
      </c>
      <c r="E5259" s="113" t="str">
        <f>IF(Table1722[[#This Row],[Lawan Transaksi]]="CV AGUNG KARYA",COUNTIF($I$10:I5259,"CV AGUNG KARYA")," ")</f>
        <v xml:space="preserve"> </v>
      </c>
      <c r="F5259" s="107" t="str">
        <f>IF(LEN(Table1722[[#This Row],[Uraian]])&gt;2,TRIM(RIGHT(SUBSTITUTE(TRIM(C5259)," ",REPT(" ",255)),255))," ")</f>
        <v xml:space="preserve"> </v>
      </c>
      <c r="G5259" s="110">
        <f>COPY!Z5251</f>
        <v>0</v>
      </c>
      <c r="H5259" s="111" t="str">
        <f>IFERROR(VLOOKUP(Table1722[[#This Row],[Bukti]],'Un nOTA'!$A$4:$K$5003,10,FALSE),"")</f>
        <v/>
      </c>
      <c r="I5259" s="123" t="str">
        <f>IFERROR(VLOOKUP(Table1722[[#This Row],[Bukti]],Table13[#Data],11,FALSE),"")</f>
        <v/>
      </c>
    </row>
    <row r="5260" spans="1:9" hidden="1" x14ac:dyDescent="0.2">
      <c r="A5260" s="105" t="str">
        <f>IF(D5260=1,COUNTIF($D$10:D5260,1)," ")</f>
        <v xml:space="preserve"> </v>
      </c>
      <c r="B5260" s="106">
        <f>COPY!AR5252</f>
        <v>0</v>
      </c>
      <c r="C5260" s="107">
        <f>COPY!AC5252</f>
        <v>0</v>
      </c>
      <c r="D5260" s="107" t="str">
        <f>IF(LEN(Table1722[[#This Row],[Uraian]])&gt;2,1," ")</f>
        <v xml:space="preserve"> </v>
      </c>
      <c r="E5260" s="113" t="str">
        <f>IF(Table1722[[#This Row],[Lawan Transaksi]]="CV AGUNG KARYA",COUNTIF($I$10:I5260,"CV AGUNG KARYA")," ")</f>
        <v xml:space="preserve"> </v>
      </c>
      <c r="F5260" s="107" t="str">
        <f>IF(LEN(Table1722[[#This Row],[Uraian]])&gt;2,TRIM(RIGHT(SUBSTITUTE(TRIM(C5260)," ",REPT(" ",255)),255))," ")</f>
        <v xml:space="preserve"> </v>
      </c>
      <c r="G5260" s="110">
        <f>COPY!Z5252</f>
        <v>0</v>
      </c>
      <c r="H5260" s="111" t="str">
        <f>IFERROR(VLOOKUP(Table1722[[#This Row],[Bukti]],'Un nOTA'!$A$4:$K$5003,10,FALSE),"")</f>
        <v/>
      </c>
      <c r="I5260" s="123" t="str">
        <f>IFERROR(VLOOKUP(Table1722[[#This Row],[Bukti]],Table13[#Data],11,FALSE),"")</f>
        <v/>
      </c>
    </row>
    <row r="5261" spans="1:9" hidden="1" x14ac:dyDescent="0.2">
      <c r="A5261" s="105" t="str">
        <f>IF(D5261=1,COUNTIF($D$10:D5261,1)," ")</f>
        <v xml:space="preserve"> </v>
      </c>
      <c r="B5261" s="106">
        <f>COPY!AR5253</f>
        <v>0</v>
      </c>
      <c r="C5261" s="107">
        <f>COPY!AC5253</f>
        <v>0</v>
      </c>
      <c r="D5261" s="107" t="str">
        <f>IF(LEN(Table1722[[#This Row],[Uraian]])&gt;2,1," ")</f>
        <v xml:space="preserve"> </v>
      </c>
      <c r="E5261" s="113" t="str">
        <f>IF(Table1722[[#This Row],[Lawan Transaksi]]="CV AGUNG KARYA",COUNTIF($I$10:I5261,"CV AGUNG KARYA")," ")</f>
        <v xml:space="preserve"> </v>
      </c>
      <c r="F5261" s="107" t="str">
        <f>IF(LEN(Table1722[[#This Row],[Uraian]])&gt;2,TRIM(RIGHT(SUBSTITUTE(TRIM(C5261)," ",REPT(" ",255)),255))," ")</f>
        <v xml:space="preserve"> </v>
      </c>
      <c r="G5261" s="110">
        <f>COPY!Z5253</f>
        <v>0</v>
      </c>
      <c r="H5261" s="111" t="str">
        <f>IFERROR(VLOOKUP(Table1722[[#This Row],[Bukti]],'Un nOTA'!$A$4:$K$5003,10,FALSE),"")</f>
        <v/>
      </c>
      <c r="I5261" s="123" t="str">
        <f>IFERROR(VLOOKUP(Table1722[[#This Row],[Bukti]],Table13[#Data],11,FALSE),"")</f>
        <v/>
      </c>
    </row>
    <row r="5262" spans="1:9" hidden="1" x14ac:dyDescent="0.2">
      <c r="A5262" s="105" t="str">
        <f>IF(D5262=1,COUNTIF($D$10:D5262,1)," ")</f>
        <v xml:space="preserve"> </v>
      </c>
      <c r="B5262" s="106">
        <f>COPY!AR5254</f>
        <v>0</v>
      </c>
      <c r="C5262" s="107">
        <f>COPY!AC5254</f>
        <v>0</v>
      </c>
      <c r="D5262" s="107" t="str">
        <f>IF(LEN(Table1722[[#This Row],[Uraian]])&gt;2,1," ")</f>
        <v xml:space="preserve"> </v>
      </c>
      <c r="E5262" s="113" t="str">
        <f>IF(Table1722[[#This Row],[Lawan Transaksi]]="CV AGUNG KARYA",COUNTIF($I$10:I5262,"CV AGUNG KARYA")," ")</f>
        <v xml:space="preserve"> </v>
      </c>
      <c r="F5262" s="107" t="str">
        <f>IF(LEN(Table1722[[#This Row],[Uraian]])&gt;2,TRIM(RIGHT(SUBSTITUTE(TRIM(C5262)," ",REPT(" ",255)),255))," ")</f>
        <v xml:space="preserve"> </v>
      </c>
      <c r="G5262" s="110">
        <f>COPY!Z5254</f>
        <v>0</v>
      </c>
      <c r="H5262" s="111" t="str">
        <f>IFERROR(VLOOKUP(Table1722[[#This Row],[Bukti]],'Un nOTA'!$A$4:$K$5003,10,FALSE),"")</f>
        <v/>
      </c>
      <c r="I5262" s="123" t="str">
        <f>IFERROR(VLOOKUP(Table1722[[#This Row],[Bukti]],Table13[#Data],11,FALSE),"")</f>
        <v/>
      </c>
    </row>
    <row r="5263" spans="1:9" hidden="1" x14ac:dyDescent="0.2">
      <c r="A5263" s="105" t="str">
        <f>IF(D5263=1,COUNTIF($D$10:D5263,1)," ")</f>
        <v xml:space="preserve"> </v>
      </c>
      <c r="B5263" s="106">
        <f>COPY!AR5255</f>
        <v>0</v>
      </c>
      <c r="C5263" s="107">
        <f>COPY!AC5255</f>
        <v>0</v>
      </c>
      <c r="D5263" s="107" t="str">
        <f>IF(LEN(Table1722[[#This Row],[Uraian]])&gt;2,1," ")</f>
        <v xml:space="preserve"> </v>
      </c>
      <c r="E5263" s="113" t="str">
        <f>IF(Table1722[[#This Row],[Lawan Transaksi]]="CV AGUNG KARYA",COUNTIF($I$10:I5263,"CV AGUNG KARYA")," ")</f>
        <v xml:space="preserve"> </v>
      </c>
      <c r="F5263" s="107" t="str">
        <f>IF(LEN(Table1722[[#This Row],[Uraian]])&gt;2,TRIM(RIGHT(SUBSTITUTE(TRIM(C5263)," ",REPT(" ",255)),255))," ")</f>
        <v xml:space="preserve"> </v>
      </c>
      <c r="G5263" s="110">
        <f>COPY!Z5255</f>
        <v>0</v>
      </c>
      <c r="H5263" s="111" t="str">
        <f>IFERROR(VLOOKUP(Table1722[[#This Row],[Bukti]],'Un nOTA'!$A$4:$K$5003,10,FALSE),"")</f>
        <v/>
      </c>
      <c r="I5263" s="123" t="str">
        <f>IFERROR(VLOOKUP(Table1722[[#This Row],[Bukti]],Table13[#Data],11,FALSE),"")</f>
        <v/>
      </c>
    </row>
    <row r="5264" spans="1:9" hidden="1" x14ac:dyDescent="0.2">
      <c r="A5264" s="105" t="str">
        <f>IF(D5264=1,COUNTIF($D$10:D5264,1)," ")</f>
        <v xml:space="preserve"> </v>
      </c>
      <c r="B5264" s="106">
        <f>COPY!AR5256</f>
        <v>0</v>
      </c>
      <c r="C5264" s="107">
        <f>COPY!AC5256</f>
        <v>0</v>
      </c>
      <c r="D5264" s="107" t="str">
        <f>IF(LEN(Table1722[[#This Row],[Uraian]])&gt;2,1," ")</f>
        <v xml:space="preserve"> </v>
      </c>
      <c r="E5264" s="113" t="str">
        <f>IF(Table1722[[#This Row],[Lawan Transaksi]]="CV AGUNG KARYA",COUNTIF($I$10:I5264,"CV AGUNG KARYA")," ")</f>
        <v xml:space="preserve"> </v>
      </c>
      <c r="F5264" s="107" t="str">
        <f>IF(LEN(Table1722[[#This Row],[Uraian]])&gt;2,TRIM(RIGHT(SUBSTITUTE(TRIM(C5264)," ",REPT(" ",255)),255))," ")</f>
        <v xml:space="preserve"> </v>
      </c>
      <c r="G5264" s="110">
        <f>COPY!Z5256</f>
        <v>0</v>
      </c>
      <c r="H5264" s="111" t="str">
        <f>IFERROR(VLOOKUP(Table1722[[#This Row],[Bukti]],'Un nOTA'!$A$4:$K$5003,10,FALSE),"")</f>
        <v/>
      </c>
      <c r="I5264" s="123" t="str">
        <f>IFERROR(VLOOKUP(Table1722[[#This Row],[Bukti]],Table13[#Data],11,FALSE),"")</f>
        <v/>
      </c>
    </row>
    <row r="5265" spans="1:9" hidden="1" x14ac:dyDescent="0.2">
      <c r="A5265" s="105" t="str">
        <f>IF(D5265=1,COUNTIF($D$10:D5265,1)," ")</f>
        <v xml:space="preserve"> </v>
      </c>
      <c r="B5265" s="106">
        <f>COPY!AR5257</f>
        <v>0</v>
      </c>
      <c r="C5265" s="107">
        <f>COPY!AC5257</f>
        <v>0</v>
      </c>
      <c r="D5265" s="107" t="str">
        <f>IF(LEN(Table1722[[#This Row],[Uraian]])&gt;2,1," ")</f>
        <v xml:space="preserve"> </v>
      </c>
      <c r="E5265" s="113" t="str">
        <f>IF(Table1722[[#This Row],[Lawan Transaksi]]="CV AGUNG KARYA",COUNTIF($I$10:I5265,"CV AGUNG KARYA")," ")</f>
        <v xml:space="preserve"> </v>
      </c>
      <c r="F5265" s="107" t="str">
        <f>IF(LEN(Table1722[[#This Row],[Uraian]])&gt;2,TRIM(RIGHT(SUBSTITUTE(TRIM(C5265)," ",REPT(" ",255)),255))," ")</f>
        <v xml:space="preserve"> </v>
      </c>
      <c r="G5265" s="110">
        <f>COPY!Z5257</f>
        <v>0</v>
      </c>
      <c r="H5265" s="111" t="str">
        <f>IFERROR(VLOOKUP(Table1722[[#This Row],[Bukti]],'Un nOTA'!$A$4:$K$5003,10,FALSE),"")</f>
        <v/>
      </c>
      <c r="I5265" s="123" t="str">
        <f>IFERROR(VLOOKUP(Table1722[[#This Row],[Bukti]],Table13[#Data],11,FALSE),"")</f>
        <v/>
      </c>
    </row>
    <row r="5266" spans="1:9" hidden="1" x14ac:dyDescent="0.2">
      <c r="A5266" s="105" t="str">
        <f>IF(D5266=1,COUNTIF($D$10:D5266,1)," ")</f>
        <v xml:space="preserve"> </v>
      </c>
      <c r="B5266" s="106">
        <f>COPY!AR5258</f>
        <v>0</v>
      </c>
      <c r="C5266" s="107">
        <f>COPY!AC5258</f>
        <v>0</v>
      </c>
      <c r="D5266" s="107" t="str">
        <f>IF(LEN(Table1722[[#This Row],[Uraian]])&gt;2,1," ")</f>
        <v xml:space="preserve"> </v>
      </c>
      <c r="E5266" s="113" t="str">
        <f>IF(Table1722[[#This Row],[Lawan Transaksi]]="CV AGUNG KARYA",COUNTIF($I$10:I5266,"CV AGUNG KARYA")," ")</f>
        <v xml:space="preserve"> </v>
      </c>
      <c r="F5266" s="107" t="str">
        <f>IF(LEN(Table1722[[#This Row],[Uraian]])&gt;2,TRIM(RIGHT(SUBSTITUTE(TRIM(C5266)," ",REPT(" ",255)),255))," ")</f>
        <v xml:space="preserve"> </v>
      </c>
      <c r="G5266" s="110">
        <f>COPY!Z5258</f>
        <v>0</v>
      </c>
      <c r="H5266" s="111" t="str">
        <f>IFERROR(VLOOKUP(Table1722[[#This Row],[Bukti]],'Un nOTA'!$A$4:$K$5003,10,FALSE),"")</f>
        <v/>
      </c>
      <c r="I5266" s="123" t="str">
        <f>IFERROR(VLOOKUP(Table1722[[#This Row],[Bukti]],Table13[#Data],11,FALSE),"")</f>
        <v/>
      </c>
    </row>
    <row r="5267" spans="1:9" hidden="1" x14ac:dyDescent="0.2">
      <c r="A5267" s="105" t="str">
        <f>IF(D5267=1,COUNTIF($D$10:D5267,1)," ")</f>
        <v xml:space="preserve"> </v>
      </c>
      <c r="B5267" s="106">
        <f>COPY!AR5259</f>
        <v>0</v>
      </c>
      <c r="C5267" s="107">
        <f>COPY!AC5259</f>
        <v>0</v>
      </c>
      <c r="D5267" s="107" t="str">
        <f>IF(LEN(Table1722[[#This Row],[Uraian]])&gt;2,1," ")</f>
        <v xml:space="preserve"> </v>
      </c>
      <c r="E5267" s="113" t="str">
        <f>IF(Table1722[[#This Row],[Lawan Transaksi]]="CV AGUNG KARYA",COUNTIF($I$10:I5267,"CV AGUNG KARYA")," ")</f>
        <v xml:space="preserve"> </v>
      </c>
      <c r="F5267" s="107" t="str">
        <f>IF(LEN(Table1722[[#This Row],[Uraian]])&gt;2,TRIM(RIGHT(SUBSTITUTE(TRIM(C5267)," ",REPT(" ",255)),255))," ")</f>
        <v xml:space="preserve"> </v>
      </c>
      <c r="G5267" s="110">
        <f>COPY!Z5259</f>
        <v>0</v>
      </c>
      <c r="H5267" s="111" t="str">
        <f>IFERROR(VLOOKUP(Table1722[[#This Row],[Bukti]],'Un nOTA'!$A$4:$K$5003,10,FALSE),"")</f>
        <v/>
      </c>
      <c r="I5267" s="123" t="str">
        <f>IFERROR(VLOOKUP(Table1722[[#This Row],[Bukti]],Table13[#Data],11,FALSE),"")</f>
        <v/>
      </c>
    </row>
    <row r="5268" spans="1:9" hidden="1" x14ac:dyDescent="0.2">
      <c r="A5268" s="105" t="str">
        <f>IF(D5268=1,COUNTIF($D$10:D5268,1)," ")</f>
        <v xml:space="preserve"> </v>
      </c>
      <c r="B5268" s="106">
        <f>COPY!AR5260</f>
        <v>0</v>
      </c>
      <c r="C5268" s="107">
        <f>COPY!AC5260</f>
        <v>0</v>
      </c>
      <c r="D5268" s="107" t="str">
        <f>IF(LEN(Table1722[[#This Row],[Uraian]])&gt;2,1," ")</f>
        <v xml:space="preserve"> </v>
      </c>
      <c r="E5268" s="113" t="str">
        <f>IF(Table1722[[#This Row],[Lawan Transaksi]]="CV AGUNG KARYA",COUNTIF($I$10:I5268,"CV AGUNG KARYA")," ")</f>
        <v xml:space="preserve"> </v>
      </c>
      <c r="F5268" s="107" t="str">
        <f>IF(LEN(Table1722[[#This Row],[Uraian]])&gt;2,TRIM(RIGHT(SUBSTITUTE(TRIM(C5268)," ",REPT(" ",255)),255))," ")</f>
        <v xml:space="preserve"> </v>
      </c>
      <c r="G5268" s="110">
        <f>COPY!Z5260</f>
        <v>0</v>
      </c>
      <c r="H5268" s="111" t="str">
        <f>IFERROR(VLOOKUP(Table1722[[#This Row],[Bukti]],'Un nOTA'!$A$4:$K$5003,10,FALSE),"")</f>
        <v/>
      </c>
      <c r="I5268" s="123" t="str">
        <f>IFERROR(VLOOKUP(Table1722[[#This Row],[Bukti]],Table13[#Data],11,FALSE),"")</f>
        <v/>
      </c>
    </row>
    <row r="5269" spans="1:9" hidden="1" x14ac:dyDescent="0.2">
      <c r="A5269" s="105" t="str">
        <f>IF(D5269=1,COUNTIF($D$10:D5269,1)," ")</f>
        <v xml:space="preserve"> </v>
      </c>
      <c r="B5269" s="106">
        <f>COPY!AR5261</f>
        <v>0</v>
      </c>
      <c r="C5269" s="107">
        <f>COPY!AC5261</f>
        <v>0</v>
      </c>
      <c r="D5269" s="107" t="str">
        <f>IF(LEN(Table1722[[#This Row],[Uraian]])&gt;2,1," ")</f>
        <v xml:space="preserve"> </v>
      </c>
      <c r="E5269" s="113" t="str">
        <f>IF(Table1722[[#This Row],[Lawan Transaksi]]="CV AGUNG KARYA",COUNTIF($I$10:I5269,"CV AGUNG KARYA")," ")</f>
        <v xml:space="preserve"> </v>
      </c>
      <c r="F5269" s="107" t="str">
        <f>IF(LEN(Table1722[[#This Row],[Uraian]])&gt;2,TRIM(RIGHT(SUBSTITUTE(TRIM(C5269)," ",REPT(" ",255)),255))," ")</f>
        <v xml:space="preserve"> </v>
      </c>
      <c r="G5269" s="110">
        <f>COPY!Z5261</f>
        <v>0</v>
      </c>
      <c r="H5269" s="111" t="str">
        <f>IFERROR(VLOOKUP(Table1722[[#This Row],[Bukti]],'Un nOTA'!$A$4:$K$5003,10,FALSE),"")</f>
        <v/>
      </c>
      <c r="I5269" s="123" t="str">
        <f>IFERROR(VLOOKUP(Table1722[[#This Row],[Bukti]],Table13[#Data],11,FALSE),"")</f>
        <v/>
      </c>
    </row>
    <row r="5270" spans="1:9" hidden="1" x14ac:dyDescent="0.2">
      <c r="A5270" s="105" t="str">
        <f>IF(D5270=1,COUNTIF($D$10:D5270,1)," ")</f>
        <v xml:space="preserve"> </v>
      </c>
      <c r="B5270" s="106">
        <f>COPY!AR5262</f>
        <v>0</v>
      </c>
      <c r="C5270" s="107">
        <f>COPY!AC5262</f>
        <v>0</v>
      </c>
      <c r="D5270" s="107" t="str">
        <f>IF(LEN(Table1722[[#This Row],[Uraian]])&gt;2,1," ")</f>
        <v xml:space="preserve"> </v>
      </c>
      <c r="E5270" s="113" t="str">
        <f>IF(Table1722[[#This Row],[Lawan Transaksi]]="CV AGUNG KARYA",COUNTIF($I$10:I5270,"CV AGUNG KARYA")," ")</f>
        <v xml:space="preserve"> </v>
      </c>
      <c r="F5270" s="107" t="str">
        <f>IF(LEN(Table1722[[#This Row],[Uraian]])&gt;2,TRIM(RIGHT(SUBSTITUTE(TRIM(C5270)," ",REPT(" ",255)),255))," ")</f>
        <v xml:space="preserve"> </v>
      </c>
      <c r="G5270" s="110">
        <f>COPY!Z5262</f>
        <v>0</v>
      </c>
      <c r="H5270" s="111" t="str">
        <f>IFERROR(VLOOKUP(Table1722[[#This Row],[Bukti]],'Un nOTA'!$A$4:$K$5003,10,FALSE),"")</f>
        <v/>
      </c>
      <c r="I5270" s="123" t="str">
        <f>IFERROR(VLOOKUP(Table1722[[#This Row],[Bukti]],Table13[#Data],11,FALSE),"")</f>
        <v/>
      </c>
    </row>
    <row r="5271" spans="1:9" hidden="1" x14ac:dyDescent="0.2">
      <c r="A5271" s="105" t="str">
        <f>IF(D5271=1,COUNTIF($D$10:D5271,1)," ")</f>
        <v xml:space="preserve"> </v>
      </c>
      <c r="B5271" s="106">
        <f>COPY!AR5263</f>
        <v>0</v>
      </c>
      <c r="C5271" s="107">
        <f>COPY!AC5263</f>
        <v>0</v>
      </c>
      <c r="D5271" s="107" t="str">
        <f>IF(LEN(Table1722[[#This Row],[Uraian]])&gt;2,1," ")</f>
        <v xml:space="preserve"> </v>
      </c>
      <c r="E5271" s="113" t="str">
        <f>IF(Table1722[[#This Row],[Lawan Transaksi]]="CV AGUNG KARYA",COUNTIF($I$10:I5271,"CV AGUNG KARYA")," ")</f>
        <v xml:space="preserve"> </v>
      </c>
      <c r="F5271" s="107" t="str">
        <f>IF(LEN(Table1722[[#This Row],[Uraian]])&gt;2,TRIM(RIGHT(SUBSTITUTE(TRIM(C5271)," ",REPT(" ",255)),255))," ")</f>
        <v xml:space="preserve"> </v>
      </c>
      <c r="G5271" s="110">
        <f>COPY!Z5263</f>
        <v>0</v>
      </c>
      <c r="H5271" s="111" t="str">
        <f>IFERROR(VLOOKUP(Table1722[[#This Row],[Bukti]],'Un nOTA'!$A$4:$K$5003,10,FALSE),"")</f>
        <v/>
      </c>
      <c r="I5271" s="123" t="str">
        <f>IFERROR(VLOOKUP(Table1722[[#This Row],[Bukti]],Table13[#Data],11,FALSE),"")</f>
        <v/>
      </c>
    </row>
    <row r="5272" spans="1:9" hidden="1" x14ac:dyDescent="0.2">
      <c r="A5272" s="105" t="str">
        <f>IF(D5272=1,COUNTIF($D$10:D5272,1)," ")</f>
        <v xml:space="preserve"> </v>
      </c>
      <c r="B5272" s="106">
        <f>COPY!AR5264</f>
        <v>0</v>
      </c>
      <c r="C5272" s="107">
        <f>COPY!AC5264</f>
        <v>0</v>
      </c>
      <c r="D5272" s="107" t="str">
        <f>IF(LEN(Table1722[[#This Row],[Uraian]])&gt;2,1," ")</f>
        <v xml:space="preserve"> </v>
      </c>
      <c r="E5272" s="113" t="str">
        <f>IF(Table1722[[#This Row],[Lawan Transaksi]]="CV AGUNG KARYA",COUNTIF($I$10:I5272,"CV AGUNG KARYA")," ")</f>
        <v xml:space="preserve"> </v>
      </c>
      <c r="F5272" s="107" t="str">
        <f>IF(LEN(Table1722[[#This Row],[Uraian]])&gt;2,TRIM(RIGHT(SUBSTITUTE(TRIM(C5272)," ",REPT(" ",255)),255))," ")</f>
        <v xml:space="preserve"> </v>
      </c>
      <c r="G5272" s="110">
        <f>COPY!Z5264</f>
        <v>0</v>
      </c>
      <c r="H5272" s="111" t="str">
        <f>IFERROR(VLOOKUP(Table1722[[#This Row],[Bukti]],'Un nOTA'!$A$4:$K$5003,10,FALSE),"")</f>
        <v/>
      </c>
      <c r="I5272" s="123" t="str">
        <f>IFERROR(VLOOKUP(Table1722[[#This Row],[Bukti]],Table13[#Data],11,FALSE),"")</f>
        <v/>
      </c>
    </row>
    <row r="5273" spans="1:9" hidden="1" x14ac:dyDescent="0.2">
      <c r="A5273" s="105" t="str">
        <f>IF(D5273=1,COUNTIF($D$10:D5273,1)," ")</f>
        <v xml:space="preserve"> </v>
      </c>
      <c r="B5273" s="106">
        <f>COPY!AR5265</f>
        <v>0</v>
      </c>
      <c r="C5273" s="107">
        <f>COPY!AC5265</f>
        <v>0</v>
      </c>
      <c r="D5273" s="107" t="str">
        <f>IF(LEN(Table1722[[#This Row],[Uraian]])&gt;2,1," ")</f>
        <v xml:space="preserve"> </v>
      </c>
      <c r="E5273" s="113" t="str">
        <f>IF(Table1722[[#This Row],[Lawan Transaksi]]="CV AGUNG KARYA",COUNTIF($I$10:I5273,"CV AGUNG KARYA")," ")</f>
        <v xml:space="preserve"> </v>
      </c>
      <c r="F5273" s="107" t="str">
        <f>IF(LEN(Table1722[[#This Row],[Uraian]])&gt;2,TRIM(RIGHT(SUBSTITUTE(TRIM(C5273)," ",REPT(" ",255)),255))," ")</f>
        <v xml:space="preserve"> </v>
      </c>
      <c r="G5273" s="110">
        <f>COPY!Z5265</f>
        <v>0</v>
      </c>
      <c r="H5273" s="111" t="str">
        <f>IFERROR(VLOOKUP(Table1722[[#This Row],[Bukti]],'Un nOTA'!$A$4:$K$5003,10,FALSE),"")</f>
        <v/>
      </c>
      <c r="I5273" s="123" t="str">
        <f>IFERROR(VLOOKUP(Table1722[[#This Row],[Bukti]],Table13[#Data],11,FALSE),"")</f>
        <v/>
      </c>
    </row>
    <row r="5274" spans="1:9" hidden="1" x14ac:dyDescent="0.2">
      <c r="A5274" s="105" t="str">
        <f>IF(D5274=1,COUNTIF($D$10:D5274,1)," ")</f>
        <v xml:space="preserve"> </v>
      </c>
      <c r="B5274" s="106">
        <f>COPY!AR5266</f>
        <v>0</v>
      </c>
      <c r="C5274" s="107">
        <f>COPY!AC5266</f>
        <v>0</v>
      </c>
      <c r="D5274" s="107" t="str">
        <f>IF(LEN(Table1722[[#This Row],[Uraian]])&gt;2,1," ")</f>
        <v xml:space="preserve"> </v>
      </c>
      <c r="E5274" s="113" t="str">
        <f>IF(Table1722[[#This Row],[Lawan Transaksi]]="CV AGUNG KARYA",COUNTIF($I$10:I5274,"CV AGUNG KARYA")," ")</f>
        <v xml:space="preserve"> </v>
      </c>
      <c r="F5274" s="107" t="str">
        <f>IF(LEN(Table1722[[#This Row],[Uraian]])&gt;2,TRIM(RIGHT(SUBSTITUTE(TRIM(C5274)," ",REPT(" ",255)),255))," ")</f>
        <v xml:space="preserve"> </v>
      </c>
      <c r="G5274" s="110">
        <f>COPY!Z5266</f>
        <v>0</v>
      </c>
      <c r="H5274" s="111" t="str">
        <f>IFERROR(VLOOKUP(Table1722[[#This Row],[Bukti]],'Un nOTA'!$A$4:$K$5003,10,FALSE),"")</f>
        <v/>
      </c>
      <c r="I5274" s="123" t="str">
        <f>IFERROR(VLOOKUP(Table1722[[#This Row],[Bukti]],Table13[#Data],11,FALSE),"")</f>
        <v/>
      </c>
    </row>
    <row r="5275" spans="1:9" hidden="1" x14ac:dyDescent="0.2">
      <c r="A5275" s="105" t="str">
        <f>IF(D5275=1,COUNTIF($D$10:D5275,1)," ")</f>
        <v xml:space="preserve"> </v>
      </c>
      <c r="B5275" s="106">
        <f>COPY!AR5267</f>
        <v>0</v>
      </c>
      <c r="C5275" s="107">
        <f>COPY!AC5267</f>
        <v>0</v>
      </c>
      <c r="D5275" s="107" t="str">
        <f>IF(LEN(Table1722[[#This Row],[Uraian]])&gt;2,1," ")</f>
        <v xml:space="preserve"> </v>
      </c>
      <c r="E5275" s="113" t="str">
        <f>IF(Table1722[[#This Row],[Lawan Transaksi]]="CV AGUNG KARYA",COUNTIF($I$10:I5275,"CV AGUNG KARYA")," ")</f>
        <v xml:space="preserve"> </v>
      </c>
      <c r="F5275" s="107" t="str">
        <f>IF(LEN(Table1722[[#This Row],[Uraian]])&gt;2,TRIM(RIGHT(SUBSTITUTE(TRIM(C5275)," ",REPT(" ",255)),255))," ")</f>
        <v xml:space="preserve"> </v>
      </c>
      <c r="G5275" s="110">
        <f>COPY!Z5267</f>
        <v>0</v>
      </c>
      <c r="H5275" s="111" t="str">
        <f>IFERROR(VLOOKUP(Table1722[[#This Row],[Bukti]],'Un nOTA'!$A$4:$K$5003,10,FALSE),"")</f>
        <v/>
      </c>
      <c r="I5275" s="123" t="str">
        <f>IFERROR(VLOOKUP(Table1722[[#This Row],[Bukti]],Table13[#Data],11,FALSE),"")</f>
        <v/>
      </c>
    </row>
    <row r="5276" spans="1:9" hidden="1" x14ac:dyDescent="0.2">
      <c r="A5276" s="105" t="str">
        <f>IF(D5276=1,COUNTIF($D$10:D5276,1)," ")</f>
        <v xml:space="preserve"> </v>
      </c>
      <c r="B5276" s="106">
        <f>COPY!AR5268</f>
        <v>0</v>
      </c>
      <c r="C5276" s="107">
        <f>COPY!AC5268</f>
        <v>0</v>
      </c>
      <c r="D5276" s="107" t="str">
        <f>IF(LEN(Table1722[[#This Row],[Uraian]])&gt;2,1," ")</f>
        <v xml:space="preserve"> </v>
      </c>
      <c r="E5276" s="113" t="str">
        <f>IF(Table1722[[#This Row],[Lawan Transaksi]]="CV AGUNG KARYA",COUNTIF($I$10:I5276,"CV AGUNG KARYA")," ")</f>
        <v xml:space="preserve"> </v>
      </c>
      <c r="F5276" s="107" t="str">
        <f>IF(LEN(Table1722[[#This Row],[Uraian]])&gt;2,TRIM(RIGHT(SUBSTITUTE(TRIM(C5276)," ",REPT(" ",255)),255))," ")</f>
        <v xml:space="preserve"> </v>
      </c>
      <c r="G5276" s="110">
        <f>COPY!Z5268</f>
        <v>0</v>
      </c>
      <c r="H5276" s="111" t="str">
        <f>IFERROR(VLOOKUP(Table1722[[#This Row],[Bukti]],'Un nOTA'!$A$4:$K$5003,10,FALSE),"")</f>
        <v/>
      </c>
      <c r="I5276" s="123" t="str">
        <f>IFERROR(VLOOKUP(Table1722[[#This Row],[Bukti]],Table13[#Data],11,FALSE),"")</f>
        <v/>
      </c>
    </row>
    <row r="5277" spans="1:9" hidden="1" x14ac:dyDescent="0.2">
      <c r="A5277" s="105" t="str">
        <f>IF(D5277=1,COUNTIF($D$10:D5277,1)," ")</f>
        <v xml:space="preserve"> </v>
      </c>
      <c r="B5277" s="106">
        <f>COPY!AR5269</f>
        <v>0</v>
      </c>
      <c r="C5277" s="107">
        <f>COPY!AC5269</f>
        <v>0</v>
      </c>
      <c r="D5277" s="107" t="str">
        <f>IF(LEN(Table1722[[#This Row],[Uraian]])&gt;2,1," ")</f>
        <v xml:space="preserve"> </v>
      </c>
      <c r="E5277" s="113" t="str">
        <f>IF(Table1722[[#This Row],[Lawan Transaksi]]="CV AGUNG KARYA",COUNTIF($I$10:I5277,"CV AGUNG KARYA")," ")</f>
        <v xml:space="preserve"> </v>
      </c>
      <c r="F5277" s="107" t="str">
        <f>IF(LEN(Table1722[[#This Row],[Uraian]])&gt;2,TRIM(RIGHT(SUBSTITUTE(TRIM(C5277)," ",REPT(" ",255)),255))," ")</f>
        <v xml:space="preserve"> </v>
      </c>
      <c r="G5277" s="110">
        <f>COPY!Z5269</f>
        <v>0</v>
      </c>
      <c r="H5277" s="111" t="str">
        <f>IFERROR(VLOOKUP(Table1722[[#This Row],[Bukti]],'Un nOTA'!$A$4:$K$5003,10,FALSE),"")</f>
        <v/>
      </c>
      <c r="I5277" s="123" t="str">
        <f>IFERROR(VLOOKUP(Table1722[[#This Row],[Bukti]],Table13[#Data],11,FALSE),"")</f>
        <v/>
      </c>
    </row>
    <row r="5278" spans="1:9" hidden="1" x14ac:dyDescent="0.2">
      <c r="A5278" s="105" t="str">
        <f>IF(D5278=1,COUNTIF($D$10:D5278,1)," ")</f>
        <v xml:space="preserve"> </v>
      </c>
      <c r="B5278" s="106">
        <f>COPY!AR5270</f>
        <v>0</v>
      </c>
      <c r="C5278" s="107">
        <f>COPY!AC5270</f>
        <v>0</v>
      </c>
      <c r="D5278" s="107" t="str">
        <f>IF(LEN(Table1722[[#This Row],[Uraian]])&gt;2,1," ")</f>
        <v xml:space="preserve"> </v>
      </c>
      <c r="E5278" s="113" t="str">
        <f>IF(Table1722[[#This Row],[Lawan Transaksi]]="CV AGUNG KARYA",COUNTIF($I$10:I5278,"CV AGUNG KARYA")," ")</f>
        <v xml:space="preserve"> </v>
      </c>
      <c r="F5278" s="107" t="str">
        <f>IF(LEN(Table1722[[#This Row],[Uraian]])&gt;2,TRIM(RIGHT(SUBSTITUTE(TRIM(C5278)," ",REPT(" ",255)),255))," ")</f>
        <v xml:space="preserve"> </v>
      </c>
      <c r="G5278" s="110">
        <f>COPY!Z5270</f>
        <v>0</v>
      </c>
      <c r="H5278" s="111" t="str">
        <f>IFERROR(VLOOKUP(Table1722[[#This Row],[Bukti]],'Un nOTA'!$A$4:$K$5003,10,FALSE),"")</f>
        <v/>
      </c>
      <c r="I5278" s="123" t="str">
        <f>IFERROR(VLOOKUP(Table1722[[#This Row],[Bukti]],Table13[#Data],11,FALSE),"")</f>
        <v/>
      </c>
    </row>
    <row r="5279" spans="1:9" hidden="1" x14ac:dyDescent="0.2">
      <c r="A5279" s="105" t="str">
        <f>IF(D5279=1,COUNTIF($D$10:D5279,1)," ")</f>
        <v xml:space="preserve"> </v>
      </c>
      <c r="B5279" s="106">
        <f>COPY!AR5271</f>
        <v>0</v>
      </c>
      <c r="C5279" s="107">
        <f>COPY!AC5271</f>
        <v>0</v>
      </c>
      <c r="D5279" s="107" t="str">
        <f>IF(LEN(Table1722[[#This Row],[Uraian]])&gt;2,1," ")</f>
        <v xml:space="preserve"> </v>
      </c>
      <c r="E5279" s="113" t="str">
        <f>IF(Table1722[[#This Row],[Lawan Transaksi]]="CV AGUNG KARYA",COUNTIF($I$10:I5279,"CV AGUNG KARYA")," ")</f>
        <v xml:space="preserve"> </v>
      </c>
      <c r="F5279" s="107" t="str">
        <f>IF(LEN(Table1722[[#This Row],[Uraian]])&gt;2,TRIM(RIGHT(SUBSTITUTE(TRIM(C5279)," ",REPT(" ",255)),255))," ")</f>
        <v xml:space="preserve"> </v>
      </c>
      <c r="G5279" s="110">
        <f>COPY!Z5271</f>
        <v>0</v>
      </c>
      <c r="H5279" s="111" t="str">
        <f>IFERROR(VLOOKUP(Table1722[[#This Row],[Bukti]],'Un nOTA'!$A$4:$K$5003,10,FALSE),"")</f>
        <v/>
      </c>
      <c r="I5279" s="123" t="str">
        <f>IFERROR(VLOOKUP(Table1722[[#This Row],[Bukti]],Table13[#Data],11,FALSE),"")</f>
        <v/>
      </c>
    </row>
    <row r="5280" spans="1:9" hidden="1" x14ac:dyDescent="0.2">
      <c r="A5280" s="105" t="str">
        <f>IF(D5280=1,COUNTIF($D$10:D5280,1)," ")</f>
        <v xml:space="preserve"> </v>
      </c>
      <c r="B5280" s="106">
        <f>COPY!AR5272</f>
        <v>0</v>
      </c>
      <c r="C5280" s="107">
        <f>COPY!AC5272</f>
        <v>0</v>
      </c>
      <c r="D5280" s="107" t="str">
        <f>IF(LEN(Table1722[[#This Row],[Uraian]])&gt;2,1," ")</f>
        <v xml:space="preserve"> </v>
      </c>
      <c r="E5280" s="113" t="str">
        <f>IF(Table1722[[#This Row],[Lawan Transaksi]]="CV AGUNG KARYA",COUNTIF($I$10:I5280,"CV AGUNG KARYA")," ")</f>
        <v xml:space="preserve"> </v>
      </c>
      <c r="F5280" s="107" t="str">
        <f>IF(LEN(Table1722[[#This Row],[Uraian]])&gt;2,TRIM(RIGHT(SUBSTITUTE(TRIM(C5280)," ",REPT(" ",255)),255))," ")</f>
        <v xml:space="preserve"> </v>
      </c>
      <c r="G5280" s="110">
        <f>COPY!Z5272</f>
        <v>0</v>
      </c>
      <c r="H5280" s="111" t="str">
        <f>IFERROR(VLOOKUP(Table1722[[#This Row],[Bukti]],'Un nOTA'!$A$4:$K$5003,10,FALSE),"")</f>
        <v/>
      </c>
      <c r="I5280" s="123" t="str">
        <f>IFERROR(VLOOKUP(Table1722[[#This Row],[Bukti]],Table13[#Data],11,FALSE),"")</f>
        <v/>
      </c>
    </row>
    <row r="5281" spans="1:9" hidden="1" x14ac:dyDescent="0.2">
      <c r="A5281" s="105" t="str">
        <f>IF(D5281=1,COUNTIF($D$10:D5281,1)," ")</f>
        <v xml:space="preserve"> </v>
      </c>
      <c r="B5281" s="106">
        <f>COPY!AR5273</f>
        <v>0</v>
      </c>
      <c r="C5281" s="107">
        <f>COPY!AC5273</f>
        <v>0</v>
      </c>
      <c r="D5281" s="107" t="str">
        <f>IF(LEN(Table1722[[#This Row],[Uraian]])&gt;2,1," ")</f>
        <v xml:space="preserve"> </v>
      </c>
      <c r="E5281" s="113" t="str">
        <f>IF(Table1722[[#This Row],[Lawan Transaksi]]="CV AGUNG KARYA",COUNTIF($I$10:I5281,"CV AGUNG KARYA")," ")</f>
        <v xml:space="preserve"> </v>
      </c>
      <c r="F5281" s="107" t="str">
        <f>IF(LEN(Table1722[[#This Row],[Uraian]])&gt;2,TRIM(RIGHT(SUBSTITUTE(TRIM(C5281)," ",REPT(" ",255)),255))," ")</f>
        <v xml:space="preserve"> </v>
      </c>
      <c r="G5281" s="110">
        <f>COPY!Z5273</f>
        <v>0</v>
      </c>
      <c r="H5281" s="111" t="str">
        <f>IFERROR(VLOOKUP(Table1722[[#This Row],[Bukti]],'Un nOTA'!$A$4:$K$5003,10,FALSE),"")</f>
        <v/>
      </c>
      <c r="I5281" s="123" t="str">
        <f>IFERROR(VLOOKUP(Table1722[[#This Row],[Bukti]],Table13[#Data],11,FALSE),"")</f>
        <v/>
      </c>
    </row>
    <row r="5282" spans="1:9" hidden="1" x14ac:dyDescent="0.2">
      <c r="A5282" s="105" t="str">
        <f>IF(D5282=1,COUNTIF($D$10:D5282,1)," ")</f>
        <v xml:space="preserve"> </v>
      </c>
      <c r="B5282" s="106">
        <f>COPY!AR5274</f>
        <v>0</v>
      </c>
      <c r="C5282" s="107">
        <f>COPY!AC5274</f>
        <v>0</v>
      </c>
      <c r="D5282" s="107" t="str">
        <f>IF(LEN(Table1722[[#This Row],[Uraian]])&gt;2,1," ")</f>
        <v xml:space="preserve"> </v>
      </c>
      <c r="E5282" s="113" t="str">
        <f>IF(Table1722[[#This Row],[Lawan Transaksi]]="CV AGUNG KARYA",COUNTIF($I$10:I5282,"CV AGUNG KARYA")," ")</f>
        <v xml:space="preserve"> </v>
      </c>
      <c r="F5282" s="107" t="str">
        <f>IF(LEN(Table1722[[#This Row],[Uraian]])&gt;2,TRIM(RIGHT(SUBSTITUTE(TRIM(C5282)," ",REPT(" ",255)),255))," ")</f>
        <v xml:space="preserve"> </v>
      </c>
      <c r="G5282" s="110">
        <f>COPY!Z5274</f>
        <v>0</v>
      </c>
      <c r="H5282" s="111" t="str">
        <f>IFERROR(VLOOKUP(Table1722[[#This Row],[Bukti]],'Un nOTA'!$A$4:$K$5003,10,FALSE),"")</f>
        <v/>
      </c>
      <c r="I5282" s="123" t="str">
        <f>IFERROR(VLOOKUP(Table1722[[#This Row],[Bukti]],Table13[#Data],11,FALSE),"")</f>
        <v/>
      </c>
    </row>
    <row r="5283" spans="1:9" hidden="1" x14ac:dyDescent="0.2">
      <c r="A5283" s="105" t="str">
        <f>IF(D5283=1,COUNTIF($D$10:D5283,1)," ")</f>
        <v xml:space="preserve"> </v>
      </c>
      <c r="B5283" s="106">
        <f>COPY!AR5275</f>
        <v>0</v>
      </c>
      <c r="C5283" s="107">
        <f>COPY!AC5275</f>
        <v>0</v>
      </c>
      <c r="D5283" s="107" t="str">
        <f>IF(LEN(Table1722[[#This Row],[Uraian]])&gt;2,1," ")</f>
        <v xml:space="preserve"> </v>
      </c>
      <c r="E5283" s="113" t="str">
        <f>IF(Table1722[[#This Row],[Lawan Transaksi]]="CV AGUNG KARYA",COUNTIF($I$10:I5283,"CV AGUNG KARYA")," ")</f>
        <v xml:space="preserve"> </v>
      </c>
      <c r="F5283" s="107" t="str">
        <f>IF(LEN(Table1722[[#This Row],[Uraian]])&gt;2,TRIM(RIGHT(SUBSTITUTE(TRIM(C5283)," ",REPT(" ",255)),255))," ")</f>
        <v xml:space="preserve"> </v>
      </c>
      <c r="G5283" s="110">
        <f>COPY!Z5275</f>
        <v>0</v>
      </c>
      <c r="H5283" s="111" t="str">
        <f>IFERROR(VLOOKUP(Table1722[[#This Row],[Bukti]],'Un nOTA'!$A$4:$K$5003,10,FALSE),"")</f>
        <v/>
      </c>
      <c r="I5283" s="123" t="str">
        <f>IFERROR(VLOOKUP(Table1722[[#This Row],[Bukti]],Table13[#Data],11,FALSE),"")</f>
        <v/>
      </c>
    </row>
    <row r="5284" spans="1:9" hidden="1" x14ac:dyDescent="0.2">
      <c r="A5284" s="105" t="str">
        <f>IF(D5284=1,COUNTIF($D$10:D5284,1)," ")</f>
        <v xml:space="preserve"> </v>
      </c>
      <c r="B5284" s="106">
        <f>COPY!AR5276</f>
        <v>0</v>
      </c>
      <c r="C5284" s="107">
        <f>COPY!AC5276</f>
        <v>0</v>
      </c>
      <c r="D5284" s="107" t="str">
        <f>IF(LEN(Table1722[[#This Row],[Uraian]])&gt;2,1," ")</f>
        <v xml:space="preserve"> </v>
      </c>
      <c r="E5284" s="113" t="str">
        <f>IF(Table1722[[#This Row],[Lawan Transaksi]]="CV AGUNG KARYA",COUNTIF($I$10:I5284,"CV AGUNG KARYA")," ")</f>
        <v xml:space="preserve"> </v>
      </c>
      <c r="F5284" s="107" t="str">
        <f>IF(LEN(Table1722[[#This Row],[Uraian]])&gt;2,TRIM(RIGHT(SUBSTITUTE(TRIM(C5284)," ",REPT(" ",255)),255))," ")</f>
        <v xml:space="preserve"> </v>
      </c>
      <c r="G5284" s="110">
        <f>COPY!Z5276</f>
        <v>0</v>
      </c>
      <c r="H5284" s="111" t="str">
        <f>IFERROR(VLOOKUP(Table1722[[#This Row],[Bukti]],'Un nOTA'!$A$4:$K$5003,10,FALSE),"")</f>
        <v/>
      </c>
      <c r="I5284" s="123" t="str">
        <f>IFERROR(VLOOKUP(Table1722[[#This Row],[Bukti]],Table13[#Data],11,FALSE),"")</f>
        <v/>
      </c>
    </row>
    <row r="5285" spans="1:9" hidden="1" x14ac:dyDescent="0.2">
      <c r="A5285" s="105" t="str">
        <f>IF(D5285=1,COUNTIF($D$10:D5285,1)," ")</f>
        <v xml:space="preserve"> </v>
      </c>
      <c r="B5285" s="106">
        <f>COPY!AR5277</f>
        <v>0</v>
      </c>
      <c r="C5285" s="107">
        <f>COPY!AC5277</f>
        <v>0</v>
      </c>
      <c r="D5285" s="107" t="str">
        <f>IF(LEN(Table1722[[#This Row],[Uraian]])&gt;2,1," ")</f>
        <v xml:space="preserve"> </v>
      </c>
      <c r="E5285" s="113" t="str">
        <f>IF(Table1722[[#This Row],[Lawan Transaksi]]="CV AGUNG KARYA",COUNTIF($I$10:I5285,"CV AGUNG KARYA")," ")</f>
        <v xml:space="preserve"> </v>
      </c>
      <c r="F5285" s="107" t="str">
        <f>IF(LEN(Table1722[[#This Row],[Uraian]])&gt;2,TRIM(RIGHT(SUBSTITUTE(TRIM(C5285)," ",REPT(" ",255)),255))," ")</f>
        <v xml:space="preserve"> </v>
      </c>
      <c r="G5285" s="110">
        <f>COPY!Z5277</f>
        <v>0</v>
      </c>
      <c r="H5285" s="111" t="str">
        <f>IFERROR(VLOOKUP(Table1722[[#This Row],[Bukti]],'Un nOTA'!$A$4:$K$5003,10,FALSE),"")</f>
        <v/>
      </c>
      <c r="I5285" s="123" t="str">
        <f>IFERROR(VLOOKUP(Table1722[[#This Row],[Bukti]],Table13[#Data],11,FALSE),"")</f>
        <v/>
      </c>
    </row>
    <row r="5286" spans="1:9" hidden="1" x14ac:dyDescent="0.2">
      <c r="A5286" s="105" t="str">
        <f>IF(D5286=1,COUNTIF($D$10:D5286,1)," ")</f>
        <v xml:space="preserve"> </v>
      </c>
      <c r="B5286" s="106">
        <f>COPY!AR5278</f>
        <v>0</v>
      </c>
      <c r="C5286" s="107">
        <f>COPY!AC5278</f>
        <v>0</v>
      </c>
      <c r="D5286" s="107" t="str">
        <f>IF(LEN(Table1722[[#This Row],[Uraian]])&gt;2,1," ")</f>
        <v xml:space="preserve"> </v>
      </c>
      <c r="E5286" s="113" t="str">
        <f>IF(Table1722[[#This Row],[Lawan Transaksi]]="CV AGUNG KARYA",COUNTIF($I$10:I5286,"CV AGUNG KARYA")," ")</f>
        <v xml:space="preserve"> </v>
      </c>
      <c r="F5286" s="107" t="str">
        <f>IF(LEN(Table1722[[#This Row],[Uraian]])&gt;2,TRIM(RIGHT(SUBSTITUTE(TRIM(C5286)," ",REPT(" ",255)),255))," ")</f>
        <v xml:space="preserve"> </v>
      </c>
      <c r="G5286" s="110">
        <f>COPY!Z5278</f>
        <v>0</v>
      </c>
      <c r="H5286" s="111" t="str">
        <f>IFERROR(VLOOKUP(Table1722[[#This Row],[Bukti]],'Un nOTA'!$A$4:$K$5003,10,FALSE),"")</f>
        <v/>
      </c>
      <c r="I5286" s="123" t="str">
        <f>IFERROR(VLOOKUP(Table1722[[#This Row],[Bukti]],Table13[#Data],11,FALSE),"")</f>
        <v/>
      </c>
    </row>
    <row r="5287" spans="1:9" hidden="1" x14ac:dyDescent="0.2">
      <c r="A5287" s="105" t="str">
        <f>IF(D5287=1,COUNTIF($D$10:D5287,1)," ")</f>
        <v xml:space="preserve"> </v>
      </c>
      <c r="B5287" s="106">
        <f>COPY!AR5279</f>
        <v>0</v>
      </c>
      <c r="C5287" s="107">
        <f>COPY!AC5279</f>
        <v>0</v>
      </c>
      <c r="D5287" s="107" t="str">
        <f>IF(LEN(Table1722[[#This Row],[Uraian]])&gt;2,1," ")</f>
        <v xml:space="preserve"> </v>
      </c>
      <c r="E5287" s="113" t="str">
        <f>IF(Table1722[[#This Row],[Lawan Transaksi]]="CV AGUNG KARYA",COUNTIF($I$10:I5287,"CV AGUNG KARYA")," ")</f>
        <v xml:space="preserve"> </v>
      </c>
      <c r="F5287" s="107" t="str">
        <f>IF(LEN(Table1722[[#This Row],[Uraian]])&gt;2,TRIM(RIGHT(SUBSTITUTE(TRIM(C5287)," ",REPT(" ",255)),255))," ")</f>
        <v xml:space="preserve"> </v>
      </c>
      <c r="G5287" s="110">
        <f>COPY!Z5279</f>
        <v>0</v>
      </c>
      <c r="H5287" s="111" t="str">
        <f>IFERROR(VLOOKUP(Table1722[[#This Row],[Bukti]],'Un nOTA'!$A$4:$K$5003,10,FALSE),"")</f>
        <v/>
      </c>
      <c r="I5287" s="123" t="str">
        <f>IFERROR(VLOOKUP(Table1722[[#This Row],[Bukti]],Table13[#Data],11,FALSE),"")</f>
        <v/>
      </c>
    </row>
    <row r="5288" spans="1:9" hidden="1" x14ac:dyDescent="0.2">
      <c r="A5288" s="105" t="str">
        <f>IF(D5288=1,COUNTIF($D$10:D5288,1)," ")</f>
        <v xml:space="preserve"> </v>
      </c>
      <c r="B5288" s="106">
        <f>COPY!AR5280</f>
        <v>0</v>
      </c>
      <c r="C5288" s="107">
        <f>COPY!AC5280</f>
        <v>0</v>
      </c>
      <c r="D5288" s="107" t="str">
        <f>IF(LEN(Table1722[[#This Row],[Uraian]])&gt;2,1," ")</f>
        <v xml:space="preserve"> </v>
      </c>
      <c r="E5288" s="113" t="str">
        <f>IF(Table1722[[#This Row],[Lawan Transaksi]]="CV AGUNG KARYA",COUNTIF($I$10:I5288,"CV AGUNG KARYA")," ")</f>
        <v xml:space="preserve"> </v>
      </c>
      <c r="F5288" s="107" t="str">
        <f>IF(LEN(Table1722[[#This Row],[Uraian]])&gt;2,TRIM(RIGHT(SUBSTITUTE(TRIM(C5288)," ",REPT(" ",255)),255))," ")</f>
        <v xml:space="preserve"> </v>
      </c>
      <c r="G5288" s="110">
        <f>COPY!Z5280</f>
        <v>0</v>
      </c>
      <c r="H5288" s="111" t="str">
        <f>IFERROR(VLOOKUP(Table1722[[#This Row],[Bukti]],'Un nOTA'!$A$4:$K$5003,10,FALSE),"")</f>
        <v/>
      </c>
      <c r="I5288" s="123" t="str">
        <f>IFERROR(VLOOKUP(Table1722[[#This Row],[Bukti]],Table13[#Data],11,FALSE),"")</f>
        <v/>
      </c>
    </row>
    <row r="5289" spans="1:9" hidden="1" x14ac:dyDescent="0.2">
      <c r="A5289" s="105" t="str">
        <f>IF(D5289=1,COUNTIF($D$10:D5289,1)," ")</f>
        <v xml:space="preserve"> </v>
      </c>
      <c r="B5289" s="106">
        <f>COPY!AR5281</f>
        <v>0</v>
      </c>
      <c r="C5289" s="107">
        <f>COPY!AC5281</f>
        <v>0</v>
      </c>
      <c r="D5289" s="107" t="str">
        <f>IF(LEN(Table1722[[#This Row],[Uraian]])&gt;2,1," ")</f>
        <v xml:space="preserve"> </v>
      </c>
      <c r="E5289" s="113" t="str">
        <f>IF(Table1722[[#This Row],[Lawan Transaksi]]="CV AGUNG KARYA",COUNTIF($I$10:I5289,"CV AGUNG KARYA")," ")</f>
        <v xml:space="preserve"> </v>
      </c>
      <c r="F5289" s="107" t="str">
        <f>IF(LEN(Table1722[[#This Row],[Uraian]])&gt;2,TRIM(RIGHT(SUBSTITUTE(TRIM(C5289)," ",REPT(" ",255)),255))," ")</f>
        <v xml:space="preserve"> </v>
      </c>
      <c r="G5289" s="110">
        <f>COPY!Z5281</f>
        <v>0</v>
      </c>
      <c r="H5289" s="111" t="str">
        <f>IFERROR(VLOOKUP(Table1722[[#This Row],[Bukti]],'Un nOTA'!$A$4:$K$5003,10,FALSE),"")</f>
        <v/>
      </c>
      <c r="I5289" s="123" t="str">
        <f>IFERROR(VLOOKUP(Table1722[[#This Row],[Bukti]],Table13[#Data],11,FALSE),"")</f>
        <v/>
      </c>
    </row>
    <row r="5290" spans="1:9" hidden="1" x14ac:dyDescent="0.2">
      <c r="A5290" s="105" t="str">
        <f>IF(D5290=1,COUNTIF($D$10:D5290,1)," ")</f>
        <v xml:space="preserve"> </v>
      </c>
      <c r="B5290" s="106">
        <f>COPY!AR5282</f>
        <v>0</v>
      </c>
      <c r="C5290" s="107">
        <f>COPY!AC5282</f>
        <v>0</v>
      </c>
      <c r="D5290" s="107" t="str">
        <f>IF(LEN(Table1722[[#This Row],[Uraian]])&gt;2,1," ")</f>
        <v xml:space="preserve"> </v>
      </c>
      <c r="E5290" s="113" t="str">
        <f>IF(Table1722[[#This Row],[Lawan Transaksi]]="CV AGUNG KARYA",COUNTIF($I$10:I5290,"CV AGUNG KARYA")," ")</f>
        <v xml:space="preserve"> </v>
      </c>
      <c r="F5290" s="107" t="str">
        <f>IF(LEN(Table1722[[#This Row],[Uraian]])&gt;2,TRIM(RIGHT(SUBSTITUTE(TRIM(C5290)," ",REPT(" ",255)),255))," ")</f>
        <v xml:space="preserve"> </v>
      </c>
      <c r="G5290" s="110">
        <f>COPY!Z5282</f>
        <v>0</v>
      </c>
      <c r="H5290" s="111" t="str">
        <f>IFERROR(VLOOKUP(Table1722[[#This Row],[Bukti]],'Un nOTA'!$A$4:$K$5003,10,FALSE),"")</f>
        <v/>
      </c>
      <c r="I5290" s="123" t="str">
        <f>IFERROR(VLOOKUP(Table1722[[#This Row],[Bukti]],Table13[#Data],11,FALSE),"")</f>
        <v/>
      </c>
    </row>
    <row r="5291" spans="1:9" hidden="1" x14ac:dyDescent="0.2">
      <c r="A5291" s="105" t="str">
        <f>IF(D5291=1,COUNTIF($D$10:D5291,1)," ")</f>
        <v xml:space="preserve"> </v>
      </c>
      <c r="B5291" s="106">
        <f>COPY!AR5283</f>
        <v>0</v>
      </c>
      <c r="C5291" s="107">
        <f>COPY!AC5283</f>
        <v>0</v>
      </c>
      <c r="D5291" s="107" t="str">
        <f>IF(LEN(Table1722[[#This Row],[Uraian]])&gt;2,1," ")</f>
        <v xml:space="preserve"> </v>
      </c>
      <c r="E5291" s="113" t="str">
        <f>IF(Table1722[[#This Row],[Lawan Transaksi]]="CV AGUNG KARYA",COUNTIF($I$10:I5291,"CV AGUNG KARYA")," ")</f>
        <v xml:space="preserve"> </v>
      </c>
      <c r="F5291" s="107" t="str">
        <f>IF(LEN(Table1722[[#This Row],[Uraian]])&gt;2,TRIM(RIGHT(SUBSTITUTE(TRIM(C5291)," ",REPT(" ",255)),255))," ")</f>
        <v xml:space="preserve"> </v>
      </c>
      <c r="G5291" s="110">
        <f>COPY!Z5283</f>
        <v>0</v>
      </c>
      <c r="H5291" s="111" t="str">
        <f>IFERROR(VLOOKUP(Table1722[[#This Row],[Bukti]],'Un nOTA'!$A$4:$K$5003,10,FALSE),"")</f>
        <v/>
      </c>
      <c r="I5291" s="123" t="str">
        <f>IFERROR(VLOOKUP(Table1722[[#This Row],[Bukti]],Table13[#Data],11,FALSE),"")</f>
        <v/>
      </c>
    </row>
    <row r="5292" spans="1:9" hidden="1" x14ac:dyDescent="0.2">
      <c r="A5292" s="105" t="str">
        <f>IF(D5292=1,COUNTIF($D$10:D5292,1)," ")</f>
        <v xml:space="preserve"> </v>
      </c>
      <c r="B5292" s="106">
        <f>COPY!AR5284</f>
        <v>0</v>
      </c>
      <c r="C5292" s="107">
        <f>COPY!AC5284</f>
        <v>0</v>
      </c>
      <c r="D5292" s="107" t="str">
        <f>IF(LEN(Table1722[[#This Row],[Uraian]])&gt;2,1," ")</f>
        <v xml:space="preserve"> </v>
      </c>
      <c r="E5292" s="113" t="str">
        <f>IF(Table1722[[#This Row],[Lawan Transaksi]]="CV AGUNG KARYA",COUNTIF($I$10:I5292,"CV AGUNG KARYA")," ")</f>
        <v xml:space="preserve"> </v>
      </c>
      <c r="F5292" s="107" t="str">
        <f>IF(LEN(Table1722[[#This Row],[Uraian]])&gt;2,TRIM(RIGHT(SUBSTITUTE(TRIM(C5292)," ",REPT(" ",255)),255))," ")</f>
        <v xml:space="preserve"> </v>
      </c>
      <c r="G5292" s="110">
        <f>COPY!Z5284</f>
        <v>0</v>
      </c>
      <c r="H5292" s="111" t="str">
        <f>IFERROR(VLOOKUP(Table1722[[#This Row],[Bukti]],'Un nOTA'!$A$4:$K$5003,10,FALSE),"")</f>
        <v/>
      </c>
      <c r="I5292" s="123" t="str">
        <f>IFERROR(VLOOKUP(Table1722[[#This Row],[Bukti]],Table13[#Data],11,FALSE),"")</f>
        <v/>
      </c>
    </row>
    <row r="5293" spans="1:9" hidden="1" x14ac:dyDescent="0.2">
      <c r="A5293" s="105" t="str">
        <f>IF(D5293=1,COUNTIF($D$10:D5293,1)," ")</f>
        <v xml:space="preserve"> </v>
      </c>
      <c r="B5293" s="106">
        <f>COPY!AR5285</f>
        <v>0</v>
      </c>
      <c r="C5293" s="107">
        <f>COPY!AC5285</f>
        <v>0</v>
      </c>
      <c r="D5293" s="107" t="str">
        <f>IF(LEN(Table1722[[#This Row],[Uraian]])&gt;2,1," ")</f>
        <v xml:space="preserve"> </v>
      </c>
      <c r="E5293" s="113" t="str">
        <f>IF(Table1722[[#This Row],[Lawan Transaksi]]="CV AGUNG KARYA",COUNTIF($I$10:I5293,"CV AGUNG KARYA")," ")</f>
        <v xml:space="preserve"> </v>
      </c>
      <c r="F5293" s="107" t="str">
        <f>IF(LEN(Table1722[[#This Row],[Uraian]])&gt;2,TRIM(RIGHT(SUBSTITUTE(TRIM(C5293)," ",REPT(" ",255)),255))," ")</f>
        <v xml:space="preserve"> </v>
      </c>
      <c r="G5293" s="110">
        <f>COPY!Z5285</f>
        <v>0</v>
      </c>
      <c r="H5293" s="111" t="str">
        <f>IFERROR(VLOOKUP(Table1722[[#This Row],[Bukti]],'Un nOTA'!$A$4:$K$5003,10,FALSE),"")</f>
        <v/>
      </c>
      <c r="I5293" s="123" t="str">
        <f>IFERROR(VLOOKUP(Table1722[[#This Row],[Bukti]],Table13[#Data],11,FALSE),"")</f>
        <v/>
      </c>
    </row>
    <row r="5294" spans="1:9" hidden="1" x14ac:dyDescent="0.2">
      <c r="A5294" s="105" t="str">
        <f>IF(D5294=1,COUNTIF($D$10:D5294,1)," ")</f>
        <v xml:space="preserve"> </v>
      </c>
      <c r="B5294" s="106">
        <f>COPY!AR5286</f>
        <v>0</v>
      </c>
      <c r="C5294" s="107">
        <f>COPY!AC5286</f>
        <v>0</v>
      </c>
      <c r="D5294" s="107" t="str">
        <f>IF(LEN(Table1722[[#This Row],[Uraian]])&gt;2,1," ")</f>
        <v xml:space="preserve"> </v>
      </c>
      <c r="E5294" s="113" t="str">
        <f>IF(Table1722[[#This Row],[Lawan Transaksi]]="CV AGUNG KARYA",COUNTIF($I$10:I5294,"CV AGUNG KARYA")," ")</f>
        <v xml:space="preserve"> </v>
      </c>
      <c r="F5294" s="107" t="str">
        <f>IF(LEN(Table1722[[#This Row],[Uraian]])&gt;2,TRIM(RIGHT(SUBSTITUTE(TRIM(C5294)," ",REPT(" ",255)),255))," ")</f>
        <v xml:space="preserve"> </v>
      </c>
      <c r="G5294" s="110">
        <f>COPY!Z5286</f>
        <v>0</v>
      </c>
      <c r="H5294" s="111" t="str">
        <f>IFERROR(VLOOKUP(Table1722[[#This Row],[Bukti]],'Un nOTA'!$A$4:$K$5003,10,FALSE),"")</f>
        <v/>
      </c>
      <c r="I5294" s="123" t="str">
        <f>IFERROR(VLOOKUP(Table1722[[#This Row],[Bukti]],Table13[#Data],11,FALSE),"")</f>
        <v/>
      </c>
    </row>
    <row r="5295" spans="1:9" hidden="1" x14ac:dyDescent="0.2">
      <c r="A5295" s="105" t="str">
        <f>IF(D5295=1,COUNTIF($D$10:D5295,1)," ")</f>
        <v xml:space="preserve"> </v>
      </c>
      <c r="B5295" s="106">
        <f>COPY!AR5287</f>
        <v>0</v>
      </c>
      <c r="C5295" s="107">
        <f>COPY!AC5287</f>
        <v>0</v>
      </c>
      <c r="D5295" s="107" t="str">
        <f>IF(LEN(Table1722[[#This Row],[Uraian]])&gt;2,1," ")</f>
        <v xml:space="preserve"> </v>
      </c>
      <c r="E5295" s="113" t="str">
        <f>IF(Table1722[[#This Row],[Lawan Transaksi]]="CV AGUNG KARYA",COUNTIF($I$10:I5295,"CV AGUNG KARYA")," ")</f>
        <v xml:space="preserve"> </v>
      </c>
      <c r="F5295" s="107" t="str">
        <f>IF(LEN(Table1722[[#This Row],[Uraian]])&gt;2,TRIM(RIGHT(SUBSTITUTE(TRIM(C5295)," ",REPT(" ",255)),255))," ")</f>
        <v xml:space="preserve"> </v>
      </c>
      <c r="G5295" s="110">
        <f>COPY!Z5287</f>
        <v>0</v>
      </c>
      <c r="H5295" s="111" t="str">
        <f>IFERROR(VLOOKUP(Table1722[[#This Row],[Bukti]],'Un nOTA'!$A$4:$K$5003,10,FALSE),"")</f>
        <v/>
      </c>
      <c r="I5295" s="123" t="str">
        <f>IFERROR(VLOOKUP(Table1722[[#This Row],[Bukti]],Table13[#Data],11,FALSE),"")</f>
        <v/>
      </c>
    </row>
    <row r="5296" spans="1:9" hidden="1" x14ac:dyDescent="0.2">
      <c r="A5296" s="105" t="str">
        <f>IF(D5296=1,COUNTIF($D$10:D5296,1)," ")</f>
        <v xml:space="preserve"> </v>
      </c>
      <c r="B5296" s="106">
        <f>COPY!AR5288</f>
        <v>0</v>
      </c>
      <c r="C5296" s="107">
        <f>COPY!AC5288</f>
        <v>0</v>
      </c>
      <c r="D5296" s="107" t="str">
        <f>IF(LEN(Table1722[[#This Row],[Uraian]])&gt;2,1," ")</f>
        <v xml:space="preserve"> </v>
      </c>
      <c r="E5296" s="113" t="str">
        <f>IF(Table1722[[#This Row],[Lawan Transaksi]]="CV AGUNG KARYA",COUNTIF($I$10:I5296,"CV AGUNG KARYA")," ")</f>
        <v xml:space="preserve"> </v>
      </c>
      <c r="F5296" s="107" t="str">
        <f>IF(LEN(Table1722[[#This Row],[Uraian]])&gt;2,TRIM(RIGHT(SUBSTITUTE(TRIM(C5296)," ",REPT(" ",255)),255))," ")</f>
        <v xml:space="preserve"> </v>
      </c>
      <c r="G5296" s="110">
        <f>COPY!Z5288</f>
        <v>0</v>
      </c>
      <c r="H5296" s="111" t="str">
        <f>IFERROR(VLOOKUP(Table1722[[#This Row],[Bukti]],'Un nOTA'!$A$4:$K$5003,10,FALSE),"")</f>
        <v/>
      </c>
      <c r="I5296" s="123" t="str">
        <f>IFERROR(VLOOKUP(Table1722[[#This Row],[Bukti]],Table13[#Data],11,FALSE),"")</f>
        <v/>
      </c>
    </row>
    <row r="5297" spans="1:9" hidden="1" x14ac:dyDescent="0.2">
      <c r="A5297" s="105" t="str">
        <f>IF(D5297=1,COUNTIF($D$10:D5297,1)," ")</f>
        <v xml:space="preserve"> </v>
      </c>
      <c r="B5297" s="106">
        <f>COPY!AR5289</f>
        <v>0</v>
      </c>
      <c r="C5297" s="107">
        <f>COPY!AC5289</f>
        <v>0</v>
      </c>
      <c r="D5297" s="107" t="str">
        <f>IF(LEN(Table1722[[#This Row],[Uraian]])&gt;2,1," ")</f>
        <v xml:space="preserve"> </v>
      </c>
      <c r="E5297" s="113" t="str">
        <f>IF(Table1722[[#This Row],[Lawan Transaksi]]="CV AGUNG KARYA",COUNTIF($I$10:I5297,"CV AGUNG KARYA")," ")</f>
        <v xml:space="preserve"> </v>
      </c>
      <c r="F5297" s="107" t="str">
        <f>IF(LEN(Table1722[[#This Row],[Uraian]])&gt;2,TRIM(RIGHT(SUBSTITUTE(TRIM(C5297)," ",REPT(" ",255)),255))," ")</f>
        <v xml:space="preserve"> </v>
      </c>
      <c r="G5297" s="110">
        <f>COPY!Z5289</f>
        <v>0</v>
      </c>
      <c r="H5297" s="111" t="str">
        <f>IFERROR(VLOOKUP(Table1722[[#This Row],[Bukti]],'Un nOTA'!$A$4:$K$5003,10,FALSE),"")</f>
        <v/>
      </c>
      <c r="I5297" s="123" t="str">
        <f>IFERROR(VLOOKUP(Table1722[[#This Row],[Bukti]],Table13[#Data],11,FALSE),"")</f>
        <v/>
      </c>
    </row>
    <row r="5298" spans="1:9" hidden="1" x14ac:dyDescent="0.2">
      <c r="A5298" s="105" t="str">
        <f>IF(D5298=1,COUNTIF($D$10:D5298,1)," ")</f>
        <v xml:space="preserve"> </v>
      </c>
      <c r="B5298" s="106">
        <f>COPY!AR5290</f>
        <v>0</v>
      </c>
      <c r="C5298" s="107">
        <f>COPY!AC5290</f>
        <v>0</v>
      </c>
      <c r="D5298" s="107" t="str">
        <f>IF(LEN(Table1722[[#This Row],[Uraian]])&gt;2,1," ")</f>
        <v xml:space="preserve"> </v>
      </c>
      <c r="E5298" s="113" t="str">
        <f>IF(Table1722[[#This Row],[Lawan Transaksi]]="CV AGUNG KARYA",COUNTIF($I$10:I5298,"CV AGUNG KARYA")," ")</f>
        <v xml:space="preserve"> </v>
      </c>
      <c r="F5298" s="107" t="str">
        <f>IF(LEN(Table1722[[#This Row],[Uraian]])&gt;2,TRIM(RIGHT(SUBSTITUTE(TRIM(C5298)," ",REPT(" ",255)),255))," ")</f>
        <v xml:space="preserve"> </v>
      </c>
      <c r="G5298" s="110">
        <f>COPY!Z5290</f>
        <v>0</v>
      </c>
      <c r="H5298" s="111" t="str">
        <f>IFERROR(VLOOKUP(Table1722[[#This Row],[Bukti]],'Un nOTA'!$A$4:$K$5003,10,FALSE),"")</f>
        <v/>
      </c>
      <c r="I5298" s="123" t="str">
        <f>IFERROR(VLOOKUP(Table1722[[#This Row],[Bukti]],Table13[#Data],11,FALSE),"")</f>
        <v/>
      </c>
    </row>
    <row r="5299" spans="1:9" hidden="1" x14ac:dyDescent="0.2">
      <c r="A5299" s="105" t="str">
        <f>IF(D5299=1,COUNTIF($D$10:D5299,1)," ")</f>
        <v xml:space="preserve"> </v>
      </c>
      <c r="B5299" s="106">
        <f>COPY!AR5291</f>
        <v>0</v>
      </c>
      <c r="C5299" s="107">
        <f>COPY!AC5291</f>
        <v>0</v>
      </c>
      <c r="D5299" s="107" t="str">
        <f>IF(LEN(Table1722[[#This Row],[Uraian]])&gt;2,1," ")</f>
        <v xml:space="preserve"> </v>
      </c>
      <c r="E5299" s="113" t="str">
        <f>IF(Table1722[[#This Row],[Lawan Transaksi]]="CV AGUNG KARYA",COUNTIF($I$10:I5299,"CV AGUNG KARYA")," ")</f>
        <v xml:space="preserve"> </v>
      </c>
      <c r="F5299" s="107" t="str">
        <f>IF(LEN(Table1722[[#This Row],[Uraian]])&gt;2,TRIM(RIGHT(SUBSTITUTE(TRIM(C5299)," ",REPT(" ",255)),255))," ")</f>
        <v xml:space="preserve"> </v>
      </c>
      <c r="G5299" s="110">
        <f>COPY!Z5291</f>
        <v>0</v>
      </c>
      <c r="H5299" s="111" t="str">
        <f>IFERROR(VLOOKUP(Table1722[[#This Row],[Bukti]],'Un nOTA'!$A$4:$K$5003,10,FALSE),"")</f>
        <v/>
      </c>
      <c r="I5299" s="123" t="str">
        <f>IFERROR(VLOOKUP(Table1722[[#This Row],[Bukti]],Table13[#Data],11,FALSE),"")</f>
        <v/>
      </c>
    </row>
    <row r="5300" spans="1:9" hidden="1" x14ac:dyDescent="0.2">
      <c r="A5300" s="105" t="str">
        <f>IF(D5300=1,COUNTIF($D$10:D5300,1)," ")</f>
        <v xml:space="preserve"> </v>
      </c>
      <c r="B5300" s="106">
        <f>COPY!AR5292</f>
        <v>0</v>
      </c>
      <c r="C5300" s="107">
        <f>COPY!AC5292</f>
        <v>0</v>
      </c>
      <c r="D5300" s="107" t="str">
        <f>IF(LEN(Table1722[[#This Row],[Uraian]])&gt;2,1," ")</f>
        <v xml:space="preserve"> </v>
      </c>
      <c r="E5300" s="113" t="str">
        <f>IF(Table1722[[#This Row],[Lawan Transaksi]]="CV AGUNG KARYA",COUNTIF($I$10:I5300,"CV AGUNG KARYA")," ")</f>
        <v xml:space="preserve"> </v>
      </c>
      <c r="F5300" s="107" t="str">
        <f>IF(LEN(Table1722[[#This Row],[Uraian]])&gt;2,TRIM(RIGHT(SUBSTITUTE(TRIM(C5300)," ",REPT(" ",255)),255))," ")</f>
        <v xml:space="preserve"> </v>
      </c>
      <c r="G5300" s="110">
        <f>COPY!Z5292</f>
        <v>0</v>
      </c>
      <c r="H5300" s="111" t="str">
        <f>IFERROR(VLOOKUP(Table1722[[#This Row],[Bukti]],'Un nOTA'!$A$4:$K$5003,10,FALSE),"")</f>
        <v/>
      </c>
      <c r="I5300" s="123" t="str">
        <f>IFERROR(VLOOKUP(Table1722[[#This Row],[Bukti]],Table13[#Data],11,FALSE),"")</f>
        <v/>
      </c>
    </row>
    <row r="5301" spans="1:9" hidden="1" x14ac:dyDescent="0.2">
      <c r="A5301" s="105" t="str">
        <f>IF(D5301=1,COUNTIF($D$10:D5301,1)," ")</f>
        <v xml:space="preserve"> </v>
      </c>
      <c r="B5301" s="106">
        <f>COPY!AR5293</f>
        <v>0</v>
      </c>
      <c r="C5301" s="107">
        <f>COPY!AC5293</f>
        <v>0</v>
      </c>
      <c r="D5301" s="107" t="str">
        <f>IF(LEN(Table1722[[#This Row],[Uraian]])&gt;2,1," ")</f>
        <v xml:space="preserve"> </v>
      </c>
      <c r="E5301" s="113" t="str">
        <f>IF(Table1722[[#This Row],[Lawan Transaksi]]="CV AGUNG KARYA",COUNTIF($I$10:I5301,"CV AGUNG KARYA")," ")</f>
        <v xml:space="preserve"> </v>
      </c>
      <c r="F5301" s="107" t="str">
        <f>IF(LEN(Table1722[[#This Row],[Uraian]])&gt;2,TRIM(RIGHT(SUBSTITUTE(TRIM(C5301)," ",REPT(" ",255)),255))," ")</f>
        <v xml:space="preserve"> </v>
      </c>
      <c r="G5301" s="110">
        <f>COPY!Z5293</f>
        <v>0</v>
      </c>
      <c r="H5301" s="111" t="str">
        <f>IFERROR(VLOOKUP(Table1722[[#This Row],[Bukti]],'Un nOTA'!$A$4:$K$5003,10,FALSE),"")</f>
        <v/>
      </c>
      <c r="I5301" s="123" t="str">
        <f>IFERROR(VLOOKUP(Table1722[[#This Row],[Bukti]],Table13[#Data],11,FALSE),"")</f>
        <v/>
      </c>
    </row>
    <row r="5302" spans="1:9" hidden="1" x14ac:dyDescent="0.2">
      <c r="A5302" s="105" t="str">
        <f>IF(D5302=1,COUNTIF($D$10:D5302,1)," ")</f>
        <v xml:space="preserve"> </v>
      </c>
      <c r="B5302" s="106">
        <f>COPY!AR5294</f>
        <v>0</v>
      </c>
      <c r="C5302" s="107">
        <f>COPY!AC5294</f>
        <v>0</v>
      </c>
      <c r="D5302" s="107" t="str">
        <f>IF(LEN(Table1722[[#This Row],[Uraian]])&gt;2,1," ")</f>
        <v xml:space="preserve"> </v>
      </c>
      <c r="E5302" s="113" t="str">
        <f>IF(Table1722[[#This Row],[Lawan Transaksi]]="CV AGUNG KARYA",COUNTIF($I$10:I5302,"CV AGUNG KARYA")," ")</f>
        <v xml:space="preserve"> </v>
      </c>
      <c r="F5302" s="107" t="str">
        <f>IF(LEN(Table1722[[#This Row],[Uraian]])&gt;2,TRIM(RIGHT(SUBSTITUTE(TRIM(C5302)," ",REPT(" ",255)),255))," ")</f>
        <v xml:space="preserve"> </v>
      </c>
      <c r="G5302" s="110">
        <f>COPY!Z5294</f>
        <v>0</v>
      </c>
      <c r="H5302" s="111" t="str">
        <f>IFERROR(VLOOKUP(Table1722[[#This Row],[Bukti]],'Un nOTA'!$A$4:$K$5003,10,FALSE),"")</f>
        <v/>
      </c>
      <c r="I5302" s="123" t="str">
        <f>IFERROR(VLOOKUP(Table1722[[#This Row],[Bukti]],Table13[#Data],11,FALSE),"")</f>
        <v/>
      </c>
    </row>
    <row r="5303" spans="1:9" hidden="1" x14ac:dyDescent="0.2">
      <c r="A5303" s="105" t="str">
        <f>IF(D5303=1,COUNTIF($D$10:D5303,1)," ")</f>
        <v xml:space="preserve"> </v>
      </c>
      <c r="B5303" s="106">
        <f>COPY!AR5295</f>
        <v>0</v>
      </c>
      <c r="C5303" s="107">
        <f>COPY!AC5295</f>
        <v>0</v>
      </c>
      <c r="D5303" s="107" t="str">
        <f>IF(LEN(Table1722[[#This Row],[Uraian]])&gt;2,1," ")</f>
        <v xml:space="preserve"> </v>
      </c>
      <c r="E5303" s="113" t="str">
        <f>IF(Table1722[[#This Row],[Lawan Transaksi]]="CV AGUNG KARYA",COUNTIF($I$10:I5303,"CV AGUNG KARYA")," ")</f>
        <v xml:space="preserve"> </v>
      </c>
      <c r="F5303" s="107" t="str">
        <f>IF(LEN(Table1722[[#This Row],[Uraian]])&gt;2,TRIM(RIGHT(SUBSTITUTE(TRIM(C5303)," ",REPT(" ",255)),255))," ")</f>
        <v xml:space="preserve"> </v>
      </c>
      <c r="G5303" s="110">
        <f>COPY!Z5295</f>
        <v>0</v>
      </c>
      <c r="H5303" s="111" t="str">
        <f>IFERROR(VLOOKUP(Table1722[[#This Row],[Bukti]],'Un nOTA'!$A$4:$K$5003,10,FALSE),"")</f>
        <v/>
      </c>
      <c r="I5303" s="123" t="str">
        <f>IFERROR(VLOOKUP(Table1722[[#This Row],[Bukti]],Table13[#Data],11,FALSE),"")</f>
        <v/>
      </c>
    </row>
    <row r="5304" spans="1:9" hidden="1" x14ac:dyDescent="0.2">
      <c r="A5304" s="105" t="str">
        <f>IF(D5304=1,COUNTIF($D$10:D5304,1)," ")</f>
        <v xml:space="preserve"> </v>
      </c>
      <c r="B5304" s="106">
        <f>COPY!AR5296</f>
        <v>0</v>
      </c>
      <c r="C5304" s="107">
        <f>COPY!AC5296</f>
        <v>0</v>
      </c>
      <c r="D5304" s="107" t="str">
        <f>IF(LEN(Table1722[[#This Row],[Uraian]])&gt;2,1," ")</f>
        <v xml:space="preserve"> </v>
      </c>
      <c r="E5304" s="113" t="str">
        <f>IF(Table1722[[#This Row],[Lawan Transaksi]]="CV AGUNG KARYA",COUNTIF($I$10:I5304,"CV AGUNG KARYA")," ")</f>
        <v xml:space="preserve"> </v>
      </c>
      <c r="F5304" s="107" t="str">
        <f>IF(LEN(Table1722[[#This Row],[Uraian]])&gt;2,TRIM(RIGHT(SUBSTITUTE(TRIM(C5304)," ",REPT(" ",255)),255))," ")</f>
        <v xml:space="preserve"> </v>
      </c>
      <c r="G5304" s="110">
        <f>COPY!Z5296</f>
        <v>0</v>
      </c>
      <c r="H5304" s="111" t="str">
        <f>IFERROR(VLOOKUP(Table1722[[#This Row],[Bukti]],'Un nOTA'!$A$4:$K$5003,10,FALSE),"")</f>
        <v/>
      </c>
      <c r="I5304" s="123" t="str">
        <f>IFERROR(VLOOKUP(Table1722[[#This Row],[Bukti]],Table13[#Data],11,FALSE),"")</f>
        <v/>
      </c>
    </row>
    <row r="5305" spans="1:9" hidden="1" x14ac:dyDescent="0.2">
      <c r="A5305" s="105" t="str">
        <f>IF(D5305=1,COUNTIF($D$10:D5305,1)," ")</f>
        <v xml:space="preserve"> </v>
      </c>
      <c r="B5305" s="106">
        <f>COPY!AR5297</f>
        <v>0</v>
      </c>
      <c r="C5305" s="107">
        <f>COPY!AC5297</f>
        <v>0</v>
      </c>
      <c r="D5305" s="107" t="str">
        <f>IF(LEN(Table1722[[#This Row],[Uraian]])&gt;2,1," ")</f>
        <v xml:space="preserve"> </v>
      </c>
      <c r="E5305" s="113" t="str">
        <f>IF(Table1722[[#This Row],[Lawan Transaksi]]="CV AGUNG KARYA",COUNTIF($I$10:I5305,"CV AGUNG KARYA")," ")</f>
        <v xml:space="preserve"> </v>
      </c>
      <c r="F5305" s="107" t="str">
        <f>IF(LEN(Table1722[[#This Row],[Uraian]])&gt;2,TRIM(RIGHT(SUBSTITUTE(TRIM(C5305)," ",REPT(" ",255)),255))," ")</f>
        <v xml:space="preserve"> </v>
      </c>
      <c r="G5305" s="110">
        <f>COPY!Z5297</f>
        <v>0</v>
      </c>
      <c r="H5305" s="111" t="str">
        <f>IFERROR(VLOOKUP(Table1722[[#This Row],[Bukti]],'Un nOTA'!$A$4:$K$5003,10,FALSE),"")</f>
        <v/>
      </c>
      <c r="I5305" s="123" t="str">
        <f>IFERROR(VLOOKUP(Table1722[[#This Row],[Bukti]],Table13[#Data],11,FALSE),"")</f>
        <v/>
      </c>
    </row>
    <row r="5306" spans="1:9" hidden="1" x14ac:dyDescent="0.2">
      <c r="A5306" s="105" t="str">
        <f>IF(D5306=1,COUNTIF($D$10:D5306,1)," ")</f>
        <v xml:space="preserve"> </v>
      </c>
      <c r="B5306" s="106">
        <f>COPY!AR5298</f>
        <v>0</v>
      </c>
      <c r="C5306" s="107">
        <f>COPY!AC5298</f>
        <v>0</v>
      </c>
      <c r="D5306" s="107" t="str">
        <f>IF(LEN(Table1722[[#This Row],[Uraian]])&gt;2,1," ")</f>
        <v xml:space="preserve"> </v>
      </c>
      <c r="E5306" s="113" t="str">
        <f>IF(Table1722[[#This Row],[Lawan Transaksi]]="CV AGUNG KARYA",COUNTIF($I$10:I5306,"CV AGUNG KARYA")," ")</f>
        <v xml:space="preserve"> </v>
      </c>
      <c r="F5306" s="107" t="str">
        <f>IF(LEN(Table1722[[#This Row],[Uraian]])&gt;2,TRIM(RIGHT(SUBSTITUTE(TRIM(C5306)," ",REPT(" ",255)),255))," ")</f>
        <v xml:space="preserve"> </v>
      </c>
      <c r="G5306" s="110">
        <f>COPY!Z5298</f>
        <v>0</v>
      </c>
      <c r="H5306" s="111" t="str">
        <f>IFERROR(VLOOKUP(Table1722[[#This Row],[Bukti]],'Un nOTA'!$A$4:$K$5003,10,FALSE),"")</f>
        <v/>
      </c>
      <c r="I5306" s="123" t="str">
        <f>IFERROR(VLOOKUP(Table1722[[#This Row],[Bukti]],Table13[#Data],11,FALSE),"")</f>
        <v/>
      </c>
    </row>
    <row r="5307" spans="1:9" hidden="1" x14ac:dyDescent="0.2">
      <c r="A5307" s="105" t="str">
        <f>IF(D5307=1,COUNTIF($D$10:D5307,1)," ")</f>
        <v xml:space="preserve"> </v>
      </c>
      <c r="B5307" s="106">
        <f>COPY!AR5299</f>
        <v>0</v>
      </c>
      <c r="C5307" s="107">
        <f>COPY!AC5299</f>
        <v>0</v>
      </c>
      <c r="D5307" s="107" t="str">
        <f>IF(LEN(Table1722[[#This Row],[Uraian]])&gt;2,1," ")</f>
        <v xml:space="preserve"> </v>
      </c>
      <c r="E5307" s="113" t="str">
        <f>IF(Table1722[[#This Row],[Lawan Transaksi]]="CV AGUNG KARYA",COUNTIF($I$10:I5307,"CV AGUNG KARYA")," ")</f>
        <v xml:space="preserve"> </v>
      </c>
      <c r="F5307" s="107" t="str">
        <f>IF(LEN(Table1722[[#This Row],[Uraian]])&gt;2,TRIM(RIGHT(SUBSTITUTE(TRIM(C5307)," ",REPT(" ",255)),255))," ")</f>
        <v xml:space="preserve"> </v>
      </c>
      <c r="G5307" s="110">
        <f>COPY!Z5299</f>
        <v>0</v>
      </c>
      <c r="H5307" s="111" t="str">
        <f>IFERROR(VLOOKUP(Table1722[[#This Row],[Bukti]],'Un nOTA'!$A$4:$K$5003,10,FALSE),"")</f>
        <v/>
      </c>
      <c r="I5307" s="123" t="str">
        <f>IFERROR(VLOOKUP(Table1722[[#This Row],[Bukti]],Table13[#Data],11,FALSE),"")</f>
        <v/>
      </c>
    </row>
    <row r="5308" spans="1:9" hidden="1" x14ac:dyDescent="0.2">
      <c r="A5308" s="105" t="str">
        <f>IF(D5308=1,COUNTIF($D$10:D5308,1)," ")</f>
        <v xml:space="preserve"> </v>
      </c>
      <c r="B5308" s="106">
        <f>COPY!AR5300</f>
        <v>0</v>
      </c>
      <c r="C5308" s="107">
        <f>COPY!AC5300</f>
        <v>0</v>
      </c>
      <c r="D5308" s="107" t="str">
        <f>IF(LEN(Table1722[[#This Row],[Uraian]])&gt;2,1," ")</f>
        <v xml:space="preserve"> </v>
      </c>
      <c r="E5308" s="113" t="str">
        <f>IF(Table1722[[#This Row],[Lawan Transaksi]]="CV AGUNG KARYA",COUNTIF($I$10:I5308,"CV AGUNG KARYA")," ")</f>
        <v xml:space="preserve"> </v>
      </c>
      <c r="F5308" s="107" t="str">
        <f>IF(LEN(Table1722[[#This Row],[Uraian]])&gt;2,TRIM(RIGHT(SUBSTITUTE(TRIM(C5308)," ",REPT(" ",255)),255))," ")</f>
        <v xml:space="preserve"> </v>
      </c>
      <c r="G5308" s="110">
        <f>COPY!Z5300</f>
        <v>0</v>
      </c>
      <c r="H5308" s="111" t="str">
        <f>IFERROR(VLOOKUP(Table1722[[#This Row],[Bukti]],'Un nOTA'!$A$4:$K$5003,10,FALSE),"")</f>
        <v/>
      </c>
      <c r="I5308" s="123" t="str">
        <f>IFERROR(VLOOKUP(Table1722[[#This Row],[Bukti]],Table13[#Data],11,FALSE),"")</f>
        <v/>
      </c>
    </row>
    <row r="5309" spans="1:9" hidden="1" x14ac:dyDescent="0.2">
      <c r="A5309" s="105" t="str">
        <f>IF(D5309=1,COUNTIF($D$10:D5309,1)," ")</f>
        <v xml:space="preserve"> </v>
      </c>
      <c r="B5309" s="106">
        <f>COPY!AR5301</f>
        <v>0</v>
      </c>
      <c r="C5309" s="107">
        <f>COPY!AC5301</f>
        <v>0</v>
      </c>
      <c r="D5309" s="107" t="str">
        <f>IF(LEN(Table1722[[#This Row],[Uraian]])&gt;2,1," ")</f>
        <v xml:space="preserve"> </v>
      </c>
      <c r="E5309" s="113" t="str">
        <f>IF(Table1722[[#This Row],[Lawan Transaksi]]="CV AGUNG KARYA",COUNTIF($I$10:I5309,"CV AGUNG KARYA")," ")</f>
        <v xml:space="preserve"> </v>
      </c>
      <c r="F5309" s="107" t="str">
        <f>IF(LEN(Table1722[[#This Row],[Uraian]])&gt;2,TRIM(RIGHT(SUBSTITUTE(TRIM(C5309)," ",REPT(" ",255)),255))," ")</f>
        <v xml:space="preserve"> </v>
      </c>
      <c r="G5309" s="110">
        <f>COPY!Z5301</f>
        <v>0</v>
      </c>
      <c r="H5309" s="111" t="str">
        <f>IFERROR(VLOOKUP(Table1722[[#This Row],[Bukti]],'Un nOTA'!$A$4:$K$5003,10,FALSE),"")</f>
        <v/>
      </c>
      <c r="I5309" s="123" t="str">
        <f>IFERROR(VLOOKUP(Table1722[[#This Row],[Bukti]],Table13[#Data],11,FALSE),"")</f>
        <v/>
      </c>
    </row>
    <row r="5310" spans="1:9" hidden="1" x14ac:dyDescent="0.2">
      <c r="A5310" s="105" t="str">
        <f>IF(D5310=1,COUNTIF($D$10:D5310,1)," ")</f>
        <v xml:space="preserve"> </v>
      </c>
      <c r="B5310" s="106">
        <f>COPY!AR5302</f>
        <v>0</v>
      </c>
      <c r="C5310" s="107">
        <f>COPY!AC5302</f>
        <v>0</v>
      </c>
      <c r="D5310" s="107" t="str">
        <f>IF(LEN(Table1722[[#This Row],[Uraian]])&gt;2,1," ")</f>
        <v xml:space="preserve"> </v>
      </c>
      <c r="E5310" s="113" t="str">
        <f>IF(Table1722[[#This Row],[Lawan Transaksi]]="CV AGUNG KARYA",COUNTIF($I$10:I5310,"CV AGUNG KARYA")," ")</f>
        <v xml:space="preserve"> </v>
      </c>
      <c r="F5310" s="107" t="str">
        <f>IF(LEN(Table1722[[#This Row],[Uraian]])&gt;2,TRIM(RIGHT(SUBSTITUTE(TRIM(C5310)," ",REPT(" ",255)),255))," ")</f>
        <v xml:space="preserve"> </v>
      </c>
      <c r="G5310" s="110">
        <f>COPY!Z5302</f>
        <v>0</v>
      </c>
      <c r="H5310" s="111" t="str">
        <f>IFERROR(VLOOKUP(Table1722[[#This Row],[Bukti]],'Un nOTA'!$A$4:$K$5003,10,FALSE),"")</f>
        <v/>
      </c>
      <c r="I5310" s="123" t="str">
        <f>IFERROR(VLOOKUP(Table1722[[#This Row],[Bukti]],Table13[#Data],11,FALSE),"")</f>
        <v/>
      </c>
    </row>
    <row r="5311" spans="1:9" hidden="1" x14ac:dyDescent="0.2">
      <c r="A5311" s="105" t="str">
        <f>IF(D5311=1,COUNTIF($D$10:D5311,1)," ")</f>
        <v xml:space="preserve"> </v>
      </c>
      <c r="B5311" s="106">
        <f>COPY!AR5303</f>
        <v>0</v>
      </c>
      <c r="C5311" s="107">
        <f>COPY!AC5303</f>
        <v>0</v>
      </c>
      <c r="D5311" s="107" t="str">
        <f>IF(LEN(Table1722[[#This Row],[Uraian]])&gt;2,1," ")</f>
        <v xml:space="preserve"> </v>
      </c>
      <c r="E5311" s="113" t="str">
        <f>IF(Table1722[[#This Row],[Lawan Transaksi]]="CV AGUNG KARYA",COUNTIF($I$10:I5311,"CV AGUNG KARYA")," ")</f>
        <v xml:space="preserve"> </v>
      </c>
      <c r="F5311" s="107" t="str">
        <f>IF(LEN(Table1722[[#This Row],[Uraian]])&gt;2,TRIM(RIGHT(SUBSTITUTE(TRIM(C5311)," ",REPT(" ",255)),255))," ")</f>
        <v xml:space="preserve"> </v>
      </c>
      <c r="G5311" s="110">
        <f>COPY!Z5303</f>
        <v>0</v>
      </c>
      <c r="H5311" s="111" t="str">
        <f>IFERROR(VLOOKUP(Table1722[[#This Row],[Bukti]],'Un nOTA'!$A$4:$K$5003,10,FALSE),"")</f>
        <v/>
      </c>
      <c r="I5311" s="123" t="str">
        <f>IFERROR(VLOOKUP(Table1722[[#This Row],[Bukti]],Table13[#Data],11,FALSE),"")</f>
        <v/>
      </c>
    </row>
    <row r="5312" spans="1:9" hidden="1" x14ac:dyDescent="0.2">
      <c r="A5312" s="105" t="str">
        <f>IF(D5312=1,COUNTIF($D$10:D5312,1)," ")</f>
        <v xml:space="preserve"> </v>
      </c>
      <c r="B5312" s="106">
        <f>COPY!AR5304</f>
        <v>0</v>
      </c>
      <c r="C5312" s="107">
        <f>COPY!AC5304</f>
        <v>0</v>
      </c>
      <c r="D5312" s="107" t="str">
        <f>IF(LEN(Table1722[[#This Row],[Uraian]])&gt;2,1," ")</f>
        <v xml:space="preserve"> </v>
      </c>
      <c r="E5312" s="113" t="str">
        <f>IF(Table1722[[#This Row],[Lawan Transaksi]]="CV AGUNG KARYA",COUNTIF($I$10:I5312,"CV AGUNG KARYA")," ")</f>
        <v xml:space="preserve"> </v>
      </c>
      <c r="F5312" s="107" t="str">
        <f>IF(LEN(Table1722[[#This Row],[Uraian]])&gt;2,TRIM(RIGHT(SUBSTITUTE(TRIM(C5312)," ",REPT(" ",255)),255))," ")</f>
        <v xml:space="preserve"> </v>
      </c>
      <c r="G5312" s="110">
        <f>COPY!Z5304</f>
        <v>0</v>
      </c>
      <c r="H5312" s="111" t="str">
        <f>IFERROR(VLOOKUP(Table1722[[#This Row],[Bukti]],'Un nOTA'!$A$4:$K$5003,10,FALSE),"")</f>
        <v/>
      </c>
      <c r="I5312" s="123" t="str">
        <f>IFERROR(VLOOKUP(Table1722[[#This Row],[Bukti]],Table13[#Data],11,FALSE),"")</f>
        <v/>
      </c>
    </row>
    <row r="5313" spans="1:9" hidden="1" x14ac:dyDescent="0.2">
      <c r="A5313" s="105" t="str">
        <f>IF(D5313=1,COUNTIF($D$10:D5313,1)," ")</f>
        <v xml:space="preserve"> </v>
      </c>
      <c r="B5313" s="106">
        <f>COPY!AR5305</f>
        <v>0</v>
      </c>
      <c r="C5313" s="107">
        <f>COPY!AC5305</f>
        <v>0</v>
      </c>
      <c r="D5313" s="107" t="str">
        <f>IF(LEN(Table1722[[#This Row],[Uraian]])&gt;2,1," ")</f>
        <v xml:space="preserve"> </v>
      </c>
      <c r="E5313" s="113" t="str">
        <f>IF(Table1722[[#This Row],[Lawan Transaksi]]="CV AGUNG KARYA",COUNTIF($I$10:I5313,"CV AGUNG KARYA")," ")</f>
        <v xml:space="preserve"> </v>
      </c>
      <c r="F5313" s="107" t="str">
        <f>IF(LEN(Table1722[[#This Row],[Uraian]])&gt;2,TRIM(RIGHT(SUBSTITUTE(TRIM(C5313)," ",REPT(" ",255)),255))," ")</f>
        <v xml:space="preserve"> </v>
      </c>
      <c r="G5313" s="110">
        <f>COPY!Z5305</f>
        <v>0</v>
      </c>
      <c r="H5313" s="111" t="str">
        <f>IFERROR(VLOOKUP(Table1722[[#This Row],[Bukti]],'Un nOTA'!$A$4:$K$5003,10,FALSE),"")</f>
        <v/>
      </c>
      <c r="I5313" s="123" t="str">
        <f>IFERROR(VLOOKUP(Table1722[[#This Row],[Bukti]],Table13[#Data],11,FALSE),"")</f>
        <v/>
      </c>
    </row>
    <row r="5314" spans="1:9" hidden="1" x14ac:dyDescent="0.2">
      <c r="A5314" s="105" t="str">
        <f>IF(D5314=1,COUNTIF($D$10:D5314,1)," ")</f>
        <v xml:space="preserve"> </v>
      </c>
      <c r="B5314" s="106">
        <f>COPY!AR5306</f>
        <v>0</v>
      </c>
      <c r="C5314" s="107">
        <f>COPY!AC5306</f>
        <v>0</v>
      </c>
      <c r="D5314" s="107" t="str">
        <f>IF(LEN(Table1722[[#This Row],[Uraian]])&gt;2,1," ")</f>
        <v xml:space="preserve"> </v>
      </c>
      <c r="E5314" s="113" t="str">
        <f>IF(Table1722[[#This Row],[Lawan Transaksi]]="CV AGUNG KARYA",COUNTIF($I$10:I5314,"CV AGUNG KARYA")," ")</f>
        <v xml:space="preserve"> </v>
      </c>
      <c r="F5314" s="107" t="str">
        <f>IF(LEN(Table1722[[#This Row],[Uraian]])&gt;2,TRIM(RIGHT(SUBSTITUTE(TRIM(C5314)," ",REPT(" ",255)),255))," ")</f>
        <v xml:space="preserve"> </v>
      </c>
      <c r="G5314" s="110">
        <f>COPY!Z5306</f>
        <v>0</v>
      </c>
      <c r="H5314" s="111" t="str">
        <f>IFERROR(VLOOKUP(Table1722[[#This Row],[Bukti]],'Un nOTA'!$A$4:$K$5003,10,FALSE),"")</f>
        <v/>
      </c>
      <c r="I5314" s="123" t="str">
        <f>IFERROR(VLOOKUP(Table1722[[#This Row],[Bukti]],Table13[#Data],11,FALSE),"")</f>
        <v/>
      </c>
    </row>
    <row r="5315" spans="1:9" hidden="1" x14ac:dyDescent="0.2">
      <c r="A5315" s="105" t="str">
        <f>IF(D5315=1,COUNTIF($D$10:D5315,1)," ")</f>
        <v xml:space="preserve"> </v>
      </c>
      <c r="B5315" s="106">
        <f>COPY!AR5307</f>
        <v>0</v>
      </c>
      <c r="C5315" s="107">
        <f>COPY!AC5307</f>
        <v>0</v>
      </c>
      <c r="D5315" s="107" t="str">
        <f>IF(LEN(Table1722[[#This Row],[Uraian]])&gt;2,1," ")</f>
        <v xml:space="preserve"> </v>
      </c>
      <c r="E5315" s="113" t="str">
        <f>IF(Table1722[[#This Row],[Lawan Transaksi]]="CV AGUNG KARYA",COUNTIF($I$10:I5315,"CV AGUNG KARYA")," ")</f>
        <v xml:space="preserve"> </v>
      </c>
      <c r="F5315" s="107" t="str">
        <f>IF(LEN(Table1722[[#This Row],[Uraian]])&gt;2,TRIM(RIGHT(SUBSTITUTE(TRIM(C5315)," ",REPT(" ",255)),255))," ")</f>
        <v xml:space="preserve"> </v>
      </c>
      <c r="G5315" s="110">
        <f>COPY!Z5307</f>
        <v>0</v>
      </c>
      <c r="H5315" s="111" t="str">
        <f>IFERROR(VLOOKUP(Table1722[[#This Row],[Bukti]],'Un nOTA'!$A$4:$K$5003,10,FALSE),"")</f>
        <v/>
      </c>
      <c r="I5315" s="123" t="str">
        <f>IFERROR(VLOOKUP(Table1722[[#This Row],[Bukti]],Table13[#Data],11,FALSE),"")</f>
        <v/>
      </c>
    </row>
    <row r="5316" spans="1:9" hidden="1" x14ac:dyDescent="0.2">
      <c r="A5316" s="105" t="str">
        <f>IF(D5316=1,COUNTIF($D$10:D5316,1)," ")</f>
        <v xml:space="preserve"> </v>
      </c>
      <c r="B5316" s="106">
        <f>COPY!AR5308</f>
        <v>0</v>
      </c>
      <c r="C5316" s="107">
        <f>COPY!AC5308</f>
        <v>0</v>
      </c>
      <c r="D5316" s="107" t="str">
        <f>IF(LEN(Table1722[[#This Row],[Uraian]])&gt;2,1," ")</f>
        <v xml:space="preserve"> </v>
      </c>
      <c r="E5316" s="113" t="str">
        <f>IF(Table1722[[#This Row],[Lawan Transaksi]]="CV AGUNG KARYA",COUNTIF($I$10:I5316,"CV AGUNG KARYA")," ")</f>
        <v xml:space="preserve"> </v>
      </c>
      <c r="F5316" s="107" t="str">
        <f>IF(LEN(Table1722[[#This Row],[Uraian]])&gt;2,TRIM(RIGHT(SUBSTITUTE(TRIM(C5316)," ",REPT(" ",255)),255))," ")</f>
        <v xml:space="preserve"> </v>
      </c>
      <c r="G5316" s="110">
        <f>COPY!Z5308</f>
        <v>0</v>
      </c>
      <c r="H5316" s="111" t="str">
        <f>IFERROR(VLOOKUP(Table1722[[#This Row],[Bukti]],'Un nOTA'!$A$4:$K$5003,10,FALSE),"")</f>
        <v/>
      </c>
      <c r="I5316" s="123" t="str">
        <f>IFERROR(VLOOKUP(Table1722[[#This Row],[Bukti]],Table13[#Data],11,FALSE),"")</f>
        <v/>
      </c>
    </row>
    <row r="5317" spans="1:9" hidden="1" x14ac:dyDescent="0.2">
      <c r="A5317" s="105" t="str">
        <f>IF(D5317=1,COUNTIF($D$10:D5317,1)," ")</f>
        <v xml:space="preserve"> </v>
      </c>
      <c r="B5317" s="106">
        <f>COPY!AR5309</f>
        <v>0</v>
      </c>
      <c r="C5317" s="107">
        <f>COPY!AC5309</f>
        <v>0</v>
      </c>
      <c r="D5317" s="107" t="str">
        <f>IF(LEN(Table1722[[#This Row],[Uraian]])&gt;2,1," ")</f>
        <v xml:space="preserve"> </v>
      </c>
      <c r="E5317" s="113" t="str">
        <f>IF(Table1722[[#This Row],[Lawan Transaksi]]="CV AGUNG KARYA",COUNTIF($I$10:I5317,"CV AGUNG KARYA")," ")</f>
        <v xml:space="preserve"> </v>
      </c>
      <c r="F5317" s="107" t="str">
        <f>IF(LEN(Table1722[[#This Row],[Uraian]])&gt;2,TRIM(RIGHT(SUBSTITUTE(TRIM(C5317)," ",REPT(" ",255)),255))," ")</f>
        <v xml:space="preserve"> </v>
      </c>
      <c r="G5317" s="110">
        <f>COPY!Z5309</f>
        <v>0</v>
      </c>
      <c r="H5317" s="111" t="str">
        <f>IFERROR(VLOOKUP(Table1722[[#This Row],[Bukti]],'Un nOTA'!$A$4:$K$5003,10,FALSE),"")</f>
        <v/>
      </c>
      <c r="I5317" s="123" t="str">
        <f>IFERROR(VLOOKUP(Table1722[[#This Row],[Bukti]],Table13[#Data],11,FALSE),"")</f>
        <v/>
      </c>
    </row>
    <row r="5318" spans="1:9" hidden="1" x14ac:dyDescent="0.2">
      <c r="A5318" s="105" t="str">
        <f>IF(D5318=1,COUNTIF($D$10:D5318,1)," ")</f>
        <v xml:space="preserve"> </v>
      </c>
      <c r="B5318" s="106">
        <f>COPY!AR5310</f>
        <v>0</v>
      </c>
      <c r="C5318" s="107">
        <f>COPY!AC5310</f>
        <v>0</v>
      </c>
      <c r="D5318" s="107" t="str">
        <f>IF(LEN(Table1722[[#This Row],[Uraian]])&gt;2,1," ")</f>
        <v xml:space="preserve"> </v>
      </c>
      <c r="E5318" s="113" t="str">
        <f>IF(Table1722[[#This Row],[Lawan Transaksi]]="CV AGUNG KARYA",COUNTIF($I$10:I5318,"CV AGUNG KARYA")," ")</f>
        <v xml:space="preserve"> </v>
      </c>
      <c r="F5318" s="107" t="str">
        <f>IF(LEN(Table1722[[#This Row],[Uraian]])&gt;2,TRIM(RIGHT(SUBSTITUTE(TRIM(C5318)," ",REPT(" ",255)),255))," ")</f>
        <v xml:space="preserve"> </v>
      </c>
      <c r="G5318" s="110">
        <f>COPY!Z5310</f>
        <v>0</v>
      </c>
      <c r="H5318" s="111" t="str">
        <f>IFERROR(VLOOKUP(Table1722[[#This Row],[Bukti]],'Un nOTA'!$A$4:$K$5003,10,FALSE),"")</f>
        <v/>
      </c>
      <c r="I5318" s="123" t="str">
        <f>IFERROR(VLOOKUP(Table1722[[#This Row],[Bukti]],Table13[#Data],11,FALSE),"")</f>
        <v/>
      </c>
    </row>
    <row r="5319" spans="1:9" hidden="1" x14ac:dyDescent="0.2">
      <c r="A5319" s="105" t="str">
        <f>IF(D5319=1,COUNTIF($D$10:D5319,1)," ")</f>
        <v xml:space="preserve"> </v>
      </c>
      <c r="B5319" s="106">
        <f>COPY!AR5311</f>
        <v>0</v>
      </c>
      <c r="C5319" s="107">
        <f>COPY!AC5311</f>
        <v>0</v>
      </c>
      <c r="D5319" s="107" t="str">
        <f>IF(LEN(Table1722[[#This Row],[Uraian]])&gt;2,1," ")</f>
        <v xml:space="preserve"> </v>
      </c>
      <c r="E5319" s="113" t="str">
        <f>IF(Table1722[[#This Row],[Lawan Transaksi]]="CV AGUNG KARYA",COUNTIF($I$10:I5319,"CV AGUNG KARYA")," ")</f>
        <v xml:space="preserve"> </v>
      </c>
      <c r="F5319" s="107" t="str">
        <f>IF(LEN(Table1722[[#This Row],[Uraian]])&gt;2,TRIM(RIGHT(SUBSTITUTE(TRIM(C5319)," ",REPT(" ",255)),255))," ")</f>
        <v xml:space="preserve"> </v>
      </c>
      <c r="G5319" s="110">
        <f>COPY!Z5311</f>
        <v>0</v>
      </c>
      <c r="H5319" s="111" t="str">
        <f>IFERROR(VLOOKUP(Table1722[[#This Row],[Bukti]],'Un nOTA'!$A$4:$K$5003,10,FALSE),"")</f>
        <v/>
      </c>
      <c r="I5319" s="123" t="str">
        <f>IFERROR(VLOOKUP(Table1722[[#This Row],[Bukti]],Table13[#Data],11,FALSE),"")</f>
        <v/>
      </c>
    </row>
    <row r="5320" spans="1:9" hidden="1" x14ac:dyDescent="0.2">
      <c r="A5320" s="105" t="str">
        <f>IF(D5320=1,COUNTIF($D$10:D5320,1)," ")</f>
        <v xml:space="preserve"> </v>
      </c>
      <c r="B5320" s="106">
        <f>COPY!AR5312</f>
        <v>0</v>
      </c>
      <c r="C5320" s="107">
        <f>COPY!AC5312</f>
        <v>0</v>
      </c>
      <c r="D5320" s="107" t="str">
        <f>IF(LEN(Table1722[[#This Row],[Uraian]])&gt;2,1," ")</f>
        <v xml:space="preserve"> </v>
      </c>
      <c r="E5320" s="113" t="str">
        <f>IF(Table1722[[#This Row],[Lawan Transaksi]]="CV AGUNG KARYA",COUNTIF($I$10:I5320,"CV AGUNG KARYA")," ")</f>
        <v xml:space="preserve"> </v>
      </c>
      <c r="F5320" s="107" t="str">
        <f>IF(LEN(Table1722[[#This Row],[Uraian]])&gt;2,TRIM(RIGHT(SUBSTITUTE(TRIM(C5320)," ",REPT(" ",255)),255))," ")</f>
        <v xml:space="preserve"> </v>
      </c>
      <c r="G5320" s="110">
        <f>COPY!Z5312</f>
        <v>0</v>
      </c>
      <c r="H5320" s="111" t="str">
        <f>IFERROR(VLOOKUP(Table1722[[#This Row],[Bukti]],'Un nOTA'!$A$4:$K$5003,10,FALSE),"")</f>
        <v/>
      </c>
      <c r="I5320" s="123" t="str">
        <f>IFERROR(VLOOKUP(Table1722[[#This Row],[Bukti]],Table13[#Data],11,FALSE),"")</f>
        <v/>
      </c>
    </row>
    <row r="5321" spans="1:9" hidden="1" x14ac:dyDescent="0.2">
      <c r="A5321" s="105" t="str">
        <f>IF(D5321=1,COUNTIF($D$10:D5321,1)," ")</f>
        <v xml:space="preserve"> </v>
      </c>
      <c r="B5321" s="106">
        <f>COPY!AR5313</f>
        <v>0</v>
      </c>
      <c r="C5321" s="107">
        <f>COPY!AC5313</f>
        <v>0</v>
      </c>
      <c r="D5321" s="107" t="str">
        <f>IF(LEN(Table1722[[#This Row],[Uraian]])&gt;2,1," ")</f>
        <v xml:space="preserve"> </v>
      </c>
      <c r="E5321" s="113" t="str">
        <f>IF(Table1722[[#This Row],[Lawan Transaksi]]="CV AGUNG KARYA",COUNTIF($I$10:I5321,"CV AGUNG KARYA")," ")</f>
        <v xml:space="preserve"> </v>
      </c>
      <c r="F5321" s="107" t="str">
        <f>IF(LEN(Table1722[[#This Row],[Uraian]])&gt;2,TRIM(RIGHT(SUBSTITUTE(TRIM(C5321)," ",REPT(" ",255)),255))," ")</f>
        <v xml:space="preserve"> </v>
      </c>
      <c r="G5321" s="110">
        <f>COPY!Z5313</f>
        <v>0</v>
      </c>
      <c r="H5321" s="111" t="str">
        <f>IFERROR(VLOOKUP(Table1722[[#This Row],[Bukti]],'Un nOTA'!$A$4:$K$5003,10,FALSE),"")</f>
        <v/>
      </c>
      <c r="I5321" s="123" t="str">
        <f>IFERROR(VLOOKUP(Table1722[[#This Row],[Bukti]],Table13[#Data],11,FALSE),"")</f>
        <v/>
      </c>
    </row>
    <row r="5322" spans="1:9" hidden="1" x14ac:dyDescent="0.2">
      <c r="A5322" s="105" t="str">
        <f>IF(D5322=1,COUNTIF($D$10:D5322,1)," ")</f>
        <v xml:space="preserve"> </v>
      </c>
      <c r="B5322" s="106">
        <f>COPY!AR5314</f>
        <v>0</v>
      </c>
      <c r="C5322" s="107">
        <f>COPY!AC5314</f>
        <v>0</v>
      </c>
      <c r="D5322" s="107" t="str">
        <f>IF(LEN(Table1722[[#This Row],[Uraian]])&gt;2,1," ")</f>
        <v xml:space="preserve"> </v>
      </c>
      <c r="E5322" s="113" t="str">
        <f>IF(Table1722[[#This Row],[Lawan Transaksi]]="CV AGUNG KARYA",COUNTIF($I$10:I5322,"CV AGUNG KARYA")," ")</f>
        <v xml:space="preserve"> </v>
      </c>
      <c r="F5322" s="107" t="str">
        <f>IF(LEN(Table1722[[#This Row],[Uraian]])&gt;2,TRIM(RIGHT(SUBSTITUTE(TRIM(C5322)," ",REPT(" ",255)),255))," ")</f>
        <v xml:space="preserve"> </v>
      </c>
      <c r="G5322" s="110">
        <f>COPY!Z5314</f>
        <v>0</v>
      </c>
      <c r="H5322" s="111" t="str">
        <f>IFERROR(VLOOKUP(Table1722[[#This Row],[Bukti]],'Un nOTA'!$A$4:$K$5003,10,FALSE),"")</f>
        <v/>
      </c>
      <c r="I5322" s="123" t="str">
        <f>IFERROR(VLOOKUP(Table1722[[#This Row],[Bukti]],Table13[#Data],11,FALSE),"")</f>
        <v/>
      </c>
    </row>
    <row r="5323" spans="1:9" hidden="1" x14ac:dyDescent="0.2">
      <c r="A5323" s="105" t="str">
        <f>IF(D5323=1,COUNTIF($D$10:D5323,1)," ")</f>
        <v xml:space="preserve"> </v>
      </c>
      <c r="B5323" s="106">
        <f>COPY!AR5315</f>
        <v>0</v>
      </c>
      <c r="C5323" s="107">
        <f>COPY!AC5315</f>
        <v>0</v>
      </c>
      <c r="D5323" s="107" t="str">
        <f>IF(LEN(Table1722[[#This Row],[Uraian]])&gt;2,1," ")</f>
        <v xml:space="preserve"> </v>
      </c>
      <c r="E5323" s="113" t="str">
        <f>IF(Table1722[[#This Row],[Lawan Transaksi]]="CV AGUNG KARYA",COUNTIF($I$10:I5323,"CV AGUNG KARYA")," ")</f>
        <v xml:space="preserve"> </v>
      </c>
      <c r="F5323" s="107" t="str">
        <f>IF(LEN(Table1722[[#This Row],[Uraian]])&gt;2,TRIM(RIGHT(SUBSTITUTE(TRIM(C5323)," ",REPT(" ",255)),255))," ")</f>
        <v xml:space="preserve"> </v>
      </c>
      <c r="G5323" s="110">
        <f>COPY!Z5315</f>
        <v>0</v>
      </c>
      <c r="H5323" s="111" t="str">
        <f>IFERROR(VLOOKUP(Table1722[[#This Row],[Bukti]],'Un nOTA'!$A$4:$K$5003,10,FALSE),"")</f>
        <v/>
      </c>
      <c r="I5323" s="123" t="str">
        <f>IFERROR(VLOOKUP(Table1722[[#This Row],[Bukti]],Table13[#Data],11,FALSE),"")</f>
        <v/>
      </c>
    </row>
    <row r="5324" spans="1:9" hidden="1" x14ac:dyDescent="0.2">
      <c r="A5324" s="105" t="str">
        <f>IF(D5324=1,COUNTIF($D$10:D5324,1)," ")</f>
        <v xml:space="preserve"> </v>
      </c>
      <c r="B5324" s="106">
        <f>COPY!AR5316</f>
        <v>0</v>
      </c>
      <c r="C5324" s="107">
        <f>COPY!AC5316</f>
        <v>0</v>
      </c>
      <c r="D5324" s="107" t="str">
        <f>IF(LEN(Table1722[[#This Row],[Uraian]])&gt;2,1," ")</f>
        <v xml:space="preserve"> </v>
      </c>
      <c r="E5324" s="113" t="str">
        <f>IF(Table1722[[#This Row],[Lawan Transaksi]]="CV AGUNG KARYA",COUNTIF($I$10:I5324,"CV AGUNG KARYA")," ")</f>
        <v xml:space="preserve"> </v>
      </c>
      <c r="F5324" s="107" t="str">
        <f>IF(LEN(Table1722[[#This Row],[Uraian]])&gt;2,TRIM(RIGHT(SUBSTITUTE(TRIM(C5324)," ",REPT(" ",255)),255))," ")</f>
        <v xml:space="preserve"> </v>
      </c>
      <c r="G5324" s="110">
        <f>COPY!Z5316</f>
        <v>0</v>
      </c>
      <c r="H5324" s="111" t="str">
        <f>IFERROR(VLOOKUP(Table1722[[#This Row],[Bukti]],'Un nOTA'!$A$4:$K$5003,10,FALSE),"")</f>
        <v/>
      </c>
      <c r="I5324" s="123" t="str">
        <f>IFERROR(VLOOKUP(Table1722[[#This Row],[Bukti]],Table13[#Data],11,FALSE),"")</f>
        <v/>
      </c>
    </row>
    <row r="5325" spans="1:9" hidden="1" x14ac:dyDescent="0.2">
      <c r="A5325" s="105" t="str">
        <f>IF(D5325=1,COUNTIF($D$10:D5325,1)," ")</f>
        <v xml:space="preserve"> </v>
      </c>
      <c r="B5325" s="106">
        <f>COPY!AR5317</f>
        <v>0</v>
      </c>
      <c r="C5325" s="107">
        <f>COPY!AC5317</f>
        <v>0</v>
      </c>
      <c r="D5325" s="107" t="str">
        <f>IF(LEN(Table1722[[#This Row],[Uraian]])&gt;2,1," ")</f>
        <v xml:space="preserve"> </v>
      </c>
      <c r="E5325" s="113" t="str">
        <f>IF(Table1722[[#This Row],[Lawan Transaksi]]="CV AGUNG KARYA",COUNTIF($I$10:I5325,"CV AGUNG KARYA")," ")</f>
        <v xml:space="preserve"> </v>
      </c>
      <c r="F5325" s="107" t="str">
        <f>IF(LEN(Table1722[[#This Row],[Uraian]])&gt;2,TRIM(RIGHT(SUBSTITUTE(TRIM(C5325)," ",REPT(" ",255)),255))," ")</f>
        <v xml:space="preserve"> </v>
      </c>
      <c r="G5325" s="110">
        <f>COPY!Z5317</f>
        <v>0</v>
      </c>
      <c r="H5325" s="111" t="str">
        <f>IFERROR(VLOOKUP(Table1722[[#This Row],[Bukti]],'Un nOTA'!$A$4:$K$5003,10,FALSE),"")</f>
        <v/>
      </c>
      <c r="I5325" s="123" t="str">
        <f>IFERROR(VLOOKUP(Table1722[[#This Row],[Bukti]],Table13[#Data],11,FALSE),"")</f>
        <v/>
      </c>
    </row>
    <row r="5326" spans="1:9" hidden="1" x14ac:dyDescent="0.2">
      <c r="A5326" s="105" t="str">
        <f>IF(D5326=1,COUNTIF($D$10:D5326,1)," ")</f>
        <v xml:space="preserve"> </v>
      </c>
      <c r="B5326" s="106">
        <f>COPY!AR5318</f>
        <v>0</v>
      </c>
      <c r="C5326" s="107">
        <f>COPY!AC5318</f>
        <v>0</v>
      </c>
      <c r="D5326" s="107" t="str">
        <f>IF(LEN(Table1722[[#This Row],[Uraian]])&gt;2,1," ")</f>
        <v xml:space="preserve"> </v>
      </c>
      <c r="E5326" s="113" t="str">
        <f>IF(Table1722[[#This Row],[Lawan Transaksi]]="CV AGUNG KARYA",COUNTIF($I$10:I5326,"CV AGUNG KARYA")," ")</f>
        <v xml:space="preserve"> </v>
      </c>
      <c r="F5326" s="107" t="str">
        <f>IF(LEN(Table1722[[#This Row],[Uraian]])&gt;2,TRIM(RIGHT(SUBSTITUTE(TRIM(C5326)," ",REPT(" ",255)),255))," ")</f>
        <v xml:space="preserve"> </v>
      </c>
      <c r="G5326" s="110">
        <f>COPY!Z5318</f>
        <v>0</v>
      </c>
      <c r="H5326" s="111" t="str">
        <f>IFERROR(VLOOKUP(Table1722[[#This Row],[Bukti]],'Un nOTA'!$A$4:$K$5003,10,FALSE),"")</f>
        <v/>
      </c>
      <c r="I5326" s="123" t="str">
        <f>IFERROR(VLOOKUP(Table1722[[#This Row],[Bukti]],Table13[#Data],11,FALSE),"")</f>
        <v/>
      </c>
    </row>
    <row r="5327" spans="1:9" hidden="1" x14ac:dyDescent="0.2">
      <c r="A5327" s="105" t="str">
        <f>IF(D5327=1,COUNTIF($D$10:D5327,1)," ")</f>
        <v xml:space="preserve"> </v>
      </c>
      <c r="B5327" s="106">
        <f>COPY!AR5319</f>
        <v>0</v>
      </c>
      <c r="C5327" s="107">
        <f>COPY!AC5319</f>
        <v>0</v>
      </c>
      <c r="D5327" s="107" t="str">
        <f>IF(LEN(Table1722[[#This Row],[Uraian]])&gt;2,1," ")</f>
        <v xml:space="preserve"> </v>
      </c>
      <c r="E5327" s="113" t="str">
        <f>IF(Table1722[[#This Row],[Lawan Transaksi]]="CV AGUNG KARYA",COUNTIF($I$10:I5327,"CV AGUNG KARYA")," ")</f>
        <v xml:space="preserve"> </v>
      </c>
      <c r="F5327" s="107" t="str">
        <f>IF(LEN(Table1722[[#This Row],[Uraian]])&gt;2,TRIM(RIGHT(SUBSTITUTE(TRIM(C5327)," ",REPT(" ",255)),255))," ")</f>
        <v xml:space="preserve"> </v>
      </c>
      <c r="G5327" s="110">
        <f>COPY!Z5319</f>
        <v>0</v>
      </c>
      <c r="H5327" s="111" t="str">
        <f>IFERROR(VLOOKUP(Table1722[[#This Row],[Bukti]],'Un nOTA'!$A$4:$K$5003,10,FALSE),"")</f>
        <v/>
      </c>
      <c r="I5327" s="123" t="str">
        <f>IFERROR(VLOOKUP(Table1722[[#This Row],[Bukti]],Table13[#Data],11,FALSE),"")</f>
        <v/>
      </c>
    </row>
    <row r="5328" spans="1:9" hidden="1" x14ac:dyDescent="0.2">
      <c r="A5328" s="105" t="str">
        <f>IF(D5328=1,COUNTIF($D$10:D5328,1)," ")</f>
        <v xml:space="preserve"> </v>
      </c>
      <c r="B5328" s="106">
        <f>COPY!AR5320</f>
        <v>0</v>
      </c>
      <c r="C5328" s="107">
        <f>COPY!AC5320</f>
        <v>0</v>
      </c>
      <c r="D5328" s="107" t="str">
        <f>IF(LEN(Table1722[[#This Row],[Uraian]])&gt;2,1," ")</f>
        <v xml:space="preserve"> </v>
      </c>
      <c r="E5328" s="113" t="str">
        <f>IF(Table1722[[#This Row],[Lawan Transaksi]]="CV AGUNG KARYA",COUNTIF($I$10:I5328,"CV AGUNG KARYA")," ")</f>
        <v xml:space="preserve"> </v>
      </c>
      <c r="F5328" s="107" t="str">
        <f>IF(LEN(Table1722[[#This Row],[Uraian]])&gt;2,TRIM(RIGHT(SUBSTITUTE(TRIM(C5328)," ",REPT(" ",255)),255))," ")</f>
        <v xml:space="preserve"> </v>
      </c>
      <c r="G5328" s="110">
        <f>COPY!Z5320</f>
        <v>0</v>
      </c>
      <c r="H5328" s="111" t="str">
        <f>IFERROR(VLOOKUP(Table1722[[#This Row],[Bukti]],'Un nOTA'!$A$4:$K$5003,10,FALSE),"")</f>
        <v/>
      </c>
      <c r="I5328" s="123" t="str">
        <f>IFERROR(VLOOKUP(Table1722[[#This Row],[Bukti]],Table13[#Data],11,FALSE),"")</f>
        <v/>
      </c>
    </row>
    <row r="5329" spans="1:9" hidden="1" x14ac:dyDescent="0.2">
      <c r="A5329" s="105" t="str">
        <f>IF(D5329=1,COUNTIF($D$10:D5329,1)," ")</f>
        <v xml:space="preserve"> </v>
      </c>
      <c r="B5329" s="106">
        <f>COPY!AR5321</f>
        <v>0</v>
      </c>
      <c r="C5329" s="107">
        <f>COPY!AC5321</f>
        <v>0</v>
      </c>
      <c r="D5329" s="107" t="str">
        <f>IF(LEN(Table1722[[#This Row],[Uraian]])&gt;2,1," ")</f>
        <v xml:space="preserve"> </v>
      </c>
      <c r="E5329" s="113" t="str">
        <f>IF(Table1722[[#This Row],[Lawan Transaksi]]="CV AGUNG KARYA",COUNTIF($I$10:I5329,"CV AGUNG KARYA")," ")</f>
        <v xml:space="preserve"> </v>
      </c>
      <c r="F5329" s="107" t="str">
        <f>IF(LEN(Table1722[[#This Row],[Uraian]])&gt;2,TRIM(RIGHT(SUBSTITUTE(TRIM(C5329)," ",REPT(" ",255)),255))," ")</f>
        <v xml:space="preserve"> </v>
      </c>
      <c r="G5329" s="110">
        <f>COPY!Z5321</f>
        <v>0</v>
      </c>
      <c r="H5329" s="111" t="str">
        <f>IFERROR(VLOOKUP(Table1722[[#This Row],[Bukti]],'Un nOTA'!$A$4:$K$5003,10,FALSE),"")</f>
        <v/>
      </c>
      <c r="I5329" s="123" t="str">
        <f>IFERROR(VLOOKUP(Table1722[[#This Row],[Bukti]],Table13[#Data],11,FALSE),"")</f>
        <v/>
      </c>
    </row>
    <row r="5330" spans="1:9" hidden="1" x14ac:dyDescent="0.2">
      <c r="A5330" s="105" t="str">
        <f>IF(D5330=1,COUNTIF($D$10:D5330,1)," ")</f>
        <v xml:space="preserve"> </v>
      </c>
      <c r="B5330" s="106">
        <f>COPY!AR5322</f>
        <v>0</v>
      </c>
      <c r="C5330" s="107">
        <f>COPY!AC5322</f>
        <v>0</v>
      </c>
      <c r="D5330" s="107" t="str">
        <f>IF(LEN(Table1722[[#This Row],[Uraian]])&gt;2,1," ")</f>
        <v xml:space="preserve"> </v>
      </c>
      <c r="E5330" s="113" t="str">
        <f>IF(Table1722[[#This Row],[Lawan Transaksi]]="CV AGUNG KARYA",COUNTIF($I$10:I5330,"CV AGUNG KARYA")," ")</f>
        <v xml:space="preserve"> </v>
      </c>
      <c r="F5330" s="107" t="str">
        <f>IF(LEN(Table1722[[#This Row],[Uraian]])&gt;2,TRIM(RIGHT(SUBSTITUTE(TRIM(C5330)," ",REPT(" ",255)),255))," ")</f>
        <v xml:space="preserve"> </v>
      </c>
      <c r="G5330" s="110">
        <f>COPY!Z5322</f>
        <v>0</v>
      </c>
      <c r="H5330" s="111" t="str">
        <f>IFERROR(VLOOKUP(Table1722[[#This Row],[Bukti]],'Un nOTA'!$A$4:$K$5003,10,FALSE),"")</f>
        <v/>
      </c>
      <c r="I5330" s="123" t="str">
        <f>IFERROR(VLOOKUP(Table1722[[#This Row],[Bukti]],Table13[#Data],11,FALSE),"")</f>
        <v/>
      </c>
    </row>
    <row r="5331" spans="1:9" hidden="1" x14ac:dyDescent="0.2">
      <c r="A5331" s="105" t="str">
        <f>IF(D5331=1,COUNTIF($D$10:D5331,1)," ")</f>
        <v xml:space="preserve"> </v>
      </c>
      <c r="B5331" s="106">
        <f>COPY!AR5323</f>
        <v>0</v>
      </c>
      <c r="C5331" s="107">
        <f>COPY!AC5323</f>
        <v>0</v>
      </c>
      <c r="D5331" s="107" t="str">
        <f>IF(LEN(Table1722[[#This Row],[Uraian]])&gt;2,1," ")</f>
        <v xml:space="preserve"> </v>
      </c>
      <c r="E5331" s="113" t="str">
        <f>IF(Table1722[[#This Row],[Lawan Transaksi]]="CV AGUNG KARYA",COUNTIF($I$10:I5331,"CV AGUNG KARYA")," ")</f>
        <v xml:space="preserve"> </v>
      </c>
      <c r="F5331" s="107" t="str">
        <f>IF(LEN(Table1722[[#This Row],[Uraian]])&gt;2,TRIM(RIGHT(SUBSTITUTE(TRIM(C5331)," ",REPT(" ",255)),255))," ")</f>
        <v xml:space="preserve"> </v>
      </c>
      <c r="G5331" s="110">
        <f>COPY!Z5323</f>
        <v>0</v>
      </c>
      <c r="H5331" s="111" t="str">
        <f>IFERROR(VLOOKUP(Table1722[[#This Row],[Bukti]],'Un nOTA'!$A$4:$K$5003,10,FALSE),"")</f>
        <v/>
      </c>
      <c r="I5331" s="123" t="str">
        <f>IFERROR(VLOOKUP(Table1722[[#This Row],[Bukti]],Table13[#Data],11,FALSE),"")</f>
        <v/>
      </c>
    </row>
    <row r="5332" spans="1:9" hidden="1" x14ac:dyDescent="0.2">
      <c r="A5332" s="105" t="str">
        <f>IF(D5332=1,COUNTIF($D$10:D5332,1)," ")</f>
        <v xml:space="preserve"> </v>
      </c>
      <c r="B5332" s="106">
        <f>COPY!AR5324</f>
        <v>0</v>
      </c>
      <c r="C5332" s="107">
        <f>COPY!AC5324</f>
        <v>0</v>
      </c>
      <c r="D5332" s="107" t="str">
        <f>IF(LEN(Table1722[[#This Row],[Uraian]])&gt;2,1," ")</f>
        <v xml:space="preserve"> </v>
      </c>
      <c r="E5332" s="113" t="str">
        <f>IF(Table1722[[#This Row],[Lawan Transaksi]]="CV AGUNG KARYA",COUNTIF($I$10:I5332,"CV AGUNG KARYA")," ")</f>
        <v xml:space="preserve"> </v>
      </c>
      <c r="F5332" s="107" t="str">
        <f>IF(LEN(Table1722[[#This Row],[Uraian]])&gt;2,TRIM(RIGHT(SUBSTITUTE(TRIM(C5332)," ",REPT(" ",255)),255))," ")</f>
        <v xml:space="preserve"> </v>
      </c>
      <c r="G5332" s="110">
        <f>COPY!Z5324</f>
        <v>0</v>
      </c>
      <c r="H5332" s="111" t="str">
        <f>IFERROR(VLOOKUP(Table1722[[#This Row],[Bukti]],'Un nOTA'!$A$4:$K$5003,10,FALSE),"")</f>
        <v/>
      </c>
      <c r="I5332" s="123" t="str">
        <f>IFERROR(VLOOKUP(Table1722[[#This Row],[Bukti]],Table13[#Data],11,FALSE),"")</f>
        <v/>
      </c>
    </row>
    <row r="5333" spans="1:9" hidden="1" x14ac:dyDescent="0.2">
      <c r="A5333" s="105" t="str">
        <f>IF(D5333=1,COUNTIF($D$10:D5333,1)," ")</f>
        <v xml:space="preserve"> </v>
      </c>
      <c r="B5333" s="106">
        <f>COPY!AR5325</f>
        <v>0</v>
      </c>
      <c r="C5333" s="107">
        <f>COPY!AC5325</f>
        <v>0</v>
      </c>
      <c r="D5333" s="107" t="str">
        <f>IF(LEN(Table1722[[#This Row],[Uraian]])&gt;2,1," ")</f>
        <v xml:space="preserve"> </v>
      </c>
      <c r="E5333" s="113" t="str">
        <f>IF(Table1722[[#This Row],[Lawan Transaksi]]="CV AGUNG KARYA",COUNTIF($I$10:I5333,"CV AGUNG KARYA")," ")</f>
        <v xml:space="preserve"> </v>
      </c>
      <c r="F5333" s="107" t="str">
        <f>IF(LEN(Table1722[[#This Row],[Uraian]])&gt;2,TRIM(RIGHT(SUBSTITUTE(TRIM(C5333)," ",REPT(" ",255)),255))," ")</f>
        <v xml:space="preserve"> </v>
      </c>
      <c r="G5333" s="110">
        <f>COPY!Z5325</f>
        <v>0</v>
      </c>
      <c r="H5333" s="111" t="str">
        <f>IFERROR(VLOOKUP(Table1722[[#This Row],[Bukti]],'Un nOTA'!$A$4:$K$5003,10,FALSE),"")</f>
        <v/>
      </c>
      <c r="I5333" s="123" t="str">
        <f>IFERROR(VLOOKUP(Table1722[[#This Row],[Bukti]],Table13[#Data],11,FALSE),"")</f>
        <v/>
      </c>
    </row>
    <row r="5334" spans="1:9" hidden="1" x14ac:dyDescent="0.2">
      <c r="A5334" s="105" t="str">
        <f>IF(D5334=1,COUNTIF($D$10:D5334,1)," ")</f>
        <v xml:space="preserve"> </v>
      </c>
      <c r="B5334" s="106">
        <f>COPY!AR5326</f>
        <v>0</v>
      </c>
      <c r="C5334" s="107">
        <f>COPY!AC5326</f>
        <v>0</v>
      </c>
      <c r="D5334" s="107" t="str">
        <f>IF(LEN(Table1722[[#This Row],[Uraian]])&gt;2,1," ")</f>
        <v xml:space="preserve"> </v>
      </c>
      <c r="E5334" s="113" t="str">
        <f>IF(Table1722[[#This Row],[Lawan Transaksi]]="CV AGUNG KARYA",COUNTIF($I$10:I5334,"CV AGUNG KARYA")," ")</f>
        <v xml:space="preserve"> </v>
      </c>
      <c r="F5334" s="107" t="str">
        <f>IF(LEN(Table1722[[#This Row],[Uraian]])&gt;2,TRIM(RIGHT(SUBSTITUTE(TRIM(C5334)," ",REPT(" ",255)),255))," ")</f>
        <v xml:space="preserve"> </v>
      </c>
      <c r="G5334" s="110">
        <f>COPY!Z5326</f>
        <v>0</v>
      </c>
      <c r="H5334" s="111" t="str">
        <f>IFERROR(VLOOKUP(Table1722[[#This Row],[Bukti]],'Un nOTA'!$A$4:$K$5003,10,FALSE),"")</f>
        <v/>
      </c>
      <c r="I5334" s="123" t="str">
        <f>IFERROR(VLOOKUP(Table1722[[#This Row],[Bukti]],Table13[#Data],11,FALSE),"")</f>
        <v/>
      </c>
    </row>
    <row r="5335" spans="1:9" hidden="1" x14ac:dyDescent="0.2">
      <c r="A5335" s="105" t="str">
        <f>IF(D5335=1,COUNTIF($D$10:D5335,1)," ")</f>
        <v xml:space="preserve"> </v>
      </c>
      <c r="B5335" s="106">
        <f>COPY!AR5327</f>
        <v>0</v>
      </c>
      <c r="C5335" s="107">
        <f>COPY!AC5327</f>
        <v>0</v>
      </c>
      <c r="D5335" s="107" t="str">
        <f>IF(LEN(Table1722[[#This Row],[Uraian]])&gt;2,1," ")</f>
        <v xml:space="preserve"> </v>
      </c>
      <c r="E5335" s="113" t="str">
        <f>IF(Table1722[[#This Row],[Lawan Transaksi]]="CV AGUNG KARYA",COUNTIF($I$10:I5335,"CV AGUNG KARYA")," ")</f>
        <v xml:space="preserve"> </v>
      </c>
      <c r="F5335" s="107" t="str">
        <f>IF(LEN(Table1722[[#This Row],[Uraian]])&gt;2,TRIM(RIGHT(SUBSTITUTE(TRIM(C5335)," ",REPT(" ",255)),255))," ")</f>
        <v xml:space="preserve"> </v>
      </c>
      <c r="G5335" s="110">
        <f>COPY!Z5327</f>
        <v>0</v>
      </c>
      <c r="H5335" s="111" t="str">
        <f>IFERROR(VLOOKUP(Table1722[[#This Row],[Bukti]],'Un nOTA'!$A$4:$K$5003,10,FALSE),"")</f>
        <v/>
      </c>
      <c r="I5335" s="123" t="str">
        <f>IFERROR(VLOOKUP(Table1722[[#This Row],[Bukti]],Table13[#Data],11,FALSE),"")</f>
        <v/>
      </c>
    </row>
    <row r="5336" spans="1:9" hidden="1" x14ac:dyDescent="0.2">
      <c r="A5336" s="105" t="str">
        <f>IF(D5336=1,COUNTIF($D$10:D5336,1)," ")</f>
        <v xml:space="preserve"> </v>
      </c>
      <c r="B5336" s="106">
        <f>COPY!AR5328</f>
        <v>0</v>
      </c>
      <c r="C5336" s="107">
        <f>COPY!AC5328</f>
        <v>0</v>
      </c>
      <c r="D5336" s="107" t="str">
        <f>IF(LEN(Table1722[[#This Row],[Uraian]])&gt;2,1," ")</f>
        <v xml:space="preserve"> </v>
      </c>
      <c r="E5336" s="113" t="str">
        <f>IF(Table1722[[#This Row],[Lawan Transaksi]]="CV AGUNG KARYA",COUNTIF($I$10:I5336,"CV AGUNG KARYA")," ")</f>
        <v xml:space="preserve"> </v>
      </c>
      <c r="F5336" s="107" t="str">
        <f>IF(LEN(Table1722[[#This Row],[Uraian]])&gt;2,TRIM(RIGHT(SUBSTITUTE(TRIM(C5336)," ",REPT(" ",255)),255))," ")</f>
        <v xml:space="preserve"> </v>
      </c>
      <c r="G5336" s="110">
        <f>COPY!Z5328</f>
        <v>0</v>
      </c>
      <c r="H5336" s="111" t="str">
        <f>IFERROR(VLOOKUP(Table1722[[#This Row],[Bukti]],'Un nOTA'!$A$4:$K$5003,10,FALSE),"")</f>
        <v/>
      </c>
      <c r="I5336" s="123" t="str">
        <f>IFERROR(VLOOKUP(Table1722[[#This Row],[Bukti]],Table13[#Data],11,FALSE),"")</f>
        <v/>
      </c>
    </row>
    <row r="5337" spans="1:9" hidden="1" x14ac:dyDescent="0.2">
      <c r="A5337" s="105" t="str">
        <f>IF(D5337=1,COUNTIF($D$10:D5337,1)," ")</f>
        <v xml:space="preserve"> </v>
      </c>
      <c r="B5337" s="106">
        <f>COPY!AR5329</f>
        <v>0</v>
      </c>
      <c r="C5337" s="107">
        <f>COPY!AC5329</f>
        <v>0</v>
      </c>
      <c r="D5337" s="107" t="str">
        <f>IF(LEN(Table1722[[#This Row],[Uraian]])&gt;2,1," ")</f>
        <v xml:space="preserve"> </v>
      </c>
      <c r="E5337" s="113" t="str">
        <f>IF(Table1722[[#This Row],[Lawan Transaksi]]="CV AGUNG KARYA",COUNTIF($I$10:I5337,"CV AGUNG KARYA")," ")</f>
        <v xml:space="preserve"> </v>
      </c>
      <c r="F5337" s="107" t="str">
        <f>IF(LEN(Table1722[[#This Row],[Uraian]])&gt;2,TRIM(RIGHT(SUBSTITUTE(TRIM(C5337)," ",REPT(" ",255)),255))," ")</f>
        <v xml:space="preserve"> </v>
      </c>
      <c r="G5337" s="110">
        <f>COPY!Z5329</f>
        <v>0</v>
      </c>
      <c r="H5337" s="111" t="str">
        <f>IFERROR(VLOOKUP(Table1722[[#This Row],[Bukti]],'Un nOTA'!$A$4:$K$5003,10,FALSE),"")</f>
        <v/>
      </c>
      <c r="I5337" s="123" t="str">
        <f>IFERROR(VLOOKUP(Table1722[[#This Row],[Bukti]],Table13[#Data],11,FALSE),"")</f>
        <v/>
      </c>
    </row>
    <row r="5338" spans="1:9" hidden="1" x14ac:dyDescent="0.2">
      <c r="A5338" s="105" t="str">
        <f>IF(D5338=1,COUNTIF($D$10:D5338,1)," ")</f>
        <v xml:space="preserve"> </v>
      </c>
      <c r="B5338" s="106">
        <f>COPY!AR5330</f>
        <v>0</v>
      </c>
      <c r="C5338" s="107">
        <f>COPY!AC5330</f>
        <v>0</v>
      </c>
      <c r="D5338" s="107" t="str">
        <f>IF(LEN(Table1722[[#This Row],[Uraian]])&gt;2,1," ")</f>
        <v xml:space="preserve"> </v>
      </c>
      <c r="E5338" s="113" t="str">
        <f>IF(Table1722[[#This Row],[Lawan Transaksi]]="CV AGUNG KARYA",COUNTIF($I$10:I5338,"CV AGUNG KARYA")," ")</f>
        <v xml:space="preserve"> </v>
      </c>
      <c r="F5338" s="107" t="str">
        <f>IF(LEN(Table1722[[#This Row],[Uraian]])&gt;2,TRIM(RIGHT(SUBSTITUTE(TRIM(C5338)," ",REPT(" ",255)),255))," ")</f>
        <v xml:space="preserve"> </v>
      </c>
      <c r="G5338" s="110">
        <f>COPY!Z5330</f>
        <v>0</v>
      </c>
      <c r="H5338" s="111" t="str">
        <f>IFERROR(VLOOKUP(Table1722[[#This Row],[Bukti]],'Un nOTA'!$A$4:$K$5003,10,FALSE),"")</f>
        <v/>
      </c>
      <c r="I5338" s="123" t="str">
        <f>IFERROR(VLOOKUP(Table1722[[#This Row],[Bukti]],Table13[#Data],11,FALSE),"")</f>
        <v/>
      </c>
    </row>
    <row r="5339" spans="1:9" hidden="1" x14ac:dyDescent="0.2">
      <c r="A5339" s="105" t="str">
        <f>IF(D5339=1,COUNTIF($D$10:D5339,1)," ")</f>
        <v xml:space="preserve"> </v>
      </c>
      <c r="B5339" s="106">
        <f>COPY!AR5331</f>
        <v>0</v>
      </c>
      <c r="C5339" s="107">
        <f>COPY!AC5331</f>
        <v>0</v>
      </c>
      <c r="D5339" s="107" t="str">
        <f>IF(LEN(Table1722[[#This Row],[Uraian]])&gt;2,1," ")</f>
        <v xml:space="preserve"> </v>
      </c>
      <c r="E5339" s="113" t="str">
        <f>IF(Table1722[[#This Row],[Lawan Transaksi]]="CV AGUNG KARYA",COUNTIF($I$10:I5339,"CV AGUNG KARYA")," ")</f>
        <v xml:space="preserve"> </v>
      </c>
      <c r="F5339" s="107" t="str">
        <f>IF(LEN(Table1722[[#This Row],[Uraian]])&gt;2,TRIM(RIGHT(SUBSTITUTE(TRIM(C5339)," ",REPT(" ",255)),255))," ")</f>
        <v xml:space="preserve"> </v>
      </c>
      <c r="G5339" s="110">
        <f>COPY!Z5331</f>
        <v>0</v>
      </c>
      <c r="H5339" s="111" t="str">
        <f>IFERROR(VLOOKUP(Table1722[[#This Row],[Bukti]],'Un nOTA'!$A$4:$K$5003,10,FALSE),"")</f>
        <v/>
      </c>
      <c r="I5339" s="123" t="str">
        <f>IFERROR(VLOOKUP(Table1722[[#This Row],[Bukti]],Table13[#Data],11,FALSE),"")</f>
        <v/>
      </c>
    </row>
    <row r="5340" spans="1:9" hidden="1" x14ac:dyDescent="0.2">
      <c r="A5340" s="105" t="str">
        <f>IF(D5340=1,COUNTIF($D$10:D5340,1)," ")</f>
        <v xml:space="preserve"> </v>
      </c>
      <c r="B5340" s="106">
        <f>COPY!AR5332</f>
        <v>0</v>
      </c>
      <c r="C5340" s="107">
        <f>COPY!AC5332</f>
        <v>0</v>
      </c>
      <c r="D5340" s="107" t="str">
        <f>IF(LEN(Table1722[[#This Row],[Uraian]])&gt;2,1," ")</f>
        <v xml:space="preserve"> </v>
      </c>
      <c r="E5340" s="113" t="str">
        <f>IF(Table1722[[#This Row],[Lawan Transaksi]]="CV AGUNG KARYA",COUNTIF($I$10:I5340,"CV AGUNG KARYA")," ")</f>
        <v xml:space="preserve"> </v>
      </c>
      <c r="F5340" s="107" t="str">
        <f>IF(LEN(Table1722[[#This Row],[Uraian]])&gt;2,TRIM(RIGHT(SUBSTITUTE(TRIM(C5340)," ",REPT(" ",255)),255))," ")</f>
        <v xml:space="preserve"> </v>
      </c>
      <c r="G5340" s="110">
        <f>COPY!Z5332</f>
        <v>0</v>
      </c>
      <c r="H5340" s="111" t="str">
        <f>IFERROR(VLOOKUP(Table1722[[#This Row],[Bukti]],'Un nOTA'!$A$4:$K$5003,10,FALSE),"")</f>
        <v/>
      </c>
      <c r="I5340" s="123" t="str">
        <f>IFERROR(VLOOKUP(Table1722[[#This Row],[Bukti]],Table13[#Data],11,FALSE),"")</f>
        <v/>
      </c>
    </row>
    <row r="5341" spans="1:9" hidden="1" x14ac:dyDescent="0.2">
      <c r="A5341" s="105" t="str">
        <f>IF(D5341=1,COUNTIF($D$10:D5341,1)," ")</f>
        <v xml:space="preserve"> </v>
      </c>
      <c r="B5341" s="106">
        <f>COPY!AR5333</f>
        <v>0</v>
      </c>
      <c r="C5341" s="107">
        <f>COPY!AC5333</f>
        <v>0</v>
      </c>
      <c r="D5341" s="107" t="str">
        <f>IF(LEN(Table1722[[#This Row],[Uraian]])&gt;2,1," ")</f>
        <v xml:space="preserve"> </v>
      </c>
      <c r="E5341" s="113" t="str">
        <f>IF(Table1722[[#This Row],[Lawan Transaksi]]="CV AGUNG KARYA",COUNTIF($I$10:I5341,"CV AGUNG KARYA")," ")</f>
        <v xml:space="preserve"> </v>
      </c>
      <c r="F5341" s="107" t="str">
        <f>IF(LEN(Table1722[[#This Row],[Uraian]])&gt;2,TRIM(RIGHT(SUBSTITUTE(TRIM(C5341)," ",REPT(" ",255)),255))," ")</f>
        <v xml:space="preserve"> </v>
      </c>
      <c r="G5341" s="110">
        <f>COPY!Z5333</f>
        <v>0</v>
      </c>
      <c r="H5341" s="111" t="str">
        <f>IFERROR(VLOOKUP(Table1722[[#This Row],[Bukti]],'Un nOTA'!$A$4:$K$5003,10,FALSE),"")</f>
        <v/>
      </c>
      <c r="I5341" s="123" t="str">
        <f>IFERROR(VLOOKUP(Table1722[[#This Row],[Bukti]],Table13[#Data],11,FALSE),"")</f>
        <v/>
      </c>
    </row>
    <row r="5342" spans="1:9" hidden="1" x14ac:dyDescent="0.2">
      <c r="A5342" s="105" t="str">
        <f>IF(D5342=1,COUNTIF($D$10:D5342,1)," ")</f>
        <v xml:space="preserve"> </v>
      </c>
      <c r="B5342" s="106">
        <f>COPY!AR5334</f>
        <v>0</v>
      </c>
      <c r="C5342" s="107">
        <f>COPY!AC5334</f>
        <v>0</v>
      </c>
      <c r="D5342" s="107" t="str">
        <f>IF(LEN(Table1722[[#This Row],[Uraian]])&gt;2,1," ")</f>
        <v xml:space="preserve"> </v>
      </c>
      <c r="E5342" s="113" t="str">
        <f>IF(Table1722[[#This Row],[Lawan Transaksi]]="CV AGUNG KARYA",COUNTIF($I$10:I5342,"CV AGUNG KARYA")," ")</f>
        <v xml:space="preserve"> </v>
      </c>
      <c r="F5342" s="107" t="str">
        <f>IF(LEN(Table1722[[#This Row],[Uraian]])&gt;2,TRIM(RIGHT(SUBSTITUTE(TRIM(C5342)," ",REPT(" ",255)),255))," ")</f>
        <v xml:space="preserve"> </v>
      </c>
      <c r="G5342" s="110">
        <f>COPY!Z5334</f>
        <v>0</v>
      </c>
      <c r="H5342" s="111" t="str">
        <f>IFERROR(VLOOKUP(Table1722[[#This Row],[Bukti]],'Un nOTA'!$A$4:$K$5003,10,FALSE),"")</f>
        <v/>
      </c>
      <c r="I5342" s="123" t="str">
        <f>IFERROR(VLOOKUP(Table1722[[#This Row],[Bukti]],Table13[#Data],11,FALSE),"")</f>
        <v/>
      </c>
    </row>
    <row r="5343" spans="1:9" hidden="1" x14ac:dyDescent="0.2">
      <c r="A5343" s="105" t="str">
        <f>IF(D5343=1,COUNTIF($D$10:D5343,1)," ")</f>
        <v xml:space="preserve"> </v>
      </c>
      <c r="B5343" s="106">
        <f>COPY!AR5335</f>
        <v>0</v>
      </c>
      <c r="C5343" s="107">
        <f>COPY!AC5335</f>
        <v>0</v>
      </c>
      <c r="D5343" s="107" t="str">
        <f>IF(LEN(Table1722[[#This Row],[Uraian]])&gt;2,1," ")</f>
        <v xml:space="preserve"> </v>
      </c>
      <c r="E5343" s="113" t="str">
        <f>IF(Table1722[[#This Row],[Lawan Transaksi]]="CV AGUNG KARYA",COUNTIF($I$10:I5343,"CV AGUNG KARYA")," ")</f>
        <v xml:space="preserve"> </v>
      </c>
      <c r="F5343" s="107" t="str">
        <f>IF(LEN(Table1722[[#This Row],[Uraian]])&gt;2,TRIM(RIGHT(SUBSTITUTE(TRIM(C5343)," ",REPT(" ",255)),255))," ")</f>
        <v xml:space="preserve"> </v>
      </c>
      <c r="G5343" s="110">
        <f>COPY!Z5335</f>
        <v>0</v>
      </c>
      <c r="H5343" s="111" t="str">
        <f>IFERROR(VLOOKUP(Table1722[[#This Row],[Bukti]],'Un nOTA'!$A$4:$K$5003,10,FALSE),"")</f>
        <v/>
      </c>
      <c r="I5343" s="123" t="str">
        <f>IFERROR(VLOOKUP(Table1722[[#This Row],[Bukti]],Table13[#Data],11,FALSE),"")</f>
        <v/>
      </c>
    </row>
    <row r="5344" spans="1:9" hidden="1" x14ac:dyDescent="0.2">
      <c r="A5344" s="105" t="str">
        <f>IF(D5344=1,COUNTIF($D$10:D5344,1)," ")</f>
        <v xml:space="preserve"> </v>
      </c>
      <c r="B5344" s="106">
        <f>COPY!AR5336</f>
        <v>0</v>
      </c>
      <c r="C5344" s="107">
        <f>COPY!AC5336</f>
        <v>0</v>
      </c>
      <c r="D5344" s="107" t="str">
        <f>IF(LEN(Table1722[[#This Row],[Uraian]])&gt;2,1," ")</f>
        <v xml:space="preserve"> </v>
      </c>
      <c r="E5344" s="113" t="str">
        <f>IF(Table1722[[#This Row],[Lawan Transaksi]]="CV AGUNG KARYA",COUNTIF($I$10:I5344,"CV AGUNG KARYA")," ")</f>
        <v xml:space="preserve"> </v>
      </c>
      <c r="F5344" s="107" t="str">
        <f>IF(LEN(Table1722[[#This Row],[Uraian]])&gt;2,TRIM(RIGHT(SUBSTITUTE(TRIM(C5344)," ",REPT(" ",255)),255))," ")</f>
        <v xml:space="preserve"> </v>
      </c>
      <c r="G5344" s="110">
        <f>COPY!Z5336</f>
        <v>0</v>
      </c>
      <c r="H5344" s="111" t="str">
        <f>IFERROR(VLOOKUP(Table1722[[#This Row],[Bukti]],'Un nOTA'!$A$4:$K$5003,10,FALSE),"")</f>
        <v/>
      </c>
      <c r="I5344" s="123" t="str">
        <f>IFERROR(VLOOKUP(Table1722[[#This Row],[Bukti]],Table13[#Data],11,FALSE),"")</f>
        <v/>
      </c>
    </row>
    <row r="5345" spans="1:9" hidden="1" x14ac:dyDescent="0.2">
      <c r="A5345" s="105" t="str">
        <f>IF(D5345=1,COUNTIF($D$10:D5345,1)," ")</f>
        <v xml:space="preserve"> </v>
      </c>
      <c r="B5345" s="106">
        <f>COPY!AR5337</f>
        <v>0</v>
      </c>
      <c r="C5345" s="107">
        <f>COPY!AC5337</f>
        <v>0</v>
      </c>
      <c r="D5345" s="107" t="str">
        <f>IF(LEN(Table1722[[#This Row],[Uraian]])&gt;2,1," ")</f>
        <v xml:space="preserve"> </v>
      </c>
      <c r="E5345" s="113" t="str">
        <f>IF(Table1722[[#This Row],[Lawan Transaksi]]="CV AGUNG KARYA",COUNTIF($I$10:I5345,"CV AGUNG KARYA")," ")</f>
        <v xml:space="preserve"> </v>
      </c>
      <c r="F5345" s="107" t="str">
        <f>IF(LEN(Table1722[[#This Row],[Uraian]])&gt;2,TRIM(RIGHT(SUBSTITUTE(TRIM(C5345)," ",REPT(" ",255)),255))," ")</f>
        <v xml:space="preserve"> </v>
      </c>
      <c r="G5345" s="110">
        <f>COPY!Z5337</f>
        <v>0</v>
      </c>
      <c r="H5345" s="111" t="str">
        <f>IFERROR(VLOOKUP(Table1722[[#This Row],[Bukti]],'Un nOTA'!$A$4:$K$5003,10,FALSE),"")</f>
        <v/>
      </c>
      <c r="I5345" s="123" t="str">
        <f>IFERROR(VLOOKUP(Table1722[[#This Row],[Bukti]],Table13[#Data],11,FALSE),"")</f>
        <v/>
      </c>
    </row>
    <row r="5346" spans="1:9" hidden="1" x14ac:dyDescent="0.2">
      <c r="A5346" s="105" t="str">
        <f>IF(D5346=1,COUNTIF($D$10:D5346,1)," ")</f>
        <v xml:space="preserve"> </v>
      </c>
      <c r="B5346" s="106">
        <f>COPY!AR5338</f>
        <v>0</v>
      </c>
      <c r="C5346" s="107">
        <f>COPY!AC5338</f>
        <v>0</v>
      </c>
      <c r="D5346" s="107" t="str">
        <f>IF(LEN(Table1722[[#This Row],[Uraian]])&gt;2,1," ")</f>
        <v xml:space="preserve"> </v>
      </c>
      <c r="E5346" s="113" t="str">
        <f>IF(Table1722[[#This Row],[Lawan Transaksi]]="CV AGUNG KARYA",COUNTIF($I$10:I5346,"CV AGUNG KARYA")," ")</f>
        <v xml:space="preserve"> </v>
      </c>
      <c r="F5346" s="107" t="str">
        <f>IF(LEN(Table1722[[#This Row],[Uraian]])&gt;2,TRIM(RIGHT(SUBSTITUTE(TRIM(C5346)," ",REPT(" ",255)),255))," ")</f>
        <v xml:space="preserve"> </v>
      </c>
      <c r="G5346" s="110">
        <f>COPY!Z5338</f>
        <v>0</v>
      </c>
      <c r="H5346" s="111" t="str">
        <f>IFERROR(VLOOKUP(Table1722[[#This Row],[Bukti]],'Un nOTA'!$A$4:$K$5003,10,FALSE),"")</f>
        <v/>
      </c>
      <c r="I5346" s="123" t="str">
        <f>IFERROR(VLOOKUP(Table1722[[#This Row],[Bukti]],Table13[#Data],11,FALSE),"")</f>
        <v/>
      </c>
    </row>
    <row r="5347" spans="1:9" hidden="1" x14ac:dyDescent="0.2">
      <c r="A5347" s="105" t="str">
        <f>IF(D5347=1,COUNTIF($D$10:D5347,1)," ")</f>
        <v xml:space="preserve"> </v>
      </c>
      <c r="B5347" s="106">
        <f>COPY!AR5339</f>
        <v>0</v>
      </c>
      <c r="C5347" s="107">
        <f>COPY!AC5339</f>
        <v>0</v>
      </c>
      <c r="D5347" s="107" t="str">
        <f>IF(LEN(Table1722[[#This Row],[Uraian]])&gt;2,1," ")</f>
        <v xml:space="preserve"> </v>
      </c>
      <c r="E5347" s="113" t="str">
        <f>IF(Table1722[[#This Row],[Lawan Transaksi]]="CV AGUNG KARYA",COUNTIF($I$10:I5347,"CV AGUNG KARYA")," ")</f>
        <v xml:space="preserve"> </v>
      </c>
      <c r="F5347" s="107" t="str">
        <f>IF(LEN(Table1722[[#This Row],[Uraian]])&gt;2,TRIM(RIGHT(SUBSTITUTE(TRIM(C5347)," ",REPT(" ",255)),255))," ")</f>
        <v xml:space="preserve"> </v>
      </c>
      <c r="G5347" s="110">
        <f>COPY!Z5339</f>
        <v>0</v>
      </c>
      <c r="H5347" s="111" t="str">
        <f>IFERROR(VLOOKUP(Table1722[[#This Row],[Bukti]],'Un nOTA'!$A$4:$K$5003,10,FALSE),"")</f>
        <v/>
      </c>
      <c r="I5347" s="123" t="str">
        <f>IFERROR(VLOOKUP(Table1722[[#This Row],[Bukti]],Table13[#Data],11,FALSE),"")</f>
        <v/>
      </c>
    </row>
    <row r="5348" spans="1:9" hidden="1" x14ac:dyDescent="0.2">
      <c r="A5348" s="105" t="str">
        <f>IF(D5348=1,COUNTIF($D$10:D5348,1)," ")</f>
        <v xml:space="preserve"> </v>
      </c>
      <c r="B5348" s="106">
        <f>COPY!AR5340</f>
        <v>0</v>
      </c>
      <c r="C5348" s="107">
        <f>COPY!AC5340</f>
        <v>0</v>
      </c>
      <c r="D5348" s="107" t="str">
        <f>IF(LEN(Table1722[[#This Row],[Uraian]])&gt;2,1," ")</f>
        <v xml:space="preserve"> </v>
      </c>
      <c r="E5348" s="113" t="str">
        <f>IF(Table1722[[#This Row],[Lawan Transaksi]]="CV AGUNG KARYA",COUNTIF($I$10:I5348,"CV AGUNG KARYA")," ")</f>
        <v xml:space="preserve"> </v>
      </c>
      <c r="F5348" s="107" t="str">
        <f>IF(LEN(Table1722[[#This Row],[Uraian]])&gt;2,TRIM(RIGHT(SUBSTITUTE(TRIM(C5348)," ",REPT(" ",255)),255))," ")</f>
        <v xml:space="preserve"> </v>
      </c>
      <c r="G5348" s="110">
        <f>COPY!Z5340</f>
        <v>0</v>
      </c>
      <c r="H5348" s="111" t="str">
        <f>IFERROR(VLOOKUP(Table1722[[#This Row],[Bukti]],'Un nOTA'!$A$4:$K$5003,10,FALSE),"")</f>
        <v/>
      </c>
      <c r="I5348" s="123" t="str">
        <f>IFERROR(VLOOKUP(Table1722[[#This Row],[Bukti]],Table13[#Data],11,FALSE),"")</f>
        <v/>
      </c>
    </row>
    <row r="5349" spans="1:9" hidden="1" x14ac:dyDescent="0.2">
      <c r="A5349" s="105" t="str">
        <f>IF(D5349=1,COUNTIF($D$10:D5349,1)," ")</f>
        <v xml:space="preserve"> </v>
      </c>
      <c r="B5349" s="106">
        <f>COPY!AR5341</f>
        <v>0</v>
      </c>
      <c r="C5349" s="107">
        <f>COPY!AC5341</f>
        <v>0</v>
      </c>
      <c r="D5349" s="107" t="str">
        <f>IF(LEN(Table1722[[#This Row],[Uraian]])&gt;2,1," ")</f>
        <v xml:space="preserve"> </v>
      </c>
      <c r="E5349" s="113" t="str">
        <f>IF(Table1722[[#This Row],[Lawan Transaksi]]="CV AGUNG KARYA",COUNTIF($I$10:I5349,"CV AGUNG KARYA")," ")</f>
        <v xml:space="preserve"> </v>
      </c>
      <c r="F5349" s="107" t="str">
        <f>IF(LEN(Table1722[[#This Row],[Uraian]])&gt;2,TRIM(RIGHT(SUBSTITUTE(TRIM(C5349)," ",REPT(" ",255)),255))," ")</f>
        <v xml:space="preserve"> </v>
      </c>
      <c r="G5349" s="110">
        <f>COPY!Z5341</f>
        <v>0</v>
      </c>
      <c r="H5349" s="111" t="str">
        <f>IFERROR(VLOOKUP(Table1722[[#This Row],[Bukti]],'Un nOTA'!$A$4:$K$5003,10,FALSE),"")</f>
        <v/>
      </c>
      <c r="I5349" s="123" t="str">
        <f>IFERROR(VLOOKUP(Table1722[[#This Row],[Bukti]],Table13[#Data],11,FALSE),"")</f>
        <v/>
      </c>
    </row>
    <row r="5350" spans="1:9" hidden="1" x14ac:dyDescent="0.2">
      <c r="A5350" s="105" t="str">
        <f>IF(D5350=1,COUNTIF($D$10:D5350,1)," ")</f>
        <v xml:space="preserve"> </v>
      </c>
      <c r="B5350" s="106">
        <f>COPY!AR5342</f>
        <v>0</v>
      </c>
      <c r="C5350" s="107">
        <f>COPY!AC5342</f>
        <v>0</v>
      </c>
      <c r="D5350" s="107" t="str">
        <f>IF(LEN(Table1722[[#This Row],[Uraian]])&gt;2,1," ")</f>
        <v xml:space="preserve"> </v>
      </c>
      <c r="E5350" s="113" t="str">
        <f>IF(Table1722[[#This Row],[Lawan Transaksi]]="CV AGUNG KARYA",COUNTIF($I$10:I5350,"CV AGUNG KARYA")," ")</f>
        <v xml:space="preserve"> </v>
      </c>
      <c r="F5350" s="107" t="str">
        <f>IF(LEN(Table1722[[#This Row],[Uraian]])&gt;2,TRIM(RIGHT(SUBSTITUTE(TRIM(C5350)," ",REPT(" ",255)),255))," ")</f>
        <v xml:space="preserve"> </v>
      </c>
      <c r="G5350" s="110">
        <f>COPY!Z5342</f>
        <v>0</v>
      </c>
      <c r="H5350" s="111" t="str">
        <f>IFERROR(VLOOKUP(Table1722[[#This Row],[Bukti]],'Un nOTA'!$A$4:$K$5003,10,FALSE),"")</f>
        <v/>
      </c>
      <c r="I5350" s="123" t="str">
        <f>IFERROR(VLOOKUP(Table1722[[#This Row],[Bukti]],Table13[#Data],11,FALSE),"")</f>
        <v/>
      </c>
    </row>
    <row r="5351" spans="1:9" hidden="1" x14ac:dyDescent="0.2">
      <c r="A5351" s="105" t="str">
        <f>IF(D5351=1,COUNTIF($D$10:D5351,1)," ")</f>
        <v xml:space="preserve"> </v>
      </c>
      <c r="B5351" s="106">
        <f>COPY!AR5343</f>
        <v>0</v>
      </c>
      <c r="C5351" s="107">
        <f>COPY!AC5343</f>
        <v>0</v>
      </c>
      <c r="D5351" s="107" t="str">
        <f>IF(LEN(Table1722[[#This Row],[Uraian]])&gt;2,1," ")</f>
        <v xml:space="preserve"> </v>
      </c>
      <c r="E5351" s="113" t="str">
        <f>IF(Table1722[[#This Row],[Lawan Transaksi]]="CV AGUNG KARYA",COUNTIF($I$10:I5351,"CV AGUNG KARYA")," ")</f>
        <v xml:space="preserve"> </v>
      </c>
      <c r="F5351" s="107" t="str">
        <f>IF(LEN(Table1722[[#This Row],[Uraian]])&gt;2,TRIM(RIGHT(SUBSTITUTE(TRIM(C5351)," ",REPT(" ",255)),255))," ")</f>
        <v xml:space="preserve"> </v>
      </c>
      <c r="G5351" s="110">
        <f>COPY!Z5343</f>
        <v>0</v>
      </c>
      <c r="H5351" s="111" t="str">
        <f>IFERROR(VLOOKUP(Table1722[[#This Row],[Bukti]],'Un nOTA'!$A$4:$K$5003,10,FALSE),"")</f>
        <v/>
      </c>
      <c r="I5351" s="123" t="str">
        <f>IFERROR(VLOOKUP(Table1722[[#This Row],[Bukti]],Table13[#Data],11,FALSE),"")</f>
        <v/>
      </c>
    </row>
    <row r="5352" spans="1:9" hidden="1" x14ac:dyDescent="0.2">
      <c r="A5352" s="105" t="str">
        <f>IF(D5352=1,COUNTIF($D$10:D5352,1)," ")</f>
        <v xml:space="preserve"> </v>
      </c>
      <c r="B5352" s="106">
        <f>COPY!AR5344</f>
        <v>0</v>
      </c>
      <c r="C5352" s="107">
        <f>COPY!AC5344</f>
        <v>0</v>
      </c>
      <c r="D5352" s="107" t="str">
        <f>IF(LEN(Table1722[[#This Row],[Uraian]])&gt;2,1," ")</f>
        <v xml:space="preserve"> </v>
      </c>
      <c r="E5352" s="113" t="str">
        <f>IF(Table1722[[#This Row],[Lawan Transaksi]]="CV AGUNG KARYA",COUNTIF($I$10:I5352,"CV AGUNG KARYA")," ")</f>
        <v xml:space="preserve"> </v>
      </c>
      <c r="F5352" s="107" t="str">
        <f>IF(LEN(Table1722[[#This Row],[Uraian]])&gt;2,TRIM(RIGHT(SUBSTITUTE(TRIM(C5352)," ",REPT(" ",255)),255))," ")</f>
        <v xml:space="preserve"> </v>
      </c>
      <c r="G5352" s="110">
        <f>COPY!Z5344</f>
        <v>0</v>
      </c>
      <c r="H5352" s="111" t="str">
        <f>IFERROR(VLOOKUP(Table1722[[#This Row],[Bukti]],'Un nOTA'!$A$4:$K$5003,10,FALSE),"")</f>
        <v/>
      </c>
      <c r="I5352" s="123" t="str">
        <f>IFERROR(VLOOKUP(Table1722[[#This Row],[Bukti]],Table13[#Data],11,FALSE),"")</f>
        <v/>
      </c>
    </row>
    <row r="5353" spans="1:9" hidden="1" x14ac:dyDescent="0.2">
      <c r="A5353" s="105" t="str">
        <f>IF(D5353=1,COUNTIF($D$10:D5353,1)," ")</f>
        <v xml:space="preserve"> </v>
      </c>
      <c r="B5353" s="106">
        <f>COPY!AR5345</f>
        <v>0</v>
      </c>
      <c r="C5353" s="107">
        <f>COPY!AC5345</f>
        <v>0</v>
      </c>
      <c r="D5353" s="107" t="str">
        <f>IF(LEN(Table1722[[#This Row],[Uraian]])&gt;2,1," ")</f>
        <v xml:space="preserve"> </v>
      </c>
      <c r="E5353" s="113" t="str">
        <f>IF(Table1722[[#This Row],[Lawan Transaksi]]="CV AGUNG KARYA",COUNTIF($I$10:I5353,"CV AGUNG KARYA")," ")</f>
        <v xml:space="preserve"> </v>
      </c>
      <c r="F5353" s="107" t="str">
        <f>IF(LEN(Table1722[[#This Row],[Uraian]])&gt;2,TRIM(RIGHT(SUBSTITUTE(TRIM(C5353)," ",REPT(" ",255)),255))," ")</f>
        <v xml:space="preserve"> </v>
      </c>
      <c r="G5353" s="110">
        <f>COPY!Z5345</f>
        <v>0</v>
      </c>
      <c r="H5353" s="111" t="str">
        <f>IFERROR(VLOOKUP(Table1722[[#This Row],[Bukti]],'Un nOTA'!$A$4:$K$5003,10,FALSE),"")</f>
        <v/>
      </c>
      <c r="I5353" s="123" t="str">
        <f>IFERROR(VLOOKUP(Table1722[[#This Row],[Bukti]],Table13[#Data],11,FALSE),"")</f>
        <v/>
      </c>
    </row>
    <row r="5354" spans="1:9" hidden="1" x14ac:dyDescent="0.2">
      <c r="A5354" s="105" t="str">
        <f>IF(D5354=1,COUNTIF($D$10:D5354,1)," ")</f>
        <v xml:space="preserve"> </v>
      </c>
      <c r="B5354" s="106">
        <f>COPY!AR5346</f>
        <v>0</v>
      </c>
      <c r="C5354" s="107">
        <f>COPY!AC5346</f>
        <v>0</v>
      </c>
      <c r="D5354" s="107" t="str">
        <f>IF(LEN(Table1722[[#This Row],[Uraian]])&gt;2,1," ")</f>
        <v xml:space="preserve"> </v>
      </c>
      <c r="E5354" s="113" t="str">
        <f>IF(Table1722[[#This Row],[Lawan Transaksi]]="CV AGUNG KARYA",COUNTIF($I$10:I5354,"CV AGUNG KARYA")," ")</f>
        <v xml:space="preserve"> </v>
      </c>
      <c r="F5354" s="107" t="str">
        <f>IF(LEN(Table1722[[#This Row],[Uraian]])&gt;2,TRIM(RIGHT(SUBSTITUTE(TRIM(C5354)," ",REPT(" ",255)),255))," ")</f>
        <v xml:space="preserve"> </v>
      </c>
      <c r="G5354" s="110">
        <f>COPY!Z5346</f>
        <v>0</v>
      </c>
      <c r="H5354" s="111" t="str">
        <f>IFERROR(VLOOKUP(Table1722[[#This Row],[Bukti]],'Un nOTA'!$A$4:$K$5003,10,FALSE),"")</f>
        <v/>
      </c>
      <c r="I5354" s="123" t="str">
        <f>IFERROR(VLOOKUP(Table1722[[#This Row],[Bukti]],Table13[#Data],11,FALSE),"")</f>
        <v/>
      </c>
    </row>
    <row r="5355" spans="1:9" hidden="1" x14ac:dyDescent="0.2">
      <c r="A5355" s="105" t="str">
        <f>IF(D5355=1,COUNTIF($D$10:D5355,1)," ")</f>
        <v xml:space="preserve"> </v>
      </c>
      <c r="B5355" s="106">
        <f>COPY!AR5347</f>
        <v>0</v>
      </c>
      <c r="C5355" s="107">
        <f>COPY!AC5347</f>
        <v>0</v>
      </c>
      <c r="D5355" s="107" t="str">
        <f>IF(LEN(Table1722[[#This Row],[Uraian]])&gt;2,1," ")</f>
        <v xml:space="preserve"> </v>
      </c>
      <c r="E5355" s="113" t="str">
        <f>IF(Table1722[[#This Row],[Lawan Transaksi]]="CV AGUNG KARYA",COUNTIF($I$10:I5355,"CV AGUNG KARYA")," ")</f>
        <v xml:space="preserve"> </v>
      </c>
      <c r="F5355" s="107" t="str">
        <f>IF(LEN(Table1722[[#This Row],[Uraian]])&gt;2,TRIM(RIGHT(SUBSTITUTE(TRIM(C5355)," ",REPT(" ",255)),255))," ")</f>
        <v xml:space="preserve"> </v>
      </c>
      <c r="G5355" s="110">
        <f>COPY!Z5347</f>
        <v>0</v>
      </c>
      <c r="H5355" s="111" t="str">
        <f>IFERROR(VLOOKUP(Table1722[[#This Row],[Bukti]],'Un nOTA'!$A$4:$K$5003,10,FALSE),"")</f>
        <v/>
      </c>
      <c r="I5355" s="123" t="str">
        <f>IFERROR(VLOOKUP(Table1722[[#This Row],[Bukti]],Table13[#Data],11,FALSE),"")</f>
        <v/>
      </c>
    </row>
    <row r="5356" spans="1:9" hidden="1" x14ac:dyDescent="0.2">
      <c r="A5356" s="105" t="str">
        <f>IF(D5356=1,COUNTIF($D$10:D5356,1)," ")</f>
        <v xml:space="preserve"> </v>
      </c>
      <c r="B5356" s="106">
        <f>COPY!AR5348</f>
        <v>0</v>
      </c>
      <c r="C5356" s="107">
        <f>COPY!AC5348</f>
        <v>0</v>
      </c>
      <c r="D5356" s="107" t="str">
        <f>IF(LEN(Table1722[[#This Row],[Uraian]])&gt;2,1," ")</f>
        <v xml:space="preserve"> </v>
      </c>
      <c r="E5356" s="113" t="str">
        <f>IF(Table1722[[#This Row],[Lawan Transaksi]]="CV AGUNG KARYA",COUNTIF($I$10:I5356,"CV AGUNG KARYA")," ")</f>
        <v xml:space="preserve"> </v>
      </c>
      <c r="F5356" s="107" t="str">
        <f>IF(LEN(Table1722[[#This Row],[Uraian]])&gt;2,TRIM(RIGHT(SUBSTITUTE(TRIM(C5356)," ",REPT(" ",255)),255))," ")</f>
        <v xml:space="preserve"> </v>
      </c>
      <c r="G5356" s="110">
        <f>COPY!Z5348</f>
        <v>0</v>
      </c>
      <c r="H5356" s="111" t="str">
        <f>IFERROR(VLOOKUP(Table1722[[#This Row],[Bukti]],'Un nOTA'!$A$4:$K$5003,10,FALSE),"")</f>
        <v/>
      </c>
      <c r="I5356" s="123" t="str">
        <f>IFERROR(VLOOKUP(Table1722[[#This Row],[Bukti]],Table13[#Data],11,FALSE),"")</f>
        <v/>
      </c>
    </row>
    <row r="5357" spans="1:9" hidden="1" x14ac:dyDescent="0.2">
      <c r="A5357" s="105" t="str">
        <f>IF(D5357=1,COUNTIF($D$10:D5357,1)," ")</f>
        <v xml:space="preserve"> </v>
      </c>
      <c r="B5357" s="106">
        <f>COPY!AR5349</f>
        <v>0</v>
      </c>
      <c r="C5357" s="107">
        <f>COPY!AC5349</f>
        <v>0</v>
      </c>
      <c r="D5357" s="107" t="str">
        <f>IF(LEN(Table1722[[#This Row],[Uraian]])&gt;2,1," ")</f>
        <v xml:space="preserve"> </v>
      </c>
      <c r="E5357" s="113" t="str">
        <f>IF(Table1722[[#This Row],[Lawan Transaksi]]="CV AGUNG KARYA",COUNTIF($I$10:I5357,"CV AGUNG KARYA")," ")</f>
        <v xml:space="preserve"> </v>
      </c>
      <c r="F5357" s="107" t="str">
        <f>IF(LEN(Table1722[[#This Row],[Uraian]])&gt;2,TRIM(RIGHT(SUBSTITUTE(TRIM(C5357)," ",REPT(" ",255)),255))," ")</f>
        <v xml:space="preserve"> </v>
      </c>
      <c r="G5357" s="110">
        <f>COPY!Z5349</f>
        <v>0</v>
      </c>
      <c r="H5357" s="111" t="str">
        <f>IFERROR(VLOOKUP(Table1722[[#This Row],[Bukti]],'Un nOTA'!$A$4:$K$5003,10,FALSE),"")</f>
        <v/>
      </c>
      <c r="I5357" s="123" t="str">
        <f>IFERROR(VLOOKUP(Table1722[[#This Row],[Bukti]],Table13[#Data],11,FALSE),"")</f>
        <v/>
      </c>
    </row>
    <row r="5358" spans="1:9" hidden="1" x14ac:dyDescent="0.2">
      <c r="A5358" s="105" t="str">
        <f>IF(D5358=1,COUNTIF($D$10:D5358,1)," ")</f>
        <v xml:space="preserve"> </v>
      </c>
      <c r="B5358" s="106">
        <f>COPY!AR5350</f>
        <v>0</v>
      </c>
      <c r="C5358" s="107">
        <f>COPY!AC5350</f>
        <v>0</v>
      </c>
      <c r="D5358" s="107" t="str">
        <f>IF(LEN(Table1722[[#This Row],[Uraian]])&gt;2,1," ")</f>
        <v xml:space="preserve"> </v>
      </c>
      <c r="E5358" s="113" t="str">
        <f>IF(Table1722[[#This Row],[Lawan Transaksi]]="CV AGUNG KARYA",COUNTIF($I$10:I5358,"CV AGUNG KARYA")," ")</f>
        <v xml:space="preserve"> </v>
      </c>
      <c r="F5358" s="107" t="str">
        <f>IF(LEN(Table1722[[#This Row],[Uraian]])&gt;2,TRIM(RIGHT(SUBSTITUTE(TRIM(C5358)," ",REPT(" ",255)),255))," ")</f>
        <v xml:space="preserve"> </v>
      </c>
      <c r="G5358" s="110">
        <f>COPY!Z5350</f>
        <v>0</v>
      </c>
      <c r="H5358" s="111" t="str">
        <f>IFERROR(VLOOKUP(Table1722[[#This Row],[Bukti]],'Un nOTA'!$A$4:$K$5003,10,FALSE),"")</f>
        <v/>
      </c>
      <c r="I5358" s="123" t="str">
        <f>IFERROR(VLOOKUP(Table1722[[#This Row],[Bukti]],Table13[#Data],11,FALSE),"")</f>
        <v/>
      </c>
    </row>
    <row r="5359" spans="1:9" hidden="1" x14ac:dyDescent="0.2">
      <c r="A5359" s="105" t="str">
        <f>IF(D5359=1,COUNTIF($D$10:D5359,1)," ")</f>
        <v xml:space="preserve"> </v>
      </c>
      <c r="B5359" s="106">
        <f>COPY!AR5351</f>
        <v>0</v>
      </c>
      <c r="C5359" s="107">
        <f>COPY!AC5351</f>
        <v>0</v>
      </c>
      <c r="D5359" s="107" t="str">
        <f>IF(LEN(Table1722[[#This Row],[Uraian]])&gt;2,1," ")</f>
        <v xml:space="preserve"> </v>
      </c>
      <c r="E5359" s="113" t="str">
        <f>IF(Table1722[[#This Row],[Lawan Transaksi]]="CV AGUNG KARYA",COUNTIF($I$10:I5359,"CV AGUNG KARYA")," ")</f>
        <v xml:space="preserve"> </v>
      </c>
      <c r="F5359" s="107" t="str">
        <f>IF(LEN(Table1722[[#This Row],[Uraian]])&gt;2,TRIM(RIGHT(SUBSTITUTE(TRIM(C5359)," ",REPT(" ",255)),255))," ")</f>
        <v xml:space="preserve"> </v>
      </c>
      <c r="G5359" s="110">
        <f>COPY!Z5351</f>
        <v>0</v>
      </c>
      <c r="H5359" s="111" t="str">
        <f>IFERROR(VLOOKUP(Table1722[[#This Row],[Bukti]],'Un nOTA'!$A$4:$K$5003,10,FALSE),"")</f>
        <v/>
      </c>
      <c r="I5359" s="123" t="str">
        <f>IFERROR(VLOOKUP(Table1722[[#This Row],[Bukti]],Table13[#Data],11,FALSE),"")</f>
        <v/>
      </c>
    </row>
    <row r="5360" spans="1:9" hidden="1" x14ac:dyDescent="0.2">
      <c r="A5360" s="105" t="str">
        <f>IF(D5360=1,COUNTIF($D$10:D5360,1)," ")</f>
        <v xml:space="preserve"> </v>
      </c>
      <c r="B5360" s="106">
        <f>COPY!AR5352</f>
        <v>0</v>
      </c>
      <c r="C5360" s="107">
        <f>COPY!AC5352</f>
        <v>0</v>
      </c>
      <c r="D5360" s="107" t="str">
        <f>IF(LEN(Table1722[[#This Row],[Uraian]])&gt;2,1," ")</f>
        <v xml:space="preserve"> </v>
      </c>
      <c r="E5360" s="113" t="str">
        <f>IF(Table1722[[#This Row],[Lawan Transaksi]]="CV AGUNG KARYA",COUNTIF($I$10:I5360,"CV AGUNG KARYA")," ")</f>
        <v xml:space="preserve"> </v>
      </c>
      <c r="F5360" s="107" t="str">
        <f>IF(LEN(Table1722[[#This Row],[Uraian]])&gt;2,TRIM(RIGHT(SUBSTITUTE(TRIM(C5360)," ",REPT(" ",255)),255))," ")</f>
        <v xml:space="preserve"> </v>
      </c>
      <c r="G5360" s="110">
        <f>COPY!Z5352</f>
        <v>0</v>
      </c>
      <c r="H5360" s="111" t="str">
        <f>IFERROR(VLOOKUP(Table1722[[#This Row],[Bukti]],'Un nOTA'!$A$4:$K$5003,10,FALSE),"")</f>
        <v/>
      </c>
      <c r="I5360" s="123" t="str">
        <f>IFERROR(VLOOKUP(Table1722[[#This Row],[Bukti]],Table13[#Data],11,FALSE),"")</f>
        <v/>
      </c>
    </row>
    <row r="5361" spans="1:9" hidden="1" x14ac:dyDescent="0.2">
      <c r="A5361" s="105" t="str">
        <f>IF(D5361=1,COUNTIF($D$10:D5361,1)," ")</f>
        <v xml:space="preserve"> </v>
      </c>
      <c r="B5361" s="106">
        <f>COPY!AR5353</f>
        <v>0</v>
      </c>
      <c r="C5361" s="107">
        <f>COPY!AC5353</f>
        <v>0</v>
      </c>
      <c r="D5361" s="107" t="str">
        <f>IF(LEN(Table1722[[#This Row],[Uraian]])&gt;2,1," ")</f>
        <v xml:space="preserve"> </v>
      </c>
      <c r="E5361" s="113" t="str">
        <f>IF(Table1722[[#This Row],[Lawan Transaksi]]="CV AGUNG KARYA",COUNTIF($I$10:I5361,"CV AGUNG KARYA")," ")</f>
        <v xml:space="preserve"> </v>
      </c>
      <c r="F5361" s="107" t="str">
        <f>IF(LEN(Table1722[[#This Row],[Uraian]])&gt;2,TRIM(RIGHT(SUBSTITUTE(TRIM(C5361)," ",REPT(" ",255)),255))," ")</f>
        <v xml:space="preserve"> </v>
      </c>
      <c r="G5361" s="110">
        <f>COPY!Z5353</f>
        <v>0</v>
      </c>
      <c r="H5361" s="111" t="str">
        <f>IFERROR(VLOOKUP(Table1722[[#This Row],[Bukti]],'Un nOTA'!$A$4:$K$5003,10,FALSE),"")</f>
        <v/>
      </c>
      <c r="I5361" s="123" t="str">
        <f>IFERROR(VLOOKUP(Table1722[[#This Row],[Bukti]],Table13[#Data],11,FALSE),"")</f>
        <v/>
      </c>
    </row>
    <row r="5362" spans="1:9" hidden="1" x14ac:dyDescent="0.2">
      <c r="A5362" s="105" t="str">
        <f>IF(D5362=1,COUNTIF($D$10:D5362,1)," ")</f>
        <v xml:space="preserve"> </v>
      </c>
      <c r="B5362" s="106">
        <f>COPY!AR5354</f>
        <v>0</v>
      </c>
      <c r="C5362" s="107">
        <f>COPY!AC5354</f>
        <v>0</v>
      </c>
      <c r="D5362" s="107" t="str">
        <f>IF(LEN(Table1722[[#This Row],[Uraian]])&gt;2,1," ")</f>
        <v xml:space="preserve"> </v>
      </c>
      <c r="E5362" s="113" t="str">
        <f>IF(Table1722[[#This Row],[Lawan Transaksi]]="CV AGUNG KARYA",COUNTIF($I$10:I5362,"CV AGUNG KARYA")," ")</f>
        <v xml:space="preserve"> </v>
      </c>
      <c r="F5362" s="107" t="str">
        <f>IF(LEN(Table1722[[#This Row],[Uraian]])&gt;2,TRIM(RIGHT(SUBSTITUTE(TRIM(C5362)," ",REPT(" ",255)),255))," ")</f>
        <v xml:space="preserve"> </v>
      </c>
      <c r="G5362" s="110">
        <f>COPY!Z5354</f>
        <v>0</v>
      </c>
      <c r="H5362" s="111" t="str">
        <f>IFERROR(VLOOKUP(Table1722[[#This Row],[Bukti]],'Un nOTA'!$A$4:$K$5003,10,FALSE),"")</f>
        <v/>
      </c>
      <c r="I5362" s="123" t="str">
        <f>IFERROR(VLOOKUP(Table1722[[#This Row],[Bukti]],Table13[#Data],11,FALSE),"")</f>
        <v/>
      </c>
    </row>
    <row r="5363" spans="1:9" hidden="1" x14ac:dyDescent="0.2">
      <c r="A5363" s="105" t="str">
        <f>IF(D5363=1,COUNTIF($D$10:D5363,1)," ")</f>
        <v xml:space="preserve"> </v>
      </c>
      <c r="B5363" s="106">
        <f>COPY!AR5355</f>
        <v>0</v>
      </c>
      <c r="C5363" s="107">
        <f>COPY!AC5355</f>
        <v>0</v>
      </c>
      <c r="D5363" s="107" t="str">
        <f>IF(LEN(Table1722[[#This Row],[Uraian]])&gt;2,1," ")</f>
        <v xml:space="preserve"> </v>
      </c>
      <c r="E5363" s="113" t="str">
        <f>IF(Table1722[[#This Row],[Lawan Transaksi]]="CV AGUNG KARYA",COUNTIF($I$10:I5363,"CV AGUNG KARYA")," ")</f>
        <v xml:space="preserve"> </v>
      </c>
      <c r="F5363" s="107" t="str">
        <f>IF(LEN(Table1722[[#This Row],[Uraian]])&gt;2,TRIM(RIGHT(SUBSTITUTE(TRIM(C5363)," ",REPT(" ",255)),255))," ")</f>
        <v xml:space="preserve"> </v>
      </c>
      <c r="G5363" s="110">
        <f>COPY!Z5355</f>
        <v>0</v>
      </c>
      <c r="H5363" s="111" t="str">
        <f>IFERROR(VLOOKUP(Table1722[[#This Row],[Bukti]],'Un nOTA'!$A$4:$K$5003,10,FALSE),"")</f>
        <v/>
      </c>
      <c r="I5363" s="123" t="str">
        <f>IFERROR(VLOOKUP(Table1722[[#This Row],[Bukti]],Table13[#Data],11,FALSE),"")</f>
        <v/>
      </c>
    </row>
    <row r="5364" spans="1:9" hidden="1" x14ac:dyDescent="0.2">
      <c r="A5364" s="105" t="str">
        <f>IF(D5364=1,COUNTIF($D$10:D5364,1)," ")</f>
        <v xml:space="preserve"> </v>
      </c>
      <c r="B5364" s="106">
        <f>COPY!AR5356</f>
        <v>0</v>
      </c>
      <c r="C5364" s="107">
        <f>COPY!AC5356</f>
        <v>0</v>
      </c>
      <c r="D5364" s="107" t="str">
        <f>IF(LEN(Table1722[[#This Row],[Uraian]])&gt;2,1," ")</f>
        <v xml:space="preserve"> </v>
      </c>
      <c r="E5364" s="113" t="str">
        <f>IF(Table1722[[#This Row],[Lawan Transaksi]]="CV AGUNG KARYA",COUNTIF($I$10:I5364,"CV AGUNG KARYA")," ")</f>
        <v xml:space="preserve"> </v>
      </c>
      <c r="F5364" s="107" t="str">
        <f>IF(LEN(Table1722[[#This Row],[Uraian]])&gt;2,TRIM(RIGHT(SUBSTITUTE(TRIM(C5364)," ",REPT(" ",255)),255))," ")</f>
        <v xml:space="preserve"> </v>
      </c>
      <c r="G5364" s="110">
        <f>COPY!Z5356</f>
        <v>0</v>
      </c>
      <c r="H5364" s="111" t="str">
        <f>IFERROR(VLOOKUP(Table1722[[#This Row],[Bukti]],'Un nOTA'!$A$4:$K$5003,10,FALSE),"")</f>
        <v/>
      </c>
      <c r="I5364" s="123" t="str">
        <f>IFERROR(VLOOKUP(Table1722[[#This Row],[Bukti]],Table13[#Data],11,FALSE),"")</f>
        <v/>
      </c>
    </row>
    <row r="5365" spans="1:9" hidden="1" x14ac:dyDescent="0.2">
      <c r="A5365" s="105" t="str">
        <f>IF(D5365=1,COUNTIF($D$10:D5365,1)," ")</f>
        <v xml:space="preserve"> </v>
      </c>
      <c r="B5365" s="106">
        <f>COPY!AR5357</f>
        <v>0</v>
      </c>
      <c r="C5365" s="107">
        <f>COPY!AC5357</f>
        <v>0</v>
      </c>
      <c r="D5365" s="107" t="str">
        <f>IF(LEN(Table1722[[#This Row],[Uraian]])&gt;2,1," ")</f>
        <v xml:space="preserve"> </v>
      </c>
      <c r="E5365" s="113" t="str">
        <f>IF(Table1722[[#This Row],[Lawan Transaksi]]="CV AGUNG KARYA",COUNTIF($I$10:I5365,"CV AGUNG KARYA")," ")</f>
        <v xml:space="preserve"> </v>
      </c>
      <c r="F5365" s="107" t="str">
        <f>IF(LEN(Table1722[[#This Row],[Uraian]])&gt;2,TRIM(RIGHT(SUBSTITUTE(TRIM(C5365)," ",REPT(" ",255)),255))," ")</f>
        <v xml:space="preserve"> </v>
      </c>
      <c r="G5365" s="110">
        <f>COPY!Z5357</f>
        <v>0</v>
      </c>
      <c r="H5365" s="111" t="str">
        <f>IFERROR(VLOOKUP(Table1722[[#This Row],[Bukti]],'Un nOTA'!$A$4:$K$5003,10,FALSE),"")</f>
        <v/>
      </c>
      <c r="I5365" s="123" t="str">
        <f>IFERROR(VLOOKUP(Table1722[[#This Row],[Bukti]],Table13[#Data],11,FALSE),"")</f>
        <v/>
      </c>
    </row>
    <row r="5366" spans="1:9" hidden="1" x14ac:dyDescent="0.2">
      <c r="A5366" s="105" t="str">
        <f>IF(D5366=1,COUNTIF($D$10:D5366,1)," ")</f>
        <v xml:space="preserve"> </v>
      </c>
      <c r="B5366" s="106">
        <f>COPY!AR5358</f>
        <v>0</v>
      </c>
      <c r="C5366" s="107">
        <f>COPY!AC5358</f>
        <v>0</v>
      </c>
      <c r="D5366" s="107" t="str">
        <f>IF(LEN(Table1722[[#This Row],[Uraian]])&gt;2,1," ")</f>
        <v xml:space="preserve"> </v>
      </c>
      <c r="E5366" s="113" t="str">
        <f>IF(Table1722[[#This Row],[Lawan Transaksi]]="CV AGUNG KARYA",COUNTIF($I$10:I5366,"CV AGUNG KARYA")," ")</f>
        <v xml:space="preserve"> </v>
      </c>
      <c r="F5366" s="107" t="str">
        <f>IF(LEN(Table1722[[#This Row],[Uraian]])&gt;2,TRIM(RIGHT(SUBSTITUTE(TRIM(C5366)," ",REPT(" ",255)),255))," ")</f>
        <v xml:space="preserve"> </v>
      </c>
      <c r="G5366" s="110">
        <f>COPY!Z5358</f>
        <v>0</v>
      </c>
      <c r="H5366" s="111" t="str">
        <f>IFERROR(VLOOKUP(Table1722[[#This Row],[Bukti]],'Un nOTA'!$A$4:$K$5003,10,FALSE),"")</f>
        <v/>
      </c>
      <c r="I5366" s="123" t="str">
        <f>IFERROR(VLOOKUP(Table1722[[#This Row],[Bukti]],Table13[#Data],11,FALSE),"")</f>
        <v/>
      </c>
    </row>
    <row r="5367" spans="1:9" hidden="1" x14ac:dyDescent="0.2">
      <c r="A5367" s="105" t="str">
        <f>IF(D5367=1,COUNTIF($D$10:D5367,1)," ")</f>
        <v xml:space="preserve"> </v>
      </c>
      <c r="B5367" s="106">
        <f>COPY!AR5359</f>
        <v>0</v>
      </c>
      <c r="C5367" s="107">
        <f>COPY!AC5359</f>
        <v>0</v>
      </c>
      <c r="D5367" s="107" t="str">
        <f>IF(LEN(Table1722[[#This Row],[Uraian]])&gt;2,1," ")</f>
        <v xml:space="preserve"> </v>
      </c>
      <c r="E5367" s="113" t="str">
        <f>IF(Table1722[[#This Row],[Lawan Transaksi]]="CV AGUNG KARYA",COUNTIF($I$10:I5367,"CV AGUNG KARYA")," ")</f>
        <v xml:space="preserve"> </v>
      </c>
      <c r="F5367" s="107" t="str">
        <f>IF(LEN(Table1722[[#This Row],[Uraian]])&gt;2,TRIM(RIGHT(SUBSTITUTE(TRIM(C5367)," ",REPT(" ",255)),255))," ")</f>
        <v xml:space="preserve"> </v>
      </c>
      <c r="G5367" s="110">
        <f>COPY!Z5359</f>
        <v>0</v>
      </c>
      <c r="H5367" s="111" t="str">
        <f>IFERROR(VLOOKUP(Table1722[[#This Row],[Bukti]],'Un nOTA'!$A$4:$K$5003,10,FALSE),"")</f>
        <v/>
      </c>
      <c r="I5367" s="123" t="str">
        <f>IFERROR(VLOOKUP(Table1722[[#This Row],[Bukti]],Table13[#Data],11,FALSE),"")</f>
        <v/>
      </c>
    </row>
    <row r="5368" spans="1:9" hidden="1" x14ac:dyDescent="0.2">
      <c r="A5368" s="105" t="str">
        <f>IF(D5368=1,COUNTIF($D$10:D5368,1)," ")</f>
        <v xml:space="preserve"> </v>
      </c>
      <c r="B5368" s="106">
        <f>COPY!AR5360</f>
        <v>0</v>
      </c>
      <c r="C5368" s="107">
        <f>COPY!AC5360</f>
        <v>0</v>
      </c>
      <c r="D5368" s="107" t="str">
        <f>IF(LEN(Table1722[[#This Row],[Uraian]])&gt;2,1," ")</f>
        <v xml:space="preserve"> </v>
      </c>
      <c r="E5368" s="113" t="str">
        <f>IF(Table1722[[#This Row],[Lawan Transaksi]]="CV AGUNG KARYA",COUNTIF($I$10:I5368,"CV AGUNG KARYA")," ")</f>
        <v xml:space="preserve"> </v>
      </c>
      <c r="F5368" s="107" t="str">
        <f>IF(LEN(Table1722[[#This Row],[Uraian]])&gt;2,TRIM(RIGHT(SUBSTITUTE(TRIM(C5368)," ",REPT(" ",255)),255))," ")</f>
        <v xml:space="preserve"> </v>
      </c>
      <c r="G5368" s="110">
        <f>COPY!Z5360</f>
        <v>0</v>
      </c>
      <c r="H5368" s="111" t="str">
        <f>IFERROR(VLOOKUP(Table1722[[#This Row],[Bukti]],'Un nOTA'!$A$4:$K$5003,10,FALSE),"")</f>
        <v/>
      </c>
      <c r="I5368" s="123" t="str">
        <f>IFERROR(VLOOKUP(Table1722[[#This Row],[Bukti]],Table13[#Data],11,FALSE),"")</f>
        <v/>
      </c>
    </row>
    <row r="5369" spans="1:9" hidden="1" x14ac:dyDescent="0.2">
      <c r="A5369" s="105" t="str">
        <f>IF(D5369=1,COUNTIF($D$10:D5369,1)," ")</f>
        <v xml:space="preserve"> </v>
      </c>
      <c r="B5369" s="106">
        <f>COPY!AR5361</f>
        <v>0</v>
      </c>
      <c r="C5369" s="107">
        <f>COPY!AC5361</f>
        <v>0</v>
      </c>
      <c r="D5369" s="107" t="str">
        <f>IF(LEN(Table1722[[#This Row],[Uraian]])&gt;2,1," ")</f>
        <v xml:space="preserve"> </v>
      </c>
      <c r="E5369" s="113" t="str">
        <f>IF(Table1722[[#This Row],[Lawan Transaksi]]="CV AGUNG KARYA",COUNTIF($I$10:I5369,"CV AGUNG KARYA")," ")</f>
        <v xml:space="preserve"> </v>
      </c>
      <c r="F5369" s="107" t="str">
        <f>IF(LEN(Table1722[[#This Row],[Uraian]])&gt;2,TRIM(RIGHT(SUBSTITUTE(TRIM(C5369)," ",REPT(" ",255)),255))," ")</f>
        <v xml:space="preserve"> </v>
      </c>
      <c r="G5369" s="110">
        <f>COPY!Z5361</f>
        <v>0</v>
      </c>
      <c r="H5369" s="111" t="str">
        <f>IFERROR(VLOOKUP(Table1722[[#This Row],[Bukti]],'Un nOTA'!$A$4:$K$5003,10,FALSE),"")</f>
        <v/>
      </c>
      <c r="I5369" s="123" t="str">
        <f>IFERROR(VLOOKUP(Table1722[[#This Row],[Bukti]],Table13[#Data],11,FALSE),"")</f>
        <v/>
      </c>
    </row>
    <row r="5370" spans="1:9" hidden="1" x14ac:dyDescent="0.2">
      <c r="A5370" s="105" t="str">
        <f>IF(D5370=1,COUNTIF($D$10:D5370,1)," ")</f>
        <v xml:space="preserve"> </v>
      </c>
      <c r="B5370" s="106">
        <f>COPY!AR5362</f>
        <v>0</v>
      </c>
      <c r="C5370" s="107">
        <f>COPY!AC5362</f>
        <v>0</v>
      </c>
      <c r="D5370" s="107" t="str">
        <f>IF(LEN(Table1722[[#This Row],[Uraian]])&gt;2,1," ")</f>
        <v xml:space="preserve"> </v>
      </c>
      <c r="E5370" s="113" t="str">
        <f>IF(Table1722[[#This Row],[Lawan Transaksi]]="CV AGUNG KARYA",COUNTIF($I$10:I5370,"CV AGUNG KARYA")," ")</f>
        <v xml:space="preserve"> </v>
      </c>
      <c r="F5370" s="107" t="str">
        <f>IF(LEN(Table1722[[#This Row],[Uraian]])&gt;2,TRIM(RIGHT(SUBSTITUTE(TRIM(C5370)," ",REPT(" ",255)),255))," ")</f>
        <v xml:space="preserve"> </v>
      </c>
      <c r="G5370" s="110">
        <f>COPY!Z5362</f>
        <v>0</v>
      </c>
      <c r="H5370" s="111" t="str">
        <f>IFERROR(VLOOKUP(Table1722[[#This Row],[Bukti]],'Un nOTA'!$A$4:$K$5003,10,FALSE),"")</f>
        <v/>
      </c>
      <c r="I5370" s="123" t="str">
        <f>IFERROR(VLOOKUP(Table1722[[#This Row],[Bukti]],Table13[#Data],11,FALSE),"")</f>
        <v/>
      </c>
    </row>
    <row r="5371" spans="1:9" hidden="1" x14ac:dyDescent="0.2">
      <c r="A5371" s="105" t="str">
        <f>IF(D5371=1,COUNTIF($D$10:D5371,1)," ")</f>
        <v xml:space="preserve"> </v>
      </c>
      <c r="B5371" s="106">
        <f>COPY!AR5363</f>
        <v>0</v>
      </c>
      <c r="C5371" s="107">
        <f>COPY!AC5363</f>
        <v>0</v>
      </c>
      <c r="D5371" s="107" t="str">
        <f>IF(LEN(Table1722[[#This Row],[Uraian]])&gt;2,1," ")</f>
        <v xml:space="preserve"> </v>
      </c>
      <c r="E5371" s="113" t="str">
        <f>IF(Table1722[[#This Row],[Lawan Transaksi]]="CV AGUNG KARYA",COUNTIF($I$10:I5371,"CV AGUNG KARYA")," ")</f>
        <v xml:space="preserve"> </v>
      </c>
      <c r="F5371" s="107" t="str">
        <f>IF(LEN(Table1722[[#This Row],[Uraian]])&gt;2,TRIM(RIGHT(SUBSTITUTE(TRIM(C5371)," ",REPT(" ",255)),255))," ")</f>
        <v xml:space="preserve"> </v>
      </c>
      <c r="G5371" s="110">
        <f>COPY!Z5363</f>
        <v>0</v>
      </c>
      <c r="H5371" s="111" t="str">
        <f>IFERROR(VLOOKUP(Table1722[[#This Row],[Bukti]],'Un nOTA'!$A$4:$K$5003,10,FALSE),"")</f>
        <v/>
      </c>
      <c r="I5371" s="123" t="str">
        <f>IFERROR(VLOOKUP(Table1722[[#This Row],[Bukti]],Table13[#Data],11,FALSE),"")</f>
        <v/>
      </c>
    </row>
    <row r="5372" spans="1:9" hidden="1" x14ac:dyDescent="0.2">
      <c r="A5372" s="105" t="str">
        <f>IF(D5372=1,COUNTIF($D$10:D5372,1)," ")</f>
        <v xml:space="preserve"> </v>
      </c>
      <c r="B5372" s="106">
        <f>COPY!AR5364</f>
        <v>0</v>
      </c>
      <c r="C5372" s="107">
        <f>COPY!AC5364</f>
        <v>0</v>
      </c>
      <c r="D5372" s="107" t="str">
        <f>IF(LEN(Table1722[[#This Row],[Uraian]])&gt;2,1," ")</f>
        <v xml:space="preserve"> </v>
      </c>
      <c r="E5372" s="113" t="str">
        <f>IF(Table1722[[#This Row],[Lawan Transaksi]]="CV AGUNG KARYA",COUNTIF($I$10:I5372,"CV AGUNG KARYA")," ")</f>
        <v xml:space="preserve"> </v>
      </c>
      <c r="F5372" s="107" t="str">
        <f>IF(LEN(Table1722[[#This Row],[Uraian]])&gt;2,TRIM(RIGHT(SUBSTITUTE(TRIM(C5372)," ",REPT(" ",255)),255))," ")</f>
        <v xml:space="preserve"> </v>
      </c>
      <c r="G5372" s="110">
        <f>COPY!Z5364</f>
        <v>0</v>
      </c>
      <c r="H5372" s="111" t="str">
        <f>IFERROR(VLOOKUP(Table1722[[#This Row],[Bukti]],'Un nOTA'!$A$4:$K$5003,10,FALSE),"")</f>
        <v/>
      </c>
      <c r="I5372" s="123" t="str">
        <f>IFERROR(VLOOKUP(Table1722[[#This Row],[Bukti]],Table13[#Data],11,FALSE),"")</f>
        <v/>
      </c>
    </row>
    <row r="5373" spans="1:9" hidden="1" x14ac:dyDescent="0.2">
      <c r="A5373" s="105" t="str">
        <f>IF(D5373=1,COUNTIF($D$10:D5373,1)," ")</f>
        <v xml:space="preserve"> </v>
      </c>
      <c r="B5373" s="106">
        <f>COPY!AR5365</f>
        <v>0</v>
      </c>
      <c r="C5373" s="107">
        <f>COPY!AC5365</f>
        <v>0</v>
      </c>
      <c r="D5373" s="107" t="str">
        <f>IF(LEN(Table1722[[#This Row],[Uraian]])&gt;2,1," ")</f>
        <v xml:space="preserve"> </v>
      </c>
      <c r="E5373" s="113" t="str">
        <f>IF(Table1722[[#This Row],[Lawan Transaksi]]="CV AGUNG KARYA",COUNTIF($I$10:I5373,"CV AGUNG KARYA")," ")</f>
        <v xml:space="preserve"> </v>
      </c>
      <c r="F5373" s="107" t="str">
        <f>IF(LEN(Table1722[[#This Row],[Uraian]])&gt;2,TRIM(RIGHT(SUBSTITUTE(TRIM(C5373)," ",REPT(" ",255)),255))," ")</f>
        <v xml:space="preserve"> </v>
      </c>
      <c r="G5373" s="110">
        <f>COPY!Z5365</f>
        <v>0</v>
      </c>
      <c r="H5373" s="111" t="str">
        <f>IFERROR(VLOOKUP(Table1722[[#This Row],[Bukti]],'Un nOTA'!$A$4:$K$5003,10,FALSE),"")</f>
        <v/>
      </c>
      <c r="I5373" s="123" t="str">
        <f>IFERROR(VLOOKUP(Table1722[[#This Row],[Bukti]],Table13[#Data],11,FALSE),"")</f>
        <v/>
      </c>
    </row>
    <row r="5374" spans="1:9" hidden="1" x14ac:dyDescent="0.2">
      <c r="A5374" s="105" t="str">
        <f>IF(D5374=1,COUNTIF($D$10:D5374,1)," ")</f>
        <v xml:space="preserve"> </v>
      </c>
      <c r="B5374" s="106">
        <f>COPY!AR5366</f>
        <v>0</v>
      </c>
      <c r="C5374" s="107">
        <f>COPY!AC5366</f>
        <v>0</v>
      </c>
      <c r="D5374" s="107" t="str">
        <f>IF(LEN(Table1722[[#This Row],[Uraian]])&gt;2,1," ")</f>
        <v xml:space="preserve"> </v>
      </c>
      <c r="E5374" s="113" t="str">
        <f>IF(Table1722[[#This Row],[Lawan Transaksi]]="CV AGUNG KARYA",COUNTIF($I$10:I5374,"CV AGUNG KARYA")," ")</f>
        <v xml:space="preserve"> </v>
      </c>
      <c r="F5374" s="107" t="str">
        <f>IF(LEN(Table1722[[#This Row],[Uraian]])&gt;2,TRIM(RIGHT(SUBSTITUTE(TRIM(C5374)," ",REPT(" ",255)),255))," ")</f>
        <v xml:space="preserve"> </v>
      </c>
      <c r="G5374" s="110">
        <f>COPY!Z5366</f>
        <v>0</v>
      </c>
      <c r="H5374" s="111" t="str">
        <f>IFERROR(VLOOKUP(Table1722[[#This Row],[Bukti]],'Un nOTA'!$A$4:$K$5003,10,FALSE),"")</f>
        <v/>
      </c>
      <c r="I5374" s="123" t="str">
        <f>IFERROR(VLOOKUP(Table1722[[#This Row],[Bukti]],Table13[#Data],11,FALSE),"")</f>
        <v/>
      </c>
    </row>
    <row r="5375" spans="1:9" hidden="1" x14ac:dyDescent="0.2">
      <c r="A5375" s="105" t="str">
        <f>IF(D5375=1,COUNTIF($D$10:D5375,1)," ")</f>
        <v xml:space="preserve"> </v>
      </c>
      <c r="B5375" s="106">
        <f>COPY!AR5367</f>
        <v>0</v>
      </c>
      <c r="C5375" s="107">
        <f>COPY!AC5367</f>
        <v>0</v>
      </c>
      <c r="D5375" s="107" t="str">
        <f>IF(LEN(Table1722[[#This Row],[Uraian]])&gt;2,1," ")</f>
        <v xml:space="preserve"> </v>
      </c>
      <c r="E5375" s="113" t="str">
        <f>IF(Table1722[[#This Row],[Lawan Transaksi]]="CV AGUNG KARYA",COUNTIF($I$10:I5375,"CV AGUNG KARYA")," ")</f>
        <v xml:space="preserve"> </v>
      </c>
      <c r="F5375" s="107" t="str">
        <f>IF(LEN(Table1722[[#This Row],[Uraian]])&gt;2,TRIM(RIGHT(SUBSTITUTE(TRIM(C5375)," ",REPT(" ",255)),255))," ")</f>
        <v xml:space="preserve"> </v>
      </c>
      <c r="G5375" s="110">
        <f>COPY!Z5367</f>
        <v>0</v>
      </c>
      <c r="H5375" s="111" t="str">
        <f>IFERROR(VLOOKUP(Table1722[[#This Row],[Bukti]],'Un nOTA'!$A$4:$K$5003,10,FALSE),"")</f>
        <v/>
      </c>
      <c r="I5375" s="123" t="str">
        <f>IFERROR(VLOOKUP(Table1722[[#This Row],[Bukti]],Table13[#Data],11,FALSE),"")</f>
        <v/>
      </c>
    </row>
    <row r="5376" spans="1:9" hidden="1" x14ac:dyDescent="0.2">
      <c r="A5376" s="105" t="str">
        <f>IF(D5376=1,COUNTIF($D$10:D5376,1)," ")</f>
        <v xml:space="preserve"> </v>
      </c>
      <c r="B5376" s="106">
        <f>COPY!AR5368</f>
        <v>0</v>
      </c>
      <c r="C5376" s="107">
        <f>COPY!AC5368</f>
        <v>0</v>
      </c>
      <c r="D5376" s="107" t="str">
        <f>IF(LEN(Table1722[[#This Row],[Uraian]])&gt;2,1," ")</f>
        <v xml:space="preserve"> </v>
      </c>
      <c r="E5376" s="113" t="str">
        <f>IF(Table1722[[#This Row],[Lawan Transaksi]]="CV AGUNG KARYA",COUNTIF($I$10:I5376,"CV AGUNG KARYA")," ")</f>
        <v xml:space="preserve"> </v>
      </c>
      <c r="F5376" s="107" t="str">
        <f>IF(LEN(Table1722[[#This Row],[Uraian]])&gt;2,TRIM(RIGHT(SUBSTITUTE(TRIM(C5376)," ",REPT(" ",255)),255))," ")</f>
        <v xml:space="preserve"> </v>
      </c>
      <c r="G5376" s="110">
        <f>COPY!Z5368</f>
        <v>0</v>
      </c>
      <c r="H5376" s="111" t="str">
        <f>IFERROR(VLOOKUP(Table1722[[#This Row],[Bukti]],'Un nOTA'!$A$4:$K$5003,10,FALSE),"")</f>
        <v/>
      </c>
      <c r="I5376" s="123" t="str">
        <f>IFERROR(VLOOKUP(Table1722[[#This Row],[Bukti]],Table13[#Data],11,FALSE),"")</f>
        <v/>
      </c>
    </row>
    <row r="5377" spans="1:9" hidden="1" x14ac:dyDescent="0.2">
      <c r="A5377" s="105" t="str">
        <f>IF(D5377=1,COUNTIF($D$10:D5377,1)," ")</f>
        <v xml:space="preserve"> </v>
      </c>
      <c r="B5377" s="106">
        <f>COPY!AR5369</f>
        <v>0</v>
      </c>
      <c r="C5377" s="107">
        <f>COPY!AC5369</f>
        <v>0</v>
      </c>
      <c r="D5377" s="107" t="str">
        <f>IF(LEN(Table1722[[#This Row],[Uraian]])&gt;2,1," ")</f>
        <v xml:space="preserve"> </v>
      </c>
      <c r="E5377" s="113" t="str">
        <f>IF(Table1722[[#This Row],[Lawan Transaksi]]="CV AGUNG KARYA",COUNTIF($I$10:I5377,"CV AGUNG KARYA")," ")</f>
        <v xml:space="preserve"> </v>
      </c>
      <c r="F5377" s="107" t="str">
        <f>IF(LEN(Table1722[[#This Row],[Uraian]])&gt;2,TRIM(RIGHT(SUBSTITUTE(TRIM(C5377)," ",REPT(" ",255)),255))," ")</f>
        <v xml:space="preserve"> </v>
      </c>
      <c r="G5377" s="110">
        <f>COPY!Z5369</f>
        <v>0</v>
      </c>
      <c r="H5377" s="111" t="str">
        <f>IFERROR(VLOOKUP(Table1722[[#This Row],[Bukti]],'Un nOTA'!$A$4:$K$5003,10,FALSE),"")</f>
        <v/>
      </c>
      <c r="I5377" s="123" t="str">
        <f>IFERROR(VLOOKUP(Table1722[[#This Row],[Bukti]],Table13[#Data],11,FALSE),"")</f>
        <v/>
      </c>
    </row>
    <row r="5378" spans="1:9" hidden="1" x14ac:dyDescent="0.2">
      <c r="A5378" s="105" t="str">
        <f>IF(D5378=1,COUNTIF($D$10:D5378,1)," ")</f>
        <v xml:space="preserve"> </v>
      </c>
      <c r="B5378" s="106">
        <f>COPY!AR5370</f>
        <v>0</v>
      </c>
      <c r="C5378" s="107">
        <f>COPY!AC5370</f>
        <v>0</v>
      </c>
      <c r="D5378" s="107" t="str">
        <f>IF(LEN(Table1722[[#This Row],[Uraian]])&gt;2,1," ")</f>
        <v xml:space="preserve"> </v>
      </c>
      <c r="E5378" s="113" t="str">
        <f>IF(Table1722[[#This Row],[Lawan Transaksi]]="CV AGUNG KARYA",COUNTIF($I$10:I5378,"CV AGUNG KARYA")," ")</f>
        <v xml:space="preserve"> </v>
      </c>
      <c r="F5378" s="107" t="str">
        <f>IF(LEN(Table1722[[#This Row],[Uraian]])&gt;2,TRIM(RIGHT(SUBSTITUTE(TRIM(C5378)," ",REPT(" ",255)),255))," ")</f>
        <v xml:space="preserve"> </v>
      </c>
      <c r="G5378" s="110">
        <f>COPY!Z5370</f>
        <v>0</v>
      </c>
      <c r="H5378" s="111" t="str">
        <f>IFERROR(VLOOKUP(Table1722[[#This Row],[Bukti]],'Un nOTA'!$A$4:$K$5003,10,FALSE),"")</f>
        <v/>
      </c>
      <c r="I5378" s="123" t="str">
        <f>IFERROR(VLOOKUP(Table1722[[#This Row],[Bukti]],Table13[#Data],11,FALSE),"")</f>
        <v/>
      </c>
    </row>
    <row r="5379" spans="1:9" hidden="1" x14ac:dyDescent="0.2">
      <c r="A5379" s="105" t="str">
        <f>IF(D5379=1,COUNTIF($D$10:D5379,1)," ")</f>
        <v xml:space="preserve"> </v>
      </c>
      <c r="B5379" s="106">
        <f>COPY!AR5371</f>
        <v>0</v>
      </c>
      <c r="C5379" s="107">
        <f>COPY!AC5371</f>
        <v>0</v>
      </c>
      <c r="D5379" s="107" t="str">
        <f>IF(LEN(Table1722[[#This Row],[Uraian]])&gt;2,1," ")</f>
        <v xml:space="preserve"> </v>
      </c>
      <c r="E5379" s="113" t="str">
        <f>IF(Table1722[[#This Row],[Lawan Transaksi]]="CV AGUNG KARYA",COUNTIF($I$10:I5379,"CV AGUNG KARYA")," ")</f>
        <v xml:space="preserve"> </v>
      </c>
      <c r="F5379" s="107" t="str">
        <f>IF(LEN(Table1722[[#This Row],[Uraian]])&gt;2,TRIM(RIGHT(SUBSTITUTE(TRIM(C5379)," ",REPT(" ",255)),255))," ")</f>
        <v xml:space="preserve"> </v>
      </c>
      <c r="G5379" s="110">
        <f>COPY!Z5371</f>
        <v>0</v>
      </c>
      <c r="H5379" s="111" t="str">
        <f>IFERROR(VLOOKUP(Table1722[[#This Row],[Bukti]],'Un nOTA'!$A$4:$K$5003,10,FALSE),"")</f>
        <v/>
      </c>
      <c r="I5379" s="123" t="str">
        <f>IFERROR(VLOOKUP(Table1722[[#This Row],[Bukti]],Table13[#Data],11,FALSE),"")</f>
        <v/>
      </c>
    </row>
    <row r="5380" spans="1:9" hidden="1" x14ac:dyDescent="0.2">
      <c r="A5380" s="105" t="str">
        <f>IF(D5380=1,COUNTIF($D$10:D5380,1)," ")</f>
        <v xml:space="preserve"> </v>
      </c>
      <c r="B5380" s="106">
        <f>COPY!AR5372</f>
        <v>0</v>
      </c>
      <c r="C5380" s="107">
        <f>COPY!AC5372</f>
        <v>0</v>
      </c>
      <c r="D5380" s="107" t="str">
        <f>IF(LEN(Table1722[[#This Row],[Uraian]])&gt;2,1," ")</f>
        <v xml:space="preserve"> </v>
      </c>
      <c r="E5380" s="113" t="str">
        <f>IF(Table1722[[#This Row],[Lawan Transaksi]]="CV AGUNG KARYA",COUNTIF($I$10:I5380,"CV AGUNG KARYA")," ")</f>
        <v xml:space="preserve"> </v>
      </c>
      <c r="F5380" s="107" t="str">
        <f>IF(LEN(Table1722[[#This Row],[Uraian]])&gt;2,TRIM(RIGHT(SUBSTITUTE(TRIM(C5380)," ",REPT(" ",255)),255))," ")</f>
        <v xml:space="preserve"> </v>
      </c>
      <c r="G5380" s="110">
        <f>COPY!Z5372</f>
        <v>0</v>
      </c>
      <c r="H5380" s="111" t="str">
        <f>IFERROR(VLOOKUP(Table1722[[#This Row],[Bukti]],'Un nOTA'!$A$4:$K$5003,10,FALSE),"")</f>
        <v/>
      </c>
      <c r="I5380" s="123" t="str">
        <f>IFERROR(VLOOKUP(Table1722[[#This Row],[Bukti]],Table13[#Data],11,FALSE),"")</f>
        <v/>
      </c>
    </row>
    <row r="5381" spans="1:9" hidden="1" x14ac:dyDescent="0.2">
      <c r="A5381" s="105" t="str">
        <f>IF(D5381=1,COUNTIF($D$10:D5381,1)," ")</f>
        <v xml:space="preserve"> </v>
      </c>
      <c r="B5381" s="106">
        <f>COPY!AR5373</f>
        <v>0</v>
      </c>
      <c r="C5381" s="107">
        <f>COPY!AC5373</f>
        <v>0</v>
      </c>
      <c r="D5381" s="107" t="str">
        <f>IF(LEN(Table1722[[#This Row],[Uraian]])&gt;2,1," ")</f>
        <v xml:space="preserve"> </v>
      </c>
      <c r="E5381" s="113" t="str">
        <f>IF(Table1722[[#This Row],[Lawan Transaksi]]="CV AGUNG KARYA",COUNTIF($I$10:I5381,"CV AGUNG KARYA")," ")</f>
        <v xml:space="preserve"> </v>
      </c>
      <c r="F5381" s="107" t="str">
        <f>IF(LEN(Table1722[[#This Row],[Uraian]])&gt;2,TRIM(RIGHT(SUBSTITUTE(TRIM(C5381)," ",REPT(" ",255)),255))," ")</f>
        <v xml:space="preserve"> </v>
      </c>
      <c r="G5381" s="110">
        <f>COPY!Z5373</f>
        <v>0</v>
      </c>
      <c r="H5381" s="111" t="str">
        <f>IFERROR(VLOOKUP(Table1722[[#This Row],[Bukti]],'Un nOTA'!$A$4:$K$5003,10,FALSE),"")</f>
        <v/>
      </c>
      <c r="I5381" s="123" t="str">
        <f>IFERROR(VLOOKUP(Table1722[[#This Row],[Bukti]],Table13[#Data],11,FALSE),"")</f>
        <v/>
      </c>
    </row>
    <row r="5382" spans="1:9" hidden="1" x14ac:dyDescent="0.2">
      <c r="A5382" s="105" t="str">
        <f>IF(D5382=1,COUNTIF($D$10:D5382,1)," ")</f>
        <v xml:space="preserve"> </v>
      </c>
      <c r="B5382" s="106">
        <f>COPY!AR5374</f>
        <v>0</v>
      </c>
      <c r="C5382" s="107">
        <f>COPY!AC5374</f>
        <v>0</v>
      </c>
      <c r="D5382" s="107" t="str">
        <f>IF(LEN(Table1722[[#This Row],[Uraian]])&gt;2,1," ")</f>
        <v xml:space="preserve"> </v>
      </c>
      <c r="E5382" s="113" t="str">
        <f>IF(Table1722[[#This Row],[Lawan Transaksi]]="CV AGUNG KARYA",COUNTIF($I$10:I5382,"CV AGUNG KARYA")," ")</f>
        <v xml:space="preserve"> </v>
      </c>
      <c r="F5382" s="107" t="str">
        <f>IF(LEN(Table1722[[#This Row],[Uraian]])&gt;2,TRIM(RIGHT(SUBSTITUTE(TRIM(C5382)," ",REPT(" ",255)),255))," ")</f>
        <v xml:space="preserve"> </v>
      </c>
      <c r="G5382" s="110">
        <f>COPY!Z5374</f>
        <v>0</v>
      </c>
      <c r="H5382" s="111" t="str">
        <f>IFERROR(VLOOKUP(Table1722[[#This Row],[Bukti]],'Un nOTA'!$A$4:$K$5003,10,FALSE),"")</f>
        <v/>
      </c>
      <c r="I5382" s="123" t="str">
        <f>IFERROR(VLOOKUP(Table1722[[#This Row],[Bukti]],Table13[#Data],11,FALSE),"")</f>
        <v/>
      </c>
    </row>
    <row r="5383" spans="1:9" hidden="1" x14ac:dyDescent="0.2">
      <c r="A5383" s="105" t="str">
        <f>IF(D5383=1,COUNTIF($D$10:D5383,1)," ")</f>
        <v xml:space="preserve"> </v>
      </c>
      <c r="B5383" s="106">
        <f>COPY!AR5375</f>
        <v>0</v>
      </c>
      <c r="C5383" s="107">
        <f>COPY!AC5375</f>
        <v>0</v>
      </c>
      <c r="D5383" s="107" t="str">
        <f>IF(LEN(Table1722[[#This Row],[Uraian]])&gt;2,1," ")</f>
        <v xml:space="preserve"> </v>
      </c>
      <c r="E5383" s="113" t="str">
        <f>IF(Table1722[[#This Row],[Lawan Transaksi]]="CV AGUNG KARYA",COUNTIF($I$10:I5383,"CV AGUNG KARYA")," ")</f>
        <v xml:space="preserve"> </v>
      </c>
      <c r="F5383" s="107" t="str">
        <f>IF(LEN(Table1722[[#This Row],[Uraian]])&gt;2,TRIM(RIGHT(SUBSTITUTE(TRIM(C5383)," ",REPT(" ",255)),255))," ")</f>
        <v xml:space="preserve"> </v>
      </c>
      <c r="G5383" s="110">
        <f>COPY!Z5375</f>
        <v>0</v>
      </c>
      <c r="H5383" s="111" t="str">
        <f>IFERROR(VLOOKUP(Table1722[[#This Row],[Bukti]],'Un nOTA'!$A$4:$K$5003,10,FALSE),"")</f>
        <v/>
      </c>
      <c r="I5383" s="123" t="str">
        <f>IFERROR(VLOOKUP(Table1722[[#This Row],[Bukti]],Table13[#Data],11,FALSE),"")</f>
        <v/>
      </c>
    </row>
    <row r="5384" spans="1:9" hidden="1" x14ac:dyDescent="0.2">
      <c r="A5384" s="105" t="str">
        <f>IF(D5384=1,COUNTIF($D$10:D5384,1)," ")</f>
        <v xml:space="preserve"> </v>
      </c>
      <c r="B5384" s="106">
        <f>COPY!AR5376</f>
        <v>0</v>
      </c>
      <c r="C5384" s="107">
        <f>COPY!AC5376</f>
        <v>0</v>
      </c>
      <c r="D5384" s="107" t="str">
        <f>IF(LEN(Table1722[[#This Row],[Uraian]])&gt;2,1," ")</f>
        <v xml:space="preserve"> </v>
      </c>
      <c r="E5384" s="113" t="str">
        <f>IF(Table1722[[#This Row],[Lawan Transaksi]]="CV AGUNG KARYA",COUNTIF($I$10:I5384,"CV AGUNG KARYA")," ")</f>
        <v xml:space="preserve"> </v>
      </c>
      <c r="F5384" s="107" t="str">
        <f>IF(LEN(Table1722[[#This Row],[Uraian]])&gt;2,TRIM(RIGHT(SUBSTITUTE(TRIM(C5384)," ",REPT(" ",255)),255))," ")</f>
        <v xml:space="preserve"> </v>
      </c>
      <c r="G5384" s="110">
        <f>COPY!Z5376</f>
        <v>0</v>
      </c>
      <c r="H5384" s="111" t="str">
        <f>IFERROR(VLOOKUP(Table1722[[#This Row],[Bukti]],'Un nOTA'!$A$4:$K$5003,10,FALSE),"")</f>
        <v/>
      </c>
      <c r="I5384" s="123" t="str">
        <f>IFERROR(VLOOKUP(Table1722[[#This Row],[Bukti]],Table13[#Data],11,FALSE),"")</f>
        <v/>
      </c>
    </row>
    <row r="5385" spans="1:9" hidden="1" x14ac:dyDescent="0.2">
      <c r="A5385" s="105" t="str">
        <f>IF(D5385=1,COUNTIF($D$10:D5385,1)," ")</f>
        <v xml:space="preserve"> </v>
      </c>
      <c r="B5385" s="106">
        <f>COPY!AR5377</f>
        <v>0</v>
      </c>
      <c r="C5385" s="107">
        <f>COPY!AC5377</f>
        <v>0</v>
      </c>
      <c r="D5385" s="107" t="str">
        <f>IF(LEN(Table1722[[#This Row],[Uraian]])&gt;2,1," ")</f>
        <v xml:space="preserve"> </v>
      </c>
      <c r="E5385" s="113" t="str">
        <f>IF(Table1722[[#This Row],[Lawan Transaksi]]="CV AGUNG KARYA",COUNTIF($I$10:I5385,"CV AGUNG KARYA")," ")</f>
        <v xml:space="preserve"> </v>
      </c>
      <c r="F5385" s="107" t="str">
        <f>IF(LEN(Table1722[[#This Row],[Uraian]])&gt;2,TRIM(RIGHT(SUBSTITUTE(TRIM(C5385)," ",REPT(" ",255)),255))," ")</f>
        <v xml:space="preserve"> </v>
      </c>
      <c r="G5385" s="110">
        <f>COPY!Z5377</f>
        <v>0</v>
      </c>
      <c r="H5385" s="111" t="str">
        <f>IFERROR(VLOOKUP(Table1722[[#This Row],[Bukti]],'Un nOTA'!$A$4:$K$5003,10,FALSE),"")</f>
        <v/>
      </c>
      <c r="I5385" s="123" t="str">
        <f>IFERROR(VLOOKUP(Table1722[[#This Row],[Bukti]],Table13[#Data],11,FALSE),"")</f>
        <v/>
      </c>
    </row>
    <row r="5386" spans="1:9" hidden="1" x14ac:dyDescent="0.2">
      <c r="A5386" s="105" t="str">
        <f>IF(D5386=1,COUNTIF($D$10:D5386,1)," ")</f>
        <v xml:space="preserve"> </v>
      </c>
      <c r="B5386" s="106">
        <f>COPY!AR5378</f>
        <v>0</v>
      </c>
      <c r="C5386" s="107">
        <f>COPY!AC5378</f>
        <v>0</v>
      </c>
      <c r="D5386" s="107" t="str">
        <f>IF(LEN(Table1722[[#This Row],[Uraian]])&gt;2,1," ")</f>
        <v xml:space="preserve"> </v>
      </c>
      <c r="E5386" s="113" t="str">
        <f>IF(Table1722[[#This Row],[Lawan Transaksi]]="CV AGUNG KARYA",COUNTIF($I$10:I5386,"CV AGUNG KARYA")," ")</f>
        <v xml:space="preserve"> </v>
      </c>
      <c r="F5386" s="107" t="str">
        <f>IF(LEN(Table1722[[#This Row],[Uraian]])&gt;2,TRIM(RIGHT(SUBSTITUTE(TRIM(C5386)," ",REPT(" ",255)),255))," ")</f>
        <v xml:space="preserve"> </v>
      </c>
      <c r="G5386" s="110">
        <f>COPY!Z5378</f>
        <v>0</v>
      </c>
      <c r="H5386" s="111" t="str">
        <f>IFERROR(VLOOKUP(Table1722[[#This Row],[Bukti]],'Un nOTA'!$A$4:$K$5003,10,FALSE),"")</f>
        <v/>
      </c>
      <c r="I5386" s="123" t="str">
        <f>IFERROR(VLOOKUP(Table1722[[#This Row],[Bukti]],Table13[#Data],11,FALSE),"")</f>
        <v/>
      </c>
    </row>
    <row r="5387" spans="1:9" hidden="1" x14ac:dyDescent="0.2">
      <c r="A5387" s="105" t="str">
        <f>IF(D5387=1,COUNTIF($D$10:D5387,1)," ")</f>
        <v xml:space="preserve"> </v>
      </c>
      <c r="B5387" s="106">
        <f>COPY!AR5379</f>
        <v>0</v>
      </c>
      <c r="C5387" s="107">
        <f>COPY!AC5379</f>
        <v>0</v>
      </c>
      <c r="D5387" s="107" t="str">
        <f>IF(LEN(Table1722[[#This Row],[Uraian]])&gt;2,1," ")</f>
        <v xml:space="preserve"> </v>
      </c>
      <c r="E5387" s="113" t="str">
        <f>IF(Table1722[[#This Row],[Lawan Transaksi]]="CV AGUNG KARYA",COUNTIF($I$10:I5387,"CV AGUNG KARYA")," ")</f>
        <v xml:space="preserve"> </v>
      </c>
      <c r="F5387" s="107" t="str">
        <f>IF(LEN(Table1722[[#This Row],[Uraian]])&gt;2,TRIM(RIGHT(SUBSTITUTE(TRIM(C5387)," ",REPT(" ",255)),255))," ")</f>
        <v xml:space="preserve"> </v>
      </c>
      <c r="G5387" s="110">
        <f>COPY!Z5379</f>
        <v>0</v>
      </c>
      <c r="H5387" s="111" t="str">
        <f>IFERROR(VLOOKUP(Table1722[[#This Row],[Bukti]],'Un nOTA'!$A$4:$K$5003,10,FALSE),"")</f>
        <v/>
      </c>
      <c r="I5387" s="123" t="str">
        <f>IFERROR(VLOOKUP(Table1722[[#This Row],[Bukti]],Table13[#Data],11,FALSE),"")</f>
        <v/>
      </c>
    </row>
    <row r="5388" spans="1:9" hidden="1" x14ac:dyDescent="0.2">
      <c r="A5388" s="105" t="str">
        <f>IF(D5388=1,COUNTIF($D$10:D5388,1)," ")</f>
        <v xml:space="preserve"> </v>
      </c>
      <c r="B5388" s="106">
        <f>COPY!AR5380</f>
        <v>0</v>
      </c>
      <c r="C5388" s="107">
        <f>COPY!AC5380</f>
        <v>0</v>
      </c>
      <c r="D5388" s="107" t="str">
        <f>IF(LEN(Table1722[[#This Row],[Uraian]])&gt;2,1," ")</f>
        <v xml:space="preserve"> </v>
      </c>
      <c r="E5388" s="113" t="str">
        <f>IF(Table1722[[#This Row],[Lawan Transaksi]]="CV AGUNG KARYA",COUNTIF($I$10:I5388,"CV AGUNG KARYA")," ")</f>
        <v xml:space="preserve"> </v>
      </c>
      <c r="F5388" s="107" t="str">
        <f>IF(LEN(Table1722[[#This Row],[Uraian]])&gt;2,TRIM(RIGHT(SUBSTITUTE(TRIM(C5388)," ",REPT(" ",255)),255))," ")</f>
        <v xml:space="preserve"> </v>
      </c>
      <c r="G5388" s="110">
        <f>COPY!Z5380</f>
        <v>0</v>
      </c>
      <c r="H5388" s="111" t="str">
        <f>IFERROR(VLOOKUP(Table1722[[#This Row],[Bukti]],'Un nOTA'!$A$4:$K$5003,10,FALSE),"")</f>
        <v/>
      </c>
      <c r="I5388" s="123" t="str">
        <f>IFERROR(VLOOKUP(Table1722[[#This Row],[Bukti]],Table13[#Data],11,FALSE),"")</f>
        <v/>
      </c>
    </row>
    <row r="5389" spans="1:9" hidden="1" x14ac:dyDescent="0.2">
      <c r="A5389" s="105" t="str">
        <f>IF(D5389=1,COUNTIF($D$10:D5389,1)," ")</f>
        <v xml:space="preserve"> </v>
      </c>
      <c r="B5389" s="106">
        <f>COPY!AR5381</f>
        <v>0</v>
      </c>
      <c r="C5389" s="107">
        <f>COPY!AC5381</f>
        <v>0</v>
      </c>
      <c r="D5389" s="107" t="str">
        <f>IF(LEN(Table1722[[#This Row],[Uraian]])&gt;2,1," ")</f>
        <v xml:space="preserve"> </v>
      </c>
      <c r="E5389" s="113" t="str">
        <f>IF(Table1722[[#This Row],[Lawan Transaksi]]="CV AGUNG KARYA",COUNTIF($I$10:I5389,"CV AGUNG KARYA")," ")</f>
        <v xml:space="preserve"> </v>
      </c>
      <c r="F5389" s="107" t="str">
        <f>IF(LEN(Table1722[[#This Row],[Uraian]])&gt;2,TRIM(RIGHT(SUBSTITUTE(TRIM(C5389)," ",REPT(" ",255)),255))," ")</f>
        <v xml:space="preserve"> </v>
      </c>
      <c r="G5389" s="110">
        <f>COPY!Z5381</f>
        <v>0</v>
      </c>
      <c r="H5389" s="111" t="str">
        <f>IFERROR(VLOOKUP(Table1722[[#This Row],[Bukti]],'Un nOTA'!$A$4:$K$5003,10,FALSE),"")</f>
        <v/>
      </c>
      <c r="I5389" s="123" t="str">
        <f>IFERROR(VLOOKUP(Table1722[[#This Row],[Bukti]],Table13[#Data],11,FALSE),"")</f>
        <v/>
      </c>
    </row>
    <row r="5390" spans="1:9" hidden="1" x14ac:dyDescent="0.2">
      <c r="A5390" s="105" t="str">
        <f>IF(D5390=1,COUNTIF($D$10:D5390,1)," ")</f>
        <v xml:space="preserve"> </v>
      </c>
      <c r="B5390" s="106">
        <f>COPY!AR5382</f>
        <v>0</v>
      </c>
      <c r="C5390" s="107">
        <f>COPY!AC5382</f>
        <v>0</v>
      </c>
      <c r="D5390" s="107" t="str">
        <f>IF(LEN(Table1722[[#This Row],[Uraian]])&gt;2,1," ")</f>
        <v xml:space="preserve"> </v>
      </c>
      <c r="E5390" s="113" t="str">
        <f>IF(Table1722[[#This Row],[Lawan Transaksi]]="CV AGUNG KARYA",COUNTIF($I$10:I5390,"CV AGUNG KARYA")," ")</f>
        <v xml:space="preserve"> </v>
      </c>
      <c r="F5390" s="107" t="str">
        <f>IF(LEN(Table1722[[#This Row],[Uraian]])&gt;2,TRIM(RIGHT(SUBSTITUTE(TRIM(C5390)," ",REPT(" ",255)),255))," ")</f>
        <v xml:space="preserve"> </v>
      </c>
      <c r="G5390" s="110">
        <f>COPY!Z5382</f>
        <v>0</v>
      </c>
      <c r="H5390" s="111" t="str">
        <f>IFERROR(VLOOKUP(Table1722[[#This Row],[Bukti]],'Un nOTA'!$A$4:$K$5003,10,FALSE),"")</f>
        <v/>
      </c>
      <c r="I5390" s="123" t="str">
        <f>IFERROR(VLOOKUP(Table1722[[#This Row],[Bukti]],Table13[#Data],11,FALSE),"")</f>
        <v/>
      </c>
    </row>
    <row r="5391" spans="1:9" hidden="1" x14ac:dyDescent="0.2">
      <c r="A5391" s="105" t="str">
        <f>IF(D5391=1,COUNTIF($D$10:D5391,1)," ")</f>
        <v xml:space="preserve"> </v>
      </c>
      <c r="B5391" s="106">
        <f>COPY!AR5383</f>
        <v>0</v>
      </c>
      <c r="C5391" s="107">
        <f>COPY!AC5383</f>
        <v>0</v>
      </c>
      <c r="D5391" s="107" t="str">
        <f>IF(LEN(Table1722[[#This Row],[Uraian]])&gt;2,1," ")</f>
        <v xml:space="preserve"> </v>
      </c>
      <c r="E5391" s="113" t="str">
        <f>IF(Table1722[[#This Row],[Lawan Transaksi]]="CV AGUNG KARYA",COUNTIF($I$10:I5391,"CV AGUNG KARYA")," ")</f>
        <v xml:space="preserve"> </v>
      </c>
      <c r="F5391" s="107" t="str">
        <f>IF(LEN(Table1722[[#This Row],[Uraian]])&gt;2,TRIM(RIGHT(SUBSTITUTE(TRIM(C5391)," ",REPT(" ",255)),255))," ")</f>
        <v xml:space="preserve"> </v>
      </c>
      <c r="G5391" s="110">
        <f>COPY!Z5383</f>
        <v>0</v>
      </c>
      <c r="H5391" s="111" t="str">
        <f>IFERROR(VLOOKUP(Table1722[[#This Row],[Bukti]],'Un nOTA'!$A$4:$K$5003,10,FALSE),"")</f>
        <v/>
      </c>
      <c r="I5391" s="123" t="str">
        <f>IFERROR(VLOOKUP(Table1722[[#This Row],[Bukti]],Table13[#Data],11,FALSE),"")</f>
        <v/>
      </c>
    </row>
    <row r="5392" spans="1:9" hidden="1" x14ac:dyDescent="0.2">
      <c r="A5392" s="105" t="str">
        <f>IF(D5392=1,COUNTIF($D$10:D5392,1)," ")</f>
        <v xml:space="preserve"> </v>
      </c>
      <c r="B5392" s="106">
        <f>COPY!AR5384</f>
        <v>0</v>
      </c>
      <c r="C5392" s="107">
        <f>COPY!AC5384</f>
        <v>0</v>
      </c>
      <c r="D5392" s="107" t="str">
        <f>IF(LEN(Table1722[[#This Row],[Uraian]])&gt;2,1," ")</f>
        <v xml:space="preserve"> </v>
      </c>
      <c r="E5392" s="113" t="str">
        <f>IF(Table1722[[#This Row],[Lawan Transaksi]]="CV AGUNG KARYA",COUNTIF($I$10:I5392,"CV AGUNG KARYA")," ")</f>
        <v xml:space="preserve"> </v>
      </c>
      <c r="F5392" s="107" t="str">
        <f>IF(LEN(Table1722[[#This Row],[Uraian]])&gt;2,TRIM(RIGHT(SUBSTITUTE(TRIM(C5392)," ",REPT(" ",255)),255))," ")</f>
        <v xml:space="preserve"> </v>
      </c>
      <c r="G5392" s="110">
        <f>COPY!Z5384</f>
        <v>0</v>
      </c>
      <c r="H5392" s="111" t="str">
        <f>IFERROR(VLOOKUP(Table1722[[#This Row],[Bukti]],'Un nOTA'!$A$4:$K$5003,10,FALSE),"")</f>
        <v/>
      </c>
      <c r="I5392" s="123" t="str">
        <f>IFERROR(VLOOKUP(Table1722[[#This Row],[Bukti]],Table13[#Data],11,FALSE),"")</f>
        <v/>
      </c>
    </row>
    <row r="5393" spans="1:9" hidden="1" x14ac:dyDescent="0.2">
      <c r="A5393" s="105" t="str">
        <f>IF(D5393=1,COUNTIF($D$10:D5393,1)," ")</f>
        <v xml:space="preserve"> </v>
      </c>
      <c r="B5393" s="106">
        <f>COPY!AR5385</f>
        <v>0</v>
      </c>
      <c r="C5393" s="107">
        <f>COPY!AC5385</f>
        <v>0</v>
      </c>
      <c r="D5393" s="107" t="str">
        <f>IF(LEN(Table1722[[#This Row],[Uraian]])&gt;2,1," ")</f>
        <v xml:space="preserve"> </v>
      </c>
      <c r="E5393" s="113" t="str">
        <f>IF(Table1722[[#This Row],[Lawan Transaksi]]="CV AGUNG KARYA",COUNTIF($I$10:I5393,"CV AGUNG KARYA")," ")</f>
        <v xml:space="preserve"> </v>
      </c>
      <c r="F5393" s="107" t="str">
        <f>IF(LEN(Table1722[[#This Row],[Uraian]])&gt;2,TRIM(RIGHT(SUBSTITUTE(TRIM(C5393)," ",REPT(" ",255)),255))," ")</f>
        <v xml:space="preserve"> </v>
      </c>
      <c r="G5393" s="110">
        <f>COPY!Z5385</f>
        <v>0</v>
      </c>
      <c r="H5393" s="111" t="str">
        <f>IFERROR(VLOOKUP(Table1722[[#This Row],[Bukti]],'Un nOTA'!$A$4:$K$5003,10,FALSE),"")</f>
        <v/>
      </c>
      <c r="I5393" s="123" t="str">
        <f>IFERROR(VLOOKUP(Table1722[[#This Row],[Bukti]],Table13[#Data],11,FALSE),"")</f>
        <v/>
      </c>
    </row>
    <row r="5394" spans="1:9" hidden="1" x14ac:dyDescent="0.2">
      <c r="A5394" s="105" t="str">
        <f>IF(D5394=1,COUNTIF($D$10:D5394,1)," ")</f>
        <v xml:space="preserve"> </v>
      </c>
      <c r="B5394" s="106">
        <f>COPY!AR5386</f>
        <v>0</v>
      </c>
      <c r="C5394" s="107">
        <f>COPY!AC5386</f>
        <v>0</v>
      </c>
      <c r="D5394" s="107" t="str">
        <f>IF(LEN(Table1722[[#This Row],[Uraian]])&gt;2,1," ")</f>
        <v xml:space="preserve"> </v>
      </c>
      <c r="E5394" s="113" t="str">
        <f>IF(Table1722[[#This Row],[Lawan Transaksi]]="CV AGUNG KARYA",COUNTIF($I$10:I5394,"CV AGUNG KARYA")," ")</f>
        <v xml:space="preserve"> </v>
      </c>
      <c r="F5394" s="107" t="str">
        <f>IF(LEN(Table1722[[#This Row],[Uraian]])&gt;2,TRIM(RIGHT(SUBSTITUTE(TRIM(C5394)," ",REPT(" ",255)),255))," ")</f>
        <v xml:space="preserve"> </v>
      </c>
      <c r="G5394" s="110">
        <f>COPY!Z5386</f>
        <v>0</v>
      </c>
      <c r="H5394" s="111" t="str">
        <f>IFERROR(VLOOKUP(Table1722[[#This Row],[Bukti]],'Un nOTA'!$A$4:$K$5003,10,FALSE),"")</f>
        <v/>
      </c>
      <c r="I5394" s="123" t="str">
        <f>IFERROR(VLOOKUP(Table1722[[#This Row],[Bukti]],Table13[#Data],11,FALSE),"")</f>
        <v/>
      </c>
    </row>
    <row r="5395" spans="1:9" hidden="1" x14ac:dyDescent="0.2">
      <c r="A5395" s="105" t="str">
        <f>IF(D5395=1,COUNTIF($D$10:D5395,1)," ")</f>
        <v xml:space="preserve"> </v>
      </c>
      <c r="B5395" s="106">
        <f>COPY!AR5387</f>
        <v>0</v>
      </c>
      <c r="C5395" s="107">
        <f>COPY!AC5387</f>
        <v>0</v>
      </c>
      <c r="D5395" s="107" t="str">
        <f>IF(LEN(Table1722[[#This Row],[Uraian]])&gt;2,1," ")</f>
        <v xml:space="preserve"> </v>
      </c>
      <c r="E5395" s="113" t="str">
        <f>IF(Table1722[[#This Row],[Lawan Transaksi]]="CV AGUNG KARYA",COUNTIF($I$10:I5395,"CV AGUNG KARYA")," ")</f>
        <v xml:space="preserve"> </v>
      </c>
      <c r="F5395" s="107" t="str">
        <f>IF(LEN(Table1722[[#This Row],[Uraian]])&gt;2,TRIM(RIGHT(SUBSTITUTE(TRIM(C5395)," ",REPT(" ",255)),255))," ")</f>
        <v xml:space="preserve"> </v>
      </c>
      <c r="G5395" s="110">
        <f>COPY!Z5387</f>
        <v>0</v>
      </c>
      <c r="H5395" s="111" t="str">
        <f>IFERROR(VLOOKUP(Table1722[[#This Row],[Bukti]],'Un nOTA'!$A$4:$K$5003,10,FALSE),"")</f>
        <v/>
      </c>
      <c r="I5395" s="123" t="str">
        <f>IFERROR(VLOOKUP(Table1722[[#This Row],[Bukti]],Table13[#Data],11,FALSE),"")</f>
        <v/>
      </c>
    </row>
    <row r="5396" spans="1:9" hidden="1" x14ac:dyDescent="0.2">
      <c r="A5396" s="105" t="str">
        <f>IF(D5396=1,COUNTIF($D$10:D5396,1)," ")</f>
        <v xml:space="preserve"> </v>
      </c>
      <c r="B5396" s="106">
        <f>COPY!AR5388</f>
        <v>0</v>
      </c>
      <c r="C5396" s="107">
        <f>COPY!AC5388</f>
        <v>0</v>
      </c>
      <c r="D5396" s="107" t="str">
        <f>IF(LEN(Table1722[[#This Row],[Uraian]])&gt;2,1," ")</f>
        <v xml:space="preserve"> </v>
      </c>
      <c r="E5396" s="113" t="str">
        <f>IF(Table1722[[#This Row],[Lawan Transaksi]]="CV AGUNG KARYA",COUNTIF($I$10:I5396,"CV AGUNG KARYA")," ")</f>
        <v xml:space="preserve"> </v>
      </c>
      <c r="F5396" s="107" t="str">
        <f>IF(LEN(Table1722[[#This Row],[Uraian]])&gt;2,TRIM(RIGHT(SUBSTITUTE(TRIM(C5396)," ",REPT(" ",255)),255))," ")</f>
        <v xml:space="preserve"> </v>
      </c>
      <c r="G5396" s="110">
        <f>COPY!Z5388</f>
        <v>0</v>
      </c>
      <c r="H5396" s="111" t="str">
        <f>IFERROR(VLOOKUP(Table1722[[#This Row],[Bukti]],'Un nOTA'!$A$4:$K$5003,10,FALSE),"")</f>
        <v/>
      </c>
      <c r="I5396" s="123" t="str">
        <f>IFERROR(VLOOKUP(Table1722[[#This Row],[Bukti]],Table13[#Data],11,FALSE),"")</f>
        <v/>
      </c>
    </row>
    <row r="5397" spans="1:9" hidden="1" x14ac:dyDescent="0.2">
      <c r="A5397" s="105" t="str">
        <f>IF(D5397=1,COUNTIF($D$10:D5397,1)," ")</f>
        <v xml:space="preserve"> </v>
      </c>
      <c r="B5397" s="106">
        <f>COPY!AR5389</f>
        <v>0</v>
      </c>
      <c r="C5397" s="107">
        <f>COPY!AC5389</f>
        <v>0</v>
      </c>
      <c r="D5397" s="107" t="str">
        <f>IF(LEN(Table1722[[#This Row],[Uraian]])&gt;2,1," ")</f>
        <v xml:space="preserve"> </v>
      </c>
      <c r="E5397" s="113" t="str">
        <f>IF(Table1722[[#This Row],[Lawan Transaksi]]="CV AGUNG KARYA",COUNTIF($I$10:I5397,"CV AGUNG KARYA")," ")</f>
        <v xml:space="preserve"> </v>
      </c>
      <c r="F5397" s="107" t="str">
        <f>IF(LEN(Table1722[[#This Row],[Uraian]])&gt;2,TRIM(RIGHT(SUBSTITUTE(TRIM(C5397)," ",REPT(" ",255)),255))," ")</f>
        <v xml:space="preserve"> </v>
      </c>
      <c r="G5397" s="110">
        <f>COPY!Z5389</f>
        <v>0</v>
      </c>
      <c r="H5397" s="111" t="str">
        <f>IFERROR(VLOOKUP(Table1722[[#This Row],[Bukti]],'Un nOTA'!$A$4:$K$5003,10,FALSE),"")</f>
        <v/>
      </c>
      <c r="I5397" s="123" t="str">
        <f>IFERROR(VLOOKUP(Table1722[[#This Row],[Bukti]],Table13[#Data],11,FALSE),"")</f>
        <v/>
      </c>
    </row>
    <row r="5398" spans="1:9" hidden="1" x14ac:dyDescent="0.2">
      <c r="A5398" s="105" t="str">
        <f>IF(D5398=1,COUNTIF($D$10:D5398,1)," ")</f>
        <v xml:space="preserve"> </v>
      </c>
      <c r="B5398" s="106">
        <f>COPY!AR5390</f>
        <v>0</v>
      </c>
      <c r="C5398" s="107">
        <f>COPY!AC5390</f>
        <v>0</v>
      </c>
      <c r="D5398" s="107" t="str">
        <f>IF(LEN(Table1722[[#This Row],[Uraian]])&gt;2,1," ")</f>
        <v xml:space="preserve"> </v>
      </c>
      <c r="E5398" s="113" t="str">
        <f>IF(Table1722[[#This Row],[Lawan Transaksi]]="CV AGUNG KARYA",COUNTIF($I$10:I5398,"CV AGUNG KARYA")," ")</f>
        <v xml:space="preserve"> </v>
      </c>
      <c r="F5398" s="107" t="str">
        <f>IF(LEN(Table1722[[#This Row],[Uraian]])&gt;2,TRIM(RIGHT(SUBSTITUTE(TRIM(C5398)," ",REPT(" ",255)),255))," ")</f>
        <v xml:space="preserve"> </v>
      </c>
      <c r="G5398" s="110">
        <f>COPY!Z5390</f>
        <v>0</v>
      </c>
      <c r="H5398" s="111" t="str">
        <f>IFERROR(VLOOKUP(Table1722[[#This Row],[Bukti]],'Un nOTA'!$A$4:$K$5003,10,FALSE),"")</f>
        <v/>
      </c>
      <c r="I5398" s="123" t="str">
        <f>IFERROR(VLOOKUP(Table1722[[#This Row],[Bukti]],Table13[#Data],11,FALSE),"")</f>
        <v/>
      </c>
    </row>
    <row r="5399" spans="1:9" hidden="1" x14ac:dyDescent="0.2">
      <c r="A5399" s="105" t="str">
        <f>IF(D5399=1,COUNTIF($D$10:D5399,1)," ")</f>
        <v xml:space="preserve"> </v>
      </c>
      <c r="B5399" s="106">
        <f>COPY!AR5391</f>
        <v>0</v>
      </c>
      <c r="C5399" s="107">
        <f>COPY!AC5391</f>
        <v>0</v>
      </c>
      <c r="D5399" s="107" t="str">
        <f>IF(LEN(Table1722[[#This Row],[Uraian]])&gt;2,1," ")</f>
        <v xml:space="preserve"> </v>
      </c>
      <c r="E5399" s="113" t="str">
        <f>IF(Table1722[[#This Row],[Lawan Transaksi]]="CV AGUNG KARYA",COUNTIF($I$10:I5399,"CV AGUNG KARYA")," ")</f>
        <v xml:space="preserve"> </v>
      </c>
      <c r="F5399" s="107" t="str">
        <f>IF(LEN(Table1722[[#This Row],[Uraian]])&gt;2,TRIM(RIGHT(SUBSTITUTE(TRIM(C5399)," ",REPT(" ",255)),255))," ")</f>
        <v xml:space="preserve"> </v>
      </c>
      <c r="G5399" s="110">
        <f>COPY!Z5391</f>
        <v>0</v>
      </c>
      <c r="H5399" s="111" t="str">
        <f>IFERROR(VLOOKUP(Table1722[[#This Row],[Bukti]],'Un nOTA'!$A$4:$K$5003,10,FALSE),"")</f>
        <v/>
      </c>
      <c r="I5399" s="123" t="str">
        <f>IFERROR(VLOOKUP(Table1722[[#This Row],[Bukti]],Table13[#Data],11,FALSE),"")</f>
        <v/>
      </c>
    </row>
    <row r="5400" spans="1:9" hidden="1" x14ac:dyDescent="0.2">
      <c r="A5400" s="105" t="str">
        <f>IF(D5400=1,COUNTIF($D$10:D5400,1)," ")</f>
        <v xml:space="preserve"> </v>
      </c>
      <c r="B5400" s="106">
        <f>COPY!AR5392</f>
        <v>0</v>
      </c>
      <c r="C5400" s="107">
        <f>COPY!AC5392</f>
        <v>0</v>
      </c>
      <c r="D5400" s="107" t="str">
        <f>IF(LEN(Table1722[[#This Row],[Uraian]])&gt;2,1," ")</f>
        <v xml:space="preserve"> </v>
      </c>
      <c r="E5400" s="113" t="str">
        <f>IF(Table1722[[#This Row],[Lawan Transaksi]]="CV AGUNG KARYA",COUNTIF($I$10:I5400,"CV AGUNG KARYA")," ")</f>
        <v xml:space="preserve"> </v>
      </c>
      <c r="F5400" s="107" t="str">
        <f>IF(LEN(Table1722[[#This Row],[Uraian]])&gt;2,TRIM(RIGHT(SUBSTITUTE(TRIM(C5400)," ",REPT(" ",255)),255))," ")</f>
        <v xml:space="preserve"> </v>
      </c>
      <c r="G5400" s="110">
        <f>COPY!Z5392</f>
        <v>0</v>
      </c>
      <c r="H5400" s="111" t="str">
        <f>IFERROR(VLOOKUP(Table1722[[#This Row],[Bukti]],'Un nOTA'!$A$4:$K$5003,10,FALSE),"")</f>
        <v/>
      </c>
      <c r="I5400" s="123" t="str">
        <f>IFERROR(VLOOKUP(Table1722[[#This Row],[Bukti]],Table13[#Data],11,FALSE),"")</f>
        <v/>
      </c>
    </row>
    <row r="5401" spans="1:9" hidden="1" x14ac:dyDescent="0.2">
      <c r="A5401" s="105" t="str">
        <f>IF(D5401=1,COUNTIF($D$10:D5401,1)," ")</f>
        <v xml:space="preserve"> </v>
      </c>
      <c r="B5401" s="106">
        <f>COPY!AR5393</f>
        <v>0</v>
      </c>
      <c r="C5401" s="107">
        <f>COPY!AC5393</f>
        <v>0</v>
      </c>
      <c r="D5401" s="107" t="str">
        <f>IF(LEN(Table1722[[#This Row],[Uraian]])&gt;2,1," ")</f>
        <v xml:space="preserve"> </v>
      </c>
      <c r="E5401" s="113" t="str">
        <f>IF(Table1722[[#This Row],[Lawan Transaksi]]="CV AGUNG KARYA",COUNTIF($I$10:I5401,"CV AGUNG KARYA")," ")</f>
        <v xml:space="preserve"> </v>
      </c>
      <c r="F5401" s="107" t="str">
        <f>IF(LEN(Table1722[[#This Row],[Uraian]])&gt;2,TRIM(RIGHT(SUBSTITUTE(TRIM(C5401)," ",REPT(" ",255)),255))," ")</f>
        <v xml:space="preserve"> </v>
      </c>
      <c r="G5401" s="110">
        <f>COPY!Z5393</f>
        <v>0</v>
      </c>
      <c r="H5401" s="111" t="str">
        <f>IFERROR(VLOOKUP(Table1722[[#This Row],[Bukti]],'Un nOTA'!$A$4:$K$5003,10,FALSE),"")</f>
        <v/>
      </c>
      <c r="I5401" s="123" t="str">
        <f>IFERROR(VLOOKUP(Table1722[[#This Row],[Bukti]],Table13[#Data],11,FALSE),"")</f>
        <v/>
      </c>
    </row>
    <row r="5402" spans="1:9" hidden="1" x14ac:dyDescent="0.2">
      <c r="A5402" s="105" t="str">
        <f>IF(D5402=1,COUNTIF($D$10:D5402,1)," ")</f>
        <v xml:space="preserve"> </v>
      </c>
      <c r="B5402" s="106">
        <f>COPY!AR5394</f>
        <v>0</v>
      </c>
      <c r="C5402" s="107">
        <f>COPY!AC5394</f>
        <v>0</v>
      </c>
      <c r="D5402" s="107" t="str">
        <f>IF(LEN(Table1722[[#This Row],[Uraian]])&gt;2,1," ")</f>
        <v xml:space="preserve"> </v>
      </c>
      <c r="E5402" s="113" t="str">
        <f>IF(Table1722[[#This Row],[Lawan Transaksi]]="CV AGUNG KARYA",COUNTIF($I$10:I5402,"CV AGUNG KARYA")," ")</f>
        <v xml:space="preserve"> </v>
      </c>
      <c r="F5402" s="107" t="str">
        <f>IF(LEN(Table1722[[#This Row],[Uraian]])&gt;2,TRIM(RIGHT(SUBSTITUTE(TRIM(C5402)," ",REPT(" ",255)),255))," ")</f>
        <v xml:space="preserve"> </v>
      </c>
      <c r="G5402" s="110">
        <f>COPY!Z5394</f>
        <v>0</v>
      </c>
      <c r="H5402" s="111" t="str">
        <f>IFERROR(VLOOKUP(Table1722[[#This Row],[Bukti]],'Un nOTA'!$A$4:$K$5003,10,FALSE),"")</f>
        <v/>
      </c>
      <c r="I5402" s="123" t="str">
        <f>IFERROR(VLOOKUP(Table1722[[#This Row],[Bukti]],Table13[#Data],11,FALSE),"")</f>
        <v/>
      </c>
    </row>
    <row r="5403" spans="1:9" hidden="1" x14ac:dyDescent="0.2">
      <c r="A5403" s="105" t="str">
        <f>IF(D5403=1,COUNTIF($D$10:D5403,1)," ")</f>
        <v xml:space="preserve"> </v>
      </c>
      <c r="B5403" s="106">
        <f>COPY!AR5395</f>
        <v>0</v>
      </c>
      <c r="C5403" s="107">
        <f>COPY!AC5395</f>
        <v>0</v>
      </c>
      <c r="D5403" s="107" t="str">
        <f>IF(LEN(Table1722[[#This Row],[Uraian]])&gt;2,1," ")</f>
        <v xml:space="preserve"> </v>
      </c>
      <c r="E5403" s="113" t="str">
        <f>IF(Table1722[[#This Row],[Lawan Transaksi]]="CV AGUNG KARYA",COUNTIF($I$10:I5403,"CV AGUNG KARYA")," ")</f>
        <v xml:space="preserve"> </v>
      </c>
      <c r="F5403" s="107" t="str">
        <f>IF(LEN(Table1722[[#This Row],[Uraian]])&gt;2,TRIM(RIGHT(SUBSTITUTE(TRIM(C5403)," ",REPT(" ",255)),255))," ")</f>
        <v xml:space="preserve"> </v>
      </c>
      <c r="G5403" s="110">
        <f>COPY!Z5395</f>
        <v>0</v>
      </c>
      <c r="H5403" s="111" t="str">
        <f>IFERROR(VLOOKUP(Table1722[[#This Row],[Bukti]],'Un nOTA'!$A$4:$K$5003,10,FALSE),"")</f>
        <v/>
      </c>
      <c r="I5403" s="123" t="str">
        <f>IFERROR(VLOOKUP(Table1722[[#This Row],[Bukti]],Table13[#Data],11,FALSE),"")</f>
        <v/>
      </c>
    </row>
    <row r="5404" spans="1:9" hidden="1" x14ac:dyDescent="0.2">
      <c r="A5404" s="105" t="str">
        <f>IF(D5404=1,COUNTIF($D$10:D5404,1)," ")</f>
        <v xml:space="preserve"> </v>
      </c>
      <c r="B5404" s="106">
        <f>COPY!AR5396</f>
        <v>0</v>
      </c>
      <c r="C5404" s="107">
        <f>COPY!AC5396</f>
        <v>0</v>
      </c>
      <c r="D5404" s="107" t="str">
        <f>IF(LEN(Table1722[[#This Row],[Uraian]])&gt;2,1," ")</f>
        <v xml:space="preserve"> </v>
      </c>
      <c r="E5404" s="113" t="str">
        <f>IF(Table1722[[#This Row],[Lawan Transaksi]]="CV AGUNG KARYA",COUNTIF($I$10:I5404,"CV AGUNG KARYA")," ")</f>
        <v xml:space="preserve"> </v>
      </c>
      <c r="F5404" s="107" t="str">
        <f>IF(LEN(Table1722[[#This Row],[Uraian]])&gt;2,TRIM(RIGHT(SUBSTITUTE(TRIM(C5404)," ",REPT(" ",255)),255))," ")</f>
        <v xml:space="preserve"> </v>
      </c>
      <c r="G5404" s="110">
        <f>COPY!Z5396</f>
        <v>0</v>
      </c>
      <c r="H5404" s="111" t="str">
        <f>IFERROR(VLOOKUP(Table1722[[#This Row],[Bukti]],'Un nOTA'!$A$4:$K$5003,10,FALSE),"")</f>
        <v/>
      </c>
      <c r="I5404" s="123" t="str">
        <f>IFERROR(VLOOKUP(Table1722[[#This Row],[Bukti]],Table13[#Data],11,FALSE),"")</f>
        <v/>
      </c>
    </row>
    <row r="5405" spans="1:9" hidden="1" x14ac:dyDescent="0.2">
      <c r="A5405" s="105" t="str">
        <f>IF(D5405=1,COUNTIF($D$10:D5405,1)," ")</f>
        <v xml:space="preserve"> </v>
      </c>
      <c r="B5405" s="106">
        <f>COPY!AR5397</f>
        <v>0</v>
      </c>
      <c r="C5405" s="107">
        <f>COPY!AC5397</f>
        <v>0</v>
      </c>
      <c r="D5405" s="107" t="str">
        <f>IF(LEN(Table1722[[#This Row],[Uraian]])&gt;2,1," ")</f>
        <v xml:space="preserve"> </v>
      </c>
      <c r="E5405" s="113" t="str">
        <f>IF(Table1722[[#This Row],[Lawan Transaksi]]="CV AGUNG KARYA",COUNTIF($I$10:I5405,"CV AGUNG KARYA")," ")</f>
        <v xml:space="preserve"> </v>
      </c>
      <c r="F5405" s="107" t="str">
        <f>IF(LEN(Table1722[[#This Row],[Uraian]])&gt;2,TRIM(RIGHT(SUBSTITUTE(TRIM(C5405)," ",REPT(" ",255)),255))," ")</f>
        <v xml:space="preserve"> </v>
      </c>
      <c r="G5405" s="110">
        <f>COPY!Z5397</f>
        <v>0</v>
      </c>
      <c r="H5405" s="111" t="str">
        <f>IFERROR(VLOOKUP(Table1722[[#This Row],[Bukti]],'Un nOTA'!$A$4:$K$5003,10,FALSE),"")</f>
        <v/>
      </c>
      <c r="I5405" s="123" t="str">
        <f>IFERROR(VLOOKUP(Table1722[[#This Row],[Bukti]],Table13[#Data],11,FALSE),"")</f>
        <v/>
      </c>
    </row>
    <row r="5406" spans="1:9" hidden="1" x14ac:dyDescent="0.2">
      <c r="A5406" s="105" t="str">
        <f>IF(D5406=1,COUNTIF($D$10:D5406,1)," ")</f>
        <v xml:space="preserve"> </v>
      </c>
      <c r="B5406" s="106">
        <f>COPY!AR5398</f>
        <v>0</v>
      </c>
      <c r="C5406" s="107">
        <f>COPY!AC5398</f>
        <v>0</v>
      </c>
      <c r="D5406" s="107" t="str">
        <f>IF(LEN(Table1722[[#This Row],[Uraian]])&gt;2,1," ")</f>
        <v xml:space="preserve"> </v>
      </c>
      <c r="E5406" s="113" t="str">
        <f>IF(Table1722[[#This Row],[Lawan Transaksi]]="CV AGUNG KARYA",COUNTIF($I$10:I5406,"CV AGUNG KARYA")," ")</f>
        <v xml:space="preserve"> </v>
      </c>
      <c r="F5406" s="107" t="str">
        <f>IF(LEN(Table1722[[#This Row],[Uraian]])&gt;2,TRIM(RIGHT(SUBSTITUTE(TRIM(C5406)," ",REPT(" ",255)),255))," ")</f>
        <v xml:space="preserve"> </v>
      </c>
      <c r="G5406" s="110">
        <f>COPY!Z5398</f>
        <v>0</v>
      </c>
      <c r="H5406" s="111" t="str">
        <f>IFERROR(VLOOKUP(Table1722[[#This Row],[Bukti]],'Un nOTA'!$A$4:$K$5003,10,FALSE),"")</f>
        <v/>
      </c>
      <c r="I5406" s="123" t="str">
        <f>IFERROR(VLOOKUP(Table1722[[#This Row],[Bukti]],Table13[#Data],11,FALSE),"")</f>
        <v/>
      </c>
    </row>
    <row r="5407" spans="1:9" hidden="1" x14ac:dyDescent="0.2">
      <c r="A5407" s="105" t="str">
        <f>IF(D5407=1,COUNTIF($D$10:D5407,1)," ")</f>
        <v xml:space="preserve"> </v>
      </c>
      <c r="B5407" s="106">
        <f>COPY!AR5399</f>
        <v>0</v>
      </c>
      <c r="C5407" s="107">
        <f>COPY!AC5399</f>
        <v>0</v>
      </c>
      <c r="D5407" s="107" t="str">
        <f>IF(LEN(Table1722[[#This Row],[Uraian]])&gt;2,1," ")</f>
        <v xml:space="preserve"> </v>
      </c>
      <c r="E5407" s="113" t="str">
        <f>IF(Table1722[[#This Row],[Lawan Transaksi]]="CV AGUNG KARYA",COUNTIF($I$10:I5407,"CV AGUNG KARYA")," ")</f>
        <v xml:space="preserve"> </v>
      </c>
      <c r="F5407" s="107" t="str">
        <f>IF(LEN(Table1722[[#This Row],[Uraian]])&gt;2,TRIM(RIGHT(SUBSTITUTE(TRIM(C5407)," ",REPT(" ",255)),255))," ")</f>
        <v xml:space="preserve"> </v>
      </c>
      <c r="G5407" s="110">
        <f>COPY!Z5399</f>
        <v>0</v>
      </c>
      <c r="H5407" s="111" t="str">
        <f>IFERROR(VLOOKUP(Table1722[[#This Row],[Bukti]],'Un nOTA'!$A$4:$K$5003,10,FALSE),"")</f>
        <v/>
      </c>
      <c r="I5407" s="123" t="str">
        <f>IFERROR(VLOOKUP(Table1722[[#This Row],[Bukti]],Table13[#Data],11,FALSE),"")</f>
        <v/>
      </c>
    </row>
    <row r="5408" spans="1:9" hidden="1" x14ac:dyDescent="0.2">
      <c r="A5408" s="105" t="str">
        <f>IF(D5408=1,COUNTIF($D$10:D5408,1)," ")</f>
        <v xml:space="preserve"> </v>
      </c>
      <c r="B5408" s="106">
        <f>COPY!AR5400</f>
        <v>0</v>
      </c>
      <c r="C5408" s="107">
        <f>COPY!AC5400</f>
        <v>0</v>
      </c>
      <c r="D5408" s="107" t="str">
        <f>IF(LEN(Table1722[[#This Row],[Uraian]])&gt;2,1," ")</f>
        <v xml:space="preserve"> </v>
      </c>
      <c r="E5408" s="113" t="str">
        <f>IF(Table1722[[#This Row],[Lawan Transaksi]]="CV AGUNG KARYA",COUNTIF($I$10:I5408,"CV AGUNG KARYA")," ")</f>
        <v xml:space="preserve"> </v>
      </c>
      <c r="F5408" s="107" t="str">
        <f>IF(LEN(Table1722[[#This Row],[Uraian]])&gt;2,TRIM(RIGHT(SUBSTITUTE(TRIM(C5408)," ",REPT(" ",255)),255))," ")</f>
        <v xml:space="preserve"> </v>
      </c>
      <c r="G5408" s="110">
        <f>COPY!Z5400</f>
        <v>0</v>
      </c>
      <c r="H5408" s="111" t="str">
        <f>IFERROR(VLOOKUP(Table1722[[#This Row],[Bukti]],'Un nOTA'!$A$4:$K$5003,10,FALSE),"")</f>
        <v/>
      </c>
      <c r="I5408" s="123" t="str">
        <f>IFERROR(VLOOKUP(Table1722[[#This Row],[Bukti]],Table13[#Data],11,FALSE),"")</f>
        <v/>
      </c>
    </row>
    <row r="5409" spans="1:9" hidden="1" x14ac:dyDescent="0.2">
      <c r="A5409" s="105" t="str">
        <f>IF(D5409=1,COUNTIF($D$10:D5409,1)," ")</f>
        <v xml:space="preserve"> </v>
      </c>
      <c r="B5409" s="106">
        <f>COPY!AR5401</f>
        <v>0</v>
      </c>
      <c r="C5409" s="107">
        <f>COPY!AC5401</f>
        <v>0</v>
      </c>
      <c r="D5409" s="107" t="str">
        <f>IF(LEN(Table1722[[#This Row],[Uraian]])&gt;2,1," ")</f>
        <v xml:space="preserve"> </v>
      </c>
      <c r="E5409" s="113" t="str">
        <f>IF(Table1722[[#This Row],[Lawan Transaksi]]="CV AGUNG KARYA",COUNTIF($I$10:I5409,"CV AGUNG KARYA")," ")</f>
        <v xml:space="preserve"> </v>
      </c>
      <c r="F5409" s="107" t="str">
        <f>IF(LEN(Table1722[[#This Row],[Uraian]])&gt;2,TRIM(RIGHT(SUBSTITUTE(TRIM(C5409)," ",REPT(" ",255)),255))," ")</f>
        <v xml:space="preserve"> </v>
      </c>
      <c r="G5409" s="110">
        <f>COPY!Z5401</f>
        <v>0</v>
      </c>
      <c r="H5409" s="111" t="str">
        <f>IFERROR(VLOOKUP(Table1722[[#This Row],[Bukti]],'Un nOTA'!$A$4:$K$5003,10,FALSE),"")</f>
        <v/>
      </c>
      <c r="I5409" s="123" t="str">
        <f>IFERROR(VLOOKUP(Table1722[[#This Row],[Bukti]],Table13[#Data],11,FALSE),"")</f>
        <v/>
      </c>
    </row>
    <row r="5410" spans="1:9" hidden="1" x14ac:dyDescent="0.2">
      <c r="A5410" s="105" t="str">
        <f>IF(D5410=1,COUNTIF($D$10:D5410,1)," ")</f>
        <v xml:space="preserve"> </v>
      </c>
      <c r="B5410" s="106">
        <f>COPY!AR5402</f>
        <v>0</v>
      </c>
      <c r="C5410" s="107">
        <f>COPY!AC5402</f>
        <v>0</v>
      </c>
      <c r="D5410" s="107" t="str">
        <f>IF(LEN(Table1722[[#This Row],[Uraian]])&gt;2,1," ")</f>
        <v xml:space="preserve"> </v>
      </c>
      <c r="E5410" s="113" t="str">
        <f>IF(Table1722[[#This Row],[Lawan Transaksi]]="CV AGUNG KARYA",COUNTIF($I$10:I5410,"CV AGUNG KARYA")," ")</f>
        <v xml:space="preserve"> </v>
      </c>
      <c r="F5410" s="107" t="str">
        <f>IF(LEN(Table1722[[#This Row],[Uraian]])&gt;2,TRIM(RIGHT(SUBSTITUTE(TRIM(C5410)," ",REPT(" ",255)),255))," ")</f>
        <v xml:space="preserve"> </v>
      </c>
      <c r="G5410" s="110">
        <f>COPY!Z5402</f>
        <v>0</v>
      </c>
      <c r="H5410" s="111" t="str">
        <f>IFERROR(VLOOKUP(Table1722[[#This Row],[Bukti]],'Un nOTA'!$A$4:$K$5003,10,FALSE),"")</f>
        <v/>
      </c>
      <c r="I5410" s="123" t="str">
        <f>IFERROR(VLOOKUP(Table1722[[#This Row],[Bukti]],Table13[#Data],11,FALSE),"")</f>
        <v/>
      </c>
    </row>
    <row r="5411" spans="1:9" hidden="1" x14ac:dyDescent="0.2">
      <c r="A5411" s="105" t="str">
        <f>IF(D5411=1,COUNTIF($D$10:D5411,1)," ")</f>
        <v xml:space="preserve"> </v>
      </c>
      <c r="B5411" s="106">
        <f>COPY!AR5403</f>
        <v>0</v>
      </c>
      <c r="C5411" s="107">
        <f>COPY!AC5403</f>
        <v>0</v>
      </c>
      <c r="D5411" s="107" t="str">
        <f>IF(LEN(Table1722[[#This Row],[Uraian]])&gt;2,1," ")</f>
        <v xml:space="preserve"> </v>
      </c>
      <c r="E5411" s="113" t="str">
        <f>IF(Table1722[[#This Row],[Lawan Transaksi]]="CV AGUNG KARYA",COUNTIF($I$10:I5411,"CV AGUNG KARYA")," ")</f>
        <v xml:space="preserve"> </v>
      </c>
      <c r="F5411" s="107" t="str">
        <f>IF(LEN(Table1722[[#This Row],[Uraian]])&gt;2,TRIM(RIGHT(SUBSTITUTE(TRIM(C5411)," ",REPT(" ",255)),255))," ")</f>
        <v xml:space="preserve"> </v>
      </c>
      <c r="G5411" s="110">
        <f>COPY!Z5403</f>
        <v>0</v>
      </c>
      <c r="H5411" s="111" t="str">
        <f>IFERROR(VLOOKUP(Table1722[[#This Row],[Bukti]],'Un nOTA'!$A$4:$K$5003,10,FALSE),"")</f>
        <v/>
      </c>
      <c r="I5411" s="123" t="str">
        <f>IFERROR(VLOOKUP(Table1722[[#This Row],[Bukti]],Table13[#Data],11,FALSE),"")</f>
        <v/>
      </c>
    </row>
    <row r="5412" spans="1:9" hidden="1" x14ac:dyDescent="0.2">
      <c r="A5412" s="105" t="str">
        <f>IF(D5412=1,COUNTIF($D$10:D5412,1)," ")</f>
        <v xml:space="preserve"> </v>
      </c>
      <c r="B5412" s="106">
        <f>COPY!AR5404</f>
        <v>0</v>
      </c>
      <c r="C5412" s="107">
        <f>COPY!AC5404</f>
        <v>0</v>
      </c>
      <c r="D5412" s="107" t="str">
        <f>IF(LEN(Table1722[[#This Row],[Uraian]])&gt;2,1," ")</f>
        <v xml:space="preserve"> </v>
      </c>
      <c r="E5412" s="113" t="str">
        <f>IF(Table1722[[#This Row],[Lawan Transaksi]]="CV AGUNG KARYA",COUNTIF($I$10:I5412,"CV AGUNG KARYA")," ")</f>
        <v xml:space="preserve"> </v>
      </c>
      <c r="F5412" s="107" t="str">
        <f>IF(LEN(Table1722[[#This Row],[Uraian]])&gt;2,TRIM(RIGHT(SUBSTITUTE(TRIM(C5412)," ",REPT(" ",255)),255))," ")</f>
        <v xml:space="preserve"> </v>
      </c>
      <c r="G5412" s="110">
        <f>COPY!Z5404</f>
        <v>0</v>
      </c>
      <c r="H5412" s="111" t="str">
        <f>IFERROR(VLOOKUP(Table1722[[#This Row],[Bukti]],'Un nOTA'!$A$4:$K$5003,10,FALSE),"")</f>
        <v/>
      </c>
      <c r="I5412" s="123" t="str">
        <f>IFERROR(VLOOKUP(Table1722[[#This Row],[Bukti]],Table13[#Data],11,FALSE),"")</f>
        <v/>
      </c>
    </row>
    <row r="5413" spans="1:9" hidden="1" x14ac:dyDescent="0.2">
      <c r="A5413" s="105" t="str">
        <f>IF(D5413=1,COUNTIF($D$10:D5413,1)," ")</f>
        <v xml:space="preserve"> </v>
      </c>
      <c r="B5413" s="106">
        <f>COPY!AR5405</f>
        <v>0</v>
      </c>
      <c r="C5413" s="107">
        <f>COPY!AC5405</f>
        <v>0</v>
      </c>
      <c r="D5413" s="107" t="str">
        <f>IF(LEN(Table1722[[#This Row],[Uraian]])&gt;2,1," ")</f>
        <v xml:space="preserve"> </v>
      </c>
      <c r="E5413" s="113" t="str">
        <f>IF(Table1722[[#This Row],[Lawan Transaksi]]="CV AGUNG KARYA",COUNTIF($I$10:I5413,"CV AGUNG KARYA")," ")</f>
        <v xml:space="preserve"> </v>
      </c>
      <c r="F5413" s="107" t="str">
        <f>IF(LEN(Table1722[[#This Row],[Uraian]])&gt;2,TRIM(RIGHT(SUBSTITUTE(TRIM(C5413)," ",REPT(" ",255)),255))," ")</f>
        <v xml:space="preserve"> </v>
      </c>
      <c r="G5413" s="110">
        <f>COPY!Z5405</f>
        <v>0</v>
      </c>
      <c r="H5413" s="111" t="str">
        <f>IFERROR(VLOOKUP(Table1722[[#This Row],[Bukti]],'Un nOTA'!$A$4:$K$5003,10,FALSE),"")</f>
        <v/>
      </c>
      <c r="I5413" s="123" t="str">
        <f>IFERROR(VLOOKUP(Table1722[[#This Row],[Bukti]],Table13[#Data],11,FALSE),"")</f>
        <v/>
      </c>
    </row>
    <row r="5414" spans="1:9" hidden="1" x14ac:dyDescent="0.2">
      <c r="A5414" s="105" t="str">
        <f>IF(D5414=1,COUNTIF($D$10:D5414,1)," ")</f>
        <v xml:space="preserve"> </v>
      </c>
      <c r="B5414" s="106">
        <f>COPY!AR5406</f>
        <v>0</v>
      </c>
      <c r="C5414" s="107">
        <f>COPY!AC5406</f>
        <v>0</v>
      </c>
      <c r="D5414" s="107" t="str">
        <f>IF(LEN(Table1722[[#This Row],[Uraian]])&gt;2,1," ")</f>
        <v xml:space="preserve"> </v>
      </c>
      <c r="E5414" s="113" t="str">
        <f>IF(Table1722[[#This Row],[Lawan Transaksi]]="CV AGUNG KARYA",COUNTIF($I$10:I5414,"CV AGUNG KARYA")," ")</f>
        <v xml:space="preserve"> </v>
      </c>
      <c r="F5414" s="107" t="str">
        <f>IF(LEN(Table1722[[#This Row],[Uraian]])&gt;2,TRIM(RIGHT(SUBSTITUTE(TRIM(C5414)," ",REPT(" ",255)),255))," ")</f>
        <v xml:space="preserve"> </v>
      </c>
      <c r="G5414" s="110">
        <f>COPY!Z5406</f>
        <v>0</v>
      </c>
      <c r="H5414" s="111" t="str">
        <f>IFERROR(VLOOKUP(Table1722[[#This Row],[Bukti]],'Un nOTA'!$A$4:$K$5003,10,FALSE),"")</f>
        <v/>
      </c>
      <c r="I5414" s="123" t="str">
        <f>IFERROR(VLOOKUP(Table1722[[#This Row],[Bukti]],Table13[#Data],11,FALSE),"")</f>
        <v/>
      </c>
    </row>
    <row r="5415" spans="1:9" hidden="1" x14ac:dyDescent="0.2">
      <c r="A5415" s="105" t="str">
        <f>IF(D5415=1,COUNTIF($D$10:D5415,1)," ")</f>
        <v xml:space="preserve"> </v>
      </c>
      <c r="B5415" s="106">
        <f>COPY!AR5407</f>
        <v>0</v>
      </c>
      <c r="C5415" s="107">
        <f>COPY!AC5407</f>
        <v>0</v>
      </c>
      <c r="D5415" s="107" t="str">
        <f>IF(LEN(Table1722[[#This Row],[Uraian]])&gt;2,1," ")</f>
        <v xml:space="preserve"> </v>
      </c>
      <c r="E5415" s="113" t="str">
        <f>IF(Table1722[[#This Row],[Lawan Transaksi]]="CV AGUNG KARYA",COUNTIF($I$10:I5415,"CV AGUNG KARYA")," ")</f>
        <v xml:space="preserve"> </v>
      </c>
      <c r="F5415" s="107" t="str">
        <f>IF(LEN(Table1722[[#This Row],[Uraian]])&gt;2,TRIM(RIGHT(SUBSTITUTE(TRIM(C5415)," ",REPT(" ",255)),255))," ")</f>
        <v xml:space="preserve"> </v>
      </c>
      <c r="G5415" s="110">
        <f>COPY!Z5407</f>
        <v>0</v>
      </c>
      <c r="H5415" s="111" t="str">
        <f>IFERROR(VLOOKUP(Table1722[[#This Row],[Bukti]],'Un nOTA'!$A$4:$K$5003,10,FALSE),"")</f>
        <v/>
      </c>
      <c r="I5415" s="123" t="str">
        <f>IFERROR(VLOOKUP(Table1722[[#This Row],[Bukti]],Table13[#Data],11,FALSE),"")</f>
        <v/>
      </c>
    </row>
    <row r="5416" spans="1:9" hidden="1" x14ac:dyDescent="0.2">
      <c r="A5416" s="105" t="str">
        <f>IF(D5416=1,COUNTIF($D$10:D5416,1)," ")</f>
        <v xml:space="preserve"> </v>
      </c>
      <c r="B5416" s="106">
        <f>COPY!AR5408</f>
        <v>0</v>
      </c>
      <c r="C5416" s="107">
        <f>COPY!AC5408</f>
        <v>0</v>
      </c>
      <c r="D5416" s="107" t="str">
        <f>IF(LEN(Table1722[[#This Row],[Uraian]])&gt;2,1," ")</f>
        <v xml:space="preserve"> </v>
      </c>
      <c r="E5416" s="113" t="str">
        <f>IF(Table1722[[#This Row],[Lawan Transaksi]]="CV AGUNG KARYA",COUNTIF($I$10:I5416,"CV AGUNG KARYA")," ")</f>
        <v xml:space="preserve"> </v>
      </c>
      <c r="F5416" s="107" t="str">
        <f>IF(LEN(Table1722[[#This Row],[Uraian]])&gt;2,TRIM(RIGHT(SUBSTITUTE(TRIM(C5416)," ",REPT(" ",255)),255))," ")</f>
        <v xml:space="preserve"> </v>
      </c>
      <c r="G5416" s="110">
        <f>COPY!Z5408</f>
        <v>0</v>
      </c>
      <c r="H5416" s="111" t="str">
        <f>IFERROR(VLOOKUP(Table1722[[#This Row],[Bukti]],'Un nOTA'!$A$4:$K$5003,10,FALSE),"")</f>
        <v/>
      </c>
      <c r="I5416" s="123" t="str">
        <f>IFERROR(VLOOKUP(Table1722[[#This Row],[Bukti]],Table13[#Data],11,FALSE),"")</f>
        <v/>
      </c>
    </row>
    <row r="5417" spans="1:9" hidden="1" x14ac:dyDescent="0.2">
      <c r="A5417" s="105" t="str">
        <f>IF(D5417=1,COUNTIF($D$10:D5417,1)," ")</f>
        <v xml:space="preserve"> </v>
      </c>
      <c r="B5417" s="106">
        <f>COPY!AR5409</f>
        <v>0</v>
      </c>
      <c r="C5417" s="107">
        <f>COPY!AC5409</f>
        <v>0</v>
      </c>
      <c r="D5417" s="107" t="str">
        <f>IF(LEN(Table1722[[#This Row],[Uraian]])&gt;2,1," ")</f>
        <v xml:space="preserve"> </v>
      </c>
      <c r="E5417" s="113" t="str">
        <f>IF(Table1722[[#This Row],[Lawan Transaksi]]="CV AGUNG KARYA",COUNTIF($I$10:I5417,"CV AGUNG KARYA")," ")</f>
        <v xml:space="preserve"> </v>
      </c>
      <c r="F5417" s="107" t="str">
        <f>IF(LEN(Table1722[[#This Row],[Uraian]])&gt;2,TRIM(RIGHT(SUBSTITUTE(TRIM(C5417)," ",REPT(" ",255)),255))," ")</f>
        <v xml:space="preserve"> </v>
      </c>
      <c r="G5417" s="110">
        <f>COPY!Z5409</f>
        <v>0</v>
      </c>
      <c r="H5417" s="111" t="str">
        <f>IFERROR(VLOOKUP(Table1722[[#This Row],[Bukti]],'Un nOTA'!$A$4:$K$5003,10,FALSE),"")</f>
        <v/>
      </c>
      <c r="I5417" s="123" t="str">
        <f>IFERROR(VLOOKUP(Table1722[[#This Row],[Bukti]],Table13[#Data],11,FALSE),"")</f>
        <v/>
      </c>
    </row>
    <row r="5418" spans="1:9" hidden="1" x14ac:dyDescent="0.2">
      <c r="A5418" s="105" t="str">
        <f>IF(D5418=1,COUNTIF($D$10:D5418,1)," ")</f>
        <v xml:space="preserve"> </v>
      </c>
      <c r="B5418" s="106">
        <f>COPY!AR5410</f>
        <v>0</v>
      </c>
      <c r="C5418" s="107">
        <f>COPY!AC5410</f>
        <v>0</v>
      </c>
      <c r="D5418" s="107" t="str">
        <f>IF(LEN(Table1722[[#This Row],[Uraian]])&gt;2,1," ")</f>
        <v xml:space="preserve"> </v>
      </c>
      <c r="E5418" s="113" t="str">
        <f>IF(Table1722[[#This Row],[Lawan Transaksi]]="CV AGUNG KARYA",COUNTIF($I$10:I5418,"CV AGUNG KARYA")," ")</f>
        <v xml:space="preserve"> </v>
      </c>
      <c r="F5418" s="107" t="str">
        <f>IF(LEN(Table1722[[#This Row],[Uraian]])&gt;2,TRIM(RIGHT(SUBSTITUTE(TRIM(C5418)," ",REPT(" ",255)),255))," ")</f>
        <v xml:space="preserve"> </v>
      </c>
      <c r="G5418" s="110">
        <f>COPY!Z5410</f>
        <v>0</v>
      </c>
      <c r="H5418" s="111" t="str">
        <f>IFERROR(VLOOKUP(Table1722[[#This Row],[Bukti]],'Un nOTA'!$A$4:$K$5003,10,FALSE),"")</f>
        <v/>
      </c>
      <c r="I5418" s="123" t="str">
        <f>IFERROR(VLOOKUP(Table1722[[#This Row],[Bukti]],Table13[#Data],11,FALSE),"")</f>
        <v/>
      </c>
    </row>
    <row r="5419" spans="1:9" hidden="1" x14ac:dyDescent="0.2">
      <c r="A5419" s="105" t="str">
        <f>IF(D5419=1,COUNTIF($D$10:D5419,1)," ")</f>
        <v xml:space="preserve"> </v>
      </c>
      <c r="B5419" s="106">
        <f>COPY!AR5411</f>
        <v>0</v>
      </c>
      <c r="C5419" s="107">
        <f>COPY!AC5411</f>
        <v>0</v>
      </c>
      <c r="D5419" s="107" t="str">
        <f>IF(LEN(Table1722[[#This Row],[Uraian]])&gt;2,1," ")</f>
        <v xml:space="preserve"> </v>
      </c>
      <c r="E5419" s="113" t="str">
        <f>IF(Table1722[[#This Row],[Lawan Transaksi]]="CV AGUNG KARYA",COUNTIF($I$10:I5419,"CV AGUNG KARYA")," ")</f>
        <v xml:space="preserve"> </v>
      </c>
      <c r="F5419" s="107" t="str">
        <f>IF(LEN(Table1722[[#This Row],[Uraian]])&gt;2,TRIM(RIGHT(SUBSTITUTE(TRIM(C5419)," ",REPT(" ",255)),255))," ")</f>
        <v xml:space="preserve"> </v>
      </c>
      <c r="G5419" s="110">
        <f>COPY!Z5411</f>
        <v>0</v>
      </c>
      <c r="H5419" s="111" t="str">
        <f>IFERROR(VLOOKUP(Table1722[[#This Row],[Bukti]],'Un nOTA'!$A$4:$K$5003,10,FALSE),"")</f>
        <v/>
      </c>
      <c r="I5419" s="123" t="str">
        <f>IFERROR(VLOOKUP(Table1722[[#This Row],[Bukti]],Table13[#Data],11,FALSE),"")</f>
        <v/>
      </c>
    </row>
    <row r="5420" spans="1:9" hidden="1" x14ac:dyDescent="0.2">
      <c r="A5420" s="105" t="str">
        <f>IF(D5420=1,COUNTIF($D$10:D5420,1)," ")</f>
        <v xml:space="preserve"> </v>
      </c>
      <c r="B5420" s="106">
        <f>COPY!AR5412</f>
        <v>0</v>
      </c>
      <c r="C5420" s="107">
        <f>COPY!AC5412</f>
        <v>0</v>
      </c>
      <c r="D5420" s="107" t="str">
        <f>IF(LEN(Table1722[[#This Row],[Uraian]])&gt;2,1," ")</f>
        <v xml:space="preserve"> </v>
      </c>
      <c r="E5420" s="113" t="str">
        <f>IF(Table1722[[#This Row],[Lawan Transaksi]]="CV AGUNG KARYA",COUNTIF($I$10:I5420,"CV AGUNG KARYA")," ")</f>
        <v xml:space="preserve"> </v>
      </c>
      <c r="F5420" s="107" t="str">
        <f>IF(LEN(Table1722[[#This Row],[Uraian]])&gt;2,TRIM(RIGHT(SUBSTITUTE(TRIM(C5420)," ",REPT(" ",255)),255))," ")</f>
        <v xml:space="preserve"> </v>
      </c>
      <c r="G5420" s="110">
        <f>COPY!Z5412</f>
        <v>0</v>
      </c>
      <c r="H5420" s="111" t="str">
        <f>IFERROR(VLOOKUP(Table1722[[#This Row],[Bukti]],'Un nOTA'!$A$4:$K$5003,10,FALSE),"")</f>
        <v/>
      </c>
      <c r="I5420" s="123" t="str">
        <f>IFERROR(VLOOKUP(Table1722[[#This Row],[Bukti]],Table13[#Data],11,FALSE),"")</f>
        <v/>
      </c>
    </row>
    <row r="5421" spans="1:9" hidden="1" x14ac:dyDescent="0.2">
      <c r="A5421" s="105" t="str">
        <f>IF(D5421=1,COUNTIF($D$10:D5421,1)," ")</f>
        <v xml:space="preserve"> </v>
      </c>
      <c r="B5421" s="106">
        <f>COPY!AR5413</f>
        <v>0</v>
      </c>
      <c r="C5421" s="107">
        <f>COPY!AC5413</f>
        <v>0</v>
      </c>
      <c r="D5421" s="107" t="str">
        <f>IF(LEN(Table1722[[#This Row],[Uraian]])&gt;2,1," ")</f>
        <v xml:space="preserve"> </v>
      </c>
      <c r="E5421" s="113" t="str">
        <f>IF(Table1722[[#This Row],[Lawan Transaksi]]="CV AGUNG KARYA",COUNTIF($I$10:I5421,"CV AGUNG KARYA")," ")</f>
        <v xml:space="preserve"> </v>
      </c>
      <c r="F5421" s="107" t="str">
        <f>IF(LEN(Table1722[[#This Row],[Uraian]])&gt;2,TRIM(RIGHT(SUBSTITUTE(TRIM(C5421)," ",REPT(" ",255)),255))," ")</f>
        <v xml:space="preserve"> </v>
      </c>
      <c r="G5421" s="110">
        <f>COPY!Z5413</f>
        <v>0</v>
      </c>
      <c r="H5421" s="111" t="str">
        <f>IFERROR(VLOOKUP(Table1722[[#This Row],[Bukti]],'Un nOTA'!$A$4:$K$5003,10,FALSE),"")</f>
        <v/>
      </c>
      <c r="I5421" s="123" t="str">
        <f>IFERROR(VLOOKUP(Table1722[[#This Row],[Bukti]],Table13[#Data],11,FALSE),"")</f>
        <v/>
      </c>
    </row>
    <row r="5422" spans="1:9" hidden="1" x14ac:dyDescent="0.2">
      <c r="A5422" s="105" t="str">
        <f>IF(D5422=1,COUNTIF($D$10:D5422,1)," ")</f>
        <v xml:space="preserve"> </v>
      </c>
      <c r="B5422" s="106">
        <f>COPY!AR5414</f>
        <v>0</v>
      </c>
      <c r="C5422" s="107">
        <f>COPY!AC5414</f>
        <v>0</v>
      </c>
      <c r="D5422" s="107" t="str">
        <f>IF(LEN(Table1722[[#This Row],[Uraian]])&gt;2,1," ")</f>
        <v xml:space="preserve"> </v>
      </c>
      <c r="E5422" s="113" t="str">
        <f>IF(Table1722[[#This Row],[Lawan Transaksi]]="CV AGUNG KARYA",COUNTIF($I$10:I5422,"CV AGUNG KARYA")," ")</f>
        <v xml:space="preserve"> </v>
      </c>
      <c r="F5422" s="107" t="str">
        <f>IF(LEN(Table1722[[#This Row],[Uraian]])&gt;2,TRIM(RIGHT(SUBSTITUTE(TRIM(C5422)," ",REPT(" ",255)),255))," ")</f>
        <v xml:space="preserve"> </v>
      </c>
      <c r="G5422" s="110">
        <f>COPY!Z5414</f>
        <v>0</v>
      </c>
      <c r="H5422" s="111" t="str">
        <f>IFERROR(VLOOKUP(Table1722[[#This Row],[Bukti]],'Un nOTA'!$A$4:$K$5003,10,FALSE),"")</f>
        <v/>
      </c>
      <c r="I5422" s="123" t="str">
        <f>IFERROR(VLOOKUP(Table1722[[#This Row],[Bukti]],Table13[#Data],11,FALSE),"")</f>
        <v/>
      </c>
    </row>
    <row r="5423" spans="1:9" hidden="1" x14ac:dyDescent="0.2">
      <c r="A5423" s="105" t="str">
        <f>IF(D5423=1,COUNTIF($D$10:D5423,1)," ")</f>
        <v xml:space="preserve"> </v>
      </c>
      <c r="B5423" s="106">
        <f>COPY!AR5415</f>
        <v>0</v>
      </c>
      <c r="C5423" s="107">
        <f>COPY!AC5415</f>
        <v>0</v>
      </c>
      <c r="D5423" s="107" t="str">
        <f>IF(LEN(Table1722[[#This Row],[Uraian]])&gt;2,1," ")</f>
        <v xml:space="preserve"> </v>
      </c>
      <c r="E5423" s="113" t="str">
        <f>IF(Table1722[[#This Row],[Lawan Transaksi]]="CV AGUNG KARYA",COUNTIF($I$10:I5423,"CV AGUNG KARYA")," ")</f>
        <v xml:space="preserve"> </v>
      </c>
      <c r="F5423" s="107" t="str">
        <f>IF(LEN(Table1722[[#This Row],[Uraian]])&gt;2,TRIM(RIGHT(SUBSTITUTE(TRIM(C5423)," ",REPT(" ",255)),255))," ")</f>
        <v xml:space="preserve"> </v>
      </c>
      <c r="G5423" s="110">
        <f>COPY!Z5415</f>
        <v>0</v>
      </c>
      <c r="H5423" s="111" t="str">
        <f>IFERROR(VLOOKUP(Table1722[[#This Row],[Bukti]],'Un nOTA'!$A$4:$K$5003,10,FALSE),"")</f>
        <v/>
      </c>
      <c r="I5423" s="123" t="str">
        <f>IFERROR(VLOOKUP(Table1722[[#This Row],[Bukti]],Table13[#Data],11,FALSE),"")</f>
        <v/>
      </c>
    </row>
    <row r="5424" spans="1:9" hidden="1" x14ac:dyDescent="0.2">
      <c r="A5424" s="105" t="str">
        <f>IF(D5424=1,COUNTIF($D$10:D5424,1)," ")</f>
        <v xml:space="preserve"> </v>
      </c>
      <c r="B5424" s="106">
        <f>COPY!AR5416</f>
        <v>0</v>
      </c>
      <c r="C5424" s="107">
        <f>COPY!AC5416</f>
        <v>0</v>
      </c>
      <c r="D5424" s="107" t="str">
        <f>IF(LEN(Table1722[[#This Row],[Uraian]])&gt;2,1," ")</f>
        <v xml:space="preserve"> </v>
      </c>
      <c r="E5424" s="113" t="str">
        <f>IF(Table1722[[#This Row],[Lawan Transaksi]]="CV AGUNG KARYA",COUNTIF($I$10:I5424,"CV AGUNG KARYA")," ")</f>
        <v xml:space="preserve"> </v>
      </c>
      <c r="F5424" s="107" t="str">
        <f>IF(LEN(Table1722[[#This Row],[Uraian]])&gt;2,TRIM(RIGHT(SUBSTITUTE(TRIM(C5424)," ",REPT(" ",255)),255))," ")</f>
        <v xml:space="preserve"> </v>
      </c>
      <c r="G5424" s="110">
        <f>COPY!Z5416</f>
        <v>0</v>
      </c>
      <c r="H5424" s="111" t="str">
        <f>IFERROR(VLOOKUP(Table1722[[#This Row],[Bukti]],'Un nOTA'!$A$4:$K$5003,10,FALSE),"")</f>
        <v/>
      </c>
      <c r="I5424" s="123" t="str">
        <f>IFERROR(VLOOKUP(Table1722[[#This Row],[Bukti]],Table13[#Data],11,FALSE),"")</f>
        <v/>
      </c>
    </row>
    <row r="5425" spans="1:9" hidden="1" x14ac:dyDescent="0.2">
      <c r="A5425" s="105" t="str">
        <f>IF(D5425=1,COUNTIF($D$10:D5425,1)," ")</f>
        <v xml:space="preserve"> </v>
      </c>
      <c r="B5425" s="106">
        <f>COPY!AR5417</f>
        <v>0</v>
      </c>
      <c r="C5425" s="107">
        <f>COPY!AC5417</f>
        <v>0</v>
      </c>
      <c r="D5425" s="107" t="str">
        <f>IF(LEN(Table1722[[#This Row],[Uraian]])&gt;2,1," ")</f>
        <v xml:space="preserve"> </v>
      </c>
      <c r="E5425" s="113" t="str">
        <f>IF(Table1722[[#This Row],[Lawan Transaksi]]="CV AGUNG KARYA",COUNTIF($I$10:I5425,"CV AGUNG KARYA")," ")</f>
        <v xml:space="preserve"> </v>
      </c>
      <c r="F5425" s="107" t="str">
        <f>IF(LEN(Table1722[[#This Row],[Uraian]])&gt;2,TRIM(RIGHT(SUBSTITUTE(TRIM(C5425)," ",REPT(" ",255)),255))," ")</f>
        <v xml:space="preserve"> </v>
      </c>
      <c r="G5425" s="110">
        <f>COPY!Z5417</f>
        <v>0</v>
      </c>
      <c r="H5425" s="111" t="str">
        <f>IFERROR(VLOOKUP(Table1722[[#This Row],[Bukti]],'Un nOTA'!$A$4:$K$5003,10,FALSE),"")</f>
        <v/>
      </c>
      <c r="I5425" s="123" t="str">
        <f>IFERROR(VLOOKUP(Table1722[[#This Row],[Bukti]],Table13[#Data],11,FALSE),"")</f>
        <v/>
      </c>
    </row>
    <row r="5426" spans="1:9" hidden="1" x14ac:dyDescent="0.2">
      <c r="A5426" s="105" t="str">
        <f>IF(D5426=1,COUNTIF($D$10:D5426,1)," ")</f>
        <v xml:space="preserve"> </v>
      </c>
      <c r="B5426" s="106">
        <f>COPY!AR5418</f>
        <v>0</v>
      </c>
      <c r="C5426" s="107">
        <f>COPY!AC5418</f>
        <v>0</v>
      </c>
      <c r="D5426" s="107" t="str">
        <f>IF(LEN(Table1722[[#This Row],[Uraian]])&gt;2,1," ")</f>
        <v xml:space="preserve"> </v>
      </c>
      <c r="E5426" s="113" t="str">
        <f>IF(Table1722[[#This Row],[Lawan Transaksi]]="CV AGUNG KARYA",COUNTIF($I$10:I5426,"CV AGUNG KARYA")," ")</f>
        <v xml:space="preserve"> </v>
      </c>
      <c r="F5426" s="107" t="str">
        <f>IF(LEN(Table1722[[#This Row],[Uraian]])&gt;2,TRIM(RIGHT(SUBSTITUTE(TRIM(C5426)," ",REPT(" ",255)),255))," ")</f>
        <v xml:space="preserve"> </v>
      </c>
      <c r="G5426" s="110">
        <f>COPY!Z5418</f>
        <v>0</v>
      </c>
      <c r="H5426" s="111" t="str">
        <f>IFERROR(VLOOKUP(Table1722[[#This Row],[Bukti]],'Un nOTA'!$A$4:$K$5003,10,FALSE),"")</f>
        <v/>
      </c>
      <c r="I5426" s="123" t="str">
        <f>IFERROR(VLOOKUP(Table1722[[#This Row],[Bukti]],Table13[#Data],11,FALSE),"")</f>
        <v/>
      </c>
    </row>
    <row r="5427" spans="1:9" hidden="1" x14ac:dyDescent="0.2">
      <c r="A5427" s="105" t="str">
        <f>IF(D5427=1,COUNTIF($D$10:D5427,1)," ")</f>
        <v xml:space="preserve"> </v>
      </c>
      <c r="B5427" s="106">
        <f>COPY!AR5419</f>
        <v>0</v>
      </c>
      <c r="C5427" s="107">
        <f>COPY!AC5419</f>
        <v>0</v>
      </c>
      <c r="D5427" s="107" t="str">
        <f>IF(LEN(Table1722[[#This Row],[Uraian]])&gt;2,1," ")</f>
        <v xml:space="preserve"> </v>
      </c>
      <c r="E5427" s="113" t="str">
        <f>IF(Table1722[[#This Row],[Lawan Transaksi]]="CV AGUNG KARYA",COUNTIF($I$10:I5427,"CV AGUNG KARYA")," ")</f>
        <v xml:space="preserve"> </v>
      </c>
      <c r="F5427" s="107" t="str">
        <f>IF(LEN(Table1722[[#This Row],[Uraian]])&gt;2,TRIM(RIGHT(SUBSTITUTE(TRIM(C5427)," ",REPT(" ",255)),255))," ")</f>
        <v xml:space="preserve"> </v>
      </c>
      <c r="G5427" s="110">
        <f>COPY!Z5419</f>
        <v>0</v>
      </c>
      <c r="H5427" s="111" t="str">
        <f>IFERROR(VLOOKUP(Table1722[[#This Row],[Bukti]],'Un nOTA'!$A$4:$K$5003,10,FALSE),"")</f>
        <v/>
      </c>
      <c r="I5427" s="123" t="str">
        <f>IFERROR(VLOOKUP(Table1722[[#This Row],[Bukti]],Table13[#Data],11,FALSE),"")</f>
        <v/>
      </c>
    </row>
    <row r="5428" spans="1:9" hidden="1" x14ac:dyDescent="0.2">
      <c r="A5428" s="105" t="str">
        <f>IF(D5428=1,COUNTIF($D$10:D5428,1)," ")</f>
        <v xml:space="preserve"> </v>
      </c>
      <c r="B5428" s="106">
        <f>COPY!AR5420</f>
        <v>0</v>
      </c>
      <c r="C5428" s="107">
        <f>COPY!AC5420</f>
        <v>0</v>
      </c>
      <c r="D5428" s="107" t="str">
        <f>IF(LEN(Table1722[[#This Row],[Uraian]])&gt;2,1," ")</f>
        <v xml:space="preserve"> </v>
      </c>
      <c r="E5428" s="113" t="str">
        <f>IF(Table1722[[#This Row],[Lawan Transaksi]]="CV AGUNG KARYA",COUNTIF($I$10:I5428,"CV AGUNG KARYA")," ")</f>
        <v xml:space="preserve"> </v>
      </c>
      <c r="F5428" s="107" t="str">
        <f>IF(LEN(Table1722[[#This Row],[Uraian]])&gt;2,TRIM(RIGHT(SUBSTITUTE(TRIM(C5428)," ",REPT(" ",255)),255))," ")</f>
        <v xml:space="preserve"> </v>
      </c>
      <c r="G5428" s="110">
        <f>COPY!Z5420</f>
        <v>0</v>
      </c>
      <c r="H5428" s="111" t="str">
        <f>IFERROR(VLOOKUP(Table1722[[#This Row],[Bukti]],'Un nOTA'!$A$4:$K$5003,10,FALSE),"")</f>
        <v/>
      </c>
      <c r="I5428" s="123" t="str">
        <f>IFERROR(VLOOKUP(Table1722[[#This Row],[Bukti]],Table13[#Data],11,FALSE),"")</f>
        <v/>
      </c>
    </row>
    <row r="5429" spans="1:9" hidden="1" x14ac:dyDescent="0.2">
      <c r="A5429" s="105" t="str">
        <f>IF(D5429=1,COUNTIF($D$10:D5429,1)," ")</f>
        <v xml:space="preserve"> </v>
      </c>
      <c r="B5429" s="106">
        <f>COPY!AR5421</f>
        <v>0</v>
      </c>
      <c r="C5429" s="107">
        <f>COPY!AC5421</f>
        <v>0</v>
      </c>
      <c r="D5429" s="107" t="str">
        <f>IF(LEN(Table1722[[#This Row],[Uraian]])&gt;2,1," ")</f>
        <v xml:space="preserve"> </v>
      </c>
      <c r="E5429" s="113" t="str">
        <f>IF(Table1722[[#This Row],[Lawan Transaksi]]="CV AGUNG KARYA",COUNTIF($I$10:I5429,"CV AGUNG KARYA")," ")</f>
        <v xml:space="preserve"> </v>
      </c>
      <c r="F5429" s="107" t="str">
        <f>IF(LEN(Table1722[[#This Row],[Uraian]])&gt;2,TRIM(RIGHT(SUBSTITUTE(TRIM(C5429)," ",REPT(" ",255)),255))," ")</f>
        <v xml:space="preserve"> </v>
      </c>
      <c r="G5429" s="110">
        <f>COPY!Z5421</f>
        <v>0</v>
      </c>
      <c r="H5429" s="111" t="str">
        <f>IFERROR(VLOOKUP(Table1722[[#This Row],[Bukti]],'Un nOTA'!$A$4:$K$5003,10,FALSE),"")</f>
        <v/>
      </c>
      <c r="I5429" s="123" t="str">
        <f>IFERROR(VLOOKUP(Table1722[[#This Row],[Bukti]],Table13[#Data],11,FALSE),"")</f>
        <v/>
      </c>
    </row>
    <row r="5430" spans="1:9" hidden="1" x14ac:dyDescent="0.2">
      <c r="A5430" s="105" t="str">
        <f>IF(D5430=1,COUNTIF($D$10:D5430,1)," ")</f>
        <v xml:space="preserve"> </v>
      </c>
      <c r="B5430" s="106">
        <f>COPY!AR5422</f>
        <v>0</v>
      </c>
      <c r="C5430" s="107">
        <f>COPY!AC5422</f>
        <v>0</v>
      </c>
      <c r="D5430" s="107" t="str">
        <f>IF(LEN(Table1722[[#This Row],[Uraian]])&gt;2,1," ")</f>
        <v xml:space="preserve"> </v>
      </c>
      <c r="E5430" s="113" t="str">
        <f>IF(Table1722[[#This Row],[Lawan Transaksi]]="CV AGUNG KARYA",COUNTIF($I$10:I5430,"CV AGUNG KARYA")," ")</f>
        <v xml:space="preserve"> </v>
      </c>
      <c r="F5430" s="107" t="str">
        <f>IF(LEN(Table1722[[#This Row],[Uraian]])&gt;2,TRIM(RIGHT(SUBSTITUTE(TRIM(C5430)," ",REPT(" ",255)),255))," ")</f>
        <v xml:space="preserve"> </v>
      </c>
      <c r="G5430" s="110">
        <f>COPY!Z5422</f>
        <v>0</v>
      </c>
      <c r="H5430" s="111" t="str">
        <f>IFERROR(VLOOKUP(Table1722[[#This Row],[Bukti]],'Un nOTA'!$A$4:$K$5003,10,FALSE),"")</f>
        <v/>
      </c>
      <c r="I5430" s="123" t="str">
        <f>IFERROR(VLOOKUP(Table1722[[#This Row],[Bukti]],Table13[#Data],11,FALSE),"")</f>
        <v/>
      </c>
    </row>
    <row r="5431" spans="1:9" hidden="1" x14ac:dyDescent="0.2">
      <c r="A5431" s="105" t="str">
        <f>IF(D5431=1,COUNTIF($D$10:D5431,1)," ")</f>
        <v xml:space="preserve"> </v>
      </c>
      <c r="B5431" s="106">
        <f>COPY!AR5423</f>
        <v>0</v>
      </c>
      <c r="C5431" s="107">
        <f>COPY!AC5423</f>
        <v>0</v>
      </c>
      <c r="D5431" s="107" t="str">
        <f>IF(LEN(Table1722[[#This Row],[Uraian]])&gt;2,1," ")</f>
        <v xml:space="preserve"> </v>
      </c>
      <c r="E5431" s="113" t="str">
        <f>IF(Table1722[[#This Row],[Lawan Transaksi]]="CV AGUNG KARYA",COUNTIF($I$10:I5431,"CV AGUNG KARYA")," ")</f>
        <v xml:space="preserve"> </v>
      </c>
      <c r="F5431" s="107" t="str">
        <f>IF(LEN(Table1722[[#This Row],[Uraian]])&gt;2,TRIM(RIGHT(SUBSTITUTE(TRIM(C5431)," ",REPT(" ",255)),255))," ")</f>
        <v xml:space="preserve"> </v>
      </c>
      <c r="G5431" s="110">
        <f>COPY!Z5423</f>
        <v>0</v>
      </c>
      <c r="H5431" s="111" t="str">
        <f>IFERROR(VLOOKUP(Table1722[[#This Row],[Bukti]],'Un nOTA'!$A$4:$K$5003,10,FALSE),"")</f>
        <v/>
      </c>
      <c r="I5431" s="123" t="str">
        <f>IFERROR(VLOOKUP(Table1722[[#This Row],[Bukti]],Table13[#Data],11,FALSE),"")</f>
        <v/>
      </c>
    </row>
    <row r="5432" spans="1:9" hidden="1" x14ac:dyDescent="0.2">
      <c r="A5432" s="105" t="str">
        <f>IF(D5432=1,COUNTIF($D$10:D5432,1)," ")</f>
        <v xml:space="preserve"> </v>
      </c>
      <c r="B5432" s="106">
        <f>COPY!AR5424</f>
        <v>0</v>
      </c>
      <c r="C5432" s="107">
        <f>COPY!AC5424</f>
        <v>0</v>
      </c>
      <c r="D5432" s="107" t="str">
        <f>IF(LEN(Table1722[[#This Row],[Uraian]])&gt;2,1," ")</f>
        <v xml:space="preserve"> </v>
      </c>
      <c r="E5432" s="113" t="str">
        <f>IF(Table1722[[#This Row],[Lawan Transaksi]]="CV AGUNG KARYA",COUNTIF($I$10:I5432,"CV AGUNG KARYA")," ")</f>
        <v xml:space="preserve"> </v>
      </c>
      <c r="F5432" s="107" t="str">
        <f>IF(LEN(Table1722[[#This Row],[Uraian]])&gt;2,TRIM(RIGHT(SUBSTITUTE(TRIM(C5432)," ",REPT(" ",255)),255))," ")</f>
        <v xml:space="preserve"> </v>
      </c>
      <c r="G5432" s="110">
        <f>COPY!Z5424</f>
        <v>0</v>
      </c>
      <c r="H5432" s="111" t="str">
        <f>IFERROR(VLOOKUP(Table1722[[#This Row],[Bukti]],'Un nOTA'!$A$4:$K$5003,10,FALSE),"")</f>
        <v/>
      </c>
      <c r="I5432" s="123" t="str">
        <f>IFERROR(VLOOKUP(Table1722[[#This Row],[Bukti]],Table13[#Data],11,FALSE),"")</f>
        <v/>
      </c>
    </row>
    <row r="5433" spans="1:9" hidden="1" x14ac:dyDescent="0.2">
      <c r="A5433" s="105" t="str">
        <f>IF(D5433=1,COUNTIF($D$10:D5433,1)," ")</f>
        <v xml:space="preserve"> </v>
      </c>
      <c r="B5433" s="106">
        <f>COPY!AR5425</f>
        <v>0</v>
      </c>
      <c r="C5433" s="107">
        <f>COPY!AC5425</f>
        <v>0</v>
      </c>
      <c r="D5433" s="107" t="str">
        <f>IF(LEN(Table1722[[#This Row],[Uraian]])&gt;2,1," ")</f>
        <v xml:space="preserve"> </v>
      </c>
      <c r="E5433" s="113" t="str">
        <f>IF(Table1722[[#This Row],[Lawan Transaksi]]="CV AGUNG KARYA",COUNTIF($I$10:I5433,"CV AGUNG KARYA")," ")</f>
        <v xml:space="preserve"> </v>
      </c>
      <c r="F5433" s="107" t="str">
        <f>IF(LEN(Table1722[[#This Row],[Uraian]])&gt;2,TRIM(RIGHT(SUBSTITUTE(TRIM(C5433)," ",REPT(" ",255)),255))," ")</f>
        <v xml:space="preserve"> </v>
      </c>
      <c r="G5433" s="110">
        <f>COPY!Z5425</f>
        <v>0</v>
      </c>
      <c r="H5433" s="111" t="str">
        <f>IFERROR(VLOOKUP(Table1722[[#This Row],[Bukti]],'Un nOTA'!$A$4:$K$5003,10,FALSE),"")</f>
        <v/>
      </c>
      <c r="I5433" s="123" t="str">
        <f>IFERROR(VLOOKUP(Table1722[[#This Row],[Bukti]],Table13[#Data],11,FALSE),"")</f>
        <v/>
      </c>
    </row>
    <row r="5434" spans="1:9" hidden="1" x14ac:dyDescent="0.2">
      <c r="A5434" s="105" t="str">
        <f>IF(D5434=1,COUNTIF($D$10:D5434,1)," ")</f>
        <v xml:space="preserve"> </v>
      </c>
      <c r="B5434" s="106">
        <f>COPY!AR5426</f>
        <v>0</v>
      </c>
      <c r="C5434" s="107">
        <f>COPY!AC5426</f>
        <v>0</v>
      </c>
      <c r="D5434" s="107" t="str">
        <f>IF(LEN(Table1722[[#This Row],[Uraian]])&gt;2,1," ")</f>
        <v xml:space="preserve"> </v>
      </c>
      <c r="E5434" s="113" t="str">
        <f>IF(Table1722[[#This Row],[Lawan Transaksi]]="CV AGUNG KARYA",COUNTIF($I$10:I5434,"CV AGUNG KARYA")," ")</f>
        <v xml:space="preserve"> </v>
      </c>
      <c r="F5434" s="107" t="str">
        <f>IF(LEN(Table1722[[#This Row],[Uraian]])&gt;2,TRIM(RIGHT(SUBSTITUTE(TRIM(C5434)," ",REPT(" ",255)),255))," ")</f>
        <v xml:space="preserve"> </v>
      </c>
      <c r="G5434" s="110">
        <f>COPY!Z5426</f>
        <v>0</v>
      </c>
      <c r="H5434" s="111" t="str">
        <f>IFERROR(VLOOKUP(Table1722[[#This Row],[Bukti]],'Un nOTA'!$A$4:$K$5003,10,FALSE),"")</f>
        <v/>
      </c>
      <c r="I5434" s="123" t="str">
        <f>IFERROR(VLOOKUP(Table1722[[#This Row],[Bukti]],Table13[#Data],11,FALSE),"")</f>
        <v/>
      </c>
    </row>
    <row r="5435" spans="1:9" hidden="1" x14ac:dyDescent="0.2">
      <c r="A5435" s="105" t="str">
        <f>IF(D5435=1,COUNTIF($D$10:D5435,1)," ")</f>
        <v xml:space="preserve"> </v>
      </c>
      <c r="B5435" s="106">
        <f>COPY!AR5427</f>
        <v>0</v>
      </c>
      <c r="C5435" s="107">
        <f>COPY!AC5427</f>
        <v>0</v>
      </c>
      <c r="D5435" s="107" t="str">
        <f>IF(LEN(Table1722[[#This Row],[Uraian]])&gt;2,1," ")</f>
        <v xml:space="preserve"> </v>
      </c>
      <c r="E5435" s="113" t="str">
        <f>IF(Table1722[[#This Row],[Lawan Transaksi]]="CV AGUNG KARYA",COUNTIF($I$10:I5435,"CV AGUNG KARYA")," ")</f>
        <v xml:space="preserve"> </v>
      </c>
      <c r="F5435" s="107" t="str">
        <f>IF(LEN(Table1722[[#This Row],[Uraian]])&gt;2,TRIM(RIGHT(SUBSTITUTE(TRIM(C5435)," ",REPT(" ",255)),255))," ")</f>
        <v xml:space="preserve"> </v>
      </c>
      <c r="G5435" s="110">
        <f>COPY!Z5427</f>
        <v>0</v>
      </c>
      <c r="H5435" s="111" t="str">
        <f>IFERROR(VLOOKUP(Table1722[[#This Row],[Bukti]],'Un nOTA'!$A$4:$K$5003,10,FALSE),"")</f>
        <v/>
      </c>
      <c r="I5435" s="123" t="str">
        <f>IFERROR(VLOOKUP(Table1722[[#This Row],[Bukti]],Table13[#Data],11,FALSE),"")</f>
        <v/>
      </c>
    </row>
    <row r="5436" spans="1:9" hidden="1" x14ac:dyDescent="0.2">
      <c r="A5436" s="105" t="str">
        <f>IF(D5436=1,COUNTIF($D$10:D5436,1)," ")</f>
        <v xml:space="preserve"> </v>
      </c>
      <c r="B5436" s="106">
        <f>COPY!AR5428</f>
        <v>0</v>
      </c>
      <c r="C5436" s="107">
        <f>COPY!AC5428</f>
        <v>0</v>
      </c>
      <c r="D5436" s="107" t="str">
        <f>IF(LEN(Table1722[[#This Row],[Uraian]])&gt;2,1," ")</f>
        <v xml:space="preserve"> </v>
      </c>
      <c r="E5436" s="113" t="str">
        <f>IF(Table1722[[#This Row],[Lawan Transaksi]]="CV AGUNG KARYA",COUNTIF($I$10:I5436,"CV AGUNG KARYA")," ")</f>
        <v xml:space="preserve"> </v>
      </c>
      <c r="F5436" s="107" t="str">
        <f>IF(LEN(Table1722[[#This Row],[Uraian]])&gt;2,TRIM(RIGHT(SUBSTITUTE(TRIM(C5436)," ",REPT(" ",255)),255))," ")</f>
        <v xml:space="preserve"> </v>
      </c>
      <c r="G5436" s="110">
        <f>COPY!Z5428</f>
        <v>0</v>
      </c>
      <c r="H5436" s="111" t="str">
        <f>IFERROR(VLOOKUP(Table1722[[#This Row],[Bukti]],'Un nOTA'!$A$4:$K$5003,10,FALSE),"")</f>
        <v/>
      </c>
      <c r="I5436" s="123" t="str">
        <f>IFERROR(VLOOKUP(Table1722[[#This Row],[Bukti]],Table13[#Data],11,FALSE),"")</f>
        <v/>
      </c>
    </row>
    <row r="5437" spans="1:9" hidden="1" x14ac:dyDescent="0.2">
      <c r="A5437" s="105" t="str">
        <f>IF(D5437=1,COUNTIF($D$10:D5437,1)," ")</f>
        <v xml:space="preserve"> </v>
      </c>
      <c r="B5437" s="106">
        <f>COPY!AR5429</f>
        <v>0</v>
      </c>
      <c r="C5437" s="107">
        <f>COPY!AC5429</f>
        <v>0</v>
      </c>
      <c r="D5437" s="107" t="str">
        <f>IF(LEN(Table1722[[#This Row],[Uraian]])&gt;2,1," ")</f>
        <v xml:space="preserve"> </v>
      </c>
      <c r="E5437" s="113" t="str">
        <f>IF(Table1722[[#This Row],[Lawan Transaksi]]="CV AGUNG KARYA",COUNTIF($I$10:I5437,"CV AGUNG KARYA")," ")</f>
        <v xml:space="preserve"> </v>
      </c>
      <c r="F5437" s="107" t="str">
        <f>IF(LEN(Table1722[[#This Row],[Uraian]])&gt;2,TRIM(RIGHT(SUBSTITUTE(TRIM(C5437)," ",REPT(" ",255)),255))," ")</f>
        <v xml:space="preserve"> </v>
      </c>
      <c r="G5437" s="110">
        <f>COPY!Z5429</f>
        <v>0</v>
      </c>
      <c r="H5437" s="111" t="str">
        <f>IFERROR(VLOOKUP(Table1722[[#This Row],[Bukti]],'Un nOTA'!$A$4:$K$5003,10,FALSE),"")</f>
        <v/>
      </c>
      <c r="I5437" s="123" t="str">
        <f>IFERROR(VLOOKUP(Table1722[[#This Row],[Bukti]],Table13[#Data],11,FALSE),"")</f>
        <v/>
      </c>
    </row>
    <row r="5438" spans="1:9" hidden="1" x14ac:dyDescent="0.2">
      <c r="A5438" s="105" t="str">
        <f>IF(D5438=1,COUNTIF($D$10:D5438,1)," ")</f>
        <v xml:space="preserve"> </v>
      </c>
      <c r="B5438" s="106">
        <f>COPY!AR5430</f>
        <v>0</v>
      </c>
      <c r="C5438" s="107">
        <f>COPY!AC5430</f>
        <v>0</v>
      </c>
      <c r="D5438" s="107" t="str">
        <f>IF(LEN(Table1722[[#This Row],[Uraian]])&gt;2,1," ")</f>
        <v xml:space="preserve"> </v>
      </c>
      <c r="E5438" s="113" t="str">
        <f>IF(Table1722[[#This Row],[Lawan Transaksi]]="CV AGUNG KARYA",COUNTIF($I$10:I5438,"CV AGUNG KARYA")," ")</f>
        <v xml:space="preserve"> </v>
      </c>
      <c r="F5438" s="107" t="str">
        <f>IF(LEN(Table1722[[#This Row],[Uraian]])&gt;2,TRIM(RIGHT(SUBSTITUTE(TRIM(C5438)," ",REPT(" ",255)),255))," ")</f>
        <v xml:space="preserve"> </v>
      </c>
      <c r="G5438" s="110">
        <f>COPY!Z5430</f>
        <v>0</v>
      </c>
      <c r="H5438" s="111" t="str">
        <f>IFERROR(VLOOKUP(Table1722[[#This Row],[Bukti]],'Un nOTA'!$A$4:$K$5003,10,FALSE),"")</f>
        <v/>
      </c>
      <c r="I5438" s="123" t="str">
        <f>IFERROR(VLOOKUP(Table1722[[#This Row],[Bukti]],Table13[#Data],11,FALSE),"")</f>
        <v/>
      </c>
    </row>
    <row r="5439" spans="1:9" hidden="1" x14ac:dyDescent="0.2">
      <c r="A5439" s="105" t="str">
        <f>IF(D5439=1,COUNTIF($D$10:D5439,1)," ")</f>
        <v xml:space="preserve"> </v>
      </c>
      <c r="B5439" s="106">
        <f>COPY!AR5431</f>
        <v>0</v>
      </c>
      <c r="C5439" s="107">
        <f>COPY!AC5431</f>
        <v>0</v>
      </c>
      <c r="D5439" s="107" t="str">
        <f>IF(LEN(Table1722[[#This Row],[Uraian]])&gt;2,1," ")</f>
        <v xml:space="preserve"> </v>
      </c>
      <c r="E5439" s="113" t="str">
        <f>IF(Table1722[[#This Row],[Lawan Transaksi]]="CV AGUNG KARYA",COUNTIF($I$10:I5439,"CV AGUNG KARYA")," ")</f>
        <v xml:space="preserve"> </v>
      </c>
      <c r="F5439" s="107" t="str">
        <f>IF(LEN(Table1722[[#This Row],[Uraian]])&gt;2,TRIM(RIGHT(SUBSTITUTE(TRIM(C5439)," ",REPT(" ",255)),255))," ")</f>
        <v xml:space="preserve"> </v>
      </c>
      <c r="G5439" s="110">
        <f>COPY!Z5431</f>
        <v>0</v>
      </c>
      <c r="H5439" s="111" t="str">
        <f>IFERROR(VLOOKUP(Table1722[[#This Row],[Bukti]],'Un nOTA'!$A$4:$K$5003,10,FALSE),"")</f>
        <v/>
      </c>
      <c r="I5439" s="123" t="str">
        <f>IFERROR(VLOOKUP(Table1722[[#This Row],[Bukti]],Table13[#Data],11,FALSE),"")</f>
        <v/>
      </c>
    </row>
    <row r="5440" spans="1:9" hidden="1" x14ac:dyDescent="0.2">
      <c r="A5440" s="105" t="str">
        <f>IF(D5440=1,COUNTIF($D$10:D5440,1)," ")</f>
        <v xml:space="preserve"> </v>
      </c>
      <c r="B5440" s="106">
        <f>COPY!AR5432</f>
        <v>0</v>
      </c>
      <c r="C5440" s="107">
        <f>COPY!AC5432</f>
        <v>0</v>
      </c>
      <c r="D5440" s="107" t="str">
        <f>IF(LEN(Table1722[[#This Row],[Uraian]])&gt;2,1," ")</f>
        <v xml:space="preserve"> </v>
      </c>
      <c r="E5440" s="113" t="str">
        <f>IF(Table1722[[#This Row],[Lawan Transaksi]]="CV AGUNG KARYA",COUNTIF($I$10:I5440,"CV AGUNG KARYA")," ")</f>
        <v xml:space="preserve"> </v>
      </c>
      <c r="F5440" s="107" t="str">
        <f>IF(LEN(Table1722[[#This Row],[Uraian]])&gt;2,TRIM(RIGHT(SUBSTITUTE(TRIM(C5440)," ",REPT(" ",255)),255))," ")</f>
        <v xml:space="preserve"> </v>
      </c>
      <c r="G5440" s="110">
        <f>COPY!Z5432</f>
        <v>0</v>
      </c>
      <c r="H5440" s="111" t="str">
        <f>IFERROR(VLOOKUP(Table1722[[#This Row],[Bukti]],'Un nOTA'!$A$4:$K$5003,10,FALSE),"")</f>
        <v/>
      </c>
      <c r="I5440" s="123" t="str">
        <f>IFERROR(VLOOKUP(Table1722[[#This Row],[Bukti]],Table13[#Data],11,FALSE),"")</f>
        <v/>
      </c>
    </row>
    <row r="5441" spans="1:9" hidden="1" x14ac:dyDescent="0.2">
      <c r="A5441" s="105" t="str">
        <f>IF(D5441=1,COUNTIF($D$10:D5441,1)," ")</f>
        <v xml:space="preserve"> </v>
      </c>
      <c r="B5441" s="106">
        <f>COPY!AR5433</f>
        <v>0</v>
      </c>
      <c r="C5441" s="107">
        <f>COPY!AC5433</f>
        <v>0</v>
      </c>
      <c r="D5441" s="107" t="str">
        <f>IF(LEN(Table1722[[#This Row],[Uraian]])&gt;2,1," ")</f>
        <v xml:space="preserve"> </v>
      </c>
      <c r="E5441" s="113" t="str">
        <f>IF(Table1722[[#This Row],[Lawan Transaksi]]="CV AGUNG KARYA",COUNTIF($I$10:I5441,"CV AGUNG KARYA")," ")</f>
        <v xml:space="preserve"> </v>
      </c>
      <c r="F5441" s="107" t="str">
        <f>IF(LEN(Table1722[[#This Row],[Uraian]])&gt;2,TRIM(RIGHT(SUBSTITUTE(TRIM(C5441)," ",REPT(" ",255)),255))," ")</f>
        <v xml:space="preserve"> </v>
      </c>
      <c r="G5441" s="110">
        <f>COPY!Z5433</f>
        <v>0</v>
      </c>
      <c r="H5441" s="111" t="str">
        <f>IFERROR(VLOOKUP(Table1722[[#This Row],[Bukti]],'Un nOTA'!$A$4:$K$5003,10,FALSE),"")</f>
        <v/>
      </c>
      <c r="I5441" s="123" t="str">
        <f>IFERROR(VLOOKUP(Table1722[[#This Row],[Bukti]],Table13[#Data],11,FALSE),"")</f>
        <v/>
      </c>
    </row>
    <row r="5442" spans="1:9" hidden="1" x14ac:dyDescent="0.2">
      <c r="A5442" s="105" t="str">
        <f>IF(D5442=1,COUNTIF($D$10:D5442,1)," ")</f>
        <v xml:space="preserve"> </v>
      </c>
      <c r="B5442" s="106">
        <f>COPY!AR5434</f>
        <v>0</v>
      </c>
      <c r="C5442" s="107">
        <f>COPY!AC5434</f>
        <v>0</v>
      </c>
      <c r="D5442" s="107" t="str">
        <f>IF(LEN(Table1722[[#This Row],[Uraian]])&gt;2,1," ")</f>
        <v xml:space="preserve"> </v>
      </c>
      <c r="E5442" s="113" t="str">
        <f>IF(Table1722[[#This Row],[Lawan Transaksi]]="CV AGUNG KARYA",COUNTIF($I$10:I5442,"CV AGUNG KARYA")," ")</f>
        <v xml:space="preserve"> </v>
      </c>
      <c r="F5442" s="107" t="str">
        <f>IF(LEN(Table1722[[#This Row],[Uraian]])&gt;2,TRIM(RIGHT(SUBSTITUTE(TRIM(C5442)," ",REPT(" ",255)),255))," ")</f>
        <v xml:space="preserve"> </v>
      </c>
      <c r="G5442" s="110">
        <f>COPY!Z5434</f>
        <v>0</v>
      </c>
      <c r="H5442" s="111" t="str">
        <f>IFERROR(VLOOKUP(Table1722[[#This Row],[Bukti]],'Un nOTA'!$A$4:$K$5003,10,FALSE),"")</f>
        <v/>
      </c>
      <c r="I5442" s="123" t="str">
        <f>IFERROR(VLOOKUP(Table1722[[#This Row],[Bukti]],Table13[#Data],11,FALSE),"")</f>
        <v/>
      </c>
    </row>
    <row r="5443" spans="1:9" hidden="1" x14ac:dyDescent="0.2">
      <c r="A5443" s="105" t="str">
        <f>IF(D5443=1,COUNTIF($D$10:D5443,1)," ")</f>
        <v xml:space="preserve"> </v>
      </c>
      <c r="B5443" s="106">
        <f>COPY!AR5435</f>
        <v>0</v>
      </c>
      <c r="C5443" s="107">
        <f>COPY!AC5435</f>
        <v>0</v>
      </c>
      <c r="D5443" s="107" t="str">
        <f>IF(LEN(Table1722[[#This Row],[Uraian]])&gt;2,1," ")</f>
        <v xml:space="preserve"> </v>
      </c>
      <c r="E5443" s="113" t="str">
        <f>IF(Table1722[[#This Row],[Lawan Transaksi]]="CV AGUNG KARYA",COUNTIF($I$10:I5443,"CV AGUNG KARYA")," ")</f>
        <v xml:space="preserve"> </v>
      </c>
      <c r="F5443" s="107" t="str">
        <f>IF(LEN(Table1722[[#This Row],[Uraian]])&gt;2,TRIM(RIGHT(SUBSTITUTE(TRIM(C5443)," ",REPT(" ",255)),255))," ")</f>
        <v xml:space="preserve"> </v>
      </c>
      <c r="G5443" s="110">
        <f>COPY!Z5435</f>
        <v>0</v>
      </c>
      <c r="H5443" s="111" t="str">
        <f>IFERROR(VLOOKUP(Table1722[[#This Row],[Bukti]],'Un nOTA'!$A$4:$K$5003,10,FALSE),"")</f>
        <v/>
      </c>
      <c r="I5443" s="123" t="str">
        <f>IFERROR(VLOOKUP(Table1722[[#This Row],[Bukti]],Table13[#Data],11,FALSE),"")</f>
        <v/>
      </c>
    </row>
    <row r="5444" spans="1:9" hidden="1" x14ac:dyDescent="0.2">
      <c r="A5444" s="105" t="str">
        <f>IF(D5444=1,COUNTIF($D$10:D5444,1)," ")</f>
        <v xml:space="preserve"> </v>
      </c>
      <c r="B5444" s="106">
        <f>COPY!AR5436</f>
        <v>0</v>
      </c>
      <c r="C5444" s="107">
        <f>COPY!AC5436</f>
        <v>0</v>
      </c>
      <c r="D5444" s="107" t="str">
        <f>IF(LEN(Table1722[[#This Row],[Uraian]])&gt;2,1," ")</f>
        <v xml:space="preserve"> </v>
      </c>
      <c r="E5444" s="113" t="str">
        <f>IF(Table1722[[#This Row],[Lawan Transaksi]]="CV AGUNG KARYA",COUNTIF($I$10:I5444,"CV AGUNG KARYA")," ")</f>
        <v xml:space="preserve"> </v>
      </c>
      <c r="F5444" s="107" t="str">
        <f>IF(LEN(Table1722[[#This Row],[Uraian]])&gt;2,TRIM(RIGHT(SUBSTITUTE(TRIM(C5444)," ",REPT(" ",255)),255))," ")</f>
        <v xml:space="preserve"> </v>
      </c>
      <c r="G5444" s="110">
        <f>COPY!Z5436</f>
        <v>0</v>
      </c>
      <c r="H5444" s="111" t="str">
        <f>IFERROR(VLOOKUP(Table1722[[#This Row],[Bukti]],'Un nOTA'!$A$4:$K$5003,10,FALSE),"")</f>
        <v/>
      </c>
      <c r="I5444" s="123" t="str">
        <f>IFERROR(VLOOKUP(Table1722[[#This Row],[Bukti]],Table13[#Data],11,FALSE),"")</f>
        <v/>
      </c>
    </row>
    <row r="5445" spans="1:9" hidden="1" x14ac:dyDescent="0.2">
      <c r="A5445" s="105" t="str">
        <f>IF(D5445=1,COUNTIF($D$10:D5445,1)," ")</f>
        <v xml:space="preserve"> </v>
      </c>
      <c r="B5445" s="106">
        <f>COPY!AR5437</f>
        <v>0</v>
      </c>
      <c r="C5445" s="107">
        <f>COPY!AC5437</f>
        <v>0</v>
      </c>
      <c r="D5445" s="107" t="str">
        <f>IF(LEN(Table1722[[#This Row],[Uraian]])&gt;2,1," ")</f>
        <v xml:space="preserve"> </v>
      </c>
      <c r="E5445" s="113" t="str">
        <f>IF(Table1722[[#This Row],[Lawan Transaksi]]="CV AGUNG KARYA",COUNTIF($I$10:I5445,"CV AGUNG KARYA")," ")</f>
        <v xml:space="preserve"> </v>
      </c>
      <c r="F5445" s="107" t="str">
        <f>IF(LEN(Table1722[[#This Row],[Uraian]])&gt;2,TRIM(RIGHT(SUBSTITUTE(TRIM(C5445)," ",REPT(" ",255)),255))," ")</f>
        <v xml:space="preserve"> </v>
      </c>
      <c r="G5445" s="110">
        <f>COPY!Z5437</f>
        <v>0</v>
      </c>
      <c r="H5445" s="111" t="str">
        <f>IFERROR(VLOOKUP(Table1722[[#This Row],[Bukti]],'Un nOTA'!$A$4:$K$5003,10,FALSE),"")</f>
        <v/>
      </c>
      <c r="I5445" s="123" t="str">
        <f>IFERROR(VLOOKUP(Table1722[[#This Row],[Bukti]],Table13[#Data],11,FALSE),"")</f>
        <v/>
      </c>
    </row>
    <row r="5446" spans="1:9" hidden="1" x14ac:dyDescent="0.2">
      <c r="A5446" s="105" t="str">
        <f>IF(D5446=1,COUNTIF($D$10:D5446,1)," ")</f>
        <v xml:space="preserve"> </v>
      </c>
      <c r="B5446" s="106">
        <f>COPY!AR5438</f>
        <v>0</v>
      </c>
      <c r="C5446" s="107">
        <f>COPY!AC5438</f>
        <v>0</v>
      </c>
      <c r="D5446" s="107" t="str">
        <f>IF(LEN(Table1722[[#This Row],[Uraian]])&gt;2,1," ")</f>
        <v xml:space="preserve"> </v>
      </c>
      <c r="E5446" s="113" t="str">
        <f>IF(Table1722[[#This Row],[Lawan Transaksi]]="CV AGUNG KARYA",COUNTIF($I$10:I5446,"CV AGUNG KARYA")," ")</f>
        <v xml:space="preserve"> </v>
      </c>
      <c r="F5446" s="107" t="str">
        <f>IF(LEN(Table1722[[#This Row],[Uraian]])&gt;2,TRIM(RIGHT(SUBSTITUTE(TRIM(C5446)," ",REPT(" ",255)),255))," ")</f>
        <v xml:space="preserve"> </v>
      </c>
      <c r="G5446" s="110">
        <f>COPY!Z5438</f>
        <v>0</v>
      </c>
      <c r="H5446" s="111" t="str">
        <f>IFERROR(VLOOKUP(Table1722[[#This Row],[Bukti]],'Un nOTA'!$A$4:$K$5003,10,FALSE),"")</f>
        <v/>
      </c>
      <c r="I5446" s="123" t="str">
        <f>IFERROR(VLOOKUP(Table1722[[#This Row],[Bukti]],Table13[#Data],11,FALSE),"")</f>
        <v/>
      </c>
    </row>
    <row r="5447" spans="1:9" hidden="1" x14ac:dyDescent="0.2">
      <c r="A5447" s="105" t="str">
        <f>IF(D5447=1,COUNTIF($D$10:D5447,1)," ")</f>
        <v xml:space="preserve"> </v>
      </c>
      <c r="B5447" s="106">
        <f>COPY!AR5439</f>
        <v>0</v>
      </c>
      <c r="C5447" s="107">
        <f>COPY!AC5439</f>
        <v>0</v>
      </c>
      <c r="D5447" s="107" t="str">
        <f>IF(LEN(Table1722[[#This Row],[Uraian]])&gt;2,1," ")</f>
        <v xml:space="preserve"> </v>
      </c>
      <c r="E5447" s="113" t="str">
        <f>IF(Table1722[[#This Row],[Lawan Transaksi]]="CV AGUNG KARYA",COUNTIF($I$10:I5447,"CV AGUNG KARYA")," ")</f>
        <v xml:space="preserve"> </v>
      </c>
      <c r="F5447" s="107" t="str">
        <f>IF(LEN(Table1722[[#This Row],[Uraian]])&gt;2,TRIM(RIGHT(SUBSTITUTE(TRIM(C5447)," ",REPT(" ",255)),255))," ")</f>
        <v xml:space="preserve"> </v>
      </c>
      <c r="G5447" s="110">
        <f>COPY!Z5439</f>
        <v>0</v>
      </c>
      <c r="H5447" s="111" t="str">
        <f>IFERROR(VLOOKUP(Table1722[[#This Row],[Bukti]],'Un nOTA'!$A$4:$K$5003,10,FALSE),"")</f>
        <v/>
      </c>
      <c r="I5447" s="123" t="str">
        <f>IFERROR(VLOOKUP(Table1722[[#This Row],[Bukti]],Table13[#Data],11,FALSE),"")</f>
        <v/>
      </c>
    </row>
    <row r="5448" spans="1:9" hidden="1" x14ac:dyDescent="0.2">
      <c r="A5448" s="105" t="str">
        <f>IF(D5448=1,COUNTIF($D$10:D5448,1)," ")</f>
        <v xml:space="preserve"> </v>
      </c>
      <c r="B5448" s="106">
        <f>COPY!AR5440</f>
        <v>0</v>
      </c>
      <c r="C5448" s="107">
        <f>COPY!AC5440</f>
        <v>0</v>
      </c>
      <c r="D5448" s="107" t="str">
        <f>IF(LEN(Table1722[[#This Row],[Uraian]])&gt;2,1," ")</f>
        <v xml:space="preserve"> </v>
      </c>
      <c r="E5448" s="113" t="str">
        <f>IF(Table1722[[#This Row],[Lawan Transaksi]]="CV AGUNG KARYA",COUNTIF($I$10:I5448,"CV AGUNG KARYA")," ")</f>
        <v xml:space="preserve"> </v>
      </c>
      <c r="F5448" s="107" t="str">
        <f>IF(LEN(Table1722[[#This Row],[Uraian]])&gt;2,TRIM(RIGHT(SUBSTITUTE(TRIM(C5448)," ",REPT(" ",255)),255))," ")</f>
        <v xml:space="preserve"> </v>
      </c>
      <c r="G5448" s="110">
        <f>COPY!Z5440</f>
        <v>0</v>
      </c>
      <c r="H5448" s="111" t="str">
        <f>IFERROR(VLOOKUP(Table1722[[#This Row],[Bukti]],'Un nOTA'!$A$4:$K$5003,10,FALSE),"")</f>
        <v/>
      </c>
      <c r="I5448" s="123" t="str">
        <f>IFERROR(VLOOKUP(Table1722[[#This Row],[Bukti]],Table13[#Data],11,FALSE),"")</f>
        <v/>
      </c>
    </row>
    <row r="5449" spans="1:9" hidden="1" x14ac:dyDescent="0.2">
      <c r="A5449" s="105" t="str">
        <f>IF(D5449=1,COUNTIF($D$10:D5449,1)," ")</f>
        <v xml:space="preserve"> </v>
      </c>
      <c r="B5449" s="106">
        <f>COPY!AR5441</f>
        <v>0</v>
      </c>
      <c r="C5449" s="107">
        <f>COPY!AC5441</f>
        <v>0</v>
      </c>
      <c r="D5449" s="107" t="str">
        <f>IF(LEN(Table1722[[#This Row],[Uraian]])&gt;2,1," ")</f>
        <v xml:space="preserve"> </v>
      </c>
      <c r="E5449" s="113" t="str">
        <f>IF(Table1722[[#This Row],[Lawan Transaksi]]="CV AGUNG KARYA",COUNTIF($I$10:I5449,"CV AGUNG KARYA")," ")</f>
        <v xml:space="preserve"> </v>
      </c>
      <c r="F5449" s="107" t="str">
        <f>IF(LEN(Table1722[[#This Row],[Uraian]])&gt;2,TRIM(RIGHT(SUBSTITUTE(TRIM(C5449)," ",REPT(" ",255)),255))," ")</f>
        <v xml:space="preserve"> </v>
      </c>
      <c r="G5449" s="110">
        <f>COPY!Z5441</f>
        <v>0</v>
      </c>
      <c r="H5449" s="111" t="str">
        <f>IFERROR(VLOOKUP(Table1722[[#This Row],[Bukti]],'Un nOTA'!$A$4:$K$5003,10,FALSE),"")</f>
        <v/>
      </c>
      <c r="I5449" s="123" t="str">
        <f>IFERROR(VLOOKUP(Table1722[[#This Row],[Bukti]],Table13[#Data],11,FALSE),"")</f>
        <v/>
      </c>
    </row>
    <row r="5450" spans="1:9" hidden="1" x14ac:dyDescent="0.2">
      <c r="A5450" s="105" t="str">
        <f>IF(D5450=1,COUNTIF($D$10:D5450,1)," ")</f>
        <v xml:space="preserve"> </v>
      </c>
      <c r="B5450" s="106">
        <f>COPY!AR5442</f>
        <v>0</v>
      </c>
      <c r="C5450" s="107">
        <f>COPY!AC5442</f>
        <v>0</v>
      </c>
      <c r="D5450" s="107" t="str">
        <f>IF(LEN(Table1722[[#This Row],[Uraian]])&gt;2,1," ")</f>
        <v xml:space="preserve"> </v>
      </c>
      <c r="E5450" s="113" t="str">
        <f>IF(Table1722[[#This Row],[Lawan Transaksi]]="CV AGUNG KARYA",COUNTIF($I$10:I5450,"CV AGUNG KARYA")," ")</f>
        <v xml:space="preserve"> </v>
      </c>
      <c r="F5450" s="107" t="str">
        <f>IF(LEN(Table1722[[#This Row],[Uraian]])&gt;2,TRIM(RIGHT(SUBSTITUTE(TRIM(C5450)," ",REPT(" ",255)),255))," ")</f>
        <v xml:space="preserve"> </v>
      </c>
      <c r="G5450" s="110">
        <f>COPY!Z5442</f>
        <v>0</v>
      </c>
      <c r="H5450" s="111" t="str">
        <f>IFERROR(VLOOKUP(Table1722[[#This Row],[Bukti]],'Un nOTA'!$A$4:$K$5003,10,FALSE),"")</f>
        <v/>
      </c>
      <c r="I5450" s="123" t="str">
        <f>IFERROR(VLOOKUP(Table1722[[#This Row],[Bukti]],Table13[#Data],11,FALSE),"")</f>
        <v/>
      </c>
    </row>
    <row r="5451" spans="1:9" hidden="1" x14ac:dyDescent="0.2">
      <c r="A5451" s="105" t="str">
        <f>IF(D5451=1,COUNTIF($D$10:D5451,1)," ")</f>
        <v xml:space="preserve"> </v>
      </c>
      <c r="B5451" s="106">
        <f>COPY!AR5443</f>
        <v>0</v>
      </c>
      <c r="C5451" s="107">
        <f>COPY!AC5443</f>
        <v>0</v>
      </c>
      <c r="D5451" s="107" t="str">
        <f>IF(LEN(Table1722[[#This Row],[Uraian]])&gt;2,1," ")</f>
        <v xml:space="preserve"> </v>
      </c>
      <c r="E5451" s="113" t="str">
        <f>IF(Table1722[[#This Row],[Lawan Transaksi]]="CV AGUNG KARYA",COUNTIF($I$10:I5451,"CV AGUNG KARYA")," ")</f>
        <v xml:space="preserve"> </v>
      </c>
      <c r="F5451" s="107" t="str">
        <f>IF(LEN(Table1722[[#This Row],[Uraian]])&gt;2,TRIM(RIGHT(SUBSTITUTE(TRIM(C5451)," ",REPT(" ",255)),255))," ")</f>
        <v xml:space="preserve"> </v>
      </c>
      <c r="G5451" s="110">
        <f>COPY!Z5443</f>
        <v>0</v>
      </c>
      <c r="H5451" s="111" t="str">
        <f>IFERROR(VLOOKUP(Table1722[[#This Row],[Bukti]],'Un nOTA'!$A$4:$K$5003,10,FALSE),"")</f>
        <v/>
      </c>
      <c r="I5451" s="123" t="str">
        <f>IFERROR(VLOOKUP(Table1722[[#This Row],[Bukti]],Table13[#Data],11,FALSE),"")</f>
        <v/>
      </c>
    </row>
    <row r="5452" spans="1:9" hidden="1" x14ac:dyDescent="0.2">
      <c r="A5452" s="105" t="str">
        <f>IF(D5452=1,COUNTIF($D$10:D5452,1)," ")</f>
        <v xml:space="preserve"> </v>
      </c>
      <c r="B5452" s="106">
        <f>COPY!AR5444</f>
        <v>0</v>
      </c>
      <c r="C5452" s="107">
        <f>COPY!AC5444</f>
        <v>0</v>
      </c>
      <c r="D5452" s="107" t="str">
        <f>IF(LEN(Table1722[[#This Row],[Uraian]])&gt;2,1," ")</f>
        <v xml:space="preserve"> </v>
      </c>
      <c r="E5452" s="113" t="str">
        <f>IF(Table1722[[#This Row],[Lawan Transaksi]]="CV AGUNG KARYA",COUNTIF($I$10:I5452,"CV AGUNG KARYA")," ")</f>
        <v xml:space="preserve"> </v>
      </c>
      <c r="F5452" s="107" t="str">
        <f>IF(LEN(Table1722[[#This Row],[Uraian]])&gt;2,TRIM(RIGHT(SUBSTITUTE(TRIM(C5452)," ",REPT(" ",255)),255))," ")</f>
        <v xml:space="preserve"> </v>
      </c>
      <c r="G5452" s="110">
        <f>COPY!Z5444</f>
        <v>0</v>
      </c>
      <c r="H5452" s="111" t="str">
        <f>IFERROR(VLOOKUP(Table1722[[#This Row],[Bukti]],'Un nOTA'!$A$4:$K$5003,10,FALSE),"")</f>
        <v/>
      </c>
      <c r="I5452" s="123" t="str">
        <f>IFERROR(VLOOKUP(Table1722[[#This Row],[Bukti]],Table13[#Data],11,FALSE),"")</f>
        <v/>
      </c>
    </row>
    <row r="5453" spans="1:9" hidden="1" x14ac:dyDescent="0.2">
      <c r="A5453" s="105" t="str">
        <f>IF(D5453=1,COUNTIF($D$10:D5453,1)," ")</f>
        <v xml:space="preserve"> </v>
      </c>
      <c r="B5453" s="106">
        <f>COPY!AR5445</f>
        <v>0</v>
      </c>
      <c r="C5453" s="107">
        <f>COPY!AC5445</f>
        <v>0</v>
      </c>
      <c r="D5453" s="107" t="str">
        <f>IF(LEN(Table1722[[#This Row],[Uraian]])&gt;2,1," ")</f>
        <v xml:space="preserve"> </v>
      </c>
      <c r="E5453" s="113" t="str">
        <f>IF(Table1722[[#This Row],[Lawan Transaksi]]="CV AGUNG KARYA",COUNTIF($I$10:I5453,"CV AGUNG KARYA")," ")</f>
        <v xml:space="preserve"> </v>
      </c>
      <c r="F5453" s="107" t="str">
        <f>IF(LEN(Table1722[[#This Row],[Uraian]])&gt;2,TRIM(RIGHT(SUBSTITUTE(TRIM(C5453)," ",REPT(" ",255)),255))," ")</f>
        <v xml:space="preserve"> </v>
      </c>
      <c r="G5453" s="110">
        <f>COPY!Z5445</f>
        <v>0</v>
      </c>
      <c r="H5453" s="111" t="str">
        <f>IFERROR(VLOOKUP(Table1722[[#This Row],[Bukti]],'Un nOTA'!$A$4:$K$5003,10,FALSE),"")</f>
        <v/>
      </c>
      <c r="I5453" s="123" t="str">
        <f>IFERROR(VLOOKUP(Table1722[[#This Row],[Bukti]],Table13[#Data],11,FALSE),"")</f>
        <v/>
      </c>
    </row>
    <row r="5454" spans="1:9" hidden="1" x14ac:dyDescent="0.2">
      <c r="A5454" s="105" t="str">
        <f>IF(D5454=1,COUNTIF($D$10:D5454,1)," ")</f>
        <v xml:space="preserve"> </v>
      </c>
      <c r="B5454" s="106">
        <f>COPY!AR5446</f>
        <v>0</v>
      </c>
      <c r="C5454" s="107">
        <f>COPY!AC5446</f>
        <v>0</v>
      </c>
      <c r="D5454" s="107" t="str">
        <f>IF(LEN(Table1722[[#This Row],[Uraian]])&gt;2,1," ")</f>
        <v xml:space="preserve"> </v>
      </c>
      <c r="E5454" s="113" t="str">
        <f>IF(Table1722[[#This Row],[Lawan Transaksi]]="CV AGUNG KARYA",COUNTIF($I$10:I5454,"CV AGUNG KARYA")," ")</f>
        <v xml:space="preserve"> </v>
      </c>
      <c r="F5454" s="107" t="str">
        <f>IF(LEN(Table1722[[#This Row],[Uraian]])&gt;2,TRIM(RIGHT(SUBSTITUTE(TRIM(C5454)," ",REPT(" ",255)),255))," ")</f>
        <v xml:space="preserve"> </v>
      </c>
      <c r="G5454" s="110">
        <f>COPY!Z5446</f>
        <v>0</v>
      </c>
      <c r="H5454" s="111" t="str">
        <f>IFERROR(VLOOKUP(Table1722[[#This Row],[Bukti]],'Un nOTA'!$A$4:$K$5003,10,FALSE),"")</f>
        <v/>
      </c>
      <c r="I5454" s="123" t="str">
        <f>IFERROR(VLOOKUP(Table1722[[#This Row],[Bukti]],Table13[#Data],11,FALSE),"")</f>
        <v/>
      </c>
    </row>
    <row r="5455" spans="1:9" hidden="1" x14ac:dyDescent="0.2">
      <c r="A5455" s="105" t="str">
        <f>IF(D5455=1,COUNTIF($D$10:D5455,1)," ")</f>
        <v xml:space="preserve"> </v>
      </c>
      <c r="B5455" s="106">
        <f>COPY!AR5447</f>
        <v>0</v>
      </c>
      <c r="C5455" s="107">
        <f>COPY!AC5447</f>
        <v>0</v>
      </c>
      <c r="D5455" s="107" t="str">
        <f>IF(LEN(Table1722[[#This Row],[Uraian]])&gt;2,1," ")</f>
        <v xml:space="preserve"> </v>
      </c>
      <c r="E5455" s="113" t="str">
        <f>IF(Table1722[[#This Row],[Lawan Transaksi]]="CV AGUNG KARYA",COUNTIF($I$10:I5455,"CV AGUNG KARYA")," ")</f>
        <v xml:space="preserve"> </v>
      </c>
      <c r="F5455" s="107" t="str">
        <f>IF(LEN(Table1722[[#This Row],[Uraian]])&gt;2,TRIM(RIGHT(SUBSTITUTE(TRIM(C5455)," ",REPT(" ",255)),255))," ")</f>
        <v xml:space="preserve"> </v>
      </c>
      <c r="G5455" s="110">
        <f>COPY!Z5447</f>
        <v>0</v>
      </c>
      <c r="H5455" s="111" t="str">
        <f>IFERROR(VLOOKUP(Table1722[[#This Row],[Bukti]],'Un nOTA'!$A$4:$K$5003,10,FALSE),"")</f>
        <v/>
      </c>
      <c r="I5455" s="123" t="str">
        <f>IFERROR(VLOOKUP(Table1722[[#This Row],[Bukti]],Table13[#Data],11,FALSE),"")</f>
        <v/>
      </c>
    </row>
    <row r="5456" spans="1:9" hidden="1" x14ac:dyDescent="0.2">
      <c r="A5456" s="105" t="str">
        <f>IF(D5456=1,COUNTIF($D$10:D5456,1)," ")</f>
        <v xml:space="preserve"> </v>
      </c>
      <c r="B5456" s="106">
        <f>COPY!AR5448</f>
        <v>0</v>
      </c>
      <c r="C5456" s="107">
        <f>COPY!AC5448</f>
        <v>0</v>
      </c>
      <c r="D5456" s="107" t="str">
        <f>IF(LEN(Table1722[[#This Row],[Uraian]])&gt;2,1," ")</f>
        <v xml:space="preserve"> </v>
      </c>
      <c r="E5456" s="113" t="str">
        <f>IF(Table1722[[#This Row],[Lawan Transaksi]]="CV AGUNG KARYA",COUNTIF($I$10:I5456,"CV AGUNG KARYA")," ")</f>
        <v xml:space="preserve"> </v>
      </c>
      <c r="F5456" s="107" t="str">
        <f>IF(LEN(Table1722[[#This Row],[Uraian]])&gt;2,TRIM(RIGHT(SUBSTITUTE(TRIM(C5456)," ",REPT(" ",255)),255))," ")</f>
        <v xml:space="preserve"> </v>
      </c>
      <c r="G5456" s="110">
        <f>COPY!Z5448</f>
        <v>0</v>
      </c>
      <c r="H5456" s="111" t="str">
        <f>IFERROR(VLOOKUP(Table1722[[#This Row],[Bukti]],'Un nOTA'!$A$4:$K$5003,10,FALSE),"")</f>
        <v/>
      </c>
      <c r="I5456" s="123" t="str">
        <f>IFERROR(VLOOKUP(Table1722[[#This Row],[Bukti]],Table13[#Data],11,FALSE),"")</f>
        <v/>
      </c>
    </row>
    <row r="5457" spans="1:9" hidden="1" x14ac:dyDescent="0.2">
      <c r="A5457" s="105" t="str">
        <f>IF(D5457=1,COUNTIF($D$10:D5457,1)," ")</f>
        <v xml:space="preserve"> </v>
      </c>
      <c r="B5457" s="106">
        <f>COPY!AR5449</f>
        <v>0</v>
      </c>
      <c r="C5457" s="107">
        <f>COPY!AC5449</f>
        <v>0</v>
      </c>
      <c r="D5457" s="107" t="str">
        <f>IF(LEN(Table1722[[#This Row],[Uraian]])&gt;2,1," ")</f>
        <v xml:space="preserve"> </v>
      </c>
      <c r="E5457" s="113" t="str">
        <f>IF(Table1722[[#This Row],[Lawan Transaksi]]="CV AGUNG KARYA",COUNTIF($I$10:I5457,"CV AGUNG KARYA")," ")</f>
        <v xml:space="preserve"> </v>
      </c>
      <c r="F5457" s="107" t="str">
        <f>IF(LEN(Table1722[[#This Row],[Uraian]])&gt;2,TRIM(RIGHT(SUBSTITUTE(TRIM(C5457)," ",REPT(" ",255)),255))," ")</f>
        <v xml:space="preserve"> </v>
      </c>
      <c r="G5457" s="110">
        <f>COPY!Z5449</f>
        <v>0</v>
      </c>
      <c r="H5457" s="111" t="str">
        <f>IFERROR(VLOOKUP(Table1722[[#This Row],[Bukti]],'Un nOTA'!$A$4:$K$5003,10,FALSE),"")</f>
        <v/>
      </c>
      <c r="I5457" s="123" t="str">
        <f>IFERROR(VLOOKUP(Table1722[[#This Row],[Bukti]],Table13[#Data],11,FALSE),"")</f>
        <v/>
      </c>
    </row>
    <row r="5458" spans="1:9" hidden="1" x14ac:dyDescent="0.2">
      <c r="A5458" s="105" t="str">
        <f>IF(D5458=1,COUNTIF($D$10:D5458,1)," ")</f>
        <v xml:space="preserve"> </v>
      </c>
      <c r="B5458" s="106">
        <f>COPY!AR5450</f>
        <v>0</v>
      </c>
      <c r="C5458" s="107">
        <f>COPY!AC5450</f>
        <v>0</v>
      </c>
      <c r="D5458" s="107" t="str">
        <f>IF(LEN(Table1722[[#This Row],[Uraian]])&gt;2,1," ")</f>
        <v xml:space="preserve"> </v>
      </c>
      <c r="E5458" s="113" t="str">
        <f>IF(Table1722[[#This Row],[Lawan Transaksi]]="CV AGUNG KARYA",COUNTIF($I$10:I5458,"CV AGUNG KARYA")," ")</f>
        <v xml:space="preserve"> </v>
      </c>
      <c r="F5458" s="107" t="str">
        <f>IF(LEN(Table1722[[#This Row],[Uraian]])&gt;2,TRIM(RIGHT(SUBSTITUTE(TRIM(C5458)," ",REPT(" ",255)),255))," ")</f>
        <v xml:space="preserve"> </v>
      </c>
      <c r="G5458" s="110">
        <f>COPY!Z5450</f>
        <v>0</v>
      </c>
      <c r="H5458" s="111" t="str">
        <f>IFERROR(VLOOKUP(Table1722[[#This Row],[Bukti]],'Un nOTA'!$A$4:$K$5003,10,FALSE),"")</f>
        <v/>
      </c>
      <c r="I5458" s="123" t="str">
        <f>IFERROR(VLOOKUP(Table1722[[#This Row],[Bukti]],Table13[#Data],11,FALSE),"")</f>
        <v/>
      </c>
    </row>
    <row r="5459" spans="1:9" hidden="1" x14ac:dyDescent="0.2">
      <c r="A5459" s="105" t="str">
        <f>IF(D5459=1,COUNTIF($D$10:D5459,1)," ")</f>
        <v xml:space="preserve"> </v>
      </c>
      <c r="B5459" s="106">
        <f>COPY!AR5451</f>
        <v>0</v>
      </c>
      <c r="C5459" s="107">
        <f>COPY!AC5451</f>
        <v>0</v>
      </c>
      <c r="D5459" s="107" t="str">
        <f>IF(LEN(Table1722[[#This Row],[Uraian]])&gt;2,1," ")</f>
        <v xml:space="preserve"> </v>
      </c>
      <c r="E5459" s="113" t="str">
        <f>IF(Table1722[[#This Row],[Lawan Transaksi]]="CV AGUNG KARYA",COUNTIF($I$10:I5459,"CV AGUNG KARYA")," ")</f>
        <v xml:space="preserve"> </v>
      </c>
      <c r="F5459" s="107" t="str">
        <f>IF(LEN(Table1722[[#This Row],[Uraian]])&gt;2,TRIM(RIGHT(SUBSTITUTE(TRIM(C5459)," ",REPT(" ",255)),255))," ")</f>
        <v xml:space="preserve"> </v>
      </c>
      <c r="G5459" s="110">
        <f>COPY!Z5451</f>
        <v>0</v>
      </c>
      <c r="H5459" s="111" t="str">
        <f>IFERROR(VLOOKUP(Table1722[[#This Row],[Bukti]],'Un nOTA'!$A$4:$K$5003,10,FALSE),"")</f>
        <v/>
      </c>
      <c r="I5459" s="123" t="str">
        <f>IFERROR(VLOOKUP(Table1722[[#This Row],[Bukti]],Table13[#Data],11,FALSE),"")</f>
        <v/>
      </c>
    </row>
    <row r="5460" spans="1:9" hidden="1" x14ac:dyDescent="0.2">
      <c r="A5460" s="105" t="str">
        <f>IF(D5460=1,COUNTIF($D$10:D5460,1)," ")</f>
        <v xml:space="preserve"> </v>
      </c>
      <c r="B5460" s="106">
        <f>COPY!AR5452</f>
        <v>0</v>
      </c>
      <c r="C5460" s="107">
        <f>COPY!AC5452</f>
        <v>0</v>
      </c>
      <c r="D5460" s="107" t="str">
        <f>IF(LEN(Table1722[[#This Row],[Uraian]])&gt;2,1," ")</f>
        <v xml:space="preserve"> </v>
      </c>
      <c r="E5460" s="113" t="str">
        <f>IF(Table1722[[#This Row],[Lawan Transaksi]]="CV AGUNG KARYA",COUNTIF($I$10:I5460,"CV AGUNG KARYA")," ")</f>
        <v xml:space="preserve"> </v>
      </c>
      <c r="F5460" s="107" t="str">
        <f>IF(LEN(Table1722[[#This Row],[Uraian]])&gt;2,TRIM(RIGHT(SUBSTITUTE(TRIM(C5460)," ",REPT(" ",255)),255))," ")</f>
        <v xml:space="preserve"> </v>
      </c>
      <c r="G5460" s="110">
        <f>COPY!Z5452</f>
        <v>0</v>
      </c>
      <c r="H5460" s="111" t="str">
        <f>IFERROR(VLOOKUP(Table1722[[#This Row],[Bukti]],'Un nOTA'!$A$4:$K$5003,10,FALSE),"")</f>
        <v/>
      </c>
      <c r="I5460" s="123" t="str">
        <f>IFERROR(VLOOKUP(Table1722[[#This Row],[Bukti]],Table13[#Data],11,FALSE),"")</f>
        <v/>
      </c>
    </row>
    <row r="5461" spans="1:9" hidden="1" x14ac:dyDescent="0.2">
      <c r="A5461" s="105" t="str">
        <f>IF(D5461=1,COUNTIF($D$10:D5461,1)," ")</f>
        <v xml:space="preserve"> </v>
      </c>
      <c r="B5461" s="106">
        <f>COPY!AR5453</f>
        <v>0</v>
      </c>
      <c r="C5461" s="107">
        <f>COPY!AC5453</f>
        <v>0</v>
      </c>
      <c r="D5461" s="107" t="str">
        <f>IF(LEN(Table1722[[#This Row],[Uraian]])&gt;2,1," ")</f>
        <v xml:space="preserve"> </v>
      </c>
      <c r="E5461" s="113" t="str">
        <f>IF(Table1722[[#This Row],[Lawan Transaksi]]="CV AGUNG KARYA",COUNTIF($I$10:I5461,"CV AGUNG KARYA")," ")</f>
        <v xml:space="preserve"> </v>
      </c>
      <c r="F5461" s="107" t="str">
        <f>IF(LEN(Table1722[[#This Row],[Uraian]])&gt;2,TRIM(RIGHT(SUBSTITUTE(TRIM(C5461)," ",REPT(" ",255)),255))," ")</f>
        <v xml:space="preserve"> </v>
      </c>
      <c r="G5461" s="110">
        <f>COPY!Z5453</f>
        <v>0</v>
      </c>
      <c r="H5461" s="111" t="str">
        <f>IFERROR(VLOOKUP(Table1722[[#This Row],[Bukti]],'Un nOTA'!$A$4:$K$5003,10,FALSE),"")</f>
        <v/>
      </c>
      <c r="I5461" s="123" t="str">
        <f>IFERROR(VLOOKUP(Table1722[[#This Row],[Bukti]],Table13[#Data],11,FALSE),"")</f>
        <v/>
      </c>
    </row>
    <row r="5462" spans="1:9" hidden="1" x14ac:dyDescent="0.2">
      <c r="A5462" s="105" t="str">
        <f>IF(D5462=1,COUNTIF($D$10:D5462,1)," ")</f>
        <v xml:space="preserve"> </v>
      </c>
      <c r="B5462" s="106">
        <f>COPY!AR5454</f>
        <v>0</v>
      </c>
      <c r="C5462" s="107">
        <f>COPY!AC5454</f>
        <v>0</v>
      </c>
      <c r="D5462" s="107" t="str">
        <f>IF(LEN(Table1722[[#This Row],[Uraian]])&gt;2,1," ")</f>
        <v xml:space="preserve"> </v>
      </c>
      <c r="E5462" s="113" t="str">
        <f>IF(Table1722[[#This Row],[Lawan Transaksi]]="CV AGUNG KARYA",COUNTIF($I$10:I5462,"CV AGUNG KARYA")," ")</f>
        <v xml:space="preserve"> </v>
      </c>
      <c r="F5462" s="107" t="str">
        <f>IF(LEN(Table1722[[#This Row],[Uraian]])&gt;2,TRIM(RIGHT(SUBSTITUTE(TRIM(C5462)," ",REPT(" ",255)),255))," ")</f>
        <v xml:space="preserve"> </v>
      </c>
      <c r="G5462" s="110">
        <f>COPY!Z5454</f>
        <v>0</v>
      </c>
      <c r="H5462" s="111" t="str">
        <f>IFERROR(VLOOKUP(Table1722[[#This Row],[Bukti]],'Un nOTA'!$A$4:$K$5003,10,FALSE),"")</f>
        <v/>
      </c>
      <c r="I5462" s="123" t="str">
        <f>IFERROR(VLOOKUP(Table1722[[#This Row],[Bukti]],Table13[#Data],11,FALSE),"")</f>
        <v/>
      </c>
    </row>
    <row r="5463" spans="1:9" hidden="1" x14ac:dyDescent="0.2">
      <c r="A5463" s="105" t="str">
        <f>IF(D5463=1,COUNTIF($D$10:D5463,1)," ")</f>
        <v xml:space="preserve"> </v>
      </c>
      <c r="B5463" s="106">
        <f>COPY!AR5455</f>
        <v>0</v>
      </c>
      <c r="C5463" s="107">
        <f>COPY!AC5455</f>
        <v>0</v>
      </c>
      <c r="D5463" s="107" t="str">
        <f>IF(LEN(Table1722[[#This Row],[Uraian]])&gt;2,1," ")</f>
        <v xml:space="preserve"> </v>
      </c>
      <c r="E5463" s="113" t="str">
        <f>IF(Table1722[[#This Row],[Lawan Transaksi]]="CV AGUNG KARYA",COUNTIF($I$10:I5463,"CV AGUNG KARYA")," ")</f>
        <v xml:space="preserve"> </v>
      </c>
      <c r="F5463" s="107" t="str">
        <f>IF(LEN(Table1722[[#This Row],[Uraian]])&gt;2,TRIM(RIGHT(SUBSTITUTE(TRIM(C5463)," ",REPT(" ",255)),255))," ")</f>
        <v xml:space="preserve"> </v>
      </c>
      <c r="G5463" s="110">
        <f>COPY!Z5455</f>
        <v>0</v>
      </c>
      <c r="H5463" s="111" t="str">
        <f>IFERROR(VLOOKUP(Table1722[[#This Row],[Bukti]],'Un nOTA'!$A$4:$K$5003,10,FALSE),"")</f>
        <v/>
      </c>
      <c r="I5463" s="123" t="str">
        <f>IFERROR(VLOOKUP(Table1722[[#This Row],[Bukti]],Table13[#Data],11,FALSE),"")</f>
        <v/>
      </c>
    </row>
    <row r="5464" spans="1:9" hidden="1" x14ac:dyDescent="0.2">
      <c r="A5464" s="105" t="str">
        <f>IF(D5464=1,COUNTIF($D$10:D5464,1)," ")</f>
        <v xml:space="preserve"> </v>
      </c>
      <c r="B5464" s="106">
        <f>COPY!AR5456</f>
        <v>0</v>
      </c>
      <c r="C5464" s="107">
        <f>COPY!AC5456</f>
        <v>0</v>
      </c>
      <c r="D5464" s="107" t="str">
        <f>IF(LEN(Table1722[[#This Row],[Uraian]])&gt;2,1," ")</f>
        <v xml:space="preserve"> </v>
      </c>
      <c r="E5464" s="113" t="str">
        <f>IF(Table1722[[#This Row],[Lawan Transaksi]]="CV AGUNG KARYA",COUNTIF($I$10:I5464,"CV AGUNG KARYA")," ")</f>
        <v xml:space="preserve"> </v>
      </c>
      <c r="F5464" s="107" t="str">
        <f>IF(LEN(Table1722[[#This Row],[Uraian]])&gt;2,TRIM(RIGHT(SUBSTITUTE(TRIM(C5464)," ",REPT(" ",255)),255))," ")</f>
        <v xml:space="preserve"> </v>
      </c>
      <c r="G5464" s="110">
        <f>COPY!Z5456</f>
        <v>0</v>
      </c>
      <c r="H5464" s="111" t="str">
        <f>IFERROR(VLOOKUP(Table1722[[#This Row],[Bukti]],'Un nOTA'!$A$4:$K$5003,10,FALSE),"")</f>
        <v/>
      </c>
      <c r="I5464" s="123" t="str">
        <f>IFERROR(VLOOKUP(Table1722[[#This Row],[Bukti]],Table13[#Data],11,FALSE),"")</f>
        <v/>
      </c>
    </row>
    <row r="5465" spans="1:9" hidden="1" x14ac:dyDescent="0.2">
      <c r="A5465" s="105" t="str">
        <f>IF(D5465=1,COUNTIF($D$10:D5465,1)," ")</f>
        <v xml:space="preserve"> </v>
      </c>
      <c r="B5465" s="106">
        <f>COPY!AR5457</f>
        <v>0</v>
      </c>
      <c r="C5465" s="107">
        <f>COPY!AC5457</f>
        <v>0</v>
      </c>
      <c r="D5465" s="107" t="str">
        <f>IF(LEN(Table1722[[#This Row],[Uraian]])&gt;2,1," ")</f>
        <v xml:space="preserve"> </v>
      </c>
      <c r="E5465" s="113" t="str">
        <f>IF(Table1722[[#This Row],[Lawan Transaksi]]="CV AGUNG KARYA",COUNTIF($I$10:I5465,"CV AGUNG KARYA")," ")</f>
        <v xml:space="preserve"> </v>
      </c>
      <c r="F5465" s="107" t="str">
        <f>IF(LEN(Table1722[[#This Row],[Uraian]])&gt;2,TRIM(RIGHT(SUBSTITUTE(TRIM(C5465)," ",REPT(" ",255)),255))," ")</f>
        <v xml:space="preserve"> </v>
      </c>
      <c r="G5465" s="110">
        <f>COPY!Z5457</f>
        <v>0</v>
      </c>
      <c r="H5465" s="111" t="str">
        <f>IFERROR(VLOOKUP(Table1722[[#This Row],[Bukti]],'Un nOTA'!$A$4:$K$5003,10,FALSE),"")</f>
        <v/>
      </c>
      <c r="I5465" s="123" t="str">
        <f>IFERROR(VLOOKUP(Table1722[[#This Row],[Bukti]],Table13[#Data],11,FALSE),"")</f>
        <v/>
      </c>
    </row>
    <row r="5466" spans="1:9" hidden="1" x14ac:dyDescent="0.2">
      <c r="A5466" s="105" t="str">
        <f>IF(D5466=1,COUNTIF($D$10:D5466,1)," ")</f>
        <v xml:space="preserve"> </v>
      </c>
      <c r="B5466" s="106">
        <f>COPY!AR5458</f>
        <v>0</v>
      </c>
      <c r="C5466" s="107">
        <f>COPY!AC5458</f>
        <v>0</v>
      </c>
      <c r="D5466" s="107" t="str">
        <f>IF(LEN(Table1722[[#This Row],[Uraian]])&gt;2,1," ")</f>
        <v xml:space="preserve"> </v>
      </c>
      <c r="E5466" s="113" t="str">
        <f>IF(Table1722[[#This Row],[Lawan Transaksi]]="CV AGUNG KARYA",COUNTIF($I$10:I5466,"CV AGUNG KARYA")," ")</f>
        <v xml:space="preserve"> </v>
      </c>
      <c r="F5466" s="107" t="str">
        <f>IF(LEN(Table1722[[#This Row],[Uraian]])&gt;2,TRIM(RIGHT(SUBSTITUTE(TRIM(C5466)," ",REPT(" ",255)),255))," ")</f>
        <v xml:space="preserve"> </v>
      </c>
      <c r="G5466" s="110">
        <f>COPY!Z5458</f>
        <v>0</v>
      </c>
      <c r="H5466" s="111" t="str">
        <f>IFERROR(VLOOKUP(Table1722[[#This Row],[Bukti]],'Un nOTA'!$A$4:$K$5003,10,FALSE),"")</f>
        <v/>
      </c>
      <c r="I5466" s="123" t="str">
        <f>IFERROR(VLOOKUP(Table1722[[#This Row],[Bukti]],Table13[#Data],11,FALSE),"")</f>
        <v/>
      </c>
    </row>
    <row r="5467" spans="1:9" hidden="1" x14ac:dyDescent="0.2">
      <c r="A5467" s="105" t="str">
        <f>IF(D5467=1,COUNTIF($D$10:D5467,1)," ")</f>
        <v xml:space="preserve"> </v>
      </c>
      <c r="B5467" s="106">
        <f>COPY!AR5459</f>
        <v>0</v>
      </c>
      <c r="C5467" s="107">
        <f>COPY!AC5459</f>
        <v>0</v>
      </c>
      <c r="D5467" s="107" t="str">
        <f>IF(LEN(Table1722[[#This Row],[Uraian]])&gt;2,1," ")</f>
        <v xml:space="preserve"> </v>
      </c>
      <c r="E5467" s="113" t="str">
        <f>IF(Table1722[[#This Row],[Lawan Transaksi]]="CV AGUNG KARYA",COUNTIF($I$10:I5467,"CV AGUNG KARYA")," ")</f>
        <v xml:space="preserve"> </v>
      </c>
      <c r="F5467" s="107" t="str">
        <f>IF(LEN(Table1722[[#This Row],[Uraian]])&gt;2,TRIM(RIGHT(SUBSTITUTE(TRIM(C5467)," ",REPT(" ",255)),255))," ")</f>
        <v xml:space="preserve"> </v>
      </c>
      <c r="G5467" s="110">
        <f>COPY!Z5459</f>
        <v>0</v>
      </c>
      <c r="H5467" s="111" t="str">
        <f>IFERROR(VLOOKUP(Table1722[[#This Row],[Bukti]],'Un nOTA'!$A$4:$K$5003,10,FALSE),"")</f>
        <v/>
      </c>
      <c r="I5467" s="123" t="str">
        <f>IFERROR(VLOOKUP(Table1722[[#This Row],[Bukti]],Table13[#Data],11,FALSE),"")</f>
        <v/>
      </c>
    </row>
    <row r="5468" spans="1:9" hidden="1" x14ac:dyDescent="0.2">
      <c r="A5468" s="105" t="str">
        <f>IF(D5468=1,COUNTIF($D$10:D5468,1)," ")</f>
        <v xml:space="preserve"> </v>
      </c>
      <c r="B5468" s="106">
        <f>COPY!AR5460</f>
        <v>0</v>
      </c>
      <c r="C5468" s="107">
        <f>COPY!AC5460</f>
        <v>0</v>
      </c>
      <c r="D5468" s="107" t="str">
        <f>IF(LEN(Table1722[[#This Row],[Uraian]])&gt;2,1," ")</f>
        <v xml:space="preserve"> </v>
      </c>
      <c r="E5468" s="113" t="str">
        <f>IF(Table1722[[#This Row],[Lawan Transaksi]]="CV AGUNG KARYA",COUNTIF($I$10:I5468,"CV AGUNG KARYA")," ")</f>
        <v xml:space="preserve"> </v>
      </c>
      <c r="F5468" s="107" t="str">
        <f>IF(LEN(Table1722[[#This Row],[Uraian]])&gt;2,TRIM(RIGHT(SUBSTITUTE(TRIM(C5468)," ",REPT(" ",255)),255))," ")</f>
        <v xml:space="preserve"> </v>
      </c>
      <c r="G5468" s="110">
        <f>COPY!Z5460</f>
        <v>0</v>
      </c>
      <c r="H5468" s="111" t="str">
        <f>IFERROR(VLOOKUP(Table1722[[#This Row],[Bukti]],'Un nOTA'!$A$4:$K$5003,10,FALSE),"")</f>
        <v/>
      </c>
      <c r="I5468" s="123" t="str">
        <f>IFERROR(VLOOKUP(Table1722[[#This Row],[Bukti]],Table13[#Data],11,FALSE),"")</f>
        <v/>
      </c>
    </row>
    <row r="5469" spans="1:9" hidden="1" x14ac:dyDescent="0.2">
      <c r="A5469" s="105" t="str">
        <f>IF(D5469=1,COUNTIF($D$10:D5469,1)," ")</f>
        <v xml:space="preserve"> </v>
      </c>
      <c r="B5469" s="106">
        <f>COPY!AR5461</f>
        <v>0</v>
      </c>
      <c r="C5469" s="107">
        <f>COPY!AC5461</f>
        <v>0</v>
      </c>
      <c r="D5469" s="107" t="str">
        <f>IF(LEN(Table1722[[#This Row],[Uraian]])&gt;2,1," ")</f>
        <v xml:space="preserve"> </v>
      </c>
      <c r="E5469" s="113" t="str">
        <f>IF(Table1722[[#This Row],[Lawan Transaksi]]="CV AGUNG KARYA",COUNTIF($I$10:I5469,"CV AGUNG KARYA")," ")</f>
        <v xml:space="preserve"> </v>
      </c>
      <c r="F5469" s="107" t="str">
        <f>IF(LEN(Table1722[[#This Row],[Uraian]])&gt;2,TRIM(RIGHT(SUBSTITUTE(TRIM(C5469)," ",REPT(" ",255)),255))," ")</f>
        <v xml:space="preserve"> </v>
      </c>
      <c r="G5469" s="110">
        <f>COPY!Z5461</f>
        <v>0</v>
      </c>
      <c r="H5469" s="111" t="str">
        <f>IFERROR(VLOOKUP(Table1722[[#This Row],[Bukti]],'Un nOTA'!$A$4:$K$5003,10,FALSE),"")</f>
        <v/>
      </c>
      <c r="I5469" s="123" t="str">
        <f>IFERROR(VLOOKUP(Table1722[[#This Row],[Bukti]],Table13[#Data],11,FALSE),"")</f>
        <v/>
      </c>
    </row>
    <row r="5470" spans="1:9" hidden="1" x14ac:dyDescent="0.2">
      <c r="A5470" s="105" t="str">
        <f>IF(D5470=1,COUNTIF($D$10:D5470,1)," ")</f>
        <v xml:space="preserve"> </v>
      </c>
      <c r="B5470" s="106">
        <f>COPY!AR5462</f>
        <v>0</v>
      </c>
      <c r="C5470" s="107">
        <f>COPY!AC5462</f>
        <v>0</v>
      </c>
      <c r="D5470" s="107" t="str">
        <f>IF(LEN(Table1722[[#This Row],[Uraian]])&gt;2,1," ")</f>
        <v xml:space="preserve"> </v>
      </c>
      <c r="E5470" s="113" t="str">
        <f>IF(Table1722[[#This Row],[Lawan Transaksi]]="CV AGUNG KARYA",COUNTIF($I$10:I5470,"CV AGUNG KARYA")," ")</f>
        <v xml:space="preserve"> </v>
      </c>
      <c r="F5470" s="107" t="str">
        <f>IF(LEN(Table1722[[#This Row],[Uraian]])&gt;2,TRIM(RIGHT(SUBSTITUTE(TRIM(C5470)," ",REPT(" ",255)),255))," ")</f>
        <v xml:space="preserve"> </v>
      </c>
      <c r="G5470" s="110">
        <f>COPY!Z5462</f>
        <v>0</v>
      </c>
      <c r="H5470" s="111" t="str">
        <f>IFERROR(VLOOKUP(Table1722[[#This Row],[Bukti]],'Un nOTA'!$A$4:$K$5003,10,FALSE),"")</f>
        <v/>
      </c>
      <c r="I5470" s="123" t="str">
        <f>IFERROR(VLOOKUP(Table1722[[#This Row],[Bukti]],Table13[#Data],11,FALSE),"")</f>
        <v/>
      </c>
    </row>
    <row r="5471" spans="1:9" hidden="1" x14ac:dyDescent="0.2">
      <c r="A5471" s="105" t="str">
        <f>IF(D5471=1,COUNTIF($D$10:D5471,1)," ")</f>
        <v xml:space="preserve"> </v>
      </c>
      <c r="B5471" s="106">
        <f>COPY!AR5463</f>
        <v>0</v>
      </c>
      <c r="C5471" s="107">
        <f>COPY!AC5463</f>
        <v>0</v>
      </c>
      <c r="D5471" s="107" t="str">
        <f>IF(LEN(Table1722[[#This Row],[Uraian]])&gt;2,1," ")</f>
        <v xml:space="preserve"> </v>
      </c>
      <c r="E5471" s="113" t="str">
        <f>IF(Table1722[[#This Row],[Lawan Transaksi]]="CV AGUNG KARYA",COUNTIF($I$10:I5471,"CV AGUNG KARYA")," ")</f>
        <v xml:space="preserve"> </v>
      </c>
      <c r="F5471" s="107" t="str">
        <f>IF(LEN(Table1722[[#This Row],[Uraian]])&gt;2,TRIM(RIGHT(SUBSTITUTE(TRIM(C5471)," ",REPT(" ",255)),255))," ")</f>
        <v xml:space="preserve"> </v>
      </c>
      <c r="G5471" s="110">
        <f>COPY!Z5463</f>
        <v>0</v>
      </c>
      <c r="H5471" s="111" t="str">
        <f>IFERROR(VLOOKUP(Table1722[[#This Row],[Bukti]],'Un nOTA'!$A$4:$K$5003,10,FALSE),"")</f>
        <v/>
      </c>
      <c r="I5471" s="123" t="str">
        <f>IFERROR(VLOOKUP(Table1722[[#This Row],[Bukti]],Table13[#Data],11,FALSE),"")</f>
        <v/>
      </c>
    </row>
    <row r="5472" spans="1:9" hidden="1" x14ac:dyDescent="0.2">
      <c r="A5472" s="105" t="str">
        <f>IF(D5472=1,COUNTIF($D$10:D5472,1)," ")</f>
        <v xml:space="preserve"> </v>
      </c>
      <c r="B5472" s="106">
        <f>COPY!AR5464</f>
        <v>0</v>
      </c>
      <c r="C5472" s="107">
        <f>COPY!AC5464</f>
        <v>0</v>
      </c>
      <c r="D5472" s="107" t="str">
        <f>IF(LEN(Table1722[[#This Row],[Uraian]])&gt;2,1," ")</f>
        <v xml:space="preserve"> </v>
      </c>
      <c r="E5472" s="113" t="str">
        <f>IF(Table1722[[#This Row],[Lawan Transaksi]]="CV AGUNG KARYA",COUNTIF($I$10:I5472,"CV AGUNG KARYA")," ")</f>
        <v xml:space="preserve"> </v>
      </c>
      <c r="F5472" s="107" t="str">
        <f>IF(LEN(Table1722[[#This Row],[Uraian]])&gt;2,TRIM(RIGHT(SUBSTITUTE(TRIM(C5472)," ",REPT(" ",255)),255))," ")</f>
        <v xml:space="preserve"> </v>
      </c>
      <c r="G5472" s="110">
        <f>COPY!Z5464</f>
        <v>0</v>
      </c>
      <c r="H5472" s="111" t="str">
        <f>IFERROR(VLOOKUP(Table1722[[#This Row],[Bukti]],'Un nOTA'!$A$4:$K$5003,10,FALSE),"")</f>
        <v/>
      </c>
      <c r="I5472" s="123" t="str">
        <f>IFERROR(VLOOKUP(Table1722[[#This Row],[Bukti]],Table13[#Data],11,FALSE),"")</f>
        <v/>
      </c>
    </row>
    <row r="5473" spans="1:9" hidden="1" x14ac:dyDescent="0.2">
      <c r="A5473" s="105" t="str">
        <f>IF(D5473=1,COUNTIF($D$10:D5473,1)," ")</f>
        <v xml:space="preserve"> </v>
      </c>
      <c r="B5473" s="106">
        <f>COPY!AR5465</f>
        <v>0</v>
      </c>
      <c r="C5473" s="107">
        <f>COPY!AC5465</f>
        <v>0</v>
      </c>
      <c r="D5473" s="107" t="str">
        <f>IF(LEN(Table1722[[#This Row],[Uraian]])&gt;2,1," ")</f>
        <v xml:space="preserve"> </v>
      </c>
      <c r="E5473" s="113" t="str">
        <f>IF(Table1722[[#This Row],[Lawan Transaksi]]="CV AGUNG KARYA",COUNTIF($I$10:I5473,"CV AGUNG KARYA")," ")</f>
        <v xml:space="preserve"> </v>
      </c>
      <c r="F5473" s="107" t="str">
        <f>IF(LEN(Table1722[[#This Row],[Uraian]])&gt;2,TRIM(RIGHT(SUBSTITUTE(TRIM(C5473)," ",REPT(" ",255)),255))," ")</f>
        <v xml:space="preserve"> </v>
      </c>
      <c r="G5473" s="110">
        <f>COPY!Z5465</f>
        <v>0</v>
      </c>
      <c r="H5473" s="111" t="str">
        <f>IFERROR(VLOOKUP(Table1722[[#This Row],[Bukti]],'Un nOTA'!$A$4:$K$5003,10,FALSE),"")</f>
        <v/>
      </c>
      <c r="I5473" s="123" t="str">
        <f>IFERROR(VLOOKUP(Table1722[[#This Row],[Bukti]],Table13[#Data],11,FALSE),"")</f>
        <v/>
      </c>
    </row>
    <row r="5474" spans="1:9" hidden="1" x14ac:dyDescent="0.2">
      <c r="A5474" s="105" t="str">
        <f>IF(D5474=1,COUNTIF($D$10:D5474,1)," ")</f>
        <v xml:space="preserve"> </v>
      </c>
      <c r="B5474" s="106">
        <f>COPY!AR5466</f>
        <v>0</v>
      </c>
      <c r="C5474" s="107">
        <f>COPY!AC5466</f>
        <v>0</v>
      </c>
      <c r="D5474" s="107" t="str">
        <f>IF(LEN(Table1722[[#This Row],[Uraian]])&gt;2,1," ")</f>
        <v xml:space="preserve"> </v>
      </c>
      <c r="E5474" s="113" t="str">
        <f>IF(Table1722[[#This Row],[Lawan Transaksi]]="CV AGUNG KARYA",COUNTIF($I$10:I5474,"CV AGUNG KARYA")," ")</f>
        <v xml:space="preserve"> </v>
      </c>
      <c r="F5474" s="107" t="str">
        <f>IF(LEN(Table1722[[#This Row],[Uraian]])&gt;2,TRIM(RIGHT(SUBSTITUTE(TRIM(C5474)," ",REPT(" ",255)),255))," ")</f>
        <v xml:space="preserve"> </v>
      </c>
      <c r="G5474" s="110">
        <f>COPY!Z5466</f>
        <v>0</v>
      </c>
      <c r="H5474" s="111" t="str">
        <f>IFERROR(VLOOKUP(Table1722[[#This Row],[Bukti]],'Un nOTA'!$A$4:$K$5003,10,FALSE),"")</f>
        <v/>
      </c>
      <c r="I5474" s="123" t="str">
        <f>IFERROR(VLOOKUP(Table1722[[#This Row],[Bukti]],Table13[#Data],11,FALSE),"")</f>
        <v/>
      </c>
    </row>
    <row r="5475" spans="1:9" hidden="1" x14ac:dyDescent="0.2">
      <c r="A5475" s="105" t="str">
        <f>IF(D5475=1,COUNTIF($D$10:D5475,1)," ")</f>
        <v xml:space="preserve"> </v>
      </c>
      <c r="B5475" s="106">
        <f>COPY!AR5467</f>
        <v>0</v>
      </c>
      <c r="C5475" s="107">
        <f>COPY!AC5467</f>
        <v>0</v>
      </c>
      <c r="D5475" s="107" t="str">
        <f>IF(LEN(Table1722[[#This Row],[Uraian]])&gt;2,1," ")</f>
        <v xml:space="preserve"> </v>
      </c>
      <c r="E5475" s="113" t="str">
        <f>IF(Table1722[[#This Row],[Lawan Transaksi]]="CV AGUNG KARYA",COUNTIF($I$10:I5475,"CV AGUNG KARYA")," ")</f>
        <v xml:space="preserve"> </v>
      </c>
      <c r="F5475" s="107" t="str">
        <f>IF(LEN(Table1722[[#This Row],[Uraian]])&gt;2,TRIM(RIGHT(SUBSTITUTE(TRIM(C5475)," ",REPT(" ",255)),255))," ")</f>
        <v xml:space="preserve"> </v>
      </c>
      <c r="G5475" s="110">
        <f>COPY!Z5467</f>
        <v>0</v>
      </c>
      <c r="H5475" s="111" t="str">
        <f>IFERROR(VLOOKUP(Table1722[[#This Row],[Bukti]],'Un nOTA'!$A$4:$K$5003,10,FALSE),"")</f>
        <v/>
      </c>
      <c r="I5475" s="123" t="str">
        <f>IFERROR(VLOOKUP(Table1722[[#This Row],[Bukti]],Table13[#Data],11,FALSE),"")</f>
        <v/>
      </c>
    </row>
    <row r="5476" spans="1:9" hidden="1" x14ac:dyDescent="0.2">
      <c r="A5476" s="105" t="str">
        <f>IF(D5476=1,COUNTIF($D$10:D5476,1)," ")</f>
        <v xml:space="preserve"> </v>
      </c>
      <c r="B5476" s="106">
        <f>COPY!AR5468</f>
        <v>0</v>
      </c>
      <c r="C5476" s="107">
        <f>COPY!AC5468</f>
        <v>0</v>
      </c>
      <c r="D5476" s="107" t="str">
        <f>IF(LEN(Table1722[[#This Row],[Uraian]])&gt;2,1," ")</f>
        <v xml:space="preserve"> </v>
      </c>
      <c r="E5476" s="113" t="str">
        <f>IF(Table1722[[#This Row],[Lawan Transaksi]]="CV AGUNG KARYA",COUNTIF($I$10:I5476,"CV AGUNG KARYA")," ")</f>
        <v xml:space="preserve"> </v>
      </c>
      <c r="F5476" s="107" t="str">
        <f>IF(LEN(Table1722[[#This Row],[Uraian]])&gt;2,TRIM(RIGHT(SUBSTITUTE(TRIM(C5476)," ",REPT(" ",255)),255))," ")</f>
        <v xml:space="preserve"> </v>
      </c>
      <c r="G5476" s="110">
        <f>COPY!Z5468</f>
        <v>0</v>
      </c>
      <c r="H5476" s="111" t="str">
        <f>IFERROR(VLOOKUP(Table1722[[#This Row],[Bukti]],'Un nOTA'!$A$4:$K$5003,10,FALSE),"")</f>
        <v/>
      </c>
      <c r="I5476" s="123" t="str">
        <f>IFERROR(VLOOKUP(Table1722[[#This Row],[Bukti]],Table13[#Data],11,FALSE),"")</f>
        <v/>
      </c>
    </row>
    <row r="5477" spans="1:9" hidden="1" x14ac:dyDescent="0.2">
      <c r="A5477" s="105" t="str">
        <f>IF(D5477=1,COUNTIF($D$10:D5477,1)," ")</f>
        <v xml:space="preserve"> </v>
      </c>
      <c r="B5477" s="106">
        <f>COPY!AR5469</f>
        <v>0</v>
      </c>
      <c r="C5477" s="107">
        <f>COPY!AC5469</f>
        <v>0</v>
      </c>
      <c r="D5477" s="107" t="str">
        <f>IF(LEN(Table1722[[#This Row],[Uraian]])&gt;2,1," ")</f>
        <v xml:space="preserve"> </v>
      </c>
      <c r="E5477" s="113" t="str">
        <f>IF(Table1722[[#This Row],[Lawan Transaksi]]="CV AGUNG KARYA",COUNTIF($I$10:I5477,"CV AGUNG KARYA")," ")</f>
        <v xml:space="preserve"> </v>
      </c>
      <c r="F5477" s="107" t="str">
        <f>IF(LEN(Table1722[[#This Row],[Uraian]])&gt;2,TRIM(RIGHT(SUBSTITUTE(TRIM(C5477)," ",REPT(" ",255)),255))," ")</f>
        <v xml:space="preserve"> </v>
      </c>
      <c r="G5477" s="110">
        <f>COPY!Z5469</f>
        <v>0</v>
      </c>
      <c r="H5477" s="111" t="str">
        <f>IFERROR(VLOOKUP(Table1722[[#This Row],[Bukti]],'Un nOTA'!$A$4:$K$5003,10,FALSE),"")</f>
        <v/>
      </c>
      <c r="I5477" s="123" t="str">
        <f>IFERROR(VLOOKUP(Table1722[[#This Row],[Bukti]],Table13[#Data],11,FALSE),"")</f>
        <v/>
      </c>
    </row>
    <row r="5478" spans="1:9" hidden="1" x14ac:dyDescent="0.2">
      <c r="A5478" s="105" t="str">
        <f>IF(D5478=1,COUNTIF($D$10:D5478,1)," ")</f>
        <v xml:space="preserve"> </v>
      </c>
      <c r="B5478" s="106">
        <f>COPY!AR5470</f>
        <v>0</v>
      </c>
      <c r="C5478" s="107">
        <f>COPY!AC5470</f>
        <v>0</v>
      </c>
      <c r="D5478" s="107" t="str">
        <f>IF(LEN(Table1722[[#This Row],[Uraian]])&gt;2,1," ")</f>
        <v xml:space="preserve"> </v>
      </c>
      <c r="E5478" s="113" t="str">
        <f>IF(Table1722[[#This Row],[Lawan Transaksi]]="CV AGUNG KARYA",COUNTIF($I$10:I5478,"CV AGUNG KARYA")," ")</f>
        <v xml:space="preserve"> </v>
      </c>
      <c r="F5478" s="107" t="str">
        <f>IF(LEN(Table1722[[#This Row],[Uraian]])&gt;2,TRIM(RIGHT(SUBSTITUTE(TRIM(C5478)," ",REPT(" ",255)),255))," ")</f>
        <v xml:space="preserve"> </v>
      </c>
      <c r="G5478" s="110">
        <f>COPY!Z5470</f>
        <v>0</v>
      </c>
      <c r="H5478" s="111" t="str">
        <f>IFERROR(VLOOKUP(Table1722[[#This Row],[Bukti]],'Un nOTA'!$A$4:$K$5003,10,FALSE),"")</f>
        <v/>
      </c>
      <c r="I5478" s="123" t="str">
        <f>IFERROR(VLOOKUP(Table1722[[#This Row],[Bukti]],Table13[#Data],11,FALSE),"")</f>
        <v/>
      </c>
    </row>
    <row r="5479" spans="1:9" hidden="1" x14ac:dyDescent="0.2">
      <c r="A5479" s="105" t="str">
        <f>IF(D5479=1,COUNTIF($D$10:D5479,1)," ")</f>
        <v xml:space="preserve"> </v>
      </c>
      <c r="B5479" s="106">
        <f>COPY!AR5471</f>
        <v>0</v>
      </c>
      <c r="C5479" s="107">
        <f>COPY!AC5471</f>
        <v>0</v>
      </c>
      <c r="D5479" s="107" t="str">
        <f>IF(LEN(Table1722[[#This Row],[Uraian]])&gt;2,1," ")</f>
        <v xml:space="preserve"> </v>
      </c>
      <c r="E5479" s="113" t="str">
        <f>IF(Table1722[[#This Row],[Lawan Transaksi]]="CV AGUNG KARYA",COUNTIF($I$10:I5479,"CV AGUNG KARYA")," ")</f>
        <v xml:space="preserve"> </v>
      </c>
      <c r="F5479" s="107" t="str">
        <f>IF(LEN(Table1722[[#This Row],[Uraian]])&gt;2,TRIM(RIGHT(SUBSTITUTE(TRIM(C5479)," ",REPT(" ",255)),255))," ")</f>
        <v xml:space="preserve"> </v>
      </c>
      <c r="G5479" s="110">
        <f>COPY!Z5471</f>
        <v>0</v>
      </c>
      <c r="H5479" s="111" t="str">
        <f>IFERROR(VLOOKUP(Table1722[[#This Row],[Bukti]],'Un nOTA'!$A$4:$K$5003,10,FALSE),"")</f>
        <v/>
      </c>
      <c r="I5479" s="123" t="str">
        <f>IFERROR(VLOOKUP(Table1722[[#This Row],[Bukti]],Table13[#Data],11,FALSE),"")</f>
        <v/>
      </c>
    </row>
    <row r="5480" spans="1:9" hidden="1" x14ac:dyDescent="0.2">
      <c r="A5480" s="105" t="str">
        <f>IF(D5480=1,COUNTIF($D$10:D5480,1)," ")</f>
        <v xml:space="preserve"> </v>
      </c>
      <c r="B5480" s="106">
        <f>COPY!AR5472</f>
        <v>0</v>
      </c>
      <c r="C5480" s="107">
        <f>COPY!AC5472</f>
        <v>0</v>
      </c>
      <c r="D5480" s="107" t="str">
        <f>IF(LEN(Table1722[[#This Row],[Uraian]])&gt;2,1," ")</f>
        <v xml:space="preserve"> </v>
      </c>
      <c r="E5480" s="113" t="str">
        <f>IF(Table1722[[#This Row],[Lawan Transaksi]]="CV AGUNG KARYA",COUNTIF($I$10:I5480,"CV AGUNG KARYA")," ")</f>
        <v xml:space="preserve"> </v>
      </c>
      <c r="F5480" s="107" t="str">
        <f>IF(LEN(Table1722[[#This Row],[Uraian]])&gt;2,TRIM(RIGHT(SUBSTITUTE(TRIM(C5480)," ",REPT(" ",255)),255))," ")</f>
        <v xml:space="preserve"> </v>
      </c>
      <c r="G5480" s="110">
        <f>COPY!Z5472</f>
        <v>0</v>
      </c>
      <c r="H5480" s="111" t="str">
        <f>IFERROR(VLOOKUP(Table1722[[#This Row],[Bukti]],'Un nOTA'!$A$4:$K$5003,10,FALSE),"")</f>
        <v/>
      </c>
      <c r="I5480" s="123" t="str">
        <f>IFERROR(VLOOKUP(Table1722[[#This Row],[Bukti]],Table13[#Data],11,FALSE),"")</f>
        <v/>
      </c>
    </row>
    <row r="5481" spans="1:9" hidden="1" x14ac:dyDescent="0.2">
      <c r="A5481" s="105" t="str">
        <f>IF(D5481=1,COUNTIF($D$10:D5481,1)," ")</f>
        <v xml:space="preserve"> </v>
      </c>
      <c r="B5481" s="106">
        <f>COPY!AR5473</f>
        <v>0</v>
      </c>
      <c r="C5481" s="107">
        <f>COPY!AC5473</f>
        <v>0</v>
      </c>
      <c r="D5481" s="107" t="str">
        <f>IF(LEN(Table1722[[#This Row],[Uraian]])&gt;2,1," ")</f>
        <v xml:space="preserve"> </v>
      </c>
      <c r="E5481" s="113" t="str">
        <f>IF(Table1722[[#This Row],[Lawan Transaksi]]="CV AGUNG KARYA",COUNTIF($I$10:I5481,"CV AGUNG KARYA")," ")</f>
        <v xml:space="preserve"> </v>
      </c>
      <c r="F5481" s="107" t="str">
        <f>IF(LEN(Table1722[[#This Row],[Uraian]])&gt;2,TRIM(RIGHT(SUBSTITUTE(TRIM(C5481)," ",REPT(" ",255)),255))," ")</f>
        <v xml:space="preserve"> </v>
      </c>
      <c r="G5481" s="110">
        <f>COPY!Z5473</f>
        <v>0</v>
      </c>
      <c r="H5481" s="111" t="str">
        <f>IFERROR(VLOOKUP(Table1722[[#This Row],[Bukti]],'Un nOTA'!$A$4:$K$5003,10,FALSE),"")</f>
        <v/>
      </c>
      <c r="I5481" s="123" t="str">
        <f>IFERROR(VLOOKUP(Table1722[[#This Row],[Bukti]],Table13[#Data],11,FALSE),"")</f>
        <v/>
      </c>
    </row>
    <row r="5482" spans="1:9" hidden="1" x14ac:dyDescent="0.2">
      <c r="A5482" s="105" t="str">
        <f>IF(D5482=1,COUNTIF($D$10:D5482,1)," ")</f>
        <v xml:space="preserve"> </v>
      </c>
      <c r="B5482" s="106">
        <f>COPY!AR5474</f>
        <v>0</v>
      </c>
      <c r="C5482" s="107">
        <f>COPY!AC5474</f>
        <v>0</v>
      </c>
      <c r="D5482" s="107" t="str">
        <f>IF(LEN(Table1722[[#This Row],[Uraian]])&gt;2,1," ")</f>
        <v xml:space="preserve"> </v>
      </c>
      <c r="E5482" s="113" t="str">
        <f>IF(Table1722[[#This Row],[Lawan Transaksi]]="CV AGUNG KARYA",COUNTIF($I$10:I5482,"CV AGUNG KARYA")," ")</f>
        <v xml:space="preserve"> </v>
      </c>
      <c r="F5482" s="107" t="str">
        <f>IF(LEN(Table1722[[#This Row],[Uraian]])&gt;2,TRIM(RIGHT(SUBSTITUTE(TRIM(C5482)," ",REPT(" ",255)),255))," ")</f>
        <v xml:space="preserve"> </v>
      </c>
      <c r="G5482" s="110">
        <f>COPY!Z5474</f>
        <v>0</v>
      </c>
      <c r="H5482" s="111" t="str">
        <f>IFERROR(VLOOKUP(Table1722[[#This Row],[Bukti]],'Un nOTA'!$A$4:$K$5003,10,FALSE),"")</f>
        <v/>
      </c>
      <c r="I5482" s="123" t="str">
        <f>IFERROR(VLOOKUP(Table1722[[#This Row],[Bukti]],Table13[#Data],11,FALSE),"")</f>
        <v/>
      </c>
    </row>
    <row r="5483" spans="1:9" hidden="1" x14ac:dyDescent="0.2">
      <c r="A5483" s="105" t="str">
        <f>IF(D5483=1,COUNTIF($D$10:D5483,1)," ")</f>
        <v xml:space="preserve"> </v>
      </c>
      <c r="B5483" s="106">
        <f>COPY!AR5475</f>
        <v>0</v>
      </c>
      <c r="C5483" s="107">
        <f>COPY!AC5475</f>
        <v>0</v>
      </c>
      <c r="D5483" s="107" t="str">
        <f>IF(LEN(Table1722[[#This Row],[Uraian]])&gt;2,1," ")</f>
        <v xml:space="preserve"> </v>
      </c>
      <c r="E5483" s="113" t="str">
        <f>IF(Table1722[[#This Row],[Lawan Transaksi]]="CV AGUNG KARYA",COUNTIF($I$10:I5483,"CV AGUNG KARYA")," ")</f>
        <v xml:space="preserve"> </v>
      </c>
      <c r="F5483" s="107" t="str">
        <f>IF(LEN(Table1722[[#This Row],[Uraian]])&gt;2,TRIM(RIGHT(SUBSTITUTE(TRIM(C5483)," ",REPT(" ",255)),255))," ")</f>
        <v xml:space="preserve"> </v>
      </c>
      <c r="G5483" s="110">
        <f>COPY!Z5475</f>
        <v>0</v>
      </c>
      <c r="H5483" s="111" t="str">
        <f>IFERROR(VLOOKUP(Table1722[[#This Row],[Bukti]],'Un nOTA'!$A$4:$K$5003,10,FALSE),"")</f>
        <v/>
      </c>
      <c r="I5483" s="123" t="str">
        <f>IFERROR(VLOOKUP(Table1722[[#This Row],[Bukti]],Table13[#Data],11,FALSE),"")</f>
        <v/>
      </c>
    </row>
    <row r="5484" spans="1:9" hidden="1" x14ac:dyDescent="0.2">
      <c r="A5484" s="105" t="str">
        <f>IF(D5484=1,COUNTIF($D$10:D5484,1)," ")</f>
        <v xml:space="preserve"> </v>
      </c>
      <c r="B5484" s="106">
        <f>COPY!AR5476</f>
        <v>0</v>
      </c>
      <c r="C5484" s="107">
        <f>COPY!AC5476</f>
        <v>0</v>
      </c>
      <c r="D5484" s="107" t="str">
        <f>IF(LEN(Table1722[[#This Row],[Uraian]])&gt;2,1," ")</f>
        <v xml:space="preserve"> </v>
      </c>
      <c r="E5484" s="113" t="str">
        <f>IF(Table1722[[#This Row],[Lawan Transaksi]]="CV AGUNG KARYA",COUNTIF($I$10:I5484,"CV AGUNG KARYA")," ")</f>
        <v xml:space="preserve"> </v>
      </c>
      <c r="F5484" s="107" t="str">
        <f>IF(LEN(Table1722[[#This Row],[Uraian]])&gt;2,TRIM(RIGHT(SUBSTITUTE(TRIM(C5484)," ",REPT(" ",255)),255))," ")</f>
        <v xml:space="preserve"> </v>
      </c>
      <c r="G5484" s="110">
        <f>COPY!Z5476</f>
        <v>0</v>
      </c>
      <c r="H5484" s="111" t="str">
        <f>IFERROR(VLOOKUP(Table1722[[#This Row],[Bukti]],'Un nOTA'!$A$4:$K$5003,10,FALSE),"")</f>
        <v/>
      </c>
      <c r="I5484" s="123" t="str">
        <f>IFERROR(VLOOKUP(Table1722[[#This Row],[Bukti]],Table13[#Data],11,FALSE),"")</f>
        <v/>
      </c>
    </row>
    <row r="5485" spans="1:9" hidden="1" x14ac:dyDescent="0.2">
      <c r="A5485" s="105" t="str">
        <f>IF(D5485=1,COUNTIF($D$10:D5485,1)," ")</f>
        <v xml:space="preserve"> </v>
      </c>
      <c r="B5485" s="106">
        <f>COPY!AR5477</f>
        <v>0</v>
      </c>
      <c r="C5485" s="107">
        <f>COPY!AC5477</f>
        <v>0</v>
      </c>
      <c r="D5485" s="107" t="str">
        <f>IF(LEN(Table1722[[#This Row],[Uraian]])&gt;2,1," ")</f>
        <v xml:space="preserve"> </v>
      </c>
      <c r="E5485" s="113" t="str">
        <f>IF(Table1722[[#This Row],[Lawan Transaksi]]="CV AGUNG KARYA",COUNTIF($I$10:I5485,"CV AGUNG KARYA")," ")</f>
        <v xml:space="preserve"> </v>
      </c>
      <c r="F5485" s="107" t="str">
        <f>IF(LEN(Table1722[[#This Row],[Uraian]])&gt;2,TRIM(RIGHT(SUBSTITUTE(TRIM(C5485)," ",REPT(" ",255)),255))," ")</f>
        <v xml:space="preserve"> </v>
      </c>
      <c r="G5485" s="110">
        <f>COPY!Z5477</f>
        <v>0</v>
      </c>
      <c r="H5485" s="111" t="str">
        <f>IFERROR(VLOOKUP(Table1722[[#This Row],[Bukti]],'Un nOTA'!$A$4:$K$5003,10,FALSE),"")</f>
        <v/>
      </c>
      <c r="I5485" s="123" t="str">
        <f>IFERROR(VLOOKUP(Table1722[[#This Row],[Bukti]],Table13[#Data],11,FALSE),"")</f>
        <v/>
      </c>
    </row>
    <row r="5486" spans="1:9" hidden="1" x14ac:dyDescent="0.2">
      <c r="A5486" s="105" t="str">
        <f>IF(D5486=1,COUNTIF($D$10:D5486,1)," ")</f>
        <v xml:space="preserve"> </v>
      </c>
      <c r="B5486" s="106">
        <f>COPY!AR5478</f>
        <v>0</v>
      </c>
      <c r="C5486" s="107">
        <f>COPY!AC5478</f>
        <v>0</v>
      </c>
      <c r="D5486" s="107" t="str">
        <f>IF(LEN(Table1722[[#This Row],[Uraian]])&gt;2,1," ")</f>
        <v xml:space="preserve"> </v>
      </c>
      <c r="E5486" s="113" t="str">
        <f>IF(Table1722[[#This Row],[Lawan Transaksi]]="CV AGUNG KARYA",COUNTIF($I$10:I5486,"CV AGUNG KARYA")," ")</f>
        <v xml:space="preserve"> </v>
      </c>
      <c r="F5486" s="107" t="str">
        <f>IF(LEN(Table1722[[#This Row],[Uraian]])&gt;2,TRIM(RIGHT(SUBSTITUTE(TRIM(C5486)," ",REPT(" ",255)),255))," ")</f>
        <v xml:space="preserve"> </v>
      </c>
      <c r="G5486" s="110">
        <f>COPY!Z5478</f>
        <v>0</v>
      </c>
      <c r="H5486" s="111" t="str">
        <f>IFERROR(VLOOKUP(Table1722[[#This Row],[Bukti]],'Un nOTA'!$A$4:$K$5003,10,FALSE),"")</f>
        <v/>
      </c>
      <c r="I5486" s="123" t="str">
        <f>IFERROR(VLOOKUP(Table1722[[#This Row],[Bukti]],Table13[#Data],11,FALSE),"")</f>
        <v/>
      </c>
    </row>
    <row r="5487" spans="1:9" hidden="1" x14ac:dyDescent="0.2">
      <c r="A5487" s="105" t="str">
        <f>IF(D5487=1,COUNTIF($D$10:D5487,1)," ")</f>
        <v xml:space="preserve"> </v>
      </c>
      <c r="B5487" s="106">
        <f>COPY!AR5479</f>
        <v>0</v>
      </c>
      <c r="C5487" s="107">
        <f>COPY!AC5479</f>
        <v>0</v>
      </c>
      <c r="D5487" s="107" t="str">
        <f>IF(LEN(Table1722[[#This Row],[Uraian]])&gt;2,1," ")</f>
        <v xml:space="preserve"> </v>
      </c>
      <c r="E5487" s="113" t="str">
        <f>IF(Table1722[[#This Row],[Lawan Transaksi]]="CV AGUNG KARYA",COUNTIF($I$10:I5487,"CV AGUNG KARYA")," ")</f>
        <v xml:space="preserve"> </v>
      </c>
      <c r="F5487" s="107" t="str">
        <f>IF(LEN(Table1722[[#This Row],[Uraian]])&gt;2,TRIM(RIGHT(SUBSTITUTE(TRIM(C5487)," ",REPT(" ",255)),255))," ")</f>
        <v xml:space="preserve"> </v>
      </c>
      <c r="G5487" s="110">
        <f>COPY!Z5479</f>
        <v>0</v>
      </c>
      <c r="H5487" s="111" t="str">
        <f>IFERROR(VLOOKUP(Table1722[[#This Row],[Bukti]],'Un nOTA'!$A$4:$K$5003,10,FALSE),"")</f>
        <v/>
      </c>
      <c r="I5487" s="123" t="str">
        <f>IFERROR(VLOOKUP(Table1722[[#This Row],[Bukti]],Table13[#Data],11,FALSE),"")</f>
        <v/>
      </c>
    </row>
    <row r="5488" spans="1:9" hidden="1" x14ac:dyDescent="0.2">
      <c r="A5488" s="105" t="str">
        <f>IF(D5488=1,COUNTIF($D$10:D5488,1)," ")</f>
        <v xml:space="preserve"> </v>
      </c>
      <c r="B5488" s="106">
        <f>COPY!AR5480</f>
        <v>0</v>
      </c>
      <c r="C5488" s="107">
        <f>COPY!AC5480</f>
        <v>0</v>
      </c>
      <c r="D5488" s="107" t="str">
        <f>IF(LEN(Table1722[[#This Row],[Uraian]])&gt;2,1," ")</f>
        <v xml:space="preserve"> </v>
      </c>
      <c r="E5488" s="113" t="str">
        <f>IF(Table1722[[#This Row],[Lawan Transaksi]]="CV AGUNG KARYA",COUNTIF($I$10:I5488,"CV AGUNG KARYA")," ")</f>
        <v xml:space="preserve"> </v>
      </c>
      <c r="F5488" s="107" t="str">
        <f>IF(LEN(Table1722[[#This Row],[Uraian]])&gt;2,TRIM(RIGHT(SUBSTITUTE(TRIM(C5488)," ",REPT(" ",255)),255))," ")</f>
        <v xml:space="preserve"> </v>
      </c>
      <c r="G5488" s="110">
        <f>COPY!Z5480</f>
        <v>0</v>
      </c>
      <c r="H5488" s="111" t="str">
        <f>IFERROR(VLOOKUP(Table1722[[#This Row],[Bukti]],'Un nOTA'!$A$4:$K$5003,10,FALSE),"")</f>
        <v/>
      </c>
      <c r="I5488" s="123" t="str">
        <f>IFERROR(VLOOKUP(Table1722[[#This Row],[Bukti]],Table13[#Data],11,FALSE),"")</f>
        <v/>
      </c>
    </row>
    <row r="5489" spans="1:9" hidden="1" x14ac:dyDescent="0.2">
      <c r="A5489" s="105" t="str">
        <f>IF(D5489=1,COUNTIF($D$10:D5489,1)," ")</f>
        <v xml:space="preserve"> </v>
      </c>
      <c r="B5489" s="106">
        <f>COPY!AR5481</f>
        <v>0</v>
      </c>
      <c r="C5489" s="107">
        <f>COPY!AC5481</f>
        <v>0</v>
      </c>
      <c r="D5489" s="107" t="str">
        <f>IF(LEN(Table1722[[#This Row],[Uraian]])&gt;2,1," ")</f>
        <v xml:space="preserve"> </v>
      </c>
      <c r="E5489" s="113" t="str">
        <f>IF(Table1722[[#This Row],[Lawan Transaksi]]="CV AGUNG KARYA",COUNTIF($I$10:I5489,"CV AGUNG KARYA")," ")</f>
        <v xml:space="preserve"> </v>
      </c>
      <c r="F5489" s="107" t="str">
        <f>IF(LEN(Table1722[[#This Row],[Uraian]])&gt;2,TRIM(RIGHT(SUBSTITUTE(TRIM(C5489)," ",REPT(" ",255)),255))," ")</f>
        <v xml:space="preserve"> </v>
      </c>
      <c r="G5489" s="110">
        <f>COPY!Z5481</f>
        <v>0</v>
      </c>
      <c r="H5489" s="111" t="str">
        <f>IFERROR(VLOOKUP(Table1722[[#This Row],[Bukti]],'Un nOTA'!$A$4:$K$5003,10,FALSE),"")</f>
        <v/>
      </c>
      <c r="I5489" s="123" t="str">
        <f>IFERROR(VLOOKUP(Table1722[[#This Row],[Bukti]],Table13[#Data],11,FALSE),"")</f>
        <v/>
      </c>
    </row>
    <row r="5490" spans="1:9" hidden="1" x14ac:dyDescent="0.2">
      <c r="A5490" s="105" t="str">
        <f>IF(D5490=1,COUNTIF($D$10:D5490,1)," ")</f>
        <v xml:space="preserve"> </v>
      </c>
      <c r="B5490" s="106">
        <f>COPY!AR5482</f>
        <v>0</v>
      </c>
      <c r="C5490" s="107">
        <f>COPY!AC5482</f>
        <v>0</v>
      </c>
      <c r="D5490" s="107" t="str">
        <f>IF(LEN(Table1722[[#This Row],[Uraian]])&gt;2,1," ")</f>
        <v xml:space="preserve"> </v>
      </c>
      <c r="E5490" s="113" t="str">
        <f>IF(Table1722[[#This Row],[Lawan Transaksi]]="CV AGUNG KARYA",COUNTIF($I$10:I5490,"CV AGUNG KARYA")," ")</f>
        <v xml:space="preserve"> </v>
      </c>
      <c r="F5490" s="107" t="str">
        <f>IF(LEN(Table1722[[#This Row],[Uraian]])&gt;2,TRIM(RIGHT(SUBSTITUTE(TRIM(C5490)," ",REPT(" ",255)),255))," ")</f>
        <v xml:space="preserve"> </v>
      </c>
      <c r="G5490" s="110">
        <f>COPY!Z5482</f>
        <v>0</v>
      </c>
      <c r="H5490" s="111" t="str">
        <f>IFERROR(VLOOKUP(Table1722[[#This Row],[Bukti]],'Un nOTA'!$A$4:$K$5003,10,FALSE),"")</f>
        <v/>
      </c>
      <c r="I5490" s="123" t="str">
        <f>IFERROR(VLOOKUP(Table1722[[#This Row],[Bukti]],Table13[#Data],11,FALSE),"")</f>
        <v/>
      </c>
    </row>
    <row r="5491" spans="1:9" hidden="1" x14ac:dyDescent="0.2">
      <c r="A5491" s="105" t="str">
        <f>IF(D5491=1,COUNTIF($D$10:D5491,1)," ")</f>
        <v xml:space="preserve"> </v>
      </c>
      <c r="B5491" s="106">
        <f>COPY!AR5483</f>
        <v>0</v>
      </c>
      <c r="C5491" s="107">
        <f>COPY!AC5483</f>
        <v>0</v>
      </c>
      <c r="D5491" s="107" t="str">
        <f>IF(LEN(Table1722[[#This Row],[Uraian]])&gt;2,1," ")</f>
        <v xml:space="preserve"> </v>
      </c>
      <c r="E5491" s="113" t="str">
        <f>IF(Table1722[[#This Row],[Lawan Transaksi]]="CV AGUNG KARYA",COUNTIF($I$10:I5491,"CV AGUNG KARYA")," ")</f>
        <v xml:space="preserve"> </v>
      </c>
      <c r="F5491" s="107" t="str">
        <f>IF(LEN(Table1722[[#This Row],[Uraian]])&gt;2,TRIM(RIGHT(SUBSTITUTE(TRIM(C5491)," ",REPT(" ",255)),255))," ")</f>
        <v xml:space="preserve"> </v>
      </c>
      <c r="G5491" s="110">
        <f>COPY!Z5483</f>
        <v>0</v>
      </c>
      <c r="H5491" s="111" t="str">
        <f>IFERROR(VLOOKUP(Table1722[[#This Row],[Bukti]],'Un nOTA'!$A$4:$K$5003,10,FALSE),"")</f>
        <v/>
      </c>
      <c r="I5491" s="123" t="str">
        <f>IFERROR(VLOOKUP(Table1722[[#This Row],[Bukti]],Table13[#Data],11,FALSE),"")</f>
        <v/>
      </c>
    </row>
    <row r="5492" spans="1:9" hidden="1" x14ac:dyDescent="0.2">
      <c r="A5492" s="105" t="str">
        <f>IF(D5492=1,COUNTIF($D$10:D5492,1)," ")</f>
        <v xml:space="preserve"> </v>
      </c>
      <c r="B5492" s="106">
        <f>COPY!AR5484</f>
        <v>0</v>
      </c>
      <c r="C5492" s="107">
        <f>COPY!AC5484</f>
        <v>0</v>
      </c>
      <c r="D5492" s="107" t="str">
        <f>IF(LEN(Table1722[[#This Row],[Uraian]])&gt;2,1," ")</f>
        <v xml:space="preserve"> </v>
      </c>
      <c r="E5492" s="113" t="str">
        <f>IF(Table1722[[#This Row],[Lawan Transaksi]]="CV AGUNG KARYA",COUNTIF($I$10:I5492,"CV AGUNG KARYA")," ")</f>
        <v xml:space="preserve"> </v>
      </c>
      <c r="F5492" s="107" t="str">
        <f>IF(LEN(Table1722[[#This Row],[Uraian]])&gt;2,TRIM(RIGHT(SUBSTITUTE(TRIM(C5492)," ",REPT(" ",255)),255))," ")</f>
        <v xml:space="preserve"> </v>
      </c>
      <c r="G5492" s="110">
        <f>COPY!Z5484</f>
        <v>0</v>
      </c>
      <c r="H5492" s="111" t="str">
        <f>IFERROR(VLOOKUP(Table1722[[#This Row],[Bukti]],'Un nOTA'!$A$4:$K$5003,10,FALSE),"")</f>
        <v/>
      </c>
      <c r="I5492" s="123" t="str">
        <f>IFERROR(VLOOKUP(Table1722[[#This Row],[Bukti]],Table13[#Data],11,FALSE),"")</f>
        <v/>
      </c>
    </row>
    <row r="5493" spans="1:9" hidden="1" x14ac:dyDescent="0.2">
      <c r="A5493" s="105" t="str">
        <f>IF(D5493=1,COUNTIF($D$10:D5493,1)," ")</f>
        <v xml:space="preserve"> </v>
      </c>
      <c r="B5493" s="106">
        <f>COPY!AR5485</f>
        <v>0</v>
      </c>
      <c r="C5493" s="107">
        <f>COPY!AC5485</f>
        <v>0</v>
      </c>
      <c r="D5493" s="107" t="str">
        <f>IF(LEN(Table1722[[#This Row],[Uraian]])&gt;2,1," ")</f>
        <v xml:space="preserve"> </v>
      </c>
      <c r="E5493" s="113" t="str">
        <f>IF(Table1722[[#This Row],[Lawan Transaksi]]="CV AGUNG KARYA",COUNTIF($I$10:I5493,"CV AGUNG KARYA")," ")</f>
        <v xml:space="preserve"> </v>
      </c>
      <c r="F5493" s="107" t="str">
        <f>IF(LEN(Table1722[[#This Row],[Uraian]])&gt;2,TRIM(RIGHT(SUBSTITUTE(TRIM(C5493)," ",REPT(" ",255)),255))," ")</f>
        <v xml:space="preserve"> </v>
      </c>
      <c r="G5493" s="110">
        <f>COPY!Z5485</f>
        <v>0</v>
      </c>
      <c r="H5493" s="111" t="str">
        <f>IFERROR(VLOOKUP(Table1722[[#This Row],[Bukti]],'Un nOTA'!$A$4:$K$5003,10,FALSE),"")</f>
        <v/>
      </c>
      <c r="I5493" s="123" t="str">
        <f>IFERROR(VLOOKUP(Table1722[[#This Row],[Bukti]],Table13[#Data],11,FALSE),"")</f>
        <v/>
      </c>
    </row>
    <row r="5494" spans="1:9" hidden="1" x14ac:dyDescent="0.2">
      <c r="A5494" s="105" t="str">
        <f>IF(D5494=1,COUNTIF($D$10:D5494,1)," ")</f>
        <v xml:space="preserve"> </v>
      </c>
      <c r="B5494" s="106">
        <f>COPY!AR5486</f>
        <v>0</v>
      </c>
      <c r="C5494" s="107">
        <f>COPY!AC5486</f>
        <v>0</v>
      </c>
      <c r="D5494" s="107" t="str">
        <f>IF(LEN(Table1722[[#This Row],[Uraian]])&gt;2,1," ")</f>
        <v xml:space="preserve"> </v>
      </c>
      <c r="E5494" s="113" t="str">
        <f>IF(Table1722[[#This Row],[Lawan Transaksi]]="CV AGUNG KARYA",COUNTIF($I$10:I5494,"CV AGUNG KARYA")," ")</f>
        <v xml:space="preserve"> </v>
      </c>
      <c r="F5494" s="107" t="str">
        <f>IF(LEN(Table1722[[#This Row],[Uraian]])&gt;2,TRIM(RIGHT(SUBSTITUTE(TRIM(C5494)," ",REPT(" ",255)),255))," ")</f>
        <v xml:space="preserve"> </v>
      </c>
      <c r="G5494" s="110">
        <f>COPY!Z5486</f>
        <v>0</v>
      </c>
      <c r="H5494" s="111" t="str">
        <f>IFERROR(VLOOKUP(Table1722[[#This Row],[Bukti]],'Un nOTA'!$A$4:$K$5003,10,FALSE),"")</f>
        <v/>
      </c>
      <c r="I5494" s="123" t="str">
        <f>IFERROR(VLOOKUP(Table1722[[#This Row],[Bukti]],Table13[#Data],11,FALSE),"")</f>
        <v/>
      </c>
    </row>
    <row r="5495" spans="1:9" hidden="1" x14ac:dyDescent="0.2">
      <c r="A5495" s="105" t="str">
        <f>IF(D5495=1,COUNTIF($D$10:D5495,1)," ")</f>
        <v xml:space="preserve"> </v>
      </c>
      <c r="B5495" s="106">
        <f>COPY!AR5487</f>
        <v>0</v>
      </c>
      <c r="C5495" s="107">
        <f>COPY!AC5487</f>
        <v>0</v>
      </c>
      <c r="D5495" s="107" t="str">
        <f>IF(LEN(Table1722[[#This Row],[Uraian]])&gt;2,1," ")</f>
        <v xml:space="preserve"> </v>
      </c>
      <c r="E5495" s="113" t="str">
        <f>IF(Table1722[[#This Row],[Lawan Transaksi]]="CV AGUNG KARYA",COUNTIF($I$10:I5495,"CV AGUNG KARYA")," ")</f>
        <v xml:space="preserve"> </v>
      </c>
      <c r="F5495" s="107" t="str">
        <f>IF(LEN(Table1722[[#This Row],[Uraian]])&gt;2,TRIM(RIGHT(SUBSTITUTE(TRIM(C5495)," ",REPT(" ",255)),255))," ")</f>
        <v xml:space="preserve"> </v>
      </c>
      <c r="G5495" s="110">
        <f>COPY!Z5487</f>
        <v>0</v>
      </c>
      <c r="H5495" s="111" t="str">
        <f>IFERROR(VLOOKUP(Table1722[[#This Row],[Bukti]],'Un nOTA'!$A$4:$K$5003,10,FALSE),"")</f>
        <v/>
      </c>
      <c r="I5495" s="123" t="str">
        <f>IFERROR(VLOOKUP(Table1722[[#This Row],[Bukti]],Table13[#Data],11,FALSE),"")</f>
        <v/>
      </c>
    </row>
    <row r="5496" spans="1:9" hidden="1" x14ac:dyDescent="0.2">
      <c r="A5496" s="105" t="str">
        <f>IF(D5496=1,COUNTIF($D$10:D5496,1)," ")</f>
        <v xml:space="preserve"> </v>
      </c>
      <c r="B5496" s="106">
        <f>COPY!AR5488</f>
        <v>0</v>
      </c>
      <c r="C5496" s="107">
        <f>COPY!AC5488</f>
        <v>0</v>
      </c>
      <c r="D5496" s="107" t="str">
        <f>IF(LEN(Table1722[[#This Row],[Uraian]])&gt;2,1," ")</f>
        <v xml:space="preserve"> </v>
      </c>
      <c r="E5496" s="113" t="str">
        <f>IF(Table1722[[#This Row],[Lawan Transaksi]]="CV AGUNG KARYA",COUNTIF($I$10:I5496,"CV AGUNG KARYA")," ")</f>
        <v xml:space="preserve"> </v>
      </c>
      <c r="F5496" s="107" t="str">
        <f>IF(LEN(Table1722[[#This Row],[Uraian]])&gt;2,TRIM(RIGHT(SUBSTITUTE(TRIM(C5496)," ",REPT(" ",255)),255))," ")</f>
        <v xml:space="preserve"> </v>
      </c>
      <c r="G5496" s="110">
        <f>COPY!Z5488</f>
        <v>0</v>
      </c>
      <c r="H5496" s="111" t="str">
        <f>IFERROR(VLOOKUP(Table1722[[#This Row],[Bukti]],'Un nOTA'!$A$4:$K$5003,10,FALSE),"")</f>
        <v/>
      </c>
      <c r="I5496" s="123" t="str">
        <f>IFERROR(VLOOKUP(Table1722[[#This Row],[Bukti]],Table13[#Data],11,FALSE),"")</f>
        <v/>
      </c>
    </row>
    <row r="5497" spans="1:9" hidden="1" x14ac:dyDescent="0.2">
      <c r="A5497" s="105" t="str">
        <f>IF(D5497=1,COUNTIF($D$10:D5497,1)," ")</f>
        <v xml:space="preserve"> </v>
      </c>
      <c r="B5497" s="106">
        <f>COPY!AR5489</f>
        <v>0</v>
      </c>
      <c r="C5497" s="107">
        <f>COPY!AC5489</f>
        <v>0</v>
      </c>
      <c r="D5497" s="107" t="str">
        <f>IF(LEN(Table1722[[#This Row],[Uraian]])&gt;2,1," ")</f>
        <v xml:space="preserve"> </v>
      </c>
      <c r="E5497" s="113" t="str">
        <f>IF(Table1722[[#This Row],[Lawan Transaksi]]="CV AGUNG KARYA",COUNTIF($I$10:I5497,"CV AGUNG KARYA")," ")</f>
        <v xml:space="preserve"> </v>
      </c>
      <c r="F5497" s="107" t="str">
        <f>IF(LEN(Table1722[[#This Row],[Uraian]])&gt;2,TRIM(RIGHT(SUBSTITUTE(TRIM(C5497)," ",REPT(" ",255)),255))," ")</f>
        <v xml:space="preserve"> </v>
      </c>
      <c r="G5497" s="110">
        <f>COPY!Z5489</f>
        <v>0</v>
      </c>
      <c r="H5497" s="111" t="str">
        <f>IFERROR(VLOOKUP(Table1722[[#This Row],[Bukti]],'Un nOTA'!$A$4:$K$5003,10,FALSE),"")</f>
        <v/>
      </c>
      <c r="I5497" s="123" t="str">
        <f>IFERROR(VLOOKUP(Table1722[[#This Row],[Bukti]],Table13[#Data],11,FALSE),"")</f>
        <v/>
      </c>
    </row>
    <row r="5498" spans="1:9" hidden="1" x14ac:dyDescent="0.2">
      <c r="A5498" s="105" t="str">
        <f>IF(D5498=1,COUNTIF($D$10:D5498,1)," ")</f>
        <v xml:space="preserve"> </v>
      </c>
      <c r="B5498" s="106">
        <f>COPY!AR5490</f>
        <v>0</v>
      </c>
      <c r="C5498" s="107">
        <f>COPY!AC5490</f>
        <v>0</v>
      </c>
      <c r="D5498" s="107" t="str">
        <f>IF(LEN(Table1722[[#This Row],[Uraian]])&gt;2,1," ")</f>
        <v xml:space="preserve"> </v>
      </c>
      <c r="E5498" s="113" t="str">
        <f>IF(Table1722[[#This Row],[Lawan Transaksi]]="CV AGUNG KARYA",COUNTIF($I$10:I5498,"CV AGUNG KARYA")," ")</f>
        <v xml:space="preserve"> </v>
      </c>
      <c r="F5498" s="107" t="str">
        <f>IF(LEN(Table1722[[#This Row],[Uraian]])&gt;2,TRIM(RIGHT(SUBSTITUTE(TRIM(C5498)," ",REPT(" ",255)),255))," ")</f>
        <v xml:space="preserve"> </v>
      </c>
      <c r="G5498" s="110">
        <f>COPY!Z5490</f>
        <v>0</v>
      </c>
      <c r="H5498" s="111" t="str">
        <f>IFERROR(VLOOKUP(Table1722[[#This Row],[Bukti]],'Un nOTA'!$A$4:$K$5003,10,FALSE),"")</f>
        <v/>
      </c>
      <c r="I5498" s="123" t="str">
        <f>IFERROR(VLOOKUP(Table1722[[#This Row],[Bukti]],Table13[#Data],11,FALSE),"")</f>
        <v/>
      </c>
    </row>
    <row r="5499" spans="1:9" hidden="1" x14ac:dyDescent="0.2">
      <c r="A5499" s="105" t="str">
        <f>IF(D5499=1,COUNTIF($D$10:D5499,1)," ")</f>
        <v xml:space="preserve"> </v>
      </c>
      <c r="B5499" s="106">
        <f>COPY!AR5491</f>
        <v>0</v>
      </c>
      <c r="C5499" s="107">
        <f>COPY!AC5491</f>
        <v>0</v>
      </c>
      <c r="D5499" s="107" t="str">
        <f>IF(LEN(Table1722[[#This Row],[Uraian]])&gt;2,1," ")</f>
        <v xml:space="preserve"> </v>
      </c>
      <c r="E5499" s="113" t="str">
        <f>IF(Table1722[[#This Row],[Lawan Transaksi]]="CV AGUNG KARYA",COUNTIF($I$10:I5499,"CV AGUNG KARYA")," ")</f>
        <v xml:space="preserve"> </v>
      </c>
      <c r="F5499" s="107" t="str">
        <f>IF(LEN(Table1722[[#This Row],[Uraian]])&gt;2,TRIM(RIGHT(SUBSTITUTE(TRIM(C5499)," ",REPT(" ",255)),255))," ")</f>
        <v xml:space="preserve"> </v>
      </c>
      <c r="G5499" s="110">
        <f>COPY!Z5491</f>
        <v>0</v>
      </c>
      <c r="H5499" s="111" t="str">
        <f>IFERROR(VLOOKUP(Table1722[[#This Row],[Bukti]],'Un nOTA'!$A$4:$K$5003,10,FALSE),"")</f>
        <v/>
      </c>
      <c r="I5499" s="123" t="str">
        <f>IFERROR(VLOOKUP(Table1722[[#This Row],[Bukti]],Table13[#Data],11,FALSE),"")</f>
        <v/>
      </c>
    </row>
    <row r="5500" spans="1:9" hidden="1" x14ac:dyDescent="0.2">
      <c r="A5500" s="105" t="str">
        <f>IF(D5500=1,COUNTIF($D$10:D5500,1)," ")</f>
        <v xml:space="preserve"> </v>
      </c>
      <c r="B5500" s="106">
        <f>COPY!AR5492</f>
        <v>0</v>
      </c>
      <c r="C5500" s="107">
        <f>COPY!AC5492</f>
        <v>0</v>
      </c>
      <c r="D5500" s="107" t="str">
        <f>IF(LEN(Table1722[[#This Row],[Uraian]])&gt;2,1," ")</f>
        <v xml:space="preserve"> </v>
      </c>
      <c r="E5500" s="113" t="str">
        <f>IF(Table1722[[#This Row],[Lawan Transaksi]]="CV AGUNG KARYA",COUNTIF($I$10:I5500,"CV AGUNG KARYA")," ")</f>
        <v xml:space="preserve"> </v>
      </c>
      <c r="F5500" s="107" t="str">
        <f>IF(LEN(Table1722[[#This Row],[Uraian]])&gt;2,TRIM(RIGHT(SUBSTITUTE(TRIM(C5500)," ",REPT(" ",255)),255))," ")</f>
        <v xml:space="preserve"> </v>
      </c>
      <c r="G5500" s="110">
        <f>COPY!Z5492</f>
        <v>0</v>
      </c>
      <c r="H5500" s="111" t="str">
        <f>IFERROR(VLOOKUP(Table1722[[#This Row],[Bukti]],'Un nOTA'!$A$4:$K$5003,10,FALSE),"")</f>
        <v/>
      </c>
      <c r="I5500" s="123" t="str">
        <f>IFERROR(VLOOKUP(Table1722[[#This Row],[Bukti]],Table13[#Data],11,FALSE),"")</f>
        <v/>
      </c>
    </row>
    <row r="5501" spans="1:9" hidden="1" x14ac:dyDescent="0.2">
      <c r="A5501" s="105" t="str">
        <f>IF(D5501=1,COUNTIF($D$10:D5501,1)," ")</f>
        <v xml:space="preserve"> </v>
      </c>
      <c r="B5501" s="106">
        <f>COPY!AR5493</f>
        <v>0</v>
      </c>
      <c r="C5501" s="107">
        <f>COPY!AC5493</f>
        <v>0</v>
      </c>
      <c r="D5501" s="107" t="str">
        <f>IF(LEN(Table1722[[#This Row],[Uraian]])&gt;2,1," ")</f>
        <v xml:space="preserve"> </v>
      </c>
      <c r="E5501" s="113" t="str">
        <f>IF(Table1722[[#This Row],[Lawan Transaksi]]="CV AGUNG KARYA",COUNTIF($I$10:I5501,"CV AGUNG KARYA")," ")</f>
        <v xml:space="preserve"> </v>
      </c>
      <c r="F5501" s="107" t="str">
        <f>IF(LEN(Table1722[[#This Row],[Uraian]])&gt;2,TRIM(RIGHT(SUBSTITUTE(TRIM(C5501)," ",REPT(" ",255)),255))," ")</f>
        <v xml:space="preserve"> </v>
      </c>
      <c r="G5501" s="110">
        <f>COPY!Z5493</f>
        <v>0</v>
      </c>
      <c r="H5501" s="111" t="str">
        <f>IFERROR(VLOOKUP(Table1722[[#This Row],[Bukti]],'Un nOTA'!$A$4:$K$5003,10,FALSE),"")</f>
        <v/>
      </c>
      <c r="I5501" s="123" t="str">
        <f>IFERROR(VLOOKUP(Table1722[[#This Row],[Bukti]],Table13[#Data],11,FALSE),"")</f>
        <v/>
      </c>
    </row>
    <row r="5502" spans="1:9" hidden="1" x14ac:dyDescent="0.2">
      <c r="A5502" s="105" t="str">
        <f>IF(D5502=1,COUNTIF($D$10:D5502,1)," ")</f>
        <v xml:space="preserve"> </v>
      </c>
      <c r="B5502" s="106">
        <f>COPY!AR5494</f>
        <v>0</v>
      </c>
      <c r="C5502" s="107">
        <f>COPY!AC5494</f>
        <v>0</v>
      </c>
      <c r="D5502" s="107" t="str">
        <f>IF(LEN(Table1722[[#This Row],[Uraian]])&gt;2,1," ")</f>
        <v xml:space="preserve"> </v>
      </c>
      <c r="E5502" s="113" t="str">
        <f>IF(Table1722[[#This Row],[Lawan Transaksi]]="CV AGUNG KARYA",COUNTIF($I$10:I5502,"CV AGUNG KARYA")," ")</f>
        <v xml:space="preserve"> </v>
      </c>
      <c r="F5502" s="107" t="str">
        <f>IF(LEN(Table1722[[#This Row],[Uraian]])&gt;2,TRIM(RIGHT(SUBSTITUTE(TRIM(C5502)," ",REPT(" ",255)),255))," ")</f>
        <v xml:space="preserve"> </v>
      </c>
      <c r="G5502" s="110">
        <f>COPY!Z5494</f>
        <v>0</v>
      </c>
      <c r="H5502" s="111" t="str">
        <f>IFERROR(VLOOKUP(Table1722[[#This Row],[Bukti]],'Un nOTA'!$A$4:$K$5003,10,FALSE),"")</f>
        <v/>
      </c>
      <c r="I5502" s="123" t="str">
        <f>IFERROR(VLOOKUP(Table1722[[#This Row],[Bukti]],Table13[#Data],11,FALSE),"")</f>
        <v/>
      </c>
    </row>
    <row r="5503" spans="1:9" hidden="1" x14ac:dyDescent="0.2">
      <c r="A5503" s="105" t="str">
        <f>IF(D5503=1,COUNTIF($D$10:D5503,1)," ")</f>
        <v xml:space="preserve"> </v>
      </c>
      <c r="B5503" s="106">
        <f>COPY!AR5495</f>
        <v>0</v>
      </c>
      <c r="C5503" s="107">
        <f>COPY!AC5495</f>
        <v>0</v>
      </c>
      <c r="D5503" s="107" t="str">
        <f>IF(LEN(Table1722[[#This Row],[Uraian]])&gt;2,1," ")</f>
        <v xml:space="preserve"> </v>
      </c>
      <c r="E5503" s="113" t="str">
        <f>IF(Table1722[[#This Row],[Lawan Transaksi]]="CV AGUNG KARYA",COUNTIF($I$10:I5503,"CV AGUNG KARYA")," ")</f>
        <v xml:space="preserve"> </v>
      </c>
      <c r="F5503" s="107" t="str">
        <f>IF(LEN(Table1722[[#This Row],[Uraian]])&gt;2,TRIM(RIGHT(SUBSTITUTE(TRIM(C5503)," ",REPT(" ",255)),255))," ")</f>
        <v xml:space="preserve"> </v>
      </c>
      <c r="G5503" s="110">
        <f>COPY!Z5495</f>
        <v>0</v>
      </c>
      <c r="H5503" s="111" t="str">
        <f>IFERROR(VLOOKUP(Table1722[[#This Row],[Bukti]],'Un nOTA'!$A$4:$K$5003,10,FALSE),"")</f>
        <v/>
      </c>
      <c r="I5503" s="123" t="str">
        <f>IFERROR(VLOOKUP(Table1722[[#This Row],[Bukti]],Table13[#Data],11,FALSE),"")</f>
        <v/>
      </c>
    </row>
    <row r="5504" spans="1:9" hidden="1" x14ac:dyDescent="0.2">
      <c r="A5504" s="105" t="str">
        <f>IF(D5504=1,COUNTIF($D$10:D5504,1)," ")</f>
        <v xml:space="preserve"> </v>
      </c>
      <c r="B5504" s="106">
        <f>COPY!AR5496</f>
        <v>0</v>
      </c>
      <c r="C5504" s="107">
        <f>COPY!AC5496</f>
        <v>0</v>
      </c>
      <c r="D5504" s="107" t="str">
        <f>IF(LEN(Table1722[[#This Row],[Uraian]])&gt;2,1," ")</f>
        <v xml:space="preserve"> </v>
      </c>
      <c r="E5504" s="113" t="str">
        <f>IF(Table1722[[#This Row],[Lawan Transaksi]]="CV AGUNG KARYA",COUNTIF($I$10:I5504,"CV AGUNG KARYA")," ")</f>
        <v xml:space="preserve"> </v>
      </c>
      <c r="F5504" s="107" t="str">
        <f>IF(LEN(Table1722[[#This Row],[Uraian]])&gt;2,TRIM(RIGHT(SUBSTITUTE(TRIM(C5504)," ",REPT(" ",255)),255))," ")</f>
        <v xml:space="preserve"> </v>
      </c>
      <c r="G5504" s="110">
        <f>COPY!Z5496</f>
        <v>0</v>
      </c>
      <c r="H5504" s="111" t="str">
        <f>IFERROR(VLOOKUP(Table1722[[#This Row],[Bukti]],'Un nOTA'!$A$4:$K$5003,10,FALSE),"")</f>
        <v/>
      </c>
      <c r="I5504" s="123" t="str">
        <f>IFERROR(VLOOKUP(Table1722[[#This Row],[Bukti]],Table13[#Data],11,FALSE),"")</f>
        <v/>
      </c>
    </row>
    <row r="5505" spans="1:9" hidden="1" x14ac:dyDescent="0.2">
      <c r="A5505" s="105" t="str">
        <f>IF(D5505=1,COUNTIF($D$10:D5505,1)," ")</f>
        <v xml:space="preserve"> </v>
      </c>
      <c r="B5505" s="106">
        <f>COPY!AR5497</f>
        <v>0</v>
      </c>
      <c r="C5505" s="107">
        <f>COPY!AC5497</f>
        <v>0</v>
      </c>
      <c r="D5505" s="107" t="str">
        <f>IF(LEN(Table1722[[#This Row],[Uraian]])&gt;2,1," ")</f>
        <v xml:space="preserve"> </v>
      </c>
      <c r="E5505" s="113" t="str">
        <f>IF(Table1722[[#This Row],[Lawan Transaksi]]="CV AGUNG KARYA",COUNTIF($I$10:I5505,"CV AGUNG KARYA")," ")</f>
        <v xml:space="preserve"> </v>
      </c>
      <c r="F5505" s="107" t="str">
        <f>IF(LEN(Table1722[[#This Row],[Uraian]])&gt;2,TRIM(RIGHT(SUBSTITUTE(TRIM(C5505)," ",REPT(" ",255)),255))," ")</f>
        <v xml:space="preserve"> </v>
      </c>
      <c r="G5505" s="110">
        <f>COPY!Z5497</f>
        <v>0</v>
      </c>
      <c r="H5505" s="111" t="str">
        <f>IFERROR(VLOOKUP(Table1722[[#This Row],[Bukti]],'Un nOTA'!$A$4:$K$5003,10,FALSE),"")</f>
        <v/>
      </c>
      <c r="I5505" s="123" t="str">
        <f>IFERROR(VLOOKUP(Table1722[[#This Row],[Bukti]],Table13[#Data],11,FALSE),"")</f>
        <v/>
      </c>
    </row>
    <row r="5506" spans="1:9" hidden="1" x14ac:dyDescent="0.2">
      <c r="A5506" s="105" t="str">
        <f>IF(D5506=1,COUNTIF($D$10:D5506,1)," ")</f>
        <v xml:space="preserve"> </v>
      </c>
      <c r="B5506" s="106">
        <f>COPY!AR5498</f>
        <v>0</v>
      </c>
      <c r="C5506" s="107">
        <f>COPY!AC5498</f>
        <v>0</v>
      </c>
      <c r="D5506" s="107" t="str">
        <f>IF(LEN(Table1722[[#This Row],[Uraian]])&gt;2,1," ")</f>
        <v xml:space="preserve"> </v>
      </c>
      <c r="E5506" s="113" t="str">
        <f>IF(Table1722[[#This Row],[Lawan Transaksi]]="CV AGUNG KARYA",COUNTIF($I$10:I5506,"CV AGUNG KARYA")," ")</f>
        <v xml:space="preserve"> </v>
      </c>
      <c r="F5506" s="107" t="str">
        <f>IF(LEN(Table1722[[#This Row],[Uraian]])&gt;2,TRIM(RIGHT(SUBSTITUTE(TRIM(C5506)," ",REPT(" ",255)),255))," ")</f>
        <v xml:space="preserve"> </v>
      </c>
      <c r="G5506" s="110">
        <f>COPY!Z5498</f>
        <v>0</v>
      </c>
      <c r="H5506" s="111" t="str">
        <f>IFERROR(VLOOKUP(Table1722[[#This Row],[Bukti]],'Un nOTA'!$A$4:$K$5003,10,FALSE),"")</f>
        <v/>
      </c>
      <c r="I5506" s="123" t="str">
        <f>IFERROR(VLOOKUP(Table1722[[#This Row],[Bukti]],Table13[#Data],11,FALSE),"")</f>
        <v/>
      </c>
    </row>
    <row r="5507" spans="1:9" hidden="1" x14ac:dyDescent="0.2">
      <c r="A5507" s="105" t="str">
        <f>IF(D5507=1,COUNTIF($D$10:D5507,1)," ")</f>
        <v xml:space="preserve"> </v>
      </c>
      <c r="B5507" s="106">
        <f>COPY!AR5499</f>
        <v>0</v>
      </c>
      <c r="C5507" s="107">
        <f>COPY!AC5499</f>
        <v>0</v>
      </c>
      <c r="D5507" s="107" t="str">
        <f>IF(LEN(Table1722[[#This Row],[Uraian]])&gt;2,1," ")</f>
        <v xml:space="preserve"> </v>
      </c>
      <c r="E5507" s="113" t="str">
        <f>IF(Table1722[[#This Row],[Lawan Transaksi]]="CV AGUNG KARYA",COUNTIF($I$10:I5507,"CV AGUNG KARYA")," ")</f>
        <v xml:space="preserve"> </v>
      </c>
      <c r="F5507" s="107" t="str">
        <f>IF(LEN(Table1722[[#This Row],[Uraian]])&gt;2,TRIM(RIGHT(SUBSTITUTE(TRIM(C5507)," ",REPT(" ",255)),255))," ")</f>
        <v xml:space="preserve"> </v>
      </c>
      <c r="G5507" s="110">
        <f>COPY!Z5499</f>
        <v>0</v>
      </c>
      <c r="H5507" s="111" t="str">
        <f>IFERROR(VLOOKUP(Table1722[[#This Row],[Bukti]],'Un nOTA'!$A$4:$K$5003,10,FALSE),"")</f>
        <v/>
      </c>
      <c r="I5507" s="123" t="str">
        <f>IFERROR(VLOOKUP(Table1722[[#This Row],[Bukti]],Table13[#Data],11,FALSE),"")</f>
        <v/>
      </c>
    </row>
    <row r="5508" spans="1:9" hidden="1" x14ac:dyDescent="0.2">
      <c r="A5508" s="105" t="str">
        <f>IF(D5508=1,COUNTIF($D$10:D5508,1)," ")</f>
        <v xml:space="preserve"> </v>
      </c>
      <c r="B5508" s="106">
        <f>COPY!AR5500</f>
        <v>0</v>
      </c>
      <c r="C5508" s="107">
        <f>COPY!AC5500</f>
        <v>0</v>
      </c>
      <c r="D5508" s="107" t="str">
        <f>IF(LEN(Table1722[[#This Row],[Uraian]])&gt;2,1," ")</f>
        <v xml:space="preserve"> </v>
      </c>
      <c r="E5508" s="113" t="str">
        <f>IF(Table1722[[#This Row],[Lawan Transaksi]]="CV AGUNG KARYA",COUNTIF($I$10:I5508,"CV AGUNG KARYA")," ")</f>
        <v xml:space="preserve"> </v>
      </c>
      <c r="F5508" s="107" t="str">
        <f>IF(LEN(Table1722[[#This Row],[Uraian]])&gt;2,TRIM(RIGHT(SUBSTITUTE(TRIM(C5508)," ",REPT(" ",255)),255))," ")</f>
        <v xml:space="preserve"> </v>
      </c>
      <c r="G5508" s="110">
        <f>COPY!Z5500</f>
        <v>0</v>
      </c>
      <c r="H5508" s="111" t="str">
        <f>IFERROR(VLOOKUP(Table1722[[#This Row],[Bukti]],'Un nOTA'!$A$4:$K$5003,10,FALSE),"")</f>
        <v/>
      </c>
      <c r="I5508" s="123" t="str">
        <f>IFERROR(VLOOKUP(Table1722[[#This Row],[Bukti]],Table13[#Data],11,FALSE),"")</f>
        <v/>
      </c>
    </row>
    <row r="5509" spans="1:9" hidden="1" x14ac:dyDescent="0.2">
      <c r="A5509" s="105" t="str">
        <f>IF(D5509=1,COUNTIF($D$10:D5509,1)," ")</f>
        <v xml:space="preserve"> </v>
      </c>
      <c r="B5509" s="106">
        <f>COPY!AR5501</f>
        <v>0</v>
      </c>
      <c r="C5509" s="107">
        <f>COPY!AC5501</f>
        <v>0</v>
      </c>
      <c r="D5509" s="107" t="str">
        <f>IF(LEN(Table1722[[#This Row],[Uraian]])&gt;2,1," ")</f>
        <v xml:space="preserve"> </v>
      </c>
      <c r="E5509" s="113" t="str">
        <f>IF(Table1722[[#This Row],[Lawan Transaksi]]="CV AGUNG KARYA",COUNTIF($I$10:I5509,"CV AGUNG KARYA")," ")</f>
        <v xml:space="preserve"> </v>
      </c>
      <c r="F5509" s="107" t="str">
        <f>IF(LEN(Table1722[[#This Row],[Uraian]])&gt;2,TRIM(RIGHT(SUBSTITUTE(TRIM(C5509)," ",REPT(" ",255)),255))," ")</f>
        <v xml:space="preserve"> </v>
      </c>
      <c r="G5509" s="110">
        <f>COPY!Z5501</f>
        <v>0</v>
      </c>
      <c r="H5509" s="111" t="str">
        <f>IFERROR(VLOOKUP(Table1722[[#This Row],[Bukti]],'Un nOTA'!$A$4:$K$5003,10,FALSE),"")</f>
        <v/>
      </c>
      <c r="I5509" s="123" t="str">
        <f>IFERROR(VLOOKUP(Table1722[[#This Row],[Bukti]],Table13[#Data],11,FALSE),"")</f>
        <v/>
      </c>
    </row>
    <row r="5510" spans="1:9" hidden="1" x14ac:dyDescent="0.2">
      <c r="A5510" s="105" t="str">
        <f>IF(D5510=1,COUNTIF($D$10:D5510,1)," ")</f>
        <v xml:space="preserve"> </v>
      </c>
      <c r="B5510" s="106">
        <f>COPY!AR5502</f>
        <v>0</v>
      </c>
      <c r="C5510" s="107">
        <f>COPY!AC5502</f>
        <v>0</v>
      </c>
      <c r="D5510" s="107" t="str">
        <f>IF(LEN(Table1722[[#This Row],[Uraian]])&gt;2,1," ")</f>
        <v xml:space="preserve"> </v>
      </c>
      <c r="E5510" s="113" t="str">
        <f>IF(Table1722[[#This Row],[Lawan Transaksi]]="CV AGUNG KARYA",COUNTIF($I$10:I5510,"CV AGUNG KARYA")," ")</f>
        <v xml:space="preserve"> </v>
      </c>
      <c r="F5510" s="107" t="str">
        <f>IF(LEN(Table1722[[#This Row],[Uraian]])&gt;2,TRIM(RIGHT(SUBSTITUTE(TRIM(C5510)," ",REPT(" ",255)),255))," ")</f>
        <v xml:space="preserve"> </v>
      </c>
      <c r="G5510" s="110">
        <f>COPY!Z5502</f>
        <v>0</v>
      </c>
      <c r="H5510" s="111" t="str">
        <f>IFERROR(VLOOKUP(Table1722[[#This Row],[Bukti]],'Un nOTA'!$A$4:$K$5003,10,FALSE),"")</f>
        <v/>
      </c>
      <c r="I5510" s="123" t="str">
        <f>IFERROR(VLOOKUP(Table1722[[#This Row],[Bukti]],Table13[#Data],11,FALSE),"")</f>
        <v/>
      </c>
    </row>
    <row r="5511" spans="1:9" hidden="1" x14ac:dyDescent="0.2">
      <c r="A5511" s="105" t="str">
        <f>IF(D5511=1,COUNTIF($D$10:D5511,1)," ")</f>
        <v xml:space="preserve"> </v>
      </c>
      <c r="B5511" s="106">
        <f>COPY!AR5503</f>
        <v>0</v>
      </c>
      <c r="C5511" s="107">
        <f>COPY!AC5503</f>
        <v>0</v>
      </c>
      <c r="D5511" s="107" t="str">
        <f>IF(LEN(Table1722[[#This Row],[Uraian]])&gt;2,1," ")</f>
        <v xml:space="preserve"> </v>
      </c>
      <c r="E5511" s="113" t="str">
        <f>IF(Table1722[[#This Row],[Lawan Transaksi]]="CV AGUNG KARYA",COUNTIF($I$10:I5511,"CV AGUNG KARYA")," ")</f>
        <v xml:space="preserve"> </v>
      </c>
      <c r="F5511" s="107" t="str">
        <f>IF(LEN(Table1722[[#This Row],[Uraian]])&gt;2,TRIM(RIGHT(SUBSTITUTE(TRIM(C5511)," ",REPT(" ",255)),255))," ")</f>
        <v xml:space="preserve"> </v>
      </c>
      <c r="G5511" s="110">
        <f>COPY!Z5503</f>
        <v>0</v>
      </c>
      <c r="H5511" s="111" t="str">
        <f>IFERROR(VLOOKUP(Table1722[[#This Row],[Bukti]],'Un nOTA'!$A$4:$K$5003,10,FALSE),"")</f>
        <v/>
      </c>
      <c r="I5511" s="123" t="str">
        <f>IFERROR(VLOOKUP(Table1722[[#This Row],[Bukti]],Table13[#Data],11,FALSE),"")</f>
        <v/>
      </c>
    </row>
    <row r="5512" spans="1:9" hidden="1" x14ac:dyDescent="0.2">
      <c r="A5512" s="105" t="str">
        <f>IF(D5512=1,COUNTIF($D$10:D5512,1)," ")</f>
        <v xml:space="preserve"> </v>
      </c>
      <c r="B5512" s="106">
        <f>COPY!AR5504</f>
        <v>0</v>
      </c>
      <c r="C5512" s="107">
        <f>COPY!AC5504</f>
        <v>0</v>
      </c>
      <c r="D5512" s="107" t="str">
        <f>IF(LEN(Table1722[[#This Row],[Uraian]])&gt;2,1," ")</f>
        <v xml:space="preserve"> </v>
      </c>
      <c r="E5512" s="113" t="str">
        <f>IF(Table1722[[#This Row],[Lawan Transaksi]]="CV AGUNG KARYA",COUNTIF($I$10:I5512,"CV AGUNG KARYA")," ")</f>
        <v xml:space="preserve"> </v>
      </c>
      <c r="F5512" s="107" t="str">
        <f>IF(LEN(Table1722[[#This Row],[Uraian]])&gt;2,TRIM(RIGHT(SUBSTITUTE(TRIM(C5512)," ",REPT(" ",255)),255))," ")</f>
        <v xml:space="preserve"> </v>
      </c>
      <c r="G5512" s="110">
        <f>COPY!Z5504</f>
        <v>0</v>
      </c>
      <c r="H5512" s="111" t="str">
        <f>IFERROR(VLOOKUP(Table1722[[#This Row],[Bukti]],'Un nOTA'!$A$4:$K$5003,10,FALSE),"")</f>
        <v/>
      </c>
      <c r="I5512" s="123" t="str">
        <f>IFERROR(VLOOKUP(Table1722[[#This Row],[Bukti]],Table13[#Data],11,FALSE),"")</f>
        <v/>
      </c>
    </row>
    <row r="5513" spans="1:9" hidden="1" x14ac:dyDescent="0.2">
      <c r="A5513" s="105" t="str">
        <f>IF(D5513=1,COUNTIF($D$10:D5513,1)," ")</f>
        <v xml:space="preserve"> </v>
      </c>
      <c r="B5513" s="106">
        <f>COPY!AR5505</f>
        <v>0</v>
      </c>
      <c r="C5513" s="107">
        <f>COPY!AC5505</f>
        <v>0</v>
      </c>
      <c r="D5513" s="107" t="str">
        <f>IF(LEN(Table1722[[#This Row],[Uraian]])&gt;2,1," ")</f>
        <v xml:space="preserve"> </v>
      </c>
      <c r="E5513" s="113" t="str">
        <f>IF(Table1722[[#This Row],[Lawan Transaksi]]="CV AGUNG KARYA",COUNTIF($I$10:I5513,"CV AGUNG KARYA")," ")</f>
        <v xml:space="preserve"> </v>
      </c>
      <c r="F5513" s="107" t="str">
        <f>IF(LEN(Table1722[[#This Row],[Uraian]])&gt;2,TRIM(RIGHT(SUBSTITUTE(TRIM(C5513)," ",REPT(" ",255)),255))," ")</f>
        <v xml:space="preserve"> </v>
      </c>
      <c r="G5513" s="110">
        <f>COPY!Z5505</f>
        <v>0</v>
      </c>
      <c r="H5513" s="111" t="str">
        <f>IFERROR(VLOOKUP(Table1722[[#This Row],[Bukti]],'Un nOTA'!$A$4:$K$5003,10,FALSE),"")</f>
        <v/>
      </c>
      <c r="I5513" s="123" t="str">
        <f>IFERROR(VLOOKUP(Table1722[[#This Row],[Bukti]],Table13[#Data],11,FALSE),"")</f>
        <v/>
      </c>
    </row>
    <row r="5514" spans="1:9" hidden="1" x14ac:dyDescent="0.2">
      <c r="A5514" s="105" t="str">
        <f>IF(D5514=1,COUNTIF($D$10:D5514,1)," ")</f>
        <v xml:space="preserve"> </v>
      </c>
      <c r="B5514" s="106">
        <f>COPY!AR5506</f>
        <v>0</v>
      </c>
      <c r="C5514" s="107">
        <f>COPY!AC5506</f>
        <v>0</v>
      </c>
      <c r="D5514" s="107" t="str">
        <f>IF(LEN(Table1722[[#This Row],[Uraian]])&gt;2,1," ")</f>
        <v xml:space="preserve"> </v>
      </c>
      <c r="E5514" s="113" t="str">
        <f>IF(Table1722[[#This Row],[Lawan Transaksi]]="CV AGUNG KARYA",COUNTIF($I$10:I5514,"CV AGUNG KARYA")," ")</f>
        <v xml:space="preserve"> </v>
      </c>
      <c r="F5514" s="107" t="str">
        <f>IF(LEN(Table1722[[#This Row],[Uraian]])&gt;2,TRIM(RIGHT(SUBSTITUTE(TRIM(C5514)," ",REPT(" ",255)),255))," ")</f>
        <v xml:space="preserve"> </v>
      </c>
      <c r="G5514" s="110">
        <f>COPY!Z5506</f>
        <v>0</v>
      </c>
      <c r="H5514" s="111" t="str">
        <f>IFERROR(VLOOKUP(Table1722[[#This Row],[Bukti]],'Un nOTA'!$A$4:$K$5003,10,FALSE),"")</f>
        <v/>
      </c>
      <c r="I5514" s="123" t="str">
        <f>IFERROR(VLOOKUP(Table1722[[#This Row],[Bukti]],Table13[#Data],11,FALSE),"")</f>
        <v/>
      </c>
    </row>
    <row r="5515" spans="1:9" hidden="1" x14ac:dyDescent="0.2">
      <c r="A5515" s="105" t="str">
        <f>IF(D5515=1,COUNTIF($D$10:D5515,1)," ")</f>
        <v xml:space="preserve"> </v>
      </c>
      <c r="B5515" s="106">
        <f>COPY!AR5507</f>
        <v>0</v>
      </c>
      <c r="C5515" s="107">
        <f>COPY!AC5507</f>
        <v>0</v>
      </c>
      <c r="D5515" s="107" t="str">
        <f>IF(LEN(Table1722[[#This Row],[Uraian]])&gt;2,1," ")</f>
        <v xml:space="preserve"> </v>
      </c>
      <c r="E5515" s="113" t="str">
        <f>IF(Table1722[[#This Row],[Lawan Transaksi]]="CV AGUNG KARYA",COUNTIF($I$10:I5515,"CV AGUNG KARYA")," ")</f>
        <v xml:space="preserve"> </v>
      </c>
      <c r="F5515" s="107" t="str">
        <f>IF(LEN(Table1722[[#This Row],[Uraian]])&gt;2,TRIM(RIGHT(SUBSTITUTE(TRIM(C5515)," ",REPT(" ",255)),255))," ")</f>
        <v xml:space="preserve"> </v>
      </c>
      <c r="G5515" s="110">
        <f>COPY!Z5507</f>
        <v>0</v>
      </c>
      <c r="H5515" s="111" t="str">
        <f>IFERROR(VLOOKUP(Table1722[[#This Row],[Bukti]],'Un nOTA'!$A$4:$K$5003,10,FALSE),"")</f>
        <v/>
      </c>
      <c r="I5515" s="123" t="str">
        <f>IFERROR(VLOOKUP(Table1722[[#This Row],[Bukti]],Table13[#Data],11,FALSE),"")</f>
        <v/>
      </c>
    </row>
    <row r="5516" spans="1:9" hidden="1" x14ac:dyDescent="0.2">
      <c r="A5516" s="105" t="str">
        <f>IF(D5516=1,COUNTIF($D$10:D5516,1)," ")</f>
        <v xml:space="preserve"> </v>
      </c>
      <c r="B5516" s="106">
        <f>COPY!AR5508</f>
        <v>0</v>
      </c>
      <c r="C5516" s="107">
        <f>COPY!AC5508</f>
        <v>0</v>
      </c>
      <c r="D5516" s="107" t="str">
        <f>IF(LEN(Table1722[[#This Row],[Uraian]])&gt;2,1," ")</f>
        <v xml:space="preserve"> </v>
      </c>
      <c r="E5516" s="113" t="str">
        <f>IF(Table1722[[#This Row],[Lawan Transaksi]]="CV AGUNG KARYA",COUNTIF($I$10:I5516,"CV AGUNG KARYA")," ")</f>
        <v xml:space="preserve"> </v>
      </c>
      <c r="F5516" s="107" t="str">
        <f>IF(LEN(Table1722[[#This Row],[Uraian]])&gt;2,TRIM(RIGHT(SUBSTITUTE(TRIM(C5516)," ",REPT(" ",255)),255))," ")</f>
        <v xml:space="preserve"> </v>
      </c>
      <c r="G5516" s="110">
        <f>COPY!Z5508</f>
        <v>0</v>
      </c>
      <c r="H5516" s="111" t="str">
        <f>IFERROR(VLOOKUP(Table1722[[#This Row],[Bukti]],'Un nOTA'!$A$4:$K$5003,10,FALSE),"")</f>
        <v/>
      </c>
      <c r="I5516" s="123" t="str">
        <f>IFERROR(VLOOKUP(Table1722[[#This Row],[Bukti]],Table13[#Data],11,FALSE),"")</f>
        <v/>
      </c>
    </row>
    <row r="5517" spans="1:9" hidden="1" x14ac:dyDescent="0.2">
      <c r="A5517" s="105" t="str">
        <f>IF(D5517=1,COUNTIF($D$10:D5517,1)," ")</f>
        <v xml:space="preserve"> </v>
      </c>
      <c r="B5517" s="106">
        <f>COPY!AR5509</f>
        <v>0</v>
      </c>
      <c r="C5517" s="107">
        <f>COPY!AC5509</f>
        <v>0</v>
      </c>
      <c r="D5517" s="107" t="str">
        <f>IF(LEN(Table1722[[#This Row],[Uraian]])&gt;2,1," ")</f>
        <v xml:space="preserve"> </v>
      </c>
      <c r="E5517" s="113" t="str">
        <f>IF(Table1722[[#This Row],[Lawan Transaksi]]="CV AGUNG KARYA",COUNTIF($I$10:I5517,"CV AGUNG KARYA")," ")</f>
        <v xml:space="preserve"> </v>
      </c>
      <c r="F5517" s="107" t="str">
        <f>IF(LEN(Table1722[[#This Row],[Uraian]])&gt;2,TRIM(RIGHT(SUBSTITUTE(TRIM(C5517)," ",REPT(" ",255)),255))," ")</f>
        <v xml:space="preserve"> </v>
      </c>
      <c r="G5517" s="110">
        <f>COPY!Z5509</f>
        <v>0</v>
      </c>
      <c r="H5517" s="111" t="str">
        <f>IFERROR(VLOOKUP(Table1722[[#This Row],[Bukti]],'Un nOTA'!$A$4:$K$5003,10,FALSE),"")</f>
        <v/>
      </c>
      <c r="I5517" s="123" t="str">
        <f>IFERROR(VLOOKUP(Table1722[[#This Row],[Bukti]],Table13[#Data],11,FALSE),"")</f>
        <v/>
      </c>
    </row>
    <row r="5518" spans="1:9" hidden="1" x14ac:dyDescent="0.2">
      <c r="A5518" s="105" t="str">
        <f>IF(D5518=1,COUNTIF($D$10:D5518,1)," ")</f>
        <v xml:space="preserve"> </v>
      </c>
      <c r="B5518" s="106">
        <f>COPY!AR5510</f>
        <v>0</v>
      </c>
      <c r="C5518" s="107">
        <f>COPY!AC5510</f>
        <v>0</v>
      </c>
      <c r="D5518" s="107" t="str">
        <f>IF(LEN(Table1722[[#This Row],[Uraian]])&gt;2,1," ")</f>
        <v xml:space="preserve"> </v>
      </c>
      <c r="E5518" s="113" t="str">
        <f>IF(Table1722[[#This Row],[Lawan Transaksi]]="CV AGUNG KARYA",COUNTIF($I$10:I5518,"CV AGUNG KARYA")," ")</f>
        <v xml:space="preserve"> </v>
      </c>
      <c r="F5518" s="107" t="str">
        <f>IF(LEN(Table1722[[#This Row],[Uraian]])&gt;2,TRIM(RIGHT(SUBSTITUTE(TRIM(C5518)," ",REPT(" ",255)),255))," ")</f>
        <v xml:space="preserve"> </v>
      </c>
      <c r="G5518" s="110">
        <f>COPY!Z5510</f>
        <v>0</v>
      </c>
      <c r="H5518" s="111" t="str">
        <f>IFERROR(VLOOKUP(Table1722[[#This Row],[Bukti]],'Un nOTA'!$A$4:$K$5003,10,FALSE),"")</f>
        <v/>
      </c>
      <c r="I5518" s="123" t="str">
        <f>IFERROR(VLOOKUP(Table1722[[#This Row],[Bukti]],Table13[#Data],11,FALSE),"")</f>
        <v/>
      </c>
    </row>
    <row r="5519" spans="1:9" hidden="1" x14ac:dyDescent="0.2">
      <c r="A5519" s="105" t="str">
        <f>IF(D5519=1,COUNTIF($D$10:D5519,1)," ")</f>
        <v xml:space="preserve"> </v>
      </c>
      <c r="B5519" s="106">
        <f>COPY!AR5511</f>
        <v>0</v>
      </c>
      <c r="C5519" s="107">
        <f>COPY!AC5511</f>
        <v>0</v>
      </c>
      <c r="D5519" s="107" t="str">
        <f>IF(LEN(Table1722[[#This Row],[Uraian]])&gt;2,1," ")</f>
        <v xml:space="preserve"> </v>
      </c>
      <c r="E5519" s="113" t="str">
        <f>IF(Table1722[[#This Row],[Lawan Transaksi]]="CV AGUNG KARYA",COUNTIF($I$10:I5519,"CV AGUNG KARYA")," ")</f>
        <v xml:space="preserve"> </v>
      </c>
      <c r="F5519" s="107" t="str">
        <f>IF(LEN(Table1722[[#This Row],[Uraian]])&gt;2,TRIM(RIGHT(SUBSTITUTE(TRIM(C5519)," ",REPT(" ",255)),255))," ")</f>
        <v xml:space="preserve"> </v>
      </c>
      <c r="G5519" s="110">
        <f>COPY!Z5511</f>
        <v>0</v>
      </c>
      <c r="H5519" s="111" t="str">
        <f>IFERROR(VLOOKUP(Table1722[[#This Row],[Bukti]],'Un nOTA'!$A$4:$K$5003,10,FALSE),"")</f>
        <v/>
      </c>
      <c r="I5519" s="123" t="str">
        <f>IFERROR(VLOOKUP(Table1722[[#This Row],[Bukti]],Table13[#Data],11,FALSE),"")</f>
        <v/>
      </c>
    </row>
    <row r="5520" spans="1:9" hidden="1" x14ac:dyDescent="0.2">
      <c r="A5520" s="105" t="str">
        <f>IF(D5520=1,COUNTIF($D$10:D5520,1)," ")</f>
        <v xml:space="preserve"> </v>
      </c>
      <c r="B5520" s="106">
        <f>COPY!AR5512</f>
        <v>0</v>
      </c>
      <c r="C5520" s="107">
        <f>COPY!AC5512</f>
        <v>0</v>
      </c>
      <c r="D5520" s="107" t="str">
        <f>IF(LEN(Table1722[[#This Row],[Uraian]])&gt;2,1," ")</f>
        <v xml:space="preserve"> </v>
      </c>
      <c r="E5520" s="113" t="str">
        <f>IF(Table1722[[#This Row],[Lawan Transaksi]]="CV AGUNG KARYA",COUNTIF($I$10:I5520,"CV AGUNG KARYA")," ")</f>
        <v xml:space="preserve"> </v>
      </c>
      <c r="F5520" s="107" t="str">
        <f>IF(LEN(Table1722[[#This Row],[Uraian]])&gt;2,TRIM(RIGHT(SUBSTITUTE(TRIM(C5520)," ",REPT(" ",255)),255))," ")</f>
        <v xml:space="preserve"> </v>
      </c>
      <c r="G5520" s="110">
        <f>COPY!Z5512</f>
        <v>0</v>
      </c>
      <c r="H5520" s="111" t="str">
        <f>IFERROR(VLOOKUP(Table1722[[#This Row],[Bukti]],'Un nOTA'!$A$4:$K$5003,10,FALSE),"")</f>
        <v/>
      </c>
      <c r="I5520" s="123" t="str">
        <f>IFERROR(VLOOKUP(Table1722[[#This Row],[Bukti]],Table13[#Data],11,FALSE),"")</f>
        <v/>
      </c>
    </row>
    <row r="5521" spans="1:9" hidden="1" x14ac:dyDescent="0.2">
      <c r="A5521" s="105" t="str">
        <f>IF(D5521=1,COUNTIF($D$10:D5521,1)," ")</f>
        <v xml:space="preserve"> </v>
      </c>
      <c r="B5521" s="106">
        <f>COPY!AR5513</f>
        <v>0</v>
      </c>
      <c r="C5521" s="107">
        <f>COPY!AC5513</f>
        <v>0</v>
      </c>
      <c r="D5521" s="107" t="str">
        <f>IF(LEN(Table1722[[#This Row],[Uraian]])&gt;2,1," ")</f>
        <v xml:space="preserve"> </v>
      </c>
      <c r="E5521" s="113" t="str">
        <f>IF(Table1722[[#This Row],[Lawan Transaksi]]="CV AGUNG KARYA",COUNTIF($I$10:I5521,"CV AGUNG KARYA")," ")</f>
        <v xml:space="preserve"> </v>
      </c>
      <c r="F5521" s="107" t="str">
        <f>IF(LEN(Table1722[[#This Row],[Uraian]])&gt;2,TRIM(RIGHT(SUBSTITUTE(TRIM(C5521)," ",REPT(" ",255)),255))," ")</f>
        <v xml:space="preserve"> </v>
      </c>
      <c r="G5521" s="110">
        <f>COPY!Z5513</f>
        <v>0</v>
      </c>
      <c r="H5521" s="111" t="str">
        <f>IFERROR(VLOOKUP(Table1722[[#This Row],[Bukti]],'Un nOTA'!$A$4:$K$5003,10,FALSE),"")</f>
        <v/>
      </c>
      <c r="I5521" s="123" t="str">
        <f>IFERROR(VLOOKUP(Table1722[[#This Row],[Bukti]],Table13[#Data],11,FALSE),"")</f>
        <v/>
      </c>
    </row>
    <row r="5522" spans="1:9" hidden="1" x14ac:dyDescent="0.2">
      <c r="A5522" s="105" t="str">
        <f>IF(D5522=1,COUNTIF($D$10:D5522,1)," ")</f>
        <v xml:space="preserve"> </v>
      </c>
      <c r="B5522" s="106">
        <f>COPY!AR5514</f>
        <v>0</v>
      </c>
      <c r="C5522" s="107">
        <f>COPY!AC5514</f>
        <v>0</v>
      </c>
      <c r="D5522" s="107" t="str">
        <f>IF(LEN(Table1722[[#This Row],[Uraian]])&gt;2,1," ")</f>
        <v xml:space="preserve"> </v>
      </c>
      <c r="E5522" s="113" t="str">
        <f>IF(Table1722[[#This Row],[Lawan Transaksi]]="CV AGUNG KARYA",COUNTIF($I$10:I5522,"CV AGUNG KARYA")," ")</f>
        <v xml:space="preserve"> </v>
      </c>
      <c r="F5522" s="107" t="str">
        <f>IF(LEN(Table1722[[#This Row],[Uraian]])&gt;2,TRIM(RIGHT(SUBSTITUTE(TRIM(C5522)," ",REPT(" ",255)),255))," ")</f>
        <v xml:space="preserve"> </v>
      </c>
      <c r="G5522" s="110">
        <f>COPY!Z5514</f>
        <v>0</v>
      </c>
      <c r="H5522" s="111" t="str">
        <f>IFERROR(VLOOKUP(Table1722[[#This Row],[Bukti]],'Un nOTA'!$A$4:$K$5003,10,FALSE),"")</f>
        <v/>
      </c>
      <c r="I5522" s="123" t="str">
        <f>IFERROR(VLOOKUP(Table1722[[#This Row],[Bukti]],Table13[#Data],11,FALSE),"")</f>
        <v/>
      </c>
    </row>
    <row r="5523" spans="1:9" hidden="1" x14ac:dyDescent="0.2">
      <c r="A5523" s="105" t="str">
        <f>IF(D5523=1,COUNTIF($D$10:D5523,1)," ")</f>
        <v xml:space="preserve"> </v>
      </c>
      <c r="B5523" s="106">
        <f>COPY!AR5515</f>
        <v>0</v>
      </c>
      <c r="C5523" s="107">
        <f>COPY!AC5515</f>
        <v>0</v>
      </c>
      <c r="D5523" s="107" t="str">
        <f>IF(LEN(Table1722[[#This Row],[Uraian]])&gt;2,1," ")</f>
        <v xml:space="preserve"> </v>
      </c>
      <c r="E5523" s="113" t="str">
        <f>IF(Table1722[[#This Row],[Lawan Transaksi]]="CV AGUNG KARYA",COUNTIF($I$10:I5523,"CV AGUNG KARYA")," ")</f>
        <v xml:space="preserve"> </v>
      </c>
      <c r="F5523" s="107" t="str">
        <f>IF(LEN(Table1722[[#This Row],[Uraian]])&gt;2,TRIM(RIGHT(SUBSTITUTE(TRIM(C5523)," ",REPT(" ",255)),255))," ")</f>
        <v xml:space="preserve"> </v>
      </c>
      <c r="G5523" s="110">
        <f>COPY!Z5515</f>
        <v>0</v>
      </c>
      <c r="H5523" s="111" t="str">
        <f>IFERROR(VLOOKUP(Table1722[[#This Row],[Bukti]],'Un nOTA'!$A$4:$K$5003,10,FALSE),"")</f>
        <v/>
      </c>
      <c r="I5523" s="123" t="str">
        <f>IFERROR(VLOOKUP(Table1722[[#This Row],[Bukti]],Table13[#Data],11,FALSE),"")</f>
        <v/>
      </c>
    </row>
    <row r="5524" spans="1:9" hidden="1" x14ac:dyDescent="0.2">
      <c r="A5524" s="105" t="str">
        <f>IF(D5524=1,COUNTIF($D$10:D5524,1)," ")</f>
        <v xml:space="preserve"> </v>
      </c>
      <c r="B5524" s="106">
        <f>COPY!AR5516</f>
        <v>0</v>
      </c>
      <c r="C5524" s="107">
        <f>COPY!AC5516</f>
        <v>0</v>
      </c>
      <c r="D5524" s="107" t="str">
        <f>IF(LEN(Table1722[[#This Row],[Uraian]])&gt;2,1," ")</f>
        <v xml:space="preserve"> </v>
      </c>
      <c r="E5524" s="113" t="str">
        <f>IF(Table1722[[#This Row],[Lawan Transaksi]]="CV AGUNG KARYA",COUNTIF($I$10:I5524,"CV AGUNG KARYA")," ")</f>
        <v xml:space="preserve"> </v>
      </c>
      <c r="F5524" s="107" t="str">
        <f>IF(LEN(Table1722[[#This Row],[Uraian]])&gt;2,TRIM(RIGHT(SUBSTITUTE(TRIM(C5524)," ",REPT(" ",255)),255))," ")</f>
        <v xml:space="preserve"> </v>
      </c>
      <c r="G5524" s="110">
        <f>COPY!Z5516</f>
        <v>0</v>
      </c>
      <c r="H5524" s="111" t="str">
        <f>IFERROR(VLOOKUP(Table1722[[#This Row],[Bukti]],'Un nOTA'!$A$4:$K$5003,10,FALSE),"")</f>
        <v/>
      </c>
      <c r="I5524" s="123" t="str">
        <f>IFERROR(VLOOKUP(Table1722[[#This Row],[Bukti]],Table13[#Data],11,FALSE),"")</f>
        <v/>
      </c>
    </row>
    <row r="5525" spans="1:9" hidden="1" x14ac:dyDescent="0.2">
      <c r="A5525" s="105" t="str">
        <f>IF(D5525=1,COUNTIF($D$10:D5525,1)," ")</f>
        <v xml:space="preserve"> </v>
      </c>
      <c r="B5525" s="106">
        <f>COPY!AR5517</f>
        <v>0</v>
      </c>
      <c r="C5525" s="107">
        <f>COPY!AC5517</f>
        <v>0</v>
      </c>
      <c r="D5525" s="107" t="str">
        <f>IF(LEN(Table1722[[#This Row],[Uraian]])&gt;2,1," ")</f>
        <v xml:space="preserve"> </v>
      </c>
      <c r="E5525" s="113" t="str">
        <f>IF(Table1722[[#This Row],[Lawan Transaksi]]="CV AGUNG KARYA",COUNTIF($I$10:I5525,"CV AGUNG KARYA")," ")</f>
        <v xml:space="preserve"> </v>
      </c>
      <c r="F5525" s="107" t="str">
        <f>IF(LEN(Table1722[[#This Row],[Uraian]])&gt;2,TRIM(RIGHT(SUBSTITUTE(TRIM(C5525)," ",REPT(" ",255)),255))," ")</f>
        <v xml:space="preserve"> </v>
      </c>
      <c r="G5525" s="110">
        <f>COPY!Z5517</f>
        <v>0</v>
      </c>
      <c r="H5525" s="111" t="str">
        <f>IFERROR(VLOOKUP(Table1722[[#This Row],[Bukti]],'Un nOTA'!$A$4:$K$5003,10,FALSE),"")</f>
        <v/>
      </c>
      <c r="I5525" s="123" t="str">
        <f>IFERROR(VLOOKUP(Table1722[[#This Row],[Bukti]],Table13[#Data],11,FALSE),"")</f>
        <v/>
      </c>
    </row>
    <row r="5526" spans="1:9" hidden="1" x14ac:dyDescent="0.2">
      <c r="A5526" s="105" t="str">
        <f>IF(D5526=1,COUNTIF($D$10:D5526,1)," ")</f>
        <v xml:space="preserve"> </v>
      </c>
      <c r="B5526" s="106">
        <f>COPY!AR5518</f>
        <v>0</v>
      </c>
      <c r="C5526" s="107">
        <f>COPY!AC5518</f>
        <v>0</v>
      </c>
      <c r="D5526" s="107" t="str">
        <f>IF(LEN(Table1722[[#This Row],[Uraian]])&gt;2,1," ")</f>
        <v xml:space="preserve"> </v>
      </c>
      <c r="E5526" s="113" t="str">
        <f>IF(Table1722[[#This Row],[Lawan Transaksi]]="CV AGUNG KARYA",COUNTIF($I$10:I5526,"CV AGUNG KARYA")," ")</f>
        <v xml:space="preserve"> </v>
      </c>
      <c r="F5526" s="107" t="str">
        <f>IF(LEN(Table1722[[#This Row],[Uraian]])&gt;2,TRIM(RIGHT(SUBSTITUTE(TRIM(C5526)," ",REPT(" ",255)),255))," ")</f>
        <v xml:space="preserve"> </v>
      </c>
      <c r="G5526" s="110">
        <f>COPY!Z5518</f>
        <v>0</v>
      </c>
      <c r="H5526" s="111" t="str">
        <f>IFERROR(VLOOKUP(Table1722[[#This Row],[Bukti]],'Un nOTA'!$A$4:$K$5003,10,FALSE),"")</f>
        <v/>
      </c>
      <c r="I5526" s="123" t="str">
        <f>IFERROR(VLOOKUP(Table1722[[#This Row],[Bukti]],Table13[#Data],11,FALSE),"")</f>
        <v/>
      </c>
    </row>
    <row r="5527" spans="1:9" hidden="1" x14ac:dyDescent="0.2">
      <c r="A5527" s="105" t="str">
        <f>IF(D5527=1,COUNTIF($D$10:D5527,1)," ")</f>
        <v xml:space="preserve"> </v>
      </c>
      <c r="B5527" s="106">
        <f>COPY!AR5519</f>
        <v>0</v>
      </c>
      <c r="C5527" s="107">
        <f>COPY!AC5519</f>
        <v>0</v>
      </c>
      <c r="D5527" s="107" t="str">
        <f>IF(LEN(Table1722[[#This Row],[Uraian]])&gt;2,1," ")</f>
        <v xml:space="preserve"> </v>
      </c>
      <c r="E5527" s="113" t="str">
        <f>IF(Table1722[[#This Row],[Lawan Transaksi]]="CV AGUNG KARYA",COUNTIF($I$10:I5527,"CV AGUNG KARYA")," ")</f>
        <v xml:space="preserve"> </v>
      </c>
      <c r="F5527" s="107" t="str">
        <f>IF(LEN(Table1722[[#This Row],[Uraian]])&gt;2,TRIM(RIGHT(SUBSTITUTE(TRIM(C5527)," ",REPT(" ",255)),255))," ")</f>
        <v xml:space="preserve"> </v>
      </c>
      <c r="G5527" s="110">
        <f>COPY!Z5519</f>
        <v>0</v>
      </c>
      <c r="H5527" s="111" t="str">
        <f>IFERROR(VLOOKUP(Table1722[[#This Row],[Bukti]],'Un nOTA'!$A$4:$K$5003,10,FALSE),"")</f>
        <v/>
      </c>
      <c r="I5527" s="123" t="str">
        <f>IFERROR(VLOOKUP(Table1722[[#This Row],[Bukti]],Table13[#Data],11,FALSE),"")</f>
        <v/>
      </c>
    </row>
    <row r="5528" spans="1:9" hidden="1" x14ac:dyDescent="0.2">
      <c r="A5528" s="105" t="str">
        <f>IF(D5528=1,COUNTIF($D$10:D5528,1)," ")</f>
        <v xml:space="preserve"> </v>
      </c>
      <c r="B5528" s="106">
        <f>COPY!AR5520</f>
        <v>0</v>
      </c>
      <c r="C5528" s="107">
        <f>COPY!AC5520</f>
        <v>0</v>
      </c>
      <c r="D5528" s="107" t="str">
        <f>IF(LEN(Table1722[[#This Row],[Uraian]])&gt;2,1," ")</f>
        <v xml:space="preserve"> </v>
      </c>
      <c r="E5528" s="113" t="str">
        <f>IF(Table1722[[#This Row],[Lawan Transaksi]]="CV AGUNG KARYA",COUNTIF($I$10:I5528,"CV AGUNG KARYA")," ")</f>
        <v xml:space="preserve"> </v>
      </c>
      <c r="F5528" s="107" t="str">
        <f>IF(LEN(Table1722[[#This Row],[Uraian]])&gt;2,TRIM(RIGHT(SUBSTITUTE(TRIM(C5528)," ",REPT(" ",255)),255))," ")</f>
        <v xml:space="preserve"> </v>
      </c>
      <c r="G5528" s="110">
        <f>COPY!Z5520</f>
        <v>0</v>
      </c>
      <c r="H5528" s="111" t="str">
        <f>IFERROR(VLOOKUP(Table1722[[#This Row],[Bukti]],'Un nOTA'!$A$4:$K$5003,10,FALSE),"")</f>
        <v/>
      </c>
      <c r="I5528" s="123" t="str">
        <f>IFERROR(VLOOKUP(Table1722[[#This Row],[Bukti]],Table13[#Data],11,FALSE),"")</f>
        <v/>
      </c>
    </row>
    <row r="5529" spans="1:9" hidden="1" x14ac:dyDescent="0.2">
      <c r="A5529" s="105" t="str">
        <f>IF(D5529=1,COUNTIF($D$10:D5529,1)," ")</f>
        <v xml:space="preserve"> </v>
      </c>
      <c r="B5529" s="106">
        <f>COPY!AR5521</f>
        <v>0</v>
      </c>
      <c r="C5529" s="107">
        <f>COPY!AC5521</f>
        <v>0</v>
      </c>
      <c r="D5529" s="107" t="str">
        <f>IF(LEN(Table1722[[#This Row],[Uraian]])&gt;2,1," ")</f>
        <v xml:space="preserve"> </v>
      </c>
      <c r="E5529" s="113" t="str">
        <f>IF(Table1722[[#This Row],[Lawan Transaksi]]="CV AGUNG KARYA",COUNTIF($I$10:I5529,"CV AGUNG KARYA")," ")</f>
        <v xml:space="preserve"> </v>
      </c>
      <c r="F5529" s="107" t="str">
        <f>IF(LEN(Table1722[[#This Row],[Uraian]])&gt;2,TRIM(RIGHT(SUBSTITUTE(TRIM(C5529)," ",REPT(" ",255)),255))," ")</f>
        <v xml:space="preserve"> </v>
      </c>
      <c r="G5529" s="110">
        <f>COPY!Z5521</f>
        <v>0</v>
      </c>
      <c r="H5529" s="111" t="str">
        <f>IFERROR(VLOOKUP(Table1722[[#This Row],[Bukti]],'Un nOTA'!$A$4:$K$5003,10,FALSE),"")</f>
        <v/>
      </c>
      <c r="I5529" s="123" t="str">
        <f>IFERROR(VLOOKUP(Table1722[[#This Row],[Bukti]],Table13[#Data],11,FALSE),"")</f>
        <v/>
      </c>
    </row>
    <row r="5530" spans="1:9" hidden="1" x14ac:dyDescent="0.2">
      <c r="A5530" s="105" t="str">
        <f>IF(D5530=1,COUNTIF($D$10:D5530,1)," ")</f>
        <v xml:space="preserve"> </v>
      </c>
      <c r="B5530" s="106">
        <f>COPY!AR5522</f>
        <v>0</v>
      </c>
      <c r="C5530" s="107">
        <f>COPY!AC5522</f>
        <v>0</v>
      </c>
      <c r="D5530" s="107" t="str">
        <f>IF(LEN(Table1722[[#This Row],[Uraian]])&gt;2,1," ")</f>
        <v xml:space="preserve"> </v>
      </c>
      <c r="E5530" s="113" t="str">
        <f>IF(Table1722[[#This Row],[Lawan Transaksi]]="CV AGUNG KARYA",COUNTIF($I$10:I5530,"CV AGUNG KARYA")," ")</f>
        <v xml:space="preserve"> </v>
      </c>
      <c r="F5530" s="107" t="str">
        <f>IF(LEN(Table1722[[#This Row],[Uraian]])&gt;2,TRIM(RIGHT(SUBSTITUTE(TRIM(C5530)," ",REPT(" ",255)),255))," ")</f>
        <v xml:space="preserve"> </v>
      </c>
      <c r="G5530" s="110">
        <f>COPY!Z5522</f>
        <v>0</v>
      </c>
      <c r="H5530" s="111" t="str">
        <f>IFERROR(VLOOKUP(Table1722[[#This Row],[Bukti]],'Un nOTA'!$A$4:$K$5003,10,FALSE),"")</f>
        <v/>
      </c>
      <c r="I5530" s="123" t="str">
        <f>IFERROR(VLOOKUP(Table1722[[#This Row],[Bukti]],Table13[#Data],11,FALSE),"")</f>
        <v/>
      </c>
    </row>
    <row r="5531" spans="1:9" hidden="1" x14ac:dyDescent="0.2">
      <c r="A5531" s="105" t="str">
        <f>IF(D5531=1,COUNTIF($D$10:D5531,1)," ")</f>
        <v xml:space="preserve"> </v>
      </c>
      <c r="B5531" s="106">
        <f>COPY!AR5523</f>
        <v>0</v>
      </c>
      <c r="C5531" s="107">
        <f>COPY!AC5523</f>
        <v>0</v>
      </c>
      <c r="D5531" s="107" t="str">
        <f>IF(LEN(Table1722[[#This Row],[Uraian]])&gt;2,1," ")</f>
        <v xml:space="preserve"> </v>
      </c>
      <c r="E5531" s="113" t="str">
        <f>IF(Table1722[[#This Row],[Lawan Transaksi]]="CV AGUNG KARYA",COUNTIF($I$10:I5531,"CV AGUNG KARYA")," ")</f>
        <v xml:space="preserve"> </v>
      </c>
      <c r="F5531" s="107" t="str">
        <f>IF(LEN(Table1722[[#This Row],[Uraian]])&gt;2,TRIM(RIGHT(SUBSTITUTE(TRIM(C5531)," ",REPT(" ",255)),255))," ")</f>
        <v xml:space="preserve"> </v>
      </c>
      <c r="G5531" s="110">
        <f>COPY!Z5523</f>
        <v>0</v>
      </c>
      <c r="H5531" s="111" t="str">
        <f>IFERROR(VLOOKUP(Table1722[[#This Row],[Bukti]],'Un nOTA'!$A$4:$K$5003,10,FALSE),"")</f>
        <v/>
      </c>
      <c r="I5531" s="123" t="str">
        <f>IFERROR(VLOOKUP(Table1722[[#This Row],[Bukti]],Table13[#Data],11,FALSE),"")</f>
        <v/>
      </c>
    </row>
    <row r="5532" spans="1:9" hidden="1" x14ac:dyDescent="0.2">
      <c r="A5532" s="105" t="str">
        <f>IF(D5532=1,COUNTIF($D$10:D5532,1)," ")</f>
        <v xml:space="preserve"> </v>
      </c>
      <c r="B5532" s="106">
        <f>COPY!AR5524</f>
        <v>0</v>
      </c>
      <c r="C5532" s="107">
        <f>COPY!AC5524</f>
        <v>0</v>
      </c>
      <c r="D5532" s="107" t="str">
        <f>IF(LEN(Table1722[[#This Row],[Uraian]])&gt;2,1," ")</f>
        <v xml:space="preserve"> </v>
      </c>
      <c r="E5532" s="113" t="str">
        <f>IF(Table1722[[#This Row],[Lawan Transaksi]]="CV AGUNG KARYA",COUNTIF($I$10:I5532,"CV AGUNG KARYA")," ")</f>
        <v xml:space="preserve"> </v>
      </c>
      <c r="F5532" s="107" t="str">
        <f>IF(LEN(Table1722[[#This Row],[Uraian]])&gt;2,TRIM(RIGHT(SUBSTITUTE(TRIM(C5532)," ",REPT(" ",255)),255))," ")</f>
        <v xml:space="preserve"> </v>
      </c>
      <c r="G5532" s="110">
        <f>COPY!Z5524</f>
        <v>0</v>
      </c>
      <c r="H5532" s="111" t="str">
        <f>IFERROR(VLOOKUP(Table1722[[#This Row],[Bukti]],'Un nOTA'!$A$4:$K$5003,10,FALSE),"")</f>
        <v/>
      </c>
      <c r="I5532" s="123" t="str">
        <f>IFERROR(VLOOKUP(Table1722[[#This Row],[Bukti]],Table13[#Data],11,FALSE),"")</f>
        <v/>
      </c>
    </row>
    <row r="5533" spans="1:9" hidden="1" x14ac:dyDescent="0.2">
      <c r="A5533" s="105" t="str">
        <f>IF(D5533=1,COUNTIF($D$10:D5533,1)," ")</f>
        <v xml:space="preserve"> </v>
      </c>
      <c r="B5533" s="106">
        <f>COPY!AR5525</f>
        <v>0</v>
      </c>
      <c r="C5533" s="107">
        <f>COPY!AC5525</f>
        <v>0</v>
      </c>
      <c r="D5533" s="107" t="str">
        <f>IF(LEN(Table1722[[#This Row],[Uraian]])&gt;2,1," ")</f>
        <v xml:space="preserve"> </v>
      </c>
      <c r="E5533" s="113" t="str">
        <f>IF(Table1722[[#This Row],[Lawan Transaksi]]="CV AGUNG KARYA",COUNTIF($I$10:I5533,"CV AGUNG KARYA")," ")</f>
        <v xml:space="preserve"> </v>
      </c>
      <c r="F5533" s="107" t="str">
        <f>IF(LEN(Table1722[[#This Row],[Uraian]])&gt;2,TRIM(RIGHT(SUBSTITUTE(TRIM(C5533)," ",REPT(" ",255)),255))," ")</f>
        <v xml:space="preserve"> </v>
      </c>
      <c r="G5533" s="110">
        <f>COPY!Z5525</f>
        <v>0</v>
      </c>
      <c r="H5533" s="111" t="str">
        <f>IFERROR(VLOOKUP(Table1722[[#This Row],[Bukti]],'Un nOTA'!$A$4:$K$5003,10,FALSE),"")</f>
        <v/>
      </c>
      <c r="I5533" s="123" t="str">
        <f>IFERROR(VLOOKUP(Table1722[[#This Row],[Bukti]],Table13[#Data],11,FALSE),"")</f>
        <v/>
      </c>
    </row>
    <row r="5534" spans="1:9" hidden="1" x14ac:dyDescent="0.2">
      <c r="A5534" s="105" t="str">
        <f>IF(D5534=1,COUNTIF($D$10:D5534,1)," ")</f>
        <v xml:space="preserve"> </v>
      </c>
      <c r="B5534" s="106">
        <f>COPY!AR5526</f>
        <v>0</v>
      </c>
      <c r="C5534" s="107">
        <f>COPY!AC5526</f>
        <v>0</v>
      </c>
      <c r="D5534" s="107" t="str">
        <f>IF(LEN(Table1722[[#This Row],[Uraian]])&gt;2,1," ")</f>
        <v xml:space="preserve"> </v>
      </c>
      <c r="E5534" s="113" t="str">
        <f>IF(Table1722[[#This Row],[Lawan Transaksi]]="CV AGUNG KARYA",COUNTIF($I$10:I5534,"CV AGUNG KARYA")," ")</f>
        <v xml:space="preserve"> </v>
      </c>
      <c r="F5534" s="107" t="str">
        <f>IF(LEN(Table1722[[#This Row],[Uraian]])&gt;2,TRIM(RIGHT(SUBSTITUTE(TRIM(C5534)," ",REPT(" ",255)),255))," ")</f>
        <v xml:space="preserve"> </v>
      </c>
      <c r="G5534" s="110">
        <f>COPY!Z5526</f>
        <v>0</v>
      </c>
      <c r="H5534" s="111" t="str">
        <f>IFERROR(VLOOKUP(Table1722[[#This Row],[Bukti]],'Un nOTA'!$A$4:$K$5003,10,FALSE),"")</f>
        <v/>
      </c>
      <c r="I5534" s="123" t="str">
        <f>IFERROR(VLOOKUP(Table1722[[#This Row],[Bukti]],Table13[#Data],11,FALSE),"")</f>
        <v/>
      </c>
    </row>
    <row r="5535" spans="1:9" hidden="1" x14ac:dyDescent="0.2">
      <c r="A5535" s="105" t="str">
        <f>IF(D5535=1,COUNTIF($D$10:D5535,1)," ")</f>
        <v xml:space="preserve"> </v>
      </c>
      <c r="B5535" s="106">
        <f>COPY!AR5527</f>
        <v>0</v>
      </c>
      <c r="C5535" s="107">
        <f>COPY!AC5527</f>
        <v>0</v>
      </c>
      <c r="D5535" s="107" t="str">
        <f>IF(LEN(Table1722[[#This Row],[Uraian]])&gt;2,1," ")</f>
        <v xml:space="preserve"> </v>
      </c>
      <c r="E5535" s="113" t="str">
        <f>IF(Table1722[[#This Row],[Lawan Transaksi]]="CV AGUNG KARYA",COUNTIF($I$10:I5535,"CV AGUNG KARYA")," ")</f>
        <v xml:space="preserve"> </v>
      </c>
      <c r="F5535" s="107" t="str">
        <f>IF(LEN(Table1722[[#This Row],[Uraian]])&gt;2,TRIM(RIGHT(SUBSTITUTE(TRIM(C5535)," ",REPT(" ",255)),255))," ")</f>
        <v xml:space="preserve"> </v>
      </c>
      <c r="G5535" s="110">
        <f>COPY!Z5527</f>
        <v>0</v>
      </c>
      <c r="H5535" s="111" t="str">
        <f>IFERROR(VLOOKUP(Table1722[[#This Row],[Bukti]],'Un nOTA'!$A$4:$K$5003,10,FALSE),"")</f>
        <v/>
      </c>
      <c r="I5535" s="123" t="str">
        <f>IFERROR(VLOOKUP(Table1722[[#This Row],[Bukti]],Table13[#Data],11,FALSE),"")</f>
        <v/>
      </c>
    </row>
    <row r="5536" spans="1:9" hidden="1" x14ac:dyDescent="0.2">
      <c r="A5536" s="105" t="str">
        <f>IF(D5536=1,COUNTIF($D$10:D5536,1)," ")</f>
        <v xml:space="preserve"> </v>
      </c>
      <c r="B5536" s="106">
        <f>COPY!AR5528</f>
        <v>0</v>
      </c>
      <c r="C5536" s="107">
        <f>COPY!AC5528</f>
        <v>0</v>
      </c>
      <c r="D5536" s="107" t="str">
        <f>IF(LEN(Table1722[[#This Row],[Uraian]])&gt;2,1," ")</f>
        <v xml:space="preserve"> </v>
      </c>
      <c r="E5536" s="113" t="str">
        <f>IF(Table1722[[#This Row],[Lawan Transaksi]]="CV AGUNG KARYA",COUNTIF($I$10:I5536,"CV AGUNG KARYA")," ")</f>
        <v xml:space="preserve"> </v>
      </c>
      <c r="F5536" s="107" t="str">
        <f>IF(LEN(Table1722[[#This Row],[Uraian]])&gt;2,TRIM(RIGHT(SUBSTITUTE(TRIM(C5536)," ",REPT(" ",255)),255))," ")</f>
        <v xml:space="preserve"> </v>
      </c>
      <c r="G5536" s="110">
        <f>COPY!Z5528</f>
        <v>0</v>
      </c>
      <c r="H5536" s="111" t="str">
        <f>IFERROR(VLOOKUP(Table1722[[#This Row],[Bukti]],'Un nOTA'!$A$4:$K$5003,10,FALSE),"")</f>
        <v/>
      </c>
      <c r="I5536" s="123" t="str">
        <f>IFERROR(VLOOKUP(Table1722[[#This Row],[Bukti]],Table13[#Data],11,FALSE),"")</f>
        <v/>
      </c>
    </row>
    <row r="5537" spans="1:9" hidden="1" x14ac:dyDescent="0.2">
      <c r="A5537" s="105" t="str">
        <f>IF(D5537=1,COUNTIF($D$10:D5537,1)," ")</f>
        <v xml:space="preserve"> </v>
      </c>
      <c r="B5537" s="106">
        <f>COPY!AR5529</f>
        <v>0</v>
      </c>
      <c r="C5537" s="107">
        <f>COPY!AC5529</f>
        <v>0</v>
      </c>
      <c r="D5537" s="107" t="str">
        <f>IF(LEN(Table1722[[#This Row],[Uraian]])&gt;2,1," ")</f>
        <v xml:space="preserve"> </v>
      </c>
      <c r="E5537" s="113" t="str">
        <f>IF(Table1722[[#This Row],[Lawan Transaksi]]="CV AGUNG KARYA",COUNTIF($I$10:I5537,"CV AGUNG KARYA")," ")</f>
        <v xml:space="preserve"> </v>
      </c>
      <c r="F5537" s="107" t="str">
        <f>IF(LEN(Table1722[[#This Row],[Uraian]])&gt;2,TRIM(RIGHT(SUBSTITUTE(TRIM(C5537)," ",REPT(" ",255)),255))," ")</f>
        <v xml:space="preserve"> </v>
      </c>
      <c r="G5537" s="110">
        <f>COPY!Z5529</f>
        <v>0</v>
      </c>
      <c r="H5537" s="111" t="str">
        <f>IFERROR(VLOOKUP(Table1722[[#This Row],[Bukti]],'Un nOTA'!$A$4:$K$5003,10,FALSE),"")</f>
        <v/>
      </c>
      <c r="I5537" s="123" t="str">
        <f>IFERROR(VLOOKUP(Table1722[[#This Row],[Bukti]],Table13[#Data],11,FALSE),"")</f>
        <v/>
      </c>
    </row>
    <row r="5538" spans="1:9" hidden="1" x14ac:dyDescent="0.2">
      <c r="A5538" s="105" t="str">
        <f>IF(D5538=1,COUNTIF($D$10:D5538,1)," ")</f>
        <v xml:space="preserve"> </v>
      </c>
      <c r="B5538" s="106">
        <f>COPY!AR5530</f>
        <v>0</v>
      </c>
      <c r="C5538" s="107">
        <f>COPY!AC5530</f>
        <v>0</v>
      </c>
      <c r="D5538" s="107" t="str">
        <f>IF(LEN(Table1722[[#This Row],[Uraian]])&gt;2,1," ")</f>
        <v xml:space="preserve"> </v>
      </c>
      <c r="E5538" s="113" t="str">
        <f>IF(Table1722[[#This Row],[Lawan Transaksi]]="CV AGUNG KARYA",COUNTIF($I$10:I5538,"CV AGUNG KARYA")," ")</f>
        <v xml:space="preserve"> </v>
      </c>
      <c r="F5538" s="107" t="str">
        <f>IF(LEN(Table1722[[#This Row],[Uraian]])&gt;2,TRIM(RIGHT(SUBSTITUTE(TRIM(C5538)," ",REPT(" ",255)),255))," ")</f>
        <v xml:space="preserve"> </v>
      </c>
      <c r="G5538" s="110">
        <f>COPY!Z5530</f>
        <v>0</v>
      </c>
      <c r="H5538" s="111" t="str">
        <f>IFERROR(VLOOKUP(Table1722[[#This Row],[Bukti]],'Un nOTA'!$A$4:$K$5003,10,FALSE),"")</f>
        <v/>
      </c>
      <c r="I5538" s="123" t="str">
        <f>IFERROR(VLOOKUP(Table1722[[#This Row],[Bukti]],Table13[#Data],11,FALSE),"")</f>
        <v/>
      </c>
    </row>
    <row r="5539" spans="1:9" hidden="1" x14ac:dyDescent="0.2">
      <c r="A5539" s="105" t="str">
        <f>IF(D5539=1,COUNTIF($D$10:D5539,1)," ")</f>
        <v xml:space="preserve"> </v>
      </c>
      <c r="B5539" s="106">
        <f>COPY!AR5531</f>
        <v>0</v>
      </c>
      <c r="C5539" s="107">
        <f>COPY!AC5531</f>
        <v>0</v>
      </c>
      <c r="D5539" s="107" t="str">
        <f>IF(LEN(Table1722[[#This Row],[Uraian]])&gt;2,1," ")</f>
        <v xml:space="preserve"> </v>
      </c>
      <c r="E5539" s="113" t="str">
        <f>IF(Table1722[[#This Row],[Lawan Transaksi]]="CV AGUNG KARYA",COUNTIF($I$10:I5539,"CV AGUNG KARYA")," ")</f>
        <v xml:space="preserve"> </v>
      </c>
      <c r="F5539" s="107" t="str">
        <f>IF(LEN(Table1722[[#This Row],[Uraian]])&gt;2,TRIM(RIGHT(SUBSTITUTE(TRIM(C5539)," ",REPT(" ",255)),255))," ")</f>
        <v xml:space="preserve"> </v>
      </c>
      <c r="G5539" s="110">
        <f>COPY!Z5531</f>
        <v>0</v>
      </c>
      <c r="H5539" s="111" t="str">
        <f>IFERROR(VLOOKUP(Table1722[[#This Row],[Bukti]],'Un nOTA'!$A$4:$K$5003,10,FALSE),"")</f>
        <v/>
      </c>
      <c r="I5539" s="123" t="str">
        <f>IFERROR(VLOOKUP(Table1722[[#This Row],[Bukti]],Table13[#Data],11,FALSE),"")</f>
        <v/>
      </c>
    </row>
    <row r="5540" spans="1:9" hidden="1" x14ac:dyDescent="0.2">
      <c r="A5540" s="105" t="str">
        <f>IF(D5540=1,COUNTIF($D$10:D5540,1)," ")</f>
        <v xml:space="preserve"> </v>
      </c>
      <c r="B5540" s="106">
        <f>COPY!AR5532</f>
        <v>0</v>
      </c>
      <c r="C5540" s="107">
        <f>COPY!AC5532</f>
        <v>0</v>
      </c>
      <c r="D5540" s="107" t="str">
        <f>IF(LEN(Table1722[[#This Row],[Uraian]])&gt;2,1," ")</f>
        <v xml:space="preserve"> </v>
      </c>
      <c r="E5540" s="113" t="str">
        <f>IF(Table1722[[#This Row],[Lawan Transaksi]]="CV AGUNG KARYA",COUNTIF($I$10:I5540,"CV AGUNG KARYA")," ")</f>
        <v xml:space="preserve"> </v>
      </c>
      <c r="F5540" s="107" t="str">
        <f>IF(LEN(Table1722[[#This Row],[Uraian]])&gt;2,TRIM(RIGHT(SUBSTITUTE(TRIM(C5540)," ",REPT(" ",255)),255))," ")</f>
        <v xml:space="preserve"> </v>
      </c>
      <c r="G5540" s="110">
        <f>COPY!Z5532</f>
        <v>0</v>
      </c>
      <c r="H5540" s="111" t="str">
        <f>IFERROR(VLOOKUP(Table1722[[#This Row],[Bukti]],'Un nOTA'!$A$4:$K$5003,10,FALSE),"")</f>
        <v/>
      </c>
      <c r="I5540" s="123" t="str">
        <f>IFERROR(VLOOKUP(Table1722[[#This Row],[Bukti]],Table13[#Data],11,FALSE),"")</f>
        <v/>
      </c>
    </row>
    <row r="5541" spans="1:9" hidden="1" x14ac:dyDescent="0.2">
      <c r="A5541" s="105" t="str">
        <f>IF(D5541=1,COUNTIF($D$10:D5541,1)," ")</f>
        <v xml:space="preserve"> </v>
      </c>
      <c r="B5541" s="106">
        <f>COPY!AR5533</f>
        <v>0</v>
      </c>
      <c r="C5541" s="107">
        <f>COPY!AC5533</f>
        <v>0</v>
      </c>
      <c r="D5541" s="107" t="str">
        <f>IF(LEN(Table1722[[#This Row],[Uraian]])&gt;2,1," ")</f>
        <v xml:space="preserve"> </v>
      </c>
      <c r="E5541" s="113" t="str">
        <f>IF(Table1722[[#This Row],[Lawan Transaksi]]="CV AGUNG KARYA",COUNTIF($I$10:I5541,"CV AGUNG KARYA")," ")</f>
        <v xml:space="preserve"> </v>
      </c>
      <c r="F5541" s="107" t="str">
        <f>IF(LEN(Table1722[[#This Row],[Uraian]])&gt;2,TRIM(RIGHT(SUBSTITUTE(TRIM(C5541)," ",REPT(" ",255)),255))," ")</f>
        <v xml:space="preserve"> </v>
      </c>
      <c r="G5541" s="110">
        <f>COPY!Z5533</f>
        <v>0</v>
      </c>
      <c r="H5541" s="111" t="str">
        <f>IFERROR(VLOOKUP(Table1722[[#This Row],[Bukti]],'Un nOTA'!$A$4:$K$5003,10,FALSE),"")</f>
        <v/>
      </c>
      <c r="I5541" s="123" t="str">
        <f>IFERROR(VLOOKUP(Table1722[[#This Row],[Bukti]],Table13[#Data],11,FALSE),"")</f>
        <v/>
      </c>
    </row>
    <row r="5542" spans="1:9" hidden="1" x14ac:dyDescent="0.2">
      <c r="A5542" s="105" t="str">
        <f>IF(D5542=1,COUNTIF($D$10:D5542,1)," ")</f>
        <v xml:space="preserve"> </v>
      </c>
      <c r="B5542" s="106">
        <f>COPY!AR5534</f>
        <v>0</v>
      </c>
      <c r="C5542" s="107">
        <f>COPY!AC5534</f>
        <v>0</v>
      </c>
      <c r="D5542" s="107" t="str">
        <f>IF(LEN(Table1722[[#This Row],[Uraian]])&gt;2,1," ")</f>
        <v xml:space="preserve"> </v>
      </c>
      <c r="E5542" s="113" t="str">
        <f>IF(Table1722[[#This Row],[Lawan Transaksi]]="CV AGUNG KARYA",COUNTIF($I$10:I5542,"CV AGUNG KARYA")," ")</f>
        <v xml:space="preserve"> </v>
      </c>
      <c r="F5542" s="107" t="str">
        <f>IF(LEN(Table1722[[#This Row],[Uraian]])&gt;2,TRIM(RIGHT(SUBSTITUTE(TRIM(C5542)," ",REPT(" ",255)),255))," ")</f>
        <v xml:space="preserve"> </v>
      </c>
      <c r="G5542" s="110">
        <f>COPY!Z5534</f>
        <v>0</v>
      </c>
      <c r="H5542" s="111" t="str">
        <f>IFERROR(VLOOKUP(Table1722[[#This Row],[Bukti]],'Un nOTA'!$A$4:$K$5003,10,FALSE),"")</f>
        <v/>
      </c>
      <c r="I5542" s="123" t="str">
        <f>IFERROR(VLOOKUP(Table1722[[#This Row],[Bukti]],Table13[#Data],11,FALSE),"")</f>
        <v/>
      </c>
    </row>
    <row r="5543" spans="1:9" hidden="1" x14ac:dyDescent="0.2">
      <c r="A5543" s="105" t="str">
        <f>IF(D5543=1,COUNTIF($D$10:D5543,1)," ")</f>
        <v xml:space="preserve"> </v>
      </c>
      <c r="B5543" s="106">
        <f>COPY!AR5535</f>
        <v>0</v>
      </c>
      <c r="C5543" s="107">
        <f>COPY!AC5535</f>
        <v>0</v>
      </c>
      <c r="D5543" s="107" t="str">
        <f>IF(LEN(Table1722[[#This Row],[Uraian]])&gt;2,1," ")</f>
        <v xml:space="preserve"> </v>
      </c>
      <c r="E5543" s="113" t="str">
        <f>IF(Table1722[[#This Row],[Lawan Transaksi]]="CV AGUNG KARYA",COUNTIF($I$10:I5543,"CV AGUNG KARYA")," ")</f>
        <v xml:space="preserve"> </v>
      </c>
      <c r="F5543" s="107" t="str">
        <f>IF(LEN(Table1722[[#This Row],[Uraian]])&gt;2,TRIM(RIGHT(SUBSTITUTE(TRIM(C5543)," ",REPT(" ",255)),255))," ")</f>
        <v xml:space="preserve"> </v>
      </c>
      <c r="G5543" s="110">
        <f>COPY!Z5535</f>
        <v>0</v>
      </c>
      <c r="H5543" s="111" t="str">
        <f>IFERROR(VLOOKUP(Table1722[[#This Row],[Bukti]],'Un nOTA'!$A$4:$K$5003,10,FALSE),"")</f>
        <v/>
      </c>
      <c r="I5543" s="123" t="str">
        <f>IFERROR(VLOOKUP(Table1722[[#This Row],[Bukti]],Table13[#Data],11,FALSE),"")</f>
        <v/>
      </c>
    </row>
    <row r="5544" spans="1:9" hidden="1" x14ac:dyDescent="0.2">
      <c r="A5544" s="105" t="str">
        <f>IF(D5544=1,COUNTIF($D$10:D5544,1)," ")</f>
        <v xml:space="preserve"> </v>
      </c>
      <c r="B5544" s="106">
        <f>COPY!AR5536</f>
        <v>0</v>
      </c>
      <c r="C5544" s="107">
        <f>COPY!AC5536</f>
        <v>0</v>
      </c>
      <c r="D5544" s="107" t="str">
        <f>IF(LEN(Table1722[[#This Row],[Uraian]])&gt;2,1," ")</f>
        <v xml:space="preserve"> </v>
      </c>
      <c r="E5544" s="113" t="str">
        <f>IF(Table1722[[#This Row],[Lawan Transaksi]]="CV AGUNG KARYA",COUNTIF($I$10:I5544,"CV AGUNG KARYA")," ")</f>
        <v xml:space="preserve"> </v>
      </c>
      <c r="F5544" s="107" t="str">
        <f>IF(LEN(Table1722[[#This Row],[Uraian]])&gt;2,TRIM(RIGHT(SUBSTITUTE(TRIM(C5544)," ",REPT(" ",255)),255))," ")</f>
        <v xml:space="preserve"> </v>
      </c>
      <c r="G5544" s="110">
        <f>COPY!Z5536</f>
        <v>0</v>
      </c>
      <c r="H5544" s="111" t="str">
        <f>IFERROR(VLOOKUP(Table1722[[#This Row],[Bukti]],'Un nOTA'!$A$4:$K$5003,10,FALSE),"")</f>
        <v/>
      </c>
      <c r="I5544" s="123" t="str">
        <f>IFERROR(VLOOKUP(Table1722[[#This Row],[Bukti]],Table13[#Data],11,FALSE),"")</f>
        <v/>
      </c>
    </row>
    <row r="5545" spans="1:9" hidden="1" x14ac:dyDescent="0.2">
      <c r="A5545" s="105" t="str">
        <f>IF(D5545=1,COUNTIF($D$10:D5545,1)," ")</f>
        <v xml:space="preserve"> </v>
      </c>
      <c r="B5545" s="106">
        <f>COPY!AR5537</f>
        <v>0</v>
      </c>
      <c r="C5545" s="107">
        <f>COPY!AC5537</f>
        <v>0</v>
      </c>
      <c r="D5545" s="107" t="str">
        <f>IF(LEN(Table1722[[#This Row],[Uraian]])&gt;2,1," ")</f>
        <v xml:space="preserve"> </v>
      </c>
      <c r="E5545" s="113" t="str">
        <f>IF(Table1722[[#This Row],[Lawan Transaksi]]="CV AGUNG KARYA",COUNTIF($I$10:I5545,"CV AGUNG KARYA")," ")</f>
        <v xml:space="preserve"> </v>
      </c>
      <c r="F5545" s="107" t="str">
        <f>IF(LEN(Table1722[[#This Row],[Uraian]])&gt;2,TRIM(RIGHT(SUBSTITUTE(TRIM(C5545)," ",REPT(" ",255)),255))," ")</f>
        <v xml:space="preserve"> </v>
      </c>
      <c r="G5545" s="110">
        <f>COPY!Z5537</f>
        <v>0</v>
      </c>
      <c r="H5545" s="111" t="str">
        <f>IFERROR(VLOOKUP(Table1722[[#This Row],[Bukti]],'Un nOTA'!$A$4:$K$5003,10,FALSE),"")</f>
        <v/>
      </c>
      <c r="I5545" s="123" t="str">
        <f>IFERROR(VLOOKUP(Table1722[[#This Row],[Bukti]],Table13[#Data],11,FALSE),"")</f>
        <v/>
      </c>
    </row>
    <row r="5546" spans="1:9" hidden="1" x14ac:dyDescent="0.2">
      <c r="A5546" s="105" t="str">
        <f>IF(D5546=1,COUNTIF($D$10:D5546,1)," ")</f>
        <v xml:space="preserve"> </v>
      </c>
      <c r="B5546" s="106">
        <f>COPY!AR5538</f>
        <v>0</v>
      </c>
      <c r="C5546" s="107">
        <f>COPY!AC5538</f>
        <v>0</v>
      </c>
      <c r="D5546" s="107" t="str">
        <f>IF(LEN(Table1722[[#This Row],[Uraian]])&gt;2,1," ")</f>
        <v xml:space="preserve"> </v>
      </c>
      <c r="E5546" s="113" t="str">
        <f>IF(Table1722[[#This Row],[Lawan Transaksi]]="CV AGUNG KARYA",COUNTIF($I$10:I5546,"CV AGUNG KARYA")," ")</f>
        <v xml:space="preserve"> </v>
      </c>
      <c r="F5546" s="107" t="str">
        <f>IF(LEN(Table1722[[#This Row],[Uraian]])&gt;2,TRIM(RIGHT(SUBSTITUTE(TRIM(C5546)," ",REPT(" ",255)),255))," ")</f>
        <v xml:space="preserve"> </v>
      </c>
      <c r="G5546" s="110">
        <f>COPY!Z5538</f>
        <v>0</v>
      </c>
      <c r="H5546" s="111" t="str">
        <f>IFERROR(VLOOKUP(Table1722[[#This Row],[Bukti]],'Un nOTA'!$A$4:$K$5003,10,FALSE),"")</f>
        <v/>
      </c>
      <c r="I5546" s="123" t="str">
        <f>IFERROR(VLOOKUP(Table1722[[#This Row],[Bukti]],Table13[#Data],11,FALSE),"")</f>
        <v/>
      </c>
    </row>
    <row r="5547" spans="1:9" hidden="1" x14ac:dyDescent="0.2">
      <c r="A5547" s="105" t="str">
        <f>IF(D5547=1,COUNTIF($D$10:D5547,1)," ")</f>
        <v xml:space="preserve"> </v>
      </c>
      <c r="B5547" s="106">
        <f>COPY!AR5539</f>
        <v>0</v>
      </c>
      <c r="C5547" s="107">
        <f>COPY!AC5539</f>
        <v>0</v>
      </c>
      <c r="D5547" s="107" t="str">
        <f>IF(LEN(Table1722[[#This Row],[Uraian]])&gt;2,1," ")</f>
        <v xml:space="preserve"> </v>
      </c>
      <c r="E5547" s="113" t="str">
        <f>IF(Table1722[[#This Row],[Lawan Transaksi]]="CV AGUNG KARYA",COUNTIF($I$10:I5547,"CV AGUNG KARYA")," ")</f>
        <v xml:space="preserve"> </v>
      </c>
      <c r="F5547" s="107" t="str">
        <f>IF(LEN(Table1722[[#This Row],[Uraian]])&gt;2,TRIM(RIGHT(SUBSTITUTE(TRIM(C5547)," ",REPT(" ",255)),255))," ")</f>
        <v xml:space="preserve"> </v>
      </c>
      <c r="G5547" s="110">
        <f>COPY!Z5539</f>
        <v>0</v>
      </c>
      <c r="H5547" s="111" t="str">
        <f>IFERROR(VLOOKUP(Table1722[[#This Row],[Bukti]],'Un nOTA'!$A$4:$K$5003,10,FALSE),"")</f>
        <v/>
      </c>
      <c r="I5547" s="123" t="str">
        <f>IFERROR(VLOOKUP(Table1722[[#This Row],[Bukti]],Table13[#Data],11,FALSE),"")</f>
        <v/>
      </c>
    </row>
    <row r="5548" spans="1:9" hidden="1" x14ac:dyDescent="0.2">
      <c r="A5548" s="105" t="str">
        <f>IF(D5548=1,COUNTIF($D$10:D5548,1)," ")</f>
        <v xml:space="preserve"> </v>
      </c>
      <c r="B5548" s="106">
        <f>COPY!AR5540</f>
        <v>0</v>
      </c>
      <c r="C5548" s="107">
        <f>COPY!AC5540</f>
        <v>0</v>
      </c>
      <c r="D5548" s="107" t="str">
        <f>IF(LEN(Table1722[[#This Row],[Uraian]])&gt;2,1," ")</f>
        <v xml:space="preserve"> </v>
      </c>
      <c r="E5548" s="113" t="str">
        <f>IF(Table1722[[#This Row],[Lawan Transaksi]]="CV AGUNG KARYA",COUNTIF($I$10:I5548,"CV AGUNG KARYA")," ")</f>
        <v xml:space="preserve"> </v>
      </c>
      <c r="F5548" s="107" t="str">
        <f>IF(LEN(Table1722[[#This Row],[Uraian]])&gt;2,TRIM(RIGHT(SUBSTITUTE(TRIM(C5548)," ",REPT(" ",255)),255))," ")</f>
        <v xml:space="preserve"> </v>
      </c>
      <c r="G5548" s="110">
        <f>COPY!Z5540</f>
        <v>0</v>
      </c>
      <c r="H5548" s="111" t="str">
        <f>IFERROR(VLOOKUP(Table1722[[#This Row],[Bukti]],'Un nOTA'!$A$4:$K$5003,10,FALSE),"")</f>
        <v/>
      </c>
      <c r="I5548" s="123" t="str">
        <f>IFERROR(VLOOKUP(Table1722[[#This Row],[Bukti]],Table13[#Data],11,FALSE),"")</f>
        <v/>
      </c>
    </row>
    <row r="5549" spans="1:9" hidden="1" x14ac:dyDescent="0.2">
      <c r="A5549" s="105" t="str">
        <f>IF(D5549=1,COUNTIF($D$10:D5549,1)," ")</f>
        <v xml:space="preserve"> </v>
      </c>
      <c r="B5549" s="106">
        <f>COPY!AR5541</f>
        <v>0</v>
      </c>
      <c r="C5549" s="107">
        <f>COPY!AC5541</f>
        <v>0</v>
      </c>
      <c r="D5549" s="107" t="str">
        <f>IF(LEN(Table1722[[#This Row],[Uraian]])&gt;2,1," ")</f>
        <v xml:space="preserve"> </v>
      </c>
      <c r="E5549" s="113" t="str">
        <f>IF(Table1722[[#This Row],[Lawan Transaksi]]="CV AGUNG KARYA",COUNTIF($I$10:I5549,"CV AGUNG KARYA")," ")</f>
        <v xml:space="preserve"> </v>
      </c>
      <c r="F5549" s="107" t="str">
        <f>IF(LEN(Table1722[[#This Row],[Uraian]])&gt;2,TRIM(RIGHT(SUBSTITUTE(TRIM(C5549)," ",REPT(" ",255)),255))," ")</f>
        <v xml:space="preserve"> </v>
      </c>
      <c r="G5549" s="110">
        <f>COPY!Z5541</f>
        <v>0</v>
      </c>
      <c r="H5549" s="111" t="str">
        <f>IFERROR(VLOOKUP(Table1722[[#This Row],[Bukti]],'Un nOTA'!$A$4:$K$5003,10,FALSE),"")</f>
        <v/>
      </c>
      <c r="I5549" s="123" t="str">
        <f>IFERROR(VLOOKUP(Table1722[[#This Row],[Bukti]],Table13[#Data],11,FALSE),"")</f>
        <v/>
      </c>
    </row>
    <row r="5550" spans="1:9" hidden="1" x14ac:dyDescent="0.2">
      <c r="A5550" s="105" t="str">
        <f>IF(D5550=1,COUNTIF($D$10:D5550,1)," ")</f>
        <v xml:space="preserve"> </v>
      </c>
      <c r="B5550" s="106">
        <f>COPY!AR5542</f>
        <v>0</v>
      </c>
      <c r="C5550" s="107">
        <f>COPY!AC5542</f>
        <v>0</v>
      </c>
      <c r="D5550" s="107" t="str">
        <f>IF(LEN(Table1722[[#This Row],[Uraian]])&gt;2,1," ")</f>
        <v xml:space="preserve"> </v>
      </c>
      <c r="E5550" s="113" t="str">
        <f>IF(Table1722[[#This Row],[Lawan Transaksi]]="CV AGUNG KARYA",COUNTIF($I$10:I5550,"CV AGUNG KARYA")," ")</f>
        <v xml:space="preserve"> </v>
      </c>
      <c r="F5550" s="107" t="str">
        <f>IF(LEN(Table1722[[#This Row],[Uraian]])&gt;2,TRIM(RIGHT(SUBSTITUTE(TRIM(C5550)," ",REPT(" ",255)),255))," ")</f>
        <v xml:space="preserve"> </v>
      </c>
      <c r="G5550" s="110">
        <f>COPY!Z5542</f>
        <v>0</v>
      </c>
      <c r="H5550" s="111" t="str">
        <f>IFERROR(VLOOKUP(Table1722[[#This Row],[Bukti]],'Un nOTA'!$A$4:$K$5003,10,FALSE),"")</f>
        <v/>
      </c>
      <c r="I5550" s="123" t="str">
        <f>IFERROR(VLOOKUP(Table1722[[#This Row],[Bukti]],Table13[#Data],11,FALSE),"")</f>
        <v/>
      </c>
    </row>
    <row r="5551" spans="1:9" hidden="1" x14ac:dyDescent="0.2">
      <c r="A5551" s="105" t="str">
        <f>IF(D5551=1,COUNTIF($D$10:D5551,1)," ")</f>
        <v xml:space="preserve"> </v>
      </c>
      <c r="B5551" s="106">
        <f>COPY!AR5543</f>
        <v>0</v>
      </c>
      <c r="C5551" s="107">
        <f>COPY!AC5543</f>
        <v>0</v>
      </c>
      <c r="D5551" s="107" t="str">
        <f>IF(LEN(Table1722[[#This Row],[Uraian]])&gt;2,1," ")</f>
        <v xml:space="preserve"> </v>
      </c>
      <c r="E5551" s="113" t="str">
        <f>IF(Table1722[[#This Row],[Lawan Transaksi]]="CV AGUNG KARYA",COUNTIF($I$10:I5551,"CV AGUNG KARYA")," ")</f>
        <v xml:space="preserve"> </v>
      </c>
      <c r="F5551" s="107" t="str">
        <f>IF(LEN(Table1722[[#This Row],[Uraian]])&gt;2,TRIM(RIGHT(SUBSTITUTE(TRIM(C5551)," ",REPT(" ",255)),255))," ")</f>
        <v xml:space="preserve"> </v>
      </c>
      <c r="G5551" s="110">
        <f>COPY!Z5543</f>
        <v>0</v>
      </c>
      <c r="H5551" s="111" t="str">
        <f>IFERROR(VLOOKUP(Table1722[[#This Row],[Bukti]],'Un nOTA'!$A$4:$K$5003,10,FALSE),"")</f>
        <v/>
      </c>
      <c r="I5551" s="123" t="str">
        <f>IFERROR(VLOOKUP(Table1722[[#This Row],[Bukti]],Table13[#Data],11,FALSE),"")</f>
        <v/>
      </c>
    </row>
    <row r="5552" spans="1:9" hidden="1" x14ac:dyDescent="0.2">
      <c r="A5552" s="105" t="str">
        <f>IF(D5552=1,COUNTIF($D$10:D5552,1)," ")</f>
        <v xml:space="preserve"> </v>
      </c>
      <c r="B5552" s="106">
        <f>COPY!AR5544</f>
        <v>0</v>
      </c>
      <c r="C5552" s="107">
        <f>COPY!AC5544</f>
        <v>0</v>
      </c>
      <c r="D5552" s="107" t="str">
        <f>IF(LEN(Table1722[[#This Row],[Uraian]])&gt;2,1," ")</f>
        <v xml:space="preserve"> </v>
      </c>
      <c r="E5552" s="113" t="str">
        <f>IF(Table1722[[#This Row],[Lawan Transaksi]]="CV AGUNG KARYA",COUNTIF($I$10:I5552,"CV AGUNG KARYA")," ")</f>
        <v xml:space="preserve"> </v>
      </c>
      <c r="F5552" s="107" t="str">
        <f>IF(LEN(Table1722[[#This Row],[Uraian]])&gt;2,TRIM(RIGHT(SUBSTITUTE(TRIM(C5552)," ",REPT(" ",255)),255))," ")</f>
        <v xml:space="preserve"> </v>
      </c>
      <c r="G5552" s="110">
        <f>COPY!Z5544</f>
        <v>0</v>
      </c>
      <c r="H5552" s="111" t="str">
        <f>IFERROR(VLOOKUP(Table1722[[#This Row],[Bukti]],'Un nOTA'!$A$4:$K$5003,10,FALSE),"")</f>
        <v/>
      </c>
      <c r="I5552" s="123" t="str">
        <f>IFERROR(VLOOKUP(Table1722[[#This Row],[Bukti]],Table13[#Data],11,FALSE),"")</f>
        <v/>
      </c>
    </row>
    <row r="5553" spans="1:9" hidden="1" x14ac:dyDescent="0.2">
      <c r="A5553" s="105" t="str">
        <f>IF(D5553=1,COUNTIF($D$10:D5553,1)," ")</f>
        <v xml:space="preserve"> </v>
      </c>
      <c r="B5553" s="106">
        <f>COPY!AR5545</f>
        <v>0</v>
      </c>
      <c r="C5553" s="107">
        <f>COPY!AC5545</f>
        <v>0</v>
      </c>
      <c r="D5553" s="107" t="str">
        <f>IF(LEN(Table1722[[#This Row],[Uraian]])&gt;2,1," ")</f>
        <v xml:space="preserve"> </v>
      </c>
      <c r="E5553" s="113" t="str">
        <f>IF(Table1722[[#This Row],[Lawan Transaksi]]="CV AGUNG KARYA",COUNTIF($I$10:I5553,"CV AGUNG KARYA")," ")</f>
        <v xml:space="preserve"> </v>
      </c>
      <c r="F5553" s="107" t="str">
        <f>IF(LEN(Table1722[[#This Row],[Uraian]])&gt;2,TRIM(RIGHT(SUBSTITUTE(TRIM(C5553)," ",REPT(" ",255)),255))," ")</f>
        <v xml:space="preserve"> </v>
      </c>
      <c r="G5553" s="110">
        <f>COPY!Z5545</f>
        <v>0</v>
      </c>
      <c r="H5553" s="111" t="str">
        <f>IFERROR(VLOOKUP(Table1722[[#This Row],[Bukti]],'Un nOTA'!$A$4:$K$5003,10,FALSE),"")</f>
        <v/>
      </c>
      <c r="I5553" s="123" t="str">
        <f>IFERROR(VLOOKUP(Table1722[[#This Row],[Bukti]],Table13[#Data],11,FALSE),"")</f>
        <v/>
      </c>
    </row>
    <row r="5554" spans="1:9" hidden="1" x14ac:dyDescent="0.2">
      <c r="A5554" s="105" t="str">
        <f>IF(D5554=1,COUNTIF($D$10:D5554,1)," ")</f>
        <v xml:space="preserve"> </v>
      </c>
      <c r="B5554" s="106">
        <f>COPY!AR5546</f>
        <v>0</v>
      </c>
      <c r="C5554" s="107">
        <f>COPY!AC5546</f>
        <v>0</v>
      </c>
      <c r="D5554" s="107" t="str">
        <f>IF(LEN(Table1722[[#This Row],[Uraian]])&gt;2,1," ")</f>
        <v xml:space="preserve"> </v>
      </c>
      <c r="E5554" s="113" t="str">
        <f>IF(Table1722[[#This Row],[Lawan Transaksi]]="CV AGUNG KARYA",COUNTIF($I$10:I5554,"CV AGUNG KARYA")," ")</f>
        <v xml:space="preserve"> </v>
      </c>
      <c r="F5554" s="107" t="str">
        <f>IF(LEN(Table1722[[#This Row],[Uraian]])&gt;2,TRIM(RIGHT(SUBSTITUTE(TRIM(C5554)," ",REPT(" ",255)),255))," ")</f>
        <v xml:space="preserve"> </v>
      </c>
      <c r="G5554" s="110">
        <f>COPY!Z5546</f>
        <v>0</v>
      </c>
      <c r="H5554" s="111" t="str">
        <f>IFERROR(VLOOKUP(Table1722[[#This Row],[Bukti]],'Un nOTA'!$A$4:$K$5003,10,FALSE),"")</f>
        <v/>
      </c>
      <c r="I5554" s="123" t="str">
        <f>IFERROR(VLOOKUP(Table1722[[#This Row],[Bukti]],Table13[#Data],11,FALSE),"")</f>
        <v/>
      </c>
    </row>
    <row r="5555" spans="1:9" hidden="1" x14ac:dyDescent="0.2">
      <c r="A5555" s="105" t="str">
        <f>IF(D5555=1,COUNTIF($D$10:D5555,1)," ")</f>
        <v xml:space="preserve"> </v>
      </c>
      <c r="B5555" s="106">
        <f>COPY!AR5547</f>
        <v>0</v>
      </c>
      <c r="C5555" s="107">
        <f>COPY!AC5547</f>
        <v>0</v>
      </c>
      <c r="D5555" s="107" t="str">
        <f>IF(LEN(Table1722[[#This Row],[Uraian]])&gt;2,1," ")</f>
        <v xml:space="preserve"> </v>
      </c>
      <c r="E5555" s="113" t="str">
        <f>IF(Table1722[[#This Row],[Lawan Transaksi]]="CV AGUNG KARYA",COUNTIF($I$10:I5555,"CV AGUNG KARYA")," ")</f>
        <v xml:space="preserve"> </v>
      </c>
      <c r="F5555" s="107" t="str">
        <f>IF(LEN(Table1722[[#This Row],[Uraian]])&gt;2,TRIM(RIGHT(SUBSTITUTE(TRIM(C5555)," ",REPT(" ",255)),255))," ")</f>
        <v xml:space="preserve"> </v>
      </c>
      <c r="G5555" s="110">
        <f>COPY!Z5547</f>
        <v>0</v>
      </c>
      <c r="H5555" s="111" t="str">
        <f>IFERROR(VLOOKUP(Table1722[[#This Row],[Bukti]],'Un nOTA'!$A$4:$K$5003,10,FALSE),"")</f>
        <v/>
      </c>
      <c r="I5555" s="123" t="str">
        <f>IFERROR(VLOOKUP(Table1722[[#This Row],[Bukti]],Table13[#Data],11,FALSE),"")</f>
        <v/>
      </c>
    </row>
    <row r="5556" spans="1:9" hidden="1" x14ac:dyDescent="0.2">
      <c r="A5556" s="105" t="str">
        <f>IF(D5556=1,COUNTIF($D$10:D5556,1)," ")</f>
        <v xml:space="preserve"> </v>
      </c>
      <c r="B5556" s="106">
        <f>COPY!AR5548</f>
        <v>0</v>
      </c>
      <c r="C5556" s="107">
        <f>COPY!AC5548</f>
        <v>0</v>
      </c>
      <c r="D5556" s="107" t="str">
        <f>IF(LEN(Table1722[[#This Row],[Uraian]])&gt;2,1," ")</f>
        <v xml:space="preserve"> </v>
      </c>
      <c r="E5556" s="113" t="str">
        <f>IF(Table1722[[#This Row],[Lawan Transaksi]]="CV AGUNG KARYA",COUNTIF($I$10:I5556,"CV AGUNG KARYA")," ")</f>
        <v xml:space="preserve"> </v>
      </c>
      <c r="F5556" s="107" t="str">
        <f>IF(LEN(Table1722[[#This Row],[Uraian]])&gt;2,TRIM(RIGHT(SUBSTITUTE(TRIM(C5556)," ",REPT(" ",255)),255))," ")</f>
        <v xml:space="preserve"> </v>
      </c>
      <c r="G5556" s="110">
        <f>COPY!Z5548</f>
        <v>0</v>
      </c>
      <c r="H5556" s="111" t="str">
        <f>IFERROR(VLOOKUP(Table1722[[#This Row],[Bukti]],'Un nOTA'!$A$4:$K$5003,10,FALSE),"")</f>
        <v/>
      </c>
      <c r="I5556" s="123" t="str">
        <f>IFERROR(VLOOKUP(Table1722[[#This Row],[Bukti]],Table13[#Data],11,FALSE),"")</f>
        <v/>
      </c>
    </row>
    <row r="5557" spans="1:9" hidden="1" x14ac:dyDescent="0.2">
      <c r="A5557" s="105" t="str">
        <f>IF(D5557=1,COUNTIF($D$10:D5557,1)," ")</f>
        <v xml:space="preserve"> </v>
      </c>
      <c r="B5557" s="106">
        <f>COPY!AR5549</f>
        <v>0</v>
      </c>
      <c r="C5557" s="107">
        <f>COPY!AC5549</f>
        <v>0</v>
      </c>
      <c r="D5557" s="107" t="str">
        <f>IF(LEN(Table1722[[#This Row],[Uraian]])&gt;2,1," ")</f>
        <v xml:space="preserve"> </v>
      </c>
      <c r="E5557" s="113" t="str">
        <f>IF(Table1722[[#This Row],[Lawan Transaksi]]="CV AGUNG KARYA",COUNTIF($I$10:I5557,"CV AGUNG KARYA")," ")</f>
        <v xml:space="preserve"> </v>
      </c>
      <c r="F5557" s="107" t="str">
        <f>IF(LEN(Table1722[[#This Row],[Uraian]])&gt;2,TRIM(RIGHT(SUBSTITUTE(TRIM(C5557)," ",REPT(" ",255)),255))," ")</f>
        <v xml:space="preserve"> </v>
      </c>
      <c r="G5557" s="110">
        <f>COPY!Z5549</f>
        <v>0</v>
      </c>
      <c r="H5557" s="111" t="str">
        <f>IFERROR(VLOOKUP(Table1722[[#This Row],[Bukti]],'Un nOTA'!$A$4:$K$5003,10,FALSE),"")</f>
        <v/>
      </c>
      <c r="I5557" s="123" t="str">
        <f>IFERROR(VLOOKUP(Table1722[[#This Row],[Bukti]],Table13[#Data],11,FALSE),"")</f>
        <v/>
      </c>
    </row>
    <row r="5558" spans="1:9" hidden="1" x14ac:dyDescent="0.2">
      <c r="A5558" s="105" t="str">
        <f>IF(D5558=1,COUNTIF($D$10:D5558,1)," ")</f>
        <v xml:space="preserve"> </v>
      </c>
      <c r="B5558" s="106">
        <f>COPY!AR5550</f>
        <v>0</v>
      </c>
      <c r="C5558" s="107">
        <f>COPY!AC5550</f>
        <v>0</v>
      </c>
      <c r="D5558" s="107" t="str">
        <f>IF(LEN(Table1722[[#This Row],[Uraian]])&gt;2,1," ")</f>
        <v xml:space="preserve"> </v>
      </c>
      <c r="E5558" s="113" t="str">
        <f>IF(Table1722[[#This Row],[Lawan Transaksi]]="CV AGUNG KARYA",COUNTIF($I$10:I5558,"CV AGUNG KARYA")," ")</f>
        <v xml:space="preserve"> </v>
      </c>
      <c r="F5558" s="107" t="str">
        <f>IF(LEN(Table1722[[#This Row],[Uraian]])&gt;2,TRIM(RIGHT(SUBSTITUTE(TRIM(C5558)," ",REPT(" ",255)),255))," ")</f>
        <v xml:space="preserve"> </v>
      </c>
      <c r="G5558" s="110">
        <f>COPY!Z5550</f>
        <v>0</v>
      </c>
      <c r="H5558" s="111" t="str">
        <f>IFERROR(VLOOKUP(Table1722[[#This Row],[Bukti]],'Un nOTA'!$A$4:$K$5003,10,FALSE),"")</f>
        <v/>
      </c>
      <c r="I5558" s="123" t="str">
        <f>IFERROR(VLOOKUP(Table1722[[#This Row],[Bukti]],Table13[#Data],11,FALSE),"")</f>
        <v/>
      </c>
    </row>
    <row r="5559" spans="1:9" hidden="1" x14ac:dyDescent="0.2">
      <c r="A5559" s="105" t="str">
        <f>IF(D5559=1,COUNTIF($D$10:D5559,1)," ")</f>
        <v xml:space="preserve"> </v>
      </c>
      <c r="B5559" s="106">
        <f>COPY!AR5551</f>
        <v>0</v>
      </c>
      <c r="C5559" s="107">
        <f>COPY!AC5551</f>
        <v>0</v>
      </c>
      <c r="D5559" s="107" t="str">
        <f>IF(LEN(Table1722[[#This Row],[Uraian]])&gt;2,1," ")</f>
        <v xml:space="preserve"> </v>
      </c>
      <c r="E5559" s="113" t="str">
        <f>IF(Table1722[[#This Row],[Lawan Transaksi]]="CV AGUNG KARYA",COUNTIF($I$10:I5559,"CV AGUNG KARYA")," ")</f>
        <v xml:space="preserve"> </v>
      </c>
      <c r="F5559" s="107" t="str">
        <f>IF(LEN(Table1722[[#This Row],[Uraian]])&gt;2,TRIM(RIGHT(SUBSTITUTE(TRIM(C5559)," ",REPT(" ",255)),255))," ")</f>
        <v xml:space="preserve"> </v>
      </c>
      <c r="G5559" s="110">
        <f>COPY!Z5551</f>
        <v>0</v>
      </c>
      <c r="H5559" s="111" t="str">
        <f>IFERROR(VLOOKUP(Table1722[[#This Row],[Bukti]],'Un nOTA'!$A$4:$K$5003,10,FALSE),"")</f>
        <v/>
      </c>
      <c r="I5559" s="123" t="str">
        <f>IFERROR(VLOOKUP(Table1722[[#This Row],[Bukti]],Table13[#Data],11,FALSE),"")</f>
        <v/>
      </c>
    </row>
    <row r="5560" spans="1:9" hidden="1" x14ac:dyDescent="0.2">
      <c r="A5560" s="105" t="str">
        <f>IF(D5560=1,COUNTIF($D$10:D5560,1)," ")</f>
        <v xml:space="preserve"> </v>
      </c>
      <c r="B5560" s="106">
        <f>COPY!AR5552</f>
        <v>0</v>
      </c>
      <c r="C5560" s="107">
        <f>COPY!AC5552</f>
        <v>0</v>
      </c>
      <c r="D5560" s="107" t="str">
        <f>IF(LEN(Table1722[[#This Row],[Uraian]])&gt;2,1," ")</f>
        <v xml:space="preserve"> </v>
      </c>
      <c r="E5560" s="113" t="str">
        <f>IF(Table1722[[#This Row],[Lawan Transaksi]]="CV AGUNG KARYA",COUNTIF($I$10:I5560,"CV AGUNG KARYA")," ")</f>
        <v xml:space="preserve"> </v>
      </c>
      <c r="F5560" s="107" t="str">
        <f>IF(LEN(Table1722[[#This Row],[Uraian]])&gt;2,TRIM(RIGHT(SUBSTITUTE(TRIM(C5560)," ",REPT(" ",255)),255))," ")</f>
        <v xml:space="preserve"> </v>
      </c>
      <c r="G5560" s="110">
        <f>COPY!Z5552</f>
        <v>0</v>
      </c>
      <c r="H5560" s="111" t="str">
        <f>IFERROR(VLOOKUP(Table1722[[#This Row],[Bukti]],'Un nOTA'!$A$4:$K$5003,10,FALSE),"")</f>
        <v/>
      </c>
      <c r="I5560" s="123" t="str">
        <f>IFERROR(VLOOKUP(Table1722[[#This Row],[Bukti]],Table13[#Data],11,FALSE),"")</f>
        <v/>
      </c>
    </row>
    <row r="5561" spans="1:9" hidden="1" x14ac:dyDescent="0.2">
      <c r="A5561" s="105" t="str">
        <f>IF(D5561=1,COUNTIF($D$10:D5561,1)," ")</f>
        <v xml:space="preserve"> </v>
      </c>
      <c r="B5561" s="106">
        <f>COPY!AR5553</f>
        <v>0</v>
      </c>
      <c r="C5561" s="107">
        <f>COPY!AC5553</f>
        <v>0</v>
      </c>
      <c r="D5561" s="107" t="str">
        <f>IF(LEN(Table1722[[#This Row],[Uraian]])&gt;2,1," ")</f>
        <v xml:space="preserve"> </v>
      </c>
      <c r="E5561" s="113" t="str">
        <f>IF(Table1722[[#This Row],[Lawan Transaksi]]="CV AGUNG KARYA",COUNTIF($I$10:I5561,"CV AGUNG KARYA")," ")</f>
        <v xml:space="preserve"> </v>
      </c>
      <c r="F5561" s="107" t="str">
        <f>IF(LEN(Table1722[[#This Row],[Uraian]])&gt;2,TRIM(RIGHT(SUBSTITUTE(TRIM(C5561)," ",REPT(" ",255)),255))," ")</f>
        <v xml:space="preserve"> </v>
      </c>
      <c r="G5561" s="110">
        <f>COPY!Z5553</f>
        <v>0</v>
      </c>
      <c r="H5561" s="111" t="str">
        <f>IFERROR(VLOOKUP(Table1722[[#This Row],[Bukti]],'Un nOTA'!$A$4:$K$5003,10,FALSE),"")</f>
        <v/>
      </c>
      <c r="I5561" s="123" t="str">
        <f>IFERROR(VLOOKUP(Table1722[[#This Row],[Bukti]],Table13[#Data],11,FALSE),"")</f>
        <v/>
      </c>
    </row>
    <row r="5562" spans="1:9" hidden="1" x14ac:dyDescent="0.2">
      <c r="A5562" s="105" t="str">
        <f>IF(D5562=1,COUNTIF($D$10:D5562,1)," ")</f>
        <v xml:space="preserve"> </v>
      </c>
      <c r="B5562" s="106">
        <f>COPY!AR5554</f>
        <v>0</v>
      </c>
      <c r="C5562" s="107">
        <f>COPY!AC5554</f>
        <v>0</v>
      </c>
      <c r="D5562" s="107" t="str">
        <f>IF(LEN(Table1722[[#This Row],[Uraian]])&gt;2,1," ")</f>
        <v xml:space="preserve"> </v>
      </c>
      <c r="E5562" s="113" t="str">
        <f>IF(Table1722[[#This Row],[Lawan Transaksi]]="CV AGUNG KARYA",COUNTIF($I$10:I5562,"CV AGUNG KARYA")," ")</f>
        <v xml:space="preserve"> </v>
      </c>
      <c r="F5562" s="107" t="str">
        <f>IF(LEN(Table1722[[#This Row],[Uraian]])&gt;2,TRIM(RIGHT(SUBSTITUTE(TRIM(C5562)," ",REPT(" ",255)),255))," ")</f>
        <v xml:space="preserve"> </v>
      </c>
      <c r="G5562" s="110">
        <f>COPY!Z5554</f>
        <v>0</v>
      </c>
      <c r="H5562" s="111" t="str">
        <f>IFERROR(VLOOKUP(Table1722[[#This Row],[Bukti]],'Un nOTA'!$A$4:$K$5003,10,FALSE),"")</f>
        <v/>
      </c>
      <c r="I5562" s="123" t="str">
        <f>IFERROR(VLOOKUP(Table1722[[#This Row],[Bukti]],Table13[#Data],11,FALSE),"")</f>
        <v/>
      </c>
    </row>
    <row r="5563" spans="1:9" hidden="1" x14ac:dyDescent="0.2">
      <c r="A5563" s="105" t="str">
        <f>IF(D5563=1,COUNTIF($D$10:D5563,1)," ")</f>
        <v xml:space="preserve"> </v>
      </c>
      <c r="B5563" s="106">
        <f>COPY!AR5555</f>
        <v>0</v>
      </c>
      <c r="C5563" s="107">
        <f>COPY!AC5555</f>
        <v>0</v>
      </c>
      <c r="D5563" s="107" t="str">
        <f>IF(LEN(Table1722[[#This Row],[Uraian]])&gt;2,1," ")</f>
        <v xml:space="preserve"> </v>
      </c>
      <c r="E5563" s="113" t="str">
        <f>IF(Table1722[[#This Row],[Lawan Transaksi]]="CV AGUNG KARYA",COUNTIF($I$10:I5563,"CV AGUNG KARYA")," ")</f>
        <v xml:space="preserve"> </v>
      </c>
      <c r="F5563" s="107" t="str">
        <f>IF(LEN(Table1722[[#This Row],[Uraian]])&gt;2,TRIM(RIGHT(SUBSTITUTE(TRIM(C5563)," ",REPT(" ",255)),255))," ")</f>
        <v xml:space="preserve"> </v>
      </c>
      <c r="G5563" s="110">
        <f>COPY!Z5555</f>
        <v>0</v>
      </c>
      <c r="H5563" s="111" t="str">
        <f>IFERROR(VLOOKUP(Table1722[[#This Row],[Bukti]],'Un nOTA'!$A$4:$K$5003,10,FALSE),"")</f>
        <v/>
      </c>
      <c r="I5563" s="123" t="str">
        <f>IFERROR(VLOOKUP(Table1722[[#This Row],[Bukti]],Table13[#Data],11,FALSE),"")</f>
        <v/>
      </c>
    </row>
    <row r="5564" spans="1:9" hidden="1" x14ac:dyDescent="0.2">
      <c r="A5564" s="105" t="str">
        <f>IF(D5564=1,COUNTIF($D$10:D5564,1)," ")</f>
        <v xml:space="preserve"> </v>
      </c>
      <c r="B5564" s="106">
        <f>COPY!AR5556</f>
        <v>0</v>
      </c>
      <c r="C5564" s="107">
        <f>COPY!AC5556</f>
        <v>0</v>
      </c>
      <c r="D5564" s="107" t="str">
        <f>IF(LEN(Table1722[[#This Row],[Uraian]])&gt;2,1," ")</f>
        <v xml:space="preserve"> </v>
      </c>
      <c r="E5564" s="113" t="str">
        <f>IF(Table1722[[#This Row],[Lawan Transaksi]]="CV AGUNG KARYA",COUNTIF($I$10:I5564,"CV AGUNG KARYA")," ")</f>
        <v xml:space="preserve"> </v>
      </c>
      <c r="F5564" s="107" t="str">
        <f>IF(LEN(Table1722[[#This Row],[Uraian]])&gt;2,TRIM(RIGHT(SUBSTITUTE(TRIM(C5564)," ",REPT(" ",255)),255))," ")</f>
        <v xml:space="preserve"> </v>
      </c>
      <c r="G5564" s="110">
        <f>COPY!Z5556</f>
        <v>0</v>
      </c>
      <c r="H5564" s="111" t="str">
        <f>IFERROR(VLOOKUP(Table1722[[#This Row],[Bukti]],'Un nOTA'!$A$4:$K$5003,10,FALSE),"")</f>
        <v/>
      </c>
      <c r="I5564" s="123" t="str">
        <f>IFERROR(VLOOKUP(Table1722[[#This Row],[Bukti]],Table13[#Data],11,FALSE),"")</f>
        <v/>
      </c>
    </row>
    <row r="5565" spans="1:9" hidden="1" x14ac:dyDescent="0.2">
      <c r="A5565" s="105" t="str">
        <f>IF(D5565=1,COUNTIF($D$10:D5565,1)," ")</f>
        <v xml:space="preserve"> </v>
      </c>
      <c r="B5565" s="106">
        <f>COPY!AR5557</f>
        <v>0</v>
      </c>
      <c r="C5565" s="107">
        <f>COPY!AC5557</f>
        <v>0</v>
      </c>
      <c r="D5565" s="107" t="str">
        <f>IF(LEN(Table1722[[#This Row],[Uraian]])&gt;2,1," ")</f>
        <v xml:space="preserve"> </v>
      </c>
      <c r="E5565" s="113" t="str">
        <f>IF(Table1722[[#This Row],[Lawan Transaksi]]="CV AGUNG KARYA",COUNTIF($I$10:I5565,"CV AGUNG KARYA")," ")</f>
        <v xml:space="preserve"> </v>
      </c>
      <c r="F5565" s="107" t="str">
        <f>IF(LEN(Table1722[[#This Row],[Uraian]])&gt;2,TRIM(RIGHT(SUBSTITUTE(TRIM(C5565)," ",REPT(" ",255)),255))," ")</f>
        <v xml:space="preserve"> </v>
      </c>
      <c r="G5565" s="110">
        <f>COPY!Z5557</f>
        <v>0</v>
      </c>
      <c r="H5565" s="111" t="str">
        <f>IFERROR(VLOOKUP(Table1722[[#This Row],[Bukti]],'Un nOTA'!$A$4:$K$5003,10,FALSE),"")</f>
        <v/>
      </c>
      <c r="I5565" s="123" t="str">
        <f>IFERROR(VLOOKUP(Table1722[[#This Row],[Bukti]],Table13[#Data],11,FALSE),"")</f>
        <v/>
      </c>
    </row>
    <row r="5566" spans="1:9" hidden="1" x14ac:dyDescent="0.2">
      <c r="A5566" s="105" t="str">
        <f>IF(D5566=1,COUNTIF($D$10:D5566,1)," ")</f>
        <v xml:space="preserve"> </v>
      </c>
      <c r="B5566" s="106">
        <f>COPY!AR5558</f>
        <v>0</v>
      </c>
      <c r="C5566" s="107">
        <f>COPY!AC5558</f>
        <v>0</v>
      </c>
      <c r="D5566" s="107" t="str">
        <f>IF(LEN(Table1722[[#This Row],[Uraian]])&gt;2,1," ")</f>
        <v xml:space="preserve"> </v>
      </c>
      <c r="E5566" s="113" t="str">
        <f>IF(Table1722[[#This Row],[Lawan Transaksi]]="CV AGUNG KARYA",COUNTIF($I$10:I5566,"CV AGUNG KARYA")," ")</f>
        <v xml:space="preserve"> </v>
      </c>
      <c r="F5566" s="107" t="str">
        <f>IF(LEN(Table1722[[#This Row],[Uraian]])&gt;2,TRIM(RIGHT(SUBSTITUTE(TRIM(C5566)," ",REPT(" ",255)),255))," ")</f>
        <v xml:space="preserve"> </v>
      </c>
      <c r="G5566" s="110">
        <f>COPY!Z5558</f>
        <v>0</v>
      </c>
      <c r="H5566" s="111" t="str">
        <f>IFERROR(VLOOKUP(Table1722[[#This Row],[Bukti]],'Un nOTA'!$A$4:$K$5003,10,FALSE),"")</f>
        <v/>
      </c>
      <c r="I5566" s="123" t="str">
        <f>IFERROR(VLOOKUP(Table1722[[#This Row],[Bukti]],Table13[#Data],11,FALSE),"")</f>
        <v/>
      </c>
    </row>
    <row r="5567" spans="1:9" hidden="1" x14ac:dyDescent="0.2">
      <c r="A5567" s="105" t="str">
        <f>IF(D5567=1,COUNTIF($D$10:D5567,1)," ")</f>
        <v xml:space="preserve"> </v>
      </c>
      <c r="B5567" s="106">
        <f>COPY!AR5559</f>
        <v>0</v>
      </c>
      <c r="C5567" s="107">
        <f>COPY!AC5559</f>
        <v>0</v>
      </c>
      <c r="D5567" s="107" t="str">
        <f>IF(LEN(Table1722[[#This Row],[Uraian]])&gt;2,1," ")</f>
        <v xml:space="preserve"> </v>
      </c>
      <c r="E5567" s="113" t="str">
        <f>IF(Table1722[[#This Row],[Lawan Transaksi]]="CV AGUNG KARYA",COUNTIF($I$10:I5567,"CV AGUNG KARYA")," ")</f>
        <v xml:space="preserve"> </v>
      </c>
      <c r="F5567" s="107" t="str">
        <f>IF(LEN(Table1722[[#This Row],[Uraian]])&gt;2,TRIM(RIGHT(SUBSTITUTE(TRIM(C5567)," ",REPT(" ",255)),255))," ")</f>
        <v xml:space="preserve"> </v>
      </c>
      <c r="G5567" s="110">
        <f>COPY!Z5559</f>
        <v>0</v>
      </c>
      <c r="H5567" s="111" t="str">
        <f>IFERROR(VLOOKUP(Table1722[[#This Row],[Bukti]],'Un nOTA'!$A$4:$K$5003,10,FALSE),"")</f>
        <v/>
      </c>
      <c r="I5567" s="123" t="str">
        <f>IFERROR(VLOOKUP(Table1722[[#This Row],[Bukti]],Table13[#Data],11,FALSE),"")</f>
        <v/>
      </c>
    </row>
    <row r="5568" spans="1:9" hidden="1" x14ac:dyDescent="0.2">
      <c r="A5568" s="105" t="str">
        <f>IF(D5568=1,COUNTIF($D$10:D5568,1)," ")</f>
        <v xml:space="preserve"> </v>
      </c>
      <c r="B5568" s="106">
        <f>COPY!AR5560</f>
        <v>0</v>
      </c>
      <c r="C5568" s="107">
        <f>COPY!AC5560</f>
        <v>0</v>
      </c>
      <c r="D5568" s="107" t="str">
        <f>IF(LEN(Table1722[[#This Row],[Uraian]])&gt;2,1," ")</f>
        <v xml:space="preserve"> </v>
      </c>
      <c r="E5568" s="113" t="str">
        <f>IF(Table1722[[#This Row],[Lawan Transaksi]]="CV AGUNG KARYA",COUNTIF($I$10:I5568,"CV AGUNG KARYA")," ")</f>
        <v xml:space="preserve"> </v>
      </c>
      <c r="F5568" s="107" t="str">
        <f>IF(LEN(Table1722[[#This Row],[Uraian]])&gt;2,TRIM(RIGHT(SUBSTITUTE(TRIM(C5568)," ",REPT(" ",255)),255))," ")</f>
        <v xml:space="preserve"> </v>
      </c>
      <c r="G5568" s="110">
        <f>COPY!Z5560</f>
        <v>0</v>
      </c>
      <c r="H5568" s="111" t="str">
        <f>IFERROR(VLOOKUP(Table1722[[#This Row],[Bukti]],'Un nOTA'!$A$4:$K$5003,10,FALSE),"")</f>
        <v/>
      </c>
      <c r="I5568" s="123" t="str">
        <f>IFERROR(VLOOKUP(Table1722[[#This Row],[Bukti]],Table13[#Data],11,FALSE),"")</f>
        <v/>
      </c>
    </row>
    <row r="5569" spans="1:9" hidden="1" x14ac:dyDescent="0.2">
      <c r="A5569" s="105" t="str">
        <f>IF(D5569=1,COUNTIF($D$10:D5569,1)," ")</f>
        <v xml:space="preserve"> </v>
      </c>
      <c r="B5569" s="106">
        <f>COPY!AR5561</f>
        <v>0</v>
      </c>
      <c r="C5569" s="107">
        <f>COPY!AC5561</f>
        <v>0</v>
      </c>
      <c r="D5569" s="107" t="str">
        <f>IF(LEN(Table1722[[#This Row],[Uraian]])&gt;2,1," ")</f>
        <v xml:space="preserve"> </v>
      </c>
      <c r="E5569" s="113" t="str">
        <f>IF(Table1722[[#This Row],[Lawan Transaksi]]="CV AGUNG KARYA",COUNTIF($I$10:I5569,"CV AGUNG KARYA")," ")</f>
        <v xml:space="preserve"> </v>
      </c>
      <c r="F5569" s="107" t="str">
        <f>IF(LEN(Table1722[[#This Row],[Uraian]])&gt;2,TRIM(RIGHT(SUBSTITUTE(TRIM(C5569)," ",REPT(" ",255)),255))," ")</f>
        <v xml:space="preserve"> </v>
      </c>
      <c r="G5569" s="110">
        <f>COPY!Z5561</f>
        <v>0</v>
      </c>
      <c r="H5569" s="111" t="str">
        <f>IFERROR(VLOOKUP(Table1722[[#This Row],[Bukti]],'Un nOTA'!$A$4:$K$5003,10,FALSE),"")</f>
        <v/>
      </c>
      <c r="I5569" s="123" t="str">
        <f>IFERROR(VLOOKUP(Table1722[[#This Row],[Bukti]],Table13[#Data],11,FALSE),"")</f>
        <v/>
      </c>
    </row>
    <row r="5570" spans="1:9" hidden="1" x14ac:dyDescent="0.2">
      <c r="A5570" s="105" t="str">
        <f>IF(D5570=1,COUNTIF($D$10:D5570,1)," ")</f>
        <v xml:space="preserve"> </v>
      </c>
      <c r="B5570" s="106">
        <f>COPY!AR5562</f>
        <v>0</v>
      </c>
      <c r="C5570" s="107">
        <f>COPY!AC5562</f>
        <v>0</v>
      </c>
      <c r="D5570" s="107" t="str">
        <f>IF(LEN(Table1722[[#This Row],[Uraian]])&gt;2,1," ")</f>
        <v xml:space="preserve"> </v>
      </c>
      <c r="E5570" s="113" t="str">
        <f>IF(Table1722[[#This Row],[Lawan Transaksi]]="CV AGUNG KARYA",COUNTIF($I$10:I5570,"CV AGUNG KARYA")," ")</f>
        <v xml:space="preserve"> </v>
      </c>
      <c r="F5570" s="107" t="str">
        <f>IF(LEN(Table1722[[#This Row],[Uraian]])&gt;2,TRIM(RIGHT(SUBSTITUTE(TRIM(C5570)," ",REPT(" ",255)),255))," ")</f>
        <v xml:space="preserve"> </v>
      </c>
      <c r="G5570" s="110">
        <f>COPY!Z5562</f>
        <v>0</v>
      </c>
      <c r="H5570" s="111" t="str">
        <f>IFERROR(VLOOKUP(Table1722[[#This Row],[Bukti]],'Un nOTA'!$A$4:$K$5003,10,FALSE),"")</f>
        <v/>
      </c>
      <c r="I5570" s="123" t="str">
        <f>IFERROR(VLOOKUP(Table1722[[#This Row],[Bukti]],Table13[#Data],11,FALSE),"")</f>
        <v/>
      </c>
    </row>
    <row r="5571" spans="1:9" hidden="1" x14ac:dyDescent="0.2">
      <c r="A5571" s="105" t="str">
        <f>IF(D5571=1,COUNTIF($D$10:D5571,1)," ")</f>
        <v xml:space="preserve"> </v>
      </c>
      <c r="B5571" s="106">
        <f>COPY!AR5563</f>
        <v>0</v>
      </c>
      <c r="C5571" s="107">
        <f>COPY!AC5563</f>
        <v>0</v>
      </c>
      <c r="D5571" s="107" t="str">
        <f>IF(LEN(Table1722[[#This Row],[Uraian]])&gt;2,1," ")</f>
        <v xml:space="preserve"> </v>
      </c>
      <c r="E5571" s="113" t="str">
        <f>IF(Table1722[[#This Row],[Lawan Transaksi]]="CV AGUNG KARYA",COUNTIF($I$10:I5571,"CV AGUNG KARYA")," ")</f>
        <v xml:space="preserve"> </v>
      </c>
      <c r="F5571" s="107" t="str">
        <f>IF(LEN(Table1722[[#This Row],[Uraian]])&gt;2,TRIM(RIGHT(SUBSTITUTE(TRIM(C5571)," ",REPT(" ",255)),255))," ")</f>
        <v xml:space="preserve"> </v>
      </c>
      <c r="G5571" s="110">
        <f>COPY!Z5563</f>
        <v>0</v>
      </c>
      <c r="H5571" s="111" t="str">
        <f>IFERROR(VLOOKUP(Table1722[[#This Row],[Bukti]],'Un nOTA'!$A$4:$K$5003,10,FALSE),"")</f>
        <v/>
      </c>
      <c r="I5571" s="123" t="str">
        <f>IFERROR(VLOOKUP(Table1722[[#This Row],[Bukti]],Table13[#Data],11,FALSE),"")</f>
        <v/>
      </c>
    </row>
    <row r="5572" spans="1:9" hidden="1" x14ac:dyDescent="0.2">
      <c r="A5572" s="105" t="str">
        <f>IF(D5572=1,COUNTIF($D$10:D5572,1)," ")</f>
        <v xml:space="preserve"> </v>
      </c>
      <c r="B5572" s="106">
        <f>COPY!AR5564</f>
        <v>0</v>
      </c>
      <c r="C5572" s="107">
        <f>COPY!AC5564</f>
        <v>0</v>
      </c>
      <c r="D5572" s="107" t="str">
        <f>IF(LEN(Table1722[[#This Row],[Uraian]])&gt;2,1," ")</f>
        <v xml:space="preserve"> </v>
      </c>
      <c r="E5572" s="113" t="str">
        <f>IF(Table1722[[#This Row],[Lawan Transaksi]]="CV AGUNG KARYA",COUNTIF($I$10:I5572,"CV AGUNG KARYA")," ")</f>
        <v xml:space="preserve"> </v>
      </c>
      <c r="F5572" s="107" t="str">
        <f>IF(LEN(Table1722[[#This Row],[Uraian]])&gt;2,TRIM(RIGHT(SUBSTITUTE(TRIM(C5572)," ",REPT(" ",255)),255))," ")</f>
        <v xml:space="preserve"> </v>
      </c>
      <c r="G5572" s="110">
        <f>COPY!Z5564</f>
        <v>0</v>
      </c>
      <c r="H5572" s="111" t="str">
        <f>IFERROR(VLOOKUP(Table1722[[#This Row],[Bukti]],'Un nOTA'!$A$4:$K$5003,10,FALSE),"")</f>
        <v/>
      </c>
      <c r="I5572" s="123" t="str">
        <f>IFERROR(VLOOKUP(Table1722[[#This Row],[Bukti]],Table13[#Data],11,FALSE),"")</f>
        <v/>
      </c>
    </row>
    <row r="5573" spans="1:9" hidden="1" x14ac:dyDescent="0.2">
      <c r="A5573" s="105" t="str">
        <f>IF(D5573=1,COUNTIF($D$10:D5573,1)," ")</f>
        <v xml:space="preserve"> </v>
      </c>
      <c r="B5573" s="106">
        <f>COPY!AR5565</f>
        <v>0</v>
      </c>
      <c r="C5573" s="107">
        <f>COPY!AC5565</f>
        <v>0</v>
      </c>
      <c r="D5573" s="107" t="str">
        <f>IF(LEN(Table1722[[#This Row],[Uraian]])&gt;2,1," ")</f>
        <v xml:space="preserve"> </v>
      </c>
      <c r="E5573" s="113" t="str">
        <f>IF(Table1722[[#This Row],[Lawan Transaksi]]="CV AGUNG KARYA",COUNTIF($I$10:I5573,"CV AGUNG KARYA")," ")</f>
        <v xml:space="preserve"> </v>
      </c>
      <c r="F5573" s="107" t="str">
        <f>IF(LEN(Table1722[[#This Row],[Uraian]])&gt;2,TRIM(RIGHT(SUBSTITUTE(TRIM(C5573)," ",REPT(" ",255)),255))," ")</f>
        <v xml:space="preserve"> </v>
      </c>
      <c r="G5573" s="110">
        <f>COPY!Z5565</f>
        <v>0</v>
      </c>
      <c r="H5573" s="111" t="str">
        <f>IFERROR(VLOOKUP(Table1722[[#This Row],[Bukti]],'Un nOTA'!$A$4:$K$5003,10,FALSE),"")</f>
        <v/>
      </c>
      <c r="I5573" s="123" t="str">
        <f>IFERROR(VLOOKUP(Table1722[[#This Row],[Bukti]],Table13[#Data],11,FALSE),"")</f>
        <v/>
      </c>
    </row>
    <row r="5574" spans="1:9" hidden="1" x14ac:dyDescent="0.2">
      <c r="A5574" s="105" t="str">
        <f>IF(D5574=1,COUNTIF($D$10:D5574,1)," ")</f>
        <v xml:space="preserve"> </v>
      </c>
      <c r="B5574" s="106">
        <f>COPY!AR5566</f>
        <v>0</v>
      </c>
      <c r="C5574" s="107">
        <f>COPY!AC5566</f>
        <v>0</v>
      </c>
      <c r="D5574" s="107" t="str">
        <f>IF(LEN(Table1722[[#This Row],[Uraian]])&gt;2,1," ")</f>
        <v xml:space="preserve"> </v>
      </c>
      <c r="E5574" s="113" t="str">
        <f>IF(Table1722[[#This Row],[Lawan Transaksi]]="CV AGUNG KARYA",COUNTIF($I$10:I5574,"CV AGUNG KARYA")," ")</f>
        <v xml:space="preserve"> </v>
      </c>
      <c r="F5574" s="107" t="str">
        <f>IF(LEN(Table1722[[#This Row],[Uraian]])&gt;2,TRIM(RIGHT(SUBSTITUTE(TRIM(C5574)," ",REPT(" ",255)),255))," ")</f>
        <v xml:space="preserve"> </v>
      </c>
      <c r="G5574" s="110">
        <f>COPY!Z5566</f>
        <v>0</v>
      </c>
      <c r="H5574" s="111" t="str">
        <f>IFERROR(VLOOKUP(Table1722[[#This Row],[Bukti]],'Un nOTA'!$A$4:$K$5003,10,FALSE),"")</f>
        <v/>
      </c>
      <c r="I5574" s="123" t="str">
        <f>IFERROR(VLOOKUP(Table1722[[#This Row],[Bukti]],Table13[#Data],11,FALSE),"")</f>
        <v/>
      </c>
    </row>
    <row r="5575" spans="1:9" hidden="1" x14ac:dyDescent="0.2">
      <c r="A5575" s="105" t="str">
        <f>IF(D5575=1,COUNTIF($D$10:D5575,1)," ")</f>
        <v xml:space="preserve"> </v>
      </c>
      <c r="B5575" s="106">
        <f>COPY!AR5567</f>
        <v>0</v>
      </c>
      <c r="C5575" s="107">
        <f>COPY!AC5567</f>
        <v>0</v>
      </c>
      <c r="D5575" s="107" t="str">
        <f>IF(LEN(Table1722[[#This Row],[Uraian]])&gt;2,1," ")</f>
        <v xml:space="preserve"> </v>
      </c>
      <c r="E5575" s="113" t="str">
        <f>IF(Table1722[[#This Row],[Lawan Transaksi]]="CV AGUNG KARYA",COUNTIF($I$10:I5575,"CV AGUNG KARYA")," ")</f>
        <v xml:space="preserve"> </v>
      </c>
      <c r="F5575" s="107" t="str">
        <f>IF(LEN(Table1722[[#This Row],[Uraian]])&gt;2,TRIM(RIGHT(SUBSTITUTE(TRIM(C5575)," ",REPT(" ",255)),255))," ")</f>
        <v xml:space="preserve"> </v>
      </c>
      <c r="G5575" s="110">
        <f>COPY!Z5567</f>
        <v>0</v>
      </c>
      <c r="H5575" s="111" t="str">
        <f>IFERROR(VLOOKUP(Table1722[[#This Row],[Bukti]],'Un nOTA'!$A$4:$K$5003,10,FALSE),"")</f>
        <v/>
      </c>
      <c r="I5575" s="123" t="str">
        <f>IFERROR(VLOOKUP(Table1722[[#This Row],[Bukti]],Table13[#Data],11,FALSE),"")</f>
        <v/>
      </c>
    </row>
    <row r="5576" spans="1:9" hidden="1" x14ac:dyDescent="0.2">
      <c r="A5576" s="105" t="str">
        <f>IF(D5576=1,COUNTIF($D$10:D5576,1)," ")</f>
        <v xml:space="preserve"> </v>
      </c>
      <c r="B5576" s="106">
        <f>COPY!AR5568</f>
        <v>0</v>
      </c>
      <c r="C5576" s="107">
        <f>COPY!AC5568</f>
        <v>0</v>
      </c>
      <c r="D5576" s="107" t="str">
        <f>IF(LEN(Table1722[[#This Row],[Uraian]])&gt;2,1," ")</f>
        <v xml:space="preserve"> </v>
      </c>
      <c r="E5576" s="113" t="str">
        <f>IF(Table1722[[#This Row],[Lawan Transaksi]]="CV AGUNG KARYA",COUNTIF($I$10:I5576,"CV AGUNG KARYA")," ")</f>
        <v xml:space="preserve"> </v>
      </c>
      <c r="F5576" s="107" t="str">
        <f>IF(LEN(Table1722[[#This Row],[Uraian]])&gt;2,TRIM(RIGHT(SUBSTITUTE(TRIM(C5576)," ",REPT(" ",255)),255))," ")</f>
        <v xml:space="preserve"> </v>
      </c>
      <c r="G5576" s="110">
        <f>COPY!Z5568</f>
        <v>0</v>
      </c>
      <c r="H5576" s="111" t="str">
        <f>IFERROR(VLOOKUP(Table1722[[#This Row],[Bukti]],'Un nOTA'!$A$4:$K$5003,10,FALSE),"")</f>
        <v/>
      </c>
      <c r="I5576" s="123" t="str">
        <f>IFERROR(VLOOKUP(Table1722[[#This Row],[Bukti]],Table13[#Data],11,FALSE),"")</f>
        <v/>
      </c>
    </row>
    <row r="5577" spans="1:9" hidden="1" x14ac:dyDescent="0.2">
      <c r="A5577" s="105" t="str">
        <f>IF(D5577=1,COUNTIF($D$10:D5577,1)," ")</f>
        <v xml:space="preserve"> </v>
      </c>
      <c r="B5577" s="106">
        <f>COPY!AR5569</f>
        <v>0</v>
      </c>
      <c r="C5577" s="107">
        <f>COPY!AC5569</f>
        <v>0</v>
      </c>
      <c r="D5577" s="107" t="str">
        <f>IF(LEN(Table1722[[#This Row],[Uraian]])&gt;2,1," ")</f>
        <v xml:space="preserve"> </v>
      </c>
      <c r="E5577" s="113" t="str">
        <f>IF(Table1722[[#This Row],[Lawan Transaksi]]="CV AGUNG KARYA",COUNTIF($I$10:I5577,"CV AGUNG KARYA")," ")</f>
        <v xml:space="preserve"> </v>
      </c>
      <c r="F5577" s="107" t="str">
        <f>IF(LEN(Table1722[[#This Row],[Uraian]])&gt;2,TRIM(RIGHT(SUBSTITUTE(TRIM(C5577)," ",REPT(" ",255)),255))," ")</f>
        <v xml:space="preserve"> </v>
      </c>
      <c r="G5577" s="110">
        <f>COPY!Z5569</f>
        <v>0</v>
      </c>
      <c r="H5577" s="111" t="str">
        <f>IFERROR(VLOOKUP(Table1722[[#This Row],[Bukti]],'Un nOTA'!$A$4:$K$5003,10,FALSE),"")</f>
        <v/>
      </c>
      <c r="I5577" s="123" t="str">
        <f>IFERROR(VLOOKUP(Table1722[[#This Row],[Bukti]],Table13[#Data],11,FALSE),"")</f>
        <v/>
      </c>
    </row>
    <row r="5578" spans="1:9" hidden="1" x14ac:dyDescent="0.2">
      <c r="A5578" s="105" t="str">
        <f>IF(D5578=1,COUNTIF($D$10:D5578,1)," ")</f>
        <v xml:space="preserve"> </v>
      </c>
      <c r="B5578" s="106">
        <f>COPY!AR5570</f>
        <v>0</v>
      </c>
      <c r="C5578" s="107">
        <f>COPY!AC5570</f>
        <v>0</v>
      </c>
      <c r="D5578" s="107" t="str">
        <f>IF(LEN(Table1722[[#This Row],[Uraian]])&gt;2,1," ")</f>
        <v xml:space="preserve"> </v>
      </c>
      <c r="E5578" s="113" t="str">
        <f>IF(Table1722[[#This Row],[Lawan Transaksi]]="CV AGUNG KARYA",COUNTIF($I$10:I5578,"CV AGUNG KARYA")," ")</f>
        <v xml:space="preserve"> </v>
      </c>
      <c r="F5578" s="107" t="str">
        <f>IF(LEN(Table1722[[#This Row],[Uraian]])&gt;2,TRIM(RIGHT(SUBSTITUTE(TRIM(C5578)," ",REPT(" ",255)),255))," ")</f>
        <v xml:space="preserve"> </v>
      </c>
      <c r="G5578" s="110">
        <f>COPY!Z5570</f>
        <v>0</v>
      </c>
      <c r="H5578" s="111" t="str">
        <f>IFERROR(VLOOKUP(Table1722[[#This Row],[Bukti]],'Un nOTA'!$A$4:$K$5003,10,FALSE),"")</f>
        <v/>
      </c>
      <c r="I5578" s="123" t="str">
        <f>IFERROR(VLOOKUP(Table1722[[#This Row],[Bukti]],Table13[#Data],11,FALSE),"")</f>
        <v/>
      </c>
    </row>
    <row r="5579" spans="1:9" hidden="1" x14ac:dyDescent="0.2">
      <c r="A5579" s="105" t="str">
        <f>IF(D5579=1,COUNTIF($D$10:D5579,1)," ")</f>
        <v xml:space="preserve"> </v>
      </c>
      <c r="B5579" s="106">
        <f>COPY!AR5571</f>
        <v>0</v>
      </c>
      <c r="C5579" s="107">
        <f>COPY!AC5571</f>
        <v>0</v>
      </c>
      <c r="D5579" s="107" t="str">
        <f>IF(LEN(Table1722[[#This Row],[Uraian]])&gt;2,1," ")</f>
        <v xml:space="preserve"> </v>
      </c>
      <c r="E5579" s="113" t="str">
        <f>IF(Table1722[[#This Row],[Lawan Transaksi]]="CV AGUNG KARYA",COUNTIF($I$10:I5579,"CV AGUNG KARYA")," ")</f>
        <v xml:space="preserve"> </v>
      </c>
      <c r="F5579" s="107" t="str">
        <f>IF(LEN(Table1722[[#This Row],[Uraian]])&gt;2,TRIM(RIGHT(SUBSTITUTE(TRIM(C5579)," ",REPT(" ",255)),255))," ")</f>
        <v xml:space="preserve"> </v>
      </c>
      <c r="G5579" s="110">
        <f>COPY!Z5571</f>
        <v>0</v>
      </c>
      <c r="H5579" s="111" t="str">
        <f>IFERROR(VLOOKUP(Table1722[[#This Row],[Bukti]],'Un nOTA'!$A$4:$K$5003,10,FALSE),"")</f>
        <v/>
      </c>
      <c r="I5579" s="123" t="str">
        <f>IFERROR(VLOOKUP(Table1722[[#This Row],[Bukti]],Table13[#Data],11,FALSE),"")</f>
        <v/>
      </c>
    </row>
    <row r="5580" spans="1:9" hidden="1" x14ac:dyDescent="0.2">
      <c r="A5580" s="105" t="str">
        <f>IF(D5580=1,COUNTIF($D$10:D5580,1)," ")</f>
        <v xml:space="preserve"> </v>
      </c>
      <c r="B5580" s="106">
        <f>COPY!AR5572</f>
        <v>0</v>
      </c>
      <c r="C5580" s="107">
        <f>COPY!AC5572</f>
        <v>0</v>
      </c>
      <c r="D5580" s="107" t="str">
        <f>IF(LEN(Table1722[[#This Row],[Uraian]])&gt;2,1," ")</f>
        <v xml:space="preserve"> </v>
      </c>
      <c r="E5580" s="113" t="str">
        <f>IF(Table1722[[#This Row],[Lawan Transaksi]]="CV AGUNG KARYA",COUNTIF($I$10:I5580,"CV AGUNG KARYA")," ")</f>
        <v xml:space="preserve"> </v>
      </c>
      <c r="F5580" s="107" t="str">
        <f>IF(LEN(Table1722[[#This Row],[Uraian]])&gt;2,TRIM(RIGHT(SUBSTITUTE(TRIM(C5580)," ",REPT(" ",255)),255))," ")</f>
        <v xml:space="preserve"> </v>
      </c>
      <c r="G5580" s="110">
        <f>COPY!Z5572</f>
        <v>0</v>
      </c>
      <c r="H5580" s="111" t="str">
        <f>IFERROR(VLOOKUP(Table1722[[#This Row],[Bukti]],'Un nOTA'!$A$4:$K$5003,10,FALSE),"")</f>
        <v/>
      </c>
      <c r="I5580" s="123" t="str">
        <f>IFERROR(VLOOKUP(Table1722[[#This Row],[Bukti]],Table13[#Data],11,FALSE),"")</f>
        <v/>
      </c>
    </row>
    <row r="5581" spans="1:9" hidden="1" x14ac:dyDescent="0.2">
      <c r="A5581" s="105" t="str">
        <f>IF(D5581=1,COUNTIF($D$10:D5581,1)," ")</f>
        <v xml:space="preserve"> </v>
      </c>
      <c r="B5581" s="106">
        <f>COPY!AR5573</f>
        <v>0</v>
      </c>
      <c r="C5581" s="107">
        <f>COPY!AC5573</f>
        <v>0</v>
      </c>
      <c r="D5581" s="107" t="str">
        <f>IF(LEN(Table1722[[#This Row],[Uraian]])&gt;2,1," ")</f>
        <v xml:space="preserve"> </v>
      </c>
      <c r="E5581" s="113" t="str">
        <f>IF(Table1722[[#This Row],[Lawan Transaksi]]="CV AGUNG KARYA",COUNTIF($I$10:I5581,"CV AGUNG KARYA")," ")</f>
        <v xml:space="preserve"> </v>
      </c>
      <c r="F5581" s="107" t="str">
        <f>IF(LEN(Table1722[[#This Row],[Uraian]])&gt;2,TRIM(RIGHT(SUBSTITUTE(TRIM(C5581)," ",REPT(" ",255)),255))," ")</f>
        <v xml:space="preserve"> </v>
      </c>
      <c r="G5581" s="110">
        <f>COPY!Z5573</f>
        <v>0</v>
      </c>
      <c r="H5581" s="111" t="str">
        <f>IFERROR(VLOOKUP(Table1722[[#This Row],[Bukti]],'Un nOTA'!$A$4:$K$5003,10,FALSE),"")</f>
        <v/>
      </c>
      <c r="I5581" s="123" t="str">
        <f>IFERROR(VLOOKUP(Table1722[[#This Row],[Bukti]],Table13[#Data],11,FALSE),"")</f>
        <v/>
      </c>
    </row>
    <row r="5582" spans="1:9" hidden="1" x14ac:dyDescent="0.2">
      <c r="A5582" s="105" t="str">
        <f>IF(D5582=1,COUNTIF($D$10:D5582,1)," ")</f>
        <v xml:space="preserve"> </v>
      </c>
      <c r="B5582" s="106">
        <f>COPY!AR5574</f>
        <v>0</v>
      </c>
      <c r="C5582" s="107">
        <f>COPY!AC5574</f>
        <v>0</v>
      </c>
      <c r="D5582" s="107" t="str">
        <f>IF(LEN(Table1722[[#This Row],[Uraian]])&gt;2,1," ")</f>
        <v xml:space="preserve"> </v>
      </c>
      <c r="E5582" s="113" t="str">
        <f>IF(Table1722[[#This Row],[Lawan Transaksi]]="CV AGUNG KARYA",COUNTIF($I$10:I5582,"CV AGUNG KARYA")," ")</f>
        <v xml:space="preserve"> </v>
      </c>
      <c r="F5582" s="107" t="str">
        <f>IF(LEN(Table1722[[#This Row],[Uraian]])&gt;2,TRIM(RIGHT(SUBSTITUTE(TRIM(C5582)," ",REPT(" ",255)),255))," ")</f>
        <v xml:space="preserve"> </v>
      </c>
      <c r="G5582" s="110">
        <f>COPY!Z5574</f>
        <v>0</v>
      </c>
      <c r="H5582" s="111" t="str">
        <f>IFERROR(VLOOKUP(Table1722[[#This Row],[Bukti]],'Un nOTA'!$A$4:$K$5003,10,FALSE),"")</f>
        <v/>
      </c>
      <c r="I5582" s="123" t="str">
        <f>IFERROR(VLOOKUP(Table1722[[#This Row],[Bukti]],Table13[#Data],11,FALSE),"")</f>
        <v/>
      </c>
    </row>
    <row r="5583" spans="1:9" hidden="1" x14ac:dyDescent="0.2">
      <c r="A5583" s="105" t="str">
        <f>IF(D5583=1,COUNTIF($D$10:D5583,1)," ")</f>
        <v xml:space="preserve"> </v>
      </c>
      <c r="B5583" s="106">
        <f>COPY!AR5575</f>
        <v>0</v>
      </c>
      <c r="C5583" s="107">
        <f>COPY!AC5575</f>
        <v>0</v>
      </c>
      <c r="D5583" s="107" t="str">
        <f>IF(LEN(Table1722[[#This Row],[Uraian]])&gt;2,1," ")</f>
        <v xml:space="preserve"> </v>
      </c>
      <c r="E5583" s="113" t="str">
        <f>IF(Table1722[[#This Row],[Lawan Transaksi]]="CV AGUNG KARYA",COUNTIF($I$10:I5583,"CV AGUNG KARYA")," ")</f>
        <v xml:space="preserve"> </v>
      </c>
      <c r="F5583" s="107" t="str">
        <f>IF(LEN(Table1722[[#This Row],[Uraian]])&gt;2,TRIM(RIGHT(SUBSTITUTE(TRIM(C5583)," ",REPT(" ",255)),255))," ")</f>
        <v xml:space="preserve"> </v>
      </c>
      <c r="G5583" s="110">
        <f>COPY!Z5575</f>
        <v>0</v>
      </c>
      <c r="H5583" s="111" t="str">
        <f>IFERROR(VLOOKUP(Table1722[[#This Row],[Bukti]],'Un nOTA'!$A$4:$K$5003,10,FALSE),"")</f>
        <v/>
      </c>
      <c r="I5583" s="123" t="str">
        <f>IFERROR(VLOOKUP(Table1722[[#This Row],[Bukti]],Table13[#Data],11,FALSE),"")</f>
        <v/>
      </c>
    </row>
    <row r="5584" spans="1:9" hidden="1" x14ac:dyDescent="0.2">
      <c r="A5584" s="105" t="str">
        <f>IF(D5584=1,COUNTIF($D$10:D5584,1)," ")</f>
        <v xml:space="preserve"> </v>
      </c>
      <c r="B5584" s="106">
        <f>COPY!AR5576</f>
        <v>0</v>
      </c>
      <c r="C5584" s="107">
        <f>COPY!AC5576</f>
        <v>0</v>
      </c>
      <c r="D5584" s="107" t="str">
        <f>IF(LEN(Table1722[[#This Row],[Uraian]])&gt;2,1," ")</f>
        <v xml:space="preserve"> </v>
      </c>
      <c r="E5584" s="113" t="str">
        <f>IF(Table1722[[#This Row],[Lawan Transaksi]]="CV AGUNG KARYA",COUNTIF($I$10:I5584,"CV AGUNG KARYA")," ")</f>
        <v xml:space="preserve"> </v>
      </c>
      <c r="F5584" s="107" t="str">
        <f>IF(LEN(Table1722[[#This Row],[Uraian]])&gt;2,TRIM(RIGHT(SUBSTITUTE(TRIM(C5584)," ",REPT(" ",255)),255))," ")</f>
        <v xml:space="preserve"> </v>
      </c>
      <c r="G5584" s="110">
        <f>COPY!Z5576</f>
        <v>0</v>
      </c>
      <c r="H5584" s="111" t="str">
        <f>IFERROR(VLOOKUP(Table1722[[#This Row],[Bukti]],'Un nOTA'!$A$4:$K$5003,10,FALSE),"")</f>
        <v/>
      </c>
      <c r="I5584" s="123" t="str">
        <f>IFERROR(VLOOKUP(Table1722[[#This Row],[Bukti]],Table13[#Data],11,FALSE),"")</f>
        <v/>
      </c>
    </row>
    <row r="5585" spans="1:9" hidden="1" x14ac:dyDescent="0.2">
      <c r="A5585" s="105" t="str">
        <f>IF(D5585=1,COUNTIF($D$10:D5585,1)," ")</f>
        <v xml:space="preserve"> </v>
      </c>
      <c r="B5585" s="106">
        <f>COPY!AR5577</f>
        <v>0</v>
      </c>
      <c r="C5585" s="107">
        <f>COPY!AC5577</f>
        <v>0</v>
      </c>
      <c r="D5585" s="107" t="str">
        <f>IF(LEN(Table1722[[#This Row],[Uraian]])&gt;2,1," ")</f>
        <v xml:space="preserve"> </v>
      </c>
      <c r="E5585" s="113" t="str">
        <f>IF(Table1722[[#This Row],[Lawan Transaksi]]="CV AGUNG KARYA",COUNTIF($I$10:I5585,"CV AGUNG KARYA")," ")</f>
        <v xml:space="preserve"> </v>
      </c>
      <c r="F5585" s="107" t="str">
        <f>IF(LEN(Table1722[[#This Row],[Uraian]])&gt;2,TRIM(RIGHT(SUBSTITUTE(TRIM(C5585)," ",REPT(" ",255)),255))," ")</f>
        <v xml:space="preserve"> </v>
      </c>
      <c r="G5585" s="110">
        <f>COPY!Z5577</f>
        <v>0</v>
      </c>
      <c r="H5585" s="111" t="str">
        <f>IFERROR(VLOOKUP(Table1722[[#This Row],[Bukti]],'Un nOTA'!$A$4:$K$5003,10,FALSE),"")</f>
        <v/>
      </c>
      <c r="I5585" s="123" t="str">
        <f>IFERROR(VLOOKUP(Table1722[[#This Row],[Bukti]],Table13[#Data],11,FALSE),"")</f>
        <v/>
      </c>
    </row>
    <row r="5586" spans="1:9" hidden="1" x14ac:dyDescent="0.2">
      <c r="A5586" s="105" t="str">
        <f>IF(D5586=1,COUNTIF($D$10:D5586,1)," ")</f>
        <v xml:space="preserve"> </v>
      </c>
      <c r="B5586" s="106">
        <f>COPY!AR5578</f>
        <v>0</v>
      </c>
      <c r="C5586" s="107">
        <f>COPY!AC5578</f>
        <v>0</v>
      </c>
      <c r="D5586" s="107" t="str">
        <f>IF(LEN(Table1722[[#This Row],[Uraian]])&gt;2,1," ")</f>
        <v xml:space="preserve"> </v>
      </c>
      <c r="E5586" s="113" t="str">
        <f>IF(Table1722[[#This Row],[Lawan Transaksi]]="CV AGUNG KARYA",COUNTIF($I$10:I5586,"CV AGUNG KARYA")," ")</f>
        <v xml:space="preserve"> </v>
      </c>
      <c r="F5586" s="107" t="str">
        <f>IF(LEN(Table1722[[#This Row],[Uraian]])&gt;2,TRIM(RIGHT(SUBSTITUTE(TRIM(C5586)," ",REPT(" ",255)),255))," ")</f>
        <v xml:space="preserve"> </v>
      </c>
      <c r="G5586" s="110">
        <f>COPY!Z5578</f>
        <v>0</v>
      </c>
      <c r="H5586" s="111" t="str">
        <f>IFERROR(VLOOKUP(Table1722[[#This Row],[Bukti]],'Un nOTA'!$A$4:$K$5003,10,FALSE),"")</f>
        <v/>
      </c>
      <c r="I5586" s="123" t="str">
        <f>IFERROR(VLOOKUP(Table1722[[#This Row],[Bukti]],Table13[#Data],11,FALSE),"")</f>
        <v/>
      </c>
    </row>
    <row r="5587" spans="1:9" hidden="1" x14ac:dyDescent="0.2">
      <c r="A5587" s="105" t="str">
        <f>IF(D5587=1,COUNTIF($D$10:D5587,1)," ")</f>
        <v xml:space="preserve"> </v>
      </c>
      <c r="B5587" s="106">
        <f>COPY!AR5579</f>
        <v>0</v>
      </c>
      <c r="C5587" s="107">
        <f>COPY!AC5579</f>
        <v>0</v>
      </c>
      <c r="D5587" s="107" t="str">
        <f>IF(LEN(Table1722[[#This Row],[Uraian]])&gt;2,1," ")</f>
        <v xml:space="preserve"> </v>
      </c>
      <c r="E5587" s="113" t="str">
        <f>IF(Table1722[[#This Row],[Lawan Transaksi]]="CV AGUNG KARYA",COUNTIF($I$10:I5587,"CV AGUNG KARYA")," ")</f>
        <v xml:space="preserve"> </v>
      </c>
      <c r="F5587" s="107" t="str">
        <f>IF(LEN(Table1722[[#This Row],[Uraian]])&gt;2,TRIM(RIGHT(SUBSTITUTE(TRIM(C5587)," ",REPT(" ",255)),255))," ")</f>
        <v xml:space="preserve"> </v>
      </c>
      <c r="G5587" s="110">
        <f>COPY!Z5579</f>
        <v>0</v>
      </c>
      <c r="H5587" s="111" t="str">
        <f>IFERROR(VLOOKUP(Table1722[[#This Row],[Bukti]],'Un nOTA'!$A$4:$K$5003,10,FALSE),"")</f>
        <v/>
      </c>
      <c r="I5587" s="123" t="str">
        <f>IFERROR(VLOOKUP(Table1722[[#This Row],[Bukti]],Table13[#Data],11,FALSE),"")</f>
        <v/>
      </c>
    </row>
    <row r="5588" spans="1:9" hidden="1" x14ac:dyDescent="0.2">
      <c r="A5588" s="105" t="str">
        <f>IF(D5588=1,COUNTIF($D$10:D5588,1)," ")</f>
        <v xml:space="preserve"> </v>
      </c>
      <c r="B5588" s="106">
        <f>COPY!AR5580</f>
        <v>0</v>
      </c>
      <c r="C5588" s="107">
        <f>COPY!AC5580</f>
        <v>0</v>
      </c>
      <c r="D5588" s="107" t="str">
        <f>IF(LEN(Table1722[[#This Row],[Uraian]])&gt;2,1," ")</f>
        <v xml:space="preserve"> </v>
      </c>
      <c r="E5588" s="113" t="str">
        <f>IF(Table1722[[#This Row],[Lawan Transaksi]]="CV AGUNG KARYA",COUNTIF($I$10:I5588,"CV AGUNG KARYA")," ")</f>
        <v xml:space="preserve"> </v>
      </c>
      <c r="F5588" s="107" t="str">
        <f>IF(LEN(Table1722[[#This Row],[Uraian]])&gt;2,TRIM(RIGHT(SUBSTITUTE(TRIM(C5588)," ",REPT(" ",255)),255))," ")</f>
        <v xml:space="preserve"> </v>
      </c>
      <c r="G5588" s="110">
        <f>COPY!Z5580</f>
        <v>0</v>
      </c>
      <c r="H5588" s="111" t="str">
        <f>IFERROR(VLOOKUP(Table1722[[#This Row],[Bukti]],'Un nOTA'!$A$4:$K$5003,10,FALSE),"")</f>
        <v/>
      </c>
      <c r="I5588" s="123" t="str">
        <f>IFERROR(VLOOKUP(Table1722[[#This Row],[Bukti]],Table13[#Data],11,FALSE),"")</f>
        <v/>
      </c>
    </row>
    <row r="5589" spans="1:9" hidden="1" x14ac:dyDescent="0.2">
      <c r="A5589" s="105" t="str">
        <f>IF(D5589=1,COUNTIF($D$10:D5589,1)," ")</f>
        <v xml:space="preserve"> </v>
      </c>
      <c r="B5589" s="106">
        <f>COPY!AR5581</f>
        <v>0</v>
      </c>
      <c r="C5589" s="107">
        <f>COPY!AC5581</f>
        <v>0</v>
      </c>
      <c r="D5589" s="107" t="str">
        <f>IF(LEN(Table1722[[#This Row],[Uraian]])&gt;2,1," ")</f>
        <v xml:space="preserve"> </v>
      </c>
      <c r="E5589" s="113" t="str">
        <f>IF(Table1722[[#This Row],[Lawan Transaksi]]="CV AGUNG KARYA",COUNTIF($I$10:I5589,"CV AGUNG KARYA")," ")</f>
        <v xml:space="preserve"> </v>
      </c>
      <c r="F5589" s="107" t="str">
        <f>IF(LEN(Table1722[[#This Row],[Uraian]])&gt;2,TRIM(RIGHT(SUBSTITUTE(TRIM(C5589)," ",REPT(" ",255)),255))," ")</f>
        <v xml:space="preserve"> </v>
      </c>
      <c r="G5589" s="110">
        <f>COPY!Z5581</f>
        <v>0</v>
      </c>
      <c r="H5589" s="111" t="str">
        <f>IFERROR(VLOOKUP(Table1722[[#This Row],[Bukti]],'Un nOTA'!$A$4:$K$5003,10,FALSE),"")</f>
        <v/>
      </c>
      <c r="I5589" s="123" t="str">
        <f>IFERROR(VLOOKUP(Table1722[[#This Row],[Bukti]],Table13[#Data],11,FALSE),"")</f>
        <v/>
      </c>
    </row>
    <row r="5590" spans="1:9" hidden="1" x14ac:dyDescent="0.2">
      <c r="A5590" s="105" t="str">
        <f>IF(D5590=1,COUNTIF($D$10:D5590,1)," ")</f>
        <v xml:space="preserve"> </v>
      </c>
      <c r="B5590" s="106">
        <f>COPY!AR5582</f>
        <v>0</v>
      </c>
      <c r="C5590" s="107">
        <f>COPY!AC5582</f>
        <v>0</v>
      </c>
      <c r="D5590" s="107" t="str">
        <f>IF(LEN(Table1722[[#This Row],[Uraian]])&gt;2,1," ")</f>
        <v xml:space="preserve"> </v>
      </c>
      <c r="E5590" s="113" t="str">
        <f>IF(Table1722[[#This Row],[Lawan Transaksi]]="CV AGUNG KARYA",COUNTIF($I$10:I5590,"CV AGUNG KARYA")," ")</f>
        <v xml:space="preserve"> </v>
      </c>
      <c r="F5590" s="107" t="str">
        <f>IF(LEN(Table1722[[#This Row],[Uraian]])&gt;2,TRIM(RIGHT(SUBSTITUTE(TRIM(C5590)," ",REPT(" ",255)),255))," ")</f>
        <v xml:space="preserve"> </v>
      </c>
      <c r="G5590" s="110">
        <f>COPY!Z5582</f>
        <v>0</v>
      </c>
      <c r="H5590" s="111" t="str">
        <f>IFERROR(VLOOKUP(Table1722[[#This Row],[Bukti]],'Un nOTA'!$A$4:$K$5003,10,FALSE),"")</f>
        <v/>
      </c>
      <c r="I5590" s="123" t="str">
        <f>IFERROR(VLOOKUP(Table1722[[#This Row],[Bukti]],Table13[#Data],11,FALSE),"")</f>
        <v/>
      </c>
    </row>
    <row r="5591" spans="1:9" hidden="1" x14ac:dyDescent="0.2">
      <c r="A5591" s="105" t="str">
        <f>IF(D5591=1,COUNTIF($D$10:D5591,1)," ")</f>
        <v xml:space="preserve"> </v>
      </c>
      <c r="B5591" s="106">
        <f>COPY!AR5583</f>
        <v>0</v>
      </c>
      <c r="C5591" s="107">
        <f>COPY!AC5583</f>
        <v>0</v>
      </c>
      <c r="D5591" s="107" t="str">
        <f>IF(LEN(Table1722[[#This Row],[Uraian]])&gt;2,1," ")</f>
        <v xml:space="preserve"> </v>
      </c>
      <c r="E5591" s="113" t="str">
        <f>IF(Table1722[[#This Row],[Lawan Transaksi]]="CV AGUNG KARYA",COUNTIF($I$10:I5591,"CV AGUNG KARYA")," ")</f>
        <v xml:space="preserve"> </v>
      </c>
      <c r="F5591" s="107" t="str">
        <f>IF(LEN(Table1722[[#This Row],[Uraian]])&gt;2,TRIM(RIGHT(SUBSTITUTE(TRIM(C5591)," ",REPT(" ",255)),255))," ")</f>
        <v xml:space="preserve"> </v>
      </c>
      <c r="G5591" s="110">
        <f>COPY!Z5583</f>
        <v>0</v>
      </c>
      <c r="H5591" s="111" t="str">
        <f>IFERROR(VLOOKUP(Table1722[[#This Row],[Bukti]],'Un nOTA'!$A$4:$K$5003,10,FALSE),"")</f>
        <v/>
      </c>
      <c r="I5591" s="123" t="str">
        <f>IFERROR(VLOOKUP(Table1722[[#This Row],[Bukti]],Table13[#Data],11,FALSE),"")</f>
        <v/>
      </c>
    </row>
    <row r="5592" spans="1:9" hidden="1" x14ac:dyDescent="0.2">
      <c r="A5592" s="105" t="str">
        <f>IF(D5592=1,COUNTIF($D$10:D5592,1)," ")</f>
        <v xml:space="preserve"> </v>
      </c>
      <c r="B5592" s="106">
        <f>COPY!AR5584</f>
        <v>0</v>
      </c>
      <c r="C5592" s="107">
        <f>COPY!AC5584</f>
        <v>0</v>
      </c>
      <c r="D5592" s="107" t="str">
        <f>IF(LEN(Table1722[[#This Row],[Uraian]])&gt;2,1," ")</f>
        <v xml:space="preserve"> </v>
      </c>
      <c r="E5592" s="113" t="str">
        <f>IF(Table1722[[#This Row],[Lawan Transaksi]]="CV AGUNG KARYA",COUNTIF($I$10:I5592,"CV AGUNG KARYA")," ")</f>
        <v xml:space="preserve"> </v>
      </c>
      <c r="F5592" s="107" t="str">
        <f>IF(LEN(Table1722[[#This Row],[Uraian]])&gt;2,TRIM(RIGHT(SUBSTITUTE(TRIM(C5592)," ",REPT(" ",255)),255))," ")</f>
        <v xml:space="preserve"> </v>
      </c>
      <c r="G5592" s="110">
        <f>COPY!Z5584</f>
        <v>0</v>
      </c>
      <c r="H5592" s="111" t="str">
        <f>IFERROR(VLOOKUP(Table1722[[#This Row],[Bukti]],'Un nOTA'!$A$4:$K$5003,10,FALSE),"")</f>
        <v/>
      </c>
      <c r="I5592" s="123" t="str">
        <f>IFERROR(VLOOKUP(Table1722[[#This Row],[Bukti]],Table13[#Data],11,FALSE),"")</f>
        <v/>
      </c>
    </row>
    <row r="5593" spans="1:9" hidden="1" x14ac:dyDescent="0.2">
      <c r="A5593" s="105" t="str">
        <f>IF(D5593=1,COUNTIF($D$10:D5593,1)," ")</f>
        <v xml:space="preserve"> </v>
      </c>
      <c r="B5593" s="106">
        <f>COPY!AR5585</f>
        <v>0</v>
      </c>
      <c r="C5593" s="107">
        <f>COPY!AC5585</f>
        <v>0</v>
      </c>
      <c r="D5593" s="107" t="str">
        <f>IF(LEN(Table1722[[#This Row],[Uraian]])&gt;2,1," ")</f>
        <v xml:space="preserve"> </v>
      </c>
      <c r="E5593" s="113" t="str">
        <f>IF(Table1722[[#This Row],[Lawan Transaksi]]="CV AGUNG KARYA",COUNTIF($I$10:I5593,"CV AGUNG KARYA")," ")</f>
        <v xml:space="preserve"> </v>
      </c>
      <c r="F5593" s="107" t="str">
        <f>IF(LEN(Table1722[[#This Row],[Uraian]])&gt;2,TRIM(RIGHT(SUBSTITUTE(TRIM(C5593)," ",REPT(" ",255)),255))," ")</f>
        <v xml:space="preserve"> </v>
      </c>
      <c r="G5593" s="110">
        <f>COPY!Z5585</f>
        <v>0</v>
      </c>
      <c r="H5593" s="111" t="str">
        <f>IFERROR(VLOOKUP(Table1722[[#This Row],[Bukti]],'Un nOTA'!$A$4:$K$5003,10,FALSE),"")</f>
        <v/>
      </c>
      <c r="I5593" s="123" t="str">
        <f>IFERROR(VLOOKUP(Table1722[[#This Row],[Bukti]],Table13[#Data],11,FALSE),"")</f>
        <v/>
      </c>
    </row>
    <row r="5594" spans="1:9" hidden="1" x14ac:dyDescent="0.2">
      <c r="A5594" s="105" t="str">
        <f>IF(D5594=1,COUNTIF($D$10:D5594,1)," ")</f>
        <v xml:space="preserve"> </v>
      </c>
      <c r="B5594" s="106">
        <f>COPY!AR5586</f>
        <v>0</v>
      </c>
      <c r="C5594" s="107">
        <f>COPY!AC5586</f>
        <v>0</v>
      </c>
      <c r="D5594" s="107" t="str">
        <f>IF(LEN(Table1722[[#This Row],[Uraian]])&gt;2,1," ")</f>
        <v xml:space="preserve"> </v>
      </c>
      <c r="E5594" s="113" t="str">
        <f>IF(Table1722[[#This Row],[Lawan Transaksi]]="CV AGUNG KARYA",COUNTIF($I$10:I5594,"CV AGUNG KARYA")," ")</f>
        <v xml:space="preserve"> </v>
      </c>
      <c r="F5594" s="107" t="str">
        <f>IF(LEN(Table1722[[#This Row],[Uraian]])&gt;2,TRIM(RIGHT(SUBSTITUTE(TRIM(C5594)," ",REPT(" ",255)),255))," ")</f>
        <v xml:space="preserve"> </v>
      </c>
      <c r="G5594" s="110">
        <f>COPY!Z5586</f>
        <v>0</v>
      </c>
      <c r="H5594" s="111" t="str">
        <f>IFERROR(VLOOKUP(Table1722[[#This Row],[Bukti]],'Un nOTA'!$A$4:$K$5003,10,FALSE),"")</f>
        <v/>
      </c>
      <c r="I5594" s="123" t="str">
        <f>IFERROR(VLOOKUP(Table1722[[#This Row],[Bukti]],Table13[#Data],11,FALSE),"")</f>
        <v/>
      </c>
    </row>
    <row r="5595" spans="1:9" hidden="1" x14ac:dyDescent="0.2">
      <c r="A5595" s="105" t="str">
        <f>IF(D5595=1,COUNTIF($D$10:D5595,1)," ")</f>
        <v xml:space="preserve"> </v>
      </c>
      <c r="B5595" s="106">
        <f>COPY!AR5587</f>
        <v>0</v>
      </c>
      <c r="C5595" s="107">
        <f>COPY!AC5587</f>
        <v>0</v>
      </c>
      <c r="D5595" s="107" t="str">
        <f>IF(LEN(Table1722[[#This Row],[Uraian]])&gt;2,1," ")</f>
        <v xml:space="preserve"> </v>
      </c>
      <c r="E5595" s="113" t="str">
        <f>IF(Table1722[[#This Row],[Lawan Transaksi]]="CV AGUNG KARYA",COUNTIF($I$10:I5595,"CV AGUNG KARYA")," ")</f>
        <v xml:space="preserve"> </v>
      </c>
      <c r="F5595" s="107" t="str">
        <f>IF(LEN(Table1722[[#This Row],[Uraian]])&gt;2,TRIM(RIGHT(SUBSTITUTE(TRIM(C5595)," ",REPT(" ",255)),255))," ")</f>
        <v xml:space="preserve"> </v>
      </c>
      <c r="G5595" s="110">
        <f>COPY!Z5587</f>
        <v>0</v>
      </c>
      <c r="H5595" s="111" t="str">
        <f>IFERROR(VLOOKUP(Table1722[[#This Row],[Bukti]],'Un nOTA'!$A$4:$K$5003,10,FALSE),"")</f>
        <v/>
      </c>
      <c r="I5595" s="123" t="str">
        <f>IFERROR(VLOOKUP(Table1722[[#This Row],[Bukti]],Table13[#Data],11,FALSE),"")</f>
        <v/>
      </c>
    </row>
    <row r="5596" spans="1:9" hidden="1" x14ac:dyDescent="0.2">
      <c r="A5596" s="105" t="str">
        <f>IF(D5596=1,COUNTIF($D$10:D5596,1)," ")</f>
        <v xml:space="preserve"> </v>
      </c>
      <c r="B5596" s="106">
        <f>COPY!AR5588</f>
        <v>0</v>
      </c>
      <c r="C5596" s="107">
        <f>COPY!AC5588</f>
        <v>0</v>
      </c>
      <c r="D5596" s="107" t="str">
        <f>IF(LEN(Table1722[[#This Row],[Uraian]])&gt;2,1," ")</f>
        <v xml:space="preserve"> </v>
      </c>
      <c r="E5596" s="113" t="str">
        <f>IF(Table1722[[#This Row],[Lawan Transaksi]]="CV AGUNG KARYA",COUNTIF($I$10:I5596,"CV AGUNG KARYA")," ")</f>
        <v xml:space="preserve"> </v>
      </c>
      <c r="F5596" s="107" t="str">
        <f>IF(LEN(Table1722[[#This Row],[Uraian]])&gt;2,TRIM(RIGHT(SUBSTITUTE(TRIM(C5596)," ",REPT(" ",255)),255))," ")</f>
        <v xml:space="preserve"> </v>
      </c>
      <c r="G5596" s="110">
        <f>COPY!Z5588</f>
        <v>0</v>
      </c>
      <c r="H5596" s="111" t="str">
        <f>IFERROR(VLOOKUP(Table1722[[#This Row],[Bukti]],'Un nOTA'!$A$4:$K$5003,10,FALSE),"")</f>
        <v/>
      </c>
      <c r="I5596" s="123" t="str">
        <f>IFERROR(VLOOKUP(Table1722[[#This Row],[Bukti]],Table13[#Data],11,FALSE),"")</f>
        <v/>
      </c>
    </row>
    <row r="5597" spans="1:9" hidden="1" x14ac:dyDescent="0.2">
      <c r="A5597" s="105" t="str">
        <f>IF(D5597=1,COUNTIF($D$10:D5597,1)," ")</f>
        <v xml:space="preserve"> </v>
      </c>
      <c r="B5597" s="106">
        <f>COPY!AR5589</f>
        <v>0</v>
      </c>
      <c r="C5597" s="107">
        <f>COPY!AC5589</f>
        <v>0</v>
      </c>
      <c r="D5597" s="107" t="str">
        <f>IF(LEN(Table1722[[#This Row],[Uraian]])&gt;2,1," ")</f>
        <v xml:space="preserve"> </v>
      </c>
      <c r="E5597" s="113" t="str">
        <f>IF(Table1722[[#This Row],[Lawan Transaksi]]="CV AGUNG KARYA",COUNTIF($I$10:I5597,"CV AGUNG KARYA")," ")</f>
        <v xml:space="preserve"> </v>
      </c>
      <c r="F5597" s="107" t="str">
        <f>IF(LEN(Table1722[[#This Row],[Uraian]])&gt;2,TRIM(RIGHT(SUBSTITUTE(TRIM(C5597)," ",REPT(" ",255)),255))," ")</f>
        <v xml:space="preserve"> </v>
      </c>
      <c r="G5597" s="110">
        <f>COPY!Z5589</f>
        <v>0</v>
      </c>
      <c r="H5597" s="111" t="str">
        <f>IFERROR(VLOOKUP(Table1722[[#This Row],[Bukti]],'Un nOTA'!$A$4:$K$5003,10,FALSE),"")</f>
        <v/>
      </c>
      <c r="I5597" s="123" t="str">
        <f>IFERROR(VLOOKUP(Table1722[[#This Row],[Bukti]],Table13[#Data],11,FALSE),"")</f>
        <v/>
      </c>
    </row>
    <row r="5598" spans="1:9" hidden="1" x14ac:dyDescent="0.2">
      <c r="A5598" s="105" t="str">
        <f>IF(D5598=1,COUNTIF($D$10:D5598,1)," ")</f>
        <v xml:space="preserve"> </v>
      </c>
      <c r="B5598" s="106">
        <f>COPY!AR5590</f>
        <v>0</v>
      </c>
      <c r="C5598" s="107">
        <f>COPY!AC5590</f>
        <v>0</v>
      </c>
      <c r="D5598" s="107" t="str">
        <f>IF(LEN(Table1722[[#This Row],[Uraian]])&gt;2,1," ")</f>
        <v xml:space="preserve"> </v>
      </c>
      <c r="E5598" s="113" t="str">
        <f>IF(Table1722[[#This Row],[Lawan Transaksi]]="CV AGUNG KARYA",COUNTIF($I$10:I5598,"CV AGUNG KARYA")," ")</f>
        <v xml:space="preserve"> </v>
      </c>
      <c r="F5598" s="107" t="str">
        <f>IF(LEN(Table1722[[#This Row],[Uraian]])&gt;2,TRIM(RIGHT(SUBSTITUTE(TRIM(C5598)," ",REPT(" ",255)),255))," ")</f>
        <v xml:space="preserve"> </v>
      </c>
      <c r="G5598" s="110">
        <f>COPY!Z5590</f>
        <v>0</v>
      </c>
      <c r="H5598" s="111" t="str">
        <f>IFERROR(VLOOKUP(Table1722[[#This Row],[Bukti]],'Un nOTA'!$A$4:$K$5003,10,FALSE),"")</f>
        <v/>
      </c>
      <c r="I5598" s="123" t="str">
        <f>IFERROR(VLOOKUP(Table1722[[#This Row],[Bukti]],Table13[#Data],11,FALSE),"")</f>
        <v/>
      </c>
    </row>
    <row r="5599" spans="1:9" hidden="1" x14ac:dyDescent="0.2">
      <c r="A5599" s="105" t="str">
        <f>IF(D5599=1,COUNTIF($D$10:D5599,1)," ")</f>
        <v xml:space="preserve"> </v>
      </c>
      <c r="B5599" s="106">
        <f>COPY!AR5591</f>
        <v>0</v>
      </c>
      <c r="C5599" s="107">
        <f>COPY!AC5591</f>
        <v>0</v>
      </c>
      <c r="D5599" s="107" t="str">
        <f>IF(LEN(Table1722[[#This Row],[Uraian]])&gt;2,1," ")</f>
        <v xml:space="preserve"> </v>
      </c>
      <c r="E5599" s="113" t="str">
        <f>IF(Table1722[[#This Row],[Lawan Transaksi]]="CV AGUNG KARYA",COUNTIF($I$10:I5599,"CV AGUNG KARYA")," ")</f>
        <v xml:space="preserve"> </v>
      </c>
      <c r="F5599" s="107" t="str">
        <f>IF(LEN(Table1722[[#This Row],[Uraian]])&gt;2,TRIM(RIGHT(SUBSTITUTE(TRIM(C5599)," ",REPT(" ",255)),255))," ")</f>
        <v xml:space="preserve"> </v>
      </c>
      <c r="G5599" s="110">
        <f>COPY!Z5591</f>
        <v>0</v>
      </c>
      <c r="H5599" s="111" t="str">
        <f>IFERROR(VLOOKUP(Table1722[[#This Row],[Bukti]],'Un nOTA'!$A$4:$K$5003,10,FALSE),"")</f>
        <v/>
      </c>
      <c r="I5599" s="123" t="str">
        <f>IFERROR(VLOOKUP(Table1722[[#This Row],[Bukti]],Table13[#Data],11,FALSE),"")</f>
        <v/>
      </c>
    </row>
    <row r="5600" spans="1:9" hidden="1" x14ac:dyDescent="0.2">
      <c r="A5600" s="105" t="str">
        <f>IF(D5600=1,COUNTIF($D$10:D5600,1)," ")</f>
        <v xml:space="preserve"> </v>
      </c>
      <c r="B5600" s="106">
        <f>COPY!AR5592</f>
        <v>0</v>
      </c>
      <c r="C5600" s="107">
        <f>COPY!AC5592</f>
        <v>0</v>
      </c>
      <c r="D5600" s="107" t="str">
        <f>IF(LEN(Table1722[[#This Row],[Uraian]])&gt;2,1," ")</f>
        <v xml:space="preserve"> </v>
      </c>
      <c r="E5600" s="113" t="str">
        <f>IF(Table1722[[#This Row],[Lawan Transaksi]]="CV AGUNG KARYA",COUNTIF($I$10:I5600,"CV AGUNG KARYA")," ")</f>
        <v xml:space="preserve"> </v>
      </c>
      <c r="F5600" s="107" t="str">
        <f>IF(LEN(Table1722[[#This Row],[Uraian]])&gt;2,TRIM(RIGHT(SUBSTITUTE(TRIM(C5600)," ",REPT(" ",255)),255))," ")</f>
        <v xml:space="preserve"> </v>
      </c>
      <c r="G5600" s="110">
        <f>COPY!Z5592</f>
        <v>0</v>
      </c>
      <c r="H5600" s="111" t="str">
        <f>IFERROR(VLOOKUP(Table1722[[#This Row],[Bukti]],'Un nOTA'!$A$4:$K$5003,10,FALSE),"")</f>
        <v/>
      </c>
      <c r="I5600" s="123" t="str">
        <f>IFERROR(VLOOKUP(Table1722[[#This Row],[Bukti]],Table13[#Data],11,FALSE),"")</f>
        <v/>
      </c>
    </row>
    <row r="5601" spans="1:9" hidden="1" x14ac:dyDescent="0.2">
      <c r="A5601" s="105" t="str">
        <f>IF(D5601=1,COUNTIF($D$10:D5601,1)," ")</f>
        <v xml:space="preserve"> </v>
      </c>
      <c r="B5601" s="106">
        <f>COPY!AR5593</f>
        <v>0</v>
      </c>
      <c r="C5601" s="107">
        <f>COPY!AC5593</f>
        <v>0</v>
      </c>
      <c r="D5601" s="107" t="str">
        <f>IF(LEN(Table1722[[#This Row],[Uraian]])&gt;2,1," ")</f>
        <v xml:space="preserve"> </v>
      </c>
      <c r="E5601" s="113" t="str">
        <f>IF(Table1722[[#This Row],[Lawan Transaksi]]="CV AGUNG KARYA",COUNTIF($I$10:I5601,"CV AGUNG KARYA")," ")</f>
        <v xml:space="preserve"> </v>
      </c>
      <c r="F5601" s="107" t="str">
        <f>IF(LEN(Table1722[[#This Row],[Uraian]])&gt;2,TRIM(RIGHT(SUBSTITUTE(TRIM(C5601)," ",REPT(" ",255)),255))," ")</f>
        <v xml:space="preserve"> </v>
      </c>
      <c r="G5601" s="110">
        <f>COPY!Z5593</f>
        <v>0</v>
      </c>
      <c r="H5601" s="111" t="str">
        <f>IFERROR(VLOOKUP(Table1722[[#This Row],[Bukti]],'Un nOTA'!$A$4:$K$5003,10,FALSE),"")</f>
        <v/>
      </c>
      <c r="I5601" s="123" t="str">
        <f>IFERROR(VLOOKUP(Table1722[[#This Row],[Bukti]],Table13[#Data],11,FALSE),"")</f>
        <v/>
      </c>
    </row>
    <row r="5602" spans="1:9" hidden="1" x14ac:dyDescent="0.2">
      <c r="A5602" s="105" t="str">
        <f>IF(D5602=1,COUNTIF($D$10:D5602,1)," ")</f>
        <v xml:space="preserve"> </v>
      </c>
      <c r="B5602" s="106">
        <f>COPY!AR5594</f>
        <v>0</v>
      </c>
      <c r="C5602" s="107">
        <f>COPY!AC5594</f>
        <v>0</v>
      </c>
      <c r="D5602" s="107" t="str">
        <f>IF(LEN(Table1722[[#This Row],[Uraian]])&gt;2,1," ")</f>
        <v xml:space="preserve"> </v>
      </c>
      <c r="E5602" s="113" t="str">
        <f>IF(Table1722[[#This Row],[Lawan Transaksi]]="CV AGUNG KARYA",COUNTIF($I$10:I5602,"CV AGUNG KARYA")," ")</f>
        <v xml:space="preserve"> </v>
      </c>
      <c r="F5602" s="107" t="str">
        <f>IF(LEN(Table1722[[#This Row],[Uraian]])&gt;2,TRIM(RIGHT(SUBSTITUTE(TRIM(C5602)," ",REPT(" ",255)),255))," ")</f>
        <v xml:space="preserve"> </v>
      </c>
      <c r="G5602" s="110">
        <f>COPY!Z5594</f>
        <v>0</v>
      </c>
      <c r="H5602" s="111" t="str">
        <f>IFERROR(VLOOKUP(Table1722[[#This Row],[Bukti]],'Un nOTA'!$A$4:$K$5003,10,FALSE),"")</f>
        <v/>
      </c>
      <c r="I5602" s="123" t="str">
        <f>IFERROR(VLOOKUP(Table1722[[#This Row],[Bukti]],Table13[#Data],11,FALSE),"")</f>
        <v/>
      </c>
    </row>
    <row r="5603" spans="1:9" hidden="1" x14ac:dyDescent="0.2">
      <c r="A5603" s="105" t="str">
        <f>IF(D5603=1,COUNTIF($D$10:D5603,1)," ")</f>
        <v xml:space="preserve"> </v>
      </c>
      <c r="B5603" s="106">
        <f>COPY!AR5595</f>
        <v>0</v>
      </c>
      <c r="C5603" s="107">
        <f>COPY!AC5595</f>
        <v>0</v>
      </c>
      <c r="D5603" s="107" t="str">
        <f>IF(LEN(Table1722[[#This Row],[Uraian]])&gt;2,1," ")</f>
        <v xml:space="preserve"> </v>
      </c>
      <c r="E5603" s="113" t="str">
        <f>IF(Table1722[[#This Row],[Lawan Transaksi]]="CV AGUNG KARYA",COUNTIF($I$10:I5603,"CV AGUNG KARYA")," ")</f>
        <v xml:space="preserve"> </v>
      </c>
      <c r="F5603" s="107" t="str">
        <f>IF(LEN(Table1722[[#This Row],[Uraian]])&gt;2,TRIM(RIGHT(SUBSTITUTE(TRIM(C5603)," ",REPT(" ",255)),255))," ")</f>
        <v xml:space="preserve"> </v>
      </c>
      <c r="G5603" s="110">
        <f>COPY!Z5595</f>
        <v>0</v>
      </c>
      <c r="H5603" s="111" t="str">
        <f>IFERROR(VLOOKUP(Table1722[[#This Row],[Bukti]],'Un nOTA'!$A$4:$K$5003,10,FALSE),"")</f>
        <v/>
      </c>
      <c r="I5603" s="123" t="str">
        <f>IFERROR(VLOOKUP(Table1722[[#This Row],[Bukti]],Table13[#Data],11,FALSE),"")</f>
        <v/>
      </c>
    </row>
    <row r="5604" spans="1:9" hidden="1" x14ac:dyDescent="0.2">
      <c r="A5604" s="105" t="str">
        <f>IF(D5604=1,COUNTIF($D$10:D5604,1)," ")</f>
        <v xml:space="preserve"> </v>
      </c>
      <c r="B5604" s="106">
        <f>COPY!AR5596</f>
        <v>0</v>
      </c>
      <c r="C5604" s="107">
        <f>COPY!AC5596</f>
        <v>0</v>
      </c>
      <c r="D5604" s="107" t="str">
        <f>IF(LEN(Table1722[[#This Row],[Uraian]])&gt;2,1," ")</f>
        <v xml:space="preserve"> </v>
      </c>
      <c r="E5604" s="113" t="str">
        <f>IF(Table1722[[#This Row],[Lawan Transaksi]]="CV AGUNG KARYA",COUNTIF($I$10:I5604,"CV AGUNG KARYA")," ")</f>
        <v xml:space="preserve"> </v>
      </c>
      <c r="F5604" s="107" t="str">
        <f>IF(LEN(Table1722[[#This Row],[Uraian]])&gt;2,TRIM(RIGHT(SUBSTITUTE(TRIM(C5604)," ",REPT(" ",255)),255))," ")</f>
        <v xml:space="preserve"> </v>
      </c>
      <c r="G5604" s="110">
        <f>COPY!Z5596</f>
        <v>0</v>
      </c>
      <c r="H5604" s="111" t="str">
        <f>IFERROR(VLOOKUP(Table1722[[#This Row],[Bukti]],'Un nOTA'!$A$4:$K$5003,10,FALSE),"")</f>
        <v/>
      </c>
      <c r="I5604" s="123" t="str">
        <f>IFERROR(VLOOKUP(Table1722[[#This Row],[Bukti]],Table13[#Data],11,FALSE),"")</f>
        <v/>
      </c>
    </row>
    <row r="5605" spans="1:9" hidden="1" x14ac:dyDescent="0.2">
      <c r="A5605" s="105" t="str">
        <f>IF(D5605=1,COUNTIF($D$10:D5605,1)," ")</f>
        <v xml:space="preserve"> </v>
      </c>
      <c r="B5605" s="106">
        <f>COPY!AR5597</f>
        <v>0</v>
      </c>
      <c r="C5605" s="107">
        <f>COPY!AC5597</f>
        <v>0</v>
      </c>
      <c r="D5605" s="107" t="str">
        <f>IF(LEN(Table1722[[#This Row],[Uraian]])&gt;2,1," ")</f>
        <v xml:space="preserve"> </v>
      </c>
      <c r="E5605" s="113" t="str">
        <f>IF(Table1722[[#This Row],[Lawan Transaksi]]="CV AGUNG KARYA",COUNTIF($I$10:I5605,"CV AGUNG KARYA")," ")</f>
        <v xml:space="preserve"> </v>
      </c>
      <c r="F5605" s="107" t="str">
        <f>IF(LEN(Table1722[[#This Row],[Uraian]])&gt;2,TRIM(RIGHT(SUBSTITUTE(TRIM(C5605)," ",REPT(" ",255)),255))," ")</f>
        <v xml:space="preserve"> </v>
      </c>
      <c r="G5605" s="110">
        <f>COPY!Z5597</f>
        <v>0</v>
      </c>
      <c r="H5605" s="111" t="str">
        <f>IFERROR(VLOOKUP(Table1722[[#This Row],[Bukti]],'Un nOTA'!$A$4:$K$5003,10,FALSE),"")</f>
        <v/>
      </c>
      <c r="I5605" s="123" t="str">
        <f>IFERROR(VLOOKUP(Table1722[[#This Row],[Bukti]],Table13[#Data],11,FALSE),"")</f>
        <v/>
      </c>
    </row>
    <row r="5606" spans="1:9" hidden="1" x14ac:dyDescent="0.2">
      <c r="A5606" s="105" t="str">
        <f>IF(D5606=1,COUNTIF($D$10:D5606,1)," ")</f>
        <v xml:space="preserve"> </v>
      </c>
      <c r="B5606" s="106">
        <f>COPY!AR5598</f>
        <v>0</v>
      </c>
      <c r="C5606" s="107">
        <f>COPY!AC5598</f>
        <v>0</v>
      </c>
      <c r="D5606" s="107" t="str">
        <f>IF(LEN(Table1722[[#This Row],[Uraian]])&gt;2,1," ")</f>
        <v xml:space="preserve"> </v>
      </c>
      <c r="E5606" s="113" t="str">
        <f>IF(Table1722[[#This Row],[Lawan Transaksi]]="CV AGUNG KARYA",COUNTIF($I$10:I5606,"CV AGUNG KARYA")," ")</f>
        <v xml:space="preserve"> </v>
      </c>
      <c r="F5606" s="107" t="str">
        <f>IF(LEN(Table1722[[#This Row],[Uraian]])&gt;2,TRIM(RIGHT(SUBSTITUTE(TRIM(C5606)," ",REPT(" ",255)),255))," ")</f>
        <v xml:space="preserve"> </v>
      </c>
      <c r="G5606" s="110">
        <f>COPY!Z5598</f>
        <v>0</v>
      </c>
      <c r="H5606" s="111" t="str">
        <f>IFERROR(VLOOKUP(Table1722[[#This Row],[Bukti]],'Un nOTA'!$A$4:$K$5003,10,FALSE),"")</f>
        <v/>
      </c>
      <c r="I5606" s="123" t="str">
        <f>IFERROR(VLOOKUP(Table1722[[#This Row],[Bukti]],Table13[#Data],11,FALSE),"")</f>
        <v/>
      </c>
    </row>
    <row r="5607" spans="1:9" hidden="1" x14ac:dyDescent="0.2">
      <c r="A5607" s="105" t="str">
        <f>IF(D5607=1,COUNTIF($D$10:D5607,1)," ")</f>
        <v xml:space="preserve"> </v>
      </c>
      <c r="B5607" s="106">
        <f>COPY!AR5599</f>
        <v>0</v>
      </c>
      <c r="C5607" s="107">
        <f>COPY!AC5599</f>
        <v>0</v>
      </c>
      <c r="D5607" s="107" t="str">
        <f>IF(LEN(Table1722[[#This Row],[Uraian]])&gt;2,1," ")</f>
        <v xml:space="preserve"> </v>
      </c>
      <c r="E5607" s="113" t="str">
        <f>IF(Table1722[[#This Row],[Lawan Transaksi]]="CV AGUNG KARYA",COUNTIF($I$10:I5607,"CV AGUNG KARYA")," ")</f>
        <v xml:space="preserve"> </v>
      </c>
      <c r="F5607" s="107" t="str">
        <f>IF(LEN(Table1722[[#This Row],[Uraian]])&gt;2,TRIM(RIGHT(SUBSTITUTE(TRIM(C5607)," ",REPT(" ",255)),255))," ")</f>
        <v xml:space="preserve"> </v>
      </c>
      <c r="G5607" s="110">
        <f>COPY!Z5599</f>
        <v>0</v>
      </c>
      <c r="H5607" s="111" t="str">
        <f>IFERROR(VLOOKUP(Table1722[[#This Row],[Bukti]],'Un nOTA'!$A$4:$K$5003,10,FALSE),"")</f>
        <v/>
      </c>
      <c r="I5607" s="123" t="str">
        <f>IFERROR(VLOOKUP(Table1722[[#This Row],[Bukti]],Table13[#Data],11,FALSE),"")</f>
        <v/>
      </c>
    </row>
    <row r="5608" spans="1:9" hidden="1" x14ac:dyDescent="0.2">
      <c r="A5608" s="105" t="str">
        <f>IF(D5608=1,COUNTIF($D$10:D5608,1)," ")</f>
        <v xml:space="preserve"> </v>
      </c>
      <c r="B5608" s="106">
        <f>COPY!AR5600</f>
        <v>0</v>
      </c>
      <c r="C5608" s="107">
        <f>COPY!AC5600</f>
        <v>0</v>
      </c>
      <c r="D5608" s="107" t="str">
        <f>IF(LEN(Table1722[[#This Row],[Uraian]])&gt;2,1," ")</f>
        <v xml:space="preserve"> </v>
      </c>
      <c r="E5608" s="113" t="str">
        <f>IF(Table1722[[#This Row],[Lawan Transaksi]]="CV AGUNG KARYA",COUNTIF($I$10:I5608,"CV AGUNG KARYA")," ")</f>
        <v xml:space="preserve"> </v>
      </c>
      <c r="F5608" s="107" t="str">
        <f>IF(LEN(Table1722[[#This Row],[Uraian]])&gt;2,TRIM(RIGHT(SUBSTITUTE(TRIM(C5608)," ",REPT(" ",255)),255))," ")</f>
        <v xml:space="preserve"> </v>
      </c>
      <c r="G5608" s="110">
        <f>COPY!Z5600</f>
        <v>0</v>
      </c>
      <c r="H5608" s="111" t="str">
        <f>IFERROR(VLOOKUP(Table1722[[#This Row],[Bukti]],'Un nOTA'!$A$4:$K$5003,10,FALSE),"")</f>
        <v/>
      </c>
      <c r="I5608" s="123" t="str">
        <f>IFERROR(VLOOKUP(Table1722[[#This Row],[Bukti]],Table13[#Data],11,FALSE),"")</f>
        <v/>
      </c>
    </row>
    <row r="5609" spans="1:9" hidden="1" x14ac:dyDescent="0.2">
      <c r="A5609" s="105" t="str">
        <f>IF(D5609=1,COUNTIF($D$10:D5609,1)," ")</f>
        <v xml:space="preserve"> </v>
      </c>
      <c r="B5609" s="106">
        <f>COPY!AR5601</f>
        <v>0</v>
      </c>
      <c r="C5609" s="107">
        <f>COPY!AC5601</f>
        <v>0</v>
      </c>
      <c r="D5609" s="107" t="str">
        <f>IF(LEN(Table1722[[#This Row],[Uraian]])&gt;2,1," ")</f>
        <v xml:space="preserve"> </v>
      </c>
      <c r="E5609" s="113" t="str">
        <f>IF(Table1722[[#This Row],[Lawan Transaksi]]="CV AGUNG KARYA",COUNTIF($I$10:I5609,"CV AGUNG KARYA")," ")</f>
        <v xml:space="preserve"> </v>
      </c>
      <c r="F5609" s="107" t="str">
        <f>IF(LEN(Table1722[[#This Row],[Uraian]])&gt;2,TRIM(RIGHT(SUBSTITUTE(TRIM(C5609)," ",REPT(" ",255)),255))," ")</f>
        <v xml:space="preserve"> </v>
      </c>
      <c r="G5609" s="110">
        <f>COPY!Z5601</f>
        <v>0</v>
      </c>
      <c r="H5609" s="111" t="str">
        <f>IFERROR(VLOOKUP(Table1722[[#This Row],[Bukti]],'Un nOTA'!$A$4:$K$5003,10,FALSE),"")</f>
        <v/>
      </c>
      <c r="I5609" s="123" t="str">
        <f>IFERROR(VLOOKUP(Table1722[[#This Row],[Bukti]],Table13[#Data],11,FALSE),"")</f>
        <v/>
      </c>
    </row>
    <row r="5610" spans="1:9" hidden="1" x14ac:dyDescent="0.2">
      <c r="A5610" s="105" t="str">
        <f>IF(D5610=1,COUNTIF($D$10:D5610,1)," ")</f>
        <v xml:space="preserve"> </v>
      </c>
      <c r="B5610" s="106">
        <f>COPY!AR5602</f>
        <v>0</v>
      </c>
      <c r="C5610" s="107">
        <f>COPY!AC5602</f>
        <v>0</v>
      </c>
      <c r="D5610" s="107" t="str">
        <f>IF(LEN(Table1722[[#This Row],[Uraian]])&gt;2,1," ")</f>
        <v xml:space="preserve"> </v>
      </c>
      <c r="E5610" s="113" t="str">
        <f>IF(Table1722[[#This Row],[Lawan Transaksi]]="CV AGUNG KARYA",COUNTIF($I$10:I5610,"CV AGUNG KARYA")," ")</f>
        <v xml:space="preserve"> </v>
      </c>
      <c r="F5610" s="107" t="str">
        <f>IF(LEN(Table1722[[#This Row],[Uraian]])&gt;2,TRIM(RIGHT(SUBSTITUTE(TRIM(C5610)," ",REPT(" ",255)),255))," ")</f>
        <v xml:space="preserve"> </v>
      </c>
      <c r="G5610" s="110">
        <f>COPY!Z5602</f>
        <v>0</v>
      </c>
      <c r="H5610" s="111" t="str">
        <f>IFERROR(VLOOKUP(Table1722[[#This Row],[Bukti]],'Un nOTA'!$A$4:$K$5003,10,FALSE),"")</f>
        <v/>
      </c>
      <c r="I5610" s="123" t="str">
        <f>IFERROR(VLOOKUP(Table1722[[#This Row],[Bukti]],Table13[#Data],11,FALSE),"")</f>
        <v/>
      </c>
    </row>
    <row r="5611" spans="1:9" hidden="1" x14ac:dyDescent="0.2">
      <c r="A5611" s="105" t="str">
        <f>IF(D5611=1,COUNTIF($D$10:D5611,1)," ")</f>
        <v xml:space="preserve"> </v>
      </c>
      <c r="B5611" s="106">
        <f>COPY!AR5603</f>
        <v>0</v>
      </c>
      <c r="C5611" s="107">
        <f>COPY!AC5603</f>
        <v>0</v>
      </c>
      <c r="D5611" s="107" t="str">
        <f>IF(LEN(Table1722[[#This Row],[Uraian]])&gt;2,1," ")</f>
        <v xml:space="preserve"> </v>
      </c>
      <c r="E5611" s="113" t="str">
        <f>IF(Table1722[[#This Row],[Lawan Transaksi]]="CV AGUNG KARYA",COUNTIF($I$10:I5611,"CV AGUNG KARYA")," ")</f>
        <v xml:space="preserve"> </v>
      </c>
      <c r="F5611" s="107" t="str">
        <f>IF(LEN(Table1722[[#This Row],[Uraian]])&gt;2,TRIM(RIGHT(SUBSTITUTE(TRIM(C5611)," ",REPT(" ",255)),255))," ")</f>
        <v xml:space="preserve"> </v>
      </c>
      <c r="G5611" s="110">
        <f>COPY!Z5603</f>
        <v>0</v>
      </c>
      <c r="H5611" s="111" t="str">
        <f>IFERROR(VLOOKUP(Table1722[[#This Row],[Bukti]],'Un nOTA'!$A$4:$K$5003,10,FALSE),"")</f>
        <v/>
      </c>
      <c r="I5611" s="123" t="str">
        <f>IFERROR(VLOOKUP(Table1722[[#This Row],[Bukti]],Table13[#Data],11,FALSE),"")</f>
        <v/>
      </c>
    </row>
    <row r="5612" spans="1:9" hidden="1" x14ac:dyDescent="0.2">
      <c r="A5612" s="105" t="str">
        <f>IF(D5612=1,COUNTIF($D$10:D5612,1)," ")</f>
        <v xml:space="preserve"> </v>
      </c>
      <c r="B5612" s="106">
        <f>COPY!AR5604</f>
        <v>0</v>
      </c>
      <c r="C5612" s="107">
        <f>COPY!AC5604</f>
        <v>0</v>
      </c>
      <c r="D5612" s="107" t="str">
        <f>IF(LEN(Table1722[[#This Row],[Uraian]])&gt;2,1," ")</f>
        <v xml:space="preserve"> </v>
      </c>
      <c r="E5612" s="113" t="str">
        <f>IF(Table1722[[#This Row],[Lawan Transaksi]]="CV AGUNG KARYA",COUNTIF($I$10:I5612,"CV AGUNG KARYA")," ")</f>
        <v xml:space="preserve"> </v>
      </c>
      <c r="F5612" s="107" t="str">
        <f>IF(LEN(Table1722[[#This Row],[Uraian]])&gt;2,TRIM(RIGHT(SUBSTITUTE(TRIM(C5612)," ",REPT(" ",255)),255))," ")</f>
        <v xml:space="preserve"> </v>
      </c>
      <c r="G5612" s="110">
        <f>COPY!Z5604</f>
        <v>0</v>
      </c>
      <c r="H5612" s="111" t="str">
        <f>IFERROR(VLOOKUP(Table1722[[#This Row],[Bukti]],'Un nOTA'!$A$4:$K$5003,10,FALSE),"")</f>
        <v/>
      </c>
      <c r="I5612" s="123" t="str">
        <f>IFERROR(VLOOKUP(Table1722[[#This Row],[Bukti]],Table13[#Data],11,FALSE),"")</f>
        <v/>
      </c>
    </row>
    <row r="5613" spans="1:9" hidden="1" x14ac:dyDescent="0.2">
      <c r="A5613" s="105" t="str">
        <f>IF(D5613=1,COUNTIF($D$10:D5613,1)," ")</f>
        <v xml:space="preserve"> </v>
      </c>
      <c r="B5613" s="106">
        <f>COPY!AR5605</f>
        <v>0</v>
      </c>
      <c r="C5613" s="107">
        <f>COPY!AC5605</f>
        <v>0</v>
      </c>
      <c r="D5613" s="107" t="str">
        <f>IF(LEN(Table1722[[#This Row],[Uraian]])&gt;2,1," ")</f>
        <v xml:space="preserve"> </v>
      </c>
      <c r="E5613" s="113" t="str">
        <f>IF(Table1722[[#This Row],[Lawan Transaksi]]="CV AGUNG KARYA",COUNTIF($I$10:I5613,"CV AGUNG KARYA")," ")</f>
        <v xml:space="preserve"> </v>
      </c>
      <c r="F5613" s="107" t="str">
        <f>IF(LEN(Table1722[[#This Row],[Uraian]])&gt;2,TRIM(RIGHT(SUBSTITUTE(TRIM(C5613)," ",REPT(" ",255)),255))," ")</f>
        <v xml:space="preserve"> </v>
      </c>
      <c r="G5613" s="110">
        <f>COPY!Z5605</f>
        <v>0</v>
      </c>
      <c r="H5613" s="111" t="str">
        <f>IFERROR(VLOOKUP(Table1722[[#This Row],[Bukti]],'Un nOTA'!$A$4:$K$5003,10,FALSE),"")</f>
        <v/>
      </c>
      <c r="I5613" s="123" t="str">
        <f>IFERROR(VLOOKUP(Table1722[[#This Row],[Bukti]],Table13[#Data],11,FALSE),"")</f>
        <v/>
      </c>
    </row>
    <row r="5614" spans="1:9" hidden="1" x14ac:dyDescent="0.2">
      <c r="A5614" s="105" t="str">
        <f>IF(D5614=1,COUNTIF($D$10:D5614,1)," ")</f>
        <v xml:space="preserve"> </v>
      </c>
      <c r="B5614" s="106">
        <f>COPY!AR5606</f>
        <v>0</v>
      </c>
      <c r="C5614" s="107">
        <f>COPY!AC5606</f>
        <v>0</v>
      </c>
      <c r="D5614" s="107" t="str">
        <f>IF(LEN(Table1722[[#This Row],[Uraian]])&gt;2,1," ")</f>
        <v xml:space="preserve"> </v>
      </c>
      <c r="E5614" s="113" t="str">
        <f>IF(Table1722[[#This Row],[Lawan Transaksi]]="CV AGUNG KARYA",COUNTIF($I$10:I5614,"CV AGUNG KARYA")," ")</f>
        <v xml:space="preserve"> </v>
      </c>
      <c r="F5614" s="107" t="str">
        <f>IF(LEN(Table1722[[#This Row],[Uraian]])&gt;2,TRIM(RIGHT(SUBSTITUTE(TRIM(C5614)," ",REPT(" ",255)),255))," ")</f>
        <v xml:space="preserve"> </v>
      </c>
      <c r="G5614" s="110">
        <f>COPY!Z5606</f>
        <v>0</v>
      </c>
      <c r="H5614" s="111" t="str">
        <f>IFERROR(VLOOKUP(Table1722[[#This Row],[Bukti]],'Un nOTA'!$A$4:$K$5003,10,FALSE),"")</f>
        <v/>
      </c>
      <c r="I5614" s="123" t="str">
        <f>IFERROR(VLOOKUP(Table1722[[#This Row],[Bukti]],Table13[#Data],11,FALSE),"")</f>
        <v/>
      </c>
    </row>
    <row r="5615" spans="1:9" hidden="1" x14ac:dyDescent="0.2">
      <c r="A5615" s="105" t="str">
        <f>IF(D5615=1,COUNTIF($D$10:D5615,1)," ")</f>
        <v xml:space="preserve"> </v>
      </c>
      <c r="B5615" s="106">
        <f>COPY!AR5607</f>
        <v>0</v>
      </c>
      <c r="C5615" s="107">
        <f>COPY!AC5607</f>
        <v>0</v>
      </c>
      <c r="D5615" s="107" t="str">
        <f>IF(LEN(Table1722[[#This Row],[Uraian]])&gt;2,1," ")</f>
        <v xml:space="preserve"> </v>
      </c>
      <c r="E5615" s="113" t="str">
        <f>IF(Table1722[[#This Row],[Lawan Transaksi]]="CV AGUNG KARYA",COUNTIF($I$10:I5615,"CV AGUNG KARYA")," ")</f>
        <v xml:space="preserve"> </v>
      </c>
      <c r="F5615" s="107" t="str">
        <f>IF(LEN(Table1722[[#This Row],[Uraian]])&gt;2,TRIM(RIGHT(SUBSTITUTE(TRIM(C5615)," ",REPT(" ",255)),255))," ")</f>
        <v xml:space="preserve"> </v>
      </c>
      <c r="G5615" s="110">
        <f>COPY!Z5607</f>
        <v>0</v>
      </c>
      <c r="H5615" s="111" t="str">
        <f>IFERROR(VLOOKUP(Table1722[[#This Row],[Bukti]],'Un nOTA'!$A$4:$K$5003,10,FALSE),"")</f>
        <v/>
      </c>
      <c r="I5615" s="123" t="str">
        <f>IFERROR(VLOOKUP(Table1722[[#This Row],[Bukti]],Table13[#Data],11,FALSE),"")</f>
        <v/>
      </c>
    </row>
    <row r="5616" spans="1:9" hidden="1" x14ac:dyDescent="0.2">
      <c r="A5616" s="105" t="str">
        <f>IF(D5616=1,COUNTIF($D$10:D5616,1)," ")</f>
        <v xml:space="preserve"> </v>
      </c>
      <c r="B5616" s="106">
        <f>COPY!AR5608</f>
        <v>0</v>
      </c>
      <c r="C5616" s="107">
        <f>COPY!AC5608</f>
        <v>0</v>
      </c>
      <c r="D5616" s="107" t="str">
        <f>IF(LEN(Table1722[[#This Row],[Uraian]])&gt;2,1," ")</f>
        <v xml:space="preserve"> </v>
      </c>
      <c r="E5616" s="113" t="str">
        <f>IF(Table1722[[#This Row],[Lawan Transaksi]]="CV AGUNG KARYA",COUNTIF($I$10:I5616,"CV AGUNG KARYA")," ")</f>
        <v xml:space="preserve"> </v>
      </c>
      <c r="F5616" s="107" t="str">
        <f>IF(LEN(Table1722[[#This Row],[Uraian]])&gt;2,TRIM(RIGHT(SUBSTITUTE(TRIM(C5616)," ",REPT(" ",255)),255))," ")</f>
        <v xml:space="preserve"> </v>
      </c>
      <c r="G5616" s="110">
        <f>COPY!Z5608</f>
        <v>0</v>
      </c>
      <c r="H5616" s="111" t="str">
        <f>IFERROR(VLOOKUP(Table1722[[#This Row],[Bukti]],'Un nOTA'!$A$4:$K$5003,10,FALSE),"")</f>
        <v/>
      </c>
      <c r="I5616" s="123" t="str">
        <f>IFERROR(VLOOKUP(Table1722[[#This Row],[Bukti]],Table13[#Data],11,FALSE),"")</f>
        <v/>
      </c>
    </row>
    <row r="5617" spans="1:9" hidden="1" x14ac:dyDescent="0.2">
      <c r="A5617" s="105" t="str">
        <f>IF(D5617=1,COUNTIF($D$10:D5617,1)," ")</f>
        <v xml:space="preserve"> </v>
      </c>
      <c r="B5617" s="106">
        <f>COPY!AR5609</f>
        <v>0</v>
      </c>
      <c r="C5617" s="107">
        <f>COPY!AC5609</f>
        <v>0</v>
      </c>
      <c r="D5617" s="107" t="str">
        <f>IF(LEN(Table1722[[#This Row],[Uraian]])&gt;2,1," ")</f>
        <v xml:space="preserve"> </v>
      </c>
      <c r="E5617" s="113" t="str">
        <f>IF(Table1722[[#This Row],[Lawan Transaksi]]="CV AGUNG KARYA",COUNTIF($I$10:I5617,"CV AGUNG KARYA")," ")</f>
        <v xml:space="preserve"> </v>
      </c>
      <c r="F5617" s="107" t="str">
        <f>IF(LEN(Table1722[[#This Row],[Uraian]])&gt;2,TRIM(RIGHT(SUBSTITUTE(TRIM(C5617)," ",REPT(" ",255)),255))," ")</f>
        <v xml:space="preserve"> </v>
      </c>
      <c r="G5617" s="110">
        <f>COPY!Z5609</f>
        <v>0</v>
      </c>
      <c r="H5617" s="111" t="str">
        <f>IFERROR(VLOOKUP(Table1722[[#This Row],[Bukti]],'Un nOTA'!$A$4:$K$5003,10,FALSE),"")</f>
        <v/>
      </c>
      <c r="I5617" s="123" t="str">
        <f>IFERROR(VLOOKUP(Table1722[[#This Row],[Bukti]],Table13[#Data],11,FALSE),"")</f>
        <v/>
      </c>
    </row>
    <row r="5618" spans="1:9" hidden="1" x14ac:dyDescent="0.2">
      <c r="A5618" s="105" t="str">
        <f>IF(D5618=1,COUNTIF($D$10:D5618,1)," ")</f>
        <v xml:space="preserve"> </v>
      </c>
      <c r="B5618" s="106">
        <f>COPY!AR5610</f>
        <v>0</v>
      </c>
      <c r="C5618" s="107">
        <f>COPY!AC5610</f>
        <v>0</v>
      </c>
      <c r="D5618" s="107" t="str">
        <f>IF(LEN(Table1722[[#This Row],[Uraian]])&gt;2,1," ")</f>
        <v xml:space="preserve"> </v>
      </c>
      <c r="E5618" s="113" t="str">
        <f>IF(Table1722[[#This Row],[Lawan Transaksi]]="CV AGUNG KARYA",COUNTIF($I$10:I5618,"CV AGUNG KARYA")," ")</f>
        <v xml:space="preserve"> </v>
      </c>
      <c r="F5618" s="107" t="str">
        <f>IF(LEN(Table1722[[#This Row],[Uraian]])&gt;2,TRIM(RIGHT(SUBSTITUTE(TRIM(C5618)," ",REPT(" ",255)),255))," ")</f>
        <v xml:space="preserve"> </v>
      </c>
      <c r="G5618" s="110">
        <f>COPY!Z5610</f>
        <v>0</v>
      </c>
      <c r="H5618" s="111" t="str">
        <f>IFERROR(VLOOKUP(Table1722[[#This Row],[Bukti]],'Un nOTA'!$A$4:$K$5003,10,FALSE),"")</f>
        <v/>
      </c>
      <c r="I5618" s="123" t="str">
        <f>IFERROR(VLOOKUP(Table1722[[#This Row],[Bukti]],Table13[#Data],11,FALSE),"")</f>
        <v/>
      </c>
    </row>
    <row r="5619" spans="1:9" hidden="1" x14ac:dyDescent="0.2">
      <c r="A5619" s="105" t="str">
        <f>IF(D5619=1,COUNTIF($D$10:D5619,1)," ")</f>
        <v xml:space="preserve"> </v>
      </c>
      <c r="B5619" s="106">
        <f>COPY!AR5611</f>
        <v>0</v>
      </c>
      <c r="C5619" s="107">
        <f>COPY!AC5611</f>
        <v>0</v>
      </c>
      <c r="D5619" s="107" t="str">
        <f>IF(LEN(Table1722[[#This Row],[Uraian]])&gt;2,1," ")</f>
        <v xml:space="preserve"> </v>
      </c>
      <c r="E5619" s="113" t="str">
        <f>IF(Table1722[[#This Row],[Lawan Transaksi]]="CV AGUNG KARYA",COUNTIF($I$10:I5619,"CV AGUNG KARYA")," ")</f>
        <v xml:space="preserve"> </v>
      </c>
      <c r="F5619" s="107" t="str">
        <f>IF(LEN(Table1722[[#This Row],[Uraian]])&gt;2,TRIM(RIGHT(SUBSTITUTE(TRIM(C5619)," ",REPT(" ",255)),255))," ")</f>
        <v xml:space="preserve"> </v>
      </c>
      <c r="G5619" s="110">
        <f>COPY!Z5611</f>
        <v>0</v>
      </c>
      <c r="H5619" s="111" t="str">
        <f>IFERROR(VLOOKUP(Table1722[[#This Row],[Bukti]],'Un nOTA'!$A$4:$K$5003,10,FALSE),"")</f>
        <v/>
      </c>
      <c r="I5619" s="123" t="str">
        <f>IFERROR(VLOOKUP(Table1722[[#This Row],[Bukti]],Table13[#Data],11,FALSE),"")</f>
        <v/>
      </c>
    </row>
    <row r="5620" spans="1:9" hidden="1" x14ac:dyDescent="0.2">
      <c r="A5620" s="105" t="str">
        <f>IF(D5620=1,COUNTIF($D$10:D5620,1)," ")</f>
        <v xml:space="preserve"> </v>
      </c>
      <c r="B5620" s="106">
        <f>COPY!AR5612</f>
        <v>0</v>
      </c>
      <c r="C5620" s="107">
        <f>COPY!AC5612</f>
        <v>0</v>
      </c>
      <c r="D5620" s="107" t="str">
        <f>IF(LEN(Table1722[[#This Row],[Uraian]])&gt;2,1," ")</f>
        <v xml:space="preserve"> </v>
      </c>
      <c r="E5620" s="113" t="str">
        <f>IF(Table1722[[#This Row],[Lawan Transaksi]]="CV AGUNG KARYA",COUNTIF($I$10:I5620,"CV AGUNG KARYA")," ")</f>
        <v xml:space="preserve"> </v>
      </c>
      <c r="F5620" s="107" t="str">
        <f>IF(LEN(Table1722[[#This Row],[Uraian]])&gt;2,TRIM(RIGHT(SUBSTITUTE(TRIM(C5620)," ",REPT(" ",255)),255))," ")</f>
        <v xml:space="preserve"> </v>
      </c>
      <c r="G5620" s="110">
        <f>COPY!Z5612</f>
        <v>0</v>
      </c>
      <c r="H5620" s="111" t="str">
        <f>IFERROR(VLOOKUP(Table1722[[#This Row],[Bukti]],'Un nOTA'!$A$4:$K$5003,10,FALSE),"")</f>
        <v/>
      </c>
      <c r="I5620" s="123" t="str">
        <f>IFERROR(VLOOKUP(Table1722[[#This Row],[Bukti]],Table13[#Data],11,FALSE),"")</f>
        <v/>
      </c>
    </row>
    <row r="5621" spans="1:9" hidden="1" x14ac:dyDescent="0.2">
      <c r="A5621" s="105" t="str">
        <f>IF(D5621=1,COUNTIF($D$10:D5621,1)," ")</f>
        <v xml:space="preserve"> </v>
      </c>
      <c r="B5621" s="106">
        <f>COPY!AR5613</f>
        <v>0</v>
      </c>
      <c r="C5621" s="107">
        <f>COPY!AC5613</f>
        <v>0</v>
      </c>
      <c r="D5621" s="107" t="str">
        <f>IF(LEN(Table1722[[#This Row],[Uraian]])&gt;2,1," ")</f>
        <v xml:space="preserve"> </v>
      </c>
      <c r="E5621" s="113" t="str">
        <f>IF(Table1722[[#This Row],[Lawan Transaksi]]="CV AGUNG KARYA",COUNTIF($I$10:I5621,"CV AGUNG KARYA")," ")</f>
        <v xml:space="preserve"> </v>
      </c>
      <c r="F5621" s="107" t="str">
        <f>IF(LEN(Table1722[[#This Row],[Uraian]])&gt;2,TRIM(RIGHT(SUBSTITUTE(TRIM(C5621)," ",REPT(" ",255)),255))," ")</f>
        <v xml:space="preserve"> </v>
      </c>
      <c r="G5621" s="110">
        <f>COPY!Z5613</f>
        <v>0</v>
      </c>
      <c r="H5621" s="111" t="str">
        <f>IFERROR(VLOOKUP(Table1722[[#This Row],[Bukti]],'Un nOTA'!$A$4:$K$5003,10,FALSE),"")</f>
        <v/>
      </c>
      <c r="I5621" s="123" t="str">
        <f>IFERROR(VLOOKUP(Table1722[[#This Row],[Bukti]],Table13[#Data],11,FALSE),"")</f>
        <v/>
      </c>
    </row>
    <row r="5622" spans="1:9" hidden="1" x14ac:dyDescent="0.2">
      <c r="A5622" s="105" t="str">
        <f>IF(D5622=1,COUNTIF($D$10:D5622,1)," ")</f>
        <v xml:space="preserve"> </v>
      </c>
      <c r="B5622" s="106">
        <f>COPY!AR5614</f>
        <v>0</v>
      </c>
      <c r="C5622" s="107">
        <f>COPY!AC5614</f>
        <v>0</v>
      </c>
      <c r="D5622" s="107" t="str">
        <f>IF(LEN(Table1722[[#This Row],[Uraian]])&gt;2,1," ")</f>
        <v xml:space="preserve"> </v>
      </c>
      <c r="E5622" s="113" t="str">
        <f>IF(Table1722[[#This Row],[Lawan Transaksi]]="CV AGUNG KARYA",COUNTIF($I$10:I5622,"CV AGUNG KARYA")," ")</f>
        <v xml:space="preserve"> </v>
      </c>
      <c r="F5622" s="107" t="str">
        <f>IF(LEN(Table1722[[#This Row],[Uraian]])&gt;2,TRIM(RIGHT(SUBSTITUTE(TRIM(C5622)," ",REPT(" ",255)),255))," ")</f>
        <v xml:space="preserve"> </v>
      </c>
      <c r="G5622" s="110">
        <f>COPY!Z5614</f>
        <v>0</v>
      </c>
      <c r="H5622" s="111" t="str">
        <f>IFERROR(VLOOKUP(Table1722[[#This Row],[Bukti]],'Un nOTA'!$A$4:$K$5003,10,FALSE),"")</f>
        <v/>
      </c>
      <c r="I5622" s="123" t="str">
        <f>IFERROR(VLOOKUP(Table1722[[#This Row],[Bukti]],Table13[#Data],11,FALSE),"")</f>
        <v/>
      </c>
    </row>
    <row r="5623" spans="1:9" hidden="1" x14ac:dyDescent="0.2">
      <c r="A5623" s="105" t="str">
        <f>IF(D5623=1,COUNTIF($D$10:D5623,1)," ")</f>
        <v xml:space="preserve"> </v>
      </c>
      <c r="B5623" s="106">
        <f>COPY!AR5615</f>
        <v>0</v>
      </c>
      <c r="C5623" s="107">
        <f>COPY!AC5615</f>
        <v>0</v>
      </c>
      <c r="D5623" s="107" t="str">
        <f>IF(LEN(Table1722[[#This Row],[Uraian]])&gt;2,1," ")</f>
        <v xml:space="preserve"> </v>
      </c>
      <c r="E5623" s="113" t="str">
        <f>IF(Table1722[[#This Row],[Lawan Transaksi]]="CV AGUNG KARYA",COUNTIF($I$10:I5623,"CV AGUNG KARYA")," ")</f>
        <v xml:space="preserve"> </v>
      </c>
      <c r="F5623" s="107" t="str">
        <f>IF(LEN(Table1722[[#This Row],[Uraian]])&gt;2,TRIM(RIGHT(SUBSTITUTE(TRIM(C5623)," ",REPT(" ",255)),255))," ")</f>
        <v xml:space="preserve"> </v>
      </c>
      <c r="G5623" s="110">
        <f>COPY!Z5615</f>
        <v>0</v>
      </c>
      <c r="H5623" s="111" t="str">
        <f>IFERROR(VLOOKUP(Table1722[[#This Row],[Bukti]],'Un nOTA'!$A$4:$K$5003,10,FALSE),"")</f>
        <v/>
      </c>
      <c r="I5623" s="123" t="str">
        <f>IFERROR(VLOOKUP(Table1722[[#This Row],[Bukti]],Table13[#Data],11,FALSE),"")</f>
        <v/>
      </c>
    </row>
    <row r="5624" spans="1:9" hidden="1" x14ac:dyDescent="0.2">
      <c r="A5624" s="105" t="str">
        <f>IF(D5624=1,COUNTIF($D$10:D5624,1)," ")</f>
        <v xml:space="preserve"> </v>
      </c>
      <c r="B5624" s="106">
        <f>COPY!AR5616</f>
        <v>0</v>
      </c>
      <c r="C5624" s="107">
        <f>COPY!AC5616</f>
        <v>0</v>
      </c>
      <c r="D5624" s="107" t="str">
        <f>IF(LEN(Table1722[[#This Row],[Uraian]])&gt;2,1," ")</f>
        <v xml:space="preserve"> </v>
      </c>
      <c r="E5624" s="113" t="str">
        <f>IF(Table1722[[#This Row],[Lawan Transaksi]]="CV AGUNG KARYA",COUNTIF($I$10:I5624,"CV AGUNG KARYA")," ")</f>
        <v xml:space="preserve"> </v>
      </c>
      <c r="F5624" s="107" t="str">
        <f>IF(LEN(Table1722[[#This Row],[Uraian]])&gt;2,TRIM(RIGHT(SUBSTITUTE(TRIM(C5624)," ",REPT(" ",255)),255))," ")</f>
        <v xml:space="preserve"> </v>
      </c>
      <c r="G5624" s="110">
        <f>COPY!Z5616</f>
        <v>0</v>
      </c>
      <c r="H5624" s="111" t="str">
        <f>IFERROR(VLOOKUP(Table1722[[#This Row],[Bukti]],'Un nOTA'!$A$4:$K$5003,10,FALSE),"")</f>
        <v/>
      </c>
      <c r="I5624" s="123" t="str">
        <f>IFERROR(VLOOKUP(Table1722[[#This Row],[Bukti]],Table13[#Data],11,FALSE),"")</f>
        <v/>
      </c>
    </row>
    <row r="5625" spans="1:9" hidden="1" x14ac:dyDescent="0.2">
      <c r="A5625" s="105" t="str">
        <f>IF(D5625=1,COUNTIF($D$10:D5625,1)," ")</f>
        <v xml:space="preserve"> </v>
      </c>
      <c r="B5625" s="106">
        <f>COPY!AR5617</f>
        <v>0</v>
      </c>
      <c r="C5625" s="107">
        <f>COPY!AC5617</f>
        <v>0</v>
      </c>
      <c r="D5625" s="107" t="str">
        <f>IF(LEN(Table1722[[#This Row],[Uraian]])&gt;2,1," ")</f>
        <v xml:space="preserve"> </v>
      </c>
      <c r="E5625" s="113" t="str">
        <f>IF(Table1722[[#This Row],[Lawan Transaksi]]="CV AGUNG KARYA",COUNTIF($I$10:I5625,"CV AGUNG KARYA")," ")</f>
        <v xml:space="preserve"> </v>
      </c>
      <c r="F5625" s="107" t="str">
        <f>IF(LEN(Table1722[[#This Row],[Uraian]])&gt;2,TRIM(RIGHT(SUBSTITUTE(TRIM(C5625)," ",REPT(" ",255)),255))," ")</f>
        <v xml:space="preserve"> </v>
      </c>
      <c r="G5625" s="110">
        <f>COPY!Z5617</f>
        <v>0</v>
      </c>
      <c r="H5625" s="111" t="str">
        <f>IFERROR(VLOOKUP(Table1722[[#This Row],[Bukti]],'Un nOTA'!$A$4:$K$5003,10,FALSE),"")</f>
        <v/>
      </c>
      <c r="I5625" s="123" t="str">
        <f>IFERROR(VLOOKUP(Table1722[[#This Row],[Bukti]],Table13[#Data],11,FALSE),"")</f>
        <v/>
      </c>
    </row>
    <row r="5626" spans="1:9" hidden="1" x14ac:dyDescent="0.2">
      <c r="A5626" s="105" t="str">
        <f>IF(D5626=1,COUNTIF($D$10:D5626,1)," ")</f>
        <v xml:space="preserve"> </v>
      </c>
      <c r="B5626" s="106">
        <f>COPY!AR5618</f>
        <v>0</v>
      </c>
      <c r="C5626" s="107">
        <f>COPY!AC5618</f>
        <v>0</v>
      </c>
      <c r="D5626" s="107" t="str">
        <f>IF(LEN(Table1722[[#This Row],[Uraian]])&gt;2,1," ")</f>
        <v xml:space="preserve"> </v>
      </c>
      <c r="E5626" s="113" t="str">
        <f>IF(Table1722[[#This Row],[Lawan Transaksi]]="CV AGUNG KARYA",COUNTIF($I$10:I5626,"CV AGUNG KARYA")," ")</f>
        <v xml:space="preserve"> </v>
      </c>
      <c r="F5626" s="107" t="str">
        <f>IF(LEN(Table1722[[#This Row],[Uraian]])&gt;2,TRIM(RIGHT(SUBSTITUTE(TRIM(C5626)," ",REPT(" ",255)),255))," ")</f>
        <v xml:space="preserve"> </v>
      </c>
      <c r="G5626" s="110">
        <f>COPY!Z5618</f>
        <v>0</v>
      </c>
      <c r="H5626" s="111" t="str">
        <f>IFERROR(VLOOKUP(Table1722[[#This Row],[Bukti]],'Un nOTA'!$A$4:$K$5003,10,FALSE),"")</f>
        <v/>
      </c>
      <c r="I5626" s="123" t="str">
        <f>IFERROR(VLOOKUP(Table1722[[#This Row],[Bukti]],Table13[#Data],11,FALSE),"")</f>
        <v/>
      </c>
    </row>
    <row r="5627" spans="1:9" hidden="1" x14ac:dyDescent="0.2">
      <c r="A5627" s="105" t="str">
        <f>IF(D5627=1,COUNTIF($D$10:D5627,1)," ")</f>
        <v xml:space="preserve"> </v>
      </c>
      <c r="B5627" s="106">
        <f>COPY!AR5619</f>
        <v>0</v>
      </c>
      <c r="C5627" s="107">
        <f>COPY!AC5619</f>
        <v>0</v>
      </c>
      <c r="D5627" s="107" t="str">
        <f>IF(LEN(Table1722[[#This Row],[Uraian]])&gt;2,1," ")</f>
        <v xml:space="preserve"> </v>
      </c>
      <c r="E5627" s="113" t="str">
        <f>IF(Table1722[[#This Row],[Lawan Transaksi]]="CV AGUNG KARYA",COUNTIF($I$10:I5627,"CV AGUNG KARYA")," ")</f>
        <v xml:space="preserve"> </v>
      </c>
      <c r="F5627" s="107" t="str">
        <f>IF(LEN(Table1722[[#This Row],[Uraian]])&gt;2,TRIM(RIGHT(SUBSTITUTE(TRIM(C5627)," ",REPT(" ",255)),255))," ")</f>
        <v xml:space="preserve"> </v>
      </c>
      <c r="G5627" s="110">
        <f>COPY!Z5619</f>
        <v>0</v>
      </c>
      <c r="H5627" s="111" t="str">
        <f>IFERROR(VLOOKUP(Table1722[[#This Row],[Bukti]],'Un nOTA'!$A$4:$K$5003,10,FALSE),"")</f>
        <v/>
      </c>
      <c r="I5627" s="123" t="str">
        <f>IFERROR(VLOOKUP(Table1722[[#This Row],[Bukti]],Table13[#Data],11,FALSE),"")</f>
        <v/>
      </c>
    </row>
    <row r="5628" spans="1:9" hidden="1" x14ac:dyDescent="0.2">
      <c r="A5628" s="105" t="str">
        <f>IF(D5628=1,COUNTIF($D$10:D5628,1)," ")</f>
        <v xml:space="preserve"> </v>
      </c>
      <c r="B5628" s="106">
        <f>COPY!AR5620</f>
        <v>0</v>
      </c>
      <c r="C5628" s="107">
        <f>COPY!AC5620</f>
        <v>0</v>
      </c>
      <c r="D5628" s="107" t="str">
        <f>IF(LEN(Table1722[[#This Row],[Uraian]])&gt;2,1," ")</f>
        <v xml:space="preserve"> </v>
      </c>
      <c r="E5628" s="113" t="str">
        <f>IF(Table1722[[#This Row],[Lawan Transaksi]]="CV AGUNG KARYA",COUNTIF($I$10:I5628,"CV AGUNG KARYA")," ")</f>
        <v xml:space="preserve"> </v>
      </c>
      <c r="F5628" s="107" t="str">
        <f>IF(LEN(Table1722[[#This Row],[Uraian]])&gt;2,TRIM(RIGHT(SUBSTITUTE(TRIM(C5628)," ",REPT(" ",255)),255))," ")</f>
        <v xml:space="preserve"> </v>
      </c>
      <c r="G5628" s="110">
        <f>COPY!Z5620</f>
        <v>0</v>
      </c>
      <c r="H5628" s="111" t="str">
        <f>IFERROR(VLOOKUP(Table1722[[#This Row],[Bukti]],'Un nOTA'!$A$4:$K$5003,10,FALSE),"")</f>
        <v/>
      </c>
      <c r="I5628" s="123" t="str">
        <f>IFERROR(VLOOKUP(Table1722[[#This Row],[Bukti]],Table13[#Data],11,FALSE),"")</f>
        <v/>
      </c>
    </row>
    <row r="5629" spans="1:9" hidden="1" x14ac:dyDescent="0.2">
      <c r="A5629" s="105" t="str">
        <f>IF(D5629=1,COUNTIF($D$10:D5629,1)," ")</f>
        <v xml:space="preserve"> </v>
      </c>
      <c r="B5629" s="106">
        <f>COPY!AR5621</f>
        <v>0</v>
      </c>
      <c r="C5629" s="107">
        <f>COPY!AC5621</f>
        <v>0</v>
      </c>
      <c r="D5629" s="107" t="str">
        <f>IF(LEN(Table1722[[#This Row],[Uraian]])&gt;2,1," ")</f>
        <v xml:space="preserve"> </v>
      </c>
      <c r="E5629" s="113" t="str">
        <f>IF(Table1722[[#This Row],[Lawan Transaksi]]="CV AGUNG KARYA",COUNTIF($I$10:I5629,"CV AGUNG KARYA")," ")</f>
        <v xml:space="preserve"> </v>
      </c>
      <c r="F5629" s="107" t="str">
        <f>IF(LEN(Table1722[[#This Row],[Uraian]])&gt;2,TRIM(RIGHT(SUBSTITUTE(TRIM(C5629)," ",REPT(" ",255)),255))," ")</f>
        <v xml:space="preserve"> </v>
      </c>
      <c r="G5629" s="110">
        <f>COPY!Z5621</f>
        <v>0</v>
      </c>
      <c r="H5629" s="111" t="str">
        <f>IFERROR(VLOOKUP(Table1722[[#This Row],[Bukti]],'Un nOTA'!$A$4:$K$5003,10,FALSE),"")</f>
        <v/>
      </c>
      <c r="I5629" s="123" t="str">
        <f>IFERROR(VLOOKUP(Table1722[[#This Row],[Bukti]],Table13[#Data],11,FALSE),"")</f>
        <v/>
      </c>
    </row>
    <row r="5630" spans="1:9" hidden="1" x14ac:dyDescent="0.2">
      <c r="A5630" s="105" t="str">
        <f>IF(D5630=1,COUNTIF($D$10:D5630,1)," ")</f>
        <v xml:space="preserve"> </v>
      </c>
      <c r="B5630" s="106">
        <f>COPY!AR5622</f>
        <v>0</v>
      </c>
      <c r="C5630" s="107">
        <f>COPY!AC5622</f>
        <v>0</v>
      </c>
      <c r="D5630" s="107" t="str">
        <f>IF(LEN(Table1722[[#This Row],[Uraian]])&gt;2,1," ")</f>
        <v xml:space="preserve"> </v>
      </c>
      <c r="E5630" s="113" t="str">
        <f>IF(Table1722[[#This Row],[Lawan Transaksi]]="CV AGUNG KARYA",COUNTIF($I$10:I5630,"CV AGUNG KARYA")," ")</f>
        <v xml:space="preserve"> </v>
      </c>
      <c r="F5630" s="107" t="str">
        <f>IF(LEN(Table1722[[#This Row],[Uraian]])&gt;2,TRIM(RIGHT(SUBSTITUTE(TRIM(C5630)," ",REPT(" ",255)),255))," ")</f>
        <v xml:space="preserve"> </v>
      </c>
      <c r="G5630" s="110">
        <f>COPY!Z5622</f>
        <v>0</v>
      </c>
      <c r="H5630" s="111" t="str">
        <f>IFERROR(VLOOKUP(Table1722[[#This Row],[Bukti]],'Un nOTA'!$A$4:$K$5003,10,FALSE),"")</f>
        <v/>
      </c>
      <c r="I5630" s="123" t="str">
        <f>IFERROR(VLOOKUP(Table1722[[#This Row],[Bukti]],Table13[#Data],11,FALSE),"")</f>
        <v/>
      </c>
    </row>
    <row r="5631" spans="1:9" hidden="1" x14ac:dyDescent="0.2">
      <c r="A5631" s="105" t="str">
        <f>IF(D5631=1,COUNTIF($D$10:D5631,1)," ")</f>
        <v xml:space="preserve"> </v>
      </c>
      <c r="B5631" s="106">
        <f>COPY!AR5623</f>
        <v>0</v>
      </c>
      <c r="C5631" s="107">
        <f>COPY!AC5623</f>
        <v>0</v>
      </c>
      <c r="D5631" s="107" t="str">
        <f>IF(LEN(Table1722[[#This Row],[Uraian]])&gt;2,1," ")</f>
        <v xml:space="preserve"> </v>
      </c>
      <c r="E5631" s="113" t="str">
        <f>IF(Table1722[[#This Row],[Lawan Transaksi]]="CV AGUNG KARYA",COUNTIF($I$10:I5631,"CV AGUNG KARYA")," ")</f>
        <v xml:space="preserve"> </v>
      </c>
      <c r="F5631" s="107" t="str">
        <f>IF(LEN(Table1722[[#This Row],[Uraian]])&gt;2,TRIM(RIGHT(SUBSTITUTE(TRIM(C5631)," ",REPT(" ",255)),255))," ")</f>
        <v xml:space="preserve"> </v>
      </c>
      <c r="G5631" s="110">
        <f>COPY!Z5623</f>
        <v>0</v>
      </c>
      <c r="H5631" s="111" t="str">
        <f>IFERROR(VLOOKUP(Table1722[[#This Row],[Bukti]],'Un nOTA'!$A$4:$K$5003,10,FALSE),"")</f>
        <v/>
      </c>
      <c r="I5631" s="123" t="str">
        <f>IFERROR(VLOOKUP(Table1722[[#This Row],[Bukti]],Table13[#Data],11,FALSE),"")</f>
        <v/>
      </c>
    </row>
    <row r="5632" spans="1:9" hidden="1" x14ac:dyDescent="0.2">
      <c r="A5632" s="105" t="str">
        <f>IF(D5632=1,COUNTIF($D$10:D5632,1)," ")</f>
        <v xml:space="preserve"> </v>
      </c>
      <c r="B5632" s="106">
        <f>COPY!AR5624</f>
        <v>0</v>
      </c>
      <c r="C5632" s="107">
        <f>COPY!AC5624</f>
        <v>0</v>
      </c>
      <c r="D5632" s="107" t="str">
        <f>IF(LEN(Table1722[[#This Row],[Uraian]])&gt;2,1," ")</f>
        <v xml:space="preserve"> </v>
      </c>
      <c r="E5632" s="113" t="str">
        <f>IF(Table1722[[#This Row],[Lawan Transaksi]]="CV AGUNG KARYA",COUNTIF($I$10:I5632,"CV AGUNG KARYA")," ")</f>
        <v xml:space="preserve"> </v>
      </c>
      <c r="F5632" s="107" t="str">
        <f>IF(LEN(Table1722[[#This Row],[Uraian]])&gt;2,TRIM(RIGHT(SUBSTITUTE(TRIM(C5632)," ",REPT(" ",255)),255))," ")</f>
        <v xml:space="preserve"> </v>
      </c>
      <c r="G5632" s="110">
        <f>COPY!Z5624</f>
        <v>0</v>
      </c>
      <c r="H5632" s="111" t="str">
        <f>IFERROR(VLOOKUP(Table1722[[#This Row],[Bukti]],'Un nOTA'!$A$4:$K$5003,10,FALSE),"")</f>
        <v/>
      </c>
      <c r="I5632" s="123" t="str">
        <f>IFERROR(VLOOKUP(Table1722[[#This Row],[Bukti]],Table13[#Data],11,FALSE),"")</f>
        <v/>
      </c>
    </row>
    <row r="5633" spans="1:9" hidden="1" x14ac:dyDescent="0.2">
      <c r="A5633" s="105" t="str">
        <f>IF(D5633=1,COUNTIF($D$10:D5633,1)," ")</f>
        <v xml:space="preserve"> </v>
      </c>
      <c r="B5633" s="106">
        <f>COPY!AR5625</f>
        <v>0</v>
      </c>
      <c r="C5633" s="107">
        <f>COPY!AC5625</f>
        <v>0</v>
      </c>
      <c r="D5633" s="107" t="str">
        <f>IF(LEN(Table1722[[#This Row],[Uraian]])&gt;2,1," ")</f>
        <v xml:space="preserve"> </v>
      </c>
      <c r="E5633" s="113" t="str">
        <f>IF(Table1722[[#This Row],[Lawan Transaksi]]="CV AGUNG KARYA",COUNTIF($I$10:I5633,"CV AGUNG KARYA")," ")</f>
        <v xml:space="preserve"> </v>
      </c>
      <c r="F5633" s="107" t="str">
        <f>IF(LEN(Table1722[[#This Row],[Uraian]])&gt;2,TRIM(RIGHT(SUBSTITUTE(TRIM(C5633)," ",REPT(" ",255)),255))," ")</f>
        <v xml:space="preserve"> </v>
      </c>
      <c r="G5633" s="110">
        <f>COPY!Z5625</f>
        <v>0</v>
      </c>
      <c r="H5633" s="111" t="str">
        <f>IFERROR(VLOOKUP(Table1722[[#This Row],[Bukti]],'Un nOTA'!$A$4:$K$5003,10,FALSE),"")</f>
        <v/>
      </c>
      <c r="I5633" s="123" t="str">
        <f>IFERROR(VLOOKUP(Table1722[[#This Row],[Bukti]],Table13[#Data],11,FALSE),"")</f>
        <v/>
      </c>
    </row>
    <row r="5634" spans="1:9" hidden="1" x14ac:dyDescent="0.2">
      <c r="A5634" s="105" t="str">
        <f>IF(D5634=1,COUNTIF($D$10:D5634,1)," ")</f>
        <v xml:space="preserve"> </v>
      </c>
      <c r="B5634" s="106">
        <f>COPY!AR5626</f>
        <v>0</v>
      </c>
      <c r="C5634" s="107">
        <f>COPY!AC5626</f>
        <v>0</v>
      </c>
      <c r="D5634" s="107" t="str">
        <f>IF(LEN(Table1722[[#This Row],[Uraian]])&gt;2,1," ")</f>
        <v xml:space="preserve"> </v>
      </c>
      <c r="E5634" s="113" t="str">
        <f>IF(Table1722[[#This Row],[Lawan Transaksi]]="CV AGUNG KARYA",COUNTIF($I$10:I5634,"CV AGUNG KARYA")," ")</f>
        <v xml:space="preserve"> </v>
      </c>
      <c r="F5634" s="107" t="str">
        <f>IF(LEN(Table1722[[#This Row],[Uraian]])&gt;2,TRIM(RIGHT(SUBSTITUTE(TRIM(C5634)," ",REPT(" ",255)),255))," ")</f>
        <v xml:space="preserve"> </v>
      </c>
      <c r="G5634" s="110">
        <f>COPY!Z5626</f>
        <v>0</v>
      </c>
      <c r="H5634" s="111" t="str">
        <f>IFERROR(VLOOKUP(Table1722[[#This Row],[Bukti]],'Un nOTA'!$A$4:$K$5003,10,FALSE),"")</f>
        <v/>
      </c>
      <c r="I5634" s="123" t="str">
        <f>IFERROR(VLOOKUP(Table1722[[#This Row],[Bukti]],Table13[#Data],11,FALSE),"")</f>
        <v/>
      </c>
    </row>
    <row r="5635" spans="1:9" hidden="1" x14ac:dyDescent="0.2">
      <c r="A5635" s="105" t="str">
        <f>IF(D5635=1,COUNTIF($D$10:D5635,1)," ")</f>
        <v xml:space="preserve"> </v>
      </c>
      <c r="B5635" s="106">
        <f>COPY!AR5627</f>
        <v>0</v>
      </c>
      <c r="C5635" s="107">
        <f>COPY!AC5627</f>
        <v>0</v>
      </c>
      <c r="D5635" s="107" t="str">
        <f>IF(LEN(Table1722[[#This Row],[Uraian]])&gt;2,1," ")</f>
        <v xml:space="preserve"> </v>
      </c>
      <c r="E5635" s="113" t="str">
        <f>IF(Table1722[[#This Row],[Lawan Transaksi]]="CV AGUNG KARYA",COUNTIF($I$10:I5635,"CV AGUNG KARYA")," ")</f>
        <v xml:space="preserve"> </v>
      </c>
      <c r="F5635" s="107" t="str">
        <f>IF(LEN(Table1722[[#This Row],[Uraian]])&gt;2,TRIM(RIGHT(SUBSTITUTE(TRIM(C5635)," ",REPT(" ",255)),255))," ")</f>
        <v xml:space="preserve"> </v>
      </c>
      <c r="G5635" s="110">
        <f>COPY!Z5627</f>
        <v>0</v>
      </c>
      <c r="H5635" s="111" t="str">
        <f>IFERROR(VLOOKUP(Table1722[[#This Row],[Bukti]],'Un nOTA'!$A$4:$K$5003,10,FALSE),"")</f>
        <v/>
      </c>
      <c r="I5635" s="123" t="str">
        <f>IFERROR(VLOOKUP(Table1722[[#This Row],[Bukti]],Table13[#Data],11,FALSE),"")</f>
        <v/>
      </c>
    </row>
    <row r="5636" spans="1:9" hidden="1" x14ac:dyDescent="0.2">
      <c r="A5636" s="105" t="str">
        <f>IF(D5636=1,COUNTIF($D$10:D5636,1)," ")</f>
        <v xml:space="preserve"> </v>
      </c>
      <c r="B5636" s="106">
        <f>COPY!AR5628</f>
        <v>0</v>
      </c>
      <c r="C5636" s="107">
        <f>COPY!AC5628</f>
        <v>0</v>
      </c>
      <c r="D5636" s="107" t="str">
        <f>IF(LEN(Table1722[[#This Row],[Uraian]])&gt;2,1," ")</f>
        <v xml:space="preserve"> </v>
      </c>
      <c r="E5636" s="113" t="str">
        <f>IF(Table1722[[#This Row],[Lawan Transaksi]]="CV AGUNG KARYA",COUNTIF($I$10:I5636,"CV AGUNG KARYA")," ")</f>
        <v xml:space="preserve"> </v>
      </c>
      <c r="F5636" s="107" t="str">
        <f>IF(LEN(Table1722[[#This Row],[Uraian]])&gt;2,TRIM(RIGHT(SUBSTITUTE(TRIM(C5636)," ",REPT(" ",255)),255))," ")</f>
        <v xml:space="preserve"> </v>
      </c>
      <c r="G5636" s="110">
        <f>COPY!Z5628</f>
        <v>0</v>
      </c>
      <c r="H5636" s="111" t="str">
        <f>IFERROR(VLOOKUP(Table1722[[#This Row],[Bukti]],'Un nOTA'!$A$4:$K$5003,10,FALSE),"")</f>
        <v/>
      </c>
      <c r="I5636" s="123" t="str">
        <f>IFERROR(VLOOKUP(Table1722[[#This Row],[Bukti]],Table13[#Data],11,FALSE),"")</f>
        <v/>
      </c>
    </row>
    <row r="5637" spans="1:9" hidden="1" x14ac:dyDescent="0.2">
      <c r="A5637" s="105" t="str">
        <f>IF(D5637=1,COUNTIF($D$10:D5637,1)," ")</f>
        <v xml:space="preserve"> </v>
      </c>
      <c r="B5637" s="106">
        <f>COPY!AR5629</f>
        <v>0</v>
      </c>
      <c r="C5637" s="107">
        <f>COPY!AC5629</f>
        <v>0</v>
      </c>
      <c r="D5637" s="107" t="str">
        <f>IF(LEN(Table1722[[#This Row],[Uraian]])&gt;2,1," ")</f>
        <v xml:space="preserve"> </v>
      </c>
      <c r="E5637" s="113" t="str">
        <f>IF(Table1722[[#This Row],[Lawan Transaksi]]="CV AGUNG KARYA",COUNTIF($I$10:I5637,"CV AGUNG KARYA")," ")</f>
        <v xml:space="preserve"> </v>
      </c>
      <c r="F5637" s="107" t="str">
        <f>IF(LEN(Table1722[[#This Row],[Uraian]])&gt;2,TRIM(RIGHT(SUBSTITUTE(TRIM(C5637)," ",REPT(" ",255)),255))," ")</f>
        <v xml:space="preserve"> </v>
      </c>
      <c r="G5637" s="110">
        <f>COPY!Z5629</f>
        <v>0</v>
      </c>
      <c r="H5637" s="111" t="str">
        <f>IFERROR(VLOOKUP(Table1722[[#This Row],[Bukti]],'Un nOTA'!$A$4:$K$5003,10,FALSE),"")</f>
        <v/>
      </c>
      <c r="I5637" s="123" t="str">
        <f>IFERROR(VLOOKUP(Table1722[[#This Row],[Bukti]],Table13[#Data],11,FALSE),"")</f>
        <v/>
      </c>
    </row>
    <row r="5638" spans="1:9" hidden="1" x14ac:dyDescent="0.2">
      <c r="A5638" s="105" t="str">
        <f>IF(D5638=1,COUNTIF($D$10:D5638,1)," ")</f>
        <v xml:space="preserve"> </v>
      </c>
      <c r="B5638" s="106">
        <f>COPY!AR5630</f>
        <v>0</v>
      </c>
      <c r="C5638" s="107">
        <f>COPY!AC5630</f>
        <v>0</v>
      </c>
      <c r="D5638" s="107" t="str">
        <f>IF(LEN(Table1722[[#This Row],[Uraian]])&gt;2,1," ")</f>
        <v xml:space="preserve"> </v>
      </c>
      <c r="E5638" s="113" t="str">
        <f>IF(Table1722[[#This Row],[Lawan Transaksi]]="CV AGUNG KARYA",COUNTIF($I$10:I5638,"CV AGUNG KARYA")," ")</f>
        <v xml:space="preserve"> </v>
      </c>
      <c r="F5638" s="107" t="str">
        <f>IF(LEN(Table1722[[#This Row],[Uraian]])&gt;2,TRIM(RIGHT(SUBSTITUTE(TRIM(C5638)," ",REPT(" ",255)),255))," ")</f>
        <v xml:space="preserve"> </v>
      </c>
      <c r="G5638" s="110">
        <f>COPY!Z5630</f>
        <v>0</v>
      </c>
      <c r="H5638" s="111" t="str">
        <f>IFERROR(VLOOKUP(Table1722[[#This Row],[Bukti]],'Un nOTA'!$A$4:$K$5003,10,FALSE),"")</f>
        <v/>
      </c>
      <c r="I5638" s="123" t="str">
        <f>IFERROR(VLOOKUP(Table1722[[#This Row],[Bukti]],Table13[#Data],11,FALSE),"")</f>
        <v/>
      </c>
    </row>
    <row r="5639" spans="1:9" hidden="1" x14ac:dyDescent="0.2">
      <c r="A5639" s="105" t="str">
        <f>IF(D5639=1,COUNTIF($D$10:D5639,1)," ")</f>
        <v xml:space="preserve"> </v>
      </c>
      <c r="B5639" s="106">
        <f>COPY!AR5631</f>
        <v>0</v>
      </c>
      <c r="C5639" s="107">
        <f>COPY!AC5631</f>
        <v>0</v>
      </c>
      <c r="D5639" s="107" t="str">
        <f>IF(LEN(Table1722[[#This Row],[Uraian]])&gt;2,1," ")</f>
        <v xml:space="preserve"> </v>
      </c>
      <c r="E5639" s="113" t="str">
        <f>IF(Table1722[[#This Row],[Lawan Transaksi]]="CV AGUNG KARYA",COUNTIF($I$10:I5639,"CV AGUNG KARYA")," ")</f>
        <v xml:space="preserve"> </v>
      </c>
      <c r="F5639" s="107" t="str">
        <f>IF(LEN(Table1722[[#This Row],[Uraian]])&gt;2,TRIM(RIGHT(SUBSTITUTE(TRIM(C5639)," ",REPT(" ",255)),255))," ")</f>
        <v xml:space="preserve"> </v>
      </c>
      <c r="G5639" s="110">
        <f>COPY!Z5631</f>
        <v>0</v>
      </c>
      <c r="H5639" s="111" t="str">
        <f>IFERROR(VLOOKUP(Table1722[[#This Row],[Bukti]],'Un nOTA'!$A$4:$K$5003,10,FALSE),"")</f>
        <v/>
      </c>
      <c r="I5639" s="123" t="str">
        <f>IFERROR(VLOOKUP(Table1722[[#This Row],[Bukti]],Table13[#Data],11,FALSE),"")</f>
        <v/>
      </c>
    </row>
    <row r="5640" spans="1:9" hidden="1" x14ac:dyDescent="0.2">
      <c r="A5640" s="105" t="str">
        <f>IF(D5640=1,COUNTIF($D$10:D5640,1)," ")</f>
        <v xml:space="preserve"> </v>
      </c>
      <c r="B5640" s="106">
        <f>COPY!AR5632</f>
        <v>0</v>
      </c>
      <c r="C5640" s="107">
        <f>COPY!AC5632</f>
        <v>0</v>
      </c>
      <c r="D5640" s="107" t="str">
        <f>IF(LEN(Table1722[[#This Row],[Uraian]])&gt;2,1," ")</f>
        <v xml:space="preserve"> </v>
      </c>
      <c r="E5640" s="113" t="str">
        <f>IF(Table1722[[#This Row],[Lawan Transaksi]]="CV AGUNG KARYA",COUNTIF($I$10:I5640,"CV AGUNG KARYA")," ")</f>
        <v xml:space="preserve"> </v>
      </c>
      <c r="F5640" s="107" t="str">
        <f>IF(LEN(Table1722[[#This Row],[Uraian]])&gt;2,TRIM(RIGHT(SUBSTITUTE(TRIM(C5640)," ",REPT(" ",255)),255))," ")</f>
        <v xml:space="preserve"> </v>
      </c>
      <c r="G5640" s="110">
        <f>COPY!Z5632</f>
        <v>0</v>
      </c>
      <c r="H5640" s="111" t="str">
        <f>IFERROR(VLOOKUP(Table1722[[#This Row],[Bukti]],'Un nOTA'!$A$4:$K$5003,10,FALSE),"")</f>
        <v/>
      </c>
      <c r="I5640" s="123" t="str">
        <f>IFERROR(VLOOKUP(Table1722[[#This Row],[Bukti]],Table13[#Data],11,FALSE),"")</f>
        <v/>
      </c>
    </row>
    <row r="5641" spans="1:9" hidden="1" x14ac:dyDescent="0.2">
      <c r="A5641" s="105" t="str">
        <f>IF(D5641=1,COUNTIF($D$10:D5641,1)," ")</f>
        <v xml:space="preserve"> </v>
      </c>
      <c r="B5641" s="106">
        <f>COPY!AR5633</f>
        <v>0</v>
      </c>
      <c r="C5641" s="107">
        <f>COPY!AC5633</f>
        <v>0</v>
      </c>
      <c r="D5641" s="107" t="str">
        <f>IF(LEN(Table1722[[#This Row],[Uraian]])&gt;2,1," ")</f>
        <v xml:space="preserve"> </v>
      </c>
      <c r="E5641" s="113" t="str">
        <f>IF(Table1722[[#This Row],[Lawan Transaksi]]="CV AGUNG KARYA",COUNTIF($I$10:I5641,"CV AGUNG KARYA")," ")</f>
        <v xml:space="preserve"> </v>
      </c>
      <c r="F5641" s="107" t="str">
        <f>IF(LEN(Table1722[[#This Row],[Uraian]])&gt;2,TRIM(RIGHT(SUBSTITUTE(TRIM(C5641)," ",REPT(" ",255)),255))," ")</f>
        <v xml:space="preserve"> </v>
      </c>
      <c r="G5641" s="110">
        <f>COPY!Z5633</f>
        <v>0</v>
      </c>
      <c r="H5641" s="111" t="str">
        <f>IFERROR(VLOOKUP(Table1722[[#This Row],[Bukti]],'Un nOTA'!$A$4:$K$5003,10,FALSE),"")</f>
        <v/>
      </c>
      <c r="I5641" s="123" t="str">
        <f>IFERROR(VLOOKUP(Table1722[[#This Row],[Bukti]],Table13[#Data],11,FALSE),"")</f>
        <v/>
      </c>
    </row>
    <row r="5642" spans="1:9" hidden="1" x14ac:dyDescent="0.2">
      <c r="A5642" s="105" t="str">
        <f>IF(D5642=1,COUNTIF($D$10:D5642,1)," ")</f>
        <v xml:space="preserve"> </v>
      </c>
      <c r="B5642" s="106">
        <f>COPY!AR5634</f>
        <v>0</v>
      </c>
      <c r="C5642" s="107">
        <f>COPY!AC5634</f>
        <v>0</v>
      </c>
      <c r="D5642" s="107" t="str">
        <f>IF(LEN(Table1722[[#This Row],[Uraian]])&gt;2,1," ")</f>
        <v xml:space="preserve"> </v>
      </c>
      <c r="E5642" s="113" t="str">
        <f>IF(Table1722[[#This Row],[Lawan Transaksi]]="CV AGUNG KARYA",COUNTIF($I$10:I5642,"CV AGUNG KARYA")," ")</f>
        <v xml:space="preserve"> </v>
      </c>
      <c r="F5642" s="107" t="str">
        <f>IF(LEN(Table1722[[#This Row],[Uraian]])&gt;2,TRIM(RIGHT(SUBSTITUTE(TRIM(C5642)," ",REPT(" ",255)),255))," ")</f>
        <v xml:space="preserve"> </v>
      </c>
      <c r="G5642" s="110">
        <f>COPY!Z5634</f>
        <v>0</v>
      </c>
      <c r="H5642" s="111" t="str">
        <f>IFERROR(VLOOKUP(Table1722[[#This Row],[Bukti]],'Un nOTA'!$A$4:$K$5003,10,FALSE),"")</f>
        <v/>
      </c>
      <c r="I5642" s="123" t="str">
        <f>IFERROR(VLOOKUP(Table1722[[#This Row],[Bukti]],Table13[#Data],11,FALSE),"")</f>
        <v/>
      </c>
    </row>
    <row r="5643" spans="1:9" hidden="1" x14ac:dyDescent="0.2">
      <c r="A5643" s="105" t="str">
        <f>IF(D5643=1,COUNTIF($D$10:D5643,1)," ")</f>
        <v xml:space="preserve"> </v>
      </c>
      <c r="B5643" s="106">
        <f>COPY!AR5635</f>
        <v>0</v>
      </c>
      <c r="C5643" s="107">
        <f>COPY!AC5635</f>
        <v>0</v>
      </c>
      <c r="D5643" s="107" t="str">
        <f>IF(LEN(Table1722[[#This Row],[Uraian]])&gt;2,1," ")</f>
        <v xml:space="preserve"> </v>
      </c>
      <c r="E5643" s="113" t="str">
        <f>IF(Table1722[[#This Row],[Lawan Transaksi]]="CV AGUNG KARYA",COUNTIF($I$10:I5643,"CV AGUNG KARYA")," ")</f>
        <v xml:space="preserve"> </v>
      </c>
      <c r="F5643" s="107" t="str">
        <f>IF(LEN(Table1722[[#This Row],[Uraian]])&gt;2,TRIM(RIGHT(SUBSTITUTE(TRIM(C5643)," ",REPT(" ",255)),255))," ")</f>
        <v xml:space="preserve"> </v>
      </c>
      <c r="G5643" s="110">
        <f>COPY!Z5635</f>
        <v>0</v>
      </c>
      <c r="H5643" s="111" t="str">
        <f>IFERROR(VLOOKUP(Table1722[[#This Row],[Bukti]],'Un nOTA'!$A$4:$K$5003,10,FALSE),"")</f>
        <v/>
      </c>
      <c r="I5643" s="123" t="str">
        <f>IFERROR(VLOOKUP(Table1722[[#This Row],[Bukti]],Table13[#Data],11,FALSE),"")</f>
        <v/>
      </c>
    </row>
    <row r="5644" spans="1:9" hidden="1" x14ac:dyDescent="0.2">
      <c r="A5644" s="105" t="str">
        <f>IF(D5644=1,COUNTIF($D$10:D5644,1)," ")</f>
        <v xml:space="preserve"> </v>
      </c>
      <c r="B5644" s="106">
        <f>COPY!AR5636</f>
        <v>0</v>
      </c>
      <c r="C5644" s="107">
        <f>COPY!AC5636</f>
        <v>0</v>
      </c>
      <c r="D5644" s="107" t="str">
        <f>IF(LEN(Table1722[[#This Row],[Uraian]])&gt;2,1," ")</f>
        <v xml:space="preserve"> </v>
      </c>
      <c r="E5644" s="113" t="str">
        <f>IF(Table1722[[#This Row],[Lawan Transaksi]]="CV AGUNG KARYA",COUNTIF($I$10:I5644,"CV AGUNG KARYA")," ")</f>
        <v xml:space="preserve"> </v>
      </c>
      <c r="F5644" s="107" t="str">
        <f>IF(LEN(Table1722[[#This Row],[Uraian]])&gt;2,TRIM(RIGHT(SUBSTITUTE(TRIM(C5644)," ",REPT(" ",255)),255))," ")</f>
        <v xml:space="preserve"> </v>
      </c>
      <c r="G5644" s="110">
        <f>COPY!Z5636</f>
        <v>0</v>
      </c>
      <c r="H5644" s="111" t="str">
        <f>IFERROR(VLOOKUP(Table1722[[#This Row],[Bukti]],'Un nOTA'!$A$4:$K$5003,10,FALSE),"")</f>
        <v/>
      </c>
      <c r="I5644" s="123" t="str">
        <f>IFERROR(VLOOKUP(Table1722[[#This Row],[Bukti]],Table13[#Data],11,FALSE),"")</f>
        <v/>
      </c>
    </row>
    <row r="5645" spans="1:9" hidden="1" x14ac:dyDescent="0.2">
      <c r="A5645" s="105" t="str">
        <f>IF(D5645=1,COUNTIF($D$10:D5645,1)," ")</f>
        <v xml:space="preserve"> </v>
      </c>
      <c r="B5645" s="106">
        <f>COPY!AR5637</f>
        <v>0</v>
      </c>
      <c r="C5645" s="107">
        <f>COPY!AC5637</f>
        <v>0</v>
      </c>
      <c r="D5645" s="107" t="str">
        <f>IF(LEN(Table1722[[#This Row],[Uraian]])&gt;2,1," ")</f>
        <v xml:space="preserve"> </v>
      </c>
      <c r="E5645" s="113" t="str">
        <f>IF(Table1722[[#This Row],[Lawan Transaksi]]="CV AGUNG KARYA",COUNTIF($I$10:I5645,"CV AGUNG KARYA")," ")</f>
        <v xml:space="preserve"> </v>
      </c>
      <c r="F5645" s="107" t="str">
        <f>IF(LEN(Table1722[[#This Row],[Uraian]])&gt;2,TRIM(RIGHT(SUBSTITUTE(TRIM(C5645)," ",REPT(" ",255)),255))," ")</f>
        <v xml:space="preserve"> </v>
      </c>
      <c r="G5645" s="110">
        <f>COPY!Z5637</f>
        <v>0</v>
      </c>
      <c r="H5645" s="111" t="str">
        <f>IFERROR(VLOOKUP(Table1722[[#This Row],[Bukti]],'Un nOTA'!$A$4:$K$5003,10,FALSE),"")</f>
        <v/>
      </c>
      <c r="I5645" s="123" t="str">
        <f>IFERROR(VLOOKUP(Table1722[[#This Row],[Bukti]],Table13[#Data],11,FALSE),"")</f>
        <v/>
      </c>
    </row>
    <row r="5646" spans="1:9" hidden="1" x14ac:dyDescent="0.2">
      <c r="A5646" s="105" t="str">
        <f>IF(D5646=1,COUNTIF($D$10:D5646,1)," ")</f>
        <v xml:space="preserve"> </v>
      </c>
      <c r="B5646" s="106">
        <f>COPY!AR5638</f>
        <v>0</v>
      </c>
      <c r="C5646" s="107">
        <f>COPY!AC5638</f>
        <v>0</v>
      </c>
      <c r="D5646" s="107" t="str">
        <f>IF(LEN(Table1722[[#This Row],[Uraian]])&gt;2,1," ")</f>
        <v xml:space="preserve"> </v>
      </c>
      <c r="E5646" s="113" t="str">
        <f>IF(Table1722[[#This Row],[Lawan Transaksi]]="CV AGUNG KARYA",COUNTIF($I$10:I5646,"CV AGUNG KARYA")," ")</f>
        <v xml:space="preserve"> </v>
      </c>
      <c r="F5646" s="107" t="str">
        <f>IF(LEN(Table1722[[#This Row],[Uraian]])&gt;2,TRIM(RIGHT(SUBSTITUTE(TRIM(C5646)," ",REPT(" ",255)),255))," ")</f>
        <v xml:space="preserve"> </v>
      </c>
      <c r="G5646" s="110">
        <f>COPY!Z5638</f>
        <v>0</v>
      </c>
      <c r="H5646" s="111" t="str">
        <f>IFERROR(VLOOKUP(Table1722[[#This Row],[Bukti]],'Un nOTA'!$A$4:$K$5003,10,FALSE),"")</f>
        <v/>
      </c>
      <c r="I5646" s="123" t="str">
        <f>IFERROR(VLOOKUP(Table1722[[#This Row],[Bukti]],Table13[#Data],11,FALSE),"")</f>
        <v/>
      </c>
    </row>
    <row r="5647" spans="1:9" hidden="1" x14ac:dyDescent="0.2">
      <c r="A5647" s="105" t="str">
        <f>IF(D5647=1,COUNTIF($D$10:D5647,1)," ")</f>
        <v xml:space="preserve"> </v>
      </c>
      <c r="B5647" s="106">
        <f>COPY!AR5639</f>
        <v>0</v>
      </c>
      <c r="C5647" s="107">
        <f>COPY!AC5639</f>
        <v>0</v>
      </c>
      <c r="D5647" s="107" t="str">
        <f>IF(LEN(Table1722[[#This Row],[Uraian]])&gt;2,1," ")</f>
        <v xml:space="preserve"> </v>
      </c>
      <c r="E5647" s="113" t="str">
        <f>IF(Table1722[[#This Row],[Lawan Transaksi]]="CV AGUNG KARYA",COUNTIF($I$10:I5647,"CV AGUNG KARYA")," ")</f>
        <v xml:space="preserve"> </v>
      </c>
      <c r="F5647" s="107" t="str">
        <f>IF(LEN(Table1722[[#This Row],[Uraian]])&gt;2,TRIM(RIGHT(SUBSTITUTE(TRIM(C5647)," ",REPT(" ",255)),255))," ")</f>
        <v xml:space="preserve"> </v>
      </c>
      <c r="G5647" s="110">
        <f>COPY!Z5639</f>
        <v>0</v>
      </c>
      <c r="H5647" s="111" t="str">
        <f>IFERROR(VLOOKUP(Table1722[[#This Row],[Bukti]],'Un nOTA'!$A$4:$K$5003,10,FALSE),"")</f>
        <v/>
      </c>
      <c r="I5647" s="123" t="str">
        <f>IFERROR(VLOOKUP(Table1722[[#This Row],[Bukti]],Table13[#Data],11,FALSE),"")</f>
        <v/>
      </c>
    </row>
    <row r="5648" spans="1:9" hidden="1" x14ac:dyDescent="0.2">
      <c r="A5648" s="105" t="str">
        <f>IF(D5648=1,COUNTIF($D$10:D5648,1)," ")</f>
        <v xml:space="preserve"> </v>
      </c>
      <c r="B5648" s="106">
        <f>COPY!AR5640</f>
        <v>0</v>
      </c>
      <c r="C5648" s="107">
        <f>COPY!AC5640</f>
        <v>0</v>
      </c>
      <c r="D5648" s="107" t="str">
        <f>IF(LEN(Table1722[[#This Row],[Uraian]])&gt;2,1," ")</f>
        <v xml:space="preserve"> </v>
      </c>
      <c r="E5648" s="113" t="str">
        <f>IF(Table1722[[#This Row],[Lawan Transaksi]]="CV AGUNG KARYA",COUNTIF($I$10:I5648,"CV AGUNG KARYA")," ")</f>
        <v xml:space="preserve"> </v>
      </c>
      <c r="F5648" s="107" t="str">
        <f>IF(LEN(Table1722[[#This Row],[Uraian]])&gt;2,TRIM(RIGHT(SUBSTITUTE(TRIM(C5648)," ",REPT(" ",255)),255))," ")</f>
        <v xml:space="preserve"> </v>
      </c>
      <c r="G5648" s="110">
        <f>COPY!Z5640</f>
        <v>0</v>
      </c>
      <c r="H5648" s="111" t="str">
        <f>IFERROR(VLOOKUP(Table1722[[#This Row],[Bukti]],'Un nOTA'!$A$4:$K$5003,10,FALSE),"")</f>
        <v/>
      </c>
      <c r="I5648" s="123" t="str">
        <f>IFERROR(VLOOKUP(Table1722[[#This Row],[Bukti]],Table13[#Data],11,FALSE),"")</f>
        <v/>
      </c>
    </row>
    <row r="5649" spans="1:9" hidden="1" x14ac:dyDescent="0.2">
      <c r="A5649" s="105" t="str">
        <f>IF(D5649=1,COUNTIF($D$10:D5649,1)," ")</f>
        <v xml:space="preserve"> </v>
      </c>
      <c r="B5649" s="106">
        <f>COPY!AR5641</f>
        <v>0</v>
      </c>
      <c r="C5649" s="107">
        <f>COPY!AC5641</f>
        <v>0</v>
      </c>
      <c r="D5649" s="107" t="str">
        <f>IF(LEN(Table1722[[#This Row],[Uraian]])&gt;2,1," ")</f>
        <v xml:space="preserve"> </v>
      </c>
      <c r="E5649" s="113" t="str">
        <f>IF(Table1722[[#This Row],[Lawan Transaksi]]="CV AGUNG KARYA",COUNTIF($I$10:I5649,"CV AGUNG KARYA")," ")</f>
        <v xml:space="preserve"> </v>
      </c>
      <c r="F5649" s="107" t="str">
        <f>IF(LEN(Table1722[[#This Row],[Uraian]])&gt;2,TRIM(RIGHT(SUBSTITUTE(TRIM(C5649)," ",REPT(" ",255)),255))," ")</f>
        <v xml:space="preserve"> </v>
      </c>
      <c r="G5649" s="110">
        <f>COPY!Z5641</f>
        <v>0</v>
      </c>
      <c r="H5649" s="111" t="str">
        <f>IFERROR(VLOOKUP(Table1722[[#This Row],[Bukti]],'Un nOTA'!$A$4:$K$5003,10,FALSE),"")</f>
        <v/>
      </c>
      <c r="I5649" s="123" t="str">
        <f>IFERROR(VLOOKUP(Table1722[[#This Row],[Bukti]],Table13[#Data],11,FALSE),"")</f>
        <v/>
      </c>
    </row>
    <row r="5650" spans="1:9" hidden="1" x14ac:dyDescent="0.2">
      <c r="A5650" s="105" t="str">
        <f>IF(D5650=1,COUNTIF($D$10:D5650,1)," ")</f>
        <v xml:space="preserve"> </v>
      </c>
      <c r="B5650" s="106">
        <f>COPY!AR5642</f>
        <v>0</v>
      </c>
      <c r="C5650" s="107">
        <f>COPY!AC5642</f>
        <v>0</v>
      </c>
      <c r="D5650" s="107" t="str">
        <f>IF(LEN(Table1722[[#This Row],[Uraian]])&gt;2,1," ")</f>
        <v xml:space="preserve"> </v>
      </c>
      <c r="E5650" s="113" t="str">
        <f>IF(Table1722[[#This Row],[Lawan Transaksi]]="CV AGUNG KARYA",COUNTIF($I$10:I5650,"CV AGUNG KARYA")," ")</f>
        <v xml:space="preserve"> </v>
      </c>
      <c r="F5650" s="107" t="str">
        <f>IF(LEN(Table1722[[#This Row],[Uraian]])&gt;2,TRIM(RIGHT(SUBSTITUTE(TRIM(C5650)," ",REPT(" ",255)),255))," ")</f>
        <v xml:space="preserve"> </v>
      </c>
      <c r="G5650" s="110">
        <f>COPY!Z5642</f>
        <v>0</v>
      </c>
      <c r="H5650" s="111" t="str">
        <f>IFERROR(VLOOKUP(Table1722[[#This Row],[Bukti]],'Un nOTA'!$A$4:$K$5003,10,FALSE),"")</f>
        <v/>
      </c>
      <c r="I5650" s="123" t="str">
        <f>IFERROR(VLOOKUP(Table1722[[#This Row],[Bukti]],Table13[#Data],11,FALSE),"")</f>
        <v/>
      </c>
    </row>
    <row r="5651" spans="1:9" hidden="1" x14ac:dyDescent="0.2">
      <c r="A5651" s="105" t="str">
        <f>IF(D5651=1,COUNTIF($D$10:D5651,1)," ")</f>
        <v xml:space="preserve"> </v>
      </c>
      <c r="B5651" s="106">
        <f>COPY!AR5643</f>
        <v>0</v>
      </c>
      <c r="C5651" s="107">
        <f>COPY!AC5643</f>
        <v>0</v>
      </c>
      <c r="D5651" s="107" t="str">
        <f>IF(LEN(Table1722[[#This Row],[Uraian]])&gt;2,1," ")</f>
        <v xml:space="preserve"> </v>
      </c>
      <c r="E5651" s="113" t="str">
        <f>IF(Table1722[[#This Row],[Lawan Transaksi]]="CV AGUNG KARYA",COUNTIF($I$10:I5651,"CV AGUNG KARYA")," ")</f>
        <v xml:space="preserve"> </v>
      </c>
      <c r="F5651" s="107" t="str">
        <f>IF(LEN(Table1722[[#This Row],[Uraian]])&gt;2,TRIM(RIGHT(SUBSTITUTE(TRIM(C5651)," ",REPT(" ",255)),255))," ")</f>
        <v xml:space="preserve"> </v>
      </c>
      <c r="G5651" s="110">
        <f>COPY!Z5643</f>
        <v>0</v>
      </c>
      <c r="H5651" s="111" t="str">
        <f>IFERROR(VLOOKUP(Table1722[[#This Row],[Bukti]],'Un nOTA'!$A$4:$K$5003,10,FALSE),"")</f>
        <v/>
      </c>
      <c r="I5651" s="123" t="str">
        <f>IFERROR(VLOOKUP(Table1722[[#This Row],[Bukti]],Table13[#Data],11,FALSE),"")</f>
        <v/>
      </c>
    </row>
    <row r="5652" spans="1:9" hidden="1" x14ac:dyDescent="0.2">
      <c r="A5652" s="105" t="str">
        <f>IF(D5652=1,COUNTIF($D$10:D5652,1)," ")</f>
        <v xml:space="preserve"> </v>
      </c>
      <c r="B5652" s="106">
        <f>COPY!AR5644</f>
        <v>0</v>
      </c>
      <c r="C5652" s="107">
        <f>COPY!AC5644</f>
        <v>0</v>
      </c>
      <c r="D5652" s="107" t="str">
        <f>IF(LEN(Table1722[[#This Row],[Uraian]])&gt;2,1," ")</f>
        <v xml:space="preserve"> </v>
      </c>
      <c r="E5652" s="113" t="str">
        <f>IF(Table1722[[#This Row],[Lawan Transaksi]]="CV AGUNG KARYA",COUNTIF($I$10:I5652,"CV AGUNG KARYA")," ")</f>
        <v xml:space="preserve"> </v>
      </c>
      <c r="F5652" s="107" t="str">
        <f>IF(LEN(Table1722[[#This Row],[Uraian]])&gt;2,TRIM(RIGHT(SUBSTITUTE(TRIM(C5652)," ",REPT(" ",255)),255))," ")</f>
        <v xml:space="preserve"> </v>
      </c>
      <c r="G5652" s="110">
        <f>COPY!Z5644</f>
        <v>0</v>
      </c>
      <c r="H5652" s="111" t="str">
        <f>IFERROR(VLOOKUP(Table1722[[#This Row],[Bukti]],'Un nOTA'!$A$4:$K$5003,10,FALSE),"")</f>
        <v/>
      </c>
      <c r="I5652" s="123" t="str">
        <f>IFERROR(VLOOKUP(Table1722[[#This Row],[Bukti]],Table13[#Data],11,FALSE),"")</f>
        <v/>
      </c>
    </row>
    <row r="5653" spans="1:9" hidden="1" x14ac:dyDescent="0.2">
      <c r="A5653" s="105" t="str">
        <f>IF(D5653=1,COUNTIF($D$10:D5653,1)," ")</f>
        <v xml:space="preserve"> </v>
      </c>
      <c r="B5653" s="106">
        <f>COPY!AR5645</f>
        <v>0</v>
      </c>
      <c r="C5653" s="107">
        <f>COPY!AC5645</f>
        <v>0</v>
      </c>
      <c r="D5653" s="107" t="str">
        <f>IF(LEN(Table1722[[#This Row],[Uraian]])&gt;2,1," ")</f>
        <v xml:space="preserve"> </v>
      </c>
      <c r="E5653" s="113" t="str">
        <f>IF(Table1722[[#This Row],[Lawan Transaksi]]="CV AGUNG KARYA",COUNTIF($I$10:I5653,"CV AGUNG KARYA")," ")</f>
        <v xml:space="preserve"> </v>
      </c>
      <c r="F5653" s="107" t="str">
        <f>IF(LEN(Table1722[[#This Row],[Uraian]])&gt;2,TRIM(RIGHT(SUBSTITUTE(TRIM(C5653)," ",REPT(" ",255)),255))," ")</f>
        <v xml:space="preserve"> </v>
      </c>
      <c r="G5653" s="110">
        <f>COPY!Z5645</f>
        <v>0</v>
      </c>
      <c r="H5653" s="111" t="str">
        <f>IFERROR(VLOOKUP(Table1722[[#This Row],[Bukti]],'Un nOTA'!$A$4:$K$5003,10,FALSE),"")</f>
        <v/>
      </c>
      <c r="I5653" s="123" t="str">
        <f>IFERROR(VLOOKUP(Table1722[[#This Row],[Bukti]],Table13[#Data],11,FALSE),"")</f>
        <v/>
      </c>
    </row>
    <row r="5654" spans="1:9" hidden="1" x14ac:dyDescent="0.2">
      <c r="A5654" s="105" t="str">
        <f>IF(D5654=1,COUNTIF($D$10:D5654,1)," ")</f>
        <v xml:space="preserve"> </v>
      </c>
      <c r="B5654" s="106">
        <f>COPY!AR5646</f>
        <v>0</v>
      </c>
      <c r="C5654" s="107">
        <f>COPY!AC5646</f>
        <v>0</v>
      </c>
      <c r="D5654" s="107" t="str">
        <f>IF(LEN(Table1722[[#This Row],[Uraian]])&gt;2,1," ")</f>
        <v xml:space="preserve"> </v>
      </c>
      <c r="E5654" s="113" t="str">
        <f>IF(Table1722[[#This Row],[Lawan Transaksi]]="CV AGUNG KARYA",COUNTIF($I$10:I5654,"CV AGUNG KARYA")," ")</f>
        <v xml:space="preserve"> </v>
      </c>
      <c r="F5654" s="107" t="str">
        <f>IF(LEN(Table1722[[#This Row],[Uraian]])&gt;2,TRIM(RIGHT(SUBSTITUTE(TRIM(C5654)," ",REPT(" ",255)),255))," ")</f>
        <v xml:space="preserve"> </v>
      </c>
      <c r="G5654" s="110">
        <f>COPY!Z5646</f>
        <v>0</v>
      </c>
      <c r="H5654" s="111" t="str">
        <f>IFERROR(VLOOKUP(Table1722[[#This Row],[Bukti]],'Un nOTA'!$A$4:$K$5003,10,FALSE),"")</f>
        <v/>
      </c>
      <c r="I5654" s="123" t="str">
        <f>IFERROR(VLOOKUP(Table1722[[#This Row],[Bukti]],Table13[#Data],11,FALSE),"")</f>
        <v/>
      </c>
    </row>
    <row r="5655" spans="1:9" hidden="1" x14ac:dyDescent="0.2">
      <c r="A5655" s="105" t="str">
        <f>IF(D5655=1,COUNTIF($D$10:D5655,1)," ")</f>
        <v xml:space="preserve"> </v>
      </c>
      <c r="B5655" s="106">
        <f>COPY!AR5647</f>
        <v>0</v>
      </c>
      <c r="C5655" s="107">
        <f>COPY!AC5647</f>
        <v>0</v>
      </c>
      <c r="D5655" s="107" t="str">
        <f>IF(LEN(Table1722[[#This Row],[Uraian]])&gt;2,1," ")</f>
        <v xml:space="preserve"> </v>
      </c>
      <c r="E5655" s="113" t="str">
        <f>IF(Table1722[[#This Row],[Lawan Transaksi]]="CV AGUNG KARYA",COUNTIF($I$10:I5655,"CV AGUNG KARYA")," ")</f>
        <v xml:space="preserve"> </v>
      </c>
      <c r="F5655" s="107" t="str">
        <f>IF(LEN(Table1722[[#This Row],[Uraian]])&gt;2,TRIM(RIGHT(SUBSTITUTE(TRIM(C5655)," ",REPT(" ",255)),255))," ")</f>
        <v xml:space="preserve"> </v>
      </c>
      <c r="G5655" s="110">
        <f>COPY!Z5647</f>
        <v>0</v>
      </c>
      <c r="H5655" s="111" t="str">
        <f>IFERROR(VLOOKUP(Table1722[[#This Row],[Bukti]],'Un nOTA'!$A$4:$K$5003,10,FALSE),"")</f>
        <v/>
      </c>
      <c r="I5655" s="123" t="str">
        <f>IFERROR(VLOOKUP(Table1722[[#This Row],[Bukti]],Table13[#Data],11,FALSE),"")</f>
        <v/>
      </c>
    </row>
    <row r="5656" spans="1:9" hidden="1" x14ac:dyDescent="0.2">
      <c r="A5656" s="105" t="str">
        <f>IF(D5656=1,COUNTIF($D$10:D5656,1)," ")</f>
        <v xml:space="preserve"> </v>
      </c>
      <c r="B5656" s="106">
        <f>COPY!AR5648</f>
        <v>0</v>
      </c>
      <c r="C5656" s="107">
        <f>COPY!AC5648</f>
        <v>0</v>
      </c>
      <c r="D5656" s="107" t="str">
        <f>IF(LEN(Table1722[[#This Row],[Uraian]])&gt;2,1," ")</f>
        <v xml:space="preserve"> </v>
      </c>
      <c r="E5656" s="113" t="str">
        <f>IF(Table1722[[#This Row],[Lawan Transaksi]]="CV AGUNG KARYA",COUNTIF($I$10:I5656,"CV AGUNG KARYA")," ")</f>
        <v xml:space="preserve"> </v>
      </c>
      <c r="F5656" s="107" t="str">
        <f>IF(LEN(Table1722[[#This Row],[Uraian]])&gt;2,TRIM(RIGHT(SUBSTITUTE(TRIM(C5656)," ",REPT(" ",255)),255))," ")</f>
        <v xml:space="preserve"> </v>
      </c>
      <c r="G5656" s="110">
        <f>COPY!Z5648</f>
        <v>0</v>
      </c>
      <c r="H5656" s="111" t="str">
        <f>IFERROR(VLOOKUP(Table1722[[#This Row],[Bukti]],'Un nOTA'!$A$4:$K$5003,10,FALSE),"")</f>
        <v/>
      </c>
      <c r="I5656" s="123" t="str">
        <f>IFERROR(VLOOKUP(Table1722[[#This Row],[Bukti]],Table13[#Data],11,FALSE),"")</f>
        <v/>
      </c>
    </row>
    <row r="5657" spans="1:9" hidden="1" x14ac:dyDescent="0.2">
      <c r="A5657" s="105" t="str">
        <f>IF(D5657=1,COUNTIF($D$10:D5657,1)," ")</f>
        <v xml:space="preserve"> </v>
      </c>
      <c r="B5657" s="106">
        <f>COPY!AR5649</f>
        <v>0</v>
      </c>
      <c r="C5657" s="107">
        <f>COPY!AC5649</f>
        <v>0</v>
      </c>
      <c r="D5657" s="107" t="str">
        <f>IF(LEN(Table1722[[#This Row],[Uraian]])&gt;2,1," ")</f>
        <v xml:space="preserve"> </v>
      </c>
      <c r="E5657" s="113" t="str">
        <f>IF(Table1722[[#This Row],[Lawan Transaksi]]="CV AGUNG KARYA",COUNTIF($I$10:I5657,"CV AGUNG KARYA")," ")</f>
        <v xml:space="preserve"> </v>
      </c>
      <c r="F5657" s="107" t="str">
        <f>IF(LEN(Table1722[[#This Row],[Uraian]])&gt;2,TRIM(RIGHT(SUBSTITUTE(TRIM(C5657)," ",REPT(" ",255)),255))," ")</f>
        <v xml:space="preserve"> </v>
      </c>
      <c r="G5657" s="110">
        <f>COPY!Z5649</f>
        <v>0</v>
      </c>
      <c r="H5657" s="111" t="str">
        <f>IFERROR(VLOOKUP(Table1722[[#This Row],[Bukti]],'Un nOTA'!$A$4:$K$5003,10,FALSE),"")</f>
        <v/>
      </c>
      <c r="I5657" s="123" t="str">
        <f>IFERROR(VLOOKUP(Table1722[[#This Row],[Bukti]],Table13[#Data],11,FALSE),"")</f>
        <v/>
      </c>
    </row>
    <row r="5658" spans="1:9" hidden="1" x14ac:dyDescent="0.2">
      <c r="A5658" s="105" t="str">
        <f>IF(D5658=1,COUNTIF($D$10:D5658,1)," ")</f>
        <v xml:space="preserve"> </v>
      </c>
      <c r="B5658" s="106">
        <f>COPY!AR5650</f>
        <v>0</v>
      </c>
      <c r="C5658" s="107">
        <f>COPY!AC5650</f>
        <v>0</v>
      </c>
      <c r="D5658" s="107" t="str">
        <f>IF(LEN(Table1722[[#This Row],[Uraian]])&gt;2,1," ")</f>
        <v xml:space="preserve"> </v>
      </c>
      <c r="E5658" s="113" t="str">
        <f>IF(Table1722[[#This Row],[Lawan Transaksi]]="CV AGUNG KARYA",COUNTIF($I$10:I5658,"CV AGUNG KARYA")," ")</f>
        <v xml:space="preserve"> </v>
      </c>
      <c r="F5658" s="107" t="str">
        <f>IF(LEN(Table1722[[#This Row],[Uraian]])&gt;2,TRIM(RIGHT(SUBSTITUTE(TRIM(C5658)," ",REPT(" ",255)),255))," ")</f>
        <v xml:space="preserve"> </v>
      </c>
      <c r="G5658" s="110">
        <f>COPY!Z5650</f>
        <v>0</v>
      </c>
      <c r="H5658" s="111" t="str">
        <f>IFERROR(VLOOKUP(Table1722[[#This Row],[Bukti]],'Un nOTA'!$A$4:$K$5003,10,FALSE),"")</f>
        <v/>
      </c>
      <c r="I5658" s="123" t="str">
        <f>IFERROR(VLOOKUP(Table1722[[#This Row],[Bukti]],Table13[#Data],11,FALSE),"")</f>
        <v/>
      </c>
    </row>
    <row r="5659" spans="1:9" hidden="1" x14ac:dyDescent="0.2">
      <c r="A5659" s="105" t="str">
        <f>IF(D5659=1,COUNTIF($D$10:D5659,1)," ")</f>
        <v xml:space="preserve"> </v>
      </c>
      <c r="B5659" s="106">
        <f>COPY!AR5651</f>
        <v>0</v>
      </c>
      <c r="C5659" s="107">
        <f>COPY!AC5651</f>
        <v>0</v>
      </c>
      <c r="D5659" s="107" t="str">
        <f>IF(LEN(Table1722[[#This Row],[Uraian]])&gt;2,1," ")</f>
        <v xml:space="preserve"> </v>
      </c>
      <c r="E5659" s="113" t="str">
        <f>IF(Table1722[[#This Row],[Lawan Transaksi]]="CV AGUNG KARYA",COUNTIF($I$10:I5659,"CV AGUNG KARYA")," ")</f>
        <v xml:space="preserve"> </v>
      </c>
      <c r="F5659" s="107" t="str">
        <f>IF(LEN(Table1722[[#This Row],[Uraian]])&gt;2,TRIM(RIGHT(SUBSTITUTE(TRIM(C5659)," ",REPT(" ",255)),255))," ")</f>
        <v xml:space="preserve"> </v>
      </c>
      <c r="G5659" s="110">
        <f>COPY!Z5651</f>
        <v>0</v>
      </c>
      <c r="H5659" s="111" t="str">
        <f>IFERROR(VLOOKUP(Table1722[[#This Row],[Bukti]],'Un nOTA'!$A$4:$K$5003,10,FALSE),"")</f>
        <v/>
      </c>
      <c r="I5659" s="123" t="str">
        <f>IFERROR(VLOOKUP(Table1722[[#This Row],[Bukti]],Table13[#Data],11,FALSE),"")</f>
        <v/>
      </c>
    </row>
    <row r="5660" spans="1:9" hidden="1" x14ac:dyDescent="0.2">
      <c r="A5660" s="105" t="str">
        <f>IF(D5660=1,COUNTIF($D$10:D5660,1)," ")</f>
        <v xml:space="preserve"> </v>
      </c>
      <c r="B5660" s="106">
        <f>COPY!AR5652</f>
        <v>0</v>
      </c>
      <c r="C5660" s="107">
        <f>COPY!AC5652</f>
        <v>0</v>
      </c>
      <c r="D5660" s="107" t="str">
        <f>IF(LEN(Table1722[[#This Row],[Uraian]])&gt;2,1," ")</f>
        <v xml:space="preserve"> </v>
      </c>
      <c r="E5660" s="113" t="str">
        <f>IF(Table1722[[#This Row],[Lawan Transaksi]]="CV AGUNG KARYA",COUNTIF($I$10:I5660,"CV AGUNG KARYA")," ")</f>
        <v xml:space="preserve"> </v>
      </c>
      <c r="F5660" s="107" t="str">
        <f>IF(LEN(Table1722[[#This Row],[Uraian]])&gt;2,TRIM(RIGHT(SUBSTITUTE(TRIM(C5660)," ",REPT(" ",255)),255))," ")</f>
        <v xml:space="preserve"> </v>
      </c>
      <c r="G5660" s="110">
        <f>COPY!Z5652</f>
        <v>0</v>
      </c>
      <c r="H5660" s="111" t="str">
        <f>IFERROR(VLOOKUP(Table1722[[#This Row],[Bukti]],'Un nOTA'!$A$4:$K$5003,10,FALSE),"")</f>
        <v/>
      </c>
      <c r="I5660" s="123" t="str">
        <f>IFERROR(VLOOKUP(Table1722[[#This Row],[Bukti]],Table13[#Data],11,FALSE),"")</f>
        <v/>
      </c>
    </row>
    <row r="5661" spans="1:9" hidden="1" x14ac:dyDescent="0.2">
      <c r="A5661" s="105" t="str">
        <f>IF(D5661=1,COUNTIF($D$10:D5661,1)," ")</f>
        <v xml:space="preserve"> </v>
      </c>
      <c r="B5661" s="106">
        <f>COPY!AR5653</f>
        <v>0</v>
      </c>
      <c r="C5661" s="107">
        <f>COPY!AC5653</f>
        <v>0</v>
      </c>
      <c r="D5661" s="107" t="str">
        <f>IF(LEN(Table1722[[#This Row],[Uraian]])&gt;2,1," ")</f>
        <v xml:space="preserve"> </v>
      </c>
      <c r="E5661" s="113" t="str">
        <f>IF(Table1722[[#This Row],[Lawan Transaksi]]="CV AGUNG KARYA",COUNTIF($I$10:I5661,"CV AGUNG KARYA")," ")</f>
        <v xml:space="preserve"> </v>
      </c>
      <c r="F5661" s="107" t="str">
        <f>IF(LEN(Table1722[[#This Row],[Uraian]])&gt;2,TRIM(RIGHT(SUBSTITUTE(TRIM(C5661)," ",REPT(" ",255)),255))," ")</f>
        <v xml:space="preserve"> </v>
      </c>
      <c r="G5661" s="110">
        <f>COPY!Z5653</f>
        <v>0</v>
      </c>
      <c r="H5661" s="111" t="str">
        <f>IFERROR(VLOOKUP(Table1722[[#This Row],[Bukti]],'Un nOTA'!$A$4:$K$5003,10,FALSE),"")</f>
        <v/>
      </c>
      <c r="I5661" s="123" t="str">
        <f>IFERROR(VLOOKUP(Table1722[[#This Row],[Bukti]],Table13[#Data],11,FALSE),"")</f>
        <v/>
      </c>
    </row>
    <row r="5662" spans="1:9" hidden="1" x14ac:dyDescent="0.2">
      <c r="A5662" s="105" t="str">
        <f>IF(D5662=1,COUNTIF($D$10:D5662,1)," ")</f>
        <v xml:space="preserve"> </v>
      </c>
      <c r="B5662" s="106">
        <f>COPY!AR5654</f>
        <v>0</v>
      </c>
      <c r="C5662" s="107">
        <f>COPY!AC5654</f>
        <v>0</v>
      </c>
      <c r="D5662" s="107" t="str">
        <f>IF(LEN(Table1722[[#This Row],[Uraian]])&gt;2,1," ")</f>
        <v xml:space="preserve"> </v>
      </c>
      <c r="E5662" s="113" t="str">
        <f>IF(Table1722[[#This Row],[Lawan Transaksi]]="CV AGUNG KARYA",COUNTIF($I$10:I5662,"CV AGUNG KARYA")," ")</f>
        <v xml:space="preserve"> </v>
      </c>
      <c r="F5662" s="107" t="str">
        <f>IF(LEN(Table1722[[#This Row],[Uraian]])&gt;2,TRIM(RIGHT(SUBSTITUTE(TRIM(C5662)," ",REPT(" ",255)),255))," ")</f>
        <v xml:space="preserve"> </v>
      </c>
      <c r="G5662" s="110">
        <f>COPY!Z5654</f>
        <v>0</v>
      </c>
      <c r="H5662" s="111" t="str">
        <f>IFERROR(VLOOKUP(Table1722[[#This Row],[Bukti]],'Un nOTA'!$A$4:$K$5003,10,FALSE),"")</f>
        <v/>
      </c>
      <c r="I5662" s="123" t="str">
        <f>IFERROR(VLOOKUP(Table1722[[#This Row],[Bukti]],Table13[#Data],11,FALSE),"")</f>
        <v/>
      </c>
    </row>
    <row r="5663" spans="1:9" hidden="1" x14ac:dyDescent="0.2">
      <c r="A5663" s="105" t="str">
        <f>IF(D5663=1,COUNTIF($D$10:D5663,1)," ")</f>
        <v xml:space="preserve"> </v>
      </c>
      <c r="B5663" s="106">
        <f>COPY!AR5655</f>
        <v>0</v>
      </c>
      <c r="C5663" s="107">
        <f>COPY!AC5655</f>
        <v>0</v>
      </c>
      <c r="D5663" s="107" t="str">
        <f>IF(LEN(Table1722[[#This Row],[Uraian]])&gt;2,1," ")</f>
        <v xml:space="preserve"> </v>
      </c>
      <c r="E5663" s="113" t="str">
        <f>IF(Table1722[[#This Row],[Lawan Transaksi]]="CV AGUNG KARYA",COUNTIF($I$10:I5663,"CV AGUNG KARYA")," ")</f>
        <v xml:space="preserve"> </v>
      </c>
      <c r="F5663" s="107" t="str">
        <f>IF(LEN(Table1722[[#This Row],[Uraian]])&gt;2,TRIM(RIGHT(SUBSTITUTE(TRIM(C5663)," ",REPT(" ",255)),255))," ")</f>
        <v xml:space="preserve"> </v>
      </c>
      <c r="G5663" s="110">
        <f>COPY!Z5655</f>
        <v>0</v>
      </c>
      <c r="H5663" s="111" t="str">
        <f>IFERROR(VLOOKUP(Table1722[[#This Row],[Bukti]],'Un nOTA'!$A$4:$K$5003,10,FALSE),"")</f>
        <v/>
      </c>
      <c r="I5663" s="123" t="str">
        <f>IFERROR(VLOOKUP(Table1722[[#This Row],[Bukti]],Table13[#Data],11,FALSE),"")</f>
        <v/>
      </c>
    </row>
    <row r="5664" spans="1:9" hidden="1" x14ac:dyDescent="0.2">
      <c r="A5664" s="105" t="str">
        <f>IF(D5664=1,COUNTIF($D$10:D5664,1)," ")</f>
        <v xml:space="preserve"> </v>
      </c>
      <c r="B5664" s="106">
        <f>COPY!AR5656</f>
        <v>0</v>
      </c>
      <c r="C5664" s="107">
        <f>COPY!AC5656</f>
        <v>0</v>
      </c>
      <c r="D5664" s="107" t="str">
        <f>IF(LEN(Table1722[[#This Row],[Uraian]])&gt;2,1," ")</f>
        <v xml:space="preserve"> </v>
      </c>
      <c r="E5664" s="113" t="str">
        <f>IF(Table1722[[#This Row],[Lawan Transaksi]]="CV AGUNG KARYA",COUNTIF($I$10:I5664,"CV AGUNG KARYA")," ")</f>
        <v xml:space="preserve"> </v>
      </c>
      <c r="F5664" s="107" t="str">
        <f>IF(LEN(Table1722[[#This Row],[Uraian]])&gt;2,TRIM(RIGHT(SUBSTITUTE(TRIM(C5664)," ",REPT(" ",255)),255))," ")</f>
        <v xml:space="preserve"> </v>
      </c>
      <c r="G5664" s="110">
        <f>COPY!Z5656</f>
        <v>0</v>
      </c>
      <c r="H5664" s="111" t="str">
        <f>IFERROR(VLOOKUP(Table1722[[#This Row],[Bukti]],'Un nOTA'!$A$4:$K$5003,10,FALSE),"")</f>
        <v/>
      </c>
      <c r="I5664" s="123" t="str">
        <f>IFERROR(VLOOKUP(Table1722[[#This Row],[Bukti]],Table13[#Data],11,FALSE),"")</f>
        <v/>
      </c>
    </row>
    <row r="5665" spans="1:9" hidden="1" x14ac:dyDescent="0.2">
      <c r="A5665" s="105" t="str">
        <f>IF(D5665=1,COUNTIF($D$10:D5665,1)," ")</f>
        <v xml:space="preserve"> </v>
      </c>
      <c r="B5665" s="106">
        <f>COPY!AR5657</f>
        <v>0</v>
      </c>
      <c r="C5665" s="107">
        <f>COPY!AC5657</f>
        <v>0</v>
      </c>
      <c r="D5665" s="107" t="str">
        <f>IF(LEN(Table1722[[#This Row],[Uraian]])&gt;2,1," ")</f>
        <v xml:space="preserve"> </v>
      </c>
      <c r="E5665" s="113" t="str">
        <f>IF(Table1722[[#This Row],[Lawan Transaksi]]="CV AGUNG KARYA",COUNTIF($I$10:I5665,"CV AGUNG KARYA")," ")</f>
        <v xml:space="preserve"> </v>
      </c>
      <c r="F5665" s="107" t="str">
        <f>IF(LEN(Table1722[[#This Row],[Uraian]])&gt;2,TRIM(RIGHT(SUBSTITUTE(TRIM(C5665)," ",REPT(" ",255)),255))," ")</f>
        <v xml:space="preserve"> </v>
      </c>
      <c r="G5665" s="110">
        <f>COPY!Z5657</f>
        <v>0</v>
      </c>
      <c r="H5665" s="111" t="str">
        <f>IFERROR(VLOOKUP(Table1722[[#This Row],[Bukti]],'Un nOTA'!$A$4:$K$5003,10,FALSE),"")</f>
        <v/>
      </c>
      <c r="I5665" s="123" t="str">
        <f>IFERROR(VLOOKUP(Table1722[[#This Row],[Bukti]],Table13[#Data],11,FALSE),"")</f>
        <v/>
      </c>
    </row>
    <row r="5666" spans="1:9" hidden="1" x14ac:dyDescent="0.2">
      <c r="A5666" s="105" t="str">
        <f>IF(D5666=1,COUNTIF($D$10:D5666,1)," ")</f>
        <v xml:space="preserve"> </v>
      </c>
      <c r="B5666" s="106">
        <f>COPY!AR5658</f>
        <v>0</v>
      </c>
      <c r="C5666" s="107">
        <f>COPY!AC5658</f>
        <v>0</v>
      </c>
      <c r="D5666" s="107" t="str">
        <f>IF(LEN(Table1722[[#This Row],[Uraian]])&gt;2,1," ")</f>
        <v xml:space="preserve"> </v>
      </c>
      <c r="E5666" s="113" t="str">
        <f>IF(Table1722[[#This Row],[Lawan Transaksi]]="CV AGUNG KARYA",COUNTIF($I$10:I5666,"CV AGUNG KARYA")," ")</f>
        <v xml:space="preserve"> </v>
      </c>
      <c r="F5666" s="107" t="str">
        <f>IF(LEN(Table1722[[#This Row],[Uraian]])&gt;2,TRIM(RIGHT(SUBSTITUTE(TRIM(C5666)," ",REPT(" ",255)),255))," ")</f>
        <v xml:space="preserve"> </v>
      </c>
      <c r="G5666" s="110">
        <f>COPY!Z5658</f>
        <v>0</v>
      </c>
      <c r="H5666" s="111" t="str">
        <f>IFERROR(VLOOKUP(Table1722[[#This Row],[Bukti]],'Un nOTA'!$A$4:$K$5003,10,FALSE),"")</f>
        <v/>
      </c>
      <c r="I5666" s="123" t="str">
        <f>IFERROR(VLOOKUP(Table1722[[#This Row],[Bukti]],Table13[#Data],11,FALSE),"")</f>
        <v/>
      </c>
    </row>
    <row r="5667" spans="1:9" hidden="1" x14ac:dyDescent="0.2">
      <c r="A5667" s="105" t="str">
        <f>IF(D5667=1,COUNTIF($D$10:D5667,1)," ")</f>
        <v xml:space="preserve"> </v>
      </c>
      <c r="B5667" s="106">
        <f>COPY!AR5659</f>
        <v>0</v>
      </c>
      <c r="C5667" s="107">
        <f>COPY!AC5659</f>
        <v>0</v>
      </c>
      <c r="D5667" s="107" t="str">
        <f>IF(LEN(Table1722[[#This Row],[Uraian]])&gt;2,1," ")</f>
        <v xml:space="preserve"> </v>
      </c>
      <c r="E5667" s="113" t="str">
        <f>IF(Table1722[[#This Row],[Lawan Transaksi]]="CV AGUNG KARYA",COUNTIF($I$10:I5667,"CV AGUNG KARYA")," ")</f>
        <v xml:space="preserve"> </v>
      </c>
      <c r="F5667" s="107" t="str">
        <f>IF(LEN(Table1722[[#This Row],[Uraian]])&gt;2,TRIM(RIGHT(SUBSTITUTE(TRIM(C5667)," ",REPT(" ",255)),255))," ")</f>
        <v xml:space="preserve"> </v>
      </c>
      <c r="G5667" s="110">
        <f>COPY!Z5659</f>
        <v>0</v>
      </c>
      <c r="H5667" s="111" t="str">
        <f>IFERROR(VLOOKUP(Table1722[[#This Row],[Bukti]],'Un nOTA'!$A$4:$K$5003,10,FALSE),"")</f>
        <v/>
      </c>
      <c r="I5667" s="123" t="str">
        <f>IFERROR(VLOOKUP(Table1722[[#This Row],[Bukti]],Table13[#Data],11,FALSE),"")</f>
        <v/>
      </c>
    </row>
    <row r="5668" spans="1:9" hidden="1" x14ac:dyDescent="0.2">
      <c r="A5668" s="105" t="str">
        <f>IF(D5668=1,COUNTIF($D$10:D5668,1)," ")</f>
        <v xml:space="preserve"> </v>
      </c>
      <c r="B5668" s="106">
        <f>COPY!AR5660</f>
        <v>0</v>
      </c>
      <c r="C5668" s="107">
        <f>COPY!AC5660</f>
        <v>0</v>
      </c>
      <c r="D5668" s="107" t="str">
        <f>IF(LEN(Table1722[[#This Row],[Uraian]])&gt;2,1," ")</f>
        <v xml:space="preserve"> </v>
      </c>
      <c r="E5668" s="113" t="str">
        <f>IF(Table1722[[#This Row],[Lawan Transaksi]]="CV AGUNG KARYA",COUNTIF($I$10:I5668,"CV AGUNG KARYA")," ")</f>
        <v xml:space="preserve"> </v>
      </c>
      <c r="F5668" s="107" t="str">
        <f>IF(LEN(Table1722[[#This Row],[Uraian]])&gt;2,TRIM(RIGHT(SUBSTITUTE(TRIM(C5668)," ",REPT(" ",255)),255))," ")</f>
        <v xml:space="preserve"> </v>
      </c>
      <c r="G5668" s="110">
        <f>COPY!Z5660</f>
        <v>0</v>
      </c>
      <c r="H5668" s="111" t="str">
        <f>IFERROR(VLOOKUP(Table1722[[#This Row],[Bukti]],'Un nOTA'!$A$4:$K$5003,10,FALSE),"")</f>
        <v/>
      </c>
      <c r="I5668" s="123" t="str">
        <f>IFERROR(VLOOKUP(Table1722[[#This Row],[Bukti]],Table13[#Data],11,FALSE),"")</f>
        <v/>
      </c>
    </row>
    <row r="5669" spans="1:9" hidden="1" x14ac:dyDescent="0.2">
      <c r="A5669" s="105" t="str">
        <f>IF(D5669=1,COUNTIF($D$10:D5669,1)," ")</f>
        <v xml:space="preserve"> </v>
      </c>
      <c r="B5669" s="106">
        <f>COPY!AR5661</f>
        <v>0</v>
      </c>
      <c r="C5669" s="107">
        <f>COPY!AC5661</f>
        <v>0</v>
      </c>
      <c r="D5669" s="107" t="str">
        <f>IF(LEN(Table1722[[#This Row],[Uraian]])&gt;2,1," ")</f>
        <v xml:space="preserve"> </v>
      </c>
      <c r="E5669" s="113" t="str">
        <f>IF(Table1722[[#This Row],[Lawan Transaksi]]="CV AGUNG KARYA",COUNTIF($I$10:I5669,"CV AGUNG KARYA")," ")</f>
        <v xml:space="preserve"> </v>
      </c>
      <c r="F5669" s="107" t="str">
        <f>IF(LEN(Table1722[[#This Row],[Uraian]])&gt;2,TRIM(RIGHT(SUBSTITUTE(TRIM(C5669)," ",REPT(" ",255)),255))," ")</f>
        <v xml:space="preserve"> </v>
      </c>
      <c r="G5669" s="110">
        <f>COPY!Z5661</f>
        <v>0</v>
      </c>
      <c r="H5669" s="111" t="str">
        <f>IFERROR(VLOOKUP(Table1722[[#This Row],[Bukti]],'Un nOTA'!$A$4:$K$5003,10,FALSE),"")</f>
        <v/>
      </c>
      <c r="I5669" s="123" t="str">
        <f>IFERROR(VLOOKUP(Table1722[[#This Row],[Bukti]],Table13[#Data],11,FALSE),"")</f>
        <v/>
      </c>
    </row>
    <row r="5670" spans="1:9" hidden="1" x14ac:dyDescent="0.2">
      <c r="A5670" s="105" t="str">
        <f>IF(D5670=1,COUNTIF($D$10:D5670,1)," ")</f>
        <v xml:space="preserve"> </v>
      </c>
      <c r="B5670" s="106">
        <f>COPY!AR5662</f>
        <v>0</v>
      </c>
      <c r="C5670" s="107">
        <f>COPY!AC5662</f>
        <v>0</v>
      </c>
      <c r="D5670" s="107" t="str">
        <f>IF(LEN(Table1722[[#This Row],[Uraian]])&gt;2,1," ")</f>
        <v xml:space="preserve"> </v>
      </c>
      <c r="E5670" s="113" t="str">
        <f>IF(Table1722[[#This Row],[Lawan Transaksi]]="CV AGUNG KARYA",COUNTIF($I$10:I5670,"CV AGUNG KARYA")," ")</f>
        <v xml:space="preserve"> </v>
      </c>
      <c r="F5670" s="107" t="str">
        <f>IF(LEN(Table1722[[#This Row],[Uraian]])&gt;2,TRIM(RIGHT(SUBSTITUTE(TRIM(C5670)," ",REPT(" ",255)),255))," ")</f>
        <v xml:space="preserve"> </v>
      </c>
      <c r="G5670" s="110">
        <f>COPY!Z5662</f>
        <v>0</v>
      </c>
      <c r="H5670" s="111" t="str">
        <f>IFERROR(VLOOKUP(Table1722[[#This Row],[Bukti]],'Un nOTA'!$A$4:$K$5003,10,FALSE),"")</f>
        <v/>
      </c>
      <c r="I5670" s="123" t="str">
        <f>IFERROR(VLOOKUP(Table1722[[#This Row],[Bukti]],Table13[#Data],11,FALSE),"")</f>
        <v/>
      </c>
    </row>
    <row r="5671" spans="1:9" hidden="1" x14ac:dyDescent="0.2">
      <c r="A5671" s="105" t="str">
        <f>IF(D5671=1,COUNTIF($D$10:D5671,1)," ")</f>
        <v xml:space="preserve"> </v>
      </c>
      <c r="B5671" s="106">
        <f>COPY!AR5663</f>
        <v>0</v>
      </c>
      <c r="C5671" s="107">
        <f>COPY!AC5663</f>
        <v>0</v>
      </c>
      <c r="D5671" s="107" t="str">
        <f>IF(LEN(Table1722[[#This Row],[Uraian]])&gt;2,1," ")</f>
        <v xml:space="preserve"> </v>
      </c>
      <c r="E5671" s="113" t="str">
        <f>IF(Table1722[[#This Row],[Lawan Transaksi]]="CV AGUNG KARYA",COUNTIF($I$10:I5671,"CV AGUNG KARYA")," ")</f>
        <v xml:space="preserve"> </v>
      </c>
      <c r="F5671" s="107" t="str">
        <f>IF(LEN(Table1722[[#This Row],[Uraian]])&gt;2,TRIM(RIGHT(SUBSTITUTE(TRIM(C5671)," ",REPT(" ",255)),255))," ")</f>
        <v xml:space="preserve"> </v>
      </c>
      <c r="G5671" s="110">
        <f>COPY!Z5663</f>
        <v>0</v>
      </c>
      <c r="H5671" s="111" t="str">
        <f>IFERROR(VLOOKUP(Table1722[[#This Row],[Bukti]],'Un nOTA'!$A$4:$K$5003,10,FALSE),"")</f>
        <v/>
      </c>
      <c r="I5671" s="123" t="str">
        <f>IFERROR(VLOOKUP(Table1722[[#This Row],[Bukti]],Table13[#Data],11,FALSE),"")</f>
        <v/>
      </c>
    </row>
    <row r="5672" spans="1:9" hidden="1" x14ac:dyDescent="0.2">
      <c r="A5672" s="105" t="str">
        <f>IF(D5672=1,COUNTIF($D$10:D5672,1)," ")</f>
        <v xml:space="preserve"> </v>
      </c>
      <c r="B5672" s="106">
        <f>COPY!AR5664</f>
        <v>0</v>
      </c>
      <c r="C5672" s="107">
        <f>COPY!AC5664</f>
        <v>0</v>
      </c>
      <c r="D5672" s="107" t="str">
        <f>IF(LEN(Table1722[[#This Row],[Uraian]])&gt;2,1," ")</f>
        <v xml:space="preserve"> </v>
      </c>
      <c r="E5672" s="113" t="str">
        <f>IF(Table1722[[#This Row],[Lawan Transaksi]]="CV AGUNG KARYA",COUNTIF($I$10:I5672,"CV AGUNG KARYA")," ")</f>
        <v xml:space="preserve"> </v>
      </c>
      <c r="F5672" s="107" t="str">
        <f>IF(LEN(Table1722[[#This Row],[Uraian]])&gt;2,TRIM(RIGHT(SUBSTITUTE(TRIM(C5672)," ",REPT(" ",255)),255))," ")</f>
        <v xml:space="preserve"> </v>
      </c>
      <c r="G5672" s="110">
        <f>COPY!Z5664</f>
        <v>0</v>
      </c>
      <c r="H5672" s="111" t="str">
        <f>IFERROR(VLOOKUP(Table1722[[#This Row],[Bukti]],'Un nOTA'!$A$4:$K$5003,10,FALSE),"")</f>
        <v/>
      </c>
      <c r="I5672" s="123" t="str">
        <f>IFERROR(VLOOKUP(Table1722[[#This Row],[Bukti]],Table13[#Data],11,FALSE),"")</f>
        <v/>
      </c>
    </row>
    <row r="5673" spans="1:9" hidden="1" x14ac:dyDescent="0.2">
      <c r="A5673" s="105" t="str">
        <f>IF(D5673=1,COUNTIF($D$10:D5673,1)," ")</f>
        <v xml:space="preserve"> </v>
      </c>
      <c r="B5673" s="106">
        <f>COPY!AR5665</f>
        <v>0</v>
      </c>
      <c r="C5673" s="107">
        <f>COPY!AC5665</f>
        <v>0</v>
      </c>
      <c r="D5673" s="107" t="str">
        <f>IF(LEN(Table1722[[#This Row],[Uraian]])&gt;2,1," ")</f>
        <v xml:space="preserve"> </v>
      </c>
      <c r="E5673" s="113" t="str">
        <f>IF(Table1722[[#This Row],[Lawan Transaksi]]="CV AGUNG KARYA",COUNTIF($I$10:I5673,"CV AGUNG KARYA")," ")</f>
        <v xml:space="preserve"> </v>
      </c>
      <c r="F5673" s="107" t="str">
        <f>IF(LEN(Table1722[[#This Row],[Uraian]])&gt;2,TRIM(RIGHT(SUBSTITUTE(TRIM(C5673)," ",REPT(" ",255)),255))," ")</f>
        <v xml:space="preserve"> </v>
      </c>
      <c r="G5673" s="110">
        <f>COPY!Z5665</f>
        <v>0</v>
      </c>
      <c r="H5673" s="111" t="str">
        <f>IFERROR(VLOOKUP(Table1722[[#This Row],[Bukti]],'Un nOTA'!$A$4:$K$5003,10,FALSE),"")</f>
        <v/>
      </c>
      <c r="I5673" s="123" t="str">
        <f>IFERROR(VLOOKUP(Table1722[[#This Row],[Bukti]],Table13[#Data],11,FALSE),"")</f>
        <v/>
      </c>
    </row>
    <row r="5674" spans="1:9" hidden="1" x14ac:dyDescent="0.2">
      <c r="A5674" s="105" t="str">
        <f>IF(D5674=1,COUNTIF($D$10:D5674,1)," ")</f>
        <v xml:space="preserve"> </v>
      </c>
      <c r="B5674" s="106">
        <f>COPY!AR5666</f>
        <v>0</v>
      </c>
      <c r="C5674" s="107">
        <f>COPY!AC5666</f>
        <v>0</v>
      </c>
      <c r="D5674" s="107" t="str">
        <f>IF(LEN(Table1722[[#This Row],[Uraian]])&gt;2,1," ")</f>
        <v xml:space="preserve"> </v>
      </c>
      <c r="E5674" s="113" t="str">
        <f>IF(Table1722[[#This Row],[Lawan Transaksi]]="CV AGUNG KARYA",COUNTIF($I$10:I5674,"CV AGUNG KARYA")," ")</f>
        <v xml:space="preserve"> </v>
      </c>
      <c r="F5674" s="107" t="str">
        <f>IF(LEN(Table1722[[#This Row],[Uraian]])&gt;2,TRIM(RIGHT(SUBSTITUTE(TRIM(C5674)," ",REPT(" ",255)),255))," ")</f>
        <v xml:space="preserve"> </v>
      </c>
      <c r="G5674" s="110">
        <f>COPY!Z5666</f>
        <v>0</v>
      </c>
      <c r="H5674" s="111" t="str">
        <f>IFERROR(VLOOKUP(Table1722[[#This Row],[Bukti]],'Un nOTA'!$A$4:$K$5003,10,FALSE),"")</f>
        <v/>
      </c>
      <c r="I5674" s="123" t="str">
        <f>IFERROR(VLOOKUP(Table1722[[#This Row],[Bukti]],Table13[#Data],11,FALSE),"")</f>
        <v/>
      </c>
    </row>
    <row r="5675" spans="1:9" hidden="1" x14ac:dyDescent="0.2">
      <c r="A5675" s="105" t="str">
        <f>IF(D5675=1,COUNTIF($D$10:D5675,1)," ")</f>
        <v xml:space="preserve"> </v>
      </c>
      <c r="B5675" s="106">
        <f>COPY!AR5667</f>
        <v>0</v>
      </c>
      <c r="C5675" s="107">
        <f>COPY!AC5667</f>
        <v>0</v>
      </c>
      <c r="D5675" s="107" t="str">
        <f>IF(LEN(Table1722[[#This Row],[Uraian]])&gt;2,1," ")</f>
        <v xml:space="preserve"> </v>
      </c>
      <c r="E5675" s="113" t="str">
        <f>IF(Table1722[[#This Row],[Lawan Transaksi]]="CV AGUNG KARYA",COUNTIF($I$10:I5675,"CV AGUNG KARYA")," ")</f>
        <v xml:space="preserve"> </v>
      </c>
      <c r="F5675" s="107" t="str">
        <f>IF(LEN(Table1722[[#This Row],[Uraian]])&gt;2,TRIM(RIGHT(SUBSTITUTE(TRIM(C5675)," ",REPT(" ",255)),255))," ")</f>
        <v xml:space="preserve"> </v>
      </c>
      <c r="G5675" s="110">
        <f>COPY!Z5667</f>
        <v>0</v>
      </c>
      <c r="H5675" s="111" t="str">
        <f>IFERROR(VLOOKUP(Table1722[[#This Row],[Bukti]],'Un nOTA'!$A$4:$K$5003,10,FALSE),"")</f>
        <v/>
      </c>
      <c r="I5675" s="123" t="str">
        <f>IFERROR(VLOOKUP(Table1722[[#This Row],[Bukti]],Table13[#Data],11,FALSE),"")</f>
        <v/>
      </c>
    </row>
    <row r="5676" spans="1:9" hidden="1" x14ac:dyDescent="0.2">
      <c r="A5676" s="105" t="str">
        <f>IF(D5676=1,COUNTIF($D$10:D5676,1)," ")</f>
        <v xml:space="preserve"> </v>
      </c>
      <c r="B5676" s="106">
        <f>COPY!AR5668</f>
        <v>0</v>
      </c>
      <c r="C5676" s="107">
        <f>COPY!AC5668</f>
        <v>0</v>
      </c>
      <c r="D5676" s="107" t="str">
        <f>IF(LEN(Table1722[[#This Row],[Uraian]])&gt;2,1," ")</f>
        <v xml:space="preserve"> </v>
      </c>
      <c r="E5676" s="113" t="str">
        <f>IF(Table1722[[#This Row],[Lawan Transaksi]]="CV AGUNG KARYA",COUNTIF($I$10:I5676,"CV AGUNG KARYA")," ")</f>
        <v xml:space="preserve"> </v>
      </c>
      <c r="F5676" s="107" t="str">
        <f>IF(LEN(Table1722[[#This Row],[Uraian]])&gt;2,TRIM(RIGHT(SUBSTITUTE(TRIM(C5676)," ",REPT(" ",255)),255))," ")</f>
        <v xml:space="preserve"> </v>
      </c>
      <c r="G5676" s="110">
        <f>COPY!Z5668</f>
        <v>0</v>
      </c>
      <c r="H5676" s="111" t="str">
        <f>IFERROR(VLOOKUP(Table1722[[#This Row],[Bukti]],'Un nOTA'!$A$4:$K$5003,10,FALSE),"")</f>
        <v/>
      </c>
      <c r="I5676" s="123" t="str">
        <f>IFERROR(VLOOKUP(Table1722[[#This Row],[Bukti]],Table13[#Data],11,FALSE),"")</f>
        <v/>
      </c>
    </row>
    <row r="5677" spans="1:9" hidden="1" x14ac:dyDescent="0.2">
      <c r="A5677" s="105" t="str">
        <f>IF(D5677=1,COUNTIF($D$10:D5677,1)," ")</f>
        <v xml:space="preserve"> </v>
      </c>
      <c r="B5677" s="106">
        <f>COPY!AR5669</f>
        <v>0</v>
      </c>
      <c r="C5677" s="107">
        <f>COPY!AC5669</f>
        <v>0</v>
      </c>
      <c r="D5677" s="107" t="str">
        <f>IF(LEN(Table1722[[#This Row],[Uraian]])&gt;2,1," ")</f>
        <v xml:space="preserve"> </v>
      </c>
      <c r="E5677" s="113" t="str">
        <f>IF(Table1722[[#This Row],[Lawan Transaksi]]="CV AGUNG KARYA",COUNTIF($I$10:I5677,"CV AGUNG KARYA")," ")</f>
        <v xml:space="preserve"> </v>
      </c>
      <c r="F5677" s="107" t="str">
        <f>IF(LEN(Table1722[[#This Row],[Uraian]])&gt;2,TRIM(RIGHT(SUBSTITUTE(TRIM(C5677)," ",REPT(" ",255)),255))," ")</f>
        <v xml:space="preserve"> </v>
      </c>
      <c r="G5677" s="110">
        <f>COPY!Z5669</f>
        <v>0</v>
      </c>
      <c r="H5677" s="111" t="str">
        <f>IFERROR(VLOOKUP(Table1722[[#This Row],[Bukti]],'Un nOTA'!$A$4:$K$5003,10,FALSE),"")</f>
        <v/>
      </c>
      <c r="I5677" s="123" t="str">
        <f>IFERROR(VLOOKUP(Table1722[[#This Row],[Bukti]],Table13[#Data],11,FALSE),"")</f>
        <v/>
      </c>
    </row>
    <row r="5678" spans="1:9" hidden="1" x14ac:dyDescent="0.2">
      <c r="A5678" s="105" t="str">
        <f>IF(D5678=1,COUNTIF($D$10:D5678,1)," ")</f>
        <v xml:space="preserve"> </v>
      </c>
      <c r="B5678" s="106">
        <f>COPY!AR5670</f>
        <v>0</v>
      </c>
      <c r="C5678" s="107">
        <f>COPY!AC5670</f>
        <v>0</v>
      </c>
      <c r="D5678" s="107" t="str">
        <f>IF(LEN(Table1722[[#This Row],[Uraian]])&gt;2,1," ")</f>
        <v xml:space="preserve"> </v>
      </c>
      <c r="E5678" s="113" t="str">
        <f>IF(Table1722[[#This Row],[Lawan Transaksi]]="CV AGUNG KARYA",COUNTIF($I$10:I5678,"CV AGUNG KARYA")," ")</f>
        <v xml:space="preserve"> </v>
      </c>
      <c r="F5678" s="107" t="str">
        <f>IF(LEN(Table1722[[#This Row],[Uraian]])&gt;2,TRIM(RIGHT(SUBSTITUTE(TRIM(C5678)," ",REPT(" ",255)),255))," ")</f>
        <v xml:space="preserve"> </v>
      </c>
      <c r="G5678" s="110">
        <f>COPY!Z5670</f>
        <v>0</v>
      </c>
      <c r="H5678" s="111" t="str">
        <f>IFERROR(VLOOKUP(Table1722[[#This Row],[Bukti]],'Un nOTA'!$A$4:$K$5003,10,FALSE),"")</f>
        <v/>
      </c>
      <c r="I5678" s="123" t="str">
        <f>IFERROR(VLOOKUP(Table1722[[#This Row],[Bukti]],Table13[#Data],11,FALSE),"")</f>
        <v/>
      </c>
    </row>
    <row r="5679" spans="1:9" hidden="1" x14ac:dyDescent="0.2">
      <c r="A5679" s="105" t="str">
        <f>IF(D5679=1,COUNTIF($D$10:D5679,1)," ")</f>
        <v xml:space="preserve"> </v>
      </c>
      <c r="B5679" s="106">
        <f>COPY!AR5671</f>
        <v>0</v>
      </c>
      <c r="C5679" s="107">
        <f>COPY!AC5671</f>
        <v>0</v>
      </c>
      <c r="D5679" s="107" t="str">
        <f>IF(LEN(Table1722[[#This Row],[Uraian]])&gt;2,1," ")</f>
        <v xml:space="preserve"> </v>
      </c>
      <c r="E5679" s="113" t="str">
        <f>IF(Table1722[[#This Row],[Lawan Transaksi]]="CV AGUNG KARYA",COUNTIF($I$10:I5679,"CV AGUNG KARYA")," ")</f>
        <v xml:space="preserve"> </v>
      </c>
      <c r="F5679" s="107" t="str">
        <f>IF(LEN(Table1722[[#This Row],[Uraian]])&gt;2,TRIM(RIGHT(SUBSTITUTE(TRIM(C5679)," ",REPT(" ",255)),255))," ")</f>
        <v xml:space="preserve"> </v>
      </c>
      <c r="G5679" s="110">
        <f>COPY!Z5671</f>
        <v>0</v>
      </c>
      <c r="H5679" s="111" t="str">
        <f>IFERROR(VLOOKUP(Table1722[[#This Row],[Bukti]],'Un nOTA'!$A$4:$K$5003,10,FALSE),"")</f>
        <v/>
      </c>
      <c r="I5679" s="123" t="str">
        <f>IFERROR(VLOOKUP(Table1722[[#This Row],[Bukti]],Table13[#Data],11,FALSE),"")</f>
        <v/>
      </c>
    </row>
    <row r="5680" spans="1:9" hidden="1" x14ac:dyDescent="0.2">
      <c r="A5680" s="105" t="str">
        <f>IF(D5680=1,COUNTIF($D$10:D5680,1)," ")</f>
        <v xml:space="preserve"> </v>
      </c>
      <c r="B5680" s="106">
        <f>COPY!AR5672</f>
        <v>0</v>
      </c>
      <c r="C5680" s="107">
        <f>COPY!AC5672</f>
        <v>0</v>
      </c>
      <c r="D5680" s="107" t="str">
        <f>IF(LEN(Table1722[[#This Row],[Uraian]])&gt;2,1," ")</f>
        <v xml:space="preserve"> </v>
      </c>
      <c r="E5680" s="113" t="str">
        <f>IF(Table1722[[#This Row],[Lawan Transaksi]]="CV AGUNG KARYA",COUNTIF($I$10:I5680,"CV AGUNG KARYA")," ")</f>
        <v xml:space="preserve"> </v>
      </c>
      <c r="F5680" s="107" t="str">
        <f>IF(LEN(Table1722[[#This Row],[Uraian]])&gt;2,TRIM(RIGHT(SUBSTITUTE(TRIM(C5680)," ",REPT(" ",255)),255))," ")</f>
        <v xml:space="preserve"> </v>
      </c>
      <c r="G5680" s="110">
        <f>COPY!Z5672</f>
        <v>0</v>
      </c>
      <c r="H5680" s="111" t="str">
        <f>IFERROR(VLOOKUP(Table1722[[#This Row],[Bukti]],'Un nOTA'!$A$4:$K$5003,10,FALSE),"")</f>
        <v/>
      </c>
      <c r="I5680" s="123" t="str">
        <f>IFERROR(VLOOKUP(Table1722[[#This Row],[Bukti]],Table13[#Data],11,FALSE),"")</f>
        <v/>
      </c>
    </row>
    <row r="5681" spans="1:9" hidden="1" x14ac:dyDescent="0.2">
      <c r="A5681" s="105" t="str">
        <f>IF(D5681=1,COUNTIF($D$10:D5681,1)," ")</f>
        <v xml:space="preserve"> </v>
      </c>
      <c r="B5681" s="106">
        <f>COPY!AR5673</f>
        <v>0</v>
      </c>
      <c r="C5681" s="107">
        <f>COPY!AC5673</f>
        <v>0</v>
      </c>
      <c r="D5681" s="107" t="str">
        <f>IF(LEN(Table1722[[#This Row],[Uraian]])&gt;2,1," ")</f>
        <v xml:space="preserve"> </v>
      </c>
      <c r="E5681" s="113" t="str">
        <f>IF(Table1722[[#This Row],[Lawan Transaksi]]="CV AGUNG KARYA",COUNTIF($I$10:I5681,"CV AGUNG KARYA")," ")</f>
        <v xml:space="preserve"> </v>
      </c>
      <c r="F5681" s="107" t="str">
        <f>IF(LEN(Table1722[[#This Row],[Uraian]])&gt;2,TRIM(RIGHT(SUBSTITUTE(TRIM(C5681)," ",REPT(" ",255)),255))," ")</f>
        <v xml:space="preserve"> </v>
      </c>
      <c r="G5681" s="110">
        <f>COPY!Z5673</f>
        <v>0</v>
      </c>
      <c r="H5681" s="111" t="str">
        <f>IFERROR(VLOOKUP(Table1722[[#This Row],[Bukti]],'Un nOTA'!$A$4:$K$5003,10,FALSE),"")</f>
        <v/>
      </c>
      <c r="I5681" s="123" t="str">
        <f>IFERROR(VLOOKUP(Table1722[[#This Row],[Bukti]],Table13[#Data],11,FALSE),"")</f>
        <v/>
      </c>
    </row>
    <row r="5682" spans="1:9" hidden="1" x14ac:dyDescent="0.2">
      <c r="A5682" s="105" t="str">
        <f>IF(D5682=1,COUNTIF($D$10:D5682,1)," ")</f>
        <v xml:space="preserve"> </v>
      </c>
      <c r="B5682" s="106">
        <f>COPY!AR5674</f>
        <v>0</v>
      </c>
      <c r="C5682" s="107">
        <f>COPY!AC5674</f>
        <v>0</v>
      </c>
      <c r="D5682" s="107" t="str">
        <f>IF(LEN(Table1722[[#This Row],[Uraian]])&gt;2,1," ")</f>
        <v xml:space="preserve"> </v>
      </c>
      <c r="E5682" s="113" t="str">
        <f>IF(Table1722[[#This Row],[Lawan Transaksi]]="CV AGUNG KARYA",COUNTIF($I$10:I5682,"CV AGUNG KARYA")," ")</f>
        <v xml:space="preserve"> </v>
      </c>
      <c r="F5682" s="107" t="str">
        <f>IF(LEN(Table1722[[#This Row],[Uraian]])&gt;2,TRIM(RIGHT(SUBSTITUTE(TRIM(C5682)," ",REPT(" ",255)),255))," ")</f>
        <v xml:space="preserve"> </v>
      </c>
      <c r="G5682" s="110">
        <f>COPY!Z5674</f>
        <v>0</v>
      </c>
      <c r="H5682" s="111" t="str">
        <f>IFERROR(VLOOKUP(Table1722[[#This Row],[Bukti]],'Un nOTA'!$A$4:$K$5003,10,FALSE),"")</f>
        <v/>
      </c>
      <c r="I5682" s="123" t="str">
        <f>IFERROR(VLOOKUP(Table1722[[#This Row],[Bukti]],Table13[#Data],11,FALSE),"")</f>
        <v/>
      </c>
    </row>
    <row r="5683" spans="1:9" hidden="1" x14ac:dyDescent="0.2">
      <c r="A5683" s="105" t="str">
        <f>IF(D5683=1,COUNTIF($D$10:D5683,1)," ")</f>
        <v xml:space="preserve"> </v>
      </c>
      <c r="B5683" s="106">
        <f>COPY!AR5675</f>
        <v>0</v>
      </c>
      <c r="C5683" s="107">
        <f>COPY!AC5675</f>
        <v>0</v>
      </c>
      <c r="D5683" s="107" t="str">
        <f>IF(LEN(Table1722[[#This Row],[Uraian]])&gt;2,1," ")</f>
        <v xml:space="preserve"> </v>
      </c>
      <c r="E5683" s="113" t="str">
        <f>IF(Table1722[[#This Row],[Lawan Transaksi]]="CV AGUNG KARYA",COUNTIF($I$10:I5683,"CV AGUNG KARYA")," ")</f>
        <v xml:space="preserve"> </v>
      </c>
      <c r="F5683" s="107" t="str">
        <f>IF(LEN(Table1722[[#This Row],[Uraian]])&gt;2,TRIM(RIGHT(SUBSTITUTE(TRIM(C5683)," ",REPT(" ",255)),255))," ")</f>
        <v xml:space="preserve"> </v>
      </c>
      <c r="G5683" s="110">
        <f>COPY!Z5675</f>
        <v>0</v>
      </c>
      <c r="H5683" s="111" t="str">
        <f>IFERROR(VLOOKUP(Table1722[[#This Row],[Bukti]],'Un nOTA'!$A$4:$K$5003,10,FALSE),"")</f>
        <v/>
      </c>
      <c r="I5683" s="123" t="str">
        <f>IFERROR(VLOOKUP(Table1722[[#This Row],[Bukti]],Table13[#Data],11,FALSE),"")</f>
        <v/>
      </c>
    </row>
    <row r="5684" spans="1:9" hidden="1" x14ac:dyDescent="0.2">
      <c r="A5684" s="105" t="str">
        <f>IF(D5684=1,COUNTIF($D$10:D5684,1)," ")</f>
        <v xml:space="preserve"> </v>
      </c>
      <c r="B5684" s="106">
        <f>COPY!AR5676</f>
        <v>0</v>
      </c>
      <c r="C5684" s="107">
        <f>COPY!AC5676</f>
        <v>0</v>
      </c>
      <c r="D5684" s="107" t="str">
        <f>IF(LEN(Table1722[[#This Row],[Uraian]])&gt;2,1," ")</f>
        <v xml:space="preserve"> </v>
      </c>
      <c r="E5684" s="113" t="str">
        <f>IF(Table1722[[#This Row],[Lawan Transaksi]]="CV AGUNG KARYA",COUNTIF($I$10:I5684,"CV AGUNG KARYA")," ")</f>
        <v xml:space="preserve"> </v>
      </c>
      <c r="F5684" s="107" t="str">
        <f>IF(LEN(Table1722[[#This Row],[Uraian]])&gt;2,TRIM(RIGHT(SUBSTITUTE(TRIM(C5684)," ",REPT(" ",255)),255))," ")</f>
        <v xml:space="preserve"> </v>
      </c>
      <c r="G5684" s="110">
        <f>COPY!Z5676</f>
        <v>0</v>
      </c>
      <c r="H5684" s="111" t="str">
        <f>IFERROR(VLOOKUP(Table1722[[#This Row],[Bukti]],'Un nOTA'!$A$4:$K$5003,10,FALSE),"")</f>
        <v/>
      </c>
      <c r="I5684" s="123" t="str">
        <f>IFERROR(VLOOKUP(Table1722[[#This Row],[Bukti]],Table13[#Data],11,FALSE),"")</f>
        <v/>
      </c>
    </row>
    <row r="5685" spans="1:9" hidden="1" x14ac:dyDescent="0.2">
      <c r="A5685" s="105" t="str">
        <f>IF(D5685=1,COUNTIF($D$10:D5685,1)," ")</f>
        <v xml:space="preserve"> </v>
      </c>
      <c r="B5685" s="106">
        <f>COPY!AR5677</f>
        <v>0</v>
      </c>
      <c r="C5685" s="107">
        <f>COPY!AC5677</f>
        <v>0</v>
      </c>
      <c r="D5685" s="107" t="str">
        <f>IF(LEN(Table1722[[#This Row],[Uraian]])&gt;2,1," ")</f>
        <v xml:space="preserve"> </v>
      </c>
      <c r="E5685" s="113" t="str">
        <f>IF(Table1722[[#This Row],[Lawan Transaksi]]="CV AGUNG KARYA",COUNTIF($I$10:I5685,"CV AGUNG KARYA")," ")</f>
        <v xml:space="preserve"> </v>
      </c>
      <c r="F5685" s="107" t="str">
        <f>IF(LEN(Table1722[[#This Row],[Uraian]])&gt;2,TRIM(RIGHT(SUBSTITUTE(TRIM(C5685)," ",REPT(" ",255)),255))," ")</f>
        <v xml:space="preserve"> </v>
      </c>
      <c r="G5685" s="110">
        <f>COPY!Z5677</f>
        <v>0</v>
      </c>
      <c r="H5685" s="111" t="str">
        <f>IFERROR(VLOOKUP(Table1722[[#This Row],[Bukti]],'Un nOTA'!$A$4:$K$5003,10,FALSE),"")</f>
        <v/>
      </c>
      <c r="I5685" s="123" t="str">
        <f>IFERROR(VLOOKUP(Table1722[[#This Row],[Bukti]],Table13[#Data],11,FALSE),"")</f>
        <v/>
      </c>
    </row>
    <row r="5686" spans="1:9" hidden="1" x14ac:dyDescent="0.2">
      <c r="A5686" s="105" t="str">
        <f>IF(D5686=1,COUNTIF($D$10:D5686,1)," ")</f>
        <v xml:space="preserve"> </v>
      </c>
      <c r="B5686" s="106">
        <f>COPY!AR5678</f>
        <v>0</v>
      </c>
      <c r="C5686" s="107">
        <f>COPY!AC5678</f>
        <v>0</v>
      </c>
      <c r="D5686" s="107" t="str">
        <f>IF(LEN(Table1722[[#This Row],[Uraian]])&gt;2,1," ")</f>
        <v xml:space="preserve"> </v>
      </c>
      <c r="E5686" s="113" t="str">
        <f>IF(Table1722[[#This Row],[Lawan Transaksi]]="CV AGUNG KARYA",COUNTIF($I$10:I5686,"CV AGUNG KARYA")," ")</f>
        <v xml:space="preserve"> </v>
      </c>
      <c r="F5686" s="107" t="str">
        <f>IF(LEN(Table1722[[#This Row],[Uraian]])&gt;2,TRIM(RIGHT(SUBSTITUTE(TRIM(C5686)," ",REPT(" ",255)),255))," ")</f>
        <v xml:space="preserve"> </v>
      </c>
      <c r="G5686" s="110">
        <f>COPY!Z5678</f>
        <v>0</v>
      </c>
      <c r="H5686" s="111" t="str">
        <f>IFERROR(VLOOKUP(Table1722[[#This Row],[Bukti]],'Un nOTA'!$A$4:$K$5003,10,FALSE),"")</f>
        <v/>
      </c>
      <c r="I5686" s="123" t="str">
        <f>IFERROR(VLOOKUP(Table1722[[#This Row],[Bukti]],Table13[#Data],11,FALSE),"")</f>
        <v/>
      </c>
    </row>
    <row r="5687" spans="1:9" hidden="1" x14ac:dyDescent="0.2">
      <c r="A5687" s="105" t="str">
        <f>IF(D5687=1,COUNTIF($D$10:D5687,1)," ")</f>
        <v xml:space="preserve"> </v>
      </c>
      <c r="B5687" s="106">
        <f>COPY!AR5679</f>
        <v>0</v>
      </c>
      <c r="C5687" s="107">
        <f>COPY!AC5679</f>
        <v>0</v>
      </c>
      <c r="D5687" s="107" t="str">
        <f>IF(LEN(Table1722[[#This Row],[Uraian]])&gt;2,1," ")</f>
        <v xml:space="preserve"> </v>
      </c>
      <c r="E5687" s="113" t="str">
        <f>IF(Table1722[[#This Row],[Lawan Transaksi]]="CV AGUNG KARYA",COUNTIF($I$10:I5687,"CV AGUNG KARYA")," ")</f>
        <v xml:space="preserve"> </v>
      </c>
      <c r="F5687" s="107" t="str">
        <f>IF(LEN(Table1722[[#This Row],[Uraian]])&gt;2,TRIM(RIGHT(SUBSTITUTE(TRIM(C5687)," ",REPT(" ",255)),255))," ")</f>
        <v xml:space="preserve"> </v>
      </c>
      <c r="G5687" s="110">
        <f>COPY!Z5679</f>
        <v>0</v>
      </c>
      <c r="H5687" s="111" t="str">
        <f>IFERROR(VLOOKUP(Table1722[[#This Row],[Bukti]],'Un nOTA'!$A$4:$K$5003,10,FALSE),"")</f>
        <v/>
      </c>
      <c r="I5687" s="123" t="str">
        <f>IFERROR(VLOOKUP(Table1722[[#This Row],[Bukti]],Table13[#Data],11,FALSE),"")</f>
        <v/>
      </c>
    </row>
    <row r="5688" spans="1:9" hidden="1" x14ac:dyDescent="0.2">
      <c r="A5688" s="105" t="str">
        <f>IF(D5688=1,COUNTIF($D$10:D5688,1)," ")</f>
        <v xml:space="preserve"> </v>
      </c>
      <c r="B5688" s="106">
        <f>COPY!AR5680</f>
        <v>0</v>
      </c>
      <c r="C5688" s="107">
        <f>COPY!AC5680</f>
        <v>0</v>
      </c>
      <c r="D5688" s="107" t="str">
        <f>IF(LEN(Table1722[[#This Row],[Uraian]])&gt;2,1," ")</f>
        <v xml:space="preserve"> </v>
      </c>
      <c r="E5688" s="113" t="str">
        <f>IF(Table1722[[#This Row],[Lawan Transaksi]]="CV AGUNG KARYA",COUNTIF($I$10:I5688,"CV AGUNG KARYA")," ")</f>
        <v xml:space="preserve"> </v>
      </c>
      <c r="F5688" s="107" t="str">
        <f>IF(LEN(Table1722[[#This Row],[Uraian]])&gt;2,TRIM(RIGHT(SUBSTITUTE(TRIM(C5688)," ",REPT(" ",255)),255))," ")</f>
        <v xml:space="preserve"> </v>
      </c>
      <c r="G5688" s="110">
        <f>COPY!Z5680</f>
        <v>0</v>
      </c>
      <c r="H5688" s="111" t="str">
        <f>IFERROR(VLOOKUP(Table1722[[#This Row],[Bukti]],'Un nOTA'!$A$4:$K$5003,10,FALSE),"")</f>
        <v/>
      </c>
      <c r="I5688" s="123" t="str">
        <f>IFERROR(VLOOKUP(Table1722[[#This Row],[Bukti]],Table13[#Data],11,FALSE),"")</f>
        <v/>
      </c>
    </row>
    <row r="5689" spans="1:9" hidden="1" x14ac:dyDescent="0.2">
      <c r="A5689" s="105" t="str">
        <f>IF(D5689=1,COUNTIF($D$10:D5689,1)," ")</f>
        <v xml:space="preserve"> </v>
      </c>
      <c r="B5689" s="106">
        <f>COPY!AR5681</f>
        <v>0</v>
      </c>
      <c r="C5689" s="107">
        <f>COPY!AC5681</f>
        <v>0</v>
      </c>
      <c r="D5689" s="107" t="str">
        <f>IF(LEN(Table1722[[#This Row],[Uraian]])&gt;2,1," ")</f>
        <v xml:space="preserve"> </v>
      </c>
      <c r="E5689" s="113" t="str">
        <f>IF(Table1722[[#This Row],[Lawan Transaksi]]="CV AGUNG KARYA",COUNTIF($I$10:I5689,"CV AGUNG KARYA")," ")</f>
        <v xml:space="preserve"> </v>
      </c>
      <c r="F5689" s="107" t="str">
        <f>IF(LEN(Table1722[[#This Row],[Uraian]])&gt;2,TRIM(RIGHT(SUBSTITUTE(TRIM(C5689)," ",REPT(" ",255)),255))," ")</f>
        <v xml:space="preserve"> </v>
      </c>
      <c r="G5689" s="110">
        <f>COPY!Z5681</f>
        <v>0</v>
      </c>
      <c r="H5689" s="111" t="str">
        <f>IFERROR(VLOOKUP(Table1722[[#This Row],[Bukti]],'Un nOTA'!$A$4:$K$5003,10,FALSE),"")</f>
        <v/>
      </c>
      <c r="I5689" s="123" t="str">
        <f>IFERROR(VLOOKUP(Table1722[[#This Row],[Bukti]],Table13[#Data],11,FALSE),"")</f>
        <v/>
      </c>
    </row>
    <row r="5690" spans="1:9" hidden="1" x14ac:dyDescent="0.2">
      <c r="A5690" s="105" t="str">
        <f>IF(D5690=1,COUNTIF($D$10:D5690,1)," ")</f>
        <v xml:space="preserve"> </v>
      </c>
      <c r="B5690" s="106">
        <f>COPY!AR5682</f>
        <v>0</v>
      </c>
      <c r="C5690" s="107">
        <f>COPY!AC5682</f>
        <v>0</v>
      </c>
      <c r="D5690" s="107" t="str">
        <f>IF(LEN(Table1722[[#This Row],[Uraian]])&gt;2,1," ")</f>
        <v xml:space="preserve"> </v>
      </c>
      <c r="E5690" s="113" t="str">
        <f>IF(Table1722[[#This Row],[Lawan Transaksi]]="CV AGUNG KARYA",COUNTIF($I$10:I5690,"CV AGUNG KARYA")," ")</f>
        <v xml:space="preserve"> </v>
      </c>
      <c r="F5690" s="107" t="str">
        <f>IF(LEN(Table1722[[#This Row],[Uraian]])&gt;2,TRIM(RIGHT(SUBSTITUTE(TRIM(C5690)," ",REPT(" ",255)),255))," ")</f>
        <v xml:space="preserve"> </v>
      </c>
      <c r="G5690" s="110">
        <f>COPY!Z5682</f>
        <v>0</v>
      </c>
      <c r="H5690" s="111" t="str">
        <f>IFERROR(VLOOKUP(Table1722[[#This Row],[Bukti]],'Un nOTA'!$A$4:$K$5003,10,FALSE),"")</f>
        <v/>
      </c>
      <c r="I5690" s="123" t="str">
        <f>IFERROR(VLOOKUP(Table1722[[#This Row],[Bukti]],Table13[#Data],11,FALSE),"")</f>
        <v/>
      </c>
    </row>
    <row r="5691" spans="1:9" hidden="1" x14ac:dyDescent="0.2">
      <c r="A5691" s="105" t="str">
        <f>IF(D5691=1,COUNTIF($D$10:D5691,1)," ")</f>
        <v xml:space="preserve"> </v>
      </c>
      <c r="B5691" s="106">
        <f>COPY!AR5683</f>
        <v>0</v>
      </c>
      <c r="C5691" s="107">
        <f>COPY!AC5683</f>
        <v>0</v>
      </c>
      <c r="D5691" s="107" t="str">
        <f>IF(LEN(Table1722[[#This Row],[Uraian]])&gt;2,1," ")</f>
        <v xml:space="preserve"> </v>
      </c>
      <c r="E5691" s="113" t="str">
        <f>IF(Table1722[[#This Row],[Lawan Transaksi]]="CV AGUNG KARYA",COUNTIF($I$10:I5691,"CV AGUNG KARYA")," ")</f>
        <v xml:space="preserve"> </v>
      </c>
      <c r="F5691" s="107" t="str">
        <f>IF(LEN(Table1722[[#This Row],[Uraian]])&gt;2,TRIM(RIGHT(SUBSTITUTE(TRIM(C5691)," ",REPT(" ",255)),255))," ")</f>
        <v xml:space="preserve"> </v>
      </c>
      <c r="G5691" s="110">
        <f>COPY!Z5683</f>
        <v>0</v>
      </c>
      <c r="H5691" s="111" t="str">
        <f>IFERROR(VLOOKUP(Table1722[[#This Row],[Bukti]],'Un nOTA'!$A$4:$K$5003,10,FALSE),"")</f>
        <v/>
      </c>
      <c r="I5691" s="123" t="str">
        <f>IFERROR(VLOOKUP(Table1722[[#This Row],[Bukti]],Table13[#Data],11,FALSE),"")</f>
        <v/>
      </c>
    </row>
    <row r="5692" spans="1:9" hidden="1" x14ac:dyDescent="0.2">
      <c r="A5692" s="105" t="str">
        <f>IF(D5692=1,COUNTIF($D$10:D5692,1)," ")</f>
        <v xml:space="preserve"> </v>
      </c>
      <c r="B5692" s="106">
        <f>COPY!AR5684</f>
        <v>0</v>
      </c>
      <c r="C5692" s="107">
        <f>COPY!AC5684</f>
        <v>0</v>
      </c>
      <c r="D5692" s="107" t="str">
        <f>IF(LEN(Table1722[[#This Row],[Uraian]])&gt;2,1," ")</f>
        <v xml:space="preserve"> </v>
      </c>
      <c r="E5692" s="113" t="str">
        <f>IF(Table1722[[#This Row],[Lawan Transaksi]]="CV AGUNG KARYA",COUNTIF($I$10:I5692,"CV AGUNG KARYA")," ")</f>
        <v xml:space="preserve"> </v>
      </c>
      <c r="F5692" s="107" t="str">
        <f>IF(LEN(Table1722[[#This Row],[Uraian]])&gt;2,TRIM(RIGHT(SUBSTITUTE(TRIM(C5692)," ",REPT(" ",255)),255))," ")</f>
        <v xml:space="preserve"> </v>
      </c>
      <c r="G5692" s="110">
        <f>COPY!Z5684</f>
        <v>0</v>
      </c>
      <c r="H5692" s="111" t="str">
        <f>IFERROR(VLOOKUP(Table1722[[#This Row],[Bukti]],'Un nOTA'!$A$4:$K$5003,10,FALSE),"")</f>
        <v/>
      </c>
      <c r="I5692" s="123" t="str">
        <f>IFERROR(VLOOKUP(Table1722[[#This Row],[Bukti]],Table13[#Data],11,FALSE),"")</f>
        <v/>
      </c>
    </row>
    <row r="5693" spans="1:9" hidden="1" x14ac:dyDescent="0.2">
      <c r="A5693" s="105" t="str">
        <f>IF(D5693=1,COUNTIF($D$10:D5693,1)," ")</f>
        <v xml:space="preserve"> </v>
      </c>
      <c r="B5693" s="106">
        <f>COPY!AR5685</f>
        <v>0</v>
      </c>
      <c r="C5693" s="107">
        <f>COPY!AC5685</f>
        <v>0</v>
      </c>
      <c r="D5693" s="107" t="str">
        <f>IF(LEN(Table1722[[#This Row],[Uraian]])&gt;2,1," ")</f>
        <v xml:space="preserve"> </v>
      </c>
      <c r="E5693" s="113" t="str">
        <f>IF(Table1722[[#This Row],[Lawan Transaksi]]="CV AGUNG KARYA",COUNTIF($I$10:I5693,"CV AGUNG KARYA")," ")</f>
        <v xml:space="preserve"> </v>
      </c>
      <c r="F5693" s="107" t="str">
        <f>IF(LEN(Table1722[[#This Row],[Uraian]])&gt;2,TRIM(RIGHT(SUBSTITUTE(TRIM(C5693)," ",REPT(" ",255)),255))," ")</f>
        <v xml:space="preserve"> </v>
      </c>
      <c r="G5693" s="110">
        <f>COPY!Z5685</f>
        <v>0</v>
      </c>
      <c r="H5693" s="111" t="str">
        <f>IFERROR(VLOOKUP(Table1722[[#This Row],[Bukti]],'Un nOTA'!$A$4:$K$5003,10,FALSE),"")</f>
        <v/>
      </c>
      <c r="I5693" s="123" t="str">
        <f>IFERROR(VLOOKUP(Table1722[[#This Row],[Bukti]],Table13[#Data],11,FALSE),"")</f>
        <v/>
      </c>
    </row>
    <row r="5694" spans="1:9" hidden="1" x14ac:dyDescent="0.2">
      <c r="A5694" s="105" t="str">
        <f>IF(D5694=1,COUNTIF($D$10:D5694,1)," ")</f>
        <v xml:space="preserve"> </v>
      </c>
      <c r="B5694" s="106">
        <f>COPY!AR5686</f>
        <v>0</v>
      </c>
      <c r="C5694" s="107">
        <f>COPY!AC5686</f>
        <v>0</v>
      </c>
      <c r="D5694" s="107" t="str">
        <f>IF(LEN(Table1722[[#This Row],[Uraian]])&gt;2,1," ")</f>
        <v xml:space="preserve"> </v>
      </c>
      <c r="E5694" s="113" t="str">
        <f>IF(Table1722[[#This Row],[Lawan Transaksi]]="CV AGUNG KARYA",COUNTIF($I$10:I5694,"CV AGUNG KARYA")," ")</f>
        <v xml:space="preserve"> </v>
      </c>
      <c r="F5694" s="107" t="str">
        <f>IF(LEN(Table1722[[#This Row],[Uraian]])&gt;2,TRIM(RIGHT(SUBSTITUTE(TRIM(C5694)," ",REPT(" ",255)),255))," ")</f>
        <v xml:space="preserve"> </v>
      </c>
      <c r="G5694" s="110">
        <f>COPY!Z5686</f>
        <v>0</v>
      </c>
      <c r="H5694" s="111" t="str">
        <f>IFERROR(VLOOKUP(Table1722[[#This Row],[Bukti]],'Un nOTA'!$A$4:$K$5003,10,FALSE),"")</f>
        <v/>
      </c>
      <c r="I5694" s="123" t="str">
        <f>IFERROR(VLOOKUP(Table1722[[#This Row],[Bukti]],Table13[#Data],11,FALSE),"")</f>
        <v/>
      </c>
    </row>
    <row r="5695" spans="1:9" hidden="1" x14ac:dyDescent="0.2">
      <c r="A5695" s="105" t="str">
        <f>IF(D5695=1,COUNTIF($D$10:D5695,1)," ")</f>
        <v xml:space="preserve"> </v>
      </c>
      <c r="B5695" s="106">
        <f>COPY!AR5687</f>
        <v>0</v>
      </c>
      <c r="C5695" s="107">
        <f>COPY!AC5687</f>
        <v>0</v>
      </c>
      <c r="D5695" s="107" t="str">
        <f>IF(LEN(Table1722[[#This Row],[Uraian]])&gt;2,1," ")</f>
        <v xml:space="preserve"> </v>
      </c>
      <c r="E5695" s="113" t="str">
        <f>IF(Table1722[[#This Row],[Lawan Transaksi]]="CV AGUNG KARYA",COUNTIF($I$10:I5695,"CV AGUNG KARYA")," ")</f>
        <v xml:space="preserve"> </v>
      </c>
      <c r="F5695" s="107" t="str">
        <f>IF(LEN(Table1722[[#This Row],[Uraian]])&gt;2,TRIM(RIGHT(SUBSTITUTE(TRIM(C5695)," ",REPT(" ",255)),255))," ")</f>
        <v xml:space="preserve"> </v>
      </c>
      <c r="G5695" s="110">
        <f>COPY!Z5687</f>
        <v>0</v>
      </c>
      <c r="H5695" s="111" t="str">
        <f>IFERROR(VLOOKUP(Table1722[[#This Row],[Bukti]],'Un nOTA'!$A$4:$K$5003,10,FALSE),"")</f>
        <v/>
      </c>
      <c r="I5695" s="123" t="str">
        <f>IFERROR(VLOOKUP(Table1722[[#This Row],[Bukti]],Table13[#Data],11,FALSE),"")</f>
        <v/>
      </c>
    </row>
    <row r="5696" spans="1:9" hidden="1" x14ac:dyDescent="0.2">
      <c r="A5696" s="105" t="str">
        <f>IF(D5696=1,COUNTIF($D$10:D5696,1)," ")</f>
        <v xml:space="preserve"> </v>
      </c>
      <c r="B5696" s="106">
        <f>COPY!AR5688</f>
        <v>0</v>
      </c>
      <c r="C5696" s="107">
        <f>COPY!AC5688</f>
        <v>0</v>
      </c>
      <c r="D5696" s="107" t="str">
        <f>IF(LEN(Table1722[[#This Row],[Uraian]])&gt;2,1," ")</f>
        <v xml:space="preserve"> </v>
      </c>
      <c r="E5696" s="113" t="str">
        <f>IF(Table1722[[#This Row],[Lawan Transaksi]]="CV AGUNG KARYA",COUNTIF($I$10:I5696,"CV AGUNG KARYA")," ")</f>
        <v xml:space="preserve"> </v>
      </c>
      <c r="F5696" s="107" t="str">
        <f>IF(LEN(Table1722[[#This Row],[Uraian]])&gt;2,TRIM(RIGHT(SUBSTITUTE(TRIM(C5696)," ",REPT(" ",255)),255))," ")</f>
        <v xml:space="preserve"> </v>
      </c>
      <c r="G5696" s="110">
        <f>COPY!Z5688</f>
        <v>0</v>
      </c>
      <c r="H5696" s="111" t="str">
        <f>IFERROR(VLOOKUP(Table1722[[#This Row],[Bukti]],'Un nOTA'!$A$4:$K$5003,10,FALSE),"")</f>
        <v/>
      </c>
      <c r="I5696" s="123" t="str">
        <f>IFERROR(VLOOKUP(Table1722[[#This Row],[Bukti]],Table13[#Data],11,FALSE),"")</f>
        <v/>
      </c>
    </row>
    <row r="5697" spans="1:9" hidden="1" x14ac:dyDescent="0.2">
      <c r="A5697" s="105" t="str">
        <f>IF(D5697=1,COUNTIF($D$10:D5697,1)," ")</f>
        <v xml:space="preserve"> </v>
      </c>
      <c r="B5697" s="106">
        <f>COPY!AR5689</f>
        <v>0</v>
      </c>
      <c r="C5697" s="107">
        <f>COPY!AC5689</f>
        <v>0</v>
      </c>
      <c r="D5697" s="107" t="str">
        <f>IF(LEN(Table1722[[#This Row],[Uraian]])&gt;2,1," ")</f>
        <v xml:space="preserve"> </v>
      </c>
      <c r="E5697" s="113" t="str">
        <f>IF(Table1722[[#This Row],[Lawan Transaksi]]="CV AGUNG KARYA",COUNTIF($I$10:I5697,"CV AGUNG KARYA")," ")</f>
        <v xml:space="preserve"> </v>
      </c>
      <c r="F5697" s="107" t="str">
        <f>IF(LEN(Table1722[[#This Row],[Uraian]])&gt;2,TRIM(RIGHT(SUBSTITUTE(TRIM(C5697)," ",REPT(" ",255)),255))," ")</f>
        <v xml:space="preserve"> </v>
      </c>
      <c r="G5697" s="110">
        <f>COPY!Z5689</f>
        <v>0</v>
      </c>
      <c r="H5697" s="111" t="str">
        <f>IFERROR(VLOOKUP(Table1722[[#This Row],[Bukti]],'Un nOTA'!$A$4:$K$5003,10,FALSE),"")</f>
        <v/>
      </c>
      <c r="I5697" s="123" t="str">
        <f>IFERROR(VLOOKUP(Table1722[[#This Row],[Bukti]],Table13[#Data],11,FALSE),"")</f>
        <v/>
      </c>
    </row>
    <row r="5698" spans="1:9" hidden="1" x14ac:dyDescent="0.2">
      <c r="A5698" s="105" t="str">
        <f>IF(D5698=1,COUNTIF($D$10:D5698,1)," ")</f>
        <v xml:space="preserve"> </v>
      </c>
      <c r="B5698" s="106">
        <f>COPY!AR5690</f>
        <v>0</v>
      </c>
      <c r="C5698" s="107">
        <f>COPY!AC5690</f>
        <v>0</v>
      </c>
      <c r="D5698" s="107" t="str">
        <f>IF(LEN(Table1722[[#This Row],[Uraian]])&gt;2,1," ")</f>
        <v xml:space="preserve"> </v>
      </c>
      <c r="E5698" s="113" t="str">
        <f>IF(Table1722[[#This Row],[Lawan Transaksi]]="CV AGUNG KARYA",COUNTIF($I$10:I5698,"CV AGUNG KARYA")," ")</f>
        <v xml:space="preserve"> </v>
      </c>
      <c r="F5698" s="107" t="str">
        <f>IF(LEN(Table1722[[#This Row],[Uraian]])&gt;2,TRIM(RIGHT(SUBSTITUTE(TRIM(C5698)," ",REPT(" ",255)),255))," ")</f>
        <v xml:space="preserve"> </v>
      </c>
      <c r="G5698" s="110">
        <f>COPY!Z5690</f>
        <v>0</v>
      </c>
      <c r="H5698" s="111" t="str">
        <f>IFERROR(VLOOKUP(Table1722[[#This Row],[Bukti]],'Un nOTA'!$A$4:$K$5003,10,FALSE),"")</f>
        <v/>
      </c>
      <c r="I5698" s="123" t="str">
        <f>IFERROR(VLOOKUP(Table1722[[#This Row],[Bukti]],Table13[#Data],11,FALSE),"")</f>
        <v/>
      </c>
    </row>
    <row r="5699" spans="1:9" hidden="1" x14ac:dyDescent="0.2">
      <c r="A5699" s="105" t="str">
        <f>IF(D5699=1,COUNTIF($D$10:D5699,1)," ")</f>
        <v xml:space="preserve"> </v>
      </c>
      <c r="B5699" s="106">
        <f>COPY!AR5691</f>
        <v>0</v>
      </c>
      <c r="C5699" s="107">
        <f>COPY!AC5691</f>
        <v>0</v>
      </c>
      <c r="D5699" s="107" t="str">
        <f>IF(LEN(Table1722[[#This Row],[Uraian]])&gt;2,1," ")</f>
        <v xml:space="preserve"> </v>
      </c>
      <c r="E5699" s="113" t="str">
        <f>IF(Table1722[[#This Row],[Lawan Transaksi]]="CV AGUNG KARYA",COUNTIF($I$10:I5699,"CV AGUNG KARYA")," ")</f>
        <v xml:space="preserve"> </v>
      </c>
      <c r="F5699" s="107" t="str">
        <f>IF(LEN(Table1722[[#This Row],[Uraian]])&gt;2,TRIM(RIGHT(SUBSTITUTE(TRIM(C5699)," ",REPT(" ",255)),255))," ")</f>
        <v xml:space="preserve"> </v>
      </c>
      <c r="G5699" s="110">
        <f>COPY!Z5691</f>
        <v>0</v>
      </c>
      <c r="H5699" s="111" t="str">
        <f>IFERROR(VLOOKUP(Table1722[[#This Row],[Bukti]],'Un nOTA'!$A$4:$K$5003,10,FALSE),"")</f>
        <v/>
      </c>
      <c r="I5699" s="123" t="str">
        <f>IFERROR(VLOOKUP(Table1722[[#This Row],[Bukti]],Table13[#Data],11,FALSE),"")</f>
        <v/>
      </c>
    </row>
    <row r="5700" spans="1:9" hidden="1" x14ac:dyDescent="0.2">
      <c r="A5700" s="105" t="str">
        <f>IF(D5700=1,COUNTIF($D$10:D5700,1)," ")</f>
        <v xml:space="preserve"> </v>
      </c>
      <c r="B5700" s="106">
        <f>COPY!AR5692</f>
        <v>0</v>
      </c>
      <c r="C5700" s="107">
        <f>COPY!AC5692</f>
        <v>0</v>
      </c>
      <c r="D5700" s="107" t="str">
        <f>IF(LEN(Table1722[[#This Row],[Uraian]])&gt;2,1," ")</f>
        <v xml:space="preserve"> </v>
      </c>
      <c r="E5700" s="113" t="str">
        <f>IF(Table1722[[#This Row],[Lawan Transaksi]]="CV AGUNG KARYA",COUNTIF($I$10:I5700,"CV AGUNG KARYA")," ")</f>
        <v xml:space="preserve"> </v>
      </c>
      <c r="F5700" s="107" t="str">
        <f>IF(LEN(Table1722[[#This Row],[Uraian]])&gt;2,TRIM(RIGHT(SUBSTITUTE(TRIM(C5700)," ",REPT(" ",255)),255))," ")</f>
        <v xml:space="preserve"> </v>
      </c>
      <c r="G5700" s="110">
        <f>COPY!Z5692</f>
        <v>0</v>
      </c>
      <c r="H5700" s="111" t="str">
        <f>IFERROR(VLOOKUP(Table1722[[#This Row],[Bukti]],'Un nOTA'!$A$4:$K$5003,10,FALSE),"")</f>
        <v/>
      </c>
      <c r="I5700" s="123" t="str">
        <f>IFERROR(VLOOKUP(Table1722[[#This Row],[Bukti]],Table13[#Data],11,FALSE),"")</f>
        <v/>
      </c>
    </row>
    <row r="5701" spans="1:9" hidden="1" x14ac:dyDescent="0.2">
      <c r="A5701" s="105" t="str">
        <f>IF(D5701=1,COUNTIF($D$10:D5701,1)," ")</f>
        <v xml:space="preserve"> </v>
      </c>
      <c r="B5701" s="106">
        <f>COPY!AR5693</f>
        <v>0</v>
      </c>
      <c r="C5701" s="107">
        <f>COPY!AC5693</f>
        <v>0</v>
      </c>
      <c r="D5701" s="107" t="str">
        <f>IF(LEN(Table1722[[#This Row],[Uraian]])&gt;2,1," ")</f>
        <v xml:space="preserve"> </v>
      </c>
      <c r="E5701" s="113" t="str">
        <f>IF(Table1722[[#This Row],[Lawan Transaksi]]="CV AGUNG KARYA",COUNTIF($I$10:I5701,"CV AGUNG KARYA")," ")</f>
        <v xml:space="preserve"> </v>
      </c>
      <c r="F5701" s="107" t="str">
        <f>IF(LEN(Table1722[[#This Row],[Uraian]])&gt;2,TRIM(RIGHT(SUBSTITUTE(TRIM(C5701)," ",REPT(" ",255)),255))," ")</f>
        <v xml:space="preserve"> </v>
      </c>
      <c r="G5701" s="110">
        <f>COPY!Z5693</f>
        <v>0</v>
      </c>
      <c r="H5701" s="111" t="str">
        <f>IFERROR(VLOOKUP(Table1722[[#This Row],[Bukti]],'Un nOTA'!$A$4:$K$5003,10,FALSE),"")</f>
        <v/>
      </c>
      <c r="I5701" s="123" t="str">
        <f>IFERROR(VLOOKUP(Table1722[[#This Row],[Bukti]],Table13[#Data],11,FALSE),"")</f>
        <v/>
      </c>
    </row>
    <row r="5702" spans="1:9" hidden="1" x14ac:dyDescent="0.2">
      <c r="A5702" s="105" t="str">
        <f>IF(D5702=1,COUNTIF($D$10:D5702,1)," ")</f>
        <v xml:space="preserve"> </v>
      </c>
      <c r="B5702" s="106">
        <f>COPY!AR5694</f>
        <v>0</v>
      </c>
      <c r="C5702" s="107">
        <f>COPY!AC5694</f>
        <v>0</v>
      </c>
      <c r="D5702" s="107" t="str">
        <f>IF(LEN(Table1722[[#This Row],[Uraian]])&gt;2,1," ")</f>
        <v xml:space="preserve"> </v>
      </c>
      <c r="E5702" s="113" t="str">
        <f>IF(Table1722[[#This Row],[Lawan Transaksi]]="CV AGUNG KARYA",COUNTIF($I$10:I5702,"CV AGUNG KARYA")," ")</f>
        <v xml:space="preserve"> </v>
      </c>
      <c r="F5702" s="107" t="str">
        <f>IF(LEN(Table1722[[#This Row],[Uraian]])&gt;2,TRIM(RIGHT(SUBSTITUTE(TRIM(C5702)," ",REPT(" ",255)),255))," ")</f>
        <v xml:space="preserve"> </v>
      </c>
      <c r="G5702" s="110">
        <f>COPY!Z5694</f>
        <v>0</v>
      </c>
      <c r="H5702" s="111" t="str">
        <f>IFERROR(VLOOKUP(Table1722[[#This Row],[Bukti]],'Un nOTA'!$A$4:$K$5003,10,FALSE),"")</f>
        <v/>
      </c>
      <c r="I5702" s="123" t="str">
        <f>IFERROR(VLOOKUP(Table1722[[#This Row],[Bukti]],Table13[#Data],11,FALSE),"")</f>
        <v/>
      </c>
    </row>
    <row r="5703" spans="1:9" hidden="1" x14ac:dyDescent="0.2">
      <c r="A5703" s="105" t="str">
        <f>IF(D5703=1,COUNTIF($D$10:D5703,1)," ")</f>
        <v xml:space="preserve"> </v>
      </c>
      <c r="B5703" s="106">
        <f>COPY!AR5695</f>
        <v>0</v>
      </c>
      <c r="C5703" s="107">
        <f>COPY!AC5695</f>
        <v>0</v>
      </c>
      <c r="D5703" s="107" t="str">
        <f>IF(LEN(Table1722[[#This Row],[Uraian]])&gt;2,1," ")</f>
        <v xml:space="preserve"> </v>
      </c>
      <c r="E5703" s="113" t="str">
        <f>IF(Table1722[[#This Row],[Lawan Transaksi]]="CV AGUNG KARYA",COUNTIF($I$10:I5703,"CV AGUNG KARYA")," ")</f>
        <v xml:space="preserve"> </v>
      </c>
      <c r="F5703" s="107" t="str">
        <f>IF(LEN(Table1722[[#This Row],[Uraian]])&gt;2,TRIM(RIGHT(SUBSTITUTE(TRIM(C5703)," ",REPT(" ",255)),255))," ")</f>
        <v xml:space="preserve"> </v>
      </c>
      <c r="G5703" s="110">
        <f>COPY!Z5695</f>
        <v>0</v>
      </c>
      <c r="H5703" s="111" t="str">
        <f>IFERROR(VLOOKUP(Table1722[[#This Row],[Bukti]],'Un nOTA'!$A$4:$K$5003,10,FALSE),"")</f>
        <v/>
      </c>
      <c r="I5703" s="123" t="str">
        <f>IFERROR(VLOOKUP(Table1722[[#This Row],[Bukti]],Table13[#Data],11,FALSE),"")</f>
        <v/>
      </c>
    </row>
    <row r="5704" spans="1:9" hidden="1" x14ac:dyDescent="0.2">
      <c r="A5704" s="105" t="str">
        <f>IF(D5704=1,COUNTIF($D$10:D5704,1)," ")</f>
        <v xml:space="preserve"> </v>
      </c>
      <c r="B5704" s="106">
        <f>COPY!AR5696</f>
        <v>0</v>
      </c>
      <c r="C5704" s="107">
        <f>COPY!AC5696</f>
        <v>0</v>
      </c>
      <c r="D5704" s="107" t="str">
        <f>IF(LEN(Table1722[[#This Row],[Uraian]])&gt;2,1," ")</f>
        <v xml:space="preserve"> </v>
      </c>
      <c r="E5704" s="113" t="str">
        <f>IF(Table1722[[#This Row],[Lawan Transaksi]]="CV AGUNG KARYA",COUNTIF($I$10:I5704,"CV AGUNG KARYA")," ")</f>
        <v xml:space="preserve"> </v>
      </c>
      <c r="F5704" s="107" t="str">
        <f>IF(LEN(Table1722[[#This Row],[Uraian]])&gt;2,TRIM(RIGHT(SUBSTITUTE(TRIM(C5704)," ",REPT(" ",255)),255))," ")</f>
        <v xml:space="preserve"> </v>
      </c>
      <c r="G5704" s="110">
        <f>COPY!Z5696</f>
        <v>0</v>
      </c>
      <c r="H5704" s="111" t="str">
        <f>IFERROR(VLOOKUP(Table1722[[#This Row],[Bukti]],'Un nOTA'!$A$4:$K$5003,10,FALSE),"")</f>
        <v/>
      </c>
      <c r="I5704" s="123" t="str">
        <f>IFERROR(VLOOKUP(Table1722[[#This Row],[Bukti]],Table13[#Data],11,FALSE),"")</f>
        <v/>
      </c>
    </row>
    <row r="5705" spans="1:9" hidden="1" x14ac:dyDescent="0.2">
      <c r="A5705" s="105" t="str">
        <f>IF(D5705=1,COUNTIF($D$10:D5705,1)," ")</f>
        <v xml:space="preserve"> </v>
      </c>
      <c r="B5705" s="106">
        <f>COPY!AR5697</f>
        <v>0</v>
      </c>
      <c r="C5705" s="107">
        <f>COPY!AC5697</f>
        <v>0</v>
      </c>
      <c r="D5705" s="107" t="str">
        <f>IF(LEN(Table1722[[#This Row],[Uraian]])&gt;2,1," ")</f>
        <v xml:space="preserve"> </v>
      </c>
      <c r="E5705" s="113" t="str">
        <f>IF(Table1722[[#This Row],[Lawan Transaksi]]="CV AGUNG KARYA",COUNTIF($I$10:I5705,"CV AGUNG KARYA")," ")</f>
        <v xml:space="preserve"> </v>
      </c>
      <c r="F5705" s="107" t="str">
        <f>IF(LEN(Table1722[[#This Row],[Uraian]])&gt;2,TRIM(RIGHT(SUBSTITUTE(TRIM(C5705)," ",REPT(" ",255)),255))," ")</f>
        <v xml:space="preserve"> </v>
      </c>
      <c r="G5705" s="110">
        <f>COPY!Z5697</f>
        <v>0</v>
      </c>
      <c r="H5705" s="111" t="str">
        <f>IFERROR(VLOOKUP(Table1722[[#This Row],[Bukti]],'Un nOTA'!$A$4:$K$5003,10,FALSE),"")</f>
        <v/>
      </c>
      <c r="I5705" s="123" t="str">
        <f>IFERROR(VLOOKUP(Table1722[[#This Row],[Bukti]],Table13[#Data],11,FALSE),"")</f>
        <v/>
      </c>
    </row>
    <row r="5706" spans="1:9" hidden="1" x14ac:dyDescent="0.2">
      <c r="A5706" s="105" t="str">
        <f>IF(D5706=1,COUNTIF($D$10:D5706,1)," ")</f>
        <v xml:space="preserve"> </v>
      </c>
      <c r="B5706" s="106">
        <f>COPY!AR5698</f>
        <v>0</v>
      </c>
      <c r="C5706" s="107">
        <f>COPY!AC5698</f>
        <v>0</v>
      </c>
      <c r="D5706" s="107" t="str">
        <f>IF(LEN(Table1722[[#This Row],[Uraian]])&gt;2,1," ")</f>
        <v xml:space="preserve"> </v>
      </c>
      <c r="E5706" s="113" t="str">
        <f>IF(Table1722[[#This Row],[Lawan Transaksi]]="CV AGUNG KARYA",COUNTIF($I$10:I5706,"CV AGUNG KARYA")," ")</f>
        <v xml:space="preserve"> </v>
      </c>
      <c r="F5706" s="107" t="str">
        <f>IF(LEN(Table1722[[#This Row],[Uraian]])&gt;2,TRIM(RIGHT(SUBSTITUTE(TRIM(C5706)," ",REPT(" ",255)),255))," ")</f>
        <v xml:space="preserve"> </v>
      </c>
      <c r="G5706" s="110">
        <f>COPY!Z5698</f>
        <v>0</v>
      </c>
      <c r="H5706" s="111" t="str">
        <f>IFERROR(VLOOKUP(Table1722[[#This Row],[Bukti]],'Un nOTA'!$A$4:$K$5003,10,FALSE),"")</f>
        <v/>
      </c>
      <c r="I5706" s="123" t="str">
        <f>IFERROR(VLOOKUP(Table1722[[#This Row],[Bukti]],Table13[#Data],11,FALSE),"")</f>
        <v/>
      </c>
    </row>
    <row r="5707" spans="1:9" hidden="1" x14ac:dyDescent="0.2">
      <c r="A5707" s="105" t="str">
        <f>IF(D5707=1,COUNTIF($D$10:D5707,1)," ")</f>
        <v xml:space="preserve"> </v>
      </c>
      <c r="B5707" s="106">
        <f>COPY!AR5699</f>
        <v>0</v>
      </c>
      <c r="C5707" s="107">
        <f>COPY!AC5699</f>
        <v>0</v>
      </c>
      <c r="D5707" s="107" t="str">
        <f>IF(LEN(Table1722[[#This Row],[Uraian]])&gt;2,1," ")</f>
        <v xml:space="preserve"> </v>
      </c>
      <c r="E5707" s="113" t="str">
        <f>IF(Table1722[[#This Row],[Lawan Transaksi]]="CV AGUNG KARYA",COUNTIF($I$10:I5707,"CV AGUNG KARYA")," ")</f>
        <v xml:space="preserve"> </v>
      </c>
      <c r="F5707" s="107" t="str">
        <f>IF(LEN(Table1722[[#This Row],[Uraian]])&gt;2,TRIM(RIGHT(SUBSTITUTE(TRIM(C5707)," ",REPT(" ",255)),255))," ")</f>
        <v xml:space="preserve"> </v>
      </c>
      <c r="G5707" s="110">
        <f>COPY!Z5699</f>
        <v>0</v>
      </c>
      <c r="H5707" s="111" t="str">
        <f>IFERROR(VLOOKUP(Table1722[[#This Row],[Bukti]],'Un nOTA'!$A$4:$K$5003,10,FALSE),"")</f>
        <v/>
      </c>
      <c r="I5707" s="123" t="str">
        <f>IFERROR(VLOOKUP(Table1722[[#This Row],[Bukti]],Table13[#Data],11,FALSE),"")</f>
        <v/>
      </c>
    </row>
    <row r="5708" spans="1:9" hidden="1" x14ac:dyDescent="0.2">
      <c r="A5708" s="105" t="str">
        <f>IF(D5708=1,COUNTIF($D$10:D5708,1)," ")</f>
        <v xml:space="preserve"> </v>
      </c>
      <c r="B5708" s="106">
        <f>COPY!AR5700</f>
        <v>0</v>
      </c>
      <c r="C5708" s="107">
        <f>COPY!AC5700</f>
        <v>0</v>
      </c>
      <c r="D5708" s="107" t="str">
        <f>IF(LEN(Table1722[[#This Row],[Uraian]])&gt;2,1," ")</f>
        <v xml:space="preserve"> </v>
      </c>
      <c r="E5708" s="113" t="str">
        <f>IF(Table1722[[#This Row],[Lawan Transaksi]]="CV AGUNG KARYA",COUNTIF($I$10:I5708,"CV AGUNG KARYA")," ")</f>
        <v xml:space="preserve"> </v>
      </c>
      <c r="F5708" s="107" t="str">
        <f>IF(LEN(Table1722[[#This Row],[Uraian]])&gt;2,TRIM(RIGHT(SUBSTITUTE(TRIM(C5708)," ",REPT(" ",255)),255))," ")</f>
        <v xml:space="preserve"> </v>
      </c>
      <c r="G5708" s="110">
        <f>COPY!Z5700</f>
        <v>0</v>
      </c>
      <c r="H5708" s="111" t="str">
        <f>IFERROR(VLOOKUP(Table1722[[#This Row],[Bukti]],'Un nOTA'!$A$4:$K$5003,10,FALSE),"")</f>
        <v/>
      </c>
      <c r="I5708" s="123" t="str">
        <f>IFERROR(VLOOKUP(Table1722[[#This Row],[Bukti]],Table13[#Data],11,FALSE),"")</f>
        <v/>
      </c>
    </row>
    <row r="5709" spans="1:9" hidden="1" x14ac:dyDescent="0.2">
      <c r="A5709" s="105" t="str">
        <f>IF(D5709=1,COUNTIF($D$10:D5709,1)," ")</f>
        <v xml:space="preserve"> </v>
      </c>
      <c r="B5709" s="106">
        <f>COPY!AR5701</f>
        <v>0</v>
      </c>
      <c r="C5709" s="107">
        <f>COPY!AC5701</f>
        <v>0</v>
      </c>
      <c r="D5709" s="107" t="str">
        <f>IF(LEN(Table1722[[#This Row],[Uraian]])&gt;2,1," ")</f>
        <v xml:space="preserve"> </v>
      </c>
      <c r="E5709" s="113" t="str">
        <f>IF(Table1722[[#This Row],[Lawan Transaksi]]="CV AGUNG KARYA",COUNTIF($I$10:I5709,"CV AGUNG KARYA")," ")</f>
        <v xml:space="preserve"> </v>
      </c>
      <c r="F5709" s="107" t="str">
        <f>IF(LEN(Table1722[[#This Row],[Uraian]])&gt;2,TRIM(RIGHT(SUBSTITUTE(TRIM(C5709)," ",REPT(" ",255)),255))," ")</f>
        <v xml:space="preserve"> </v>
      </c>
      <c r="G5709" s="110">
        <f>COPY!Z5701</f>
        <v>0</v>
      </c>
      <c r="H5709" s="111" t="str">
        <f>IFERROR(VLOOKUP(Table1722[[#This Row],[Bukti]],'Un nOTA'!$A$4:$K$5003,10,FALSE),"")</f>
        <v/>
      </c>
      <c r="I5709" s="123" t="str">
        <f>IFERROR(VLOOKUP(Table1722[[#This Row],[Bukti]],Table13[#Data],11,FALSE),"")</f>
        <v/>
      </c>
    </row>
    <row r="5710" spans="1:9" hidden="1" x14ac:dyDescent="0.2">
      <c r="A5710" s="105" t="str">
        <f>IF(D5710=1,COUNTIF($D$10:D5710,1)," ")</f>
        <v xml:space="preserve"> </v>
      </c>
      <c r="B5710" s="106">
        <f>COPY!AR5702</f>
        <v>0</v>
      </c>
      <c r="C5710" s="107">
        <f>COPY!AC5702</f>
        <v>0</v>
      </c>
      <c r="D5710" s="107" t="str">
        <f>IF(LEN(Table1722[[#This Row],[Uraian]])&gt;2,1," ")</f>
        <v xml:space="preserve"> </v>
      </c>
      <c r="E5710" s="113" t="str">
        <f>IF(Table1722[[#This Row],[Lawan Transaksi]]="CV AGUNG KARYA",COUNTIF($I$10:I5710,"CV AGUNG KARYA")," ")</f>
        <v xml:space="preserve"> </v>
      </c>
      <c r="F5710" s="107" t="str">
        <f>IF(LEN(Table1722[[#This Row],[Uraian]])&gt;2,TRIM(RIGHT(SUBSTITUTE(TRIM(C5710)," ",REPT(" ",255)),255))," ")</f>
        <v xml:space="preserve"> </v>
      </c>
      <c r="G5710" s="110">
        <f>COPY!Z5702</f>
        <v>0</v>
      </c>
      <c r="H5710" s="111" t="str">
        <f>IFERROR(VLOOKUP(Table1722[[#This Row],[Bukti]],'Un nOTA'!$A$4:$K$5003,10,FALSE),"")</f>
        <v/>
      </c>
      <c r="I5710" s="123" t="str">
        <f>IFERROR(VLOOKUP(Table1722[[#This Row],[Bukti]],Table13[#Data],11,FALSE),"")</f>
        <v/>
      </c>
    </row>
    <row r="5711" spans="1:9" hidden="1" x14ac:dyDescent="0.2">
      <c r="A5711" s="105" t="str">
        <f>IF(D5711=1,COUNTIF($D$10:D5711,1)," ")</f>
        <v xml:space="preserve"> </v>
      </c>
      <c r="B5711" s="106">
        <f>COPY!AR5703</f>
        <v>0</v>
      </c>
      <c r="C5711" s="107">
        <f>COPY!AC5703</f>
        <v>0</v>
      </c>
      <c r="D5711" s="107" t="str">
        <f>IF(LEN(Table1722[[#This Row],[Uraian]])&gt;2,1," ")</f>
        <v xml:space="preserve"> </v>
      </c>
      <c r="E5711" s="113" t="str">
        <f>IF(Table1722[[#This Row],[Lawan Transaksi]]="CV AGUNG KARYA",COUNTIF($I$10:I5711,"CV AGUNG KARYA")," ")</f>
        <v xml:space="preserve"> </v>
      </c>
      <c r="F5711" s="107" t="str">
        <f>IF(LEN(Table1722[[#This Row],[Uraian]])&gt;2,TRIM(RIGHT(SUBSTITUTE(TRIM(C5711)," ",REPT(" ",255)),255))," ")</f>
        <v xml:space="preserve"> </v>
      </c>
      <c r="G5711" s="110">
        <f>COPY!Z5703</f>
        <v>0</v>
      </c>
      <c r="H5711" s="111" t="str">
        <f>IFERROR(VLOOKUP(Table1722[[#This Row],[Bukti]],'Un nOTA'!$A$4:$K$5003,10,FALSE),"")</f>
        <v/>
      </c>
      <c r="I5711" s="123" t="str">
        <f>IFERROR(VLOOKUP(Table1722[[#This Row],[Bukti]],Table13[#Data],11,FALSE),"")</f>
        <v/>
      </c>
    </row>
    <row r="5712" spans="1:9" hidden="1" x14ac:dyDescent="0.2">
      <c r="A5712" s="105" t="str">
        <f>IF(D5712=1,COUNTIF($D$10:D5712,1)," ")</f>
        <v xml:space="preserve"> </v>
      </c>
      <c r="B5712" s="106">
        <f>COPY!AR5704</f>
        <v>0</v>
      </c>
      <c r="C5712" s="107">
        <f>COPY!AC5704</f>
        <v>0</v>
      </c>
      <c r="D5712" s="107" t="str">
        <f>IF(LEN(Table1722[[#This Row],[Uraian]])&gt;2,1," ")</f>
        <v xml:space="preserve"> </v>
      </c>
      <c r="E5712" s="113" t="str">
        <f>IF(Table1722[[#This Row],[Lawan Transaksi]]="CV AGUNG KARYA",COUNTIF($I$10:I5712,"CV AGUNG KARYA")," ")</f>
        <v xml:space="preserve"> </v>
      </c>
      <c r="F5712" s="107" t="str">
        <f>IF(LEN(Table1722[[#This Row],[Uraian]])&gt;2,TRIM(RIGHT(SUBSTITUTE(TRIM(C5712)," ",REPT(" ",255)),255))," ")</f>
        <v xml:space="preserve"> </v>
      </c>
      <c r="G5712" s="110">
        <f>COPY!Z5704</f>
        <v>0</v>
      </c>
      <c r="H5712" s="111" t="str">
        <f>IFERROR(VLOOKUP(Table1722[[#This Row],[Bukti]],'Un nOTA'!$A$4:$K$5003,10,FALSE),"")</f>
        <v/>
      </c>
      <c r="I5712" s="123" t="str">
        <f>IFERROR(VLOOKUP(Table1722[[#This Row],[Bukti]],Table13[#Data],11,FALSE),"")</f>
        <v/>
      </c>
    </row>
    <row r="5713" spans="1:9" hidden="1" x14ac:dyDescent="0.2">
      <c r="A5713" s="105" t="str">
        <f>IF(D5713=1,COUNTIF($D$10:D5713,1)," ")</f>
        <v xml:space="preserve"> </v>
      </c>
      <c r="B5713" s="106">
        <f>COPY!AR5705</f>
        <v>0</v>
      </c>
      <c r="C5713" s="107">
        <f>COPY!AC5705</f>
        <v>0</v>
      </c>
      <c r="D5713" s="107" t="str">
        <f>IF(LEN(Table1722[[#This Row],[Uraian]])&gt;2,1," ")</f>
        <v xml:space="preserve"> </v>
      </c>
      <c r="E5713" s="113" t="str">
        <f>IF(Table1722[[#This Row],[Lawan Transaksi]]="CV AGUNG KARYA",COUNTIF($I$10:I5713,"CV AGUNG KARYA")," ")</f>
        <v xml:space="preserve"> </v>
      </c>
      <c r="F5713" s="107" t="str">
        <f>IF(LEN(Table1722[[#This Row],[Uraian]])&gt;2,TRIM(RIGHT(SUBSTITUTE(TRIM(C5713)," ",REPT(" ",255)),255))," ")</f>
        <v xml:space="preserve"> </v>
      </c>
      <c r="G5713" s="110">
        <f>COPY!Z5705</f>
        <v>0</v>
      </c>
      <c r="H5713" s="111" t="str">
        <f>IFERROR(VLOOKUP(Table1722[[#This Row],[Bukti]],'Un nOTA'!$A$4:$K$5003,10,FALSE),"")</f>
        <v/>
      </c>
      <c r="I5713" s="123" t="str">
        <f>IFERROR(VLOOKUP(Table1722[[#This Row],[Bukti]],Table13[#Data],11,FALSE),"")</f>
        <v/>
      </c>
    </row>
    <row r="5714" spans="1:9" hidden="1" x14ac:dyDescent="0.2">
      <c r="A5714" s="105" t="str">
        <f>IF(D5714=1,COUNTIF($D$10:D5714,1)," ")</f>
        <v xml:space="preserve"> </v>
      </c>
      <c r="B5714" s="106">
        <f>COPY!AR5706</f>
        <v>0</v>
      </c>
      <c r="C5714" s="107">
        <f>COPY!AC5706</f>
        <v>0</v>
      </c>
      <c r="D5714" s="107" t="str">
        <f>IF(LEN(Table1722[[#This Row],[Uraian]])&gt;2,1," ")</f>
        <v xml:space="preserve"> </v>
      </c>
      <c r="E5714" s="113" t="str">
        <f>IF(Table1722[[#This Row],[Lawan Transaksi]]="CV AGUNG KARYA",COUNTIF($I$10:I5714,"CV AGUNG KARYA")," ")</f>
        <v xml:space="preserve"> </v>
      </c>
      <c r="F5714" s="107" t="str">
        <f>IF(LEN(Table1722[[#This Row],[Uraian]])&gt;2,TRIM(RIGHT(SUBSTITUTE(TRIM(C5714)," ",REPT(" ",255)),255))," ")</f>
        <v xml:space="preserve"> </v>
      </c>
      <c r="G5714" s="110">
        <f>COPY!Z5706</f>
        <v>0</v>
      </c>
      <c r="H5714" s="111" t="str">
        <f>IFERROR(VLOOKUP(Table1722[[#This Row],[Bukti]],'Un nOTA'!$A$4:$K$5003,10,FALSE),"")</f>
        <v/>
      </c>
      <c r="I5714" s="123" t="str">
        <f>IFERROR(VLOOKUP(Table1722[[#This Row],[Bukti]],Table13[#Data],11,FALSE),"")</f>
        <v/>
      </c>
    </row>
    <row r="5715" spans="1:9" hidden="1" x14ac:dyDescent="0.2">
      <c r="A5715" s="105" t="str">
        <f>IF(D5715=1,COUNTIF($D$10:D5715,1)," ")</f>
        <v xml:space="preserve"> </v>
      </c>
      <c r="B5715" s="106">
        <f>COPY!AR5707</f>
        <v>0</v>
      </c>
      <c r="C5715" s="107">
        <f>COPY!AC5707</f>
        <v>0</v>
      </c>
      <c r="D5715" s="107" t="str">
        <f>IF(LEN(Table1722[[#This Row],[Uraian]])&gt;2,1," ")</f>
        <v xml:space="preserve"> </v>
      </c>
      <c r="E5715" s="113" t="str">
        <f>IF(Table1722[[#This Row],[Lawan Transaksi]]="CV AGUNG KARYA",COUNTIF($I$10:I5715,"CV AGUNG KARYA")," ")</f>
        <v xml:space="preserve"> </v>
      </c>
      <c r="F5715" s="107" t="str">
        <f>IF(LEN(Table1722[[#This Row],[Uraian]])&gt;2,TRIM(RIGHT(SUBSTITUTE(TRIM(C5715)," ",REPT(" ",255)),255))," ")</f>
        <v xml:space="preserve"> </v>
      </c>
      <c r="G5715" s="110">
        <f>COPY!Z5707</f>
        <v>0</v>
      </c>
      <c r="H5715" s="111" t="str">
        <f>IFERROR(VLOOKUP(Table1722[[#This Row],[Bukti]],'Un nOTA'!$A$4:$K$5003,10,FALSE),"")</f>
        <v/>
      </c>
      <c r="I5715" s="123" t="str">
        <f>IFERROR(VLOOKUP(Table1722[[#This Row],[Bukti]],Table13[#Data],11,FALSE),"")</f>
        <v/>
      </c>
    </row>
    <row r="5716" spans="1:9" hidden="1" x14ac:dyDescent="0.2">
      <c r="A5716" s="105" t="str">
        <f>IF(D5716=1,COUNTIF($D$10:D5716,1)," ")</f>
        <v xml:space="preserve"> </v>
      </c>
      <c r="B5716" s="106">
        <f>COPY!AR5708</f>
        <v>0</v>
      </c>
      <c r="C5716" s="107">
        <f>COPY!AC5708</f>
        <v>0</v>
      </c>
      <c r="D5716" s="107" t="str">
        <f>IF(LEN(Table1722[[#This Row],[Uraian]])&gt;2,1," ")</f>
        <v xml:space="preserve"> </v>
      </c>
      <c r="E5716" s="113" t="str">
        <f>IF(Table1722[[#This Row],[Lawan Transaksi]]="CV AGUNG KARYA",COUNTIF($I$10:I5716,"CV AGUNG KARYA")," ")</f>
        <v xml:space="preserve"> </v>
      </c>
      <c r="F5716" s="107" t="str">
        <f>IF(LEN(Table1722[[#This Row],[Uraian]])&gt;2,TRIM(RIGHT(SUBSTITUTE(TRIM(C5716)," ",REPT(" ",255)),255))," ")</f>
        <v xml:space="preserve"> </v>
      </c>
      <c r="G5716" s="110">
        <f>COPY!Z5708</f>
        <v>0</v>
      </c>
      <c r="H5716" s="111" t="str">
        <f>IFERROR(VLOOKUP(Table1722[[#This Row],[Bukti]],'Un nOTA'!$A$4:$K$5003,10,FALSE),"")</f>
        <v/>
      </c>
      <c r="I5716" s="123" t="str">
        <f>IFERROR(VLOOKUP(Table1722[[#This Row],[Bukti]],Table13[#Data],11,FALSE),"")</f>
        <v/>
      </c>
    </row>
    <row r="5717" spans="1:9" hidden="1" x14ac:dyDescent="0.2">
      <c r="A5717" s="105" t="str">
        <f>IF(D5717=1,COUNTIF($D$10:D5717,1)," ")</f>
        <v xml:space="preserve"> </v>
      </c>
      <c r="B5717" s="106">
        <f>COPY!AR5709</f>
        <v>0</v>
      </c>
      <c r="C5717" s="107">
        <f>COPY!AC5709</f>
        <v>0</v>
      </c>
      <c r="D5717" s="107" t="str">
        <f>IF(LEN(Table1722[[#This Row],[Uraian]])&gt;2,1," ")</f>
        <v xml:space="preserve"> </v>
      </c>
      <c r="E5717" s="113" t="str">
        <f>IF(Table1722[[#This Row],[Lawan Transaksi]]="CV AGUNG KARYA",COUNTIF($I$10:I5717,"CV AGUNG KARYA")," ")</f>
        <v xml:space="preserve"> </v>
      </c>
      <c r="F5717" s="107" t="str">
        <f>IF(LEN(Table1722[[#This Row],[Uraian]])&gt;2,TRIM(RIGHT(SUBSTITUTE(TRIM(C5717)," ",REPT(" ",255)),255))," ")</f>
        <v xml:space="preserve"> </v>
      </c>
      <c r="G5717" s="110">
        <f>COPY!Z5709</f>
        <v>0</v>
      </c>
      <c r="H5717" s="111" t="str">
        <f>IFERROR(VLOOKUP(Table1722[[#This Row],[Bukti]],'Un nOTA'!$A$4:$K$5003,10,FALSE),"")</f>
        <v/>
      </c>
      <c r="I5717" s="123" t="str">
        <f>IFERROR(VLOOKUP(Table1722[[#This Row],[Bukti]],Table13[#Data],11,FALSE),"")</f>
        <v/>
      </c>
    </row>
    <row r="5718" spans="1:9" hidden="1" x14ac:dyDescent="0.2">
      <c r="A5718" s="105" t="str">
        <f>IF(D5718=1,COUNTIF($D$10:D5718,1)," ")</f>
        <v xml:space="preserve"> </v>
      </c>
      <c r="B5718" s="106">
        <f>COPY!AR5710</f>
        <v>0</v>
      </c>
      <c r="C5718" s="107">
        <f>COPY!AC5710</f>
        <v>0</v>
      </c>
      <c r="D5718" s="107" t="str">
        <f>IF(LEN(Table1722[[#This Row],[Uraian]])&gt;2,1," ")</f>
        <v xml:space="preserve"> </v>
      </c>
      <c r="E5718" s="113" t="str">
        <f>IF(Table1722[[#This Row],[Lawan Transaksi]]="CV AGUNG KARYA",COUNTIF($I$10:I5718,"CV AGUNG KARYA")," ")</f>
        <v xml:space="preserve"> </v>
      </c>
      <c r="F5718" s="107" t="str">
        <f>IF(LEN(Table1722[[#This Row],[Uraian]])&gt;2,TRIM(RIGHT(SUBSTITUTE(TRIM(C5718)," ",REPT(" ",255)),255))," ")</f>
        <v xml:space="preserve"> </v>
      </c>
      <c r="G5718" s="110">
        <f>COPY!Z5710</f>
        <v>0</v>
      </c>
      <c r="H5718" s="111" t="str">
        <f>IFERROR(VLOOKUP(Table1722[[#This Row],[Bukti]],'Un nOTA'!$A$4:$K$5003,10,FALSE),"")</f>
        <v/>
      </c>
      <c r="I5718" s="123" t="str">
        <f>IFERROR(VLOOKUP(Table1722[[#This Row],[Bukti]],Table13[#Data],11,FALSE),"")</f>
        <v/>
      </c>
    </row>
    <row r="5719" spans="1:9" hidden="1" x14ac:dyDescent="0.2">
      <c r="A5719" s="105" t="str">
        <f>IF(D5719=1,COUNTIF($D$10:D5719,1)," ")</f>
        <v xml:space="preserve"> </v>
      </c>
      <c r="B5719" s="106">
        <f>COPY!AR5711</f>
        <v>0</v>
      </c>
      <c r="C5719" s="107">
        <f>COPY!AC5711</f>
        <v>0</v>
      </c>
      <c r="D5719" s="107" t="str">
        <f>IF(LEN(Table1722[[#This Row],[Uraian]])&gt;2,1," ")</f>
        <v xml:space="preserve"> </v>
      </c>
      <c r="E5719" s="113" t="str">
        <f>IF(Table1722[[#This Row],[Lawan Transaksi]]="CV AGUNG KARYA",COUNTIF($I$10:I5719,"CV AGUNG KARYA")," ")</f>
        <v xml:space="preserve"> </v>
      </c>
      <c r="F5719" s="107" t="str">
        <f>IF(LEN(Table1722[[#This Row],[Uraian]])&gt;2,TRIM(RIGHT(SUBSTITUTE(TRIM(C5719)," ",REPT(" ",255)),255))," ")</f>
        <v xml:space="preserve"> </v>
      </c>
      <c r="G5719" s="110">
        <f>COPY!Z5711</f>
        <v>0</v>
      </c>
      <c r="H5719" s="111" t="str">
        <f>IFERROR(VLOOKUP(Table1722[[#This Row],[Bukti]],'Un nOTA'!$A$4:$K$5003,10,FALSE),"")</f>
        <v/>
      </c>
      <c r="I5719" s="123" t="str">
        <f>IFERROR(VLOOKUP(Table1722[[#This Row],[Bukti]],Table13[#Data],11,FALSE),"")</f>
        <v/>
      </c>
    </row>
    <row r="5720" spans="1:9" hidden="1" x14ac:dyDescent="0.2">
      <c r="A5720" s="105" t="str">
        <f>IF(D5720=1,COUNTIF($D$10:D5720,1)," ")</f>
        <v xml:space="preserve"> </v>
      </c>
      <c r="B5720" s="106">
        <f>COPY!AR5712</f>
        <v>0</v>
      </c>
      <c r="C5720" s="107">
        <f>COPY!AC5712</f>
        <v>0</v>
      </c>
      <c r="D5720" s="107" t="str">
        <f>IF(LEN(Table1722[[#This Row],[Uraian]])&gt;2,1," ")</f>
        <v xml:space="preserve"> </v>
      </c>
      <c r="E5720" s="113" t="str">
        <f>IF(Table1722[[#This Row],[Lawan Transaksi]]="CV AGUNG KARYA",COUNTIF($I$10:I5720,"CV AGUNG KARYA")," ")</f>
        <v xml:space="preserve"> </v>
      </c>
      <c r="F5720" s="107" t="str">
        <f>IF(LEN(Table1722[[#This Row],[Uraian]])&gt;2,TRIM(RIGHT(SUBSTITUTE(TRIM(C5720)," ",REPT(" ",255)),255))," ")</f>
        <v xml:space="preserve"> </v>
      </c>
      <c r="G5720" s="110">
        <f>COPY!Z5712</f>
        <v>0</v>
      </c>
      <c r="H5720" s="111" t="str">
        <f>IFERROR(VLOOKUP(Table1722[[#This Row],[Bukti]],'Un nOTA'!$A$4:$K$5003,10,FALSE),"")</f>
        <v/>
      </c>
      <c r="I5720" s="123" t="str">
        <f>IFERROR(VLOOKUP(Table1722[[#This Row],[Bukti]],Table13[#Data],11,FALSE),"")</f>
        <v/>
      </c>
    </row>
    <row r="5721" spans="1:9" hidden="1" x14ac:dyDescent="0.2">
      <c r="A5721" s="105" t="str">
        <f>IF(D5721=1,COUNTIF($D$10:D5721,1)," ")</f>
        <v xml:space="preserve"> </v>
      </c>
      <c r="B5721" s="106">
        <f>COPY!AR5713</f>
        <v>0</v>
      </c>
      <c r="C5721" s="107">
        <f>COPY!AC5713</f>
        <v>0</v>
      </c>
      <c r="D5721" s="107" t="str">
        <f>IF(LEN(Table1722[[#This Row],[Uraian]])&gt;2,1," ")</f>
        <v xml:space="preserve"> </v>
      </c>
      <c r="E5721" s="113" t="str">
        <f>IF(Table1722[[#This Row],[Lawan Transaksi]]="CV AGUNG KARYA",COUNTIF($I$10:I5721,"CV AGUNG KARYA")," ")</f>
        <v xml:space="preserve"> </v>
      </c>
      <c r="F5721" s="107" t="str">
        <f>IF(LEN(Table1722[[#This Row],[Uraian]])&gt;2,TRIM(RIGHT(SUBSTITUTE(TRIM(C5721)," ",REPT(" ",255)),255))," ")</f>
        <v xml:space="preserve"> </v>
      </c>
      <c r="G5721" s="110">
        <f>COPY!Z5713</f>
        <v>0</v>
      </c>
      <c r="H5721" s="111" t="str">
        <f>IFERROR(VLOOKUP(Table1722[[#This Row],[Bukti]],'Un nOTA'!$A$4:$K$5003,10,FALSE),"")</f>
        <v/>
      </c>
      <c r="I5721" s="123" t="str">
        <f>IFERROR(VLOOKUP(Table1722[[#This Row],[Bukti]],Table13[#Data],11,FALSE),"")</f>
        <v/>
      </c>
    </row>
    <row r="5722" spans="1:9" hidden="1" x14ac:dyDescent="0.2">
      <c r="A5722" s="105" t="str">
        <f>IF(D5722=1,COUNTIF($D$10:D5722,1)," ")</f>
        <v xml:space="preserve"> </v>
      </c>
      <c r="B5722" s="106">
        <f>COPY!AR5714</f>
        <v>0</v>
      </c>
      <c r="C5722" s="107">
        <f>COPY!AC5714</f>
        <v>0</v>
      </c>
      <c r="D5722" s="107" t="str">
        <f>IF(LEN(Table1722[[#This Row],[Uraian]])&gt;2,1," ")</f>
        <v xml:space="preserve"> </v>
      </c>
      <c r="E5722" s="113" t="str">
        <f>IF(Table1722[[#This Row],[Lawan Transaksi]]="CV AGUNG KARYA",COUNTIF($I$10:I5722,"CV AGUNG KARYA")," ")</f>
        <v xml:space="preserve"> </v>
      </c>
      <c r="F5722" s="107" t="str">
        <f>IF(LEN(Table1722[[#This Row],[Uraian]])&gt;2,TRIM(RIGHT(SUBSTITUTE(TRIM(C5722)," ",REPT(" ",255)),255))," ")</f>
        <v xml:space="preserve"> </v>
      </c>
      <c r="G5722" s="110">
        <f>COPY!Z5714</f>
        <v>0</v>
      </c>
      <c r="H5722" s="111" t="str">
        <f>IFERROR(VLOOKUP(Table1722[[#This Row],[Bukti]],'Un nOTA'!$A$4:$K$5003,10,FALSE),"")</f>
        <v/>
      </c>
      <c r="I5722" s="123" t="str">
        <f>IFERROR(VLOOKUP(Table1722[[#This Row],[Bukti]],Table13[#Data],11,FALSE),"")</f>
        <v/>
      </c>
    </row>
    <row r="5723" spans="1:9" hidden="1" x14ac:dyDescent="0.2">
      <c r="A5723" s="105" t="str">
        <f>IF(D5723=1,COUNTIF($D$10:D5723,1)," ")</f>
        <v xml:space="preserve"> </v>
      </c>
      <c r="B5723" s="106">
        <f>COPY!AR5715</f>
        <v>0</v>
      </c>
      <c r="C5723" s="107">
        <f>COPY!AC5715</f>
        <v>0</v>
      </c>
      <c r="D5723" s="107" t="str">
        <f>IF(LEN(Table1722[[#This Row],[Uraian]])&gt;2,1," ")</f>
        <v xml:space="preserve"> </v>
      </c>
      <c r="E5723" s="113" t="str">
        <f>IF(Table1722[[#This Row],[Lawan Transaksi]]="CV AGUNG KARYA",COUNTIF($I$10:I5723,"CV AGUNG KARYA")," ")</f>
        <v xml:space="preserve"> </v>
      </c>
      <c r="F5723" s="107" t="str">
        <f>IF(LEN(Table1722[[#This Row],[Uraian]])&gt;2,TRIM(RIGHT(SUBSTITUTE(TRIM(C5723)," ",REPT(" ",255)),255))," ")</f>
        <v xml:space="preserve"> </v>
      </c>
      <c r="G5723" s="110">
        <f>COPY!Z5715</f>
        <v>0</v>
      </c>
      <c r="H5723" s="111" t="str">
        <f>IFERROR(VLOOKUP(Table1722[[#This Row],[Bukti]],'Un nOTA'!$A$4:$K$5003,10,FALSE),"")</f>
        <v/>
      </c>
      <c r="I5723" s="123" t="str">
        <f>IFERROR(VLOOKUP(Table1722[[#This Row],[Bukti]],Table13[#Data],11,FALSE),"")</f>
        <v/>
      </c>
    </row>
    <row r="5724" spans="1:9" hidden="1" x14ac:dyDescent="0.2">
      <c r="A5724" s="105" t="str">
        <f>IF(D5724=1,COUNTIF($D$10:D5724,1)," ")</f>
        <v xml:space="preserve"> </v>
      </c>
      <c r="B5724" s="106">
        <f>COPY!AR5716</f>
        <v>0</v>
      </c>
      <c r="C5724" s="107">
        <f>COPY!AC5716</f>
        <v>0</v>
      </c>
      <c r="D5724" s="107" t="str">
        <f>IF(LEN(Table1722[[#This Row],[Uraian]])&gt;2,1," ")</f>
        <v xml:space="preserve"> </v>
      </c>
      <c r="E5724" s="113" t="str">
        <f>IF(Table1722[[#This Row],[Lawan Transaksi]]="CV AGUNG KARYA",COUNTIF($I$10:I5724,"CV AGUNG KARYA")," ")</f>
        <v xml:space="preserve"> </v>
      </c>
      <c r="F5724" s="107" t="str">
        <f>IF(LEN(Table1722[[#This Row],[Uraian]])&gt;2,TRIM(RIGHT(SUBSTITUTE(TRIM(C5724)," ",REPT(" ",255)),255))," ")</f>
        <v xml:space="preserve"> </v>
      </c>
      <c r="G5724" s="110">
        <f>COPY!Z5716</f>
        <v>0</v>
      </c>
      <c r="H5724" s="111" t="str">
        <f>IFERROR(VLOOKUP(Table1722[[#This Row],[Bukti]],'Un nOTA'!$A$4:$K$5003,10,FALSE),"")</f>
        <v/>
      </c>
      <c r="I5724" s="123" t="str">
        <f>IFERROR(VLOOKUP(Table1722[[#This Row],[Bukti]],Table13[#Data],11,FALSE),"")</f>
        <v/>
      </c>
    </row>
    <row r="5725" spans="1:9" hidden="1" x14ac:dyDescent="0.2">
      <c r="A5725" s="105" t="str">
        <f>IF(D5725=1,COUNTIF($D$10:D5725,1)," ")</f>
        <v xml:space="preserve"> </v>
      </c>
      <c r="B5725" s="106">
        <f>COPY!AR5717</f>
        <v>0</v>
      </c>
      <c r="C5725" s="107">
        <f>COPY!AC5717</f>
        <v>0</v>
      </c>
      <c r="D5725" s="107" t="str">
        <f>IF(LEN(Table1722[[#This Row],[Uraian]])&gt;2,1," ")</f>
        <v xml:space="preserve"> </v>
      </c>
      <c r="E5725" s="113" t="str">
        <f>IF(Table1722[[#This Row],[Lawan Transaksi]]="CV AGUNG KARYA",COUNTIF($I$10:I5725,"CV AGUNG KARYA")," ")</f>
        <v xml:space="preserve"> </v>
      </c>
      <c r="F5725" s="107" t="str">
        <f>IF(LEN(Table1722[[#This Row],[Uraian]])&gt;2,TRIM(RIGHT(SUBSTITUTE(TRIM(C5725)," ",REPT(" ",255)),255))," ")</f>
        <v xml:space="preserve"> </v>
      </c>
      <c r="G5725" s="110">
        <f>COPY!Z5717</f>
        <v>0</v>
      </c>
      <c r="H5725" s="111" t="str">
        <f>IFERROR(VLOOKUP(Table1722[[#This Row],[Bukti]],'Un nOTA'!$A$4:$K$5003,10,FALSE),"")</f>
        <v/>
      </c>
      <c r="I5725" s="123" t="str">
        <f>IFERROR(VLOOKUP(Table1722[[#This Row],[Bukti]],Table13[#Data],11,FALSE),"")</f>
        <v/>
      </c>
    </row>
    <row r="5726" spans="1:9" hidden="1" x14ac:dyDescent="0.2">
      <c r="A5726" s="105" t="str">
        <f>IF(D5726=1,COUNTIF($D$10:D5726,1)," ")</f>
        <v xml:space="preserve"> </v>
      </c>
      <c r="B5726" s="106">
        <f>COPY!AR5718</f>
        <v>0</v>
      </c>
      <c r="C5726" s="107">
        <f>COPY!AC5718</f>
        <v>0</v>
      </c>
      <c r="D5726" s="107" t="str">
        <f>IF(LEN(Table1722[[#This Row],[Uraian]])&gt;2,1," ")</f>
        <v xml:space="preserve"> </v>
      </c>
      <c r="E5726" s="113" t="str">
        <f>IF(Table1722[[#This Row],[Lawan Transaksi]]="CV AGUNG KARYA",COUNTIF($I$10:I5726,"CV AGUNG KARYA")," ")</f>
        <v xml:space="preserve"> </v>
      </c>
      <c r="F5726" s="107" t="str">
        <f>IF(LEN(Table1722[[#This Row],[Uraian]])&gt;2,TRIM(RIGHT(SUBSTITUTE(TRIM(C5726)," ",REPT(" ",255)),255))," ")</f>
        <v xml:space="preserve"> </v>
      </c>
      <c r="G5726" s="110">
        <f>COPY!Z5718</f>
        <v>0</v>
      </c>
      <c r="H5726" s="111" t="str">
        <f>IFERROR(VLOOKUP(Table1722[[#This Row],[Bukti]],'Un nOTA'!$A$4:$K$5003,10,FALSE),"")</f>
        <v/>
      </c>
      <c r="I5726" s="123" t="str">
        <f>IFERROR(VLOOKUP(Table1722[[#This Row],[Bukti]],Table13[#Data],11,FALSE),"")</f>
        <v/>
      </c>
    </row>
    <row r="5727" spans="1:9" hidden="1" x14ac:dyDescent="0.2">
      <c r="A5727" s="105" t="str">
        <f>IF(D5727=1,COUNTIF($D$10:D5727,1)," ")</f>
        <v xml:space="preserve"> </v>
      </c>
      <c r="B5727" s="106">
        <f>COPY!AR5719</f>
        <v>0</v>
      </c>
      <c r="C5727" s="107">
        <f>COPY!AC5719</f>
        <v>0</v>
      </c>
      <c r="D5727" s="107" t="str">
        <f>IF(LEN(Table1722[[#This Row],[Uraian]])&gt;2,1," ")</f>
        <v xml:space="preserve"> </v>
      </c>
      <c r="E5727" s="113" t="str">
        <f>IF(Table1722[[#This Row],[Lawan Transaksi]]="CV AGUNG KARYA",COUNTIF($I$10:I5727,"CV AGUNG KARYA")," ")</f>
        <v xml:space="preserve"> </v>
      </c>
      <c r="F5727" s="107" t="str">
        <f>IF(LEN(Table1722[[#This Row],[Uraian]])&gt;2,TRIM(RIGHT(SUBSTITUTE(TRIM(C5727)," ",REPT(" ",255)),255))," ")</f>
        <v xml:space="preserve"> </v>
      </c>
      <c r="G5727" s="110">
        <f>COPY!Z5719</f>
        <v>0</v>
      </c>
      <c r="H5727" s="111" t="str">
        <f>IFERROR(VLOOKUP(Table1722[[#This Row],[Bukti]],'Un nOTA'!$A$4:$K$5003,10,FALSE),"")</f>
        <v/>
      </c>
      <c r="I5727" s="123" t="str">
        <f>IFERROR(VLOOKUP(Table1722[[#This Row],[Bukti]],Table13[#Data],11,FALSE),"")</f>
        <v/>
      </c>
    </row>
    <row r="5728" spans="1:9" hidden="1" x14ac:dyDescent="0.2">
      <c r="A5728" s="105" t="str">
        <f>IF(D5728=1,COUNTIF($D$10:D5728,1)," ")</f>
        <v xml:space="preserve"> </v>
      </c>
      <c r="B5728" s="106">
        <f>COPY!AR5720</f>
        <v>0</v>
      </c>
      <c r="C5728" s="107">
        <f>COPY!AC5720</f>
        <v>0</v>
      </c>
      <c r="D5728" s="107" t="str">
        <f>IF(LEN(Table1722[[#This Row],[Uraian]])&gt;2,1," ")</f>
        <v xml:space="preserve"> </v>
      </c>
      <c r="E5728" s="113" t="str">
        <f>IF(Table1722[[#This Row],[Lawan Transaksi]]="CV AGUNG KARYA",COUNTIF($I$10:I5728,"CV AGUNG KARYA")," ")</f>
        <v xml:space="preserve"> </v>
      </c>
      <c r="F5728" s="107" t="str">
        <f>IF(LEN(Table1722[[#This Row],[Uraian]])&gt;2,TRIM(RIGHT(SUBSTITUTE(TRIM(C5728)," ",REPT(" ",255)),255))," ")</f>
        <v xml:space="preserve"> </v>
      </c>
      <c r="G5728" s="110">
        <f>COPY!Z5720</f>
        <v>0</v>
      </c>
      <c r="H5728" s="111" t="str">
        <f>IFERROR(VLOOKUP(Table1722[[#This Row],[Bukti]],'Un nOTA'!$A$4:$K$5003,10,FALSE),"")</f>
        <v/>
      </c>
      <c r="I5728" s="123" t="str">
        <f>IFERROR(VLOOKUP(Table1722[[#This Row],[Bukti]],Table13[#Data],11,FALSE),"")</f>
        <v/>
      </c>
    </row>
    <row r="5729" spans="1:9" hidden="1" x14ac:dyDescent="0.2">
      <c r="A5729" s="105" t="str">
        <f>IF(D5729=1,COUNTIF($D$10:D5729,1)," ")</f>
        <v xml:space="preserve"> </v>
      </c>
      <c r="B5729" s="106">
        <f>COPY!AR5721</f>
        <v>0</v>
      </c>
      <c r="C5729" s="107">
        <f>COPY!AC5721</f>
        <v>0</v>
      </c>
      <c r="D5729" s="107" t="str">
        <f>IF(LEN(Table1722[[#This Row],[Uraian]])&gt;2,1," ")</f>
        <v xml:space="preserve"> </v>
      </c>
      <c r="E5729" s="113" t="str">
        <f>IF(Table1722[[#This Row],[Lawan Transaksi]]="CV AGUNG KARYA",COUNTIF($I$10:I5729,"CV AGUNG KARYA")," ")</f>
        <v xml:space="preserve"> </v>
      </c>
      <c r="F5729" s="107" t="str">
        <f>IF(LEN(Table1722[[#This Row],[Uraian]])&gt;2,TRIM(RIGHT(SUBSTITUTE(TRIM(C5729)," ",REPT(" ",255)),255))," ")</f>
        <v xml:space="preserve"> </v>
      </c>
      <c r="G5729" s="110">
        <f>COPY!Z5721</f>
        <v>0</v>
      </c>
      <c r="H5729" s="111" t="str">
        <f>IFERROR(VLOOKUP(Table1722[[#This Row],[Bukti]],'Un nOTA'!$A$4:$K$5003,10,FALSE),"")</f>
        <v/>
      </c>
      <c r="I5729" s="123" t="str">
        <f>IFERROR(VLOOKUP(Table1722[[#This Row],[Bukti]],Table13[#Data],11,FALSE),"")</f>
        <v/>
      </c>
    </row>
    <row r="5730" spans="1:9" hidden="1" x14ac:dyDescent="0.2">
      <c r="A5730" s="105" t="str">
        <f>IF(D5730=1,COUNTIF($D$10:D5730,1)," ")</f>
        <v xml:space="preserve"> </v>
      </c>
      <c r="B5730" s="106">
        <f>COPY!AR5722</f>
        <v>0</v>
      </c>
      <c r="C5730" s="107">
        <f>COPY!AC5722</f>
        <v>0</v>
      </c>
      <c r="D5730" s="107" t="str">
        <f>IF(LEN(Table1722[[#This Row],[Uraian]])&gt;2,1," ")</f>
        <v xml:space="preserve"> </v>
      </c>
      <c r="E5730" s="113" t="str">
        <f>IF(Table1722[[#This Row],[Lawan Transaksi]]="CV AGUNG KARYA",COUNTIF($I$10:I5730,"CV AGUNG KARYA")," ")</f>
        <v xml:space="preserve"> </v>
      </c>
      <c r="F5730" s="107" t="str">
        <f>IF(LEN(Table1722[[#This Row],[Uraian]])&gt;2,TRIM(RIGHT(SUBSTITUTE(TRIM(C5730)," ",REPT(" ",255)),255))," ")</f>
        <v xml:space="preserve"> </v>
      </c>
      <c r="G5730" s="110">
        <f>COPY!Z5722</f>
        <v>0</v>
      </c>
      <c r="H5730" s="111" t="str">
        <f>IFERROR(VLOOKUP(Table1722[[#This Row],[Bukti]],'Un nOTA'!$A$4:$K$5003,10,FALSE),"")</f>
        <v/>
      </c>
      <c r="I5730" s="123" t="str">
        <f>IFERROR(VLOOKUP(Table1722[[#This Row],[Bukti]],Table13[#Data],11,FALSE),"")</f>
        <v/>
      </c>
    </row>
    <row r="5731" spans="1:9" hidden="1" x14ac:dyDescent="0.2">
      <c r="A5731" s="105" t="str">
        <f>IF(D5731=1,COUNTIF($D$10:D5731,1)," ")</f>
        <v xml:space="preserve"> </v>
      </c>
      <c r="B5731" s="106">
        <f>COPY!AR5723</f>
        <v>0</v>
      </c>
      <c r="C5731" s="107">
        <f>COPY!AC5723</f>
        <v>0</v>
      </c>
      <c r="D5731" s="107" t="str">
        <f>IF(LEN(Table1722[[#This Row],[Uraian]])&gt;2,1," ")</f>
        <v xml:space="preserve"> </v>
      </c>
      <c r="E5731" s="113" t="str">
        <f>IF(Table1722[[#This Row],[Lawan Transaksi]]="CV AGUNG KARYA",COUNTIF($I$10:I5731,"CV AGUNG KARYA")," ")</f>
        <v xml:space="preserve"> </v>
      </c>
      <c r="F5731" s="107" t="str">
        <f>IF(LEN(Table1722[[#This Row],[Uraian]])&gt;2,TRIM(RIGHT(SUBSTITUTE(TRIM(C5731)," ",REPT(" ",255)),255))," ")</f>
        <v xml:space="preserve"> </v>
      </c>
      <c r="G5731" s="110">
        <f>COPY!Z5723</f>
        <v>0</v>
      </c>
      <c r="H5731" s="111" t="str">
        <f>IFERROR(VLOOKUP(Table1722[[#This Row],[Bukti]],'Un nOTA'!$A$4:$K$5003,10,FALSE),"")</f>
        <v/>
      </c>
      <c r="I5731" s="123" t="str">
        <f>IFERROR(VLOOKUP(Table1722[[#This Row],[Bukti]],Table13[#Data],11,FALSE),"")</f>
        <v/>
      </c>
    </row>
    <row r="5732" spans="1:9" hidden="1" x14ac:dyDescent="0.2">
      <c r="A5732" s="105" t="str">
        <f>IF(D5732=1,COUNTIF($D$10:D5732,1)," ")</f>
        <v xml:space="preserve"> </v>
      </c>
      <c r="B5732" s="106">
        <f>COPY!AR5724</f>
        <v>0</v>
      </c>
      <c r="C5732" s="107">
        <f>COPY!AC5724</f>
        <v>0</v>
      </c>
      <c r="D5732" s="107" t="str">
        <f>IF(LEN(Table1722[[#This Row],[Uraian]])&gt;2,1," ")</f>
        <v xml:space="preserve"> </v>
      </c>
      <c r="E5732" s="113" t="str">
        <f>IF(Table1722[[#This Row],[Lawan Transaksi]]="CV AGUNG KARYA",COUNTIF($I$10:I5732,"CV AGUNG KARYA")," ")</f>
        <v xml:space="preserve"> </v>
      </c>
      <c r="F5732" s="107" t="str">
        <f>IF(LEN(Table1722[[#This Row],[Uraian]])&gt;2,TRIM(RIGHT(SUBSTITUTE(TRIM(C5732)," ",REPT(" ",255)),255))," ")</f>
        <v xml:space="preserve"> </v>
      </c>
      <c r="G5732" s="110">
        <f>COPY!Z5724</f>
        <v>0</v>
      </c>
      <c r="H5732" s="111" t="str">
        <f>IFERROR(VLOOKUP(Table1722[[#This Row],[Bukti]],'Un nOTA'!$A$4:$K$5003,10,FALSE),"")</f>
        <v/>
      </c>
      <c r="I5732" s="123" t="str">
        <f>IFERROR(VLOOKUP(Table1722[[#This Row],[Bukti]],Table13[#Data],11,FALSE),"")</f>
        <v/>
      </c>
    </row>
    <row r="5733" spans="1:9" hidden="1" x14ac:dyDescent="0.2">
      <c r="A5733" s="105" t="str">
        <f>IF(D5733=1,COUNTIF($D$10:D5733,1)," ")</f>
        <v xml:space="preserve"> </v>
      </c>
      <c r="B5733" s="106">
        <f>COPY!AR5725</f>
        <v>0</v>
      </c>
      <c r="C5733" s="107">
        <f>COPY!AC5725</f>
        <v>0</v>
      </c>
      <c r="D5733" s="107" t="str">
        <f>IF(LEN(Table1722[[#This Row],[Uraian]])&gt;2,1," ")</f>
        <v xml:space="preserve"> </v>
      </c>
      <c r="E5733" s="113" t="str">
        <f>IF(Table1722[[#This Row],[Lawan Transaksi]]="CV AGUNG KARYA",COUNTIF($I$10:I5733,"CV AGUNG KARYA")," ")</f>
        <v xml:space="preserve"> </v>
      </c>
      <c r="F5733" s="107" t="str">
        <f>IF(LEN(Table1722[[#This Row],[Uraian]])&gt;2,TRIM(RIGHT(SUBSTITUTE(TRIM(C5733)," ",REPT(" ",255)),255))," ")</f>
        <v xml:space="preserve"> </v>
      </c>
      <c r="G5733" s="110">
        <f>COPY!Z5725</f>
        <v>0</v>
      </c>
      <c r="H5733" s="111" t="str">
        <f>IFERROR(VLOOKUP(Table1722[[#This Row],[Bukti]],'Un nOTA'!$A$4:$K$5003,10,FALSE),"")</f>
        <v/>
      </c>
      <c r="I5733" s="123" t="str">
        <f>IFERROR(VLOOKUP(Table1722[[#This Row],[Bukti]],Table13[#Data],11,FALSE),"")</f>
        <v/>
      </c>
    </row>
    <row r="5734" spans="1:9" hidden="1" x14ac:dyDescent="0.2">
      <c r="A5734" s="105" t="str">
        <f>IF(D5734=1,COUNTIF($D$10:D5734,1)," ")</f>
        <v xml:space="preserve"> </v>
      </c>
      <c r="B5734" s="106">
        <f>COPY!AR5726</f>
        <v>0</v>
      </c>
      <c r="C5734" s="107">
        <f>COPY!AC5726</f>
        <v>0</v>
      </c>
      <c r="D5734" s="107" t="str">
        <f>IF(LEN(Table1722[[#This Row],[Uraian]])&gt;2,1," ")</f>
        <v xml:space="preserve"> </v>
      </c>
      <c r="E5734" s="113" t="str">
        <f>IF(Table1722[[#This Row],[Lawan Transaksi]]="CV AGUNG KARYA",COUNTIF($I$10:I5734,"CV AGUNG KARYA")," ")</f>
        <v xml:space="preserve"> </v>
      </c>
      <c r="F5734" s="107" t="str">
        <f>IF(LEN(Table1722[[#This Row],[Uraian]])&gt;2,TRIM(RIGHT(SUBSTITUTE(TRIM(C5734)," ",REPT(" ",255)),255))," ")</f>
        <v xml:space="preserve"> </v>
      </c>
      <c r="G5734" s="110">
        <f>COPY!Z5726</f>
        <v>0</v>
      </c>
      <c r="H5734" s="111" t="str">
        <f>IFERROR(VLOOKUP(Table1722[[#This Row],[Bukti]],'Un nOTA'!$A$4:$K$5003,10,FALSE),"")</f>
        <v/>
      </c>
      <c r="I5734" s="123" t="str">
        <f>IFERROR(VLOOKUP(Table1722[[#This Row],[Bukti]],Table13[#Data],11,FALSE),"")</f>
        <v/>
      </c>
    </row>
    <row r="5735" spans="1:9" hidden="1" x14ac:dyDescent="0.2">
      <c r="A5735" s="105" t="str">
        <f>IF(D5735=1,COUNTIF($D$10:D5735,1)," ")</f>
        <v xml:space="preserve"> </v>
      </c>
      <c r="B5735" s="106">
        <f>COPY!AR5727</f>
        <v>0</v>
      </c>
      <c r="C5735" s="107">
        <f>COPY!AC5727</f>
        <v>0</v>
      </c>
      <c r="D5735" s="107" t="str">
        <f>IF(LEN(Table1722[[#This Row],[Uraian]])&gt;2,1," ")</f>
        <v xml:space="preserve"> </v>
      </c>
      <c r="E5735" s="113" t="str">
        <f>IF(Table1722[[#This Row],[Lawan Transaksi]]="CV AGUNG KARYA",COUNTIF($I$10:I5735,"CV AGUNG KARYA")," ")</f>
        <v xml:space="preserve"> </v>
      </c>
      <c r="F5735" s="107" t="str">
        <f>IF(LEN(Table1722[[#This Row],[Uraian]])&gt;2,TRIM(RIGHT(SUBSTITUTE(TRIM(C5735)," ",REPT(" ",255)),255))," ")</f>
        <v xml:space="preserve"> </v>
      </c>
      <c r="G5735" s="110">
        <f>COPY!Z5727</f>
        <v>0</v>
      </c>
      <c r="H5735" s="111" t="str">
        <f>IFERROR(VLOOKUP(Table1722[[#This Row],[Bukti]],'Un nOTA'!$A$4:$K$5003,10,FALSE),"")</f>
        <v/>
      </c>
      <c r="I5735" s="123" t="str">
        <f>IFERROR(VLOOKUP(Table1722[[#This Row],[Bukti]],Table13[#Data],11,FALSE),"")</f>
        <v/>
      </c>
    </row>
    <row r="5736" spans="1:9" hidden="1" x14ac:dyDescent="0.2">
      <c r="A5736" s="105" t="str">
        <f>IF(D5736=1,COUNTIF($D$10:D5736,1)," ")</f>
        <v xml:space="preserve"> </v>
      </c>
      <c r="B5736" s="106">
        <f>COPY!AR5728</f>
        <v>0</v>
      </c>
      <c r="C5736" s="107">
        <f>COPY!AC5728</f>
        <v>0</v>
      </c>
      <c r="D5736" s="107" t="str">
        <f>IF(LEN(Table1722[[#This Row],[Uraian]])&gt;2,1," ")</f>
        <v xml:space="preserve"> </v>
      </c>
      <c r="E5736" s="113" t="str">
        <f>IF(Table1722[[#This Row],[Lawan Transaksi]]="CV AGUNG KARYA",COUNTIF($I$10:I5736,"CV AGUNG KARYA")," ")</f>
        <v xml:space="preserve"> </v>
      </c>
      <c r="F5736" s="107" t="str">
        <f>IF(LEN(Table1722[[#This Row],[Uraian]])&gt;2,TRIM(RIGHT(SUBSTITUTE(TRIM(C5736)," ",REPT(" ",255)),255))," ")</f>
        <v xml:space="preserve"> </v>
      </c>
      <c r="G5736" s="110">
        <f>COPY!Z5728</f>
        <v>0</v>
      </c>
      <c r="H5736" s="111" t="str">
        <f>IFERROR(VLOOKUP(Table1722[[#This Row],[Bukti]],'Un nOTA'!$A$4:$K$5003,10,FALSE),"")</f>
        <v/>
      </c>
      <c r="I5736" s="123" t="str">
        <f>IFERROR(VLOOKUP(Table1722[[#This Row],[Bukti]],Table13[#Data],11,FALSE),"")</f>
        <v/>
      </c>
    </row>
    <row r="5737" spans="1:9" hidden="1" x14ac:dyDescent="0.2">
      <c r="A5737" s="105" t="str">
        <f>IF(D5737=1,COUNTIF($D$10:D5737,1)," ")</f>
        <v xml:space="preserve"> </v>
      </c>
      <c r="B5737" s="106">
        <f>COPY!AR5729</f>
        <v>0</v>
      </c>
      <c r="C5737" s="107">
        <f>COPY!AC5729</f>
        <v>0</v>
      </c>
      <c r="D5737" s="107" t="str">
        <f>IF(LEN(Table1722[[#This Row],[Uraian]])&gt;2,1," ")</f>
        <v xml:space="preserve"> </v>
      </c>
      <c r="E5737" s="113" t="str">
        <f>IF(Table1722[[#This Row],[Lawan Transaksi]]="CV AGUNG KARYA",COUNTIF($I$10:I5737,"CV AGUNG KARYA")," ")</f>
        <v xml:space="preserve"> </v>
      </c>
      <c r="F5737" s="107" t="str">
        <f>IF(LEN(Table1722[[#This Row],[Uraian]])&gt;2,TRIM(RIGHT(SUBSTITUTE(TRIM(C5737)," ",REPT(" ",255)),255))," ")</f>
        <v xml:space="preserve"> </v>
      </c>
      <c r="G5737" s="110">
        <f>COPY!Z5729</f>
        <v>0</v>
      </c>
      <c r="H5737" s="111" t="str">
        <f>IFERROR(VLOOKUP(Table1722[[#This Row],[Bukti]],'Un nOTA'!$A$4:$K$5003,10,FALSE),"")</f>
        <v/>
      </c>
      <c r="I5737" s="123" t="str">
        <f>IFERROR(VLOOKUP(Table1722[[#This Row],[Bukti]],Table13[#Data],11,FALSE),"")</f>
        <v/>
      </c>
    </row>
    <row r="5738" spans="1:9" hidden="1" x14ac:dyDescent="0.2">
      <c r="A5738" s="105" t="str">
        <f>IF(D5738=1,COUNTIF($D$10:D5738,1)," ")</f>
        <v xml:space="preserve"> </v>
      </c>
      <c r="B5738" s="106">
        <f>COPY!AR5730</f>
        <v>0</v>
      </c>
      <c r="C5738" s="107">
        <f>COPY!AC5730</f>
        <v>0</v>
      </c>
      <c r="D5738" s="107" t="str">
        <f>IF(LEN(Table1722[[#This Row],[Uraian]])&gt;2,1," ")</f>
        <v xml:space="preserve"> </v>
      </c>
      <c r="E5738" s="113" t="str">
        <f>IF(Table1722[[#This Row],[Lawan Transaksi]]="CV AGUNG KARYA",COUNTIF($I$10:I5738,"CV AGUNG KARYA")," ")</f>
        <v xml:space="preserve"> </v>
      </c>
      <c r="F5738" s="107" t="str">
        <f>IF(LEN(Table1722[[#This Row],[Uraian]])&gt;2,TRIM(RIGHT(SUBSTITUTE(TRIM(C5738)," ",REPT(" ",255)),255))," ")</f>
        <v xml:space="preserve"> </v>
      </c>
      <c r="G5738" s="110">
        <f>COPY!Z5730</f>
        <v>0</v>
      </c>
      <c r="H5738" s="111" t="str">
        <f>IFERROR(VLOOKUP(Table1722[[#This Row],[Bukti]],'Un nOTA'!$A$4:$K$5003,10,FALSE),"")</f>
        <v/>
      </c>
      <c r="I5738" s="123" t="str">
        <f>IFERROR(VLOOKUP(Table1722[[#This Row],[Bukti]],Table13[#Data],11,FALSE),"")</f>
        <v/>
      </c>
    </row>
    <row r="5739" spans="1:9" hidden="1" x14ac:dyDescent="0.2">
      <c r="A5739" s="105" t="str">
        <f>IF(D5739=1,COUNTIF($D$10:D5739,1)," ")</f>
        <v xml:space="preserve"> </v>
      </c>
      <c r="B5739" s="106">
        <f>COPY!AR5731</f>
        <v>0</v>
      </c>
      <c r="C5739" s="107">
        <f>COPY!AC5731</f>
        <v>0</v>
      </c>
      <c r="D5739" s="107" t="str">
        <f>IF(LEN(Table1722[[#This Row],[Uraian]])&gt;2,1," ")</f>
        <v xml:space="preserve"> </v>
      </c>
      <c r="E5739" s="113" t="str">
        <f>IF(Table1722[[#This Row],[Lawan Transaksi]]="CV AGUNG KARYA",COUNTIF($I$10:I5739,"CV AGUNG KARYA")," ")</f>
        <v xml:space="preserve"> </v>
      </c>
      <c r="F5739" s="107" t="str">
        <f>IF(LEN(Table1722[[#This Row],[Uraian]])&gt;2,TRIM(RIGHT(SUBSTITUTE(TRIM(C5739)," ",REPT(" ",255)),255))," ")</f>
        <v xml:space="preserve"> </v>
      </c>
      <c r="G5739" s="110">
        <f>COPY!Z5731</f>
        <v>0</v>
      </c>
      <c r="H5739" s="111" t="str">
        <f>IFERROR(VLOOKUP(Table1722[[#This Row],[Bukti]],'Un nOTA'!$A$4:$K$5003,10,FALSE),"")</f>
        <v/>
      </c>
      <c r="I5739" s="123" t="str">
        <f>IFERROR(VLOOKUP(Table1722[[#This Row],[Bukti]],Table13[#Data],11,FALSE),"")</f>
        <v/>
      </c>
    </row>
    <row r="5740" spans="1:9" hidden="1" x14ac:dyDescent="0.2">
      <c r="A5740" s="105" t="str">
        <f>IF(D5740=1,COUNTIF($D$10:D5740,1)," ")</f>
        <v xml:space="preserve"> </v>
      </c>
      <c r="B5740" s="106">
        <f>COPY!AR5732</f>
        <v>0</v>
      </c>
      <c r="C5740" s="107">
        <f>COPY!AC5732</f>
        <v>0</v>
      </c>
      <c r="D5740" s="107" t="str">
        <f>IF(LEN(Table1722[[#This Row],[Uraian]])&gt;2,1," ")</f>
        <v xml:space="preserve"> </v>
      </c>
      <c r="E5740" s="113" t="str">
        <f>IF(Table1722[[#This Row],[Lawan Transaksi]]="CV AGUNG KARYA",COUNTIF($I$10:I5740,"CV AGUNG KARYA")," ")</f>
        <v xml:space="preserve"> </v>
      </c>
      <c r="F5740" s="107" t="str">
        <f>IF(LEN(Table1722[[#This Row],[Uraian]])&gt;2,TRIM(RIGHT(SUBSTITUTE(TRIM(C5740)," ",REPT(" ",255)),255))," ")</f>
        <v xml:space="preserve"> </v>
      </c>
      <c r="G5740" s="110">
        <f>COPY!Z5732</f>
        <v>0</v>
      </c>
      <c r="H5740" s="111" t="str">
        <f>IFERROR(VLOOKUP(Table1722[[#This Row],[Bukti]],'Un nOTA'!$A$4:$K$5003,10,FALSE),"")</f>
        <v/>
      </c>
      <c r="I5740" s="123" t="str">
        <f>IFERROR(VLOOKUP(Table1722[[#This Row],[Bukti]],Table13[#Data],11,FALSE),"")</f>
        <v/>
      </c>
    </row>
    <row r="5741" spans="1:9" hidden="1" x14ac:dyDescent="0.2">
      <c r="A5741" s="105" t="str">
        <f>IF(D5741=1,COUNTIF($D$10:D5741,1)," ")</f>
        <v xml:space="preserve"> </v>
      </c>
      <c r="B5741" s="106">
        <f>COPY!AR5733</f>
        <v>0</v>
      </c>
      <c r="C5741" s="107">
        <f>COPY!AC5733</f>
        <v>0</v>
      </c>
      <c r="D5741" s="107" t="str">
        <f>IF(LEN(Table1722[[#This Row],[Uraian]])&gt;2,1," ")</f>
        <v xml:space="preserve"> </v>
      </c>
      <c r="E5741" s="113" t="str">
        <f>IF(Table1722[[#This Row],[Lawan Transaksi]]="CV AGUNG KARYA",COUNTIF($I$10:I5741,"CV AGUNG KARYA")," ")</f>
        <v xml:space="preserve"> </v>
      </c>
      <c r="F5741" s="107" t="str">
        <f>IF(LEN(Table1722[[#This Row],[Uraian]])&gt;2,TRIM(RIGHT(SUBSTITUTE(TRIM(C5741)," ",REPT(" ",255)),255))," ")</f>
        <v xml:space="preserve"> </v>
      </c>
      <c r="G5741" s="110">
        <f>COPY!Z5733</f>
        <v>0</v>
      </c>
      <c r="H5741" s="111" t="str">
        <f>IFERROR(VLOOKUP(Table1722[[#This Row],[Bukti]],'Un nOTA'!$A$4:$K$5003,10,FALSE),"")</f>
        <v/>
      </c>
      <c r="I5741" s="123" t="str">
        <f>IFERROR(VLOOKUP(Table1722[[#This Row],[Bukti]],Table13[#Data],11,FALSE),"")</f>
        <v/>
      </c>
    </row>
    <row r="5742" spans="1:9" hidden="1" x14ac:dyDescent="0.2">
      <c r="A5742" s="105" t="str">
        <f>IF(D5742=1,COUNTIF($D$10:D5742,1)," ")</f>
        <v xml:space="preserve"> </v>
      </c>
      <c r="B5742" s="106">
        <f>COPY!AR5734</f>
        <v>0</v>
      </c>
      <c r="C5742" s="107">
        <f>COPY!AC5734</f>
        <v>0</v>
      </c>
      <c r="D5742" s="107" t="str">
        <f>IF(LEN(Table1722[[#This Row],[Uraian]])&gt;2,1," ")</f>
        <v xml:space="preserve"> </v>
      </c>
      <c r="E5742" s="113" t="str">
        <f>IF(Table1722[[#This Row],[Lawan Transaksi]]="CV AGUNG KARYA",COUNTIF($I$10:I5742,"CV AGUNG KARYA")," ")</f>
        <v xml:space="preserve"> </v>
      </c>
      <c r="F5742" s="107" t="str">
        <f>IF(LEN(Table1722[[#This Row],[Uraian]])&gt;2,TRIM(RIGHT(SUBSTITUTE(TRIM(C5742)," ",REPT(" ",255)),255))," ")</f>
        <v xml:space="preserve"> </v>
      </c>
      <c r="G5742" s="110">
        <f>COPY!Z5734</f>
        <v>0</v>
      </c>
      <c r="H5742" s="111" t="str">
        <f>IFERROR(VLOOKUP(Table1722[[#This Row],[Bukti]],'Un nOTA'!$A$4:$K$5003,10,FALSE),"")</f>
        <v/>
      </c>
      <c r="I5742" s="123" t="str">
        <f>IFERROR(VLOOKUP(Table1722[[#This Row],[Bukti]],Table13[#Data],11,FALSE),"")</f>
        <v/>
      </c>
    </row>
    <row r="5743" spans="1:9" hidden="1" x14ac:dyDescent="0.2">
      <c r="A5743" s="105" t="str">
        <f>IF(D5743=1,COUNTIF($D$10:D5743,1)," ")</f>
        <v xml:space="preserve"> </v>
      </c>
      <c r="B5743" s="106">
        <f>COPY!AR5735</f>
        <v>0</v>
      </c>
      <c r="C5743" s="107">
        <f>COPY!AC5735</f>
        <v>0</v>
      </c>
      <c r="D5743" s="107" t="str">
        <f>IF(LEN(Table1722[[#This Row],[Uraian]])&gt;2,1," ")</f>
        <v xml:space="preserve"> </v>
      </c>
      <c r="E5743" s="113" t="str">
        <f>IF(Table1722[[#This Row],[Lawan Transaksi]]="CV AGUNG KARYA",COUNTIF($I$10:I5743,"CV AGUNG KARYA")," ")</f>
        <v xml:space="preserve"> </v>
      </c>
      <c r="F5743" s="107" t="str">
        <f>IF(LEN(Table1722[[#This Row],[Uraian]])&gt;2,TRIM(RIGHT(SUBSTITUTE(TRIM(C5743)," ",REPT(" ",255)),255))," ")</f>
        <v xml:space="preserve"> </v>
      </c>
      <c r="G5743" s="110">
        <f>COPY!Z5735</f>
        <v>0</v>
      </c>
      <c r="H5743" s="111" t="str">
        <f>IFERROR(VLOOKUP(Table1722[[#This Row],[Bukti]],'Un nOTA'!$A$4:$K$5003,10,FALSE),"")</f>
        <v/>
      </c>
      <c r="I5743" s="123" t="str">
        <f>IFERROR(VLOOKUP(Table1722[[#This Row],[Bukti]],Table13[#Data],11,FALSE),"")</f>
        <v/>
      </c>
    </row>
    <row r="5744" spans="1:9" hidden="1" x14ac:dyDescent="0.2">
      <c r="A5744" s="105" t="str">
        <f>IF(D5744=1,COUNTIF($D$10:D5744,1)," ")</f>
        <v xml:space="preserve"> </v>
      </c>
      <c r="B5744" s="106">
        <f>COPY!AR5736</f>
        <v>0</v>
      </c>
      <c r="C5744" s="107">
        <f>COPY!AC5736</f>
        <v>0</v>
      </c>
      <c r="D5744" s="107" t="str">
        <f>IF(LEN(Table1722[[#This Row],[Uraian]])&gt;2,1," ")</f>
        <v xml:space="preserve"> </v>
      </c>
      <c r="E5744" s="113" t="str">
        <f>IF(Table1722[[#This Row],[Lawan Transaksi]]="CV AGUNG KARYA",COUNTIF($I$10:I5744,"CV AGUNG KARYA")," ")</f>
        <v xml:space="preserve"> </v>
      </c>
      <c r="F5744" s="107" t="str">
        <f>IF(LEN(Table1722[[#This Row],[Uraian]])&gt;2,TRIM(RIGHT(SUBSTITUTE(TRIM(C5744)," ",REPT(" ",255)),255))," ")</f>
        <v xml:space="preserve"> </v>
      </c>
      <c r="G5744" s="110">
        <f>COPY!Z5736</f>
        <v>0</v>
      </c>
      <c r="H5744" s="111" t="str">
        <f>IFERROR(VLOOKUP(Table1722[[#This Row],[Bukti]],'Un nOTA'!$A$4:$K$5003,10,FALSE),"")</f>
        <v/>
      </c>
      <c r="I5744" s="123" t="str">
        <f>IFERROR(VLOOKUP(Table1722[[#This Row],[Bukti]],Table13[#Data],11,FALSE),"")</f>
        <v/>
      </c>
    </row>
    <row r="5745" spans="1:9" hidden="1" x14ac:dyDescent="0.2">
      <c r="A5745" s="105" t="str">
        <f>IF(D5745=1,COUNTIF($D$10:D5745,1)," ")</f>
        <v xml:space="preserve"> </v>
      </c>
      <c r="B5745" s="106">
        <f>COPY!AR5737</f>
        <v>0</v>
      </c>
      <c r="C5745" s="107">
        <f>COPY!AC5737</f>
        <v>0</v>
      </c>
      <c r="D5745" s="107" t="str">
        <f>IF(LEN(Table1722[[#This Row],[Uraian]])&gt;2,1," ")</f>
        <v xml:space="preserve"> </v>
      </c>
      <c r="E5745" s="113" t="str">
        <f>IF(Table1722[[#This Row],[Lawan Transaksi]]="CV AGUNG KARYA",COUNTIF($I$10:I5745,"CV AGUNG KARYA")," ")</f>
        <v xml:space="preserve"> </v>
      </c>
      <c r="F5745" s="107" t="str">
        <f>IF(LEN(Table1722[[#This Row],[Uraian]])&gt;2,TRIM(RIGHT(SUBSTITUTE(TRIM(C5745)," ",REPT(" ",255)),255))," ")</f>
        <v xml:space="preserve"> </v>
      </c>
      <c r="G5745" s="110">
        <f>COPY!Z5737</f>
        <v>0</v>
      </c>
      <c r="H5745" s="111" t="str">
        <f>IFERROR(VLOOKUP(Table1722[[#This Row],[Bukti]],'Un nOTA'!$A$4:$K$5003,10,FALSE),"")</f>
        <v/>
      </c>
      <c r="I5745" s="123" t="str">
        <f>IFERROR(VLOOKUP(Table1722[[#This Row],[Bukti]],Table13[#Data],11,FALSE),"")</f>
        <v/>
      </c>
    </row>
    <row r="5746" spans="1:9" hidden="1" x14ac:dyDescent="0.2">
      <c r="A5746" s="105" t="str">
        <f>IF(D5746=1,COUNTIF($D$10:D5746,1)," ")</f>
        <v xml:space="preserve"> </v>
      </c>
      <c r="B5746" s="106">
        <f>COPY!AR5738</f>
        <v>0</v>
      </c>
      <c r="C5746" s="107">
        <f>COPY!AC5738</f>
        <v>0</v>
      </c>
      <c r="D5746" s="107" t="str">
        <f>IF(LEN(Table1722[[#This Row],[Uraian]])&gt;2,1," ")</f>
        <v xml:space="preserve"> </v>
      </c>
      <c r="E5746" s="113" t="str">
        <f>IF(Table1722[[#This Row],[Lawan Transaksi]]="CV AGUNG KARYA",COUNTIF($I$10:I5746,"CV AGUNG KARYA")," ")</f>
        <v xml:space="preserve"> </v>
      </c>
      <c r="F5746" s="107" t="str">
        <f>IF(LEN(Table1722[[#This Row],[Uraian]])&gt;2,TRIM(RIGHT(SUBSTITUTE(TRIM(C5746)," ",REPT(" ",255)),255))," ")</f>
        <v xml:space="preserve"> </v>
      </c>
      <c r="G5746" s="110">
        <f>COPY!Z5738</f>
        <v>0</v>
      </c>
      <c r="H5746" s="111" t="str">
        <f>IFERROR(VLOOKUP(Table1722[[#This Row],[Bukti]],'Un nOTA'!$A$4:$K$5003,10,FALSE),"")</f>
        <v/>
      </c>
      <c r="I5746" s="123" t="str">
        <f>IFERROR(VLOOKUP(Table1722[[#This Row],[Bukti]],Table13[#Data],11,FALSE),"")</f>
        <v/>
      </c>
    </row>
    <row r="5747" spans="1:9" hidden="1" x14ac:dyDescent="0.2">
      <c r="A5747" s="105" t="str">
        <f>IF(D5747=1,COUNTIF($D$10:D5747,1)," ")</f>
        <v xml:space="preserve"> </v>
      </c>
      <c r="B5747" s="106">
        <f>COPY!AR5739</f>
        <v>0</v>
      </c>
      <c r="C5747" s="107">
        <f>COPY!AC5739</f>
        <v>0</v>
      </c>
      <c r="D5747" s="107" t="str">
        <f>IF(LEN(Table1722[[#This Row],[Uraian]])&gt;2,1," ")</f>
        <v xml:space="preserve"> </v>
      </c>
      <c r="E5747" s="113" t="str">
        <f>IF(Table1722[[#This Row],[Lawan Transaksi]]="CV AGUNG KARYA",COUNTIF($I$10:I5747,"CV AGUNG KARYA")," ")</f>
        <v xml:space="preserve"> </v>
      </c>
      <c r="F5747" s="107" t="str">
        <f>IF(LEN(Table1722[[#This Row],[Uraian]])&gt;2,TRIM(RIGHT(SUBSTITUTE(TRIM(C5747)," ",REPT(" ",255)),255))," ")</f>
        <v xml:space="preserve"> </v>
      </c>
      <c r="G5747" s="110">
        <f>COPY!Z5739</f>
        <v>0</v>
      </c>
      <c r="H5747" s="111" t="str">
        <f>IFERROR(VLOOKUP(Table1722[[#This Row],[Bukti]],'Un nOTA'!$A$4:$K$5003,10,FALSE),"")</f>
        <v/>
      </c>
      <c r="I5747" s="123" t="str">
        <f>IFERROR(VLOOKUP(Table1722[[#This Row],[Bukti]],Table13[#Data],11,FALSE),"")</f>
        <v/>
      </c>
    </row>
    <row r="5748" spans="1:9" hidden="1" x14ac:dyDescent="0.2">
      <c r="A5748" s="105" t="str">
        <f>IF(D5748=1,COUNTIF($D$10:D5748,1)," ")</f>
        <v xml:space="preserve"> </v>
      </c>
      <c r="B5748" s="106">
        <f>COPY!AR5740</f>
        <v>0</v>
      </c>
      <c r="C5748" s="107">
        <f>COPY!AC5740</f>
        <v>0</v>
      </c>
      <c r="D5748" s="107" t="str">
        <f>IF(LEN(Table1722[[#This Row],[Uraian]])&gt;2,1," ")</f>
        <v xml:space="preserve"> </v>
      </c>
      <c r="E5748" s="113" t="str">
        <f>IF(Table1722[[#This Row],[Lawan Transaksi]]="CV AGUNG KARYA",COUNTIF($I$10:I5748,"CV AGUNG KARYA")," ")</f>
        <v xml:space="preserve"> </v>
      </c>
      <c r="F5748" s="107" t="str">
        <f>IF(LEN(Table1722[[#This Row],[Uraian]])&gt;2,TRIM(RIGHT(SUBSTITUTE(TRIM(C5748)," ",REPT(" ",255)),255))," ")</f>
        <v xml:space="preserve"> </v>
      </c>
      <c r="G5748" s="110">
        <f>COPY!Z5740</f>
        <v>0</v>
      </c>
      <c r="H5748" s="111" t="str">
        <f>IFERROR(VLOOKUP(Table1722[[#This Row],[Bukti]],'Un nOTA'!$A$4:$K$5003,10,FALSE),"")</f>
        <v/>
      </c>
      <c r="I5748" s="123" t="str">
        <f>IFERROR(VLOOKUP(Table1722[[#This Row],[Bukti]],Table13[#Data],11,FALSE),"")</f>
        <v/>
      </c>
    </row>
    <row r="5749" spans="1:9" hidden="1" x14ac:dyDescent="0.2">
      <c r="A5749" s="105" t="str">
        <f>IF(D5749=1,COUNTIF($D$10:D5749,1)," ")</f>
        <v xml:space="preserve"> </v>
      </c>
      <c r="B5749" s="106">
        <f>COPY!AR5741</f>
        <v>0</v>
      </c>
      <c r="C5749" s="107">
        <f>COPY!AC5741</f>
        <v>0</v>
      </c>
      <c r="D5749" s="107" t="str">
        <f>IF(LEN(Table1722[[#This Row],[Uraian]])&gt;2,1," ")</f>
        <v xml:space="preserve"> </v>
      </c>
      <c r="E5749" s="113" t="str">
        <f>IF(Table1722[[#This Row],[Lawan Transaksi]]="CV AGUNG KARYA",COUNTIF($I$10:I5749,"CV AGUNG KARYA")," ")</f>
        <v xml:space="preserve"> </v>
      </c>
      <c r="F5749" s="107" t="str">
        <f>IF(LEN(Table1722[[#This Row],[Uraian]])&gt;2,TRIM(RIGHT(SUBSTITUTE(TRIM(C5749)," ",REPT(" ",255)),255))," ")</f>
        <v xml:space="preserve"> </v>
      </c>
      <c r="G5749" s="110">
        <f>COPY!Z5741</f>
        <v>0</v>
      </c>
      <c r="H5749" s="111" t="str">
        <f>IFERROR(VLOOKUP(Table1722[[#This Row],[Bukti]],'Un nOTA'!$A$4:$K$5003,10,FALSE),"")</f>
        <v/>
      </c>
      <c r="I5749" s="123" t="str">
        <f>IFERROR(VLOOKUP(Table1722[[#This Row],[Bukti]],Table13[#Data],11,FALSE),"")</f>
        <v/>
      </c>
    </row>
    <row r="5750" spans="1:9" hidden="1" x14ac:dyDescent="0.2">
      <c r="A5750" s="105" t="str">
        <f>IF(D5750=1,COUNTIF($D$10:D5750,1)," ")</f>
        <v xml:space="preserve"> </v>
      </c>
      <c r="B5750" s="106">
        <f>COPY!AR5742</f>
        <v>0</v>
      </c>
      <c r="C5750" s="107">
        <f>COPY!AC5742</f>
        <v>0</v>
      </c>
      <c r="D5750" s="107" t="str">
        <f>IF(LEN(Table1722[[#This Row],[Uraian]])&gt;2,1," ")</f>
        <v xml:space="preserve"> </v>
      </c>
      <c r="E5750" s="113" t="str">
        <f>IF(Table1722[[#This Row],[Lawan Transaksi]]="CV AGUNG KARYA",COUNTIF($I$10:I5750,"CV AGUNG KARYA")," ")</f>
        <v xml:space="preserve"> </v>
      </c>
      <c r="F5750" s="107" t="str">
        <f>IF(LEN(Table1722[[#This Row],[Uraian]])&gt;2,TRIM(RIGHT(SUBSTITUTE(TRIM(C5750)," ",REPT(" ",255)),255))," ")</f>
        <v xml:space="preserve"> </v>
      </c>
      <c r="G5750" s="110">
        <f>COPY!Z5742</f>
        <v>0</v>
      </c>
      <c r="H5750" s="111" t="str">
        <f>IFERROR(VLOOKUP(Table1722[[#This Row],[Bukti]],'Un nOTA'!$A$4:$K$5003,10,FALSE),"")</f>
        <v/>
      </c>
      <c r="I5750" s="123" t="str">
        <f>IFERROR(VLOOKUP(Table1722[[#This Row],[Bukti]],Table13[#Data],11,FALSE),"")</f>
        <v/>
      </c>
    </row>
    <row r="5751" spans="1:9" hidden="1" x14ac:dyDescent="0.2">
      <c r="A5751" s="105" t="str">
        <f>IF(D5751=1,COUNTIF($D$10:D5751,1)," ")</f>
        <v xml:space="preserve"> </v>
      </c>
      <c r="B5751" s="106">
        <f>COPY!AR5743</f>
        <v>0</v>
      </c>
      <c r="C5751" s="107">
        <f>COPY!AC5743</f>
        <v>0</v>
      </c>
      <c r="D5751" s="107" t="str">
        <f>IF(LEN(Table1722[[#This Row],[Uraian]])&gt;2,1," ")</f>
        <v xml:space="preserve"> </v>
      </c>
      <c r="E5751" s="113" t="str">
        <f>IF(Table1722[[#This Row],[Lawan Transaksi]]="CV AGUNG KARYA",COUNTIF($I$10:I5751,"CV AGUNG KARYA")," ")</f>
        <v xml:space="preserve"> </v>
      </c>
      <c r="F5751" s="107" t="str">
        <f>IF(LEN(Table1722[[#This Row],[Uraian]])&gt;2,TRIM(RIGHT(SUBSTITUTE(TRIM(C5751)," ",REPT(" ",255)),255))," ")</f>
        <v xml:space="preserve"> </v>
      </c>
      <c r="G5751" s="110">
        <f>COPY!Z5743</f>
        <v>0</v>
      </c>
      <c r="H5751" s="111" t="str">
        <f>IFERROR(VLOOKUP(Table1722[[#This Row],[Bukti]],'Un nOTA'!$A$4:$K$5003,10,FALSE),"")</f>
        <v/>
      </c>
      <c r="I5751" s="123" t="str">
        <f>IFERROR(VLOOKUP(Table1722[[#This Row],[Bukti]],Table13[#Data],11,FALSE),"")</f>
        <v/>
      </c>
    </row>
    <row r="5752" spans="1:9" hidden="1" x14ac:dyDescent="0.2">
      <c r="A5752" s="105" t="str">
        <f>IF(D5752=1,COUNTIF($D$10:D5752,1)," ")</f>
        <v xml:space="preserve"> </v>
      </c>
      <c r="B5752" s="106">
        <f>COPY!AR5744</f>
        <v>0</v>
      </c>
      <c r="C5752" s="107">
        <f>COPY!AC5744</f>
        <v>0</v>
      </c>
      <c r="D5752" s="107" t="str">
        <f>IF(LEN(Table1722[[#This Row],[Uraian]])&gt;2,1," ")</f>
        <v xml:space="preserve"> </v>
      </c>
      <c r="E5752" s="113" t="str">
        <f>IF(Table1722[[#This Row],[Lawan Transaksi]]="CV AGUNG KARYA",COUNTIF($I$10:I5752,"CV AGUNG KARYA")," ")</f>
        <v xml:space="preserve"> </v>
      </c>
      <c r="F5752" s="107" t="str">
        <f>IF(LEN(Table1722[[#This Row],[Uraian]])&gt;2,TRIM(RIGHT(SUBSTITUTE(TRIM(C5752)," ",REPT(" ",255)),255))," ")</f>
        <v xml:space="preserve"> </v>
      </c>
      <c r="G5752" s="110">
        <f>COPY!Z5744</f>
        <v>0</v>
      </c>
      <c r="H5752" s="111" t="str">
        <f>IFERROR(VLOOKUP(Table1722[[#This Row],[Bukti]],'Un nOTA'!$A$4:$K$5003,10,FALSE),"")</f>
        <v/>
      </c>
      <c r="I5752" s="123" t="str">
        <f>IFERROR(VLOOKUP(Table1722[[#This Row],[Bukti]],Table13[#Data],11,FALSE),"")</f>
        <v/>
      </c>
    </row>
    <row r="5753" spans="1:9" hidden="1" x14ac:dyDescent="0.2">
      <c r="A5753" s="105" t="str">
        <f>IF(D5753=1,COUNTIF($D$10:D5753,1)," ")</f>
        <v xml:space="preserve"> </v>
      </c>
      <c r="B5753" s="106">
        <f>COPY!AR5745</f>
        <v>0</v>
      </c>
      <c r="C5753" s="107">
        <f>COPY!AC5745</f>
        <v>0</v>
      </c>
      <c r="D5753" s="107" t="str">
        <f>IF(LEN(Table1722[[#This Row],[Uraian]])&gt;2,1," ")</f>
        <v xml:space="preserve"> </v>
      </c>
      <c r="E5753" s="113" t="str">
        <f>IF(Table1722[[#This Row],[Lawan Transaksi]]="CV AGUNG KARYA",COUNTIF($I$10:I5753,"CV AGUNG KARYA")," ")</f>
        <v xml:space="preserve"> </v>
      </c>
      <c r="F5753" s="107" t="str">
        <f>IF(LEN(Table1722[[#This Row],[Uraian]])&gt;2,TRIM(RIGHT(SUBSTITUTE(TRIM(C5753)," ",REPT(" ",255)),255))," ")</f>
        <v xml:space="preserve"> </v>
      </c>
      <c r="G5753" s="110">
        <f>COPY!Z5745</f>
        <v>0</v>
      </c>
      <c r="H5753" s="111" t="str">
        <f>IFERROR(VLOOKUP(Table1722[[#This Row],[Bukti]],'Un nOTA'!$A$4:$K$5003,10,FALSE),"")</f>
        <v/>
      </c>
      <c r="I5753" s="123" t="str">
        <f>IFERROR(VLOOKUP(Table1722[[#This Row],[Bukti]],Table13[#Data],11,FALSE),"")</f>
        <v/>
      </c>
    </row>
    <row r="5754" spans="1:9" hidden="1" x14ac:dyDescent="0.2">
      <c r="A5754" s="105" t="str">
        <f>IF(D5754=1,COUNTIF($D$10:D5754,1)," ")</f>
        <v xml:space="preserve"> </v>
      </c>
      <c r="B5754" s="106">
        <f>COPY!AR5746</f>
        <v>0</v>
      </c>
      <c r="C5754" s="107">
        <f>COPY!AC5746</f>
        <v>0</v>
      </c>
      <c r="D5754" s="107" t="str">
        <f>IF(LEN(Table1722[[#This Row],[Uraian]])&gt;2,1," ")</f>
        <v xml:space="preserve"> </v>
      </c>
      <c r="E5754" s="113" t="str">
        <f>IF(Table1722[[#This Row],[Lawan Transaksi]]="CV AGUNG KARYA",COUNTIF($I$10:I5754,"CV AGUNG KARYA")," ")</f>
        <v xml:space="preserve"> </v>
      </c>
      <c r="F5754" s="107" t="str">
        <f>IF(LEN(Table1722[[#This Row],[Uraian]])&gt;2,TRIM(RIGHT(SUBSTITUTE(TRIM(C5754)," ",REPT(" ",255)),255))," ")</f>
        <v xml:space="preserve"> </v>
      </c>
      <c r="G5754" s="110">
        <f>COPY!Z5746</f>
        <v>0</v>
      </c>
      <c r="H5754" s="111" t="str">
        <f>IFERROR(VLOOKUP(Table1722[[#This Row],[Bukti]],'Un nOTA'!$A$4:$K$5003,10,FALSE),"")</f>
        <v/>
      </c>
      <c r="I5754" s="123" t="str">
        <f>IFERROR(VLOOKUP(Table1722[[#This Row],[Bukti]],Table13[#Data],11,FALSE),"")</f>
        <v/>
      </c>
    </row>
    <row r="5755" spans="1:9" hidden="1" x14ac:dyDescent="0.2">
      <c r="A5755" s="105" t="str">
        <f>IF(D5755=1,COUNTIF($D$10:D5755,1)," ")</f>
        <v xml:space="preserve"> </v>
      </c>
      <c r="B5755" s="106">
        <f>COPY!AR5747</f>
        <v>0</v>
      </c>
      <c r="C5755" s="107">
        <f>COPY!AC5747</f>
        <v>0</v>
      </c>
      <c r="D5755" s="107" t="str">
        <f>IF(LEN(Table1722[[#This Row],[Uraian]])&gt;2,1," ")</f>
        <v xml:space="preserve"> </v>
      </c>
      <c r="E5755" s="113" t="str">
        <f>IF(Table1722[[#This Row],[Lawan Transaksi]]="CV AGUNG KARYA",COUNTIF($I$10:I5755,"CV AGUNG KARYA")," ")</f>
        <v xml:space="preserve"> </v>
      </c>
      <c r="F5755" s="107" t="str">
        <f>IF(LEN(Table1722[[#This Row],[Uraian]])&gt;2,TRIM(RIGHT(SUBSTITUTE(TRIM(C5755)," ",REPT(" ",255)),255))," ")</f>
        <v xml:space="preserve"> </v>
      </c>
      <c r="G5755" s="110">
        <f>COPY!Z5747</f>
        <v>0</v>
      </c>
      <c r="H5755" s="111" t="str">
        <f>IFERROR(VLOOKUP(Table1722[[#This Row],[Bukti]],'Un nOTA'!$A$4:$K$5003,10,FALSE),"")</f>
        <v/>
      </c>
      <c r="I5755" s="123" t="str">
        <f>IFERROR(VLOOKUP(Table1722[[#This Row],[Bukti]],Table13[#Data],11,FALSE),"")</f>
        <v/>
      </c>
    </row>
    <row r="5756" spans="1:9" hidden="1" x14ac:dyDescent="0.2">
      <c r="A5756" s="105" t="str">
        <f>IF(D5756=1,COUNTIF($D$10:D5756,1)," ")</f>
        <v xml:space="preserve"> </v>
      </c>
      <c r="B5756" s="106">
        <f>COPY!AR5748</f>
        <v>0</v>
      </c>
      <c r="C5756" s="107">
        <f>COPY!AC5748</f>
        <v>0</v>
      </c>
      <c r="D5756" s="107" t="str">
        <f>IF(LEN(Table1722[[#This Row],[Uraian]])&gt;2,1," ")</f>
        <v xml:space="preserve"> </v>
      </c>
      <c r="E5756" s="113" t="str">
        <f>IF(Table1722[[#This Row],[Lawan Transaksi]]="CV AGUNG KARYA",COUNTIF($I$10:I5756,"CV AGUNG KARYA")," ")</f>
        <v xml:space="preserve"> </v>
      </c>
      <c r="F5756" s="107" t="str">
        <f>IF(LEN(Table1722[[#This Row],[Uraian]])&gt;2,TRIM(RIGHT(SUBSTITUTE(TRIM(C5756)," ",REPT(" ",255)),255))," ")</f>
        <v xml:space="preserve"> </v>
      </c>
      <c r="G5756" s="110">
        <f>COPY!Z5748</f>
        <v>0</v>
      </c>
      <c r="H5756" s="111" t="str">
        <f>IFERROR(VLOOKUP(Table1722[[#This Row],[Bukti]],'Un nOTA'!$A$4:$K$5003,10,FALSE),"")</f>
        <v/>
      </c>
      <c r="I5756" s="123" t="str">
        <f>IFERROR(VLOOKUP(Table1722[[#This Row],[Bukti]],Table13[#Data],11,FALSE),"")</f>
        <v/>
      </c>
    </row>
    <row r="5757" spans="1:9" hidden="1" x14ac:dyDescent="0.2">
      <c r="A5757" s="105" t="str">
        <f>IF(D5757=1,COUNTIF($D$10:D5757,1)," ")</f>
        <v xml:space="preserve"> </v>
      </c>
      <c r="B5757" s="106">
        <f>COPY!AR5749</f>
        <v>0</v>
      </c>
      <c r="C5757" s="107">
        <f>COPY!AC5749</f>
        <v>0</v>
      </c>
      <c r="D5757" s="107" t="str">
        <f>IF(LEN(Table1722[[#This Row],[Uraian]])&gt;2,1," ")</f>
        <v xml:space="preserve"> </v>
      </c>
      <c r="E5757" s="113" t="str">
        <f>IF(Table1722[[#This Row],[Lawan Transaksi]]="CV AGUNG KARYA",COUNTIF($I$10:I5757,"CV AGUNG KARYA")," ")</f>
        <v xml:space="preserve"> </v>
      </c>
      <c r="F5757" s="107" t="str">
        <f>IF(LEN(Table1722[[#This Row],[Uraian]])&gt;2,TRIM(RIGHT(SUBSTITUTE(TRIM(C5757)," ",REPT(" ",255)),255))," ")</f>
        <v xml:space="preserve"> </v>
      </c>
      <c r="G5757" s="110">
        <f>COPY!Z5749</f>
        <v>0</v>
      </c>
      <c r="H5757" s="111" t="str">
        <f>IFERROR(VLOOKUP(Table1722[[#This Row],[Bukti]],'Un nOTA'!$A$4:$K$5003,10,FALSE),"")</f>
        <v/>
      </c>
      <c r="I5757" s="123" t="str">
        <f>IFERROR(VLOOKUP(Table1722[[#This Row],[Bukti]],Table13[#Data],11,FALSE),"")</f>
        <v/>
      </c>
    </row>
    <row r="5758" spans="1:9" hidden="1" x14ac:dyDescent="0.2">
      <c r="A5758" s="105" t="str">
        <f>IF(D5758=1,COUNTIF($D$10:D5758,1)," ")</f>
        <v xml:space="preserve"> </v>
      </c>
      <c r="B5758" s="106">
        <f>COPY!AR5750</f>
        <v>0</v>
      </c>
      <c r="C5758" s="107">
        <f>COPY!AC5750</f>
        <v>0</v>
      </c>
      <c r="D5758" s="107" t="str">
        <f>IF(LEN(Table1722[[#This Row],[Uraian]])&gt;2,1," ")</f>
        <v xml:space="preserve"> </v>
      </c>
      <c r="E5758" s="113" t="str">
        <f>IF(Table1722[[#This Row],[Lawan Transaksi]]="CV AGUNG KARYA",COUNTIF($I$10:I5758,"CV AGUNG KARYA")," ")</f>
        <v xml:space="preserve"> </v>
      </c>
      <c r="F5758" s="107" t="str">
        <f>IF(LEN(Table1722[[#This Row],[Uraian]])&gt;2,TRIM(RIGHT(SUBSTITUTE(TRIM(C5758)," ",REPT(" ",255)),255))," ")</f>
        <v xml:space="preserve"> </v>
      </c>
      <c r="G5758" s="110">
        <f>COPY!Z5750</f>
        <v>0</v>
      </c>
      <c r="H5758" s="111" t="str">
        <f>IFERROR(VLOOKUP(Table1722[[#This Row],[Bukti]],'Un nOTA'!$A$4:$K$5003,10,FALSE),"")</f>
        <v/>
      </c>
      <c r="I5758" s="123" t="str">
        <f>IFERROR(VLOOKUP(Table1722[[#This Row],[Bukti]],Table13[#Data],11,FALSE),"")</f>
        <v/>
      </c>
    </row>
    <row r="5759" spans="1:9" hidden="1" x14ac:dyDescent="0.2">
      <c r="A5759" s="105" t="str">
        <f>IF(D5759=1,COUNTIF($D$10:D5759,1)," ")</f>
        <v xml:space="preserve"> </v>
      </c>
      <c r="B5759" s="106">
        <f>COPY!AR5751</f>
        <v>0</v>
      </c>
      <c r="C5759" s="107">
        <f>COPY!AC5751</f>
        <v>0</v>
      </c>
      <c r="D5759" s="107" t="str">
        <f>IF(LEN(Table1722[[#This Row],[Uraian]])&gt;2,1," ")</f>
        <v xml:space="preserve"> </v>
      </c>
      <c r="E5759" s="113" t="str">
        <f>IF(Table1722[[#This Row],[Lawan Transaksi]]="CV AGUNG KARYA",COUNTIF($I$10:I5759,"CV AGUNG KARYA")," ")</f>
        <v xml:space="preserve"> </v>
      </c>
      <c r="F5759" s="107" t="str">
        <f>IF(LEN(Table1722[[#This Row],[Uraian]])&gt;2,TRIM(RIGHT(SUBSTITUTE(TRIM(C5759)," ",REPT(" ",255)),255))," ")</f>
        <v xml:space="preserve"> </v>
      </c>
      <c r="G5759" s="110">
        <f>COPY!Z5751</f>
        <v>0</v>
      </c>
      <c r="H5759" s="111" t="str">
        <f>IFERROR(VLOOKUP(Table1722[[#This Row],[Bukti]],'Un nOTA'!$A$4:$K$5003,10,FALSE),"")</f>
        <v/>
      </c>
      <c r="I5759" s="123" t="str">
        <f>IFERROR(VLOOKUP(Table1722[[#This Row],[Bukti]],Table13[#Data],11,FALSE),"")</f>
        <v/>
      </c>
    </row>
    <row r="5760" spans="1:9" hidden="1" x14ac:dyDescent="0.2">
      <c r="A5760" s="105" t="str">
        <f>IF(D5760=1,COUNTIF($D$10:D5760,1)," ")</f>
        <v xml:space="preserve"> </v>
      </c>
      <c r="B5760" s="106">
        <f>COPY!AR5752</f>
        <v>0</v>
      </c>
      <c r="C5760" s="107">
        <f>COPY!AC5752</f>
        <v>0</v>
      </c>
      <c r="D5760" s="107" t="str">
        <f>IF(LEN(Table1722[[#This Row],[Uraian]])&gt;2,1," ")</f>
        <v xml:space="preserve"> </v>
      </c>
      <c r="E5760" s="113" t="str">
        <f>IF(Table1722[[#This Row],[Lawan Transaksi]]="CV AGUNG KARYA",COUNTIF($I$10:I5760,"CV AGUNG KARYA")," ")</f>
        <v xml:space="preserve"> </v>
      </c>
      <c r="F5760" s="107" t="str">
        <f>IF(LEN(Table1722[[#This Row],[Uraian]])&gt;2,TRIM(RIGHT(SUBSTITUTE(TRIM(C5760)," ",REPT(" ",255)),255))," ")</f>
        <v xml:space="preserve"> </v>
      </c>
      <c r="G5760" s="110">
        <f>COPY!Z5752</f>
        <v>0</v>
      </c>
      <c r="H5760" s="111" t="str">
        <f>IFERROR(VLOOKUP(Table1722[[#This Row],[Bukti]],'Un nOTA'!$A$4:$K$5003,10,FALSE),"")</f>
        <v/>
      </c>
      <c r="I5760" s="123" t="str">
        <f>IFERROR(VLOOKUP(Table1722[[#This Row],[Bukti]],Table13[#Data],11,FALSE),"")</f>
        <v/>
      </c>
    </row>
    <row r="5761" spans="1:9" hidden="1" x14ac:dyDescent="0.2">
      <c r="A5761" s="105" t="str">
        <f>IF(D5761=1,COUNTIF($D$10:D5761,1)," ")</f>
        <v xml:space="preserve"> </v>
      </c>
      <c r="B5761" s="106">
        <f>COPY!AR5753</f>
        <v>0</v>
      </c>
      <c r="C5761" s="107">
        <f>COPY!AC5753</f>
        <v>0</v>
      </c>
      <c r="D5761" s="107" t="str">
        <f>IF(LEN(Table1722[[#This Row],[Uraian]])&gt;2,1," ")</f>
        <v xml:space="preserve"> </v>
      </c>
      <c r="E5761" s="113" t="str">
        <f>IF(Table1722[[#This Row],[Lawan Transaksi]]="CV AGUNG KARYA",COUNTIF($I$10:I5761,"CV AGUNG KARYA")," ")</f>
        <v xml:space="preserve"> </v>
      </c>
      <c r="F5761" s="107" t="str">
        <f>IF(LEN(Table1722[[#This Row],[Uraian]])&gt;2,TRIM(RIGHT(SUBSTITUTE(TRIM(C5761)," ",REPT(" ",255)),255))," ")</f>
        <v xml:space="preserve"> </v>
      </c>
      <c r="G5761" s="110">
        <f>COPY!Z5753</f>
        <v>0</v>
      </c>
      <c r="H5761" s="111" t="str">
        <f>IFERROR(VLOOKUP(Table1722[[#This Row],[Bukti]],'Un nOTA'!$A$4:$K$5003,10,FALSE),"")</f>
        <v/>
      </c>
      <c r="I5761" s="123" t="str">
        <f>IFERROR(VLOOKUP(Table1722[[#This Row],[Bukti]],Table13[#Data],11,FALSE),"")</f>
        <v/>
      </c>
    </row>
    <row r="5762" spans="1:9" hidden="1" x14ac:dyDescent="0.2">
      <c r="A5762" s="105" t="str">
        <f>IF(D5762=1,COUNTIF($D$10:D5762,1)," ")</f>
        <v xml:space="preserve"> </v>
      </c>
      <c r="B5762" s="106">
        <f>COPY!AR5754</f>
        <v>0</v>
      </c>
      <c r="C5762" s="107">
        <f>COPY!AC5754</f>
        <v>0</v>
      </c>
      <c r="D5762" s="107" t="str">
        <f>IF(LEN(Table1722[[#This Row],[Uraian]])&gt;2,1," ")</f>
        <v xml:space="preserve"> </v>
      </c>
      <c r="E5762" s="113" t="str">
        <f>IF(Table1722[[#This Row],[Lawan Transaksi]]="CV AGUNG KARYA",COUNTIF($I$10:I5762,"CV AGUNG KARYA")," ")</f>
        <v xml:space="preserve"> </v>
      </c>
      <c r="F5762" s="107" t="str">
        <f>IF(LEN(Table1722[[#This Row],[Uraian]])&gt;2,TRIM(RIGHT(SUBSTITUTE(TRIM(C5762)," ",REPT(" ",255)),255))," ")</f>
        <v xml:space="preserve"> </v>
      </c>
      <c r="G5762" s="110">
        <f>COPY!Z5754</f>
        <v>0</v>
      </c>
      <c r="H5762" s="111" t="str">
        <f>IFERROR(VLOOKUP(Table1722[[#This Row],[Bukti]],'Un nOTA'!$A$4:$K$5003,10,FALSE),"")</f>
        <v/>
      </c>
      <c r="I5762" s="123" t="str">
        <f>IFERROR(VLOOKUP(Table1722[[#This Row],[Bukti]],Table13[#Data],11,FALSE),"")</f>
        <v/>
      </c>
    </row>
    <row r="5763" spans="1:9" hidden="1" x14ac:dyDescent="0.2">
      <c r="A5763" s="105" t="str">
        <f>IF(D5763=1,COUNTIF($D$10:D5763,1)," ")</f>
        <v xml:space="preserve"> </v>
      </c>
      <c r="B5763" s="106">
        <f>COPY!AR5755</f>
        <v>0</v>
      </c>
      <c r="C5763" s="107">
        <f>COPY!AC5755</f>
        <v>0</v>
      </c>
      <c r="D5763" s="107" t="str">
        <f>IF(LEN(Table1722[[#This Row],[Uraian]])&gt;2,1," ")</f>
        <v xml:space="preserve"> </v>
      </c>
      <c r="E5763" s="113" t="str">
        <f>IF(Table1722[[#This Row],[Lawan Transaksi]]="CV AGUNG KARYA",COUNTIF($I$10:I5763,"CV AGUNG KARYA")," ")</f>
        <v xml:space="preserve"> </v>
      </c>
      <c r="F5763" s="107" t="str">
        <f>IF(LEN(Table1722[[#This Row],[Uraian]])&gt;2,TRIM(RIGHT(SUBSTITUTE(TRIM(C5763)," ",REPT(" ",255)),255))," ")</f>
        <v xml:space="preserve"> </v>
      </c>
      <c r="G5763" s="110">
        <f>COPY!Z5755</f>
        <v>0</v>
      </c>
      <c r="H5763" s="111" t="str">
        <f>IFERROR(VLOOKUP(Table1722[[#This Row],[Bukti]],'Un nOTA'!$A$4:$K$5003,10,FALSE),"")</f>
        <v/>
      </c>
      <c r="I5763" s="123" t="str">
        <f>IFERROR(VLOOKUP(Table1722[[#This Row],[Bukti]],Table13[#Data],11,FALSE),"")</f>
        <v/>
      </c>
    </row>
    <row r="5764" spans="1:9" hidden="1" x14ac:dyDescent="0.2">
      <c r="A5764" s="105" t="str">
        <f>IF(D5764=1,COUNTIF($D$10:D5764,1)," ")</f>
        <v xml:space="preserve"> </v>
      </c>
      <c r="B5764" s="106">
        <f>COPY!AR5756</f>
        <v>0</v>
      </c>
      <c r="C5764" s="107">
        <f>COPY!AC5756</f>
        <v>0</v>
      </c>
      <c r="D5764" s="107" t="str">
        <f>IF(LEN(Table1722[[#This Row],[Uraian]])&gt;2,1," ")</f>
        <v xml:space="preserve"> </v>
      </c>
      <c r="E5764" s="113" t="str">
        <f>IF(Table1722[[#This Row],[Lawan Transaksi]]="CV AGUNG KARYA",COUNTIF($I$10:I5764,"CV AGUNG KARYA")," ")</f>
        <v xml:space="preserve"> </v>
      </c>
      <c r="F5764" s="107" t="str">
        <f>IF(LEN(Table1722[[#This Row],[Uraian]])&gt;2,TRIM(RIGHT(SUBSTITUTE(TRIM(C5764)," ",REPT(" ",255)),255))," ")</f>
        <v xml:space="preserve"> </v>
      </c>
      <c r="G5764" s="110">
        <f>COPY!Z5756</f>
        <v>0</v>
      </c>
      <c r="H5764" s="111" t="str">
        <f>IFERROR(VLOOKUP(Table1722[[#This Row],[Bukti]],'Un nOTA'!$A$4:$K$5003,10,FALSE),"")</f>
        <v/>
      </c>
      <c r="I5764" s="123" t="str">
        <f>IFERROR(VLOOKUP(Table1722[[#This Row],[Bukti]],Table13[#Data],11,FALSE),"")</f>
        <v/>
      </c>
    </row>
    <row r="5765" spans="1:9" hidden="1" x14ac:dyDescent="0.2">
      <c r="A5765" s="105" t="str">
        <f>IF(D5765=1,COUNTIF($D$10:D5765,1)," ")</f>
        <v xml:space="preserve"> </v>
      </c>
      <c r="B5765" s="106">
        <f>COPY!AR5757</f>
        <v>0</v>
      </c>
      <c r="C5765" s="107">
        <f>COPY!AC5757</f>
        <v>0</v>
      </c>
      <c r="D5765" s="107" t="str">
        <f>IF(LEN(Table1722[[#This Row],[Uraian]])&gt;2,1," ")</f>
        <v xml:space="preserve"> </v>
      </c>
      <c r="E5765" s="113" t="str">
        <f>IF(Table1722[[#This Row],[Lawan Transaksi]]="CV AGUNG KARYA",COUNTIF($I$10:I5765,"CV AGUNG KARYA")," ")</f>
        <v xml:space="preserve"> </v>
      </c>
      <c r="F5765" s="107" t="str">
        <f>IF(LEN(Table1722[[#This Row],[Uraian]])&gt;2,TRIM(RIGHT(SUBSTITUTE(TRIM(C5765)," ",REPT(" ",255)),255))," ")</f>
        <v xml:space="preserve"> </v>
      </c>
      <c r="G5765" s="110">
        <f>COPY!Z5757</f>
        <v>0</v>
      </c>
      <c r="H5765" s="111" t="str">
        <f>IFERROR(VLOOKUP(Table1722[[#This Row],[Bukti]],'Un nOTA'!$A$4:$K$5003,10,FALSE),"")</f>
        <v/>
      </c>
      <c r="I5765" s="123" t="str">
        <f>IFERROR(VLOOKUP(Table1722[[#This Row],[Bukti]],Table13[#Data],11,FALSE),"")</f>
        <v/>
      </c>
    </row>
    <row r="5766" spans="1:9" hidden="1" x14ac:dyDescent="0.2">
      <c r="A5766" s="105" t="str">
        <f>IF(D5766=1,COUNTIF($D$10:D5766,1)," ")</f>
        <v xml:space="preserve"> </v>
      </c>
      <c r="B5766" s="106">
        <f>COPY!AR5758</f>
        <v>0</v>
      </c>
      <c r="C5766" s="107">
        <f>COPY!AC5758</f>
        <v>0</v>
      </c>
      <c r="D5766" s="107" t="str">
        <f>IF(LEN(Table1722[[#This Row],[Uraian]])&gt;2,1," ")</f>
        <v xml:space="preserve"> </v>
      </c>
      <c r="E5766" s="113" t="str">
        <f>IF(Table1722[[#This Row],[Lawan Transaksi]]="CV AGUNG KARYA",COUNTIF($I$10:I5766,"CV AGUNG KARYA")," ")</f>
        <v xml:space="preserve"> </v>
      </c>
      <c r="F5766" s="107" t="str">
        <f>IF(LEN(Table1722[[#This Row],[Uraian]])&gt;2,TRIM(RIGHT(SUBSTITUTE(TRIM(C5766)," ",REPT(" ",255)),255))," ")</f>
        <v xml:space="preserve"> </v>
      </c>
      <c r="G5766" s="110">
        <f>COPY!Z5758</f>
        <v>0</v>
      </c>
      <c r="H5766" s="111" t="str">
        <f>IFERROR(VLOOKUP(Table1722[[#This Row],[Bukti]],'Un nOTA'!$A$4:$K$5003,10,FALSE),"")</f>
        <v/>
      </c>
      <c r="I5766" s="123" t="str">
        <f>IFERROR(VLOOKUP(Table1722[[#This Row],[Bukti]],Table13[#Data],11,FALSE),"")</f>
        <v/>
      </c>
    </row>
    <row r="5767" spans="1:9" hidden="1" x14ac:dyDescent="0.2">
      <c r="A5767" s="105" t="str">
        <f>IF(D5767=1,COUNTIF($D$10:D5767,1)," ")</f>
        <v xml:space="preserve"> </v>
      </c>
      <c r="B5767" s="106">
        <f>COPY!AR5759</f>
        <v>0</v>
      </c>
      <c r="C5767" s="107">
        <f>COPY!AC5759</f>
        <v>0</v>
      </c>
      <c r="D5767" s="107" t="str">
        <f>IF(LEN(Table1722[[#This Row],[Uraian]])&gt;2,1," ")</f>
        <v xml:space="preserve"> </v>
      </c>
      <c r="E5767" s="113" t="str">
        <f>IF(Table1722[[#This Row],[Lawan Transaksi]]="CV AGUNG KARYA",COUNTIF($I$10:I5767,"CV AGUNG KARYA")," ")</f>
        <v xml:space="preserve"> </v>
      </c>
      <c r="F5767" s="107" t="str">
        <f>IF(LEN(Table1722[[#This Row],[Uraian]])&gt;2,TRIM(RIGHT(SUBSTITUTE(TRIM(C5767)," ",REPT(" ",255)),255))," ")</f>
        <v xml:space="preserve"> </v>
      </c>
      <c r="G5767" s="110">
        <f>COPY!Z5759</f>
        <v>0</v>
      </c>
      <c r="H5767" s="111" t="str">
        <f>IFERROR(VLOOKUP(Table1722[[#This Row],[Bukti]],'Un nOTA'!$A$4:$K$5003,10,FALSE),"")</f>
        <v/>
      </c>
      <c r="I5767" s="123" t="str">
        <f>IFERROR(VLOOKUP(Table1722[[#This Row],[Bukti]],Table13[#Data],11,FALSE),"")</f>
        <v/>
      </c>
    </row>
    <row r="5768" spans="1:9" hidden="1" x14ac:dyDescent="0.2">
      <c r="A5768" s="105" t="str">
        <f>IF(D5768=1,COUNTIF($D$10:D5768,1)," ")</f>
        <v xml:space="preserve"> </v>
      </c>
      <c r="B5768" s="106">
        <f>COPY!AR5760</f>
        <v>0</v>
      </c>
      <c r="C5768" s="107">
        <f>COPY!AC5760</f>
        <v>0</v>
      </c>
      <c r="D5768" s="107" t="str">
        <f>IF(LEN(Table1722[[#This Row],[Uraian]])&gt;2,1," ")</f>
        <v xml:space="preserve"> </v>
      </c>
      <c r="E5768" s="113" t="str">
        <f>IF(Table1722[[#This Row],[Lawan Transaksi]]="CV AGUNG KARYA",COUNTIF($I$10:I5768,"CV AGUNG KARYA")," ")</f>
        <v xml:space="preserve"> </v>
      </c>
      <c r="F5768" s="107" t="str">
        <f>IF(LEN(Table1722[[#This Row],[Uraian]])&gt;2,TRIM(RIGHT(SUBSTITUTE(TRIM(C5768)," ",REPT(" ",255)),255))," ")</f>
        <v xml:space="preserve"> </v>
      </c>
      <c r="G5768" s="110">
        <f>COPY!Z5760</f>
        <v>0</v>
      </c>
      <c r="H5768" s="111" t="str">
        <f>IFERROR(VLOOKUP(Table1722[[#This Row],[Bukti]],'Un nOTA'!$A$4:$K$5003,10,FALSE),"")</f>
        <v/>
      </c>
      <c r="I5768" s="123" t="str">
        <f>IFERROR(VLOOKUP(Table1722[[#This Row],[Bukti]],Table13[#Data],11,FALSE),"")</f>
        <v/>
      </c>
    </row>
    <row r="5769" spans="1:9" hidden="1" x14ac:dyDescent="0.2">
      <c r="A5769" s="105" t="str">
        <f>IF(D5769=1,COUNTIF($D$10:D5769,1)," ")</f>
        <v xml:space="preserve"> </v>
      </c>
      <c r="B5769" s="106">
        <f>COPY!AR5761</f>
        <v>0</v>
      </c>
      <c r="C5769" s="107">
        <f>COPY!AC5761</f>
        <v>0</v>
      </c>
      <c r="D5769" s="107" t="str">
        <f>IF(LEN(Table1722[[#This Row],[Uraian]])&gt;2,1," ")</f>
        <v xml:space="preserve"> </v>
      </c>
      <c r="E5769" s="113" t="str">
        <f>IF(Table1722[[#This Row],[Lawan Transaksi]]="CV AGUNG KARYA",COUNTIF($I$10:I5769,"CV AGUNG KARYA")," ")</f>
        <v xml:space="preserve"> </v>
      </c>
      <c r="F5769" s="107" t="str">
        <f>IF(LEN(Table1722[[#This Row],[Uraian]])&gt;2,TRIM(RIGHT(SUBSTITUTE(TRIM(C5769)," ",REPT(" ",255)),255))," ")</f>
        <v xml:space="preserve"> </v>
      </c>
      <c r="G5769" s="110">
        <f>COPY!Z5761</f>
        <v>0</v>
      </c>
      <c r="H5769" s="111" t="str">
        <f>IFERROR(VLOOKUP(Table1722[[#This Row],[Bukti]],'Un nOTA'!$A$4:$K$5003,10,FALSE),"")</f>
        <v/>
      </c>
      <c r="I5769" s="123" t="str">
        <f>IFERROR(VLOOKUP(Table1722[[#This Row],[Bukti]],Table13[#Data],11,FALSE),"")</f>
        <v/>
      </c>
    </row>
    <row r="5770" spans="1:9" hidden="1" x14ac:dyDescent="0.2">
      <c r="A5770" s="105" t="str">
        <f>IF(D5770=1,COUNTIF($D$10:D5770,1)," ")</f>
        <v xml:space="preserve"> </v>
      </c>
      <c r="B5770" s="106">
        <f>COPY!AR5762</f>
        <v>0</v>
      </c>
      <c r="C5770" s="107">
        <f>COPY!AC5762</f>
        <v>0</v>
      </c>
      <c r="D5770" s="107" t="str">
        <f>IF(LEN(Table1722[[#This Row],[Uraian]])&gt;2,1," ")</f>
        <v xml:space="preserve"> </v>
      </c>
      <c r="E5770" s="113" t="str">
        <f>IF(Table1722[[#This Row],[Lawan Transaksi]]="CV AGUNG KARYA",COUNTIF($I$10:I5770,"CV AGUNG KARYA")," ")</f>
        <v xml:space="preserve"> </v>
      </c>
      <c r="F5770" s="107" t="str">
        <f>IF(LEN(Table1722[[#This Row],[Uraian]])&gt;2,TRIM(RIGHT(SUBSTITUTE(TRIM(C5770)," ",REPT(" ",255)),255))," ")</f>
        <v xml:space="preserve"> </v>
      </c>
      <c r="G5770" s="110">
        <f>COPY!Z5762</f>
        <v>0</v>
      </c>
      <c r="H5770" s="111" t="str">
        <f>IFERROR(VLOOKUP(Table1722[[#This Row],[Bukti]],'Un nOTA'!$A$4:$K$5003,10,FALSE),"")</f>
        <v/>
      </c>
      <c r="I5770" s="123" t="str">
        <f>IFERROR(VLOOKUP(Table1722[[#This Row],[Bukti]],Table13[#Data],11,FALSE),"")</f>
        <v/>
      </c>
    </row>
    <row r="5771" spans="1:9" hidden="1" x14ac:dyDescent="0.2">
      <c r="A5771" s="105" t="str">
        <f>IF(D5771=1,COUNTIF($D$10:D5771,1)," ")</f>
        <v xml:space="preserve"> </v>
      </c>
      <c r="B5771" s="106">
        <f>COPY!AR5763</f>
        <v>0</v>
      </c>
      <c r="C5771" s="107">
        <f>COPY!AC5763</f>
        <v>0</v>
      </c>
      <c r="D5771" s="107" t="str">
        <f>IF(LEN(Table1722[[#This Row],[Uraian]])&gt;2,1," ")</f>
        <v xml:space="preserve"> </v>
      </c>
      <c r="E5771" s="113" t="str">
        <f>IF(Table1722[[#This Row],[Lawan Transaksi]]="CV AGUNG KARYA",COUNTIF($I$10:I5771,"CV AGUNG KARYA")," ")</f>
        <v xml:space="preserve"> </v>
      </c>
      <c r="F5771" s="107" t="str">
        <f>IF(LEN(Table1722[[#This Row],[Uraian]])&gt;2,TRIM(RIGHT(SUBSTITUTE(TRIM(C5771)," ",REPT(" ",255)),255))," ")</f>
        <v xml:space="preserve"> </v>
      </c>
      <c r="G5771" s="110">
        <f>COPY!Z5763</f>
        <v>0</v>
      </c>
      <c r="H5771" s="111" t="str">
        <f>IFERROR(VLOOKUP(Table1722[[#This Row],[Bukti]],'Un nOTA'!$A$4:$K$5003,10,FALSE),"")</f>
        <v/>
      </c>
      <c r="I5771" s="123" t="str">
        <f>IFERROR(VLOOKUP(Table1722[[#This Row],[Bukti]],Table13[#Data],11,FALSE),"")</f>
        <v/>
      </c>
    </row>
    <row r="5772" spans="1:9" hidden="1" x14ac:dyDescent="0.2">
      <c r="A5772" s="105" t="str">
        <f>IF(D5772=1,COUNTIF($D$10:D5772,1)," ")</f>
        <v xml:space="preserve"> </v>
      </c>
      <c r="B5772" s="106">
        <f>COPY!AR5764</f>
        <v>0</v>
      </c>
      <c r="C5772" s="107">
        <f>COPY!AC5764</f>
        <v>0</v>
      </c>
      <c r="D5772" s="107" t="str">
        <f>IF(LEN(Table1722[[#This Row],[Uraian]])&gt;2,1," ")</f>
        <v xml:space="preserve"> </v>
      </c>
      <c r="E5772" s="113" t="str">
        <f>IF(Table1722[[#This Row],[Lawan Transaksi]]="CV AGUNG KARYA",COUNTIF($I$10:I5772,"CV AGUNG KARYA")," ")</f>
        <v xml:space="preserve"> </v>
      </c>
      <c r="F5772" s="107" t="str">
        <f>IF(LEN(Table1722[[#This Row],[Uraian]])&gt;2,TRIM(RIGHT(SUBSTITUTE(TRIM(C5772)," ",REPT(" ",255)),255))," ")</f>
        <v xml:space="preserve"> </v>
      </c>
      <c r="G5772" s="110">
        <f>COPY!Z5764</f>
        <v>0</v>
      </c>
      <c r="H5772" s="111" t="str">
        <f>IFERROR(VLOOKUP(Table1722[[#This Row],[Bukti]],'Un nOTA'!$A$4:$K$5003,10,FALSE),"")</f>
        <v/>
      </c>
      <c r="I5772" s="123" t="str">
        <f>IFERROR(VLOOKUP(Table1722[[#This Row],[Bukti]],Table13[#Data],11,FALSE),"")</f>
        <v/>
      </c>
    </row>
    <row r="5773" spans="1:9" hidden="1" x14ac:dyDescent="0.2">
      <c r="A5773" s="105" t="str">
        <f>IF(D5773=1,COUNTIF($D$10:D5773,1)," ")</f>
        <v xml:space="preserve"> </v>
      </c>
      <c r="B5773" s="106">
        <f>COPY!AR5765</f>
        <v>0</v>
      </c>
      <c r="C5773" s="107">
        <f>COPY!AC5765</f>
        <v>0</v>
      </c>
      <c r="D5773" s="107" t="str">
        <f>IF(LEN(Table1722[[#This Row],[Uraian]])&gt;2,1," ")</f>
        <v xml:space="preserve"> </v>
      </c>
      <c r="E5773" s="113" t="str">
        <f>IF(Table1722[[#This Row],[Lawan Transaksi]]="CV AGUNG KARYA",COUNTIF($I$10:I5773,"CV AGUNG KARYA")," ")</f>
        <v xml:space="preserve"> </v>
      </c>
      <c r="F5773" s="107" t="str">
        <f>IF(LEN(Table1722[[#This Row],[Uraian]])&gt;2,TRIM(RIGHT(SUBSTITUTE(TRIM(C5773)," ",REPT(" ",255)),255))," ")</f>
        <v xml:space="preserve"> </v>
      </c>
      <c r="G5773" s="110">
        <f>COPY!Z5765</f>
        <v>0</v>
      </c>
      <c r="H5773" s="111" t="str">
        <f>IFERROR(VLOOKUP(Table1722[[#This Row],[Bukti]],'Un nOTA'!$A$4:$K$5003,10,FALSE),"")</f>
        <v/>
      </c>
      <c r="I5773" s="123" t="str">
        <f>IFERROR(VLOOKUP(Table1722[[#This Row],[Bukti]],Table13[#Data],11,FALSE),"")</f>
        <v/>
      </c>
    </row>
    <row r="5774" spans="1:9" hidden="1" x14ac:dyDescent="0.2">
      <c r="A5774" s="105" t="str">
        <f>IF(D5774=1,COUNTIF($D$10:D5774,1)," ")</f>
        <v xml:space="preserve"> </v>
      </c>
      <c r="B5774" s="106">
        <f>COPY!AR5766</f>
        <v>0</v>
      </c>
      <c r="C5774" s="107">
        <f>COPY!AC5766</f>
        <v>0</v>
      </c>
      <c r="D5774" s="107" t="str">
        <f>IF(LEN(Table1722[[#This Row],[Uraian]])&gt;2,1," ")</f>
        <v xml:space="preserve"> </v>
      </c>
      <c r="E5774" s="113" t="str">
        <f>IF(Table1722[[#This Row],[Lawan Transaksi]]="CV AGUNG KARYA",COUNTIF($I$10:I5774,"CV AGUNG KARYA")," ")</f>
        <v xml:space="preserve"> </v>
      </c>
      <c r="F5774" s="107" t="str">
        <f>IF(LEN(Table1722[[#This Row],[Uraian]])&gt;2,TRIM(RIGHT(SUBSTITUTE(TRIM(C5774)," ",REPT(" ",255)),255))," ")</f>
        <v xml:space="preserve"> </v>
      </c>
      <c r="G5774" s="110">
        <f>COPY!Z5766</f>
        <v>0</v>
      </c>
      <c r="H5774" s="111" t="str">
        <f>IFERROR(VLOOKUP(Table1722[[#This Row],[Bukti]],'Un nOTA'!$A$4:$K$5003,10,FALSE),"")</f>
        <v/>
      </c>
      <c r="I5774" s="123" t="str">
        <f>IFERROR(VLOOKUP(Table1722[[#This Row],[Bukti]],Table13[#Data],11,FALSE),"")</f>
        <v/>
      </c>
    </row>
    <row r="5775" spans="1:9" hidden="1" x14ac:dyDescent="0.2">
      <c r="A5775" s="105" t="str">
        <f>IF(D5775=1,COUNTIF($D$10:D5775,1)," ")</f>
        <v xml:space="preserve"> </v>
      </c>
      <c r="B5775" s="106">
        <f>COPY!AR5767</f>
        <v>0</v>
      </c>
      <c r="C5775" s="107">
        <f>COPY!AC5767</f>
        <v>0</v>
      </c>
      <c r="D5775" s="107" t="str">
        <f>IF(LEN(Table1722[[#This Row],[Uraian]])&gt;2,1," ")</f>
        <v xml:space="preserve"> </v>
      </c>
      <c r="E5775" s="113" t="str">
        <f>IF(Table1722[[#This Row],[Lawan Transaksi]]="CV AGUNG KARYA",COUNTIF($I$10:I5775,"CV AGUNG KARYA")," ")</f>
        <v xml:space="preserve"> </v>
      </c>
      <c r="F5775" s="107" t="str">
        <f>IF(LEN(Table1722[[#This Row],[Uraian]])&gt;2,TRIM(RIGHT(SUBSTITUTE(TRIM(C5775)," ",REPT(" ",255)),255))," ")</f>
        <v xml:space="preserve"> </v>
      </c>
      <c r="G5775" s="110">
        <f>COPY!Z5767</f>
        <v>0</v>
      </c>
      <c r="H5775" s="111" t="str">
        <f>IFERROR(VLOOKUP(Table1722[[#This Row],[Bukti]],'Un nOTA'!$A$4:$K$5003,10,FALSE),"")</f>
        <v/>
      </c>
      <c r="I5775" s="123" t="str">
        <f>IFERROR(VLOOKUP(Table1722[[#This Row],[Bukti]],Table13[#Data],11,FALSE),"")</f>
        <v/>
      </c>
    </row>
    <row r="5776" spans="1:9" hidden="1" x14ac:dyDescent="0.2">
      <c r="A5776" s="105" t="str">
        <f>IF(D5776=1,COUNTIF($D$10:D5776,1)," ")</f>
        <v xml:space="preserve"> </v>
      </c>
      <c r="B5776" s="106">
        <f>COPY!AR5768</f>
        <v>0</v>
      </c>
      <c r="C5776" s="107">
        <f>COPY!AC5768</f>
        <v>0</v>
      </c>
      <c r="D5776" s="107" t="str">
        <f>IF(LEN(Table1722[[#This Row],[Uraian]])&gt;2,1," ")</f>
        <v xml:space="preserve"> </v>
      </c>
      <c r="E5776" s="113" t="str">
        <f>IF(Table1722[[#This Row],[Lawan Transaksi]]="CV AGUNG KARYA",COUNTIF($I$10:I5776,"CV AGUNG KARYA")," ")</f>
        <v xml:space="preserve"> </v>
      </c>
      <c r="F5776" s="107" t="str">
        <f>IF(LEN(Table1722[[#This Row],[Uraian]])&gt;2,TRIM(RIGHT(SUBSTITUTE(TRIM(C5776)," ",REPT(" ",255)),255))," ")</f>
        <v xml:space="preserve"> </v>
      </c>
      <c r="G5776" s="110">
        <f>COPY!Z5768</f>
        <v>0</v>
      </c>
      <c r="H5776" s="111" t="str">
        <f>IFERROR(VLOOKUP(Table1722[[#This Row],[Bukti]],'Un nOTA'!$A$4:$K$5003,10,FALSE),"")</f>
        <v/>
      </c>
      <c r="I5776" s="123" t="str">
        <f>IFERROR(VLOOKUP(Table1722[[#This Row],[Bukti]],Table13[#Data],11,FALSE),"")</f>
        <v/>
      </c>
    </row>
    <row r="5777" spans="1:9" hidden="1" x14ac:dyDescent="0.2">
      <c r="A5777" s="105" t="str">
        <f>IF(D5777=1,COUNTIF($D$10:D5777,1)," ")</f>
        <v xml:space="preserve"> </v>
      </c>
      <c r="B5777" s="106">
        <f>COPY!AR5769</f>
        <v>0</v>
      </c>
      <c r="C5777" s="107">
        <f>COPY!AC5769</f>
        <v>0</v>
      </c>
      <c r="D5777" s="107" t="str">
        <f>IF(LEN(Table1722[[#This Row],[Uraian]])&gt;2,1," ")</f>
        <v xml:space="preserve"> </v>
      </c>
      <c r="E5777" s="113" t="str">
        <f>IF(Table1722[[#This Row],[Lawan Transaksi]]="CV AGUNG KARYA",COUNTIF($I$10:I5777,"CV AGUNG KARYA")," ")</f>
        <v xml:space="preserve"> </v>
      </c>
      <c r="F5777" s="107" t="str">
        <f>IF(LEN(Table1722[[#This Row],[Uraian]])&gt;2,TRIM(RIGHT(SUBSTITUTE(TRIM(C5777)," ",REPT(" ",255)),255))," ")</f>
        <v xml:space="preserve"> </v>
      </c>
      <c r="G5777" s="110">
        <f>COPY!Z5769</f>
        <v>0</v>
      </c>
      <c r="H5777" s="111" t="str">
        <f>IFERROR(VLOOKUP(Table1722[[#This Row],[Bukti]],'Un nOTA'!$A$4:$K$5003,10,FALSE),"")</f>
        <v/>
      </c>
      <c r="I5777" s="123" t="str">
        <f>IFERROR(VLOOKUP(Table1722[[#This Row],[Bukti]],Table13[#Data],11,FALSE),"")</f>
        <v/>
      </c>
    </row>
    <row r="5778" spans="1:9" hidden="1" x14ac:dyDescent="0.2">
      <c r="A5778" s="105" t="str">
        <f>IF(D5778=1,COUNTIF($D$10:D5778,1)," ")</f>
        <v xml:space="preserve"> </v>
      </c>
      <c r="B5778" s="106">
        <f>COPY!AR5770</f>
        <v>0</v>
      </c>
      <c r="C5778" s="107">
        <f>COPY!AC5770</f>
        <v>0</v>
      </c>
      <c r="D5778" s="107" t="str">
        <f>IF(LEN(Table1722[[#This Row],[Uraian]])&gt;2,1," ")</f>
        <v xml:space="preserve"> </v>
      </c>
      <c r="E5778" s="113" t="str">
        <f>IF(Table1722[[#This Row],[Lawan Transaksi]]="CV AGUNG KARYA",COUNTIF($I$10:I5778,"CV AGUNG KARYA")," ")</f>
        <v xml:space="preserve"> </v>
      </c>
      <c r="F5778" s="107" t="str">
        <f>IF(LEN(Table1722[[#This Row],[Uraian]])&gt;2,TRIM(RIGHT(SUBSTITUTE(TRIM(C5778)," ",REPT(" ",255)),255))," ")</f>
        <v xml:space="preserve"> </v>
      </c>
      <c r="G5778" s="110">
        <f>COPY!Z5770</f>
        <v>0</v>
      </c>
      <c r="H5778" s="111" t="str">
        <f>IFERROR(VLOOKUP(Table1722[[#This Row],[Bukti]],'Un nOTA'!$A$4:$K$5003,10,FALSE),"")</f>
        <v/>
      </c>
      <c r="I5778" s="123" t="str">
        <f>IFERROR(VLOOKUP(Table1722[[#This Row],[Bukti]],Table13[#Data],11,FALSE),"")</f>
        <v/>
      </c>
    </row>
    <row r="5779" spans="1:9" hidden="1" x14ac:dyDescent="0.2">
      <c r="A5779" s="105" t="str">
        <f>IF(D5779=1,COUNTIF($D$10:D5779,1)," ")</f>
        <v xml:space="preserve"> </v>
      </c>
      <c r="B5779" s="106">
        <f>COPY!AR5771</f>
        <v>0</v>
      </c>
      <c r="C5779" s="107">
        <f>COPY!AC5771</f>
        <v>0</v>
      </c>
      <c r="D5779" s="107" t="str">
        <f>IF(LEN(Table1722[[#This Row],[Uraian]])&gt;2,1," ")</f>
        <v xml:space="preserve"> </v>
      </c>
      <c r="E5779" s="113" t="str">
        <f>IF(Table1722[[#This Row],[Lawan Transaksi]]="CV AGUNG KARYA",COUNTIF($I$10:I5779,"CV AGUNG KARYA")," ")</f>
        <v xml:space="preserve"> </v>
      </c>
      <c r="F5779" s="107" t="str">
        <f>IF(LEN(Table1722[[#This Row],[Uraian]])&gt;2,TRIM(RIGHT(SUBSTITUTE(TRIM(C5779)," ",REPT(" ",255)),255))," ")</f>
        <v xml:space="preserve"> </v>
      </c>
      <c r="G5779" s="110">
        <f>COPY!Z5771</f>
        <v>0</v>
      </c>
      <c r="H5779" s="111" t="str">
        <f>IFERROR(VLOOKUP(Table1722[[#This Row],[Bukti]],'Un nOTA'!$A$4:$K$5003,10,FALSE),"")</f>
        <v/>
      </c>
      <c r="I5779" s="123" t="str">
        <f>IFERROR(VLOOKUP(Table1722[[#This Row],[Bukti]],Table13[#Data],11,FALSE),"")</f>
        <v/>
      </c>
    </row>
    <row r="5780" spans="1:9" hidden="1" x14ac:dyDescent="0.2">
      <c r="A5780" s="105" t="str">
        <f>IF(D5780=1,COUNTIF($D$10:D5780,1)," ")</f>
        <v xml:space="preserve"> </v>
      </c>
      <c r="B5780" s="106">
        <f>COPY!AR5772</f>
        <v>0</v>
      </c>
      <c r="C5780" s="107">
        <f>COPY!AC5772</f>
        <v>0</v>
      </c>
      <c r="D5780" s="107" t="str">
        <f>IF(LEN(Table1722[[#This Row],[Uraian]])&gt;2,1," ")</f>
        <v xml:space="preserve"> </v>
      </c>
      <c r="E5780" s="113" t="str">
        <f>IF(Table1722[[#This Row],[Lawan Transaksi]]="CV AGUNG KARYA",COUNTIF($I$10:I5780,"CV AGUNG KARYA")," ")</f>
        <v xml:space="preserve"> </v>
      </c>
      <c r="F5780" s="107" t="str">
        <f>IF(LEN(Table1722[[#This Row],[Uraian]])&gt;2,TRIM(RIGHT(SUBSTITUTE(TRIM(C5780)," ",REPT(" ",255)),255))," ")</f>
        <v xml:space="preserve"> </v>
      </c>
      <c r="G5780" s="110">
        <f>COPY!Z5772</f>
        <v>0</v>
      </c>
      <c r="H5780" s="111" t="str">
        <f>IFERROR(VLOOKUP(Table1722[[#This Row],[Bukti]],'Un nOTA'!$A$4:$K$5003,10,FALSE),"")</f>
        <v/>
      </c>
      <c r="I5780" s="123" t="str">
        <f>IFERROR(VLOOKUP(Table1722[[#This Row],[Bukti]],Table13[#Data],11,FALSE),"")</f>
        <v/>
      </c>
    </row>
    <row r="5781" spans="1:9" hidden="1" x14ac:dyDescent="0.2">
      <c r="A5781" s="105" t="str">
        <f>IF(D5781=1,COUNTIF($D$10:D5781,1)," ")</f>
        <v xml:space="preserve"> </v>
      </c>
      <c r="B5781" s="106">
        <f>COPY!AR5773</f>
        <v>0</v>
      </c>
      <c r="C5781" s="107">
        <f>COPY!AC5773</f>
        <v>0</v>
      </c>
      <c r="D5781" s="107" t="str">
        <f>IF(LEN(Table1722[[#This Row],[Uraian]])&gt;2,1," ")</f>
        <v xml:space="preserve"> </v>
      </c>
      <c r="E5781" s="113" t="str">
        <f>IF(Table1722[[#This Row],[Lawan Transaksi]]="CV AGUNG KARYA",COUNTIF($I$10:I5781,"CV AGUNG KARYA")," ")</f>
        <v xml:space="preserve"> </v>
      </c>
      <c r="F5781" s="107" t="str">
        <f>IF(LEN(Table1722[[#This Row],[Uraian]])&gt;2,TRIM(RIGHT(SUBSTITUTE(TRIM(C5781)," ",REPT(" ",255)),255))," ")</f>
        <v xml:space="preserve"> </v>
      </c>
      <c r="G5781" s="110">
        <f>COPY!Z5773</f>
        <v>0</v>
      </c>
      <c r="H5781" s="111" t="str">
        <f>IFERROR(VLOOKUP(Table1722[[#This Row],[Bukti]],'Un nOTA'!$A$4:$K$5003,10,FALSE),"")</f>
        <v/>
      </c>
      <c r="I5781" s="123" t="str">
        <f>IFERROR(VLOOKUP(Table1722[[#This Row],[Bukti]],Table13[#Data],11,FALSE),"")</f>
        <v/>
      </c>
    </row>
    <row r="5782" spans="1:9" hidden="1" x14ac:dyDescent="0.2">
      <c r="A5782" s="105" t="str">
        <f>IF(D5782=1,COUNTIF($D$10:D5782,1)," ")</f>
        <v xml:space="preserve"> </v>
      </c>
      <c r="B5782" s="106">
        <f>COPY!AR5774</f>
        <v>0</v>
      </c>
      <c r="C5782" s="107">
        <f>COPY!AC5774</f>
        <v>0</v>
      </c>
      <c r="D5782" s="107" t="str">
        <f>IF(LEN(Table1722[[#This Row],[Uraian]])&gt;2,1," ")</f>
        <v xml:space="preserve"> </v>
      </c>
      <c r="E5782" s="113" t="str">
        <f>IF(Table1722[[#This Row],[Lawan Transaksi]]="CV AGUNG KARYA",COUNTIF($I$10:I5782,"CV AGUNG KARYA")," ")</f>
        <v xml:space="preserve"> </v>
      </c>
      <c r="F5782" s="107" t="str">
        <f>IF(LEN(Table1722[[#This Row],[Uraian]])&gt;2,TRIM(RIGHT(SUBSTITUTE(TRIM(C5782)," ",REPT(" ",255)),255))," ")</f>
        <v xml:space="preserve"> </v>
      </c>
      <c r="G5782" s="110">
        <f>COPY!Z5774</f>
        <v>0</v>
      </c>
      <c r="H5782" s="111" t="str">
        <f>IFERROR(VLOOKUP(Table1722[[#This Row],[Bukti]],'Un nOTA'!$A$4:$K$5003,10,FALSE),"")</f>
        <v/>
      </c>
      <c r="I5782" s="123" t="str">
        <f>IFERROR(VLOOKUP(Table1722[[#This Row],[Bukti]],Table13[#Data],11,FALSE),"")</f>
        <v/>
      </c>
    </row>
    <row r="5783" spans="1:9" hidden="1" x14ac:dyDescent="0.2">
      <c r="A5783" s="105" t="str">
        <f>IF(D5783=1,COUNTIF($D$10:D5783,1)," ")</f>
        <v xml:space="preserve"> </v>
      </c>
      <c r="B5783" s="106">
        <f>COPY!AR5775</f>
        <v>0</v>
      </c>
      <c r="C5783" s="107">
        <f>COPY!AC5775</f>
        <v>0</v>
      </c>
      <c r="D5783" s="107" t="str">
        <f>IF(LEN(Table1722[[#This Row],[Uraian]])&gt;2,1," ")</f>
        <v xml:space="preserve"> </v>
      </c>
      <c r="E5783" s="113" t="str">
        <f>IF(Table1722[[#This Row],[Lawan Transaksi]]="CV AGUNG KARYA",COUNTIF($I$10:I5783,"CV AGUNG KARYA")," ")</f>
        <v xml:space="preserve"> </v>
      </c>
      <c r="F5783" s="107" t="str">
        <f>IF(LEN(Table1722[[#This Row],[Uraian]])&gt;2,TRIM(RIGHT(SUBSTITUTE(TRIM(C5783)," ",REPT(" ",255)),255))," ")</f>
        <v xml:space="preserve"> </v>
      </c>
      <c r="G5783" s="110">
        <f>COPY!Z5775</f>
        <v>0</v>
      </c>
      <c r="H5783" s="111" t="str">
        <f>IFERROR(VLOOKUP(Table1722[[#This Row],[Bukti]],'Un nOTA'!$A$4:$K$5003,10,FALSE),"")</f>
        <v/>
      </c>
      <c r="I5783" s="123" t="str">
        <f>IFERROR(VLOOKUP(Table1722[[#This Row],[Bukti]],Table13[#Data],11,FALSE),"")</f>
        <v/>
      </c>
    </row>
    <row r="5784" spans="1:9" hidden="1" x14ac:dyDescent="0.2">
      <c r="A5784" s="105" t="str">
        <f>IF(D5784=1,COUNTIF($D$10:D5784,1)," ")</f>
        <v xml:space="preserve"> </v>
      </c>
      <c r="B5784" s="106">
        <f>COPY!AR5776</f>
        <v>0</v>
      </c>
      <c r="C5784" s="107">
        <f>COPY!AC5776</f>
        <v>0</v>
      </c>
      <c r="D5784" s="107" t="str">
        <f>IF(LEN(Table1722[[#This Row],[Uraian]])&gt;2,1," ")</f>
        <v xml:space="preserve"> </v>
      </c>
      <c r="E5784" s="113" t="str">
        <f>IF(Table1722[[#This Row],[Lawan Transaksi]]="CV AGUNG KARYA",COUNTIF($I$10:I5784,"CV AGUNG KARYA")," ")</f>
        <v xml:space="preserve"> </v>
      </c>
      <c r="F5784" s="107" t="str">
        <f>IF(LEN(Table1722[[#This Row],[Uraian]])&gt;2,TRIM(RIGHT(SUBSTITUTE(TRIM(C5784)," ",REPT(" ",255)),255))," ")</f>
        <v xml:space="preserve"> </v>
      </c>
      <c r="G5784" s="110">
        <f>COPY!Z5776</f>
        <v>0</v>
      </c>
      <c r="H5784" s="111" t="str">
        <f>IFERROR(VLOOKUP(Table1722[[#This Row],[Bukti]],'Un nOTA'!$A$4:$K$5003,10,FALSE),"")</f>
        <v/>
      </c>
      <c r="I5784" s="123" t="str">
        <f>IFERROR(VLOOKUP(Table1722[[#This Row],[Bukti]],Table13[#Data],11,FALSE),"")</f>
        <v/>
      </c>
    </row>
    <row r="5785" spans="1:9" hidden="1" x14ac:dyDescent="0.2">
      <c r="A5785" s="105" t="str">
        <f>IF(D5785=1,COUNTIF($D$10:D5785,1)," ")</f>
        <v xml:space="preserve"> </v>
      </c>
      <c r="B5785" s="106">
        <f>COPY!AR5777</f>
        <v>0</v>
      </c>
      <c r="C5785" s="107">
        <f>COPY!AC5777</f>
        <v>0</v>
      </c>
      <c r="D5785" s="107" t="str">
        <f>IF(LEN(Table1722[[#This Row],[Uraian]])&gt;2,1," ")</f>
        <v xml:space="preserve"> </v>
      </c>
      <c r="E5785" s="113" t="str">
        <f>IF(Table1722[[#This Row],[Lawan Transaksi]]="CV AGUNG KARYA",COUNTIF($I$10:I5785,"CV AGUNG KARYA")," ")</f>
        <v xml:space="preserve"> </v>
      </c>
      <c r="F5785" s="107" t="str">
        <f>IF(LEN(Table1722[[#This Row],[Uraian]])&gt;2,TRIM(RIGHT(SUBSTITUTE(TRIM(C5785)," ",REPT(" ",255)),255))," ")</f>
        <v xml:space="preserve"> </v>
      </c>
      <c r="G5785" s="110">
        <f>COPY!Z5777</f>
        <v>0</v>
      </c>
      <c r="H5785" s="111" t="str">
        <f>IFERROR(VLOOKUP(Table1722[[#This Row],[Bukti]],'Un nOTA'!$A$4:$K$5003,10,FALSE),"")</f>
        <v/>
      </c>
      <c r="I5785" s="123" t="str">
        <f>IFERROR(VLOOKUP(Table1722[[#This Row],[Bukti]],Table13[#Data],11,FALSE),"")</f>
        <v/>
      </c>
    </row>
    <row r="5786" spans="1:9" hidden="1" x14ac:dyDescent="0.2">
      <c r="A5786" s="105" t="str">
        <f>IF(D5786=1,COUNTIF($D$10:D5786,1)," ")</f>
        <v xml:space="preserve"> </v>
      </c>
      <c r="B5786" s="106">
        <f>COPY!AR5778</f>
        <v>0</v>
      </c>
      <c r="C5786" s="107">
        <f>COPY!AC5778</f>
        <v>0</v>
      </c>
      <c r="D5786" s="107" t="str">
        <f>IF(LEN(Table1722[[#This Row],[Uraian]])&gt;2,1," ")</f>
        <v xml:space="preserve"> </v>
      </c>
      <c r="E5786" s="113" t="str">
        <f>IF(Table1722[[#This Row],[Lawan Transaksi]]="CV AGUNG KARYA",COUNTIF($I$10:I5786,"CV AGUNG KARYA")," ")</f>
        <v xml:space="preserve"> </v>
      </c>
      <c r="F5786" s="107" t="str">
        <f>IF(LEN(Table1722[[#This Row],[Uraian]])&gt;2,TRIM(RIGHT(SUBSTITUTE(TRIM(C5786)," ",REPT(" ",255)),255))," ")</f>
        <v xml:space="preserve"> </v>
      </c>
      <c r="G5786" s="110">
        <f>COPY!Z5778</f>
        <v>0</v>
      </c>
      <c r="H5786" s="111" t="str">
        <f>IFERROR(VLOOKUP(Table1722[[#This Row],[Bukti]],'Un nOTA'!$A$4:$K$5003,10,FALSE),"")</f>
        <v/>
      </c>
      <c r="I5786" s="123" t="str">
        <f>IFERROR(VLOOKUP(Table1722[[#This Row],[Bukti]],Table13[#Data],11,FALSE),"")</f>
        <v/>
      </c>
    </row>
    <row r="5787" spans="1:9" hidden="1" x14ac:dyDescent="0.2">
      <c r="A5787" s="105" t="str">
        <f>IF(D5787=1,COUNTIF($D$10:D5787,1)," ")</f>
        <v xml:space="preserve"> </v>
      </c>
      <c r="B5787" s="106">
        <f>COPY!AR5779</f>
        <v>0</v>
      </c>
      <c r="C5787" s="107">
        <f>COPY!AC5779</f>
        <v>0</v>
      </c>
      <c r="D5787" s="107" t="str">
        <f>IF(LEN(Table1722[[#This Row],[Uraian]])&gt;2,1," ")</f>
        <v xml:space="preserve"> </v>
      </c>
      <c r="E5787" s="113" t="str">
        <f>IF(Table1722[[#This Row],[Lawan Transaksi]]="CV AGUNG KARYA",COUNTIF($I$10:I5787,"CV AGUNG KARYA")," ")</f>
        <v xml:space="preserve"> </v>
      </c>
      <c r="F5787" s="107" t="str">
        <f>IF(LEN(Table1722[[#This Row],[Uraian]])&gt;2,TRIM(RIGHT(SUBSTITUTE(TRIM(C5787)," ",REPT(" ",255)),255))," ")</f>
        <v xml:space="preserve"> </v>
      </c>
      <c r="G5787" s="110">
        <f>COPY!Z5779</f>
        <v>0</v>
      </c>
      <c r="H5787" s="111" t="str">
        <f>IFERROR(VLOOKUP(Table1722[[#This Row],[Bukti]],'Un nOTA'!$A$4:$K$5003,10,FALSE),"")</f>
        <v/>
      </c>
      <c r="I5787" s="123" t="str">
        <f>IFERROR(VLOOKUP(Table1722[[#This Row],[Bukti]],Table13[#Data],11,FALSE),"")</f>
        <v/>
      </c>
    </row>
    <row r="5788" spans="1:9" hidden="1" x14ac:dyDescent="0.2">
      <c r="A5788" s="105" t="str">
        <f>IF(D5788=1,COUNTIF($D$10:D5788,1)," ")</f>
        <v xml:space="preserve"> </v>
      </c>
      <c r="B5788" s="106">
        <f>COPY!AR5780</f>
        <v>0</v>
      </c>
      <c r="C5788" s="107">
        <f>COPY!AC5780</f>
        <v>0</v>
      </c>
      <c r="D5788" s="107" t="str">
        <f>IF(LEN(Table1722[[#This Row],[Uraian]])&gt;2,1," ")</f>
        <v xml:space="preserve"> </v>
      </c>
      <c r="E5788" s="113" t="str">
        <f>IF(Table1722[[#This Row],[Lawan Transaksi]]="CV AGUNG KARYA",COUNTIF($I$10:I5788,"CV AGUNG KARYA")," ")</f>
        <v xml:space="preserve"> </v>
      </c>
      <c r="F5788" s="107" t="str">
        <f>IF(LEN(Table1722[[#This Row],[Uraian]])&gt;2,TRIM(RIGHT(SUBSTITUTE(TRIM(C5788)," ",REPT(" ",255)),255))," ")</f>
        <v xml:space="preserve"> </v>
      </c>
      <c r="G5788" s="110">
        <f>COPY!Z5780</f>
        <v>0</v>
      </c>
      <c r="H5788" s="111" t="str">
        <f>IFERROR(VLOOKUP(Table1722[[#This Row],[Bukti]],'Un nOTA'!$A$4:$K$5003,10,FALSE),"")</f>
        <v/>
      </c>
      <c r="I5788" s="123" t="str">
        <f>IFERROR(VLOOKUP(Table1722[[#This Row],[Bukti]],Table13[#Data],11,FALSE),"")</f>
        <v/>
      </c>
    </row>
    <row r="5789" spans="1:9" hidden="1" x14ac:dyDescent="0.2">
      <c r="A5789" s="105" t="str">
        <f>IF(D5789=1,COUNTIF($D$10:D5789,1)," ")</f>
        <v xml:space="preserve"> </v>
      </c>
      <c r="B5789" s="106">
        <f>COPY!AR5781</f>
        <v>0</v>
      </c>
      <c r="C5789" s="107">
        <f>COPY!AC5781</f>
        <v>0</v>
      </c>
      <c r="D5789" s="107" t="str">
        <f>IF(LEN(Table1722[[#This Row],[Uraian]])&gt;2,1," ")</f>
        <v xml:space="preserve"> </v>
      </c>
      <c r="E5789" s="113" t="str">
        <f>IF(Table1722[[#This Row],[Lawan Transaksi]]="CV AGUNG KARYA",COUNTIF($I$10:I5789,"CV AGUNG KARYA")," ")</f>
        <v xml:space="preserve"> </v>
      </c>
      <c r="F5789" s="107" t="str">
        <f>IF(LEN(Table1722[[#This Row],[Uraian]])&gt;2,TRIM(RIGHT(SUBSTITUTE(TRIM(C5789)," ",REPT(" ",255)),255))," ")</f>
        <v xml:space="preserve"> </v>
      </c>
      <c r="G5789" s="110">
        <f>COPY!Z5781</f>
        <v>0</v>
      </c>
      <c r="H5789" s="111" t="str">
        <f>IFERROR(VLOOKUP(Table1722[[#This Row],[Bukti]],'Un nOTA'!$A$4:$K$5003,10,FALSE),"")</f>
        <v/>
      </c>
      <c r="I5789" s="123" t="str">
        <f>IFERROR(VLOOKUP(Table1722[[#This Row],[Bukti]],Table13[#Data],11,FALSE),"")</f>
        <v/>
      </c>
    </row>
    <row r="5790" spans="1:9" hidden="1" x14ac:dyDescent="0.2">
      <c r="A5790" s="105" t="str">
        <f>IF(D5790=1,COUNTIF($D$10:D5790,1)," ")</f>
        <v xml:space="preserve"> </v>
      </c>
      <c r="B5790" s="106">
        <f>COPY!AR5782</f>
        <v>0</v>
      </c>
      <c r="C5790" s="107">
        <f>COPY!AC5782</f>
        <v>0</v>
      </c>
      <c r="D5790" s="107" t="str">
        <f>IF(LEN(Table1722[[#This Row],[Uraian]])&gt;2,1," ")</f>
        <v xml:space="preserve"> </v>
      </c>
      <c r="E5790" s="113" t="str">
        <f>IF(Table1722[[#This Row],[Lawan Transaksi]]="CV AGUNG KARYA",COUNTIF($I$10:I5790,"CV AGUNG KARYA")," ")</f>
        <v xml:space="preserve"> </v>
      </c>
      <c r="F5790" s="107" t="str">
        <f>IF(LEN(Table1722[[#This Row],[Uraian]])&gt;2,TRIM(RIGHT(SUBSTITUTE(TRIM(C5790)," ",REPT(" ",255)),255))," ")</f>
        <v xml:space="preserve"> </v>
      </c>
      <c r="G5790" s="110">
        <f>COPY!Z5782</f>
        <v>0</v>
      </c>
      <c r="H5790" s="111" t="str">
        <f>IFERROR(VLOOKUP(Table1722[[#This Row],[Bukti]],'Un nOTA'!$A$4:$K$5003,10,FALSE),"")</f>
        <v/>
      </c>
      <c r="I5790" s="123" t="str">
        <f>IFERROR(VLOOKUP(Table1722[[#This Row],[Bukti]],Table13[#Data],11,FALSE),"")</f>
        <v/>
      </c>
    </row>
    <row r="5791" spans="1:9" hidden="1" x14ac:dyDescent="0.2">
      <c r="A5791" s="105" t="str">
        <f>IF(D5791=1,COUNTIF($D$10:D5791,1)," ")</f>
        <v xml:space="preserve"> </v>
      </c>
      <c r="B5791" s="106">
        <f>COPY!AR5783</f>
        <v>0</v>
      </c>
      <c r="C5791" s="107">
        <f>COPY!AC5783</f>
        <v>0</v>
      </c>
      <c r="D5791" s="107" t="str">
        <f>IF(LEN(Table1722[[#This Row],[Uraian]])&gt;2,1," ")</f>
        <v xml:space="preserve"> </v>
      </c>
      <c r="E5791" s="113" t="str">
        <f>IF(Table1722[[#This Row],[Lawan Transaksi]]="CV AGUNG KARYA",COUNTIF($I$10:I5791,"CV AGUNG KARYA")," ")</f>
        <v xml:space="preserve"> </v>
      </c>
      <c r="F5791" s="107" t="str">
        <f>IF(LEN(Table1722[[#This Row],[Uraian]])&gt;2,TRIM(RIGHT(SUBSTITUTE(TRIM(C5791)," ",REPT(" ",255)),255))," ")</f>
        <v xml:space="preserve"> </v>
      </c>
      <c r="G5791" s="110">
        <f>COPY!Z5783</f>
        <v>0</v>
      </c>
      <c r="H5791" s="111" t="str">
        <f>IFERROR(VLOOKUP(Table1722[[#This Row],[Bukti]],'Un nOTA'!$A$4:$K$5003,10,FALSE),"")</f>
        <v/>
      </c>
      <c r="I5791" s="123" t="str">
        <f>IFERROR(VLOOKUP(Table1722[[#This Row],[Bukti]],Table13[#Data],11,FALSE),"")</f>
        <v/>
      </c>
    </row>
    <row r="5792" spans="1:9" hidden="1" x14ac:dyDescent="0.2">
      <c r="A5792" s="105" t="str">
        <f>IF(D5792=1,COUNTIF($D$10:D5792,1)," ")</f>
        <v xml:space="preserve"> </v>
      </c>
      <c r="B5792" s="106">
        <f>COPY!AR5784</f>
        <v>0</v>
      </c>
      <c r="C5792" s="107">
        <f>COPY!AC5784</f>
        <v>0</v>
      </c>
      <c r="D5792" s="107" t="str">
        <f>IF(LEN(Table1722[[#This Row],[Uraian]])&gt;2,1," ")</f>
        <v xml:space="preserve"> </v>
      </c>
      <c r="E5792" s="113" t="str">
        <f>IF(Table1722[[#This Row],[Lawan Transaksi]]="CV AGUNG KARYA",COUNTIF($I$10:I5792,"CV AGUNG KARYA")," ")</f>
        <v xml:space="preserve"> </v>
      </c>
      <c r="F5792" s="107" t="str">
        <f>IF(LEN(Table1722[[#This Row],[Uraian]])&gt;2,TRIM(RIGHT(SUBSTITUTE(TRIM(C5792)," ",REPT(" ",255)),255))," ")</f>
        <v xml:space="preserve"> </v>
      </c>
      <c r="G5792" s="110">
        <f>COPY!Z5784</f>
        <v>0</v>
      </c>
      <c r="H5792" s="111" t="str">
        <f>IFERROR(VLOOKUP(Table1722[[#This Row],[Bukti]],'Un nOTA'!$A$4:$K$5003,10,FALSE),"")</f>
        <v/>
      </c>
      <c r="I5792" s="123" t="str">
        <f>IFERROR(VLOOKUP(Table1722[[#This Row],[Bukti]],Table13[#Data],11,FALSE),"")</f>
        <v/>
      </c>
    </row>
    <row r="5793" spans="1:9" hidden="1" x14ac:dyDescent="0.2">
      <c r="A5793" s="105" t="str">
        <f>IF(D5793=1,COUNTIF($D$10:D5793,1)," ")</f>
        <v xml:space="preserve"> </v>
      </c>
      <c r="B5793" s="106">
        <f>COPY!AR5785</f>
        <v>0</v>
      </c>
      <c r="C5793" s="107">
        <f>COPY!AC5785</f>
        <v>0</v>
      </c>
      <c r="D5793" s="107" t="str">
        <f>IF(LEN(Table1722[[#This Row],[Uraian]])&gt;2,1," ")</f>
        <v xml:space="preserve"> </v>
      </c>
      <c r="E5793" s="113" t="str">
        <f>IF(Table1722[[#This Row],[Lawan Transaksi]]="CV AGUNG KARYA",COUNTIF($I$10:I5793,"CV AGUNG KARYA")," ")</f>
        <v xml:space="preserve"> </v>
      </c>
      <c r="F5793" s="107" t="str">
        <f>IF(LEN(Table1722[[#This Row],[Uraian]])&gt;2,TRIM(RIGHT(SUBSTITUTE(TRIM(C5793)," ",REPT(" ",255)),255))," ")</f>
        <v xml:space="preserve"> </v>
      </c>
      <c r="G5793" s="110">
        <f>COPY!Z5785</f>
        <v>0</v>
      </c>
      <c r="H5793" s="111" t="str">
        <f>IFERROR(VLOOKUP(Table1722[[#This Row],[Bukti]],'Un nOTA'!$A$4:$K$5003,10,FALSE),"")</f>
        <v/>
      </c>
      <c r="I5793" s="123" t="str">
        <f>IFERROR(VLOOKUP(Table1722[[#This Row],[Bukti]],Table13[#Data],11,FALSE),"")</f>
        <v/>
      </c>
    </row>
    <row r="5794" spans="1:9" hidden="1" x14ac:dyDescent="0.2">
      <c r="A5794" s="105" t="str">
        <f>IF(D5794=1,COUNTIF($D$10:D5794,1)," ")</f>
        <v xml:space="preserve"> </v>
      </c>
      <c r="B5794" s="106">
        <f>COPY!AR5786</f>
        <v>0</v>
      </c>
      <c r="C5794" s="107">
        <f>COPY!AC5786</f>
        <v>0</v>
      </c>
      <c r="D5794" s="107" t="str">
        <f>IF(LEN(Table1722[[#This Row],[Uraian]])&gt;2,1," ")</f>
        <v xml:space="preserve"> </v>
      </c>
      <c r="E5794" s="113" t="str">
        <f>IF(Table1722[[#This Row],[Lawan Transaksi]]="CV AGUNG KARYA",COUNTIF($I$10:I5794,"CV AGUNG KARYA")," ")</f>
        <v xml:space="preserve"> </v>
      </c>
      <c r="F5794" s="107" t="str">
        <f>IF(LEN(Table1722[[#This Row],[Uraian]])&gt;2,TRIM(RIGHT(SUBSTITUTE(TRIM(C5794)," ",REPT(" ",255)),255))," ")</f>
        <v xml:space="preserve"> </v>
      </c>
      <c r="G5794" s="110">
        <f>COPY!Z5786</f>
        <v>0</v>
      </c>
      <c r="H5794" s="111" t="str">
        <f>IFERROR(VLOOKUP(Table1722[[#This Row],[Bukti]],'Un nOTA'!$A$4:$K$5003,10,FALSE),"")</f>
        <v/>
      </c>
      <c r="I5794" s="123" t="str">
        <f>IFERROR(VLOOKUP(Table1722[[#This Row],[Bukti]],Table13[#Data],11,FALSE),"")</f>
        <v/>
      </c>
    </row>
    <row r="5795" spans="1:9" hidden="1" x14ac:dyDescent="0.2">
      <c r="A5795" s="105" t="str">
        <f>IF(D5795=1,COUNTIF($D$10:D5795,1)," ")</f>
        <v xml:space="preserve"> </v>
      </c>
      <c r="B5795" s="106">
        <f>COPY!AR5787</f>
        <v>0</v>
      </c>
      <c r="C5795" s="107">
        <f>COPY!AC5787</f>
        <v>0</v>
      </c>
      <c r="D5795" s="107" t="str">
        <f>IF(LEN(Table1722[[#This Row],[Uraian]])&gt;2,1," ")</f>
        <v xml:space="preserve"> </v>
      </c>
      <c r="E5795" s="113" t="str">
        <f>IF(Table1722[[#This Row],[Lawan Transaksi]]="CV AGUNG KARYA",COUNTIF($I$10:I5795,"CV AGUNG KARYA")," ")</f>
        <v xml:space="preserve"> </v>
      </c>
      <c r="F5795" s="107" t="str">
        <f>IF(LEN(Table1722[[#This Row],[Uraian]])&gt;2,TRIM(RIGHT(SUBSTITUTE(TRIM(C5795)," ",REPT(" ",255)),255))," ")</f>
        <v xml:space="preserve"> </v>
      </c>
      <c r="G5795" s="110">
        <f>COPY!Z5787</f>
        <v>0</v>
      </c>
      <c r="H5795" s="111" t="str">
        <f>IFERROR(VLOOKUP(Table1722[[#This Row],[Bukti]],'Un nOTA'!$A$4:$K$5003,10,FALSE),"")</f>
        <v/>
      </c>
      <c r="I5795" s="123" t="str">
        <f>IFERROR(VLOOKUP(Table1722[[#This Row],[Bukti]],Table13[#Data],11,FALSE),"")</f>
        <v/>
      </c>
    </row>
    <row r="5796" spans="1:9" hidden="1" x14ac:dyDescent="0.2">
      <c r="A5796" s="105" t="str">
        <f>IF(D5796=1,COUNTIF($D$10:D5796,1)," ")</f>
        <v xml:space="preserve"> </v>
      </c>
      <c r="B5796" s="106">
        <f>COPY!AR5788</f>
        <v>0</v>
      </c>
      <c r="C5796" s="107">
        <f>COPY!AC5788</f>
        <v>0</v>
      </c>
      <c r="D5796" s="107" t="str">
        <f>IF(LEN(Table1722[[#This Row],[Uraian]])&gt;2,1," ")</f>
        <v xml:space="preserve"> </v>
      </c>
      <c r="E5796" s="113" t="str">
        <f>IF(Table1722[[#This Row],[Lawan Transaksi]]="CV AGUNG KARYA",COUNTIF($I$10:I5796,"CV AGUNG KARYA")," ")</f>
        <v xml:space="preserve"> </v>
      </c>
      <c r="F5796" s="107" t="str">
        <f>IF(LEN(Table1722[[#This Row],[Uraian]])&gt;2,TRIM(RIGHT(SUBSTITUTE(TRIM(C5796)," ",REPT(" ",255)),255))," ")</f>
        <v xml:space="preserve"> </v>
      </c>
      <c r="G5796" s="110">
        <f>COPY!Z5788</f>
        <v>0</v>
      </c>
      <c r="H5796" s="111" t="str">
        <f>IFERROR(VLOOKUP(Table1722[[#This Row],[Bukti]],'Un nOTA'!$A$4:$K$5003,10,FALSE),"")</f>
        <v/>
      </c>
      <c r="I5796" s="123" t="str">
        <f>IFERROR(VLOOKUP(Table1722[[#This Row],[Bukti]],Table13[#Data],11,FALSE),"")</f>
        <v/>
      </c>
    </row>
    <row r="5797" spans="1:9" hidden="1" x14ac:dyDescent="0.2">
      <c r="A5797" s="105" t="str">
        <f>IF(D5797=1,COUNTIF($D$10:D5797,1)," ")</f>
        <v xml:space="preserve"> </v>
      </c>
      <c r="B5797" s="106">
        <f>COPY!AR5789</f>
        <v>0</v>
      </c>
      <c r="C5797" s="107">
        <f>COPY!AC5789</f>
        <v>0</v>
      </c>
      <c r="D5797" s="107" t="str">
        <f>IF(LEN(Table1722[[#This Row],[Uraian]])&gt;2,1," ")</f>
        <v xml:space="preserve"> </v>
      </c>
      <c r="E5797" s="113" t="str">
        <f>IF(Table1722[[#This Row],[Lawan Transaksi]]="CV AGUNG KARYA",COUNTIF($I$10:I5797,"CV AGUNG KARYA")," ")</f>
        <v xml:space="preserve"> </v>
      </c>
      <c r="F5797" s="107" t="str">
        <f>IF(LEN(Table1722[[#This Row],[Uraian]])&gt;2,TRIM(RIGHT(SUBSTITUTE(TRIM(C5797)," ",REPT(" ",255)),255))," ")</f>
        <v xml:space="preserve"> </v>
      </c>
      <c r="G5797" s="110">
        <f>COPY!Z5789</f>
        <v>0</v>
      </c>
      <c r="H5797" s="111" t="str">
        <f>IFERROR(VLOOKUP(Table1722[[#This Row],[Bukti]],'Un nOTA'!$A$4:$K$5003,10,FALSE),"")</f>
        <v/>
      </c>
      <c r="I5797" s="123" t="str">
        <f>IFERROR(VLOOKUP(Table1722[[#This Row],[Bukti]],Table13[#Data],11,FALSE),"")</f>
        <v/>
      </c>
    </row>
    <row r="5798" spans="1:9" hidden="1" x14ac:dyDescent="0.2">
      <c r="A5798" s="105" t="str">
        <f>IF(D5798=1,COUNTIF($D$10:D5798,1)," ")</f>
        <v xml:space="preserve"> </v>
      </c>
      <c r="B5798" s="106">
        <f>COPY!AR5790</f>
        <v>0</v>
      </c>
      <c r="C5798" s="107">
        <f>COPY!AC5790</f>
        <v>0</v>
      </c>
      <c r="D5798" s="107" t="str">
        <f>IF(LEN(Table1722[[#This Row],[Uraian]])&gt;2,1," ")</f>
        <v xml:space="preserve"> </v>
      </c>
      <c r="E5798" s="113" t="str">
        <f>IF(Table1722[[#This Row],[Lawan Transaksi]]="CV AGUNG KARYA",COUNTIF($I$10:I5798,"CV AGUNG KARYA")," ")</f>
        <v xml:space="preserve"> </v>
      </c>
      <c r="F5798" s="107" t="str">
        <f>IF(LEN(Table1722[[#This Row],[Uraian]])&gt;2,TRIM(RIGHT(SUBSTITUTE(TRIM(C5798)," ",REPT(" ",255)),255))," ")</f>
        <v xml:space="preserve"> </v>
      </c>
      <c r="G5798" s="110">
        <f>COPY!Z5790</f>
        <v>0</v>
      </c>
      <c r="H5798" s="111" t="str">
        <f>IFERROR(VLOOKUP(Table1722[[#This Row],[Bukti]],'Un nOTA'!$A$4:$K$5003,10,FALSE),"")</f>
        <v/>
      </c>
      <c r="I5798" s="123" t="str">
        <f>IFERROR(VLOOKUP(Table1722[[#This Row],[Bukti]],Table13[#Data],11,FALSE),"")</f>
        <v/>
      </c>
    </row>
    <row r="5799" spans="1:9" hidden="1" x14ac:dyDescent="0.2">
      <c r="A5799" s="105" t="str">
        <f>IF(D5799=1,COUNTIF($D$10:D5799,1)," ")</f>
        <v xml:space="preserve"> </v>
      </c>
      <c r="B5799" s="106">
        <f>COPY!AR5791</f>
        <v>0</v>
      </c>
      <c r="C5799" s="107">
        <f>COPY!AC5791</f>
        <v>0</v>
      </c>
      <c r="D5799" s="107" t="str">
        <f>IF(LEN(Table1722[[#This Row],[Uraian]])&gt;2,1," ")</f>
        <v xml:space="preserve"> </v>
      </c>
      <c r="E5799" s="113" t="str">
        <f>IF(Table1722[[#This Row],[Lawan Transaksi]]="CV AGUNG KARYA",COUNTIF($I$10:I5799,"CV AGUNG KARYA")," ")</f>
        <v xml:space="preserve"> </v>
      </c>
      <c r="F5799" s="107" t="str">
        <f>IF(LEN(Table1722[[#This Row],[Uraian]])&gt;2,TRIM(RIGHT(SUBSTITUTE(TRIM(C5799)," ",REPT(" ",255)),255))," ")</f>
        <v xml:space="preserve"> </v>
      </c>
      <c r="G5799" s="110">
        <f>COPY!Z5791</f>
        <v>0</v>
      </c>
      <c r="H5799" s="111" t="str">
        <f>IFERROR(VLOOKUP(Table1722[[#This Row],[Bukti]],'Un nOTA'!$A$4:$K$5003,10,FALSE),"")</f>
        <v/>
      </c>
      <c r="I5799" s="123" t="str">
        <f>IFERROR(VLOOKUP(Table1722[[#This Row],[Bukti]],Table13[#Data],11,FALSE),"")</f>
        <v/>
      </c>
    </row>
    <row r="5800" spans="1:9" hidden="1" x14ac:dyDescent="0.2">
      <c r="A5800" s="105" t="str">
        <f>IF(D5800=1,COUNTIF($D$10:D5800,1)," ")</f>
        <v xml:space="preserve"> </v>
      </c>
      <c r="B5800" s="106">
        <f>COPY!AR5792</f>
        <v>0</v>
      </c>
      <c r="C5800" s="107">
        <f>COPY!AC5792</f>
        <v>0</v>
      </c>
      <c r="D5800" s="107" t="str">
        <f>IF(LEN(Table1722[[#This Row],[Uraian]])&gt;2,1," ")</f>
        <v xml:space="preserve"> </v>
      </c>
      <c r="E5800" s="113" t="str">
        <f>IF(Table1722[[#This Row],[Lawan Transaksi]]="CV AGUNG KARYA",COUNTIF($I$10:I5800,"CV AGUNG KARYA")," ")</f>
        <v xml:space="preserve"> </v>
      </c>
      <c r="F5800" s="107" t="str">
        <f>IF(LEN(Table1722[[#This Row],[Uraian]])&gt;2,TRIM(RIGHT(SUBSTITUTE(TRIM(C5800)," ",REPT(" ",255)),255))," ")</f>
        <v xml:space="preserve"> </v>
      </c>
      <c r="G5800" s="110">
        <f>COPY!Z5792</f>
        <v>0</v>
      </c>
      <c r="H5800" s="111" t="str">
        <f>IFERROR(VLOOKUP(Table1722[[#This Row],[Bukti]],'Un nOTA'!$A$4:$K$5003,10,FALSE),"")</f>
        <v/>
      </c>
      <c r="I5800" s="123" t="str">
        <f>IFERROR(VLOOKUP(Table1722[[#This Row],[Bukti]],Table13[#Data],11,FALSE),"")</f>
        <v/>
      </c>
    </row>
    <row r="5801" spans="1:9" hidden="1" x14ac:dyDescent="0.2">
      <c r="A5801" s="105" t="str">
        <f>IF(D5801=1,COUNTIF($D$10:D5801,1)," ")</f>
        <v xml:space="preserve"> </v>
      </c>
      <c r="B5801" s="106">
        <f>COPY!AR5793</f>
        <v>0</v>
      </c>
      <c r="C5801" s="107">
        <f>COPY!AC5793</f>
        <v>0</v>
      </c>
      <c r="D5801" s="107" t="str">
        <f>IF(LEN(Table1722[[#This Row],[Uraian]])&gt;2,1," ")</f>
        <v xml:space="preserve"> </v>
      </c>
      <c r="E5801" s="113" t="str">
        <f>IF(Table1722[[#This Row],[Lawan Transaksi]]="CV AGUNG KARYA",COUNTIF($I$10:I5801,"CV AGUNG KARYA")," ")</f>
        <v xml:space="preserve"> </v>
      </c>
      <c r="F5801" s="107" t="str">
        <f>IF(LEN(Table1722[[#This Row],[Uraian]])&gt;2,TRIM(RIGHT(SUBSTITUTE(TRIM(C5801)," ",REPT(" ",255)),255))," ")</f>
        <v xml:space="preserve"> </v>
      </c>
      <c r="G5801" s="110">
        <f>COPY!Z5793</f>
        <v>0</v>
      </c>
      <c r="H5801" s="111" t="str">
        <f>IFERROR(VLOOKUP(Table1722[[#This Row],[Bukti]],'Un nOTA'!$A$4:$K$5003,10,FALSE),"")</f>
        <v/>
      </c>
      <c r="I5801" s="123" t="str">
        <f>IFERROR(VLOOKUP(Table1722[[#This Row],[Bukti]],Table13[#Data],11,FALSE),"")</f>
        <v/>
      </c>
    </row>
    <row r="5802" spans="1:9" hidden="1" x14ac:dyDescent="0.2">
      <c r="A5802" s="105" t="str">
        <f>IF(D5802=1,COUNTIF($D$10:D5802,1)," ")</f>
        <v xml:space="preserve"> </v>
      </c>
      <c r="B5802" s="106">
        <f>COPY!AR5794</f>
        <v>0</v>
      </c>
      <c r="C5802" s="107">
        <f>COPY!AC5794</f>
        <v>0</v>
      </c>
      <c r="D5802" s="107" t="str">
        <f>IF(LEN(Table1722[[#This Row],[Uraian]])&gt;2,1," ")</f>
        <v xml:space="preserve"> </v>
      </c>
      <c r="E5802" s="113" t="str">
        <f>IF(Table1722[[#This Row],[Lawan Transaksi]]="CV AGUNG KARYA",COUNTIF($I$10:I5802,"CV AGUNG KARYA")," ")</f>
        <v xml:space="preserve"> </v>
      </c>
      <c r="F5802" s="107" t="str">
        <f>IF(LEN(Table1722[[#This Row],[Uraian]])&gt;2,TRIM(RIGHT(SUBSTITUTE(TRIM(C5802)," ",REPT(" ",255)),255))," ")</f>
        <v xml:space="preserve"> </v>
      </c>
      <c r="G5802" s="110">
        <f>COPY!Z5794</f>
        <v>0</v>
      </c>
      <c r="H5802" s="111" t="str">
        <f>IFERROR(VLOOKUP(Table1722[[#This Row],[Bukti]],'Un nOTA'!$A$4:$K$5003,10,FALSE),"")</f>
        <v/>
      </c>
      <c r="I5802" s="123" t="str">
        <f>IFERROR(VLOOKUP(Table1722[[#This Row],[Bukti]],Table13[#Data],11,FALSE),"")</f>
        <v/>
      </c>
    </row>
    <row r="5803" spans="1:9" hidden="1" x14ac:dyDescent="0.2">
      <c r="A5803" s="105" t="str">
        <f>IF(D5803=1,COUNTIF($D$10:D5803,1)," ")</f>
        <v xml:space="preserve"> </v>
      </c>
      <c r="B5803" s="106">
        <f>COPY!AR5795</f>
        <v>0</v>
      </c>
      <c r="C5803" s="107">
        <f>COPY!AC5795</f>
        <v>0</v>
      </c>
      <c r="D5803" s="107" t="str">
        <f>IF(LEN(Table1722[[#This Row],[Uraian]])&gt;2,1," ")</f>
        <v xml:space="preserve"> </v>
      </c>
      <c r="E5803" s="113" t="str">
        <f>IF(Table1722[[#This Row],[Lawan Transaksi]]="CV AGUNG KARYA",COUNTIF($I$10:I5803,"CV AGUNG KARYA")," ")</f>
        <v xml:space="preserve"> </v>
      </c>
      <c r="F5803" s="107" t="str">
        <f>IF(LEN(Table1722[[#This Row],[Uraian]])&gt;2,TRIM(RIGHT(SUBSTITUTE(TRIM(C5803)," ",REPT(" ",255)),255))," ")</f>
        <v xml:space="preserve"> </v>
      </c>
      <c r="G5803" s="110">
        <f>COPY!Z5795</f>
        <v>0</v>
      </c>
      <c r="H5803" s="111" t="str">
        <f>IFERROR(VLOOKUP(Table1722[[#This Row],[Bukti]],'Un nOTA'!$A$4:$K$5003,10,FALSE),"")</f>
        <v/>
      </c>
      <c r="I5803" s="123" t="str">
        <f>IFERROR(VLOOKUP(Table1722[[#This Row],[Bukti]],Table13[#Data],11,FALSE),"")</f>
        <v/>
      </c>
    </row>
    <row r="5804" spans="1:9" hidden="1" x14ac:dyDescent="0.2">
      <c r="A5804" s="105" t="str">
        <f>IF(D5804=1,COUNTIF($D$10:D5804,1)," ")</f>
        <v xml:space="preserve"> </v>
      </c>
      <c r="B5804" s="106">
        <f>COPY!AR5796</f>
        <v>0</v>
      </c>
      <c r="C5804" s="107">
        <f>COPY!AC5796</f>
        <v>0</v>
      </c>
      <c r="D5804" s="107" t="str">
        <f>IF(LEN(Table1722[[#This Row],[Uraian]])&gt;2,1," ")</f>
        <v xml:space="preserve"> </v>
      </c>
      <c r="E5804" s="113" t="str">
        <f>IF(Table1722[[#This Row],[Lawan Transaksi]]="CV AGUNG KARYA",COUNTIF($I$10:I5804,"CV AGUNG KARYA")," ")</f>
        <v xml:space="preserve"> </v>
      </c>
      <c r="F5804" s="107" t="str">
        <f>IF(LEN(Table1722[[#This Row],[Uraian]])&gt;2,TRIM(RIGHT(SUBSTITUTE(TRIM(C5804)," ",REPT(" ",255)),255))," ")</f>
        <v xml:space="preserve"> </v>
      </c>
      <c r="G5804" s="110">
        <f>COPY!Z5796</f>
        <v>0</v>
      </c>
      <c r="H5804" s="111" t="str">
        <f>IFERROR(VLOOKUP(Table1722[[#This Row],[Bukti]],'Un nOTA'!$A$4:$K$5003,10,FALSE),"")</f>
        <v/>
      </c>
      <c r="I5804" s="123" t="str">
        <f>IFERROR(VLOOKUP(Table1722[[#This Row],[Bukti]],Table13[#Data],11,FALSE),"")</f>
        <v/>
      </c>
    </row>
    <row r="5805" spans="1:9" hidden="1" x14ac:dyDescent="0.2">
      <c r="A5805" s="105" t="str">
        <f>IF(D5805=1,COUNTIF($D$10:D5805,1)," ")</f>
        <v xml:space="preserve"> </v>
      </c>
      <c r="B5805" s="106">
        <f>COPY!AR5797</f>
        <v>0</v>
      </c>
      <c r="C5805" s="107">
        <f>COPY!AC5797</f>
        <v>0</v>
      </c>
      <c r="D5805" s="107" t="str">
        <f>IF(LEN(Table1722[[#This Row],[Uraian]])&gt;2,1," ")</f>
        <v xml:space="preserve"> </v>
      </c>
      <c r="E5805" s="113" t="str">
        <f>IF(Table1722[[#This Row],[Lawan Transaksi]]="CV AGUNG KARYA",COUNTIF($I$10:I5805,"CV AGUNG KARYA")," ")</f>
        <v xml:space="preserve"> </v>
      </c>
      <c r="F5805" s="107" t="str">
        <f>IF(LEN(Table1722[[#This Row],[Uraian]])&gt;2,TRIM(RIGHT(SUBSTITUTE(TRIM(C5805)," ",REPT(" ",255)),255))," ")</f>
        <v xml:space="preserve"> </v>
      </c>
      <c r="G5805" s="110">
        <f>COPY!Z5797</f>
        <v>0</v>
      </c>
      <c r="H5805" s="111" t="str">
        <f>IFERROR(VLOOKUP(Table1722[[#This Row],[Bukti]],'Un nOTA'!$A$4:$K$5003,10,FALSE),"")</f>
        <v/>
      </c>
      <c r="I5805" s="123" t="str">
        <f>IFERROR(VLOOKUP(Table1722[[#This Row],[Bukti]],Table13[#Data],11,FALSE),"")</f>
        <v/>
      </c>
    </row>
    <row r="5806" spans="1:9" hidden="1" x14ac:dyDescent="0.2">
      <c r="A5806" s="105" t="str">
        <f>IF(D5806=1,COUNTIF($D$10:D5806,1)," ")</f>
        <v xml:space="preserve"> </v>
      </c>
      <c r="B5806" s="106">
        <f>COPY!AR5798</f>
        <v>0</v>
      </c>
      <c r="C5806" s="107">
        <f>COPY!AC5798</f>
        <v>0</v>
      </c>
      <c r="D5806" s="107" t="str">
        <f>IF(LEN(Table1722[[#This Row],[Uraian]])&gt;2,1," ")</f>
        <v xml:space="preserve"> </v>
      </c>
      <c r="E5806" s="113" t="str">
        <f>IF(Table1722[[#This Row],[Lawan Transaksi]]="CV AGUNG KARYA",COUNTIF($I$10:I5806,"CV AGUNG KARYA")," ")</f>
        <v xml:space="preserve"> </v>
      </c>
      <c r="F5806" s="107" t="str">
        <f>IF(LEN(Table1722[[#This Row],[Uraian]])&gt;2,TRIM(RIGHT(SUBSTITUTE(TRIM(C5806)," ",REPT(" ",255)),255))," ")</f>
        <v xml:space="preserve"> </v>
      </c>
      <c r="G5806" s="110">
        <f>COPY!Z5798</f>
        <v>0</v>
      </c>
      <c r="H5806" s="111" t="str">
        <f>IFERROR(VLOOKUP(Table1722[[#This Row],[Bukti]],'Un nOTA'!$A$4:$K$5003,10,FALSE),"")</f>
        <v/>
      </c>
      <c r="I5806" s="123" t="str">
        <f>IFERROR(VLOOKUP(Table1722[[#This Row],[Bukti]],Table13[#Data],11,FALSE),"")</f>
        <v/>
      </c>
    </row>
    <row r="5807" spans="1:9" hidden="1" x14ac:dyDescent="0.2">
      <c r="A5807" s="105" t="str">
        <f>IF(D5807=1,COUNTIF($D$10:D5807,1)," ")</f>
        <v xml:space="preserve"> </v>
      </c>
      <c r="B5807" s="106">
        <f>COPY!AR5799</f>
        <v>0</v>
      </c>
      <c r="C5807" s="107">
        <f>COPY!AC5799</f>
        <v>0</v>
      </c>
      <c r="D5807" s="107" t="str">
        <f>IF(LEN(Table1722[[#This Row],[Uraian]])&gt;2,1," ")</f>
        <v xml:space="preserve"> </v>
      </c>
      <c r="E5807" s="113" t="str">
        <f>IF(Table1722[[#This Row],[Lawan Transaksi]]="CV AGUNG KARYA",COUNTIF($I$10:I5807,"CV AGUNG KARYA")," ")</f>
        <v xml:space="preserve"> </v>
      </c>
      <c r="F5807" s="107" t="str">
        <f>IF(LEN(Table1722[[#This Row],[Uraian]])&gt;2,TRIM(RIGHT(SUBSTITUTE(TRIM(C5807)," ",REPT(" ",255)),255))," ")</f>
        <v xml:space="preserve"> </v>
      </c>
      <c r="G5807" s="110">
        <f>COPY!Z5799</f>
        <v>0</v>
      </c>
      <c r="H5807" s="111" t="str">
        <f>IFERROR(VLOOKUP(Table1722[[#This Row],[Bukti]],'Un nOTA'!$A$4:$K$5003,10,FALSE),"")</f>
        <v/>
      </c>
      <c r="I5807" s="123" t="str">
        <f>IFERROR(VLOOKUP(Table1722[[#This Row],[Bukti]],Table13[#Data],11,FALSE),"")</f>
        <v/>
      </c>
    </row>
    <row r="5808" spans="1:9" hidden="1" x14ac:dyDescent="0.2">
      <c r="A5808" s="105" t="str">
        <f>IF(D5808=1,COUNTIF($D$10:D5808,1)," ")</f>
        <v xml:space="preserve"> </v>
      </c>
      <c r="B5808" s="106">
        <f>COPY!AR5800</f>
        <v>0</v>
      </c>
      <c r="C5808" s="107">
        <f>COPY!AC5800</f>
        <v>0</v>
      </c>
      <c r="D5808" s="107" t="str">
        <f>IF(LEN(Table1722[[#This Row],[Uraian]])&gt;2,1," ")</f>
        <v xml:space="preserve"> </v>
      </c>
      <c r="E5808" s="113" t="str">
        <f>IF(Table1722[[#This Row],[Lawan Transaksi]]="CV AGUNG KARYA",COUNTIF($I$10:I5808,"CV AGUNG KARYA")," ")</f>
        <v xml:space="preserve"> </v>
      </c>
      <c r="F5808" s="107" t="str">
        <f>IF(LEN(Table1722[[#This Row],[Uraian]])&gt;2,TRIM(RIGHT(SUBSTITUTE(TRIM(C5808)," ",REPT(" ",255)),255))," ")</f>
        <v xml:space="preserve"> </v>
      </c>
      <c r="G5808" s="110">
        <f>COPY!Z5800</f>
        <v>0</v>
      </c>
      <c r="H5808" s="111" t="str">
        <f>IFERROR(VLOOKUP(Table1722[[#This Row],[Bukti]],'Un nOTA'!$A$4:$K$5003,10,FALSE),"")</f>
        <v/>
      </c>
      <c r="I5808" s="123" t="str">
        <f>IFERROR(VLOOKUP(Table1722[[#This Row],[Bukti]],Table13[#Data],11,FALSE),"")</f>
        <v/>
      </c>
    </row>
    <row r="5809" spans="1:9" hidden="1" x14ac:dyDescent="0.2">
      <c r="A5809" s="105" t="str">
        <f>IF(D5809=1,COUNTIF($D$10:D5809,1)," ")</f>
        <v xml:space="preserve"> </v>
      </c>
      <c r="B5809" s="106">
        <f>COPY!AR5801</f>
        <v>0</v>
      </c>
      <c r="C5809" s="107">
        <f>COPY!AC5801</f>
        <v>0</v>
      </c>
      <c r="D5809" s="107" t="str">
        <f>IF(LEN(Table1722[[#This Row],[Uraian]])&gt;2,1," ")</f>
        <v xml:space="preserve"> </v>
      </c>
      <c r="E5809" s="113" t="str">
        <f>IF(Table1722[[#This Row],[Lawan Transaksi]]="CV AGUNG KARYA",COUNTIF($I$10:I5809,"CV AGUNG KARYA")," ")</f>
        <v xml:space="preserve"> </v>
      </c>
      <c r="F5809" s="107" t="str">
        <f>IF(LEN(Table1722[[#This Row],[Uraian]])&gt;2,TRIM(RIGHT(SUBSTITUTE(TRIM(C5809)," ",REPT(" ",255)),255))," ")</f>
        <v xml:space="preserve"> </v>
      </c>
      <c r="G5809" s="110">
        <f>COPY!Z5801</f>
        <v>0</v>
      </c>
      <c r="H5809" s="111" t="str">
        <f>IFERROR(VLOOKUP(Table1722[[#This Row],[Bukti]],'Un nOTA'!$A$4:$K$5003,10,FALSE),"")</f>
        <v/>
      </c>
      <c r="I5809" s="123" t="str">
        <f>IFERROR(VLOOKUP(Table1722[[#This Row],[Bukti]],Table13[#Data],11,FALSE),"")</f>
        <v/>
      </c>
    </row>
    <row r="5810" spans="1:9" hidden="1" x14ac:dyDescent="0.2">
      <c r="A5810" s="105" t="str">
        <f>IF(D5810=1,COUNTIF($D$10:D5810,1)," ")</f>
        <v xml:space="preserve"> </v>
      </c>
      <c r="B5810" s="106">
        <f>COPY!AR5802</f>
        <v>0</v>
      </c>
      <c r="C5810" s="107">
        <f>COPY!AC5802</f>
        <v>0</v>
      </c>
      <c r="D5810" s="107" t="str">
        <f>IF(LEN(Table1722[[#This Row],[Uraian]])&gt;2,1," ")</f>
        <v xml:space="preserve"> </v>
      </c>
      <c r="E5810" s="113" t="str">
        <f>IF(Table1722[[#This Row],[Lawan Transaksi]]="CV AGUNG KARYA",COUNTIF($I$10:I5810,"CV AGUNG KARYA")," ")</f>
        <v xml:space="preserve"> </v>
      </c>
      <c r="F5810" s="107" t="str">
        <f>IF(LEN(Table1722[[#This Row],[Uraian]])&gt;2,TRIM(RIGHT(SUBSTITUTE(TRIM(C5810)," ",REPT(" ",255)),255))," ")</f>
        <v xml:space="preserve"> </v>
      </c>
      <c r="G5810" s="110">
        <f>COPY!Z5802</f>
        <v>0</v>
      </c>
      <c r="H5810" s="111" t="str">
        <f>IFERROR(VLOOKUP(Table1722[[#This Row],[Bukti]],'Un nOTA'!$A$4:$K$5003,10,FALSE),"")</f>
        <v/>
      </c>
      <c r="I5810" s="123" t="str">
        <f>IFERROR(VLOOKUP(Table1722[[#This Row],[Bukti]],Table13[#Data],11,FALSE),"")</f>
        <v/>
      </c>
    </row>
    <row r="5811" spans="1:9" hidden="1" x14ac:dyDescent="0.2">
      <c r="A5811" s="105" t="str">
        <f>IF(D5811=1,COUNTIF($D$10:D5811,1)," ")</f>
        <v xml:space="preserve"> </v>
      </c>
      <c r="B5811" s="106">
        <f>COPY!AR5803</f>
        <v>0</v>
      </c>
      <c r="C5811" s="107">
        <f>COPY!AC5803</f>
        <v>0</v>
      </c>
      <c r="D5811" s="107" t="str">
        <f>IF(LEN(Table1722[[#This Row],[Uraian]])&gt;2,1," ")</f>
        <v xml:space="preserve"> </v>
      </c>
      <c r="E5811" s="113" t="str">
        <f>IF(Table1722[[#This Row],[Lawan Transaksi]]="CV AGUNG KARYA",COUNTIF($I$10:I5811,"CV AGUNG KARYA")," ")</f>
        <v xml:space="preserve"> </v>
      </c>
      <c r="F5811" s="107" t="str">
        <f>IF(LEN(Table1722[[#This Row],[Uraian]])&gt;2,TRIM(RIGHT(SUBSTITUTE(TRIM(C5811)," ",REPT(" ",255)),255))," ")</f>
        <v xml:space="preserve"> </v>
      </c>
      <c r="G5811" s="110">
        <f>COPY!Z5803</f>
        <v>0</v>
      </c>
      <c r="H5811" s="111" t="str">
        <f>IFERROR(VLOOKUP(Table1722[[#This Row],[Bukti]],'Un nOTA'!$A$4:$K$5003,10,FALSE),"")</f>
        <v/>
      </c>
      <c r="I5811" s="123" t="str">
        <f>IFERROR(VLOOKUP(Table1722[[#This Row],[Bukti]],Table13[#Data],11,FALSE),"")</f>
        <v/>
      </c>
    </row>
    <row r="5812" spans="1:9" hidden="1" x14ac:dyDescent="0.2">
      <c r="A5812" s="105" t="str">
        <f>IF(D5812=1,COUNTIF($D$10:D5812,1)," ")</f>
        <v xml:space="preserve"> </v>
      </c>
      <c r="B5812" s="106">
        <f>COPY!AR5804</f>
        <v>0</v>
      </c>
      <c r="C5812" s="107">
        <f>COPY!AC5804</f>
        <v>0</v>
      </c>
      <c r="D5812" s="107" t="str">
        <f>IF(LEN(Table1722[[#This Row],[Uraian]])&gt;2,1," ")</f>
        <v xml:space="preserve"> </v>
      </c>
      <c r="E5812" s="113" t="str">
        <f>IF(Table1722[[#This Row],[Lawan Transaksi]]="CV AGUNG KARYA",COUNTIF($I$10:I5812,"CV AGUNG KARYA")," ")</f>
        <v xml:space="preserve"> </v>
      </c>
      <c r="F5812" s="107" t="str">
        <f>IF(LEN(Table1722[[#This Row],[Uraian]])&gt;2,TRIM(RIGHT(SUBSTITUTE(TRIM(C5812)," ",REPT(" ",255)),255))," ")</f>
        <v xml:space="preserve"> </v>
      </c>
      <c r="G5812" s="110">
        <f>COPY!Z5804</f>
        <v>0</v>
      </c>
      <c r="H5812" s="111" t="str">
        <f>IFERROR(VLOOKUP(Table1722[[#This Row],[Bukti]],'Un nOTA'!$A$4:$K$5003,10,FALSE),"")</f>
        <v/>
      </c>
      <c r="I5812" s="123" t="str">
        <f>IFERROR(VLOOKUP(Table1722[[#This Row],[Bukti]],Table13[#Data],11,FALSE),"")</f>
        <v/>
      </c>
    </row>
    <row r="5813" spans="1:9" hidden="1" x14ac:dyDescent="0.2">
      <c r="A5813" s="105" t="str">
        <f>IF(D5813=1,COUNTIF($D$10:D5813,1)," ")</f>
        <v xml:space="preserve"> </v>
      </c>
      <c r="B5813" s="106">
        <f>COPY!AR5805</f>
        <v>0</v>
      </c>
      <c r="C5813" s="107">
        <f>COPY!AC5805</f>
        <v>0</v>
      </c>
      <c r="D5813" s="107" t="str">
        <f>IF(LEN(Table1722[[#This Row],[Uraian]])&gt;2,1," ")</f>
        <v xml:space="preserve"> </v>
      </c>
      <c r="E5813" s="113" t="str">
        <f>IF(Table1722[[#This Row],[Lawan Transaksi]]="CV AGUNG KARYA",COUNTIF($I$10:I5813,"CV AGUNG KARYA")," ")</f>
        <v xml:space="preserve"> </v>
      </c>
      <c r="F5813" s="107" t="str">
        <f>IF(LEN(Table1722[[#This Row],[Uraian]])&gt;2,TRIM(RIGHT(SUBSTITUTE(TRIM(C5813)," ",REPT(" ",255)),255))," ")</f>
        <v xml:space="preserve"> </v>
      </c>
      <c r="G5813" s="110">
        <f>COPY!Z5805</f>
        <v>0</v>
      </c>
      <c r="H5813" s="111" t="str">
        <f>IFERROR(VLOOKUP(Table1722[[#This Row],[Bukti]],'Un nOTA'!$A$4:$K$5003,10,FALSE),"")</f>
        <v/>
      </c>
      <c r="I5813" s="123" t="str">
        <f>IFERROR(VLOOKUP(Table1722[[#This Row],[Bukti]],Table13[#Data],11,FALSE),"")</f>
        <v/>
      </c>
    </row>
    <row r="5814" spans="1:9" hidden="1" x14ac:dyDescent="0.2">
      <c r="A5814" s="105" t="str">
        <f>IF(D5814=1,COUNTIF($D$10:D5814,1)," ")</f>
        <v xml:space="preserve"> </v>
      </c>
      <c r="B5814" s="106">
        <f>COPY!AR5806</f>
        <v>0</v>
      </c>
      <c r="C5814" s="107">
        <f>COPY!AC5806</f>
        <v>0</v>
      </c>
      <c r="D5814" s="107" t="str">
        <f>IF(LEN(Table1722[[#This Row],[Uraian]])&gt;2,1," ")</f>
        <v xml:space="preserve"> </v>
      </c>
      <c r="E5814" s="113" t="str">
        <f>IF(Table1722[[#This Row],[Lawan Transaksi]]="CV AGUNG KARYA",COUNTIF($I$10:I5814,"CV AGUNG KARYA")," ")</f>
        <v xml:space="preserve"> </v>
      </c>
      <c r="F5814" s="107" t="str">
        <f>IF(LEN(Table1722[[#This Row],[Uraian]])&gt;2,TRIM(RIGHT(SUBSTITUTE(TRIM(C5814)," ",REPT(" ",255)),255))," ")</f>
        <v xml:space="preserve"> </v>
      </c>
      <c r="G5814" s="110">
        <f>COPY!Z5806</f>
        <v>0</v>
      </c>
      <c r="H5814" s="111" t="str">
        <f>IFERROR(VLOOKUP(Table1722[[#This Row],[Bukti]],'Un nOTA'!$A$4:$K$5003,10,FALSE),"")</f>
        <v/>
      </c>
      <c r="I5814" s="123" t="str">
        <f>IFERROR(VLOOKUP(Table1722[[#This Row],[Bukti]],Table13[#Data],11,FALSE),"")</f>
        <v/>
      </c>
    </row>
    <row r="5815" spans="1:9" hidden="1" x14ac:dyDescent="0.2">
      <c r="A5815" s="105" t="str">
        <f>IF(D5815=1,COUNTIF($D$10:D5815,1)," ")</f>
        <v xml:space="preserve"> </v>
      </c>
      <c r="B5815" s="106">
        <f>COPY!AR5807</f>
        <v>0</v>
      </c>
      <c r="C5815" s="107">
        <f>COPY!AC5807</f>
        <v>0</v>
      </c>
      <c r="D5815" s="107" t="str">
        <f>IF(LEN(Table1722[[#This Row],[Uraian]])&gt;2,1," ")</f>
        <v xml:space="preserve"> </v>
      </c>
      <c r="E5815" s="113" t="str">
        <f>IF(Table1722[[#This Row],[Lawan Transaksi]]="CV AGUNG KARYA",COUNTIF($I$10:I5815,"CV AGUNG KARYA")," ")</f>
        <v xml:space="preserve"> </v>
      </c>
      <c r="F5815" s="107" t="str">
        <f>IF(LEN(Table1722[[#This Row],[Uraian]])&gt;2,TRIM(RIGHT(SUBSTITUTE(TRIM(C5815)," ",REPT(" ",255)),255))," ")</f>
        <v xml:space="preserve"> </v>
      </c>
      <c r="G5815" s="110">
        <f>COPY!Z5807</f>
        <v>0</v>
      </c>
      <c r="H5815" s="111" t="str">
        <f>IFERROR(VLOOKUP(Table1722[[#This Row],[Bukti]],'Un nOTA'!$A$4:$K$5003,10,FALSE),"")</f>
        <v/>
      </c>
      <c r="I5815" s="123" t="str">
        <f>IFERROR(VLOOKUP(Table1722[[#This Row],[Bukti]],Table13[#Data],11,FALSE),"")</f>
        <v/>
      </c>
    </row>
    <row r="5816" spans="1:9" hidden="1" x14ac:dyDescent="0.2">
      <c r="A5816" s="105" t="str">
        <f>IF(D5816=1,COUNTIF($D$10:D5816,1)," ")</f>
        <v xml:space="preserve"> </v>
      </c>
      <c r="B5816" s="106">
        <f>COPY!AR5808</f>
        <v>0</v>
      </c>
      <c r="C5816" s="107">
        <f>COPY!AC5808</f>
        <v>0</v>
      </c>
      <c r="D5816" s="107" t="str">
        <f>IF(LEN(Table1722[[#This Row],[Uraian]])&gt;2,1," ")</f>
        <v xml:space="preserve"> </v>
      </c>
      <c r="E5816" s="113" t="str">
        <f>IF(Table1722[[#This Row],[Lawan Transaksi]]="CV AGUNG KARYA",COUNTIF($I$10:I5816,"CV AGUNG KARYA")," ")</f>
        <v xml:space="preserve"> </v>
      </c>
      <c r="F5816" s="107" t="str">
        <f>IF(LEN(Table1722[[#This Row],[Uraian]])&gt;2,TRIM(RIGHT(SUBSTITUTE(TRIM(C5816)," ",REPT(" ",255)),255))," ")</f>
        <v xml:space="preserve"> </v>
      </c>
      <c r="G5816" s="110">
        <f>COPY!Z5808</f>
        <v>0</v>
      </c>
      <c r="H5816" s="111" t="str">
        <f>IFERROR(VLOOKUP(Table1722[[#This Row],[Bukti]],'Un nOTA'!$A$4:$K$5003,10,FALSE),"")</f>
        <v/>
      </c>
      <c r="I5816" s="123" t="str">
        <f>IFERROR(VLOOKUP(Table1722[[#This Row],[Bukti]],Table13[#Data],11,FALSE),"")</f>
        <v/>
      </c>
    </row>
    <row r="5817" spans="1:9" hidden="1" x14ac:dyDescent="0.2">
      <c r="A5817" s="105" t="str">
        <f>IF(D5817=1,COUNTIF($D$10:D5817,1)," ")</f>
        <v xml:space="preserve"> </v>
      </c>
      <c r="B5817" s="106">
        <f>COPY!AR5809</f>
        <v>0</v>
      </c>
      <c r="C5817" s="107">
        <f>COPY!AC5809</f>
        <v>0</v>
      </c>
      <c r="D5817" s="107" t="str">
        <f>IF(LEN(Table1722[[#This Row],[Uraian]])&gt;2,1," ")</f>
        <v xml:space="preserve"> </v>
      </c>
      <c r="E5817" s="113" t="str">
        <f>IF(Table1722[[#This Row],[Lawan Transaksi]]="CV AGUNG KARYA",COUNTIF($I$10:I5817,"CV AGUNG KARYA")," ")</f>
        <v xml:space="preserve"> </v>
      </c>
      <c r="F5817" s="107" t="str">
        <f>IF(LEN(Table1722[[#This Row],[Uraian]])&gt;2,TRIM(RIGHT(SUBSTITUTE(TRIM(C5817)," ",REPT(" ",255)),255))," ")</f>
        <v xml:space="preserve"> </v>
      </c>
      <c r="G5817" s="110">
        <f>COPY!Z5809</f>
        <v>0</v>
      </c>
      <c r="H5817" s="111" t="str">
        <f>IFERROR(VLOOKUP(Table1722[[#This Row],[Bukti]],'Un nOTA'!$A$4:$K$5003,10,FALSE),"")</f>
        <v/>
      </c>
      <c r="I5817" s="123" t="str">
        <f>IFERROR(VLOOKUP(Table1722[[#This Row],[Bukti]],Table13[#Data],11,FALSE),"")</f>
        <v/>
      </c>
    </row>
    <row r="5818" spans="1:9" hidden="1" x14ac:dyDescent="0.2">
      <c r="A5818" s="105" t="str">
        <f>IF(D5818=1,COUNTIF($D$10:D5818,1)," ")</f>
        <v xml:space="preserve"> </v>
      </c>
      <c r="B5818" s="106">
        <f>COPY!AR5810</f>
        <v>0</v>
      </c>
      <c r="C5818" s="107">
        <f>COPY!AC5810</f>
        <v>0</v>
      </c>
      <c r="D5818" s="107" t="str">
        <f>IF(LEN(Table1722[[#This Row],[Uraian]])&gt;2,1," ")</f>
        <v xml:space="preserve"> </v>
      </c>
      <c r="E5818" s="113" t="str">
        <f>IF(Table1722[[#This Row],[Lawan Transaksi]]="CV AGUNG KARYA",COUNTIF($I$10:I5818,"CV AGUNG KARYA")," ")</f>
        <v xml:space="preserve"> </v>
      </c>
      <c r="F5818" s="107" t="str">
        <f>IF(LEN(Table1722[[#This Row],[Uraian]])&gt;2,TRIM(RIGHT(SUBSTITUTE(TRIM(C5818)," ",REPT(" ",255)),255))," ")</f>
        <v xml:space="preserve"> </v>
      </c>
      <c r="G5818" s="110">
        <f>COPY!Z5810</f>
        <v>0</v>
      </c>
      <c r="H5818" s="111" t="str">
        <f>IFERROR(VLOOKUP(Table1722[[#This Row],[Bukti]],'Un nOTA'!$A$4:$K$5003,10,FALSE),"")</f>
        <v/>
      </c>
      <c r="I5818" s="123" t="str">
        <f>IFERROR(VLOOKUP(Table1722[[#This Row],[Bukti]],Table13[#Data],11,FALSE),"")</f>
        <v/>
      </c>
    </row>
    <row r="5819" spans="1:9" hidden="1" x14ac:dyDescent="0.2">
      <c r="A5819" s="105" t="str">
        <f>IF(D5819=1,COUNTIF($D$10:D5819,1)," ")</f>
        <v xml:space="preserve"> </v>
      </c>
      <c r="B5819" s="106">
        <f>COPY!AR5811</f>
        <v>0</v>
      </c>
      <c r="C5819" s="107">
        <f>COPY!AC5811</f>
        <v>0</v>
      </c>
      <c r="D5819" s="107" t="str">
        <f>IF(LEN(Table1722[[#This Row],[Uraian]])&gt;2,1," ")</f>
        <v xml:space="preserve"> </v>
      </c>
      <c r="E5819" s="113" t="str">
        <f>IF(Table1722[[#This Row],[Lawan Transaksi]]="CV AGUNG KARYA",COUNTIF($I$10:I5819,"CV AGUNG KARYA")," ")</f>
        <v xml:space="preserve"> </v>
      </c>
      <c r="F5819" s="107" t="str">
        <f>IF(LEN(Table1722[[#This Row],[Uraian]])&gt;2,TRIM(RIGHT(SUBSTITUTE(TRIM(C5819)," ",REPT(" ",255)),255))," ")</f>
        <v xml:space="preserve"> </v>
      </c>
      <c r="G5819" s="110">
        <f>COPY!Z5811</f>
        <v>0</v>
      </c>
      <c r="H5819" s="111" t="str">
        <f>IFERROR(VLOOKUP(Table1722[[#This Row],[Bukti]],'Un nOTA'!$A$4:$K$5003,10,FALSE),"")</f>
        <v/>
      </c>
      <c r="I5819" s="123" t="str">
        <f>IFERROR(VLOOKUP(Table1722[[#This Row],[Bukti]],Table13[#Data],11,FALSE),"")</f>
        <v/>
      </c>
    </row>
    <row r="5820" spans="1:9" hidden="1" x14ac:dyDescent="0.2">
      <c r="A5820" s="105" t="str">
        <f>IF(D5820=1,COUNTIF($D$10:D5820,1)," ")</f>
        <v xml:space="preserve"> </v>
      </c>
      <c r="B5820" s="106">
        <f>COPY!AR5812</f>
        <v>0</v>
      </c>
      <c r="C5820" s="107">
        <f>COPY!AC5812</f>
        <v>0</v>
      </c>
      <c r="D5820" s="107" t="str">
        <f>IF(LEN(Table1722[[#This Row],[Uraian]])&gt;2,1," ")</f>
        <v xml:space="preserve"> </v>
      </c>
      <c r="E5820" s="113" t="str">
        <f>IF(Table1722[[#This Row],[Lawan Transaksi]]="CV AGUNG KARYA",COUNTIF($I$10:I5820,"CV AGUNG KARYA")," ")</f>
        <v xml:space="preserve"> </v>
      </c>
      <c r="F5820" s="107" t="str">
        <f>IF(LEN(Table1722[[#This Row],[Uraian]])&gt;2,TRIM(RIGHT(SUBSTITUTE(TRIM(C5820)," ",REPT(" ",255)),255))," ")</f>
        <v xml:space="preserve"> </v>
      </c>
      <c r="G5820" s="110">
        <f>COPY!Z5812</f>
        <v>0</v>
      </c>
      <c r="H5820" s="111" t="str">
        <f>IFERROR(VLOOKUP(Table1722[[#This Row],[Bukti]],'Un nOTA'!$A$4:$K$5003,10,FALSE),"")</f>
        <v/>
      </c>
      <c r="I5820" s="123" t="str">
        <f>IFERROR(VLOOKUP(Table1722[[#This Row],[Bukti]],Table13[#Data],11,FALSE),"")</f>
        <v/>
      </c>
    </row>
    <row r="5821" spans="1:9" hidden="1" x14ac:dyDescent="0.2">
      <c r="A5821" s="105" t="str">
        <f>IF(D5821=1,COUNTIF($D$10:D5821,1)," ")</f>
        <v xml:space="preserve"> </v>
      </c>
      <c r="B5821" s="106">
        <f>COPY!AR5813</f>
        <v>0</v>
      </c>
      <c r="C5821" s="107">
        <f>COPY!AC5813</f>
        <v>0</v>
      </c>
      <c r="D5821" s="107" t="str">
        <f>IF(LEN(Table1722[[#This Row],[Uraian]])&gt;2,1," ")</f>
        <v xml:space="preserve"> </v>
      </c>
      <c r="E5821" s="113" t="str">
        <f>IF(Table1722[[#This Row],[Lawan Transaksi]]="CV AGUNG KARYA",COUNTIF($I$10:I5821,"CV AGUNG KARYA")," ")</f>
        <v xml:space="preserve"> </v>
      </c>
      <c r="F5821" s="107" t="str">
        <f>IF(LEN(Table1722[[#This Row],[Uraian]])&gt;2,TRIM(RIGHT(SUBSTITUTE(TRIM(C5821)," ",REPT(" ",255)),255))," ")</f>
        <v xml:space="preserve"> </v>
      </c>
      <c r="G5821" s="110">
        <f>COPY!Z5813</f>
        <v>0</v>
      </c>
      <c r="H5821" s="111" t="str">
        <f>IFERROR(VLOOKUP(Table1722[[#This Row],[Bukti]],'Un nOTA'!$A$4:$K$5003,10,FALSE),"")</f>
        <v/>
      </c>
      <c r="I5821" s="123" t="str">
        <f>IFERROR(VLOOKUP(Table1722[[#This Row],[Bukti]],Table13[#Data],11,FALSE),"")</f>
        <v/>
      </c>
    </row>
    <row r="5822" spans="1:9" hidden="1" x14ac:dyDescent="0.2">
      <c r="A5822" s="105" t="str">
        <f>IF(D5822=1,COUNTIF($D$10:D5822,1)," ")</f>
        <v xml:space="preserve"> </v>
      </c>
      <c r="B5822" s="106">
        <f>COPY!AR5814</f>
        <v>0</v>
      </c>
      <c r="C5822" s="107">
        <f>COPY!AC5814</f>
        <v>0</v>
      </c>
      <c r="D5822" s="107" t="str">
        <f>IF(LEN(Table1722[[#This Row],[Uraian]])&gt;2,1," ")</f>
        <v xml:space="preserve"> </v>
      </c>
      <c r="E5822" s="113" t="str">
        <f>IF(Table1722[[#This Row],[Lawan Transaksi]]="CV AGUNG KARYA",COUNTIF($I$10:I5822,"CV AGUNG KARYA")," ")</f>
        <v xml:space="preserve"> </v>
      </c>
      <c r="F5822" s="107" t="str">
        <f>IF(LEN(Table1722[[#This Row],[Uraian]])&gt;2,TRIM(RIGHT(SUBSTITUTE(TRIM(C5822)," ",REPT(" ",255)),255))," ")</f>
        <v xml:space="preserve"> </v>
      </c>
      <c r="G5822" s="110">
        <f>COPY!Z5814</f>
        <v>0</v>
      </c>
      <c r="H5822" s="111" t="str">
        <f>IFERROR(VLOOKUP(Table1722[[#This Row],[Bukti]],'Un nOTA'!$A$4:$K$5003,10,FALSE),"")</f>
        <v/>
      </c>
      <c r="I5822" s="123" t="str">
        <f>IFERROR(VLOOKUP(Table1722[[#This Row],[Bukti]],Table13[#Data],11,FALSE),"")</f>
        <v/>
      </c>
    </row>
    <row r="5823" spans="1:9" hidden="1" x14ac:dyDescent="0.2">
      <c r="A5823" s="105" t="str">
        <f>IF(D5823=1,COUNTIF($D$10:D5823,1)," ")</f>
        <v xml:space="preserve"> </v>
      </c>
      <c r="B5823" s="106">
        <f>COPY!AR5815</f>
        <v>0</v>
      </c>
      <c r="C5823" s="107">
        <f>COPY!AC5815</f>
        <v>0</v>
      </c>
      <c r="D5823" s="107" t="str">
        <f>IF(LEN(Table1722[[#This Row],[Uraian]])&gt;2,1," ")</f>
        <v xml:space="preserve"> </v>
      </c>
      <c r="E5823" s="113" t="str">
        <f>IF(Table1722[[#This Row],[Lawan Transaksi]]="CV AGUNG KARYA",COUNTIF($I$10:I5823,"CV AGUNG KARYA")," ")</f>
        <v xml:space="preserve"> </v>
      </c>
      <c r="F5823" s="107" t="str">
        <f>IF(LEN(Table1722[[#This Row],[Uraian]])&gt;2,TRIM(RIGHT(SUBSTITUTE(TRIM(C5823)," ",REPT(" ",255)),255))," ")</f>
        <v xml:space="preserve"> </v>
      </c>
      <c r="G5823" s="110">
        <f>COPY!Z5815</f>
        <v>0</v>
      </c>
      <c r="H5823" s="111" t="str">
        <f>IFERROR(VLOOKUP(Table1722[[#This Row],[Bukti]],'Un nOTA'!$A$4:$K$5003,10,FALSE),"")</f>
        <v/>
      </c>
      <c r="I5823" s="123" t="str">
        <f>IFERROR(VLOOKUP(Table1722[[#This Row],[Bukti]],Table13[#Data],11,FALSE),"")</f>
        <v/>
      </c>
    </row>
    <row r="5824" spans="1:9" hidden="1" x14ac:dyDescent="0.2">
      <c r="A5824" s="105" t="str">
        <f>IF(D5824=1,COUNTIF($D$10:D5824,1)," ")</f>
        <v xml:space="preserve"> </v>
      </c>
      <c r="B5824" s="106">
        <f>COPY!AR5816</f>
        <v>0</v>
      </c>
      <c r="C5824" s="107">
        <f>COPY!AC5816</f>
        <v>0</v>
      </c>
      <c r="D5824" s="107" t="str">
        <f>IF(LEN(Table1722[[#This Row],[Uraian]])&gt;2,1," ")</f>
        <v xml:space="preserve"> </v>
      </c>
      <c r="E5824" s="113" t="str">
        <f>IF(Table1722[[#This Row],[Lawan Transaksi]]="CV AGUNG KARYA",COUNTIF($I$10:I5824,"CV AGUNG KARYA")," ")</f>
        <v xml:space="preserve"> </v>
      </c>
      <c r="F5824" s="107" t="str">
        <f>IF(LEN(Table1722[[#This Row],[Uraian]])&gt;2,TRIM(RIGHT(SUBSTITUTE(TRIM(C5824)," ",REPT(" ",255)),255))," ")</f>
        <v xml:space="preserve"> </v>
      </c>
      <c r="G5824" s="110">
        <f>COPY!Z5816</f>
        <v>0</v>
      </c>
      <c r="H5824" s="111" t="str">
        <f>IFERROR(VLOOKUP(Table1722[[#This Row],[Bukti]],'Un nOTA'!$A$4:$K$5003,10,FALSE),"")</f>
        <v/>
      </c>
      <c r="I5824" s="123" t="str">
        <f>IFERROR(VLOOKUP(Table1722[[#This Row],[Bukti]],Table13[#Data],11,FALSE),"")</f>
        <v/>
      </c>
    </row>
    <row r="5825" spans="1:9" hidden="1" x14ac:dyDescent="0.2">
      <c r="A5825" s="105" t="str">
        <f>IF(D5825=1,COUNTIF($D$10:D5825,1)," ")</f>
        <v xml:space="preserve"> </v>
      </c>
      <c r="B5825" s="106">
        <f>COPY!AR5817</f>
        <v>0</v>
      </c>
      <c r="C5825" s="107">
        <f>COPY!AC5817</f>
        <v>0</v>
      </c>
      <c r="D5825" s="107" t="str">
        <f>IF(LEN(Table1722[[#This Row],[Uraian]])&gt;2,1," ")</f>
        <v xml:space="preserve"> </v>
      </c>
      <c r="E5825" s="113" t="str">
        <f>IF(Table1722[[#This Row],[Lawan Transaksi]]="CV AGUNG KARYA",COUNTIF($I$10:I5825,"CV AGUNG KARYA")," ")</f>
        <v xml:space="preserve"> </v>
      </c>
      <c r="F5825" s="107" t="str">
        <f>IF(LEN(Table1722[[#This Row],[Uraian]])&gt;2,TRIM(RIGHT(SUBSTITUTE(TRIM(C5825)," ",REPT(" ",255)),255))," ")</f>
        <v xml:space="preserve"> </v>
      </c>
      <c r="G5825" s="110">
        <f>COPY!Z5817</f>
        <v>0</v>
      </c>
      <c r="H5825" s="111" t="str">
        <f>IFERROR(VLOOKUP(Table1722[[#This Row],[Bukti]],'Un nOTA'!$A$4:$K$5003,10,FALSE),"")</f>
        <v/>
      </c>
      <c r="I5825" s="123" t="str">
        <f>IFERROR(VLOOKUP(Table1722[[#This Row],[Bukti]],Table13[#Data],11,FALSE),"")</f>
        <v/>
      </c>
    </row>
    <row r="5826" spans="1:9" hidden="1" x14ac:dyDescent="0.2">
      <c r="A5826" s="105" t="str">
        <f>IF(D5826=1,COUNTIF($D$10:D5826,1)," ")</f>
        <v xml:space="preserve"> </v>
      </c>
      <c r="B5826" s="106">
        <f>COPY!AR5818</f>
        <v>0</v>
      </c>
      <c r="C5826" s="107">
        <f>COPY!AC5818</f>
        <v>0</v>
      </c>
      <c r="D5826" s="107" t="str">
        <f>IF(LEN(Table1722[[#This Row],[Uraian]])&gt;2,1," ")</f>
        <v xml:space="preserve"> </v>
      </c>
      <c r="E5826" s="113" t="str">
        <f>IF(Table1722[[#This Row],[Lawan Transaksi]]="CV AGUNG KARYA",COUNTIF($I$10:I5826,"CV AGUNG KARYA")," ")</f>
        <v xml:space="preserve"> </v>
      </c>
      <c r="F5826" s="107" t="str">
        <f>IF(LEN(Table1722[[#This Row],[Uraian]])&gt;2,TRIM(RIGHT(SUBSTITUTE(TRIM(C5826)," ",REPT(" ",255)),255))," ")</f>
        <v xml:space="preserve"> </v>
      </c>
      <c r="G5826" s="110">
        <f>COPY!Z5818</f>
        <v>0</v>
      </c>
      <c r="H5826" s="111" t="str">
        <f>IFERROR(VLOOKUP(Table1722[[#This Row],[Bukti]],'Un nOTA'!$A$4:$K$5003,10,FALSE),"")</f>
        <v/>
      </c>
      <c r="I5826" s="123" t="str">
        <f>IFERROR(VLOOKUP(Table1722[[#This Row],[Bukti]],Table13[#Data],11,FALSE),"")</f>
        <v/>
      </c>
    </row>
    <row r="5827" spans="1:9" hidden="1" x14ac:dyDescent="0.2">
      <c r="A5827" s="105" t="str">
        <f>IF(D5827=1,COUNTIF($D$10:D5827,1)," ")</f>
        <v xml:space="preserve"> </v>
      </c>
      <c r="B5827" s="106">
        <f>COPY!AR5819</f>
        <v>0</v>
      </c>
      <c r="C5827" s="107">
        <f>COPY!AC5819</f>
        <v>0</v>
      </c>
      <c r="D5827" s="107" t="str">
        <f>IF(LEN(Table1722[[#This Row],[Uraian]])&gt;2,1," ")</f>
        <v xml:space="preserve"> </v>
      </c>
      <c r="E5827" s="113" t="str">
        <f>IF(Table1722[[#This Row],[Lawan Transaksi]]="CV AGUNG KARYA",COUNTIF($I$10:I5827,"CV AGUNG KARYA")," ")</f>
        <v xml:space="preserve"> </v>
      </c>
      <c r="F5827" s="107" t="str">
        <f>IF(LEN(Table1722[[#This Row],[Uraian]])&gt;2,TRIM(RIGHT(SUBSTITUTE(TRIM(C5827)," ",REPT(" ",255)),255))," ")</f>
        <v xml:space="preserve"> </v>
      </c>
      <c r="G5827" s="110">
        <f>COPY!Z5819</f>
        <v>0</v>
      </c>
      <c r="H5827" s="111" t="str">
        <f>IFERROR(VLOOKUP(Table1722[[#This Row],[Bukti]],'Un nOTA'!$A$4:$K$5003,10,FALSE),"")</f>
        <v/>
      </c>
      <c r="I5827" s="123" t="str">
        <f>IFERROR(VLOOKUP(Table1722[[#This Row],[Bukti]],Table13[#Data],11,FALSE),"")</f>
        <v/>
      </c>
    </row>
    <row r="5828" spans="1:9" hidden="1" x14ac:dyDescent="0.2">
      <c r="A5828" s="105" t="str">
        <f>IF(D5828=1,COUNTIF($D$10:D5828,1)," ")</f>
        <v xml:space="preserve"> </v>
      </c>
      <c r="B5828" s="106">
        <f>COPY!AR5820</f>
        <v>0</v>
      </c>
      <c r="C5828" s="107">
        <f>COPY!AC5820</f>
        <v>0</v>
      </c>
      <c r="D5828" s="107" t="str">
        <f>IF(LEN(Table1722[[#This Row],[Uraian]])&gt;2,1," ")</f>
        <v xml:space="preserve"> </v>
      </c>
      <c r="E5828" s="113" t="str">
        <f>IF(Table1722[[#This Row],[Lawan Transaksi]]="CV AGUNG KARYA",COUNTIF($I$10:I5828,"CV AGUNG KARYA")," ")</f>
        <v xml:space="preserve"> </v>
      </c>
      <c r="F5828" s="107" t="str">
        <f>IF(LEN(Table1722[[#This Row],[Uraian]])&gt;2,TRIM(RIGHT(SUBSTITUTE(TRIM(C5828)," ",REPT(" ",255)),255))," ")</f>
        <v xml:space="preserve"> </v>
      </c>
      <c r="G5828" s="110">
        <f>COPY!Z5820</f>
        <v>0</v>
      </c>
      <c r="H5828" s="111" t="str">
        <f>IFERROR(VLOOKUP(Table1722[[#This Row],[Bukti]],'Un nOTA'!$A$4:$K$5003,10,FALSE),"")</f>
        <v/>
      </c>
      <c r="I5828" s="123" t="str">
        <f>IFERROR(VLOOKUP(Table1722[[#This Row],[Bukti]],Table13[#Data],11,FALSE),"")</f>
        <v/>
      </c>
    </row>
    <row r="5829" spans="1:9" hidden="1" x14ac:dyDescent="0.2">
      <c r="A5829" s="105" t="str">
        <f>IF(D5829=1,COUNTIF($D$10:D5829,1)," ")</f>
        <v xml:space="preserve"> </v>
      </c>
      <c r="B5829" s="106">
        <f>COPY!AR5821</f>
        <v>0</v>
      </c>
      <c r="C5829" s="107">
        <f>COPY!AC5821</f>
        <v>0</v>
      </c>
      <c r="D5829" s="107" t="str">
        <f>IF(LEN(Table1722[[#This Row],[Uraian]])&gt;2,1," ")</f>
        <v xml:space="preserve"> </v>
      </c>
      <c r="E5829" s="113" t="str">
        <f>IF(Table1722[[#This Row],[Lawan Transaksi]]="CV AGUNG KARYA",COUNTIF($I$10:I5829,"CV AGUNG KARYA")," ")</f>
        <v xml:space="preserve"> </v>
      </c>
      <c r="F5829" s="107" t="str">
        <f>IF(LEN(Table1722[[#This Row],[Uraian]])&gt;2,TRIM(RIGHT(SUBSTITUTE(TRIM(C5829)," ",REPT(" ",255)),255))," ")</f>
        <v xml:space="preserve"> </v>
      </c>
      <c r="G5829" s="110">
        <f>COPY!Z5821</f>
        <v>0</v>
      </c>
      <c r="H5829" s="111" t="str">
        <f>IFERROR(VLOOKUP(Table1722[[#This Row],[Bukti]],'Un nOTA'!$A$4:$K$5003,10,FALSE),"")</f>
        <v/>
      </c>
      <c r="I5829" s="123" t="str">
        <f>IFERROR(VLOOKUP(Table1722[[#This Row],[Bukti]],Table13[#Data],11,FALSE),"")</f>
        <v/>
      </c>
    </row>
    <row r="5830" spans="1:9" hidden="1" x14ac:dyDescent="0.2">
      <c r="A5830" s="105" t="str">
        <f>IF(D5830=1,COUNTIF($D$10:D5830,1)," ")</f>
        <v xml:space="preserve"> </v>
      </c>
      <c r="B5830" s="106">
        <f>COPY!AR5822</f>
        <v>0</v>
      </c>
      <c r="C5830" s="107">
        <f>COPY!AC5822</f>
        <v>0</v>
      </c>
      <c r="D5830" s="107" t="str">
        <f>IF(LEN(Table1722[[#This Row],[Uraian]])&gt;2,1," ")</f>
        <v xml:space="preserve"> </v>
      </c>
      <c r="E5830" s="113" t="str">
        <f>IF(Table1722[[#This Row],[Lawan Transaksi]]="CV AGUNG KARYA",COUNTIF($I$10:I5830,"CV AGUNG KARYA")," ")</f>
        <v xml:space="preserve"> </v>
      </c>
      <c r="F5830" s="107" t="str">
        <f>IF(LEN(Table1722[[#This Row],[Uraian]])&gt;2,TRIM(RIGHT(SUBSTITUTE(TRIM(C5830)," ",REPT(" ",255)),255))," ")</f>
        <v xml:space="preserve"> </v>
      </c>
      <c r="G5830" s="110">
        <f>COPY!Z5822</f>
        <v>0</v>
      </c>
      <c r="H5830" s="111" t="str">
        <f>IFERROR(VLOOKUP(Table1722[[#This Row],[Bukti]],'Un nOTA'!$A$4:$K$5003,10,FALSE),"")</f>
        <v/>
      </c>
      <c r="I5830" s="123" t="str">
        <f>IFERROR(VLOOKUP(Table1722[[#This Row],[Bukti]],Table13[#Data],11,FALSE),"")</f>
        <v/>
      </c>
    </row>
    <row r="5831" spans="1:9" hidden="1" x14ac:dyDescent="0.2">
      <c r="A5831" s="105" t="str">
        <f>IF(D5831=1,COUNTIF($D$10:D5831,1)," ")</f>
        <v xml:space="preserve"> </v>
      </c>
      <c r="B5831" s="106">
        <f>COPY!AR5823</f>
        <v>0</v>
      </c>
      <c r="C5831" s="107">
        <f>COPY!AC5823</f>
        <v>0</v>
      </c>
      <c r="D5831" s="107" t="str">
        <f>IF(LEN(Table1722[[#This Row],[Uraian]])&gt;2,1," ")</f>
        <v xml:space="preserve"> </v>
      </c>
      <c r="E5831" s="113" t="str">
        <f>IF(Table1722[[#This Row],[Lawan Transaksi]]="CV AGUNG KARYA",COUNTIF($I$10:I5831,"CV AGUNG KARYA")," ")</f>
        <v xml:space="preserve"> </v>
      </c>
      <c r="F5831" s="107" t="str">
        <f>IF(LEN(Table1722[[#This Row],[Uraian]])&gt;2,TRIM(RIGHT(SUBSTITUTE(TRIM(C5831)," ",REPT(" ",255)),255))," ")</f>
        <v xml:space="preserve"> </v>
      </c>
      <c r="G5831" s="110">
        <f>COPY!Z5823</f>
        <v>0</v>
      </c>
      <c r="H5831" s="111" t="str">
        <f>IFERROR(VLOOKUP(Table1722[[#This Row],[Bukti]],'Un nOTA'!$A$4:$K$5003,10,FALSE),"")</f>
        <v/>
      </c>
      <c r="I5831" s="123" t="str">
        <f>IFERROR(VLOOKUP(Table1722[[#This Row],[Bukti]],Table13[#Data],11,FALSE),"")</f>
        <v/>
      </c>
    </row>
    <row r="5832" spans="1:9" hidden="1" x14ac:dyDescent="0.2">
      <c r="A5832" s="105" t="str">
        <f>IF(D5832=1,COUNTIF($D$10:D5832,1)," ")</f>
        <v xml:space="preserve"> </v>
      </c>
      <c r="B5832" s="106">
        <f>COPY!AR5824</f>
        <v>0</v>
      </c>
      <c r="C5832" s="107">
        <f>COPY!AC5824</f>
        <v>0</v>
      </c>
      <c r="D5832" s="107" t="str">
        <f>IF(LEN(Table1722[[#This Row],[Uraian]])&gt;2,1," ")</f>
        <v xml:space="preserve"> </v>
      </c>
      <c r="E5832" s="113" t="str">
        <f>IF(Table1722[[#This Row],[Lawan Transaksi]]="CV AGUNG KARYA",COUNTIF($I$10:I5832,"CV AGUNG KARYA")," ")</f>
        <v xml:space="preserve"> </v>
      </c>
      <c r="F5832" s="107" t="str">
        <f>IF(LEN(Table1722[[#This Row],[Uraian]])&gt;2,TRIM(RIGHT(SUBSTITUTE(TRIM(C5832)," ",REPT(" ",255)),255))," ")</f>
        <v xml:space="preserve"> </v>
      </c>
      <c r="G5832" s="110">
        <f>COPY!Z5824</f>
        <v>0</v>
      </c>
      <c r="H5832" s="111" t="str">
        <f>IFERROR(VLOOKUP(Table1722[[#This Row],[Bukti]],'Un nOTA'!$A$4:$K$5003,10,FALSE),"")</f>
        <v/>
      </c>
      <c r="I5832" s="123" t="str">
        <f>IFERROR(VLOOKUP(Table1722[[#This Row],[Bukti]],Table13[#Data],11,FALSE),"")</f>
        <v/>
      </c>
    </row>
    <row r="5833" spans="1:9" hidden="1" x14ac:dyDescent="0.2">
      <c r="A5833" s="105" t="str">
        <f>IF(D5833=1,COUNTIF($D$10:D5833,1)," ")</f>
        <v xml:space="preserve"> </v>
      </c>
      <c r="B5833" s="106">
        <f>COPY!AR5825</f>
        <v>0</v>
      </c>
      <c r="C5833" s="107">
        <f>COPY!AC5825</f>
        <v>0</v>
      </c>
      <c r="D5833" s="107" t="str">
        <f>IF(LEN(Table1722[[#This Row],[Uraian]])&gt;2,1," ")</f>
        <v xml:space="preserve"> </v>
      </c>
      <c r="E5833" s="113" t="str">
        <f>IF(Table1722[[#This Row],[Lawan Transaksi]]="CV AGUNG KARYA",COUNTIF($I$10:I5833,"CV AGUNG KARYA")," ")</f>
        <v xml:space="preserve"> </v>
      </c>
      <c r="F5833" s="107" t="str">
        <f>IF(LEN(Table1722[[#This Row],[Uraian]])&gt;2,TRIM(RIGHT(SUBSTITUTE(TRIM(C5833)," ",REPT(" ",255)),255))," ")</f>
        <v xml:space="preserve"> </v>
      </c>
      <c r="G5833" s="110">
        <f>COPY!Z5825</f>
        <v>0</v>
      </c>
      <c r="H5833" s="111" t="str">
        <f>IFERROR(VLOOKUP(Table1722[[#This Row],[Bukti]],'Un nOTA'!$A$4:$K$5003,10,FALSE),"")</f>
        <v/>
      </c>
      <c r="I5833" s="123" t="str">
        <f>IFERROR(VLOOKUP(Table1722[[#This Row],[Bukti]],Table13[#Data],11,FALSE),"")</f>
        <v/>
      </c>
    </row>
    <row r="5834" spans="1:9" hidden="1" x14ac:dyDescent="0.2">
      <c r="A5834" s="105" t="str">
        <f>IF(D5834=1,COUNTIF($D$10:D5834,1)," ")</f>
        <v xml:space="preserve"> </v>
      </c>
      <c r="B5834" s="106">
        <f>COPY!AR5826</f>
        <v>0</v>
      </c>
      <c r="C5834" s="107">
        <f>COPY!AC5826</f>
        <v>0</v>
      </c>
      <c r="D5834" s="107" t="str">
        <f>IF(LEN(Table1722[[#This Row],[Uraian]])&gt;2,1," ")</f>
        <v xml:space="preserve"> </v>
      </c>
      <c r="E5834" s="113" t="str">
        <f>IF(Table1722[[#This Row],[Lawan Transaksi]]="CV AGUNG KARYA",COUNTIF($I$10:I5834,"CV AGUNG KARYA")," ")</f>
        <v xml:space="preserve"> </v>
      </c>
      <c r="F5834" s="107" t="str">
        <f>IF(LEN(Table1722[[#This Row],[Uraian]])&gt;2,TRIM(RIGHT(SUBSTITUTE(TRIM(C5834)," ",REPT(" ",255)),255))," ")</f>
        <v xml:space="preserve"> </v>
      </c>
      <c r="G5834" s="110">
        <f>COPY!Z5826</f>
        <v>0</v>
      </c>
      <c r="H5834" s="111" t="str">
        <f>IFERROR(VLOOKUP(Table1722[[#This Row],[Bukti]],'Un nOTA'!$A$4:$K$5003,10,FALSE),"")</f>
        <v/>
      </c>
      <c r="I5834" s="123" t="str">
        <f>IFERROR(VLOOKUP(Table1722[[#This Row],[Bukti]],Table13[#Data],11,FALSE),"")</f>
        <v/>
      </c>
    </row>
    <row r="5835" spans="1:9" hidden="1" x14ac:dyDescent="0.2">
      <c r="A5835" s="105" t="str">
        <f>IF(D5835=1,COUNTIF($D$10:D5835,1)," ")</f>
        <v xml:space="preserve"> </v>
      </c>
      <c r="B5835" s="106">
        <f>COPY!AR5827</f>
        <v>0</v>
      </c>
      <c r="C5835" s="107">
        <f>COPY!AC5827</f>
        <v>0</v>
      </c>
      <c r="D5835" s="107" t="str">
        <f>IF(LEN(Table1722[[#This Row],[Uraian]])&gt;2,1," ")</f>
        <v xml:space="preserve"> </v>
      </c>
      <c r="E5835" s="113" t="str">
        <f>IF(Table1722[[#This Row],[Lawan Transaksi]]="CV AGUNG KARYA",COUNTIF($I$10:I5835,"CV AGUNG KARYA")," ")</f>
        <v xml:space="preserve"> </v>
      </c>
      <c r="F5835" s="107" t="str">
        <f>IF(LEN(Table1722[[#This Row],[Uraian]])&gt;2,TRIM(RIGHT(SUBSTITUTE(TRIM(C5835)," ",REPT(" ",255)),255))," ")</f>
        <v xml:space="preserve"> </v>
      </c>
      <c r="G5835" s="110">
        <f>COPY!Z5827</f>
        <v>0</v>
      </c>
      <c r="H5835" s="111" t="str">
        <f>IFERROR(VLOOKUP(Table1722[[#This Row],[Bukti]],'Un nOTA'!$A$4:$K$5003,10,FALSE),"")</f>
        <v/>
      </c>
      <c r="I5835" s="123" t="str">
        <f>IFERROR(VLOOKUP(Table1722[[#This Row],[Bukti]],Table13[#Data],11,FALSE),"")</f>
        <v/>
      </c>
    </row>
    <row r="5836" spans="1:9" hidden="1" x14ac:dyDescent="0.2">
      <c r="A5836" s="105" t="str">
        <f>IF(D5836=1,COUNTIF($D$10:D5836,1)," ")</f>
        <v xml:space="preserve"> </v>
      </c>
      <c r="B5836" s="106">
        <f>COPY!AR5828</f>
        <v>0</v>
      </c>
      <c r="C5836" s="107">
        <f>COPY!AC5828</f>
        <v>0</v>
      </c>
      <c r="D5836" s="107" t="str">
        <f>IF(LEN(Table1722[[#This Row],[Uraian]])&gt;2,1," ")</f>
        <v xml:space="preserve"> </v>
      </c>
      <c r="E5836" s="113" t="str">
        <f>IF(Table1722[[#This Row],[Lawan Transaksi]]="CV AGUNG KARYA",COUNTIF($I$10:I5836,"CV AGUNG KARYA")," ")</f>
        <v xml:space="preserve"> </v>
      </c>
      <c r="F5836" s="107" t="str">
        <f>IF(LEN(Table1722[[#This Row],[Uraian]])&gt;2,TRIM(RIGHT(SUBSTITUTE(TRIM(C5836)," ",REPT(" ",255)),255))," ")</f>
        <v xml:space="preserve"> </v>
      </c>
      <c r="G5836" s="110">
        <f>COPY!Z5828</f>
        <v>0</v>
      </c>
      <c r="H5836" s="111" t="str">
        <f>IFERROR(VLOOKUP(Table1722[[#This Row],[Bukti]],'Un nOTA'!$A$4:$K$5003,10,FALSE),"")</f>
        <v/>
      </c>
      <c r="I5836" s="123" t="str">
        <f>IFERROR(VLOOKUP(Table1722[[#This Row],[Bukti]],Table13[#Data],11,FALSE),"")</f>
        <v/>
      </c>
    </row>
    <row r="5837" spans="1:9" hidden="1" x14ac:dyDescent="0.2">
      <c r="A5837" s="105" t="str">
        <f>IF(D5837=1,COUNTIF($D$10:D5837,1)," ")</f>
        <v xml:space="preserve"> </v>
      </c>
      <c r="B5837" s="106">
        <f>COPY!AR5829</f>
        <v>0</v>
      </c>
      <c r="C5837" s="107">
        <f>COPY!AC5829</f>
        <v>0</v>
      </c>
      <c r="D5837" s="107" t="str">
        <f>IF(LEN(Table1722[[#This Row],[Uraian]])&gt;2,1," ")</f>
        <v xml:space="preserve"> </v>
      </c>
      <c r="E5837" s="113" t="str">
        <f>IF(Table1722[[#This Row],[Lawan Transaksi]]="CV AGUNG KARYA",COUNTIF($I$10:I5837,"CV AGUNG KARYA")," ")</f>
        <v xml:space="preserve"> </v>
      </c>
      <c r="F5837" s="107" t="str">
        <f>IF(LEN(Table1722[[#This Row],[Uraian]])&gt;2,TRIM(RIGHT(SUBSTITUTE(TRIM(C5837)," ",REPT(" ",255)),255))," ")</f>
        <v xml:space="preserve"> </v>
      </c>
      <c r="G5837" s="110">
        <f>COPY!Z5829</f>
        <v>0</v>
      </c>
      <c r="H5837" s="111" t="str">
        <f>IFERROR(VLOOKUP(Table1722[[#This Row],[Bukti]],'Un nOTA'!$A$4:$K$5003,10,FALSE),"")</f>
        <v/>
      </c>
      <c r="I5837" s="123" t="str">
        <f>IFERROR(VLOOKUP(Table1722[[#This Row],[Bukti]],Table13[#Data],11,FALSE),"")</f>
        <v/>
      </c>
    </row>
    <row r="5838" spans="1:9" hidden="1" x14ac:dyDescent="0.2">
      <c r="A5838" s="105" t="str">
        <f>IF(D5838=1,COUNTIF($D$10:D5838,1)," ")</f>
        <v xml:space="preserve"> </v>
      </c>
      <c r="B5838" s="106">
        <f>COPY!AR5830</f>
        <v>0</v>
      </c>
      <c r="C5838" s="107">
        <f>COPY!AC5830</f>
        <v>0</v>
      </c>
      <c r="D5838" s="107" t="str">
        <f>IF(LEN(Table1722[[#This Row],[Uraian]])&gt;2,1," ")</f>
        <v xml:space="preserve"> </v>
      </c>
      <c r="E5838" s="113" t="str">
        <f>IF(Table1722[[#This Row],[Lawan Transaksi]]="CV AGUNG KARYA",COUNTIF($I$10:I5838,"CV AGUNG KARYA")," ")</f>
        <v xml:space="preserve"> </v>
      </c>
      <c r="F5838" s="107" t="str">
        <f>IF(LEN(Table1722[[#This Row],[Uraian]])&gt;2,TRIM(RIGHT(SUBSTITUTE(TRIM(C5838)," ",REPT(" ",255)),255))," ")</f>
        <v xml:space="preserve"> </v>
      </c>
      <c r="G5838" s="110">
        <f>COPY!Z5830</f>
        <v>0</v>
      </c>
      <c r="H5838" s="111" t="str">
        <f>IFERROR(VLOOKUP(Table1722[[#This Row],[Bukti]],'Un nOTA'!$A$4:$K$5003,10,FALSE),"")</f>
        <v/>
      </c>
      <c r="I5838" s="123" t="str">
        <f>IFERROR(VLOOKUP(Table1722[[#This Row],[Bukti]],Table13[#Data],11,FALSE),"")</f>
        <v/>
      </c>
    </row>
    <row r="5839" spans="1:9" hidden="1" x14ac:dyDescent="0.2">
      <c r="A5839" s="105" t="str">
        <f>IF(D5839=1,COUNTIF($D$10:D5839,1)," ")</f>
        <v xml:space="preserve"> </v>
      </c>
      <c r="B5839" s="106">
        <f>COPY!AR5831</f>
        <v>0</v>
      </c>
      <c r="C5839" s="107">
        <f>COPY!AC5831</f>
        <v>0</v>
      </c>
      <c r="D5839" s="107" t="str">
        <f>IF(LEN(Table1722[[#This Row],[Uraian]])&gt;2,1," ")</f>
        <v xml:space="preserve"> </v>
      </c>
      <c r="E5839" s="113" t="str">
        <f>IF(Table1722[[#This Row],[Lawan Transaksi]]="CV AGUNG KARYA",COUNTIF($I$10:I5839,"CV AGUNG KARYA")," ")</f>
        <v xml:space="preserve"> </v>
      </c>
      <c r="F5839" s="107" t="str">
        <f>IF(LEN(Table1722[[#This Row],[Uraian]])&gt;2,TRIM(RIGHT(SUBSTITUTE(TRIM(C5839)," ",REPT(" ",255)),255))," ")</f>
        <v xml:space="preserve"> </v>
      </c>
      <c r="G5839" s="110">
        <f>COPY!Z5831</f>
        <v>0</v>
      </c>
      <c r="H5839" s="111" t="str">
        <f>IFERROR(VLOOKUP(Table1722[[#This Row],[Bukti]],'Un nOTA'!$A$4:$K$5003,10,FALSE),"")</f>
        <v/>
      </c>
      <c r="I5839" s="123" t="str">
        <f>IFERROR(VLOOKUP(Table1722[[#This Row],[Bukti]],Table13[#Data],11,FALSE),"")</f>
        <v/>
      </c>
    </row>
    <row r="5840" spans="1:9" hidden="1" x14ac:dyDescent="0.2">
      <c r="A5840" s="105" t="str">
        <f>IF(D5840=1,COUNTIF($D$10:D5840,1)," ")</f>
        <v xml:space="preserve"> </v>
      </c>
      <c r="B5840" s="106">
        <f>COPY!AR5832</f>
        <v>0</v>
      </c>
      <c r="C5840" s="107">
        <f>COPY!AC5832</f>
        <v>0</v>
      </c>
      <c r="D5840" s="107" t="str">
        <f>IF(LEN(Table1722[[#This Row],[Uraian]])&gt;2,1," ")</f>
        <v xml:space="preserve"> </v>
      </c>
      <c r="E5840" s="113" t="str">
        <f>IF(Table1722[[#This Row],[Lawan Transaksi]]="CV AGUNG KARYA",COUNTIF($I$10:I5840,"CV AGUNG KARYA")," ")</f>
        <v xml:space="preserve"> </v>
      </c>
      <c r="F5840" s="107" t="str">
        <f>IF(LEN(Table1722[[#This Row],[Uraian]])&gt;2,TRIM(RIGHT(SUBSTITUTE(TRIM(C5840)," ",REPT(" ",255)),255))," ")</f>
        <v xml:space="preserve"> </v>
      </c>
      <c r="G5840" s="110">
        <f>COPY!Z5832</f>
        <v>0</v>
      </c>
      <c r="H5840" s="111" t="str">
        <f>IFERROR(VLOOKUP(Table1722[[#This Row],[Bukti]],'Un nOTA'!$A$4:$K$5003,10,FALSE),"")</f>
        <v/>
      </c>
      <c r="I5840" s="123" t="str">
        <f>IFERROR(VLOOKUP(Table1722[[#This Row],[Bukti]],Table13[#Data],11,FALSE),"")</f>
        <v/>
      </c>
    </row>
    <row r="5841" spans="1:9" hidden="1" x14ac:dyDescent="0.2">
      <c r="A5841" s="105" t="str">
        <f>IF(D5841=1,COUNTIF($D$10:D5841,1)," ")</f>
        <v xml:space="preserve"> </v>
      </c>
      <c r="B5841" s="106">
        <f>COPY!AR5833</f>
        <v>0</v>
      </c>
      <c r="C5841" s="107">
        <f>COPY!AC5833</f>
        <v>0</v>
      </c>
      <c r="D5841" s="107" t="str">
        <f>IF(LEN(Table1722[[#This Row],[Uraian]])&gt;2,1," ")</f>
        <v xml:space="preserve"> </v>
      </c>
      <c r="E5841" s="113" t="str">
        <f>IF(Table1722[[#This Row],[Lawan Transaksi]]="CV AGUNG KARYA",COUNTIF($I$10:I5841,"CV AGUNG KARYA")," ")</f>
        <v xml:space="preserve"> </v>
      </c>
      <c r="F5841" s="107" t="str">
        <f>IF(LEN(Table1722[[#This Row],[Uraian]])&gt;2,TRIM(RIGHT(SUBSTITUTE(TRIM(C5841)," ",REPT(" ",255)),255))," ")</f>
        <v xml:space="preserve"> </v>
      </c>
      <c r="G5841" s="110">
        <f>COPY!Z5833</f>
        <v>0</v>
      </c>
      <c r="H5841" s="111" t="str">
        <f>IFERROR(VLOOKUP(Table1722[[#This Row],[Bukti]],'Un nOTA'!$A$4:$K$5003,10,FALSE),"")</f>
        <v/>
      </c>
      <c r="I5841" s="123" t="str">
        <f>IFERROR(VLOOKUP(Table1722[[#This Row],[Bukti]],Table13[#Data],11,FALSE),"")</f>
        <v/>
      </c>
    </row>
    <row r="5842" spans="1:9" hidden="1" x14ac:dyDescent="0.2">
      <c r="A5842" s="105" t="str">
        <f>IF(D5842=1,COUNTIF($D$10:D5842,1)," ")</f>
        <v xml:space="preserve"> </v>
      </c>
      <c r="B5842" s="106">
        <f>COPY!AR5834</f>
        <v>0</v>
      </c>
      <c r="C5842" s="107">
        <f>COPY!AC5834</f>
        <v>0</v>
      </c>
      <c r="D5842" s="107" t="str">
        <f>IF(LEN(Table1722[[#This Row],[Uraian]])&gt;2,1," ")</f>
        <v xml:space="preserve"> </v>
      </c>
      <c r="E5842" s="113" t="str">
        <f>IF(Table1722[[#This Row],[Lawan Transaksi]]="CV AGUNG KARYA",COUNTIF($I$10:I5842,"CV AGUNG KARYA")," ")</f>
        <v xml:space="preserve"> </v>
      </c>
      <c r="F5842" s="107" t="str">
        <f>IF(LEN(Table1722[[#This Row],[Uraian]])&gt;2,TRIM(RIGHT(SUBSTITUTE(TRIM(C5842)," ",REPT(" ",255)),255))," ")</f>
        <v xml:space="preserve"> </v>
      </c>
      <c r="G5842" s="110">
        <f>COPY!Z5834</f>
        <v>0</v>
      </c>
      <c r="H5842" s="111" t="str">
        <f>IFERROR(VLOOKUP(Table1722[[#This Row],[Bukti]],'Un nOTA'!$A$4:$K$5003,10,FALSE),"")</f>
        <v/>
      </c>
      <c r="I5842" s="123" t="str">
        <f>IFERROR(VLOOKUP(Table1722[[#This Row],[Bukti]],Table13[#Data],11,FALSE),"")</f>
        <v/>
      </c>
    </row>
    <row r="5843" spans="1:9" hidden="1" x14ac:dyDescent="0.2">
      <c r="A5843" s="105" t="str">
        <f>IF(D5843=1,COUNTIF($D$10:D5843,1)," ")</f>
        <v xml:space="preserve"> </v>
      </c>
      <c r="B5843" s="106">
        <f>COPY!AR5835</f>
        <v>0</v>
      </c>
      <c r="C5843" s="107">
        <f>COPY!AC5835</f>
        <v>0</v>
      </c>
      <c r="D5843" s="107" t="str">
        <f>IF(LEN(Table1722[[#This Row],[Uraian]])&gt;2,1," ")</f>
        <v xml:space="preserve"> </v>
      </c>
      <c r="E5843" s="113" t="str">
        <f>IF(Table1722[[#This Row],[Lawan Transaksi]]="CV AGUNG KARYA",COUNTIF($I$10:I5843,"CV AGUNG KARYA")," ")</f>
        <v xml:space="preserve"> </v>
      </c>
      <c r="F5843" s="107" t="str">
        <f>IF(LEN(Table1722[[#This Row],[Uraian]])&gt;2,TRIM(RIGHT(SUBSTITUTE(TRIM(C5843)," ",REPT(" ",255)),255))," ")</f>
        <v xml:space="preserve"> </v>
      </c>
      <c r="G5843" s="110">
        <f>COPY!Z5835</f>
        <v>0</v>
      </c>
      <c r="H5843" s="111" t="str">
        <f>IFERROR(VLOOKUP(Table1722[[#This Row],[Bukti]],'Un nOTA'!$A$4:$K$5003,10,FALSE),"")</f>
        <v/>
      </c>
      <c r="I5843" s="123" t="str">
        <f>IFERROR(VLOOKUP(Table1722[[#This Row],[Bukti]],Table13[#Data],11,FALSE),"")</f>
        <v/>
      </c>
    </row>
    <row r="5844" spans="1:9" hidden="1" x14ac:dyDescent="0.2">
      <c r="A5844" s="105" t="str">
        <f>IF(D5844=1,COUNTIF($D$10:D5844,1)," ")</f>
        <v xml:space="preserve"> </v>
      </c>
      <c r="B5844" s="106">
        <f>COPY!AR5836</f>
        <v>0</v>
      </c>
      <c r="C5844" s="107">
        <f>COPY!AC5836</f>
        <v>0</v>
      </c>
      <c r="D5844" s="107" t="str">
        <f>IF(LEN(Table1722[[#This Row],[Uraian]])&gt;2,1," ")</f>
        <v xml:space="preserve"> </v>
      </c>
      <c r="E5844" s="113" t="str">
        <f>IF(Table1722[[#This Row],[Lawan Transaksi]]="CV AGUNG KARYA",COUNTIF($I$10:I5844,"CV AGUNG KARYA")," ")</f>
        <v xml:space="preserve"> </v>
      </c>
      <c r="F5844" s="107" t="str">
        <f>IF(LEN(Table1722[[#This Row],[Uraian]])&gt;2,TRIM(RIGHT(SUBSTITUTE(TRIM(C5844)," ",REPT(" ",255)),255))," ")</f>
        <v xml:space="preserve"> </v>
      </c>
      <c r="G5844" s="110">
        <f>COPY!Z5836</f>
        <v>0</v>
      </c>
      <c r="H5844" s="111" t="str">
        <f>IFERROR(VLOOKUP(Table1722[[#This Row],[Bukti]],'Un nOTA'!$A$4:$K$5003,10,FALSE),"")</f>
        <v/>
      </c>
      <c r="I5844" s="123" t="str">
        <f>IFERROR(VLOOKUP(Table1722[[#This Row],[Bukti]],Table13[#Data],11,FALSE),"")</f>
        <v/>
      </c>
    </row>
    <row r="5845" spans="1:9" hidden="1" x14ac:dyDescent="0.2">
      <c r="A5845" s="105" t="str">
        <f>IF(D5845=1,COUNTIF($D$10:D5845,1)," ")</f>
        <v xml:space="preserve"> </v>
      </c>
      <c r="B5845" s="106">
        <f>COPY!AR5837</f>
        <v>0</v>
      </c>
      <c r="C5845" s="107">
        <f>COPY!AC5837</f>
        <v>0</v>
      </c>
      <c r="D5845" s="107" t="str">
        <f>IF(LEN(Table1722[[#This Row],[Uraian]])&gt;2,1," ")</f>
        <v xml:space="preserve"> </v>
      </c>
      <c r="E5845" s="113" t="str">
        <f>IF(Table1722[[#This Row],[Lawan Transaksi]]="CV AGUNG KARYA",COUNTIF($I$10:I5845,"CV AGUNG KARYA")," ")</f>
        <v xml:space="preserve"> </v>
      </c>
      <c r="F5845" s="107" t="str">
        <f>IF(LEN(Table1722[[#This Row],[Uraian]])&gt;2,TRIM(RIGHT(SUBSTITUTE(TRIM(C5845)," ",REPT(" ",255)),255))," ")</f>
        <v xml:space="preserve"> </v>
      </c>
      <c r="G5845" s="110">
        <f>COPY!Z5837</f>
        <v>0</v>
      </c>
      <c r="H5845" s="111" t="str">
        <f>IFERROR(VLOOKUP(Table1722[[#This Row],[Bukti]],'Un nOTA'!$A$4:$K$5003,10,FALSE),"")</f>
        <v/>
      </c>
      <c r="I5845" s="123" t="str">
        <f>IFERROR(VLOOKUP(Table1722[[#This Row],[Bukti]],Table13[#Data],11,FALSE),"")</f>
        <v/>
      </c>
    </row>
    <row r="5846" spans="1:9" hidden="1" x14ac:dyDescent="0.2">
      <c r="A5846" s="105" t="str">
        <f>IF(D5846=1,COUNTIF($D$10:D5846,1)," ")</f>
        <v xml:space="preserve"> </v>
      </c>
      <c r="B5846" s="106">
        <f>COPY!AR5838</f>
        <v>0</v>
      </c>
      <c r="C5846" s="107">
        <f>COPY!AC5838</f>
        <v>0</v>
      </c>
      <c r="D5846" s="107" t="str">
        <f>IF(LEN(Table1722[[#This Row],[Uraian]])&gt;2,1," ")</f>
        <v xml:space="preserve"> </v>
      </c>
      <c r="E5846" s="113" t="str">
        <f>IF(Table1722[[#This Row],[Lawan Transaksi]]="CV AGUNG KARYA",COUNTIF($I$10:I5846,"CV AGUNG KARYA")," ")</f>
        <v xml:space="preserve"> </v>
      </c>
      <c r="F5846" s="107" t="str">
        <f>IF(LEN(Table1722[[#This Row],[Uraian]])&gt;2,TRIM(RIGHT(SUBSTITUTE(TRIM(C5846)," ",REPT(" ",255)),255))," ")</f>
        <v xml:space="preserve"> </v>
      </c>
      <c r="G5846" s="110">
        <f>COPY!Z5838</f>
        <v>0</v>
      </c>
      <c r="H5846" s="111" t="str">
        <f>IFERROR(VLOOKUP(Table1722[[#This Row],[Bukti]],'Un nOTA'!$A$4:$K$5003,10,FALSE),"")</f>
        <v/>
      </c>
      <c r="I5846" s="123" t="str">
        <f>IFERROR(VLOOKUP(Table1722[[#This Row],[Bukti]],Table13[#Data],11,FALSE),"")</f>
        <v/>
      </c>
    </row>
    <row r="5847" spans="1:9" hidden="1" x14ac:dyDescent="0.2">
      <c r="A5847" s="105" t="str">
        <f>IF(D5847=1,COUNTIF($D$10:D5847,1)," ")</f>
        <v xml:space="preserve"> </v>
      </c>
      <c r="B5847" s="106">
        <f>COPY!AR5839</f>
        <v>0</v>
      </c>
      <c r="C5847" s="107">
        <f>COPY!AC5839</f>
        <v>0</v>
      </c>
      <c r="D5847" s="107" t="str">
        <f>IF(LEN(Table1722[[#This Row],[Uraian]])&gt;2,1," ")</f>
        <v xml:space="preserve"> </v>
      </c>
      <c r="E5847" s="113" t="str">
        <f>IF(Table1722[[#This Row],[Lawan Transaksi]]="CV AGUNG KARYA",COUNTIF($I$10:I5847,"CV AGUNG KARYA")," ")</f>
        <v xml:space="preserve"> </v>
      </c>
      <c r="F5847" s="107" t="str">
        <f>IF(LEN(Table1722[[#This Row],[Uraian]])&gt;2,TRIM(RIGHT(SUBSTITUTE(TRIM(C5847)," ",REPT(" ",255)),255))," ")</f>
        <v xml:space="preserve"> </v>
      </c>
      <c r="G5847" s="110">
        <f>COPY!Z5839</f>
        <v>0</v>
      </c>
      <c r="H5847" s="111" t="str">
        <f>IFERROR(VLOOKUP(Table1722[[#This Row],[Bukti]],'Un nOTA'!$A$4:$K$5003,10,FALSE),"")</f>
        <v/>
      </c>
      <c r="I5847" s="123" t="str">
        <f>IFERROR(VLOOKUP(Table1722[[#This Row],[Bukti]],Table13[#Data],11,FALSE),"")</f>
        <v/>
      </c>
    </row>
    <row r="5848" spans="1:9" hidden="1" x14ac:dyDescent="0.2">
      <c r="A5848" s="105" t="str">
        <f>IF(D5848=1,COUNTIF($D$10:D5848,1)," ")</f>
        <v xml:space="preserve"> </v>
      </c>
      <c r="B5848" s="106">
        <f>COPY!AR5840</f>
        <v>0</v>
      </c>
      <c r="C5848" s="107">
        <f>COPY!AC5840</f>
        <v>0</v>
      </c>
      <c r="D5848" s="107" t="str">
        <f>IF(LEN(Table1722[[#This Row],[Uraian]])&gt;2,1," ")</f>
        <v xml:space="preserve"> </v>
      </c>
      <c r="E5848" s="113" t="str">
        <f>IF(Table1722[[#This Row],[Lawan Transaksi]]="CV AGUNG KARYA",COUNTIF($I$10:I5848,"CV AGUNG KARYA")," ")</f>
        <v xml:space="preserve"> </v>
      </c>
      <c r="F5848" s="107" t="str">
        <f>IF(LEN(Table1722[[#This Row],[Uraian]])&gt;2,TRIM(RIGHT(SUBSTITUTE(TRIM(C5848)," ",REPT(" ",255)),255))," ")</f>
        <v xml:space="preserve"> </v>
      </c>
      <c r="G5848" s="110">
        <f>COPY!Z5840</f>
        <v>0</v>
      </c>
      <c r="H5848" s="111" t="str">
        <f>IFERROR(VLOOKUP(Table1722[[#This Row],[Bukti]],'Un nOTA'!$A$4:$K$5003,10,FALSE),"")</f>
        <v/>
      </c>
      <c r="I5848" s="123" t="str">
        <f>IFERROR(VLOOKUP(Table1722[[#This Row],[Bukti]],Table13[#Data],11,FALSE),"")</f>
        <v/>
      </c>
    </row>
    <row r="5849" spans="1:9" hidden="1" x14ac:dyDescent="0.2">
      <c r="A5849" s="105" t="str">
        <f>IF(D5849=1,COUNTIF($D$10:D5849,1)," ")</f>
        <v xml:space="preserve"> </v>
      </c>
      <c r="B5849" s="106">
        <f>COPY!AR5841</f>
        <v>0</v>
      </c>
      <c r="C5849" s="107">
        <f>COPY!AC5841</f>
        <v>0</v>
      </c>
      <c r="D5849" s="107" t="str">
        <f>IF(LEN(Table1722[[#This Row],[Uraian]])&gt;2,1," ")</f>
        <v xml:space="preserve"> </v>
      </c>
      <c r="E5849" s="113" t="str">
        <f>IF(Table1722[[#This Row],[Lawan Transaksi]]="CV AGUNG KARYA",COUNTIF($I$10:I5849,"CV AGUNG KARYA")," ")</f>
        <v xml:space="preserve"> </v>
      </c>
      <c r="F5849" s="107" t="str">
        <f>IF(LEN(Table1722[[#This Row],[Uraian]])&gt;2,TRIM(RIGHT(SUBSTITUTE(TRIM(C5849)," ",REPT(" ",255)),255))," ")</f>
        <v xml:space="preserve"> </v>
      </c>
      <c r="G5849" s="110">
        <f>COPY!Z5841</f>
        <v>0</v>
      </c>
      <c r="H5849" s="111" t="str">
        <f>IFERROR(VLOOKUP(Table1722[[#This Row],[Bukti]],'Un nOTA'!$A$4:$K$5003,10,FALSE),"")</f>
        <v/>
      </c>
      <c r="I5849" s="123" t="str">
        <f>IFERROR(VLOOKUP(Table1722[[#This Row],[Bukti]],Table13[#Data],11,FALSE),"")</f>
        <v/>
      </c>
    </row>
    <row r="5850" spans="1:9" hidden="1" x14ac:dyDescent="0.2">
      <c r="A5850" s="105" t="str">
        <f>IF(D5850=1,COUNTIF($D$10:D5850,1)," ")</f>
        <v xml:space="preserve"> </v>
      </c>
      <c r="B5850" s="106">
        <f>COPY!AR5842</f>
        <v>0</v>
      </c>
      <c r="C5850" s="107">
        <f>COPY!AC5842</f>
        <v>0</v>
      </c>
      <c r="D5850" s="107" t="str">
        <f>IF(LEN(Table1722[[#This Row],[Uraian]])&gt;2,1," ")</f>
        <v xml:space="preserve"> </v>
      </c>
      <c r="E5850" s="113" t="str">
        <f>IF(Table1722[[#This Row],[Lawan Transaksi]]="CV AGUNG KARYA",COUNTIF($I$10:I5850,"CV AGUNG KARYA")," ")</f>
        <v xml:space="preserve"> </v>
      </c>
      <c r="F5850" s="107" t="str">
        <f>IF(LEN(Table1722[[#This Row],[Uraian]])&gt;2,TRIM(RIGHT(SUBSTITUTE(TRIM(C5850)," ",REPT(" ",255)),255))," ")</f>
        <v xml:space="preserve"> </v>
      </c>
      <c r="G5850" s="110">
        <f>COPY!Z5842</f>
        <v>0</v>
      </c>
      <c r="H5850" s="111" t="str">
        <f>IFERROR(VLOOKUP(Table1722[[#This Row],[Bukti]],'Un nOTA'!$A$4:$K$5003,10,FALSE),"")</f>
        <v/>
      </c>
      <c r="I5850" s="123" t="str">
        <f>IFERROR(VLOOKUP(Table1722[[#This Row],[Bukti]],Table13[#Data],11,FALSE),"")</f>
        <v/>
      </c>
    </row>
    <row r="5851" spans="1:9" hidden="1" x14ac:dyDescent="0.2">
      <c r="A5851" s="105" t="str">
        <f>IF(D5851=1,COUNTIF($D$10:D5851,1)," ")</f>
        <v xml:space="preserve"> </v>
      </c>
      <c r="B5851" s="106">
        <f>COPY!AR5843</f>
        <v>0</v>
      </c>
      <c r="C5851" s="107">
        <f>COPY!AC5843</f>
        <v>0</v>
      </c>
      <c r="D5851" s="107" t="str">
        <f>IF(LEN(Table1722[[#This Row],[Uraian]])&gt;2,1," ")</f>
        <v xml:space="preserve"> </v>
      </c>
      <c r="E5851" s="113" t="str">
        <f>IF(Table1722[[#This Row],[Lawan Transaksi]]="CV AGUNG KARYA",COUNTIF($I$10:I5851,"CV AGUNG KARYA")," ")</f>
        <v xml:space="preserve"> </v>
      </c>
      <c r="F5851" s="107" t="str">
        <f>IF(LEN(Table1722[[#This Row],[Uraian]])&gt;2,TRIM(RIGHT(SUBSTITUTE(TRIM(C5851)," ",REPT(" ",255)),255))," ")</f>
        <v xml:space="preserve"> </v>
      </c>
      <c r="G5851" s="110">
        <f>COPY!Z5843</f>
        <v>0</v>
      </c>
      <c r="H5851" s="111" t="str">
        <f>IFERROR(VLOOKUP(Table1722[[#This Row],[Bukti]],'Un nOTA'!$A$4:$K$5003,10,FALSE),"")</f>
        <v/>
      </c>
      <c r="I5851" s="123" t="str">
        <f>IFERROR(VLOOKUP(Table1722[[#This Row],[Bukti]],Table13[#Data],11,FALSE),"")</f>
        <v/>
      </c>
    </row>
    <row r="5852" spans="1:9" hidden="1" x14ac:dyDescent="0.2">
      <c r="A5852" s="105" t="str">
        <f>IF(D5852=1,COUNTIF($D$10:D5852,1)," ")</f>
        <v xml:space="preserve"> </v>
      </c>
      <c r="B5852" s="106">
        <f>COPY!AR5844</f>
        <v>0</v>
      </c>
      <c r="C5852" s="107">
        <f>COPY!AC5844</f>
        <v>0</v>
      </c>
      <c r="D5852" s="107" t="str">
        <f>IF(LEN(Table1722[[#This Row],[Uraian]])&gt;2,1," ")</f>
        <v xml:space="preserve"> </v>
      </c>
      <c r="E5852" s="113" t="str">
        <f>IF(Table1722[[#This Row],[Lawan Transaksi]]="CV AGUNG KARYA",COUNTIF($I$10:I5852,"CV AGUNG KARYA")," ")</f>
        <v xml:space="preserve"> </v>
      </c>
      <c r="F5852" s="107" t="str">
        <f>IF(LEN(Table1722[[#This Row],[Uraian]])&gt;2,TRIM(RIGHT(SUBSTITUTE(TRIM(C5852)," ",REPT(" ",255)),255))," ")</f>
        <v xml:space="preserve"> </v>
      </c>
      <c r="G5852" s="110">
        <f>COPY!Z5844</f>
        <v>0</v>
      </c>
      <c r="H5852" s="111" t="str">
        <f>IFERROR(VLOOKUP(Table1722[[#This Row],[Bukti]],'Un nOTA'!$A$4:$K$5003,10,FALSE),"")</f>
        <v/>
      </c>
      <c r="I5852" s="123" t="str">
        <f>IFERROR(VLOOKUP(Table1722[[#This Row],[Bukti]],Table13[#Data],11,FALSE),"")</f>
        <v/>
      </c>
    </row>
    <row r="5853" spans="1:9" hidden="1" x14ac:dyDescent="0.2">
      <c r="A5853" s="105" t="str">
        <f>IF(D5853=1,COUNTIF($D$10:D5853,1)," ")</f>
        <v xml:space="preserve"> </v>
      </c>
      <c r="B5853" s="106">
        <f>COPY!AR5845</f>
        <v>0</v>
      </c>
      <c r="C5853" s="107">
        <f>COPY!AC5845</f>
        <v>0</v>
      </c>
      <c r="D5853" s="107" t="str">
        <f>IF(LEN(Table1722[[#This Row],[Uraian]])&gt;2,1," ")</f>
        <v xml:space="preserve"> </v>
      </c>
      <c r="E5853" s="113" t="str">
        <f>IF(Table1722[[#This Row],[Lawan Transaksi]]="CV AGUNG KARYA",COUNTIF($I$10:I5853,"CV AGUNG KARYA")," ")</f>
        <v xml:space="preserve"> </v>
      </c>
      <c r="F5853" s="107" t="str">
        <f>IF(LEN(Table1722[[#This Row],[Uraian]])&gt;2,TRIM(RIGHT(SUBSTITUTE(TRIM(C5853)," ",REPT(" ",255)),255))," ")</f>
        <v xml:space="preserve"> </v>
      </c>
      <c r="G5853" s="110">
        <f>COPY!Z5845</f>
        <v>0</v>
      </c>
      <c r="H5853" s="111" t="str">
        <f>IFERROR(VLOOKUP(Table1722[[#This Row],[Bukti]],'Un nOTA'!$A$4:$K$5003,10,FALSE),"")</f>
        <v/>
      </c>
      <c r="I5853" s="123" t="str">
        <f>IFERROR(VLOOKUP(Table1722[[#This Row],[Bukti]],Table13[#Data],11,FALSE),"")</f>
        <v/>
      </c>
    </row>
    <row r="5854" spans="1:9" hidden="1" x14ac:dyDescent="0.2">
      <c r="A5854" s="105" t="str">
        <f>IF(D5854=1,COUNTIF($D$10:D5854,1)," ")</f>
        <v xml:space="preserve"> </v>
      </c>
      <c r="B5854" s="106">
        <f>COPY!AR5846</f>
        <v>0</v>
      </c>
      <c r="C5854" s="107">
        <f>COPY!AC5846</f>
        <v>0</v>
      </c>
      <c r="D5854" s="107" t="str">
        <f>IF(LEN(Table1722[[#This Row],[Uraian]])&gt;2,1," ")</f>
        <v xml:space="preserve"> </v>
      </c>
      <c r="E5854" s="113" t="str">
        <f>IF(Table1722[[#This Row],[Lawan Transaksi]]="CV AGUNG KARYA",COUNTIF($I$10:I5854,"CV AGUNG KARYA")," ")</f>
        <v xml:space="preserve"> </v>
      </c>
      <c r="F5854" s="107" t="str">
        <f>IF(LEN(Table1722[[#This Row],[Uraian]])&gt;2,TRIM(RIGHT(SUBSTITUTE(TRIM(C5854)," ",REPT(" ",255)),255))," ")</f>
        <v xml:space="preserve"> </v>
      </c>
      <c r="G5854" s="110">
        <f>COPY!Z5846</f>
        <v>0</v>
      </c>
      <c r="H5854" s="111" t="str">
        <f>IFERROR(VLOOKUP(Table1722[[#This Row],[Bukti]],'Un nOTA'!$A$4:$K$5003,10,FALSE),"")</f>
        <v/>
      </c>
      <c r="I5854" s="123" t="str">
        <f>IFERROR(VLOOKUP(Table1722[[#This Row],[Bukti]],Table13[#Data],11,FALSE),"")</f>
        <v/>
      </c>
    </row>
    <row r="5855" spans="1:9" hidden="1" x14ac:dyDescent="0.2">
      <c r="A5855" s="105" t="str">
        <f>IF(D5855=1,COUNTIF($D$10:D5855,1)," ")</f>
        <v xml:space="preserve"> </v>
      </c>
      <c r="B5855" s="106">
        <f>COPY!AR5847</f>
        <v>0</v>
      </c>
      <c r="C5855" s="107">
        <f>COPY!AC5847</f>
        <v>0</v>
      </c>
      <c r="D5855" s="107" t="str">
        <f>IF(LEN(Table1722[[#This Row],[Uraian]])&gt;2,1," ")</f>
        <v xml:space="preserve"> </v>
      </c>
      <c r="E5855" s="113" t="str">
        <f>IF(Table1722[[#This Row],[Lawan Transaksi]]="CV AGUNG KARYA",COUNTIF($I$10:I5855,"CV AGUNG KARYA")," ")</f>
        <v xml:space="preserve"> </v>
      </c>
      <c r="F5855" s="107" t="str">
        <f>IF(LEN(Table1722[[#This Row],[Uraian]])&gt;2,TRIM(RIGHT(SUBSTITUTE(TRIM(C5855)," ",REPT(" ",255)),255))," ")</f>
        <v xml:space="preserve"> </v>
      </c>
      <c r="G5855" s="110">
        <f>COPY!Z5847</f>
        <v>0</v>
      </c>
      <c r="H5855" s="111" t="str">
        <f>IFERROR(VLOOKUP(Table1722[[#This Row],[Bukti]],'Un nOTA'!$A$4:$K$5003,10,FALSE),"")</f>
        <v/>
      </c>
      <c r="I5855" s="123" t="str">
        <f>IFERROR(VLOOKUP(Table1722[[#This Row],[Bukti]],Table13[#Data],11,FALSE),"")</f>
        <v/>
      </c>
    </row>
    <row r="5856" spans="1:9" hidden="1" x14ac:dyDescent="0.2">
      <c r="A5856" s="105" t="str">
        <f>IF(D5856=1,COUNTIF($D$10:D5856,1)," ")</f>
        <v xml:space="preserve"> </v>
      </c>
      <c r="B5856" s="106">
        <f>COPY!AR5848</f>
        <v>0</v>
      </c>
      <c r="C5856" s="107">
        <f>COPY!AC5848</f>
        <v>0</v>
      </c>
      <c r="D5856" s="107" t="str">
        <f>IF(LEN(Table1722[[#This Row],[Uraian]])&gt;2,1," ")</f>
        <v xml:space="preserve"> </v>
      </c>
      <c r="E5856" s="113" t="str">
        <f>IF(Table1722[[#This Row],[Lawan Transaksi]]="CV AGUNG KARYA",COUNTIF($I$10:I5856,"CV AGUNG KARYA")," ")</f>
        <v xml:space="preserve"> </v>
      </c>
      <c r="F5856" s="107" t="str">
        <f>IF(LEN(Table1722[[#This Row],[Uraian]])&gt;2,TRIM(RIGHT(SUBSTITUTE(TRIM(C5856)," ",REPT(" ",255)),255))," ")</f>
        <v xml:space="preserve"> </v>
      </c>
      <c r="G5856" s="110">
        <f>COPY!Z5848</f>
        <v>0</v>
      </c>
      <c r="H5856" s="111" t="str">
        <f>IFERROR(VLOOKUP(Table1722[[#This Row],[Bukti]],'Un nOTA'!$A$4:$K$5003,10,FALSE),"")</f>
        <v/>
      </c>
      <c r="I5856" s="123" t="str">
        <f>IFERROR(VLOOKUP(Table1722[[#This Row],[Bukti]],Table13[#Data],11,FALSE),"")</f>
        <v/>
      </c>
    </row>
    <row r="5857" spans="1:9" hidden="1" x14ac:dyDescent="0.2">
      <c r="A5857" s="105" t="str">
        <f>IF(D5857=1,COUNTIF($D$10:D5857,1)," ")</f>
        <v xml:space="preserve"> </v>
      </c>
      <c r="B5857" s="106">
        <f>COPY!AR5849</f>
        <v>0</v>
      </c>
      <c r="C5857" s="107">
        <f>COPY!AC5849</f>
        <v>0</v>
      </c>
      <c r="D5857" s="107" t="str">
        <f>IF(LEN(Table1722[[#This Row],[Uraian]])&gt;2,1," ")</f>
        <v xml:space="preserve"> </v>
      </c>
      <c r="E5857" s="113" t="str">
        <f>IF(Table1722[[#This Row],[Lawan Transaksi]]="CV AGUNG KARYA",COUNTIF($I$10:I5857,"CV AGUNG KARYA")," ")</f>
        <v xml:space="preserve"> </v>
      </c>
      <c r="F5857" s="107" t="str">
        <f>IF(LEN(Table1722[[#This Row],[Uraian]])&gt;2,TRIM(RIGHT(SUBSTITUTE(TRIM(C5857)," ",REPT(" ",255)),255))," ")</f>
        <v xml:space="preserve"> </v>
      </c>
      <c r="G5857" s="110">
        <f>COPY!Z5849</f>
        <v>0</v>
      </c>
      <c r="H5857" s="111" t="str">
        <f>IFERROR(VLOOKUP(Table1722[[#This Row],[Bukti]],'Un nOTA'!$A$4:$K$5003,10,FALSE),"")</f>
        <v/>
      </c>
      <c r="I5857" s="123" t="str">
        <f>IFERROR(VLOOKUP(Table1722[[#This Row],[Bukti]],Table13[#Data],11,FALSE),"")</f>
        <v/>
      </c>
    </row>
    <row r="5858" spans="1:9" hidden="1" x14ac:dyDescent="0.2">
      <c r="A5858" s="105" t="str">
        <f>IF(D5858=1,COUNTIF($D$10:D5858,1)," ")</f>
        <v xml:space="preserve"> </v>
      </c>
      <c r="B5858" s="106">
        <f>COPY!AR5850</f>
        <v>0</v>
      </c>
      <c r="C5858" s="107">
        <f>COPY!AC5850</f>
        <v>0</v>
      </c>
      <c r="D5858" s="107" t="str">
        <f>IF(LEN(Table1722[[#This Row],[Uraian]])&gt;2,1," ")</f>
        <v xml:space="preserve"> </v>
      </c>
      <c r="E5858" s="113" t="str">
        <f>IF(Table1722[[#This Row],[Lawan Transaksi]]="CV AGUNG KARYA",COUNTIF($I$10:I5858,"CV AGUNG KARYA")," ")</f>
        <v xml:space="preserve"> </v>
      </c>
      <c r="F5858" s="107" t="str">
        <f>IF(LEN(Table1722[[#This Row],[Uraian]])&gt;2,TRIM(RIGHT(SUBSTITUTE(TRIM(C5858)," ",REPT(" ",255)),255))," ")</f>
        <v xml:space="preserve"> </v>
      </c>
      <c r="G5858" s="110">
        <f>COPY!Z5850</f>
        <v>0</v>
      </c>
      <c r="H5858" s="111" t="str">
        <f>IFERROR(VLOOKUP(Table1722[[#This Row],[Bukti]],'Un nOTA'!$A$4:$K$5003,10,FALSE),"")</f>
        <v/>
      </c>
      <c r="I5858" s="123" t="str">
        <f>IFERROR(VLOOKUP(Table1722[[#This Row],[Bukti]],Table13[#Data],11,FALSE),"")</f>
        <v/>
      </c>
    </row>
    <row r="5859" spans="1:9" hidden="1" x14ac:dyDescent="0.2">
      <c r="A5859" s="105" t="str">
        <f>IF(D5859=1,COUNTIF($D$10:D5859,1)," ")</f>
        <v xml:space="preserve"> </v>
      </c>
      <c r="B5859" s="106">
        <f>COPY!AR5851</f>
        <v>0</v>
      </c>
      <c r="C5859" s="107">
        <f>COPY!AC5851</f>
        <v>0</v>
      </c>
      <c r="D5859" s="107" t="str">
        <f>IF(LEN(Table1722[[#This Row],[Uraian]])&gt;2,1," ")</f>
        <v xml:space="preserve"> </v>
      </c>
      <c r="E5859" s="113" t="str">
        <f>IF(Table1722[[#This Row],[Lawan Transaksi]]="CV AGUNG KARYA",COUNTIF($I$10:I5859,"CV AGUNG KARYA")," ")</f>
        <v xml:space="preserve"> </v>
      </c>
      <c r="F5859" s="107" t="str">
        <f>IF(LEN(Table1722[[#This Row],[Uraian]])&gt;2,TRIM(RIGHT(SUBSTITUTE(TRIM(C5859)," ",REPT(" ",255)),255))," ")</f>
        <v xml:space="preserve"> </v>
      </c>
      <c r="G5859" s="110">
        <f>COPY!Z5851</f>
        <v>0</v>
      </c>
      <c r="H5859" s="111" t="str">
        <f>IFERROR(VLOOKUP(Table1722[[#This Row],[Bukti]],'Un nOTA'!$A$4:$K$5003,10,FALSE),"")</f>
        <v/>
      </c>
      <c r="I5859" s="123" t="str">
        <f>IFERROR(VLOOKUP(Table1722[[#This Row],[Bukti]],Table13[#Data],11,FALSE),"")</f>
        <v/>
      </c>
    </row>
    <row r="5860" spans="1:9" hidden="1" x14ac:dyDescent="0.2">
      <c r="A5860" s="105" t="str">
        <f>IF(D5860=1,COUNTIF($D$10:D5860,1)," ")</f>
        <v xml:space="preserve"> </v>
      </c>
      <c r="B5860" s="106">
        <f>COPY!AR5852</f>
        <v>0</v>
      </c>
      <c r="C5860" s="107">
        <f>COPY!AC5852</f>
        <v>0</v>
      </c>
      <c r="D5860" s="107" t="str">
        <f>IF(LEN(Table1722[[#This Row],[Uraian]])&gt;2,1," ")</f>
        <v xml:space="preserve"> </v>
      </c>
      <c r="E5860" s="113" t="str">
        <f>IF(Table1722[[#This Row],[Lawan Transaksi]]="CV AGUNG KARYA",COUNTIF($I$10:I5860,"CV AGUNG KARYA")," ")</f>
        <v xml:space="preserve"> </v>
      </c>
      <c r="F5860" s="107" t="str">
        <f>IF(LEN(Table1722[[#This Row],[Uraian]])&gt;2,TRIM(RIGHT(SUBSTITUTE(TRIM(C5860)," ",REPT(" ",255)),255))," ")</f>
        <v xml:space="preserve"> </v>
      </c>
      <c r="G5860" s="110">
        <f>COPY!Z5852</f>
        <v>0</v>
      </c>
      <c r="H5860" s="111" t="str">
        <f>IFERROR(VLOOKUP(Table1722[[#This Row],[Bukti]],'Un nOTA'!$A$4:$K$5003,10,FALSE),"")</f>
        <v/>
      </c>
      <c r="I5860" s="123" t="str">
        <f>IFERROR(VLOOKUP(Table1722[[#This Row],[Bukti]],Table13[#Data],11,FALSE),"")</f>
        <v/>
      </c>
    </row>
    <row r="5861" spans="1:9" hidden="1" x14ac:dyDescent="0.2">
      <c r="A5861" s="105" t="str">
        <f>IF(D5861=1,COUNTIF($D$10:D5861,1)," ")</f>
        <v xml:space="preserve"> </v>
      </c>
      <c r="B5861" s="106">
        <f>COPY!AR5853</f>
        <v>0</v>
      </c>
      <c r="C5861" s="107">
        <f>COPY!AC5853</f>
        <v>0</v>
      </c>
      <c r="D5861" s="107" t="str">
        <f>IF(LEN(Table1722[[#This Row],[Uraian]])&gt;2,1," ")</f>
        <v xml:space="preserve"> </v>
      </c>
      <c r="E5861" s="113" t="str">
        <f>IF(Table1722[[#This Row],[Lawan Transaksi]]="CV AGUNG KARYA",COUNTIF($I$10:I5861,"CV AGUNG KARYA")," ")</f>
        <v xml:space="preserve"> </v>
      </c>
      <c r="F5861" s="107" t="str">
        <f>IF(LEN(Table1722[[#This Row],[Uraian]])&gt;2,TRIM(RIGHT(SUBSTITUTE(TRIM(C5861)," ",REPT(" ",255)),255))," ")</f>
        <v xml:space="preserve"> </v>
      </c>
      <c r="G5861" s="110">
        <f>COPY!Z5853</f>
        <v>0</v>
      </c>
      <c r="H5861" s="111" t="str">
        <f>IFERROR(VLOOKUP(Table1722[[#This Row],[Bukti]],'Un nOTA'!$A$4:$K$5003,10,FALSE),"")</f>
        <v/>
      </c>
      <c r="I5861" s="123" t="str">
        <f>IFERROR(VLOOKUP(Table1722[[#This Row],[Bukti]],Table13[#Data],11,FALSE),"")</f>
        <v/>
      </c>
    </row>
    <row r="5862" spans="1:9" hidden="1" x14ac:dyDescent="0.2">
      <c r="A5862" s="105" t="str">
        <f>IF(D5862=1,COUNTIF($D$10:D5862,1)," ")</f>
        <v xml:space="preserve"> </v>
      </c>
      <c r="B5862" s="106">
        <f>COPY!AR5854</f>
        <v>0</v>
      </c>
      <c r="C5862" s="107">
        <f>COPY!AC5854</f>
        <v>0</v>
      </c>
      <c r="D5862" s="107" t="str">
        <f>IF(LEN(Table1722[[#This Row],[Uraian]])&gt;2,1," ")</f>
        <v xml:space="preserve"> </v>
      </c>
      <c r="E5862" s="113" t="str">
        <f>IF(Table1722[[#This Row],[Lawan Transaksi]]="CV AGUNG KARYA",COUNTIF($I$10:I5862,"CV AGUNG KARYA")," ")</f>
        <v xml:space="preserve"> </v>
      </c>
      <c r="F5862" s="107" t="str">
        <f>IF(LEN(Table1722[[#This Row],[Uraian]])&gt;2,TRIM(RIGHT(SUBSTITUTE(TRIM(C5862)," ",REPT(" ",255)),255))," ")</f>
        <v xml:space="preserve"> </v>
      </c>
      <c r="G5862" s="110">
        <f>COPY!Z5854</f>
        <v>0</v>
      </c>
      <c r="H5862" s="111" t="str">
        <f>IFERROR(VLOOKUP(Table1722[[#This Row],[Bukti]],'Un nOTA'!$A$4:$K$5003,10,FALSE),"")</f>
        <v/>
      </c>
      <c r="I5862" s="123" t="str">
        <f>IFERROR(VLOOKUP(Table1722[[#This Row],[Bukti]],Table13[#Data],11,FALSE),"")</f>
        <v/>
      </c>
    </row>
    <row r="5863" spans="1:9" hidden="1" x14ac:dyDescent="0.2">
      <c r="A5863" s="105" t="str">
        <f>IF(D5863=1,COUNTIF($D$10:D5863,1)," ")</f>
        <v xml:space="preserve"> </v>
      </c>
      <c r="B5863" s="106">
        <f>COPY!AR5855</f>
        <v>0</v>
      </c>
      <c r="C5863" s="107">
        <f>COPY!AC5855</f>
        <v>0</v>
      </c>
      <c r="D5863" s="107" t="str">
        <f>IF(LEN(Table1722[[#This Row],[Uraian]])&gt;2,1," ")</f>
        <v xml:space="preserve"> </v>
      </c>
      <c r="E5863" s="113" t="str">
        <f>IF(Table1722[[#This Row],[Lawan Transaksi]]="CV AGUNG KARYA",COUNTIF($I$10:I5863,"CV AGUNG KARYA")," ")</f>
        <v xml:space="preserve"> </v>
      </c>
      <c r="F5863" s="107" t="str">
        <f>IF(LEN(Table1722[[#This Row],[Uraian]])&gt;2,TRIM(RIGHT(SUBSTITUTE(TRIM(C5863)," ",REPT(" ",255)),255))," ")</f>
        <v xml:space="preserve"> </v>
      </c>
      <c r="G5863" s="110">
        <f>COPY!Z5855</f>
        <v>0</v>
      </c>
      <c r="H5863" s="111" t="str">
        <f>IFERROR(VLOOKUP(Table1722[[#This Row],[Bukti]],'Un nOTA'!$A$4:$K$5003,10,FALSE),"")</f>
        <v/>
      </c>
      <c r="I5863" s="123" t="str">
        <f>IFERROR(VLOOKUP(Table1722[[#This Row],[Bukti]],Table13[#Data],11,FALSE),"")</f>
        <v/>
      </c>
    </row>
    <row r="5864" spans="1:9" hidden="1" x14ac:dyDescent="0.2">
      <c r="A5864" s="105" t="str">
        <f>IF(D5864=1,COUNTIF($D$10:D5864,1)," ")</f>
        <v xml:space="preserve"> </v>
      </c>
      <c r="B5864" s="106">
        <f>COPY!AR5856</f>
        <v>0</v>
      </c>
      <c r="C5864" s="107">
        <f>COPY!AC5856</f>
        <v>0</v>
      </c>
      <c r="D5864" s="107" t="str">
        <f>IF(LEN(Table1722[[#This Row],[Uraian]])&gt;2,1," ")</f>
        <v xml:space="preserve"> </v>
      </c>
      <c r="E5864" s="113" t="str">
        <f>IF(Table1722[[#This Row],[Lawan Transaksi]]="CV AGUNG KARYA",COUNTIF($I$10:I5864,"CV AGUNG KARYA")," ")</f>
        <v xml:space="preserve"> </v>
      </c>
      <c r="F5864" s="107" t="str">
        <f>IF(LEN(Table1722[[#This Row],[Uraian]])&gt;2,TRIM(RIGHT(SUBSTITUTE(TRIM(C5864)," ",REPT(" ",255)),255))," ")</f>
        <v xml:space="preserve"> </v>
      </c>
      <c r="G5864" s="110">
        <f>COPY!Z5856</f>
        <v>0</v>
      </c>
      <c r="H5864" s="111" t="str">
        <f>IFERROR(VLOOKUP(Table1722[[#This Row],[Bukti]],'Un nOTA'!$A$4:$K$5003,10,FALSE),"")</f>
        <v/>
      </c>
      <c r="I5864" s="123" t="str">
        <f>IFERROR(VLOOKUP(Table1722[[#This Row],[Bukti]],Table13[#Data],11,FALSE),"")</f>
        <v/>
      </c>
    </row>
    <row r="5865" spans="1:9" hidden="1" x14ac:dyDescent="0.2">
      <c r="A5865" s="105" t="str">
        <f>IF(D5865=1,COUNTIF($D$10:D5865,1)," ")</f>
        <v xml:space="preserve"> </v>
      </c>
      <c r="B5865" s="106">
        <f>COPY!AR5857</f>
        <v>0</v>
      </c>
      <c r="C5865" s="107">
        <f>COPY!AC5857</f>
        <v>0</v>
      </c>
      <c r="D5865" s="107" t="str">
        <f>IF(LEN(Table1722[[#This Row],[Uraian]])&gt;2,1," ")</f>
        <v xml:space="preserve"> </v>
      </c>
      <c r="E5865" s="113" t="str">
        <f>IF(Table1722[[#This Row],[Lawan Transaksi]]="CV AGUNG KARYA",COUNTIF($I$10:I5865,"CV AGUNG KARYA")," ")</f>
        <v xml:space="preserve"> </v>
      </c>
      <c r="F5865" s="107" t="str">
        <f>IF(LEN(Table1722[[#This Row],[Uraian]])&gt;2,TRIM(RIGHT(SUBSTITUTE(TRIM(C5865)," ",REPT(" ",255)),255))," ")</f>
        <v xml:space="preserve"> </v>
      </c>
      <c r="G5865" s="110">
        <f>COPY!Z5857</f>
        <v>0</v>
      </c>
      <c r="H5865" s="111" t="str">
        <f>IFERROR(VLOOKUP(Table1722[[#This Row],[Bukti]],'Un nOTA'!$A$4:$K$5003,10,FALSE),"")</f>
        <v/>
      </c>
      <c r="I5865" s="123" t="str">
        <f>IFERROR(VLOOKUP(Table1722[[#This Row],[Bukti]],Table13[#Data],11,FALSE),"")</f>
        <v/>
      </c>
    </row>
    <row r="5866" spans="1:9" hidden="1" x14ac:dyDescent="0.2">
      <c r="A5866" s="105" t="str">
        <f>IF(D5866=1,COUNTIF($D$10:D5866,1)," ")</f>
        <v xml:space="preserve"> </v>
      </c>
      <c r="B5866" s="106">
        <f>COPY!AR5858</f>
        <v>0</v>
      </c>
      <c r="C5866" s="107">
        <f>COPY!AC5858</f>
        <v>0</v>
      </c>
      <c r="D5866" s="107" t="str">
        <f>IF(LEN(Table1722[[#This Row],[Uraian]])&gt;2,1," ")</f>
        <v xml:space="preserve"> </v>
      </c>
      <c r="E5866" s="113" t="str">
        <f>IF(Table1722[[#This Row],[Lawan Transaksi]]="CV AGUNG KARYA",COUNTIF($I$10:I5866,"CV AGUNG KARYA")," ")</f>
        <v xml:space="preserve"> </v>
      </c>
      <c r="F5866" s="107" t="str">
        <f>IF(LEN(Table1722[[#This Row],[Uraian]])&gt;2,TRIM(RIGHT(SUBSTITUTE(TRIM(C5866)," ",REPT(" ",255)),255))," ")</f>
        <v xml:space="preserve"> </v>
      </c>
      <c r="G5866" s="110">
        <f>COPY!Z5858</f>
        <v>0</v>
      </c>
      <c r="H5866" s="111" t="str">
        <f>IFERROR(VLOOKUP(Table1722[[#This Row],[Bukti]],'Un nOTA'!$A$4:$K$5003,10,FALSE),"")</f>
        <v/>
      </c>
      <c r="I5866" s="123" t="str">
        <f>IFERROR(VLOOKUP(Table1722[[#This Row],[Bukti]],Table13[#Data],11,FALSE),"")</f>
        <v/>
      </c>
    </row>
    <row r="5867" spans="1:9" hidden="1" x14ac:dyDescent="0.2">
      <c r="A5867" s="105" t="str">
        <f>IF(D5867=1,COUNTIF($D$10:D5867,1)," ")</f>
        <v xml:space="preserve"> </v>
      </c>
      <c r="B5867" s="106">
        <f>COPY!AR5859</f>
        <v>0</v>
      </c>
      <c r="C5867" s="107">
        <f>COPY!AC5859</f>
        <v>0</v>
      </c>
      <c r="D5867" s="107" t="str">
        <f>IF(LEN(Table1722[[#This Row],[Uraian]])&gt;2,1," ")</f>
        <v xml:space="preserve"> </v>
      </c>
      <c r="E5867" s="113" t="str">
        <f>IF(Table1722[[#This Row],[Lawan Transaksi]]="CV AGUNG KARYA",COUNTIF($I$10:I5867,"CV AGUNG KARYA")," ")</f>
        <v xml:space="preserve"> </v>
      </c>
      <c r="F5867" s="107" t="str">
        <f>IF(LEN(Table1722[[#This Row],[Uraian]])&gt;2,TRIM(RIGHT(SUBSTITUTE(TRIM(C5867)," ",REPT(" ",255)),255))," ")</f>
        <v xml:space="preserve"> </v>
      </c>
      <c r="G5867" s="110">
        <f>COPY!Z5859</f>
        <v>0</v>
      </c>
      <c r="H5867" s="111" t="str">
        <f>IFERROR(VLOOKUP(Table1722[[#This Row],[Bukti]],'Un nOTA'!$A$4:$K$5003,10,FALSE),"")</f>
        <v/>
      </c>
      <c r="I5867" s="123" t="str">
        <f>IFERROR(VLOOKUP(Table1722[[#This Row],[Bukti]],Table13[#Data],11,FALSE),"")</f>
        <v/>
      </c>
    </row>
    <row r="5868" spans="1:9" hidden="1" x14ac:dyDescent="0.2">
      <c r="A5868" s="105" t="str">
        <f>IF(D5868=1,COUNTIF($D$10:D5868,1)," ")</f>
        <v xml:space="preserve"> </v>
      </c>
      <c r="B5868" s="106">
        <f>COPY!AR5860</f>
        <v>0</v>
      </c>
      <c r="C5868" s="107">
        <f>COPY!AC5860</f>
        <v>0</v>
      </c>
      <c r="D5868" s="107" t="str">
        <f>IF(LEN(Table1722[[#This Row],[Uraian]])&gt;2,1," ")</f>
        <v xml:space="preserve"> </v>
      </c>
      <c r="E5868" s="113" t="str">
        <f>IF(Table1722[[#This Row],[Lawan Transaksi]]="CV AGUNG KARYA",COUNTIF($I$10:I5868,"CV AGUNG KARYA")," ")</f>
        <v xml:space="preserve"> </v>
      </c>
      <c r="F5868" s="107" t="str">
        <f>IF(LEN(Table1722[[#This Row],[Uraian]])&gt;2,TRIM(RIGHT(SUBSTITUTE(TRIM(C5868)," ",REPT(" ",255)),255))," ")</f>
        <v xml:space="preserve"> </v>
      </c>
      <c r="G5868" s="110">
        <f>COPY!Z5860</f>
        <v>0</v>
      </c>
      <c r="H5868" s="111" t="str">
        <f>IFERROR(VLOOKUP(Table1722[[#This Row],[Bukti]],'Un nOTA'!$A$4:$K$5003,10,FALSE),"")</f>
        <v/>
      </c>
      <c r="I5868" s="123" t="str">
        <f>IFERROR(VLOOKUP(Table1722[[#This Row],[Bukti]],Table13[#Data],11,FALSE),"")</f>
        <v/>
      </c>
    </row>
    <row r="5869" spans="1:9" hidden="1" x14ac:dyDescent="0.2">
      <c r="A5869" s="105" t="str">
        <f>IF(D5869=1,COUNTIF($D$10:D5869,1)," ")</f>
        <v xml:space="preserve"> </v>
      </c>
      <c r="B5869" s="106">
        <f>COPY!AR5861</f>
        <v>0</v>
      </c>
      <c r="C5869" s="107">
        <f>COPY!AC5861</f>
        <v>0</v>
      </c>
      <c r="D5869" s="107" t="str">
        <f>IF(LEN(Table1722[[#This Row],[Uraian]])&gt;2,1," ")</f>
        <v xml:space="preserve"> </v>
      </c>
      <c r="E5869" s="113" t="str">
        <f>IF(Table1722[[#This Row],[Lawan Transaksi]]="CV AGUNG KARYA",COUNTIF($I$10:I5869,"CV AGUNG KARYA")," ")</f>
        <v xml:space="preserve"> </v>
      </c>
      <c r="F5869" s="107" t="str">
        <f>IF(LEN(Table1722[[#This Row],[Uraian]])&gt;2,TRIM(RIGHT(SUBSTITUTE(TRIM(C5869)," ",REPT(" ",255)),255))," ")</f>
        <v xml:space="preserve"> </v>
      </c>
      <c r="G5869" s="110">
        <f>COPY!Z5861</f>
        <v>0</v>
      </c>
      <c r="H5869" s="111" t="str">
        <f>IFERROR(VLOOKUP(Table1722[[#This Row],[Bukti]],'Un nOTA'!$A$4:$K$5003,10,FALSE),"")</f>
        <v/>
      </c>
      <c r="I5869" s="123" t="str">
        <f>IFERROR(VLOOKUP(Table1722[[#This Row],[Bukti]],Table13[#Data],11,FALSE),"")</f>
        <v/>
      </c>
    </row>
    <row r="5870" spans="1:9" hidden="1" x14ac:dyDescent="0.2">
      <c r="A5870" s="105" t="str">
        <f>IF(D5870=1,COUNTIF($D$10:D5870,1)," ")</f>
        <v xml:space="preserve"> </v>
      </c>
      <c r="B5870" s="106">
        <f>COPY!AR5862</f>
        <v>0</v>
      </c>
      <c r="C5870" s="107">
        <f>COPY!AC5862</f>
        <v>0</v>
      </c>
      <c r="D5870" s="107" t="str">
        <f>IF(LEN(Table1722[[#This Row],[Uraian]])&gt;2,1," ")</f>
        <v xml:space="preserve"> </v>
      </c>
      <c r="E5870" s="113" t="str">
        <f>IF(Table1722[[#This Row],[Lawan Transaksi]]="CV AGUNG KARYA",COUNTIF($I$10:I5870,"CV AGUNG KARYA")," ")</f>
        <v xml:space="preserve"> </v>
      </c>
      <c r="F5870" s="107" t="str">
        <f>IF(LEN(Table1722[[#This Row],[Uraian]])&gt;2,TRIM(RIGHT(SUBSTITUTE(TRIM(C5870)," ",REPT(" ",255)),255))," ")</f>
        <v xml:space="preserve"> </v>
      </c>
      <c r="G5870" s="110">
        <f>COPY!Z5862</f>
        <v>0</v>
      </c>
      <c r="H5870" s="111" t="str">
        <f>IFERROR(VLOOKUP(Table1722[[#This Row],[Bukti]],'Un nOTA'!$A$4:$K$5003,10,FALSE),"")</f>
        <v/>
      </c>
      <c r="I5870" s="123" t="str">
        <f>IFERROR(VLOOKUP(Table1722[[#This Row],[Bukti]],Table13[#Data],11,FALSE),"")</f>
        <v/>
      </c>
    </row>
    <row r="5871" spans="1:9" hidden="1" x14ac:dyDescent="0.2">
      <c r="A5871" s="105" t="str">
        <f>IF(D5871=1,COUNTIF($D$10:D5871,1)," ")</f>
        <v xml:space="preserve"> </v>
      </c>
      <c r="B5871" s="106">
        <f>COPY!AR5863</f>
        <v>0</v>
      </c>
      <c r="C5871" s="107">
        <f>COPY!AC5863</f>
        <v>0</v>
      </c>
      <c r="D5871" s="107" t="str">
        <f>IF(LEN(Table1722[[#This Row],[Uraian]])&gt;2,1," ")</f>
        <v xml:space="preserve"> </v>
      </c>
      <c r="E5871" s="113" t="str">
        <f>IF(Table1722[[#This Row],[Lawan Transaksi]]="CV AGUNG KARYA",COUNTIF($I$10:I5871,"CV AGUNG KARYA")," ")</f>
        <v xml:space="preserve"> </v>
      </c>
      <c r="F5871" s="107" t="str">
        <f>IF(LEN(Table1722[[#This Row],[Uraian]])&gt;2,TRIM(RIGHT(SUBSTITUTE(TRIM(C5871)," ",REPT(" ",255)),255))," ")</f>
        <v xml:space="preserve"> </v>
      </c>
      <c r="G5871" s="110">
        <f>COPY!Z5863</f>
        <v>0</v>
      </c>
      <c r="H5871" s="111" t="str">
        <f>IFERROR(VLOOKUP(Table1722[[#This Row],[Bukti]],'Un nOTA'!$A$4:$K$5003,10,FALSE),"")</f>
        <v/>
      </c>
      <c r="I5871" s="123" t="str">
        <f>IFERROR(VLOOKUP(Table1722[[#This Row],[Bukti]],Table13[#Data],11,FALSE),"")</f>
        <v/>
      </c>
    </row>
    <row r="5872" spans="1:9" hidden="1" x14ac:dyDescent="0.2">
      <c r="A5872" s="105" t="str">
        <f>IF(D5872=1,COUNTIF($D$10:D5872,1)," ")</f>
        <v xml:space="preserve"> </v>
      </c>
      <c r="B5872" s="106">
        <f>COPY!AR5864</f>
        <v>0</v>
      </c>
      <c r="C5872" s="107">
        <f>COPY!AC5864</f>
        <v>0</v>
      </c>
      <c r="D5872" s="107" t="str">
        <f>IF(LEN(Table1722[[#This Row],[Uraian]])&gt;2,1," ")</f>
        <v xml:space="preserve"> </v>
      </c>
      <c r="E5872" s="113" t="str">
        <f>IF(Table1722[[#This Row],[Lawan Transaksi]]="CV AGUNG KARYA",COUNTIF($I$10:I5872,"CV AGUNG KARYA")," ")</f>
        <v xml:space="preserve"> </v>
      </c>
      <c r="F5872" s="107" t="str">
        <f>IF(LEN(Table1722[[#This Row],[Uraian]])&gt;2,TRIM(RIGHT(SUBSTITUTE(TRIM(C5872)," ",REPT(" ",255)),255))," ")</f>
        <v xml:space="preserve"> </v>
      </c>
      <c r="G5872" s="110">
        <f>COPY!Z5864</f>
        <v>0</v>
      </c>
      <c r="H5872" s="111" t="str">
        <f>IFERROR(VLOOKUP(Table1722[[#This Row],[Bukti]],'Un nOTA'!$A$4:$K$5003,10,FALSE),"")</f>
        <v/>
      </c>
      <c r="I5872" s="123" t="str">
        <f>IFERROR(VLOOKUP(Table1722[[#This Row],[Bukti]],Table13[#Data],11,FALSE),"")</f>
        <v/>
      </c>
    </row>
    <row r="5873" spans="1:9" hidden="1" x14ac:dyDescent="0.2">
      <c r="A5873" s="105" t="str">
        <f>IF(D5873=1,COUNTIF($D$10:D5873,1)," ")</f>
        <v xml:space="preserve"> </v>
      </c>
      <c r="B5873" s="106">
        <f>COPY!AR5865</f>
        <v>0</v>
      </c>
      <c r="C5873" s="107">
        <f>COPY!AC5865</f>
        <v>0</v>
      </c>
      <c r="D5873" s="107" t="str">
        <f>IF(LEN(Table1722[[#This Row],[Uraian]])&gt;2,1," ")</f>
        <v xml:space="preserve"> </v>
      </c>
      <c r="E5873" s="113" t="str">
        <f>IF(Table1722[[#This Row],[Lawan Transaksi]]="CV AGUNG KARYA",COUNTIF($I$10:I5873,"CV AGUNG KARYA")," ")</f>
        <v xml:space="preserve"> </v>
      </c>
      <c r="F5873" s="107" t="str">
        <f>IF(LEN(Table1722[[#This Row],[Uraian]])&gt;2,TRIM(RIGHT(SUBSTITUTE(TRIM(C5873)," ",REPT(" ",255)),255))," ")</f>
        <v xml:space="preserve"> </v>
      </c>
      <c r="G5873" s="110">
        <f>COPY!Z5865</f>
        <v>0</v>
      </c>
      <c r="H5873" s="111" t="str">
        <f>IFERROR(VLOOKUP(Table1722[[#This Row],[Bukti]],'Un nOTA'!$A$4:$K$5003,10,FALSE),"")</f>
        <v/>
      </c>
      <c r="I5873" s="123" t="str">
        <f>IFERROR(VLOOKUP(Table1722[[#This Row],[Bukti]],Table13[#Data],11,FALSE),"")</f>
        <v/>
      </c>
    </row>
    <row r="5874" spans="1:9" hidden="1" x14ac:dyDescent="0.2">
      <c r="A5874" s="105" t="str">
        <f>IF(D5874=1,COUNTIF($D$10:D5874,1)," ")</f>
        <v xml:space="preserve"> </v>
      </c>
      <c r="B5874" s="106">
        <f>COPY!AR5866</f>
        <v>0</v>
      </c>
      <c r="C5874" s="107">
        <f>COPY!AC5866</f>
        <v>0</v>
      </c>
      <c r="D5874" s="107" t="str">
        <f>IF(LEN(Table1722[[#This Row],[Uraian]])&gt;2,1," ")</f>
        <v xml:space="preserve"> </v>
      </c>
      <c r="E5874" s="113" t="str">
        <f>IF(Table1722[[#This Row],[Lawan Transaksi]]="CV AGUNG KARYA",COUNTIF($I$10:I5874,"CV AGUNG KARYA")," ")</f>
        <v xml:space="preserve"> </v>
      </c>
      <c r="F5874" s="107" t="str">
        <f>IF(LEN(Table1722[[#This Row],[Uraian]])&gt;2,TRIM(RIGHT(SUBSTITUTE(TRIM(C5874)," ",REPT(" ",255)),255))," ")</f>
        <v xml:space="preserve"> </v>
      </c>
      <c r="G5874" s="110">
        <f>COPY!Z5866</f>
        <v>0</v>
      </c>
      <c r="H5874" s="111" t="str">
        <f>IFERROR(VLOOKUP(Table1722[[#This Row],[Bukti]],'Un nOTA'!$A$4:$K$5003,10,FALSE),"")</f>
        <v/>
      </c>
      <c r="I5874" s="123" t="str">
        <f>IFERROR(VLOOKUP(Table1722[[#This Row],[Bukti]],Table13[#Data],11,FALSE),"")</f>
        <v/>
      </c>
    </row>
    <row r="5875" spans="1:9" hidden="1" x14ac:dyDescent="0.2">
      <c r="A5875" s="105" t="str">
        <f>IF(D5875=1,COUNTIF($D$10:D5875,1)," ")</f>
        <v xml:space="preserve"> </v>
      </c>
      <c r="B5875" s="106">
        <f>COPY!AR5867</f>
        <v>0</v>
      </c>
      <c r="C5875" s="107">
        <f>COPY!AC5867</f>
        <v>0</v>
      </c>
      <c r="D5875" s="107" t="str">
        <f>IF(LEN(Table1722[[#This Row],[Uraian]])&gt;2,1," ")</f>
        <v xml:space="preserve"> </v>
      </c>
      <c r="E5875" s="113" t="str">
        <f>IF(Table1722[[#This Row],[Lawan Transaksi]]="CV AGUNG KARYA",COUNTIF($I$10:I5875,"CV AGUNG KARYA")," ")</f>
        <v xml:space="preserve"> </v>
      </c>
      <c r="F5875" s="107" t="str">
        <f>IF(LEN(Table1722[[#This Row],[Uraian]])&gt;2,TRIM(RIGHT(SUBSTITUTE(TRIM(C5875)," ",REPT(" ",255)),255))," ")</f>
        <v xml:space="preserve"> </v>
      </c>
      <c r="G5875" s="110">
        <f>COPY!Z5867</f>
        <v>0</v>
      </c>
      <c r="H5875" s="111" t="str">
        <f>IFERROR(VLOOKUP(Table1722[[#This Row],[Bukti]],'Un nOTA'!$A$4:$K$5003,10,FALSE),"")</f>
        <v/>
      </c>
      <c r="I5875" s="123" t="str">
        <f>IFERROR(VLOOKUP(Table1722[[#This Row],[Bukti]],Table13[#Data],11,FALSE),"")</f>
        <v/>
      </c>
    </row>
    <row r="5876" spans="1:9" hidden="1" x14ac:dyDescent="0.2">
      <c r="A5876" s="105" t="str">
        <f>IF(D5876=1,COUNTIF($D$10:D5876,1)," ")</f>
        <v xml:space="preserve"> </v>
      </c>
      <c r="B5876" s="106">
        <f>COPY!AR5868</f>
        <v>0</v>
      </c>
      <c r="C5876" s="107">
        <f>COPY!AC5868</f>
        <v>0</v>
      </c>
      <c r="D5876" s="107" t="str">
        <f>IF(LEN(Table1722[[#This Row],[Uraian]])&gt;2,1," ")</f>
        <v xml:space="preserve"> </v>
      </c>
      <c r="E5876" s="113" t="str">
        <f>IF(Table1722[[#This Row],[Lawan Transaksi]]="CV AGUNG KARYA",COUNTIF($I$10:I5876,"CV AGUNG KARYA")," ")</f>
        <v xml:space="preserve"> </v>
      </c>
      <c r="F5876" s="107" t="str">
        <f>IF(LEN(Table1722[[#This Row],[Uraian]])&gt;2,TRIM(RIGHT(SUBSTITUTE(TRIM(C5876)," ",REPT(" ",255)),255))," ")</f>
        <v xml:space="preserve"> </v>
      </c>
      <c r="G5876" s="110">
        <f>COPY!Z5868</f>
        <v>0</v>
      </c>
      <c r="H5876" s="111" t="str">
        <f>IFERROR(VLOOKUP(Table1722[[#This Row],[Bukti]],'Un nOTA'!$A$4:$K$5003,10,FALSE),"")</f>
        <v/>
      </c>
      <c r="I5876" s="123" t="str">
        <f>IFERROR(VLOOKUP(Table1722[[#This Row],[Bukti]],Table13[#Data],11,FALSE),"")</f>
        <v/>
      </c>
    </row>
    <row r="5877" spans="1:9" hidden="1" x14ac:dyDescent="0.2">
      <c r="A5877" s="105" t="str">
        <f>IF(D5877=1,COUNTIF($D$10:D5877,1)," ")</f>
        <v xml:space="preserve"> </v>
      </c>
      <c r="B5877" s="106">
        <f>COPY!AR5869</f>
        <v>0</v>
      </c>
      <c r="C5877" s="107">
        <f>COPY!AC5869</f>
        <v>0</v>
      </c>
      <c r="D5877" s="107" t="str">
        <f>IF(LEN(Table1722[[#This Row],[Uraian]])&gt;2,1," ")</f>
        <v xml:space="preserve"> </v>
      </c>
      <c r="E5877" s="113" t="str">
        <f>IF(Table1722[[#This Row],[Lawan Transaksi]]="CV AGUNG KARYA",COUNTIF($I$10:I5877,"CV AGUNG KARYA")," ")</f>
        <v xml:space="preserve"> </v>
      </c>
      <c r="F5877" s="107" t="str">
        <f>IF(LEN(Table1722[[#This Row],[Uraian]])&gt;2,TRIM(RIGHT(SUBSTITUTE(TRIM(C5877)," ",REPT(" ",255)),255))," ")</f>
        <v xml:space="preserve"> </v>
      </c>
      <c r="G5877" s="110">
        <f>COPY!Z5869</f>
        <v>0</v>
      </c>
      <c r="H5877" s="111" t="str">
        <f>IFERROR(VLOOKUP(Table1722[[#This Row],[Bukti]],'Un nOTA'!$A$4:$K$5003,10,FALSE),"")</f>
        <v/>
      </c>
      <c r="I5877" s="123" t="str">
        <f>IFERROR(VLOOKUP(Table1722[[#This Row],[Bukti]],Table13[#Data],11,FALSE),"")</f>
        <v/>
      </c>
    </row>
    <row r="5878" spans="1:9" hidden="1" x14ac:dyDescent="0.2">
      <c r="A5878" s="105" t="str">
        <f>IF(D5878=1,COUNTIF($D$10:D5878,1)," ")</f>
        <v xml:space="preserve"> </v>
      </c>
      <c r="B5878" s="106">
        <f>COPY!AR5870</f>
        <v>0</v>
      </c>
      <c r="C5878" s="107">
        <f>COPY!AC5870</f>
        <v>0</v>
      </c>
      <c r="D5878" s="107" t="str">
        <f>IF(LEN(Table1722[[#This Row],[Uraian]])&gt;2,1," ")</f>
        <v xml:space="preserve"> </v>
      </c>
      <c r="E5878" s="113" t="str">
        <f>IF(Table1722[[#This Row],[Lawan Transaksi]]="CV AGUNG KARYA",COUNTIF($I$10:I5878,"CV AGUNG KARYA")," ")</f>
        <v xml:space="preserve"> </v>
      </c>
      <c r="F5878" s="107" t="str">
        <f>IF(LEN(Table1722[[#This Row],[Uraian]])&gt;2,TRIM(RIGHT(SUBSTITUTE(TRIM(C5878)," ",REPT(" ",255)),255))," ")</f>
        <v xml:space="preserve"> </v>
      </c>
      <c r="G5878" s="110">
        <f>COPY!Z5870</f>
        <v>0</v>
      </c>
      <c r="H5878" s="111" t="str">
        <f>IFERROR(VLOOKUP(Table1722[[#This Row],[Bukti]],'Un nOTA'!$A$4:$K$5003,10,FALSE),"")</f>
        <v/>
      </c>
      <c r="I5878" s="123" t="str">
        <f>IFERROR(VLOOKUP(Table1722[[#This Row],[Bukti]],Table13[#Data],11,FALSE),"")</f>
        <v/>
      </c>
    </row>
    <row r="5879" spans="1:9" hidden="1" x14ac:dyDescent="0.2">
      <c r="A5879" s="105" t="str">
        <f>IF(D5879=1,COUNTIF($D$10:D5879,1)," ")</f>
        <v xml:space="preserve"> </v>
      </c>
      <c r="B5879" s="106">
        <f>COPY!AR5871</f>
        <v>0</v>
      </c>
      <c r="C5879" s="107">
        <f>COPY!AC5871</f>
        <v>0</v>
      </c>
      <c r="D5879" s="107" t="str">
        <f>IF(LEN(Table1722[[#This Row],[Uraian]])&gt;2,1," ")</f>
        <v xml:space="preserve"> </v>
      </c>
      <c r="E5879" s="113" t="str">
        <f>IF(Table1722[[#This Row],[Lawan Transaksi]]="CV AGUNG KARYA",COUNTIF($I$10:I5879,"CV AGUNG KARYA")," ")</f>
        <v xml:space="preserve"> </v>
      </c>
      <c r="F5879" s="107" t="str">
        <f>IF(LEN(Table1722[[#This Row],[Uraian]])&gt;2,TRIM(RIGHT(SUBSTITUTE(TRIM(C5879)," ",REPT(" ",255)),255))," ")</f>
        <v xml:space="preserve"> </v>
      </c>
      <c r="G5879" s="110">
        <f>COPY!Z5871</f>
        <v>0</v>
      </c>
      <c r="H5879" s="111" t="str">
        <f>IFERROR(VLOOKUP(Table1722[[#This Row],[Bukti]],'Un nOTA'!$A$4:$K$5003,10,FALSE),"")</f>
        <v/>
      </c>
      <c r="I5879" s="123" t="str">
        <f>IFERROR(VLOOKUP(Table1722[[#This Row],[Bukti]],Table13[#Data],11,FALSE),"")</f>
        <v/>
      </c>
    </row>
    <row r="5880" spans="1:9" hidden="1" x14ac:dyDescent="0.2">
      <c r="A5880" s="105" t="str">
        <f>IF(D5880=1,COUNTIF($D$10:D5880,1)," ")</f>
        <v xml:space="preserve"> </v>
      </c>
      <c r="B5880" s="106">
        <f>COPY!AR5872</f>
        <v>0</v>
      </c>
      <c r="C5880" s="107">
        <f>COPY!AC5872</f>
        <v>0</v>
      </c>
      <c r="D5880" s="107" t="str">
        <f>IF(LEN(Table1722[[#This Row],[Uraian]])&gt;2,1," ")</f>
        <v xml:space="preserve"> </v>
      </c>
      <c r="E5880" s="113" t="str">
        <f>IF(Table1722[[#This Row],[Lawan Transaksi]]="CV AGUNG KARYA",COUNTIF($I$10:I5880,"CV AGUNG KARYA")," ")</f>
        <v xml:space="preserve"> </v>
      </c>
      <c r="F5880" s="107" t="str">
        <f>IF(LEN(Table1722[[#This Row],[Uraian]])&gt;2,TRIM(RIGHT(SUBSTITUTE(TRIM(C5880)," ",REPT(" ",255)),255))," ")</f>
        <v xml:space="preserve"> </v>
      </c>
      <c r="G5880" s="110">
        <f>COPY!Z5872</f>
        <v>0</v>
      </c>
      <c r="H5880" s="111" t="str">
        <f>IFERROR(VLOOKUP(Table1722[[#This Row],[Bukti]],'Un nOTA'!$A$4:$K$5003,10,FALSE),"")</f>
        <v/>
      </c>
      <c r="I5880" s="123" t="str">
        <f>IFERROR(VLOOKUP(Table1722[[#This Row],[Bukti]],Table13[#Data],11,FALSE),"")</f>
        <v/>
      </c>
    </row>
    <row r="5881" spans="1:9" hidden="1" x14ac:dyDescent="0.2">
      <c r="A5881" s="105" t="str">
        <f>IF(D5881=1,COUNTIF($D$10:D5881,1)," ")</f>
        <v xml:space="preserve"> </v>
      </c>
      <c r="B5881" s="106">
        <f>COPY!AR5873</f>
        <v>0</v>
      </c>
      <c r="C5881" s="107">
        <f>COPY!AC5873</f>
        <v>0</v>
      </c>
      <c r="D5881" s="107" t="str">
        <f>IF(LEN(Table1722[[#This Row],[Uraian]])&gt;2,1," ")</f>
        <v xml:space="preserve"> </v>
      </c>
      <c r="E5881" s="113" t="str">
        <f>IF(Table1722[[#This Row],[Lawan Transaksi]]="CV AGUNG KARYA",COUNTIF($I$10:I5881,"CV AGUNG KARYA")," ")</f>
        <v xml:space="preserve"> </v>
      </c>
      <c r="F5881" s="107" t="str">
        <f>IF(LEN(Table1722[[#This Row],[Uraian]])&gt;2,TRIM(RIGHT(SUBSTITUTE(TRIM(C5881)," ",REPT(" ",255)),255))," ")</f>
        <v xml:space="preserve"> </v>
      </c>
      <c r="G5881" s="110">
        <f>COPY!Z5873</f>
        <v>0</v>
      </c>
      <c r="H5881" s="111" t="str">
        <f>IFERROR(VLOOKUP(Table1722[[#This Row],[Bukti]],'Un nOTA'!$A$4:$K$5003,10,FALSE),"")</f>
        <v/>
      </c>
      <c r="I5881" s="123" t="str">
        <f>IFERROR(VLOOKUP(Table1722[[#This Row],[Bukti]],Table13[#Data],11,FALSE),"")</f>
        <v/>
      </c>
    </row>
    <row r="5882" spans="1:9" hidden="1" x14ac:dyDescent="0.2">
      <c r="A5882" s="105" t="str">
        <f>IF(D5882=1,COUNTIF($D$10:D5882,1)," ")</f>
        <v xml:space="preserve"> </v>
      </c>
      <c r="B5882" s="106">
        <f>COPY!AR5874</f>
        <v>0</v>
      </c>
      <c r="C5882" s="107">
        <f>COPY!AC5874</f>
        <v>0</v>
      </c>
      <c r="D5882" s="107" t="str">
        <f>IF(LEN(Table1722[[#This Row],[Uraian]])&gt;2,1," ")</f>
        <v xml:space="preserve"> </v>
      </c>
      <c r="E5882" s="113" t="str">
        <f>IF(Table1722[[#This Row],[Lawan Transaksi]]="CV AGUNG KARYA",COUNTIF($I$10:I5882,"CV AGUNG KARYA")," ")</f>
        <v xml:space="preserve"> </v>
      </c>
      <c r="F5882" s="107" t="str">
        <f>IF(LEN(Table1722[[#This Row],[Uraian]])&gt;2,TRIM(RIGHT(SUBSTITUTE(TRIM(C5882)," ",REPT(" ",255)),255))," ")</f>
        <v xml:space="preserve"> </v>
      </c>
      <c r="G5882" s="110">
        <f>COPY!Z5874</f>
        <v>0</v>
      </c>
      <c r="H5882" s="111" t="str">
        <f>IFERROR(VLOOKUP(Table1722[[#This Row],[Bukti]],'Un nOTA'!$A$4:$K$5003,10,FALSE),"")</f>
        <v/>
      </c>
      <c r="I5882" s="123" t="str">
        <f>IFERROR(VLOOKUP(Table1722[[#This Row],[Bukti]],Table13[#Data],11,FALSE),"")</f>
        <v/>
      </c>
    </row>
    <row r="5883" spans="1:9" hidden="1" x14ac:dyDescent="0.2">
      <c r="A5883" s="105" t="str">
        <f>IF(D5883=1,COUNTIF($D$10:D5883,1)," ")</f>
        <v xml:space="preserve"> </v>
      </c>
      <c r="B5883" s="106">
        <f>COPY!AR5875</f>
        <v>0</v>
      </c>
      <c r="C5883" s="107">
        <f>COPY!AC5875</f>
        <v>0</v>
      </c>
      <c r="D5883" s="107" t="str">
        <f>IF(LEN(Table1722[[#This Row],[Uraian]])&gt;2,1," ")</f>
        <v xml:space="preserve"> </v>
      </c>
      <c r="E5883" s="113" t="str">
        <f>IF(Table1722[[#This Row],[Lawan Transaksi]]="CV AGUNG KARYA",COUNTIF($I$10:I5883,"CV AGUNG KARYA")," ")</f>
        <v xml:space="preserve"> </v>
      </c>
      <c r="F5883" s="107" t="str">
        <f>IF(LEN(Table1722[[#This Row],[Uraian]])&gt;2,TRIM(RIGHT(SUBSTITUTE(TRIM(C5883)," ",REPT(" ",255)),255))," ")</f>
        <v xml:space="preserve"> </v>
      </c>
      <c r="G5883" s="110">
        <f>COPY!Z5875</f>
        <v>0</v>
      </c>
      <c r="H5883" s="111" t="str">
        <f>IFERROR(VLOOKUP(Table1722[[#This Row],[Bukti]],'Un nOTA'!$A$4:$K$5003,10,FALSE),"")</f>
        <v/>
      </c>
      <c r="I5883" s="123" t="str">
        <f>IFERROR(VLOOKUP(Table1722[[#This Row],[Bukti]],Table13[#Data],11,FALSE),"")</f>
        <v/>
      </c>
    </row>
    <row r="5884" spans="1:9" hidden="1" x14ac:dyDescent="0.2">
      <c r="A5884" s="105" t="str">
        <f>IF(D5884=1,COUNTIF($D$10:D5884,1)," ")</f>
        <v xml:space="preserve"> </v>
      </c>
      <c r="B5884" s="106">
        <f>COPY!AR5876</f>
        <v>0</v>
      </c>
      <c r="C5884" s="107">
        <f>COPY!AC5876</f>
        <v>0</v>
      </c>
      <c r="D5884" s="107" t="str">
        <f>IF(LEN(Table1722[[#This Row],[Uraian]])&gt;2,1," ")</f>
        <v xml:space="preserve"> </v>
      </c>
      <c r="E5884" s="113" t="str">
        <f>IF(Table1722[[#This Row],[Lawan Transaksi]]="CV AGUNG KARYA",COUNTIF($I$10:I5884,"CV AGUNG KARYA")," ")</f>
        <v xml:space="preserve"> </v>
      </c>
      <c r="F5884" s="107" t="str">
        <f>IF(LEN(Table1722[[#This Row],[Uraian]])&gt;2,TRIM(RIGHT(SUBSTITUTE(TRIM(C5884)," ",REPT(" ",255)),255))," ")</f>
        <v xml:space="preserve"> </v>
      </c>
      <c r="G5884" s="110">
        <f>COPY!Z5876</f>
        <v>0</v>
      </c>
      <c r="H5884" s="111" t="str">
        <f>IFERROR(VLOOKUP(Table1722[[#This Row],[Bukti]],'Un nOTA'!$A$4:$K$5003,10,FALSE),"")</f>
        <v/>
      </c>
      <c r="I5884" s="123" t="str">
        <f>IFERROR(VLOOKUP(Table1722[[#This Row],[Bukti]],Table13[#Data],11,FALSE),"")</f>
        <v/>
      </c>
    </row>
    <row r="5885" spans="1:9" hidden="1" x14ac:dyDescent="0.2">
      <c r="A5885" s="105" t="str">
        <f>IF(D5885=1,COUNTIF($D$10:D5885,1)," ")</f>
        <v xml:space="preserve"> </v>
      </c>
      <c r="B5885" s="106">
        <f>COPY!AR5877</f>
        <v>0</v>
      </c>
      <c r="C5885" s="107">
        <f>COPY!AC5877</f>
        <v>0</v>
      </c>
      <c r="D5885" s="107" t="str">
        <f>IF(LEN(Table1722[[#This Row],[Uraian]])&gt;2,1," ")</f>
        <v xml:space="preserve"> </v>
      </c>
      <c r="E5885" s="113" t="str">
        <f>IF(Table1722[[#This Row],[Lawan Transaksi]]="CV AGUNG KARYA",COUNTIF($I$10:I5885,"CV AGUNG KARYA")," ")</f>
        <v xml:space="preserve"> </v>
      </c>
      <c r="F5885" s="107" t="str">
        <f>IF(LEN(Table1722[[#This Row],[Uraian]])&gt;2,TRIM(RIGHT(SUBSTITUTE(TRIM(C5885)," ",REPT(" ",255)),255))," ")</f>
        <v xml:space="preserve"> </v>
      </c>
      <c r="G5885" s="110">
        <f>COPY!Z5877</f>
        <v>0</v>
      </c>
      <c r="H5885" s="111" t="str">
        <f>IFERROR(VLOOKUP(Table1722[[#This Row],[Bukti]],'Un nOTA'!$A$4:$K$5003,10,FALSE),"")</f>
        <v/>
      </c>
      <c r="I5885" s="123" t="str">
        <f>IFERROR(VLOOKUP(Table1722[[#This Row],[Bukti]],Table13[#Data],11,FALSE),"")</f>
        <v/>
      </c>
    </row>
    <row r="5886" spans="1:9" hidden="1" x14ac:dyDescent="0.2">
      <c r="A5886" s="105" t="str">
        <f>IF(D5886=1,COUNTIF($D$10:D5886,1)," ")</f>
        <v xml:space="preserve"> </v>
      </c>
      <c r="B5886" s="106">
        <f>COPY!AR5878</f>
        <v>0</v>
      </c>
      <c r="C5886" s="107">
        <f>COPY!AC5878</f>
        <v>0</v>
      </c>
      <c r="D5886" s="107" t="str">
        <f>IF(LEN(Table1722[[#This Row],[Uraian]])&gt;2,1," ")</f>
        <v xml:space="preserve"> </v>
      </c>
      <c r="E5886" s="113" t="str">
        <f>IF(Table1722[[#This Row],[Lawan Transaksi]]="CV AGUNG KARYA",COUNTIF($I$10:I5886,"CV AGUNG KARYA")," ")</f>
        <v xml:space="preserve"> </v>
      </c>
      <c r="F5886" s="107" t="str">
        <f>IF(LEN(Table1722[[#This Row],[Uraian]])&gt;2,TRIM(RIGHT(SUBSTITUTE(TRIM(C5886)," ",REPT(" ",255)),255))," ")</f>
        <v xml:space="preserve"> </v>
      </c>
      <c r="G5886" s="110">
        <f>COPY!Z5878</f>
        <v>0</v>
      </c>
      <c r="H5886" s="111" t="str">
        <f>IFERROR(VLOOKUP(Table1722[[#This Row],[Bukti]],'Un nOTA'!$A$4:$K$5003,10,FALSE),"")</f>
        <v/>
      </c>
      <c r="I5886" s="123" t="str">
        <f>IFERROR(VLOOKUP(Table1722[[#This Row],[Bukti]],Table13[#Data],11,FALSE),"")</f>
        <v/>
      </c>
    </row>
    <row r="5887" spans="1:9" hidden="1" x14ac:dyDescent="0.2">
      <c r="A5887" s="105" t="str">
        <f>IF(D5887=1,COUNTIF($D$10:D5887,1)," ")</f>
        <v xml:space="preserve"> </v>
      </c>
      <c r="B5887" s="106">
        <f>COPY!AR5879</f>
        <v>0</v>
      </c>
      <c r="C5887" s="107">
        <f>COPY!AC5879</f>
        <v>0</v>
      </c>
      <c r="D5887" s="107" t="str">
        <f>IF(LEN(Table1722[[#This Row],[Uraian]])&gt;2,1," ")</f>
        <v xml:space="preserve"> </v>
      </c>
      <c r="E5887" s="113" t="str">
        <f>IF(Table1722[[#This Row],[Lawan Transaksi]]="CV AGUNG KARYA",COUNTIF($I$10:I5887,"CV AGUNG KARYA")," ")</f>
        <v xml:space="preserve"> </v>
      </c>
      <c r="F5887" s="107" t="str">
        <f>IF(LEN(Table1722[[#This Row],[Uraian]])&gt;2,TRIM(RIGHT(SUBSTITUTE(TRIM(C5887)," ",REPT(" ",255)),255))," ")</f>
        <v xml:space="preserve"> </v>
      </c>
      <c r="G5887" s="110">
        <f>COPY!Z5879</f>
        <v>0</v>
      </c>
      <c r="H5887" s="111" t="str">
        <f>IFERROR(VLOOKUP(Table1722[[#This Row],[Bukti]],'Un nOTA'!$A$4:$K$5003,10,FALSE),"")</f>
        <v/>
      </c>
      <c r="I5887" s="123" t="str">
        <f>IFERROR(VLOOKUP(Table1722[[#This Row],[Bukti]],Table13[#Data],11,FALSE),"")</f>
        <v/>
      </c>
    </row>
    <row r="5888" spans="1:9" hidden="1" x14ac:dyDescent="0.2">
      <c r="A5888" s="105" t="str">
        <f>IF(D5888=1,COUNTIF($D$10:D5888,1)," ")</f>
        <v xml:space="preserve"> </v>
      </c>
      <c r="B5888" s="106">
        <f>COPY!AR5880</f>
        <v>0</v>
      </c>
      <c r="C5888" s="107">
        <f>COPY!AC5880</f>
        <v>0</v>
      </c>
      <c r="D5888" s="107" t="str">
        <f>IF(LEN(Table1722[[#This Row],[Uraian]])&gt;2,1," ")</f>
        <v xml:space="preserve"> </v>
      </c>
      <c r="E5888" s="113" t="str">
        <f>IF(Table1722[[#This Row],[Lawan Transaksi]]="CV AGUNG KARYA",COUNTIF($I$10:I5888,"CV AGUNG KARYA")," ")</f>
        <v xml:space="preserve"> </v>
      </c>
      <c r="F5888" s="107" t="str">
        <f>IF(LEN(Table1722[[#This Row],[Uraian]])&gt;2,TRIM(RIGHT(SUBSTITUTE(TRIM(C5888)," ",REPT(" ",255)),255))," ")</f>
        <v xml:space="preserve"> </v>
      </c>
      <c r="G5888" s="110">
        <f>COPY!Z5880</f>
        <v>0</v>
      </c>
      <c r="H5888" s="111" t="str">
        <f>IFERROR(VLOOKUP(Table1722[[#This Row],[Bukti]],'Un nOTA'!$A$4:$K$5003,10,FALSE),"")</f>
        <v/>
      </c>
      <c r="I5888" s="123" t="str">
        <f>IFERROR(VLOOKUP(Table1722[[#This Row],[Bukti]],Table13[#Data],11,FALSE),"")</f>
        <v/>
      </c>
    </row>
    <row r="5889" spans="1:9" hidden="1" x14ac:dyDescent="0.2">
      <c r="A5889" s="105" t="str">
        <f>IF(D5889=1,COUNTIF($D$10:D5889,1)," ")</f>
        <v xml:space="preserve"> </v>
      </c>
      <c r="B5889" s="106">
        <f>COPY!AR5881</f>
        <v>0</v>
      </c>
      <c r="C5889" s="107">
        <f>COPY!AC5881</f>
        <v>0</v>
      </c>
      <c r="D5889" s="107" t="str">
        <f>IF(LEN(Table1722[[#This Row],[Uraian]])&gt;2,1," ")</f>
        <v xml:space="preserve"> </v>
      </c>
      <c r="E5889" s="113" t="str">
        <f>IF(Table1722[[#This Row],[Lawan Transaksi]]="CV AGUNG KARYA",COUNTIF($I$10:I5889,"CV AGUNG KARYA")," ")</f>
        <v xml:space="preserve"> </v>
      </c>
      <c r="F5889" s="107" t="str">
        <f>IF(LEN(Table1722[[#This Row],[Uraian]])&gt;2,TRIM(RIGHT(SUBSTITUTE(TRIM(C5889)," ",REPT(" ",255)),255))," ")</f>
        <v xml:space="preserve"> </v>
      </c>
      <c r="G5889" s="110">
        <f>COPY!Z5881</f>
        <v>0</v>
      </c>
      <c r="H5889" s="111" t="str">
        <f>IFERROR(VLOOKUP(Table1722[[#This Row],[Bukti]],'Un nOTA'!$A$4:$K$5003,10,FALSE),"")</f>
        <v/>
      </c>
      <c r="I5889" s="123" t="str">
        <f>IFERROR(VLOOKUP(Table1722[[#This Row],[Bukti]],Table13[#Data],11,FALSE),"")</f>
        <v/>
      </c>
    </row>
    <row r="5890" spans="1:9" hidden="1" x14ac:dyDescent="0.2">
      <c r="A5890" s="105" t="str">
        <f>IF(D5890=1,COUNTIF($D$10:D5890,1)," ")</f>
        <v xml:space="preserve"> </v>
      </c>
      <c r="B5890" s="106">
        <f>COPY!AR5882</f>
        <v>0</v>
      </c>
      <c r="C5890" s="107">
        <f>COPY!AC5882</f>
        <v>0</v>
      </c>
      <c r="D5890" s="107" t="str">
        <f>IF(LEN(Table1722[[#This Row],[Uraian]])&gt;2,1," ")</f>
        <v xml:space="preserve"> </v>
      </c>
      <c r="E5890" s="113" t="str">
        <f>IF(Table1722[[#This Row],[Lawan Transaksi]]="CV AGUNG KARYA",COUNTIF($I$10:I5890,"CV AGUNG KARYA")," ")</f>
        <v xml:space="preserve"> </v>
      </c>
      <c r="F5890" s="107" t="str">
        <f>IF(LEN(Table1722[[#This Row],[Uraian]])&gt;2,TRIM(RIGHT(SUBSTITUTE(TRIM(C5890)," ",REPT(" ",255)),255))," ")</f>
        <v xml:space="preserve"> </v>
      </c>
      <c r="G5890" s="110">
        <f>COPY!Z5882</f>
        <v>0</v>
      </c>
      <c r="H5890" s="111" t="str">
        <f>IFERROR(VLOOKUP(Table1722[[#This Row],[Bukti]],'Un nOTA'!$A$4:$K$5003,10,FALSE),"")</f>
        <v/>
      </c>
      <c r="I5890" s="123" t="str">
        <f>IFERROR(VLOOKUP(Table1722[[#This Row],[Bukti]],Table13[#Data],11,FALSE),"")</f>
        <v/>
      </c>
    </row>
    <row r="5891" spans="1:9" hidden="1" x14ac:dyDescent="0.2">
      <c r="A5891" s="105" t="str">
        <f>IF(D5891=1,COUNTIF($D$10:D5891,1)," ")</f>
        <v xml:space="preserve"> </v>
      </c>
      <c r="B5891" s="106">
        <f>COPY!AR5883</f>
        <v>0</v>
      </c>
      <c r="C5891" s="107">
        <f>COPY!AC5883</f>
        <v>0</v>
      </c>
      <c r="D5891" s="107" t="str">
        <f>IF(LEN(Table1722[[#This Row],[Uraian]])&gt;2,1," ")</f>
        <v xml:space="preserve"> </v>
      </c>
      <c r="E5891" s="113" t="str">
        <f>IF(Table1722[[#This Row],[Lawan Transaksi]]="CV AGUNG KARYA",COUNTIF($I$10:I5891,"CV AGUNG KARYA")," ")</f>
        <v xml:space="preserve"> </v>
      </c>
      <c r="F5891" s="107" t="str">
        <f>IF(LEN(Table1722[[#This Row],[Uraian]])&gt;2,TRIM(RIGHT(SUBSTITUTE(TRIM(C5891)," ",REPT(" ",255)),255))," ")</f>
        <v xml:space="preserve"> </v>
      </c>
      <c r="G5891" s="110">
        <f>COPY!Z5883</f>
        <v>0</v>
      </c>
      <c r="H5891" s="111" t="str">
        <f>IFERROR(VLOOKUP(Table1722[[#This Row],[Bukti]],'Un nOTA'!$A$4:$K$5003,10,FALSE),"")</f>
        <v/>
      </c>
      <c r="I5891" s="123" t="str">
        <f>IFERROR(VLOOKUP(Table1722[[#This Row],[Bukti]],Table13[#Data],11,FALSE),"")</f>
        <v/>
      </c>
    </row>
    <row r="5892" spans="1:9" hidden="1" x14ac:dyDescent="0.2">
      <c r="A5892" s="105" t="str">
        <f>IF(D5892=1,COUNTIF($D$10:D5892,1)," ")</f>
        <v xml:space="preserve"> </v>
      </c>
      <c r="B5892" s="106">
        <f>COPY!AR5884</f>
        <v>0</v>
      </c>
      <c r="C5892" s="107">
        <f>COPY!AC5884</f>
        <v>0</v>
      </c>
      <c r="D5892" s="107" t="str">
        <f>IF(LEN(Table1722[[#This Row],[Uraian]])&gt;2,1," ")</f>
        <v xml:space="preserve"> </v>
      </c>
      <c r="E5892" s="113" t="str">
        <f>IF(Table1722[[#This Row],[Lawan Transaksi]]="CV AGUNG KARYA",COUNTIF($I$10:I5892,"CV AGUNG KARYA")," ")</f>
        <v xml:space="preserve"> </v>
      </c>
      <c r="F5892" s="107" t="str">
        <f>IF(LEN(Table1722[[#This Row],[Uraian]])&gt;2,TRIM(RIGHT(SUBSTITUTE(TRIM(C5892)," ",REPT(" ",255)),255))," ")</f>
        <v xml:space="preserve"> </v>
      </c>
      <c r="G5892" s="110">
        <f>COPY!Z5884</f>
        <v>0</v>
      </c>
      <c r="H5892" s="111" t="str">
        <f>IFERROR(VLOOKUP(Table1722[[#This Row],[Bukti]],'Un nOTA'!$A$4:$K$5003,10,FALSE),"")</f>
        <v/>
      </c>
      <c r="I5892" s="123" t="str">
        <f>IFERROR(VLOOKUP(Table1722[[#This Row],[Bukti]],Table13[#Data],11,FALSE),"")</f>
        <v/>
      </c>
    </row>
    <row r="5893" spans="1:9" hidden="1" x14ac:dyDescent="0.2">
      <c r="A5893" s="105" t="str">
        <f>IF(D5893=1,COUNTIF($D$10:D5893,1)," ")</f>
        <v xml:space="preserve"> </v>
      </c>
      <c r="B5893" s="106">
        <f>COPY!AR5885</f>
        <v>0</v>
      </c>
      <c r="C5893" s="107">
        <f>COPY!AC5885</f>
        <v>0</v>
      </c>
      <c r="D5893" s="107" t="str">
        <f>IF(LEN(Table1722[[#This Row],[Uraian]])&gt;2,1," ")</f>
        <v xml:space="preserve"> </v>
      </c>
      <c r="E5893" s="113" t="str">
        <f>IF(Table1722[[#This Row],[Lawan Transaksi]]="CV AGUNG KARYA",COUNTIF($I$10:I5893,"CV AGUNG KARYA")," ")</f>
        <v xml:space="preserve"> </v>
      </c>
      <c r="F5893" s="107" t="str">
        <f>IF(LEN(Table1722[[#This Row],[Uraian]])&gt;2,TRIM(RIGHT(SUBSTITUTE(TRIM(C5893)," ",REPT(" ",255)),255))," ")</f>
        <v xml:space="preserve"> </v>
      </c>
      <c r="G5893" s="110">
        <f>COPY!Z5885</f>
        <v>0</v>
      </c>
      <c r="H5893" s="111" t="str">
        <f>IFERROR(VLOOKUP(Table1722[[#This Row],[Bukti]],'Un nOTA'!$A$4:$K$5003,10,FALSE),"")</f>
        <v/>
      </c>
      <c r="I5893" s="123" t="str">
        <f>IFERROR(VLOOKUP(Table1722[[#This Row],[Bukti]],Table13[#Data],11,FALSE),"")</f>
        <v/>
      </c>
    </row>
    <row r="5894" spans="1:9" hidden="1" x14ac:dyDescent="0.2">
      <c r="A5894" s="105" t="str">
        <f>IF(D5894=1,COUNTIF($D$10:D5894,1)," ")</f>
        <v xml:space="preserve"> </v>
      </c>
      <c r="B5894" s="106">
        <f>COPY!AR5886</f>
        <v>0</v>
      </c>
      <c r="C5894" s="107">
        <f>COPY!AC5886</f>
        <v>0</v>
      </c>
      <c r="D5894" s="107" t="str">
        <f>IF(LEN(Table1722[[#This Row],[Uraian]])&gt;2,1," ")</f>
        <v xml:space="preserve"> </v>
      </c>
      <c r="E5894" s="113" t="str">
        <f>IF(Table1722[[#This Row],[Lawan Transaksi]]="CV AGUNG KARYA",COUNTIF($I$10:I5894,"CV AGUNG KARYA")," ")</f>
        <v xml:space="preserve"> </v>
      </c>
      <c r="F5894" s="107" t="str">
        <f>IF(LEN(Table1722[[#This Row],[Uraian]])&gt;2,TRIM(RIGHT(SUBSTITUTE(TRIM(C5894)," ",REPT(" ",255)),255))," ")</f>
        <v xml:space="preserve"> </v>
      </c>
      <c r="G5894" s="110">
        <f>COPY!Z5886</f>
        <v>0</v>
      </c>
      <c r="H5894" s="111" t="str">
        <f>IFERROR(VLOOKUP(Table1722[[#This Row],[Bukti]],'Un nOTA'!$A$4:$K$5003,10,FALSE),"")</f>
        <v/>
      </c>
      <c r="I5894" s="123" t="str">
        <f>IFERROR(VLOOKUP(Table1722[[#This Row],[Bukti]],Table13[#Data],11,FALSE),"")</f>
        <v/>
      </c>
    </row>
    <row r="5895" spans="1:9" hidden="1" x14ac:dyDescent="0.2">
      <c r="A5895" s="105" t="str">
        <f>IF(D5895=1,COUNTIF($D$10:D5895,1)," ")</f>
        <v xml:space="preserve"> </v>
      </c>
      <c r="B5895" s="106">
        <f>COPY!AR5887</f>
        <v>0</v>
      </c>
      <c r="C5895" s="107">
        <f>COPY!AC5887</f>
        <v>0</v>
      </c>
      <c r="D5895" s="107" t="str">
        <f>IF(LEN(Table1722[[#This Row],[Uraian]])&gt;2,1," ")</f>
        <v xml:space="preserve"> </v>
      </c>
      <c r="E5895" s="113" t="str">
        <f>IF(Table1722[[#This Row],[Lawan Transaksi]]="CV AGUNG KARYA",COUNTIF($I$10:I5895,"CV AGUNG KARYA")," ")</f>
        <v xml:space="preserve"> </v>
      </c>
      <c r="F5895" s="107" t="str">
        <f>IF(LEN(Table1722[[#This Row],[Uraian]])&gt;2,TRIM(RIGHT(SUBSTITUTE(TRIM(C5895)," ",REPT(" ",255)),255))," ")</f>
        <v xml:space="preserve"> </v>
      </c>
      <c r="G5895" s="110">
        <f>COPY!Z5887</f>
        <v>0</v>
      </c>
      <c r="H5895" s="111" t="str">
        <f>IFERROR(VLOOKUP(Table1722[[#This Row],[Bukti]],'Un nOTA'!$A$4:$K$5003,10,FALSE),"")</f>
        <v/>
      </c>
      <c r="I5895" s="123" t="str">
        <f>IFERROR(VLOOKUP(Table1722[[#This Row],[Bukti]],Table13[#Data],11,FALSE),"")</f>
        <v/>
      </c>
    </row>
    <row r="5896" spans="1:9" hidden="1" x14ac:dyDescent="0.2">
      <c r="A5896" s="105" t="str">
        <f>IF(D5896=1,COUNTIF($D$10:D5896,1)," ")</f>
        <v xml:space="preserve"> </v>
      </c>
      <c r="B5896" s="106">
        <f>COPY!AR5888</f>
        <v>0</v>
      </c>
      <c r="C5896" s="107">
        <f>COPY!AC5888</f>
        <v>0</v>
      </c>
      <c r="D5896" s="107" t="str">
        <f>IF(LEN(Table1722[[#This Row],[Uraian]])&gt;2,1," ")</f>
        <v xml:space="preserve"> </v>
      </c>
      <c r="E5896" s="113" t="str">
        <f>IF(Table1722[[#This Row],[Lawan Transaksi]]="CV AGUNG KARYA",COUNTIF($I$10:I5896,"CV AGUNG KARYA")," ")</f>
        <v xml:space="preserve"> </v>
      </c>
      <c r="F5896" s="107" t="str">
        <f>IF(LEN(Table1722[[#This Row],[Uraian]])&gt;2,TRIM(RIGHT(SUBSTITUTE(TRIM(C5896)," ",REPT(" ",255)),255))," ")</f>
        <v xml:space="preserve"> </v>
      </c>
      <c r="G5896" s="110">
        <f>COPY!Z5888</f>
        <v>0</v>
      </c>
      <c r="H5896" s="111" t="str">
        <f>IFERROR(VLOOKUP(Table1722[[#This Row],[Bukti]],'Un nOTA'!$A$4:$K$5003,10,FALSE),"")</f>
        <v/>
      </c>
      <c r="I5896" s="123" t="str">
        <f>IFERROR(VLOOKUP(Table1722[[#This Row],[Bukti]],Table13[#Data],11,FALSE),"")</f>
        <v/>
      </c>
    </row>
    <row r="5897" spans="1:9" hidden="1" x14ac:dyDescent="0.2">
      <c r="A5897" s="105" t="str">
        <f>IF(D5897=1,COUNTIF($D$10:D5897,1)," ")</f>
        <v xml:space="preserve"> </v>
      </c>
      <c r="B5897" s="106">
        <f>COPY!AR5889</f>
        <v>0</v>
      </c>
      <c r="C5897" s="107">
        <f>COPY!AC5889</f>
        <v>0</v>
      </c>
      <c r="D5897" s="107" t="str">
        <f>IF(LEN(Table1722[[#This Row],[Uraian]])&gt;2,1," ")</f>
        <v xml:space="preserve"> </v>
      </c>
      <c r="E5897" s="113" t="str">
        <f>IF(Table1722[[#This Row],[Lawan Transaksi]]="CV AGUNG KARYA",COUNTIF($I$10:I5897,"CV AGUNG KARYA")," ")</f>
        <v xml:space="preserve"> </v>
      </c>
      <c r="F5897" s="107" t="str">
        <f>IF(LEN(Table1722[[#This Row],[Uraian]])&gt;2,TRIM(RIGHT(SUBSTITUTE(TRIM(C5897)," ",REPT(" ",255)),255))," ")</f>
        <v xml:space="preserve"> </v>
      </c>
      <c r="G5897" s="110">
        <f>COPY!Z5889</f>
        <v>0</v>
      </c>
      <c r="H5897" s="111" t="str">
        <f>IFERROR(VLOOKUP(Table1722[[#This Row],[Bukti]],'Un nOTA'!$A$4:$K$5003,10,FALSE),"")</f>
        <v/>
      </c>
      <c r="I5897" s="123" t="str">
        <f>IFERROR(VLOOKUP(Table1722[[#This Row],[Bukti]],Table13[#Data],11,FALSE),"")</f>
        <v/>
      </c>
    </row>
    <row r="5898" spans="1:9" hidden="1" x14ac:dyDescent="0.2">
      <c r="A5898" s="105" t="str">
        <f>IF(D5898=1,COUNTIF($D$10:D5898,1)," ")</f>
        <v xml:space="preserve"> </v>
      </c>
      <c r="B5898" s="106">
        <f>COPY!AR5890</f>
        <v>0</v>
      </c>
      <c r="C5898" s="107">
        <f>COPY!AC5890</f>
        <v>0</v>
      </c>
      <c r="D5898" s="107" t="str">
        <f>IF(LEN(Table1722[[#This Row],[Uraian]])&gt;2,1," ")</f>
        <v xml:space="preserve"> </v>
      </c>
      <c r="E5898" s="113" t="str">
        <f>IF(Table1722[[#This Row],[Lawan Transaksi]]="CV AGUNG KARYA",COUNTIF($I$10:I5898,"CV AGUNG KARYA")," ")</f>
        <v xml:space="preserve"> </v>
      </c>
      <c r="F5898" s="107" t="str">
        <f>IF(LEN(Table1722[[#This Row],[Uraian]])&gt;2,TRIM(RIGHT(SUBSTITUTE(TRIM(C5898)," ",REPT(" ",255)),255))," ")</f>
        <v xml:space="preserve"> </v>
      </c>
      <c r="G5898" s="110">
        <f>COPY!Z5890</f>
        <v>0</v>
      </c>
      <c r="H5898" s="111" t="str">
        <f>IFERROR(VLOOKUP(Table1722[[#This Row],[Bukti]],'Un nOTA'!$A$4:$K$5003,10,FALSE),"")</f>
        <v/>
      </c>
      <c r="I5898" s="123" t="str">
        <f>IFERROR(VLOOKUP(Table1722[[#This Row],[Bukti]],Table13[#Data],11,FALSE),"")</f>
        <v/>
      </c>
    </row>
    <row r="5899" spans="1:9" hidden="1" x14ac:dyDescent="0.2">
      <c r="A5899" s="105" t="str">
        <f>IF(D5899=1,COUNTIF($D$10:D5899,1)," ")</f>
        <v xml:space="preserve"> </v>
      </c>
      <c r="B5899" s="106">
        <f>COPY!AR5891</f>
        <v>0</v>
      </c>
      <c r="C5899" s="107">
        <f>COPY!AC5891</f>
        <v>0</v>
      </c>
      <c r="D5899" s="107" t="str">
        <f>IF(LEN(Table1722[[#This Row],[Uraian]])&gt;2,1," ")</f>
        <v xml:space="preserve"> </v>
      </c>
      <c r="E5899" s="113" t="str">
        <f>IF(Table1722[[#This Row],[Lawan Transaksi]]="CV AGUNG KARYA",COUNTIF($I$10:I5899,"CV AGUNG KARYA")," ")</f>
        <v xml:space="preserve"> </v>
      </c>
      <c r="F5899" s="107" t="str">
        <f>IF(LEN(Table1722[[#This Row],[Uraian]])&gt;2,TRIM(RIGHT(SUBSTITUTE(TRIM(C5899)," ",REPT(" ",255)),255))," ")</f>
        <v xml:space="preserve"> </v>
      </c>
      <c r="G5899" s="110">
        <f>COPY!Z5891</f>
        <v>0</v>
      </c>
      <c r="H5899" s="111" t="str">
        <f>IFERROR(VLOOKUP(Table1722[[#This Row],[Bukti]],'Un nOTA'!$A$4:$K$5003,10,FALSE),"")</f>
        <v/>
      </c>
      <c r="I5899" s="123" t="str">
        <f>IFERROR(VLOOKUP(Table1722[[#This Row],[Bukti]],Table13[#Data],11,FALSE),"")</f>
        <v/>
      </c>
    </row>
    <row r="5900" spans="1:9" hidden="1" x14ac:dyDescent="0.2">
      <c r="A5900" s="105" t="str">
        <f>IF(D5900=1,COUNTIF($D$10:D5900,1)," ")</f>
        <v xml:space="preserve"> </v>
      </c>
      <c r="B5900" s="106">
        <f>COPY!AR5892</f>
        <v>0</v>
      </c>
      <c r="C5900" s="107">
        <f>COPY!AC5892</f>
        <v>0</v>
      </c>
      <c r="D5900" s="107" t="str">
        <f>IF(LEN(Table1722[[#This Row],[Uraian]])&gt;2,1," ")</f>
        <v xml:space="preserve"> </v>
      </c>
      <c r="E5900" s="113" t="str">
        <f>IF(Table1722[[#This Row],[Lawan Transaksi]]="CV AGUNG KARYA",COUNTIF($I$10:I5900,"CV AGUNG KARYA")," ")</f>
        <v xml:space="preserve"> </v>
      </c>
      <c r="F5900" s="107" t="str">
        <f>IF(LEN(Table1722[[#This Row],[Uraian]])&gt;2,TRIM(RIGHT(SUBSTITUTE(TRIM(C5900)," ",REPT(" ",255)),255))," ")</f>
        <v xml:space="preserve"> </v>
      </c>
      <c r="G5900" s="110">
        <f>COPY!Z5892</f>
        <v>0</v>
      </c>
      <c r="H5900" s="111" t="str">
        <f>IFERROR(VLOOKUP(Table1722[[#This Row],[Bukti]],'Un nOTA'!$A$4:$K$5003,10,FALSE),"")</f>
        <v/>
      </c>
      <c r="I5900" s="123" t="str">
        <f>IFERROR(VLOOKUP(Table1722[[#This Row],[Bukti]],Table13[#Data],11,FALSE),"")</f>
        <v/>
      </c>
    </row>
    <row r="5901" spans="1:9" hidden="1" x14ac:dyDescent="0.2">
      <c r="A5901" s="105" t="str">
        <f>IF(D5901=1,COUNTIF($D$10:D5901,1)," ")</f>
        <v xml:space="preserve"> </v>
      </c>
      <c r="B5901" s="106">
        <f>COPY!AR5893</f>
        <v>0</v>
      </c>
      <c r="C5901" s="107">
        <f>COPY!AC5893</f>
        <v>0</v>
      </c>
      <c r="D5901" s="107" t="str">
        <f>IF(LEN(Table1722[[#This Row],[Uraian]])&gt;2,1," ")</f>
        <v xml:space="preserve"> </v>
      </c>
      <c r="E5901" s="113" t="str">
        <f>IF(Table1722[[#This Row],[Lawan Transaksi]]="CV AGUNG KARYA",COUNTIF($I$10:I5901,"CV AGUNG KARYA")," ")</f>
        <v xml:space="preserve"> </v>
      </c>
      <c r="F5901" s="107" t="str">
        <f>IF(LEN(Table1722[[#This Row],[Uraian]])&gt;2,TRIM(RIGHT(SUBSTITUTE(TRIM(C5901)," ",REPT(" ",255)),255))," ")</f>
        <v xml:space="preserve"> </v>
      </c>
      <c r="G5901" s="110">
        <f>COPY!Z5893</f>
        <v>0</v>
      </c>
      <c r="H5901" s="111" t="str">
        <f>IFERROR(VLOOKUP(Table1722[[#This Row],[Bukti]],'Un nOTA'!$A$4:$K$5003,10,FALSE),"")</f>
        <v/>
      </c>
      <c r="I5901" s="123" t="str">
        <f>IFERROR(VLOOKUP(Table1722[[#This Row],[Bukti]],Table13[#Data],11,FALSE),"")</f>
        <v/>
      </c>
    </row>
    <row r="5902" spans="1:9" hidden="1" x14ac:dyDescent="0.2">
      <c r="A5902" s="105" t="str">
        <f>IF(D5902=1,COUNTIF($D$10:D5902,1)," ")</f>
        <v xml:space="preserve"> </v>
      </c>
      <c r="B5902" s="106">
        <f>COPY!AR5894</f>
        <v>0</v>
      </c>
      <c r="C5902" s="107">
        <f>COPY!AC5894</f>
        <v>0</v>
      </c>
      <c r="D5902" s="107" t="str">
        <f>IF(LEN(Table1722[[#This Row],[Uraian]])&gt;2,1," ")</f>
        <v xml:space="preserve"> </v>
      </c>
      <c r="E5902" s="113" t="str">
        <f>IF(Table1722[[#This Row],[Lawan Transaksi]]="CV AGUNG KARYA",COUNTIF($I$10:I5902,"CV AGUNG KARYA")," ")</f>
        <v xml:space="preserve"> </v>
      </c>
      <c r="F5902" s="107" t="str">
        <f>IF(LEN(Table1722[[#This Row],[Uraian]])&gt;2,TRIM(RIGHT(SUBSTITUTE(TRIM(C5902)," ",REPT(" ",255)),255))," ")</f>
        <v xml:space="preserve"> </v>
      </c>
      <c r="G5902" s="110">
        <f>COPY!Z5894</f>
        <v>0</v>
      </c>
      <c r="H5902" s="111" t="str">
        <f>IFERROR(VLOOKUP(Table1722[[#This Row],[Bukti]],'Un nOTA'!$A$4:$K$5003,10,FALSE),"")</f>
        <v/>
      </c>
      <c r="I5902" s="123" t="str">
        <f>IFERROR(VLOOKUP(Table1722[[#This Row],[Bukti]],Table13[#Data],11,FALSE),"")</f>
        <v/>
      </c>
    </row>
    <row r="5903" spans="1:9" hidden="1" x14ac:dyDescent="0.2">
      <c r="A5903" s="105" t="str">
        <f>IF(D5903=1,COUNTIF($D$10:D5903,1)," ")</f>
        <v xml:space="preserve"> </v>
      </c>
      <c r="B5903" s="106">
        <f>COPY!AR5895</f>
        <v>0</v>
      </c>
      <c r="C5903" s="107">
        <f>COPY!AC5895</f>
        <v>0</v>
      </c>
      <c r="D5903" s="107" t="str">
        <f>IF(LEN(Table1722[[#This Row],[Uraian]])&gt;2,1," ")</f>
        <v xml:space="preserve"> </v>
      </c>
      <c r="E5903" s="113" t="str">
        <f>IF(Table1722[[#This Row],[Lawan Transaksi]]="CV AGUNG KARYA",COUNTIF($I$10:I5903,"CV AGUNG KARYA")," ")</f>
        <v xml:space="preserve"> </v>
      </c>
      <c r="F5903" s="107" t="str">
        <f>IF(LEN(Table1722[[#This Row],[Uraian]])&gt;2,TRIM(RIGHT(SUBSTITUTE(TRIM(C5903)," ",REPT(" ",255)),255))," ")</f>
        <v xml:space="preserve"> </v>
      </c>
      <c r="G5903" s="110">
        <f>COPY!Z5895</f>
        <v>0</v>
      </c>
      <c r="H5903" s="111" t="str">
        <f>IFERROR(VLOOKUP(Table1722[[#This Row],[Bukti]],'Un nOTA'!$A$4:$K$5003,10,FALSE),"")</f>
        <v/>
      </c>
      <c r="I5903" s="123" t="str">
        <f>IFERROR(VLOOKUP(Table1722[[#This Row],[Bukti]],Table13[#Data],11,FALSE),"")</f>
        <v/>
      </c>
    </row>
    <row r="5904" spans="1:9" hidden="1" x14ac:dyDescent="0.2">
      <c r="A5904" s="105" t="str">
        <f>IF(D5904=1,COUNTIF($D$10:D5904,1)," ")</f>
        <v xml:space="preserve"> </v>
      </c>
      <c r="B5904" s="106">
        <f>COPY!AR5896</f>
        <v>0</v>
      </c>
      <c r="C5904" s="107">
        <f>COPY!AC5896</f>
        <v>0</v>
      </c>
      <c r="D5904" s="107" t="str">
        <f>IF(LEN(Table1722[[#This Row],[Uraian]])&gt;2,1," ")</f>
        <v xml:space="preserve"> </v>
      </c>
      <c r="E5904" s="113" t="str">
        <f>IF(Table1722[[#This Row],[Lawan Transaksi]]="CV AGUNG KARYA",COUNTIF($I$10:I5904,"CV AGUNG KARYA")," ")</f>
        <v xml:space="preserve"> </v>
      </c>
      <c r="F5904" s="107" t="str">
        <f>IF(LEN(Table1722[[#This Row],[Uraian]])&gt;2,TRIM(RIGHT(SUBSTITUTE(TRIM(C5904)," ",REPT(" ",255)),255))," ")</f>
        <v xml:space="preserve"> </v>
      </c>
      <c r="G5904" s="110">
        <f>COPY!Z5896</f>
        <v>0</v>
      </c>
      <c r="H5904" s="111" t="str">
        <f>IFERROR(VLOOKUP(Table1722[[#This Row],[Bukti]],'Un nOTA'!$A$4:$K$5003,10,FALSE),"")</f>
        <v/>
      </c>
      <c r="I5904" s="123" t="str">
        <f>IFERROR(VLOOKUP(Table1722[[#This Row],[Bukti]],Table13[#Data],11,FALSE),"")</f>
        <v/>
      </c>
    </row>
    <row r="5905" spans="1:9" hidden="1" x14ac:dyDescent="0.2">
      <c r="A5905" s="105" t="str">
        <f>IF(D5905=1,COUNTIF($D$10:D5905,1)," ")</f>
        <v xml:space="preserve"> </v>
      </c>
      <c r="B5905" s="106">
        <f>COPY!AR5897</f>
        <v>0</v>
      </c>
      <c r="C5905" s="107">
        <f>COPY!AC5897</f>
        <v>0</v>
      </c>
      <c r="D5905" s="107" t="str">
        <f>IF(LEN(Table1722[[#This Row],[Uraian]])&gt;2,1," ")</f>
        <v xml:space="preserve"> </v>
      </c>
      <c r="E5905" s="113" t="str">
        <f>IF(Table1722[[#This Row],[Lawan Transaksi]]="CV AGUNG KARYA",COUNTIF($I$10:I5905,"CV AGUNG KARYA")," ")</f>
        <v xml:space="preserve"> </v>
      </c>
      <c r="F5905" s="107" t="str">
        <f>IF(LEN(Table1722[[#This Row],[Uraian]])&gt;2,TRIM(RIGHT(SUBSTITUTE(TRIM(C5905)," ",REPT(" ",255)),255))," ")</f>
        <v xml:space="preserve"> </v>
      </c>
      <c r="G5905" s="110">
        <f>COPY!Z5897</f>
        <v>0</v>
      </c>
      <c r="H5905" s="111" t="str">
        <f>IFERROR(VLOOKUP(Table1722[[#This Row],[Bukti]],'Un nOTA'!$A$4:$K$5003,10,FALSE),"")</f>
        <v/>
      </c>
      <c r="I5905" s="123" t="str">
        <f>IFERROR(VLOOKUP(Table1722[[#This Row],[Bukti]],Table13[#Data],11,FALSE),"")</f>
        <v/>
      </c>
    </row>
    <row r="5906" spans="1:9" hidden="1" x14ac:dyDescent="0.2">
      <c r="A5906" s="105" t="str">
        <f>IF(D5906=1,COUNTIF($D$10:D5906,1)," ")</f>
        <v xml:space="preserve"> </v>
      </c>
      <c r="B5906" s="106">
        <f>COPY!AR5898</f>
        <v>0</v>
      </c>
      <c r="C5906" s="107">
        <f>COPY!AC5898</f>
        <v>0</v>
      </c>
      <c r="D5906" s="107" t="str">
        <f>IF(LEN(Table1722[[#This Row],[Uraian]])&gt;2,1," ")</f>
        <v xml:space="preserve"> </v>
      </c>
      <c r="E5906" s="113" t="str">
        <f>IF(Table1722[[#This Row],[Lawan Transaksi]]="CV AGUNG KARYA",COUNTIF($I$10:I5906,"CV AGUNG KARYA")," ")</f>
        <v xml:space="preserve"> </v>
      </c>
      <c r="F5906" s="107" t="str">
        <f>IF(LEN(Table1722[[#This Row],[Uraian]])&gt;2,TRIM(RIGHT(SUBSTITUTE(TRIM(C5906)," ",REPT(" ",255)),255))," ")</f>
        <v xml:space="preserve"> </v>
      </c>
      <c r="G5906" s="110">
        <f>COPY!Z5898</f>
        <v>0</v>
      </c>
      <c r="H5906" s="111" t="str">
        <f>IFERROR(VLOOKUP(Table1722[[#This Row],[Bukti]],'Un nOTA'!$A$4:$K$5003,10,FALSE),"")</f>
        <v/>
      </c>
      <c r="I5906" s="123" t="str">
        <f>IFERROR(VLOOKUP(Table1722[[#This Row],[Bukti]],Table13[#Data],11,FALSE),"")</f>
        <v/>
      </c>
    </row>
    <row r="5907" spans="1:9" hidden="1" x14ac:dyDescent="0.2">
      <c r="A5907" s="105" t="str">
        <f>IF(D5907=1,COUNTIF($D$10:D5907,1)," ")</f>
        <v xml:space="preserve"> </v>
      </c>
      <c r="B5907" s="106">
        <f>COPY!AR5899</f>
        <v>0</v>
      </c>
      <c r="C5907" s="107">
        <f>COPY!AC5899</f>
        <v>0</v>
      </c>
      <c r="D5907" s="107" t="str">
        <f>IF(LEN(Table1722[[#This Row],[Uraian]])&gt;2,1," ")</f>
        <v xml:space="preserve"> </v>
      </c>
      <c r="E5907" s="113" t="str">
        <f>IF(Table1722[[#This Row],[Lawan Transaksi]]="CV AGUNG KARYA",COUNTIF($I$10:I5907,"CV AGUNG KARYA")," ")</f>
        <v xml:space="preserve"> </v>
      </c>
      <c r="F5907" s="107" t="str">
        <f>IF(LEN(Table1722[[#This Row],[Uraian]])&gt;2,TRIM(RIGHT(SUBSTITUTE(TRIM(C5907)," ",REPT(" ",255)),255))," ")</f>
        <v xml:space="preserve"> </v>
      </c>
      <c r="G5907" s="110">
        <f>COPY!Z5899</f>
        <v>0</v>
      </c>
      <c r="H5907" s="111" t="str">
        <f>IFERROR(VLOOKUP(Table1722[[#This Row],[Bukti]],'Un nOTA'!$A$4:$K$5003,10,FALSE),"")</f>
        <v/>
      </c>
      <c r="I5907" s="123" t="str">
        <f>IFERROR(VLOOKUP(Table1722[[#This Row],[Bukti]],Table13[#Data],11,FALSE),"")</f>
        <v/>
      </c>
    </row>
    <row r="5908" spans="1:9" hidden="1" x14ac:dyDescent="0.2">
      <c r="A5908" s="105" t="str">
        <f>IF(D5908=1,COUNTIF($D$10:D5908,1)," ")</f>
        <v xml:space="preserve"> </v>
      </c>
      <c r="B5908" s="106">
        <f>COPY!AR5900</f>
        <v>0</v>
      </c>
      <c r="C5908" s="107">
        <f>COPY!AC5900</f>
        <v>0</v>
      </c>
      <c r="D5908" s="107" t="str">
        <f>IF(LEN(Table1722[[#This Row],[Uraian]])&gt;2,1," ")</f>
        <v xml:space="preserve"> </v>
      </c>
      <c r="E5908" s="113" t="str">
        <f>IF(Table1722[[#This Row],[Lawan Transaksi]]="CV AGUNG KARYA",COUNTIF($I$10:I5908,"CV AGUNG KARYA")," ")</f>
        <v xml:space="preserve"> </v>
      </c>
      <c r="F5908" s="107" t="str">
        <f>IF(LEN(Table1722[[#This Row],[Uraian]])&gt;2,TRIM(RIGHT(SUBSTITUTE(TRIM(C5908)," ",REPT(" ",255)),255))," ")</f>
        <v xml:space="preserve"> </v>
      </c>
      <c r="G5908" s="110">
        <f>COPY!Z5900</f>
        <v>0</v>
      </c>
      <c r="H5908" s="111" t="str">
        <f>IFERROR(VLOOKUP(Table1722[[#This Row],[Bukti]],'Un nOTA'!$A$4:$K$5003,10,FALSE),"")</f>
        <v/>
      </c>
      <c r="I5908" s="123" t="str">
        <f>IFERROR(VLOOKUP(Table1722[[#This Row],[Bukti]],Table13[#Data],11,FALSE),"")</f>
        <v/>
      </c>
    </row>
    <row r="5909" spans="1:9" hidden="1" x14ac:dyDescent="0.2">
      <c r="A5909" s="105" t="str">
        <f>IF(D5909=1,COUNTIF($D$10:D5909,1)," ")</f>
        <v xml:space="preserve"> </v>
      </c>
      <c r="B5909" s="106">
        <f>COPY!AR5901</f>
        <v>0</v>
      </c>
      <c r="C5909" s="107">
        <f>COPY!AC5901</f>
        <v>0</v>
      </c>
      <c r="D5909" s="107" t="str">
        <f>IF(LEN(Table1722[[#This Row],[Uraian]])&gt;2,1," ")</f>
        <v xml:space="preserve"> </v>
      </c>
      <c r="E5909" s="113" t="str">
        <f>IF(Table1722[[#This Row],[Lawan Transaksi]]="CV AGUNG KARYA",COUNTIF($I$10:I5909,"CV AGUNG KARYA")," ")</f>
        <v xml:space="preserve"> </v>
      </c>
      <c r="F5909" s="107" t="str">
        <f>IF(LEN(Table1722[[#This Row],[Uraian]])&gt;2,TRIM(RIGHT(SUBSTITUTE(TRIM(C5909)," ",REPT(" ",255)),255))," ")</f>
        <v xml:space="preserve"> </v>
      </c>
      <c r="G5909" s="110">
        <f>COPY!Z5901</f>
        <v>0</v>
      </c>
      <c r="H5909" s="111" t="str">
        <f>IFERROR(VLOOKUP(Table1722[[#This Row],[Bukti]],'Un nOTA'!$A$4:$K$5003,10,FALSE),"")</f>
        <v/>
      </c>
      <c r="I5909" s="123" t="str">
        <f>IFERROR(VLOOKUP(Table1722[[#This Row],[Bukti]],Table13[#Data],11,FALSE),"")</f>
        <v/>
      </c>
    </row>
    <row r="5910" spans="1:9" hidden="1" x14ac:dyDescent="0.2">
      <c r="A5910" s="105" t="str">
        <f>IF(D5910=1,COUNTIF($D$10:D5910,1)," ")</f>
        <v xml:space="preserve"> </v>
      </c>
      <c r="B5910" s="106">
        <f>COPY!AR5902</f>
        <v>0</v>
      </c>
      <c r="C5910" s="107">
        <f>COPY!AC5902</f>
        <v>0</v>
      </c>
      <c r="D5910" s="107" t="str">
        <f>IF(LEN(Table1722[[#This Row],[Uraian]])&gt;2,1," ")</f>
        <v xml:space="preserve"> </v>
      </c>
      <c r="E5910" s="113" t="str">
        <f>IF(Table1722[[#This Row],[Lawan Transaksi]]="CV AGUNG KARYA",COUNTIF($I$10:I5910,"CV AGUNG KARYA")," ")</f>
        <v xml:space="preserve"> </v>
      </c>
      <c r="F5910" s="107" t="str">
        <f>IF(LEN(Table1722[[#This Row],[Uraian]])&gt;2,TRIM(RIGHT(SUBSTITUTE(TRIM(C5910)," ",REPT(" ",255)),255))," ")</f>
        <v xml:space="preserve"> </v>
      </c>
      <c r="G5910" s="110">
        <f>COPY!Z5902</f>
        <v>0</v>
      </c>
      <c r="H5910" s="111" t="str">
        <f>IFERROR(VLOOKUP(Table1722[[#This Row],[Bukti]],'Un nOTA'!$A$4:$K$5003,10,FALSE),"")</f>
        <v/>
      </c>
      <c r="I5910" s="123" t="str">
        <f>IFERROR(VLOOKUP(Table1722[[#This Row],[Bukti]],Table13[#Data],11,FALSE),"")</f>
        <v/>
      </c>
    </row>
    <row r="5911" spans="1:9" hidden="1" x14ac:dyDescent="0.2">
      <c r="A5911" s="105" t="str">
        <f>IF(D5911=1,COUNTIF($D$10:D5911,1)," ")</f>
        <v xml:space="preserve"> </v>
      </c>
      <c r="B5911" s="106">
        <f>COPY!AR5903</f>
        <v>0</v>
      </c>
      <c r="C5911" s="107">
        <f>COPY!AC5903</f>
        <v>0</v>
      </c>
      <c r="D5911" s="107" t="str">
        <f>IF(LEN(Table1722[[#This Row],[Uraian]])&gt;2,1," ")</f>
        <v xml:space="preserve"> </v>
      </c>
      <c r="E5911" s="113" t="str">
        <f>IF(Table1722[[#This Row],[Lawan Transaksi]]="CV AGUNG KARYA",COUNTIF($I$10:I5911,"CV AGUNG KARYA")," ")</f>
        <v xml:space="preserve"> </v>
      </c>
      <c r="F5911" s="107" t="str">
        <f>IF(LEN(Table1722[[#This Row],[Uraian]])&gt;2,TRIM(RIGHT(SUBSTITUTE(TRIM(C5911)," ",REPT(" ",255)),255))," ")</f>
        <v xml:space="preserve"> </v>
      </c>
      <c r="G5911" s="110">
        <f>COPY!Z5903</f>
        <v>0</v>
      </c>
      <c r="H5911" s="111" t="str">
        <f>IFERROR(VLOOKUP(Table1722[[#This Row],[Bukti]],'Un nOTA'!$A$4:$K$5003,10,FALSE),"")</f>
        <v/>
      </c>
      <c r="I5911" s="123" t="str">
        <f>IFERROR(VLOOKUP(Table1722[[#This Row],[Bukti]],Table13[#Data],11,FALSE),"")</f>
        <v/>
      </c>
    </row>
    <row r="5912" spans="1:9" hidden="1" x14ac:dyDescent="0.2">
      <c r="A5912" s="105" t="str">
        <f>IF(D5912=1,COUNTIF($D$10:D5912,1)," ")</f>
        <v xml:space="preserve"> </v>
      </c>
      <c r="B5912" s="106">
        <f>COPY!AR5904</f>
        <v>0</v>
      </c>
      <c r="C5912" s="107">
        <f>COPY!AC5904</f>
        <v>0</v>
      </c>
      <c r="D5912" s="107" t="str">
        <f>IF(LEN(Table1722[[#This Row],[Uraian]])&gt;2,1," ")</f>
        <v xml:space="preserve"> </v>
      </c>
      <c r="E5912" s="113" t="str">
        <f>IF(Table1722[[#This Row],[Lawan Transaksi]]="CV AGUNG KARYA",COUNTIF($I$10:I5912,"CV AGUNG KARYA")," ")</f>
        <v xml:space="preserve"> </v>
      </c>
      <c r="F5912" s="107" t="str">
        <f>IF(LEN(Table1722[[#This Row],[Uraian]])&gt;2,TRIM(RIGHT(SUBSTITUTE(TRIM(C5912)," ",REPT(" ",255)),255))," ")</f>
        <v xml:space="preserve"> </v>
      </c>
      <c r="G5912" s="110">
        <f>COPY!Z5904</f>
        <v>0</v>
      </c>
      <c r="H5912" s="111" t="str">
        <f>IFERROR(VLOOKUP(Table1722[[#This Row],[Bukti]],'Un nOTA'!$A$4:$K$5003,10,FALSE),"")</f>
        <v/>
      </c>
      <c r="I5912" s="123" t="str">
        <f>IFERROR(VLOOKUP(Table1722[[#This Row],[Bukti]],Table13[#Data],11,FALSE),"")</f>
        <v/>
      </c>
    </row>
    <row r="5913" spans="1:9" hidden="1" x14ac:dyDescent="0.2">
      <c r="A5913" s="105" t="str">
        <f>IF(D5913=1,COUNTIF($D$10:D5913,1)," ")</f>
        <v xml:space="preserve"> </v>
      </c>
      <c r="B5913" s="106">
        <f>COPY!AR5905</f>
        <v>0</v>
      </c>
      <c r="C5913" s="107">
        <f>COPY!AC5905</f>
        <v>0</v>
      </c>
      <c r="D5913" s="107" t="str">
        <f>IF(LEN(Table1722[[#This Row],[Uraian]])&gt;2,1," ")</f>
        <v xml:space="preserve"> </v>
      </c>
      <c r="E5913" s="113" t="str">
        <f>IF(Table1722[[#This Row],[Lawan Transaksi]]="CV AGUNG KARYA",COUNTIF($I$10:I5913,"CV AGUNG KARYA")," ")</f>
        <v xml:space="preserve"> </v>
      </c>
      <c r="F5913" s="107" t="str">
        <f>IF(LEN(Table1722[[#This Row],[Uraian]])&gt;2,TRIM(RIGHT(SUBSTITUTE(TRIM(C5913)," ",REPT(" ",255)),255))," ")</f>
        <v xml:space="preserve"> </v>
      </c>
      <c r="G5913" s="110">
        <f>COPY!Z5905</f>
        <v>0</v>
      </c>
      <c r="H5913" s="111" t="str">
        <f>IFERROR(VLOOKUP(Table1722[[#This Row],[Bukti]],'Un nOTA'!$A$4:$K$5003,10,FALSE),"")</f>
        <v/>
      </c>
      <c r="I5913" s="123" t="str">
        <f>IFERROR(VLOOKUP(Table1722[[#This Row],[Bukti]],Table13[#Data],11,FALSE),"")</f>
        <v/>
      </c>
    </row>
    <row r="5914" spans="1:9" hidden="1" x14ac:dyDescent="0.2">
      <c r="A5914" s="105" t="str">
        <f>IF(D5914=1,COUNTIF($D$10:D5914,1)," ")</f>
        <v xml:space="preserve"> </v>
      </c>
      <c r="B5914" s="106">
        <f>COPY!AR5906</f>
        <v>0</v>
      </c>
      <c r="C5914" s="107">
        <f>COPY!AC5906</f>
        <v>0</v>
      </c>
      <c r="D5914" s="107" t="str">
        <f>IF(LEN(Table1722[[#This Row],[Uraian]])&gt;2,1," ")</f>
        <v xml:space="preserve"> </v>
      </c>
      <c r="E5914" s="113" t="str">
        <f>IF(Table1722[[#This Row],[Lawan Transaksi]]="CV AGUNG KARYA",COUNTIF($I$10:I5914,"CV AGUNG KARYA")," ")</f>
        <v xml:space="preserve"> </v>
      </c>
      <c r="F5914" s="107" t="str">
        <f>IF(LEN(Table1722[[#This Row],[Uraian]])&gt;2,TRIM(RIGHT(SUBSTITUTE(TRIM(C5914)," ",REPT(" ",255)),255))," ")</f>
        <v xml:space="preserve"> </v>
      </c>
      <c r="G5914" s="110">
        <f>COPY!Z5906</f>
        <v>0</v>
      </c>
      <c r="H5914" s="111" t="str">
        <f>IFERROR(VLOOKUP(Table1722[[#This Row],[Bukti]],'Un nOTA'!$A$4:$K$5003,10,FALSE),"")</f>
        <v/>
      </c>
      <c r="I5914" s="123" t="str">
        <f>IFERROR(VLOOKUP(Table1722[[#This Row],[Bukti]],Table13[#Data],11,FALSE),"")</f>
        <v/>
      </c>
    </row>
    <row r="5915" spans="1:9" hidden="1" x14ac:dyDescent="0.2">
      <c r="A5915" s="105" t="str">
        <f>IF(D5915=1,COUNTIF($D$10:D5915,1)," ")</f>
        <v xml:space="preserve"> </v>
      </c>
      <c r="B5915" s="106">
        <f>COPY!AR5907</f>
        <v>0</v>
      </c>
      <c r="C5915" s="107">
        <f>COPY!AC5907</f>
        <v>0</v>
      </c>
      <c r="D5915" s="107" t="str">
        <f>IF(LEN(Table1722[[#This Row],[Uraian]])&gt;2,1," ")</f>
        <v xml:space="preserve"> </v>
      </c>
      <c r="E5915" s="113" t="str">
        <f>IF(Table1722[[#This Row],[Lawan Transaksi]]="CV AGUNG KARYA",COUNTIF($I$10:I5915,"CV AGUNG KARYA")," ")</f>
        <v xml:space="preserve"> </v>
      </c>
      <c r="F5915" s="107" t="str">
        <f>IF(LEN(Table1722[[#This Row],[Uraian]])&gt;2,TRIM(RIGHT(SUBSTITUTE(TRIM(C5915)," ",REPT(" ",255)),255))," ")</f>
        <v xml:space="preserve"> </v>
      </c>
      <c r="G5915" s="110">
        <f>COPY!Z5907</f>
        <v>0</v>
      </c>
      <c r="H5915" s="111" t="str">
        <f>IFERROR(VLOOKUP(Table1722[[#This Row],[Bukti]],'Un nOTA'!$A$4:$K$5003,10,FALSE),"")</f>
        <v/>
      </c>
      <c r="I5915" s="123" t="str">
        <f>IFERROR(VLOOKUP(Table1722[[#This Row],[Bukti]],Table13[#Data],11,FALSE),"")</f>
        <v/>
      </c>
    </row>
    <row r="5916" spans="1:9" hidden="1" x14ac:dyDescent="0.2">
      <c r="A5916" s="105" t="str">
        <f>IF(D5916=1,COUNTIF($D$10:D5916,1)," ")</f>
        <v xml:space="preserve"> </v>
      </c>
      <c r="B5916" s="106">
        <f>COPY!AR5908</f>
        <v>0</v>
      </c>
      <c r="C5916" s="107">
        <f>COPY!AC5908</f>
        <v>0</v>
      </c>
      <c r="D5916" s="107" t="str">
        <f>IF(LEN(Table1722[[#This Row],[Uraian]])&gt;2,1," ")</f>
        <v xml:space="preserve"> </v>
      </c>
      <c r="E5916" s="113" t="str">
        <f>IF(Table1722[[#This Row],[Lawan Transaksi]]="CV AGUNG KARYA",COUNTIF($I$10:I5916,"CV AGUNG KARYA")," ")</f>
        <v xml:space="preserve"> </v>
      </c>
      <c r="F5916" s="107" t="str">
        <f>IF(LEN(Table1722[[#This Row],[Uraian]])&gt;2,TRIM(RIGHT(SUBSTITUTE(TRIM(C5916)," ",REPT(" ",255)),255))," ")</f>
        <v xml:space="preserve"> </v>
      </c>
      <c r="G5916" s="110">
        <f>COPY!Z5908</f>
        <v>0</v>
      </c>
      <c r="H5916" s="111" t="str">
        <f>IFERROR(VLOOKUP(Table1722[[#This Row],[Bukti]],'Un nOTA'!$A$4:$K$5003,10,FALSE),"")</f>
        <v/>
      </c>
      <c r="I5916" s="123" t="str">
        <f>IFERROR(VLOOKUP(Table1722[[#This Row],[Bukti]],Table13[#Data],11,FALSE),"")</f>
        <v/>
      </c>
    </row>
    <row r="5917" spans="1:9" hidden="1" x14ac:dyDescent="0.2">
      <c r="A5917" s="105" t="str">
        <f>IF(D5917=1,COUNTIF($D$10:D5917,1)," ")</f>
        <v xml:space="preserve"> </v>
      </c>
      <c r="B5917" s="106">
        <f>COPY!AR5909</f>
        <v>0</v>
      </c>
      <c r="C5917" s="107">
        <f>COPY!AC5909</f>
        <v>0</v>
      </c>
      <c r="D5917" s="107" t="str">
        <f>IF(LEN(Table1722[[#This Row],[Uraian]])&gt;2,1," ")</f>
        <v xml:space="preserve"> </v>
      </c>
      <c r="E5917" s="113" t="str">
        <f>IF(Table1722[[#This Row],[Lawan Transaksi]]="CV AGUNG KARYA",COUNTIF($I$10:I5917,"CV AGUNG KARYA")," ")</f>
        <v xml:space="preserve"> </v>
      </c>
      <c r="F5917" s="107" t="str">
        <f>IF(LEN(Table1722[[#This Row],[Uraian]])&gt;2,TRIM(RIGHT(SUBSTITUTE(TRIM(C5917)," ",REPT(" ",255)),255))," ")</f>
        <v xml:space="preserve"> </v>
      </c>
      <c r="G5917" s="110">
        <f>COPY!Z5909</f>
        <v>0</v>
      </c>
      <c r="H5917" s="111" t="str">
        <f>IFERROR(VLOOKUP(Table1722[[#This Row],[Bukti]],'Un nOTA'!$A$4:$K$5003,10,FALSE),"")</f>
        <v/>
      </c>
      <c r="I5917" s="123" t="str">
        <f>IFERROR(VLOOKUP(Table1722[[#This Row],[Bukti]],Table13[#Data],11,FALSE),"")</f>
        <v/>
      </c>
    </row>
    <row r="5918" spans="1:9" hidden="1" x14ac:dyDescent="0.2">
      <c r="A5918" s="105" t="str">
        <f>IF(D5918=1,COUNTIF($D$10:D5918,1)," ")</f>
        <v xml:space="preserve"> </v>
      </c>
      <c r="B5918" s="106">
        <f>COPY!AR5910</f>
        <v>0</v>
      </c>
      <c r="C5918" s="107">
        <f>COPY!AC5910</f>
        <v>0</v>
      </c>
      <c r="D5918" s="107" t="str">
        <f>IF(LEN(Table1722[[#This Row],[Uraian]])&gt;2,1," ")</f>
        <v xml:space="preserve"> </v>
      </c>
      <c r="E5918" s="113" t="str">
        <f>IF(Table1722[[#This Row],[Lawan Transaksi]]="CV AGUNG KARYA",COUNTIF($I$10:I5918,"CV AGUNG KARYA")," ")</f>
        <v xml:space="preserve"> </v>
      </c>
      <c r="F5918" s="107" t="str">
        <f>IF(LEN(Table1722[[#This Row],[Uraian]])&gt;2,TRIM(RIGHT(SUBSTITUTE(TRIM(C5918)," ",REPT(" ",255)),255))," ")</f>
        <v xml:space="preserve"> </v>
      </c>
      <c r="G5918" s="110">
        <f>COPY!Z5910</f>
        <v>0</v>
      </c>
      <c r="H5918" s="111" t="str">
        <f>IFERROR(VLOOKUP(Table1722[[#This Row],[Bukti]],'Un nOTA'!$A$4:$K$5003,10,FALSE),"")</f>
        <v/>
      </c>
      <c r="I5918" s="123" t="str">
        <f>IFERROR(VLOOKUP(Table1722[[#This Row],[Bukti]],Table13[#Data],11,FALSE),"")</f>
        <v/>
      </c>
    </row>
    <row r="5919" spans="1:9" hidden="1" x14ac:dyDescent="0.2">
      <c r="A5919" s="105" t="str">
        <f>IF(D5919=1,COUNTIF($D$10:D5919,1)," ")</f>
        <v xml:space="preserve"> </v>
      </c>
      <c r="B5919" s="106">
        <f>COPY!AR5911</f>
        <v>0</v>
      </c>
      <c r="C5919" s="107">
        <f>COPY!AC5911</f>
        <v>0</v>
      </c>
      <c r="D5919" s="107" t="str">
        <f>IF(LEN(Table1722[[#This Row],[Uraian]])&gt;2,1," ")</f>
        <v xml:space="preserve"> </v>
      </c>
      <c r="E5919" s="113" t="str">
        <f>IF(Table1722[[#This Row],[Lawan Transaksi]]="CV AGUNG KARYA",COUNTIF($I$10:I5919,"CV AGUNG KARYA")," ")</f>
        <v xml:space="preserve"> </v>
      </c>
      <c r="F5919" s="107" t="str">
        <f>IF(LEN(Table1722[[#This Row],[Uraian]])&gt;2,TRIM(RIGHT(SUBSTITUTE(TRIM(C5919)," ",REPT(" ",255)),255))," ")</f>
        <v xml:space="preserve"> </v>
      </c>
      <c r="G5919" s="110">
        <f>COPY!Z5911</f>
        <v>0</v>
      </c>
      <c r="H5919" s="111" t="str">
        <f>IFERROR(VLOOKUP(Table1722[[#This Row],[Bukti]],'Un nOTA'!$A$4:$K$5003,10,FALSE),"")</f>
        <v/>
      </c>
      <c r="I5919" s="123" t="str">
        <f>IFERROR(VLOOKUP(Table1722[[#This Row],[Bukti]],Table13[#Data],11,FALSE),"")</f>
        <v/>
      </c>
    </row>
    <row r="5920" spans="1:9" hidden="1" x14ac:dyDescent="0.2">
      <c r="A5920" s="105" t="str">
        <f>IF(D5920=1,COUNTIF($D$10:D5920,1)," ")</f>
        <v xml:space="preserve"> </v>
      </c>
      <c r="B5920" s="106">
        <f>COPY!AR5912</f>
        <v>0</v>
      </c>
      <c r="C5920" s="107">
        <f>COPY!AC5912</f>
        <v>0</v>
      </c>
      <c r="D5920" s="107" t="str">
        <f>IF(LEN(Table1722[[#This Row],[Uraian]])&gt;2,1," ")</f>
        <v xml:space="preserve"> </v>
      </c>
      <c r="E5920" s="113" t="str">
        <f>IF(Table1722[[#This Row],[Lawan Transaksi]]="CV AGUNG KARYA",COUNTIF($I$10:I5920,"CV AGUNG KARYA")," ")</f>
        <v xml:space="preserve"> </v>
      </c>
      <c r="F5920" s="107" t="str">
        <f>IF(LEN(Table1722[[#This Row],[Uraian]])&gt;2,TRIM(RIGHT(SUBSTITUTE(TRIM(C5920)," ",REPT(" ",255)),255))," ")</f>
        <v xml:space="preserve"> </v>
      </c>
      <c r="G5920" s="110">
        <f>COPY!Z5912</f>
        <v>0</v>
      </c>
      <c r="H5920" s="111" t="str">
        <f>IFERROR(VLOOKUP(Table1722[[#This Row],[Bukti]],'Un nOTA'!$A$4:$K$5003,10,FALSE),"")</f>
        <v/>
      </c>
      <c r="I5920" s="123" t="str">
        <f>IFERROR(VLOOKUP(Table1722[[#This Row],[Bukti]],Table13[#Data],11,FALSE),"")</f>
        <v/>
      </c>
    </row>
    <row r="5921" spans="1:9" hidden="1" x14ac:dyDescent="0.2">
      <c r="A5921" s="105" t="str">
        <f>IF(D5921=1,COUNTIF($D$10:D5921,1)," ")</f>
        <v xml:space="preserve"> </v>
      </c>
      <c r="B5921" s="106">
        <f>COPY!AR5913</f>
        <v>0</v>
      </c>
      <c r="C5921" s="107">
        <f>COPY!AC5913</f>
        <v>0</v>
      </c>
      <c r="D5921" s="107" t="str">
        <f>IF(LEN(Table1722[[#This Row],[Uraian]])&gt;2,1," ")</f>
        <v xml:space="preserve"> </v>
      </c>
      <c r="E5921" s="113" t="str">
        <f>IF(Table1722[[#This Row],[Lawan Transaksi]]="CV AGUNG KARYA",COUNTIF($I$10:I5921,"CV AGUNG KARYA")," ")</f>
        <v xml:space="preserve"> </v>
      </c>
      <c r="F5921" s="107" t="str">
        <f>IF(LEN(Table1722[[#This Row],[Uraian]])&gt;2,TRIM(RIGHT(SUBSTITUTE(TRIM(C5921)," ",REPT(" ",255)),255))," ")</f>
        <v xml:space="preserve"> </v>
      </c>
      <c r="G5921" s="110">
        <f>COPY!Z5913</f>
        <v>0</v>
      </c>
      <c r="H5921" s="111" t="str">
        <f>IFERROR(VLOOKUP(Table1722[[#This Row],[Bukti]],'Un nOTA'!$A$4:$K$5003,10,FALSE),"")</f>
        <v/>
      </c>
      <c r="I5921" s="123" t="str">
        <f>IFERROR(VLOOKUP(Table1722[[#This Row],[Bukti]],Table13[#Data],11,FALSE),"")</f>
        <v/>
      </c>
    </row>
    <row r="5922" spans="1:9" hidden="1" x14ac:dyDescent="0.2">
      <c r="A5922" s="105" t="str">
        <f>IF(D5922=1,COUNTIF($D$10:D5922,1)," ")</f>
        <v xml:space="preserve"> </v>
      </c>
      <c r="B5922" s="106">
        <f>COPY!AR5914</f>
        <v>0</v>
      </c>
      <c r="C5922" s="107">
        <f>COPY!AC5914</f>
        <v>0</v>
      </c>
      <c r="D5922" s="107" t="str">
        <f>IF(LEN(Table1722[[#This Row],[Uraian]])&gt;2,1," ")</f>
        <v xml:space="preserve"> </v>
      </c>
      <c r="E5922" s="113" t="str">
        <f>IF(Table1722[[#This Row],[Lawan Transaksi]]="CV AGUNG KARYA",COUNTIF($I$10:I5922,"CV AGUNG KARYA")," ")</f>
        <v xml:space="preserve"> </v>
      </c>
      <c r="F5922" s="107" t="str">
        <f>IF(LEN(Table1722[[#This Row],[Uraian]])&gt;2,TRIM(RIGHT(SUBSTITUTE(TRIM(C5922)," ",REPT(" ",255)),255))," ")</f>
        <v xml:space="preserve"> </v>
      </c>
      <c r="G5922" s="110">
        <f>COPY!Z5914</f>
        <v>0</v>
      </c>
      <c r="H5922" s="111" t="str">
        <f>IFERROR(VLOOKUP(Table1722[[#This Row],[Bukti]],'Un nOTA'!$A$4:$K$5003,10,FALSE),"")</f>
        <v/>
      </c>
      <c r="I5922" s="123" t="str">
        <f>IFERROR(VLOOKUP(Table1722[[#This Row],[Bukti]],Table13[#Data],11,FALSE),"")</f>
        <v/>
      </c>
    </row>
    <row r="5923" spans="1:9" hidden="1" x14ac:dyDescent="0.2">
      <c r="A5923" s="105" t="str">
        <f>IF(D5923=1,COUNTIF($D$10:D5923,1)," ")</f>
        <v xml:space="preserve"> </v>
      </c>
      <c r="B5923" s="106">
        <f>COPY!AR5915</f>
        <v>0</v>
      </c>
      <c r="C5923" s="107">
        <f>COPY!AC5915</f>
        <v>0</v>
      </c>
      <c r="D5923" s="107" t="str">
        <f>IF(LEN(Table1722[[#This Row],[Uraian]])&gt;2,1," ")</f>
        <v xml:space="preserve"> </v>
      </c>
      <c r="E5923" s="113" t="str">
        <f>IF(Table1722[[#This Row],[Lawan Transaksi]]="CV AGUNG KARYA",COUNTIF($I$10:I5923,"CV AGUNG KARYA")," ")</f>
        <v xml:space="preserve"> </v>
      </c>
      <c r="F5923" s="107" t="str">
        <f>IF(LEN(Table1722[[#This Row],[Uraian]])&gt;2,TRIM(RIGHT(SUBSTITUTE(TRIM(C5923)," ",REPT(" ",255)),255))," ")</f>
        <v xml:space="preserve"> </v>
      </c>
      <c r="G5923" s="110">
        <f>COPY!Z5915</f>
        <v>0</v>
      </c>
      <c r="H5923" s="111" t="str">
        <f>IFERROR(VLOOKUP(Table1722[[#This Row],[Bukti]],'Un nOTA'!$A$4:$K$5003,10,FALSE),"")</f>
        <v/>
      </c>
      <c r="I5923" s="123" t="str">
        <f>IFERROR(VLOOKUP(Table1722[[#This Row],[Bukti]],Table13[#Data],11,FALSE),"")</f>
        <v/>
      </c>
    </row>
    <row r="5924" spans="1:9" hidden="1" x14ac:dyDescent="0.2">
      <c r="A5924" s="105" t="str">
        <f>IF(D5924=1,COUNTIF($D$10:D5924,1)," ")</f>
        <v xml:space="preserve"> </v>
      </c>
      <c r="B5924" s="106">
        <f>COPY!AR5916</f>
        <v>0</v>
      </c>
      <c r="C5924" s="107">
        <f>COPY!AC5916</f>
        <v>0</v>
      </c>
      <c r="D5924" s="107" t="str">
        <f>IF(LEN(Table1722[[#This Row],[Uraian]])&gt;2,1," ")</f>
        <v xml:space="preserve"> </v>
      </c>
      <c r="E5924" s="113" t="str">
        <f>IF(Table1722[[#This Row],[Lawan Transaksi]]="CV AGUNG KARYA",COUNTIF($I$10:I5924,"CV AGUNG KARYA")," ")</f>
        <v xml:space="preserve"> </v>
      </c>
      <c r="F5924" s="107" t="str">
        <f>IF(LEN(Table1722[[#This Row],[Uraian]])&gt;2,TRIM(RIGHT(SUBSTITUTE(TRIM(C5924)," ",REPT(" ",255)),255))," ")</f>
        <v xml:space="preserve"> </v>
      </c>
      <c r="G5924" s="110">
        <f>COPY!Z5916</f>
        <v>0</v>
      </c>
      <c r="H5924" s="111" t="str">
        <f>IFERROR(VLOOKUP(Table1722[[#This Row],[Bukti]],'Un nOTA'!$A$4:$K$5003,10,FALSE),"")</f>
        <v/>
      </c>
      <c r="I5924" s="123" t="str">
        <f>IFERROR(VLOOKUP(Table1722[[#This Row],[Bukti]],Table13[#Data],11,FALSE),"")</f>
        <v/>
      </c>
    </row>
    <row r="5925" spans="1:9" hidden="1" x14ac:dyDescent="0.2">
      <c r="A5925" s="105" t="str">
        <f>IF(D5925=1,COUNTIF($D$10:D5925,1)," ")</f>
        <v xml:space="preserve"> </v>
      </c>
      <c r="B5925" s="106">
        <f>COPY!AR5917</f>
        <v>0</v>
      </c>
      <c r="C5925" s="107">
        <f>COPY!AC5917</f>
        <v>0</v>
      </c>
      <c r="D5925" s="107" t="str">
        <f>IF(LEN(Table1722[[#This Row],[Uraian]])&gt;2,1," ")</f>
        <v xml:space="preserve"> </v>
      </c>
      <c r="E5925" s="113" t="str">
        <f>IF(Table1722[[#This Row],[Lawan Transaksi]]="CV AGUNG KARYA",COUNTIF($I$10:I5925,"CV AGUNG KARYA")," ")</f>
        <v xml:space="preserve"> </v>
      </c>
      <c r="F5925" s="107" t="str">
        <f>IF(LEN(Table1722[[#This Row],[Uraian]])&gt;2,TRIM(RIGHT(SUBSTITUTE(TRIM(C5925)," ",REPT(" ",255)),255))," ")</f>
        <v xml:space="preserve"> </v>
      </c>
      <c r="G5925" s="110">
        <f>COPY!Z5917</f>
        <v>0</v>
      </c>
      <c r="H5925" s="111" t="str">
        <f>IFERROR(VLOOKUP(Table1722[[#This Row],[Bukti]],'Un nOTA'!$A$4:$K$5003,10,FALSE),"")</f>
        <v/>
      </c>
      <c r="I5925" s="123" t="str">
        <f>IFERROR(VLOOKUP(Table1722[[#This Row],[Bukti]],Table13[#Data],11,FALSE),"")</f>
        <v/>
      </c>
    </row>
    <row r="5926" spans="1:9" hidden="1" x14ac:dyDescent="0.2">
      <c r="A5926" s="105" t="str">
        <f>IF(D5926=1,COUNTIF($D$10:D5926,1)," ")</f>
        <v xml:space="preserve"> </v>
      </c>
      <c r="B5926" s="106">
        <f>COPY!AR5918</f>
        <v>0</v>
      </c>
      <c r="C5926" s="107">
        <f>COPY!AC5918</f>
        <v>0</v>
      </c>
      <c r="D5926" s="107" t="str">
        <f>IF(LEN(Table1722[[#This Row],[Uraian]])&gt;2,1," ")</f>
        <v xml:space="preserve"> </v>
      </c>
      <c r="E5926" s="113" t="str">
        <f>IF(Table1722[[#This Row],[Lawan Transaksi]]="CV AGUNG KARYA",COUNTIF($I$10:I5926,"CV AGUNG KARYA")," ")</f>
        <v xml:space="preserve"> </v>
      </c>
      <c r="F5926" s="107" t="str">
        <f>IF(LEN(Table1722[[#This Row],[Uraian]])&gt;2,TRIM(RIGHT(SUBSTITUTE(TRIM(C5926)," ",REPT(" ",255)),255))," ")</f>
        <v xml:space="preserve"> </v>
      </c>
      <c r="G5926" s="110">
        <f>COPY!Z5918</f>
        <v>0</v>
      </c>
      <c r="H5926" s="111" t="str">
        <f>IFERROR(VLOOKUP(Table1722[[#This Row],[Bukti]],'Un nOTA'!$A$4:$K$5003,10,FALSE),"")</f>
        <v/>
      </c>
      <c r="I5926" s="123" t="str">
        <f>IFERROR(VLOOKUP(Table1722[[#This Row],[Bukti]],Table13[#Data],11,FALSE),"")</f>
        <v/>
      </c>
    </row>
    <row r="5927" spans="1:9" hidden="1" x14ac:dyDescent="0.2">
      <c r="A5927" s="105" t="str">
        <f>IF(D5927=1,COUNTIF($D$10:D5927,1)," ")</f>
        <v xml:space="preserve"> </v>
      </c>
      <c r="B5927" s="106">
        <f>COPY!AR5919</f>
        <v>0</v>
      </c>
      <c r="C5927" s="107">
        <f>COPY!AC5919</f>
        <v>0</v>
      </c>
      <c r="D5927" s="107" t="str">
        <f>IF(LEN(Table1722[[#This Row],[Uraian]])&gt;2,1," ")</f>
        <v xml:space="preserve"> </v>
      </c>
      <c r="E5927" s="113" t="str">
        <f>IF(Table1722[[#This Row],[Lawan Transaksi]]="CV AGUNG KARYA",COUNTIF($I$10:I5927,"CV AGUNG KARYA")," ")</f>
        <v xml:space="preserve"> </v>
      </c>
      <c r="F5927" s="107" t="str">
        <f>IF(LEN(Table1722[[#This Row],[Uraian]])&gt;2,TRIM(RIGHT(SUBSTITUTE(TRIM(C5927)," ",REPT(" ",255)),255))," ")</f>
        <v xml:space="preserve"> </v>
      </c>
      <c r="G5927" s="110">
        <f>COPY!Z5919</f>
        <v>0</v>
      </c>
      <c r="H5927" s="111" t="str">
        <f>IFERROR(VLOOKUP(Table1722[[#This Row],[Bukti]],'Un nOTA'!$A$4:$K$5003,10,FALSE),"")</f>
        <v/>
      </c>
      <c r="I5927" s="123" t="str">
        <f>IFERROR(VLOOKUP(Table1722[[#This Row],[Bukti]],Table13[#Data],11,FALSE),"")</f>
        <v/>
      </c>
    </row>
    <row r="5928" spans="1:9" hidden="1" x14ac:dyDescent="0.2">
      <c r="A5928" s="105" t="str">
        <f>IF(D5928=1,COUNTIF($D$10:D5928,1)," ")</f>
        <v xml:space="preserve"> </v>
      </c>
      <c r="B5928" s="106">
        <f>COPY!AR5920</f>
        <v>0</v>
      </c>
      <c r="C5928" s="107">
        <f>COPY!AC5920</f>
        <v>0</v>
      </c>
      <c r="D5928" s="107" t="str">
        <f>IF(LEN(Table1722[[#This Row],[Uraian]])&gt;2,1," ")</f>
        <v xml:space="preserve"> </v>
      </c>
      <c r="E5928" s="113" t="str">
        <f>IF(Table1722[[#This Row],[Lawan Transaksi]]="CV AGUNG KARYA",COUNTIF($I$10:I5928,"CV AGUNG KARYA")," ")</f>
        <v xml:space="preserve"> </v>
      </c>
      <c r="F5928" s="107" t="str">
        <f>IF(LEN(Table1722[[#This Row],[Uraian]])&gt;2,TRIM(RIGHT(SUBSTITUTE(TRIM(C5928)," ",REPT(" ",255)),255))," ")</f>
        <v xml:space="preserve"> </v>
      </c>
      <c r="G5928" s="110">
        <f>COPY!Z5920</f>
        <v>0</v>
      </c>
      <c r="H5928" s="111" t="str">
        <f>IFERROR(VLOOKUP(Table1722[[#This Row],[Bukti]],'Un nOTA'!$A$4:$K$5003,10,FALSE),"")</f>
        <v/>
      </c>
      <c r="I5928" s="123" t="str">
        <f>IFERROR(VLOOKUP(Table1722[[#This Row],[Bukti]],Table13[#Data],11,FALSE),"")</f>
        <v/>
      </c>
    </row>
    <row r="5929" spans="1:9" hidden="1" x14ac:dyDescent="0.2">
      <c r="A5929" s="105" t="str">
        <f>IF(D5929=1,COUNTIF($D$10:D5929,1)," ")</f>
        <v xml:space="preserve"> </v>
      </c>
      <c r="B5929" s="106">
        <f>COPY!AR5921</f>
        <v>0</v>
      </c>
      <c r="C5929" s="107">
        <f>COPY!AC5921</f>
        <v>0</v>
      </c>
      <c r="D5929" s="107" t="str">
        <f>IF(LEN(Table1722[[#This Row],[Uraian]])&gt;2,1," ")</f>
        <v xml:space="preserve"> </v>
      </c>
      <c r="E5929" s="113" t="str">
        <f>IF(Table1722[[#This Row],[Lawan Transaksi]]="CV AGUNG KARYA",COUNTIF($I$10:I5929,"CV AGUNG KARYA")," ")</f>
        <v xml:space="preserve"> </v>
      </c>
      <c r="F5929" s="107" t="str">
        <f>IF(LEN(Table1722[[#This Row],[Uraian]])&gt;2,TRIM(RIGHT(SUBSTITUTE(TRIM(C5929)," ",REPT(" ",255)),255))," ")</f>
        <v xml:space="preserve"> </v>
      </c>
      <c r="G5929" s="110">
        <f>COPY!Z5921</f>
        <v>0</v>
      </c>
      <c r="H5929" s="111" t="str">
        <f>IFERROR(VLOOKUP(Table1722[[#This Row],[Bukti]],'Un nOTA'!$A$4:$K$5003,10,FALSE),"")</f>
        <v/>
      </c>
      <c r="I5929" s="123" t="str">
        <f>IFERROR(VLOOKUP(Table1722[[#This Row],[Bukti]],Table13[#Data],11,FALSE),"")</f>
        <v/>
      </c>
    </row>
    <row r="5930" spans="1:9" hidden="1" x14ac:dyDescent="0.2">
      <c r="A5930" s="105" t="str">
        <f>IF(D5930=1,COUNTIF($D$10:D5930,1)," ")</f>
        <v xml:space="preserve"> </v>
      </c>
      <c r="B5930" s="106">
        <f>COPY!AR5922</f>
        <v>0</v>
      </c>
      <c r="C5930" s="107">
        <f>COPY!AC5922</f>
        <v>0</v>
      </c>
      <c r="D5930" s="107" t="str">
        <f>IF(LEN(Table1722[[#This Row],[Uraian]])&gt;2,1," ")</f>
        <v xml:space="preserve"> </v>
      </c>
      <c r="E5930" s="113" t="str">
        <f>IF(Table1722[[#This Row],[Lawan Transaksi]]="CV AGUNG KARYA",COUNTIF($I$10:I5930,"CV AGUNG KARYA")," ")</f>
        <v xml:space="preserve"> </v>
      </c>
      <c r="F5930" s="107" t="str">
        <f>IF(LEN(Table1722[[#This Row],[Uraian]])&gt;2,TRIM(RIGHT(SUBSTITUTE(TRIM(C5930)," ",REPT(" ",255)),255))," ")</f>
        <v xml:space="preserve"> </v>
      </c>
      <c r="G5930" s="110">
        <f>COPY!Z5922</f>
        <v>0</v>
      </c>
      <c r="H5930" s="111" t="str">
        <f>IFERROR(VLOOKUP(Table1722[[#This Row],[Bukti]],'Un nOTA'!$A$4:$K$5003,10,FALSE),"")</f>
        <v/>
      </c>
      <c r="I5930" s="123" t="str">
        <f>IFERROR(VLOOKUP(Table1722[[#This Row],[Bukti]],Table13[#Data],11,FALSE),"")</f>
        <v/>
      </c>
    </row>
    <row r="5931" spans="1:9" hidden="1" x14ac:dyDescent="0.2">
      <c r="A5931" s="105" t="str">
        <f>IF(D5931=1,COUNTIF($D$10:D5931,1)," ")</f>
        <v xml:space="preserve"> </v>
      </c>
      <c r="B5931" s="106">
        <f>COPY!AR5923</f>
        <v>0</v>
      </c>
      <c r="C5931" s="107">
        <f>COPY!AC5923</f>
        <v>0</v>
      </c>
      <c r="D5931" s="107" t="str">
        <f>IF(LEN(Table1722[[#This Row],[Uraian]])&gt;2,1," ")</f>
        <v xml:space="preserve"> </v>
      </c>
      <c r="E5931" s="113" t="str">
        <f>IF(Table1722[[#This Row],[Lawan Transaksi]]="CV AGUNG KARYA",COUNTIF($I$10:I5931,"CV AGUNG KARYA")," ")</f>
        <v xml:space="preserve"> </v>
      </c>
      <c r="F5931" s="107" t="str">
        <f>IF(LEN(Table1722[[#This Row],[Uraian]])&gt;2,TRIM(RIGHT(SUBSTITUTE(TRIM(C5931)," ",REPT(" ",255)),255))," ")</f>
        <v xml:space="preserve"> </v>
      </c>
      <c r="G5931" s="110">
        <f>COPY!Z5923</f>
        <v>0</v>
      </c>
      <c r="H5931" s="111" t="str">
        <f>IFERROR(VLOOKUP(Table1722[[#This Row],[Bukti]],'Un nOTA'!$A$4:$K$5003,10,FALSE),"")</f>
        <v/>
      </c>
      <c r="I5931" s="123" t="str">
        <f>IFERROR(VLOOKUP(Table1722[[#This Row],[Bukti]],Table13[#Data],11,FALSE),"")</f>
        <v/>
      </c>
    </row>
    <row r="5932" spans="1:9" hidden="1" x14ac:dyDescent="0.2">
      <c r="A5932" s="105" t="str">
        <f>IF(D5932=1,COUNTIF($D$10:D5932,1)," ")</f>
        <v xml:space="preserve"> </v>
      </c>
      <c r="B5932" s="106">
        <f>COPY!AR5924</f>
        <v>0</v>
      </c>
      <c r="C5932" s="107">
        <f>COPY!AC5924</f>
        <v>0</v>
      </c>
      <c r="D5932" s="107" t="str">
        <f>IF(LEN(Table1722[[#This Row],[Uraian]])&gt;2,1," ")</f>
        <v xml:space="preserve"> </v>
      </c>
      <c r="E5932" s="113" t="str">
        <f>IF(Table1722[[#This Row],[Lawan Transaksi]]="CV AGUNG KARYA",COUNTIF($I$10:I5932,"CV AGUNG KARYA")," ")</f>
        <v xml:space="preserve"> </v>
      </c>
      <c r="F5932" s="107" t="str">
        <f>IF(LEN(Table1722[[#This Row],[Uraian]])&gt;2,TRIM(RIGHT(SUBSTITUTE(TRIM(C5932)," ",REPT(" ",255)),255))," ")</f>
        <v xml:space="preserve"> </v>
      </c>
      <c r="G5932" s="110">
        <f>COPY!Z5924</f>
        <v>0</v>
      </c>
      <c r="H5932" s="111" t="str">
        <f>IFERROR(VLOOKUP(Table1722[[#This Row],[Bukti]],'Un nOTA'!$A$4:$K$5003,10,FALSE),"")</f>
        <v/>
      </c>
      <c r="I5932" s="123" t="str">
        <f>IFERROR(VLOOKUP(Table1722[[#This Row],[Bukti]],Table13[#Data],11,FALSE),"")</f>
        <v/>
      </c>
    </row>
    <row r="5933" spans="1:9" hidden="1" x14ac:dyDescent="0.2">
      <c r="A5933" s="105" t="str">
        <f>IF(D5933=1,COUNTIF($D$10:D5933,1)," ")</f>
        <v xml:space="preserve"> </v>
      </c>
      <c r="B5933" s="106">
        <f>COPY!AR5925</f>
        <v>0</v>
      </c>
      <c r="C5933" s="107">
        <f>COPY!AC5925</f>
        <v>0</v>
      </c>
      <c r="D5933" s="107" t="str">
        <f>IF(LEN(Table1722[[#This Row],[Uraian]])&gt;2,1," ")</f>
        <v xml:space="preserve"> </v>
      </c>
      <c r="E5933" s="113" t="str">
        <f>IF(Table1722[[#This Row],[Lawan Transaksi]]="CV AGUNG KARYA",COUNTIF($I$10:I5933,"CV AGUNG KARYA")," ")</f>
        <v xml:space="preserve"> </v>
      </c>
      <c r="F5933" s="107" t="str">
        <f>IF(LEN(Table1722[[#This Row],[Uraian]])&gt;2,TRIM(RIGHT(SUBSTITUTE(TRIM(C5933)," ",REPT(" ",255)),255))," ")</f>
        <v xml:space="preserve"> </v>
      </c>
      <c r="G5933" s="110">
        <f>COPY!Z5925</f>
        <v>0</v>
      </c>
      <c r="H5933" s="111" t="str">
        <f>IFERROR(VLOOKUP(Table1722[[#This Row],[Bukti]],'Un nOTA'!$A$4:$K$5003,10,FALSE),"")</f>
        <v/>
      </c>
      <c r="I5933" s="123" t="str">
        <f>IFERROR(VLOOKUP(Table1722[[#This Row],[Bukti]],Table13[#Data],11,FALSE),"")</f>
        <v/>
      </c>
    </row>
    <row r="5934" spans="1:9" hidden="1" x14ac:dyDescent="0.2">
      <c r="A5934" s="105" t="str">
        <f>IF(D5934=1,COUNTIF($D$10:D5934,1)," ")</f>
        <v xml:space="preserve"> </v>
      </c>
      <c r="B5934" s="106">
        <f>COPY!AR5926</f>
        <v>0</v>
      </c>
      <c r="C5934" s="107">
        <f>COPY!AC5926</f>
        <v>0</v>
      </c>
      <c r="D5934" s="107" t="str">
        <f>IF(LEN(Table1722[[#This Row],[Uraian]])&gt;2,1," ")</f>
        <v xml:space="preserve"> </v>
      </c>
      <c r="E5934" s="113" t="str">
        <f>IF(Table1722[[#This Row],[Lawan Transaksi]]="CV AGUNG KARYA",COUNTIF($I$10:I5934,"CV AGUNG KARYA")," ")</f>
        <v xml:space="preserve"> </v>
      </c>
      <c r="F5934" s="107" t="str">
        <f>IF(LEN(Table1722[[#This Row],[Uraian]])&gt;2,TRIM(RIGHT(SUBSTITUTE(TRIM(C5934)," ",REPT(" ",255)),255))," ")</f>
        <v xml:space="preserve"> </v>
      </c>
      <c r="G5934" s="110">
        <f>COPY!Z5926</f>
        <v>0</v>
      </c>
      <c r="H5934" s="111" t="str">
        <f>IFERROR(VLOOKUP(Table1722[[#This Row],[Bukti]],'Un nOTA'!$A$4:$K$5003,10,FALSE),"")</f>
        <v/>
      </c>
      <c r="I5934" s="123" t="str">
        <f>IFERROR(VLOOKUP(Table1722[[#This Row],[Bukti]],Table13[#Data],11,FALSE),"")</f>
        <v/>
      </c>
    </row>
    <row r="5935" spans="1:9" hidden="1" x14ac:dyDescent="0.2">
      <c r="A5935" s="105" t="str">
        <f>IF(D5935=1,COUNTIF($D$10:D5935,1)," ")</f>
        <v xml:space="preserve"> </v>
      </c>
      <c r="B5935" s="106">
        <f>COPY!AR5927</f>
        <v>0</v>
      </c>
      <c r="C5935" s="107">
        <f>COPY!AC5927</f>
        <v>0</v>
      </c>
      <c r="D5935" s="107" t="str">
        <f>IF(LEN(Table1722[[#This Row],[Uraian]])&gt;2,1," ")</f>
        <v xml:space="preserve"> </v>
      </c>
      <c r="E5935" s="113" t="str">
        <f>IF(Table1722[[#This Row],[Lawan Transaksi]]="CV AGUNG KARYA",COUNTIF($I$10:I5935,"CV AGUNG KARYA")," ")</f>
        <v xml:space="preserve"> </v>
      </c>
      <c r="F5935" s="107" t="str">
        <f>IF(LEN(Table1722[[#This Row],[Uraian]])&gt;2,TRIM(RIGHT(SUBSTITUTE(TRIM(C5935)," ",REPT(" ",255)),255))," ")</f>
        <v xml:space="preserve"> </v>
      </c>
      <c r="G5935" s="110">
        <f>COPY!Z5927</f>
        <v>0</v>
      </c>
      <c r="H5935" s="111" t="str">
        <f>IFERROR(VLOOKUP(Table1722[[#This Row],[Bukti]],'Un nOTA'!$A$4:$K$5003,10,FALSE),"")</f>
        <v/>
      </c>
      <c r="I5935" s="123" t="str">
        <f>IFERROR(VLOOKUP(Table1722[[#This Row],[Bukti]],Table13[#Data],11,FALSE),"")</f>
        <v/>
      </c>
    </row>
    <row r="5936" spans="1:9" hidden="1" x14ac:dyDescent="0.2">
      <c r="A5936" s="105" t="str">
        <f>IF(D5936=1,COUNTIF($D$10:D5936,1)," ")</f>
        <v xml:space="preserve"> </v>
      </c>
      <c r="B5936" s="106">
        <f>COPY!AR5928</f>
        <v>0</v>
      </c>
      <c r="C5936" s="107">
        <f>COPY!AC5928</f>
        <v>0</v>
      </c>
      <c r="D5936" s="107" t="str">
        <f>IF(LEN(Table1722[[#This Row],[Uraian]])&gt;2,1," ")</f>
        <v xml:space="preserve"> </v>
      </c>
      <c r="E5936" s="113" t="str">
        <f>IF(Table1722[[#This Row],[Lawan Transaksi]]="CV AGUNG KARYA",COUNTIF($I$10:I5936,"CV AGUNG KARYA")," ")</f>
        <v xml:space="preserve"> </v>
      </c>
      <c r="F5936" s="107" t="str">
        <f>IF(LEN(Table1722[[#This Row],[Uraian]])&gt;2,TRIM(RIGHT(SUBSTITUTE(TRIM(C5936)," ",REPT(" ",255)),255))," ")</f>
        <v xml:space="preserve"> </v>
      </c>
      <c r="G5936" s="110">
        <f>COPY!Z5928</f>
        <v>0</v>
      </c>
      <c r="H5936" s="111" t="str">
        <f>IFERROR(VLOOKUP(Table1722[[#This Row],[Bukti]],'Un nOTA'!$A$4:$K$5003,10,FALSE),"")</f>
        <v/>
      </c>
      <c r="I5936" s="123" t="str">
        <f>IFERROR(VLOOKUP(Table1722[[#This Row],[Bukti]],Table13[#Data],11,FALSE),"")</f>
        <v/>
      </c>
    </row>
    <row r="5937" spans="1:9" hidden="1" x14ac:dyDescent="0.2">
      <c r="A5937" s="105" t="str">
        <f>IF(D5937=1,COUNTIF($D$10:D5937,1)," ")</f>
        <v xml:space="preserve"> </v>
      </c>
      <c r="B5937" s="106">
        <f>COPY!AR5929</f>
        <v>0</v>
      </c>
      <c r="C5937" s="107">
        <f>COPY!AC5929</f>
        <v>0</v>
      </c>
      <c r="D5937" s="107" t="str">
        <f>IF(LEN(Table1722[[#This Row],[Uraian]])&gt;2,1," ")</f>
        <v xml:space="preserve"> </v>
      </c>
      <c r="E5937" s="113" t="str">
        <f>IF(Table1722[[#This Row],[Lawan Transaksi]]="CV AGUNG KARYA",COUNTIF($I$10:I5937,"CV AGUNG KARYA")," ")</f>
        <v xml:space="preserve"> </v>
      </c>
      <c r="F5937" s="107" t="str">
        <f>IF(LEN(Table1722[[#This Row],[Uraian]])&gt;2,TRIM(RIGHT(SUBSTITUTE(TRIM(C5937)," ",REPT(" ",255)),255))," ")</f>
        <v xml:space="preserve"> </v>
      </c>
      <c r="G5937" s="110">
        <f>COPY!Z5929</f>
        <v>0</v>
      </c>
      <c r="H5937" s="111" t="str">
        <f>IFERROR(VLOOKUP(Table1722[[#This Row],[Bukti]],'Un nOTA'!$A$4:$K$5003,10,FALSE),"")</f>
        <v/>
      </c>
      <c r="I5937" s="123" t="str">
        <f>IFERROR(VLOOKUP(Table1722[[#This Row],[Bukti]],Table13[#Data],11,FALSE),"")</f>
        <v/>
      </c>
    </row>
    <row r="5938" spans="1:9" hidden="1" x14ac:dyDescent="0.2">
      <c r="A5938" s="105" t="str">
        <f>IF(D5938=1,COUNTIF($D$10:D5938,1)," ")</f>
        <v xml:space="preserve"> </v>
      </c>
      <c r="B5938" s="106">
        <f>COPY!AR5930</f>
        <v>0</v>
      </c>
      <c r="C5938" s="107">
        <f>COPY!AC5930</f>
        <v>0</v>
      </c>
      <c r="D5938" s="107" t="str">
        <f>IF(LEN(Table1722[[#This Row],[Uraian]])&gt;2,1," ")</f>
        <v xml:space="preserve"> </v>
      </c>
      <c r="E5938" s="113" t="str">
        <f>IF(Table1722[[#This Row],[Lawan Transaksi]]="CV AGUNG KARYA",COUNTIF($I$10:I5938,"CV AGUNG KARYA")," ")</f>
        <v xml:space="preserve"> </v>
      </c>
      <c r="F5938" s="107" t="str">
        <f>IF(LEN(Table1722[[#This Row],[Uraian]])&gt;2,TRIM(RIGHT(SUBSTITUTE(TRIM(C5938)," ",REPT(" ",255)),255))," ")</f>
        <v xml:space="preserve"> </v>
      </c>
      <c r="G5938" s="110">
        <f>COPY!Z5930</f>
        <v>0</v>
      </c>
      <c r="H5938" s="111" t="str">
        <f>IFERROR(VLOOKUP(Table1722[[#This Row],[Bukti]],'Un nOTA'!$A$4:$K$5003,10,FALSE),"")</f>
        <v/>
      </c>
      <c r="I5938" s="123" t="str">
        <f>IFERROR(VLOOKUP(Table1722[[#This Row],[Bukti]],Table13[#Data],11,FALSE),"")</f>
        <v/>
      </c>
    </row>
    <row r="5939" spans="1:9" hidden="1" x14ac:dyDescent="0.2">
      <c r="A5939" s="105" t="str">
        <f>IF(D5939=1,COUNTIF($D$10:D5939,1)," ")</f>
        <v xml:space="preserve"> </v>
      </c>
      <c r="B5939" s="106">
        <f>COPY!AR5931</f>
        <v>0</v>
      </c>
      <c r="C5939" s="107">
        <f>COPY!AC5931</f>
        <v>0</v>
      </c>
      <c r="D5939" s="107" t="str">
        <f>IF(LEN(Table1722[[#This Row],[Uraian]])&gt;2,1," ")</f>
        <v xml:space="preserve"> </v>
      </c>
      <c r="E5939" s="113" t="str">
        <f>IF(Table1722[[#This Row],[Lawan Transaksi]]="CV AGUNG KARYA",COUNTIF($I$10:I5939,"CV AGUNG KARYA")," ")</f>
        <v xml:space="preserve"> </v>
      </c>
      <c r="F5939" s="107" t="str">
        <f>IF(LEN(Table1722[[#This Row],[Uraian]])&gt;2,TRIM(RIGHT(SUBSTITUTE(TRIM(C5939)," ",REPT(" ",255)),255))," ")</f>
        <v xml:space="preserve"> </v>
      </c>
      <c r="G5939" s="110">
        <f>COPY!Z5931</f>
        <v>0</v>
      </c>
      <c r="H5939" s="111" t="str">
        <f>IFERROR(VLOOKUP(Table1722[[#This Row],[Bukti]],'Un nOTA'!$A$4:$K$5003,10,FALSE),"")</f>
        <v/>
      </c>
      <c r="I5939" s="123" t="str">
        <f>IFERROR(VLOOKUP(Table1722[[#This Row],[Bukti]],Table13[#Data],11,FALSE),"")</f>
        <v/>
      </c>
    </row>
    <row r="5940" spans="1:9" hidden="1" x14ac:dyDescent="0.2">
      <c r="A5940" s="105" t="str">
        <f>IF(D5940=1,COUNTIF($D$10:D5940,1)," ")</f>
        <v xml:space="preserve"> </v>
      </c>
      <c r="B5940" s="106">
        <f>COPY!AR5932</f>
        <v>0</v>
      </c>
      <c r="C5940" s="107">
        <f>COPY!AC5932</f>
        <v>0</v>
      </c>
      <c r="D5940" s="107" t="str">
        <f>IF(LEN(Table1722[[#This Row],[Uraian]])&gt;2,1," ")</f>
        <v xml:space="preserve"> </v>
      </c>
      <c r="E5940" s="113" t="str">
        <f>IF(Table1722[[#This Row],[Lawan Transaksi]]="CV AGUNG KARYA",COUNTIF($I$10:I5940,"CV AGUNG KARYA")," ")</f>
        <v xml:space="preserve"> </v>
      </c>
      <c r="F5940" s="107" t="str">
        <f>IF(LEN(Table1722[[#This Row],[Uraian]])&gt;2,TRIM(RIGHT(SUBSTITUTE(TRIM(C5940)," ",REPT(" ",255)),255))," ")</f>
        <v xml:space="preserve"> </v>
      </c>
      <c r="G5940" s="110">
        <f>COPY!Z5932</f>
        <v>0</v>
      </c>
      <c r="H5940" s="111" t="str">
        <f>IFERROR(VLOOKUP(Table1722[[#This Row],[Bukti]],'Un nOTA'!$A$4:$K$5003,10,FALSE),"")</f>
        <v/>
      </c>
      <c r="I5940" s="123" t="str">
        <f>IFERROR(VLOOKUP(Table1722[[#This Row],[Bukti]],Table13[#Data],11,FALSE),"")</f>
        <v/>
      </c>
    </row>
    <row r="5941" spans="1:9" hidden="1" x14ac:dyDescent="0.2">
      <c r="A5941" s="105" t="str">
        <f>IF(D5941=1,COUNTIF($D$10:D5941,1)," ")</f>
        <v xml:space="preserve"> </v>
      </c>
      <c r="B5941" s="106">
        <f>COPY!AR5933</f>
        <v>0</v>
      </c>
      <c r="C5941" s="107">
        <f>COPY!AC5933</f>
        <v>0</v>
      </c>
      <c r="D5941" s="107" t="str">
        <f>IF(LEN(Table1722[[#This Row],[Uraian]])&gt;2,1," ")</f>
        <v xml:space="preserve"> </v>
      </c>
      <c r="E5941" s="113" t="str">
        <f>IF(Table1722[[#This Row],[Lawan Transaksi]]="CV AGUNG KARYA",COUNTIF($I$10:I5941,"CV AGUNG KARYA")," ")</f>
        <v xml:space="preserve"> </v>
      </c>
      <c r="F5941" s="107" t="str">
        <f>IF(LEN(Table1722[[#This Row],[Uraian]])&gt;2,TRIM(RIGHT(SUBSTITUTE(TRIM(C5941)," ",REPT(" ",255)),255))," ")</f>
        <v xml:space="preserve"> </v>
      </c>
      <c r="G5941" s="110">
        <f>COPY!Z5933</f>
        <v>0</v>
      </c>
      <c r="H5941" s="111" t="str">
        <f>IFERROR(VLOOKUP(Table1722[[#This Row],[Bukti]],'Un nOTA'!$A$4:$K$5003,10,FALSE),"")</f>
        <v/>
      </c>
      <c r="I5941" s="123" t="str">
        <f>IFERROR(VLOOKUP(Table1722[[#This Row],[Bukti]],Table13[#Data],11,FALSE),"")</f>
        <v/>
      </c>
    </row>
    <row r="5942" spans="1:9" hidden="1" x14ac:dyDescent="0.2">
      <c r="A5942" s="105" t="str">
        <f>IF(D5942=1,COUNTIF($D$10:D5942,1)," ")</f>
        <v xml:space="preserve"> </v>
      </c>
      <c r="B5942" s="106">
        <f>COPY!AR5934</f>
        <v>0</v>
      </c>
      <c r="C5942" s="107">
        <f>COPY!AC5934</f>
        <v>0</v>
      </c>
      <c r="D5942" s="107" t="str">
        <f>IF(LEN(Table1722[[#This Row],[Uraian]])&gt;2,1," ")</f>
        <v xml:space="preserve"> </v>
      </c>
      <c r="E5942" s="113" t="str">
        <f>IF(Table1722[[#This Row],[Lawan Transaksi]]="CV AGUNG KARYA",COUNTIF($I$10:I5942,"CV AGUNG KARYA")," ")</f>
        <v xml:space="preserve"> </v>
      </c>
      <c r="F5942" s="107" t="str">
        <f>IF(LEN(Table1722[[#This Row],[Uraian]])&gt;2,TRIM(RIGHT(SUBSTITUTE(TRIM(C5942)," ",REPT(" ",255)),255))," ")</f>
        <v xml:space="preserve"> </v>
      </c>
      <c r="G5942" s="110">
        <f>COPY!Z5934</f>
        <v>0</v>
      </c>
      <c r="H5942" s="111" t="str">
        <f>IFERROR(VLOOKUP(Table1722[[#This Row],[Bukti]],'Un nOTA'!$A$4:$K$5003,10,FALSE),"")</f>
        <v/>
      </c>
      <c r="I5942" s="123" t="str">
        <f>IFERROR(VLOOKUP(Table1722[[#This Row],[Bukti]],Table13[#Data],11,FALSE),"")</f>
        <v/>
      </c>
    </row>
    <row r="5943" spans="1:9" hidden="1" x14ac:dyDescent="0.2">
      <c r="A5943" s="105" t="str">
        <f>IF(D5943=1,COUNTIF($D$10:D5943,1)," ")</f>
        <v xml:space="preserve"> </v>
      </c>
      <c r="B5943" s="106">
        <f>COPY!AR5935</f>
        <v>0</v>
      </c>
      <c r="C5943" s="107">
        <f>COPY!AC5935</f>
        <v>0</v>
      </c>
      <c r="D5943" s="107" t="str">
        <f>IF(LEN(Table1722[[#This Row],[Uraian]])&gt;2,1," ")</f>
        <v xml:space="preserve"> </v>
      </c>
      <c r="E5943" s="113" t="str">
        <f>IF(Table1722[[#This Row],[Lawan Transaksi]]="CV AGUNG KARYA",COUNTIF($I$10:I5943,"CV AGUNG KARYA")," ")</f>
        <v xml:space="preserve"> </v>
      </c>
      <c r="F5943" s="107" t="str">
        <f>IF(LEN(Table1722[[#This Row],[Uraian]])&gt;2,TRIM(RIGHT(SUBSTITUTE(TRIM(C5943)," ",REPT(" ",255)),255))," ")</f>
        <v xml:space="preserve"> </v>
      </c>
      <c r="G5943" s="110">
        <f>COPY!Z5935</f>
        <v>0</v>
      </c>
      <c r="H5943" s="111" t="str">
        <f>IFERROR(VLOOKUP(Table1722[[#This Row],[Bukti]],'Un nOTA'!$A$4:$K$5003,10,FALSE),"")</f>
        <v/>
      </c>
      <c r="I5943" s="123" t="str">
        <f>IFERROR(VLOOKUP(Table1722[[#This Row],[Bukti]],Table13[#Data],11,FALSE),"")</f>
        <v/>
      </c>
    </row>
    <row r="5944" spans="1:9" hidden="1" x14ac:dyDescent="0.2">
      <c r="A5944" s="105" t="str">
        <f>IF(D5944=1,COUNTIF($D$10:D5944,1)," ")</f>
        <v xml:space="preserve"> </v>
      </c>
      <c r="B5944" s="106">
        <f>COPY!AR5936</f>
        <v>0</v>
      </c>
      <c r="C5944" s="107">
        <f>COPY!AC5936</f>
        <v>0</v>
      </c>
      <c r="D5944" s="107" t="str">
        <f>IF(LEN(Table1722[[#This Row],[Uraian]])&gt;2,1," ")</f>
        <v xml:space="preserve"> </v>
      </c>
      <c r="E5944" s="113" t="str">
        <f>IF(Table1722[[#This Row],[Lawan Transaksi]]="CV AGUNG KARYA",COUNTIF($I$10:I5944,"CV AGUNG KARYA")," ")</f>
        <v xml:space="preserve"> </v>
      </c>
      <c r="F5944" s="107" t="str">
        <f>IF(LEN(Table1722[[#This Row],[Uraian]])&gt;2,TRIM(RIGHT(SUBSTITUTE(TRIM(C5944)," ",REPT(" ",255)),255))," ")</f>
        <v xml:space="preserve"> </v>
      </c>
      <c r="G5944" s="110">
        <f>COPY!Z5936</f>
        <v>0</v>
      </c>
      <c r="H5944" s="111" t="str">
        <f>IFERROR(VLOOKUP(Table1722[[#This Row],[Bukti]],'Un nOTA'!$A$4:$K$5003,10,FALSE),"")</f>
        <v/>
      </c>
      <c r="I5944" s="123" t="str">
        <f>IFERROR(VLOOKUP(Table1722[[#This Row],[Bukti]],Table13[#Data],11,FALSE),"")</f>
        <v/>
      </c>
    </row>
    <row r="5945" spans="1:9" hidden="1" x14ac:dyDescent="0.2">
      <c r="A5945" s="105" t="str">
        <f>IF(D5945=1,COUNTIF($D$10:D5945,1)," ")</f>
        <v xml:space="preserve"> </v>
      </c>
      <c r="B5945" s="106">
        <f>COPY!AR5937</f>
        <v>0</v>
      </c>
      <c r="C5945" s="107">
        <f>COPY!AC5937</f>
        <v>0</v>
      </c>
      <c r="D5945" s="107" t="str">
        <f>IF(LEN(Table1722[[#This Row],[Uraian]])&gt;2,1," ")</f>
        <v xml:space="preserve"> </v>
      </c>
      <c r="E5945" s="113" t="str">
        <f>IF(Table1722[[#This Row],[Lawan Transaksi]]="CV AGUNG KARYA",COUNTIF($I$10:I5945,"CV AGUNG KARYA")," ")</f>
        <v xml:space="preserve"> </v>
      </c>
      <c r="F5945" s="107" t="str">
        <f>IF(LEN(Table1722[[#This Row],[Uraian]])&gt;2,TRIM(RIGHT(SUBSTITUTE(TRIM(C5945)," ",REPT(" ",255)),255))," ")</f>
        <v xml:space="preserve"> </v>
      </c>
      <c r="G5945" s="110">
        <f>COPY!Z5937</f>
        <v>0</v>
      </c>
      <c r="H5945" s="111" t="str">
        <f>IFERROR(VLOOKUP(Table1722[[#This Row],[Bukti]],'Un nOTA'!$A$4:$K$5003,10,FALSE),"")</f>
        <v/>
      </c>
      <c r="I5945" s="123" t="str">
        <f>IFERROR(VLOOKUP(Table1722[[#This Row],[Bukti]],Table13[#Data],11,FALSE),"")</f>
        <v/>
      </c>
    </row>
    <row r="5946" spans="1:9" hidden="1" x14ac:dyDescent="0.2">
      <c r="A5946" s="105" t="str">
        <f>IF(D5946=1,COUNTIF($D$10:D5946,1)," ")</f>
        <v xml:space="preserve"> </v>
      </c>
      <c r="B5946" s="106">
        <f>COPY!AR5938</f>
        <v>0</v>
      </c>
      <c r="C5946" s="107">
        <f>COPY!AC5938</f>
        <v>0</v>
      </c>
      <c r="D5946" s="107" t="str">
        <f>IF(LEN(Table1722[[#This Row],[Uraian]])&gt;2,1," ")</f>
        <v xml:space="preserve"> </v>
      </c>
      <c r="E5946" s="113" t="str">
        <f>IF(Table1722[[#This Row],[Lawan Transaksi]]="CV AGUNG KARYA",COUNTIF($I$10:I5946,"CV AGUNG KARYA")," ")</f>
        <v xml:space="preserve"> </v>
      </c>
      <c r="F5946" s="107" t="str">
        <f>IF(LEN(Table1722[[#This Row],[Uraian]])&gt;2,TRIM(RIGHT(SUBSTITUTE(TRIM(C5946)," ",REPT(" ",255)),255))," ")</f>
        <v xml:space="preserve"> </v>
      </c>
      <c r="G5946" s="110">
        <f>COPY!Z5938</f>
        <v>0</v>
      </c>
      <c r="H5946" s="111" t="str">
        <f>IFERROR(VLOOKUP(Table1722[[#This Row],[Bukti]],'Un nOTA'!$A$4:$K$5003,10,FALSE),"")</f>
        <v/>
      </c>
      <c r="I5946" s="123" t="str">
        <f>IFERROR(VLOOKUP(Table1722[[#This Row],[Bukti]],Table13[#Data],11,FALSE),"")</f>
        <v/>
      </c>
    </row>
    <row r="5947" spans="1:9" hidden="1" x14ac:dyDescent="0.2">
      <c r="A5947" s="105" t="str">
        <f>IF(D5947=1,COUNTIF($D$10:D5947,1)," ")</f>
        <v xml:space="preserve"> </v>
      </c>
      <c r="B5947" s="106">
        <f>COPY!AR5939</f>
        <v>0</v>
      </c>
      <c r="C5947" s="107">
        <f>COPY!AC5939</f>
        <v>0</v>
      </c>
      <c r="D5947" s="107" t="str">
        <f>IF(LEN(Table1722[[#This Row],[Uraian]])&gt;2,1," ")</f>
        <v xml:space="preserve"> </v>
      </c>
      <c r="E5947" s="113" t="str">
        <f>IF(Table1722[[#This Row],[Lawan Transaksi]]="CV AGUNG KARYA",COUNTIF($I$10:I5947,"CV AGUNG KARYA")," ")</f>
        <v xml:space="preserve"> </v>
      </c>
      <c r="F5947" s="107" t="str">
        <f>IF(LEN(Table1722[[#This Row],[Uraian]])&gt;2,TRIM(RIGHT(SUBSTITUTE(TRIM(C5947)," ",REPT(" ",255)),255))," ")</f>
        <v xml:space="preserve"> </v>
      </c>
      <c r="G5947" s="110">
        <f>COPY!Z5939</f>
        <v>0</v>
      </c>
      <c r="H5947" s="111" t="str">
        <f>IFERROR(VLOOKUP(Table1722[[#This Row],[Bukti]],'Un nOTA'!$A$4:$K$5003,10,FALSE),"")</f>
        <v/>
      </c>
      <c r="I5947" s="123" t="str">
        <f>IFERROR(VLOOKUP(Table1722[[#This Row],[Bukti]],Table13[#Data],11,FALSE),"")</f>
        <v/>
      </c>
    </row>
    <row r="5948" spans="1:9" hidden="1" x14ac:dyDescent="0.2">
      <c r="A5948" s="105" t="str">
        <f>IF(D5948=1,COUNTIF($D$10:D5948,1)," ")</f>
        <v xml:space="preserve"> </v>
      </c>
      <c r="B5948" s="106">
        <f>COPY!AR5940</f>
        <v>0</v>
      </c>
      <c r="C5948" s="107">
        <f>COPY!AC5940</f>
        <v>0</v>
      </c>
      <c r="D5948" s="107" t="str">
        <f>IF(LEN(Table1722[[#This Row],[Uraian]])&gt;2,1," ")</f>
        <v xml:space="preserve"> </v>
      </c>
      <c r="E5948" s="113" t="str">
        <f>IF(Table1722[[#This Row],[Lawan Transaksi]]="CV AGUNG KARYA",COUNTIF($I$10:I5948,"CV AGUNG KARYA")," ")</f>
        <v xml:space="preserve"> </v>
      </c>
      <c r="F5948" s="107" t="str">
        <f>IF(LEN(Table1722[[#This Row],[Uraian]])&gt;2,TRIM(RIGHT(SUBSTITUTE(TRIM(C5948)," ",REPT(" ",255)),255))," ")</f>
        <v xml:space="preserve"> </v>
      </c>
      <c r="G5948" s="110">
        <f>COPY!Z5940</f>
        <v>0</v>
      </c>
      <c r="H5948" s="111" t="str">
        <f>IFERROR(VLOOKUP(Table1722[[#This Row],[Bukti]],'Un nOTA'!$A$4:$K$5003,10,FALSE),"")</f>
        <v/>
      </c>
      <c r="I5948" s="123" t="str">
        <f>IFERROR(VLOOKUP(Table1722[[#This Row],[Bukti]],Table13[#Data],11,FALSE),"")</f>
        <v/>
      </c>
    </row>
    <row r="5949" spans="1:9" hidden="1" x14ac:dyDescent="0.2">
      <c r="A5949" s="105" t="str">
        <f>IF(D5949=1,COUNTIF($D$10:D5949,1)," ")</f>
        <v xml:space="preserve"> </v>
      </c>
      <c r="B5949" s="106">
        <f>COPY!AR5941</f>
        <v>0</v>
      </c>
      <c r="C5949" s="107">
        <f>COPY!AC5941</f>
        <v>0</v>
      </c>
      <c r="D5949" s="107" t="str">
        <f>IF(LEN(Table1722[[#This Row],[Uraian]])&gt;2,1," ")</f>
        <v xml:space="preserve"> </v>
      </c>
      <c r="E5949" s="113" t="str">
        <f>IF(Table1722[[#This Row],[Lawan Transaksi]]="CV AGUNG KARYA",COUNTIF($I$10:I5949,"CV AGUNG KARYA")," ")</f>
        <v xml:space="preserve"> </v>
      </c>
      <c r="F5949" s="107" t="str">
        <f>IF(LEN(Table1722[[#This Row],[Uraian]])&gt;2,TRIM(RIGHT(SUBSTITUTE(TRIM(C5949)," ",REPT(" ",255)),255))," ")</f>
        <v xml:space="preserve"> </v>
      </c>
      <c r="G5949" s="110">
        <f>COPY!Z5941</f>
        <v>0</v>
      </c>
      <c r="H5949" s="111" t="str">
        <f>IFERROR(VLOOKUP(Table1722[[#This Row],[Bukti]],'Un nOTA'!$A$4:$K$5003,10,FALSE),"")</f>
        <v/>
      </c>
      <c r="I5949" s="123" t="str">
        <f>IFERROR(VLOOKUP(Table1722[[#This Row],[Bukti]],Table13[#Data],11,FALSE),"")</f>
        <v/>
      </c>
    </row>
    <row r="5950" spans="1:9" hidden="1" x14ac:dyDescent="0.2">
      <c r="A5950" s="105" t="str">
        <f>IF(D5950=1,COUNTIF($D$10:D5950,1)," ")</f>
        <v xml:space="preserve"> </v>
      </c>
      <c r="B5950" s="106">
        <f>COPY!AR5942</f>
        <v>0</v>
      </c>
      <c r="C5950" s="107">
        <f>COPY!AC5942</f>
        <v>0</v>
      </c>
      <c r="D5950" s="107" t="str">
        <f>IF(LEN(Table1722[[#This Row],[Uraian]])&gt;2,1," ")</f>
        <v xml:space="preserve"> </v>
      </c>
      <c r="E5950" s="113" t="str">
        <f>IF(Table1722[[#This Row],[Lawan Transaksi]]="CV AGUNG KARYA",COUNTIF($I$10:I5950,"CV AGUNG KARYA")," ")</f>
        <v xml:space="preserve"> </v>
      </c>
      <c r="F5950" s="107" t="str">
        <f>IF(LEN(Table1722[[#This Row],[Uraian]])&gt;2,TRIM(RIGHT(SUBSTITUTE(TRIM(C5950)," ",REPT(" ",255)),255))," ")</f>
        <v xml:space="preserve"> </v>
      </c>
      <c r="G5950" s="110">
        <f>COPY!Z5942</f>
        <v>0</v>
      </c>
      <c r="H5950" s="111" t="str">
        <f>IFERROR(VLOOKUP(Table1722[[#This Row],[Bukti]],'Un nOTA'!$A$4:$K$5003,10,FALSE),"")</f>
        <v/>
      </c>
      <c r="I5950" s="123" t="str">
        <f>IFERROR(VLOOKUP(Table1722[[#This Row],[Bukti]],Table13[#Data],11,FALSE),"")</f>
        <v/>
      </c>
    </row>
    <row r="5951" spans="1:9" hidden="1" x14ac:dyDescent="0.2">
      <c r="A5951" s="105" t="str">
        <f>IF(D5951=1,COUNTIF($D$10:D5951,1)," ")</f>
        <v xml:space="preserve"> </v>
      </c>
      <c r="B5951" s="106">
        <f>COPY!AR5943</f>
        <v>0</v>
      </c>
      <c r="C5951" s="107">
        <f>COPY!AC5943</f>
        <v>0</v>
      </c>
      <c r="D5951" s="107" t="str">
        <f>IF(LEN(Table1722[[#This Row],[Uraian]])&gt;2,1," ")</f>
        <v xml:space="preserve"> </v>
      </c>
      <c r="E5951" s="113" t="str">
        <f>IF(Table1722[[#This Row],[Lawan Transaksi]]="CV AGUNG KARYA",COUNTIF($I$10:I5951,"CV AGUNG KARYA")," ")</f>
        <v xml:space="preserve"> </v>
      </c>
      <c r="F5951" s="107" t="str">
        <f>IF(LEN(Table1722[[#This Row],[Uraian]])&gt;2,TRIM(RIGHT(SUBSTITUTE(TRIM(C5951)," ",REPT(" ",255)),255))," ")</f>
        <v xml:space="preserve"> </v>
      </c>
      <c r="G5951" s="110">
        <f>COPY!Z5943</f>
        <v>0</v>
      </c>
      <c r="H5951" s="111" t="str">
        <f>IFERROR(VLOOKUP(Table1722[[#This Row],[Bukti]],'Un nOTA'!$A$4:$K$5003,10,FALSE),"")</f>
        <v/>
      </c>
      <c r="I5951" s="123" t="str">
        <f>IFERROR(VLOOKUP(Table1722[[#This Row],[Bukti]],Table13[#Data],11,FALSE),"")</f>
        <v/>
      </c>
    </row>
    <row r="5952" spans="1:9" hidden="1" x14ac:dyDescent="0.2">
      <c r="A5952" s="105" t="str">
        <f>IF(D5952=1,COUNTIF($D$10:D5952,1)," ")</f>
        <v xml:space="preserve"> </v>
      </c>
      <c r="B5952" s="106">
        <f>COPY!AR5944</f>
        <v>0</v>
      </c>
      <c r="C5952" s="107">
        <f>COPY!AC5944</f>
        <v>0</v>
      </c>
      <c r="D5952" s="107" t="str">
        <f>IF(LEN(Table1722[[#This Row],[Uraian]])&gt;2,1," ")</f>
        <v xml:space="preserve"> </v>
      </c>
      <c r="E5952" s="113" t="str">
        <f>IF(Table1722[[#This Row],[Lawan Transaksi]]="CV AGUNG KARYA",COUNTIF($I$10:I5952,"CV AGUNG KARYA")," ")</f>
        <v xml:space="preserve"> </v>
      </c>
      <c r="F5952" s="107" t="str">
        <f>IF(LEN(Table1722[[#This Row],[Uraian]])&gt;2,TRIM(RIGHT(SUBSTITUTE(TRIM(C5952)," ",REPT(" ",255)),255))," ")</f>
        <v xml:space="preserve"> </v>
      </c>
      <c r="G5952" s="110">
        <f>COPY!Z5944</f>
        <v>0</v>
      </c>
      <c r="H5952" s="111" t="str">
        <f>IFERROR(VLOOKUP(Table1722[[#This Row],[Bukti]],'Un nOTA'!$A$4:$K$5003,10,FALSE),"")</f>
        <v/>
      </c>
      <c r="I5952" s="123" t="str">
        <f>IFERROR(VLOOKUP(Table1722[[#This Row],[Bukti]],Table13[#Data],11,FALSE),"")</f>
        <v/>
      </c>
    </row>
    <row r="5953" spans="1:9" hidden="1" x14ac:dyDescent="0.2">
      <c r="A5953" s="105" t="str">
        <f>IF(D5953=1,COUNTIF($D$10:D5953,1)," ")</f>
        <v xml:space="preserve"> </v>
      </c>
      <c r="B5953" s="106">
        <f>COPY!AR5945</f>
        <v>0</v>
      </c>
      <c r="C5953" s="107">
        <f>COPY!AC5945</f>
        <v>0</v>
      </c>
      <c r="D5953" s="107" t="str">
        <f>IF(LEN(Table1722[[#This Row],[Uraian]])&gt;2,1," ")</f>
        <v xml:space="preserve"> </v>
      </c>
      <c r="E5953" s="113" t="str">
        <f>IF(Table1722[[#This Row],[Lawan Transaksi]]="CV AGUNG KARYA",COUNTIF($I$10:I5953,"CV AGUNG KARYA")," ")</f>
        <v xml:space="preserve"> </v>
      </c>
      <c r="F5953" s="107" t="str">
        <f>IF(LEN(Table1722[[#This Row],[Uraian]])&gt;2,TRIM(RIGHT(SUBSTITUTE(TRIM(C5953)," ",REPT(" ",255)),255))," ")</f>
        <v xml:space="preserve"> </v>
      </c>
      <c r="G5953" s="110">
        <f>COPY!Z5945</f>
        <v>0</v>
      </c>
      <c r="H5953" s="111" t="str">
        <f>IFERROR(VLOOKUP(Table1722[[#This Row],[Bukti]],'Un nOTA'!$A$4:$K$5003,10,FALSE),"")</f>
        <v/>
      </c>
      <c r="I5953" s="123" t="str">
        <f>IFERROR(VLOOKUP(Table1722[[#This Row],[Bukti]],Table13[#Data],11,FALSE),"")</f>
        <v/>
      </c>
    </row>
    <row r="5954" spans="1:9" hidden="1" x14ac:dyDescent="0.2">
      <c r="A5954" s="105" t="str">
        <f>IF(D5954=1,COUNTIF($D$10:D5954,1)," ")</f>
        <v xml:space="preserve"> </v>
      </c>
      <c r="B5954" s="106">
        <f>COPY!AR5946</f>
        <v>0</v>
      </c>
      <c r="C5954" s="107">
        <f>COPY!AC5946</f>
        <v>0</v>
      </c>
      <c r="D5954" s="107" t="str">
        <f>IF(LEN(Table1722[[#This Row],[Uraian]])&gt;2,1," ")</f>
        <v xml:space="preserve"> </v>
      </c>
      <c r="E5954" s="113" t="str">
        <f>IF(Table1722[[#This Row],[Lawan Transaksi]]="CV AGUNG KARYA",COUNTIF($I$10:I5954,"CV AGUNG KARYA")," ")</f>
        <v xml:space="preserve"> </v>
      </c>
      <c r="F5954" s="107" t="str">
        <f>IF(LEN(Table1722[[#This Row],[Uraian]])&gt;2,TRIM(RIGHT(SUBSTITUTE(TRIM(C5954)," ",REPT(" ",255)),255))," ")</f>
        <v xml:space="preserve"> </v>
      </c>
      <c r="G5954" s="110">
        <f>COPY!Z5946</f>
        <v>0</v>
      </c>
      <c r="H5954" s="111" t="str">
        <f>IFERROR(VLOOKUP(Table1722[[#This Row],[Bukti]],'Un nOTA'!$A$4:$K$5003,10,FALSE),"")</f>
        <v/>
      </c>
      <c r="I5954" s="123" t="str">
        <f>IFERROR(VLOOKUP(Table1722[[#This Row],[Bukti]],Table13[#Data],11,FALSE),"")</f>
        <v/>
      </c>
    </row>
    <row r="5955" spans="1:9" hidden="1" x14ac:dyDescent="0.2">
      <c r="A5955" s="105" t="str">
        <f>IF(D5955=1,COUNTIF($D$10:D5955,1)," ")</f>
        <v xml:space="preserve"> </v>
      </c>
      <c r="B5955" s="106">
        <f>COPY!AR5947</f>
        <v>0</v>
      </c>
      <c r="C5955" s="107">
        <f>COPY!AC5947</f>
        <v>0</v>
      </c>
      <c r="D5955" s="107" t="str">
        <f>IF(LEN(Table1722[[#This Row],[Uraian]])&gt;2,1," ")</f>
        <v xml:space="preserve"> </v>
      </c>
      <c r="E5955" s="113" t="str">
        <f>IF(Table1722[[#This Row],[Lawan Transaksi]]="CV AGUNG KARYA",COUNTIF($I$10:I5955,"CV AGUNG KARYA")," ")</f>
        <v xml:space="preserve"> </v>
      </c>
      <c r="F5955" s="107" t="str">
        <f>IF(LEN(Table1722[[#This Row],[Uraian]])&gt;2,TRIM(RIGHT(SUBSTITUTE(TRIM(C5955)," ",REPT(" ",255)),255))," ")</f>
        <v xml:space="preserve"> </v>
      </c>
      <c r="G5955" s="110">
        <f>COPY!Z5947</f>
        <v>0</v>
      </c>
      <c r="H5955" s="111" t="str">
        <f>IFERROR(VLOOKUP(Table1722[[#This Row],[Bukti]],'Un nOTA'!$A$4:$K$5003,10,FALSE),"")</f>
        <v/>
      </c>
      <c r="I5955" s="123" t="str">
        <f>IFERROR(VLOOKUP(Table1722[[#This Row],[Bukti]],Table13[#Data],11,FALSE),"")</f>
        <v/>
      </c>
    </row>
    <row r="5956" spans="1:9" hidden="1" x14ac:dyDescent="0.2">
      <c r="A5956" s="105" t="str">
        <f>IF(D5956=1,COUNTIF($D$10:D5956,1)," ")</f>
        <v xml:space="preserve"> </v>
      </c>
      <c r="B5956" s="106">
        <f>COPY!AR5948</f>
        <v>0</v>
      </c>
      <c r="C5956" s="107">
        <f>COPY!AC5948</f>
        <v>0</v>
      </c>
      <c r="D5956" s="107" t="str">
        <f>IF(LEN(Table1722[[#This Row],[Uraian]])&gt;2,1," ")</f>
        <v xml:space="preserve"> </v>
      </c>
      <c r="E5956" s="113" t="str">
        <f>IF(Table1722[[#This Row],[Lawan Transaksi]]="CV AGUNG KARYA",COUNTIF($I$10:I5956,"CV AGUNG KARYA")," ")</f>
        <v xml:space="preserve"> </v>
      </c>
      <c r="F5956" s="107" t="str">
        <f>IF(LEN(Table1722[[#This Row],[Uraian]])&gt;2,TRIM(RIGHT(SUBSTITUTE(TRIM(C5956)," ",REPT(" ",255)),255))," ")</f>
        <v xml:space="preserve"> </v>
      </c>
      <c r="G5956" s="110">
        <f>COPY!Z5948</f>
        <v>0</v>
      </c>
      <c r="H5956" s="111" t="str">
        <f>IFERROR(VLOOKUP(Table1722[[#This Row],[Bukti]],'Un nOTA'!$A$4:$K$5003,10,FALSE),"")</f>
        <v/>
      </c>
      <c r="I5956" s="123" t="str">
        <f>IFERROR(VLOOKUP(Table1722[[#This Row],[Bukti]],Table13[#Data],11,FALSE),"")</f>
        <v/>
      </c>
    </row>
    <row r="5957" spans="1:9" hidden="1" x14ac:dyDescent="0.2">
      <c r="A5957" s="105" t="str">
        <f>IF(D5957=1,COUNTIF($D$10:D5957,1)," ")</f>
        <v xml:space="preserve"> </v>
      </c>
      <c r="B5957" s="106">
        <f>COPY!AR5949</f>
        <v>0</v>
      </c>
      <c r="C5957" s="107">
        <f>COPY!AC5949</f>
        <v>0</v>
      </c>
      <c r="D5957" s="107" t="str">
        <f>IF(LEN(Table1722[[#This Row],[Uraian]])&gt;2,1," ")</f>
        <v xml:space="preserve"> </v>
      </c>
      <c r="E5957" s="113" t="str">
        <f>IF(Table1722[[#This Row],[Lawan Transaksi]]="CV AGUNG KARYA",COUNTIF($I$10:I5957,"CV AGUNG KARYA")," ")</f>
        <v xml:space="preserve"> </v>
      </c>
      <c r="F5957" s="107" t="str">
        <f>IF(LEN(Table1722[[#This Row],[Uraian]])&gt;2,TRIM(RIGHT(SUBSTITUTE(TRIM(C5957)," ",REPT(" ",255)),255))," ")</f>
        <v xml:space="preserve"> </v>
      </c>
      <c r="G5957" s="110">
        <f>COPY!Z5949</f>
        <v>0</v>
      </c>
      <c r="H5957" s="111" t="str">
        <f>IFERROR(VLOOKUP(Table1722[[#This Row],[Bukti]],'Un nOTA'!$A$4:$K$5003,10,FALSE),"")</f>
        <v/>
      </c>
      <c r="I5957" s="123" t="str">
        <f>IFERROR(VLOOKUP(Table1722[[#This Row],[Bukti]],Table13[#Data],11,FALSE),"")</f>
        <v/>
      </c>
    </row>
    <row r="5958" spans="1:9" hidden="1" x14ac:dyDescent="0.2">
      <c r="A5958" s="105" t="str">
        <f>IF(D5958=1,COUNTIF($D$10:D5958,1)," ")</f>
        <v xml:space="preserve"> </v>
      </c>
      <c r="B5958" s="106">
        <f>COPY!AR5950</f>
        <v>0</v>
      </c>
      <c r="C5958" s="107">
        <f>COPY!AC5950</f>
        <v>0</v>
      </c>
      <c r="D5958" s="107" t="str">
        <f>IF(LEN(Table1722[[#This Row],[Uraian]])&gt;2,1," ")</f>
        <v xml:space="preserve"> </v>
      </c>
      <c r="E5958" s="113" t="str">
        <f>IF(Table1722[[#This Row],[Lawan Transaksi]]="CV AGUNG KARYA",COUNTIF($I$10:I5958,"CV AGUNG KARYA")," ")</f>
        <v xml:space="preserve"> </v>
      </c>
      <c r="F5958" s="107" t="str">
        <f>IF(LEN(Table1722[[#This Row],[Uraian]])&gt;2,TRIM(RIGHT(SUBSTITUTE(TRIM(C5958)," ",REPT(" ",255)),255))," ")</f>
        <v xml:space="preserve"> </v>
      </c>
      <c r="G5958" s="110">
        <f>COPY!Z5950</f>
        <v>0</v>
      </c>
      <c r="H5958" s="111" t="str">
        <f>IFERROR(VLOOKUP(Table1722[[#This Row],[Bukti]],'Un nOTA'!$A$4:$K$5003,10,FALSE),"")</f>
        <v/>
      </c>
      <c r="I5958" s="123" t="str">
        <f>IFERROR(VLOOKUP(Table1722[[#This Row],[Bukti]],Table13[#Data],11,FALSE),"")</f>
        <v/>
      </c>
    </row>
    <row r="5959" spans="1:9" hidden="1" x14ac:dyDescent="0.2">
      <c r="A5959" s="105" t="str">
        <f>IF(D5959=1,COUNTIF($D$10:D5959,1)," ")</f>
        <v xml:space="preserve"> </v>
      </c>
      <c r="B5959" s="106">
        <f>COPY!AR5951</f>
        <v>0</v>
      </c>
      <c r="C5959" s="107">
        <f>COPY!AC5951</f>
        <v>0</v>
      </c>
      <c r="D5959" s="107" t="str">
        <f>IF(LEN(Table1722[[#This Row],[Uraian]])&gt;2,1," ")</f>
        <v xml:space="preserve"> </v>
      </c>
      <c r="E5959" s="113" t="str">
        <f>IF(Table1722[[#This Row],[Lawan Transaksi]]="CV AGUNG KARYA",COUNTIF($I$10:I5959,"CV AGUNG KARYA")," ")</f>
        <v xml:space="preserve"> </v>
      </c>
      <c r="F5959" s="107" t="str">
        <f>IF(LEN(Table1722[[#This Row],[Uraian]])&gt;2,TRIM(RIGHT(SUBSTITUTE(TRIM(C5959)," ",REPT(" ",255)),255))," ")</f>
        <v xml:space="preserve"> </v>
      </c>
      <c r="G5959" s="110">
        <f>COPY!Z5951</f>
        <v>0</v>
      </c>
      <c r="H5959" s="111" t="str">
        <f>IFERROR(VLOOKUP(Table1722[[#This Row],[Bukti]],'Un nOTA'!$A$4:$K$5003,10,FALSE),"")</f>
        <v/>
      </c>
      <c r="I5959" s="123" t="str">
        <f>IFERROR(VLOOKUP(Table1722[[#This Row],[Bukti]],Table13[#Data],11,FALSE),"")</f>
        <v/>
      </c>
    </row>
    <row r="5960" spans="1:9" hidden="1" x14ac:dyDescent="0.2">
      <c r="A5960" s="105" t="str">
        <f>IF(D5960=1,COUNTIF($D$10:D5960,1)," ")</f>
        <v xml:space="preserve"> </v>
      </c>
      <c r="B5960" s="106">
        <f>COPY!AR5952</f>
        <v>0</v>
      </c>
      <c r="C5960" s="107">
        <f>COPY!AC5952</f>
        <v>0</v>
      </c>
      <c r="D5960" s="107" t="str">
        <f>IF(LEN(Table1722[[#This Row],[Uraian]])&gt;2,1," ")</f>
        <v xml:space="preserve"> </v>
      </c>
      <c r="E5960" s="113" t="str">
        <f>IF(Table1722[[#This Row],[Lawan Transaksi]]="CV AGUNG KARYA",COUNTIF($I$10:I5960,"CV AGUNG KARYA")," ")</f>
        <v xml:space="preserve"> </v>
      </c>
      <c r="F5960" s="107" t="str">
        <f>IF(LEN(Table1722[[#This Row],[Uraian]])&gt;2,TRIM(RIGHT(SUBSTITUTE(TRIM(C5960)," ",REPT(" ",255)),255))," ")</f>
        <v xml:space="preserve"> </v>
      </c>
      <c r="G5960" s="110">
        <f>COPY!Z5952</f>
        <v>0</v>
      </c>
      <c r="H5960" s="111" t="str">
        <f>IFERROR(VLOOKUP(Table1722[[#This Row],[Bukti]],'Un nOTA'!$A$4:$K$5003,10,FALSE),"")</f>
        <v/>
      </c>
      <c r="I5960" s="123" t="str">
        <f>IFERROR(VLOOKUP(Table1722[[#This Row],[Bukti]],Table13[#Data],11,FALSE),"")</f>
        <v/>
      </c>
    </row>
    <row r="5961" spans="1:9" hidden="1" x14ac:dyDescent="0.2">
      <c r="A5961" s="105" t="str">
        <f>IF(D5961=1,COUNTIF($D$10:D5961,1)," ")</f>
        <v xml:space="preserve"> </v>
      </c>
      <c r="B5961" s="106">
        <f>COPY!AR5953</f>
        <v>0</v>
      </c>
      <c r="C5961" s="107">
        <f>COPY!AC5953</f>
        <v>0</v>
      </c>
      <c r="D5961" s="107" t="str">
        <f>IF(LEN(Table1722[[#This Row],[Uraian]])&gt;2,1," ")</f>
        <v xml:space="preserve"> </v>
      </c>
      <c r="E5961" s="113" t="str">
        <f>IF(Table1722[[#This Row],[Lawan Transaksi]]="CV AGUNG KARYA",COUNTIF($I$10:I5961,"CV AGUNG KARYA")," ")</f>
        <v xml:space="preserve"> </v>
      </c>
      <c r="F5961" s="107" t="str">
        <f>IF(LEN(Table1722[[#This Row],[Uraian]])&gt;2,TRIM(RIGHT(SUBSTITUTE(TRIM(C5961)," ",REPT(" ",255)),255))," ")</f>
        <v xml:space="preserve"> </v>
      </c>
      <c r="G5961" s="110">
        <f>COPY!Z5953</f>
        <v>0</v>
      </c>
      <c r="H5961" s="111" t="str">
        <f>IFERROR(VLOOKUP(Table1722[[#This Row],[Bukti]],'Un nOTA'!$A$4:$K$5003,10,FALSE),"")</f>
        <v/>
      </c>
      <c r="I5961" s="123" t="str">
        <f>IFERROR(VLOOKUP(Table1722[[#This Row],[Bukti]],Table13[#Data],11,FALSE),"")</f>
        <v/>
      </c>
    </row>
    <row r="5962" spans="1:9" hidden="1" x14ac:dyDescent="0.2">
      <c r="A5962" s="105" t="str">
        <f>IF(D5962=1,COUNTIF($D$10:D5962,1)," ")</f>
        <v xml:space="preserve"> </v>
      </c>
      <c r="B5962" s="106">
        <f>COPY!AR5954</f>
        <v>0</v>
      </c>
      <c r="C5962" s="107">
        <f>COPY!AC5954</f>
        <v>0</v>
      </c>
      <c r="D5962" s="107" t="str">
        <f>IF(LEN(Table1722[[#This Row],[Uraian]])&gt;2,1," ")</f>
        <v xml:space="preserve"> </v>
      </c>
      <c r="E5962" s="113" t="str">
        <f>IF(Table1722[[#This Row],[Lawan Transaksi]]="CV AGUNG KARYA",COUNTIF($I$10:I5962,"CV AGUNG KARYA")," ")</f>
        <v xml:space="preserve"> </v>
      </c>
      <c r="F5962" s="107" t="str">
        <f>IF(LEN(Table1722[[#This Row],[Uraian]])&gt;2,TRIM(RIGHT(SUBSTITUTE(TRIM(C5962)," ",REPT(" ",255)),255))," ")</f>
        <v xml:space="preserve"> </v>
      </c>
      <c r="G5962" s="110">
        <f>COPY!Z5954</f>
        <v>0</v>
      </c>
      <c r="H5962" s="111" t="str">
        <f>IFERROR(VLOOKUP(Table1722[[#This Row],[Bukti]],'Un nOTA'!$A$4:$K$5003,10,FALSE),"")</f>
        <v/>
      </c>
      <c r="I5962" s="123" t="str">
        <f>IFERROR(VLOOKUP(Table1722[[#This Row],[Bukti]],Table13[#Data],11,FALSE),"")</f>
        <v/>
      </c>
    </row>
    <row r="5963" spans="1:9" hidden="1" x14ac:dyDescent="0.2">
      <c r="A5963" s="105" t="str">
        <f>IF(D5963=1,COUNTIF($D$10:D5963,1)," ")</f>
        <v xml:space="preserve"> </v>
      </c>
      <c r="B5963" s="106">
        <f>COPY!AR5955</f>
        <v>0</v>
      </c>
      <c r="C5963" s="107">
        <f>COPY!AC5955</f>
        <v>0</v>
      </c>
      <c r="D5963" s="107" t="str">
        <f>IF(LEN(Table1722[[#This Row],[Uraian]])&gt;2,1," ")</f>
        <v xml:space="preserve"> </v>
      </c>
      <c r="E5963" s="113" t="str">
        <f>IF(Table1722[[#This Row],[Lawan Transaksi]]="CV AGUNG KARYA",COUNTIF($I$10:I5963,"CV AGUNG KARYA")," ")</f>
        <v xml:space="preserve"> </v>
      </c>
      <c r="F5963" s="107" t="str">
        <f>IF(LEN(Table1722[[#This Row],[Uraian]])&gt;2,TRIM(RIGHT(SUBSTITUTE(TRIM(C5963)," ",REPT(" ",255)),255))," ")</f>
        <v xml:space="preserve"> </v>
      </c>
      <c r="G5963" s="110">
        <f>COPY!Z5955</f>
        <v>0</v>
      </c>
      <c r="H5963" s="111" t="str">
        <f>IFERROR(VLOOKUP(Table1722[[#This Row],[Bukti]],'Un nOTA'!$A$4:$K$5003,10,FALSE),"")</f>
        <v/>
      </c>
      <c r="I5963" s="123" t="str">
        <f>IFERROR(VLOOKUP(Table1722[[#This Row],[Bukti]],Table13[#Data],11,FALSE),"")</f>
        <v/>
      </c>
    </row>
    <row r="5964" spans="1:9" hidden="1" x14ac:dyDescent="0.2">
      <c r="A5964" s="105" t="str">
        <f>IF(D5964=1,COUNTIF($D$10:D5964,1)," ")</f>
        <v xml:space="preserve"> </v>
      </c>
      <c r="B5964" s="106">
        <f>COPY!AR5956</f>
        <v>0</v>
      </c>
      <c r="C5964" s="107">
        <f>COPY!AC5956</f>
        <v>0</v>
      </c>
      <c r="D5964" s="107" t="str">
        <f>IF(LEN(Table1722[[#This Row],[Uraian]])&gt;2,1," ")</f>
        <v xml:space="preserve"> </v>
      </c>
      <c r="E5964" s="113" t="str">
        <f>IF(Table1722[[#This Row],[Lawan Transaksi]]="CV AGUNG KARYA",COUNTIF($I$10:I5964,"CV AGUNG KARYA")," ")</f>
        <v xml:space="preserve"> </v>
      </c>
      <c r="F5964" s="107" t="str">
        <f>IF(LEN(Table1722[[#This Row],[Uraian]])&gt;2,TRIM(RIGHT(SUBSTITUTE(TRIM(C5964)," ",REPT(" ",255)),255))," ")</f>
        <v xml:space="preserve"> </v>
      </c>
      <c r="G5964" s="110">
        <f>COPY!Z5956</f>
        <v>0</v>
      </c>
      <c r="H5964" s="111" t="str">
        <f>IFERROR(VLOOKUP(Table1722[[#This Row],[Bukti]],'Un nOTA'!$A$4:$K$5003,10,FALSE),"")</f>
        <v/>
      </c>
      <c r="I5964" s="123" t="str">
        <f>IFERROR(VLOOKUP(Table1722[[#This Row],[Bukti]],Table13[#Data],11,FALSE),"")</f>
        <v/>
      </c>
    </row>
    <row r="5965" spans="1:9" hidden="1" x14ac:dyDescent="0.2">
      <c r="A5965" s="105" t="str">
        <f>IF(D5965=1,COUNTIF($D$10:D5965,1)," ")</f>
        <v xml:space="preserve"> </v>
      </c>
      <c r="B5965" s="106">
        <f>COPY!AR5957</f>
        <v>0</v>
      </c>
      <c r="C5965" s="107">
        <f>COPY!AC5957</f>
        <v>0</v>
      </c>
      <c r="D5965" s="107" t="str">
        <f>IF(LEN(Table1722[[#This Row],[Uraian]])&gt;2,1," ")</f>
        <v xml:space="preserve"> </v>
      </c>
      <c r="E5965" s="113" t="str">
        <f>IF(Table1722[[#This Row],[Lawan Transaksi]]="CV AGUNG KARYA",COUNTIF($I$10:I5965,"CV AGUNG KARYA")," ")</f>
        <v xml:space="preserve"> </v>
      </c>
      <c r="F5965" s="107" t="str">
        <f>IF(LEN(Table1722[[#This Row],[Uraian]])&gt;2,TRIM(RIGHT(SUBSTITUTE(TRIM(C5965)," ",REPT(" ",255)),255))," ")</f>
        <v xml:space="preserve"> </v>
      </c>
      <c r="G5965" s="110">
        <f>COPY!Z5957</f>
        <v>0</v>
      </c>
      <c r="H5965" s="111" t="str">
        <f>IFERROR(VLOOKUP(Table1722[[#This Row],[Bukti]],'Un nOTA'!$A$4:$K$5003,10,FALSE),"")</f>
        <v/>
      </c>
      <c r="I5965" s="123" t="str">
        <f>IFERROR(VLOOKUP(Table1722[[#This Row],[Bukti]],Table13[#Data],11,FALSE),"")</f>
        <v/>
      </c>
    </row>
    <row r="5966" spans="1:9" hidden="1" x14ac:dyDescent="0.2">
      <c r="A5966" s="105" t="str">
        <f>IF(D5966=1,COUNTIF($D$10:D5966,1)," ")</f>
        <v xml:space="preserve"> </v>
      </c>
      <c r="B5966" s="106">
        <f>COPY!AR5958</f>
        <v>0</v>
      </c>
      <c r="C5966" s="107">
        <f>COPY!AC5958</f>
        <v>0</v>
      </c>
      <c r="D5966" s="107" t="str">
        <f>IF(LEN(Table1722[[#This Row],[Uraian]])&gt;2,1," ")</f>
        <v xml:space="preserve"> </v>
      </c>
      <c r="E5966" s="113" t="str">
        <f>IF(Table1722[[#This Row],[Lawan Transaksi]]="CV AGUNG KARYA",COUNTIF($I$10:I5966,"CV AGUNG KARYA")," ")</f>
        <v xml:space="preserve"> </v>
      </c>
      <c r="F5966" s="107" t="str">
        <f>IF(LEN(Table1722[[#This Row],[Uraian]])&gt;2,TRIM(RIGHT(SUBSTITUTE(TRIM(C5966)," ",REPT(" ",255)),255))," ")</f>
        <v xml:space="preserve"> </v>
      </c>
      <c r="G5966" s="110">
        <f>COPY!Z5958</f>
        <v>0</v>
      </c>
      <c r="H5966" s="111" t="str">
        <f>IFERROR(VLOOKUP(Table1722[[#This Row],[Bukti]],'Un nOTA'!$A$4:$K$5003,10,FALSE),"")</f>
        <v/>
      </c>
      <c r="I5966" s="123" t="str">
        <f>IFERROR(VLOOKUP(Table1722[[#This Row],[Bukti]],Table13[#Data],11,FALSE),"")</f>
        <v/>
      </c>
    </row>
    <row r="5967" spans="1:9" hidden="1" x14ac:dyDescent="0.2">
      <c r="A5967" s="105" t="str">
        <f>IF(D5967=1,COUNTIF($D$10:D5967,1)," ")</f>
        <v xml:space="preserve"> </v>
      </c>
      <c r="B5967" s="106">
        <f>COPY!AR5959</f>
        <v>0</v>
      </c>
      <c r="C5967" s="107">
        <f>COPY!AC5959</f>
        <v>0</v>
      </c>
      <c r="D5967" s="107" t="str">
        <f>IF(LEN(Table1722[[#This Row],[Uraian]])&gt;2,1," ")</f>
        <v xml:space="preserve"> </v>
      </c>
      <c r="E5967" s="113" t="str">
        <f>IF(Table1722[[#This Row],[Lawan Transaksi]]="CV AGUNG KARYA",COUNTIF($I$10:I5967,"CV AGUNG KARYA")," ")</f>
        <v xml:space="preserve"> </v>
      </c>
      <c r="F5967" s="107" t="str">
        <f>IF(LEN(Table1722[[#This Row],[Uraian]])&gt;2,TRIM(RIGHT(SUBSTITUTE(TRIM(C5967)," ",REPT(" ",255)),255))," ")</f>
        <v xml:space="preserve"> </v>
      </c>
      <c r="G5967" s="110">
        <f>COPY!Z5959</f>
        <v>0</v>
      </c>
      <c r="H5967" s="111" t="str">
        <f>IFERROR(VLOOKUP(Table1722[[#This Row],[Bukti]],'Un nOTA'!$A$4:$K$5003,10,FALSE),"")</f>
        <v/>
      </c>
      <c r="I5967" s="123" t="str">
        <f>IFERROR(VLOOKUP(Table1722[[#This Row],[Bukti]],Table13[#Data],11,FALSE),"")</f>
        <v/>
      </c>
    </row>
    <row r="5968" spans="1:9" hidden="1" x14ac:dyDescent="0.2">
      <c r="A5968" s="105" t="str">
        <f>IF(D5968=1,COUNTIF($D$10:D5968,1)," ")</f>
        <v xml:space="preserve"> </v>
      </c>
      <c r="B5968" s="106">
        <f>COPY!AR5960</f>
        <v>0</v>
      </c>
      <c r="C5968" s="107">
        <f>COPY!AC5960</f>
        <v>0</v>
      </c>
      <c r="D5968" s="107" t="str">
        <f>IF(LEN(Table1722[[#This Row],[Uraian]])&gt;2,1," ")</f>
        <v xml:space="preserve"> </v>
      </c>
      <c r="E5968" s="113" t="str">
        <f>IF(Table1722[[#This Row],[Lawan Transaksi]]="CV AGUNG KARYA",COUNTIF($I$10:I5968,"CV AGUNG KARYA")," ")</f>
        <v xml:space="preserve"> </v>
      </c>
      <c r="F5968" s="107" t="str">
        <f>IF(LEN(Table1722[[#This Row],[Uraian]])&gt;2,TRIM(RIGHT(SUBSTITUTE(TRIM(C5968)," ",REPT(" ",255)),255))," ")</f>
        <v xml:space="preserve"> </v>
      </c>
      <c r="G5968" s="110">
        <f>COPY!Z5960</f>
        <v>0</v>
      </c>
      <c r="H5968" s="111" t="str">
        <f>IFERROR(VLOOKUP(Table1722[[#This Row],[Bukti]],'Un nOTA'!$A$4:$K$5003,10,FALSE),"")</f>
        <v/>
      </c>
      <c r="I5968" s="123" t="str">
        <f>IFERROR(VLOOKUP(Table1722[[#This Row],[Bukti]],Table13[#Data],11,FALSE),"")</f>
        <v/>
      </c>
    </row>
    <row r="5969" spans="1:9" hidden="1" x14ac:dyDescent="0.2">
      <c r="A5969" s="105" t="str">
        <f>IF(D5969=1,COUNTIF($D$10:D5969,1)," ")</f>
        <v xml:space="preserve"> </v>
      </c>
      <c r="B5969" s="106">
        <f>COPY!AR5961</f>
        <v>0</v>
      </c>
      <c r="C5969" s="107">
        <f>COPY!AC5961</f>
        <v>0</v>
      </c>
      <c r="D5969" s="107" t="str">
        <f>IF(LEN(Table1722[[#This Row],[Uraian]])&gt;2,1," ")</f>
        <v xml:space="preserve"> </v>
      </c>
      <c r="E5969" s="113" t="str">
        <f>IF(Table1722[[#This Row],[Lawan Transaksi]]="CV AGUNG KARYA",COUNTIF($I$10:I5969,"CV AGUNG KARYA")," ")</f>
        <v xml:space="preserve"> </v>
      </c>
      <c r="F5969" s="107" t="str">
        <f>IF(LEN(Table1722[[#This Row],[Uraian]])&gt;2,TRIM(RIGHT(SUBSTITUTE(TRIM(C5969)," ",REPT(" ",255)),255))," ")</f>
        <v xml:space="preserve"> </v>
      </c>
      <c r="G5969" s="110">
        <f>COPY!Z5961</f>
        <v>0</v>
      </c>
      <c r="H5969" s="111" t="str">
        <f>IFERROR(VLOOKUP(Table1722[[#This Row],[Bukti]],'Un nOTA'!$A$4:$K$5003,10,FALSE),"")</f>
        <v/>
      </c>
      <c r="I5969" s="123" t="str">
        <f>IFERROR(VLOOKUP(Table1722[[#This Row],[Bukti]],Table13[#Data],11,FALSE),"")</f>
        <v/>
      </c>
    </row>
    <row r="5970" spans="1:9" hidden="1" x14ac:dyDescent="0.2">
      <c r="A5970" s="105" t="str">
        <f>IF(D5970=1,COUNTIF($D$10:D5970,1)," ")</f>
        <v xml:space="preserve"> </v>
      </c>
      <c r="B5970" s="106">
        <f>COPY!AR5962</f>
        <v>0</v>
      </c>
      <c r="C5970" s="107">
        <f>COPY!AC5962</f>
        <v>0</v>
      </c>
      <c r="D5970" s="107" t="str">
        <f>IF(LEN(Table1722[[#This Row],[Uraian]])&gt;2,1," ")</f>
        <v xml:space="preserve"> </v>
      </c>
      <c r="E5970" s="113" t="str">
        <f>IF(Table1722[[#This Row],[Lawan Transaksi]]="CV AGUNG KARYA",COUNTIF($I$10:I5970,"CV AGUNG KARYA")," ")</f>
        <v xml:space="preserve"> </v>
      </c>
      <c r="F5970" s="107" t="str">
        <f>IF(LEN(Table1722[[#This Row],[Uraian]])&gt;2,TRIM(RIGHT(SUBSTITUTE(TRIM(C5970)," ",REPT(" ",255)),255))," ")</f>
        <v xml:space="preserve"> </v>
      </c>
      <c r="G5970" s="110">
        <f>COPY!Z5962</f>
        <v>0</v>
      </c>
      <c r="H5970" s="111" t="str">
        <f>IFERROR(VLOOKUP(Table1722[[#This Row],[Bukti]],'Un nOTA'!$A$4:$K$5003,10,FALSE),"")</f>
        <v/>
      </c>
      <c r="I5970" s="123" t="str">
        <f>IFERROR(VLOOKUP(Table1722[[#This Row],[Bukti]],Table13[#Data],11,FALSE),"")</f>
        <v/>
      </c>
    </row>
    <row r="5971" spans="1:9" hidden="1" x14ac:dyDescent="0.2">
      <c r="A5971" s="105" t="str">
        <f>IF(D5971=1,COUNTIF($D$10:D5971,1)," ")</f>
        <v xml:space="preserve"> </v>
      </c>
      <c r="B5971" s="106">
        <f>COPY!AR5963</f>
        <v>0</v>
      </c>
      <c r="C5971" s="107">
        <f>COPY!AC5963</f>
        <v>0</v>
      </c>
      <c r="D5971" s="107" t="str">
        <f>IF(LEN(Table1722[[#This Row],[Uraian]])&gt;2,1," ")</f>
        <v xml:space="preserve"> </v>
      </c>
      <c r="E5971" s="113" t="str">
        <f>IF(Table1722[[#This Row],[Lawan Transaksi]]="CV AGUNG KARYA",COUNTIF($I$10:I5971,"CV AGUNG KARYA")," ")</f>
        <v xml:space="preserve"> </v>
      </c>
      <c r="F5971" s="107" t="str">
        <f>IF(LEN(Table1722[[#This Row],[Uraian]])&gt;2,TRIM(RIGHT(SUBSTITUTE(TRIM(C5971)," ",REPT(" ",255)),255))," ")</f>
        <v xml:space="preserve"> </v>
      </c>
      <c r="G5971" s="110">
        <f>COPY!Z5963</f>
        <v>0</v>
      </c>
      <c r="H5971" s="111" t="str">
        <f>IFERROR(VLOOKUP(Table1722[[#This Row],[Bukti]],'Un nOTA'!$A$4:$K$5003,10,FALSE),"")</f>
        <v/>
      </c>
      <c r="I5971" s="123" t="str">
        <f>IFERROR(VLOOKUP(Table1722[[#This Row],[Bukti]],Table13[#Data],11,FALSE),"")</f>
        <v/>
      </c>
    </row>
    <row r="5972" spans="1:9" hidden="1" x14ac:dyDescent="0.2">
      <c r="A5972" s="105" t="str">
        <f>IF(D5972=1,COUNTIF($D$10:D5972,1)," ")</f>
        <v xml:space="preserve"> </v>
      </c>
      <c r="B5972" s="106">
        <f>COPY!AR5964</f>
        <v>0</v>
      </c>
      <c r="C5972" s="107">
        <f>COPY!AC5964</f>
        <v>0</v>
      </c>
      <c r="D5972" s="107" t="str">
        <f>IF(LEN(Table1722[[#This Row],[Uraian]])&gt;2,1," ")</f>
        <v xml:space="preserve"> </v>
      </c>
      <c r="E5972" s="113" t="str">
        <f>IF(Table1722[[#This Row],[Lawan Transaksi]]="CV AGUNG KARYA",COUNTIF($I$10:I5972,"CV AGUNG KARYA")," ")</f>
        <v xml:space="preserve"> </v>
      </c>
      <c r="F5972" s="107" t="str">
        <f>IF(LEN(Table1722[[#This Row],[Uraian]])&gt;2,TRIM(RIGHT(SUBSTITUTE(TRIM(C5972)," ",REPT(" ",255)),255))," ")</f>
        <v xml:space="preserve"> </v>
      </c>
      <c r="G5972" s="110">
        <f>COPY!Z5964</f>
        <v>0</v>
      </c>
      <c r="H5972" s="111" t="str">
        <f>IFERROR(VLOOKUP(Table1722[[#This Row],[Bukti]],'Un nOTA'!$A$4:$K$5003,10,FALSE),"")</f>
        <v/>
      </c>
      <c r="I5972" s="123" t="str">
        <f>IFERROR(VLOOKUP(Table1722[[#This Row],[Bukti]],Table13[#Data],11,FALSE),"")</f>
        <v/>
      </c>
    </row>
    <row r="5973" spans="1:9" hidden="1" x14ac:dyDescent="0.2">
      <c r="A5973" s="105" t="str">
        <f>IF(D5973=1,COUNTIF($D$10:D5973,1)," ")</f>
        <v xml:space="preserve"> </v>
      </c>
      <c r="B5973" s="106">
        <f>COPY!AR5965</f>
        <v>0</v>
      </c>
      <c r="C5973" s="107">
        <f>COPY!AC5965</f>
        <v>0</v>
      </c>
      <c r="D5973" s="107" t="str">
        <f>IF(LEN(Table1722[[#This Row],[Uraian]])&gt;2,1," ")</f>
        <v xml:space="preserve"> </v>
      </c>
      <c r="E5973" s="113" t="str">
        <f>IF(Table1722[[#This Row],[Lawan Transaksi]]="CV AGUNG KARYA",COUNTIF($I$10:I5973,"CV AGUNG KARYA")," ")</f>
        <v xml:space="preserve"> </v>
      </c>
      <c r="F5973" s="107" t="str">
        <f>IF(LEN(Table1722[[#This Row],[Uraian]])&gt;2,TRIM(RIGHT(SUBSTITUTE(TRIM(C5973)," ",REPT(" ",255)),255))," ")</f>
        <v xml:space="preserve"> </v>
      </c>
      <c r="G5973" s="110">
        <f>COPY!Z5965</f>
        <v>0</v>
      </c>
      <c r="H5973" s="111" t="str">
        <f>IFERROR(VLOOKUP(Table1722[[#This Row],[Bukti]],'Un nOTA'!$A$4:$K$5003,10,FALSE),"")</f>
        <v/>
      </c>
      <c r="I5973" s="123" t="str">
        <f>IFERROR(VLOOKUP(Table1722[[#This Row],[Bukti]],Table13[#Data],11,FALSE),"")</f>
        <v/>
      </c>
    </row>
    <row r="5974" spans="1:9" hidden="1" x14ac:dyDescent="0.2">
      <c r="A5974" s="105" t="str">
        <f>IF(D5974=1,COUNTIF($D$10:D5974,1)," ")</f>
        <v xml:space="preserve"> </v>
      </c>
      <c r="B5974" s="106">
        <f>COPY!AR5966</f>
        <v>0</v>
      </c>
      <c r="C5974" s="107">
        <f>COPY!AC5966</f>
        <v>0</v>
      </c>
      <c r="D5974" s="107" t="str">
        <f>IF(LEN(Table1722[[#This Row],[Uraian]])&gt;2,1," ")</f>
        <v xml:space="preserve"> </v>
      </c>
      <c r="E5974" s="113" t="str">
        <f>IF(Table1722[[#This Row],[Lawan Transaksi]]="CV AGUNG KARYA",COUNTIF($I$10:I5974,"CV AGUNG KARYA")," ")</f>
        <v xml:space="preserve"> </v>
      </c>
      <c r="F5974" s="107" t="str">
        <f>IF(LEN(Table1722[[#This Row],[Uraian]])&gt;2,TRIM(RIGHT(SUBSTITUTE(TRIM(C5974)," ",REPT(" ",255)),255))," ")</f>
        <v xml:space="preserve"> </v>
      </c>
      <c r="G5974" s="110">
        <f>COPY!Z5966</f>
        <v>0</v>
      </c>
      <c r="H5974" s="111" t="str">
        <f>IFERROR(VLOOKUP(Table1722[[#This Row],[Bukti]],'Un nOTA'!$A$4:$K$5003,10,FALSE),"")</f>
        <v/>
      </c>
      <c r="I5974" s="123" t="str">
        <f>IFERROR(VLOOKUP(Table1722[[#This Row],[Bukti]],Table13[#Data],11,FALSE),"")</f>
        <v/>
      </c>
    </row>
    <row r="5975" spans="1:9" hidden="1" x14ac:dyDescent="0.2">
      <c r="A5975" s="105" t="str">
        <f>IF(D5975=1,COUNTIF($D$10:D5975,1)," ")</f>
        <v xml:space="preserve"> </v>
      </c>
      <c r="B5975" s="106">
        <f>COPY!AR5967</f>
        <v>0</v>
      </c>
      <c r="C5975" s="107">
        <f>COPY!AC5967</f>
        <v>0</v>
      </c>
      <c r="D5975" s="107" t="str">
        <f>IF(LEN(Table1722[[#This Row],[Uraian]])&gt;2,1," ")</f>
        <v xml:space="preserve"> </v>
      </c>
      <c r="E5975" s="113" t="str">
        <f>IF(Table1722[[#This Row],[Lawan Transaksi]]="CV AGUNG KARYA",COUNTIF($I$10:I5975,"CV AGUNG KARYA")," ")</f>
        <v xml:space="preserve"> </v>
      </c>
      <c r="F5975" s="107" t="str">
        <f>IF(LEN(Table1722[[#This Row],[Uraian]])&gt;2,TRIM(RIGHT(SUBSTITUTE(TRIM(C5975)," ",REPT(" ",255)),255))," ")</f>
        <v xml:space="preserve"> </v>
      </c>
      <c r="G5975" s="110">
        <f>COPY!Z5967</f>
        <v>0</v>
      </c>
      <c r="H5975" s="111" t="str">
        <f>IFERROR(VLOOKUP(Table1722[[#This Row],[Bukti]],'Un nOTA'!$A$4:$K$5003,10,FALSE),"")</f>
        <v/>
      </c>
      <c r="I5975" s="123" t="str">
        <f>IFERROR(VLOOKUP(Table1722[[#This Row],[Bukti]],Table13[#Data],11,FALSE),"")</f>
        <v/>
      </c>
    </row>
    <row r="5976" spans="1:9" hidden="1" x14ac:dyDescent="0.2">
      <c r="A5976" s="105" t="str">
        <f>IF(D5976=1,COUNTIF($D$10:D5976,1)," ")</f>
        <v xml:space="preserve"> </v>
      </c>
      <c r="B5976" s="106">
        <f>COPY!AR5968</f>
        <v>0</v>
      </c>
      <c r="C5976" s="107">
        <f>COPY!AC5968</f>
        <v>0</v>
      </c>
      <c r="D5976" s="107" t="str">
        <f>IF(LEN(Table1722[[#This Row],[Uraian]])&gt;2,1," ")</f>
        <v xml:space="preserve"> </v>
      </c>
      <c r="E5976" s="113" t="str">
        <f>IF(Table1722[[#This Row],[Lawan Transaksi]]="CV AGUNG KARYA",COUNTIF($I$10:I5976,"CV AGUNG KARYA")," ")</f>
        <v xml:space="preserve"> </v>
      </c>
      <c r="F5976" s="107" t="str">
        <f>IF(LEN(Table1722[[#This Row],[Uraian]])&gt;2,TRIM(RIGHT(SUBSTITUTE(TRIM(C5976)," ",REPT(" ",255)),255))," ")</f>
        <v xml:space="preserve"> </v>
      </c>
      <c r="G5976" s="110">
        <f>COPY!Z5968</f>
        <v>0</v>
      </c>
      <c r="H5976" s="111" t="str">
        <f>IFERROR(VLOOKUP(Table1722[[#This Row],[Bukti]],'Un nOTA'!$A$4:$K$5003,10,FALSE),"")</f>
        <v/>
      </c>
      <c r="I5976" s="123" t="str">
        <f>IFERROR(VLOOKUP(Table1722[[#This Row],[Bukti]],Table13[#Data],11,FALSE),"")</f>
        <v/>
      </c>
    </row>
    <row r="5977" spans="1:9" hidden="1" x14ac:dyDescent="0.2">
      <c r="A5977" s="105" t="str">
        <f>IF(D5977=1,COUNTIF($D$10:D5977,1)," ")</f>
        <v xml:space="preserve"> </v>
      </c>
      <c r="B5977" s="106">
        <f>COPY!AR5969</f>
        <v>0</v>
      </c>
      <c r="C5977" s="107">
        <f>COPY!AC5969</f>
        <v>0</v>
      </c>
      <c r="D5977" s="107" t="str">
        <f>IF(LEN(Table1722[[#This Row],[Uraian]])&gt;2,1," ")</f>
        <v xml:space="preserve"> </v>
      </c>
      <c r="E5977" s="113" t="str">
        <f>IF(Table1722[[#This Row],[Lawan Transaksi]]="CV AGUNG KARYA",COUNTIF($I$10:I5977,"CV AGUNG KARYA")," ")</f>
        <v xml:space="preserve"> </v>
      </c>
      <c r="F5977" s="107" t="str">
        <f>IF(LEN(Table1722[[#This Row],[Uraian]])&gt;2,TRIM(RIGHT(SUBSTITUTE(TRIM(C5977)," ",REPT(" ",255)),255))," ")</f>
        <v xml:space="preserve"> </v>
      </c>
      <c r="G5977" s="110">
        <f>COPY!Z5969</f>
        <v>0</v>
      </c>
      <c r="H5977" s="111" t="str">
        <f>IFERROR(VLOOKUP(Table1722[[#This Row],[Bukti]],'Un nOTA'!$A$4:$K$5003,10,FALSE),"")</f>
        <v/>
      </c>
      <c r="I5977" s="123" t="str">
        <f>IFERROR(VLOOKUP(Table1722[[#This Row],[Bukti]],Table13[#Data],11,FALSE),"")</f>
        <v/>
      </c>
    </row>
    <row r="5978" spans="1:9" hidden="1" x14ac:dyDescent="0.2">
      <c r="A5978" s="105" t="str">
        <f>IF(D5978=1,COUNTIF($D$10:D5978,1)," ")</f>
        <v xml:space="preserve"> </v>
      </c>
      <c r="B5978" s="106">
        <f>COPY!AR5970</f>
        <v>0</v>
      </c>
      <c r="C5978" s="107">
        <f>COPY!AC5970</f>
        <v>0</v>
      </c>
      <c r="D5978" s="107" t="str">
        <f>IF(LEN(Table1722[[#This Row],[Uraian]])&gt;2,1," ")</f>
        <v xml:space="preserve"> </v>
      </c>
      <c r="E5978" s="113" t="str">
        <f>IF(Table1722[[#This Row],[Lawan Transaksi]]="CV AGUNG KARYA",COUNTIF($I$10:I5978,"CV AGUNG KARYA")," ")</f>
        <v xml:space="preserve"> </v>
      </c>
      <c r="F5978" s="107" t="str">
        <f>IF(LEN(Table1722[[#This Row],[Uraian]])&gt;2,TRIM(RIGHT(SUBSTITUTE(TRIM(C5978)," ",REPT(" ",255)),255))," ")</f>
        <v xml:space="preserve"> </v>
      </c>
      <c r="G5978" s="110">
        <f>COPY!Z5970</f>
        <v>0</v>
      </c>
      <c r="H5978" s="111" t="str">
        <f>IFERROR(VLOOKUP(Table1722[[#This Row],[Bukti]],'Un nOTA'!$A$4:$K$5003,10,FALSE),"")</f>
        <v/>
      </c>
      <c r="I5978" s="123" t="str">
        <f>IFERROR(VLOOKUP(Table1722[[#This Row],[Bukti]],Table13[#Data],11,FALSE),"")</f>
        <v/>
      </c>
    </row>
    <row r="5979" spans="1:9" hidden="1" x14ac:dyDescent="0.2">
      <c r="A5979" s="105" t="str">
        <f>IF(D5979=1,COUNTIF($D$10:D5979,1)," ")</f>
        <v xml:space="preserve"> </v>
      </c>
      <c r="B5979" s="106">
        <f>COPY!AR5971</f>
        <v>0</v>
      </c>
      <c r="C5979" s="107">
        <f>COPY!AC5971</f>
        <v>0</v>
      </c>
      <c r="D5979" s="107" t="str">
        <f>IF(LEN(Table1722[[#This Row],[Uraian]])&gt;2,1," ")</f>
        <v xml:space="preserve"> </v>
      </c>
      <c r="E5979" s="113" t="str">
        <f>IF(Table1722[[#This Row],[Lawan Transaksi]]="CV AGUNG KARYA",COUNTIF($I$10:I5979,"CV AGUNG KARYA")," ")</f>
        <v xml:space="preserve"> </v>
      </c>
      <c r="F5979" s="107" t="str">
        <f>IF(LEN(Table1722[[#This Row],[Uraian]])&gt;2,TRIM(RIGHT(SUBSTITUTE(TRIM(C5979)," ",REPT(" ",255)),255))," ")</f>
        <v xml:space="preserve"> </v>
      </c>
      <c r="G5979" s="110">
        <f>COPY!Z5971</f>
        <v>0</v>
      </c>
      <c r="H5979" s="111" t="str">
        <f>IFERROR(VLOOKUP(Table1722[[#This Row],[Bukti]],'Un nOTA'!$A$4:$K$5003,10,FALSE),"")</f>
        <v/>
      </c>
      <c r="I5979" s="123" t="str">
        <f>IFERROR(VLOOKUP(Table1722[[#This Row],[Bukti]],Table13[#Data],11,FALSE),"")</f>
        <v/>
      </c>
    </row>
    <row r="5980" spans="1:9" hidden="1" x14ac:dyDescent="0.2">
      <c r="A5980" s="105" t="str">
        <f>IF(D5980=1,COUNTIF($D$10:D5980,1)," ")</f>
        <v xml:space="preserve"> </v>
      </c>
      <c r="B5980" s="106">
        <f>COPY!AR5972</f>
        <v>0</v>
      </c>
      <c r="C5980" s="107">
        <f>COPY!AC5972</f>
        <v>0</v>
      </c>
      <c r="D5980" s="107" t="str">
        <f>IF(LEN(Table1722[[#This Row],[Uraian]])&gt;2,1," ")</f>
        <v xml:space="preserve"> </v>
      </c>
      <c r="E5980" s="113" t="str">
        <f>IF(Table1722[[#This Row],[Lawan Transaksi]]="CV AGUNG KARYA",COUNTIF($I$10:I5980,"CV AGUNG KARYA")," ")</f>
        <v xml:space="preserve"> </v>
      </c>
      <c r="F5980" s="107" t="str">
        <f>IF(LEN(Table1722[[#This Row],[Uraian]])&gt;2,TRIM(RIGHT(SUBSTITUTE(TRIM(C5980)," ",REPT(" ",255)),255))," ")</f>
        <v xml:space="preserve"> </v>
      </c>
      <c r="G5980" s="110">
        <f>COPY!Z5972</f>
        <v>0</v>
      </c>
      <c r="H5980" s="111" t="str">
        <f>IFERROR(VLOOKUP(Table1722[[#This Row],[Bukti]],'Un nOTA'!$A$4:$K$5003,10,FALSE),"")</f>
        <v/>
      </c>
      <c r="I5980" s="123" t="str">
        <f>IFERROR(VLOOKUP(Table1722[[#This Row],[Bukti]],Table13[#Data],11,FALSE),"")</f>
        <v/>
      </c>
    </row>
    <row r="5981" spans="1:9" hidden="1" x14ac:dyDescent="0.2">
      <c r="A5981" s="105" t="str">
        <f>IF(D5981=1,COUNTIF($D$10:D5981,1)," ")</f>
        <v xml:space="preserve"> </v>
      </c>
      <c r="B5981" s="106">
        <f>COPY!AR5973</f>
        <v>0</v>
      </c>
      <c r="C5981" s="107">
        <f>COPY!AC5973</f>
        <v>0</v>
      </c>
      <c r="D5981" s="107" t="str">
        <f>IF(LEN(Table1722[[#This Row],[Uraian]])&gt;2,1," ")</f>
        <v xml:space="preserve"> </v>
      </c>
      <c r="E5981" s="113" t="str">
        <f>IF(Table1722[[#This Row],[Lawan Transaksi]]="CV AGUNG KARYA",COUNTIF($I$10:I5981,"CV AGUNG KARYA")," ")</f>
        <v xml:space="preserve"> </v>
      </c>
      <c r="F5981" s="107" t="str">
        <f>IF(LEN(Table1722[[#This Row],[Uraian]])&gt;2,TRIM(RIGHT(SUBSTITUTE(TRIM(C5981)," ",REPT(" ",255)),255))," ")</f>
        <v xml:space="preserve"> </v>
      </c>
      <c r="G5981" s="110">
        <f>COPY!Z5973</f>
        <v>0</v>
      </c>
      <c r="H5981" s="111" t="str">
        <f>IFERROR(VLOOKUP(Table1722[[#This Row],[Bukti]],'Un nOTA'!$A$4:$K$5003,10,FALSE),"")</f>
        <v/>
      </c>
      <c r="I5981" s="123" t="str">
        <f>IFERROR(VLOOKUP(Table1722[[#This Row],[Bukti]],Table13[#Data],11,FALSE),"")</f>
        <v/>
      </c>
    </row>
    <row r="5982" spans="1:9" hidden="1" x14ac:dyDescent="0.2">
      <c r="A5982" s="105" t="str">
        <f>IF(D5982=1,COUNTIF($D$10:D5982,1)," ")</f>
        <v xml:space="preserve"> </v>
      </c>
      <c r="B5982" s="106">
        <f>COPY!AR5974</f>
        <v>0</v>
      </c>
      <c r="C5982" s="107">
        <f>COPY!AC5974</f>
        <v>0</v>
      </c>
      <c r="D5982" s="107" t="str">
        <f>IF(LEN(Table1722[[#This Row],[Uraian]])&gt;2,1," ")</f>
        <v xml:space="preserve"> </v>
      </c>
      <c r="E5982" s="113" t="str">
        <f>IF(Table1722[[#This Row],[Lawan Transaksi]]="CV AGUNG KARYA",COUNTIF($I$10:I5982,"CV AGUNG KARYA")," ")</f>
        <v xml:space="preserve"> </v>
      </c>
      <c r="F5982" s="107" t="str">
        <f>IF(LEN(Table1722[[#This Row],[Uraian]])&gt;2,TRIM(RIGHT(SUBSTITUTE(TRIM(C5982)," ",REPT(" ",255)),255))," ")</f>
        <v xml:space="preserve"> </v>
      </c>
      <c r="G5982" s="110">
        <f>COPY!Z5974</f>
        <v>0</v>
      </c>
      <c r="H5982" s="111" t="str">
        <f>IFERROR(VLOOKUP(Table1722[[#This Row],[Bukti]],'Un nOTA'!$A$4:$K$5003,10,FALSE),"")</f>
        <v/>
      </c>
      <c r="I5982" s="123" t="str">
        <f>IFERROR(VLOOKUP(Table1722[[#This Row],[Bukti]],Table13[#Data],11,FALSE),"")</f>
        <v/>
      </c>
    </row>
    <row r="5983" spans="1:9" hidden="1" x14ac:dyDescent="0.2">
      <c r="A5983" s="105" t="str">
        <f>IF(D5983=1,COUNTIF($D$10:D5983,1)," ")</f>
        <v xml:space="preserve"> </v>
      </c>
      <c r="B5983" s="106">
        <f>COPY!AR5975</f>
        <v>0</v>
      </c>
      <c r="C5983" s="107">
        <f>COPY!AC5975</f>
        <v>0</v>
      </c>
      <c r="D5983" s="107" t="str">
        <f>IF(LEN(Table1722[[#This Row],[Uraian]])&gt;2,1," ")</f>
        <v xml:space="preserve"> </v>
      </c>
      <c r="E5983" s="113" t="str">
        <f>IF(Table1722[[#This Row],[Lawan Transaksi]]="CV AGUNG KARYA",COUNTIF($I$10:I5983,"CV AGUNG KARYA")," ")</f>
        <v xml:space="preserve"> </v>
      </c>
      <c r="F5983" s="107" t="str">
        <f>IF(LEN(Table1722[[#This Row],[Uraian]])&gt;2,TRIM(RIGHT(SUBSTITUTE(TRIM(C5983)," ",REPT(" ",255)),255))," ")</f>
        <v xml:space="preserve"> </v>
      </c>
      <c r="G5983" s="110">
        <f>COPY!Z5975</f>
        <v>0</v>
      </c>
      <c r="H5983" s="111" t="str">
        <f>IFERROR(VLOOKUP(Table1722[[#This Row],[Bukti]],'Un nOTA'!$A$4:$K$5003,10,FALSE),"")</f>
        <v/>
      </c>
      <c r="I5983" s="123" t="str">
        <f>IFERROR(VLOOKUP(Table1722[[#This Row],[Bukti]],Table13[#Data],11,FALSE),"")</f>
        <v/>
      </c>
    </row>
    <row r="5984" spans="1:9" hidden="1" x14ac:dyDescent="0.2">
      <c r="A5984" s="105" t="str">
        <f>IF(D5984=1,COUNTIF($D$10:D5984,1)," ")</f>
        <v xml:space="preserve"> </v>
      </c>
      <c r="B5984" s="106">
        <f>COPY!AR5976</f>
        <v>0</v>
      </c>
      <c r="C5984" s="107">
        <f>COPY!AC5976</f>
        <v>0</v>
      </c>
      <c r="D5984" s="107" t="str">
        <f>IF(LEN(Table1722[[#This Row],[Uraian]])&gt;2,1," ")</f>
        <v xml:space="preserve"> </v>
      </c>
      <c r="E5984" s="113" t="str">
        <f>IF(Table1722[[#This Row],[Lawan Transaksi]]="CV AGUNG KARYA",COUNTIF($I$10:I5984,"CV AGUNG KARYA")," ")</f>
        <v xml:space="preserve"> </v>
      </c>
      <c r="F5984" s="107" t="str">
        <f>IF(LEN(Table1722[[#This Row],[Uraian]])&gt;2,TRIM(RIGHT(SUBSTITUTE(TRIM(C5984)," ",REPT(" ",255)),255))," ")</f>
        <v xml:space="preserve"> </v>
      </c>
      <c r="G5984" s="110">
        <f>COPY!Z5976</f>
        <v>0</v>
      </c>
      <c r="H5984" s="111" t="str">
        <f>IFERROR(VLOOKUP(Table1722[[#This Row],[Bukti]],'Un nOTA'!$A$4:$K$5003,10,FALSE),"")</f>
        <v/>
      </c>
      <c r="I5984" s="123" t="str">
        <f>IFERROR(VLOOKUP(Table1722[[#This Row],[Bukti]],Table13[#Data],11,FALSE),"")</f>
        <v/>
      </c>
    </row>
    <row r="5985" spans="1:9" hidden="1" x14ac:dyDescent="0.2">
      <c r="A5985" s="105" t="str">
        <f>IF(D5985=1,COUNTIF($D$10:D5985,1)," ")</f>
        <v xml:space="preserve"> </v>
      </c>
      <c r="B5985" s="106">
        <f>COPY!AR5977</f>
        <v>0</v>
      </c>
      <c r="C5985" s="107">
        <f>COPY!AC5977</f>
        <v>0</v>
      </c>
      <c r="D5985" s="107" t="str">
        <f>IF(LEN(Table1722[[#This Row],[Uraian]])&gt;2,1," ")</f>
        <v xml:space="preserve"> </v>
      </c>
      <c r="E5985" s="113" t="str">
        <f>IF(Table1722[[#This Row],[Lawan Transaksi]]="CV AGUNG KARYA",COUNTIF($I$10:I5985,"CV AGUNG KARYA")," ")</f>
        <v xml:space="preserve"> </v>
      </c>
      <c r="F5985" s="107" t="str">
        <f>IF(LEN(Table1722[[#This Row],[Uraian]])&gt;2,TRIM(RIGHT(SUBSTITUTE(TRIM(C5985)," ",REPT(" ",255)),255))," ")</f>
        <v xml:space="preserve"> </v>
      </c>
      <c r="G5985" s="110">
        <f>COPY!Z5977</f>
        <v>0</v>
      </c>
      <c r="H5985" s="111" t="str">
        <f>IFERROR(VLOOKUP(Table1722[[#This Row],[Bukti]],'Un nOTA'!$A$4:$K$5003,10,FALSE),"")</f>
        <v/>
      </c>
      <c r="I5985" s="123" t="str">
        <f>IFERROR(VLOOKUP(Table1722[[#This Row],[Bukti]],Table13[#Data],11,FALSE),"")</f>
        <v/>
      </c>
    </row>
    <row r="5986" spans="1:9" hidden="1" x14ac:dyDescent="0.2">
      <c r="A5986" s="105" t="str">
        <f>IF(D5986=1,COUNTIF($D$10:D5986,1)," ")</f>
        <v xml:space="preserve"> </v>
      </c>
      <c r="B5986" s="106">
        <f>COPY!AR5978</f>
        <v>0</v>
      </c>
      <c r="C5986" s="107">
        <f>COPY!AC5978</f>
        <v>0</v>
      </c>
      <c r="D5986" s="107" t="str">
        <f>IF(LEN(Table1722[[#This Row],[Uraian]])&gt;2,1," ")</f>
        <v xml:space="preserve"> </v>
      </c>
      <c r="E5986" s="113" t="str">
        <f>IF(Table1722[[#This Row],[Lawan Transaksi]]="CV AGUNG KARYA",COUNTIF($I$10:I5986,"CV AGUNG KARYA")," ")</f>
        <v xml:space="preserve"> </v>
      </c>
      <c r="F5986" s="107" t="str">
        <f>IF(LEN(Table1722[[#This Row],[Uraian]])&gt;2,TRIM(RIGHT(SUBSTITUTE(TRIM(C5986)," ",REPT(" ",255)),255))," ")</f>
        <v xml:space="preserve"> </v>
      </c>
      <c r="G5986" s="110">
        <f>COPY!Z5978</f>
        <v>0</v>
      </c>
      <c r="H5986" s="111" t="str">
        <f>IFERROR(VLOOKUP(Table1722[[#This Row],[Bukti]],'Un nOTA'!$A$4:$K$5003,10,FALSE),"")</f>
        <v/>
      </c>
      <c r="I5986" s="123" t="str">
        <f>IFERROR(VLOOKUP(Table1722[[#This Row],[Bukti]],Table13[#Data],11,FALSE),"")</f>
        <v/>
      </c>
    </row>
    <row r="5987" spans="1:9" hidden="1" x14ac:dyDescent="0.2">
      <c r="A5987" s="105" t="str">
        <f>IF(D5987=1,COUNTIF($D$10:D5987,1)," ")</f>
        <v xml:space="preserve"> </v>
      </c>
      <c r="B5987" s="106">
        <f>COPY!AR5979</f>
        <v>0</v>
      </c>
      <c r="C5987" s="107">
        <f>COPY!AC5979</f>
        <v>0</v>
      </c>
      <c r="D5987" s="107" t="str">
        <f>IF(LEN(Table1722[[#This Row],[Uraian]])&gt;2,1," ")</f>
        <v xml:space="preserve"> </v>
      </c>
      <c r="E5987" s="113" t="str">
        <f>IF(Table1722[[#This Row],[Lawan Transaksi]]="CV AGUNG KARYA",COUNTIF($I$10:I5987,"CV AGUNG KARYA")," ")</f>
        <v xml:space="preserve"> </v>
      </c>
      <c r="F5987" s="107" t="str">
        <f>IF(LEN(Table1722[[#This Row],[Uraian]])&gt;2,TRIM(RIGHT(SUBSTITUTE(TRIM(C5987)," ",REPT(" ",255)),255))," ")</f>
        <v xml:space="preserve"> </v>
      </c>
      <c r="G5987" s="110">
        <f>COPY!Z5979</f>
        <v>0</v>
      </c>
      <c r="H5987" s="111" t="str">
        <f>IFERROR(VLOOKUP(Table1722[[#This Row],[Bukti]],'Un nOTA'!$A$4:$K$5003,10,FALSE),"")</f>
        <v/>
      </c>
      <c r="I5987" s="123" t="str">
        <f>IFERROR(VLOOKUP(Table1722[[#This Row],[Bukti]],Table13[#Data],11,FALSE),"")</f>
        <v/>
      </c>
    </row>
    <row r="5988" spans="1:9" hidden="1" x14ac:dyDescent="0.2">
      <c r="A5988" s="105" t="str">
        <f>IF(D5988=1,COUNTIF($D$10:D5988,1)," ")</f>
        <v xml:space="preserve"> </v>
      </c>
      <c r="B5988" s="106">
        <f>COPY!AR5980</f>
        <v>0</v>
      </c>
      <c r="C5988" s="107">
        <f>COPY!AC5980</f>
        <v>0</v>
      </c>
      <c r="D5988" s="107" t="str">
        <f>IF(LEN(Table1722[[#This Row],[Uraian]])&gt;2,1," ")</f>
        <v xml:space="preserve"> </v>
      </c>
      <c r="E5988" s="113" t="str">
        <f>IF(Table1722[[#This Row],[Lawan Transaksi]]="CV AGUNG KARYA",COUNTIF($I$10:I5988,"CV AGUNG KARYA")," ")</f>
        <v xml:space="preserve"> </v>
      </c>
      <c r="F5988" s="107" t="str">
        <f>IF(LEN(Table1722[[#This Row],[Uraian]])&gt;2,TRIM(RIGHT(SUBSTITUTE(TRIM(C5988)," ",REPT(" ",255)),255))," ")</f>
        <v xml:space="preserve"> </v>
      </c>
      <c r="G5988" s="110">
        <f>COPY!Z5980</f>
        <v>0</v>
      </c>
      <c r="H5988" s="111" t="str">
        <f>IFERROR(VLOOKUP(Table1722[[#This Row],[Bukti]],'Un nOTA'!$A$4:$K$5003,10,FALSE),"")</f>
        <v/>
      </c>
      <c r="I5988" s="123" t="str">
        <f>IFERROR(VLOOKUP(Table1722[[#This Row],[Bukti]],Table13[#Data],11,FALSE),"")</f>
        <v/>
      </c>
    </row>
    <row r="5989" spans="1:9" hidden="1" x14ac:dyDescent="0.2">
      <c r="A5989" s="105" t="str">
        <f>IF(D5989=1,COUNTIF($D$10:D5989,1)," ")</f>
        <v xml:space="preserve"> </v>
      </c>
      <c r="B5989" s="106">
        <f>COPY!AR5981</f>
        <v>0</v>
      </c>
      <c r="C5989" s="107">
        <f>COPY!AC5981</f>
        <v>0</v>
      </c>
      <c r="D5989" s="107" t="str">
        <f>IF(LEN(Table1722[[#This Row],[Uraian]])&gt;2,1," ")</f>
        <v xml:space="preserve"> </v>
      </c>
      <c r="E5989" s="113" t="str">
        <f>IF(Table1722[[#This Row],[Lawan Transaksi]]="CV AGUNG KARYA",COUNTIF($I$10:I5989,"CV AGUNG KARYA")," ")</f>
        <v xml:space="preserve"> </v>
      </c>
      <c r="F5989" s="107" t="str">
        <f>IF(LEN(Table1722[[#This Row],[Uraian]])&gt;2,TRIM(RIGHT(SUBSTITUTE(TRIM(C5989)," ",REPT(" ",255)),255))," ")</f>
        <v xml:space="preserve"> </v>
      </c>
      <c r="G5989" s="110">
        <f>COPY!Z5981</f>
        <v>0</v>
      </c>
      <c r="H5989" s="111" t="str">
        <f>IFERROR(VLOOKUP(Table1722[[#This Row],[Bukti]],'Un nOTA'!$A$4:$K$5003,10,FALSE),"")</f>
        <v/>
      </c>
      <c r="I5989" s="123" t="str">
        <f>IFERROR(VLOOKUP(Table1722[[#This Row],[Bukti]],Table13[#Data],11,FALSE),"")</f>
        <v/>
      </c>
    </row>
    <row r="5990" spans="1:9" hidden="1" x14ac:dyDescent="0.2">
      <c r="A5990" s="105" t="str">
        <f>IF(D5990=1,COUNTIF($D$10:D5990,1)," ")</f>
        <v xml:space="preserve"> </v>
      </c>
      <c r="B5990" s="106">
        <f>COPY!AR5982</f>
        <v>0</v>
      </c>
      <c r="C5990" s="107">
        <f>COPY!AC5982</f>
        <v>0</v>
      </c>
      <c r="D5990" s="107" t="str">
        <f>IF(LEN(Table1722[[#This Row],[Uraian]])&gt;2,1," ")</f>
        <v xml:space="preserve"> </v>
      </c>
      <c r="E5990" s="113" t="str">
        <f>IF(Table1722[[#This Row],[Lawan Transaksi]]="CV AGUNG KARYA",COUNTIF($I$10:I5990,"CV AGUNG KARYA")," ")</f>
        <v xml:space="preserve"> </v>
      </c>
      <c r="F5990" s="107" t="str">
        <f>IF(LEN(Table1722[[#This Row],[Uraian]])&gt;2,TRIM(RIGHT(SUBSTITUTE(TRIM(C5990)," ",REPT(" ",255)),255))," ")</f>
        <v xml:space="preserve"> </v>
      </c>
      <c r="G5990" s="110">
        <f>COPY!Z5982</f>
        <v>0</v>
      </c>
      <c r="H5990" s="111" t="str">
        <f>IFERROR(VLOOKUP(Table1722[[#This Row],[Bukti]],'Un nOTA'!$A$4:$K$5003,10,FALSE),"")</f>
        <v/>
      </c>
      <c r="I5990" s="123" t="str">
        <f>IFERROR(VLOOKUP(Table1722[[#This Row],[Bukti]],Table13[#Data],11,FALSE),"")</f>
        <v/>
      </c>
    </row>
    <row r="5991" spans="1:9" hidden="1" x14ac:dyDescent="0.2">
      <c r="A5991" s="105" t="str">
        <f>IF(D5991=1,COUNTIF($D$10:D5991,1)," ")</f>
        <v xml:space="preserve"> </v>
      </c>
      <c r="B5991" s="106">
        <f>COPY!AR5983</f>
        <v>0</v>
      </c>
      <c r="C5991" s="107">
        <f>COPY!AC5983</f>
        <v>0</v>
      </c>
      <c r="D5991" s="107" t="str">
        <f>IF(LEN(Table1722[[#This Row],[Uraian]])&gt;2,1," ")</f>
        <v xml:space="preserve"> </v>
      </c>
      <c r="E5991" s="113" t="str">
        <f>IF(Table1722[[#This Row],[Lawan Transaksi]]="CV AGUNG KARYA",COUNTIF($I$10:I5991,"CV AGUNG KARYA")," ")</f>
        <v xml:space="preserve"> </v>
      </c>
      <c r="F5991" s="107" t="str">
        <f>IF(LEN(Table1722[[#This Row],[Uraian]])&gt;2,TRIM(RIGHT(SUBSTITUTE(TRIM(C5991)," ",REPT(" ",255)),255))," ")</f>
        <v xml:space="preserve"> </v>
      </c>
      <c r="G5991" s="110">
        <f>COPY!Z5983</f>
        <v>0</v>
      </c>
      <c r="H5991" s="111" t="str">
        <f>IFERROR(VLOOKUP(Table1722[[#This Row],[Bukti]],'Un nOTA'!$A$4:$K$5003,10,FALSE),"")</f>
        <v/>
      </c>
      <c r="I5991" s="123" t="str">
        <f>IFERROR(VLOOKUP(Table1722[[#This Row],[Bukti]],Table13[#Data],11,FALSE),"")</f>
        <v/>
      </c>
    </row>
    <row r="5992" spans="1:9" hidden="1" x14ac:dyDescent="0.2">
      <c r="A5992" s="105" t="str">
        <f>IF(D5992=1,COUNTIF($D$10:D5992,1)," ")</f>
        <v xml:space="preserve"> </v>
      </c>
      <c r="B5992" s="106">
        <f>COPY!AR5984</f>
        <v>0</v>
      </c>
      <c r="C5992" s="107">
        <f>COPY!AC5984</f>
        <v>0</v>
      </c>
      <c r="D5992" s="107" t="str">
        <f>IF(LEN(Table1722[[#This Row],[Uraian]])&gt;2,1," ")</f>
        <v xml:space="preserve"> </v>
      </c>
      <c r="E5992" s="113" t="str">
        <f>IF(Table1722[[#This Row],[Lawan Transaksi]]="CV AGUNG KARYA",COUNTIF($I$10:I5992,"CV AGUNG KARYA")," ")</f>
        <v xml:space="preserve"> </v>
      </c>
      <c r="F5992" s="107" t="str">
        <f>IF(LEN(Table1722[[#This Row],[Uraian]])&gt;2,TRIM(RIGHT(SUBSTITUTE(TRIM(C5992)," ",REPT(" ",255)),255))," ")</f>
        <v xml:space="preserve"> </v>
      </c>
      <c r="G5992" s="110">
        <f>COPY!Z5984</f>
        <v>0</v>
      </c>
      <c r="H5992" s="111" t="str">
        <f>IFERROR(VLOOKUP(Table1722[[#This Row],[Bukti]],'Un nOTA'!$A$4:$K$5003,10,FALSE),"")</f>
        <v/>
      </c>
      <c r="I5992" s="123" t="str">
        <f>IFERROR(VLOOKUP(Table1722[[#This Row],[Bukti]],Table13[#Data],11,FALSE),"")</f>
        <v/>
      </c>
    </row>
    <row r="5993" spans="1:9" hidden="1" x14ac:dyDescent="0.2">
      <c r="A5993" s="105" t="str">
        <f>IF(D5993=1,COUNTIF($D$10:D5993,1)," ")</f>
        <v xml:space="preserve"> </v>
      </c>
      <c r="B5993" s="106">
        <f>COPY!AR5985</f>
        <v>0</v>
      </c>
      <c r="C5993" s="107">
        <f>COPY!AC5985</f>
        <v>0</v>
      </c>
      <c r="D5993" s="107" t="str">
        <f>IF(LEN(Table1722[[#This Row],[Uraian]])&gt;2,1," ")</f>
        <v xml:space="preserve"> </v>
      </c>
      <c r="E5993" s="113" t="str">
        <f>IF(Table1722[[#This Row],[Lawan Transaksi]]="CV AGUNG KARYA",COUNTIF($I$10:I5993,"CV AGUNG KARYA")," ")</f>
        <v xml:space="preserve"> </v>
      </c>
      <c r="F5993" s="107" t="str">
        <f>IF(LEN(Table1722[[#This Row],[Uraian]])&gt;2,TRIM(RIGHT(SUBSTITUTE(TRIM(C5993)," ",REPT(" ",255)),255))," ")</f>
        <v xml:space="preserve"> </v>
      </c>
      <c r="G5993" s="110">
        <f>COPY!Z5985</f>
        <v>0</v>
      </c>
      <c r="H5993" s="111" t="str">
        <f>IFERROR(VLOOKUP(Table1722[[#This Row],[Bukti]],'Un nOTA'!$A$4:$K$5003,10,FALSE),"")</f>
        <v/>
      </c>
      <c r="I5993" s="123" t="str">
        <f>IFERROR(VLOOKUP(Table1722[[#This Row],[Bukti]],Table13[#Data],11,FALSE),"")</f>
        <v/>
      </c>
    </row>
    <row r="5994" spans="1:9" hidden="1" x14ac:dyDescent="0.2">
      <c r="A5994" s="105" t="str">
        <f>IF(D5994=1,COUNTIF($D$10:D5994,1)," ")</f>
        <v xml:space="preserve"> </v>
      </c>
      <c r="B5994" s="106">
        <f>COPY!AR5986</f>
        <v>0</v>
      </c>
      <c r="C5994" s="107">
        <f>COPY!AC5986</f>
        <v>0</v>
      </c>
      <c r="D5994" s="107" t="str">
        <f>IF(LEN(Table1722[[#This Row],[Uraian]])&gt;2,1," ")</f>
        <v xml:space="preserve"> </v>
      </c>
      <c r="E5994" s="113" t="str">
        <f>IF(Table1722[[#This Row],[Lawan Transaksi]]="CV AGUNG KARYA",COUNTIF($I$10:I5994,"CV AGUNG KARYA")," ")</f>
        <v xml:space="preserve"> </v>
      </c>
      <c r="F5994" s="107" t="str">
        <f>IF(LEN(Table1722[[#This Row],[Uraian]])&gt;2,TRIM(RIGHT(SUBSTITUTE(TRIM(C5994)," ",REPT(" ",255)),255))," ")</f>
        <v xml:space="preserve"> </v>
      </c>
      <c r="G5994" s="110">
        <f>COPY!Z5986</f>
        <v>0</v>
      </c>
      <c r="H5994" s="111" t="str">
        <f>IFERROR(VLOOKUP(Table1722[[#This Row],[Bukti]],'Un nOTA'!$A$4:$K$5003,10,FALSE),"")</f>
        <v/>
      </c>
      <c r="I5994" s="123" t="str">
        <f>IFERROR(VLOOKUP(Table1722[[#This Row],[Bukti]],Table13[#Data],11,FALSE),"")</f>
        <v/>
      </c>
    </row>
    <row r="5995" spans="1:9" hidden="1" x14ac:dyDescent="0.2">
      <c r="A5995" s="105" t="str">
        <f>IF(D5995=1,COUNTIF($D$10:D5995,1)," ")</f>
        <v xml:space="preserve"> </v>
      </c>
      <c r="B5995" s="106">
        <f>COPY!AR5987</f>
        <v>0</v>
      </c>
      <c r="C5995" s="107">
        <f>COPY!AC5987</f>
        <v>0</v>
      </c>
      <c r="D5995" s="107" t="str">
        <f>IF(LEN(Table1722[[#This Row],[Uraian]])&gt;2,1," ")</f>
        <v xml:space="preserve"> </v>
      </c>
      <c r="E5995" s="113" t="str">
        <f>IF(Table1722[[#This Row],[Lawan Transaksi]]="CV AGUNG KARYA",COUNTIF($I$10:I5995,"CV AGUNG KARYA")," ")</f>
        <v xml:space="preserve"> </v>
      </c>
      <c r="F5995" s="107" t="str">
        <f>IF(LEN(Table1722[[#This Row],[Uraian]])&gt;2,TRIM(RIGHT(SUBSTITUTE(TRIM(C5995)," ",REPT(" ",255)),255))," ")</f>
        <v xml:space="preserve"> </v>
      </c>
      <c r="G5995" s="110">
        <f>COPY!Z5987</f>
        <v>0</v>
      </c>
      <c r="H5995" s="111" t="str">
        <f>IFERROR(VLOOKUP(Table1722[[#This Row],[Bukti]],'Un nOTA'!$A$4:$K$5003,10,FALSE),"")</f>
        <v/>
      </c>
      <c r="I5995" s="123" t="str">
        <f>IFERROR(VLOOKUP(Table1722[[#This Row],[Bukti]],Table13[#Data],11,FALSE),"")</f>
        <v/>
      </c>
    </row>
    <row r="5996" spans="1:9" hidden="1" x14ac:dyDescent="0.2">
      <c r="A5996" s="105" t="str">
        <f>IF(D5996=1,COUNTIF($D$10:D5996,1)," ")</f>
        <v xml:space="preserve"> </v>
      </c>
      <c r="B5996" s="106">
        <f>COPY!AR5988</f>
        <v>0</v>
      </c>
      <c r="C5996" s="107">
        <f>COPY!AC5988</f>
        <v>0</v>
      </c>
      <c r="D5996" s="107" t="str">
        <f>IF(LEN(Table1722[[#This Row],[Uraian]])&gt;2,1," ")</f>
        <v xml:space="preserve"> </v>
      </c>
      <c r="E5996" s="113" t="str">
        <f>IF(Table1722[[#This Row],[Lawan Transaksi]]="CV AGUNG KARYA",COUNTIF($I$10:I5996,"CV AGUNG KARYA")," ")</f>
        <v xml:space="preserve"> </v>
      </c>
      <c r="F5996" s="107" t="str">
        <f>IF(LEN(Table1722[[#This Row],[Uraian]])&gt;2,TRIM(RIGHT(SUBSTITUTE(TRIM(C5996)," ",REPT(" ",255)),255))," ")</f>
        <v xml:space="preserve"> </v>
      </c>
      <c r="G5996" s="110">
        <f>COPY!Z5988</f>
        <v>0</v>
      </c>
      <c r="H5996" s="111" t="str">
        <f>IFERROR(VLOOKUP(Table1722[[#This Row],[Bukti]],'Un nOTA'!$A$4:$K$5003,10,FALSE),"")</f>
        <v/>
      </c>
      <c r="I5996" s="123" t="str">
        <f>IFERROR(VLOOKUP(Table1722[[#This Row],[Bukti]],Table13[#Data],11,FALSE),"")</f>
        <v/>
      </c>
    </row>
    <row r="5997" spans="1:9" hidden="1" x14ac:dyDescent="0.2">
      <c r="A5997" s="105" t="str">
        <f>IF(D5997=1,COUNTIF($D$10:D5997,1)," ")</f>
        <v xml:space="preserve"> </v>
      </c>
      <c r="B5997" s="106">
        <f>COPY!AR5989</f>
        <v>0</v>
      </c>
      <c r="C5997" s="107">
        <f>COPY!AC5989</f>
        <v>0</v>
      </c>
      <c r="D5997" s="107" t="str">
        <f>IF(LEN(Table1722[[#This Row],[Uraian]])&gt;2,1," ")</f>
        <v xml:space="preserve"> </v>
      </c>
      <c r="E5997" s="113" t="str">
        <f>IF(Table1722[[#This Row],[Lawan Transaksi]]="CV AGUNG KARYA",COUNTIF($I$10:I5997,"CV AGUNG KARYA")," ")</f>
        <v xml:space="preserve"> </v>
      </c>
      <c r="F5997" s="107" t="str">
        <f>IF(LEN(Table1722[[#This Row],[Uraian]])&gt;2,TRIM(RIGHT(SUBSTITUTE(TRIM(C5997)," ",REPT(" ",255)),255))," ")</f>
        <v xml:space="preserve"> </v>
      </c>
      <c r="G5997" s="110">
        <f>COPY!Z5989</f>
        <v>0</v>
      </c>
      <c r="H5997" s="111" t="str">
        <f>IFERROR(VLOOKUP(Table1722[[#This Row],[Bukti]],'Un nOTA'!$A$4:$K$5003,10,FALSE),"")</f>
        <v/>
      </c>
      <c r="I5997" s="123" t="str">
        <f>IFERROR(VLOOKUP(Table1722[[#This Row],[Bukti]],Table13[#Data],11,FALSE),"")</f>
        <v/>
      </c>
    </row>
    <row r="5998" spans="1:9" hidden="1" x14ac:dyDescent="0.2">
      <c r="A5998" s="105" t="str">
        <f>IF(D5998=1,COUNTIF($D$10:D5998,1)," ")</f>
        <v xml:space="preserve"> </v>
      </c>
      <c r="B5998" s="106">
        <f>COPY!AR5990</f>
        <v>0</v>
      </c>
      <c r="C5998" s="107">
        <f>COPY!AC5990</f>
        <v>0</v>
      </c>
      <c r="D5998" s="107" t="str">
        <f>IF(LEN(Table1722[[#This Row],[Uraian]])&gt;2,1," ")</f>
        <v xml:space="preserve"> </v>
      </c>
      <c r="E5998" s="113" t="str">
        <f>IF(Table1722[[#This Row],[Lawan Transaksi]]="CV AGUNG KARYA",COUNTIF($I$10:I5998,"CV AGUNG KARYA")," ")</f>
        <v xml:space="preserve"> </v>
      </c>
      <c r="F5998" s="107" t="str">
        <f>IF(LEN(Table1722[[#This Row],[Uraian]])&gt;2,TRIM(RIGHT(SUBSTITUTE(TRIM(C5998)," ",REPT(" ",255)),255))," ")</f>
        <v xml:space="preserve"> </v>
      </c>
      <c r="G5998" s="110">
        <f>COPY!Z5990</f>
        <v>0</v>
      </c>
      <c r="H5998" s="111" t="str">
        <f>IFERROR(VLOOKUP(Table1722[[#This Row],[Bukti]],'Un nOTA'!$A$4:$K$5003,10,FALSE),"")</f>
        <v/>
      </c>
      <c r="I5998" s="123" t="str">
        <f>IFERROR(VLOOKUP(Table1722[[#This Row],[Bukti]],Table13[#Data],11,FALSE),"")</f>
        <v/>
      </c>
    </row>
    <row r="5999" spans="1:9" hidden="1" x14ac:dyDescent="0.2">
      <c r="A5999" s="105" t="str">
        <f>IF(D5999=1,COUNTIF($D$10:D5999,1)," ")</f>
        <v xml:space="preserve"> </v>
      </c>
      <c r="B5999" s="106">
        <f>COPY!AR5991</f>
        <v>0</v>
      </c>
      <c r="C5999" s="107">
        <f>COPY!AC5991</f>
        <v>0</v>
      </c>
      <c r="D5999" s="107" t="str">
        <f>IF(LEN(Table1722[[#This Row],[Uraian]])&gt;2,1," ")</f>
        <v xml:space="preserve"> </v>
      </c>
      <c r="E5999" s="113" t="str">
        <f>IF(Table1722[[#This Row],[Lawan Transaksi]]="CV AGUNG KARYA",COUNTIF($I$10:I5999,"CV AGUNG KARYA")," ")</f>
        <v xml:space="preserve"> </v>
      </c>
      <c r="F5999" s="107" t="str">
        <f>IF(LEN(Table1722[[#This Row],[Uraian]])&gt;2,TRIM(RIGHT(SUBSTITUTE(TRIM(C5999)," ",REPT(" ",255)),255))," ")</f>
        <v xml:space="preserve"> </v>
      </c>
      <c r="G5999" s="110">
        <f>COPY!Z5991</f>
        <v>0</v>
      </c>
      <c r="H5999" s="111" t="str">
        <f>IFERROR(VLOOKUP(Table1722[[#This Row],[Bukti]],'Un nOTA'!$A$4:$K$5003,10,FALSE),"")</f>
        <v/>
      </c>
      <c r="I5999" s="123" t="str">
        <f>IFERROR(VLOOKUP(Table1722[[#This Row],[Bukti]],Table13[#Data],11,FALSE),"")</f>
        <v/>
      </c>
    </row>
    <row r="6000" spans="1:9" hidden="1" x14ac:dyDescent="0.2">
      <c r="A6000" s="105" t="str">
        <f>IF(D6000=1,COUNTIF($D$10:D6000,1)," ")</f>
        <v xml:space="preserve"> </v>
      </c>
      <c r="B6000" s="106">
        <f>COPY!AR5992</f>
        <v>0</v>
      </c>
      <c r="C6000" s="107">
        <f>COPY!AC5992</f>
        <v>0</v>
      </c>
      <c r="D6000" s="107" t="str">
        <f>IF(LEN(Table1722[[#This Row],[Uraian]])&gt;2,1," ")</f>
        <v xml:space="preserve"> </v>
      </c>
      <c r="E6000" s="113" t="str">
        <f>IF(Table1722[[#This Row],[Lawan Transaksi]]="CV AGUNG KARYA",COUNTIF($I$10:I6000,"CV AGUNG KARYA")," ")</f>
        <v xml:space="preserve"> </v>
      </c>
      <c r="F6000" s="107" t="str">
        <f>IF(LEN(Table1722[[#This Row],[Uraian]])&gt;2,TRIM(RIGHT(SUBSTITUTE(TRIM(C6000)," ",REPT(" ",255)),255))," ")</f>
        <v xml:space="preserve"> </v>
      </c>
      <c r="G6000" s="110">
        <f>COPY!Z5992</f>
        <v>0</v>
      </c>
      <c r="H6000" s="111" t="str">
        <f>IFERROR(VLOOKUP(Table1722[[#This Row],[Bukti]],'Un nOTA'!$A$4:$K$5003,10,FALSE),"")</f>
        <v/>
      </c>
      <c r="I6000" s="123" t="str">
        <f>IFERROR(VLOOKUP(Table1722[[#This Row],[Bukti]],Table13[#Data],11,FALSE),"")</f>
        <v/>
      </c>
    </row>
    <row r="6001" spans="1:9" hidden="1" x14ac:dyDescent="0.2">
      <c r="A6001" s="105" t="str">
        <f>IF(D6001=1,COUNTIF($D$10:D6001,1)," ")</f>
        <v xml:space="preserve"> </v>
      </c>
      <c r="B6001" s="106">
        <f>COPY!AR5993</f>
        <v>0</v>
      </c>
      <c r="C6001" s="107">
        <f>COPY!AC5993</f>
        <v>0</v>
      </c>
      <c r="D6001" s="107" t="str">
        <f>IF(LEN(Table1722[[#This Row],[Uraian]])&gt;2,1," ")</f>
        <v xml:space="preserve"> </v>
      </c>
      <c r="E6001" s="113" t="str">
        <f>IF(Table1722[[#This Row],[Lawan Transaksi]]="CV AGUNG KARYA",COUNTIF($I$10:I6001,"CV AGUNG KARYA")," ")</f>
        <v xml:space="preserve"> </v>
      </c>
      <c r="F6001" s="107" t="str">
        <f>IF(LEN(Table1722[[#This Row],[Uraian]])&gt;2,TRIM(RIGHT(SUBSTITUTE(TRIM(C6001)," ",REPT(" ",255)),255))," ")</f>
        <v xml:space="preserve"> </v>
      </c>
      <c r="G6001" s="110">
        <f>COPY!Z5993</f>
        <v>0</v>
      </c>
      <c r="H6001" s="111" t="str">
        <f>IFERROR(VLOOKUP(Table1722[[#This Row],[Bukti]],'Un nOTA'!$A$4:$K$5003,10,FALSE),"")</f>
        <v/>
      </c>
      <c r="I6001" s="123" t="str">
        <f>IFERROR(VLOOKUP(Table1722[[#This Row],[Bukti]],Table13[#Data],11,FALSE),"")</f>
        <v/>
      </c>
    </row>
    <row r="6002" spans="1:9" hidden="1" x14ac:dyDescent="0.2">
      <c r="A6002" s="105" t="str">
        <f>IF(D6002=1,COUNTIF($D$10:D6002,1)," ")</f>
        <v xml:space="preserve"> </v>
      </c>
      <c r="B6002" s="106">
        <f>COPY!AR5994</f>
        <v>0</v>
      </c>
      <c r="C6002" s="107">
        <f>COPY!AC5994</f>
        <v>0</v>
      </c>
      <c r="D6002" s="107" t="str">
        <f>IF(LEN(Table1722[[#This Row],[Uraian]])&gt;2,1," ")</f>
        <v xml:space="preserve"> </v>
      </c>
      <c r="E6002" s="113" t="str">
        <f>IF(Table1722[[#This Row],[Lawan Transaksi]]="CV AGUNG KARYA",COUNTIF($I$10:I6002,"CV AGUNG KARYA")," ")</f>
        <v xml:space="preserve"> </v>
      </c>
      <c r="F6002" s="107" t="str">
        <f>IF(LEN(Table1722[[#This Row],[Uraian]])&gt;2,TRIM(RIGHT(SUBSTITUTE(TRIM(C6002)," ",REPT(" ",255)),255))," ")</f>
        <v xml:space="preserve"> </v>
      </c>
      <c r="G6002" s="110">
        <f>COPY!Z5994</f>
        <v>0</v>
      </c>
      <c r="H6002" s="111" t="str">
        <f>IFERROR(VLOOKUP(Table1722[[#This Row],[Bukti]],'Un nOTA'!$A$4:$K$5003,10,FALSE),"")</f>
        <v/>
      </c>
      <c r="I6002" s="123" t="str">
        <f>IFERROR(VLOOKUP(Table1722[[#This Row],[Bukti]],Table13[#Data],11,FALSE),"")</f>
        <v/>
      </c>
    </row>
    <row r="6003" spans="1:9" hidden="1" x14ac:dyDescent="0.2">
      <c r="A6003" s="105" t="str">
        <f>IF(D6003=1,COUNTIF($D$10:D6003,1)," ")</f>
        <v xml:space="preserve"> </v>
      </c>
      <c r="B6003" s="106">
        <f>COPY!AR5995</f>
        <v>0</v>
      </c>
      <c r="C6003" s="107">
        <f>COPY!AC5995</f>
        <v>0</v>
      </c>
      <c r="D6003" s="107" t="str">
        <f>IF(LEN(Table1722[[#This Row],[Uraian]])&gt;2,1," ")</f>
        <v xml:space="preserve"> </v>
      </c>
      <c r="E6003" s="113" t="str">
        <f>IF(Table1722[[#This Row],[Lawan Transaksi]]="CV AGUNG KARYA",COUNTIF($I$10:I6003,"CV AGUNG KARYA")," ")</f>
        <v xml:space="preserve"> </v>
      </c>
      <c r="F6003" s="107" t="str">
        <f>IF(LEN(Table1722[[#This Row],[Uraian]])&gt;2,TRIM(RIGHT(SUBSTITUTE(TRIM(C6003)," ",REPT(" ",255)),255))," ")</f>
        <v xml:space="preserve"> </v>
      </c>
      <c r="G6003" s="110">
        <f>COPY!Z5995</f>
        <v>0</v>
      </c>
      <c r="H6003" s="111" t="str">
        <f>IFERROR(VLOOKUP(Table1722[[#This Row],[Bukti]],'Un nOTA'!$A$4:$K$5003,10,FALSE),"")</f>
        <v/>
      </c>
      <c r="I6003" s="123" t="str">
        <f>IFERROR(VLOOKUP(Table1722[[#This Row],[Bukti]],Table13[#Data],11,FALSE),"")</f>
        <v/>
      </c>
    </row>
    <row r="6004" spans="1:9" hidden="1" x14ac:dyDescent="0.2">
      <c r="A6004" s="105" t="str">
        <f>IF(D6004=1,COUNTIF($D$10:D6004,1)," ")</f>
        <v xml:space="preserve"> </v>
      </c>
      <c r="B6004" s="106">
        <f>COPY!AR5996</f>
        <v>0</v>
      </c>
      <c r="C6004" s="107">
        <f>COPY!AC5996</f>
        <v>0</v>
      </c>
      <c r="D6004" s="107" t="str">
        <f>IF(LEN(Table1722[[#This Row],[Uraian]])&gt;2,1," ")</f>
        <v xml:space="preserve"> </v>
      </c>
      <c r="E6004" s="113" t="str">
        <f>IF(Table1722[[#This Row],[Lawan Transaksi]]="CV AGUNG KARYA",COUNTIF($I$10:I6004,"CV AGUNG KARYA")," ")</f>
        <v xml:space="preserve"> </v>
      </c>
      <c r="F6004" s="107" t="str">
        <f>IF(LEN(Table1722[[#This Row],[Uraian]])&gt;2,TRIM(RIGHT(SUBSTITUTE(TRIM(C6004)," ",REPT(" ",255)),255))," ")</f>
        <v xml:space="preserve"> </v>
      </c>
      <c r="G6004" s="110">
        <f>COPY!Z5996</f>
        <v>0</v>
      </c>
      <c r="H6004" s="111" t="str">
        <f>IFERROR(VLOOKUP(Table1722[[#This Row],[Bukti]],'Un nOTA'!$A$4:$K$5003,10,FALSE),"")</f>
        <v/>
      </c>
      <c r="I6004" s="123" t="str">
        <f>IFERROR(VLOOKUP(Table1722[[#This Row],[Bukti]],Table13[#Data],11,FALSE),"")</f>
        <v/>
      </c>
    </row>
    <row r="6005" spans="1:9" hidden="1" x14ac:dyDescent="0.2">
      <c r="A6005" s="105" t="str">
        <f>IF(D6005=1,COUNTIF($D$10:D6005,1)," ")</f>
        <v xml:space="preserve"> </v>
      </c>
      <c r="B6005" s="106">
        <f>COPY!AR5997</f>
        <v>0</v>
      </c>
      <c r="C6005" s="107">
        <f>COPY!AC5997</f>
        <v>0</v>
      </c>
      <c r="D6005" s="107" t="str">
        <f>IF(LEN(Table1722[[#This Row],[Uraian]])&gt;2,1," ")</f>
        <v xml:space="preserve"> </v>
      </c>
      <c r="E6005" s="113" t="str">
        <f>IF(Table1722[[#This Row],[Lawan Transaksi]]="CV AGUNG KARYA",COUNTIF($I$10:I6005,"CV AGUNG KARYA")," ")</f>
        <v xml:space="preserve"> </v>
      </c>
      <c r="F6005" s="107" t="str">
        <f>IF(LEN(Table1722[[#This Row],[Uraian]])&gt;2,TRIM(RIGHT(SUBSTITUTE(TRIM(C6005)," ",REPT(" ",255)),255))," ")</f>
        <v xml:space="preserve"> </v>
      </c>
      <c r="G6005" s="110">
        <f>COPY!Z5997</f>
        <v>0</v>
      </c>
      <c r="H6005" s="111" t="str">
        <f>IFERROR(VLOOKUP(Table1722[[#This Row],[Bukti]],'Un nOTA'!$A$4:$K$5003,10,FALSE),"")</f>
        <v/>
      </c>
      <c r="I6005" s="123" t="str">
        <f>IFERROR(VLOOKUP(Table1722[[#This Row],[Bukti]],Table13[#Data],11,FALSE),"")</f>
        <v/>
      </c>
    </row>
    <row r="6006" spans="1:9" hidden="1" x14ac:dyDescent="0.2">
      <c r="A6006" s="105" t="str">
        <f>IF(D6006=1,COUNTIF($D$10:D6006,1)," ")</f>
        <v xml:space="preserve"> </v>
      </c>
      <c r="B6006" s="106">
        <f>COPY!AR5998</f>
        <v>0</v>
      </c>
      <c r="C6006" s="107">
        <f>COPY!AC5998</f>
        <v>0</v>
      </c>
      <c r="D6006" s="107" t="str">
        <f>IF(LEN(Table1722[[#This Row],[Uraian]])&gt;2,1," ")</f>
        <v xml:space="preserve"> </v>
      </c>
      <c r="E6006" s="113" t="str">
        <f>IF(Table1722[[#This Row],[Lawan Transaksi]]="CV AGUNG KARYA",COUNTIF($I$10:I6006,"CV AGUNG KARYA")," ")</f>
        <v xml:space="preserve"> </v>
      </c>
      <c r="F6006" s="107" t="str">
        <f>IF(LEN(Table1722[[#This Row],[Uraian]])&gt;2,TRIM(RIGHT(SUBSTITUTE(TRIM(C6006)," ",REPT(" ",255)),255))," ")</f>
        <v xml:space="preserve"> </v>
      </c>
      <c r="G6006" s="110">
        <f>COPY!Z5998</f>
        <v>0</v>
      </c>
      <c r="H6006" s="111" t="str">
        <f>IFERROR(VLOOKUP(Table1722[[#This Row],[Bukti]],'Un nOTA'!$A$4:$K$5003,10,FALSE),"")</f>
        <v/>
      </c>
      <c r="I6006" s="123" t="str">
        <f>IFERROR(VLOOKUP(Table1722[[#This Row],[Bukti]],Table13[#Data],11,FALSE),"")</f>
        <v/>
      </c>
    </row>
    <row r="6007" spans="1:9" hidden="1" x14ac:dyDescent="0.2">
      <c r="A6007" s="105" t="str">
        <f>IF(D6007=1,COUNTIF($D$10:D6007,1)," ")</f>
        <v xml:space="preserve"> </v>
      </c>
      <c r="B6007" s="106">
        <f>COPY!AR5999</f>
        <v>0</v>
      </c>
      <c r="C6007" s="107">
        <f>COPY!AC5999</f>
        <v>0</v>
      </c>
      <c r="D6007" s="107" t="str">
        <f>IF(LEN(Table1722[[#This Row],[Uraian]])&gt;2,1," ")</f>
        <v xml:space="preserve"> </v>
      </c>
      <c r="E6007" s="113" t="str">
        <f>IF(Table1722[[#This Row],[Lawan Transaksi]]="CV AGUNG KARYA",COUNTIF($I$10:I6007,"CV AGUNG KARYA")," ")</f>
        <v xml:space="preserve"> </v>
      </c>
      <c r="F6007" s="107" t="str">
        <f>IF(LEN(Table1722[[#This Row],[Uraian]])&gt;2,TRIM(RIGHT(SUBSTITUTE(TRIM(C6007)," ",REPT(" ",255)),255))," ")</f>
        <v xml:space="preserve"> </v>
      </c>
      <c r="G6007" s="110">
        <f>COPY!Z5999</f>
        <v>0</v>
      </c>
      <c r="H6007" s="111" t="str">
        <f>IFERROR(VLOOKUP(Table1722[[#This Row],[Bukti]],'Un nOTA'!$A$4:$K$5003,10,FALSE),"")</f>
        <v/>
      </c>
      <c r="I6007" s="123" t="str">
        <f>IFERROR(VLOOKUP(Table1722[[#This Row],[Bukti]],Table13[#Data],11,FALSE),"")</f>
        <v/>
      </c>
    </row>
    <row r="6008" spans="1:9" hidden="1" x14ac:dyDescent="0.2">
      <c r="A6008" s="105" t="str">
        <f>IF(D6008=1,COUNTIF($D$10:D6008,1)," ")</f>
        <v xml:space="preserve"> </v>
      </c>
      <c r="B6008" s="106">
        <f>COPY!AR6000</f>
        <v>0</v>
      </c>
      <c r="C6008" s="107">
        <f>COPY!AC6000</f>
        <v>0</v>
      </c>
      <c r="D6008" s="107" t="str">
        <f>IF(LEN(Table1722[[#This Row],[Uraian]])&gt;2,1," ")</f>
        <v xml:space="preserve"> </v>
      </c>
      <c r="E6008" s="113" t="str">
        <f>IF(Table1722[[#This Row],[Lawan Transaksi]]="CV AGUNG KARYA",COUNTIF($I$10:I6008,"CV AGUNG KARYA")," ")</f>
        <v xml:space="preserve"> </v>
      </c>
      <c r="F6008" s="107" t="str">
        <f>IF(LEN(Table1722[[#This Row],[Uraian]])&gt;2,TRIM(RIGHT(SUBSTITUTE(TRIM(C6008)," ",REPT(" ",255)),255))," ")</f>
        <v xml:space="preserve"> </v>
      </c>
      <c r="G6008" s="110">
        <f>COPY!Z6000</f>
        <v>0</v>
      </c>
      <c r="H6008" s="111" t="str">
        <f>IFERROR(VLOOKUP(Table1722[[#This Row],[Bukti]],'Un nOTA'!$A$4:$K$5003,10,FALSE),"")</f>
        <v/>
      </c>
      <c r="I6008" s="123" t="str">
        <f>IFERROR(VLOOKUP(Table1722[[#This Row],[Bukti]],Table13[#Data],11,FALSE),"")</f>
        <v/>
      </c>
    </row>
    <row r="6009" spans="1:9" hidden="1" x14ac:dyDescent="0.2">
      <c r="A6009" s="105" t="str">
        <f>IF(D6009=1,COUNTIF($D$10:D6009,1)," ")</f>
        <v xml:space="preserve"> </v>
      </c>
      <c r="B6009" s="106">
        <f>COPY!AR6001</f>
        <v>0</v>
      </c>
      <c r="C6009" s="107">
        <f>COPY!AC6001</f>
        <v>0</v>
      </c>
      <c r="D6009" s="107" t="str">
        <f>IF(LEN(Table1722[[#This Row],[Uraian]])&gt;2,1," ")</f>
        <v xml:space="preserve"> </v>
      </c>
      <c r="E6009" s="113" t="str">
        <f>IF(Table1722[[#This Row],[Lawan Transaksi]]="CV AGUNG KARYA",COUNTIF($I$10:I6009,"CV AGUNG KARYA")," ")</f>
        <v xml:space="preserve"> </v>
      </c>
      <c r="F6009" s="107" t="str">
        <f>IF(LEN(Table1722[[#This Row],[Uraian]])&gt;2,TRIM(RIGHT(SUBSTITUTE(TRIM(C6009)," ",REPT(" ",255)),255))," ")</f>
        <v xml:space="preserve"> </v>
      </c>
      <c r="G6009" s="110">
        <f>COPY!Z6001</f>
        <v>0</v>
      </c>
      <c r="H6009" s="111" t="str">
        <f>IFERROR(VLOOKUP(Table1722[[#This Row],[Bukti]],'Un nOTA'!$A$4:$K$5003,10,FALSE),"")</f>
        <v/>
      </c>
      <c r="I6009" s="123" t="str">
        <f>IFERROR(VLOOKUP(Table1722[[#This Row],[Bukti]],Table13[#Data],11,FALSE),"")</f>
        <v/>
      </c>
    </row>
    <row r="6010" spans="1:9" hidden="1" x14ac:dyDescent="0.2">
      <c r="A6010" s="105" t="str">
        <f>IF(D6010=1,COUNTIF($D$10:D6010,1)," ")</f>
        <v xml:space="preserve"> </v>
      </c>
      <c r="B6010" s="106">
        <f>COPY!AR6002</f>
        <v>0</v>
      </c>
      <c r="C6010" s="107">
        <f>COPY!AC6002</f>
        <v>0</v>
      </c>
      <c r="D6010" s="107" t="str">
        <f>IF(LEN(Table1722[[#This Row],[Uraian]])&gt;2,1," ")</f>
        <v xml:space="preserve"> </v>
      </c>
      <c r="E6010" s="113" t="str">
        <f>IF(Table1722[[#This Row],[Lawan Transaksi]]="CV AGUNG KARYA",COUNTIF($I$10:I6010,"CV AGUNG KARYA")," ")</f>
        <v xml:space="preserve"> </v>
      </c>
      <c r="F6010" s="107" t="str">
        <f>IF(LEN(Table1722[[#This Row],[Uraian]])&gt;2,TRIM(RIGHT(SUBSTITUTE(TRIM(C6010)," ",REPT(" ",255)),255))," ")</f>
        <v xml:space="preserve"> </v>
      </c>
      <c r="G6010" s="110">
        <f>COPY!Z6002</f>
        <v>0</v>
      </c>
      <c r="H6010" s="111" t="str">
        <f>IFERROR(VLOOKUP(Table1722[[#This Row],[Bukti]],'Un nOTA'!$A$4:$K$5003,10,FALSE),"")</f>
        <v/>
      </c>
      <c r="I6010" s="123" t="str">
        <f>IFERROR(VLOOKUP(Table1722[[#This Row],[Bukti]],Table13[#Data],11,FALSE),"")</f>
        <v/>
      </c>
    </row>
    <row r="6011" spans="1:9" hidden="1" x14ac:dyDescent="0.2">
      <c r="A6011" s="105" t="str">
        <f>IF(D6011=1,COUNTIF($D$10:D6011,1)," ")</f>
        <v xml:space="preserve"> </v>
      </c>
      <c r="B6011" s="106">
        <f>COPY!AR6003</f>
        <v>0</v>
      </c>
      <c r="C6011" s="107">
        <f>COPY!AC6003</f>
        <v>0</v>
      </c>
      <c r="D6011" s="107" t="str">
        <f>IF(LEN(Table1722[[#This Row],[Uraian]])&gt;2,1," ")</f>
        <v xml:space="preserve"> </v>
      </c>
      <c r="E6011" s="113" t="str">
        <f>IF(Table1722[[#This Row],[Lawan Transaksi]]="CV AGUNG KARYA",COUNTIF($I$10:I6011,"CV AGUNG KARYA")," ")</f>
        <v xml:space="preserve"> </v>
      </c>
      <c r="F6011" s="107" t="str">
        <f>IF(LEN(Table1722[[#This Row],[Uraian]])&gt;2,TRIM(RIGHT(SUBSTITUTE(TRIM(C6011)," ",REPT(" ",255)),255))," ")</f>
        <v xml:space="preserve"> </v>
      </c>
      <c r="G6011" s="110">
        <f>COPY!Z6003</f>
        <v>0</v>
      </c>
      <c r="H6011" s="111" t="str">
        <f>IFERROR(VLOOKUP(Table1722[[#This Row],[Bukti]],'Un nOTA'!$A$4:$K$5003,10,FALSE),"")</f>
        <v/>
      </c>
      <c r="I6011" s="123" t="str">
        <f>IFERROR(VLOOKUP(Table1722[[#This Row],[Bukti]],Table13[#Data],11,FALSE),"")</f>
        <v/>
      </c>
    </row>
    <row r="6012" spans="1:9" hidden="1" x14ac:dyDescent="0.2">
      <c r="A6012" s="105" t="str">
        <f>IF(D6012=1,COUNTIF($D$10:D6012,1)," ")</f>
        <v xml:space="preserve"> </v>
      </c>
      <c r="B6012" s="106">
        <f>COPY!AR6004</f>
        <v>0</v>
      </c>
      <c r="C6012" s="107">
        <f>COPY!AC6004</f>
        <v>0</v>
      </c>
      <c r="D6012" s="107" t="str">
        <f>IF(LEN(Table1722[[#This Row],[Uraian]])&gt;2,1," ")</f>
        <v xml:space="preserve"> </v>
      </c>
      <c r="E6012" s="113" t="str">
        <f>IF(Table1722[[#This Row],[Lawan Transaksi]]="CV AGUNG KARYA",COUNTIF($I$10:I6012,"CV AGUNG KARYA")," ")</f>
        <v xml:space="preserve"> </v>
      </c>
      <c r="F6012" s="107" t="str">
        <f>IF(LEN(Table1722[[#This Row],[Uraian]])&gt;2,TRIM(RIGHT(SUBSTITUTE(TRIM(C6012)," ",REPT(" ",255)),255))," ")</f>
        <v xml:space="preserve"> </v>
      </c>
      <c r="G6012" s="110">
        <f>COPY!Z6004</f>
        <v>0</v>
      </c>
      <c r="H6012" s="111" t="str">
        <f>IFERROR(VLOOKUP(Table1722[[#This Row],[Bukti]],'Un nOTA'!$A$4:$K$5003,10,FALSE),"")</f>
        <v/>
      </c>
      <c r="I6012" s="123" t="str">
        <f>IFERROR(VLOOKUP(Table1722[[#This Row],[Bukti]],Table13[#Data],11,FALSE),"")</f>
        <v/>
      </c>
    </row>
    <row r="6013" spans="1:9" hidden="1" x14ac:dyDescent="0.2">
      <c r="A6013" s="105" t="str">
        <f>IF(D6013=1,COUNTIF($D$10:D6013,1)," ")</f>
        <v xml:space="preserve"> </v>
      </c>
      <c r="B6013" s="106">
        <f>COPY!AR6005</f>
        <v>0</v>
      </c>
      <c r="C6013" s="107">
        <f>COPY!AC6005</f>
        <v>0</v>
      </c>
      <c r="D6013" s="107" t="str">
        <f>IF(LEN(Table1722[[#This Row],[Uraian]])&gt;2,1," ")</f>
        <v xml:space="preserve"> </v>
      </c>
      <c r="E6013" s="113" t="str">
        <f>IF(Table1722[[#This Row],[Lawan Transaksi]]="CV AGUNG KARYA",COUNTIF($I$10:I6013,"CV AGUNG KARYA")," ")</f>
        <v xml:space="preserve"> </v>
      </c>
      <c r="F6013" s="107" t="str">
        <f>IF(LEN(Table1722[[#This Row],[Uraian]])&gt;2,TRIM(RIGHT(SUBSTITUTE(TRIM(C6013)," ",REPT(" ",255)),255))," ")</f>
        <v xml:space="preserve"> </v>
      </c>
      <c r="G6013" s="110">
        <f>COPY!Z6005</f>
        <v>0</v>
      </c>
      <c r="H6013" s="111" t="str">
        <f>IFERROR(VLOOKUP(Table1722[[#This Row],[Bukti]],'Un nOTA'!$A$4:$K$5003,10,FALSE),"")</f>
        <v/>
      </c>
      <c r="I6013" s="123" t="str">
        <f>IFERROR(VLOOKUP(Table1722[[#This Row],[Bukti]],Table13[#Data],11,FALSE),"")</f>
        <v/>
      </c>
    </row>
    <row r="6014" spans="1:9" hidden="1" x14ac:dyDescent="0.2">
      <c r="A6014" s="105" t="str">
        <f>IF(D6014=1,COUNTIF($D$10:D6014,1)," ")</f>
        <v xml:space="preserve"> </v>
      </c>
      <c r="B6014" s="106">
        <f>COPY!AR6006</f>
        <v>0</v>
      </c>
      <c r="C6014" s="107">
        <f>COPY!AC6006</f>
        <v>0</v>
      </c>
      <c r="D6014" s="107" t="str">
        <f>IF(LEN(Table1722[[#This Row],[Uraian]])&gt;2,1," ")</f>
        <v xml:space="preserve"> </v>
      </c>
      <c r="E6014" s="113" t="str">
        <f>IF(Table1722[[#This Row],[Lawan Transaksi]]="CV AGUNG KARYA",COUNTIF($I$10:I6014,"CV AGUNG KARYA")," ")</f>
        <v xml:space="preserve"> </v>
      </c>
      <c r="F6014" s="107" t="str">
        <f>IF(LEN(Table1722[[#This Row],[Uraian]])&gt;2,TRIM(RIGHT(SUBSTITUTE(TRIM(C6014)," ",REPT(" ",255)),255))," ")</f>
        <v xml:space="preserve"> </v>
      </c>
      <c r="G6014" s="110">
        <f>COPY!Z6006</f>
        <v>0</v>
      </c>
      <c r="H6014" s="111" t="str">
        <f>IFERROR(VLOOKUP(Table1722[[#This Row],[Bukti]],'Un nOTA'!$A$4:$K$5003,10,FALSE),"")</f>
        <v/>
      </c>
      <c r="I6014" s="123" t="str">
        <f>IFERROR(VLOOKUP(Table1722[[#This Row],[Bukti]],Table13[#Data],11,FALSE),"")</f>
        <v/>
      </c>
    </row>
    <row r="6015" spans="1:9" hidden="1" x14ac:dyDescent="0.2">
      <c r="A6015" s="105" t="str">
        <f>IF(D6015=1,COUNTIF($D$10:D6015,1)," ")</f>
        <v xml:space="preserve"> </v>
      </c>
      <c r="B6015" s="106">
        <f>COPY!AR6007</f>
        <v>0</v>
      </c>
      <c r="C6015" s="107">
        <f>COPY!AC6007</f>
        <v>0</v>
      </c>
      <c r="D6015" s="107" t="str">
        <f>IF(LEN(Table1722[[#This Row],[Uraian]])&gt;2,1," ")</f>
        <v xml:space="preserve"> </v>
      </c>
      <c r="E6015" s="113" t="str">
        <f>IF(Table1722[[#This Row],[Lawan Transaksi]]="CV AGUNG KARYA",COUNTIF($I$10:I6015,"CV AGUNG KARYA")," ")</f>
        <v xml:space="preserve"> </v>
      </c>
      <c r="F6015" s="107" t="str">
        <f>IF(LEN(Table1722[[#This Row],[Uraian]])&gt;2,TRIM(RIGHT(SUBSTITUTE(TRIM(C6015)," ",REPT(" ",255)),255))," ")</f>
        <v xml:space="preserve"> </v>
      </c>
      <c r="G6015" s="110">
        <f>COPY!Z6007</f>
        <v>0</v>
      </c>
      <c r="H6015" s="111" t="str">
        <f>IFERROR(VLOOKUP(Table1722[[#This Row],[Bukti]],'Un nOTA'!$A$4:$K$5003,10,FALSE),"")</f>
        <v/>
      </c>
      <c r="I6015" s="123" t="str">
        <f>IFERROR(VLOOKUP(Table1722[[#This Row],[Bukti]],Table13[#Data],11,FALSE),"")</f>
        <v/>
      </c>
    </row>
    <row r="6016" spans="1:9" hidden="1" x14ac:dyDescent="0.2">
      <c r="A6016" s="105" t="str">
        <f>IF(D6016=1,COUNTIF($D$10:D6016,1)," ")</f>
        <v xml:space="preserve"> </v>
      </c>
      <c r="B6016" s="106">
        <f>COPY!AR6008</f>
        <v>0</v>
      </c>
      <c r="C6016" s="107">
        <f>COPY!AC6008</f>
        <v>0</v>
      </c>
      <c r="D6016" s="107" t="str">
        <f>IF(LEN(Table1722[[#This Row],[Uraian]])&gt;2,1," ")</f>
        <v xml:space="preserve"> </v>
      </c>
      <c r="E6016" s="113" t="str">
        <f>IF(Table1722[[#This Row],[Lawan Transaksi]]="CV AGUNG KARYA",COUNTIF($I$10:I6016,"CV AGUNG KARYA")," ")</f>
        <v xml:space="preserve"> </v>
      </c>
      <c r="F6016" s="107" t="str">
        <f>IF(LEN(Table1722[[#This Row],[Uraian]])&gt;2,TRIM(RIGHT(SUBSTITUTE(TRIM(C6016)," ",REPT(" ",255)),255))," ")</f>
        <v xml:space="preserve"> </v>
      </c>
      <c r="G6016" s="110">
        <f>COPY!Z6008</f>
        <v>0</v>
      </c>
      <c r="H6016" s="111" t="str">
        <f>IFERROR(VLOOKUP(Table1722[[#This Row],[Bukti]],'Un nOTA'!$A$4:$K$5003,10,FALSE),"")</f>
        <v/>
      </c>
      <c r="I6016" s="123" t="str">
        <f>IFERROR(VLOOKUP(Table1722[[#This Row],[Bukti]],Table13[#Data],11,FALSE),"")</f>
        <v/>
      </c>
    </row>
    <row r="6017" spans="1:9" hidden="1" x14ac:dyDescent="0.2">
      <c r="A6017" s="105" t="str">
        <f>IF(D6017=1,COUNTIF($D$10:D6017,1)," ")</f>
        <v xml:space="preserve"> </v>
      </c>
      <c r="B6017" s="106">
        <f>COPY!AR6009</f>
        <v>0</v>
      </c>
      <c r="C6017" s="107">
        <f>COPY!AC6009</f>
        <v>0</v>
      </c>
      <c r="D6017" s="107" t="str">
        <f>IF(LEN(Table1722[[#This Row],[Uraian]])&gt;2,1," ")</f>
        <v xml:space="preserve"> </v>
      </c>
      <c r="E6017" s="113" t="str">
        <f>IF(Table1722[[#This Row],[Lawan Transaksi]]="CV AGUNG KARYA",COUNTIF($I$10:I6017,"CV AGUNG KARYA")," ")</f>
        <v xml:space="preserve"> </v>
      </c>
      <c r="F6017" s="107" t="str">
        <f>IF(LEN(Table1722[[#This Row],[Uraian]])&gt;2,TRIM(RIGHT(SUBSTITUTE(TRIM(C6017)," ",REPT(" ",255)),255))," ")</f>
        <v xml:space="preserve"> </v>
      </c>
      <c r="G6017" s="110">
        <f>COPY!Z6009</f>
        <v>0</v>
      </c>
      <c r="H6017" s="111" t="str">
        <f>IFERROR(VLOOKUP(Table1722[[#This Row],[Bukti]],'Un nOTA'!$A$4:$K$5003,10,FALSE),"")</f>
        <v/>
      </c>
      <c r="I6017" s="123" t="str">
        <f>IFERROR(VLOOKUP(Table1722[[#This Row],[Bukti]],Table13[#Data],11,FALSE),"")</f>
        <v/>
      </c>
    </row>
    <row r="6018" spans="1:9" hidden="1" x14ac:dyDescent="0.2">
      <c r="A6018" s="105" t="str">
        <f>IF(D6018=1,COUNTIF($D$10:D6018,1)," ")</f>
        <v xml:space="preserve"> </v>
      </c>
      <c r="B6018" s="106">
        <f>COPY!AR6010</f>
        <v>0</v>
      </c>
      <c r="C6018" s="107">
        <f>COPY!AC6010</f>
        <v>0</v>
      </c>
      <c r="D6018" s="107" t="str">
        <f>IF(LEN(Table1722[[#This Row],[Uraian]])&gt;2,1," ")</f>
        <v xml:space="preserve"> </v>
      </c>
      <c r="E6018" s="113" t="str">
        <f>IF(Table1722[[#This Row],[Lawan Transaksi]]="CV AGUNG KARYA",COUNTIF($I$10:I6018,"CV AGUNG KARYA")," ")</f>
        <v xml:space="preserve"> </v>
      </c>
      <c r="F6018" s="107" t="str">
        <f>IF(LEN(Table1722[[#This Row],[Uraian]])&gt;2,TRIM(RIGHT(SUBSTITUTE(TRIM(C6018)," ",REPT(" ",255)),255))," ")</f>
        <v xml:space="preserve"> </v>
      </c>
      <c r="G6018" s="110">
        <f>COPY!Z6010</f>
        <v>0</v>
      </c>
      <c r="H6018" s="111" t="str">
        <f>IFERROR(VLOOKUP(Table1722[[#This Row],[Bukti]],'Un nOTA'!$A$4:$K$5003,10,FALSE),"")</f>
        <v/>
      </c>
      <c r="I6018" s="123" t="str">
        <f>IFERROR(VLOOKUP(Table1722[[#This Row],[Bukti]],Table13[#Data],11,FALSE),"")</f>
        <v/>
      </c>
    </row>
    <row r="6019" spans="1:9" hidden="1" x14ac:dyDescent="0.2">
      <c r="A6019" s="105" t="str">
        <f>IF(D6019=1,COUNTIF($D$10:D6019,1)," ")</f>
        <v xml:space="preserve"> </v>
      </c>
      <c r="B6019" s="106">
        <f>COPY!AR6011</f>
        <v>0</v>
      </c>
      <c r="C6019" s="107">
        <f>COPY!AC6011</f>
        <v>0</v>
      </c>
      <c r="D6019" s="107" t="str">
        <f>IF(LEN(Table1722[[#This Row],[Uraian]])&gt;2,1," ")</f>
        <v xml:space="preserve"> </v>
      </c>
      <c r="E6019" s="113" t="str">
        <f>IF(Table1722[[#This Row],[Lawan Transaksi]]="CV AGUNG KARYA",COUNTIF($I$10:I6019,"CV AGUNG KARYA")," ")</f>
        <v xml:space="preserve"> </v>
      </c>
      <c r="F6019" s="107" t="str">
        <f>IF(LEN(Table1722[[#This Row],[Uraian]])&gt;2,TRIM(RIGHT(SUBSTITUTE(TRIM(C6019)," ",REPT(" ",255)),255))," ")</f>
        <v xml:space="preserve"> </v>
      </c>
      <c r="G6019" s="110">
        <f>COPY!Z6011</f>
        <v>0</v>
      </c>
      <c r="H6019" s="111" t="str">
        <f>IFERROR(VLOOKUP(Table1722[[#This Row],[Bukti]],'Un nOTA'!$A$4:$K$5003,10,FALSE),"")</f>
        <v/>
      </c>
      <c r="I6019" s="123" t="str">
        <f>IFERROR(VLOOKUP(Table1722[[#This Row],[Bukti]],Table13[#Data],11,FALSE),"")</f>
        <v/>
      </c>
    </row>
    <row r="6020" spans="1:9" hidden="1" x14ac:dyDescent="0.2">
      <c r="A6020" s="105" t="str">
        <f>IF(D6020=1,COUNTIF($D$10:D6020,1)," ")</f>
        <v xml:space="preserve"> </v>
      </c>
      <c r="B6020" s="106">
        <f>COPY!AR6012</f>
        <v>0</v>
      </c>
      <c r="C6020" s="107">
        <f>COPY!AC6012</f>
        <v>0</v>
      </c>
      <c r="D6020" s="107" t="str">
        <f>IF(LEN(Table1722[[#This Row],[Uraian]])&gt;2,1," ")</f>
        <v xml:space="preserve"> </v>
      </c>
      <c r="E6020" s="113" t="str">
        <f>IF(Table1722[[#This Row],[Lawan Transaksi]]="CV AGUNG KARYA",COUNTIF($I$10:I6020,"CV AGUNG KARYA")," ")</f>
        <v xml:space="preserve"> </v>
      </c>
      <c r="F6020" s="107" t="str">
        <f>IF(LEN(Table1722[[#This Row],[Uraian]])&gt;2,TRIM(RIGHT(SUBSTITUTE(TRIM(C6020)," ",REPT(" ",255)),255))," ")</f>
        <v xml:space="preserve"> </v>
      </c>
      <c r="G6020" s="110">
        <f>COPY!Z6012</f>
        <v>0</v>
      </c>
      <c r="H6020" s="111" t="str">
        <f>IFERROR(VLOOKUP(Table1722[[#This Row],[Bukti]],'Un nOTA'!$A$4:$K$5003,10,FALSE),"")</f>
        <v/>
      </c>
      <c r="I6020" s="123" t="str">
        <f>IFERROR(VLOOKUP(Table1722[[#This Row],[Bukti]],Table13[#Data],11,FALSE),"")</f>
        <v/>
      </c>
    </row>
    <row r="6021" spans="1:9" hidden="1" x14ac:dyDescent="0.2">
      <c r="A6021" s="105" t="str">
        <f>IF(D6021=1,COUNTIF($D$10:D6021,1)," ")</f>
        <v xml:space="preserve"> </v>
      </c>
      <c r="B6021" s="106">
        <f>COPY!AR6013</f>
        <v>0</v>
      </c>
      <c r="C6021" s="107">
        <f>COPY!AC6013</f>
        <v>0</v>
      </c>
      <c r="D6021" s="107" t="str">
        <f>IF(LEN(Table1722[[#This Row],[Uraian]])&gt;2,1," ")</f>
        <v xml:space="preserve"> </v>
      </c>
      <c r="E6021" s="113" t="str">
        <f>IF(Table1722[[#This Row],[Lawan Transaksi]]="CV AGUNG KARYA",COUNTIF($I$10:I6021,"CV AGUNG KARYA")," ")</f>
        <v xml:space="preserve"> </v>
      </c>
      <c r="F6021" s="107" t="str">
        <f>IF(LEN(Table1722[[#This Row],[Uraian]])&gt;2,TRIM(RIGHT(SUBSTITUTE(TRIM(C6021)," ",REPT(" ",255)),255))," ")</f>
        <v xml:space="preserve"> </v>
      </c>
      <c r="G6021" s="110">
        <f>COPY!Z6013</f>
        <v>0</v>
      </c>
      <c r="H6021" s="111" t="str">
        <f>IFERROR(VLOOKUP(Table1722[[#This Row],[Bukti]],'Un nOTA'!$A$4:$K$5003,10,FALSE),"")</f>
        <v/>
      </c>
      <c r="I6021" s="123" t="str">
        <f>IFERROR(VLOOKUP(Table1722[[#This Row],[Bukti]],Table13[#Data],11,FALSE),"")</f>
        <v/>
      </c>
    </row>
    <row r="6022" spans="1:9" hidden="1" x14ac:dyDescent="0.2">
      <c r="A6022" s="105" t="str">
        <f>IF(D6022=1,COUNTIF($D$10:D6022,1)," ")</f>
        <v xml:space="preserve"> </v>
      </c>
      <c r="B6022" s="106">
        <f>COPY!AR6014</f>
        <v>0</v>
      </c>
      <c r="C6022" s="107">
        <f>COPY!AC6014</f>
        <v>0</v>
      </c>
      <c r="D6022" s="107" t="str">
        <f>IF(LEN(Table1722[[#This Row],[Uraian]])&gt;2,1," ")</f>
        <v xml:space="preserve"> </v>
      </c>
      <c r="E6022" s="113" t="str">
        <f>IF(Table1722[[#This Row],[Lawan Transaksi]]="CV AGUNG KARYA",COUNTIF($I$10:I6022,"CV AGUNG KARYA")," ")</f>
        <v xml:space="preserve"> </v>
      </c>
      <c r="F6022" s="107" t="str">
        <f>IF(LEN(Table1722[[#This Row],[Uraian]])&gt;2,TRIM(RIGHT(SUBSTITUTE(TRIM(C6022)," ",REPT(" ",255)),255))," ")</f>
        <v xml:space="preserve"> </v>
      </c>
      <c r="G6022" s="110">
        <f>COPY!Z6014</f>
        <v>0</v>
      </c>
      <c r="H6022" s="111" t="str">
        <f>IFERROR(VLOOKUP(Table1722[[#This Row],[Bukti]],'Un nOTA'!$A$4:$K$5003,10,FALSE),"")</f>
        <v/>
      </c>
      <c r="I6022" s="123" t="str">
        <f>IFERROR(VLOOKUP(Table1722[[#This Row],[Bukti]],Table13[#Data],11,FALSE),"")</f>
        <v/>
      </c>
    </row>
    <row r="6023" spans="1:9" hidden="1" x14ac:dyDescent="0.2">
      <c r="A6023" s="105" t="str">
        <f>IF(D6023=1,COUNTIF($D$10:D6023,1)," ")</f>
        <v xml:space="preserve"> </v>
      </c>
      <c r="B6023" s="106">
        <f>COPY!AR6015</f>
        <v>0</v>
      </c>
      <c r="C6023" s="107">
        <f>COPY!AC6015</f>
        <v>0</v>
      </c>
      <c r="D6023" s="107" t="str">
        <f>IF(LEN(Table1722[[#This Row],[Uraian]])&gt;2,1," ")</f>
        <v xml:space="preserve"> </v>
      </c>
      <c r="E6023" s="113" t="str">
        <f>IF(Table1722[[#This Row],[Lawan Transaksi]]="CV AGUNG KARYA",COUNTIF($I$10:I6023,"CV AGUNG KARYA")," ")</f>
        <v xml:space="preserve"> </v>
      </c>
      <c r="F6023" s="107" t="str">
        <f>IF(LEN(Table1722[[#This Row],[Uraian]])&gt;2,TRIM(RIGHT(SUBSTITUTE(TRIM(C6023)," ",REPT(" ",255)),255))," ")</f>
        <v xml:space="preserve"> </v>
      </c>
      <c r="G6023" s="110">
        <f>COPY!Z6015</f>
        <v>0</v>
      </c>
      <c r="H6023" s="111" t="str">
        <f>IFERROR(VLOOKUP(Table1722[[#This Row],[Bukti]],'Un nOTA'!$A$4:$K$5003,10,FALSE),"")</f>
        <v/>
      </c>
      <c r="I6023" s="123" t="str">
        <f>IFERROR(VLOOKUP(Table1722[[#This Row],[Bukti]],Table13[#Data],11,FALSE),"")</f>
        <v/>
      </c>
    </row>
    <row r="6024" spans="1:9" hidden="1" x14ac:dyDescent="0.2">
      <c r="A6024" s="105" t="str">
        <f>IF(D6024=1,COUNTIF($D$10:D6024,1)," ")</f>
        <v xml:space="preserve"> </v>
      </c>
      <c r="B6024" s="106">
        <f>COPY!AR6016</f>
        <v>0</v>
      </c>
      <c r="C6024" s="107">
        <f>COPY!AC6016</f>
        <v>0</v>
      </c>
      <c r="D6024" s="107" t="str">
        <f>IF(LEN(Table1722[[#This Row],[Uraian]])&gt;2,1," ")</f>
        <v xml:space="preserve"> </v>
      </c>
      <c r="E6024" s="113" t="str">
        <f>IF(Table1722[[#This Row],[Lawan Transaksi]]="CV AGUNG KARYA",COUNTIF($I$10:I6024,"CV AGUNG KARYA")," ")</f>
        <v xml:space="preserve"> </v>
      </c>
      <c r="F6024" s="107" t="str">
        <f>IF(LEN(Table1722[[#This Row],[Uraian]])&gt;2,TRIM(RIGHT(SUBSTITUTE(TRIM(C6024)," ",REPT(" ",255)),255))," ")</f>
        <v xml:space="preserve"> </v>
      </c>
      <c r="G6024" s="110">
        <f>COPY!Z6016</f>
        <v>0</v>
      </c>
      <c r="H6024" s="111" t="str">
        <f>IFERROR(VLOOKUP(Table1722[[#This Row],[Bukti]],'Un nOTA'!$A$4:$K$5003,10,FALSE),"")</f>
        <v/>
      </c>
      <c r="I6024" s="123" t="str">
        <f>IFERROR(VLOOKUP(Table1722[[#This Row],[Bukti]],Table13[#Data],11,FALSE),"")</f>
        <v/>
      </c>
    </row>
    <row r="6025" spans="1:9" hidden="1" x14ac:dyDescent="0.2">
      <c r="A6025" s="105" t="str">
        <f>IF(D6025=1,COUNTIF($D$10:D6025,1)," ")</f>
        <v xml:space="preserve"> </v>
      </c>
      <c r="B6025" s="106">
        <f>COPY!AR6017</f>
        <v>0</v>
      </c>
      <c r="C6025" s="107">
        <f>COPY!AC6017</f>
        <v>0</v>
      </c>
      <c r="D6025" s="107" t="str">
        <f>IF(LEN(Table1722[[#This Row],[Uraian]])&gt;2,1," ")</f>
        <v xml:space="preserve"> </v>
      </c>
      <c r="E6025" s="113" t="str">
        <f>IF(Table1722[[#This Row],[Lawan Transaksi]]="CV AGUNG KARYA",COUNTIF($I$10:I6025,"CV AGUNG KARYA")," ")</f>
        <v xml:space="preserve"> </v>
      </c>
      <c r="F6025" s="107" t="str">
        <f>IF(LEN(Table1722[[#This Row],[Uraian]])&gt;2,TRIM(RIGHT(SUBSTITUTE(TRIM(C6025)," ",REPT(" ",255)),255))," ")</f>
        <v xml:space="preserve"> </v>
      </c>
      <c r="G6025" s="110">
        <f>COPY!Z6017</f>
        <v>0</v>
      </c>
      <c r="H6025" s="111" t="str">
        <f>IFERROR(VLOOKUP(Table1722[[#This Row],[Bukti]],'Un nOTA'!$A$4:$K$5003,10,FALSE),"")</f>
        <v/>
      </c>
      <c r="I6025" s="123" t="str">
        <f>IFERROR(VLOOKUP(Table1722[[#This Row],[Bukti]],Table13[#Data],11,FALSE),"")</f>
        <v/>
      </c>
    </row>
    <row r="6026" spans="1:9" hidden="1" x14ac:dyDescent="0.2">
      <c r="A6026" s="105" t="str">
        <f>IF(D6026=1,COUNTIF($D$10:D6026,1)," ")</f>
        <v xml:space="preserve"> </v>
      </c>
      <c r="B6026" s="106">
        <f>COPY!AR6018</f>
        <v>0</v>
      </c>
      <c r="C6026" s="107">
        <f>COPY!AC6018</f>
        <v>0</v>
      </c>
      <c r="D6026" s="107" t="str">
        <f>IF(LEN(Table1722[[#This Row],[Uraian]])&gt;2,1," ")</f>
        <v xml:space="preserve"> </v>
      </c>
      <c r="E6026" s="113" t="str">
        <f>IF(Table1722[[#This Row],[Lawan Transaksi]]="CV AGUNG KARYA",COUNTIF($I$10:I6026,"CV AGUNG KARYA")," ")</f>
        <v xml:space="preserve"> </v>
      </c>
      <c r="F6026" s="107" t="str">
        <f>IF(LEN(Table1722[[#This Row],[Uraian]])&gt;2,TRIM(RIGHT(SUBSTITUTE(TRIM(C6026)," ",REPT(" ",255)),255))," ")</f>
        <v xml:space="preserve"> </v>
      </c>
      <c r="G6026" s="110">
        <f>COPY!Z6018</f>
        <v>0</v>
      </c>
      <c r="H6026" s="111" t="str">
        <f>IFERROR(VLOOKUP(Table1722[[#This Row],[Bukti]],'Un nOTA'!$A$4:$K$5003,10,FALSE),"")</f>
        <v/>
      </c>
      <c r="I6026" s="123" t="str">
        <f>IFERROR(VLOOKUP(Table1722[[#This Row],[Bukti]],Table13[#Data],11,FALSE),"")</f>
        <v/>
      </c>
    </row>
    <row r="6027" spans="1:9" hidden="1" x14ac:dyDescent="0.2">
      <c r="A6027" s="105" t="str">
        <f>IF(D6027=1,COUNTIF($D$10:D6027,1)," ")</f>
        <v xml:space="preserve"> </v>
      </c>
      <c r="B6027" s="106">
        <f>COPY!AR6019</f>
        <v>0</v>
      </c>
      <c r="C6027" s="107">
        <f>COPY!AC6019</f>
        <v>0</v>
      </c>
      <c r="D6027" s="107" t="str">
        <f>IF(LEN(Table1722[[#This Row],[Uraian]])&gt;2,1," ")</f>
        <v xml:space="preserve"> </v>
      </c>
      <c r="E6027" s="113" t="str">
        <f>IF(Table1722[[#This Row],[Lawan Transaksi]]="CV AGUNG KARYA",COUNTIF($I$10:I6027,"CV AGUNG KARYA")," ")</f>
        <v xml:space="preserve"> </v>
      </c>
      <c r="F6027" s="107" t="str">
        <f>IF(LEN(Table1722[[#This Row],[Uraian]])&gt;2,TRIM(RIGHT(SUBSTITUTE(TRIM(C6027)," ",REPT(" ",255)),255))," ")</f>
        <v xml:space="preserve"> </v>
      </c>
      <c r="G6027" s="110">
        <f>COPY!Z6019</f>
        <v>0</v>
      </c>
      <c r="H6027" s="111" t="str">
        <f>IFERROR(VLOOKUP(Table1722[[#This Row],[Bukti]],'Un nOTA'!$A$4:$K$5003,10,FALSE),"")</f>
        <v/>
      </c>
      <c r="I6027" s="123" t="str">
        <f>IFERROR(VLOOKUP(Table1722[[#This Row],[Bukti]],Table13[#Data],11,FALSE),"")</f>
        <v/>
      </c>
    </row>
    <row r="6028" spans="1:9" hidden="1" x14ac:dyDescent="0.2">
      <c r="A6028" s="105" t="str">
        <f>IF(D6028=1,COUNTIF($D$10:D6028,1)," ")</f>
        <v xml:space="preserve"> </v>
      </c>
      <c r="B6028" s="106">
        <f>COPY!AR6020</f>
        <v>0</v>
      </c>
      <c r="C6028" s="107">
        <f>COPY!AC6020</f>
        <v>0</v>
      </c>
      <c r="D6028" s="107" t="str">
        <f>IF(LEN(Table1722[[#This Row],[Uraian]])&gt;2,1," ")</f>
        <v xml:space="preserve"> </v>
      </c>
      <c r="E6028" s="113" t="str">
        <f>IF(Table1722[[#This Row],[Lawan Transaksi]]="CV AGUNG KARYA",COUNTIF($I$10:I6028,"CV AGUNG KARYA")," ")</f>
        <v xml:space="preserve"> </v>
      </c>
      <c r="F6028" s="107" t="str">
        <f>IF(LEN(Table1722[[#This Row],[Uraian]])&gt;2,TRIM(RIGHT(SUBSTITUTE(TRIM(C6028)," ",REPT(" ",255)),255))," ")</f>
        <v xml:space="preserve"> </v>
      </c>
      <c r="G6028" s="110">
        <f>COPY!Z6020</f>
        <v>0</v>
      </c>
      <c r="H6028" s="111" t="str">
        <f>IFERROR(VLOOKUP(Table1722[[#This Row],[Bukti]],'Un nOTA'!$A$4:$K$5003,10,FALSE),"")</f>
        <v/>
      </c>
      <c r="I6028" s="123" t="str">
        <f>IFERROR(VLOOKUP(Table1722[[#This Row],[Bukti]],Table13[#Data],11,FALSE),"")</f>
        <v/>
      </c>
    </row>
    <row r="6029" spans="1:9" hidden="1" x14ac:dyDescent="0.2">
      <c r="A6029" s="105" t="str">
        <f>IF(D6029=1,COUNTIF($D$10:D6029,1)," ")</f>
        <v xml:space="preserve"> </v>
      </c>
      <c r="B6029" s="106">
        <f>COPY!AR6021</f>
        <v>0</v>
      </c>
      <c r="C6029" s="107">
        <f>COPY!AC6021</f>
        <v>0</v>
      </c>
      <c r="D6029" s="107" t="str">
        <f>IF(LEN(Table1722[[#This Row],[Uraian]])&gt;2,1," ")</f>
        <v xml:space="preserve"> </v>
      </c>
      <c r="E6029" s="113" t="str">
        <f>IF(Table1722[[#This Row],[Lawan Transaksi]]="CV AGUNG KARYA",COUNTIF($I$10:I6029,"CV AGUNG KARYA")," ")</f>
        <v xml:space="preserve"> </v>
      </c>
      <c r="F6029" s="107" t="str">
        <f>IF(LEN(Table1722[[#This Row],[Uraian]])&gt;2,TRIM(RIGHT(SUBSTITUTE(TRIM(C6029)," ",REPT(" ",255)),255))," ")</f>
        <v xml:space="preserve"> </v>
      </c>
      <c r="G6029" s="110">
        <f>COPY!Z6021</f>
        <v>0</v>
      </c>
      <c r="H6029" s="111" t="str">
        <f>IFERROR(VLOOKUP(Table1722[[#This Row],[Bukti]],'Un nOTA'!$A$4:$K$5003,10,FALSE),"")</f>
        <v/>
      </c>
      <c r="I6029" s="123" t="str">
        <f>IFERROR(VLOOKUP(Table1722[[#This Row],[Bukti]],Table13[#Data],11,FALSE),"")</f>
        <v/>
      </c>
    </row>
    <row r="6030" spans="1:9" hidden="1" x14ac:dyDescent="0.2">
      <c r="A6030" s="105" t="str">
        <f>IF(D6030=1,COUNTIF($D$10:D6030,1)," ")</f>
        <v xml:space="preserve"> </v>
      </c>
      <c r="B6030" s="106">
        <f>COPY!AR6022</f>
        <v>0</v>
      </c>
      <c r="C6030" s="107">
        <f>COPY!AC6022</f>
        <v>0</v>
      </c>
      <c r="D6030" s="107" t="str">
        <f>IF(LEN(Table1722[[#This Row],[Uraian]])&gt;2,1," ")</f>
        <v xml:space="preserve"> </v>
      </c>
      <c r="E6030" s="113" t="str">
        <f>IF(Table1722[[#This Row],[Lawan Transaksi]]="CV AGUNG KARYA",COUNTIF($I$10:I6030,"CV AGUNG KARYA")," ")</f>
        <v xml:space="preserve"> </v>
      </c>
      <c r="F6030" s="107" t="str">
        <f>IF(LEN(Table1722[[#This Row],[Uraian]])&gt;2,TRIM(RIGHT(SUBSTITUTE(TRIM(C6030)," ",REPT(" ",255)),255))," ")</f>
        <v xml:space="preserve"> </v>
      </c>
      <c r="G6030" s="110">
        <f>COPY!Z6022</f>
        <v>0</v>
      </c>
      <c r="H6030" s="111" t="str">
        <f>IFERROR(VLOOKUP(Table1722[[#This Row],[Bukti]],'Un nOTA'!$A$4:$K$5003,10,FALSE),"")</f>
        <v/>
      </c>
      <c r="I6030" s="123" t="str">
        <f>IFERROR(VLOOKUP(Table1722[[#This Row],[Bukti]],Table13[#Data],11,FALSE),"")</f>
        <v/>
      </c>
    </row>
    <row r="6031" spans="1:9" hidden="1" x14ac:dyDescent="0.2">
      <c r="A6031" s="105" t="str">
        <f>IF(D6031=1,COUNTIF($D$10:D6031,1)," ")</f>
        <v xml:space="preserve"> </v>
      </c>
      <c r="B6031" s="106">
        <f>COPY!AR6023</f>
        <v>0</v>
      </c>
      <c r="C6031" s="107">
        <f>COPY!AC6023</f>
        <v>0</v>
      </c>
      <c r="D6031" s="107" t="str">
        <f>IF(LEN(Table1722[[#This Row],[Uraian]])&gt;2,1," ")</f>
        <v xml:space="preserve"> </v>
      </c>
      <c r="E6031" s="113" t="str">
        <f>IF(Table1722[[#This Row],[Lawan Transaksi]]="CV AGUNG KARYA",COUNTIF($I$10:I6031,"CV AGUNG KARYA")," ")</f>
        <v xml:space="preserve"> </v>
      </c>
      <c r="F6031" s="107" t="str">
        <f>IF(LEN(Table1722[[#This Row],[Uraian]])&gt;2,TRIM(RIGHT(SUBSTITUTE(TRIM(C6031)," ",REPT(" ",255)),255))," ")</f>
        <v xml:space="preserve"> </v>
      </c>
      <c r="G6031" s="110">
        <f>COPY!Z6023</f>
        <v>0</v>
      </c>
      <c r="H6031" s="111" t="str">
        <f>IFERROR(VLOOKUP(Table1722[[#This Row],[Bukti]],'Un nOTA'!$A$4:$K$5003,10,FALSE),"")</f>
        <v/>
      </c>
      <c r="I6031" s="123" t="str">
        <f>IFERROR(VLOOKUP(Table1722[[#This Row],[Bukti]],Table13[#Data],11,FALSE),"")</f>
        <v/>
      </c>
    </row>
    <row r="6032" spans="1:9" hidden="1" x14ac:dyDescent="0.2">
      <c r="A6032" s="105" t="str">
        <f>IF(D6032=1,COUNTIF($D$10:D6032,1)," ")</f>
        <v xml:space="preserve"> </v>
      </c>
      <c r="B6032" s="106">
        <f>COPY!AR6024</f>
        <v>0</v>
      </c>
      <c r="C6032" s="107">
        <f>COPY!AC6024</f>
        <v>0</v>
      </c>
      <c r="D6032" s="107" t="str">
        <f>IF(LEN(Table1722[[#This Row],[Uraian]])&gt;2,1," ")</f>
        <v xml:space="preserve"> </v>
      </c>
      <c r="E6032" s="113" t="str">
        <f>IF(Table1722[[#This Row],[Lawan Transaksi]]="CV AGUNG KARYA",COUNTIF($I$10:I6032,"CV AGUNG KARYA")," ")</f>
        <v xml:space="preserve"> </v>
      </c>
      <c r="F6032" s="107" t="str">
        <f>IF(LEN(Table1722[[#This Row],[Uraian]])&gt;2,TRIM(RIGHT(SUBSTITUTE(TRIM(C6032)," ",REPT(" ",255)),255))," ")</f>
        <v xml:space="preserve"> </v>
      </c>
      <c r="G6032" s="110">
        <f>COPY!Z6024</f>
        <v>0</v>
      </c>
      <c r="H6032" s="111" t="str">
        <f>IFERROR(VLOOKUP(Table1722[[#This Row],[Bukti]],'Un nOTA'!$A$4:$K$5003,10,FALSE),"")</f>
        <v/>
      </c>
      <c r="I6032" s="123" t="str">
        <f>IFERROR(VLOOKUP(Table1722[[#This Row],[Bukti]],Table13[#Data],11,FALSE),"")</f>
        <v/>
      </c>
    </row>
    <row r="6033" spans="1:9" hidden="1" x14ac:dyDescent="0.2">
      <c r="A6033" s="105" t="str">
        <f>IF(D6033=1,COUNTIF($D$10:D6033,1)," ")</f>
        <v xml:space="preserve"> </v>
      </c>
      <c r="B6033" s="106">
        <f>COPY!AR6025</f>
        <v>0</v>
      </c>
      <c r="C6033" s="107">
        <f>COPY!AC6025</f>
        <v>0</v>
      </c>
      <c r="D6033" s="107" t="str">
        <f>IF(LEN(Table1722[[#This Row],[Uraian]])&gt;2,1," ")</f>
        <v xml:space="preserve"> </v>
      </c>
      <c r="E6033" s="113" t="str">
        <f>IF(Table1722[[#This Row],[Lawan Transaksi]]="CV AGUNG KARYA",COUNTIF($I$10:I6033,"CV AGUNG KARYA")," ")</f>
        <v xml:space="preserve"> </v>
      </c>
      <c r="F6033" s="107" t="str">
        <f>IF(LEN(Table1722[[#This Row],[Uraian]])&gt;2,TRIM(RIGHT(SUBSTITUTE(TRIM(C6033)," ",REPT(" ",255)),255))," ")</f>
        <v xml:space="preserve"> </v>
      </c>
      <c r="G6033" s="110">
        <f>COPY!Z6025</f>
        <v>0</v>
      </c>
      <c r="H6033" s="111" t="str">
        <f>IFERROR(VLOOKUP(Table1722[[#This Row],[Bukti]],'Un nOTA'!$A$4:$K$5003,10,FALSE),"")</f>
        <v/>
      </c>
      <c r="I6033" s="123" t="str">
        <f>IFERROR(VLOOKUP(Table1722[[#This Row],[Bukti]],Table13[#Data],11,FALSE),"")</f>
        <v/>
      </c>
    </row>
    <row r="6034" spans="1:9" hidden="1" x14ac:dyDescent="0.2">
      <c r="A6034" s="105" t="str">
        <f>IF(D6034=1,COUNTIF($D$10:D6034,1)," ")</f>
        <v xml:space="preserve"> </v>
      </c>
      <c r="B6034" s="106">
        <f>COPY!AR6026</f>
        <v>0</v>
      </c>
      <c r="C6034" s="107">
        <f>COPY!AC6026</f>
        <v>0</v>
      </c>
      <c r="D6034" s="107" t="str">
        <f>IF(LEN(Table1722[[#This Row],[Uraian]])&gt;2,1," ")</f>
        <v xml:space="preserve"> </v>
      </c>
      <c r="E6034" s="113" t="str">
        <f>IF(Table1722[[#This Row],[Lawan Transaksi]]="CV AGUNG KARYA",COUNTIF($I$10:I6034,"CV AGUNG KARYA")," ")</f>
        <v xml:space="preserve"> </v>
      </c>
      <c r="F6034" s="107" t="str">
        <f>IF(LEN(Table1722[[#This Row],[Uraian]])&gt;2,TRIM(RIGHT(SUBSTITUTE(TRIM(C6034)," ",REPT(" ",255)),255))," ")</f>
        <v xml:space="preserve"> </v>
      </c>
      <c r="G6034" s="110">
        <f>COPY!Z6026</f>
        <v>0</v>
      </c>
      <c r="H6034" s="111" t="str">
        <f>IFERROR(VLOOKUP(Table1722[[#This Row],[Bukti]],'Un nOTA'!$A$4:$K$5003,10,FALSE),"")</f>
        <v/>
      </c>
      <c r="I6034" s="123" t="str">
        <f>IFERROR(VLOOKUP(Table1722[[#This Row],[Bukti]],Table13[#Data],11,FALSE),"")</f>
        <v/>
      </c>
    </row>
    <row r="6035" spans="1:9" hidden="1" x14ac:dyDescent="0.2">
      <c r="A6035" s="105" t="str">
        <f>IF(D6035=1,COUNTIF($D$10:D6035,1)," ")</f>
        <v xml:space="preserve"> </v>
      </c>
      <c r="B6035" s="106">
        <f>COPY!AR6027</f>
        <v>0</v>
      </c>
      <c r="C6035" s="107">
        <f>COPY!AC6027</f>
        <v>0</v>
      </c>
      <c r="D6035" s="107" t="str">
        <f>IF(LEN(Table1722[[#This Row],[Uraian]])&gt;2,1," ")</f>
        <v xml:space="preserve"> </v>
      </c>
      <c r="E6035" s="113" t="str">
        <f>IF(Table1722[[#This Row],[Lawan Transaksi]]="CV AGUNG KARYA",COUNTIF($I$10:I6035,"CV AGUNG KARYA")," ")</f>
        <v xml:space="preserve"> </v>
      </c>
      <c r="F6035" s="107" t="str">
        <f>IF(LEN(Table1722[[#This Row],[Uraian]])&gt;2,TRIM(RIGHT(SUBSTITUTE(TRIM(C6035)," ",REPT(" ",255)),255))," ")</f>
        <v xml:space="preserve"> </v>
      </c>
      <c r="G6035" s="110">
        <f>COPY!Z6027</f>
        <v>0</v>
      </c>
      <c r="H6035" s="111" t="str">
        <f>IFERROR(VLOOKUP(Table1722[[#This Row],[Bukti]],'Un nOTA'!$A$4:$K$5003,10,FALSE),"")</f>
        <v/>
      </c>
      <c r="I6035" s="123" t="str">
        <f>IFERROR(VLOOKUP(Table1722[[#This Row],[Bukti]],Table13[#Data],11,FALSE),"")</f>
        <v/>
      </c>
    </row>
    <row r="6036" spans="1:9" hidden="1" x14ac:dyDescent="0.2">
      <c r="A6036" s="105" t="str">
        <f>IF(D6036=1,COUNTIF($D$10:D6036,1)," ")</f>
        <v xml:space="preserve"> </v>
      </c>
      <c r="B6036" s="106">
        <f>COPY!AR6028</f>
        <v>0</v>
      </c>
      <c r="C6036" s="107">
        <f>COPY!AC6028</f>
        <v>0</v>
      </c>
      <c r="D6036" s="107" t="str">
        <f>IF(LEN(Table1722[[#This Row],[Uraian]])&gt;2,1," ")</f>
        <v xml:space="preserve"> </v>
      </c>
      <c r="E6036" s="113" t="str">
        <f>IF(Table1722[[#This Row],[Lawan Transaksi]]="CV AGUNG KARYA",COUNTIF($I$10:I6036,"CV AGUNG KARYA")," ")</f>
        <v xml:space="preserve"> </v>
      </c>
      <c r="F6036" s="107" t="str">
        <f>IF(LEN(Table1722[[#This Row],[Uraian]])&gt;2,TRIM(RIGHT(SUBSTITUTE(TRIM(C6036)," ",REPT(" ",255)),255))," ")</f>
        <v xml:space="preserve"> </v>
      </c>
      <c r="G6036" s="110">
        <f>COPY!Z6028</f>
        <v>0</v>
      </c>
      <c r="H6036" s="111" t="str">
        <f>IFERROR(VLOOKUP(Table1722[[#This Row],[Bukti]],'Un nOTA'!$A$4:$K$5003,10,FALSE),"")</f>
        <v/>
      </c>
      <c r="I6036" s="123" t="str">
        <f>IFERROR(VLOOKUP(Table1722[[#This Row],[Bukti]],Table13[#Data],11,FALSE),"")</f>
        <v/>
      </c>
    </row>
    <row r="6037" spans="1:9" hidden="1" x14ac:dyDescent="0.2">
      <c r="A6037" s="105" t="str">
        <f>IF(D6037=1,COUNTIF($D$10:D6037,1)," ")</f>
        <v xml:space="preserve"> </v>
      </c>
      <c r="B6037" s="106">
        <f>COPY!AR6029</f>
        <v>0</v>
      </c>
      <c r="C6037" s="107">
        <f>COPY!AC6029</f>
        <v>0</v>
      </c>
      <c r="D6037" s="107" t="str">
        <f>IF(LEN(Table1722[[#This Row],[Uraian]])&gt;2,1," ")</f>
        <v xml:space="preserve"> </v>
      </c>
      <c r="E6037" s="113" t="str">
        <f>IF(Table1722[[#This Row],[Lawan Transaksi]]="CV AGUNG KARYA",COUNTIF($I$10:I6037,"CV AGUNG KARYA")," ")</f>
        <v xml:space="preserve"> </v>
      </c>
      <c r="F6037" s="107" t="str">
        <f>IF(LEN(Table1722[[#This Row],[Uraian]])&gt;2,TRIM(RIGHT(SUBSTITUTE(TRIM(C6037)," ",REPT(" ",255)),255))," ")</f>
        <v xml:space="preserve"> </v>
      </c>
      <c r="G6037" s="110">
        <f>COPY!Z6029</f>
        <v>0</v>
      </c>
      <c r="H6037" s="111" t="str">
        <f>IFERROR(VLOOKUP(Table1722[[#This Row],[Bukti]],'Un nOTA'!$A$4:$K$5003,10,FALSE),"")</f>
        <v/>
      </c>
      <c r="I6037" s="123" t="str">
        <f>IFERROR(VLOOKUP(Table1722[[#This Row],[Bukti]],Table13[#Data],11,FALSE),"")</f>
        <v/>
      </c>
    </row>
    <row r="6038" spans="1:9" hidden="1" x14ac:dyDescent="0.2">
      <c r="A6038" s="105" t="str">
        <f>IF(D6038=1,COUNTIF($D$10:D6038,1)," ")</f>
        <v xml:space="preserve"> </v>
      </c>
      <c r="B6038" s="106">
        <f>COPY!AR6030</f>
        <v>0</v>
      </c>
      <c r="C6038" s="107">
        <f>COPY!AC6030</f>
        <v>0</v>
      </c>
      <c r="D6038" s="107" t="str">
        <f>IF(LEN(Table1722[[#This Row],[Uraian]])&gt;2,1," ")</f>
        <v xml:space="preserve"> </v>
      </c>
      <c r="E6038" s="113" t="str">
        <f>IF(Table1722[[#This Row],[Lawan Transaksi]]="CV AGUNG KARYA",COUNTIF($I$10:I6038,"CV AGUNG KARYA")," ")</f>
        <v xml:space="preserve"> </v>
      </c>
      <c r="F6038" s="107" t="str">
        <f>IF(LEN(Table1722[[#This Row],[Uraian]])&gt;2,TRIM(RIGHT(SUBSTITUTE(TRIM(C6038)," ",REPT(" ",255)),255))," ")</f>
        <v xml:space="preserve"> </v>
      </c>
      <c r="G6038" s="110">
        <f>COPY!Z6030</f>
        <v>0</v>
      </c>
      <c r="H6038" s="111" t="str">
        <f>IFERROR(VLOOKUP(Table1722[[#This Row],[Bukti]],'Un nOTA'!$A$4:$K$5003,10,FALSE),"")</f>
        <v/>
      </c>
      <c r="I6038" s="123" t="str">
        <f>IFERROR(VLOOKUP(Table1722[[#This Row],[Bukti]],Table13[#Data],11,FALSE),"")</f>
        <v/>
      </c>
    </row>
    <row r="6039" spans="1:9" hidden="1" x14ac:dyDescent="0.2">
      <c r="A6039" s="105" t="str">
        <f>IF(D6039=1,COUNTIF($D$10:D6039,1)," ")</f>
        <v xml:space="preserve"> </v>
      </c>
      <c r="B6039" s="106">
        <f>COPY!AR6031</f>
        <v>0</v>
      </c>
      <c r="C6039" s="107">
        <f>COPY!AC6031</f>
        <v>0</v>
      </c>
      <c r="D6039" s="107" t="str">
        <f>IF(LEN(Table1722[[#This Row],[Uraian]])&gt;2,1," ")</f>
        <v xml:space="preserve"> </v>
      </c>
      <c r="E6039" s="113" t="str">
        <f>IF(Table1722[[#This Row],[Lawan Transaksi]]="CV AGUNG KARYA",COUNTIF($I$10:I6039,"CV AGUNG KARYA")," ")</f>
        <v xml:space="preserve"> </v>
      </c>
      <c r="F6039" s="107" t="str">
        <f>IF(LEN(Table1722[[#This Row],[Uraian]])&gt;2,TRIM(RIGHT(SUBSTITUTE(TRIM(C6039)," ",REPT(" ",255)),255))," ")</f>
        <v xml:space="preserve"> </v>
      </c>
      <c r="G6039" s="110">
        <f>COPY!Z6031</f>
        <v>0</v>
      </c>
      <c r="H6039" s="111" t="str">
        <f>IFERROR(VLOOKUP(Table1722[[#This Row],[Bukti]],'Un nOTA'!$A$4:$K$5003,10,FALSE),"")</f>
        <v/>
      </c>
      <c r="I6039" s="123" t="str">
        <f>IFERROR(VLOOKUP(Table1722[[#This Row],[Bukti]],Table13[#Data],11,FALSE),"")</f>
        <v/>
      </c>
    </row>
    <row r="6040" spans="1:9" hidden="1" x14ac:dyDescent="0.2">
      <c r="A6040" s="105" t="str">
        <f>IF(D6040=1,COUNTIF($D$10:D6040,1)," ")</f>
        <v xml:space="preserve"> </v>
      </c>
      <c r="B6040" s="106">
        <f>COPY!AR6032</f>
        <v>0</v>
      </c>
      <c r="C6040" s="107">
        <f>COPY!AC6032</f>
        <v>0</v>
      </c>
      <c r="D6040" s="107" t="str">
        <f>IF(LEN(Table1722[[#This Row],[Uraian]])&gt;2,1," ")</f>
        <v xml:space="preserve"> </v>
      </c>
      <c r="E6040" s="113" t="str">
        <f>IF(Table1722[[#This Row],[Lawan Transaksi]]="CV AGUNG KARYA",COUNTIF($I$10:I6040,"CV AGUNG KARYA")," ")</f>
        <v xml:space="preserve"> </v>
      </c>
      <c r="F6040" s="107" t="str">
        <f>IF(LEN(Table1722[[#This Row],[Uraian]])&gt;2,TRIM(RIGHT(SUBSTITUTE(TRIM(C6040)," ",REPT(" ",255)),255))," ")</f>
        <v xml:space="preserve"> </v>
      </c>
      <c r="G6040" s="110">
        <f>COPY!Z6032</f>
        <v>0</v>
      </c>
      <c r="H6040" s="111" t="str">
        <f>IFERROR(VLOOKUP(Table1722[[#This Row],[Bukti]],'Un nOTA'!$A$4:$K$5003,10,FALSE),"")</f>
        <v/>
      </c>
      <c r="I6040" s="123" t="str">
        <f>IFERROR(VLOOKUP(Table1722[[#This Row],[Bukti]],Table13[#Data],11,FALSE),"")</f>
        <v/>
      </c>
    </row>
    <row r="6041" spans="1:9" hidden="1" x14ac:dyDescent="0.2">
      <c r="A6041" s="105" t="str">
        <f>IF(D6041=1,COUNTIF($D$10:D6041,1)," ")</f>
        <v xml:space="preserve"> </v>
      </c>
      <c r="B6041" s="106">
        <f>COPY!AR6033</f>
        <v>0</v>
      </c>
      <c r="C6041" s="107">
        <f>COPY!AC6033</f>
        <v>0</v>
      </c>
      <c r="D6041" s="107" t="str">
        <f>IF(LEN(Table1722[[#This Row],[Uraian]])&gt;2,1," ")</f>
        <v xml:space="preserve"> </v>
      </c>
      <c r="E6041" s="113" t="str">
        <f>IF(Table1722[[#This Row],[Lawan Transaksi]]="CV AGUNG KARYA",COUNTIF($I$10:I6041,"CV AGUNG KARYA")," ")</f>
        <v xml:space="preserve"> </v>
      </c>
      <c r="F6041" s="107" t="str">
        <f>IF(LEN(Table1722[[#This Row],[Uraian]])&gt;2,TRIM(RIGHT(SUBSTITUTE(TRIM(C6041)," ",REPT(" ",255)),255))," ")</f>
        <v xml:space="preserve"> </v>
      </c>
      <c r="G6041" s="110">
        <f>COPY!Z6033</f>
        <v>0</v>
      </c>
      <c r="H6041" s="111" t="str">
        <f>IFERROR(VLOOKUP(Table1722[[#This Row],[Bukti]],'Un nOTA'!$A$4:$K$5003,10,FALSE),"")</f>
        <v/>
      </c>
      <c r="I6041" s="123" t="str">
        <f>IFERROR(VLOOKUP(Table1722[[#This Row],[Bukti]],Table13[#Data],11,FALSE),"")</f>
        <v/>
      </c>
    </row>
    <row r="6042" spans="1:9" hidden="1" x14ac:dyDescent="0.2">
      <c r="A6042" s="105" t="str">
        <f>IF(D6042=1,COUNTIF($D$10:D6042,1)," ")</f>
        <v xml:space="preserve"> </v>
      </c>
      <c r="B6042" s="106">
        <f>COPY!AR6034</f>
        <v>0</v>
      </c>
      <c r="C6042" s="107">
        <f>COPY!AC6034</f>
        <v>0</v>
      </c>
      <c r="D6042" s="107" t="str">
        <f>IF(LEN(Table1722[[#This Row],[Uraian]])&gt;2,1," ")</f>
        <v xml:space="preserve"> </v>
      </c>
      <c r="E6042" s="113" t="str">
        <f>IF(Table1722[[#This Row],[Lawan Transaksi]]="CV AGUNG KARYA",COUNTIF($I$10:I6042,"CV AGUNG KARYA")," ")</f>
        <v xml:space="preserve"> </v>
      </c>
      <c r="F6042" s="107" t="str">
        <f>IF(LEN(Table1722[[#This Row],[Uraian]])&gt;2,TRIM(RIGHT(SUBSTITUTE(TRIM(C6042)," ",REPT(" ",255)),255))," ")</f>
        <v xml:space="preserve"> </v>
      </c>
      <c r="G6042" s="110">
        <f>COPY!Z6034</f>
        <v>0</v>
      </c>
      <c r="H6042" s="111" t="str">
        <f>IFERROR(VLOOKUP(Table1722[[#This Row],[Bukti]],'Un nOTA'!$A$4:$K$5003,10,FALSE),"")</f>
        <v/>
      </c>
      <c r="I6042" s="123" t="str">
        <f>IFERROR(VLOOKUP(Table1722[[#This Row],[Bukti]],Table13[#Data],11,FALSE),"")</f>
        <v/>
      </c>
    </row>
    <row r="6043" spans="1:9" hidden="1" x14ac:dyDescent="0.2">
      <c r="A6043" s="105" t="str">
        <f>IF(D6043=1,COUNTIF($D$10:D6043,1)," ")</f>
        <v xml:space="preserve"> </v>
      </c>
      <c r="B6043" s="106">
        <f>COPY!AR6035</f>
        <v>0</v>
      </c>
      <c r="C6043" s="107">
        <f>COPY!AC6035</f>
        <v>0</v>
      </c>
      <c r="D6043" s="107" t="str">
        <f>IF(LEN(Table1722[[#This Row],[Uraian]])&gt;2,1," ")</f>
        <v xml:space="preserve"> </v>
      </c>
      <c r="E6043" s="113" t="str">
        <f>IF(Table1722[[#This Row],[Lawan Transaksi]]="CV AGUNG KARYA",COUNTIF($I$10:I6043,"CV AGUNG KARYA")," ")</f>
        <v xml:space="preserve"> </v>
      </c>
      <c r="F6043" s="107" t="str">
        <f>IF(LEN(Table1722[[#This Row],[Uraian]])&gt;2,TRIM(RIGHT(SUBSTITUTE(TRIM(C6043)," ",REPT(" ",255)),255))," ")</f>
        <v xml:space="preserve"> </v>
      </c>
      <c r="G6043" s="110">
        <f>COPY!Z6035</f>
        <v>0</v>
      </c>
      <c r="H6043" s="111" t="str">
        <f>IFERROR(VLOOKUP(Table1722[[#This Row],[Bukti]],'Un nOTA'!$A$4:$K$5003,10,FALSE),"")</f>
        <v/>
      </c>
      <c r="I6043" s="123" t="str">
        <f>IFERROR(VLOOKUP(Table1722[[#This Row],[Bukti]],Table13[#Data],11,FALSE),"")</f>
        <v/>
      </c>
    </row>
    <row r="6044" spans="1:9" hidden="1" x14ac:dyDescent="0.2">
      <c r="A6044" s="105" t="str">
        <f>IF(D6044=1,COUNTIF($D$10:D6044,1)," ")</f>
        <v xml:space="preserve"> </v>
      </c>
      <c r="B6044" s="106">
        <f>COPY!AR6036</f>
        <v>0</v>
      </c>
      <c r="C6044" s="107">
        <f>COPY!AC6036</f>
        <v>0</v>
      </c>
      <c r="D6044" s="107" t="str">
        <f>IF(LEN(Table1722[[#This Row],[Uraian]])&gt;2,1," ")</f>
        <v xml:space="preserve"> </v>
      </c>
      <c r="E6044" s="113" t="str">
        <f>IF(Table1722[[#This Row],[Lawan Transaksi]]="CV AGUNG KARYA",COUNTIF($I$10:I6044,"CV AGUNG KARYA")," ")</f>
        <v xml:space="preserve"> </v>
      </c>
      <c r="F6044" s="107" t="str">
        <f>IF(LEN(Table1722[[#This Row],[Uraian]])&gt;2,TRIM(RIGHT(SUBSTITUTE(TRIM(C6044)," ",REPT(" ",255)),255))," ")</f>
        <v xml:space="preserve"> </v>
      </c>
      <c r="G6044" s="110">
        <f>COPY!Z6036</f>
        <v>0</v>
      </c>
      <c r="H6044" s="111" t="str">
        <f>IFERROR(VLOOKUP(Table1722[[#This Row],[Bukti]],'Un nOTA'!$A$4:$K$5003,10,FALSE),"")</f>
        <v/>
      </c>
      <c r="I6044" s="123" t="str">
        <f>IFERROR(VLOOKUP(Table1722[[#This Row],[Bukti]],Table13[#Data],11,FALSE),"")</f>
        <v/>
      </c>
    </row>
    <row r="6045" spans="1:9" hidden="1" x14ac:dyDescent="0.2">
      <c r="A6045" s="105" t="str">
        <f>IF(D6045=1,COUNTIF($D$10:D6045,1)," ")</f>
        <v xml:space="preserve"> </v>
      </c>
      <c r="B6045" s="106">
        <f>COPY!AR6037</f>
        <v>0</v>
      </c>
      <c r="C6045" s="107">
        <f>COPY!AC6037</f>
        <v>0</v>
      </c>
      <c r="D6045" s="107" t="str">
        <f>IF(LEN(Table1722[[#This Row],[Uraian]])&gt;2,1," ")</f>
        <v xml:space="preserve"> </v>
      </c>
      <c r="E6045" s="113" t="str">
        <f>IF(Table1722[[#This Row],[Lawan Transaksi]]="CV AGUNG KARYA",COUNTIF($I$10:I6045,"CV AGUNG KARYA")," ")</f>
        <v xml:space="preserve"> </v>
      </c>
      <c r="F6045" s="107" t="str">
        <f>IF(LEN(Table1722[[#This Row],[Uraian]])&gt;2,TRIM(RIGHT(SUBSTITUTE(TRIM(C6045)," ",REPT(" ",255)),255))," ")</f>
        <v xml:space="preserve"> </v>
      </c>
      <c r="G6045" s="110">
        <f>COPY!Z6037</f>
        <v>0</v>
      </c>
      <c r="H6045" s="111" t="str">
        <f>IFERROR(VLOOKUP(Table1722[[#This Row],[Bukti]],'Un nOTA'!$A$4:$K$5003,10,FALSE),"")</f>
        <v/>
      </c>
      <c r="I6045" s="123" t="str">
        <f>IFERROR(VLOOKUP(Table1722[[#This Row],[Bukti]],Table13[#Data],11,FALSE),"")</f>
        <v/>
      </c>
    </row>
    <row r="6046" spans="1:9" hidden="1" x14ac:dyDescent="0.2">
      <c r="A6046" s="105" t="str">
        <f>IF(D6046=1,COUNTIF($D$10:D6046,1)," ")</f>
        <v xml:space="preserve"> </v>
      </c>
      <c r="B6046" s="106">
        <f>COPY!AR6038</f>
        <v>0</v>
      </c>
      <c r="C6046" s="107">
        <f>COPY!AC6038</f>
        <v>0</v>
      </c>
      <c r="D6046" s="107" t="str">
        <f>IF(LEN(Table1722[[#This Row],[Uraian]])&gt;2,1," ")</f>
        <v xml:space="preserve"> </v>
      </c>
      <c r="E6046" s="113" t="str">
        <f>IF(Table1722[[#This Row],[Lawan Transaksi]]="CV AGUNG KARYA",COUNTIF($I$10:I6046,"CV AGUNG KARYA")," ")</f>
        <v xml:space="preserve"> </v>
      </c>
      <c r="F6046" s="107" t="str">
        <f>IF(LEN(Table1722[[#This Row],[Uraian]])&gt;2,TRIM(RIGHT(SUBSTITUTE(TRIM(C6046)," ",REPT(" ",255)),255))," ")</f>
        <v xml:space="preserve"> </v>
      </c>
      <c r="G6046" s="110">
        <f>COPY!Z6038</f>
        <v>0</v>
      </c>
      <c r="H6046" s="111" t="str">
        <f>IFERROR(VLOOKUP(Table1722[[#This Row],[Bukti]],'Un nOTA'!$A$4:$K$5003,10,FALSE),"")</f>
        <v/>
      </c>
      <c r="I6046" s="123" t="str">
        <f>IFERROR(VLOOKUP(Table1722[[#This Row],[Bukti]],Table13[#Data],11,FALSE),"")</f>
        <v/>
      </c>
    </row>
    <row r="6047" spans="1:9" hidden="1" x14ac:dyDescent="0.2">
      <c r="A6047" s="105" t="str">
        <f>IF(D6047=1,COUNTIF($D$10:D6047,1)," ")</f>
        <v xml:space="preserve"> </v>
      </c>
      <c r="B6047" s="106">
        <f>COPY!AR6039</f>
        <v>0</v>
      </c>
      <c r="C6047" s="107">
        <f>COPY!AC6039</f>
        <v>0</v>
      </c>
      <c r="D6047" s="107" t="str">
        <f>IF(LEN(Table1722[[#This Row],[Uraian]])&gt;2,1," ")</f>
        <v xml:space="preserve"> </v>
      </c>
      <c r="E6047" s="113" t="str">
        <f>IF(Table1722[[#This Row],[Lawan Transaksi]]="CV AGUNG KARYA",COUNTIF($I$10:I6047,"CV AGUNG KARYA")," ")</f>
        <v xml:space="preserve"> </v>
      </c>
      <c r="F6047" s="107" t="str">
        <f>IF(LEN(Table1722[[#This Row],[Uraian]])&gt;2,TRIM(RIGHT(SUBSTITUTE(TRIM(C6047)," ",REPT(" ",255)),255))," ")</f>
        <v xml:space="preserve"> </v>
      </c>
      <c r="G6047" s="110">
        <f>COPY!Z6039</f>
        <v>0</v>
      </c>
      <c r="H6047" s="111" t="str">
        <f>IFERROR(VLOOKUP(Table1722[[#This Row],[Bukti]],'Un nOTA'!$A$4:$K$5003,10,FALSE),"")</f>
        <v/>
      </c>
      <c r="I6047" s="123" t="str">
        <f>IFERROR(VLOOKUP(Table1722[[#This Row],[Bukti]],Table13[#Data],11,FALSE),"")</f>
        <v/>
      </c>
    </row>
    <row r="6048" spans="1:9" hidden="1" x14ac:dyDescent="0.2">
      <c r="A6048" s="105" t="str">
        <f>IF(D6048=1,COUNTIF($D$10:D6048,1)," ")</f>
        <v xml:space="preserve"> </v>
      </c>
      <c r="B6048" s="106">
        <f>COPY!AR6040</f>
        <v>0</v>
      </c>
      <c r="C6048" s="107">
        <f>COPY!AC6040</f>
        <v>0</v>
      </c>
      <c r="D6048" s="107" t="str">
        <f>IF(LEN(Table1722[[#This Row],[Uraian]])&gt;2,1," ")</f>
        <v xml:space="preserve"> </v>
      </c>
      <c r="E6048" s="113" t="str">
        <f>IF(Table1722[[#This Row],[Lawan Transaksi]]="CV AGUNG KARYA",COUNTIF($I$10:I6048,"CV AGUNG KARYA")," ")</f>
        <v xml:space="preserve"> </v>
      </c>
      <c r="F6048" s="107" t="str">
        <f>IF(LEN(Table1722[[#This Row],[Uraian]])&gt;2,TRIM(RIGHT(SUBSTITUTE(TRIM(C6048)," ",REPT(" ",255)),255))," ")</f>
        <v xml:space="preserve"> </v>
      </c>
      <c r="G6048" s="110">
        <f>COPY!Z6040</f>
        <v>0</v>
      </c>
      <c r="H6048" s="111" t="str">
        <f>IFERROR(VLOOKUP(Table1722[[#This Row],[Bukti]],'Un nOTA'!$A$4:$K$5003,10,FALSE),"")</f>
        <v/>
      </c>
      <c r="I6048" s="123" t="str">
        <f>IFERROR(VLOOKUP(Table1722[[#This Row],[Bukti]],Table13[#Data],11,FALSE),"")</f>
        <v/>
      </c>
    </row>
    <row r="6049" spans="1:9" hidden="1" x14ac:dyDescent="0.2">
      <c r="A6049" s="105" t="str">
        <f>IF(D6049=1,COUNTIF($D$10:D6049,1)," ")</f>
        <v xml:space="preserve"> </v>
      </c>
      <c r="B6049" s="106">
        <f>COPY!AR6041</f>
        <v>0</v>
      </c>
      <c r="C6049" s="107">
        <f>COPY!AC6041</f>
        <v>0</v>
      </c>
      <c r="D6049" s="107" t="str">
        <f>IF(LEN(Table1722[[#This Row],[Uraian]])&gt;2,1," ")</f>
        <v xml:space="preserve"> </v>
      </c>
      <c r="E6049" s="113" t="str">
        <f>IF(Table1722[[#This Row],[Lawan Transaksi]]="CV AGUNG KARYA",COUNTIF($I$10:I6049,"CV AGUNG KARYA")," ")</f>
        <v xml:space="preserve"> </v>
      </c>
      <c r="F6049" s="107" t="str">
        <f>IF(LEN(Table1722[[#This Row],[Uraian]])&gt;2,TRIM(RIGHT(SUBSTITUTE(TRIM(C6049)," ",REPT(" ",255)),255))," ")</f>
        <v xml:space="preserve"> </v>
      </c>
      <c r="G6049" s="110">
        <f>COPY!Z6041</f>
        <v>0</v>
      </c>
      <c r="H6049" s="111" t="str">
        <f>IFERROR(VLOOKUP(Table1722[[#This Row],[Bukti]],'Un nOTA'!$A$4:$K$5003,10,FALSE),"")</f>
        <v/>
      </c>
      <c r="I6049" s="123" t="str">
        <f>IFERROR(VLOOKUP(Table1722[[#This Row],[Bukti]],Table13[#Data],11,FALSE),"")</f>
        <v/>
      </c>
    </row>
    <row r="6050" spans="1:9" hidden="1" x14ac:dyDescent="0.2">
      <c r="A6050" s="105" t="str">
        <f>IF(D6050=1,COUNTIF($D$10:D6050,1)," ")</f>
        <v xml:space="preserve"> </v>
      </c>
      <c r="B6050" s="106">
        <f>COPY!AR6042</f>
        <v>0</v>
      </c>
      <c r="C6050" s="107">
        <f>COPY!AC6042</f>
        <v>0</v>
      </c>
      <c r="D6050" s="107" t="str">
        <f>IF(LEN(Table1722[[#This Row],[Uraian]])&gt;2,1," ")</f>
        <v xml:space="preserve"> </v>
      </c>
      <c r="E6050" s="113" t="str">
        <f>IF(Table1722[[#This Row],[Lawan Transaksi]]="CV AGUNG KARYA",COUNTIF($I$10:I6050,"CV AGUNG KARYA")," ")</f>
        <v xml:space="preserve"> </v>
      </c>
      <c r="F6050" s="107" t="str">
        <f>IF(LEN(Table1722[[#This Row],[Uraian]])&gt;2,TRIM(RIGHT(SUBSTITUTE(TRIM(C6050)," ",REPT(" ",255)),255))," ")</f>
        <v xml:space="preserve"> </v>
      </c>
      <c r="G6050" s="110">
        <f>COPY!Z6042</f>
        <v>0</v>
      </c>
      <c r="H6050" s="111" t="str">
        <f>IFERROR(VLOOKUP(Table1722[[#This Row],[Bukti]],'Un nOTA'!$A$4:$K$5003,10,FALSE),"")</f>
        <v/>
      </c>
      <c r="I6050" s="123" t="str">
        <f>IFERROR(VLOOKUP(Table1722[[#This Row],[Bukti]],Table13[#Data],11,FALSE),"")</f>
        <v/>
      </c>
    </row>
    <row r="6051" spans="1:9" hidden="1" x14ac:dyDescent="0.2">
      <c r="A6051" s="105" t="str">
        <f>IF(D6051=1,COUNTIF($D$10:D6051,1)," ")</f>
        <v xml:space="preserve"> </v>
      </c>
      <c r="B6051" s="106">
        <f>COPY!AR6043</f>
        <v>0</v>
      </c>
      <c r="C6051" s="107">
        <f>COPY!AC6043</f>
        <v>0</v>
      </c>
      <c r="D6051" s="107" t="str">
        <f>IF(LEN(Table1722[[#This Row],[Uraian]])&gt;2,1," ")</f>
        <v xml:space="preserve"> </v>
      </c>
      <c r="E6051" s="113" t="str">
        <f>IF(Table1722[[#This Row],[Lawan Transaksi]]="CV AGUNG KARYA",COUNTIF($I$10:I6051,"CV AGUNG KARYA")," ")</f>
        <v xml:space="preserve"> </v>
      </c>
      <c r="F6051" s="107" t="str">
        <f>IF(LEN(Table1722[[#This Row],[Uraian]])&gt;2,TRIM(RIGHT(SUBSTITUTE(TRIM(C6051)," ",REPT(" ",255)),255))," ")</f>
        <v xml:space="preserve"> </v>
      </c>
      <c r="G6051" s="110">
        <f>COPY!Z6043</f>
        <v>0</v>
      </c>
      <c r="H6051" s="111" t="str">
        <f>IFERROR(VLOOKUP(Table1722[[#This Row],[Bukti]],'Un nOTA'!$A$4:$K$5003,10,FALSE),"")</f>
        <v/>
      </c>
      <c r="I6051" s="123" t="str">
        <f>IFERROR(VLOOKUP(Table1722[[#This Row],[Bukti]],Table13[#Data],11,FALSE),"")</f>
        <v/>
      </c>
    </row>
    <row r="6052" spans="1:9" hidden="1" x14ac:dyDescent="0.2">
      <c r="A6052" s="105" t="str">
        <f>IF(D6052=1,COUNTIF($D$10:D6052,1)," ")</f>
        <v xml:space="preserve"> </v>
      </c>
      <c r="B6052" s="106">
        <f>COPY!AR6044</f>
        <v>0</v>
      </c>
      <c r="C6052" s="107">
        <f>COPY!AC6044</f>
        <v>0</v>
      </c>
      <c r="D6052" s="107" t="str">
        <f>IF(LEN(Table1722[[#This Row],[Uraian]])&gt;2,1," ")</f>
        <v xml:space="preserve"> </v>
      </c>
      <c r="E6052" s="113" t="str">
        <f>IF(Table1722[[#This Row],[Lawan Transaksi]]="CV AGUNG KARYA",COUNTIF($I$10:I6052,"CV AGUNG KARYA")," ")</f>
        <v xml:space="preserve"> </v>
      </c>
      <c r="F6052" s="107" t="str">
        <f>IF(LEN(Table1722[[#This Row],[Uraian]])&gt;2,TRIM(RIGHT(SUBSTITUTE(TRIM(C6052)," ",REPT(" ",255)),255))," ")</f>
        <v xml:space="preserve"> </v>
      </c>
      <c r="G6052" s="110">
        <f>COPY!Z6044</f>
        <v>0</v>
      </c>
      <c r="H6052" s="111" t="str">
        <f>IFERROR(VLOOKUP(Table1722[[#This Row],[Bukti]],'Un nOTA'!$A$4:$K$5003,10,FALSE),"")</f>
        <v/>
      </c>
      <c r="I6052" s="123" t="str">
        <f>IFERROR(VLOOKUP(Table1722[[#This Row],[Bukti]],Table13[#Data],11,FALSE),"")</f>
        <v/>
      </c>
    </row>
    <row r="6053" spans="1:9" hidden="1" x14ac:dyDescent="0.2">
      <c r="A6053" s="105" t="str">
        <f>IF(D6053=1,COUNTIF($D$10:D6053,1)," ")</f>
        <v xml:space="preserve"> </v>
      </c>
      <c r="B6053" s="106">
        <f>COPY!AR6045</f>
        <v>0</v>
      </c>
      <c r="C6053" s="107">
        <f>COPY!AC6045</f>
        <v>0</v>
      </c>
      <c r="D6053" s="107" t="str">
        <f>IF(LEN(Table1722[[#This Row],[Uraian]])&gt;2,1," ")</f>
        <v xml:space="preserve"> </v>
      </c>
      <c r="E6053" s="113" t="str">
        <f>IF(Table1722[[#This Row],[Lawan Transaksi]]="CV AGUNG KARYA",COUNTIF($I$10:I6053,"CV AGUNG KARYA")," ")</f>
        <v xml:space="preserve"> </v>
      </c>
      <c r="F6053" s="107" t="str">
        <f>IF(LEN(Table1722[[#This Row],[Uraian]])&gt;2,TRIM(RIGHT(SUBSTITUTE(TRIM(C6053)," ",REPT(" ",255)),255))," ")</f>
        <v xml:space="preserve"> </v>
      </c>
      <c r="G6053" s="110">
        <f>COPY!Z6045</f>
        <v>0</v>
      </c>
      <c r="H6053" s="111" t="str">
        <f>IFERROR(VLOOKUP(Table1722[[#This Row],[Bukti]],'Un nOTA'!$A$4:$K$5003,10,FALSE),"")</f>
        <v/>
      </c>
      <c r="I6053" s="123" t="str">
        <f>IFERROR(VLOOKUP(Table1722[[#This Row],[Bukti]],Table13[#Data],11,FALSE),"")</f>
        <v/>
      </c>
    </row>
    <row r="6054" spans="1:9" hidden="1" x14ac:dyDescent="0.2">
      <c r="A6054" s="105" t="str">
        <f>IF(D6054=1,COUNTIF($D$10:D6054,1)," ")</f>
        <v xml:space="preserve"> </v>
      </c>
      <c r="B6054" s="106">
        <f>COPY!AR6046</f>
        <v>0</v>
      </c>
      <c r="C6054" s="107">
        <f>COPY!AC6046</f>
        <v>0</v>
      </c>
      <c r="D6054" s="107" t="str">
        <f>IF(LEN(Table1722[[#This Row],[Uraian]])&gt;2,1," ")</f>
        <v xml:space="preserve"> </v>
      </c>
      <c r="E6054" s="113" t="str">
        <f>IF(Table1722[[#This Row],[Lawan Transaksi]]="CV AGUNG KARYA",COUNTIF($I$10:I6054,"CV AGUNG KARYA")," ")</f>
        <v xml:space="preserve"> </v>
      </c>
      <c r="F6054" s="107" t="str">
        <f>IF(LEN(Table1722[[#This Row],[Uraian]])&gt;2,TRIM(RIGHT(SUBSTITUTE(TRIM(C6054)," ",REPT(" ",255)),255))," ")</f>
        <v xml:space="preserve"> </v>
      </c>
      <c r="G6054" s="110">
        <f>COPY!Z6046</f>
        <v>0</v>
      </c>
      <c r="H6054" s="111" t="str">
        <f>IFERROR(VLOOKUP(Table1722[[#This Row],[Bukti]],'Un nOTA'!$A$4:$K$5003,10,FALSE),"")</f>
        <v/>
      </c>
      <c r="I6054" s="123" t="str">
        <f>IFERROR(VLOOKUP(Table1722[[#This Row],[Bukti]],Table13[#Data],11,FALSE),"")</f>
        <v/>
      </c>
    </row>
    <row r="6055" spans="1:9" hidden="1" x14ac:dyDescent="0.2">
      <c r="A6055" s="105" t="str">
        <f>IF(D6055=1,COUNTIF($D$10:D6055,1)," ")</f>
        <v xml:space="preserve"> </v>
      </c>
      <c r="B6055" s="106">
        <f>COPY!AR6047</f>
        <v>0</v>
      </c>
      <c r="C6055" s="107">
        <f>COPY!AC6047</f>
        <v>0</v>
      </c>
      <c r="D6055" s="107" t="str">
        <f>IF(LEN(Table1722[[#This Row],[Uraian]])&gt;2,1," ")</f>
        <v xml:space="preserve"> </v>
      </c>
      <c r="E6055" s="113" t="str">
        <f>IF(Table1722[[#This Row],[Lawan Transaksi]]="CV AGUNG KARYA",COUNTIF($I$10:I6055,"CV AGUNG KARYA")," ")</f>
        <v xml:space="preserve"> </v>
      </c>
      <c r="F6055" s="107" t="str">
        <f>IF(LEN(Table1722[[#This Row],[Uraian]])&gt;2,TRIM(RIGHT(SUBSTITUTE(TRIM(C6055)," ",REPT(" ",255)),255))," ")</f>
        <v xml:space="preserve"> </v>
      </c>
      <c r="G6055" s="110">
        <f>COPY!Z6047</f>
        <v>0</v>
      </c>
      <c r="H6055" s="111" t="str">
        <f>IFERROR(VLOOKUP(Table1722[[#This Row],[Bukti]],'Un nOTA'!$A$4:$K$5003,10,FALSE),"")</f>
        <v/>
      </c>
      <c r="I6055" s="123" t="str">
        <f>IFERROR(VLOOKUP(Table1722[[#This Row],[Bukti]],Table13[#Data],11,FALSE),"")</f>
        <v/>
      </c>
    </row>
    <row r="6056" spans="1:9" hidden="1" x14ac:dyDescent="0.2">
      <c r="A6056" s="105" t="str">
        <f>IF(D6056=1,COUNTIF($D$10:D6056,1)," ")</f>
        <v xml:space="preserve"> </v>
      </c>
      <c r="B6056" s="106">
        <f>COPY!AR6048</f>
        <v>0</v>
      </c>
      <c r="C6056" s="107">
        <f>COPY!AC6048</f>
        <v>0</v>
      </c>
      <c r="D6056" s="107" t="str">
        <f>IF(LEN(Table1722[[#This Row],[Uraian]])&gt;2,1," ")</f>
        <v xml:space="preserve"> </v>
      </c>
      <c r="E6056" s="113" t="str">
        <f>IF(Table1722[[#This Row],[Lawan Transaksi]]="CV AGUNG KARYA",COUNTIF($I$10:I6056,"CV AGUNG KARYA")," ")</f>
        <v xml:space="preserve"> </v>
      </c>
      <c r="F6056" s="107" t="str">
        <f>IF(LEN(Table1722[[#This Row],[Uraian]])&gt;2,TRIM(RIGHT(SUBSTITUTE(TRIM(C6056)," ",REPT(" ",255)),255))," ")</f>
        <v xml:space="preserve"> </v>
      </c>
      <c r="G6056" s="110">
        <f>COPY!Z6048</f>
        <v>0</v>
      </c>
      <c r="H6056" s="111" t="str">
        <f>IFERROR(VLOOKUP(Table1722[[#This Row],[Bukti]],'Un nOTA'!$A$4:$K$5003,10,FALSE),"")</f>
        <v/>
      </c>
      <c r="I6056" s="123" t="str">
        <f>IFERROR(VLOOKUP(Table1722[[#This Row],[Bukti]],Table13[#Data],11,FALSE),"")</f>
        <v/>
      </c>
    </row>
    <row r="6057" spans="1:9" hidden="1" x14ac:dyDescent="0.2">
      <c r="A6057" s="105" t="str">
        <f>IF(D6057=1,COUNTIF($D$10:D6057,1)," ")</f>
        <v xml:space="preserve"> </v>
      </c>
      <c r="B6057" s="106">
        <f>COPY!AR6049</f>
        <v>0</v>
      </c>
      <c r="C6057" s="107">
        <f>COPY!AC6049</f>
        <v>0</v>
      </c>
      <c r="D6057" s="107" t="str">
        <f>IF(LEN(Table1722[[#This Row],[Uraian]])&gt;2,1," ")</f>
        <v xml:space="preserve"> </v>
      </c>
      <c r="E6057" s="113" t="str">
        <f>IF(Table1722[[#This Row],[Lawan Transaksi]]="CV AGUNG KARYA",COUNTIF($I$10:I6057,"CV AGUNG KARYA")," ")</f>
        <v xml:space="preserve"> </v>
      </c>
      <c r="F6057" s="107" t="str">
        <f>IF(LEN(Table1722[[#This Row],[Uraian]])&gt;2,TRIM(RIGHT(SUBSTITUTE(TRIM(C6057)," ",REPT(" ",255)),255))," ")</f>
        <v xml:space="preserve"> </v>
      </c>
      <c r="G6057" s="110">
        <f>COPY!Z6049</f>
        <v>0</v>
      </c>
      <c r="H6057" s="111" t="str">
        <f>IFERROR(VLOOKUP(Table1722[[#This Row],[Bukti]],'Un nOTA'!$A$4:$K$5003,10,FALSE),"")</f>
        <v/>
      </c>
      <c r="I6057" s="123" t="str">
        <f>IFERROR(VLOOKUP(Table1722[[#This Row],[Bukti]],Table13[#Data],11,FALSE),"")</f>
        <v/>
      </c>
    </row>
    <row r="6058" spans="1:9" hidden="1" x14ac:dyDescent="0.2">
      <c r="A6058" s="105" t="str">
        <f>IF(D6058=1,COUNTIF($D$10:D6058,1)," ")</f>
        <v xml:space="preserve"> </v>
      </c>
      <c r="B6058" s="106">
        <f>COPY!AR6050</f>
        <v>0</v>
      </c>
      <c r="C6058" s="107">
        <f>COPY!AC6050</f>
        <v>0</v>
      </c>
      <c r="D6058" s="107" t="str">
        <f>IF(LEN(Table1722[[#This Row],[Uraian]])&gt;2,1," ")</f>
        <v xml:space="preserve"> </v>
      </c>
      <c r="E6058" s="113" t="str">
        <f>IF(Table1722[[#This Row],[Lawan Transaksi]]="CV AGUNG KARYA",COUNTIF($I$10:I6058,"CV AGUNG KARYA")," ")</f>
        <v xml:space="preserve"> </v>
      </c>
      <c r="F6058" s="107" t="str">
        <f>IF(LEN(Table1722[[#This Row],[Uraian]])&gt;2,TRIM(RIGHT(SUBSTITUTE(TRIM(C6058)," ",REPT(" ",255)),255))," ")</f>
        <v xml:space="preserve"> </v>
      </c>
      <c r="G6058" s="110">
        <f>COPY!Z6050</f>
        <v>0</v>
      </c>
      <c r="H6058" s="111" t="str">
        <f>IFERROR(VLOOKUP(Table1722[[#This Row],[Bukti]],'Un nOTA'!$A$4:$K$5003,10,FALSE),"")</f>
        <v/>
      </c>
      <c r="I6058" s="123" t="str">
        <f>IFERROR(VLOOKUP(Table1722[[#This Row],[Bukti]],Table13[#Data],11,FALSE),"")</f>
        <v/>
      </c>
    </row>
    <row r="6059" spans="1:9" hidden="1" x14ac:dyDescent="0.2">
      <c r="A6059" s="105" t="str">
        <f>IF(D6059=1,COUNTIF($D$10:D6059,1)," ")</f>
        <v xml:space="preserve"> </v>
      </c>
      <c r="B6059" s="106">
        <f>COPY!AR6051</f>
        <v>0</v>
      </c>
      <c r="C6059" s="107">
        <f>COPY!AC6051</f>
        <v>0</v>
      </c>
      <c r="D6059" s="107" t="str">
        <f>IF(LEN(Table1722[[#This Row],[Uraian]])&gt;2,1," ")</f>
        <v xml:space="preserve"> </v>
      </c>
      <c r="E6059" s="113" t="str">
        <f>IF(Table1722[[#This Row],[Lawan Transaksi]]="CV AGUNG KARYA",COUNTIF($I$10:I6059,"CV AGUNG KARYA")," ")</f>
        <v xml:space="preserve"> </v>
      </c>
      <c r="F6059" s="107" t="str">
        <f>IF(LEN(Table1722[[#This Row],[Uraian]])&gt;2,TRIM(RIGHT(SUBSTITUTE(TRIM(C6059)," ",REPT(" ",255)),255))," ")</f>
        <v xml:space="preserve"> </v>
      </c>
      <c r="G6059" s="110">
        <f>COPY!Z6051</f>
        <v>0</v>
      </c>
      <c r="H6059" s="111" t="str">
        <f>IFERROR(VLOOKUP(Table1722[[#This Row],[Bukti]],'Un nOTA'!$A$4:$K$5003,10,FALSE),"")</f>
        <v/>
      </c>
      <c r="I6059" s="123" t="str">
        <f>IFERROR(VLOOKUP(Table1722[[#This Row],[Bukti]],Table13[#Data],11,FALSE),"")</f>
        <v/>
      </c>
    </row>
    <row r="6060" spans="1:9" hidden="1" x14ac:dyDescent="0.2">
      <c r="A6060" s="105" t="str">
        <f>IF(D6060=1,COUNTIF($D$10:D6060,1)," ")</f>
        <v xml:space="preserve"> </v>
      </c>
      <c r="B6060" s="106">
        <f>COPY!AR6052</f>
        <v>0</v>
      </c>
      <c r="C6060" s="107">
        <f>COPY!AC6052</f>
        <v>0</v>
      </c>
      <c r="D6060" s="107" t="str">
        <f>IF(LEN(Table1722[[#This Row],[Uraian]])&gt;2,1," ")</f>
        <v xml:space="preserve"> </v>
      </c>
      <c r="E6060" s="113" t="str">
        <f>IF(Table1722[[#This Row],[Lawan Transaksi]]="CV AGUNG KARYA",COUNTIF($I$10:I6060,"CV AGUNG KARYA")," ")</f>
        <v xml:space="preserve"> </v>
      </c>
      <c r="F6060" s="107" t="str">
        <f>IF(LEN(Table1722[[#This Row],[Uraian]])&gt;2,TRIM(RIGHT(SUBSTITUTE(TRIM(C6060)," ",REPT(" ",255)),255))," ")</f>
        <v xml:space="preserve"> </v>
      </c>
      <c r="G6060" s="110">
        <f>COPY!Z6052</f>
        <v>0</v>
      </c>
      <c r="H6060" s="111" t="str">
        <f>IFERROR(VLOOKUP(Table1722[[#This Row],[Bukti]],'Un nOTA'!$A$4:$K$5003,10,FALSE),"")</f>
        <v/>
      </c>
      <c r="I6060" s="123" t="str">
        <f>IFERROR(VLOOKUP(Table1722[[#This Row],[Bukti]],Table13[#Data],11,FALSE),"")</f>
        <v/>
      </c>
    </row>
    <row r="6061" spans="1:9" hidden="1" x14ac:dyDescent="0.2">
      <c r="A6061" s="105" t="str">
        <f>IF(D6061=1,COUNTIF($D$10:D6061,1)," ")</f>
        <v xml:space="preserve"> </v>
      </c>
      <c r="B6061" s="106">
        <f>COPY!AR6053</f>
        <v>0</v>
      </c>
      <c r="C6061" s="107">
        <f>COPY!AC6053</f>
        <v>0</v>
      </c>
      <c r="D6061" s="107" t="str">
        <f>IF(LEN(Table1722[[#This Row],[Uraian]])&gt;2,1," ")</f>
        <v xml:space="preserve"> </v>
      </c>
      <c r="E6061" s="113" t="str">
        <f>IF(Table1722[[#This Row],[Lawan Transaksi]]="CV AGUNG KARYA",COUNTIF($I$10:I6061,"CV AGUNG KARYA")," ")</f>
        <v xml:space="preserve"> </v>
      </c>
      <c r="F6061" s="107" t="str">
        <f>IF(LEN(Table1722[[#This Row],[Uraian]])&gt;2,TRIM(RIGHT(SUBSTITUTE(TRIM(C6061)," ",REPT(" ",255)),255))," ")</f>
        <v xml:space="preserve"> </v>
      </c>
      <c r="G6061" s="110">
        <f>COPY!Z6053</f>
        <v>0</v>
      </c>
      <c r="H6061" s="111" t="str">
        <f>IFERROR(VLOOKUP(Table1722[[#This Row],[Bukti]],'Un nOTA'!$A$4:$K$5003,10,FALSE),"")</f>
        <v/>
      </c>
      <c r="I6061" s="123" t="str">
        <f>IFERROR(VLOOKUP(Table1722[[#This Row],[Bukti]],Table13[#Data],11,FALSE),"")</f>
        <v/>
      </c>
    </row>
    <row r="6062" spans="1:9" hidden="1" x14ac:dyDescent="0.2">
      <c r="A6062" s="105" t="str">
        <f>IF(D6062=1,COUNTIF($D$10:D6062,1)," ")</f>
        <v xml:space="preserve"> </v>
      </c>
      <c r="B6062" s="106">
        <f>COPY!AR6054</f>
        <v>0</v>
      </c>
      <c r="C6062" s="107">
        <f>COPY!AC6054</f>
        <v>0</v>
      </c>
      <c r="D6062" s="107" t="str">
        <f>IF(LEN(Table1722[[#This Row],[Uraian]])&gt;2,1," ")</f>
        <v xml:space="preserve"> </v>
      </c>
      <c r="E6062" s="113" t="str">
        <f>IF(Table1722[[#This Row],[Lawan Transaksi]]="CV AGUNG KARYA",COUNTIF($I$10:I6062,"CV AGUNG KARYA")," ")</f>
        <v xml:space="preserve"> </v>
      </c>
      <c r="F6062" s="107" t="str">
        <f>IF(LEN(Table1722[[#This Row],[Uraian]])&gt;2,TRIM(RIGHT(SUBSTITUTE(TRIM(C6062)," ",REPT(" ",255)),255))," ")</f>
        <v xml:space="preserve"> </v>
      </c>
      <c r="G6062" s="110">
        <f>COPY!Z6054</f>
        <v>0</v>
      </c>
      <c r="H6062" s="111" t="str">
        <f>IFERROR(VLOOKUP(Table1722[[#This Row],[Bukti]],'Un nOTA'!$A$4:$K$5003,10,FALSE),"")</f>
        <v/>
      </c>
      <c r="I6062" s="123" t="str">
        <f>IFERROR(VLOOKUP(Table1722[[#This Row],[Bukti]],Table13[#Data],11,FALSE),"")</f>
        <v/>
      </c>
    </row>
    <row r="6063" spans="1:9" hidden="1" x14ac:dyDescent="0.2">
      <c r="A6063" s="105" t="str">
        <f>IF(D6063=1,COUNTIF($D$10:D6063,1)," ")</f>
        <v xml:space="preserve"> </v>
      </c>
      <c r="B6063" s="106">
        <f>COPY!AR6055</f>
        <v>0</v>
      </c>
      <c r="C6063" s="107">
        <f>COPY!AC6055</f>
        <v>0</v>
      </c>
      <c r="D6063" s="107" t="str">
        <f>IF(LEN(Table1722[[#This Row],[Uraian]])&gt;2,1," ")</f>
        <v xml:space="preserve"> </v>
      </c>
      <c r="E6063" s="113" t="str">
        <f>IF(Table1722[[#This Row],[Lawan Transaksi]]="CV AGUNG KARYA",COUNTIF($I$10:I6063,"CV AGUNG KARYA")," ")</f>
        <v xml:space="preserve"> </v>
      </c>
      <c r="F6063" s="107" t="str">
        <f>IF(LEN(Table1722[[#This Row],[Uraian]])&gt;2,TRIM(RIGHT(SUBSTITUTE(TRIM(C6063)," ",REPT(" ",255)),255))," ")</f>
        <v xml:space="preserve"> </v>
      </c>
      <c r="G6063" s="110">
        <f>COPY!Z6055</f>
        <v>0</v>
      </c>
      <c r="H6063" s="111" t="str">
        <f>IFERROR(VLOOKUP(Table1722[[#This Row],[Bukti]],'Un nOTA'!$A$4:$K$5003,10,FALSE),"")</f>
        <v/>
      </c>
      <c r="I6063" s="123" t="str">
        <f>IFERROR(VLOOKUP(Table1722[[#This Row],[Bukti]],Table13[#Data],11,FALSE),"")</f>
        <v/>
      </c>
    </row>
    <row r="6064" spans="1:9" hidden="1" x14ac:dyDescent="0.2">
      <c r="A6064" s="105" t="str">
        <f>IF(D6064=1,COUNTIF($D$10:D6064,1)," ")</f>
        <v xml:space="preserve"> </v>
      </c>
      <c r="B6064" s="106">
        <f>COPY!AR6056</f>
        <v>0</v>
      </c>
      <c r="C6064" s="107">
        <f>COPY!AC6056</f>
        <v>0</v>
      </c>
      <c r="D6064" s="107" t="str">
        <f>IF(LEN(Table1722[[#This Row],[Uraian]])&gt;2,1," ")</f>
        <v xml:space="preserve"> </v>
      </c>
      <c r="E6064" s="113" t="str">
        <f>IF(Table1722[[#This Row],[Lawan Transaksi]]="CV AGUNG KARYA",COUNTIF($I$10:I6064,"CV AGUNG KARYA")," ")</f>
        <v xml:space="preserve"> </v>
      </c>
      <c r="F6064" s="107" t="str">
        <f>IF(LEN(Table1722[[#This Row],[Uraian]])&gt;2,TRIM(RIGHT(SUBSTITUTE(TRIM(C6064)," ",REPT(" ",255)),255))," ")</f>
        <v xml:space="preserve"> </v>
      </c>
      <c r="G6064" s="110">
        <f>COPY!Z6056</f>
        <v>0</v>
      </c>
      <c r="H6064" s="111" t="str">
        <f>IFERROR(VLOOKUP(Table1722[[#This Row],[Bukti]],'Un nOTA'!$A$4:$K$5003,10,FALSE),"")</f>
        <v/>
      </c>
      <c r="I6064" s="123" t="str">
        <f>IFERROR(VLOOKUP(Table1722[[#This Row],[Bukti]],Table13[#Data],11,FALSE),"")</f>
        <v/>
      </c>
    </row>
    <row r="6065" spans="1:9" hidden="1" x14ac:dyDescent="0.2">
      <c r="A6065" s="105" t="str">
        <f>IF(D6065=1,COUNTIF($D$10:D6065,1)," ")</f>
        <v xml:space="preserve"> </v>
      </c>
      <c r="B6065" s="106">
        <f>COPY!AR6057</f>
        <v>0</v>
      </c>
      <c r="C6065" s="107">
        <f>COPY!AC6057</f>
        <v>0</v>
      </c>
      <c r="D6065" s="107" t="str">
        <f>IF(LEN(Table1722[[#This Row],[Uraian]])&gt;2,1," ")</f>
        <v xml:space="preserve"> </v>
      </c>
      <c r="E6065" s="113" t="str">
        <f>IF(Table1722[[#This Row],[Lawan Transaksi]]="CV AGUNG KARYA",COUNTIF($I$10:I6065,"CV AGUNG KARYA")," ")</f>
        <v xml:space="preserve"> </v>
      </c>
      <c r="F6065" s="107" t="str">
        <f>IF(LEN(Table1722[[#This Row],[Uraian]])&gt;2,TRIM(RIGHT(SUBSTITUTE(TRIM(C6065)," ",REPT(" ",255)),255))," ")</f>
        <v xml:space="preserve"> </v>
      </c>
      <c r="G6065" s="110">
        <f>COPY!Z6057</f>
        <v>0</v>
      </c>
      <c r="H6065" s="111" t="str">
        <f>IFERROR(VLOOKUP(Table1722[[#This Row],[Bukti]],'Un nOTA'!$A$4:$K$5003,10,FALSE),"")</f>
        <v/>
      </c>
      <c r="I6065" s="123" t="str">
        <f>IFERROR(VLOOKUP(Table1722[[#This Row],[Bukti]],Table13[#Data],11,FALSE),"")</f>
        <v/>
      </c>
    </row>
    <row r="6066" spans="1:9" hidden="1" x14ac:dyDescent="0.2">
      <c r="A6066" s="105" t="str">
        <f>IF(D6066=1,COUNTIF($D$10:D6066,1)," ")</f>
        <v xml:space="preserve"> </v>
      </c>
      <c r="B6066" s="106">
        <f>COPY!AR6058</f>
        <v>0</v>
      </c>
      <c r="C6066" s="107">
        <f>COPY!AC6058</f>
        <v>0</v>
      </c>
      <c r="D6066" s="107" t="str">
        <f>IF(LEN(Table1722[[#This Row],[Uraian]])&gt;2,1," ")</f>
        <v xml:space="preserve"> </v>
      </c>
      <c r="E6066" s="113" t="str">
        <f>IF(Table1722[[#This Row],[Lawan Transaksi]]="CV AGUNG KARYA",COUNTIF($I$10:I6066,"CV AGUNG KARYA")," ")</f>
        <v xml:space="preserve"> </v>
      </c>
      <c r="F6066" s="107" t="str">
        <f>IF(LEN(Table1722[[#This Row],[Uraian]])&gt;2,TRIM(RIGHT(SUBSTITUTE(TRIM(C6066)," ",REPT(" ",255)),255))," ")</f>
        <v xml:space="preserve"> </v>
      </c>
      <c r="G6066" s="110">
        <f>COPY!Z6058</f>
        <v>0</v>
      </c>
      <c r="H6066" s="111" t="str">
        <f>IFERROR(VLOOKUP(Table1722[[#This Row],[Bukti]],'Un nOTA'!$A$4:$K$5003,10,FALSE),"")</f>
        <v/>
      </c>
      <c r="I6066" s="123" t="str">
        <f>IFERROR(VLOOKUP(Table1722[[#This Row],[Bukti]],Table13[#Data],11,FALSE),"")</f>
        <v/>
      </c>
    </row>
    <row r="6067" spans="1:9" hidden="1" x14ac:dyDescent="0.2">
      <c r="A6067" s="105" t="str">
        <f>IF(D6067=1,COUNTIF($D$10:D6067,1)," ")</f>
        <v xml:space="preserve"> </v>
      </c>
      <c r="B6067" s="106">
        <f>COPY!AR6059</f>
        <v>0</v>
      </c>
      <c r="C6067" s="107">
        <f>COPY!AC6059</f>
        <v>0</v>
      </c>
      <c r="D6067" s="107" t="str">
        <f>IF(LEN(Table1722[[#This Row],[Uraian]])&gt;2,1," ")</f>
        <v xml:space="preserve"> </v>
      </c>
      <c r="E6067" s="113" t="str">
        <f>IF(Table1722[[#This Row],[Lawan Transaksi]]="CV AGUNG KARYA",COUNTIF($I$10:I6067,"CV AGUNG KARYA")," ")</f>
        <v xml:space="preserve"> </v>
      </c>
      <c r="F6067" s="107" t="str">
        <f>IF(LEN(Table1722[[#This Row],[Uraian]])&gt;2,TRIM(RIGHT(SUBSTITUTE(TRIM(C6067)," ",REPT(" ",255)),255))," ")</f>
        <v xml:space="preserve"> </v>
      </c>
      <c r="G6067" s="110">
        <f>COPY!Z6059</f>
        <v>0</v>
      </c>
      <c r="H6067" s="111" t="str">
        <f>IFERROR(VLOOKUP(Table1722[[#This Row],[Bukti]],'Un nOTA'!$A$4:$K$5003,10,FALSE),"")</f>
        <v/>
      </c>
      <c r="I6067" s="123" t="str">
        <f>IFERROR(VLOOKUP(Table1722[[#This Row],[Bukti]],Table13[#Data],11,FALSE),"")</f>
        <v/>
      </c>
    </row>
    <row r="6068" spans="1:9" hidden="1" x14ac:dyDescent="0.2">
      <c r="A6068" s="105" t="str">
        <f>IF(D6068=1,COUNTIF($D$10:D6068,1)," ")</f>
        <v xml:space="preserve"> </v>
      </c>
      <c r="B6068" s="106">
        <f>COPY!AR6060</f>
        <v>0</v>
      </c>
      <c r="C6068" s="107">
        <f>COPY!AC6060</f>
        <v>0</v>
      </c>
      <c r="D6068" s="107" t="str">
        <f>IF(LEN(Table1722[[#This Row],[Uraian]])&gt;2,1," ")</f>
        <v xml:space="preserve"> </v>
      </c>
      <c r="E6068" s="113" t="str">
        <f>IF(Table1722[[#This Row],[Lawan Transaksi]]="CV AGUNG KARYA",COUNTIF($I$10:I6068,"CV AGUNG KARYA")," ")</f>
        <v xml:space="preserve"> </v>
      </c>
      <c r="F6068" s="107" t="str">
        <f>IF(LEN(Table1722[[#This Row],[Uraian]])&gt;2,TRIM(RIGHT(SUBSTITUTE(TRIM(C6068)," ",REPT(" ",255)),255))," ")</f>
        <v xml:space="preserve"> </v>
      </c>
      <c r="G6068" s="110">
        <f>COPY!Z6060</f>
        <v>0</v>
      </c>
      <c r="H6068" s="111" t="str">
        <f>IFERROR(VLOOKUP(Table1722[[#This Row],[Bukti]],'Un nOTA'!$A$4:$K$5003,10,FALSE),"")</f>
        <v/>
      </c>
      <c r="I6068" s="123" t="str">
        <f>IFERROR(VLOOKUP(Table1722[[#This Row],[Bukti]],Table13[#Data],11,FALSE),"")</f>
        <v/>
      </c>
    </row>
    <row r="6069" spans="1:9" hidden="1" x14ac:dyDescent="0.2">
      <c r="A6069" s="105" t="str">
        <f>IF(D6069=1,COUNTIF($D$10:D6069,1)," ")</f>
        <v xml:space="preserve"> </v>
      </c>
      <c r="B6069" s="106">
        <f>COPY!AR6061</f>
        <v>0</v>
      </c>
      <c r="C6069" s="107">
        <f>COPY!AC6061</f>
        <v>0</v>
      </c>
      <c r="D6069" s="107" t="str">
        <f>IF(LEN(Table1722[[#This Row],[Uraian]])&gt;2,1," ")</f>
        <v xml:space="preserve"> </v>
      </c>
      <c r="E6069" s="113" t="str">
        <f>IF(Table1722[[#This Row],[Lawan Transaksi]]="CV AGUNG KARYA",COUNTIF($I$10:I6069,"CV AGUNG KARYA")," ")</f>
        <v xml:space="preserve"> </v>
      </c>
      <c r="F6069" s="107" t="str">
        <f>IF(LEN(Table1722[[#This Row],[Uraian]])&gt;2,TRIM(RIGHT(SUBSTITUTE(TRIM(C6069)," ",REPT(" ",255)),255))," ")</f>
        <v xml:space="preserve"> </v>
      </c>
      <c r="G6069" s="110">
        <f>COPY!Z6061</f>
        <v>0</v>
      </c>
      <c r="H6069" s="111" t="str">
        <f>IFERROR(VLOOKUP(Table1722[[#This Row],[Bukti]],'Un nOTA'!$A$4:$K$5003,10,FALSE),"")</f>
        <v/>
      </c>
      <c r="I6069" s="123" t="str">
        <f>IFERROR(VLOOKUP(Table1722[[#This Row],[Bukti]],Table13[#Data],11,FALSE),"")</f>
        <v/>
      </c>
    </row>
    <row r="6070" spans="1:9" hidden="1" x14ac:dyDescent="0.2">
      <c r="A6070" s="105" t="str">
        <f>IF(D6070=1,COUNTIF($D$10:D6070,1)," ")</f>
        <v xml:space="preserve"> </v>
      </c>
      <c r="B6070" s="106">
        <f>COPY!AR6062</f>
        <v>0</v>
      </c>
      <c r="C6070" s="107">
        <f>COPY!AC6062</f>
        <v>0</v>
      </c>
      <c r="D6070" s="107" t="str">
        <f>IF(LEN(Table1722[[#This Row],[Uraian]])&gt;2,1," ")</f>
        <v xml:space="preserve"> </v>
      </c>
      <c r="E6070" s="113" t="str">
        <f>IF(Table1722[[#This Row],[Lawan Transaksi]]="CV AGUNG KARYA",COUNTIF($I$10:I6070,"CV AGUNG KARYA")," ")</f>
        <v xml:space="preserve"> </v>
      </c>
      <c r="F6070" s="107" t="str">
        <f>IF(LEN(Table1722[[#This Row],[Uraian]])&gt;2,TRIM(RIGHT(SUBSTITUTE(TRIM(C6070)," ",REPT(" ",255)),255))," ")</f>
        <v xml:space="preserve"> </v>
      </c>
      <c r="G6070" s="110">
        <f>COPY!Z6062</f>
        <v>0</v>
      </c>
      <c r="H6070" s="111" t="str">
        <f>IFERROR(VLOOKUP(Table1722[[#This Row],[Bukti]],'Un nOTA'!$A$4:$K$5003,10,FALSE),"")</f>
        <v/>
      </c>
      <c r="I6070" s="123" t="str">
        <f>IFERROR(VLOOKUP(Table1722[[#This Row],[Bukti]],Table13[#Data],11,FALSE),"")</f>
        <v/>
      </c>
    </row>
    <row r="6071" spans="1:9" hidden="1" x14ac:dyDescent="0.2">
      <c r="A6071" s="105" t="str">
        <f>IF(D6071=1,COUNTIF($D$10:D6071,1)," ")</f>
        <v xml:space="preserve"> </v>
      </c>
      <c r="B6071" s="106">
        <f>COPY!AR6063</f>
        <v>0</v>
      </c>
      <c r="C6071" s="107">
        <f>COPY!AC6063</f>
        <v>0</v>
      </c>
      <c r="D6071" s="107" t="str">
        <f>IF(LEN(Table1722[[#This Row],[Uraian]])&gt;2,1," ")</f>
        <v xml:space="preserve"> </v>
      </c>
      <c r="E6071" s="113" t="str">
        <f>IF(Table1722[[#This Row],[Lawan Transaksi]]="CV AGUNG KARYA",COUNTIF($I$10:I6071,"CV AGUNG KARYA")," ")</f>
        <v xml:space="preserve"> </v>
      </c>
      <c r="F6071" s="107" t="str">
        <f>IF(LEN(Table1722[[#This Row],[Uraian]])&gt;2,TRIM(RIGHT(SUBSTITUTE(TRIM(C6071)," ",REPT(" ",255)),255))," ")</f>
        <v xml:space="preserve"> </v>
      </c>
      <c r="G6071" s="110">
        <f>COPY!Z6063</f>
        <v>0</v>
      </c>
      <c r="H6071" s="111" t="str">
        <f>IFERROR(VLOOKUP(Table1722[[#This Row],[Bukti]],'Un nOTA'!$A$4:$K$5003,10,FALSE),"")</f>
        <v/>
      </c>
      <c r="I6071" s="123" t="str">
        <f>IFERROR(VLOOKUP(Table1722[[#This Row],[Bukti]],Table13[#Data],11,FALSE),"")</f>
        <v/>
      </c>
    </row>
    <row r="6072" spans="1:9" hidden="1" x14ac:dyDescent="0.2">
      <c r="A6072" s="105" t="str">
        <f>IF(D6072=1,COUNTIF($D$10:D6072,1)," ")</f>
        <v xml:space="preserve"> </v>
      </c>
      <c r="B6072" s="106">
        <f>COPY!AR6064</f>
        <v>0</v>
      </c>
      <c r="C6072" s="107">
        <f>COPY!AC6064</f>
        <v>0</v>
      </c>
      <c r="D6072" s="107" t="str">
        <f>IF(LEN(Table1722[[#This Row],[Uraian]])&gt;2,1," ")</f>
        <v xml:space="preserve"> </v>
      </c>
      <c r="E6072" s="113" t="str">
        <f>IF(Table1722[[#This Row],[Lawan Transaksi]]="CV AGUNG KARYA",COUNTIF($I$10:I6072,"CV AGUNG KARYA")," ")</f>
        <v xml:space="preserve"> </v>
      </c>
      <c r="F6072" s="107" t="str">
        <f>IF(LEN(Table1722[[#This Row],[Uraian]])&gt;2,TRIM(RIGHT(SUBSTITUTE(TRIM(C6072)," ",REPT(" ",255)),255))," ")</f>
        <v xml:space="preserve"> </v>
      </c>
      <c r="G6072" s="110">
        <f>COPY!Z6064</f>
        <v>0</v>
      </c>
      <c r="H6072" s="111" t="str">
        <f>IFERROR(VLOOKUP(Table1722[[#This Row],[Bukti]],'Un nOTA'!$A$4:$K$5003,10,FALSE),"")</f>
        <v/>
      </c>
      <c r="I6072" s="123" t="str">
        <f>IFERROR(VLOOKUP(Table1722[[#This Row],[Bukti]],Table13[#Data],11,FALSE),"")</f>
        <v/>
      </c>
    </row>
    <row r="6073" spans="1:9" hidden="1" x14ac:dyDescent="0.2">
      <c r="A6073" s="105" t="str">
        <f>IF(D6073=1,COUNTIF($D$10:D6073,1)," ")</f>
        <v xml:space="preserve"> </v>
      </c>
      <c r="B6073" s="106">
        <f>COPY!AR6065</f>
        <v>0</v>
      </c>
      <c r="C6073" s="107">
        <f>COPY!AC6065</f>
        <v>0</v>
      </c>
      <c r="D6073" s="107" t="str">
        <f>IF(LEN(Table1722[[#This Row],[Uraian]])&gt;2,1," ")</f>
        <v xml:space="preserve"> </v>
      </c>
      <c r="E6073" s="113" t="str">
        <f>IF(Table1722[[#This Row],[Lawan Transaksi]]="CV AGUNG KARYA",COUNTIF($I$10:I6073,"CV AGUNG KARYA")," ")</f>
        <v xml:space="preserve"> </v>
      </c>
      <c r="F6073" s="107" t="str">
        <f>IF(LEN(Table1722[[#This Row],[Uraian]])&gt;2,TRIM(RIGHT(SUBSTITUTE(TRIM(C6073)," ",REPT(" ",255)),255))," ")</f>
        <v xml:space="preserve"> </v>
      </c>
      <c r="G6073" s="110">
        <f>COPY!Z6065</f>
        <v>0</v>
      </c>
      <c r="H6073" s="111" t="str">
        <f>IFERROR(VLOOKUP(Table1722[[#This Row],[Bukti]],'Un nOTA'!$A$4:$K$5003,10,FALSE),"")</f>
        <v/>
      </c>
      <c r="I6073" s="123" t="str">
        <f>IFERROR(VLOOKUP(Table1722[[#This Row],[Bukti]],Table13[#Data],11,FALSE),"")</f>
        <v/>
      </c>
    </row>
    <row r="6074" spans="1:9" hidden="1" x14ac:dyDescent="0.2">
      <c r="A6074" s="105" t="str">
        <f>IF(D6074=1,COUNTIF($D$10:D6074,1)," ")</f>
        <v xml:space="preserve"> </v>
      </c>
      <c r="B6074" s="106">
        <f>COPY!AR6066</f>
        <v>0</v>
      </c>
      <c r="C6074" s="107">
        <f>COPY!AC6066</f>
        <v>0</v>
      </c>
      <c r="D6074" s="107" t="str">
        <f>IF(LEN(Table1722[[#This Row],[Uraian]])&gt;2,1," ")</f>
        <v xml:space="preserve"> </v>
      </c>
      <c r="E6074" s="113" t="str">
        <f>IF(Table1722[[#This Row],[Lawan Transaksi]]="CV AGUNG KARYA",COUNTIF($I$10:I6074,"CV AGUNG KARYA")," ")</f>
        <v xml:space="preserve"> </v>
      </c>
      <c r="F6074" s="107" t="str">
        <f>IF(LEN(Table1722[[#This Row],[Uraian]])&gt;2,TRIM(RIGHT(SUBSTITUTE(TRIM(C6074)," ",REPT(" ",255)),255))," ")</f>
        <v xml:space="preserve"> </v>
      </c>
      <c r="G6074" s="110">
        <f>COPY!Z6066</f>
        <v>0</v>
      </c>
      <c r="H6074" s="111" t="str">
        <f>IFERROR(VLOOKUP(Table1722[[#This Row],[Bukti]],'Un nOTA'!$A$4:$K$5003,10,FALSE),"")</f>
        <v/>
      </c>
      <c r="I6074" s="123" t="str">
        <f>IFERROR(VLOOKUP(Table1722[[#This Row],[Bukti]],Table13[#Data],11,FALSE),"")</f>
        <v/>
      </c>
    </row>
    <row r="6075" spans="1:9" hidden="1" x14ac:dyDescent="0.2">
      <c r="A6075" s="105" t="str">
        <f>IF(D6075=1,COUNTIF($D$10:D6075,1)," ")</f>
        <v xml:space="preserve"> </v>
      </c>
      <c r="B6075" s="106">
        <f>COPY!AR6067</f>
        <v>0</v>
      </c>
      <c r="C6075" s="107">
        <f>COPY!AC6067</f>
        <v>0</v>
      </c>
      <c r="D6075" s="107" t="str">
        <f>IF(LEN(Table1722[[#This Row],[Uraian]])&gt;2,1," ")</f>
        <v xml:space="preserve"> </v>
      </c>
      <c r="E6075" s="113" t="str">
        <f>IF(Table1722[[#This Row],[Lawan Transaksi]]="CV AGUNG KARYA",COUNTIF($I$10:I6075,"CV AGUNG KARYA")," ")</f>
        <v xml:space="preserve"> </v>
      </c>
      <c r="F6075" s="107" t="str">
        <f>IF(LEN(Table1722[[#This Row],[Uraian]])&gt;2,TRIM(RIGHT(SUBSTITUTE(TRIM(C6075)," ",REPT(" ",255)),255))," ")</f>
        <v xml:space="preserve"> </v>
      </c>
      <c r="G6075" s="110">
        <f>COPY!Z6067</f>
        <v>0</v>
      </c>
      <c r="H6075" s="111" t="str">
        <f>IFERROR(VLOOKUP(Table1722[[#This Row],[Bukti]],'Un nOTA'!$A$4:$K$5003,10,FALSE),"")</f>
        <v/>
      </c>
      <c r="I6075" s="123" t="str">
        <f>IFERROR(VLOOKUP(Table1722[[#This Row],[Bukti]],Table13[#Data],11,FALSE),"")</f>
        <v/>
      </c>
    </row>
    <row r="6076" spans="1:9" hidden="1" x14ac:dyDescent="0.2">
      <c r="A6076" s="105" t="str">
        <f>IF(D6076=1,COUNTIF($D$10:D6076,1)," ")</f>
        <v xml:space="preserve"> </v>
      </c>
      <c r="B6076" s="106">
        <f>COPY!AR6068</f>
        <v>0</v>
      </c>
      <c r="C6076" s="107">
        <f>COPY!AC6068</f>
        <v>0</v>
      </c>
      <c r="D6076" s="107" t="str">
        <f>IF(LEN(Table1722[[#This Row],[Uraian]])&gt;2,1," ")</f>
        <v xml:space="preserve"> </v>
      </c>
      <c r="E6076" s="113" t="str">
        <f>IF(Table1722[[#This Row],[Lawan Transaksi]]="CV AGUNG KARYA",COUNTIF($I$10:I6076,"CV AGUNG KARYA")," ")</f>
        <v xml:space="preserve"> </v>
      </c>
      <c r="F6076" s="107" t="str">
        <f>IF(LEN(Table1722[[#This Row],[Uraian]])&gt;2,TRIM(RIGHT(SUBSTITUTE(TRIM(C6076)," ",REPT(" ",255)),255))," ")</f>
        <v xml:space="preserve"> </v>
      </c>
      <c r="G6076" s="110">
        <f>COPY!Z6068</f>
        <v>0</v>
      </c>
      <c r="H6076" s="111" t="str">
        <f>IFERROR(VLOOKUP(Table1722[[#This Row],[Bukti]],'Un nOTA'!$A$4:$K$5003,10,FALSE),"")</f>
        <v/>
      </c>
      <c r="I6076" s="123" t="str">
        <f>IFERROR(VLOOKUP(Table1722[[#This Row],[Bukti]],Table13[#Data],11,FALSE),"")</f>
        <v/>
      </c>
    </row>
    <row r="6077" spans="1:9" hidden="1" x14ac:dyDescent="0.2">
      <c r="A6077" s="105" t="str">
        <f>IF(D6077=1,COUNTIF($D$10:D6077,1)," ")</f>
        <v xml:space="preserve"> </v>
      </c>
      <c r="B6077" s="106">
        <f>COPY!AR6069</f>
        <v>0</v>
      </c>
      <c r="C6077" s="107">
        <f>COPY!AC6069</f>
        <v>0</v>
      </c>
      <c r="D6077" s="107" t="str">
        <f>IF(LEN(Table1722[[#This Row],[Uraian]])&gt;2,1," ")</f>
        <v xml:space="preserve"> </v>
      </c>
      <c r="E6077" s="113" t="str">
        <f>IF(Table1722[[#This Row],[Lawan Transaksi]]="CV AGUNG KARYA",COUNTIF($I$10:I6077,"CV AGUNG KARYA")," ")</f>
        <v xml:space="preserve"> </v>
      </c>
      <c r="F6077" s="107" t="str">
        <f>IF(LEN(Table1722[[#This Row],[Uraian]])&gt;2,TRIM(RIGHT(SUBSTITUTE(TRIM(C6077)," ",REPT(" ",255)),255))," ")</f>
        <v xml:space="preserve"> </v>
      </c>
      <c r="G6077" s="110">
        <f>COPY!Z6069</f>
        <v>0</v>
      </c>
      <c r="H6077" s="111" t="str">
        <f>IFERROR(VLOOKUP(Table1722[[#This Row],[Bukti]],'Un nOTA'!$A$4:$K$5003,10,FALSE),"")</f>
        <v/>
      </c>
      <c r="I6077" s="123" t="str">
        <f>IFERROR(VLOOKUP(Table1722[[#This Row],[Bukti]],Table13[#Data],11,FALSE),"")</f>
        <v/>
      </c>
    </row>
    <row r="6078" spans="1:9" hidden="1" x14ac:dyDescent="0.2">
      <c r="A6078" s="105" t="str">
        <f>IF(D6078=1,COUNTIF($D$10:D6078,1)," ")</f>
        <v xml:space="preserve"> </v>
      </c>
      <c r="B6078" s="106">
        <f>COPY!AR6070</f>
        <v>0</v>
      </c>
      <c r="C6078" s="107">
        <f>COPY!AC6070</f>
        <v>0</v>
      </c>
      <c r="D6078" s="107" t="str">
        <f>IF(LEN(Table1722[[#This Row],[Uraian]])&gt;2,1," ")</f>
        <v xml:space="preserve"> </v>
      </c>
      <c r="E6078" s="113" t="str">
        <f>IF(Table1722[[#This Row],[Lawan Transaksi]]="CV AGUNG KARYA",COUNTIF($I$10:I6078,"CV AGUNG KARYA")," ")</f>
        <v xml:space="preserve"> </v>
      </c>
      <c r="F6078" s="107" t="str">
        <f>IF(LEN(Table1722[[#This Row],[Uraian]])&gt;2,TRIM(RIGHT(SUBSTITUTE(TRIM(C6078)," ",REPT(" ",255)),255))," ")</f>
        <v xml:space="preserve"> </v>
      </c>
      <c r="G6078" s="110">
        <f>COPY!Z6070</f>
        <v>0</v>
      </c>
      <c r="H6078" s="111" t="str">
        <f>IFERROR(VLOOKUP(Table1722[[#This Row],[Bukti]],'Un nOTA'!$A$4:$K$5003,10,FALSE),"")</f>
        <v/>
      </c>
      <c r="I6078" s="123" t="str">
        <f>IFERROR(VLOOKUP(Table1722[[#This Row],[Bukti]],Table13[#Data],11,FALSE),"")</f>
        <v/>
      </c>
    </row>
    <row r="6079" spans="1:9" hidden="1" x14ac:dyDescent="0.2">
      <c r="A6079" s="105" t="str">
        <f>IF(D6079=1,COUNTIF($D$10:D6079,1)," ")</f>
        <v xml:space="preserve"> </v>
      </c>
      <c r="B6079" s="106">
        <f>COPY!AR6071</f>
        <v>0</v>
      </c>
      <c r="C6079" s="107">
        <f>COPY!AC6071</f>
        <v>0</v>
      </c>
      <c r="D6079" s="107" t="str">
        <f>IF(LEN(Table1722[[#This Row],[Uraian]])&gt;2,1," ")</f>
        <v xml:space="preserve"> </v>
      </c>
      <c r="E6079" s="113" t="str">
        <f>IF(Table1722[[#This Row],[Lawan Transaksi]]="CV AGUNG KARYA",COUNTIF($I$10:I6079,"CV AGUNG KARYA")," ")</f>
        <v xml:space="preserve"> </v>
      </c>
      <c r="F6079" s="107" t="str">
        <f>IF(LEN(Table1722[[#This Row],[Uraian]])&gt;2,TRIM(RIGHT(SUBSTITUTE(TRIM(C6079)," ",REPT(" ",255)),255))," ")</f>
        <v xml:space="preserve"> </v>
      </c>
      <c r="G6079" s="110">
        <f>COPY!Z6071</f>
        <v>0</v>
      </c>
      <c r="H6079" s="111" t="str">
        <f>IFERROR(VLOOKUP(Table1722[[#This Row],[Bukti]],'Un nOTA'!$A$4:$K$5003,10,FALSE),"")</f>
        <v/>
      </c>
      <c r="I6079" s="123" t="str">
        <f>IFERROR(VLOOKUP(Table1722[[#This Row],[Bukti]],Table13[#Data],11,FALSE),"")</f>
        <v/>
      </c>
    </row>
    <row r="6080" spans="1:9" hidden="1" x14ac:dyDescent="0.2">
      <c r="A6080" s="105" t="str">
        <f>IF(D6080=1,COUNTIF($D$10:D6080,1)," ")</f>
        <v xml:space="preserve"> </v>
      </c>
      <c r="B6080" s="106">
        <f>COPY!AR6072</f>
        <v>0</v>
      </c>
      <c r="C6080" s="107">
        <f>COPY!AC6072</f>
        <v>0</v>
      </c>
      <c r="D6080" s="107" t="str">
        <f>IF(LEN(Table1722[[#This Row],[Uraian]])&gt;2,1," ")</f>
        <v xml:space="preserve"> </v>
      </c>
      <c r="E6080" s="113" t="str">
        <f>IF(Table1722[[#This Row],[Lawan Transaksi]]="CV AGUNG KARYA",COUNTIF($I$10:I6080,"CV AGUNG KARYA")," ")</f>
        <v xml:space="preserve"> </v>
      </c>
      <c r="F6080" s="107" t="str">
        <f>IF(LEN(Table1722[[#This Row],[Uraian]])&gt;2,TRIM(RIGHT(SUBSTITUTE(TRIM(C6080)," ",REPT(" ",255)),255))," ")</f>
        <v xml:space="preserve"> </v>
      </c>
      <c r="G6080" s="110">
        <f>COPY!Z6072</f>
        <v>0</v>
      </c>
      <c r="H6080" s="111" t="str">
        <f>IFERROR(VLOOKUP(Table1722[[#This Row],[Bukti]],'Un nOTA'!$A$4:$K$5003,10,FALSE),"")</f>
        <v/>
      </c>
      <c r="I6080" s="123" t="str">
        <f>IFERROR(VLOOKUP(Table1722[[#This Row],[Bukti]],Table13[#Data],11,FALSE),"")</f>
        <v/>
      </c>
    </row>
    <row r="6081" spans="1:9" hidden="1" x14ac:dyDescent="0.2">
      <c r="A6081" s="105" t="str">
        <f>IF(D6081=1,COUNTIF($D$10:D6081,1)," ")</f>
        <v xml:space="preserve"> </v>
      </c>
      <c r="B6081" s="106">
        <f>COPY!AR6073</f>
        <v>0</v>
      </c>
      <c r="C6081" s="107">
        <f>COPY!AC6073</f>
        <v>0</v>
      </c>
      <c r="D6081" s="107" t="str">
        <f>IF(LEN(Table1722[[#This Row],[Uraian]])&gt;2,1," ")</f>
        <v xml:space="preserve"> </v>
      </c>
      <c r="E6081" s="113" t="str">
        <f>IF(Table1722[[#This Row],[Lawan Transaksi]]="CV AGUNG KARYA",COUNTIF($I$10:I6081,"CV AGUNG KARYA")," ")</f>
        <v xml:space="preserve"> </v>
      </c>
      <c r="F6081" s="107" t="str">
        <f>IF(LEN(Table1722[[#This Row],[Uraian]])&gt;2,TRIM(RIGHT(SUBSTITUTE(TRIM(C6081)," ",REPT(" ",255)),255))," ")</f>
        <v xml:space="preserve"> </v>
      </c>
      <c r="G6081" s="110">
        <f>COPY!Z6073</f>
        <v>0</v>
      </c>
      <c r="H6081" s="111" t="str">
        <f>IFERROR(VLOOKUP(Table1722[[#This Row],[Bukti]],'Un nOTA'!$A$4:$K$5003,10,FALSE),"")</f>
        <v/>
      </c>
      <c r="I6081" s="123" t="str">
        <f>IFERROR(VLOOKUP(Table1722[[#This Row],[Bukti]],Table13[#Data],11,FALSE),"")</f>
        <v/>
      </c>
    </row>
    <row r="6082" spans="1:9" hidden="1" x14ac:dyDescent="0.2">
      <c r="A6082" s="105" t="str">
        <f>IF(D6082=1,COUNTIF($D$10:D6082,1)," ")</f>
        <v xml:space="preserve"> </v>
      </c>
      <c r="B6082" s="106">
        <f>COPY!AR6074</f>
        <v>0</v>
      </c>
      <c r="C6082" s="107">
        <f>COPY!AC6074</f>
        <v>0</v>
      </c>
      <c r="D6082" s="107" t="str">
        <f>IF(LEN(Table1722[[#This Row],[Uraian]])&gt;2,1," ")</f>
        <v xml:space="preserve"> </v>
      </c>
      <c r="E6082" s="113" t="str">
        <f>IF(Table1722[[#This Row],[Lawan Transaksi]]="CV AGUNG KARYA",COUNTIF($I$10:I6082,"CV AGUNG KARYA")," ")</f>
        <v xml:space="preserve"> </v>
      </c>
      <c r="F6082" s="107" t="str">
        <f>IF(LEN(Table1722[[#This Row],[Uraian]])&gt;2,TRIM(RIGHT(SUBSTITUTE(TRIM(C6082)," ",REPT(" ",255)),255))," ")</f>
        <v xml:space="preserve"> </v>
      </c>
      <c r="G6082" s="110">
        <f>COPY!Z6074</f>
        <v>0</v>
      </c>
      <c r="H6082" s="111" t="str">
        <f>IFERROR(VLOOKUP(Table1722[[#This Row],[Bukti]],'Un nOTA'!$A$4:$K$5003,10,FALSE),"")</f>
        <v/>
      </c>
      <c r="I6082" s="123" t="str">
        <f>IFERROR(VLOOKUP(Table1722[[#This Row],[Bukti]],Table13[#Data],11,FALSE),"")</f>
        <v/>
      </c>
    </row>
    <row r="6083" spans="1:9" hidden="1" x14ac:dyDescent="0.2">
      <c r="A6083" s="105" t="str">
        <f>IF(D6083=1,COUNTIF($D$10:D6083,1)," ")</f>
        <v xml:space="preserve"> </v>
      </c>
      <c r="B6083" s="106">
        <f>COPY!AR6075</f>
        <v>0</v>
      </c>
      <c r="C6083" s="107">
        <f>COPY!AC6075</f>
        <v>0</v>
      </c>
      <c r="D6083" s="107" t="str">
        <f>IF(LEN(Table1722[[#This Row],[Uraian]])&gt;2,1," ")</f>
        <v xml:space="preserve"> </v>
      </c>
      <c r="E6083" s="113" t="str">
        <f>IF(Table1722[[#This Row],[Lawan Transaksi]]="CV AGUNG KARYA",COUNTIF($I$10:I6083,"CV AGUNG KARYA")," ")</f>
        <v xml:space="preserve"> </v>
      </c>
      <c r="F6083" s="107" t="str">
        <f>IF(LEN(Table1722[[#This Row],[Uraian]])&gt;2,TRIM(RIGHT(SUBSTITUTE(TRIM(C6083)," ",REPT(" ",255)),255))," ")</f>
        <v xml:space="preserve"> </v>
      </c>
      <c r="G6083" s="110">
        <f>COPY!Z6075</f>
        <v>0</v>
      </c>
      <c r="H6083" s="111" t="str">
        <f>IFERROR(VLOOKUP(Table1722[[#This Row],[Bukti]],'Un nOTA'!$A$4:$K$5003,10,FALSE),"")</f>
        <v/>
      </c>
      <c r="I6083" s="123" t="str">
        <f>IFERROR(VLOOKUP(Table1722[[#This Row],[Bukti]],Table13[#Data],11,FALSE),"")</f>
        <v/>
      </c>
    </row>
    <row r="6084" spans="1:9" hidden="1" x14ac:dyDescent="0.2">
      <c r="A6084" s="105" t="str">
        <f>IF(D6084=1,COUNTIF($D$10:D6084,1)," ")</f>
        <v xml:space="preserve"> </v>
      </c>
      <c r="B6084" s="106">
        <f>COPY!AR6076</f>
        <v>0</v>
      </c>
      <c r="C6084" s="107">
        <f>COPY!AC6076</f>
        <v>0</v>
      </c>
      <c r="D6084" s="107" t="str">
        <f>IF(LEN(Table1722[[#This Row],[Uraian]])&gt;2,1," ")</f>
        <v xml:space="preserve"> </v>
      </c>
      <c r="E6084" s="113" t="str">
        <f>IF(Table1722[[#This Row],[Lawan Transaksi]]="CV AGUNG KARYA",COUNTIF($I$10:I6084,"CV AGUNG KARYA")," ")</f>
        <v xml:space="preserve"> </v>
      </c>
      <c r="F6084" s="107" t="str">
        <f>IF(LEN(Table1722[[#This Row],[Uraian]])&gt;2,TRIM(RIGHT(SUBSTITUTE(TRIM(C6084)," ",REPT(" ",255)),255))," ")</f>
        <v xml:space="preserve"> </v>
      </c>
      <c r="G6084" s="110">
        <f>COPY!Z6076</f>
        <v>0</v>
      </c>
      <c r="H6084" s="111" t="str">
        <f>IFERROR(VLOOKUP(Table1722[[#This Row],[Bukti]],'Un nOTA'!$A$4:$K$5003,10,FALSE),"")</f>
        <v/>
      </c>
      <c r="I6084" s="123" t="str">
        <f>IFERROR(VLOOKUP(Table1722[[#This Row],[Bukti]],Table13[#Data],11,FALSE),"")</f>
        <v/>
      </c>
    </row>
    <row r="6085" spans="1:9" hidden="1" x14ac:dyDescent="0.2">
      <c r="A6085" s="105" t="str">
        <f>IF(D6085=1,COUNTIF($D$10:D6085,1)," ")</f>
        <v xml:space="preserve"> </v>
      </c>
      <c r="B6085" s="106">
        <f>COPY!AR6077</f>
        <v>0</v>
      </c>
      <c r="C6085" s="107">
        <f>COPY!AC6077</f>
        <v>0</v>
      </c>
      <c r="D6085" s="107" t="str">
        <f>IF(LEN(Table1722[[#This Row],[Uraian]])&gt;2,1," ")</f>
        <v xml:space="preserve"> </v>
      </c>
      <c r="E6085" s="113" t="str">
        <f>IF(Table1722[[#This Row],[Lawan Transaksi]]="CV AGUNG KARYA",COUNTIF($I$10:I6085,"CV AGUNG KARYA")," ")</f>
        <v xml:space="preserve"> </v>
      </c>
      <c r="F6085" s="107" t="str">
        <f>IF(LEN(Table1722[[#This Row],[Uraian]])&gt;2,TRIM(RIGHT(SUBSTITUTE(TRIM(C6085)," ",REPT(" ",255)),255))," ")</f>
        <v xml:space="preserve"> </v>
      </c>
      <c r="G6085" s="110">
        <f>COPY!Z6077</f>
        <v>0</v>
      </c>
      <c r="H6085" s="111" t="str">
        <f>IFERROR(VLOOKUP(Table1722[[#This Row],[Bukti]],'Un nOTA'!$A$4:$K$5003,10,FALSE),"")</f>
        <v/>
      </c>
      <c r="I6085" s="123" t="str">
        <f>IFERROR(VLOOKUP(Table1722[[#This Row],[Bukti]],Table13[#Data],11,FALSE),"")</f>
        <v/>
      </c>
    </row>
    <row r="6086" spans="1:9" hidden="1" x14ac:dyDescent="0.2">
      <c r="A6086" s="105" t="str">
        <f>IF(D6086=1,COUNTIF($D$10:D6086,1)," ")</f>
        <v xml:space="preserve"> </v>
      </c>
      <c r="B6086" s="106">
        <f>COPY!AR6078</f>
        <v>0</v>
      </c>
      <c r="C6086" s="107">
        <f>COPY!AC6078</f>
        <v>0</v>
      </c>
      <c r="D6086" s="107" t="str">
        <f>IF(LEN(Table1722[[#This Row],[Uraian]])&gt;2,1," ")</f>
        <v xml:space="preserve"> </v>
      </c>
      <c r="E6086" s="113" t="str">
        <f>IF(Table1722[[#This Row],[Lawan Transaksi]]="CV AGUNG KARYA",COUNTIF($I$10:I6086,"CV AGUNG KARYA")," ")</f>
        <v xml:space="preserve"> </v>
      </c>
      <c r="F6086" s="107" t="str">
        <f>IF(LEN(Table1722[[#This Row],[Uraian]])&gt;2,TRIM(RIGHT(SUBSTITUTE(TRIM(C6086)," ",REPT(" ",255)),255))," ")</f>
        <v xml:space="preserve"> </v>
      </c>
      <c r="G6086" s="110">
        <f>COPY!Z6078</f>
        <v>0</v>
      </c>
      <c r="H6086" s="111" t="str">
        <f>IFERROR(VLOOKUP(Table1722[[#This Row],[Bukti]],'Un nOTA'!$A$4:$K$5003,10,FALSE),"")</f>
        <v/>
      </c>
      <c r="I6086" s="123" t="str">
        <f>IFERROR(VLOOKUP(Table1722[[#This Row],[Bukti]],Table13[#Data],11,FALSE),"")</f>
        <v/>
      </c>
    </row>
    <row r="6087" spans="1:9" hidden="1" x14ac:dyDescent="0.2">
      <c r="A6087" s="105" t="str">
        <f>IF(D6087=1,COUNTIF($D$10:D6087,1)," ")</f>
        <v xml:space="preserve"> </v>
      </c>
      <c r="B6087" s="106">
        <f>COPY!AR6079</f>
        <v>0</v>
      </c>
      <c r="C6087" s="107">
        <f>COPY!AC6079</f>
        <v>0</v>
      </c>
      <c r="D6087" s="107" t="str">
        <f>IF(LEN(Table1722[[#This Row],[Uraian]])&gt;2,1," ")</f>
        <v xml:space="preserve"> </v>
      </c>
      <c r="E6087" s="113" t="str">
        <f>IF(Table1722[[#This Row],[Lawan Transaksi]]="CV AGUNG KARYA",COUNTIF($I$10:I6087,"CV AGUNG KARYA")," ")</f>
        <v xml:space="preserve"> </v>
      </c>
      <c r="F6087" s="107" t="str">
        <f>IF(LEN(Table1722[[#This Row],[Uraian]])&gt;2,TRIM(RIGHT(SUBSTITUTE(TRIM(C6087)," ",REPT(" ",255)),255))," ")</f>
        <v xml:space="preserve"> </v>
      </c>
      <c r="G6087" s="110">
        <f>COPY!Z6079</f>
        <v>0</v>
      </c>
      <c r="H6087" s="111" t="str">
        <f>IFERROR(VLOOKUP(Table1722[[#This Row],[Bukti]],'Un nOTA'!$A$4:$K$5003,10,FALSE),"")</f>
        <v/>
      </c>
      <c r="I6087" s="123" t="str">
        <f>IFERROR(VLOOKUP(Table1722[[#This Row],[Bukti]],Table13[#Data],11,FALSE),"")</f>
        <v/>
      </c>
    </row>
    <row r="6088" spans="1:9" hidden="1" x14ac:dyDescent="0.2">
      <c r="A6088" s="105" t="str">
        <f>IF(D6088=1,COUNTIF($D$10:D6088,1)," ")</f>
        <v xml:space="preserve"> </v>
      </c>
      <c r="B6088" s="106">
        <f>COPY!AR6080</f>
        <v>0</v>
      </c>
      <c r="C6088" s="107">
        <f>COPY!AC6080</f>
        <v>0</v>
      </c>
      <c r="D6088" s="107" t="str">
        <f>IF(LEN(Table1722[[#This Row],[Uraian]])&gt;2,1," ")</f>
        <v xml:space="preserve"> </v>
      </c>
      <c r="E6088" s="113" t="str">
        <f>IF(Table1722[[#This Row],[Lawan Transaksi]]="CV AGUNG KARYA",COUNTIF($I$10:I6088,"CV AGUNG KARYA")," ")</f>
        <v xml:space="preserve"> </v>
      </c>
      <c r="F6088" s="107" t="str">
        <f>IF(LEN(Table1722[[#This Row],[Uraian]])&gt;2,TRIM(RIGHT(SUBSTITUTE(TRIM(C6088)," ",REPT(" ",255)),255))," ")</f>
        <v xml:space="preserve"> </v>
      </c>
      <c r="G6088" s="110">
        <f>COPY!Z6080</f>
        <v>0</v>
      </c>
      <c r="H6088" s="111" t="str">
        <f>IFERROR(VLOOKUP(Table1722[[#This Row],[Bukti]],'Un nOTA'!$A$4:$K$5003,10,FALSE),"")</f>
        <v/>
      </c>
      <c r="I6088" s="123" t="str">
        <f>IFERROR(VLOOKUP(Table1722[[#This Row],[Bukti]],Table13[#Data],11,FALSE),"")</f>
        <v/>
      </c>
    </row>
    <row r="6089" spans="1:9" hidden="1" x14ac:dyDescent="0.2">
      <c r="A6089" s="105" t="str">
        <f>IF(D6089=1,COUNTIF($D$10:D6089,1)," ")</f>
        <v xml:space="preserve"> </v>
      </c>
      <c r="B6089" s="106">
        <f>COPY!AR6081</f>
        <v>0</v>
      </c>
      <c r="C6089" s="107">
        <f>COPY!AC6081</f>
        <v>0</v>
      </c>
      <c r="D6089" s="107" t="str">
        <f>IF(LEN(Table1722[[#This Row],[Uraian]])&gt;2,1," ")</f>
        <v xml:space="preserve"> </v>
      </c>
      <c r="E6089" s="113" t="str">
        <f>IF(Table1722[[#This Row],[Lawan Transaksi]]="CV AGUNG KARYA",COUNTIF($I$10:I6089,"CV AGUNG KARYA")," ")</f>
        <v xml:space="preserve"> </v>
      </c>
      <c r="F6089" s="107" t="str">
        <f>IF(LEN(Table1722[[#This Row],[Uraian]])&gt;2,TRIM(RIGHT(SUBSTITUTE(TRIM(C6089)," ",REPT(" ",255)),255))," ")</f>
        <v xml:space="preserve"> </v>
      </c>
      <c r="G6089" s="110">
        <f>COPY!Z6081</f>
        <v>0</v>
      </c>
      <c r="H6089" s="111" t="str">
        <f>IFERROR(VLOOKUP(Table1722[[#This Row],[Bukti]],'Un nOTA'!$A$4:$K$5003,10,FALSE),"")</f>
        <v/>
      </c>
      <c r="I6089" s="123" t="str">
        <f>IFERROR(VLOOKUP(Table1722[[#This Row],[Bukti]],Table13[#Data],11,FALSE),"")</f>
        <v/>
      </c>
    </row>
    <row r="6090" spans="1:9" hidden="1" x14ac:dyDescent="0.2">
      <c r="A6090" s="105" t="str">
        <f>IF(D6090=1,COUNTIF($D$10:D6090,1)," ")</f>
        <v xml:space="preserve"> </v>
      </c>
      <c r="B6090" s="106">
        <f>COPY!AR6082</f>
        <v>0</v>
      </c>
      <c r="C6090" s="107">
        <f>COPY!AC6082</f>
        <v>0</v>
      </c>
      <c r="D6090" s="107" t="str">
        <f>IF(LEN(Table1722[[#This Row],[Uraian]])&gt;2,1," ")</f>
        <v xml:space="preserve"> </v>
      </c>
      <c r="E6090" s="113" t="str">
        <f>IF(Table1722[[#This Row],[Lawan Transaksi]]="CV AGUNG KARYA",COUNTIF($I$10:I6090,"CV AGUNG KARYA")," ")</f>
        <v xml:space="preserve"> </v>
      </c>
      <c r="F6090" s="107" t="str">
        <f>IF(LEN(Table1722[[#This Row],[Uraian]])&gt;2,TRIM(RIGHT(SUBSTITUTE(TRIM(C6090)," ",REPT(" ",255)),255))," ")</f>
        <v xml:space="preserve"> </v>
      </c>
      <c r="G6090" s="110">
        <f>COPY!Z6082</f>
        <v>0</v>
      </c>
      <c r="H6090" s="111" t="str">
        <f>IFERROR(VLOOKUP(Table1722[[#This Row],[Bukti]],'Un nOTA'!$A$4:$K$5003,10,FALSE),"")</f>
        <v/>
      </c>
      <c r="I6090" s="123" t="str">
        <f>IFERROR(VLOOKUP(Table1722[[#This Row],[Bukti]],Table13[#Data],11,FALSE),"")</f>
        <v/>
      </c>
    </row>
    <row r="6091" spans="1:9" hidden="1" x14ac:dyDescent="0.2">
      <c r="A6091" s="105" t="str">
        <f>IF(D6091=1,COUNTIF($D$10:D6091,1)," ")</f>
        <v xml:space="preserve"> </v>
      </c>
      <c r="B6091" s="106">
        <f>COPY!AR6083</f>
        <v>0</v>
      </c>
      <c r="C6091" s="107">
        <f>COPY!AC6083</f>
        <v>0</v>
      </c>
      <c r="D6091" s="107" t="str">
        <f>IF(LEN(Table1722[[#This Row],[Uraian]])&gt;2,1," ")</f>
        <v xml:space="preserve"> </v>
      </c>
      <c r="E6091" s="113" t="str">
        <f>IF(Table1722[[#This Row],[Lawan Transaksi]]="CV AGUNG KARYA",COUNTIF($I$10:I6091,"CV AGUNG KARYA")," ")</f>
        <v xml:space="preserve"> </v>
      </c>
      <c r="F6091" s="107" t="str">
        <f>IF(LEN(Table1722[[#This Row],[Uraian]])&gt;2,TRIM(RIGHT(SUBSTITUTE(TRIM(C6091)," ",REPT(" ",255)),255))," ")</f>
        <v xml:space="preserve"> </v>
      </c>
      <c r="G6091" s="110">
        <f>COPY!Z6083</f>
        <v>0</v>
      </c>
      <c r="H6091" s="111" t="str">
        <f>IFERROR(VLOOKUP(Table1722[[#This Row],[Bukti]],'Un nOTA'!$A$4:$K$5003,10,FALSE),"")</f>
        <v/>
      </c>
      <c r="I6091" s="123" t="str">
        <f>IFERROR(VLOOKUP(Table1722[[#This Row],[Bukti]],Table13[#Data],11,FALSE),"")</f>
        <v/>
      </c>
    </row>
    <row r="6092" spans="1:9" hidden="1" x14ac:dyDescent="0.2">
      <c r="A6092" s="105" t="str">
        <f>IF(D6092=1,COUNTIF($D$10:D6092,1)," ")</f>
        <v xml:space="preserve"> </v>
      </c>
      <c r="B6092" s="106">
        <f>COPY!AR6084</f>
        <v>0</v>
      </c>
      <c r="C6092" s="107">
        <f>COPY!AC6084</f>
        <v>0</v>
      </c>
      <c r="D6092" s="107" t="str">
        <f>IF(LEN(Table1722[[#This Row],[Uraian]])&gt;2,1," ")</f>
        <v xml:space="preserve"> </v>
      </c>
      <c r="E6092" s="113" t="str">
        <f>IF(Table1722[[#This Row],[Lawan Transaksi]]="CV AGUNG KARYA",COUNTIF($I$10:I6092,"CV AGUNG KARYA")," ")</f>
        <v xml:space="preserve"> </v>
      </c>
      <c r="F6092" s="107" t="str">
        <f>IF(LEN(Table1722[[#This Row],[Uraian]])&gt;2,TRIM(RIGHT(SUBSTITUTE(TRIM(C6092)," ",REPT(" ",255)),255))," ")</f>
        <v xml:space="preserve"> </v>
      </c>
      <c r="G6092" s="110">
        <f>COPY!Z6084</f>
        <v>0</v>
      </c>
      <c r="H6092" s="111" t="str">
        <f>IFERROR(VLOOKUP(Table1722[[#This Row],[Bukti]],'Un nOTA'!$A$4:$K$5003,10,FALSE),"")</f>
        <v/>
      </c>
      <c r="I6092" s="123" t="str">
        <f>IFERROR(VLOOKUP(Table1722[[#This Row],[Bukti]],Table13[#Data],11,FALSE),"")</f>
        <v/>
      </c>
    </row>
    <row r="6093" spans="1:9" hidden="1" x14ac:dyDescent="0.2">
      <c r="A6093" s="105" t="str">
        <f>IF(D6093=1,COUNTIF($D$10:D6093,1)," ")</f>
        <v xml:space="preserve"> </v>
      </c>
      <c r="B6093" s="106">
        <f>COPY!AR6085</f>
        <v>0</v>
      </c>
      <c r="C6093" s="107">
        <f>COPY!AC6085</f>
        <v>0</v>
      </c>
      <c r="D6093" s="107" t="str">
        <f>IF(LEN(Table1722[[#This Row],[Uraian]])&gt;2,1," ")</f>
        <v xml:space="preserve"> </v>
      </c>
      <c r="E6093" s="113" t="str">
        <f>IF(Table1722[[#This Row],[Lawan Transaksi]]="CV AGUNG KARYA",COUNTIF($I$10:I6093,"CV AGUNG KARYA")," ")</f>
        <v xml:space="preserve"> </v>
      </c>
      <c r="F6093" s="107" t="str">
        <f>IF(LEN(Table1722[[#This Row],[Uraian]])&gt;2,TRIM(RIGHT(SUBSTITUTE(TRIM(C6093)," ",REPT(" ",255)),255))," ")</f>
        <v xml:space="preserve"> </v>
      </c>
      <c r="G6093" s="110">
        <f>COPY!Z6085</f>
        <v>0</v>
      </c>
      <c r="H6093" s="111" t="str">
        <f>IFERROR(VLOOKUP(Table1722[[#This Row],[Bukti]],'Un nOTA'!$A$4:$K$5003,10,FALSE),"")</f>
        <v/>
      </c>
      <c r="I6093" s="123" t="str">
        <f>IFERROR(VLOOKUP(Table1722[[#This Row],[Bukti]],Table13[#Data],11,FALSE),"")</f>
        <v/>
      </c>
    </row>
    <row r="6094" spans="1:9" hidden="1" x14ac:dyDescent="0.2">
      <c r="A6094" s="105" t="str">
        <f>IF(D6094=1,COUNTIF($D$10:D6094,1)," ")</f>
        <v xml:space="preserve"> </v>
      </c>
      <c r="B6094" s="106">
        <f>COPY!AR6086</f>
        <v>0</v>
      </c>
      <c r="C6094" s="107">
        <f>COPY!AC6086</f>
        <v>0</v>
      </c>
      <c r="D6094" s="107" t="str">
        <f>IF(LEN(Table1722[[#This Row],[Uraian]])&gt;2,1," ")</f>
        <v xml:space="preserve"> </v>
      </c>
      <c r="E6094" s="113" t="str">
        <f>IF(Table1722[[#This Row],[Lawan Transaksi]]="CV AGUNG KARYA",COUNTIF($I$10:I6094,"CV AGUNG KARYA")," ")</f>
        <v xml:space="preserve"> </v>
      </c>
      <c r="F6094" s="107" t="str">
        <f>IF(LEN(Table1722[[#This Row],[Uraian]])&gt;2,TRIM(RIGHT(SUBSTITUTE(TRIM(C6094)," ",REPT(" ",255)),255))," ")</f>
        <v xml:space="preserve"> </v>
      </c>
      <c r="G6094" s="110">
        <f>COPY!Z6086</f>
        <v>0</v>
      </c>
      <c r="H6094" s="111" t="str">
        <f>IFERROR(VLOOKUP(Table1722[[#This Row],[Bukti]],'Un nOTA'!$A$4:$K$5003,10,FALSE),"")</f>
        <v/>
      </c>
      <c r="I6094" s="123" t="str">
        <f>IFERROR(VLOOKUP(Table1722[[#This Row],[Bukti]],Table13[#Data],11,FALSE),"")</f>
        <v/>
      </c>
    </row>
    <row r="6095" spans="1:9" hidden="1" x14ac:dyDescent="0.2">
      <c r="A6095" s="105" t="str">
        <f>IF(D6095=1,COUNTIF($D$10:D6095,1)," ")</f>
        <v xml:space="preserve"> </v>
      </c>
      <c r="B6095" s="106">
        <f>COPY!AR6087</f>
        <v>0</v>
      </c>
      <c r="C6095" s="107">
        <f>COPY!AC6087</f>
        <v>0</v>
      </c>
      <c r="D6095" s="107" t="str">
        <f>IF(LEN(Table1722[[#This Row],[Uraian]])&gt;2,1," ")</f>
        <v xml:space="preserve"> </v>
      </c>
      <c r="E6095" s="113" t="str">
        <f>IF(Table1722[[#This Row],[Lawan Transaksi]]="CV AGUNG KARYA",COUNTIF($I$10:I6095,"CV AGUNG KARYA")," ")</f>
        <v xml:space="preserve"> </v>
      </c>
      <c r="F6095" s="107" t="str">
        <f>IF(LEN(Table1722[[#This Row],[Uraian]])&gt;2,TRIM(RIGHT(SUBSTITUTE(TRIM(C6095)," ",REPT(" ",255)),255))," ")</f>
        <v xml:space="preserve"> </v>
      </c>
      <c r="G6095" s="110">
        <f>COPY!Z6087</f>
        <v>0</v>
      </c>
      <c r="H6095" s="111" t="str">
        <f>IFERROR(VLOOKUP(Table1722[[#This Row],[Bukti]],'Un nOTA'!$A$4:$K$5003,10,FALSE),"")</f>
        <v/>
      </c>
      <c r="I6095" s="123" t="str">
        <f>IFERROR(VLOOKUP(Table1722[[#This Row],[Bukti]],Table13[#Data],11,FALSE),"")</f>
        <v/>
      </c>
    </row>
    <row r="6096" spans="1:9" hidden="1" x14ac:dyDescent="0.2">
      <c r="A6096" s="105" t="str">
        <f>IF(D6096=1,COUNTIF($D$10:D6096,1)," ")</f>
        <v xml:space="preserve"> </v>
      </c>
      <c r="B6096" s="106">
        <f>COPY!AR6088</f>
        <v>0</v>
      </c>
      <c r="C6096" s="107">
        <f>COPY!AC6088</f>
        <v>0</v>
      </c>
      <c r="D6096" s="107" t="str">
        <f>IF(LEN(Table1722[[#This Row],[Uraian]])&gt;2,1," ")</f>
        <v xml:space="preserve"> </v>
      </c>
      <c r="E6096" s="113" t="str">
        <f>IF(Table1722[[#This Row],[Lawan Transaksi]]="CV AGUNG KARYA",COUNTIF($I$10:I6096,"CV AGUNG KARYA")," ")</f>
        <v xml:space="preserve"> </v>
      </c>
      <c r="F6096" s="107" t="str">
        <f>IF(LEN(Table1722[[#This Row],[Uraian]])&gt;2,TRIM(RIGHT(SUBSTITUTE(TRIM(C6096)," ",REPT(" ",255)),255))," ")</f>
        <v xml:space="preserve"> </v>
      </c>
      <c r="G6096" s="110">
        <f>COPY!Z6088</f>
        <v>0</v>
      </c>
      <c r="H6096" s="111" t="str">
        <f>IFERROR(VLOOKUP(Table1722[[#This Row],[Bukti]],'Un nOTA'!$A$4:$K$5003,10,FALSE),"")</f>
        <v/>
      </c>
      <c r="I6096" s="123" t="str">
        <f>IFERROR(VLOOKUP(Table1722[[#This Row],[Bukti]],Table13[#Data],11,FALSE),"")</f>
        <v/>
      </c>
    </row>
    <row r="6097" spans="1:9" hidden="1" x14ac:dyDescent="0.2">
      <c r="A6097" s="105" t="str">
        <f>IF(D6097=1,COUNTIF($D$10:D6097,1)," ")</f>
        <v xml:space="preserve"> </v>
      </c>
      <c r="B6097" s="106">
        <f>COPY!AR6089</f>
        <v>0</v>
      </c>
      <c r="C6097" s="107">
        <f>COPY!AC6089</f>
        <v>0</v>
      </c>
      <c r="D6097" s="107" t="str">
        <f>IF(LEN(Table1722[[#This Row],[Uraian]])&gt;2,1," ")</f>
        <v xml:space="preserve"> </v>
      </c>
      <c r="E6097" s="113" t="str">
        <f>IF(Table1722[[#This Row],[Lawan Transaksi]]="CV AGUNG KARYA",COUNTIF($I$10:I6097,"CV AGUNG KARYA")," ")</f>
        <v xml:space="preserve"> </v>
      </c>
      <c r="F6097" s="107" t="str">
        <f>IF(LEN(Table1722[[#This Row],[Uraian]])&gt;2,TRIM(RIGHT(SUBSTITUTE(TRIM(C6097)," ",REPT(" ",255)),255))," ")</f>
        <v xml:space="preserve"> </v>
      </c>
      <c r="G6097" s="110">
        <f>COPY!Z6089</f>
        <v>0</v>
      </c>
      <c r="H6097" s="111" t="str">
        <f>IFERROR(VLOOKUP(Table1722[[#This Row],[Bukti]],'Un nOTA'!$A$4:$K$5003,10,FALSE),"")</f>
        <v/>
      </c>
      <c r="I6097" s="123" t="str">
        <f>IFERROR(VLOOKUP(Table1722[[#This Row],[Bukti]],Table13[#Data],11,FALSE),"")</f>
        <v/>
      </c>
    </row>
    <row r="6098" spans="1:9" hidden="1" x14ac:dyDescent="0.2">
      <c r="A6098" s="105" t="str">
        <f>IF(D6098=1,COUNTIF($D$10:D6098,1)," ")</f>
        <v xml:space="preserve"> </v>
      </c>
      <c r="B6098" s="106">
        <f>COPY!AR6090</f>
        <v>0</v>
      </c>
      <c r="C6098" s="107">
        <f>COPY!AC6090</f>
        <v>0</v>
      </c>
      <c r="D6098" s="107" t="str">
        <f>IF(LEN(Table1722[[#This Row],[Uraian]])&gt;2,1," ")</f>
        <v xml:space="preserve"> </v>
      </c>
      <c r="E6098" s="113" t="str">
        <f>IF(Table1722[[#This Row],[Lawan Transaksi]]="CV AGUNG KARYA",COUNTIF($I$10:I6098,"CV AGUNG KARYA")," ")</f>
        <v xml:space="preserve"> </v>
      </c>
      <c r="F6098" s="107" t="str">
        <f>IF(LEN(Table1722[[#This Row],[Uraian]])&gt;2,TRIM(RIGHT(SUBSTITUTE(TRIM(C6098)," ",REPT(" ",255)),255))," ")</f>
        <v xml:space="preserve"> </v>
      </c>
      <c r="G6098" s="110">
        <f>COPY!Z6090</f>
        <v>0</v>
      </c>
      <c r="H6098" s="111" t="str">
        <f>IFERROR(VLOOKUP(Table1722[[#This Row],[Bukti]],'Un nOTA'!$A$4:$K$5003,10,FALSE),"")</f>
        <v/>
      </c>
      <c r="I6098" s="123" t="str">
        <f>IFERROR(VLOOKUP(Table1722[[#This Row],[Bukti]],Table13[#Data],11,FALSE),"")</f>
        <v/>
      </c>
    </row>
    <row r="6099" spans="1:9" hidden="1" x14ac:dyDescent="0.2">
      <c r="A6099" s="105" t="str">
        <f>IF(D6099=1,COUNTIF($D$10:D6099,1)," ")</f>
        <v xml:space="preserve"> </v>
      </c>
      <c r="B6099" s="106">
        <f>COPY!AR6091</f>
        <v>0</v>
      </c>
      <c r="C6099" s="107">
        <f>COPY!AC6091</f>
        <v>0</v>
      </c>
      <c r="D6099" s="107" t="str">
        <f>IF(LEN(Table1722[[#This Row],[Uraian]])&gt;2,1," ")</f>
        <v xml:space="preserve"> </v>
      </c>
      <c r="E6099" s="113" t="str">
        <f>IF(Table1722[[#This Row],[Lawan Transaksi]]="CV AGUNG KARYA",COUNTIF($I$10:I6099,"CV AGUNG KARYA")," ")</f>
        <v xml:space="preserve"> </v>
      </c>
      <c r="F6099" s="107" t="str">
        <f>IF(LEN(Table1722[[#This Row],[Uraian]])&gt;2,TRIM(RIGHT(SUBSTITUTE(TRIM(C6099)," ",REPT(" ",255)),255))," ")</f>
        <v xml:space="preserve"> </v>
      </c>
      <c r="G6099" s="110">
        <f>COPY!Z6091</f>
        <v>0</v>
      </c>
      <c r="H6099" s="111" t="str">
        <f>IFERROR(VLOOKUP(Table1722[[#This Row],[Bukti]],'Un nOTA'!$A$4:$K$5003,10,FALSE),"")</f>
        <v/>
      </c>
      <c r="I6099" s="123" t="str">
        <f>IFERROR(VLOOKUP(Table1722[[#This Row],[Bukti]],Table13[#Data],11,FALSE),"")</f>
        <v/>
      </c>
    </row>
    <row r="6100" spans="1:9" hidden="1" x14ac:dyDescent="0.2">
      <c r="A6100" s="105" t="str">
        <f>IF(D6100=1,COUNTIF($D$10:D6100,1)," ")</f>
        <v xml:space="preserve"> </v>
      </c>
      <c r="B6100" s="106">
        <f>COPY!AR6092</f>
        <v>0</v>
      </c>
      <c r="C6100" s="107">
        <f>COPY!AC6092</f>
        <v>0</v>
      </c>
      <c r="D6100" s="107" t="str">
        <f>IF(LEN(Table1722[[#This Row],[Uraian]])&gt;2,1," ")</f>
        <v xml:space="preserve"> </v>
      </c>
      <c r="E6100" s="113" t="str">
        <f>IF(Table1722[[#This Row],[Lawan Transaksi]]="CV AGUNG KARYA",COUNTIF($I$10:I6100,"CV AGUNG KARYA")," ")</f>
        <v xml:space="preserve"> </v>
      </c>
      <c r="F6100" s="107" t="str">
        <f>IF(LEN(Table1722[[#This Row],[Uraian]])&gt;2,TRIM(RIGHT(SUBSTITUTE(TRIM(C6100)," ",REPT(" ",255)),255))," ")</f>
        <v xml:space="preserve"> </v>
      </c>
      <c r="G6100" s="110">
        <f>COPY!Z6092</f>
        <v>0</v>
      </c>
      <c r="H6100" s="111" t="str">
        <f>IFERROR(VLOOKUP(Table1722[[#This Row],[Bukti]],'Un nOTA'!$A$4:$K$5003,10,FALSE),"")</f>
        <v/>
      </c>
      <c r="I6100" s="123" t="str">
        <f>IFERROR(VLOOKUP(Table1722[[#This Row],[Bukti]],Table13[#Data],11,FALSE),"")</f>
        <v/>
      </c>
    </row>
    <row r="6101" spans="1:9" hidden="1" x14ac:dyDescent="0.2">
      <c r="A6101" s="105" t="str">
        <f>IF(D6101=1,COUNTIF($D$10:D6101,1)," ")</f>
        <v xml:space="preserve"> </v>
      </c>
      <c r="B6101" s="106">
        <f>COPY!AR6093</f>
        <v>0</v>
      </c>
      <c r="C6101" s="107">
        <f>COPY!AC6093</f>
        <v>0</v>
      </c>
      <c r="D6101" s="107" t="str">
        <f>IF(LEN(Table1722[[#This Row],[Uraian]])&gt;2,1," ")</f>
        <v xml:space="preserve"> </v>
      </c>
      <c r="E6101" s="113" t="str">
        <f>IF(Table1722[[#This Row],[Lawan Transaksi]]="CV AGUNG KARYA",COUNTIF($I$10:I6101,"CV AGUNG KARYA")," ")</f>
        <v xml:space="preserve"> </v>
      </c>
      <c r="F6101" s="107" t="str">
        <f>IF(LEN(Table1722[[#This Row],[Uraian]])&gt;2,TRIM(RIGHT(SUBSTITUTE(TRIM(C6101)," ",REPT(" ",255)),255))," ")</f>
        <v xml:space="preserve"> </v>
      </c>
      <c r="G6101" s="110">
        <f>COPY!Z6093</f>
        <v>0</v>
      </c>
      <c r="H6101" s="111" t="str">
        <f>IFERROR(VLOOKUP(Table1722[[#This Row],[Bukti]],'Un nOTA'!$A$4:$K$5003,10,FALSE),"")</f>
        <v/>
      </c>
      <c r="I6101" s="123" t="str">
        <f>IFERROR(VLOOKUP(Table1722[[#This Row],[Bukti]],Table13[#Data],11,FALSE),"")</f>
        <v/>
      </c>
    </row>
    <row r="6102" spans="1:9" hidden="1" x14ac:dyDescent="0.2">
      <c r="A6102" s="105" t="str">
        <f>IF(D6102=1,COUNTIF($D$10:D6102,1)," ")</f>
        <v xml:space="preserve"> </v>
      </c>
      <c r="B6102" s="106">
        <f>COPY!AR6094</f>
        <v>0</v>
      </c>
      <c r="C6102" s="107">
        <f>COPY!AC6094</f>
        <v>0</v>
      </c>
      <c r="D6102" s="107" t="str">
        <f>IF(LEN(Table1722[[#This Row],[Uraian]])&gt;2,1," ")</f>
        <v xml:space="preserve"> </v>
      </c>
      <c r="E6102" s="113" t="str">
        <f>IF(Table1722[[#This Row],[Lawan Transaksi]]="CV AGUNG KARYA",COUNTIF($I$10:I6102,"CV AGUNG KARYA")," ")</f>
        <v xml:space="preserve"> </v>
      </c>
      <c r="F6102" s="107" t="str">
        <f>IF(LEN(Table1722[[#This Row],[Uraian]])&gt;2,TRIM(RIGHT(SUBSTITUTE(TRIM(C6102)," ",REPT(" ",255)),255))," ")</f>
        <v xml:space="preserve"> </v>
      </c>
      <c r="G6102" s="110">
        <f>COPY!Z6094</f>
        <v>0</v>
      </c>
      <c r="H6102" s="111" t="str">
        <f>IFERROR(VLOOKUP(Table1722[[#This Row],[Bukti]],'Un nOTA'!$A$4:$K$5003,10,FALSE),"")</f>
        <v/>
      </c>
      <c r="I6102" s="123" t="str">
        <f>IFERROR(VLOOKUP(Table1722[[#This Row],[Bukti]],Table13[#Data],11,FALSE),"")</f>
        <v/>
      </c>
    </row>
    <row r="6103" spans="1:9" hidden="1" x14ac:dyDescent="0.2">
      <c r="A6103" s="105" t="str">
        <f>IF(D6103=1,COUNTIF($D$10:D6103,1)," ")</f>
        <v xml:space="preserve"> </v>
      </c>
      <c r="B6103" s="106">
        <f>COPY!AR6095</f>
        <v>0</v>
      </c>
      <c r="C6103" s="107">
        <f>COPY!AC6095</f>
        <v>0</v>
      </c>
      <c r="D6103" s="107" t="str">
        <f>IF(LEN(Table1722[[#This Row],[Uraian]])&gt;2,1," ")</f>
        <v xml:space="preserve"> </v>
      </c>
      <c r="E6103" s="113" t="str">
        <f>IF(Table1722[[#This Row],[Lawan Transaksi]]="CV AGUNG KARYA",COUNTIF($I$10:I6103,"CV AGUNG KARYA")," ")</f>
        <v xml:space="preserve"> </v>
      </c>
      <c r="F6103" s="107" t="str">
        <f>IF(LEN(Table1722[[#This Row],[Uraian]])&gt;2,TRIM(RIGHT(SUBSTITUTE(TRIM(C6103)," ",REPT(" ",255)),255))," ")</f>
        <v xml:space="preserve"> </v>
      </c>
      <c r="G6103" s="110">
        <f>COPY!Z6095</f>
        <v>0</v>
      </c>
      <c r="H6103" s="111" t="str">
        <f>IFERROR(VLOOKUP(Table1722[[#This Row],[Bukti]],'Un nOTA'!$A$4:$K$5003,10,FALSE),"")</f>
        <v/>
      </c>
      <c r="I6103" s="123" t="str">
        <f>IFERROR(VLOOKUP(Table1722[[#This Row],[Bukti]],Table13[#Data],11,FALSE),"")</f>
        <v/>
      </c>
    </row>
    <row r="6104" spans="1:9" hidden="1" x14ac:dyDescent="0.2">
      <c r="A6104" s="105" t="str">
        <f>IF(D6104=1,COUNTIF($D$10:D6104,1)," ")</f>
        <v xml:space="preserve"> </v>
      </c>
      <c r="B6104" s="106">
        <f>COPY!AR6096</f>
        <v>0</v>
      </c>
      <c r="C6104" s="107">
        <f>COPY!AC6096</f>
        <v>0</v>
      </c>
      <c r="D6104" s="107" t="str">
        <f>IF(LEN(Table1722[[#This Row],[Uraian]])&gt;2,1," ")</f>
        <v xml:space="preserve"> </v>
      </c>
      <c r="E6104" s="113" t="str">
        <f>IF(Table1722[[#This Row],[Lawan Transaksi]]="CV AGUNG KARYA",COUNTIF($I$10:I6104,"CV AGUNG KARYA")," ")</f>
        <v xml:space="preserve"> </v>
      </c>
      <c r="F6104" s="107" t="str">
        <f>IF(LEN(Table1722[[#This Row],[Uraian]])&gt;2,TRIM(RIGHT(SUBSTITUTE(TRIM(C6104)," ",REPT(" ",255)),255))," ")</f>
        <v xml:space="preserve"> </v>
      </c>
      <c r="G6104" s="110">
        <f>COPY!Z6096</f>
        <v>0</v>
      </c>
      <c r="H6104" s="111" t="str">
        <f>IFERROR(VLOOKUP(Table1722[[#This Row],[Bukti]],'Un nOTA'!$A$4:$K$5003,10,FALSE),"")</f>
        <v/>
      </c>
      <c r="I6104" s="123" t="str">
        <f>IFERROR(VLOOKUP(Table1722[[#This Row],[Bukti]],Table13[#Data],11,FALSE),"")</f>
        <v/>
      </c>
    </row>
    <row r="6105" spans="1:9" hidden="1" x14ac:dyDescent="0.2">
      <c r="A6105" s="105" t="str">
        <f>IF(D6105=1,COUNTIF($D$10:D6105,1)," ")</f>
        <v xml:space="preserve"> </v>
      </c>
      <c r="B6105" s="106">
        <f>COPY!AR6097</f>
        <v>0</v>
      </c>
      <c r="C6105" s="107">
        <f>COPY!AC6097</f>
        <v>0</v>
      </c>
      <c r="D6105" s="107" t="str">
        <f>IF(LEN(Table1722[[#This Row],[Uraian]])&gt;2,1," ")</f>
        <v xml:space="preserve"> </v>
      </c>
      <c r="E6105" s="113" t="str">
        <f>IF(Table1722[[#This Row],[Lawan Transaksi]]="CV AGUNG KARYA",COUNTIF($I$10:I6105,"CV AGUNG KARYA")," ")</f>
        <v xml:space="preserve"> </v>
      </c>
      <c r="F6105" s="107" t="str">
        <f>IF(LEN(Table1722[[#This Row],[Uraian]])&gt;2,TRIM(RIGHT(SUBSTITUTE(TRIM(C6105)," ",REPT(" ",255)),255))," ")</f>
        <v xml:space="preserve"> </v>
      </c>
      <c r="G6105" s="110">
        <f>COPY!Z6097</f>
        <v>0</v>
      </c>
      <c r="H6105" s="111" t="str">
        <f>IFERROR(VLOOKUP(Table1722[[#This Row],[Bukti]],'Un nOTA'!$A$4:$K$5003,10,FALSE),"")</f>
        <v/>
      </c>
      <c r="I6105" s="123" t="str">
        <f>IFERROR(VLOOKUP(Table1722[[#This Row],[Bukti]],Table13[#Data],11,FALSE),"")</f>
        <v/>
      </c>
    </row>
    <row r="6106" spans="1:9" hidden="1" x14ac:dyDescent="0.2">
      <c r="A6106" s="105" t="str">
        <f>IF(D6106=1,COUNTIF($D$10:D6106,1)," ")</f>
        <v xml:space="preserve"> </v>
      </c>
      <c r="B6106" s="106">
        <f>COPY!AR6098</f>
        <v>0</v>
      </c>
      <c r="C6106" s="107">
        <f>COPY!AC6098</f>
        <v>0</v>
      </c>
      <c r="D6106" s="107" t="str">
        <f>IF(LEN(Table1722[[#This Row],[Uraian]])&gt;2,1," ")</f>
        <v xml:space="preserve"> </v>
      </c>
      <c r="E6106" s="113" t="str">
        <f>IF(Table1722[[#This Row],[Lawan Transaksi]]="CV AGUNG KARYA",COUNTIF($I$10:I6106,"CV AGUNG KARYA")," ")</f>
        <v xml:space="preserve"> </v>
      </c>
      <c r="F6106" s="107" t="str">
        <f>IF(LEN(Table1722[[#This Row],[Uraian]])&gt;2,TRIM(RIGHT(SUBSTITUTE(TRIM(C6106)," ",REPT(" ",255)),255))," ")</f>
        <v xml:space="preserve"> </v>
      </c>
      <c r="G6106" s="110">
        <f>COPY!Z6098</f>
        <v>0</v>
      </c>
      <c r="H6106" s="111" t="str">
        <f>IFERROR(VLOOKUP(Table1722[[#This Row],[Bukti]],'Un nOTA'!$A$4:$K$5003,10,FALSE),"")</f>
        <v/>
      </c>
      <c r="I6106" s="123" t="str">
        <f>IFERROR(VLOOKUP(Table1722[[#This Row],[Bukti]],Table13[#Data],11,FALSE),"")</f>
        <v/>
      </c>
    </row>
    <row r="6107" spans="1:9" hidden="1" x14ac:dyDescent="0.2">
      <c r="A6107" s="105" t="str">
        <f>IF(D6107=1,COUNTIF($D$10:D6107,1)," ")</f>
        <v xml:space="preserve"> </v>
      </c>
      <c r="B6107" s="106">
        <f>COPY!AR6099</f>
        <v>0</v>
      </c>
      <c r="C6107" s="107">
        <f>COPY!AC6099</f>
        <v>0</v>
      </c>
      <c r="D6107" s="107" t="str">
        <f>IF(LEN(Table1722[[#This Row],[Uraian]])&gt;2,1," ")</f>
        <v xml:space="preserve"> </v>
      </c>
      <c r="E6107" s="113" t="str">
        <f>IF(Table1722[[#This Row],[Lawan Transaksi]]="CV AGUNG KARYA",COUNTIF($I$10:I6107,"CV AGUNG KARYA")," ")</f>
        <v xml:space="preserve"> </v>
      </c>
      <c r="F6107" s="107" t="str">
        <f>IF(LEN(Table1722[[#This Row],[Uraian]])&gt;2,TRIM(RIGHT(SUBSTITUTE(TRIM(C6107)," ",REPT(" ",255)),255))," ")</f>
        <v xml:space="preserve"> </v>
      </c>
      <c r="G6107" s="110">
        <f>COPY!Z6099</f>
        <v>0</v>
      </c>
      <c r="H6107" s="111" t="str">
        <f>IFERROR(VLOOKUP(Table1722[[#This Row],[Bukti]],'Un nOTA'!$A$4:$K$5003,10,FALSE),"")</f>
        <v/>
      </c>
      <c r="I6107" s="123" t="str">
        <f>IFERROR(VLOOKUP(Table1722[[#This Row],[Bukti]],Table13[#Data],11,FALSE),"")</f>
        <v/>
      </c>
    </row>
    <row r="6108" spans="1:9" hidden="1" x14ac:dyDescent="0.2">
      <c r="A6108" s="105" t="str">
        <f>IF(D6108=1,COUNTIF($D$10:D6108,1)," ")</f>
        <v xml:space="preserve"> </v>
      </c>
      <c r="B6108" s="106">
        <f>COPY!AR6100</f>
        <v>0</v>
      </c>
      <c r="C6108" s="107">
        <f>COPY!AC6100</f>
        <v>0</v>
      </c>
      <c r="D6108" s="107" t="str">
        <f>IF(LEN(Table1722[[#This Row],[Uraian]])&gt;2,1," ")</f>
        <v xml:space="preserve"> </v>
      </c>
      <c r="E6108" s="113" t="str">
        <f>IF(Table1722[[#This Row],[Lawan Transaksi]]="CV AGUNG KARYA",COUNTIF($I$10:I6108,"CV AGUNG KARYA")," ")</f>
        <v xml:space="preserve"> </v>
      </c>
      <c r="F6108" s="107" t="str">
        <f>IF(LEN(Table1722[[#This Row],[Uraian]])&gt;2,TRIM(RIGHT(SUBSTITUTE(TRIM(C6108)," ",REPT(" ",255)),255))," ")</f>
        <v xml:space="preserve"> </v>
      </c>
      <c r="G6108" s="110">
        <f>COPY!Z6100</f>
        <v>0</v>
      </c>
      <c r="H6108" s="111" t="str">
        <f>IFERROR(VLOOKUP(Table1722[[#This Row],[Bukti]],'Un nOTA'!$A$4:$K$5003,10,FALSE),"")</f>
        <v/>
      </c>
      <c r="I6108" s="123" t="str">
        <f>IFERROR(VLOOKUP(Table1722[[#This Row],[Bukti]],Table13[#Data],11,FALSE),"")</f>
        <v/>
      </c>
    </row>
    <row r="6109" spans="1:9" hidden="1" x14ac:dyDescent="0.2">
      <c r="A6109" s="105" t="str">
        <f>IF(D6109=1,COUNTIF($D$10:D6109,1)," ")</f>
        <v xml:space="preserve"> </v>
      </c>
      <c r="B6109" s="106">
        <f>COPY!AR6101</f>
        <v>0</v>
      </c>
      <c r="C6109" s="107">
        <f>COPY!AC6101</f>
        <v>0</v>
      </c>
      <c r="D6109" s="107" t="str">
        <f>IF(LEN(Table1722[[#This Row],[Uraian]])&gt;2,1," ")</f>
        <v xml:space="preserve"> </v>
      </c>
      <c r="E6109" s="113" t="str">
        <f>IF(Table1722[[#This Row],[Lawan Transaksi]]="CV AGUNG KARYA",COUNTIF($I$10:I6109,"CV AGUNG KARYA")," ")</f>
        <v xml:space="preserve"> </v>
      </c>
      <c r="F6109" s="107" t="str">
        <f>IF(LEN(Table1722[[#This Row],[Uraian]])&gt;2,TRIM(RIGHT(SUBSTITUTE(TRIM(C6109)," ",REPT(" ",255)),255))," ")</f>
        <v xml:space="preserve"> </v>
      </c>
      <c r="G6109" s="110">
        <f>COPY!Z6101</f>
        <v>0</v>
      </c>
      <c r="H6109" s="111" t="str">
        <f>IFERROR(VLOOKUP(Table1722[[#This Row],[Bukti]],'Un nOTA'!$A$4:$K$5003,10,FALSE),"")</f>
        <v/>
      </c>
      <c r="I6109" s="123" t="str">
        <f>IFERROR(VLOOKUP(Table1722[[#This Row],[Bukti]],Table13[#Data],11,FALSE),"")</f>
        <v/>
      </c>
    </row>
    <row r="6110" spans="1:9" hidden="1" x14ac:dyDescent="0.2">
      <c r="A6110" s="105" t="str">
        <f>IF(D6110=1,COUNTIF($D$10:D6110,1)," ")</f>
        <v xml:space="preserve"> </v>
      </c>
      <c r="B6110" s="106">
        <f>COPY!AR6102</f>
        <v>0</v>
      </c>
      <c r="C6110" s="107">
        <f>COPY!AC6102</f>
        <v>0</v>
      </c>
      <c r="D6110" s="107" t="str">
        <f>IF(LEN(Table1722[[#This Row],[Uraian]])&gt;2,1," ")</f>
        <v xml:space="preserve"> </v>
      </c>
      <c r="E6110" s="113" t="str">
        <f>IF(Table1722[[#This Row],[Lawan Transaksi]]="CV AGUNG KARYA",COUNTIF($I$10:I6110,"CV AGUNG KARYA")," ")</f>
        <v xml:space="preserve"> </v>
      </c>
      <c r="F6110" s="107" t="str">
        <f>IF(LEN(Table1722[[#This Row],[Uraian]])&gt;2,TRIM(RIGHT(SUBSTITUTE(TRIM(C6110)," ",REPT(" ",255)),255))," ")</f>
        <v xml:space="preserve"> </v>
      </c>
      <c r="G6110" s="110">
        <f>COPY!Z6102</f>
        <v>0</v>
      </c>
      <c r="H6110" s="111" t="str">
        <f>IFERROR(VLOOKUP(Table1722[[#This Row],[Bukti]],'Un nOTA'!$A$4:$K$5003,10,FALSE),"")</f>
        <v/>
      </c>
      <c r="I6110" s="123" t="str">
        <f>IFERROR(VLOOKUP(Table1722[[#This Row],[Bukti]],Table13[#Data],11,FALSE),"")</f>
        <v/>
      </c>
    </row>
    <row r="6111" spans="1:9" hidden="1" x14ac:dyDescent="0.2">
      <c r="A6111" s="105" t="str">
        <f>IF(D6111=1,COUNTIF($D$10:D6111,1)," ")</f>
        <v xml:space="preserve"> </v>
      </c>
      <c r="B6111" s="106">
        <f>COPY!AR6103</f>
        <v>0</v>
      </c>
      <c r="C6111" s="107">
        <f>COPY!AC6103</f>
        <v>0</v>
      </c>
      <c r="D6111" s="107" t="str">
        <f>IF(LEN(Table1722[[#This Row],[Uraian]])&gt;2,1," ")</f>
        <v xml:space="preserve"> </v>
      </c>
      <c r="E6111" s="113" t="str">
        <f>IF(Table1722[[#This Row],[Lawan Transaksi]]="CV AGUNG KARYA",COUNTIF($I$10:I6111,"CV AGUNG KARYA")," ")</f>
        <v xml:space="preserve"> </v>
      </c>
      <c r="F6111" s="107" t="str">
        <f>IF(LEN(Table1722[[#This Row],[Uraian]])&gt;2,TRIM(RIGHT(SUBSTITUTE(TRIM(C6111)," ",REPT(" ",255)),255))," ")</f>
        <v xml:space="preserve"> </v>
      </c>
      <c r="G6111" s="110">
        <f>COPY!Z6103</f>
        <v>0</v>
      </c>
      <c r="H6111" s="111" t="str">
        <f>IFERROR(VLOOKUP(Table1722[[#This Row],[Bukti]],'Un nOTA'!$A$4:$K$5003,10,FALSE),"")</f>
        <v/>
      </c>
      <c r="I6111" s="123" t="str">
        <f>IFERROR(VLOOKUP(Table1722[[#This Row],[Bukti]],Table13[#Data],11,FALSE),"")</f>
        <v/>
      </c>
    </row>
    <row r="6112" spans="1:9" hidden="1" x14ac:dyDescent="0.2">
      <c r="A6112" s="105" t="str">
        <f>IF(D6112=1,COUNTIF($D$10:D6112,1)," ")</f>
        <v xml:space="preserve"> </v>
      </c>
      <c r="B6112" s="106">
        <f>COPY!AR6104</f>
        <v>0</v>
      </c>
      <c r="C6112" s="107">
        <f>COPY!AC6104</f>
        <v>0</v>
      </c>
      <c r="D6112" s="107" t="str">
        <f>IF(LEN(Table1722[[#This Row],[Uraian]])&gt;2,1," ")</f>
        <v xml:space="preserve"> </v>
      </c>
      <c r="E6112" s="113" t="str">
        <f>IF(Table1722[[#This Row],[Lawan Transaksi]]="CV AGUNG KARYA",COUNTIF($I$10:I6112,"CV AGUNG KARYA")," ")</f>
        <v xml:space="preserve"> </v>
      </c>
      <c r="F6112" s="107" t="str">
        <f>IF(LEN(Table1722[[#This Row],[Uraian]])&gt;2,TRIM(RIGHT(SUBSTITUTE(TRIM(C6112)," ",REPT(" ",255)),255))," ")</f>
        <v xml:space="preserve"> </v>
      </c>
      <c r="G6112" s="110">
        <f>COPY!Z6104</f>
        <v>0</v>
      </c>
      <c r="H6112" s="111" t="str">
        <f>IFERROR(VLOOKUP(Table1722[[#This Row],[Bukti]],'Un nOTA'!$A$4:$K$5003,10,FALSE),"")</f>
        <v/>
      </c>
      <c r="I6112" s="123" t="str">
        <f>IFERROR(VLOOKUP(Table1722[[#This Row],[Bukti]],Table13[#Data],11,FALSE),"")</f>
        <v/>
      </c>
    </row>
    <row r="6113" spans="1:9" hidden="1" x14ac:dyDescent="0.2">
      <c r="A6113" s="105" t="str">
        <f>IF(D6113=1,COUNTIF($D$10:D6113,1)," ")</f>
        <v xml:space="preserve"> </v>
      </c>
      <c r="B6113" s="106">
        <f>COPY!AR6105</f>
        <v>0</v>
      </c>
      <c r="C6113" s="107">
        <f>COPY!AC6105</f>
        <v>0</v>
      </c>
      <c r="D6113" s="107" t="str">
        <f>IF(LEN(Table1722[[#This Row],[Uraian]])&gt;2,1," ")</f>
        <v xml:space="preserve"> </v>
      </c>
      <c r="E6113" s="113" t="str">
        <f>IF(Table1722[[#This Row],[Lawan Transaksi]]="CV AGUNG KARYA",COUNTIF($I$10:I6113,"CV AGUNG KARYA")," ")</f>
        <v xml:space="preserve"> </v>
      </c>
      <c r="F6113" s="107" t="str">
        <f>IF(LEN(Table1722[[#This Row],[Uraian]])&gt;2,TRIM(RIGHT(SUBSTITUTE(TRIM(C6113)," ",REPT(" ",255)),255))," ")</f>
        <v xml:space="preserve"> </v>
      </c>
      <c r="G6113" s="110">
        <f>COPY!Z6105</f>
        <v>0</v>
      </c>
      <c r="H6113" s="111" t="str">
        <f>IFERROR(VLOOKUP(Table1722[[#This Row],[Bukti]],'Un nOTA'!$A$4:$K$5003,10,FALSE),"")</f>
        <v/>
      </c>
      <c r="I6113" s="123" t="str">
        <f>IFERROR(VLOOKUP(Table1722[[#This Row],[Bukti]],Table13[#Data],11,FALSE),"")</f>
        <v/>
      </c>
    </row>
    <row r="6114" spans="1:9" hidden="1" x14ac:dyDescent="0.2">
      <c r="A6114" s="105" t="str">
        <f>IF(D6114=1,COUNTIF($D$10:D6114,1)," ")</f>
        <v xml:space="preserve"> </v>
      </c>
      <c r="B6114" s="106">
        <f>COPY!AR6106</f>
        <v>0</v>
      </c>
      <c r="C6114" s="107">
        <f>COPY!AC6106</f>
        <v>0</v>
      </c>
      <c r="D6114" s="107" t="str">
        <f>IF(LEN(Table1722[[#This Row],[Uraian]])&gt;2,1," ")</f>
        <v xml:space="preserve"> </v>
      </c>
      <c r="E6114" s="113" t="str">
        <f>IF(Table1722[[#This Row],[Lawan Transaksi]]="CV AGUNG KARYA",COUNTIF($I$10:I6114,"CV AGUNG KARYA")," ")</f>
        <v xml:space="preserve"> </v>
      </c>
      <c r="F6114" s="107" t="str">
        <f>IF(LEN(Table1722[[#This Row],[Uraian]])&gt;2,TRIM(RIGHT(SUBSTITUTE(TRIM(C6114)," ",REPT(" ",255)),255))," ")</f>
        <v xml:space="preserve"> </v>
      </c>
      <c r="G6114" s="110">
        <f>COPY!Z6106</f>
        <v>0</v>
      </c>
      <c r="H6114" s="111" t="str">
        <f>IFERROR(VLOOKUP(Table1722[[#This Row],[Bukti]],'Un nOTA'!$A$4:$K$5003,10,FALSE),"")</f>
        <v/>
      </c>
      <c r="I6114" s="123" t="str">
        <f>IFERROR(VLOOKUP(Table1722[[#This Row],[Bukti]],Table13[#Data],11,FALSE),"")</f>
        <v/>
      </c>
    </row>
    <row r="6115" spans="1:9" hidden="1" x14ac:dyDescent="0.2">
      <c r="A6115" s="105" t="str">
        <f>IF(D6115=1,COUNTIF($D$10:D6115,1)," ")</f>
        <v xml:space="preserve"> </v>
      </c>
      <c r="B6115" s="106">
        <f>COPY!AR6107</f>
        <v>0</v>
      </c>
      <c r="C6115" s="107">
        <f>COPY!AC6107</f>
        <v>0</v>
      </c>
      <c r="D6115" s="107" t="str">
        <f>IF(LEN(Table1722[[#This Row],[Uraian]])&gt;2,1," ")</f>
        <v xml:space="preserve"> </v>
      </c>
      <c r="E6115" s="113" t="str">
        <f>IF(Table1722[[#This Row],[Lawan Transaksi]]="CV AGUNG KARYA",COUNTIF($I$10:I6115,"CV AGUNG KARYA")," ")</f>
        <v xml:space="preserve"> </v>
      </c>
      <c r="F6115" s="107" t="str">
        <f>IF(LEN(Table1722[[#This Row],[Uraian]])&gt;2,TRIM(RIGHT(SUBSTITUTE(TRIM(C6115)," ",REPT(" ",255)),255))," ")</f>
        <v xml:space="preserve"> </v>
      </c>
      <c r="G6115" s="110">
        <f>COPY!Z6107</f>
        <v>0</v>
      </c>
      <c r="H6115" s="111" t="str">
        <f>IFERROR(VLOOKUP(Table1722[[#This Row],[Bukti]],'Un nOTA'!$A$4:$K$5003,10,FALSE),"")</f>
        <v/>
      </c>
      <c r="I6115" s="123" t="str">
        <f>IFERROR(VLOOKUP(Table1722[[#This Row],[Bukti]],Table13[#Data],11,FALSE),"")</f>
        <v/>
      </c>
    </row>
    <row r="6116" spans="1:9" hidden="1" x14ac:dyDescent="0.2">
      <c r="A6116" s="105" t="str">
        <f>IF(D6116=1,COUNTIF($D$10:D6116,1)," ")</f>
        <v xml:space="preserve"> </v>
      </c>
      <c r="B6116" s="106">
        <f>COPY!AR6108</f>
        <v>0</v>
      </c>
      <c r="C6116" s="107">
        <f>COPY!AC6108</f>
        <v>0</v>
      </c>
      <c r="D6116" s="107" t="str">
        <f>IF(LEN(Table1722[[#This Row],[Uraian]])&gt;2,1," ")</f>
        <v xml:space="preserve"> </v>
      </c>
      <c r="E6116" s="113" t="str">
        <f>IF(Table1722[[#This Row],[Lawan Transaksi]]="CV AGUNG KARYA",COUNTIF($I$10:I6116,"CV AGUNG KARYA")," ")</f>
        <v xml:space="preserve"> </v>
      </c>
      <c r="F6116" s="107" t="str">
        <f>IF(LEN(Table1722[[#This Row],[Uraian]])&gt;2,TRIM(RIGHT(SUBSTITUTE(TRIM(C6116)," ",REPT(" ",255)),255))," ")</f>
        <v xml:space="preserve"> </v>
      </c>
      <c r="G6116" s="110">
        <f>COPY!Z6108</f>
        <v>0</v>
      </c>
      <c r="H6116" s="111" t="str">
        <f>IFERROR(VLOOKUP(Table1722[[#This Row],[Bukti]],'Un nOTA'!$A$4:$K$5003,10,FALSE),"")</f>
        <v/>
      </c>
      <c r="I6116" s="123" t="str">
        <f>IFERROR(VLOOKUP(Table1722[[#This Row],[Bukti]],Table13[#Data],11,FALSE),"")</f>
        <v/>
      </c>
    </row>
    <row r="6117" spans="1:9" hidden="1" x14ac:dyDescent="0.2">
      <c r="A6117" s="105" t="str">
        <f>IF(D6117=1,COUNTIF($D$10:D6117,1)," ")</f>
        <v xml:space="preserve"> </v>
      </c>
      <c r="B6117" s="106">
        <f>COPY!AR6109</f>
        <v>0</v>
      </c>
      <c r="C6117" s="107">
        <f>COPY!AC6109</f>
        <v>0</v>
      </c>
      <c r="D6117" s="107" t="str">
        <f>IF(LEN(Table1722[[#This Row],[Uraian]])&gt;2,1," ")</f>
        <v xml:space="preserve"> </v>
      </c>
      <c r="E6117" s="113" t="str">
        <f>IF(Table1722[[#This Row],[Lawan Transaksi]]="CV AGUNG KARYA",COUNTIF($I$10:I6117,"CV AGUNG KARYA")," ")</f>
        <v xml:space="preserve"> </v>
      </c>
      <c r="F6117" s="107" t="str">
        <f>IF(LEN(Table1722[[#This Row],[Uraian]])&gt;2,TRIM(RIGHT(SUBSTITUTE(TRIM(C6117)," ",REPT(" ",255)),255))," ")</f>
        <v xml:space="preserve"> </v>
      </c>
      <c r="G6117" s="110">
        <f>COPY!Z6109</f>
        <v>0</v>
      </c>
      <c r="H6117" s="111" t="str">
        <f>IFERROR(VLOOKUP(Table1722[[#This Row],[Bukti]],'Un nOTA'!$A$4:$K$5003,10,FALSE),"")</f>
        <v/>
      </c>
      <c r="I6117" s="123" t="str">
        <f>IFERROR(VLOOKUP(Table1722[[#This Row],[Bukti]],Table13[#Data],11,FALSE),"")</f>
        <v/>
      </c>
    </row>
    <row r="6118" spans="1:9" hidden="1" x14ac:dyDescent="0.2">
      <c r="A6118" s="105" t="str">
        <f>IF(D6118=1,COUNTIF($D$10:D6118,1)," ")</f>
        <v xml:space="preserve"> </v>
      </c>
      <c r="B6118" s="106">
        <f>COPY!AR6110</f>
        <v>0</v>
      </c>
      <c r="C6118" s="107">
        <f>COPY!AC6110</f>
        <v>0</v>
      </c>
      <c r="D6118" s="107" t="str">
        <f>IF(LEN(Table1722[[#This Row],[Uraian]])&gt;2,1," ")</f>
        <v xml:space="preserve"> </v>
      </c>
      <c r="E6118" s="113" t="str">
        <f>IF(Table1722[[#This Row],[Lawan Transaksi]]="CV AGUNG KARYA",COUNTIF($I$10:I6118,"CV AGUNG KARYA")," ")</f>
        <v xml:space="preserve"> </v>
      </c>
      <c r="F6118" s="107" t="str">
        <f>IF(LEN(Table1722[[#This Row],[Uraian]])&gt;2,TRIM(RIGHT(SUBSTITUTE(TRIM(C6118)," ",REPT(" ",255)),255))," ")</f>
        <v xml:space="preserve"> </v>
      </c>
      <c r="G6118" s="110">
        <f>COPY!Z6110</f>
        <v>0</v>
      </c>
      <c r="H6118" s="111" t="str">
        <f>IFERROR(VLOOKUP(Table1722[[#This Row],[Bukti]],'Un nOTA'!$A$4:$K$5003,10,FALSE),"")</f>
        <v/>
      </c>
      <c r="I6118" s="123" t="str">
        <f>IFERROR(VLOOKUP(Table1722[[#This Row],[Bukti]],Table13[#Data],11,FALSE),"")</f>
        <v/>
      </c>
    </row>
    <row r="6119" spans="1:9" hidden="1" x14ac:dyDescent="0.2">
      <c r="A6119" s="105" t="str">
        <f>IF(D6119=1,COUNTIF($D$10:D6119,1)," ")</f>
        <v xml:space="preserve"> </v>
      </c>
      <c r="B6119" s="106">
        <f>COPY!AR6111</f>
        <v>0</v>
      </c>
      <c r="C6119" s="107">
        <f>COPY!AC6111</f>
        <v>0</v>
      </c>
      <c r="D6119" s="107" t="str">
        <f>IF(LEN(Table1722[[#This Row],[Uraian]])&gt;2,1," ")</f>
        <v xml:space="preserve"> </v>
      </c>
      <c r="E6119" s="113" t="str">
        <f>IF(Table1722[[#This Row],[Lawan Transaksi]]="CV AGUNG KARYA",COUNTIF($I$10:I6119,"CV AGUNG KARYA")," ")</f>
        <v xml:space="preserve"> </v>
      </c>
      <c r="F6119" s="107" t="str">
        <f>IF(LEN(Table1722[[#This Row],[Uraian]])&gt;2,TRIM(RIGHT(SUBSTITUTE(TRIM(C6119)," ",REPT(" ",255)),255))," ")</f>
        <v xml:space="preserve"> </v>
      </c>
      <c r="G6119" s="110">
        <f>COPY!Z6111</f>
        <v>0</v>
      </c>
      <c r="H6119" s="111" t="str">
        <f>IFERROR(VLOOKUP(Table1722[[#This Row],[Bukti]],'Un nOTA'!$A$4:$K$5003,10,FALSE),"")</f>
        <v/>
      </c>
      <c r="I6119" s="123" t="str">
        <f>IFERROR(VLOOKUP(Table1722[[#This Row],[Bukti]],Table13[#Data],11,FALSE),"")</f>
        <v/>
      </c>
    </row>
    <row r="6120" spans="1:9" hidden="1" x14ac:dyDescent="0.2">
      <c r="A6120" s="105" t="str">
        <f>IF(D6120=1,COUNTIF($D$10:D6120,1)," ")</f>
        <v xml:space="preserve"> </v>
      </c>
      <c r="B6120" s="106">
        <f>COPY!AR6112</f>
        <v>0</v>
      </c>
      <c r="C6120" s="107">
        <f>COPY!AC6112</f>
        <v>0</v>
      </c>
      <c r="D6120" s="107" t="str">
        <f>IF(LEN(Table1722[[#This Row],[Uraian]])&gt;2,1," ")</f>
        <v xml:space="preserve"> </v>
      </c>
      <c r="E6120" s="113" t="str">
        <f>IF(Table1722[[#This Row],[Lawan Transaksi]]="CV AGUNG KARYA",COUNTIF($I$10:I6120,"CV AGUNG KARYA")," ")</f>
        <v xml:space="preserve"> </v>
      </c>
      <c r="F6120" s="107" t="str">
        <f>IF(LEN(Table1722[[#This Row],[Uraian]])&gt;2,TRIM(RIGHT(SUBSTITUTE(TRIM(C6120)," ",REPT(" ",255)),255))," ")</f>
        <v xml:space="preserve"> </v>
      </c>
      <c r="G6120" s="110">
        <f>COPY!Z6112</f>
        <v>0</v>
      </c>
      <c r="H6120" s="111" t="str">
        <f>IFERROR(VLOOKUP(Table1722[[#This Row],[Bukti]],'Un nOTA'!$A$4:$K$5003,10,FALSE),"")</f>
        <v/>
      </c>
      <c r="I6120" s="123" t="str">
        <f>IFERROR(VLOOKUP(Table1722[[#This Row],[Bukti]],Table13[#Data],11,FALSE),"")</f>
        <v/>
      </c>
    </row>
    <row r="6121" spans="1:9" hidden="1" x14ac:dyDescent="0.2">
      <c r="A6121" s="105" t="str">
        <f>IF(D6121=1,COUNTIF($D$10:D6121,1)," ")</f>
        <v xml:space="preserve"> </v>
      </c>
      <c r="B6121" s="106">
        <f>COPY!AR6113</f>
        <v>0</v>
      </c>
      <c r="C6121" s="107">
        <f>COPY!AC6113</f>
        <v>0</v>
      </c>
      <c r="D6121" s="107" t="str">
        <f>IF(LEN(Table1722[[#This Row],[Uraian]])&gt;2,1," ")</f>
        <v xml:space="preserve"> </v>
      </c>
      <c r="E6121" s="113" t="str">
        <f>IF(Table1722[[#This Row],[Lawan Transaksi]]="CV AGUNG KARYA",COUNTIF($I$10:I6121,"CV AGUNG KARYA")," ")</f>
        <v xml:space="preserve"> </v>
      </c>
      <c r="F6121" s="107" t="str">
        <f>IF(LEN(Table1722[[#This Row],[Uraian]])&gt;2,TRIM(RIGHT(SUBSTITUTE(TRIM(C6121)," ",REPT(" ",255)),255))," ")</f>
        <v xml:space="preserve"> </v>
      </c>
      <c r="G6121" s="110">
        <f>COPY!Z6113</f>
        <v>0</v>
      </c>
      <c r="H6121" s="111" t="str">
        <f>IFERROR(VLOOKUP(Table1722[[#This Row],[Bukti]],'Un nOTA'!$A$4:$K$5003,10,FALSE),"")</f>
        <v/>
      </c>
      <c r="I6121" s="123" t="str">
        <f>IFERROR(VLOOKUP(Table1722[[#This Row],[Bukti]],Table13[#Data],11,FALSE),"")</f>
        <v/>
      </c>
    </row>
    <row r="6122" spans="1:9" hidden="1" x14ac:dyDescent="0.2">
      <c r="A6122" s="105" t="str">
        <f>IF(D6122=1,COUNTIF($D$10:D6122,1)," ")</f>
        <v xml:space="preserve"> </v>
      </c>
      <c r="B6122" s="106">
        <f>COPY!AR6114</f>
        <v>0</v>
      </c>
      <c r="C6122" s="107">
        <f>COPY!AC6114</f>
        <v>0</v>
      </c>
      <c r="D6122" s="107" t="str">
        <f>IF(LEN(Table1722[[#This Row],[Uraian]])&gt;2,1," ")</f>
        <v xml:space="preserve"> </v>
      </c>
      <c r="E6122" s="113" t="str">
        <f>IF(Table1722[[#This Row],[Lawan Transaksi]]="CV AGUNG KARYA",COUNTIF($I$10:I6122,"CV AGUNG KARYA")," ")</f>
        <v xml:space="preserve"> </v>
      </c>
      <c r="F6122" s="107" t="str">
        <f>IF(LEN(Table1722[[#This Row],[Uraian]])&gt;2,TRIM(RIGHT(SUBSTITUTE(TRIM(C6122)," ",REPT(" ",255)),255))," ")</f>
        <v xml:space="preserve"> </v>
      </c>
      <c r="G6122" s="110">
        <f>COPY!Z6114</f>
        <v>0</v>
      </c>
      <c r="H6122" s="111" t="str">
        <f>IFERROR(VLOOKUP(Table1722[[#This Row],[Bukti]],'Un nOTA'!$A$4:$K$5003,10,FALSE),"")</f>
        <v/>
      </c>
      <c r="I6122" s="123" t="str">
        <f>IFERROR(VLOOKUP(Table1722[[#This Row],[Bukti]],Table13[#Data],11,FALSE),"")</f>
        <v/>
      </c>
    </row>
    <row r="6123" spans="1:9" hidden="1" x14ac:dyDescent="0.2">
      <c r="A6123" s="105" t="str">
        <f>IF(D6123=1,COUNTIF($D$10:D6123,1)," ")</f>
        <v xml:space="preserve"> </v>
      </c>
      <c r="B6123" s="106">
        <f>COPY!AR6115</f>
        <v>0</v>
      </c>
      <c r="C6123" s="107">
        <f>COPY!AC6115</f>
        <v>0</v>
      </c>
      <c r="D6123" s="107" t="str">
        <f>IF(LEN(Table1722[[#This Row],[Uraian]])&gt;2,1," ")</f>
        <v xml:space="preserve"> </v>
      </c>
      <c r="E6123" s="113" t="str">
        <f>IF(Table1722[[#This Row],[Lawan Transaksi]]="CV AGUNG KARYA",COUNTIF($I$10:I6123,"CV AGUNG KARYA")," ")</f>
        <v xml:space="preserve"> </v>
      </c>
      <c r="F6123" s="107" t="str">
        <f>IF(LEN(Table1722[[#This Row],[Uraian]])&gt;2,TRIM(RIGHT(SUBSTITUTE(TRIM(C6123)," ",REPT(" ",255)),255))," ")</f>
        <v xml:space="preserve"> </v>
      </c>
      <c r="G6123" s="110">
        <f>COPY!Z6115</f>
        <v>0</v>
      </c>
      <c r="H6123" s="111" t="str">
        <f>IFERROR(VLOOKUP(Table1722[[#This Row],[Bukti]],'Un nOTA'!$A$4:$K$5003,10,FALSE),"")</f>
        <v/>
      </c>
      <c r="I6123" s="123" t="str">
        <f>IFERROR(VLOOKUP(Table1722[[#This Row],[Bukti]],Table13[#Data],11,FALSE),"")</f>
        <v/>
      </c>
    </row>
    <row r="6124" spans="1:9" hidden="1" x14ac:dyDescent="0.2">
      <c r="A6124" s="105" t="str">
        <f>IF(D6124=1,COUNTIF($D$10:D6124,1)," ")</f>
        <v xml:space="preserve"> </v>
      </c>
      <c r="B6124" s="106">
        <f>COPY!AR6116</f>
        <v>0</v>
      </c>
      <c r="C6124" s="107">
        <f>COPY!AC6116</f>
        <v>0</v>
      </c>
      <c r="D6124" s="107" t="str">
        <f>IF(LEN(Table1722[[#This Row],[Uraian]])&gt;2,1," ")</f>
        <v xml:space="preserve"> </v>
      </c>
      <c r="E6124" s="113" t="str">
        <f>IF(Table1722[[#This Row],[Lawan Transaksi]]="CV AGUNG KARYA",COUNTIF($I$10:I6124,"CV AGUNG KARYA")," ")</f>
        <v xml:space="preserve"> </v>
      </c>
      <c r="F6124" s="107" t="str">
        <f>IF(LEN(Table1722[[#This Row],[Uraian]])&gt;2,TRIM(RIGHT(SUBSTITUTE(TRIM(C6124)," ",REPT(" ",255)),255))," ")</f>
        <v xml:space="preserve"> </v>
      </c>
      <c r="G6124" s="110">
        <f>COPY!Z6116</f>
        <v>0</v>
      </c>
      <c r="H6124" s="111" t="str">
        <f>IFERROR(VLOOKUP(Table1722[[#This Row],[Bukti]],'Un nOTA'!$A$4:$K$5003,10,FALSE),"")</f>
        <v/>
      </c>
      <c r="I6124" s="123" t="str">
        <f>IFERROR(VLOOKUP(Table1722[[#This Row],[Bukti]],Table13[#Data],11,FALSE),"")</f>
        <v/>
      </c>
    </row>
    <row r="6125" spans="1:9" hidden="1" x14ac:dyDescent="0.2">
      <c r="A6125" s="105" t="str">
        <f>IF(D6125=1,COUNTIF($D$10:D6125,1)," ")</f>
        <v xml:space="preserve"> </v>
      </c>
      <c r="B6125" s="106">
        <f>COPY!AR6117</f>
        <v>0</v>
      </c>
      <c r="C6125" s="107">
        <f>COPY!AC6117</f>
        <v>0</v>
      </c>
      <c r="D6125" s="107" t="str">
        <f>IF(LEN(Table1722[[#This Row],[Uraian]])&gt;2,1," ")</f>
        <v xml:space="preserve"> </v>
      </c>
      <c r="E6125" s="113" t="str">
        <f>IF(Table1722[[#This Row],[Lawan Transaksi]]="CV AGUNG KARYA",COUNTIF($I$10:I6125,"CV AGUNG KARYA")," ")</f>
        <v xml:space="preserve"> </v>
      </c>
      <c r="F6125" s="107" t="str">
        <f>IF(LEN(Table1722[[#This Row],[Uraian]])&gt;2,TRIM(RIGHT(SUBSTITUTE(TRIM(C6125)," ",REPT(" ",255)),255))," ")</f>
        <v xml:space="preserve"> </v>
      </c>
      <c r="G6125" s="110">
        <f>COPY!Z6117</f>
        <v>0</v>
      </c>
      <c r="H6125" s="111" t="str">
        <f>IFERROR(VLOOKUP(Table1722[[#This Row],[Bukti]],'Un nOTA'!$A$4:$K$5003,10,FALSE),"")</f>
        <v/>
      </c>
      <c r="I6125" s="123" t="str">
        <f>IFERROR(VLOOKUP(Table1722[[#This Row],[Bukti]],Table13[#Data],11,FALSE),"")</f>
        <v/>
      </c>
    </row>
    <row r="6126" spans="1:9" hidden="1" x14ac:dyDescent="0.2">
      <c r="A6126" s="105" t="str">
        <f>IF(D6126=1,COUNTIF($D$10:D6126,1)," ")</f>
        <v xml:space="preserve"> </v>
      </c>
      <c r="B6126" s="106">
        <f>COPY!AR6118</f>
        <v>0</v>
      </c>
      <c r="C6126" s="107">
        <f>COPY!AC6118</f>
        <v>0</v>
      </c>
      <c r="D6126" s="107" t="str">
        <f>IF(LEN(Table1722[[#This Row],[Uraian]])&gt;2,1," ")</f>
        <v xml:space="preserve"> </v>
      </c>
      <c r="E6126" s="113" t="str">
        <f>IF(Table1722[[#This Row],[Lawan Transaksi]]="CV AGUNG KARYA",COUNTIF($I$10:I6126,"CV AGUNG KARYA")," ")</f>
        <v xml:space="preserve"> </v>
      </c>
      <c r="F6126" s="107" t="str">
        <f>IF(LEN(Table1722[[#This Row],[Uraian]])&gt;2,TRIM(RIGHT(SUBSTITUTE(TRIM(C6126)," ",REPT(" ",255)),255))," ")</f>
        <v xml:space="preserve"> </v>
      </c>
      <c r="G6126" s="110">
        <f>COPY!Z6118</f>
        <v>0</v>
      </c>
      <c r="H6126" s="111" t="str">
        <f>IFERROR(VLOOKUP(Table1722[[#This Row],[Bukti]],'Un nOTA'!$A$4:$K$5003,10,FALSE),"")</f>
        <v/>
      </c>
      <c r="I6126" s="123" t="str">
        <f>IFERROR(VLOOKUP(Table1722[[#This Row],[Bukti]],Table13[#Data],11,FALSE),"")</f>
        <v/>
      </c>
    </row>
    <row r="6127" spans="1:9" hidden="1" x14ac:dyDescent="0.2">
      <c r="A6127" s="105" t="str">
        <f>IF(D6127=1,COUNTIF($D$10:D6127,1)," ")</f>
        <v xml:space="preserve"> </v>
      </c>
      <c r="B6127" s="106">
        <f>COPY!AR6119</f>
        <v>0</v>
      </c>
      <c r="C6127" s="107">
        <f>COPY!AC6119</f>
        <v>0</v>
      </c>
      <c r="D6127" s="107" t="str">
        <f>IF(LEN(Table1722[[#This Row],[Uraian]])&gt;2,1," ")</f>
        <v xml:space="preserve"> </v>
      </c>
      <c r="E6127" s="113" t="str">
        <f>IF(Table1722[[#This Row],[Lawan Transaksi]]="CV AGUNG KARYA",COUNTIF($I$10:I6127,"CV AGUNG KARYA")," ")</f>
        <v xml:space="preserve"> </v>
      </c>
      <c r="F6127" s="107" t="str">
        <f>IF(LEN(Table1722[[#This Row],[Uraian]])&gt;2,TRIM(RIGHT(SUBSTITUTE(TRIM(C6127)," ",REPT(" ",255)),255))," ")</f>
        <v xml:space="preserve"> </v>
      </c>
      <c r="G6127" s="110">
        <f>COPY!Z6119</f>
        <v>0</v>
      </c>
      <c r="H6127" s="111" t="str">
        <f>IFERROR(VLOOKUP(Table1722[[#This Row],[Bukti]],'Un nOTA'!$A$4:$K$5003,10,FALSE),"")</f>
        <v/>
      </c>
      <c r="I6127" s="123" t="str">
        <f>IFERROR(VLOOKUP(Table1722[[#This Row],[Bukti]],Table13[#Data],11,FALSE),"")</f>
        <v/>
      </c>
    </row>
    <row r="6128" spans="1:9" hidden="1" x14ac:dyDescent="0.2">
      <c r="A6128" s="105" t="str">
        <f>IF(D6128=1,COUNTIF($D$10:D6128,1)," ")</f>
        <v xml:space="preserve"> </v>
      </c>
      <c r="B6128" s="106">
        <f>COPY!AR6120</f>
        <v>0</v>
      </c>
      <c r="C6128" s="107">
        <f>COPY!AC6120</f>
        <v>0</v>
      </c>
      <c r="D6128" s="107" t="str">
        <f>IF(LEN(Table1722[[#This Row],[Uraian]])&gt;2,1," ")</f>
        <v xml:space="preserve"> </v>
      </c>
      <c r="E6128" s="113" t="str">
        <f>IF(Table1722[[#This Row],[Lawan Transaksi]]="CV AGUNG KARYA",COUNTIF($I$10:I6128,"CV AGUNG KARYA")," ")</f>
        <v xml:space="preserve"> </v>
      </c>
      <c r="F6128" s="107" t="str">
        <f>IF(LEN(Table1722[[#This Row],[Uraian]])&gt;2,TRIM(RIGHT(SUBSTITUTE(TRIM(C6128)," ",REPT(" ",255)),255))," ")</f>
        <v xml:space="preserve"> </v>
      </c>
      <c r="G6128" s="110">
        <f>COPY!Z6120</f>
        <v>0</v>
      </c>
      <c r="H6128" s="111" t="str">
        <f>IFERROR(VLOOKUP(Table1722[[#This Row],[Bukti]],'Un nOTA'!$A$4:$K$5003,10,FALSE),"")</f>
        <v/>
      </c>
      <c r="I6128" s="123" t="str">
        <f>IFERROR(VLOOKUP(Table1722[[#This Row],[Bukti]],Table13[#Data],11,FALSE),"")</f>
        <v/>
      </c>
    </row>
    <row r="6129" spans="1:9" hidden="1" x14ac:dyDescent="0.2">
      <c r="A6129" s="105" t="str">
        <f>IF(D6129=1,COUNTIF($D$10:D6129,1)," ")</f>
        <v xml:space="preserve"> </v>
      </c>
      <c r="B6129" s="106">
        <f>COPY!AR6121</f>
        <v>0</v>
      </c>
      <c r="C6129" s="107">
        <f>COPY!AC6121</f>
        <v>0</v>
      </c>
      <c r="D6129" s="107" t="str">
        <f>IF(LEN(Table1722[[#This Row],[Uraian]])&gt;2,1," ")</f>
        <v xml:space="preserve"> </v>
      </c>
      <c r="E6129" s="113" t="str">
        <f>IF(Table1722[[#This Row],[Lawan Transaksi]]="CV AGUNG KARYA",COUNTIF($I$10:I6129,"CV AGUNG KARYA")," ")</f>
        <v xml:space="preserve"> </v>
      </c>
      <c r="F6129" s="107" t="str">
        <f>IF(LEN(Table1722[[#This Row],[Uraian]])&gt;2,TRIM(RIGHT(SUBSTITUTE(TRIM(C6129)," ",REPT(" ",255)),255))," ")</f>
        <v xml:space="preserve"> </v>
      </c>
      <c r="G6129" s="110">
        <f>COPY!Z6121</f>
        <v>0</v>
      </c>
      <c r="H6129" s="111" t="str">
        <f>IFERROR(VLOOKUP(Table1722[[#This Row],[Bukti]],'Un nOTA'!$A$4:$K$5003,10,FALSE),"")</f>
        <v/>
      </c>
      <c r="I6129" s="123" t="str">
        <f>IFERROR(VLOOKUP(Table1722[[#This Row],[Bukti]],Table13[#Data],11,FALSE),"")</f>
        <v/>
      </c>
    </row>
    <row r="6130" spans="1:9" hidden="1" x14ac:dyDescent="0.2">
      <c r="A6130" s="105" t="str">
        <f>IF(D6130=1,COUNTIF($D$10:D6130,1)," ")</f>
        <v xml:space="preserve"> </v>
      </c>
      <c r="B6130" s="106">
        <f>COPY!AR6122</f>
        <v>0</v>
      </c>
      <c r="C6130" s="107">
        <f>COPY!AC6122</f>
        <v>0</v>
      </c>
      <c r="D6130" s="107" t="str">
        <f>IF(LEN(Table1722[[#This Row],[Uraian]])&gt;2,1," ")</f>
        <v xml:space="preserve"> </v>
      </c>
      <c r="E6130" s="113" t="str">
        <f>IF(Table1722[[#This Row],[Lawan Transaksi]]="CV AGUNG KARYA",COUNTIF($I$10:I6130,"CV AGUNG KARYA")," ")</f>
        <v xml:space="preserve"> </v>
      </c>
      <c r="F6130" s="107" t="str">
        <f>IF(LEN(Table1722[[#This Row],[Uraian]])&gt;2,TRIM(RIGHT(SUBSTITUTE(TRIM(C6130)," ",REPT(" ",255)),255))," ")</f>
        <v xml:space="preserve"> </v>
      </c>
      <c r="G6130" s="110">
        <f>COPY!Z6122</f>
        <v>0</v>
      </c>
      <c r="H6130" s="111" t="str">
        <f>IFERROR(VLOOKUP(Table1722[[#This Row],[Bukti]],'Un nOTA'!$A$4:$K$5003,10,FALSE),"")</f>
        <v/>
      </c>
      <c r="I6130" s="123" t="str">
        <f>IFERROR(VLOOKUP(Table1722[[#This Row],[Bukti]],Table13[#Data],11,FALSE),"")</f>
        <v/>
      </c>
    </row>
    <row r="6131" spans="1:9" hidden="1" x14ac:dyDescent="0.2">
      <c r="A6131" s="105" t="str">
        <f>IF(D6131=1,COUNTIF($D$10:D6131,1)," ")</f>
        <v xml:space="preserve"> </v>
      </c>
      <c r="B6131" s="106">
        <f>COPY!AR6123</f>
        <v>0</v>
      </c>
      <c r="C6131" s="107">
        <f>COPY!AC6123</f>
        <v>0</v>
      </c>
      <c r="D6131" s="107" t="str">
        <f>IF(LEN(Table1722[[#This Row],[Uraian]])&gt;2,1," ")</f>
        <v xml:space="preserve"> </v>
      </c>
      <c r="E6131" s="113" t="str">
        <f>IF(Table1722[[#This Row],[Lawan Transaksi]]="CV AGUNG KARYA",COUNTIF($I$10:I6131,"CV AGUNG KARYA")," ")</f>
        <v xml:space="preserve"> </v>
      </c>
      <c r="F6131" s="107" t="str">
        <f>IF(LEN(Table1722[[#This Row],[Uraian]])&gt;2,TRIM(RIGHT(SUBSTITUTE(TRIM(C6131)," ",REPT(" ",255)),255))," ")</f>
        <v xml:space="preserve"> </v>
      </c>
      <c r="G6131" s="110">
        <f>COPY!Z6123</f>
        <v>0</v>
      </c>
      <c r="H6131" s="111" t="str">
        <f>IFERROR(VLOOKUP(Table1722[[#This Row],[Bukti]],'Un nOTA'!$A$4:$K$5003,10,FALSE),"")</f>
        <v/>
      </c>
      <c r="I6131" s="123" t="str">
        <f>IFERROR(VLOOKUP(Table1722[[#This Row],[Bukti]],Table13[#Data],11,FALSE),"")</f>
        <v/>
      </c>
    </row>
    <row r="6132" spans="1:9" hidden="1" x14ac:dyDescent="0.2">
      <c r="A6132" s="105" t="str">
        <f>IF(D6132=1,COUNTIF($D$10:D6132,1)," ")</f>
        <v xml:space="preserve"> </v>
      </c>
      <c r="B6132" s="106">
        <f>COPY!AR6124</f>
        <v>0</v>
      </c>
      <c r="C6132" s="107">
        <f>COPY!AC6124</f>
        <v>0</v>
      </c>
      <c r="D6132" s="107" t="str">
        <f>IF(LEN(Table1722[[#This Row],[Uraian]])&gt;2,1," ")</f>
        <v xml:space="preserve"> </v>
      </c>
      <c r="E6132" s="113" t="str">
        <f>IF(Table1722[[#This Row],[Lawan Transaksi]]="CV AGUNG KARYA",COUNTIF($I$10:I6132,"CV AGUNG KARYA")," ")</f>
        <v xml:space="preserve"> </v>
      </c>
      <c r="F6132" s="107" t="str">
        <f>IF(LEN(Table1722[[#This Row],[Uraian]])&gt;2,TRIM(RIGHT(SUBSTITUTE(TRIM(C6132)," ",REPT(" ",255)),255))," ")</f>
        <v xml:space="preserve"> </v>
      </c>
      <c r="G6132" s="110">
        <f>COPY!Z6124</f>
        <v>0</v>
      </c>
      <c r="H6132" s="111" t="str">
        <f>IFERROR(VLOOKUP(Table1722[[#This Row],[Bukti]],'Un nOTA'!$A$4:$K$5003,10,FALSE),"")</f>
        <v/>
      </c>
      <c r="I6132" s="123" t="str">
        <f>IFERROR(VLOOKUP(Table1722[[#This Row],[Bukti]],Table13[#Data],11,FALSE),"")</f>
        <v/>
      </c>
    </row>
    <row r="6133" spans="1:9" hidden="1" x14ac:dyDescent="0.2">
      <c r="A6133" s="105" t="str">
        <f>IF(D6133=1,COUNTIF($D$10:D6133,1)," ")</f>
        <v xml:space="preserve"> </v>
      </c>
      <c r="B6133" s="106">
        <f>COPY!AR6125</f>
        <v>0</v>
      </c>
      <c r="C6133" s="107">
        <f>COPY!AC6125</f>
        <v>0</v>
      </c>
      <c r="D6133" s="107" t="str">
        <f>IF(LEN(Table1722[[#This Row],[Uraian]])&gt;2,1," ")</f>
        <v xml:space="preserve"> </v>
      </c>
      <c r="E6133" s="113" t="str">
        <f>IF(Table1722[[#This Row],[Lawan Transaksi]]="CV AGUNG KARYA",COUNTIF($I$10:I6133,"CV AGUNG KARYA")," ")</f>
        <v xml:space="preserve"> </v>
      </c>
      <c r="F6133" s="107" t="str">
        <f>IF(LEN(Table1722[[#This Row],[Uraian]])&gt;2,TRIM(RIGHT(SUBSTITUTE(TRIM(C6133)," ",REPT(" ",255)),255))," ")</f>
        <v xml:space="preserve"> </v>
      </c>
      <c r="G6133" s="110">
        <f>COPY!Z6125</f>
        <v>0</v>
      </c>
      <c r="H6133" s="111" t="str">
        <f>IFERROR(VLOOKUP(Table1722[[#This Row],[Bukti]],'Un nOTA'!$A$4:$K$5003,10,FALSE),"")</f>
        <v/>
      </c>
      <c r="I6133" s="123" t="str">
        <f>IFERROR(VLOOKUP(Table1722[[#This Row],[Bukti]],Table13[#Data],11,FALSE),"")</f>
        <v/>
      </c>
    </row>
    <row r="6134" spans="1:9" hidden="1" x14ac:dyDescent="0.2">
      <c r="A6134" s="105" t="str">
        <f>IF(D6134=1,COUNTIF($D$10:D6134,1)," ")</f>
        <v xml:space="preserve"> </v>
      </c>
      <c r="B6134" s="106">
        <f>COPY!AR6126</f>
        <v>0</v>
      </c>
      <c r="C6134" s="107">
        <f>COPY!AC6126</f>
        <v>0</v>
      </c>
      <c r="D6134" s="107" t="str">
        <f>IF(LEN(Table1722[[#This Row],[Uraian]])&gt;2,1," ")</f>
        <v xml:space="preserve"> </v>
      </c>
      <c r="E6134" s="113" t="str">
        <f>IF(Table1722[[#This Row],[Lawan Transaksi]]="CV AGUNG KARYA",COUNTIF($I$10:I6134,"CV AGUNG KARYA")," ")</f>
        <v xml:space="preserve"> </v>
      </c>
      <c r="F6134" s="107" t="str">
        <f>IF(LEN(Table1722[[#This Row],[Uraian]])&gt;2,TRIM(RIGHT(SUBSTITUTE(TRIM(C6134)," ",REPT(" ",255)),255))," ")</f>
        <v xml:space="preserve"> </v>
      </c>
      <c r="G6134" s="110">
        <f>COPY!Z6126</f>
        <v>0</v>
      </c>
      <c r="H6134" s="111" t="str">
        <f>IFERROR(VLOOKUP(Table1722[[#This Row],[Bukti]],'Un nOTA'!$A$4:$K$5003,10,FALSE),"")</f>
        <v/>
      </c>
      <c r="I6134" s="123" t="str">
        <f>IFERROR(VLOOKUP(Table1722[[#This Row],[Bukti]],Table13[#Data],11,FALSE),"")</f>
        <v/>
      </c>
    </row>
    <row r="6135" spans="1:9" hidden="1" x14ac:dyDescent="0.2">
      <c r="A6135" s="105" t="str">
        <f>IF(D6135=1,COUNTIF($D$10:D6135,1)," ")</f>
        <v xml:space="preserve"> </v>
      </c>
      <c r="B6135" s="106">
        <f>COPY!AR6127</f>
        <v>0</v>
      </c>
      <c r="C6135" s="107">
        <f>COPY!AC6127</f>
        <v>0</v>
      </c>
      <c r="D6135" s="107" t="str">
        <f>IF(LEN(Table1722[[#This Row],[Uraian]])&gt;2,1," ")</f>
        <v xml:space="preserve"> </v>
      </c>
      <c r="E6135" s="113" t="str">
        <f>IF(Table1722[[#This Row],[Lawan Transaksi]]="CV AGUNG KARYA",COUNTIF($I$10:I6135,"CV AGUNG KARYA")," ")</f>
        <v xml:space="preserve"> </v>
      </c>
      <c r="F6135" s="107" t="str">
        <f>IF(LEN(Table1722[[#This Row],[Uraian]])&gt;2,TRIM(RIGHT(SUBSTITUTE(TRIM(C6135)," ",REPT(" ",255)),255))," ")</f>
        <v xml:space="preserve"> </v>
      </c>
      <c r="G6135" s="110">
        <f>COPY!Z6127</f>
        <v>0</v>
      </c>
      <c r="H6135" s="111" t="str">
        <f>IFERROR(VLOOKUP(Table1722[[#This Row],[Bukti]],'Un nOTA'!$A$4:$K$5003,10,FALSE),"")</f>
        <v/>
      </c>
      <c r="I6135" s="123" t="str">
        <f>IFERROR(VLOOKUP(Table1722[[#This Row],[Bukti]],Table13[#Data],11,FALSE),"")</f>
        <v/>
      </c>
    </row>
    <row r="6136" spans="1:9" hidden="1" x14ac:dyDescent="0.2">
      <c r="A6136" s="105" t="str">
        <f>IF(D6136=1,COUNTIF($D$10:D6136,1)," ")</f>
        <v xml:space="preserve"> </v>
      </c>
      <c r="B6136" s="106">
        <f>COPY!AR6128</f>
        <v>0</v>
      </c>
      <c r="C6136" s="107">
        <f>COPY!AC6128</f>
        <v>0</v>
      </c>
      <c r="D6136" s="107" t="str">
        <f>IF(LEN(Table1722[[#This Row],[Uraian]])&gt;2,1," ")</f>
        <v xml:space="preserve"> </v>
      </c>
      <c r="E6136" s="113" t="str">
        <f>IF(Table1722[[#This Row],[Lawan Transaksi]]="CV AGUNG KARYA",COUNTIF($I$10:I6136,"CV AGUNG KARYA")," ")</f>
        <v xml:space="preserve"> </v>
      </c>
      <c r="F6136" s="107" t="str">
        <f>IF(LEN(Table1722[[#This Row],[Uraian]])&gt;2,TRIM(RIGHT(SUBSTITUTE(TRIM(C6136)," ",REPT(" ",255)),255))," ")</f>
        <v xml:space="preserve"> </v>
      </c>
      <c r="G6136" s="110">
        <f>COPY!Z6128</f>
        <v>0</v>
      </c>
      <c r="H6136" s="111" t="str">
        <f>IFERROR(VLOOKUP(Table1722[[#This Row],[Bukti]],'Un nOTA'!$A$4:$K$5003,10,FALSE),"")</f>
        <v/>
      </c>
      <c r="I6136" s="123" t="str">
        <f>IFERROR(VLOOKUP(Table1722[[#This Row],[Bukti]],Table13[#Data],11,FALSE),"")</f>
        <v/>
      </c>
    </row>
    <row r="6137" spans="1:9" hidden="1" x14ac:dyDescent="0.2">
      <c r="A6137" s="105" t="str">
        <f>IF(D6137=1,COUNTIF($D$10:D6137,1)," ")</f>
        <v xml:space="preserve"> </v>
      </c>
      <c r="B6137" s="106">
        <f>COPY!AR6129</f>
        <v>0</v>
      </c>
      <c r="C6137" s="107">
        <f>COPY!AC6129</f>
        <v>0</v>
      </c>
      <c r="D6137" s="107" t="str">
        <f>IF(LEN(Table1722[[#This Row],[Uraian]])&gt;2,1," ")</f>
        <v xml:space="preserve"> </v>
      </c>
      <c r="E6137" s="113" t="str">
        <f>IF(Table1722[[#This Row],[Lawan Transaksi]]="CV AGUNG KARYA",COUNTIF($I$10:I6137,"CV AGUNG KARYA")," ")</f>
        <v xml:space="preserve"> </v>
      </c>
      <c r="F6137" s="107" t="str">
        <f>IF(LEN(Table1722[[#This Row],[Uraian]])&gt;2,TRIM(RIGHT(SUBSTITUTE(TRIM(C6137)," ",REPT(" ",255)),255))," ")</f>
        <v xml:space="preserve"> </v>
      </c>
      <c r="G6137" s="110">
        <f>COPY!Z6129</f>
        <v>0</v>
      </c>
      <c r="H6137" s="111" t="str">
        <f>IFERROR(VLOOKUP(Table1722[[#This Row],[Bukti]],'Un nOTA'!$A$4:$K$5003,10,FALSE),"")</f>
        <v/>
      </c>
      <c r="I6137" s="123" t="str">
        <f>IFERROR(VLOOKUP(Table1722[[#This Row],[Bukti]],Table13[#Data],11,FALSE),"")</f>
        <v/>
      </c>
    </row>
    <row r="6138" spans="1:9" hidden="1" x14ac:dyDescent="0.2">
      <c r="A6138" s="105" t="str">
        <f>IF(D6138=1,COUNTIF($D$10:D6138,1)," ")</f>
        <v xml:space="preserve"> </v>
      </c>
      <c r="B6138" s="106">
        <f>COPY!AR6130</f>
        <v>0</v>
      </c>
      <c r="C6138" s="107">
        <f>COPY!AC6130</f>
        <v>0</v>
      </c>
      <c r="D6138" s="107" t="str">
        <f>IF(LEN(Table1722[[#This Row],[Uraian]])&gt;2,1," ")</f>
        <v xml:space="preserve"> </v>
      </c>
      <c r="E6138" s="113" t="str">
        <f>IF(Table1722[[#This Row],[Lawan Transaksi]]="CV AGUNG KARYA",COUNTIF($I$10:I6138,"CV AGUNG KARYA")," ")</f>
        <v xml:space="preserve"> </v>
      </c>
      <c r="F6138" s="107" t="str">
        <f>IF(LEN(Table1722[[#This Row],[Uraian]])&gt;2,TRIM(RIGHT(SUBSTITUTE(TRIM(C6138)," ",REPT(" ",255)),255))," ")</f>
        <v xml:space="preserve"> </v>
      </c>
      <c r="G6138" s="110">
        <f>COPY!Z6130</f>
        <v>0</v>
      </c>
      <c r="H6138" s="111" t="str">
        <f>IFERROR(VLOOKUP(Table1722[[#This Row],[Bukti]],'Un nOTA'!$A$4:$K$5003,10,FALSE),"")</f>
        <v/>
      </c>
      <c r="I6138" s="123" t="str">
        <f>IFERROR(VLOOKUP(Table1722[[#This Row],[Bukti]],Table13[#Data],11,FALSE),"")</f>
        <v/>
      </c>
    </row>
    <row r="6139" spans="1:9" hidden="1" x14ac:dyDescent="0.2">
      <c r="A6139" s="105" t="str">
        <f>IF(D6139=1,COUNTIF($D$10:D6139,1)," ")</f>
        <v xml:space="preserve"> </v>
      </c>
      <c r="B6139" s="106">
        <f>COPY!AR6131</f>
        <v>0</v>
      </c>
      <c r="C6139" s="107">
        <f>COPY!AC6131</f>
        <v>0</v>
      </c>
      <c r="D6139" s="107" t="str">
        <f>IF(LEN(Table1722[[#This Row],[Uraian]])&gt;2,1," ")</f>
        <v xml:space="preserve"> </v>
      </c>
      <c r="E6139" s="113" t="str">
        <f>IF(Table1722[[#This Row],[Lawan Transaksi]]="CV AGUNG KARYA",COUNTIF($I$10:I6139,"CV AGUNG KARYA")," ")</f>
        <v xml:space="preserve"> </v>
      </c>
      <c r="F6139" s="107" t="str">
        <f>IF(LEN(Table1722[[#This Row],[Uraian]])&gt;2,TRIM(RIGHT(SUBSTITUTE(TRIM(C6139)," ",REPT(" ",255)),255))," ")</f>
        <v xml:space="preserve"> </v>
      </c>
      <c r="G6139" s="110">
        <f>COPY!Z6131</f>
        <v>0</v>
      </c>
      <c r="H6139" s="111" t="str">
        <f>IFERROR(VLOOKUP(Table1722[[#This Row],[Bukti]],'Un nOTA'!$A$4:$K$5003,10,FALSE),"")</f>
        <v/>
      </c>
      <c r="I6139" s="123" t="str">
        <f>IFERROR(VLOOKUP(Table1722[[#This Row],[Bukti]],Table13[#Data],11,FALSE),"")</f>
        <v/>
      </c>
    </row>
    <row r="6140" spans="1:9" hidden="1" x14ac:dyDescent="0.2">
      <c r="A6140" s="105" t="str">
        <f>IF(D6140=1,COUNTIF($D$10:D6140,1)," ")</f>
        <v xml:space="preserve"> </v>
      </c>
      <c r="B6140" s="106">
        <f>COPY!AR6132</f>
        <v>0</v>
      </c>
      <c r="C6140" s="107">
        <f>COPY!AC6132</f>
        <v>0</v>
      </c>
      <c r="D6140" s="107" t="str">
        <f>IF(LEN(Table1722[[#This Row],[Uraian]])&gt;2,1," ")</f>
        <v xml:space="preserve"> </v>
      </c>
      <c r="E6140" s="113" t="str">
        <f>IF(Table1722[[#This Row],[Lawan Transaksi]]="CV AGUNG KARYA",COUNTIF($I$10:I6140,"CV AGUNG KARYA")," ")</f>
        <v xml:space="preserve"> </v>
      </c>
      <c r="F6140" s="107" t="str">
        <f>IF(LEN(Table1722[[#This Row],[Uraian]])&gt;2,TRIM(RIGHT(SUBSTITUTE(TRIM(C6140)," ",REPT(" ",255)),255))," ")</f>
        <v xml:space="preserve"> </v>
      </c>
      <c r="G6140" s="110">
        <f>COPY!Z6132</f>
        <v>0</v>
      </c>
      <c r="H6140" s="111" t="str">
        <f>IFERROR(VLOOKUP(Table1722[[#This Row],[Bukti]],'Un nOTA'!$A$4:$K$5003,10,FALSE),"")</f>
        <v/>
      </c>
      <c r="I6140" s="123" t="str">
        <f>IFERROR(VLOOKUP(Table1722[[#This Row],[Bukti]],Table13[#Data],11,FALSE),"")</f>
        <v/>
      </c>
    </row>
    <row r="6141" spans="1:9" hidden="1" x14ac:dyDescent="0.2">
      <c r="A6141" s="105" t="str">
        <f>IF(D6141=1,COUNTIF($D$10:D6141,1)," ")</f>
        <v xml:space="preserve"> </v>
      </c>
      <c r="B6141" s="106">
        <f>COPY!AR6133</f>
        <v>0</v>
      </c>
      <c r="C6141" s="107">
        <f>COPY!AC6133</f>
        <v>0</v>
      </c>
      <c r="D6141" s="107" t="str">
        <f>IF(LEN(Table1722[[#This Row],[Uraian]])&gt;2,1," ")</f>
        <v xml:space="preserve"> </v>
      </c>
      <c r="E6141" s="113" t="str">
        <f>IF(Table1722[[#This Row],[Lawan Transaksi]]="CV AGUNG KARYA",COUNTIF($I$10:I6141,"CV AGUNG KARYA")," ")</f>
        <v xml:space="preserve"> </v>
      </c>
      <c r="F6141" s="107" t="str">
        <f>IF(LEN(Table1722[[#This Row],[Uraian]])&gt;2,TRIM(RIGHT(SUBSTITUTE(TRIM(C6141)," ",REPT(" ",255)),255))," ")</f>
        <v xml:space="preserve"> </v>
      </c>
      <c r="G6141" s="110">
        <f>COPY!Z6133</f>
        <v>0</v>
      </c>
      <c r="H6141" s="111" t="str">
        <f>IFERROR(VLOOKUP(Table1722[[#This Row],[Bukti]],'Un nOTA'!$A$4:$K$5003,10,FALSE),"")</f>
        <v/>
      </c>
      <c r="I6141" s="123" t="str">
        <f>IFERROR(VLOOKUP(Table1722[[#This Row],[Bukti]],Table13[#Data],11,FALSE),"")</f>
        <v/>
      </c>
    </row>
    <row r="6142" spans="1:9" hidden="1" x14ac:dyDescent="0.2">
      <c r="A6142" s="105" t="str">
        <f>IF(D6142=1,COUNTIF($D$10:D6142,1)," ")</f>
        <v xml:space="preserve"> </v>
      </c>
      <c r="B6142" s="106">
        <f>COPY!AR6134</f>
        <v>0</v>
      </c>
      <c r="C6142" s="107">
        <f>COPY!AC6134</f>
        <v>0</v>
      </c>
      <c r="D6142" s="107" t="str">
        <f>IF(LEN(Table1722[[#This Row],[Uraian]])&gt;2,1," ")</f>
        <v xml:space="preserve"> </v>
      </c>
      <c r="E6142" s="113" t="str">
        <f>IF(Table1722[[#This Row],[Lawan Transaksi]]="CV AGUNG KARYA",COUNTIF($I$10:I6142,"CV AGUNG KARYA")," ")</f>
        <v xml:space="preserve"> </v>
      </c>
      <c r="F6142" s="107" t="str">
        <f>IF(LEN(Table1722[[#This Row],[Uraian]])&gt;2,TRIM(RIGHT(SUBSTITUTE(TRIM(C6142)," ",REPT(" ",255)),255))," ")</f>
        <v xml:space="preserve"> </v>
      </c>
      <c r="G6142" s="110">
        <f>COPY!Z6134</f>
        <v>0</v>
      </c>
      <c r="H6142" s="111" t="str">
        <f>IFERROR(VLOOKUP(Table1722[[#This Row],[Bukti]],'Un nOTA'!$A$4:$K$5003,10,FALSE),"")</f>
        <v/>
      </c>
      <c r="I6142" s="123" t="str">
        <f>IFERROR(VLOOKUP(Table1722[[#This Row],[Bukti]],Table13[#Data],11,FALSE),"")</f>
        <v/>
      </c>
    </row>
    <row r="6143" spans="1:9" hidden="1" x14ac:dyDescent="0.2">
      <c r="A6143" s="105" t="str">
        <f>IF(D6143=1,COUNTIF($D$10:D6143,1)," ")</f>
        <v xml:space="preserve"> </v>
      </c>
      <c r="B6143" s="106">
        <f>COPY!AR6135</f>
        <v>0</v>
      </c>
      <c r="C6143" s="107">
        <f>COPY!AC6135</f>
        <v>0</v>
      </c>
      <c r="D6143" s="107" t="str">
        <f>IF(LEN(Table1722[[#This Row],[Uraian]])&gt;2,1," ")</f>
        <v xml:space="preserve"> </v>
      </c>
      <c r="E6143" s="113" t="str">
        <f>IF(Table1722[[#This Row],[Lawan Transaksi]]="CV AGUNG KARYA",COUNTIF($I$10:I6143,"CV AGUNG KARYA")," ")</f>
        <v xml:space="preserve"> </v>
      </c>
      <c r="F6143" s="107" t="str">
        <f>IF(LEN(Table1722[[#This Row],[Uraian]])&gt;2,TRIM(RIGHT(SUBSTITUTE(TRIM(C6143)," ",REPT(" ",255)),255))," ")</f>
        <v xml:space="preserve"> </v>
      </c>
      <c r="G6143" s="110">
        <f>COPY!Z6135</f>
        <v>0</v>
      </c>
      <c r="H6143" s="111" t="str">
        <f>IFERROR(VLOOKUP(Table1722[[#This Row],[Bukti]],'Un nOTA'!$A$4:$K$5003,10,FALSE),"")</f>
        <v/>
      </c>
      <c r="I6143" s="123" t="str">
        <f>IFERROR(VLOOKUP(Table1722[[#This Row],[Bukti]],Table13[#Data],11,FALSE),"")</f>
        <v/>
      </c>
    </row>
    <row r="6144" spans="1:9" hidden="1" x14ac:dyDescent="0.2">
      <c r="A6144" s="105" t="str">
        <f>IF(D6144=1,COUNTIF($D$10:D6144,1)," ")</f>
        <v xml:space="preserve"> </v>
      </c>
      <c r="B6144" s="106">
        <f>COPY!AR6136</f>
        <v>0</v>
      </c>
      <c r="C6144" s="107">
        <f>COPY!AC6136</f>
        <v>0</v>
      </c>
      <c r="D6144" s="107" t="str">
        <f>IF(LEN(Table1722[[#This Row],[Uraian]])&gt;2,1," ")</f>
        <v xml:space="preserve"> </v>
      </c>
      <c r="E6144" s="113" t="str">
        <f>IF(Table1722[[#This Row],[Lawan Transaksi]]="CV AGUNG KARYA",COUNTIF($I$10:I6144,"CV AGUNG KARYA")," ")</f>
        <v xml:space="preserve"> </v>
      </c>
      <c r="F6144" s="107" t="str">
        <f>IF(LEN(Table1722[[#This Row],[Uraian]])&gt;2,TRIM(RIGHT(SUBSTITUTE(TRIM(C6144)," ",REPT(" ",255)),255))," ")</f>
        <v xml:space="preserve"> </v>
      </c>
      <c r="G6144" s="110">
        <f>COPY!Z6136</f>
        <v>0</v>
      </c>
      <c r="H6144" s="111" t="str">
        <f>IFERROR(VLOOKUP(Table1722[[#This Row],[Bukti]],'Un nOTA'!$A$4:$K$5003,10,FALSE),"")</f>
        <v/>
      </c>
      <c r="I6144" s="123" t="str">
        <f>IFERROR(VLOOKUP(Table1722[[#This Row],[Bukti]],Table13[#Data],11,FALSE),"")</f>
        <v/>
      </c>
    </row>
    <row r="6145" spans="1:9" hidden="1" x14ac:dyDescent="0.2">
      <c r="A6145" s="105" t="str">
        <f>IF(D6145=1,COUNTIF($D$10:D6145,1)," ")</f>
        <v xml:space="preserve"> </v>
      </c>
      <c r="B6145" s="106">
        <f>COPY!AR6137</f>
        <v>0</v>
      </c>
      <c r="C6145" s="107">
        <f>COPY!AC6137</f>
        <v>0</v>
      </c>
      <c r="D6145" s="107" t="str">
        <f>IF(LEN(Table1722[[#This Row],[Uraian]])&gt;2,1," ")</f>
        <v xml:space="preserve"> </v>
      </c>
      <c r="E6145" s="113" t="str">
        <f>IF(Table1722[[#This Row],[Lawan Transaksi]]="CV AGUNG KARYA",COUNTIF($I$10:I6145,"CV AGUNG KARYA")," ")</f>
        <v xml:space="preserve"> </v>
      </c>
      <c r="F6145" s="107" t="str">
        <f>IF(LEN(Table1722[[#This Row],[Uraian]])&gt;2,TRIM(RIGHT(SUBSTITUTE(TRIM(C6145)," ",REPT(" ",255)),255))," ")</f>
        <v xml:space="preserve"> </v>
      </c>
      <c r="G6145" s="110">
        <f>COPY!Z6137</f>
        <v>0</v>
      </c>
      <c r="H6145" s="111" t="str">
        <f>IFERROR(VLOOKUP(Table1722[[#This Row],[Bukti]],'Un nOTA'!$A$4:$K$5003,10,FALSE),"")</f>
        <v/>
      </c>
      <c r="I6145" s="123" t="str">
        <f>IFERROR(VLOOKUP(Table1722[[#This Row],[Bukti]],Table13[#Data],11,FALSE),"")</f>
        <v/>
      </c>
    </row>
    <row r="6146" spans="1:9" hidden="1" x14ac:dyDescent="0.2">
      <c r="A6146" s="105" t="str">
        <f>IF(D6146=1,COUNTIF($D$10:D6146,1)," ")</f>
        <v xml:space="preserve"> </v>
      </c>
      <c r="B6146" s="106">
        <f>COPY!AR6138</f>
        <v>0</v>
      </c>
      <c r="C6146" s="107">
        <f>COPY!AC6138</f>
        <v>0</v>
      </c>
      <c r="D6146" s="107" t="str">
        <f>IF(LEN(Table1722[[#This Row],[Uraian]])&gt;2,1," ")</f>
        <v xml:space="preserve"> </v>
      </c>
      <c r="E6146" s="113" t="str">
        <f>IF(Table1722[[#This Row],[Lawan Transaksi]]="CV AGUNG KARYA",COUNTIF($I$10:I6146,"CV AGUNG KARYA")," ")</f>
        <v xml:space="preserve"> </v>
      </c>
      <c r="F6146" s="107" t="str">
        <f>IF(LEN(Table1722[[#This Row],[Uraian]])&gt;2,TRIM(RIGHT(SUBSTITUTE(TRIM(C6146)," ",REPT(" ",255)),255))," ")</f>
        <v xml:space="preserve"> </v>
      </c>
      <c r="G6146" s="110">
        <f>COPY!Z6138</f>
        <v>0</v>
      </c>
      <c r="H6146" s="111" t="str">
        <f>IFERROR(VLOOKUP(Table1722[[#This Row],[Bukti]],'Un nOTA'!$A$4:$K$5003,10,FALSE),"")</f>
        <v/>
      </c>
      <c r="I6146" s="123" t="str">
        <f>IFERROR(VLOOKUP(Table1722[[#This Row],[Bukti]],Table13[#Data],11,FALSE),"")</f>
        <v/>
      </c>
    </row>
    <row r="6147" spans="1:9" hidden="1" x14ac:dyDescent="0.2">
      <c r="A6147" s="105" t="str">
        <f>IF(D6147=1,COUNTIF($D$10:D6147,1)," ")</f>
        <v xml:space="preserve"> </v>
      </c>
      <c r="B6147" s="106">
        <f>COPY!AR6139</f>
        <v>0</v>
      </c>
      <c r="C6147" s="107">
        <f>COPY!AC6139</f>
        <v>0</v>
      </c>
      <c r="D6147" s="107" t="str">
        <f>IF(LEN(Table1722[[#This Row],[Uraian]])&gt;2,1," ")</f>
        <v xml:space="preserve"> </v>
      </c>
      <c r="E6147" s="113" t="str">
        <f>IF(Table1722[[#This Row],[Lawan Transaksi]]="CV AGUNG KARYA",COUNTIF($I$10:I6147,"CV AGUNG KARYA")," ")</f>
        <v xml:space="preserve"> </v>
      </c>
      <c r="F6147" s="107" t="str">
        <f>IF(LEN(Table1722[[#This Row],[Uraian]])&gt;2,TRIM(RIGHT(SUBSTITUTE(TRIM(C6147)," ",REPT(" ",255)),255))," ")</f>
        <v xml:space="preserve"> </v>
      </c>
      <c r="G6147" s="110">
        <f>COPY!Z6139</f>
        <v>0</v>
      </c>
      <c r="H6147" s="111" t="str">
        <f>IFERROR(VLOOKUP(Table1722[[#This Row],[Bukti]],'Un nOTA'!$A$4:$K$5003,10,FALSE),"")</f>
        <v/>
      </c>
      <c r="I6147" s="123" t="str">
        <f>IFERROR(VLOOKUP(Table1722[[#This Row],[Bukti]],Table13[#Data],11,FALSE),"")</f>
        <v/>
      </c>
    </row>
    <row r="6148" spans="1:9" hidden="1" x14ac:dyDescent="0.2">
      <c r="A6148" s="105" t="str">
        <f>IF(D6148=1,COUNTIF($D$10:D6148,1)," ")</f>
        <v xml:space="preserve"> </v>
      </c>
      <c r="B6148" s="106">
        <f>COPY!AR6140</f>
        <v>0</v>
      </c>
      <c r="C6148" s="107">
        <f>COPY!AC6140</f>
        <v>0</v>
      </c>
      <c r="D6148" s="107" t="str">
        <f>IF(LEN(Table1722[[#This Row],[Uraian]])&gt;2,1," ")</f>
        <v xml:space="preserve"> </v>
      </c>
      <c r="E6148" s="113" t="str">
        <f>IF(Table1722[[#This Row],[Lawan Transaksi]]="CV AGUNG KARYA",COUNTIF($I$10:I6148,"CV AGUNG KARYA")," ")</f>
        <v xml:space="preserve"> </v>
      </c>
      <c r="F6148" s="107" t="str">
        <f>IF(LEN(Table1722[[#This Row],[Uraian]])&gt;2,TRIM(RIGHT(SUBSTITUTE(TRIM(C6148)," ",REPT(" ",255)),255))," ")</f>
        <v xml:space="preserve"> </v>
      </c>
      <c r="G6148" s="110">
        <f>COPY!Z6140</f>
        <v>0</v>
      </c>
      <c r="H6148" s="111" t="str">
        <f>IFERROR(VLOOKUP(Table1722[[#This Row],[Bukti]],'Un nOTA'!$A$4:$K$5003,10,FALSE),"")</f>
        <v/>
      </c>
      <c r="I6148" s="123" t="str">
        <f>IFERROR(VLOOKUP(Table1722[[#This Row],[Bukti]],Table13[#Data],11,FALSE),"")</f>
        <v/>
      </c>
    </row>
    <row r="6149" spans="1:9" hidden="1" x14ac:dyDescent="0.2">
      <c r="A6149" s="105" t="str">
        <f>IF(D6149=1,COUNTIF($D$10:D6149,1)," ")</f>
        <v xml:space="preserve"> </v>
      </c>
      <c r="B6149" s="106">
        <f>COPY!AR6141</f>
        <v>0</v>
      </c>
      <c r="C6149" s="107">
        <f>COPY!AC6141</f>
        <v>0</v>
      </c>
      <c r="D6149" s="107" t="str">
        <f>IF(LEN(Table1722[[#This Row],[Uraian]])&gt;2,1," ")</f>
        <v xml:space="preserve"> </v>
      </c>
      <c r="E6149" s="113" t="str">
        <f>IF(Table1722[[#This Row],[Lawan Transaksi]]="CV AGUNG KARYA",COUNTIF($I$10:I6149,"CV AGUNG KARYA")," ")</f>
        <v xml:space="preserve"> </v>
      </c>
      <c r="F6149" s="107" t="str">
        <f>IF(LEN(Table1722[[#This Row],[Uraian]])&gt;2,TRIM(RIGHT(SUBSTITUTE(TRIM(C6149)," ",REPT(" ",255)),255))," ")</f>
        <v xml:space="preserve"> </v>
      </c>
      <c r="G6149" s="110">
        <f>COPY!Z6141</f>
        <v>0</v>
      </c>
      <c r="H6149" s="111" t="str">
        <f>IFERROR(VLOOKUP(Table1722[[#This Row],[Bukti]],'Un nOTA'!$A$4:$K$5003,10,FALSE),"")</f>
        <v/>
      </c>
      <c r="I6149" s="123" t="str">
        <f>IFERROR(VLOOKUP(Table1722[[#This Row],[Bukti]],Table13[#Data],11,FALSE),"")</f>
        <v/>
      </c>
    </row>
    <row r="6150" spans="1:9" hidden="1" x14ac:dyDescent="0.2">
      <c r="A6150" s="105" t="str">
        <f>IF(D6150=1,COUNTIF($D$10:D6150,1)," ")</f>
        <v xml:space="preserve"> </v>
      </c>
      <c r="B6150" s="106">
        <f>COPY!AR6142</f>
        <v>0</v>
      </c>
      <c r="C6150" s="107">
        <f>COPY!AC6142</f>
        <v>0</v>
      </c>
      <c r="D6150" s="107" t="str">
        <f>IF(LEN(Table1722[[#This Row],[Uraian]])&gt;2,1," ")</f>
        <v xml:space="preserve"> </v>
      </c>
      <c r="E6150" s="113" t="str">
        <f>IF(Table1722[[#This Row],[Lawan Transaksi]]="CV AGUNG KARYA",COUNTIF($I$10:I6150,"CV AGUNG KARYA")," ")</f>
        <v xml:space="preserve"> </v>
      </c>
      <c r="F6150" s="107" t="str">
        <f>IF(LEN(Table1722[[#This Row],[Uraian]])&gt;2,TRIM(RIGHT(SUBSTITUTE(TRIM(C6150)," ",REPT(" ",255)),255))," ")</f>
        <v xml:space="preserve"> </v>
      </c>
      <c r="G6150" s="110">
        <f>COPY!Z6142</f>
        <v>0</v>
      </c>
      <c r="H6150" s="111" t="str">
        <f>IFERROR(VLOOKUP(Table1722[[#This Row],[Bukti]],'Un nOTA'!$A$4:$K$5003,10,FALSE),"")</f>
        <v/>
      </c>
      <c r="I6150" s="123" t="str">
        <f>IFERROR(VLOOKUP(Table1722[[#This Row],[Bukti]],Table13[#Data],11,FALSE),"")</f>
        <v/>
      </c>
    </row>
    <row r="6151" spans="1:9" hidden="1" x14ac:dyDescent="0.2">
      <c r="A6151" s="105" t="str">
        <f>IF(D6151=1,COUNTIF($D$10:D6151,1)," ")</f>
        <v xml:space="preserve"> </v>
      </c>
      <c r="B6151" s="106">
        <f>COPY!AR6143</f>
        <v>0</v>
      </c>
      <c r="C6151" s="107">
        <f>COPY!AC6143</f>
        <v>0</v>
      </c>
      <c r="D6151" s="107" t="str">
        <f>IF(LEN(Table1722[[#This Row],[Uraian]])&gt;2,1," ")</f>
        <v xml:space="preserve"> </v>
      </c>
      <c r="E6151" s="113" t="str">
        <f>IF(Table1722[[#This Row],[Lawan Transaksi]]="CV AGUNG KARYA",COUNTIF($I$10:I6151,"CV AGUNG KARYA")," ")</f>
        <v xml:space="preserve"> </v>
      </c>
      <c r="F6151" s="107" t="str">
        <f>IF(LEN(Table1722[[#This Row],[Uraian]])&gt;2,TRIM(RIGHT(SUBSTITUTE(TRIM(C6151)," ",REPT(" ",255)),255))," ")</f>
        <v xml:space="preserve"> </v>
      </c>
      <c r="G6151" s="110">
        <f>COPY!Z6143</f>
        <v>0</v>
      </c>
      <c r="H6151" s="111" t="str">
        <f>IFERROR(VLOOKUP(Table1722[[#This Row],[Bukti]],'Un nOTA'!$A$4:$K$5003,10,FALSE),"")</f>
        <v/>
      </c>
      <c r="I6151" s="123" t="str">
        <f>IFERROR(VLOOKUP(Table1722[[#This Row],[Bukti]],Table13[#Data],11,FALSE),"")</f>
        <v/>
      </c>
    </row>
    <row r="6152" spans="1:9" hidden="1" x14ac:dyDescent="0.2">
      <c r="A6152" s="105" t="str">
        <f>IF(D6152=1,COUNTIF($D$10:D6152,1)," ")</f>
        <v xml:space="preserve"> </v>
      </c>
      <c r="B6152" s="106">
        <f>COPY!AR6144</f>
        <v>0</v>
      </c>
      <c r="C6152" s="107">
        <f>COPY!AC6144</f>
        <v>0</v>
      </c>
      <c r="D6152" s="107" t="str">
        <f>IF(LEN(Table1722[[#This Row],[Uraian]])&gt;2,1," ")</f>
        <v xml:space="preserve"> </v>
      </c>
      <c r="E6152" s="113" t="str">
        <f>IF(Table1722[[#This Row],[Lawan Transaksi]]="CV AGUNG KARYA",COUNTIF($I$10:I6152,"CV AGUNG KARYA")," ")</f>
        <v xml:space="preserve"> </v>
      </c>
      <c r="F6152" s="107" t="str">
        <f>IF(LEN(Table1722[[#This Row],[Uraian]])&gt;2,TRIM(RIGHT(SUBSTITUTE(TRIM(C6152)," ",REPT(" ",255)),255))," ")</f>
        <v xml:space="preserve"> </v>
      </c>
      <c r="G6152" s="110">
        <f>COPY!Z6144</f>
        <v>0</v>
      </c>
      <c r="H6152" s="111" t="str">
        <f>IFERROR(VLOOKUP(Table1722[[#This Row],[Bukti]],'Un nOTA'!$A$4:$K$5003,10,FALSE),"")</f>
        <v/>
      </c>
      <c r="I6152" s="123" t="str">
        <f>IFERROR(VLOOKUP(Table1722[[#This Row],[Bukti]],Table13[#Data],11,FALSE),"")</f>
        <v/>
      </c>
    </row>
    <row r="6153" spans="1:9" hidden="1" x14ac:dyDescent="0.2">
      <c r="A6153" s="105" t="str">
        <f>IF(D6153=1,COUNTIF($D$10:D6153,1)," ")</f>
        <v xml:space="preserve"> </v>
      </c>
      <c r="B6153" s="106">
        <f>COPY!AR6145</f>
        <v>0</v>
      </c>
      <c r="C6153" s="107">
        <f>COPY!AC6145</f>
        <v>0</v>
      </c>
      <c r="D6153" s="107" t="str">
        <f>IF(LEN(Table1722[[#This Row],[Uraian]])&gt;2,1," ")</f>
        <v xml:space="preserve"> </v>
      </c>
      <c r="E6153" s="113" t="str">
        <f>IF(Table1722[[#This Row],[Lawan Transaksi]]="CV AGUNG KARYA",COUNTIF($I$10:I6153,"CV AGUNG KARYA")," ")</f>
        <v xml:space="preserve"> </v>
      </c>
      <c r="F6153" s="107" t="str">
        <f>IF(LEN(Table1722[[#This Row],[Uraian]])&gt;2,TRIM(RIGHT(SUBSTITUTE(TRIM(C6153)," ",REPT(" ",255)),255))," ")</f>
        <v xml:space="preserve"> </v>
      </c>
      <c r="G6153" s="110">
        <f>COPY!Z6145</f>
        <v>0</v>
      </c>
      <c r="H6153" s="111" t="str">
        <f>IFERROR(VLOOKUP(Table1722[[#This Row],[Bukti]],'Un nOTA'!$A$4:$K$5003,10,FALSE),"")</f>
        <v/>
      </c>
      <c r="I6153" s="123" t="str">
        <f>IFERROR(VLOOKUP(Table1722[[#This Row],[Bukti]],Table13[#Data],11,FALSE),"")</f>
        <v/>
      </c>
    </row>
    <row r="6154" spans="1:9" hidden="1" x14ac:dyDescent="0.2">
      <c r="A6154" s="105" t="str">
        <f>IF(D6154=1,COUNTIF($D$10:D6154,1)," ")</f>
        <v xml:space="preserve"> </v>
      </c>
      <c r="B6154" s="106">
        <f>COPY!AR6146</f>
        <v>0</v>
      </c>
      <c r="C6154" s="107">
        <f>COPY!AC6146</f>
        <v>0</v>
      </c>
      <c r="D6154" s="107" t="str">
        <f>IF(LEN(Table1722[[#This Row],[Uraian]])&gt;2,1," ")</f>
        <v xml:space="preserve"> </v>
      </c>
      <c r="E6154" s="113" t="str">
        <f>IF(Table1722[[#This Row],[Lawan Transaksi]]="CV AGUNG KARYA",COUNTIF($I$10:I6154,"CV AGUNG KARYA")," ")</f>
        <v xml:space="preserve"> </v>
      </c>
      <c r="F6154" s="107" t="str">
        <f>IF(LEN(Table1722[[#This Row],[Uraian]])&gt;2,TRIM(RIGHT(SUBSTITUTE(TRIM(C6154)," ",REPT(" ",255)),255))," ")</f>
        <v xml:space="preserve"> </v>
      </c>
      <c r="G6154" s="110">
        <f>COPY!Z6146</f>
        <v>0</v>
      </c>
      <c r="H6154" s="111" t="str">
        <f>IFERROR(VLOOKUP(Table1722[[#This Row],[Bukti]],'Un nOTA'!$A$4:$K$5003,10,FALSE),"")</f>
        <v/>
      </c>
      <c r="I6154" s="123" t="str">
        <f>IFERROR(VLOOKUP(Table1722[[#This Row],[Bukti]],Table13[#Data],11,FALSE),"")</f>
        <v/>
      </c>
    </row>
    <row r="6155" spans="1:9" hidden="1" x14ac:dyDescent="0.2">
      <c r="A6155" s="105" t="str">
        <f>IF(D6155=1,COUNTIF($D$10:D6155,1)," ")</f>
        <v xml:space="preserve"> </v>
      </c>
      <c r="B6155" s="106">
        <f>COPY!AR6147</f>
        <v>0</v>
      </c>
      <c r="C6155" s="107">
        <f>COPY!AC6147</f>
        <v>0</v>
      </c>
      <c r="D6155" s="107" t="str">
        <f>IF(LEN(Table1722[[#This Row],[Uraian]])&gt;2,1," ")</f>
        <v xml:space="preserve"> </v>
      </c>
      <c r="E6155" s="113" t="str">
        <f>IF(Table1722[[#This Row],[Lawan Transaksi]]="CV AGUNG KARYA",COUNTIF($I$10:I6155,"CV AGUNG KARYA")," ")</f>
        <v xml:space="preserve"> </v>
      </c>
      <c r="F6155" s="107" t="str">
        <f>IF(LEN(Table1722[[#This Row],[Uraian]])&gt;2,TRIM(RIGHT(SUBSTITUTE(TRIM(C6155)," ",REPT(" ",255)),255))," ")</f>
        <v xml:space="preserve"> </v>
      </c>
      <c r="G6155" s="110">
        <f>COPY!Z6147</f>
        <v>0</v>
      </c>
      <c r="H6155" s="111" t="str">
        <f>IFERROR(VLOOKUP(Table1722[[#This Row],[Bukti]],'Un nOTA'!$A$4:$K$5003,10,FALSE),"")</f>
        <v/>
      </c>
      <c r="I6155" s="123" t="str">
        <f>IFERROR(VLOOKUP(Table1722[[#This Row],[Bukti]],Table13[#Data],11,FALSE),"")</f>
        <v/>
      </c>
    </row>
    <row r="6156" spans="1:9" hidden="1" x14ac:dyDescent="0.2">
      <c r="A6156" s="105" t="str">
        <f>IF(D6156=1,COUNTIF($D$10:D6156,1)," ")</f>
        <v xml:space="preserve"> </v>
      </c>
      <c r="B6156" s="106">
        <f>COPY!AR6148</f>
        <v>0</v>
      </c>
      <c r="C6156" s="107">
        <f>COPY!AC6148</f>
        <v>0</v>
      </c>
      <c r="D6156" s="107" t="str">
        <f>IF(LEN(Table1722[[#This Row],[Uraian]])&gt;2,1," ")</f>
        <v xml:space="preserve"> </v>
      </c>
      <c r="E6156" s="113" t="str">
        <f>IF(Table1722[[#This Row],[Lawan Transaksi]]="CV AGUNG KARYA",COUNTIF($I$10:I6156,"CV AGUNG KARYA")," ")</f>
        <v xml:space="preserve"> </v>
      </c>
      <c r="F6156" s="107" t="str">
        <f>IF(LEN(Table1722[[#This Row],[Uraian]])&gt;2,TRIM(RIGHT(SUBSTITUTE(TRIM(C6156)," ",REPT(" ",255)),255))," ")</f>
        <v xml:space="preserve"> </v>
      </c>
      <c r="G6156" s="110">
        <f>COPY!Z6148</f>
        <v>0</v>
      </c>
      <c r="H6156" s="111" t="str">
        <f>IFERROR(VLOOKUP(Table1722[[#This Row],[Bukti]],'Un nOTA'!$A$4:$K$5003,10,FALSE),"")</f>
        <v/>
      </c>
      <c r="I6156" s="123" t="str">
        <f>IFERROR(VLOOKUP(Table1722[[#This Row],[Bukti]],Table13[#Data],11,FALSE),"")</f>
        <v/>
      </c>
    </row>
    <row r="6157" spans="1:9" hidden="1" x14ac:dyDescent="0.2">
      <c r="A6157" s="105" t="str">
        <f>IF(D6157=1,COUNTIF($D$10:D6157,1)," ")</f>
        <v xml:space="preserve"> </v>
      </c>
      <c r="B6157" s="106">
        <f>COPY!AR6149</f>
        <v>0</v>
      </c>
      <c r="C6157" s="107">
        <f>COPY!AC6149</f>
        <v>0</v>
      </c>
      <c r="D6157" s="107" t="str">
        <f>IF(LEN(Table1722[[#This Row],[Uraian]])&gt;2,1," ")</f>
        <v xml:space="preserve"> </v>
      </c>
      <c r="E6157" s="113" t="str">
        <f>IF(Table1722[[#This Row],[Lawan Transaksi]]="CV AGUNG KARYA",COUNTIF($I$10:I6157,"CV AGUNG KARYA")," ")</f>
        <v xml:space="preserve"> </v>
      </c>
      <c r="F6157" s="107" t="str">
        <f>IF(LEN(Table1722[[#This Row],[Uraian]])&gt;2,TRIM(RIGHT(SUBSTITUTE(TRIM(C6157)," ",REPT(" ",255)),255))," ")</f>
        <v xml:space="preserve"> </v>
      </c>
      <c r="G6157" s="110">
        <f>COPY!Z6149</f>
        <v>0</v>
      </c>
      <c r="H6157" s="111" t="str">
        <f>IFERROR(VLOOKUP(Table1722[[#This Row],[Bukti]],'Un nOTA'!$A$4:$K$5003,10,FALSE),"")</f>
        <v/>
      </c>
      <c r="I6157" s="123" t="str">
        <f>IFERROR(VLOOKUP(Table1722[[#This Row],[Bukti]],Table13[#Data],11,FALSE),"")</f>
        <v/>
      </c>
    </row>
    <row r="6158" spans="1:9" hidden="1" x14ac:dyDescent="0.2">
      <c r="A6158" s="105" t="str">
        <f>IF(D6158=1,COUNTIF($D$10:D6158,1)," ")</f>
        <v xml:space="preserve"> </v>
      </c>
      <c r="B6158" s="106">
        <f>COPY!AR6150</f>
        <v>0</v>
      </c>
      <c r="C6158" s="107">
        <f>COPY!AC6150</f>
        <v>0</v>
      </c>
      <c r="D6158" s="107" t="str">
        <f>IF(LEN(Table1722[[#This Row],[Uraian]])&gt;2,1," ")</f>
        <v xml:space="preserve"> </v>
      </c>
      <c r="E6158" s="113" t="str">
        <f>IF(Table1722[[#This Row],[Lawan Transaksi]]="CV AGUNG KARYA",COUNTIF($I$10:I6158,"CV AGUNG KARYA")," ")</f>
        <v xml:space="preserve"> </v>
      </c>
      <c r="F6158" s="107" t="str">
        <f>IF(LEN(Table1722[[#This Row],[Uraian]])&gt;2,TRIM(RIGHT(SUBSTITUTE(TRIM(C6158)," ",REPT(" ",255)),255))," ")</f>
        <v xml:space="preserve"> </v>
      </c>
      <c r="G6158" s="110">
        <f>COPY!Z6150</f>
        <v>0</v>
      </c>
      <c r="H6158" s="111" t="str">
        <f>IFERROR(VLOOKUP(Table1722[[#This Row],[Bukti]],'Un nOTA'!$A$4:$K$5003,10,FALSE),"")</f>
        <v/>
      </c>
      <c r="I6158" s="123" t="str">
        <f>IFERROR(VLOOKUP(Table1722[[#This Row],[Bukti]],Table13[#Data],11,FALSE),"")</f>
        <v/>
      </c>
    </row>
    <row r="6159" spans="1:9" hidden="1" x14ac:dyDescent="0.2">
      <c r="A6159" s="105" t="str">
        <f>IF(D6159=1,COUNTIF($D$10:D6159,1)," ")</f>
        <v xml:space="preserve"> </v>
      </c>
      <c r="B6159" s="106">
        <f>COPY!AR6151</f>
        <v>0</v>
      </c>
      <c r="C6159" s="107">
        <f>COPY!AC6151</f>
        <v>0</v>
      </c>
      <c r="D6159" s="107" t="str">
        <f>IF(LEN(Table1722[[#This Row],[Uraian]])&gt;2,1," ")</f>
        <v xml:space="preserve"> </v>
      </c>
      <c r="E6159" s="113" t="str">
        <f>IF(Table1722[[#This Row],[Lawan Transaksi]]="CV AGUNG KARYA",COUNTIF($I$10:I6159,"CV AGUNG KARYA")," ")</f>
        <v xml:space="preserve"> </v>
      </c>
      <c r="F6159" s="107" t="str">
        <f>IF(LEN(Table1722[[#This Row],[Uraian]])&gt;2,TRIM(RIGHT(SUBSTITUTE(TRIM(C6159)," ",REPT(" ",255)),255))," ")</f>
        <v xml:space="preserve"> </v>
      </c>
      <c r="G6159" s="110">
        <f>COPY!Z6151</f>
        <v>0</v>
      </c>
      <c r="H6159" s="111" t="str">
        <f>IFERROR(VLOOKUP(Table1722[[#This Row],[Bukti]],'Un nOTA'!$A$4:$K$5003,10,FALSE),"")</f>
        <v/>
      </c>
      <c r="I6159" s="123" t="str">
        <f>IFERROR(VLOOKUP(Table1722[[#This Row],[Bukti]],Table13[#Data],11,FALSE),"")</f>
        <v/>
      </c>
    </row>
    <row r="6160" spans="1:9" hidden="1" x14ac:dyDescent="0.2">
      <c r="A6160" s="105" t="str">
        <f>IF(D6160=1,COUNTIF($D$10:D6160,1)," ")</f>
        <v xml:space="preserve"> </v>
      </c>
      <c r="B6160" s="106">
        <f>COPY!AR6152</f>
        <v>0</v>
      </c>
      <c r="C6160" s="107">
        <f>COPY!AC6152</f>
        <v>0</v>
      </c>
      <c r="D6160" s="107" t="str">
        <f>IF(LEN(Table1722[[#This Row],[Uraian]])&gt;2,1," ")</f>
        <v xml:space="preserve"> </v>
      </c>
      <c r="E6160" s="113" t="str">
        <f>IF(Table1722[[#This Row],[Lawan Transaksi]]="CV AGUNG KARYA",COUNTIF($I$10:I6160,"CV AGUNG KARYA")," ")</f>
        <v xml:space="preserve"> </v>
      </c>
      <c r="F6160" s="107" t="str">
        <f>IF(LEN(Table1722[[#This Row],[Uraian]])&gt;2,TRIM(RIGHT(SUBSTITUTE(TRIM(C6160)," ",REPT(" ",255)),255))," ")</f>
        <v xml:space="preserve"> </v>
      </c>
      <c r="G6160" s="110">
        <f>COPY!Z6152</f>
        <v>0</v>
      </c>
      <c r="H6160" s="111" t="str">
        <f>IFERROR(VLOOKUP(Table1722[[#This Row],[Bukti]],'Un nOTA'!$A$4:$K$5003,10,FALSE),"")</f>
        <v/>
      </c>
      <c r="I6160" s="123" t="str">
        <f>IFERROR(VLOOKUP(Table1722[[#This Row],[Bukti]],Table13[#Data],11,FALSE),"")</f>
        <v/>
      </c>
    </row>
    <row r="6161" spans="1:9" hidden="1" x14ac:dyDescent="0.2">
      <c r="A6161" s="105" t="str">
        <f>IF(D6161=1,COUNTIF($D$10:D6161,1)," ")</f>
        <v xml:space="preserve"> </v>
      </c>
      <c r="B6161" s="106">
        <f>COPY!AR6153</f>
        <v>0</v>
      </c>
      <c r="C6161" s="107">
        <f>COPY!AC6153</f>
        <v>0</v>
      </c>
      <c r="D6161" s="107" t="str">
        <f>IF(LEN(Table1722[[#This Row],[Uraian]])&gt;2,1," ")</f>
        <v xml:space="preserve"> </v>
      </c>
      <c r="E6161" s="113" t="str">
        <f>IF(Table1722[[#This Row],[Lawan Transaksi]]="CV AGUNG KARYA",COUNTIF($I$10:I6161,"CV AGUNG KARYA")," ")</f>
        <v xml:space="preserve"> </v>
      </c>
      <c r="F6161" s="107" t="str">
        <f>IF(LEN(Table1722[[#This Row],[Uraian]])&gt;2,TRIM(RIGHT(SUBSTITUTE(TRIM(C6161)," ",REPT(" ",255)),255))," ")</f>
        <v xml:space="preserve"> </v>
      </c>
      <c r="G6161" s="110">
        <f>COPY!Z6153</f>
        <v>0</v>
      </c>
      <c r="H6161" s="111" t="str">
        <f>IFERROR(VLOOKUP(Table1722[[#This Row],[Bukti]],'Un nOTA'!$A$4:$K$5003,10,FALSE),"")</f>
        <v/>
      </c>
      <c r="I6161" s="123" t="str">
        <f>IFERROR(VLOOKUP(Table1722[[#This Row],[Bukti]],Table13[#Data],11,FALSE),"")</f>
        <v/>
      </c>
    </row>
    <row r="6162" spans="1:9" hidden="1" x14ac:dyDescent="0.2">
      <c r="A6162" s="105" t="str">
        <f>IF(D6162=1,COUNTIF($D$10:D6162,1)," ")</f>
        <v xml:space="preserve"> </v>
      </c>
      <c r="B6162" s="106">
        <f>COPY!AR6154</f>
        <v>0</v>
      </c>
      <c r="C6162" s="107">
        <f>COPY!AC6154</f>
        <v>0</v>
      </c>
      <c r="D6162" s="107" t="str">
        <f>IF(LEN(Table1722[[#This Row],[Uraian]])&gt;2,1," ")</f>
        <v xml:space="preserve"> </v>
      </c>
      <c r="E6162" s="113" t="str">
        <f>IF(Table1722[[#This Row],[Lawan Transaksi]]="CV AGUNG KARYA",COUNTIF($I$10:I6162,"CV AGUNG KARYA")," ")</f>
        <v xml:space="preserve"> </v>
      </c>
      <c r="F6162" s="107" t="str">
        <f>IF(LEN(Table1722[[#This Row],[Uraian]])&gt;2,TRIM(RIGHT(SUBSTITUTE(TRIM(C6162)," ",REPT(" ",255)),255))," ")</f>
        <v xml:space="preserve"> </v>
      </c>
      <c r="G6162" s="110">
        <f>COPY!Z6154</f>
        <v>0</v>
      </c>
      <c r="H6162" s="111" t="str">
        <f>IFERROR(VLOOKUP(Table1722[[#This Row],[Bukti]],'Un nOTA'!$A$4:$K$5003,10,FALSE),"")</f>
        <v/>
      </c>
      <c r="I6162" s="123" t="str">
        <f>IFERROR(VLOOKUP(Table1722[[#This Row],[Bukti]],Table13[#Data],11,FALSE),"")</f>
        <v/>
      </c>
    </row>
    <row r="6163" spans="1:9" hidden="1" x14ac:dyDescent="0.2">
      <c r="A6163" s="105" t="str">
        <f>IF(D6163=1,COUNTIF($D$10:D6163,1)," ")</f>
        <v xml:space="preserve"> </v>
      </c>
      <c r="B6163" s="106">
        <f>COPY!AR6155</f>
        <v>0</v>
      </c>
      <c r="C6163" s="107">
        <f>COPY!AC6155</f>
        <v>0</v>
      </c>
      <c r="D6163" s="107" t="str">
        <f>IF(LEN(Table1722[[#This Row],[Uraian]])&gt;2,1," ")</f>
        <v xml:space="preserve"> </v>
      </c>
      <c r="E6163" s="113" t="str">
        <f>IF(Table1722[[#This Row],[Lawan Transaksi]]="CV AGUNG KARYA",COUNTIF($I$10:I6163,"CV AGUNG KARYA")," ")</f>
        <v xml:space="preserve"> </v>
      </c>
      <c r="F6163" s="107" t="str">
        <f>IF(LEN(Table1722[[#This Row],[Uraian]])&gt;2,TRIM(RIGHT(SUBSTITUTE(TRIM(C6163)," ",REPT(" ",255)),255))," ")</f>
        <v xml:space="preserve"> </v>
      </c>
      <c r="G6163" s="110">
        <f>COPY!Z6155</f>
        <v>0</v>
      </c>
      <c r="H6163" s="111" t="str">
        <f>IFERROR(VLOOKUP(Table1722[[#This Row],[Bukti]],'Un nOTA'!$A$4:$K$5003,10,FALSE),"")</f>
        <v/>
      </c>
      <c r="I6163" s="123" t="str">
        <f>IFERROR(VLOOKUP(Table1722[[#This Row],[Bukti]],Table13[#Data],11,FALSE),"")</f>
        <v/>
      </c>
    </row>
    <row r="6164" spans="1:9" hidden="1" x14ac:dyDescent="0.2">
      <c r="A6164" s="105" t="str">
        <f>IF(D6164=1,COUNTIF($D$10:D6164,1)," ")</f>
        <v xml:space="preserve"> </v>
      </c>
      <c r="B6164" s="106">
        <f>COPY!AR6156</f>
        <v>0</v>
      </c>
      <c r="C6164" s="107">
        <f>COPY!AC6156</f>
        <v>0</v>
      </c>
      <c r="D6164" s="107" t="str">
        <f>IF(LEN(Table1722[[#This Row],[Uraian]])&gt;2,1," ")</f>
        <v xml:space="preserve"> </v>
      </c>
      <c r="E6164" s="113" t="str">
        <f>IF(Table1722[[#This Row],[Lawan Transaksi]]="CV AGUNG KARYA",COUNTIF($I$10:I6164,"CV AGUNG KARYA")," ")</f>
        <v xml:space="preserve"> </v>
      </c>
      <c r="F6164" s="107" t="str">
        <f>IF(LEN(Table1722[[#This Row],[Uraian]])&gt;2,TRIM(RIGHT(SUBSTITUTE(TRIM(C6164)," ",REPT(" ",255)),255))," ")</f>
        <v xml:space="preserve"> </v>
      </c>
      <c r="G6164" s="110">
        <f>COPY!Z6156</f>
        <v>0</v>
      </c>
      <c r="H6164" s="111" t="str">
        <f>IFERROR(VLOOKUP(Table1722[[#This Row],[Bukti]],'Un nOTA'!$A$4:$K$5003,10,FALSE),"")</f>
        <v/>
      </c>
      <c r="I6164" s="123" t="str">
        <f>IFERROR(VLOOKUP(Table1722[[#This Row],[Bukti]],Table13[#Data],11,FALSE),"")</f>
        <v/>
      </c>
    </row>
    <row r="6165" spans="1:9" hidden="1" x14ac:dyDescent="0.2">
      <c r="A6165" s="105" t="str">
        <f>IF(D6165=1,COUNTIF($D$10:D6165,1)," ")</f>
        <v xml:space="preserve"> </v>
      </c>
      <c r="B6165" s="106">
        <f>COPY!AR6157</f>
        <v>0</v>
      </c>
      <c r="C6165" s="107">
        <f>COPY!AC6157</f>
        <v>0</v>
      </c>
      <c r="D6165" s="107" t="str">
        <f>IF(LEN(Table1722[[#This Row],[Uraian]])&gt;2,1," ")</f>
        <v xml:space="preserve"> </v>
      </c>
      <c r="E6165" s="113" t="str">
        <f>IF(Table1722[[#This Row],[Lawan Transaksi]]="CV AGUNG KARYA",COUNTIF($I$10:I6165,"CV AGUNG KARYA")," ")</f>
        <v xml:space="preserve"> </v>
      </c>
      <c r="F6165" s="107" t="str">
        <f>IF(LEN(Table1722[[#This Row],[Uraian]])&gt;2,TRIM(RIGHT(SUBSTITUTE(TRIM(C6165)," ",REPT(" ",255)),255))," ")</f>
        <v xml:space="preserve"> </v>
      </c>
      <c r="G6165" s="110">
        <f>COPY!Z6157</f>
        <v>0</v>
      </c>
      <c r="H6165" s="111" t="str">
        <f>IFERROR(VLOOKUP(Table1722[[#This Row],[Bukti]],'Un nOTA'!$A$4:$K$5003,10,FALSE),"")</f>
        <v/>
      </c>
      <c r="I6165" s="123" t="str">
        <f>IFERROR(VLOOKUP(Table1722[[#This Row],[Bukti]],Table13[#Data],11,FALSE),"")</f>
        <v/>
      </c>
    </row>
    <row r="6166" spans="1:9" hidden="1" x14ac:dyDescent="0.2">
      <c r="A6166" s="105" t="str">
        <f>IF(D6166=1,COUNTIF($D$10:D6166,1)," ")</f>
        <v xml:space="preserve"> </v>
      </c>
      <c r="B6166" s="106">
        <f>COPY!AR6158</f>
        <v>0</v>
      </c>
      <c r="C6166" s="107">
        <f>COPY!AC6158</f>
        <v>0</v>
      </c>
      <c r="D6166" s="107" t="str">
        <f>IF(LEN(Table1722[[#This Row],[Uraian]])&gt;2,1," ")</f>
        <v xml:space="preserve"> </v>
      </c>
      <c r="E6166" s="113" t="str">
        <f>IF(Table1722[[#This Row],[Lawan Transaksi]]="CV AGUNG KARYA",COUNTIF($I$10:I6166,"CV AGUNG KARYA")," ")</f>
        <v xml:space="preserve"> </v>
      </c>
      <c r="F6166" s="107" t="str">
        <f>IF(LEN(Table1722[[#This Row],[Uraian]])&gt;2,TRIM(RIGHT(SUBSTITUTE(TRIM(C6166)," ",REPT(" ",255)),255))," ")</f>
        <v xml:space="preserve"> </v>
      </c>
      <c r="G6166" s="110">
        <f>COPY!Z6158</f>
        <v>0</v>
      </c>
      <c r="H6166" s="111" t="str">
        <f>IFERROR(VLOOKUP(Table1722[[#This Row],[Bukti]],'Un nOTA'!$A$4:$K$5003,10,FALSE),"")</f>
        <v/>
      </c>
      <c r="I6166" s="123" t="str">
        <f>IFERROR(VLOOKUP(Table1722[[#This Row],[Bukti]],Table13[#Data],11,FALSE),"")</f>
        <v/>
      </c>
    </row>
    <row r="6167" spans="1:9" hidden="1" x14ac:dyDescent="0.2">
      <c r="A6167" s="105" t="str">
        <f>IF(D6167=1,COUNTIF($D$10:D6167,1)," ")</f>
        <v xml:space="preserve"> </v>
      </c>
      <c r="B6167" s="106">
        <f>COPY!AR6159</f>
        <v>0</v>
      </c>
      <c r="C6167" s="107">
        <f>COPY!AC6159</f>
        <v>0</v>
      </c>
      <c r="D6167" s="107" t="str">
        <f>IF(LEN(Table1722[[#This Row],[Uraian]])&gt;2,1," ")</f>
        <v xml:space="preserve"> </v>
      </c>
      <c r="E6167" s="113" t="str">
        <f>IF(Table1722[[#This Row],[Lawan Transaksi]]="CV AGUNG KARYA",COUNTIF($I$10:I6167,"CV AGUNG KARYA")," ")</f>
        <v xml:space="preserve"> </v>
      </c>
      <c r="F6167" s="107" t="str">
        <f>IF(LEN(Table1722[[#This Row],[Uraian]])&gt;2,TRIM(RIGHT(SUBSTITUTE(TRIM(C6167)," ",REPT(" ",255)),255))," ")</f>
        <v xml:space="preserve"> </v>
      </c>
      <c r="G6167" s="110">
        <f>COPY!Z6159</f>
        <v>0</v>
      </c>
      <c r="H6167" s="111" t="str">
        <f>IFERROR(VLOOKUP(Table1722[[#This Row],[Bukti]],'Un nOTA'!$A$4:$K$5003,10,FALSE),"")</f>
        <v/>
      </c>
      <c r="I6167" s="123" t="str">
        <f>IFERROR(VLOOKUP(Table1722[[#This Row],[Bukti]],Table13[#Data],11,FALSE),"")</f>
        <v/>
      </c>
    </row>
    <row r="6168" spans="1:9" hidden="1" x14ac:dyDescent="0.2">
      <c r="A6168" s="105" t="str">
        <f>IF(D6168=1,COUNTIF($D$10:D6168,1)," ")</f>
        <v xml:space="preserve"> </v>
      </c>
      <c r="B6168" s="106">
        <f>COPY!AR6160</f>
        <v>0</v>
      </c>
      <c r="C6168" s="107">
        <f>COPY!AC6160</f>
        <v>0</v>
      </c>
      <c r="D6168" s="107" t="str">
        <f>IF(LEN(Table1722[[#This Row],[Uraian]])&gt;2,1," ")</f>
        <v xml:space="preserve"> </v>
      </c>
      <c r="E6168" s="113" t="str">
        <f>IF(Table1722[[#This Row],[Lawan Transaksi]]="CV AGUNG KARYA",COUNTIF($I$10:I6168,"CV AGUNG KARYA")," ")</f>
        <v xml:space="preserve"> </v>
      </c>
      <c r="F6168" s="107" t="str">
        <f>IF(LEN(Table1722[[#This Row],[Uraian]])&gt;2,TRIM(RIGHT(SUBSTITUTE(TRIM(C6168)," ",REPT(" ",255)),255))," ")</f>
        <v xml:space="preserve"> </v>
      </c>
      <c r="G6168" s="110">
        <f>COPY!Z6160</f>
        <v>0</v>
      </c>
      <c r="H6168" s="111" t="str">
        <f>IFERROR(VLOOKUP(Table1722[[#This Row],[Bukti]],'Un nOTA'!$A$4:$K$5003,10,FALSE),"")</f>
        <v/>
      </c>
      <c r="I6168" s="123" t="str">
        <f>IFERROR(VLOOKUP(Table1722[[#This Row],[Bukti]],Table13[#Data],11,FALSE),"")</f>
        <v/>
      </c>
    </row>
    <row r="6169" spans="1:9" hidden="1" x14ac:dyDescent="0.2">
      <c r="A6169" s="105" t="str">
        <f>IF(D6169=1,COUNTIF($D$10:D6169,1)," ")</f>
        <v xml:space="preserve"> </v>
      </c>
      <c r="B6169" s="106">
        <f>COPY!AR6161</f>
        <v>0</v>
      </c>
      <c r="C6169" s="107">
        <f>COPY!AC6161</f>
        <v>0</v>
      </c>
      <c r="D6169" s="107" t="str">
        <f>IF(LEN(Table1722[[#This Row],[Uraian]])&gt;2,1," ")</f>
        <v xml:space="preserve"> </v>
      </c>
      <c r="E6169" s="113" t="str">
        <f>IF(Table1722[[#This Row],[Lawan Transaksi]]="CV AGUNG KARYA",COUNTIF($I$10:I6169,"CV AGUNG KARYA")," ")</f>
        <v xml:space="preserve"> </v>
      </c>
      <c r="F6169" s="107" t="str">
        <f>IF(LEN(Table1722[[#This Row],[Uraian]])&gt;2,TRIM(RIGHT(SUBSTITUTE(TRIM(C6169)," ",REPT(" ",255)),255))," ")</f>
        <v xml:space="preserve"> </v>
      </c>
      <c r="G6169" s="110">
        <f>COPY!Z6161</f>
        <v>0</v>
      </c>
      <c r="H6169" s="111" t="str">
        <f>IFERROR(VLOOKUP(Table1722[[#This Row],[Bukti]],'Un nOTA'!$A$4:$K$5003,10,FALSE),"")</f>
        <v/>
      </c>
      <c r="I6169" s="123" t="str">
        <f>IFERROR(VLOOKUP(Table1722[[#This Row],[Bukti]],Table13[#Data],11,FALSE),"")</f>
        <v/>
      </c>
    </row>
    <row r="6170" spans="1:9" hidden="1" x14ac:dyDescent="0.2">
      <c r="A6170" s="105" t="str">
        <f>IF(D6170=1,COUNTIF($D$10:D6170,1)," ")</f>
        <v xml:space="preserve"> </v>
      </c>
      <c r="B6170" s="106">
        <f>COPY!AR6162</f>
        <v>0</v>
      </c>
      <c r="C6170" s="107">
        <f>COPY!AC6162</f>
        <v>0</v>
      </c>
      <c r="D6170" s="107" t="str">
        <f>IF(LEN(Table1722[[#This Row],[Uraian]])&gt;2,1," ")</f>
        <v xml:space="preserve"> </v>
      </c>
      <c r="E6170" s="113" t="str">
        <f>IF(Table1722[[#This Row],[Lawan Transaksi]]="CV AGUNG KARYA",COUNTIF($I$10:I6170,"CV AGUNG KARYA")," ")</f>
        <v xml:space="preserve"> </v>
      </c>
      <c r="F6170" s="107" t="str">
        <f>IF(LEN(Table1722[[#This Row],[Uraian]])&gt;2,TRIM(RIGHT(SUBSTITUTE(TRIM(C6170)," ",REPT(" ",255)),255))," ")</f>
        <v xml:space="preserve"> </v>
      </c>
      <c r="G6170" s="110">
        <f>COPY!Z6162</f>
        <v>0</v>
      </c>
      <c r="H6170" s="111" t="str">
        <f>IFERROR(VLOOKUP(Table1722[[#This Row],[Bukti]],'Un nOTA'!$A$4:$K$5003,10,FALSE),"")</f>
        <v/>
      </c>
      <c r="I6170" s="123" t="str">
        <f>IFERROR(VLOOKUP(Table1722[[#This Row],[Bukti]],Table13[#Data],11,FALSE),"")</f>
        <v/>
      </c>
    </row>
    <row r="6171" spans="1:9" hidden="1" x14ac:dyDescent="0.2">
      <c r="A6171" s="105" t="str">
        <f>IF(D6171=1,COUNTIF($D$10:D6171,1)," ")</f>
        <v xml:space="preserve"> </v>
      </c>
      <c r="B6171" s="106">
        <f>COPY!AR6163</f>
        <v>0</v>
      </c>
      <c r="C6171" s="107">
        <f>COPY!AC6163</f>
        <v>0</v>
      </c>
      <c r="D6171" s="107" t="str">
        <f>IF(LEN(Table1722[[#This Row],[Uraian]])&gt;2,1," ")</f>
        <v xml:space="preserve"> </v>
      </c>
      <c r="E6171" s="113" t="str">
        <f>IF(Table1722[[#This Row],[Lawan Transaksi]]="CV AGUNG KARYA",COUNTIF($I$10:I6171,"CV AGUNG KARYA")," ")</f>
        <v xml:space="preserve"> </v>
      </c>
      <c r="F6171" s="107" t="str">
        <f>IF(LEN(Table1722[[#This Row],[Uraian]])&gt;2,TRIM(RIGHT(SUBSTITUTE(TRIM(C6171)," ",REPT(" ",255)),255))," ")</f>
        <v xml:space="preserve"> </v>
      </c>
      <c r="G6171" s="110">
        <f>COPY!Z6163</f>
        <v>0</v>
      </c>
      <c r="H6171" s="111" t="str">
        <f>IFERROR(VLOOKUP(Table1722[[#This Row],[Bukti]],'Un nOTA'!$A$4:$K$5003,10,FALSE),"")</f>
        <v/>
      </c>
      <c r="I6171" s="123" t="str">
        <f>IFERROR(VLOOKUP(Table1722[[#This Row],[Bukti]],Table13[#Data],11,FALSE),"")</f>
        <v/>
      </c>
    </row>
    <row r="6172" spans="1:9" hidden="1" x14ac:dyDescent="0.2">
      <c r="A6172" s="105" t="str">
        <f>IF(D6172=1,COUNTIF($D$10:D6172,1)," ")</f>
        <v xml:space="preserve"> </v>
      </c>
      <c r="B6172" s="106">
        <f>COPY!AR6164</f>
        <v>0</v>
      </c>
      <c r="C6172" s="107">
        <f>COPY!AC6164</f>
        <v>0</v>
      </c>
      <c r="D6172" s="107" t="str">
        <f>IF(LEN(Table1722[[#This Row],[Uraian]])&gt;2,1," ")</f>
        <v xml:space="preserve"> </v>
      </c>
      <c r="E6172" s="113" t="str">
        <f>IF(Table1722[[#This Row],[Lawan Transaksi]]="CV AGUNG KARYA",COUNTIF($I$10:I6172,"CV AGUNG KARYA")," ")</f>
        <v xml:space="preserve"> </v>
      </c>
      <c r="F6172" s="107" t="str">
        <f>IF(LEN(Table1722[[#This Row],[Uraian]])&gt;2,TRIM(RIGHT(SUBSTITUTE(TRIM(C6172)," ",REPT(" ",255)),255))," ")</f>
        <v xml:space="preserve"> </v>
      </c>
      <c r="G6172" s="110">
        <f>COPY!Z6164</f>
        <v>0</v>
      </c>
      <c r="H6172" s="111" t="str">
        <f>IFERROR(VLOOKUP(Table1722[[#This Row],[Bukti]],'Un nOTA'!$A$4:$K$5003,10,FALSE),"")</f>
        <v/>
      </c>
      <c r="I6172" s="123" t="str">
        <f>IFERROR(VLOOKUP(Table1722[[#This Row],[Bukti]],Table13[#Data],11,FALSE),"")</f>
        <v/>
      </c>
    </row>
    <row r="6173" spans="1:9" hidden="1" x14ac:dyDescent="0.2">
      <c r="A6173" s="105" t="str">
        <f>IF(D6173=1,COUNTIF($D$10:D6173,1)," ")</f>
        <v xml:space="preserve"> </v>
      </c>
      <c r="B6173" s="106">
        <f>COPY!AR6165</f>
        <v>0</v>
      </c>
      <c r="C6173" s="107">
        <f>COPY!AC6165</f>
        <v>0</v>
      </c>
      <c r="D6173" s="107" t="str">
        <f>IF(LEN(Table1722[[#This Row],[Uraian]])&gt;2,1," ")</f>
        <v xml:space="preserve"> </v>
      </c>
      <c r="E6173" s="113" t="str">
        <f>IF(Table1722[[#This Row],[Lawan Transaksi]]="CV AGUNG KARYA",COUNTIF($I$10:I6173,"CV AGUNG KARYA")," ")</f>
        <v xml:space="preserve"> </v>
      </c>
      <c r="F6173" s="107" t="str">
        <f>IF(LEN(Table1722[[#This Row],[Uraian]])&gt;2,TRIM(RIGHT(SUBSTITUTE(TRIM(C6173)," ",REPT(" ",255)),255))," ")</f>
        <v xml:space="preserve"> </v>
      </c>
      <c r="G6173" s="110">
        <f>COPY!Z6165</f>
        <v>0</v>
      </c>
      <c r="H6173" s="111" t="str">
        <f>IFERROR(VLOOKUP(Table1722[[#This Row],[Bukti]],'Un nOTA'!$A$4:$K$5003,10,FALSE),"")</f>
        <v/>
      </c>
      <c r="I6173" s="123" t="str">
        <f>IFERROR(VLOOKUP(Table1722[[#This Row],[Bukti]],Table13[#Data],11,FALSE),"")</f>
        <v/>
      </c>
    </row>
    <row r="6174" spans="1:9" hidden="1" x14ac:dyDescent="0.2">
      <c r="A6174" s="105" t="str">
        <f>IF(D6174=1,COUNTIF($D$10:D6174,1)," ")</f>
        <v xml:space="preserve"> </v>
      </c>
      <c r="B6174" s="106">
        <f>COPY!AR6166</f>
        <v>0</v>
      </c>
      <c r="C6174" s="107">
        <f>COPY!AC6166</f>
        <v>0</v>
      </c>
      <c r="D6174" s="107" t="str">
        <f>IF(LEN(Table1722[[#This Row],[Uraian]])&gt;2,1," ")</f>
        <v xml:space="preserve"> </v>
      </c>
      <c r="E6174" s="113" t="str">
        <f>IF(Table1722[[#This Row],[Lawan Transaksi]]="CV AGUNG KARYA",COUNTIF($I$10:I6174,"CV AGUNG KARYA")," ")</f>
        <v xml:space="preserve"> </v>
      </c>
      <c r="F6174" s="107" t="str">
        <f>IF(LEN(Table1722[[#This Row],[Uraian]])&gt;2,TRIM(RIGHT(SUBSTITUTE(TRIM(C6174)," ",REPT(" ",255)),255))," ")</f>
        <v xml:space="preserve"> </v>
      </c>
      <c r="G6174" s="110">
        <f>COPY!Z6166</f>
        <v>0</v>
      </c>
      <c r="H6174" s="111" t="str">
        <f>IFERROR(VLOOKUP(Table1722[[#This Row],[Bukti]],'Un nOTA'!$A$4:$K$5003,10,FALSE),"")</f>
        <v/>
      </c>
      <c r="I6174" s="123" t="str">
        <f>IFERROR(VLOOKUP(Table1722[[#This Row],[Bukti]],Table13[#Data],11,FALSE),"")</f>
        <v/>
      </c>
    </row>
    <row r="6175" spans="1:9" hidden="1" x14ac:dyDescent="0.2">
      <c r="A6175" s="105" t="str">
        <f>IF(D6175=1,COUNTIF($D$10:D6175,1)," ")</f>
        <v xml:space="preserve"> </v>
      </c>
      <c r="B6175" s="106">
        <f>COPY!AR6167</f>
        <v>0</v>
      </c>
      <c r="C6175" s="107">
        <f>COPY!AC6167</f>
        <v>0</v>
      </c>
      <c r="D6175" s="107" t="str">
        <f>IF(LEN(Table1722[[#This Row],[Uraian]])&gt;2,1," ")</f>
        <v xml:space="preserve"> </v>
      </c>
      <c r="E6175" s="113" t="str">
        <f>IF(Table1722[[#This Row],[Lawan Transaksi]]="CV AGUNG KARYA",COUNTIF($I$10:I6175,"CV AGUNG KARYA")," ")</f>
        <v xml:space="preserve"> </v>
      </c>
      <c r="F6175" s="107" t="str">
        <f>IF(LEN(Table1722[[#This Row],[Uraian]])&gt;2,TRIM(RIGHT(SUBSTITUTE(TRIM(C6175)," ",REPT(" ",255)),255))," ")</f>
        <v xml:space="preserve"> </v>
      </c>
      <c r="G6175" s="110">
        <f>COPY!Z6167</f>
        <v>0</v>
      </c>
      <c r="H6175" s="111" t="str">
        <f>IFERROR(VLOOKUP(Table1722[[#This Row],[Bukti]],'Un nOTA'!$A$4:$K$5003,10,FALSE),"")</f>
        <v/>
      </c>
      <c r="I6175" s="123" t="str">
        <f>IFERROR(VLOOKUP(Table1722[[#This Row],[Bukti]],Table13[#Data],11,FALSE),"")</f>
        <v/>
      </c>
    </row>
    <row r="6176" spans="1:9" hidden="1" x14ac:dyDescent="0.2">
      <c r="A6176" s="105" t="str">
        <f>IF(D6176=1,COUNTIF($D$10:D6176,1)," ")</f>
        <v xml:space="preserve"> </v>
      </c>
      <c r="B6176" s="106">
        <f>COPY!AR6168</f>
        <v>0</v>
      </c>
      <c r="C6176" s="107">
        <f>COPY!AC6168</f>
        <v>0</v>
      </c>
      <c r="D6176" s="107" t="str">
        <f>IF(LEN(Table1722[[#This Row],[Uraian]])&gt;2,1," ")</f>
        <v xml:space="preserve"> </v>
      </c>
      <c r="E6176" s="113" t="str">
        <f>IF(Table1722[[#This Row],[Lawan Transaksi]]="CV AGUNG KARYA",COUNTIF($I$10:I6176,"CV AGUNG KARYA")," ")</f>
        <v xml:space="preserve"> </v>
      </c>
      <c r="F6176" s="107" t="str">
        <f>IF(LEN(Table1722[[#This Row],[Uraian]])&gt;2,TRIM(RIGHT(SUBSTITUTE(TRIM(C6176)," ",REPT(" ",255)),255))," ")</f>
        <v xml:space="preserve"> </v>
      </c>
      <c r="G6176" s="110">
        <f>COPY!Z6168</f>
        <v>0</v>
      </c>
      <c r="H6176" s="111" t="str">
        <f>IFERROR(VLOOKUP(Table1722[[#This Row],[Bukti]],'Un nOTA'!$A$4:$K$5003,10,FALSE),"")</f>
        <v/>
      </c>
      <c r="I6176" s="123" t="str">
        <f>IFERROR(VLOOKUP(Table1722[[#This Row],[Bukti]],Table13[#Data],11,FALSE),"")</f>
        <v/>
      </c>
    </row>
    <row r="6177" spans="1:9" hidden="1" x14ac:dyDescent="0.2">
      <c r="A6177" s="105" t="str">
        <f>IF(D6177=1,COUNTIF($D$10:D6177,1)," ")</f>
        <v xml:space="preserve"> </v>
      </c>
      <c r="B6177" s="106">
        <f>COPY!AR6169</f>
        <v>0</v>
      </c>
      <c r="C6177" s="107">
        <f>COPY!AC6169</f>
        <v>0</v>
      </c>
      <c r="D6177" s="107" t="str">
        <f>IF(LEN(Table1722[[#This Row],[Uraian]])&gt;2,1," ")</f>
        <v xml:space="preserve"> </v>
      </c>
      <c r="E6177" s="113" t="str">
        <f>IF(Table1722[[#This Row],[Lawan Transaksi]]="CV AGUNG KARYA",COUNTIF($I$10:I6177,"CV AGUNG KARYA")," ")</f>
        <v xml:space="preserve"> </v>
      </c>
      <c r="F6177" s="107" t="str">
        <f>IF(LEN(Table1722[[#This Row],[Uraian]])&gt;2,TRIM(RIGHT(SUBSTITUTE(TRIM(C6177)," ",REPT(" ",255)),255))," ")</f>
        <v xml:space="preserve"> </v>
      </c>
      <c r="G6177" s="110">
        <f>COPY!Z6169</f>
        <v>0</v>
      </c>
      <c r="H6177" s="111" t="str">
        <f>IFERROR(VLOOKUP(Table1722[[#This Row],[Bukti]],'Un nOTA'!$A$4:$K$5003,10,FALSE),"")</f>
        <v/>
      </c>
      <c r="I6177" s="123" t="str">
        <f>IFERROR(VLOOKUP(Table1722[[#This Row],[Bukti]],Table13[#Data],11,FALSE),"")</f>
        <v/>
      </c>
    </row>
    <row r="6178" spans="1:9" hidden="1" x14ac:dyDescent="0.2">
      <c r="A6178" s="105" t="str">
        <f>IF(D6178=1,COUNTIF($D$10:D6178,1)," ")</f>
        <v xml:space="preserve"> </v>
      </c>
      <c r="B6178" s="106">
        <f>COPY!AR6170</f>
        <v>0</v>
      </c>
      <c r="C6178" s="107">
        <f>COPY!AC6170</f>
        <v>0</v>
      </c>
      <c r="D6178" s="107" t="str">
        <f>IF(LEN(Table1722[[#This Row],[Uraian]])&gt;2,1," ")</f>
        <v xml:space="preserve"> </v>
      </c>
      <c r="E6178" s="113" t="str">
        <f>IF(Table1722[[#This Row],[Lawan Transaksi]]="CV AGUNG KARYA",COUNTIF($I$10:I6178,"CV AGUNG KARYA")," ")</f>
        <v xml:space="preserve"> </v>
      </c>
      <c r="F6178" s="107" t="str">
        <f>IF(LEN(Table1722[[#This Row],[Uraian]])&gt;2,TRIM(RIGHT(SUBSTITUTE(TRIM(C6178)," ",REPT(" ",255)),255))," ")</f>
        <v xml:space="preserve"> </v>
      </c>
      <c r="G6178" s="110">
        <f>COPY!Z6170</f>
        <v>0</v>
      </c>
      <c r="H6178" s="111" t="str">
        <f>IFERROR(VLOOKUP(Table1722[[#This Row],[Bukti]],'Un nOTA'!$A$4:$K$5003,10,FALSE),"")</f>
        <v/>
      </c>
      <c r="I6178" s="123" t="str">
        <f>IFERROR(VLOOKUP(Table1722[[#This Row],[Bukti]],Table13[#Data],11,FALSE),"")</f>
        <v/>
      </c>
    </row>
    <row r="6179" spans="1:9" hidden="1" x14ac:dyDescent="0.2">
      <c r="A6179" s="105" t="str">
        <f>IF(D6179=1,COUNTIF($D$10:D6179,1)," ")</f>
        <v xml:space="preserve"> </v>
      </c>
      <c r="B6179" s="106">
        <f>COPY!AR6171</f>
        <v>0</v>
      </c>
      <c r="C6179" s="107">
        <f>COPY!AC6171</f>
        <v>0</v>
      </c>
      <c r="D6179" s="107" t="str">
        <f>IF(LEN(Table1722[[#This Row],[Uraian]])&gt;2,1," ")</f>
        <v xml:space="preserve"> </v>
      </c>
      <c r="E6179" s="113" t="str">
        <f>IF(Table1722[[#This Row],[Lawan Transaksi]]="CV AGUNG KARYA",COUNTIF($I$10:I6179,"CV AGUNG KARYA")," ")</f>
        <v xml:space="preserve"> </v>
      </c>
      <c r="F6179" s="107" t="str">
        <f>IF(LEN(Table1722[[#This Row],[Uraian]])&gt;2,TRIM(RIGHT(SUBSTITUTE(TRIM(C6179)," ",REPT(" ",255)),255))," ")</f>
        <v xml:space="preserve"> </v>
      </c>
      <c r="G6179" s="110">
        <f>COPY!Z6171</f>
        <v>0</v>
      </c>
      <c r="H6179" s="111" t="str">
        <f>IFERROR(VLOOKUP(Table1722[[#This Row],[Bukti]],'Un nOTA'!$A$4:$K$5003,10,FALSE),"")</f>
        <v/>
      </c>
      <c r="I6179" s="123" t="str">
        <f>IFERROR(VLOOKUP(Table1722[[#This Row],[Bukti]],Table13[#Data],11,FALSE),"")</f>
        <v/>
      </c>
    </row>
    <row r="6180" spans="1:9" hidden="1" x14ac:dyDescent="0.2">
      <c r="A6180" s="105" t="str">
        <f>IF(D6180=1,COUNTIF($D$10:D6180,1)," ")</f>
        <v xml:space="preserve"> </v>
      </c>
      <c r="B6180" s="106">
        <f>COPY!AR6172</f>
        <v>0</v>
      </c>
      <c r="C6180" s="107">
        <f>COPY!AC6172</f>
        <v>0</v>
      </c>
      <c r="D6180" s="107" t="str">
        <f>IF(LEN(Table1722[[#This Row],[Uraian]])&gt;2,1," ")</f>
        <v xml:space="preserve"> </v>
      </c>
      <c r="E6180" s="113" t="str">
        <f>IF(Table1722[[#This Row],[Lawan Transaksi]]="CV AGUNG KARYA",COUNTIF($I$10:I6180,"CV AGUNG KARYA")," ")</f>
        <v xml:space="preserve"> </v>
      </c>
      <c r="F6180" s="107" t="str">
        <f>IF(LEN(Table1722[[#This Row],[Uraian]])&gt;2,TRIM(RIGHT(SUBSTITUTE(TRIM(C6180)," ",REPT(" ",255)),255))," ")</f>
        <v xml:space="preserve"> </v>
      </c>
      <c r="G6180" s="110">
        <f>COPY!Z6172</f>
        <v>0</v>
      </c>
      <c r="H6180" s="111" t="str">
        <f>IFERROR(VLOOKUP(Table1722[[#This Row],[Bukti]],'Un nOTA'!$A$4:$K$5003,10,FALSE),"")</f>
        <v/>
      </c>
      <c r="I6180" s="123" t="str">
        <f>IFERROR(VLOOKUP(Table1722[[#This Row],[Bukti]],Table13[#Data],11,FALSE),"")</f>
        <v/>
      </c>
    </row>
    <row r="6181" spans="1:9" hidden="1" x14ac:dyDescent="0.2">
      <c r="A6181" s="105" t="str">
        <f>IF(D6181=1,COUNTIF($D$10:D6181,1)," ")</f>
        <v xml:space="preserve"> </v>
      </c>
      <c r="B6181" s="106">
        <f>COPY!AR6173</f>
        <v>0</v>
      </c>
      <c r="C6181" s="107">
        <f>COPY!AC6173</f>
        <v>0</v>
      </c>
      <c r="D6181" s="107" t="str">
        <f>IF(LEN(Table1722[[#This Row],[Uraian]])&gt;2,1," ")</f>
        <v xml:space="preserve"> </v>
      </c>
      <c r="E6181" s="113" t="str">
        <f>IF(Table1722[[#This Row],[Lawan Transaksi]]="CV AGUNG KARYA",COUNTIF($I$10:I6181,"CV AGUNG KARYA")," ")</f>
        <v xml:space="preserve"> </v>
      </c>
      <c r="F6181" s="107" t="str">
        <f>IF(LEN(Table1722[[#This Row],[Uraian]])&gt;2,TRIM(RIGHT(SUBSTITUTE(TRIM(C6181)," ",REPT(" ",255)),255))," ")</f>
        <v xml:space="preserve"> </v>
      </c>
      <c r="G6181" s="110">
        <f>COPY!Z6173</f>
        <v>0</v>
      </c>
      <c r="H6181" s="111" t="str">
        <f>IFERROR(VLOOKUP(Table1722[[#This Row],[Bukti]],'Un nOTA'!$A$4:$K$5003,10,FALSE),"")</f>
        <v/>
      </c>
      <c r="I6181" s="123" t="str">
        <f>IFERROR(VLOOKUP(Table1722[[#This Row],[Bukti]],Table13[#Data],11,FALSE),"")</f>
        <v/>
      </c>
    </row>
    <row r="6182" spans="1:9" hidden="1" x14ac:dyDescent="0.2">
      <c r="A6182" s="105" t="str">
        <f>IF(D6182=1,COUNTIF($D$10:D6182,1)," ")</f>
        <v xml:space="preserve"> </v>
      </c>
      <c r="B6182" s="106">
        <f>COPY!AR6174</f>
        <v>0</v>
      </c>
      <c r="C6182" s="107">
        <f>COPY!AC6174</f>
        <v>0</v>
      </c>
      <c r="D6182" s="107" t="str">
        <f>IF(LEN(Table1722[[#This Row],[Uraian]])&gt;2,1," ")</f>
        <v xml:space="preserve"> </v>
      </c>
      <c r="E6182" s="113" t="str">
        <f>IF(Table1722[[#This Row],[Lawan Transaksi]]="CV AGUNG KARYA",COUNTIF($I$10:I6182,"CV AGUNG KARYA")," ")</f>
        <v xml:space="preserve"> </v>
      </c>
      <c r="F6182" s="107" t="str">
        <f>IF(LEN(Table1722[[#This Row],[Uraian]])&gt;2,TRIM(RIGHT(SUBSTITUTE(TRIM(C6182)," ",REPT(" ",255)),255))," ")</f>
        <v xml:space="preserve"> </v>
      </c>
      <c r="G6182" s="110">
        <f>COPY!Z6174</f>
        <v>0</v>
      </c>
      <c r="H6182" s="111" t="str">
        <f>IFERROR(VLOOKUP(Table1722[[#This Row],[Bukti]],'Un nOTA'!$A$4:$K$5003,10,FALSE),"")</f>
        <v/>
      </c>
      <c r="I6182" s="123" t="str">
        <f>IFERROR(VLOOKUP(Table1722[[#This Row],[Bukti]],Table13[#Data],11,FALSE),"")</f>
        <v/>
      </c>
    </row>
    <row r="6183" spans="1:9" hidden="1" x14ac:dyDescent="0.2">
      <c r="A6183" s="105" t="str">
        <f>IF(D6183=1,COUNTIF($D$10:D6183,1)," ")</f>
        <v xml:space="preserve"> </v>
      </c>
      <c r="B6183" s="106">
        <f>COPY!AR6175</f>
        <v>0</v>
      </c>
      <c r="C6183" s="107">
        <f>COPY!AC6175</f>
        <v>0</v>
      </c>
      <c r="D6183" s="107" t="str">
        <f>IF(LEN(Table1722[[#This Row],[Uraian]])&gt;2,1," ")</f>
        <v xml:space="preserve"> </v>
      </c>
      <c r="E6183" s="113" t="str">
        <f>IF(Table1722[[#This Row],[Lawan Transaksi]]="CV AGUNG KARYA",COUNTIF($I$10:I6183,"CV AGUNG KARYA")," ")</f>
        <v xml:space="preserve"> </v>
      </c>
      <c r="F6183" s="107" t="str">
        <f>IF(LEN(Table1722[[#This Row],[Uraian]])&gt;2,TRIM(RIGHT(SUBSTITUTE(TRIM(C6183)," ",REPT(" ",255)),255))," ")</f>
        <v xml:space="preserve"> </v>
      </c>
      <c r="G6183" s="110">
        <f>COPY!Z6175</f>
        <v>0</v>
      </c>
      <c r="H6183" s="111" t="str">
        <f>IFERROR(VLOOKUP(Table1722[[#This Row],[Bukti]],'Un nOTA'!$A$4:$K$5003,10,FALSE),"")</f>
        <v/>
      </c>
      <c r="I6183" s="123" t="str">
        <f>IFERROR(VLOOKUP(Table1722[[#This Row],[Bukti]],Table13[#Data],11,FALSE),"")</f>
        <v/>
      </c>
    </row>
    <row r="6184" spans="1:9" hidden="1" x14ac:dyDescent="0.2">
      <c r="A6184" s="105" t="str">
        <f>IF(D6184=1,COUNTIF($D$10:D6184,1)," ")</f>
        <v xml:space="preserve"> </v>
      </c>
      <c r="B6184" s="106">
        <f>COPY!AR6176</f>
        <v>0</v>
      </c>
      <c r="C6184" s="107">
        <f>COPY!AC6176</f>
        <v>0</v>
      </c>
      <c r="D6184" s="107" t="str">
        <f>IF(LEN(Table1722[[#This Row],[Uraian]])&gt;2,1," ")</f>
        <v xml:space="preserve"> </v>
      </c>
      <c r="E6184" s="113" t="str">
        <f>IF(Table1722[[#This Row],[Lawan Transaksi]]="CV AGUNG KARYA",COUNTIF($I$10:I6184,"CV AGUNG KARYA")," ")</f>
        <v xml:space="preserve"> </v>
      </c>
      <c r="F6184" s="107" t="str">
        <f>IF(LEN(Table1722[[#This Row],[Uraian]])&gt;2,TRIM(RIGHT(SUBSTITUTE(TRIM(C6184)," ",REPT(" ",255)),255))," ")</f>
        <v xml:space="preserve"> </v>
      </c>
      <c r="G6184" s="110">
        <f>COPY!Z6176</f>
        <v>0</v>
      </c>
      <c r="H6184" s="111" t="str">
        <f>IFERROR(VLOOKUP(Table1722[[#This Row],[Bukti]],'Un nOTA'!$A$4:$K$5003,10,FALSE),"")</f>
        <v/>
      </c>
      <c r="I6184" s="123" t="str">
        <f>IFERROR(VLOOKUP(Table1722[[#This Row],[Bukti]],Table13[#Data],11,FALSE),"")</f>
        <v/>
      </c>
    </row>
    <row r="6185" spans="1:9" hidden="1" x14ac:dyDescent="0.2">
      <c r="A6185" s="105" t="str">
        <f>IF(D6185=1,COUNTIF($D$10:D6185,1)," ")</f>
        <v xml:space="preserve"> </v>
      </c>
      <c r="B6185" s="106">
        <f>COPY!AR6177</f>
        <v>0</v>
      </c>
      <c r="C6185" s="107">
        <f>COPY!AC6177</f>
        <v>0</v>
      </c>
      <c r="D6185" s="107" t="str">
        <f>IF(LEN(Table1722[[#This Row],[Uraian]])&gt;2,1," ")</f>
        <v xml:space="preserve"> </v>
      </c>
      <c r="E6185" s="113" t="str">
        <f>IF(Table1722[[#This Row],[Lawan Transaksi]]="CV AGUNG KARYA",COUNTIF($I$10:I6185,"CV AGUNG KARYA")," ")</f>
        <v xml:space="preserve"> </v>
      </c>
      <c r="F6185" s="107" t="str">
        <f>IF(LEN(Table1722[[#This Row],[Uraian]])&gt;2,TRIM(RIGHT(SUBSTITUTE(TRIM(C6185)," ",REPT(" ",255)),255))," ")</f>
        <v xml:space="preserve"> </v>
      </c>
      <c r="G6185" s="110">
        <f>COPY!Z6177</f>
        <v>0</v>
      </c>
      <c r="H6185" s="111" t="str">
        <f>IFERROR(VLOOKUP(Table1722[[#This Row],[Bukti]],'Un nOTA'!$A$4:$K$5003,10,FALSE),"")</f>
        <v/>
      </c>
      <c r="I6185" s="123" t="str">
        <f>IFERROR(VLOOKUP(Table1722[[#This Row],[Bukti]],Table13[#Data],11,FALSE),"")</f>
        <v/>
      </c>
    </row>
    <row r="6186" spans="1:9" hidden="1" x14ac:dyDescent="0.2">
      <c r="A6186" s="105" t="str">
        <f>IF(D6186=1,COUNTIF($D$10:D6186,1)," ")</f>
        <v xml:space="preserve"> </v>
      </c>
      <c r="B6186" s="106">
        <f>COPY!AR6178</f>
        <v>0</v>
      </c>
      <c r="C6186" s="107">
        <f>COPY!AC6178</f>
        <v>0</v>
      </c>
      <c r="D6186" s="107" t="str">
        <f>IF(LEN(Table1722[[#This Row],[Uraian]])&gt;2,1," ")</f>
        <v xml:space="preserve"> </v>
      </c>
      <c r="E6186" s="113" t="str">
        <f>IF(Table1722[[#This Row],[Lawan Transaksi]]="CV AGUNG KARYA",COUNTIF($I$10:I6186,"CV AGUNG KARYA")," ")</f>
        <v xml:space="preserve"> </v>
      </c>
      <c r="F6186" s="107" t="str">
        <f>IF(LEN(Table1722[[#This Row],[Uraian]])&gt;2,TRIM(RIGHT(SUBSTITUTE(TRIM(C6186)," ",REPT(" ",255)),255))," ")</f>
        <v xml:space="preserve"> </v>
      </c>
      <c r="G6186" s="110">
        <f>COPY!Z6178</f>
        <v>0</v>
      </c>
      <c r="H6186" s="111" t="str">
        <f>IFERROR(VLOOKUP(Table1722[[#This Row],[Bukti]],'Un nOTA'!$A$4:$K$5003,10,FALSE),"")</f>
        <v/>
      </c>
      <c r="I6186" s="123" t="str">
        <f>IFERROR(VLOOKUP(Table1722[[#This Row],[Bukti]],Table13[#Data],11,FALSE),"")</f>
        <v/>
      </c>
    </row>
    <row r="6187" spans="1:9" hidden="1" x14ac:dyDescent="0.2">
      <c r="A6187" s="105" t="str">
        <f>IF(D6187=1,COUNTIF($D$10:D6187,1)," ")</f>
        <v xml:space="preserve"> </v>
      </c>
      <c r="B6187" s="106">
        <f>COPY!AR6179</f>
        <v>0</v>
      </c>
      <c r="C6187" s="107">
        <f>COPY!AC6179</f>
        <v>0</v>
      </c>
      <c r="D6187" s="107" t="str">
        <f>IF(LEN(Table1722[[#This Row],[Uraian]])&gt;2,1," ")</f>
        <v xml:space="preserve"> </v>
      </c>
      <c r="E6187" s="113" t="str">
        <f>IF(Table1722[[#This Row],[Lawan Transaksi]]="CV AGUNG KARYA",COUNTIF($I$10:I6187,"CV AGUNG KARYA")," ")</f>
        <v xml:space="preserve"> </v>
      </c>
      <c r="F6187" s="107" t="str">
        <f>IF(LEN(Table1722[[#This Row],[Uraian]])&gt;2,TRIM(RIGHT(SUBSTITUTE(TRIM(C6187)," ",REPT(" ",255)),255))," ")</f>
        <v xml:space="preserve"> </v>
      </c>
      <c r="G6187" s="110">
        <f>COPY!Z6179</f>
        <v>0</v>
      </c>
      <c r="H6187" s="111" t="str">
        <f>IFERROR(VLOOKUP(Table1722[[#This Row],[Bukti]],'Un nOTA'!$A$4:$K$5003,10,FALSE),"")</f>
        <v/>
      </c>
      <c r="I6187" s="123" t="str">
        <f>IFERROR(VLOOKUP(Table1722[[#This Row],[Bukti]],Table13[#Data],11,FALSE),"")</f>
        <v/>
      </c>
    </row>
    <row r="6188" spans="1:9" hidden="1" x14ac:dyDescent="0.2">
      <c r="A6188" s="105" t="str">
        <f>IF(D6188=1,COUNTIF($D$10:D6188,1)," ")</f>
        <v xml:space="preserve"> </v>
      </c>
      <c r="B6188" s="106">
        <f>COPY!AR6180</f>
        <v>0</v>
      </c>
      <c r="C6188" s="107">
        <f>COPY!AC6180</f>
        <v>0</v>
      </c>
      <c r="D6188" s="107" t="str">
        <f>IF(LEN(Table1722[[#This Row],[Uraian]])&gt;2,1," ")</f>
        <v xml:space="preserve"> </v>
      </c>
      <c r="E6188" s="113" t="str">
        <f>IF(Table1722[[#This Row],[Lawan Transaksi]]="CV AGUNG KARYA",COUNTIF($I$10:I6188,"CV AGUNG KARYA")," ")</f>
        <v xml:space="preserve"> </v>
      </c>
      <c r="F6188" s="107" t="str">
        <f>IF(LEN(Table1722[[#This Row],[Uraian]])&gt;2,TRIM(RIGHT(SUBSTITUTE(TRIM(C6188)," ",REPT(" ",255)),255))," ")</f>
        <v xml:space="preserve"> </v>
      </c>
      <c r="G6188" s="110">
        <f>COPY!Z6180</f>
        <v>0</v>
      </c>
      <c r="H6188" s="111" t="str">
        <f>IFERROR(VLOOKUP(Table1722[[#This Row],[Bukti]],'Un nOTA'!$A$4:$K$5003,10,FALSE),"")</f>
        <v/>
      </c>
      <c r="I6188" s="123" t="str">
        <f>IFERROR(VLOOKUP(Table1722[[#This Row],[Bukti]],Table13[#Data],11,FALSE),"")</f>
        <v/>
      </c>
    </row>
    <row r="6189" spans="1:9" hidden="1" x14ac:dyDescent="0.2">
      <c r="A6189" s="105" t="str">
        <f>IF(D6189=1,COUNTIF($D$10:D6189,1)," ")</f>
        <v xml:space="preserve"> </v>
      </c>
      <c r="B6189" s="106">
        <f>COPY!AR6181</f>
        <v>0</v>
      </c>
      <c r="C6189" s="107">
        <f>COPY!AC6181</f>
        <v>0</v>
      </c>
      <c r="D6189" s="107" t="str">
        <f>IF(LEN(Table1722[[#This Row],[Uraian]])&gt;2,1," ")</f>
        <v xml:space="preserve"> </v>
      </c>
      <c r="E6189" s="113" t="str">
        <f>IF(Table1722[[#This Row],[Lawan Transaksi]]="CV AGUNG KARYA",COUNTIF($I$10:I6189,"CV AGUNG KARYA")," ")</f>
        <v xml:space="preserve"> </v>
      </c>
      <c r="F6189" s="107" t="str">
        <f>IF(LEN(Table1722[[#This Row],[Uraian]])&gt;2,TRIM(RIGHT(SUBSTITUTE(TRIM(C6189)," ",REPT(" ",255)),255))," ")</f>
        <v xml:space="preserve"> </v>
      </c>
      <c r="G6189" s="110">
        <f>COPY!Z6181</f>
        <v>0</v>
      </c>
      <c r="H6189" s="111" t="str">
        <f>IFERROR(VLOOKUP(Table1722[[#This Row],[Bukti]],'Un nOTA'!$A$4:$K$5003,10,FALSE),"")</f>
        <v/>
      </c>
      <c r="I6189" s="123" t="str">
        <f>IFERROR(VLOOKUP(Table1722[[#This Row],[Bukti]],Table13[#Data],11,FALSE),"")</f>
        <v/>
      </c>
    </row>
    <row r="6190" spans="1:9" hidden="1" x14ac:dyDescent="0.2">
      <c r="A6190" s="105" t="str">
        <f>IF(D6190=1,COUNTIF($D$10:D6190,1)," ")</f>
        <v xml:space="preserve"> </v>
      </c>
      <c r="B6190" s="106">
        <f>COPY!AR6182</f>
        <v>0</v>
      </c>
      <c r="C6190" s="107">
        <f>COPY!AC6182</f>
        <v>0</v>
      </c>
      <c r="D6190" s="107" t="str">
        <f>IF(LEN(Table1722[[#This Row],[Uraian]])&gt;2,1," ")</f>
        <v xml:space="preserve"> </v>
      </c>
      <c r="E6190" s="113" t="str">
        <f>IF(Table1722[[#This Row],[Lawan Transaksi]]="CV AGUNG KARYA",COUNTIF($I$10:I6190,"CV AGUNG KARYA")," ")</f>
        <v xml:space="preserve"> </v>
      </c>
      <c r="F6190" s="107" t="str">
        <f>IF(LEN(Table1722[[#This Row],[Uraian]])&gt;2,TRIM(RIGHT(SUBSTITUTE(TRIM(C6190)," ",REPT(" ",255)),255))," ")</f>
        <v xml:space="preserve"> </v>
      </c>
      <c r="G6190" s="110">
        <f>COPY!Z6182</f>
        <v>0</v>
      </c>
      <c r="H6190" s="111" t="str">
        <f>IFERROR(VLOOKUP(Table1722[[#This Row],[Bukti]],'Un nOTA'!$A$4:$K$5003,10,FALSE),"")</f>
        <v/>
      </c>
      <c r="I6190" s="123" t="str">
        <f>IFERROR(VLOOKUP(Table1722[[#This Row],[Bukti]],Table13[#Data],11,FALSE),"")</f>
        <v/>
      </c>
    </row>
    <row r="6191" spans="1:9" hidden="1" x14ac:dyDescent="0.2">
      <c r="A6191" s="105" t="str">
        <f>IF(D6191=1,COUNTIF($D$10:D6191,1)," ")</f>
        <v xml:space="preserve"> </v>
      </c>
      <c r="B6191" s="106">
        <f>COPY!AR6183</f>
        <v>0</v>
      </c>
      <c r="C6191" s="107">
        <f>COPY!AC6183</f>
        <v>0</v>
      </c>
      <c r="D6191" s="107" t="str">
        <f>IF(LEN(Table1722[[#This Row],[Uraian]])&gt;2,1," ")</f>
        <v xml:space="preserve"> </v>
      </c>
      <c r="E6191" s="113" t="str">
        <f>IF(Table1722[[#This Row],[Lawan Transaksi]]="CV AGUNG KARYA",COUNTIF($I$10:I6191,"CV AGUNG KARYA")," ")</f>
        <v xml:space="preserve"> </v>
      </c>
      <c r="F6191" s="107" t="str">
        <f>IF(LEN(Table1722[[#This Row],[Uraian]])&gt;2,TRIM(RIGHT(SUBSTITUTE(TRIM(C6191)," ",REPT(" ",255)),255))," ")</f>
        <v xml:space="preserve"> </v>
      </c>
      <c r="G6191" s="110">
        <f>COPY!Z6183</f>
        <v>0</v>
      </c>
      <c r="H6191" s="111" t="str">
        <f>IFERROR(VLOOKUP(Table1722[[#This Row],[Bukti]],'Un nOTA'!$A$4:$K$5003,10,FALSE),"")</f>
        <v/>
      </c>
      <c r="I6191" s="123" t="str">
        <f>IFERROR(VLOOKUP(Table1722[[#This Row],[Bukti]],Table13[#Data],11,FALSE),"")</f>
        <v/>
      </c>
    </row>
    <row r="6192" spans="1:9" hidden="1" x14ac:dyDescent="0.2">
      <c r="A6192" s="105" t="str">
        <f>IF(D6192=1,COUNTIF($D$10:D6192,1)," ")</f>
        <v xml:space="preserve"> </v>
      </c>
      <c r="B6192" s="106">
        <f>COPY!AR6184</f>
        <v>0</v>
      </c>
      <c r="C6192" s="107">
        <f>COPY!AC6184</f>
        <v>0</v>
      </c>
      <c r="D6192" s="107" t="str">
        <f>IF(LEN(Table1722[[#This Row],[Uraian]])&gt;2,1," ")</f>
        <v xml:space="preserve"> </v>
      </c>
      <c r="E6192" s="113" t="str">
        <f>IF(Table1722[[#This Row],[Lawan Transaksi]]="CV AGUNG KARYA",COUNTIF($I$10:I6192,"CV AGUNG KARYA")," ")</f>
        <v xml:space="preserve"> </v>
      </c>
      <c r="F6192" s="107" t="str">
        <f>IF(LEN(Table1722[[#This Row],[Uraian]])&gt;2,TRIM(RIGHT(SUBSTITUTE(TRIM(C6192)," ",REPT(" ",255)),255))," ")</f>
        <v xml:space="preserve"> </v>
      </c>
      <c r="G6192" s="110">
        <f>COPY!Z6184</f>
        <v>0</v>
      </c>
      <c r="H6192" s="111" t="str">
        <f>IFERROR(VLOOKUP(Table1722[[#This Row],[Bukti]],'Un nOTA'!$A$4:$K$5003,10,FALSE),"")</f>
        <v/>
      </c>
      <c r="I6192" s="123" t="str">
        <f>IFERROR(VLOOKUP(Table1722[[#This Row],[Bukti]],Table13[#Data],11,FALSE),"")</f>
        <v/>
      </c>
    </row>
    <row r="6193" spans="1:9" hidden="1" x14ac:dyDescent="0.2">
      <c r="A6193" s="105" t="str">
        <f>IF(D6193=1,COUNTIF($D$10:D6193,1)," ")</f>
        <v xml:space="preserve"> </v>
      </c>
      <c r="B6193" s="106">
        <f>COPY!AR6185</f>
        <v>0</v>
      </c>
      <c r="C6193" s="107">
        <f>COPY!AC6185</f>
        <v>0</v>
      </c>
      <c r="D6193" s="107" t="str">
        <f>IF(LEN(Table1722[[#This Row],[Uraian]])&gt;2,1," ")</f>
        <v xml:space="preserve"> </v>
      </c>
      <c r="E6193" s="113" t="str">
        <f>IF(Table1722[[#This Row],[Lawan Transaksi]]="CV AGUNG KARYA",COUNTIF($I$10:I6193,"CV AGUNG KARYA")," ")</f>
        <v xml:space="preserve"> </v>
      </c>
      <c r="F6193" s="107" t="str">
        <f>IF(LEN(Table1722[[#This Row],[Uraian]])&gt;2,TRIM(RIGHT(SUBSTITUTE(TRIM(C6193)," ",REPT(" ",255)),255))," ")</f>
        <v xml:space="preserve"> </v>
      </c>
      <c r="G6193" s="110">
        <f>COPY!Z6185</f>
        <v>0</v>
      </c>
      <c r="H6193" s="111" t="str">
        <f>IFERROR(VLOOKUP(Table1722[[#This Row],[Bukti]],'Un nOTA'!$A$4:$K$5003,10,FALSE),"")</f>
        <v/>
      </c>
      <c r="I6193" s="123" t="str">
        <f>IFERROR(VLOOKUP(Table1722[[#This Row],[Bukti]],Table13[#Data],11,FALSE),"")</f>
        <v/>
      </c>
    </row>
    <row r="6194" spans="1:9" hidden="1" x14ac:dyDescent="0.2">
      <c r="A6194" s="105" t="str">
        <f>IF(D6194=1,COUNTIF($D$10:D6194,1)," ")</f>
        <v xml:space="preserve"> </v>
      </c>
      <c r="B6194" s="106">
        <f>COPY!AR6186</f>
        <v>0</v>
      </c>
      <c r="C6194" s="107">
        <f>COPY!AC6186</f>
        <v>0</v>
      </c>
      <c r="D6194" s="107" t="str">
        <f>IF(LEN(Table1722[[#This Row],[Uraian]])&gt;2,1," ")</f>
        <v xml:space="preserve"> </v>
      </c>
      <c r="E6194" s="113" t="str">
        <f>IF(Table1722[[#This Row],[Lawan Transaksi]]="CV AGUNG KARYA",COUNTIF($I$10:I6194,"CV AGUNG KARYA")," ")</f>
        <v xml:space="preserve"> </v>
      </c>
      <c r="F6194" s="107" t="str">
        <f>IF(LEN(Table1722[[#This Row],[Uraian]])&gt;2,TRIM(RIGHT(SUBSTITUTE(TRIM(C6194)," ",REPT(" ",255)),255))," ")</f>
        <v xml:space="preserve"> </v>
      </c>
      <c r="G6194" s="110">
        <f>COPY!Z6186</f>
        <v>0</v>
      </c>
      <c r="H6194" s="111" t="str">
        <f>IFERROR(VLOOKUP(Table1722[[#This Row],[Bukti]],'Un nOTA'!$A$4:$K$5003,10,FALSE),"")</f>
        <v/>
      </c>
      <c r="I6194" s="123" t="str">
        <f>IFERROR(VLOOKUP(Table1722[[#This Row],[Bukti]],Table13[#Data],11,FALSE),"")</f>
        <v/>
      </c>
    </row>
    <row r="6195" spans="1:9" hidden="1" x14ac:dyDescent="0.2">
      <c r="A6195" s="105" t="str">
        <f>IF(D6195=1,COUNTIF($D$10:D6195,1)," ")</f>
        <v xml:space="preserve"> </v>
      </c>
      <c r="B6195" s="106">
        <f>COPY!AR6187</f>
        <v>0</v>
      </c>
      <c r="C6195" s="107">
        <f>COPY!AC6187</f>
        <v>0</v>
      </c>
      <c r="D6195" s="107" t="str">
        <f>IF(LEN(Table1722[[#This Row],[Uraian]])&gt;2,1," ")</f>
        <v xml:space="preserve"> </v>
      </c>
      <c r="E6195" s="113" t="str">
        <f>IF(Table1722[[#This Row],[Lawan Transaksi]]="CV AGUNG KARYA",COUNTIF($I$10:I6195,"CV AGUNG KARYA")," ")</f>
        <v xml:space="preserve"> </v>
      </c>
      <c r="F6195" s="107" t="str">
        <f>IF(LEN(Table1722[[#This Row],[Uraian]])&gt;2,TRIM(RIGHT(SUBSTITUTE(TRIM(C6195)," ",REPT(" ",255)),255))," ")</f>
        <v xml:space="preserve"> </v>
      </c>
      <c r="G6195" s="110">
        <f>COPY!Z6187</f>
        <v>0</v>
      </c>
      <c r="H6195" s="111" t="str">
        <f>IFERROR(VLOOKUP(Table1722[[#This Row],[Bukti]],'Un nOTA'!$A$4:$K$5003,10,FALSE),"")</f>
        <v/>
      </c>
      <c r="I6195" s="123" t="str">
        <f>IFERROR(VLOOKUP(Table1722[[#This Row],[Bukti]],Table13[#Data],11,FALSE),"")</f>
        <v/>
      </c>
    </row>
    <row r="6196" spans="1:9" hidden="1" x14ac:dyDescent="0.2">
      <c r="A6196" s="105" t="str">
        <f>IF(D6196=1,COUNTIF($D$10:D6196,1)," ")</f>
        <v xml:space="preserve"> </v>
      </c>
      <c r="B6196" s="106">
        <f>COPY!AR6188</f>
        <v>0</v>
      </c>
      <c r="C6196" s="107">
        <f>COPY!AC6188</f>
        <v>0</v>
      </c>
      <c r="D6196" s="107" t="str">
        <f>IF(LEN(Table1722[[#This Row],[Uraian]])&gt;2,1," ")</f>
        <v xml:space="preserve"> </v>
      </c>
      <c r="E6196" s="113" t="str">
        <f>IF(Table1722[[#This Row],[Lawan Transaksi]]="CV AGUNG KARYA",COUNTIF($I$10:I6196,"CV AGUNG KARYA")," ")</f>
        <v xml:space="preserve"> </v>
      </c>
      <c r="F6196" s="107" t="str">
        <f>IF(LEN(Table1722[[#This Row],[Uraian]])&gt;2,TRIM(RIGHT(SUBSTITUTE(TRIM(C6196)," ",REPT(" ",255)),255))," ")</f>
        <v xml:space="preserve"> </v>
      </c>
      <c r="G6196" s="110">
        <f>COPY!Z6188</f>
        <v>0</v>
      </c>
      <c r="H6196" s="111" t="str">
        <f>IFERROR(VLOOKUP(Table1722[[#This Row],[Bukti]],'Un nOTA'!$A$4:$K$5003,10,FALSE),"")</f>
        <v/>
      </c>
      <c r="I6196" s="123" t="str">
        <f>IFERROR(VLOOKUP(Table1722[[#This Row],[Bukti]],Table13[#Data],11,FALSE),"")</f>
        <v/>
      </c>
    </row>
    <row r="6197" spans="1:9" hidden="1" x14ac:dyDescent="0.2">
      <c r="A6197" s="105" t="str">
        <f>IF(D6197=1,COUNTIF($D$10:D6197,1)," ")</f>
        <v xml:space="preserve"> </v>
      </c>
      <c r="B6197" s="106">
        <f>COPY!AR6189</f>
        <v>0</v>
      </c>
      <c r="C6197" s="107">
        <f>COPY!AC6189</f>
        <v>0</v>
      </c>
      <c r="D6197" s="107" t="str">
        <f>IF(LEN(Table1722[[#This Row],[Uraian]])&gt;2,1," ")</f>
        <v xml:space="preserve"> </v>
      </c>
      <c r="E6197" s="113" t="str">
        <f>IF(Table1722[[#This Row],[Lawan Transaksi]]="CV AGUNG KARYA",COUNTIF($I$10:I6197,"CV AGUNG KARYA")," ")</f>
        <v xml:space="preserve"> </v>
      </c>
      <c r="F6197" s="107" t="str">
        <f>IF(LEN(Table1722[[#This Row],[Uraian]])&gt;2,TRIM(RIGHT(SUBSTITUTE(TRIM(C6197)," ",REPT(" ",255)),255))," ")</f>
        <v xml:space="preserve"> </v>
      </c>
      <c r="G6197" s="110">
        <f>COPY!Z6189</f>
        <v>0</v>
      </c>
      <c r="H6197" s="111" t="str">
        <f>IFERROR(VLOOKUP(Table1722[[#This Row],[Bukti]],'Un nOTA'!$A$4:$K$5003,10,FALSE),"")</f>
        <v/>
      </c>
      <c r="I6197" s="123" t="str">
        <f>IFERROR(VLOOKUP(Table1722[[#This Row],[Bukti]],Table13[#Data],11,FALSE),"")</f>
        <v/>
      </c>
    </row>
    <row r="6198" spans="1:9" hidden="1" x14ac:dyDescent="0.2">
      <c r="A6198" s="105" t="str">
        <f>IF(D6198=1,COUNTIF($D$10:D6198,1)," ")</f>
        <v xml:space="preserve"> </v>
      </c>
      <c r="B6198" s="106">
        <f>COPY!AR6190</f>
        <v>0</v>
      </c>
      <c r="C6198" s="107">
        <f>COPY!AC6190</f>
        <v>0</v>
      </c>
      <c r="D6198" s="107" t="str">
        <f>IF(LEN(Table1722[[#This Row],[Uraian]])&gt;2,1," ")</f>
        <v xml:space="preserve"> </v>
      </c>
      <c r="E6198" s="113" t="str">
        <f>IF(Table1722[[#This Row],[Lawan Transaksi]]="CV AGUNG KARYA",COUNTIF($I$10:I6198,"CV AGUNG KARYA")," ")</f>
        <v xml:space="preserve"> </v>
      </c>
      <c r="F6198" s="107" t="str">
        <f>IF(LEN(Table1722[[#This Row],[Uraian]])&gt;2,TRIM(RIGHT(SUBSTITUTE(TRIM(C6198)," ",REPT(" ",255)),255))," ")</f>
        <v xml:space="preserve"> </v>
      </c>
      <c r="G6198" s="110">
        <f>COPY!Z6190</f>
        <v>0</v>
      </c>
      <c r="H6198" s="111" t="str">
        <f>IFERROR(VLOOKUP(Table1722[[#This Row],[Bukti]],'Un nOTA'!$A$4:$K$5003,10,FALSE),"")</f>
        <v/>
      </c>
      <c r="I6198" s="123" t="str">
        <f>IFERROR(VLOOKUP(Table1722[[#This Row],[Bukti]],Table13[#Data],11,FALSE),"")</f>
        <v/>
      </c>
    </row>
    <row r="6199" spans="1:9" hidden="1" x14ac:dyDescent="0.2">
      <c r="A6199" s="105" t="str">
        <f>IF(D6199=1,COUNTIF($D$10:D6199,1)," ")</f>
        <v xml:space="preserve"> </v>
      </c>
      <c r="B6199" s="106">
        <f>COPY!AR6191</f>
        <v>0</v>
      </c>
      <c r="C6199" s="107">
        <f>COPY!AC6191</f>
        <v>0</v>
      </c>
      <c r="D6199" s="107" t="str">
        <f>IF(LEN(Table1722[[#This Row],[Uraian]])&gt;2,1," ")</f>
        <v xml:space="preserve"> </v>
      </c>
      <c r="E6199" s="113" t="str">
        <f>IF(Table1722[[#This Row],[Lawan Transaksi]]="CV AGUNG KARYA",COUNTIF($I$10:I6199,"CV AGUNG KARYA")," ")</f>
        <v xml:space="preserve"> </v>
      </c>
      <c r="F6199" s="107" t="str">
        <f>IF(LEN(Table1722[[#This Row],[Uraian]])&gt;2,TRIM(RIGHT(SUBSTITUTE(TRIM(C6199)," ",REPT(" ",255)),255))," ")</f>
        <v xml:space="preserve"> </v>
      </c>
      <c r="G6199" s="110">
        <f>COPY!Z6191</f>
        <v>0</v>
      </c>
      <c r="H6199" s="111" t="str">
        <f>IFERROR(VLOOKUP(Table1722[[#This Row],[Bukti]],'Un nOTA'!$A$4:$K$5003,10,FALSE),"")</f>
        <v/>
      </c>
      <c r="I6199" s="123" t="str">
        <f>IFERROR(VLOOKUP(Table1722[[#This Row],[Bukti]],Table13[#Data],11,FALSE),"")</f>
        <v/>
      </c>
    </row>
    <row r="6200" spans="1:9" hidden="1" x14ac:dyDescent="0.2">
      <c r="A6200" s="105" t="str">
        <f>IF(D6200=1,COUNTIF($D$10:D6200,1)," ")</f>
        <v xml:space="preserve"> </v>
      </c>
      <c r="B6200" s="106">
        <f>COPY!AR6192</f>
        <v>0</v>
      </c>
      <c r="C6200" s="107">
        <f>COPY!AC6192</f>
        <v>0</v>
      </c>
      <c r="D6200" s="107" t="str">
        <f>IF(LEN(Table1722[[#This Row],[Uraian]])&gt;2,1," ")</f>
        <v xml:space="preserve"> </v>
      </c>
      <c r="E6200" s="113" t="str">
        <f>IF(Table1722[[#This Row],[Lawan Transaksi]]="CV AGUNG KARYA",COUNTIF($I$10:I6200,"CV AGUNG KARYA")," ")</f>
        <v xml:space="preserve"> </v>
      </c>
      <c r="F6200" s="107" t="str">
        <f>IF(LEN(Table1722[[#This Row],[Uraian]])&gt;2,TRIM(RIGHT(SUBSTITUTE(TRIM(C6200)," ",REPT(" ",255)),255))," ")</f>
        <v xml:space="preserve"> </v>
      </c>
      <c r="G6200" s="110">
        <f>COPY!Z6192</f>
        <v>0</v>
      </c>
      <c r="H6200" s="111" t="str">
        <f>IFERROR(VLOOKUP(Table1722[[#This Row],[Bukti]],'Un nOTA'!$A$4:$K$5003,10,FALSE),"")</f>
        <v/>
      </c>
      <c r="I6200" s="123" t="str">
        <f>IFERROR(VLOOKUP(Table1722[[#This Row],[Bukti]],Table13[#Data],11,FALSE),"")</f>
        <v/>
      </c>
    </row>
    <row r="6201" spans="1:9" hidden="1" x14ac:dyDescent="0.2">
      <c r="A6201" s="105" t="str">
        <f>IF(D6201=1,COUNTIF($D$10:D6201,1)," ")</f>
        <v xml:space="preserve"> </v>
      </c>
      <c r="B6201" s="106">
        <f>COPY!AR6193</f>
        <v>0</v>
      </c>
      <c r="C6201" s="107">
        <f>COPY!AC6193</f>
        <v>0</v>
      </c>
      <c r="D6201" s="107" t="str">
        <f>IF(LEN(Table1722[[#This Row],[Uraian]])&gt;2,1," ")</f>
        <v xml:space="preserve"> </v>
      </c>
      <c r="E6201" s="113" t="str">
        <f>IF(Table1722[[#This Row],[Lawan Transaksi]]="CV AGUNG KARYA",COUNTIF($I$10:I6201,"CV AGUNG KARYA")," ")</f>
        <v xml:space="preserve"> </v>
      </c>
      <c r="F6201" s="107" t="str">
        <f>IF(LEN(Table1722[[#This Row],[Uraian]])&gt;2,TRIM(RIGHT(SUBSTITUTE(TRIM(C6201)," ",REPT(" ",255)),255))," ")</f>
        <v xml:space="preserve"> </v>
      </c>
      <c r="G6201" s="110">
        <f>COPY!Z6193</f>
        <v>0</v>
      </c>
      <c r="H6201" s="111" t="str">
        <f>IFERROR(VLOOKUP(Table1722[[#This Row],[Bukti]],'Un nOTA'!$A$4:$K$5003,10,FALSE),"")</f>
        <v/>
      </c>
      <c r="I6201" s="123" t="str">
        <f>IFERROR(VLOOKUP(Table1722[[#This Row],[Bukti]],Table13[#Data],11,FALSE),"")</f>
        <v/>
      </c>
    </row>
    <row r="6202" spans="1:9" hidden="1" x14ac:dyDescent="0.2">
      <c r="A6202" s="105" t="str">
        <f>IF(D6202=1,COUNTIF($D$10:D6202,1)," ")</f>
        <v xml:space="preserve"> </v>
      </c>
      <c r="B6202" s="106">
        <f>COPY!AR6194</f>
        <v>0</v>
      </c>
      <c r="C6202" s="107">
        <f>COPY!AC6194</f>
        <v>0</v>
      </c>
      <c r="D6202" s="107" t="str">
        <f>IF(LEN(Table1722[[#This Row],[Uraian]])&gt;2,1," ")</f>
        <v xml:space="preserve"> </v>
      </c>
      <c r="E6202" s="113" t="str">
        <f>IF(Table1722[[#This Row],[Lawan Transaksi]]="CV AGUNG KARYA",COUNTIF($I$10:I6202,"CV AGUNG KARYA")," ")</f>
        <v xml:space="preserve"> </v>
      </c>
      <c r="F6202" s="107" t="str">
        <f>IF(LEN(Table1722[[#This Row],[Uraian]])&gt;2,TRIM(RIGHT(SUBSTITUTE(TRIM(C6202)," ",REPT(" ",255)),255))," ")</f>
        <v xml:space="preserve"> </v>
      </c>
      <c r="G6202" s="110">
        <f>COPY!Z6194</f>
        <v>0</v>
      </c>
      <c r="H6202" s="111" t="str">
        <f>IFERROR(VLOOKUP(Table1722[[#This Row],[Bukti]],'Un nOTA'!$A$4:$K$5003,10,FALSE),"")</f>
        <v/>
      </c>
      <c r="I6202" s="123" t="str">
        <f>IFERROR(VLOOKUP(Table1722[[#This Row],[Bukti]],Table13[#Data],11,FALSE),"")</f>
        <v/>
      </c>
    </row>
    <row r="6203" spans="1:9" hidden="1" x14ac:dyDescent="0.2">
      <c r="A6203" s="105" t="str">
        <f>IF(D6203=1,COUNTIF($D$10:D6203,1)," ")</f>
        <v xml:space="preserve"> </v>
      </c>
      <c r="B6203" s="106">
        <f>COPY!AR6195</f>
        <v>0</v>
      </c>
      <c r="C6203" s="107">
        <f>COPY!AC6195</f>
        <v>0</v>
      </c>
      <c r="D6203" s="107" t="str">
        <f>IF(LEN(Table1722[[#This Row],[Uraian]])&gt;2,1," ")</f>
        <v xml:space="preserve"> </v>
      </c>
      <c r="E6203" s="113" t="str">
        <f>IF(Table1722[[#This Row],[Lawan Transaksi]]="CV AGUNG KARYA",COUNTIF($I$10:I6203,"CV AGUNG KARYA")," ")</f>
        <v xml:space="preserve"> </v>
      </c>
      <c r="F6203" s="107" t="str">
        <f>IF(LEN(Table1722[[#This Row],[Uraian]])&gt;2,TRIM(RIGHT(SUBSTITUTE(TRIM(C6203)," ",REPT(" ",255)),255))," ")</f>
        <v xml:space="preserve"> </v>
      </c>
      <c r="G6203" s="110">
        <f>COPY!Z6195</f>
        <v>0</v>
      </c>
      <c r="H6203" s="111" t="str">
        <f>IFERROR(VLOOKUP(Table1722[[#This Row],[Bukti]],'Un nOTA'!$A$4:$K$5003,10,FALSE),"")</f>
        <v/>
      </c>
      <c r="I6203" s="123" t="str">
        <f>IFERROR(VLOOKUP(Table1722[[#This Row],[Bukti]],Table13[#Data],11,FALSE),"")</f>
        <v/>
      </c>
    </row>
    <row r="6204" spans="1:9" hidden="1" x14ac:dyDescent="0.2">
      <c r="A6204" s="105" t="str">
        <f>IF(D6204=1,COUNTIF($D$10:D6204,1)," ")</f>
        <v xml:space="preserve"> </v>
      </c>
      <c r="B6204" s="106">
        <f>COPY!AR6196</f>
        <v>0</v>
      </c>
      <c r="C6204" s="107">
        <f>COPY!AC6196</f>
        <v>0</v>
      </c>
      <c r="D6204" s="107" t="str">
        <f>IF(LEN(Table1722[[#This Row],[Uraian]])&gt;2,1," ")</f>
        <v xml:space="preserve"> </v>
      </c>
      <c r="E6204" s="113" t="str">
        <f>IF(Table1722[[#This Row],[Lawan Transaksi]]="CV AGUNG KARYA",COUNTIF($I$10:I6204,"CV AGUNG KARYA")," ")</f>
        <v xml:space="preserve"> </v>
      </c>
      <c r="F6204" s="107" t="str">
        <f>IF(LEN(Table1722[[#This Row],[Uraian]])&gt;2,TRIM(RIGHT(SUBSTITUTE(TRIM(C6204)," ",REPT(" ",255)),255))," ")</f>
        <v xml:space="preserve"> </v>
      </c>
      <c r="G6204" s="110">
        <f>COPY!Z6196</f>
        <v>0</v>
      </c>
      <c r="H6204" s="111" t="str">
        <f>IFERROR(VLOOKUP(Table1722[[#This Row],[Bukti]],'Un nOTA'!$A$4:$K$5003,10,FALSE),"")</f>
        <v/>
      </c>
      <c r="I6204" s="123" t="str">
        <f>IFERROR(VLOOKUP(Table1722[[#This Row],[Bukti]],Table13[#Data],11,FALSE),"")</f>
        <v/>
      </c>
    </row>
    <row r="6205" spans="1:9" hidden="1" x14ac:dyDescent="0.2">
      <c r="A6205" s="105" t="str">
        <f>IF(D6205=1,COUNTIF($D$10:D6205,1)," ")</f>
        <v xml:space="preserve"> </v>
      </c>
      <c r="B6205" s="106">
        <f>COPY!AR6197</f>
        <v>0</v>
      </c>
      <c r="C6205" s="107">
        <f>COPY!AC6197</f>
        <v>0</v>
      </c>
      <c r="D6205" s="107" t="str">
        <f>IF(LEN(Table1722[[#This Row],[Uraian]])&gt;2,1," ")</f>
        <v xml:space="preserve"> </v>
      </c>
      <c r="E6205" s="113" t="str">
        <f>IF(Table1722[[#This Row],[Lawan Transaksi]]="CV AGUNG KARYA",COUNTIF($I$10:I6205,"CV AGUNG KARYA")," ")</f>
        <v xml:space="preserve"> </v>
      </c>
      <c r="F6205" s="107" t="str">
        <f>IF(LEN(Table1722[[#This Row],[Uraian]])&gt;2,TRIM(RIGHT(SUBSTITUTE(TRIM(C6205)," ",REPT(" ",255)),255))," ")</f>
        <v xml:space="preserve"> </v>
      </c>
      <c r="G6205" s="110">
        <f>COPY!Z6197</f>
        <v>0</v>
      </c>
      <c r="H6205" s="111" t="str">
        <f>IFERROR(VLOOKUP(Table1722[[#This Row],[Bukti]],'Un nOTA'!$A$4:$K$5003,10,FALSE),"")</f>
        <v/>
      </c>
      <c r="I6205" s="123" t="str">
        <f>IFERROR(VLOOKUP(Table1722[[#This Row],[Bukti]],Table13[#Data],11,FALSE),"")</f>
        <v/>
      </c>
    </row>
    <row r="6206" spans="1:9" hidden="1" x14ac:dyDescent="0.2">
      <c r="A6206" s="105" t="str">
        <f>IF(D6206=1,COUNTIF($D$10:D6206,1)," ")</f>
        <v xml:space="preserve"> </v>
      </c>
      <c r="B6206" s="106">
        <f>COPY!AR6198</f>
        <v>0</v>
      </c>
      <c r="C6206" s="107">
        <f>COPY!AC6198</f>
        <v>0</v>
      </c>
      <c r="D6206" s="107" t="str">
        <f>IF(LEN(Table1722[[#This Row],[Uraian]])&gt;2,1," ")</f>
        <v xml:space="preserve"> </v>
      </c>
      <c r="E6206" s="113" t="str">
        <f>IF(Table1722[[#This Row],[Lawan Transaksi]]="CV AGUNG KARYA",COUNTIF($I$10:I6206,"CV AGUNG KARYA")," ")</f>
        <v xml:space="preserve"> </v>
      </c>
      <c r="F6206" s="107" t="str">
        <f>IF(LEN(Table1722[[#This Row],[Uraian]])&gt;2,TRIM(RIGHT(SUBSTITUTE(TRIM(C6206)," ",REPT(" ",255)),255))," ")</f>
        <v xml:space="preserve"> </v>
      </c>
      <c r="G6206" s="110">
        <f>COPY!Z6198</f>
        <v>0</v>
      </c>
      <c r="H6206" s="111" t="str">
        <f>IFERROR(VLOOKUP(Table1722[[#This Row],[Bukti]],'Un nOTA'!$A$4:$K$5003,10,FALSE),"")</f>
        <v/>
      </c>
      <c r="I6206" s="123" t="str">
        <f>IFERROR(VLOOKUP(Table1722[[#This Row],[Bukti]],Table13[#Data],11,FALSE),"")</f>
        <v/>
      </c>
    </row>
    <row r="6207" spans="1:9" hidden="1" x14ac:dyDescent="0.2">
      <c r="A6207" s="105" t="str">
        <f>IF(D6207=1,COUNTIF($D$10:D6207,1)," ")</f>
        <v xml:space="preserve"> </v>
      </c>
      <c r="B6207" s="106">
        <f>COPY!AR6199</f>
        <v>0</v>
      </c>
      <c r="C6207" s="107">
        <f>COPY!AC6199</f>
        <v>0</v>
      </c>
      <c r="D6207" s="107" t="str">
        <f>IF(LEN(Table1722[[#This Row],[Uraian]])&gt;2,1," ")</f>
        <v xml:space="preserve"> </v>
      </c>
      <c r="E6207" s="113" t="str">
        <f>IF(Table1722[[#This Row],[Lawan Transaksi]]="CV AGUNG KARYA",COUNTIF($I$10:I6207,"CV AGUNG KARYA")," ")</f>
        <v xml:space="preserve"> </v>
      </c>
      <c r="F6207" s="107" t="str">
        <f>IF(LEN(Table1722[[#This Row],[Uraian]])&gt;2,TRIM(RIGHT(SUBSTITUTE(TRIM(C6207)," ",REPT(" ",255)),255))," ")</f>
        <v xml:space="preserve"> </v>
      </c>
      <c r="G6207" s="110">
        <f>COPY!Z6199</f>
        <v>0</v>
      </c>
      <c r="H6207" s="111" t="str">
        <f>IFERROR(VLOOKUP(Table1722[[#This Row],[Bukti]],'Un nOTA'!$A$4:$K$5003,10,FALSE),"")</f>
        <v/>
      </c>
      <c r="I6207" s="123" t="str">
        <f>IFERROR(VLOOKUP(Table1722[[#This Row],[Bukti]],Table13[#Data],11,FALSE),"")</f>
        <v/>
      </c>
    </row>
    <row r="6208" spans="1:9" hidden="1" x14ac:dyDescent="0.2">
      <c r="A6208" s="105" t="str">
        <f>IF(D6208=1,COUNTIF($D$10:D6208,1)," ")</f>
        <v xml:space="preserve"> </v>
      </c>
      <c r="B6208" s="106">
        <f>COPY!AR6200</f>
        <v>0</v>
      </c>
      <c r="C6208" s="107">
        <f>COPY!AC6200</f>
        <v>0</v>
      </c>
      <c r="D6208" s="107" t="str">
        <f>IF(LEN(Table1722[[#This Row],[Uraian]])&gt;2,1," ")</f>
        <v xml:space="preserve"> </v>
      </c>
      <c r="E6208" s="113" t="str">
        <f>IF(Table1722[[#This Row],[Lawan Transaksi]]="CV AGUNG KARYA",COUNTIF($I$10:I6208,"CV AGUNG KARYA")," ")</f>
        <v xml:space="preserve"> </v>
      </c>
      <c r="F6208" s="107" t="str">
        <f>IF(LEN(Table1722[[#This Row],[Uraian]])&gt;2,TRIM(RIGHT(SUBSTITUTE(TRIM(C6208)," ",REPT(" ",255)),255))," ")</f>
        <v xml:space="preserve"> </v>
      </c>
      <c r="G6208" s="110">
        <f>COPY!Z6200</f>
        <v>0</v>
      </c>
      <c r="H6208" s="111" t="str">
        <f>IFERROR(VLOOKUP(Table1722[[#This Row],[Bukti]],'Un nOTA'!$A$4:$K$5003,10,FALSE),"")</f>
        <v/>
      </c>
      <c r="I6208" s="123" t="str">
        <f>IFERROR(VLOOKUP(Table1722[[#This Row],[Bukti]],Table13[#Data],11,FALSE),"")</f>
        <v/>
      </c>
    </row>
    <row r="6209" spans="1:9" hidden="1" x14ac:dyDescent="0.2">
      <c r="A6209" s="105" t="str">
        <f>IF(D6209=1,COUNTIF($D$10:D6209,1)," ")</f>
        <v xml:space="preserve"> </v>
      </c>
      <c r="B6209" s="106">
        <f>COPY!AR6201</f>
        <v>0</v>
      </c>
      <c r="C6209" s="107">
        <f>COPY!AC6201</f>
        <v>0</v>
      </c>
      <c r="D6209" s="107" t="str">
        <f>IF(LEN(Table1722[[#This Row],[Uraian]])&gt;2,1," ")</f>
        <v xml:space="preserve"> </v>
      </c>
      <c r="E6209" s="113" t="str">
        <f>IF(Table1722[[#This Row],[Lawan Transaksi]]="CV AGUNG KARYA",COUNTIF($I$10:I6209,"CV AGUNG KARYA")," ")</f>
        <v xml:space="preserve"> </v>
      </c>
      <c r="F6209" s="107" t="str">
        <f>IF(LEN(Table1722[[#This Row],[Uraian]])&gt;2,TRIM(RIGHT(SUBSTITUTE(TRIM(C6209)," ",REPT(" ",255)),255))," ")</f>
        <v xml:space="preserve"> </v>
      </c>
      <c r="G6209" s="110">
        <f>COPY!Z6201</f>
        <v>0</v>
      </c>
      <c r="H6209" s="111" t="str">
        <f>IFERROR(VLOOKUP(Table1722[[#This Row],[Bukti]],'Un nOTA'!$A$4:$K$5003,10,FALSE),"")</f>
        <v/>
      </c>
      <c r="I6209" s="123" t="str">
        <f>IFERROR(VLOOKUP(Table1722[[#This Row],[Bukti]],Table13[#Data],11,FALSE),"")</f>
        <v/>
      </c>
    </row>
    <row r="6210" spans="1:9" hidden="1" x14ac:dyDescent="0.2">
      <c r="A6210" s="105" t="str">
        <f>IF(D6210=1,COUNTIF($D$10:D6210,1)," ")</f>
        <v xml:space="preserve"> </v>
      </c>
      <c r="B6210" s="106">
        <f>COPY!AR6202</f>
        <v>0</v>
      </c>
      <c r="C6210" s="107">
        <f>COPY!AC6202</f>
        <v>0</v>
      </c>
      <c r="D6210" s="107" t="str">
        <f>IF(LEN(Table1722[[#This Row],[Uraian]])&gt;2,1," ")</f>
        <v xml:space="preserve"> </v>
      </c>
      <c r="E6210" s="113" t="str">
        <f>IF(Table1722[[#This Row],[Lawan Transaksi]]="CV AGUNG KARYA",COUNTIF($I$10:I6210,"CV AGUNG KARYA")," ")</f>
        <v xml:space="preserve"> </v>
      </c>
      <c r="F6210" s="107" t="str">
        <f>IF(LEN(Table1722[[#This Row],[Uraian]])&gt;2,TRIM(RIGHT(SUBSTITUTE(TRIM(C6210)," ",REPT(" ",255)),255))," ")</f>
        <v xml:space="preserve"> </v>
      </c>
      <c r="G6210" s="110">
        <f>COPY!Z6202</f>
        <v>0</v>
      </c>
      <c r="H6210" s="111" t="str">
        <f>IFERROR(VLOOKUP(Table1722[[#This Row],[Bukti]],'Un nOTA'!$A$4:$K$5003,10,FALSE),"")</f>
        <v/>
      </c>
      <c r="I6210" s="123" t="str">
        <f>IFERROR(VLOOKUP(Table1722[[#This Row],[Bukti]],Table13[#Data],11,FALSE),"")</f>
        <v/>
      </c>
    </row>
    <row r="6211" spans="1:9" hidden="1" x14ac:dyDescent="0.2">
      <c r="A6211" s="105" t="str">
        <f>IF(D6211=1,COUNTIF($D$10:D6211,1)," ")</f>
        <v xml:space="preserve"> </v>
      </c>
      <c r="B6211" s="106">
        <f>COPY!AR6203</f>
        <v>0</v>
      </c>
      <c r="C6211" s="107">
        <f>COPY!AC6203</f>
        <v>0</v>
      </c>
      <c r="D6211" s="107" t="str">
        <f>IF(LEN(Table1722[[#This Row],[Uraian]])&gt;2,1," ")</f>
        <v xml:space="preserve"> </v>
      </c>
      <c r="E6211" s="113" t="str">
        <f>IF(Table1722[[#This Row],[Lawan Transaksi]]="CV AGUNG KARYA",COUNTIF($I$10:I6211,"CV AGUNG KARYA")," ")</f>
        <v xml:space="preserve"> </v>
      </c>
      <c r="F6211" s="107" t="str">
        <f>IF(LEN(Table1722[[#This Row],[Uraian]])&gt;2,TRIM(RIGHT(SUBSTITUTE(TRIM(C6211)," ",REPT(" ",255)),255))," ")</f>
        <v xml:space="preserve"> </v>
      </c>
      <c r="G6211" s="110">
        <f>COPY!Z6203</f>
        <v>0</v>
      </c>
      <c r="H6211" s="111" t="str">
        <f>IFERROR(VLOOKUP(Table1722[[#This Row],[Bukti]],'Un nOTA'!$A$4:$K$5003,10,FALSE),"")</f>
        <v/>
      </c>
      <c r="I6211" s="123" t="str">
        <f>IFERROR(VLOOKUP(Table1722[[#This Row],[Bukti]],Table13[#Data],11,FALSE),"")</f>
        <v/>
      </c>
    </row>
    <row r="6212" spans="1:9" hidden="1" x14ac:dyDescent="0.2">
      <c r="A6212" s="105" t="str">
        <f>IF(D6212=1,COUNTIF($D$10:D6212,1)," ")</f>
        <v xml:space="preserve"> </v>
      </c>
      <c r="B6212" s="106">
        <f>COPY!AR6204</f>
        <v>0</v>
      </c>
      <c r="C6212" s="107">
        <f>COPY!AC6204</f>
        <v>0</v>
      </c>
      <c r="D6212" s="107" t="str">
        <f>IF(LEN(Table1722[[#This Row],[Uraian]])&gt;2,1," ")</f>
        <v xml:space="preserve"> </v>
      </c>
      <c r="E6212" s="113" t="str">
        <f>IF(Table1722[[#This Row],[Lawan Transaksi]]="CV AGUNG KARYA",COUNTIF($I$10:I6212,"CV AGUNG KARYA")," ")</f>
        <v xml:space="preserve"> </v>
      </c>
      <c r="F6212" s="107" t="str">
        <f>IF(LEN(Table1722[[#This Row],[Uraian]])&gt;2,TRIM(RIGHT(SUBSTITUTE(TRIM(C6212)," ",REPT(" ",255)),255))," ")</f>
        <v xml:space="preserve"> </v>
      </c>
      <c r="G6212" s="110">
        <f>COPY!Z6204</f>
        <v>0</v>
      </c>
      <c r="H6212" s="111" t="str">
        <f>IFERROR(VLOOKUP(Table1722[[#This Row],[Bukti]],'Un nOTA'!$A$4:$K$5003,10,FALSE),"")</f>
        <v/>
      </c>
      <c r="I6212" s="123" t="str">
        <f>IFERROR(VLOOKUP(Table1722[[#This Row],[Bukti]],Table13[#Data],11,FALSE),"")</f>
        <v/>
      </c>
    </row>
    <row r="6213" spans="1:9" hidden="1" x14ac:dyDescent="0.2">
      <c r="A6213" s="105" t="str">
        <f>IF(D6213=1,COUNTIF($D$10:D6213,1)," ")</f>
        <v xml:space="preserve"> </v>
      </c>
      <c r="B6213" s="106">
        <f>COPY!AR6205</f>
        <v>0</v>
      </c>
      <c r="C6213" s="107">
        <f>COPY!AC6205</f>
        <v>0</v>
      </c>
      <c r="D6213" s="107" t="str">
        <f>IF(LEN(Table1722[[#This Row],[Uraian]])&gt;2,1," ")</f>
        <v xml:space="preserve"> </v>
      </c>
      <c r="E6213" s="113" t="str">
        <f>IF(Table1722[[#This Row],[Lawan Transaksi]]="CV AGUNG KARYA",COUNTIF($I$10:I6213,"CV AGUNG KARYA")," ")</f>
        <v xml:space="preserve"> </v>
      </c>
      <c r="F6213" s="107" t="str">
        <f>IF(LEN(Table1722[[#This Row],[Uraian]])&gt;2,TRIM(RIGHT(SUBSTITUTE(TRIM(C6213)," ",REPT(" ",255)),255))," ")</f>
        <v xml:space="preserve"> </v>
      </c>
      <c r="G6213" s="110">
        <f>COPY!Z6205</f>
        <v>0</v>
      </c>
      <c r="H6213" s="111" t="str">
        <f>IFERROR(VLOOKUP(Table1722[[#This Row],[Bukti]],'Un nOTA'!$A$4:$K$5003,10,FALSE),"")</f>
        <v/>
      </c>
      <c r="I6213" s="123" t="str">
        <f>IFERROR(VLOOKUP(Table1722[[#This Row],[Bukti]],Table13[#Data],11,FALSE),"")</f>
        <v/>
      </c>
    </row>
    <row r="6214" spans="1:9" hidden="1" x14ac:dyDescent="0.2">
      <c r="A6214" s="105" t="str">
        <f>IF(D6214=1,COUNTIF($D$10:D6214,1)," ")</f>
        <v xml:space="preserve"> </v>
      </c>
      <c r="B6214" s="106">
        <f>COPY!AR6206</f>
        <v>0</v>
      </c>
      <c r="C6214" s="107">
        <f>COPY!AC6206</f>
        <v>0</v>
      </c>
      <c r="D6214" s="107" t="str">
        <f>IF(LEN(Table1722[[#This Row],[Uraian]])&gt;2,1," ")</f>
        <v xml:space="preserve"> </v>
      </c>
      <c r="E6214" s="113" t="str">
        <f>IF(Table1722[[#This Row],[Lawan Transaksi]]="CV AGUNG KARYA",COUNTIF($I$10:I6214,"CV AGUNG KARYA")," ")</f>
        <v xml:space="preserve"> </v>
      </c>
      <c r="F6214" s="107" t="str">
        <f>IF(LEN(Table1722[[#This Row],[Uraian]])&gt;2,TRIM(RIGHT(SUBSTITUTE(TRIM(C6214)," ",REPT(" ",255)),255))," ")</f>
        <v xml:space="preserve"> </v>
      </c>
      <c r="G6214" s="110">
        <f>COPY!Z6206</f>
        <v>0</v>
      </c>
      <c r="H6214" s="111" t="str">
        <f>IFERROR(VLOOKUP(Table1722[[#This Row],[Bukti]],'Un nOTA'!$A$4:$K$5003,10,FALSE),"")</f>
        <v/>
      </c>
      <c r="I6214" s="123" t="str">
        <f>IFERROR(VLOOKUP(Table1722[[#This Row],[Bukti]],Table13[#Data],11,FALSE),"")</f>
        <v/>
      </c>
    </row>
    <row r="6215" spans="1:9" hidden="1" x14ac:dyDescent="0.2">
      <c r="A6215" s="105" t="str">
        <f>IF(D6215=1,COUNTIF($D$10:D6215,1)," ")</f>
        <v xml:space="preserve"> </v>
      </c>
      <c r="B6215" s="106">
        <f>COPY!AR6207</f>
        <v>0</v>
      </c>
      <c r="C6215" s="107">
        <f>COPY!AC6207</f>
        <v>0</v>
      </c>
      <c r="D6215" s="107" t="str">
        <f>IF(LEN(Table1722[[#This Row],[Uraian]])&gt;2,1," ")</f>
        <v xml:space="preserve"> </v>
      </c>
      <c r="E6215" s="113" t="str">
        <f>IF(Table1722[[#This Row],[Lawan Transaksi]]="CV AGUNG KARYA",COUNTIF($I$10:I6215,"CV AGUNG KARYA")," ")</f>
        <v xml:space="preserve"> </v>
      </c>
      <c r="F6215" s="107" t="str">
        <f>IF(LEN(Table1722[[#This Row],[Uraian]])&gt;2,TRIM(RIGHT(SUBSTITUTE(TRIM(C6215)," ",REPT(" ",255)),255))," ")</f>
        <v xml:space="preserve"> </v>
      </c>
      <c r="G6215" s="110">
        <f>COPY!Z6207</f>
        <v>0</v>
      </c>
      <c r="H6215" s="111" t="str">
        <f>IFERROR(VLOOKUP(Table1722[[#This Row],[Bukti]],'Un nOTA'!$A$4:$K$5003,10,FALSE),"")</f>
        <v/>
      </c>
      <c r="I6215" s="123" t="str">
        <f>IFERROR(VLOOKUP(Table1722[[#This Row],[Bukti]],Table13[#Data],11,FALSE),"")</f>
        <v/>
      </c>
    </row>
    <row r="6216" spans="1:9" hidden="1" x14ac:dyDescent="0.2">
      <c r="A6216" s="105" t="str">
        <f>IF(D6216=1,COUNTIF($D$10:D6216,1)," ")</f>
        <v xml:space="preserve"> </v>
      </c>
      <c r="B6216" s="106">
        <f>COPY!AR6208</f>
        <v>0</v>
      </c>
      <c r="C6216" s="107">
        <f>COPY!AC6208</f>
        <v>0</v>
      </c>
      <c r="D6216" s="107" t="str">
        <f>IF(LEN(Table1722[[#This Row],[Uraian]])&gt;2,1," ")</f>
        <v xml:space="preserve"> </v>
      </c>
      <c r="E6216" s="113" t="str">
        <f>IF(Table1722[[#This Row],[Lawan Transaksi]]="CV AGUNG KARYA",COUNTIF($I$10:I6216,"CV AGUNG KARYA")," ")</f>
        <v xml:space="preserve"> </v>
      </c>
      <c r="F6216" s="107" t="str">
        <f>IF(LEN(Table1722[[#This Row],[Uraian]])&gt;2,TRIM(RIGHT(SUBSTITUTE(TRIM(C6216)," ",REPT(" ",255)),255))," ")</f>
        <v xml:space="preserve"> </v>
      </c>
      <c r="G6216" s="110">
        <f>COPY!Z6208</f>
        <v>0</v>
      </c>
      <c r="H6216" s="111" t="str">
        <f>IFERROR(VLOOKUP(Table1722[[#This Row],[Bukti]],'Un nOTA'!$A$4:$K$5003,10,FALSE),"")</f>
        <v/>
      </c>
      <c r="I6216" s="123" t="str">
        <f>IFERROR(VLOOKUP(Table1722[[#This Row],[Bukti]],Table13[#Data],11,FALSE),"")</f>
        <v/>
      </c>
    </row>
    <row r="6217" spans="1:9" hidden="1" x14ac:dyDescent="0.2">
      <c r="A6217" s="105" t="str">
        <f>IF(D6217=1,COUNTIF($D$10:D6217,1)," ")</f>
        <v xml:space="preserve"> </v>
      </c>
      <c r="B6217" s="106">
        <f>COPY!AR6209</f>
        <v>0</v>
      </c>
      <c r="C6217" s="107">
        <f>COPY!AC6209</f>
        <v>0</v>
      </c>
      <c r="D6217" s="107" t="str">
        <f>IF(LEN(Table1722[[#This Row],[Uraian]])&gt;2,1," ")</f>
        <v xml:space="preserve"> </v>
      </c>
      <c r="E6217" s="113" t="str">
        <f>IF(Table1722[[#This Row],[Lawan Transaksi]]="CV AGUNG KARYA",COUNTIF($I$10:I6217,"CV AGUNG KARYA")," ")</f>
        <v xml:space="preserve"> </v>
      </c>
      <c r="F6217" s="107" t="str">
        <f>IF(LEN(Table1722[[#This Row],[Uraian]])&gt;2,TRIM(RIGHT(SUBSTITUTE(TRIM(C6217)," ",REPT(" ",255)),255))," ")</f>
        <v xml:space="preserve"> </v>
      </c>
      <c r="G6217" s="110">
        <f>COPY!Z6209</f>
        <v>0</v>
      </c>
      <c r="H6217" s="111" t="str">
        <f>IFERROR(VLOOKUP(Table1722[[#This Row],[Bukti]],'Un nOTA'!$A$4:$K$5003,10,FALSE),"")</f>
        <v/>
      </c>
      <c r="I6217" s="123" t="str">
        <f>IFERROR(VLOOKUP(Table1722[[#This Row],[Bukti]],Table13[#Data],11,FALSE),"")</f>
        <v/>
      </c>
    </row>
    <row r="6218" spans="1:9" hidden="1" x14ac:dyDescent="0.2">
      <c r="A6218" s="105" t="str">
        <f>IF(D6218=1,COUNTIF($D$10:D6218,1)," ")</f>
        <v xml:space="preserve"> </v>
      </c>
      <c r="B6218" s="106">
        <f>COPY!AR6210</f>
        <v>0</v>
      </c>
      <c r="C6218" s="107">
        <f>COPY!AC6210</f>
        <v>0</v>
      </c>
      <c r="D6218" s="107" t="str">
        <f>IF(LEN(Table1722[[#This Row],[Uraian]])&gt;2,1," ")</f>
        <v xml:space="preserve"> </v>
      </c>
      <c r="E6218" s="113" t="str">
        <f>IF(Table1722[[#This Row],[Lawan Transaksi]]="CV AGUNG KARYA",COUNTIF($I$10:I6218,"CV AGUNG KARYA")," ")</f>
        <v xml:space="preserve"> </v>
      </c>
      <c r="F6218" s="107" t="str">
        <f>IF(LEN(Table1722[[#This Row],[Uraian]])&gt;2,TRIM(RIGHT(SUBSTITUTE(TRIM(C6218)," ",REPT(" ",255)),255))," ")</f>
        <v xml:space="preserve"> </v>
      </c>
      <c r="G6218" s="110">
        <f>COPY!Z6210</f>
        <v>0</v>
      </c>
      <c r="H6218" s="111" t="str">
        <f>IFERROR(VLOOKUP(Table1722[[#This Row],[Bukti]],'Un nOTA'!$A$4:$K$5003,10,FALSE),"")</f>
        <v/>
      </c>
      <c r="I6218" s="123" t="str">
        <f>IFERROR(VLOOKUP(Table1722[[#This Row],[Bukti]],Table13[#Data],11,FALSE),"")</f>
        <v/>
      </c>
    </row>
    <row r="6219" spans="1:9" hidden="1" x14ac:dyDescent="0.2">
      <c r="A6219" s="105" t="str">
        <f>IF(D6219=1,COUNTIF($D$10:D6219,1)," ")</f>
        <v xml:space="preserve"> </v>
      </c>
      <c r="B6219" s="106">
        <f>COPY!AR6211</f>
        <v>0</v>
      </c>
      <c r="C6219" s="107">
        <f>COPY!AC6211</f>
        <v>0</v>
      </c>
      <c r="D6219" s="107" t="str">
        <f>IF(LEN(Table1722[[#This Row],[Uraian]])&gt;2,1," ")</f>
        <v xml:space="preserve"> </v>
      </c>
      <c r="E6219" s="113" t="str">
        <f>IF(Table1722[[#This Row],[Lawan Transaksi]]="CV AGUNG KARYA",COUNTIF($I$10:I6219,"CV AGUNG KARYA")," ")</f>
        <v xml:space="preserve"> </v>
      </c>
      <c r="F6219" s="107" t="str">
        <f>IF(LEN(Table1722[[#This Row],[Uraian]])&gt;2,TRIM(RIGHT(SUBSTITUTE(TRIM(C6219)," ",REPT(" ",255)),255))," ")</f>
        <v xml:space="preserve"> </v>
      </c>
      <c r="G6219" s="110">
        <f>COPY!Z6211</f>
        <v>0</v>
      </c>
      <c r="H6219" s="111" t="str">
        <f>IFERROR(VLOOKUP(Table1722[[#This Row],[Bukti]],'Un nOTA'!$A$4:$K$5003,10,FALSE),"")</f>
        <v/>
      </c>
      <c r="I6219" s="123" t="str">
        <f>IFERROR(VLOOKUP(Table1722[[#This Row],[Bukti]],Table13[#Data],11,FALSE),"")</f>
        <v/>
      </c>
    </row>
    <row r="6220" spans="1:9" hidden="1" x14ac:dyDescent="0.2">
      <c r="A6220" s="105" t="str">
        <f>IF(D6220=1,COUNTIF($D$10:D6220,1)," ")</f>
        <v xml:space="preserve"> </v>
      </c>
      <c r="B6220" s="106">
        <f>COPY!AR6212</f>
        <v>0</v>
      </c>
      <c r="C6220" s="107">
        <f>COPY!AC6212</f>
        <v>0</v>
      </c>
      <c r="D6220" s="107" t="str">
        <f>IF(LEN(Table1722[[#This Row],[Uraian]])&gt;2,1," ")</f>
        <v xml:space="preserve"> </v>
      </c>
      <c r="E6220" s="113" t="str">
        <f>IF(Table1722[[#This Row],[Lawan Transaksi]]="CV AGUNG KARYA",COUNTIF($I$10:I6220,"CV AGUNG KARYA")," ")</f>
        <v xml:space="preserve"> </v>
      </c>
      <c r="F6220" s="107" t="str">
        <f>IF(LEN(Table1722[[#This Row],[Uraian]])&gt;2,TRIM(RIGHT(SUBSTITUTE(TRIM(C6220)," ",REPT(" ",255)),255))," ")</f>
        <v xml:space="preserve"> </v>
      </c>
      <c r="G6220" s="110">
        <f>COPY!Z6212</f>
        <v>0</v>
      </c>
      <c r="H6220" s="111" t="str">
        <f>IFERROR(VLOOKUP(Table1722[[#This Row],[Bukti]],'Un nOTA'!$A$4:$K$5003,10,FALSE),"")</f>
        <v/>
      </c>
      <c r="I6220" s="123" t="str">
        <f>IFERROR(VLOOKUP(Table1722[[#This Row],[Bukti]],Table13[#Data],11,FALSE),"")</f>
        <v/>
      </c>
    </row>
    <row r="6221" spans="1:9" hidden="1" x14ac:dyDescent="0.2">
      <c r="A6221" s="105" t="str">
        <f>IF(D6221=1,COUNTIF($D$10:D6221,1)," ")</f>
        <v xml:space="preserve"> </v>
      </c>
      <c r="B6221" s="106">
        <f>COPY!AR6213</f>
        <v>0</v>
      </c>
      <c r="C6221" s="107">
        <f>COPY!AC6213</f>
        <v>0</v>
      </c>
      <c r="D6221" s="107" t="str">
        <f>IF(LEN(Table1722[[#This Row],[Uraian]])&gt;2,1," ")</f>
        <v xml:space="preserve"> </v>
      </c>
      <c r="E6221" s="113" t="str">
        <f>IF(Table1722[[#This Row],[Lawan Transaksi]]="CV AGUNG KARYA",COUNTIF($I$10:I6221,"CV AGUNG KARYA")," ")</f>
        <v xml:space="preserve"> </v>
      </c>
      <c r="F6221" s="107" t="str">
        <f>IF(LEN(Table1722[[#This Row],[Uraian]])&gt;2,TRIM(RIGHT(SUBSTITUTE(TRIM(C6221)," ",REPT(" ",255)),255))," ")</f>
        <v xml:space="preserve"> </v>
      </c>
      <c r="G6221" s="110">
        <f>COPY!Z6213</f>
        <v>0</v>
      </c>
      <c r="H6221" s="111" t="str">
        <f>IFERROR(VLOOKUP(Table1722[[#This Row],[Bukti]],'Un nOTA'!$A$4:$K$5003,10,FALSE),"")</f>
        <v/>
      </c>
      <c r="I6221" s="123" t="str">
        <f>IFERROR(VLOOKUP(Table1722[[#This Row],[Bukti]],Table13[#Data],11,FALSE),"")</f>
        <v/>
      </c>
    </row>
    <row r="6222" spans="1:9" hidden="1" x14ac:dyDescent="0.2">
      <c r="A6222" s="105" t="str">
        <f>IF(D6222=1,COUNTIF($D$10:D6222,1)," ")</f>
        <v xml:space="preserve"> </v>
      </c>
      <c r="B6222" s="106">
        <f>COPY!AR6214</f>
        <v>0</v>
      </c>
      <c r="C6222" s="107">
        <f>COPY!AC6214</f>
        <v>0</v>
      </c>
      <c r="D6222" s="107" t="str">
        <f>IF(LEN(Table1722[[#This Row],[Uraian]])&gt;2,1," ")</f>
        <v xml:space="preserve"> </v>
      </c>
      <c r="E6222" s="113" t="str">
        <f>IF(Table1722[[#This Row],[Lawan Transaksi]]="CV AGUNG KARYA",COUNTIF($I$10:I6222,"CV AGUNG KARYA")," ")</f>
        <v xml:space="preserve"> </v>
      </c>
      <c r="F6222" s="107" t="str">
        <f>IF(LEN(Table1722[[#This Row],[Uraian]])&gt;2,TRIM(RIGHT(SUBSTITUTE(TRIM(C6222)," ",REPT(" ",255)),255))," ")</f>
        <v xml:space="preserve"> </v>
      </c>
      <c r="G6222" s="110">
        <f>COPY!Z6214</f>
        <v>0</v>
      </c>
      <c r="H6222" s="111" t="str">
        <f>IFERROR(VLOOKUP(Table1722[[#This Row],[Bukti]],'Un nOTA'!$A$4:$K$5003,10,FALSE),"")</f>
        <v/>
      </c>
      <c r="I6222" s="123" t="str">
        <f>IFERROR(VLOOKUP(Table1722[[#This Row],[Bukti]],Table13[#Data],11,FALSE),"")</f>
        <v/>
      </c>
    </row>
    <row r="6223" spans="1:9" hidden="1" x14ac:dyDescent="0.2">
      <c r="A6223" s="105" t="str">
        <f>IF(D6223=1,COUNTIF($D$10:D6223,1)," ")</f>
        <v xml:space="preserve"> </v>
      </c>
      <c r="B6223" s="106">
        <f>COPY!AR6215</f>
        <v>0</v>
      </c>
      <c r="C6223" s="107">
        <f>COPY!AC6215</f>
        <v>0</v>
      </c>
      <c r="D6223" s="107" t="str">
        <f>IF(LEN(Table1722[[#This Row],[Uraian]])&gt;2,1," ")</f>
        <v xml:space="preserve"> </v>
      </c>
      <c r="E6223" s="113" t="str">
        <f>IF(Table1722[[#This Row],[Lawan Transaksi]]="CV AGUNG KARYA",COUNTIF($I$10:I6223,"CV AGUNG KARYA")," ")</f>
        <v xml:space="preserve"> </v>
      </c>
      <c r="F6223" s="107" t="str">
        <f>IF(LEN(Table1722[[#This Row],[Uraian]])&gt;2,TRIM(RIGHT(SUBSTITUTE(TRIM(C6223)," ",REPT(" ",255)),255))," ")</f>
        <v xml:space="preserve"> </v>
      </c>
      <c r="G6223" s="110">
        <f>COPY!Z6215</f>
        <v>0</v>
      </c>
      <c r="H6223" s="111" t="str">
        <f>IFERROR(VLOOKUP(Table1722[[#This Row],[Bukti]],'Un nOTA'!$A$4:$K$5003,10,FALSE),"")</f>
        <v/>
      </c>
      <c r="I6223" s="123" t="str">
        <f>IFERROR(VLOOKUP(Table1722[[#This Row],[Bukti]],Table13[#Data],11,FALSE),"")</f>
        <v/>
      </c>
    </row>
    <row r="6224" spans="1:9" hidden="1" x14ac:dyDescent="0.2">
      <c r="A6224" s="105" t="str">
        <f>IF(D6224=1,COUNTIF($D$10:D6224,1)," ")</f>
        <v xml:space="preserve"> </v>
      </c>
      <c r="B6224" s="106">
        <f>COPY!AR6216</f>
        <v>0</v>
      </c>
      <c r="C6224" s="107">
        <f>COPY!AC6216</f>
        <v>0</v>
      </c>
      <c r="D6224" s="107" t="str">
        <f>IF(LEN(Table1722[[#This Row],[Uraian]])&gt;2,1," ")</f>
        <v xml:space="preserve"> </v>
      </c>
      <c r="E6224" s="113" t="str">
        <f>IF(Table1722[[#This Row],[Lawan Transaksi]]="CV AGUNG KARYA",COUNTIF($I$10:I6224,"CV AGUNG KARYA")," ")</f>
        <v xml:space="preserve"> </v>
      </c>
      <c r="F6224" s="107" t="str">
        <f>IF(LEN(Table1722[[#This Row],[Uraian]])&gt;2,TRIM(RIGHT(SUBSTITUTE(TRIM(C6224)," ",REPT(" ",255)),255))," ")</f>
        <v xml:space="preserve"> </v>
      </c>
      <c r="G6224" s="110">
        <f>COPY!Z6216</f>
        <v>0</v>
      </c>
      <c r="H6224" s="111" t="str">
        <f>IFERROR(VLOOKUP(Table1722[[#This Row],[Bukti]],'Un nOTA'!$A$4:$K$5003,10,FALSE),"")</f>
        <v/>
      </c>
      <c r="I6224" s="123" t="str">
        <f>IFERROR(VLOOKUP(Table1722[[#This Row],[Bukti]],Table13[#Data],11,FALSE),"")</f>
        <v/>
      </c>
    </row>
    <row r="6225" spans="1:9" hidden="1" x14ac:dyDescent="0.2">
      <c r="A6225" s="105" t="str">
        <f>IF(D6225=1,COUNTIF($D$10:D6225,1)," ")</f>
        <v xml:space="preserve"> </v>
      </c>
      <c r="B6225" s="106">
        <f>COPY!AR6217</f>
        <v>0</v>
      </c>
      <c r="C6225" s="107">
        <f>COPY!AC6217</f>
        <v>0</v>
      </c>
      <c r="D6225" s="107" t="str">
        <f>IF(LEN(Table1722[[#This Row],[Uraian]])&gt;2,1," ")</f>
        <v xml:space="preserve"> </v>
      </c>
      <c r="E6225" s="113" t="str">
        <f>IF(Table1722[[#This Row],[Lawan Transaksi]]="CV AGUNG KARYA",COUNTIF($I$10:I6225,"CV AGUNG KARYA")," ")</f>
        <v xml:space="preserve"> </v>
      </c>
      <c r="F6225" s="107" t="str">
        <f>IF(LEN(Table1722[[#This Row],[Uraian]])&gt;2,TRIM(RIGHT(SUBSTITUTE(TRIM(C6225)," ",REPT(" ",255)),255))," ")</f>
        <v xml:space="preserve"> </v>
      </c>
      <c r="G6225" s="110">
        <f>COPY!Z6217</f>
        <v>0</v>
      </c>
      <c r="H6225" s="111" t="str">
        <f>IFERROR(VLOOKUP(Table1722[[#This Row],[Bukti]],'Un nOTA'!$A$4:$K$5003,10,FALSE),"")</f>
        <v/>
      </c>
      <c r="I6225" s="123" t="str">
        <f>IFERROR(VLOOKUP(Table1722[[#This Row],[Bukti]],Table13[#Data],11,FALSE),"")</f>
        <v/>
      </c>
    </row>
    <row r="6226" spans="1:9" hidden="1" x14ac:dyDescent="0.2">
      <c r="A6226" s="105" t="str">
        <f>IF(D6226=1,COUNTIF($D$10:D6226,1)," ")</f>
        <v xml:space="preserve"> </v>
      </c>
      <c r="B6226" s="106">
        <f>COPY!AR6218</f>
        <v>0</v>
      </c>
      <c r="C6226" s="107">
        <f>COPY!AC6218</f>
        <v>0</v>
      </c>
      <c r="D6226" s="107" t="str">
        <f>IF(LEN(Table1722[[#This Row],[Uraian]])&gt;2,1," ")</f>
        <v xml:space="preserve"> </v>
      </c>
      <c r="E6226" s="113" t="str">
        <f>IF(Table1722[[#This Row],[Lawan Transaksi]]="CV AGUNG KARYA",COUNTIF($I$10:I6226,"CV AGUNG KARYA")," ")</f>
        <v xml:space="preserve"> </v>
      </c>
      <c r="F6226" s="107" t="str">
        <f>IF(LEN(Table1722[[#This Row],[Uraian]])&gt;2,TRIM(RIGHT(SUBSTITUTE(TRIM(C6226)," ",REPT(" ",255)),255))," ")</f>
        <v xml:space="preserve"> </v>
      </c>
      <c r="G6226" s="110">
        <f>COPY!Z6218</f>
        <v>0</v>
      </c>
      <c r="H6226" s="111" t="str">
        <f>IFERROR(VLOOKUP(Table1722[[#This Row],[Bukti]],'Un nOTA'!$A$4:$K$5003,10,FALSE),"")</f>
        <v/>
      </c>
      <c r="I6226" s="123" t="str">
        <f>IFERROR(VLOOKUP(Table1722[[#This Row],[Bukti]],Table13[#Data],11,FALSE),"")</f>
        <v/>
      </c>
    </row>
    <row r="6227" spans="1:9" hidden="1" x14ac:dyDescent="0.2">
      <c r="A6227" s="105" t="str">
        <f>IF(D6227=1,COUNTIF($D$10:D6227,1)," ")</f>
        <v xml:space="preserve"> </v>
      </c>
      <c r="B6227" s="106">
        <f>COPY!AR6219</f>
        <v>0</v>
      </c>
      <c r="C6227" s="107">
        <f>COPY!AC6219</f>
        <v>0</v>
      </c>
      <c r="D6227" s="107" t="str">
        <f>IF(LEN(Table1722[[#This Row],[Uraian]])&gt;2,1," ")</f>
        <v xml:space="preserve"> </v>
      </c>
      <c r="E6227" s="113" t="str">
        <f>IF(Table1722[[#This Row],[Lawan Transaksi]]="CV AGUNG KARYA",COUNTIF($I$10:I6227,"CV AGUNG KARYA")," ")</f>
        <v xml:space="preserve"> </v>
      </c>
      <c r="F6227" s="107" t="str">
        <f>IF(LEN(Table1722[[#This Row],[Uraian]])&gt;2,TRIM(RIGHT(SUBSTITUTE(TRIM(C6227)," ",REPT(" ",255)),255))," ")</f>
        <v xml:space="preserve"> </v>
      </c>
      <c r="G6227" s="110">
        <f>COPY!Z6219</f>
        <v>0</v>
      </c>
      <c r="H6227" s="111" t="str">
        <f>IFERROR(VLOOKUP(Table1722[[#This Row],[Bukti]],'Un nOTA'!$A$4:$K$5003,10,FALSE),"")</f>
        <v/>
      </c>
      <c r="I6227" s="123" t="str">
        <f>IFERROR(VLOOKUP(Table1722[[#This Row],[Bukti]],Table13[#Data],11,FALSE),"")</f>
        <v/>
      </c>
    </row>
    <row r="6228" spans="1:9" hidden="1" x14ac:dyDescent="0.2">
      <c r="A6228" s="105" t="str">
        <f>IF(D6228=1,COUNTIF($D$10:D6228,1)," ")</f>
        <v xml:space="preserve"> </v>
      </c>
      <c r="B6228" s="106">
        <f>COPY!AR6220</f>
        <v>0</v>
      </c>
      <c r="C6228" s="107">
        <f>COPY!AC6220</f>
        <v>0</v>
      </c>
      <c r="D6228" s="107" t="str">
        <f>IF(LEN(Table1722[[#This Row],[Uraian]])&gt;2,1," ")</f>
        <v xml:space="preserve"> </v>
      </c>
      <c r="E6228" s="113" t="str">
        <f>IF(Table1722[[#This Row],[Lawan Transaksi]]="CV AGUNG KARYA",COUNTIF($I$10:I6228,"CV AGUNG KARYA")," ")</f>
        <v xml:space="preserve"> </v>
      </c>
      <c r="F6228" s="107" t="str">
        <f>IF(LEN(Table1722[[#This Row],[Uraian]])&gt;2,TRIM(RIGHT(SUBSTITUTE(TRIM(C6228)," ",REPT(" ",255)),255))," ")</f>
        <v xml:space="preserve"> </v>
      </c>
      <c r="G6228" s="110">
        <f>COPY!Z6220</f>
        <v>0</v>
      </c>
      <c r="H6228" s="111" t="str">
        <f>IFERROR(VLOOKUP(Table1722[[#This Row],[Bukti]],'Un nOTA'!$A$4:$K$5003,10,FALSE),"")</f>
        <v/>
      </c>
      <c r="I6228" s="123" t="str">
        <f>IFERROR(VLOOKUP(Table1722[[#This Row],[Bukti]],Table13[#Data],11,FALSE),"")</f>
        <v/>
      </c>
    </row>
    <row r="6229" spans="1:9" hidden="1" x14ac:dyDescent="0.2">
      <c r="A6229" s="105" t="str">
        <f>IF(D6229=1,COUNTIF($D$10:D6229,1)," ")</f>
        <v xml:space="preserve"> </v>
      </c>
      <c r="B6229" s="106">
        <f>COPY!AR6221</f>
        <v>0</v>
      </c>
      <c r="C6229" s="107">
        <f>COPY!AC6221</f>
        <v>0</v>
      </c>
      <c r="D6229" s="107" t="str">
        <f>IF(LEN(Table1722[[#This Row],[Uraian]])&gt;2,1," ")</f>
        <v xml:space="preserve"> </v>
      </c>
      <c r="E6229" s="113" t="str">
        <f>IF(Table1722[[#This Row],[Lawan Transaksi]]="CV AGUNG KARYA",COUNTIF($I$10:I6229,"CV AGUNG KARYA")," ")</f>
        <v xml:space="preserve"> </v>
      </c>
      <c r="F6229" s="107" t="str">
        <f>IF(LEN(Table1722[[#This Row],[Uraian]])&gt;2,TRIM(RIGHT(SUBSTITUTE(TRIM(C6229)," ",REPT(" ",255)),255))," ")</f>
        <v xml:space="preserve"> </v>
      </c>
      <c r="G6229" s="110">
        <f>COPY!Z6221</f>
        <v>0</v>
      </c>
      <c r="H6229" s="111" t="str">
        <f>IFERROR(VLOOKUP(Table1722[[#This Row],[Bukti]],'Un nOTA'!$A$4:$K$5003,10,FALSE),"")</f>
        <v/>
      </c>
      <c r="I6229" s="123" t="str">
        <f>IFERROR(VLOOKUP(Table1722[[#This Row],[Bukti]],Table13[#Data],11,FALSE),"")</f>
        <v/>
      </c>
    </row>
    <row r="6230" spans="1:9" hidden="1" x14ac:dyDescent="0.2">
      <c r="A6230" s="105" t="str">
        <f>IF(D6230=1,COUNTIF($D$10:D6230,1)," ")</f>
        <v xml:space="preserve"> </v>
      </c>
      <c r="B6230" s="106">
        <f>COPY!AR6222</f>
        <v>0</v>
      </c>
      <c r="C6230" s="107">
        <f>COPY!AC6222</f>
        <v>0</v>
      </c>
      <c r="D6230" s="107" t="str">
        <f>IF(LEN(Table1722[[#This Row],[Uraian]])&gt;2,1," ")</f>
        <v xml:space="preserve"> </v>
      </c>
      <c r="E6230" s="113" t="str">
        <f>IF(Table1722[[#This Row],[Lawan Transaksi]]="CV AGUNG KARYA",COUNTIF($I$10:I6230,"CV AGUNG KARYA")," ")</f>
        <v xml:space="preserve"> </v>
      </c>
      <c r="F6230" s="107" t="str">
        <f>IF(LEN(Table1722[[#This Row],[Uraian]])&gt;2,TRIM(RIGHT(SUBSTITUTE(TRIM(C6230)," ",REPT(" ",255)),255))," ")</f>
        <v xml:space="preserve"> </v>
      </c>
      <c r="G6230" s="110">
        <f>COPY!Z6222</f>
        <v>0</v>
      </c>
      <c r="H6230" s="111" t="str">
        <f>IFERROR(VLOOKUP(Table1722[[#This Row],[Bukti]],'Un nOTA'!$A$4:$K$5003,10,FALSE),"")</f>
        <v/>
      </c>
      <c r="I6230" s="123" t="str">
        <f>IFERROR(VLOOKUP(Table1722[[#This Row],[Bukti]],Table13[#Data],11,FALSE),"")</f>
        <v/>
      </c>
    </row>
    <row r="6231" spans="1:9" hidden="1" x14ac:dyDescent="0.2">
      <c r="A6231" s="105" t="str">
        <f>IF(D6231=1,COUNTIF($D$10:D6231,1)," ")</f>
        <v xml:space="preserve"> </v>
      </c>
      <c r="B6231" s="106">
        <f>COPY!AR6223</f>
        <v>0</v>
      </c>
      <c r="C6231" s="107">
        <f>COPY!AC6223</f>
        <v>0</v>
      </c>
      <c r="D6231" s="107" t="str">
        <f>IF(LEN(Table1722[[#This Row],[Uraian]])&gt;2,1," ")</f>
        <v xml:space="preserve"> </v>
      </c>
      <c r="E6231" s="113" t="str">
        <f>IF(Table1722[[#This Row],[Lawan Transaksi]]="CV AGUNG KARYA",COUNTIF($I$10:I6231,"CV AGUNG KARYA")," ")</f>
        <v xml:space="preserve"> </v>
      </c>
      <c r="F6231" s="107" t="str">
        <f>IF(LEN(Table1722[[#This Row],[Uraian]])&gt;2,TRIM(RIGHT(SUBSTITUTE(TRIM(C6231)," ",REPT(" ",255)),255))," ")</f>
        <v xml:space="preserve"> </v>
      </c>
      <c r="G6231" s="110">
        <f>COPY!Z6223</f>
        <v>0</v>
      </c>
      <c r="H6231" s="111" t="str">
        <f>IFERROR(VLOOKUP(Table1722[[#This Row],[Bukti]],'Un nOTA'!$A$4:$K$5003,10,FALSE),"")</f>
        <v/>
      </c>
      <c r="I6231" s="123" t="str">
        <f>IFERROR(VLOOKUP(Table1722[[#This Row],[Bukti]],Table13[#Data],11,FALSE),"")</f>
        <v/>
      </c>
    </row>
    <row r="6232" spans="1:9" hidden="1" x14ac:dyDescent="0.2">
      <c r="A6232" s="105" t="str">
        <f>IF(D6232=1,COUNTIF($D$10:D6232,1)," ")</f>
        <v xml:space="preserve"> </v>
      </c>
      <c r="B6232" s="106">
        <f>COPY!AR6224</f>
        <v>0</v>
      </c>
      <c r="C6232" s="107">
        <f>COPY!AC6224</f>
        <v>0</v>
      </c>
      <c r="D6232" s="107" t="str">
        <f>IF(LEN(Table1722[[#This Row],[Uraian]])&gt;2,1," ")</f>
        <v xml:space="preserve"> </v>
      </c>
      <c r="E6232" s="113" t="str">
        <f>IF(Table1722[[#This Row],[Lawan Transaksi]]="CV AGUNG KARYA",COUNTIF($I$10:I6232,"CV AGUNG KARYA")," ")</f>
        <v xml:space="preserve"> </v>
      </c>
      <c r="F6232" s="107" t="str">
        <f>IF(LEN(Table1722[[#This Row],[Uraian]])&gt;2,TRIM(RIGHT(SUBSTITUTE(TRIM(C6232)," ",REPT(" ",255)),255))," ")</f>
        <v xml:space="preserve"> </v>
      </c>
      <c r="G6232" s="110">
        <f>COPY!Z6224</f>
        <v>0</v>
      </c>
      <c r="H6232" s="111" t="str">
        <f>IFERROR(VLOOKUP(Table1722[[#This Row],[Bukti]],'Un nOTA'!$A$4:$K$5003,10,FALSE),"")</f>
        <v/>
      </c>
      <c r="I6232" s="123" t="str">
        <f>IFERROR(VLOOKUP(Table1722[[#This Row],[Bukti]],Table13[#Data],11,FALSE),"")</f>
        <v/>
      </c>
    </row>
    <row r="6233" spans="1:9" hidden="1" x14ac:dyDescent="0.2">
      <c r="A6233" s="105" t="str">
        <f>IF(D6233=1,COUNTIF($D$10:D6233,1)," ")</f>
        <v xml:space="preserve"> </v>
      </c>
      <c r="B6233" s="106">
        <f>COPY!AR6225</f>
        <v>0</v>
      </c>
      <c r="C6233" s="107">
        <f>COPY!AC6225</f>
        <v>0</v>
      </c>
      <c r="D6233" s="107" t="str">
        <f>IF(LEN(Table1722[[#This Row],[Uraian]])&gt;2,1," ")</f>
        <v xml:space="preserve"> </v>
      </c>
      <c r="E6233" s="113" t="str">
        <f>IF(Table1722[[#This Row],[Lawan Transaksi]]="CV AGUNG KARYA",COUNTIF($I$10:I6233,"CV AGUNG KARYA")," ")</f>
        <v xml:space="preserve"> </v>
      </c>
      <c r="F6233" s="107" t="str">
        <f>IF(LEN(Table1722[[#This Row],[Uraian]])&gt;2,TRIM(RIGHT(SUBSTITUTE(TRIM(C6233)," ",REPT(" ",255)),255))," ")</f>
        <v xml:space="preserve"> </v>
      </c>
      <c r="G6233" s="110">
        <f>COPY!Z6225</f>
        <v>0</v>
      </c>
      <c r="H6233" s="111" t="str">
        <f>IFERROR(VLOOKUP(Table1722[[#This Row],[Bukti]],'Un nOTA'!$A$4:$K$5003,10,FALSE),"")</f>
        <v/>
      </c>
      <c r="I6233" s="123" t="str">
        <f>IFERROR(VLOOKUP(Table1722[[#This Row],[Bukti]],Table13[#Data],11,FALSE),"")</f>
        <v/>
      </c>
    </row>
    <row r="6234" spans="1:9" hidden="1" x14ac:dyDescent="0.2">
      <c r="A6234" s="105" t="str">
        <f>IF(D6234=1,COUNTIF($D$10:D6234,1)," ")</f>
        <v xml:space="preserve"> </v>
      </c>
      <c r="B6234" s="106">
        <f>COPY!AR6226</f>
        <v>0</v>
      </c>
      <c r="C6234" s="107">
        <f>COPY!AC6226</f>
        <v>0</v>
      </c>
      <c r="D6234" s="107" t="str">
        <f>IF(LEN(Table1722[[#This Row],[Uraian]])&gt;2,1," ")</f>
        <v xml:space="preserve"> </v>
      </c>
      <c r="E6234" s="113" t="str">
        <f>IF(Table1722[[#This Row],[Lawan Transaksi]]="CV AGUNG KARYA",COUNTIF($I$10:I6234,"CV AGUNG KARYA")," ")</f>
        <v xml:space="preserve"> </v>
      </c>
      <c r="F6234" s="107" t="str">
        <f>IF(LEN(Table1722[[#This Row],[Uraian]])&gt;2,TRIM(RIGHT(SUBSTITUTE(TRIM(C6234)," ",REPT(" ",255)),255))," ")</f>
        <v xml:space="preserve"> </v>
      </c>
      <c r="G6234" s="110">
        <f>COPY!Z6226</f>
        <v>0</v>
      </c>
      <c r="H6234" s="111" t="str">
        <f>IFERROR(VLOOKUP(Table1722[[#This Row],[Bukti]],'Un nOTA'!$A$4:$K$5003,10,FALSE),"")</f>
        <v/>
      </c>
      <c r="I6234" s="123" t="str">
        <f>IFERROR(VLOOKUP(Table1722[[#This Row],[Bukti]],Table13[#Data],11,FALSE),"")</f>
        <v/>
      </c>
    </row>
    <row r="6235" spans="1:9" hidden="1" x14ac:dyDescent="0.2">
      <c r="A6235" s="105" t="str">
        <f>IF(D6235=1,COUNTIF($D$10:D6235,1)," ")</f>
        <v xml:space="preserve"> </v>
      </c>
      <c r="B6235" s="106">
        <f>COPY!AR6227</f>
        <v>0</v>
      </c>
      <c r="C6235" s="107">
        <f>COPY!AC6227</f>
        <v>0</v>
      </c>
      <c r="D6235" s="107" t="str">
        <f>IF(LEN(Table1722[[#This Row],[Uraian]])&gt;2,1," ")</f>
        <v xml:space="preserve"> </v>
      </c>
      <c r="E6235" s="113" t="str">
        <f>IF(Table1722[[#This Row],[Lawan Transaksi]]="CV AGUNG KARYA",COUNTIF($I$10:I6235,"CV AGUNG KARYA")," ")</f>
        <v xml:space="preserve"> </v>
      </c>
      <c r="F6235" s="107" t="str">
        <f>IF(LEN(Table1722[[#This Row],[Uraian]])&gt;2,TRIM(RIGHT(SUBSTITUTE(TRIM(C6235)," ",REPT(" ",255)),255))," ")</f>
        <v xml:space="preserve"> </v>
      </c>
      <c r="G6235" s="110">
        <f>COPY!Z6227</f>
        <v>0</v>
      </c>
      <c r="H6235" s="111" t="str">
        <f>IFERROR(VLOOKUP(Table1722[[#This Row],[Bukti]],'Un nOTA'!$A$4:$K$5003,10,FALSE),"")</f>
        <v/>
      </c>
      <c r="I6235" s="123" t="str">
        <f>IFERROR(VLOOKUP(Table1722[[#This Row],[Bukti]],Table13[#Data],11,FALSE),"")</f>
        <v/>
      </c>
    </row>
    <row r="6236" spans="1:9" hidden="1" x14ac:dyDescent="0.2">
      <c r="A6236" s="105" t="str">
        <f>IF(D6236=1,COUNTIF($D$10:D6236,1)," ")</f>
        <v xml:space="preserve"> </v>
      </c>
      <c r="B6236" s="106">
        <f>COPY!AR6228</f>
        <v>0</v>
      </c>
      <c r="C6236" s="107">
        <f>COPY!AC6228</f>
        <v>0</v>
      </c>
      <c r="D6236" s="107" t="str">
        <f>IF(LEN(Table1722[[#This Row],[Uraian]])&gt;2,1," ")</f>
        <v xml:space="preserve"> </v>
      </c>
      <c r="E6236" s="113" t="str">
        <f>IF(Table1722[[#This Row],[Lawan Transaksi]]="CV AGUNG KARYA",COUNTIF($I$10:I6236,"CV AGUNG KARYA")," ")</f>
        <v xml:space="preserve"> </v>
      </c>
      <c r="F6236" s="107" t="str">
        <f>IF(LEN(Table1722[[#This Row],[Uraian]])&gt;2,TRIM(RIGHT(SUBSTITUTE(TRIM(C6236)," ",REPT(" ",255)),255))," ")</f>
        <v xml:space="preserve"> </v>
      </c>
      <c r="G6236" s="110">
        <f>COPY!Z6228</f>
        <v>0</v>
      </c>
      <c r="H6236" s="111" t="str">
        <f>IFERROR(VLOOKUP(Table1722[[#This Row],[Bukti]],'Un nOTA'!$A$4:$K$5003,10,FALSE),"")</f>
        <v/>
      </c>
      <c r="I6236" s="123" t="str">
        <f>IFERROR(VLOOKUP(Table1722[[#This Row],[Bukti]],Table13[#Data],11,FALSE),"")</f>
        <v/>
      </c>
    </row>
    <row r="6237" spans="1:9" hidden="1" x14ac:dyDescent="0.2">
      <c r="A6237" s="105" t="str">
        <f>IF(D6237=1,COUNTIF($D$10:D6237,1)," ")</f>
        <v xml:space="preserve"> </v>
      </c>
      <c r="B6237" s="106">
        <f>COPY!AR6229</f>
        <v>0</v>
      </c>
      <c r="C6237" s="107">
        <f>COPY!AC6229</f>
        <v>0</v>
      </c>
      <c r="D6237" s="107" t="str">
        <f>IF(LEN(Table1722[[#This Row],[Uraian]])&gt;2,1," ")</f>
        <v xml:space="preserve"> </v>
      </c>
      <c r="E6237" s="113" t="str">
        <f>IF(Table1722[[#This Row],[Lawan Transaksi]]="CV AGUNG KARYA",COUNTIF($I$10:I6237,"CV AGUNG KARYA")," ")</f>
        <v xml:space="preserve"> </v>
      </c>
      <c r="F6237" s="107" t="str">
        <f>IF(LEN(Table1722[[#This Row],[Uraian]])&gt;2,TRIM(RIGHT(SUBSTITUTE(TRIM(C6237)," ",REPT(" ",255)),255))," ")</f>
        <v xml:space="preserve"> </v>
      </c>
      <c r="G6237" s="110">
        <f>COPY!Z6229</f>
        <v>0</v>
      </c>
      <c r="H6237" s="111" t="str">
        <f>IFERROR(VLOOKUP(Table1722[[#This Row],[Bukti]],'Un nOTA'!$A$4:$K$5003,10,FALSE),"")</f>
        <v/>
      </c>
      <c r="I6237" s="123" t="str">
        <f>IFERROR(VLOOKUP(Table1722[[#This Row],[Bukti]],Table13[#Data],11,FALSE),"")</f>
        <v/>
      </c>
    </row>
    <row r="6238" spans="1:9" hidden="1" x14ac:dyDescent="0.2">
      <c r="A6238" s="105" t="str">
        <f>IF(D6238=1,COUNTIF($D$10:D6238,1)," ")</f>
        <v xml:space="preserve"> </v>
      </c>
      <c r="B6238" s="106">
        <f>COPY!AR6230</f>
        <v>0</v>
      </c>
      <c r="C6238" s="107">
        <f>COPY!AC6230</f>
        <v>0</v>
      </c>
      <c r="D6238" s="107" t="str">
        <f>IF(LEN(Table1722[[#This Row],[Uraian]])&gt;2,1," ")</f>
        <v xml:space="preserve"> </v>
      </c>
      <c r="E6238" s="113" t="str">
        <f>IF(Table1722[[#This Row],[Lawan Transaksi]]="CV AGUNG KARYA",COUNTIF($I$10:I6238,"CV AGUNG KARYA")," ")</f>
        <v xml:space="preserve"> </v>
      </c>
      <c r="F6238" s="107" t="str">
        <f>IF(LEN(Table1722[[#This Row],[Uraian]])&gt;2,TRIM(RIGHT(SUBSTITUTE(TRIM(C6238)," ",REPT(" ",255)),255))," ")</f>
        <v xml:space="preserve"> </v>
      </c>
      <c r="G6238" s="110">
        <f>COPY!Z6230</f>
        <v>0</v>
      </c>
      <c r="H6238" s="111" t="str">
        <f>IFERROR(VLOOKUP(Table1722[[#This Row],[Bukti]],'Un nOTA'!$A$4:$K$5003,10,FALSE),"")</f>
        <v/>
      </c>
      <c r="I6238" s="123" t="str">
        <f>IFERROR(VLOOKUP(Table1722[[#This Row],[Bukti]],Table13[#Data],11,FALSE),"")</f>
        <v/>
      </c>
    </row>
    <row r="6239" spans="1:9" hidden="1" x14ac:dyDescent="0.2">
      <c r="A6239" s="105" t="str">
        <f>IF(D6239=1,COUNTIF($D$10:D6239,1)," ")</f>
        <v xml:space="preserve"> </v>
      </c>
      <c r="B6239" s="106">
        <f>COPY!AR6231</f>
        <v>0</v>
      </c>
      <c r="C6239" s="107">
        <f>COPY!AC6231</f>
        <v>0</v>
      </c>
      <c r="D6239" s="107" t="str">
        <f>IF(LEN(Table1722[[#This Row],[Uraian]])&gt;2,1," ")</f>
        <v xml:space="preserve"> </v>
      </c>
      <c r="E6239" s="113" t="str">
        <f>IF(Table1722[[#This Row],[Lawan Transaksi]]="CV AGUNG KARYA",COUNTIF($I$10:I6239,"CV AGUNG KARYA")," ")</f>
        <v xml:space="preserve"> </v>
      </c>
      <c r="F6239" s="107" t="str">
        <f>IF(LEN(Table1722[[#This Row],[Uraian]])&gt;2,TRIM(RIGHT(SUBSTITUTE(TRIM(C6239)," ",REPT(" ",255)),255))," ")</f>
        <v xml:space="preserve"> </v>
      </c>
      <c r="G6239" s="110">
        <f>COPY!Z6231</f>
        <v>0</v>
      </c>
      <c r="H6239" s="111" t="str">
        <f>IFERROR(VLOOKUP(Table1722[[#This Row],[Bukti]],'Un nOTA'!$A$4:$K$5003,10,FALSE),"")</f>
        <v/>
      </c>
      <c r="I6239" s="123" t="str">
        <f>IFERROR(VLOOKUP(Table1722[[#This Row],[Bukti]],Table13[#Data],11,FALSE),"")</f>
        <v/>
      </c>
    </row>
    <row r="6240" spans="1:9" hidden="1" x14ac:dyDescent="0.2">
      <c r="A6240" s="105" t="str">
        <f>IF(D6240=1,COUNTIF($D$10:D6240,1)," ")</f>
        <v xml:space="preserve"> </v>
      </c>
      <c r="B6240" s="106">
        <f>COPY!AR6232</f>
        <v>0</v>
      </c>
      <c r="C6240" s="107">
        <f>COPY!AC6232</f>
        <v>0</v>
      </c>
      <c r="D6240" s="107" t="str">
        <f>IF(LEN(Table1722[[#This Row],[Uraian]])&gt;2,1," ")</f>
        <v xml:space="preserve"> </v>
      </c>
      <c r="E6240" s="113" t="str">
        <f>IF(Table1722[[#This Row],[Lawan Transaksi]]="CV AGUNG KARYA",COUNTIF($I$10:I6240,"CV AGUNG KARYA")," ")</f>
        <v xml:space="preserve"> </v>
      </c>
      <c r="F6240" s="107" t="str">
        <f>IF(LEN(Table1722[[#This Row],[Uraian]])&gt;2,TRIM(RIGHT(SUBSTITUTE(TRIM(C6240)," ",REPT(" ",255)),255))," ")</f>
        <v xml:space="preserve"> </v>
      </c>
      <c r="G6240" s="110">
        <f>COPY!Z6232</f>
        <v>0</v>
      </c>
      <c r="H6240" s="111" t="str">
        <f>IFERROR(VLOOKUP(Table1722[[#This Row],[Bukti]],'Un nOTA'!$A$4:$K$5003,10,FALSE),"")</f>
        <v/>
      </c>
      <c r="I6240" s="123" t="str">
        <f>IFERROR(VLOOKUP(Table1722[[#This Row],[Bukti]],Table13[#Data],11,FALSE),"")</f>
        <v/>
      </c>
    </row>
    <row r="6241" spans="1:9" hidden="1" x14ac:dyDescent="0.2">
      <c r="A6241" s="105" t="str">
        <f>IF(D6241=1,COUNTIF($D$10:D6241,1)," ")</f>
        <v xml:space="preserve"> </v>
      </c>
      <c r="B6241" s="106">
        <f>COPY!AR6233</f>
        <v>0</v>
      </c>
      <c r="C6241" s="107">
        <f>COPY!AC6233</f>
        <v>0</v>
      </c>
      <c r="D6241" s="107" t="str">
        <f>IF(LEN(Table1722[[#This Row],[Uraian]])&gt;2,1," ")</f>
        <v xml:space="preserve"> </v>
      </c>
      <c r="E6241" s="113" t="str">
        <f>IF(Table1722[[#This Row],[Lawan Transaksi]]="CV AGUNG KARYA",COUNTIF($I$10:I6241,"CV AGUNG KARYA")," ")</f>
        <v xml:space="preserve"> </v>
      </c>
      <c r="F6241" s="107" t="str">
        <f>IF(LEN(Table1722[[#This Row],[Uraian]])&gt;2,TRIM(RIGHT(SUBSTITUTE(TRIM(C6241)," ",REPT(" ",255)),255))," ")</f>
        <v xml:space="preserve"> </v>
      </c>
      <c r="G6241" s="110">
        <f>COPY!Z6233</f>
        <v>0</v>
      </c>
      <c r="H6241" s="111" t="str">
        <f>IFERROR(VLOOKUP(Table1722[[#This Row],[Bukti]],'Un nOTA'!$A$4:$K$5003,10,FALSE),"")</f>
        <v/>
      </c>
      <c r="I6241" s="123" t="str">
        <f>IFERROR(VLOOKUP(Table1722[[#This Row],[Bukti]],Table13[#Data],11,FALSE),"")</f>
        <v/>
      </c>
    </row>
    <row r="6242" spans="1:9" hidden="1" x14ac:dyDescent="0.2">
      <c r="A6242" s="105" t="str">
        <f>IF(D6242=1,COUNTIF($D$10:D6242,1)," ")</f>
        <v xml:space="preserve"> </v>
      </c>
      <c r="B6242" s="106">
        <f>COPY!AR6234</f>
        <v>0</v>
      </c>
      <c r="C6242" s="107">
        <f>COPY!AC6234</f>
        <v>0</v>
      </c>
      <c r="D6242" s="107" t="str">
        <f>IF(LEN(Table1722[[#This Row],[Uraian]])&gt;2,1," ")</f>
        <v xml:space="preserve"> </v>
      </c>
      <c r="E6242" s="113" t="str">
        <f>IF(Table1722[[#This Row],[Lawan Transaksi]]="CV AGUNG KARYA",COUNTIF($I$10:I6242,"CV AGUNG KARYA")," ")</f>
        <v xml:space="preserve"> </v>
      </c>
      <c r="F6242" s="107" t="str">
        <f>IF(LEN(Table1722[[#This Row],[Uraian]])&gt;2,TRIM(RIGHT(SUBSTITUTE(TRIM(C6242)," ",REPT(" ",255)),255))," ")</f>
        <v xml:space="preserve"> </v>
      </c>
      <c r="G6242" s="110">
        <f>COPY!Z6234</f>
        <v>0</v>
      </c>
      <c r="H6242" s="111" t="str">
        <f>IFERROR(VLOOKUP(Table1722[[#This Row],[Bukti]],'Un nOTA'!$A$4:$K$5003,10,FALSE),"")</f>
        <v/>
      </c>
      <c r="I6242" s="123" t="str">
        <f>IFERROR(VLOOKUP(Table1722[[#This Row],[Bukti]],Table13[#Data],11,FALSE),"")</f>
        <v/>
      </c>
    </row>
    <row r="6243" spans="1:9" hidden="1" x14ac:dyDescent="0.2">
      <c r="A6243" s="105" t="str">
        <f>IF(D6243=1,COUNTIF($D$10:D6243,1)," ")</f>
        <v xml:space="preserve"> </v>
      </c>
      <c r="B6243" s="106">
        <f>COPY!AR6235</f>
        <v>0</v>
      </c>
      <c r="C6243" s="107">
        <f>COPY!AC6235</f>
        <v>0</v>
      </c>
      <c r="D6243" s="107" t="str">
        <f>IF(LEN(Table1722[[#This Row],[Uraian]])&gt;2,1," ")</f>
        <v xml:space="preserve"> </v>
      </c>
      <c r="E6243" s="113" t="str">
        <f>IF(Table1722[[#This Row],[Lawan Transaksi]]="CV AGUNG KARYA",COUNTIF($I$10:I6243,"CV AGUNG KARYA")," ")</f>
        <v xml:space="preserve"> </v>
      </c>
      <c r="F6243" s="107" t="str">
        <f>IF(LEN(Table1722[[#This Row],[Uraian]])&gt;2,TRIM(RIGHT(SUBSTITUTE(TRIM(C6243)," ",REPT(" ",255)),255))," ")</f>
        <v xml:space="preserve"> </v>
      </c>
      <c r="G6243" s="110">
        <f>COPY!Z6235</f>
        <v>0</v>
      </c>
      <c r="H6243" s="111" t="str">
        <f>IFERROR(VLOOKUP(Table1722[[#This Row],[Bukti]],'Un nOTA'!$A$4:$K$5003,10,FALSE),"")</f>
        <v/>
      </c>
      <c r="I6243" s="123" t="str">
        <f>IFERROR(VLOOKUP(Table1722[[#This Row],[Bukti]],Table13[#Data],11,FALSE),"")</f>
        <v/>
      </c>
    </row>
    <row r="6244" spans="1:9" hidden="1" x14ac:dyDescent="0.2">
      <c r="A6244" s="105" t="str">
        <f>IF(D6244=1,COUNTIF($D$10:D6244,1)," ")</f>
        <v xml:space="preserve"> </v>
      </c>
      <c r="B6244" s="106">
        <f>COPY!AR6236</f>
        <v>0</v>
      </c>
      <c r="C6244" s="107">
        <f>COPY!AC6236</f>
        <v>0</v>
      </c>
      <c r="D6244" s="107" t="str">
        <f>IF(LEN(Table1722[[#This Row],[Uraian]])&gt;2,1," ")</f>
        <v xml:space="preserve"> </v>
      </c>
      <c r="E6244" s="113" t="str">
        <f>IF(Table1722[[#This Row],[Lawan Transaksi]]="CV AGUNG KARYA",COUNTIF($I$10:I6244,"CV AGUNG KARYA")," ")</f>
        <v xml:space="preserve"> </v>
      </c>
      <c r="F6244" s="107" t="str">
        <f>IF(LEN(Table1722[[#This Row],[Uraian]])&gt;2,TRIM(RIGHT(SUBSTITUTE(TRIM(C6244)," ",REPT(" ",255)),255))," ")</f>
        <v xml:space="preserve"> </v>
      </c>
      <c r="G6244" s="110">
        <f>COPY!Z6236</f>
        <v>0</v>
      </c>
      <c r="H6244" s="111" t="str">
        <f>IFERROR(VLOOKUP(Table1722[[#This Row],[Bukti]],'Un nOTA'!$A$4:$K$5003,10,FALSE),"")</f>
        <v/>
      </c>
      <c r="I6244" s="123" t="str">
        <f>IFERROR(VLOOKUP(Table1722[[#This Row],[Bukti]],Table13[#Data],11,FALSE),"")</f>
        <v/>
      </c>
    </row>
    <row r="6245" spans="1:9" hidden="1" x14ac:dyDescent="0.2">
      <c r="A6245" s="105" t="str">
        <f>IF(D6245=1,COUNTIF($D$10:D6245,1)," ")</f>
        <v xml:space="preserve"> </v>
      </c>
      <c r="B6245" s="106">
        <f>COPY!AR6237</f>
        <v>0</v>
      </c>
      <c r="C6245" s="107">
        <f>COPY!AC6237</f>
        <v>0</v>
      </c>
      <c r="D6245" s="107" t="str">
        <f>IF(LEN(Table1722[[#This Row],[Uraian]])&gt;2,1," ")</f>
        <v xml:space="preserve"> </v>
      </c>
      <c r="E6245" s="113" t="str">
        <f>IF(Table1722[[#This Row],[Lawan Transaksi]]="CV AGUNG KARYA",COUNTIF($I$10:I6245,"CV AGUNG KARYA")," ")</f>
        <v xml:space="preserve"> </v>
      </c>
      <c r="F6245" s="107" t="str">
        <f>IF(LEN(Table1722[[#This Row],[Uraian]])&gt;2,TRIM(RIGHT(SUBSTITUTE(TRIM(C6245)," ",REPT(" ",255)),255))," ")</f>
        <v xml:space="preserve"> </v>
      </c>
      <c r="G6245" s="110">
        <f>COPY!Z6237</f>
        <v>0</v>
      </c>
      <c r="H6245" s="111" t="str">
        <f>IFERROR(VLOOKUP(Table1722[[#This Row],[Bukti]],'Un nOTA'!$A$4:$K$5003,10,FALSE),"")</f>
        <v/>
      </c>
      <c r="I6245" s="123" t="str">
        <f>IFERROR(VLOOKUP(Table1722[[#This Row],[Bukti]],Table13[#Data],11,FALSE),"")</f>
        <v/>
      </c>
    </row>
    <row r="6246" spans="1:9" hidden="1" x14ac:dyDescent="0.2">
      <c r="A6246" s="105" t="str">
        <f>IF(D6246=1,COUNTIF($D$10:D6246,1)," ")</f>
        <v xml:space="preserve"> </v>
      </c>
      <c r="B6246" s="106">
        <f>COPY!AR6238</f>
        <v>0</v>
      </c>
      <c r="C6246" s="107">
        <f>COPY!AC6238</f>
        <v>0</v>
      </c>
      <c r="D6246" s="107" t="str">
        <f>IF(LEN(Table1722[[#This Row],[Uraian]])&gt;2,1," ")</f>
        <v xml:space="preserve"> </v>
      </c>
      <c r="E6246" s="113" t="str">
        <f>IF(Table1722[[#This Row],[Lawan Transaksi]]="CV AGUNG KARYA",COUNTIF($I$10:I6246,"CV AGUNG KARYA")," ")</f>
        <v xml:space="preserve"> </v>
      </c>
      <c r="F6246" s="107" t="str">
        <f>IF(LEN(Table1722[[#This Row],[Uraian]])&gt;2,TRIM(RIGHT(SUBSTITUTE(TRIM(C6246)," ",REPT(" ",255)),255))," ")</f>
        <v xml:space="preserve"> </v>
      </c>
      <c r="G6246" s="110">
        <f>COPY!Z6238</f>
        <v>0</v>
      </c>
      <c r="H6246" s="111" t="str">
        <f>IFERROR(VLOOKUP(Table1722[[#This Row],[Bukti]],'Un nOTA'!$A$4:$K$5003,10,FALSE),"")</f>
        <v/>
      </c>
      <c r="I6246" s="123" t="str">
        <f>IFERROR(VLOOKUP(Table1722[[#This Row],[Bukti]],Table13[#Data],11,FALSE),"")</f>
        <v/>
      </c>
    </row>
    <row r="6247" spans="1:9" hidden="1" x14ac:dyDescent="0.2">
      <c r="A6247" s="105" t="str">
        <f>IF(D6247=1,COUNTIF($D$10:D6247,1)," ")</f>
        <v xml:space="preserve"> </v>
      </c>
      <c r="B6247" s="106">
        <f>COPY!AR6239</f>
        <v>0</v>
      </c>
      <c r="C6247" s="107">
        <f>COPY!AC6239</f>
        <v>0</v>
      </c>
      <c r="D6247" s="107" t="str">
        <f>IF(LEN(Table1722[[#This Row],[Uraian]])&gt;2,1," ")</f>
        <v xml:space="preserve"> </v>
      </c>
      <c r="E6247" s="113" t="str">
        <f>IF(Table1722[[#This Row],[Lawan Transaksi]]="CV AGUNG KARYA",COUNTIF($I$10:I6247,"CV AGUNG KARYA")," ")</f>
        <v xml:space="preserve"> </v>
      </c>
      <c r="F6247" s="107" t="str">
        <f>IF(LEN(Table1722[[#This Row],[Uraian]])&gt;2,TRIM(RIGHT(SUBSTITUTE(TRIM(C6247)," ",REPT(" ",255)),255))," ")</f>
        <v xml:space="preserve"> </v>
      </c>
      <c r="G6247" s="110">
        <f>COPY!Z6239</f>
        <v>0</v>
      </c>
      <c r="H6247" s="111" t="str">
        <f>IFERROR(VLOOKUP(Table1722[[#This Row],[Bukti]],'Un nOTA'!$A$4:$K$5003,10,FALSE),"")</f>
        <v/>
      </c>
      <c r="I6247" s="123" t="str">
        <f>IFERROR(VLOOKUP(Table1722[[#This Row],[Bukti]],Table13[#Data],11,FALSE),"")</f>
        <v/>
      </c>
    </row>
    <row r="6248" spans="1:9" hidden="1" x14ac:dyDescent="0.2">
      <c r="A6248" s="105" t="str">
        <f>IF(D6248=1,COUNTIF($D$10:D6248,1)," ")</f>
        <v xml:space="preserve"> </v>
      </c>
      <c r="B6248" s="106">
        <f>COPY!AR6240</f>
        <v>0</v>
      </c>
      <c r="C6248" s="107">
        <f>COPY!AC6240</f>
        <v>0</v>
      </c>
      <c r="D6248" s="107" t="str">
        <f>IF(LEN(Table1722[[#This Row],[Uraian]])&gt;2,1," ")</f>
        <v xml:space="preserve"> </v>
      </c>
      <c r="E6248" s="113" t="str">
        <f>IF(Table1722[[#This Row],[Lawan Transaksi]]="CV AGUNG KARYA",COUNTIF($I$10:I6248,"CV AGUNG KARYA")," ")</f>
        <v xml:space="preserve"> </v>
      </c>
      <c r="F6248" s="107" t="str">
        <f>IF(LEN(Table1722[[#This Row],[Uraian]])&gt;2,TRIM(RIGHT(SUBSTITUTE(TRIM(C6248)," ",REPT(" ",255)),255))," ")</f>
        <v xml:space="preserve"> </v>
      </c>
      <c r="G6248" s="110">
        <f>COPY!Z6240</f>
        <v>0</v>
      </c>
      <c r="H6248" s="111" t="str">
        <f>IFERROR(VLOOKUP(Table1722[[#This Row],[Bukti]],'Un nOTA'!$A$4:$K$5003,10,FALSE),"")</f>
        <v/>
      </c>
      <c r="I6248" s="123" t="str">
        <f>IFERROR(VLOOKUP(Table1722[[#This Row],[Bukti]],Table13[#Data],11,FALSE),"")</f>
        <v/>
      </c>
    </row>
    <row r="6249" spans="1:9" hidden="1" x14ac:dyDescent="0.2">
      <c r="A6249" s="105" t="str">
        <f>IF(D6249=1,COUNTIF($D$10:D6249,1)," ")</f>
        <v xml:space="preserve"> </v>
      </c>
      <c r="B6249" s="106">
        <f>COPY!AR6241</f>
        <v>0</v>
      </c>
      <c r="C6249" s="107">
        <f>COPY!AC6241</f>
        <v>0</v>
      </c>
      <c r="D6249" s="107" t="str">
        <f>IF(LEN(Table1722[[#This Row],[Uraian]])&gt;2,1," ")</f>
        <v xml:space="preserve"> </v>
      </c>
      <c r="E6249" s="113" t="str">
        <f>IF(Table1722[[#This Row],[Lawan Transaksi]]="CV AGUNG KARYA",COUNTIF($I$10:I6249,"CV AGUNG KARYA")," ")</f>
        <v xml:space="preserve"> </v>
      </c>
      <c r="F6249" s="107" t="str">
        <f>IF(LEN(Table1722[[#This Row],[Uraian]])&gt;2,TRIM(RIGHT(SUBSTITUTE(TRIM(C6249)," ",REPT(" ",255)),255))," ")</f>
        <v xml:space="preserve"> </v>
      </c>
      <c r="G6249" s="110">
        <f>COPY!Z6241</f>
        <v>0</v>
      </c>
      <c r="H6249" s="111" t="str">
        <f>IFERROR(VLOOKUP(Table1722[[#This Row],[Bukti]],'Un nOTA'!$A$4:$K$5003,10,FALSE),"")</f>
        <v/>
      </c>
      <c r="I6249" s="123" t="str">
        <f>IFERROR(VLOOKUP(Table1722[[#This Row],[Bukti]],Table13[#Data],11,FALSE),"")</f>
        <v/>
      </c>
    </row>
    <row r="6250" spans="1:9" hidden="1" x14ac:dyDescent="0.2">
      <c r="A6250" s="105" t="str">
        <f>IF(D6250=1,COUNTIF($D$10:D6250,1)," ")</f>
        <v xml:space="preserve"> </v>
      </c>
      <c r="B6250" s="106">
        <f>COPY!AR6242</f>
        <v>0</v>
      </c>
      <c r="C6250" s="107">
        <f>COPY!AC6242</f>
        <v>0</v>
      </c>
      <c r="D6250" s="107" t="str">
        <f>IF(LEN(Table1722[[#This Row],[Uraian]])&gt;2,1," ")</f>
        <v xml:space="preserve"> </v>
      </c>
      <c r="E6250" s="113" t="str">
        <f>IF(Table1722[[#This Row],[Lawan Transaksi]]="CV AGUNG KARYA",COUNTIF($I$10:I6250,"CV AGUNG KARYA")," ")</f>
        <v xml:space="preserve"> </v>
      </c>
      <c r="F6250" s="107" t="str">
        <f>IF(LEN(Table1722[[#This Row],[Uraian]])&gt;2,TRIM(RIGHT(SUBSTITUTE(TRIM(C6250)," ",REPT(" ",255)),255))," ")</f>
        <v xml:space="preserve"> </v>
      </c>
      <c r="G6250" s="110">
        <f>COPY!Z6242</f>
        <v>0</v>
      </c>
      <c r="H6250" s="111" t="str">
        <f>IFERROR(VLOOKUP(Table1722[[#This Row],[Bukti]],'Un nOTA'!$A$4:$K$5003,10,FALSE),"")</f>
        <v/>
      </c>
      <c r="I6250" s="123" t="str">
        <f>IFERROR(VLOOKUP(Table1722[[#This Row],[Bukti]],Table13[#Data],11,FALSE),"")</f>
        <v/>
      </c>
    </row>
    <row r="6251" spans="1:9" hidden="1" x14ac:dyDescent="0.2">
      <c r="A6251" s="105" t="str">
        <f>IF(D6251=1,COUNTIF($D$10:D6251,1)," ")</f>
        <v xml:space="preserve"> </v>
      </c>
      <c r="B6251" s="106">
        <f>COPY!AR6243</f>
        <v>0</v>
      </c>
      <c r="C6251" s="107">
        <f>COPY!AC6243</f>
        <v>0</v>
      </c>
      <c r="D6251" s="107" t="str">
        <f>IF(LEN(Table1722[[#This Row],[Uraian]])&gt;2,1," ")</f>
        <v xml:space="preserve"> </v>
      </c>
      <c r="E6251" s="113" t="str">
        <f>IF(Table1722[[#This Row],[Lawan Transaksi]]="CV AGUNG KARYA",COUNTIF($I$10:I6251,"CV AGUNG KARYA")," ")</f>
        <v xml:space="preserve"> </v>
      </c>
      <c r="F6251" s="107" t="str">
        <f>IF(LEN(Table1722[[#This Row],[Uraian]])&gt;2,TRIM(RIGHT(SUBSTITUTE(TRIM(C6251)," ",REPT(" ",255)),255))," ")</f>
        <v xml:space="preserve"> </v>
      </c>
      <c r="G6251" s="110">
        <f>COPY!Z6243</f>
        <v>0</v>
      </c>
      <c r="H6251" s="111" t="str">
        <f>IFERROR(VLOOKUP(Table1722[[#This Row],[Bukti]],'Un nOTA'!$A$4:$K$5003,10,FALSE),"")</f>
        <v/>
      </c>
      <c r="I6251" s="123" t="str">
        <f>IFERROR(VLOOKUP(Table1722[[#This Row],[Bukti]],Table13[#Data],11,FALSE),"")</f>
        <v/>
      </c>
    </row>
    <row r="6252" spans="1:9" hidden="1" x14ac:dyDescent="0.2">
      <c r="A6252" s="105" t="str">
        <f>IF(D6252=1,COUNTIF($D$10:D6252,1)," ")</f>
        <v xml:space="preserve"> </v>
      </c>
      <c r="B6252" s="106">
        <f>COPY!AR6244</f>
        <v>0</v>
      </c>
      <c r="C6252" s="107">
        <f>COPY!AC6244</f>
        <v>0</v>
      </c>
      <c r="D6252" s="107" t="str">
        <f>IF(LEN(Table1722[[#This Row],[Uraian]])&gt;2,1," ")</f>
        <v xml:space="preserve"> </v>
      </c>
      <c r="E6252" s="113" t="str">
        <f>IF(Table1722[[#This Row],[Lawan Transaksi]]="CV AGUNG KARYA",COUNTIF($I$10:I6252,"CV AGUNG KARYA")," ")</f>
        <v xml:space="preserve"> </v>
      </c>
      <c r="F6252" s="107" t="str">
        <f>IF(LEN(Table1722[[#This Row],[Uraian]])&gt;2,TRIM(RIGHT(SUBSTITUTE(TRIM(C6252)," ",REPT(" ",255)),255))," ")</f>
        <v xml:space="preserve"> </v>
      </c>
      <c r="G6252" s="110">
        <f>COPY!Z6244</f>
        <v>0</v>
      </c>
      <c r="H6252" s="111" t="str">
        <f>IFERROR(VLOOKUP(Table1722[[#This Row],[Bukti]],'Un nOTA'!$A$4:$K$5003,10,FALSE),"")</f>
        <v/>
      </c>
      <c r="I6252" s="123" t="str">
        <f>IFERROR(VLOOKUP(Table1722[[#This Row],[Bukti]],Table13[#Data],11,FALSE),"")</f>
        <v/>
      </c>
    </row>
    <row r="6253" spans="1:9" hidden="1" x14ac:dyDescent="0.2">
      <c r="A6253" s="105" t="str">
        <f>IF(D6253=1,COUNTIF($D$10:D6253,1)," ")</f>
        <v xml:space="preserve"> </v>
      </c>
      <c r="B6253" s="106">
        <f>COPY!AR6245</f>
        <v>0</v>
      </c>
      <c r="C6253" s="107">
        <f>COPY!AC6245</f>
        <v>0</v>
      </c>
      <c r="D6253" s="107" t="str">
        <f>IF(LEN(Table1722[[#This Row],[Uraian]])&gt;2,1," ")</f>
        <v xml:space="preserve"> </v>
      </c>
      <c r="E6253" s="113" t="str">
        <f>IF(Table1722[[#This Row],[Lawan Transaksi]]="CV AGUNG KARYA",COUNTIF($I$10:I6253,"CV AGUNG KARYA")," ")</f>
        <v xml:space="preserve"> </v>
      </c>
      <c r="F6253" s="107" t="str">
        <f>IF(LEN(Table1722[[#This Row],[Uraian]])&gt;2,TRIM(RIGHT(SUBSTITUTE(TRIM(C6253)," ",REPT(" ",255)),255))," ")</f>
        <v xml:space="preserve"> </v>
      </c>
      <c r="G6253" s="110">
        <f>COPY!Z6245</f>
        <v>0</v>
      </c>
      <c r="H6253" s="111" t="str">
        <f>IFERROR(VLOOKUP(Table1722[[#This Row],[Bukti]],'Un nOTA'!$A$4:$K$5003,10,FALSE),"")</f>
        <v/>
      </c>
      <c r="I6253" s="123" t="str">
        <f>IFERROR(VLOOKUP(Table1722[[#This Row],[Bukti]],Table13[#Data],11,FALSE),"")</f>
        <v/>
      </c>
    </row>
    <row r="6254" spans="1:9" hidden="1" x14ac:dyDescent="0.2">
      <c r="A6254" s="105" t="str">
        <f>IF(D6254=1,COUNTIF($D$10:D6254,1)," ")</f>
        <v xml:space="preserve"> </v>
      </c>
      <c r="B6254" s="106">
        <f>COPY!AR6246</f>
        <v>0</v>
      </c>
      <c r="C6254" s="107">
        <f>COPY!AC6246</f>
        <v>0</v>
      </c>
      <c r="D6254" s="107" t="str">
        <f>IF(LEN(Table1722[[#This Row],[Uraian]])&gt;2,1," ")</f>
        <v xml:space="preserve"> </v>
      </c>
      <c r="E6254" s="113" t="str">
        <f>IF(Table1722[[#This Row],[Lawan Transaksi]]="CV AGUNG KARYA",COUNTIF($I$10:I6254,"CV AGUNG KARYA")," ")</f>
        <v xml:space="preserve"> </v>
      </c>
      <c r="F6254" s="107" t="str">
        <f>IF(LEN(Table1722[[#This Row],[Uraian]])&gt;2,TRIM(RIGHT(SUBSTITUTE(TRIM(C6254)," ",REPT(" ",255)),255))," ")</f>
        <v xml:space="preserve"> </v>
      </c>
      <c r="G6254" s="110">
        <f>COPY!Z6246</f>
        <v>0</v>
      </c>
      <c r="H6254" s="111" t="str">
        <f>IFERROR(VLOOKUP(Table1722[[#This Row],[Bukti]],'Un nOTA'!$A$4:$K$5003,10,FALSE),"")</f>
        <v/>
      </c>
      <c r="I6254" s="123" t="str">
        <f>IFERROR(VLOOKUP(Table1722[[#This Row],[Bukti]],Table13[#Data],11,FALSE),"")</f>
        <v/>
      </c>
    </row>
    <row r="6255" spans="1:9" hidden="1" x14ac:dyDescent="0.2">
      <c r="A6255" s="105" t="str">
        <f>IF(D6255=1,COUNTIF($D$10:D6255,1)," ")</f>
        <v xml:space="preserve"> </v>
      </c>
      <c r="B6255" s="106">
        <f>COPY!AR6247</f>
        <v>0</v>
      </c>
      <c r="C6255" s="107">
        <f>COPY!AC6247</f>
        <v>0</v>
      </c>
      <c r="D6255" s="107" t="str">
        <f>IF(LEN(Table1722[[#This Row],[Uraian]])&gt;2,1," ")</f>
        <v xml:space="preserve"> </v>
      </c>
      <c r="E6255" s="113" t="str">
        <f>IF(Table1722[[#This Row],[Lawan Transaksi]]="CV AGUNG KARYA",COUNTIF($I$10:I6255,"CV AGUNG KARYA")," ")</f>
        <v xml:space="preserve"> </v>
      </c>
      <c r="F6255" s="107" t="str">
        <f>IF(LEN(Table1722[[#This Row],[Uraian]])&gt;2,TRIM(RIGHT(SUBSTITUTE(TRIM(C6255)," ",REPT(" ",255)),255))," ")</f>
        <v xml:space="preserve"> </v>
      </c>
      <c r="G6255" s="110">
        <f>COPY!Z6247</f>
        <v>0</v>
      </c>
      <c r="H6255" s="111" t="str">
        <f>IFERROR(VLOOKUP(Table1722[[#This Row],[Bukti]],'Un nOTA'!$A$4:$K$5003,10,FALSE),"")</f>
        <v/>
      </c>
      <c r="I6255" s="123" t="str">
        <f>IFERROR(VLOOKUP(Table1722[[#This Row],[Bukti]],Table13[#Data],11,FALSE),"")</f>
        <v/>
      </c>
    </row>
    <row r="6256" spans="1:9" hidden="1" x14ac:dyDescent="0.2">
      <c r="A6256" s="105" t="str">
        <f>IF(D6256=1,COUNTIF($D$10:D6256,1)," ")</f>
        <v xml:space="preserve"> </v>
      </c>
      <c r="B6256" s="106">
        <f>COPY!AR6248</f>
        <v>0</v>
      </c>
      <c r="C6256" s="107">
        <f>COPY!AC6248</f>
        <v>0</v>
      </c>
      <c r="D6256" s="107" t="str">
        <f>IF(LEN(Table1722[[#This Row],[Uraian]])&gt;2,1," ")</f>
        <v xml:space="preserve"> </v>
      </c>
      <c r="E6256" s="113" t="str">
        <f>IF(Table1722[[#This Row],[Lawan Transaksi]]="CV AGUNG KARYA",COUNTIF($I$10:I6256,"CV AGUNG KARYA")," ")</f>
        <v xml:space="preserve"> </v>
      </c>
      <c r="F6256" s="107" t="str">
        <f>IF(LEN(Table1722[[#This Row],[Uraian]])&gt;2,TRIM(RIGHT(SUBSTITUTE(TRIM(C6256)," ",REPT(" ",255)),255))," ")</f>
        <v xml:space="preserve"> </v>
      </c>
      <c r="G6256" s="110">
        <f>COPY!Z6248</f>
        <v>0</v>
      </c>
      <c r="H6256" s="111" t="str">
        <f>IFERROR(VLOOKUP(Table1722[[#This Row],[Bukti]],'Un nOTA'!$A$4:$K$5003,10,FALSE),"")</f>
        <v/>
      </c>
      <c r="I6256" s="123" t="str">
        <f>IFERROR(VLOOKUP(Table1722[[#This Row],[Bukti]],Table13[#Data],11,FALSE),"")</f>
        <v/>
      </c>
    </row>
    <row r="6257" spans="1:9" hidden="1" x14ac:dyDescent="0.2">
      <c r="A6257" s="105" t="str">
        <f>IF(D6257=1,COUNTIF($D$10:D6257,1)," ")</f>
        <v xml:space="preserve"> </v>
      </c>
      <c r="B6257" s="106">
        <f>COPY!AR6249</f>
        <v>0</v>
      </c>
      <c r="C6257" s="107">
        <f>COPY!AC6249</f>
        <v>0</v>
      </c>
      <c r="D6257" s="107" t="str">
        <f>IF(LEN(Table1722[[#This Row],[Uraian]])&gt;2,1," ")</f>
        <v xml:space="preserve"> </v>
      </c>
      <c r="E6257" s="113" t="str">
        <f>IF(Table1722[[#This Row],[Lawan Transaksi]]="CV AGUNG KARYA",COUNTIF($I$10:I6257,"CV AGUNG KARYA")," ")</f>
        <v xml:space="preserve"> </v>
      </c>
      <c r="F6257" s="107" t="str">
        <f>IF(LEN(Table1722[[#This Row],[Uraian]])&gt;2,TRIM(RIGHT(SUBSTITUTE(TRIM(C6257)," ",REPT(" ",255)),255))," ")</f>
        <v xml:space="preserve"> </v>
      </c>
      <c r="G6257" s="110">
        <f>COPY!Z6249</f>
        <v>0</v>
      </c>
      <c r="H6257" s="111" t="str">
        <f>IFERROR(VLOOKUP(Table1722[[#This Row],[Bukti]],'Un nOTA'!$A$4:$K$5003,10,FALSE),"")</f>
        <v/>
      </c>
      <c r="I6257" s="123" t="str">
        <f>IFERROR(VLOOKUP(Table1722[[#This Row],[Bukti]],Table13[#Data],11,FALSE),"")</f>
        <v/>
      </c>
    </row>
    <row r="6258" spans="1:9" hidden="1" x14ac:dyDescent="0.2">
      <c r="A6258" s="105" t="str">
        <f>IF(D6258=1,COUNTIF($D$10:D6258,1)," ")</f>
        <v xml:space="preserve"> </v>
      </c>
      <c r="B6258" s="106">
        <f>COPY!AR6250</f>
        <v>0</v>
      </c>
      <c r="C6258" s="107">
        <f>COPY!AC6250</f>
        <v>0</v>
      </c>
      <c r="D6258" s="107" t="str">
        <f>IF(LEN(Table1722[[#This Row],[Uraian]])&gt;2,1," ")</f>
        <v xml:space="preserve"> </v>
      </c>
      <c r="E6258" s="113" t="str">
        <f>IF(Table1722[[#This Row],[Lawan Transaksi]]="CV AGUNG KARYA",COUNTIF($I$10:I6258,"CV AGUNG KARYA")," ")</f>
        <v xml:space="preserve"> </v>
      </c>
      <c r="F6258" s="107" t="str">
        <f>IF(LEN(Table1722[[#This Row],[Uraian]])&gt;2,TRIM(RIGHT(SUBSTITUTE(TRIM(C6258)," ",REPT(" ",255)),255))," ")</f>
        <v xml:space="preserve"> </v>
      </c>
      <c r="G6258" s="110">
        <f>COPY!Z6250</f>
        <v>0</v>
      </c>
      <c r="H6258" s="111" t="str">
        <f>IFERROR(VLOOKUP(Table1722[[#This Row],[Bukti]],'Un nOTA'!$A$4:$K$5003,10,FALSE),"")</f>
        <v/>
      </c>
      <c r="I6258" s="123" t="str">
        <f>IFERROR(VLOOKUP(Table1722[[#This Row],[Bukti]],Table13[#Data],11,FALSE),"")</f>
        <v/>
      </c>
    </row>
    <row r="6259" spans="1:9" hidden="1" x14ac:dyDescent="0.2">
      <c r="A6259" s="105" t="str">
        <f>IF(D6259=1,COUNTIF($D$10:D6259,1)," ")</f>
        <v xml:space="preserve"> </v>
      </c>
      <c r="B6259" s="106">
        <f>COPY!AR6251</f>
        <v>0</v>
      </c>
      <c r="C6259" s="107">
        <f>COPY!AC6251</f>
        <v>0</v>
      </c>
      <c r="D6259" s="107" t="str">
        <f>IF(LEN(Table1722[[#This Row],[Uraian]])&gt;2,1," ")</f>
        <v xml:space="preserve"> </v>
      </c>
      <c r="E6259" s="113" t="str">
        <f>IF(Table1722[[#This Row],[Lawan Transaksi]]="CV AGUNG KARYA",COUNTIF($I$10:I6259,"CV AGUNG KARYA")," ")</f>
        <v xml:space="preserve"> </v>
      </c>
      <c r="F6259" s="107" t="str">
        <f>IF(LEN(Table1722[[#This Row],[Uraian]])&gt;2,TRIM(RIGHT(SUBSTITUTE(TRIM(C6259)," ",REPT(" ",255)),255))," ")</f>
        <v xml:space="preserve"> </v>
      </c>
      <c r="G6259" s="110">
        <f>COPY!Z6251</f>
        <v>0</v>
      </c>
      <c r="H6259" s="111" t="str">
        <f>IFERROR(VLOOKUP(Table1722[[#This Row],[Bukti]],'Un nOTA'!$A$4:$K$5003,10,FALSE),"")</f>
        <v/>
      </c>
      <c r="I6259" s="123" t="str">
        <f>IFERROR(VLOOKUP(Table1722[[#This Row],[Bukti]],Table13[#Data],11,FALSE),"")</f>
        <v/>
      </c>
    </row>
    <row r="6260" spans="1:9" hidden="1" x14ac:dyDescent="0.2">
      <c r="A6260" s="105" t="str">
        <f>IF(D6260=1,COUNTIF($D$10:D6260,1)," ")</f>
        <v xml:space="preserve"> </v>
      </c>
      <c r="B6260" s="106">
        <f>COPY!AR6252</f>
        <v>0</v>
      </c>
      <c r="C6260" s="107">
        <f>COPY!AC6252</f>
        <v>0</v>
      </c>
      <c r="D6260" s="107" t="str">
        <f>IF(LEN(Table1722[[#This Row],[Uraian]])&gt;2,1," ")</f>
        <v xml:space="preserve"> </v>
      </c>
      <c r="E6260" s="113" t="str">
        <f>IF(Table1722[[#This Row],[Lawan Transaksi]]="CV AGUNG KARYA",COUNTIF($I$10:I6260,"CV AGUNG KARYA")," ")</f>
        <v xml:space="preserve"> </v>
      </c>
      <c r="F6260" s="107" t="str">
        <f>IF(LEN(Table1722[[#This Row],[Uraian]])&gt;2,TRIM(RIGHT(SUBSTITUTE(TRIM(C6260)," ",REPT(" ",255)),255))," ")</f>
        <v xml:space="preserve"> </v>
      </c>
      <c r="G6260" s="110">
        <f>COPY!Z6252</f>
        <v>0</v>
      </c>
      <c r="H6260" s="111" t="str">
        <f>IFERROR(VLOOKUP(Table1722[[#This Row],[Bukti]],'Un nOTA'!$A$4:$K$5003,10,FALSE),"")</f>
        <v/>
      </c>
      <c r="I6260" s="123" t="str">
        <f>IFERROR(VLOOKUP(Table1722[[#This Row],[Bukti]],Table13[#Data],11,FALSE),"")</f>
        <v/>
      </c>
    </row>
    <row r="6261" spans="1:9" hidden="1" x14ac:dyDescent="0.2">
      <c r="A6261" s="105" t="str">
        <f>IF(D6261=1,COUNTIF($D$10:D6261,1)," ")</f>
        <v xml:space="preserve"> </v>
      </c>
      <c r="B6261" s="106">
        <f>COPY!AR6253</f>
        <v>0</v>
      </c>
      <c r="C6261" s="107">
        <f>COPY!AC6253</f>
        <v>0</v>
      </c>
      <c r="D6261" s="107" t="str">
        <f>IF(LEN(Table1722[[#This Row],[Uraian]])&gt;2,1," ")</f>
        <v xml:space="preserve"> </v>
      </c>
      <c r="E6261" s="113" t="str">
        <f>IF(Table1722[[#This Row],[Lawan Transaksi]]="CV AGUNG KARYA",COUNTIF($I$10:I6261,"CV AGUNG KARYA")," ")</f>
        <v xml:space="preserve"> </v>
      </c>
      <c r="F6261" s="107" t="str">
        <f>IF(LEN(Table1722[[#This Row],[Uraian]])&gt;2,TRIM(RIGHT(SUBSTITUTE(TRIM(C6261)," ",REPT(" ",255)),255))," ")</f>
        <v xml:space="preserve"> </v>
      </c>
      <c r="G6261" s="110">
        <f>COPY!Z6253</f>
        <v>0</v>
      </c>
      <c r="H6261" s="111" t="str">
        <f>IFERROR(VLOOKUP(Table1722[[#This Row],[Bukti]],'Un nOTA'!$A$4:$K$5003,10,FALSE),"")</f>
        <v/>
      </c>
      <c r="I6261" s="123" t="str">
        <f>IFERROR(VLOOKUP(Table1722[[#This Row],[Bukti]],Table13[#Data],11,FALSE),"")</f>
        <v/>
      </c>
    </row>
    <row r="6262" spans="1:9" hidden="1" x14ac:dyDescent="0.2">
      <c r="A6262" s="105" t="str">
        <f>IF(D6262=1,COUNTIF($D$10:D6262,1)," ")</f>
        <v xml:space="preserve"> </v>
      </c>
      <c r="B6262" s="106">
        <f>COPY!AR6254</f>
        <v>0</v>
      </c>
      <c r="C6262" s="107">
        <f>COPY!AC6254</f>
        <v>0</v>
      </c>
      <c r="D6262" s="107" t="str">
        <f>IF(LEN(Table1722[[#This Row],[Uraian]])&gt;2,1," ")</f>
        <v xml:space="preserve"> </v>
      </c>
      <c r="E6262" s="113" t="str">
        <f>IF(Table1722[[#This Row],[Lawan Transaksi]]="CV AGUNG KARYA",COUNTIF($I$10:I6262,"CV AGUNG KARYA")," ")</f>
        <v xml:space="preserve"> </v>
      </c>
      <c r="F6262" s="107" t="str">
        <f>IF(LEN(Table1722[[#This Row],[Uraian]])&gt;2,TRIM(RIGHT(SUBSTITUTE(TRIM(C6262)," ",REPT(" ",255)),255))," ")</f>
        <v xml:space="preserve"> </v>
      </c>
      <c r="G6262" s="110">
        <f>COPY!Z6254</f>
        <v>0</v>
      </c>
      <c r="H6262" s="111" t="str">
        <f>IFERROR(VLOOKUP(Table1722[[#This Row],[Bukti]],'Un nOTA'!$A$4:$K$5003,10,FALSE),"")</f>
        <v/>
      </c>
      <c r="I6262" s="123" t="str">
        <f>IFERROR(VLOOKUP(Table1722[[#This Row],[Bukti]],Table13[#Data],11,FALSE),"")</f>
        <v/>
      </c>
    </row>
    <row r="6263" spans="1:9" hidden="1" x14ac:dyDescent="0.2">
      <c r="A6263" s="105" t="str">
        <f>IF(D6263=1,COUNTIF($D$10:D6263,1)," ")</f>
        <v xml:space="preserve"> </v>
      </c>
      <c r="B6263" s="106">
        <f>COPY!AR6255</f>
        <v>0</v>
      </c>
      <c r="C6263" s="107">
        <f>COPY!AC6255</f>
        <v>0</v>
      </c>
      <c r="D6263" s="107" t="str">
        <f>IF(LEN(Table1722[[#This Row],[Uraian]])&gt;2,1," ")</f>
        <v xml:space="preserve"> </v>
      </c>
      <c r="E6263" s="113" t="str">
        <f>IF(Table1722[[#This Row],[Lawan Transaksi]]="CV AGUNG KARYA",COUNTIF($I$10:I6263,"CV AGUNG KARYA")," ")</f>
        <v xml:space="preserve"> </v>
      </c>
      <c r="F6263" s="107" t="str">
        <f>IF(LEN(Table1722[[#This Row],[Uraian]])&gt;2,TRIM(RIGHT(SUBSTITUTE(TRIM(C6263)," ",REPT(" ",255)),255))," ")</f>
        <v xml:space="preserve"> </v>
      </c>
      <c r="G6263" s="110">
        <f>COPY!Z6255</f>
        <v>0</v>
      </c>
      <c r="H6263" s="111" t="str">
        <f>IFERROR(VLOOKUP(Table1722[[#This Row],[Bukti]],'Un nOTA'!$A$4:$K$5003,10,FALSE),"")</f>
        <v/>
      </c>
      <c r="I6263" s="123" t="str">
        <f>IFERROR(VLOOKUP(Table1722[[#This Row],[Bukti]],Table13[#Data],11,FALSE),"")</f>
        <v/>
      </c>
    </row>
    <row r="6264" spans="1:9" hidden="1" x14ac:dyDescent="0.2">
      <c r="A6264" s="105" t="str">
        <f>IF(D6264=1,COUNTIF($D$10:D6264,1)," ")</f>
        <v xml:space="preserve"> </v>
      </c>
      <c r="B6264" s="106">
        <f>COPY!AR6256</f>
        <v>0</v>
      </c>
      <c r="C6264" s="107">
        <f>COPY!AC6256</f>
        <v>0</v>
      </c>
      <c r="D6264" s="107" t="str">
        <f>IF(LEN(Table1722[[#This Row],[Uraian]])&gt;2,1," ")</f>
        <v xml:space="preserve"> </v>
      </c>
      <c r="E6264" s="113" t="str">
        <f>IF(Table1722[[#This Row],[Lawan Transaksi]]="CV AGUNG KARYA",COUNTIF($I$10:I6264,"CV AGUNG KARYA")," ")</f>
        <v xml:space="preserve"> </v>
      </c>
      <c r="F6264" s="107" t="str">
        <f>IF(LEN(Table1722[[#This Row],[Uraian]])&gt;2,TRIM(RIGHT(SUBSTITUTE(TRIM(C6264)," ",REPT(" ",255)),255))," ")</f>
        <v xml:space="preserve"> </v>
      </c>
      <c r="G6264" s="110">
        <f>COPY!Z6256</f>
        <v>0</v>
      </c>
      <c r="H6264" s="111" t="str">
        <f>IFERROR(VLOOKUP(Table1722[[#This Row],[Bukti]],'Un nOTA'!$A$4:$K$5003,10,FALSE),"")</f>
        <v/>
      </c>
      <c r="I6264" s="123" t="str">
        <f>IFERROR(VLOOKUP(Table1722[[#This Row],[Bukti]],Table13[#Data],11,FALSE),"")</f>
        <v/>
      </c>
    </row>
    <row r="6265" spans="1:9" hidden="1" x14ac:dyDescent="0.2">
      <c r="A6265" s="105" t="str">
        <f>IF(D6265=1,COUNTIF($D$10:D6265,1)," ")</f>
        <v xml:space="preserve"> </v>
      </c>
      <c r="B6265" s="106">
        <f>COPY!AR6257</f>
        <v>0</v>
      </c>
      <c r="C6265" s="107">
        <f>COPY!AC6257</f>
        <v>0</v>
      </c>
      <c r="D6265" s="107" t="str">
        <f>IF(LEN(Table1722[[#This Row],[Uraian]])&gt;2,1," ")</f>
        <v xml:space="preserve"> </v>
      </c>
      <c r="E6265" s="113" t="str">
        <f>IF(Table1722[[#This Row],[Lawan Transaksi]]="CV AGUNG KARYA",COUNTIF($I$10:I6265,"CV AGUNG KARYA")," ")</f>
        <v xml:space="preserve"> </v>
      </c>
      <c r="F6265" s="107" t="str">
        <f>IF(LEN(Table1722[[#This Row],[Uraian]])&gt;2,TRIM(RIGHT(SUBSTITUTE(TRIM(C6265)," ",REPT(" ",255)),255))," ")</f>
        <v xml:space="preserve"> </v>
      </c>
      <c r="G6265" s="110">
        <f>COPY!Z6257</f>
        <v>0</v>
      </c>
      <c r="H6265" s="111" t="str">
        <f>IFERROR(VLOOKUP(Table1722[[#This Row],[Bukti]],'Un nOTA'!$A$4:$K$5003,10,FALSE),"")</f>
        <v/>
      </c>
      <c r="I6265" s="123" t="str">
        <f>IFERROR(VLOOKUP(Table1722[[#This Row],[Bukti]],Table13[#Data],11,FALSE),"")</f>
        <v/>
      </c>
    </row>
    <row r="6266" spans="1:9" hidden="1" x14ac:dyDescent="0.2">
      <c r="A6266" s="105" t="str">
        <f>IF(D6266=1,COUNTIF($D$10:D6266,1)," ")</f>
        <v xml:space="preserve"> </v>
      </c>
      <c r="B6266" s="106">
        <f>COPY!AR6258</f>
        <v>0</v>
      </c>
      <c r="C6266" s="107">
        <f>COPY!AC6258</f>
        <v>0</v>
      </c>
      <c r="D6266" s="107" t="str">
        <f>IF(LEN(Table1722[[#This Row],[Uraian]])&gt;2,1," ")</f>
        <v xml:space="preserve"> </v>
      </c>
      <c r="E6266" s="113" t="str">
        <f>IF(Table1722[[#This Row],[Lawan Transaksi]]="CV AGUNG KARYA",COUNTIF($I$10:I6266,"CV AGUNG KARYA")," ")</f>
        <v xml:space="preserve"> </v>
      </c>
      <c r="F6266" s="107" t="str">
        <f>IF(LEN(Table1722[[#This Row],[Uraian]])&gt;2,TRIM(RIGHT(SUBSTITUTE(TRIM(C6266)," ",REPT(" ",255)),255))," ")</f>
        <v xml:space="preserve"> </v>
      </c>
      <c r="G6266" s="110">
        <f>COPY!Z6258</f>
        <v>0</v>
      </c>
      <c r="H6266" s="111" t="str">
        <f>IFERROR(VLOOKUP(Table1722[[#This Row],[Bukti]],'Un nOTA'!$A$4:$K$5003,10,FALSE),"")</f>
        <v/>
      </c>
      <c r="I6266" s="123" t="str">
        <f>IFERROR(VLOOKUP(Table1722[[#This Row],[Bukti]],Table13[#Data],11,FALSE),"")</f>
        <v/>
      </c>
    </row>
    <row r="6267" spans="1:9" hidden="1" x14ac:dyDescent="0.2">
      <c r="A6267" s="105" t="str">
        <f>IF(D6267=1,COUNTIF($D$10:D6267,1)," ")</f>
        <v xml:space="preserve"> </v>
      </c>
      <c r="B6267" s="106">
        <f>COPY!AR6259</f>
        <v>0</v>
      </c>
      <c r="C6267" s="107">
        <f>COPY!AC6259</f>
        <v>0</v>
      </c>
      <c r="D6267" s="107" t="str">
        <f>IF(LEN(Table1722[[#This Row],[Uraian]])&gt;2,1," ")</f>
        <v xml:space="preserve"> </v>
      </c>
      <c r="E6267" s="113" t="str">
        <f>IF(Table1722[[#This Row],[Lawan Transaksi]]="CV AGUNG KARYA",COUNTIF($I$10:I6267,"CV AGUNG KARYA")," ")</f>
        <v xml:space="preserve"> </v>
      </c>
      <c r="F6267" s="107" t="str">
        <f>IF(LEN(Table1722[[#This Row],[Uraian]])&gt;2,TRIM(RIGHT(SUBSTITUTE(TRIM(C6267)," ",REPT(" ",255)),255))," ")</f>
        <v xml:space="preserve"> </v>
      </c>
      <c r="G6267" s="110">
        <f>COPY!Z6259</f>
        <v>0</v>
      </c>
      <c r="H6267" s="111" t="str">
        <f>IFERROR(VLOOKUP(Table1722[[#This Row],[Bukti]],'Un nOTA'!$A$4:$K$5003,10,FALSE),"")</f>
        <v/>
      </c>
      <c r="I6267" s="123" t="str">
        <f>IFERROR(VLOOKUP(Table1722[[#This Row],[Bukti]],Table13[#Data],11,FALSE),"")</f>
        <v/>
      </c>
    </row>
    <row r="6268" spans="1:9" hidden="1" x14ac:dyDescent="0.2">
      <c r="A6268" s="105" t="str">
        <f>IF(D6268=1,COUNTIF($D$10:D6268,1)," ")</f>
        <v xml:space="preserve"> </v>
      </c>
      <c r="B6268" s="106">
        <f>COPY!AR6260</f>
        <v>0</v>
      </c>
      <c r="C6268" s="107">
        <f>COPY!AC6260</f>
        <v>0</v>
      </c>
      <c r="D6268" s="107" t="str">
        <f>IF(LEN(Table1722[[#This Row],[Uraian]])&gt;2,1," ")</f>
        <v xml:space="preserve"> </v>
      </c>
      <c r="E6268" s="113" t="str">
        <f>IF(Table1722[[#This Row],[Lawan Transaksi]]="CV AGUNG KARYA",COUNTIF($I$10:I6268,"CV AGUNG KARYA")," ")</f>
        <v xml:space="preserve"> </v>
      </c>
      <c r="F6268" s="107" t="str">
        <f>IF(LEN(Table1722[[#This Row],[Uraian]])&gt;2,TRIM(RIGHT(SUBSTITUTE(TRIM(C6268)," ",REPT(" ",255)),255))," ")</f>
        <v xml:space="preserve"> </v>
      </c>
      <c r="G6268" s="110">
        <f>COPY!Z6260</f>
        <v>0</v>
      </c>
      <c r="H6268" s="111" t="str">
        <f>IFERROR(VLOOKUP(Table1722[[#This Row],[Bukti]],'Un nOTA'!$A$4:$K$5003,10,FALSE),"")</f>
        <v/>
      </c>
      <c r="I6268" s="123" t="str">
        <f>IFERROR(VLOOKUP(Table1722[[#This Row],[Bukti]],Table13[#Data],11,FALSE),"")</f>
        <v/>
      </c>
    </row>
    <row r="6269" spans="1:9" hidden="1" x14ac:dyDescent="0.2">
      <c r="A6269" s="105" t="str">
        <f>IF(D6269=1,COUNTIF($D$10:D6269,1)," ")</f>
        <v xml:space="preserve"> </v>
      </c>
      <c r="B6269" s="106">
        <f>COPY!AR6261</f>
        <v>0</v>
      </c>
      <c r="C6269" s="107">
        <f>COPY!AC6261</f>
        <v>0</v>
      </c>
      <c r="D6269" s="107" t="str">
        <f>IF(LEN(Table1722[[#This Row],[Uraian]])&gt;2,1," ")</f>
        <v xml:space="preserve"> </v>
      </c>
      <c r="E6269" s="113" t="str">
        <f>IF(Table1722[[#This Row],[Lawan Transaksi]]="CV AGUNG KARYA",COUNTIF($I$10:I6269,"CV AGUNG KARYA")," ")</f>
        <v xml:space="preserve"> </v>
      </c>
      <c r="F6269" s="107" t="str">
        <f>IF(LEN(Table1722[[#This Row],[Uraian]])&gt;2,TRIM(RIGHT(SUBSTITUTE(TRIM(C6269)," ",REPT(" ",255)),255))," ")</f>
        <v xml:space="preserve"> </v>
      </c>
      <c r="G6269" s="110">
        <f>COPY!Z6261</f>
        <v>0</v>
      </c>
      <c r="H6269" s="111" t="str">
        <f>IFERROR(VLOOKUP(Table1722[[#This Row],[Bukti]],'Un nOTA'!$A$4:$K$5003,10,FALSE),"")</f>
        <v/>
      </c>
      <c r="I6269" s="123" t="str">
        <f>IFERROR(VLOOKUP(Table1722[[#This Row],[Bukti]],Table13[#Data],11,FALSE),"")</f>
        <v/>
      </c>
    </row>
    <row r="6270" spans="1:9" hidden="1" x14ac:dyDescent="0.2">
      <c r="A6270" s="105" t="str">
        <f>IF(D6270=1,COUNTIF($D$10:D6270,1)," ")</f>
        <v xml:space="preserve"> </v>
      </c>
      <c r="B6270" s="106">
        <f>COPY!AR6262</f>
        <v>0</v>
      </c>
      <c r="C6270" s="107">
        <f>COPY!AC6262</f>
        <v>0</v>
      </c>
      <c r="D6270" s="107" t="str">
        <f>IF(LEN(Table1722[[#This Row],[Uraian]])&gt;2,1," ")</f>
        <v xml:space="preserve"> </v>
      </c>
      <c r="E6270" s="113" t="str">
        <f>IF(Table1722[[#This Row],[Lawan Transaksi]]="CV AGUNG KARYA",COUNTIF($I$10:I6270,"CV AGUNG KARYA")," ")</f>
        <v xml:space="preserve"> </v>
      </c>
      <c r="F6270" s="107" t="str">
        <f>IF(LEN(Table1722[[#This Row],[Uraian]])&gt;2,TRIM(RIGHT(SUBSTITUTE(TRIM(C6270)," ",REPT(" ",255)),255))," ")</f>
        <v xml:space="preserve"> </v>
      </c>
      <c r="G6270" s="110">
        <f>COPY!Z6262</f>
        <v>0</v>
      </c>
      <c r="H6270" s="111" t="str">
        <f>IFERROR(VLOOKUP(Table1722[[#This Row],[Bukti]],'Un nOTA'!$A$4:$K$5003,10,FALSE),"")</f>
        <v/>
      </c>
      <c r="I6270" s="123" t="str">
        <f>IFERROR(VLOOKUP(Table1722[[#This Row],[Bukti]],Table13[#Data],11,FALSE),"")</f>
        <v/>
      </c>
    </row>
    <row r="6271" spans="1:9" hidden="1" x14ac:dyDescent="0.2">
      <c r="A6271" s="105" t="str">
        <f>IF(D6271=1,COUNTIF($D$10:D6271,1)," ")</f>
        <v xml:space="preserve"> </v>
      </c>
      <c r="B6271" s="106">
        <f>COPY!AR6263</f>
        <v>0</v>
      </c>
      <c r="C6271" s="107">
        <f>COPY!AC6263</f>
        <v>0</v>
      </c>
      <c r="D6271" s="107" t="str">
        <f>IF(LEN(Table1722[[#This Row],[Uraian]])&gt;2,1," ")</f>
        <v xml:space="preserve"> </v>
      </c>
      <c r="E6271" s="113" t="str">
        <f>IF(Table1722[[#This Row],[Lawan Transaksi]]="CV AGUNG KARYA",COUNTIF($I$10:I6271,"CV AGUNG KARYA")," ")</f>
        <v xml:space="preserve"> </v>
      </c>
      <c r="F6271" s="107" t="str">
        <f>IF(LEN(Table1722[[#This Row],[Uraian]])&gt;2,TRIM(RIGHT(SUBSTITUTE(TRIM(C6271)," ",REPT(" ",255)),255))," ")</f>
        <v xml:space="preserve"> </v>
      </c>
      <c r="G6271" s="110">
        <f>COPY!Z6263</f>
        <v>0</v>
      </c>
      <c r="H6271" s="111" t="str">
        <f>IFERROR(VLOOKUP(Table1722[[#This Row],[Bukti]],'Un nOTA'!$A$4:$K$5003,10,FALSE),"")</f>
        <v/>
      </c>
      <c r="I6271" s="123" t="str">
        <f>IFERROR(VLOOKUP(Table1722[[#This Row],[Bukti]],Table13[#Data],11,FALSE),"")</f>
        <v/>
      </c>
    </row>
    <row r="6272" spans="1:9" hidden="1" x14ac:dyDescent="0.2">
      <c r="A6272" s="105" t="str">
        <f>IF(D6272=1,COUNTIF($D$10:D6272,1)," ")</f>
        <v xml:space="preserve"> </v>
      </c>
      <c r="B6272" s="106">
        <f>COPY!AR6264</f>
        <v>0</v>
      </c>
      <c r="C6272" s="107">
        <f>COPY!AC6264</f>
        <v>0</v>
      </c>
      <c r="D6272" s="107" t="str">
        <f>IF(LEN(Table1722[[#This Row],[Uraian]])&gt;2,1," ")</f>
        <v xml:space="preserve"> </v>
      </c>
      <c r="E6272" s="113" t="str">
        <f>IF(Table1722[[#This Row],[Lawan Transaksi]]="CV AGUNG KARYA",COUNTIF($I$10:I6272,"CV AGUNG KARYA")," ")</f>
        <v xml:space="preserve"> </v>
      </c>
      <c r="F6272" s="107" t="str">
        <f>IF(LEN(Table1722[[#This Row],[Uraian]])&gt;2,TRIM(RIGHT(SUBSTITUTE(TRIM(C6272)," ",REPT(" ",255)),255))," ")</f>
        <v xml:space="preserve"> </v>
      </c>
      <c r="G6272" s="110">
        <f>COPY!Z6264</f>
        <v>0</v>
      </c>
      <c r="H6272" s="111" t="str">
        <f>IFERROR(VLOOKUP(Table1722[[#This Row],[Bukti]],'Un nOTA'!$A$4:$K$5003,10,FALSE),"")</f>
        <v/>
      </c>
      <c r="I6272" s="123" t="str">
        <f>IFERROR(VLOOKUP(Table1722[[#This Row],[Bukti]],Table13[#Data],11,FALSE),"")</f>
        <v/>
      </c>
    </row>
    <row r="6273" spans="1:9" hidden="1" x14ac:dyDescent="0.2">
      <c r="A6273" s="105" t="str">
        <f>IF(D6273=1,COUNTIF($D$10:D6273,1)," ")</f>
        <v xml:space="preserve"> </v>
      </c>
      <c r="B6273" s="106">
        <f>COPY!AR6265</f>
        <v>0</v>
      </c>
      <c r="C6273" s="107">
        <f>COPY!AC6265</f>
        <v>0</v>
      </c>
      <c r="D6273" s="107" t="str">
        <f>IF(LEN(Table1722[[#This Row],[Uraian]])&gt;2,1," ")</f>
        <v xml:space="preserve"> </v>
      </c>
      <c r="E6273" s="113" t="str">
        <f>IF(Table1722[[#This Row],[Lawan Transaksi]]="CV AGUNG KARYA",COUNTIF($I$10:I6273,"CV AGUNG KARYA")," ")</f>
        <v xml:space="preserve"> </v>
      </c>
      <c r="F6273" s="107" t="str">
        <f>IF(LEN(Table1722[[#This Row],[Uraian]])&gt;2,TRIM(RIGHT(SUBSTITUTE(TRIM(C6273)," ",REPT(" ",255)),255))," ")</f>
        <v xml:space="preserve"> </v>
      </c>
      <c r="G6273" s="110">
        <f>COPY!Z6265</f>
        <v>0</v>
      </c>
      <c r="H6273" s="111" t="str">
        <f>IFERROR(VLOOKUP(Table1722[[#This Row],[Bukti]],'Un nOTA'!$A$4:$K$5003,10,FALSE),"")</f>
        <v/>
      </c>
      <c r="I6273" s="123" t="str">
        <f>IFERROR(VLOOKUP(Table1722[[#This Row],[Bukti]],Table13[#Data],11,FALSE),"")</f>
        <v/>
      </c>
    </row>
    <row r="6274" spans="1:9" hidden="1" x14ac:dyDescent="0.2">
      <c r="A6274" s="105" t="str">
        <f>IF(D6274=1,COUNTIF($D$10:D6274,1)," ")</f>
        <v xml:space="preserve"> </v>
      </c>
      <c r="B6274" s="106">
        <f>COPY!AR6266</f>
        <v>0</v>
      </c>
      <c r="C6274" s="107">
        <f>COPY!AC6266</f>
        <v>0</v>
      </c>
      <c r="D6274" s="107" t="str">
        <f>IF(LEN(Table1722[[#This Row],[Uraian]])&gt;2,1," ")</f>
        <v xml:space="preserve"> </v>
      </c>
      <c r="E6274" s="113" t="str">
        <f>IF(Table1722[[#This Row],[Lawan Transaksi]]="CV AGUNG KARYA",COUNTIF($I$10:I6274,"CV AGUNG KARYA")," ")</f>
        <v xml:space="preserve"> </v>
      </c>
      <c r="F6274" s="107" t="str">
        <f>IF(LEN(Table1722[[#This Row],[Uraian]])&gt;2,TRIM(RIGHT(SUBSTITUTE(TRIM(C6274)," ",REPT(" ",255)),255))," ")</f>
        <v xml:space="preserve"> </v>
      </c>
      <c r="G6274" s="110">
        <f>COPY!Z6266</f>
        <v>0</v>
      </c>
      <c r="H6274" s="111" t="str">
        <f>IFERROR(VLOOKUP(Table1722[[#This Row],[Bukti]],'Un nOTA'!$A$4:$K$5003,10,FALSE),"")</f>
        <v/>
      </c>
      <c r="I6274" s="123" t="str">
        <f>IFERROR(VLOOKUP(Table1722[[#This Row],[Bukti]],Table13[#Data],11,FALSE),"")</f>
        <v/>
      </c>
    </row>
    <row r="6275" spans="1:9" hidden="1" x14ac:dyDescent="0.2">
      <c r="A6275" s="105" t="str">
        <f>IF(D6275=1,COUNTIF($D$10:D6275,1)," ")</f>
        <v xml:space="preserve"> </v>
      </c>
      <c r="B6275" s="106">
        <f>COPY!AR6267</f>
        <v>0</v>
      </c>
      <c r="C6275" s="107">
        <f>COPY!AC6267</f>
        <v>0</v>
      </c>
      <c r="D6275" s="107" t="str">
        <f>IF(LEN(Table1722[[#This Row],[Uraian]])&gt;2,1," ")</f>
        <v xml:space="preserve"> </v>
      </c>
      <c r="E6275" s="113" t="str">
        <f>IF(Table1722[[#This Row],[Lawan Transaksi]]="CV AGUNG KARYA",COUNTIF($I$10:I6275,"CV AGUNG KARYA")," ")</f>
        <v xml:space="preserve"> </v>
      </c>
      <c r="F6275" s="107" t="str">
        <f>IF(LEN(Table1722[[#This Row],[Uraian]])&gt;2,TRIM(RIGHT(SUBSTITUTE(TRIM(C6275)," ",REPT(" ",255)),255))," ")</f>
        <v xml:space="preserve"> </v>
      </c>
      <c r="G6275" s="110">
        <f>COPY!Z6267</f>
        <v>0</v>
      </c>
      <c r="H6275" s="111" t="str">
        <f>IFERROR(VLOOKUP(Table1722[[#This Row],[Bukti]],'Un nOTA'!$A$4:$K$5003,10,FALSE),"")</f>
        <v/>
      </c>
      <c r="I6275" s="123" t="str">
        <f>IFERROR(VLOOKUP(Table1722[[#This Row],[Bukti]],Table13[#Data],11,FALSE),"")</f>
        <v/>
      </c>
    </row>
    <row r="6276" spans="1:9" hidden="1" x14ac:dyDescent="0.2">
      <c r="A6276" s="105" t="str">
        <f>IF(D6276=1,COUNTIF($D$10:D6276,1)," ")</f>
        <v xml:space="preserve"> </v>
      </c>
      <c r="B6276" s="106">
        <f>COPY!AR6268</f>
        <v>0</v>
      </c>
      <c r="C6276" s="107">
        <f>COPY!AC6268</f>
        <v>0</v>
      </c>
      <c r="D6276" s="107" t="str">
        <f>IF(LEN(Table1722[[#This Row],[Uraian]])&gt;2,1," ")</f>
        <v xml:space="preserve"> </v>
      </c>
      <c r="E6276" s="113" t="str">
        <f>IF(Table1722[[#This Row],[Lawan Transaksi]]="CV AGUNG KARYA",COUNTIF($I$10:I6276,"CV AGUNG KARYA")," ")</f>
        <v xml:space="preserve"> </v>
      </c>
      <c r="F6276" s="107" t="str">
        <f>IF(LEN(Table1722[[#This Row],[Uraian]])&gt;2,TRIM(RIGHT(SUBSTITUTE(TRIM(C6276)," ",REPT(" ",255)),255))," ")</f>
        <v xml:space="preserve"> </v>
      </c>
      <c r="G6276" s="110">
        <f>COPY!Z6268</f>
        <v>0</v>
      </c>
      <c r="H6276" s="111" t="str">
        <f>IFERROR(VLOOKUP(Table1722[[#This Row],[Bukti]],'Un nOTA'!$A$4:$K$5003,10,FALSE),"")</f>
        <v/>
      </c>
      <c r="I6276" s="123" t="str">
        <f>IFERROR(VLOOKUP(Table1722[[#This Row],[Bukti]],Table13[#Data],11,FALSE),"")</f>
        <v/>
      </c>
    </row>
    <row r="6277" spans="1:9" hidden="1" x14ac:dyDescent="0.2">
      <c r="A6277" s="105" t="str">
        <f>IF(D6277=1,COUNTIF($D$10:D6277,1)," ")</f>
        <v xml:space="preserve"> </v>
      </c>
      <c r="B6277" s="106">
        <f>COPY!AR6269</f>
        <v>0</v>
      </c>
      <c r="C6277" s="107">
        <f>COPY!AC6269</f>
        <v>0</v>
      </c>
      <c r="D6277" s="107" t="str">
        <f>IF(LEN(Table1722[[#This Row],[Uraian]])&gt;2,1," ")</f>
        <v xml:space="preserve"> </v>
      </c>
      <c r="E6277" s="113" t="str">
        <f>IF(Table1722[[#This Row],[Lawan Transaksi]]="CV AGUNG KARYA",COUNTIF($I$10:I6277,"CV AGUNG KARYA")," ")</f>
        <v xml:space="preserve"> </v>
      </c>
      <c r="F6277" s="107" t="str">
        <f>IF(LEN(Table1722[[#This Row],[Uraian]])&gt;2,TRIM(RIGHT(SUBSTITUTE(TRIM(C6277)," ",REPT(" ",255)),255))," ")</f>
        <v xml:space="preserve"> </v>
      </c>
      <c r="G6277" s="110">
        <f>COPY!Z6269</f>
        <v>0</v>
      </c>
      <c r="H6277" s="111" t="str">
        <f>IFERROR(VLOOKUP(Table1722[[#This Row],[Bukti]],'Un nOTA'!$A$4:$K$5003,10,FALSE),"")</f>
        <v/>
      </c>
      <c r="I6277" s="123" t="str">
        <f>IFERROR(VLOOKUP(Table1722[[#This Row],[Bukti]],Table13[#Data],11,FALSE),"")</f>
        <v/>
      </c>
    </row>
    <row r="6278" spans="1:9" hidden="1" x14ac:dyDescent="0.2">
      <c r="A6278" s="105" t="str">
        <f>IF(D6278=1,COUNTIF($D$10:D6278,1)," ")</f>
        <v xml:space="preserve"> </v>
      </c>
      <c r="B6278" s="106">
        <f>COPY!AR6270</f>
        <v>0</v>
      </c>
      <c r="C6278" s="107">
        <f>COPY!AC6270</f>
        <v>0</v>
      </c>
      <c r="D6278" s="107" t="str">
        <f>IF(LEN(Table1722[[#This Row],[Uraian]])&gt;2,1," ")</f>
        <v xml:space="preserve"> </v>
      </c>
      <c r="E6278" s="113" t="str">
        <f>IF(Table1722[[#This Row],[Lawan Transaksi]]="CV AGUNG KARYA",COUNTIF($I$10:I6278,"CV AGUNG KARYA")," ")</f>
        <v xml:space="preserve"> </v>
      </c>
      <c r="F6278" s="107" t="str">
        <f>IF(LEN(Table1722[[#This Row],[Uraian]])&gt;2,TRIM(RIGHT(SUBSTITUTE(TRIM(C6278)," ",REPT(" ",255)),255))," ")</f>
        <v xml:space="preserve"> </v>
      </c>
      <c r="G6278" s="110">
        <f>COPY!Z6270</f>
        <v>0</v>
      </c>
      <c r="H6278" s="111" t="str">
        <f>IFERROR(VLOOKUP(Table1722[[#This Row],[Bukti]],'Un nOTA'!$A$4:$K$5003,10,FALSE),"")</f>
        <v/>
      </c>
      <c r="I6278" s="123" t="str">
        <f>IFERROR(VLOOKUP(Table1722[[#This Row],[Bukti]],Table13[#Data],11,FALSE),"")</f>
        <v/>
      </c>
    </row>
    <row r="6279" spans="1:9" hidden="1" x14ac:dyDescent="0.2">
      <c r="A6279" s="105" t="str">
        <f>IF(D6279=1,COUNTIF($D$10:D6279,1)," ")</f>
        <v xml:space="preserve"> </v>
      </c>
      <c r="B6279" s="106">
        <f>COPY!AR6271</f>
        <v>0</v>
      </c>
      <c r="C6279" s="107">
        <f>COPY!AC6271</f>
        <v>0</v>
      </c>
      <c r="D6279" s="107" t="str">
        <f>IF(LEN(Table1722[[#This Row],[Uraian]])&gt;2,1," ")</f>
        <v xml:space="preserve"> </v>
      </c>
      <c r="E6279" s="113" t="str">
        <f>IF(Table1722[[#This Row],[Lawan Transaksi]]="CV AGUNG KARYA",COUNTIF($I$10:I6279,"CV AGUNG KARYA")," ")</f>
        <v xml:space="preserve"> </v>
      </c>
      <c r="F6279" s="107" t="str">
        <f>IF(LEN(Table1722[[#This Row],[Uraian]])&gt;2,TRIM(RIGHT(SUBSTITUTE(TRIM(C6279)," ",REPT(" ",255)),255))," ")</f>
        <v xml:space="preserve"> </v>
      </c>
      <c r="G6279" s="110">
        <f>COPY!Z6271</f>
        <v>0</v>
      </c>
      <c r="H6279" s="111" t="str">
        <f>IFERROR(VLOOKUP(Table1722[[#This Row],[Bukti]],'Un nOTA'!$A$4:$K$5003,10,FALSE),"")</f>
        <v/>
      </c>
      <c r="I6279" s="123" t="str">
        <f>IFERROR(VLOOKUP(Table1722[[#This Row],[Bukti]],Table13[#Data],11,FALSE),"")</f>
        <v/>
      </c>
    </row>
    <row r="6280" spans="1:9" hidden="1" x14ac:dyDescent="0.2">
      <c r="A6280" s="105" t="str">
        <f>IF(D6280=1,COUNTIF($D$10:D6280,1)," ")</f>
        <v xml:space="preserve"> </v>
      </c>
      <c r="B6280" s="106">
        <f>COPY!AR6272</f>
        <v>0</v>
      </c>
      <c r="C6280" s="107">
        <f>COPY!AC6272</f>
        <v>0</v>
      </c>
      <c r="D6280" s="107" t="str">
        <f>IF(LEN(Table1722[[#This Row],[Uraian]])&gt;2,1," ")</f>
        <v xml:space="preserve"> </v>
      </c>
      <c r="E6280" s="113" t="str">
        <f>IF(Table1722[[#This Row],[Lawan Transaksi]]="CV AGUNG KARYA",COUNTIF($I$10:I6280,"CV AGUNG KARYA")," ")</f>
        <v xml:space="preserve"> </v>
      </c>
      <c r="F6280" s="107" t="str">
        <f>IF(LEN(Table1722[[#This Row],[Uraian]])&gt;2,TRIM(RIGHT(SUBSTITUTE(TRIM(C6280)," ",REPT(" ",255)),255))," ")</f>
        <v xml:space="preserve"> </v>
      </c>
      <c r="G6280" s="110">
        <f>COPY!Z6272</f>
        <v>0</v>
      </c>
      <c r="H6280" s="111" t="str">
        <f>IFERROR(VLOOKUP(Table1722[[#This Row],[Bukti]],'Un nOTA'!$A$4:$K$5003,10,FALSE),"")</f>
        <v/>
      </c>
      <c r="I6280" s="123" t="str">
        <f>IFERROR(VLOOKUP(Table1722[[#This Row],[Bukti]],Table13[#Data],11,FALSE),"")</f>
        <v/>
      </c>
    </row>
    <row r="6281" spans="1:9" hidden="1" x14ac:dyDescent="0.2">
      <c r="A6281" s="105" t="str">
        <f>IF(D6281=1,COUNTIF($D$10:D6281,1)," ")</f>
        <v xml:space="preserve"> </v>
      </c>
      <c r="B6281" s="106">
        <f>COPY!AR6273</f>
        <v>0</v>
      </c>
      <c r="C6281" s="107">
        <f>COPY!AC6273</f>
        <v>0</v>
      </c>
      <c r="D6281" s="107" t="str">
        <f>IF(LEN(Table1722[[#This Row],[Uraian]])&gt;2,1," ")</f>
        <v xml:space="preserve"> </v>
      </c>
      <c r="E6281" s="113" t="str">
        <f>IF(Table1722[[#This Row],[Lawan Transaksi]]="CV AGUNG KARYA",COUNTIF($I$10:I6281,"CV AGUNG KARYA")," ")</f>
        <v xml:space="preserve"> </v>
      </c>
      <c r="F6281" s="107" t="str">
        <f>IF(LEN(Table1722[[#This Row],[Uraian]])&gt;2,TRIM(RIGHT(SUBSTITUTE(TRIM(C6281)," ",REPT(" ",255)),255))," ")</f>
        <v xml:space="preserve"> </v>
      </c>
      <c r="G6281" s="110">
        <f>COPY!Z6273</f>
        <v>0</v>
      </c>
      <c r="H6281" s="111" t="str">
        <f>IFERROR(VLOOKUP(Table1722[[#This Row],[Bukti]],'Un nOTA'!$A$4:$K$5003,10,FALSE),"")</f>
        <v/>
      </c>
      <c r="I6281" s="123" t="str">
        <f>IFERROR(VLOOKUP(Table1722[[#This Row],[Bukti]],Table13[#Data],11,FALSE),"")</f>
        <v/>
      </c>
    </row>
    <row r="6282" spans="1:9" hidden="1" x14ac:dyDescent="0.2">
      <c r="A6282" s="105" t="str">
        <f>IF(D6282=1,COUNTIF($D$10:D6282,1)," ")</f>
        <v xml:space="preserve"> </v>
      </c>
      <c r="B6282" s="106">
        <f>COPY!AR6274</f>
        <v>0</v>
      </c>
      <c r="C6282" s="107">
        <f>COPY!AC6274</f>
        <v>0</v>
      </c>
      <c r="D6282" s="107" t="str">
        <f>IF(LEN(Table1722[[#This Row],[Uraian]])&gt;2,1," ")</f>
        <v xml:space="preserve"> </v>
      </c>
      <c r="E6282" s="113" t="str">
        <f>IF(Table1722[[#This Row],[Lawan Transaksi]]="CV AGUNG KARYA",COUNTIF($I$10:I6282,"CV AGUNG KARYA")," ")</f>
        <v xml:space="preserve"> </v>
      </c>
      <c r="F6282" s="107" t="str">
        <f>IF(LEN(Table1722[[#This Row],[Uraian]])&gt;2,TRIM(RIGHT(SUBSTITUTE(TRIM(C6282)," ",REPT(" ",255)),255))," ")</f>
        <v xml:space="preserve"> </v>
      </c>
      <c r="G6282" s="110">
        <f>COPY!Z6274</f>
        <v>0</v>
      </c>
      <c r="H6282" s="111" t="str">
        <f>IFERROR(VLOOKUP(Table1722[[#This Row],[Bukti]],'Un nOTA'!$A$4:$K$5003,10,FALSE),"")</f>
        <v/>
      </c>
      <c r="I6282" s="123" t="str">
        <f>IFERROR(VLOOKUP(Table1722[[#This Row],[Bukti]],Table13[#Data],11,FALSE),"")</f>
        <v/>
      </c>
    </row>
    <row r="6283" spans="1:9" hidden="1" x14ac:dyDescent="0.2">
      <c r="A6283" s="105" t="str">
        <f>IF(D6283=1,COUNTIF($D$10:D6283,1)," ")</f>
        <v xml:space="preserve"> </v>
      </c>
      <c r="B6283" s="106">
        <f>COPY!AR6275</f>
        <v>0</v>
      </c>
      <c r="C6283" s="107">
        <f>COPY!AC6275</f>
        <v>0</v>
      </c>
      <c r="D6283" s="107" t="str">
        <f>IF(LEN(Table1722[[#This Row],[Uraian]])&gt;2,1," ")</f>
        <v xml:space="preserve"> </v>
      </c>
      <c r="E6283" s="113" t="str">
        <f>IF(Table1722[[#This Row],[Lawan Transaksi]]="CV AGUNG KARYA",COUNTIF($I$10:I6283,"CV AGUNG KARYA")," ")</f>
        <v xml:space="preserve"> </v>
      </c>
      <c r="F6283" s="107" t="str">
        <f>IF(LEN(Table1722[[#This Row],[Uraian]])&gt;2,TRIM(RIGHT(SUBSTITUTE(TRIM(C6283)," ",REPT(" ",255)),255))," ")</f>
        <v xml:space="preserve"> </v>
      </c>
      <c r="G6283" s="110">
        <f>COPY!Z6275</f>
        <v>0</v>
      </c>
      <c r="H6283" s="111" t="str">
        <f>IFERROR(VLOOKUP(Table1722[[#This Row],[Bukti]],'Un nOTA'!$A$4:$K$5003,10,FALSE),"")</f>
        <v/>
      </c>
      <c r="I6283" s="123" t="str">
        <f>IFERROR(VLOOKUP(Table1722[[#This Row],[Bukti]],Table13[#Data],11,FALSE),"")</f>
        <v/>
      </c>
    </row>
    <row r="6284" spans="1:9" hidden="1" x14ac:dyDescent="0.2">
      <c r="A6284" s="105" t="str">
        <f>IF(D6284=1,COUNTIF($D$10:D6284,1)," ")</f>
        <v xml:space="preserve"> </v>
      </c>
      <c r="B6284" s="106">
        <f>COPY!AR6276</f>
        <v>0</v>
      </c>
      <c r="C6284" s="107">
        <f>COPY!AC6276</f>
        <v>0</v>
      </c>
      <c r="D6284" s="107" t="str">
        <f>IF(LEN(Table1722[[#This Row],[Uraian]])&gt;2,1," ")</f>
        <v xml:space="preserve"> </v>
      </c>
      <c r="E6284" s="113" t="str">
        <f>IF(Table1722[[#This Row],[Lawan Transaksi]]="CV AGUNG KARYA",COUNTIF($I$10:I6284,"CV AGUNG KARYA")," ")</f>
        <v xml:space="preserve"> </v>
      </c>
      <c r="F6284" s="107" t="str">
        <f>IF(LEN(Table1722[[#This Row],[Uraian]])&gt;2,TRIM(RIGHT(SUBSTITUTE(TRIM(C6284)," ",REPT(" ",255)),255))," ")</f>
        <v xml:space="preserve"> </v>
      </c>
      <c r="G6284" s="110">
        <f>COPY!Z6276</f>
        <v>0</v>
      </c>
      <c r="H6284" s="111" t="str">
        <f>IFERROR(VLOOKUP(Table1722[[#This Row],[Bukti]],'Un nOTA'!$A$4:$K$5003,10,FALSE),"")</f>
        <v/>
      </c>
      <c r="I6284" s="123" t="str">
        <f>IFERROR(VLOOKUP(Table1722[[#This Row],[Bukti]],Table13[#Data],11,FALSE),"")</f>
        <v/>
      </c>
    </row>
    <row r="6285" spans="1:9" hidden="1" x14ac:dyDescent="0.2">
      <c r="A6285" s="105" t="str">
        <f>IF(D6285=1,COUNTIF($D$10:D6285,1)," ")</f>
        <v xml:space="preserve"> </v>
      </c>
      <c r="B6285" s="106">
        <f>COPY!AR6277</f>
        <v>0</v>
      </c>
      <c r="C6285" s="107">
        <f>COPY!AC6277</f>
        <v>0</v>
      </c>
      <c r="D6285" s="107" t="str">
        <f>IF(LEN(Table1722[[#This Row],[Uraian]])&gt;2,1," ")</f>
        <v xml:space="preserve"> </v>
      </c>
      <c r="E6285" s="113" t="str">
        <f>IF(Table1722[[#This Row],[Lawan Transaksi]]="CV AGUNG KARYA",COUNTIF($I$10:I6285,"CV AGUNG KARYA")," ")</f>
        <v xml:space="preserve"> </v>
      </c>
      <c r="F6285" s="107" t="str">
        <f>IF(LEN(Table1722[[#This Row],[Uraian]])&gt;2,TRIM(RIGHT(SUBSTITUTE(TRIM(C6285)," ",REPT(" ",255)),255))," ")</f>
        <v xml:space="preserve"> </v>
      </c>
      <c r="G6285" s="110">
        <f>COPY!Z6277</f>
        <v>0</v>
      </c>
      <c r="H6285" s="111" t="str">
        <f>IFERROR(VLOOKUP(Table1722[[#This Row],[Bukti]],'Un nOTA'!$A$4:$K$5003,10,FALSE),"")</f>
        <v/>
      </c>
      <c r="I6285" s="123" t="str">
        <f>IFERROR(VLOOKUP(Table1722[[#This Row],[Bukti]],Table13[#Data],11,FALSE),"")</f>
        <v/>
      </c>
    </row>
    <row r="6286" spans="1:9" hidden="1" x14ac:dyDescent="0.2">
      <c r="A6286" s="105" t="str">
        <f>IF(D6286=1,COUNTIF($D$10:D6286,1)," ")</f>
        <v xml:space="preserve"> </v>
      </c>
      <c r="B6286" s="106">
        <f>COPY!AR6278</f>
        <v>0</v>
      </c>
      <c r="C6286" s="107">
        <f>COPY!AC6278</f>
        <v>0</v>
      </c>
      <c r="D6286" s="107" t="str">
        <f>IF(LEN(Table1722[[#This Row],[Uraian]])&gt;2,1," ")</f>
        <v xml:space="preserve"> </v>
      </c>
      <c r="E6286" s="113" t="str">
        <f>IF(Table1722[[#This Row],[Lawan Transaksi]]="CV AGUNG KARYA",COUNTIF($I$10:I6286,"CV AGUNG KARYA")," ")</f>
        <v xml:space="preserve"> </v>
      </c>
      <c r="F6286" s="107" t="str">
        <f>IF(LEN(Table1722[[#This Row],[Uraian]])&gt;2,TRIM(RIGHT(SUBSTITUTE(TRIM(C6286)," ",REPT(" ",255)),255))," ")</f>
        <v xml:space="preserve"> </v>
      </c>
      <c r="G6286" s="110">
        <f>COPY!Z6278</f>
        <v>0</v>
      </c>
      <c r="H6286" s="111" t="str">
        <f>IFERROR(VLOOKUP(Table1722[[#This Row],[Bukti]],'Un nOTA'!$A$4:$K$5003,10,FALSE),"")</f>
        <v/>
      </c>
      <c r="I6286" s="123" t="str">
        <f>IFERROR(VLOOKUP(Table1722[[#This Row],[Bukti]],Table13[#Data],11,FALSE),"")</f>
        <v/>
      </c>
    </row>
    <row r="6287" spans="1:9" hidden="1" x14ac:dyDescent="0.2">
      <c r="A6287" s="105" t="str">
        <f>IF(D6287=1,COUNTIF($D$10:D6287,1)," ")</f>
        <v xml:space="preserve"> </v>
      </c>
      <c r="B6287" s="106">
        <f>COPY!AR6279</f>
        <v>0</v>
      </c>
      <c r="C6287" s="107">
        <f>COPY!AC6279</f>
        <v>0</v>
      </c>
      <c r="D6287" s="107" t="str">
        <f>IF(LEN(Table1722[[#This Row],[Uraian]])&gt;2,1," ")</f>
        <v xml:space="preserve"> </v>
      </c>
      <c r="E6287" s="113" t="str">
        <f>IF(Table1722[[#This Row],[Lawan Transaksi]]="CV AGUNG KARYA",COUNTIF($I$10:I6287,"CV AGUNG KARYA")," ")</f>
        <v xml:space="preserve"> </v>
      </c>
      <c r="F6287" s="107" t="str">
        <f>IF(LEN(Table1722[[#This Row],[Uraian]])&gt;2,TRIM(RIGHT(SUBSTITUTE(TRIM(C6287)," ",REPT(" ",255)),255))," ")</f>
        <v xml:space="preserve"> </v>
      </c>
      <c r="G6287" s="110">
        <f>COPY!Z6279</f>
        <v>0</v>
      </c>
      <c r="H6287" s="111" t="str">
        <f>IFERROR(VLOOKUP(Table1722[[#This Row],[Bukti]],'Un nOTA'!$A$4:$K$5003,10,FALSE),"")</f>
        <v/>
      </c>
      <c r="I6287" s="123" t="str">
        <f>IFERROR(VLOOKUP(Table1722[[#This Row],[Bukti]],Table13[#Data],11,FALSE),"")</f>
        <v/>
      </c>
    </row>
    <row r="6288" spans="1:9" hidden="1" x14ac:dyDescent="0.2">
      <c r="A6288" s="105" t="str">
        <f>IF(D6288=1,COUNTIF($D$10:D6288,1)," ")</f>
        <v xml:space="preserve"> </v>
      </c>
      <c r="B6288" s="106">
        <f>COPY!AR6280</f>
        <v>0</v>
      </c>
      <c r="C6288" s="107">
        <f>COPY!AC6280</f>
        <v>0</v>
      </c>
      <c r="D6288" s="107" t="str">
        <f>IF(LEN(Table1722[[#This Row],[Uraian]])&gt;2,1," ")</f>
        <v xml:space="preserve"> </v>
      </c>
      <c r="E6288" s="113" t="str">
        <f>IF(Table1722[[#This Row],[Lawan Transaksi]]="CV AGUNG KARYA",COUNTIF($I$10:I6288,"CV AGUNG KARYA")," ")</f>
        <v xml:space="preserve"> </v>
      </c>
      <c r="F6288" s="107" t="str">
        <f>IF(LEN(Table1722[[#This Row],[Uraian]])&gt;2,TRIM(RIGHT(SUBSTITUTE(TRIM(C6288)," ",REPT(" ",255)),255))," ")</f>
        <v xml:space="preserve"> </v>
      </c>
      <c r="G6288" s="110">
        <f>COPY!Z6280</f>
        <v>0</v>
      </c>
      <c r="H6288" s="111" t="str">
        <f>IFERROR(VLOOKUP(Table1722[[#This Row],[Bukti]],'Un nOTA'!$A$4:$K$5003,10,FALSE),"")</f>
        <v/>
      </c>
      <c r="I6288" s="123" t="str">
        <f>IFERROR(VLOOKUP(Table1722[[#This Row],[Bukti]],Table13[#Data],11,FALSE),"")</f>
        <v/>
      </c>
    </row>
    <row r="6289" spans="1:9" hidden="1" x14ac:dyDescent="0.2">
      <c r="A6289" s="105" t="str">
        <f>IF(D6289=1,COUNTIF($D$10:D6289,1)," ")</f>
        <v xml:space="preserve"> </v>
      </c>
      <c r="B6289" s="106">
        <f>COPY!AR6281</f>
        <v>0</v>
      </c>
      <c r="C6289" s="107">
        <f>COPY!AC6281</f>
        <v>0</v>
      </c>
      <c r="D6289" s="107" t="str">
        <f>IF(LEN(Table1722[[#This Row],[Uraian]])&gt;2,1," ")</f>
        <v xml:space="preserve"> </v>
      </c>
      <c r="E6289" s="113" t="str">
        <f>IF(Table1722[[#This Row],[Lawan Transaksi]]="CV AGUNG KARYA",COUNTIF($I$10:I6289,"CV AGUNG KARYA")," ")</f>
        <v xml:space="preserve"> </v>
      </c>
      <c r="F6289" s="107" t="str">
        <f>IF(LEN(Table1722[[#This Row],[Uraian]])&gt;2,TRIM(RIGHT(SUBSTITUTE(TRIM(C6289)," ",REPT(" ",255)),255))," ")</f>
        <v xml:space="preserve"> </v>
      </c>
      <c r="G6289" s="110">
        <f>COPY!Z6281</f>
        <v>0</v>
      </c>
      <c r="H6289" s="111" t="str">
        <f>IFERROR(VLOOKUP(Table1722[[#This Row],[Bukti]],'Un nOTA'!$A$4:$K$5003,10,FALSE),"")</f>
        <v/>
      </c>
      <c r="I6289" s="123" t="str">
        <f>IFERROR(VLOOKUP(Table1722[[#This Row],[Bukti]],Table13[#Data],11,FALSE),"")</f>
        <v/>
      </c>
    </row>
    <row r="6290" spans="1:9" hidden="1" x14ac:dyDescent="0.2">
      <c r="A6290" s="105" t="str">
        <f>IF(D6290=1,COUNTIF($D$10:D6290,1)," ")</f>
        <v xml:space="preserve"> </v>
      </c>
      <c r="B6290" s="106">
        <f>COPY!AR6282</f>
        <v>0</v>
      </c>
      <c r="C6290" s="107">
        <f>COPY!AC6282</f>
        <v>0</v>
      </c>
      <c r="D6290" s="107" t="str">
        <f>IF(LEN(Table1722[[#This Row],[Uraian]])&gt;2,1," ")</f>
        <v xml:space="preserve"> </v>
      </c>
      <c r="E6290" s="113" t="str">
        <f>IF(Table1722[[#This Row],[Lawan Transaksi]]="CV AGUNG KARYA",COUNTIF($I$10:I6290,"CV AGUNG KARYA")," ")</f>
        <v xml:space="preserve"> </v>
      </c>
      <c r="F6290" s="107" t="str">
        <f>IF(LEN(Table1722[[#This Row],[Uraian]])&gt;2,TRIM(RIGHT(SUBSTITUTE(TRIM(C6290)," ",REPT(" ",255)),255))," ")</f>
        <v xml:space="preserve"> </v>
      </c>
      <c r="G6290" s="110">
        <f>COPY!Z6282</f>
        <v>0</v>
      </c>
      <c r="H6290" s="111" t="str">
        <f>IFERROR(VLOOKUP(Table1722[[#This Row],[Bukti]],'Un nOTA'!$A$4:$K$5003,10,FALSE),"")</f>
        <v/>
      </c>
      <c r="I6290" s="123" t="str">
        <f>IFERROR(VLOOKUP(Table1722[[#This Row],[Bukti]],Table13[#Data],11,FALSE),"")</f>
        <v/>
      </c>
    </row>
    <row r="6291" spans="1:9" hidden="1" x14ac:dyDescent="0.2">
      <c r="A6291" s="105" t="str">
        <f>IF(D6291=1,COUNTIF($D$10:D6291,1)," ")</f>
        <v xml:space="preserve"> </v>
      </c>
      <c r="B6291" s="106">
        <f>COPY!AR6283</f>
        <v>0</v>
      </c>
      <c r="C6291" s="107">
        <f>COPY!AC6283</f>
        <v>0</v>
      </c>
      <c r="D6291" s="107" t="str">
        <f>IF(LEN(Table1722[[#This Row],[Uraian]])&gt;2,1," ")</f>
        <v xml:space="preserve"> </v>
      </c>
      <c r="E6291" s="113" t="str">
        <f>IF(Table1722[[#This Row],[Lawan Transaksi]]="CV AGUNG KARYA",COUNTIF($I$10:I6291,"CV AGUNG KARYA")," ")</f>
        <v xml:space="preserve"> </v>
      </c>
      <c r="F6291" s="107" t="str">
        <f>IF(LEN(Table1722[[#This Row],[Uraian]])&gt;2,TRIM(RIGHT(SUBSTITUTE(TRIM(C6291)," ",REPT(" ",255)),255))," ")</f>
        <v xml:space="preserve"> </v>
      </c>
      <c r="G6291" s="110">
        <f>COPY!Z6283</f>
        <v>0</v>
      </c>
      <c r="H6291" s="111" t="str">
        <f>IFERROR(VLOOKUP(Table1722[[#This Row],[Bukti]],'Un nOTA'!$A$4:$K$5003,10,FALSE),"")</f>
        <v/>
      </c>
      <c r="I6291" s="123" t="str">
        <f>IFERROR(VLOOKUP(Table1722[[#This Row],[Bukti]],Table13[#Data],11,FALSE),"")</f>
        <v/>
      </c>
    </row>
    <row r="6292" spans="1:9" hidden="1" x14ac:dyDescent="0.2">
      <c r="A6292" s="105" t="str">
        <f>IF(D6292=1,COUNTIF($D$10:D6292,1)," ")</f>
        <v xml:space="preserve"> </v>
      </c>
      <c r="B6292" s="106">
        <f>COPY!AR6284</f>
        <v>0</v>
      </c>
      <c r="C6292" s="107">
        <f>COPY!AC6284</f>
        <v>0</v>
      </c>
      <c r="D6292" s="107" t="str">
        <f>IF(LEN(Table1722[[#This Row],[Uraian]])&gt;2,1," ")</f>
        <v xml:space="preserve"> </v>
      </c>
      <c r="E6292" s="113" t="str">
        <f>IF(Table1722[[#This Row],[Lawan Transaksi]]="CV AGUNG KARYA",COUNTIF($I$10:I6292,"CV AGUNG KARYA")," ")</f>
        <v xml:space="preserve"> </v>
      </c>
      <c r="F6292" s="107" t="str">
        <f>IF(LEN(Table1722[[#This Row],[Uraian]])&gt;2,TRIM(RIGHT(SUBSTITUTE(TRIM(C6292)," ",REPT(" ",255)),255))," ")</f>
        <v xml:space="preserve"> </v>
      </c>
      <c r="G6292" s="110">
        <f>COPY!Z6284</f>
        <v>0</v>
      </c>
      <c r="H6292" s="111" t="str">
        <f>IFERROR(VLOOKUP(Table1722[[#This Row],[Bukti]],'Un nOTA'!$A$4:$K$5003,10,FALSE),"")</f>
        <v/>
      </c>
      <c r="I6292" s="123" t="str">
        <f>IFERROR(VLOOKUP(Table1722[[#This Row],[Bukti]],Table13[#Data],11,FALSE),"")</f>
        <v/>
      </c>
    </row>
    <row r="6293" spans="1:9" hidden="1" x14ac:dyDescent="0.2">
      <c r="A6293" s="105" t="str">
        <f>IF(D6293=1,COUNTIF($D$10:D6293,1)," ")</f>
        <v xml:space="preserve"> </v>
      </c>
      <c r="B6293" s="106">
        <f>COPY!AR6285</f>
        <v>0</v>
      </c>
      <c r="C6293" s="107">
        <f>COPY!AC6285</f>
        <v>0</v>
      </c>
      <c r="D6293" s="107" t="str">
        <f>IF(LEN(Table1722[[#This Row],[Uraian]])&gt;2,1," ")</f>
        <v xml:space="preserve"> </v>
      </c>
      <c r="E6293" s="113" t="str">
        <f>IF(Table1722[[#This Row],[Lawan Transaksi]]="CV AGUNG KARYA",COUNTIF($I$10:I6293,"CV AGUNG KARYA")," ")</f>
        <v xml:space="preserve"> </v>
      </c>
      <c r="F6293" s="107" t="str">
        <f>IF(LEN(Table1722[[#This Row],[Uraian]])&gt;2,TRIM(RIGHT(SUBSTITUTE(TRIM(C6293)," ",REPT(" ",255)),255))," ")</f>
        <v xml:space="preserve"> </v>
      </c>
      <c r="G6293" s="110">
        <f>COPY!Z6285</f>
        <v>0</v>
      </c>
      <c r="H6293" s="111" t="str">
        <f>IFERROR(VLOOKUP(Table1722[[#This Row],[Bukti]],'Un nOTA'!$A$4:$K$5003,10,FALSE),"")</f>
        <v/>
      </c>
      <c r="I6293" s="123" t="str">
        <f>IFERROR(VLOOKUP(Table1722[[#This Row],[Bukti]],Table13[#Data],11,FALSE),"")</f>
        <v/>
      </c>
    </row>
    <row r="6294" spans="1:9" hidden="1" x14ac:dyDescent="0.2">
      <c r="A6294" s="105" t="str">
        <f>IF(D6294=1,COUNTIF($D$10:D6294,1)," ")</f>
        <v xml:space="preserve"> </v>
      </c>
      <c r="B6294" s="106">
        <f>COPY!AR6286</f>
        <v>0</v>
      </c>
      <c r="C6294" s="107">
        <f>COPY!AC6286</f>
        <v>0</v>
      </c>
      <c r="D6294" s="107" t="str">
        <f>IF(LEN(Table1722[[#This Row],[Uraian]])&gt;2,1," ")</f>
        <v xml:space="preserve"> </v>
      </c>
      <c r="E6294" s="113" t="str">
        <f>IF(Table1722[[#This Row],[Lawan Transaksi]]="CV AGUNG KARYA",COUNTIF($I$10:I6294,"CV AGUNG KARYA")," ")</f>
        <v xml:space="preserve"> </v>
      </c>
      <c r="F6294" s="107" t="str">
        <f>IF(LEN(Table1722[[#This Row],[Uraian]])&gt;2,TRIM(RIGHT(SUBSTITUTE(TRIM(C6294)," ",REPT(" ",255)),255))," ")</f>
        <v xml:space="preserve"> </v>
      </c>
      <c r="G6294" s="110">
        <f>COPY!Z6286</f>
        <v>0</v>
      </c>
      <c r="H6294" s="111" t="str">
        <f>IFERROR(VLOOKUP(Table1722[[#This Row],[Bukti]],'Un nOTA'!$A$4:$K$5003,10,FALSE),"")</f>
        <v/>
      </c>
      <c r="I6294" s="123" t="str">
        <f>IFERROR(VLOOKUP(Table1722[[#This Row],[Bukti]],Table13[#Data],11,FALSE),"")</f>
        <v/>
      </c>
    </row>
    <row r="6295" spans="1:9" hidden="1" x14ac:dyDescent="0.2">
      <c r="A6295" s="105" t="str">
        <f>IF(D6295=1,COUNTIF($D$10:D6295,1)," ")</f>
        <v xml:space="preserve"> </v>
      </c>
      <c r="B6295" s="106">
        <f>COPY!AR6287</f>
        <v>0</v>
      </c>
      <c r="C6295" s="107">
        <f>COPY!AC6287</f>
        <v>0</v>
      </c>
      <c r="D6295" s="107" t="str">
        <f>IF(LEN(Table1722[[#This Row],[Uraian]])&gt;2,1," ")</f>
        <v xml:space="preserve"> </v>
      </c>
      <c r="E6295" s="113" t="str">
        <f>IF(Table1722[[#This Row],[Lawan Transaksi]]="CV AGUNG KARYA",COUNTIF($I$10:I6295,"CV AGUNG KARYA")," ")</f>
        <v xml:space="preserve"> </v>
      </c>
      <c r="F6295" s="107" t="str">
        <f>IF(LEN(Table1722[[#This Row],[Uraian]])&gt;2,TRIM(RIGHT(SUBSTITUTE(TRIM(C6295)," ",REPT(" ",255)),255))," ")</f>
        <v xml:space="preserve"> </v>
      </c>
      <c r="G6295" s="110">
        <f>COPY!Z6287</f>
        <v>0</v>
      </c>
      <c r="H6295" s="111" t="str">
        <f>IFERROR(VLOOKUP(Table1722[[#This Row],[Bukti]],'Un nOTA'!$A$4:$K$5003,10,FALSE),"")</f>
        <v/>
      </c>
      <c r="I6295" s="123" t="str">
        <f>IFERROR(VLOOKUP(Table1722[[#This Row],[Bukti]],Table13[#Data],11,FALSE),"")</f>
        <v/>
      </c>
    </row>
    <row r="6296" spans="1:9" hidden="1" x14ac:dyDescent="0.2">
      <c r="A6296" s="105" t="str">
        <f>IF(D6296=1,COUNTIF($D$10:D6296,1)," ")</f>
        <v xml:space="preserve"> </v>
      </c>
      <c r="B6296" s="106">
        <f>COPY!AR6288</f>
        <v>0</v>
      </c>
      <c r="C6296" s="107">
        <f>COPY!AC6288</f>
        <v>0</v>
      </c>
      <c r="D6296" s="107" t="str">
        <f>IF(LEN(Table1722[[#This Row],[Uraian]])&gt;2,1," ")</f>
        <v xml:space="preserve"> </v>
      </c>
      <c r="E6296" s="113" t="str">
        <f>IF(Table1722[[#This Row],[Lawan Transaksi]]="CV AGUNG KARYA",COUNTIF($I$10:I6296,"CV AGUNG KARYA")," ")</f>
        <v xml:space="preserve"> </v>
      </c>
      <c r="F6296" s="107" t="str">
        <f>IF(LEN(Table1722[[#This Row],[Uraian]])&gt;2,TRIM(RIGHT(SUBSTITUTE(TRIM(C6296)," ",REPT(" ",255)),255))," ")</f>
        <v xml:space="preserve"> </v>
      </c>
      <c r="G6296" s="110">
        <f>COPY!Z6288</f>
        <v>0</v>
      </c>
      <c r="H6296" s="111" t="str">
        <f>IFERROR(VLOOKUP(Table1722[[#This Row],[Bukti]],'Un nOTA'!$A$4:$K$5003,10,FALSE),"")</f>
        <v/>
      </c>
      <c r="I6296" s="123" t="str">
        <f>IFERROR(VLOOKUP(Table1722[[#This Row],[Bukti]],Table13[#Data],11,FALSE),"")</f>
        <v/>
      </c>
    </row>
    <row r="6297" spans="1:9" hidden="1" x14ac:dyDescent="0.2">
      <c r="A6297" s="105" t="str">
        <f>IF(D6297=1,COUNTIF($D$10:D6297,1)," ")</f>
        <v xml:space="preserve"> </v>
      </c>
      <c r="B6297" s="106">
        <f>COPY!AR6289</f>
        <v>0</v>
      </c>
      <c r="C6297" s="107">
        <f>COPY!AC6289</f>
        <v>0</v>
      </c>
      <c r="D6297" s="107" t="str">
        <f>IF(LEN(Table1722[[#This Row],[Uraian]])&gt;2,1," ")</f>
        <v xml:space="preserve"> </v>
      </c>
      <c r="E6297" s="113" t="str">
        <f>IF(Table1722[[#This Row],[Lawan Transaksi]]="CV AGUNG KARYA",COUNTIF($I$10:I6297,"CV AGUNG KARYA")," ")</f>
        <v xml:space="preserve"> </v>
      </c>
      <c r="F6297" s="107" t="str">
        <f>IF(LEN(Table1722[[#This Row],[Uraian]])&gt;2,TRIM(RIGHT(SUBSTITUTE(TRIM(C6297)," ",REPT(" ",255)),255))," ")</f>
        <v xml:space="preserve"> </v>
      </c>
      <c r="G6297" s="110">
        <f>COPY!Z6289</f>
        <v>0</v>
      </c>
      <c r="H6297" s="111" t="str">
        <f>IFERROR(VLOOKUP(Table1722[[#This Row],[Bukti]],'Un nOTA'!$A$4:$K$5003,10,FALSE),"")</f>
        <v/>
      </c>
      <c r="I6297" s="123" t="str">
        <f>IFERROR(VLOOKUP(Table1722[[#This Row],[Bukti]],Table13[#Data],11,FALSE),"")</f>
        <v/>
      </c>
    </row>
    <row r="6298" spans="1:9" hidden="1" x14ac:dyDescent="0.2">
      <c r="A6298" s="105" t="str">
        <f>IF(D6298=1,COUNTIF($D$10:D6298,1)," ")</f>
        <v xml:space="preserve"> </v>
      </c>
      <c r="B6298" s="106">
        <f>COPY!AR6290</f>
        <v>0</v>
      </c>
      <c r="C6298" s="107">
        <f>COPY!AC6290</f>
        <v>0</v>
      </c>
      <c r="D6298" s="107" t="str">
        <f>IF(LEN(Table1722[[#This Row],[Uraian]])&gt;2,1," ")</f>
        <v xml:space="preserve"> </v>
      </c>
      <c r="E6298" s="113" t="str">
        <f>IF(Table1722[[#This Row],[Lawan Transaksi]]="CV AGUNG KARYA",COUNTIF($I$10:I6298,"CV AGUNG KARYA")," ")</f>
        <v xml:space="preserve"> </v>
      </c>
      <c r="F6298" s="107" t="str">
        <f>IF(LEN(Table1722[[#This Row],[Uraian]])&gt;2,TRIM(RIGHT(SUBSTITUTE(TRIM(C6298)," ",REPT(" ",255)),255))," ")</f>
        <v xml:space="preserve"> </v>
      </c>
      <c r="G6298" s="110">
        <f>COPY!Z6290</f>
        <v>0</v>
      </c>
      <c r="H6298" s="111" t="str">
        <f>IFERROR(VLOOKUP(Table1722[[#This Row],[Bukti]],'Un nOTA'!$A$4:$K$5003,10,FALSE),"")</f>
        <v/>
      </c>
      <c r="I6298" s="123" t="str">
        <f>IFERROR(VLOOKUP(Table1722[[#This Row],[Bukti]],Table13[#Data],11,FALSE),"")</f>
        <v/>
      </c>
    </row>
    <row r="6299" spans="1:9" hidden="1" x14ac:dyDescent="0.2">
      <c r="A6299" s="105" t="str">
        <f>IF(D6299=1,COUNTIF($D$10:D6299,1)," ")</f>
        <v xml:space="preserve"> </v>
      </c>
      <c r="B6299" s="106">
        <f>COPY!AR6291</f>
        <v>0</v>
      </c>
      <c r="C6299" s="107">
        <f>COPY!AC6291</f>
        <v>0</v>
      </c>
      <c r="D6299" s="107" t="str">
        <f>IF(LEN(Table1722[[#This Row],[Uraian]])&gt;2,1," ")</f>
        <v xml:space="preserve"> </v>
      </c>
      <c r="E6299" s="113" t="str">
        <f>IF(Table1722[[#This Row],[Lawan Transaksi]]="CV AGUNG KARYA",COUNTIF($I$10:I6299,"CV AGUNG KARYA")," ")</f>
        <v xml:space="preserve"> </v>
      </c>
      <c r="F6299" s="107" t="str">
        <f>IF(LEN(Table1722[[#This Row],[Uraian]])&gt;2,TRIM(RIGHT(SUBSTITUTE(TRIM(C6299)," ",REPT(" ",255)),255))," ")</f>
        <v xml:space="preserve"> </v>
      </c>
      <c r="G6299" s="110">
        <f>COPY!Z6291</f>
        <v>0</v>
      </c>
      <c r="H6299" s="111" t="str">
        <f>IFERROR(VLOOKUP(Table1722[[#This Row],[Bukti]],'Un nOTA'!$A$4:$K$5003,10,FALSE),"")</f>
        <v/>
      </c>
      <c r="I6299" s="123" t="str">
        <f>IFERROR(VLOOKUP(Table1722[[#This Row],[Bukti]],Table13[#Data],11,FALSE),"")</f>
        <v/>
      </c>
    </row>
    <row r="6300" spans="1:9" hidden="1" x14ac:dyDescent="0.2">
      <c r="A6300" s="105" t="str">
        <f>IF(D6300=1,COUNTIF($D$10:D6300,1)," ")</f>
        <v xml:space="preserve"> </v>
      </c>
      <c r="B6300" s="106">
        <f>COPY!AR6292</f>
        <v>0</v>
      </c>
      <c r="C6300" s="107">
        <f>COPY!AC6292</f>
        <v>0</v>
      </c>
      <c r="D6300" s="107" t="str">
        <f>IF(LEN(Table1722[[#This Row],[Uraian]])&gt;2,1," ")</f>
        <v xml:space="preserve"> </v>
      </c>
      <c r="E6300" s="113" t="str">
        <f>IF(Table1722[[#This Row],[Lawan Transaksi]]="CV AGUNG KARYA",COUNTIF($I$10:I6300,"CV AGUNG KARYA")," ")</f>
        <v xml:space="preserve"> </v>
      </c>
      <c r="F6300" s="107" t="str">
        <f>IF(LEN(Table1722[[#This Row],[Uraian]])&gt;2,TRIM(RIGHT(SUBSTITUTE(TRIM(C6300)," ",REPT(" ",255)),255))," ")</f>
        <v xml:space="preserve"> </v>
      </c>
      <c r="G6300" s="110">
        <f>COPY!Z6292</f>
        <v>0</v>
      </c>
      <c r="H6300" s="111" t="str">
        <f>IFERROR(VLOOKUP(Table1722[[#This Row],[Bukti]],'Un nOTA'!$A$4:$K$5003,10,FALSE),"")</f>
        <v/>
      </c>
      <c r="I6300" s="123" t="str">
        <f>IFERROR(VLOOKUP(Table1722[[#This Row],[Bukti]],Table13[#Data],11,FALSE),"")</f>
        <v/>
      </c>
    </row>
    <row r="6301" spans="1:9" hidden="1" x14ac:dyDescent="0.2">
      <c r="A6301" s="105" t="str">
        <f>IF(D6301=1,COUNTIF($D$10:D6301,1)," ")</f>
        <v xml:space="preserve"> </v>
      </c>
      <c r="B6301" s="106">
        <f>COPY!AR6293</f>
        <v>0</v>
      </c>
      <c r="C6301" s="107">
        <f>COPY!AC6293</f>
        <v>0</v>
      </c>
      <c r="D6301" s="107" t="str">
        <f>IF(LEN(Table1722[[#This Row],[Uraian]])&gt;2,1," ")</f>
        <v xml:space="preserve"> </v>
      </c>
      <c r="E6301" s="113" t="str">
        <f>IF(Table1722[[#This Row],[Lawan Transaksi]]="CV AGUNG KARYA",COUNTIF($I$10:I6301,"CV AGUNG KARYA")," ")</f>
        <v xml:space="preserve"> </v>
      </c>
      <c r="F6301" s="107" t="str">
        <f>IF(LEN(Table1722[[#This Row],[Uraian]])&gt;2,TRIM(RIGHT(SUBSTITUTE(TRIM(C6301)," ",REPT(" ",255)),255))," ")</f>
        <v xml:space="preserve"> </v>
      </c>
      <c r="G6301" s="110">
        <f>COPY!Z6293</f>
        <v>0</v>
      </c>
      <c r="H6301" s="111" t="str">
        <f>IFERROR(VLOOKUP(Table1722[[#This Row],[Bukti]],'Un nOTA'!$A$4:$K$5003,10,FALSE),"")</f>
        <v/>
      </c>
      <c r="I6301" s="123" t="str">
        <f>IFERROR(VLOOKUP(Table1722[[#This Row],[Bukti]],Table13[#Data],11,FALSE),"")</f>
        <v/>
      </c>
    </row>
    <row r="6302" spans="1:9" hidden="1" x14ac:dyDescent="0.2">
      <c r="A6302" s="105" t="str">
        <f>IF(D6302=1,COUNTIF($D$10:D6302,1)," ")</f>
        <v xml:space="preserve"> </v>
      </c>
      <c r="B6302" s="106">
        <f>COPY!AR6294</f>
        <v>0</v>
      </c>
      <c r="C6302" s="107">
        <f>COPY!AC6294</f>
        <v>0</v>
      </c>
      <c r="D6302" s="107" t="str">
        <f>IF(LEN(Table1722[[#This Row],[Uraian]])&gt;2,1," ")</f>
        <v xml:space="preserve"> </v>
      </c>
      <c r="E6302" s="113" t="str">
        <f>IF(Table1722[[#This Row],[Lawan Transaksi]]="CV AGUNG KARYA",COUNTIF($I$10:I6302,"CV AGUNG KARYA")," ")</f>
        <v xml:space="preserve"> </v>
      </c>
      <c r="F6302" s="107" t="str">
        <f>IF(LEN(Table1722[[#This Row],[Uraian]])&gt;2,TRIM(RIGHT(SUBSTITUTE(TRIM(C6302)," ",REPT(" ",255)),255))," ")</f>
        <v xml:space="preserve"> </v>
      </c>
      <c r="G6302" s="110">
        <f>COPY!Z6294</f>
        <v>0</v>
      </c>
      <c r="H6302" s="111" t="str">
        <f>IFERROR(VLOOKUP(Table1722[[#This Row],[Bukti]],'Un nOTA'!$A$4:$K$5003,10,FALSE),"")</f>
        <v/>
      </c>
      <c r="I6302" s="123" t="str">
        <f>IFERROR(VLOOKUP(Table1722[[#This Row],[Bukti]],Table13[#Data],11,FALSE),"")</f>
        <v/>
      </c>
    </row>
    <row r="6303" spans="1:9" hidden="1" x14ac:dyDescent="0.2">
      <c r="A6303" s="105" t="str">
        <f>IF(D6303=1,COUNTIF($D$10:D6303,1)," ")</f>
        <v xml:space="preserve"> </v>
      </c>
      <c r="B6303" s="106">
        <f>COPY!AR6295</f>
        <v>0</v>
      </c>
      <c r="C6303" s="107">
        <f>COPY!AC6295</f>
        <v>0</v>
      </c>
      <c r="D6303" s="107" t="str">
        <f>IF(LEN(Table1722[[#This Row],[Uraian]])&gt;2,1," ")</f>
        <v xml:space="preserve"> </v>
      </c>
      <c r="E6303" s="113" t="str">
        <f>IF(Table1722[[#This Row],[Lawan Transaksi]]="CV AGUNG KARYA",COUNTIF($I$10:I6303,"CV AGUNG KARYA")," ")</f>
        <v xml:space="preserve"> </v>
      </c>
      <c r="F6303" s="107" t="str">
        <f>IF(LEN(Table1722[[#This Row],[Uraian]])&gt;2,TRIM(RIGHT(SUBSTITUTE(TRIM(C6303)," ",REPT(" ",255)),255))," ")</f>
        <v xml:space="preserve"> </v>
      </c>
      <c r="G6303" s="110">
        <f>COPY!Z6295</f>
        <v>0</v>
      </c>
      <c r="H6303" s="111" t="str">
        <f>IFERROR(VLOOKUP(Table1722[[#This Row],[Bukti]],'Un nOTA'!$A$4:$K$5003,10,FALSE),"")</f>
        <v/>
      </c>
      <c r="I6303" s="123" t="str">
        <f>IFERROR(VLOOKUP(Table1722[[#This Row],[Bukti]],Table13[#Data],11,FALSE),"")</f>
        <v/>
      </c>
    </row>
    <row r="6304" spans="1:9" hidden="1" x14ac:dyDescent="0.2">
      <c r="A6304" s="105" t="str">
        <f>IF(D6304=1,COUNTIF($D$10:D6304,1)," ")</f>
        <v xml:space="preserve"> </v>
      </c>
      <c r="B6304" s="106">
        <f>COPY!AR6296</f>
        <v>0</v>
      </c>
      <c r="C6304" s="107">
        <f>COPY!AC6296</f>
        <v>0</v>
      </c>
      <c r="D6304" s="107" t="str">
        <f>IF(LEN(Table1722[[#This Row],[Uraian]])&gt;2,1," ")</f>
        <v xml:space="preserve"> </v>
      </c>
      <c r="E6304" s="113" t="str">
        <f>IF(Table1722[[#This Row],[Lawan Transaksi]]="CV AGUNG KARYA",COUNTIF($I$10:I6304,"CV AGUNG KARYA")," ")</f>
        <v xml:space="preserve"> </v>
      </c>
      <c r="F6304" s="107" t="str">
        <f>IF(LEN(Table1722[[#This Row],[Uraian]])&gt;2,TRIM(RIGHT(SUBSTITUTE(TRIM(C6304)," ",REPT(" ",255)),255))," ")</f>
        <v xml:space="preserve"> </v>
      </c>
      <c r="G6304" s="110">
        <f>COPY!Z6296</f>
        <v>0</v>
      </c>
      <c r="H6304" s="111" t="str">
        <f>IFERROR(VLOOKUP(Table1722[[#This Row],[Bukti]],'Un nOTA'!$A$4:$K$5003,10,FALSE),"")</f>
        <v/>
      </c>
      <c r="I6304" s="123" t="str">
        <f>IFERROR(VLOOKUP(Table1722[[#This Row],[Bukti]],Table13[#Data],11,FALSE),"")</f>
        <v/>
      </c>
    </row>
    <row r="6305" spans="1:9" hidden="1" x14ac:dyDescent="0.2">
      <c r="A6305" s="105" t="str">
        <f>IF(D6305=1,COUNTIF($D$10:D6305,1)," ")</f>
        <v xml:space="preserve"> </v>
      </c>
      <c r="B6305" s="106">
        <f>COPY!AR6297</f>
        <v>0</v>
      </c>
      <c r="C6305" s="107">
        <f>COPY!AC6297</f>
        <v>0</v>
      </c>
      <c r="D6305" s="107" t="str">
        <f>IF(LEN(Table1722[[#This Row],[Uraian]])&gt;2,1," ")</f>
        <v xml:space="preserve"> </v>
      </c>
      <c r="E6305" s="113" t="str">
        <f>IF(Table1722[[#This Row],[Lawan Transaksi]]="CV AGUNG KARYA",COUNTIF($I$10:I6305,"CV AGUNG KARYA")," ")</f>
        <v xml:space="preserve"> </v>
      </c>
      <c r="F6305" s="107" t="str">
        <f>IF(LEN(Table1722[[#This Row],[Uraian]])&gt;2,TRIM(RIGHT(SUBSTITUTE(TRIM(C6305)," ",REPT(" ",255)),255))," ")</f>
        <v xml:space="preserve"> </v>
      </c>
      <c r="G6305" s="110">
        <f>COPY!Z6297</f>
        <v>0</v>
      </c>
      <c r="H6305" s="111" t="str">
        <f>IFERROR(VLOOKUP(Table1722[[#This Row],[Bukti]],'Un nOTA'!$A$4:$K$5003,10,FALSE),"")</f>
        <v/>
      </c>
      <c r="I6305" s="123" t="str">
        <f>IFERROR(VLOOKUP(Table1722[[#This Row],[Bukti]],Table13[#Data],11,FALSE),"")</f>
        <v/>
      </c>
    </row>
    <row r="6306" spans="1:9" hidden="1" x14ac:dyDescent="0.2">
      <c r="A6306" s="105" t="str">
        <f>IF(D6306=1,COUNTIF($D$10:D6306,1)," ")</f>
        <v xml:space="preserve"> </v>
      </c>
      <c r="B6306" s="106">
        <f>COPY!AR6298</f>
        <v>0</v>
      </c>
      <c r="C6306" s="107">
        <f>COPY!AC6298</f>
        <v>0</v>
      </c>
      <c r="D6306" s="107" t="str">
        <f>IF(LEN(Table1722[[#This Row],[Uraian]])&gt;2,1," ")</f>
        <v xml:space="preserve"> </v>
      </c>
      <c r="E6306" s="113" t="str">
        <f>IF(Table1722[[#This Row],[Lawan Transaksi]]="CV AGUNG KARYA",COUNTIF($I$10:I6306,"CV AGUNG KARYA")," ")</f>
        <v xml:space="preserve"> </v>
      </c>
      <c r="F6306" s="107" t="str">
        <f>IF(LEN(Table1722[[#This Row],[Uraian]])&gt;2,TRIM(RIGHT(SUBSTITUTE(TRIM(C6306)," ",REPT(" ",255)),255))," ")</f>
        <v xml:space="preserve"> </v>
      </c>
      <c r="G6306" s="110">
        <f>COPY!Z6298</f>
        <v>0</v>
      </c>
      <c r="H6306" s="111" t="str">
        <f>IFERROR(VLOOKUP(Table1722[[#This Row],[Bukti]],'Un nOTA'!$A$4:$K$5003,10,FALSE),"")</f>
        <v/>
      </c>
      <c r="I6306" s="123" t="str">
        <f>IFERROR(VLOOKUP(Table1722[[#This Row],[Bukti]],Table13[#Data],11,FALSE),"")</f>
        <v/>
      </c>
    </row>
    <row r="6307" spans="1:9" hidden="1" x14ac:dyDescent="0.2">
      <c r="A6307" s="105" t="str">
        <f>IF(D6307=1,COUNTIF($D$10:D6307,1)," ")</f>
        <v xml:space="preserve"> </v>
      </c>
      <c r="B6307" s="106">
        <f>COPY!AR6299</f>
        <v>0</v>
      </c>
      <c r="C6307" s="107">
        <f>COPY!AC6299</f>
        <v>0</v>
      </c>
      <c r="D6307" s="107" t="str">
        <f>IF(LEN(Table1722[[#This Row],[Uraian]])&gt;2,1," ")</f>
        <v xml:space="preserve"> </v>
      </c>
      <c r="E6307" s="113" t="str">
        <f>IF(Table1722[[#This Row],[Lawan Transaksi]]="CV AGUNG KARYA",COUNTIF($I$10:I6307,"CV AGUNG KARYA")," ")</f>
        <v xml:space="preserve"> </v>
      </c>
      <c r="F6307" s="107" t="str">
        <f>IF(LEN(Table1722[[#This Row],[Uraian]])&gt;2,TRIM(RIGHT(SUBSTITUTE(TRIM(C6307)," ",REPT(" ",255)),255))," ")</f>
        <v xml:space="preserve"> </v>
      </c>
      <c r="G6307" s="110">
        <f>COPY!Z6299</f>
        <v>0</v>
      </c>
      <c r="H6307" s="111" t="str">
        <f>IFERROR(VLOOKUP(Table1722[[#This Row],[Bukti]],'Un nOTA'!$A$4:$K$5003,10,FALSE),"")</f>
        <v/>
      </c>
      <c r="I6307" s="123" t="str">
        <f>IFERROR(VLOOKUP(Table1722[[#This Row],[Bukti]],Table13[#Data],11,FALSE),"")</f>
        <v/>
      </c>
    </row>
    <row r="6308" spans="1:9" hidden="1" x14ac:dyDescent="0.2">
      <c r="A6308" s="105" t="str">
        <f>IF(D6308=1,COUNTIF($D$10:D6308,1)," ")</f>
        <v xml:space="preserve"> </v>
      </c>
      <c r="B6308" s="106">
        <f>COPY!AR6300</f>
        <v>0</v>
      </c>
      <c r="C6308" s="107">
        <f>COPY!AC6300</f>
        <v>0</v>
      </c>
      <c r="D6308" s="107" t="str">
        <f>IF(LEN(Table1722[[#This Row],[Uraian]])&gt;2,1," ")</f>
        <v xml:space="preserve"> </v>
      </c>
      <c r="E6308" s="113" t="str">
        <f>IF(Table1722[[#This Row],[Lawan Transaksi]]="CV AGUNG KARYA",COUNTIF($I$10:I6308,"CV AGUNG KARYA")," ")</f>
        <v xml:space="preserve"> </v>
      </c>
      <c r="F6308" s="107" t="str">
        <f>IF(LEN(Table1722[[#This Row],[Uraian]])&gt;2,TRIM(RIGHT(SUBSTITUTE(TRIM(C6308)," ",REPT(" ",255)),255))," ")</f>
        <v xml:space="preserve"> </v>
      </c>
      <c r="G6308" s="110">
        <f>COPY!Z6300</f>
        <v>0</v>
      </c>
      <c r="H6308" s="111" t="str">
        <f>IFERROR(VLOOKUP(Table1722[[#This Row],[Bukti]],'Un nOTA'!$A$4:$K$5003,10,FALSE),"")</f>
        <v/>
      </c>
      <c r="I6308" s="123" t="str">
        <f>IFERROR(VLOOKUP(Table1722[[#This Row],[Bukti]],Table13[#Data],11,FALSE),"")</f>
        <v/>
      </c>
    </row>
    <row r="6309" spans="1:9" hidden="1" x14ac:dyDescent="0.2">
      <c r="A6309" s="105" t="str">
        <f>IF(D6309=1,COUNTIF($D$10:D6309,1)," ")</f>
        <v xml:space="preserve"> </v>
      </c>
      <c r="B6309" s="106">
        <f>COPY!AR6301</f>
        <v>0</v>
      </c>
      <c r="C6309" s="107">
        <f>COPY!AC6301</f>
        <v>0</v>
      </c>
      <c r="D6309" s="107" t="str">
        <f>IF(LEN(Table1722[[#This Row],[Uraian]])&gt;2,1," ")</f>
        <v xml:space="preserve"> </v>
      </c>
      <c r="E6309" s="113" t="str">
        <f>IF(Table1722[[#This Row],[Lawan Transaksi]]="CV AGUNG KARYA",COUNTIF($I$10:I6309,"CV AGUNG KARYA")," ")</f>
        <v xml:space="preserve"> </v>
      </c>
      <c r="F6309" s="107" t="str">
        <f>IF(LEN(Table1722[[#This Row],[Uraian]])&gt;2,TRIM(RIGHT(SUBSTITUTE(TRIM(C6309)," ",REPT(" ",255)),255))," ")</f>
        <v xml:space="preserve"> </v>
      </c>
      <c r="G6309" s="110">
        <f>COPY!Z6301</f>
        <v>0</v>
      </c>
      <c r="H6309" s="111" t="str">
        <f>IFERROR(VLOOKUP(Table1722[[#This Row],[Bukti]],'Un nOTA'!$A$4:$K$5003,10,FALSE),"")</f>
        <v/>
      </c>
      <c r="I6309" s="123" t="str">
        <f>IFERROR(VLOOKUP(Table1722[[#This Row],[Bukti]],Table13[#Data],11,FALSE),"")</f>
        <v/>
      </c>
    </row>
    <row r="6310" spans="1:9" hidden="1" x14ac:dyDescent="0.2">
      <c r="A6310" s="105" t="str">
        <f>IF(D6310=1,COUNTIF($D$10:D6310,1)," ")</f>
        <v xml:space="preserve"> </v>
      </c>
      <c r="B6310" s="106">
        <f>COPY!AR6302</f>
        <v>0</v>
      </c>
      <c r="C6310" s="107">
        <f>COPY!AC6302</f>
        <v>0</v>
      </c>
      <c r="D6310" s="107" t="str">
        <f>IF(LEN(Table1722[[#This Row],[Uraian]])&gt;2,1," ")</f>
        <v xml:space="preserve"> </v>
      </c>
      <c r="E6310" s="113" t="str">
        <f>IF(Table1722[[#This Row],[Lawan Transaksi]]="CV AGUNG KARYA",COUNTIF($I$10:I6310,"CV AGUNG KARYA")," ")</f>
        <v xml:space="preserve"> </v>
      </c>
      <c r="F6310" s="107" t="str">
        <f>IF(LEN(Table1722[[#This Row],[Uraian]])&gt;2,TRIM(RIGHT(SUBSTITUTE(TRIM(C6310)," ",REPT(" ",255)),255))," ")</f>
        <v xml:space="preserve"> </v>
      </c>
      <c r="G6310" s="110">
        <f>COPY!Z6302</f>
        <v>0</v>
      </c>
      <c r="H6310" s="111" t="str">
        <f>IFERROR(VLOOKUP(Table1722[[#This Row],[Bukti]],'Un nOTA'!$A$4:$K$5003,10,FALSE),"")</f>
        <v/>
      </c>
      <c r="I6310" s="123" t="str">
        <f>IFERROR(VLOOKUP(Table1722[[#This Row],[Bukti]],Table13[#Data],11,FALSE),"")</f>
        <v/>
      </c>
    </row>
    <row r="6311" spans="1:9" hidden="1" x14ac:dyDescent="0.2">
      <c r="A6311" s="105" t="str">
        <f>IF(D6311=1,COUNTIF($D$10:D6311,1)," ")</f>
        <v xml:space="preserve"> </v>
      </c>
      <c r="B6311" s="106">
        <f>COPY!AR6303</f>
        <v>0</v>
      </c>
      <c r="C6311" s="107">
        <f>COPY!AC6303</f>
        <v>0</v>
      </c>
      <c r="D6311" s="107" t="str">
        <f>IF(LEN(Table1722[[#This Row],[Uraian]])&gt;2,1," ")</f>
        <v xml:space="preserve"> </v>
      </c>
      <c r="E6311" s="113" t="str">
        <f>IF(Table1722[[#This Row],[Lawan Transaksi]]="CV AGUNG KARYA",COUNTIF($I$10:I6311,"CV AGUNG KARYA")," ")</f>
        <v xml:space="preserve"> </v>
      </c>
      <c r="F6311" s="107" t="str">
        <f>IF(LEN(Table1722[[#This Row],[Uraian]])&gt;2,TRIM(RIGHT(SUBSTITUTE(TRIM(C6311)," ",REPT(" ",255)),255))," ")</f>
        <v xml:space="preserve"> </v>
      </c>
      <c r="G6311" s="110">
        <f>COPY!Z6303</f>
        <v>0</v>
      </c>
      <c r="H6311" s="111" t="str">
        <f>IFERROR(VLOOKUP(Table1722[[#This Row],[Bukti]],'Un nOTA'!$A$4:$K$5003,10,FALSE),"")</f>
        <v/>
      </c>
      <c r="I6311" s="123" t="str">
        <f>IFERROR(VLOOKUP(Table1722[[#This Row],[Bukti]],Table13[#Data],11,FALSE),"")</f>
        <v/>
      </c>
    </row>
    <row r="6312" spans="1:9" hidden="1" x14ac:dyDescent="0.2">
      <c r="A6312" s="105" t="str">
        <f>IF(D6312=1,COUNTIF($D$10:D6312,1)," ")</f>
        <v xml:space="preserve"> </v>
      </c>
      <c r="B6312" s="106">
        <f>COPY!AR6304</f>
        <v>0</v>
      </c>
      <c r="C6312" s="107">
        <f>COPY!AC6304</f>
        <v>0</v>
      </c>
      <c r="D6312" s="107" t="str">
        <f>IF(LEN(Table1722[[#This Row],[Uraian]])&gt;2,1," ")</f>
        <v xml:space="preserve"> </v>
      </c>
      <c r="E6312" s="113" t="str">
        <f>IF(Table1722[[#This Row],[Lawan Transaksi]]="CV AGUNG KARYA",COUNTIF($I$10:I6312,"CV AGUNG KARYA")," ")</f>
        <v xml:space="preserve"> </v>
      </c>
      <c r="F6312" s="107" t="str">
        <f>IF(LEN(Table1722[[#This Row],[Uraian]])&gt;2,TRIM(RIGHT(SUBSTITUTE(TRIM(C6312)," ",REPT(" ",255)),255))," ")</f>
        <v xml:space="preserve"> </v>
      </c>
      <c r="G6312" s="110">
        <f>COPY!Z6304</f>
        <v>0</v>
      </c>
      <c r="H6312" s="111" t="str">
        <f>IFERROR(VLOOKUP(Table1722[[#This Row],[Bukti]],'Un nOTA'!$A$4:$K$5003,10,FALSE),"")</f>
        <v/>
      </c>
      <c r="I6312" s="123" t="str">
        <f>IFERROR(VLOOKUP(Table1722[[#This Row],[Bukti]],Table13[#Data],11,FALSE),"")</f>
        <v/>
      </c>
    </row>
    <row r="6313" spans="1:9" hidden="1" x14ac:dyDescent="0.2">
      <c r="A6313" s="105" t="str">
        <f>IF(D6313=1,COUNTIF($D$10:D6313,1)," ")</f>
        <v xml:space="preserve"> </v>
      </c>
      <c r="B6313" s="106">
        <f>COPY!AR6305</f>
        <v>0</v>
      </c>
      <c r="C6313" s="107">
        <f>COPY!AC6305</f>
        <v>0</v>
      </c>
      <c r="D6313" s="107" t="str">
        <f>IF(LEN(Table1722[[#This Row],[Uraian]])&gt;2,1," ")</f>
        <v xml:space="preserve"> </v>
      </c>
      <c r="E6313" s="113" t="str">
        <f>IF(Table1722[[#This Row],[Lawan Transaksi]]="CV AGUNG KARYA",COUNTIF($I$10:I6313,"CV AGUNG KARYA")," ")</f>
        <v xml:space="preserve"> </v>
      </c>
      <c r="F6313" s="107" t="str">
        <f>IF(LEN(Table1722[[#This Row],[Uraian]])&gt;2,TRIM(RIGHT(SUBSTITUTE(TRIM(C6313)," ",REPT(" ",255)),255))," ")</f>
        <v xml:space="preserve"> </v>
      </c>
      <c r="G6313" s="110">
        <f>COPY!Z6305</f>
        <v>0</v>
      </c>
      <c r="H6313" s="111" t="str">
        <f>IFERROR(VLOOKUP(Table1722[[#This Row],[Bukti]],'Un nOTA'!$A$4:$K$5003,10,FALSE),"")</f>
        <v/>
      </c>
      <c r="I6313" s="123" t="str">
        <f>IFERROR(VLOOKUP(Table1722[[#This Row],[Bukti]],Table13[#Data],11,FALSE),"")</f>
        <v/>
      </c>
    </row>
    <row r="6314" spans="1:9" hidden="1" x14ac:dyDescent="0.2">
      <c r="A6314" s="105" t="str">
        <f>IF(D6314=1,COUNTIF($D$10:D6314,1)," ")</f>
        <v xml:space="preserve"> </v>
      </c>
      <c r="B6314" s="106">
        <f>COPY!AR6306</f>
        <v>0</v>
      </c>
      <c r="C6314" s="107">
        <f>COPY!AC6306</f>
        <v>0</v>
      </c>
      <c r="D6314" s="107" t="str">
        <f>IF(LEN(Table1722[[#This Row],[Uraian]])&gt;2,1," ")</f>
        <v xml:space="preserve"> </v>
      </c>
      <c r="E6314" s="113" t="str">
        <f>IF(Table1722[[#This Row],[Lawan Transaksi]]="CV AGUNG KARYA",COUNTIF($I$10:I6314,"CV AGUNG KARYA")," ")</f>
        <v xml:space="preserve"> </v>
      </c>
      <c r="F6314" s="107" t="str">
        <f>IF(LEN(Table1722[[#This Row],[Uraian]])&gt;2,TRIM(RIGHT(SUBSTITUTE(TRIM(C6314)," ",REPT(" ",255)),255))," ")</f>
        <v xml:space="preserve"> </v>
      </c>
      <c r="G6314" s="110">
        <f>COPY!Z6306</f>
        <v>0</v>
      </c>
      <c r="H6314" s="111" t="str">
        <f>IFERROR(VLOOKUP(Table1722[[#This Row],[Bukti]],'Un nOTA'!$A$4:$K$5003,10,FALSE),"")</f>
        <v/>
      </c>
      <c r="I6314" s="123" t="str">
        <f>IFERROR(VLOOKUP(Table1722[[#This Row],[Bukti]],Table13[#Data],11,FALSE),"")</f>
        <v/>
      </c>
    </row>
    <row r="6315" spans="1:9" hidden="1" x14ac:dyDescent="0.2">
      <c r="A6315" s="105" t="str">
        <f>IF(D6315=1,COUNTIF($D$10:D6315,1)," ")</f>
        <v xml:space="preserve"> </v>
      </c>
      <c r="B6315" s="106">
        <f>COPY!AR6307</f>
        <v>0</v>
      </c>
      <c r="C6315" s="107">
        <f>COPY!AC6307</f>
        <v>0</v>
      </c>
      <c r="D6315" s="107" t="str">
        <f>IF(LEN(Table1722[[#This Row],[Uraian]])&gt;2,1," ")</f>
        <v xml:space="preserve"> </v>
      </c>
      <c r="E6315" s="113" t="str">
        <f>IF(Table1722[[#This Row],[Lawan Transaksi]]="CV AGUNG KARYA",COUNTIF($I$10:I6315,"CV AGUNG KARYA")," ")</f>
        <v xml:space="preserve"> </v>
      </c>
      <c r="F6315" s="107" t="str">
        <f>IF(LEN(Table1722[[#This Row],[Uraian]])&gt;2,TRIM(RIGHT(SUBSTITUTE(TRIM(C6315)," ",REPT(" ",255)),255))," ")</f>
        <v xml:space="preserve"> </v>
      </c>
      <c r="G6315" s="110">
        <f>COPY!Z6307</f>
        <v>0</v>
      </c>
      <c r="H6315" s="111" t="str">
        <f>IFERROR(VLOOKUP(Table1722[[#This Row],[Bukti]],'Un nOTA'!$A$4:$K$5003,10,FALSE),"")</f>
        <v/>
      </c>
      <c r="I6315" s="123" t="str">
        <f>IFERROR(VLOOKUP(Table1722[[#This Row],[Bukti]],Table13[#Data],11,FALSE),"")</f>
        <v/>
      </c>
    </row>
    <row r="6316" spans="1:9" hidden="1" x14ac:dyDescent="0.2">
      <c r="A6316" s="105" t="str">
        <f>IF(D6316=1,COUNTIF($D$10:D6316,1)," ")</f>
        <v xml:space="preserve"> </v>
      </c>
      <c r="B6316" s="106">
        <f>COPY!AR6308</f>
        <v>0</v>
      </c>
      <c r="C6316" s="107">
        <f>COPY!AC6308</f>
        <v>0</v>
      </c>
      <c r="D6316" s="107" t="str">
        <f>IF(LEN(Table1722[[#This Row],[Uraian]])&gt;2,1," ")</f>
        <v xml:space="preserve"> </v>
      </c>
      <c r="E6316" s="113" t="str">
        <f>IF(Table1722[[#This Row],[Lawan Transaksi]]="CV AGUNG KARYA",COUNTIF($I$10:I6316,"CV AGUNG KARYA")," ")</f>
        <v xml:space="preserve"> </v>
      </c>
      <c r="F6316" s="107" t="str">
        <f>IF(LEN(Table1722[[#This Row],[Uraian]])&gt;2,TRIM(RIGHT(SUBSTITUTE(TRIM(C6316)," ",REPT(" ",255)),255))," ")</f>
        <v xml:space="preserve"> </v>
      </c>
      <c r="G6316" s="110">
        <f>COPY!Z6308</f>
        <v>0</v>
      </c>
      <c r="H6316" s="111" t="str">
        <f>IFERROR(VLOOKUP(Table1722[[#This Row],[Bukti]],'Un nOTA'!$A$4:$K$5003,10,FALSE),"")</f>
        <v/>
      </c>
      <c r="I6316" s="123" t="str">
        <f>IFERROR(VLOOKUP(Table1722[[#This Row],[Bukti]],Table13[#Data],11,FALSE),"")</f>
        <v/>
      </c>
    </row>
    <row r="6317" spans="1:9" hidden="1" x14ac:dyDescent="0.2">
      <c r="A6317" s="105" t="str">
        <f>IF(D6317=1,COUNTIF($D$10:D6317,1)," ")</f>
        <v xml:space="preserve"> </v>
      </c>
      <c r="B6317" s="106">
        <f>COPY!AR6309</f>
        <v>0</v>
      </c>
      <c r="C6317" s="107">
        <f>COPY!AC6309</f>
        <v>0</v>
      </c>
      <c r="D6317" s="107" t="str">
        <f>IF(LEN(Table1722[[#This Row],[Uraian]])&gt;2,1," ")</f>
        <v xml:space="preserve"> </v>
      </c>
      <c r="E6317" s="113" t="str">
        <f>IF(Table1722[[#This Row],[Lawan Transaksi]]="CV AGUNG KARYA",COUNTIF($I$10:I6317,"CV AGUNG KARYA")," ")</f>
        <v xml:space="preserve"> </v>
      </c>
      <c r="F6317" s="107" t="str">
        <f>IF(LEN(Table1722[[#This Row],[Uraian]])&gt;2,TRIM(RIGHT(SUBSTITUTE(TRIM(C6317)," ",REPT(" ",255)),255))," ")</f>
        <v xml:space="preserve"> </v>
      </c>
      <c r="G6317" s="110">
        <f>COPY!Z6309</f>
        <v>0</v>
      </c>
      <c r="H6317" s="111" t="str">
        <f>IFERROR(VLOOKUP(Table1722[[#This Row],[Bukti]],'Un nOTA'!$A$4:$K$5003,10,FALSE),"")</f>
        <v/>
      </c>
      <c r="I6317" s="123" t="str">
        <f>IFERROR(VLOOKUP(Table1722[[#This Row],[Bukti]],Table13[#Data],11,FALSE),"")</f>
        <v/>
      </c>
    </row>
    <row r="6318" spans="1:9" hidden="1" x14ac:dyDescent="0.2">
      <c r="A6318" s="105" t="str">
        <f>IF(D6318=1,COUNTIF($D$10:D6318,1)," ")</f>
        <v xml:space="preserve"> </v>
      </c>
      <c r="B6318" s="106">
        <f>COPY!AR6310</f>
        <v>0</v>
      </c>
      <c r="C6318" s="107">
        <f>COPY!AC6310</f>
        <v>0</v>
      </c>
      <c r="D6318" s="107" t="str">
        <f>IF(LEN(Table1722[[#This Row],[Uraian]])&gt;2,1," ")</f>
        <v xml:space="preserve"> </v>
      </c>
      <c r="E6318" s="113" t="str">
        <f>IF(Table1722[[#This Row],[Lawan Transaksi]]="CV AGUNG KARYA",COUNTIF($I$10:I6318,"CV AGUNG KARYA")," ")</f>
        <v xml:space="preserve"> </v>
      </c>
      <c r="F6318" s="107" t="str">
        <f>IF(LEN(Table1722[[#This Row],[Uraian]])&gt;2,TRIM(RIGHT(SUBSTITUTE(TRIM(C6318)," ",REPT(" ",255)),255))," ")</f>
        <v xml:space="preserve"> </v>
      </c>
      <c r="G6318" s="110">
        <f>COPY!Z6310</f>
        <v>0</v>
      </c>
      <c r="H6318" s="111" t="str">
        <f>IFERROR(VLOOKUP(Table1722[[#This Row],[Bukti]],'Un nOTA'!$A$4:$K$5003,10,FALSE),"")</f>
        <v/>
      </c>
      <c r="I6318" s="123" t="str">
        <f>IFERROR(VLOOKUP(Table1722[[#This Row],[Bukti]],Table13[#Data],11,FALSE),"")</f>
        <v/>
      </c>
    </row>
    <row r="6319" spans="1:9" hidden="1" x14ac:dyDescent="0.2">
      <c r="A6319" s="105" t="str">
        <f>IF(D6319=1,COUNTIF($D$10:D6319,1)," ")</f>
        <v xml:space="preserve"> </v>
      </c>
      <c r="B6319" s="106">
        <f>COPY!AR6311</f>
        <v>0</v>
      </c>
      <c r="C6319" s="107">
        <f>COPY!AC6311</f>
        <v>0</v>
      </c>
      <c r="D6319" s="107" t="str">
        <f>IF(LEN(Table1722[[#This Row],[Uraian]])&gt;2,1," ")</f>
        <v xml:space="preserve"> </v>
      </c>
      <c r="E6319" s="113" t="str">
        <f>IF(Table1722[[#This Row],[Lawan Transaksi]]="CV AGUNG KARYA",COUNTIF($I$10:I6319,"CV AGUNG KARYA")," ")</f>
        <v xml:space="preserve"> </v>
      </c>
      <c r="F6319" s="107" t="str">
        <f>IF(LEN(Table1722[[#This Row],[Uraian]])&gt;2,TRIM(RIGHT(SUBSTITUTE(TRIM(C6319)," ",REPT(" ",255)),255))," ")</f>
        <v xml:space="preserve"> </v>
      </c>
      <c r="G6319" s="110">
        <f>COPY!Z6311</f>
        <v>0</v>
      </c>
      <c r="H6319" s="111" t="str">
        <f>IFERROR(VLOOKUP(Table1722[[#This Row],[Bukti]],'Un nOTA'!$A$4:$K$5003,10,FALSE),"")</f>
        <v/>
      </c>
      <c r="I6319" s="123" t="str">
        <f>IFERROR(VLOOKUP(Table1722[[#This Row],[Bukti]],Table13[#Data],11,FALSE),"")</f>
        <v/>
      </c>
    </row>
    <row r="6320" spans="1:9" hidden="1" x14ac:dyDescent="0.2">
      <c r="A6320" s="105" t="str">
        <f>IF(D6320=1,COUNTIF($D$10:D6320,1)," ")</f>
        <v xml:space="preserve"> </v>
      </c>
      <c r="B6320" s="106">
        <f>COPY!AR6312</f>
        <v>0</v>
      </c>
      <c r="C6320" s="107">
        <f>COPY!AC6312</f>
        <v>0</v>
      </c>
      <c r="D6320" s="107" t="str">
        <f>IF(LEN(Table1722[[#This Row],[Uraian]])&gt;2,1," ")</f>
        <v xml:space="preserve"> </v>
      </c>
      <c r="E6320" s="113" t="str">
        <f>IF(Table1722[[#This Row],[Lawan Transaksi]]="CV AGUNG KARYA",COUNTIF($I$10:I6320,"CV AGUNG KARYA")," ")</f>
        <v xml:space="preserve"> </v>
      </c>
      <c r="F6320" s="107" t="str">
        <f>IF(LEN(Table1722[[#This Row],[Uraian]])&gt;2,TRIM(RIGHT(SUBSTITUTE(TRIM(C6320)," ",REPT(" ",255)),255))," ")</f>
        <v xml:space="preserve"> </v>
      </c>
      <c r="G6320" s="110">
        <f>COPY!Z6312</f>
        <v>0</v>
      </c>
      <c r="H6320" s="111" t="str">
        <f>IFERROR(VLOOKUP(Table1722[[#This Row],[Bukti]],'Un nOTA'!$A$4:$K$5003,10,FALSE),"")</f>
        <v/>
      </c>
      <c r="I6320" s="123" t="str">
        <f>IFERROR(VLOOKUP(Table1722[[#This Row],[Bukti]],Table13[#Data],11,FALSE),"")</f>
        <v/>
      </c>
    </row>
    <row r="6321" spans="1:9" hidden="1" x14ac:dyDescent="0.2">
      <c r="A6321" s="105" t="str">
        <f>IF(D6321=1,COUNTIF($D$10:D6321,1)," ")</f>
        <v xml:space="preserve"> </v>
      </c>
      <c r="B6321" s="106">
        <f>COPY!AR6313</f>
        <v>0</v>
      </c>
      <c r="C6321" s="107">
        <f>COPY!AC6313</f>
        <v>0</v>
      </c>
      <c r="D6321" s="107" t="str">
        <f>IF(LEN(Table1722[[#This Row],[Uraian]])&gt;2,1," ")</f>
        <v xml:space="preserve"> </v>
      </c>
      <c r="E6321" s="113" t="str">
        <f>IF(Table1722[[#This Row],[Lawan Transaksi]]="CV AGUNG KARYA",COUNTIF($I$10:I6321,"CV AGUNG KARYA")," ")</f>
        <v xml:space="preserve"> </v>
      </c>
      <c r="F6321" s="107" t="str">
        <f>IF(LEN(Table1722[[#This Row],[Uraian]])&gt;2,TRIM(RIGHT(SUBSTITUTE(TRIM(C6321)," ",REPT(" ",255)),255))," ")</f>
        <v xml:space="preserve"> </v>
      </c>
      <c r="G6321" s="110">
        <f>COPY!Z6313</f>
        <v>0</v>
      </c>
      <c r="H6321" s="111" t="str">
        <f>IFERROR(VLOOKUP(Table1722[[#This Row],[Bukti]],'Un nOTA'!$A$4:$K$5003,10,FALSE),"")</f>
        <v/>
      </c>
      <c r="I6321" s="123" t="str">
        <f>IFERROR(VLOOKUP(Table1722[[#This Row],[Bukti]],Table13[#Data],11,FALSE),"")</f>
        <v/>
      </c>
    </row>
    <row r="6322" spans="1:9" hidden="1" x14ac:dyDescent="0.2">
      <c r="A6322" s="105" t="str">
        <f>IF(D6322=1,COUNTIF($D$10:D6322,1)," ")</f>
        <v xml:space="preserve"> </v>
      </c>
      <c r="B6322" s="106">
        <f>COPY!AR6314</f>
        <v>0</v>
      </c>
      <c r="C6322" s="107">
        <f>COPY!AC6314</f>
        <v>0</v>
      </c>
      <c r="D6322" s="107" t="str">
        <f>IF(LEN(Table1722[[#This Row],[Uraian]])&gt;2,1," ")</f>
        <v xml:space="preserve"> </v>
      </c>
      <c r="E6322" s="113" t="str">
        <f>IF(Table1722[[#This Row],[Lawan Transaksi]]="CV AGUNG KARYA",COUNTIF($I$10:I6322,"CV AGUNG KARYA")," ")</f>
        <v xml:space="preserve"> </v>
      </c>
      <c r="F6322" s="107" t="str">
        <f>IF(LEN(Table1722[[#This Row],[Uraian]])&gt;2,TRIM(RIGHT(SUBSTITUTE(TRIM(C6322)," ",REPT(" ",255)),255))," ")</f>
        <v xml:space="preserve"> </v>
      </c>
      <c r="G6322" s="110">
        <f>COPY!Z6314</f>
        <v>0</v>
      </c>
      <c r="H6322" s="111" t="str">
        <f>IFERROR(VLOOKUP(Table1722[[#This Row],[Bukti]],'Un nOTA'!$A$4:$K$5003,10,FALSE),"")</f>
        <v/>
      </c>
      <c r="I6322" s="123" t="str">
        <f>IFERROR(VLOOKUP(Table1722[[#This Row],[Bukti]],Table13[#Data],11,FALSE),"")</f>
        <v/>
      </c>
    </row>
    <row r="6323" spans="1:9" hidden="1" x14ac:dyDescent="0.2">
      <c r="A6323" s="105" t="str">
        <f>IF(D6323=1,COUNTIF($D$10:D6323,1)," ")</f>
        <v xml:space="preserve"> </v>
      </c>
      <c r="B6323" s="106">
        <f>COPY!AR6315</f>
        <v>0</v>
      </c>
      <c r="C6323" s="107">
        <f>COPY!AC6315</f>
        <v>0</v>
      </c>
      <c r="D6323" s="107" t="str">
        <f>IF(LEN(Table1722[[#This Row],[Uraian]])&gt;2,1," ")</f>
        <v xml:space="preserve"> </v>
      </c>
      <c r="E6323" s="113" t="str">
        <f>IF(Table1722[[#This Row],[Lawan Transaksi]]="CV AGUNG KARYA",COUNTIF($I$10:I6323,"CV AGUNG KARYA")," ")</f>
        <v xml:space="preserve"> </v>
      </c>
      <c r="F6323" s="107" t="str">
        <f>IF(LEN(Table1722[[#This Row],[Uraian]])&gt;2,TRIM(RIGHT(SUBSTITUTE(TRIM(C6323)," ",REPT(" ",255)),255))," ")</f>
        <v xml:space="preserve"> </v>
      </c>
      <c r="G6323" s="110">
        <f>COPY!Z6315</f>
        <v>0</v>
      </c>
      <c r="H6323" s="111" t="str">
        <f>IFERROR(VLOOKUP(Table1722[[#This Row],[Bukti]],'Un nOTA'!$A$4:$K$5003,10,FALSE),"")</f>
        <v/>
      </c>
      <c r="I6323" s="123" t="str">
        <f>IFERROR(VLOOKUP(Table1722[[#This Row],[Bukti]],Table13[#Data],11,FALSE),"")</f>
        <v/>
      </c>
    </row>
    <row r="6324" spans="1:9" hidden="1" x14ac:dyDescent="0.2">
      <c r="A6324" s="105" t="str">
        <f>IF(D6324=1,COUNTIF($D$10:D6324,1)," ")</f>
        <v xml:space="preserve"> </v>
      </c>
      <c r="B6324" s="106">
        <f>COPY!AR6316</f>
        <v>0</v>
      </c>
      <c r="C6324" s="107">
        <f>COPY!AC6316</f>
        <v>0</v>
      </c>
      <c r="D6324" s="107" t="str">
        <f>IF(LEN(Table1722[[#This Row],[Uraian]])&gt;2,1," ")</f>
        <v xml:space="preserve"> </v>
      </c>
      <c r="E6324" s="113" t="str">
        <f>IF(Table1722[[#This Row],[Lawan Transaksi]]="CV AGUNG KARYA",COUNTIF($I$10:I6324,"CV AGUNG KARYA")," ")</f>
        <v xml:space="preserve"> </v>
      </c>
      <c r="F6324" s="107" t="str">
        <f>IF(LEN(Table1722[[#This Row],[Uraian]])&gt;2,TRIM(RIGHT(SUBSTITUTE(TRIM(C6324)," ",REPT(" ",255)),255))," ")</f>
        <v xml:space="preserve"> </v>
      </c>
      <c r="G6324" s="110">
        <f>COPY!Z6316</f>
        <v>0</v>
      </c>
      <c r="H6324" s="111" t="str">
        <f>IFERROR(VLOOKUP(Table1722[[#This Row],[Bukti]],'Un nOTA'!$A$4:$K$5003,10,FALSE),"")</f>
        <v/>
      </c>
      <c r="I6324" s="123" t="str">
        <f>IFERROR(VLOOKUP(Table1722[[#This Row],[Bukti]],Table13[#Data],11,FALSE),"")</f>
        <v/>
      </c>
    </row>
    <row r="6325" spans="1:9" hidden="1" x14ac:dyDescent="0.2">
      <c r="A6325" s="105" t="str">
        <f>IF(D6325=1,COUNTIF($D$10:D6325,1)," ")</f>
        <v xml:space="preserve"> </v>
      </c>
      <c r="B6325" s="106">
        <f>COPY!AR6317</f>
        <v>0</v>
      </c>
      <c r="C6325" s="107">
        <f>COPY!AC6317</f>
        <v>0</v>
      </c>
      <c r="D6325" s="107" t="str">
        <f>IF(LEN(Table1722[[#This Row],[Uraian]])&gt;2,1," ")</f>
        <v xml:space="preserve"> </v>
      </c>
      <c r="E6325" s="113" t="str">
        <f>IF(Table1722[[#This Row],[Lawan Transaksi]]="CV AGUNG KARYA",COUNTIF($I$10:I6325,"CV AGUNG KARYA")," ")</f>
        <v xml:space="preserve"> </v>
      </c>
      <c r="F6325" s="107" t="str">
        <f>IF(LEN(Table1722[[#This Row],[Uraian]])&gt;2,TRIM(RIGHT(SUBSTITUTE(TRIM(C6325)," ",REPT(" ",255)),255))," ")</f>
        <v xml:space="preserve"> </v>
      </c>
      <c r="G6325" s="110">
        <f>COPY!Z6317</f>
        <v>0</v>
      </c>
      <c r="H6325" s="111" t="str">
        <f>IFERROR(VLOOKUP(Table1722[[#This Row],[Bukti]],'Un nOTA'!$A$4:$K$5003,10,FALSE),"")</f>
        <v/>
      </c>
      <c r="I6325" s="123" t="str">
        <f>IFERROR(VLOOKUP(Table1722[[#This Row],[Bukti]],Table13[#Data],11,FALSE),"")</f>
        <v/>
      </c>
    </row>
    <row r="6326" spans="1:9" hidden="1" x14ac:dyDescent="0.2">
      <c r="A6326" s="105" t="str">
        <f>IF(D6326=1,COUNTIF($D$10:D6326,1)," ")</f>
        <v xml:space="preserve"> </v>
      </c>
      <c r="B6326" s="106">
        <f>COPY!AR6318</f>
        <v>0</v>
      </c>
      <c r="C6326" s="107">
        <f>COPY!AC6318</f>
        <v>0</v>
      </c>
      <c r="D6326" s="107" t="str">
        <f>IF(LEN(Table1722[[#This Row],[Uraian]])&gt;2,1," ")</f>
        <v xml:space="preserve"> </v>
      </c>
      <c r="E6326" s="113" t="str">
        <f>IF(Table1722[[#This Row],[Lawan Transaksi]]="CV AGUNG KARYA",COUNTIF($I$10:I6326,"CV AGUNG KARYA")," ")</f>
        <v xml:space="preserve"> </v>
      </c>
      <c r="F6326" s="107" t="str">
        <f>IF(LEN(Table1722[[#This Row],[Uraian]])&gt;2,TRIM(RIGHT(SUBSTITUTE(TRIM(C6326)," ",REPT(" ",255)),255))," ")</f>
        <v xml:space="preserve"> </v>
      </c>
      <c r="G6326" s="110">
        <f>COPY!Z6318</f>
        <v>0</v>
      </c>
      <c r="H6326" s="111" t="str">
        <f>IFERROR(VLOOKUP(Table1722[[#This Row],[Bukti]],'Un nOTA'!$A$4:$K$5003,10,FALSE),"")</f>
        <v/>
      </c>
      <c r="I6326" s="123" t="str">
        <f>IFERROR(VLOOKUP(Table1722[[#This Row],[Bukti]],Table13[#Data],11,FALSE),"")</f>
        <v/>
      </c>
    </row>
    <row r="6327" spans="1:9" hidden="1" x14ac:dyDescent="0.2">
      <c r="A6327" s="105" t="str">
        <f>IF(D6327=1,COUNTIF($D$10:D6327,1)," ")</f>
        <v xml:space="preserve"> </v>
      </c>
      <c r="B6327" s="106">
        <f>COPY!AR6319</f>
        <v>0</v>
      </c>
      <c r="C6327" s="107">
        <f>COPY!AC6319</f>
        <v>0</v>
      </c>
      <c r="D6327" s="107" t="str">
        <f>IF(LEN(Table1722[[#This Row],[Uraian]])&gt;2,1," ")</f>
        <v xml:space="preserve"> </v>
      </c>
      <c r="E6327" s="113" t="str">
        <f>IF(Table1722[[#This Row],[Lawan Transaksi]]="CV AGUNG KARYA",COUNTIF($I$10:I6327,"CV AGUNG KARYA")," ")</f>
        <v xml:space="preserve"> </v>
      </c>
      <c r="F6327" s="107" t="str">
        <f>IF(LEN(Table1722[[#This Row],[Uraian]])&gt;2,TRIM(RIGHT(SUBSTITUTE(TRIM(C6327)," ",REPT(" ",255)),255))," ")</f>
        <v xml:space="preserve"> </v>
      </c>
      <c r="G6327" s="110">
        <f>COPY!Z6319</f>
        <v>0</v>
      </c>
      <c r="H6327" s="111" t="str">
        <f>IFERROR(VLOOKUP(Table1722[[#This Row],[Bukti]],'Un nOTA'!$A$4:$K$5003,10,FALSE),"")</f>
        <v/>
      </c>
      <c r="I6327" s="123" t="str">
        <f>IFERROR(VLOOKUP(Table1722[[#This Row],[Bukti]],Table13[#Data],11,FALSE),"")</f>
        <v/>
      </c>
    </row>
    <row r="6328" spans="1:9" hidden="1" x14ac:dyDescent="0.2">
      <c r="A6328" s="105" t="str">
        <f>IF(D6328=1,COUNTIF($D$10:D6328,1)," ")</f>
        <v xml:space="preserve"> </v>
      </c>
      <c r="B6328" s="106">
        <f>COPY!AR6320</f>
        <v>0</v>
      </c>
      <c r="C6328" s="107">
        <f>COPY!AC6320</f>
        <v>0</v>
      </c>
      <c r="D6328" s="107" t="str">
        <f>IF(LEN(Table1722[[#This Row],[Uraian]])&gt;2,1," ")</f>
        <v xml:space="preserve"> </v>
      </c>
      <c r="E6328" s="113" t="str">
        <f>IF(Table1722[[#This Row],[Lawan Transaksi]]="CV AGUNG KARYA",COUNTIF($I$10:I6328,"CV AGUNG KARYA")," ")</f>
        <v xml:space="preserve"> </v>
      </c>
      <c r="F6328" s="107" t="str">
        <f>IF(LEN(Table1722[[#This Row],[Uraian]])&gt;2,TRIM(RIGHT(SUBSTITUTE(TRIM(C6328)," ",REPT(" ",255)),255))," ")</f>
        <v xml:space="preserve"> </v>
      </c>
      <c r="G6328" s="110">
        <f>COPY!Z6320</f>
        <v>0</v>
      </c>
      <c r="H6328" s="111" t="str">
        <f>IFERROR(VLOOKUP(Table1722[[#This Row],[Bukti]],'Un nOTA'!$A$4:$K$5003,10,FALSE),"")</f>
        <v/>
      </c>
      <c r="I6328" s="123" t="str">
        <f>IFERROR(VLOOKUP(Table1722[[#This Row],[Bukti]],Table13[#Data],11,FALSE),"")</f>
        <v/>
      </c>
    </row>
    <row r="6329" spans="1:9" hidden="1" x14ac:dyDescent="0.2">
      <c r="A6329" s="105" t="str">
        <f>IF(D6329=1,COUNTIF($D$10:D6329,1)," ")</f>
        <v xml:space="preserve"> </v>
      </c>
      <c r="B6329" s="106">
        <f>COPY!AR6321</f>
        <v>0</v>
      </c>
      <c r="C6329" s="107">
        <f>COPY!AC6321</f>
        <v>0</v>
      </c>
      <c r="D6329" s="107" t="str">
        <f>IF(LEN(Table1722[[#This Row],[Uraian]])&gt;2,1," ")</f>
        <v xml:space="preserve"> </v>
      </c>
      <c r="E6329" s="113" t="str">
        <f>IF(Table1722[[#This Row],[Lawan Transaksi]]="CV AGUNG KARYA",COUNTIF($I$10:I6329,"CV AGUNG KARYA")," ")</f>
        <v xml:space="preserve"> </v>
      </c>
      <c r="F6329" s="107" t="str">
        <f>IF(LEN(Table1722[[#This Row],[Uraian]])&gt;2,TRIM(RIGHT(SUBSTITUTE(TRIM(C6329)," ",REPT(" ",255)),255))," ")</f>
        <v xml:space="preserve"> </v>
      </c>
      <c r="G6329" s="110">
        <f>COPY!Z6321</f>
        <v>0</v>
      </c>
      <c r="H6329" s="111" t="str">
        <f>IFERROR(VLOOKUP(Table1722[[#This Row],[Bukti]],'Un nOTA'!$A$4:$K$5003,10,FALSE),"")</f>
        <v/>
      </c>
      <c r="I6329" s="123" t="str">
        <f>IFERROR(VLOOKUP(Table1722[[#This Row],[Bukti]],Table13[#Data],11,FALSE),"")</f>
        <v/>
      </c>
    </row>
    <row r="6330" spans="1:9" hidden="1" x14ac:dyDescent="0.2">
      <c r="A6330" s="105" t="str">
        <f>IF(D6330=1,COUNTIF($D$10:D6330,1)," ")</f>
        <v xml:space="preserve"> </v>
      </c>
      <c r="B6330" s="106">
        <f>COPY!AR6322</f>
        <v>0</v>
      </c>
      <c r="C6330" s="107">
        <f>COPY!AC6322</f>
        <v>0</v>
      </c>
      <c r="D6330" s="107" t="str">
        <f>IF(LEN(Table1722[[#This Row],[Uraian]])&gt;2,1," ")</f>
        <v xml:space="preserve"> </v>
      </c>
      <c r="E6330" s="113" t="str">
        <f>IF(Table1722[[#This Row],[Lawan Transaksi]]="CV AGUNG KARYA",COUNTIF($I$10:I6330,"CV AGUNG KARYA")," ")</f>
        <v xml:space="preserve"> </v>
      </c>
      <c r="F6330" s="107" t="str">
        <f>IF(LEN(Table1722[[#This Row],[Uraian]])&gt;2,TRIM(RIGHT(SUBSTITUTE(TRIM(C6330)," ",REPT(" ",255)),255))," ")</f>
        <v xml:space="preserve"> </v>
      </c>
      <c r="G6330" s="110">
        <f>COPY!Z6322</f>
        <v>0</v>
      </c>
      <c r="H6330" s="111" t="str">
        <f>IFERROR(VLOOKUP(Table1722[[#This Row],[Bukti]],'Un nOTA'!$A$4:$K$5003,10,FALSE),"")</f>
        <v/>
      </c>
      <c r="I6330" s="123" t="str">
        <f>IFERROR(VLOOKUP(Table1722[[#This Row],[Bukti]],Table13[#Data],11,FALSE),"")</f>
        <v/>
      </c>
    </row>
    <row r="6331" spans="1:9" hidden="1" x14ac:dyDescent="0.2">
      <c r="A6331" s="105" t="str">
        <f>IF(D6331=1,COUNTIF($D$10:D6331,1)," ")</f>
        <v xml:space="preserve"> </v>
      </c>
      <c r="B6331" s="106">
        <f>COPY!AR6323</f>
        <v>0</v>
      </c>
      <c r="C6331" s="107">
        <f>COPY!AC6323</f>
        <v>0</v>
      </c>
      <c r="D6331" s="107" t="str">
        <f>IF(LEN(Table1722[[#This Row],[Uraian]])&gt;2,1," ")</f>
        <v xml:space="preserve"> </v>
      </c>
      <c r="E6331" s="113" t="str">
        <f>IF(Table1722[[#This Row],[Lawan Transaksi]]="CV AGUNG KARYA",COUNTIF($I$10:I6331,"CV AGUNG KARYA")," ")</f>
        <v xml:space="preserve"> </v>
      </c>
      <c r="F6331" s="107" t="str">
        <f>IF(LEN(Table1722[[#This Row],[Uraian]])&gt;2,TRIM(RIGHT(SUBSTITUTE(TRIM(C6331)," ",REPT(" ",255)),255))," ")</f>
        <v xml:space="preserve"> </v>
      </c>
      <c r="G6331" s="110">
        <f>COPY!Z6323</f>
        <v>0</v>
      </c>
      <c r="H6331" s="111" t="str">
        <f>IFERROR(VLOOKUP(Table1722[[#This Row],[Bukti]],'Un nOTA'!$A$4:$K$5003,10,FALSE),"")</f>
        <v/>
      </c>
      <c r="I6331" s="123" t="str">
        <f>IFERROR(VLOOKUP(Table1722[[#This Row],[Bukti]],Table13[#Data],11,FALSE),"")</f>
        <v/>
      </c>
    </row>
    <row r="6332" spans="1:9" hidden="1" x14ac:dyDescent="0.2">
      <c r="A6332" s="105" t="str">
        <f>IF(D6332=1,COUNTIF($D$10:D6332,1)," ")</f>
        <v xml:space="preserve"> </v>
      </c>
      <c r="B6332" s="106">
        <f>COPY!AR6324</f>
        <v>0</v>
      </c>
      <c r="C6332" s="107">
        <f>COPY!AC6324</f>
        <v>0</v>
      </c>
      <c r="D6332" s="107" t="str">
        <f>IF(LEN(Table1722[[#This Row],[Uraian]])&gt;2,1," ")</f>
        <v xml:space="preserve"> </v>
      </c>
      <c r="E6332" s="113" t="str">
        <f>IF(Table1722[[#This Row],[Lawan Transaksi]]="CV AGUNG KARYA",COUNTIF($I$10:I6332,"CV AGUNG KARYA")," ")</f>
        <v xml:space="preserve"> </v>
      </c>
      <c r="F6332" s="107" t="str">
        <f>IF(LEN(Table1722[[#This Row],[Uraian]])&gt;2,TRIM(RIGHT(SUBSTITUTE(TRIM(C6332)," ",REPT(" ",255)),255))," ")</f>
        <v xml:space="preserve"> </v>
      </c>
      <c r="G6332" s="110">
        <f>COPY!Z6324</f>
        <v>0</v>
      </c>
      <c r="H6332" s="111" t="str">
        <f>IFERROR(VLOOKUP(Table1722[[#This Row],[Bukti]],'Un nOTA'!$A$4:$K$5003,10,FALSE),"")</f>
        <v/>
      </c>
      <c r="I6332" s="123" t="str">
        <f>IFERROR(VLOOKUP(Table1722[[#This Row],[Bukti]],Table13[#Data],11,FALSE),"")</f>
        <v/>
      </c>
    </row>
    <row r="6333" spans="1:9" hidden="1" x14ac:dyDescent="0.2">
      <c r="A6333" s="105" t="str">
        <f>IF(D6333=1,COUNTIF($D$10:D6333,1)," ")</f>
        <v xml:space="preserve"> </v>
      </c>
      <c r="B6333" s="106">
        <f>COPY!AR6325</f>
        <v>0</v>
      </c>
      <c r="C6333" s="107">
        <f>COPY!AC6325</f>
        <v>0</v>
      </c>
      <c r="D6333" s="107" t="str">
        <f>IF(LEN(Table1722[[#This Row],[Uraian]])&gt;2,1," ")</f>
        <v xml:space="preserve"> </v>
      </c>
      <c r="E6333" s="113" t="str">
        <f>IF(Table1722[[#This Row],[Lawan Transaksi]]="CV AGUNG KARYA",COUNTIF($I$10:I6333,"CV AGUNG KARYA")," ")</f>
        <v xml:space="preserve"> </v>
      </c>
      <c r="F6333" s="107" t="str">
        <f>IF(LEN(Table1722[[#This Row],[Uraian]])&gt;2,TRIM(RIGHT(SUBSTITUTE(TRIM(C6333)," ",REPT(" ",255)),255))," ")</f>
        <v xml:space="preserve"> </v>
      </c>
      <c r="G6333" s="110">
        <f>COPY!Z6325</f>
        <v>0</v>
      </c>
      <c r="H6333" s="111" t="str">
        <f>IFERROR(VLOOKUP(Table1722[[#This Row],[Bukti]],'Un nOTA'!$A$4:$K$5003,10,FALSE),"")</f>
        <v/>
      </c>
      <c r="I6333" s="123" t="str">
        <f>IFERROR(VLOOKUP(Table1722[[#This Row],[Bukti]],Table13[#Data],11,FALSE),"")</f>
        <v/>
      </c>
    </row>
    <row r="6334" spans="1:9" hidden="1" x14ac:dyDescent="0.2">
      <c r="A6334" s="105" t="str">
        <f>IF(D6334=1,COUNTIF($D$10:D6334,1)," ")</f>
        <v xml:space="preserve"> </v>
      </c>
      <c r="B6334" s="106">
        <f>COPY!AR6326</f>
        <v>0</v>
      </c>
      <c r="C6334" s="107">
        <f>COPY!AC6326</f>
        <v>0</v>
      </c>
      <c r="D6334" s="107" t="str">
        <f>IF(LEN(Table1722[[#This Row],[Uraian]])&gt;2,1," ")</f>
        <v xml:space="preserve"> </v>
      </c>
      <c r="E6334" s="113" t="str">
        <f>IF(Table1722[[#This Row],[Lawan Transaksi]]="CV AGUNG KARYA",COUNTIF($I$10:I6334,"CV AGUNG KARYA")," ")</f>
        <v xml:space="preserve"> </v>
      </c>
      <c r="F6334" s="107" t="str">
        <f>IF(LEN(Table1722[[#This Row],[Uraian]])&gt;2,TRIM(RIGHT(SUBSTITUTE(TRIM(C6334)," ",REPT(" ",255)),255))," ")</f>
        <v xml:space="preserve"> </v>
      </c>
      <c r="G6334" s="110">
        <f>COPY!Z6326</f>
        <v>0</v>
      </c>
      <c r="H6334" s="111" t="str">
        <f>IFERROR(VLOOKUP(Table1722[[#This Row],[Bukti]],'Un nOTA'!$A$4:$K$5003,10,FALSE),"")</f>
        <v/>
      </c>
      <c r="I6334" s="123" t="str">
        <f>IFERROR(VLOOKUP(Table1722[[#This Row],[Bukti]],Table13[#Data],11,FALSE),"")</f>
        <v/>
      </c>
    </row>
    <row r="6335" spans="1:9" hidden="1" x14ac:dyDescent="0.2">
      <c r="A6335" s="105" t="str">
        <f>IF(D6335=1,COUNTIF($D$10:D6335,1)," ")</f>
        <v xml:space="preserve"> </v>
      </c>
      <c r="B6335" s="106">
        <f>COPY!AR6327</f>
        <v>0</v>
      </c>
      <c r="C6335" s="107">
        <f>COPY!AC6327</f>
        <v>0</v>
      </c>
      <c r="D6335" s="107" t="str">
        <f>IF(LEN(Table1722[[#This Row],[Uraian]])&gt;2,1," ")</f>
        <v xml:space="preserve"> </v>
      </c>
      <c r="E6335" s="113" t="str">
        <f>IF(Table1722[[#This Row],[Lawan Transaksi]]="CV AGUNG KARYA",COUNTIF($I$10:I6335,"CV AGUNG KARYA")," ")</f>
        <v xml:space="preserve"> </v>
      </c>
      <c r="F6335" s="107" t="str">
        <f>IF(LEN(Table1722[[#This Row],[Uraian]])&gt;2,TRIM(RIGHT(SUBSTITUTE(TRIM(C6335)," ",REPT(" ",255)),255))," ")</f>
        <v xml:space="preserve"> </v>
      </c>
      <c r="G6335" s="110">
        <f>COPY!Z6327</f>
        <v>0</v>
      </c>
      <c r="H6335" s="111" t="str">
        <f>IFERROR(VLOOKUP(Table1722[[#This Row],[Bukti]],'Un nOTA'!$A$4:$K$5003,10,FALSE),"")</f>
        <v/>
      </c>
      <c r="I6335" s="123" t="str">
        <f>IFERROR(VLOOKUP(Table1722[[#This Row],[Bukti]],Table13[#Data],11,FALSE),"")</f>
        <v/>
      </c>
    </row>
    <row r="6336" spans="1:9" hidden="1" x14ac:dyDescent="0.2">
      <c r="A6336" s="105" t="str">
        <f>IF(D6336=1,COUNTIF($D$10:D6336,1)," ")</f>
        <v xml:space="preserve"> </v>
      </c>
      <c r="B6336" s="106">
        <f>COPY!AR6328</f>
        <v>0</v>
      </c>
      <c r="C6336" s="107">
        <f>COPY!AC6328</f>
        <v>0</v>
      </c>
      <c r="D6336" s="107" t="str">
        <f>IF(LEN(Table1722[[#This Row],[Uraian]])&gt;2,1," ")</f>
        <v xml:space="preserve"> </v>
      </c>
      <c r="E6336" s="113" t="str">
        <f>IF(Table1722[[#This Row],[Lawan Transaksi]]="CV AGUNG KARYA",COUNTIF($I$10:I6336,"CV AGUNG KARYA")," ")</f>
        <v xml:space="preserve"> </v>
      </c>
      <c r="F6336" s="107" t="str">
        <f>IF(LEN(Table1722[[#This Row],[Uraian]])&gt;2,TRIM(RIGHT(SUBSTITUTE(TRIM(C6336)," ",REPT(" ",255)),255))," ")</f>
        <v xml:space="preserve"> </v>
      </c>
      <c r="G6336" s="110">
        <f>COPY!Z6328</f>
        <v>0</v>
      </c>
      <c r="H6336" s="111" t="str">
        <f>IFERROR(VLOOKUP(Table1722[[#This Row],[Bukti]],'Un nOTA'!$A$4:$K$5003,10,FALSE),"")</f>
        <v/>
      </c>
      <c r="I6336" s="123" t="str">
        <f>IFERROR(VLOOKUP(Table1722[[#This Row],[Bukti]],Table13[#Data],11,FALSE),"")</f>
        <v/>
      </c>
    </row>
    <row r="6337" spans="1:9" hidden="1" x14ac:dyDescent="0.2">
      <c r="A6337" s="105" t="str">
        <f>IF(D6337=1,COUNTIF($D$10:D6337,1)," ")</f>
        <v xml:space="preserve"> </v>
      </c>
      <c r="B6337" s="106">
        <f>COPY!AR6329</f>
        <v>0</v>
      </c>
      <c r="C6337" s="107">
        <f>COPY!AC6329</f>
        <v>0</v>
      </c>
      <c r="D6337" s="107" t="str">
        <f>IF(LEN(Table1722[[#This Row],[Uraian]])&gt;2,1," ")</f>
        <v xml:space="preserve"> </v>
      </c>
      <c r="E6337" s="113" t="str">
        <f>IF(Table1722[[#This Row],[Lawan Transaksi]]="CV AGUNG KARYA",COUNTIF($I$10:I6337,"CV AGUNG KARYA")," ")</f>
        <v xml:space="preserve"> </v>
      </c>
      <c r="F6337" s="107" t="str">
        <f>IF(LEN(Table1722[[#This Row],[Uraian]])&gt;2,TRIM(RIGHT(SUBSTITUTE(TRIM(C6337)," ",REPT(" ",255)),255))," ")</f>
        <v xml:space="preserve"> </v>
      </c>
      <c r="G6337" s="110">
        <f>COPY!Z6329</f>
        <v>0</v>
      </c>
      <c r="H6337" s="111" t="str">
        <f>IFERROR(VLOOKUP(Table1722[[#This Row],[Bukti]],'Un nOTA'!$A$4:$K$5003,10,FALSE),"")</f>
        <v/>
      </c>
      <c r="I6337" s="123" t="str">
        <f>IFERROR(VLOOKUP(Table1722[[#This Row],[Bukti]],Table13[#Data],11,FALSE),"")</f>
        <v/>
      </c>
    </row>
    <row r="6338" spans="1:9" hidden="1" x14ac:dyDescent="0.2">
      <c r="A6338" s="105" t="str">
        <f>IF(D6338=1,COUNTIF($D$10:D6338,1)," ")</f>
        <v xml:space="preserve"> </v>
      </c>
      <c r="B6338" s="106">
        <f>COPY!AR6330</f>
        <v>0</v>
      </c>
      <c r="C6338" s="107">
        <f>COPY!AC6330</f>
        <v>0</v>
      </c>
      <c r="D6338" s="107" t="str">
        <f>IF(LEN(Table1722[[#This Row],[Uraian]])&gt;2,1," ")</f>
        <v xml:space="preserve"> </v>
      </c>
      <c r="E6338" s="113" t="str">
        <f>IF(Table1722[[#This Row],[Lawan Transaksi]]="CV AGUNG KARYA",COUNTIF($I$10:I6338,"CV AGUNG KARYA")," ")</f>
        <v xml:space="preserve"> </v>
      </c>
      <c r="F6338" s="107" t="str">
        <f>IF(LEN(Table1722[[#This Row],[Uraian]])&gt;2,TRIM(RIGHT(SUBSTITUTE(TRIM(C6338)," ",REPT(" ",255)),255))," ")</f>
        <v xml:space="preserve"> </v>
      </c>
      <c r="G6338" s="110">
        <f>COPY!Z6330</f>
        <v>0</v>
      </c>
      <c r="H6338" s="111" t="str">
        <f>IFERROR(VLOOKUP(Table1722[[#This Row],[Bukti]],'Un nOTA'!$A$4:$K$5003,10,FALSE),"")</f>
        <v/>
      </c>
      <c r="I6338" s="123" t="str">
        <f>IFERROR(VLOOKUP(Table1722[[#This Row],[Bukti]],Table13[#Data],11,FALSE),"")</f>
        <v/>
      </c>
    </row>
    <row r="6339" spans="1:9" hidden="1" x14ac:dyDescent="0.2">
      <c r="A6339" s="105" t="str">
        <f>IF(D6339=1,COUNTIF($D$10:D6339,1)," ")</f>
        <v xml:space="preserve"> </v>
      </c>
      <c r="B6339" s="106">
        <f>COPY!AR6331</f>
        <v>0</v>
      </c>
      <c r="C6339" s="107">
        <f>COPY!AC6331</f>
        <v>0</v>
      </c>
      <c r="D6339" s="107" t="str">
        <f>IF(LEN(Table1722[[#This Row],[Uraian]])&gt;2,1," ")</f>
        <v xml:space="preserve"> </v>
      </c>
      <c r="E6339" s="113" t="str">
        <f>IF(Table1722[[#This Row],[Lawan Transaksi]]="CV AGUNG KARYA",COUNTIF($I$10:I6339,"CV AGUNG KARYA")," ")</f>
        <v xml:space="preserve"> </v>
      </c>
      <c r="F6339" s="107" t="str">
        <f>IF(LEN(Table1722[[#This Row],[Uraian]])&gt;2,TRIM(RIGHT(SUBSTITUTE(TRIM(C6339)," ",REPT(" ",255)),255))," ")</f>
        <v xml:space="preserve"> </v>
      </c>
      <c r="G6339" s="110">
        <f>COPY!Z6331</f>
        <v>0</v>
      </c>
      <c r="H6339" s="111" t="str">
        <f>IFERROR(VLOOKUP(Table1722[[#This Row],[Bukti]],'Un nOTA'!$A$4:$K$5003,10,FALSE),"")</f>
        <v/>
      </c>
      <c r="I6339" s="123" t="str">
        <f>IFERROR(VLOOKUP(Table1722[[#This Row],[Bukti]],Table13[#Data],11,FALSE),"")</f>
        <v/>
      </c>
    </row>
    <row r="6340" spans="1:9" hidden="1" x14ac:dyDescent="0.2">
      <c r="A6340" s="105" t="str">
        <f>IF(D6340=1,COUNTIF($D$10:D6340,1)," ")</f>
        <v xml:space="preserve"> </v>
      </c>
      <c r="B6340" s="106">
        <f>COPY!AR6332</f>
        <v>0</v>
      </c>
      <c r="C6340" s="107">
        <f>COPY!AC6332</f>
        <v>0</v>
      </c>
      <c r="D6340" s="107" t="str">
        <f>IF(LEN(Table1722[[#This Row],[Uraian]])&gt;2,1," ")</f>
        <v xml:space="preserve"> </v>
      </c>
      <c r="E6340" s="113" t="str">
        <f>IF(Table1722[[#This Row],[Lawan Transaksi]]="CV AGUNG KARYA",COUNTIF($I$10:I6340,"CV AGUNG KARYA")," ")</f>
        <v xml:space="preserve"> </v>
      </c>
      <c r="F6340" s="107" t="str">
        <f>IF(LEN(Table1722[[#This Row],[Uraian]])&gt;2,TRIM(RIGHT(SUBSTITUTE(TRIM(C6340)," ",REPT(" ",255)),255))," ")</f>
        <v xml:space="preserve"> </v>
      </c>
      <c r="G6340" s="110">
        <f>COPY!Z6332</f>
        <v>0</v>
      </c>
      <c r="H6340" s="111" t="str">
        <f>IFERROR(VLOOKUP(Table1722[[#This Row],[Bukti]],'Un nOTA'!$A$4:$K$5003,10,FALSE),"")</f>
        <v/>
      </c>
      <c r="I6340" s="123" t="str">
        <f>IFERROR(VLOOKUP(Table1722[[#This Row],[Bukti]],Table13[#Data],11,FALSE),"")</f>
        <v/>
      </c>
    </row>
    <row r="6341" spans="1:9" hidden="1" x14ac:dyDescent="0.2">
      <c r="A6341" s="105" t="str">
        <f>IF(D6341=1,COUNTIF($D$10:D6341,1)," ")</f>
        <v xml:space="preserve"> </v>
      </c>
      <c r="B6341" s="106">
        <f>COPY!AR6333</f>
        <v>0</v>
      </c>
      <c r="C6341" s="107">
        <f>COPY!AC6333</f>
        <v>0</v>
      </c>
      <c r="D6341" s="107" t="str">
        <f>IF(LEN(Table1722[[#This Row],[Uraian]])&gt;2,1," ")</f>
        <v xml:space="preserve"> </v>
      </c>
      <c r="E6341" s="113" t="str">
        <f>IF(Table1722[[#This Row],[Lawan Transaksi]]="CV AGUNG KARYA",COUNTIF($I$10:I6341,"CV AGUNG KARYA")," ")</f>
        <v xml:space="preserve"> </v>
      </c>
      <c r="F6341" s="107" t="str">
        <f>IF(LEN(Table1722[[#This Row],[Uraian]])&gt;2,TRIM(RIGHT(SUBSTITUTE(TRIM(C6341)," ",REPT(" ",255)),255))," ")</f>
        <v xml:space="preserve"> </v>
      </c>
      <c r="G6341" s="110">
        <f>COPY!Z6333</f>
        <v>0</v>
      </c>
      <c r="H6341" s="111" t="str">
        <f>IFERROR(VLOOKUP(Table1722[[#This Row],[Bukti]],'Un nOTA'!$A$4:$K$5003,10,FALSE),"")</f>
        <v/>
      </c>
      <c r="I6341" s="123" t="str">
        <f>IFERROR(VLOOKUP(Table1722[[#This Row],[Bukti]],Table13[#Data],11,FALSE),"")</f>
        <v/>
      </c>
    </row>
    <row r="6342" spans="1:9" hidden="1" x14ac:dyDescent="0.2">
      <c r="A6342" s="105" t="str">
        <f>IF(D6342=1,COUNTIF($D$10:D6342,1)," ")</f>
        <v xml:space="preserve"> </v>
      </c>
      <c r="B6342" s="106">
        <f>COPY!AR6334</f>
        <v>0</v>
      </c>
      <c r="C6342" s="107">
        <f>COPY!AC6334</f>
        <v>0</v>
      </c>
      <c r="D6342" s="107" t="str">
        <f>IF(LEN(Table1722[[#This Row],[Uraian]])&gt;2,1," ")</f>
        <v xml:space="preserve"> </v>
      </c>
      <c r="E6342" s="113" t="str">
        <f>IF(Table1722[[#This Row],[Lawan Transaksi]]="CV AGUNG KARYA",COUNTIF($I$10:I6342,"CV AGUNG KARYA")," ")</f>
        <v xml:space="preserve"> </v>
      </c>
      <c r="F6342" s="107" t="str">
        <f>IF(LEN(Table1722[[#This Row],[Uraian]])&gt;2,TRIM(RIGHT(SUBSTITUTE(TRIM(C6342)," ",REPT(" ",255)),255))," ")</f>
        <v xml:space="preserve"> </v>
      </c>
      <c r="G6342" s="110">
        <f>COPY!Z6334</f>
        <v>0</v>
      </c>
      <c r="H6342" s="111" t="str">
        <f>IFERROR(VLOOKUP(Table1722[[#This Row],[Bukti]],'Un nOTA'!$A$4:$K$5003,10,FALSE),"")</f>
        <v/>
      </c>
      <c r="I6342" s="123" t="str">
        <f>IFERROR(VLOOKUP(Table1722[[#This Row],[Bukti]],Table13[#Data],11,FALSE),"")</f>
        <v/>
      </c>
    </row>
    <row r="6343" spans="1:9" hidden="1" x14ac:dyDescent="0.2">
      <c r="A6343" s="105" t="str">
        <f>IF(D6343=1,COUNTIF($D$10:D6343,1)," ")</f>
        <v xml:space="preserve"> </v>
      </c>
      <c r="B6343" s="106">
        <f>COPY!AR6335</f>
        <v>0</v>
      </c>
      <c r="C6343" s="107">
        <f>COPY!AC6335</f>
        <v>0</v>
      </c>
      <c r="D6343" s="107" t="str">
        <f>IF(LEN(Table1722[[#This Row],[Uraian]])&gt;2,1," ")</f>
        <v xml:space="preserve"> </v>
      </c>
      <c r="E6343" s="113" t="str">
        <f>IF(Table1722[[#This Row],[Lawan Transaksi]]="CV AGUNG KARYA",COUNTIF($I$10:I6343,"CV AGUNG KARYA")," ")</f>
        <v xml:space="preserve"> </v>
      </c>
      <c r="F6343" s="107" t="str">
        <f>IF(LEN(Table1722[[#This Row],[Uraian]])&gt;2,TRIM(RIGHT(SUBSTITUTE(TRIM(C6343)," ",REPT(" ",255)),255))," ")</f>
        <v xml:space="preserve"> </v>
      </c>
      <c r="G6343" s="110">
        <f>COPY!Z6335</f>
        <v>0</v>
      </c>
      <c r="H6343" s="111" t="str">
        <f>IFERROR(VLOOKUP(Table1722[[#This Row],[Bukti]],'Un nOTA'!$A$4:$K$5003,10,FALSE),"")</f>
        <v/>
      </c>
      <c r="I6343" s="123" t="str">
        <f>IFERROR(VLOOKUP(Table1722[[#This Row],[Bukti]],Table13[#Data],11,FALSE),"")</f>
        <v/>
      </c>
    </row>
    <row r="6344" spans="1:9" hidden="1" x14ac:dyDescent="0.2">
      <c r="A6344" s="105" t="str">
        <f>IF(D6344=1,COUNTIF($D$10:D6344,1)," ")</f>
        <v xml:space="preserve"> </v>
      </c>
      <c r="B6344" s="106">
        <f>COPY!AR6336</f>
        <v>0</v>
      </c>
      <c r="C6344" s="107">
        <f>COPY!AC6336</f>
        <v>0</v>
      </c>
      <c r="D6344" s="107" t="str">
        <f>IF(LEN(Table1722[[#This Row],[Uraian]])&gt;2,1," ")</f>
        <v xml:space="preserve"> </v>
      </c>
      <c r="E6344" s="113" t="str">
        <f>IF(Table1722[[#This Row],[Lawan Transaksi]]="CV AGUNG KARYA",COUNTIF($I$10:I6344,"CV AGUNG KARYA")," ")</f>
        <v xml:space="preserve"> </v>
      </c>
      <c r="F6344" s="107" t="str">
        <f>IF(LEN(Table1722[[#This Row],[Uraian]])&gt;2,TRIM(RIGHT(SUBSTITUTE(TRIM(C6344)," ",REPT(" ",255)),255))," ")</f>
        <v xml:space="preserve"> </v>
      </c>
      <c r="G6344" s="110">
        <f>COPY!Z6336</f>
        <v>0</v>
      </c>
      <c r="H6344" s="111" t="str">
        <f>IFERROR(VLOOKUP(Table1722[[#This Row],[Bukti]],'Un nOTA'!$A$4:$K$5003,10,FALSE),"")</f>
        <v/>
      </c>
      <c r="I6344" s="123" t="str">
        <f>IFERROR(VLOOKUP(Table1722[[#This Row],[Bukti]],Table13[#Data],11,FALSE),"")</f>
        <v/>
      </c>
    </row>
    <row r="6345" spans="1:9" hidden="1" x14ac:dyDescent="0.2">
      <c r="A6345" s="105" t="str">
        <f>IF(D6345=1,COUNTIF($D$10:D6345,1)," ")</f>
        <v xml:space="preserve"> </v>
      </c>
      <c r="B6345" s="106">
        <f>COPY!AR6337</f>
        <v>0</v>
      </c>
      <c r="C6345" s="107">
        <f>COPY!AC6337</f>
        <v>0</v>
      </c>
      <c r="D6345" s="107" t="str">
        <f>IF(LEN(Table1722[[#This Row],[Uraian]])&gt;2,1," ")</f>
        <v xml:space="preserve"> </v>
      </c>
      <c r="E6345" s="113" t="str">
        <f>IF(Table1722[[#This Row],[Lawan Transaksi]]="CV AGUNG KARYA",COUNTIF($I$10:I6345,"CV AGUNG KARYA")," ")</f>
        <v xml:space="preserve"> </v>
      </c>
      <c r="F6345" s="107" t="str">
        <f>IF(LEN(Table1722[[#This Row],[Uraian]])&gt;2,TRIM(RIGHT(SUBSTITUTE(TRIM(C6345)," ",REPT(" ",255)),255))," ")</f>
        <v xml:space="preserve"> </v>
      </c>
      <c r="G6345" s="110">
        <f>COPY!Z6337</f>
        <v>0</v>
      </c>
      <c r="H6345" s="111" t="str">
        <f>IFERROR(VLOOKUP(Table1722[[#This Row],[Bukti]],'Un nOTA'!$A$4:$K$5003,10,FALSE),"")</f>
        <v/>
      </c>
      <c r="I6345" s="123" t="str">
        <f>IFERROR(VLOOKUP(Table1722[[#This Row],[Bukti]],Table13[#Data],11,FALSE),"")</f>
        <v/>
      </c>
    </row>
    <row r="6346" spans="1:9" hidden="1" x14ac:dyDescent="0.2">
      <c r="A6346" s="105" t="str">
        <f>IF(D6346=1,COUNTIF($D$10:D6346,1)," ")</f>
        <v xml:space="preserve"> </v>
      </c>
      <c r="B6346" s="106">
        <f>COPY!AR6338</f>
        <v>0</v>
      </c>
      <c r="C6346" s="107">
        <f>COPY!AC6338</f>
        <v>0</v>
      </c>
      <c r="D6346" s="107" t="str">
        <f>IF(LEN(Table1722[[#This Row],[Uraian]])&gt;2,1," ")</f>
        <v xml:space="preserve"> </v>
      </c>
      <c r="E6346" s="113" t="str">
        <f>IF(Table1722[[#This Row],[Lawan Transaksi]]="CV AGUNG KARYA",COUNTIF($I$10:I6346,"CV AGUNG KARYA")," ")</f>
        <v xml:space="preserve"> </v>
      </c>
      <c r="F6346" s="107" t="str">
        <f>IF(LEN(Table1722[[#This Row],[Uraian]])&gt;2,TRIM(RIGHT(SUBSTITUTE(TRIM(C6346)," ",REPT(" ",255)),255))," ")</f>
        <v xml:space="preserve"> </v>
      </c>
      <c r="G6346" s="110">
        <f>COPY!Z6338</f>
        <v>0</v>
      </c>
      <c r="H6346" s="111" t="str">
        <f>IFERROR(VLOOKUP(Table1722[[#This Row],[Bukti]],'Un nOTA'!$A$4:$K$5003,10,FALSE),"")</f>
        <v/>
      </c>
      <c r="I6346" s="123" t="str">
        <f>IFERROR(VLOOKUP(Table1722[[#This Row],[Bukti]],Table13[#Data],11,FALSE),"")</f>
        <v/>
      </c>
    </row>
    <row r="6347" spans="1:9" hidden="1" x14ac:dyDescent="0.2">
      <c r="A6347" s="105" t="str">
        <f>IF(D6347=1,COUNTIF($D$10:D6347,1)," ")</f>
        <v xml:space="preserve"> </v>
      </c>
      <c r="B6347" s="106">
        <f>COPY!AR6339</f>
        <v>0</v>
      </c>
      <c r="C6347" s="107">
        <f>COPY!AC6339</f>
        <v>0</v>
      </c>
      <c r="D6347" s="107" t="str">
        <f>IF(LEN(Table1722[[#This Row],[Uraian]])&gt;2,1," ")</f>
        <v xml:space="preserve"> </v>
      </c>
      <c r="E6347" s="113" t="str">
        <f>IF(Table1722[[#This Row],[Lawan Transaksi]]="CV AGUNG KARYA",COUNTIF($I$10:I6347,"CV AGUNG KARYA")," ")</f>
        <v xml:space="preserve"> </v>
      </c>
      <c r="F6347" s="107" t="str">
        <f>IF(LEN(Table1722[[#This Row],[Uraian]])&gt;2,TRIM(RIGHT(SUBSTITUTE(TRIM(C6347)," ",REPT(" ",255)),255))," ")</f>
        <v xml:space="preserve"> </v>
      </c>
      <c r="G6347" s="110">
        <f>COPY!Z6339</f>
        <v>0</v>
      </c>
      <c r="H6347" s="111" t="str">
        <f>IFERROR(VLOOKUP(Table1722[[#This Row],[Bukti]],'Un nOTA'!$A$4:$K$5003,10,FALSE),"")</f>
        <v/>
      </c>
      <c r="I6347" s="123" t="str">
        <f>IFERROR(VLOOKUP(Table1722[[#This Row],[Bukti]],Table13[#Data],11,FALSE),"")</f>
        <v/>
      </c>
    </row>
    <row r="6348" spans="1:9" hidden="1" x14ac:dyDescent="0.2">
      <c r="A6348" s="105" t="str">
        <f>IF(D6348=1,COUNTIF($D$10:D6348,1)," ")</f>
        <v xml:space="preserve"> </v>
      </c>
      <c r="B6348" s="106">
        <f>COPY!AR6340</f>
        <v>0</v>
      </c>
      <c r="C6348" s="107">
        <f>COPY!AC6340</f>
        <v>0</v>
      </c>
      <c r="D6348" s="107" t="str">
        <f>IF(LEN(Table1722[[#This Row],[Uraian]])&gt;2,1," ")</f>
        <v xml:space="preserve"> </v>
      </c>
      <c r="E6348" s="113" t="str">
        <f>IF(Table1722[[#This Row],[Lawan Transaksi]]="CV AGUNG KARYA",COUNTIF($I$10:I6348,"CV AGUNG KARYA")," ")</f>
        <v xml:space="preserve"> </v>
      </c>
      <c r="F6348" s="107" t="str">
        <f>IF(LEN(Table1722[[#This Row],[Uraian]])&gt;2,TRIM(RIGHT(SUBSTITUTE(TRIM(C6348)," ",REPT(" ",255)),255))," ")</f>
        <v xml:space="preserve"> </v>
      </c>
      <c r="G6348" s="110">
        <f>COPY!Z6340</f>
        <v>0</v>
      </c>
      <c r="H6348" s="111" t="str">
        <f>IFERROR(VLOOKUP(Table1722[[#This Row],[Bukti]],'Un nOTA'!$A$4:$K$5003,10,FALSE),"")</f>
        <v/>
      </c>
      <c r="I6348" s="123" t="str">
        <f>IFERROR(VLOOKUP(Table1722[[#This Row],[Bukti]],Table13[#Data],11,FALSE),"")</f>
        <v/>
      </c>
    </row>
    <row r="6349" spans="1:9" hidden="1" x14ac:dyDescent="0.2">
      <c r="A6349" s="105" t="str">
        <f>IF(D6349=1,COUNTIF($D$10:D6349,1)," ")</f>
        <v xml:space="preserve"> </v>
      </c>
      <c r="B6349" s="106">
        <f>COPY!AR6341</f>
        <v>0</v>
      </c>
      <c r="C6349" s="107">
        <f>COPY!AC6341</f>
        <v>0</v>
      </c>
      <c r="D6349" s="107" t="str">
        <f>IF(LEN(Table1722[[#This Row],[Uraian]])&gt;2,1," ")</f>
        <v xml:space="preserve"> </v>
      </c>
      <c r="E6349" s="113" t="str">
        <f>IF(Table1722[[#This Row],[Lawan Transaksi]]="CV AGUNG KARYA",COUNTIF($I$10:I6349,"CV AGUNG KARYA")," ")</f>
        <v xml:space="preserve"> </v>
      </c>
      <c r="F6349" s="107" t="str">
        <f>IF(LEN(Table1722[[#This Row],[Uraian]])&gt;2,TRIM(RIGHT(SUBSTITUTE(TRIM(C6349)," ",REPT(" ",255)),255))," ")</f>
        <v xml:space="preserve"> </v>
      </c>
      <c r="G6349" s="110">
        <f>COPY!Z6341</f>
        <v>0</v>
      </c>
      <c r="H6349" s="111" t="str">
        <f>IFERROR(VLOOKUP(Table1722[[#This Row],[Bukti]],'Un nOTA'!$A$4:$K$5003,10,FALSE),"")</f>
        <v/>
      </c>
      <c r="I6349" s="123" t="str">
        <f>IFERROR(VLOOKUP(Table1722[[#This Row],[Bukti]],Table13[#Data],11,FALSE),"")</f>
        <v/>
      </c>
    </row>
    <row r="6350" spans="1:9" hidden="1" x14ac:dyDescent="0.2">
      <c r="A6350" s="105" t="str">
        <f>IF(D6350=1,COUNTIF($D$10:D6350,1)," ")</f>
        <v xml:space="preserve"> </v>
      </c>
      <c r="B6350" s="106">
        <f>COPY!AR6342</f>
        <v>0</v>
      </c>
      <c r="C6350" s="107">
        <f>COPY!AC6342</f>
        <v>0</v>
      </c>
      <c r="D6350" s="107" t="str">
        <f>IF(LEN(Table1722[[#This Row],[Uraian]])&gt;2,1," ")</f>
        <v xml:space="preserve"> </v>
      </c>
      <c r="E6350" s="113" t="str">
        <f>IF(Table1722[[#This Row],[Lawan Transaksi]]="CV AGUNG KARYA",COUNTIF($I$10:I6350,"CV AGUNG KARYA")," ")</f>
        <v xml:space="preserve"> </v>
      </c>
      <c r="F6350" s="107" t="str">
        <f>IF(LEN(Table1722[[#This Row],[Uraian]])&gt;2,TRIM(RIGHT(SUBSTITUTE(TRIM(C6350)," ",REPT(" ",255)),255))," ")</f>
        <v xml:space="preserve"> </v>
      </c>
      <c r="G6350" s="110">
        <f>COPY!Z6342</f>
        <v>0</v>
      </c>
      <c r="H6350" s="111" t="str">
        <f>IFERROR(VLOOKUP(Table1722[[#This Row],[Bukti]],'Un nOTA'!$A$4:$K$5003,10,FALSE),"")</f>
        <v/>
      </c>
      <c r="I6350" s="123" t="str">
        <f>IFERROR(VLOOKUP(Table1722[[#This Row],[Bukti]],Table13[#Data],11,FALSE),"")</f>
        <v/>
      </c>
    </row>
    <row r="6351" spans="1:9" hidden="1" x14ac:dyDescent="0.2">
      <c r="A6351" s="105" t="str">
        <f>IF(D6351=1,COUNTIF($D$10:D6351,1)," ")</f>
        <v xml:space="preserve"> </v>
      </c>
      <c r="B6351" s="106">
        <f>COPY!AR6343</f>
        <v>0</v>
      </c>
      <c r="C6351" s="107">
        <f>COPY!AC6343</f>
        <v>0</v>
      </c>
      <c r="D6351" s="107" t="str">
        <f>IF(LEN(Table1722[[#This Row],[Uraian]])&gt;2,1," ")</f>
        <v xml:space="preserve"> </v>
      </c>
      <c r="E6351" s="113" t="str">
        <f>IF(Table1722[[#This Row],[Lawan Transaksi]]="CV AGUNG KARYA",COUNTIF($I$10:I6351,"CV AGUNG KARYA")," ")</f>
        <v xml:space="preserve"> </v>
      </c>
      <c r="F6351" s="107" t="str">
        <f>IF(LEN(Table1722[[#This Row],[Uraian]])&gt;2,TRIM(RIGHT(SUBSTITUTE(TRIM(C6351)," ",REPT(" ",255)),255))," ")</f>
        <v xml:space="preserve"> </v>
      </c>
      <c r="G6351" s="110">
        <f>COPY!Z6343</f>
        <v>0</v>
      </c>
      <c r="H6351" s="111" t="str">
        <f>IFERROR(VLOOKUP(Table1722[[#This Row],[Bukti]],'Un nOTA'!$A$4:$K$5003,10,FALSE),"")</f>
        <v/>
      </c>
      <c r="I6351" s="123" t="str">
        <f>IFERROR(VLOOKUP(Table1722[[#This Row],[Bukti]],Table13[#Data],11,FALSE),"")</f>
        <v/>
      </c>
    </row>
    <row r="6352" spans="1:9" hidden="1" x14ac:dyDescent="0.2">
      <c r="A6352" s="105" t="str">
        <f>IF(D6352=1,COUNTIF($D$10:D6352,1)," ")</f>
        <v xml:space="preserve"> </v>
      </c>
      <c r="B6352" s="106">
        <f>COPY!AR6344</f>
        <v>0</v>
      </c>
      <c r="C6352" s="107">
        <f>COPY!AC6344</f>
        <v>0</v>
      </c>
      <c r="D6352" s="107" t="str">
        <f>IF(LEN(Table1722[[#This Row],[Uraian]])&gt;2,1," ")</f>
        <v xml:space="preserve"> </v>
      </c>
      <c r="E6352" s="113" t="str">
        <f>IF(Table1722[[#This Row],[Lawan Transaksi]]="CV AGUNG KARYA",COUNTIF($I$10:I6352,"CV AGUNG KARYA")," ")</f>
        <v xml:space="preserve"> </v>
      </c>
      <c r="F6352" s="107" t="str">
        <f>IF(LEN(Table1722[[#This Row],[Uraian]])&gt;2,TRIM(RIGHT(SUBSTITUTE(TRIM(C6352)," ",REPT(" ",255)),255))," ")</f>
        <v xml:space="preserve"> </v>
      </c>
      <c r="G6352" s="110">
        <f>COPY!Z6344</f>
        <v>0</v>
      </c>
      <c r="H6352" s="111" t="str">
        <f>IFERROR(VLOOKUP(Table1722[[#This Row],[Bukti]],'Un nOTA'!$A$4:$K$5003,10,FALSE),"")</f>
        <v/>
      </c>
      <c r="I6352" s="123" t="str">
        <f>IFERROR(VLOOKUP(Table1722[[#This Row],[Bukti]],Table13[#Data],11,FALSE),"")</f>
        <v/>
      </c>
    </row>
    <row r="6353" spans="1:9" hidden="1" x14ac:dyDescent="0.2">
      <c r="A6353" s="105" t="str">
        <f>IF(D6353=1,COUNTIF($D$10:D6353,1)," ")</f>
        <v xml:space="preserve"> </v>
      </c>
      <c r="B6353" s="106">
        <f>COPY!AR6345</f>
        <v>0</v>
      </c>
      <c r="C6353" s="107">
        <f>COPY!AC6345</f>
        <v>0</v>
      </c>
      <c r="D6353" s="107" t="str">
        <f>IF(LEN(Table1722[[#This Row],[Uraian]])&gt;2,1," ")</f>
        <v xml:space="preserve"> </v>
      </c>
      <c r="E6353" s="113" t="str">
        <f>IF(Table1722[[#This Row],[Lawan Transaksi]]="CV AGUNG KARYA",COUNTIF($I$10:I6353,"CV AGUNG KARYA")," ")</f>
        <v xml:space="preserve"> </v>
      </c>
      <c r="F6353" s="107" t="str">
        <f>IF(LEN(Table1722[[#This Row],[Uraian]])&gt;2,TRIM(RIGHT(SUBSTITUTE(TRIM(C6353)," ",REPT(" ",255)),255))," ")</f>
        <v xml:space="preserve"> </v>
      </c>
      <c r="G6353" s="110">
        <f>COPY!Z6345</f>
        <v>0</v>
      </c>
      <c r="H6353" s="111" t="str">
        <f>IFERROR(VLOOKUP(Table1722[[#This Row],[Bukti]],'Un nOTA'!$A$4:$K$5003,10,FALSE),"")</f>
        <v/>
      </c>
      <c r="I6353" s="123" t="str">
        <f>IFERROR(VLOOKUP(Table1722[[#This Row],[Bukti]],Table13[#Data],11,FALSE),"")</f>
        <v/>
      </c>
    </row>
    <row r="6354" spans="1:9" hidden="1" x14ac:dyDescent="0.2">
      <c r="A6354" s="105" t="str">
        <f>IF(D6354=1,COUNTIF($D$10:D6354,1)," ")</f>
        <v xml:space="preserve"> </v>
      </c>
      <c r="B6354" s="106">
        <f>COPY!AR6346</f>
        <v>0</v>
      </c>
      <c r="C6354" s="107">
        <f>COPY!AC6346</f>
        <v>0</v>
      </c>
      <c r="D6354" s="107" t="str">
        <f>IF(LEN(Table1722[[#This Row],[Uraian]])&gt;2,1," ")</f>
        <v xml:space="preserve"> </v>
      </c>
      <c r="E6354" s="113" t="str">
        <f>IF(Table1722[[#This Row],[Lawan Transaksi]]="CV AGUNG KARYA",COUNTIF($I$10:I6354,"CV AGUNG KARYA")," ")</f>
        <v xml:space="preserve"> </v>
      </c>
      <c r="F6354" s="107" t="str">
        <f>IF(LEN(Table1722[[#This Row],[Uraian]])&gt;2,TRIM(RIGHT(SUBSTITUTE(TRIM(C6354)," ",REPT(" ",255)),255))," ")</f>
        <v xml:space="preserve"> </v>
      </c>
      <c r="G6354" s="110">
        <f>COPY!Z6346</f>
        <v>0</v>
      </c>
      <c r="H6354" s="111" t="str">
        <f>IFERROR(VLOOKUP(Table1722[[#This Row],[Bukti]],'Un nOTA'!$A$4:$K$5003,10,FALSE),"")</f>
        <v/>
      </c>
      <c r="I6354" s="123" t="str">
        <f>IFERROR(VLOOKUP(Table1722[[#This Row],[Bukti]],Table13[#Data],11,FALSE),"")</f>
        <v/>
      </c>
    </row>
    <row r="6355" spans="1:9" hidden="1" x14ac:dyDescent="0.2">
      <c r="A6355" s="105" t="str">
        <f>IF(D6355=1,COUNTIF($D$10:D6355,1)," ")</f>
        <v xml:space="preserve"> </v>
      </c>
      <c r="B6355" s="106">
        <f>COPY!AR6347</f>
        <v>0</v>
      </c>
      <c r="C6355" s="107">
        <f>COPY!AC6347</f>
        <v>0</v>
      </c>
      <c r="D6355" s="107" t="str">
        <f>IF(LEN(Table1722[[#This Row],[Uraian]])&gt;2,1," ")</f>
        <v xml:space="preserve"> </v>
      </c>
      <c r="E6355" s="113" t="str">
        <f>IF(Table1722[[#This Row],[Lawan Transaksi]]="CV AGUNG KARYA",COUNTIF($I$10:I6355,"CV AGUNG KARYA")," ")</f>
        <v xml:space="preserve"> </v>
      </c>
      <c r="F6355" s="107" t="str">
        <f>IF(LEN(Table1722[[#This Row],[Uraian]])&gt;2,TRIM(RIGHT(SUBSTITUTE(TRIM(C6355)," ",REPT(" ",255)),255))," ")</f>
        <v xml:space="preserve"> </v>
      </c>
      <c r="G6355" s="110">
        <f>COPY!Z6347</f>
        <v>0</v>
      </c>
      <c r="H6355" s="111" t="str">
        <f>IFERROR(VLOOKUP(Table1722[[#This Row],[Bukti]],'Un nOTA'!$A$4:$K$5003,10,FALSE),"")</f>
        <v/>
      </c>
      <c r="I6355" s="123" t="str">
        <f>IFERROR(VLOOKUP(Table1722[[#This Row],[Bukti]],Table13[#Data],11,FALSE),"")</f>
        <v/>
      </c>
    </row>
    <row r="6356" spans="1:9" hidden="1" x14ac:dyDescent="0.2">
      <c r="A6356" s="105" t="str">
        <f>IF(D6356=1,COUNTIF($D$10:D6356,1)," ")</f>
        <v xml:space="preserve"> </v>
      </c>
      <c r="B6356" s="106">
        <f>COPY!AR6348</f>
        <v>0</v>
      </c>
      <c r="C6356" s="107">
        <f>COPY!AC6348</f>
        <v>0</v>
      </c>
      <c r="D6356" s="107" t="str">
        <f>IF(LEN(Table1722[[#This Row],[Uraian]])&gt;2,1," ")</f>
        <v xml:space="preserve"> </v>
      </c>
      <c r="E6356" s="113" t="str">
        <f>IF(Table1722[[#This Row],[Lawan Transaksi]]="CV AGUNG KARYA",COUNTIF($I$10:I6356,"CV AGUNG KARYA")," ")</f>
        <v xml:space="preserve"> </v>
      </c>
      <c r="F6356" s="107" t="str">
        <f>IF(LEN(Table1722[[#This Row],[Uraian]])&gt;2,TRIM(RIGHT(SUBSTITUTE(TRIM(C6356)," ",REPT(" ",255)),255))," ")</f>
        <v xml:space="preserve"> </v>
      </c>
      <c r="G6356" s="110">
        <f>COPY!Z6348</f>
        <v>0</v>
      </c>
      <c r="H6356" s="111" t="str">
        <f>IFERROR(VLOOKUP(Table1722[[#This Row],[Bukti]],'Un nOTA'!$A$4:$K$5003,10,FALSE),"")</f>
        <v/>
      </c>
      <c r="I6356" s="123" t="str">
        <f>IFERROR(VLOOKUP(Table1722[[#This Row],[Bukti]],Table13[#Data],11,FALSE),"")</f>
        <v/>
      </c>
    </row>
    <row r="6357" spans="1:9" hidden="1" x14ac:dyDescent="0.2">
      <c r="A6357" s="105" t="str">
        <f>IF(D6357=1,COUNTIF($D$10:D6357,1)," ")</f>
        <v xml:space="preserve"> </v>
      </c>
      <c r="B6357" s="106">
        <f>COPY!AR6349</f>
        <v>0</v>
      </c>
      <c r="C6357" s="107">
        <f>COPY!AC6349</f>
        <v>0</v>
      </c>
      <c r="D6357" s="107" t="str">
        <f>IF(LEN(Table1722[[#This Row],[Uraian]])&gt;2,1," ")</f>
        <v xml:space="preserve"> </v>
      </c>
      <c r="E6357" s="113" t="str">
        <f>IF(Table1722[[#This Row],[Lawan Transaksi]]="CV AGUNG KARYA",COUNTIF($I$10:I6357,"CV AGUNG KARYA")," ")</f>
        <v xml:space="preserve"> </v>
      </c>
      <c r="F6357" s="107" t="str">
        <f>IF(LEN(Table1722[[#This Row],[Uraian]])&gt;2,TRIM(RIGHT(SUBSTITUTE(TRIM(C6357)," ",REPT(" ",255)),255))," ")</f>
        <v xml:space="preserve"> </v>
      </c>
      <c r="G6357" s="110">
        <f>COPY!Z6349</f>
        <v>0</v>
      </c>
      <c r="H6357" s="111" t="str">
        <f>IFERROR(VLOOKUP(Table1722[[#This Row],[Bukti]],'Un nOTA'!$A$4:$K$5003,10,FALSE),"")</f>
        <v/>
      </c>
      <c r="I6357" s="123" t="str">
        <f>IFERROR(VLOOKUP(Table1722[[#This Row],[Bukti]],Table13[#Data],11,FALSE),"")</f>
        <v/>
      </c>
    </row>
    <row r="6358" spans="1:9" hidden="1" x14ac:dyDescent="0.2">
      <c r="A6358" s="105" t="str">
        <f>IF(D6358=1,COUNTIF($D$10:D6358,1)," ")</f>
        <v xml:space="preserve"> </v>
      </c>
      <c r="B6358" s="106">
        <f>COPY!AR6350</f>
        <v>0</v>
      </c>
      <c r="C6358" s="107">
        <f>COPY!AC6350</f>
        <v>0</v>
      </c>
      <c r="D6358" s="107" t="str">
        <f>IF(LEN(Table1722[[#This Row],[Uraian]])&gt;2,1," ")</f>
        <v xml:space="preserve"> </v>
      </c>
      <c r="E6358" s="113" t="str">
        <f>IF(Table1722[[#This Row],[Lawan Transaksi]]="CV AGUNG KARYA",COUNTIF($I$10:I6358,"CV AGUNG KARYA")," ")</f>
        <v xml:space="preserve"> </v>
      </c>
      <c r="F6358" s="107" t="str">
        <f>IF(LEN(Table1722[[#This Row],[Uraian]])&gt;2,TRIM(RIGHT(SUBSTITUTE(TRIM(C6358)," ",REPT(" ",255)),255))," ")</f>
        <v xml:space="preserve"> </v>
      </c>
      <c r="G6358" s="110">
        <f>COPY!Z6350</f>
        <v>0</v>
      </c>
      <c r="H6358" s="111" t="str">
        <f>IFERROR(VLOOKUP(Table1722[[#This Row],[Bukti]],'Un nOTA'!$A$4:$K$5003,10,FALSE),"")</f>
        <v/>
      </c>
      <c r="I6358" s="123" t="str">
        <f>IFERROR(VLOOKUP(Table1722[[#This Row],[Bukti]],Table13[#Data],11,FALSE),"")</f>
        <v/>
      </c>
    </row>
    <row r="6359" spans="1:9" hidden="1" x14ac:dyDescent="0.2">
      <c r="A6359" s="105" t="str">
        <f>IF(D6359=1,COUNTIF($D$10:D6359,1)," ")</f>
        <v xml:space="preserve"> </v>
      </c>
      <c r="B6359" s="106">
        <f>COPY!AR6351</f>
        <v>0</v>
      </c>
      <c r="C6359" s="107">
        <f>COPY!AC6351</f>
        <v>0</v>
      </c>
      <c r="D6359" s="107" t="str">
        <f>IF(LEN(Table1722[[#This Row],[Uraian]])&gt;2,1," ")</f>
        <v xml:space="preserve"> </v>
      </c>
      <c r="E6359" s="113" t="str">
        <f>IF(Table1722[[#This Row],[Lawan Transaksi]]="CV AGUNG KARYA",COUNTIF($I$10:I6359,"CV AGUNG KARYA")," ")</f>
        <v xml:space="preserve"> </v>
      </c>
      <c r="F6359" s="107" t="str">
        <f>IF(LEN(Table1722[[#This Row],[Uraian]])&gt;2,TRIM(RIGHT(SUBSTITUTE(TRIM(C6359)," ",REPT(" ",255)),255))," ")</f>
        <v xml:space="preserve"> </v>
      </c>
      <c r="G6359" s="110">
        <f>COPY!Z6351</f>
        <v>0</v>
      </c>
      <c r="H6359" s="111" t="str">
        <f>IFERROR(VLOOKUP(Table1722[[#This Row],[Bukti]],'Un nOTA'!$A$4:$K$5003,10,FALSE),"")</f>
        <v/>
      </c>
      <c r="I6359" s="123" t="str">
        <f>IFERROR(VLOOKUP(Table1722[[#This Row],[Bukti]],Table13[#Data],11,FALSE),"")</f>
        <v/>
      </c>
    </row>
    <row r="6360" spans="1:9" hidden="1" x14ac:dyDescent="0.2">
      <c r="A6360" s="105" t="str">
        <f>IF(D6360=1,COUNTIF($D$10:D6360,1)," ")</f>
        <v xml:space="preserve"> </v>
      </c>
      <c r="B6360" s="106">
        <f>COPY!AR6352</f>
        <v>0</v>
      </c>
      <c r="C6360" s="107">
        <f>COPY!AC6352</f>
        <v>0</v>
      </c>
      <c r="D6360" s="107" t="str">
        <f>IF(LEN(Table1722[[#This Row],[Uraian]])&gt;2,1," ")</f>
        <v xml:space="preserve"> </v>
      </c>
      <c r="E6360" s="113" t="str">
        <f>IF(Table1722[[#This Row],[Lawan Transaksi]]="CV AGUNG KARYA",COUNTIF($I$10:I6360,"CV AGUNG KARYA")," ")</f>
        <v xml:space="preserve"> </v>
      </c>
      <c r="F6360" s="107" t="str">
        <f>IF(LEN(Table1722[[#This Row],[Uraian]])&gt;2,TRIM(RIGHT(SUBSTITUTE(TRIM(C6360)," ",REPT(" ",255)),255))," ")</f>
        <v xml:space="preserve"> </v>
      </c>
      <c r="G6360" s="110">
        <f>COPY!Z6352</f>
        <v>0</v>
      </c>
      <c r="H6360" s="111" t="str">
        <f>IFERROR(VLOOKUP(Table1722[[#This Row],[Bukti]],'Un nOTA'!$A$4:$K$5003,10,FALSE),"")</f>
        <v/>
      </c>
      <c r="I6360" s="123" t="str">
        <f>IFERROR(VLOOKUP(Table1722[[#This Row],[Bukti]],Table13[#Data],11,FALSE),"")</f>
        <v/>
      </c>
    </row>
    <row r="6361" spans="1:9" hidden="1" x14ac:dyDescent="0.2">
      <c r="A6361" s="105" t="str">
        <f>IF(D6361=1,COUNTIF($D$10:D6361,1)," ")</f>
        <v xml:space="preserve"> </v>
      </c>
      <c r="B6361" s="106">
        <f>COPY!AR6353</f>
        <v>0</v>
      </c>
      <c r="C6361" s="107">
        <f>COPY!AC6353</f>
        <v>0</v>
      </c>
      <c r="D6361" s="107" t="str">
        <f>IF(LEN(Table1722[[#This Row],[Uraian]])&gt;2,1," ")</f>
        <v xml:space="preserve"> </v>
      </c>
      <c r="E6361" s="113" t="str">
        <f>IF(Table1722[[#This Row],[Lawan Transaksi]]="CV AGUNG KARYA",COUNTIF($I$10:I6361,"CV AGUNG KARYA")," ")</f>
        <v xml:space="preserve"> </v>
      </c>
      <c r="F6361" s="107" t="str">
        <f>IF(LEN(Table1722[[#This Row],[Uraian]])&gt;2,TRIM(RIGHT(SUBSTITUTE(TRIM(C6361)," ",REPT(" ",255)),255))," ")</f>
        <v xml:space="preserve"> </v>
      </c>
      <c r="G6361" s="110">
        <f>COPY!Z6353</f>
        <v>0</v>
      </c>
      <c r="H6361" s="111" t="str">
        <f>IFERROR(VLOOKUP(Table1722[[#This Row],[Bukti]],'Un nOTA'!$A$4:$K$5003,10,FALSE),"")</f>
        <v/>
      </c>
      <c r="I6361" s="123" t="str">
        <f>IFERROR(VLOOKUP(Table1722[[#This Row],[Bukti]],Table13[#Data],11,FALSE),"")</f>
        <v/>
      </c>
    </row>
    <row r="6362" spans="1:9" hidden="1" x14ac:dyDescent="0.2">
      <c r="A6362" s="105" t="str">
        <f>IF(D6362=1,COUNTIF($D$10:D6362,1)," ")</f>
        <v xml:space="preserve"> </v>
      </c>
      <c r="B6362" s="106">
        <f>COPY!AR6354</f>
        <v>0</v>
      </c>
      <c r="C6362" s="107">
        <f>COPY!AC6354</f>
        <v>0</v>
      </c>
      <c r="D6362" s="107" t="str">
        <f>IF(LEN(Table1722[[#This Row],[Uraian]])&gt;2,1," ")</f>
        <v xml:space="preserve"> </v>
      </c>
      <c r="E6362" s="113" t="str">
        <f>IF(Table1722[[#This Row],[Lawan Transaksi]]="CV AGUNG KARYA",COUNTIF($I$10:I6362,"CV AGUNG KARYA")," ")</f>
        <v xml:space="preserve"> </v>
      </c>
      <c r="F6362" s="107" t="str">
        <f>IF(LEN(Table1722[[#This Row],[Uraian]])&gt;2,TRIM(RIGHT(SUBSTITUTE(TRIM(C6362)," ",REPT(" ",255)),255))," ")</f>
        <v xml:space="preserve"> </v>
      </c>
      <c r="G6362" s="110">
        <f>COPY!Z6354</f>
        <v>0</v>
      </c>
      <c r="H6362" s="111" t="str">
        <f>IFERROR(VLOOKUP(Table1722[[#This Row],[Bukti]],'Un nOTA'!$A$4:$K$5003,10,FALSE),"")</f>
        <v/>
      </c>
      <c r="I6362" s="123" t="str">
        <f>IFERROR(VLOOKUP(Table1722[[#This Row],[Bukti]],Table13[#Data],11,FALSE),"")</f>
        <v/>
      </c>
    </row>
    <row r="6363" spans="1:9" hidden="1" x14ac:dyDescent="0.2">
      <c r="A6363" s="105" t="str">
        <f>IF(D6363=1,COUNTIF($D$10:D6363,1)," ")</f>
        <v xml:space="preserve"> </v>
      </c>
      <c r="B6363" s="106">
        <f>COPY!AR6355</f>
        <v>0</v>
      </c>
      <c r="C6363" s="107">
        <f>COPY!AC6355</f>
        <v>0</v>
      </c>
      <c r="D6363" s="107" t="str">
        <f>IF(LEN(Table1722[[#This Row],[Uraian]])&gt;2,1," ")</f>
        <v xml:space="preserve"> </v>
      </c>
      <c r="E6363" s="113" t="str">
        <f>IF(Table1722[[#This Row],[Lawan Transaksi]]="CV AGUNG KARYA",COUNTIF($I$10:I6363,"CV AGUNG KARYA")," ")</f>
        <v xml:space="preserve"> </v>
      </c>
      <c r="F6363" s="107" t="str">
        <f>IF(LEN(Table1722[[#This Row],[Uraian]])&gt;2,TRIM(RIGHT(SUBSTITUTE(TRIM(C6363)," ",REPT(" ",255)),255))," ")</f>
        <v xml:space="preserve"> </v>
      </c>
      <c r="G6363" s="110">
        <f>COPY!Z6355</f>
        <v>0</v>
      </c>
      <c r="H6363" s="111" t="str">
        <f>IFERROR(VLOOKUP(Table1722[[#This Row],[Bukti]],'Un nOTA'!$A$4:$K$5003,10,FALSE),"")</f>
        <v/>
      </c>
      <c r="I6363" s="123" t="str">
        <f>IFERROR(VLOOKUP(Table1722[[#This Row],[Bukti]],Table13[#Data],11,FALSE),"")</f>
        <v/>
      </c>
    </row>
    <row r="6364" spans="1:9" hidden="1" x14ac:dyDescent="0.2">
      <c r="A6364" s="105" t="str">
        <f>IF(D6364=1,COUNTIF($D$10:D6364,1)," ")</f>
        <v xml:space="preserve"> </v>
      </c>
      <c r="B6364" s="106">
        <f>COPY!AR6356</f>
        <v>0</v>
      </c>
      <c r="C6364" s="107">
        <f>COPY!AC6356</f>
        <v>0</v>
      </c>
      <c r="D6364" s="107" t="str">
        <f>IF(LEN(Table1722[[#This Row],[Uraian]])&gt;2,1," ")</f>
        <v xml:space="preserve"> </v>
      </c>
      <c r="E6364" s="113" t="str">
        <f>IF(Table1722[[#This Row],[Lawan Transaksi]]="CV AGUNG KARYA",COUNTIF($I$10:I6364,"CV AGUNG KARYA")," ")</f>
        <v xml:space="preserve"> </v>
      </c>
      <c r="F6364" s="107" t="str">
        <f>IF(LEN(Table1722[[#This Row],[Uraian]])&gt;2,TRIM(RIGHT(SUBSTITUTE(TRIM(C6364)," ",REPT(" ",255)),255))," ")</f>
        <v xml:space="preserve"> </v>
      </c>
      <c r="G6364" s="110">
        <f>COPY!Z6356</f>
        <v>0</v>
      </c>
      <c r="H6364" s="111" t="str">
        <f>IFERROR(VLOOKUP(Table1722[[#This Row],[Bukti]],'Un nOTA'!$A$4:$K$5003,10,FALSE),"")</f>
        <v/>
      </c>
      <c r="I6364" s="123" t="str">
        <f>IFERROR(VLOOKUP(Table1722[[#This Row],[Bukti]],Table13[#Data],11,FALSE),"")</f>
        <v/>
      </c>
    </row>
    <row r="6365" spans="1:9" hidden="1" x14ac:dyDescent="0.2">
      <c r="A6365" s="105" t="str">
        <f>IF(D6365=1,COUNTIF($D$10:D6365,1)," ")</f>
        <v xml:space="preserve"> </v>
      </c>
      <c r="B6365" s="106">
        <f>COPY!AR6357</f>
        <v>0</v>
      </c>
      <c r="C6365" s="107">
        <f>COPY!AC6357</f>
        <v>0</v>
      </c>
      <c r="D6365" s="107" t="str">
        <f>IF(LEN(Table1722[[#This Row],[Uraian]])&gt;2,1," ")</f>
        <v xml:space="preserve"> </v>
      </c>
      <c r="E6365" s="113" t="str">
        <f>IF(Table1722[[#This Row],[Lawan Transaksi]]="CV AGUNG KARYA",COUNTIF($I$10:I6365,"CV AGUNG KARYA")," ")</f>
        <v xml:space="preserve"> </v>
      </c>
      <c r="F6365" s="107" t="str">
        <f>IF(LEN(Table1722[[#This Row],[Uraian]])&gt;2,TRIM(RIGHT(SUBSTITUTE(TRIM(C6365)," ",REPT(" ",255)),255))," ")</f>
        <v xml:space="preserve"> </v>
      </c>
      <c r="G6365" s="110">
        <f>COPY!Z6357</f>
        <v>0</v>
      </c>
      <c r="H6365" s="111" t="str">
        <f>IFERROR(VLOOKUP(Table1722[[#This Row],[Bukti]],'Un nOTA'!$A$4:$K$5003,10,FALSE),"")</f>
        <v/>
      </c>
      <c r="I6365" s="123" t="str">
        <f>IFERROR(VLOOKUP(Table1722[[#This Row],[Bukti]],Table13[#Data],11,FALSE),"")</f>
        <v/>
      </c>
    </row>
    <row r="6366" spans="1:9" hidden="1" x14ac:dyDescent="0.2">
      <c r="A6366" s="105" t="str">
        <f>IF(D6366=1,COUNTIF($D$10:D6366,1)," ")</f>
        <v xml:space="preserve"> </v>
      </c>
      <c r="B6366" s="106">
        <f>COPY!AR6358</f>
        <v>0</v>
      </c>
      <c r="C6366" s="107">
        <f>COPY!AC6358</f>
        <v>0</v>
      </c>
      <c r="D6366" s="107" t="str">
        <f>IF(LEN(Table1722[[#This Row],[Uraian]])&gt;2,1," ")</f>
        <v xml:space="preserve"> </v>
      </c>
      <c r="E6366" s="113" t="str">
        <f>IF(Table1722[[#This Row],[Lawan Transaksi]]="CV AGUNG KARYA",COUNTIF($I$10:I6366,"CV AGUNG KARYA")," ")</f>
        <v xml:space="preserve"> </v>
      </c>
      <c r="F6366" s="107" t="str">
        <f>IF(LEN(Table1722[[#This Row],[Uraian]])&gt;2,TRIM(RIGHT(SUBSTITUTE(TRIM(C6366)," ",REPT(" ",255)),255))," ")</f>
        <v xml:space="preserve"> </v>
      </c>
      <c r="G6366" s="110">
        <f>COPY!Z6358</f>
        <v>0</v>
      </c>
      <c r="H6366" s="111" t="str">
        <f>IFERROR(VLOOKUP(Table1722[[#This Row],[Bukti]],'Un nOTA'!$A$4:$K$5003,10,FALSE),"")</f>
        <v/>
      </c>
      <c r="I6366" s="123" t="str">
        <f>IFERROR(VLOOKUP(Table1722[[#This Row],[Bukti]],Table13[#Data],11,FALSE),"")</f>
        <v/>
      </c>
    </row>
    <row r="6367" spans="1:9" hidden="1" x14ac:dyDescent="0.2">
      <c r="A6367" s="105" t="str">
        <f>IF(D6367=1,COUNTIF($D$10:D6367,1)," ")</f>
        <v xml:space="preserve"> </v>
      </c>
      <c r="B6367" s="106">
        <f>COPY!AR6359</f>
        <v>0</v>
      </c>
      <c r="C6367" s="107">
        <f>COPY!AC6359</f>
        <v>0</v>
      </c>
      <c r="D6367" s="107" t="str">
        <f>IF(LEN(Table1722[[#This Row],[Uraian]])&gt;2,1," ")</f>
        <v xml:space="preserve"> </v>
      </c>
      <c r="E6367" s="113" t="str">
        <f>IF(Table1722[[#This Row],[Lawan Transaksi]]="CV AGUNG KARYA",COUNTIF($I$10:I6367,"CV AGUNG KARYA")," ")</f>
        <v xml:space="preserve"> </v>
      </c>
      <c r="F6367" s="107" t="str">
        <f>IF(LEN(Table1722[[#This Row],[Uraian]])&gt;2,TRIM(RIGHT(SUBSTITUTE(TRIM(C6367)," ",REPT(" ",255)),255))," ")</f>
        <v xml:space="preserve"> </v>
      </c>
      <c r="G6367" s="110">
        <f>COPY!Z6359</f>
        <v>0</v>
      </c>
      <c r="H6367" s="111" t="str">
        <f>IFERROR(VLOOKUP(Table1722[[#This Row],[Bukti]],'Un nOTA'!$A$4:$K$5003,10,FALSE),"")</f>
        <v/>
      </c>
      <c r="I6367" s="123" t="str">
        <f>IFERROR(VLOOKUP(Table1722[[#This Row],[Bukti]],Table13[#Data],11,FALSE),"")</f>
        <v/>
      </c>
    </row>
    <row r="6368" spans="1:9" hidden="1" x14ac:dyDescent="0.2">
      <c r="A6368" s="105" t="str">
        <f>IF(D6368=1,COUNTIF($D$10:D6368,1)," ")</f>
        <v xml:space="preserve"> </v>
      </c>
      <c r="B6368" s="106">
        <f>COPY!AR6360</f>
        <v>0</v>
      </c>
      <c r="C6368" s="107">
        <f>COPY!AC6360</f>
        <v>0</v>
      </c>
      <c r="D6368" s="107" t="str">
        <f>IF(LEN(Table1722[[#This Row],[Uraian]])&gt;2,1," ")</f>
        <v xml:space="preserve"> </v>
      </c>
      <c r="E6368" s="113" t="str">
        <f>IF(Table1722[[#This Row],[Lawan Transaksi]]="CV AGUNG KARYA",COUNTIF($I$10:I6368,"CV AGUNG KARYA")," ")</f>
        <v xml:space="preserve"> </v>
      </c>
      <c r="F6368" s="107" t="str">
        <f>IF(LEN(Table1722[[#This Row],[Uraian]])&gt;2,TRIM(RIGHT(SUBSTITUTE(TRIM(C6368)," ",REPT(" ",255)),255))," ")</f>
        <v xml:space="preserve"> </v>
      </c>
      <c r="G6368" s="110">
        <f>COPY!Z6360</f>
        <v>0</v>
      </c>
      <c r="H6368" s="111" t="str">
        <f>IFERROR(VLOOKUP(Table1722[[#This Row],[Bukti]],'Un nOTA'!$A$4:$K$5003,10,FALSE),"")</f>
        <v/>
      </c>
      <c r="I6368" s="123" t="str">
        <f>IFERROR(VLOOKUP(Table1722[[#This Row],[Bukti]],Table13[#Data],11,FALSE),"")</f>
        <v/>
      </c>
    </row>
    <row r="6369" spans="1:9" hidden="1" x14ac:dyDescent="0.2">
      <c r="A6369" s="105" t="str">
        <f>IF(D6369=1,COUNTIF($D$10:D6369,1)," ")</f>
        <v xml:space="preserve"> </v>
      </c>
      <c r="B6369" s="106">
        <f>COPY!AR6361</f>
        <v>0</v>
      </c>
      <c r="C6369" s="107">
        <f>COPY!AC6361</f>
        <v>0</v>
      </c>
      <c r="D6369" s="107" t="str">
        <f>IF(LEN(Table1722[[#This Row],[Uraian]])&gt;2,1," ")</f>
        <v xml:space="preserve"> </v>
      </c>
      <c r="E6369" s="113" t="str">
        <f>IF(Table1722[[#This Row],[Lawan Transaksi]]="CV AGUNG KARYA",COUNTIF($I$10:I6369,"CV AGUNG KARYA")," ")</f>
        <v xml:space="preserve"> </v>
      </c>
      <c r="F6369" s="107" t="str">
        <f>IF(LEN(Table1722[[#This Row],[Uraian]])&gt;2,TRIM(RIGHT(SUBSTITUTE(TRIM(C6369)," ",REPT(" ",255)),255))," ")</f>
        <v xml:space="preserve"> </v>
      </c>
      <c r="G6369" s="110">
        <f>COPY!Z6361</f>
        <v>0</v>
      </c>
      <c r="H6369" s="111" t="str">
        <f>IFERROR(VLOOKUP(Table1722[[#This Row],[Bukti]],'Un nOTA'!$A$4:$K$5003,10,FALSE),"")</f>
        <v/>
      </c>
      <c r="I6369" s="123" t="str">
        <f>IFERROR(VLOOKUP(Table1722[[#This Row],[Bukti]],Table13[#Data],11,FALSE),"")</f>
        <v/>
      </c>
    </row>
    <row r="6370" spans="1:9" hidden="1" x14ac:dyDescent="0.2">
      <c r="A6370" s="105" t="str">
        <f>IF(D6370=1,COUNTIF($D$10:D6370,1)," ")</f>
        <v xml:space="preserve"> </v>
      </c>
      <c r="B6370" s="106">
        <f>COPY!AR6362</f>
        <v>0</v>
      </c>
      <c r="C6370" s="107">
        <f>COPY!AC6362</f>
        <v>0</v>
      </c>
      <c r="D6370" s="107" t="str">
        <f>IF(LEN(Table1722[[#This Row],[Uraian]])&gt;2,1," ")</f>
        <v xml:space="preserve"> </v>
      </c>
      <c r="E6370" s="113" t="str">
        <f>IF(Table1722[[#This Row],[Lawan Transaksi]]="CV AGUNG KARYA",COUNTIF($I$10:I6370,"CV AGUNG KARYA")," ")</f>
        <v xml:space="preserve"> </v>
      </c>
      <c r="F6370" s="107" t="str">
        <f>IF(LEN(Table1722[[#This Row],[Uraian]])&gt;2,TRIM(RIGHT(SUBSTITUTE(TRIM(C6370)," ",REPT(" ",255)),255))," ")</f>
        <v xml:space="preserve"> </v>
      </c>
      <c r="G6370" s="110">
        <f>COPY!Z6362</f>
        <v>0</v>
      </c>
      <c r="H6370" s="111" t="str">
        <f>IFERROR(VLOOKUP(Table1722[[#This Row],[Bukti]],'Un nOTA'!$A$4:$K$5003,10,FALSE),"")</f>
        <v/>
      </c>
      <c r="I6370" s="123" t="str">
        <f>IFERROR(VLOOKUP(Table1722[[#This Row],[Bukti]],Table13[#Data],11,FALSE),"")</f>
        <v/>
      </c>
    </row>
    <row r="6371" spans="1:9" hidden="1" x14ac:dyDescent="0.2">
      <c r="A6371" s="105" t="str">
        <f>IF(D6371=1,COUNTIF($D$10:D6371,1)," ")</f>
        <v xml:space="preserve"> </v>
      </c>
      <c r="B6371" s="106">
        <f>COPY!AR6363</f>
        <v>0</v>
      </c>
      <c r="C6371" s="107">
        <f>COPY!AC6363</f>
        <v>0</v>
      </c>
      <c r="D6371" s="107" t="str">
        <f>IF(LEN(Table1722[[#This Row],[Uraian]])&gt;2,1," ")</f>
        <v xml:space="preserve"> </v>
      </c>
      <c r="E6371" s="113" t="str">
        <f>IF(Table1722[[#This Row],[Lawan Transaksi]]="CV AGUNG KARYA",COUNTIF($I$10:I6371,"CV AGUNG KARYA")," ")</f>
        <v xml:space="preserve"> </v>
      </c>
      <c r="F6371" s="107" t="str">
        <f>IF(LEN(Table1722[[#This Row],[Uraian]])&gt;2,TRIM(RIGHT(SUBSTITUTE(TRIM(C6371)," ",REPT(" ",255)),255))," ")</f>
        <v xml:space="preserve"> </v>
      </c>
      <c r="G6371" s="110">
        <f>COPY!Z6363</f>
        <v>0</v>
      </c>
      <c r="H6371" s="111" t="str">
        <f>IFERROR(VLOOKUP(Table1722[[#This Row],[Bukti]],'Un nOTA'!$A$4:$K$5003,10,FALSE),"")</f>
        <v/>
      </c>
      <c r="I6371" s="123" t="str">
        <f>IFERROR(VLOOKUP(Table1722[[#This Row],[Bukti]],Table13[#Data],11,FALSE),"")</f>
        <v/>
      </c>
    </row>
    <row r="6372" spans="1:9" hidden="1" x14ac:dyDescent="0.2">
      <c r="A6372" s="105" t="str">
        <f>IF(D6372=1,COUNTIF($D$10:D6372,1)," ")</f>
        <v xml:space="preserve"> </v>
      </c>
      <c r="B6372" s="106">
        <f>COPY!AR6364</f>
        <v>0</v>
      </c>
      <c r="C6372" s="107">
        <f>COPY!AC6364</f>
        <v>0</v>
      </c>
      <c r="D6372" s="107" t="str">
        <f>IF(LEN(Table1722[[#This Row],[Uraian]])&gt;2,1," ")</f>
        <v xml:space="preserve"> </v>
      </c>
      <c r="E6372" s="113" t="str">
        <f>IF(Table1722[[#This Row],[Lawan Transaksi]]="CV AGUNG KARYA",COUNTIF($I$10:I6372,"CV AGUNG KARYA")," ")</f>
        <v xml:space="preserve"> </v>
      </c>
      <c r="F6372" s="107" t="str">
        <f>IF(LEN(Table1722[[#This Row],[Uraian]])&gt;2,TRIM(RIGHT(SUBSTITUTE(TRIM(C6372)," ",REPT(" ",255)),255))," ")</f>
        <v xml:space="preserve"> </v>
      </c>
      <c r="G6372" s="110">
        <f>COPY!Z6364</f>
        <v>0</v>
      </c>
      <c r="H6372" s="111" t="str">
        <f>IFERROR(VLOOKUP(Table1722[[#This Row],[Bukti]],'Un nOTA'!$A$4:$K$5003,10,FALSE),"")</f>
        <v/>
      </c>
      <c r="I6372" s="123" t="str">
        <f>IFERROR(VLOOKUP(Table1722[[#This Row],[Bukti]],Table13[#Data],11,FALSE),"")</f>
        <v/>
      </c>
    </row>
    <row r="6373" spans="1:9" hidden="1" x14ac:dyDescent="0.2">
      <c r="A6373" s="105" t="str">
        <f>IF(D6373=1,COUNTIF($D$10:D6373,1)," ")</f>
        <v xml:space="preserve"> </v>
      </c>
      <c r="B6373" s="106">
        <f>COPY!AR6365</f>
        <v>0</v>
      </c>
      <c r="C6373" s="107">
        <f>COPY!AC6365</f>
        <v>0</v>
      </c>
      <c r="D6373" s="107" t="str">
        <f>IF(LEN(Table1722[[#This Row],[Uraian]])&gt;2,1," ")</f>
        <v xml:space="preserve"> </v>
      </c>
      <c r="E6373" s="113" t="str">
        <f>IF(Table1722[[#This Row],[Lawan Transaksi]]="CV AGUNG KARYA",COUNTIF($I$10:I6373,"CV AGUNG KARYA")," ")</f>
        <v xml:space="preserve"> </v>
      </c>
      <c r="F6373" s="107" t="str">
        <f>IF(LEN(Table1722[[#This Row],[Uraian]])&gt;2,TRIM(RIGHT(SUBSTITUTE(TRIM(C6373)," ",REPT(" ",255)),255))," ")</f>
        <v xml:space="preserve"> </v>
      </c>
      <c r="G6373" s="110">
        <f>COPY!Z6365</f>
        <v>0</v>
      </c>
      <c r="H6373" s="111" t="str">
        <f>IFERROR(VLOOKUP(Table1722[[#This Row],[Bukti]],'Un nOTA'!$A$4:$K$5003,10,FALSE),"")</f>
        <v/>
      </c>
      <c r="I6373" s="123" t="str">
        <f>IFERROR(VLOOKUP(Table1722[[#This Row],[Bukti]],Table13[#Data],11,FALSE),"")</f>
        <v/>
      </c>
    </row>
    <row r="6374" spans="1:9" hidden="1" x14ac:dyDescent="0.2">
      <c r="A6374" s="105" t="str">
        <f>IF(D6374=1,COUNTIF($D$10:D6374,1)," ")</f>
        <v xml:space="preserve"> </v>
      </c>
      <c r="B6374" s="106">
        <f>COPY!AR6366</f>
        <v>0</v>
      </c>
      <c r="C6374" s="107">
        <f>COPY!AC6366</f>
        <v>0</v>
      </c>
      <c r="D6374" s="107" t="str">
        <f>IF(LEN(Table1722[[#This Row],[Uraian]])&gt;2,1," ")</f>
        <v xml:space="preserve"> </v>
      </c>
      <c r="E6374" s="113" t="str">
        <f>IF(Table1722[[#This Row],[Lawan Transaksi]]="CV AGUNG KARYA",COUNTIF($I$10:I6374,"CV AGUNG KARYA")," ")</f>
        <v xml:space="preserve"> </v>
      </c>
      <c r="F6374" s="107" t="str">
        <f>IF(LEN(Table1722[[#This Row],[Uraian]])&gt;2,TRIM(RIGHT(SUBSTITUTE(TRIM(C6374)," ",REPT(" ",255)),255))," ")</f>
        <v xml:space="preserve"> </v>
      </c>
      <c r="G6374" s="110">
        <f>COPY!Z6366</f>
        <v>0</v>
      </c>
      <c r="H6374" s="111" t="str">
        <f>IFERROR(VLOOKUP(Table1722[[#This Row],[Bukti]],'Un nOTA'!$A$4:$K$5003,10,FALSE),"")</f>
        <v/>
      </c>
      <c r="I6374" s="123" t="str">
        <f>IFERROR(VLOOKUP(Table1722[[#This Row],[Bukti]],Table13[#Data],11,FALSE),"")</f>
        <v/>
      </c>
    </row>
    <row r="6375" spans="1:9" hidden="1" x14ac:dyDescent="0.2">
      <c r="A6375" s="105" t="str">
        <f>IF(D6375=1,COUNTIF($D$10:D6375,1)," ")</f>
        <v xml:space="preserve"> </v>
      </c>
      <c r="B6375" s="106">
        <f>COPY!AR6367</f>
        <v>0</v>
      </c>
      <c r="C6375" s="107">
        <f>COPY!AC6367</f>
        <v>0</v>
      </c>
      <c r="D6375" s="107" t="str">
        <f>IF(LEN(Table1722[[#This Row],[Uraian]])&gt;2,1," ")</f>
        <v xml:space="preserve"> </v>
      </c>
      <c r="E6375" s="113" t="str">
        <f>IF(Table1722[[#This Row],[Lawan Transaksi]]="CV AGUNG KARYA",COUNTIF($I$10:I6375,"CV AGUNG KARYA")," ")</f>
        <v xml:space="preserve"> </v>
      </c>
      <c r="F6375" s="107" t="str">
        <f>IF(LEN(Table1722[[#This Row],[Uraian]])&gt;2,TRIM(RIGHT(SUBSTITUTE(TRIM(C6375)," ",REPT(" ",255)),255))," ")</f>
        <v xml:space="preserve"> </v>
      </c>
      <c r="G6375" s="110">
        <f>COPY!Z6367</f>
        <v>0</v>
      </c>
      <c r="H6375" s="111" t="str">
        <f>IFERROR(VLOOKUP(Table1722[[#This Row],[Bukti]],'Un nOTA'!$A$4:$K$5003,10,FALSE),"")</f>
        <v/>
      </c>
      <c r="I6375" s="123" t="str">
        <f>IFERROR(VLOOKUP(Table1722[[#This Row],[Bukti]],Table13[#Data],11,FALSE),"")</f>
        <v/>
      </c>
    </row>
    <row r="6376" spans="1:9" hidden="1" x14ac:dyDescent="0.2">
      <c r="A6376" s="105" t="str">
        <f>IF(D6376=1,COUNTIF($D$10:D6376,1)," ")</f>
        <v xml:space="preserve"> </v>
      </c>
      <c r="B6376" s="106">
        <f>COPY!AR6368</f>
        <v>0</v>
      </c>
      <c r="C6376" s="107">
        <f>COPY!AC6368</f>
        <v>0</v>
      </c>
      <c r="D6376" s="107" t="str">
        <f>IF(LEN(Table1722[[#This Row],[Uraian]])&gt;2,1," ")</f>
        <v xml:space="preserve"> </v>
      </c>
      <c r="E6376" s="113" t="str">
        <f>IF(Table1722[[#This Row],[Lawan Transaksi]]="CV AGUNG KARYA",COUNTIF($I$10:I6376,"CV AGUNG KARYA")," ")</f>
        <v xml:space="preserve"> </v>
      </c>
      <c r="F6376" s="107" t="str">
        <f>IF(LEN(Table1722[[#This Row],[Uraian]])&gt;2,TRIM(RIGHT(SUBSTITUTE(TRIM(C6376)," ",REPT(" ",255)),255))," ")</f>
        <v xml:space="preserve"> </v>
      </c>
      <c r="G6376" s="110">
        <f>COPY!Z6368</f>
        <v>0</v>
      </c>
      <c r="H6376" s="111" t="str">
        <f>IFERROR(VLOOKUP(Table1722[[#This Row],[Bukti]],'Un nOTA'!$A$4:$K$5003,10,FALSE),"")</f>
        <v/>
      </c>
      <c r="I6376" s="123" t="str">
        <f>IFERROR(VLOOKUP(Table1722[[#This Row],[Bukti]],Table13[#Data],11,FALSE),"")</f>
        <v/>
      </c>
    </row>
    <row r="6377" spans="1:9" hidden="1" x14ac:dyDescent="0.2">
      <c r="A6377" s="105" t="str">
        <f>IF(D6377=1,COUNTIF($D$10:D6377,1)," ")</f>
        <v xml:space="preserve"> </v>
      </c>
      <c r="B6377" s="106">
        <f>COPY!AR6369</f>
        <v>0</v>
      </c>
      <c r="C6377" s="107">
        <f>COPY!AC6369</f>
        <v>0</v>
      </c>
      <c r="D6377" s="107" t="str">
        <f>IF(LEN(Table1722[[#This Row],[Uraian]])&gt;2,1," ")</f>
        <v xml:space="preserve"> </v>
      </c>
      <c r="E6377" s="113" t="str">
        <f>IF(Table1722[[#This Row],[Lawan Transaksi]]="CV AGUNG KARYA",COUNTIF($I$10:I6377,"CV AGUNG KARYA")," ")</f>
        <v xml:space="preserve"> </v>
      </c>
      <c r="F6377" s="107" t="str">
        <f>IF(LEN(Table1722[[#This Row],[Uraian]])&gt;2,TRIM(RIGHT(SUBSTITUTE(TRIM(C6377)," ",REPT(" ",255)),255))," ")</f>
        <v xml:space="preserve"> </v>
      </c>
      <c r="G6377" s="110">
        <f>COPY!Z6369</f>
        <v>0</v>
      </c>
      <c r="H6377" s="111" t="str">
        <f>IFERROR(VLOOKUP(Table1722[[#This Row],[Bukti]],'Un nOTA'!$A$4:$K$5003,10,FALSE),"")</f>
        <v/>
      </c>
      <c r="I6377" s="123" t="str">
        <f>IFERROR(VLOOKUP(Table1722[[#This Row],[Bukti]],Table13[#Data],11,FALSE),"")</f>
        <v/>
      </c>
    </row>
    <row r="6378" spans="1:9" hidden="1" x14ac:dyDescent="0.2">
      <c r="A6378" s="105" t="str">
        <f>IF(D6378=1,COUNTIF($D$10:D6378,1)," ")</f>
        <v xml:space="preserve"> </v>
      </c>
      <c r="B6378" s="106">
        <f>COPY!AR6370</f>
        <v>0</v>
      </c>
      <c r="C6378" s="107">
        <f>COPY!AC6370</f>
        <v>0</v>
      </c>
      <c r="D6378" s="107" t="str">
        <f>IF(LEN(Table1722[[#This Row],[Uraian]])&gt;2,1," ")</f>
        <v xml:space="preserve"> </v>
      </c>
      <c r="E6378" s="113" t="str">
        <f>IF(Table1722[[#This Row],[Lawan Transaksi]]="CV AGUNG KARYA",COUNTIF($I$10:I6378,"CV AGUNG KARYA")," ")</f>
        <v xml:space="preserve"> </v>
      </c>
      <c r="F6378" s="107" t="str">
        <f>IF(LEN(Table1722[[#This Row],[Uraian]])&gt;2,TRIM(RIGHT(SUBSTITUTE(TRIM(C6378)," ",REPT(" ",255)),255))," ")</f>
        <v xml:space="preserve"> </v>
      </c>
      <c r="G6378" s="110">
        <f>COPY!Z6370</f>
        <v>0</v>
      </c>
      <c r="H6378" s="111" t="str">
        <f>IFERROR(VLOOKUP(Table1722[[#This Row],[Bukti]],'Un nOTA'!$A$4:$K$5003,10,FALSE),"")</f>
        <v/>
      </c>
      <c r="I6378" s="123" t="str">
        <f>IFERROR(VLOOKUP(Table1722[[#This Row],[Bukti]],Table13[#Data],11,FALSE),"")</f>
        <v/>
      </c>
    </row>
    <row r="6379" spans="1:9" hidden="1" x14ac:dyDescent="0.2">
      <c r="A6379" s="105" t="str">
        <f>IF(D6379=1,COUNTIF($D$10:D6379,1)," ")</f>
        <v xml:space="preserve"> </v>
      </c>
      <c r="B6379" s="106">
        <f>COPY!AR6371</f>
        <v>0</v>
      </c>
      <c r="C6379" s="107">
        <f>COPY!AC6371</f>
        <v>0</v>
      </c>
      <c r="D6379" s="107" t="str">
        <f>IF(LEN(Table1722[[#This Row],[Uraian]])&gt;2,1," ")</f>
        <v xml:space="preserve"> </v>
      </c>
      <c r="E6379" s="113" t="str">
        <f>IF(Table1722[[#This Row],[Lawan Transaksi]]="CV AGUNG KARYA",COUNTIF($I$10:I6379,"CV AGUNG KARYA")," ")</f>
        <v xml:space="preserve"> </v>
      </c>
      <c r="F6379" s="107" t="str">
        <f>IF(LEN(Table1722[[#This Row],[Uraian]])&gt;2,TRIM(RIGHT(SUBSTITUTE(TRIM(C6379)," ",REPT(" ",255)),255))," ")</f>
        <v xml:space="preserve"> </v>
      </c>
      <c r="G6379" s="110">
        <f>COPY!Z6371</f>
        <v>0</v>
      </c>
      <c r="H6379" s="111" t="str">
        <f>IFERROR(VLOOKUP(Table1722[[#This Row],[Bukti]],'Un nOTA'!$A$4:$K$5003,10,FALSE),"")</f>
        <v/>
      </c>
      <c r="I6379" s="123" t="str">
        <f>IFERROR(VLOOKUP(Table1722[[#This Row],[Bukti]],Table13[#Data],11,FALSE),"")</f>
        <v/>
      </c>
    </row>
    <row r="6380" spans="1:9" hidden="1" x14ac:dyDescent="0.2">
      <c r="A6380" s="105" t="str">
        <f>IF(D6380=1,COUNTIF($D$10:D6380,1)," ")</f>
        <v xml:space="preserve"> </v>
      </c>
      <c r="B6380" s="106">
        <f>COPY!AR6372</f>
        <v>0</v>
      </c>
      <c r="C6380" s="107">
        <f>COPY!AC6372</f>
        <v>0</v>
      </c>
      <c r="D6380" s="107" t="str">
        <f>IF(LEN(Table1722[[#This Row],[Uraian]])&gt;2,1," ")</f>
        <v xml:space="preserve"> </v>
      </c>
      <c r="E6380" s="113" t="str">
        <f>IF(Table1722[[#This Row],[Lawan Transaksi]]="CV AGUNG KARYA",COUNTIF($I$10:I6380,"CV AGUNG KARYA")," ")</f>
        <v xml:space="preserve"> </v>
      </c>
      <c r="F6380" s="107" t="str">
        <f>IF(LEN(Table1722[[#This Row],[Uraian]])&gt;2,TRIM(RIGHT(SUBSTITUTE(TRIM(C6380)," ",REPT(" ",255)),255))," ")</f>
        <v xml:space="preserve"> </v>
      </c>
      <c r="G6380" s="110">
        <f>COPY!Z6372</f>
        <v>0</v>
      </c>
      <c r="H6380" s="111" t="str">
        <f>IFERROR(VLOOKUP(Table1722[[#This Row],[Bukti]],'Un nOTA'!$A$4:$K$5003,10,FALSE),"")</f>
        <v/>
      </c>
      <c r="I6380" s="123" t="str">
        <f>IFERROR(VLOOKUP(Table1722[[#This Row],[Bukti]],Table13[#Data],11,FALSE),"")</f>
        <v/>
      </c>
    </row>
    <row r="6381" spans="1:9" hidden="1" x14ac:dyDescent="0.2">
      <c r="A6381" s="105" t="str">
        <f>IF(D6381=1,COUNTIF($D$10:D6381,1)," ")</f>
        <v xml:space="preserve"> </v>
      </c>
      <c r="B6381" s="106">
        <f>COPY!AR6373</f>
        <v>0</v>
      </c>
      <c r="C6381" s="107">
        <f>COPY!AC6373</f>
        <v>0</v>
      </c>
      <c r="D6381" s="107" t="str">
        <f>IF(LEN(Table1722[[#This Row],[Uraian]])&gt;2,1," ")</f>
        <v xml:space="preserve"> </v>
      </c>
      <c r="E6381" s="113" t="str">
        <f>IF(Table1722[[#This Row],[Lawan Transaksi]]="CV AGUNG KARYA",COUNTIF($I$10:I6381,"CV AGUNG KARYA")," ")</f>
        <v xml:space="preserve"> </v>
      </c>
      <c r="F6381" s="107" t="str">
        <f>IF(LEN(Table1722[[#This Row],[Uraian]])&gt;2,TRIM(RIGHT(SUBSTITUTE(TRIM(C6381)," ",REPT(" ",255)),255))," ")</f>
        <v xml:space="preserve"> </v>
      </c>
      <c r="G6381" s="110">
        <f>COPY!Z6373</f>
        <v>0</v>
      </c>
      <c r="H6381" s="111" t="str">
        <f>IFERROR(VLOOKUP(Table1722[[#This Row],[Bukti]],'Un nOTA'!$A$4:$K$5003,10,FALSE),"")</f>
        <v/>
      </c>
      <c r="I6381" s="123" t="str">
        <f>IFERROR(VLOOKUP(Table1722[[#This Row],[Bukti]],Table13[#Data],11,FALSE),"")</f>
        <v/>
      </c>
    </row>
    <row r="6382" spans="1:9" hidden="1" x14ac:dyDescent="0.2">
      <c r="A6382" s="105" t="str">
        <f>IF(D6382=1,COUNTIF($D$10:D6382,1)," ")</f>
        <v xml:space="preserve"> </v>
      </c>
      <c r="B6382" s="106">
        <f>COPY!AR6374</f>
        <v>0</v>
      </c>
      <c r="C6382" s="107">
        <f>COPY!AC6374</f>
        <v>0</v>
      </c>
      <c r="D6382" s="107" t="str">
        <f>IF(LEN(Table1722[[#This Row],[Uraian]])&gt;2,1," ")</f>
        <v xml:space="preserve"> </v>
      </c>
      <c r="E6382" s="113" t="str">
        <f>IF(Table1722[[#This Row],[Lawan Transaksi]]="CV AGUNG KARYA",COUNTIF($I$10:I6382,"CV AGUNG KARYA")," ")</f>
        <v xml:space="preserve"> </v>
      </c>
      <c r="F6382" s="107" t="str">
        <f>IF(LEN(Table1722[[#This Row],[Uraian]])&gt;2,TRIM(RIGHT(SUBSTITUTE(TRIM(C6382)," ",REPT(" ",255)),255))," ")</f>
        <v xml:space="preserve"> </v>
      </c>
      <c r="G6382" s="110">
        <f>COPY!Z6374</f>
        <v>0</v>
      </c>
      <c r="H6382" s="111" t="str">
        <f>IFERROR(VLOOKUP(Table1722[[#This Row],[Bukti]],'Un nOTA'!$A$4:$K$5003,10,FALSE),"")</f>
        <v/>
      </c>
      <c r="I6382" s="123" t="str">
        <f>IFERROR(VLOOKUP(Table1722[[#This Row],[Bukti]],Table13[#Data],11,FALSE),"")</f>
        <v/>
      </c>
    </row>
    <row r="6383" spans="1:9" hidden="1" x14ac:dyDescent="0.2">
      <c r="A6383" s="105" t="str">
        <f>IF(D6383=1,COUNTIF($D$10:D6383,1)," ")</f>
        <v xml:space="preserve"> </v>
      </c>
      <c r="B6383" s="106">
        <f>COPY!AR6375</f>
        <v>0</v>
      </c>
      <c r="C6383" s="107">
        <f>COPY!AC6375</f>
        <v>0</v>
      </c>
      <c r="D6383" s="107" t="str">
        <f>IF(LEN(Table1722[[#This Row],[Uraian]])&gt;2,1," ")</f>
        <v xml:space="preserve"> </v>
      </c>
      <c r="E6383" s="113" t="str">
        <f>IF(Table1722[[#This Row],[Lawan Transaksi]]="CV AGUNG KARYA",COUNTIF($I$10:I6383,"CV AGUNG KARYA")," ")</f>
        <v xml:space="preserve"> </v>
      </c>
      <c r="F6383" s="107" t="str">
        <f>IF(LEN(Table1722[[#This Row],[Uraian]])&gt;2,TRIM(RIGHT(SUBSTITUTE(TRIM(C6383)," ",REPT(" ",255)),255))," ")</f>
        <v xml:space="preserve"> </v>
      </c>
      <c r="G6383" s="110">
        <f>COPY!Z6375</f>
        <v>0</v>
      </c>
      <c r="H6383" s="111" t="str">
        <f>IFERROR(VLOOKUP(Table1722[[#This Row],[Bukti]],'Un nOTA'!$A$4:$K$5003,10,FALSE),"")</f>
        <v/>
      </c>
      <c r="I6383" s="123" t="str">
        <f>IFERROR(VLOOKUP(Table1722[[#This Row],[Bukti]],Table13[#Data],11,FALSE),"")</f>
        <v/>
      </c>
    </row>
    <row r="6384" spans="1:9" hidden="1" x14ac:dyDescent="0.2">
      <c r="A6384" s="105" t="str">
        <f>IF(D6384=1,COUNTIF($D$10:D6384,1)," ")</f>
        <v xml:space="preserve"> </v>
      </c>
      <c r="B6384" s="106">
        <f>COPY!AR6376</f>
        <v>0</v>
      </c>
      <c r="C6384" s="107">
        <f>COPY!AC6376</f>
        <v>0</v>
      </c>
      <c r="D6384" s="107" t="str">
        <f>IF(LEN(Table1722[[#This Row],[Uraian]])&gt;2,1," ")</f>
        <v xml:space="preserve"> </v>
      </c>
      <c r="E6384" s="113" t="str">
        <f>IF(Table1722[[#This Row],[Lawan Transaksi]]="CV AGUNG KARYA",COUNTIF($I$10:I6384,"CV AGUNG KARYA")," ")</f>
        <v xml:space="preserve"> </v>
      </c>
      <c r="F6384" s="107" t="str">
        <f>IF(LEN(Table1722[[#This Row],[Uraian]])&gt;2,TRIM(RIGHT(SUBSTITUTE(TRIM(C6384)," ",REPT(" ",255)),255))," ")</f>
        <v xml:space="preserve"> </v>
      </c>
      <c r="G6384" s="110">
        <f>COPY!Z6376</f>
        <v>0</v>
      </c>
      <c r="H6384" s="111" t="str">
        <f>IFERROR(VLOOKUP(Table1722[[#This Row],[Bukti]],'Un nOTA'!$A$4:$K$5003,10,FALSE),"")</f>
        <v/>
      </c>
      <c r="I6384" s="123" t="str">
        <f>IFERROR(VLOOKUP(Table1722[[#This Row],[Bukti]],Table13[#Data],11,FALSE),"")</f>
        <v/>
      </c>
    </row>
    <row r="6385" spans="1:9" hidden="1" x14ac:dyDescent="0.2">
      <c r="A6385" s="105" t="str">
        <f>IF(D6385=1,COUNTIF($D$10:D6385,1)," ")</f>
        <v xml:space="preserve"> </v>
      </c>
      <c r="B6385" s="106">
        <f>COPY!AR6377</f>
        <v>0</v>
      </c>
      <c r="C6385" s="107">
        <f>COPY!AC6377</f>
        <v>0</v>
      </c>
      <c r="D6385" s="107" t="str">
        <f>IF(LEN(Table1722[[#This Row],[Uraian]])&gt;2,1," ")</f>
        <v xml:space="preserve"> </v>
      </c>
      <c r="E6385" s="113" t="str">
        <f>IF(Table1722[[#This Row],[Lawan Transaksi]]="CV AGUNG KARYA",COUNTIF($I$10:I6385,"CV AGUNG KARYA")," ")</f>
        <v xml:space="preserve"> </v>
      </c>
      <c r="F6385" s="107" t="str">
        <f>IF(LEN(Table1722[[#This Row],[Uraian]])&gt;2,TRIM(RIGHT(SUBSTITUTE(TRIM(C6385)," ",REPT(" ",255)),255))," ")</f>
        <v xml:space="preserve"> </v>
      </c>
      <c r="G6385" s="110">
        <f>COPY!Z6377</f>
        <v>0</v>
      </c>
      <c r="H6385" s="111" t="str">
        <f>IFERROR(VLOOKUP(Table1722[[#This Row],[Bukti]],'Un nOTA'!$A$4:$K$5003,10,FALSE),"")</f>
        <v/>
      </c>
      <c r="I6385" s="123" t="str">
        <f>IFERROR(VLOOKUP(Table1722[[#This Row],[Bukti]],Table13[#Data],11,FALSE),"")</f>
        <v/>
      </c>
    </row>
    <row r="6386" spans="1:9" hidden="1" x14ac:dyDescent="0.2">
      <c r="A6386" s="105" t="str">
        <f>IF(D6386=1,COUNTIF($D$10:D6386,1)," ")</f>
        <v xml:space="preserve"> </v>
      </c>
      <c r="B6386" s="106">
        <f>COPY!AR6378</f>
        <v>0</v>
      </c>
      <c r="C6386" s="107">
        <f>COPY!AC6378</f>
        <v>0</v>
      </c>
      <c r="D6386" s="107" t="str">
        <f>IF(LEN(Table1722[[#This Row],[Uraian]])&gt;2,1," ")</f>
        <v xml:space="preserve"> </v>
      </c>
      <c r="E6386" s="113" t="str">
        <f>IF(Table1722[[#This Row],[Lawan Transaksi]]="CV AGUNG KARYA",COUNTIF($I$10:I6386,"CV AGUNG KARYA")," ")</f>
        <v xml:space="preserve"> </v>
      </c>
      <c r="F6386" s="107" t="str">
        <f>IF(LEN(Table1722[[#This Row],[Uraian]])&gt;2,TRIM(RIGHT(SUBSTITUTE(TRIM(C6386)," ",REPT(" ",255)),255))," ")</f>
        <v xml:space="preserve"> </v>
      </c>
      <c r="G6386" s="110">
        <f>COPY!Z6378</f>
        <v>0</v>
      </c>
      <c r="H6386" s="111" t="str">
        <f>IFERROR(VLOOKUP(Table1722[[#This Row],[Bukti]],'Un nOTA'!$A$4:$K$5003,10,FALSE),"")</f>
        <v/>
      </c>
      <c r="I6386" s="123" t="str">
        <f>IFERROR(VLOOKUP(Table1722[[#This Row],[Bukti]],Table13[#Data],11,FALSE),"")</f>
        <v/>
      </c>
    </row>
    <row r="6387" spans="1:9" hidden="1" x14ac:dyDescent="0.2">
      <c r="A6387" s="105" t="str">
        <f>IF(D6387=1,COUNTIF($D$10:D6387,1)," ")</f>
        <v xml:space="preserve"> </v>
      </c>
      <c r="B6387" s="106">
        <f>COPY!AR6379</f>
        <v>0</v>
      </c>
      <c r="C6387" s="107">
        <f>COPY!AC6379</f>
        <v>0</v>
      </c>
      <c r="D6387" s="107" t="str">
        <f>IF(LEN(Table1722[[#This Row],[Uraian]])&gt;2,1," ")</f>
        <v xml:space="preserve"> </v>
      </c>
      <c r="E6387" s="113" t="str">
        <f>IF(Table1722[[#This Row],[Lawan Transaksi]]="CV AGUNG KARYA",COUNTIF($I$10:I6387,"CV AGUNG KARYA")," ")</f>
        <v xml:space="preserve"> </v>
      </c>
      <c r="F6387" s="107" t="str">
        <f>IF(LEN(Table1722[[#This Row],[Uraian]])&gt;2,TRIM(RIGHT(SUBSTITUTE(TRIM(C6387)," ",REPT(" ",255)),255))," ")</f>
        <v xml:space="preserve"> </v>
      </c>
      <c r="G6387" s="110">
        <f>COPY!Z6379</f>
        <v>0</v>
      </c>
      <c r="H6387" s="111" t="str">
        <f>IFERROR(VLOOKUP(Table1722[[#This Row],[Bukti]],'Un nOTA'!$A$4:$K$5003,10,FALSE),"")</f>
        <v/>
      </c>
      <c r="I6387" s="123" t="str">
        <f>IFERROR(VLOOKUP(Table1722[[#This Row],[Bukti]],Table13[#Data],11,FALSE),"")</f>
        <v/>
      </c>
    </row>
    <row r="6388" spans="1:9" hidden="1" x14ac:dyDescent="0.2">
      <c r="A6388" s="105" t="str">
        <f>IF(D6388=1,COUNTIF($D$10:D6388,1)," ")</f>
        <v xml:space="preserve"> </v>
      </c>
      <c r="B6388" s="106">
        <f>COPY!AR6380</f>
        <v>0</v>
      </c>
      <c r="C6388" s="107">
        <f>COPY!AC6380</f>
        <v>0</v>
      </c>
      <c r="D6388" s="107" t="str">
        <f>IF(LEN(Table1722[[#This Row],[Uraian]])&gt;2,1," ")</f>
        <v xml:space="preserve"> </v>
      </c>
      <c r="E6388" s="113" t="str">
        <f>IF(Table1722[[#This Row],[Lawan Transaksi]]="CV AGUNG KARYA",COUNTIF($I$10:I6388,"CV AGUNG KARYA")," ")</f>
        <v xml:space="preserve"> </v>
      </c>
      <c r="F6388" s="107" t="str">
        <f>IF(LEN(Table1722[[#This Row],[Uraian]])&gt;2,TRIM(RIGHT(SUBSTITUTE(TRIM(C6388)," ",REPT(" ",255)),255))," ")</f>
        <v xml:space="preserve"> </v>
      </c>
      <c r="G6388" s="110">
        <f>COPY!Z6380</f>
        <v>0</v>
      </c>
      <c r="H6388" s="111" t="str">
        <f>IFERROR(VLOOKUP(Table1722[[#This Row],[Bukti]],'Un nOTA'!$A$4:$K$5003,10,FALSE),"")</f>
        <v/>
      </c>
      <c r="I6388" s="123" t="str">
        <f>IFERROR(VLOOKUP(Table1722[[#This Row],[Bukti]],Table13[#Data],11,FALSE),"")</f>
        <v/>
      </c>
    </row>
    <row r="6389" spans="1:9" hidden="1" x14ac:dyDescent="0.2">
      <c r="A6389" s="105" t="str">
        <f>IF(D6389=1,COUNTIF($D$10:D6389,1)," ")</f>
        <v xml:space="preserve"> </v>
      </c>
      <c r="B6389" s="106">
        <f>COPY!AR6381</f>
        <v>0</v>
      </c>
      <c r="C6389" s="107">
        <f>COPY!AC6381</f>
        <v>0</v>
      </c>
      <c r="D6389" s="107" t="str">
        <f>IF(LEN(Table1722[[#This Row],[Uraian]])&gt;2,1," ")</f>
        <v xml:space="preserve"> </v>
      </c>
      <c r="E6389" s="113" t="str">
        <f>IF(Table1722[[#This Row],[Lawan Transaksi]]="CV AGUNG KARYA",COUNTIF($I$10:I6389,"CV AGUNG KARYA")," ")</f>
        <v xml:space="preserve"> </v>
      </c>
      <c r="F6389" s="107" t="str">
        <f>IF(LEN(Table1722[[#This Row],[Uraian]])&gt;2,TRIM(RIGHT(SUBSTITUTE(TRIM(C6389)," ",REPT(" ",255)),255))," ")</f>
        <v xml:space="preserve"> </v>
      </c>
      <c r="G6389" s="110">
        <f>COPY!Z6381</f>
        <v>0</v>
      </c>
      <c r="H6389" s="111" t="str">
        <f>IFERROR(VLOOKUP(Table1722[[#This Row],[Bukti]],'Un nOTA'!$A$4:$K$5003,10,FALSE),"")</f>
        <v/>
      </c>
      <c r="I6389" s="123" t="str">
        <f>IFERROR(VLOOKUP(Table1722[[#This Row],[Bukti]],Table13[#Data],11,FALSE),"")</f>
        <v/>
      </c>
    </row>
    <row r="6390" spans="1:9" hidden="1" x14ac:dyDescent="0.2">
      <c r="A6390" s="105" t="str">
        <f>IF(D6390=1,COUNTIF($D$10:D6390,1)," ")</f>
        <v xml:space="preserve"> </v>
      </c>
      <c r="B6390" s="106">
        <f>COPY!AR6382</f>
        <v>0</v>
      </c>
      <c r="C6390" s="107">
        <f>COPY!AC6382</f>
        <v>0</v>
      </c>
      <c r="D6390" s="107" t="str">
        <f>IF(LEN(Table1722[[#This Row],[Uraian]])&gt;2,1," ")</f>
        <v xml:space="preserve"> </v>
      </c>
      <c r="E6390" s="113" t="str">
        <f>IF(Table1722[[#This Row],[Lawan Transaksi]]="CV AGUNG KARYA",COUNTIF($I$10:I6390,"CV AGUNG KARYA")," ")</f>
        <v xml:space="preserve"> </v>
      </c>
      <c r="F6390" s="107" t="str">
        <f>IF(LEN(Table1722[[#This Row],[Uraian]])&gt;2,TRIM(RIGHT(SUBSTITUTE(TRIM(C6390)," ",REPT(" ",255)),255))," ")</f>
        <v xml:space="preserve"> </v>
      </c>
      <c r="G6390" s="110">
        <f>COPY!Z6382</f>
        <v>0</v>
      </c>
      <c r="H6390" s="111" t="str">
        <f>IFERROR(VLOOKUP(Table1722[[#This Row],[Bukti]],'Un nOTA'!$A$4:$K$5003,10,FALSE),"")</f>
        <v/>
      </c>
      <c r="I6390" s="123" t="str">
        <f>IFERROR(VLOOKUP(Table1722[[#This Row],[Bukti]],Table13[#Data],11,FALSE),"")</f>
        <v/>
      </c>
    </row>
    <row r="6391" spans="1:9" hidden="1" x14ac:dyDescent="0.2">
      <c r="A6391" s="105" t="str">
        <f>IF(D6391=1,COUNTIF($D$10:D6391,1)," ")</f>
        <v xml:space="preserve"> </v>
      </c>
      <c r="B6391" s="106">
        <f>COPY!AR6383</f>
        <v>0</v>
      </c>
      <c r="C6391" s="107">
        <f>COPY!AC6383</f>
        <v>0</v>
      </c>
      <c r="D6391" s="107" t="str">
        <f>IF(LEN(Table1722[[#This Row],[Uraian]])&gt;2,1," ")</f>
        <v xml:space="preserve"> </v>
      </c>
      <c r="E6391" s="113" t="str">
        <f>IF(Table1722[[#This Row],[Lawan Transaksi]]="CV AGUNG KARYA",COUNTIF($I$10:I6391,"CV AGUNG KARYA")," ")</f>
        <v xml:space="preserve"> </v>
      </c>
      <c r="F6391" s="107" t="str">
        <f>IF(LEN(Table1722[[#This Row],[Uraian]])&gt;2,TRIM(RIGHT(SUBSTITUTE(TRIM(C6391)," ",REPT(" ",255)),255))," ")</f>
        <v xml:space="preserve"> </v>
      </c>
      <c r="G6391" s="110">
        <f>COPY!Z6383</f>
        <v>0</v>
      </c>
      <c r="H6391" s="111" t="str">
        <f>IFERROR(VLOOKUP(Table1722[[#This Row],[Bukti]],'Un nOTA'!$A$4:$K$5003,10,FALSE),"")</f>
        <v/>
      </c>
      <c r="I6391" s="123" t="str">
        <f>IFERROR(VLOOKUP(Table1722[[#This Row],[Bukti]],Table13[#Data],11,FALSE),"")</f>
        <v/>
      </c>
    </row>
    <row r="6392" spans="1:9" hidden="1" x14ac:dyDescent="0.2">
      <c r="A6392" s="105" t="str">
        <f>IF(D6392=1,COUNTIF($D$10:D6392,1)," ")</f>
        <v xml:space="preserve"> </v>
      </c>
      <c r="B6392" s="106">
        <f>COPY!AR6384</f>
        <v>0</v>
      </c>
      <c r="C6392" s="107">
        <f>COPY!AC6384</f>
        <v>0</v>
      </c>
      <c r="D6392" s="107" t="str">
        <f>IF(LEN(Table1722[[#This Row],[Uraian]])&gt;2,1," ")</f>
        <v xml:space="preserve"> </v>
      </c>
      <c r="E6392" s="113" t="str">
        <f>IF(Table1722[[#This Row],[Lawan Transaksi]]="CV AGUNG KARYA",COUNTIF($I$10:I6392,"CV AGUNG KARYA")," ")</f>
        <v xml:space="preserve"> </v>
      </c>
      <c r="F6392" s="107" t="str">
        <f>IF(LEN(Table1722[[#This Row],[Uraian]])&gt;2,TRIM(RIGHT(SUBSTITUTE(TRIM(C6392)," ",REPT(" ",255)),255))," ")</f>
        <v xml:space="preserve"> </v>
      </c>
      <c r="G6392" s="110">
        <f>COPY!Z6384</f>
        <v>0</v>
      </c>
      <c r="H6392" s="111" t="str">
        <f>IFERROR(VLOOKUP(Table1722[[#This Row],[Bukti]],'Un nOTA'!$A$4:$K$5003,10,FALSE),"")</f>
        <v/>
      </c>
      <c r="I6392" s="123" t="str">
        <f>IFERROR(VLOOKUP(Table1722[[#This Row],[Bukti]],Table13[#Data],11,FALSE),"")</f>
        <v/>
      </c>
    </row>
    <row r="6393" spans="1:9" hidden="1" x14ac:dyDescent="0.2">
      <c r="A6393" s="105" t="str">
        <f>IF(D6393=1,COUNTIF($D$10:D6393,1)," ")</f>
        <v xml:space="preserve"> </v>
      </c>
      <c r="B6393" s="106">
        <f>COPY!AR6385</f>
        <v>0</v>
      </c>
      <c r="C6393" s="107">
        <f>COPY!AC6385</f>
        <v>0</v>
      </c>
      <c r="D6393" s="107" t="str">
        <f>IF(LEN(Table1722[[#This Row],[Uraian]])&gt;2,1," ")</f>
        <v xml:space="preserve"> </v>
      </c>
      <c r="E6393" s="113" t="str">
        <f>IF(Table1722[[#This Row],[Lawan Transaksi]]="CV AGUNG KARYA",COUNTIF($I$10:I6393,"CV AGUNG KARYA")," ")</f>
        <v xml:space="preserve"> </v>
      </c>
      <c r="F6393" s="107" t="str">
        <f>IF(LEN(Table1722[[#This Row],[Uraian]])&gt;2,TRIM(RIGHT(SUBSTITUTE(TRIM(C6393)," ",REPT(" ",255)),255))," ")</f>
        <v xml:space="preserve"> </v>
      </c>
      <c r="G6393" s="110">
        <f>COPY!Z6385</f>
        <v>0</v>
      </c>
      <c r="H6393" s="111" t="str">
        <f>IFERROR(VLOOKUP(Table1722[[#This Row],[Bukti]],'Un nOTA'!$A$4:$K$5003,10,FALSE),"")</f>
        <v/>
      </c>
      <c r="I6393" s="123" t="str">
        <f>IFERROR(VLOOKUP(Table1722[[#This Row],[Bukti]],Table13[#Data],11,FALSE),"")</f>
        <v/>
      </c>
    </row>
    <row r="6394" spans="1:9" hidden="1" x14ac:dyDescent="0.2">
      <c r="A6394" s="105" t="str">
        <f>IF(D6394=1,COUNTIF($D$10:D6394,1)," ")</f>
        <v xml:space="preserve"> </v>
      </c>
      <c r="B6394" s="106">
        <f>COPY!AR6386</f>
        <v>0</v>
      </c>
      <c r="C6394" s="107">
        <f>COPY!AC6386</f>
        <v>0</v>
      </c>
      <c r="D6394" s="107" t="str">
        <f>IF(LEN(Table1722[[#This Row],[Uraian]])&gt;2,1," ")</f>
        <v xml:space="preserve"> </v>
      </c>
      <c r="E6394" s="113" t="str">
        <f>IF(Table1722[[#This Row],[Lawan Transaksi]]="CV AGUNG KARYA",COUNTIF($I$10:I6394,"CV AGUNG KARYA")," ")</f>
        <v xml:space="preserve"> </v>
      </c>
      <c r="F6394" s="107" t="str">
        <f>IF(LEN(Table1722[[#This Row],[Uraian]])&gt;2,TRIM(RIGHT(SUBSTITUTE(TRIM(C6394)," ",REPT(" ",255)),255))," ")</f>
        <v xml:space="preserve"> </v>
      </c>
      <c r="G6394" s="110">
        <f>COPY!Z6386</f>
        <v>0</v>
      </c>
      <c r="H6394" s="111" t="str">
        <f>IFERROR(VLOOKUP(Table1722[[#This Row],[Bukti]],'Un nOTA'!$A$4:$K$5003,10,FALSE),"")</f>
        <v/>
      </c>
      <c r="I6394" s="123" t="str">
        <f>IFERROR(VLOOKUP(Table1722[[#This Row],[Bukti]],Table13[#Data],11,FALSE),"")</f>
        <v/>
      </c>
    </row>
    <row r="6395" spans="1:9" hidden="1" x14ac:dyDescent="0.2">
      <c r="A6395" s="105" t="str">
        <f>IF(D6395=1,COUNTIF($D$10:D6395,1)," ")</f>
        <v xml:space="preserve"> </v>
      </c>
      <c r="B6395" s="106">
        <f>COPY!AR6387</f>
        <v>0</v>
      </c>
      <c r="C6395" s="107">
        <f>COPY!AC6387</f>
        <v>0</v>
      </c>
      <c r="D6395" s="107" t="str">
        <f>IF(LEN(Table1722[[#This Row],[Uraian]])&gt;2,1," ")</f>
        <v xml:space="preserve"> </v>
      </c>
      <c r="E6395" s="113" t="str">
        <f>IF(Table1722[[#This Row],[Lawan Transaksi]]="CV AGUNG KARYA",COUNTIF($I$10:I6395,"CV AGUNG KARYA")," ")</f>
        <v xml:space="preserve"> </v>
      </c>
      <c r="F6395" s="107" t="str">
        <f>IF(LEN(Table1722[[#This Row],[Uraian]])&gt;2,TRIM(RIGHT(SUBSTITUTE(TRIM(C6395)," ",REPT(" ",255)),255))," ")</f>
        <v xml:space="preserve"> </v>
      </c>
      <c r="G6395" s="110">
        <f>COPY!Z6387</f>
        <v>0</v>
      </c>
      <c r="H6395" s="111" t="str">
        <f>IFERROR(VLOOKUP(Table1722[[#This Row],[Bukti]],'Un nOTA'!$A$4:$K$5003,10,FALSE),"")</f>
        <v/>
      </c>
      <c r="I6395" s="123" t="str">
        <f>IFERROR(VLOOKUP(Table1722[[#This Row],[Bukti]],Table13[#Data],11,FALSE),"")</f>
        <v/>
      </c>
    </row>
    <row r="6396" spans="1:9" hidden="1" x14ac:dyDescent="0.2">
      <c r="A6396" s="105" t="str">
        <f>IF(D6396=1,COUNTIF($D$10:D6396,1)," ")</f>
        <v xml:space="preserve"> </v>
      </c>
      <c r="B6396" s="106">
        <f>COPY!AR6388</f>
        <v>0</v>
      </c>
      <c r="C6396" s="107">
        <f>COPY!AC6388</f>
        <v>0</v>
      </c>
      <c r="D6396" s="107" t="str">
        <f>IF(LEN(Table1722[[#This Row],[Uraian]])&gt;2,1," ")</f>
        <v xml:space="preserve"> </v>
      </c>
      <c r="E6396" s="113" t="str">
        <f>IF(Table1722[[#This Row],[Lawan Transaksi]]="CV AGUNG KARYA",COUNTIF($I$10:I6396,"CV AGUNG KARYA")," ")</f>
        <v xml:space="preserve"> </v>
      </c>
      <c r="F6396" s="107" t="str">
        <f>IF(LEN(Table1722[[#This Row],[Uraian]])&gt;2,TRIM(RIGHT(SUBSTITUTE(TRIM(C6396)," ",REPT(" ",255)),255))," ")</f>
        <v xml:space="preserve"> </v>
      </c>
      <c r="G6396" s="110">
        <f>COPY!Z6388</f>
        <v>0</v>
      </c>
      <c r="H6396" s="111" t="str">
        <f>IFERROR(VLOOKUP(Table1722[[#This Row],[Bukti]],'Un nOTA'!$A$4:$K$5003,10,FALSE),"")</f>
        <v/>
      </c>
      <c r="I6396" s="123" t="str">
        <f>IFERROR(VLOOKUP(Table1722[[#This Row],[Bukti]],Table13[#Data],11,FALSE),"")</f>
        <v/>
      </c>
    </row>
    <row r="6397" spans="1:9" hidden="1" x14ac:dyDescent="0.2">
      <c r="A6397" s="105" t="str">
        <f>IF(D6397=1,COUNTIF($D$10:D6397,1)," ")</f>
        <v xml:space="preserve"> </v>
      </c>
      <c r="B6397" s="106">
        <f>COPY!AR6389</f>
        <v>0</v>
      </c>
      <c r="C6397" s="107">
        <f>COPY!AC6389</f>
        <v>0</v>
      </c>
      <c r="D6397" s="107" t="str">
        <f>IF(LEN(Table1722[[#This Row],[Uraian]])&gt;2,1," ")</f>
        <v xml:space="preserve"> </v>
      </c>
      <c r="E6397" s="113" t="str">
        <f>IF(Table1722[[#This Row],[Lawan Transaksi]]="CV AGUNG KARYA",COUNTIF($I$10:I6397,"CV AGUNG KARYA")," ")</f>
        <v xml:space="preserve"> </v>
      </c>
      <c r="F6397" s="107" t="str">
        <f>IF(LEN(Table1722[[#This Row],[Uraian]])&gt;2,TRIM(RIGHT(SUBSTITUTE(TRIM(C6397)," ",REPT(" ",255)),255))," ")</f>
        <v xml:space="preserve"> </v>
      </c>
      <c r="G6397" s="110">
        <f>COPY!Z6389</f>
        <v>0</v>
      </c>
      <c r="H6397" s="111" t="str">
        <f>IFERROR(VLOOKUP(Table1722[[#This Row],[Bukti]],'Un nOTA'!$A$4:$K$5003,10,FALSE),"")</f>
        <v/>
      </c>
      <c r="I6397" s="123" t="str">
        <f>IFERROR(VLOOKUP(Table1722[[#This Row],[Bukti]],Table13[#Data],11,FALSE),"")</f>
        <v/>
      </c>
    </row>
    <row r="6398" spans="1:9" hidden="1" x14ac:dyDescent="0.2">
      <c r="A6398" s="105" t="str">
        <f>IF(D6398=1,COUNTIF($D$10:D6398,1)," ")</f>
        <v xml:space="preserve"> </v>
      </c>
      <c r="B6398" s="106">
        <f>COPY!AR6390</f>
        <v>0</v>
      </c>
      <c r="C6398" s="107">
        <f>COPY!AC6390</f>
        <v>0</v>
      </c>
      <c r="D6398" s="107" t="str">
        <f>IF(LEN(Table1722[[#This Row],[Uraian]])&gt;2,1," ")</f>
        <v xml:space="preserve"> </v>
      </c>
      <c r="E6398" s="113" t="str">
        <f>IF(Table1722[[#This Row],[Lawan Transaksi]]="CV AGUNG KARYA",COUNTIF($I$10:I6398,"CV AGUNG KARYA")," ")</f>
        <v xml:space="preserve"> </v>
      </c>
      <c r="F6398" s="107" t="str">
        <f>IF(LEN(Table1722[[#This Row],[Uraian]])&gt;2,TRIM(RIGHT(SUBSTITUTE(TRIM(C6398)," ",REPT(" ",255)),255))," ")</f>
        <v xml:space="preserve"> </v>
      </c>
      <c r="G6398" s="110">
        <f>COPY!Z6390</f>
        <v>0</v>
      </c>
      <c r="H6398" s="111" t="str">
        <f>IFERROR(VLOOKUP(Table1722[[#This Row],[Bukti]],'Un nOTA'!$A$4:$K$5003,10,FALSE),"")</f>
        <v/>
      </c>
      <c r="I6398" s="123" t="str">
        <f>IFERROR(VLOOKUP(Table1722[[#This Row],[Bukti]],Table13[#Data],11,FALSE),"")</f>
        <v/>
      </c>
    </row>
    <row r="6399" spans="1:9" hidden="1" x14ac:dyDescent="0.2">
      <c r="A6399" s="105" t="str">
        <f>IF(D6399=1,COUNTIF($D$10:D6399,1)," ")</f>
        <v xml:space="preserve"> </v>
      </c>
      <c r="B6399" s="106">
        <f>COPY!AR6391</f>
        <v>0</v>
      </c>
      <c r="C6399" s="107">
        <f>COPY!AC6391</f>
        <v>0</v>
      </c>
      <c r="D6399" s="107" t="str">
        <f>IF(LEN(Table1722[[#This Row],[Uraian]])&gt;2,1," ")</f>
        <v xml:space="preserve"> </v>
      </c>
      <c r="E6399" s="113" t="str">
        <f>IF(Table1722[[#This Row],[Lawan Transaksi]]="CV AGUNG KARYA",COUNTIF($I$10:I6399,"CV AGUNG KARYA")," ")</f>
        <v xml:space="preserve"> </v>
      </c>
      <c r="F6399" s="107" t="str">
        <f>IF(LEN(Table1722[[#This Row],[Uraian]])&gt;2,TRIM(RIGHT(SUBSTITUTE(TRIM(C6399)," ",REPT(" ",255)),255))," ")</f>
        <v xml:space="preserve"> </v>
      </c>
      <c r="G6399" s="110">
        <f>COPY!Z6391</f>
        <v>0</v>
      </c>
      <c r="H6399" s="111" t="str">
        <f>IFERROR(VLOOKUP(Table1722[[#This Row],[Bukti]],'Un nOTA'!$A$4:$K$5003,10,FALSE),"")</f>
        <v/>
      </c>
      <c r="I6399" s="123" t="str">
        <f>IFERROR(VLOOKUP(Table1722[[#This Row],[Bukti]],Table13[#Data],11,FALSE),"")</f>
        <v/>
      </c>
    </row>
    <row r="6400" spans="1:9" hidden="1" x14ac:dyDescent="0.2">
      <c r="A6400" s="105" t="str">
        <f>IF(D6400=1,COUNTIF($D$10:D6400,1)," ")</f>
        <v xml:space="preserve"> </v>
      </c>
      <c r="B6400" s="106">
        <f>COPY!AR6392</f>
        <v>0</v>
      </c>
      <c r="C6400" s="107">
        <f>COPY!AC6392</f>
        <v>0</v>
      </c>
      <c r="D6400" s="107" t="str">
        <f>IF(LEN(Table1722[[#This Row],[Uraian]])&gt;2,1," ")</f>
        <v xml:space="preserve"> </v>
      </c>
      <c r="E6400" s="113" t="str">
        <f>IF(Table1722[[#This Row],[Lawan Transaksi]]="CV AGUNG KARYA",COUNTIF($I$10:I6400,"CV AGUNG KARYA")," ")</f>
        <v xml:space="preserve"> </v>
      </c>
      <c r="F6400" s="107" t="str">
        <f>IF(LEN(Table1722[[#This Row],[Uraian]])&gt;2,TRIM(RIGHT(SUBSTITUTE(TRIM(C6400)," ",REPT(" ",255)),255))," ")</f>
        <v xml:space="preserve"> </v>
      </c>
      <c r="G6400" s="110">
        <f>COPY!Z6392</f>
        <v>0</v>
      </c>
      <c r="H6400" s="111" t="str">
        <f>IFERROR(VLOOKUP(Table1722[[#This Row],[Bukti]],'Un nOTA'!$A$4:$K$5003,10,FALSE),"")</f>
        <v/>
      </c>
      <c r="I6400" s="123" t="str">
        <f>IFERROR(VLOOKUP(Table1722[[#This Row],[Bukti]],Table13[#Data],11,FALSE),"")</f>
        <v/>
      </c>
    </row>
    <row r="6401" spans="1:9" hidden="1" x14ac:dyDescent="0.2">
      <c r="A6401" s="105" t="str">
        <f>IF(D6401=1,COUNTIF($D$10:D6401,1)," ")</f>
        <v xml:space="preserve"> </v>
      </c>
      <c r="B6401" s="106">
        <f>COPY!AR6393</f>
        <v>0</v>
      </c>
      <c r="C6401" s="107">
        <f>COPY!AC6393</f>
        <v>0</v>
      </c>
      <c r="D6401" s="107" t="str">
        <f>IF(LEN(Table1722[[#This Row],[Uraian]])&gt;2,1," ")</f>
        <v xml:space="preserve"> </v>
      </c>
      <c r="E6401" s="113" t="str">
        <f>IF(Table1722[[#This Row],[Lawan Transaksi]]="CV AGUNG KARYA",COUNTIF($I$10:I6401,"CV AGUNG KARYA")," ")</f>
        <v xml:space="preserve"> </v>
      </c>
      <c r="F6401" s="107" t="str">
        <f>IF(LEN(Table1722[[#This Row],[Uraian]])&gt;2,TRIM(RIGHT(SUBSTITUTE(TRIM(C6401)," ",REPT(" ",255)),255))," ")</f>
        <v xml:space="preserve"> </v>
      </c>
      <c r="G6401" s="110">
        <f>COPY!Z6393</f>
        <v>0</v>
      </c>
      <c r="H6401" s="111" t="str">
        <f>IFERROR(VLOOKUP(Table1722[[#This Row],[Bukti]],'Un nOTA'!$A$4:$K$5003,10,FALSE),"")</f>
        <v/>
      </c>
      <c r="I6401" s="123" t="str">
        <f>IFERROR(VLOOKUP(Table1722[[#This Row],[Bukti]],Table13[#Data],11,FALSE),"")</f>
        <v/>
      </c>
    </row>
    <row r="6402" spans="1:9" hidden="1" x14ac:dyDescent="0.2">
      <c r="A6402" s="105" t="str">
        <f>IF(D6402=1,COUNTIF($D$10:D6402,1)," ")</f>
        <v xml:space="preserve"> </v>
      </c>
      <c r="B6402" s="106">
        <f>COPY!AR6394</f>
        <v>0</v>
      </c>
      <c r="C6402" s="107">
        <f>COPY!AC6394</f>
        <v>0</v>
      </c>
      <c r="D6402" s="107" t="str">
        <f>IF(LEN(Table1722[[#This Row],[Uraian]])&gt;2,1," ")</f>
        <v xml:space="preserve"> </v>
      </c>
      <c r="E6402" s="113" t="str">
        <f>IF(Table1722[[#This Row],[Lawan Transaksi]]="CV AGUNG KARYA",COUNTIF($I$10:I6402,"CV AGUNG KARYA")," ")</f>
        <v xml:space="preserve"> </v>
      </c>
      <c r="F6402" s="107" t="str">
        <f>IF(LEN(Table1722[[#This Row],[Uraian]])&gt;2,TRIM(RIGHT(SUBSTITUTE(TRIM(C6402)," ",REPT(" ",255)),255))," ")</f>
        <v xml:space="preserve"> </v>
      </c>
      <c r="G6402" s="110">
        <f>COPY!Z6394</f>
        <v>0</v>
      </c>
      <c r="H6402" s="111" t="str">
        <f>IFERROR(VLOOKUP(Table1722[[#This Row],[Bukti]],'Un nOTA'!$A$4:$K$5003,10,FALSE),"")</f>
        <v/>
      </c>
      <c r="I6402" s="123" t="str">
        <f>IFERROR(VLOOKUP(Table1722[[#This Row],[Bukti]],Table13[#Data],11,FALSE),"")</f>
        <v/>
      </c>
    </row>
    <row r="6403" spans="1:9" hidden="1" x14ac:dyDescent="0.2">
      <c r="A6403" s="105" t="str">
        <f>IF(D6403=1,COUNTIF($D$10:D6403,1)," ")</f>
        <v xml:space="preserve"> </v>
      </c>
      <c r="B6403" s="106">
        <f>COPY!AR6395</f>
        <v>0</v>
      </c>
      <c r="C6403" s="107">
        <f>COPY!AC6395</f>
        <v>0</v>
      </c>
      <c r="D6403" s="107" t="str">
        <f>IF(LEN(Table1722[[#This Row],[Uraian]])&gt;2,1," ")</f>
        <v xml:space="preserve"> </v>
      </c>
      <c r="E6403" s="113" t="str">
        <f>IF(Table1722[[#This Row],[Lawan Transaksi]]="CV AGUNG KARYA",COUNTIF($I$10:I6403,"CV AGUNG KARYA")," ")</f>
        <v xml:space="preserve"> </v>
      </c>
      <c r="F6403" s="107" t="str">
        <f>IF(LEN(Table1722[[#This Row],[Uraian]])&gt;2,TRIM(RIGHT(SUBSTITUTE(TRIM(C6403)," ",REPT(" ",255)),255))," ")</f>
        <v xml:space="preserve"> </v>
      </c>
      <c r="G6403" s="110">
        <f>COPY!Z6395</f>
        <v>0</v>
      </c>
      <c r="H6403" s="111" t="str">
        <f>IFERROR(VLOOKUP(Table1722[[#This Row],[Bukti]],'Un nOTA'!$A$4:$K$5003,10,FALSE),"")</f>
        <v/>
      </c>
      <c r="I6403" s="123" t="str">
        <f>IFERROR(VLOOKUP(Table1722[[#This Row],[Bukti]],Table13[#Data],11,FALSE),"")</f>
        <v/>
      </c>
    </row>
    <row r="6404" spans="1:9" hidden="1" x14ac:dyDescent="0.2">
      <c r="A6404" s="105" t="str">
        <f>IF(D6404=1,COUNTIF($D$10:D6404,1)," ")</f>
        <v xml:space="preserve"> </v>
      </c>
      <c r="B6404" s="106">
        <f>COPY!AR6396</f>
        <v>0</v>
      </c>
      <c r="C6404" s="107">
        <f>COPY!AC6396</f>
        <v>0</v>
      </c>
      <c r="D6404" s="107" t="str">
        <f>IF(LEN(Table1722[[#This Row],[Uraian]])&gt;2,1," ")</f>
        <v xml:space="preserve"> </v>
      </c>
      <c r="E6404" s="113" t="str">
        <f>IF(Table1722[[#This Row],[Lawan Transaksi]]="CV AGUNG KARYA",COUNTIF($I$10:I6404,"CV AGUNG KARYA")," ")</f>
        <v xml:space="preserve"> </v>
      </c>
      <c r="F6404" s="107" t="str">
        <f>IF(LEN(Table1722[[#This Row],[Uraian]])&gt;2,TRIM(RIGHT(SUBSTITUTE(TRIM(C6404)," ",REPT(" ",255)),255))," ")</f>
        <v xml:space="preserve"> </v>
      </c>
      <c r="G6404" s="110">
        <f>COPY!Z6396</f>
        <v>0</v>
      </c>
      <c r="H6404" s="111" t="str">
        <f>IFERROR(VLOOKUP(Table1722[[#This Row],[Bukti]],'Un nOTA'!$A$4:$K$5003,10,FALSE),"")</f>
        <v/>
      </c>
      <c r="I6404" s="123" t="str">
        <f>IFERROR(VLOOKUP(Table1722[[#This Row],[Bukti]],Table13[#Data],11,FALSE),"")</f>
        <v/>
      </c>
    </row>
    <row r="6405" spans="1:9" hidden="1" x14ac:dyDescent="0.2">
      <c r="A6405" s="105" t="str">
        <f>IF(D6405=1,COUNTIF($D$10:D6405,1)," ")</f>
        <v xml:space="preserve"> </v>
      </c>
      <c r="B6405" s="106">
        <f>COPY!AR6397</f>
        <v>0</v>
      </c>
      <c r="C6405" s="107">
        <f>COPY!AC6397</f>
        <v>0</v>
      </c>
      <c r="D6405" s="107" t="str">
        <f>IF(LEN(Table1722[[#This Row],[Uraian]])&gt;2,1," ")</f>
        <v xml:space="preserve"> </v>
      </c>
      <c r="E6405" s="113" t="str">
        <f>IF(Table1722[[#This Row],[Lawan Transaksi]]="CV AGUNG KARYA",COUNTIF($I$10:I6405,"CV AGUNG KARYA")," ")</f>
        <v xml:space="preserve"> </v>
      </c>
      <c r="F6405" s="107" t="str">
        <f>IF(LEN(Table1722[[#This Row],[Uraian]])&gt;2,TRIM(RIGHT(SUBSTITUTE(TRIM(C6405)," ",REPT(" ",255)),255))," ")</f>
        <v xml:space="preserve"> </v>
      </c>
      <c r="G6405" s="110">
        <f>COPY!Z6397</f>
        <v>0</v>
      </c>
      <c r="H6405" s="111" t="str">
        <f>IFERROR(VLOOKUP(Table1722[[#This Row],[Bukti]],'Un nOTA'!$A$4:$K$5003,10,FALSE),"")</f>
        <v/>
      </c>
      <c r="I6405" s="123" t="str">
        <f>IFERROR(VLOOKUP(Table1722[[#This Row],[Bukti]],Table13[#Data],11,FALSE),"")</f>
        <v/>
      </c>
    </row>
    <row r="6406" spans="1:9" hidden="1" x14ac:dyDescent="0.2">
      <c r="A6406" s="105" t="str">
        <f>IF(D6406=1,COUNTIF($D$10:D6406,1)," ")</f>
        <v xml:space="preserve"> </v>
      </c>
      <c r="B6406" s="106">
        <f>COPY!AR6398</f>
        <v>0</v>
      </c>
      <c r="C6406" s="107">
        <f>COPY!AC6398</f>
        <v>0</v>
      </c>
      <c r="D6406" s="107" t="str">
        <f>IF(LEN(Table1722[[#This Row],[Uraian]])&gt;2,1," ")</f>
        <v xml:space="preserve"> </v>
      </c>
      <c r="E6406" s="113" t="str">
        <f>IF(Table1722[[#This Row],[Lawan Transaksi]]="CV AGUNG KARYA",COUNTIF($I$10:I6406,"CV AGUNG KARYA")," ")</f>
        <v xml:space="preserve"> </v>
      </c>
      <c r="F6406" s="107" t="str">
        <f>IF(LEN(Table1722[[#This Row],[Uraian]])&gt;2,TRIM(RIGHT(SUBSTITUTE(TRIM(C6406)," ",REPT(" ",255)),255))," ")</f>
        <v xml:space="preserve"> </v>
      </c>
      <c r="G6406" s="110">
        <f>COPY!Z6398</f>
        <v>0</v>
      </c>
      <c r="H6406" s="111" t="str">
        <f>IFERROR(VLOOKUP(Table1722[[#This Row],[Bukti]],'Un nOTA'!$A$4:$K$5003,10,FALSE),"")</f>
        <v/>
      </c>
      <c r="I6406" s="123" t="str">
        <f>IFERROR(VLOOKUP(Table1722[[#This Row],[Bukti]],Table13[#Data],11,FALSE),"")</f>
        <v/>
      </c>
    </row>
    <row r="6407" spans="1:9" hidden="1" x14ac:dyDescent="0.2">
      <c r="A6407" s="105" t="str">
        <f>IF(D6407=1,COUNTIF($D$10:D6407,1)," ")</f>
        <v xml:space="preserve"> </v>
      </c>
      <c r="B6407" s="106">
        <f>COPY!AR6399</f>
        <v>0</v>
      </c>
      <c r="C6407" s="107">
        <f>COPY!AC6399</f>
        <v>0</v>
      </c>
      <c r="D6407" s="107" t="str">
        <f>IF(LEN(Table1722[[#This Row],[Uraian]])&gt;2,1," ")</f>
        <v xml:space="preserve"> </v>
      </c>
      <c r="E6407" s="113" t="str">
        <f>IF(Table1722[[#This Row],[Lawan Transaksi]]="CV AGUNG KARYA",COUNTIF($I$10:I6407,"CV AGUNG KARYA")," ")</f>
        <v xml:space="preserve"> </v>
      </c>
      <c r="F6407" s="107" t="str">
        <f>IF(LEN(Table1722[[#This Row],[Uraian]])&gt;2,TRIM(RIGHT(SUBSTITUTE(TRIM(C6407)," ",REPT(" ",255)),255))," ")</f>
        <v xml:space="preserve"> </v>
      </c>
      <c r="G6407" s="110">
        <f>COPY!Z6399</f>
        <v>0</v>
      </c>
      <c r="H6407" s="111" t="str">
        <f>IFERROR(VLOOKUP(Table1722[[#This Row],[Bukti]],'Un nOTA'!$A$4:$K$5003,10,FALSE),"")</f>
        <v/>
      </c>
      <c r="I6407" s="123" t="str">
        <f>IFERROR(VLOOKUP(Table1722[[#This Row],[Bukti]],Table13[#Data],11,FALSE),"")</f>
        <v/>
      </c>
    </row>
    <row r="6408" spans="1:9" hidden="1" x14ac:dyDescent="0.2">
      <c r="A6408" s="105" t="str">
        <f>IF(D6408=1,COUNTIF($D$10:D6408,1)," ")</f>
        <v xml:space="preserve"> </v>
      </c>
      <c r="B6408" s="106">
        <f>COPY!AR6400</f>
        <v>0</v>
      </c>
      <c r="C6408" s="107">
        <f>COPY!AC6400</f>
        <v>0</v>
      </c>
      <c r="D6408" s="107" t="str">
        <f>IF(LEN(Table1722[[#This Row],[Uraian]])&gt;2,1," ")</f>
        <v xml:space="preserve"> </v>
      </c>
      <c r="E6408" s="113" t="str">
        <f>IF(Table1722[[#This Row],[Lawan Transaksi]]="CV AGUNG KARYA",COUNTIF($I$10:I6408,"CV AGUNG KARYA")," ")</f>
        <v xml:space="preserve"> </v>
      </c>
      <c r="F6408" s="107" t="str">
        <f>IF(LEN(Table1722[[#This Row],[Uraian]])&gt;2,TRIM(RIGHT(SUBSTITUTE(TRIM(C6408)," ",REPT(" ",255)),255))," ")</f>
        <v xml:space="preserve"> </v>
      </c>
      <c r="G6408" s="110">
        <f>COPY!Z6400</f>
        <v>0</v>
      </c>
      <c r="H6408" s="111" t="str">
        <f>IFERROR(VLOOKUP(Table1722[[#This Row],[Bukti]],'Un nOTA'!$A$4:$K$5003,10,FALSE),"")</f>
        <v/>
      </c>
      <c r="I6408" s="123" t="str">
        <f>IFERROR(VLOOKUP(Table1722[[#This Row],[Bukti]],Table13[#Data],11,FALSE),"")</f>
        <v/>
      </c>
    </row>
    <row r="6409" spans="1:9" hidden="1" x14ac:dyDescent="0.2">
      <c r="A6409" s="105" t="str">
        <f>IF(D6409=1,COUNTIF($D$10:D6409,1)," ")</f>
        <v xml:space="preserve"> </v>
      </c>
      <c r="B6409" s="106">
        <f>COPY!AR6401</f>
        <v>0</v>
      </c>
      <c r="C6409" s="107">
        <f>COPY!AC6401</f>
        <v>0</v>
      </c>
      <c r="D6409" s="107" t="str">
        <f>IF(LEN(Table1722[[#This Row],[Uraian]])&gt;2,1," ")</f>
        <v xml:space="preserve"> </v>
      </c>
      <c r="E6409" s="113" t="str">
        <f>IF(Table1722[[#This Row],[Lawan Transaksi]]="CV AGUNG KARYA",COUNTIF($I$10:I6409,"CV AGUNG KARYA")," ")</f>
        <v xml:space="preserve"> </v>
      </c>
      <c r="F6409" s="107" t="str">
        <f>IF(LEN(Table1722[[#This Row],[Uraian]])&gt;2,TRIM(RIGHT(SUBSTITUTE(TRIM(C6409)," ",REPT(" ",255)),255))," ")</f>
        <v xml:space="preserve"> </v>
      </c>
      <c r="G6409" s="110">
        <f>COPY!Z6401</f>
        <v>0</v>
      </c>
      <c r="H6409" s="111" t="str">
        <f>IFERROR(VLOOKUP(Table1722[[#This Row],[Bukti]],'Un nOTA'!$A$4:$K$5003,10,FALSE),"")</f>
        <v/>
      </c>
      <c r="I6409" s="123" t="str">
        <f>IFERROR(VLOOKUP(Table1722[[#This Row],[Bukti]],Table13[#Data],11,FALSE),"")</f>
        <v/>
      </c>
    </row>
    <row r="6410" spans="1:9" hidden="1" x14ac:dyDescent="0.2">
      <c r="A6410" s="105" t="str">
        <f>IF(D6410=1,COUNTIF($D$10:D6410,1)," ")</f>
        <v xml:space="preserve"> </v>
      </c>
      <c r="B6410" s="106">
        <f>COPY!AR6402</f>
        <v>0</v>
      </c>
      <c r="C6410" s="107">
        <f>COPY!AC6402</f>
        <v>0</v>
      </c>
      <c r="D6410" s="107" t="str">
        <f>IF(LEN(Table1722[[#This Row],[Uraian]])&gt;2,1," ")</f>
        <v xml:space="preserve"> </v>
      </c>
      <c r="E6410" s="113" t="str">
        <f>IF(Table1722[[#This Row],[Lawan Transaksi]]="CV AGUNG KARYA",COUNTIF($I$10:I6410,"CV AGUNG KARYA")," ")</f>
        <v xml:space="preserve"> </v>
      </c>
      <c r="F6410" s="107" t="str">
        <f>IF(LEN(Table1722[[#This Row],[Uraian]])&gt;2,TRIM(RIGHT(SUBSTITUTE(TRIM(C6410)," ",REPT(" ",255)),255))," ")</f>
        <v xml:space="preserve"> </v>
      </c>
      <c r="G6410" s="110">
        <f>COPY!Z6402</f>
        <v>0</v>
      </c>
      <c r="H6410" s="111" t="str">
        <f>IFERROR(VLOOKUP(Table1722[[#This Row],[Bukti]],'Un nOTA'!$A$4:$K$5003,10,FALSE),"")</f>
        <v/>
      </c>
      <c r="I6410" s="123" t="str">
        <f>IFERROR(VLOOKUP(Table1722[[#This Row],[Bukti]],Table13[#Data],11,FALSE),"")</f>
        <v/>
      </c>
    </row>
    <row r="6411" spans="1:9" hidden="1" x14ac:dyDescent="0.2">
      <c r="A6411" s="105" t="str">
        <f>IF(D6411=1,COUNTIF($D$10:D6411,1)," ")</f>
        <v xml:space="preserve"> </v>
      </c>
      <c r="B6411" s="106">
        <f>COPY!AR6403</f>
        <v>0</v>
      </c>
      <c r="C6411" s="107">
        <f>COPY!AC6403</f>
        <v>0</v>
      </c>
      <c r="D6411" s="107" t="str">
        <f>IF(LEN(Table1722[[#This Row],[Uraian]])&gt;2,1," ")</f>
        <v xml:space="preserve"> </v>
      </c>
      <c r="E6411" s="113" t="str">
        <f>IF(Table1722[[#This Row],[Lawan Transaksi]]="CV AGUNG KARYA",COUNTIF($I$10:I6411,"CV AGUNG KARYA")," ")</f>
        <v xml:space="preserve"> </v>
      </c>
      <c r="F6411" s="107" t="str">
        <f>IF(LEN(Table1722[[#This Row],[Uraian]])&gt;2,TRIM(RIGHT(SUBSTITUTE(TRIM(C6411)," ",REPT(" ",255)),255))," ")</f>
        <v xml:space="preserve"> </v>
      </c>
      <c r="G6411" s="110">
        <f>COPY!Z6403</f>
        <v>0</v>
      </c>
      <c r="H6411" s="111" t="str">
        <f>IFERROR(VLOOKUP(Table1722[[#This Row],[Bukti]],'Un nOTA'!$A$4:$K$5003,10,FALSE),"")</f>
        <v/>
      </c>
      <c r="I6411" s="123" t="str">
        <f>IFERROR(VLOOKUP(Table1722[[#This Row],[Bukti]],Table13[#Data],11,FALSE),"")</f>
        <v/>
      </c>
    </row>
    <row r="6412" spans="1:9" hidden="1" x14ac:dyDescent="0.2">
      <c r="A6412" s="105" t="str">
        <f>IF(D6412=1,COUNTIF($D$10:D6412,1)," ")</f>
        <v xml:space="preserve"> </v>
      </c>
      <c r="B6412" s="106">
        <f>COPY!AR6404</f>
        <v>0</v>
      </c>
      <c r="C6412" s="107">
        <f>COPY!AC6404</f>
        <v>0</v>
      </c>
      <c r="D6412" s="107" t="str">
        <f>IF(LEN(Table1722[[#This Row],[Uraian]])&gt;2,1," ")</f>
        <v xml:space="preserve"> </v>
      </c>
      <c r="E6412" s="113" t="str">
        <f>IF(Table1722[[#This Row],[Lawan Transaksi]]="CV AGUNG KARYA",COUNTIF($I$10:I6412,"CV AGUNG KARYA")," ")</f>
        <v xml:space="preserve"> </v>
      </c>
      <c r="F6412" s="107" t="str">
        <f>IF(LEN(Table1722[[#This Row],[Uraian]])&gt;2,TRIM(RIGHT(SUBSTITUTE(TRIM(C6412)," ",REPT(" ",255)),255))," ")</f>
        <v xml:space="preserve"> </v>
      </c>
      <c r="G6412" s="110">
        <f>COPY!Z6404</f>
        <v>0</v>
      </c>
      <c r="H6412" s="111" t="str">
        <f>IFERROR(VLOOKUP(Table1722[[#This Row],[Bukti]],'Un nOTA'!$A$4:$K$5003,10,FALSE),"")</f>
        <v/>
      </c>
      <c r="I6412" s="123" t="str">
        <f>IFERROR(VLOOKUP(Table1722[[#This Row],[Bukti]],Table13[#Data],11,FALSE),"")</f>
        <v/>
      </c>
    </row>
    <row r="6413" spans="1:9" hidden="1" x14ac:dyDescent="0.2">
      <c r="A6413" s="105" t="str">
        <f>IF(D6413=1,COUNTIF($D$10:D6413,1)," ")</f>
        <v xml:space="preserve"> </v>
      </c>
      <c r="B6413" s="106">
        <f>COPY!AR6405</f>
        <v>0</v>
      </c>
      <c r="C6413" s="107">
        <f>COPY!AC6405</f>
        <v>0</v>
      </c>
      <c r="D6413" s="107" t="str">
        <f>IF(LEN(Table1722[[#This Row],[Uraian]])&gt;2,1," ")</f>
        <v xml:space="preserve"> </v>
      </c>
      <c r="E6413" s="113" t="str">
        <f>IF(Table1722[[#This Row],[Lawan Transaksi]]="CV AGUNG KARYA",COUNTIF($I$10:I6413,"CV AGUNG KARYA")," ")</f>
        <v xml:space="preserve"> </v>
      </c>
      <c r="F6413" s="107" t="str">
        <f>IF(LEN(Table1722[[#This Row],[Uraian]])&gt;2,TRIM(RIGHT(SUBSTITUTE(TRIM(C6413)," ",REPT(" ",255)),255))," ")</f>
        <v xml:space="preserve"> </v>
      </c>
      <c r="G6413" s="110">
        <f>COPY!Z6405</f>
        <v>0</v>
      </c>
      <c r="H6413" s="111" t="str">
        <f>IFERROR(VLOOKUP(Table1722[[#This Row],[Bukti]],'Un nOTA'!$A$4:$K$5003,10,FALSE),"")</f>
        <v/>
      </c>
      <c r="I6413" s="123" t="str">
        <f>IFERROR(VLOOKUP(Table1722[[#This Row],[Bukti]],Table13[#Data],11,FALSE),"")</f>
        <v/>
      </c>
    </row>
    <row r="6414" spans="1:9" hidden="1" x14ac:dyDescent="0.2">
      <c r="A6414" s="105" t="str">
        <f>IF(D6414=1,COUNTIF($D$10:D6414,1)," ")</f>
        <v xml:space="preserve"> </v>
      </c>
      <c r="B6414" s="106">
        <f>COPY!AR6406</f>
        <v>0</v>
      </c>
      <c r="C6414" s="107">
        <f>COPY!AC6406</f>
        <v>0</v>
      </c>
      <c r="D6414" s="107" t="str">
        <f>IF(LEN(Table1722[[#This Row],[Uraian]])&gt;2,1," ")</f>
        <v xml:space="preserve"> </v>
      </c>
      <c r="E6414" s="113" t="str">
        <f>IF(Table1722[[#This Row],[Lawan Transaksi]]="CV AGUNG KARYA",COUNTIF($I$10:I6414,"CV AGUNG KARYA")," ")</f>
        <v xml:space="preserve"> </v>
      </c>
      <c r="F6414" s="107" t="str">
        <f>IF(LEN(Table1722[[#This Row],[Uraian]])&gt;2,TRIM(RIGHT(SUBSTITUTE(TRIM(C6414)," ",REPT(" ",255)),255))," ")</f>
        <v xml:space="preserve"> </v>
      </c>
      <c r="G6414" s="110">
        <f>COPY!Z6406</f>
        <v>0</v>
      </c>
      <c r="H6414" s="111" t="str">
        <f>IFERROR(VLOOKUP(Table1722[[#This Row],[Bukti]],'Un nOTA'!$A$4:$K$5003,10,FALSE),"")</f>
        <v/>
      </c>
      <c r="I6414" s="123" t="str">
        <f>IFERROR(VLOOKUP(Table1722[[#This Row],[Bukti]],Table13[#Data],11,FALSE),"")</f>
        <v/>
      </c>
    </row>
    <row r="6415" spans="1:9" hidden="1" x14ac:dyDescent="0.2">
      <c r="A6415" s="105" t="str">
        <f>IF(D6415=1,COUNTIF($D$10:D6415,1)," ")</f>
        <v xml:space="preserve"> </v>
      </c>
      <c r="B6415" s="106">
        <f>COPY!AR6407</f>
        <v>0</v>
      </c>
      <c r="C6415" s="107">
        <f>COPY!AC6407</f>
        <v>0</v>
      </c>
      <c r="D6415" s="107" t="str">
        <f>IF(LEN(Table1722[[#This Row],[Uraian]])&gt;2,1," ")</f>
        <v xml:space="preserve"> </v>
      </c>
      <c r="E6415" s="113" t="str">
        <f>IF(Table1722[[#This Row],[Lawan Transaksi]]="CV AGUNG KARYA",COUNTIF($I$10:I6415,"CV AGUNG KARYA")," ")</f>
        <v xml:space="preserve"> </v>
      </c>
      <c r="F6415" s="107" t="str">
        <f>IF(LEN(Table1722[[#This Row],[Uraian]])&gt;2,TRIM(RIGHT(SUBSTITUTE(TRIM(C6415)," ",REPT(" ",255)),255))," ")</f>
        <v xml:space="preserve"> </v>
      </c>
      <c r="G6415" s="110">
        <f>COPY!Z6407</f>
        <v>0</v>
      </c>
      <c r="H6415" s="111" t="str">
        <f>IFERROR(VLOOKUP(Table1722[[#This Row],[Bukti]],'Un nOTA'!$A$4:$K$5003,10,FALSE),"")</f>
        <v/>
      </c>
      <c r="I6415" s="123" t="str">
        <f>IFERROR(VLOOKUP(Table1722[[#This Row],[Bukti]],Table13[#Data],11,FALSE),"")</f>
        <v/>
      </c>
    </row>
    <row r="6416" spans="1:9" hidden="1" x14ac:dyDescent="0.2">
      <c r="A6416" s="105" t="str">
        <f>IF(D6416=1,COUNTIF($D$10:D6416,1)," ")</f>
        <v xml:space="preserve"> </v>
      </c>
      <c r="B6416" s="106">
        <f>COPY!AR6408</f>
        <v>0</v>
      </c>
      <c r="C6416" s="107">
        <f>COPY!AC6408</f>
        <v>0</v>
      </c>
      <c r="D6416" s="107" t="str">
        <f>IF(LEN(Table1722[[#This Row],[Uraian]])&gt;2,1," ")</f>
        <v xml:space="preserve"> </v>
      </c>
      <c r="E6416" s="113" t="str">
        <f>IF(Table1722[[#This Row],[Lawan Transaksi]]="CV AGUNG KARYA",COUNTIF($I$10:I6416,"CV AGUNG KARYA")," ")</f>
        <v xml:space="preserve"> </v>
      </c>
      <c r="F6416" s="107" t="str">
        <f>IF(LEN(Table1722[[#This Row],[Uraian]])&gt;2,TRIM(RIGHT(SUBSTITUTE(TRIM(C6416)," ",REPT(" ",255)),255))," ")</f>
        <v xml:space="preserve"> </v>
      </c>
      <c r="G6416" s="110">
        <f>COPY!Z6408</f>
        <v>0</v>
      </c>
      <c r="H6416" s="111" t="str">
        <f>IFERROR(VLOOKUP(Table1722[[#This Row],[Bukti]],'Un nOTA'!$A$4:$K$5003,10,FALSE),"")</f>
        <v/>
      </c>
      <c r="I6416" s="123" t="str">
        <f>IFERROR(VLOOKUP(Table1722[[#This Row],[Bukti]],Table13[#Data],11,FALSE),"")</f>
        <v/>
      </c>
    </row>
    <row r="6417" spans="1:9" hidden="1" x14ac:dyDescent="0.2">
      <c r="A6417" s="105" t="str">
        <f>IF(D6417=1,COUNTIF($D$10:D6417,1)," ")</f>
        <v xml:space="preserve"> </v>
      </c>
      <c r="B6417" s="106">
        <f>COPY!AR6409</f>
        <v>0</v>
      </c>
      <c r="C6417" s="107">
        <f>COPY!AC6409</f>
        <v>0</v>
      </c>
      <c r="D6417" s="107" t="str">
        <f>IF(LEN(Table1722[[#This Row],[Uraian]])&gt;2,1," ")</f>
        <v xml:space="preserve"> </v>
      </c>
      <c r="E6417" s="113" t="str">
        <f>IF(Table1722[[#This Row],[Lawan Transaksi]]="CV AGUNG KARYA",COUNTIF($I$10:I6417,"CV AGUNG KARYA")," ")</f>
        <v xml:space="preserve"> </v>
      </c>
      <c r="F6417" s="107" t="str">
        <f>IF(LEN(Table1722[[#This Row],[Uraian]])&gt;2,TRIM(RIGHT(SUBSTITUTE(TRIM(C6417)," ",REPT(" ",255)),255))," ")</f>
        <v xml:space="preserve"> </v>
      </c>
      <c r="G6417" s="110">
        <f>COPY!Z6409</f>
        <v>0</v>
      </c>
      <c r="H6417" s="111" t="str">
        <f>IFERROR(VLOOKUP(Table1722[[#This Row],[Bukti]],'Un nOTA'!$A$4:$K$5003,10,FALSE),"")</f>
        <v/>
      </c>
      <c r="I6417" s="123" t="str">
        <f>IFERROR(VLOOKUP(Table1722[[#This Row],[Bukti]],Table13[#Data],11,FALSE),"")</f>
        <v/>
      </c>
    </row>
    <row r="6418" spans="1:9" hidden="1" x14ac:dyDescent="0.2">
      <c r="A6418" s="105" t="str">
        <f>IF(D6418=1,COUNTIF($D$10:D6418,1)," ")</f>
        <v xml:space="preserve"> </v>
      </c>
      <c r="B6418" s="106">
        <f>COPY!AR6410</f>
        <v>0</v>
      </c>
      <c r="C6418" s="107">
        <f>COPY!AC6410</f>
        <v>0</v>
      </c>
      <c r="D6418" s="107" t="str">
        <f>IF(LEN(Table1722[[#This Row],[Uraian]])&gt;2,1," ")</f>
        <v xml:space="preserve"> </v>
      </c>
      <c r="E6418" s="113" t="str">
        <f>IF(Table1722[[#This Row],[Lawan Transaksi]]="CV AGUNG KARYA",COUNTIF($I$10:I6418,"CV AGUNG KARYA")," ")</f>
        <v xml:space="preserve"> </v>
      </c>
      <c r="F6418" s="107" t="str">
        <f>IF(LEN(Table1722[[#This Row],[Uraian]])&gt;2,TRIM(RIGHT(SUBSTITUTE(TRIM(C6418)," ",REPT(" ",255)),255))," ")</f>
        <v xml:space="preserve"> </v>
      </c>
      <c r="G6418" s="110">
        <f>COPY!Z6410</f>
        <v>0</v>
      </c>
      <c r="H6418" s="111" t="str">
        <f>IFERROR(VLOOKUP(Table1722[[#This Row],[Bukti]],'Un nOTA'!$A$4:$K$5003,10,FALSE),"")</f>
        <v/>
      </c>
      <c r="I6418" s="123" t="str">
        <f>IFERROR(VLOOKUP(Table1722[[#This Row],[Bukti]],Table13[#Data],11,FALSE),"")</f>
        <v/>
      </c>
    </row>
    <row r="6419" spans="1:9" hidden="1" x14ac:dyDescent="0.2">
      <c r="A6419" s="105" t="str">
        <f>IF(D6419=1,COUNTIF($D$10:D6419,1)," ")</f>
        <v xml:space="preserve"> </v>
      </c>
      <c r="B6419" s="106">
        <f>COPY!AR6411</f>
        <v>0</v>
      </c>
      <c r="C6419" s="107">
        <f>COPY!AC6411</f>
        <v>0</v>
      </c>
      <c r="D6419" s="107" t="str">
        <f>IF(LEN(Table1722[[#This Row],[Uraian]])&gt;2,1," ")</f>
        <v xml:space="preserve"> </v>
      </c>
      <c r="E6419" s="113" t="str">
        <f>IF(Table1722[[#This Row],[Lawan Transaksi]]="CV AGUNG KARYA",COUNTIF($I$10:I6419,"CV AGUNG KARYA")," ")</f>
        <v xml:space="preserve"> </v>
      </c>
      <c r="F6419" s="107" t="str">
        <f>IF(LEN(Table1722[[#This Row],[Uraian]])&gt;2,TRIM(RIGHT(SUBSTITUTE(TRIM(C6419)," ",REPT(" ",255)),255))," ")</f>
        <v xml:space="preserve"> </v>
      </c>
      <c r="G6419" s="110">
        <f>COPY!Z6411</f>
        <v>0</v>
      </c>
      <c r="H6419" s="111" t="str">
        <f>IFERROR(VLOOKUP(Table1722[[#This Row],[Bukti]],'Un nOTA'!$A$4:$K$5003,10,FALSE),"")</f>
        <v/>
      </c>
      <c r="I6419" s="123" t="str">
        <f>IFERROR(VLOOKUP(Table1722[[#This Row],[Bukti]],Table13[#Data],11,FALSE),"")</f>
        <v/>
      </c>
    </row>
    <row r="6420" spans="1:9" hidden="1" x14ac:dyDescent="0.2">
      <c r="A6420" s="105" t="str">
        <f>IF(D6420=1,COUNTIF($D$10:D6420,1)," ")</f>
        <v xml:space="preserve"> </v>
      </c>
      <c r="B6420" s="106">
        <f>COPY!AR6412</f>
        <v>0</v>
      </c>
      <c r="C6420" s="107">
        <f>COPY!AC6412</f>
        <v>0</v>
      </c>
      <c r="D6420" s="107" t="str">
        <f>IF(LEN(Table1722[[#This Row],[Uraian]])&gt;2,1," ")</f>
        <v xml:space="preserve"> </v>
      </c>
      <c r="E6420" s="113" t="str">
        <f>IF(Table1722[[#This Row],[Lawan Transaksi]]="CV AGUNG KARYA",COUNTIF($I$10:I6420,"CV AGUNG KARYA")," ")</f>
        <v xml:space="preserve"> </v>
      </c>
      <c r="F6420" s="107" t="str">
        <f>IF(LEN(Table1722[[#This Row],[Uraian]])&gt;2,TRIM(RIGHT(SUBSTITUTE(TRIM(C6420)," ",REPT(" ",255)),255))," ")</f>
        <v xml:space="preserve"> </v>
      </c>
      <c r="G6420" s="110">
        <f>COPY!Z6412</f>
        <v>0</v>
      </c>
      <c r="H6420" s="111" t="str">
        <f>IFERROR(VLOOKUP(Table1722[[#This Row],[Bukti]],'Un nOTA'!$A$4:$K$5003,10,FALSE),"")</f>
        <v/>
      </c>
      <c r="I6420" s="123" t="str">
        <f>IFERROR(VLOOKUP(Table1722[[#This Row],[Bukti]],Table13[#Data],11,FALSE),"")</f>
        <v/>
      </c>
    </row>
    <row r="6421" spans="1:9" hidden="1" x14ac:dyDescent="0.2">
      <c r="A6421" s="105" t="str">
        <f>IF(D6421=1,COUNTIF($D$10:D6421,1)," ")</f>
        <v xml:space="preserve"> </v>
      </c>
      <c r="B6421" s="106">
        <f>COPY!AR6413</f>
        <v>0</v>
      </c>
      <c r="C6421" s="107">
        <f>COPY!AC6413</f>
        <v>0</v>
      </c>
      <c r="D6421" s="107" t="str">
        <f>IF(LEN(Table1722[[#This Row],[Uraian]])&gt;2,1," ")</f>
        <v xml:space="preserve"> </v>
      </c>
      <c r="E6421" s="113" t="str">
        <f>IF(Table1722[[#This Row],[Lawan Transaksi]]="CV AGUNG KARYA",COUNTIF($I$10:I6421,"CV AGUNG KARYA")," ")</f>
        <v xml:space="preserve"> </v>
      </c>
      <c r="F6421" s="107" t="str">
        <f>IF(LEN(Table1722[[#This Row],[Uraian]])&gt;2,TRIM(RIGHT(SUBSTITUTE(TRIM(C6421)," ",REPT(" ",255)),255))," ")</f>
        <v xml:space="preserve"> </v>
      </c>
      <c r="G6421" s="110">
        <f>COPY!Z6413</f>
        <v>0</v>
      </c>
      <c r="H6421" s="111" t="str">
        <f>IFERROR(VLOOKUP(Table1722[[#This Row],[Bukti]],'Un nOTA'!$A$4:$K$5003,10,FALSE),"")</f>
        <v/>
      </c>
      <c r="I6421" s="123" t="str">
        <f>IFERROR(VLOOKUP(Table1722[[#This Row],[Bukti]],Table13[#Data],11,FALSE),"")</f>
        <v/>
      </c>
    </row>
    <row r="6422" spans="1:9" hidden="1" x14ac:dyDescent="0.2">
      <c r="A6422" s="105" t="str">
        <f>IF(D6422=1,COUNTIF($D$10:D6422,1)," ")</f>
        <v xml:space="preserve"> </v>
      </c>
      <c r="B6422" s="106">
        <f>COPY!AR6414</f>
        <v>0</v>
      </c>
      <c r="C6422" s="107">
        <f>COPY!AC6414</f>
        <v>0</v>
      </c>
      <c r="D6422" s="107" t="str">
        <f>IF(LEN(Table1722[[#This Row],[Uraian]])&gt;2,1," ")</f>
        <v xml:space="preserve"> </v>
      </c>
      <c r="E6422" s="113" t="str">
        <f>IF(Table1722[[#This Row],[Lawan Transaksi]]="CV AGUNG KARYA",COUNTIF($I$10:I6422,"CV AGUNG KARYA")," ")</f>
        <v xml:space="preserve"> </v>
      </c>
      <c r="F6422" s="107" t="str">
        <f>IF(LEN(Table1722[[#This Row],[Uraian]])&gt;2,TRIM(RIGHT(SUBSTITUTE(TRIM(C6422)," ",REPT(" ",255)),255))," ")</f>
        <v xml:space="preserve"> </v>
      </c>
      <c r="G6422" s="110">
        <f>COPY!Z6414</f>
        <v>0</v>
      </c>
      <c r="H6422" s="111" t="str">
        <f>IFERROR(VLOOKUP(Table1722[[#This Row],[Bukti]],'Un nOTA'!$A$4:$K$5003,10,FALSE),"")</f>
        <v/>
      </c>
      <c r="I6422" s="123" t="str">
        <f>IFERROR(VLOOKUP(Table1722[[#This Row],[Bukti]],Table13[#Data],11,FALSE),"")</f>
        <v/>
      </c>
    </row>
    <row r="6423" spans="1:9" hidden="1" x14ac:dyDescent="0.2">
      <c r="A6423" s="105" t="str">
        <f>IF(D6423=1,COUNTIF($D$10:D6423,1)," ")</f>
        <v xml:space="preserve"> </v>
      </c>
      <c r="B6423" s="106">
        <f>COPY!AR6415</f>
        <v>0</v>
      </c>
      <c r="C6423" s="107">
        <f>COPY!AC6415</f>
        <v>0</v>
      </c>
      <c r="D6423" s="107" t="str">
        <f>IF(LEN(Table1722[[#This Row],[Uraian]])&gt;2,1," ")</f>
        <v xml:space="preserve"> </v>
      </c>
      <c r="E6423" s="113" t="str">
        <f>IF(Table1722[[#This Row],[Lawan Transaksi]]="CV AGUNG KARYA",COUNTIF($I$10:I6423,"CV AGUNG KARYA")," ")</f>
        <v xml:space="preserve"> </v>
      </c>
      <c r="F6423" s="107" t="str">
        <f>IF(LEN(Table1722[[#This Row],[Uraian]])&gt;2,TRIM(RIGHT(SUBSTITUTE(TRIM(C6423)," ",REPT(" ",255)),255))," ")</f>
        <v xml:space="preserve"> </v>
      </c>
      <c r="G6423" s="110">
        <f>COPY!Z6415</f>
        <v>0</v>
      </c>
      <c r="H6423" s="111" t="str">
        <f>IFERROR(VLOOKUP(Table1722[[#This Row],[Bukti]],'Un nOTA'!$A$4:$K$5003,10,FALSE),"")</f>
        <v/>
      </c>
      <c r="I6423" s="123" t="str">
        <f>IFERROR(VLOOKUP(Table1722[[#This Row],[Bukti]],Table13[#Data],11,FALSE),"")</f>
        <v/>
      </c>
    </row>
    <row r="6424" spans="1:9" hidden="1" x14ac:dyDescent="0.2">
      <c r="A6424" s="105" t="str">
        <f>IF(D6424=1,COUNTIF($D$10:D6424,1)," ")</f>
        <v xml:space="preserve"> </v>
      </c>
      <c r="B6424" s="106">
        <f>COPY!AR6416</f>
        <v>0</v>
      </c>
      <c r="C6424" s="107">
        <f>COPY!AC6416</f>
        <v>0</v>
      </c>
      <c r="D6424" s="107" t="str">
        <f>IF(LEN(Table1722[[#This Row],[Uraian]])&gt;2,1," ")</f>
        <v xml:space="preserve"> </v>
      </c>
      <c r="E6424" s="113" t="str">
        <f>IF(Table1722[[#This Row],[Lawan Transaksi]]="CV AGUNG KARYA",COUNTIF($I$10:I6424,"CV AGUNG KARYA")," ")</f>
        <v xml:space="preserve"> </v>
      </c>
      <c r="F6424" s="107" t="str">
        <f>IF(LEN(Table1722[[#This Row],[Uraian]])&gt;2,TRIM(RIGHT(SUBSTITUTE(TRIM(C6424)," ",REPT(" ",255)),255))," ")</f>
        <v xml:space="preserve"> </v>
      </c>
      <c r="G6424" s="110">
        <f>COPY!Z6416</f>
        <v>0</v>
      </c>
      <c r="H6424" s="111" t="str">
        <f>IFERROR(VLOOKUP(Table1722[[#This Row],[Bukti]],'Un nOTA'!$A$4:$K$5003,10,FALSE),"")</f>
        <v/>
      </c>
      <c r="I6424" s="123" t="str">
        <f>IFERROR(VLOOKUP(Table1722[[#This Row],[Bukti]],Table13[#Data],11,FALSE),"")</f>
        <v/>
      </c>
    </row>
    <row r="6425" spans="1:9" hidden="1" x14ac:dyDescent="0.2">
      <c r="A6425" s="105" t="str">
        <f>IF(D6425=1,COUNTIF($D$10:D6425,1)," ")</f>
        <v xml:space="preserve"> </v>
      </c>
      <c r="B6425" s="106">
        <f>COPY!AR6417</f>
        <v>0</v>
      </c>
      <c r="C6425" s="107">
        <f>COPY!AC6417</f>
        <v>0</v>
      </c>
      <c r="D6425" s="107" t="str">
        <f>IF(LEN(Table1722[[#This Row],[Uraian]])&gt;2,1," ")</f>
        <v xml:space="preserve"> </v>
      </c>
      <c r="E6425" s="113" t="str">
        <f>IF(Table1722[[#This Row],[Lawan Transaksi]]="CV AGUNG KARYA",COUNTIF($I$10:I6425,"CV AGUNG KARYA")," ")</f>
        <v xml:space="preserve"> </v>
      </c>
      <c r="F6425" s="107" t="str">
        <f>IF(LEN(Table1722[[#This Row],[Uraian]])&gt;2,TRIM(RIGHT(SUBSTITUTE(TRIM(C6425)," ",REPT(" ",255)),255))," ")</f>
        <v xml:space="preserve"> </v>
      </c>
      <c r="G6425" s="110">
        <f>COPY!Z6417</f>
        <v>0</v>
      </c>
      <c r="H6425" s="111" t="str">
        <f>IFERROR(VLOOKUP(Table1722[[#This Row],[Bukti]],'Un nOTA'!$A$4:$K$5003,10,FALSE),"")</f>
        <v/>
      </c>
      <c r="I6425" s="123" t="str">
        <f>IFERROR(VLOOKUP(Table1722[[#This Row],[Bukti]],Table13[#Data],11,FALSE),"")</f>
        <v/>
      </c>
    </row>
    <row r="6426" spans="1:9" hidden="1" x14ac:dyDescent="0.2">
      <c r="A6426" s="105" t="str">
        <f>IF(D6426=1,COUNTIF($D$10:D6426,1)," ")</f>
        <v xml:space="preserve"> </v>
      </c>
      <c r="B6426" s="106">
        <f>COPY!AR6418</f>
        <v>0</v>
      </c>
      <c r="C6426" s="107">
        <f>COPY!AC6418</f>
        <v>0</v>
      </c>
      <c r="D6426" s="107" t="str">
        <f>IF(LEN(Table1722[[#This Row],[Uraian]])&gt;2,1," ")</f>
        <v xml:space="preserve"> </v>
      </c>
      <c r="E6426" s="113" t="str">
        <f>IF(Table1722[[#This Row],[Lawan Transaksi]]="CV AGUNG KARYA",COUNTIF($I$10:I6426,"CV AGUNG KARYA")," ")</f>
        <v xml:space="preserve"> </v>
      </c>
      <c r="F6426" s="107" t="str">
        <f>IF(LEN(Table1722[[#This Row],[Uraian]])&gt;2,TRIM(RIGHT(SUBSTITUTE(TRIM(C6426)," ",REPT(" ",255)),255))," ")</f>
        <v xml:space="preserve"> </v>
      </c>
      <c r="G6426" s="110">
        <f>COPY!Z6418</f>
        <v>0</v>
      </c>
      <c r="H6426" s="111" t="str">
        <f>IFERROR(VLOOKUP(Table1722[[#This Row],[Bukti]],'Un nOTA'!$A$4:$K$5003,10,FALSE),"")</f>
        <v/>
      </c>
      <c r="I6426" s="123" t="str">
        <f>IFERROR(VLOOKUP(Table1722[[#This Row],[Bukti]],Table13[#Data],11,FALSE),"")</f>
        <v/>
      </c>
    </row>
    <row r="6427" spans="1:9" hidden="1" x14ac:dyDescent="0.2">
      <c r="A6427" s="105" t="str">
        <f>IF(D6427=1,COUNTIF($D$10:D6427,1)," ")</f>
        <v xml:space="preserve"> </v>
      </c>
      <c r="B6427" s="106">
        <f>COPY!AR6419</f>
        <v>0</v>
      </c>
      <c r="C6427" s="107">
        <f>COPY!AC6419</f>
        <v>0</v>
      </c>
      <c r="D6427" s="107" t="str">
        <f>IF(LEN(Table1722[[#This Row],[Uraian]])&gt;2,1," ")</f>
        <v xml:space="preserve"> </v>
      </c>
      <c r="E6427" s="113" t="str">
        <f>IF(Table1722[[#This Row],[Lawan Transaksi]]="CV AGUNG KARYA",COUNTIF($I$10:I6427,"CV AGUNG KARYA")," ")</f>
        <v xml:space="preserve"> </v>
      </c>
      <c r="F6427" s="107" t="str">
        <f>IF(LEN(Table1722[[#This Row],[Uraian]])&gt;2,TRIM(RIGHT(SUBSTITUTE(TRIM(C6427)," ",REPT(" ",255)),255))," ")</f>
        <v xml:space="preserve"> </v>
      </c>
      <c r="G6427" s="110">
        <f>COPY!Z6419</f>
        <v>0</v>
      </c>
      <c r="H6427" s="111" t="str">
        <f>IFERROR(VLOOKUP(Table1722[[#This Row],[Bukti]],'Un nOTA'!$A$4:$K$5003,10,FALSE),"")</f>
        <v/>
      </c>
      <c r="I6427" s="123" t="str">
        <f>IFERROR(VLOOKUP(Table1722[[#This Row],[Bukti]],Table13[#Data],11,FALSE),"")</f>
        <v/>
      </c>
    </row>
    <row r="6428" spans="1:9" hidden="1" x14ac:dyDescent="0.2">
      <c r="A6428" s="105" t="str">
        <f>IF(D6428=1,COUNTIF($D$10:D6428,1)," ")</f>
        <v xml:space="preserve"> </v>
      </c>
      <c r="B6428" s="106">
        <f>COPY!AR6420</f>
        <v>0</v>
      </c>
      <c r="C6428" s="107">
        <f>COPY!AC6420</f>
        <v>0</v>
      </c>
      <c r="D6428" s="107" t="str">
        <f>IF(LEN(Table1722[[#This Row],[Uraian]])&gt;2,1," ")</f>
        <v xml:space="preserve"> </v>
      </c>
      <c r="E6428" s="113" t="str">
        <f>IF(Table1722[[#This Row],[Lawan Transaksi]]="CV AGUNG KARYA",COUNTIF($I$10:I6428,"CV AGUNG KARYA")," ")</f>
        <v xml:space="preserve"> </v>
      </c>
      <c r="F6428" s="107" t="str">
        <f>IF(LEN(Table1722[[#This Row],[Uraian]])&gt;2,TRIM(RIGHT(SUBSTITUTE(TRIM(C6428)," ",REPT(" ",255)),255))," ")</f>
        <v xml:space="preserve"> </v>
      </c>
      <c r="G6428" s="110">
        <f>COPY!Z6420</f>
        <v>0</v>
      </c>
      <c r="H6428" s="111" t="str">
        <f>IFERROR(VLOOKUP(Table1722[[#This Row],[Bukti]],'Un nOTA'!$A$4:$K$5003,10,FALSE),"")</f>
        <v/>
      </c>
      <c r="I6428" s="123" t="str">
        <f>IFERROR(VLOOKUP(Table1722[[#This Row],[Bukti]],Table13[#Data],11,FALSE),"")</f>
        <v/>
      </c>
    </row>
    <row r="6429" spans="1:9" hidden="1" x14ac:dyDescent="0.2">
      <c r="A6429" s="105" t="str">
        <f>IF(D6429=1,COUNTIF($D$10:D6429,1)," ")</f>
        <v xml:space="preserve"> </v>
      </c>
      <c r="B6429" s="106">
        <f>COPY!AR6421</f>
        <v>0</v>
      </c>
      <c r="C6429" s="107">
        <f>COPY!AC6421</f>
        <v>0</v>
      </c>
      <c r="D6429" s="107" t="str">
        <f>IF(LEN(Table1722[[#This Row],[Uraian]])&gt;2,1," ")</f>
        <v xml:space="preserve"> </v>
      </c>
      <c r="E6429" s="113" t="str">
        <f>IF(Table1722[[#This Row],[Lawan Transaksi]]="CV AGUNG KARYA",COUNTIF($I$10:I6429,"CV AGUNG KARYA")," ")</f>
        <v xml:space="preserve"> </v>
      </c>
      <c r="F6429" s="107" t="str">
        <f>IF(LEN(Table1722[[#This Row],[Uraian]])&gt;2,TRIM(RIGHT(SUBSTITUTE(TRIM(C6429)," ",REPT(" ",255)),255))," ")</f>
        <v xml:space="preserve"> </v>
      </c>
      <c r="G6429" s="110">
        <f>COPY!Z6421</f>
        <v>0</v>
      </c>
      <c r="H6429" s="111" t="str">
        <f>IFERROR(VLOOKUP(Table1722[[#This Row],[Bukti]],'Un nOTA'!$A$4:$K$5003,10,FALSE),"")</f>
        <v/>
      </c>
      <c r="I6429" s="123" t="str">
        <f>IFERROR(VLOOKUP(Table1722[[#This Row],[Bukti]],Table13[#Data],11,FALSE),"")</f>
        <v/>
      </c>
    </row>
    <row r="6430" spans="1:9" hidden="1" x14ac:dyDescent="0.2">
      <c r="A6430" s="105" t="str">
        <f>IF(D6430=1,COUNTIF($D$10:D6430,1)," ")</f>
        <v xml:space="preserve"> </v>
      </c>
      <c r="B6430" s="106">
        <f>COPY!AR6422</f>
        <v>0</v>
      </c>
      <c r="C6430" s="107">
        <f>COPY!AC6422</f>
        <v>0</v>
      </c>
      <c r="D6430" s="107" t="str">
        <f>IF(LEN(Table1722[[#This Row],[Uraian]])&gt;2,1," ")</f>
        <v xml:space="preserve"> </v>
      </c>
      <c r="E6430" s="113" t="str">
        <f>IF(Table1722[[#This Row],[Lawan Transaksi]]="CV AGUNG KARYA",COUNTIF($I$10:I6430,"CV AGUNG KARYA")," ")</f>
        <v xml:space="preserve"> </v>
      </c>
      <c r="F6430" s="107" t="str">
        <f>IF(LEN(Table1722[[#This Row],[Uraian]])&gt;2,TRIM(RIGHT(SUBSTITUTE(TRIM(C6430)," ",REPT(" ",255)),255))," ")</f>
        <v xml:space="preserve"> </v>
      </c>
      <c r="G6430" s="110">
        <f>COPY!Z6422</f>
        <v>0</v>
      </c>
      <c r="H6430" s="111" t="str">
        <f>IFERROR(VLOOKUP(Table1722[[#This Row],[Bukti]],'Un nOTA'!$A$4:$K$5003,10,FALSE),"")</f>
        <v/>
      </c>
      <c r="I6430" s="123" t="str">
        <f>IFERROR(VLOOKUP(Table1722[[#This Row],[Bukti]],Table13[#Data],11,FALSE),"")</f>
        <v/>
      </c>
    </row>
    <row r="6431" spans="1:9" hidden="1" x14ac:dyDescent="0.2">
      <c r="A6431" s="105" t="str">
        <f>IF(D6431=1,COUNTIF($D$10:D6431,1)," ")</f>
        <v xml:space="preserve"> </v>
      </c>
      <c r="B6431" s="106">
        <f>COPY!AR6423</f>
        <v>0</v>
      </c>
      <c r="C6431" s="107">
        <f>COPY!AC6423</f>
        <v>0</v>
      </c>
      <c r="D6431" s="107" t="str">
        <f>IF(LEN(Table1722[[#This Row],[Uraian]])&gt;2,1," ")</f>
        <v xml:space="preserve"> </v>
      </c>
      <c r="E6431" s="113" t="str">
        <f>IF(Table1722[[#This Row],[Lawan Transaksi]]="CV AGUNG KARYA",COUNTIF($I$10:I6431,"CV AGUNG KARYA")," ")</f>
        <v xml:space="preserve"> </v>
      </c>
      <c r="F6431" s="107" t="str">
        <f>IF(LEN(Table1722[[#This Row],[Uraian]])&gt;2,TRIM(RIGHT(SUBSTITUTE(TRIM(C6431)," ",REPT(" ",255)),255))," ")</f>
        <v xml:space="preserve"> </v>
      </c>
      <c r="G6431" s="110">
        <f>COPY!Z6423</f>
        <v>0</v>
      </c>
      <c r="H6431" s="111" t="str">
        <f>IFERROR(VLOOKUP(Table1722[[#This Row],[Bukti]],'Un nOTA'!$A$4:$K$5003,10,FALSE),"")</f>
        <v/>
      </c>
      <c r="I6431" s="123" t="str">
        <f>IFERROR(VLOOKUP(Table1722[[#This Row],[Bukti]],Table13[#Data],11,FALSE),"")</f>
        <v/>
      </c>
    </row>
    <row r="6432" spans="1:9" hidden="1" x14ac:dyDescent="0.2">
      <c r="A6432" s="105" t="str">
        <f>IF(D6432=1,COUNTIF($D$10:D6432,1)," ")</f>
        <v xml:space="preserve"> </v>
      </c>
      <c r="B6432" s="106">
        <f>COPY!AR6424</f>
        <v>0</v>
      </c>
      <c r="C6432" s="107">
        <f>COPY!AC6424</f>
        <v>0</v>
      </c>
      <c r="D6432" s="107" t="str">
        <f>IF(LEN(Table1722[[#This Row],[Uraian]])&gt;2,1," ")</f>
        <v xml:space="preserve"> </v>
      </c>
      <c r="E6432" s="113" t="str">
        <f>IF(Table1722[[#This Row],[Lawan Transaksi]]="CV AGUNG KARYA",COUNTIF($I$10:I6432,"CV AGUNG KARYA")," ")</f>
        <v xml:space="preserve"> </v>
      </c>
      <c r="F6432" s="107" t="str">
        <f>IF(LEN(Table1722[[#This Row],[Uraian]])&gt;2,TRIM(RIGHT(SUBSTITUTE(TRIM(C6432)," ",REPT(" ",255)),255))," ")</f>
        <v xml:space="preserve"> </v>
      </c>
      <c r="G6432" s="110">
        <f>COPY!Z6424</f>
        <v>0</v>
      </c>
      <c r="H6432" s="111" t="str">
        <f>IFERROR(VLOOKUP(Table1722[[#This Row],[Bukti]],'Un nOTA'!$A$4:$K$5003,10,FALSE),"")</f>
        <v/>
      </c>
      <c r="I6432" s="123" t="str">
        <f>IFERROR(VLOOKUP(Table1722[[#This Row],[Bukti]],Table13[#Data],11,FALSE),"")</f>
        <v/>
      </c>
    </row>
    <row r="6433" spans="1:9" hidden="1" x14ac:dyDescent="0.2">
      <c r="A6433" s="105" t="str">
        <f>IF(D6433=1,COUNTIF($D$10:D6433,1)," ")</f>
        <v xml:space="preserve"> </v>
      </c>
      <c r="B6433" s="106">
        <f>COPY!AR6425</f>
        <v>0</v>
      </c>
      <c r="C6433" s="107">
        <f>COPY!AC6425</f>
        <v>0</v>
      </c>
      <c r="D6433" s="107" t="str">
        <f>IF(LEN(Table1722[[#This Row],[Uraian]])&gt;2,1," ")</f>
        <v xml:space="preserve"> </v>
      </c>
      <c r="E6433" s="113" t="str">
        <f>IF(Table1722[[#This Row],[Lawan Transaksi]]="CV AGUNG KARYA",COUNTIF($I$10:I6433,"CV AGUNG KARYA")," ")</f>
        <v xml:space="preserve"> </v>
      </c>
      <c r="F6433" s="107" t="str">
        <f>IF(LEN(Table1722[[#This Row],[Uraian]])&gt;2,TRIM(RIGHT(SUBSTITUTE(TRIM(C6433)," ",REPT(" ",255)),255))," ")</f>
        <v xml:space="preserve"> </v>
      </c>
      <c r="G6433" s="110">
        <f>COPY!Z6425</f>
        <v>0</v>
      </c>
      <c r="H6433" s="111" t="str">
        <f>IFERROR(VLOOKUP(Table1722[[#This Row],[Bukti]],'Un nOTA'!$A$4:$K$5003,10,FALSE),"")</f>
        <v/>
      </c>
      <c r="I6433" s="123" t="str">
        <f>IFERROR(VLOOKUP(Table1722[[#This Row],[Bukti]],Table13[#Data],11,FALSE),"")</f>
        <v/>
      </c>
    </row>
    <row r="6434" spans="1:9" hidden="1" x14ac:dyDescent="0.2">
      <c r="A6434" s="105" t="str">
        <f>IF(D6434=1,COUNTIF($D$10:D6434,1)," ")</f>
        <v xml:space="preserve"> </v>
      </c>
      <c r="B6434" s="106">
        <f>COPY!AR6426</f>
        <v>0</v>
      </c>
      <c r="C6434" s="107">
        <f>COPY!AC6426</f>
        <v>0</v>
      </c>
      <c r="D6434" s="107" t="str">
        <f>IF(LEN(Table1722[[#This Row],[Uraian]])&gt;2,1," ")</f>
        <v xml:space="preserve"> </v>
      </c>
      <c r="E6434" s="113" t="str">
        <f>IF(Table1722[[#This Row],[Lawan Transaksi]]="CV AGUNG KARYA",COUNTIF($I$10:I6434,"CV AGUNG KARYA")," ")</f>
        <v xml:space="preserve"> </v>
      </c>
      <c r="F6434" s="107" t="str">
        <f>IF(LEN(Table1722[[#This Row],[Uraian]])&gt;2,TRIM(RIGHT(SUBSTITUTE(TRIM(C6434)," ",REPT(" ",255)),255))," ")</f>
        <v xml:space="preserve"> </v>
      </c>
      <c r="G6434" s="110">
        <f>COPY!Z6426</f>
        <v>0</v>
      </c>
      <c r="H6434" s="111" t="str">
        <f>IFERROR(VLOOKUP(Table1722[[#This Row],[Bukti]],'Un nOTA'!$A$4:$K$5003,10,FALSE),"")</f>
        <v/>
      </c>
      <c r="I6434" s="123" t="str">
        <f>IFERROR(VLOOKUP(Table1722[[#This Row],[Bukti]],Table13[#Data],11,FALSE),"")</f>
        <v/>
      </c>
    </row>
    <row r="6435" spans="1:9" hidden="1" x14ac:dyDescent="0.2">
      <c r="A6435" s="105" t="str">
        <f>IF(D6435=1,COUNTIF($D$10:D6435,1)," ")</f>
        <v xml:space="preserve"> </v>
      </c>
      <c r="B6435" s="106">
        <f>COPY!AR6427</f>
        <v>0</v>
      </c>
      <c r="C6435" s="107">
        <f>COPY!AC6427</f>
        <v>0</v>
      </c>
      <c r="D6435" s="107" t="str">
        <f>IF(LEN(Table1722[[#This Row],[Uraian]])&gt;2,1," ")</f>
        <v xml:space="preserve"> </v>
      </c>
      <c r="E6435" s="113" t="str">
        <f>IF(Table1722[[#This Row],[Lawan Transaksi]]="CV AGUNG KARYA",COUNTIF($I$10:I6435,"CV AGUNG KARYA")," ")</f>
        <v xml:space="preserve"> </v>
      </c>
      <c r="F6435" s="107" t="str">
        <f>IF(LEN(Table1722[[#This Row],[Uraian]])&gt;2,TRIM(RIGHT(SUBSTITUTE(TRIM(C6435)," ",REPT(" ",255)),255))," ")</f>
        <v xml:space="preserve"> </v>
      </c>
      <c r="G6435" s="110">
        <f>COPY!Z6427</f>
        <v>0</v>
      </c>
      <c r="H6435" s="111" t="str">
        <f>IFERROR(VLOOKUP(Table1722[[#This Row],[Bukti]],'Un nOTA'!$A$4:$K$5003,10,FALSE),"")</f>
        <v/>
      </c>
      <c r="I6435" s="123" t="str">
        <f>IFERROR(VLOOKUP(Table1722[[#This Row],[Bukti]],Table13[#Data],11,FALSE),"")</f>
        <v/>
      </c>
    </row>
    <row r="6436" spans="1:9" hidden="1" x14ac:dyDescent="0.2">
      <c r="A6436" s="105" t="str">
        <f>IF(D6436=1,COUNTIF($D$10:D6436,1)," ")</f>
        <v xml:space="preserve"> </v>
      </c>
      <c r="B6436" s="106">
        <f>COPY!AR6428</f>
        <v>0</v>
      </c>
      <c r="C6436" s="107">
        <f>COPY!AC6428</f>
        <v>0</v>
      </c>
      <c r="D6436" s="107" t="str">
        <f>IF(LEN(Table1722[[#This Row],[Uraian]])&gt;2,1," ")</f>
        <v xml:space="preserve"> </v>
      </c>
      <c r="E6436" s="113" t="str">
        <f>IF(Table1722[[#This Row],[Lawan Transaksi]]="CV AGUNG KARYA",COUNTIF($I$10:I6436,"CV AGUNG KARYA")," ")</f>
        <v xml:space="preserve"> </v>
      </c>
      <c r="F6436" s="107" t="str">
        <f>IF(LEN(Table1722[[#This Row],[Uraian]])&gt;2,TRIM(RIGHT(SUBSTITUTE(TRIM(C6436)," ",REPT(" ",255)),255))," ")</f>
        <v xml:space="preserve"> </v>
      </c>
      <c r="G6436" s="110">
        <f>COPY!Z6428</f>
        <v>0</v>
      </c>
      <c r="H6436" s="111" t="str">
        <f>IFERROR(VLOOKUP(Table1722[[#This Row],[Bukti]],'Un nOTA'!$A$4:$K$5003,10,FALSE),"")</f>
        <v/>
      </c>
      <c r="I6436" s="123" t="str">
        <f>IFERROR(VLOOKUP(Table1722[[#This Row],[Bukti]],Table13[#Data],11,FALSE),"")</f>
        <v/>
      </c>
    </row>
    <row r="6437" spans="1:9" hidden="1" x14ac:dyDescent="0.2">
      <c r="A6437" s="105" t="str">
        <f>IF(D6437=1,COUNTIF($D$10:D6437,1)," ")</f>
        <v xml:space="preserve"> </v>
      </c>
      <c r="B6437" s="106">
        <f>COPY!AR6429</f>
        <v>0</v>
      </c>
      <c r="C6437" s="107">
        <f>COPY!AC6429</f>
        <v>0</v>
      </c>
      <c r="D6437" s="107" t="str">
        <f>IF(LEN(Table1722[[#This Row],[Uraian]])&gt;2,1," ")</f>
        <v xml:space="preserve"> </v>
      </c>
      <c r="E6437" s="113" t="str">
        <f>IF(Table1722[[#This Row],[Lawan Transaksi]]="CV AGUNG KARYA",COUNTIF($I$10:I6437,"CV AGUNG KARYA")," ")</f>
        <v xml:space="preserve"> </v>
      </c>
      <c r="F6437" s="107" t="str">
        <f>IF(LEN(Table1722[[#This Row],[Uraian]])&gt;2,TRIM(RIGHT(SUBSTITUTE(TRIM(C6437)," ",REPT(" ",255)),255))," ")</f>
        <v xml:space="preserve"> </v>
      </c>
      <c r="G6437" s="110">
        <f>COPY!Z6429</f>
        <v>0</v>
      </c>
      <c r="H6437" s="111" t="str">
        <f>IFERROR(VLOOKUP(Table1722[[#This Row],[Bukti]],'Un nOTA'!$A$4:$K$5003,10,FALSE),"")</f>
        <v/>
      </c>
      <c r="I6437" s="123" t="str">
        <f>IFERROR(VLOOKUP(Table1722[[#This Row],[Bukti]],Table13[#Data],11,FALSE),"")</f>
        <v/>
      </c>
    </row>
    <row r="6438" spans="1:9" hidden="1" x14ac:dyDescent="0.2">
      <c r="A6438" s="105" t="str">
        <f>IF(D6438=1,COUNTIF($D$10:D6438,1)," ")</f>
        <v xml:space="preserve"> </v>
      </c>
      <c r="B6438" s="106">
        <f>COPY!AR6430</f>
        <v>0</v>
      </c>
      <c r="C6438" s="107">
        <f>COPY!AC6430</f>
        <v>0</v>
      </c>
      <c r="D6438" s="107" t="str">
        <f>IF(LEN(Table1722[[#This Row],[Uraian]])&gt;2,1," ")</f>
        <v xml:space="preserve"> </v>
      </c>
      <c r="E6438" s="113" t="str">
        <f>IF(Table1722[[#This Row],[Lawan Transaksi]]="CV AGUNG KARYA",COUNTIF($I$10:I6438,"CV AGUNG KARYA")," ")</f>
        <v xml:space="preserve"> </v>
      </c>
      <c r="F6438" s="107" t="str">
        <f>IF(LEN(Table1722[[#This Row],[Uraian]])&gt;2,TRIM(RIGHT(SUBSTITUTE(TRIM(C6438)," ",REPT(" ",255)),255))," ")</f>
        <v xml:space="preserve"> </v>
      </c>
      <c r="G6438" s="110">
        <f>COPY!Z6430</f>
        <v>0</v>
      </c>
      <c r="H6438" s="111" t="str">
        <f>IFERROR(VLOOKUP(Table1722[[#This Row],[Bukti]],'Un nOTA'!$A$4:$K$5003,10,FALSE),"")</f>
        <v/>
      </c>
      <c r="I6438" s="123" t="str">
        <f>IFERROR(VLOOKUP(Table1722[[#This Row],[Bukti]],Table13[#Data],11,FALSE),"")</f>
        <v/>
      </c>
    </row>
    <row r="6439" spans="1:9" hidden="1" x14ac:dyDescent="0.2">
      <c r="A6439" s="105" t="str">
        <f>IF(D6439=1,COUNTIF($D$10:D6439,1)," ")</f>
        <v xml:space="preserve"> </v>
      </c>
      <c r="B6439" s="106">
        <f>COPY!AR6431</f>
        <v>0</v>
      </c>
      <c r="C6439" s="107">
        <f>COPY!AC6431</f>
        <v>0</v>
      </c>
      <c r="D6439" s="107" t="str">
        <f>IF(LEN(Table1722[[#This Row],[Uraian]])&gt;2,1," ")</f>
        <v xml:space="preserve"> </v>
      </c>
      <c r="E6439" s="113" t="str">
        <f>IF(Table1722[[#This Row],[Lawan Transaksi]]="CV AGUNG KARYA",COUNTIF($I$10:I6439,"CV AGUNG KARYA")," ")</f>
        <v xml:space="preserve"> </v>
      </c>
      <c r="F6439" s="107" t="str">
        <f>IF(LEN(Table1722[[#This Row],[Uraian]])&gt;2,TRIM(RIGHT(SUBSTITUTE(TRIM(C6439)," ",REPT(" ",255)),255))," ")</f>
        <v xml:space="preserve"> </v>
      </c>
      <c r="G6439" s="110">
        <f>COPY!Z6431</f>
        <v>0</v>
      </c>
      <c r="H6439" s="111" t="str">
        <f>IFERROR(VLOOKUP(Table1722[[#This Row],[Bukti]],'Un nOTA'!$A$4:$K$5003,10,FALSE),"")</f>
        <v/>
      </c>
      <c r="I6439" s="123" t="str">
        <f>IFERROR(VLOOKUP(Table1722[[#This Row],[Bukti]],Table13[#Data],11,FALSE),"")</f>
        <v/>
      </c>
    </row>
    <row r="6440" spans="1:9" hidden="1" x14ac:dyDescent="0.2">
      <c r="A6440" s="105" t="str">
        <f>IF(D6440=1,COUNTIF($D$10:D6440,1)," ")</f>
        <v xml:space="preserve"> </v>
      </c>
      <c r="B6440" s="106">
        <f>COPY!AR6432</f>
        <v>0</v>
      </c>
      <c r="C6440" s="107">
        <f>COPY!AC6432</f>
        <v>0</v>
      </c>
      <c r="D6440" s="107" t="str">
        <f>IF(LEN(Table1722[[#This Row],[Uraian]])&gt;2,1," ")</f>
        <v xml:space="preserve"> </v>
      </c>
      <c r="E6440" s="113" t="str">
        <f>IF(Table1722[[#This Row],[Lawan Transaksi]]="CV AGUNG KARYA",COUNTIF($I$10:I6440,"CV AGUNG KARYA")," ")</f>
        <v xml:space="preserve"> </v>
      </c>
      <c r="F6440" s="107" t="str">
        <f>IF(LEN(Table1722[[#This Row],[Uraian]])&gt;2,TRIM(RIGHT(SUBSTITUTE(TRIM(C6440)," ",REPT(" ",255)),255))," ")</f>
        <v xml:space="preserve"> </v>
      </c>
      <c r="G6440" s="110">
        <f>COPY!Z6432</f>
        <v>0</v>
      </c>
      <c r="H6440" s="111" t="str">
        <f>IFERROR(VLOOKUP(Table1722[[#This Row],[Bukti]],'Un nOTA'!$A$4:$K$5003,10,FALSE),"")</f>
        <v/>
      </c>
      <c r="I6440" s="123" t="str">
        <f>IFERROR(VLOOKUP(Table1722[[#This Row],[Bukti]],Table13[#Data],11,FALSE),"")</f>
        <v/>
      </c>
    </row>
    <row r="6441" spans="1:9" hidden="1" x14ac:dyDescent="0.2">
      <c r="A6441" s="105" t="str">
        <f>IF(D6441=1,COUNTIF($D$10:D6441,1)," ")</f>
        <v xml:space="preserve"> </v>
      </c>
      <c r="B6441" s="106">
        <f>COPY!AR6433</f>
        <v>0</v>
      </c>
      <c r="C6441" s="107">
        <f>COPY!AC6433</f>
        <v>0</v>
      </c>
      <c r="D6441" s="107" t="str">
        <f>IF(LEN(Table1722[[#This Row],[Uraian]])&gt;2,1," ")</f>
        <v xml:space="preserve"> </v>
      </c>
      <c r="E6441" s="113" t="str">
        <f>IF(Table1722[[#This Row],[Lawan Transaksi]]="CV AGUNG KARYA",COUNTIF($I$10:I6441,"CV AGUNG KARYA")," ")</f>
        <v xml:space="preserve"> </v>
      </c>
      <c r="F6441" s="107" t="str">
        <f>IF(LEN(Table1722[[#This Row],[Uraian]])&gt;2,TRIM(RIGHT(SUBSTITUTE(TRIM(C6441)," ",REPT(" ",255)),255))," ")</f>
        <v xml:space="preserve"> </v>
      </c>
      <c r="G6441" s="110">
        <f>COPY!Z6433</f>
        <v>0</v>
      </c>
      <c r="H6441" s="111" t="str">
        <f>IFERROR(VLOOKUP(Table1722[[#This Row],[Bukti]],'Un nOTA'!$A$4:$K$5003,10,FALSE),"")</f>
        <v/>
      </c>
      <c r="I6441" s="123" t="str">
        <f>IFERROR(VLOOKUP(Table1722[[#This Row],[Bukti]],Table13[#Data],11,FALSE),"")</f>
        <v/>
      </c>
    </row>
    <row r="6442" spans="1:9" hidden="1" x14ac:dyDescent="0.2">
      <c r="A6442" s="105" t="str">
        <f>IF(D6442=1,COUNTIF($D$10:D6442,1)," ")</f>
        <v xml:space="preserve"> </v>
      </c>
      <c r="B6442" s="106">
        <f>COPY!AR6434</f>
        <v>0</v>
      </c>
      <c r="C6442" s="107">
        <f>COPY!AC6434</f>
        <v>0</v>
      </c>
      <c r="D6442" s="107" t="str">
        <f>IF(LEN(Table1722[[#This Row],[Uraian]])&gt;2,1," ")</f>
        <v xml:space="preserve"> </v>
      </c>
      <c r="E6442" s="113" t="str">
        <f>IF(Table1722[[#This Row],[Lawan Transaksi]]="CV AGUNG KARYA",COUNTIF($I$10:I6442,"CV AGUNG KARYA")," ")</f>
        <v xml:space="preserve"> </v>
      </c>
      <c r="F6442" s="107" t="str">
        <f>IF(LEN(Table1722[[#This Row],[Uraian]])&gt;2,TRIM(RIGHT(SUBSTITUTE(TRIM(C6442)," ",REPT(" ",255)),255))," ")</f>
        <v xml:space="preserve"> </v>
      </c>
      <c r="G6442" s="110">
        <f>COPY!Z6434</f>
        <v>0</v>
      </c>
      <c r="H6442" s="111" t="str">
        <f>IFERROR(VLOOKUP(Table1722[[#This Row],[Bukti]],'Un nOTA'!$A$4:$K$5003,10,FALSE),"")</f>
        <v/>
      </c>
      <c r="I6442" s="123" t="str">
        <f>IFERROR(VLOOKUP(Table1722[[#This Row],[Bukti]],Table13[#Data],11,FALSE),"")</f>
        <v/>
      </c>
    </row>
    <row r="6443" spans="1:9" hidden="1" x14ac:dyDescent="0.2">
      <c r="A6443" s="105" t="str">
        <f>IF(D6443=1,COUNTIF($D$10:D6443,1)," ")</f>
        <v xml:space="preserve"> </v>
      </c>
      <c r="B6443" s="106">
        <f>COPY!AR6435</f>
        <v>0</v>
      </c>
      <c r="C6443" s="107">
        <f>COPY!AC6435</f>
        <v>0</v>
      </c>
      <c r="D6443" s="107" t="str">
        <f>IF(LEN(Table1722[[#This Row],[Uraian]])&gt;2,1," ")</f>
        <v xml:space="preserve"> </v>
      </c>
      <c r="E6443" s="113" t="str">
        <f>IF(Table1722[[#This Row],[Lawan Transaksi]]="CV AGUNG KARYA",COUNTIF($I$10:I6443,"CV AGUNG KARYA")," ")</f>
        <v xml:space="preserve"> </v>
      </c>
      <c r="F6443" s="107" t="str">
        <f>IF(LEN(Table1722[[#This Row],[Uraian]])&gt;2,TRIM(RIGHT(SUBSTITUTE(TRIM(C6443)," ",REPT(" ",255)),255))," ")</f>
        <v xml:space="preserve"> </v>
      </c>
      <c r="G6443" s="110">
        <f>COPY!Z6435</f>
        <v>0</v>
      </c>
      <c r="H6443" s="111" t="str">
        <f>IFERROR(VLOOKUP(Table1722[[#This Row],[Bukti]],'Un nOTA'!$A$4:$K$5003,10,FALSE),"")</f>
        <v/>
      </c>
      <c r="I6443" s="123" t="str">
        <f>IFERROR(VLOOKUP(Table1722[[#This Row],[Bukti]],Table13[#Data],11,FALSE),"")</f>
        <v/>
      </c>
    </row>
    <row r="6444" spans="1:9" hidden="1" x14ac:dyDescent="0.2">
      <c r="A6444" s="105" t="str">
        <f>IF(D6444=1,COUNTIF($D$10:D6444,1)," ")</f>
        <v xml:space="preserve"> </v>
      </c>
      <c r="B6444" s="106">
        <f>COPY!AR6436</f>
        <v>0</v>
      </c>
      <c r="C6444" s="107">
        <f>COPY!AC6436</f>
        <v>0</v>
      </c>
      <c r="D6444" s="107" t="str">
        <f>IF(LEN(Table1722[[#This Row],[Uraian]])&gt;2,1," ")</f>
        <v xml:space="preserve"> </v>
      </c>
      <c r="E6444" s="113" t="str">
        <f>IF(Table1722[[#This Row],[Lawan Transaksi]]="CV AGUNG KARYA",COUNTIF($I$10:I6444,"CV AGUNG KARYA")," ")</f>
        <v xml:space="preserve"> </v>
      </c>
      <c r="F6444" s="107" t="str">
        <f>IF(LEN(Table1722[[#This Row],[Uraian]])&gt;2,TRIM(RIGHT(SUBSTITUTE(TRIM(C6444)," ",REPT(" ",255)),255))," ")</f>
        <v xml:space="preserve"> </v>
      </c>
      <c r="G6444" s="110">
        <f>COPY!Z6436</f>
        <v>0</v>
      </c>
      <c r="H6444" s="111" t="str">
        <f>IFERROR(VLOOKUP(Table1722[[#This Row],[Bukti]],'Un nOTA'!$A$4:$K$5003,10,FALSE),"")</f>
        <v/>
      </c>
      <c r="I6444" s="123" t="str">
        <f>IFERROR(VLOOKUP(Table1722[[#This Row],[Bukti]],Table13[#Data],11,FALSE),"")</f>
        <v/>
      </c>
    </row>
    <row r="6445" spans="1:9" hidden="1" x14ac:dyDescent="0.2">
      <c r="A6445" s="105" t="str">
        <f>IF(D6445=1,COUNTIF($D$10:D6445,1)," ")</f>
        <v xml:space="preserve"> </v>
      </c>
      <c r="B6445" s="106">
        <f>COPY!AR6437</f>
        <v>0</v>
      </c>
      <c r="C6445" s="107">
        <f>COPY!AC6437</f>
        <v>0</v>
      </c>
      <c r="D6445" s="107" t="str">
        <f>IF(LEN(Table1722[[#This Row],[Uraian]])&gt;2,1," ")</f>
        <v xml:space="preserve"> </v>
      </c>
      <c r="E6445" s="113" t="str">
        <f>IF(Table1722[[#This Row],[Lawan Transaksi]]="CV AGUNG KARYA",COUNTIF($I$10:I6445,"CV AGUNG KARYA")," ")</f>
        <v xml:space="preserve"> </v>
      </c>
      <c r="F6445" s="107" t="str">
        <f>IF(LEN(Table1722[[#This Row],[Uraian]])&gt;2,TRIM(RIGHT(SUBSTITUTE(TRIM(C6445)," ",REPT(" ",255)),255))," ")</f>
        <v xml:space="preserve"> </v>
      </c>
      <c r="G6445" s="110">
        <f>COPY!Z6437</f>
        <v>0</v>
      </c>
      <c r="H6445" s="111" t="str">
        <f>IFERROR(VLOOKUP(Table1722[[#This Row],[Bukti]],'Un nOTA'!$A$4:$K$5003,10,FALSE),"")</f>
        <v/>
      </c>
      <c r="I6445" s="123" t="str">
        <f>IFERROR(VLOOKUP(Table1722[[#This Row],[Bukti]],Table13[#Data],11,FALSE),"")</f>
        <v/>
      </c>
    </row>
    <row r="6446" spans="1:9" hidden="1" x14ac:dyDescent="0.2">
      <c r="A6446" s="105" t="str">
        <f>IF(D6446=1,COUNTIF($D$10:D6446,1)," ")</f>
        <v xml:space="preserve"> </v>
      </c>
      <c r="B6446" s="106">
        <f>COPY!AR6438</f>
        <v>0</v>
      </c>
      <c r="C6446" s="107">
        <f>COPY!AC6438</f>
        <v>0</v>
      </c>
      <c r="D6446" s="107" t="str">
        <f>IF(LEN(Table1722[[#This Row],[Uraian]])&gt;2,1," ")</f>
        <v xml:space="preserve"> </v>
      </c>
      <c r="E6446" s="113" t="str">
        <f>IF(Table1722[[#This Row],[Lawan Transaksi]]="CV AGUNG KARYA",COUNTIF($I$10:I6446,"CV AGUNG KARYA")," ")</f>
        <v xml:space="preserve"> </v>
      </c>
      <c r="F6446" s="107" t="str">
        <f>IF(LEN(Table1722[[#This Row],[Uraian]])&gt;2,TRIM(RIGHT(SUBSTITUTE(TRIM(C6446)," ",REPT(" ",255)),255))," ")</f>
        <v xml:space="preserve"> </v>
      </c>
      <c r="G6446" s="110">
        <f>COPY!Z6438</f>
        <v>0</v>
      </c>
      <c r="H6446" s="111" t="str">
        <f>IFERROR(VLOOKUP(Table1722[[#This Row],[Bukti]],'Un nOTA'!$A$4:$K$5003,10,FALSE),"")</f>
        <v/>
      </c>
      <c r="I6446" s="123" t="str">
        <f>IFERROR(VLOOKUP(Table1722[[#This Row],[Bukti]],Table13[#Data],11,FALSE),"")</f>
        <v/>
      </c>
    </row>
    <row r="6447" spans="1:9" hidden="1" x14ac:dyDescent="0.2">
      <c r="A6447" s="105" t="str">
        <f>IF(D6447=1,COUNTIF($D$10:D6447,1)," ")</f>
        <v xml:space="preserve"> </v>
      </c>
      <c r="B6447" s="106">
        <f>COPY!AR6439</f>
        <v>0</v>
      </c>
      <c r="C6447" s="107">
        <f>COPY!AC6439</f>
        <v>0</v>
      </c>
      <c r="D6447" s="107" t="str">
        <f>IF(LEN(Table1722[[#This Row],[Uraian]])&gt;2,1," ")</f>
        <v xml:space="preserve"> </v>
      </c>
      <c r="E6447" s="113" t="str">
        <f>IF(Table1722[[#This Row],[Lawan Transaksi]]="CV AGUNG KARYA",COUNTIF($I$10:I6447,"CV AGUNG KARYA")," ")</f>
        <v xml:space="preserve"> </v>
      </c>
      <c r="F6447" s="107" t="str">
        <f>IF(LEN(Table1722[[#This Row],[Uraian]])&gt;2,TRIM(RIGHT(SUBSTITUTE(TRIM(C6447)," ",REPT(" ",255)),255))," ")</f>
        <v xml:space="preserve"> </v>
      </c>
      <c r="G6447" s="110">
        <f>COPY!Z6439</f>
        <v>0</v>
      </c>
      <c r="H6447" s="111" t="str">
        <f>IFERROR(VLOOKUP(Table1722[[#This Row],[Bukti]],'Un nOTA'!$A$4:$K$5003,10,FALSE),"")</f>
        <v/>
      </c>
      <c r="I6447" s="123" t="str">
        <f>IFERROR(VLOOKUP(Table1722[[#This Row],[Bukti]],Table13[#Data],11,FALSE),"")</f>
        <v/>
      </c>
    </row>
    <row r="6448" spans="1:9" hidden="1" x14ac:dyDescent="0.2">
      <c r="A6448" s="105" t="str">
        <f>IF(D6448=1,COUNTIF($D$10:D6448,1)," ")</f>
        <v xml:space="preserve"> </v>
      </c>
      <c r="B6448" s="106">
        <f>COPY!AR6440</f>
        <v>0</v>
      </c>
      <c r="C6448" s="107">
        <f>COPY!AC6440</f>
        <v>0</v>
      </c>
      <c r="D6448" s="107" t="str">
        <f>IF(LEN(Table1722[[#This Row],[Uraian]])&gt;2,1," ")</f>
        <v xml:space="preserve"> </v>
      </c>
      <c r="E6448" s="113" t="str">
        <f>IF(Table1722[[#This Row],[Lawan Transaksi]]="CV AGUNG KARYA",COUNTIF($I$10:I6448,"CV AGUNG KARYA")," ")</f>
        <v xml:space="preserve"> </v>
      </c>
      <c r="F6448" s="107" t="str">
        <f>IF(LEN(Table1722[[#This Row],[Uraian]])&gt;2,TRIM(RIGHT(SUBSTITUTE(TRIM(C6448)," ",REPT(" ",255)),255))," ")</f>
        <v xml:space="preserve"> </v>
      </c>
      <c r="G6448" s="110">
        <f>COPY!Z6440</f>
        <v>0</v>
      </c>
      <c r="H6448" s="111" t="str">
        <f>IFERROR(VLOOKUP(Table1722[[#This Row],[Bukti]],'Un nOTA'!$A$4:$K$5003,10,FALSE),"")</f>
        <v/>
      </c>
      <c r="I6448" s="123" t="str">
        <f>IFERROR(VLOOKUP(Table1722[[#This Row],[Bukti]],Table13[#Data],11,FALSE),"")</f>
        <v/>
      </c>
    </row>
    <row r="6449" spans="1:9" hidden="1" x14ac:dyDescent="0.2">
      <c r="A6449" s="105" t="str">
        <f>IF(D6449=1,COUNTIF($D$10:D6449,1)," ")</f>
        <v xml:space="preserve"> </v>
      </c>
      <c r="B6449" s="106">
        <f>COPY!AR6441</f>
        <v>0</v>
      </c>
      <c r="C6449" s="107">
        <f>COPY!AC6441</f>
        <v>0</v>
      </c>
      <c r="D6449" s="107" t="str">
        <f>IF(LEN(Table1722[[#This Row],[Uraian]])&gt;2,1," ")</f>
        <v xml:space="preserve"> </v>
      </c>
      <c r="E6449" s="113" t="str">
        <f>IF(Table1722[[#This Row],[Lawan Transaksi]]="CV AGUNG KARYA",COUNTIF($I$10:I6449,"CV AGUNG KARYA")," ")</f>
        <v xml:space="preserve"> </v>
      </c>
      <c r="F6449" s="107" t="str">
        <f>IF(LEN(Table1722[[#This Row],[Uraian]])&gt;2,TRIM(RIGHT(SUBSTITUTE(TRIM(C6449)," ",REPT(" ",255)),255))," ")</f>
        <v xml:space="preserve"> </v>
      </c>
      <c r="G6449" s="110">
        <f>COPY!Z6441</f>
        <v>0</v>
      </c>
      <c r="H6449" s="111" t="str">
        <f>IFERROR(VLOOKUP(Table1722[[#This Row],[Bukti]],'Un nOTA'!$A$4:$K$5003,10,FALSE),"")</f>
        <v/>
      </c>
      <c r="I6449" s="123" t="str">
        <f>IFERROR(VLOOKUP(Table1722[[#This Row],[Bukti]],Table13[#Data],11,FALSE),"")</f>
        <v/>
      </c>
    </row>
    <row r="6450" spans="1:9" hidden="1" x14ac:dyDescent="0.2">
      <c r="A6450" s="105" t="str">
        <f>IF(D6450=1,COUNTIF($D$10:D6450,1)," ")</f>
        <v xml:space="preserve"> </v>
      </c>
      <c r="B6450" s="106">
        <f>COPY!AR6442</f>
        <v>0</v>
      </c>
      <c r="C6450" s="107">
        <f>COPY!AC6442</f>
        <v>0</v>
      </c>
      <c r="D6450" s="107" t="str">
        <f>IF(LEN(Table1722[[#This Row],[Uraian]])&gt;2,1," ")</f>
        <v xml:space="preserve"> </v>
      </c>
      <c r="E6450" s="113" t="str">
        <f>IF(Table1722[[#This Row],[Lawan Transaksi]]="CV AGUNG KARYA",COUNTIF($I$10:I6450,"CV AGUNG KARYA")," ")</f>
        <v xml:space="preserve"> </v>
      </c>
      <c r="F6450" s="107" t="str">
        <f>IF(LEN(Table1722[[#This Row],[Uraian]])&gt;2,TRIM(RIGHT(SUBSTITUTE(TRIM(C6450)," ",REPT(" ",255)),255))," ")</f>
        <v xml:space="preserve"> </v>
      </c>
      <c r="G6450" s="110">
        <f>COPY!Z6442</f>
        <v>0</v>
      </c>
      <c r="H6450" s="111" t="str">
        <f>IFERROR(VLOOKUP(Table1722[[#This Row],[Bukti]],'Un nOTA'!$A$4:$K$5003,10,FALSE),"")</f>
        <v/>
      </c>
      <c r="I6450" s="123" t="str">
        <f>IFERROR(VLOOKUP(Table1722[[#This Row],[Bukti]],Table13[#Data],11,FALSE),"")</f>
        <v/>
      </c>
    </row>
    <row r="6451" spans="1:9" hidden="1" x14ac:dyDescent="0.2">
      <c r="A6451" s="105" t="str">
        <f>IF(D6451=1,COUNTIF($D$10:D6451,1)," ")</f>
        <v xml:space="preserve"> </v>
      </c>
      <c r="B6451" s="106">
        <f>COPY!AR6443</f>
        <v>0</v>
      </c>
      <c r="C6451" s="107">
        <f>COPY!AC6443</f>
        <v>0</v>
      </c>
      <c r="D6451" s="107" t="str">
        <f>IF(LEN(Table1722[[#This Row],[Uraian]])&gt;2,1," ")</f>
        <v xml:space="preserve"> </v>
      </c>
      <c r="E6451" s="113" t="str">
        <f>IF(Table1722[[#This Row],[Lawan Transaksi]]="CV AGUNG KARYA",COUNTIF($I$10:I6451,"CV AGUNG KARYA")," ")</f>
        <v xml:space="preserve"> </v>
      </c>
      <c r="F6451" s="107" t="str">
        <f>IF(LEN(Table1722[[#This Row],[Uraian]])&gt;2,TRIM(RIGHT(SUBSTITUTE(TRIM(C6451)," ",REPT(" ",255)),255))," ")</f>
        <v xml:space="preserve"> </v>
      </c>
      <c r="G6451" s="110">
        <f>COPY!Z6443</f>
        <v>0</v>
      </c>
      <c r="H6451" s="111" t="str">
        <f>IFERROR(VLOOKUP(Table1722[[#This Row],[Bukti]],'Un nOTA'!$A$4:$K$5003,10,FALSE),"")</f>
        <v/>
      </c>
      <c r="I6451" s="123" t="str">
        <f>IFERROR(VLOOKUP(Table1722[[#This Row],[Bukti]],Table13[#Data],11,FALSE),"")</f>
        <v/>
      </c>
    </row>
    <row r="6452" spans="1:9" hidden="1" x14ac:dyDescent="0.2">
      <c r="A6452" s="105" t="str">
        <f>IF(D6452=1,COUNTIF($D$10:D6452,1)," ")</f>
        <v xml:space="preserve"> </v>
      </c>
      <c r="B6452" s="106">
        <f>COPY!AR6444</f>
        <v>0</v>
      </c>
      <c r="C6452" s="107">
        <f>COPY!AC6444</f>
        <v>0</v>
      </c>
      <c r="D6452" s="107" t="str">
        <f>IF(LEN(Table1722[[#This Row],[Uraian]])&gt;2,1," ")</f>
        <v xml:space="preserve"> </v>
      </c>
      <c r="E6452" s="113" t="str">
        <f>IF(Table1722[[#This Row],[Lawan Transaksi]]="CV AGUNG KARYA",COUNTIF($I$10:I6452,"CV AGUNG KARYA")," ")</f>
        <v xml:space="preserve"> </v>
      </c>
      <c r="F6452" s="107" t="str">
        <f>IF(LEN(Table1722[[#This Row],[Uraian]])&gt;2,TRIM(RIGHT(SUBSTITUTE(TRIM(C6452)," ",REPT(" ",255)),255))," ")</f>
        <v xml:space="preserve"> </v>
      </c>
      <c r="G6452" s="110">
        <f>COPY!Z6444</f>
        <v>0</v>
      </c>
      <c r="H6452" s="111" t="str">
        <f>IFERROR(VLOOKUP(Table1722[[#This Row],[Bukti]],'Un nOTA'!$A$4:$K$5003,10,FALSE),"")</f>
        <v/>
      </c>
      <c r="I6452" s="123" t="str">
        <f>IFERROR(VLOOKUP(Table1722[[#This Row],[Bukti]],Table13[#Data],11,FALSE),"")</f>
        <v/>
      </c>
    </row>
    <row r="6453" spans="1:9" hidden="1" x14ac:dyDescent="0.2">
      <c r="A6453" s="105" t="str">
        <f>IF(D6453=1,COUNTIF($D$10:D6453,1)," ")</f>
        <v xml:space="preserve"> </v>
      </c>
      <c r="B6453" s="106">
        <f>COPY!AR6445</f>
        <v>0</v>
      </c>
      <c r="C6453" s="107">
        <f>COPY!AC6445</f>
        <v>0</v>
      </c>
      <c r="D6453" s="107" t="str">
        <f>IF(LEN(Table1722[[#This Row],[Uraian]])&gt;2,1," ")</f>
        <v xml:space="preserve"> </v>
      </c>
      <c r="E6453" s="113" t="str">
        <f>IF(Table1722[[#This Row],[Lawan Transaksi]]="CV AGUNG KARYA",COUNTIF($I$10:I6453,"CV AGUNG KARYA")," ")</f>
        <v xml:space="preserve"> </v>
      </c>
      <c r="F6453" s="107" t="str">
        <f>IF(LEN(Table1722[[#This Row],[Uraian]])&gt;2,TRIM(RIGHT(SUBSTITUTE(TRIM(C6453)," ",REPT(" ",255)),255))," ")</f>
        <v xml:space="preserve"> </v>
      </c>
      <c r="G6453" s="110">
        <f>COPY!Z6445</f>
        <v>0</v>
      </c>
      <c r="H6453" s="111" t="str">
        <f>IFERROR(VLOOKUP(Table1722[[#This Row],[Bukti]],'Un nOTA'!$A$4:$K$5003,10,FALSE),"")</f>
        <v/>
      </c>
      <c r="I6453" s="123" t="str">
        <f>IFERROR(VLOOKUP(Table1722[[#This Row],[Bukti]],Table13[#Data],11,FALSE),"")</f>
        <v/>
      </c>
    </row>
    <row r="6454" spans="1:9" hidden="1" x14ac:dyDescent="0.2">
      <c r="A6454" s="105" t="str">
        <f>IF(D6454=1,COUNTIF($D$10:D6454,1)," ")</f>
        <v xml:space="preserve"> </v>
      </c>
      <c r="B6454" s="106">
        <f>COPY!AR6446</f>
        <v>0</v>
      </c>
      <c r="C6454" s="107">
        <f>COPY!AC6446</f>
        <v>0</v>
      </c>
      <c r="D6454" s="107" t="str">
        <f>IF(LEN(Table1722[[#This Row],[Uraian]])&gt;2,1," ")</f>
        <v xml:space="preserve"> </v>
      </c>
      <c r="E6454" s="113" t="str">
        <f>IF(Table1722[[#This Row],[Lawan Transaksi]]="CV AGUNG KARYA",COUNTIF($I$10:I6454,"CV AGUNG KARYA")," ")</f>
        <v xml:space="preserve"> </v>
      </c>
      <c r="F6454" s="107" t="str">
        <f>IF(LEN(Table1722[[#This Row],[Uraian]])&gt;2,TRIM(RIGHT(SUBSTITUTE(TRIM(C6454)," ",REPT(" ",255)),255))," ")</f>
        <v xml:space="preserve"> </v>
      </c>
      <c r="G6454" s="110">
        <f>COPY!Z6446</f>
        <v>0</v>
      </c>
      <c r="H6454" s="111" t="str">
        <f>IFERROR(VLOOKUP(Table1722[[#This Row],[Bukti]],'Un nOTA'!$A$4:$K$5003,10,FALSE),"")</f>
        <v/>
      </c>
      <c r="I6454" s="123" t="str">
        <f>IFERROR(VLOOKUP(Table1722[[#This Row],[Bukti]],Table13[#Data],11,FALSE),"")</f>
        <v/>
      </c>
    </row>
    <row r="6455" spans="1:9" hidden="1" x14ac:dyDescent="0.2">
      <c r="A6455" s="105" t="str">
        <f>IF(D6455=1,COUNTIF($D$10:D6455,1)," ")</f>
        <v xml:space="preserve"> </v>
      </c>
      <c r="B6455" s="106">
        <f>COPY!AR6447</f>
        <v>0</v>
      </c>
      <c r="C6455" s="107">
        <f>COPY!AC6447</f>
        <v>0</v>
      </c>
      <c r="D6455" s="107" t="str">
        <f>IF(LEN(Table1722[[#This Row],[Uraian]])&gt;2,1," ")</f>
        <v xml:space="preserve"> </v>
      </c>
      <c r="E6455" s="113" t="str">
        <f>IF(Table1722[[#This Row],[Lawan Transaksi]]="CV AGUNG KARYA",COUNTIF($I$10:I6455,"CV AGUNG KARYA")," ")</f>
        <v xml:space="preserve"> </v>
      </c>
      <c r="F6455" s="107" t="str">
        <f>IF(LEN(Table1722[[#This Row],[Uraian]])&gt;2,TRIM(RIGHT(SUBSTITUTE(TRIM(C6455)," ",REPT(" ",255)),255))," ")</f>
        <v xml:space="preserve"> </v>
      </c>
      <c r="G6455" s="110">
        <f>COPY!Z6447</f>
        <v>0</v>
      </c>
      <c r="H6455" s="111" t="str">
        <f>IFERROR(VLOOKUP(Table1722[[#This Row],[Bukti]],'Un nOTA'!$A$4:$K$5003,10,FALSE),"")</f>
        <v/>
      </c>
      <c r="I6455" s="123" t="str">
        <f>IFERROR(VLOOKUP(Table1722[[#This Row],[Bukti]],Table13[#Data],11,FALSE),"")</f>
        <v/>
      </c>
    </row>
    <row r="6456" spans="1:9" hidden="1" x14ac:dyDescent="0.2">
      <c r="A6456" s="105" t="str">
        <f>IF(D6456=1,COUNTIF($D$10:D6456,1)," ")</f>
        <v xml:space="preserve"> </v>
      </c>
      <c r="B6456" s="106">
        <f>COPY!AR6448</f>
        <v>0</v>
      </c>
      <c r="C6456" s="107">
        <f>COPY!AC6448</f>
        <v>0</v>
      </c>
      <c r="D6456" s="107" t="str">
        <f>IF(LEN(Table1722[[#This Row],[Uraian]])&gt;2,1," ")</f>
        <v xml:space="preserve"> </v>
      </c>
      <c r="E6456" s="113" t="str">
        <f>IF(Table1722[[#This Row],[Lawan Transaksi]]="CV AGUNG KARYA",COUNTIF($I$10:I6456,"CV AGUNG KARYA")," ")</f>
        <v xml:space="preserve"> </v>
      </c>
      <c r="F6456" s="107" t="str">
        <f>IF(LEN(Table1722[[#This Row],[Uraian]])&gt;2,TRIM(RIGHT(SUBSTITUTE(TRIM(C6456)," ",REPT(" ",255)),255))," ")</f>
        <v xml:space="preserve"> </v>
      </c>
      <c r="G6456" s="110">
        <f>COPY!Z6448</f>
        <v>0</v>
      </c>
      <c r="H6456" s="111" t="str">
        <f>IFERROR(VLOOKUP(Table1722[[#This Row],[Bukti]],'Un nOTA'!$A$4:$K$5003,10,FALSE),"")</f>
        <v/>
      </c>
      <c r="I6456" s="123" t="str">
        <f>IFERROR(VLOOKUP(Table1722[[#This Row],[Bukti]],Table13[#Data],11,FALSE),"")</f>
        <v/>
      </c>
    </row>
    <row r="6457" spans="1:9" hidden="1" x14ac:dyDescent="0.2">
      <c r="A6457" s="105" t="str">
        <f>IF(D6457=1,COUNTIF($D$10:D6457,1)," ")</f>
        <v xml:space="preserve"> </v>
      </c>
      <c r="B6457" s="106">
        <f>COPY!AR6449</f>
        <v>0</v>
      </c>
      <c r="C6457" s="107">
        <f>COPY!AC6449</f>
        <v>0</v>
      </c>
      <c r="D6457" s="107" t="str">
        <f>IF(LEN(Table1722[[#This Row],[Uraian]])&gt;2,1," ")</f>
        <v xml:space="preserve"> </v>
      </c>
      <c r="E6457" s="113" t="str">
        <f>IF(Table1722[[#This Row],[Lawan Transaksi]]="CV AGUNG KARYA",COUNTIF($I$10:I6457,"CV AGUNG KARYA")," ")</f>
        <v xml:space="preserve"> </v>
      </c>
      <c r="F6457" s="107" t="str">
        <f>IF(LEN(Table1722[[#This Row],[Uraian]])&gt;2,TRIM(RIGHT(SUBSTITUTE(TRIM(C6457)," ",REPT(" ",255)),255))," ")</f>
        <v xml:space="preserve"> </v>
      </c>
      <c r="G6457" s="110">
        <f>COPY!Z6449</f>
        <v>0</v>
      </c>
      <c r="H6457" s="111" t="str">
        <f>IFERROR(VLOOKUP(Table1722[[#This Row],[Bukti]],'Un nOTA'!$A$4:$K$5003,10,FALSE),"")</f>
        <v/>
      </c>
      <c r="I6457" s="123" t="str">
        <f>IFERROR(VLOOKUP(Table1722[[#This Row],[Bukti]],Table13[#Data],11,FALSE),"")</f>
        <v/>
      </c>
    </row>
    <row r="6458" spans="1:9" hidden="1" x14ac:dyDescent="0.2">
      <c r="A6458" s="105" t="str">
        <f>IF(D6458=1,COUNTIF($D$10:D6458,1)," ")</f>
        <v xml:space="preserve"> </v>
      </c>
      <c r="B6458" s="106">
        <f>COPY!AR6450</f>
        <v>0</v>
      </c>
      <c r="C6458" s="107">
        <f>COPY!AC6450</f>
        <v>0</v>
      </c>
      <c r="D6458" s="107" t="str">
        <f>IF(LEN(Table1722[[#This Row],[Uraian]])&gt;2,1," ")</f>
        <v xml:space="preserve"> </v>
      </c>
      <c r="E6458" s="113" t="str">
        <f>IF(Table1722[[#This Row],[Lawan Transaksi]]="CV AGUNG KARYA",COUNTIF($I$10:I6458,"CV AGUNG KARYA")," ")</f>
        <v xml:space="preserve"> </v>
      </c>
      <c r="F6458" s="107" t="str">
        <f>IF(LEN(Table1722[[#This Row],[Uraian]])&gt;2,TRIM(RIGHT(SUBSTITUTE(TRIM(C6458)," ",REPT(" ",255)),255))," ")</f>
        <v xml:space="preserve"> </v>
      </c>
      <c r="G6458" s="110">
        <f>COPY!Z6450</f>
        <v>0</v>
      </c>
      <c r="H6458" s="111" t="str">
        <f>IFERROR(VLOOKUP(Table1722[[#This Row],[Bukti]],'Un nOTA'!$A$4:$K$5003,10,FALSE),"")</f>
        <v/>
      </c>
      <c r="I6458" s="123" t="str">
        <f>IFERROR(VLOOKUP(Table1722[[#This Row],[Bukti]],Table13[#Data],11,FALSE),"")</f>
        <v/>
      </c>
    </row>
    <row r="6459" spans="1:9" hidden="1" x14ac:dyDescent="0.2">
      <c r="A6459" s="105" t="str">
        <f>IF(D6459=1,COUNTIF($D$10:D6459,1)," ")</f>
        <v xml:space="preserve"> </v>
      </c>
      <c r="B6459" s="106">
        <f>COPY!AR6451</f>
        <v>0</v>
      </c>
      <c r="C6459" s="107">
        <f>COPY!AC6451</f>
        <v>0</v>
      </c>
      <c r="D6459" s="107" t="str">
        <f>IF(LEN(Table1722[[#This Row],[Uraian]])&gt;2,1," ")</f>
        <v xml:space="preserve"> </v>
      </c>
      <c r="E6459" s="113" t="str">
        <f>IF(Table1722[[#This Row],[Lawan Transaksi]]="CV AGUNG KARYA",COUNTIF($I$10:I6459,"CV AGUNG KARYA")," ")</f>
        <v xml:space="preserve"> </v>
      </c>
      <c r="F6459" s="107" t="str">
        <f>IF(LEN(Table1722[[#This Row],[Uraian]])&gt;2,TRIM(RIGHT(SUBSTITUTE(TRIM(C6459)," ",REPT(" ",255)),255))," ")</f>
        <v xml:space="preserve"> </v>
      </c>
      <c r="G6459" s="110">
        <f>COPY!Z6451</f>
        <v>0</v>
      </c>
      <c r="H6459" s="111" t="str">
        <f>IFERROR(VLOOKUP(Table1722[[#This Row],[Bukti]],'Un nOTA'!$A$4:$K$5003,10,FALSE),"")</f>
        <v/>
      </c>
      <c r="I6459" s="123" t="str">
        <f>IFERROR(VLOOKUP(Table1722[[#This Row],[Bukti]],Table13[#Data],11,FALSE),"")</f>
        <v/>
      </c>
    </row>
    <row r="6460" spans="1:9" hidden="1" x14ac:dyDescent="0.2">
      <c r="A6460" s="105" t="str">
        <f>IF(D6460=1,COUNTIF($D$10:D6460,1)," ")</f>
        <v xml:space="preserve"> </v>
      </c>
      <c r="B6460" s="106">
        <f>COPY!AR6452</f>
        <v>0</v>
      </c>
      <c r="C6460" s="107">
        <f>COPY!AC6452</f>
        <v>0</v>
      </c>
      <c r="D6460" s="107" t="str">
        <f>IF(LEN(Table1722[[#This Row],[Uraian]])&gt;2,1," ")</f>
        <v xml:space="preserve"> </v>
      </c>
      <c r="E6460" s="113" t="str">
        <f>IF(Table1722[[#This Row],[Lawan Transaksi]]="CV AGUNG KARYA",COUNTIF($I$10:I6460,"CV AGUNG KARYA")," ")</f>
        <v xml:space="preserve"> </v>
      </c>
      <c r="F6460" s="107" t="str">
        <f>IF(LEN(Table1722[[#This Row],[Uraian]])&gt;2,TRIM(RIGHT(SUBSTITUTE(TRIM(C6460)," ",REPT(" ",255)),255))," ")</f>
        <v xml:space="preserve"> </v>
      </c>
      <c r="G6460" s="110">
        <f>COPY!Z6452</f>
        <v>0</v>
      </c>
      <c r="H6460" s="111" t="str">
        <f>IFERROR(VLOOKUP(Table1722[[#This Row],[Bukti]],'Un nOTA'!$A$4:$K$5003,10,FALSE),"")</f>
        <v/>
      </c>
      <c r="I6460" s="123" t="str">
        <f>IFERROR(VLOOKUP(Table1722[[#This Row],[Bukti]],Table13[#Data],11,FALSE),"")</f>
        <v/>
      </c>
    </row>
    <row r="6461" spans="1:9" hidden="1" x14ac:dyDescent="0.2">
      <c r="A6461" s="105" t="str">
        <f>IF(D6461=1,COUNTIF($D$10:D6461,1)," ")</f>
        <v xml:space="preserve"> </v>
      </c>
      <c r="B6461" s="106">
        <f>COPY!AR6453</f>
        <v>0</v>
      </c>
      <c r="C6461" s="107">
        <f>COPY!AC6453</f>
        <v>0</v>
      </c>
      <c r="D6461" s="107" t="str">
        <f>IF(LEN(Table1722[[#This Row],[Uraian]])&gt;2,1," ")</f>
        <v xml:space="preserve"> </v>
      </c>
      <c r="E6461" s="113" t="str">
        <f>IF(Table1722[[#This Row],[Lawan Transaksi]]="CV AGUNG KARYA",COUNTIF($I$10:I6461,"CV AGUNG KARYA")," ")</f>
        <v xml:space="preserve"> </v>
      </c>
      <c r="F6461" s="107" t="str">
        <f>IF(LEN(Table1722[[#This Row],[Uraian]])&gt;2,TRIM(RIGHT(SUBSTITUTE(TRIM(C6461)," ",REPT(" ",255)),255))," ")</f>
        <v xml:space="preserve"> </v>
      </c>
      <c r="G6461" s="110">
        <f>COPY!Z6453</f>
        <v>0</v>
      </c>
      <c r="H6461" s="111" t="str">
        <f>IFERROR(VLOOKUP(Table1722[[#This Row],[Bukti]],'Un nOTA'!$A$4:$K$5003,10,FALSE),"")</f>
        <v/>
      </c>
      <c r="I6461" s="123" t="str">
        <f>IFERROR(VLOOKUP(Table1722[[#This Row],[Bukti]],Table13[#Data],11,FALSE),"")</f>
        <v/>
      </c>
    </row>
    <row r="6462" spans="1:9" hidden="1" x14ac:dyDescent="0.2">
      <c r="A6462" s="105" t="str">
        <f>IF(D6462=1,COUNTIF($D$10:D6462,1)," ")</f>
        <v xml:space="preserve"> </v>
      </c>
      <c r="B6462" s="106">
        <f>COPY!AR6454</f>
        <v>0</v>
      </c>
      <c r="C6462" s="107">
        <f>COPY!AC6454</f>
        <v>0</v>
      </c>
      <c r="D6462" s="107" t="str">
        <f>IF(LEN(Table1722[[#This Row],[Uraian]])&gt;2,1," ")</f>
        <v xml:space="preserve"> </v>
      </c>
      <c r="E6462" s="113" t="str">
        <f>IF(Table1722[[#This Row],[Lawan Transaksi]]="CV AGUNG KARYA",COUNTIF($I$10:I6462,"CV AGUNG KARYA")," ")</f>
        <v xml:space="preserve"> </v>
      </c>
      <c r="F6462" s="107" t="str">
        <f>IF(LEN(Table1722[[#This Row],[Uraian]])&gt;2,TRIM(RIGHT(SUBSTITUTE(TRIM(C6462)," ",REPT(" ",255)),255))," ")</f>
        <v xml:space="preserve"> </v>
      </c>
      <c r="G6462" s="110">
        <f>COPY!Z6454</f>
        <v>0</v>
      </c>
      <c r="H6462" s="111" t="str">
        <f>IFERROR(VLOOKUP(Table1722[[#This Row],[Bukti]],'Un nOTA'!$A$4:$K$5003,10,FALSE),"")</f>
        <v/>
      </c>
      <c r="I6462" s="123" t="str">
        <f>IFERROR(VLOOKUP(Table1722[[#This Row],[Bukti]],Table13[#Data],11,FALSE),"")</f>
        <v/>
      </c>
    </row>
    <row r="6463" spans="1:9" hidden="1" x14ac:dyDescent="0.2">
      <c r="A6463" s="105" t="str">
        <f>IF(D6463=1,COUNTIF($D$10:D6463,1)," ")</f>
        <v xml:space="preserve"> </v>
      </c>
      <c r="B6463" s="106">
        <f>COPY!AR6455</f>
        <v>0</v>
      </c>
      <c r="C6463" s="107">
        <f>COPY!AC6455</f>
        <v>0</v>
      </c>
      <c r="D6463" s="107" t="str">
        <f>IF(LEN(Table1722[[#This Row],[Uraian]])&gt;2,1," ")</f>
        <v xml:space="preserve"> </v>
      </c>
      <c r="E6463" s="113" t="str">
        <f>IF(Table1722[[#This Row],[Lawan Transaksi]]="CV AGUNG KARYA",COUNTIF($I$10:I6463,"CV AGUNG KARYA")," ")</f>
        <v xml:space="preserve"> </v>
      </c>
      <c r="F6463" s="107" t="str">
        <f>IF(LEN(Table1722[[#This Row],[Uraian]])&gt;2,TRIM(RIGHT(SUBSTITUTE(TRIM(C6463)," ",REPT(" ",255)),255))," ")</f>
        <v xml:space="preserve"> </v>
      </c>
      <c r="G6463" s="110">
        <f>COPY!Z6455</f>
        <v>0</v>
      </c>
      <c r="H6463" s="111" t="str">
        <f>IFERROR(VLOOKUP(Table1722[[#This Row],[Bukti]],'Un nOTA'!$A$4:$K$5003,10,FALSE),"")</f>
        <v/>
      </c>
      <c r="I6463" s="123" t="str">
        <f>IFERROR(VLOOKUP(Table1722[[#This Row],[Bukti]],Table13[#Data],11,FALSE),"")</f>
        <v/>
      </c>
    </row>
    <row r="6464" spans="1:9" hidden="1" x14ac:dyDescent="0.2">
      <c r="A6464" s="105" t="str">
        <f>IF(D6464=1,COUNTIF($D$10:D6464,1)," ")</f>
        <v xml:space="preserve"> </v>
      </c>
      <c r="B6464" s="106">
        <f>COPY!AR6456</f>
        <v>0</v>
      </c>
      <c r="C6464" s="107">
        <f>COPY!AC6456</f>
        <v>0</v>
      </c>
      <c r="D6464" s="107" t="str">
        <f>IF(LEN(Table1722[[#This Row],[Uraian]])&gt;2,1," ")</f>
        <v xml:space="preserve"> </v>
      </c>
      <c r="E6464" s="113" t="str">
        <f>IF(Table1722[[#This Row],[Lawan Transaksi]]="CV AGUNG KARYA",COUNTIF($I$10:I6464,"CV AGUNG KARYA")," ")</f>
        <v xml:space="preserve"> </v>
      </c>
      <c r="F6464" s="107" t="str">
        <f>IF(LEN(Table1722[[#This Row],[Uraian]])&gt;2,TRIM(RIGHT(SUBSTITUTE(TRIM(C6464)," ",REPT(" ",255)),255))," ")</f>
        <v xml:space="preserve"> </v>
      </c>
      <c r="G6464" s="110">
        <f>COPY!Z6456</f>
        <v>0</v>
      </c>
      <c r="H6464" s="111" t="str">
        <f>IFERROR(VLOOKUP(Table1722[[#This Row],[Bukti]],'Un nOTA'!$A$4:$K$5003,10,FALSE),"")</f>
        <v/>
      </c>
      <c r="I6464" s="123" t="str">
        <f>IFERROR(VLOOKUP(Table1722[[#This Row],[Bukti]],Table13[#Data],11,FALSE),"")</f>
        <v/>
      </c>
    </row>
    <row r="6465" spans="1:9" hidden="1" x14ac:dyDescent="0.2">
      <c r="A6465" s="105" t="str">
        <f>IF(D6465=1,COUNTIF($D$10:D6465,1)," ")</f>
        <v xml:space="preserve"> </v>
      </c>
      <c r="B6465" s="106">
        <f>COPY!AR6457</f>
        <v>0</v>
      </c>
      <c r="C6465" s="107">
        <f>COPY!AC6457</f>
        <v>0</v>
      </c>
      <c r="D6465" s="107" t="str">
        <f>IF(LEN(Table1722[[#This Row],[Uraian]])&gt;2,1," ")</f>
        <v xml:space="preserve"> </v>
      </c>
      <c r="E6465" s="113" t="str">
        <f>IF(Table1722[[#This Row],[Lawan Transaksi]]="CV AGUNG KARYA",COUNTIF($I$10:I6465,"CV AGUNG KARYA")," ")</f>
        <v xml:space="preserve"> </v>
      </c>
      <c r="F6465" s="107" t="str">
        <f>IF(LEN(Table1722[[#This Row],[Uraian]])&gt;2,TRIM(RIGHT(SUBSTITUTE(TRIM(C6465)," ",REPT(" ",255)),255))," ")</f>
        <v xml:space="preserve"> </v>
      </c>
      <c r="G6465" s="110">
        <f>COPY!Z6457</f>
        <v>0</v>
      </c>
      <c r="H6465" s="111" t="str">
        <f>IFERROR(VLOOKUP(Table1722[[#This Row],[Bukti]],'Un nOTA'!$A$4:$K$5003,10,FALSE),"")</f>
        <v/>
      </c>
      <c r="I6465" s="123" t="str">
        <f>IFERROR(VLOOKUP(Table1722[[#This Row],[Bukti]],Table13[#Data],11,FALSE),"")</f>
        <v/>
      </c>
    </row>
    <row r="6466" spans="1:9" hidden="1" x14ac:dyDescent="0.2">
      <c r="A6466" s="105" t="str">
        <f>IF(D6466=1,COUNTIF($D$10:D6466,1)," ")</f>
        <v xml:space="preserve"> </v>
      </c>
      <c r="B6466" s="106">
        <f>COPY!AR6458</f>
        <v>0</v>
      </c>
      <c r="C6466" s="107">
        <f>COPY!AC6458</f>
        <v>0</v>
      </c>
      <c r="D6466" s="107" t="str">
        <f>IF(LEN(Table1722[[#This Row],[Uraian]])&gt;2,1," ")</f>
        <v xml:space="preserve"> </v>
      </c>
      <c r="E6466" s="113" t="str">
        <f>IF(Table1722[[#This Row],[Lawan Transaksi]]="CV AGUNG KARYA",COUNTIF($I$10:I6466,"CV AGUNG KARYA")," ")</f>
        <v xml:space="preserve"> </v>
      </c>
      <c r="F6466" s="107" t="str">
        <f>IF(LEN(Table1722[[#This Row],[Uraian]])&gt;2,TRIM(RIGHT(SUBSTITUTE(TRIM(C6466)," ",REPT(" ",255)),255))," ")</f>
        <v xml:space="preserve"> </v>
      </c>
      <c r="G6466" s="110">
        <f>COPY!Z6458</f>
        <v>0</v>
      </c>
      <c r="H6466" s="111" t="str">
        <f>IFERROR(VLOOKUP(Table1722[[#This Row],[Bukti]],'Un nOTA'!$A$4:$K$5003,10,FALSE),"")</f>
        <v/>
      </c>
      <c r="I6466" s="123" t="str">
        <f>IFERROR(VLOOKUP(Table1722[[#This Row],[Bukti]],Table13[#Data],11,FALSE),"")</f>
        <v/>
      </c>
    </row>
    <row r="6467" spans="1:9" hidden="1" x14ac:dyDescent="0.2">
      <c r="A6467" s="105" t="str">
        <f>IF(D6467=1,COUNTIF($D$10:D6467,1)," ")</f>
        <v xml:space="preserve"> </v>
      </c>
      <c r="B6467" s="106">
        <f>COPY!AR6459</f>
        <v>0</v>
      </c>
      <c r="C6467" s="107">
        <f>COPY!AC6459</f>
        <v>0</v>
      </c>
      <c r="D6467" s="107" t="str">
        <f>IF(LEN(Table1722[[#This Row],[Uraian]])&gt;2,1," ")</f>
        <v xml:space="preserve"> </v>
      </c>
      <c r="E6467" s="113" t="str">
        <f>IF(Table1722[[#This Row],[Lawan Transaksi]]="CV AGUNG KARYA",COUNTIF($I$10:I6467,"CV AGUNG KARYA")," ")</f>
        <v xml:space="preserve"> </v>
      </c>
      <c r="F6467" s="107" t="str">
        <f>IF(LEN(Table1722[[#This Row],[Uraian]])&gt;2,TRIM(RIGHT(SUBSTITUTE(TRIM(C6467)," ",REPT(" ",255)),255))," ")</f>
        <v xml:space="preserve"> </v>
      </c>
      <c r="G6467" s="110">
        <f>COPY!Z6459</f>
        <v>0</v>
      </c>
      <c r="H6467" s="111" t="str">
        <f>IFERROR(VLOOKUP(Table1722[[#This Row],[Bukti]],'Un nOTA'!$A$4:$K$5003,10,FALSE),"")</f>
        <v/>
      </c>
      <c r="I6467" s="123" t="str">
        <f>IFERROR(VLOOKUP(Table1722[[#This Row],[Bukti]],Table13[#Data],11,FALSE),"")</f>
        <v/>
      </c>
    </row>
    <row r="6468" spans="1:9" hidden="1" x14ac:dyDescent="0.2">
      <c r="A6468" s="105" t="str">
        <f>IF(D6468=1,COUNTIF($D$10:D6468,1)," ")</f>
        <v xml:space="preserve"> </v>
      </c>
      <c r="B6468" s="106">
        <f>COPY!AR6460</f>
        <v>0</v>
      </c>
      <c r="C6468" s="107">
        <f>COPY!AC6460</f>
        <v>0</v>
      </c>
      <c r="D6468" s="107" t="str">
        <f>IF(LEN(Table1722[[#This Row],[Uraian]])&gt;2,1," ")</f>
        <v xml:space="preserve"> </v>
      </c>
      <c r="E6468" s="113" t="str">
        <f>IF(Table1722[[#This Row],[Lawan Transaksi]]="CV AGUNG KARYA",COUNTIF($I$10:I6468,"CV AGUNG KARYA")," ")</f>
        <v xml:space="preserve"> </v>
      </c>
      <c r="F6468" s="107" t="str">
        <f>IF(LEN(Table1722[[#This Row],[Uraian]])&gt;2,TRIM(RIGHT(SUBSTITUTE(TRIM(C6468)," ",REPT(" ",255)),255))," ")</f>
        <v xml:space="preserve"> </v>
      </c>
      <c r="G6468" s="110">
        <f>COPY!Z6460</f>
        <v>0</v>
      </c>
      <c r="H6468" s="111" t="str">
        <f>IFERROR(VLOOKUP(Table1722[[#This Row],[Bukti]],'Un nOTA'!$A$4:$K$5003,10,FALSE),"")</f>
        <v/>
      </c>
      <c r="I6468" s="123" t="str">
        <f>IFERROR(VLOOKUP(Table1722[[#This Row],[Bukti]],Table13[#Data],11,FALSE),"")</f>
        <v/>
      </c>
    </row>
    <row r="6469" spans="1:9" hidden="1" x14ac:dyDescent="0.2">
      <c r="A6469" s="105" t="str">
        <f>IF(D6469=1,COUNTIF($D$10:D6469,1)," ")</f>
        <v xml:space="preserve"> </v>
      </c>
      <c r="B6469" s="106">
        <f>COPY!AR6461</f>
        <v>0</v>
      </c>
      <c r="C6469" s="107">
        <f>COPY!AC6461</f>
        <v>0</v>
      </c>
      <c r="D6469" s="107" t="str">
        <f>IF(LEN(Table1722[[#This Row],[Uraian]])&gt;2,1," ")</f>
        <v xml:space="preserve"> </v>
      </c>
      <c r="E6469" s="113" t="str">
        <f>IF(Table1722[[#This Row],[Lawan Transaksi]]="CV AGUNG KARYA",COUNTIF($I$10:I6469,"CV AGUNG KARYA")," ")</f>
        <v xml:space="preserve"> </v>
      </c>
      <c r="F6469" s="107" t="str">
        <f>IF(LEN(Table1722[[#This Row],[Uraian]])&gt;2,TRIM(RIGHT(SUBSTITUTE(TRIM(C6469)," ",REPT(" ",255)),255))," ")</f>
        <v xml:space="preserve"> </v>
      </c>
      <c r="G6469" s="110">
        <f>COPY!Z6461</f>
        <v>0</v>
      </c>
      <c r="H6469" s="111" t="str">
        <f>IFERROR(VLOOKUP(Table1722[[#This Row],[Bukti]],'Un nOTA'!$A$4:$K$5003,10,FALSE),"")</f>
        <v/>
      </c>
      <c r="I6469" s="123" t="str">
        <f>IFERROR(VLOOKUP(Table1722[[#This Row],[Bukti]],Table13[#Data],11,FALSE),"")</f>
        <v/>
      </c>
    </row>
    <row r="6470" spans="1:9" hidden="1" x14ac:dyDescent="0.2">
      <c r="A6470" s="105" t="str">
        <f>IF(D6470=1,COUNTIF($D$10:D6470,1)," ")</f>
        <v xml:space="preserve"> </v>
      </c>
      <c r="B6470" s="106">
        <f>COPY!AR6462</f>
        <v>0</v>
      </c>
      <c r="C6470" s="107">
        <f>COPY!AC6462</f>
        <v>0</v>
      </c>
      <c r="D6470" s="107" t="str">
        <f>IF(LEN(Table1722[[#This Row],[Uraian]])&gt;2,1," ")</f>
        <v xml:space="preserve"> </v>
      </c>
      <c r="E6470" s="113" t="str">
        <f>IF(Table1722[[#This Row],[Lawan Transaksi]]="CV AGUNG KARYA",COUNTIF($I$10:I6470,"CV AGUNG KARYA")," ")</f>
        <v xml:space="preserve"> </v>
      </c>
      <c r="F6470" s="107" t="str">
        <f>IF(LEN(Table1722[[#This Row],[Uraian]])&gt;2,TRIM(RIGHT(SUBSTITUTE(TRIM(C6470)," ",REPT(" ",255)),255))," ")</f>
        <v xml:space="preserve"> </v>
      </c>
      <c r="G6470" s="110">
        <f>COPY!Z6462</f>
        <v>0</v>
      </c>
      <c r="H6470" s="111" t="str">
        <f>IFERROR(VLOOKUP(Table1722[[#This Row],[Bukti]],'Un nOTA'!$A$4:$K$5003,10,FALSE),"")</f>
        <v/>
      </c>
      <c r="I6470" s="123" t="str">
        <f>IFERROR(VLOOKUP(Table1722[[#This Row],[Bukti]],Table13[#Data],11,FALSE),"")</f>
        <v/>
      </c>
    </row>
    <row r="6471" spans="1:9" hidden="1" x14ac:dyDescent="0.2">
      <c r="A6471" s="105" t="str">
        <f>IF(D6471=1,COUNTIF($D$10:D6471,1)," ")</f>
        <v xml:space="preserve"> </v>
      </c>
      <c r="B6471" s="106">
        <f>COPY!AR6463</f>
        <v>0</v>
      </c>
      <c r="C6471" s="107">
        <f>COPY!AC6463</f>
        <v>0</v>
      </c>
      <c r="D6471" s="107" t="str">
        <f>IF(LEN(Table1722[[#This Row],[Uraian]])&gt;2,1," ")</f>
        <v xml:space="preserve"> </v>
      </c>
      <c r="E6471" s="113" t="str">
        <f>IF(Table1722[[#This Row],[Lawan Transaksi]]="CV AGUNG KARYA",COUNTIF($I$10:I6471,"CV AGUNG KARYA")," ")</f>
        <v xml:space="preserve"> </v>
      </c>
      <c r="F6471" s="107" t="str">
        <f>IF(LEN(Table1722[[#This Row],[Uraian]])&gt;2,TRIM(RIGHT(SUBSTITUTE(TRIM(C6471)," ",REPT(" ",255)),255))," ")</f>
        <v xml:space="preserve"> </v>
      </c>
      <c r="G6471" s="110">
        <f>COPY!Z6463</f>
        <v>0</v>
      </c>
      <c r="H6471" s="111" t="str">
        <f>IFERROR(VLOOKUP(Table1722[[#This Row],[Bukti]],'Un nOTA'!$A$4:$K$5003,10,FALSE),"")</f>
        <v/>
      </c>
      <c r="I6471" s="123" t="str">
        <f>IFERROR(VLOOKUP(Table1722[[#This Row],[Bukti]],Table13[#Data],11,FALSE),"")</f>
        <v/>
      </c>
    </row>
    <row r="6472" spans="1:9" hidden="1" x14ac:dyDescent="0.2">
      <c r="A6472" s="105" t="str">
        <f>IF(D6472=1,COUNTIF($D$10:D6472,1)," ")</f>
        <v xml:space="preserve"> </v>
      </c>
      <c r="B6472" s="106">
        <f>COPY!AR6464</f>
        <v>0</v>
      </c>
      <c r="C6472" s="107">
        <f>COPY!AC6464</f>
        <v>0</v>
      </c>
      <c r="D6472" s="107" t="str">
        <f>IF(LEN(Table1722[[#This Row],[Uraian]])&gt;2,1," ")</f>
        <v xml:space="preserve"> </v>
      </c>
      <c r="E6472" s="113" t="str">
        <f>IF(Table1722[[#This Row],[Lawan Transaksi]]="CV AGUNG KARYA",COUNTIF($I$10:I6472,"CV AGUNG KARYA")," ")</f>
        <v xml:space="preserve"> </v>
      </c>
      <c r="F6472" s="107" t="str">
        <f>IF(LEN(Table1722[[#This Row],[Uraian]])&gt;2,TRIM(RIGHT(SUBSTITUTE(TRIM(C6472)," ",REPT(" ",255)),255))," ")</f>
        <v xml:space="preserve"> </v>
      </c>
      <c r="G6472" s="110">
        <f>COPY!Z6464</f>
        <v>0</v>
      </c>
      <c r="H6472" s="111" t="str">
        <f>IFERROR(VLOOKUP(Table1722[[#This Row],[Bukti]],'Un nOTA'!$A$4:$K$5003,10,FALSE),"")</f>
        <v/>
      </c>
      <c r="I6472" s="123" t="str">
        <f>IFERROR(VLOOKUP(Table1722[[#This Row],[Bukti]],Table13[#Data],11,FALSE),"")</f>
        <v/>
      </c>
    </row>
    <row r="6473" spans="1:9" hidden="1" x14ac:dyDescent="0.2">
      <c r="A6473" s="105" t="str">
        <f>IF(D6473=1,COUNTIF($D$10:D6473,1)," ")</f>
        <v xml:space="preserve"> </v>
      </c>
      <c r="B6473" s="106">
        <f>COPY!AR6465</f>
        <v>0</v>
      </c>
      <c r="C6473" s="107">
        <f>COPY!AC6465</f>
        <v>0</v>
      </c>
      <c r="D6473" s="107" t="str">
        <f>IF(LEN(Table1722[[#This Row],[Uraian]])&gt;2,1," ")</f>
        <v xml:space="preserve"> </v>
      </c>
      <c r="E6473" s="113" t="str">
        <f>IF(Table1722[[#This Row],[Lawan Transaksi]]="CV AGUNG KARYA",COUNTIF($I$10:I6473,"CV AGUNG KARYA")," ")</f>
        <v xml:space="preserve"> </v>
      </c>
      <c r="F6473" s="107" t="str">
        <f>IF(LEN(Table1722[[#This Row],[Uraian]])&gt;2,TRIM(RIGHT(SUBSTITUTE(TRIM(C6473)," ",REPT(" ",255)),255))," ")</f>
        <v xml:space="preserve"> </v>
      </c>
      <c r="G6473" s="110">
        <f>COPY!Z6465</f>
        <v>0</v>
      </c>
      <c r="H6473" s="111" t="str">
        <f>IFERROR(VLOOKUP(Table1722[[#This Row],[Bukti]],'Un nOTA'!$A$4:$K$5003,10,FALSE),"")</f>
        <v/>
      </c>
      <c r="I6473" s="123" t="str">
        <f>IFERROR(VLOOKUP(Table1722[[#This Row],[Bukti]],Table13[#Data],11,FALSE),"")</f>
        <v/>
      </c>
    </row>
    <row r="6474" spans="1:9" hidden="1" x14ac:dyDescent="0.2">
      <c r="A6474" s="105" t="str">
        <f>IF(D6474=1,COUNTIF($D$10:D6474,1)," ")</f>
        <v xml:space="preserve"> </v>
      </c>
      <c r="B6474" s="106">
        <f>COPY!AR6466</f>
        <v>0</v>
      </c>
      <c r="C6474" s="107">
        <f>COPY!AC6466</f>
        <v>0</v>
      </c>
      <c r="D6474" s="107" t="str">
        <f>IF(LEN(Table1722[[#This Row],[Uraian]])&gt;2,1," ")</f>
        <v xml:space="preserve"> </v>
      </c>
      <c r="E6474" s="113" t="str">
        <f>IF(Table1722[[#This Row],[Lawan Transaksi]]="CV AGUNG KARYA",COUNTIF($I$10:I6474,"CV AGUNG KARYA")," ")</f>
        <v xml:space="preserve"> </v>
      </c>
      <c r="F6474" s="107" t="str">
        <f>IF(LEN(Table1722[[#This Row],[Uraian]])&gt;2,TRIM(RIGHT(SUBSTITUTE(TRIM(C6474)," ",REPT(" ",255)),255))," ")</f>
        <v xml:space="preserve"> </v>
      </c>
      <c r="G6474" s="110">
        <f>COPY!Z6466</f>
        <v>0</v>
      </c>
      <c r="H6474" s="111" t="str">
        <f>IFERROR(VLOOKUP(Table1722[[#This Row],[Bukti]],'Un nOTA'!$A$4:$K$5003,10,FALSE),"")</f>
        <v/>
      </c>
      <c r="I6474" s="123" t="str">
        <f>IFERROR(VLOOKUP(Table1722[[#This Row],[Bukti]],Table13[#Data],11,FALSE),"")</f>
        <v/>
      </c>
    </row>
    <row r="6475" spans="1:9" hidden="1" x14ac:dyDescent="0.2">
      <c r="A6475" s="105" t="str">
        <f>IF(D6475=1,COUNTIF($D$10:D6475,1)," ")</f>
        <v xml:space="preserve"> </v>
      </c>
      <c r="B6475" s="106">
        <f>COPY!AR6467</f>
        <v>0</v>
      </c>
      <c r="C6475" s="107">
        <f>COPY!AC6467</f>
        <v>0</v>
      </c>
      <c r="D6475" s="107" t="str">
        <f>IF(LEN(Table1722[[#This Row],[Uraian]])&gt;2,1," ")</f>
        <v xml:space="preserve"> </v>
      </c>
      <c r="E6475" s="113" t="str">
        <f>IF(Table1722[[#This Row],[Lawan Transaksi]]="CV AGUNG KARYA",COUNTIF($I$10:I6475,"CV AGUNG KARYA")," ")</f>
        <v xml:space="preserve"> </v>
      </c>
      <c r="F6475" s="107" t="str">
        <f>IF(LEN(Table1722[[#This Row],[Uraian]])&gt;2,TRIM(RIGHT(SUBSTITUTE(TRIM(C6475)," ",REPT(" ",255)),255))," ")</f>
        <v xml:space="preserve"> </v>
      </c>
      <c r="G6475" s="110">
        <f>COPY!Z6467</f>
        <v>0</v>
      </c>
      <c r="H6475" s="111" t="str">
        <f>IFERROR(VLOOKUP(Table1722[[#This Row],[Bukti]],'Un nOTA'!$A$4:$K$5003,10,FALSE),"")</f>
        <v/>
      </c>
      <c r="I6475" s="123" t="str">
        <f>IFERROR(VLOOKUP(Table1722[[#This Row],[Bukti]],Table13[#Data],11,FALSE),"")</f>
        <v/>
      </c>
    </row>
    <row r="6476" spans="1:9" hidden="1" x14ac:dyDescent="0.2">
      <c r="A6476" s="105" t="str">
        <f>IF(D6476=1,COUNTIF($D$10:D6476,1)," ")</f>
        <v xml:space="preserve"> </v>
      </c>
      <c r="B6476" s="106">
        <f>COPY!AR6468</f>
        <v>0</v>
      </c>
      <c r="C6476" s="107">
        <f>COPY!AC6468</f>
        <v>0</v>
      </c>
      <c r="D6476" s="107" t="str">
        <f>IF(LEN(Table1722[[#This Row],[Uraian]])&gt;2,1," ")</f>
        <v xml:space="preserve"> </v>
      </c>
      <c r="E6476" s="113" t="str">
        <f>IF(Table1722[[#This Row],[Lawan Transaksi]]="CV AGUNG KARYA",COUNTIF($I$10:I6476,"CV AGUNG KARYA")," ")</f>
        <v xml:space="preserve"> </v>
      </c>
      <c r="F6476" s="107" t="str">
        <f>IF(LEN(Table1722[[#This Row],[Uraian]])&gt;2,TRIM(RIGHT(SUBSTITUTE(TRIM(C6476)," ",REPT(" ",255)),255))," ")</f>
        <v xml:space="preserve"> </v>
      </c>
      <c r="G6476" s="110">
        <f>COPY!Z6468</f>
        <v>0</v>
      </c>
      <c r="H6476" s="111" t="str">
        <f>IFERROR(VLOOKUP(Table1722[[#This Row],[Bukti]],'Un nOTA'!$A$4:$K$5003,10,FALSE),"")</f>
        <v/>
      </c>
      <c r="I6476" s="123" t="str">
        <f>IFERROR(VLOOKUP(Table1722[[#This Row],[Bukti]],Table13[#Data],11,FALSE),"")</f>
        <v/>
      </c>
    </row>
    <row r="6477" spans="1:9" hidden="1" x14ac:dyDescent="0.2">
      <c r="A6477" s="105" t="str">
        <f>IF(D6477=1,COUNTIF($D$10:D6477,1)," ")</f>
        <v xml:space="preserve"> </v>
      </c>
      <c r="B6477" s="106">
        <f>COPY!AR6469</f>
        <v>0</v>
      </c>
      <c r="C6477" s="107">
        <f>COPY!AC6469</f>
        <v>0</v>
      </c>
      <c r="D6477" s="107" t="str">
        <f>IF(LEN(Table1722[[#This Row],[Uraian]])&gt;2,1," ")</f>
        <v xml:space="preserve"> </v>
      </c>
      <c r="E6477" s="113" t="str">
        <f>IF(Table1722[[#This Row],[Lawan Transaksi]]="CV AGUNG KARYA",COUNTIF($I$10:I6477,"CV AGUNG KARYA")," ")</f>
        <v xml:space="preserve"> </v>
      </c>
      <c r="F6477" s="107" t="str">
        <f>IF(LEN(Table1722[[#This Row],[Uraian]])&gt;2,TRIM(RIGHT(SUBSTITUTE(TRIM(C6477)," ",REPT(" ",255)),255))," ")</f>
        <v xml:space="preserve"> </v>
      </c>
      <c r="G6477" s="110">
        <f>COPY!Z6469</f>
        <v>0</v>
      </c>
      <c r="H6477" s="111" t="str">
        <f>IFERROR(VLOOKUP(Table1722[[#This Row],[Bukti]],'Un nOTA'!$A$4:$K$5003,10,FALSE),"")</f>
        <v/>
      </c>
      <c r="I6477" s="123" t="str">
        <f>IFERROR(VLOOKUP(Table1722[[#This Row],[Bukti]],Table13[#Data],11,FALSE),"")</f>
        <v/>
      </c>
    </row>
    <row r="6478" spans="1:9" hidden="1" x14ac:dyDescent="0.2">
      <c r="A6478" s="105" t="str">
        <f>IF(D6478=1,COUNTIF($D$10:D6478,1)," ")</f>
        <v xml:space="preserve"> </v>
      </c>
      <c r="B6478" s="106">
        <f>COPY!AR6470</f>
        <v>0</v>
      </c>
      <c r="C6478" s="107">
        <f>COPY!AC6470</f>
        <v>0</v>
      </c>
      <c r="D6478" s="107" t="str">
        <f>IF(LEN(Table1722[[#This Row],[Uraian]])&gt;2,1," ")</f>
        <v xml:space="preserve"> </v>
      </c>
      <c r="E6478" s="113" t="str">
        <f>IF(Table1722[[#This Row],[Lawan Transaksi]]="CV AGUNG KARYA",COUNTIF($I$10:I6478,"CV AGUNG KARYA")," ")</f>
        <v xml:space="preserve"> </v>
      </c>
      <c r="F6478" s="107" t="str">
        <f>IF(LEN(Table1722[[#This Row],[Uraian]])&gt;2,TRIM(RIGHT(SUBSTITUTE(TRIM(C6478)," ",REPT(" ",255)),255))," ")</f>
        <v xml:space="preserve"> </v>
      </c>
      <c r="G6478" s="110">
        <f>COPY!Z6470</f>
        <v>0</v>
      </c>
      <c r="H6478" s="111" t="str">
        <f>IFERROR(VLOOKUP(Table1722[[#This Row],[Bukti]],'Un nOTA'!$A$4:$K$5003,10,FALSE),"")</f>
        <v/>
      </c>
      <c r="I6478" s="123" t="str">
        <f>IFERROR(VLOOKUP(Table1722[[#This Row],[Bukti]],Table13[#Data],11,FALSE),"")</f>
        <v/>
      </c>
    </row>
    <row r="6479" spans="1:9" hidden="1" x14ac:dyDescent="0.2">
      <c r="A6479" s="105" t="str">
        <f>IF(D6479=1,COUNTIF($D$10:D6479,1)," ")</f>
        <v xml:space="preserve"> </v>
      </c>
      <c r="B6479" s="106">
        <f>COPY!AR6471</f>
        <v>0</v>
      </c>
      <c r="C6479" s="107">
        <f>COPY!AC6471</f>
        <v>0</v>
      </c>
      <c r="D6479" s="107" t="str">
        <f>IF(LEN(Table1722[[#This Row],[Uraian]])&gt;2,1," ")</f>
        <v xml:space="preserve"> </v>
      </c>
      <c r="E6479" s="113" t="str">
        <f>IF(Table1722[[#This Row],[Lawan Transaksi]]="CV AGUNG KARYA",COUNTIF($I$10:I6479,"CV AGUNG KARYA")," ")</f>
        <v xml:space="preserve"> </v>
      </c>
      <c r="F6479" s="107" t="str">
        <f>IF(LEN(Table1722[[#This Row],[Uraian]])&gt;2,TRIM(RIGHT(SUBSTITUTE(TRIM(C6479)," ",REPT(" ",255)),255))," ")</f>
        <v xml:space="preserve"> </v>
      </c>
      <c r="G6479" s="110">
        <f>COPY!Z6471</f>
        <v>0</v>
      </c>
      <c r="H6479" s="111" t="str">
        <f>IFERROR(VLOOKUP(Table1722[[#This Row],[Bukti]],'Un nOTA'!$A$4:$K$5003,10,FALSE),"")</f>
        <v/>
      </c>
      <c r="I6479" s="123" t="str">
        <f>IFERROR(VLOOKUP(Table1722[[#This Row],[Bukti]],Table13[#Data],11,FALSE),"")</f>
        <v/>
      </c>
    </row>
    <row r="6480" spans="1:9" hidden="1" x14ac:dyDescent="0.2">
      <c r="A6480" s="105" t="str">
        <f>IF(D6480=1,COUNTIF($D$10:D6480,1)," ")</f>
        <v xml:space="preserve"> </v>
      </c>
      <c r="B6480" s="106">
        <f>COPY!AR6472</f>
        <v>0</v>
      </c>
      <c r="C6480" s="107">
        <f>COPY!AC6472</f>
        <v>0</v>
      </c>
      <c r="D6480" s="107" t="str">
        <f>IF(LEN(Table1722[[#This Row],[Uraian]])&gt;2,1," ")</f>
        <v xml:space="preserve"> </v>
      </c>
      <c r="E6480" s="113" t="str">
        <f>IF(Table1722[[#This Row],[Lawan Transaksi]]="CV AGUNG KARYA",COUNTIF($I$10:I6480,"CV AGUNG KARYA")," ")</f>
        <v xml:space="preserve"> </v>
      </c>
      <c r="F6480" s="107" t="str">
        <f>IF(LEN(Table1722[[#This Row],[Uraian]])&gt;2,TRIM(RIGHT(SUBSTITUTE(TRIM(C6480)," ",REPT(" ",255)),255))," ")</f>
        <v xml:space="preserve"> </v>
      </c>
      <c r="G6480" s="110">
        <f>COPY!Z6472</f>
        <v>0</v>
      </c>
      <c r="H6480" s="111" t="str">
        <f>IFERROR(VLOOKUP(Table1722[[#This Row],[Bukti]],'Un nOTA'!$A$4:$K$5003,10,FALSE),"")</f>
        <v/>
      </c>
      <c r="I6480" s="123" t="str">
        <f>IFERROR(VLOOKUP(Table1722[[#This Row],[Bukti]],Table13[#Data],11,FALSE),"")</f>
        <v/>
      </c>
    </row>
    <row r="6481" spans="1:9" hidden="1" x14ac:dyDescent="0.2">
      <c r="A6481" s="105" t="str">
        <f>IF(D6481=1,COUNTIF($D$10:D6481,1)," ")</f>
        <v xml:space="preserve"> </v>
      </c>
      <c r="B6481" s="106">
        <f>COPY!AR6473</f>
        <v>0</v>
      </c>
      <c r="C6481" s="107">
        <f>COPY!AC6473</f>
        <v>0</v>
      </c>
      <c r="D6481" s="107" t="str">
        <f>IF(LEN(Table1722[[#This Row],[Uraian]])&gt;2,1," ")</f>
        <v xml:space="preserve"> </v>
      </c>
      <c r="E6481" s="113" t="str">
        <f>IF(Table1722[[#This Row],[Lawan Transaksi]]="CV AGUNG KARYA",COUNTIF($I$10:I6481,"CV AGUNG KARYA")," ")</f>
        <v xml:space="preserve"> </v>
      </c>
      <c r="F6481" s="107" t="str">
        <f>IF(LEN(Table1722[[#This Row],[Uraian]])&gt;2,TRIM(RIGHT(SUBSTITUTE(TRIM(C6481)," ",REPT(" ",255)),255))," ")</f>
        <v xml:space="preserve"> </v>
      </c>
      <c r="G6481" s="110">
        <f>COPY!Z6473</f>
        <v>0</v>
      </c>
      <c r="H6481" s="111" t="str">
        <f>IFERROR(VLOOKUP(Table1722[[#This Row],[Bukti]],'Un nOTA'!$A$4:$K$5003,10,FALSE),"")</f>
        <v/>
      </c>
      <c r="I6481" s="123" t="str">
        <f>IFERROR(VLOOKUP(Table1722[[#This Row],[Bukti]],Table13[#Data],11,FALSE),"")</f>
        <v/>
      </c>
    </row>
    <row r="6482" spans="1:9" hidden="1" x14ac:dyDescent="0.2">
      <c r="A6482" s="105" t="str">
        <f>IF(D6482=1,COUNTIF($D$10:D6482,1)," ")</f>
        <v xml:space="preserve"> </v>
      </c>
      <c r="B6482" s="106">
        <f>COPY!AR6474</f>
        <v>0</v>
      </c>
      <c r="C6482" s="107">
        <f>COPY!AC6474</f>
        <v>0</v>
      </c>
      <c r="D6482" s="107" t="str">
        <f>IF(LEN(Table1722[[#This Row],[Uraian]])&gt;2,1," ")</f>
        <v xml:space="preserve"> </v>
      </c>
      <c r="E6482" s="113" t="str">
        <f>IF(Table1722[[#This Row],[Lawan Transaksi]]="CV AGUNG KARYA",COUNTIF($I$10:I6482,"CV AGUNG KARYA")," ")</f>
        <v xml:space="preserve"> </v>
      </c>
      <c r="F6482" s="107" t="str">
        <f>IF(LEN(Table1722[[#This Row],[Uraian]])&gt;2,TRIM(RIGHT(SUBSTITUTE(TRIM(C6482)," ",REPT(" ",255)),255))," ")</f>
        <v xml:space="preserve"> </v>
      </c>
      <c r="G6482" s="110">
        <f>COPY!Z6474</f>
        <v>0</v>
      </c>
      <c r="H6482" s="111" t="str">
        <f>IFERROR(VLOOKUP(Table1722[[#This Row],[Bukti]],'Un nOTA'!$A$4:$K$5003,10,FALSE),"")</f>
        <v/>
      </c>
      <c r="I6482" s="123" t="str">
        <f>IFERROR(VLOOKUP(Table1722[[#This Row],[Bukti]],Table13[#Data],11,FALSE),"")</f>
        <v/>
      </c>
    </row>
    <row r="6483" spans="1:9" hidden="1" x14ac:dyDescent="0.2">
      <c r="A6483" s="105" t="str">
        <f>IF(D6483=1,COUNTIF($D$10:D6483,1)," ")</f>
        <v xml:space="preserve"> </v>
      </c>
      <c r="B6483" s="106">
        <f>COPY!AR6475</f>
        <v>0</v>
      </c>
      <c r="C6483" s="107">
        <f>COPY!AC6475</f>
        <v>0</v>
      </c>
      <c r="D6483" s="107" t="str">
        <f>IF(LEN(Table1722[[#This Row],[Uraian]])&gt;2,1," ")</f>
        <v xml:space="preserve"> </v>
      </c>
      <c r="E6483" s="113" t="str">
        <f>IF(Table1722[[#This Row],[Lawan Transaksi]]="CV AGUNG KARYA",COUNTIF($I$10:I6483,"CV AGUNG KARYA")," ")</f>
        <v xml:space="preserve"> </v>
      </c>
      <c r="F6483" s="107" t="str">
        <f>IF(LEN(Table1722[[#This Row],[Uraian]])&gt;2,TRIM(RIGHT(SUBSTITUTE(TRIM(C6483)," ",REPT(" ",255)),255))," ")</f>
        <v xml:space="preserve"> </v>
      </c>
      <c r="G6483" s="110">
        <f>COPY!Z6475</f>
        <v>0</v>
      </c>
      <c r="H6483" s="111" t="str">
        <f>IFERROR(VLOOKUP(Table1722[[#This Row],[Bukti]],'Un nOTA'!$A$4:$K$5003,10,FALSE),"")</f>
        <v/>
      </c>
      <c r="I6483" s="123" t="str">
        <f>IFERROR(VLOOKUP(Table1722[[#This Row],[Bukti]],Table13[#Data],11,FALSE),"")</f>
        <v/>
      </c>
    </row>
    <row r="6484" spans="1:9" hidden="1" x14ac:dyDescent="0.2">
      <c r="A6484" s="105" t="str">
        <f>IF(D6484=1,COUNTIF($D$10:D6484,1)," ")</f>
        <v xml:space="preserve"> </v>
      </c>
      <c r="B6484" s="106">
        <f>COPY!AR6476</f>
        <v>0</v>
      </c>
      <c r="C6484" s="107">
        <f>COPY!AC6476</f>
        <v>0</v>
      </c>
      <c r="D6484" s="107" t="str">
        <f>IF(LEN(Table1722[[#This Row],[Uraian]])&gt;2,1," ")</f>
        <v xml:space="preserve"> </v>
      </c>
      <c r="E6484" s="113" t="str">
        <f>IF(Table1722[[#This Row],[Lawan Transaksi]]="CV AGUNG KARYA",COUNTIF($I$10:I6484,"CV AGUNG KARYA")," ")</f>
        <v xml:space="preserve"> </v>
      </c>
      <c r="F6484" s="107" t="str">
        <f>IF(LEN(Table1722[[#This Row],[Uraian]])&gt;2,TRIM(RIGHT(SUBSTITUTE(TRIM(C6484)," ",REPT(" ",255)),255))," ")</f>
        <v xml:space="preserve"> </v>
      </c>
      <c r="G6484" s="110">
        <f>COPY!Z6476</f>
        <v>0</v>
      </c>
      <c r="H6484" s="111" t="str">
        <f>IFERROR(VLOOKUP(Table1722[[#This Row],[Bukti]],'Un nOTA'!$A$4:$K$5003,10,FALSE),"")</f>
        <v/>
      </c>
      <c r="I6484" s="123" t="str">
        <f>IFERROR(VLOOKUP(Table1722[[#This Row],[Bukti]],Table13[#Data],11,FALSE),"")</f>
        <v/>
      </c>
    </row>
    <row r="6485" spans="1:9" hidden="1" x14ac:dyDescent="0.2">
      <c r="A6485" s="105" t="str">
        <f>IF(D6485=1,COUNTIF($D$10:D6485,1)," ")</f>
        <v xml:space="preserve"> </v>
      </c>
      <c r="B6485" s="106">
        <f>COPY!AR6477</f>
        <v>0</v>
      </c>
      <c r="C6485" s="107">
        <f>COPY!AC6477</f>
        <v>0</v>
      </c>
      <c r="D6485" s="107" t="str">
        <f>IF(LEN(Table1722[[#This Row],[Uraian]])&gt;2,1," ")</f>
        <v xml:space="preserve"> </v>
      </c>
      <c r="E6485" s="113" t="str">
        <f>IF(Table1722[[#This Row],[Lawan Transaksi]]="CV AGUNG KARYA",COUNTIF($I$10:I6485,"CV AGUNG KARYA")," ")</f>
        <v xml:space="preserve"> </v>
      </c>
      <c r="F6485" s="107" t="str">
        <f>IF(LEN(Table1722[[#This Row],[Uraian]])&gt;2,TRIM(RIGHT(SUBSTITUTE(TRIM(C6485)," ",REPT(" ",255)),255))," ")</f>
        <v xml:space="preserve"> </v>
      </c>
      <c r="G6485" s="110">
        <f>COPY!Z6477</f>
        <v>0</v>
      </c>
      <c r="H6485" s="111" t="str">
        <f>IFERROR(VLOOKUP(Table1722[[#This Row],[Bukti]],'Un nOTA'!$A$4:$K$5003,10,FALSE),"")</f>
        <v/>
      </c>
      <c r="I6485" s="123" t="str">
        <f>IFERROR(VLOOKUP(Table1722[[#This Row],[Bukti]],Table13[#Data],11,FALSE),"")</f>
        <v/>
      </c>
    </row>
    <row r="6486" spans="1:9" hidden="1" x14ac:dyDescent="0.2">
      <c r="A6486" s="105" t="str">
        <f>IF(D6486=1,COUNTIF($D$10:D6486,1)," ")</f>
        <v xml:space="preserve"> </v>
      </c>
      <c r="B6486" s="106">
        <f>COPY!AR6478</f>
        <v>0</v>
      </c>
      <c r="C6486" s="107">
        <f>COPY!AC6478</f>
        <v>0</v>
      </c>
      <c r="D6486" s="107" t="str">
        <f>IF(LEN(Table1722[[#This Row],[Uraian]])&gt;2,1," ")</f>
        <v xml:space="preserve"> </v>
      </c>
      <c r="E6486" s="113" t="str">
        <f>IF(Table1722[[#This Row],[Lawan Transaksi]]="CV AGUNG KARYA",COUNTIF($I$10:I6486,"CV AGUNG KARYA")," ")</f>
        <v xml:space="preserve"> </v>
      </c>
      <c r="F6486" s="107" t="str">
        <f>IF(LEN(Table1722[[#This Row],[Uraian]])&gt;2,TRIM(RIGHT(SUBSTITUTE(TRIM(C6486)," ",REPT(" ",255)),255))," ")</f>
        <v xml:space="preserve"> </v>
      </c>
      <c r="G6486" s="110">
        <f>COPY!Z6478</f>
        <v>0</v>
      </c>
      <c r="H6486" s="111" t="str">
        <f>IFERROR(VLOOKUP(Table1722[[#This Row],[Bukti]],'Un nOTA'!$A$4:$K$5003,10,FALSE),"")</f>
        <v/>
      </c>
      <c r="I6486" s="123" t="str">
        <f>IFERROR(VLOOKUP(Table1722[[#This Row],[Bukti]],Table13[#Data],11,FALSE),"")</f>
        <v/>
      </c>
    </row>
    <row r="6487" spans="1:9" hidden="1" x14ac:dyDescent="0.2">
      <c r="A6487" s="105" t="str">
        <f>IF(D6487=1,COUNTIF($D$10:D6487,1)," ")</f>
        <v xml:space="preserve"> </v>
      </c>
      <c r="B6487" s="106">
        <f>COPY!AR6479</f>
        <v>0</v>
      </c>
      <c r="C6487" s="107">
        <f>COPY!AC6479</f>
        <v>0</v>
      </c>
      <c r="D6487" s="107" t="str">
        <f>IF(LEN(Table1722[[#This Row],[Uraian]])&gt;2,1," ")</f>
        <v xml:space="preserve"> </v>
      </c>
      <c r="E6487" s="113" t="str">
        <f>IF(Table1722[[#This Row],[Lawan Transaksi]]="CV AGUNG KARYA",COUNTIF($I$10:I6487,"CV AGUNG KARYA")," ")</f>
        <v xml:space="preserve"> </v>
      </c>
      <c r="F6487" s="107" t="str">
        <f>IF(LEN(Table1722[[#This Row],[Uraian]])&gt;2,TRIM(RIGHT(SUBSTITUTE(TRIM(C6487)," ",REPT(" ",255)),255))," ")</f>
        <v xml:space="preserve"> </v>
      </c>
      <c r="G6487" s="110">
        <f>COPY!Z6479</f>
        <v>0</v>
      </c>
      <c r="H6487" s="111" t="str">
        <f>IFERROR(VLOOKUP(Table1722[[#This Row],[Bukti]],'Un nOTA'!$A$4:$K$5003,10,FALSE),"")</f>
        <v/>
      </c>
      <c r="I6487" s="123" t="str">
        <f>IFERROR(VLOOKUP(Table1722[[#This Row],[Bukti]],Table13[#Data],11,FALSE),"")</f>
        <v/>
      </c>
    </row>
    <row r="6488" spans="1:9" hidden="1" x14ac:dyDescent="0.2">
      <c r="A6488" s="105" t="str">
        <f>IF(D6488=1,COUNTIF($D$10:D6488,1)," ")</f>
        <v xml:space="preserve"> </v>
      </c>
      <c r="B6488" s="106">
        <f>COPY!AR6480</f>
        <v>0</v>
      </c>
      <c r="C6488" s="107">
        <f>COPY!AC6480</f>
        <v>0</v>
      </c>
      <c r="D6488" s="107" t="str">
        <f>IF(LEN(Table1722[[#This Row],[Uraian]])&gt;2,1," ")</f>
        <v xml:space="preserve"> </v>
      </c>
      <c r="E6488" s="113" t="str">
        <f>IF(Table1722[[#This Row],[Lawan Transaksi]]="CV AGUNG KARYA",COUNTIF($I$10:I6488,"CV AGUNG KARYA")," ")</f>
        <v xml:space="preserve"> </v>
      </c>
      <c r="F6488" s="107" t="str">
        <f>IF(LEN(Table1722[[#This Row],[Uraian]])&gt;2,TRIM(RIGHT(SUBSTITUTE(TRIM(C6488)," ",REPT(" ",255)),255))," ")</f>
        <v xml:space="preserve"> </v>
      </c>
      <c r="G6488" s="110">
        <f>COPY!Z6480</f>
        <v>0</v>
      </c>
      <c r="H6488" s="111" t="str">
        <f>IFERROR(VLOOKUP(Table1722[[#This Row],[Bukti]],'Un nOTA'!$A$4:$K$5003,10,FALSE),"")</f>
        <v/>
      </c>
      <c r="I6488" s="123" t="str">
        <f>IFERROR(VLOOKUP(Table1722[[#This Row],[Bukti]],Table13[#Data],11,FALSE),"")</f>
        <v/>
      </c>
    </row>
    <row r="6489" spans="1:9" hidden="1" x14ac:dyDescent="0.2">
      <c r="A6489" s="105" t="str">
        <f>IF(D6489=1,COUNTIF($D$10:D6489,1)," ")</f>
        <v xml:space="preserve"> </v>
      </c>
      <c r="B6489" s="106">
        <f>COPY!AR6481</f>
        <v>0</v>
      </c>
      <c r="C6489" s="107">
        <f>COPY!AC6481</f>
        <v>0</v>
      </c>
      <c r="D6489" s="107" t="str">
        <f>IF(LEN(Table1722[[#This Row],[Uraian]])&gt;2,1," ")</f>
        <v xml:space="preserve"> </v>
      </c>
      <c r="E6489" s="113" t="str">
        <f>IF(Table1722[[#This Row],[Lawan Transaksi]]="CV AGUNG KARYA",COUNTIF($I$10:I6489,"CV AGUNG KARYA")," ")</f>
        <v xml:space="preserve"> </v>
      </c>
      <c r="F6489" s="107" t="str">
        <f>IF(LEN(Table1722[[#This Row],[Uraian]])&gt;2,TRIM(RIGHT(SUBSTITUTE(TRIM(C6489)," ",REPT(" ",255)),255))," ")</f>
        <v xml:space="preserve"> </v>
      </c>
      <c r="G6489" s="110">
        <f>COPY!Z6481</f>
        <v>0</v>
      </c>
      <c r="H6489" s="111" t="str">
        <f>IFERROR(VLOOKUP(Table1722[[#This Row],[Bukti]],'Un nOTA'!$A$4:$K$5003,10,FALSE),"")</f>
        <v/>
      </c>
      <c r="I6489" s="123" t="str">
        <f>IFERROR(VLOOKUP(Table1722[[#This Row],[Bukti]],Table13[#Data],11,FALSE),"")</f>
        <v/>
      </c>
    </row>
    <row r="6490" spans="1:9" hidden="1" x14ac:dyDescent="0.2">
      <c r="A6490" s="105" t="str">
        <f>IF(D6490=1,COUNTIF($D$10:D6490,1)," ")</f>
        <v xml:space="preserve"> </v>
      </c>
      <c r="B6490" s="106">
        <f>COPY!AR6482</f>
        <v>0</v>
      </c>
      <c r="C6490" s="107">
        <f>COPY!AC6482</f>
        <v>0</v>
      </c>
      <c r="D6490" s="107" t="str">
        <f>IF(LEN(Table1722[[#This Row],[Uraian]])&gt;2,1," ")</f>
        <v xml:space="preserve"> </v>
      </c>
      <c r="E6490" s="113" t="str">
        <f>IF(Table1722[[#This Row],[Lawan Transaksi]]="CV AGUNG KARYA",COUNTIF($I$10:I6490,"CV AGUNG KARYA")," ")</f>
        <v xml:space="preserve"> </v>
      </c>
      <c r="F6490" s="107" t="str">
        <f>IF(LEN(Table1722[[#This Row],[Uraian]])&gt;2,TRIM(RIGHT(SUBSTITUTE(TRIM(C6490)," ",REPT(" ",255)),255))," ")</f>
        <v xml:space="preserve"> </v>
      </c>
      <c r="G6490" s="110">
        <f>COPY!Z6482</f>
        <v>0</v>
      </c>
      <c r="H6490" s="111" t="str">
        <f>IFERROR(VLOOKUP(Table1722[[#This Row],[Bukti]],'Un nOTA'!$A$4:$K$5003,10,FALSE),"")</f>
        <v/>
      </c>
      <c r="I6490" s="123" t="str">
        <f>IFERROR(VLOOKUP(Table1722[[#This Row],[Bukti]],Table13[#Data],11,FALSE),"")</f>
        <v/>
      </c>
    </row>
    <row r="6491" spans="1:9" hidden="1" x14ac:dyDescent="0.2">
      <c r="A6491" s="105" t="str">
        <f>IF(D6491=1,COUNTIF($D$10:D6491,1)," ")</f>
        <v xml:space="preserve"> </v>
      </c>
      <c r="B6491" s="106">
        <f>COPY!AR6483</f>
        <v>0</v>
      </c>
      <c r="C6491" s="107">
        <f>COPY!AC6483</f>
        <v>0</v>
      </c>
      <c r="D6491" s="107" t="str">
        <f>IF(LEN(Table1722[[#This Row],[Uraian]])&gt;2,1," ")</f>
        <v xml:space="preserve"> </v>
      </c>
      <c r="E6491" s="113" t="str">
        <f>IF(Table1722[[#This Row],[Lawan Transaksi]]="CV AGUNG KARYA",COUNTIF($I$10:I6491,"CV AGUNG KARYA")," ")</f>
        <v xml:space="preserve"> </v>
      </c>
      <c r="F6491" s="107" t="str">
        <f>IF(LEN(Table1722[[#This Row],[Uraian]])&gt;2,TRIM(RIGHT(SUBSTITUTE(TRIM(C6491)," ",REPT(" ",255)),255))," ")</f>
        <v xml:space="preserve"> </v>
      </c>
      <c r="G6491" s="110">
        <f>COPY!Z6483</f>
        <v>0</v>
      </c>
      <c r="H6491" s="111" t="str">
        <f>IFERROR(VLOOKUP(Table1722[[#This Row],[Bukti]],'Un nOTA'!$A$4:$K$5003,10,FALSE),"")</f>
        <v/>
      </c>
      <c r="I6491" s="123" t="str">
        <f>IFERROR(VLOOKUP(Table1722[[#This Row],[Bukti]],Table13[#Data],11,FALSE),"")</f>
        <v/>
      </c>
    </row>
    <row r="6492" spans="1:9" hidden="1" x14ac:dyDescent="0.2">
      <c r="A6492" s="105" t="str">
        <f>IF(D6492=1,COUNTIF($D$10:D6492,1)," ")</f>
        <v xml:space="preserve"> </v>
      </c>
      <c r="B6492" s="106">
        <f>COPY!AR6484</f>
        <v>0</v>
      </c>
      <c r="C6492" s="107">
        <f>COPY!AC6484</f>
        <v>0</v>
      </c>
      <c r="D6492" s="107" t="str">
        <f>IF(LEN(Table1722[[#This Row],[Uraian]])&gt;2,1," ")</f>
        <v xml:space="preserve"> </v>
      </c>
      <c r="E6492" s="113" t="str">
        <f>IF(Table1722[[#This Row],[Lawan Transaksi]]="CV AGUNG KARYA",COUNTIF($I$10:I6492,"CV AGUNG KARYA")," ")</f>
        <v xml:space="preserve"> </v>
      </c>
      <c r="F6492" s="107" t="str">
        <f>IF(LEN(Table1722[[#This Row],[Uraian]])&gt;2,TRIM(RIGHT(SUBSTITUTE(TRIM(C6492)," ",REPT(" ",255)),255))," ")</f>
        <v xml:space="preserve"> </v>
      </c>
      <c r="G6492" s="110">
        <f>COPY!Z6484</f>
        <v>0</v>
      </c>
      <c r="H6492" s="111" t="str">
        <f>IFERROR(VLOOKUP(Table1722[[#This Row],[Bukti]],'Un nOTA'!$A$4:$K$5003,10,FALSE),"")</f>
        <v/>
      </c>
      <c r="I6492" s="123" t="str">
        <f>IFERROR(VLOOKUP(Table1722[[#This Row],[Bukti]],Table13[#Data],11,FALSE),"")</f>
        <v/>
      </c>
    </row>
    <row r="6493" spans="1:9" hidden="1" x14ac:dyDescent="0.2">
      <c r="A6493" s="105" t="str">
        <f>IF(D6493=1,COUNTIF($D$10:D6493,1)," ")</f>
        <v xml:space="preserve"> </v>
      </c>
      <c r="B6493" s="106">
        <f>COPY!AR6485</f>
        <v>0</v>
      </c>
      <c r="C6493" s="107">
        <f>COPY!AC6485</f>
        <v>0</v>
      </c>
      <c r="D6493" s="107" t="str">
        <f>IF(LEN(Table1722[[#This Row],[Uraian]])&gt;2,1," ")</f>
        <v xml:space="preserve"> </v>
      </c>
      <c r="E6493" s="113" t="str">
        <f>IF(Table1722[[#This Row],[Lawan Transaksi]]="CV AGUNG KARYA",COUNTIF($I$10:I6493,"CV AGUNG KARYA")," ")</f>
        <v xml:space="preserve"> </v>
      </c>
      <c r="F6493" s="107" t="str">
        <f>IF(LEN(Table1722[[#This Row],[Uraian]])&gt;2,TRIM(RIGHT(SUBSTITUTE(TRIM(C6493)," ",REPT(" ",255)),255))," ")</f>
        <v xml:space="preserve"> </v>
      </c>
      <c r="G6493" s="110">
        <f>COPY!Z6485</f>
        <v>0</v>
      </c>
      <c r="H6493" s="111" t="str">
        <f>IFERROR(VLOOKUP(Table1722[[#This Row],[Bukti]],'Un nOTA'!$A$4:$K$5003,10,FALSE),"")</f>
        <v/>
      </c>
      <c r="I6493" s="123" t="str">
        <f>IFERROR(VLOOKUP(Table1722[[#This Row],[Bukti]],Table13[#Data],11,FALSE),"")</f>
        <v/>
      </c>
    </row>
    <row r="6494" spans="1:9" hidden="1" x14ac:dyDescent="0.2">
      <c r="A6494" s="105" t="str">
        <f>IF(D6494=1,COUNTIF($D$10:D6494,1)," ")</f>
        <v xml:space="preserve"> </v>
      </c>
      <c r="B6494" s="106">
        <f>COPY!AR6486</f>
        <v>0</v>
      </c>
      <c r="C6494" s="107">
        <f>COPY!AC6486</f>
        <v>0</v>
      </c>
      <c r="D6494" s="107" t="str">
        <f>IF(LEN(Table1722[[#This Row],[Uraian]])&gt;2,1," ")</f>
        <v xml:space="preserve"> </v>
      </c>
      <c r="E6494" s="113" t="str">
        <f>IF(Table1722[[#This Row],[Lawan Transaksi]]="CV AGUNG KARYA",COUNTIF($I$10:I6494,"CV AGUNG KARYA")," ")</f>
        <v xml:space="preserve"> </v>
      </c>
      <c r="F6494" s="107" t="str">
        <f>IF(LEN(Table1722[[#This Row],[Uraian]])&gt;2,TRIM(RIGHT(SUBSTITUTE(TRIM(C6494)," ",REPT(" ",255)),255))," ")</f>
        <v xml:space="preserve"> </v>
      </c>
      <c r="G6494" s="110">
        <f>COPY!Z6486</f>
        <v>0</v>
      </c>
      <c r="H6494" s="111" t="str">
        <f>IFERROR(VLOOKUP(Table1722[[#This Row],[Bukti]],'Un nOTA'!$A$4:$K$5003,10,FALSE),"")</f>
        <v/>
      </c>
      <c r="I6494" s="123" t="str">
        <f>IFERROR(VLOOKUP(Table1722[[#This Row],[Bukti]],Table13[#Data],11,FALSE),"")</f>
        <v/>
      </c>
    </row>
    <row r="6495" spans="1:9" hidden="1" x14ac:dyDescent="0.2">
      <c r="A6495" s="105" t="str">
        <f>IF(D6495=1,COUNTIF($D$10:D6495,1)," ")</f>
        <v xml:space="preserve"> </v>
      </c>
      <c r="B6495" s="106">
        <f>COPY!AR6487</f>
        <v>0</v>
      </c>
      <c r="C6495" s="107">
        <f>COPY!AC6487</f>
        <v>0</v>
      </c>
      <c r="D6495" s="107" t="str">
        <f>IF(LEN(Table1722[[#This Row],[Uraian]])&gt;2,1," ")</f>
        <v xml:space="preserve"> </v>
      </c>
      <c r="E6495" s="113" t="str">
        <f>IF(Table1722[[#This Row],[Lawan Transaksi]]="CV AGUNG KARYA",COUNTIF($I$10:I6495,"CV AGUNG KARYA")," ")</f>
        <v xml:space="preserve"> </v>
      </c>
      <c r="F6495" s="107" t="str">
        <f>IF(LEN(Table1722[[#This Row],[Uraian]])&gt;2,TRIM(RIGHT(SUBSTITUTE(TRIM(C6495)," ",REPT(" ",255)),255))," ")</f>
        <v xml:space="preserve"> </v>
      </c>
      <c r="G6495" s="110">
        <f>COPY!Z6487</f>
        <v>0</v>
      </c>
      <c r="H6495" s="111" t="str">
        <f>IFERROR(VLOOKUP(Table1722[[#This Row],[Bukti]],'Un nOTA'!$A$4:$K$5003,10,FALSE),"")</f>
        <v/>
      </c>
      <c r="I6495" s="123" t="str">
        <f>IFERROR(VLOOKUP(Table1722[[#This Row],[Bukti]],Table13[#Data],11,FALSE),"")</f>
        <v/>
      </c>
    </row>
    <row r="6496" spans="1:9" hidden="1" x14ac:dyDescent="0.2">
      <c r="A6496" s="105" t="str">
        <f>IF(D6496=1,COUNTIF($D$10:D6496,1)," ")</f>
        <v xml:space="preserve"> </v>
      </c>
      <c r="B6496" s="106">
        <f>COPY!AR6488</f>
        <v>0</v>
      </c>
      <c r="C6496" s="107">
        <f>COPY!AC6488</f>
        <v>0</v>
      </c>
      <c r="D6496" s="107" t="str">
        <f>IF(LEN(Table1722[[#This Row],[Uraian]])&gt;2,1," ")</f>
        <v xml:space="preserve"> </v>
      </c>
      <c r="E6496" s="113" t="str">
        <f>IF(Table1722[[#This Row],[Lawan Transaksi]]="CV AGUNG KARYA",COUNTIF($I$10:I6496,"CV AGUNG KARYA")," ")</f>
        <v xml:space="preserve"> </v>
      </c>
      <c r="F6496" s="107" t="str">
        <f>IF(LEN(Table1722[[#This Row],[Uraian]])&gt;2,TRIM(RIGHT(SUBSTITUTE(TRIM(C6496)," ",REPT(" ",255)),255))," ")</f>
        <v xml:space="preserve"> </v>
      </c>
      <c r="G6496" s="110">
        <f>COPY!Z6488</f>
        <v>0</v>
      </c>
      <c r="H6496" s="111" t="str">
        <f>IFERROR(VLOOKUP(Table1722[[#This Row],[Bukti]],'Un nOTA'!$A$4:$K$5003,10,FALSE),"")</f>
        <v/>
      </c>
      <c r="I6496" s="123" t="str">
        <f>IFERROR(VLOOKUP(Table1722[[#This Row],[Bukti]],Table13[#Data],11,FALSE),"")</f>
        <v/>
      </c>
    </row>
    <row r="6497" spans="1:9" hidden="1" x14ac:dyDescent="0.2">
      <c r="A6497" s="105" t="str">
        <f>IF(D6497=1,COUNTIF($D$10:D6497,1)," ")</f>
        <v xml:space="preserve"> </v>
      </c>
      <c r="B6497" s="106">
        <f>COPY!AR6489</f>
        <v>0</v>
      </c>
      <c r="C6497" s="107">
        <f>COPY!AC6489</f>
        <v>0</v>
      </c>
      <c r="D6497" s="107" t="str">
        <f>IF(LEN(Table1722[[#This Row],[Uraian]])&gt;2,1," ")</f>
        <v xml:space="preserve"> </v>
      </c>
      <c r="E6497" s="113" t="str">
        <f>IF(Table1722[[#This Row],[Lawan Transaksi]]="CV AGUNG KARYA",COUNTIF($I$10:I6497,"CV AGUNG KARYA")," ")</f>
        <v xml:space="preserve"> </v>
      </c>
      <c r="F6497" s="107" t="str">
        <f>IF(LEN(Table1722[[#This Row],[Uraian]])&gt;2,TRIM(RIGHT(SUBSTITUTE(TRIM(C6497)," ",REPT(" ",255)),255))," ")</f>
        <v xml:space="preserve"> </v>
      </c>
      <c r="G6497" s="110">
        <f>COPY!Z6489</f>
        <v>0</v>
      </c>
      <c r="H6497" s="111" t="str">
        <f>IFERROR(VLOOKUP(Table1722[[#This Row],[Bukti]],'Un nOTA'!$A$4:$K$5003,10,FALSE),"")</f>
        <v/>
      </c>
      <c r="I6497" s="123" t="str">
        <f>IFERROR(VLOOKUP(Table1722[[#This Row],[Bukti]],Table13[#Data],11,FALSE),"")</f>
        <v/>
      </c>
    </row>
    <row r="6498" spans="1:9" hidden="1" x14ac:dyDescent="0.2">
      <c r="A6498" s="105" t="str">
        <f>IF(D6498=1,COUNTIF($D$10:D6498,1)," ")</f>
        <v xml:space="preserve"> </v>
      </c>
      <c r="B6498" s="106">
        <f>COPY!AR6490</f>
        <v>0</v>
      </c>
      <c r="C6498" s="107">
        <f>COPY!AC6490</f>
        <v>0</v>
      </c>
      <c r="D6498" s="107" t="str">
        <f>IF(LEN(Table1722[[#This Row],[Uraian]])&gt;2,1," ")</f>
        <v xml:space="preserve"> </v>
      </c>
      <c r="E6498" s="113" t="str">
        <f>IF(Table1722[[#This Row],[Lawan Transaksi]]="CV AGUNG KARYA",COUNTIF($I$10:I6498,"CV AGUNG KARYA")," ")</f>
        <v xml:space="preserve"> </v>
      </c>
      <c r="F6498" s="107" t="str">
        <f>IF(LEN(Table1722[[#This Row],[Uraian]])&gt;2,TRIM(RIGHT(SUBSTITUTE(TRIM(C6498)," ",REPT(" ",255)),255))," ")</f>
        <v xml:space="preserve"> </v>
      </c>
      <c r="G6498" s="110">
        <f>COPY!Z6490</f>
        <v>0</v>
      </c>
      <c r="H6498" s="111" t="str">
        <f>IFERROR(VLOOKUP(Table1722[[#This Row],[Bukti]],'Un nOTA'!$A$4:$K$5003,10,FALSE),"")</f>
        <v/>
      </c>
      <c r="I6498" s="123" t="str">
        <f>IFERROR(VLOOKUP(Table1722[[#This Row],[Bukti]],Table13[#Data],11,FALSE),"")</f>
        <v/>
      </c>
    </row>
    <row r="6499" spans="1:9" hidden="1" x14ac:dyDescent="0.2">
      <c r="A6499" s="105" t="str">
        <f>IF(D6499=1,COUNTIF($D$10:D6499,1)," ")</f>
        <v xml:space="preserve"> </v>
      </c>
      <c r="B6499" s="106">
        <f>COPY!AR6491</f>
        <v>0</v>
      </c>
      <c r="C6499" s="107">
        <f>COPY!AC6491</f>
        <v>0</v>
      </c>
      <c r="D6499" s="107" t="str">
        <f>IF(LEN(Table1722[[#This Row],[Uraian]])&gt;2,1," ")</f>
        <v xml:space="preserve"> </v>
      </c>
      <c r="E6499" s="113" t="str">
        <f>IF(Table1722[[#This Row],[Lawan Transaksi]]="CV AGUNG KARYA",COUNTIF($I$10:I6499,"CV AGUNG KARYA")," ")</f>
        <v xml:space="preserve"> </v>
      </c>
      <c r="F6499" s="107" t="str">
        <f>IF(LEN(Table1722[[#This Row],[Uraian]])&gt;2,TRIM(RIGHT(SUBSTITUTE(TRIM(C6499)," ",REPT(" ",255)),255))," ")</f>
        <v xml:space="preserve"> </v>
      </c>
      <c r="G6499" s="110">
        <f>COPY!Z6491</f>
        <v>0</v>
      </c>
      <c r="H6499" s="111" t="str">
        <f>IFERROR(VLOOKUP(Table1722[[#This Row],[Bukti]],'Un nOTA'!$A$4:$K$5003,10,FALSE),"")</f>
        <v/>
      </c>
      <c r="I6499" s="123" t="str">
        <f>IFERROR(VLOOKUP(Table1722[[#This Row],[Bukti]],Table13[#Data],11,FALSE),"")</f>
        <v/>
      </c>
    </row>
    <row r="6500" spans="1:9" hidden="1" x14ac:dyDescent="0.2">
      <c r="A6500" s="105" t="str">
        <f>IF(D6500=1,COUNTIF($D$10:D6500,1)," ")</f>
        <v xml:space="preserve"> </v>
      </c>
      <c r="B6500" s="106">
        <f>COPY!AR6492</f>
        <v>0</v>
      </c>
      <c r="C6500" s="107">
        <f>COPY!AC6492</f>
        <v>0</v>
      </c>
      <c r="D6500" s="107" t="str">
        <f>IF(LEN(Table1722[[#This Row],[Uraian]])&gt;2,1," ")</f>
        <v xml:space="preserve"> </v>
      </c>
      <c r="E6500" s="113" t="str">
        <f>IF(Table1722[[#This Row],[Lawan Transaksi]]="CV AGUNG KARYA",COUNTIF($I$10:I6500,"CV AGUNG KARYA")," ")</f>
        <v xml:space="preserve"> </v>
      </c>
      <c r="F6500" s="107" t="str">
        <f>IF(LEN(Table1722[[#This Row],[Uraian]])&gt;2,TRIM(RIGHT(SUBSTITUTE(TRIM(C6500)," ",REPT(" ",255)),255))," ")</f>
        <v xml:space="preserve"> </v>
      </c>
      <c r="G6500" s="110">
        <f>COPY!Z6492</f>
        <v>0</v>
      </c>
      <c r="H6500" s="111" t="str">
        <f>IFERROR(VLOOKUP(Table1722[[#This Row],[Bukti]],'Un nOTA'!$A$4:$K$5003,10,FALSE),"")</f>
        <v/>
      </c>
      <c r="I6500" s="123" t="str">
        <f>IFERROR(VLOOKUP(Table1722[[#This Row],[Bukti]],Table13[#Data],11,FALSE),"")</f>
        <v/>
      </c>
    </row>
    <row r="6501" spans="1:9" hidden="1" x14ac:dyDescent="0.2">
      <c r="A6501" s="105" t="str">
        <f>IF(D6501=1,COUNTIF($D$10:D6501,1)," ")</f>
        <v xml:space="preserve"> </v>
      </c>
      <c r="B6501" s="106">
        <f>COPY!AR6493</f>
        <v>0</v>
      </c>
      <c r="C6501" s="107">
        <f>COPY!AC6493</f>
        <v>0</v>
      </c>
      <c r="D6501" s="107" t="str">
        <f>IF(LEN(Table1722[[#This Row],[Uraian]])&gt;2,1," ")</f>
        <v xml:space="preserve"> </v>
      </c>
      <c r="E6501" s="113" t="str">
        <f>IF(Table1722[[#This Row],[Lawan Transaksi]]="CV AGUNG KARYA",COUNTIF($I$10:I6501,"CV AGUNG KARYA")," ")</f>
        <v xml:space="preserve"> </v>
      </c>
      <c r="F6501" s="107" t="str">
        <f>IF(LEN(Table1722[[#This Row],[Uraian]])&gt;2,TRIM(RIGHT(SUBSTITUTE(TRIM(C6501)," ",REPT(" ",255)),255))," ")</f>
        <v xml:space="preserve"> </v>
      </c>
      <c r="G6501" s="110">
        <f>COPY!Z6493</f>
        <v>0</v>
      </c>
      <c r="H6501" s="111" t="str">
        <f>IFERROR(VLOOKUP(Table1722[[#This Row],[Bukti]],'Un nOTA'!$A$4:$K$5003,10,FALSE),"")</f>
        <v/>
      </c>
      <c r="I6501" s="123" t="str">
        <f>IFERROR(VLOOKUP(Table1722[[#This Row],[Bukti]],Table13[#Data],11,FALSE),"")</f>
        <v/>
      </c>
    </row>
    <row r="6502" spans="1:9" hidden="1" x14ac:dyDescent="0.2">
      <c r="A6502" s="105" t="str">
        <f>IF(D6502=1,COUNTIF($D$10:D6502,1)," ")</f>
        <v xml:space="preserve"> </v>
      </c>
      <c r="B6502" s="106">
        <f>COPY!AR6494</f>
        <v>0</v>
      </c>
      <c r="C6502" s="107">
        <f>COPY!AC6494</f>
        <v>0</v>
      </c>
      <c r="D6502" s="107" t="str">
        <f>IF(LEN(Table1722[[#This Row],[Uraian]])&gt;2,1," ")</f>
        <v xml:space="preserve"> </v>
      </c>
      <c r="E6502" s="113" t="str">
        <f>IF(Table1722[[#This Row],[Lawan Transaksi]]="CV AGUNG KARYA",COUNTIF($I$10:I6502,"CV AGUNG KARYA")," ")</f>
        <v xml:space="preserve"> </v>
      </c>
      <c r="F6502" s="107" t="str">
        <f>IF(LEN(Table1722[[#This Row],[Uraian]])&gt;2,TRIM(RIGHT(SUBSTITUTE(TRIM(C6502)," ",REPT(" ",255)),255))," ")</f>
        <v xml:space="preserve"> </v>
      </c>
      <c r="G6502" s="110">
        <f>COPY!Z6494</f>
        <v>0</v>
      </c>
      <c r="H6502" s="111" t="str">
        <f>IFERROR(VLOOKUP(Table1722[[#This Row],[Bukti]],'Un nOTA'!$A$4:$K$5003,10,FALSE),"")</f>
        <v/>
      </c>
      <c r="I6502" s="123" t="str">
        <f>IFERROR(VLOOKUP(Table1722[[#This Row],[Bukti]],Table13[#Data],11,FALSE),"")</f>
        <v/>
      </c>
    </row>
    <row r="6503" spans="1:9" hidden="1" x14ac:dyDescent="0.2">
      <c r="A6503" s="105" t="str">
        <f>IF(D6503=1,COUNTIF($D$10:D6503,1)," ")</f>
        <v xml:space="preserve"> </v>
      </c>
      <c r="B6503" s="106">
        <f>COPY!AR6495</f>
        <v>0</v>
      </c>
      <c r="C6503" s="107">
        <f>COPY!AC6495</f>
        <v>0</v>
      </c>
      <c r="D6503" s="107" t="str">
        <f>IF(LEN(Table1722[[#This Row],[Uraian]])&gt;2,1," ")</f>
        <v xml:space="preserve"> </v>
      </c>
      <c r="E6503" s="113" t="str">
        <f>IF(Table1722[[#This Row],[Lawan Transaksi]]="CV AGUNG KARYA",COUNTIF($I$10:I6503,"CV AGUNG KARYA")," ")</f>
        <v xml:space="preserve"> </v>
      </c>
      <c r="F6503" s="107" t="str">
        <f>IF(LEN(Table1722[[#This Row],[Uraian]])&gt;2,TRIM(RIGHT(SUBSTITUTE(TRIM(C6503)," ",REPT(" ",255)),255))," ")</f>
        <v xml:space="preserve"> </v>
      </c>
      <c r="G6503" s="110">
        <f>COPY!Z6495</f>
        <v>0</v>
      </c>
      <c r="H6503" s="111" t="str">
        <f>IFERROR(VLOOKUP(Table1722[[#This Row],[Bukti]],'Un nOTA'!$A$4:$K$5003,10,FALSE),"")</f>
        <v/>
      </c>
      <c r="I6503" s="123" t="str">
        <f>IFERROR(VLOOKUP(Table1722[[#This Row],[Bukti]],Table13[#Data],11,FALSE),"")</f>
        <v/>
      </c>
    </row>
    <row r="6504" spans="1:9" hidden="1" x14ac:dyDescent="0.2">
      <c r="A6504" s="105" t="str">
        <f>IF(D6504=1,COUNTIF($D$10:D6504,1)," ")</f>
        <v xml:space="preserve"> </v>
      </c>
      <c r="B6504" s="106">
        <f>COPY!AR6496</f>
        <v>0</v>
      </c>
      <c r="C6504" s="107">
        <f>COPY!AC6496</f>
        <v>0</v>
      </c>
      <c r="D6504" s="107" t="str">
        <f>IF(LEN(Table1722[[#This Row],[Uraian]])&gt;2,1," ")</f>
        <v xml:space="preserve"> </v>
      </c>
      <c r="E6504" s="113" t="str">
        <f>IF(Table1722[[#This Row],[Lawan Transaksi]]="CV AGUNG KARYA",COUNTIF($I$10:I6504,"CV AGUNG KARYA")," ")</f>
        <v xml:space="preserve"> </v>
      </c>
      <c r="F6504" s="107" t="str">
        <f>IF(LEN(Table1722[[#This Row],[Uraian]])&gt;2,TRIM(RIGHT(SUBSTITUTE(TRIM(C6504)," ",REPT(" ",255)),255))," ")</f>
        <v xml:space="preserve"> </v>
      </c>
      <c r="G6504" s="110">
        <f>COPY!Z6496</f>
        <v>0</v>
      </c>
      <c r="H6504" s="111" t="str">
        <f>IFERROR(VLOOKUP(Table1722[[#This Row],[Bukti]],'Un nOTA'!$A$4:$K$5003,10,FALSE),"")</f>
        <v/>
      </c>
      <c r="I6504" s="123" t="str">
        <f>IFERROR(VLOOKUP(Table1722[[#This Row],[Bukti]],Table13[#Data],11,FALSE),"")</f>
        <v/>
      </c>
    </row>
    <row r="6505" spans="1:9" hidden="1" x14ac:dyDescent="0.2">
      <c r="A6505" s="105" t="str">
        <f>IF(D6505=1,COUNTIF($D$10:D6505,1)," ")</f>
        <v xml:space="preserve"> </v>
      </c>
      <c r="B6505" s="106">
        <f>COPY!AR6497</f>
        <v>0</v>
      </c>
      <c r="C6505" s="107">
        <f>COPY!AC6497</f>
        <v>0</v>
      </c>
      <c r="D6505" s="107" t="str">
        <f>IF(LEN(Table1722[[#This Row],[Uraian]])&gt;2,1," ")</f>
        <v xml:space="preserve"> </v>
      </c>
      <c r="E6505" s="113" t="str">
        <f>IF(Table1722[[#This Row],[Lawan Transaksi]]="CV AGUNG KARYA",COUNTIF($I$10:I6505,"CV AGUNG KARYA")," ")</f>
        <v xml:space="preserve"> </v>
      </c>
      <c r="F6505" s="107" t="str">
        <f>IF(LEN(Table1722[[#This Row],[Uraian]])&gt;2,TRIM(RIGHT(SUBSTITUTE(TRIM(C6505)," ",REPT(" ",255)),255))," ")</f>
        <v xml:space="preserve"> </v>
      </c>
      <c r="G6505" s="110">
        <f>COPY!Z6497</f>
        <v>0</v>
      </c>
      <c r="H6505" s="111" t="str">
        <f>IFERROR(VLOOKUP(Table1722[[#This Row],[Bukti]],'Un nOTA'!$A$4:$K$5003,10,FALSE),"")</f>
        <v/>
      </c>
      <c r="I6505" s="123" t="str">
        <f>IFERROR(VLOOKUP(Table1722[[#This Row],[Bukti]],Table13[#Data],11,FALSE),"")</f>
        <v/>
      </c>
    </row>
    <row r="6506" spans="1:9" hidden="1" x14ac:dyDescent="0.2">
      <c r="A6506" s="105" t="str">
        <f>IF(D6506=1,COUNTIF($D$10:D6506,1)," ")</f>
        <v xml:space="preserve"> </v>
      </c>
      <c r="B6506" s="106">
        <f>COPY!AR6498</f>
        <v>0</v>
      </c>
      <c r="C6506" s="107">
        <f>COPY!AC6498</f>
        <v>0</v>
      </c>
      <c r="D6506" s="107" t="str">
        <f>IF(LEN(Table1722[[#This Row],[Uraian]])&gt;2,1," ")</f>
        <v xml:space="preserve"> </v>
      </c>
      <c r="E6506" s="113" t="str">
        <f>IF(Table1722[[#This Row],[Lawan Transaksi]]="CV AGUNG KARYA",COUNTIF($I$10:I6506,"CV AGUNG KARYA")," ")</f>
        <v xml:space="preserve"> </v>
      </c>
      <c r="F6506" s="107" t="str">
        <f>IF(LEN(Table1722[[#This Row],[Uraian]])&gt;2,TRIM(RIGHT(SUBSTITUTE(TRIM(C6506)," ",REPT(" ",255)),255))," ")</f>
        <v xml:space="preserve"> </v>
      </c>
      <c r="G6506" s="110">
        <f>COPY!Z6498</f>
        <v>0</v>
      </c>
      <c r="H6506" s="111" t="str">
        <f>IFERROR(VLOOKUP(Table1722[[#This Row],[Bukti]],'Un nOTA'!$A$4:$K$5003,10,FALSE),"")</f>
        <v/>
      </c>
      <c r="I6506" s="123" t="str">
        <f>IFERROR(VLOOKUP(Table1722[[#This Row],[Bukti]],Table13[#Data],11,FALSE),"")</f>
        <v/>
      </c>
    </row>
    <row r="6507" spans="1:9" hidden="1" x14ac:dyDescent="0.2">
      <c r="A6507" s="105" t="str">
        <f>IF(D6507=1,COUNTIF($D$10:D6507,1)," ")</f>
        <v xml:space="preserve"> </v>
      </c>
      <c r="B6507" s="106">
        <f>COPY!AR6499</f>
        <v>0</v>
      </c>
      <c r="C6507" s="107">
        <f>COPY!AC6499</f>
        <v>0</v>
      </c>
      <c r="D6507" s="107" t="str">
        <f>IF(LEN(Table1722[[#This Row],[Uraian]])&gt;2,1," ")</f>
        <v xml:space="preserve"> </v>
      </c>
      <c r="E6507" s="113" t="str">
        <f>IF(Table1722[[#This Row],[Lawan Transaksi]]="CV AGUNG KARYA",COUNTIF($I$10:I6507,"CV AGUNG KARYA")," ")</f>
        <v xml:space="preserve"> </v>
      </c>
      <c r="F6507" s="107" t="str">
        <f>IF(LEN(Table1722[[#This Row],[Uraian]])&gt;2,TRIM(RIGHT(SUBSTITUTE(TRIM(C6507)," ",REPT(" ",255)),255))," ")</f>
        <v xml:space="preserve"> </v>
      </c>
      <c r="G6507" s="110">
        <f>COPY!Z6499</f>
        <v>0</v>
      </c>
      <c r="H6507" s="111" t="str">
        <f>IFERROR(VLOOKUP(Table1722[[#This Row],[Bukti]],'Un nOTA'!$A$4:$K$5003,10,FALSE),"")</f>
        <v/>
      </c>
      <c r="I6507" s="123" t="str">
        <f>IFERROR(VLOOKUP(Table1722[[#This Row],[Bukti]],Table13[#Data],11,FALSE),"")</f>
        <v/>
      </c>
    </row>
    <row r="6508" spans="1:9" hidden="1" x14ac:dyDescent="0.2">
      <c r="A6508" s="105" t="str">
        <f>IF(D6508=1,COUNTIF($D$10:D6508,1)," ")</f>
        <v xml:space="preserve"> </v>
      </c>
      <c r="B6508" s="106">
        <f>COPY!AR6500</f>
        <v>0</v>
      </c>
      <c r="C6508" s="107">
        <f>COPY!AC6500</f>
        <v>0</v>
      </c>
      <c r="D6508" s="107" t="str">
        <f>IF(LEN(Table1722[[#This Row],[Uraian]])&gt;2,1," ")</f>
        <v xml:space="preserve"> </v>
      </c>
      <c r="E6508" s="113" t="str">
        <f>IF(Table1722[[#This Row],[Lawan Transaksi]]="CV AGUNG KARYA",COUNTIF($I$10:I6508,"CV AGUNG KARYA")," ")</f>
        <v xml:space="preserve"> </v>
      </c>
      <c r="F6508" s="107" t="str">
        <f>IF(LEN(Table1722[[#This Row],[Uraian]])&gt;2,TRIM(RIGHT(SUBSTITUTE(TRIM(C6508)," ",REPT(" ",255)),255))," ")</f>
        <v xml:space="preserve"> </v>
      </c>
      <c r="G6508" s="110">
        <f>COPY!Z6500</f>
        <v>0</v>
      </c>
      <c r="H6508" s="111" t="str">
        <f>IFERROR(VLOOKUP(Table1722[[#This Row],[Bukti]],'Un nOTA'!$A$4:$K$5003,10,FALSE),"")</f>
        <v/>
      </c>
      <c r="I6508" s="123" t="str">
        <f>IFERROR(VLOOKUP(Table1722[[#This Row],[Bukti]],Table13[#Data],11,FALSE),"")</f>
        <v/>
      </c>
    </row>
    <row r="6509" spans="1:9" hidden="1" x14ac:dyDescent="0.2">
      <c r="A6509" s="105" t="str">
        <f>IF(D6509=1,COUNTIF($D$10:D6509,1)," ")</f>
        <v xml:space="preserve"> </v>
      </c>
      <c r="B6509" s="106">
        <f>COPY!AR6501</f>
        <v>0</v>
      </c>
      <c r="C6509" s="107">
        <f>COPY!AC6501</f>
        <v>0</v>
      </c>
      <c r="D6509" s="107" t="str">
        <f>IF(LEN(Table1722[[#This Row],[Uraian]])&gt;2,1," ")</f>
        <v xml:space="preserve"> </v>
      </c>
      <c r="E6509" s="113" t="str">
        <f>IF(Table1722[[#This Row],[Lawan Transaksi]]="CV AGUNG KARYA",COUNTIF($I$10:I6509,"CV AGUNG KARYA")," ")</f>
        <v xml:space="preserve"> </v>
      </c>
      <c r="F6509" s="107" t="str">
        <f>IF(LEN(Table1722[[#This Row],[Uraian]])&gt;2,TRIM(RIGHT(SUBSTITUTE(TRIM(C6509)," ",REPT(" ",255)),255))," ")</f>
        <v xml:space="preserve"> </v>
      </c>
      <c r="G6509" s="110">
        <f>COPY!Z6501</f>
        <v>0</v>
      </c>
      <c r="H6509" s="111" t="str">
        <f>IFERROR(VLOOKUP(Table1722[[#This Row],[Bukti]],'Un nOTA'!$A$4:$K$5003,10,FALSE),"")</f>
        <v/>
      </c>
      <c r="I6509" s="123" t="str">
        <f>IFERROR(VLOOKUP(Table1722[[#This Row],[Bukti]],Table13[#Data],11,FALSE),"")</f>
        <v/>
      </c>
    </row>
    <row r="6510" spans="1:9" hidden="1" x14ac:dyDescent="0.2">
      <c r="A6510" s="105" t="str">
        <f>IF(D6510=1,COUNTIF($D$10:D6510,1)," ")</f>
        <v xml:space="preserve"> </v>
      </c>
      <c r="B6510" s="106">
        <f>COPY!AR6502</f>
        <v>0</v>
      </c>
      <c r="C6510" s="107">
        <f>COPY!AC6502</f>
        <v>0</v>
      </c>
      <c r="D6510" s="107" t="str">
        <f>IF(LEN(Table1722[[#This Row],[Uraian]])&gt;2,1," ")</f>
        <v xml:space="preserve"> </v>
      </c>
      <c r="E6510" s="113" t="str">
        <f>IF(Table1722[[#This Row],[Lawan Transaksi]]="CV AGUNG KARYA",COUNTIF($I$10:I6510,"CV AGUNG KARYA")," ")</f>
        <v xml:space="preserve"> </v>
      </c>
      <c r="F6510" s="107" t="str">
        <f>IF(LEN(Table1722[[#This Row],[Uraian]])&gt;2,TRIM(RIGHT(SUBSTITUTE(TRIM(C6510)," ",REPT(" ",255)),255))," ")</f>
        <v xml:space="preserve"> </v>
      </c>
      <c r="G6510" s="110">
        <f>COPY!Z6502</f>
        <v>0</v>
      </c>
      <c r="H6510" s="111" t="str">
        <f>IFERROR(VLOOKUP(Table1722[[#This Row],[Bukti]],'Un nOTA'!$A$4:$K$5003,10,FALSE),"")</f>
        <v/>
      </c>
      <c r="I6510" s="123" t="str">
        <f>IFERROR(VLOOKUP(Table1722[[#This Row],[Bukti]],Table13[#Data],11,FALSE),"")</f>
        <v/>
      </c>
    </row>
    <row r="6511" spans="1:9" hidden="1" x14ac:dyDescent="0.2">
      <c r="A6511" s="105" t="str">
        <f>IF(D6511=1,COUNTIF($D$10:D6511,1)," ")</f>
        <v xml:space="preserve"> </v>
      </c>
      <c r="B6511" s="106">
        <f>COPY!AR6503</f>
        <v>0</v>
      </c>
      <c r="C6511" s="107">
        <f>COPY!AC6503</f>
        <v>0</v>
      </c>
      <c r="D6511" s="107" t="str">
        <f>IF(LEN(Table1722[[#This Row],[Uraian]])&gt;2,1," ")</f>
        <v xml:space="preserve"> </v>
      </c>
      <c r="E6511" s="113" t="str">
        <f>IF(Table1722[[#This Row],[Lawan Transaksi]]="CV AGUNG KARYA",COUNTIF($I$10:I6511,"CV AGUNG KARYA")," ")</f>
        <v xml:space="preserve"> </v>
      </c>
      <c r="F6511" s="107" t="str">
        <f>IF(LEN(Table1722[[#This Row],[Uraian]])&gt;2,TRIM(RIGHT(SUBSTITUTE(TRIM(C6511)," ",REPT(" ",255)),255))," ")</f>
        <v xml:space="preserve"> </v>
      </c>
      <c r="G6511" s="110">
        <f>COPY!Z6503</f>
        <v>0</v>
      </c>
      <c r="H6511" s="111" t="str">
        <f>IFERROR(VLOOKUP(Table1722[[#This Row],[Bukti]],'Un nOTA'!$A$4:$K$5003,10,FALSE),"")</f>
        <v/>
      </c>
      <c r="I6511" s="123" t="str">
        <f>IFERROR(VLOOKUP(Table1722[[#This Row],[Bukti]],Table13[#Data],11,FALSE),"")</f>
        <v/>
      </c>
    </row>
    <row r="6512" spans="1:9" hidden="1" x14ac:dyDescent="0.2">
      <c r="A6512" s="105" t="str">
        <f>IF(D6512=1,COUNTIF($D$10:D6512,1)," ")</f>
        <v xml:space="preserve"> </v>
      </c>
      <c r="B6512" s="106">
        <f>COPY!AR6504</f>
        <v>0</v>
      </c>
      <c r="C6512" s="107">
        <f>COPY!AC6504</f>
        <v>0</v>
      </c>
      <c r="D6512" s="107" t="str">
        <f>IF(LEN(Table1722[[#This Row],[Uraian]])&gt;2,1," ")</f>
        <v xml:space="preserve"> </v>
      </c>
      <c r="E6512" s="113" t="str">
        <f>IF(Table1722[[#This Row],[Lawan Transaksi]]="CV AGUNG KARYA",COUNTIF($I$10:I6512,"CV AGUNG KARYA")," ")</f>
        <v xml:space="preserve"> </v>
      </c>
      <c r="F6512" s="107" t="str">
        <f>IF(LEN(Table1722[[#This Row],[Uraian]])&gt;2,TRIM(RIGHT(SUBSTITUTE(TRIM(C6512)," ",REPT(" ",255)),255))," ")</f>
        <v xml:space="preserve"> </v>
      </c>
      <c r="G6512" s="110">
        <f>COPY!Z6504</f>
        <v>0</v>
      </c>
      <c r="H6512" s="111" t="str">
        <f>IFERROR(VLOOKUP(Table1722[[#This Row],[Bukti]],'Un nOTA'!$A$4:$K$5003,10,FALSE),"")</f>
        <v/>
      </c>
      <c r="I6512" s="123" t="str">
        <f>IFERROR(VLOOKUP(Table1722[[#This Row],[Bukti]],Table13[#Data],11,FALSE),"")</f>
        <v/>
      </c>
    </row>
    <row r="6513" spans="1:9" hidden="1" x14ac:dyDescent="0.2">
      <c r="A6513" s="105" t="str">
        <f>IF(D6513=1,COUNTIF($D$10:D6513,1)," ")</f>
        <v xml:space="preserve"> </v>
      </c>
      <c r="B6513" s="106">
        <f>COPY!AR6505</f>
        <v>0</v>
      </c>
      <c r="C6513" s="107">
        <f>COPY!AC6505</f>
        <v>0</v>
      </c>
      <c r="D6513" s="107" t="str">
        <f>IF(LEN(Table1722[[#This Row],[Uraian]])&gt;2,1," ")</f>
        <v xml:space="preserve"> </v>
      </c>
      <c r="E6513" s="113" t="str">
        <f>IF(Table1722[[#This Row],[Lawan Transaksi]]="CV AGUNG KARYA",COUNTIF($I$10:I6513,"CV AGUNG KARYA")," ")</f>
        <v xml:space="preserve"> </v>
      </c>
      <c r="F6513" s="107" t="str">
        <f>IF(LEN(Table1722[[#This Row],[Uraian]])&gt;2,TRIM(RIGHT(SUBSTITUTE(TRIM(C6513)," ",REPT(" ",255)),255))," ")</f>
        <v xml:space="preserve"> </v>
      </c>
      <c r="G6513" s="110">
        <f>COPY!Z6505</f>
        <v>0</v>
      </c>
      <c r="H6513" s="111" t="str">
        <f>IFERROR(VLOOKUP(Table1722[[#This Row],[Bukti]],'Un nOTA'!$A$4:$K$5003,10,FALSE),"")</f>
        <v/>
      </c>
      <c r="I6513" s="123" t="str">
        <f>IFERROR(VLOOKUP(Table1722[[#This Row],[Bukti]],Table13[#Data],11,FALSE),"")</f>
        <v/>
      </c>
    </row>
    <row r="6514" spans="1:9" hidden="1" x14ac:dyDescent="0.2">
      <c r="A6514" s="105" t="str">
        <f>IF(D6514=1,COUNTIF($D$10:D6514,1)," ")</f>
        <v xml:space="preserve"> </v>
      </c>
      <c r="B6514" s="106">
        <f>COPY!AR6506</f>
        <v>0</v>
      </c>
      <c r="C6514" s="107">
        <f>COPY!AC6506</f>
        <v>0</v>
      </c>
      <c r="D6514" s="107" t="str">
        <f>IF(LEN(Table1722[[#This Row],[Uraian]])&gt;2,1," ")</f>
        <v xml:space="preserve"> </v>
      </c>
      <c r="E6514" s="113" t="str">
        <f>IF(Table1722[[#This Row],[Lawan Transaksi]]="CV AGUNG KARYA",COUNTIF($I$10:I6514,"CV AGUNG KARYA")," ")</f>
        <v xml:space="preserve"> </v>
      </c>
      <c r="F6514" s="107" t="str">
        <f>IF(LEN(Table1722[[#This Row],[Uraian]])&gt;2,TRIM(RIGHT(SUBSTITUTE(TRIM(C6514)," ",REPT(" ",255)),255))," ")</f>
        <v xml:space="preserve"> </v>
      </c>
      <c r="G6514" s="110">
        <f>COPY!Z6506</f>
        <v>0</v>
      </c>
      <c r="H6514" s="111" t="str">
        <f>IFERROR(VLOOKUP(Table1722[[#This Row],[Bukti]],'Un nOTA'!$A$4:$K$5003,10,FALSE),"")</f>
        <v/>
      </c>
      <c r="I6514" s="123" t="str">
        <f>IFERROR(VLOOKUP(Table1722[[#This Row],[Bukti]],Table13[#Data],11,FALSE),"")</f>
        <v/>
      </c>
    </row>
    <row r="6515" spans="1:9" hidden="1" x14ac:dyDescent="0.2">
      <c r="A6515" s="105" t="str">
        <f>IF(D6515=1,COUNTIF($D$10:D6515,1)," ")</f>
        <v xml:space="preserve"> </v>
      </c>
      <c r="B6515" s="106">
        <f>COPY!AR6507</f>
        <v>0</v>
      </c>
      <c r="C6515" s="107">
        <f>COPY!AC6507</f>
        <v>0</v>
      </c>
      <c r="D6515" s="107" t="str">
        <f>IF(LEN(Table1722[[#This Row],[Uraian]])&gt;2,1," ")</f>
        <v xml:space="preserve"> </v>
      </c>
      <c r="E6515" s="113" t="str">
        <f>IF(Table1722[[#This Row],[Lawan Transaksi]]="CV AGUNG KARYA",COUNTIF($I$10:I6515,"CV AGUNG KARYA")," ")</f>
        <v xml:space="preserve"> </v>
      </c>
      <c r="F6515" s="107" t="str">
        <f>IF(LEN(Table1722[[#This Row],[Uraian]])&gt;2,TRIM(RIGHT(SUBSTITUTE(TRIM(C6515)," ",REPT(" ",255)),255))," ")</f>
        <v xml:space="preserve"> </v>
      </c>
      <c r="G6515" s="110">
        <f>COPY!Z6507</f>
        <v>0</v>
      </c>
      <c r="H6515" s="111" t="str">
        <f>IFERROR(VLOOKUP(Table1722[[#This Row],[Bukti]],'Un nOTA'!$A$4:$K$5003,10,FALSE),"")</f>
        <v/>
      </c>
      <c r="I6515" s="123" t="str">
        <f>IFERROR(VLOOKUP(Table1722[[#This Row],[Bukti]],Table13[#Data],11,FALSE),"")</f>
        <v/>
      </c>
    </row>
    <row r="6516" spans="1:9" hidden="1" x14ac:dyDescent="0.2">
      <c r="A6516" s="105" t="str">
        <f>IF(D6516=1,COUNTIF($D$10:D6516,1)," ")</f>
        <v xml:space="preserve"> </v>
      </c>
      <c r="B6516" s="106">
        <f>COPY!AR6508</f>
        <v>0</v>
      </c>
      <c r="C6516" s="107">
        <f>COPY!AC6508</f>
        <v>0</v>
      </c>
      <c r="D6516" s="107" t="str">
        <f>IF(LEN(Table1722[[#This Row],[Uraian]])&gt;2,1," ")</f>
        <v xml:space="preserve"> </v>
      </c>
      <c r="E6516" s="113" t="str">
        <f>IF(Table1722[[#This Row],[Lawan Transaksi]]="CV AGUNG KARYA",COUNTIF($I$10:I6516,"CV AGUNG KARYA")," ")</f>
        <v xml:space="preserve"> </v>
      </c>
      <c r="F6516" s="107" t="str">
        <f>IF(LEN(Table1722[[#This Row],[Uraian]])&gt;2,TRIM(RIGHT(SUBSTITUTE(TRIM(C6516)," ",REPT(" ",255)),255))," ")</f>
        <v xml:space="preserve"> </v>
      </c>
      <c r="G6516" s="110">
        <f>COPY!Z6508</f>
        <v>0</v>
      </c>
      <c r="H6516" s="111" t="str">
        <f>IFERROR(VLOOKUP(Table1722[[#This Row],[Bukti]],'Un nOTA'!$A$4:$K$5003,10,FALSE),"")</f>
        <v/>
      </c>
      <c r="I6516" s="123" t="str">
        <f>IFERROR(VLOOKUP(Table1722[[#This Row],[Bukti]],Table13[#Data],11,FALSE),"")</f>
        <v/>
      </c>
    </row>
    <row r="6517" spans="1:9" hidden="1" x14ac:dyDescent="0.2">
      <c r="A6517" s="105" t="str">
        <f>IF(D6517=1,COUNTIF($D$10:D6517,1)," ")</f>
        <v xml:space="preserve"> </v>
      </c>
      <c r="B6517" s="106">
        <f>COPY!AR6509</f>
        <v>0</v>
      </c>
      <c r="C6517" s="107">
        <f>COPY!AC6509</f>
        <v>0</v>
      </c>
      <c r="D6517" s="107" t="str">
        <f>IF(LEN(Table1722[[#This Row],[Uraian]])&gt;2,1," ")</f>
        <v xml:space="preserve"> </v>
      </c>
      <c r="E6517" s="113" t="str">
        <f>IF(Table1722[[#This Row],[Lawan Transaksi]]="CV AGUNG KARYA",COUNTIF($I$10:I6517,"CV AGUNG KARYA")," ")</f>
        <v xml:space="preserve"> </v>
      </c>
      <c r="F6517" s="107" t="str">
        <f>IF(LEN(Table1722[[#This Row],[Uraian]])&gt;2,TRIM(RIGHT(SUBSTITUTE(TRIM(C6517)," ",REPT(" ",255)),255))," ")</f>
        <v xml:space="preserve"> </v>
      </c>
      <c r="G6517" s="110">
        <f>COPY!Z6509</f>
        <v>0</v>
      </c>
      <c r="H6517" s="111" t="str">
        <f>IFERROR(VLOOKUP(Table1722[[#This Row],[Bukti]],'Un nOTA'!$A$4:$K$5003,10,FALSE),"")</f>
        <v/>
      </c>
      <c r="I6517" s="123" t="str">
        <f>IFERROR(VLOOKUP(Table1722[[#This Row],[Bukti]],Table13[#Data],11,FALSE),"")</f>
        <v/>
      </c>
    </row>
    <row r="6518" spans="1:9" hidden="1" x14ac:dyDescent="0.2">
      <c r="A6518" s="105" t="str">
        <f>IF(D6518=1,COUNTIF($D$10:D6518,1)," ")</f>
        <v xml:space="preserve"> </v>
      </c>
      <c r="B6518" s="106">
        <f>COPY!AR6510</f>
        <v>0</v>
      </c>
      <c r="C6518" s="107">
        <f>COPY!AC6510</f>
        <v>0</v>
      </c>
      <c r="D6518" s="107" t="str">
        <f>IF(LEN(Table1722[[#This Row],[Uraian]])&gt;2,1," ")</f>
        <v xml:space="preserve"> </v>
      </c>
      <c r="E6518" s="113" t="str">
        <f>IF(Table1722[[#This Row],[Lawan Transaksi]]="CV AGUNG KARYA",COUNTIF($I$10:I6518,"CV AGUNG KARYA")," ")</f>
        <v xml:space="preserve"> </v>
      </c>
      <c r="F6518" s="107" t="str">
        <f>IF(LEN(Table1722[[#This Row],[Uraian]])&gt;2,TRIM(RIGHT(SUBSTITUTE(TRIM(C6518)," ",REPT(" ",255)),255))," ")</f>
        <v xml:space="preserve"> </v>
      </c>
      <c r="G6518" s="110">
        <f>COPY!Z6510</f>
        <v>0</v>
      </c>
      <c r="H6518" s="111" t="str">
        <f>IFERROR(VLOOKUP(Table1722[[#This Row],[Bukti]],'Un nOTA'!$A$4:$K$5003,10,FALSE),"")</f>
        <v/>
      </c>
      <c r="I6518" s="123" t="str">
        <f>IFERROR(VLOOKUP(Table1722[[#This Row],[Bukti]],Table13[#Data],11,FALSE),"")</f>
        <v/>
      </c>
    </row>
    <row r="6519" spans="1:9" hidden="1" x14ac:dyDescent="0.2">
      <c r="A6519" s="105" t="str">
        <f>IF(D6519=1,COUNTIF($D$10:D6519,1)," ")</f>
        <v xml:space="preserve"> </v>
      </c>
      <c r="B6519" s="106">
        <f>COPY!AR6511</f>
        <v>0</v>
      </c>
      <c r="C6519" s="107">
        <f>COPY!AC6511</f>
        <v>0</v>
      </c>
      <c r="D6519" s="107" t="str">
        <f>IF(LEN(Table1722[[#This Row],[Uraian]])&gt;2,1," ")</f>
        <v xml:space="preserve"> </v>
      </c>
      <c r="E6519" s="113" t="str">
        <f>IF(Table1722[[#This Row],[Lawan Transaksi]]="CV AGUNG KARYA",COUNTIF($I$10:I6519,"CV AGUNG KARYA")," ")</f>
        <v xml:space="preserve"> </v>
      </c>
      <c r="F6519" s="107" t="str">
        <f>IF(LEN(Table1722[[#This Row],[Uraian]])&gt;2,TRIM(RIGHT(SUBSTITUTE(TRIM(C6519)," ",REPT(" ",255)),255))," ")</f>
        <v xml:space="preserve"> </v>
      </c>
      <c r="G6519" s="110">
        <f>COPY!Z6511</f>
        <v>0</v>
      </c>
      <c r="H6519" s="111" t="str">
        <f>IFERROR(VLOOKUP(Table1722[[#This Row],[Bukti]],'Un nOTA'!$A$4:$K$5003,10,FALSE),"")</f>
        <v/>
      </c>
      <c r="I6519" s="123" t="str">
        <f>IFERROR(VLOOKUP(Table1722[[#This Row],[Bukti]],Table13[#Data],11,FALSE),"")</f>
        <v/>
      </c>
    </row>
    <row r="6520" spans="1:9" hidden="1" x14ac:dyDescent="0.2">
      <c r="A6520" s="105" t="str">
        <f>IF(D6520=1,COUNTIF($D$10:D6520,1)," ")</f>
        <v xml:space="preserve"> </v>
      </c>
      <c r="B6520" s="106">
        <f>COPY!AR6512</f>
        <v>0</v>
      </c>
      <c r="C6520" s="107">
        <f>COPY!AC6512</f>
        <v>0</v>
      </c>
      <c r="D6520" s="107" t="str">
        <f>IF(LEN(Table1722[[#This Row],[Uraian]])&gt;2,1," ")</f>
        <v xml:space="preserve"> </v>
      </c>
      <c r="E6520" s="113" t="str">
        <f>IF(Table1722[[#This Row],[Lawan Transaksi]]="CV AGUNG KARYA",COUNTIF($I$10:I6520,"CV AGUNG KARYA")," ")</f>
        <v xml:space="preserve"> </v>
      </c>
      <c r="F6520" s="107" t="str">
        <f>IF(LEN(Table1722[[#This Row],[Uraian]])&gt;2,TRIM(RIGHT(SUBSTITUTE(TRIM(C6520)," ",REPT(" ",255)),255))," ")</f>
        <v xml:space="preserve"> </v>
      </c>
      <c r="G6520" s="110">
        <f>COPY!Z6512</f>
        <v>0</v>
      </c>
      <c r="H6520" s="111" t="str">
        <f>IFERROR(VLOOKUP(Table1722[[#This Row],[Bukti]],'Un nOTA'!$A$4:$K$5003,10,FALSE),"")</f>
        <v/>
      </c>
      <c r="I6520" s="123" t="str">
        <f>IFERROR(VLOOKUP(Table1722[[#This Row],[Bukti]],Table13[#Data],11,FALSE),"")</f>
        <v/>
      </c>
    </row>
    <row r="6521" spans="1:9" hidden="1" x14ac:dyDescent="0.2">
      <c r="A6521" s="105" t="str">
        <f>IF(D6521=1,COUNTIF($D$10:D6521,1)," ")</f>
        <v xml:space="preserve"> </v>
      </c>
      <c r="B6521" s="106">
        <f>COPY!AR6513</f>
        <v>0</v>
      </c>
      <c r="C6521" s="107">
        <f>COPY!AC6513</f>
        <v>0</v>
      </c>
      <c r="D6521" s="107" t="str">
        <f>IF(LEN(Table1722[[#This Row],[Uraian]])&gt;2,1," ")</f>
        <v xml:space="preserve"> </v>
      </c>
      <c r="E6521" s="113" t="str">
        <f>IF(Table1722[[#This Row],[Lawan Transaksi]]="CV AGUNG KARYA",COUNTIF($I$10:I6521,"CV AGUNG KARYA")," ")</f>
        <v xml:space="preserve"> </v>
      </c>
      <c r="F6521" s="107" t="str">
        <f>IF(LEN(Table1722[[#This Row],[Uraian]])&gt;2,TRIM(RIGHT(SUBSTITUTE(TRIM(C6521)," ",REPT(" ",255)),255))," ")</f>
        <v xml:space="preserve"> </v>
      </c>
      <c r="G6521" s="110">
        <f>COPY!Z6513</f>
        <v>0</v>
      </c>
      <c r="H6521" s="111" t="str">
        <f>IFERROR(VLOOKUP(Table1722[[#This Row],[Bukti]],'Un nOTA'!$A$4:$K$5003,10,FALSE),"")</f>
        <v/>
      </c>
      <c r="I6521" s="123" t="str">
        <f>IFERROR(VLOOKUP(Table1722[[#This Row],[Bukti]],Table13[#Data],11,FALSE),"")</f>
        <v/>
      </c>
    </row>
    <row r="6522" spans="1:9" hidden="1" x14ac:dyDescent="0.2">
      <c r="A6522" s="105" t="str">
        <f>IF(D6522=1,COUNTIF($D$10:D6522,1)," ")</f>
        <v xml:space="preserve"> </v>
      </c>
      <c r="B6522" s="106">
        <f>COPY!AR6514</f>
        <v>0</v>
      </c>
      <c r="C6522" s="107">
        <f>COPY!AC6514</f>
        <v>0</v>
      </c>
      <c r="D6522" s="107" t="str">
        <f>IF(LEN(Table1722[[#This Row],[Uraian]])&gt;2,1," ")</f>
        <v xml:space="preserve"> </v>
      </c>
      <c r="E6522" s="113" t="str">
        <f>IF(Table1722[[#This Row],[Lawan Transaksi]]="CV AGUNG KARYA",COUNTIF($I$10:I6522,"CV AGUNG KARYA")," ")</f>
        <v xml:space="preserve"> </v>
      </c>
      <c r="F6522" s="107" t="str">
        <f>IF(LEN(Table1722[[#This Row],[Uraian]])&gt;2,TRIM(RIGHT(SUBSTITUTE(TRIM(C6522)," ",REPT(" ",255)),255))," ")</f>
        <v xml:space="preserve"> </v>
      </c>
      <c r="G6522" s="110">
        <f>COPY!Z6514</f>
        <v>0</v>
      </c>
      <c r="H6522" s="111" t="str">
        <f>IFERROR(VLOOKUP(Table1722[[#This Row],[Bukti]],'Un nOTA'!$A$4:$K$5003,10,FALSE),"")</f>
        <v/>
      </c>
      <c r="I6522" s="123" t="str">
        <f>IFERROR(VLOOKUP(Table1722[[#This Row],[Bukti]],Table13[#Data],11,FALSE),"")</f>
        <v/>
      </c>
    </row>
    <row r="6523" spans="1:9" hidden="1" x14ac:dyDescent="0.2">
      <c r="A6523" s="105" t="str">
        <f>IF(D6523=1,COUNTIF($D$10:D6523,1)," ")</f>
        <v xml:space="preserve"> </v>
      </c>
      <c r="B6523" s="106">
        <f>COPY!AR6515</f>
        <v>0</v>
      </c>
      <c r="C6523" s="107">
        <f>COPY!AC6515</f>
        <v>0</v>
      </c>
      <c r="D6523" s="107" t="str">
        <f>IF(LEN(Table1722[[#This Row],[Uraian]])&gt;2,1," ")</f>
        <v xml:space="preserve"> </v>
      </c>
      <c r="E6523" s="113" t="str">
        <f>IF(Table1722[[#This Row],[Lawan Transaksi]]="CV AGUNG KARYA",COUNTIF($I$10:I6523,"CV AGUNG KARYA")," ")</f>
        <v xml:space="preserve"> </v>
      </c>
      <c r="F6523" s="107" t="str">
        <f>IF(LEN(Table1722[[#This Row],[Uraian]])&gt;2,TRIM(RIGHT(SUBSTITUTE(TRIM(C6523)," ",REPT(" ",255)),255))," ")</f>
        <v xml:space="preserve"> </v>
      </c>
      <c r="G6523" s="110">
        <f>COPY!Z6515</f>
        <v>0</v>
      </c>
      <c r="H6523" s="111" t="str">
        <f>IFERROR(VLOOKUP(Table1722[[#This Row],[Bukti]],'Un nOTA'!$A$4:$K$5003,10,FALSE),"")</f>
        <v/>
      </c>
      <c r="I6523" s="123" t="str">
        <f>IFERROR(VLOOKUP(Table1722[[#This Row],[Bukti]],Table13[#Data],11,FALSE),"")</f>
        <v/>
      </c>
    </row>
    <row r="6524" spans="1:9" hidden="1" x14ac:dyDescent="0.2">
      <c r="A6524" s="105" t="str">
        <f>IF(D6524=1,COUNTIF($D$10:D6524,1)," ")</f>
        <v xml:space="preserve"> </v>
      </c>
      <c r="B6524" s="106">
        <f>COPY!AR6516</f>
        <v>0</v>
      </c>
      <c r="C6524" s="107">
        <f>COPY!AC6516</f>
        <v>0</v>
      </c>
      <c r="D6524" s="107" t="str">
        <f>IF(LEN(Table1722[[#This Row],[Uraian]])&gt;2,1," ")</f>
        <v xml:space="preserve"> </v>
      </c>
      <c r="E6524" s="113" t="str">
        <f>IF(Table1722[[#This Row],[Lawan Transaksi]]="CV AGUNG KARYA",COUNTIF($I$10:I6524,"CV AGUNG KARYA")," ")</f>
        <v xml:space="preserve"> </v>
      </c>
      <c r="F6524" s="107" t="str">
        <f>IF(LEN(Table1722[[#This Row],[Uraian]])&gt;2,TRIM(RIGHT(SUBSTITUTE(TRIM(C6524)," ",REPT(" ",255)),255))," ")</f>
        <v xml:space="preserve"> </v>
      </c>
      <c r="G6524" s="110">
        <f>COPY!Z6516</f>
        <v>0</v>
      </c>
      <c r="H6524" s="111" t="str">
        <f>IFERROR(VLOOKUP(Table1722[[#This Row],[Bukti]],'Un nOTA'!$A$4:$K$5003,10,FALSE),"")</f>
        <v/>
      </c>
      <c r="I6524" s="123" t="str">
        <f>IFERROR(VLOOKUP(Table1722[[#This Row],[Bukti]],Table13[#Data],11,FALSE),"")</f>
        <v/>
      </c>
    </row>
    <row r="6525" spans="1:9" hidden="1" x14ac:dyDescent="0.2">
      <c r="A6525" s="105" t="str">
        <f>IF(D6525=1,COUNTIF($D$10:D6525,1)," ")</f>
        <v xml:space="preserve"> </v>
      </c>
      <c r="B6525" s="106">
        <f>COPY!AR6517</f>
        <v>0</v>
      </c>
      <c r="C6525" s="107">
        <f>COPY!AC6517</f>
        <v>0</v>
      </c>
      <c r="D6525" s="107" t="str">
        <f>IF(LEN(Table1722[[#This Row],[Uraian]])&gt;2,1," ")</f>
        <v xml:space="preserve"> </v>
      </c>
      <c r="E6525" s="113" t="str">
        <f>IF(Table1722[[#This Row],[Lawan Transaksi]]="CV AGUNG KARYA",COUNTIF($I$10:I6525,"CV AGUNG KARYA")," ")</f>
        <v xml:space="preserve"> </v>
      </c>
      <c r="F6525" s="107" t="str">
        <f>IF(LEN(Table1722[[#This Row],[Uraian]])&gt;2,TRIM(RIGHT(SUBSTITUTE(TRIM(C6525)," ",REPT(" ",255)),255))," ")</f>
        <v xml:space="preserve"> </v>
      </c>
      <c r="G6525" s="110">
        <f>COPY!Z6517</f>
        <v>0</v>
      </c>
      <c r="H6525" s="111" t="str">
        <f>IFERROR(VLOOKUP(Table1722[[#This Row],[Bukti]],'Un nOTA'!$A$4:$K$5003,10,FALSE),"")</f>
        <v/>
      </c>
      <c r="I6525" s="123" t="str">
        <f>IFERROR(VLOOKUP(Table1722[[#This Row],[Bukti]],Table13[#Data],11,FALSE),"")</f>
        <v/>
      </c>
    </row>
    <row r="6526" spans="1:9" hidden="1" x14ac:dyDescent="0.2">
      <c r="A6526" s="105" t="str">
        <f>IF(D6526=1,COUNTIF($D$10:D6526,1)," ")</f>
        <v xml:space="preserve"> </v>
      </c>
      <c r="B6526" s="106">
        <f>COPY!AR6518</f>
        <v>0</v>
      </c>
      <c r="C6526" s="107">
        <f>COPY!AC6518</f>
        <v>0</v>
      </c>
      <c r="D6526" s="107" t="str">
        <f>IF(LEN(Table1722[[#This Row],[Uraian]])&gt;2,1," ")</f>
        <v xml:space="preserve"> </v>
      </c>
      <c r="E6526" s="113" t="str">
        <f>IF(Table1722[[#This Row],[Lawan Transaksi]]="CV AGUNG KARYA",COUNTIF($I$10:I6526,"CV AGUNG KARYA")," ")</f>
        <v xml:space="preserve"> </v>
      </c>
      <c r="F6526" s="107" t="str">
        <f>IF(LEN(Table1722[[#This Row],[Uraian]])&gt;2,TRIM(RIGHT(SUBSTITUTE(TRIM(C6526)," ",REPT(" ",255)),255))," ")</f>
        <v xml:space="preserve"> </v>
      </c>
      <c r="G6526" s="110">
        <f>COPY!Z6518</f>
        <v>0</v>
      </c>
      <c r="H6526" s="111" t="str">
        <f>IFERROR(VLOOKUP(Table1722[[#This Row],[Bukti]],'Un nOTA'!$A$4:$K$5003,10,FALSE),"")</f>
        <v/>
      </c>
      <c r="I6526" s="123" t="str">
        <f>IFERROR(VLOOKUP(Table1722[[#This Row],[Bukti]],Table13[#Data],11,FALSE),"")</f>
        <v/>
      </c>
    </row>
    <row r="6527" spans="1:9" hidden="1" x14ac:dyDescent="0.2">
      <c r="A6527" s="105" t="str">
        <f>IF(D6527=1,COUNTIF($D$10:D6527,1)," ")</f>
        <v xml:space="preserve"> </v>
      </c>
      <c r="B6527" s="106">
        <f>COPY!AR6519</f>
        <v>0</v>
      </c>
      <c r="C6527" s="107">
        <f>COPY!AC6519</f>
        <v>0</v>
      </c>
      <c r="D6527" s="107" t="str">
        <f>IF(LEN(Table1722[[#This Row],[Uraian]])&gt;2,1," ")</f>
        <v xml:space="preserve"> </v>
      </c>
      <c r="E6527" s="113" t="str">
        <f>IF(Table1722[[#This Row],[Lawan Transaksi]]="CV AGUNG KARYA",COUNTIF($I$10:I6527,"CV AGUNG KARYA")," ")</f>
        <v xml:space="preserve"> </v>
      </c>
      <c r="F6527" s="107" t="str">
        <f>IF(LEN(Table1722[[#This Row],[Uraian]])&gt;2,TRIM(RIGHT(SUBSTITUTE(TRIM(C6527)," ",REPT(" ",255)),255))," ")</f>
        <v xml:space="preserve"> </v>
      </c>
      <c r="G6527" s="110">
        <f>COPY!Z6519</f>
        <v>0</v>
      </c>
      <c r="H6527" s="111" t="str">
        <f>IFERROR(VLOOKUP(Table1722[[#This Row],[Bukti]],'Un nOTA'!$A$4:$K$5003,10,FALSE),"")</f>
        <v/>
      </c>
      <c r="I6527" s="123" t="str">
        <f>IFERROR(VLOOKUP(Table1722[[#This Row],[Bukti]],Table13[#Data],11,FALSE),"")</f>
        <v/>
      </c>
    </row>
    <row r="6528" spans="1:9" hidden="1" x14ac:dyDescent="0.2">
      <c r="A6528" s="105" t="str">
        <f>IF(D6528=1,COUNTIF($D$10:D6528,1)," ")</f>
        <v xml:space="preserve"> </v>
      </c>
      <c r="B6528" s="106">
        <f>COPY!AR6520</f>
        <v>0</v>
      </c>
      <c r="C6528" s="107">
        <f>COPY!AC6520</f>
        <v>0</v>
      </c>
      <c r="D6528" s="107" t="str">
        <f>IF(LEN(Table1722[[#This Row],[Uraian]])&gt;2,1," ")</f>
        <v xml:space="preserve"> </v>
      </c>
      <c r="E6528" s="113" t="str">
        <f>IF(Table1722[[#This Row],[Lawan Transaksi]]="CV AGUNG KARYA",COUNTIF($I$10:I6528,"CV AGUNG KARYA")," ")</f>
        <v xml:space="preserve"> </v>
      </c>
      <c r="F6528" s="107" t="str">
        <f>IF(LEN(Table1722[[#This Row],[Uraian]])&gt;2,TRIM(RIGHT(SUBSTITUTE(TRIM(C6528)," ",REPT(" ",255)),255))," ")</f>
        <v xml:space="preserve"> </v>
      </c>
      <c r="G6528" s="110">
        <f>COPY!Z6520</f>
        <v>0</v>
      </c>
      <c r="H6528" s="111" t="str">
        <f>IFERROR(VLOOKUP(Table1722[[#This Row],[Bukti]],'Un nOTA'!$A$4:$K$5003,10,FALSE),"")</f>
        <v/>
      </c>
      <c r="I6528" s="123" t="str">
        <f>IFERROR(VLOOKUP(Table1722[[#This Row],[Bukti]],Table13[#Data],11,FALSE),"")</f>
        <v/>
      </c>
    </row>
    <row r="6529" spans="1:9" hidden="1" x14ac:dyDescent="0.2">
      <c r="A6529" s="105" t="str">
        <f>IF(D6529=1,COUNTIF($D$10:D6529,1)," ")</f>
        <v xml:space="preserve"> </v>
      </c>
      <c r="B6529" s="106">
        <f>COPY!AR6521</f>
        <v>0</v>
      </c>
      <c r="C6529" s="107">
        <f>COPY!AC6521</f>
        <v>0</v>
      </c>
      <c r="D6529" s="107" t="str">
        <f>IF(LEN(Table1722[[#This Row],[Uraian]])&gt;2,1," ")</f>
        <v xml:space="preserve"> </v>
      </c>
      <c r="E6529" s="113" t="str">
        <f>IF(Table1722[[#This Row],[Lawan Transaksi]]="CV AGUNG KARYA",COUNTIF($I$10:I6529,"CV AGUNG KARYA")," ")</f>
        <v xml:space="preserve"> </v>
      </c>
      <c r="F6529" s="107" t="str">
        <f>IF(LEN(Table1722[[#This Row],[Uraian]])&gt;2,TRIM(RIGHT(SUBSTITUTE(TRIM(C6529)," ",REPT(" ",255)),255))," ")</f>
        <v xml:space="preserve"> </v>
      </c>
      <c r="G6529" s="110">
        <f>COPY!Z6521</f>
        <v>0</v>
      </c>
      <c r="H6529" s="111" t="str">
        <f>IFERROR(VLOOKUP(Table1722[[#This Row],[Bukti]],'Un nOTA'!$A$4:$K$5003,10,FALSE),"")</f>
        <v/>
      </c>
      <c r="I6529" s="123" t="str">
        <f>IFERROR(VLOOKUP(Table1722[[#This Row],[Bukti]],Table13[#Data],11,FALSE),"")</f>
        <v/>
      </c>
    </row>
    <row r="6530" spans="1:9" hidden="1" x14ac:dyDescent="0.2">
      <c r="A6530" s="105" t="str">
        <f>IF(D6530=1,COUNTIF($D$10:D6530,1)," ")</f>
        <v xml:space="preserve"> </v>
      </c>
      <c r="B6530" s="106">
        <f>COPY!AR6522</f>
        <v>0</v>
      </c>
      <c r="C6530" s="107">
        <f>COPY!AC6522</f>
        <v>0</v>
      </c>
      <c r="D6530" s="107" t="str">
        <f>IF(LEN(Table1722[[#This Row],[Uraian]])&gt;2,1," ")</f>
        <v xml:space="preserve"> </v>
      </c>
      <c r="E6530" s="113" t="str">
        <f>IF(Table1722[[#This Row],[Lawan Transaksi]]="CV AGUNG KARYA",COUNTIF($I$10:I6530,"CV AGUNG KARYA")," ")</f>
        <v xml:space="preserve"> </v>
      </c>
      <c r="F6530" s="107" t="str">
        <f>IF(LEN(Table1722[[#This Row],[Uraian]])&gt;2,TRIM(RIGHT(SUBSTITUTE(TRIM(C6530)," ",REPT(" ",255)),255))," ")</f>
        <v xml:space="preserve"> </v>
      </c>
      <c r="G6530" s="110">
        <f>COPY!Z6522</f>
        <v>0</v>
      </c>
      <c r="H6530" s="111" t="str">
        <f>IFERROR(VLOOKUP(Table1722[[#This Row],[Bukti]],'Un nOTA'!$A$4:$K$5003,10,FALSE),"")</f>
        <v/>
      </c>
      <c r="I6530" s="123" t="str">
        <f>IFERROR(VLOOKUP(Table1722[[#This Row],[Bukti]],Table13[#Data],11,FALSE),"")</f>
        <v/>
      </c>
    </row>
    <row r="6531" spans="1:9" hidden="1" x14ac:dyDescent="0.2">
      <c r="A6531" s="105" t="str">
        <f>IF(D6531=1,COUNTIF($D$10:D6531,1)," ")</f>
        <v xml:space="preserve"> </v>
      </c>
      <c r="B6531" s="106">
        <f>COPY!AR6523</f>
        <v>0</v>
      </c>
      <c r="C6531" s="107">
        <f>COPY!AC6523</f>
        <v>0</v>
      </c>
      <c r="D6531" s="107" t="str">
        <f>IF(LEN(Table1722[[#This Row],[Uraian]])&gt;2,1," ")</f>
        <v xml:space="preserve"> </v>
      </c>
      <c r="E6531" s="113" t="str">
        <f>IF(Table1722[[#This Row],[Lawan Transaksi]]="CV AGUNG KARYA",COUNTIF($I$10:I6531,"CV AGUNG KARYA")," ")</f>
        <v xml:space="preserve"> </v>
      </c>
      <c r="F6531" s="107" t="str">
        <f>IF(LEN(Table1722[[#This Row],[Uraian]])&gt;2,TRIM(RIGHT(SUBSTITUTE(TRIM(C6531)," ",REPT(" ",255)),255))," ")</f>
        <v xml:space="preserve"> </v>
      </c>
      <c r="G6531" s="110">
        <f>COPY!Z6523</f>
        <v>0</v>
      </c>
      <c r="H6531" s="111" t="str">
        <f>IFERROR(VLOOKUP(Table1722[[#This Row],[Bukti]],'Un nOTA'!$A$4:$K$5003,10,FALSE),"")</f>
        <v/>
      </c>
      <c r="I6531" s="123" t="str">
        <f>IFERROR(VLOOKUP(Table1722[[#This Row],[Bukti]],Table13[#Data],11,FALSE),"")</f>
        <v/>
      </c>
    </row>
    <row r="6532" spans="1:9" hidden="1" x14ac:dyDescent="0.2">
      <c r="A6532" s="105" t="str">
        <f>IF(D6532=1,COUNTIF($D$10:D6532,1)," ")</f>
        <v xml:space="preserve"> </v>
      </c>
      <c r="B6532" s="106">
        <f>COPY!AR6524</f>
        <v>0</v>
      </c>
      <c r="C6532" s="107">
        <f>COPY!AC6524</f>
        <v>0</v>
      </c>
      <c r="D6532" s="107" t="str">
        <f>IF(LEN(Table1722[[#This Row],[Uraian]])&gt;2,1," ")</f>
        <v xml:space="preserve"> </v>
      </c>
      <c r="E6532" s="113" t="str">
        <f>IF(Table1722[[#This Row],[Lawan Transaksi]]="CV AGUNG KARYA",COUNTIF($I$10:I6532,"CV AGUNG KARYA")," ")</f>
        <v xml:space="preserve"> </v>
      </c>
      <c r="F6532" s="107" t="str">
        <f>IF(LEN(Table1722[[#This Row],[Uraian]])&gt;2,TRIM(RIGHT(SUBSTITUTE(TRIM(C6532)," ",REPT(" ",255)),255))," ")</f>
        <v xml:space="preserve"> </v>
      </c>
      <c r="G6532" s="110">
        <f>COPY!Z6524</f>
        <v>0</v>
      </c>
      <c r="H6532" s="111" t="str">
        <f>IFERROR(VLOOKUP(Table1722[[#This Row],[Bukti]],'Un nOTA'!$A$4:$K$5003,10,FALSE),"")</f>
        <v/>
      </c>
      <c r="I6532" s="123" t="str">
        <f>IFERROR(VLOOKUP(Table1722[[#This Row],[Bukti]],Table13[#Data],11,FALSE),"")</f>
        <v/>
      </c>
    </row>
    <row r="6533" spans="1:9" hidden="1" x14ac:dyDescent="0.2">
      <c r="A6533" s="105" t="str">
        <f>IF(D6533=1,COUNTIF($D$10:D6533,1)," ")</f>
        <v xml:space="preserve"> </v>
      </c>
      <c r="B6533" s="106">
        <f>COPY!AR6525</f>
        <v>0</v>
      </c>
      <c r="C6533" s="107">
        <f>COPY!AC6525</f>
        <v>0</v>
      </c>
      <c r="D6533" s="107" t="str">
        <f>IF(LEN(Table1722[[#This Row],[Uraian]])&gt;2,1," ")</f>
        <v xml:space="preserve"> </v>
      </c>
      <c r="E6533" s="113" t="str">
        <f>IF(Table1722[[#This Row],[Lawan Transaksi]]="CV AGUNG KARYA",COUNTIF($I$10:I6533,"CV AGUNG KARYA")," ")</f>
        <v xml:space="preserve"> </v>
      </c>
      <c r="F6533" s="107" t="str">
        <f>IF(LEN(Table1722[[#This Row],[Uraian]])&gt;2,TRIM(RIGHT(SUBSTITUTE(TRIM(C6533)," ",REPT(" ",255)),255))," ")</f>
        <v xml:space="preserve"> </v>
      </c>
      <c r="G6533" s="110">
        <f>COPY!Z6525</f>
        <v>0</v>
      </c>
      <c r="H6533" s="111" t="str">
        <f>IFERROR(VLOOKUP(Table1722[[#This Row],[Bukti]],'Un nOTA'!$A$4:$K$5003,10,FALSE),"")</f>
        <v/>
      </c>
      <c r="I6533" s="123" t="str">
        <f>IFERROR(VLOOKUP(Table1722[[#This Row],[Bukti]],Table13[#Data],11,FALSE),"")</f>
        <v/>
      </c>
    </row>
    <row r="6534" spans="1:9" hidden="1" x14ac:dyDescent="0.2">
      <c r="A6534" s="105" t="str">
        <f>IF(D6534=1,COUNTIF($D$10:D6534,1)," ")</f>
        <v xml:space="preserve"> </v>
      </c>
      <c r="B6534" s="106">
        <f>COPY!AR6526</f>
        <v>0</v>
      </c>
      <c r="C6534" s="107">
        <f>COPY!AC6526</f>
        <v>0</v>
      </c>
      <c r="D6534" s="107" t="str">
        <f>IF(LEN(Table1722[[#This Row],[Uraian]])&gt;2,1," ")</f>
        <v xml:space="preserve"> </v>
      </c>
      <c r="E6534" s="113" t="str">
        <f>IF(Table1722[[#This Row],[Lawan Transaksi]]="CV AGUNG KARYA",COUNTIF($I$10:I6534,"CV AGUNG KARYA")," ")</f>
        <v xml:space="preserve"> </v>
      </c>
      <c r="F6534" s="107" t="str">
        <f>IF(LEN(Table1722[[#This Row],[Uraian]])&gt;2,TRIM(RIGHT(SUBSTITUTE(TRIM(C6534)," ",REPT(" ",255)),255))," ")</f>
        <v xml:space="preserve"> </v>
      </c>
      <c r="G6534" s="110">
        <f>COPY!Z6526</f>
        <v>0</v>
      </c>
      <c r="H6534" s="111" t="str">
        <f>IFERROR(VLOOKUP(Table1722[[#This Row],[Bukti]],'Un nOTA'!$A$4:$K$5003,10,FALSE),"")</f>
        <v/>
      </c>
      <c r="I6534" s="123" t="str">
        <f>IFERROR(VLOOKUP(Table1722[[#This Row],[Bukti]],Table13[#Data],11,FALSE),"")</f>
        <v/>
      </c>
    </row>
    <row r="6535" spans="1:9" hidden="1" x14ac:dyDescent="0.2">
      <c r="A6535" s="105" t="str">
        <f>IF(D6535=1,COUNTIF($D$10:D6535,1)," ")</f>
        <v xml:space="preserve"> </v>
      </c>
      <c r="B6535" s="106">
        <f>COPY!AR6527</f>
        <v>0</v>
      </c>
      <c r="C6535" s="107">
        <f>COPY!AC6527</f>
        <v>0</v>
      </c>
      <c r="D6535" s="107" t="str">
        <f>IF(LEN(Table1722[[#This Row],[Uraian]])&gt;2,1," ")</f>
        <v xml:space="preserve"> </v>
      </c>
      <c r="E6535" s="113" t="str">
        <f>IF(Table1722[[#This Row],[Lawan Transaksi]]="CV AGUNG KARYA",COUNTIF($I$10:I6535,"CV AGUNG KARYA")," ")</f>
        <v xml:space="preserve"> </v>
      </c>
      <c r="F6535" s="107" t="str">
        <f>IF(LEN(Table1722[[#This Row],[Uraian]])&gt;2,TRIM(RIGHT(SUBSTITUTE(TRIM(C6535)," ",REPT(" ",255)),255))," ")</f>
        <v xml:space="preserve"> </v>
      </c>
      <c r="G6535" s="110">
        <f>COPY!Z6527</f>
        <v>0</v>
      </c>
      <c r="H6535" s="111" t="str">
        <f>IFERROR(VLOOKUP(Table1722[[#This Row],[Bukti]],'Un nOTA'!$A$4:$K$5003,10,FALSE),"")</f>
        <v/>
      </c>
      <c r="I6535" s="123" t="str">
        <f>IFERROR(VLOOKUP(Table1722[[#This Row],[Bukti]],Table13[#Data],11,FALSE),"")</f>
        <v/>
      </c>
    </row>
    <row r="6536" spans="1:9" hidden="1" x14ac:dyDescent="0.2">
      <c r="A6536" s="105" t="str">
        <f>IF(D6536=1,COUNTIF($D$10:D6536,1)," ")</f>
        <v xml:space="preserve"> </v>
      </c>
      <c r="B6536" s="106">
        <f>COPY!AR6528</f>
        <v>0</v>
      </c>
      <c r="C6536" s="107">
        <f>COPY!AC6528</f>
        <v>0</v>
      </c>
      <c r="D6536" s="107" t="str">
        <f>IF(LEN(Table1722[[#This Row],[Uraian]])&gt;2,1," ")</f>
        <v xml:space="preserve"> </v>
      </c>
      <c r="E6536" s="113" t="str">
        <f>IF(Table1722[[#This Row],[Lawan Transaksi]]="CV AGUNG KARYA",COUNTIF($I$10:I6536,"CV AGUNG KARYA")," ")</f>
        <v xml:space="preserve"> </v>
      </c>
      <c r="F6536" s="107" t="str">
        <f>IF(LEN(Table1722[[#This Row],[Uraian]])&gt;2,TRIM(RIGHT(SUBSTITUTE(TRIM(C6536)," ",REPT(" ",255)),255))," ")</f>
        <v xml:space="preserve"> </v>
      </c>
      <c r="G6536" s="110">
        <f>COPY!Z6528</f>
        <v>0</v>
      </c>
      <c r="H6536" s="111" t="str">
        <f>IFERROR(VLOOKUP(Table1722[[#This Row],[Bukti]],'Un nOTA'!$A$4:$K$5003,10,FALSE),"")</f>
        <v/>
      </c>
      <c r="I6536" s="123" t="str">
        <f>IFERROR(VLOOKUP(Table1722[[#This Row],[Bukti]],Table13[#Data],11,FALSE),"")</f>
        <v/>
      </c>
    </row>
    <row r="6537" spans="1:9" hidden="1" x14ac:dyDescent="0.2">
      <c r="A6537" s="105" t="str">
        <f>IF(D6537=1,COUNTIF($D$10:D6537,1)," ")</f>
        <v xml:space="preserve"> </v>
      </c>
      <c r="B6537" s="106">
        <f>COPY!AR6529</f>
        <v>0</v>
      </c>
      <c r="C6537" s="107">
        <f>COPY!AC6529</f>
        <v>0</v>
      </c>
      <c r="D6537" s="107" t="str">
        <f>IF(LEN(Table1722[[#This Row],[Uraian]])&gt;2,1," ")</f>
        <v xml:space="preserve"> </v>
      </c>
      <c r="E6537" s="113" t="str">
        <f>IF(Table1722[[#This Row],[Lawan Transaksi]]="CV AGUNG KARYA",COUNTIF($I$10:I6537,"CV AGUNG KARYA")," ")</f>
        <v xml:space="preserve"> </v>
      </c>
      <c r="F6537" s="107" t="str">
        <f>IF(LEN(Table1722[[#This Row],[Uraian]])&gt;2,TRIM(RIGHT(SUBSTITUTE(TRIM(C6537)," ",REPT(" ",255)),255))," ")</f>
        <v xml:space="preserve"> </v>
      </c>
      <c r="G6537" s="110">
        <f>COPY!Z6529</f>
        <v>0</v>
      </c>
      <c r="H6537" s="111" t="str">
        <f>IFERROR(VLOOKUP(Table1722[[#This Row],[Bukti]],'Un nOTA'!$A$4:$K$5003,10,FALSE),"")</f>
        <v/>
      </c>
      <c r="I6537" s="123" t="str">
        <f>IFERROR(VLOOKUP(Table1722[[#This Row],[Bukti]],Table13[#Data],11,FALSE),"")</f>
        <v/>
      </c>
    </row>
    <row r="6538" spans="1:9" hidden="1" x14ac:dyDescent="0.2">
      <c r="A6538" s="105" t="str">
        <f>IF(D6538=1,COUNTIF($D$10:D6538,1)," ")</f>
        <v xml:space="preserve"> </v>
      </c>
      <c r="B6538" s="106">
        <f>COPY!AR6530</f>
        <v>0</v>
      </c>
      <c r="C6538" s="107">
        <f>COPY!AC6530</f>
        <v>0</v>
      </c>
      <c r="D6538" s="107" t="str">
        <f>IF(LEN(Table1722[[#This Row],[Uraian]])&gt;2,1," ")</f>
        <v xml:space="preserve"> </v>
      </c>
      <c r="E6538" s="113" t="str">
        <f>IF(Table1722[[#This Row],[Lawan Transaksi]]="CV AGUNG KARYA",COUNTIF($I$10:I6538,"CV AGUNG KARYA")," ")</f>
        <v xml:space="preserve"> </v>
      </c>
      <c r="F6538" s="107" t="str">
        <f>IF(LEN(Table1722[[#This Row],[Uraian]])&gt;2,TRIM(RIGHT(SUBSTITUTE(TRIM(C6538)," ",REPT(" ",255)),255))," ")</f>
        <v xml:space="preserve"> </v>
      </c>
      <c r="G6538" s="110">
        <f>COPY!Z6530</f>
        <v>0</v>
      </c>
      <c r="H6538" s="111" t="str">
        <f>IFERROR(VLOOKUP(Table1722[[#This Row],[Bukti]],'Un nOTA'!$A$4:$K$5003,10,FALSE),"")</f>
        <v/>
      </c>
      <c r="I6538" s="123" t="str">
        <f>IFERROR(VLOOKUP(Table1722[[#This Row],[Bukti]],Table13[#Data],11,FALSE),"")</f>
        <v/>
      </c>
    </row>
    <row r="6539" spans="1:9" hidden="1" x14ac:dyDescent="0.2">
      <c r="A6539" s="105" t="str">
        <f>IF(D6539=1,COUNTIF($D$10:D6539,1)," ")</f>
        <v xml:space="preserve"> </v>
      </c>
      <c r="B6539" s="106">
        <f>COPY!AR6531</f>
        <v>0</v>
      </c>
      <c r="C6539" s="107">
        <f>COPY!AC6531</f>
        <v>0</v>
      </c>
      <c r="D6539" s="107" t="str">
        <f>IF(LEN(Table1722[[#This Row],[Uraian]])&gt;2,1," ")</f>
        <v xml:space="preserve"> </v>
      </c>
      <c r="E6539" s="113" t="str">
        <f>IF(Table1722[[#This Row],[Lawan Transaksi]]="CV AGUNG KARYA",COUNTIF($I$10:I6539,"CV AGUNG KARYA")," ")</f>
        <v xml:space="preserve"> </v>
      </c>
      <c r="F6539" s="107" t="str">
        <f>IF(LEN(Table1722[[#This Row],[Uraian]])&gt;2,TRIM(RIGHT(SUBSTITUTE(TRIM(C6539)," ",REPT(" ",255)),255))," ")</f>
        <v xml:space="preserve"> </v>
      </c>
      <c r="G6539" s="110">
        <f>COPY!Z6531</f>
        <v>0</v>
      </c>
      <c r="H6539" s="111" t="str">
        <f>IFERROR(VLOOKUP(Table1722[[#This Row],[Bukti]],'Un nOTA'!$A$4:$K$5003,10,FALSE),"")</f>
        <v/>
      </c>
      <c r="I6539" s="123" t="str">
        <f>IFERROR(VLOOKUP(Table1722[[#This Row],[Bukti]],Table13[#Data],11,FALSE),"")</f>
        <v/>
      </c>
    </row>
    <row r="6540" spans="1:9" hidden="1" x14ac:dyDescent="0.2">
      <c r="A6540" s="105" t="str">
        <f>IF(D6540=1,COUNTIF($D$10:D6540,1)," ")</f>
        <v xml:space="preserve"> </v>
      </c>
      <c r="B6540" s="106">
        <f>COPY!AR6532</f>
        <v>0</v>
      </c>
      <c r="C6540" s="107">
        <f>COPY!AC6532</f>
        <v>0</v>
      </c>
      <c r="D6540" s="107" t="str">
        <f>IF(LEN(Table1722[[#This Row],[Uraian]])&gt;2,1," ")</f>
        <v xml:space="preserve"> </v>
      </c>
      <c r="E6540" s="113" t="str">
        <f>IF(Table1722[[#This Row],[Lawan Transaksi]]="CV AGUNG KARYA",COUNTIF($I$10:I6540,"CV AGUNG KARYA")," ")</f>
        <v xml:space="preserve"> </v>
      </c>
      <c r="F6540" s="107" t="str">
        <f>IF(LEN(Table1722[[#This Row],[Uraian]])&gt;2,TRIM(RIGHT(SUBSTITUTE(TRIM(C6540)," ",REPT(" ",255)),255))," ")</f>
        <v xml:space="preserve"> </v>
      </c>
      <c r="G6540" s="110">
        <f>COPY!Z6532</f>
        <v>0</v>
      </c>
      <c r="H6540" s="111" t="str">
        <f>IFERROR(VLOOKUP(Table1722[[#This Row],[Bukti]],'Un nOTA'!$A$4:$K$5003,10,FALSE),"")</f>
        <v/>
      </c>
      <c r="I6540" s="123" t="str">
        <f>IFERROR(VLOOKUP(Table1722[[#This Row],[Bukti]],Table13[#Data],11,FALSE),"")</f>
        <v/>
      </c>
    </row>
    <row r="6541" spans="1:9" hidden="1" x14ac:dyDescent="0.2">
      <c r="A6541" s="105" t="str">
        <f>IF(D6541=1,COUNTIF($D$10:D6541,1)," ")</f>
        <v xml:space="preserve"> </v>
      </c>
      <c r="B6541" s="106">
        <f>COPY!AR6533</f>
        <v>0</v>
      </c>
      <c r="C6541" s="107">
        <f>COPY!AC6533</f>
        <v>0</v>
      </c>
      <c r="D6541" s="107" t="str">
        <f>IF(LEN(Table1722[[#This Row],[Uraian]])&gt;2,1," ")</f>
        <v xml:space="preserve"> </v>
      </c>
      <c r="E6541" s="113" t="str">
        <f>IF(Table1722[[#This Row],[Lawan Transaksi]]="CV AGUNG KARYA",COUNTIF($I$10:I6541,"CV AGUNG KARYA")," ")</f>
        <v xml:space="preserve"> </v>
      </c>
      <c r="F6541" s="107" t="str">
        <f>IF(LEN(Table1722[[#This Row],[Uraian]])&gt;2,TRIM(RIGHT(SUBSTITUTE(TRIM(C6541)," ",REPT(" ",255)),255))," ")</f>
        <v xml:space="preserve"> </v>
      </c>
      <c r="G6541" s="110">
        <f>COPY!Z6533</f>
        <v>0</v>
      </c>
      <c r="H6541" s="111" t="str">
        <f>IFERROR(VLOOKUP(Table1722[[#This Row],[Bukti]],'Un nOTA'!$A$4:$K$5003,10,FALSE),"")</f>
        <v/>
      </c>
      <c r="I6541" s="123" t="str">
        <f>IFERROR(VLOOKUP(Table1722[[#This Row],[Bukti]],Table13[#Data],11,FALSE),"")</f>
        <v/>
      </c>
    </row>
    <row r="6542" spans="1:9" hidden="1" x14ac:dyDescent="0.2">
      <c r="A6542" s="105" t="str">
        <f>IF(D6542=1,COUNTIF($D$10:D6542,1)," ")</f>
        <v xml:space="preserve"> </v>
      </c>
      <c r="B6542" s="106">
        <f>COPY!AR6534</f>
        <v>0</v>
      </c>
      <c r="C6542" s="107">
        <f>COPY!AC6534</f>
        <v>0</v>
      </c>
      <c r="D6542" s="107" t="str">
        <f>IF(LEN(Table1722[[#This Row],[Uraian]])&gt;2,1," ")</f>
        <v xml:space="preserve"> </v>
      </c>
      <c r="E6542" s="113" t="str">
        <f>IF(Table1722[[#This Row],[Lawan Transaksi]]="CV AGUNG KARYA",COUNTIF($I$10:I6542,"CV AGUNG KARYA")," ")</f>
        <v xml:space="preserve"> </v>
      </c>
      <c r="F6542" s="107" t="str">
        <f>IF(LEN(Table1722[[#This Row],[Uraian]])&gt;2,TRIM(RIGHT(SUBSTITUTE(TRIM(C6542)," ",REPT(" ",255)),255))," ")</f>
        <v xml:space="preserve"> </v>
      </c>
      <c r="G6542" s="110">
        <f>COPY!Z6534</f>
        <v>0</v>
      </c>
      <c r="H6542" s="111" t="str">
        <f>IFERROR(VLOOKUP(Table1722[[#This Row],[Bukti]],'Un nOTA'!$A$4:$K$5003,10,FALSE),"")</f>
        <v/>
      </c>
      <c r="I6542" s="123" t="str">
        <f>IFERROR(VLOOKUP(Table1722[[#This Row],[Bukti]],Table13[#Data],11,FALSE),"")</f>
        <v/>
      </c>
    </row>
    <row r="6543" spans="1:9" hidden="1" x14ac:dyDescent="0.2">
      <c r="A6543" s="105" t="str">
        <f>IF(D6543=1,COUNTIF($D$10:D6543,1)," ")</f>
        <v xml:space="preserve"> </v>
      </c>
      <c r="B6543" s="106">
        <f>COPY!AR6535</f>
        <v>0</v>
      </c>
      <c r="C6543" s="107">
        <f>COPY!AC6535</f>
        <v>0</v>
      </c>
      <c r="D6543" s="107" t="str">
        <f>IF(LEN(Table1722[[#This Row],[Uraian]])&gt;2,1," ")</f>
        <v xml:space="preserve"> </v>
      </c>
      <c r="E6543" s="113" t="str">
        <f>IF(Table1722[[#This Row],[Lawan Transaksi]]="CV AGUNG KARYA",COUNTIF($I$10:I6543,"CV AGUNG KARYA")," ")</f>
        <v xml:space="preserve"> </v>
      </c>
      <c r="F6543" s="107" t="str">
        <f>IF(LEN(Table1722[[#This Row],[Uraian]])&gt;2,TRIM(RIGHT(SUBSTITUTE(TRIM(C6543)," ",REPT(" ",255)),255))," ")</f>
        <v xml:space="preserve"> </v>
      </c>
      <c r="G6543" s="110">
        <f>COPY!Z6535</f>
        <v>0</v>
      </c>
      <c r="H6543" s="111" t="str">
        <f>IFERROR(VLOOKUP(Table1722[[#This Row],[Bukti]],'Un nOTA'!$A$4:$K$5003,10,FALSE),"")</f>
        <v/>
      </c>
      <c r="I6543" s="123" t="str">
        <f>IFERROR(VLOOKUP(Table1722[[#This Row],[Bukti]],Table13[#Data],11,FALSE),"")</f>
        <v/>
      </c>
    </row>
    <row r="6544" spans="1:9" hidden="1" x14ac:dyDescent="0.2">
      <c r="A6544" s="105" t="str">
        <f>IF(D6544=1,COUNTIF($D$10:D6544,1)," ")</f>
        <v xml:space="preserve"> </v>
      </c>
      <c r="B6544" s="106">
        <f>COPY!AR6536</f>
        <v>0</v>
      </c>
      <c r="C6544" s="107">
        <f>COPY!AC6536</f>
        <v>0</v>
      </c>
      <c r="D6544" s="107" t="str">
        <f>IF(LEN(Table1722[[#This Row],[Uraian]])&gt;2,1," ")</f>
        <v xml:space="preserve"> </v>
      </c>
      <c r="E6544" s="113" t="str">
        <f>IF(Table1722[[#This Row],[Lawan Transaksi]]="CV AGUNG KARYA",COUNTIF($I$10:I6544,"CV AGUNG KARYA")," ")</f>
        <v xml:space="preserve"> </v>
      </c>
      <c r="F6544" s="107" t="str">
        <f>IF(LEN(Table1722[[#This Row],[Uraian]])&gt;2,TRIM(RIGHT(SUBSTITUTE(TRIM(C6544)," ",REPT(" ",255)),255))," ")</f>
        <v xml:space="preserve"> </v>
      </c>
      <c r="G6544" s="110">
        <f>COPY!Z6536</f>
        <v>0</v>
      </c>
      <c r="H6544" s="111" t="str">
        <f>IFERROR(VLOOKUP(Table1722[[#This Row],[Bukti]],'Un nOTA'!$A$4:$K$5003,10,FALSE),"")</f>
        <v/>
      </c>
      <c r="I6544" s="123" t="str">
        <f>IFERROR(VLOOKUP(Table1722[[#This Row],[Bukti]],Table13[#Data],11,FALSE),"")</f>
        <v/>
      </c>
    </row>
    <row r="6545" spans="1:9" hidden="1" x14ac:dyDescent="0.2">
      <c r="A6545" s="105" t="str">
        <f>IF(D6545=1,COUNTIF($D$10:D6545,1)," ")</f>
        <v xml:space="preserve"> </v>
      </c>
      <c r="B6545" s="106">
        <f>COPY!AR6537</f>
        <v>0</v>
      </c>
      <c r="C6545" s="107">
        <f>COPY!AC6537</f>
        <v>0</v>
      </c>
      <c r="D6545" s="107" t="str">
        <f>IF(LEN(Table1722[[#This Row],[Uraian]])&gt;2,1," ")</f>
        <v xml:space="preserve"> </v>
      </c>
      <c r="E6545" s="113" t="str">
        <f>IF(Table1722[[#This Row],[Lawan Transaksi]]="CV AGUNG KARYA",COUNTIF($I$10:I6545,"CV AGUNG KARYA")," ")</f>
        <v xml:space="preserve"> </v>
      </c>
      <c r="F6545" s="107" t="str">
        <f>IF(LEN(Table1722[[#This Row],[Uraian]])&gt;2,TRIM(RIGHT(SUBSTITUTE(TRIM(C6545)," ",REPT(" ",255)),255))," ")</f>
        <v xml:space="preserve"> </v>
      </c>
      <c r="G6545" s="110">
        <f>COPY!Z6537</f>
        <v>0</v>
      </c>
      <c r="H6545" s="111" t="str">
        <f>IFERROR(VLOOKUP(Table1722[[#This Row],[Bukti]],'Un nOTA'!$A$4:$K$5003,10,FALSE),"")</f>
        <v/>
      </c>
      <c r="I6545" s="123" t="str">
        <f>IFERROR(VLOOKUP(Table1722[[#This Row],[Bukti]],Table13[#Data],11,FALSE),"")</f>
        <v/>
      </c>
    </row>
    <row r="6546" spans="1:9" hidden="1" x14ac:dyDescent="0.2">
      <c r="A6546" s="105" t="str">
        <f>IF(D6546=1,COUNTIF($D$10:D6546,1)," ")</f>
        <v xml:space="preserve"> </v>
      </c>
      <c r="B6546" s="106">
        <f>COPY!AR6538</f>
        <v>0</v>
      </c>
      <c r="C6546" s="107">
        <f>COPY!AC6538</f>
        <v>0</v>
      </c>
      <c r="D6546" s="107" t="str">
        <f>IF(LEN(Table1722[[#This Row],[Uraian]])&gt;2,1," ")</f>
        <v xml:space="preserve"> </v>
      </c>
      <c r="E6546" s="113" t="str">
        <f>IF(Table1722[[#This Row],[Lawan Transaksi]]="CV AGUNG KARYA",COUNTIF($I$10:I6546,"CV AGUNG KARYA")," ")</f>
        <v xml:space="preserve"> </v>
      </c>
      <c r="F6546" s="107" t="str">
        <f>IF(LEN(Table1722[[#This Row],[Uraian]])&gt;2,TRIM(RIGHT(SUBSTITUTE(TRIM(C6546)," ",REPT(" ",255)),255))," ")</f>
        <v xml:space="preserve"> </v>
      </c>
      <c r="G6546" s="110">
        <f>COPY!Z6538</f>
        <v>0</v>
      </c>
      <c r="H6546" s="111" t="str">
        <f>IFERROR(VLOOKUP(Table1722[[#This Row],[Bukti]],'Un nOTA'!$A$4:$K$5003,10,FALSE),"")</f>
        <v/>
      </c>
      <c r="I6546" s="123" t="str">
        <f>IFERROR(VLOOKUP(Table1722[[#This Row],[Bukti]],Table13[#Data],11,FALSE),"")</f>
        <v/>
      </c>
    </row>
    <row r="6547" spans="1:9" hidden="1" x14ac:dyDescent="0.2">
      <c r="A6547" s="105" t="str">
        <f>IF(D6547=1,COUNTIF($D$10:D6547,1)," ")</f>
        <v xml:space="preserve"> </v>
      </c>
      <c r="B6547" s="106">
        <f>COPY!AR6539</f>
        <v>0</v>
      </c>
      <c r="C6547" s="107">
        <f>COPY!AC6539</f>
        <v>0</v>
      </c>
      <c r="D6547" s="107" t="str">
        <f>IF(LEN(Table1722[[#This Row],[Uraian]])&gt;2,1," ")</f>
        <v xml:space="preserve"> </v>
      </c>
      <c r="E6547" s="113" t="str">
        <f>IF(Table1722[[#This Row],[Lawan Transaksi]]="CV AGUNG KARYA",COUNTIF($I$10:I6547,"CV AGUNG KARYA")," ")</f>
        <v xml:space="preserve"> </v>
      </c>
      <c r="F6547" s="107" t="str">
        <f>IF(LEN(Table1722[[#This Row],[Uraian]])&gt;2,TRIM(RIGHT(SUBSTITUTE(TRIM(C6547)," ",REPT(" ",255)),255))," ")</f>
        <v xml:space="preserve"> </v>
      </c>
      <c r="G6547" s="110">
        <f>COPY!Z6539</f>
        <v>0</v>
      </c>
      <c r="H6547" s="111" t="str">
        <f>IFERROR(VLOOKUP(Table1722[[#This Row],[Bukti]],'Un nOTA'!$A$4:$K$5003,10,FALSE),"")</f>
        <v/>
      </c>
      <c r="I6547" s="123" t="str">
        <f>IFERROR(VLOOKUP(Table1722[[#This Row],[Bukti]],Table13[#Data],11,FALSE),"")</f>
        <v/>
      </c>
    </row>
    <row r="6548" spans="1:9" hidden="1" x14ac:dyDescent="0.2">
      <c r="A6548" s="105" t="str">
        <f>IF(D6548=1,COUNTIF($D$10:D6548,1)," ")</f>
        <v xml:space="preserve"> </v>
      </c>
      <c r="B6548" s="106">
        <f>COPY!AR6540</f>
        <v>0</v>
      </c>
      <c r="C6548" s="107">
        <f>COPY!AC6540</f>
        <v>0</v>
      </c>
      <c r="D6548" s="107" t="str">
        <f>IF(LEN(Table1722[[#This Row],[Uraian]])&gt;2,1," ")</f>
        <v xml:space="preserve"> </v>
      </c>
      <c r="E6548" s="113" t="str">
        <f>IF(Table1722[[#This Row],[Lawan Transaksi]]="CV AGUNG KARYA",COUNTIF($I$10:I6548,"CV AGUNG KARYA")," ")</f>
        <v xml:space="preserve"> </v>
      </c>
      <c r="F6548" s="107" t="str">
        <f>IF(LEN(Table1722[[#This Row],[Uraian]])&gt;2,TRIM(RIGHT(SUBSTITUTE(TRIM(C6548)," ",REPT(" ",255)),255))," ")</f>
        <v xml:space="preserve"> </v>
      </c>
      <c r="G6548" s="110">
        <f>COPY!Z6540</f>
        <v>0</v>
      </c>
      <c r="H6548" s="111" t="str">
        <f>IFERROR(VLOOKUP(Table1722[[#This Row],[Bukti]],'Un nOTA'!$A$4:$K$5003,10,FALSE),"")</f>
        <v/>
      </c>
      <c r="I6548" s="123" t="str">
        <f>IFERROR(VLOOKUP(Table1722[[#This Row],[Bukti]],Table13[#Data],11,FALSE),"")</f>
        <v/>
      </c>
    </row>
    <row r="6549" spans="1:9" hidden="1" x14ac:dyDescent="0.2">
      <c r="A6549" s="105" t="str">
        <f>IF(D6549=1,COUNTIF($D$10:D6549,1)," ")</f>
        <v xml:space="preserve"> </v>
      </c>
      <c r="B6549" s="106">
        <f>COPY!AR6541</f>
        <v>0</v>
      </c>
      <c r="C6549" s="107">
        <f>COPY!AC6541</f>
        <v>0</v>
      </c>
      <c r="D6549" s="107" t="str">
        <f>IF(LEN(Table1722[[#This Row],[Uraian]])&gt;2,1," ")</f>
        <v xml:space="preserve"> </v>
      </c>
      <c r="E6549" s="113" t="str">
        <f>IF(Table1722[[#This Row],[Lawan Transaksi]]="CV AGUNG KARYA",COUNTIF($I$10:I6549,"CV AGUNG KARYA")," ")</f>
        <v xml:space="preserve"> </v>
      </c>
      <c r="F6549" s="107" t="str">
        <f>IF(LEN(Table1722[[#This Row],[Uraian]])&gt;2,TRIM(RIGHT(SUBSTITUTE(TRIM(C6549)," ",REPT(" ",255)),255))," ")</f>
        <v xml:space="preserve"> </v>
      </c>
      <c r="G6549" s="110">
        <f>COPY!Z6541</f>
        <v>0</v>
      </c>
      <c r="H6549" s="111" t="str">
        <f>IFERROR(VLOOKUP(Table1722[[#This Row],[Bukti]],'Un nOTA'!$A$4:$K$5003,10,FALSE),"")</f>
        <v/>
      </c>
      <c r="I6549" s="123" t="str">
        <f>IFERROR(VLOOKUP(Table1722[[#This Row],[Bukti]],Table13[#Data],11,FALSE),"")</f>
        <v/>
      </c>
    </row>
    <row r="6550" spans="1:9" hidden="1" x14ac:dyDescent="0.2">
      <c r="A6550" s="105" t="str">
        <f>IF(D6550=1,COUNTIF($D$10:D6550,1)," ")</f>
        <v xml:space="preserve"> </v>
      </c>
      <c r="B6550" s="106">
        <f>COPY!AR6542</f>
        <v>0</v>
      </c>
      <c r="C6550" s="107">
        <f>COPY!AC6542</f>
        <v>0</v>
      </c>
      <c r="D6550" s="107" t="str">
        <f>IF(LEN(Table1722[[#This Row],[Uraian]])&gt;2,1," ")</f>
        <v xml:space="preserve"> </v>
      </c>
      <c r="E6550" s="113" t="str">
        <f>IF(Table1722[[#This Row],[Lawan Transaksi]]="CV AGUNG KARYA",COUNTIF($I$10:I6550,"CV AGUNG KARYA")," ")</f>
        <v xml:space="preserve"> </v>
      </c>
      <c r="F6550" s="107" t="str">
        <f>IF(LEN(Table1722[[#This Row],[Uraian]])&gt;2,TRIM(RIGHT(SUBSTITUTE(TRIM(C6550)," ",REPT(" ",255)),255))," ")</f>
        <v xml:space="preserve"> </v>
      </c>
      <c r="G6550" s="110">
        <f>COPY!Z6542</f>
        <v>0</v>
      </c>
      <c r="H6550" s="111" t="str">
        <f>IFERROR(VLOOKUP(Table1722[[#This Row],[Bukti]],'Un nOTA'!$A$4:$K$5003,10,FALSE),"")</f>
        <v/>
      </c>
      <c r="I6550" s="123" t="str">
        <f>IFERROR(VLOOKUP(Table1722[[#This Row],[Bukti]],Table13[#Data],11,FALSE),"")</f>
        <v/>
      </c>
    </row>
    <row r="6551" spans="1:9" hidden="1" x14ac:dyDescent="0.2">
      <c r="A6551" s="105" t="str">
        <f>IF(D6551=1,COUNTIF($D$10:D6551,1)," ")</f>
        <v xml:space="preserve"> </v>
      </c>
      <c r="B6551" s="106">
        <f>COPY!AR6543</f>
        <v>0</v>
      </c>
      <c r="C6551" s="107">
        <f>COPY!AC6543</f>
        <v>0</v>
      </c>
      <c r="D6551" s="107" t="str">
        <f>IF(LEN(Table1722[[#This Row],[Uraian]])&gt;2,1," ")</f>
        <v xml:space="preserve"> </v>
      </c>
      <c r="E6551" s="113" t="str">
        <f>IF(Table1722[[#This Row],[Lawan Transaksi]]="CV AGUNG KARYA",COUNTIF($I$10:I6551,"CV AGUNG KARYA")," ")</f>
        <v xml:space="preserve"> </v>
      </c>
      <c r="F6551" s="107" t="str">
        <f>IF(LEN(Table1722[[#This Row],[Uraian]])&gt;2,TRIM(RIGHT(SUBSTITUTE(TRIM(C6551)," ",REPT(" ",255)),255))," ")</f>
        <v xml:space="preserve"> </v>
      </c>
      <c r="G6551" s="110">
        <f>COPY!Z6543</f>
        <v>0</v>
      </c>
      <c r="H6551" s="111" t="str">
        <f>IFERROR(VLOOKUP(Table1722[[#This Row],[Bukti]],'Un nOTA'!$A$4:$K$5003,10,FALSE),"")</f>
        <v/>
      </c>
      <c r="I6551" s="123" t="str">
        <f>IFERROR(VLOOKUP(Table1722[[#This Row],[Bukti]],Table13[#Data],11,FALSE),"")</f>
        <v/>
      </c>
    </row>
    <row r="6552" spans="1:9" hidden="1" x14ac:dyDescent="0.2">
      <c r="A6552" s="105" t="str">
        <f>IF(D6552=1,COUNTIF($D$10:D6552,1)," ")</f>
        <v xml:space="preserve"> </v>
      </c>
      <c r="B6552" s="106">
        <f>COPY!AR6544</f>
        <v>0</v>
      </c>
      <c r="C6552" s="107">
        <f>COPY!AC6544</f>
        <v>0</v>
      </c>
      <c r="D6552" s="107" t="str">
        <f>IF(LEN(Table1722[[#This Row],[Uraian]])&gt;2,1," ")</f>
        <v xml:space="preserve"> </v>
      </c>
      <c r="E6552" s="113" t="str">
        <f>IF(Table1722[[#This Row],[Lawan Transaksi]]="CV AGUNG KARYA",COUNTIF($I$10:I6552,"CV AGUNG KARYA")," ")</f>
        <v xml:space="preserve"> </v>
      </c>
      <c r="F6552" s="107" t="str">
        <f>IF(LEN(Table1722[[#This Row],[Uraian]])&gt;2,TRIM(RIGHT(SUBSTITUTE(TRIM(C6552)," ",REPT(" ",255)),255))," ")</f>
        <v xml:space="preserve"> </v>
      </c>
      <c r="G6552" s="110">
        <f>COPY!Z6544</f>
        <v>0</v>
      </c>
      <c r="H6552" s="111" t="str">
        <f>IFERROR(VLOOKUP(Table1722[[#This Row],[Bukti]],'Un nOTA'!$A$4:$K$5003,10,FALSE),"")</f>
        <v/>
      </c>
      <c r="I6552" s="123" t="str">
        <f>IFERROR(VLOOKUP(Table1722[[#This Row],[Bukti]],Table13[#Data],11,FALSE),"")</f>
        <v/>
      </c>
    </row>
    <row r="6553" spans="1:9" hidden="1" x14ac:dyDescent="0.2">
      <c r="A6553" s="105" t="str">
        <f>IF(D6553=1,COUNTIF($D$10:D6553,1)," ")</f>
        <v xml:space="preserve"> </v>
      </c>
      <c r="B6553" s="106">
        <f>COPY!AR6545</f>
        <v>0</v>
      </c>
      <c r="C6553" s="107">
        <f>COPY!AC6545</f>
        <v>0</v>
      </c>
      <c r="D6553" s="107" t="str">
        <f>IF(LEN(Table1722[[#This Row],[Uraian]])&gt;2,1," ")</f>
        <v xml:space="preserve"> </v>
      </c>
      <c r="E6553" s="113" t="str">
        <f>IF(Table1722[[#This Row],[Lawan Transaksi]]="CV AGUNG KARYA",COUNTIF($I$10:I6553,"CV AGUNG KARYA")," ")</f>
        <v xml:space="preserve"> </v>
      </c>
      <c r="F6553" s="107" t="str">
        <f>IF(LEN(Table1722[[#This Row],[Uraian]])&gt;2,TRIM(RIGHT(SUBSTITUTE(TRIM(C6553)," ",REPT(" ",255)),255))," ")</f>
        <v xml:space="preserve"> </v>
      </c>
      <c r="G6553" s="110">
        <f>COPY!Z6545</f>
        <v>0</v>
      </c>
      <c r="H6553" s="111" t="str">
        <f>IFERROR(VLOOKUP(Table1722[[#This Row],[Bukti]],'Un nOTA'!$A$4:$K$5003,10,FALSE),"")</f>
        <v/>
      </c>
      <c r="I6553" s="123" t="str">
        <f>IFERROR(VLOOKUP(Table1722[[#This Row],[Bukti]],Table13[#Data],11,FALSE),"")</f>
        <v/>
      </c>
    </row>
    <row r="6554" spans="1:9" hidden="1" x14ac:dyDescent="0.2">
      <c r="A6554" s="105" t="str">
        <f>IF(D6554=1,COUNTIF($D$10:D6554,1)," ")</f>
        <v xml:space="preserve"> </v>
      </c>
      <c r="B6554" s="106">
        <f>COPY!AR6546</f>
        <v>0</v>
      </c>
      <c r="C6554" s="107">
        <f>COPY!AC6546</f>
        <v>0</v>
      </c>
      <c r="D6554" s="107" t="str">
        <f>IF(LEN(Table1722[[#This Row],[Uraian]])&gt;2,1," ")</f>
        <v xml:space="preserve"> </v>
      </c>
      <c r="E6554" s="113" t="str">
        <f>IF(Table1722[[#This Row],[Lawan Transaksi]]="CV AGUNG KARYA",COUNTIF($I$10:I6554,"CV AGUNG KARYA")," ")</f>
        <v xml:space="preserve"> </v>
      </c>
      <c r="F6554" s="107" t="str">
        <f>IF(LEN(Table1722[[#This Row],[Uraian]])&gt;2,TRIM(RIGHT(SUBSTITUTE(TRIM(C6554)," ",REPT(" ",255)),255))," ")</f>
        <v xml:space="preserve"> </v>
      </c>
      <c r="G6554" s="110">
        <f>COPY!Z6546</f>
        <v>0</v>
      </c>
      <c r="H6554" s="111" t="str">
        <f>IFERROR(VLOOKUP(Table1722[[#This Row],[Bukti]],'Un nOTA'!$A$4:$K$5003,10,FALSE),"")</f>
        <v/>
      </c>
      <c r="I6554" s="123" t="str">
        <f>IFERROR(VLOOKUP(Table1722[[#This Row],[Bukti]],Table13[#Data],11,FALSE),"")</f>
        <v/>
      </c>
    </row>
    <row r="6555" spans="1:9" hidden="1" x14ac:dyDescent="0.2">
      <c r="A6555" s="105" t="str">
        <f>IF(D6555=1,COUNTIF($D$10:D6555,1)," ")</f>
        <v xml:space="preserve"> </v>
      </c>
      <c r="B6555" s="106">
        <f>COPY!AR6547</f>
        <v>0</v>
      </c>
      <c r="C6555" s="107">
        <f>COPY!AC6547</f>
        <v>0</v>
      </c>
      <c r="D6555" s="107" t="str">
        <f>IF(LEN(Table1722[[#This Row],[Uraian]])&gt;2,1," ")</f>
        <v xml:space="preserve"> </v>
      </c>
      <c r="E6555" s="113" t="str">
        <f>IF(Table1722[[#This Row],[Lawan Transaksi]]="CV AGUNG KARYA",COUNTIF($I$10:I6555,"CV AGUNG KARYA")," ")</f>
        <v xml:space="preserve"> </v>
      </c>
      <c r="F6555" s="107" t="str">
        <f>IF(LEN(Table1722[[#This Row],[Uraian]])&gt;2,TRIM(RIGHT(SUBSTITUTE(TRIM(C6555)," ",REPT(" ",255)),255))," ")</f>
        <v xml:space="preserve"> </v>
      </c>
      <c r="G6555" s="110">
        <f>COPY!Z6547</f>
        <v>0</v>
      </c>
      <c r="H6555" s="111" t="str">
        <f>IFERROR(VLOOKUP(Table1722[[#This Row],[Bukti]],'Un nOTA'!$A$4:$K$5003,10,FALSE),"")</f>
        <v/>
      </c>
      <c r="I6555" s="123" t="str">
        <f>IFERROR(VLOOKUP(Table1722[[#This Row],[Bukti]],Table13[#Data],11,FALSE),"")</f>
        <v/>
      </c>
    </row>
    <row r="6556" spans="1:9" hidden="1" x14ac:dyDescent="0.2">
      <c r="A6556" s="105" t="str">
        <f>IF(D6556=1,COUNTIF($D$10:D6556,1)," ")</f>
        <v xml:space="preserve"> </v>
      </c>
      <c r="B6556" s="106">
        <f>COPY!AR6548</f>
        <v>0</v>
      </c>
      <c r="C6556" s="107">
        <f>COPY!AC6548</f>
        <v>0</v>
      </c>
      <c r="D6556" s="107" t="str">
        <f>IF(LEN(Table1722[[#This Row],[Uraian]])&gt;2,1," ")</f>
        <v xml:space="preserve"> </v>
      </c>
      <c r="E6556" s="113" t="str">
        <f>IF(Table1722[[#This Row],[Lawan Transaksi]]="CV AGUNG KARYA",COUNTIF($I$10:I6556,"CV AGUNG KARYA")," ")</f>
        <v xml:space="preserve"> </v>
      </c>
      <c r="F6556" s="107" t="str">
        <f>IF(LEN(Table1722[[#This Row],[Uraian]])&gt;2,TRIM(RIGHT(SUBSTITUTE(TRIM(C6556)," ",REPT(" ",255)),255))," ")</f>
        <v xml:space="preserve"> </v>
      </c>
      <c r="G6556" s="110">
        <f>COPY!Z6548</f>
        <v>0</v>
      </c>
      <c r="H6556" s="111" t="str">
        <f>IFERROR(VLOOKUP(Table1722[[#This Row],[Bukti]],'Un nOTA'!$A$4:$K$5003,10,FALSE),"")</f>
        <v/>
      </c>
      <c r="I6556" s="123" t="str">
        <f>IFERROR(VLOOKUP(Table1722[[#This Row],[Bukti]],Table13[#Data],11,FALSE),"")</f>
        <v/>
      </c>
    </row>
    <row r="6557" spans="1:9" hidden="1" x14ac:dyDescent="0.2">
      <c r="A6557" s="105" t="str">
        <f>IF(D6557=1,COUNTIF($D$10:D6557,1)," ")</f>
        <v xml:space="preserve"> </v>
      </c>
      <c r="B6557" s="106">
        <f>COPY!AR6549</f>
        <v>0</v>
      </c>
      <c r="C6557" s="107">
        <f>COPY!AC6549</f>
        <v>0</v>
      </c>
      <c r="D6557" s="107" t="str">
        <f>IF(LEN(Table1722[[#This Row],[Uraian]])&gt;2,1," ")</f>
        <v xml:space="preserve"> </v>
      </c>
      <c r="E6557" s="113" t="str">
        <f>IF(Table1722[[#This Row],[Lawan Transaksi]]="CV AGUNG KARYA",COUNTIF($I$10:I6557,"CV AGUNG KARYA")," ")</f>
        <v xml:space="preserve"> </v>
      </c>
      <c r="F6557" s="107" t="str">
        <f>IF(LEN(Table1722[[#This Row],[Uraian]])&gt;2,TRIM(RIGHT(SUBSTITUTE(TRIM(C6557)," ",REPT(" ",255)),255))," ")</f>
        <v xml:space="preserve"> </v>
      </c>
      <c r="G6557" s="110">
        <f>COPY!Z6549</f>
        <v>0</v>
      </c>
      <c r="H6557" s="111" t="str">
        <f>IFERROR(VLOOKUP(Table1722[[#This Row],[Bukti]],'Un nOTA'!$A$4:$K$5003,10,FALSE),"")</f>
        <v/>
      </c>
      <c r="I6557" s="123" t="str">
        <f>IFERROR(VLOOKUP(Table1722[[#This Row],[Bukti]],Table13[#Data],11,FALSE),"")</f>
        <v/>
      </c>
    </row>
    <row r="6558" spans="1:9" hidden="1" x14ac:dyDescent="0.2">
      <c r="A6558" s="105" t="str">
        <f>IF(D6558=1,COUNTIF($D$10:D6558,1)," ")</f>
        <v xml:space="preserve"> </v>
      </c>
      <c r="B6558" s="106">
        <f>COPY!AR6550</f>
        <v>0</v>
      </c>
      <c r="C6558" s="107">
        <f>COPY!AC6550</f>
        <v>0</v>
      </c>
      <c r="D6558" s="107" t="str">
        <f>IF(LEN(Table1722[[#This Row],[Uraian]])&gt;2,1," ")</f>
        <v xml:space="preserve"> </v>
      </c>
      <c r="E6558" s="113" t="str">
        <f>IF(Table1722[[#This Row],[Lawan Transaksi]]="CV AGUNG KARYA",COUNTIF($I$10:I6558,"CV AGUNG KARYA")," ")</f>
        <v xml:space="preserve"> </v>
      </c>
      <c r="F6558" s="107" t="str">
        <f>IF(LEN(Table1722[[#This Row],[Uraian]])&gt;2,TRIM(RIGHT(SUBSTITUTE(TRIM(C6558)," ",REPT(" ",255)),255))," ")</f>
        <v xml:space="preserve"> </v>
      </c>
      <c r="G6558" s="110">
        <f>COPY!Z6550</f>
        <v>0</v>
      </c>
      <c r="H6558" s="111" t="str">
        <f>IFERROR(VLOOKUP(Table1722[[#This Row],[Bukti]],'Un nOTA'!$A$4:$K$5003,10,FALSE),"")</f>
        <v/>
      </c>
      <c r="I6558" s="123" t="str">
        <f>IFERROR(VLOOKUP(Table1722[[#This Row],[Bukti]],Table13[#Data],11,FALSE),"")</f>
        <v/>
      </c>
    </row>
    <row r="6559" spans="1:9" hidden="1" x14ac:dyDescent="0.2">
      <c r="A6559" s="105" t="str">
        <f>IF(D6559=1,COUNTIF($D$10:D6559,1)," ")</f>
        <v xml:space="preserve"> </v>
      </c>
      <c r="B6559" s="106">
        <f>COPY!AR6551</f>
        <v>0</v>
      </c>
      <c r="C6559" s="107">
        <f>COPY!AC6551</f>
        <v>0</v>
      </c>
      <c r="D6559" s="107" t="str">
        <f>IF(LEN(Table1722[[#This Row],[Uraian]])&gt;2,1," ")</f>
        <v xml:space="preserve"> </v>
      </c>
      <c r="E6559" s="113" t="str">
        <f>IF(Table1722[[#This Row],[Lawan Transaksi]]="CV AGUNG KARYA",COUNTIF($I$10:I6559,"CV AGUNG KARYA")," ")</f>
        <v xml:space="preserve"> </v>
      </c>
      <c r="F6559" s="107" t="str">
        <f>IF(LEN(Table1722[[#This Row],[Uraian]])&gt;2,TRIM(RIGHT(SUBSTITUTE(TRIM(C6559)," ",REPT(" ",255)),255))," ")</f>
        <v xml:space="preserve"> </v>
      </c>
      <c r="G6559" s="110">
        <f>COPY!Z6551</f>
        <v>0</v>
      </c>
      <c r="H6559" s="111" t="str">
        <f>IFERROR(VLOOKUP(Table1722[[#This Row],[Bukti]],'Un nOTA'!$A$4:$K$5003,10,FALSE),"")</f>
        <v/>
      </c>
      <c r="I6559" s="123" t="str">
        <f>IFERROR(VLOOKUP(Table1722[[#This Row],[Bukti]],Table13[#Data],11,FALSE),"")</f>
        <v/>
      </c>
    </row>
    <row r="6560" spans="1:9" hidden="1" x14ac:dyDescent="0.2">
      <c r="A6560" s="105" t="str">
        <f>IF(D6560=1,COUNTIF($D$10:D6560,1)," ")</f>
        <v xml:space="preserve"> </v>
      </c>
      <c r="B6560" s="106">
        <f>COPY!AR6552</f>
        <v>0</v>
      </c>
      <c r="C6560" s="107">
        <f>COPY!AC6552</f>
        <v>0</v>
      </c>
      <c r="D6560" s="107" t="str">
        <f>IF(LEN(Table1722[[#This Row],[Uraian]])&gt;2,1," ")</f>
        <v xml:space="preserve"> </v>
      </c>
      <c r="E6560" s="113" t="str">
        <f>IF(Table1722[[#This Row],[Lawan Transaksi]]="CV AGUNG KARYA",COUNTIF($I$10:I6560,"CV AGUNG KARYA")," ")</f>
        <v xml:space="preserve"> </v>
      </c>
      <c r="F6560" s="107" t="str">
        <f>IF(LEN(Table1722[[#This Row],[Uraian]])&gt;2,TRIM(RIGHT(SUBSTITUTE(TRIM(C6560)," ",REPT(" ",255)),255))," ")</f>
        <v xml:space="preserve"> </v>
      </c>
      <c r="G6560" s="110">
        <f>COPY!Z6552</f>
        <v>0</v>
      </c>
      <c r="H6560" s="111" t="str">
        <f>IFERROR(VLOOKUP(Table1722[[#This Row],[Bukti]],'Un nOTA'!$A$4:$K$5003,10,FALSE),"")</f>
        <v/>
      </c>
      <c r="I6560" s="123" t="str">
        <f>IFERROR(VLOOKUP(Table1722[[#This Row],[Bukti]],Table13[#Data],11,FALSE),"")</f>
        <v/>
      </c>
    </row>
    <row r="6561" spans="1:9" hidden="1" x14ac:dyDescent="0.2">
      <c r="A6561" s="105" t="str">
        <f>IF(D6561=1,COUNTIF($D$10:D6561,1)," ")</f>
        <v xml:space="preserve"> </v>
      </c>
      <c r="B6561" s="106">
        <f>COPY!AR6553</f>
        <v>0</v>
      </c>
      <c r="C6561" s="107">
        <f>COPY!AC6553</f>
        <v>0</v>
      </c>
      <c r="D6561" s="107" t="str">
        <f>IF(LEN(Table1722[[#This Row],[Uraian]])&gt;2,1," ")</f>
        <v xml:space="preserve"> </v>
      </c>
      <c r="E6561" s="113" t="str">
        <f>IF(Table1722[[#This Row],[Lawan Transaksi]]="CV AGUNG KARYA",COUNTIF($I$10:I6561,"CV AGUNG KARYA")," ")</f>
        <v xml:space="preserve"> </v>
      </c>
      <c r="F6561" s="107" t="str">
        <f>IF(LEN(Table1722[[#This Row],[Uraian]])&gt;2,TRIM(RIGHT(SUBSTITUTE(TRIM(C6561)," ",REPT(" ",255)),255))," ")</f>
        <v xml:space="preserve"> </v>
      </c>
      <c r="G6561" s="110">
        <f>COPY!Z6553</f>
        <v>0</v>
      </c>
      <c r="H6561" s="111" t="str">
        <f>IFERROR(VLOOKUP(Table1722[[#This Row],[Bukti]],'Un nOTA'!$A$4:$K$5003,10,FALSE),"")</f>
        <v/>
      </c>
      <c r="I6561" s="123" t="str">
        <f>IFERROR(VLOOKUP(Table1722[[#This Row],[Bukti]],Table13[#Data],11,FALSE),"")</f>
        <v/>
      </c>
    </row>
    <row r="6562" spans="1:9" hidden="1" x14ac:dyDescent="0.2">
      <c r="A6562" s="105" t="str">
        <f>IF(D6562=1,COUNTIF($D$10:D6562,1)," ")</f>
        <v xml:space="preserve"> </v>
      </c>
      <c r="B6562" s="106">
        <f>COPY!AR6554</f>
        <v>0</v>
      </c>
      <c r="C6562" s="107">
        <f>COPY!AC6554</f>
        <v>0</v>
      </c>
      <c r="D6562" s="107" t="str">
        <f>IF(LEN(Table1722[[#This Row],[Uraian]])&gt;2,1," ")</f>
        <v xml:space="preserve"> </v>
      </c>
      <c r="E6562" s="113" t="str">
        <f>IF(Table1722[[#This Row],[Lawan Transaksi]]="CV AGUNG KARYA",COUNTIF($I$10:I6562,"CV AGUNG KARYA")," ")</f>
        <v xml:space="preserve"> </v>
      </c>
      <c r="F6562" s="107" t="str">
        <f>IF(LEN(Table1722[[#This Row],[Uraian]])&gt;2,TRIM(RIGHT(SUBSTITUTE(TRIM(C6562)," ",REPT(" ",255)),255))," ")</f>
        <v xml:space="preserve"> </v>
      </c>
      <c r="G6562" s="110">
        <f>COPY!Z6554</f>
        <v>0</v>
      </c>
      <c r="H6562" s="111" t="str">
        <f>IFERROR(VLOOKUP(Table1722[[#This Row],[Bukti]],'Un nOTA'!$A$4:$K$5003,10,FALSE),"")</f>
        <v/>
      </c>
      <c r="I6562" s="123" t="str">
        <f>IFERROR(VLOOKUP(Table1722[[#This Row],[Bukti]],Table13[#Data],11,FALSE),"")</f>
        <v/>
      </c>
    </row>
    <row r="6563" spans="1:9" hidden="1" x14ac:dyDescent="0.2">
      <c r="A6563" s="105" t="str">
        <f>IF(D6563=1,COUNTIF($D$10:D6563,1)," ")</f>
        <v xml:space="preserve"> </v>
      </c>
      <c r="B6563" s="106">
        <f>COPY!AR6555</f>
        <v>0</v>
      </c>
      <c r="C6563" s="107">
        <f>COPY!AC6555</f>
        <v>0</v>
      </c>
      <c r="D6563" s="107" t="str">
        <f>IF(LEN(Table1722[[#This Row],[Uraian]])&gt;2,1," ")</f>
        <v xml:space="preserve"> </v>
      </c>
      <c r="E6563" s="113" t="str">
        <f>IF(Table1722[[#This Row],[Lawan Transaksi]]="CV AGUNG KARYA",COUNTIF($I$10:I6563,"CV AGUNG KARYA")," ")</f>
        <v xml:space="preserve"> </v>
      </c>
      <c r="F6563" s="107" t="str">
        <f>IF(LEN(Table1722[[#This Row],[Uraian]])&gt;2,TRIM(RIGHT(SUBSTITUTE(TRIM(C6563)," ",REPT(" ",255)),255))," ")</f>
        <v xml:space="preserve"> </v>
      </c>
      <c r="G6563" s="110">
        <f>COPY!Z6555</f>
        <v>0</v>
      </c>
      <c r="H6563" s="111" t="str">
        <f>IFERROR(VLOOKUP(Table1722[[#This Row],[Bukti]],'Un nOTA'!$A$4:$K$5003,10,FALSE),"")</f>
        <v/>
      </c>
      <c r="I6563" s="123" t="str">
        <f>IFERROR(VLOOKUP(Table1722[[#This Row],[Bukti]],Table13[#Data],11,FALSE),"")</f>
        <v/>
      </c>
    </row>
    <row r="6564" spans="1:9" hidden="1" x14ac:dyDescent="0.2">
      <c r="A6564" s="105" t="str">
        <f>IF(D6564=1,COUNTIF($D$10:D6564,1)," ")</f>
        <v xml:space="preserve"> </v>
      </c>
      <c r="B6564" s="106">
        <f>COPY!AR6556</f>
        <v>0</v>
      </c>
      <c r="C6564" s="107">
        <f>COPY!AC6556</f>
        <v>0</v>
      </c>
      <c r="D6564" s="107" t="str">
        <f>IF(LEN(Table1722[[#This Row],[Uraian]])&gt;2,1," ")</f>
        <v xml:space="preserve"> </v>
      </c>
      <c r="E6564" s="113" t="str">
        <f>IF(Table1722[[#This Row],[Lawan Transaksi]]="CV AGUNG KARYA",COUNTIF($I$10:I6564,"CV AGUNG KARYA")," ")</f>
        <v xml:space="preserve"> </v>
      </c>
      <c r="F6564" s="107" t="str">
        <f>IF(LEN(Table1722[[#This Row],[Uraian]])&gt;2,TRIM(RIGHT(SUBSTITUTE(TRIM(C6564)," ",REPT(" ",255)),255))," ")</f>
        <v xml:space="preserve"> </v>
      </c>
      <c r="G6564" s="110">
        <f>COPY!Z6556</f>
        <v>0</v>
      </c>
      <c r="H6564" s="111" t="str">
        <f>IFERROR(VLOOKUP(Table1722[[#This Row],[Bukti]],'Un nOTA'!$A$4:$K$5003,10,FALSE),"")</f>
        <v/>
      </c>
      <c r="I6564" s="123" t="str">
        <f>IFERROR(VLOOKUP(Table1722[[#This Row],[Bukti]],Table13[#Data],11,FALSE),"")</f>
        <v/>
      </c>
    </row>
    <row r="6565" spans="1:9" hidden="1" x14ac:dyDescent="0.2">
      <c r="A6565" s="105" t="str">
        <f>IF(D6565=1,COUNTIF($D$10:D6565,1)," ")</f>
        <v xml:space="preserve"> </v>
      </c>
      <c r="B6565" s="106">
        <f>COPY!AR6557</f>
        <v>0</v>
      </c>
      <c r="C6565" s="107">
        <f>COPY!AC6557</f>
        <v>0</v>
      </c>
      <c r="D6565" s="107" t="str">
        <f>IF(LEN(Table1722[[#This Row],[Uraian]])&gt;2,1," ")</f>
        <v xml:space="preserve"> </v>
      </c>
      <c r="E6565" s="113" t="str">
        <f>IF(Table1722[[#This Row],[Lawan Transaksi]]="CV AGUNG KARYA",COUNTIF($I$10:I6565,"CV AGUNG KARYA")," ")</f>
        <v xml:space="preserve"> </v>
      </c>
      <c r="F6565" s="107" t="str">
        <f>IF(LEN(Table1722[[#This Row],[Uraian]])&gt;2,TRIM(RIGHT(SUBSTITUTE(TRIM(C6565)," ",REPT(" ",255)),255))," ")</f>
        <v xml:space="preserve"> </v>
      </c>
      <c r="G6565" s="110">
        <f>COPY!Z6557</f>
        <v>0</v>
      </c>
      <c r="H6565" s="111" t="str">
        <f>IFERROR(VLOOKUP(Table1722[[#This Row],[Bukti]],'Un nOTA'!$A$4:$K$5003,10,FALSE),"")</f>
        <v/>
      </c>
      <c r="I6565" s="123" t="str">
        <f>IFERROR(VLOOKUP(Table1722[[#This Row],[Bukti]],Table13[#Data],11,FALSE),"")</f>
        <v/>
      </c>
    </row>
    <row r="6566" spans="1:9" hidden="1" x14ac:dyDescent="0.2">
      <c r="A6566" s="105" t="str">
        <f>IF(D6566=1,COUNTIF($D$10:D6566,1)," ")</f>
        <v xml:space="preserve"> </v>
      </c>
      <c r="B6566" s="106">
        <f>COPY!AR6558</f>
        <v>0</v>
      </c>
      <c r="C6566" s="107">
        <f>COPY!AC6558</f>
        <v>0</v>
      </c>
      <c r="D6566" s="107" t="str">
        <f>IF(LEN(Table1722[[#This Row],[Uraian]])&gt;2,1," ")</f>
        <v xml:space="preserve"> </v>
      </c>
      <c r="E6566" s="113" t="str">
        <f>IF(Table1722[[#This Row],[Lawan Transaksi]]="CV AGUNG KARYA",COUNTIF($I$10:I6566,"CV AGUNG KARYA")," ")</f>
        <v xml:space="preserve"> </v>
      </c>
      <c r="F6566" s="107" t="str">
        <f>IF(LEN(Table1722[[#This Row],[Uraian]])&gt;2,TRIM(RIGHT(SUBSTITUTE(TRIM(C6566)," ",REPT(" ",255)),255))," ")</f>
        <v xml:space="preserve"> </v>
      </c>
      <c r="G6566" s="110">
        <f>COPY!Z6558</f>
        <v>0</v>
      </c>
      <c r="H6566" s="111" t="str">
        <f>IFERROR(VLOOKUP(Table1722[[#This Row],[Bukti]],'Un nOTA'!$A$4:$K$5003,10,FALSE),"")</f>
        <v/>
      </c>
      <c r="I6566" s="123" t="str">
        <f>IFERROR(VLOOKUP(Table1722[[#This Row],[Bukti]],Table13[#Data],11,FALSE),"")</f>
        <v/>
      </c>
    </row>
    <row r="6567" spans="1:9" hidden="1" x14ac:dyDescent="0.2">
      <c r="A6567" s="105" t="str">
        <f>IF(D6567=1,COUNTIF($D$10:D6567,1)," ")</f>
        <v xml:space="preserve"> </v>
      </c>
      <c r="B6567" s="106">
        <f>COPY!AR6559</f>
        <v>0</v>
      </c>
      <c r="C6567" s="107">
        <f>COPY!AC6559</f>
        <v>0</v>
      </c>
      <c r="D6567" s="107" t="str">
        <f>IF(LEN(Table1722[[#This Row],[Uraian]])&gt;2,1," ")</f>
        <v xml:space="preserve"> </v>
      </c>
      <c r="E6567" s="113" t="str">
        <f>IF(Table1722[[#This Row],[Lawan Transaksi]]="CV AGUNG KARYA",COUNTIF($I$10:I6567,"CV AGUNG KARYA")," ")</f>
        <v xml:space="preserve"> </v>
      </c>
      <c r="F6567" s="107" t="str">
        <f>IF(LEN(Table1722[[#This Row],[Uraian]])&gt;2,TRIM(RIGHT(SUBSTITUTE(TRIM(C6567)," ",REPT(" ",255)),255))," ")</f>
        <v xml:space="preserve"> </v>
      </c>
      <c r="G6567" s="110">
        <f>COPY!Z6559</f>
        <v>0</v>
      </c>
      <c r="H6567" s="111" t="str">
        <f>IFERROR(VLOOKUP(Table1722[[#This Row],[Bukti]],'Un nOTA'!$A$4:$K$5003,10,FALSE),"")</f>
        <v/>
      </c>
      <c r="I6567" s="123" t="str">
        <f>IFERROR(VLOOKUP(Table1722[[#This Row],[Bukti]],Table13[#Data],11,FALSE),"")</f>
        <v/>
      </c>
    </row>
    <row r="6568" spans="1:9" hidden="1" x14ac:dyDescent="0.2">
      <c r="A6568" s="105" t="str">
        <f>IF(D6568=1,COUNTIF($D$10:D6568,1)," ")</f>
        <v xml:space="preserve"> </v>
      </c>
      <c r="B6568" s="106">
        <f>COPY!AR6560</f>
        <v>0</v>
      </c>
      <c r="C6568" s="107">
        <f>COPY!AC6560</f>
        <v>0</v>
      </c>
      <c r="D6568" s="107" t="str">
        <f>IF(LEN(Table1722[[#This Row],[Uraian]])&gt;2,1," ")</f>
        <v xml:space="preserve"> </v>
      </c>
      <c r="E6568" s="113" t="str">
        <f>IF(Table1722[[#This Row],[Lawan Transaksi]]="CV AGUNG KARYA",COUNTIF($I$10:I6568,"CV AGUNG KARYA")," ")</f>
        <v xml:space="preserve"> </v>
      </c>
      <c r="F6568" s="107" t="str">
        <f>IF(LEN(Table1722[[#This Row],[Uraian]])&gt;2,TRIM(RIGHT(SUBSTITUTE(TRIM(C6568)," ",REPT(" ",255)),255))," ")</f>
        <v xml:space="preserve"> </v>
      </c>
      <c r="G6568" s="110">
        <f>COPY!Z6560</f>
        <v>0</v>
      </c>
      <c r="H6568" s="111" t="str">
        <f>IFERROR(VLOOKUP(Table1722[[#This Row],[Bukti]],'Un nOTA'!$A$4:$K$5003,10,FALSE),"")</f>
        <v/>
      </c>
      <c r="I6568" s="123" t="str">
        <f>IFERROR(VLOOKUP(Table1722[[#This Row],[Bukti]],Table13[#Data],11,FALSE),"")</f>
        <v/>
      </c>
    </row>
    <row r="6569" spans="1:9" hidden="1" x14ac:dyDescent="0.2">
      <c r="A6569" s="105" t="str">
        <f>IF(D6569=1,COUNTIF($D$10:D6569,1)," ")</f>
        <v xml:space="preserve"> </v>
      </c>
      <c r="B6569" s="106">
        <f>COPY!AR6561</f>
        <v>0</v>
      </c>
      <c r="C6569" s="107">
        <f>COPY!AC6561</f>
        <v>0</v>
      </c>
      <c r="D6569" s="107" t="str">
        <f>IF(LEN(Table1722[[#This Row],[Uraian]])&gt;2,1," ")</f>
        <v xml:space="preserve"> </v>
      </c>
      <c r="E6569" s="113" t="str">
        <f>IF(Table1722[[#This Row],[Lawan Transaksi]]="CV AGUNG KARYA",COUNTIF($I$10:I6569,"CV AGUNG KARYA")," ")</f>
        <v xml:space="preserve"> </v>
      </c>
      <c r="F6569" s="107" t="str">
        <f>IF(LEN(Table1722[[#This Row],[Uraian]])&gt;2,TRIM(RIGHT(SUBSTITUTE(TRIM(C6569)," ",REPT(" ",255)),255))," ")</f>
        <v xml:space="preserve"> </v>
      </c>
      <c r="G6569" s="110">
        <f>COPY!Z6561</f>
        <v>0</v>
      </c>
      <c r="H6569" s="111" t="str">
        <f>IFERROR(VLOOKUP(Table1722[[#This Row],[Bukti]],'Un nOTA'!$A$4:$K$5003,10,FALSE),"")</f>
        <v/>
      </c>
      <c r="I6569" s="123" t="str">
        <f>IFERROR(VLOOKUP(Table1722[[#This Row],[Bukti]],Table13[#Data],11,FALSE),"")</f>
        <v/>
      </c>
    </row>
    <row r="6570" spans="1:9" hidden="1" x14ac:dyDescent="0.2">
      <c r="A6570" s="105" t="str">
        <f>IF(D6570=1,COUNTIF($D$10:D6570,1)," ")</f>
        <v xml:space="preserve"> </v>
      </c>
      <c r="B6570" s="106">
        <f>COPY!AR6562</f>
        <v>0</v>
      </c>
      <c r="C6570" s="107">
        <f>COPY!AC6562</f>
        <v>0</v>
      </c>
      <c r="D6570" s="107" t="str">
        <f>IF(LEN(Table1722[[#This Row],[Uraian]])&gt;2,1," ")</f>
        <v xml:space="preserve"> </v>
      </c>
      <c r="E6570" s="113" t="str">
        <f>IF(Table1722[[#This Row],[Lawan Transaksi]]="CV AGUNG KARYA",COUNTIF($I$10:I6570,"CV AGUNG KARYA")," ")</f>
        <v xml:space="preserve"> </v>
      </c>
      <c r="F6570" s="107" t="str">
        <f>IF(LEN(Table1722[[#This Row],[Uraian]])&gt;2,TRIM(RIGHT(SUBSTITUTE(TRIM(C6570)," ",REPT(" ",255)),255))," ")</f>
        <v xml:space="preserve"> </v>
      </c>
      <c r="G6570" s="110">
        <f>COPY!Z6562</f>
        <v>0</v>
      </c>
      <c r="H6570" s="111" t="str">
        <f>IFERROR(VLOOKUP(Table1722[[#This Row],[Bukti]],'Un nOTA'!$A$4:$K$5003,10,FALSE),"")</f>
        <v/>
      </c>
      <c r="I6570" s="123" t="str">
        <f>IFERROR(VLOOKUP(Table1722[[#This Row],[Bukti]],Table13[#Data],11,FALSE),"")</f>
        <v/>
      </c>
    </row>
    <row r="6571" spans="1:9" hidden="1" x14ac:dyDescent="0.2">
      <c r="A6571" s="105" t="str">
        <f>IF(D6571=1,COUNTIF($D$10:D6571,1)," ")</f>
        <v xml:space="preserve"> </v>
      </c>
      <c r="B6571" s="106">
        <f>COPY!AR6563</f>
        <v>0</v>
      </c>
      <c r="C6571" s="107">
        <f>COPY!AC6563</f>
        <v>0</v>
      </c>
      <c r="D6571" s="107" t="str">
        <f>IF(LEN(Table1722[[#This Row],[Uraian]])&gt;2,1," ")</f>
        <v xml:space="preserve"> </v>
      </c>
      <c r="E6571" s="113" t="str">
        <f>IF(Table1722[[#This Row],[Lawan Transaksi]]="CV AGUNG KARYA",COUNTIF($I$10:I6571,"CV AGUNG KARYA")," ")</f>
        <v xml:space="preserve"> </v>
      </c>
      <c r="F6571" s="107" t="str">
        <f>IF(LEN(Table1722[[#This Row],[Uraian]])&gt;2,TRIM(RIGHT(SUBSTITUTE(TRIM(C6571)," ",REPT(" ",255)),255))," ")</f>
        <v xml:space="preserve"> </v>
      </c>
      <c r="G6571" s="110">
        <f>COPY!Z6563</f>
        <v>0</v>
      </c>
      <c r="H6571" s="111" t="str">
        <f>IFERROR(VLOOKUP(Table1722[[#This Row],[Bukti]],'Un nOTA'!$A$4:$K$5003,10,FALSE),"")</f>
        <v/>
      </c>
      <c r="I6571" s="123" t="str">
        <f>IFERROR(VLOOKUP(Table1722[[#This Row],[Bukti]],Table13[#Data],11,FALSE),"")</f>
        <v/>
      </c>
    </row>
    <row r="6572" spans="1:9" hidden="1" x14ac:dyDescent="0.2">
      <c r="A6572" s="105" t="str">
        <f>IF(D6572=1,COUNTIF($D$10:D6572,1)," ")</f>
        <v xml:space="preserve"> </v>
      </c>
      <c r="B6572" s="106">
        <f>COPY!AR6564</f>
        <v>0</v>
      </c>
      <c r="C6572" s="107">
        <f>COPY!AC6564</f>
        <v>0</v>
      </c>
      <c r="D6572" s="107" t="str">
        <f>IF(LEN(Table1722[[#This Row],[Uraian]])&gt;2,1," ")</f>
        <v xml:space="preserve"> </v>
      </c>
      <c r="E6572" s="113" t="str">
        <f>IF(Table1722[[#This Row],[Lawan Transaksi]]="CV AGUNG KARYA",COUNTIF($I$10:I6572,"CV AGUNG KARYA")," ")</f>
        <v xml:space="preserve"> </v>
      </c>
      <c r="F6572" s="107" t="str">
        <f>IF(LEN(Table1722[[#This Row],[Uraian]])&gt;2,TRIM(RIGHT(SUBSTITUTE(TRIM(C6572)," ",REPT(" ",255)),255))," ")</f>
        <v xml:space="preserve"> </v>
      </c>
      <c r="G6572" s="110">
        <f>COPY!Z6564</f>
        <v>0</v>
      </c>
      <c r="H6572" s="111" t="str">
        <f>IFERROR(VLOOKUP(Table1722[[#This Row],[Bukti]],'Un nOTA'!$A$4:$K$5003,10,FALSE),"")</f>
        <v/>
      </c>
      <c r="I6572" s="123" t="str">
        <f>IFERROR(VLOOKUP(Table1722[[#This Row],[Bukti]],Table13[#Data],11,FALSE),"")</f>
        <v/>
      </c>
    </row>
    <row r="6573" spans="1:9" hidden="1" x14ac:dyDescent="0.2">
      <c r="A6573" s="105" t="str">
        <f>IF(D6573=1,COUNTIF($D$10:D6573,1)," ")</f>
        <v xml:space="preserve"> </v>
      </c>
      <c r="B6573" s="106">
        <f>COPY!AR6565</f>
        <v>0</v>
      </c>
      <c r="C6573" s="107">
        <f>COPY!AC6565</f>
        <v>0</v>
      </c>
      <c r="D6573" s="107" t="str">
        <f>IF(LEN(Table1722[[#This Row],[Uraian]])&gt;2,1," ")</f>
        <v xml:space="preserve"> </v>
      </c>
      <c r="E6573" s="113" t="str">
        <f>IF(Table1722[[#This Row],[Lawan Transaksi]]="CV AGUNG KARYA",COUNTIF($I$10:I6573,"CV AGUNG KARYA")," ")</f>
        <v xml:space="preserve"> </v>
      </c>
      <c r="F6573" s="107" t="str">
        <f>IF(LEN(Table1722[[#This Row],[Uraian]])&gt;2,TRIM(RIGHT(SUBSTITUTE(TRIM(C6573)," ",REPT(" ",255)),255))," ")</f>
        <v xml:space="preserve"> </v>
      </c>
      <c r="G6573" s="110">
        <f>COPY!Z6565</f>
        <v>0</v>
      </c>
      <c r="H6573" s="111" t="str">
        <f>IFERROR(VLOOKUP(Table1722[[#This Row],[Bukti]],'Un nOTA'!$A$4:$K$5003,10,FALSE),"")</f>
        <v/>
      </c>
      <c r="I6573" s="123" t="str">
        <f>IFERROR(VLOOKUP(Table1722[[#This Row],[Bukti]],Table13[#Data],11,FALSE),"")</f>
        <v/>
      </c>
    </row>
    <row r="6574" spans="1:9" hidden="1" x14ac:dyDescent="0.2">
      <c r="A6574" s="105" t="str">
        <f>IF(D6574=1,COUNTIF($D$10:D6574,1)," ")</f>
        <v xml:space="preserve"> </v>
      </c>
      <c r="B6574" s="106">
        <f>COPY!AR6566</f>
        <v>0</v>
      </c>
      <c r="C6574" s="107">
        <f>COPY!AC6566</f>
        <v>0</v>
      </c>
      <c r="D6574" s="107" t="str">
        <f>IF(LEN(Table1722[[#This Row],[Uraian]])&gt;2,1," ")</f>
        <v xml:space="preserve"> </v>
      </c>
      <c r="E6574" s="113" t="str">
        <f>IF(Table1722[[#This Row],[Lawan Transaksi]]="CV AGUNG KARYA",COUNTIF($I$10:I6574,"CV AGUNG KARYA")," ")</f>
        <v xml:space="preserve"> </v>
      </c>
      <c r="F6574" s="107" t="str">
        <f>IF(LEN(Table1722[[#This Row],[Uraian]])&gt;2,TRIM(RIGHT(SUBSTITUTE(TRIM(C6574)," ",REPT(" ",255)),255))," ")</f>
        <v xml:space="preserve"> </v>
      </c>
      <c r="G6574" s="110">
        <f>COPY!Z6566</f>
        <v>0</v>
      </c>
      <c r="H6574" s="111" t="str">
        <f>IFERROR(VLOOKUP(Table1722[[#This Row],[Bukti]],'Un nOTA'!$A$4:$K$5003,10,FALSE),"")</f>
        <v/>
      </c>
      <c r="I6574" s="123" t="str">
        <f>IFERROR(VLOOKUP(Table1722[[#This Row],[Bukti]],Table13[#Data],11,FALSE),"")</f>
        <v/>
      </c>
    </row>
    <row r="6575" spans="1:9" hidden="1" x14ac:dyDescent="0.2">
      <c r="A6575" s="105" t="str">
        <f>IF(D6575=1,COUNTIF($D$10:D6575,1)," ")</f>
        <v xml:space="preserve"> </v>
      </c>
      <c r="B6575" s="106">
        <f>COPY!AR6567</f>
        <v>0</v>
      </c>
      <c r="C6575" s="107">
        <f>COPY!AC6567</f>
        <v>0</v>
      </c>
      <c r="D6575" s="107" t="str">
        <f>IF(LEN(Table1722[[#This Row],[Uraian]])&gt;2,1," ")</f>
        <v xml:space="preserve"> </v>
      </c>
      <c r="E6575" s="113" t="str">
        <f>IF(Table1722[[#This Row],[Lawan Transaksi]]="CV AGUNG KARYA",COUNTIF($I$10:I6575,"CV AGUNG KARYA")," ")</f>
        <v xml:space="preserve"> </v>
      </c>
      <c r="F6575" s="107" t="str">
        <f>IF(LEN(Table1722[[#This Row],[Uraian]])&gt;2,TRIM(RIGHT(SUBSTITUTE(TRIM(C6575)," ",REPT(" ",255)),255))," ")</f>
        <v xml:space="preserve"> </v>
      </c>
      <c r="G6575" s="110">
        <f>COPY!Z6567</f>
        <v>0</v>
      </c>
      <c r="H6575" s="111" t="str">
        <f>IFERROR(VLOOKUP(Table1722[[#This Row],[Bukti]],'Un nOTA'!$A$4:$K$5003,10,FALSE),"")</f>
        <v/>
      </c>
      <c r="I6575" s="123" t="str">
        <f>IFERROR(VLOOKUP(Table1722[[#This Row],[Bukti]],Table13[#Data],11,FALSE),"")</f>
        <v/>
      </c>
    </row>
    <row r="6576" spans="1:9" hidden="1" x14ac:dyDescent="0.2">
      <c r="A6576" s="105" t="str">
        <f>IF(D6576=1,COUNTIF($D$10:D6576,1)," ")</f>
        <v xml:space="preserve"> </v>
      </c>
      <c r="B6576" s="106">
        <f>COPY!AR6568</f>
        <v>0</v>
      </c>
      <c r="C6576" s="107">
        <f>COPY!AC6568</f>
        <v>0</v>
      </c>
      <c r="D6576" s="107" t="str">
        <f>IF(LEN(Table1722[[#This Row],[Uraian]])&gt;2,1," ")</f>
        <v xml:space="preserve"> </v>
      </c>
      <c r="E6576" s="113" t="str">
        <f>IF(Table1722[[#This Row],[Lawan Transaksi]]="CV AGUNG KARYA",COUNTIF($I$10:I6576,"CV AGUNG KARYA")," ")</f>
        <v xml:space="preserve"> </v>
      </c>
      <c r="F6576" s="107" t="str">
        <f>IF(LEN(Table1722[[#This Row],[Uraian]])&gt;2,TRIM(RIGHT(SUBSTITUTE(TRIM(C6576)," ",REPT(" ",255)),255))," ")</f>
        <v xml:space="preserve"> </v>
      </c>
      <c r="G6576" s="110">
        <f>COPY!Z6568</f>
        <v>0</v>
      </c>
      <c r="H6576" s="111" t="str">
        <f>IFERROR(VLOOKUP(Table1722[[#This Row],[Bukti]],'Un nOTA'!$A$4:$K$5003,10,FALSE),"")</f>
        <v/>
      </c>
      <c r="I6576" s="123" t="str">
        <f>IFERROR(VLOOKUP(Table1722[[#This Row],[Bukti]],Table13[#Data],11,FALSE),"")</f>
        <v/>
      </c>
    </row>
    <row r="6577" spans="1:9" hidden="1" x14ac:dyDescent="0.2">
      <c r="A6577" s="105" t="str">
        <f>IF(D6577=1,COUNTIF($D$10:D6577,1)," ")</f>
        <v xml:space="preserve"> </v>
      </c>
      <c r="B6577" s="106">
        <f>COPY!AR6569</f>
        <v>0</v>
      </c>
      <c r="C6577" s="107">
        <f>COPY!AC6569</f>
        <v>0</v>
      </c>
      <c r="D6577" s="107" t="str">
        <f>IF(LEN(Table1722[[#This Row],[Uraian]])&gt;2,1," ")</f>
        <v xml:space="preserve"> </v>
      </c>
      <c r="E6577" s="113" t="str">
        <f>IF(Table1722[[#This Row],[Lawan Transaksi]]="CV AGUNG KARYA",COUNTIF($I$10:I6577,"CV AGUNG KARYA")," ")</f>
        <v xml:space="preserve"> </v>
      </c>
      <c r="F6577" s="107" t="str">
        <f>IF(LEN(Table1722[[#This Row],[Uraian]])&gt;2,TRIM(RIGHT(SUBSTITUTE(TRIM(C6577)," ",REPT(" ",255)),255))," ")</f>
        <v xml:space="preserve"> </v>
      </c>
      <c r="G6577" s="110">
        <f>COPY!Z6569</f>
        <v>0</v>
      </c>
      <c r="H6577" s="111" t="str">
        <f>IFERROR(VLOOKUP(Table1722[[#This Row],[Bukti]],'Un nOTA'!$A$4:$K$5003,10,FALSE),"")</f>
        <v/>
      </c>
      <c r="I6577" s="123" t="str">
        <f>IFERROR(VLOOKUP(Table1722[[#This Row],[Bukti]],Table13[#Data],11,FALSE),"")</f>
        <v/>
      </c>
    </row>
    <row r="6578" spans="1:9" hidden="1" x14ac:dyDescent="0.2">
      <c r="A6578" s="105" t="str">
        <f>IF(D6578=1,COUNTIF($D$10:D6578,1)," ")</f>
        <v xml:space="preserve"> </v>
      </c>
      <c r="B6578" s="106">
        <f>COPY!AR6570</f>
        <v>0</v>
      </c>
      <c r="C6578" s="107">
        <f>COPY!AC6570</f>
        <v>0</v>
      </c>
      <c r="D6578" s="107" t="str">
        <f>IF(LEN(Table1722[[#This Row],[Uraian]])&gt;2,1," ")</f>
        <v xml:space="preserve"> </v>
      </c>
      <c r="E6578" s="113" t="str">
        <f>IF(Table1722[[#This Row],[Lawan Transaksi]]="CV AGUNG KARYA",COUNTIF($I$10:I6578,"CV AGUNG KARYA")," ")</f>
        <v xml:space="preserve"> </v>
      </c>
      <c r="F6578" s="107" t="str">
        <f>IF(LEN(Table1722[[#This Row],[Uraian]])&gt;2,TRIM(RIGHT(SUBSTITUTE(TRIM(C6578)," ",REPT(" ",255)),255))," ")</f>
        <v xml:space="preserve"> </v>
      </c>
      <c r="G6578" s="110">
        <f>COPY!Z6570</f>
        <v>0</v>
      </c>
      <c r="H6578" s="111" t="str">
        <f>IFERROR(VLOOKUP(Table1722[[#This Row],[Bukti]],'Un nOTA'!$A$4:$K$5003,10,FALSE),"")</f>
        <v/>
      </c>
      <c r="I6578" s="123" t="str">
        <f>IFERROR(VLOOKUP(Table1722[[#This Row],[Bukti]],Table13[#Data],11,FALSE),"")</f>
        <v/>
      </c>
    </row>
    <row r="6579" spans="1:9" hidden="1" x14ac:dyDescent="0.2">
      <c r="A6579" s="105" t="str">
        <f>IF(D6579=1,COUNTIF($D$10:D6579,1)," ")</f>
        <v xml:space="preserve"> </v>
      </c>
      <c r="B6579" s="106">
        <f>COPY!AR6571</f>
        <v>0</v>
      </c>
      <c r="C6579" s="107">
        <f>COPY!AC6571</f>
        <v>0</v>
      </c>
      <c r="D6579" s="107" t="str">
        <f>IF(LEN(Table1722[[#This Row],[Uraian]])&gt;2,1," ")</f>
        <v xml:space="preserve"> </v>
      </c>
      <c r="E6579" s="113" t="str">
        <f>IF(Table1722[[#This Row],[Lawan Transaksi]]="CV AGUNG KARYA",COUNTIF($I$10:I6579,"CV AGUNG KARYA")," ")</f>
        <v xml:space="preserve"> </v>
      </c>
      <c r="F6579" s="107" t="str">
        <f>IF(LEN(Table1722[[#This Row],[Uraian]])&gt;2,TRIM(RIGHT(SUBSTITUTE(TRIM(C6579)," ",REPT(" ",255)),255))," ")</f>
        <v xml:space="preserve"> </v>
      </c>
      <c r="G6579" s="110">
        <f>COPY!Z6571</f>
        <v>0</v>
      </c>
      <c r="H6579" s="111" t="str">
        <f>IFERROR(VLOOKUP(Table1722[[#This Row],[Bukti]],'Un nOTA'!$A$4:$K$5003,10,FALSE),"")</f>
        <v/>
      </c>
      <c r="I6579" s="123" t="str">
        <f>IFERROR(VLOOKUP(Table1722[[#This Row],[Bukti]],Table13[#Data],11,FALSE),"")</f>
        <v/>
      </c>
    </row>
    <row r="6580" spans="1:9" hidden="1" x14ac:dyDescent="0.2">
      <c r="A6580" s="105" t="str">
        <f>IF(D6580=1,COUNTIF($D$10:D6580,1)," ")</f>
        <v xml:space="preserve"> </v>
      </c>
      <c r="B6580" s="106">
        <f>COPY!AR6572</f>
        <v>0</v>
      </c>
      <c r="C6580" s="107">
        <f>COPY!AC6572</f>
        <v>0</v>
      </c>
      <c r="D6580" s="107" t="str">
        <f>IF(LEN(Table1722[[#This Row],[Uraian]])&gt;2,1," ")</f>
        <v xml:space="preserve"> </v>
      </c>
      <c r="E6580" s="113" t="str">
        <f>IF(Table1722[[#This Row],[Lawan Transaksi]]="CV AGUNG KARYA",COUNTIF($I$10:I6580,"CV AGUNG KARYA")," ")</f>
        <v xml:space="preserve"> </v>
      </c>
      <c r="F6580" s="107" t="str">
        <f>IF(LEN(Table1722[[#This Row],[Uraian]])&gt;2,TRIM(RIGHT(SUBSTITUTE(TRIM(C6580)," ",REPT(" ",255)),255))," ")</f>
        <v xml:space="preserve"> </v>
      </c>
      <c r="G6580" s="110">
        <f>COPY!Z6572</f>
        <v>0</v>
      </c>
      <c r="H6580" s="111" t="str">
        <f>IFERROR(VLOOKUP(Table1722[[#This Row],[Bukti]],'Un nOTA'!$A$4:$K$5003,10,FALSE),"")</f>
        <v/>
      </c>
      <c r="I6580" s="123" t="str">
        <f>IFERROR(VLOOKUP(Table1722[[#This Row],[Bukti]],Table13[#Data],11,FALSE),"")</f>
        <v/>
      </c>
    </row>
    <row r="6581" spans="1:9" hidden="1" x14ac:dyDescent="0.2">
      <c r="A6581" s="105" t="str">
        <f>IF(D6581=1,COUNTIF($D$10:D6581,1)," ")</f>
        <v xml:space="preserve"> </v>
      </c>
      <c r="B6581" s="106">
        <f>COPY!AR6573</f>
        <v>0</v>
      </c>
      <c r="C6581" s="107">
        <f>COPY!AC6573</f>
        <v>0</v>
      </c>
      <c r="D6581" s="107" t="str">
        <f>IF(LEN(Table1722[[#This Row],[Uraian]])&gt;2,1," ")</f>
        <v xml:space="preserve"> </v>
      </c>
      <c r="E6581" s="113" t="str">
        <f>IF(Table1722[[#This Row],[Lawan Transaksi]]="CV AGUNG KARYA",COUNTIF($I$10:I6581,"CV AGUNG KARYA")," ")</f>
        <v xml:space="preserve"> </v>
      </c>
      <c r="F6581" s="107" t="str">
        <f>IF(LEN(Table1722[[#This Row],[Uraian]])&gt;2,TRIM(RIGHT(SUBSTITUTE(TRIM(C6581)," ",REPT(" ",255)),255))," ")</f>
        <v xml:space="preserve"> </v>
      </c>
      <c r="G6581" s="110">
        <f>COPY!Z6573</f>
        <v>0</v>
      </c>
      <c r="H6581" s="111" t="str">
        <f>IFERROR(VLOOKUP(Table1722[[#This Row],[Bukti]],'Un nOTA'!$A$4:$K$5003,10,FALSE),"")</f>
        <v/>
      </c>
      <c r="I6581" s="123" t="str">
        <f>IFERROR(VLOOKUP(Table1722[[#This Row],[Bukti]],Table13[#Data],11,FALSE),"")</f>
        <v/>
      </c>
    </row>
    <row r="6582" spans="1:9" hidden="1" x14ac:dyDescent="0.2">
      <c r="A6582" s="105" t="str">
        <f>IF(D6582=1,COUNTIF($D$10:D6582,1)," ")</f>
        <v xml:space="preserve"> </v>
      </c>
      <c r="B6582" s="106">
        <f>COPY!AR6574</f>
        <v>0</v>
      </c>
      <c r="C6582" s="107">
        <f>COPY!AC6574</f>
        <v>0</v>
      </c>
      <c r="D6582" s="107" t="str">
        <f>IF(LEN(Table1722[[#This Row],[Uraian]])&gt;2,1," ")</f>
        <v xml:space="preserve"> </v>
      </c>
      <c r="E6582" s="113" t="str">
        <f>IF(Table1722[[#This Row],[Lawan Transaksi]]="CV AGUNG KARYA",COUNTIF($I$10:I6582,"CV AGUNG KARYA")," ")</f>
        <v xml:space="preserve"> </v>
      </c>
      <c r="F6582" s="107" t="str">
        <f>IF(LEN(Table1722[[#This Row],[Uraian]])&gt;2,TRIM(RIGHT(SUBSTITUTE(TRIM(C6582)," ",REPT(" ",255)),255))," ")</f>
        <v xml:space="preserve"> </v>
      </c>
      <c r="G6582" s="110">
        <f>COPY!Z6574</f>
        <v>0</v>
      </c>
      <c r="H6582" s="111" t="str">
        <f>IFERROR(VLOOKUP(Table1722[[#This Row],[Bukti]],'Un nOTA'!$A$4:$K$5003,10,FALSE),"")</f>
        <v/>
      </c>
      <c r="I6582" s="123" t="str">
        <f>IFERROR(VLOOKUP(Table1722[[#This Row],[Bukti]],Table13[#Data],11,FALSE),"")</f>
        <v/>
      </c>
    </row>
    <row r="6583" spans="1:9" hidden="1" x14ac:dyDescent="0.2">
      <c r="A6583" s="105" t="str">
        <f>IF(D6583=1,COUNTIF($D$10:D6583,1)," ")</f>
        <v xml:space="preserve"> </v>
      </c>
      <c r="B6583" s="106">
        <f>COPY!AR6575</f>
        <v>0</v>
      </c>
      <c r="C6583" s="107">
        <f>COPY!AC6575</f>
        <v>0</v>
      </c>
      <c r="D6583" s="107" t="str">
        <f>IF(LEN(Table1722[[#This Row],[Uraian]])&gt;2,1," ")</f>
        <v xml:space="preserve"> </v>
      </c>
      <c r="E6583" s="113" t="str">
        <f>IF(Table1722[[#This Row],[Lawan Transaksi]]="CV AGUNG KARYA",COUNTIF($I$10:I6583,"CV AGUNG KARYA")," ")</f>
        <v xml:space="preserve"> </v>
      </c>
      <c r="F6583" s="107" t="str">
        <f>IF(LEN(Table1722[[#This Row],[Uraian]])&gt;2,TRIM(RIGHT(SUBSTITUTE(TRIM(C6583)," ",REPT(" ",255)),255))," ")</f>
        <v xml:space="preserve"> </v>
      </c>
      <c r="G6583" s="110">
        <f>COPY!Z6575</f>
        <v>0</v>
      </c>
      <c r="H6583" s="111" t="str">
        <f>IFERROR(VLOOKUP(Table1722[[#This Row],[Bukti]],'Un nOTA'!$A$4:$K$5003,10,FALSE),"")</f>
        <v/>
      </c>
      <c r="I6583" s="123" t="str">
        <f>IFERROR(VLOOKUP(Table1722[[#This Row],[Bukti]],Table13[#Data],11,FALSE),"")</f>
        <v/>
      </c>
    </row>
    <row r="6584" spans="1:9" hidden="1" x14ac:dyDescent="0.2">
      <c r="A6584" s="105" t="str">
        <f>IF(D6584=1,COUNTIF($D$10:D6584,1)," ")</f>
        <v xml:space="preserve"> </v>
      </c>
      <c r="B6584" s="106">
        <f>COPY!AR6576</f>
        <v>0</v>
      </c>
      <c r="C6584" s="107">
        <f>COPY!AC6576</f>
        <v>0</v>
      </c>
      <c r="D6584" s="107" t="str">
        <f>IF(LEN(Table1722[[#This Row],[Uraian]])&gt;2,1," ")</f>
        <v xml:space="preserve"> </v>
      </c>
      <c r="E6584" s="113" t="str">
        <f>IF(Table1722[[#This Row],[Lawan Transaksi]]="CV AGUNG KARYA",COUNTIF($I$10:I6584,"CV AGUNG KARYA")," ")</f>
        <v xml:space="preserve"> </v>
      </c>
      <c r="F6584" s="107" t="str">
        <f>IF(LEN(Table1722[[#This Row],[Uraian]])&gt;2,TRIM(RIGHT(SUBSTITUTE(TRIM(C6584)," ",REPT(" ",255)),255))," ")</f>
        <v xml:space="preserve"> </v>
      </c>
      <c r="G6584" s="110">
        <f>COPY!Z6576</f>
        <v>0</v>
      </c>
      <c r="H6584" s="111" t="str">
        <f>IFERROR(VLOOKUP(Table1722[[#This Row],[Bukti]],'Un nOTA'!$A$4:$K$5003,10,FALSE),"")</f>
        <v/>
      </c>
      <c r="I6584" s="123" t="str">
        <f>IFERROR(VLOOKUP(Table1722[[#This Row],[Bukti]],Table13[#Data],11,FALSE),"")</f>
        <v/>
      </c>
    </row>
    <row r="6585" spans="1:9" hidden="1" x14ac:dyDescent="0.2">
      <c r="A6585" s="105" t="str">
        <f>IF(D6585=1,COUNTIF($D$10:D6585,1)," ")</f>
        <v xml:space="preserve"> </v>
      </c>
      <c r="B6585" s="106">
        <f>COPY!AR6577</f>
        <v>0</v>
      </c>
      <c r="C6585" s="107">
        <f>COPY!AC6577</f>
        <v>0</v>
      </c>
      <c r="D6585" s="107" t="str">
        <f>IF(LEN(Table1722[[#This Row],[Uraian]])&gt;2,1," ")</f>
        <v xml:space="preserve"> </v>
      </c>
      <c r="E6585" s="113" t="str">
        <f>IF(Table1722[[#This Row],[Lawan Transaksi]]="CV AGUNG KARYA",COUNTIF($I$10:I6585,"CV AGUNG KARYA")," ")</f>
        <v xml:space="preserve"> </v>
      </c>
      <c r="F6585" s="107" t="str">
        <f>IF(LEN(Table1722[[#This Row],[Uraian]])&gt;2,TRIM(RIGHT(SUBSTITUTE(TRIM(C6585)," ",REPT(" ",255)),255))," ")</f>
        <v xml:space="preserve"> </v>
      </c>
      <c r="G6585" s="110">
        <f>COPY!Z6577</f>
        <v>0</v>
      </c>
      <c r="H6585" s="111" t="str">
        <f>IFERROR(VLOOKUP(Table1722[[#This Row],[Bukti]],'Un nOTA'!$A$4:$K$5003,10,FALSE),"")</f>
        <v/>
      </c>
      <c r="I6585" s="123" t="str">
        <f>IFERROR(VLOOKUP(Table1722[[#This Row],[Bukti]],Table13[#Data],11,FALSE),"")</f>
        <v/>
      </c>
    </row>
    <row r="6586" spans="1:9" hidden="1" x14ac:dyDescent="0.2">
      <c r="A6586" s="105" t="str">
        <f>IF(D6586=1,COUNTIF($D$10:D6586,1)," ")</f>
        <v xml:space="preserve"> </v>
      </c>
      <c r="B6586" s="106">
        <f>COPY!AR6578</f>
        <v>0</v>
      </c>
      <c r="C6586" s="107">
        <f>COPY!AC6578</f>
        <v>0</v>
      </c>
      <c r="D6586" s="107" t="str">
        <f>IF(LEN(Table1722[[#This Row],[Uraian]])&gt;2,1," ")</f>
        <v xml:space="preserve"> </v>
      </c>
      <c r="E6586" s="113" t="str">
        <f>IF(Table1722[[#This Row],[Lawan Transaksi]]="CV AGUNG KARYA",COUNTIF($I$10:I6586,"CV AGUNG KARYA")," ")</f>
        <v xml:space="preserve"> </v>
      </c>
      <c r="F6586" s="107" t="str">
        <f>IF(LEN(Table1722[[#This Row],[Uraian]])&gt;2,TRIM(RIGHT(SUBSTITUTE(TRIM(C6586)," ",REPT(" ",255)),255))," ")</f>
        <v xml:space="preserve"> </v>
      </c>
      <c r="G6586" s="110">
        <f>COPY!Z6578</f>
        <v>0</v>
      </c>
      <c r="H6586" s="111" t="str">
        <f>IFERROR(VLOOKUP(Table1722[[#This Row],[Bukti]],'Un nOTA'!$A$4:$K$5003,10,FALSE),"")</f>
        <v/>
      </c>
      <c r="I6586" s="123" t="str">
        <f>IFERROR(VLOOKUP(Table1722[[#This Row],[Bukti]],Table13[#Data],11,FALSE),"")</f>
        <v/>
      </c>
    </row>
    <row r="6587" spans="1:9" hidden="1" x14ac:dyDescent="0.2">
      <c r="A6587" s="105" t="str">
        <f>IF(D6587=1,COUNTIF($D$10:D6587,1)," ")</f>
        <v xml:space="preserve"> </v>
      </c>
      <c r="B6587" s="106">
        <f>COPY!AR6579</f>
        <v>0</v>
      </c>
      <c r="C6587" s="107">
        <f>COPY!AC6579</f>
        <v>0</v>
      </c>
      <c r="D6587" s="107" t="str">
        <f>IF(LEN(Table1722[[#This Row],[Uraian]])&gt;2,1," ")</f>
        <v xml:space="preserve"> </v>
      </c>
      <c r="E6587" s="113" t="str">
        <f>IF(Table1722[[#This Row],[Lawan Transaksi]]="CV AGUNG KARYA",COUNTIF($I$10:I6587,"CV AGUNG KARYA")," ")</f>
        <v xml:space="preserve"> </v>
      </c>
      <c r="F6587" s="107" t="str">
        <f>IF(LEN(Table1722[[#This Row],[Uraian]])&gt;2,TRIM(RIGHT(SUBSTITUTE(TRIM(C6587)," ",REPT(" ",255)),255))," ")</f>
        <v xml:space="preserve"> </v>
      </c>
      <c r="G6587" s="110">
        <f>COPY!Z6579</f>
        <v>0</v>
      </c>
      <c r="H6587" s="111" t="str">
        <f>IFERROR(VLOOKUP(Table1722[[#This Row],[Bukti]],'Un nOTA'!$A$4:$K$5003,10,FALSE),"")</f>
        <v/>
      </c>
      <c r="I6587" s="123" t="str">
        <f>IFERROR(VLOOKUP(Table1722[[#This Row],[Bukti]],Table13[#Data],11,FALSE),"")</f>
        <v/>
      </c>
    </row>
    <row r="6588" spans="1:9" hidden="1" x14ac:dyDescent="0.2">
      <c r="A6588" s="105" t="str">
        <f>IF(D6588=1,COUNTIF($D$10:D6588,1)," ")</f>
        <v xml:space="preserve"> </v>
      </c>
      <c r="B6588" s="106">
        <f>COPY!AR6580</f>
        <v>0</v>
      </c>
      <c r="C6588" s="107">
        <f>COPY!AC6580</f>
        <v>0</v>
      </c>
      <c r="D6588" s="107" t="str">
        <f>IF(LEN(Table1722[[#This Row],[Uraian]])&gt;2,1," ")</f>
        <v xml:space="preserve"> </v>
      </c>
      <c r="E6588" s="113" t="str">
        <f>IF(Table1722[[#This Row],[Lawan Transaksi]]="CV AGUNG KARYA",COUNTIF($I$10:I6588,"CV AGUNG KARYA")," ")</f>
        <v xml:space="preserve"> </v>
      </c>
      <c r="F6588" s="107" t="str">
        <f>IF(LEN(Table1722[[#This Row],[Uraian]])&gt;2,TRIM(RIGHT(SUBSTITUTE(TRIM(C6588)," ",REPT(" ",255)),255))," ")</f>
        <v xml:space="preserve"> </v>
      </c>
      <c r="G6588" s="110">
        <f>COPY!Z6580</f>
        <v>0</v>
      </c>
      <c r="H6588" s="111" t="str">
        <f>IFERROR(VLOOKUP(Table1722[[#This Row],[Bukti]],'Un nOTA'!$A$4:$K$5003,10,FALSE),"")</f>
        <v/>
      </c>
      <c r="I6588" s="123" t="str">
        <f>IFERROR(VLOOKUP(Table1722[[#This Row],[Bukti]],Table13[#Data],11,FALSE),"")</f>
        <v/>
      </c>
    </row>
    <row r="6589" spans="1:9" hidden="1" x14ac:dyDescent="0.2">
      <c r="A6589" s="105" t="str">
        <f>IF(D6589=1,COUNTIF($D$10:D6589,1)," ")</f>
        <v xml:space="preserve"> </v>
      </c>
      <c r="B6589" s="106">
        <f>COPY!AR6581</f>
        <v>0</v>
      </c>
      <c r="C6589" s="107">
        <f>COPY!AC6581</f>
        <v>0</v>
      </c>
      <c r="D6589" s="107" t="str">
        <f>IF(LEN(Table1722[[#This Row],[Uraian]])&gt;2,1," ")</f>
        <v xml:space="preserve"> </v>
      </c>
      <c r="E6589" s="113" t="str">
        <f>IF(Table1722[[#This Row],[Lawan Transaksi]]="CV AGUNG KARYA",COUNTIF($I$10:I6589,"CV AGUNG KARYA")," ")</f>
        <v xml:space="preserve"> </v>
      </c>
      <c r="F6589" s="107" t="str">
        <f>IF(LEN(Table1722[[#This Row],[Uraian]])&gt;2,TRIM(RIGHT(SUBSTITUTE(TRIM(C6589)," ",REPT(" ",255)),255))," ")</f>
        <v xml:space="preserve"> </v>
      </c>
      <c r="G6589" s="110">
        <f>COPY!Z6581</f>
        <v>0</v>
      </c>
      <c r="H6589" s="111" t="str">
        <f>IFERROR(VLOOKUP(Table1722[[#This Row],[Bukti]],'Un nOTA'!$A$4:$K$5003,10,FALSE),"")</f>
        <v/>
      </c>
      <c r="I6589" s="123" t="str">
        <f>IFERROR(VLOOKUP(Table1722[[#This Row],[Bukti]],Table13[#Data],11,FALSE),"")</f>
        <v/>
      </c>
    </row>
    <row r="6590" spans="1:9" hidden="1" x14ac:dyDescent="0.2">
      <c r="A6590" s="105" t="str">
        <f>IF(D6590=1,COUNTIF($D$10:D6590,1)," ")</f>
        <v xml:space="preserve"> </v>
      </c>
      <c r="B6590" s="106">
        <f>COPY!AR6582</f>
        <v>0</v>
      </c>
      <c r="C6590" s="107">
        <f>COPY!AC6582</f>
        <v>0</v>
      </c>
      <c r="D6590" s="107" t="str">
        <f>IF(LEN(Table1722[[#This Row],[Uraian]])&gt;2,1," ")</f>
        <v xml:space="preserve"> </v>
      </c>
      <c r="E6590" s="113" t="str">
        <f>IF(Table1722[[#This Row],[Lawan Transaksi]]="CV AGUNG KARYA",COUNTIF($I$10:I6590,"CV AGUNG KARYA")," ")</f>
        <v xml:space="preserve"> </v>
      </c>
      <c r="F6590" s="107" t="str">
        <f>IF(LEN(Table1722[[#This Row],[Uraian]])&gt;2,TRIM(RIGHT(SUBSTITUTE(TRIM(C6590)," ",REPT(" ",255)),255))," ")</f>
        <v xml:space="preserve"> </v>
      </c>
      <c r="G6590" s="110">
        <f>COPY!Z6582</f>
        <v>0</v>
      </c>
      <c r="H6590" s="111" t="str">
        <f>IFERROR(VLOOKUP(Table1722[[#This Row],[Bukti]],'Un nOTA'!$A$4:$K$5003,10,FALSE),"")</f>
        <v/>
      </c>
      <c r="I6590" s="123" t="str">
        <f>IFERROR(VLOOKUP(Table1722[[#This Row],[Bukti]],Table13[#Data],11,FALSE),"")</f>
        <v/>
      </c>
    </row>
    <row r="6591" spans="1:9" hidden="1" x14ac:dyDescent="0.2">
      <c r="A6591" s="105" t="str">
        <f>IF(D6591=1,COUNTIF($D$10:D6591,1)," ")</f>
        <v xml:space="preserve"> </v>
      </c>
      <c r="B6591" s="106">
        <f>COPY!AR6583</f>
        <v>0</v>
      </c>
      <c r="C6591" s="107">
        <f>COPY!AC6583</f>
        <v>0</v>
      </c>
      <c r="D6591" s="107" t="str">
        <f>IF(LEN(Table1722[[#This Row],[Uraian]])&gt;2,1," ")</f>
        <v xml:space="preserve"> </v>
      </c>
      <c r="E6591" s="113" t="str">
        <f>IF(Table1722[[#This Row],[Lawan Transaksi]]="CV AGUNG KARYA",COUNTIF($I$10:I6591,"CV AGUNG KARYA")," ")</f>
        <v xml:space="preserve"> </v>
      </c>
      <c r="F6591" s="107" t="str">
        <f>IF(LEN(Table1722[[#This Row],[Uraian]])&gt;2,TRIM(RIGHT(SUBSTITUTE(TRIM(C6591)," ",REPT(" ",255)),255))," ")</f>
        <v xml:space="preserve"> </v>
      </c>
      <c r="G6591" s="110">
        <f>COPY!Z6583</f>
        <v>0</v>
      </c>
      <c r="H6591" s="111" t="str">
        <f>IFERROR(VLOOKUP(Table1722[[#This Row],[Bukti]],'Un nOTA'!$A$4:$K$5003,10,FALSE),"")</f>
        <v/>
      </c>
      <c r="I6591" s="123" t="str">
        <f>IFERROR(VLOOKUP(Table1722[[#This Row],[Bukti]],Table13[#Data],11,FALSE),"")</f>
        <v/>
      </c>
    </row>
    <row r="6592" spans="1:9" hidden="1" x14ac:dyDescent="0.2">
      <c r="A6592" s="105" t="str">
        <f>IF(D6592=1,COUNTIF($D$10:D6592,1)," ")</f>
        <v xml:space="preserve"> </v>
      </c>
      <c r="B6592" s="106">
        <f>COPY!AR6584</f>
        <v>0</v>
      </c>
      <c r="C6592" s="107">
        <f>COPY!AC6584</f>
        <v>0</v>
      </c>
      <c r="D6592" s="107" t="str">
        <f>IF(LEN(Table1722[[#This Row],[Uraian]])&gt;2,1," ")</f>
        <v xml:space="preserve"> </v>
      </c>
      <c r="E6592" s="113" t="str">
        <f>IF(Table1722[[#This Row],[Lawan Transaksi]]="CV AGUNG KARYA",COUNTIF($I$10:I6592,"CV AGUNG KARYA")," ")</f>
        <v xml:space="preserve"> </v>
      </c>
      <c r="F6592" s="107" t="str">
        <f>IF(LEN(Table1722[[#This Row],[Uraian]])&gt;2,TRIM(RIGHT(SUBSTITUTE(TRIM(C6592)," ",REPT(" ",255)),255))," ")</f>
        <v xml:space="preserve"> </v>
      </c>
      <c r="G6592" s="110">
        <f>COPY!Z6584</f>
        <v>0</v>
      </c>
      <c r="H6592" s="111" t="str">
        <f>IFERROR(VLOOKUP(Table1722[[#This Row],[Bukti]],'Un nOTA'!$A$4:$K$5003,10,FALSE),"")</f>
        <v/>
      </c>
      <c r="I6592" s="123" t="str">
        <f>IFERROR(VLOOKUP(Table1722[[#This Row],[Bukti]],Table13[#Data],11,FALSE),"")</f>
        <v/>
      </c>
    </row>
    <row r="6593" spans="1:9" hidden="1" x14ac:dyDescent="0.2">
      <c r="A6593" s="105" t="str">
        <f>IF(D6593=1,COUNTIF($D$10:D6593,1)," ")</f>
        <v xml:space="preserve"> </v>
      </c>
      <c r="B6593" s="106">
        <f>COPY!AR6585</f>
        <v>0</v>
      </c>
      <c r="C6593" s="107">
        <f>COPY!AC6585</f>
        <v>0</v>
      </c>
      <c r="D6593" s="107" t="str">
        <f>IF(LEN(Table1722[[#This Row],[Uraian]])&gt;2,1," ")</f>
        <v xml:space="preserve"> </v>
      </c>
      <c r="E6593" s="113" t="str">
        <f>IF(Table1722[[#This Row],[Lawan Transaksi]]="CV AGUNG KARYA",COUNTIF($I$10:I6593,"CV AGUNG KARYA")," ")</f>
        <v xml:space="preserve"> </v>
      </c>
      <c r="F6593" s="107" t="str">
        <f>IF(LEN(Table1722[[#This Row],[Uraian]])&gt;2,TRIM(RIGHT(SUBSTITUTE(TRIM(C6593)," ",REPT(" ",255)),255))," ")</f>
        <v xml:space="preserve"> </v>
      </c>
      <c r="G6593" s="110">
        <f>COPY!Z6585</f>
        <v>0</v>
      </c>
      <c r="H6593" s="111" t="str">
        <f>IFERROR(VLOOKUP(Table1722[[#This Row],[Bukti]],'Un nOTA'!$A$4:$K$5003,10,FALSE),"")</f>
        <v/>
      </c>
      <c r="I6593" s="123" t="str">
        <f>IFERROR(VLOOKUP(Table1722[[#This Row],[Bukti]],Table13[#Data],11,FALSE),"")</f>
        <v/>
      </c>
    </row>
    <row r="6594" spans="1:9" hidden="1" x14ac:dyDescent="0.2">
      <c r="A6594" s="105" t="str">
        <f>IF(D6594=1,COUNTIF($D$10:D6594,1)," ")</f>
        <v xml:space="preserve"> </v>
      </c>
      <c r="B6594" s="106">
        <f>COPY!AR6586</f>
        <v>0</v>
      </c>
      <c r="C6594" s="107">
        <f>COPY!AC6586</f>
        <v>0</v>
      </c>
      <c r="D6594" s="107" t="str">
        <f>IF(LEN(Table1722[[#This Row],[Uraian]])&gt;2,1," ")</f>
        <v xml:space="preserve"> </v>
      </c>
      <c r="E6594" s="113" t="str">
        <f>IF(Table1722[[#This Row],[Lawan Transaksi]]="CV AGUNG KARYA",COUNTIF($I$10:I6594,"CV AGUNG KARYA")," ")</f>
        <v xml:space="preserve"> </v>
      </c>
      <c r="F6594" s="107" t="str">
        <f>IF(LEN(Table1722[[#This Row],[Uraian]])&gt;2,TRIM(RIGHT(SUBSTITUTE(TRIM(C6594)," ",REPT(" ",255)),255))," ")</f>
        <v xml:space="preserve"> </v>
      </c>
      <c r="G6594" s="110">
        <f>COPY!Z6586</f>
        <v>0</v>
      </c>
      <c r="H6594" s="111" t="str">
        <f>IFERROR(VLOOKUP(Table1722[[#This Row],[Bukti]],'Un nOTA'!$A$4:$K$5003,10,FALSE),"")</f>
        <v/>
      </c>
      <c r="I6594" s="123" t="str">
        <f>IFERROR(VLOOKUP(Table1722[[#This Row],[Bukti]],Table13[#Data],11,FALSE),"")</f>
        <v/>
      </c>
    </row>
    <row r="6595" spans="1:9" hidden="1" x14ac:dyDescent="0.2">
      <c r="A6595" s="105" t="str">
        <f>IF(D6595=1,COUNTIF($D$10:D6595,1)," ")</f>
        <v xml:space="preserve"> </v>
      </c>
      <c r="B6595" s="106">
        <f>COPY!AR6587</f>
        <v>0</v>
      </c>
      <c r="C6595" s="107">
        <f>COPY!AC6587</f>
        <v>0</v>
      </c>
      <c r="D6595" s="107" t="str">
        <f>IF(LEN(Table1722[[#This Row],[Uraian]])&gt;2,1," ")</f>
        <v xml:space="preserve"> </v>
      </c>
      <c r="E6595" s="113" t="str">
        <f>IF(Table1722[[#This Row],[Lawan Transaksi]]="CV AGUNG KARYA",COUNTIF($I$10:I6595,"CV AGUNG KARYA")," ")</f>
        <v xml:space="preserve"> </v>
      </c>
      <c r="F6595" s="107" t="str">
        <f>IF(LEN(Table1722[[#This Row],[Uraian]])&gt;2,TRIM(RIGHT(SUBSTITUTE(TRIM(C6595)," ",REPT(" ",255)),255))," ")</f>
        <v xml:space="preserve"> </v>
      </c>
      <c r="G6595" s="110">
        <f>COPY!Z6587</f>
        <v>0</v>
      </c>
      <c r="H6595" s="111" t="str">
        <f>IFERROR(VLOOKUP(Table1722[[#This Row],[Bukti]],'Un nOTA'!$A$4:$K$5003,10,FALSE),"")</f>
        <v/>
      </c>
      <c r="I6595" s="123" t="str">
        <f>IFERROR(VLOOKUP(Table1722[[#This Row],[Bukti]],Table13[#Data],11,FALSE),"")</f>
        <v/>
      </c>
    </row>
    <row r="6596" spans="1:9" hidden="1" x14ac:dyDescent="0.2">
      <c r="A6596" s="105" t="str">
        <f>IF(D6596=1,COUNTIF($D$10:D6596,1)," ")</f>
        <v xml:space="preserve"> </v>
      </c>
      <c r="B6596" s="106">
        <f>COPY!AR6588</f>
        <v>0</v>
      </c>
      <c r="C6596" s="107">
        <f>COPY!AC6588</f>
        <v>0</v>
      </c>
      <c r="D6596" s="107" t="str">
        <f>IF(LEN(Table1722[[#This Row],[Uraian]])&gt;2,1," ")</f>
        <v xml:space="preserve"> </v>
      </c>
      <c r="E6596" s="113" t="str">
        <f>IF(Table1722[[#This Row],[Lawan Transaksi]]="CV AGUNG KARYA",COUNTIF($I$10:I6596,"CV AGUNG KARYA")," ")</f>
        <v xml:space="preserve"> </v>
      </c>
      <c r="F6596" s="107" t="str">
        <f>IF(LEN(Table1722[[#This Row],[Uraian]])&gt;2,TRIM(RIGHT(SUBSTITUTE(TRIM(C6596)," ",REPT(" ",255)),255))," ")</f>
        <v xml:space="preserve"> </v>
      </c>
      <c r="G6596" s="110">
        <f>COPY!Z6588</f>
        <v>0</v>
      </c>
      <c r="H6596" s="111" t="str">
        <f>IFERROR(VLOOKUP(Table1722[[#This Row],[Bukti]],'Un nOTA'!$A$4:$K$5003,10,FALSE),"")</f>
        <v/>
      </c>
      <c r="I6596" s="123" t="str">
        <f>IFERROR(VLOOKUP(Table1722[[#This Row],[Bukti]],Table13[#Data],11,FALSE),"")</f>
        <v/>
      </c>
    </row>
    <row r="6597" spans="1:9" hidden="1" x14ac:dyDescent="0.2">
      <c r="A6597" s="105" t="str">
        <f>IF(D6597=1,COUNTIF($D$10:D6597,1)," ")</f>
        <v xml:space="preserve"> </v>
      </c>
      <c r="B6597" s="106">
        <f>COPY!AR6589</f>
        <v>0</v>
      </c>
      <c r="C6597" s="107">
        <f>COPY!AC6589</f>
        <v>0</v>
      </c>
      <c r="D6597" s="107" t="str">
        <f>IF(LEN(Table1722[[#This Row],[Uraian]])&gt;2,1," ")</f>
        <v xml:space="preserve"> </v>
      </c>
      <c r="E6597" s="113" t="str">
        <f>IF(Table1722[[#This Row],[Lawan Transaksi]]="CV AGUNG KARYA",COUNTIF($I$10:I6597,"CV AGUNG KARYA")," ")</f>
        <v xml:space="preserve"> </v>
      </c>
      <c r="F6597" s="107" t="str">
        <f>IF(LEN(Table1722[[#This Row],[Uraian]])&gt;2,TRIM(RIGHT(SUBSTITUTE(TRIM(C6597)," ",REPT(" ",255)),255))," ")</f>
        <v xml:space="preserve"> </v>
      </c>
      <c r="G6597" s="110">
        <f>COPY!Z6589</f>
        <v>0</v>
      </c>
      <c r="H6597" s="111" t="str">
        <f>IFERROR(VLOOKUP(Table1722[[#This Row],[Bukti]],'Un nOTA'!$A$4:$K$5003,10,FALSE),"")</f>
        <v/>
      </c>
      <c r="I6597" s="123" t="str">
        <f>IFERROR(VLOOKUP(Table1722[[#This Row],[Bukti]],Table13[#Data],11,FALSE),"")</f>
        <v/>
      </c>
    </row>
    <row r="6598" spans="1:9" hidden="1" x14ac:dyDescent="0.2">
      <c r="A6598" s="105" t="str">
        <f>IF(D6598=1,COUNTIF($D$10:D6598,1)," ")</f>
        <v xml:space="preserve"> </v>
      </c>
      <c r="B6598" s="106">
        <f>COPY!AR6590</f>
        <v>0</v>
      </c>
      <c r="C6598" s="107">
        <f>COPY!AC6590</f>
        <v>0</v>
      </c>
      <c r="D6598" s="107" t="str">
        <f>IF(LEN(Table1722[[#This Row],[Uraian]])&gt;2,1," ")</f>
        <v xml:space="preserve"> </v>
      </c>
      <c r="E6598" s="113" t="str">
        <f>IF(Table1722[[#This Row],[Lawan Transaksi]]="CV AGUNG KARYA",COUNTIF($I$10:I6598,"CV AGUNG KARYA")," ")</f>
        <v xml:space="preserve"> </v>
      </c>
      <c r="F6598" s="107" t="str">
        <f>IF(LEN(Table1722[[#This Row],[Uraian]])&gt;2,TRIM(RIGHT(SUBSTITUTE(TRIM(C6598)," ",REPT(" ",255)),255))," ")</f>
        <v xml:space="preserve"> </v>
      </c>
      <c r="G6598" s="110">
        <f>COPY!Z6590</f>
        <v>0</v>
      </c>
      <c r="H6598" s="111" t="str">
        <f>IFERROR(VLOOKUP(Table1722[[#This Row],[Bukti]],'Un nOTA'!$A$4:$K$5003,10,FALSE),"")</f>
        <v/>
      </c>
      <c r="I6598" s="123" t="str">
        <f>IFERROR(VLOOKUP(Table1722[[#This Row],[Bukti]],Table13[#Data],11,FALSE),"")</f>
        <v/>
      </c>
    </row>
    <row r="6599" spans="1:9" hidden="1" x14ac:dyDescent="0.2">
      <c r="A6599" s="105" t="str">
        <f>IF(D6599=1,COUNTIF($D$10:D6599,1)," ")</f>
        <v xml:space="preserve"> </v>
      </c>
      <c r="B6599" s="106">
        <f>COPY!AR6591</f>
        <v>0</v>
      </c>
      <c r="C6599" s="107">
        <f>COPY!AC6591</f>
        <v>0</v>
      </c>
      <c r="D6599" s="107" t="str">
        <f>IF(LEN(Table1722[[#This Row],[Uraian]])&gt;2,1," ")</f>
        <v xml:space="preserve"> </v>
      </c>
      <c r="E6599" s="113" t="str">
        <f>IF(Table1722[[#This Row],[Lawan Transaksi]]="CV AGUNG KARYA",COUNTIF($I$10:I6599,"CV AGUNG KARYA")," ")</f>
        <v xml:space="preserve"> </v>
      </c>
      <c r="F6599" s="107" t="str">
        <f>IF(LEN(Table1722[[#This Row],[Uraian]])&gt;2,TRIM(RIGHT(SUBSTITUTE(TRIM(C6599)," ",REPT(" ",255)),255))," ")</f>
        <v xml:space="preserve"> </v>
      </c>
      <c r="G6599" s="110">
        <f>COPY!Z6591</f>
        <v>0</v>
      </c>
      <c r="H6599" s="111" t="str">
        <f>IFERROR(VLOOKUP(Table1722[[#This Row],[Bukti]],'Un nOTA'!$A$4:$K$5003,10,FALSE),"")</f>
        <v/>
      </c>
      <c r="I6599" s="123" t="str">
        <f>IFERROR(VLOOKUP(Table1722[[#This Row],[Bukti]],Table13[#Data],11,FALSE),"")</f>
        <v/>
      </c>
    </row>
    <row r="6600" spans="1:9" hidden="1" x14ac:dyDescent="0.2">
      <c r="A6600" s="105" t="str">
        <f>IF(D6600=1,COUNTIF($D$10:D6600,1)," ")</f>
        <v xml:space="preserve"> </v>
      </c>
      <c r="B6600" s="106">
        <f>COPY!AR6592</f>
        <v>0</v>
      </c>
      <c r="C6600" s="107">
        <f>COPY!AC6592</f>
        <v>0</v>
      </c>
      <c r="D6600" s="107" t="str">
        <f>IF(LEN(Table1722[[#This Row],[Uraian]])&gt;2,1," ")</f>
        <v xml:space="preserve"> </v>
      </c>
      <c r="E6600" s="113" t="str">
        <f>IF(Table1722[[#This Row],[Lawan Transaksi]]="CV AGUNG KARYA",COUNTIF($I$10:I6600,"CV AGUNG KARYA")," ")</f>
        <v xml:space="preserve"> </v>
      </c>
      <c r="F6600" s="107" t="str">
        <f>IF(LEN(Table1722[[#This Row],[Uraian]])&gt;2,TRIM(RIGHT(SUBSTITUTE(TRIM(C6600)," ",REPT(" ",255)),255))," ")</f>
        <v xml:space="preserve"> </v>
      </c>
      <c r="G6600" s="110">
        <f>COPY!Z6592</f>
        <v>0</v>
      </c>
      <c r="H6600" s="111" t="str">
        <f>IFERROR(VLOOKUP(Table1722[[#This Row],[Bukti]],'Un nOTA'!$A$4:$K$5003,10,FALSE),"")</f>
        <v/>
      </c>
      <c r="I6600" s="123" t="str">
        <f>IFERROR(VLOOKUP(Table1722[[#This Row],[Bukti]],Table13[#Data],11,FALSE),"")</f>
        <v/>
      </c>
    </row>
    <row r="6601" spans="1:9" hidden="1" x14ac:dyDescent="0.2">
      <c r="A6601" s="105" t="str">
        <f>IF(D6601=1,COUNTIF($D$10:D6601,1)," ")</f>
        <v xml:space="preserve"> </v>
      </c>
      <c r="B6601" s="106">
        <f>COPY!AR6593</f>
        <v>0</v>
      </c>
      <c r="C6601" s="107">
        <f>COPY!AC6593</f>
        <v>0</v>
      </c>
      <c r="D6601" s="107" t="str">
        <f>IF(LEN(Table1722[[#This Row],[Uraian]])&gt;2,1," ")</f>
        <v xml:space="preserve"> </v>
      </c>
      <c r="E6601" s="113" t="str">
        <f>IF(Table1722[[#This Row],[Lawan Transaksi]]="CV AGUNG KARYA",COUNTIF($I$10:I6601,"CV AGUNG KARYA")," ")</f>
        <v xml:space="preserve"> </v>
      </c>
      <c r="F6601" s="107" t="str">
        <f>IF(LEN(Table1722[[#This Row],[Uraian]])&gt;2,TRIM(RIGHT(SUBSTITUTE(TRIM(C6601)," ",REPT(" ",255)),255))," ")</f>
        <v xml:space="preserve"> </v>
      </c>
      <c r="G6601" s="110">
        <f>COPY!Z6593</f>
        <v>0</v>
      </c>
      <c r="H6601" s="111" t="str">
        <f>IFERROR(VLOOKUP(Table1722[[#This Row],[Bukti]],'Un nOTA'!$A$4:$K$5003,10,FALSE),"")</f>
        <v/>
      </c>
      <c r="I6601" s="123" t="str">
        <f>IFERROR(VLOOKUP(Table1722[[#This Row],[Bukti]],Table13[#Data],11,FALSE),"")</f>
        <v/>
      </c>
    </row>
    <row r="6602" spans="1:9" hidden="1" x14ac:dyDescent="0.2">
      <c r="A6602" s="105" t="str">
        <f>IF(D6602=1,COUNTIF($D$10:D6602,1)," ")</f>
        <v xml:space="preserve"> </v>
      </c>
      <c r="B6602" s="106">
        <f>COPY!AR6594</f>
        <v>0</v>
      </c>
      <c r="C6602" s="107">
        <f>COPY!AC6594</f>
        <v>0</v>
      </c>
      <c r="D6602" s="107" t="str">
        <f>IF(LEN(Table1722[[#This Row],[Uraian]])&gt;2,1," ")</f>
        <v xml:space="preserve"> </v>
      </c>
      <c r="E6602" s="113" t="str">
        <f>IF(Table1722[[#This Row],[Lawan Transaksi]]="CV AGUNG KARYA",COUNTIF($I$10:I6602,"CV AGUNG KARYA")," ")</f>
        <v xml:space="preserve"> </v>
      </c>
      <c r="F6602" s="107" t="str">
        <f>IF(LEN(Table1722[[#This Row],[Uraian]])&gt;2,TRIM(RIGHT(SUBSTITUTE(TRIM(C6602)," ",REPT(" ",255)),255))," ")</f>
        <v xml:space="preserve"> </v>
      </c>
      <c r="G6602" s="110">
        <f>COPY!Z6594</f>
        <v>0</v>
      </c>
      <c r="H6602" s="111" t="str">
        <f>IFERROR(VLOOKUP(Table1722[[#This Row],[Bukti]],'Un nOTA'!$A$4:$K$5003,10,FALSE),"")</f>
        <v/>
      </c>
      <c r="I6602" s="123" t="str">
        <f>IFERROR(VLOOKUP(Table1722[[#This Row],[Bukti]],Table13[#Data],11,FALSE),"")</f>
        <v/>
      </c>
    </row>
    <row r="6603" spans="1:9" hidden="1" x14ac:dyDescent="0.2">
      <c r="A6603" s="105" t="str">
        <f>IF(D6603=1,COUNTIF($D$10:D6603,1)," ")</f>
        <v xml:space="preserve"> </v>
      </c>
      <c r="B6603" s="106">
        <f>COPY!AR6595</f>
        <v>0</v>
      </c>
      <c r="C6603" s="107">
        <f>COPY!AC6595</f>
        <v>0</v>
      </c>
      <c r="D6603" s="107" t="str">
        <f>IF(LEN(Table1722[[#This Row],[Uraian]])&gt;2,1," ")</f>
        <v xml:space="preserve"> </v>
      </c>
      <c r="E6603" s="113" t="str">
        <f>IF(Table1722[[#This Row],[Lawan Transaksi]]="CV AGUNG KARYA",COUNTIF($I$10:I6603,"CV AGUNG KARYA")," ")</f>
        <v xml:space="preserve"> </v>
      </c>
      <c r="F6603" s="107" t="str">
        <f>IF(LEN(Table1722[[#This Row],[Uraian]])&gt;2,TRIM(RIGHT(SUBSTITUTE(TRIM(C6603)," ",REPT(" ",255)),255))," ")</f>
        <v xml:space="preserve"> </v>
      </c>
      <c r="G6603" s="110">
        <f>COPY!Z6595</f>
        <v>0</v>
      </c>
      <c r="H6603" s="111" t="str">
        <f>IFERROR(VLOOKUP(Table1722[[#This Row],[Bukti]],'Un nOTA'!$A$4:$K$5003,10,FALSE),"")</f>
        <v/>
      </c>
      <c r="I6603" s="123" t="str">
        <f>IFERROR(VLOOKUP(Table1722[[#This Row],[Bukti]],Table13[#Data],11,FALSE),"")</f>
        <v/>
      </c>
    </row>
    <row r="6604" spans="1:9" hidden="1" x14ac:dyDescent="0.2">
      <c r="A6604" s="105" t="str">
        <f>IF(D6604=1,COUNTIF($D$10:D6604,1)," ")</f>
        <v xml:space="preserve"> </v>
      </c>
      <c r="B6604" s="106">
        <f>COPY!AR6596</f>
        <v>0</v>
      </c>
      <c r="C6604" s="107">
        <f>COPY!AC6596</f>
        <v>0</v>
      </c>
      <c r="D6604" s="107" t="str">
        <f>IF(LEN(Table1722[[#This Row],[Uraian]])&gt;2,1," ")</f>
        <v xml:space="preserve"> </v>
      </c>
      <c r="E6604" s="113" t="str">
        <f>IF(Table1722[[#This Row],[Lawan Transaksi]]="CV AGUNG KARYA",COUNTIF($I$10:I6604,"CV AGUNG KARYA")," ")</f>
        <v xml:space="preserve"> </v>
      </c>
      <c r="F6604" s="107" t="str">
        <f>IF(LEN(Table1722[[#This Row],[Uraian]])&gt;2,TRIM(RIGHT(SUBSTITUTE(TRIM(C6604)," ",REPT(" ",255)),255))," ")</f>
        <v xml:space="preserve"> </v>
      </c>
      <c r="G6604" s="110">
        <f>COPY!Z6596</f>
        <v>0</v>
      </c>
      <c r="H6604" s="111" t="str">
        <f>IFERROR(VLOOKUP(Table1722[[#This Row],[Bukti]],'Un nOTA'!$A$4:$K$5003,10,FALSE),"")</f>
        <v/>
      </c>
      <c r="I6604" s="123" t="str">
        <f>IFERROR(VLOOKUP(Table1722[[#This Row],[Bukti]],Table13[#Data],11,FALSE),"")</f>
        <v/>
      </c>
    </row>
    <row r="6605" spans="1:9" hidden="1" x14ac:dyDescent="0.2">
      <c r="A6605" s="105" t="str">
        <f>IF(D6605=1,COUNTIF($D$10:D6605,1)," ")</f>
        <v xml:space="preserve"> </v>
      </c>
      <c r="B6605" s="106">
        <f>COPY!AR6597</f>
        <v>0</v>
      </c>
      <c r="C6605" s="107">
        <f>COPY!AC6597</f>
        <v>0</v>
      </c>
      <c r="D6605" s="107" t="str">
        <f>IF(LEN(Table1722[[#This Row],[Uraian]])&gt;2,1," ")</f>
        <v xml:space="preserve"> </v>
      </c>
      <c r="E6605" s="113" t="str">
        <f>IF(Table1722[[#This Row],[Lawan Transaksi]]="CV AGUNG KARYA",COUNTIF($I$10:I6605,"CV AGUNG KARYA")," ")</f>
        <v xml:space="preserve"> </v>
      </c>
      <c r="F6605" s="107" t="str">
        <f>IF(LEN(Table1722[[#This Row],[Uraian]])&gt;2,TRIM(RIGHT(SUBSTITUTE(TRIM(C6605)," ",REPT(" ",255)),255))," ")</f>
        <v xml:space="preserve"> </v>
      </c>
      <c r="G6605" s="110">
        <f>COPY!Z6597</f>
        <v>0</v>
      </c>
      <c r="H6605" s="111" t="str">
        <f>IFERROR(VLOOKUP(Table1722[[#This Row],[Bukti]],'Un nOTA'!$A$4:$K$5003,10,FALSE),"")</f>
        <v/>
      </c>
      <c r="I6605" s="123" t="str">
        <f>IFERROR(VLOOKUP(Table1722[[#This Row],[Bukti]],Table13[#Data],11,FALSE),"")</f>
        <v/>
      </c>
    </row>
    <row r="6606" spans="1:9" hidden="1" x14ac:dyDescent="0.2">
      <c r="A6606" s="105" t="str">
        <f>IF(D6606=1,COUNTIF($D$10:D6606,1)," ")</f>
        <v xml:space="preserve"> </v>
      </c>
      <c r="B6606" s="106">
        <f>COPY!AR6598</f>
        <v>0</v>
      </c>
      <c r="C6606" s="107">
        <f>COPY!AC6598</f>
        <v>0</v>
      </c>
      <c r="D6606" s="107" t="str">
        <f>IF(LEN(Table1722[[#This Row],[Uraian]])&gt;2,1," ")</f>
        <v xml:space="preserve"> </v>
      </c>
      <c r="E6606" s="113" t="str">
        <f>IF(Table1722[[#This Row],[Lawan Transaksi]]="CV AGUNG KARYA",COUNTIF($I$10:I6606,"CV AGUNG KARYA")," ")</f>
        <v xml:space="preserve"> </v>
      </c>
      <c r="F6606" s="107" t="str">
        <f>IF(LEN(Table1722[[#This Row],[Uraian]])&gt;2,TRIM(RIGHT(SUBSTITUTE(TRIM(C6606)," ",REPT(" ",255)),255))," ")</f>
        <v xml:space="preserve"> </v>
      </c>
      <c r="G6606" s="110">
        <f>COPY!Z6598</f>
        <v>0</v>
      </c>
      <c r="H6606" s="111" t="str">
        <f>IFERROR(VLOOKUP(Table1722[[#This Row],[Bukti]],'Un nOTA'!$A$4:$K$5003,10,FALSE),"")</f>
        <v/>
      </c>
      <c r="I6606" s="123" t="str">
        <f>IFERROR(VLOOKUP(Table1722[[#This Row],[Bukti]],Table13[#Data],11,FALSE),"")</f>
        <v/>
      </c>
    </row>
    <row r="6607" spans="1:9" hidden="1" x14ac:dyDescent="0.2">
      <c r="A6607" s="105" t="str">
        <f>IF(D6607=1,COUNTIF($D$10:D6607,1)," ")</f>
        <v xml:space="preserve"> </v>
      </c>
      <c r="B6607" s="106">
        <f>COPY!AR6599</f>
        <v>0</v>
      </c>
      <c r="C6607" s="107">
        <f>COPY!AC6599</f>
        <v>0</v>
      </c>
      <c r="D6607" s="107" t="str">
        <f>IF(LEN(Table1722[[#This Row],[Uraian]])&gt;2,1," ")</f>
        <v xml:space="preserve"> </v>
      </c>
      <c r="E6607" s="113" t="str">
        <f>IF(Table1722[[#This Row],[Lawan Transaksi]]="CV AGUNG KARYA",COUNTIF($I$10:I6607,"CV AGUNG KARYA")," ")</f>
        <v xml:space="preserve"> </v>
      </c>
      <c r="F6607" s="107" t="str">
        <f>IF(LEN(Table1722[[#This Row],[Uraian]])&gt;2,TRIM(RIGHT(SUBSTITUTE(TRIM(C6607)," ",REPT(" ",255)),255))," ")</f>
        <v xml:space="preserve"> </v>
      </c>
      <c r="G6607" s="110">
        <f>COPY!Z6599</f>
        <v>0</v>
      </c>
      <c r="H6607" s="111" t="str">
        <f>IFERROR(VLOOKUP(Table1722[[#This Row],[Bukti]],'Un nOTA'!$A$4:$K$5003,10,FALSE),"")</f>
        <v/>
      </c>
      <c r="I6607" s="123" t="str">
        <f>IFERROR(VLOOKUP(Table1722[[#This Row],[Bukti]],Table13[#Data],11,FALSE),"")</f>
        <v/>
      </c>
    </row>
    <row r="6608" spans="1:9" hidden="1" x14ac:dyDescent="0.2">
      <c r="A6608" s="105" t="str">
        <f>IF(D6608=1,COUNTIF($D$10:D6608,1)," ")</f>
        <v xml:space="preserve"> </v>
      </c>
      <c r="B6608" s="106">
        <f>COPY!AR6600</f>
        <v>0</v>
      </c>
      <c r="C6608" s="107">
        <f>COPY!AC6600</f>
        <v>0</v>
      </c>
      <c r="D6608" s="107" t="str">
        <f>IF(LEN(Table1722[[#This Row],[Uraian]])&gt;2,1," ")</f>
        <v xml:space="preserve"> </v>
      </c>
      <c r="E6608" s="113" t="str">
        <f>IF(Table1722[[#This Row],[Lawan Transaksi]]="CV AGUNG KARYA",COUNTIF($I$10:I6608,"CV AGUNG KARYA")," ")</f>
        <v xml:space="preserve"> </v>
      </c>
      <c r="F6608" s="107" t="str">
        <f>IF(LEN(Table1722[[#This Row],[Uraian]])&gt;2,TRIM(RIGHT(SUBSTITUTE(TRIM(C6608)," ",REPT(" ",255)),255))," ")</f>
        <v xml:space="preserve"> </v>
      </c>
      <c r="G6608" s="110">
        <f>COPY!Z6600</f>
        <v>0</v>
      </c>
      <c r="H6608" s="111" t="str">
        <f>IFERROR(VLOOKUP(Table1722[[#This Row],[Bukti]],'Un nOTA'!$A$4:$K$5003,10,FALSE),"")</f>
        <v/>
      </c>
      <c r="I6608" s="123" t="str">
        <f>IFERROR(VLOOKUP(Table1722[[#This Row],[Bukti]],Table13[#Data],11,FALSE),"")</f>
        <v/>
      </c>
    </row>
    <row r="6609" spans="1:9" hidden="1" x14ac:dyDescent="0.2">
      <c r="A6609" s="105" t="str">
        <f>IF(D6609=1,COUNTIF($D$10:D6609,1)," ")</f>
        <v xml:space="preserve"> </v>
      </c>
      <c r="B6609" s="106">
        <f>COPY!AR6601</f>
        <v>0</v>
      </c>
      <c r="C6609" s="107">
        <f>COPY!AC6601</f>
        <v>0</v>
      </c>
      <c r="D6609" s="107" t="str">
        <f>IF(LEN(Table1722[[#This Row],[Uraian]])&gt;2,1," ")</f>
        <v xml:space="preserve"> </v>
      </c>
      <c r="E6609" s="113" t="str">
        <f>IF(Table1722[[#This Row],[Lawan Transaksi]]="CV AGUNG KARYA",COUNTIF($I$10:I6609,"CV AGUNG KARYA")," ")</f>
        <v xml:space="preserve"> </v>
      </c>
      <c r="F6609" s="107" t="str">
        <f>IF(LEN(Table1722[[#This Row],[Uraian]])&gt;2,TRIM(RIGHT(SUBSTITUTE(TRIM(C6609)," ",REPT(" ",255)),255))," ")</f>
        <v xml:space="preserve"> </v>
      </c>
      <c r="G6609" s="110">
        <f>COPY!Z6601</f>
        <v>0</v>
      </c>
      <c r="H6609" s="111" t="str">
        <f>IFERROR(VLOOKUP(Table1722[[#This Row],[Bukti]],'Un nOTA'!$A$4:$K$5003,10,FALSE),"")</f>
        <v/>
      </c>
      <c r="I6609" s="123" t="str">
        <f>IFERROR(VLOOKUP(Table1722[[#This Row],[Bukti]],Table13[#Data],11,FALSE),"")</f>
        <v/>
      </c>
    </row>
    <row r="6610" spans="1:9" hidden="1" x14ac:dyDescent="0.2">
      <c r="A6610" s="105" t="str">
        <f>IF(D6610=1,COUNTIF($D$10:D6610,1)," ")</f>
        <v xml:space="preserve"> </v>
      </c>
      <c r="B6610" s="106">
        <f>COPY!AR6602</f>
        <v>0</v>
      </c>
      <c r="C6610" s="107">
        <f>COPY!AC6602</f>
        <v>0</v>
      </c>
      <c r="D6610" s="107" t="str">
        <f>IF(LEN(Table1722[[#This Row],[Uraian]])&gt;2,1," ")</f>
        <v xml:space="preserve"> </v>
      </c>
      <c r="E6610" s="113" t="str">
        <f>IF(Table1722[[#This Row],[Lawan Transaksi]]="CV AGUNG KARYA",COUNTIF($I$10:I6610,"CV AGUNG KARYA")," ")</f>
        <v xml:space="preserve"> </v>
      </c>
      <c r="F6610" s="107" t="str">
        <f>IF(LEN(Table1722[[#This Row],[Uraian]])&gt;2,TRIM(RIGHT(SUBSTITUTE(TRIM(C6610)," ",REPT(" ",255)),255))," ")</f>
        <v xml:space="preserve"> </v>
      </c>
      <c r="G6610" s="110">
        <f>COPY!Z6602</f>
        <v>0</v>
      </c>
      <c r="H6610" s="111" t="str">
        <f>IFERROR(VLOOKUP(Table1722[[#This Row],[Bukti]],'Un nOTA'!$A$4:$K$5003,10,FALSE),"")</f>
        <v/>
      </c>
      <c r="I6610" s="123" t="str">
        <f>IFERROR(VLOOKUP(Table1722[[#This Row],[Bukti]],Table13[#Data],11,FALSE),"")</f>
        <v/>
      </c>
    </row>
    <row r="6611" spans="1:9" hidden="1" x14ac:dyDescent="0.2">
      <c r="A6611" s="105" t="str">
        <f>IF(D6611=1,COUNTIF($D$10:D6611,1)," ")</f>
        <v xml:space="preserve"> </v>
      </c>
      <c r="B6611" s="106">
        <f>COPY!AR6603</f>
        <v>0</v>
      </c>
      <c r="C6611" s="107">
        <f>COPY!AC6603</f>
        <v>0</v>
      </c>
      <c r="D6611" s="107" t="str">
        <f>IF(LEN(Table1722[[#This Row],[Uraian]])&gt;2,1," ")</f>
        <v xml:space="preserve"> </v>
      </c>
      <c r="E6611" s="113" t="str">
        <f>IF(Table1722[[#This Row],[Lawan Transaksi]]="CV AGUNG KARYA",COUNTIF($I$10:I6611,"CV AGUNG KARYA")," ")</f>
        <v xml:space="preserve"> </v>
      </c>
      <c r="F6611" s="107" t="str">
        <f>IF(LEN(Table1722[[#This Row],[Uraian]])&gt;2,TRIM(RIGHT(SUBSTITUTE(TRIM(C6611)," ",REPT(" ",255)),255))," ")</f>
        <v xml:space="preserve"> </v>
      </c>
      <c r="G6611" s="110">
        <f>COPY!Z6603</f>
        <v>0</v>
      </c>
      <c r="H6611" s="111" t="str">
        <f>IFERROR(VLOOKUP(Table1722[[#This Row],[Bukti]],'Un nOTA'!$A$4:$K$5003,10,FALSE),"")</f>
        <v/>
      </c>
      <c r="I6611" s="123" t="str">
        <f>IFERROR(VLOOKUP(Table1722[[#This Row],[Bukti]],Table13[#Data],11,FALSE),"")</f>
        <v/>
      </c>
    </row>
    <row r="6612" spans="1:9" hidden="1" x14ac:dyDescent="0.2">
      <c r="A6612" s="105" t="str">
        <f>IF(D6612=1,COUNTIF($D$10:D6612,1)," ")</f>
        <v xml:space="preserve"> </v>
      </c>
      <c r="B6612" s="106">
        <f>COPY!AR6604</f>
        <v>0</v>
      </c>
      <c r="C6612" s="107">
        <f>COPY!AC6604</f>
        <v>0</v>
      </c>
      <c r="D6612" s="107" t="str">
        <f>IF(LEN(Table1722[[#This Row],[Uraian]])&gt;2,1," ")</f>
        <v xml:space="preserve"> </v>
      </c>
      <c r="E6612" s="113" t="str">
        <f>IF(Table1722[[#This Row],[Lawan Transaksi]]="CV AGUNG KARYA",COUNTIF($I$10:I6612,"CV AGUNG KARYA")," ")</f>
        <v xml:space="preserve"> </v>
      </c>
      <c r="F6612" s="107" t="str">
        <f>IF(LEN(Table1722[[#This Row],[Uraian]])&gt;2,TRIM(RIGHT(SUBSTITUTE(TRIM(C6612)," ",REPT(" ",255)),255))," ")</f>
        <v xml:space="preserve"> </v>
      </c>
      <c r="G6612" s="110">
        <f>COPY!Z6604</f>
        <v>0</v>
      </c>
      <c r="H6612" s="111" t="str">
        <f>IFERROR(VLOOKUP(Table1722[[#This Row],[Bukti]],'Un nOTA'!$A$4:$K$5003,10,FALSE),"")</f>
        <v/>
      </c>
      <c r="I6612" s="123" t="str">
        <f>IFERROR(VLOOKUP(Table1722[[#This Row],[Bukti]],Table13[#Data],11,FALSE),"")</f>
        <v/>
      </c>
    </row>
    <row r="6613" spans="1:9" hidden="1" x14ac:dyDescent="0.2">
      <c r="A6613" s="105" t="str">
        <f>IF(D6613=1,COUNTIF($D$10:D6613,1)," ")</f>
        <v xml:space="preserve"> </v>
      </c>
      <c r="B6613" s="106">
        <f>COPY!AR6605</f>
        <v>0</v>
      </c>
      <c r="C6613" s="107">
        <f>COPY!AC6605</f>
        <v>0</v>
      </c>
      <c r="D6613" s="107" t="str">
        <f>IF(LEN(Table1722[[#This Row],[Uraian]])&gt;2,1," ")</f>
        <v xml:space="preserve"> </v>
      </c>
      <c r="E6613" s="113" t="str">
        <f>IF(Table1722[[#This Row],[Lawan Transaksi]]="CV AGUNG KARYA",COUNTIF($I$10:I6613,"CV AGUNG KARYA")," ")</f>
        <v xml:space="preserve"> </v>
      </c>
      <c r="F6613" s="107" t="str">
        <f>IF(LEN(Table1722[[#This Row],[Uraian]])&gt;2,TRIM(RIGHT(SUBSTITUTE(TRIM(C6613)," ",REPT(" ",255)),255))," ")</f>
        <v xml:space="preserve"> </v>
      </c>
      <c r="G6613" s="110">
        <f>COPY!Z6605</f>
        <v>0</v>
      </c>
      <c r="H6613" s="111" t="str">
        <f>IFERROR(VLOOKUP(Table1722[[#This Row],[Bukti]],'Un nOTA'!$A$4:$K$5003,10,FALSE),"")</f>
        <v/>
      </c>
      <c r="I6613" s="123" t="str">
        <f>IFERROR(VLOOKUP(Table1722[[#This Row],[Bukti]],Table13[#Data],11,FALSE),"")</f>
        <v/>
      </c>
    </row>
    <row r="6614" spans="1:9" hidden="1" x14ac:dyDescent="0.2">
      <c r="A6614" s="105" t="str">
        <f>IF(D6614=1,COUNTIF($D$10:D6614,1)," ")</f>
        <v xml:space="preserve"> </v>
      </c>
      <c r="B6614" s="106">
        <f>COPY!AR6606</f>
        <v>0</v>
      </c>
      <c r="C6614" s="107">
        <f>COPY!AC6606</f>
        <v>0</v>
      </c>
      <c r="D6614" s="107" t="str">
        <f>IF(LEN(Table1722[[#This Row],[Uraian]])&gt;2,1," ")</f>
        <v xml:space="preserve"> </v>
      </c>
      <c r="E6614" s="113" t="str">
        <f>IF(Table1722[[#This Row],[Lawan Transaksi]]="CV AGUNG KARYA",COUNTIF($I$10:I6614,"CV AGUNG KARYA")," ")</f>
        <v xml:space="preserve"> </v>
      </c>
      <c r="F6614" s="107" t="str">
        <f>IF(LEN(Table1722[[#This Row],[Uraian]])&gt;2,TRIM(RIGHT(SUBSTITUTE(TRIM(C6614)," ",REPT(" ",255)),255))," ")</f>
        <v xml:space="preserve"> </v>
      </c>
      <c r="G6614" s="110">
        <f>COPY!Z6606</f>
        <v>0</v>
      </c>
      <c r="H6614" s="111" t="str">
        <f>IFERROR(VLOOKUP(Table1722[[#This Row],[Bukti]],'Un nOTA'!$A$4:$K$5003,10,FALSE),"")</f>
        <v/>
      </c>
      <c r="I6614" s="123" t="str">
        <f>IFERROR(VLOOKUP(Table1722[[#This Row],[Bukti]],Table13[#Data],11,FALSE),"")</f>
        <v/>
      </c>
    </row>
    <row r="6615" spans="1:9" hidden="1" x14ac:dyDescent="0.2">
      <c r="A6615" s="105" t="str">
        <f>IF(D6615=1,COUNTIF($D$10:D6615,1)," ")</f>
        <v xml:space="preserve"> </v>
      </c>
      <c r="B6615" s="106">
        <f>COPY!AR6607</f>
        <v>0</v>
      </c>
      <c r="C6615" s="107">
        <f>COPY!AC6607</f>
        <v>0</v>
      </c>
      <c r="D6615" s="107" t="str">
        <f>IF(LEN(Table1722[[#This Row],[Uraian]])&gt;2,1," ")</f>
        <v xml:space="preserve"> </v>
      </c>
      <c r="E6615" s="113" t="str">
        <f>IF(Table1722[[#This Row],[Lawan Transaksi]]="CV AGUNG KARYA",COUNTIF($I$10:I6615,"CV AGUNG KARYA")," ")</f>
        <v xml:space="preserve"> </v>
      </c>
      <c r="F6615" s="107" t="str">
        <f>IF(LEN(Table1722[[#This Row],[Uraian]])&gt;2,TRIM(RIGHT(SUBSTITUTE(TRIM(C6615)," ",REPT(" ",255)),255))," ")</f>
        <v xml:space="preserve"> </v>
      </c>
      <c r="G6615" s="110">
        <f>COPY!Z6607</f>
        <v>0</v>
      </c>
      <c r="H6615" s="111" t="str">
        <f>IFERROR(VLOOKUP(Table1722[[#This Row],[Bukti]],'Un nOTA'!$A$4:$K$5003,10,FALSE),"")</f>
        <v/>
      </c>
      <c r="I6615" s="123" t="str">
        <f>IFERROR(VLOOKUP(Table1722[[#This Row],[Bukti]],Table13[#Data],11,FALSE),"")</f>
        <v/>
      </c>
    </row>
    <row r="6616" spans="1:9" hidden="1" x14ac:dyDescent="0.2">
      <c r="A6616" s="105" t="str">
        <f>IF(D6616=1,COUNTIF($D$10:D6616,1)," ")</f>
        <v xml:space="preserve"> </v>
      </c>
      <c r="B6616" s="106">
        <f>COPY!AR6608</f>
        <v>0</v>
      </c>
      <c r="C6616" s="107">
        <f>COPY!AC6608</f>
        <v>0</v>
      </c>
      <c r="D6616" s="107" t="str">
        <f>IF(LEN(Table1722[[#This Row],[Uraian]])&gt;2,1," ")</f>
        <v xml:space="preserve"> </v>
      </c>
      <c r="E6616" s="113" t="str">
        <f>IF(Table1722[[#This Row],[Lawan Transaksi]]="CV AGUNG KARYA",COUNTIF($I$10:I6616,"CV AGUNG KARYA")," ")</f>
        <v xml:space="preserve"> </v>
      </c>
      <c r="F6616" s="107" t="str">
        <f>IF(LEN(Table1722[[#This Row],[Uraian]])&gt;2,TRIM(RIGHT(SUBSTITUTE(TRIM(C6616)," ",REPT(" ",255)),255))," ")</f>
        <v xml:space="preserve"> </v>
      </c>
      <c r="G6616" s="110">
        <f>COPY!Z6608</f>
        <v>0</v>
      </c>
      <c r="H6616" s="111" t="str">
        <f>IFERROR(VLOOKUP(Table1722[[#This Row],[Bukti]],'Un nOTA'!$A$4:$K$5003,10,FALSE),"")</f>
        <v/>
      </c>
      <c r="I6616" s="123" t="str">
        <f>IFERROR(VLOOKUP(Table1722[[#This Row],[Bukti]],Table13[#Data],11,FALSE),"")</f>
        <v/>
      </c>
    </row>
    <row r="6617" spans="1:9" hidden="1" x14ac:dyDescent="0.2">
      <c r="A6617" s="105" t="str">
        <f>IF(D6617=1,COUNTIF($D$10:D6617,1)," ")</f>
        <v xml:space="preserve"> </v>
      </c>
      <c r="B6617" s="106">
        <f>COPY!AR6609</f>
        <v>0</v>
      </c>
      <c r="C6617" s="107">
        <f>COPY!AC6609</f>
        <v>0</v>
      </c>
      <c r="D6617" s="107" t="str">
        <f>IF(LEN(Table1722[[#This Row],[Uraian]])&gt;2,1," ")</f>
        <v xml:space="preserve"> </v>
      </c>
      <c r="E6617" s="113" t="str">
        <f>IF(Table1722[[#This Row],[Lawan Transaksi]]="CV AGUNG KARYA",COUNTIF($I$10:I6617,"CV AGUNG KARYA")," ")</f>
        <v xml:space="preserve"> </v>
      </c>
      <c r="F6617" s="107" t="str">
        <f>IF(LEN(Table1722[[#This Row],[Uraian]])&gt;2,TRIM(RIGHT(SUBSTITUTE(TRIM(C6617)," ",REPT(" ",255)),255))," ")</f>
        <v xml:space="preserve"> </v>
      </c>
      <c r="G6617" s="110">
        <f>COPY!Z6609</f>
        <v>0</v>
      </c>
      <c r="H6617" s="111" t="str">
        <f>IFERROR(VLOOKUP(Table1722[[#This Row],[Bukti]],'Un nOTA'!$A$4:$K$5003,10,FALSE),"")</f>
        <v/>
      </c>
      <c r="I6617" s="123" t="str">
        <f>IFERROR(VLOOKUP(Table1722[[#This Row],[Bukti]],Table13[#Data],11,FALSE),"")</f>
        <v/>
      </c>
    </row>
    <row r="6618" spans="1:9" hidden="1" x14ac:dyDescent="0.2">
      <c r="A6618" s="105" t="str">
        <f>IF(D6618=1,COUNTIF($D$10:D6618,1)," ")</f>
        <v xml:space="preserve"> </v>
      </c>
      <c r="B6618" s="106">
        <f>COPY!AR6610</f>
        <v>0</v>
      </c>
      <c r="C6618" s="107">
        <f>COPY!AC6610</f>
        <v>0</v>
      </c>
      <c r="D6618" s="107" t="str">
        <f>IF(LEN(Table1722[[#This Row],[Uraian]])&gt;2,1," ")</f>
        <v xml:space="preserve"> </v>
      </c>
      <c r="E6618" s="113" t="str">
        <f>IF(Table1722[[#This Row],[Lawan Transaksi]]="CV AGUNG KARYA",COUNTIF($I$10:I6618,"CV AGUNG KARYA")," ")</f>
        <v xml:space="preserve"> </v>
      </c>
      <c r="F6618" s="107" t="str">
        <f>IF(LEN(Table1722[[#This Row],[Uraian]])&gt;2,TRIM(RIGHT(SUBSTITUTE(TRIM(C6618)," ",REPT(" ",255)),255))," ")</f>
        <v xml:space="preserve"> </v>
      </c>
      <c r="G6618" s="110">
        <f>COPY!Z6610</f>
        <v>0</v>
      </c>
      <c r="H6618" s="111" t="str">
        <f>IFERROR(VLOOKUP(Table1722[[#This Row],[Bukti]],'Un nOTA'!$A$4:$K$5003,10,FALSE),"")</f>
        <v/>
      </c>
      <c r="I6618" s="123" t="str">
        <f>IFERROR(VLOOKUP(Table1722[[#This Row],[Bukti]],Table13[#Data],11,FALSE),"")</f>
        <v/>
      </c>
    </row>
    <row r="6619" spans="1:9" hidden="1" x14ac:dyDescent="0.2">
      <c r="A6619" s="105" t="str">
        <f>IF(D6619=1,COUNTIF($D$10:D6619,1)," ")</f>
        <v xml:space="preserve"> </v>
      </c>
      <c r="B6619" s="106">
        <f>COPY!AR6611</f>
        <v>0</v>
      </c>
      <c r="C6619" s="107">
        <f>COPY!AC6611</f>
        <v>0</v>
      </c>
      <c r="D6619" s="107" t="str">
        <f>IF(LEN(Table1722[[#This Row],[Uraian]])&gt;2,1," ")</f>
        <v xml:space="preserve"> </v>
      </c>
      <c r="E6619" s="113" t="str">
        <f>IF(Table1722[[#This Row],[Lawan Transaksi]]="CV AGUNG KARYA",COUNTIF($I$10:I6619,"CV AGUNG KARYA")," ")</f>
        <v xml:space="preserve"> </v>
      </c>
      <c r="F6619" s="107" t="str">
        <f>IF(LEN(Table1722[[#This Row],[Uraian]])&gt;2,TRIM(RIGHT(SUBSTITUTE(TRIM(C6619)," ",REPT(" ",255)),255))," ")</f>
        <v xml:space="preserve"> </v>
      </c>
      <c r="G6619" s="110">
        <f>COPY!Z6611</f>
        <v>0</v>
      </c>
      <c r="H6619" s="111" t="str">
        <f>IFERROR(VLOOKUP(Table1722[[#This Row],[Bukti]],'Un nOTA'!$A$4:$K$5003,10,FALSE),"")</f>
        <v/>
      </c>
      <c r="I6619" s="123" t="str">
        <f>IFERROR(VLOOKUP(Table1722[[#This Row],[Bukti]],Table13[#Data],11,FALSE),"")</f>
        <v/>
      </c>
    </row>
    <row r="6620" spans="1:9" hidden="1" x14ac:dyDescent="0.2">
      <c r="A6620" s="105" t="str">
        <f>IF(D6620=1,COUNTIF($D$10:D6620,1)," ")</f>
        <v xml:space="preserve"> </v>
      </c>
      <c r="B6620" s="106">
        <f>COPY!AR6612</f>
        <v>0</v>
      </c>
      <c r="C6620" s="107">
        <f>COPY!AC6612</f>
        <v>0</v>
      </c>
      <c r="D6620" s="107" t="str">
        <f>IF(LEN(Table1722[[#This Row],[Uraian]])&gt;2,1," ")</f>
        <v xml:space="preserve"> </v>
      </c>
      <c r="E6620" s="113" t="str">
        <f>IF(Table1722[[#This Row],[Lawan Transaksi]]="CV AGUNG KARYA",COUNTIF($I$10:I6620,"CV AGUNG KARYA")," ")</f>
        <v xml:space="preserve"> </v>
      </c>
      <c r="F6620" s="107" t="str">
        <f>IF(LEN(Table1722[[#This Row],[Uraian]])&gt;2,TRIM(RIGHT(SUBSTITUTE(TRIM(C6620)," ",REPT(" ",255)),255))," ")</f>
        <v xml:space="preserve"> </v>
      </c>
      <c r="G6620" s="110">
        <f>COPY!Z6612</f>
        <v>0</v>
      </c>
      <c r="H6620" s="111" t="str">
        <f>IFERROR(VLOOKUP(Table1722[[#This Row],[Bukti]],'Un nOTA'!$A$4:$K$5003,10,FALSE),"")</f>
        <v/>
      </c>
      <c r="I6620" s="123" t="str">
        <f>IFERROR(VLOOKUP(Table1722[[#This Row],[Bukti]],Table13[#Data],11,FALSE),"")</f>
        <v/>
      </c>
    </row>
    <row r="6621" spans="1:9" hidden="1" x14ac:dyDescent="0.2">
      <c r="A6621" s="105" t="str">
        <f>IF(D6621=1,COUNTIF($D$10:D6621,1)," ")</f>
        <v xml:space="preserve"> </v>
      </c>
      <c r="B6621" s="106">
        <f>COPY!AR6613</f>
        <v>0</v>
      </c>
      <c r="C6621" s="107">
        <f>COPY!AC6613</f>
        <v>0</v>
      </c>
      <c r="D6621" s="107" t="str">
        <f>IF(LEN(Table1722[[#This Row],[Uraian]])&gt;2,1," ")</f>
        <v xml:space="preserve"> </v>
      </c>
      <c r="E6621" s="113" t="str">
        <f>IF(Table1722[[#This Row],[Lawan Transaksi]]="CV AGUNG KARYA",COUNTIF($I$10:I6621,"CV AGUNG KARYA")," ")</f>
        <v xml:space="preserve"> </v>
      </c>
      <c r="F6621" s="107" t="str">
        <f>IF(LEN(Table1722[[#This Row],[Uraian]])&gt;2,TRIM(RIGHT(SUBSTITUTE(TRIM(C6621)," ",REPT(" ",255)),255))," ")</f>
        <v xml:space="preserve"> </v>
      </c>
      <c r="G6621" s="110">
        <f>COPY!Z6613</f>
        <v>0</v>
      </c>
      <c r="H6621" s="111" t="str">
        <f>IFERROR(VLOOKUP(Table1722[[#This Row],[Bukti]],'Un nOTA'!$A$4:$K$5003,10,FALSE),"")</f>
        <v/>
      </c>
      <c r="I6621" s="123" t="str">
        <f>IFERROR(VLOOKUP(Table1722[[#This Row],[Bukti]],Table13[#Data],11,FALSE),"")</f>
        <v/>
      </c>
    </row>
    <row r="6622" spans="1:9" hidden="1" x14ac:dyDescent="0.2">
      <c r="A6622" s="105" t="str">
        <f>IF(D6622=1,COUNTIF($D$10:D6622,1)," ")</f>
        <v xml:space="preserve"> </v>
      </c>
      <c r="B6622" s="106">
        <f>COPY!AR6614</f>
        <v>0</v>
      </c>
      <c r="C6622" s="107">
        <f>COPY!AC6614</f>
        <v>0</v>
      </c>
      <c r="D6622" s="107" t="str">
        <f>IF(LEN(Table1722[[#This Row],[Uraian]])&gt;2,1," ")</f>
        <v xml:space="preserve"> </v>
      </c>
      <c r="E6622" s="113" t="str">
        <f>IF(Table1722[[#This Row],[Lawan Transaksi]]="CV AGUNG KARYA",COUNTIF($I$10:I6622,"CV AGUNG KARYA")," ")</f>
        <v xml:space="preserve"> </v>
      </c>
      <c r="F6622" s="107" t="str">
        <f>IF(LEN(Table1722[[#This Row],[Uraian]])&gt;2,TRIM(RIGHT(SUBSTITUTE(TRIM(C6622)," ",REPT(" ",255)),255))," ")</f>
        <v xml:space="preserve"> </v>
      </c>
      <c r="G6622" s="110">
        <f>COPY!Z6614</f>
        <v>0</v>
      </c>
      <c r="H6622" s="111" t="str">
        <f>IFERROR(VLOOKUP(Table1722[[#This Row],[Bukti]],'Un nOTA'!$A$4:$K$5003,10,FALSE),"")</f>
        <v/>
      </c>
      <c r="I6622" s="123" t="str">
        <f>IFERROR(VLOOKUP(Table1722[[#This Row],[Bukti]],Table13[#Data],11,FALSE),"")</f>
        <v/>
      </c>
    </row>
    <row r="6623" spans="1:9" hidden="1" x14ac:dyDescent="0.2">
      <c r="A6623" s="105" t="str">
        <f>IF(D6623=1,COUNTIF($D$10:D6623,1)," ")</f>
        <v xml:space="preserve"> </v>
      </c>
      <c r="B6623" s="106">
        <f>COPY!AR6615</f>
        <v>0</v>
      </c>
      <c r="C6623" s="107">
        <f>COPY!AC6615</f>
        <v>0</v>
      </c>
      <c r="D6623" s="107" t="str">
        <f>IF(LEN(Table1722[[#This Row],[Uraian]])&gt;2,1," ")</f>
        <v xml:space="preserve"> </v>
      </c>
      <c r="E6623" s="113" t="str">
        <f>IF(Table1722[[#This Row],[Lawan Transaksi]]="CV AGUNG KARYA",COUNTIF($I$10:I6623,"CV AGUNG KARYA")," ")</f>
        <v xml:space="preserve"> </v>
      </c>
      <c r="F6623" s="107" t="str">
        <f>IF(LEN(Table1722[[#This Row],[Uraian]])&gt;2,TRIM(RIGHT(SUBSTITUTE(TRIM(C6623)," ",REPT(" ",255)),255))," ")</f>
        <v xml:space="preserve"> </v>
      </c>
      <c r="G6623" s="110">
        <f>COPY!Z6615</f>
        <v>0</v>
      </c>
      <c r="H6623" s="111" t="str">
        <f>IFERROR(VLOOKUP(Table1722[[#This Row],[Bukti]],'Un nOTA'!$A$4:$K$5003,10,FALSE),"")</f>
        <v/>
      </c>
      <c r="I6623" s="123" t="str">
        <f>IFERROR(VLOOKUP(Table1722[[#This Row],[Bukti]],Table13[#Data],11,FALSE),"")</f>
        <v/>
      </c>
    </row>
    <row r="6624" spans="1:9" hidden="1" x14ac:dyDescent="0.2">
      <c r="A6624" s="105" t="str">
        <f>IF(D6624=1,COUNTIF($D$10:D6624,1)," ")</f>
        <v xml:space="preserve"> </v>
      </c>
      <c r="B6624" s="106">
        <f>COPY!AR6616</f>
        <v>0</v>
      </c>
      <c r="C6624" s="107">
        <f>COPY!AC6616</f>
        <v>0</v>
      </c>
      <c r="D6624" s="107" t="str">
        <f>IF(LEN(Table1722[[#This Row],[Uraian]])&gt;2,1," ")</f>
        <v xml:space="preserve"> </v>
      </c>
      <c r="E6624" s="113" t="str">
        <f>IF(Table1722[[#This Row],[Lawan Transaksi]]="CV AGUNG KARYA",COUNTIF($I$10:I6624,"CV AGUNG KARYA")," ")</f>
        <v xml:space="preserve"> </v>
      </c>
      <c r="F6624" s="107" t="str">
        <f>IF(LEN(Table1722[[#This Row],[Uraian]])&gt;2,TRIM(RIGHT(SUBSTITUTE(TRIM(C6624)," ",REPT(" ",255)),255))," ")</f>
        <v xml:space="preserve"> </v>
      </c>
      <c r="G6624" s="110">
        <f>COPY!Z6616</f>
        <v>0</v>
      </c>
      <c r="H6624" s="111" t="str">
        <f>IFERROR(VLOOKUP(Table1722[[#This Row],[Bukti]],'Un nOTA'!$A$4:$K$5003,10,FALSE),"")</f>
        <v/>
      </c>
      <c r="I6624" s="123" t="str">
        <f>IFERROR(VLOOKUP(Table1722[[#This Row],[Bukti]],Table13[#Data],11,FALSE),"")</f>
        <v/>
      </c>
    </row>
    <row r="6625" spans="1:9" hidden="1" x14ac:dyDescent="0.2">
      <c r="A6625" s="105" t="str">
        <f>IF(D6625=1,COUNTIF($D$10:D6625,1)," ")</f>
        <v xml:space="preserve"> </v>
      </c>
      <c r="B6625" s="106">
        <f>COPY!AR6617</f>
        <v>0</v>
      </c>
      <c r="C6625" s="107">
        <f>COPY!AC6617</f>
        <v>0</v>
      </c>
      <c r="D6625" s="107" t="str">
        <f>IF(LEN(Table1722[[#This Row],[Uraian]])&gt;2,1," ")</f>
        <v xml:space="preserve"> </v>
      </c>
      <c r="E6625" s="113" t="str">
        <f>IF(Table1722[[#This Row],[Lawan Transaksi]]="CV AGUNG KARYA",COUNTIF($I$10:I6625,"CV AGUNG KARYA")," ")</f>
        <v xml:space="preserve"> </v>
      </c>
      <c r="F6625" s="107" t="str">
        <f>IF(LEN(Table1722[[#This Row],[Uraian]])&gt;2,TRIM(RIGHT(SUBSTITUTE(TRIM(C6625)," ",REPT(" ",255)),255))," ")</f>
        <v xml:space="preserve"> </v>
      </c>
      <c r="G6625" s="110">
        <f>COPY!Z6617</f>
        <v>0</v>
      </c>
      <c r="H6625" s="111" t="str">
        <f>IFERROR(VLOOKUP(Table1722[[#This Row],[Bukti]],'Un nOTA'!$A$4:$K$5003,10,FALSE),"")</f>
        <v/>
      </c>
      <c r="I6625" s="123" t="str">
        <f>IFERROR(VLOOKUP(Table1722[[#This Row],[Bukti]],Table13[#Data],11,FALSE),"")</f>
        <v/>
      </c>
    </row>
    <row r="6626" spans="1:9" hidden="1" x14ac:dyDescent="0.2">
      <c r="A6626" s="105" t="str">
        <f>IF(D6626=1,COUNTIF($D$10:D6626,1)," ")</f>
        <v xml:space="preserve"> </v>
      </c>
      <c r="B6626" s="106">
        <f>COPY!AR6618</f>
        <v>0</v>
      </c>
      <c r="C6626" s="107">
        <f>COPY!AC6618</f>
        <v>0</v>
      </c>
      <c r="D6626" s="107" t="str">
        <f>IF(LEN(Table1722[[#This Row],[Uraian]])&gt;2,1," ")</f>
        <v xml:space="preserve"> </v>
      </c>
      <c r="E6626" s="113" t="str">
        <f>IF(Table1722[[#This Row],[Lawan Transaksi]]="CV AGUNG KARYA",COUNTIF($I$10:I6626,"CV AGUNG KARYA")," ")</f>
        <v xml:space="preserve"> </v>
      </c>
      <c r="F6626" s="107" t="str">
        <f>IF(LEN(Table1722[[#This Row],[Uraian]])&gt;2,TRIM(RIGHT(SUBSTITUTE(TRIM(C6626)," ",REPT(" ",255)),255))," ")</f>
        <v xml:space="preserve"> </v>
      </c>
      <c r="G6626" s="110">
        <f>COPY!Z6618</f>
        <v>0</v>
      </c>
      <c r="H6626" s="111" t="str">
        <f>IFERROR(VLOOKUP(Table1722[[#This Row],[Bukti]],'Un nOTA'!$A$4:$K$5003,10,FALSE),"")</f>
        <v/>
      </c>
      <c r="I6626" s="123" t="str">
        <f>IFERROR(VLOOKUP(Table1722[[#This Row],[Bukti]],Table13[#Data],11,FALSE),"")</f>
        <v/>
      </c>
    </row>
    <row r="6627" spans="1:9" hidden="1" x14ac:dyDescent="0.2">
      <c r="A6627" s="105" t="str">
        <f>IF(D6627=1,COUNTIF($D$10:D6627,1)," ")</f>
        <v xml:space="preserve"> </v>
      </c>
      <c r="B6627" s="106">
        <f>COPY!AR6619</f>
        <v>0</v>
      </c>
      <c r="C6627" s="107">
        <f>COPY!AC6619</f>
        <v>0</v>
      </c>
      <c r="D6627" s="107" t="str">
        <f>IF(LEN(Table1722[[#This Row],[Uraian]])&gt;2,1," ")</f>
        <v xml:space="preserve"> </v>
      </c>
      <c r="E6627" s="113" t="str">
        <f>IF(Table1722[[#This Row],[Lawan Transaksi]]="CV AGUNG KARYA",COUNTIF($I$10:I6627,"CV AGUNG KARYA")," ")</f>
        <v xml:space="preserve"> </v>
      </c>
      <c r="F6627" s="107" t="str">
        <f>IF(LEN(Table1722[[#This Row],[Uraian]])&gt;2,TRIM(RIGHT(SUBSTITUTE(TRIM(C6627)," ",REPT(" ",255)),255))," ")</f>
        <v xml:space="preserve"> </v>
      </c>
      <c r="G6627" s="110">
        <f>COPY!Z6619</f>
        <v>0</v>
      </c>
      <c r="H6627" s="111" t="str">
        <f>IFERROR(VLOOKUP(Table1722[[#This Row],[Bukti]],'Un nOTA'!$A$4:$K$5003,10,FALSE),"")</f>
        <v/>
      </c>
      <c r="I6627" s="123" t="str">
        <f>IFERROR(VLOOKUP(Table1722[[#This Row],[Bukti]],Table13[#Data],11,FALSE),"")</f>
        <v/>
      </c>
    </row>
    <row r="6628" spans="1:9" hidden="1" x14ac:dyDescent="0.2">
      <c r="A6628" s="105" t="str">
        <f>IF(D6628=1,COUNTIF($D$10:D6628,1)," ")</f>
        <v xml:space="preserve"> </v>
      </c>
      <c r="B6628" s="106">
        <f>COPY!AR6620</f>
        <v>0</v>
      </c>
      <c r="C6628" s="107">
        <f>COPY!AC6620</f>
        <v>0</v>
      </c>
      <c r="D6628" s="107" t="str">
        <f>IF(LEN(Table1722[[#This Row],[Uraian]])&gt;2,1," ")</f>
        <v xml:space="preserve"> </v>
      </c>
      <c r="E6628" s="113" t="str">
        <f>IF(Table1722[[#This Row],[Lawan Transaksi]]="CV AGUNG KARYA",COUNTIF($I$10:I6628,"CV AGUNG KARYA")," ")</f>
        <v xml:space="preserve"> </v>
      </c>
      <c r="F6628" s="107" t="str">
        <f>IF(LEN(Table1722[[#This Row],[Uraian]])&gt;2,TRIM(RIGHT(SUBSTITUTE(TRIM(C6628)," ",REPT(" ",255)),255))," ")</f>
        <v xml:space="preserve"> </v>
      </c>
      <c r="G6628" s="110">
        <f>COPY!Z6620</f>
        <v>0</v>
      </c>
      <c r="H6628" s="111" t="str">
        <f>IFERROR(VLOOKUP(Table1722[[#This Row],[Bukti]],'Un nOTA'!$A$4:$K$5003,10,FALSE),"")</f>
        <v/>
      </c>
      <c r="I6628" s="123" t="str">
        <f>IFERROR(VLOOKUP(Table1722[[#This Row],[Bukti]],Table13[#Data],11,FALSE),"")</f>
        <v/>
      </c>
    </row>
    <row r="6629" spans="1:9" hidden="1" x14ac:dyDescent="0.2">
      <c r="A6629" s="105" t="str">
        <f>IF(D6629=1,COUNTIF($D$10:D6629,1)," ")</f>
        <v xml:space="preserve"> </v>
      </c>
      <c r="B6629" s="106">
        <f>COPY!AR6621</f>
        <v>0</v>
      </c>
      <c r="C6629" s="107">
        <f>COPY!AC6621</f>
        <v>0</v>
      </c>
      <c r="D6629" s="107" t="str">
        <f>IF(LEN(Table1722[[#This Row],[Uraian]])&gt;2,1," ")</f>
        <v xml:space="preserve"> </v>
      </c>
      <c r="E6629" s="113" t="str">
        <f>IF(Table1722[[#This Row],[Lawan Transaksi]]="CV AGUNG KARYA",COUNTIF($I$10:I6629,"CV AGUNG KARYA")," ")</f>
        <v xml:space="preserve"> </v>
      </c>
      <c r="F6629" s="107" t="str">
        <f>IF(LEN(Table1722[[#This Row],[Uraian]])&gt;2,TRIM(RIGHT(SUBSTITUTE(TRIM(C6629)," ",REPT(" ",255)),255))," ")</f>
        <v xml:space="preserve"> </v>
      </c>
      <c r="G6629" s="110">
        <f>COPY!Z6621</f>
        <v>0</v>
      </c>
      <c r="H6629" s="111" t="str">
        <f>IFERROR(VLOOKUP(Table1722[[#This Row],[Bukti]],'Un nOTA'!$A$4:$K$5003,10,FALSE),"")</f>
        <v/>
      </c>
      <c r="I6629" s="123" t="str">
        <f>IFERROR(VLOOKUP(Table1722[[#This Row],[Bukti]],Table13[#Data],11,FALSE),"")</f>
        <v/>
      </c>
    </row>
    <row r="6630" spans="1:9" hidden="1" x14ac:dyDescent="0.2">
      <c r="A6630" s="105" t="str">
        <f>IF(D6630=1,COUNTIF($D$10:D6630,1)," ")</f>
        <v xml:space="preserve"> </v>
      </c>
      <c r="B6630" s="106">
        <f>COPY!AR6622</f>
        <v>0</v>
      </c>
      <c r="C6630" s="107">
        <f>COPY!AC6622</f>
        <v>0</v>
      </c>
      <c r="D6630" s="107" t="str">
        <f>IF(LEN(Table1722[[#This Row],[Uraian]])&gt;2,1," ")</f>
        <v xml:space="preserve"> </v>
      </c>
      <c r="E6630" s="113" t="str">
        <f>IF(Table1722[[#This Row],[Lawan Transaksi]]="CV AGUNG KARYA",COUNTIF($I$10:I6630,"CV AGUNG KARYA")," ")</f>
        <v xml:space="preserve"> </v>
      </c>
      <c r="F6630" s="107" t="str">
        <f>IF(LEN(Table1722[[#This Row],[Uraian]])&gt;2,TRIM(RIGHT(SUBSTITUTE(TRIM(C6630)," ",REPT(" ",255)),255))," ")</f>
        <v xml:space="preserve"> </v>
      </c>
      <c r="G6630" s="110">
        <f>COPY!Z6622</f>
        <v>0</v>
      </c>
      <c r="H6630" s="111" t="str">
        <f>IFERROR(VLOOKUP(Table1722[[#This Row],[Bukti]],'Un nOTA'!$A$4:$K$5003,10,FALSE),"")</f>
        <v/>
      </c>
      <c r="I6630" s="123" t="str">
        <f>IFERROR(VLOOKUP(Table1722[[#This Row],[Bukti]],Table13[#Data],11,FALSE),"")</f>
        <v/>
      </c>
    </row>
    <row r="6631" spans="1:9" hidden="1" x14ac:dyDescent="0.2">
      <c r="A6631" s="105" t="str">
        <f>IF(D6631=1,COUNTIF($D$10:D6631,1)," ")</f>
        <v xml:space="preserve"> </v>
      </c>
      <c r="B6631" s="106">
        <f>COPY!AR6623</f>
        <v>0</v>
      </c>
      <c r="C6631" s="107">
        <f>COPY!AC6623</f>
        <v>0</v>
      </c>
      <c r="D6631" s="107" t="str">
        <f>IF(LEN(Table1722[[#This Row],[Uraian]])&gt;2,1," ")</f>
        <v xml:space="preserve"> </v>
      </c>
      <c r="E6631" s="113" t="str">
        <f>IF(Table1722[[#This Row],[Lawan Transaksi]]="CV AGUNG KARYA",COUNTIF($I$10:I6631,"CV AGUNG KARYA")," ")</f>
        <v xml:space="preserve"> </v>
      </c>
      <c r="F6631" s="107" t="str">
        <f>IF(LEN(Table1722[[#This Row],[Uraian]])&gt;2,TRIM(RIGHT(SUBSTITUTE(TRIM(C6631)," ",REPT(" ",255)),255))," ")</f>
        <v xml:space="preserve"> </v>
      </c>
      <c r="G6631" s="110">
        <f>COPY!Z6623</f>
        <v>0</v>
      </c>
      <c r="H6631" s="111" t="str">
        <f>IFERROR(VLOOKUP(Table1722[[#This Row],[Bukti]],'Un nOTA'!$A$4:$K$5003,10,FALSE),"")</f>
        <v/>
      </c>
      <c r="I6631" s="123" t="str">
        <f>IFERROR(VLOOKUP(Table1722[[#This Row],[Bukti]],Table13[#Data],11,FALSE),"")</f>
        <v/>
      </c>
    </row>
    <row r="6632" spans="1:9" hidden="1" x14ac:dyDescent="0.2">
      <c r="A6632" s="105" t="str">
        <f>IF(D6632=1,COUNTIF($D$10:D6632,1)," ")</f>
        <v xml:space="preserve"> </v>
      </c>
      <c r="B6632" s="106">
        <f>COPY!AR6624</f>
        <v>0</v>
      </c>
      <c r="C6632" s="107">
        <f>COPY!AC6624</f>
        <v>0</v>
      </c>
      <c r="D6632" s="107" t="str">
        <f>IF(LEN(Table1722[[#This Row],[Uraian]])&gt;2,1," ")</f>
        <v xml:space="preserve"> </v>
      </c>
      <c r="E6632" s="113" t="str">
        <f>IF(Table1722[[#This Row],[Lawan Transaksi]]="CV AGUNG KARYA",COUNTIF($I$10:I6632,"CV AGUNG KARYA")," ")</f>
        <v xml:space="preserve"> </v>
      </c>
      <c r="F6632" s="107" t="str">
        <f>IF(LEN(Table1722[[#This Row],[Uraian]])&gt;2,TRIM(RIGHT(SUBSTITUTE(TRIM(C6632)," ",REPT(" ",255)),255))," ")</f>
        <v xml:space="preserve"> </v>
      </c>
      <c r="G6632" s="110">
        <f>COPY!Z6624</f>
        <v>0</v>
      </c>
      <c r="H6632" s="111" t="str">
        <f>IFERROR(VLOOKUP(Table1722[[#This Row],[Bukti]],'Un nOTA'!$A$4:$K$5003,10,FALSE),"")</f>
        <v/>
      </c>
      <c r="I6632" s="123" t="str">
        <f>IFERROR(VLOOKUP(Table1722[[#This Row],[Bukti]],Table13[#Data],11,FALSE),"")</f>
        <v/>
      </c>
    </row>
    <row r="6633" spans="1:9" hidden="1" x14ac:dyDescent="0.2">
      <c r="A6633" s="105" t="str">
        <f>IF(D6633=1,COUNTIF($D$10:D6633,1)," ")</f>
        <v xml:space="preserve"> </v>
      </c>
      <c r="B6633" s="106">
        <f>COPY!AR6625</f>
        <v>0</v>
      </c>
      <c r="C6633" s="107">
        <f>COPY!AC6625</f>
        <v>0</v>
      </c>
      <c r="D6633" s="107" t="str">
        <f>IF(LEN(Table1722[[#This Row],[Uraian]])&gt;2,1," ")</f>
        <v xml:space="preserve"> </v>
      </c>
      <c r="E6633" s="113" t="str">
        <f>IF(Table1722[[#This Row],[Lawan Transaksi]]="CV AGUNG KARYA",COUNTIF($I$10:I6633,"CV AGUNG KARYA")," ")</f>
        <v xml:space="preserve"> </v>
      </c>
      <c r="F6633" s="107" t="str">
        <f>IF(LEN(Table1722[[#This Row],[Uraian]])&gt;2,TRIM(RIGHT(SUBSTITUTE(TRIM(C6633)," ",REPT(" ",255)),255))," ")</f>
        <v xml:space="preserve"> </v>
      </c>
      <c r="G6633" s="110">
        <f>COPY!Z6625</f>
        <v>0</v>
      </c>
      <c r="H6633" s="111" t="str">
        <f>IFERROR(VLOOKUP(Table1722[[#This Row],[Bukti]],'Un nOTA'!$A$4:$K$5003,10,FALSE),"")</f>
        <v/>
      </c>
      <c r="I6633" s="123" t="str">
        <f>IFERROR(VLOOKUP(Table1722[[#This Row],[Bukti]],Table13[#Data],11,FALSE),"")</f>
        <v/>
      </c>
    </row>
    <row r="6634" spans="1:9" hidden="1" x14ac:dyDescent="0.2">
      <c r="A6634" s="105" t="str">
        <f>IF(D6634=1,COUNTIF($D$10:D6634,1)," ")</f>
        <v xml:space="preserve"> </v>
      </c>
      <c r="B6634" s="106">
        <f>COPY!AR6626</f>
        <v>0</v>
      </c>
      <c r="C6634" s="107">
        <f>COPY!AC6626</f>
        <v>0</v>
      </c>
      <c r="D6634" s="107" t="str">
        <f>IF(LEN(Table1722[[#This Row],[Uraian]])&gt;2,1," ")</f>
        <v xml:space="preserve"> </v>
      </c>
      <c r="E6634" s="113" t="str">
        <f>IF(Table1722[[#This Row],[Lawan Transaksi]]="CV AGUNG KARYA",COUNTIF($I$10:I6634,"CV AGUNG KARYA")," ")</f>
        <v xml:space="preserve"> </v>
      </c>
      <c r="F6634" s="107" t="str">
        <f>IF(LEN(Table1722[[#This Row],[Uraian]])&gt;2,TRIM(RIGHT(SUBSTITUTE(TRIM(C6634)," ",REPT(" ",255)),255))," ")</f>
        <v xml:space="preserve"> </v>
      </c>
      <c r="G6634" s="110">
        <f>COPY!Z6626</f>
        <v>0</v>
      </c>
      <c r="H6634" s="111" t="str">
        <f>IFERROR(VLOOKUP(Table1722[[#This Row],[Bukti]],'Un nOTA'!$A$4:$K$5003,10,FALSE),"")</f>
        <v/>
      </c>
      <c r="I6634" s="123" t="str">
        <f>IFERROR(VLOOKUP(Table1722[[#This Row],[Bukti]],Table13[#Data],11,FALSE),"")</f>
        <v/>
      </c>
    </row>
    <row r="6635" spans="1:9" hidden="1" x14ac:dyDescent="0.2">
      <c r="A6635" s="105" t="str">
        <f>IF(D6635=1,COUNTIF($D$10:D6635,1)," ")</f>
        <v xml:space="preserve"> </v>
      </c>
      <c r="B6635" s="106">
        <f>COPY!AR6627</f>
        <v>0</v>
      </c>
      <c r="C6635" s="107">
        <f>COPY!AC6627</f>
        <v>0</v>
      </c>
      <c r="D6635" s="107" t="str">
        <f>IF(LEN(Table1722[[#This Row],[Uraian]])&gt;2,1," ")</f>
        <v xml:space="preserve"> </v>
      </c>
      <c r="E6635" s="113" t="str">
        <f>IF(Table1722[[#This Row],[Lawan Transaksi]]="CV AGUNG KARYA",COUNTIF($I$10:I6635,"CV AGUNG KARYA")," ")</f>
        <v xml:space="preserve"> </v>
      </c>
      <c r="F6635" s="107" t="str">
        <f>IF(LEN(Table1722[[#This Row],[Uraian]])&gt;2,TRIM(RIGHT(SUBSTITUTE(TRIM(C6635)," ",REPT(" ",255)),255))," ")</f>
        <v xml:space="preserve"> </v>
      </c>
      <c r="G6635" s="110">
        <f>COPY!Z6627</f>
        <v>0</v>
      </c>
      <c r="H6635" s="111" t="str">
        <f>IFERROR(VLOOKUP(Table1722[[#This Row],[Bukti]],'Un nOTA'!$A$4:$K$5003,10,FALSE),"")</f>
        <v/>
      </c>
      <c r="I6635" s="123" t="str">
        <f>IFERROR(VLOOKUP(Table1722[[#This Row],[Bukti]],Table13[#Data],11,FALSE),"")</f>
        <v/>
      </c>
    </row>
    <row r="6636" spans="1:9" hidden="1" x14ac:dyDescent="0.2">
      <c r="A6636" s="105" t="str">
        <f>IF(D6636=1,COUNTIF($D$10:D6636,1)," ")</f>
        <v xml:space="preserve"> </v>
      </c>
      <c r="B6636" s="106">
        <f>COPY!AR6628</f>
        <v>0</v>
      </c>
      <c r="C6636" s="107">
        <f>COPY!AC6628</f>
        <v>0</v>
      </c>
      <c r="D6636" s="107" t="str">
        <f>IF(LEN(Table1722[[#This Row],[Uraian]])&gt;2,1," ")</f>
        <v xml:space="preserve"> </v>
      </c>
      <c r="E6636" s="113" t="str">
        <f>IF(Table1722[[#This Row],[Lawan Transaksi]]="CV AGUNG KARYA",COUNTIF($I$10:I6636,"CV AGUNG KARYA")," ")</f>
        <v xml:space="preserve"> </v>
      </c>
      <c r="F6636" s="107" t="str">
        <f>IF(LEN(Table1722[[#This Row],[Uraian]])&gt;2,TRIM(RIGHT(SUBSTITUTE(TRIM(C6636)," ",REPT(" ",255)),255))," ")</f>
        <v xml:space="preserve"> </v>
      </c>
      <c r="G6636" s="110">
        <f>COPY!Z6628</f>
        <v>0</v>
      </c>
      <c r="H6636" s="111" t="str">
        <f>IFERROR(VLOOKUP(Table1722[[#This Row],[Bukti]],'Un nOTA'!$A$4:$K$5003,10,FALSE),"")</f>
        <v/>
      </c>
      <c r="I6636" s="123" t="str">
        <f>IFERROR(VLOOKUP(Table1722[[#This Row],[Bukti]],Table13[#Data],11,FALSE),"")</f>
        <v/>
      </c>
    </row>
    <row r="6637" spans="1:9" hidden="1" x14ac:dyDescent="0.2">
      <c r="A6637" s="105" t="str">
        <f>IF(D6637=1,COUNTIF($D$10:D6637,1)," ")</f>
        <v xml:space="preserve"> </v>
      </c>
      <c r="B6637" s="106">
        <f>COPY!AR6629</f>
        <v>0</v>
      </c>
      <c r="C6637" s="107">
        <f>COPY!AC6629</f>
        <v>0</v>
      </c>
      <c r="D6637" s="107" t="str">
        <f>IF(LEN(Table1722[[#This Row],[Uraian]])&gt;2,1," ")</f>
        <v xml:space="preserve"> </v>
      </c>
      <c r="E6637" s="113" t="str">
        <f>IF(Table1722[[#This Row],[Lawan Transaksi]]="CV AGUNG KARYA",COUNTIF($I$10:I6637,"CV AGUNG KARYA")," ")</f>
        <v xml:space="preserve"> </v>
      </c>
      <c r="F6637" s="107" t="str">
        <f>IF(LEN(Table1722[[#This Row],[Uraian]])&gt;2,TRIM(RIGHT(SUBSTITUTE(TRIM(C6637)," ",REPT(" ",255)),255))," ")</f>
        <v xml:space="preserve"> </v>
      </c>
      <c r="G6637" s="110">
        <f>COPY!Z6629</f>
        <v>0</v>
      </c>
      <c r="H6637" s="111" t="str">
        <f>IFERROR(VLOOKUP(Table1722[[#This Row],[Bukti]],'Un nOTA'!$A$4:$K$5003,10,FALSE),"")</f>
        <v/>
      </c>
      <c r="I6637" s="123" t="str">
        <f>IFERROR(VLOOKUP(Table1722[[#This Row],[Bukti]],Table13[#Data],11,FALSE),"")</f>
        <v/>
      </c>
    </row>
    <row r="6638" spans="1:9" hidden="1" x14ac:dyDescent="0.2">
      <c r="A6638" s="105" t="str">
        <f>IF(D6638=1,COUNTIF($D$10:D6638,1)," ")</f>
        <v xml:space="preserve"> </v>
      </c>
      <c r="B6638" s="106">
        <f>COPY!AR6630</f>
        <v>0</v>
      </c>
      <c r="C6638" s="107">
        <f>COPY!AC6630</f>
        <v>0</v>
      </c>
      <c r="D6638" s="107" t="str">
        <f>IF(LEN(Table1722[[#This Row],[Uraian]])&gt;2,1," ")</f>
        <v xml:space="preserve"> </v>
      </c>
      <c r="E6638" s="113" t="str">
        <f>IF(Table1722[[#This Row],[Lawan Transaksi]]="CV AGUNG KARYA",COUNTIF($I$10:I6638,"CV AGUNG KARYA")," ")</f>
        <v xml:space="preserve"> </v>
      </c>
      <c r="F6638" s="107" t="str">
        <f>IF(LEN(Table1722[[#This Row],[Uraian]])&gt;2,TRIM(RIGHT(SUBSTITUTE(TRIM(C6638)," ",REPT(" ",255)),255))," ")</f>
        <v xml:space="preserve"> </v>
      </c>
      <c r="G6638" s="110">
        <f>COPY!Z6630</f>
        <v>0</v>
      </c>
      <c r="H6638" s="111" t="str">
        <f>IFERROR(VLOOKUP(Table1722[[#This Row],[Bukti]],'Un nOTA'!$A$4:$K$5003,10,FALSE),"")</f>
        <v/>
      </c>
      <c r="I6638" s="123" t="str">
        <f>IFERROR(VLOOKUP(Table1722[[#This Row],[Bukti]],Table13[#Data],11,FALSE),"")</f>
        <v/>
      </c>
    </row>
    <row r="6639" spans="1:9" hidden="1" x14ac:dyDescent="0.2">
      <c r="A6639" s="105" t="str">
        <f>IF(D6639=1,COUNTIF($D$10:D6639,1)," ")</f>
        <v xml:space="preserve"> </v>
      </c>
      <c r="B6639" s="106">
        <f>COPY!AR6631</f>
        <v>0</v>
      </c>
      <c r="C6639" s="107">
        <f>COPY!AC6631</f>
        <v>0</v>
      </c>
      <c r="D6639" s="107" t="str">
        <f>IF(LEN(Table1722[[#This Row],[Uraian]])&gt;2,1," ")</f>
        <v xml:space="preserve"> </v>
      </c>
      <c r="E6639" s="113" t="str">
        <f>IF(Table1722[[#This Row],[Lawan Transaksi]]="CV AGUNG KARYA",COUNTIF($I$10:I6639,"CV AGUNG KARYA")," ")</f>
        <v xml:space="preserve"> </v>
      </c>
      <c r="F6639" s="107" t="str">
        <f>IF(LEN(Table1722[[#This Row],[Uraian]])&gt;2,TRIM(RIGHT(SUBSTITUTE(TRIM(C6639)," ",REPT(" ",255)),255))," ")</f>
        <v xml:space="preserve"> </v>
      </c>
      <c r="G6639" s="110">
        <f>COPY!Z6631</f>
        <v>0</v>
      </c>
      <c r="H6639" s="111" t="str">
        <f>IFERROR(VLOOKUP(Table1722[[#This Row],[Bukti]],'Un nOTA'!$A$4:$K$5003,10,FALSE),"")</f>
        <v/>
      </c>
      <c r="I6639" s="123" t="str">
        <f>IFERROR(VLOOKUP(Table1722[[#This Row],[Bukti]],Table13[#Data],11,FALSE),"")</f>
        <v/>
      </c>
    </row>
    <row r="6640" spans="1:9" hidden="1" x14ac:dyDescent="0.2">
      <c r="A6640" s="105" t="str">
        <f>IF(D6640=1,COUNTIF($D$10:D6640,1)," ")</f>
        <v xml:space="preserve"> </v>
      </c>
      <c r="B6640" s="106">
        <f>COPY!AR6632</f>
        <v>0</v>
      </c>
      <c r="C6640" s="107">
        <f>COPY!AC6632</f>
        <v>0</v>
      </c>
      <c r="D6640" s="107" t="str">
        <f>IF(LEN(Table1722[[#This Row],[Uraian]])&gt;2,1," ")</f>
        <v xml:space="preserve"> </v>
      </c>
      <c r="E6640" s="113" t="str">
        <f>IF(Table1722[[#This Row],[Lawan Transaksi]]="CV AGUNG KARYA",COUNTIF($I$10:I6640,"CV AGUNG KARYA")," ")</f>
        <v xml:space="preserve"> </v>
      </c>
      <c r="F6640" s="107" t="str">
        <f>IF(LEN(Table1722[[#This Row],[Uraian]])&gt;2,TRIM(RIGHT(SUBSTITUTE(TRIM(C6640)," ",REPT(" ",255)),255))," ")</f>
        <v xml:space="preserve"> </v>
      </c>
      <c r="G6640" s="110">
        <f>COPY!Z6632</f>
        <v>0</v>
      </c>
      <c r="H6640" s="111" t="str">
        <f>IFERROR(VLOOKUP(Table1722[[#This Row],[Bukti]],'Un nOTA'!$A$4:$K$5003,10,FALSE),"")</f>
        <v/>
      </c>
      <c r="I6640" s="123" t="str">
        <f>IFERROR(VLOOKUP(Table1722[[#This Row],[Bukti]],Table13[#Data],11,FALSE),"")</f>
        <v/>
      </c>
    </row>
    <row r="6641" spans="1:9" hidden="1" x14ac:dyDescent="0.2">
      <c r="A6641" s="105" t="str">
        <f>IF(D6641=1,COUNTIF($D$10:D6641,1)," ")</f>
        <v xml:space="preserve"> </v>
      </c>
      <c r="B6641" s="106">
        <f>COPY!AR6633</f>
        <v>0</v>
      </c>
      <c r="C6641" s="107">
        <f>COPY!AC6633</f>
        <v>0</v>
      </c>
      <c r="D6641" s="107" t="str">
        <f>IF(LEN(Table1722[[#This Row],[Uraian]])&gt;2,1," ")</f>
        <v xml:space="preserve"> </v>
      </c>
      <c r="E6641" s="113" t="str">
        <f>IF(Table1722[[#This Row],[Lawan Transaksi]]="CV AGUNG KARYA",COUNTIF($I$10:I6641,"CV AGUNG KARYA")," ")</f>
        <v xml:space="preserve"> </v>
      </c>
      <c r="F6641" s="107" t="str">
        <f>IF(LEN(Table1722[[#This Row],[Uraian]])&gt;2,TRIM(RIGHT(SUBSTITUTE(TRIM(C6641)," ",REPT(" ",255)),255))," ")</f>
        <v xml:space="preserve"> </v>
      </c>
      <c r="G6641" s="110">
        <f>COPY!Z6633</f>
        <v>0</v>
      </c>
      <c r="H6641" s="111" t="str">
        <f>IFERROR(VLOOKUP(Table1722[[#This Row],[Bukti]],'Un nOTA'!$A$4:$K$5003,10,FALSE),"")</f>
        <v/>
      </c>
      <c r="I6641" s="123" t="str">
        <f>IFERROR(VLOOKUP(Table1722[[#This Row],[Bukti]],Table13[#Data],11,FALSE),"")</f>
        <v/>
      </c>
    </row>
    <row r="6642" spans="1:9" hidden="1" x14ac:dyDescent="0.2">
      <c r="A6642" s="105" t="str">
        <f>IF(D6642=1,COUNTIF($D$10:D6642,1)," ")</f>
        <v xml:space="preserve"> </v>
      </c>
      <c r="B6642" s="106">
        <f>COPY!AR6634</f>
        <v>0</v>
      </c>
      <c r="C6642" s="107">
        <f>COPY!AC6634</f>
        <v>0</v>
      </c>
      <c r="D6642" s="107" t="str">
        <f>IF(LEN(Table1722[[#This Row],[Uraian]])&gt;2,1," ")</f>
        <v xml:space="preserve"> </v>
      </c>
      <c r="E6642" s="113" t="str">
        <f>IF(Table1722[[#This Row],[Lawan Transaksi]]="CV AGUNG KARYA",COUNTIF($I$10:I6642,"CV AGUNG KARYA")," ")</f>
        <v xml:space="preserve"> </v>
      </c>
      <c r="F6642" s="107" t="str">
        <f>IF(LEN(Table1722[[#This Row],[Uraian]])&gt;2,TRIM(RIGHT(SUBSTITUTE(TRIM(C6642)," ",REPT(" ",255)),255))," ")</f>
        <v xml:space="preserve"> </v>
      </c>
      <c r="G6642" s="110">
        <f>COPY!Z6634</f>
        <v>0</v>
      </c>
      <c r="H6642" s="111" t="str">
        <f>IFERROR(VLOOKUP(Table1722[[#This Row],[Bukti]],'Un nOTA'!$A$4:$K$5003,10,FALSE),"")</f>
        <v/>
      </c>
      <c r="I6642" s="123" t="str">
        <f>IFERROR(VLOOKUP(Table1722[[#This Row],[Bukti]],Table13[#Data],11,FALSE),"")</f>
        <v/>
      </c>
    </row>
    <row r="6643" spans="1:9" hidden="1" x14ac:dyDescent="0.2">
      <c r="A6643" s="105" t="str">
        <f>IF(D6643=1,COUNTIF($D$10:D6643,1)," ")</f>
        <v xml:space="preserve"> </v>
      </c>
      <c r="B6643" s="106">
        <f>COPY!AR6635</f>
        <v>0</v>
      </c>
      <c r="C6643" s="107">
        <f>COPY!AC6635</f>
        <v>0</v>
      </c>
      <c r="D6643" s="107" t="str">
        <f>IF(LEN(Table1722[[#This Row],[Uraian]])&gt;2,1," ")</f>
        <v xml:space="preserve"> </v>
      </c>
      <c r="E6643" s="113" t="str">
        <f>IF(Table1722[[#This Row],[Lawan Transaksi]]="CV AGUNG KARYA",COUNTIF($I$10:I6643,"CV AGUNG KARYA")," ")</f>
        <v xml:space="preserve"> </v>
      </c>
      <c r="F6643" s="107" t="str">
        <f>IF(LEN(Table1722[[#This Row],[Uraian]])&gt;2,TRIM(RIGHT(SUBSTITUTE(TRIM(C6643)," ",REPT(" ",255)),255))," ")</f>
        <v xml:space="preserve"> </v>
      </c>
      <c r="G6643" s="110">
        <f>COPY!Z6635</f>
        <v>0</v>
      </c>
      <c r="H6643" s="111" t="str">
        <f>IFERROR(VLOOKUP(Table1722[[#This Row],[Bukti]],'Un nOTA'!$A$4:$K$5003,10,FALSE),"")</f>
        <v/>
      </c>
      <c r="I6643" s="123" t="str">
        <f>IFERROR(VLOOKUP(Table1722[[#This Row],[Bukti]],Table13[#Data],11,FALSE),"")</f>
        <v/>
      </c>
    </row>
    <row r="6644" spans="1:9" hidden="1" x14ac:dyDescent="0.2">
      <c r="A6644" s="105" t="str">
        <f>IF(D6644=1,COUNTIF($D$10:D6644,1)," ")</f>
        <v xml:space="preserve"> </v>
      </c>
      <c r="B6644" s="106">
        <f>COPY!AR6636</f>
        <v>0</v>
      </c>
      <c r="C6644" s="107">
        <f>COPY!AC6636</f>
        <v>0</v>
      </c>
      <c r="D6644" s="107" t="str">
        <f>IF(LEN(Table1722[[#This Row],[Uraian]])&gt;2,1," ")</f>
        <v xml:space="preserve"> </v>
      </c>
      <c r="E6644" s="113" t="str">
        <f>IF(Table1722[[#This Row],[Lawan Transaksi]]="CV AGUNG KARYA",COUNTIF($I$10:I6644,"CV AGUNG KARYA")," ")</f>
        <v xml:space="preserve"> </v>
      </c>
      <c r="F6644" s="107" t="str">
        <f>IF(LEN(Table1722[[#This Row],[Uraian]])&gt;2,TRIM(RIGHT(SUBSTITUTE(TRIM(C6644)," ",REPT(" ",255)),255))," ")</f>
        <v xml:space="preserve"> </v>
      </c>
      <c r="G6644" s="110">
        <f>COPY!Z6636</f>
        <v>0</v>
      </c>
      <c r="H6644" s="111" t="str">
        <f>IFERROR(VLOOKUP(Table1722[[#This Row],[Bukti]],'Un nOTA'!$A$4:$K$5003,10,FALSE),"")</f>
        <v/>
      </c>
      <c r="I6644" s="123" t="str">
        <f>IFERROR(VLOOKUP(Table1722[[#This Row],[Bukti]],Table13[#Data],11,FALSE),"")</f>
        <v/>
      </c>
    </row>
    <row r="6645" spans="1:9" hidden="1" x14ac:dyDescent="0.2">
      <c r="A6645" s="105" t="str">
        <f>IF(D6645=1,COUNTIF($D$10:D6645,1)," ")</f>
        <v xml:space="preserve"> </v>
      </c>
      <c r="B6645" s="106">
        <f>COPY!AR6637</f>
        <v>0</v>
      </c>
      <c r="C6645" s="107">
        <f>COPY!AC6637</f>
        <v>0</v>
      </c>
      <c r="D6645" s="107" t="str">
        <f>IF(LEN(Table1722[[#This Row],[Uraian]])&gt;2,1," ")</f>
        <v xml:space="preserve"> </v>
      </c>
      <c r="E6645" s="113" t="str">
        <f>IF(Table1722[[#This Row],[Lawan Transaksi]]="CV AGUNG KARYA",COUNTIF($I$10:I6645,"CV AGUNG KARYA")," ")</f>
        <v xml:space="preserve"> </v>
      </c>
      <c r="F6645" s="107" t="str">
        <f>IF(LEN(Table1722[[#This Row],[Uraian]])&gt;2,TRIM(RIGHT(SUBSTITUTE(TRIM(C6645)," ",REPT(" ",255)),255))," ")</f>
        <v xml:space="preserve"> </v>
      </c>
      <c r="G6645" s="110">
        <f>COPY!Z6637</f>
        <v>0</v>
      </c>
      <c r="H6645" s="111" t="str">
        <f>IFERROR(VLOOKUP(Table1722[[#This Row],[Bukti]],'Un nOTA'!$A$4:$K$5003,10,FALSE),"")</f>
        <v/>
      </c>
      <c r="I6645" s="123" t="str">
        <f>IFERROR(VLOOKUP(Table1722[[#This Row],[Bukti]],Table13[#Data],11,FALSE),"")</f>
        <v/>
      </c>
    </row>
    <row r="6646" spans="1:9" hidden="1" x14ac:dyDescent="0.2">
      <c r="A6646" s="105" t="str">
        <f>IF(D6646=1,COUNTIF($D$10:D6646,1)," ")</f>
        <v xml:space="preserve"> </v>
      </c>
      <c r="B6646" s="106">
        <f>COPY!AR6638</f>
        <v>0</v>
      </c>
      <c r="C6646" s="107">
        <f>COPY!AC6638</f>
        <v>0</v>
      </c>
      <c r="D6646" s="107" t="str">
        <f>IF(LEN(Table1722[[#This Row],[Uraian]])&gt;2,1," ")</f>
        <v xml:space="preserve"> </v>
      </c>
      <c r="E6646" s="113" t="str">
        <f>IF(Table1722[[#This Row],[Lawan Transaksi]]="CV AGUNG KARYA",COUNTIF($I$10:I6646,"CV AGUNG KARYA")," ")</f>
        <v xml:space="preserve"> </v>
      </c>
      <c r="F6646" s="107" t="str">
        <f>IF(LEN(Table1722[[#This Row],[Uraian]])&gt;2,TRIM(RIGHT(SUBSTITUTE(TRIM(C6646)," ",REPT(" ",255)),255))," ")</f>
        <v xml:space="preserve"> </v>
      </c>
      <c r="G6646" s="110">
        <f>COPY!Z6638</f>
        <v>0</v>
      </c>
      <c r="H6646" s="111" t="str">
        <f>IFERROR(VLOOKUP(Table1722[[#This Row],[Bukti]],'Un nOTA'!$A$4:$K$5003,10,FALSE),"")</f>
        <v/>
      </c>
      <c r="I6646" s="123" t="str">
        <f>IFERROR(VLOOKUP(Table1722[[#This Row],[Bukti]],Table13[#Data],11,FALSE),"")</f>
        <v/>
      </c>
    </row>
    <row r="6647" spans="1:9" hidden="1" x14ac:dyDescent="0.2">
      <c r="A6647" s="105" t="str">
        <f>IF(D6647=1,COUNTIF($D$10:D6647,1)," ")</f>
        <v xml:space="preserve"> </v>
      </c>
      <c r="B6647" s="106">
        <f>COPY!AR6639</f>
        <v>0</v>
      </c>
      <c r="C6647" s="107">
        <f>COPY!AC6639</f>
        <v>0</v>
      </c>
      <c r="D6647" s="107" t="str">
        <f>IF(LEN(Table1722[[#This Row],[Uraian]])&gt;2,1," ")</f>
        <v xml:space="preserve"> </v>
      </c>
      <c r="E6647" s="113" t="str">
        <f>IF(Table1722[[#This Row],[Lawan Transaksi]]="CV AGUNG KARYA",COUNTIF($I$10:I6647,"CV AGUNG KARYA")," ")</f>
        <v xml:space="preserve"> </v>
      </c>
      <c r="F6647" s="107" t="str">
        <f>IF(LEN(Table1722[[#This Row],[Uraian]])&gt;2,TRIM(RIGHT(SUBSTITUTE(TRIM(C6647)," ",REPT(" ",255)),255))," ")</f>
        <v xml:space="preserve"> </v>
      </c>
      <c r="G6647" s="110">
        <f>COPY!Z6639</f>
        <v>0</v>
      </c>
      <c r="H6647" s="111" t="str">
        <f>IFERROR(VLOOKUP(Table1722[[#This Row],[Bukti]],'Un nOTA'!$A$4:$K$5003,10,FALSE),"")</f>
        <v/>
      </c>
      <c r="I6647" s="123" t="str">
        <f>IFERROR(VLOOKUP(Table1722[[#This Row],[Bukti]],Table13[#Data],11,FALSE),"")</f>
        <v/>
      </c>
    </row>
    <row r="6648" spans="1:9" hidden="1" x14ac:dyDescent="0.2">
      <c r="A6648" s="105" t="str">
        <f>IF(D6648=1,COUNTIF($D$10:D6648,1)," ")</f>
        <v xml:space="preserve"> </v>
      </c>
      <c r="B6648" s="106">
        <f>COPY!AR6640</f>
        <v>0</v>
      </c>
      <c r="C6648" s="107">
        <f>COPY!AC6640</f>
        <v>0</v>
      </c>
      <c r="D6648" s="107" t="str">
        <f>IF(LEN(Table1722[[#This Row],[Uraian]])&gt;2,1," ")</f>
        <v xml:space="preserve"> </v>
      </c>
      <c r="E6648" s="113" t="str">
        <f>IF(Table1722[[#This Row],[Lawan Transaksi]]="CV AGUNG KARYA",COUNTIF($I$10:I6648,"CV AGUNG KARYA")," ")</f>
        <v xml:space="preserve"> </v>
      </c>
      <c r="F6648" s="107" t="str">
        <f>IF(LEN(Table1722[[#This Row],[Uraian]])&gt;2,TRIM(RIGHT(SUBSTITUTE(TRIM(C6648)," ",REPT(" ",255)),255))," ")</f>
        <v xml:space="preserve"> </v>
      </c>
      <c r="G6648" s="110">
        <f>COPY!Z6640</f>
        <v>0</v>
      </c>
      <c r="H6648" s="111" t="str">
        <f>IFERROR(VLOOKUP(Table1722[[#This Row],[Bukti]],'Un nOTA'!$A$4:$K$5003,10,FALSE),"")</f>
        <v/>
      </c>
      <c r="I6648" s="123" t="str">
        <f>IFERROR(VLOOKUP(Table1722[[#This Row],[Bukti]],Table13[#Data],11,FALSE),"")</f>
        <v/>
      </c>
    </row>
    <row r="6649" spans="1:9" hidden="1" x14ac:dyDescent="0.2">
      <c r="A6649" s="105" t="str">
        <f>IF(D6649=1,COUNTIF($D$10:D6649,1)," ")</f>
        <v xml:space="preserve"> </v>
      </c>
      <c r="B6649" s="106">
        <f>COPY!AR6641</f>
        <v>0</v>
      </c>
      <c r="C6649" s="107">
        <f>COPY!AC6641</f>
        <v>0</v>
      </c>
      <c r="D6649" s="107" t="str">
        <f>IF(LEN(Table1722[[#This Row],[Uraian]])&gt;2,1," ")</f>
        <v xml:space="preserve"> </v>
      </c>
      <c r="E6649" s="113" t="str">
        <f>IF(Table1722[[#This Row],[Lawan Transaksi]]="CV AGUNG KARYA",COUNTIF($I$10:I6649,"CV AGUNG KARYA")," ")</f>
        <v xml:space="preserve"> </v>
      </c>
      <c r="F6649" s="107" t="str">
        <f>IF(LEN(Table1722[[#This Row],[Uraian]])&gt;2,TRIM(RIGHT(SUBSTITUTE(TRIM(C6649)," ",REPT(" ",255)),255))," ")</f>
        <v xml:space="preserve"> </v>
      </c>
      <c r="G6649" s="110">
        <f>COPY!Z6641</f>
        <v>0</v>
      </c>
      <c r="H6649" s="111" t="str">
        <f>IFERROR(VLOOKUP(Table1722[[#This Row],[Bukti]],'Un nOTA'!$A$4:$K$5003,10,FALSE),"")</f>
        <v/>
      </c>
      <c r="I6649" s="123" t="str">
        <f>IFERROR(VLOOKUP(Table1722[[#This Row],[Bukti]],Table13[#Data],11,FALSE),"")</f>
        <v/>
      </c>
    </row>
    <row r="6650" spans="1:9" hidden="1" x14ac:dyDescent="0.2">
      <c r="A6650" s="105" t="str">
        <f>IF(D6650=1,COUNTIF($D$10:D6650,1)," ")</f>
        <v xml:space="preserve"> </v>
      </c>
      <c r="B6650" s="106">
        <f>COPY!AR6642</f>
        <v>0</v>
      </c>
      <c r="C6650" s="107">
        <f>COPY!AC6642</f>
        <v>0</v>
      </c>
      <c r="D6650" s="107" t="str">
        <f>IF(LEN(Table1722[[#This Row],[Uraian]])&gt;2,1," ")</f>
        <v xml:space="preserve"> </v>
      </c>
      <c r="E6650" s="113" t="str">
        <f>IF(Table1722[[#This Row],[Lawan Transaksi]]="CV AGUNG KARYA",COUNTIF($I$10:I6650,"CV AGUNG KARYA")," ")</f>
        <v xml:space="preserve"> </v>
      </c>
      <c r="F6650" s="107" t="str">
        <f>IF(LEN(Table1722[[#This Row],[Uraian]])&gt;2,TRIM(RIGHT(SUBSTITUTE(TRIM(C6650)," ",REPT(" ",255)),255))," ")</f>
        <v xml:space="preserve"> </v>
      </c>
      <c r="G6650" s="110">
        <f>COPY!Z6642</f>
        <v>0</v>
      </c>
      <c r="H6650" s="111" t="str">
        <f>IFERROR(VLOOKUP(Table1722[[#This Row],[Bukti]],'Un nOTA'!$A$4:$K$5003,10,FALSE),"")</f>
        <v/>
      </c>
      <c r="I6650" s="123" t="str">
        <f>IFERROR(VLOOKUP(Table1722[[#This Row],[Bukti]],Table13[#Data],11,FALSE),"")</f>
        <v/>
      </c>
    </row>
    <row r="6651" spans="1:9" hidden="1" x14ac:dyDescent="0.2">
      <c r="A6651" s="105" t="str">
        <f>IF(D6651=1,COUNTIF($D$10:D6651,1)," ")</f>
        <v xml:space="preserve"> </v>
      </c>
      <c r="B6651" s="106">
        <f>COPY!AR6643</f>
        <v>0</v>
      </c>
      <c r="C6651" s="107">
        <f>COPY!AC6643</f>
        <v>0</v>
      </c>
      <c r="D6651" s="107" t="str">
        <f>IF(LEN(Table1722[[#This Row],[Uraian]])&gt;2,1," ")</f>
        <v xml:space="preserve"> </v>
      </c>
      <c r="E6651" s="113" t="str">
        <f>IF(Table1722[[#This Row],[Lawan Transaksi]]="CV AGUNG KARYA",COUNTIF($I$10:I6651,"CV AGUNG KARYA")," ")</f>
        <v xml:space="preserve"> </v>
      </c>
      <c r="F6651" s="107" t="str">
        <f>IF(LEN(Table1722[[#This Row],[Uraian]])&gt;2,TRIM(RIGHT(SUBSTITUTE(TRIM(C6651)," ",REPT(" ",255)),255))," ")</f>
        <v xml:space="preserve"> </v>
      </c>
      <c r="G6651" s="110">
        <f>COPY!Z6643</f>
        <v>0</v>
      </c>
      <c r="H6651" s="111" t="str">
        <f>IFERROR(VLOOKUP(Table1722[[#This Row],[Bukti]],'Un nOTA'!$A$4:$K$5003,10,FALSE),"")</f>
        <v/>
      </c>
      <c r="I6651" s="123" t="str">
        <f>IFERROR(VLOOKUP(Table1722[[#This Row],[Bukti]],Table13[#Data],11,FALSE),"")</f>
        <v/>
      </c>
    </row>
    <row r="6652" spans="1:9" hidden="1" x14ac:dyDescent="0.2">
      <c r="A6652" s="105" t="str">
        <f>IF(D6652=1,COUNTIF($D$10:D6652,1)," ")</f>
        <v xml:space="preserve"> </v>
      </c>
      <c r="B6652" s="106">
        <f>COPY!AR6644</f>
        <v>0</v>
      </c>
      <c r="C6652" s="107">
        <f>COPY!AC6644</f>
        <v>0</v>
      </c>
      <c r="D6652" s="107" t="str">
        <f>IF(LEN(Table1722[[#This Row],[Uraian]])&gt;2,1," ")</f>
        <v xml:space="preserve"> </v>
      </c>
      <c r="E6652" s="113" t="str">
        <f>IF(Table1722[[#This Row],[Lawan Transaksi]]="CV AGUNG KARYA",COUNTIF($I$10:I6652,"CV AGUNG KARYA")," ")</f>
        <v xml:space="preserve"> </v>
      </c>
      <c r="F6652" s="107" t="str">
        <f>IF(LEN(Table1722[[#This Row],[Uraian]])&gt;2,TRIM(RIGHT(SUBSTITUTE(TRIM(C6652)," ",REPT(" ",255)),255))," ")</f>
        <v xml:space="preserve"> </v>
      </c>
      <c r="G6652" s="110">
        <f>COPY!Z6644</f>
        <v>0</v>
      </c>
      <c r="H6652" s="111" t="str">
        <f>IFERROR(VLOOKUP(Table1722[[#This Row],[Bukti]],'Un nOTA'!$A$4:$K$5003,10,FALSE),"")</f>
        <v/>
      </c>
      <c r="I6652" s="123" t="str">
        <f>IFERROR(VLOOKUP(Table1722[[#This Row],[Bukti]],Table13[#Data],11,FALSE),"")</f>
        <v/>
      </c>
    </row>
    <row r="6653" spans="1:9" hidden="1" x14ac:dyDescent="0.2">
      <c r="A6653" s="105" t="str">
        <f>IF(D6653=1,COUNTIF($D$10:D6653,1)," ")</f>
        <v xml:space="preserve"> </v>
      </c>
      <c r="B6653" s="106">
        <f>COPY!AR6645</f>
        <v>0</v>
      </c>
      <c r="C6653" s="107">
        <f>COPY!AC6645</f>
        <v>0</v>
      </c>
      <c r="D6653" s="107" t="str">
        <f>IF(LEN(Table1722[[#This Row],[Uraian]])&gt;2,1," ")</f>
        <v xml:space="preserve"> </v>
      </c>
      <c r="E6653" s="113" t="str">
        <f>IF(Table1722[[#This Row],[Lawan Transaksi]]="CV AGUNG KARYA",COUNTIF($I$10:I6653,"CV AGUNG KARYA")," ")</f>
        <v xml:space="preserve"> </v>
      </c>
      <c r="F6653" s="107" t="str">
        <f>IF(LEN(Table1722[[#This Row],[Uraian]])&gt;2,TRIM(RIGHT(SUBSTITUTE(TRIM(C6653)," ",REPT(" ",255)),255))," ")</f>
        <v xml:space="preserve"> </v>
      </c>
      <c r="G6653" s="110">
        <f>COPY!Z6645</f>
        <v>0</v>
      </c>
      <c r="H6653" s="111" t="str">
        <f>IFERROR(VLOOKUP(Table1722[[#This Row],[Bukti]],'Un nOTA'!$A$4:$K$5003,10,FALSE),"")</f>
        <v/>
      </c>
      <c r="I6653" s="123" t="str">
        <f>IFERROR(VLOOKUP(Table1722[[#This Row],[Bukti]],Table13[#Data],11,FALSE),"")</f>
        <v/>
      </c>
    </row>
    <row r="6654" spans="1:9" hidden="1" x14ac:dyDescent="0.2">
      <c r="A6654" s="105" t="str">
        <f>IF(D6654=1,COUNTIF($D$10:D6654,1)," ")</f>
        <v xml:space="preserve"> </v>
      </c>
      <c r="B6654" s="106">
        <f>COPY!AR6646</f>
        <v>0</v>
      </c>
      <c r="C6654" s="107">
        <f>COPY!AC6646</f>
        <v>0</v>
      </c>
      <c r="D6654" s="107" t="str">
        <f>IF(LEN(Table1722[[#This Row],[Uraian]])&gt;2,1," ")</f>
        <v xml:space="preserve"> </v>
      </c>
      <c r="E6654" s="113" t="str">
        <f>IF(Table1722[[#This Row],[Lawan Transaksi]]="CV AGUNG KARYA",COUNTIF($I$10:I6654,"CV AGUNG KARYA")," ")</f>
        <v xml:space="preserve"> </v>
      </c>
      <c r="F6654" s="107" t="str">
        <f>IF(LEN(Table1722[[#This Row],[Uraian]])&gt;2,TRIM(RIGHT(SUBSTITUTE(TRIM(C6654)," ",REPT(" ",255)),255))," ")</f>
        <v xml:space="preserve"> </v>
      </c>
      <c r="G6654" s="110">
        <f>COPY!Z6646</f>
        <v>0</v>
      </c>
      <c r="H6654" s="111" t="str">
        <f>IFERROR(VLOOKUP(Table1722[[#This Row],[Bukti]],'Un nOTA'!$A$4:$K$5003,10,FALSE),"")</f>
        <v/>
      </c>
      <c r="I6654" s="123" t="str">
        <f>IFERROR(VLOOKUP(Table1722[[#This Row],[Bukti]],Table13[#Data],11,FALSE),"")</f>
        <v/>
      </c>
    </row>
    <row r="6655" spans="1:9" hidden="1" x14ac:dyDescent="0.2">
      <c r="A6655" s="105" t="str">
        <f>IF(D6655=1,COUNTIF($D$10:D6655,1)," ")</f>
        <v xml:space="preserve"> </v>
      </c>
      <c r="B6655" s="106">
        <f>COPY!AR6647</f>
        <v>0</v>
      </c>
      <c r="C6655" s="107">
        <f>COPY!AC6647</f>
        <v>0</v>
      </c>
      <c r="D6655" s="107" t="str">
        <f>IF(LEN(Table1722[[#This Row],[Uraian]])&gt;2,1," ")</f>
        <v xml:space="preserve"> </v>
      </c>
      <c r="E6655" s="113" t="str">
        <f>IF(Table1722[[#This Row],[Lawan Transaksi]]="CV AGUNG KARYA",COUNTIF($I$10:I6655,"CV AGUNG KARYA")," ")</f>
        <v xml:space="preserve"> </v>
      </c>
      <c r="F6655" s="107" t="str">
        <f>IF(LEN(Table1722[[#This Row],[Uraian]])&gt;2,TRIM(RIGHT(SUBSTITUTE(TRIM(C6655)," ",REPT(" ",255)),255))," ")</f>
        <v xml:space="preserve"> </v>
      </c>
      <c r="G6655" s="110">
        <f>COPY!Z6647</f>
        <v>0</v>
      </c>
      <c r="H6655" s="111" t="str">
        <f>IFERROR(VLOOKUP(Table1722[[#This Row],[Bukti]],'Un nOTA'!$A$4:$K$5003,10,FALSE),"")</f>
        <v/>
      </c>
      <c r="I6655" s="123" t="str">
        <f>IFERROR(VLOOKUP(Table1722[[#This Row],[Bukti]],Table13[#Data],11,FALSE),"")</f>
        <v/>
      </c>
    </row>
    <row r="6656" spans="1:9" hidden="1" x14ac:dyDescent="0.2">
      <c r="A6656" s="105" t="str">
        <f>IF(D6656=1,COUNTIF($D$10:D6656,1)," ")</f>
        <v xml:space="preserve"> </v>
      </c>
      <c r="B6656" s="106">
        <f>COPY!AR6648</f>
        <v>0</v>
      </c>
      <c r="C6656" s="107">
        <f>COPY!AC6648</f>
        <v>0</v>
      </c>
      <c r="D6656" s="107" t="str">
        <f>IF(LEN(Table1722[[#This Row],[Uraian]])&gt;2,1," ")</f>
        <v xml:space="preserve"> </v>
      </c>
      <c r="E6656" s="113" t="str">
        <f>IF(Table1722[[#This Row],[Lawan Transaksi]]="CV AGUNG KARYA",COUNTIF($I$10:I6656,"CV AGUNG KARYA")," ")</f>
        <v xml:space="preserve"> </v>
      </c>
      <c r="F6656" s="107" t="str">
        <f>IF(LEN(Table1722[[#This Row],[Uraian]])&gt;2,TRIM(RIGHT(SUBSTITUTE(TRIM(C6656)," ",REPT(" ",255)),255))," ")</f>
        <v xml:space="preserve"> </v>
      </c>
      <c r="G6656" s="110">
        <f>COPY!Z6648</f>
        <v>0</v>
      </c>
      <c r="H6656" s="111" t="str">
        <f>IFERROR(VLOOKUP(Table1722[[#This Row],[Bukti]],'Un nOTA'!$A$4:$K$5003,10,FALSE),"")</f>
        <v/>
      </c>
      <c r="I6656" s="123" t="str">
        <f>IFERROR(VLOOKUP(Table1722[[#This Row],[Bukti]],Table13[#Data],11,FALSE),"")</f>
        <v/>
      </c>
    </row>
    <row r="6657" spans="1:9" hidden="1" x14ac:dyDescent="0.2">
      <c r="A6657" s="105" t="str">
        <f>IF(D6657=1,COUNTIF($D$10:D6657,1)," ")</f>
        <v xml:space="preserve"> </v>
      </c>
      <c r="B6657" s="106">
        <f>COPY!AR6649</f>
        <v>0</v>
      </c>
      <c r="C6657" s="107">
        <f>COPY!AC6649</f>
        <v>0</v>
      </c>
      <c r="D6657" s="107" t="str">
        <f>IF(LEN(Table1722[[#This Row],[Uraian]])&gt;2,1," ")</f>
        <v xml:space="preserve"> </v>
      </c>
      <c r="E6657" s="113" t="str">
        <f>IF(Table1722[[#This Row],[Lawan Transaksi]]="CV AGUNG KARYA",COUNTIF($I$10:I6657,"CV AGUNG KARYA")," ")</f>
        <v xml:space="preserve"> </v>
      </c>
      <c r="F6657" s="107" t="str">
        <f>IF(LEN(Table1722[[#This Row],[Uraian]])&gt;2,TRIM(RIGHT(SUBSTITUTE(TRIM(C6657)," ",REPT(" ",255)),255))," ")</f>
        <v xml:space="preserve"> </v>
      </c>
      <c r="G6657" s="110">
        <f>COPY!Z6649</f>
        <v>0</v>
      </c>
      <c r="H6657" s="111" t="str">
        <f>IFERROR(VLOOKUP(Table1722[[#This Row],[Bukti]],'Un nOTA'!$A$4:$K$5003,10,FALSE),"")</f>
        <v/>
      </c>
      <c r="I6657" s="123" t="str">
        <f>IFERROR(VLOOKUP(Table1722[[#This Row],[Bukti]],Table13[#Data],11,FALSE),"")</f>
        <v/>
      </c>
    </row>
    <row r="6658" spans="1:9" hidden="1" x14ac:dyDescent="0.2">
      <c r="A6658" s="105" t="str">
        <f>IF(D6658=1,COUNTIF($D$10:D6658,1)," ")</f>
        <v xml:space="preserve"> </v>
      </c>
      <c r="B6658" s="106">
        <f>COPY!AR6650</f>
        <v>0</v>
      </c>
      <c r="C6658" s="107">
        <f>COPY!AC6650</f>
        <v>0</v>
      </c>
      <c r="D6658" s="107" t="str">
        <f>IF(LEN(Table1722[[#This Row],[Uraian]])&gt;2,1," ")</f>
        <v xml:space="preserve"> </v>
      </c>
      <c r="E6658" s="113" t="str">
        <f>IF(Table1722[[#This Row],[Lawan Transaksi]]="CV AGUNG KARYA",COUNTIF($I$10:I6658,"CV AGUNG KARYA")," ")</f>
        <v xml:space="preserve"> </v>
      </c>
      <c r="F6658" s="107" t="str">
        <f>IF(LEN(Table1722[[#This Row],[Uraian]])&gt;2,TRIM(RIGHT(SUBSTITUTE(TRIM(C6658)," ",REPT(" ",255)),255))," ")</f>
        <v xml:space="preserve"> </v>
      </c>
      <c r="G6658" s="110">
        <f>COPY!Z6650</f>
        <v>0</v>
      </c>
      <c r="H6658" s="111" t="str">
        <f>IFERROR(VLOOKUP(Table1722[[#This Row],[Bukti]],'Un nOTA'!$A$4:$K$5003,10,FALSE),"")</f>
        <v/>
      </c>
      <c r="I6658" s="123" t="str">
        <f>IFERROR(VLOOKUP(Table1722[[#This Row],[Bukti]],Table13[#Data],11,FALSE),"")</f>
        <v/>
      </c>
    </row>
    <row r="6659" spans="1:9" hidden="1" x14ac:dyDescent="0.2">
      <c r="A6659" s="105" t="str">
        <f>IF(D6659=1,COUNTIF($D$10:D6659,1)," ")</f>
        <v xml:space="preserve"> </v>
      </c>
      <c r="B6659" s="106">
        <f>COPY!AR6651</f>
        <v>0</v>
      </c>
      <c r="C6659" s="107">
        <f>COPY!AC6651</f>
        <v>0</v>
      </c>
      <c r="D6659" s="107" t="str">
        <f>IF(LEN(Table1722[[#This Row],[Uraian]])&gt;2,1," ")</f>
        <v xml:space="preserve"> </v>
      </c>
      <c r="E6659" s="113" t="str">
        <f>IF(Table1722[[#This Row],[Lawan Transaksi]]="CV AGUNG KARYA",COUNTIF($I$10:I6659,"CV AGUNG KARYA")," ")</f>
        <v xml:space="preserve"> </v>
      </c>
      <c r="F6659" s="107" t="str">
        <f>IF(LEN(Table1722[[#This Row],[Uraian]])&gt;2,TRIM(RIGHT(SUBSTITUTE(TRIM(C6659)," ",REPT(" ",255)),255))," ")</f>
        <v xml:space="preserve"> </v>
      </c>
      <c r="G6659" s="110">
        <f>COPY!Z6651</f>
        <v>0</v>
      </c>
      <c r="H6659" s="111" t="str">
        <f>IFERROR(VLOOKUP(Table1722[[#This Row],[Bukti]],'Un nOTA'!$A$4:$K$5003,10,FALSE),"")</f>
        <v/>
      </c>
      <c r="I6659" s="123" t="str">
        <f>IFERROR(VLOOKUP(Table1722[[#This Row],[Bukti]],Table13[#Data],11,FALSE),"")</f>
        <v/>
      </c>
    </row>
    <row r="6660" spans="1:9" hidden="1" x14ac:dyDescent="0.2">
      <c r="A6660" s="105" t="str">
        <f>IF(D6660=1,COUNTIF($D$10:D6660,1)," ")</f>
        <v xml:space="preserve"> </v>
      </c>
      <c r="B6660" s="106">
        <f>COPY!AR6652</f>
        <v>0</v>
      </c>
      <c r="C6660" s="107">
        <f>COPY!AC6652</f>
        <v>0</v>
      </c>
      <c r="D6660" s="107" t="str">
        <f>IF(LEN(Table1722[[#This Row],[Uraian]])&gt;2,1," ")</f>
        <v xml:space="preserve"> </v>
      </c>
      <c r="E6660" s="113" t="str">
        <f>IF(Table1722[[#This Row],[Lawan Transaksi]]="CV AGUNG KARYA",COUNTIF($I$10:I6660,"CV AGUNG KARYA")," ")</f>
        <v xml:space="preserve"> </v>
      </c>
      <c r="F6660" s="107" t="str">
        <f>IF(LEN(Table1722[[#This Row],[Uraian]])&gt;2,TRIM(RIGHT(SUBSTITUTE(TRIM(C6660)," ",REPT(" ",255)),255))," ")</f>
        <v xml:space="preserve"> </v>
      </c>
      <c r="G6660" s="110">
        <f>COPY!Z6652</f>
        <v>0</v>
      </c>
      <c r="H6660" s="111" t="str">
        <f>IFERROR(VLOOKUP(Table1722[[#This Row],[Bukti]],'Un nOTA'!$A$4:$K$5003,10,FALSE),"")</f>
        <v/>
      </c>
      <c r="I6660" s="123" t="str">
        <f>IFERROR(VLOOKUP(Table1722[[#This Row],[Bukti]],Table13[#Data],11,FALSE),"")</f>
        <v/>
      </c>
    </row>
    <row r="6661" spans="1:9" hidden="1" x14ac:dyDescent="0.2">
      <c r="A6661" s="105" t="str">
        <f>IF(D6661=1,COUNTIF($D$10:D6661,1)," ")</f>
        <v xml:space="preserve"> </v>
      </c>
      <c r="B6661" s="106">
        <f>COPY!AR6653</f>
        <v>0</v>
      </c>
      <c r="C6661" s="107">
        <f>COPY!AC6653</f>
        <v>0</v>
      </c>
      <c r="D6661" s="107" t="str">
        <f>IF(LEN(Table1722[[#This Row],[Uraian]])&gt;2,1," ")</f>
        <v xml:space="preserve"> </v>
      </c>
      <c r="E6661" s="113" t="str">
        <f>IF(Table1722[[#This Row],[Lawan Transaksi]]="CV AGUNG KARYA",COUNTIF($I$10:I6661,"CV AGUNG KARYA")," ")</f>
        <v xml:space="preserve"> </v>
      </c>
      <c r="F6661" s="107" t="str">
        <f>IF(LEN(Table1722[[#This Row],[Uraian]])&gt;2,TRIM(RIGHT(SUBSTITUTE(TRIM(C6661)," ",REPT(" ",255)),255))," ")</f>
        <v xml:space="preserve"> </v>
      </c>
      <c r="G6661" s="110">
        <f>COPY!Z6653</f>
        <v>0</v>
      </c>
      <c r="H6661" s="111" t="str">
        <f>IFERROR(VLOOKUP(Table1722[[#This Row],[Bukti]],'Un nOTA'!$A$4:$K$5003,10,FALSE),"")</f>
        <v/>
      </c>
      <c r="I6661" s="123" t="str">
        <f>IFERROR(VLOOKUP(Table1722[[#This Row],[Bukti]],Table13[#Data],11,FALSE),"")</f>
        <v/>
      </c>
    </row>
    <row r="6662" spans="1:9" hidden="1" x14ac:dyDescent="0.2">
      <c r="A6662" s="105" t="str">
        <f>IF(D6662=1,COUNTIF($D$10:D6662,1)," ")</f>
        <v xml:space="preserve"> </v>
      </c>
      <c r="B6662" s="106">
        <f>COPY!AR6654</f>
        <v>0</v>
      </c>
      <c r="C6662" s="107">
        <f>COPY!AC6654</f>
        <v>0</v>
      </c>
      <c r="D6662" s="107" t="str">
        <f>IF(LEN(Table1722[[#This Row],[Uraian]])&gt;2,1," ")</f>
        <v xml:space="preserve"> </v>
      </c>
      <c r="E6662" s="113" t="str">
        <f>IF(Table1722[[#This Row],[Lawan Transaksi]]="CV AGUNG KARYA",COUNTIF($I$10:I6662,"CV AGUNG KARYA")," ")</f>
        <v xml:space="preserve"> </v>
      </c>
      <c r="F6662" s="107" t="str">
        <f>IF(LEN(Table1722[[#This Row],[Uraian]])&gt;2,TRIM(RIGHT(SUBSTITUTE(TRIM(C6662)," ",REPT(" ",255)),255))," ")</f>
        <v xml:space="preserve"> </v>
      </c>
      <c r="G6662" s="110">
        <f>COPY!Z6654</f>
        <v>0</v>
      </c>
      <c r="H6662" s="111" t="str">
        <f>IFERROR(VLOOKUP(Table1722[[#This Row],[Bukti]],'Un nOTA'!$A$4:$K$5003,10,FALSE),"")</f>
        <v/>
      </c>
      <c r="I6662" s="123" t="str">
        <f>IFERROR(VLOOKUP(Table1722[[#This Row],[Bukti]],Table13[#Data],11,FALSE),"")</f>
        <v/>
      </c>
    </row>
    <row r="6663" spans="1:9" hidden="1" x14ac:dyDescent="0.2">
      <c r="A6663" s="105" t="str">
        <f>IF(D6663=1,COUNTIF($D$10:D6663,1)," ")</f>
        <v xml:space="preserve"> </v>
      </c>
      <c r="B6663" s="106">
        <f>COPY!AR6655</f>
        <v>0</v>
      </c>
      <c r="C6663" s="107">
        <f>COPY!AC6655</f>
        <v>0</v>
      </c>
      <c r="D6663" s="107" t="str">
        <f>IF(LEN(Table1722[[#This Row],[Uraian]])&gt;2,1," ")</f>
        <v xml:space="preserve"> </v>
      </c>
      <c r="E6663" s="113" t="str">
        <f>IF(Table1722[[#This Row],[Lawan Transaksi]]="CV AGUNG KARYA",COUNTIF($I$10:I6663,"CV AGUNG KARYA")," ")</f>
        <v xml:space="preserve"> </v>
      </c>
      <c r="F6663" s="107" t="str">
        <f>IF(LEN(Table1722[[#This Row],[Uraian]])&gt;2,TRIM(RIGHT(SUBSTITUTE(TRIM(C6663)," ",REPT(" ",255)),255))," ")</f>
        <v xml:space="preserve"> </v>
      </c>
      <c r="G6663" s="110">
        <f>COPY!Z6655</f>
        <v>0</v>
      </c>
      <c r="H6663" s="111" t="str">
        <f>IFERROR(VLOOKUP(Table1722[[#This Row],[Bukti]],'Un nOTA'!$A$4:$K$5003,10,FALSE),"")</f>
        <v/>
      </c>
      <c r="I6663" s="123" t="str">
        <f>IFERROR(VLOOKUP(Table1722[[#This Row],[Bukti]],Table13[#Data],11,FALSE),"")</f>
        <v/>
      </c>
    </row>
    <row r="6664" spans="1:9" hidden="1" x14ac:dyDescent="0.2">
      <c r="A6664" s="105" t="str">
        <f>IF(D6664=1,COUNTIF($D$10:D6664,1)," ")</f>
        <v xml:space="preserve"> </v>
      </c>
      <c r="B6664" s="106">
        <f>COPY!AR6656</f>
        <v>0</v>
      </c>
      <c r="C6664" s="107">
        <f>COPY!AC6656</f>
        <v>0</v>
      </c>
      <c r="D6664" s="107" t="str">
        <f>IF(LEN(Table1722[[#This Row],[Uraian]])&gt;2,1," ")</f>
        <v xml:space="preserve"> </v>
      </c>
      <c r="E6664" s="113" t="str">
        <f>IF(Table1722[[#This Row],[Lawan Transaksi]]="CV AGUNG KARYA",COUNTIF($I$10:I6664,"CV AGUNG KARYA")," ")</f>
        <v xml:space="preserve"> </v>
      </c>
      <c r="F6664" s="107" t="str">
        <f>IF(LEN(Table1722[[#This Row],[Uraian]])&gt;2,TRIM(RIGHT(SUBSTITUTE(TRIM(C6664)," ",REPT(" ",255)),255))," ")</f>
        <v xml:space="preserve"> </v>
      </c>
      <c r="G6664" s="110">
        <f>COPY!Z6656</f>
        <v>0</v>
      </c>
      <c r="H6664" s="111" t="str">
        <f>IFERROR(VLOOKUP(Table1722[[#This Row],[Bukti]],'Un nOTA'!$A$4:$K$5003,10,FALSE),"")</f>
        <v/>
      </c>
      <c r="I6664" s="123" t="str">
        <f>IFERROR(VLOOKUP(Table1722[[#This Row],[Bukti]],Table13[#Data],11,FALSE),"")</f>
        <v/>
      </c>
    </row>
    <row r="6665" spans="1:9" hidden="1" x14ac:dyDescent="0.2">
      <c r="A6665" s="105" t="str">
        <f>IF(D6665=1,COUNTIF($D$10:D6665,1)," ")</f>
        <v xml:space="preserve"> </v>
      </c>
      <c r="B6665" s="106">
        <f>COPY!AR6657</f>
        <v>0</v>
      </c>
      <c r="C6665" s="107">
        <f>COPY!AC6657</f>
        <v>0</v>
      </c>
      <c r="D6665" s="107" t="str">
        <f>IF(LEN(Table1722[[#This Row],[Uraian]])&gt;2,1," ")</f>
        <v xml:space="preserve"> </v>
      </c>
      <c r="E6665" s="113" t="str">
        <f>IF(Table1722[[#This Row],[Lawan Transaksi]]="CV AGUNG KARYA",COUNTIF($I$10:I6665,"CV AGUNG KARYA")," ")</f>
        <v xml:space="preserve"> </v>
      </c>
      <c r="F6665" s="107" t="str">
        <f>IF(LEN(Table1722[[#This Row],[Uraian]])&gt;2,TRIM(RIGHT(SUBSTITUTE(TRIM(C6665)," ",REPT(" ",255)),255))," ")</f>
        <v xml:space="preserve"> </v>
      </c>
      <c r="G6665" s="110">
        <f>COPY!Z6657</f>
        <v>0</v>
      </c>
      <c r="H6665" s="111" t="str">
        <f>IFERROR(VLOOKUP(Table1722[[#This Row],[Bukti]],'Un nOTA'!$A$4:$K$5003,10,FALSE),"")</f>
        <v/>
      </c>
      <c r="I6665" s="123" t="str">
        <f>IFERROR(VLOOKUP(Table1722[[#This Row],[Bukti]],Table13[#Data],11,FALSE),"")</f>
        <v/>
      </c>
    </row>
    <row r="6666" spans="1:9" hidden="1" x14ac:dyDescent="0.2">
      <c r="A6666" s="105" t="str">
        <f>IF(D6666=1,COUNTIF($D$10:D6666,1)," ")</f>
        <v xml:space="preserve"> </v>
      </c>
      <c r="B6666" s="106">
        <f>COPY!AR6658</f>
        <v>0</v>
      </c>
      <c r="C6666" s="107">
        <f>COPY!AC6658</f>
        <v>0</v>
      </c>
      <c r="D6666" s="107" t="str">
        <f>IF(LEN(Table1722[[#This Row],[Uraian]])&gt;2,1," ")</f>
        <v xml:space="preserve"> </v>
      </c>
      <c r="E6666" s="113" t="str">
        <f>IF(Table1722[[#This Row],[Lawan Transaksi]]="CV AGUNG KARYA",COUNTIF($I$10:I6666,"CV AGUNG KARYA")," ")</f>
        <v xml:space="preserve"> </v>
      </c>
      <c r="F6666" s="107" t="str">
        <f>IF(LEN(Table1722[[#This Row],[Uraian]])&gt;2,TRIM(RIGHT(SUBSTITUTE(TRIM(C6666)," ",REPT(" ",255)),255))," ")</f>
        <v xml:space="preserve"> </v>
      </c>
      <c r="G6666" s="110">
        <f>COPY!Z6658</f>
        <v>0</v>
      </c>
      <c r="H6666" s="111" t="str">
        <f>IFERROR(VLOOKUP(Table1722[[#This Row],[Bukti]],'Un nOTA'!$A$4:$K$5003,10,FALSE),"")</f>
        <v/>
      </c>
      <c r="I6666" s="123" t="str">
        <f>IFERROR(VLOOKUP(Table1722[[#This Row],[Bukti]],Table13[#Data],11,FALSE),"")</f>
        <v/>
      </c>
    </row>
    <row r="6667" spans="1:9" hidden="1" x14ac:dyDescent="0.2">
      <c r="A6667" s="105" t="str">
        <f>IF(D6667=1,COUNTIF($D$10:D6667,1)," ")</f>
        <v xml:space="preserve"> </v>
      </c>
      <c r="B6667" s="106">
        <f>COPY!AR6659</f>
        <v>0</v>
      </c>
      <c r="C6667" s="107">
        <f>COPY!AC6659</f>
        <v>0</v>
      </c>
      <c r="D6667" s="107" t="str">
        <f>IF(LEN(Table1722[[#This Row],[Uraian]])&gt;2,1," ")</f>
        <v xml:space="preserve"> </v>
      </c>
      <c r="E6667" s="113" t="str">
        <f>IF(Table1722[[#This Row],[Lawan Transaksi]]="CV AGUNG KARYA",COUNTIF($I$10:I6667,"CV AGUNG KARYA")," ")</f>
        <v xml:space="preserve"> </v>
      </c>
      <c r="F6667" s="107" t="str">
        <f>IF(LEN(Table1722[[#This Row],[Uraian]])&gt;2,TRIM(RIGHT(SUBSTITUTE(TRIM(C6667)," ",REPT(" ",255)),255))," ")</f>
        <v xml:space="preserve"> </v>
      </c>
      <c r="G6667" s="110">
        <f>COPY!Z6659</f>
        <v>0</v>
      </c>
      <c r="H6667" s="111" t="str">
        <f>IFERROR(VLOOKUP(Table1722[[#This Row],[Bukti]],'Un nOTA'!$A$4:$K$5003,10,FALSE),"")</f>
        <v/>
      </c>
      <c r="I6667" s="123" t="str">
        <f>IFERROR(VLOOKUP(Table1722[[#This Row],[Bukti]],Table13[#Data],11,FALSE),"")</f>
        <v/>
      </c>
    </row>
    <row r="6668" spans="1:9" hidden="1" x14ac:dyDescent="0.2">
      <c r="A6668" s="105" t="str">
        <f>IF(D6668=1,COUNTIF($D$10:D6668,1)," ")</f>
        <v xml:space="preserve"> </v>
      </c>
      <c r="B6668" s="106">
        <f>COPY!AR6660</f>
        <v>0</v>
      </c>
      <c r="C6668" s="107">
        <f>COPY!AC6660</f>
        <v>0</v>
      </c>
      <c r="D6668" s="107" t="str">
        <f>IF(LEN(Table1722[[#This Row],[Uraian]])&gt;2,1," ")</f>
        <v xml:space="preserve"> </v>
      </c>
      <c r="E6668" s="113" t="str">
        <f>IF(Table1722[[#This Row],[Lawan Transaksi]]="CV AGUNG KARYA",COUNTIF($I$10:I6668,"CV AGUNG KARYA")," ")</f>
        <v xml:space="preserve"> </v>
      </c>
      <c r="F6668" s="107" t="str">
        <f>IF(LEN(Table1722[[#This Row],[Uraian]])&gt;2,TRIM(RIGHT(SUBSTITUTE(TRIM(C6668)," ",REPT(" ",255)),255))," ")</f>
        <v xml:space="preserve"> </v>
      </c>
      <c r="G6668" s="110">
        <f>COPY!Z6660</f>
        <v>0</v>
      </c>
      <c r="H6668" s="111" t="str">
        <f>IFERROR(VLOOKUP(Table1722[[#This Row],[Bukti]],'Un nOTA'!$A$4:$K$5003,10,FALSE),"")</f>
        <v/>
      </c>
      <c r="I6668" s="123" t="str">
        <f>IFERROR(VLOOKUP(Table1722[[#This Row],[Bukti]],Table13[#Data],11,FALSE),"")</f>
        <v/>
      </c>
    </row>
    <row r="6669" spans="1:9" hidden="1" x14ac:dyDescent="0.2">
      <c r="A6669" s="105" t="str">
        <f>IF(D6669=1,COUNTIF($D$10:D6669,1)," ")</f>
        <v xml:space="preserve"> </v>
      </c>
      <c r="B6669" s="106">
        <f>COPY!AR6661</f>
        <v>0</v>
      </c>
      <c r="C6669" s="107">
        <f>COPY!AC6661</f>
        <v>0</v>
      </c>
      <c r="D6669" s="107" t="str">
        <f>IF(LEN(Table1722[[#This Row],[Uraian]])&gt;2,1," ")</f>
        <v xml:space="preserve"> </v>
      </c>
      <c r="E6669" s="113" t="str">
        <f>IF(Table1722[[#This Row],[Lawan Transaksi]]="CV AGUNG KARYA",COUNTIF($I$10:I6669,"CV AGUNG KARYA")," ")</f>
        <v xml:space="preserve"> </v>
      </c>
      <c r="F6669" s="107" t="str">
        <f>IF(LEN(Table1722[[#This Row],[Uraian]])&gt;2,TRIM(RIGHT(SUBSTITUTE(TRIM(C6669)," ",REPT(" ",255)),255))," ")</f>
        <v xml:space="preserve"> </v>
      </c>
      <c r="G6669" s="110">
        <f>COPY!Z6661</f>
        <v>0</v>
      </c>
      <c r="H6669" s="111" t="str">
        <f>IFERROR(VLOOKUP(Table1722[[#This Row],[Bukti]],'Un nOTA'!$A$4:$K$5003,10,FALSE),"")</f>
        <v/>
      </c>
      <c r="I6669" s="123" t="str">
        <f>IFERROR(VLOOKUP(Table1722[[#This Row],[Bukti]],Table13[#Data],11,FALSE),"")</f>
        <v/>
      </c>
    </row>
    <row r="6670" spans="1:9" hidden="1" x14ac:dyDescent="0.2">
      <c r="A6670" s="105" t="str">
        <f>IF(D6670=1,COUNTIF($D$10:D6670,1)," ")</f>
        <v xml:space="preserve"> </v>
      </c>
      <c r="B6670" s="106">
        <f>COPY!AR6662</f>
        <v>0</v>
      </c>
      <c r="C6670" s="107">
        <f>COPY!AC6662</f>
        <v>0</v>
      </c>
      <c r="D6670" s="107" t="str">
        <f>IF(LEN(Table1722[[#This Row],[Uraian]])&gt;2,1," ")</f>
        <v xml:space="preserve"> </v>
      </c>
      <c r="E6670" s="113" t="str">
        <f>IF(Table1722[[#This Row],[Lawan Transaksi]]="CV AGUNG KARYA",COUNTIF($I$10:I6670,"CV AGUNG KARYA")," ")</f>
        <v xml:space="preserve"> </v>
      </c>
      <c r="F6670" s="107" t="str">
        <f>IF(LEN(Table1722[[#This Row],[Uraian]])&gt;2,TRIM(RIGHT(SUBSTITUTE(TRIM(C6670)," ",REPT(" ",255)),255))," ")</f>
        <v xml:space="preserve"> </v>
      </c>
      <c r="G6670" s="110">
        <f>COPY!Z6662</f>
        <v>0</v>
      </c>
      <c r="H6670" s="111" t="str">
        <f>IFERROR(VLOOKUP(Table1722[[#This Row],[Bukti]],'Un nOTA'!$A$4:$K$5003,10,FALSE),"")</f>
        <v/>
      </c>
      <c r="I6670" s="123" t="str">
        <f>IFERROR(VLOOKUP(Table1722[[#This Row],[Bukti]],Table13[#Data],11,FALSE),"")</f>
        <v/>
      </c>
    </row>
    <row r="6671" spans="1:9" hidden="1" x14ac:dyDescent="0.2">
      <c r="A6671" s="105" t="str">
        <f>IF(D6671=1,COUNTIF($D$10:D6671,1)," ")</f>
        <v xml:space="preserve"> </v>
      </c>
      <c r="B6671" s="106">
        <f>COPY!AR6663</f>
        <v>0</v>
      </c>
      <c r="C6671" s="107">
        <f>COPY!AC6663</f>
        <v>0</v>
      </c>
      <c r="D6671" s="107" t="str">
        <f>IF(LEN(Table1722[[#This Row],[Uraian]])&gt;2,1," ")</f>
        <v xml:space="preserve"> </v>
      </c>
      <c r="E6671" s="113" t="str">
        <f>IF(Table1722[[#This Row],[Lawan Transaksi]]="CV AGUNG KARYA",COUNTIF($I$10:I6671,"CV AGUNG KARYA")," ")</f>
        <v xml:space="preserve"> </v>
      </c>
      <c r="F6671" s="107" t="str">
        <f>IF(LEN(Table1722[[#This Row],[Uraian]])&gt;2,TRIM(RIGHT(SUBSTITUTE(TRIM(C6671)," ",REPT(" ",255)),255))," ")</f>
        <v xml:space="preserve"> </v>
      </c>
      <c r="G6671" s="110">
        <f>COPY!Z6663</f>
        <v>0</v>
      </c>
      <c r="H6671" s="111" t="str">
        <f>IFERROR(VLOOKUP(Table1722[[#This Row],[Bukti]],'Un nOTA'!$A$4:$K$5003,10,FALSE),"")</f>
        <v/>
      </c>
      <c r="I6671" s="123" t="str">
        <f>IFERROR(VLOOKUP(Table1722[[#This Row],[Bukti]],Table13[#Data],11,FALSE),"")</f>
        <v/>
      </c>
    </row>
    <row r="6672" spans="1:9" hidden="1" x14ac:dyDescent="0.2">
      <c r="A6672" s="105" t="str">
        <f>IF(D6672=1,COUNTIF($D$10:D6672,1)," ")</f>
        <v xml:space="preserve"> </v>
      </c>
      <c r="B6672" s="106">
        <f>COPY!AR6664</f>
        <v>0</v>
      </c>
      <c r="C6672" s="107">
        <f>COPY!AC6664</f>
        <v>0</v>
      </c>
      <c r="D6672" s="107" t="str">
        <f>IF(LEN(Table1722[[#This Row],[Uraian]])&gt;2,1," ")</f>
        <v xml:space="preserve"> </v>
      </c>
      <c r="E6672" s="113" t="str">
        <f>IF(Table1722[[#This Row],[Lawan Transaksi]]="CV AGUNG KARYA",COUNTIF($I$10:I6672,"CV AGUNG KARYA")," ")</f>
        <v xml:space="preserve"> </v>
      </c>
      <c r="F6672" s="107" t="str">
        <f>IF(LEN(Table1722[[#This Row],[Uraian]])&gt;2,TRIM(RIGHT(SUBSTITUTE(TRIM(C6672)," ",REPT(" ",255)),255))," ")</f>
        <v xml:space="preserve"> </v>
      </c>
      <c r="G6672" s="110">
        <f>COPY!Z6664</f>
        <v>0</v>
      </c>
      <c r="H6672" s="111" t="str">
        <f>IFERROR(VLOOKUP(Table1722[[#This Row],[Bukti]],'Un nOTA'!$A$4:$K$5003,10,FALSE),"")</f>
        <v/>
      </c>
      <c r="I6672" s="123" t="str">
        <f>IFERROR(VLOOKUP(Table1722[[#This Row],[Bukti]],Table13[#Data],11,FALSE),"")</f>
        <v/>
      </c>
    </row>
    <row r="6673" spans="1:9" hidden="1" x14ac:dyDescent="0.2">
      <c r="A6673" s="105" t="str">
        <f>IF(D6673=1,COUNTIF($D$10:D6673,1)," ")</f>
        <v xml:space="preserve"> </v>
      </c>
      <c r="B6673" s="106">
        <f>COPY!AR6665</f>
        <v>0</v>
      </c>
      <c r="C6673" s="107">
        <f>COPY!AC6665</f>
        <v>0</v>
      </c>
      <c r="D6673" s="107" t="str">
        <f>IF(LEN(Table1722[[#This Row],[Uraian]])&gt;2,1," ")</f>
        <v xml:space="preserve"> </v>
      </c>
      <c r="E6673" s="113" t="str">
        <f>IF(Table1722[[#This Row],[Lawan Transaksi]]="CV AGUNG KARYA",COUNTIF($I$10:I6673,"CV AGUNG KARYA")," ")</f>
        <v xml:space="preserve"> </v>
      </c>
      <c r="F6673" s="107" t="str">
        <f>IF(LEN(Table1722[[#This Row],[Uraian]])&gt;2,TRIM(RIGHT(SUBSTITUTE(TRIM(C6673)," ",REPT(" ",255)),255))," ")</f>
        <v xml:space="preserve"> </v>
      </c>
      <c r="G6673" s="110">
        <f>COPY!Z6665</f>
        <v>0</v>
      </c>
      <c r="H6673" s="111" t="str">
        <f>IFERROR(VLOOKUP(Table1722[[#This Row],[Bukti]],'Un nOTA'!$A$4:$K$5003,10,FALSE),"")</f>
        <v/>
      </c>
      <c r="I6673" s="123" t="str">
        <f>IFERROR(VLOOKUP(Table1722[[#This Row],[Bukti]],Table13[#Data],11,FALSE),"")</f>
        <v/>
      </c>
    </row>
    <row r="6674" spans="1:9" hidden="1" x14ac:dyDescent="0.2">
      <c r="A6674" s="105" t="str">
        <f>IF(D6674=1,COUNTIF($D$10:D6674,1)," ")</f>
        <v xml:space="preserve"> </v>
      </c>
      <c r="B6674" s="106">
        <f>COPY!AR6666</f>
        <v>0</v>
      </c>
      <c r="C6674" s="107">
        <f>COPY!AC6666</f>
        <v>0</v>
      </c>
      <c r="D6674" s="107" t="str">
        <f>IF(LEN(Table1722[[#This Row],[Uraian]])&gt;2,1," ")</f>
        <v xml:space="preserve"> </v>
      </c>
      <c r="E6674" s="113" t="str">
        <f>IF(Table1722[[#This Row],[Lawan Transaksi]]="CV AGUNG KARYA",COUNTIF($I$10:I6674,"CV AGUNG KARYA")," ")</f>
        <v xml:space="preserve"> </v>
      </c>
      <c r="F6674" s="107" t="str">
        <f>IF(LEN(Table1722[[#This Row],[Uraian]])&gt;2,TRIM(RIGHT(SUBSTITUTE(TRIM(C6674)," ",REPT(" ",255)),255))," ")</f>
        <v xml:space="preserve"> </v>
      </c>
      <c r="G6674" s="110">
        <f>COPY!Z6666</f>
        <v>0</v>
      </c>
      <c r="H6674" s="111" t="str">
        <f>IFERROR(VLOOKUP(Table1722[[#This Row],[Bukti]],'Un nOTA'!$A$4:$K$5003,10,FALSE),"")</f>
        <v/>
      </c>
      <c r="I6674" s="123" t="str">
        <f>IFERROR(VLOOKUP(Table1722[[#This Row],[Bukti]],Table13[#Data],11,FALSE),"")</f>
        <v/>
      </c>
    </row>
    <row r="6675" spans="1:9" hidden="1" x14ac:dyDescent="0.2">
      <c r="A6675" s="105" t="str">
        <f>IF(D6675=1,COUNTIF($D$10:D6675,1)," ")</f>
        <v xml:space="preserve"> </v>
      </c>
      <c r="B6675" s="106">
        <f>COPY!AR6667</f>
        <v>0</v>
      </c>
      <c r="C6675" s="107">
        <f>COPY!AC6667</f>
        <v>0</v>
      </c>
      <c r="D6675" s="107" t="str">
        <f>IF(LEN(Table1722[[#This Row],[Uraian]])&gt;2,1," ")</f>
        <v xml:space="preserve"> </v>
      </c>
      <c r="E6675" s="113" t="str">
        <f>IF(Table1722[[#This Row],[Lawan Transaksi]]="CV AGUNG KARYA",COUNTIF($I$10:I6675,"CV AGUNG KARYA")," ")</f>
        <v xml:space="preserve"> </v>
      </c>
      <c r="F6675" s="107" t="str">
        <f>IF(LEN(Table1722[[#This Row],[Uraian]])&gt;2,TRIM(RIGHT(SUBSTITUTE(TRIM(C6675)," ",REPT(" ",255)),255))," ")</f>
        <v xml:space="preserve"> </v>
      </c>
      <c r="G6675" s="110">
        <f>COPY!Z6667</f>
        <v>0</v>
      </c>
      <c r="H6675" s="111" t="str">
        <f>IFERROR(VLOOKUP(Table1722[[#This Row],[Bukti]],'Un nOTA'!$A$4:$K$5003,10,FALSE),"")</f>
        <v/>
      </c>
      <c r="I6675" s="123" t="str">
        <f>IFERROR(VLOOKUP(Table1722[[#This Row],[Bukti]],Table13[#Data],11,FALSE),"")</f>
        <v/>
      </c>
    </row>
    <row r="6676" spans="1:9" hidden="1" x14ac:dyDescent="0.2">
      <c r="A6676" s="105" t="str">
        <f>IF(D6676=1,COUNTIF($D$10:D6676,1)," ")</f>
        <v xml:space="preserve"> </v>
      </c>
      <c r="B6676" s="106">
        <f>COPY!AR6668</f>
        <v>0</v>
      </c>
      <c r="C6676" s="107">
        <f>COPY!AC6668</f>
        <v>0</v>
      </c>
      <c r="D6676" s="107" t="str">
        <f>IF(LEN(Table1722[[#This Row],[Uraian]])&gt;2,1," ")</f>
        <v xml:space="preserve"> </v>
      </c>
      <c r="E6676" s="113" t="str">
        <f>IF(Table1722[[#This Row],[Lawan Transaksi]]="CV AGUNG KARYA",COUNTIF($I$10:I6676,"CV AGUNG KARYA")," ")</f>
        <v xml:space="preserve"> </v>
      </c>
      <c r="F6676" s="107" t="str">
        <f>IF(LEN(Table1722[[#This Row],[Uraian]])&gt;2,TRIM(RIGHT(SUBSTITUTE(TRIM(C6676)," ",REPT(" ",255)),255))," ")</f>
        <v xml:space="preserve"> </v>
      </c>
      <c r="G6676" s="110">
        <f>COPY!Z6668</f>
        <v>0</v>
      </c>
      <c r="H6676" s="111" t="str">
        <f>IFERROR(VLOOKUP(Table1722[[#This Row],[Bukti]],'Un nOTA'!$A$4:$K$5003,10,FALSE),"")</f>
        <v/>
      </c>
      <c r="I6676" s="123" t="str">
        <f>IFERROR(VLOOKUP(Table1722[[#This Row],[Bukti]],Table13[#Data],11,FALSE),"")</f>
        <v/>
      </c>
    </row>
    <row r="6677" spans="1:9" hidden="1" x14ac:dyDescent="0.2">
      <c r="A6677" s="105" t="str">
        <f>IF(D6677=1,COUNTIF($D$10:D6677,1)," ")</f>
        <v xml:space="preserve"> </v>
      </c>
      <c r="B6677" s="106">
        <f>COPY!AR6669</f>
        <v>0</v>
      </c>
      <c r="C6677" s="107">
        <f>COPY!AC6669</f>
        <v>0</v>
      </c>
      <c r="D6677" s="107" t="str">
        <f>IF(LEN(Table1722[[#This Row],[Uraian]])&gt;2,1," ")</f>
        <v xml:space="preserve"> </v>
      </c>
      <c r="E6677" s="113" t="str">
        <f>IF(Table1722[[#This Row],[Lawan Transaksi]]="CV AGUNG KARYA",COUNTIF($I$10:I6677,"CV AGUNG KARYA")," ")</f>
        <v xml:space="preserve"> </v>
      </c>
      <c r="F6677" s="107" t="str">
        <f>IF(LEN(Table1722[[#This Row],[Uraian]])&gt;2,TRIM(RIGHT(SUBSTITUTE(TRIM(C6677)," ",REPT(" ",255)),255))," ")</f>
        <v xml:space="preserve"> </v>
      </c>
      <c r="G6677" s="110">
        <f>COPY!Z6669</f>
        <v>0</v>
      </c>
      <c r="H6677" s="111" t="str">
        <f>IFERROR(VLOOKUP(Table1722[[#This Row],[Bukti]],'Un nOTA'!$A$4:$K$5003,10,FALSE),"")</f>
        <v/>
      </c>
      <c r="I6677" s="123" t="str">
        <f>IFERROR(VLOOKUP(Table1722[[#This Row],[Bukti]],Table13[#Data],11,FALSE),"")</f>
        <v/>
      </c>
    </row>
    <row r="6678" spans="1:9" hidden="1" x14ac:dyDescent="0.2">
      <c r="A6678" s="105" t="str">
        <f>IF(D6678=1,COUNTIF($D$10:D6678,1)," ")</f>
        <v xml:space="preserve"> </v>
      </c>
      <c r="B6678" s="106">
        <f>COPY!AR6670</f>
        <v>0</v>
      </c>
      <c r="C6678" s="107">
        <f>COPY!AC6670</f>
        <v>0</v>
      </c>
      <c r="D6678" s="107" t="str">
        <f>IF(LEN(Table1722[[#This Row],[Uraian]])&gt;2,1," ")</f>
        <v xml:space="preserve"> </v>
      </c>
      <c r="E6678" s="113" t="str">
        <f>IF(Table1722[[#This Row],[Lawan Transaksi]]="CV AGUNG KARYA",COUNTIF($I$10:I6678,"CV AGUNG KARYA")," ")</f>
        <v xml:space="preserve"> </v>
      </c>
      <c r="F6678" s="107" t="str">
        <f>IF(LEN(Table1722[[#This Row],[Uraian]])&gt;2,TRIM(RIGHT(SUBSTITUTE(TRIM(C6678)," ",REPT(" ",255)),255))," ")</f>
        <v xml:space="preserve"> </v>
      </c>
      <c r="G6678" s="110">
        <f>COPY!Z6670</f>
        <v>0</v>
      </c>
      <c r="H6678" s="111" t="str">
        <f>IFERROR(VLOOKUP(Table1722[[#This Row],[Bukti]],'Un nOTA'!$A$4:$K$5003,10,FALSE),"")</f>
        <v/>
      </c>
      <c r="I6678" s="123" t="str">
        <f>IFERROR(VLOOKUP(Table1722[[#This Row],[Bukti]],Table13[#Data],11,FALSE),"")</f>
        <v/>
      </c>
    </row>
    <row r="6679" spans="1:9" hidden="1" x14ac:dyDescent="0.2">
      <c r="A6679" s="105" t="str">
        <f>IF(D6679=1,COUNTIF($D$10:D6679,1)," ")</f>
        <v xml:space="preserve"> </v>
      </c>
      <c r="B6679" s="106">
        <f>COPY!AR6671</f>
        <v>0</v>
      </c>
      <c r="C6679" s="107">
        <f>COPY!AC6671</f>
        <v>0</v>
      </c>
      <c r="D6679" s="107" t="str">
        <f>IF(LEN(Table1722[[#This Row],[Uraian]])&gt;2,1," ")</f>
        <v xml:space="preserve"> </v>
      </c>
      <c r="E6679" s="113" t="str">
        <f>IF(Table1722[[#This Row],[Lawan Transaksi]]="CV AGUNG KARYA",COUNTIF($I$10:I6679,"CV AGUNG KARYA")," ")</f>
        <v xml:space="preserve"> </v>
      </c>
      <c r="F6679" s="107" t="str">
        <f>IF(LEN(Table1722[[#This Row],[Uraian]])&gt;2,TRIM(RIGHT(SUBSTITUTE(TRIM(C6679)," ",REPT(" ",255)),255))," ")</f>
        <v xml:space="preserve"> </v>
      </c>
      <c r="G6679" s="110">
        <f>COPY!Z6671</f>
        <v>0</v>
      </c>
      <c r="H6679" s="111" t="str">
        <f>IFERROR(VLOOKUP(Table1722[[#This Row],[Bukti]],'Un nOTA'!$A$4:$K$5003,10,FALSE),"")</f>
        <v/>
      </c>
      <c r="I6679" s="123" t="str">
        <f>IFERROR(VLOOKUP(Table1722[[#This Row],[Bukti]],Table13[#Data],11,FALSE),"")</f>
        <v/>
      </c>
    </row>
    <row r="6680" spans="1:9" hidden="1" x14ac:dyDescent="0.2">
      <c r="A6680" s="105" t="str">
        <f>IF(D6680=1,COUNTIF($D$10:D6680,1)," ")</f>
        <v xml:space="preserve"> </v>
      </c>
      <c r="B6680" s="106">
        <f>COPY!AR6672</f>
        <v>0</v>
      </c>
      <c r="C6680" s="107">
        <f>COPY!AC6672</f>
        <v>0</v>
      </c>
      <c r="D6680" s="107" t="str">
        <f>IF(LEN(Table1722[[#This Row],[Uraian]])&gt;2,1," ")</f>
        <v xml:space="preserve"> </v>
      </c>
      <c r="E6680" s="113" t="str">
        <f>IF(Table1722[[#This Row],[Lawan Transaksi]]="CV AGUNG KARYA",COUNTIF($I$10:I6680,"CV AGUNG KARYA")," ")</f>
        <v xml:space="preserve"> </v>
      </c>
      <c r="F6680" s="107" t="str">
        <f>IF(LEN(Table1722[[#This Row],[Uraian]])&gt;2,TRIM(RIGHT(SUBSTITUTE(TRIM(C6680)," ",REPT(" ",255)),255))," ")</f>
        <v xml:space="preserve"> </v>
      </c>
      <c r="G6680" s="110">
        <f>COPY!Z6672</f>
        <v>0</v>
      </c>
      <c r="H6680" s="111" t="str">
        <f>IFERROR(VLOOKUP(Table1722[[#This Row],[Bukti]],'Un nOTA'!$A$4:$K$5003,10,FALSE),"")</f>
        <v/>
      </c>
      <c r="I6680" s="123" t="str">
        <f>IFERROR(VLOOKUP(Table1722[[#This Row],[Bukti]],Table13[#Data],11,FALSE),"")</f>
        <v/>
      </c>
    </row>
    <row r="6681" spans="1:9" hidden="1" x14ac:dyDescent="0.2">
      <c r="A6681" s="105" t="str">
        <f>IF(D6681=1,COUNTIF($D$10:D6681,1)," ")</f>
        <v xml:space="preserve"> </v>
      </c>
      <c r="B6681" s="106">
        <f>COPY!AR6673</f>
        <v>0</v>
      </c>
      <c r="C6681" s="107">
        <f>COPY!AC6673</f>
        <v>0</v>
      </c>
      <c r="D6681" s="107" t="str">
        <f>IF(LEN(Table1722[[#This Row],[Uraian]])&gt;2,1," ")</f>
        <v xml:space="preserve"> </v>
      </c>
      <c r="E6681" s="113" t="str">
        <f>IF(Table1722[[#This Row],[Lawan Transaksi]]="CV AGUNG KARYA",COUNTIF($I$10:I6681,"CV AGUNG KARYA")," ")</f>
        <v xml:space="preserve"> </v>
      </c>
      <c r="F6681" s="107" t="str">
        <f>IF(LEN(Table1722[[#This Row],[Uraian]])&gt;2,TRIM(RIGHT(SUBSTITUTE(TRIM(C6681)," ",REPT(" ",255)),255))," ")</f>
        <v xml:space="preserve"> </v>
      </c>
      <c r="G6681" s="110">
        <f>COPY!Z6673</f>
        <v>0</v>
      </c>
      <c r="H6681" s="111" t="str">
        <f>IFERROR(VLOOKUP(Table1722[[#This Row],[Bukti]],'Un nOTA'!$A$4:$K$5003,10,FALSE),"")</f>
        <v/>
      </c>
      <c r="I6681" s="123" t="str">
        <f>IFERROR(VLOOKUP(Table1722[[#This Row],[Bukti]],Table13[#Data],11,FALSE),"")</f>
        <v/>
      </c>
    </row>
    <row r="6682" spans="1:9" hidden="1" x14ac:dyDescent="0.2">
      <c r="A6682" s="105" t="str">
        <f>IF(D6682=1,COUNTIF($D$10:D6682,1)," ")</f>
        <v xml:space="preserve"> </v>
      </c>
      <c r="B6682" s="106">
        <f>COPY!AR6674</f>
        <v>0</v>
      </c>
      <c r="C6682" s="107">
        <f>COPY!AC6674</f>
        <v>0</v>
      </c>
      <c r="D6682" s="107" t="str">
        <f>IF(LEN(Table1722[[#This Row],[Uraian]])&gt;2,1," ")</f>
        <v xml:space="preserve"> </v>
      </c>
      <c r="E6682" s="113" t="str">
        <f>IF(Table1722[[#This Row],[Lawan Transaksi]]="CV AGUNG KARYA",COUNTIF($I$10:I6682,"CV AGUNG KARYA")," ")</f>
        <v xml:space="preserve"> </v>
      </c>
      <c r="F6682" s="107" t="str">
        <f>IF(LEN(Table1722[[#This Row],[Uraian]])&gt;2,TRIM(RIGHT(SUBSTITUTE(TRIM(C6682)," ",REPT(" ",255)),255))," ")</f>
        <v xml:space="preserve"> </v>
      </c>
      <c r="G6682" s="110">
        <f>COPY!Z6674</f>
        <v>0</v>
      </c>
      <c r="H6682" s="111" t="str">
        <f>IFERROR(VLOOKUP(Table1722[[#This Row],[Bukti]],'Un nOTA'!$A$4:$K$5003,10,FALSE),"")</f>
        <v/>
      </c>
      <c r="I6682" s="123" t="str">
        <f>IFERROR(VLOOKUP(Table1722[[#This Row],[Bukti]],Table13[#Data],11,FALSE),"")</f>
        <v/>
      </c>
    </row>
    <row r="6683" spans="1:9" hidden="1" x14ac:dyDescent="0.2">
      <c r="A6683" s="105" t="str">
        <f>IF(D6683=1,COUNTIF($D$10:D6683,1)," ")</f>
        <v xml:space="preserve"> </v>
      </c>
      <c r="B6683" s="106">
        <f>COPY!AR6675</f>
        <v>0</v>
      </c>
      <c r="C6683" s="107">
        <f>COPY!AC6675</f>
        <v>0</v>
      </c>
      <c r="D6683" s="107" t="str">
        <f>IF(LEN(Table1722[[#This Row],[Uraian]])&gt;2,1," ")</f>
        <v xml:space="preserve"> </v>
      </c>
      <c r="E6683" s="113" t="str">
        <f>IF(Table1722[[#This Row],[Lawan Transaksi]]="CV AGUNG KARYA",COUNTIF($I$10:I6683,"CV AGUNG KARYA")," ")</f>
        <v xml:space="preserve"> </v>
      </c>
      <c r="F6683" s="107" t="str">
        <f>IF(LEN(Table1722[[#This Row],[Uraian]])&gt;2,TRIM(RIGHT(SUBSTITUTE(TRIM(C6683)," ",REPT(" ",255)),255))," ")</f>
        <v xml:space="preserve"> </v>
      </c>
      <c r="G6683" s="110">
        <f>COPY!Z6675</f>
        <v>0</v>
      </c>
      <c r="H6683" s="111" t="str">
        <f>IFERROR(VLOOKUP(Table1722[[#This Row],[Bukti]],'Un nOTA'!$A$4:$K$5003,10,FALSE),"")</f>
        <v/>
      </c>
      <c r="I6683" s="123" t="str">
        <f>IFERROR(VLOOKUP(Table1722[[#This Row],[Bukti]],Table13[#Data],11,FALSE),"")</f>
        <v/>
      </c>
    </row>
    <row r="6684" spans="1:9" hidden="1" x14ac:dyDescent="0.2">
      <c r="A6684" s="105" t="str">
        <f>IF(D6684=1,COUNTIF($D$10:D6684,1)," ")</f>
        <v xml:space="preserve"> </v>
      </c>
      <c r="B6684" s="106">
        <f>COPY!AR6676</f>
        <v>0</v>
      </c>
      <c r="C6684" s="107">
        <f>COPY!AC6676</f>
        <v>0</v>
      </c>
      <c r="D6684" s="107" t="str">
        <f>IF(LEN(Table1722[[#This Row],[Uraian]])&gt;2,1," ")</f>
        <v xml:space="preserve"> </v>
      </c>
      <c r="E6684" s="113" t="str">
        <f>IF(Table1722[[#This Row],[Lawan Transaksi]]="CV AGUNG KARYA",COUNTIF($I$10:I6684,"CV AGUNG KARYA")," ")</f>
        <v xml:space="preserve"> </v>
      </c>
      <c r="F6684" s="107" t="str">
        <f>IF(LEN(Table1722[[#This Row],[Uraian]])&gt;2,TRIM(RIGHT(SUBSTITUTE(TRIM(C6684)," ",REPT(" ",255)),255))," ")</f>
        <v xml:space="preserve"> </v>
      </c>
      <c r="G6684" s="110">
        <f>COPY!Z6676</f>
        <v>0</v>
      </c>
      <c r="H6684" s="111" t="str">
        <f>IFERROR(VLOOKUP(Table1722[[#This Row],[Bukti]],'Un nOTA'!$A$4:$K$5003,10,FALSE),"")</f>
        <v/>
      </c>
      <c r="I6684" s="123" t="str">
        <f>IFERROR(VLOOKUP(Table1722[[#This Row],[Bukti]],Table13[#Data],11,FALSE),"")</f>
        <v/>
      </c>
    </row>
    <row r="6685" spans="1:9" hidden="1" x14ac:dyDescent="0.2">
      <c r="A6685" s="105" t="str">
        <f>IF(D6685=1,COUNTIF($D$10:D6685,1)," ")</f>
        <v xml:space="preserve"> </v>
      </c>
      <c r="B6685" s="106">
        <f>COPY!AR6677</f>
        <v>0</v>
      </c>
      <c r="C6685" s="107">
        <f>COPY!AC6677</f>
        <v>0</v>
      </c>
      <c r="D6685" s="107" t="str">
        <f>IF(LEN(Table1722[[#This Row],[Uraian]])&gt;2,1," ")</f>
        <v xml:space="preserve"> </v>
      </c>
      <c r="E6685" s="113" t="str">
        <f>IF(Table1722[[#This Row],[Lawan Transaksi]]="CV AGUNG KARYA",COUNTIF($I$10:I6685,"CV AGUNG KARYA")," ")</f>
        <v xml:space="preserve"> </v>
      </c>
      <c r="F6685" s="107" t="str">
        <f>IF(LEN(Table1722[[#This Row],[Uraian]])&gt;2,TRIM(RIGHT(SUBSTITUTE(TRIM(C6685)," ",REPT(" ",255)),255))," ")</f>
        <v xml:space="preserve"> </v>
      </c>
      <c r="G6685" s="110">
        <f>COPY!Z6677</f>
        <v>0</v>
      </c>
      <c r="H6685" s="111" t="str">
        <f>IFERROR(VLOOKUP(Table1722[[#This Row],[Bukti]],'Un nOTA'!$A$4:$K$5003,10,FALSE),"")</f>
        <v/>
      </c>
      <c r="I6685" s="123" t="str">
        <f>IFERROR(VLOOKUP(Table1722[[#This Row],[Bukti]],Table13[#Data],11,FALSE),"")</f>
        <v/>
      </c>
    </row>
    <row r="6686" spans="1:9" hidden="1" x14ac:dyDescent="0.2">
      <c r="A6686" s="105" t="str">
        <f>IF(D6686=1,COUNTIF($D$10:D6686,1)," ")</f>
        <v xml:space="preserve"> </v>
      </c>
      <c r="B6686" s="106">
        <f>COPY!AR6678</f>
        <v>0</v>
      </c>
      <c r="C6686" s="107">
        <f>COPY!AC6678</f>
        <v>0</v>
      </c>
      <c r="D6686" s="107" t="str">
        <f>IF(LEN(Table1722[[#This Row],[Uraian]])&gt;2,1," ")</f>
        <v xml:space="preserve"> </v>
      </c>
      <c r="E6686" s="113" t="str">
        <f>IF(Table1722[[#This Row],[Lawan Transaksi]]="CV AGUNG KARYA",COUNTIF($I$10:I6686,"CV AGUNG KARYA")," ")</f>
        <v xml:space="preserve"> </v>
      </c>
      <c r="F6686" s="107" t="str">
        <f>IF(LEN(Table1722[[#This Row],[Uraian]])&gt;2,TRIM(RIGHT(SUBSTITUTE(TRIM(C6686)," ",REPT(" ",255)),255))," ")</f>
        <v xml:space="preserve"> </v>
      </c>
      <c r="G6686" s="110">
        <f>COPY!Z6678</f>
        <v>0</v>
      </c>
      <c r="H6686" s="111" t="str">
        <f>IFERROR(VLOOKUP(Table1722[[#This Row],[Bukti]],'Un nOTA'!$A$4:$K$5003,10,FALSE),"")</f>
        <v/>
      </c>
      <c r="I6686" s="123" t="str">
        <f>IFERROR(VLOOKUP(Table1722[[#This Row],[Bukti]],Table13[#Data],11,FALSE),"")</f>
        <v/>
      </c>
    </row>
    <row r="6687" spans="1:9" hidden="1" x14ac:dyDescent="0.2">
      <c r="A6687" s="105" t="str">
        <f>IF(D6687=1,COUNTIF($D$10:D6687,1)," ")</f>
        <v xml:space="preserve"> </v>
      </c>
      <c r="B6687" s="106">
        <f>COPY!AR6679</f>
        <v>0</v>
      </c>
      <c r="C6687" s="107">
        <f>COPY!AC6679</f>
        <v>0</v>
      </c>
      <c r="D6687" s="107" t="str">
        <f>IF(LEN(Table1722[[#This Row],[Uraian]])&gt;2,1," ")</f>
        <v xml:space="preserve"> </v>
      </c>
      <c r="E6687" s="113" t="str">
        <f>IF(Table1722[[#This Row],[Lawan Transaksi]]="CV AGUNG KARYA",COUNTIF($I$10:I6687,"CV AGUNG KARYA")," ")</f>
        <v xml:space="preserve"> </v>
      </c>
      <c r="F6687" s="107" t="str">
        <f>IF(LEN(Table1722[[#This Row],[Uraian]])&gt;2,TRIM(RIGHT(SUBSTITUTE(TRIM(C6687)," ",REPT(" ",255)),255))," ")</f>
        <v xml:space="preserve"> </v>
      </c>
      <c r="G6687" s="110">
        <f>COPY!Z6679</f>
        <v>0</v>
      </c>
      <c r="H6687" s="111" t="str">
        <f>IFERROR(VLOOKUP(Table1722[[#This Row],[Bukti]],'Un nOTA'!$A$4:$K$5003,10,FALSE),"")</f>
        <v/>
      </c>
      <c r="I6687" s="123" t="str">
        <f>IFERROR(VLOOKUP(Table1722[[#This Row],[Bukti]],Table13[#Data],11,FALSE),"")</f>
        <v/>
      </c>
    </row>
    <row r="6688" spans="1:9" hidden="1" x14ac:dyDescent="0.2">
      <c r="A6688" s="105" t="str">
        <f>IF(D6688=1,COUNTIF($D$10:D6688,1)," ")</f>
        <v xml:space="preserve"> </v>
      </c>
      <c r="B6688" s="106">
        <f>COPY!AR6680</f>
        <v>0</v>
      </c>
      <c r="C6688" s="107">
        <f>COPY!AC6680</f>
        <v>0</v>
      </c>
      <c r="D6688" s="107" t="str">
        <f>IF(LEN(Table1722[[#This Row],[Uraian]])&gt;2,1," ")</f>
        <v xml:space="preserve"> </v>
      </c>
      <c r="E6688" s="113" t="str">
        <f>IF(Table1722[[#This Row],[Lawan Transaksi]]="CV AGUNG KARYA",COUNTIF($I$10:I6688,"CV AGUNG KARYA")," ")</f>
        <v xml:space="preserve"> </v>
      </c>
      <c r="F6688" s="107" t="str">
        <f>IF(LEN(Table1722[[#This Row],[Uraian]])&gt;2,TRIM(RIGHT(SUBSTITUTE(TRIM(C6688)," ",REPT(" ",255)),255))," ")</f>
        <v xml:space="preserve"> </v>
      </c>
      <c r="G6688" s="110">
        <f>COPY!Z6680</f>
        <v>0</v>
      </c>
      <c r="H6688" s="111" t="str">
        <f>IFERROR(VLOOKUP(Table1722[[#This Row],[Bukti]],'Un nOTA'!$A$4:$K$5003,10,FALSE),"")</f>
        <v/>
      </c>
      <c r="I6688" s="123" t="str">
        <f>IFERROR(VLOOKUP(Table1722[[#This Row],[Bukti]],Table13[#Data],11,FALSE),"")</f>
        <v/>
      </c>
    </row>
    <row r="6689" spans="1:9" hidden="1" x14ac:dyDescent="0.2">
      <c r="A6689" s="105" t="str">
        <f>IF(D6689=1,COUNTIF($D$10:D6689,1)," ")</f>
        <v xml:space="preserve"> </v>
      </c>
      <c r="B6689" s="106">
        <f>COPY!AR6681</f>
        <v>0</v>
      </c>
      <c r="C6689" s="107">
        <f>COPY!AC6681</f>
        <v>0</v>
      </c>
      <c r="D6689" s="107" t="str">
        <f>IF(LEN(Table1722[[#This Row],[Uraian]])&gt;2,1," ")</f>
        <v xml:space="preserve"> </v>
      </c>
      <c r="E6689" s="113" t="str">
        <f>IF(Table1722[[#This Row],[Lawan Transaksi]]="CV AGUNG KARYA",COUNTIF($I$10:I6689,"CV AGUNG KARYA")," ")</f>
        <v xml:space="preserve"> </v>
      </c>
      <c r="F6689" s="107" t="str">
        <f>IF(LEN(Table1722[[#This Row],[Uraian]])&gt;2,TRIM(RIGHT(SUBSTITUTE(TRIM(C6689)," ",REPT(" ",255)),255))," ")</f>
        <v xml:space="preserve"> </v>
      </c>
      <c r="G6689" s="110">
        <f>COPY!Z6681</f>
        <v>0</v>
      </c>
      <c r="H6689" s="111" t="str">
        <f>IFERROR(VLOOKUP(Table1722[[#This Row],[Bukti]],'Un nOTA'!$A$4:$K$5003,10,FALSE),"")</f>
        <v/>
      </c>
      <c r="I6689" s="123" t="str">
        <f>IFERROR(VLOOKUP(Table1722[[#This Row],[Bukti]],Table13[#Data],11,FALSE),"")</f>
        <v/>
      </c>
    </row>
    <row r="6690" spans="1:9" hidden="1" x14ac:dyDescent="0.2">
      <c r="A6690" s="105" t="str">
        <f>IF(D6690=1,COUNTIF($D$10:D6690,1)," ")</f>
        <v xml:space="preserve"> </v>
      </c>
      <c r="B6690" s="106">
        <f>COPY!AR6682</f>
        <v>0</v>
      </c>
      <c r="C6690" s="107">
        <f>COPY!AC6682</f>
        <v>0</v>
      </c>
      <c r="D6690" s="107" t="str">
        <f>IF(LEN(Table1722[[#This Row],[Uraian]])&gt;2,1," ")</f>
        <v xml:space="preserve"> </v>
      </c>
      <c r="E6690" s="113" t="str">
        <f>IF(Table1722[[#This Row],[Lawan Transaksi]]="CV AGUNG KARYA",COUNTIF($I$10:I6690,"CV AGUNG KARYA")," ")</f>
        <v xml:space="preserve"> </v>
      </c>
      <c r="F6690" s="107" t="str">
        <f>IF(LEN(Table1722[[#This Row],[Uraian]])&gt;2,TRIM(RIGHT(SUBSTITUTE(TRIM(C6690)," ",REPT(" ",255)),255))," ")</f>
        <v xml:space="preserve"> </v>
      </c>
      <c r="G6690" s="110">
        <f>COPY!Z6682</f>
        <v>0</v>
      </c>
      <c r="H6690" s="111" t="str">
        <f>IFERROR(VLOOKUP(Table1722[[#This Row],[Bukti]],'Un nOTA'!$A$4:$K$5003,10,FALSE),"")</f>
        <v/>
      </c>
      <c r="I6690" s="123" t="str">
        <f>IFERROR(VLOOKUP(Table1722[[#This Row],[Bukti]],Table13[#Data],11,FALSE),"")</f>
        <v/>
      </c>
    </row>
    <row r="6691" spans="1:9" hidden="1" x14ac:dyDescent="0.2">
      <c r="A6691" s="105" t="str">
        <f>IF(D6691=1,COUNTIF($D$10:D6691,1)," ")</f>
        <v xml:space="preserve"> </v>
      </c>
      <c r="B6691" s="106">
        <f>COPY!AR6683</f>
        <v>0</v>
      </c>
      <c r="C6691" s="107">
        <f>COPY!AC6683</f>
        <v>0</v>
      </c>
      <c r="D6691" s="107" t="str">
        <f>IF(LEN(Table1722[[#This Row],[Uraian]])&gt;2,1," ")</f>
        <v xml:space="preserve"> </v>
      </c>
      <c r="E6691" s="113" t="str">
        <f>IF(Table1722[[#This Row],[Lawan Transaksi]]="CV AGUNG KARYA",COUNTIF($I$10:I6691,"CV AGUNG KARYA")," ")</f>
        <v xml:space="preserve"> </v>
      </c>
      <c r="F6691" s="107" t="str">
        <f>IF(LEN(Table1722[[#This Row],[Uraian]])&gt;2,TRIM(RIGHT(SUBSTITUTE(TRIM(C6691)," ",REPT(" ",255)),255))," ")</f>
        <v xml:space="preserve"> </v>
      </c>
      <c r="G6691" s="110">
        <f>COPY!Z6683</f>
        <v>0</v>
      </c>
      <c r="H6691" s="111" t="str">
        <f>IFERROR(VLOOKUP(Table1722[[#This Row],[Bukti]],'Un nOTA'!$A$4:$K$5003,10,FALSE),"")</f>
        <v/>
      </c>
      <c r="I6691" s="123" t="str">
        <f>IFERROR(VLOOKUP(Table1722[[#This Row],[Bukti]],Table13[#Data],11,FALSE),"")</f>
        <v/>
      </c>
    </row>
    <row r="6692" spans="1:9" hidden="1" x14ac:dyDescent="0.2">
      <c r="A6692" s="105" t="str">
        <f>IF(D6692=1,COUNTIF($D$10:D6692,1)," ")</f>
        <v xml:space="preserve"> </v>
      </c>
      <c r="B6692" s="106">
        <f>COPY!AR6684</f>
        <v>0</v>
      </c>
      <c r="C6692" s="107">
        <f>COPY!AC6684</f>
        <v>0</v>
      </c>
      <c r="D6692" s="107" t="str">
        <f>IF(LEN(Table1722[[#This Row],[Uraian]])&gt;2,1," ")</f>
        <v xml:space="preserve"> </v>
      </c>
      <c r="E6692" s="113" t="str">
        <f>IF(Table1722[[#This Row],[Lawan Transaksi]]="CV AGUNG KARYA",COUNTIF($I$10:I6692,"CV AGUNG KARYA")," ")</f>
        <v xml:space="preserve"> </v>
      </c>
      <c r="F6692" s="107" t="str">
        <f>IF(LEN(Table1722[[#This Row],[Uraian]])&gt;2,TRIM(RIGHT(SUBSTITUTE(TRIM(C6692)," ",REPT(" ",255)),255))," ")</f>
        <v xml:space="preserve"> </v>
      </c>
      <c r="G6692" s="110">
        <f>COPY!Z6684</f>
        <v>0</v>
      </c>
      <c r="H6692" s="111" t="str">
        <f>IFERROR(VLOOKUP(Table1722[[#This Row],[Bukti]],'Un nOTA'!$A$4:$K$5003,10,FALSE),"")</f>
        <v/>
      </c>
      <c r="I6692" s="123" t="str">
        <f>IFERROR(VLOOKUP(Table1722[[#This Row],[Bukti]],Table13[#Data],11,FALSE),"")</f>
        <v/>
      </c>
    </row>
    <row r="6693" spans="1:9" hidden="1" x14ac:dyDescent="0.2">
      <c r="A6693" s="105" t="str">
        <f>IF(D6693=1,COUNTIF($D$10:D6693,1)," ")</f>
        <v xml:space="preserve"> </v>
      </c>
      <c r="B6693" s="106">
        <f>COPY!AR6685</f>
        <v>0</v>
      </c>
      <c r="C6693" s="107">
        <f>COPY!AC6685</f>
        <v>0</v>
      </c>
      <c r="D6693" s="107" t="str">
        <f>IF(LEN(Table1722[[#This Row],[Uraian]])&gt;2,1," ")</f>
        <v xml:space="preserve"> </v>
      </c>
      <c r="E6693" s="113" t="str">
        <f>IF(Table1722[[#This Row],[Lawan Transaksi]]="CV AGUNG KARYA",COUNTIF($I$10:I6693,"CV AGUNG KARYA")," ")</f>
        <v xml:space="preserve"> </v>
      </c>
      <c r="F6693" s="107" t="str">
        <f>IF(LEN(Table1722[[#This Row],[Uraian]])&gt;2,TRIM(RIGHT(SUBSTITUTE(TRIM(C6693)," ",REPT(" ",255)),255))," ")</f>
        <v xml:space="preserve"> </v>
      </c>
      <c r="G6693" s="110">
        <f>COPY!Z6685</f>
        <v>0</v>
      </c>
      <c r="H6693" s="111" t="str">
        <f>IFERROR(VLOOKUP(Table1722[[#This Row],[Bukti]],'Un nOTA'!$A$4:$K$5003,10,FALSE),"")</f>
        <v/>
      </c>
      <c r="I6693" s="123" t="str">
        <f>IFERROR(VLOOKUP(Table1722[[#This Row],[Bukti]],Table13[#Data],11,FALSE),"")</f>
        <v/>
      </c>
    </row>
    <row r="6694" spans="1:9" hidden="1" x14ac:dyDescent="0.2">
      <c r="A6694" s="105" t="str">
        <f>IF(D6694=1,COUNTIF($D$10:D6694,1)," ")</f>
        <v xml:space="preserve"> </v>
      </c>
      <c r="B6694" s="106">
        <f>COPY!AR6686</f>
        <v>0</v>
      </c>
      <c r="C6694" s="107">
        <f>COPY!AC6686</f>
        <v>0</v>
      </c>
      <c r="D6694" s="107" t="str">
        <f>IF(LEN(Table1722[[#This Row],[Uraian]])&gt;2,1," ")</f>
        <v xml:space="preserve"> </v>
      </c>
      <c r="E6694" s="113" t="str">
        <f>IF(Table1722[[#This Row],[Lawan Transaksi]]="CV AGUNG KARYA",COUNTIF($I$10:I6694,"CV AGUNG KARYA")," ")</f>
        <v xml:space="preserve"> </v>
      </c>
      <c r="F6694" s="107" t="str">
        <f>IF(LEN(Table1722[[#This Row],[Uraian]])&gt;2,TRIM(RIGHT(SUBSTITUTE(TRIM(C6694)," ",REPT(" ",255)),255))," ")</f>
        <v xml:space="preserve"> </v>
      </c>
      <c r="G6694" s="110">
        <f>COPY!Z6686</f>
        <v>0</v>
      </c>
      <c r="H6694" s="111" t="str">
        <f>IFERROR(VLOOKUP(Table1722[[#This Row],[Bukti]],'Un nOTA'!$A$4:$K$5003,10,FALSE),"")</f>
        <v/>
      </c>
      <c r="I6694" s="123" t="str">
        <f>IFERROR(VLOOKUP(Table1722[[#This Row],[Bukti]],Table13[#Data],11,FALSE),"")</f>
        <v/>
      </c>
    </row>
    <row r="6695" spans="1:9" hidden="1" x14ac:dyDescent="0.2">
      <c r="A6695" s="105" t="str">
        <f>IF(D6695=1,COUNTIF($D$10:D6695,1)," ")</f>
        <v xml:space="preserve"> </v>
      </c>
      <c r="B6695" s="106">
        <f>COPY!AR6687</f>
        <v>0</v>
      </c>
      <c r="C6695" s="107">
        <f>COPY!AC6687</f>
        <v>0</v>
      </c>
      <c r="D6695" s="107" t="str">
        <f>IF(LEN(Table1722[[#This Row],[Uraian]])&gt;2,1," ")</f>
        <v xml:space="preserve"> </v>
      </c>
      <c r="E6695" s="113" t="str">
        <f>IF(Table1722[[#This Row],[Lawan Transaksi]]="CV AGUNG KARYA",COUNTIF($I$10:I6695,"CV AGUNG KARYA")," ")</f>
        <v xml:space="preserve"> </v>
      </c>
      <c r="F6695" s="107" t="str">
        <f>IF(LEN(Table1722[[#This Row],[Uraian]])&gt;2,TRIM(RIGHT(SUBSTITUTE(TRIM(C6695)," ",REPT(" ",255)),255))," ")</f>
        <v xml:space="preserve"> </v>
      </c>
      <c r="G6695" s="110">
        <f>COPY!Z6687</f>
        <v>0</v>
      </c>
      <c r="H6695" s="111" t="str">
        <f>IFERROR(VLOOKUP(Table1722[[#This Row],[Bukti]],'Un nOTA'!$A$4:$K$5003,10,FALSE),"")</f>
        <v/>
      </c>
      <c r="I6695" s="123" t="str">
        <f>IFERROR(VLOOKUP(Table1722[[#This Row],[Bukti]],Table13[#Data],11,FALSE),"")</f>
        <v/>
      </c>
    </row>
    <row r="6696" spans="1:9" hidden="1" x14ac:dyDescent="0.2">
      <c r="A6696" s="105" t="str">
        <f>IF(D6696=1,COUNTIF($D$10:D6696,1)," ")</f>
        <v xml:space="preserve"> </v>
      </c>
      <c r="B6696" s="106">
        <f>COPY!AR6688</f>
        <v>0</v>
      </c>
      <c r="C6696" s="107">
        <f>COPY!AC6688</f>
        <v>0</v>
      </c>
      <c r="D6696" s="107" t="str">
        <f>IF(LEN(Table1722[[#This Row],[Uraian]])&gt;2,1," ")</f>
        <v xml:space="preserve"> </v>
      </c>
      <c r="E6696" s="113" t="str">
        <f>IF(Table1722[[#This Row],[Lawan Transaksi]]="CV AGUNG KARYA",COUNTIF($I$10:I6696,"CV AGUNG KARYA")," ")</f>
        <v xml:space="preserve"> </v>
      </c>
      <c r="F6696" s="107" t="str">
        <f>IF(LEN(Table1722[[#This Row],[Uraian]])&gt;2,TRIM(RIGHT(SUBSTITUTE(TRIM(C6696)," ",REPT(" ",255)),255))," ")</f>
        <v xml:space="preserve"> </v>
      </c>
      <c r="G6696" s="110">
        <f>COPY!Z6688</f>
        <v>0</v>
      </c>
      <c r="H6696" s="111" t="str">
        <f>IFERROR(VLOOKUP(Table1722[[#This Row],[Bukti]],'Un nOTA'!$A$4:$K$5003,10,FALSE),"")</f>
        <v/>
      </c>
      <c r="I6696" s="123" t="str">
        <f>IFERROR(VLOOKUP(Table1722[[#This Row],[Bukti]],Table13[#Data],11,FALSE),"")</f>
        <v/>
      </c>
    </row>
    <row r="6697" spans="1:9" hidden="1" x14ac:dyDescent="0.2">
      <c r="A6697" s="105" t="str">
        <f>IF(D6697=1,COUNTIF($D$10:D6697,1)," ")</f>
        <v xml:space="preserve"> </v>
      </c>
      <c r="B6697" s="106">
        <f>COPY!AR6689</f>
        <v>0</v>
      </c>
      <c r="C6697" s="107">
        <f>COPY!AC6689</f>
        <v>0</v>
      </c>
      <c r="D6697" s="107" t="str">
        <f>IF(LEN(Table1722[[#This Row],[Uraian]])&gt;2,1," ")</f>
        <v xml:space="preserve"> </v>
      </c>
      <c r="E6697" s="113" t="str">
        <f>IF(Table1722[[#This Row],[Lawan Transaksi]]="CV AGUNG KARYA",COUNTIF($I$10:I6697,"CV AGUNG KARYA")," ")</f>
        <v xml:space="preserve"> </v>
      </c>
      <c r="F6697" s="107" t="str">
        <f>IF(LEN(Table1722[[#This Row],[Uraian]])&gt;2,TRIM(RIGHT(SUBSTITUTE(TRIM(C6697)," ",REPT(" ",255)),255))," ")</f>
        <v xml:space="preserve"> </v>
      </c>
      <c r="G6697" s="110">
        <f>COPY!Z6689</f>
        <v>0</v>
      </c>
      <c r="H6697" s="111" t="str">
        <f>IFERROR(VLOOKUP(Table1722[[#This Row],[Bukti]],'Un nOTA'!$A$4:$K$5003,10,FALSE),"")</f>
        <v/>
      </c>
      <c r="I6697" s="123" t="str">
        <f>IFERROR(VLOOKUP(Table1722[[#This Row],[Bukti]],Table13[#Data],11,FALSE),"")</f>
        <v/>
      </c>
    </row>
    <row r="6698" spans="1:9" hidden="1" x14ac:dyDescent="0.2">
      <c r="A6698" s="105" t="str">
        <f>IF(D6698=1,COUNTIF($D$10:D6698,1)," ")</f>
        <v xml:space="preserve"> </v>
      </c>
      <c r="B6698" s="106">
        <f>COPY!AR6690</f>
        <v>0</v>
      </c>
      <c r="C6698" s="107">
        <f>COPY!AC6690</f>
        <v>0</v>
      </c>
      <c r="D6698" s="107" t="str">
        <f>IF(LEN(Table1722[[#This Row],[Uraian]])&gt;2,1," ")</f>
        <v xml:space="preserve"> </v>
      </c>
      <c r="E6698" s="113" t="str">
        <f>IF(Table1722[[#This Row],[Lawan Transaksi]]="CV AGUNG KARYA",COUNTIF($I$10:I6698,"CV AGUNG KARYA")," ")</f>
        <v xml:space="preserve"> </v>
      </c>
      <c r="F6698" s="107" t="str">
        <f>IF(LEN(Table1722[[#This Row],[Uraian]])&gt;2,TRIM(RIGHT(SUBSTITUTE(TRIM(C6698)," ",REPT(" ",255)),255))," ")</f>
        <v xml:space="preserve"> </v>
      </c>
      <c r="G6698" s="110">
        <f>COPY!Z6690</f>
        <v>0</v>
      </c>
      <c r="H6698" s="111" t="str">
        <f>IFERROR(VLOOKUP(Table1722[[#This Row],[Bukti]],'Un nOTA'!$A$4:$K$5003,10,FALSE),"")</f>
        <v/>
      </c>
      <c r="I6698" s="123" t="str">
        <f>IFERROR(VLOOKUP(Table1722[[#This Row],[Bukti]],Table13[#Data],11,FALSE),"")</f>
        <v/>
      </c>
    </row>
    <row r="6699" spans="1:9" hidden="1" x14ac:dyDescent="0.2">
      <c r="A6699" s="105" t="str">
        <f>IF(D6699=1,COUNTIF($D$10:D6699,1)," ")</f>
        <v xml:space="preserve"> </v>
      </c>
      <c r="B6699" s="106">
        <f>COPY!AR6691</f>
        <v>0</v>
      </c>
      <c r="C6699" s="107">
        <f>COPY!AC6691</f>
        <v>0</v>
      </c>
      <c r="D6699" s="107" t="str">
        <f>IF(LEN(Table1722[[#This Row],[Uraian]])&gt;2,1," ")</f>
        <v xml:space="preserve"> </v>
      </c>
      <c r="E6699" s="113" t="str">
        <f>IF(Table1722[[#This Row],[Lawan Transaksi]]="CV AGUNG KARYA",COUNTIF($I$10:I6699,"CV AGUNG KARYA")," ")</f>
        <v xml:space="preserve"> </v>
      </c>
      <c r="F6699" s="107" t="str">
        <f>IF(LEN(Table1722[[#This Row],[Uraian]])&gt;2,TRIM(RIGHT(SUBSTITUTE(TRIM(C6699)," ",REPT(" ",255)),255))," ")</f>
        <v xml:space="preserve"> </v>
      </c>
      <c r="G6699" s="110">
        <f>COPY!Z6691</f>
        <v>0</v>
      </c>
      <c r="H6699" s="111" t="str">
        <f>IFERROR(VLOOKUP(Table1722[[#This Row],[Bukti]],'Un nOTA'!$A$4:$K$5003,10,FALSE),"")</f>
        <v/>
      </c>
      <c r="I6699" s="123" t="str">
        <f>IFERROR(VLOOKUP(Table1722[[#This Row],[Bukti]],Table13[#Data],11,FALSE),"")</f>
        <v/>
      </c>
    </row>
    <row r="6700" spans="1:9" hidden="1" x14ac:dyDescent="0.2">
      <c r="A6700" s="105" t="str">
        <f>IF(D6700=1,COUNTIF($D$10:D6700,1)," ")</f>
        <v xml:space="preserve"> </v>
      </c>
      <c r="B6700" s="106">
        <f>COPY!AR6692</f>
        <v>0</v>
      </c>
      <c r="C6700" s="107">
        <f>COPY!AC6692</f>
        <v>0</v>
      </c>
      <c r="D6700" s="107" t="str">
        <f>IF(LEN(Table1722[[#This Row],[Uraian]])&gt;2,1," ")</f>
        <v xml:space="preserve"> </v>
      </c>
      <c r="E6700" s="113" t="str">
        <f>IF(Table1722[[#This Row],[Lawan Transaksi]]="CV AGUNG KARYA",COUNTIF($I$10:I6700,"CV AGUNG KARYA")," ")</f>
        <v xml:space="preserve"> </v>
      </c>
      <c r="F6700" s="107" t="str">
        <f>IF(LEN(Table1722[[#This Row],[Uraian]])&gt;2,TRIM(RIGHT(SUBSTITUTE(TRIM(C6700)," ",REPT(" ",255)),255))," ")</f>
        <v xml:space="preserve"> </v>
      </c>
      <c r="G6700" s="110">
        <f>COPY!Z6692</f>
        <v>0</v>
      </c>
      <c r="H6700" s="111" t="str">
        <f>IFERROR(VLOOKUP(Table1722[[#This Row],[Bukti]],'Un nOTA'!$A$4:$K$5003,10,FALSE),"")</f>
        <v/>
      </c>
      <c r="I6700" s="123" t="str">
        <f>IFERROR(VLOOKUP(Table1722[[#This Row],[Bukti]],Table13[#Data],11,FALSE),"")</f>
        <v/>
      </c>
    </row>
    <row r="6701" spans="1:9" hidden="1" x14ac:dyDescent="0.2">
      <c r="A6701" s="105" t="str">
        <f>IF(D6701=1,COUNTIF($D$10:D6701,1)," ")</f>
        <v xml:space="preserve"> </v>
      </c>
      <c r="B6701" s="106">
        <f>COPY!AR6693</f>
        <v>0</v>
      </c>
      <c r="C6701" s="107">
        <f>COPY!AC6693</f>
        <v>0</v>
      </c>
      <c r="D6701" s="107" t="str">
        <f>IF(LEN(Table1722[[#This Row],[Uraian]])&gt;2,1," ")</f>
        <v xml:space="preserve"> </v>
      </c>
      <c r="E6701" s="113" t="str">
        <f>IF(Table1722[[#This Row],[Lawan Transaksi]]="CV AGUNG KARYA",COUNTIF($I$10:I6701,"CV AGUNG KARYA")," ")</f>
        <v xml:space="preserve"> </v>
      </c>
      <c r="F6701" s="107" t="str">
        <f>IF(LEN(Table1722[[#This Row],[Uraian]])&gt;2,TRIM(RIGHT(SUBSTITUTE(TRIM(C6701)," ",REPT(" ",255)),255))," ")</f>
        <v xml:space="preserve"> </v>
      </c>
      <c r="G6701" s="110">
        <f>COPY!Z6693</f>
        <v>0</v>
      </c>
      <c r="H6701" s="111" t="str">
        <f>IFERROR(VLOOKUP(Table1722[[#This Row],[Bukti]],'Un nOTA'!$A$4:$K$5003,10,FALSE),"")</f>
        <v/>
      </c>
      <c r="I6701" s="123" t="str">
        <f>IFERROR(VLOOKUP(Table1722[[#This Row],[Bukti]],Table13[#Data],11,FALSE),"")</f>
        <v/>
      </c>
    </row>
    <row r="6702" spans="1:9" hidden="1" x14ac:dyDescent="0.2">
      <c r="A6702" s="105" t="str">
        <f>IF(D6702=1,COUNTIF($D$10:D6702,1)," ")</f>
        <v xml:space="preserve"> </v>
      </c>
      <c r="B6702" s="106">
        <f>COPY!AR6694</f>
        <v>0</v>
      </c>
      <c r="C6702" s="107">
        <f>COPY!AC6694</f>
        <v>0</v>
      </c>
      <c r="D6702" s="107" t="str">
        <f>IF(LEN(Table1722[[#This Row],[Uraian]])&gt;2,1," ")</f>
        <v xml:space="preserve"> </v>
      </c>
      <c r="E6702" s="113" t="str">
        <f>IF(Table1722[[#This Row],[Lawan Transaksi]]="CV AGUNG KARYA",COUNTIF($I$10:I6702,"CV AGUNG KARYA")," ")</f>
        <v xml:space="preserve"> </v>
      </c>
      <c r="F6702" s="107" t="str">
        <f>IF(LEN(Table1722[[#This Row],[Uraian]])&gt;2,TRIM(RIGHT(SUBSTITUTE(TRIM(C6702)," ",REPT(" ",255)),255))," ")</f>
        <v xml:space="preserve"> </v>
      </c>
      <c r="G6702" s="110">
        <f>COPY!Z6694</f>
        <v>0</v>
      </c>
      <c r="H6702" s="111" t="str">
        <f>IFERROR(VLOOKUP(Table1722[[#This Row],[Bukti]],'Un nOTA'!$A$4:$K$5003,10,FALSE),"")</f>
        <v/>
      </c>
      <c r="I6702" s="123" t="str">
        <f>IFERROR(VLOOKUP(Table1722[[#This Row],[Bukti]],Table13[#Data],11,FALSE),"")</f>
        <v/>
      </c>
    </row>
    <row r="6703" spans="1:9" hidden="1" x14ac:dyDescent="0.2">
      <c r="A6703" s="105" t="str">
        <f>IF(D6703=1,COUNTIF($D$10:D6703,1)," ")</f>
        <v xml:space="preserve"> </v>
      </c>
      <c r="B6703" s="106">
        <f>COPY!AR6695</f>
        <v>0</v>
      </c>
      <c r="C6703" s="107">
        <f>COPY!AC6695</f>
        <v>0</v>
      </c>
      <c r="D6703" s="107" t="str">
        <f>IF(LEN(Table1722[[#This Row],[Uraian]])&gt;2,1," ")</f>
        <v xml:space="preserve"> </v>
      </c>
      <c r="E6703" s="113" t="str">
        <f>IF(Table1722[[#This Row],[Lawan Transaksi]]="CV AGUNG KARYA",COUNTIF($I$10:I6703,"CV AGUNG KARYA")," ")</f>
        <v xml:space="preserve"> </v>
      </c>
      <c r="F6703" s="107" t="str">
        <f>IF(LEN(Table1722[[#This Row],[Uraian]])&gt;2,TRIM(RIGHT(SUBSTITUTE(TRIM(C6703)," ",REPT(" ",255)),255))," ")</f>
        <v xml:space="preserve"> </v>
      </c>
      <c r="G6703" s="110">
        <f>COPY!Z6695</f>
        <v>0</v>
      </c>
      <c r="H6703" s="111" t="str">
        <f>IFERROR(VLOOKUP(Table1722[[#This Row],[Bukti]],'Un nOTA'!$A$4:$K$5003,10,FALSE),"")</f>
        <v/>
      </c>
      <c r="I6703" s="123" t="str">
        <f>IFERROR(VLOOKUP(Table1722[[#This Row],[Bukti]],Table13[#Data],11,FALSE),"")</f>
        <v/>
      </c>
    </row>
    <row r="6704" spans="1:9" hidden="1" x14ac:dyDescent="0.2">
      <c r="A6704" s="105" t="str">
        <f>IF(D6704=1,COUNTIF($D$10:D6704,1)," ")</f>
        <v xml:space="preserve"> </v>
      </c>
      <c r="B6704" s="106">
        <f>COPY!AR6696</f>
        <v>0</v>
      </c>
      <c r="C6704" s="107">
        <f>COPY!AC6696</f>
        <v>0</v>
      </c>
      <c r="D6704" s="107" t="str">
        <f>IF(LEN(Table1722[[#This Row],[Uraian]])&gt;2,1," ")</f>
        <v xml:space="preserve"> </v>
      </c>
      <c r="E6704" s="113" t="str">
        <f>IF(Table1722[[#This Row],[Lawan Transaksi]]="CV AGUNG KARYA",COUNTIF($I$10:I6704,"CV AGUNG KARYA")," ")</f>
        <v xml:space="preserve"> </v>
      </c>
      <c r="F6704" s="107" t="str">
        <f>IF(LEN(Table1722[[#This Row],[Uraian]])&gt;2,TRIM(RIGHT(SUBSTITUTE(TRIM(C6704)," ",REPT(" ",255)),255))," ")</f>
        <v xml:space="preserve"> </v>
      </c>
      <c r="G6704" s="110">
        <f>COPY!Z6696</f>
        <v>0</v>
      </c>
      <c r="H6704" s="111" t="str">
        <f>IFERROR(VLOOKUP(Table1722[[#This Row],[Bukti]],'Un nOTA'!$A$4:$K$5003,10,FALSE),"")</f>
        <v/>
      </c>
      <c r="I6704" s="123" t="str">
        <f>IFERROR(VLOOKUP(Table1722[[#This Row],[Bukti]],Table13[#Data],11,FALSE),"")</f>
        <v/>
      </c>
    </row>
    <row r="6705" spans="1:9" hidden="1" x14ac:dyDescent="0.2">
      <c r="A6705" s="105" t="str">
        <f>IF(D6705=1,COUNTIF($D$10:D6705,1)," ")</f>
        <v xml:space="preserve"> </v>
      </c>
      <c r="B6705" s="106">
        <f>COPY!AR6697</f>
        <v>0</v>
      </c>
      <c r="C6705" s="107">
        <f>COPY!AC6697</f>
        <v>0</v>
      </c>
      <c r="D6705" s="107" t="str">
        <f>IF(LEN(Table1722[[#This Row],[Uraian]])&gt;2,1," ")</f>
        <v xml:space="preserve"> </v>
      </c>
      <c r="E6705" s="113" t="str">
        <f>IF(Table1722[[#This Row],[Lawan Transaksi]]="CV AGUNG KARYA",COUNTIF($I$10:I6705,"CV AGUNG KARYA")," ")</f>
        <v xml:space="preserve"> </v>
      </c>
      <c r="F6705" s="107" t="str">
        <f>IF(LEN(Table1722[[#This Row],[Uraian]])&gt;2,TRIM(RIGHT(SUBSTITUTE(TRIM(C6705)," ",REPT(" ",255)),255))," ")</f>
        <v xml:space="preserve"> </v>
      </c>
      <c r="G6705" s="110">
        <f>COPY!Z6697</f>
        <v>0</v>
      </c>
      <c r="H6705" s="111" t="str">
        <f>IFERROR(VLOOKUP(Table1722[[#This Row],[Bukti]],'Un nOTA'!$A$4:$K$5003,10,FALSE),"")</f>
        <v/>
      </c>
      <c r="I6705" s="123" t="str">
        <f>IFERROR(VLOOKUP(Table1722[[#This Row],[Bukti]],Table13[#Data],11,FALSE),"")</f>
        <v/>
      </c>
    </row>
    <row r="6706" spans="1:9" hidden="1" x14ac:dyDescent="0.2">
      <c r="A6706" s="105" t="str">
        <f>IF(D6706=1,COUNTIF($D$10:D6706,1)," ")</f>
        <v xml:space="preserve"> </v>
      </c>
      <c r="B6706" s="106">
        <f>COPY!AR6698</f>
        <v>0</v>
      </c>
      <c r="C6706" s="107">
        <f>COPY!AC6698</f>
        <v>0</v>
      </c>
      <c r="D6706" s="107" t="str">
        <f>IF(LEN(Table1722[[#This Row],[Uraian]])&gt;2,1," ")</f>
        <v xml:space="preserve"> </v>
      </c>
      <c r="E6706" s="113" t="str">
        <f>IF(Table1722[[#This Row],[Lawan Transaksi]]="CV AGUNG KARYA",COUNTIF($I$10:I6706,"CV AGUNG KARYA")," ")</f>
        <v xml:space="preserve"> </v>
      </c>
      <c r="F6706" s="107" t="str">
        <f>IF(LEN(Table1722[[#This Row],[Uraian]])&gt;2,TRIM(RIGHT(SUBSTITUTE(TRIM(C6706)," ",REPT(" ",255)),255))," ")</f>
        <v xml:space="preserve"> </v>
      </c>
      <c r="G6706" s="110">
        <f>COPY!Z6698</f>
        <v>0</v>
      </c>
      <c r="H6706" s="111" t="str">
        <f>IFERROR(VLOOKUP(Table1722[[#This Row],[Bukti]],'Un nOTA'!$A$4:$K$5003,10,FALSE),"")</f>
        <v/>
      </c>
      <c r="I6706" s="123" t="str">
        <f>IFERROR(VLOOKUP(Table1722[[#This Row],[Bukti]],Table13[#Data],11,FALSE),"")</f>
        <v/>
      </c>
    </row>
    <row r="6707" spans="1:9" hidden="1" x14ac:dyDescent="0.2">
      <c r="A6707" s="105" t="str">
        <f>IF(D6707=1,COUNTIF($D$10:D6707,1)," ")</f>
        <v xml:space="preserve"> </v>
      </c>
      <c r="B6707" s="106">
        <f>COPY!AR6699</f>
        <v>0</v>
      </c>
      <c r="C6707" s="107">
        <f>COPY!AC6699</f>
        <v>0</v>
      </c>
      <c r="D6707" s="107" t="str">
        <f>IF(LEN(Table1722[[#This Row],[Uraian]])&gt;2,1," ")</f>
        <v xml:space="preserve"> </v>
      </c>
      <c r="E6707" s="113" t="str">
        <f>IF(Table1722[[#This Row],[Lawan Transaksi]]="CV AGUNG KARYA",COUNTIF($I$10:I6707,"CV AGUNG KARYA")," ")</f>
        <v xml:space="preserve"> </v>
      </c>
      <c r="F6707" s="107" t="str">
        <f>IF(LEN(Table1722[[#This Row],[Uraian]])&gt;2,TRIM(RIGHT(SUBSTITUTE(TRIM(C6707)," ",REPT(" ",255)),255))," ")</f>
        <v xml:space="preserve"> </v>
      </c>
      <c r="G6707" s="110">
        <f>COPY!Z6699</f>
        <v>0</v>
      </c>
      <c r="H6707" s="111" t="str">
        <f>IFERROR(VLOOKUP(Table1722[[#This Row],[Bukti]],'Un nOTA'!$A$4:$K$5003,10,FALSE),"")</f>
        <v/>
      </c>
      <c r="I6707" s="123" t="str">
        <f>IFERROR(VLOOKUP(Table1722[[#This Row],[Bukti]],Table13[#Data],11,FALSE),"")</f>
        <v/>
      </c>
    </row>
    <row r="6708" spans="1:9" hidden="1" x14ac:dyDescent="0.2">
      <c r="A6708" s="105" t="str">
        <f>IF(D6708=1,COUNTIF($D$10:D6708,1)," ")</f>
        <v xml:space="preserve"> </v>
      </c>
      <c r="B6708" s="106">
        <f>COPY!AR6700</f>
        <v>0</v>
      </c>
      <c r="C6708" s="107">
        <f>COPY!AC6700</f>
        <v>0</v>
      </c>
      <c r="D6708" s="107" t="str">
        <f>IF(LEN(Table1722[[#This Row],[Uraian]])&gt;2,1," ")</f>
        <v xml:space="preserve"> </v>
      </c>
      <c r="E6708" s="113" t="str">
        <f>IF(Table1722[[#This Row],[Lawan Transaksi]]="CV AGUNG KARYA",COUNTIF($I$10:I6708,"CV AGUNG KARYA")," ")</f>
        <v xml:space="preserve"> </v>
      </c>
      <c r="F6708" s="107" t="str">
        <f>IF(LEN(Table1722[[#This Row],[Uraian]])&gt;2,TRIM(RIGHT(SUBSTITUTE(TRIM(C6708)," ",REPT(" ",255)),255))," ")</f>
        <v xml:space="preserve"> </v>
      </c>
      <c r="G6708" s="110">
        <f>COPY!Z6700</f>
        <v>0</v>
      </c>
      <c r="H6708" s="111" t="str">
        <f>IFERROR(VLOOKUP(Table1722[[#This Row],[Bukti]],'Un nOTA'!$A$4:$K$5003,10,FALSE),"")</f>
        <v/>
      </c>
      <c r="I6708" s="123" t="str">
        <f>IFERROR(VLOOKUP(Table1722[[#This Row],[Bukti]],Table13[#Data],11,FALSE),"")</f>
        <v/>
      </c>
    </row>
    <row r="6709" spans="1:9" hidden="1" x14ac:dyDescent="0.2">
      <c r="A6709" s="105" t="str">
        <f>IF(D6709=1,COUNTIF($D$10:D6709,1)," ")</f>
        <v xml:space="preserve"> </v>
      </c>
      <c r="B6709" s="106">
        <f>COPY!AR6701</f>
        <v>0</v>
      </c>
      <c r="C6709" s="107">
        <f>COPY!AC6701</f>
        <v>0</v>
      </c>
      <c r="D6709" s="107" t="str">
        <f>IF(LEN(Table1722[[#This Row],[Uraian]])&gt;2,1," ")</f>
        <v xml:space="preserve"> </v>
      </c>
      <c r="E6709" s="113" t="str">
        <f>IF(Table1722[[#This Row],[Lawan Transaksi]]="CV AGUNG KARYA",COUNTIF($I$10:I6709,"CV AGUNG KARYA")," ")</f>
        <v xml:space="preserve"> </v>
      </c>
      <c r="F6709" s="107" t="str">
        <f>IF(LEN(Table1722[[#This Row],[Uraian]])&gt;2,TRIM(RIGHT(SUBSTITUTE(TRIM(C6709)," ",REPT(" ",255)),255))," ")</f>
        <v xml:space="preserve"> </v>
      </c>
      <c r="G6709" s="110">
        <f>COPY!Z6701</f>
        <v>0</v>
      </c>
      <c r="H6709" s="111" t="str">
        <f>IFERROR(VLOOKUP(Table1722[[#This Row],[Bukti]],'Un nOTA'!$A$4:$K$5003,10,FALSE),"")</f>
        <v/>
      </c>
      <c r="I6709" s="123" t="str">
        <f>IFERROR(VLOOKUP(Table1722[[#This Row],[Bukti]],Table13[#Data],11,FALSE),"")</f>
        <v/>
      </c>
    </row>
    <row r="6710" spans="1:9" hidden="1" x14ac:dyDescent="0.2">
      <c r="A6710" s="105" t="str">
        <f>IF(D6710=1,COUNTIF($D$10:D6710,1)," ")</f>
        <v xml:space="preserve"> </v>
      </c>
      <c r="B6710" s="106">
        <f>COPY!AR6702</f>
        <v>0</v>
      </c>
      <c r="C6710" s="107">
        <f>COPY!AC6702</f>
        <v>0</v>
      </c>
      <c r="D6710" s="107" t="str">
        <f>IF(LEN(Table1722[[#This Row],[Uraian]])&gt;2,1," ")</f>
        <v xml:space="preserve"> </v>
      </c>
      <c r="E6710" s="113" t="str">
        <f>IF(Table1722[[#This Row],[Lawan Transaksi]]="CV AGUNG KARYA",COUNTIF($I$10:I6710,"CV AGUNG KARYA")," ")</f>
        <v xml:space="preserve"> </v>
      </c>
      <c r="F6710" s="107" t="str">
        <f>IF(LEN(Table1722[[#This Row],[Uraian]])&gt;2,TRIM(RIGHT(SUBSTITUTE(TRIM(C6710)," ",REPT(" ",255)),255))," ")</f>
        <v xml:space="preserve"> </v>
      </c>
      <c r="G6710" s="110">
        <f>COPY!Z6702</f>
        <v>0</v>
      </c>
      <c r="H6710" s="111" t="str">
        <f>IFERROR(VLOOKUP(Table1722[[#This Row],[Bukti]],'Un nOTA'!$A$4:$K$5003,10,FALSE),"")</f>
        <v/>
      </c>
      <c r="I6710" s="123" t="str">
        <f>IFERROR(VLOOKUP(Table1722[[#This Row],[Bukti]],Table13[#Data],11,FALSE),"")</f>
        <v/>
      </c>
    </row>
    <row r="6711" spans="1:9" hidden="1" x14ac:dyDescent="0.2">
      <c r="A6711" s="105" t="str">
        <f>IF(D6711=1,COUNTIF($D$10:D6711,1)," ")</f>
        <v xml:space="preserve"> </v>
      </c>
      <c r="B6711" s="106">
        <f>COPY!AR6703</f>
        <v>0</v>
      </c>
      <c r="C6711" s="107">
        <f>COPY!AC6703</f>
        <v>0</v>
      </c>
      <c r="D6711" s="107" t="str">
        <f>IF(LEN(Table1722[[#This Row],[Uraian]])&gt;2,1," ")</f>
        <v xml:space="preserve"> </v>
      </c>
      <c r="E6711" s="113" t="str">
        <f>IF(Table1722[[#This Row],[Lawan Transaksi]]="CV AGUNG KARYA",COUNTIF($I$10:I6711,"CV AGUNG KARYA")," ")</f>
        <v xml:space="preserve"> </v>
      </c>
      <c r="F6711" s="107" t="str">
        <f>IF(LEN(Table1722[[#This Row],[Uraian]])&gt;2,TRIM(RIGHT(SUBSTITUTE(TRIM(C6711)," ",REPT(" ",255)),255))," ")</f>
        <v xml:space="preserve"> </v>
      </c>
      <c r="G6711" s="110">
        <f>COPY!Z6703</f>
        <v>0</v>
      </c>
      <c r="H6711" s="111" t="str">
        <f>IFERROR(VLOOKUP(Table1722[[#This Row],[Bukti]],'Un nOTA'!$A$4:$K$5003,10,FALSE),"")</f>
        <v/>
      </c>
      <c r="I6711" s="123" t="str">
        <f>IFERROR(VLOOKUP(Table1722[[#This Row],[Bukti]],Table13[#Data],11,FALSE),"")</f>
        <v/>
      </c>
    </row>
    <row r="6712" spans="1:9" hidden="1" x14ac:dyDescent="0.2">
      <c r="A6712" s="105" t="str">
        <f>IF(D6712=1,COUNTIF($D$10:D6712,1)," ")</f>
        <v xml:space="preserve"> </v>
      </c>
      <c r="B6712" s="106">
        <f>COPY!AR6704</f>
        <v>0</v>
      </c>
      <c r="C6712" s="107">
        <f>COPY!AC6704</f>
        <v>0</v>
      </c>
      <c r="D6712" s="107" t="str">
        <f>IF(LEN(Table1722[[#This Row],[Uraian]])&gt;2,1," ")</f>
        <v xml:space="preserve"> </v>
      </c>
      <c r="E6712" s="113" t="str">
        <f>IF(Table1722[[#This Row],[Lawan Transaksi]]="CV AGUNG KARYA",COUNTIF($I$10:I6712,"CV AGUNG KARYA")," ")</f>
        <v xml:space="preserve"> </v>
      </c>
      <c r="F6712" s="107" t="str">
        <f>IF(LEN(Table1722[[#This Row],[Uraian]])&gt;2,TRIM(RIGHT(SUBSTITUTE(TRIM(C6712)," ",REPT(" ",255)),255))," ")</f>
        <v xml:space="preserve"> </v>
      </c>
      <c r="G6712" s="110">
        <f>COPY!Z6704</f>
        <v>0</v>
      </c>
      <c r="H6712" s="111" t="str">
        <f>IFERROR(VLOOKUP(Table1722[[#This Row],[Bukti]],'Un nOTA'!$A$4:$K$5003,10,FALSE),"")</f>
        <v/>
      </c>
      <c r="I6712" s="123" t="str">
        <f>IFERROR(VLOOKUP(Table1722[[#This Row],[Bukti]],Table13[#Data],11,FALSE),"")</f>
        <v/>
      </c>
    </row>
    <row r="6713" spans="1:9" hidden="1" x14ac:dyDescent="0.2">
      <c r="A6713" s="105" t="str">
        <f>IF(D6713=1,COUNTIF($D$10:D6713,1)," ")</f>
        <v xml:space="preserve"> </v>
      </c>
      <c r="B6713" s="106">
        <f>COPY!AR6705</f>
        <v>0</v>
      </c>
      <c r="C6713" s="107">
        <f>COPY!AC6705</f>
        <v>0</v>
      </c>
      <c r="D6713" s="107" t="str">
        <f>IF(LEN(Table1722[[#This Row],[Uraian]])&gt;2,1," ")</f>
        <v xml:space="preserve"> </v>
      </c>
      <c r="E6713" s="113" t="str">
        <f>IF(Table1722[[#This Row],[Lawan Transaksi]]="CV AGUNG KARYA",COUNTIF($I$10:I6713,"CV AGUNG KARYA")," ")</f>
        <v xml:space="preserve"> </v>
      </c>
      <c r="F6713" s="107" t="str">
        <f>IF(LEN(Table1722[[#This Row],[Uraian]])&gt;2,TRIM(RIGHT(SUBSTITUTE(TRIM(C6713)," ",REPT(" ",255)),255))," ")</f>
        <v xml:space="preserve"> </v>
      </c>
      <c r="G6713" s="110">
        <f>COPY!Z6705</f>
        <v>0</v>
      </c>
      <c r="H6713" s="111" t="str">
        <f>IFERROR(VLOOKUP(Table1722[[#This Row],[Bukti]],'Un nOTA'!$A$4:$K$5003,10,FALSE),"")</f>
        <v/>
      </c>
      <c r="I6713" s="123" t="str">
        <f>IFERROR(VLOOKUP(Table1722[[#This Row],[Bukti]],Table13[#Data],11,FALSE),"")</f>
        <v/>
      </c>
    </row>
    <row r="6714" spans="1:9" hidden="1" x14ac:dyDescent="0.2">
      <c r="A6714" s="105" t="str">
        <f>IF(D6714=1,COUNTIF($D$10:D6714,1)," ")</f>
        <v xml:space="preserve"> </v>
      </c>
      <c r="B6714" s="106">
        <f>COPY!AR6706</f>
        <v>0</v>
      </c>
      <c r="C6714" s="107">
        <f>COPY!AC6706</f>
        <v>0</v>
      </c>
      <c r="D6714" s="107" t="str">
        <f>IF(LEN(Table1722[[#This Row],[Uraian]])&gt;2,1," ")</f>
        <v xml:space="preserve"> </v>
      </c>
      <c r="E6714" s="113" t="str">
        <f>IF(Table1722[[#This Row],[Lawan Transaksi]]="CV AGUNG KARYA",COUNTIF($I$10:I6714,"CV AGUNG KARYA")," ")</f>
        <v xml:space="preserve"> </v>
      </c>
      <c r="F6714" s="107" t="str">
        <f>IF(LEN(Table1722[[#This Row],[Uraian]])&gt;2,TRIM(RIGHT(SUBSTITUTE(TRIM(C6714)," ",REPT(" ",255)),255))," ")</f>
        <v xml:space="preserve"> </v>
      </c>
      <c r="G6714" s="110">
        <f>COPY!Z6706</f>
        <v>0</v>
      </c>
      <c r="H6714" s="111" t="str">
        <f>IFERROR(VLOOKUP(Table1722[[#This Row],[Bukti]],'Un nOTA'!$A$4:$K$5003,10,FALSE),"")</f>
        <v/>
      </c>
      <c r="I6714" s="123" t="str">
        <f>IFERROR(VLOOKUP(Table1722[[#This Row],[Bukti]],Table13[#Data],11,FALSE),"")</f>
        <v/>
      </c>
    </row>
    <row r="6715" spans="1:9" hidden="1" x14ac:dyDescent="0.2">
      <c r="A6715" s="105" t="str">
        <f>IF(D6715=1,COUNTIF($D$10:D6715,1)," ")</f>
        <v xml:space="preserve"> </v>
      </c>
      <c r="B6715" s="106">
        <f>COPY!AR6707</f>
        <v>0</v>
      </c>
      <c r="C6715" s="107">
        <f>COPY!AC6707</f>
        <v>0</v>
      </c>
      <c r="D6715" s="107" t="str">
        <f>IF(LEN(Table1722[[#This Row],[Uraian]])&gt;2,1," ")</f>
        <v xml:space="preserve"> </v>
      </c>
      <c r="E6715" s="113" t="str">
        <f>IF(Table1722[[#This Row],[Lawan Transaksi]]="CV AGUNG KARYA",COUNTIF($I$10:I6715,"CV AGUNG KARYA")," ")</f>
        <v xml:space="preserve"> </v>
      </c>
      <c r="F6715" s="107" t="str">
        <f>IF(LEN(Table1722[[#This Row],[Uraian]])&gt;2,TRIM(RIGHT(SUBSTITUTE(TRIM(C6715)," ",REPT(" ",255)),255))," ")</f>
        <v xml:space="preserve"> </v>
      </c>
      <c r="G6715" s="110">
        <f>COPY!Z6707</f>
        <v>0</v>
      </c>
      <c r="H6715" s="111" t="str">
        <f>IFERROR(VLOOKUP(Table1722[[#This Row],[Bukti]],'Un nOTA'!$A$4:$K$5003,10,FALSE),"")</f>
        <v/>
      </c>
      <c r="I6715" s="123" t="str">
        <f>IFERROR(VLOOKUP(Table1722[[#This Row],[Bukti]],Table13[#Data],11,FALSE),"")</f>
        <v/>
      </c>
    </row>
    <row r="6716" spans="1:9" hidden="1" x14ac:dyDescent="0.2">
      <c r="A6716" s="105" t="str">
        <f>IF(D6716=1,COUNTIF($D$10:D6716,1)," ")</f>
        <v xml:space="preserve"> </v>
      </c>
      <c r="B6716" s="106">
        <f>COPY!AR6708</f>
        <v>0</v>
      </c>
      <c r="C6716" s="107">
        <f>COPY!AC6708</f>
        <v>0</v>
      </c>
      <c r="D6716" s="107" t="str">
        <f>IF(LEN(Table1722[[#This Row],[Uraian]])&gt;2,1," ")</f>
        <v xml:space="preserve"> </v>
      </c>
      <c r="E6716" s="113" t="str">
        <f>IF(Table1722[[#This Row],[Lawan Transaksi]]="CV AGUNG KARYA",COUNTIF($I$10:I6716,"CV AGUNG KARYA")," ")</f>
        <v xml:space="preserve"> </v>
      </c>
      <c r="F6716" s="107" t="str">
        <f>IF(LEN(Table1722[[#This Row],[Uraian]])&gt;2,TRIM(RIGHT(SUBSTITUTE(TRIM(C6716)," ",REPT(" ",255)),255))," ")</f>
        <v xml:space="preserve"> </v>
      </c>
      <c r="G6716" s="110">
        <f>COPY!Z6708</f>
        <v>0</v>
      </c>
      <c r="H6716" s="111" t="str">
        <f>IFERROR(VLOOKUP(Table1722[[#This Row],[Bukti]],'Un nOTA'!$A$4:$K$5003,10,FALSE),"")</f>
        <v/>
      </c>
      <c r="I6716" s="123" t="str">
        <f>IFERROR(VLOOKUP(Table1722[[#This Row],[Bukti]],Table13[#Data],11,FALSE),"")</f>
        <v/>
      </c>
    </row>
    <row r="6717" spans="1:9" hidden="1" x14ac:dyDescent="0.2">
      <c r="A6717" s="105" t="str">
        <f>IF(D6717=1,COUNTIF($D$10:D6717,1)," ")</f>
        <v xml:space="preserve"> </v>
      </c>
      <c r="B6717" s="106">
        <f>COPY!AR6709</f>
        <v>0</v>
      </c>
      <c r="C6717" s="107">
        <f>COPY!AC6709</f>
        <v>0</v>
      </c>
      <c r="D6717" s="107" t="str">
        <f>IF(LEN(Table1722[[#This Row],[Uraian]])&gt;2,1," ")</f>
        <v xml:space="preserve"> </v>
      </c>
      <c r="E6717" s="113" t="str">
        <f>IF(Table1722[[#This Row],[Lawan Transaksi]]="CV AGUNG KARYA",COUNTIF($I$10:I6717,"CV AGUNG KARYA")," ")</f>
        <v xml:space="preserve"> </v>
      </c>
      <c r="F6717" s="107" t="str">
        <f>IF(LEN(Table1722[[#This Row],[Uraian]])&gt;2,TRIM(RIGHT(SUBSTITUTE(TRIM(C6717)," ",REPT(" ",255)),255))," ")</f>
        <v xml:space="preserve"> </v>
      </c>
      <c r="G6717" s="110">
        <f>COPY!Z6709</f>
        <v>0</v>
      </c>
      <c r="H6717" s="111" t="str">
        <f>IFERROR(VLOOKUP(Table1722[[#This Row],[Bukti]],'Un nOTA'!$A$4:$K$5003,10,FALSE),"")</f>
        <v/>
      </c>
      <c r="I6717" s="123" t="str">
        <f>IFERROR(VLOOKUP(Table1722[[#This Row],[Bukti]],Table13[#Data],11,FALSE),"")</f>
        <v/>
      </c>
    </row>
    <row r="6718" spans="1:9" hidden="1" x14ac:dyDescent="0.2">
      <c r="A6718" s="105" t="str">
        <f>IF(D6718=1,COUNTIF($D$10:D6718,1)," ")</f>
        <v xml:space="preserve"> </v>
      </c>
      <c r="B6718" s="106">
        <f>COPY!AR6710</f>
        <v>0</v>
      </c>
      <c r="C6718" s="107">
        <f>COPY!AC6710</f>
        <v>0</v>
      </c>
      <c r="D6718" s="107" t="str">
        <f>IF(LEN(Table1722[[#This Row],[Uraian]])&gt;2,1," ")</f>
        <v xml:space="preserve"> </v>
      </c>
      <c r="E6718" s="113" t="str">
        <f>IF(Table1722[[#This Row],[Lawan Transaksi]]="CV AGUNG KARYA",COUNTIF($I$10:I6718,"CV AGUNG KARYA")," ")</f>
        <v xml:space="preserve"> </v>
      </c>
      <c r="F6718" s="107" t="str">
        <f>IF(LEN(Table1722[[#This Row],[Uraian]])&gt;2,TRIM(RIGHT(SUBSTITUTE(TRIM(C6718)," ",REPT(" ",255)),255))," ")</f>
        <v xml:space="preserve"> </v>
      </c>
      <c r="G6718" s="110">
        <f>COPY!Z6710</f>
        <v>0</v>
      </c>
      <c r="H6718" s="111" t="str">
        <f>IFERROR(VLOOKUP(Table1722[[#This Row],[Bukti]],'Un nOTA'!$A$4:$K$5003,10,FALSE),"")</f>
        <v/>
      </c>
      <c r="I6718" s="123" t="str">
        <f>IFERROR(VLOOKUP(Table1722[[#This Row],[Bukti]],Table13[#Data],11,FALSE),"")</f>
        <v/>
      </c>
    </row>
    <row r="6719" spans="1:9" hidden="1" x14ac:dyDescent="0.2">
      <c r="A6719" s="105" t="str">
        <f>IF(D6719=1,COUNTIF($D$10:D6719,1)," ")</f>
        <v xml:space="preserve"> </v>
      </c>
      <c r="B6719" s="106">
        <f>COPY!AR6711</f>
        <v>0</v>
      </c>
      <c r="C6719" s="107">
        <f>COPY!AC6711</f>
        <v>0</v>
      </c>
      <c r="D6719" s="107" t="str">
        <f>IF(LEN(Table1722[[#This Row],[Uraian]])&gt;2,1," ")</f>
        <v xml:space="preserve"> </v>
      </c>
      <c r="E6719" s="113" t="str">
        <f>IF(Table1722[[#This Row],[Lawan Transaksi]]="CV AGUNG KARYA",COUNTIF($I$10:I6719,"CV AGUNG KARYA")," ")</f>
        <v xml:space="preserve"> </v>
      </c>
      <c r="F6719" s="107" t="str">
        <f>IF(LEN(Table1722[[#This Row],[Uraian]])&gt;2,TRIM(RIGHT(SUBSTITUTE(TRIM(C6719)," ",REPT(" ",255)),255))," ")</f>
        <v xml:space="preserve"> </v>
      </c>
      <c r="G6719" s="110">
        <f>COPY!Z6711</f>
        <v>0</v>
      </c>
      <c r="H6719" s="111" t="str">
        <f>IFERROR(VLOOKUP(Table1722[[#This Row],[Bukti]],'Un nOTA'!$A$4:$K$5003,10,FALSE),"")</f>
        <v/>
      </c>
      <c r="I6719" s="123" t="str">
        <f>IFERROR(VLOOKUP(Table1722[[#This Row],[Bukti]],Table13[#Data],11,FALSE),"")</f>
        <v/>
      </c>
    </row>
    <row r="6720" spans="1:9" hidden="1" x14ac:dyDescent="0.2">
      <c r="A6720" s="105" t="str">
        <f>IF(D6720=1,COUNTIF($D$10:D6720,1)," ")</f>
        <v xml:space="preserve"> </v>
      </c>
      <c r="B6720" s="106">
        <f>COPY!AR6712</f>
        <v>0</v>
      </c>
      <c r="C6720" s="107">
        <f>COPY!AC6712</f>
        <v>0</v>
      </c>
      <c r="D6720" s="107" t="str">
        <f>IF(LEN(Table1722[[#This Row],[Uraian]])&gt;2,1," ")</f>
        <v xml:space="preserve"> </v>
      </c>
      <c r="E6720" s="113" t="str">
        <f>IF(Table1722[[#This Row],[Lawan Transaksi]]="CV AGUNG KARYA",COUNTIF($I$10:I6720,"CV AGUNG KARYA")," ")</f>
        <v xml:space="preserve"> </v>
      </c>
      <c r="F6720" s="107" t="str">
        <f>IF(LEN(Table1722[[#This Row],[Uraian]])&gt;2,TRIM(RIGHT(SUBSTITUTE(TRIM(C6720)," ",REPT(" ",255)),255))," ")</f>
        <v xml:space="preserve"> </v>
      </c>
      <c r="G6720" s="110">
        <f>COPY!Z6712</f>
        <v>0</v>
      </c>
      <c r="H6720" s="111" t="str">
        <f>IFERROR(VLOOKUP(Table1722[[#This Row],[Bukti]],'Un nOTA'!$A$4:$K$5003,10,FALSE),"")</f>
        <v/>
      </c>
      <c r="I6720" s="123" t="str">
        <f>IFERROR(VLOOKUP(Table1722[[#This Row],[Bukti]],Table13[#Data],11,FALSE),"")</f>
        <v/>
      </c>
    </row>
    <row r="6721" spans="1:9" hidden="1" x14ac:dyDescent="0.2">
      <c r="A6721" s="105" t="str">
        <f>IF(D6721=1,COUNTIF($D$10:D6721,1)," ")</f>
        <v xml:space="preserve"> </v>
      </c>
      <c r="B6721" s="106">
        <f>COPY!AR6713</f>
        <v>0</v>
      </c>
      <c r="C6721" s="107">
        <f>COPY!AC6713</f>
        <v>0</v>
      </c>
      <c r="D6721" s="107" t="str">
        <f>IF(LEN(Table1722[[#This Row],[Uraian]])&gt;2,1," ")</f>
        <v xml:space="preserve"> </v>
      </c>
      <c r="E6721" s="113" t="str">
        <f>IF(Table1722[[#This Row],[Lawan Transaksi]]="CV AGUNG KARYA",COUNTIF($I$10:I6721,"CV AGUNG KARYA")," ")</f>
        <v xml:space="preserve"> </v>
      </c>
      <c r="F6721" s="107" t="str">
        <f>IF(LEN(Table1722[[#This Row],[Uraian]])&gt;2,TRIM(RIGHT(SUBSTITUTE(TRIM(C6721)," ",REPT(" ",255)),255))," ")</f>
        <v xml:space="preserve"> </v>
      </c>
      <c r="G6721" s="110">
        <f>COPY!Z6713</f>
        <v>0</v>
      </c>
      <c r="H6721" s="111" t="str">
        <f>IFERROR(VLOOKUP(Table1722[[#This Row],[Bukti]],'Un nOTA'!$A$4:$K$5003,10,FALSE),"")</f>
        <v/>
      </c>
      <c r="I6721" s="123" t="str">
        <f>IFERROR(VLOOKUP(Table1722[[#This Row],[Bukti]],Table13[#Data],11,FALSE),"")</f>
        <v/>
      </c>
    </row>
    <row r="6722" spans="1:9" hidden="1" x14ac:dyDescent="0.2">
      <c r="A6722" s="105" t="str">
        <f>IF(D6722=1,COUNTIF($D$10:D6722,1)," ")</f>
        <v xml:space="preserve"> </v>
      </c>
      <c r="B6722" s="106">
        <f>COPY!AR6714</f>
        <v>0</v>
      </c>
      <c r="C6722" s="107">
        <f>COPY!AC6714</f>
        <v>0</v>
      </c>
      <c r="D6722" s="107" t="str">
        <f>IF(LEN(Table1722[[#This Row],[Uraian]])&gt;2,1," ")</f>
        <v xml:space="preserve"> </v>
      </c>
      <c r="E6722" s="113" t="str">
        <f>IF(Table1722[[#This Row],[Lawan Transaksi]]="CV AGUNG KARYA",COUNTIF($I$10:I6722,"CV AGUNG KARYA")," ")</f>
        <v xml:space="preserve"> </v>
      </c>
      <c r="F6722" s="107" t="str">
        <f>IF(LEN(Table1722[[#This Row],[Uraian]])&gt;2,TRIM(RIGHT(SUBSTITUTE(TRIM(C6722)," ",REPT(" ",255)),255))," ")</f>
        <v xml:space="preserve"> </v>
      </c>
      <c r="G6722" s="110">
        <f>COPY!Z6714</f>
        <v>0</v>
      </c>
      <c r="H6722" s="111" t="str">
        <f>IFERROR(VLOOKUP(Table1722[[#This Row],[Bukti]],'Un nOTA'!$A$4:$K$5003,10,FALSE),"")</f>
        <v/>
      </c>
      <c r="I6722" s="123" t="str">
        <f>IFERROR(VLOOKUP(Table1722[[#This Row],[Bukti]],Table13[#Data],11,FALSE),"")</f>
        <v/>
      </c>
    </row>
    <row r="6723" spans="1:9" hidden="1" x14ac:dyDescent="0.2">
      <c r="A6723" s="105" t="str">
        <f>IF(D6723=1,COUNTIF($D$10:D6723,1)," ")</f>
        <v xml:space="preserve"> </v>
      </c>
      <c r="B6723" s="106">
        <f>COPY!AR6715</f>
        <v>0</v>
      </c>
      <c r="C6723" s="107">
        <f>COPY!AC6715</f>
        <v>0</v>
      </c>
      <c r="D6723" s="107" t="str">
        <f>IF(LEN(Table1722[[#This Row],[Uraian]])&gt;2,1," ")</f>
        <v xml:space="preserve"> </v>
      </c>
      <c r="E6723" s="113" t="str">
        <f>IF(Table1722[[#This Row],[Lawan Transaksi]]="CV AGUNG KARYA",COUNTIF($I$10:I6723,"CV AGUNG KARYA")," ")</f>
        <v xml:space="preserve"> </v>
      </c>
      <c r="F6723" s="107" t="str">
        <f>IF(LEN(Table1722[[#This Row],[Uraian]])&gt;2,TRIM(RIGHT(SUBSTITUTE(TRIM(C6723)," ",REPT(" ",255)),255))," ")</f>
        <v xml:space="preserve"> </v>
      </c>
      <c r="G6723" s="110">
        <f>COPY!Z6715</f>
        <v>0</v>
      </c>
      <c r="H6723" s="111" t="str">
        <f>IFERROR(VLOOKUP(Table1722[[#This Row],[Bukti]],'Un nOTA'!$A$4:$K$5003,10,FALSE),"")</f>
        <v/>
      </c>
      <c r="I6723" s="123" t="str">
        <f>IFERROR(VLOOKUP(Table1722[[#This Row],[Bukti]],Table13[#Data],11,FALSE),"")</f>
        <v/>
      </c>
    </row>
    <row r="6724" spans="1:9" hidden="1" x14ac:dyDescent="0.2">
      <c r="A6724" s="105" t="str">
        <f>IF(D6724=1,COUNTIF($D$10:D6724,1)," ")</f>
        <v xml:space="preserve"> </v>
      </c>
      <c r="B6724" s="106">
        <f>COPY!AR6716</f>
        <v>0</v>
      </c>
      <c r="C6724" s="107">
        <f>COPY!AC6716</f>
        <v>0</v>
      </c>
      <c r="D6724" s="107" t="str">
        <f>IF(LEN(Table1722[[#This Row],[Uraian]])&gt;2,1," ")</f>
        <v xml:space="preserve"> </v>
      </c>
      <c r="E6724" s="113" t="str">
        <f>IF(Table1722[[#This Row],[Lawan Transaksi]]="CV AGUNG KARYA",COUNTIF($I$10:I6724,"CV AGUNG KARYA")," ")</f>
        <v xml:space="preserve"> </v>
      </c>
      <c r="F6724" s="107" t="str">
        <f>IF(LEN(Table1722[[#This Row],[Uraian]])&gt;2,TRIM(RIGHT(SUBSTITUTE(TRIM(C6724)," ",REPT(" ",255)),255))," ")</f>
        <v xml:space="preserve"> </v>
      </c>
      <c r="G6724" s="110">
        <f>COPY!Z6716</f>
        <v>0</v>
      </c>
      <c r="H6724" s="111" t="str">
        <f>IFERROR(VLOOKUP(Table1722[[#This Row],[Bukti]],'Un nOTA'!$A$4:$K$5003,10,FALSE),"")</f>
        <v/>
      </c>
      <c r="I6724" s="123" t="str">
        <f>IFERROR(VLOOKUP(Table1722[[#This Row],[Bukti]],Table13[#Data],11,FALSE),"")</f>
        <v/>
      </c>
    </row>
    <row r="6725" spans="1:9" hidden="1" x14ac:dyDescent="0.2">
      <c r="A6725" s="105" t="str">
        <f>IF(D6725=1,COUNTIF($D$10:D6725,1)," ")</f>
        <v xml:space="preserve"> </v>
      </c>
      <c r="B6725" s="106">
        <f>COPY!AR6717</f>
        <v>0</v>
      </c>
      <c r="C6725" s="107">
        <f>COPY!AC6717</f>
        <v>0</v>
      </c>
      <c r="D6725" s="107" t="str">
        <f>IF(LEN(Table1722[[#This Row],[Uraian]])&gt;2,1," ")</f>
        <v xml:space="preserve"> </v>
      </c>
      <c r="E6725" s="113" t="str">
        <f>IF(Table1722[[#This Row],[Lawan Transaksi]]="CV AGUNG KARYA",COUNTIF($I$10:I6725,"CV AGUNG KARYA")," ")</f>
        <v xml:space="preserve"> </v>
      </c>
      <c r="F6725" s="107" t="str">
        <f>IF(LEN(Table1722[[#This Row],[Uraian]])&gt;2,TRIM(RIGHT(SUBSTITUTE(TRIM(C6725)," ",REPT(" ",255)),255))," ")</f>
        <v xml:space="preserve"> </v>
      </c>
      <c r="G6725" s="110">
        <f>COPY!Z6717</f>
        <v>0</v>
      </c>
      <c r="H6725" s="111" t="str">
        <f>IFERROR(VLOOKUP(Table1722[[#This Row],[Bukti]],'Un nOTA'!$A$4:$K$5003,10,FALSE),"")</f>
        <v/>
      </c>
      <c r="I6725" s="123" t="str">
        <f>IFERROR(VLOOKUP(Table1722[[#This Row],[Bukti]],Table13[#Data],11,FALSE),"")</f>
        <v/>
      </c>
    </row>
    <row r="6726" spans="1:9" hidden="1" x14ac:dyDescent="0.2">
      <c r="A6726" s="105" t="str">
        <f>IF(D6726=1,COUNTIF($D$10:D6726,1)," ")</f>
        <v xml:space="preserve"> </v>
      </c>
      <c r="B6726" s="106">
        <f>COPY!AR6718</f>
        <v>0</v>
      </c>
      <c r="C6726" s="107">
        <f>COPY!AC6718</f>
        <v>0</v>
      </c>
      <c r="D6726" s="107" t="str">
        <f>IF(LEN(Table1722[[#This Row],[Uraian]])&gt;2,1," ")</f>
        <v xml:space="preserve"> </v>
      </c>
      <c r="E6726" s="113" t="str">
        <f>IF(Table1722[[#This Row],[Lawan Transaksi]]="CV AGUNG KARYA",COUNTIF($I$10:I6726,"CV AGUNG KARYA")," ")</f>
        <v xml:space="preserve"> </v>
      </c>
      <c r="F6726" s="107" t="str">
        <f>IF(LEN(Table1722[[#This Row],[Uraian]])&gt;2,TRIM(RIGHT(SUBSTITUTE(TRIM(C6726)," ",REPT(" ",255)),255))," ")</f>
        <v xml:space="preserve"> </v>
      </c>
      <c r="G6726" s="110">
        <f>COPY!Z6718</f>
        <v>0</v>
      </c>
      <c r="H6726" s="111" t="str">
        <f>IFERROR(VLOOKUP(Table1722[[#This Row],[Bukti]],'Un nOTA'!$A$4:$K$5003,10,FALSE),"")</f>
        <v/>
      </c>
      <c r="I6726" s="123" t="str">
        <f>IFERROR(VLOOKUP(Table1722[[#This Row],[Bukti]],Table13[#Data],11,FALSE),"")</f>
        <v/>
      </c>
    </row>
    <row r="6727" spans="1:9" hidden="1" x14ac:dyDescent="0.2">
      <c r="A6727" s="105" t="str">
        <f>IF(D6727=1,COUNTIF($D$10:D6727,1)," ")</f>
        <v xml:space="preserve"> </v>
      </c>
      <c r="B6727" s="106">
        <f>COPY!AR6719</f>
        <v>0</v>
      </c>
      <c r="C6727" s="107">
        <f>COPY!AC6719</f>
        <v>0</v>
      </c>
      <c r="D6727" s="107" t="str">
        <f>IF(LEN(Table1722[[#This Row],[Uraian]])&gt;2,1," ")</f>
        <v xml:space="preserve"> </v>
      </c>
      <c r="E6727" s="113" t="str">
        <f>IF(Table1722[[#This Row],[Lawan Transaksi]]="CV AGUNG KARYA",COUNTIF($I$10:I6727,"CV AGUNG KARYA")," ")</f>
        <v xml:space="preserve"> </v>
      </c>
      <c r="F6727" s="107" t="str">
        <f>IF(LEN(Table1722[[#This Row],[Uraian]])&gt;2,TRIM(RIGHT(SUBSTITUTE(TRIM(C6727)," ",REPT(" ",255)),255))," ")</f>
        <v xml:space="preserve"> </v>
      </c>
      <c r="G6727" s="110">
        <f>COPY!Z6719</f>
        <v>0</v>
      </c>
      <c r="H6727" s="111" t="str">
        <f>IFERROR(VLOOKUP(Table1722[[#This Row],[Bukti]],'Un nOTA'!$A$4:$K$5003,10,FALSE),"")</f>
        <v/>
      </c>
      <c r="I6727" s="123" t="str">
        <f>IFERROR(VLOOKUP(Table1722[[#This Row],[Bukti]],Table13[#Data],11,FALSE),"")</f>
        <v/>
      </c>
    </row>
    <row r="6728" spans="1:9" hidden="1" x14ac:dyDescent="0.2">
      <c r="A6728" s="105" t="str">
        <f>IF(D6728=1,COUNTIF($D$10:D6728,1)," ")</f>
        <v xml:space="preserve"> </v>
      </c>
      <c r="B6728" s="106">
        <f>COPY!AR6720</f>
        <v>0</v>
      </c>
      <c r="C6728" s="107">
        <f>COPY!AC6720</f>
        <v>0</v>
      </c>
      <c r="D6728" s="107" t="str">
        <f>IF(LEN(Table1722[[#This Row],[Uraian]])&gt;2,1," ")</f>
        <v xml:space="preserve"> </v>
      </c>
      <c r="E6728" s="113" t="str">
        <f>IF(Table1722[[#This Row],[Lawan Transaksi]]="CV AGUNG KARYA",COUNTIF($I$10:I6728,"CV AGUNG KARYA")," ")</f>
        <v xml:space="preserve"> </v>
      </c>
      <c r="F6728" s="107" t="str">
        <f>IF(LEN(Table1722[[#This Row],[Uraian]])&gt;2,TRIM(RIGHT(SUBSTITUTE(TRIM(C6728)," ",REPT(" ",255)),255))," ")</f>
        <v xml:space="preserve"> </v>
      </c>
      <c r="G6728" s="110">
        <f>COPY!Z6720</f>
        <v>0</v>
      </c>
      <c r="H6728" s="111" t="str">
        <f>IFERROR(VLOOKUP(Table1722[[#This Row],[Bukti]],'Un nOTA'!$A$4:$K$5003,10,FALSE),"")</f>
        <v/>
      </c>
      <c r="I6728" s="123" t="str">
        <f>IFERROR(VLOOKUP(Table1722[[#This Row],[Bukti]],Table13[#Data],11,FALSE),"")</f>
        <v/>
      </c>
    </row>
    <row r="6729" spans="1:9" hidden="1" x14ac:dyDescent="0.2">
      <c r="A6729" s="105" t="str">
        <f>IF(D6729=1,COUNTIF($D$10:D6729,1)," ")</f>
        <v xml:space="preserve"> </v>
      </c>
      <c r="B6729" s="106">
        <f>COPY!AR6721</f>
        <v>0</v>
      </c>
      <c r="C6729" s="107">
        <f>COPY!AC6721</f>
        <v>0</v>
      </c>
      <c r="D6729" s="107" t="str">
        <f>IF(LEN(Table1722[[#This Row],[Uraian]])&gt;2,1," ")</f>
        <v xml:space="preserve"> </v>
      </c>
      <c r="E6729" s="113" t="str">
        <f>IF(Table1722[[#This Row],[Lawan Transaksi]]="CV AGUNG KARYA",COUNTIF($I$10:I6729,"CV AGUNG KARYA")," ")</f>
        <v xml:space="preserve"> </v>
      </c>
      <c r="F6729" s="107" t="str">
        <f>IF(LEN(Table1722[[#This Row],[Uraian]])&gt;2,TRIM(RIGHT(SUBSTITUTE(TRIM(C6729)," ",REPT(" ",255)),255))," ")</f>
        <v xml:space="preserve"> </v>
      </c>
      <c r="G6729" s="110">
        <f>COPY!Z6721</f>
        <v>0</v>
      </c>
      <c r="H6729" s="111" t="str">
        <f>IFERROR(VLOOKUP(Table1722[[#This Row],[Bukti]],'Un nOTA'!$A$4:$K$5003,10,FALSE),"")</f>
        <v/>
      </c>
      <c r="I6729" s="123" t="str">
        <f>IFERROR(VLOOKUP(Table1722[[#This Row],[Bukti]],Table13[#Data],11,FALSE),"")</f>
        <v/>
      </c>
    </row>
    <row r="6730" spans="1:9" hidden="1" x14ac:dyDescent="0.2">
      <c r="A6730" s="105" t="str">
        <f>IF(D6730=1,COUNTIF($D$10:D6730,1)," ")</f>
        <v xml:space="preserve"> </v>
      </c>
      <c r="B6730" s="106">
        <f>COPY!AR6722</f>
        <v>0</v>
      </c>
      <c r="C6730" s="107">
        <f>COPY!AC6722</f>
        <v>0</v>
      </c>
      <c r="D6730" s="107" t="str">
        <f>IF(LEN(Table1722[[#This Row],[Uraian]])&gt;2,1," ")</f>
        <v xml:space="preserve"> </v>
      </c>
      <c r="E6730" s="113" t="str">
        <f>IF(Table1722[[#This Row],[Lawan Transaksi]]="CV AGUNG KARYA",COUNTIF($I$10:I6730,"CV AGUNG KARYA")," ")</f>
        <v xml:space="preserve"> </v>
      </c>
      <c r="F6730" s="107" t="str">
        <f>IF(LEN(Table1722[[#This Row],[Uraian]])&gt;2,TRIM(RIGHT(SUBSTITUTE(TRIM(C6730)," ",REPT(" ",255)),255))," ")</f>
        <v xml:space="preserve"> </v>
      </c>
      <c r="G6730" s="110">
        <f>COPY!Z6722</f>
        <v>0</v>
      </c>
      <c r="H6730" s="111" t="str">
        <f>IFERROR(VLOOKUP(Table1722[[#This Row],[Bukti]],'Un nOTA'!$A$4:$K$5003,10,FALSE),"")</f>
        <v/>
      </c>
      <c r="I6730" s="123" t="str">
        <f>IFERROR(VLOOKUP(Table1722[[#This Row],[Bukti]],Table13[#Data],11,FALSE),"")</f>
        <v/>
      </c>
    </row>
    <row r="6731" spans="1:9" hidden="1" x14ac:dyDescent="0.2">
      <c r="A6731" s="105" t="str">
        <f>IF(D6731=1,COUNTIF($D$10:D6731,1)," ")</f>
        <v xml:space="preserve"> </v>
      </c>
      <c r="B6731" s="106">
        <f>COPY!AR6723</f>
        <v>0</v>
      </c>
      <c r="C6731" s="107">
        <f>COPY!AC6723</f>
        <v>0</v>
      </c>
      <c r="D6731" s="107" t="str">
        <f>IF(LEN(Table1722[[#This Row],[Uraian]])&gt;2,1," ")</f>
        <v xml:space="preserve"> </v>
      </c>
      <c r="E6731" s="113" t="str">
        <f>IF(Table1722[[#This Row],[Lawan Transaksi]]="CV AGUNG KARYA",COUNTIF($I$10:I6731,"CV AGUNG KARYA")," ")</f>
        <v xml:space="preserve"> </v>
      </c>
      <c r="F6731" s="107" t="str">
        <f>IF(LEN(Table1722[[#This Row],[Uraian]])&gt;2,TRIM(RIGHT(SUBSTITUTE(TRIM(C6731)," ",REPT(" ",255)),255))," ")</f>
        <v xml:space="preserve"> </v>
      </c>
      <c r="G6731" s="110">
        <f>COPY!Z6723</f>
        <v>0</v>
      </c>
      <c r="H6731" s="111" t="str">
        <f>IFERROR(VLOOKUP(Table1722[[#This Row],[Bukti]],'Un nOTA'!$A$4:$K$5003,10,FALSE),"")</f>
        <v/>
      </c>
      <c r="I6731" s="123" t="str">
        <f>IFERROR(VLOOKUP(Table1722[[#This Row],[Bukti]],Table13[#Data],11,FALSE),"")</f>
        <v/>
      </c>
    </row>
    <row r="6732" spans="1:9" hidden="1" x14ac:dyDescent="0.2">
      <c r="A6732" s="105" t="str">
        <f>IF(D6732=1,COUNTIF($D$10:D6732,1)," ")</f>
        <v xml:space="preserve"> </v>
      </c>
      <c r="B6732" s="106">
        <f>COPY!AR6724</f>
        <v>0</v>
      </c>
      <c r="C6732" s="107">
        <f>COPY!AC6724</f>
        <v>0</v>
      </c>
      <c r="D6732" s="107" t="str">
        <f>IF(LEN(Table1722[[#This Row],[Uraian]])&gt;2,1," ")</f>
        <v xml:space="preserve"> </v>
      </c>
      <c r="E6732" s="113" t="str">
        <f>IF(Table1722[[#This Row],[Lawan Transaksi]]="CV AGUNG KARYA",COUNTIF($I$10:I6732,"CV AGUNG KARYA")," ")</f>
        <v xml:space="preserve"> </v>
      </c>
      <c r="F6732" s="107" t="str">
        <f>IF(LEN(Table1722[[#This Row],[Uraian]])&gt;2,TRIM(RIGHT(SUBSTITUTE(TRIM(C6732)," ",REPT(" ",255)),255))," ")</f>
        <v xml:space="preserve"> </v>
      </c>
      <c r="G6732" s="110">
        <f>COPY!Z6724</f>
        <v>0</v>
      </c>
      <c r="H6732" s="111" t="str">
        <f>IFERROR(VLOOKUP(Table1722[[#This Row],[Bukti]],'Un nOTA'!$A$4:$K$5003,10,FALSE),"")</f>
        <v/>
      </c>
      <c r="I6732" s="123" t="str">
        <f>IFERROR(VLOOKUP(Table1722[[#This Row],[Bukti]],Table13[#Data],11,FALSE),"")</f>
        <v/>
      </c>
    </row>
    <row r="6733" spans="1:9" hidden="1" x14ac:dyDescent="0.2">
      <c r="A6733" s="105" t="str">
        <f>IF(D6733=1,COUNTIF($D$10:D6733,1)," ")</f>
        <v xml:space="preserve"> </v>
      </c>
      <c r="B6733" s="106">
        <f>COPY!AR6725</f>
        <v>0</v>
      </c>
      <c r="C6733" s="107">
        <f>COPY!AC6725</f>
        <v>0</v>
      </c>
      <c r="D6733" s="107" t="str">
        <f>IF(LEN(Table1722[[#This Row],[Uraian]])&gt;2,1," ")</f>
        <v xml:space="preserve"> </v>
      </c>
      <c r="E6733" s="113" t="str">
        <f>IF(Table1722[[#This Row],[Lawan Transaksi]]="CV AGUNG KARYA",COUNTIF($I$10:I6733,"CV AGUNG KARYA")," ")</f>
        <v xml:space="preserve"> </v>
      </c>
      <c r="F6733" s="107" t="str">
        <f>IF(LEN(Table1722[[#This Row],[Uraian]])&gt;2,TRIM(RIGHT(SUBSTITUTE(TRIM(C6733)," ",REPT(" ",255)),255))," ")</f>
        <v xml:space="preserve"> </v>
      </c>
      <c r="G6733" s="110">
        <f>COPY!Z6725</f>
        <v>0</v>
      </c>
      <c r="H6733" s="111" t="str">
        <f>IFERROR(VLOOKUP(Table1722[[#This Row],[Bukti]],'Un nOTA'!$A$4:$K$5003,10,FALSE),"")</f>
        <v/>
      </c>
      <c r="I6733" s="123" t="str">
        <f>IFERROR(VLOOKUP(Table1722[[#This Row],[Bukti]],Table13[#Data],11,FALSE),"")</f>
        <v/>
      </c>
    </row>
    <row r="6734" spans="1:9" hidden="1" x14ac:dyDescent="0.2">
      <c r="A6734" s="105" t="str">
        <f>IF(D6734=1,COUNTIF($D$10:D6734,1)," ")</f>
        <v xml:space="preserve"> </v>
      </c>
      <c r="B6734" s="106">
        <f>COPY!AR6726</f>
        <v>0</v>
      </c>
      <c r="C6734" s="107">
        <f>COPY!AC6726</f>
        <v>0</v>
      </c>
      <c r="D6734" s="107" t="str">
        <f>IF(LEN(Table1722[[#This Row],[Uraian]])&gt;2,1," ")</f>
        <v xml:space="preserve"> </v>
      </c>
      <c r="E6734" s="113" t="str">
        <f>IF(Table1722[[#This Row],[Lawan Transaksi]]="CV AGUNG KARYA",COUNTIF($I$10:I6734,"CV AGUNG KARYA")," ")</f>
        <v xml:space="preserve"> </v>
      </c>
      <c r="F6734" s="107" t="str">
        <f>IF(LEN(Table1722[[#This Row],[Uraian]])&gt;2,TRIM(RIGHT(SUBSTITUTE(TRIM(C6734)," ",REPT(" ",255)),255))," ")</f>
        <v xml:space="preserve"> </v>
      </c>
      <c r="G6734" s="110">
        <f>COPY!Z6726</f>
        <v>0</v>
      </c>
      <c r="H6734" s="111" t="str">
        <f>IFERROR(VLOOKUP(Table1722[[#This Row],[Bukti]],'Un nOTA'!$A$4:$K$5003,10,FALSE),"")</f>
        <v/>
      </c>
      <c r="I6734" s="123" t="str">
        <f>IFERROR(VLOOKUP(Table1722[[#This Row],[Bukti]],Table13[#Data],11,FALSE),"")</f>
        <v/>
      </c>
    </row>
    <row r="6735" spans="1:9" hidden="1" x14ac:dyDescent="0.2">
      <c r="A6735" s="105" t="str">
        <f>IF(D6735=1,COUNTIF($D$10:D6735,1)," ")</f>
        <v xml:space="preserve"> </v>
      </c>
      <c r="B6735" s="106">
        <f>COPY!AR6727</f>
        <v>0</v>
      </c>
      <c r="C6735" s="107">
        <f>COPY!AC6727</f>
        <v>0</v>
      </c>
      <c r="D6735" s="107" t="str">
        <f>IF(LEN(Table1722[[#This Row],[Uraian]])&gt;2,1," ")</f>
        <v xml:space="preserve"> </v>
      </c>
      <c r="E6735" s="113" t="str">
        <f>IF(Table1722[[#This Row],[Lawan Transaksi]]="CV AGUNG KARYA",COUNTIF($I$10:I6735,"CV AGUNG KARYA")," ")</f>
        <v xml:space="preserve"> </v>
      </c>
      <c r="F6735" s="107" t="str">
        <f>IF(LEN(Table1722[[#This Row],[Uraian]])&gt;2,TRIM(RIGHT(SUBSTITUTE(TRIM(C6735)," ",REPT(" ",255)),255))," ")</f>
        <v xml:space="preserve"> </v>
      </c>
      <c r="G6735" s="110">
        <f>COPY!Z6727</f>
        <v>0</v>
      </c>
      <c r="H6735" s="111" t="str">
        <f>IFERROR(VLOOKUP(Table1722[[#This Row],[Bukti]],'Un nOTA'!$A$4:$K$5003,10,FALSE),"")</f>
        <v/>
      </c>
      <c r="I6735" s="123" t="str">
        <f>IFERROR(VLOOKUP(Table1722[[#This Row],[Bukti]],Table13[#Data],11,FALSE),"")</f>
        <v/>
      </c>
    </row>
    <row r="6736" spans="1:9" hidden="1" x14ac:dyDescent="0.2">
      <c r="A6736" s="105" t="str">
        <f>IF(D6736=1,COUNTIF($D$10:D6736,1)," ")</f>
        <v xml:space="preserve"> </v>
      </c>
      <c r="B6736" s="106">
        <f>COPY!AR6728</f>
        <v>0</v>
      </c>
      <c r="C6736" s="107">
        <f>COPY!AC6728</f>
        <v>0</v>
      </c>
      <c r="D6736" s="107" t="str">
        <f>IF(LEN(Table1722[[#This Row],[Uraian]])&gt;2,1," ")</f>
        <v xml:space="preserve"> </v>
      </c>
      <c r="E6736" s="113" t="str">
        <f>IF(Table1722[[#This Row],[Lawan Transaksi]]="CV AGUNG KARYA",COUNTIF($I$10:I6736,"CV AGUNG KARYA")," ")</f>
        <v xml:space="preserve"> </v>
      </c>
      <c r="F6736" s="107" t="str">
        <f>IF(LEN(Table1722[[#This Row],[Uraian]])&gt;2,TRIM(RIGHT(SUBSTITUTE(TRIM(C6736)," ",REPT(" ",255)),255))," ")</f>
        <v xml:space="preserve"> </v>
      </c>
      <c r="G6736" s="110">
        <f>COPY!Z6728</f>
        <v>0</v>
      </c>
      <c r="H6736" s="111" t="str">
        <f>IFERROR(VLOOKUP(Table1722[[#This Row],[Bukti]],'Un nOTA'!$A$4:$K$5003,10,FALSE),"")</f>
        <v/>
      </c>
      <c r="I6736" s="123" t="str">
        <f>IFERROR(VLOOKUP(Table1722[[#This Row],[Bukti]],Table13[#Data],11,FALSE),"")</f>
        <v/>
      </c>
    </row>
    <row r="6737" spans="1:9" hidden="1" x14ac:dyDescent="0.2">
      <c r="A6737" s="105" t="str">
        <f>IF(D6737=1,COUNTIF($D$10:D6737,1)," ")</f>
        <v xml:space="preserve"> </v>
      </c>
      <c r="B6737" s="106">
        <f>COPY!AR6729</f>
        <v>0</v>
      </c>
      <c r="C6737" s="107">
        <f>COPY!AC6729</f>
        <v>0</v>
      </c>
      <c r="D6737" s="107" t="str">
        <f>IF(LEN(Table1722[[#This Row],[Uraian]])&gt;2,1," ")</f>
        <v xml:space="preserve"> </v>
      </c>
      <c r="E6737" s="113" t="str">
        <f>IF(Table1722[[#This Row],[Lawan Transaksi]]="CV AGUNG KARYA",COUNTIF($I$10:I6737,"CV AGUNG KARYA")," ")</f>
        <v xml:space="preserve"> </v>
      </c>
      <c r="F6737" s="107" t="str">
        <f>IF(LEN(Table1722[[#This Row],[Uraian]])&gt;2,TRIM(RIGHT(SUBSTITUTE(TRIM(C6737)," ",REPT(" ",255)),255))," ")</f>
        <v xml:space="preserve"> </v>
      </c>
      <c r="G6737" s="110">
        <f>COPY!Z6729</f>
        <v>0</v>
      </c>
      <c r="H6737" s="111" t="str">
        <f>IFERROR(VLOOKUP(Table1722[[#This Row],[Bukti]],'Un nOTA'!$A$4:$K$5003,10,FALSE),"")</f>
        <v/>
      </c>
      <c r="I6737" s="123" t="str">
        <f>IFERROR(VLOOKUP(Table1722[[#This Row],[Bukti]],Table13[#Data],11,FALSE),"")</f>
        <v/>
      </c>
    </row>
    <row r="6738" spans="1:9" hidden="1" x14ac:dyDescent="0.2">
      <c r="A6738" s="105" t="str">
        <f>IF(D6738=1,COUNTIF($D$10:D6738,1)," ")</f>
        <v xml:space="preserve"> </v>
      </c>
      <c r="B6738" s="106">
        <f>COPY!AR6730</f>
        <v>0</v>
      </c>
      <c r="C6738" s="107">
        <f>COPY!AC6730</f>
        <v>0</v>
      </c>
      <c r="D6738" s="107" t="str">
        <f>IF(LEN(Table1722[[#This Row],[Uraian]])&gt;2,1," ")</f>
        <v xml:space="preserve"> </v>
      </c>
      <c r="E6738" s="113" t="str">
        <f>IF(Table1722[[#This Row],[Lawan Transaksi]]="CV AGUNG KARYA",COUNTIF($I$10:I6738,"CV AGUNG KARYA")," ")</f>
        <v xml:space="preserve"> </v>
      </c>
      <c r="F6738" s="107" t="str">
        <f>IF(LEN(Table1722[[#This Row],[Uraian]])&gt;2,TRIM(RIGHT(SUBSTITUTE(TRIM(C6738)," ",REPT(" ",255)),255))," ")</f>
        <v xml:space="preserve"> </v>
      </c>
      <c r="G6738" s="110">
        <f>COPY!Z6730</f>
        <v>0</v>
      </c>
      <c r="H6738" s="111" t="str">
        <f>IFERROR(VLOOKUP(Table1722[[#This Row],[Bukti]],'Un nOTA'!$A$4:$K$5003,10,FALSE),"")</f>
        <v/>
      </c>
      <c r="I6738" s="123" t="str">
        <f>IFERROR(VLOOKUP(Table1722[[#This Row],[Bukti]],Table13[#Data],11,FALSE),"")</f>
        <v/>
      </c>
    </row>
    <row r="6739" spans="1:9" hidden="1" x14ac:dyDescent="0.2">
      <c r="A6739" s="105" t="str">
        <f>IF(D6739=1,COUNTIF($D$10:D6739,1)," ")</f>
        <v xml:space="preserve"> </v>
      </c>
      <c r="B6739" s="106">
        <f>COPY!AR6731</f>
        <v>0</v>
      </c>
      <c r="C6739" s="107">
        <f>COPY!AC6731</f>
        <v>0</v>
      </c>
      <c r="D6739" s="107" t="str">
        <f>IF(LEN(Table1722[[#This Row],[Uraian]])&gt;2,1," ")</f>
        <v xml:space="preserve"> </v>
      </c>
      <c r="E6739" s="113" t="str">
        <f>IF(Table1722[[#This Row],[Lawan Transaksi]]="CV AGUNG KARYA",COUNTIF($I$10:I6739,"CV AGUNG KARYA")," ")</f>
        <v xml:space="preserve"> </v>
      </c>
      <c r="F6739" s="107" t="str">
        <f>IF(LEN(Table1722[[#This Row],[Uraian]])&gt;2,TRIM(RIGHT(SUBSTITUTE(TRIM(C6739)," ",REPT(" ",255)),255))," ")</f>
        <v xml:space="preserve"> </v>
      </c>
      <c r="G6739" s="110">
        <f>COPY!Z6731</f>
        <v>0</v>
      </c>
      <c r="H6739" s="111" t="str">
        <f>IFERROR(VLOOKUP(Table1722[[#This Row],[Bukti]],'Un nOTA'!$A$4:$K$5003,10,FALSE),"")</f>
        <v/>
      </c>
      <c r="I6739" s="123" t="str">
        <f>IFERROR(VLOOKUP(Table1722[[#This Row],[Bukti]],Table13[#Data],11,FALSE),"")</f>
        <v/>
      </c>
    </row>
    <row r="6740" spans="1:9" hidden="1" x14ac:dyDescent="0.2">
      <c r="A6740" s="105" t="str">
        <f>IF(D6740=1,COUNTIF($D$10:D6740,1)," ")</f>
        <v xml:space="preserve"> </v>
      </c>
      <c r="B6740" s="106">
        <f>COPY!AR6732</f>
        <v>0</v>
      </c>
      <c r="C6740" s="107">
        <f>COPY!AC6732</f>
        <v>0</v>
      </c>
      <c r="D6740" s="107" t="str">
        <f>IF(LEN(Table1722[[#This Row],[Uraian]])&gt;2,1," ")</f>
        <v xml:space="preserve"> </v>
      </c>
      <c r="E6740" s="113" t="str">
        <f>IF(Table1722[[#This Row],[Lawan Transaksi]]="CV AGUNG KARYA",COUNTIF($I$10:I6740,"CV AGUNG KARYA")," ")</f>
        <v xml:space="preserve"> </v>
      </c>
      <c r="F6740" s="107" t="str">
        <f>IF(LEN(Table1722[[#This Row],[Uraian]])&gt;2,TRIM(RIGHT(SUBSTITUTE(TRIM(C6740)," ",REPT(" ",255)),255))," ")</f>
        <v xml:space="preserve"> </v>
      </c>
      <c r="G6740" s="110">
        <f>COPY!Z6732</f>
        <v>0</v>
      </c>
      <c r="H6740" s="111" t="str">
        <f>IFERROR(VLOOKUP(Table1722[[#This Row],[Bukti]],'Un nOTA'!$A$4:$K$5003,10,FALSE),"")</f>
        <v/>
      </c>
      <c r="I6740" s="123" t="str">
        <f>IFERROR(VLOOKUP(Table1722[[#This Row],[Bukti]],Table13[#Data],11,FALSE),"")</f>
        <v/>
      </c>
    </row>
    <row r="6741" spans="1:9" hidden="1" x14ac:dyDescent="0.2">
      <c r="A6741" s="105" t="str">
        <f>IF(D6741=1,COUNTIF($D$10:D6741,1)," ")</f>
        <v xml:space="preserve"> </v>
      </c>
      <c r="B6741" s="106">
        <f>COPY!AR6733</f>
        <v>0</v>
      </c>
      <c r="C6741" s="107">
        <f>COPY!AC6733</f>
        <v>0</v>
      </c>
      <c r="D6741" s="107" t="str">
        <f>IF(LEN(Table1722[[#This Row],[Uraian]])&gt;2,1," ")</f>
        <v xml:space="preserve"> </v>
      </c>
      <c r="E6741" s="113" t="str">
        <f>IF(Table1722[[#This Row],[Lawan Transaksi]]="CV AGUNG KARYA",COUNTIF($I$10:I6741,"CV AGUNG KARYA")," ")</f>
        <v xml:space="preserve"> </v>
      </c>
      <c r="F6741" s="107" t="str">
        <f>IF(LEN(Table1722[[#This Row],[Uraian]])&gt;2,TRIM(RIGHT(SUBSTITUTE(TRIM(C6741)," ",REPT(" ",255)),255))," ")</f>
        <v xml:space="preserve"> </v>
      </c>
      <c r="G6741" s="110">
        <f>COPY!Z6733</f>
        <v>0</v>
      </c>
      <c r="H6741" s="111" t="str">
        <f>IFERROR(VLOOKUP(Table1722[[#This Row],[Bukti]],'Un nOTA'!$A$4:$K$5003,10,FALSE),"")</f>
        <v/>
      </c>
      <c r="I6741" s="123" t="str">
        <f>IFERROR(VLOOKUP(Table1722[[#This Row],[Bukti]],Table13[#Data],11,FALSE),"")</f>
        <v/>
      </c>
    </row>
    <row r="6742" spans="1:9" hidden="1" x14ac:dyDescent="0.2">
      <c r="A6742" s="105" t="str">
        <f>IF(D6742=1,COUNTIF($D$10:D6742,1)," ")</f>
        <v xml:space="preserve"> </v>
      </c>
      <c r="B6742" s="106">
        <f>COPY!AR6734</f>
        <v>0</v>
      </c>
      <c r="C6742" s="107">
        <f>COPY!AC6734</f>
        <v>0</v>
      </c>
      <c r="D6742" s="107" t="str">
        <f>IF(LEN(Table1722[[#This Row],[Uraian]])&gt;2,1," ")</f>
        <v xml:space="preserve"> </v>
      </c>
      <c r="E6742" s="113" t="str">
        <f>IF(Table1722[[#This Row],[Lawan Transaksi]]="CV AGUNG KARYA",COUNTIF($I$10:I6742,"CV AGUNG KARYA")," ")</f>
        <v xml:space="preserve"> </v>
      </c>
      <c r="F6742" s="107" t="str">
        <f>IF(LEN(Table1722[[#This Row],[Uraian]])&gt;2,TRIM(RIGHT(SUBSTITUTE(TRIM(C6742)," ",REPT(" ",255)),255))," ")</f>
        <v xml:space="preserve"> </v>
      </c>
      <c r="G6742" s="110">
        <f>COPY!Z6734</f>
        <v>0</v>
      </c>
      <c r="H6742" s="111" t="str">
        <f>IFERROR(VLOOKUP(Table1722[[#This Row],[Bukti]],'Un nOTA'!$A$4:$K$5003,10,FALSE),"")</f>
        <v/>
      </c>
      <c r="I6742" s="123" t="str">
        <f>IFERROR(VLOOKUP(Table1722[[#This Row],[Bukti]],Table13[#Data],11,FALSE),"")</f>
        <v/>
      </c>
    </row>
    <row r="6743" spans="1:9" hidden="1" x14ac:dyDescent="0.2">
      <c r="A6743" s="105" t="str">
        <f>IF(D6743=1,COUNTIF($D$10:D6743,1)," ")</f>
        <v xml:space="preserve"> </v>
      </c>
      <c r="B6743" s="106">
        <f>COPY!AR6735</f>
        <v>0</v>
      </c>
      <c r="C6743" s="107">
        <f>COPY!AC6735</f>
        <v>0</v>
      </c>
      <c r="D6743" s="107" t="str">
        <f>IF(LEN(Table1722[[#This Row],[Uraian]])&gt;2,1," ")</f>
        <v xml:space="preserve"> </v>
      </c>
      <c r="E6743" s="113" t="str">
        <f>IF(Table1722[[#This Row],[Lawan Transaksi]]="CV AGUNG KARYA",COUNTIF($I$10:I6743,"CV AGUNG KARYA")," ")</f>
        <v xml:space="preserve"> </v>
      </c>
      <c r="F6743" s="107" t="str">
        <f>IF(LEN(Table1722[[#This Row],[Uraian]])&gt;2,TRIM(RIGHT(SUBSTITUTE(TRIM(C6743)," ",REPT(" ",255)),255))," ")</f>
        <v xml:space="preserve"> </v>
      </c>
      <c r="G6743" s="110">
        <f>COPY!Z6735</f>
        <v>0</v>
      </c>
      <c r="H6743" s="111" t="str">
        <f>IFERROR(VLOOKUP(Table1722[[#This Row],[Bukti]],'Un nOTA'!$A$4:$K$5003,10,FALSE),"")</f>
        <v/>
      </c>
      <c r="I6743" s="123" t="str">
        <f>IFERROR(VLOOKUP(Table1722[[#This Row],[Bukti]],Table13[#Data],11,FALSE),"")</f>
        <v/>
      </c>
    </row>
    <row r="6744" spans="1:9" hidden="1" x14ac:dyDescent="0.2">
      <c r="A6744" s="105" t="str">
        <f>IF(D6744=1,COUNTIF($D$10:D6744,1)," ")</f>
        <v xml:space="preserve"> </v>
      </c>
      <c r="B6744" s="106">
        <f>COPY!AR6736</f>
        <v>0</v>
      </c>
      <c r="C6744" s="107">
        <f>COPY!AC6736</f>
        <v>0</v>
      </c>
      <c r="D6744" s="107" t="str">
        <f>IF(LEN(Table1722[[#This Row],[Uraian]])&gt;2,1," ")</f>
        <v xml:space="preserve"> </v>
      </c>
      <c r="E6744" s="113" t="str">
        <f>IF(Table1722[[#This Row],[Lawan Transaksi]]="CV AGUNG KARYA",COUNTIF($I$10:I6744,"CV AGUNG KARYA")," ")</f>
        <v xml:space="preserve"> </v>
      </c>
      <c r="F6744" s="107" t="str">
        <f>IF(LEN(Table1722[[#This Row],[Uraian]])&gt;2,TRIM(RIGHT(SUBSTITUTE(TRIM(C6744)," ",REPT(" ",255)),255))," ")</f>
        <v xml:space="preserve"> </v>
      </c>
      <c r="G6744" s="110">
        <f>COPY!Z6736</f>
        <v>0</v>
      </c>
      <c r="H6744" s="111" t="str">
        <f>IFERROR(VLOOKUP(Table1722[[#This Row],[Bukti]],'Un nOTA'!$A$4:$K$5003,10,FALSE),"")</f>
        <v/>
      </c>
      <c r="I6744" s="123" t="str">
        <f>IFERROR(VLOOKUP(Table1722[[#This Row],[Bukti]],Table13[#Data],11,FALSE),"")</f>
        <v/>
      </c>
    </row>
    <row r="6745" spans="1:9" hidden="1" x14ac:dyDescent="0.2">
      <c r="A6745" s="105" t="str">
        <f>IF(D6745=1,COUNTIF($D$10:D6745,1)," ")</f>
        <v xml:space="preserve"> </v>
      </c>
      <c r="B6745" s="106">
        <f>COPY!AR6737</f>
        <v>0</v>
      </c>
      <c r="C6745" s="107">
        <f>COPY!AC6737</f>
        <v>0</v>
      </c>
      <c r="D6745" s="107" t="str">
        <f>IF(LEN(Table1722[[#This Row],[Uraian]])&gt;2,1," ")</f>
        <v xml:space="preserve"> </v>
      </c>
      <c r="E6745" s="113" t="str">
        <f>IF(Table1722[[#This Row],[Lawan Transaksi]]="CV AGUNG KARYA",COUNTIF($I$10:I6745,"CV AGUNG KARYA")," ")</f>
        <v xml:space="preserve"> </v>
      </c>
      <c r="F6745" s="107" t="str">
        <f>IF(LEN(Table1722[[#This Row],[Uraian]])&gt;2,TRIM(RIGHT(SUBSTITUTE(TRIM(C6745)," ",REPT(" ",255)),255))," ")</f>
        <v xml:space="preserve"> </v>
      </c>
      <c r="G6745" s="110">
        <f>COPY!Z6737</f>
        <v>0</v>
      </c>
      <c r="H6745" s="111" t="str">
        <f>IFERROR(VLOOKUP(Table1722[[#This Row],[Bukti]],'Un nOTA'!$A$4:$K$5003,10,FALSE),"")</f>
        <v/>
      </c>
      <c r="I6745" s="123" t="str">
        <f>IFERROR(VLOOKUP(Table1722[[#This Row],[Bukti]],Table13[#Data],11,FALSE),"")</f>
        <v/>
      </c>
    </row>
    <row r="6746" spans="1:9" hidden="1" x14ac:dyDescent="0.2">
      <c r="A6746" s="105" t="str">
        <f>IF(D6746=1,COUNTIF($D$10:D6746,1)," ")</f>
        <v xml:space="preserve"> </v>
      </c>
      <c r="B6746" s="106">
        <f>COPY!AR6738</f>
        <v>0</v>
      </c>
      <c r="C6746" s="107">
        <f>COPY!AC6738</f>
        <v>0</v>
      </c>
      <c r="D6746" s="107" t="str">
        <f>IF(LEN(Table1722[[#This Row],[Uraian]])&gt;2,1," ")</f>
        <v xml:space="preserve"> </v>
      </c>
      <c r="E6746" s="113" t="str">
        <f>IF(Table1722[[#This Row],[Lawan Transaksi]]="CV AGUNG KARYA",COUNTIF($I$10:I6746,"CV AGUNG KARYA")," ")</f>
        <v xml:space="preserve"> </v>
      </c>
      <c r="F6746" s="107" t="str">
        <f>IF(LEN(Table1722[[#This Row],[Uraian]])&gt;2,TRIM(RIGHT(SUBSTITUTE(TRIM(C6746)," ",REPT(" ",255)),255))," ")</f>
        <v xml:space="preserve"> </v>
      </c>
      <c r="G6746" s="110">
        <f>COPY!Z6738</f>
        <v>0</v>
      </c>
      <c r="H6746" s="111" t="str">
        <f>IFERROR(VLOOKUP(Table1722[[#This Row],[Bukti]],'Un nOTA'!$A$4:$K$5003,10,FALSE),"")</f>
        <v/>
      </c>
      <c r="I6746" s="123" t="str">
        <f>IFERROR(VLOOKUP(Table1722[[#This Row],[Bukti]],Table13[#Data],11,FALSE),"")</f>
        <v/>
      </c>
    </row>
    <row r="6747" spans="1:9" hidden="1" x14ac:dyDescent="0.2">
      <c r="A6747" s="105" t="str">
        <f>IF(D6747=1,COUNTIF($D$10:D6747,1)," ")</f>
        <v xml:space="preserve"> </v>
      </c>
      <c r="B6747" s="106">
        <f>COPY!AR6739</f>
        <v>0</v>
      </c>
      <c r="C6747" s="107">
        <f>COPY!AC6739</f>
        <v>0</v>
      </c>
      <c r="D6747" s="107" t="str">
        <f>IF(LEN(Table1722[[#This Row],[Uraian]])&gt;2,1," ")</f>
        <v xml:space="preserve"> </v>
      </c>
      <c r="E6747" s="113" t="str">
        <f>IF(Table1722[[#This Row],[Lawan Transaksi]]="CV AGUNG KARYA",COUNTIF($I$10:I6747,"CV AGUNG KARYA")," ")</f>
        <v xml:space="preserve"> </v>
      </c>
      <c r="F6747" s="107" t="str">
        <f>IF(LEN(Table1722[[#This Row],[Uraian]])&gt;2,TRIM(RIGHT(SUBSTITUTE(TRIM(C6747)," ",REPT(" ",255)),255))," ")</f>
        <v xml:space="preserve"> </v>
      </c>
      <c r="G6747" s="110">
        <f>COPY!Z6739</f>
        <v>0</v>
      </c>
      <c r="H6747" s="111" t="str">
        <f>IFERROR(VLOOKUP(Table1722[[#This Row],[Bukti]],'Un nOTA'!$A$4:$K$5003,10,FALSE),"")</f>
        <v/>
      </c>
      <c r="I6747" s="123" t="str">
        <f>IFERROR(VLOOKUP(Table1722[[#This Row],[Bukti]],Table13[#Data],11,FALSE),"")</f>
        <v/>
      </c>
    </row>
    <row r="6748" spans="1:9" hidden="1" x14ac:dyDescent="0.2">
      <c r="A6748" s="105" t="str">
        <f>IF(D6748=1,COUNTIF($D$10:D6748,1)," ")</f>
        <v xml:space="preserve"> </v>
      </c>
      <c r="B6748" s="106">
        <f>COPY!AR6740</f>
        <v>0</v>
      </c>
      <c r="C6748" s="107">
        <f>COPY!AC6740</f>
        <v>0</v>
      </c>
      <c r="D6748" s="107" t="str">
        <f>IF(LEN(Table1722[[#This Row],[Uraian]])&gt;2,1," ")</f>
        <v xml:space="preserve"> </v>
      </c>
      <c r="E6748" s="113" t="str">
        <f>IF(Table1722[[#This Row],[Lawan Transaksi]]="CV AGUNG KARYA",COUNTIF($I$10:I6748,"CV AGUNG KARYA")," ")</f>
        <v xml:space="preserve"> </v>
      </c>
      <c r="F6748" s="107" t="str">
        <f>IF(LEN(Table1722[[#This Row],[Uraian]])&gt;2,TRIM(RIGHT(SUBSTITUTE(TRIM(C6748)," ",REPT(" ",255)),255))," ")</f>
        <v xml:space="preserve"> </v>
      </c>
      <c r="G6748" s="110">
        <f>COPY!Z6740</f>
        <v>0</v>
      </c>
      <c r="H6748" s="111" t="str">
        <f>IFERROR(VLOOKUP(Table1722[[#This Row],[Bukti]],'Un nOTA'!$A$4:$K$5003,10,FALSE),"")</f>
        <v/>
      </c>
      <c r="I6748" s="123" t="str">
        <f>IFERROR(VLOOKUP(Table1722[[#This Row],[Bukti]],Table13[#Data],11,FALSE),"")</f>
        <v/>
      </c>
    </row>
    <row r="6749" spans="1:9" hidden="1" x14ac:dyDescent="0.2">
      <c r="A6749" s="105" t="str">
        <f>IF(D6749=1,COUNTIF($D$10:D6749,1)," ")</f>
        <v xml:space="preserve"> </v>
      </c>
      <c r="B6749" s="106">
        <f>COPY!AR6741</f>
        <v>0</v>
      </c>
      <c r="C6749" s="107">
        <f>COPY!AC6741</f>
        <v>0</v>
      </c>
      <c r="D6749" s="107" t="str">
        <f>IF(LEN(Table1722[[#This Row],[Uraian]])&gt;2,1," ")</f>
        <v xml:space="preserve"> </v>
      </c>
      <c r="E6749" s="113" t="str">
        <f>IF(Table1722[[#This Row],[Lawan Transaksi]]="CV AGUNG KARYA",COUNTIF($I$10:I6749,"CV AGUNG KARYA")," ")</f>
        <v xml:space="preserve"> </v>
      </c>
      <c r="F6749" s="107" t="str">
        <f>IF(LEN(Table1722[[#This Row],[Uraian]])&gt;2,TRIM(RIGHT(SUBSTITUTE(TRIM(C6749)," ",REPT(" ",255)),255))," ")</f>
        <v xml:space="preserve"> </v>
      </c>
      <c r="G6749" s="110">
        <f>COPY!Z6741</f>
        <v>0</v>
      </c>
      <c r="H6749" s="111" t="str">
        <f>IFERROR(VLOOKUP(Table1722[[#This Row],[Bukti]],'Un nOTA'!$A$4:$K$5003,10,FALSE),"")</f>
        <v/>
      </c>
      <c r="I6749" s="123" t="str">
        <f>IFERROR(VLOOKUP(Table1722[[#This Row],[Bukti]],Table13[#Data],11,FALSE),"")</f>
        <v/>
      </c>
    </row>
    <row r="6750" spans="1:9" hidden="1" x14ac:dyDescent="0.2">
      <c r="A6750" s="105" t="str">
        <f>IF(D6750=1,COUNTIF($D$10:D6750,1)," ")</f>
        <v xml:space="preserve"> </v>
      </c>
      <c r="B6750" s="106">
        <f>COPY!AR6742</f>
        <v>0</v>
      </c>
      <c r="C6750" s="107">
        <f>COPY!AC6742</f>
        <v>0</v>
      </c>
      <c r="D6750" s="107" t="str">
        <f>IF(LEN(Table1722[[#This Row],[Uraian]])&gt;2,1," ")</f>
        <v xml:space="preserve"> </v>
      </c>
      <c r="E6750" s="113" t="str">
        <f>IF(Table1722[[#This Row],[Lawan Transaksi]]="CV AGUNG KARYA",COUNTIF($I$10:I6750,"CV AGUNG KARYA")," ")</f>
        <v xml:space="preserve"> </v>
      </c>
      <c r="F6750" s="107" t="str">
        <f>IF(LEN(Table1722[[#This Row],[Uraian]])&gt;2,TRIM(RIGHT(SUBSTITUTE(TRIM(C6750)," ",REPT(" ",255)),255))," ")</f>
        <v xml:space="preserve"> </v>
      </c>
      <c r="G6750" s="110">
        <f>COPY!Z6742</f>
        <v>0</v>
      </c>
      <c r="H6750" s="111" t="str">
        <f>IFERROR(VLOOKUP(Table1722[[#This Row],[Bukti]],'Un nOTA'!$A$4:$K$5003,10,FALSE),"")</f>
        <v/>
      </c>
      <c r="I6750" s="123" t="str">
        <f>IFERROR(VLOOKUP(Table1722[[#This Row],[Bukti]],Table13[#Data],11,FALSE),"")</f>
        <v/>
      </c>
    </row>
    <row r="6751" spans="1:9" hidden="1" x14ac:dyDescent="0.2">
      <c r="A6751" s="105" t="str">
        <f>IF(D6751=1,COUNTIF($D$10:D6751,1)," ")</f>
        <v xml:space="preserve"> </v>
      </c>
      <c r="B6751" s="106">
        <f>COPY!AR6743</f>
        <v>0</v>
      </c>
      <c r="C6751" s="107">
        <f>COPY!AC6743</f>
        <v>0</v>
      </c>
      <c r="D6751" s="107" t="str">
        <f>IF(LEN(Table1722[[#This Row],[Uraian]])&gt;2,1," ")</f>
        <v xml:space="preserve"> </v>
      </c>
      <c r="E6751" s="113" t="str">
        <f>IF(Table1722[[#This Row],[Lawan Transaksi]]="CV AGUNG KARYA",COUNTIF($I$10:I6751,"CV AGUNG KARYA")," ")</f>
        <v xml:space="preserve"> </v>
      </c>
      <c r="F6751" s="107" t="str">
        <f>IF(LEN(Table1722[[#This Row],[Uraian]])&gt;2,TRIM(RIGHT(SUBSTITUTE(TRIM(C6751)," ",REPT(" ",255)),255))," ")</f>
        <v xml:space="preserve"> </v>
      </c>
      <c r="G6751" s="110">
        <f>COPY!Z6743</f>
        <v>0</v>
      </c>
      <c r="H6751" s="111" t="str">
        <f>IFERROR(VLOOKUP(Table1722[[#This Row],[Bukti]],'Un nOTA'!$A$4:$K$5003,10,FALSE),"")</f>
        <v/>
      </c>
      <c r="I6751" s="123" t="str">
        <f>IFERROR(VLOOKUP(Table1722[[#This Row],[Bukti]],Table13[#Data],11,FALSE),"")</f>
        <v/>
      </c>
    </row>
    <row r="6752" spans="1:9" hidden="1" x14ac:dyDescent="0.2">
      <c r="A6752" s="105" t="str">
        <f>IF(D6752=1,COUNTIF($D$10:D6752,1)," ")</f>
        <v xml:space="preserve"> </v>
      </c>
      <c r="B6752" s="106">
        <f>COPY!AR6744</f>
        <v>0</v>
      </c>
      <c r="C6752" s="107">
        <f>COPY!AC6744</f>
        <v>0</v>
      </c>
      <c r="D6752" s="107" t="str">
        <f>IF(LEN(Table1722[[#This Row],[Uraian]])&gt;2,1," ")</f>
        <v xml:space="preserve"> </v>
      </c>
      <c r="E6752" s="113" t="str">
        <f>IF(Table1722[[#This Row],[Lawan Transaksi]]="CV AGUNG KARYA",COUNTIF($I$10:I6752,"CV AGUNG KARYA")," ")</f>
        <v xml:space="preserve"> </v>
      </c>
      <c r="F6752" s="107" t="str">
        <f>IF(LEN(Table1722[[#This Row],[Uraian]])&gt;2,TRIM(RIGHT(SUBSTITUTE(TRIM(C6752)," ",REPT(" ",255)),255))," ")</f>
        <v xml:space="preserve"> </v>
      </c>
      <c r="G6752" s="110">
        <f>COPY!Z6744</f>
        <v>0</v>
      </c>
      <c r="H6752" s="111" t="str">
        <f>IFERROR(VLOOKUP(Table1722[[#This Row],[Bukti]],'Un nOTA'!$A$4:$K$5003,10,FALSE),"")</f>
        <v/>
      </c>
      <c r="I6752" s="123" t="str">
        <f>IFERROR(VLOOKUP(Table1722[[#This Row],[Bukti]],Table13[#Data],11,FALSE),"")</f>
        <v/>
      </c>
    </row>
    <row r="6753" spans="1:9" hidden="1" x14ac:dyDescent="0.2">
      <c r="A6753" s="105" t="str">
        <f>IF(D6753=1,COUNTIF($D$10:D6753,1)," ")</f>
        <v xml:space="preserve"> </v>
      </c>
      <c r="B6753" s="106">
        <f>COPY!AR6745</f>
        <v>0</v>
      </c>
      <c r="C6753" s="107">
        <f>COPY!AC6745</f>
        <v>0</v>
      </c>
      <c r="D6753" s="107" t="str">
        <f>IF(LEN(Table1722[[#This Row],[Uraian]])&gt;2,1," ")</f>
        <v xml:space="preserve"> </v>
      </c>
      <c r="E6753" s="113" t="str">
        <f>IF(Table1722[[#This Row],[Lawan Transaksi]]="CV AGUNG KARYA",COUNTIF($I$10:I6753,"CV AGUNG KARYA")," ")</f>
        <v xml:space="preserve"> </v>
      </c>
      <c r="F6753" s="107" t="str">
        <f>IF(LEN(Table1722[[#This Row],[Uraian]])&gt;2,TRIM(RIGHT(SUBSTITUTE(TRIM(C6753)," ",REPT(" ",255)),255))," ")</f>
        <v xml:space="preserve"> </v>
      </c>
      <c r="G6753" s="110">
        <f>COPY!Z6745</f>
        <v>0</v>
      </c>
      <c r="H6753" s="111" t="str">
        <f>IFERROR(VLOOKUP(Table1722[[#This Row],[Bukti]],'Un nOTA'!$A$4:$K$5003,10,FALSE),"")</f>
        <v/>
      </c>
      <c r="I6753" s="123" t="str">
        <f>IFERROR(VLOOKUP(Table1722[[#This Row],[Bukti]],Table13[#Data],11,FALSE),"")</f>
        <v/>
      </c>
    </row>
    <row r="6754" spans="1:9" hidden="1" x14ac:dyDescent="0.2">
      <c r="A6754" s="105" t="str">
        <f>IF(D6754=1,COUNTIF($D$10:D6754,1)," ")</f>
        <v xml:space="preserve"> </v>
      </c>
      <c r="B6754" s="106">
        <f>COPY!AR6746</f>
        <v>0</v>
      </c>
      <c r="C6754" s="107">
        <f>COPY!AC6746</f>
        <v>0</v>
      </c>
      <c r="D6754" s="107" t="str">
        <f>IF(LEN(Table1722[[#This Row],[Uraian]])&gt;2,1," ")</f>
        <v xml:space="preserve"> </v>
      </c>
      <c r="E6754" s="113" t="str">
        <f>IF(Table1722[[#This Row],[Lawan Transaksi]]="CV AGUNG KARYA",COUNTIF($I$10:I6754,"CV AGUNG KARYA")," ")</f>
        <v xml:space="preserve"> </v>
      </c>
      <c r="F6754" s="107" t="str">
        <f>IF(LEN(Table1722[[#This Row],[Uraian]])&gt;2,TRIM(RIGHT(SUBSTITUTE(TRIM(C6754)," ",REPT(" ",255)),255))," ")</f>
        <v xml:space="preserve"> </v>
      </c>
      <c r="G6754" s="110">
        <f>COPY!Z6746</f>
        <v>0</v>
      </c>
      <c r="H6754" s="111" t="str">
        <f>IFERROR(VLOOKUP(Table1722[[#This Row],[Bukti]],'Un nOTA'!$A$4:$K$5003,10,FALSE),"")</f>
        <v/>
      </c>
      <c r="I6754" s="123" t="str">
        <f>IFERROR(VLOOKUP(Table1722[[#This Row],[Bukti]],Table13[#Data],11,FALSE),"")</f>
        <v/>
      </c>
    </row>
    <row r="6755" spans="1:9" hidden="1" x14ac:dyDescent="0.2">
      <c r="A6755" s="105" t="str">
        <f>IF(D6755=1,COUNTIF($D$10:D6755,1)," ")</f>
        <v xml:space="preserve"> </v>
      </c>
      <c r="B6755" s="106">
        <f>COPY!AR6747</f>
        <v>0</v>
      </c>
      <c r="C6755" s="107">
        <f>COPY!AC6747</f>
        <v>0</v>
      </c>
      <c r="D6755" s="107" t="str">
        <f>IF(LEN(Table1722[[#This Row],[Uraian]])&gt;2,1," ")</f>
        <v xml:space="preserve"> </v>
      </c>
      <c r="E6755" s="113" t="str">
        <f>IF(Table1722[[#This Row],[Lawan Transaksi]]="CV AGUNG KARYA",COUNTIF($I$10:I6755,"CV AGUNG KARYA")," ")</f>
        <v xml:space="preserve"> </v>
      </c>
      <c r="F6755" s="107" t="str">
        <f>IF(LEN(Table1722[[#This Row],[Uraian]])&gt;2,TRIM(RIGHT(SUBSTITUTE(TRIM(C6755)," ",REPT(" ",255)),255))," ")</f>
        <v xml:space="preserve"> </v>
      </c>
      <c r="G6755" s="110">
        <f>COPY!Z6747</f>
        <v>0</v>
      </c>
      <c r="H6755" s="111" t="str">
        <f>IFERROR(VLOOKUP(Table1722[[#This Row],[Bukti]],'Un nOTA'!$A$4:$K$5003,10,FALSE),"")</f>
        <v/>
      </c>
      <c r="I6755" s="123" t="str">
        <f>IFERROR(VLOOKUP(Table1722[[#This Row],[Bukti]],Table13[#Data],11,FALSE),"")</f>
        <v/>
      </c>
    </row>
    <row r="6756" spans="1:9" hidden="1" x14ac:dyDescent="0.2">
      <c r="A6756" s="105" t="str">
        <f>IF(D6756=1,COUNTIF($D$10:D6756,1)," ")</f>
        <v xml:space="preserve"> </v>
      </c>
      <c r="B6756" s="106">
        <f>COPY!AR6748</f>
        <v>0</v>
      </c>
      <c r="C6756" s="107">
        <f>COPY!AC6748</f>
        <v>0</v>
      </c>
      <c r="D6756" s="107" t="str">
        <f>IF(LEN(Table1722[[#This Row],[Uraian]])&gt;2,1," ")</f>
        <v xml:space="preserve"> </v>
      </c>
      <c r="E6756" s="113" t="str">
        <f>IF(Table1722[[#This Row],[Lawan Transaksi]]="CV AGUNG KARYA",COUNTIF($I$10:I6756,"CV AGUNG KARYA")," ")</f>
        <v xml:space="preserve"> </v>
      </c>
      <c r="F6756" s="107" t="str">
        <f>IF(LEN(Table1722[[#This Row],[Uraian]])&gt;2,TRIM(RIGHT(SUBSTITUTE(TRIM(C6756)," ",REPT(" ",255)),255))," ")</f>
        <v xml:space="preserve"> </v>
      </c>
      <c r="G6756" s="110">
        <f>COPY!Z6748</f>
        <v>0</v>
      </c>
      <c r="H6756" s="111" t="str">
        <f>IFERROR(VLOOKUP(Table1722[[#This Row],[Bukti]],'Un nOTA'!$A$4:$K$5003,10,FALSE),"")</f>
        <v/>
      </c>
      <c r="I6756" s="123" t="str">
        <f>IFERROR(VLOOKUP(Table1722[[#This Row],[Bukti]],Table13[#Data],11,FALSE),"")</f>
        <v/>
      </c>
    </row>
    <row r="6757" spans="1:9" hidden="1" x14ac:dyDescent="0.2">
      <c r="A6757" s="105" t="str">
        <f>IF(D6757=1,COUNTIF($D$10:D6757,1)," ")</f>
        <v xml:space="preserve"> </v>
      </c>
      <c r="B6757" s="106">
        <f>COPY!AR6749</f>
        <v>0</v>
      </c>
      <c r="C6757" s="107">
        <f>COPY!AC6749</f>
        <v>0</v>
      </c>
      <c r="D6757" s="107" t="str">
        <f>IF(LEN(Table1722[[#This Row],[Uraian]])&gt;2,1," ")</f>
        <v xml:space="preserve"> </v>
      </c>
      <c r="E6757" s="113" t="str">
        <f>IF(Table1722[[#This Row],[Lawan Transaksi]]="CV AGUNG KARYA",COUNTIF($I$10:I6757,"CV AGUNG KARYA")," ")</f>
        <v xml:space="preserve"> </v>
      </c>
      <c r="F6757" s="107" t="str">
        <f>IF(LEN(Table1722[[#This Row],[Uraian]])&gt;2,TRIM(RIGHT(SUBSTITUTE(TRIM(C6757)," ",REPT(" ",255)),255))," ")</f>
        <v xml:space="preserve"> </v>
      </c>
      <c r="G6757" s="110">
        <f>COPY!Z6749</f>
        <v>0</v>
      </c>
      <c r="H6757" s="111" t="str">
        <f>IFERROR(VLOOKUP(Table1722[[#This Row],[Bukti]],'Un nOTA'!$A$4:$K$5003,10,FALSE),"")</f>
        <v/>
      </c>
      <c r="I6757" s="123" t="str">
        <f>IFERROR(VLOOKUP(Table1722[[#This Row],[Bukti]],Table13[#Data],11,FALSE),"")</f>
        <v/>
      </c>
    </row>
    <row r="6758" spans="1:9" hidden="1" x14ac:dyDescent="0.2">
      <c r="A6758" s="105" t="str">
        <f>IF(D6758=1,COUNTIF($D$10:D6758,1)," ")</f>
        <v xml:space="preserve"> </v>
      </c>
      <c r="B6758" s="106">
        <f>COPY!AR6750</f>
        <v>0</v>
      </c>
      <c r="C6758" s="107">
        <f>COPY!AC6750</f>
        <v>0</v>
      </c>
      <c r="D6758" s="107" t="str">
        <f>IF(LEN(Table1722[[#This Row],[Uraian]])&gt;2,1," ")</f>
        <v xml:space="preserve"> </v>
      </c>
      <c r="E6758" s="113" t="str">
        <f>IF(Table1722[[#This Row],[Lawan Transaksi]]="CV AGUNG KARYA",COUNTIF($I$10:I6758,"CV AGUNG KARYA")," ")</f>
        <v xml:space="preserve"> </v>
      </c>
      <c r="F6758" s="107" t="str">
        <f>IF(LEN(Table1722[[#This Row],[Uraian]])&gt;2,TRIM(RIGHT(SUBSTITUTE(TRIM(C6758)," ",REPT(" ",255)),255))," ")</f>
        <v xml:space="preserve"> </v>
      </c>
      <c r="G6758" s="110">
        <f>COPY!Z6750</f>
        <v>0</v>
      </c>
      <c r="H6758" s="111" t="str">
        <f>IFERROR(VLOOKUP(Table1722[[#This Row],[Bukti]],'Un nOTA'!$A$4:$K$5003,10,FALSE),"")</f>
        <v/>
      </c>
      <c r="I6758" s="123" t="str">
        <f>IFERROR(VLOOKUP(Table1722[[#This Row],[Bukti]],Table13[#Data],11,FALSE),"")</f>
        <v/>
      </c>
    </row>
    <row r="6759" spans="1:9" hidden="1" x14ac:dyDescent="0.2">
      <c r="A6759" s="105" t="str">
        <f>IF(D6759=1,COUNTIF($D$10:D6759,1)," ")</f>
        <v xml:space="preserve"> </v>
      </c>
      <c r="B6759" s="106">
        <f>COPY!AR6751</f>
        <v>0</v>
      </c>
      <c r="C6759" s="107">
        <f>COPY!AC6751</f>
        <v>0</v>
      </c>
      <c r="D6759" s="107" t="str">
        <f>IF(LEN(Table1722[[#This Row],[Uraian]])&gt;2,1," ")</f>
        <v xml:space="preserve"> </v>
      </c>
      <c r="E6759" s="113" t="str">
        <f>IF(Table1722[[#This Row],[Lawan Transaksi]]="CV AGUNG KARYA",COUNTIF($I$10:I6759,"CV AGUNG KARYA")," ")</f>
        <v xml:space="preserve"> </v>
      </c>
      <c r="F6759" s="107" t="str">
        <f>IF(LEN(Table1722[[#This Row],[Uraian]])&gt;2,TRIM(RIGHT(SUBSTITUTE(TRIM(C6759)," ",REPT(" ",255)),255))," ")</f>
        <v xml:space="preserve"> </v>
      </c>
      <c r="G6759" s="110">
        <f>COPY!Z6751</f>
        <v>0</v>
      </c>
      <c r="H6759" s="111" t="str">
        <f>IFERROR(VLOOKUP(Table1722[[#This Row],[Bukti]],'Un nOTA'!$A$4:$K$5003,10,FALSE),"")</f>
        <v/>
      </c>
      <c r="I6759" s="123" t="str">
        <f>IFERROR(VLOOKUP(Table1722[[#This Row],[Bukti]],Table13[#Data],11,FALSE),"")</f>
        <v/>
      </c>
    </row>
    <row r="6760" spans="1:9" hidden="1" x14ac:dyDescent="0.2">
      <c r="A6760" s="105" t="str">
        <f>IF(D6760=1,COUNTIF($D$10:D6760,1)," ")</f>
        <v xml:space="preserve"> </v>
      </c>
      <c r="B6760" s="106">
        <f>COPY!AR6752</f>
        <v>0</v>
      </c>
      <c r="C6760" s="107">
        <f>COPY!AC6752</f>
        <v>0</v>
      </c>
      <c r="D6760" s="107" t="str">
        <f>IF(LEN(Table1722[[#This Row],[Uraian]])&gt;2,1," ")</f>
        <v xml:space="preserve"> </v>
      </c>
      <c r="E6760" s="113" t="str">
        <f>IF(Table1722[[#This Row],[Lawan Transaksi]]="CV AGUNG KARYA",COUNTIF($I$10:I6760,"CV AGUNG KARYA")," ")</f>
        <v xml:space="preserve"> </v>
      </c>
      <c r="F6760" s="107" t="str">
        <f>IF(LEN(Table1722[[#This Row],[Uraian]])&gt;2,TRIM(RIGHT(SUBSTITUTE(TRIM(C6760)," ",REPT(" ",255)),255))," ")</f>
        <v xml:space="preserve"> </v>
      </c>
      <c r="G6760" s="110">
        <f>COPY!Z6752</f>
        <v>0</v>
      </c>
      <c r="H6760" s="111" t="str">
        <f>IFERROR(VLOOKUP(Table1722[[#This Row],[Bukti]],'Un nOTA'!$A$4:$K$5003,10,FALSE),"")</f>
        <v/>
      </c>
      <c r="I6760" s="123" t="str">
        <f>IFERROR(VLOOKUP(Table1722[[#This Row],[Bukti]],Table13[#Data],11,FALSE),"")</f>
        <v/>
      </c>
    </row>
    <row r="6761" spans="1:9" hidden="1" x14ac:dyDescent="0.2">
      <c r="A6761" s="105" t="str">
        <f>IF(D6761=1,COUNTIF($D$10:D6761,1)," ")</f>
        <v xml:space="preserve"> </v>
      </c>
      <c r="B6761" s="106">
        <f>COPY!AR6753</f>
        <v>0</v>
      </c>
      <c r="C6761" s="107">
        <f>COPY!AC6753</f>
        <v>0</v>
      </c>
      <c r="D6761" s="107" t="str">
        <f>IF(LEN(Table1722[[#This Row],[Uraian]])&gt;2,1," ")</f>
        <v xml:space="preserve"> </v>
      </c>
      <c r="E6761" s="113" t="str">
        <f>IF(Table1722[[#This Row],[Lawan Transaksi]]="CV AGUNG KARYA",COUNTIF($I$10:I6761,"CV AGUNG KARYA")," ")</f>
        <v xml:space="preserve"> </v>
      </c>
      <c r="F6761" s="107" t="str">
        <f>IF(LEN(Table1722[[#This Row],[Uraian]])&gt;2,TRIM(RIGHT(SUBSTITUTE(TRIM(C6761)," ",REPT(" ",255)),255))," ")</f>
        <v xml:space="preserve"> </v>
      </c>
      <c r="G6761" s="110">
        <f>COPY!Z6753</f>
        <v>0</v>
      </c>
      <c r="H6761" s="111" t="str">
        <f>IFERROR(VLOOKUP(Table1722[[#This Row],[Bukti]],'Un nOTA'!$A$4:$K$5003,10,FALSE),"")</f>
        <v/>
      </c>
      <c r="I6761" s="123" t="str">
        <f>IFERROR(VLOOKUP(Table1722[[#This Row],[Bukti]],Table13[#Data],11,FALSE),"")</f>
        <v/>
      </c>
    </row>
    <row r="6762" spans="1:9" hidden="1" x14ac:dyDescent="0.2">
      <c r="A6762" s="105" t="str">
        <f>IF(D6762=1,COUNTIF($D$10:D6762,1)," ")</f>
        <v xml:space="preserve"> </v>
      </c>
      <c r="B6762" s="106">
        <f>COPY!AR6754</f>
        <v>0</v>
      </c>
      <c r="C6762" s="107">
        <f>COPY!AC6754</f>
        <v>0</v>
      </c>
      <c r="D6762" s="107" t="str">
        <f>IF(LEN(Table1722[[#This Row],[Uraian]])&gt;2,1," ")</f>
        <v xml:space="preserve"> </v>
      </c>
      <c r="E6762" s="113" t="str">
        <f>IF(Table1722[[#This Row],[Lawan Transaksi]]="CV AGUNG KARYA",COUNTIF($I$10:I6762,"CV AGUNG KARYA")," ")</f>
        <v xml:space="preserve"> </v>
      </c>
      <c r="F6762" s="107" t="str">
        <f>IF(LEN(Table1722[[#This Row],[Uraian]])&gt;2,TRIM(RIGHT(SUBSTITUTE(TRIM(C6762)," ",REPT(" ",255)),255))," ")</f>
        <v xml:space="preserve"> </v>
      </c>
      <c r="G6762" s="110">
        <f>COPY!Z6754</f>
        <v>0</v>
      </c>
      <c r="H6762" s="111" t="str">
        <f>IFERROR(VLOOKUP(Table1722[[#This Row],[Bukti]],'Un nOTA'!$A$4:$K$5003,10,FALSE),"")</f>
        <v/>
      </c>
      <c r="I6762" s="123" t="str">
        <f>IFERROR(VLOOKUP(Table1722[[#This Row],[Bukti]],Table13[#Data],11,FALSE),"")</f>
        <v/>
      </c>
    </row>
    <row r="6763" spans="1:9" hidden="1" x14ac:dyDescent="0.2">
      <c r="A6763" s="105" t="str">
        <f>IF(D6763=1,COUNTIF($D$10:D6763,1)," ")</f>
        <v xml:space="preserve"> </v>
      </c>
      <c r="B6763" s="106">
        <f>COPY!AR6755</f>
        <v>0</v>
      </c>
      <c r="C6763" s="107">
        <f>COPY!AC6755</f>
        <v>0</v>
      </c>
      <c r="D6763" s="107" t="str">
        <f>IF(LEN(Table1722[[#This Row],[Uraian]])&gt;2,1," ")</f>
        <v xml:space="preserve"> </v>
      </c>
      <c r="E6763" s="113" t="str">
        <f>IF(Table1722[[#This Row],[Lawan Transaksi]]="CV AGUNG KARYA",COUNTIF($I$10:I6763,"CV AGUNG KARYA")," ")</f>
        <v xml:space="preserve"> </v>
      </c>
      <c r="F6763" s="107" t="str">
        <f>IF(LEN(Table1722[[#This Row],[Uraian]])&gt;2,TRIM(RIGHT(SUBSTITUTE(TRIM(C6763)," ",REPT(" ",255)),255))," ")</f>
        <v xml:space="preserve"> </v>
      </c>
      <c r="G6763" s="110">
        <f>COPY!Z6755</f>
        <v>0</v>
      </c>
      <c r="H6763" s="111" t="str">
        <f>IFERROR(VLOOKUP(Table1722[[#This Row],[Bukti]],'Un nOTA'!$A$4:$K$5003,10,FALSE),"")</f>
        <v/>
      </c>
      <c r="I6763" s="123" t="str">
        <f>IFERROR(VLOOKUP(Table1722[[#This Row],[Bukti]],Table13[#Data],11,FALSE),"")</f>
        <v/>
      </c>
    </row>
    <row r="6764" spans="1:9" hidden="1" x14ac:dyDescent="0.2">
      <c r="A6764" s="105" t="str">
        <f>IF(D6764=1,COUNTIF($D$10:D6764,1)," ")</f>
        <v xml:space="preserve"> </v>
      </c>
      <c r="B6764" s="106">
        <f>COPY!AR6756</f>
        <v>0</v>
      </c>
      <c r="C6764" s="107">
        <f>COPY!AC6756</f>
        <v>0</v>
      </c>
      <c r="D6764" s="107" t="str">
        <f>IF(LEN(Table1722[[#This Row],[Uraian]])&gt;2,1," ")</f>
        <v xml:space="preserve"> </v>
      </c>
      <c r="E6764" s="113" t="str">
        <f>IF(Table1722[[#This Row],[Lawan Transaksi]]="CV AGUNG KARYA",COUNTIF($I$10:I6764,"CV AGUNG KARYA")," ")</f>
        <v xml:space="preserve"> </v>
      </c>
      <c r="F6764" s="107" t="str">
        <f>IF(LEN(Table1722[[#This Row],[Uraian]])&gt;2,TRIM(RIGHT(SUBSTITUTE(TRIM(C6764)," ",REPT(" ",255)),255))," ")</f>
        <v xml:space="preserve"> </v>
      </c>
      <c r="G6764" s="110">
        <f>COPY!Z6756</f>
        <v>0</v>
      </c>
      <c r="H6764" s="111" t="str">
        <f>IFERROR(VLOOKUP(Table1722[[#This Row],[Bukti]],'Un nOTA'!$A$4:$K$5003,10,FALSE),"")</f>
        <v/>
      </c>
      <c r="I6764" s="123" t="str">
        <f>IFERROR(VLOOKUP(Table1722[[#This Row],[Bukti]],Table13[#Data],11,FALSE),"")</f>
        <v/>
      </c>
    </row>
    <row r="6765" spans="1:9" hidden="1" x14ac:dyDescent="0.2">
      <c r="A6765" s="105" t="str">
        <f>IF(D6765=1,COUNTIF($D$10:D6765,1)," ")</f>
        <v xml:space="preserve"> </v>
      </c>
      <c r="B6765" s="106">
        <f>COPY!AR6757</f>
        <v>0</v>
      </c>
      <c r="C6765" s="107">
        <f>COPY!AC6757</f>
        <v>0</v>
      </c>
      <c r="D6765" s="107" t="str">
        <f>IF(LEN(Table1722[[#This Row],[Uraian]])&gt;2,1," ")</f>
        <v xml:space="preserve"> </v>
      </c>
      <c r="E6765" s="113" t="str">
        <f>IF(Table1722[[#This Row],[Lawan Transaksi]]="CV AGUNG KARYA",COUNTIF($I$10:I6765,"CV AGUNG KARYA")," ")</f>
        <v xml:space="preserve"> </v>
      </c>
      <c r="F6765" s="107" t="str">
        <f>IF(LEN(Table1722[[#This Row],[Uraian]])&gt;2,TRIM(RIGHT(SUBSTITUTE(TRIM(C6765)," ",REPT(" ",255)),255))," ")</f>
        <v xml:space="preserve"> </v>
      </c>
      <c r="G6765" s="110">
        <f>COPY!Z6757</f>
        <v>0</v>
      </c>
      <c r="H6765" s="111" t="str">
        <f>IFERROR(VLOOKUP(Table1722[[#This Row],[Bukti]],'Un nOTA'!$A$4:$K$5003,10,FALSE),"")</f>
        <v/>
      </c>
      <c r="I6765" s="123" t="str">
        <f>IFERROR(VLOOKUP(Table1722[[#This Row],[Bukti]],Table13[#Data],11,FALSE),"")</f>
        <v/>
      </c>
    </row>
    <row r="6766" spans="1:9" hidden="1" x14ac:dyDescent="0.2">
      <c r="A6766" s="105" t="str">
        <f>IF(D6766=1,COUNTIF($D$10:D6766,1)," ")</f>
        <v xml:space="preserve"> </v>
      </c>
      <c r="B6766" s="106">
        <f>COPY!AR6758</f>
        <v>0</v>
      </c>
      <c r="C6766" s="107">
        <f>COPY!AC6758</f>
        <v>0</v>
      </c>
      <c r="D6766" s="107" t="str">
        <f>IF(LEN(Table1722[[#This Row],[Uraian]])&gt;2,1," ")</f>
        <v xml:space="preserve"> </v>
      </c>
      <c r="E6766" s="113" t="str">
        <f>IF(Table1722[[#This Row],[Lawan Transaksi]]="CV AGUNG KARYA",COUNTIF($I$10:I6766,"CV AGUNG KARYA")," ")</f>
        <v xml:space="preserve"> </v>
      </c>
      <c r="F6766" s="107" t="str">
        <f>IF(LEN(Table1722[[#This Row],[Uraian]])&gt;2,TRIM(RIGHT(SUBSTITUTE(TRIM(C6766)," ",REPT(" ",255)),255))," ")</f>
        <v xml:space="preserve"> </v>
      </c>
      <c r="G6766" s="110">
        <f>COPY!Z6758</f>
        <v>0</v>
      </c>
      <c r="H6766" s="111" t="str">
        <f>IFERROR(VLOOKUP(Table1722[[#This Row],[Bukti]],'Un nOTA'!$A$4:$K$5003,10,FALSE),"")</f>
        <v/>
      </c>
      <c r="I6766" s="123" t="str">
        <f>IFERROR(VLOOKUP(Table1722[[#This Row],[Bukti]],Table13[#Data],11,FALSE),"")</f>
        <v/>
      </c>
    </row>
    <row r="6767" spans="1:9" hidden="1" x14ac:dyDescent="0.2">
      <c r="A6767" s="105" t="str">
        <f>IF(D6767=1,COUNTIF($D$10:D6767,1)," ")</f>
        <v xml:space="preserve"> </v>
      </c>
      <c r="B6767" s="106">
        <f>COPY!AR6759</f>
        <v>0</v>
      </c>
      <c r="C6767" s="107">
        <f>COPY!AC6759</f>
        <v>0</v>
      </c>
      <c r="D6767" s="107" t="str">
        <f>IF(LEN(Table1722[[#This Row],[Uraian]])&gt;2,1," ")</f>
        <v xml:space="preserve"> </v>
      </c>
      <c r="E6767" s="113" t="str">
        <f>IF(Table1722[[#This Row],[Lawan Transaksi]]="CV AGUNG KARYA",COUNTIF($I$10:I6767,"CV AGUNG KARYA")," ")</f>
        <v xml:space="preserve"> </v>
      </c>
      <c r="F6767" s="107" t="str">
        <f>IF(LEN(Table1722[[#This Row],[Uraian]])&gt;2,TRIM(RIGHT(SUBSTITUTE(TRIM(C6767)," ",REPT(" ",255)),255))," ")</f>
        <v xml:space="preserve"> </v>
      </c>
      <c r="G6767" s="110">
        <f>COPY!Z6759</f>
        <v>0</v>
      </c>
      <c r="H6767" s="111" t="str">
        <f>IFERROR(VLOOKUP(Table1722[[#This Row],[Bukti]],'Un nOTA'!$A$4:$K$5003,10,FALSE),"")</f>
        <v/>
      </c>
      <c r="I6767" s="123" t="str">
        <f>IFERROR(VLOOKUP(Table1722[[#This Row],[Bukti]],Table13[#Data],11,FALSE),"")</f>
        <v/>
      </c>
    </row>
    <row r="6768" spans="1:9" hidden="1" x14ac:dyDescent="0.2">
      <c r="A6768" s="105" t="str">
        <f>IF(D6768=1,COUNTIF($D$10:D6768,1)," ")</f>
        <v xml:space="preserve"> </v>
      </c>
      <c r="B6768" s="106">
        <f>COPY!AR6760</f>
        <v>0</v>
      </c>
      <c r="C6768" s="107">
        <f>COPY!AC6760</f>
        <v>0</v>
      </c>
      <c r="D6768" s="107" t="str">
        <f>IF(LEN(Table1722[[#This Row],[Uraian]])&gt;2,1," ")</f>
        <v xml:space="preserve"> </v>
      </c>
      <c r="E6768" s="113" t="str">
        <f>IF(Table1722[[#This Row],[Lawan Transaksi]]="CV AGUNG KARYA",COUNTIF($I$10:I6768,"CV AGUNG KARYA")," ")</f>
        <v xml:space="preserve"> </v>
      </c>
      <c r="F6768" s="107" t="str">
        <f>IF(LEN(Table1722[[#This Row],[Uraian]])&gt;2,TRIM(RIGHT(SUBSTITUTE(TRIM(C6768)," ",REPT(" ",255)),255))," ")</f>
        <v xml:space="preserve"> </v>
      </c>
      <c r="G6768" s="110">
        <f>COPY!Z6760</f>
        <v>0</v>
      </c>
      <c r="H6768" s="111" t="str">
        <f>IFERROR(VLOOKUP(Table1722[[#This Row],[Bukti]],'Un nOTA'!$A$4:$K$5003,10,FALSE),"")</f>
        <v/>
      </c>
      <c r="I6768" s="123" t="str">
        <f>IFERROR(VLOOKUP(Table1722[[#This Row],[Bukti]],Table13[#Data],11,FALSE),"")</f>
        <v/>
      </c>
    </row>
    <row r="6769" spans="1:9" hidden="1" x14ac:dyDescent="0.2">
      <c r="A6769" s="105" t="str">
        <f>IF(D6769=1,COUNTIF($D$10:D6769,1)," ")</f>
        <v xml:space="preserve"> </v>
      </c>
      <c r="B6769" s="106">
        <f>COPY!AR6761</f>
        <v>0</v>
      </c>
      <c r="C6769" s="107">
        <f>COPY!AC6761</f>
        <v>0</v>
      </c>
      <c r="D6769" s="107" t="str">
        <f>IF(LEN(Table1722[[#This Row],[Uraian]])&gt;2,1," ")</f>
        <v xml:space="preserve"> </v>
      </c>
      <c r="E6769" s="113" t="str">
        <f>IF(Table1722[[#This Row],[Lawan Transaksi]]="CV AGUNG KARYA",COUNTIF($I$10:I6769,"CV AGUNG KARYA")," ")</f>
        <v xml:space="preserve"> </v>
      </c>
      <c r="F6769" s="107" t="str">
        <f>IF(LEN(Table1722[[#This Row],[Uraian]])&gt;2,TRIM(RIGHT(SUBSTITUTE(TRIM(C6769)," ",REPT(" ",255)),255))," ")</f>
        <v xml:space="preserve"> </v>
      </c>
      <c r="G6769" s="110">
        <f>COPY!Z6761</f>
        <v>0</v>
      </c>
      <c r="H6769" s="111" t="str">
        <f>IFERROR(VLOOKUP(Table1722[[#This Row],[Bukti]],'Un nOTA'!$A$4:$K$5003,10,FALSE),"")</f>
        <v/>
      </c>
      <c r="I6769" s="123" t="str">
        <f>IFERROR(VLOOKUP(Table1722[[#This Row],[Bukti]],Table13[#Data],11,FALSE),"")</f>
        <v/>
      </c>
    </row>
    <row r="6770" spans="1:9" hidden="1" x14ac:dyDescent="0.2">
      <c r="A6770" s="105" t="str">
        <f>IF(D6770=1,COUNTIF($D$10:D6770,1)," ")</f>
        <v xml:space="preserve"> </v>
      </c>
      <c r="B6770" s="106">
        <f>COPY!AR6762</f>
        <v>0</v>
      </c>
      <c r="C6770" s="107">
        <f>COPY!AC6762</f>
        <v>0</v>
      </c>
      <c r="D6770" s="107" t="str">
        <f>IF(LEN(Table1722[[#This Row],[Uraian]])&gt;2,1," ")</f>
        <v xml:space="preserve"> </v>
      </c>
      <c r="E6770" s="113" t="str">
        <f>IF(Table1722[[#This Row],[Lawan Transaksi]]="CV AGUNG KARYA",COUNTIF($I$10:I6770,"CV AGUNG KARYA")," ")</f>
        <v xml:space="preserve"> </v>
      </c>
      <c r="F6770" s="107" t="str">
        <f>IF(LEN(Table1722[[#This Row],[Uraian]])&gt;2,TRIM(RIGHT(SUBSTITUTE(TRIM(C6770)," ",REPT(" ",255)),255))," ")</f>
        <v xml:space="preserve"> </v>
      </c>
      <c r="G6770" s="110">
        <f>COPY!Z6762</f>
        <v>0</v>
      </c>
      <c r="H6770" s="111" t="str">
        <f>IFERROR(VLOOKUP(Table1722[[#This Row],[Bukti]],'Un nOTA'!$A$4:$K$5003,10,FALSE),"")</f>
        <v/>
      </c>
      <c r="I6770" s="123" t="str">
        <f>IFERROR(VLOOKUP(Table1722[[#This Row],[Bukti]],Table13[#Data],11,FALSE),"")</f>
        <v/>
      </c>
    </row>
    <row r="6771" spans="1:9" hidden="1" x14ac:dyDescent="0.2">
      <c r="A6771" s="105" t="str">
        <f>IF(D6771=1,COUNTIF($D$10:D6771,1)," ")</f>
        <v xml:space="preserve"> </v>
      </c>
      <c r="B6771" s="106">
        <f>COPY!AR6763</f>
        <v>0</v>
      </c>
      <c r="C6771" s="107">
        <f>COPY!AC6763</f>
        <v>0</v>
      </c>
      <c r="D6771" s="107" t="str">
        <f>IF(LEN(Table1722[[#This Row],[Uraian]])&gt;2,1," ")</f>
        <v xml:space="preserve"> </v>
      </c>
      <c r="E6771" s="113" t="str">
        <f>IF(Table1722[[#This Row],[Lawan Transaksi]]="CV AGUNG KARYA",COUNTIF($I$10:I6771,"CV AGUNG KARYA")," ")</f>
        <v xml:space="preserve"> </v>
      </c>
      <c r="F6771" s="107" t="str">
        <f>IF(LEN(Table1722[[#This Row],[Uraian]])&gt;2,TRIM(RIGHT(SUBSTITUTE(TRIM(C6771)," ",REPT(" ",255)),255))," ")</f>
        <v xml:space="preserve"> </v>
      </c>
      <c r="G6771" s="110">
        <f>COPY!Z6763</f>
        <v>0</v>
      </c>
      <c r="H6771" s="111" t="str">
        <f>IFERROR(VLOOKUP(Table1722[[#This Row],[Bukti]],'Un nOTA'!$A$4:$K$5003,10,FALSE),"")</f>
        <v/>
      </c>
      <c r="I6771" s="123" t="str">
        <f>IFERROR(VLOOKUP(Table1722[[#This Row],[Bukti]],Table13[#Data],11,FALSE),"")</f>
        <v/>
      </c>
    </row>
    <row r="6772" spans="1:9" hidden="1" x14ac:dyDescent="0.2">
      <c r="A6772" s="105" t="str">
        <f>IF(D6772=1,COUNTIF($D$10:D6772,1)," ")</f>
        <v xml:space="preserve"> </v>
      </c>
      <c r="B6772" s="106">
        <f>COPY!AR6764</f>
        <v>0</v>
      </c>
      <c r="C6772" s="107">
        <f>COPY!AC6764</f>
        <v>0</v>
      </c>
      <c r="D6772" s="107" t="str">
        <f>IF(LEN(Table1722[[#This Row],[Uraian]])&gt;2,1," ")</f>
        <v xml:space="preserve"> </v>
      </c>
      <c r="E6772" s="113" t="str">
        <f>IF(Table1722[[#This Row],[Lawan Transaksi]]="CV AGUNG KARYA",COUNTIF($I$10:I6772,"CV AGUNG KARYA")," ")</f>
        <v xml:space="preserve"> </v>
      </c>
      <c r="F6772" s="107" t="str">
        <f>IF(LEN(Table1722[[#This Row],[Uraian]])&gt;2,TRIM(RIGHT(SUBSTITUTE(TRIM(C6772)," ",REPT(" ",255)),255))," ")</f>
        <v xml:space="preserve"> </v>
      </c>
      <c r="G6772" s="110">
        <f>COPY!Z6764</f>
        <v>0</v>
      </c>
      <c r="H6772" s="111" t="str">
        <f>IFERROR(VLOOKUP(Table1722[[#This Row],[Bukti]],'Un nOTA'!$A$4:$K$5003,10,FALSE),"")</f>
        <v/>
      </c>
      <c r="I6772" s="123" t="str">
        <f>IFERROR(VLOOKUP(Table1722[[#This Row],[Bukti]],Table13[#Data],11,FALSE),"")</f>
        <v/>
      </c>
    </row>
    <row r="6773" spans="1:9" hidden="1" x14ac:dyDescent="0.2">
      <c r="A6773" s="105" t="str">
        <f>IF(D6773=1,COUNTIF($D$10:D6773,1)," ")</f>
        <v xml:space="preserve"> </v>
      </c>
      <c r="B6773" s="106">
        <f>COPY!AR6765</f>
        <v>0</v>
      </c>
      <c r="C6773" s="107">
        <f>COPY!AC6765</f>
        <v>0</v>
      </c>
      <c r="D6773" s="107" t="str">
        <f>IF(LEN(Table1722[[#This Row],[Uraian]])&gt;2,1," ")</f>
        <v xml:space="preserve"> </v>
      </c>
      <c r="E6773" s="113" t="str">
        <f>IF(Table1722[[#This Row],[Lawan Transaksi]]="CV AGUNG KARYA",COUNTIF($I$10:I6773,"CV AGUNG KARYA")," ")</f>
        <v xml:space="preserve"> </v>
      </c>
      <c r="F6773" s="107" t="str">
        <f>IF(LEN(Table1722[[#This Row],[Uraian]])&gt;2,TRIM(RIGHT(SUBSTITUTE(TRIM(C6773)," ",REPT(" ",255)),255))," ")</f>
        <v xml:space="preserve"> </v>
      </c>
      <c r="G6773" s="110">
        <f>COPY!Z6765</f>
        <v>0</v>
      </c>
      <c r="H6773" s="111" t="str">
        <f>IFERROR(VLOOKUP(Table1722[[#This Row],[Bukti]],'Un nOTA'!$A$4:$K$5003,10,FALSE),"")</f>
        <v/>
      </c>
      <c r="I6773" s="123" t="str">
        <f>IFERROR(VLOOKUP(Table1722[[#This Row],[Bukti]],Table13[#Data],11,FALSE),"")</f>
        <v/>
      </c>
    </row>
    <row r="6774" spans="1:9" hidden="1" x14ac:dyDescent="0.2">
      <c r="A6774" s="105" t="str">
        <f>IF(D6774=1,COUNTIF($D$10:D6774,1)," ")</f>
        <v xml:space="preserve"> </v>
      </c>
      <c r="B6774" s="106">
        <f>COPY!AR6766</f>
        <v>0</v>
      </c>
      <c r="C6774" s="107">
        <f>COPY!AC6766</f>
        <v>0</v>
      </c>
      <c r="D6774" s="107" t="str">
        <f>IF(LEN(Table1722[[#This Row],[Uraian]])&gt;2,1," ")</f>
        <v xml:space="preserve"> </v>
      </c>
      <c r="E6774" s="113" t="str">
        <f>IF(Table1722[[#This Row],[Lawan Transaksi]]="CV AGUNG KARYA",COUNTIF($I$10:I6774,"CV AGUNG KARYA")," ")</f>
        <v xml:space="preserve"> </v>
      </c>
      <c r="F6774" s="107" t="str">
        <f>IF(LEN(Table1722[[#This Row],[Uraian]])&gt;2,TRIM(RIGHT(SUBSTITUTE(TRIM(C6774)," ",REPT(" ",255)),255))," ")</f>
        <v xml:space="preserve"> </v>
      </c>
      <c r="G6774" s="110">
        <f>COPY!Z6766</f>
        <v>0</v>
      </c>
      <c r="H6774" s="111" t="str">
        <f>IFERROR(VLOOKUP(Table1722[[#This Row],[Bukti]],'Un nOTA'!$A$4:$K$5003,10,FALSE),"")</f>
        <v/>
      </c>
      <c r="I6774" s="123" t="str">
        <f>IFERROR(VLOOKUP(Table1722[[#This Row],[Bukti]],Table13[#Data],11,FALSE),"")</f>
        <v/>
      </c>
    </row>
    <row r="6775" spans="1:9" hidden="1" x14ac:dyDescent="0.2">
      <c r="A6775" s="105" t="str">
        <f>IF(D6775=1,COUNTIF($D$10:D6775,1)," ")</f>
        <v xml:space="preserve"> </v>
      </c>
      <c r="B6775" s="106">
        <f>COPY!AR6767</f>
        <v>0</v>
      </c>
      <c r="C6775" s="107">
        <f>COPY!AC6767</f>
        <v>0</v>
      </c>
      <c r="D6775" s="107" t="str">
        <f>IF(LEN(Table1722[[#This Row],[Uraian]])&gt;2,1," ")</f>
        <v xml:space="preserve"> </v>
      </c>
      <c r="E6775" s="113" t="str">
        <f>IF(Table1722[[#This Row],[Lawan Transaksi]]="CV AGUNG KARYA",COUNTIF($I$10:I6775,"CV AGUNG KARYA")," ")</f>
        <v xml:space="preserve"> </v>
      </c>
      <c r="F6775" s="107" t="str">
        <f>IF(LEN(Table1722[[#This Row],[Uraian]])&gt;2,TRIM(RIGHT(SUBSTITUTE(TRIM(C6775)," ",REPT(" ",255)),255))," ")</f>
        <v xml:space="preserve"> </v>
      </c>
      <c r="G6775" s="110">
        <f>COPY!Z6767</f>
        <v>0</v>
      </c>
      <c r="H6775" s="111" t="str">
        <f>IFERROR(VLOOKUP(Table1722[[#This Row],[Bukti]],'Un nOTA'!$A$4:$K$5003,10,FALSE),"")</f>
        <v/>
      </c>
      <c r="I6775" s="123" t="str">
        <f>IFERROR(VLOOKUP(Table1722[[#This Row],[Bukti]],Table13[#Data],11,FALSE),"")</f>
        <v/>
      </c>
    </row>
    <row r="6776" spans="1:9" hidden="1" x14ac:dyDescent="0.2">
      <c r="A6776" s="105" t="str">
        <f>IF(D6776=1,COUNTIF($D$10:D6776,1)," ")</f>
        <v xml:space="preserve"> </v>
      </c>
      <c r="B6776" s="106">
        <f>COPY!AR6768</f>
        <v>0</v>
      </c>
      <c r="C6776" s="107">
        <f>COPY!AC6768</f>
        <v>0</v>
      </c>
      <c r="D6776" s="107" t="str">
        <f>IF(LEN(Table1722[[#This Row],[Uraian]])&gt;2,1," ")</f>
        <v xml:space="preserve"> </v>
      </c>
      <c r="E6776" s="113" t="str">
        <f>IF(Table1722[[#This Row],[Lawan Transaksi]]="CV AGUNG KARYA",COUNTIF($I$10:I6776,"CV AGUNG KARYA")," ")</f>
        <v xml:space="preserve"> </v>
      </c>
      <c r="F6776" s="107" t="str">
        <f>IF(LEN(Table1722[[#This Row],[Uraian]])&gt;2,TRIM(RIGHT(SUBSTITUTE(TRIM(C6776)," ",REPT(" ",255)),255))," ")</f>
        <v xml:space="preserve"> </v>
      </c>
      <c r="G6776" s="110">
        <f>COPY!Z6768</f>
        <v>0</v>
      </c>
      <c r="H6776" s="111" t="str">
        <f>IFERROR(VLOOKUP(Table1722[[#This Row],[Bukti]],'Un nOTA'!$A$4:$K$5003,10,FALSE),"")</f>
        <v/>
      </c>
      <c r="I6776" s="123" t="str">
        <f>IFERROR(VLOOKUP(Table1722[[#This Row],[Bukti]],Table13[#Data],11,FALSE),"")</f>
        <v/>
      </c>
    </row>
    <row r="6777" spans="1:9" hidden="1" x14ac:dyDescent="0.2">
      <c r="A6777" s="105" t="str">
        <f>IF(D6777=1,COUNTIF($D$10:D6777,1)," ")</f>
        <v xml:space="preserve"> </v>
      </c>
      <c r="B6777" s="106">
        <f>COPY!AR6769</f>
        <v>0</v>
      </c>
      <c r="C6777" s="107">
        <f>COPY!AC6769</f>
        <v>0</v>
      </c>
      <c r="D6777" s="107" t="str">
        <f>IF(LEN(Table1722[[#This Row],[Uraian]])&gt;2,1," ")</f>
        <v xml:space="preserve"> </v>
      </c>
      <c r="E6777" s="113" t="str">
        <f>IF(Table1722[[#This Row],[Lawan Transaksi]]="CV AGUNG KARYA",COUNTIF($I$10:I6777,"CV AGUNG KARYA")," ")</f>
        <v xml:space="preserve"> </v>
      </c>
      <c r="F6777" s="107" t="str">
        <f>IF(LEN(Table1722[[#This Row],[Uraian]])&gt;2,TRIM(RIGHT(SUBSTITUTE(TRIM(C6777)," ",REPT(" ",255)),255))," ")</f>
        <v xml:space="preserve"> </v>
      </c>
      <c r="G6777" s="110">
        <f>COPY!Z6769</f>
        <v>0</v>
      </c>
      <c r="H6777" s="111" t="str">
        <f>IFERROR(VLOOKUP(Table1722[[#This Row],[Bukti]],'Un nOTA'!$A$4:$K$5003,10,FALSE),"")</f>
        <v/>
      </c>
      <c r="I6777" s="123" t="str">
        <f>IFERROR(VLOOKUP(Table1722[[#This Row],[Bukti]],Table13[#Data],11,FALSE),"")</f>
        <v/>
      </c>
    </row>
    <row r="6778" spans="1:9" hidden="1" x14ac:dyDescent="0.2">
      <c r="A6778" s="105" t="str">
        <f>IF(D6778=1,COUNTIF($D$10:D6778,1)," ")</f>
        <v xml:space="preserve"> </v>
      </c>
      <c r="B6778" s="106">
        <f>COPY!AR6770</f>
        <v>0</v>
      </c>
      <c r="C6778" s="107">
        <f>COPY!AC6770</f>
        <v>0</v>
      </c>
      <c r="D6778" s="107" t="str">
        <f>IF(LEN(Table1722[[#This Row],[Uraian]])&gt;2,1," ")</f>
        <v xml:space="preserve"> </v>
      </c>
      <c r="E6778" s="113" t="str">
        <f>IF(Table1722[[#This Row],[Lawan Transaksi]]="CV AGUNG KARYA",COUNTIF($I$10:I6778,"CV AGUNG KARYA")," ")</f>
        <v xml:space="preserve"> </v>
      </c>
      <c r="F6778" s="107" t="str">
        <f>IF(LEN(Table1722[[#This Row],[Uraian]])&gt;2,TRIM(RIGHT(SUBSTITUTE(TRIM(C6778)," ",REPT(" ",255)),255))," ")</f>
        <v xml:space="preserve"> </v>
      </c>
      <c r="G6778" s="110">
        <f>COPY!Z6770</f>
        <v>0</v>
      </c>
      <c r="H6778" s="111" t="str">
        <f>IFERROR(VLOOKUP(Table1722[[#This Row],[Bukti]],'Un nOTA'!$A$4:$K$5003,10,FALSE),"")</f>
        <v/>
      </c>
      <c r="I6778" s="123" t="str">
        <f>IFERROR(VLOOKUP(Table1722[[#This Row],[Bukti]],Table13[#Data],11,FALSE),"")</f>
        <v/>
      </c>
    </row>
    <row r="6779" spans="1:9" hidden="1" x14ac:dyDescent="0.2">
      <c r="A6779" s="105" t="str">
        <f>IF(D6779=1,COUNTIF($D$10:D6779,1)," ")</f>
        <v xml:space="preserve"> </v>
      </c>
      <c r="B6779" s="106">
        <f>COPY!AR6771</f>
        <v>0</v>
      </c>
      <c r="C6779" s="107">
        <f>COPY!AC6771</f>
        <v>0</v>
      </c>
      <c r="D6779" s="107" t="str">
        <f>IF(LEN(Table1722[[#This Row],[Uraian]])&gt;2,1," ")</f>
        <v xml:space="preserve"> </v>
      </c>
      <c r="E6779" s="113" t="str">
        <f>IF(Table1722[[#This Row],[Lawan Transaksi]]="CV AGUNG KARYA",COUNTIF($I$10:I6779,"CV AGUNG KARYA")," ")</f>
        <v xml:space="preserve"> </v>
      </c>
      <c r="F6779" s="107" t="str">
        <f>IF(LEN(Table1722[[#This Row],[Uraian]])&gt;2,TRIM(RIGHT(SUBSTITUTE(TRIM(C6779)," ",REPT(" ",255)),255))," ")</f>
        <v xml:space="preserve"> </v>
      </c>
      <c r="G6779" s="110">
        <f>COPY!Z6771</f>
        <v>0</v>
      </c>
      <c r="H6779" s="111" t="str">
        <f>IFERROR(VLOOKUP(Table1722[[#This Row],[Bukti]],'Un nOTA'!$A$4:$K$5003,10,FALSE),"")</f>
        <v/>
      </c>
      <c r="I6779" s="123" t="str">
        <f>IFERROR(VLOOKUP(Table1722[[#This Row],[Bukti]],Table13[#Data],11,FALSE),"")</f>
        <v/>
      </c>
    </row>
    <row r="6780" spans="1:9" hidden="1" x14ac:dyDescent="0.2">
      <c r="A6780" s="105" t="str">
        <f>IF(D6780=1,COUNTIF($D$10:D6780,1)," ")</f>
        <v xml:space="preserve"> </v>
      </c>
      <c r="B6780" s="106">
        <f>COPY!AR6772</f>
        <v>0</v>
      </c>
      <c r="C6780" s="107">
        <f>COPY!AC6772</f>
        <v>0</v>
      </c>
      <c r="D6780" s="107" t="str">
        <f>IF(LEN(Table1722[[#This Row],[Uraian]])&gt;2,1," ")</f>
        <v xml:space="preserve"> </v>
      </c>
      <c r="E6780" s="113" t="str">
        <f>IF(Table1722[[#This Row],[Lawan Transaksi]]="CV AGUNG KARYA",COUNTIF($I$10:I6780,"CV AGUNG KARYA")," ")</f>
        <v xml:space="preserve"> </v>
      </c>
      <c r="F6780" s="107" t="str">
        <f>IF(LEN(Table1722[[#This Row],[Uraian]])&gt;2,TRIM(RIGHT(SUBSTITUTE(TRIM(C6780)," ",REPT(" ",255)),255))," ")</f>
        <v xml:space="preserve"> </v>
      </c>
      <c r="G6780" s="110">
        <f>COPY!Z6772</f>
        <v>0</v>
      </c>
      <c r="H6780" s="111" t="str">
        <f>IFERROR(VLOOKUP(Table1722[[#This Row],[Bukti]],'Un nOTA'!$A$4:$K$5003,10,FALSE),"")</f>
        <v/>
      </c>
      <c r="I6780" s="123" t="str">
        <f>IFERROR(VLOOKUP(Table1722[[#This Row],[Bukti]],Table13[#Data],11,FALSE),"")</f>
        <v/>
      </c>
    </row>
    <row r="6781" spans="1:9" hidden="1" x14ac:dyDescent="0.2">
      <c r="A6781" s="105" t="str">
        <f>IF(D6781=1,COUNTIF($D$10:D6781,1)," ")</f>
        <v xml:space="preserve"> </v>
      </c>
      <c r="B6781" s="106">
        <f>COPY!AR6773</f>
        <v>0</v>
      </c>
      <c r="C6781" s="107">
        <f>COPY!AC6773</f>
        <v>0</v>
      </c>
      <c r="D6781" s="107" t="str">
        <f>IF(LEN(Table1722[[#This Row],[Uraian]])&gt;2,1," ")</f>
        <v xml:space="preserve"> </v>
      </c>
      <c r="E6781" s="113" t="str">
        <f>IF(Table1722[[#This Row],[Lawan Transaksi]]="CV AGUNG KARYA",COUNTIF($I$10:I6781,"CV AGUNG KARYA")," ")</f>
        <v xml:space="preserve"> </v>
      </c>
      <c r="F6781" s="107" t="str">
        <f>IF(LEN(Table1722[[#This Row],[Uraian]])&gt;2,TRIM(RIGHT(SUBSTITUTE(TRIM(C6781)," ",REPT(" ",255)),255))," ")</f>
        <v xml:space="preserve"> </v>
      </c>
      <c r="G6781" s="110">
        <f>COPY!Z6773</f>
        <v>0</v>
      </c>
      <c r="H6781" s="111" t="str">
        <f>IFERROR(VLOOKUP(Table1722[[#This Row],[Bukti]],'Un nOTA'!$A$4:$K$5003,10,FALSE),"")</f>
        <v/>
      </c>
      <c r="I6781" s="123" t="str">
        <f>IFERROR(VLOOKUP(Table1722[[#This Row],[Bukti]],Table13[#Data],11,FALSE),"")</f>
        <v/>
      </c>
    </row>
    <row r="6782" spans="1:9" hidden="1" x14ac:dyDescent="0.2">
      <c r="A6782" s="105" t="str">
        <f>IF(D6782=1,COUNTIF($D$10:D6782,1)," ")</f>
        <v xml:space="preserve"> </v>
      </c>
      <c r="B6782" s="106">
        <f>COPY!AR6774</f>
        <v>0</v>
      </c>
      <c r="C6782" s="107">
        <f>COPY!AC6774</f>
        <v>0</v>
      </c>
      <c r="D6782" s="107" t="str">
        <f>IF(LEN(Table1722[[#This Row],[Uraian]])&gt;2,1," ")</f>
        <v xml:space="preserve"> </v>
      </c>
      <c r="E6782" s="113" t="str">
        <f>IF(Table1722[[#This Row],[Lawan Transaksi]]="CV AGUNG KARYA",COUNTIF($I$10:I6782,"CV AGUNG KARYA")," ")</f>
        <v xml:space="preserve"> </v>
      </c>
      <c r="F6782" s="107" t="str">
        <f>IF(LEN(Table1722[[#This Row],[Uraian]])&gt;2,TRIM(RIGHT(SUBSTITUTE(TRIM(C6782)," ",REPT(" ",255)),255))," ")</f>
        <v xml:space="preserve"> </v>
      </c>
      <c r="G6782" s="110">
        <f>COPY!Z6774</f>
        <v>0</v>
      </c>
      <c r="H6782" s="111" t="str">
        <f>IFERROR(VLOOKUP(Table1722[[#This Row],[Bukti]],'Un nOTA'!$A$4:$K$5003,10,FALSE),"")</f>
        <v/>
      </c>
      <c r="I6782" s="123" t="str">
        <f>IFERROR(VLOOKUP(Table1722[[#This Row],[Bukti]],Table13[#Data],11,FALSE),"")</f>
        <v/>
      </c>
    </row>
    <row r="6783" spans="1:9" hidden="1" x14ac:dyDescent="0.2">
      <c r="A6783" s="105" t="str">
        <f>IF(D6783=1,COUNTIF($D$10:D6783,1)," ")</f>
        <v xml:space="preserve"> </v>
      </c>
      <c r="B6783" s="106">
        <f>COPY!AR6775</f>
        <v>0</v>
      </c>
      <c r="C6783" s="107">
        <f>COPY!AC6775</f>
        <v>0</v>
      </c>
      <c r="D6783" s="107" t="str">
        <f>IF(LEN(Table1722[[#This Row],[Uraian]])&gt;2,1," ")</f>
        <v xml:space="preserve"> </v>
      </c>
      <c r="E6783" s="113" t="str">
        <f>IF(Table1722[[#This Row],[Lawan Transaksi]]="CV AGUNG KARYA",COUNTIF($I$10:I6783,"CV AGUNG KARYA")," ")</f>
        <v xml:space="preserve"> </v>
      </c>
      <c r="F6783" s="107" t="str">
        <f>IF(LEN(Table1722[[#This Row],[Uraian]])&gt;2,TRIM(RIGHT(SUBSTITUTE(TRIM(C6783)," ",REPT(" ",255)),255))," ")</f>
        <v xml:space="preserve"> </v>
      </c>
      <c r="G6783" s="110">
        <f>COPY!Z6775</f>
        <v>0</v>
      </c>
      <c r="H6783" s="111" t="str">
        <f>IFERROR(VLOOKUP(Table1722[[#This Row],[Bukti]],'Un nOTA'!$A$4:$K$5003,10,FALSE),"")</f>
        <v/>
      </c>
      <c r="I6783" s="123" t="str">
        <f>IFERROR(VLOOKUP(Table1722[[#This Row],[Bukti]],Table13[#Data],11,FALSE),"")</f>
        <v/>
      </c>
    </row>
    <row r="6784" spans="1:9" hidden="1" x14ac:dyDescent="0.2">
      <c r="A6784" s="105" t="str">
        <f>IF(D6784=1,COUNTIF($D$10:D6784,1)," ")</f>
        <v xml:space="preserve"> </v>
      </c>
      <c r="B6784" s="106">
        <f>COPY!AR6776</f>
        <v>0</v>
      </c>
      <c r="C6784" s="107">
        <f>COPY!AC6776</f>
        <v>0</v>
      </c>
      <c r="D6784" s="107" t="str">
        <f>IF(LEN(Table1722[[#This Row],[Uraian]])&gt;2,1," ")</f>
        <v xml:space="preserve"> </v>
      </c>
      <c r="E6784" s="113" t="str">
        <f>IF(Table1722[[#This Row],[Lawan Transaksi]]="CV AGUNG KARYA",COUNTIF($I$10:I6784,"CV AGUNG KARYA")," ")</f>
        <v xml:space="preserve"> </v>
      </c>
      <c r="F6784" s="107" t="str">
        <f>IF(LEN(Table1722[[#This Row],[Uraian]])&gt;2,TRIM(RIGHT(SUBSTITUTE(TRIM(C6784)," ",REPT(" ",255)),255))," ")</f>
        <v xml:space="preserve"> </v>
      </c>
      <c r="G6784" s="110">
        <f>COPY!Z6776</f>
        <v>0</v>
      </c>
      <c r="H6784" s="111" t="str">
        <f>IFERROR(VLOOKUP(Table1722[[#This Row],[Bukti]],'Un nOTA'!$A$4:$K$5003,10,FALSE),"")</f>
        <v/>
      </c>
      <c r="I6784" s="123" t="str">
        <f>IFERROR(VLOOKUP(Table1722[[#This Row],[Bukti]],Table13[#Data],11,FALSE),"")</f>
        <v/>
      </c>
    </row>
    <row r="6785" spans="1:9" hidden="1" x14ac:dyDescent="0.2">
      <c r="A6785" s="114" t="str">
        <f>IF(D6785=1,COUNTIF($D$10:D6785,1)," ")</f>
        <v xml:space="preserve"> </v>
      </c>
      <c r="B6785" s="115">
        <f>COPY!AR6777</f>
        <v>0</v>
      </c>
      <c r="C6785" s="116">
        <f>COPY!AC6777</f>
        <v>0</v>
      </c>
      <c r="D6785" s="116" t="str">
        <f>IF(LEN(Table1722[[#This Row],[Uraian]])&gt;2,1," ")</f>
        <v xml:space="preserve"> </v>
      </c>
      <c r="E6785" s="117" t="str">
        <f>IF(Table1722[[#This Row],[Lawan Transaksi]]="CV AGUNG KARYA",COUNTIF($I$10:I6785,"CV AGUNG KARYA")," ")</f>
        <v xml:space="preserve"> </v>
      </c>
      <c r="F6785" s="116" t="str">
        <f>IF(LEN(Table1722[[#This Row],[Uraian]])&gt;2,TRIM(RIGHT(SUBSTITUTE(TRIM(C6785)," ",REPT(" ",255)),255))," ")</f>
        <v xml:space="preserve"> </v>
      </c>
      <c r="G6785" s="118">
        <f>COPY!Z6777</f>
        <v>0</v>
      </c>
      <c r="H6785" s="119" t="str">
        <f>IFERROR(VLOOKUP(Table1722[[#This Row],[Bukti]],'Un nOTA'!$A$4:$K$5003,10,FALSE),"")</f>
        <v/>
      </c>
      <c r="I6785" s="126" t="str">
        <f>IFERROR(VLOOKUP(Table1722[[#This Row],[Bukti]],Table13[#Data],11,FALSE),"")</f>
        <v/>
      </c>
    </row>
    <row r="6788" spans="1:9" x14ac:dyDescent="0.2">
      <c r="D6788" s="127"/>
      <c r="E6788" s="128">
        <f>MAX(Table1722[Column2])</f>
        <v>0</v>
      </c>
      <c r="F6788" s="129"/>
      <c r="G6788" s="127"/>
    </row>
    <row r="6789" spans="1:9" x14ac:dyDescent="0.2">
      <c r="E6789" s="129">
        <v>1</v>
      </c>
      <c r="F6789" s="129">
        <f>E6789-$E$6788</f>
        <v>1</v>
      </c>
      <c r="G6789" s="130" t="str">
        <f>IF(F6789&lt;=0,E6789,"")</f>
        <v/>
      </c>
    </row>
    <row r="6790" spans="1:9" x14ac:dyDescent="0.2">
      <c r="E6790" s="129">
        <v>2</v>
      </c>
      <c r="F6790" s="129">
        <f t="shared" ref="F6790:F6838" si="0">E6790-$E$6788</f>
        <v>2</v>
      </c>
      <c r="G6790" s="130" t="str">
        <f t="shared" ref="G6790:G6838" si="1">IF(F6790&lt;=0,E6790," ")</f>
        <v xml:space="preserve"> </v>
      </c>
    </row>
    <row r="6791" spans="1:9" x14ac:dyDescent="0.2">
      <c r="E6791" s="129">
        <v>3</v>
      </c>
      <c r="F6791" s="129">
        <f t="shared" si="0"/>
        <v>3</v>
      </c>
      <c r="G6791" s="130" t="str">
        <f t="shared" si="1"/>
        <v xml:space="preserve"> </v>
      </c>
    </row>
    <row r="6792" spans="1:9" x14ac:dyDescent="0.2">
      <c r="E6792" s="129">
        <v>4</v>
      </c>
      <c r="F6792" s="129">
        <f t="shared" si="0"/>
        <v>4</v>
      </c>
      <c r="G6792" s="130" t="str">
        <f t="shared" si="1"/>
        <v xml:space="preserve"> </v>
      </c>
    </row>
    <row r="6793" spans="1:9" x14ac:dyDescent="0.2">
      <c r="E6793" s="129">
        <v>5</v>
      </c>
      <c r="F6793" s="129">
        <f t="shared" si="0"/>
        <v>5</v>
      </c>
      <c r="G6793" s="130" t="str">
        <f t="shared" si="1"/>
        <v xml:space="preserve"> </v>
      </c>
    </row>
    <row r="6794" spans="1:9" x14ac:dyDescent="0.2">
      <c r="E6794" s="129">
        <v>6</v>
      </c>
      <c r="F6794" s="129">
        <f t="shared" si="0"/>
        <v>6</v>
      </c>
      <c r="G6794" s="130" t="str">
        <f t="shared" si="1"/>
        <v xml:space="preserve"> </v>
      </c>
    </row>
    <row r="6795" spans="1:9" x14ac:dyDescent="0.2">
      <c r="E6795" s="129">
        <v>7</v>
      </c>
      <c r="F6795" s="129">
        <f t="shared" si="0"/>
        <v>7</v>
      </c>
      <c r="G6795" s="130" t="str">
        <f t="shared" si="1"/>
        <v xml:space="preserve"> </v>
      </c>
    </row>
    <row r="6796" spans="1:9" x14ac:dyDescent="0.2">
      <c r="E6796" s="129">
        <v>8</v>
      </c>
      <c r="F6796" s="129">
        <f t="shared" si="0"/>
        <v>8</v>
      </c>
      <c r="G6796" s="130" t="str">
        <f t="shared" si="1"/>
        <v xml:space="preserve"> </v>
      </c>
    </row>
    <row r="6797" spans="1:9" x14ac:dyDescent="0.2">
      <c r="E6797" s="129">
        <v>9</v>
      </c>
      <c r="F6797" s="129">
        <f t="shared" si="0"/>
        <v>9</v>
      </c>
      <c r="G6797" s="130" t="str">
        <f t="shared" si="1"/>
        <v xml:space="preserve"> </v>
      </c>
    </row>
    <row r="6798" spans="1:9" x14ac:dyDescent="0.2">
      <c r="E6798" s="129">
        <v>10</v>
      </c>
      <c r="F6798" s="129">
        <f t="shared" si="0"/>
        <v>10</v>
      </c>
      <c r="G6798" s="130" t="str">
        <f t="shared" si="1"/>
        <v xml:space="preserve"> </v>
      </c>
    </row>
    <row r="6799" spans="1:9" x14ac:dyDescent="0.2">
      <c r="E6799" s="129">
        <v>11</v>
      </c>
      <c r="F6799" s="129">
        <f t="shared" si="0"/>
        <v>11</v>
      </c>
      <c r="G6799" s="130" t="str">
        <f t="shared" si="1"/>
        <v xml:space="preserve"> </v>
      </c>
    </row>
    <row r="6800" spans="1:9" x14ac:dyDescent="0.2">
      <c r="E6800" s="129">
        <v>12</v>
      </c>
      <c r="F6800" s="129">
        <f t="shared" si="0"/>
        <v>12</v>
      </c>
      <c r="G6800" s="130" t="str">
        <f t="shared" si="1"/>
        <v xml:space="preserve"> </v>
      </c>
    </row>
    <row r="6801" spans="5:7" x14ac:dyDescent="0.2">
      <c r="E6801" s="129">
        <v>13</v>
      </c>
      <c r="F6801" s="129">
        <f t="shared" si="0"/>
        <v>13</v>
      </c>
      <c r="G6801" s="130" t="str">
        <f t="shared" si="1"/>
        <v xml:space="preserve"> </v>
      </c>
    </row>
    <row r="6802" spans="5:7" x14ac:dyDescent="0.2">
      <c r="E6802" s="129">
        <v>14</v>
      </c>
      <c r="F6802" s="129">
        <f t="shared" si="0"/>
        <v>14</v>
      </c>
      <c r="G6802" s="130" t="str">
        <f t="shared" si="1"/>
        <v xml:space="preserve"> </v>
      </c>
    </row>
    <row r="6803" spans="5:7" x14ac:dyDescent="0.2">
      <c r="E6803" s="129">
        <v>15</v>
      </c>
      <c r="F6803" s="129">
        <f t="shared" si="0"/>
        <v>15</v>
      </c>
      <c r="G6803" s="130" t="str">
        <f t="shared" si="1"/>
        <v xml:space="preserve"> </v>
      </c>
    </row>
    <row r="6804" spans="5:7" x14ac:dyDescent="0.2">
      <c r="E6804" s="129">
        <v>16</v>
      </c>
      <c r="F6804" s="129">
        <f t="shared" si="0"/>
        <v>16</v>
      </c>
      <c r="G6804" s="130" t="str">
        <f t="shared" si="1"/>
        <v xml:space="preserve"> </v>
      </c>
    </row>
    <row r="6805" spans="5:7" x14ac:dyDescent="0.2">
      <c r="E6805" s="129">
        <v>17</v>
      </c>
      <c r="F6805" s="129">
        <f t="shared" si="0"/>
        <v>17</v>
      </c>
      <c r="G6805" s="130" t="str">
        <f t="shared" si="1"/>
        <v xml:space="preserve"> </v>
      </c>
    </row>
    <row r="6806" spans="5:7" x14ac:dyDescent="0.2">
      <c r="E6806" s="129">
        <v>18</v>
      </c>
      <c r="F6806" s="129">
        <f t="shared" si="0"/>
        <v>18</v>
      </c>
      <c r="G6806" s="130" t="str">
        <f t="shared" si="1"/>
        <v xml:space="preserve"> </v>
      </c>
    </row>
    <row r="6807" spans="5:7" x14ac:dyDescent="0.2">
      <c r="E6807" s="129">
        <v>19</v>
      </c>
      <c r="F6807" s="129">
        <f t="shared" si="0"/>
        <v>19</v>
      </c>
      <c r="G6807" s="130" t="str">
        <f t="shared" si="1"/>
        <v xml:space="preserve"> </v>
      </c>
    </row>
    <row r="6808" spans="5:7" x14ac:dyDescent="0.2">
      <c r="E6808" s="129">
        <v>20</v>
      </c>
      <c r="F6808" s="129">
        <f t="shared" si="0"/>
        <v>20</v>
      </c>
      <c r="G6808" s="130" t="str">
        <f t="shared" si="1"/>
        <v xml:space="preserve"> </v>
      </c>
    </row>
    <row r="6809" spans="5:7" x14ac:dyDescent="0.2">
      <c r="E6809" s="129">
        <v>21</v>
      </c>
      <c r="F6809" s="129">
        <f t="shared" si="0"/>
        <v>21</v>
      </c>
      <c r="G6809" s="130" t="str">
        <f t="shared" si="1"/>
        <v xml:space="preserve"> </v>
      </c>
    </row>
    <row r="6810" spans="5:7" x14ac:dyDescent="0.2">
      <c r="E6810" s="129">
        <v>22</v>
      </c>
      <c r="F6810" s="129">
        <f t="shared" si="0"/>
        <v>22</v>
      </c>
      <c r="G6810" s="130" t="str">
        <f t="shared" si="1"/>
        <v xml:space="preserve"> </v>
      </c>
    </row>
    <row r="6811" spans="5:7" x14ac:dyDescent="0.2">
      <c r="E6811" s="129">
        <v>23</v>
      </c>
      <c r="F6811" s="129">
        <f t="shared" si="0"/>
        <v>23</v>
      </c>
      <c r="G6811" s="130" t="str">
        <f t="shared" si="1"/>
        <v xml:space="preserve"> </v>
      </c>
    </row>
    <row r="6812" spans="5:7" x14ac:dyDescent="0.2">
      <c r="E6812" s="129">
        <v>24</v>
      </c>
      <c r="F6812" s="129">
        <f t="shared" si="0"/>
        <v>24</v>
      </c>
      <c r="G6812" s="130" t="str">
        <f t="shared" si="1"/>
        <v xml:space="preserve"> </v>
      </c>
    </row>
    <row r="6813" spans="5:7" x14ac:dyDescent="0.2">
      <c r="E6813" s="129">
        <v>25</v>
      </c>
      <c r="F6813" s="129">
        <f t="shared" si="0"/>
        <v>25</v>
      </c>
      <c r="G6813" s="130" t="str">
        <f t="shared" si="1"/>
        <v xml:space="preserve"> </v>
      </c>
    </row>
    <row r="6814" spans="5:7" x14ac:dyDescent="0.2">
      <c r="E6814" s="129">
        <v>26</v>
      </c>
      <c r="F6814" s="129">
        <f t="shared" si="0"/>
        <v>26</v>
      </c>
      <c r="G6814" s="130" t="str">
        <f t="shared" si="1"/>
        <v xml:space="preserve"> </v>
      </c>
    </row>
    <row r="6815" spans="5:7" x14ac:dyDescent="0.2">
      <c r="E6815" s="129">
        <v>27</v>
      </c>
      <c r="F6815" s="129">
        <f t="shared" si="0"/>
        <v>27</v>
      </c>
      <c r="G6815" s="130" t="str">
        <f t="shared" si="1"/>
        <v xml:space="preserve"> </v>
      </c>
    </row>
    <row r="6816" spans="5:7" x14ac:dyDescent="0.2">
      <c r="E6816" s="129">
        <v>28</v>
      </c>
      <c r="F6816" s="129">
        <f t="shared" si="0"/>
        <v>28</v>
      </c>
      <c r="G6816" s="130" t="str">
        <f t="shared" si="1"/>
        <v xml:space="preserve"> </v>
      </c>
    </row>
    <row r="6817" spans="5:7" x14ac:dyDescent="0.2">
      <c r="E6817" s="129">
        <v>29</v>
      </c>
      <c r="F6817" s="129">
        <f t="shared" si="0"/>
        <v>29</v>
      </c>
      <c r="G6817" s="130" t="str">
        <f t="shared" si="1"/>
        <v xml:space="preserve"> </v>
      </c>
    </row>
    <row r="6818" spans="5:7" x14ac:dyDescent="0.2">
      <c r="E6818" s="129">
        <v>30</v>
      </c>
      <c r="F6818" s="129">
        <f t="shared" si="0"/>
        <v>30</v>
      </c>
      <c r="G6818" s="130" t="str">
        <f t="shared" si="1"/>
        <v xml:space="preserve"> </v>
      </c>
    </row>
    <row r="6819" spans="5:7" x14ac:dyDescent="0.2">
      <c r="E6819" s="129">
        <v>31</v>
      </c>
      <c r="F6819" s="129">
        <f t="shared" si="0"/>
        <v>31</v>
      </c>
      <c r="G6819" s="130" t="str">
        <f t="shared" si="1"/>
        <v xml:space="preserve"> </v>
      </c>
    </row>
    <row r="6820" spans="5:7" x14ac:dyDescent="0.2">
      <c r="E6820" s="129">
        <v>32</v>
      </c>
      <c r="F6820" s="129">
        <f t="shared" si="0"/>
        <v>32</v>
      </c>
      <c r="G6820" s="130" t="str">
        <f t="shared" si="1"/>
        <v xml:space="preserve"> </v>
      </c>
    </row>
    <row r="6821" spans="5:7" x14ac:dyDescent="0.2">
      <c r="E6821" s="129">
        <v>33</v>
      </c>
      <c r="F6821" s="129">
        <f t="shared" si="0"/>
        <v>33</v>
      </c>
      <c r="G6821" s="130" t="str">
        <f t="shared" si="1"/>
        <v xml:space="preserve"> </v>
      </c>
    </row>
    <row r="6822" spans="5:7" x14ac:dyDescent="0.2">
      <c r="E6822" s="129">
        <v>34</v>
      </c>
      <c r="F6822" s="129">
        <f t="shared" si="0"/>
        <v>34</v>
      </c>
      <c r="G6822" s="130" t="str">
        <f t="shared" si="1"/>
        <v xml:space="preserve"> </v>
      </c>
    </row>
    <row r="6823" spans="5:7" x14ac:dyDescent="0.2">
      <c r="E6823" s="129">
        <v>35</v>
      </c>
      <c r="F6823" s="129">
        <f t="shared" si="0"/>
        <v>35</v>
      </c>
      <c r="G6823" s="130" t="str">
        <f t="shared" si="1"/>
        <v xml:space="preserve"> </v>
      </c>
    </row>
    <row r="6824" spans="5:7" x14ac:dyDescent="0.2">
      <c r="E6824" s="129">
        <v>36</v>
      </c>
      <c r="F6824" s="129">
        <f t="shared" si="0"/>
        <v>36</v>
      </c>
      <c r="G6824" s="130" t="str">
        <f t="shared" si="1"/>
        <v xml:space="preserve"> </v>
      </c>
    </row>
    <row r="6825" spans="5:7" x14ac:dyDescent="0.2">
      <c r="E6825" s="129">
        <v>37</v>
      </c>
      <c r="F6825" s="129">
        <f t="shared" si="0"/>
        <v>37</v>
      </c>
      <c r="G6825" s="130" t="str">
        <f t="shared" si="1"/>
        <v xml:space="preserve"> </v>
      </c>
    </row>
    <row r="6826" spans="5:7" x14ac:dyDescent="0.2">
      <c r="E6826" s="129">
        <v>38</v>
      </c>
      <c r="F6826" s="129">
        <f t="shared" si="0"/>
        <v>38</v>
      </c>
      <c r="G6826" s="130" t="str">
        <f t="shared" si="1"/>
        <v xml:space="preserve"> </v>
      </c>
    </row>
    <row r="6827" spans="5:7" x14ac:dyDescent="0.2">
      <c r="E6827" s="129">
        <v>39</v>
      </c>
      <c r="F6827" s="129">
        <f t="shared" si="0"/>
        <v>39</v>
      </c>
      <c r="G6827" s="130" t="str">
        <f t="shared" si="1"/>
        <v xml:space="preserve"> </v>
      </c>
    </row>
    <row r="6828" spans="5:7" x14ac:dyDescent="0.2">
      <c r="E6828" s="129">
        <v>40</v>
      </c>
      <c r="F6828" s="129">
        <f t="shared" si="0"/>
        <v>40</v>
      </c>
      <c r="G6828" s="130" t="str">
        <f t="shared" si="1"/>
        <v xml:space="preserve"> </v>
      </c>
    </row>
    <row r="6829" spans="5:7" x14ac:dyDescent="0.2">
      <c r="E6829" s="129">
        <v>41</v>
      </c>
      <c r="F6829" s="129">
        <f t="shared" si="0"/>
        <v>41</v>
      </c>
      <c r="G6829" s="130" t="str">
        <f t="shared" si="1"/>
        <v xml:space="preserve"> </v>
      </c>
    </row>
    <row r="6830" spans="5:7" x14ac:dyDescent="0.2">
      <c r="E6830" s="129">
        <v>42</v>
      </c>
      <c r="F6830" s="129">
        <f t="shared" si="0"/>
        <v>42</v>
      </c>
      <c r="G6830" s="130" t="str">
        <f t="shared" si="1"/>
        <v xml:space="preserve"> </v>
      </c>
    </row>
    <row r="6831" spans="5:7" x14ac:dyDescent="0.2">
      <c r="E6831" s="129">
        <v>43</v>
      </c>
      <c r="F6831" s="129">
        <f t="shared" si="0"/>
        <v>43</v>
      </c>
      <c r="G6831" s="130" t="str">
        <f t="shared" si="1"/>
        <v xml:space="preserve"> </v>
      </c>
    </row>
    <row r="6832" spans="5:7" x14ac:dyDescent="0.2">
      <c r="E6832" s="129">
        <v>44</v>
      </c>
      <c r="F6832" s="129">
        <f t="shared" si="0"/>
        <v>44</v>
      </c>
      <c r="G6832" s="130" t="str">
        <f t="shared" si="1"/>
        <v xml:space="preserve"> </v>
      </c>
    </row>
    <row r="6833" spans="5:7" x14ac:dyDescent="0.2">
      <c r="E6833" s="129">
        <v>45</v>
      </c>
      <c r="F6833" s="129">
        <f t="shared" si="0"/>
        <v>45</v>
      </c>
      <c r="G6833" s="130" t="str">
        <f t="shared" si="1"/>
        <v xml:space="preserve"> </v>
      </c>
    </row>
    <row r="6834" spans="5:7" x14ac:dyDescent="0.2">
      <c r="E6834" s="129">
        <v>46</v>
      </c>
      <c r="F6834" s="129">
        <f t="shared" si="0"/>
        <v>46</v>
      </c>
      <c r="G6834" s="130" t="str">
        <f t="shared" si="1"/>
        <v xml:space="preserve"> </v>
      </c>
    </row>
    <row r="6835" spans="5:7" x14ac:dyDescent="0.2">
      <c r="E6835" s="129">
        <v>47</v>
      </c>
      <c r="F6835" s="129">
        <f t="shared" si="0"/>
        <v>47</v>
      </c>
      <c r="G6835" s="130" t="str">
        <f t="shared" si="1"/>
        <v xml:space="preserve"> </v>
      </c>
    </row>
    <row r="6836" spans="5:7" x14ac:dyDescent="0.2">
      <c r="E6836" s="129">
        <v>48</v>
      </c>
      <c r="F6836" s="129">
        <f t="shared" si="0"/>
        <v>48</v>
      </c>
      <c r="G6836" s="130" t="str">
        <f t="shared" si="1"/>
        <v xml:space="preserve"> </v>
      </c>
    </row>
    <row r="6837" spans="5:7" x14ac:dyDescent="0.2">
      <c r="E6837" s="129">
        <v>49</v>
      </c>
      <c r="F6837" s="129">
        <f t="shared" si="0"/>
        <v>49</v>
      </c>
      <c r="G6837" s="130" t="str">
        <f t="shared" si="1"/>
        <v xml:space="preserve"> </v>
      </c>
    </row>
    <row r="6838" spans="5:7" x14ac:dyDescent="0.2">
      <c r="E6838" s="129">
        <v>50</v>
      </c>
      <c r="F6838" s="129">
        <f t="shared" si="0"/>
        <v>50</v>
      </c>
      <c r="G6838" s="130" t="str">
        <f t="shared" si="1"/>
        <v xml:space="preserve"> </v>
      </c>
    </row>
  </sheetData>
  <mergeCells count="2">
    <mergeCell ref="A1:I1"/>
    <mergeCell ref="A2:I2"/>
  </mergeCells>
  <conditionalFormatting sqref="C1:C1048576">
    <cfRule type="containsText" dxfId="119" priority="1" operator="containsText" text="Bayar Pajak Final">
      <formula>NOT(ISERROR(SEARCH("Bayar Pajak Final",C1)))</formula>
    </cfRule>
    <cfRule type="containsText" dxfId="118" priority="2" operator="containsText" text="Bayar Pajak PPH">
      <formula>NOT(ISERROR(SEARCH("Bayar Pajak PPH",C1)))</formula>
    </cfRule>
  </conditionalFormatting>
  <pageMargins left="0.25" right="0.25" top="0.25" bottom="0.75" header="0.3" footer="0.3"/>
  <pageSetup paperSize="9" scale="93" fitToHeight="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0000"/>
  </sheetPr>
  <dimension ref="A1:AV332"/>
  <sheetViews>
    <sheetView zoomScale="70" zoomScaleNormal="70" workbookViewId="0">
      <selection activeCell="L30" sqref="L30"/>
    </sheetView>
  </sheetViews>
  <sheetFormatPr defaultColWidth="9.140625" defaultRowHeight="14.25" x14ac:dyDescent="0.2"/>
  <cols>
    <col min="1" max="1" width="9.42578125" style="75" customWidth="1"/>
    <col min="2" max="2" width="7" style="75" customWidth="1"/>
    <col min="3" max="3" width="13.28515625" style="75" bestFit="1" customWidth="1"/>
    <col min="4" max="4" width="15.28515625" style="75" customWidth="1"/>
    <col min="5" max="6" width="8.28515625" style="75" customWidth="1"/>
    <col min="7" max="7" width="13" style="75" customWidth="1"/>
    <col min="8" max="8" width="8.28515625" style="75" customWidth="1"/>
    <col min="9" max="9" width="6.140625" style="75" customWidth="1"/>
    <col min="10" max="10" width="16.85546875" style="75" bestFit="1" customWidth="1"/>
    <col min="11" max="11" width="8.28515625" style="75" customWidth="1"/>
    <col min="12" max="12" width="68.140625" style="75" bestFit="1" customWidth="1"/>
    <col min="13" max="24" width="10.42578125" style="75" customWidth="1"/>
    <col min="25" max="25" width="11.140625" style="75" bestFit="1" customWidth="1"/>
    <col min="26" max="36" width="8.85546875" style="75" customWidth="1"/>
    <col min="37" max="48" width="5.5703125" style="75" customWidth="1"/>
    <col min="49" max="16384" width="9.140625" style="75"/>
  </cols>
  <sheetData>
    <row r="1" spans="1:48" s="89" customFormat="1" x14ac:dyDescent="0.2">
      <c r="A1" s="89" t="s">
        <v>225</v>
      </c>
      <c r="B1" s="89" t="s">
        <v>309</v>
      </c>
      <c r="C1" s="89" t="s">
        <v>286</v>
      </c>
      <c r="D1" s="89" t="s">
        <v>287</v>
      </c>
      <c r="E1" s="89" t="s">
        <v>288</v>
      </c>
      <c r="F1" s="89" t="s">
        <v>289</v>
      </c>
      <c r="G1" s="89" t="s">
        <v>290</v>
      </c>
      <c r="H1" s="89" t="s">
        <v>291</v>
      </c>
      <c r="I1" s="89" t="s">
        <v>292</v>
      </c>
      <c r="J1" s="89" t="s">
        <v>293</v>
      </c>
      <c r="K1" s="89" t="s">
        <v>294</v>
      </c>
      <c r="L1" s="89" t="s">
        <v>295</v>
      </c>
      <c r="M1" s="89" t="s">
        <v>262</v>
      </c>
      <c r="N1" s="89" t="s">
        <v>263</v>
      </c>
      <c r="O1" s="89" t="s">
        <v>264</v>
      </c>
      <c r="P1" s="89" t="s">
        <v>265</v>
      </c>
      <c r="Q1" s="89" t="s">
        <v>266</v>
      </c>
      <c r="R1" s="89" t="s">
        <v>267</v>
      </c>
      <c r="S1" s="89" t="s">
        <v>268</v>
      </c>
      <c r="T1" s="89" t="s">
        <v>269</v>
      </c>
      <c r="U1" s="89" t="s">
        <v>270</v>
      </c>
      <c r="V1" s="89" t="s">
        <v>271</v>
      </c>
      <c r="W1" s="89" t="s">
        <v>272</v>
      </c>
      <c r="X1" s="89" t="s">
        <v>273</v>
      </c>
      <c r="Y1" s="89" t="s">
        <v>274</v>
      </c>
      <c r="Z1" s="89" t="s">
        <v>275</v>
      </c>
      <c r="AA1" s="89" t="s">
        <v>276</v>
      </c>
      <c r="AB1" s="89" t="s">
        <v>277</v>
      </c>
      <c r="AC1" s="89" t="s">
        <v>278</v>
      </c>
      <c r="AD1" s="89" t="s">
        <v>279</v>
      </c>
      <c r="AE1" s="89" t="s">
        <v>280</v>
      </c>
      <c r="AF1" s="89" t="s">
        <v>281</v>
      </c>
      <c r="AG1" s="89" t="s">
        <v>282</v>
      </c>
      <c r="AH1" s="89" t="s">
        <v>283</v>
      </c>
      <c r="AI1" s="89" t="s">
        <v>284</v>
      </c>
      <c r="AJ1" s="89" t="s">
        <v>285</v>
      </c>
      <c r="AK1" s="89" t="s">
        <v>297</v>
      </c>
      <c r="AL1" s="89" t="s">
        <v>298</v>
      </c>
      <c r="AM1" s="89" t="s">
        <v>299</v>
      </c>
      <c r="AN1" s="89" t="s">
        <v>300</v>
      </c>
      <c r="AO1" s="89" t="s">
        <v>301</v>
      </c>
      <c r="AP1" s="89" t="s">
        <v>302</v>
      </c>
      <c r="AQ1" s="89" t="s">
        <v>303</v>
      </c>
      <c r="AR1" s="89" t="s">
        <v>304</v>
      </c>
      <c r="AS1" s="89" t="s">
        <v>305</v>
      </c>
      <c r="AT1" s="89" t="s">
        <v>306</v>
      </c>
      <c r="AU1" s="89" t="s">
        <v>307</v>
      </c>
      <c r="AV1" s="89" t="s">
        <v>308</v>
      </c>
    </row>
    <row r="2" spans="1:48" x14ac:dyDescent="0.2">
      <c r="A2" s="75" t="str">
        <f>'REKAP PAJAK'!W39</f>
        <v>BKK.1</v>
      </c>
      <c r="B2" s="75" t="str">
        <f>IF(LEN(A2)&gt;1,VLOOKUP(A2,COPY!$O$2:$R$1000,4,FALSE),"")</f>
        <v>Men1</v>
      </c>
      <c r="C2" s="75" t="str">
        <f>'BKU 1'!$C$360</f>
        <v>MELIA FITRIANI, S.Pd.SD</v>
      </c>
      <c r="D2" s="75" t="str">
        <f>'BKU 1'!$C$361</f>
        <v>NIP. 19850619 200904 2 000</v>
      </c>
      <c r="E2" s="75" t="str">
        <f>'BKU 1'!$L$360</f>
        <v>ARIF NUR UDIN, S.Pd.SD</v>
      </c>
      <c r="F2" s="75" t="str">
        <f>'BKU 1'!$L$361</f>
        <v>NIP. 19840719 200903 1 002</v>
      </c>
      <c r="G2" s="75" t="str">
        <f>IFERROR(TEXT(VLOOKUP(A2,COPY!$S$2:$W$1000,3,FALSE),"dd mmmm yyyy")," ")</f>
        <v>01 September 2025</v>
      </c>
      <c r="H2" s="75" t="str">
        <f>'BKU 1'!$D$25</f>
        <v>SDN 1 SIDODADI</v>
      </c>
      <c r="I2" s="75" t="str">
        <f>'BKU 1'!$I$25</f>
        <v>NGANTANG</v>
      </c>
      <c r="J2" s="90">
        <f>IFERROR(VLOOKUP(A2,COPY!$S$2:$W$1000,4,FALSE)," ")</f>
        <v>1067000</v>
      </c>
      <c r="K2" s="75" t="str">
        <f>IFERROR(VLOOKUP(A2,COPY!$S$2:$W$1000,5,FALSE)," ")</f>
        <v>Satu Juta Enam Puluh Tujuh Ribu Rupiah</v>
      </c>
      <c r="L2" s="75" t="str">
        <f>IF(B2="","",IF(LEFT(B2,2)="Ma",(VLOOKUP(B2,'Rekap Gaji'!$C$12:$D$26,2,FALSE))&amp;" Untuk "&amp;(PROPER('Rekap Gaji'!$B$2)),IF(LEFT(B2,2)="Mg","Pembelian Material Bahan Bangunan",IF(LEFT(B2,2)="Me","Biaya Pembelanjaan Menejemen",IF(LEFT(B2,1)="G",VLOOKUP(A2,COPY!$S$2:$AA$1000,2,FALSE)&amp;"( "&amp;TEXT(VLOOKUP(B2,'Rekap Gaji'!$A$12:$I$26,5,FALSE),"dd-mm-yyyy")&amp;" "&amp;TEXT(VLOOKUP(B2,'Rekap Gaji'!$A$12:$I$26,6,FALSE)&amp;" "&amp;TEXT(VLOOKUP(B2,'Rekap Gaji'!$A$12:$I$26,7,FALSE),"dd-mm-yyyy")&amp;" )"," "))))))</f>
        <v>Biaya Pembelanjaan Menejemen</v>
      </c>
      <c r="M2" s="75" t="str">
        <f>IF(OR(LEFT(B2,2)="mg",LEFT(B2,2)="mE"),VLOOKUP(A2,COPY!$S$2:$AA$1000,2,FALSE),IF(LEFT(B2,1)="G"," ",IF(LEFT(B2,2)="ma"," "," ")))</f>
        <v>Banner Untuk Rapat</v>
      </c>
      <c r="N2" s="75" t="str">
        <f>IFERROR(VLOOKUP($A$2&amp;"a",COPY!$S$2:$AA$1000,2,FALSE)," ")</f>
        <v>Cetak A3 HVS 70 Grm</v>
      </c>
      <c r="O2" s="75" t="str">
        <f>IFERROR(VLOOKUP($A$2&amp;"aa",COPY!$S$2:$AA$1000,2,FALSE)," ")</f>
        <v>Cetak Gambar A3 Ap 120 Grm</v>
      </c>
      <c r="P2" s="75" t="str">
        <f>IFERROR(VLOOKUP($A$2&amp;"aaa",COPY!$S$2:$AA$1000,2,FALSE)," ")</f>
        <v>Kosumsi Rapat Awal Pekerjaan</v>
      </c>
      <c r="Q2" s="75" t="str">
        <f>IFERROR(VLOOKUP($A$2&amp;"aaaa",COPY!$S$2:$AA$1000,2,FALSE)," ")</f>
        <v>Biaya Perjalanan Rapat Ke dinas Pendidikan</v>
      </c>
      <c r="R2" s="75" t="str">
        <f>IFERROR(VLOOKUP($A$2&amp;"aaaaa",COPY!$S$2:$AA$1000,2,FALSE)," ")</f>
        <v xml:space="preserve"> </v>
      </c>
      <c r="S2" s="75" t="str">
        <f>IFERROR(VLOOKUP($A$2&amp;"aaaaaa",COPY!$S$2:$AA$1000,2,FALSE)," ")</f>
        <v xml:space="preserve"> </v>
      </c>
      <c r="T2" s="75" t="str">
        <f>IFERROR(VLOOKUP($A$2&amp;"aaaaaaa",COPY!$S$2:$AA$1000,2,FALSE)," ")</f>
        <v xml:space="preserve"> </v>
      </c>
      <c r="U2" s="75" t="str">
        <f>IFERROR(VLOOKUP($A$2&amp;"aaaaaaaa",COPY!$S$2:$AA$1000,2,FALSE)," ")</f>
        <v xml:space="preserve"> </v>
      </c>
      <c r="V2" s="75" t="str">
        <f>IFERROR(VLOOKUP($A$2&amp;"aaaaaaaaa",COPY!$S$2:$AA$1000,2,FALSE)," ")</f>
        <v xml:space="preserve"> </v>
      </c>
      <c r="W2" s="75" t="str">
        <f>IFERROR(VLOOKUP($A$2&amp;"aaaaaaaaaa",COPY!$S$2:$AA$1000,2,FALSE)," ")</f>
        <v xml:space="preserve"> </v>
      </c>
      <c r="X2" s="75" t="str">
        <f>IFERROR(VLOOKUP($A$2&amp;"aaaaaaaaaaa",COPY!$S$2:$AA$1000,2,FALSE)," ")</f>
        <v xml:space="preserve"> </v>
      </c>
      <c r="Y2" s="90">
        <f>IF(OR(LEFT(B2,2)="mg",LEFT(B2,2)="mE"),VLOOKUP(A2,COPY!$S$2:$AA$1000,6,FALSE),IF(LEFT(B2,1)="G"," ",IF(LEFT(B2,2)="ma"," "," ")))</f>
        <v>16</v>
      </c>
      <c r="Z2" s="90">
        <f>IFERROR(VLOOKUP($A$2&amp;"a",COPY!$S$2:$AA$1000,6,FALSE)," ")</f>
        <v>26</v>
      </c>
      <c r="AA2" s="90">
        <f>IFERROR(VLOOKUP($A$2&amp;"aa",COPY!$S$2:$AA$1000,6,FALSE)," ")</f>
        <v>26</v>
      </c>
      <c r="AB2" s="90">
        <f>IFERROR(VLOOKUP($A$2&amp;"aaa",COPY!$S$2:$AA$1000,6,FALSE)," ")</f>
        <v>10</v>
      </c>
      <c r="AC2" s="90">
        <f>IFERROR(VLOOKUP($A$2&amp;"aaaa",COPY!$S$2:$AA$1000,6,FALSE)," ")</f>
        <v>1</v>
      </c>
      <c r="AD2" s="90" t="str">
        <f>IFERROR(VLOOKUP($A$2&amp;"aaaaa",COPY!$S$2:$AA$1000,6,FALSE)," ")</f>
        <v xml:space="preserve"> </v>
      </c>
      <c r="AE2" s="90" t="str">
        <f>IFERROR(VLOOKUP($A$2&amp;"aaaaaa",COPY!$S$2:$AA$1000,6,FALSE)," ")</f>
        <v xml:space="preserve"> </v>
      </c>
      <c r="AF2" s="90" t="str">
        <f>IFERROR(VLOOKUP($A$2&amp;"aaaaaaa",COPY!$S$2:$AA$1000,6,FALSE)," ")</f>
        <v xml:space="preserve"> </v>
      </c>
      <c r="AG2" s="90" t="str">
        <f>IFERROR(VLOOKUP($A$2&amp;"aaaaaaaa",COPY!$S$2:$AA$1000,6,FALSE)," ")</f>
        <v xml:space="preserve"> </v>
      </c>
      <c r="AH2" s="90" t="str">
        <f>IFERROR(VLOOKUP($A$2&amp;"aaaaaaaaa",COPY!$S$2:$AA$1000,6,FALSE)," ")</f>
        <v xml:space="preserve"> </v>
      </c>
      <c r="AI2" s="90" t="str">
        <f>IFERROR(VLOOKUP($A$2&amp;"aaaaaaaaaa",COPY!$S$2:$AA$1000,6,FALSE)," ")</f>
        <v xml:space="preserve"> </v>
      </c>
      <c r="AJ2" s="90" t="str">
        <f>IFERROR(VLOOKUP($A$2&amp;"aaaaaaaaaaa",COPY!$S$2:$AA$1000,6,FALSE)," ")</f>
        <v xml:space="preserve"> </v>
      </c>
      <c r="AK2" s="90" t="str">
        <f>IF(LEFT(B2,2)="mg",VLOOKUP(A2,COPY!$S$2:$AA$1000,7,FALSE),IF(LEFT(B2,1)="G"," ",IF(LEFT(B2,2)="ma"," "," ")))</f>
        <v xml:space="preserve"> </v>
      </c>
      <c r="AL2" s="90" t="str">
        <f>IFERROR(VLOOKUP(A2&amp;"a",COPY!$S$2:$AA$1000,7,FALSE)," ")</f>
        <v>Lbr</v>
      </c>
      <c r="AM2" s="90" t="str">
        <f>IFERROR(VLOOKUP(A2&amp;"aa",COPY!$S$2:$AA$1000,7,FALSE)," ")</f>
        <v>Lbr</v>
      </c>
      <c r="AN2" s="90" t="str">
        <f>IFERROR(VLOOKUP(A2&amp;"aaa",COPY!$S$2:$AA$1000,7,FALSE)," ")</f>
        <v>Bks</v>
      </c>
      <c r="AO2" s="90" t="str">
        <f>IFERROR(VLOOKUP(A2&amp;"aaaa",COPY!$S$2:$AA$1000,7,FALSE)," ")</f>
        <v>Ls</v>
      </c>
      <c r="AP2" s="90" t="str">
        <f>IFERROR(VLOOKUP(A2&amp;"aaaaa",COPY!$S$2:$AA$1000,7,FALSE)," ")</f>
        <v xml:space="preserve"> </v>
      </c>
      <c r="AQ2" s="90" t="str">
        <f>IFERROR(VLOOKUP(A2&amp;"aaaaaa",COPY!$S$2:$AA$1000,7,FALSE)," ")</f>
        <v xml:space="preserve"> </v>
      </c>
      <c r="AR2" s="90" t="str">
        <f>IFERROR(VLOOKUP(A2&amp;"aaaaaaa",COPY!$S$2:$AA$1000,7,FALSE)," ")</f>
        <v xml:space="preserve"> </v>
      </c>
      <c r="AS2" s="90" t="str">
        <f>IFERROR(VLOOKUP(A2&amp;"aaaaaaaa",COPY!$S$2:$AA$1000,7,FALSE)," ")</f>
        <v xml:space="preserve"> </v>
      </c>
      <c r="AT2" s="90" t="str">
        <f>IFERROR(VLOOKUP(A2&amp;"aaaaaaaaa",COPY!$S$2:$AA$1000,7,FALSE)," ")</f>
        <v xml:space="preserve"> </v>
      </c>
      <c r="AU2" s="90" t="str">
        <f>IFERROR(VLOOKUP(A2&amp;"aaaaaaaaaa",COPY!$S$2:$AA$1000,7,FALSE)," ")</f>
        <v xml:space="preserve"> </v>
      </c>
      <c r="AV2" s="90" t="str">
        <f>IFERROR(VLOOKUP(A2&amp;"aaaaaaaaaaa",COPY!$S$2:$AA$1000,7,FALSE)," ")</f>
        <v xml:space="preserve"> </v>
      </c>
    </row>
    <row r="3" spans="1:48" x14ac:dyDescent="0.2">
      <c r="A3" s="75" t="str">
        <f>'REKAP PAJAK'!W40</f>
        <v>BKK.2</v>
      </c>
      <c r="B3" s="75" t="str">
        <f>IF(LEN(A3)&gt;1,VLOOKUP(A3,COPY!$O$2:$R$1000,4,FALSE),"")</f>
        <v>Mgg1</v>
      </c>
      <c r="C3" s="75" t="str">
        <f>IF(LEFT(B3,1)="m",C2,IF(LEFT(B3,1)="G",C2," "))</f>
        <v>MELIA FITRIANI, S.Pd.SD</v>
      </c>
      <c r="D3" s="75" t="str">
        <f>IF(LEFT(B3,1)="m",D2,IF(LEFT(B3,1)="G",D2," "))</f>
        <v>NIP. 19850619 200904 2 000</v>
      </c>
      <c r="E3" s="75" t="str">
        <f>IF(LEFT(B3,1)="m",E2,IF(LEFT(B3,1)="G",E2," "))</f>
        <v>ARIF NUR UDIN, S.Pd.SD</v>
      </c>
      <c r="F3" s="75" t="str">
        <f>IF(LEFT(B3,1)="m",F2,IF(LEFT(B3,1)="G",F2," "))</f>
        <v>NIP. 19840719 200903 1 002</v>
      </c>
      <c r="G3" s="75" t="str">
        <f>IFERROR(TEXT(VLOOKUP(A3,COPY!$S$2:$W$1000,3,FALSE),"dd mmmm yyyy")," ")</f>
        <v>02 September 2025</v>
      </c>
      <c r="H3" s="75" t="str">
        <f>IF(LEFT(B3,1)="m",H2,IF(LEFT(B3,1)="G",H2," "))</f>
        <v>SDN 1 SIDODADI</v>
      </c>
      <c r="I3" s="75" t="str">
        <f>IF(LEFT(B3,1)="m",I2,IF(LEFT(B3,1)="G",I2," "))</f>
        <v>NGANTANG</v>
      </c>
      <c r="J3" s="90">
        <f>IFERROR(VLOOKUP(A3,COPY!$S$2:$W$1000,4,FALSE)," ")</f>
        <v>1686000</v>
      </c>
      <c r="K3" s="75" t="str">
        <f>IFERROR(VLOOKUP(A3,COPY!$S$2:$W$1000,5,FALSE)," ")</f>
        <v>Satu Juta Enam Ratus Delapan Puluh Enam Ribu Rupiah</v>
      </c>
      <c r="L3" s="75" t="str">
        <f>IF(B3="","",IF(LEFT(B3,2)="Ma",(VLOOKUP(B3,'Rekap Gaji'!$C$12:$D$26,2,FALSE))&amp;" Untuk "&amp;(PROPER('Rekap Gaji'!$B$2)),IF(LEFT(B3,2)="Mg","Pembelian Material Bahan Bangunan",IF(LEFT(B3,2)="Me","Biaya Pembelanjaan Menejemen",IF(LEFT(B3,1)="G",VLOOKUP(A3,COPY!$S$2:$AA$1000,2,FALSE)&amp;"( "&amp;TEXT(VLOOKUP(B3,'Rekap Gaji'!$A$12:$I$26,5,FALSE),"dd-mm-yyyy")&amp;" "&amp;TEXT(VLOOKUP(B3,'Rekap Gaji'!$A$12:$I$26,6,FALSE)&amp;" "&amp;TEXT(VLOOKUP(B3,'Rekap Gaji'!$A$12:$I$26,7,FALSE),"dd-mm-yyyy")&amp;" )"," "))))))</f>
        <v>Pembelian Material Bahan Bangunan</v>
      </c>
      <c r="M3" s="75" t="str">
        <f>IF(OR(LEFT(B3,2)="mg",LEFT(B3,2)="mE"),VLOOKUP(A3,COPY!$S$2:$AA$1000,2,FALSE),IF(LEFT(B3,1)="G"," ",IF(LEFT(B3,2)="ma"," "," ")))</f>
        <v>Gancu   Doran</v>
      </c>
      <c r="N3" s="75" t="str">
        <f>IFERROR(VLOOKUP($A$3&amp;"a",COPY!$S$2:$AA$1000,2,FALSE)," ")</f>
        <v>Garuk Besar</v>
      </c>
      <c r="O3" s="75" t="str">
        <f>IFERROR(VLOOKUP($A$3&amp;"aa",COPY!$S$2:$AA$1000,2,FALSE)," ")</f>
        <v>Meteran Biasa 7.5 M</v>
      </c>
      <c r="P3" s="75" t="str">
        <f>IFERROR(VLOOKUP($A$3&amp;"aaa",COPY!$S$2:$AA$1000,2,FALSE)," ")</f>
        <v>Skrop Pasir Full Besi Crocodile</v>
      </c>
      <c r="Q3" s="75" t="str">
        <f>IFERROR(VLOOKUP($A$3&amp;"aaaa",COPY!$S$2:$AA$1000,2,FALSE)," ")</f>
        <v>Benang Tampar Kuning</v>
      </c>
      <c r="R3" s="75" t="str">
        <f>IFERROR(VLOOKUP($A$3&amp;"aaaaa",COPY!$S$2:$AA$1000,2,FALSE)," ")</f>
        <v>Paku 1 1/2</v>
      </c>
      <c r="S3" s="75" t="str">
        <f>IFERROR(VLOOKUP($A$3&amp;"aaaaaa",COPY!$S$2:$AA$1000,2,FALSE)," ")</f>
        <v>Paku 2</v>
      </c>
      <c r="T3" s="75" t="str">
        <f>IFERROR(VLOOKUP($A$3&amp;"aaaaaaa",COPY!$S$2:$AA$1000,2,FALSE)," ")</f>
        <v>Kayu Usuk 4 X 6 - 4M</v>
      </c>
      <c r="U3" s="75" t="str">
        <f>IFERROR(VLOOKUP($A$3&amp;"aaaaaaaa",COPY!$S$2:$AA$1000,2,FALSE)," ")</f>
        <v>Kayu Usuk 4X6 Kembang Super</v>
      </c>
      <c r="V3" s="75" t="str">
        <f>IFERROR(VLOOKUP($A$3&amp;"aaaaaaaaa",COPY!$S$2:$AA$1000,2,FALSE)," ")</f>
        <v xml:space="preserve"> </v>
      </c>
      <c r="W3" s="75" t="str">
        <f>IFERROR(VLOOKUP($A$3&amp;"aaaaaaaaaa",COPY!$S$2:$AA$1000,2,FALSE)," ")</f>
        <v xml:space="preserve"> </v>
      </c>
      <c r="X3" s="75" t="str">
        <f>IFERROR(VLOOKUP($A$3&amp;"aaaaaaaaaaa",COPY!$S$2:$AA$1000,2,FALSE)," ")</f>
        <v xml:space="preserve"> </v>
      </c>
      <c r="Y3" s="90">
        <f>IF(OR(LEFT(B3,2)="mg",LEFT(B3,2)="mE"),VLOOKUP(A3,COPY!$S$2:$AA$1000,6,FALSE),IF(LEFT(B3,1)="G"," ",IF(LEFT(B3,2)="ma"," "," ")))</f>
        <v>2</v>
      </c>
      <c r="Z3" s="90">
        <f>IFERROR(VLOOKUP(A3&amp;"a",COPY!$S$2:$AA$1000,6,FALSE)," ")</f>
        <v>1</v>
      </c>
      <c r="AA3" s="90">
        <f>IFERROR(VLOOKUP(A3&amp;"aa",COPY!$S$2:$AA$1000,6,FALSE)," ")</f>
        <v>1</v>
      </c>
      <c r="AB3" s="90">
        <f>IFERROR(VLOOKUP(A3&amp;"aaa",COPY!$S$2:$AA$1000,6,FALSE)," ")</f>
        <v>2</v>
      </c>
      <c r="AC3" s="90">
        <f>IFERROR(VLOOKUP(A3&amp;"aaaa",COPY!$S$2:$AA$1000,6,FALSE)," ")</f>
        <v>3</v>
      </c>
      <c r="AD3" s="90">
        <f>IFERROR(VLOOKUP(A3&amp;"aaaaa",COPY!$S$2:$AA$1000,6,FALSE)," ")</f>
        <v>1</v>
      </c>
      <c r="AE3" s="90">
        <f>IFERROR(VLOOKUP(A3&amp;"aaaaaa",COPY!$S$2:$AA$1000,6,FALSE)," ")</f>
        <v>2</v>
      </c>
      <c r="AF3" s="90">
        <f>IFERROR(VLOOKUP(A3&amp;"aaaaaaa",COPY!$S$2:$AA$1000,6,FALSE)," ")</f>
        <v>2</v>
      </c>
      <c r="AG3" s="90">
        <f>IFERROR(VLOOKUP(A3&amp;"aaaaaaaa",COPY!$S$2:$AA$1000,6,FALSE)," ")</f>
        <v>2</v>
      </c>
      <c r="AH3" s="90" t="str">
        <f>IFERROR(VLOOKUP(A3&amp;"aaaaaaaaa",COPY!$S$2:$AA$1000,6,FALSE)," ")</f>
        <v xml:space="preserve"> </v>
      </c>
      <c r="AI3" s="90" t="str">
        <f>IFERROR(VLOOKUP(A3&amp;"aaaaaaaaaa",COPY!$S$2:$AA$1000,6,FALSE)," ")</f>
        <v xml:space="preserve"> </v>
      </c>
      <c r="AJ3" s="90" t="str">
        <f>IFERROR(VLOOKUP(A3&amp;"aaaaaaaaaaa",COPY!$S$2:$AA$1000,6,FALSE)," ")</f>
        <v xml:space="preserve"> </v>
      </c>
      <c r="AK3" s="90" t="str">
        <f>IF(LEFT(B3,2)="mg",VLOOKUP(A3,COPY!$S$2:$AA$1000,7,FALSE),IF(LEFT(B3,1)="G"," ",IF(LEFT(B3,2)="ma"," "," ")))</f>
        <v>Pcs</v>
      </c>
      <c r="AL3" s="90" t="str">
        <f>IFERROR(VLOOKUP(A3&amp;"a",COPY!$S$2:$AA$1000,7,FALSE)," ")</f>
        <v>Pcs</v>
      </c>
      <c r="AM3" s="90" t="str">
        <f>IFERROR(VLOOKUP(A3&amp;"aa",COPY!$S$2:$AA$1000,7,FALSE)," ")</f>
        <v>Pcs</v>
      </c>
      <c r="AN3" s="90" t="str">
        <f>IFERROR(VLOOKUP(A3&amp;"aaa",COPY!$S$2:$AA$1000,7,FALSE)," ")</f>
        <v>Pcs</v>
      </c>
      <c r="AO3" s="90" t="str">
        <f>IFERROR(VLOOKUP(A3&amp;"aaaa",COPY!$S$2:$AA$1000,7,FALSE)," ")</f>
        <v>Pcs</v>
      </c>
      <c r="AP3" s="90" t="str">
        <f>IFERROR(VLOOKUP(A3&amp;"aaaaa",COPY!$S$2:$AA$1000,7,FALSE)," ")</f>
        <v>kg</v>
      </c>
      <c r="AQ3" s="90" t="str">
        <f>IFERROR(VLOOKUP(A3&amp;"aaaaaa",COPY!$S$2:$AA$1000,7,FALSE)," ")</f>
        <v>kg</v>
      </c>
      <c r="AR3" s="90" t="str">
        <f>IFERROR(VLOOKUP(A3&amp;"aaaaaaa",COPY!$S$2:$AA$1000,7,FALSE)," ")</f>
        <v>pak</v>
      </c>
      <c r="AS3" s="90" t="str">
        <f>IFERROR(VLOOKUP(A3&amp;"aaaaaaaa",COPY!$S$2:$AA$1000,7,FALSE)," ")</f>
        <v>pak</v>
      </c>
      <c r="AT3" s="90" t="str">
        <f>IFERROR(VLOOKUP(A3&amp;"aaaaaaaaa",COPY!$S$2:$AA$1000,7,FALSE)," ")</f>
        <v xml:space="preserve"> </v>
      </c>
      <c r="AU3" s="90" t="str">
        <f>IFERROR(VLOOKUP(A3&amp;"aaaaaaaaaa",COPY!$S$2:$AA$1000,7,FALSE)," ")</f>
        <v xml:space="preserve"> </v>
      </c>
      <c r="AV3" s="90" t="str">
        <f>IFERROR(VLOOKUP(A3&amp;"aaaaaaaaaaa",COPY!$S$2:$AA$1000,7,FALSE)," ")</f>
        <v xml:space="preserve"> </v>
      </c>
    </row>
    <row r="4" spans="1:48" x14ac:dyDescent="0.2">
      <c r="A4" s="75" t="str">
        <f>'REKAP PAJAK'!W41</f>
        <v>BKK.3</v>
      </c>
      <c r="B4" s="75" t="str">
        <f>IF(LEN(A4)&gt;1,VLOOKUP(A4,COPY!$O$2:$R$1000,4,FALSE),"")</f>
        <v>Men1</v>
      </c>
      <c r="C4" s="75" t="str">
        <f t="shared" ref="C4:C67" si="0">IF(LEFT(B4,1)="m",C3,IF(LEFT(B4,1)="G",C3," "))</f>
        <v>MELIA FITRIANI, S.Pd.SD</v>
      </c>
      <c r="D4" s="75" t="str">
        <f t="shared" ref="D4:D67" si="1">IF(LEFT(B4,1)="m",D3,IF(LEFT(B4,1)="G",D3," "))</f>
        <v>NIP. 19850619 200904 2 000</v>
      </c>
      <c r="E4" s="75" t="str">
        <f t="shared" ref="E4:E67" si="2">IF(LEFT(B4,1)="m",E3,IF(LEFT(B4,1)="G",E3," "))</f>
        <v>ARIF NUR UDIN, S.Pd.SD</v>
      </c>
      <c r="F4" s="75" t="str">
        <f t="shared" ref="F4:F67" si="3">IF(LEFT(B4,1)="m",F3,IF(LEFT(B4,1)="G",F3," "))</f>
        <v>NIP. 19840719 200903 1 002</v>
      </c>
      <c r="G4" s="75" t="str">
        <f>IFERROR(TEXT(VLOOKUP(A4,COPY!$S$2:$W$1000,3,FALSE),"dd mmmm yyyy")," ")</f>
        <v>02 September 2025</v>
      </c>
      <c r="H4" s="75" t="str">
        <f t="shared" ref="H4:H67" si="4">IF(LEFT(B4,1)="m",H3,IF(LEFT(B4,1)="G",H3," "))</f>
        <v>SDN 1 SIDODADI</v>
      </c>
      <c r="I4" s="75" t="str">
        <f t="shared" ref="I4:I67" si="5">IF(LEFT(B4,1)="m",I3,IF(LEFT(B4,1)="G",I3," "))</f>
        <v>NGANTANG</v>
      </c>
      <c r="J4" s="90">
        <f>IFERROR(VLOOKUP(A4,COPY!$S$2:$W$1000,4,FALSE)," ")</f>
        <v>401000</v>
      </c>
      <c r="K4" s="75" t="str">
        <f>IFERROR(VLOOKUP(A4,COPY!$S$2:$W$1000,5,FALSE)," ")</f>
        <v>Empat Ratus Satu Ribu Rupiah</v>
      </c>
      <c r="L4" s="75" t="str">
        <f>IF(B4="","",IF(LEFT(B4,2)="Ma",(VLOOKUP(B4,'Rekap Gaji'!$C$12:$D$26,2,FALSE))&amp;" Untuk "&amp;(PROPER('Rekap Gaji'!$B$2)),IF(LEFT(B4,2)="Mg","Pembelian Material Bahan Bangunan",IF(LEFT(B4,2)="Me","Biaya Pembelanjaan Menejemen",IF(LEFT(B4,1)="G",VLOOKUP(A4,COPY!$S$2:$AA$1000,2,FALSE)&amp;"( "&amp;TEXT(VLOOKUP(B4,'Rekap Gaji'!$A$12:$I$26,5,FALSE),"dd-mm-yyyy")&amp;" "&amp;TEXT(VLOOKUP(B4,'Rekap Gaji'!$A$12:$I$26,6,FALSE)&amp;" "&amp;TEXT(VLOOKUP(B4,'Rekap Gaji'!$A$12:$I$26,7,FALSE),"dd-mm-yyyy")&amp;" )"," "))))))</f>
        <v>Biaya Pembelanjaan Menejemen</v>
      </c>
      <c r="M4" s="75" t="str">
        <f>IF(OR(LEFT(B4,2)="mg",LEFT(B4,2)="mE"),VLOOKUP(A4,COPY!$S$2:$AA$1000,2,FALSE),IF(LEFT(B4,1)="G"," ",IF(LEFT(B4,2)="ma"," "," ")))</f>
        <v>Kertas Sidu A4 70 grm</v>
      </c>
      <c r="N4" s="75" t="str">
        <f>IFERROR(VLOOKUP($A$4&amp;"a",COPY!$S$2:$AA$1000,2,FALSE)," ")</f>
        <v>Kertas Sidu F4 70 grm</v>
      </c>
      <c r="O4" s="75" t="str">
        <f>IFERROR(VLOOKUP($A$4&amp;"aa",COPY!$S$2:$AA$1000,2,FALSE)," ")</f>
        <v>Tinta Printer</v>
      </c>
      <c r="P4" s="75" t="str">
        <f>IFERROR(VLOOKUP($A$4&amp;"aaa",COPY!$S$2:$AA$1000,2,FALSE)," ")</f>
        <v>Isolasi Bening</v>
      </c>
      <c r="Q4" s="75" t="str">
        <f>IFERROR(VLOOKUP($A$4&amp;"aaaa",COPY!$S$2:$AA$1000,2,FALSE)," ")</f>
        <v>Lakban Tanggung</v>
      </c>
      <c r="R4" s="75" t="str">
        <f>IFERROR(VLOOKUP($A$4&amp;"aaaaa",COPY!$S$2:$AA$1000,2,FALSE)," ")</f>
        <v>Tinta stempel</v>
      </c>
      <c r="S4" s="75" t="str">
        <f>IFERROR(VLOOKUP($A$4&amp;"aaaaaa",COPY!$S$2:$AA$1000,2,FALSE)," ")</f>
        <v>Double tipe</v>
      </c>
      <c r="T4" s="75" t="str">
        <f>IFERROR(VLOOKUP($A$4&amp;"aaaaaaa",COPY!$S$2:$AA$1000,2,FALSE)," ")</f>
        <v>Spidol Besar</v>
      </c>
      <c r="U4" s="75" t="str">
        <f>IFERROR(VLOOKUP($A$4&amp;"aaaaaaaa",COPY!$S$2:$AA$1000,2,FALSE)," ")</f>
        <v xml:space="preserve"> </v>
      </c>
      <c r="V4" s="75" t="str">
        <f>IFERROR(VLOOKUP($A$4&amp;"aaaaaaaaa",COPY!$S$2:$AA$1000,2,FALSE)," ")</f>
        <v xml:space="preserve"> </v>
      </c>
      <c r="W4" s="75" t="str">
        <f>IFERROR(VLOOKUP($A$4&amp;"aaaaaaaaaa",COPY!$S$2:$AA$1000,2,FALSE)," ")</f>
        <v xml:space="preserve"> </v>
      </c>
      <c r="X4" s="75" t="str">
        <f>IFERROR(VLOOKUP($A$4&amp;"aaaaaaaaaaa",COPY!$S$2:$AA$1000,2,FALSE)," ")</f>
        <v xml:space="preserve"> </v>
      </c>
      <c r="Y4" s="90">
        <f>IF(OR(LEFT(B4,2)="mg",LEFT(B4,2)="mE"),VLOOKUP(A4,COPY!$S$2:$AA$1000,6,FALSE),IF(LEFT(B4,1)="G"," ",IF(LEFT(B4,2)="ma"," "," ")))</f>
        <v>1</v>
      </c>
      <c r="Z4" s="90">
        <f>IFERROR(VLOOKUP(A4&amp;"a",COPY!$S$2:$AA$1000,6,FALSE)," ")</f>
        <v>1</v>
      </c>
      <c r="AA4" s="90">
        <f>IFERROR(VLOOKUP(A4&amp;"aa",COPY!$S$2:$AA$1000,6,FALSE)," ")</f>
        <v>2</v>
      </c>
      <c r="AB4" s="90">
        <f>IFERROR(VLOOKUP(A4&amp;"aaa",COPY!$S$2:$AA$1000,6,FALSE)," ")</f>
        <v>2</v>
      </c>
      <c r="AC4" s="90">
        <f>IFERROR(VLOOKUP(A4&amp;"aaaa",COPY!$S$2:$AA$1000,6,FALSE)," ")</f>
        <v>2</v>
      </c>
      <c r="AD4" s="90">
        <f>IFERROR(VLOOKUP(A4&amp;"aaaaa",COPY!$S$2:$AA$1000,6,FALSE)," ")</f>
        <v>2</v>
      </c>
      <c r="AE4" s="90">
        <f>IFERROR(VLOOKUP(A4&amp;"aaaaaa",COPY!$S$2:$AA$1000,6,FALSE)," ")</f>
        <v>2</v>
      </c>
      <c r="AF4" s="90">
        <f>IFERROR(VLOOKUP(A4&amp;"aaaaaaa",COPY!$S$2:$AA$1000,6,FALSE)," ")</f>
        <v>1</v>
      </c>
      <c r="AG4" s="90" t="str">
        <f>IFERROR(VLOOKUP(A4&amp;"aaaaaaaa",COPY!$S$2:$AA$1000,6,FALSE)," ")</f>
        <v xml:space="preserve"> </v>
      </c>
      <c r="AH4" s="90" t="str">
        <f>IFERROR(VLOOKUP(A4&amp;"aaaaaaaaa",COPY!$S$2:$AA$1000,6,FALSE)," ")</f>
        <v xml:space="preserve"> </v>
      </c>
      <c r="AI4" s="90" t="str">
        <f>IFERROR(VLOOKUP(A4&amp;"aaaaaaaaaa",COPY!$S$2:$AA$1000,6,FALSE)," ")</f>
        <v xml:space="preserve"> </v>
      </c>
      <c r="AJ4" s="90" t="str">
        <f>IFERROR(VLOOKUP(A4&amp;"aaaaaaaaaaa",COPY!$S$2:$AA$1000,6,FALSE)," ")</f>
        <v xml:space="preserve"> </v>
      </c>
      <c r="AK4" s="90" t="str">
        <f>IF(LEFT(B4,2)="mg",VLOOKUP(A4,COPY!$S$2:$AA$1000,7,FALSE),IF(LEFT(B4,1)="G"," ",IF(LEFT(B4,2)="ma"," "," ")))</f>
        <v xml:space="preserve"> </v>
      </c>
      <c r="AL4" s="90" t="str">
        <f>IFERROR(VLOOKUP(A4&amp;"a",COPY!$S$2:$AA$1000,7,FALSE)," ")</f>
        <v>Rim</v>
      </c>
      <c r="AM4" s="90" t="str">
        <f>IFERROR(VLOOKUP(A4&amp;"aa",COPY!$S$2:$AA$1000,7,FALSE)," ")</f>
        <v>Pcs</v>
      </c>
      <c r="AN4" s="90" t="str">
        <f>IFERROR(VLOOKUP(A4&amp;"aaa",COPY!$S$2:$AA$1000,7,FALSE)," ")</f>
        <v>Pcs</v>
      </c>
      <c r="AO4" s="90" t="str">
        <f>IFERROR(VLOOKUP(A4&amp;"aaaa",COPY!$S$2:$AA$1000,7,FALSE)," ")</f>
        <v>Pcs</v>
      </c>
      <c r="AP4" s="90" t="str">
        <f>IFERROR(VLOOKUP(A4&amp;"aaaaa",COPY!$S$2:$AA$1000,7,FALSE)," ")</f>
        <v>Pcs</v>
      </c>
      <c r="AQ4" s="90" t="str">
        <f>IFERROR(VLOOKUP(A4&amp;"aaaaaa",COPY!$S$2:$AA$1000,7,FALSE)," ")</f>
        <v>Pcs</v>
      </c>
      <c r="AR4" s="90" t="str">
        <f>IFERROR(VLOOKUP(A4&amp;"aaaaaaa",COPY!$S$2:$AA$1000,7,FALSE)," ")</f>
        <v>Pcs</v>
      </c>
      <c r="AS4" s="90" t="str">
        <f>IFERROR(VLOOKUP(A4&amp;"aaaaaaaa",COPY!$S$2:$AA$1000,7,FALSE)," ")</f>
        <v xml:space="preserve"> </v>
      </c>
      <c r="AT4" s="90" t="str">
        <f>IFERROR(VLOOKUP(A4&amp;"aaaaaaaaa",COPY!$S$2:$AA$1000,7,FALSE)," ")</f>
        <v xml:space="preserve"> </v>
      </c>
      <c r="AU4" s="90" t="str">
        <f>IFERROR(VLOOKUP(A4&amp;"aaaaaaaaaa",COPY!$S$2:$AA$1000,7,FALSE)," ")</f>
        <v xml:space="preserve"> </v>
      </c>
      <c r="AV4" s="90" t="str">
        <f>IFERROR(VLOOKUP(A4&amp;"aaaaaaaaaaa",COPY!$S$2:$AA$1000,7,FALSE)," ")</f>
        <v xml:space="preserve"> </v>
      </c>
    </row>
    <row r="5" spans="1:48" x14ac:dyDescent="0.2">
      <c r="A5" s="75" t="str">
        <f>'REKAP PAJAK'!W42</f>
        <v>BKK.4</v>
      </c>
      <c r="B5" s="75" t="str">
        <f>IF(LEN(A5)&gt;1,VLOOKUP(A5,COPY!$O$2:$R$1000,4,FALSE),"")</f>
        <v>Mgg1</v>
      </c>
      <c r="C5" s="75" t="str">
        <f t="shared" si="0"/>
        <v>MELIA FITRIANI, S.Pd.SD</v>
      </c>
      <c r="D5" s="75" t="str">
        <f t="shared" si="1"/>
        <v>NIP. 19850619 200904 2 000</v>
      </c>
      <c r="E5" s="75" t="str">
        <f t="shared" si="2"/>
        <v>ARIF NUR UDIN, S.Pd.SD</v>
      </c>
      <c r="F5" s="75" t="str">
        <f t="shared" si="3"/>
        <v>NIP. 19840719 200903 1 002</v>
      </c>
      <c r="G5" s="75" t="str">
        <f>IFERROR(TEXT(VLOOKUP(A5,COPY!$S$2:$W$1000,3,FALSE),"dd mmmm yyyy")," ")</f>
        <v>03 September 2025</v>
      </c>
      <c r="H5" s="75" t="str">
        <f t="shared" si="4"/>
        <v>SDN 1 SIDODADI</v>
      </c>
      <c r="I5" s="75" t="str">
        <f t="shared" si="5"/>
        <v>NGANTANG</v>
      </c>
      <c r="J5" s="90">
        <f>IFERROR(VLOOKUP(A5,COPY!$S$2:$W$1000,4,FALSE)," ")</f>
        <v>1307000</v>
      </c>
      <c r="K5" s="75" t="str">
        <f>IFERROR(VLOOKUP(A5,COPY!$S$2:$W$1000,5,FALSE)," ")</f>
        <v>Satu Juta Tiga Ratus Tujuh Ribu Rupiah</v>
      </c>
      <c r="L5" s="75" t="str">
        <f>IF(B5="","",IF(LEFT(B5,2)="Ma",(VLOOKUP(B5,'Rekap Gaji'!$C$12:$D$26,2,FALSE))&amp;" Untuk "&amp;(PROPER('Rekap Gaji'!$B$2)),IF(LEFT(B5,2)="Mg","Pembelian Material Bahan Bangunan",IF(LEFT(B5,2)="Me","Biaya Pembelanjaan Menejemen",IF(LEFT(B5,1)="G",VLOOKUP(A5,COPY!$S$2:$AA$1000,2,FALSE)&amp;"( "&amp;TEXT(VLOOKUP(B5,'Rekap Gaji'!$A$12:$I$26,5,FALSE),"dd-mm-yyyy")&amp;" "&amp;TEXT(VLOOKUP(B5,'Rekap Gaji'!$A$12:$I$26,6,FALSE)&amp;" "&amp;TEXT(VLOOKUP(B5,'Rekap Gaji'!$A$12:$I$26,7,FALSE),"dd-mm-yyyy")&amp;" )"," "))))))</f>
        <v>Pembelian Material Bahan Bangunan</v>
      </c>
      <c r="M5" s="75" t="str">
        <f>IF(OR(LEFT(B5,2)="mg",LEFT(B5,2)="mE"),VLOOKUP(A5,COPY!$S$2:$AA$1000,2,FALSE),IF(LEFT(B5,1)="G"," ",IF(LEFT(B5,2)="ma"," "," ")))</f>
        <v>Linggis Ulir 19</v>
      </c>
      <c r="N5" s="75" t="str">
        <f>IFERROR(VLOOKUP($A$5&amp;"a",COPY!$S$2:$AA$1000,2,FALSE)," ")</f>
        <v>Pleser 6-8</v>
      </c>
      <c r="O5" s="75" t="str">
        <f>IFERROR(VLOOKUP($A$5&amp;"aa",COPY!$S$2:$AA$1000,2,FALSE)," ")</f>
        <v>Pleser 8-10</v>
      </c>
      <c r="P5" s="75" t="str">
        <f>IFERROR(VLOOKUP($A$5&amp;"aaa",COPY!$S$2:$AA$1000,2,FALSE)," ")</f>
        <v>Kaleng Adiva</v>
      </c>
      <c r="Q5" s="75" t="str">
        <f>IFERROR(VLOOKUP($A$5&amp;"aaaa",COPY!$S$2:$AA$1000,2,FALSE)," ")</f>
        <v>Terpal A5 6X8</v>
      </c>
      <c r="R5" s="75" t="str">
        <f>IFERROR(VLOOKUP($A$5&amp;"aaaaa",COPY!$S$2:$AA$1000,2,FALSE)," ")</f>
        <v>Kayu Usuk 3 X 5</v>
      </c>
      <c r="S5" s="75" t="str">
        <f>IFERROR(VLOOKUP($A$5&amp;"aaaaaa",COPY!$S$2:$AA$1000,2,FALSE)," ")</f>
        <v>Papan Sengon</v>
      </c>
      <c r="T5" s="75" t="str">
        <f>IFERROR(VLOOKUP($A$5&amp;"aaaaaaa",COPY!$S$2:$AA$1000,2,FALSE)," ")</f>
        <v>Pasir Biasa L300</v>
      </c>
      <c r="U5" s="75" t="str">
        <f>IFERROR(VLOOKUP($A$5&amp;"aaaaaaaa",COPY!$S$2:$AA$1000,2,FALSE)," ")</f>
        <v xml:space="preserve"> </v>
      </c>
      <c r="V5" s="75" t="str">
        <f>IFERROR(VLOOKUP($A$5&amp;"aaaaaaaaa",COPY!$S$2:$AA$1000,2,FALSE)," ")</f>
        <v xml:space="preserve"> </v>
      </c>
      <c r="W5" s="75" t="str">
        <f>IFERROR(VLOOKUP($A$5&amp;"aaaaaaaaaa",COPY!$S$2:$AA$1000,2,FALSE)," ")</f>
        <v xml:space="preserve"> </v>
      </c>
      <c r="X5" s="75" t="str">
        <f>IFERROR(VLOOKUP($A$5&amp;"aaaaaaaaaaa",COPY!$S$2:$AA$1000,2,FALSE)," ")</f>
        <v xml:space="preserve"> </v>
      </c>
      <c r="Y5" s="90">
        <f>IF(OR(LEFT(B5,2)="mg",LEFT(B5,2)="mE"),VLOOKUP(A5,COPY!$S$2:$AA$1000,6,FALSE),IF(LEFT(B5,1)="G"," ",IF(LEFT(B5,2)="ma"," "," ")))</f>
        <v>1</v>
      </c>
      <c r="Z5" s="90">
        <f>IFERROR(VLOOKUP(A5&amp;"a",COPY!$S$2:$AA$1000,6,FALSE)," ")</f>
        <v>1</v>
      </c>
      <c r="AA5" s="90">
        <f>IFERROR(VLOOKUP(A5&amp;"aa",COPY!$S$2:$AA$1000,6,FALSE)," ")</f>
        <v>1</v>
      </c>
      <c r="AB5" s="90">
        <f>IFERROR(VLOOKUP(A5&amp;"aaa",COPY!$S$2:$AA$1000,6,FALSE)," ")</f>
        <v>6</v>
      </c>
      <c r="AC5" s="90">
        <f>IFERROR(VLOOKUP(A5&amp;"aaaa",COPY!$S$2:$AA$1000,6,FALSE)," ")</f>
        <v>1</v>
      </c>
      <c r="AD5" s="90">
        <f>IFERROR(VLOOKUP(A5&amp;"aaaaa",COPY!$S$2:$AA$1000,6,FALSE)," ")</f>
        <v>5</v>
      </c>
      <c r="AE5" s="90">
        <f>IFERROR(VLOOKUP(A5&amp;"aaaaaa",COPY!$S$2:$AA$1000,6,FALSE)," ")</f>
        <v>20</v>
      </c>
      <c r="AF5" s="90">
        <f>IFERROR(VLOOKUP(A5&amp;"aaaaaaa",COPY!$S$2:$AA$1000,6,FALSE)," ")</f>
        <v>1</v>
      </c>
      <c r="AG5" s="90" t="str">
        <f>IFERROR(VLOOKUP(A5&amp;"aaaaaaaa",COPY!$S$2:$AA$1000,6,FALSE)," ")</f>
        <v xml:space="preserve"> </v>
      </c>
      <c r="AH5" s="90" t="str">
        <f>IFERROR(VLOOKUP(A5&amp;"aaaaaaaaa",COPY!$S$2:$AA$1000,6,FALSE)," ")</f>
        <v xml:space="preserve"> </v>
      </c>
      <c r="AI5" s="90" t="str">
        <f>IFERROR(VLOOKUP(A5&amp;"aaaaaaaaaa",COPY!$S$2:$AA$1000,6,FALSE)," ")</f>
        <v xml:space="preserve"> </v>
      </c>
      <c r="AJ5" s="90" t="str">
        <f>IFERROR(VLOOKUP(A5&amp;"aaaaaaaaaaa",COPY!$S$2:$AA$1000,6,FALSE)," ")</f>
        <v xml:space="preserve"> </v>
      </c>
      <c r="AK5" s="90" t="str">
        <f>IF(LEFT(B5,2)="mg",VLOOKUP(A5,COPY!$S$2:$AA$1000,7,FALSE),IF(LEFT(B5,1)="G"," ",IF(LEFT(B5,2)="ma"," "," ")))</f>
        <v>Pcs</v>
      </c>
      <c r="AL5" s="90" t="str">
        <f>IFERROR(VLOOKUP(A5&amp;"a",COPY!$S$2:$AA$1000,7,FALSE)," ")</f>
        <v>Pcs</v>
      </c>
      <c r="AM5" s="90" t="str">
        <f>IFERROR(VLOOKUP(A5&amp;"aa",COPY!$S$2:$AA$1000,7,FALSE)," ")</f>
        <v>Pcs</v>
      </c>
      <c r="AN5" s="90" t="str">
        <f>IFERROR(VLOOKUP(A5&amp;"aaa",COPY!$S$2:$AA$1000,7,FALSE)," ")</f>
        <v>Pcs</v>
      </c>
      <c r="AO5" s="90" t="str">
        <f>IFERROR(VLOOKUP(A5&amp;"aaaa",COPY!$S$2:$AA$1000,7,FALSE)," ")</f>
        <v>Pcs</v>
      </c>
      <c r="AP5" s="90" t="str">
        <f>IFERROR(VLOOKUP(A5&amp;"aaaaa",COPY!$S$2:$AA$1000,7,FALSE)," ")</f>
        <v>Ljr</v>
      </c>
      <c r="AQ5" s="90" t="str">
        <f>IFERROR(VLOOKUP(A5&amp;"aaaaaa",COPY!$S$2:$AA$1000,7,FALSE)," ")</f>
        <v>Ljr</v>
      </c>
      <c r="AR5" s="90" t="str">
        <f>IFERROR(VLOOKUP(A5&amp;"aaaaaaa",COPY!$S$2:$AA$1000,7,FALSE)," ")</f>
        <v>Pik Up</v>
      </c>
      <c r="AS5" s="90" t="str">
        <f>IFERROR(VLOOKUP(A5&amp;"aaaaaaaa",COPY!$S$2:$AA$1000,7,FALSE)," ")</f>
        <v xml:space="preserve"> </v>
      </c>
      <c r="AT5" s="90" t="str">
        <f>IFERROR(VLOOKUP(A5&amp;"aaaaaaaaa",COPY!$S$2:$AA$1000,7,FALSE)," ")</f>
        <v xml:space="preserve"> </v>
      </c>
      <c r="AU5" s="90" t="str">
        <f>IFERROR(VLOOKUP(A5&amp;"aaaaaaaaaa",COPY!$S$2:$AA$1000,7,FALSE)," ")</f>
        <v xml:space="preserve"> </v>
      </c>
      <c r="AV5" s="90" t="str">
        <f>IFERROR(VLOOKUP(A5&amp;"aaaaaaaaaaa",COPY!$S$2:$AA$1000,7,FALSE)," ")</f>
        <v xml:space="preserve"> </v>
      </c>
    </row>
    <row r="6" spans="1:48" x14ac:dyDescent="0.2">
      <c r="A6" s="75" t="str">
        <f>'REKAP PAJAK'!W43</f>
        <v>BKK.5</v>
      </c>
      <c r="B6" s="75" t="str">
        <f>IF(LEN(A6)&gt;1,VLOOKUP(A6,COPY!$O$2:$R$1000,4,FALSE),"")</f>
        <v>Men1</v>
      </c>
      <c r="C6" s="75" t="str">
        <f t="shared" si="0"/>
        <v>MELIA FITRIANI, S.Pd.SD</v>
      </c>
      <c r="D6" s="75" t="str">
        <f t="shared" si="1"/>
        <v>NIP. 19850619 200904 2 000</v>
      </c>
      <c r="E6" s="75" t="str">
        <f t="shared" si="2"/>
        <v>ARIF NUR UDIN, S.Pd.SD</v>
      </c>
      <c r="F6" s="75" t="str">
        <f t="shared" si="3"/>
        <v>NIP. 19840719 200903 1 002</v>
      </c>
      <c r="G6" s="75" t="str">
        <f>IFERROR(TEXT(VLOOKUP(A6,COPY!$S$2:$W$1000,3,FALSE),"dd mmmm yyyy")," ")</f>
        <v>03 September 2025</v>
      </c>
      <c r="H6" s="75" t="str">
        <f t="shared" si="4"/>
        <v>SDN 1 SIDODADI</v>
      </c>
      <c r="I6" s="75" t="str">
        <f t="shared" si="5"/>
        <v>NGANTANG</v>
      </c>
      <c r="J6" s="90">
        <f>IFERROR(VLOOKUP(A6,COPY!$S$2:$W$1000,4,FALSE)," ")</f>
        <v>300000</v>
      </c>
      <c r="K6" s="75" t="str">
        <f>IFERROR(VLOOKUP(A6,COPY!$S$2:$W$1000,5,FALSE)," ")</f>
        <v>Tiga Ratus Ribu Rupiah</v>
      </c>
      <c r="L6" s="75" t="str">
        <f>IF(B6="","",IF(LEFT(B6,2)="Ma",(VLOOKUP(B6,'Rekap Gaji'!$C$12:$D$26,2,FALSE))&amp;" Untuk "&amp;(PROPER('Rekap Gaji'!$B$2)),IF(LEFT(B6,2)="Mg","Pembelian Material Bahan Bangunan",IF(LEFT(B6,2)="Me","Biaya Pembelanjaan Menejemen",IF(LEFT(B6,1)="G",VLOOKUP(A6,COPY!$S$2:$AA$1000,2,FALSE)&amp;"( "&amp;TEXT(VLOOKUP(B6,'Rekap Gaji'!$A$12:$I$26,5,FALSE),"dd-mm-yyyy")&amp;" "&amp;TEXT(VLOOKUP(B6,'Rekap Gaji'!$A$12:$I$26,6,FALSE)&amp;" "&amp;TEXT(VLOOKUP(B6,'Rekap Gaji'!$A$12:$I$26,7,FALSE),"dd-mm-yyyy")&amp;" )"," "))))))</f>
        <v>Biaya Pembelanjaan Menejemen</v>
      </c>
      <c r="M6" s="75" t="str">
        <f>IF(OR(LEFT(B6,2)="mg",LEFT(B6,2)="mE"),VLOOKUP(A6,COPY!$S$2:$AA$1000,2,FALSE),IF(LEFT(B6,1)="G"," ",IF(LEFT(B6,2)="ma"," "," ")))</f>
        <v>Pembuatan Papan Pengumuman</v>
      </c>
      <c r="N6" s="75" t="str">
        <f>IFERROR(VLOOKUP($A$6&amp;"a",COPY!$S$2:$AA$1000,2,FALSE)," ")</f>
        <v xml:space="preserve"> </v>
      </c>
      <c r="O6" s="75" t="str">
        <f>IFERROR(VLOOKUP($A$6&amp;"aa",COPY!$S$2:$AA$1000,2,FALSE)," ")</f>
        <v xml:space="preserve"> </v>
      </c>
      <c r="P6" s="75" t="str">
        <f>IFERROR(VLOOKUP($A$6&amp;"aaa",COPY!$S$2:$AA$1000,2,FALSE)," ")</f>
        <v xml:space="preserve"> </v>
      </c>
      <c r="Q6" s="75" t="str">
        <f>IFERROR(VLOOKUP($A$6&amp;"aaaa",COPY!$S$2:$AA$1000,2,FALSE)," ")</f>
        <v xml:space="preserve"> </v>
      </c>
      <c r="R6" s="75" t="str">
        <f>IFERROR(VLOOKUP($A$6&amp;"aaaaa",COPY!$S$2:$AA$1000,2,FALSE)," ")</f>
        <v xml:space="preserve"> </v>
      </c>
      <c r="S6" s="75" t="str">
        <f>IFERROR(VLOOKUP($A$6&amp;"aaaaaa",COPY!$S$2:$AA$1000,2,FALSE)," ")</f>
        <v xml:space="preserve"> </v>
      </c>
      <c r="T6" s="75" t="str">
        <f>IFERROR(VLOOKUP($A$6&amp;"aaaaaaa",COPY!$S$2:$AA$1000,2,FALSE)," ")</f>
        <v xml:space="preserve"> </v>
      </c>
      <c r="U6" s="75" t="str">
        <f>IFERROR(VLOOKUP($A$6&amp;"aaaaaaaa",COPY!$S$2:$AA$1000,2,FALSE)," ")</f>
        <v xml:space="preserve"> </v>
      </c>
      <c r="V6" s="75" t="str">
        <f>IFERROR(VLOOKUP($A$6&amp;"aaaaaaaaa",COPY!$S$2:$AA$1000,2,FALSE)," ")</f>
        <v xml:space="preserve"> </v>
      </c>
      <c r="W6" s="75" t="str">
        <f>IFERROR(VLOOKUP($A$6&amp;"aaaaaaaaaa",COPY!$S$2:$AA$1000,2,FALSE)," ")</f>
        <v xml:space="preserve"> </v>
      </c>
      <c r="X6" s="75" t="str">
        <f>IFERROR(VLOOKUP($A$6&amp;"aaaaaaaaaaa",COPY!$S$2:$AA$1000,2,FALSE)," ")</f>
        <v xml:space="preserve"> </v>
      </c>
      <c r="Y6" s="90">
        <f>IF(OR(LEFT(B6,2)="mg",LEFT(B6,2)="mE"),VLOOKUP(A6,COPY!$S$2:$AA$1000,6,FALSE),IF(LEFT(B6,1)="G"," ",IF(LEFT(B6,2)="ma"," "," ")))</f>
        <v>1</v>
      </c>
      <c r="Z6" s="90" t="str">
        <f>IFERROR(VLOOKUP(A6&amp;"a",COPY!$S$2:$AA$1000,6,FALSE)," ")</f>
        <v xml:space="preserve"> </v>
      </c>
      <c r="AA6" s="90" t="str">
        <f>IFERROR(VLOOKUP(A6&amp;"aa",COPY!$S$2:$AA$1000,6,FALSE)," ")</f>
        <v xml:space="preserve"> </v>
      </c>
      <c r="AB6" s="90" t="str">
        <f>IFERROR(VLOOKUP(A6&amp;"aaa",COPY!$S$2:$AA$1000,6,FALSE)," ")</f>
        <v xml:space="preserve"> </v>
      </c>
      <c r="AC6" s="90" t="str">
        <f>IFERROR(VLOOKUP(A6&amp;"aaaa",COPY!$S$2:$AA$1000,6,FALSE)," ")</f>
        <v xml:space="preserve"> </v>
      </c>
      <c r="AD6" s="90" t="str">
        <f>IFERROR(VLOOKUP(A6&amp;"aaaaa",COPY!$S$2:$AA$1000,6,FALSE)," ")</f>
        <v xml:space="preserve"> </v>
      </c>
      <c r="AE6" s="90" t="str">
        <f>IFERROR(VLOOKUP(A6&amp;"aaaaaa",COPY!$S$2:$AA$1000,6,FALSE)," ")</f>
        <v xml:space="preserve"> </v>
      </c>
      <c r="AF6" s="90" t="str">
        <f>IFERROR(VLOOKUP(A6&amp;"aaaaaaa",COPY!$S$2:$AA$1000,6,FALSE)," ")</f>
        <v xml:space="preserve"> </v>
      </c>
      <c r="AG6" s="90" t="str">
        <f>IFERROR(VLOOKUP(A6&amp;"aaaaaaaa",COPY!$S$2:$AA$1000,6,FALSE)," ")</f>
        <v xml:space="preserve"> </v>
      </c>
      <c r="AH6" s="90" t="str">
        <f>IFERROR(VLOOKUP(A6&amp;"aaaaaaaaa",COPY!$S$2:$AA$1000,6,FALSE)," ")</f>
        <v xml:space="preserve"> </v>
      </c>
      <c r="AI6" s="90" t="str">
        <f>IFERROR(VLOOKUP(A6&amp;"aaaaaaaaaa",COPY!$S$2:$AA$1000,6,FALSE)," ")</f>
        <v xml:space="preserve"> </v>
      </c>
      <c r="AJ6" s="90" t="str">
        <f>IFERROR(VLOOKUP(A6&amp;"aaaaaaaaaaa",COPY!$S$2:$AA$1000,6,FALSE)," ")</f>
        <v xml:space="preserve"> </v>
      </c>
      <c r="AK6" s="90" t="str">
        <f>IF(LEFT(B6,2)="mg",VLOOKUP(A6,COPY!$S$2:$AA$1000,7,FALSE),IF(LEFT(B6,1)="G"," ",IF(LEFT(B6,2)="ma"," "," ")))</f>
        <v xml:space="preserve"> </v>
      </c>
      <c r="AL6" s="90" t="str">
        <f>IFERROR(VLOOKUP(A6&amp;"a",COPY!$S$2:$AA$1000,7,FALSE)," ")</f>
        <v xml:space="preserve"> </v>
      </c>
      <c r="AM6" s="90" t="str">
        <f>IFERROR(VLOOKUP(A6&amp;"aa",COPY!$S$2:$AA$1000,7,FALSE)," ")</f>
        <v xml:space="preserve"> </v>
      </c>
      <c r="AN6" s="90" t="str">
        <f>IFERROR(VLOOKUP(A6&amp;"aaa",COPY!$S$2:$AA$1000,7,FALSE)," ")</f>
        <v xml:space="preserve"> </v>
      </c>
      <c r="AO6" s="90" t="str">
        <f>IFERROR(VLOOKUP(A6&amp;"aaaa",COPY!$S$2:$AA$1000,7,FALSE)," ")</f>
        <v xml:space="preserve"> </v>
      </c>
      <c r="AP6" s="90" t="str">
        <f>IFERROR(VLOOKUP(A6&amp;"aaaaa",COPY!$S$2:$AA$1000,7,FALSE)," ")</f>
        <v xml:space="preserve"> </v>
      </c>
      <c r="AQ6" s="90" t="str">
        <f>IFERROR(VLOOKUP(A6&amp;"aaaaaa",COPY!$S$2:$AA$1000,7,FALSE)," ")</f>
        <v xml:space="preserve"> </v>
      </c>
      <c r="AR6" s="90" t="str">
        <f>IFERROR(VLOOKUP(A6&amp;"aaaaaaa",COPY!$S$2:$AA$1000,7,FALSE)," ")</f>
        <v xml:space="preserve"> </v>
      </c>
      <c r="AS6" s="90" t="str">
        <f>IFERROR(VLOOKUP(A6&amp;"aaaaaaaa",COPY!$S$2:$AA$1000,7,FALSE)," ")</f>
        <v xml:space="preserve"> </v>
      </c>
      <c r="AT6" s="90" t="str">
        <f>IFERROR(VLOOKUP(A6&amp;"aaaaaaaaa",COPY!$S$2:$AA$1000,7,FALSE)," ")</f>
        <v xml:space="preserve"> </v>
      </c>
      <c r="AU6" s="90" t="str">
        <f>IFERROR(VLOOKUP(A6&amp;"aaaaaaaaaa",COPY!$S$2:$AA$1000,7,FALSE)," ")</f>
        <v xml:space="preserve"> </v>
      </c>
      <c r="AV6" s="90" t="str">
        <f>IFERROR(VLOOKUP(A6&amp;"aaaaaaaaaaa",COPY!$S$2:$AA$1000,7,FALSE)," ")</f>
        <v xml:space="preserve"> </v>
      </c>
    </row>
    <row r="7" spans="1:48" x14ac:dyDescent="0.2">
      <c r="A7" s="75" t="str">
        <f>'REKAP PAJAK'!W44</f>
        <v>BKK.6</v>
      </c>
      <c r="B7" s="75" t="str">
        <f>IF(LEN(A7)&gt;1,VLOOKUP(A7,COPY!$O$2:$R$1000,4,FALSE),"")</f>
        <v>Mgg1</v>
      </c>
      <c r="C7" s="75" t="str">
        <f t="shared" si="0"/>
        <v>MELIA FITRIANI, S.Pd.SD</v>
      </c>
      <c r="D7" s="75" t="str">
        <f t="shared" si="1"/>
        <v>NIP. 19850619 200904 2 000</v>
      </c>
      <c r="E7" s="75" t="str">
        <f t="shared" si="2"/>
        <v>ARIF NUR UDIN, S.Pd.SD</v>
      </c>
      <c r="F7" s="75" t="str">
        <f t="shared" si="3"/>
        <v>NIP. 19840719 200903 1 002</v>
      </c>
      <c r="G7" s="75" t="str">
        <f>IFERROR(TEXT(VLOOKUP(A7,COPY!$S$2:$W$1000,3,FALSE),"dd mmmm yyyy")," ")</f>
        <v>04 September 2025</v>
      </c>
      <c r="H7" s="75" t="str">
        <f t="shared" si="4"/>
        <v>SDN 1 SIDODADI</v>
      </c>
      <c r="I7" s="75" t="str">
        <f t="shared" si="5"/>
        <v>NGANTANG</v>
      </c>
      <c r="J7" s="90">
        <f>IFERROR(VLOOKUP(A7,COPY!$S$2:$W$1000,4,FALSE)," ")</f>
        <v>1281000</v>
      </c>
      <c r="K7" s="75" t="str">
        <f>IFERROR(VLOOKUP(A7,COPY!$S$2:$W$1000,5,FALSE)," ")</f>
        <v>Satu Juta Dua Ratus Delapan Puluh Satu Ribu Rupiah</v>
      </c>
      <c r="L7" s="75" t="str">
        <f>IF(B7="","",IF(LEFT(B7,2)="Ma",(VLOOKUP(B7,'Rekap Gaji'!$C$12:$D$26,2,FALSE))&amp;" Untuk "&amp;(PROPER('Rekap Gaji'!$B$2)),IF(LEFT(B7,2)="Mg","Pembelian Material Bahan Bangunan",IF(LEFT(B7,2)="Me","Biaya Pembelanjaan Menejemen",IF(LEFT(B7,1)="G",VLOOKUP(A7,COPY!$S$2:$AA$1000,2,FALSE)&amp;"( "&amp;TEXT(VLOOKUP(B7,'Rekap Gaji'!$A$12:$I$26,5,FALSE),"dd-mm-yyyy")&amp;" "&amp;TEXT(VLOOKUP(B7,'Rekap Gaji'!$A$12:$I$26,6,FALSE)&amp;" "&amp;TEXT(VLOOKUP(B7,'Rekap Gaji'!$A$12:$I$26,7,FALSE),"dd-mm-yyyy")&amp;" )"," "))))))</f>
        <v>Pembelian Material Bahan Bangunan</v>
      </c>
      <c r="M7" s="75" t="str">
        <f>IF(OR(LEFT(B7,2)="mg",LEFT(B7,2)="mE"),VLOOKUP(A7,COPY!$S$2:$AA$1000,2,FALSE),IF(LEFT(B7,1)="G"," ",IF(LEFT(B7,2)="ma"," "," ")))</f>
        <v>Usuk Super 3 M</v>
      </c>
      <c r="N7" s="75" t="str">
        <f>IFERROR(VLOOKUP($A$7&amp;"a",COPY!$S$2:$AA$1000,2,FALSE)," ")</f>
        <v>Pasir Cor L300</v>
      </c>
      <c r="O7" s="75" t="str">
        <f>IFERROR(VLOOKUP($A$7&amp;"aa",COPY!$S$2:$AA$1000,2,FALSE)," ")</f>
        <v>Koral L300</v>
      </c>
      <c r="P7" s="75" t="str">
        <f>IFERROR(VLOOKUP($A$7&amp;"aaa",COPY!$S$2:$AA$1000,2,FALSE)," ")</f>
        <v>Wd Potong Bosch</v>
      </c>
      <c r="Q7" s="75" t="str">
        <f>IFERROR(VLOOKUP($A$7&amp;"aaaa",COPY!$S$2:$AA$1000,2,FALSE)," ")</f>
        <v>Semen Gresik 40Kg</v>
      </c>
      <c r="R7" s="75" t="str">
        <f>IFERROR(VLOOKUP($A$7&amp;"aaaaa",COPY!$S$2:$AA$1000,2,FALSE)," ")</f>
        <v xml:space="preserve"> </v>
      </c>
      <c r="S7" s="75" t="str">
        <f>IFERROR(VLOOKUP($A$7&amp;"aaaaaa",COPY!$S$2:$AA$1000,2,FALSE)," ")</f>
        <v xml:space="preserve"> </v>
      </c>
      <c r="T7" s="75" t="str">
        <f>IFERROR(VLOOKUP($A$7&amp;"aaaaaaa",COPY!$S$2:$AA$1000,2,FALSE)," ")</f>
        <v xml:space="preserve"> </v>
      </c>
      <c r="U7" s="75" t="str">
        <f>IFERROR(VLOOKUP($A$7&amp;"aaaaaaaa",COPY!$S$2:$AA$1000,2,FALSE)," ")</f>
        <v xml:space="preserve"> </v>
      </c>
      <c r="V7" s="75" t="str">
        <f>IFERROR(VLOOKUP($A$7&amp;"aaaaaaaaa",COPY!$S$2:$AA$1000,2,FALSE)," ")</f>
        <v xml:space="preserve"> </v>
      </c>
      <c r="W7" s="75" t="str">
        <f>IFERROR(VLOOKUP($A$7&amp;"aaaaaaaaaa",COPY!$S$2:$AA$1000,2,FALSE)," ")</f>
        <v xml:space="preserve"> </v>
      </c>
      <c r="X7" s="75" t="str">
        <f>IFERROR(VLOOKUP($A$7&amp;"aaaaaaaaaaa",COPY!$S$2:$AA$1000,2,FALSE)," ")</f>
        <v xml:space="preserve"> </v>
      </c>
      <c r="Y7" s="90">
        <f>IF(OR(LEFT(B7,2)="mg",LEFT(B7,2)="mE"),VLOOKUP(A7,COPY!$S$2:$AA$1000,6,FALSE),IF(LEFT(B7,1)="G"," ",IF(LEFT(B7,2)="ma"," "," ")))</f>
        <v>10</v>
      </c>
      <c r="Z7" s="90">
        <f>IFERROR(VLOOKUP(A7&amp;"a",COPY!$S$2:$AA$1000,6,FALSE)," ")</f>
        <v>1</v>
      </c>
      <c r="AA7" s="90">
        <f>IFERROR(VLOOKUP(A7&amp;"aa",COPY!$S$2:$AA$1000,6,FALSE)," ")</f>
        <v>1</v>
      </c>
      <c r="AB7" s="90">
        <f>IFERROR(VLOOKUP(A7&amp;"aaa",COPY!$S$2:$AA$1000,6,FALSE)," ")</f>
        <v>4</v>
      </c>
      <c r="AC7" s="90">
        <f>IFERROR(VLOOKUP(A7&amp;"aaaa",COPY!$S$2:$AA$1000,6,FALSE)," ")</f>
        <v>4</v>
      </c>
      <c r="AD7" s="90" t="str">
        <f>IFERROR(VLOOKUP(A7&amp;"aaaaa",COPY!$S$2:$AA$1000,6,FALSE)," ")</f>
        <v xml:space="preserve"> </v>
      </c>
      <c r="AE7" s="90" t="str">
        <f>IFERROR(VLOOKUP(A7&amp;"aaaaaa",COPY!$S$2:$AA$1000,6,FALSE)," ")</f>
        <v xml:space="preserve"> </v>
      </c>
      <c r="AF7" s="90" t="str">
        <f>IFERROR(VLOOKUP(A7&amp;"aaaaaaa",COPY!$S$2:$AA$1000,6,FALSE)," ")</f>
        <v xml:space="preserve"> </v>
      </c>
      <c r="AG7" s="90" t="str">
        <f>IFERROR(VLOOKUP(A7&amp;"aaaaaaaa",COPY!$S$2:$AA$1000,6,FALSE)," ")</f>
        <v xml:space="preserve"> </v>
      </c>
      <c r="AH7" s="90" t="str">
        <f>IFERROR(VLOOKUP(A7&amp;"aaaaaaaaa",COPY!$S$2:$AA$1000,6,FALSE)," ")</f>
        <v xml:space="preserve"> </v>
      </c>
      <c r="AI7" s="90" t="str">
        <f>IFERROR(VLOOKUP(A7&amp;"aaaaaaaaaa",COPY!$S$2:$AA$1000,6,FALSE)," ")</f>
        <v xml:space="preserve"> </v>
      </c>
      <c r="AJ7" s="90" t="str">
        <f>IFERROR(VLOOKUP(A7&amp;"aaaaaaaaaaa",COPY!$S$2:$AA$1000,6,FALSE)," ")</f>
        <v xml:space="preserve"> </v>
      </c>
      <c r="AK7" s="90" t="str">
        <f>IF(LEFT(B7,2)="mg",VLOOKUP(A7,COPY!$S$2:$AA$1000,7,FALSE),IF(LEFT(B7,1)="G"," ",IF(LEFT(B7,2)="ma"," "," ")))</f>
        <v>Ljr</v>
      </c>
      <c r="AL7" s="90" t="str">
        <f>IFERROR(VLOOKUP(A7&amp;"a",COPY!$S$2:$AA$1000,7,FALSE)," ")</f>
        <v>Pik Up</v>
      </c>
      <c r="AM7" s="90" t="str">
        <f>IFERROR(VLOOKUP(A7&amp;"aa",COPY!$S$2:$AA$1000,7,FALSE)," ")</f>
        <v>Pik Up</v>
      </c>
      <c r="AN7" s="90" t="str">
        <f>IFERROR(VLOOKUP(A7&amp;"aaa",COPY!$S$2:$AA$1000,7,FALSE)," ")</f>
        <v>Pcs</v>
      </c>
      <c r="AO7" s="90" t="str">
        <f>IFERROR(VLOOKUP(A7&amp;"aaaa",COPY!$S$2:$AA$1000,7,FALSE)," ")</f>
        <v>Sak</v>
      </c>
      <c r="AP7" s="90" t="str">
        <f>IFERROR(VLOOKUP(A7&amp;"aaaaa",COPY!$S$2:$AA$1000,7,FALSE)," ")</f>
        <v xml:space="preserve"> </v>
      </c>
      <c r="AQ7" s="90" t="str">
        <f>IFERROR(VLOOKUP(A7&amp;"aaaaaa",COPY!$S$2:$AA$1000,7,FALSE)," ")</f>
        <v xml:space="preserve"> </v>
      </c>
      <c r="AR7" s="90" t="str">
        <f>IFERROR(VLOOKUP(A7&amp;"aaaaaaa",COPY!$S$2:$AA$1000,7,FALSE)," ")</f>
        <v xml:space="preserve"> </v>
      </c>
      <c r="AS7" s="90" t="str">
        <f>IFERROR(VLOOKUP(A7&amp;"aaaaaaaa",COPY!$S$2:$AA$1000,7,FALSE)," ")</f>
        <v xml:space="preserve"> </v>
      </c>
      <c r="AT7" s="90" t="str">
        <f>IFERROR(VLOOKUP(A7&amp;"aaaaaaaaa",COPY!$S$2:$AA$1000,7,FALSE)," ")</f>
        <v xml:space="preserve"> </v>
      </c>
      <c r="AU7" s="90" t="str">
        <f>IFERROR(VLOOKUP(A7&amp;"aaaaaaaaaa",COPY!$S$2:$AA$1000,7,FALSE)," ")</f>
        <v xml:space="preserve"> </v>
      </c>
      <c r="AV7" s="90" t="str">
        <f>IFERROR(VLOOKUP(A7&amp;"aaaaaaaaaaa",COPY!$S$2:$AA$1000,7,FALSE)," ")</f>
        <v xml:space="preserve"> </v>
      </c>
    </row>
    <row r="8" spans="1:48" x14ac:dyDescent="0.2">
      <c r="A8" s="75" t="str">
        <f>'REKAP PAJAK'!W45</f>
        <v>BKK.7</v>
      </c>
      <c r="B8" s="75" t="str">
        <f>IF(LEN(A8)&gt;1,VLOOKUP(A8,COPY!$O$2:$R$1000,4,FALSE),"")</f>
        <v>Mgg1</v>
      </c>
      <c r="C8" s="75" t="str">
        <f t="shared" si="0"/>
        <v>MELIA FITRIANI, S.Pd.SD</v>
      </c>
      <c r="D8" s="75" t="str">
        <f t="shared" si="1"/>
        <v>NIP. 19850619 200904 2 000</v>
      </c>
      <c r="E8" s="75" t="str">
        <f t="shared" si="2"/>
        <v>ARIF NUR UDIN, S.Pd.SD</v>
      </c>
      <c r="F8" s="75" t="str">
        <f t="shared" si="3"/>
        <v>NIP. 19840719 200903 1 002</v>
      </c>
      <c r="G8" s="75" t="str">
        <f>IFERROR(TEXT(VLOOKUP(A8,COPY!$S$2:$W$1000,3,FALSE),"dd mmmm yyyy")," ")</f>
        <v>05 September 2025</v>
      </c>
      <c r="H8" s="75" t="str">
        <f t="shared" si="4"/>
        <v>SDN 1 SIDODADI</v>
      </c>
      <c r="I8" s="75" t="str">
        <f t="shared" si="5"/>
        <v>NGANTANG</v>
      </c>
      <c r="J8" s="90">
        <f>IFERROR(VLOOKUP(A8,COPY!$S$2:$W$1000,4,FALSE)," ")</f>
        <v>780000</v>
      </c>
      <c r="K8" s="75" t="str">
        <f>IFERROR(VLOOKUP(A8,COPY!$S$2:$W$1000,5,FALSE)," ")</f>
        <v>Tujuh Ratus Delapan Puluh Ribu Rupiah</v>
      </c>
      <c r="L8" s="75" t="str">
        <f>IF(B8="","",IF(LEFT(B8,2)="Ma",(VLOOKUP(B8,'Rekap Gaji'!$C$12:$D$26,2,FALSE))&amp;" Untuk "&amp;(PROPER('Rekap Gaji'!$B$2)),IF(LEFT(B8,2)="Mg","Pembelian Material Bahan Bangunan",IF(LEFT(B8,2)="Me","Biaya Pembelanjaan Menejemen",IF(LEFT(B8,1)="G",VLOOKUP(A8,COPY!$S$2:$AA$1000,2,FALSE)&amp;"( "&amp;TEXT(VLOOKUP(B8,'Rekap Gaji'!$A$12:$I$26,5,FALSE),"dd-mm-yyyy")&amp;" "&amp;TEXT(VLOOKUP(B8,'Rekap Gaji'!$A$12:$I$26,6,FALSE)&amp;" "&amp;TEXT(VLOOKUP(B8,'Rekap Gaji'!$A$12:$I$26,7,FALSE),"dd-mm-yyyy")&amp;" )"," "))))))</f>
        <v>Pembelian Material Bahan Bangunan</v>
      </c>
      <c r="M8" s="75" t="str">
        <f>IF(OR(LEFT(B8,2)="mg",LEFT(B8,2)="mE"),VLOOKUP(A8,COPY!$S$2:$AA$1000,2,FALSE),IF(LEFT(B8,1)="G"," ",IF(LEFT(B8,2)="ma"," "," ")))</f>
        <v>Semen 3 Roda</v>
      </c>
      <c r="N8" s="75" t="str">
        <f>IFERROR(VLOOKUP($A$8&amp;"a",COPY!$S$2:$AA$1000,2,FALSE)," ")</f>
        <v xml:space="preserve"> </v>
      </c>
      <c r="O8" s="75" t="str">
        <f>IFERROR(VLOOKUP($A$8&amp;"aa",COPY!$S$2:$AA$1000,2,FALSE)," ")</f>
        <v xml:space="preserve"> </v>
      </c>
      <c r="P8" s="75" t="str">
        <f>IFERROR(VLOOKUP($A$8&amp;"aaa",COPY!$S$2:$AA$1000,2,FALSE)," ")</f>
        <v xml:space="preserve"> </v>
      </c>
      <c r="Q8" s="75" t="str">
        <f>IFERROR(VLOOKUP($A$8&amp;"aaaa",COPY!$S$2:$AA$1000,2,FALSE)," ")</f>
        <v xml:space="preserve"> </v>
      </c>
      <c r="R8" s="75" t="str">
        <f>IFERROR(VLOOKUP($A$8&amp;"aaaaa",COPY!$S$2:$AA$1000,2,FALSE)," ")</f>
        <v xml:space="preserve"> </v>
      </c>
      <c r="S8" s="75" t="str">
        <f>IFERROR(VLOOKUP($A$8&amp;"aaaaaa",COPY!$S$2:$AA$1000,2,FALSE)," ")</f>
        <v xml:space="preserve"> </v>
      </c>
      <c r="T8" s="75" t="str">
        <f>IFERROR(VLOOKUP($A$8&amp;"aaaaaaa",COPY!$S$2:$AA$1000,2,FALSE)," ")</f>
        <v xml:space="preserve"> </v>
      </c>
      <c r="U8" s="75" t="str">
        <f>IFERROR(VLOOKUP($A$8&amp;"aaaaaaaa",COPY!$S$2:$AA$1000,2,FALSE)," ")</f>
        <v xml:space="preserve"> </v>
      </c>
      <c r="V8" s="75" t="str">
        <f>IFERROR(VLOOKUP($A$8&amp;"aaaaaaaaa",COPY!$S$2:$AA$1000,2,FALSE)," ")</f>
        <v xml:space="preserve"> </v>
      </c>
      <c r="W8" s="75" t="str">
        <f>IFERROR(VLOOKUP($A$8&amp;"aaaaaaaaaa",COPY!$S$2:$AA$1000,2,FALSE)," ")</f>
        <v xml:space="preserve"> </v>
      </c>
      <c r="X8" s="75" t="str">
        <f>IFERROR(VLOOKUP($A$8&amp;"aaaaaaaaaaa",COPY!$S$2:$AA$1000,2,FALSE)," ")</f>
        <v xml:space="preserve"> </v>
      </c>
      <c r="Y8" s="90">
        <f>IF(OR(LEFT(B8,2)="mg",LEFT(B8,2)="mE"),VLOOKUP(A8,COPY!$S$2:$AA$1000,6,FALSE),IF(LEFT(B8,1)="G"," ",IF(LEFT(B8,2)="ma"," "," ")))</f>
        <v>15</v>
      </c>
      <c r="Z8" s="90" t="str">
        <f>IFERROR(VLOOKUP(A8&amp;"a",COPY!$S$2:$AA$1000,6,FALSE)," ")</f>
        <v xml:space="preserve"> </v>
      </c>
      <c r="AA8" s="90" t="str">
        <f>IFERROR(VLOOKUP(A8&amp;"aa",COPY!$S$2:$AA$1000,6,FALSE)," ")</f>
        <v xml:space="preserve"> </v>
      </c>
      <c r="AB8" s="90" t="str">
        <f>IFERROR(VLOOKUP(A8&amp;"aaa",COPY!$S$2:$AA$1000,6,FALSE)," ")</f>
        <v xml:space="preserve"> </v>
      </c>
      <c r="AC8" s="90" t="str">
        <f>IFERROR(VLOOKUP(A8&amp;"aaaa",COPY!$S$2:$AA$1000,6,FALSE)," ")</f>
        <v xml:space="preserve"> </v>
      </c>
      <c r="AD8" s="90" t="str">
        <f>IFERROR(VLOOKUP(A8&amp;"aaaaa",COPY!$S$2:$AA$1000,6,FALSE)," ")</f>
        <v xml:space="preserve"> </v>
      </c>
      <c r="AE8" s="90" t="str">
        <f>IFERROR(VLOOKUP(A8&amp;"aaaaaa",COPY!$S$2:$AA$1000,6,FALSE)," ")</f>
        <v xml:space="preserve"> </v>
      </c>
      <c r="AF8" s="90" t="str">
        <f>IFERROR(VLOOKUP(A8&amp;"aaaaaaa",COPY!$S$2:$AA$1000,6,FALSE)," ")</f>
        <v xml:space="preserve"> </v>
      </c>
      <c r="AG8" s="90" t="str">
        <f>IFERROR(VLOOKUP(A8&amp;"aaaaaaaa",COPY!$S$2:$AA$1000,6,FALSE)," ")</f>
        <v xml:space="preserve"> </v>
      </c>
      <c r="AH8" s="90" t="str">
        <f>IFERROR(VLOOKUP(A8&amp;"aaaaaaaaa",COPY!$S$2:$AA$1000,6,FALSE)," ")</f>
        <v xml:space="preserve"> </v>
      </c>
      <c r="AI8" s="90" t="str">
        <f>IFERROR(VLOOKUP(A8&amp;"aaaaaaaaaa",COPY!$S$2:$AA$1000,6,FALSE)," ")</f>
        <v xml:space="preserve"> </v>
      </c>
      <c r="AJ8" s="90" t="str">
        <f>IFERROR(VLOOKUP(A8&amp;"aaaaaaaaaaa",COPY!$S$2:$AA$1000,6,FALSE)," ")</f>
        <v xml:space="preserve"> </v>
      </c>
      <c r="AK8" s="90" t="str">
        <f>IF(LEFT(B8,2)="mg",VLOOKUP(A8,COPY!$S$2:$AA$1000,7,FALSE),IF(LEFT(B8,1)="G"," ",IF(LEFT(B8,2)="ma"," "," ")))</f>
        <v>Sak</v>
      </c>
      <c r="AL8" s="90" t="str">
        <f>IFERROR(VLOOKUP(A8&amp;"a",COPY!$S$2:$AA$1000,7,FALSE)," ")</f>
        <v xml:space="preserve"> </v>
      </c>
      <c r="AM8" s="90" t="str">
        <f>IFERROR(VLOOKUP(A8&amp;"aa",COPY!$S$2:$AA$1000,7,FALSE)," ")</f>
        <v xml:space="preserve"> </v>
      </c>
      <c r="AN8" s="90" t="str">
        <f>IFERROR(VLOOKUP(A8&amp;"aaa",COPY!$S$2:$AA$1000,7,FALSE)," ")</f>
        <v xml:space="preserve"> </v>
      </c>
      <c r="AO8" s="90" t="str">
        <f>IFERROR(VLOOKUP(A8&amp;"aaaa",COPY!$S$2:$AA$1000,7,FALSE)," ")</f>
        <v xml:space="preserve"> </v>
      </c>
      <c r="AP8" s="90" t="str">
        <f>IFERROR(VLOOKUP(A8&amp;"aaaaa",COPY!$S$2:$AA$1000,7,FALSE)," ")</f>
        <v xml:space="preserve"> </v>
      </c>
      <c r="AQ8" s="90" t="str">
        <f>IFERROR(VLOOKUP(A8&amp;"aaaaaa",COPY!$S$2:$AA$1000,7,FALSE)," ")</f>
        <v xml:space="preserve"> </v>
      </c>
      <c r="AR8" s="90" t="str">
        <f>IFERROR(VLOOKUP(A8&amp;"aaaaaaa",COPY!$S$2:$AA$1000,7,FALSE)," ")</f>
        <v xml:space="preserve"> </v>
      </c>
      <c r="AS8" s="90" t="str">
        <f>IFERROR(VLOOKUP(A8&amp;"aaaaaaaa",COPY!$S$2:$AA$1000,7,FALSE)," ")</f>
        <v xml:space="preserve"> </v>
      </c>
      <c r="AT8" s="90" t="str">
        <f>IFERROR(VLOOKUP(A8&amp;"aaaaaaaaa",COPY!$S$2:$AA$1000,7,FALSE)," ")</f>
        <v xml:space="preserve"> </v>
      </c>
      <c r="AU8" s="90" t="str">
        <f>IFERROR(VLOOKUP(A8&amp;"aaaaaaaaaa",COPY!$S$2:$AA$1000,7,FALSE)," ")</f>
        <v xml:space="preserve"> </v>
      </c>
      <c r="AV8" s="90" t="str">
        <f>IFERROR(VLOOKUP(A8&amp;"aaaaaaaaaaa",COPY!$S$2:$AA$1000,7,FALSE)," ")</f>
        <v xml:space="preserve"> </v>
      </c>
    </row>
    <row r="9" spans="1:48" x14ac:dyDescent="0.2">
      <c r="A9" s="75" t="str">
        <f>'REKAP PAJAK'!W46</f>
        <v>BKK.8</v>
      </c>
      <c r="B9" s="75" t="str">
        <f>IF(LEN(A9)&gt;1,VLOOKUP(A9,COPY!$O$2:$R$1000,4,FALSE),"")</f>
        <v>Maa1</v>
      </c>
      <c r="C9" s="75" t="str">
        <f t="shared" si="0"/>
        <v>MELIA FITRIANI, S.Pd.SD</v>
      </c>
      <c r="D9" s="75" t="str">
        <f t="shared" si="1"/>
        <v>NIP. 19850619 200904 2 000</v>
      </c>
      <c r="E9" s="75" t="str">
        <f t="shared" si="2"/>
        <v>ARIF NUR UDIN, S.Pd.SD</v>
      </c>
      <c r="F9" s="75" t="str">
        <f t="shared" si="3"/>
        <v>NIP. 19840719 200903 1 002</v>
      </c>
      <c r="G9" s="75" t="str">
        <f>IFERROR(TEXT(VLOOKUP(A9,COPY!$S$2:$W$1000,3,FALSE),"dd mmmm yyyy")," ")</f>
        <v>05 September 2025</v>
      </c>
      <c r="H9" s="75" t="str">
        <f t="shared" si="4"/>
        <v>SDN 1 SIDODADI</v>
      </c>
      <c r="I9" s="75" t="str">
        <f t="shared" si="5"/>
        <v>NGANTANG</v>
      </c>
      <c r="J9" s="90">
        <f>IFERROR(VLOOKUP(A9,COPY!$S$2:$W$1000,4,FALSE)," ")</f>
        <v>2761410</v>
      </c>
      <c r="K9" s="75" t="str">
        <f>IFERROR(VLOOKUP(A9,COPY!$S$2:$W$1000,5,FALSE)," ")</f>
        <v>Dua Juta Tujuh Ratus Enam Puluh Satu Ribu Empat Ratus Sepuluh Rupiah</v>
      </c>
      <c r="L9" s="75" t="str">
        <f>IF(B9="","",IF(LEFT(B9,2)="Ma",(VLOOKUP(B9,'Rekap Gaji'!$C$12:$D$26,2,FALSE))&amp;" Untuk "&amp;(PROPER('Rekap Gaji'!$B$2)),IF(LEFT(B9,2)="Mg","Pembelian Material Bahan Bangunan",IF(LEFT(B9,2)="Me","Biaya Pembelanjaan Menejemen",IF(LEFT(B9,1)="G",VLOOKUP(A9,COPY!$S$2:$AA$1000,2,FALSE)&amp;"( "&amp;TEXT(VLOOKUP(B9,'Rekap Gaji'!$A$12:$I$26,5,FALSE),"dd-mm-yyyy")&amp;" "&amp;TEXT(VLOOKUP(B9,'Rekap Gaji'!$A$12:$I$26,6,FALSE)&amp;" "&amp;TEXT(VLOOKUP(B9,'Rekap Gaji'!$A$12:$I$26,7,FALSE),"dd-mm-yyyy")&amp;" )"," "))))))</f>
        <v>Bayar Dana Perencanaan Untuk Pembangunan Toilet Beserta Sanitasinya</v>
      </c>
      <c r="M9" s="75" t="str">
        <f>IF(OR(LEFT(B9,2)="mg",LEFT(B9,2)="mE"),VLOOKUP(A9,COPY!$S$2:$AA$1000,2,FALSE),IF(LEFT(B9,1)="G"," ",IF(LEFT(B9,2)="ma"," "," ")))</f>
        <v xml:space="preserve"> </v>
      </c>
      <c r="N9" s="75" t="str">
        <f>IFERROR(VLOOKUP($A$9&amp;"a",COPY!$S$2:$AA$1000,2,FALSE)," ")</f>
        <v xml:space="preserve"> </v>
      </c>
      <c r="O9" s="75" t="str">
        <f>IFERROR(VLOOKUP($A$9&amp;"aa",COPY!$S$2:$AA$1000,2,FALSE)," ")</f>
        <v xml:space="preserve"> </v>
      </c>
      <c r="P9" s="75" t="str">
        <f>IFERROR(VLOOKUP($A$9&amp;"aaa",COPY!$S$2:$AA$1000,2,FALSE)," ")</f>
        <v xml:space="preserve"> </v>
      </c>
      <c r="Q9" s="75" t="str">
        <f>IFERROR(VLOOKUP($A$9&amp;"aaaa",COPY!$S$2:$AA$1000,2,FALSE)," ")</f>
        <v xml:space="preserve"> </v>
      </c>
      <c r="R9" s="75" t="str">
        <f>IFERROR(VLOOKUP($A$9&amp;"aaaaa",COPY!$S$2:$AA$1000,2,FALSE)," ")</f>
        <v xml:space="preserve"> </v>
      </c>
      <c r="S9" s="75" t="str">
        <f>IFERROR(VLOOKUP($A$9&amp;"aaaaaa",COPY!$S$2:$AA$1000,2,FALSE)," ")</f>
        <v xml:space="preserve"> </v>
      </c>
      <c r="T9" s="75" t="str">
        <f>IFERROR(VLOOKUP($A$9&amp;"aaaaaaa",COPY!$S$2:$AA$1000,2,FALSE)," ")</f>
        <v xml:space="preserve"> </v>
      </c>
      <c r="U9" s="75" t="str">
        <f>IFERROR(VLOOKUP($A$9&amp;"aaaaaaaa",COPY!$S$2:$AA$1000,2,FALSE)," ")</f>
        <v xml:space="preserve"> </v>
      </c>
      <c r="V9" s="75" t="str">
        <f>IFERROR(VLOOKUP($A$9&amp;"aaaaaaaaa",COPY!$S$2:$AA$1000,2,FALSE)," ")</f>
        <v xml:space="preserve"> </v>
      </c>
      <c r="W9" s="75" t="str">
        <f>IFERROR(VLOOKUP($A$9&amp;"aaaaaaaaaa",COPY!$S$2:$AA$1000,2,FALSE)," ")</f>
        <v xml:space="preserve"> </v>
      </c>
      <c r="X9" s="75" t="str">
        <f>IFERROR(VLOOKUP($A$9&amp;"aaaaaaaaaaa",COPY!$S$2:$AA$1000,2,FALSE)," ")</f>
        <v xml:space="preserve"> </v>
      </c>
      <c r="Y9" s="90" t="str">
        <f>IF(OR(LEFT(B9,2)="mg",LEFT(B9,2)="mE"),VLOOKUP(A9,COPY!$S$2:$AA$1000,6,FALSE),IF(LEFT(B9,1)="G"," ",IF(LEFT(B9,2)="ma"," "," ")))</f>
        <v xml:space="preserve"> </v>
      </c>
      <c r="Z9" s="90" t="str">
        <f>IFERROR(VLOOKUP(A9&amp;"a",COPY!$S$2:$AA$1000,6,FALSE)," ")</f>
        <v xml:space="preserve"> </v>
      </c>
      <c r="AA9" s="90" t="str">
        <f>IFERROR(VLOOKUP(A9&amp;"aa",COPY!$S$2:$AA$1000,6,FALSE)," ")</f>
        <v xml:space="preserve"> </v>
      </c>
      <c r="AB9" s="90" t="str">
        <f>IFERROR(VLOOKUP(A9&amp;"aaa",COPY!$S$2:$AA$1000,6,FALSE)," ")</f>
        <v xml:space="preserve"> </v>
      </c>
      <c r="AC9" s="90" t="str">
        <f>IFERROR(VLOOKUP(A9&amp;"aaaa",COPY!$S$2:$AA$1000,6,FALSE)," ")</f>
        <v xml:space="preserve"> </v>
      </c>
      <c r="AD9" s="90" t="str">
        <f>IFERROR(VLOOKUP(A9&amp;"aaaaa",COPY!$S$2:$AA$1000,6,FALSE)," ")</f>
        <v xml:space="preserve"> </v>
      </c>
      <c r="AE9" s="90" t="str">
        <f>IFERROR(VLOOKUP(A9&amp;"aaaaaa",COPY!$S$2:$AA$1000,6,FALSE)," ")</f>
        <v xml:space="preserve"> </v>
      </c>
      <c r="AF9" s="90" t="str">
        <f>IFERROR(VLOOKUP(A9&amp;"aaaaaaa",COPY!$S$2:$AA$1000,6,FALSE)," ")</f>
        <v xml:space="preserve"> </v>
      </c>
      <c r="AG9" s="90" t="str">
        <f>IFERROR(VLOOKUP(A9&amp;"aaaaaaaa",COPY!$S$2:$AA$1000,6,FALSE)," ")</f>
        <v xml:space="preserve"> </v>
      </c>
      <c r="AH9" s="90" t="str">
        <f>IFERROR(VLOOKUP(A9&amp;"aaaaaaaaa",COPY!$S$2:$AA$1000,6,FALSE)," ")</f>
        <v xml:space="preserve"> </v>
      </c>
      <c r="AI9" s="90" t="str">
        <f>IFERROR(VLOOKUP(A9&amp;"aaaaaaaaaa",COPY!$S$2:$AA$1000,6,FALSE)," ")</f>
        <v xml:space="preserve"> </v>
      </c>
      <c r="AJ9" s="90" t="str">
        <f>IFERROR(VLOOKUP(A9&amp;"aaaaaaaaaaa",COPY!$S$2:$AA$1000,6,FALSE)," ")</f>
        <v xml:space="preserve"> </v>
      </c>
      <c r="AK9" s="90" t="str">
        <f>IF(LEFT(B9,2)="mg",VLOOKUP(A9,COPY!$S$2:$AA$1000,7,FALSE),IF(LEFT(B9,1)="G"," ",IF(LEFT(B9,2)="ma"," "," ")))</f>
        <v xml:space="preserve"> </v>
      </c>
      <c r="AL9" s="90" t="str">
        <f>IFERROR(VLOOKUP(A9&amp;"a",COPY!$S$2:$AA$1000,7,FALSE)," ")</f>
        <v xml:space="preserve"> </v>
      </c>
      <c r="AM9" s="90" t="str">
        <f>IFERROR(VLOOKUP(A9&amp;"aa",COPY!$S$2:$AA$1000,7,FALSE)," ")</f>
        <v xml:space="preserve"> </v>
      </c>
      <c r="AN9" s="90" t="str">
        <f>IFERROR(VLOOKUP(A9&amp;"aaa",COPY!$S$2:$AA$1000,7,FALSE)," ")</f>
        <v xml:space="preserve"> </v>
      </c>
      <c r="AO9" s="90" t="str">
        <f>IFERROR(VLOOKUP(A9&amp;"aaaa",COPY!$S$2:$AA$1000,7,FALSE)," ")</f>
        <v xml:space="preserve"> </v>
      </c>
      <c r="AP9" s="90" t="str">
        <f>IFERROR(VLOOKUP(A9&amp;"aaaaa",COPY!$S$2:$AA$1000,7,FALSE)," ")</f>
        <v xml:space="preserve"> </v>
      </c>
      <c r="AQ9" s="90" t="str">
        <f>IFERROR(VLOOKUP(A9&amp;"aaaaaa",COPY!$S$2:$AA$1000,7,FALSE)," ")</f>
        <v xml:space="preserve"> </v>
      </c>
      <c r="AR9" s="90" t="str">
        <f>IFERROR(VLOOKUP(A9&amp;"aaaaaaa",COPY!$S$2:$AA$1000,7,FALSE)," ")</f>
        <v xml:space="preserve"> </v>
      </c>
      <c r="AS9" s="90" t="str">
        <f>IFERROR(VLOOKUP(A9&amp;"aaaaaaaa",COPY!$S$2:$AA$1000,7,FALSE)," ")</f>
        <v xml:space="preserve"> </v>
      </c>
      <c r="AT9" s="90" t="str">
        <f>IFERROR(VLOOKUP(A9&amp;"aaaaaaaaa",COPY!$S$2:$AA$1000,7,FALSE)," ")</f>
        <v xml:space="preserve"> </v>
      </c>
      <c r="AU9" s="90" t="str">
        <f>IFERROR(VLOOKUP(A9&amp;"aaaaaaaaaa",COPY!$S$2:$AA$1000,7,FALSE)," ")</f>
        <v xml:space="preserve"> </v>
      </c>
      <c r="AV9" s="90" t="str">
        <f>IFERROR(VLOOKUP(A9&amp;"aaaaaaaaaaa",COPY!$S$2:$AA$1000,7,FALSE)," ")</f>
        <v xml:space="preserve"> </v>
      </c>
    </row>
    <row r="10" spans="1:48" x14ac:dyDescent="0.2">
      <c r="A10" s="75" t="str">
        <f>'REKAP PAJAK'!W47</f>
        <v>BKK.9</v>
      </c>
      <c r="B10" s="75" t="str">
        <f>IF(LEN(A10)&gt;1,VLOOKUP(A10,COPY!$O$2:$R$1000,4,FALSE),"")</f>
        <v>Gaj1</v>
      </c>
      <c r="C10" s="75" t="str">
        <f t="shared" si="0"/>
        <v>MELIA FITRIANI, S.Pd.SD</v>
      </c>
      <c r="D10" s="75" t="str">
        <f t="shared" si="1"/>
        <v>NIP. 19850619 200904 2 000</v>
      </c>
      <c r="E10" s="75" t="str">
        <f t="shared" si="2"/>
        <v>ARIF NUR UDIN, S.Pd.SD</v>
      </c>
      <c r="F10" s="75" t="str">
        <f t="shared" si="3"/>
        <v>NIP. 19840719 200903 1 002</v>
      </c>
      <c r="G10" s="75" t="str">
        <f>IFERROR(TEXT(VLOOKUP(A10,COPY!$S$2:$W$1000,3,FALSE),"dd mmmm yyyy")," ")</f>
        <v>06 September 2025</v>
      </c>
      <c r="H10" s="75" t="str">
        <f t="shared" si="4"/>
        <v>SDN 1 SIDODADI</v>
      </c>
      <c r="I10" s="75" t="str">
        <f t="shared" si="5"/>
        <v>NGANTANG</v>
      </c>
      <c r="J10" s="90">
        <f>IFERROR(VLOOKUP(A10,COPY!$S$2:$W$1000,4,FALSE)," ")</f>
        <v>5110000</v>
      </c>
      <c r="K10" s="75" t="str">
        <f>IFERROR(VLOOKUP(A10,COPY!$S$2:$W$1000,5,FALSE)," ")</f>
        <v>Lima Juta Seratus Sepuluh Ribu Rupiah</v>
      </c>
      <c r="L10" s="75" t="str">
        <f>IF(B10="","",IF(LEFT(B10,2)="Ma",(VLOOKUP(B10,'Rekap Gaji'!$C$12:$D$26,2,FALSE))&amp;" Untuk "&amp;(PROPER('Rekap Gaji'!$B$2)),IF(LEFT(B10,2)="Mg","Pembelian Material Bahan Bangunan",IF(LEFT(B10,2)="Me","Biaya Pembelanjaan Menejemen",IF(LEFT(B10,1)="G",VLOOKUP(A10,COPY!$S$2:$AA$1000,2,FALSE)&amp;"( "&amp;TEXT(VLOOKUP(B10,'Rekap Gaji'!$A$12:$I$26,5,FALSE),"dd-mm-yyyy")&amp;" "&amp;TEXT(VLOOKUP(B10,'Rekap Gaji'!$A$12:$I$26,6,FALSE)&amp;" "&amp;TEXT(VLOOKUP(B10,'Rekap Gaji'!$A$12:$I$26,7,FALSE),"dd-mm-yyyy")&amp;" )"," "))))))</f>
        <v>Pembayaran Pekerja Minggu Ke 1( 01-09-2025 s/d 06-09-2025 )</v>
      </c>
      <c r="M10" s="75" t="str">
        <f>IF(OR(LEFT(B10,2)="mg",LEFT(B10,2)="mE"),VLOOKUP(A10,COPY!$S$2:$AA$1000,2,FALSE),IF(LEFT(B10,1)="G"," ",IF(LEFT(B10,2)="ma"," "," ")))</f>
        <v xml:space="preserve"> </v>
      </c>
      <c r="N10" s="75" t="str">
        <f>IFERROR(VLOOKUP($A$10&amp;"a",COPY!$S$2:$AA$1000,2,FALSE)," ")</f>
        <v xml:space="preserve"> </v>
      </c>
      <c r="O10" s="75" t="str">
        <f>IFERROR(VLOOKUP($A$10&amp;"aa",COPY!$S$2:$AA$1000,2,FALSE)," ")</f>
        <v xml:space="preserve"> </v>
      </c>
      <c r="P10" s="75" t="str">
        <f>IFERROR(VLOOKUP($A$10&amp;"aaa",COPY!$S$2:$AA$1000,2,FALSE)," ")</f>
        <v xml:space="preserve"> </v>
      </c>
      <c r="Q10" s="75" t="str">
        <f>IFERROR(VLOOKUP($A$10&amp;"aaaa",COPY!$S$2:$AA$1000,2,FALSE)," ")</f>
        <v xml:space="preserve"> </v>
      </c>
      <c r="R10" s="75" t="str">
        <f>IFERROR(VLOOKUP($A$10&amp;"aaaaa",COPY!$S$2:$AA$1000,2,FALSE)," ")</f>
        <v xml:space="preserve"> </v>
      </c>
      <c r="S10" s="75" t="str">
        <f>IFERROR(VLOOKUP($A$10&amp;"aaaaaa",COPY!$S$2:$AA$1000,2,FALSE)," ")</f>
        <v xml:space="preserve"> </v>
      </c>
      <c r="T10" s="75" t="str">
        <f>IFERROR(VLOOKUP($A$10&amp;"aaaaaaa",COPY!$S$2:$AA$1000,2,FALSE)," ")</f>
        <v xml:space="preserve"> </v>
      </c>
      <c r="U10" s="75" t="str">
        <f>IFERROR(VLOOKUP($A$10&amp;"aaaaaaaa",COPY!$S$2:$AA$1000,2,FALSE)," ")</f>
        <v xml:space="preserve"> </v>
      </c>
      <c r="V10" s="75" t="str">
        <f>IFERROR(VLOOKUP($A$10&amp;"aaaaaaaaa",COPY!$S$2:$AA$1000,2,FALSE)," ")</f>
        <v xml:space="preserve"> </v>
      </c>
      <c r="W10" s="75" t="str">
        <f>IFERROR(VLOOKUP($A$10&amp;"aaaaaaaaaa",COPY!$S$2:$AA$1000,2,FALSE)," ")</f>
        <v xml:space="preserve"> </v>
      </c>
      <c r="X10" s="75" t="str">
        <f>IFERROR(VLOOKUP($A$10&amp;"aaaaaaaaaaa",COPY!$S$2:$AA$1000,2,FALSE)," ")</f>
        <v xml:space="preserve"> </v>
      </c>
      <c r="Y10" s="90" t="str">
        <f>IF(OR(LEFT(B10,2)="mg",LEFT(B10,2)="mE"),VLOOKUP(A10,COPY!$S$2:$AA$1000,6,FALSE),IF(LEFT(B10,1)="G"," ",IF(LEFT(B10,2)="ma"," "," ")))</f>
        <v xml:space="preserve"> </v>
      </c>
      <c r="Z10" s="90" t="str">
        <f>IFERROR(VLOOKUP(A10&amp;"a",COPY!$S$2:$AA$1000,6,FALSE)," ")</f>
        <v xml:space="preserve"> </v>
      </c>
      <c r="AA10" s="90" t="str">
        <f>IFERROR(VLOOKUP(A10&amp;"aa",COPY!$S$2:$AA$1000,6,FALSE)," ")</f>
        <v xml:space="preserve"> </v>
      </c>
      <c r="AB10" s="90" t="str">
        <f>IFERROR(VLOOKUP(A10&amp;"aaa",COPY!$S$2:$AA$1000,6,FALSE)," ")</f>
        <v xml:space="preserve"> </v>
      </c>
      <c r="AC10" s="90" t="str">
        <f>IFERROR(VLOOKUP(A10&amp;"aaaa",COPY!$S$2:$AA$1000,6,FALSE)," ")</f>
        <v xml:space="preserve"> </v>
      </c>
      <c r="AD10" s="90" t="str">
        <f>IFERROR(VLOOKUP(A10&amp;"aaaaa",COPY!$S$2:$AA$1000,6,FALSE)," ")</f>
        <v xml:space="preserve"> </v>
      </c>
      <c r="AE10" s="90" t="str">
        <f>IFERROR(VLOOKUP(A10&amp;"aaaaaa",COPY!$S$2:$AA$1000,6,FALSE)," ")</f>
        <v xml:space="preserve"> </v>
      </c>
      <c r="AF10" s="90" t="str">
        <f>IFERROR(VLOOKUP(A10&amp;"aaaaaaa",COPY!$S$2:$AA$1000,6,FALSE)," ")</f>
        <v xml:space="preserve"> </v>
      </c>
      <c r="AG10" s="90" t="str">
        <f>IFERROR(VLOOKUP(A10&amp;"aaaaaaaa",COPY!$S$2:$AA$1000,6,FALSE)," ")</f>
        <v xml:space="preserve"> </v>
      </c>
      <c r="AH10" s="90" t="str">
        <f>IFERROR(VLOOKUP(A10&amp;"aaaaaaaaa",COPY!$S$2:$AA$1000,6,FALSE)," ")</f>
        <v xml:space="preserve"> </v>
      </c>
      <c r="AI10" s="90" t="str">
        <f>IFERROR(VLOOKUP(A10&amp;"aaaaaaaaaa",COPY!$S$2:$AA$1000,6,FALSE)," ")</f>
        <v xml:space="preserve"> </v>
      </c>
      <c r="AJ10" s="90" t="str">
        <f>IFERROR(VLOOKUP(A10&amp;"aaaaaaaaaaa",COPY!$S$2:$AA$1000,6,FALSE)," ")</f>
        <v xml:space="preserve"> </v>
      </c>
      <c r="AK10" s="90" t="str">
        <f>IF(LEFT(B10,2)="mg",VLOOKUP(A10,COPY!$S$2:$AA$1000,7,FALSE),IF(LEFT(B10,1)="G"," ",IF(LEFT(B10,2)="ma"," "," ")))</f>
        <v xml:space="preserve"> </v>
      </c>
      <c r="AL10" s="90" t="str">
        <f>IFERROR(VLOOKUP(A10&amp;"a",COPY!$S$2:$AA$1000,7,FALSE)," ")</f>
        <v xml:space="preserve"> </v>
      </c>
      <c r="AM10" s="90" t="str">
        <f>IFERROR(VLOOKUP(A10&amp;"aa",COPY!$S$2:$AA$1000,7,FALSE)," ")</f>
        <v xml:space="preserve"> </v>
      </c>
      <c r="AN10" s="90" t="str">
        <f>IFERROR(VLOOKUP(A10&amp;"aaa",COPY!$S$2:$AA$1000,7,FALSE)," ")</f>
        <v xml:space="preserve"> </v>
      </c>
      <c r="AO10" s="90" t="str">
        <f>IFERROR(VLOOKUP(A10&amp;"aaaa",COPY!$S$2:$AA$1000,7,FALSE)," ")</f>
        <v xml:space="preserve"> </v>
      </c>
      <c r="AP10" s="90" t="str">
        <f>IFERROR(VLOOKUP(A10&amp;"aaaaa",COPY!$S$2:$AA$1000,7,FALSE)," ")</f>
        <v xml:space="preserve"> </v>
      </c>
      <c r="AQ10" s="90" t="str">
        <f>IFERROR(VLOOKUP(A10&amp;"aaaaaa",COPY!$S$2:$AA$1000,7,FALSE)," ")</f>
        <v xml:space="preserve"> </v>
      </c>
      <c r="AR10" s="90" t="str">
        <f>IFERROR(VLOOKUP(A10&amp;"aaaaaaa",COPY!$S$2:$AA$1000,7,FALSE)," ")</f>
        <v xml:space="preserve"> </v>
      </c>
      <c r="AS10" s="90" t="str">
        <f>IFERROR(VLOOKUP(A10&amp;"aaaaaaaa",COPY!$S$2:$AA$1000,7,FALSE)," ")</f>
        <v xml:space="preserve"> </v>
      </c>
      <c r="AT10" s="90" t="str">
        <f>IFERROR(VLOOKUP(A10&amp;"aaaaaaaaa",COPY!$S$2:$AA$1000,7,FALSE)," ")</f>
        <v xml:space="preserve"> </v>
      </c>
      <c r="AU10" s="90" t="str">
        <f>IFERROR(VLOOKUP(A10&amp;"aaaaaaaaaa",COPY!$S$2:$AA$1000,7,FALSE)," ")</f>
        <v xml:space="preserve"> </v>
      </c>
      <c r="AV10" s="90" t="str">
        <f>IFERROR(VLOOKUP(A10&amp;"aaaaaaaaaaa",COPY!$S$2:$AA$1000,7,FALSE)," ")</f>
        <v xml:space="preserve"> </v>
      </c>
    </row>
    <row r="11" spans="1:48" x14ac:dyDescent="0.2">
      <c r="A11" s="75" t="str">
        <f>'REKAP PAJAK'!W48</f>
        <v>BKK.10</v>
      </c>
      <c r="B11" s="75" t="str">
        <f>IF(LEN(A11)&gt;1,VLOOKUP(A11,COPY!$O$2:$R$1000,4,FALSE),"")</f>
        <v>Mgg2</v>
      </c>
      <c r="C11" s="75" t="str">
        <f t="shared" si="0"/>
        <v>MELIA FITRIANI, S.Pd.SD</v>
      </c>
      <c r="D11" s="75" t="str">
        <f t="shared" si="1"/>
        <v>NIP. 19850619 200904 2 000</v>
      </c>
      <c r="E11" s="75" t="str">
        <f t="shared" si="2"/>
        <v>ARIF NUR UDIN, S.Pd.SD</v>
      </c>
      <c r="F11" s="75" t="str">
        <f t="shared" si="3"/>
        <v>NIP. 19840719 200903 1 002</v>
      </c>
      <c r="G11" s="75" t="str">
        <f>IFERROR(TEXT(VLOOKUP(A11,COPY!$S$2:$W$1000,3,FALSE),"dd mmmm yyyy")," ")</f>
        <v>08 September 2025</v>
      </c>
      <c r="H11" s="75" t="str">
        <f t="shared" si="4"/>
        <v>SDN 1 SIDODADI</v>
      </c>
      <c r="I11" s="75" t="str">
        <f t="shared" si="5"/>
        <v>NGANTANG</v>
      </c>
      <c r="J11" s="90">
        <f>IFERROR(VLOOKUP(A11,COPY!$S$2:$W$1000,4,FALSE)," ")</f>
        <v>1284000</v>
      </c>
      <c r="K11" s="75" t="str">
        <f>IFERROR(VLOOKUP(A11,COPY!$S$2:$W$1000,5,FALSE)," ")</f>
        <v>Satu Juta Dua Ratus Delapan Puluh Empat Ribu Rupiah</v>
      </c>
      <c r="L11" s="75" t="str">
        <f>IF(B11="","",IF(LEFT(B11,2)="Ma",(VLOOKUP(B11,'Rekap Gaji'!$C$12:$D$26,2,FALSE))&amp;" Untuk "&amp;(PROPER('Rekap Gaji'!$B$2)),IF(LEFT(B11,2)="Mg","Pembelian Material Bahan Bangunan",IF(LEFT(B11,2)="Me","Biaya Pembelanjaan Menejemen",IF(LEFT(B11,1)="G",VLOOKUP(A11,COPY!$S$2:$AA$1000,2,FALSE)&amp;"( "&amp;TEXT(VLOOKUP(B11,'Rekap Gaji'!$A$12:$I$26,5,FALSE),"dd-mm-yyyy")&amp;" "&amp;TEXT(VLOOKUP(B11,'Rekap Gaji'!$A$12:$I$26,6,FALSE)&amp;" "&amp;TEXT(VLOOKUP(B11,'Rekap Gaji'!$A$12:$I$26,7,FALSE),"dd-mm-yyyy")&amp;" )"," "))))))</f>
        <v>Pembelian Material Bahan Bangunan</v>
      </c>
      <c r="M11" s="75" t="str">
        <f>IF(OR(LEFT(B11,2)="mg",LEFT(B11,2)="mE"),VLOOKUP(A11,COPY!$S$2:$AA$1000,2,FALSE),IF(LEFT(B11,1)="G"," ",IF(LEFT(B11,2)="ma"," "," ")))</f>
        <v>Garuk Besar</v>
      </c>
      <c r="N11" s="75" t="str">
        <f>IFERROR(VLOOKUP($A$11&amp;"a",COPY!$S$2:$AA$1000,2,FALSE)," ")</f>
        <v>Kaleng Adiva</v>
      </c>
      <c r="O11" s="75" t="str">
        <f>IFERROR(VLOOKUP($A$11&amp;"aa",COPY!$S$2:$AA$1000,2,FALSE)," ")</f>
        <v>Bambu</v>
      </c>
      <c r="P11" s="75" t="str">
        <f>IFERROR(VLOOKUP($A$11&amp;"aaa",COPY!$S$2:$AA$1000,2,FALSE)," ")</f>
        <v>Paku 1 1/2</v>
      </c>
      <c r="Q11" s="75" t="str">
        <f>IFERROR(VLOOKUP($A$11&amp;"aaaa",COPY!$S$2:$AA$1000,2,FALSE)," ")</f>
        <v>Pasir Biasa L300</v>
      </c>
      <c r="R11" s="75" t="str">
        <f>IFERROR(VLOOKUP($A$11&amp;"aaaaa",COPY!$S$2:$AA$1000,2,FALSE)," ")</f>
        <v>Semen 3 Roda</v>
      </c>
      <c r="S11" s="75" t="str">
        <f>IFERROR(VLOOKUP($A$11&amp;"aaaaaa",COPY!$S$2:$AA$1000,2,FALSE)," ")</f>
        <v xml:space="preserve"> </v>
      </c>
      <c r="T11" s="75" t="str">
        <f>IFERROR(VLOOKUP($A$11&amp;"aaaaaaa",COPY!$S$2:$AA$1000,2,FALSE)," ")</f>
        <v xml:space="preserve"> </v>
      </c>
      <c r="U11" s="75" t="str">
        <f>IFERROR(VLOOKUP($A$11&amp;"aaaaaaaa",COPY!$S$2:$AA$1000,2,FALSE)," ")</f>
        <v xml:space="preserve"> </v>
      </c>
      <c r="V11" s="75" t="str">
        <f>IFERROR(VLOOKUP($A$11&amp;"aaaaaaaaa",COPY!$S$2:$AA$1000,2,FALSE)," ")</f>
        <v xml:space="preserve"> </v>
      </c>
      <c r="W11" s="75" t="str">
        <f>IFERROR(VLOOKUP($A$11&amp;"aaaaaaaaaa",COPY!$S$2:$AA$1000,2,FALSE)," ")</f>
        <v xml:space="preserve"> </v>
      </c>
      <c r="X11" s="75" t="str">
        <f>IFERROR(VLOOKUP($A$11&amp;"aaaaaaaaaaa",COPY!$S$2:$AA$1000,2,FALSE)," ")</f>
        <v xml:space="preserve"> </v>
      </c>
      <c r="Y11" s="90">
        <f>IF(OR(LEFT(B11,2)="mg",LEFT(B11,2)="mE"),VLOOKUP(A11,COPY!$S$2:$AA$1000,6,FALSE),IF(LEFT(B11,1)="G"," ",IF(LEFT(B11,2)="ma"," "," ")))</f>
        <v>2</v>
      </c>
      <c r="Z11" s="90">
        <f>IFERROR(VLOOKUP(A11&amp;"a",COPY!$S$2:$AA$1000,6,FALSE)," ")</f>
        <v>6</v>
      </c>
      <c r="AA11" s="90">
        <f>IFERROR(VLOOKUP(A11&amp;"aa",COPY!$S$2:$AA$1000,6,FALSE)," ")</f>
        <v>20</v>
      </c>
      <c r="AB11" s="90">
        <f>IFERROR(VLOOKUP(A11&amp;"aaa",COPY!$S$2:$AA$1000,6,FALSE)," ")</f>
        <v>4</v>
      </c>
      <c r="AC11" s="90">
        <f>IFERROR(VLOOKUP(A11&amp;"aaaa",COPY!$S$2:$AA$1000,6,FALSE)," ")</f>
        <v>1</v>
      </c>
      <c r="AD11" s="90">
        <f>IFERROR(VLOOKUP(A11&amp;"aaaaa",COPY!$S$2:$AA$1000,6,FALSE)," ")</f>
        <v>7</v>
      </c>
      <c r="AE11" s="90" t="str">
        <f>IFERROR(VLOOKUP(A11&amp;"aaaaaa",COPY!$S$2:$AA$1000,6,FALSE)," ")</f>
        <v xml:space="preserve"> </v>
      </c>
      <c r="AF11" s="90" t="str">
        <f>IFERROR(VLOOKUP(A11&amp;"aaaaaaa",COPY!$S$2:$AA$1000,6,FALSE)," ")</f>
        <v xml:space="preserve"> </v>
      </c>
      <c r="AG11" s="90" t="str">
        <f>IFERROR(VLOOKUP(A11&amp;"aaaaaaaa",COPY!$S$2:$AA$1000,6,FALSE)," ")</f>
        <v xml:space="preserve"> </v>
      </c>
      <c r="AH11" s="90" t="str">
        <f>IFERROR(VLOOKUP(A11&amp;"aaaaaaaaa",COPY!$S$2:$AA$1000,6,FALSE)," ")</f>
        <v xml:space="preserve"> </v>
      </c>
      <c r="AI11" s="90" t="str">
        <f>IFERROR(VLOOKUP(A11&amp;"aaaaaaaaaa",COPY!$S$2:$AA$1000,6,FALSE)," ")</f>
        <v xml:space="preserve"> </v>
      </c>
      <c r="AJ11" s="90" t="str">
        <f>IFERROR(VLOOKUP(A11&amp;"aaaaaaaaaaa",COPY!$S$2:$AA$1000,6,FALSE)," ")</f>
        <v xml:space="preserve"> </v>
      </c>
      <c r="AK11" s="90" t="str">
        <f>IF(LEFT(B11,2)="mg",VLOOKUP(A11,COPY!$S$2:$AA$1000,7,FALSE),IF(LEFT(B11,1)="G"," ",IF(LEFT(B11,2)="ma"," "," ")))</f>
        <v>Pcs</v>
      </c>
      <c r="AL11" s="90" t="str">
        <f>IFERROR(VLOOKUP(A11&amp;"a",COPY!$S$2:$AA$1000,7,FALSE)," ")</f>
        <v>Pcs</v>
      </c>
      <c r="AM11" s="90" t="str">
        <f>IFERROR(VLOOKUP(A11&amp;"aa",COPY!$S$2:$AA$1000,7,FALSE)," ")</f>
        <v>Ljr</v>
      </c>
      <c r="AN11" s="90" t="str">
        <f>IFERROR(VLOOKUP(A11&amp;"aaa",COPY!$S$2:$AA$1000,7,FALSE)," ")</f>
        <v>kg</v>
      </c>
      <c r="AO11" s="90" t="str">
        <f>IFERROR(VLOOKUP(A11&amp;"aaaa",COPY!$S$2:$AA$1000,7,FALSE)," ")</f>
        <v>Pik Up</v>
      </c>
      <c r="AP11" s="90" t="str">
        <f>IFERROR(VLOOKUP(A11&amp;"aaaaa",COPY!$S$2:$AA$1000,7,FALSE)," ")</f>
        <v>Sak</v>
      </c>
      <c r="AQ11" s="90" t="str">
        <f>IFERROR(VLOOKUP(A11&amp;"aaaaaa",COPY!$S$2:$AA$1000,7,FALSE)," ")</f>
        <v xml:space="preserve"> </v>
      </c>
      <c r="AR11" s="90" t="str">
        <f>IFERROR(VLOOKUP(A11&amp;"aaaaaaa",COPY!$S$2:$AA$1000,7,FALSE)," ")</f>
        <v xml:space="preserve"> </v>
      </c>
      <c r="AS11" s="90" t="str">
        <f>IFERROR(VLOOKUP(A11&amp;"aaaaaaaa",COPY!$S$2:$AA$1000,7,FALSE)," ")</f>
        <v xml:space="preserve"> </v>
      </c>
      <c r="AT11" s="90" t="str">
        <f>IFERROR(VLOOKUP(A11&amp;"aaaaaaaaa",COPY!$S$2:$AA$1000,7,FALSE)," ")</f>
        <v xml:space="preserve"> </v>
      </c>
      <c r="AU11" s="90" t="str">
        <f>IFERROR(VLOOKUP(A11&amp;"aaaaaaaaaa",COPY!$S$2:$AA$1000,7,FALSE)," ")</f>
        <v xml:space="preserve"> </v>
      </c>
      <c r="AV11" s="90" t="str">
        <f>IFERROR(VLOOKUP(A11&amp;"aaaaaaaaaaa",COPY!$S$2:$AA$1000,7,FALSE)," ")</f>
        <v xml:space="preserve"> </v>
      </c>
    </row>
    <row r="12" spans="1:48" x14ac:dyDescent="0.2">
      <c r="A12" s="75" t="str">
        <f>'REKAP PAJAK'!W49</f>
        <v>BKK.11</v>
      </c>
      <c r="B12" s="75" t="str">
        <f>IF(LEN(A12)&gt;1,VLOOKUP(A12,COPY!$O$2:$R$1000,4,FALSE),"")</f>
        <v>Mgg2</v>
      </c>
      <c r="C12" s="75" t="str">
        <f t="shared" si="0"/>
        <v>MELIA FITRIANI, S.Pd.SD</v>
      </c>
      <c r="D12" s="75" t="str">
        <f t="shared" si="1"/>
        <v>NIP. 19850619 200904 2 000</v>
      </c>
      <c r="E12" s="75" t="str">
        <f t="shared" si="2"/>
        <v>ARIF NUR UDIN, S.Pd.SD</v>
      </c>
      <c r="F12" s="75" t="str">
        <f t="shared" si="3"/>
        <v>NIP. 19840719 200903 1 002</v>
      </c>
      <c r="G12" s="75" t="str">
        <f>IFERROR(TEXT(VLOOKUP(A12,COPY!$S$2:$W$1000,3,FALSE),"dd mmmm yyyy")," ")</f>
        <v>09 September 2025</v>
      </c>
      <c r="H12" s="75" t="str">
        <f t="shared" si="4"/>
        <v>SDN 1 SIDODADI</v>
      </c>
      <c r="I12" s="75" t="str">
        <f t="shared" si="5"/>
        <v>NGANTANG</v>
      </c>
      <c r="J12" s="90">
        <f>IFERROR(VLOOKUP(A12,COPY!$S$2:$W$1000,4,FALSE)," ")</f>
        <v>1818000</v>
      </c>
      <c r="K12" s="75" t="str">
        <f>IFERROR(VLOOKUP(A12,COPY!$S$2:$W$1000,5,FALSE)," ")</f>
        <v>Satu Juta Delapan Ratus Delapan Belas Ribu Rupiah</v>
      </c>
      <c r="L12" s="75" t="str">
        <f>IF(B12="","",IF(LEFT(B12,2)="Ma",(VLOOKUP(B12,'Rekap Gaji'!$C$12:$D$26,2,FALSE))&amp;" Untuk "&amp;(PROPER('Rekap Gaji'!$B$2)),IF(LEFT(B12,2)="Mg","Pembelian Material Bahan Bangunan",IF(LEFT(B12,2)="Me","Biaya Pembelanjaan Menejemen",IF(LEFT(B12,1)="G",VLOOKUP(A12,COPY!$S$2:$AA$1000,2,FALSE)&amp;"( "&amp;TEXT(VLOOKUP(B12,'Rekap Gaji'!$A$12:$I$26,5,FALSE),"dd-mm-yyyy")&amp;" "&amp;TEXT(VLOOKUP(B12,'Rekap Gaji'!$A$12:$I$26,6,FALSE)&amp;" "&amp;TEXT(VLOOKUP(B12,'Rekap Gaji'!$A$12:$I$26,7,FALSE),"dd-mm-yyyy")&amp;" )"," "))))))</f>
        <v>Pembelian Material Bahan Bangunan</v>
      </c>
      <c r="M12" s="75" t="str">
        <f>IF(OR(LEFT(B12,2)="mg",LEFT(B12,2)="mE"),VLOOKUP(A12,COPY!$S$2:$AA$1000,2,FALSE),IF(LEFT(B12,1)="G"," ",IF(LEFT(B12,2)="ma"," "," ")))</f>
        <v>Koral L300</v>
      </c>
      <c r="N12" s="75" t="str">
        <f>IFERROR(VLOOKUP($A$12&amp;"a",COPY!$S$2:$AA$1000,2,FALSE)," ")</f>
        <v>Bendrat Spq</v>
      </c>
      <c r="O12" s="75" t="str">
        <f>IFERROR(VLOOKUP($A$12&amp;"aa",COPY!$S$2:$AA$1000,2,FALSE)," ")</f>
        <v>Besi 8.0 Sni</v>
      </c>
      <c r="P12" s="75" t="str">
        <f>IFERROR(VLOOKUP($A$12&amp;"aaa",COPY!$S$2:$AA$1000,2,FALSE)," ")</f>
        <v>Besi Sni 10.0</v>
      </c>
      <c r="Q12" s="75" t="str">
        <f>IFERROR(VLOOKUP($A$12&amp;"aaaa",COPY!$S$2:$AA$1000,2,FALSE)," ")</f>
        <v xml:space="preserve"> </v>
      </c>
      <c r="R12" s="75" t="str">
        <f>IFERROR(VLOOKUP($A$12&amp;"aaaaa",COPY!$S$2:$AA$1000,2,FALSE)," ")</f>
        <v xml:space="preserve"> </v>
      </c>
      <c r="S12" s="75" t="str">
        <f>IFERROR(VLOOKUP($A$12&amp;"aaaaaa",COPY!$S$2:$AA$1000,2,FALSE)," ")</f>
        <v xml:space="preserve"> </v>
      </c>
      <c r="T12" s="75" t="str">
        <f>IFERROR(VLOOKUP($A$12&amp;"aaaaaaa",COPY!$S$2:$AA$1000,2,FALSE)," ")</f>
        <v xml:space="preserve"> </v>
      </c>
      <c r="U12" s="75" t="str">
        <f>IFERROR(VLOOKUP($A$12&amp;"aaaaaaaa",COPY!$S$2:$AA$1000,2,FALSE)," ")</f>
        <v xml:space="preserve"> </v>
      </c>
      <c r="V12" s="75" t="str">
        <f>IFERROR(VLOOKUP($A$12&amp;"aaaaaaaaa",COPY!$S$2:$AA$1000,2,FALSE)," ")</f>
        <v xml:space="preserve"> </v>
      </c>
      <c r="W12" s="75" t="str">
        <f>IFERROR(VLOOKUP($A$12&amp;"aaaaaaaaaa",COPY!$S$2:$AA$1000,2,FALSE)," ")</f>
        <v xml:space="preserve"> </v>
      </c>
      <c r="X12" s="75" t="str">
        <f>IFERROR(VLOOKUP($A$12&amp;"aaaaaaaaaaa",COPY!$S$2:$AA$1000,2,FALSE)," ")</f>
        <v xml:space="preserve"> </v>
      </c>
      <c r="Y12" s="90">
        <f>IF(OR(LEFT(B12,2)="mg",LEFT(B12,2)="mE"),VLOOKUP(A12,COPY!$S$2:$AA$1000,6,FALSE),IF(LEFT(B12,1)="G"," ",IF(LEFT(B12,2)="ma"," "," ")))</f>
        <v>1</v>
      </c>
      <c r="Z12" s="90">
        <f>IFERROR(VLOOKUP(A12&amp;"a",COPY!$S$2:$AA$1000,6,FALSE)," ")</f>
        <v>5</v>
      </c>
      <c r="AA12" s="90">
        <f>IFERROR(VLOOKUP(A12&amp;"aa",COPY!$S$2:$AA$1000,6,FALSE)," ")</f>
        <v>20</v>
      </c>
      <c r="AB12" s="90">
        <f>IFERROR(VLOOKUP(A12&amp;"aaa",COPY!$S$2:$AA$1000,6,FALSE)," ")</f>
        <v>6</v>
      </c>
      <c r="AC12" s="90" t="str">
        <f>IFERROR(VLOOKUP(A12&amp;"aaaa",COPY!$S$2:$AA$1000,6,FALSE)," ")</f>
        <v xml:space="preserve"> </v>
      </c>
      <c r="AD12" s="90" t="str">
        <f>IFERROR(VLOOKUP(A12&amp;"aaaaa",COPY!$S$2:$AA$1000,6,FALSE)," ")</f>
        <v xml:space="preserve"> </v>
      </c>
      <c r="AE12" s="90" t="str">
        <f>IFERROR(VLOOKUP(A12&amp;"aaaaaa",COPY!$S$2:$AA$1000,6,FALSE)," ")</f>
        <v xml:space="preserve"> </v>
      </c>
      <c r="AF12" s="90" t="str">
        <f>IFERROR(VLOOKUP(A12&amp;"aaaaaaa",COPY!$S$2:$AA$1000,6,FALSE)," ")</f>
        <v xml:space="preserve"> </v>
      </c>
      <c r="AG12" s="90" t="str">
        <f>IFERROR(VLOOKUP(A12&amp;"aaaaaaaa",COPY!$S$2:$AA$1000,6,FALSE)," ")</f>
        <v xml:space="preserve"> </v>
      </c>
      <c r="AH12" s="90" t="str">
        <f>IFERROR(VLOOKUP(A12&amp;"aaaaaaaaa",COPY!$S$2:$AA$1000,6,FALSE)," ")</f>
        <v xml:space="preserve"> </v>
      </c>
      <c r="AI12" s="90" t="str">
        <f>IFERROR(VLOOKUP(A12&amp;"aaaaaaaaaa",COPY!$S$2:$AA$1000,6,FALSE)," ")</f>
        <v xml:space="preserve"> </v>
      </c>
      <c r="AJ12" s="90" t="str">
        <f>IFERROR(VLOOKUP(A12&amp;"aaaaaaaaaaa",COPY!$S$2:$AA$1000,6,FALSE)," ")</f>
        <v xml:space="preserve"> </v>
      </c>
      <c r="AK12" s="90" t="str">
        <f>IF(LEFT(B12,2)="mg",VLOOKUP(A12,COPY!$S$2:$AA$1000,7,FALSE),IF(LEFT(B12,1)="G"," ",IF(LEFT(B12,2)="ma"," "," ")))</f>
        <v>Pik Up</v>
      </c>
      <c r="AL12" s="90" t="str">
        <f>IFERROR(VLOOKUP(A12&amp;"a",COPY!$S$2:$AA$1000,7,FALSE)," ")</f>
        <v>kg</v>
      </c>
      <c r="AM12" s="90" t="str">
        <f>IFERROR(VLOOKUP(A12&amp;"aa",COPY!$S$2:$AA$1000,7,FALSE)," ")</f>
        <v>Ljr</v>
      </c>
      <c r="AN12" s="90" t="str">
        <f>IFERROR(VLOOKUP(A12&amp;"aaa",COPY!$S$2:$AA$1000,7,FALSE)," ")</f>
        <v>Ljr</v>
      </c>
      <c r="AO12" s="90" t="str">
        <f>IFERROR(VLOOKUP(A12&amp;"aaaa",COPY!$S$2:$AA$1000,7,FALSE)," ")</f>
        <v xml:space="preserve"> </v>
      </c>
      <c r="AP12" s="90" t="str">
        <f>IFERROR(VLOOKUP(A12&amp;"aaaaa",COPY!$S$2:$AA$1000,7,FALSE)," ")</f>
        <v xml:space="preserve"> </v>
      </c>
      <c r="AQ12" s="90" t="str">
        <f>IFERROR(VLOOKUP(A12&amp;"aaaaaa",COPY!$S$2:$AA$1000,7,FALSE)," ")</f>
        <v xml:space="preserve"> </v>
      </c>
      <c r="AR12" s="90" t="str">
        <f>IFERROR(VLOOKUP(A12&amp;"aaaaaaa",COPY!$S$2:$AA$1000,7,FALSE)," ")</f>
        <v xml:space="preserve"> </v>
      </c>
      <c r="AS12" s="90" t="str">
        <f>IFERROR(VLOOKUP(A12&amp;"aaaaaaaa",COPY!$S$2:$AA$1000,7,FALSE)," ")</f>
        <v xml:space="preserve"> </v>
      </c>
      <c r="AT12" s="90" t="str">
        <f>IFERROR(VLOOKUP(A12&amp;"aaaaaaaaa",COPY!$S$2:$AA$1000,7,FALSE)," ")</f>
        <v xml:space="preserve"> </v>
      </c>
      <c r="AU12" s="90" t="str">
        <f>IFERROR(VLOOKUP(A12&amp;"aaaaaaaaaa",COPY!$S$2:$AA$1000,7,FALSE)," ")</f>
        <v xml:space="preserve"> </v>
      </c>
      <c r="AV12" s="90" t="str">
        <f>IFERROR(VLOOKUP(A12&amp;"aaaaaaaaaaa",COPY!$S$2:$AA$1000,7,FALSE)," ")</f>
        <v xml:space="preserve"> </v>
      </c>
    </row>
    <row r="13" spans="1:48" x14ac:dyDescent="0.2">
      <c r="A13" s="75" t="str">
        <f>'REKAP PAJAK'!W50</f>
        <v>BKK.12</v>
      </c>
      <c r="B13" s="75" t="str">
        <f>IF(LEN(A13)&gt;1,VLOOKUP(A13,COPY!$O$2:$R$1000,4,FALSE),"")</f>
        <v>Mgg2</v>
      </c>
      <c r="C13" s="75" t="str">
        <f t="shared" si="0"/>
        <v>MELIA FITRIANI, S.Pd.SD</v>
      </c>
      <c r="D13" s="75" t="str">
        <f t="shared" si="1"/>
        <v>NIP. 19850619 200904 2 000</v>
      </c>
      <c r="E13" s="75" t="str">
        <f t="shared" si="2"/>
        <v>ARIF NUR UDIN, S.Pd.SD</v>
      </c>
      <c r="F13" s="75" t="str">
        <f t="shared" si="3"/>
        <v>NIP. 19840719 200903 1 002</v>
      </c>
      <c r="G13" s="75" t="str">
        <f>IFERROR(TEXT(VLOOKUP(A13,COPY!$S$2:$W$1000,3,FALSE),"dd mmmm yyyy")," ")</f>
        <v>10 September 2025</v>
      </c>
      <c r="H13" s="75" t="str">
        <f t="shared" si="4"/>
        <v>SDN 1 SIDODADI</v>
      </c>
      <c r="I13" s="75" t="str">
        <f t="shared" si="5"/>
        <v>NGANTANG</v>
      </c>
      <c r="J13" s="90">
        <f>IFERROR(VLOOKUP(A13,COPY!$S$2:$W$1000,4,FALSE)," ")</f>
        <v>1510000</v>
      </c>
      <c r="K13" s="75" t="str">
        <f>IFERROR(VLOOKUP(A13,COPY!$S$2:$W$1000,5,FALSE)," ")</f>
        <v>Satu Juta Lima Ratus Sepuluh Ribu Rupiah</v>
      </c>
      <c r="L13" s="75" t="str">
        <f>IF(B13="","",IF(LEFT(B13,2)="Ma",(VLOOKUP(B13,'Rekap Gaji'!$C$12:$D$26,2,FALSE))&amp;" Untuk "&amp;(PROPER('Rekap Gaji'!$B$2)),IF(LEFT(B13,2)="Mg","Pembelian Material Bahan Bangunan",IF(LEFT(B13,2)="Me","Biaya Pembelanjaan Menejemen",IF(LEFT(B13,1)="G",VLOOKUP(A13,COPY!$S$2:$AA$1000,2,FALSE)&amp;"( "&amp;TEXT(VLOOKUP(B13,'Rekap Gaji'!$A$12:$I$26,5,FALSE),"dd-mm-yyyy")&amp;" "&amp;TEXT(VLOOKUP(B13,'Rekap Gaji'!$A$12:$I$26,6,FALSE)&amp;" "&amp;TEXT(VLOOKUP(B13,'Rekap Gaji'!$A$12:$I$26,7,FALSE),"dd-mm-yyyy")&amp;" )"," "))))))</f>
        <v>Pembelian Material Bahan Bangunan</v>
      </c>
      <c r="M13" s="75" t="str">
        <f>IF(OR(LEFT(B13,2)="mg",LEFT(B13,2)="mE"),VLOOKUP(A13,COPY!$S$2:$AA$1000,2,FALSE),IF(LEFT(B13,1)="G"," ",IF(LEFT(B13,2)="ma"," "," ")))</f>
        <v>Besi Sni 10.0</v>
      </c>
      <c r="N13" s="75" t="str">
        <f>IFERROR(VLOOKUP($A$13&amp;"a",COPY!$S$2:$AA$1000,2,FALSE)," ")</f>
        <v>Semen 3 Roda</v>
      </c>
      <c r="O13" s="75" t="str">
        <f>IFERROR(VLOOKUP($A$13&amp;"aa",COPY!$S$2:$AA$1000,2,FALSE)," ")</f>
        <v xml:space="preserve"> </v>
      </c>
      <c r="P13" s="75" t="str">
        <f>IFERROR(VLOOKUP($A$13&amp;"aaa",COPY!$S$2:$AA$1000,2,FALSE)," ")</f>
        <v xml:space="preserve"> </v>
      </c>
      <c r="Q13" s="75" t="str">
        <f>IFERROR(VLOOKUP($A$13&amp;"aaaa",COPY!$S$2:$AA$1000,2,FALSE)," ")</f>
        <v xml:space="preserve"> </v>
      </c>
      <c r="R13" s="75" t="str">
        <f>IFERROR(VLOOKUP($A$13&amp;"aaaaa",COPY!$S$2:$AA$1000,2,FALSE)," ")</f>
        <v xml:space="preserve"> </v>
      </c>
      <c r="S13" s="75" t="str">
        <f>IFERROR(VLOOKUP($A$13&amp;"aaaaaa",COPY!$S$2:$AA$1000,2,FALSE)," ")</f>
        <v xml:space="preserve"> </v>
      </c>
      <c r="T13" s="75" t="str">
        <f>IFERROR(VLOOKUP($A$13&amp;"aaaaaaa",COPY!$S$2:$AA$1000,2,FALSE)," ")</f>
        <v xml:space="preserve"> </v>
      </c>
      <c r="U13" s="75" t="str">
        <f>IFERROR(VLOOKUP($A$13&amp;"aaaaaaaa",COPY!$S$2:$AA$1000,2,FALSE)," ")</f>
        <v xml:space="preserve"> </v>
      </c>
      <c r="V13" s="75" t="str">
        <f>IFERROR(VLOOKUP($A$13&amp;"aaaaaaaaa",COPY!$S$2:$AA$1000,2,FALSE)," ")</f>
        <v xml:space="preserve"> </v>
      </c>
      <c r="W13" s="75" t="str">
        <f>IFERROR(VLOOKUP($A$13&amp;"aaaaaaaaaa",COPY!$S$2:$AA$1000,2,FALSE)," ")</f>
        <v xml:space="preserve"> </v>
      </c>
      <c r="X13" s="75" t="str">
        <f>IFERROR(VLOOKUP($A$13&amp;"aaaaaaaaaaa",COPY!$S$2:$AA$1000,2,FALSE)," ")</f>
        <v xml:space="preserve"> </v>
      </c>
      <c r="Y13" s="90">
        <f>IF(OR(LEFT(B13,2)="mg",LEFT(B13,2)="mE"),VLOOKUP(A13,COPY!$S$2:$AA$1000,6,FALSE),IF(LEFT(B13,1)="G"," ",IF(LEFT(B13,2)="ma"," "," ")))</f>
        <v>10</v>
      </c>
      <c r="Z13" s="90">
        <f>IFERROR(VLOOKUP(A13&amp;"a",COPY!$S$2:$AA$1000,6,FALSE)," ")</f>
        <v>15</v>
      </c>
      <c r="AA13" s="90" t="str">
        <f>IFERROR(VLOOKUP(A13&amp;"aa",COPY!$S$2:$AA$1000,6,FALSE)," ")</f>
        <v xml:space="preserve"> </v>
      </c>
      <c r="AB13" s="90" t="str">
        <f>IFERROR(VLOOKUP(A13&amp;"aaa",COPY!$S$2:$AA$1000,6,FALSE)," ")</f>
        <v xml:space="preserve"> </v>
      </c>
      <c r="AC13" s="90" t="str">
        <f>IFERROR(VLOOKUP(A13&amp;"aaaa",COPY!$S$2:$AA$1000,6,FALSE)," ")</f>
        <v xml:space="preserve"> </v>
      </c>
      <c r="AD13" s="90" t="str">
        <f>IFERROR(VLOOKUP(A13&amp;"aaaaa",COPY!$S$2:$AA$1000,6,FALSE)," ")</f>
        <v xml:space="preserve"> </v>
      </c>
      <c r="AE13" s="90" t="str">
        <f>IFERROR(VLOOKUP(A13&amp;"aaaaaa",COPY!$S$2:$AA$1000,6,FALSE)," ")</f>
        <v xml:space="preserve"> </v>
      </c>
      <c r="AF13" s="90" t="str">
        <f>IFERROR(VLOOKUP(A13&amp;"aaaaaaa",COPY!$S$2:$AA$1000,6,FALSE)," ")</f>
        <v xml:space="preserve"> </v>
      </c>
      <c r="AG13" s="90" t="str">
        <f>IFERROR(VLOOKUP(A13&amp;"aaaaaaaa",COPY!$S$2:$AA$1000,6,FALSE)," ")</f>
        <v xml:space="preserve"> </v>
      </c>
      <c r="AH13" s="90" t="str">
        <f>IFERROR(VLOOKUP(A13&amp;"aaaaaaaaa",COPY!$S$2:$AA$1000,6,FALSE)," ")</f>
        <v xml:space="preserve"> </v>
      </c>
      <c r="AI13" s="90" t="str">
        <f>IFERROR(VLOOKUP(A13&amp;"aaaaaaaaaa",COPY!$S$2:$AA$1000,6,FALSE)," ")</f>
        <v xml:space="preserve"> </v>
      </c>
      <c r="AJ13" s="90" t="str">
        <f>IFERROR(VLOOKUP(A13&amp;"aaaaaaaaaaa",COPY!$S$2:$AA$1000,6,FALSE)," ")</f>
        <v xml:space="preserve"> </v>
      </c>
      <c r="AK13" s="90" t="str">
        <f>IF(LEFT(B13,2)="mg",VLOOKUP(A13,COPY!$S$2:$AA$1000,7,FALSE),IF(LEFT(B13,1)="G"," ",IF(LEFT(B13,2)="ma"," "," ")))</f>
        <v>Ljr</v>
      </c>
      <c r="AL13" s="90" t="str">
        <f>IFERROR(VLOOKUP(A13&amp;"a",COPY!$S$2:$AA$1000,7,FALSE)," ")</f>
        <v>Sak</v>
      </c>
      <c r="AM13" s="90" t="str">
        <f>IFERROR(VLOOKUP(A13&amp;"aa",COPY!$S$2:$AA$1000,7,FALSE)," ")</f>
        <v xml:space="preserve"> </v>
      </c>
      <c r="AN13" s="90" t="str">
        <f>IFERROR(VLOOKUP(A13&amp;"aaa",COPY!$S$2:$AA$1000,7,FALSE)," ")</f>
        <v xml:space="preserve"> </v>
      </c>
      <c r="AO13" s="90" t="str">
        <f>IFERROR(VLOOKUP(A13&amp;"aaaa",COPY!$S$2:$AA$1000,7,FALSE)," ")</f>
        <v xml:space="preserve"> </v>
      </c>
      <c r="AP13" s="90" t="str">
        <f>IFERROR(VLOOKUP(A13&amp;"aaaaa",COPY!$S$2:$AA$1000,7,FALSE)," ")</f>
        <v xml:space="preserve"> </v>
      </c>
      <c r="AQ13" s="90" t="str">
        <f>IFERROR(VLOOKUP(A13&amp;"aaaaaa",COPY!$S$2:$AA$1000,7,FALSE)," ")</f>
        <v xml:space="preserve"> </v>
      </c>
      <c r="AR13" s="90" t="str">
        <f>IFERROR(VLOOKUP(A13&amp;"aaaaaaa",COPY!$S$2:$AA$1000,7,FALSE)," ")</f>
        <v xml:space="preserve"> </v>
      </c>
      <c r="AS13" s="90" t="str">
        <f>IFERROR(VLOOKUP(A13&amp;"aaaaaaaa",COPY!$S$2:$AA$1000,7,FALSE)," ")</f>
        <v xml:space="preserve"> </v>
      </c>
      <c r="AT13" s="90" t="str">
        <f>IFERROR(VLOOKUP(A13&amp;"aaaaaaaaa",COPY!$S$2:$AA$1000,7,FALSE)," ")</f>
        <v xml:space="preserve"> </v>
      </c>
      <c r="AU13" s="90" t="str">
        <f>IFERROR(VLOOKUP(A13&amp;"aaaaaaaaaa",COPY!$S$2:$AA$1000,7,FALSE)," ")</f>
        <v xml:space="preserve"> </v>
      </c>
      <c r="AV13" s="90" t="str">
        <f>IFERROR(VLOOKUP(A13&amp;"aaaaaaaaaaa",COPY!$S$2:$AA$1000,7,FALSE)," ")</f>
        <v xml:space="preserve"> </v>
      </c>
    </row>
    <row r="14" spans="1:48" x14ac:dyDescent="0.2">
      <c r="A14" s="75" t="str">
        <f>'REKAP PAJAK'!W51</f>
        <v>BKK.13</v>
      </c>
      <c r="B14" s="75" t="str">
        <f>IF(LEN(A14)&gt;1,VLOOKUP(A14,COPY!$O$2:$R$1000,4,FALSE),"")</f>
        <v>Mgg2</v>
      </c>
      <c r="C14" s="75" t="str">
        <f t="shared" si="0"/>
        <v>MELIA FITRIANI, S.Pd.SD</v>
      </c>
      <c r="D14" s="75" t="str">
        <f t="shared" si="1"/>
        <v>NIP. 19850619 200904 2 000</v>
      </c>
      <c r="E14" s="75" t="str">
        <f t="shared" si="2"/>
        <v>ARIF NUR UDIN, S.Pd.SD</v>
      </c>
      <c r="F14" s="75" t="str">
        <f t="shared" si="3"/>
        <v>NIP. 19840719 200903 1 002</v>
      </c>
      <c r="G14" s="75" t="str">
        <f>IFERROR(TEXT(VLOOKUP(A14,COPY!$S$2:$W$1000,3,FALSE),"dd mmmm yyyy")," ")</f>
        <v>11 September 2025</v>
      </c>
      <c r="H14" s="75" t="str">
        <f t="shared" si="4"/>
        <v>SDN 1 SIDODADI</v>
      </c>
      <c r="I14" s="75" t="str">
        <f t="shared" si="5"/>
        <v>NGANTANG</v>
      </c>
      <c r="J14" s="90">
        <f>IFERROR(VLOOKUP(A14,COPY!$S$2:$W$1000,4,FALSE)," ")</f>
        <v>1940000</v>
      </c>
      <c r="K14" s="75" t="str">
        <f>IFERROR(VLOOKUP(A14,COPY!$S$2:$W$1000,5,FALSE)," ")</f>
        <v>Satu Juta Sembilan Ratus Empat Puluh Ribu Rupiah</v>
      </c>
      <c r="L14" s="75" t="str">
        <f>IF(B14="","",IF(LEFT(B14,2)="Ma",(VLOOKUP(B14,'Rekap Gaji'!$C$12:$D$26,2,FALSE))&amp;" Untuk "&amp;(PROPER('Rekap Gaji'!$B$2)),IF(LEFT(B14,2)="Mg","Pembelian Material Bahan Bangunan",IF(LEFT(B14,2)="Me","Biaya Pembelanjaan Menejemen",IF(LEFT(B14,1)="G",VLOOKUP(A14,COPY!$S$2:$AA$1000,2,FALSE)&amp;"( "&amp;TEXT(VLOOKUP(B14,'Rekap Gaji'!$A$12:$I$26,5,FALSE),"dd-mm-yyyy")&amp;" "&amp;TEXT(VLOOKUP(B14,'Rekap Gaji'!$A$12:$I$26,6,FALSE)&amp;" "&amp;TEXT(VLOOKUP(B14,'Rekap Gaji'!$A$12:$I$26,7,FALSE),"dd-mm-yyyy")&amp;" )"," "))))))</f>
        <v>Pembelian Material Bahan Bangunan</v>
      </c>
      <c r="M14" s="75" t="str">
        <f>IF(OR(LEFT(B14,2)="mg",LEFT(B14,2)="mE"),VLOOKUP(A14,COPY!$S$2:$AA$1000,2,FALSE),IF(LEFT(B14,1)="G"," ",IF(LEFT(B14,2)="ma"," "," ")))</f>
        <v>Koral L300</v>
      </c>
      <c r="N14" s="75" t="str">
        <f>IFERROR(VLOOKUP($A$14&amp;"a",COPY!$S$2:$AA$1000,2,FALSE)," ")</f>
        <v>Bendrat Spq</v>
      </c>
      <c r="O14" s="75" t="str">
        <f>IFERROR(VLOOKUP($A$14&amp;"aa",COPY!$S$2:$AA$1000,2,FALSE)," ")</f>
        <v>Besi 6.0 Sni</v>
      </c>
      <c r="P14" s="75" t="str">
        <f>IFERROR(VLOOKUP($A$14&amp;"aaa",COPY!$S$2:$AA$1000,2,FALSE)," ")</f>
        <v>Besi 8.0 Sni</v>
      </c>
      <c r="Q14" s="75" t="str">
        <f>IFERROR(VLOOKUP($A$14&amp;"aaaa",COPY!$S$2:$AA$1000,2,FALSE)," ")</f>
        <v xml:space="preserve"> </v>
      </c>
      <c r="R14" s="75" t="str">
        <f>IFERROR(VLOOKUP($A$14&amp;"aaaaa",COPY!$S$2:$AA$1000,2,FALSE)," ")</f>
        <v xml:space="preserve"> </v>
      </c>
      <c r="S14" s="75" t="str">
        <f>IFERROR(VLOOKUP($A$14&amp;"aaaaaa",COPY!$S$2:$AA$1000,2,FALSE)," ")</f>
        <v xml:space="preserve"> </v>
      </c>
      <c r="T14" s="75" t="str">
        <f>IFERROR(VLOOKUP($A$14&amp;"aaaaaaa",COPY!$S$2:$AA$1000,2,FALSE)," ")</f>
        <v xml:space="preserve"> </v>
      </c>
      <c r="U14" s="75" t="str">
        <f>IFERROR(VLOOKUP($A$14&amp;"aaaaaaaa",COPY!$S$2:$AA$1000,2,FALSE)," ")</f>
        <v xml:space="preserve"> </v>
      </c>
      <c r="V14" s="75" t="str">
        <f>IFERROR(VLOOKUP($A$14&amp;"aaaaaaaaa",COPY!$S$2:$AA$1000,2,FALSE)," ")</f>
        <v xml:space="preserve"> </v>
      </c>
      <c r="W14" s="75" t="str">
        <f>IFERROR(VLOOKUP($A$14&amp;"aaaaaaaaaa",COPY!$S$2:$AA$1000,2,FALSE)," ")</f>
        <v xml:space="preserve"> </v>
      </c>
      <c r="X14" s="75" t="str">
        <f>IFERROR(VLOOKUP($A$14&amp;"aaaaaaaaaaa",COPY!$S$2:$AA$1000,2,FALSE)," ")</f>
        <v xml:space="preserve"> </v>
      </c>
      <c r="Y14" s="90">
        <f>IF(OR(LEFT(B14,2)="mg",LEFT(B14,2)="mE"),VLOOKUP(A14,COPY!$S$2:$AA$1000,6,FALSE),IF(LEFT(B14,1)="G"," ",IF(LEFT(B14,2)="ma"," "," ")))</f>
        <v>1</v>
      </c>
      <c r="Z14" s="90">
        <f>IFERROR(VLOOKUP(A14&amp;"a",COPY!$S$2:$AA$1000,6,FALSE)," ")</f>
        <v>5</v>
      </c>
      <c r="AA14" s="90">
        <f>IFERROR(VLOOKUP(A14&amp;"aa",COPY!$S$2:$AA$1000,6,FALSE)," ")</f>
        <v>20</v>
      </c>
      <c r="AB14" s="90">
        <f>IFERROR(VLOOKUP(A14&amp;"aaa",COPY!$S$2:$AA$1000,6,FALSE)," ")</f>
        <v>20</v>
      </c>
      <c r="AC14" s="90" t="str">
        <f>IFERROR(VLOOKUP(A14&amp;"aaaa",COPY!$S$2:$AA$1000,6,FALSE)," ")</f>
        <v xml:space="preserve"> </v>
      </c>
      <c r="AD14" s="90" t="str">
        <f>IFERROR(VLOOKUP(A14&amp;"aaaaa",COPY!$S$2:$AA$1000,6,FALSE)," ")</f>
        <v xml:space="preserve"> </v>
      </c>
      <c r="AE14" s="90" t="str">
        <f>IFERROR(VLOOKUP(A14&amp;"aaaaaa",COPY!$S$2:$AA$1000,6,FALSE)," ")</f>
        <v xml:space="preserve"> </v>
      </c>
      <c r="AF14" s="90" t="str">
        <f>IFERROR(VLOOKUP(A14&amp;"aaaaaaa",COPY!$S$2:$AA$1000,6,FALSE)," ")</f>
        <v xml:space="preserve"> </v>
      </c>
      <c r="AG14" s="90" t="str">
        <f>IFERROR(VLOOKUP(A14&amp;"aaaaaaaa",COPY!$S$2:$AA$1000,6,FALSE)," ")</f>
        <v xml:space="preserve"> </v>
      </c>
      <c r="AH14" s="90" t="str">
        <f>IFERROR(VLOOKUP(A14&amp;"aaaaaaaaa",COPY!$S$2:$AA$1000,6,FALSE)," ")</f>
        <v xml:space="preserve"> </v>
      </c>
      <c r="AI14" s="90" t="str">
        <f>IFERROR(VLOOKUP(A14&amp;"aaaaaaaaaa",COPY!$S$2:$AA$1000,6,FALSE)," ")</f>
        <v xml:space="preserve"> </v>
      </c>
      <c r="AJ14" s="90" t="str">
        <f>IFERROR(VLOOKUP(A14&amp;"aaaaaaaaaaa",COPY!$S$2:$AA$1000,6,FALSE)," ")</f>
        <v xml:space="preserve"> </v>
      </c>
      <c r="AK14" s="90" t="str">
        <f>IF(LEFT(B14,2)="mg",VLOOKUP(A14,COPY!$S$2:$AA$1000,7,FALSE),IF(LEFT(B14,1)="G"," ",IF(LEFT(B14,2)="ma"," "," ")))</f>
        <v>Pik Up</v>
      </c>
      <c r="AL14" s="90" t="str">
        <f>IFERROR(VLOOKUP(A14&amp;"a",COPY!$S$2:$AA$1000,7,FALSE)," ")</f>
        <v>kg</v>
      </c>
      <c r="AM14" s="90" t="str">
        <f>IFERROR(VLOOKUP(A14&amp;"aa",COPY!$S$2:$AA$1000,7,FALSE)," ")</f>
        <v>Ljr</v>
      </c>
      <c r="AN14" s="90" t="str">
        <f>IFERROR(VLOOKUP(A14&amp;"aaa",COPY!$S$2:$AA$1000,7,FALSE)," ")</f>
        <v>Ljr</v>
      </c>
      <c r="AO14" s="90" t="str">
        <f>IFERROR(VLOOKUP(A14&amp;"aaaa",COPY!$S$2:$AA$1000,7,FALSE)," ")</f>
        <v xml:space="preserve"> </v>
      </c>
      <c r="AP14" s="90" t="str">
        <f>IFERROR(VLOOKUP(A14&amp;"aaaaa",COPY!$S$2:$AA$1000,7,FALSE)," ")</f>
        <v xml:space="preserve"> </v>
      </c>
      <c r="AQ14" s="90" t="str">
        <f>IFERROR(VLOOKUP(A14&amp;"aaaaaa",COPY!$S$2:$AA$1000,7,FALSE)," ")</f>
        <v xml:space="preserve"> </v>
      </c>
      <c r="AR14" s="90" t="str">
        <f>IFERROR(VLOOKUP(A14&amp;"aaaaaaa",COPY!$S$2:$AA$1000,7,FALSE)," ")</f>
        <v xml:space="preserve"> </v>
      </c>
      <c r="AS14" s="90" t="str">
        <f>IFERROR(VLOOKUP(A14&amp;"aaaaaaaa",COPY!$S$2:$AA$1000,7,FALSE)," ")</f>
        <v xml:space="preserve"> </v>
      </c>
      <c r="AT14" s="90" t="str">
        <f>IFERROR(VLOOKUP(A14&amp;"aaaaaaaaa",COPY!$S$2:$AA$1000,7,FALSE)," ")</f>
        <v xml:space="preserve"> </v>
      </c>
      <c r="AU14" s="90" t="str">
        <f>IFERROR(VLOOKUP(A14&amp;"aaaaaaaaaa",COPY!$S$2:$AA$1000,7,FALSE)," ")</f>
        <v xml:space="preserve"> </v>
      </c>
      <c r="AV14" s="90" t="str">
        <f>IFERROR(VLOOKUP(A14&amp;"aaaaaaaaaaa",COPY!$S$2:$AA$1000,7,FALSE)," ")</f>
        <v xml:space="preserve"> </v>
      </c>
    </row>
    <row r="15" spans="1:48" x14ac:dyDescent="0.2">
      <c r="A15" s="75" t="str">
        <f>'REKAP PAJAK'!W52</f>
        <v>BKK.14</v>
      </c>
      <c r="B15" s="75" t="str">
        <f>IF(LEN(A15)&gt;1,VLOOKUP(A15,COPY!$O$2:$R$1000,4,FALSE),"")</f>
        <v>Men2</v>
      </c>
      <c r="C15" s="75" t="str">
        <f t="shared" si="0"/>
        <v>MELIA FITRIANI, S.Pd.SD</v>
      </c>
      <c r="D15" s="75" t="str">
        <f t="shared" si="1"/>
        <v>NIP. 19850619 200904 2 000</v>
      </c>
      <c r="E15" s="75" t="str">
        <f t="shared" si="2"/>
        <v>ARIF NUR UDIN, S.Pd.SD</v>
      </c>
      <c r="F15" s="75" t="str">
        <f t="shared" si="3"/>
        <v>NIP. 19840719 200903 1 002</v>
      </c>
      <c r="G15" s="75" t="str">
        <f>IFERROR(TEXT(VLOOKUP(A15,COPY!$S$2:$W$1000,3,FALSE),"dd mmmm yyyy")," ")</f>
        <v>12 September 2025</v>
      </c>
      <c r="H15" s="75" t="str">
        <f t="shared" si="4"/>
        <v>SDN 1 SIDODADI</v>
      </c>
      <c r="I15" s="75" t="str">
        <f t="shared" si="5"/>
        <v>NGANTANG</v>
      </c>
      <c r="J15" s="90">
        <f>IFERROR(VLOOKUP(A15,COPY!$S$2:$W$1000,4,FALSE)," ")</f>
        <v>420000</v>
      </c>
      <c r="K15" s="75" t="str">
        <f>IFERROR(VLOOKUP(A15,COPY!$S$2:$W$1000,5,FALSE)," ")</f>
        <v>Empat Ratus Dua Puluh Ribu Rupiah</v>
      </c>
      <c r="L15" s="75" t="str">
        <f>IF(B15="","",IF(LEFT(B15,2)="Ma",(VLOOKUP(B15,'Rekap Gaji'!$C$12:$D$26,2,FALSE))&amp;" Untuk "&amp;(PROPER('Rekap Gaji'!$B$2)),IF(LEFT(B15,2)="Mg","Pembelian Material Bahan Bangunan",IF(LEFT(B15,2)="Me","Biaya Pembelanjaan Menejemen",IF(LEFT(B15,1)="G",VLOOKUP(A15,COPY!$S$2:$AA$1000,2,FALSE)&amp;"( "&amp;TEXT(VLOOKUP(B15,'Rekap Gaji'!$A$12:$I$26,5,FALSE),"dd-mm-yyyy")&amp;" "&amp;TEXT(VLOOKUP(B15,'Rekap Gaji'!$A$12:$I$26,6,FALSE)&amp;" "&amp;TEXT(VLOOKUP(B15,'Rekap Gaji'!$A$12:$I$26,7,FALSE),"dd-mm-yyyy")&amp;" )"," "))))))</f>
        <v>Biaya Pembelanjaan Menejemen</v>
      </c>
      <c r="M15" s="75" t="str">
        <f>IF(OR(LEFT(B15,2)="mg",LEFT(B15,2)="mE"),VLOOKUP(A15,COPY!$S$2:$AA$1000,2,FALSE),IF(LEFT(B15,1)="G"," ",IF(LEFT(B15,2)="ma"," "," ")))</f>
        <v>Kosumsi Rapat Dengan Komite</v>
      </c>
      <c r="N15" s="75" t="str">
        <f>IFERROR(VLOOKUP($A$15&amp;"a",COPY!$S$2:$AA$1000,2,FALSE)," ")</f>
        <v xml:space="preserve"> </v>
      </c>
      <c r="O15" s="75" t="str">
        <f>IFERROR(VLOOKUP($A$15&amp;"aa",COPY!$S$2:$AA$1000,2,FALSE)," ")</f>
        <v xml:space="preserve"> </v>
      </c>
      <c r="P15" s="75" t="str">
        <f>IFERROR(VLOOKUP($A$15&amp;"aaa",COPY!$S$2:$AA$1000,2,FALSE)," ")</f>
        <v xml:space="preserve"> </v>
      </c>
      <c r="Q15" s="75" t="str">
        <f>IFERROR(VLOOKUP($A$15&amp;"aaaa",COPY!$S$2:$AA$1000,2,FALSE)," ")</f>
        <v xml:space="preserve"> </v>
      </c>
      <c r="R15" s="75" t="str">
        <f>IFERROR(VLOOKUP($A$15&amp;"aaaaa",COPY!$S$2:$AA$1000,2,FALSE)," ")</f>
        <v xml:space="preserve"> </v>
      </c>
      <c r="S15" s="75" t="str">
        <f>IFERROR(VLOOKUP($A$15&amp;"aaaaaa",COPY!$S$2:$AA$1000,2,FALSE)," ")</f>
        <v xml:space="preserve"> </v>
      </c>
      <c r="T15" s="75" t="str">
        <f>IFERROR(VLOOKUP($A$15&amp;"aaaaaaa",COPY!$S$2:$AA$1000,2,FALSE)," ")</f>
        <v xml:space="preserve"> </v>
      </c>
      <c r="U15" s="75" t="str">
        <f>IFERROR(VLOOKUP($A$15&amp;"aaaaaaaa",COPY!$S$2:$AA$1000,2,FALSE)," ")</f>
        <v xml:space="preserve"> </v>
      </c>
      <c r="V15" s="75" t="str">
        <f>IFERROR(VLOOKUP($A$15&amp;"aaaaaaaaa",COPY!$S$2:$AA$1000,2,FALSE)," ")</f>
        <v xml:space="preserve"> </v>
      </c>
      <c r="W15" s="75" t="str">
        <f>IFERROR(VLOOKUP($A$15&amp;"aaaaaaaaaa",COPY!$S$2:$AA$1000,2,FALSE)," ")</f>
        <v xml:space="preserve"> </v>
      </c>
      <c r="X15" s="75" t="str">
        <f>IFERROR(VLOOKUP($A$15&amp;"aaaaaaaaaaa",COPY!$S$2:$AA$1000,2,FALSE)," ")</f>
        <v xml:space="preserve"> </v>
      </c>
      <c r="Y15" s="90">
        <f>IF(OR(LEFT(B15,2)="mg",LEFT(B15,2)="mE"),VLOOKUP(A15,COPY!$S$2:$AA$1000,6,FALSE),IF(LEFT(B15,1)="G"," ",IF(LEFT(B15,2)="ma"," "," ")))</f>
        <v>14</v>
      </c>
      <c r="Z15" s="90" t="str">
        <f>IFERROR(VLOOKUP(A15&amp;"a",COPY!$S$2:$AA$1000,6,FALSE)," ")</f>
        <v xml:space="preserve"> </v>
      </c>
      <c r="AA15" s="90" t="str">
        <f>IFERROR(VLOOKUP(A15&amp;"aa",COPY!$S$2:$AA$1000,6,FALSE)," ")</f>
        <v xml:space="preserve"> </v>
      </c>
      <c r="AB15" s="90" t="str">
        <f>IFERROR(VLOOKUP(A15&amp;"aaa",COPY!$S$2:$AA$1000,6,FALSE)," ")</f>
        <v xml:space="preserve"> </v>
      </c>
      <c r="AC15" s="90" t="str">
        <f>IFERROR(VLOOKUP(A15&amp;"aaaa",COPY!$S$2:$AA$1000,6,FALSE)," ")</f>
        <v xml:space="preserve"> </v>
      </c>
      <c r="AD15" s="90" t="str">
        <f>IFERROR(VLOOKUP(A15&amp;"aaaaa",COPY!$S$2:$AA$1000,6,FALSE)," ")</f>
        <v xml:space="preserve"> </v>
      </c>
      <c r="AE15" s="90" t="str">
        <f>IFERROR(VLOOKUP(A15&amp;"aaaaaa",COPY!$S$2:$AA$1000,6,FALSE)," ")</f>
        <v xml:space="preserve"> </v>
      </c>
      <c r="AF15" s="90" t="str">
        <f>IFERROR(VLOOKUP(A15&amp;"aaaaaaa",COPY!$S$2:$AA$1000,6,FALSE)," ")</f>
        <v xml:space="preserve"> </v>
      </c>
      <c r="AG15" s="90" t="str">
        <f>IFERROR(VLOOKUP(A15&amp;"aaaaaaaa",COPY!$S$2:$AA$1000,6,FALSE)," ")</f>
        <v xml:space="preserve"> </v>
      </c>
      <c r="AH15" s="90" t="str">
        <f>IFERROR(VLOOKUP(A15&amp;"aaaaaaaaa",COPY!$S$2:$AA$1000,6,FALSE)," ")</f>
        <v xml:space="preserve"> </v>
      </c>
      <c r="AI15" s="90" t="str">
        <f>IFERROR(VLOOKUP(A15&amp;"aaaaaaaaaa",COPY!$S$2:$AA$1000,6,FALSE)," ")</f>
        <v xml:space="preserve"> </v>
      </c>
      <c r="AJ15" s="90" t="str">
        <f>IFERROR(VLOOKUP(A15&amp;"aaaaaaaaaaa",COPY!$S$2:$AA$1000,6,FALSE)," ")</f>
        <v xml:space="preserve"> </v>
      </c>
      <c r="AK15" s="90" t="str">
        <f>IF(LEFT(B15,2)="mg",VLOOKUP(A15,COPY!$S$2:$AA$1000,7,FALSE),IF(LEFT(B15,1)="G"," ",IF(LEFT(B15,2)="ma"," "," ")))</f>
        <v xml:space="preserve"> </v>
      </c>
      <c r="AL15" s="90" t="str">
        <f>IFERROR(VLOOKUP(A15&amp;"a",COPY!$S$2:$AA$1000,7,FALSE)," ")</f>
        <v xml:space="preserve"> </v>
      </c>
      <c r="AM15" s="90" t="str">
        <f>IFERROR(VLOOKUP(A15&amp;"aa",COPY!$S$2:$AA$1000,7,FALSE)," ")</f>
        <v xml:space="preserve"> </v>
      </c>
      <c r="AN15" s="90" t="str">
        <f>IFERROR(VLOOKUP(A15&amp;"aaa",COPY!$S$2:$AA$1000,7,FALSE)," ")</f>
        <v xml:space="preserve"> </v>
      </c>
      <c r="AO15" s="90" t="str">
        <f>IFERROR(VLOOKUP(A15&amp;"aaaa",COPY!$S$2:$AA$1000,7,FALSE)," ")</f>
        <v xml:space="preserve"> </v>
      </c>
      <c r="AP15" s="90" t="str">
        <f>IFERROR(VLOOKUP(A15&amp;"aaaaa",COPY!$S$2:$AA$1000,7,FALSE)," ")</f>
        <v xml:space="preserve"> </v>
      </c>
      <c r="AQ15" s="90" t="str">
        <f>IFERROR(VLOOKUP(A15&amp;"aaaaaa",COPY!$S$2:$AA$1000,7,FALSE)," ")</f>
        <v xml:space="preserve"> </v>
      </c>
      <c r="AR15" s="90" t="str">
        <f>IFERROR(VLOOKUP(A15&amp;"aaaaaaa",COPY!$S$2:$AA$1000,7,FALSE)," ")</f>
        <v xml:space="preserve"> </v>
      </c>
      <c r="AS15" s="90" t="str">
        <f>IFERROR(VLOOKUP(A15&amp;"aaaaaaaa",COPY!$S$2:$AA$1000,7,FALSE)," ")</f>
        <v xml:space="preserve"> </v>
      </c>
      <c r="AT15" s="90" t="str">
        <f>IFERROR(VLOOKUP(A15&amp;"aaaaaaaaa",COPY!$S$2:$AA$1000,7,FALSE)," ")</f>
        <v xml:space="preserve"> </v>
      </c>
      <c r="AU15" s="90" t="str">
        <f>IFERROR(VLOOKUP(A15&amp;"aaaaaaaaaa",COPY!$S$2:$AA$1000,7,FALSE)," ")</f>
        <v xml:space="preserve"> </v>
      </c>
      <c r="AV15" s="90" t="str">
        <f>IFERROR(VLOOKUP(A15&amp;"aaaaaaaaaaa",COPY!$S$2:$AA$1000,7,FALSE)," ")</f>
        <v xml:space="preserve"> </v>
      </c>
    </row>
    <row r="16" spans="1:48" x14ac:dyDescent="0.2">
      <c r="A16" s="75" t="str">
        <f>'REKAP PAJAK'!W53</f>
        <v>BKK.15</v>
      </c>
      <c r="B16" s="75" t="str">
        <f>IF(LEN(A16)&gt;1,VLOOKUP(A16,COPY!$O$2:$R$1000,4,FALSE),"")</f>
        <v>Mgg2</v>
      </c>
      <c r="C16" s="75" t="str">
        <f t="shared" si="0"/>
        <v>MELIA FITRIANI, S.Pd.SD</v>
      </c>
      <c r="D16" s="75" t="str">
        <f t="shared" si="1"/>
        <v>NIP. 19850619 200904 2 000</v>
      </c>
      <c r="E16" s="75" t="str">
        <f t="shared" si="2"/>
        <v>ARIF NUR UDIN, S.Pd.SD</v>
      </c>
      <c r="F16" s="75" t="str">
        <f t="shared" si="3"/>
        <v>NIP. 19840719 200903 1 002</v>
      </c>
      <c r="G16" s="75" t="str">
        <f>IFERROR(TEXT(VLOOKUP(A16,COPY!$S$2:$W$1000,3,FALSE),"dd mmmm yyyy")," ")</f>
        <v>13 September 2025</v>
      </c>
      <c r="H16" s="75" t="str">
        <f t="shared" si="4"/>
        <v>SDN 1 SIDODADI</v>
      </c>
      <c r="I16" s="75" t="str">
        <f t="shared" si="5"/>
        <v>NGANTANG</v>
      </c>
      <c r="J16" s="90">
        <f>IFERROR(VLOOKUP(A16,COPY!$S$2:$W$1000,4,FALSE)," ")</f>
        <v>1931000</v>
      </c>
      <c r="K16" s="75" t="str">
        <f>IFERROR(VLOOKUP(A16,COPY!$S$2:$W$1000,5,FALSE)," ")</f>
        <v>Satu Juta Sembilan Ratus Tiga Puluh Satu Ribu Rupiah</v>
      </c>
      <c r="L16" s="75" t="str">
        <f>IF(B16="","",IF(LEFT(B16,2)="Ma",(VLOOKUP(B16,'Rekap Gaji'!$C$12:$D$26,2,FALSE))&amp;" Untuk "&amp;(PROPER('Rekap Gaji'!$B$2)),IF(LEFT(B16,2)="Mg","Pembelian Material Bahan Bangunan",IF(LEFT(B16,2)="Me","Biaya Pembelanjaan Menejemen",IF(LEFT(B16,1)="G",VLOOKUP(A16,COPY!$S$2:$AA$1000,2,FALSE)&amp;"( "&amp;TEXT(VLOOKUP(B16,'Rekap Gaji'!$A$12:$I$26,5,FALSE),"dd-mm-yyyy")&amp;" "&amp;TEXT(VLOOKUP(B16,'Rekap Gaji'!$A$12:$I$26,6,FALSE)&amp;" "&amp;TEXT(VLOOKUP(B16,'Rekap Gaji'!$A$12:$I$26,7,FALSE),"dd-mm-yyyy")&amp;" )"," "))))))</f>
        <v>Pembelian Material Bahan Bangunan</v>
      </c>
      <c r="M16" s="75" t="str">
        <f>IF(OR(LEFT(B16,2)="mg",LEFT(B16,2)="mE"),VLOOKUP(A16,COPY!$S$2:$AA$1000,2,FALSE),IF(LEFT(B16,1)="G"," ",IF(LEFT(B16,2)="ma"," "," ")))</f>
        <v>Besi 8.0 Sni</v>
      </c>
      <c r="N16" s="75" t="str">
        <f>IFERROR(VLOOKUP($A$16&amp;"a",COPY!$S$2:$AA$1000,2,FALSE)," ")</f>
        <v>Besi Sni 10.0</v>
      </c>
      <c r="O16" s="75" t="str">
        <f>IFERROR(VLOOKUP($A$16&amp;"aa",COPY!$S$2:$AA$1000,2,FALSE)," ")</f>
        <v xml:space="preserve"> </v>
      </c>
      <c r="P16" s="75" t="str">
        <f>IFERROR(VLOOKUP($A$16&amp;"aaa",COPY!$S$2:$AA$1000,2,FALSE)," ")</f>
        <v xml:space="preserve"> </v>
      </c>
      <c r="Q16" s="75" t="str">
        <f>IFERROR(VLOOKUP($A$16&amp;"aaaa",COPY!$S$2:$AA$1000,2,FALSE)," ")</f>
        <v xml:space="preserve"> </v>
      </c>
      <c r="R16" s="75" t="str">
        <f>IFERROR(VLOOKUP($A$16&amp;"aaaaa",COPY!$S$2:$AA$1000,2,FALSE)," ")</f>
        <v xml:space="preserve"> </v>
      </c>
      <c r="S16" s="75" t="str">
        <f>IFERROR(VLOOKUP($A$16&amp;"aaaaaa",COPY!$S$2:$AA$1000,2,FALSE)," ")</f>
        <v xml:space="preserve"> </v>
      </c>
      <c r="T16" s="75" t="str">
        <f>IFERROR(VLOOKUP($A$16&amp;"aaaaaaa",COPY!$S$2:$AA$1000,2,FALSE)," ")</f>
        <v xml:space="preserve"> </v>
      </c>
      <c r="U16" s="75" t="str">
        <f>IFERROR(VLOOKUP($A$16&amp;"aaaaaaaa",COPY!$S$2:$AA$1000,2,FALSE)," ")</f>
        <v xml:space="preserve"> </v>
      </c>
      <c r="V16" s="75" t="str">
        <f>IFERROR(VLOOKUP($A$16&amp;"aaaaaaaaa",COPY!$S$2:$AA$1000,2,FALSE)," ")</f>
        <v xml:space="preserve"> </v>
      </c>
      <c r="W16" s="75" t="str">
        <f>IFERROR(VLOOKUP($A$16&amp;"aaaaaaaaaa",COPY!$S$2:$AA$1000,2,FALSE)," ")</f>
        <v xml:space="preserve"> </v>
      </c>
      <c r="X16" s="75" t="str">
        <f>IFERROR(VLOOKUP($A$16&amp;"aaaaaaaaaaa",COPY!$S$2:$AA$1000,2,FALSE)," ")</f>
        <v xml:space="preserve"> </v>
      </c>
      <c r="Y16" s="90">
        <f>IF(OR(LEFT(B16,2)="mg",LEFT(B16,2)="mE"),VLOOKUP(A16,COPY!$S$2:$AA$1000,6,FALSE),IF(LEFT(B16,1)="G"," ",IF(LEFT(B16,2)="ma"," "," ")))</f>
        <v>15</v>
      </c>
      <c r="Z16" s="90">
        <f>IFERROR(VLOOKUP(A16&amp;"a",COPY!$S$2:$AA$1000,6,FALSE)," ")</f>
        <v>17</v>
      </c>
      <c r="AA16" s="90" t="str">
        <f>IFERROR(VLOOKUP(A16&amp;"aa",COPY!$S$2:$AA$1000,6,FALSE)," ")</f>
        <v xml:space="preserve"> </v>
      </c>
      <c r="AB16" s="90" t="str">
        <f>IFERROR(VLOOKUP(A16&amp;"aaa",COPY!$S$2:$AA$1000,6,FALSE)," ")</f>
        <v xml:space="preserve"> </v>
      </c>
      <c r="AC16" s="90" t="str">
        <f>IFERROR(VLOOKUP(A16&amp;"aaaa",COPY!$S$2:$AA$1000,6,FALSE)," ")</f>
        <v xml:space="preserve"> </v>
      </c>
      <c r="AD16" s="90" t="str">
        <f>IFERROR(VLOOKUP(A16&amp;"aaaaa",COPY!$S$2:$AA$1000,6,FALSE)," ")</f>
        <v xml:space="preserve"> </v>
      </c>
      <c r="AE16" s="90" t="str">
        <f>IFERROR(VLOOKUP(A16&amp;"aaaaaa",COPY!$S$2:$AA$1000,6,FALSE)," ")</f>
        <v xml:space="preserve"> </v>
      </c>
      <c r="AF16" s="90" t="str">
        <f>IFERROR(VLOOKUP(A16&amp;"aaaaaaa",COPY!$S$2:$AA$1000,6,FALSE)," ")</f>
        <v xml:space="preserve"> </v>
      </c>
      <c r="AG16" s="90" t="str">
        <f>IFERROR(VLOOKUP(A16&amp;"aaaaaaaa",COPY!$S$2:$AA$1000,6,FALSE)," ")</f>
        <v xml:space="preserve"> </v>
      </c>
      <c r="AH16" s="90" t="str">
        <f>IFERROR(VLOOKUP(A16&amp;"aaaaaaaaa",COPY!$S$2:$AA$1000,6,FALSE)," ")</f>
        <v xml:space="preserve"> </v>
      </c>
      <c r="AI16" s="90" t="str">
        <f>IFERROR(VLOOKUP(A16&amp;"aaaaaaaaaa",COPY!$S$2:$AA$1000,6,FALSE)," ")</f>
        <v xml:space="preserve"> </v>
      </c>
      <c r="AJ16" s="90" t="str">
        <f>IFERROR(VLOOKUP(A16&amp;"aaaaaaaaaaa",COPY!$S$2:$AA$1000,6,FALSE)," ")</f>
        <v xml:space="preserve"> </v>
      </c>
      <c r="AK16" s="90" t="str">
        <f>IF(LEFT(B16,2)="mg",VLOOKUP(A16,COPY!$S$2:$AA$1000,7,FALSE),IF(LEFT(B16,1)="G"," ",IF(LEFT(B16,2)="ma"," "," ")))</f>
        <v>Ljr</v>
      </c>
      <c r="AL16" s="90" t="str">
        <f>IFERROR(VLOOKUP(A16&amp;"a",COPY!$S$2:$AA$1000,7,FALSE)," ")</f>
        <v>Ljr</v>
      </c>
      <c r="AM16" s="90" t="str">
        <f>IFERROR(VLOOKUP(A16&amp;"aa",COPY!$S$2:$AA$1000,7,FALSE)," ")</f>
        <v xml:space="preserve"> </v>
      </c>
      <c r="AN16" s="90" t="str">
        <f>IFERROR(VLOOKUP(A16&amp;"aaa",COPY!$S$2:$AA$1000,7,FALSE)," ")</f>
        <v xml:space="preserve"> </v>
      </c>
      <c r="AO16" s="90" t="str">
        <f>IFERROR(VLOOKUP(A16&amp;"aaaa",COPY!$S$2:$AA$1000,7,FALSE)," ")</f>
        <v xml:space="preserve"> </v>
      </c>
      <c r="AP16" s="90" t="str">
        <f>IFERROR(VLOOKUP(A16&amp;"aaaaa",COPY!$S$2:$AA$1000,7,FALSE)," ")</f>
        <v xml:space="preserve"> </v>
      </c>
      <c r="AQ16" s="90" t="str">
        <f>IFERROR(VLOOKUP(A16&amp;"aaaaaa",COPY!$S$2:$AA$1000,7,FALSE)," ")</f>
        <v xml:space="preserve"> </v>
      </c>
      <c r="AR16" s="90" t="str">
        <f>IFERROR(VLOOKUP(A16&amp;"aaaaaaa",COPY!$S$2:$AA$1000,7,FALSE)," ")</f>
        <v xml:space="preserve"> </v>
      </c>
      <c r="AS16" s="90" t="str">
        <f>IFERROR(VLOOKUP(A16&amp;"aaaaaaaa",COPY!$S$2:$AA$1000,7,FALSE)," ")</f>
        <v xml:space="preserve"> </v>
      </c>
      <c r="AT16" s="90" t="str">
        <f>IFERROR(VLOOKUP(A16&amp;"aaaaaaaaa",COPY!$S$2:$AA$1000,7,FALSE)," ")</f>
        <v xml:space="preserve"> </v>
      </c>
      <c r="AU16" s="90" t="str">
        <f>IFERROR(VLOOKUP(A16&amp;"aaaaaaaaaa",COPY!$S$2:$AA$1000,7,FALSE)," ")</f>
        <v xml:space="preserve"> </v>
      </c>
      <c r="AV16" s="90" t="str">
        <f>IFERROR(VLOOKUP(A16&amp;"aaaaaaaaaaa",COPY!$S$2:$AA$1000,7,FALSE)," ")</f>
        <v xml:space="preserve"> </v>
      </c>
    </row>
    <row r="17" spans="1:48" x14ac:dyDescent="0.2">
      <c r="A17" s="75" t="str">
        <f>'REKAP PAJAK'!W54</f>
        <v>BKK.16</v>
      </c>
      <c r="B17" s="75" t="str">
        <f>IF(LEN(A17)&gt;1,VLOOKUP(A17,COPY!$O$2:$R$1000,4,FALSE),"")</f>
        <v>Gaj2</v>
      </c>
      <c r="C17" s="75" t="str">
        <f t="shared" si="0"/>
        <v>MELIA FITRIANI, S.Pd.SD</v>
      </c>
      <c r="D17" s="75" t="str">
        <f t="shared" si="1"/>
        <v>NIP. 19850619 200904 2 000</v>
      </c>
      <c r="E17" s="75" t="str">
        <f t="shared" si="2"/>
        <v>ARIF NUR UDIN, S.Pd.SD</v>
      </c>
      <c r="F17" s="75" t="str">
        <f t="shared" si="3"/>
        <v>NIP. 19840719 200903 1 002</v>
      </c>
      <c r="G17" s="75" t="str">
        <f>IFERROR(TEXT(VLOOKUP(A17,COPY!$S$2:$W$1000,3,FALSE),"dd mmmm yyyy")," ")</f>
        <v>13 September 2025</v>
      </c>
      <c r="H17" s="75" t="str">
        <f t="shared" si="4"/>
        <v>SDN 1 SIDODADI</v>
      </c>
      <c r="I17" s="75" t="str">
        <f t="shared" si="5"/>
        <v>NGANTANG</v>
      </c>
      <c r="J17" s="90">
        <f>IFERROR(VLOOKUP(A17,COPY!$S$2:$W$1000,4,FALSE)," ")</f>
        <v>5350000</v>
      </c>
      <c r="K17" s="75" t="str">
        <f>IFERROR(VLOOKUP(A17,COPY!$S$2:$W$1000,5,FALSE)," ")</f>
        <v>Lima Juta Tiga Ratus Lima Puluh Ribu Rupiah</v>
      </c>
      <c r="L17" s="75" t="str">
        <f>IF(B17="","",IF(LEFT(B17,2)="Ma",(VLOOKUP(B17,'Rekap Gaji'!$C$12:$D$26,2,FALSE))&amp;" Untuk "&amp;(PROPER('Rekap Gaji'!$B$2)),IF(LEFT(B17,2)="Mg","Pembelian Material Bahan Bangunan",IF(LEFT(B17,2)="Me","Biaya Pembelanjaan Menejemen",IF(LEFT(B17,1)="G",VLOOKUP(A17,COPY!$S$2:$AA$1000,2,FALSE)&amp;"( "&amp;TEXT(VLOOKUP(B17,'Rekap Gaji'!$A$12:$I$26,5,FALSE),"dd-mm-yyyy")&amp;" "&amp;TEXT(VLOOKUP(B17,'Rekap Gaji'!$A$12:$I$26,6,FALSE)&amp;" "&amp;TEXT(VLOOKUP(B17,'Rekap Gaji'!$A$12:$I$26,7,FALSE),"dd-mm-yyyy")&amp;" )"," "))))))</f>
        <v>Pembayaran Pekerja Minggu Ke 2( 07-09-2025 s/d 13-09-2025 )</v>
      </c>
      <c r="M17" s="75" t="str">
        <f>IF(OR(LEFT(B17,2)="mg",LEFT(B17,2)="mE"),VLOOKUP(A17,COPY!$S$2:$AA$1000,2,FALSE),IF(LEFT(B17,1)="G"," ",IF(LEFT(B17,2)="ma"," "," ")))</f>
        <v xml:space="preserve"> </v>
      </c>
      <c r="N17" s="75" t="str">
        <f>IFERROR(VLOOKUP($A$17&amp;"a",COPY!$S$2:$AA$1000,2,FALSE)," ")</f>
        <v xml:space="preserve"> </v>
      </c>
      <c r="O17" s="75" t="str">
        <f>IFERROR(VLOOKUP($A$17&amp;"aa",COPY!$S$2:$AA$1000,2,FALSE)," ")</f>
        <v xml:space="preserve"> </v>
      </c>
      <c r="P17" s="75" t="str">
        <f>IFERROR(VLOOKUP($A$17&amp;"aaa",COPY!$S$2:$AA$1000,2,FALSE)," ")</f>
        <v xml:space="preserve"> </v>
      </c>
      <c r="Q17" s="75" t="str">
        <f>IFERROR(VLOOKUP($A$17&amp;"aaaa",COPY!$S$2:$AA$1000,2,FALSE)," ")</f>
        <v xml:space="preserve"> </v>
      </c>
      <c r="R17" s="75" t="str">
        <f>IFERROR(VLOOKUP($A$17&amp;"aaaaa",COPY!$S$2:$AA$1000,2,FALSE)," ")</f>
        <v xml:space="preserve"> </v>
      </c>
      <c r="S17" s="75" t="str">
        <f>IFERROR(VLOOKUP($A$17&amp;"aaaaaa",COPY!$S$2:$AA$1000,2,FALSE)," ")</f>
        <v xml:space="preserve"> </v>
      </c>
      <c r="T17" s="75" t="str">
        <f>IFERROR(VLOOKUP($A$17&amp;"aaaaaaa",COPY!$S$2:$AA$1000,2,FALSE)," ")</f>
        <v xml:space="preserve"> </v>
      </c>
      <c r="U17" s="75" t="str">
        <f>IFERROR(VLOOKUP($A$17&amp;"aaaaaaaa",COPY!$S$2:$AA$1000,2,FALSE)," ")</f>
        <v xml:space="preserve"> </v>
      </c>
      <c r="V17" s="75" t="str">
        <f>IFERROR(VLOOKUP($A$17&amp;"aaaaaaaaa",COPY!$S$2:$AA$1000,2,FALSE)," ")</f>
        <v xml:space="preserve"> </v>
      </c>
      <c r="W17" s="75" t="str">
        <f>IFERROR(VLOOKUP($A$17&amp;"aaaaaaaaaa",COPY!$S$2:$AA$1000,2,FALSE)," ")</f>
        <v xml:space="preserve"> </v>
      </c>
      <c r="X17" s="75" t="str">
        <f>IFERROR(VLOOKUP($A$17&amp;"aaaaaaaaaaa",COPY!$S$2:$AA$1000,2,FALSE)," ")</f>
        <v xml:space="preserve"> </v>
      </c>
      <c r="Y17" s="90" t="str">
        <f>IF(OR(LEFT(B17,2)="mg",LEFT(B17,2)="mE"),VLOOKUP(A17,COPY!$S$2:$AA$1000,6,FALSE),IF(LEFT(B17,1)="G"," ",IF(LEFT(B17,2)="ma"," "," ")))</f>
        <v xml:space="preserve"> </v>
      </c>
      <c r="Z17" s="90" t="str">
        <f>IFERROR(VLOOKUP(A17&amp;"a",COPY!$S$2:$AA$1000,6,FALSE)," ")</f>
        <v xml:space="preserve"> </v>
      </c>
      <c r="AA17" s="90" t="str">
        <f>IFERROR(VLOOKUP(A17&amp;"aa",COPY!$S$2:$AA$1000,6,FALSE)," ")</f>
        <v xml:space="preserve"> </v>
      </c>
      <c r="AB17" s="90" t="str">
        <f>IFERROR(VLOOKUP(A17&amp;"aaa",COPY!$S$2:$AA$1000,6,FALSE)," ")</f>
        <v xml:space="preserve"> </v>
      </c>
      <c r="AC17" s="90" t="str">
        <f>IFERROR(VLOOKUP(A17&amp;"aaaa",COPY!$S$2:$AA$1000,6,FALSE)," ")</f>
        <v xml:space="preserve"> </v>
      </c>
      <c r="AD17" s="90" t="str">
        <f>IFERROR(VLOOKUP(A17&amp;"aaaaa",COPY!$S$2:$AA$1000,6,FALSE)," ")</f>
        <v xml:space="preserve"> </v>
      </c>
      <c r="AE17" s="90" t="str">
        <f>IFERROR(VLOOKUP(A17&amp;"aaaaaa",COPY!$S$2:$AA$1000,6,FALSE)," ")</f>
        <v xml:space="preserve"> </v>
      </c>
      <c r="AF17" s="90" t="str">
        <f>IFERROR(VLOOKUP(A17&amp;"aaaaaaa",COPY!$S$2:$AA$1000,6,FALSE)," ")</f>
        <v xml:space="preserve"> </v>
      </c>
      <c r="AG17" s="90" t="str">
        <f>IFERROR(VLOOKUP(A17&amp;"aaaaaaaa",COPY!$S$2:$AA$1000,6,FALSE)," ")</f>
        <v xml:space="preserve"> </v>
      </c>
      <c r="AH17" s="90" t="str">
        <f>IFERROR(VLOOKUP(A17&amp;"aaaaaaaaa",COPY!$S$2:$AA$1000,6,FALSE)," ")</f>
        <v xml:space="preserve"> </v>
      </c>
      <c r="AI17" s="90" t="str">
        <f>IFERROR(VLOOKUP(A17&amp;"aaaaaaaaaa",COPY!$S$2:$AA$1000,6,FALSE)," ")</f>
        <v xml:space="preserve"> </v>
      </c>
      <c r="AJ17" s="90" t="str">
        <f>IFERROR(VLOOKUP(A17&amp;"aaaaaaaaaaa",COPY!$S$2:$AA$1000,6,FALSE)," ")</f>
        <v xml:space="preserve"> </v>
      </c>
      <c r="AK17" s="90" t="str">
        <f>IF(LEFT(B17,2)="mg",VLOOKUP(A17,COPY!$S$2:$AA$1000,7,FALSE),IF(LEFT(B17,1)="G"," ",IF(LEFT(B17,2)="ma"," "," ")))</f>
        <v xml:space="preserve"> </v>
      </c>
      <c r="AL17" s="90" t="str">
        <f>IFERROR(VLOOKUP(A17&amp;"a",COPY!$S$2:$AA$1000,7,FALSE)," ")</f>
        <v xml:space="preserve"> </v>
      </c>
      <c r="AM17" s="90" t="str">
        <f>IFERROR(VLOOKUP(A17&amp;"aa",COPY!$S$2:$AA$1000,7,FALSE)," ")</f>
        <v xml:space="preserve"> </v>
      </c>
      <c r="AN17" s="90" t="str">
        <f>IFERROR(VLOOKUP(A17&amp;"aaa",COPY!$S$2:$AA$1000,7,FALSE)," ")</f>
        <v xml:space="preserve"> </v>
      </c>
      <c r="AO17" s="90" t="str">
        <f>IFERROR(VLOOKUP(A17&amp;"aaaa",COPY!$S$2:$AA$1000,7,FALSE)," ")</f>
        <v xml:space="preserve"> </v>
      </c>
      <c r="AP17" s="90" t="str">
        <f>IFERROR(VLOOKUP(A17&amp;"aaaaa",COPY!$S$2:$AA$1000,7,FALSE)," ")</f>
        <v xml:space="preserve"> </v>
      </c>
      <c r="AQ17" s="90" t="str">
        <f>IFERROR(VLOOKUP(A17&amp;"aaaaaa",COPY!$S$2:$AA$1000,7,FALSE)," ")</f>
        <v xml:space="preserve"> </v>
      </c>
      <c r="AR17" s="90" t="str">
        <f>IFERROR(VLOOKUP(A17&amp;"aaaaaaa",COPY!$S$2:$AA$1000,7,FALSE)," ")</f>
        <v xml:space="preserve"> </v>
      </c>
      <c r="AS17" s="90" t="str">
        <f>IFERROR(VLOOKUP(A17&amp;"aaaaaaaa",COPY!$S$2:$AA$1000,7,FALSE)," ")</f>
        <v xml:space="preserve"> </v>
      </c>
      <c r="AT17" s="90" t="str">
        <f>IFERROR(VLOOKUP(A17&amp;"aaaaaaaaa",COPY!$S$2:$AA$1000,7,FALSE)," ")</f>
        <v xml:space="preserve"> </v>
      </c>
      <c r="AU17" s="90" t="str">
        <f>IFERROR(VLOOKUP(A17&amp;"aaaaaaaaaa",COPY!$S$2:$AA$1000,7,FALSE)," ")</f>
        <v xml:space="preserve"> </v>
      </c>
      <c r="AV17" s="90" t="str">
        <f>IFERROR(VLOOKUP(A17&amp;"aaaaaaaaaaa",COPY!$S$2:$AA$1000,7,FALSE)," ")</f>
        <v xml:space="preserve"> </v>
      </c>
    </row>
    <row r="18" spans="1:48" x14ac:dyDescent="0.2">
      <c r="A18" s="75" t="str">
        <f>'REKAP PAJAK'!W55</f>
        <v>BKK.17</v>
      </c>
      <c r="B18" s="75" t="str">
        <f>IF(LEN(A18)&gt;1,VLOOKUP(A18,COPY!$O$2:$R$1000,4,FALSE),"")</f>
        <v>Mgg3</v>
      </c>
      <c r="C18" s="75" t="str">
        <f t="shared" si="0"/>
        <v>MELIA FITRIANI, S.Pd.SD</v>
      </c>
      <c r="D18" s="75" t="str">
        <f t="shared" si="1"/>
        <v>NIP. 19850619 200904 2 000</v>
      </c>
      <c r="E18" s="75" t="str">
        <f t="shared" si="2"/>
        <v>ARIF NUR UDIN, S.Pd.SD</v>
      </c>
      <c r="F18" s="75" t="str">
        <f t="shared" si="3"/>
        <v>NIP. 19840719 200903 1 002</v>
      </c>
      <c r="G18" s="75" t="str">
        <f>IFERROR(TEXT(VLOOKUP(A18,COPY!$S$2:$W$1000,3,FALSE),"dd mmmm yyyy")," ")</f>
        <v>16 September 2025</v>
      </c>
      <c r="H18" s="75" t="str">
        <f t="shared" si="4"/>
        <v>SDN 1 SIDODADI</v>
      </c>
      <c r="I18" s="75" t="str">
        <f t="shared" si="5"/>
        <v>NGANTANG</v>
      </c>
      <c r="J18" s="90">
        <f>IFERROR(VLOOKUP(A18,COPY!$S$2:$W$1000,4,FALSE)," ")</f>
        <v>1919000</v>
      </c>
      <c r="K18" s="75" t="str">
        <f>IFERROR(VLOOKUP(A18,COPY!$S$2:$W$1000,5,FALSE)," ")</f>
        <v>Satu Juta Sembilan Ratus Sembilan Belas Ribu Rupiah</v>
      </c>
      <c r="L18" s="75" t="str">
        <f>IF(B18="","",IF(LEFT(B18,2)="Ma",(VLOOKUP(B18,'Rekap Gaji'!$C$12:$D$26,2,FALSE))&amp;" Untuk "&amp;(PROPER('Rekap Gaji'!$B$2)),IF(LEFT(B18,2)="Mg","Pembelian Material Bahan Bangunan",IF(LEFT(B18,2)="Me","Biaya Pembelanjaan Menejemen",IF(LEFT(B18,1)="G",VLOOKUP(A18,COPY!$S$2:$AA$1000,2,FALSE)&amp;"( "&amp;TEXT(VLOOKUP(B18,'Rekap Gaji'!$A$12:$I$26,5,FALSE),"dd-mm-yyyy")&amp;" "&amp;TEXT(VLOOKUP(B18,'Rekap Gaji'!$A$12:$I$26,6,FALSE)&amp;" "&amp;TEXT(VLOOKUP(B18,'Rekap Gaji'!$A$12:$I$26,7,FALSE),"dd-mm-yyyy")&amp;" )"," "))))))</f>
        <v>Pembelian Material Bahan Bangunan</v>
      </c>
      <c r="M18" s="75" t="str">
        <f>IF(OR(LEFT(B18,2)="mg",LEFT(B18,2)="mE"),VLOOKUP(A18,COPY!$S$2:$AA$1000,2,FALSE),IF(LEFT(B18,1)="G"," ",IF(LEFT(B18,2)="ma"," "," ")))</f>
        <v>Paku 1 1/2</v>
      </c>
      <c r="N18" s="75" t="str">
        <f>IFERROR(VLOOKUP($A$18&amp;"a",COPY!$S$2:$AA$1000,2,FALSE)," ")</f>
        <v>Paku 2</v>
      </c>
      <c r="O18" s="75" t="str">
        <f>IFERROR(VLOOKUP($A$18&amp;"aa",COPY!$S$2:$AA$1000,2,FALSE)," ")</f>
        <v>Kayu 3 X 5</v>
      </c>
      <c r="P18" s="75" t="str">
        <f>IFERROR(VLOOKUP($A$18&amp;"aaa",COPY!$S$2:$AA$1000,2,FALSE)," ")</f>
        <v>Pasir Cor L300</v>
      </c>
      <c r="Q18" s="75" t="str">
        <f>IFERROR(VLOOKUP($A$18&amp;"aaaa",COPY!$S$2:$AA$1000,2,FALSE)," ")</f>
        <v>Koral L300</v>
      </c>
      <c r="R18" s="75" t="str">
        <f>IFERROR(VLOOKUP($A$18&amp;"aaaaa",COPY!$S$2:$AA$1000,2,FALSE)," ")</f>
        <v>Semen Gresik 40Kg</v>
      </c>
      <c r="S18" s="75" t="str">
        <f>IFERROR(VLOOKUP($A$18&amp;"aaaaaa",COPY!$S$2:$AA$1000,2,FALSE)," ")</f>
        <v xml:space="preserve"> </v>
      </c>
      <c r="T18" s="75" t="str">
        <f>IFERROR(VLOOKUP($A$18&amp;"aaaaaaa",COPY!$S$2:$AA$1000,2,FALSE)," ")</f>
        <v xml:space="preserve"> </v>
      </c>
      <c r="U18" s="75" t="str">
        <f>IFERROR(VLOOKUP($A$18&amp;"aaaaaaaa",COPY!$S$2:$AA$1000,2,FALSE)," ")</f>
        <v xml:space="preserve"> </v>
      </c>
      <c r="V18" s="75" t="str">
        <f>IFERROR(VLOOKUP($A$18&amp;"aaaaaaaaa",COPY!$S$2:$AA$1000,2,FALSE)," ")</f>
        <v xml:space="preserve"> </v>
      </c>
      <c r="W18" s="75" t="str">
        <f>IFERROR(VLOOKUP($A$18&amp;"aaaaaaaaaa",COPY!$S$2:$AA$1000,2,FALSE)," ")</f>
        <v xml:space="preserve"> </v>
      </c>
      <c r="X18" s="75" t="str">
        <f>IFERROR(VLOOKUP($A$18&amp;"aaaaaaaaaaa",COPY!$S$2:$AA$1000,2,FALSE)," ")</f>
        <v xml:space="preserve"> </v>
      </c>
      <c r="Y18" s="90">
        <f>IF(OR(LEFT(B18,2)="mg",LEFT(B18,2)="mE"),VLOOKUP(A18,COPY!$S$2:$AA$1000,6,FALSE),IF(LEFT(B18,1)="G"," ",IF(LEFT(B18,2)="ma"," "," ")))</f>
        <v>2</v>
      </c>
      <c r="Z18" s="90">
        <f>IFERROR(VLOOKUP(A18&amp;"a",COPY!$S$2:$AA$1000,6,FALSE)," ")</f>
        <v>2</v>
      </c>
      <c r="AA18" s="90">
        <f>IFERROR(VLOOKUP(A18&amp;"aa",COPY!$S$2:$AA$1000,6,FALSE)," ")</f>
        <v>6</v>
      </c>
      <c r="AB18" s="90">
        <f>IFERROR(VLOOKUP(A18&amp;"aaa",COPY!$S$2:$AA$1000,6,FALSE)," ")</f>
        <v>1</v>
      </c>
      <c r="AC18" s="90">
        <f>IFERROR(VLOOKUP(A18&amp;"aaaa",COPY!$S$2:$AA$1000,6,FALSE)," ")</f>
        <v>1</v>
      </c>
      <c r="AD18" s="90">
        <f>IFERROR(VLOOKUP(A18&amp;"aaaaa",COPY!$S$2:$AA$1000,6,FALSE)," ")</f>
        <v>6</v>
      </c>
      <c r="AE18" s="90" t="str">
        <f>IFERROR(VLOOKUP(A18&amp;"aaaaaa",COPY!$S$2:$AA$1000,6,FALSE)," ")</f>
        <v xml:space="preserve"> </v>
      </c>
      <c r="AF18" s="90" t="str">
        <f>IFERROR(VLOOKUP(A18&amp;"aaaaaaa",COPY!$S$2:$AA$1000,6,FALSE)," ")</f>
        <v xml:space="preserve"> </v>
      </c>
      <c r="AG18" s="90" t="str">
        <f>IFERROR(VLOOKUP(A18&amp;"aaaaaaaa",COPY!$S$2:$AA$1000,6,FALSE)," ")</f>
        <v xml:space="preserve"> </v>
      </c>
      <c r="AH18" s="90" t="str">
        <f>IFERROR(VLOOKUP(A18&amp;"aaaaaaaaa",COPY!$S$2:$AA$1000,6,FALSE)," ")</f>
        <v xml:space="preserve"> </v>
      </c>
      <c r="AI18" s="90" t="str">
        <f>IFERROR(VLOOKUP(A18&amp;"aaaaaaaaaa",COPY!$S$2:$AA$1000,6,FALSE)," ")</f>
        <v xml:space="preserve"> </v>
      </c>
      <c r="AJ18" s="90" t="str">
        <f>IFERROR(VLOOKUP(A18&amp;"aaaaaaaaaaa",COPY!$S$2:$AA$1000,6,FALSE)," ")</f>
        <v xml:space="preserve"> </v>
      </c>
      <c r="AK18" s="90" t="str">
        <f>IF(LEFT(B18,2)="mg",VLOOKUP(A18,COPY!$S$2:$AA$1000,7,FALSE),IF(LEFT(B18,1)="G"," ",IF(LEFT(B18,2)="ma"," "," ")))</f>
        <v>kg</v>
      </c>
      <c r="AL18" s="90" t="str">
        <f>IFERROR(VLOOKUP(A18&amp;"a",COPY!$S$2:$AA$1000,7,FALSE)," ")</f>
        <v>kg</v>
      </c>
      <c r="AM18" s="90" t="str">
        <f>IFERROR(VLOOKUP(A18&amp;"aa",COPY!$S$2:$AA$1000,7,FALSE)," ")</f>
        <v>Ljr</v>
      </c>
      <c r="AN18" s="90" t="str">
        <f>IFERROR(VLOOKUP(A18&amp;"aaa",COPY!$S$2:$AA$1000,7,FALSE)," ")</f>
        <v>Pik Up</v>
      </c>
      <c r="AO18" s="90" t="str">
        <f>IFERROR(VLOOKUP(A18&amp;"aaaa",COPY!$S$2:$AA$1000,7,FALSE)," ")</f>
        <v>Pik Up</v>
      </c>
      <c r="AP18" s="90" t="str">
        <f>IFERROR(VLOOKUP(A18&amp;"aaaaa",COPY!$S$2:$AA$1000,7,FALSE)," ")</f>
        <v>Sak</v>
      </c>
      <c r="AQ18" s="90" t="str">
        <f>IFERROR(VLOOKUP(A18&amp;"aaaaaa",COPY!$S$2:$AA$1000,7,FALSE)," ")</f>
        <v xml:space="preserve"> </v>
      </c>
      <c r="AR18" s="90" t="str">
        <f>IFERROR(VLOOKUP(A18&amp;"aaaaaaa",COPY!$S$2:$AA$1000,7,FALSE)," ")</f>
        <v xml:space="preserve"> </v>
      </c>
      <c r="AS18" s="90" t="str">
        <f>IFERROR(VLOOKUP(A18&amp;"aaaaaaaa",COPY!$S$2:$AA$1000,7,FALSE)," ")</f>
        <v xml:space="preserve"> </v>
      </c>
      <c r="AT18" s="90" t="str">
        <f>IFERROR(VLOOKUP(A18&amp;"aaaaaaaaa",COPY!$S$2:$AA$1000,7,FALSE)," ")</f>
        <v xml:space="preserve"> </v>
      </c>
      <c r="AU18" s="90" t="str">
        <f>IFERROR(VLOOKUP(A18&amp;"aaaaaaaaaa",COPY!$S$2:$AA$1000,7,FALSE)," ")</f>
        <v xml:space="preserve"> </v>
      </c>
      <c r="AV18" s="90" t="str">
        <f>IFERROR(VLOOKUP(A18&amp;"aaaaaaaaaaa",COPY!$S$2:$AA$1000,7,FALSE)," ")</f>
        <v xml:space="preserve"> </v>
      </c>
    </row>
    <row r="19" spans="1:48" x14ac:dyDescent="0.2">
      <c r="A19" s="75" t="str">
        <f>'REKAP PAJAK'!W56</f>
        <v>BKK.18</v>
      </c>
      <c r="B19" s="75" t="str">
        <f>IF(LEN(A19)&gt;1,VLOOKUP(A19,COPY!$O$2:$R$1000,4,FALSE),"")</f>
        <v>Mgg3</v>
      </c>
      <c r="C19" s="75" t="str">
        <f t="shared" si="0"/>
        <v>MELIA FITRIANI, S.Pd.SD</v>
      </c>
      <c r="D19" s="75" t="str">
        <f t="shared" si="1"/>
        <v>NIP. 19850619 200904 2 000</v>
      </c>
      <c r="E19" s="75" t="str">
        <f t="shared" si="2"/>
        <v>ARIF NUR UDIN, S.Pd.SD</v>
      </c>
      <c r="F19" s="75" t="str">
        <f t="shared" si="3"/>
        <v>NIP. 19840719 200903 1 002</v>
      </c>
      <c r="G19" s="75" t="str">
        <f>IFERROR(TEXT(VLOOKUP(A19,COPY!$S$2:$W$1000,3,FALSE),"dd mmmm yyyy")," ")</f>
        <v>17 September 2025</v>
      </c>
      <c r="H19" s="75" t="str">
        <f t="shared" si="4"/>
        <v>SDN 1 SIDODADI</v>
      </c>
      <c r="I19" s="75" t="str">
        <f t="shared" si="5"/>
        <v>NGANTANG</v>
      </c>
      <c r="J19" s="90">
        <f>IFERROR(VLOOKUP(A19,COPY!$S$2:$W$1000,4,FALSE)," ")</f>
        <v>1902000</v>
      </c>
      <c r="K19" s="75" t="str">
        <f>IFERROR(VLOOKUP(A19,COPY!$S$2:$W$1000,5,FALSE)," ")</f>
        <v>Satu Juta Sembilan Ratus Dua Ribu Rupiah</v>
      </c>
      <c r="L19" s="75" t="str">
        <f>IF(B19="","",IF(LEFT(B19,2)="Ma",(VLOOKUP(B19,'Rekap Gaji'!$C$12:$D$26,2,FALSE))&amp;" Untuk "&amp;(PROPER('Rekap Gaji'!$B$2)),IF(LEFT(B19,2)="Mg","Pembelian Material Bahan Bangunan",IF(LEFT(B19,2)="Me","Biaya Pembelanjaan Menejemen",IF(LEFT(B19,1)="G",VLOOKUP(A19,COPY!$S$2:$AA$1000,2,FALSE)&amp;"( "&amp;TEXT(VLOOKUP(B19,'Rekap Gaji'!$A$12:$I$26,5,FALSE),"dd-mm-yyyy")&amp;" "&amp;TEXT(VLOOKUP(B19,'Rekap Gaji'!$A$12:$I$26,6,FALSE)&amp;" "&amp;TEXT(VLOOKUP(B19,'Rekap Gaji'!$A$12:$I$26,7,FALSE),"dd-mm-yyyy")&amp;" )"," "))))))</f>
        <v>Pembelian Material Bahan Bangunan</v>
      </c>
      <c r="M19" s="75" t="str">
        <f>IF(OR(LEFT(B19,2)="mg",LEFT(B19,2)="mE"),VLOOKUP(A19,COPY!$S$2:$AA$1000,2,FALSE),IF(LEFT(B19,1)="G"," ",IF(LEFT(B19,2)="ma"," "," ")))</f>
        <v>Besi Sni 10.0</v>
      </c>
      <c r="N19" s="75" t="str">
        <f>IFERROR(VLOOKUP($A$19&amp;"a",COPY!$S$2:$AA$1000,2,FALSE)," ")</f>
        <v>Semen Gresik 40Kg</v>
      </c>
      <c r="O19" s="75" t="str">
        <f>IFERROR(VLOOKUP($A$19&amp;"aa",COPY!$S$2:$AA$1000,2,FALSE)," ")</f>
        <v>Pipa Pvc Rucika D 3"</v>
      </c>
      <c r="P19" s="75" t="str">
        <f>IFERROR(VLOOKUP($A$19&amp;"aaa",COPY!$S$2:$AA$1000,2,FALSE)," ")</f>
        <v xml:space="preserve"> </v>
      </c>
      <c r="Q19" s="75" t="str">
        <f>IFERROR(VLOOKUP($A$19&amp;"aaaa",COPY!$S$2:$AA$1000,2,FALSE)," ")</f>
        <v xml:space="preserve"> </v>
      </c>
      <c r="R19" s="75" t="str">
        <f>IFERROR(VLOOKUP($A$19&amp;"aaaaa",COPY!$S$2:$AA$1000,2,FALSE)," ")</f>
        <v xml:space="preserve"> </v>
      </c>
      <c r="S19" s="75" t="str">
        <f>IFERROR(VLOOKUP($A$19&amp;"aaaaaa",COPY!$S$2:$AA$1000,2,FALSE)," ")</f>
        <v xml:space="preserve"> </v>
      </c>
      <c r="T19" s="75" t="str">
        <f>IFERROR(VLOOKUP($A$19&amp;"aaaaaaa",COPY!$S$2:$AA$1000,2,FALSE)," ")</f>
        <v xml:space="preserve"> </v>
      </c>
      <c r="U19" s="75" t="str">
        <f>IFERROR(VLOOKUP($A$19&amp;"aaaaaaaa",COPY!$S$2:$AA$1000,2,FALSE)," ")</f>
        <v xml:space="preserve"> </v>
      </c>
      <c r="V19" s="75" t="str">
        <f>IFERROR(VLOOKUP($A$19&amp;"aaaaaaaaa",COPY!$S$2:$AA$1000,2,FALSE)," ")</f>
        <v xml:space="preserve"> </v>
      </c>
      <c r="W19" s="75" t="str">
        <f>IFERROR(VLOOKUP($A$19&amp;"aaaaaaaaaa",COPY!$S$2:$AA$1000,2,FALSE)," ")</f>
        <v xml:space="preserve"> </v>
      </c>
      <c r="X19" s="75" t="str">
        <f>IFERROR(VLOOKUP($A$19&amp;"aaaaaaaaaaa",COPY!$S$2:$AA$1000,2,FALSE)," ")</f>
        <v xml:space="preserve"> </v>
      </c>
      <c r="Y19" s="90">
        <f>IF(OR(LEFT(B19,2)="mg",LEFT(B19,2)="mE"),VLOOKUP(A19,COPY!$S$2:$AA$1000,6,FALSE),IF(LEFT(B19,1)="G"," ",IF(LEFT(B19,2)="ma"," "," ")))</f>
        <v>15</v>
      </c>
      <c r="Z19" s="90">
        <f>IFERROR(VLOOKUP(A19&amp;"a",COPY!$S$2:$AA$1000,6,FALSE)," ")</f>
        <v>4</v>
      </c>
      <c r="AA19" s="90">
        <f>IFERROR(VLOOKUP(A19&amp;"aa",COPY!$S$2:$AA$1000,6,FALSE)," ")</f>
        <v>5</v>
      </c>
      <c r="AB19" s="90" t="str">
        <f>IFERROR(VLOOKUP(A19&amp;"aaa",COPY!$S$2:$AA$1000,6,FALSE)," ")</f>
        <v xml:space="preserve"> </v>
      </c>
      <c r="AC19" s="90" t="str">
        <f>IFERROR(VLOOKUP(A19&amp;"aaaa",COPY!$S$2:$AA$1000,6,FALSE)," ")</f>
        <v xml:space="preserve"> </v>
      </c>
      <c r="AD19" s="90" t="str">
        <f>IFERROR(VLOOKUP(A19&amp;"aaaaa",COPY!$S$2:$AA$1000,6,FALSE)," ")</f>
        <v xml:space="preserve"> </v>
      </c>
      <c r="AE19" s="90" t="str">
        <f>IFERROR(VLOOKUP(A19&amp;"aaaaaa",COPY!$S$2:$AA$1000,6,FALSE)," ")</f>
        <v xml:space="preserve"> </v>
      </c>
      <c r="AF19" s="90" t="str">
        <f>IFERROR(VLOOKUP(A19&amp;"aaaaaaa",COPY!$S$2:$AA$1000,6,FALSE)," ")</f>
        <v xml:space="preserve"> </v>
      </c>
      <c r="AG19" s="90" t="str">
        <f>IFERROR(VLOOKUP(A19&amp;"aaaaaaaa",COPY!$S$2:$AA$1000,6,FALSE)," ")</f>
        <v xml:space="preserve"> </v>
      </c>
      <c r="AH19" s="90" t="str">
        <f>IFERROR(VLOOKUP(A19&amp;"aaaaaaaaa",COPY!$S$2:$AA$1000,6,FALSE)," ")</f>
        <v xml:space="preserve"> </v>
      </c>
      <c r="AI19" s="90" t="str">
        <f>IFERROR(VLOOKUP(A19&amp;"aaaaaaaaaa",COPY!$S$2:$AA$1000,6,FALSE)," ")</f>
        <v xml:space="preserve"> </v>
      </c>
      <c r="AJ19" s="90" t="str">
        <f>IFERROR(VLOOKUP(A19&amp;"aaaaaaaaaaa",COPY!$S$2:$AA$1000,6,FALSE)," ")</f>
        <v xml:space="preserve"> </v>
      </c>
      <c r="AK19" s="90" t="str">
        <f>IF(LEFT(B19,2)="mg",VLOOKUP(A19,COPY!$S$2:$AA$1000,7,FALSE),IF(LEFT(B19,1)="G"," ",IF(LEFT(B19,2)="ma"," "," ")))</f>
        <v>Ljr</v>
      </c>
      <c r="AL19" s="90" t="str">
        <f>IFERROR(VLOOKUP(A19&amp;"a",COPY!$S$2:$AA$1000,7,FALSE)," ")</f>
        <v>Sak</v>
      </c>
      <c r="AM19" s="90" t="str">
        <f>IFERROR(VLOOKUP(A19&amp;"aa",COPY!$S$2:$AA$1000,7,FALSE)," ")</f>
        <v>Ljr</v>
      </c>
      <c r="AN19" s="90" t="str">
        <f>IFERROR(VLOOKUP(A19&amp;"aaa",COPY!$S$2:$AA$1000,7,FALSE)," ")</f>
        <v xml:space="preserve"> </v>
      </c>
      <c r="AO19" s="90" t="str">
        <f>IFERROR(VLOOKUP(A19&amp;"aaaa",COPY!$S$2:$AA$1000,7,FALSE)," ")</f>
        <v xml:space="preserve"> </v>
      </c>
      <c r="AP19" s="90" t="str">
        <f>IFERROR(VLOOKUP(A19&amp;"aaaaa",COPY!$S$2:$AA$1000,7,FALSE)," ")</f>
        <v xml:space="preserve"> </v>
      </c>
      <c r="AQ19" s="90" t="str">
        <f>IFERROR(VLOOKUP(A19&amp;"aaaaaa",COPY!$S$2:$AA$1000,7,FALSE)," ")</f>
        <v xml:space="preserve"> </v>
      </c>
      <c r="AR19" s="90" t="str">
        <f>IFERROR(VLOOKUP(A19&amp;"aaaaaaa",COPY!$S$2:$AA$1000,7,FALSE)," ")</f>
        <v xml:space="preserve"> </v>
      </c>
      <c r="AS19" s="90" t="str">
        <f>IFERROR(VLOOKUP(A19&amp;"aaaaaaaa",COPY!$S$2:$AA$1000,7,FALSE)," ")</f>
        <v xml:space="preserve"> </v>
      </c>
      <c r="AT19" s="90" t="str">
        <f>IFERROR(VLOOKUP(A19&amp;"aaaaaaaaa",COPY!$S$2:$AA$1000,7,FALSE)," ")</f>
        <v xml:space="preserve"> </v>
      </c>
      <c r="AU19" s="90" t="str">
        <f>IFERROR(VLOOKUP(A19&amp;"aaaaaaaaaa",COPY!$S$2:$AA$1000,7,FALSE)," ")</f>
        <v xml:space="preserve"> </v>
      </c>
      <c r="AV19" s="90" t="str">
        <f>IFERROR(VLOOKUP(A19&amp;"aaaaaaaaaaa",COPY!$S$2:$AA$1000,7,FALSE)," ")</f>
        <v xml:space="preserve"> </v>
      </c>
    </row>
    <row r="20" spans="1:48" x14ac:dyDescent="0.2">
      <c r="A20" s="75" t="str">
        <f>'REKAP PAJAK'!W57</f>
        <v>BKK.19</v>
      </c>
      <c r="B20" s="75" t="str">
        <f>IF(LEN(A20)&gt;1,VLOOKUP(A20,COPY!$O$2:$R$1000,4,FALSE),"")</f>
        <v>Mgg3</v>
      </c>
      <c r="C20" s="75" t="str">
        <f t="shared" si="0"/>
        <v>MELIA FITRIANI, S.Pd.SD</v>
      </c>
      <c r="D20" s="75" t="str">
        <f t="shared" si="1"/>
        <v>NIP. 19850619 200904 2 000</v>
      </c>
      <c r="E20" s="75" t="str">
        <f t="shared" si="2"/>
        <v>ARIF NUR UDIN, S.Pd.SD</v>
      </c>
      <c r="F20" s="75" t="str">
        <f t="shared" si="3"/>
        <v>NIP. 19840719 200903 1 002</v>
      </c>
      <c r="G20" s="75" t="str">
        <f>IFERROR(TEXT(VLOOKUP(A20,COPY!$S$2:$W$1000,3,FALSE),"dd mmmm yyyy")," ")</f>
        <v>18 September 2025</v>
      </c>
      <c r="H20" s="75" t="str">
        <f t="shared" si="4"/>
        <v>SDN 1 SIDODADI</v>
      </c>
      <c r="I20" s="75" t="str">
        <f t="shared" si="5"/>
        <v>NGANTANG</v>
      </c>
      <c r="J20" s="90">
        <f>IFERROR(VLOOKUP(A20,COPY!$S$2:$W$1000,4,FALSE)," ")</f>
        <v>1563000</v>
      </c>
      <c r="K20" s="75" t="str">
        <f>IFERROR(VLOOKUP(A20,COPY!$S$2:$W$1000,5,FALSE)," ")</f>
        <v>Satu Juta Lima Ratus Enam Puluh Tiga Ribu Rupiah</v>
      </c>
      <c r="L20" s="75" t="str">
        <f>IF(B20="","",IF(LEFT(B20,2)="Ma",(VLOOKUP(B20,'Rekap Gaji'!$C$12:$D$26,2,FALSE))&amp;" Untuk "&amp;(PROPER('Rekap Gaji'!$B$2)),IF(LEFT(B20,2)="Mg","Pembelian Material Bahan Bangunan",IF(LEFT(B20,2)="Me","Biaya Pembelanjaan Menejemen",IF(LEFT(B20,1)="G",VLOOKUP(A20,COPY!$S$2:$AA$1000,2,FALSE)&amp;"( "&amp;TEXT(VLOOKUP(B20,'Rekap Gaji'!$A$12:$I$26,5,FALSE),"dd-mm-yyyy")&amp;" "&amp;TEXT(VLOOKUP(B20,'Rekap Gaji'!$A$12:$I$26,6,FALSE)&amp;" "&amp;TEXT(VLOOKUP(B20,'Rekap Gaji'!$A$12:$I$26,7,FALSE),"dd-mm-yyyy")&amp;" )"," "))))))</f>
        <v>Pembelian Material Bahan Bangunan</v>
      </c>
      <c r="M20" s="75" t="str">
        <f>IF(OR(LEFT(B20,2)="mg",LEFT(B20,2)="mE"),VLOOKUP(A20,COPY!$S$2:$AA$1000,2,FALSE),IF(LEFT(B20,1)="G"," ",IF(LEFT(B20,2)="ma"," "," ")))</f>
        <v>Bendrat Spq</v>
      </c>
      <c r="N20" s="75" t="str">
        <f>IFERROR(VLOOKUP($A$20&amp;"a",COPY!$S$2:$AA$1000,2,FALSE)," ")</f>
        <v>Besi 6.0 Sni</v>
      </c>
      <c r="O20" s="75" t="str">
        <f>IFERROR(VLOOKUP($A$20&amp;"aa",COPY!$S$2:$AA$1000,2,FALSE)," ")</f>
        <v>Besi 8.0 Sni</v>
      </c>
      <c r="P20" s="75" t="str">
        <f>IFERROR(VLOOKUP($A$20&amp;"aaa",COPY!$S$2:$AA$1000,2,FALSE)," ")</f>
        <v>Pipa Pvc Rucika D 2 1/2"</v>
      </c>
      <c r="Q20" s="75" t="str">
        <f>IFERROR(VLOOKUP($A$20&amp;"aaaa",COPY!$S$2:$AA$1000,2,FALSE)," ")</f>
        <v>Pipa Pvc Rucika D 3"</v>
      </c>
      <c r="R20" s="75" t="str">
        <f>IFERROR(VLOOKUP($A$20&amp;"aaaaa",COPY!$S$2:$AA$1000,2,FALSE)," ")</f>
        <v xml:space="preserve"> </v>
      </c>
      <c r="S20" s="75" t="str">
        <f>IFERROR(VLOOKUP($A$20&amp;"aaaaaa",COPY!$S$2:$AA$1000,2,FALSE)," ")</f>
        <v xml:space="preserve"> </v>
      </c>
      <c r="T20" s="75" t="str">
        <f>IFERROR(VLOOKUP($A$20&amp;"aaaaaaa",COPY!$S$2:$AA$1000,2,FALSE)," ")</f>
        <v xml:space="preserve"> </v>
      </c>
      <c r="U20" s="75" t="str">
        <f>IFERROR(VLOOKUP($A$20&amp;"aaaaaaaa",COPY!$S$2:$AA$1000,2,FALSE)," ")</f>
        <v xml:space="preserve"> </v>
      </c>
      <c r="V20" s="75" t="str">
        <f>IFERROR(VLOOKUP($A$20&amp;"aaaaaaaaa",COPY!$S$2:$AA$1000,2,FALSE)," ")</f>
        <v xml:space="preserve"> </v>
      </c>
      <c r="W20" s="75" t="str">
        <f>IFERROR(VLOOKUP($A$20&amp;"aaaaaaaaaa",COPY!$S$2:$AA$1000,2,FALSE)," ")</f>
        <v xml:space="preserve"> </v>
      </c>
      <c r="X20" s="75" t="str">
        <f>IFERROR(VLOOKUP($A$20&amp;"aaaaaaaaaaa",COPY!$S$2:$AA$1000,2,FALSE)," ")</f>
        <v xml:space="preserve"> </v>
      </c>
      <c r="Y20" s="90">
        <f>IF(OR(LEFT(B20,2)="mg",LEFT(B20,2)="mE"),VLOOKUP(A20,COPY!$S$2:$AA$1000,6,FALSE),IF(LEFT(B20,1)="G"," ",IF(LEFT(B20,2)="ma"," "," ")))</f>
        <v>4</v>
      </c>
      <c r="Z20" s="90">
        <f>IFERROR(VLOOKUP(A20&amp;"a",COPY!$S$2:$AA$1000,6,FALSE)," ")</f>
        <v>10</v>
      </c>
      <c r="AA20" s="90">
        <f>IFERROR(VLOOKUP(A20&amp;"aa",COPY!$S$2:$AA$1000,6,FALSE)," ")</f>
        <v>5</v>
      </c>
      <c r="AB20" s="90">
        <f>IFERROR(VLOOKUP(A20&amp;"aaa",COPY!$S$2:$AA$1000,6,FALSE)," ")</f>
        <v>5</v>
      </c>
      <c r="AC20" s="90">
        <f>IFERROR(VLOOKUP(A20&amp;"aaaa",COPY!$S$2:$AA$1000,6,FALSE)," ")</f>
        <v>5</v>
      </c>
      <c r="AD20" s="90" t="str">
        <f>IFERROR(VLOOKUP(A20&amp;"aaaaa",COPY!$S$2:$AA$1000,6,FALSE)," ")</f>
        <v xml:space="preserve"> </v>
      </c>
      <c r="AE20" s="90" t="str">
        <f>IFERROR(VLOOKUP(A20&amp;"aaaaaa",COPY!$S$2:$AA$1000,6,FALSE)," ")</f>
        <v xml:space="preserve"> </v>
      </c>
      <c r="AF20" s="90" t="str">
        <f>IFERROR(VLOOKUP(A20&amp;"aaaaaaa",COPY!$S$2:$AA$1000,6,FALSE)," ")</f>
        <v xml:space="preserve"> </v>
      </c>
      <c r="AG20" s="90" t="str">
        <f>IFERROR(VLOOKUP(A20&amp;"aaaaaaaa",COPY!$S$2:$AA$1000,6,FALSE)," ")</f>
        <v xml:space="preserve"> </v>
      </c>
      <c r="AH20" s="90" t="str">
        <f>IFERROR(VLOOKUP(A20&amp;"aaaaaaaaa",COPY!$S$2:$AA$1000,6,FALSE)," ")</f>
        <v xml:space="preserve"> </v>
      </c>
      <c r="AI20" s="90" t="str">
        <f>IFERROR(VLOOKUP(A20&amp;"aaaaaaaaaa",COPY!$S$2:$AA$1000,6,FALSE)," ")</f>
        <v xml:space="preserve"> </v>
      </c>
      <c r="AJ20" s="90" t="str">
        <f>IFERROR(VLOOKUP(A20&amp;"aaaaaaaaaaa",COPY!$S$2:$AA$1000,6,FALSE)," ")</f>
        <v xml:space="preserve"> </v>
      </c>
      <c r="AK20" s="90" t="str">
        <f>IF(LEFT(B20,2)="mg",VLOOKUP(A20,COPY!$S$2:$AA$1000,7,FALSE),IF(LEFT(B20,1)="G"," ",IF(LEFT(B20,2)="ma"," "," ")))</f>
        <v>kg</v>
      </c>
      <c r="AL20" s="90" t="str">
        <f>IFERROR(VLOOKUP(A20&amp;"a",COPY!$S$2:$AA$1000,7,FALSE)," ")</f>
        <v>Ljr</v>
      </c>
      <c r="AM20" s="90" t="str">
        <f>IFERROR(VLOOKUP(A20&amp;"aa",COPY!$S$2:$AA$1000,7,FALSE)," ")</f>
        <v>Ljr</v>
      </c>
      <c r="AN20" s="90" t="str">
        <f>IFERROR(VLOOKUP(A20&amp;"aaa",COPY!$S$2:$AA$1000,7,FALSE)," ")</f>
        <v>Ljr</v>
      </c>
      <c r="AO20" s="90" t="str">
        <f>IFERROR(VLOOKUP(A20&amp;"aaaa",COPY!$S$2:$AA$1000,7,FALSE)," ")</f>
        <v>Ljr</v>
      </c>
      <c r="AP20" s="90" t="str">
        <f>IFERROR(VLOOKUP(A20&amp;"aaaaa",COPY!$S$2:$AA$1000,7,FALSE)," ")</f>
        <v xml:space="preserve"> </v>
      </c>
      <c r="AQ20" s="90" t="str">
        <f>IFERROR(VLOOKUP(A20&amp;"aaaaaa",COPY!$S$2:$AA$1000,7,FALSE)," ")</f>
        <v xml:space="preserve"> </v>
      </c>
      <c r="AR20" s="90" t="str">
        <f>IFERROR(VLOOKUP(A20&amp;"aaaaaaa",COPY!$S$2:$AA$1000,7,FALSE)," ")</f>
        <v xml:space="preserve"> </v>
      </c>
      <c r="AS20" s="90" t="str">
        <f>IFERROR(VLOOKUP(A20&amp;"aaaaaaaa",COPY!$S$2:$AA$1000,7,FALSE)," ")</f>
        <v xml:space="preserve"> </v>
      </c>
      <c r="AT20" s="90" t="str">
        <f>IFERROR(VLOOKUP(A20&amp;"aaaaaaaaa",COPY!$S$2:$AA$1000,7,FALSE)," ")</f>
        <v xml:space="preserve"> </v>
      </c>
      <c r="AU20" s="90" t="str">
        <f>IFERROR(VLOOKUP(A20&amp;"aaaaaaaaaa",COPY!$S$2:$AA$1000,7,FALSE)," ")</f>
        <v xml:space="preserve"> </v>
      </c>
      <c r="AV20" s="90" t="str">
        <f>IFERROR(VLOOKUP(A20&amp;"aaaaaaaaaaa",COPY!$S$2:$AA$1000,7,FALSE)," ")</f>
        <v xml:space="preserve"> </v>
      </c>
    </row>
    <row r="21" spans="1:48" x14ac:dyDescent="0.2">
      <c r="A21" s="75" t="str">
        <f>'REKAP PAJAK'!W58</f>
        <v>BKK.20</v>
      </c>
      <c r="B21" s="75" t="str">
        <f>IF(LEN(A21)&gt;1,VLOOKUP(A21,COPY!$O$2:$R$1000,4,FALSE),"")</f>
        <v>Mgg3</v>
      </c>
      <c r="C21" s="75" t="str">
        <f t="shared" si="0"/>
        <v>MELIA FITRIANI, S.Pd.SD</v>
      </c>
      <c r="D21" s="75" t="str">
        <f t="shared" si="1"/>
        <v>NIP. 19850619 200904 2 000</v>
      </c>
      <c r="E21" s="75" t="str">
        <f t="shared" si="2"/>
        <v>ARIF NUR UDIN, S.Pd.SD</v>
      </c>
      <c r="F21" s="75" t="str">
        <f t="shared" si="3"/>
        <v>NIP. 19840719 200903 1 002</v>
      </c>
      <c r="G21" s="75" t="str">
        <f>IFERROR(TEXT(VLOOKUP(A21,COPY!$S$2:$W$1000,3,FALSE),"dd mmmm yyyy")," ")</f>
        <v>19 September 2025</v>
      </c>
      <c r="H21" s="75" t="str">
        <f t="shared" si="4"/>
        <v>SDN 1 SIDODADI</v>
      </c>
      <c r="I21" s="75" t="str">
        <f t="shared" si="5"/>
        <v>NGANTANG</v>
      </c>
      <c r="J21" s="90">
        <f>IFERROR(VLOOKUP(A21,COPY!$S$2:$W$1000,4,FALSE)," ")</f>
        <v>1581000</v>
      </c>
      <c r="K21" s="75" t="str">
        <f>IFERROR(VLOOKUP(A21,COPY!$S$2:$W$1000,5,FALSE)," ")</f>
        <v>Satu Juta Lima Ratus Delapan Puluh Satu Ribu Rupiah</v>
      </c>
      <c r="L21" s="75" t="str">
        <f>IF(B21="","",IF(LEFT(B21,2)="Ma",(VLOOKUP(B21,'Rekap Gaji'!$C$12:$D$26,2,FALSE))&amp;" Untuk "&amp;(PROPER('Rekap Gaji'!$B$2)),IF(LEFT(B21,2)="Mg","Pembelian Material Bahan Bangunan",IF(LEFT(B21,2)="Me","Biaya Pembelanjaan Menejemen",IF(LEFT(B21,1)="G",VLOOKUP(A21,COPY!$S$2:$AA$1000,2,FALSE)&amp;"( "&amp;TEXT(VLOOKUP(B21,'Rekap Gaji'!$A$12:$I$26,5,FALSE),"dd-mm-yyyy")&amp;" "&amp;TEXT(VLOOKUP(B21,'Rekap Gaji'!$A$12:$I$26,6,FALSE)&amp;" "&amp;TEXT(VLOOKUP(B21,'Rekap Gaji'!$A$12:$I$26,7,FALSE),"dd-mm-yyyy")&amp;" )"," "))))))</f>
        <v>Pembelian Material Bahan Bangunan</v>
      </c>
      <c r="M21" s="75" t="str">
        <f>IF(OR(LEFT(B21,2)="mg",LEFT(B21,2)="mE"),VLOOKUP(A21,COPY!$S$2:$AA$1000,2,FALSE),IF(LEFT(B21,1)="G"," ",IF(LEFT(B21,2)="ma"," "," ")))</f>
        <v>Besi Sni 10.0</v>
      </c>
      <c r="N21" s="75" t="str">
        <f>IFERROR(VLOOKUP($A$21&amp;"a",COPY!$S$2:$AA$1000,2,FALSE)," ")</f>
        <v>Semen Gresik 40Kg</v>
      </c>
      <c r="O21" s="75" t="str">
        <f>IFERROR(VLOOKUP($A$21&amp;"aa",COPY!$S$2:$AA$1000,2,FALSE)," ")</f>
        <v>Pipa Pvc Rucika D 3"</v>
      </c>
      <c r="P21" s="75" t="str">
        <f>IFERROR(VLOOKUP($A$21&amp;"aaa",COPY!$S$2:$AA$1000,2,FALSE)," ")</f>
        <v>Pipa Pvc Rucika D 4"</v>
      </c>
      <c r="Q21" s="75" t="str">
        <f>IFERROR(VLOOKUP($A$21&amp;"aaaa",COPY!$S$2:$AA$1000,2,FALSE)," ")</f>
        <v xml:space="preserve"> </v>
      </c>
      <c r="R21" s="75" t="str">
        <f>IFERROR(VLOOKUP($A$21&amp;"aaaaa",COPY!$S$2:$AA$1000,2,FALSE)," ")</f>
        <v xml:space="preserve"> </v>
      </c>
      <c r="S21" s="75" t="str">
        <f>IFERROR(VLOOKUP($A$21&amp;"aaaaaa",COPY!$S$2:$AA$1000,2,FALSE)," ")</f>
        <v xml:space="preserve"> </v>
      </c>
      <c r="T21" s="75" t="str">
        <f>IFERROR(VLOOKUP($A$21&amp;"aaaaaaa",COPY!$S$2:$AA$1000,2,FALSE)," ")</f>
        <v xml:space="preserve"> </v>
      </c>
      <c r="U21" s="75" t="str">
        <f>IFERROR(VLOOKUP($A$21&amp;"aaaaaaaa",COPY!$S$2:$AA$1000,2,FALSE)," ")</f>
        <v xml:space="preserve"> </v>
      </c>
      <c r="V21" s="75" t="str">
        <f>IFERROR(VLOOKUP($A$21&amp;"aaaaaaaaa",COPY!$S$2:$AA$1000,2,FALSE)," ")</f>
        <v xml:space="preserve"> </v>
      </c>
      <c r="W21" s="75" t="str">
        <f>IFERROR(VLOOKUP($A$21&amp;"aaaaaaaaaa",COPY!$S$2:$AA$1000,2,FALSE)," ")</f>
        <v xml:space="preserve"> </v>
      </c>
      <c r="X21" s="75" t="str">
        <f>IFERROR(VLOOKUP($A$21&amp;"aaaaaaaaaaa",COPY!$S$2:$AA$1000,2,FALSE)," ")</f>
        <v xml:space="preserve"> </v>
      </c>
      <c r="Y21" s="90">
        <f>IF(OR(LEFT(B21,2)="mg",LEFT(B21,2)="mE"),VLOOKUP(A21,COPY!$S$2:$AA$1000,6,FALSE),IF(LEFT(B21,1)="G"," ",IF(LEFT(B21,2)="ma"," "," ")))</f>
        <v>10</v>
      </c>
      <c r="Z21" s="90">
        <f>IFERROR(VLOOKUP(A21&amp;"a",COPY!$S$2:$AA$1000,6,FALSE)," ")</f>
        <v>6</v>
      </c>
      <c r="AA21" s="90">
        <f>IFERROR(VLOOKUP(A21&amp;"aa",COPY!$S$2:$AA$1000,6,FALSE)," ")</f>
        <v>3</v>
      </c>
      <c r="AB21" s="90">
        <f>IFERROR(VLOOKUP(A21&amp;"aaa",COPY!$S$2:$AA$1000,6,FALSE)," ")</f>
        <v>1</v>
      </c>
      <c r="AC21" s="90" t="str">
        <f>IFERROR(VLOOKUP(A21&amp;"aaaa",COPY!$S$2:$AA$1000,6,FALSE)," ")</f>
        <v xml:space="preserve"> </v>
      </c>
      <c r="AD21" s="90" t="str">
        <f>IFERROR(VLOOKUP(A21&amp;"aaaaa",COPY!$S$2:$AA$1000,6,FALSE)," ")</f>
        <v xml:space="preserve"> </v>
      </c>
      <c r="AE21" s="90" t="str">
        <f>IFERROR(VLOOKUP(A21&amp;"aaaaaa",COPY!$S$2:$AA$1000,6,FALSE)," ")</f>
        <v xml:space="preserve"> </v>
      </c>
      <c r="AF21" s="90" t="str">
        <f>IFERROR(VLOOKUP(A21&amp;"aaaaaaa",COPY!$S$2:$AA$1000,6,FALSE)," ")</f>
        <v xml:space="preserve"> </v>
      </c>
      <c r="AG21" s="90" t="str">
        <f>IFERROR(VLOOKUP(A21&amp;"aaaaaaaa",COPY!$S$2:$AA$1000,6,FALSE)," ")</f>
        <v xml:space="preserve"> </v>
      </c>
      <c r="AH21" s="90" t="str">
        <f>IFERROR(VLOOKUP(A21&amp;"aaaaaaaaa",COPY!$S$2:$AA$1000,6,FALSE)," ")</f>
        <v xml:space="preserve"> </v>
      </c>
      <c r="AI21" s="90" t="str">
        <f>IFERROR(VLOOKUP(A21&amp;"aaaaaaaaaa",COPY!$S$2:$AA$1000,6,FALSE)," ")</f>
        <v xml:space="preserve"> </v>
      </c>
      <c r="AJ21" s="90" t="str">
        <f>IFERROR(VLOOKUP(A21&amp;"aaaaaaaaaaa",COPY!$S$2:$AA$1000,6,FALSE)," ")</f>
        <v xml:space="preserve"> </v>
      </c>
      <c r="AK21" s="90" t="str">
        <f>IF(LEFT(B21,2)="mg",VLOOKUP(A21,COPY!$S$2:$AA$1000,7,FALSE),IF(LEFT(B21,1)="G"," ",IF(LEFT(B21,2)="ma"," "," ")))</f>
        <v>Ljr</v>
      </c>
      <c r="AL21" s="90" t="str">
        <f>IFERROR(VLOOKUP(A21&amp;"a",COPY!$S$2:$AA$1000,7,FALSE)," ")</f>
        <v>Sak</v>
      </c>
      <c r="AM21" s="90" t="str">
        <f>IFERROR(VLOOKUP(A21&amp;"aa",COPY!$S$2:$AA$1000,7,FALSE)," ")</f>
        <v>Ljr</v>
      </c>
      <c r="AN21" s="90" t="str">
        <f>IFERROR(VLOOKUP(A21&amp;"aaa",COPY!$S$2:$AA$1000,7,FALSE)," ")</f>
        <v>Ljr</v>
      </c>
      <c r="AO21" s="90" t="str">
        <f>IFERROR(VLOOKUP(A21&amp;"aaaa",COPY!$S$2:$AA$1000,7,FALSE)," ")</f>
        <v xml:space="preserve"> </v>
      </c>
      <c r="AP21" s="90" t="str">
        <f>IFERROR(VLOOKUP(A21&amp;"aaaaa",COPY!$S$2:$AA$1000,7,FALSE)," ")</f>
        <v xml:space="preserve"> </v>
      </c>
      <c r="AQ21" s="90" t="str">
        <f>IFERROR(VLOOKUP(A21&amp;"aaaaaa",COPY!$S$2:$AA$1000,7,FALSE)," ")</f>
        <v xml:space="preserve"> </v>
      </c>
      <c r="AR21" s="90" t="str">
        <f>IFERROR(VLOOKUP(A21&amp;"aaaaaaa",COPY!$S$2:$AA$1000,7,FALSE)," ")</f>
        <v xml:space="preserve"> </v>
      </c>
      <c r="AS21" s="90" t="str">
        <f>IFERROR(VLOOKUP(A21&amp;"aaaaaaaa",COPY!$S$2:$AA$1000,7,FALSE)," ")</f>
        <v xml:space="preserve"> </v>
      </c>
      <c r="AT21" s="90" t="str">
        <f>IFERROR(VLOOKUP(A21&amp;"aaaaaaaaa",COPY!$S$2:$AA$1000,7,FALSE)," ")</f>
        <v xml:space="preserve"> </v>
      </c>
      <c r="AU21" s="90" t="str">
        <f>IFERROR(VLOOKUP(A21&amp;"aaaaaaaaaa",COPY!$S$2:$AA$1000,7,FALSE)," ")</f>
        <v xml:space="preserve"> </v>
      </c>
      <c r="AV21" s="90" t="str">
        <f>IFERROR(VLOOKUP(A21&amp;"aaaaaaaaaaa",COPY!$S$2:$AA$1000,7,FALSE)," ")</f>
        <v xml:space="preserve"> </v>
      </c>
    </row>
    <row r="22" spans="1:48" x14ac:dyDescent="0.2">
      <c r="A22" s="75" t="str">
        <f>'REKAP PAJAK'!W59</f>
        <v>BKK.21</v>
      </c>
      <c r="B22" s="75" t="str">
        <f>IF(LEN(A22)&gt;1,VLOOKUP(A22,COPY!$O$2:$R$1000,4,FALSE),"")</f>
        <v>Mgg3</v>
      </c>
      <c r="C22" s="75" t="str">
        <f t="shared" si="0"/>
        <v>MELIA FITRIANI, S.Pd.SD</v>
      </c>
      <c r="D22" s="75" t="str">
        <f t="shared" si="1"/>
        <v>NIP. 19850619 200904 2 000</v>
      </c>
      <c r="E22" s="75" t="str">
        <f t="shared" si="2"/>
        <v>ARIF NUR UDIN, S.Pd.SD</v>
      </c>
      <c r="F22" s="75" t="str">
        <f t="shared" si="3"/>
        <v>NIP. 19840719 200903 1 002</v>
      </c>
      <c r="G22" s="75" t="str">
        <f>IFERROR(TEXT(VLOOKUP(A22,COPY!$S$2:$W$1000,3,FALSE),"dd mmmm yyyy")," ")</f>
        <v>20 September 2025</v>
      </c>
      <c r="H22" s="75" t="str">
        <f t="shared" si="4"/>
        <v>SDN 1 SIDODADI</v>
      </c>
      <c r="I22" s="75" t="str">
        <f t="shared" si="5"/>
        <v>NGANTANG</v>
      </c>
      <c r="J22" s="90">
        <f>IFERROR(VLOOKUP(A22,COPY!$S$2:$W$1000,4,FALSE)," ")</f>
        <v>1740000</v>
      </c>
      <c r="K22" s="75" t="str">
        <f>IFERROR(VLOOKUP(A22,COPY!$S$2:$W$1000,5,FALSE)," ")</f>
        <v>Satu Juta Tujuh Ratus Empat Puluh Ribu Rupiah</v>
      </c>
      <c r="L22" s="75" t="str">
        <f>IF(B22="","",IF(LEFT(B22,2)="Ma",(VLOOKUP(B22,'Rekap Gaji'!$C$12:$D$26,2,FALSE))&amp;" Untuk "&amp;(PROPER('Rekap Gaji'!$B$2)),IF(LEFT(B22,2)="Mg","Pembelian Material Bahan Bangunan",IF(LEFT(B22,2)="Me","Biaya Pembelanjaan Menejemen",IF(LEFT(B22,1)="G",VLOOKUP(A22,COPY!$S$2:$AA$1000,2,FALSE)&amp;"( "&amp;TEXT(VLOOKUP(B22,'Rekap Gaji'!$A$12:$I$26,5,FALSE),"dd-mm-yyyy")&amp;" "&amp;TEXT(VLOOKUP(B22,'Rekap Gaji'!$A$12:$I$26,6,FALSE)&amp;" "&amp;TEXT(VLOOKUP(B22,'Rekap Gaji'!$A$12:$I$26,7,FALSE),"dd-mm-yyyy")&amp;" )"," "))))))</f>
        <v>Pembelian Material Bahan Bangunan</v>
      </c>
      <c r="M22" s="75" t="str">
        <f>IF(OR(LEFT(B22,2)="mg",LEFT(B22,2)="mE"),VLOOKUP(A22,COPY!$S$2:$AA$1000,2,FALSE),IF(LEFT(B22,1)="G"," ",IF(LEFT(B22,2)="ma"," "," ")))</f>
        <v>Semen Gresik 40Kg</v>
      </c>
      <c r="N22" s="75" t="str">
        <f>IFERROR(VLOOKUP($A$22&amp;"a",COPY!$S$2:$AA$1000,2,FALSE)," ")</f>
        <v xml:space="preserve"> </v>
      </c>
      <c r="O22" s="75" t="str">
        <f>IFERROR(VLOOKUP($A$22&amp;"aa",COPY!$S$2:$AA$1000,2,FALSE)," ")</f>
        <v xml:space="preserve"> </v>
      </c>
      <c r="P22" s="75" t="str">
        <f>IFERROR(VLOOKUP($A$22&amp;"aaa",COPY!$S$2:$AA$1000,2,FALSE)," ")</f>
        <v xml:space="preserve"> </v>
      </c>
      <c r="Q22" s="75" t="str">
        <f>IFERROR(VLOOKUP($A$22&amp;"aaaa",COPY!$S$2:$AA$1000,2,FALSE)," ")</f>
        <v xml:space="preserve"> </v>
      </c>
      <c r="R22" s="75" t="str">
        <f>IFERROR(VLOOKUP($A$22&amp;"aaaaa",COPY!$S$2:$AA$1000,2,FALSE)," ")</f>
        <v xml:space="preserve"> </v>
      </c>
      <c r="S22" s="75" t="str">
        <f>IFERROR(VLOOKUP($A$22&amp;"aaaaaa",COPY!$S$2:$AA$1000,2,FALSE)," ")</f>
        <v xml:space="preserve"> </v>
      </c>
      <c r="T22" s="75" t="str">
        <f>IFERROR(VLOOKUP($A$22&amp;"aaaaaaa",COPY!$S$2:$AA$1000,2,FALSE)," ")</f>
        <v xml:space="preserve"> </v>
      </c>
      <c r="U22" s="75" t="str">
        <f>IFERROR(VLOOKUP($A$22&amp;"aaaaaaaa",COPY!$S$2:$AA$1000,2,FALSE)," ")</f>
        <v xml:space="preserve"> </v>
      </c>
      <c r="V22" s="75" t="str">
        <f>IFERROR(VLOOKUP($A$22&amp;"aaaaaaaaa",COPY!$S$2:$AA$1000,2,FALSE)," ")</f>
        <v xml:space="preserve"> </v>
      </c>
      <c r="W22" s="75" t="str">
        <f>IFERROR(VLOOKUP($A$22&amp;"aaaaaaaaaa",COPY!$S$2:$AA$1000,2,FALSE)," ")</f>
        <v xml:space="preserve"> </v>
      </c>
      <c r="X22" s="75" t="str">
        <f>IFERROR(VLOOKUP($A$22&amp;"aaaaaaaaaaa",COPY!$S$2:$AA$1000,2,FALSE)," ")</f>
        <v xml:space="preserve"> </v>
      </c>
      <c r="Y22" s="90">
        <f>IF(OR(LEFT(B22,2)="mg",LEFT(B22,2)="mE"),VLOOKUP(A22,COPY!$S$2:$AA$1000,6,FALSE),IF(LEFT(B22,1)="G"," ",IF(LEFT(B22,2)="ma"," "," ")))</f>
        <v>30</v>
      </c>
      <c r="Z22" s="90" t="str">
        <f>IFERROR(VLOOKUP(A22&amp;"a",COPY!$S$2:$AA$1000,6,FALSE)," ")</f>
        <v xml:space="preserve"> </v>
      </c>
      <c r="AA22" s="90" t="str">
        <f>IFERROR(VLOOKUP(A22&amp;"aa",COPY!$S$2:$AA$1000,6,FALSE)," ")</f>
        <v xml:space="preserve"> </v>
      </c>
      <c r="AB22" s="90" t="str">
        <f>IFERROR(VLOOKUP(A22&amp;"aaa",COPY!$S$2:$AA$1000,6,FALSE)," ")</f>
        <v xml:space="preserve"> </v>
      </c>
      <c r="AC22" s="90" t="str">
        <f>IFERROR(VLOOKUP(A22&amp;"aaaa",COPY!$S$2:$AA$1000,6,FALSE)," ")</f>
        <v xml:space="preserve"> </v>
      </c>
      <c r="AD22" s="90" t="str">
        <f>IFERROR(VLOOKUP(A22&amp;"aaaaa",COPY!$S$2:$AA$1000,6,FALSE)," ")</f>
        <v xml:space="preserve"> </v>
      </c>
      <c r="AE22" s="90" t="str">
        <f>IFERROR(VLOOKUP(A22&amp;"aaaaaa",COPY!$S$2:$AA$1000,6,FALSE)," ")</f>
        <v xml:space="preserve"> </v>
      </c>
      <c r="AF22" s="90" t="str">
        <f>IFERROR(VLOOKUP(A22&amp;"aaaaaaa",COPY!$S$2:$AA$1000,6,FALSE)," ")</f>
        <v xml:space="preserve"> </v>
      </c>
      <c r="AG22" s="90" t="str">
        <f>IFERROR(VLOOKUP(A22&amp;"aaaaaaaa",COPY!$S$2:$AA$1000,6,FALSE)," ")</f>
        <v xml:space="preserve"> </v>
      </c>
      <c r="AH22" s="90" t="str">
        <f>IFERROR(VLOOKUP(A22&amp;"aaaaaaaaa",COPY!$S$2:$AA$1000,6,FALSE)," ")</f>
        <v xml:space="preserve"> </v>
      </c>
      <c r="AI22" s="90" t="str">
        <f>IFERROR(VLOOKUP(A22&amp;"aaaaaaaaaa",COPY!$S$2:$AA$1000,6,FALSE)," ")</f>
        <v xml:space="preserve"> </v>
      </c>
      <c r="AJ22" s="90" t="str">
        <f>IFERROR(VLOOKUP(A22&amp;"aaaaaaaaaaa",COPY!$S$2:$AA$1000,6,FALSE)," ")</f>
        <v xml:space="preserve"> </v>
      </c>
      <c r="AK22" s="90" t="str">
        <f>IF(LEFT(B22,2)="mg",VLOOKUP(A22,COPY!$S$2:$AA$1000,7,FALSE),IF(LEFT(B22,1)="G"," ",IF(LEFT(B22,2)="ma"," "," ")))</f>
        <v>Sak</v>
      </c>
      <c r="AL22" s="90" t="str">
        <f>IFERROR(VLOOKUP(A22&amp;"a",COPY!$S$2:$AA$1000,7,FALSE)," ")</f>
        <v xml:space="preserve"> </v>
      </c>
      <c r="AM22" s="90" t="str">
        <f>IFERROR(VLOOKUP(A22&amp;"aa",COPY!$S$2:$AA$1000,7,FALSE)," ")</f>
        <v xml:space="preserve"> </v>
      </c>
      <c r="AN22" s="90" t="str">
        <f>IFERROR(VLOOKUP(A22&amp;"aaa",COPY!$S$2:$AA$1000,7,FALSE)," ")</f>
        <v xml:space="preserve"> </v>
      </c>
      <c r="AO22" s="90" t="str">
        <f>IFERROR(VLOOKUP(A22&amp;"aaaa",COPY!$S$2:$AA$1000,7,FALSE)," ")</f>
        <v xml:space="preserve"> </v>
      </c>
      <c r="AP22" s="90" t="str">
        <f>IFERROR(VLOOKUP(A22&amp;"aaaaa",COPY!$S$2:$AA$1000,7,FALSE)," ")</f>
        <v xml:space="preserve"> </v>
      </c>
      <c r="AQ22" s="90" t="str">
        <f>IFERROR(VLOOKUP(A22&amp;"aaaaaa",COPY!$S$2:$AA$1000,7,FALSE)," ")</f>
        <v xml:space="preserve"> </v>
      </c>
      <c r="AR22" s="90" t="str">
        <f>IFERROR(VLOOKUP(A22&amp;"aaaaaaa",COPY!$S$2:$AA$1000,7,FALSE)," ")</f>
        <v xml:space="preserve"> </v>
      </c>
      <c r="AS22" s="90" t="str">
        <f>IFERROR(VLOOKUP(A22&amp;"aaaaaaaa",COPY!$S$2:$AA$1000,7,FALSE)," ")</f>
        <v xml:space="preserve"> </v>
      </c>
      <c r="AT22" s="90" t="str">
        <f>IFERROR(VLOOKUP(A22&amp;"aaaaaaaaa",COPY!$S$2:$AA$1000,7,FALSE)," ")</f>
        <v xml:space="preserve"> </v>
      </c>
      <c r="AU22" s="90" t="str">
        <f>IFERROR(VLOOKUP(A22&amp;"aaaaaaaaaa",COPY!$S$2:$AA$1000,7,FALSE)," ")</f>
        <v xml:space="preserve"> </v>
      </c>
      <c r="AV22" s="90" t="str">
        <f>IFERROR(VLOOKUP(A22&amp;"aaaaaaaaaaa",COPY!$S$2:$AA$1000,7,FALSE)," ")</f>
        <v xml:space="preserve"> </v>
      </c>
    </row>
    <row r="23" spans="1:48" x14ac:dyDescent="0.2">
      <c r="A23" s="75" t="str">
        <f>'REKAP PAJAK'!W60</f>
        <v>BKK.22</v>
      </c>
      <c r="B23" s="75" t="str">
        <f>IF(LEN(A23)&gt;1,VLOOKUP(A23,COPY!$O$2:$R$1000,4,FALSE),"")</f>
        <v>Gaj3</v>
      </c>
      <c r="C23" s="75" t="str">
        <f t="shared" si="0"/>
        <v>MELIA FITRIANI, S.Pd.SD</v>
      </c>
      <c r="D23" s="75" t="str">
        <f t="shared" si="1"/>
        <v>NIP. 19850619 200904 2 000</v>
      </c>
      <c r="E23" s="75" t="str">
        <f t="shared" si="2"/>
        <v>ARIF NUR UDIN, S.Pd.SD</v>
      </c>
      <c r="F23" s="75" t="str">
        <f t="shared" si="3"/>
        <v>NIP. 19840719 200903 1 002</v>
      </c>
      <c r="G23" s="75" t="str">
        <f>IFERROR(TEXT(VLOOKUP(A23,COPY!$S$2:$W$1000,3,FALSE),"dd mmmm yyyy")," ")</f>
        <v>20 September 2025</v>
      </c>
      <c r="H23" s="75" t="str">
        <f t="shared" si="4"/>
        <v>SDN 1 SIDODADI</v>
      </c>
      <c r="I23" s="75" t="str">
        <f t="shared" si="5"/>
        <v>NGANTANG</v>
      </c>
      <c r="J23" s="90">
        <f>IFERROR(VLOOKUP(A23,COPY!$S$2:$W$1000,4,FALSE)," ")</f>
        <v>5580000</v>
      </c>
      <c r="K23" s="75" t="str">
        <f>IFERROR(VLOOKUP(A23,COPY!$S$2:$W$1000,5,FALSE)," ")</f>
        <v>Lima Juta Lima Ratus Delapan Puluh Ribu Rupiah</v>
      </c>
      <c r="L23" s="75" t="str">
        <f>IF(B23="","",IF(LEFT(B23,2)="Ma",(VLOOKUP(B23,'Rekap Gaji'!$C$12:$D$26,2,FALSE))&amp;" Untuk "&amp;(PROPER('Rekap Gaji'!$B$2)),IF(LEFT(B23,2)="Mg","Pembelian Material Bahan Bangunan",IF(LEFT(B23,2)="Me","Biaya Pembelanjaan Menejemen",IF(LEFT(B23,1)="G",VLOOKUP(A23,COPY!$S$2:$AA$1000,2,FALSE)&amp;"( "&amp;TEXT(VLOOKUP(B23,'Rekap Gaji'!$A$12:$I$26,5,FALSE),"dd-mm-yyyy")&amp;" "&amp;TEXT(VLOOKUP(B23,'Rekap Gaji'!$A$12:$I$26,6,FALSE)&amp;" "&amp;TEXT(VLOOKUP(B23,'Rekap Gaji'!$A$12:$I$26,7,FALSE),"dd-mm-yyyy")&amp;" )"," "))))))</f>
        <v>Pembayaran Pekerja Minggu Ke 3( 14-09-2025 s/d 20-09-2025 )</v>
      </c>
      <c r="M23" s="75" t="str">
        <f>IF(OR(LEFT(B23,2)="mg",LEFT(B23,2)="mE"),VLOOKUP(A23,COPY!$S$2:$AA$1000,2,FALSE),IF(LEFT(B23,1)="G"," ",IF(LEFT(B23,2)="ma"," "," ")))</f>
        <v xml:space="preserve"> </v>
      </c>
      <c r="N23" s="75" t="str">
        <f>IFERROR(VLOOKUP($A$23&amp;"a",COPY!$S$2:$AA$1000,2,FALSE)," ")</f>
        <v xml:space="preserve"> </v>
      </c>
      <c r="O23" s="75" t="str">
        <f>IFERROR(VLOOKUP($A$23&amp;"aa",COPY!$S$2:$AA$1000,2,FALSE)," ")</f>
        <v xml:space="preserve"> </v>
      </c>
      <c r="P23" s="75" t="str">
        <f>IFERROR(VLOOKUP($A$23&amp;"aaa",COPY!$S$2:$AA$1000,2,FALSE)," ")</f>
        <v xml:space="preserve"> </v>
      </c>
      <c r="Q23" s="75" t="str">
        <f>IFERROR(VLOOKUP($A$23&amp;"aaaa",COPY!$S$2:$AA$1000,2,FALSE)," ")</f>
        <v xml:space="preserve"> </v>
      </c>
      <c r="R23" s="75" t="str">
        <f>IFERROR(VLOOKUP($A$23&amp;"aaaaa",COPY!$S$2:$AA$1000,2,FALSE)," ")</f>
        <v xml:space="preserve"> </v>
      </c>
      <c r="S23" s="75" t="str">
        <f>IFERROR(VLOOKUP($A$23&amp;"aaaaaa",COPY!$S$2:$AA$1000,2,FALSE)," ")</f>
        <v xml:space="preserve"> </v>
      </c>
      <c r="T23" s="75" t="str">
        <f>IFERROR(VLOOKUP($A$23&amp;"aaaaaaa",COPY!$S$2:$AA$1000,2,FALSE)," ")</f>
        <v xml:space="preserve"> </v>
      </c>
      <c r="U23" s="75" t="str">
        <f>IFERROR(VLOOKUP($A$23&amp;"aaaaaaaa",COPY!$S$2:$AA$1000,2,FALSE)," ")</f>
        <v xml:space="preserve"> </v>
      </c>
      <c r="V23" s="75" t="str">
        <f>IFERROR(VLOOKUP($A$23&amp;"aaaaaaaaa",COPY!$S$2:$AA$1000,2,FALSE)," ")</f>
        <v xml:space="preserve"> </v>
      </c>
      <c r="W23" s="75" t="str">
        <f>IFERROR(VLOOKUP($A$23&amp;"aaaaaaaaaa",COPY!$S$2:$AA$1000,2,FALSE)," ")</f>
        <v xml:space="preserve"> </v>
      </c>
      <c r="X23" s="75" t="str">
        <f>IFERROR(VLOOKUP($A$23&amp;"aaaaaaaaaaa",COPY!$S$2:$AA$1000,2,FALSE)," ")</f>
        <v xml:space="preserve"> </v>
      </c>
      <c r="Y23" s="90" t="str">
        <f>IF(OR(LEFT(B23,2)="mg",LEFT(B23,2)="mE"),VLOOKUP(A23,COPY!$S$2:$AA$1000,6,FALSE),IF(LEFT(B23,1)="G"," ",IF(LEFT(B23,2)="ma"," "," ")))</f>
        <v xml:space="preserve"> </v>
      </c>
      <c r="Z23" s="90" t="str">
        <f>IFERROR(VLOOKUP(A23&amp;"a",COPY!$S$2:$AA$1000,6,FALSE)," ")</f>
        <v xml:space="preserve"> </v>
      </c>
      <c r="AA23" s="90" t="str">
        <f>IFERROR(VLOOKUP(A23&amp;"aa",COPY!$S$2:$AA$1000,6,FALSE)," ")</f>
        <v xml:space="preserve"> </v>
      </c>
      <c r="AB23" s="90" t="str">
        <f>IFERROR(VLOOKUP(A23&amp;"aaa",COPY!$S$2:$AA$1000,6,FALSE)," ")</f>
        <v xml:space="preserve"> </v>
      </c>
      <c r="AC23" s="90" t="str">
        <f>IFERROR(VLOOKUP(A23&amp;"aaaa",COPY!$S$2:$AA$1000,6,FALSE)," ")</f>
        <v xml:space="preserve"> </v>
      </c>
      <c r="AD23" s="90" t="str">
        <f>IFERROR(VLOOKUP(A23&amp;"aaaaa",COPY!$S$2:$AA$1000,6,FALSE)," ")</f>
        <v xml:space="preserve"> </v>
      </c>
      <c r="AE23" s="90" t="str">
        <f>IFERROR(VLOOKUP(A23&amp;"aaaaaa",COPY!$S$2:$AA$1000,6,FALSE)," ")</f>
        <v xml:space="preserve"> </v>
      </c>
      <c r="AF23" s="90" t="str">
        <f>IFERROR(VLOOKUP(A23&amp;"aaaaaaa",COPY!$S$2:$AA$1000,6,FALSE)," ")</f>
        <v xml:space="preserve"> </v>
      </c>
      <c r="AG23" s="90" t="str">
        <f>IFERROR(VLOOKUP(A23&amp;"aaaaaaaa",COPY!$S$2:$AA$1000,6,FALSE)," ")</f>
        <v xml:space="preserve"> </v>
      </c>
      <c r="AH23" s="90" t="str">
        <f>IFERROR(VLOOKUP(A23&amp;"aaaaaaaaa",COPY!$S$2:$AA$1000,6,FALSE)," ")</f>
        <v xml:space="preserve"> </v>
      </c>
      <c r="AI23" s="90" t="str">
        <f>IFERROR(VLOOKUP(A23&amp;"aaaaaaaaaa",COPY!$S$2:$AA$1000,6,FALSE)," ")</f>
        <v xml:space="preserve"> </v>
      </c>
      <c r="AJ23" s="90" t="str">
        <f>IFERROR(VLOOKUP(A23&amp;"aaaaaaaaaaa",COPY!$S$2:$AA$1000,6,FALSE)," ")</f>
        <v xml:space="preserve"> </v>
      </c>
      <c r="AK23" s="90" t="str">
        <f>IF(LEFT(B23,2)="mg",VLOOKUP(A23,COPY!$S$2:$AA$1000,7,FALSE),IF(LEFT(B23,1)="G"," ",IF(LEFT(B23,2)="ma"," "," ")))</f>
        <v xml:space="preserve"> </v>
      </c>
      <c r="AL23" s="90" t="str">
        <f>IFERROR(VLOOKUP(A23&amp;"a",COPY!$S$2:$AA$1000,7,FALSE)," ")</f>
        <v xml:space="preserve"> </v>
      </c>
      <c r="AM23" s="90" t="str">
        <f>IFERROR(VLOOKUP(A23&amp;"aa",COPY!$S$2:$AA$1000,7,FALSE)," ")</f>
        <v xml:space="preserve"> </v>
      </c>
      <c r="AN23" s="90" t="str">
        <f>IFERROR(VLOOKUP(A23&amp;"aaa",COPY!$S$2:$AA$1000,7,FALSE)," ")</f>
        <v xml:space="preserve"> </v>
      </c>
      <c r="AO23" s="90" t="str">
        <f>IFERROR(VLOOKUP(A23&amp;"aaaa",COPY!$S$2:$AA$1000,7,FALSE)," ")</f>
        <v xml:space="preserve"> </v>
      </c>
      <c r="AP23" s="90" t="str">
        <f>IFERROR(VLOOKUP(A23&amp;"aaaaa",COPY!$S$2:$AA$1000,7,FALSE)," ")</f>
        <v xml:space="preserve"> </v>
      </c>
      <c r="AQ23" s="90" t="str">
        <f>IFERROR(VLOOKUP(A23&amp;"aaaaaa",COPY!$S$2:$AA$1000,7,FALSE)," ")</f>
        <v xml:space="preserve"> </v>
      </c>
      <c r="AR23" s="90" t="str">
        <f>IFERROR(VLOOKUP(A23&amp;"aaaaaaa",COPY!$S$2:$AA$1000,7,FALSE)," ")</f>
        <v xml:space="preserve"> </v>
      </c>
      <c r="AS23" s="90" t="str">
        <f>IFERROR(VLOOKUP(A23&amp;"aaaaaaaa",COPY!$S$2:$AA$1000,7,FALSE)," ")</f>
        <v xml:space="preserve"> </v>
      </c>
      <c r="AT23" s="90" t="str">
        <f>IFERROR(VLOOKUP(A23&amp;"aaaaaaaaa",COPY!$S$2:$AA$1000,7,FALSE)," ")</f>
        <v xml:space="preserve"> </v>
      </c>
      <c r="AU23" s="90" t="str">
        <f>IFERROR(VLOOKUP(A23&amp;"aaaaaaaaaa",COPY!$S$2:$AA$1000,7,FALSE)," ")</f>
        <v xml:space="preserve"> </v>
      </c>
      <c r="AV23" s="90" t="str">
        <f>IFERROR(VLOOKUP(A23&amp;"aaaaaaaaaaa",COPY!$S$2:$AA$1000,7,FALSE)," ")</f>
        <v xml:space="preserve"> </v>
      </c>
    </row>
    <row r="24" spans="1:48" x14ac:dyDescent="0.2">
      <c r="A24" s="75" t="str">
        <f>'REKAP PAJAK'!W61</f>
        <v>BKK.23</v>
      </c>
      <c r="B24" s="75" t="str">
        <f>IF(LEN(A24)&gt;1,VLOOKUP(A24,COPY!$O$2:$R$1000,4,FALSE),"")</f>
        <v>Mgg4</v>
      </c>
      <c r="C24" s="75" t="str">
        <f t="shared" si="0"/>
        <v>MELIA FITRIANI, S.Pd.SD</v>
      </c>
      <c r="D24" s="75" t="str">
        <f t="shared" si="1"/>
        <v>NIP. 19850619 200904 2 000</v>
      </c>
      <c r="E24" s="75" t="str">
        <f t="shared" si="2"/>
        <v>ARIF NUR UDIN, S.Pd.SD</v>
      </c>
      <c r="F24" s="75" t="str">
        <f t="shared" si="3"/>
        <v>NIP. 19840719 200903 1 002</v>
      </c>
      <c r="G24" s="75" t="str">
        <f>IFERROR(TEXT(VLOOKUP(A24,COPY!$S$2:$W$1000,3,FALSE),"dd mmmm yyyy")," ")</f>
        <v>22 September 2025</v>
      </c>
      <c r="H24" s="75" t="str">
        <f t="shared" si="4"/>
        <v>SDN 1 SIDODADI</v>
      </c>
      <c r="I24" s="75" t="str">
        <f t="shared" si="5"/>
        <v>NGANTANG</v>
      </c>
      <c r="J24" s="90">
        <f>IFERROR(VLOOKUP(A24,COPY!$S$2:$W$1000,4,FALSE)," ")</f>
        <v>1924000</v>
      </c>
      <c r="K24" s="75" t="str">
        <f>IFERROR(VLOOKUP(A24,COPY!$S$2:$W$1000,5,FALSE)," ")</f>
        <v>Satu Juta Sembilan Ratus Dua Puluh Empat Ribu Rupiah</v>
      </c>
      <c r="L24" s="75" t="str">
        <f>IF(B24="","",IF(LEFT(B24,2)="Ma",(VLOOKUP(B24,'Rekap Gaji'!$C$12:$D$26,2,FALSE))&amp;" Untuk "&amp;(PROPER('Rekap Gaji'!$B$2)),IF(LEFT(B24,2)="Mg","Pembelian Material Bahan Bangunan",IF(LEFT(B24,2)="Me","Biaya Pembelanjaan Menejemen",IF(LEFT(B24,1)="G",VLOOKUP(A24,COPY!$S$2:$AA$1000,2,FALSE)&amp;"( "&amp;TEXT(VLOOKUP(B24,'Rekap Gaji'!$A$12:$I$26,5,FALSE),"dd-mm-yyyy")&amp;" "&amp;TEXT(VLOOKUP(B24,'Rekap Gaji'!$A$12:$I$26,6,FALSE)&amp;" "&amp;TEXT(VLOOKUP(B24,'Rekap Gaji'!$A$12:$I$26,7,FALSE),"dd-mm-yyyy")&amp;" )"," "))))))</f>
        <v>Pembelian Material Bahan Bangunan</v>
      </c>
      <c r="M24" s="75" t="str">
        <f>IF(OR(LEFT(B24,2)="mg",LEFT(B24,2)="mE"),VLOOKUP(A24,COPY!$S$2:$AA$1000,2,FALSE),IF(LEFT(B24,1)="G"," ",IF(LEFT(B24,2)="ma"," "," ")))</f>
        <v>Triplek 9Mm</v>
      </c>
      <c r="N24" s="75" t="str">
        <f>IFERROR(VLOOKUP($A$24&amp;"a",COPY!$S$2:$AA$1000,2,FALSE)," ")</f>
        <v>Pasir Cor L300</v>
      </c>
      <c r="O24" s="75" t="str">
        <f>IFERROR(VLOOKUP($A$24&amp;"aa",COPY!$S$2:$AA$1000,2,FALSE)," ")</f>
        <v>Besi 6.0 Sni</v>
      </c>
      <c r="P24" s="75" t="str">
        <f>IFERROR(VLOOKUP($A$24&amp;"aaa",COPY!$S$2:$AA$1000,2,FALSE)," ")</f>
        <v>Semen 3 Roda</v>
      </c>
      <c r="Q24" s="75" t="str">
        <f>IFERROR(VLOOKUP($A$24&amp;"aaaa",COPY!$S$2:$AA$1000,2,FALSE)," ")</f>
        <v xml:space="preserve"> </v>
      </c>
      <c r="R24" s="75" t="str">
        <f>IFERROR(VLOOKUP($A$24&amp;"aaaaa",COPY!$S$2:$AA$1000,2,FALSE)," ")</f>
        <v xml:space="preserve"> </v>
      </c>
      <c r="S24" s="75" t="str">
        <f>IFERROR(VLOOKUP($A$24&amp;"aaaaaa",COPY!$S$2:$AA$1000,2,FALSE)," ")</f>
        <v xml:space="preserve"> </v>
      </c>
      <c r="T24" s="75" t="str">
        <f>IFERROR(VLOOKUP($A$24&amp;"aaaaaaa",COPY!$S$2:$AA$1000,2,FALSE)," ")</f>
        <v xml:space="preserve"> </v>
      </c>
      <c r="U24" s="75" t="str">
        <f>IFERROR(VLOOKUP($A$24&amp;"aaaaaaaa",COPY!$S$2:$AA$1000,2,FALSE)," ")</f>
        <v xml:space="preserve"> </v>
      </c>
      <c r="V24" s="75" t="str">
        <f>IFERROR(VLOOKUP($A$24&amp;"aaaaaaaaa",COPY!$S$2:$AA$1000,2,FALSE)," ")</f>
        <v xml:space="preserve"> </v>
      </c>
      <c r="W24" s="75" t="str">
        <f>IFERROR(VLOOKUP($A$24&amp;"aaaaaaaaaa",COPY!$S$2:$AA$1000,2,FALSE)," ")</f>
        <v xml:space="preserve"> </v>
      </c>
      <c r="X24" s="75" t="str">
        <f>IFERROR(VLOOKUP($A$24&amp;"aaaaaaaaaaa",COPY!$S$2:$AA$1000,2,FALSE)," ")</f>
        <v xml:space="preserve"> </v>
      </c>
      <c r="Y24" s="90">
        <f>IF(OR(LEFT(B24,2)="mg",LEFT(B24,2)="mE"),VLOOKUP(A24,COPY!$S$2:$AA$1000,6,FALSE),IF(LEFT(B24,1)="G"," ",IF(LEFT(B24,2)="ma"," "," ")))</f>
        <v>6</v>
      </c>
      <c r="Z24" s="90">
        <f>IFERROR(VLOOKUP(A24&amp;"a",COPY!$S$2:$AA$1000,6,FALSE)," ")</f>
        <v>2</v>
      </c>
      <c r="AA24" s="90">
        <f>IFERROR(VLOOKUP(A24&amp;"aa",COPY!$S$2:$AA$1000,6,FALSE)," ")</f>
        <v>10</v>
      </c>
      <c r="AB24" s="90">
        <f>IFERROR(VLOOKUP(A24&amp;"aaa",COPY!$S$2:$AA$1000,6,FALSE)," ")</f>
        <v>8</v>
      </c>
      <c r="AC24" s="90" t="str">
        <f>IFERROR(VLOOKUP(A24&amp;"aaaa",COPY!$S$2:$AA$1000,6,FALSE)," ")</f>
        <v xml:space="preserve"> </v>
      </c>
      <c r="AD24" s="90" t="str">
        <f>IFERROR(VLOOKUP(A24&amp;"aaaaa",COPY!$S$2:$AA$1000,6,FALSE)," ")</f>
        <v xml:space="preserve"> </v>
      </c>
      <c r="AE24" s="90" t="str">
        <f>IFERROR(VLOOKUP(A24&amp;"aaaaaa",COPY!$S$2:$AA$1000,6,FALSE)," ")</f>
        <v xml:space="preserve"> </v>
      </c>
      <c r="AF24" s="90" t="str">
        <f>IFERROR(VLOOKUP(A24&amp;"aaaaaaa",COPY!$S$2:$AA$1000,6,FALSE)," ")</f>
        <v xml:space="preserve"> </v>
      </c>
      <c r="AG24" s="90" t="str">
        <f>IFERROR(VLOOKUP(A24&amp;"aaaaaaaa",COPY!$S$2:$AA$1000,6,FALSE)," ")</f>
        <v xml:space="preserve"> </v>
      </c>
      <c r="AH24" s="90" t="str">
        <f>IFERROR(VLOOKUP(A24&amp;"aaaaaaaaa",COPY!$S$2:$AA$1000,6,FALSE)," ")</f>
        <v xml:space="preserve"> </v>
      </c>
      <c r="AI24" s="90" t="str">
        <f>IFERROR(VLOOKUP(A24&amp;"aaaaaaaaaa",COPY!$S$2:$AA$1000,6,FALSE)," ")</f>
        <v xml:space="preserve"> </v>
      </c>
      <c r="AJ24" s="90" t="str">
        <f>IFERROR(VLOOKUP(A24&amp;"aaaaaaaaaaa",COPY!$S$2:$AA$1000,6,FALSE)," ")</f>
        <v xml:space="preserve"> </v>
      </c>
      <c r="AK24" s="90" t="str">
        <f>IF(LEFT(B24,2)="mg",VLOOKUP(A24,COPY!$S$2:$AA$1000,7,FALSE),IF(LEFT(B24,1)="G"," ",IF(LEFT(B24,2)="ma"," "," ")))</f>
        <v>Lbr</v>
      </c>
      <c r="AL24" s="90" t="str">
        <f>IFERROR(VLOOKUP(A24&amp;"a",COPY!$S$2:$AA$1000,7,FALSE)," ")</f>
        <v>Pik Up</v>
      </c>
      <c r="AM24" s="90" t="str">
        <f>IFERROR(VLOOKUP(A24&amp;"aa",COPY!$S$2:$AA$1000,7,FALSE)," ")</f>
        <v>Ljr</v>
      </c>
      <c r="AN24" s="90" t="str">
        <f>IFERROR(VLOOKUP(A24&amp;"aaa",COPY!$S$2:$AA$1000,7,FALSE)," ")</f>
        <v>Sak</v>
      </c>
      <c r="AO24" s="90" t="str">
        <f>IFERROR(VLOOKUP(A24&amp;"aaaa",COPY!$S$2:$AA$1000,7,FALSE)," ")</f>
        <v xml:space="preserve"> </v>
      </c>
      <c r="AP24" s="90" t="str">
        <f>IFERROR(VLOOKUP(A24&amp;"aaaaa",COPY!$S$2:$AA$1000,7,FALSE)," ")</f>
        <v xml:space="preserve"> </v>
      </c>
      <c r="AQ24" s="90" t="str">
        <f>IFERROR(VLOOKUP(A24&amp;"aaaaaa",COPY!$S$2:$AA$1000,7,FALSE)," ")</f>
        <v xml:space="preserve"> </v>
      </c>
      <c r="AR24" s="90" t="str">
        <f>IFERROR(VLOOKUP(A24&amp;"aaaaaaa",COPY!$S$2:$AA$1000,7,FALSE)," ")</f>
        <v xml:space="preserve"> </v>
      </c>
      <c r="AS24" s="90" t="str">
        <f>IFERROR(VLOOKUP(A24&amp;"aaaaaaaa",COPY!$S$2:$AA$1000,7,FALSE)," ")</f>
        <v xml:space="preserve"> </v>
      </c>
      <c r="AT24" s="90" t="str">
        <f>IFERROR(VLOOKUP(A24&amp;"aaaaaaaaa",COPY!$S$2:$AA$1000,7,FALSE)," ")</f>
        <v xml:space="preserve"> </v>
      </c>
      <c r="AU24" s="90" t="str">
        <f>IFERROR(VLOOKUP(A24&amp;"aaaaaaaaaa",COPY!$S$2:$AA$1000,7,FALSE)," ")</f>
        <v xml:space="preserve"> </v>
      </c>
      <c r="AV24" s="90" t="str">
        <f>IFERROR(VLOOKUP(A24&amp;"aaaaaaaaaaa",COPY!$S$2:$AA$1000,7,FALSE)," ")</f>
        <v xml:space="preserve"> </v>
      </c>
    </row>
    <row r="25" spans="1:48" x14ac:dyDescent="0.2">
      <c r="A25" s="75" t="str">
        <f>'REKAP PAJAK'!W62</f>
        <v>BKK.24</v>
      </c>
      <c r="B25" s="75" t="str">
        <f>IF(LEN(A25)&gt;1,VLOOKUP(A25,COPY!$O$2:$R$1000,4,FALSE),"")</f>
        <v>Mgg4</v>
      </c>
      <c r="C25" s="75" t="str">
        <f t="shared" si="0"/>
        <v>MELIA FITRIANI, S.Pd.SD</v>
      </c>
      <c r="D25" s="75" t="str">
        <f t="shared" si="1"/>
        <v>NIP. 19850619 200904 2 000</v>
      </c>
      <c r="E25" s="75" t="str">
        <f t="shared" si="2"/>
        <v>ARIF NUR UDIN, S.Pd.SD</v>
      </c>
      <c r="F25" s="75" t="str">
        <f t="shared" si="3"/>
        <v>NIP. 19840719 200903 1 002</v>
      </c>
      <c r="G25" s="75" t="str">
        <f>IFERROR(TEXT(VLOOKUP(A25,COPY!$S$2:$W$1000,3,FALSE),"dd mmmm yyyy")," ")</f>
        <v>23 September 2025</v>
      </c>
      <c r="H25" s="75" t="str">
        <f t="shared" si="4"/>
        <v>SDN 1 SIDODADI</v>
      </c>
      <c r="I25" s="75" t="str">
        <f t="shared" si="5"/>
        <v>NGANTANG</v>
      </c>
      <c r="J25" s="90">
        <f>IFERROR(VLOOKUP(A25,COPY!$S$2:$W$1000,4,FALSE)," ")</f>
        <v>1950000</v>
      </c>
      <c r="K25" s="75" t="str">
        <f>IFERROR(VLOOKUP(A25,COPY!$S$2:$W$1000,5,FALSE)," ")</f>
        <v>Satu Juta Sembilan Ratus Lima Puluh Ribu Rupiah</v>
      </c>
      <c r="L25" s="75" t="str">
        <f>IF(B25="","",IF(LEFT(B25,2)="Ma",(VLOOKUP(B25,'Rekap Gaji'!$C$12:$D$26,2,FALSE))&amp;" Untuk "&amp;(PROPER('Rekap Gaji'!$B$2)),IF(LEFT(B25,2)="Mg","Pembelian Material Bahan Bangunan",IF(LEFT(B25,2)="Me","Biaya Pembelanjaan Menejemen",IF(LEFT(B25,1)="G",VLOOKUP(A25,COPY!$S$2:$AA$1000,2,FALSE)&amp;"( "&amp;TEXT(VLOOKUP(B25,'Rekap Gaji'!$A$12:$I$26,5,FALSE),"dd-mm-yyyy")&amp;" "&amp;TEXT(VLOOKUP(B25,'Rekap Gaji'!$A$12:$I$26,6,FALSE)&amp;" "&amp;TEXT(VLOOKUP(B25,'Rekap Gaji'!$A$12:$I$26,7,FALSE),"dd-mm-yyyy")&amp;" )"," "))))))</f>
        <v>Pembelian Material Bahan Bangunan</v>
      </c>
      <c r="M25" s="75" t="str">
        <f>IF(OR(LEFT(B25,2)="mg",LEFT(B25,2)="mE"),VLOOKUP(A25,COPY!$S$2:$AA$1000,2,FALSE),IF(LEFT(B25,1)="G"," ",IF(LEFT(B25,2)="ma"," "," ")))</f>
        <v>Bata Merah Super</v>
      </c>
      <c r="N25" s="75" t="str">
        <f>IFERROR(VLOOKUP($A$25&amp;"a",COPY!$S$2:$AA$1000,2,FALSE)," ")</f>
        <v>Bata Ringan Vocon 10 Cm</v>
      </c>
      <c r="O25" s="75" t="str">
        <f>IFERROR(VLOOKUP($A$25&amp;"aa",COPY!$S$2:$AA$1000,2,FALSE)," ")</f>
        <v>Drymix Perekat Bata Ringan</v>
      </c>
      <c r="P25" s="75" t="str">
        <f>IFERROR(VLOOKUP($A$25&amp;"aaa",COPY!$S$2:$AA$1000,2,FALSE)," ")</f>
        <v xml:space="preserve"> </v>
      </c>
      <c r="Q25" s="75" t="str">
        <f>IFERROR(VLOOKUP($A$25&amp;"aaaa",COPY!$S$2:$AA$1000,2,FALSE)," ")</f>
        <v xml:space="preserve"> </v>
      </c>
      <c r="R25" s="75" t="str">
        <f>IFERROR(VLOOKUP($A$25&amp;"aaaaa",COPY!$S$2:$AA$1000,2,FALSE)," ")</f>
        <v xml:space="preserve"> </v>
      </c>
      <c r="S25" s="75" t="str">
        <f>IFERROR(VLOOKUP($A$25&amp;"aaaaaa",COPY!$S$2:$AA$1000,2,FALSE)," ")</f>
        <v xml:space="preserve"> </v>
      </c>
      <c r="T25" s="75" t="str">
        <f>IFERROR(VLOOKUP($A$25&amp;"aaaaaaa",COPY!$S$2:$AA$1000,2,FALSE)," ")</f>
        <v xml:space="preserve"> </v>
      </c>
      <c r="U25" s="75" t="str">
        <f>IFERROR(VLOOKUP($A$25&amp;"aaaaaaaa",COPY!$S$2:$AA$1000,2,FALSE)," ")</f>
        <v xml:space="preserve"> </v>
      </c>
      <c r="V25" s="75" t="str">
        <f>IFERROR(VLOOKUP($A$25&amp;"aaaaaaaaa",COPY!$S$2:$AA$1000,2,FALSE)," ")</f>
        <v xml:space="preserve"> </v>
      </c>
      <c r="W25" s="75" t="str">
        <f>IFERROR(VLOOKUP($A$25&amp;"aaaaaaaaaa",COPY!$S$2:$AA$1000,2,FALSE)," ")</f>
        <v xml:space="preserve"> </v>
      </c>
      <c r="X25" s="75" t="str">
        <f>IFERROR(VLOOKUP($A$25&amp;"aaaaaaaaaaa",COPY!$S$2:$AA$1000,2,FALSE)," ")</f>
        <v xml:space="preserve"> </v>
      </c>
      <c r="Y25" s="90">
        <f>IF(OR(LEFT(B25,2)="mg",LEFT(B25,2)="mE"),VLOOKUP(A25,COPY!$S$2:$AA$1000,6,FALSE),IF(LEFT(B25,1)="G"," ",IF(LEFT(B25,2)="ma"," "," ")))</f>
        <v>1000</v>
      </c>
      <c r="Z25" s="90">
        <f>IFERROR(VLOOKUP(A25&amp;"a",COPY!$S$2:$AA$1000,6,FALSE)," ")</f>
        <v>2</v>
      </c>
      <c r="AA25" s="90">
        <f>IFERROR(VLOOKUP(A25&amp;"aa",COPY!$S$2:$AA$1000,6,FALSE)," ")</f>
        <v>4</v>
      </c>
      <c r="AB25" s="90" t="str">
        <f>IFERROR(VLOOKUP(A25&amp;"aaa",COPY!$S$2:$AA$1000,6,FALSE)," ")</f>
        <v xml:space="preserve"> </v>
      </c>
      <c r="AC25" s="90" t="str">
        <f>IFERROR(VLOOKUP(A25&amp;"aaaa",COPY!$S$2:$AA$1000,6,FALSE)," ")</f>
        <v xml:space="preserve"> </v>
      </c>
      <c r="AD25" s="90" t="str">
        <f>IFERROR(VLOOKUP(A25&amp;"aaaaa",COPY!$S$2:$AA$1000,6,FALSE)," ")</f>
        <v xml:space="preserve"> </v>
      </c>
      <c r="AE25" s="90" t="str">
        <f>IFERROR(VLOOKUP(A25&amp;"aaaaaa",COPY!$S$2:$AA$1000,6,FALSE)," ")</f>
        <v xml:space="preserve"> </v>
      </c>
      <c r="AF25" s="90" t="str">
        <f>IFERROR(VLOOKUP(A25&amp;"aaaaaaa",COPY!$S$2:$AA$1000,6,FALSE)," ")</f>
        <v xml:space="preserve"> </v>
      </c>
      <c r="AG25" s="90" t="str">
        <f>IFERROR(VLOOKUP(A25&amp;"aaaaaaaa",COPY!$S$2:$AA$1000,6,FALSE)," ")</f>
        <v xml:space="preserve"> </v>
      </c>
      <c r="AH25" s="90" t="str">
        <f>IFERROR(VLOOKUP(A25&amp;"aaaaaaaaa",COPY!$S$2:$AA$1000,6,FALSE)," ")</f>
        <v xml:space="preserve"> </v>
      </c>
      <c r="AI25" s="90" t="str">
        <f>IFERROR(VLOOKUP(A25&amp;"aaaaaaaaaa",COPY!$S$2:$AA$1000,6,FALSE)," ")</f>
        <v xml:space="preserve"> </v>
      </c>
      <c r="AJ25" s="90" t="str">
        <f>IFERROR(VLOOKUP(A25&amp;"aaaaaaaaaaa",COPY!$S$2:$AA$1000,6,FALSE)," ")</f>
        <v xml:space="preserve"> </v>
      </c>
      <c r="AK25" s="90" t="str">
        <f>IF(LEFT(B25,2)="mg",VLOOKUP(A25,COPY!$S$2:$AA$1000,7,FALSE),IF(LEFT(B25,1)="G"," ",IF(LEFT(B25,2)="ma"," "," ")))</f>
        <v>Bji</v>
      </c>
      <c r="AL25" s="90" t="str">
        <f>IFERROR(VLOOKUP(A25&amp;"a",COPY!$S$2:$AA$1000,7,FALSE)," ")</f>
        <v>m3</v>
      </c>
      <c r="AM25" s="90" t="str">
        <f>IFERROR(VLOOKUP(A25&amp;"aa",COPY!$S$2:$AA$1000,7,FALSE)," ")</f>
        <v>Sak</v>
      </c>
      <c r="AN25" s="90" t="str">
        <f>IFERROR(VLOOKUP(A25&amp;"aaa",COPY!$S$2:$AA$1000,7,FALSE)," ")</f>
        <v xml:space="preserve"> </v>
      </c>
      <c r="AO25" s="90" t="str">
        <f>IFERROR(VLOOKUP(A25&amp;"aaaa",COPY!$S$2:$AA$1000,7,FALSE)," ")</f>
        <v xml:space="preserve"> </v>
      </c>
      <c r="AP25" s="90" t="str">
        <f>IFERROR(VLOOKUP(A25&amp;"aaaaa",COPY!$S$2:$AA$1000,7,FALSE)," ")</f>
        <v xml:space="preserve"> </v>
      </c>
      <c r="AQ25" s="90" t="str">
        <f>IFERROR(VLOOKUP(A25&amp;"aaaaaa",COPY!$S$2:$AA$1000,7,FALSE)," ")</f>
        <v xml:space="preserve"> </v>
      </c>
      <c r="AR25" s="90" t="str">
        <f>IFERROR(VLOOKUP(A25&amp;"aaaaaaa",COPY!$S$2:$AA$1000,7,FALSE)," ")</f>
        <v xml:space="preserve"> </v>
      </c>
      <c r="AS25" s="90" t="str">
        <f>IFERROR(VLOOKUP(A25&amp;"aaaaaaaa",COPY!$S$2:$AA$1000,7,FALSE)," ")</f>
        <v xml:space="preserve"> </v>
      </c>
      <c r="AT25" s="90" t="str">
        <f>IFERROR(VLOOKUP(A25&amp;"aaaaaaaaa",COPY!$S$2:$AA$1000,7,FALSE)," ")</f>
        <v xml:space="preserve"> </v>
      </c>
      <c r="AU25" s="90" t="str">
        <f>IFERROR(VLOOKUP(A25&amp;"aaaaaaaaaa",COPY!$S$2:$AA$1000,7,FALSE)," ")</f>
        <v xml:space="preserve"> </v>
      </c>
      <c r="AV25" s="90" t="str">
        <f>IFERROR(VLOOKUP(A25&amp;"aaaaaaaaaaa",COPY!$S$2:$AA$1000,7,FALSE)," ")</f>
        <v xml:space="preserve"> </v>
      </c>
    </row>
    <row r="26" spans="1:48" x14ac:dyDescent="0.2">
      <c r="A26" s="75" t="str">
        <f>'REKAP PAJAK'!W63</f>
        <v>BKK.25</v>
      </c>
      <c r="B26" s="75" t="str">
        <f>IF(LEN(A26)&gt;1,VLOOKUP(A26,COPY!$O$2:$R$1000,4,FALSE),"")</f>
        <v>Mgg4</v>
      </c>
      <c r="C26" s="75" t="str">
        <f t="shared" si="0"/>
        <v>MELIA FITRIANI, S.Pd.SD</v>
      </c>
      <c r="D26" s="75" t="str">
        <f t="shared" si="1"/>
        <v>NIP. 19850619 200904 2 000</v>
      </c>
      <c r="E26" s="75" t="str">
        <f t="shared" si="2"/>
        <v>ARIF NUR UDIN, S.Pd.SD</v>
      </c>
      <c r="F26" s="75" t="str">
        <f t="shared" si="3"/>
        <v>NIP. 19840719 200903 1 002</v>
      </c>
      <c r="G26" s="75" t="str">
        <f>IFERROR(TEXT(VLOOKUP(A26,COPY!$S$2:$W$1000,3,FALSE),"dd mmmm yyyy")," ")</f>
        <v>24 September 2025</v>
      </c>
      <c r="H26" s="75" t="str">
        <f t="shared" si="4"/>
        <v>SDN 1 SIDODADI</v>
      </c>
      <c r="I26" s="75" t="str">
        <f t="shared" si="5"/>
        <v>NGANTANG</v>
      </c>
      <c r="J26" s="90">
        <f>IFERROR(VLOOKUP(A26,COPY!$S$2:$W$1000,4,FALSE)," ")</f>
        <v>1400000</v>
      </c>
      <c r="K26" s="75" t="str">
        <f>IFERROR(VLOOKUP(A26,COPY!$S$2:$W$1000,5,FALSE)," ")</f>
        <v>Satu Juta Empat Ratus Ribu Rupiah</v>
      </c>
      <c r="L26" s="75" t="str">
        <f>IF(B26="","",IF(LEFT(B26,2)="Ma",(VLOOKUP(B26,'Rekap Gaji'!$C$12:$D$26,2,FALSE))&amp;" Untuk "&amp;(PROPER('Rekap Gaji'!$B$2)),IF(LEFT(B26,2)="Mg","Pembelian Material Bahan Bangunan",IF(LEFT(B26,2)="Me","Biaya Pembelanjaan Menejemen",IF(LEFT(B26,1)="G",VLOOKUP(A26,COPY!$S$2:$AA$1000,2,FALSE)&amp;"( "&amp;TEXT(VLOOKUP(B26,'Rekap Gaji'!$A$12:$I$26,5,FALSE),"dd-mm-yyyy")&amp;" "&amp;TEXT(VLOOKUP(B26,'Rekap Gaji'!$A$12:$I$26,6,FALSE)&amp;" "&amp;TEXT(VLOOKUP(B26,'Rekap Gaji'!$A$12:$I$26,7,FALSE),"dd-mm-yyyy")&amp;" )"," "))))))</f>
        <v>Pembelian Material Bahan Bangunan</v>
      </c>
      <c r="M26" s="75" t="str">
        <f>IF(OR(LEFT(B26,2)="mg",LEFT(B26,2)="mE"),VLOOKUP(A26,COPY!$S$2:$AA$1000,2,FALSE),IF(LEFT(B26,1)="G"," ",IF(LEFT(B26,2)="ma"," "," ")))</f>
        <v>Bata Ringan Vocon 10 Cm</v>
      </c>
      <c r="N26" s="75" t="str">
        <f>IFERROR(VLOOKUP($A$26&amp;"a",COPY!$S$2:$AA$1000,2,FALSE)," ")</f>
        <v>Drymix Perekat Bata Ringan</v>
      </c>
      <c r="O26" s="75" t="str">
        <f>IFERROR(VLOOKUP($A$26&amp;"aa",COPY!$S$2:$AA$1000,2,FALSE)," ")</f>
        <v xml:space="preserve"> </v>
      </c>
      <c r="P26" s="75" t="str">
        <f>IFERROR(VLOOKUP($A$26&amp;"aaa",COPY!$S$2:$AA$1000,2,FALSE)," ")</f>
        <v xml:space="preserve"> </v>
      </c>
      <c r="Q26" s="75" t="str">
        <f>IFERROR(VLOOKUP($A$26&amp;"aaaa",COPY!$S$2:$AA$1000,2,FALSE)," ")</f>
        <v xml:space="preserve"> </v>
      </c>
      <c r="R26" s="75" t="str">
        <f>IFERROR(VLOOKUP($A$26&amp;"aaaaa",COPY!$S$2:$AA$1000,2,FALSE)," ")</f>
        <v xml:space="preserve"> </v>
      </c>
      <c r="S26" s="75" t="str">
        <f>IFERROR(VLOOKUP($A$26&amp;"aaaaaa",COPY!$S$2:$AA$1000,2,FALSE)," ")</f>
        <v xml:space="preserve"> </v>
      </c>
      <c r="T26" s="75" t="str">
        <f>IFERROR(VLOOKUP($A$26&amp;"aaaaaaa",COPY!$S$2:$AA$1000,2,FALSE)," ")</f>
        <v xml:space="preserve"> </v>
      </c>
      <c r="U26" s="75" t="str">
        <f>IFERROR(VLOOKUP($A$26&amp;"aaaaaaaa",COPY!$S$2:$AA$1000,2,FALSE)," ")</f>
        <v xml:space="preserve"> </v>
      </c>
      <c r="V26" s="75" t="str">
        <f>IFERROR(VLOOKUP($A$26&amp;"aaaaaaaaa",COPY!$S$2:$AA$1000,2,FALSE)," ")</f>
        <v xml:space="preserve"> </v>
      </c>
      <c r="W26" s="75" t="str">
        <f>IFERROR(VLOOKUP($A$26&amp;"aaaaaaaaaa",COPY!$S$2:$AA$1000,2,FALSE)," ")</f>
        <v xml:space="preserve"> </v>
      </c>
      <c r="X26" s="75" t="str">
        <f>IFERROR(VLOOKUP($A$26&amp;"aaaaaaaaaaa",COPY!$S$2:$AA$1000,2,FALSE)," ")</f>
        <v xml:space="preserve"> </v>
      </c>
      <c r="Y26" s="90">
        <f>IF(OR(LEFT(B26,2)="mg",LEFT(B26,2)="mE"),VLOOKUP(A26,COPY!$S$2:$AA$1000,6,FALSE),IF(LEFT(B26,1)="G"," ",IF(LEFT(B26,2)="ma"," "," ")))</f>
        <v>2</v>
      </c>
      <c r="Z26" s="90">
        <f>IFERROR(VLOOKUP(A26&amp;"a",COPY!$S$2:$AA$1000,6,FALSE)," ")</f>
        <v>4</v>
      </c>
      <c r="AA26" s="90" t="str">
        <f>IFERROR(VLOOKUP(A26&amp;"aa",COPY!$S$2:$AA$1000,6,FALSE)," ")</f>
        <v xml:space="preserve"> </v>
      </c>
      <c r="AB26" s="90" t="str">
        <f>IFERROR(VLOOKUP(A26&amp;"aaa",COPY!$S$2:$AA$1000,6,FALSE)," ")</f>
        <v xml:space="preserve"> </v>
      </c>
      <c r="AC26" s="90" t="str">
        <f>IFERROR(VLOOKUP(A26&amp;"aaaa",COPY!$S$2:$AA$1000,6,FALSE)," ")</f>
        <v xml:space="preserve"> </v>
      </c>
      <c r="AD26" s="90" t="str">
        <f>IFERROR(VLOOKUP(A26&amp;"aaaaa",COPY!$S$2:$AA$1000,6,FALSE)," ")</f>
        <v xml:space="preserve"> </v>
      </c>
      <c r="AE26" s="90" t="str">
        <f>IFERROR(VLOOKUP(A26&amp;"aaaaaa",COPY!$S$2:$AA$1000,6,FALSE)," ")</f>
        <v xml:space="preserve"> </v>
      </c>
      <c r="AF26" s="90" t="str">
        <f>IFERROR(VLOOKUP(A26&amp;"aaaaaaa",COPY!$S$2:$AA$1000,6,FALSE)," ")</f>
        <v xml:space="preserve"> </v>
      </c>
      <c r="AG26" s="90" t="str">
        <f>IFERROR(VLOOKUP(A26&amp;"aaaaaaaa",COPY!$S$2:$AA$1000,6,FALSE)," ")</f>
        <v xml:space="preserve"> </v>
      </c>
      <c r="AH26" s="90" t="str">
        <f>IFERROR(VLOOKUP(A26&amp;"aaaaaaaaa",COPY!$S$2:$AA$1000,6,FALSE)," ")</f>
        <v xml:space="preserve"> </v>
      </c>
      <c r="AI26" s="90" t="str">
        <f>IFERROR(VLOOKUP(A26&amp;"aaaaaaaaaa",COPY!$S$2:$AA$1000,6,FALSE)," ")</f>
        <v xml:space="preserve"> </v>
      </c>
      <c r="AJ26" s="90" t="str">
        <f>IFERROR(VLOOKUP(A26&amp;"aaaaaaaaaaa",COPY!$S$2:$AA$1000,6,FALSE)," ")</f>
        <v xml:space="preserve"> </v>
      </c>
      <c r="AK26" s="90" t="str">
        <f>IF(LEFT(B26,2)="mg",VLOOKUP(A26,COPY!$S$2:$AA$1000,7,FALSE),IF(LEFT(B26,1)="G"," ",IF(LEFT(B26,2)="ma"," "," ")))</f>
        <v>m3</v>
      </c>
      <c r="AL26" s="90" t="str">
        <f>IFERROR(VLOOKUP(A26&amp;"a",COPY!$S$2:$AA$1000,7,FALSE)," ")</f>
        <v>Sak</v>
      </c>
      <c r="AM26" s="90" t="str">
        <f>IFERROR(VLOOKUP(A26&amp;"aa",COPY!$S$2:$AA$1000,7,FALSE)," ")</f>
        <v xml:space="preserve"> </v>
      </c>
      <c r="AN26" s="90" t="str">
        <f>IFERROR(VLOOKUP(A26&amp;"aaa",COPY!$S$2:$AA$1000,7,FALSE)," ")</f>
        <v xml:space="preserve"> </v>
      </c>
      <c r="AO26" s="90" t="str">
        <f>IFERROR(VLOOKUP(A26&amp;"aaaa",COPY!$S$2:$AA$1000,7,FALSE)," ")</f>
        <v xml:space="preserve"> </v>
      </c>
      <c r="AP26" s="90" t="str">
        <f>IFERROR(VLOOKUP(A26&amp;"aaaaa",COPY!$S$2:$AA$1000,7,FALSE)," ")</f>
        <v xml:space="preserve"> </v>
      </c>
      <c r="AQ26" s="90" t="str">
        <f>IFERROR(VLOOKUP(A26&amp;"aaaaaa",COPY!$S$2:$AA$1000,7,FALSE)," ")</f>
        <v xml:space="preserve"> </v>
      </c>
      <c r="AR26" s="90" t="str">
        <f>IFERROR(VLOOKUP(A26&amp;"aaaaaaa",COPY!$S$2:$AA$1000,7,FALSE)," ")</f>
        <v xml:space="preserve"> </v>
      </c>
      <c r="AS26" s="90" t="str">
        <f>IFERROR(VLOOKUP(A26&amp;"aaaaaaaa",COPY!$S$2:$AA$1000,7,FALSE)," ")</f>
        <v xml:space="preserve"> </v>
      </c>
      <c r="AT26" s="90" t="str">
        <f>IFERROR(VLOOKUP(A26&amp;"aaaaaaaaa",COPY!$S$2:$AA$1000,7,FALSE)," ")</f>
        <v xml:space="preserve"> </v>
      </c>
      <c r="AU26" s="90" t="str">
        <f>IFERROR(VLOOKUP(A26&amp;"aaaaaaaaaa",COPY!$S$2:$AA$1000,7,FALSE)," ")</f>
        <v xml:space="preserve"> </v>
      </c>
      <c r="AV26" s="90" t="str">
        <f>IFERROR(VLOOKUP(A26&amp;"aaaaaaaaaaa",COPY!$S$2:$AA$1000,7,FALSE)," ")</f>
        <v xml:space="preserve"> </v>
      </c>
    </row>
    <row r="27" spans="1:48" x14ac:dyDescent="0.2">
      <c r="A27" s="75" t="str">
        <f>'REKAP PAJAK'!W64</f>
        <v>BKK.26</v>
      </c>
      <c r="B27" s="75" t="str">
        <f>IF(LEN(A27)&gt;1,VLOOKUP(A27,COPY!$O$2:$R$1000,4,FALSE),"")</f>
        <v>Mgg4</v>
      </c>
      <c r="C27" s="75" t="str">
        <f t="shared" si="0"/>
        <v>MELIA FITRIANI, S.Pd.SD</v>
      </c>
      <c r="D27" s="75" t="str">
        <f t="shared" si="1"/>
        <v>NIP. 19850619 200904 2 000</v>
      </c>
      <c r="E27" s="75" t="str">
        <f t="shared" si="2"/>
        <v>ARIF NUR UDIN, S.Pd.SD</v>
      </c>
      <c r="F27" s="75" t="str">
        <f t="shared" si="3"/>
        <v>NIP. 19840719 200903 1 002</v>
      </c>
      <c r="G27" s="75" t="str">
        <f>IFERROR(TEXT(VLOOKUP(A27,COPY!$S$2:$W$1000,3,FALSE),"dd mmmm yyyy")," ")</f>
        <v>25 September 2025</v>
      </c>
      <c r="H27" s="75" t="str">
        <f t="shared" si="4"/>
        <v>SDN 1 SIDODADI</v>
      </c>
      <c r="I27" s="75" t="str">
        <f t="shared" si="5"/>
        <v>NGANTANG</v>
      </c>
      <c r="J27" s="90">
        <f>IFERROR(VLOOKUP(A27,COPY!$S$2:$W$1000,4,FALSE)," ")</f>
        <v>1827000</v>
      </c>
      <c r="K27" s="75" t="str">
        <f>IFERROR(VLOOKUP(A27,COPY!$S$2:$W$1000,5,FALSE)," ")</f>
        <v>Satu Juta Delapan Ratus Dua Puluh Tujuh Ribu Rupiah</v>
      </c>
      <c r="L27" s="75" t="str">
        <f>IF(B27="","",IF(LEFT(B27,2)="Ma",(VLOOKUP(B27,'Rekap Gaji'!$C$12:$D$26,2,FALSE))&amp;" Untuk "&amp;(PROPER('Rekap Gaji'!$B$2)),IF(LEFT(B27,2)="Mg","Pembelian Material Bahan Bangunan",IF(LEFT(B27,2)="Me","Biaya Pembelanjaan Menejemen",IF(LEFT(B27,1)="G",VLOOKUP(A27,COPY!$S$2:$AA$1000,2,FALSE)&amp;"( "&amp;TEXT(VLOOKUP(B27,'Rekap Gaji'!$A$12:$I$26,5,FALSE),"dd-mm-yyyy")&amp;" "&amp;TEXT(VLOOKUP(B27,'Rekap Gaji'!$A$12:$I$26,6,FALSE)&amp;" "&amp;TEXT(VLOOKUP(B27,'Rekap Gaji'!$A$12:$I$26,7,FALSE),"dd-mm-yyyy")&amp;" )"," "))))))</f>
        <v>Pembelian Material Bahan Bangunan</v>
      </c>
      <c r="M27" s="75" t="str">
        <f>IF(OR(LEFT(B27,2)="mg",LEFT(B27,2)="mE"),VLOOKUP(A27,COPY!$S$2:$AA$1000,2,FALSE),IF(LEFT(B27,1)="G"," ",IF(LEFT(B27,2)="ma"," "," ")))</f>
        <v>Pasir Biasa L300</v>
      </c>
      <c r="N27" s="75" t="str">
        <f>IFERROR(VLOOKUP($A$27&amp;"a",COPY!$S$2:$AA$1000,2,FALSE)," ")</f>
        <v>Wd Potong Bosch</v>
      </c>
      <c r="O27" s="75" t="str">
        <f>IFERROR(VLOOKUP($A$27&amp;"aa",COPY!$S$2:$AA$1000,2,FALSE)," ")</f>
        <v>Bendrat Spq</v>
      </c>
      <c r="P27" s="75" t="str">
        <f>IFERROR(VLOOKUP($A$27&amp;"aaa",COPY!$S$2:$AA$1000,2,FALSE)," ")</f>
        <v>Besi 6.0 Sni</v>
      </c>
      <c r="Q27" s="75" t="str">
        <f>IFERROR(VLOOKUP($A$27&amp;"aaaa",COPY!$S$2:$AA$1000,2,FALSE)," ")</f>
        <v>Besi 8.0 Sni</v>
      </c>
      <c r="R27" s="75" t="str">
        <f>IFERROR(VLOOKUP($A$27&amp;"aaaaa",COPY!$S$2:$AA$1000,2,FALSE)," ")</f>
        <v>Semen 3 Roda</v>
      </c>
      <c r="S27" s="75" t="str">
        <f>IFERROR(VLOOKUP($A$27&amp;"aaaaaa",COPY!$S$2:$AA$1000,2,FALSE)," ")</f>
        <v xml:space="preserve"> </v>
      </c>
      <c r="T27" s="75" t="str">
        <f>IFERROR(VLOOKUP($A$27&amp;"aaaaaaa",COPY!$S$2:$AA$1000,2,FALSE)," ")</f>
        <v xml:space="preserve"> </v>
      </c>
      <c r="U27" s="75" t="str">
        <f>IFERROR(VLOOKUP($A$27&amp;"aaaaaaaa",COPY!$S$2:$AA$1000,2,FALSE)," ")</f>
        <v xml:space="preserve"> </v>
      </c>
      <c r="V27" s="75" t="str">
        <f>IFERROR(VLOOKUP($A$27&amp;"aaaaaaaaa",COPY!$S$2:$AA$1000,2,FALSE)," ")</f>
        <v xml:space="preserve"> </v>
      </c>
      <c r="W27" s="75" t="str">
        <f>IFERROR(VLOOKUP($A$27&amp;"aaaaaaaaaa",COPY!$S$2:$AA$1000,2,FALSE)," ")</f>
        <v xml:space="preserve"> </v>
      </c>
      <c r="X27" s="75" t="str">
        <f>IFERROR(VLOOKUP($A$27&amp;"aaaaaaaaaaa",COPY!$S$2:$AA$1000,2,FALSE)," ")</f>
        <v xml:space="preserve"> </v>
      </c>
      <c r="Y27" s="90">
        <f>IF(OR(LEFT(B27,2)="mg",LEFT(B27,2)="mE"),VLOOKUP(A27,COPY!$S$2:$AA$1000,6,FALSE),IF(LEFT(B27,1)="G"," ",IF(LEFT(B27,2)="ma"," "," ")))</f>
        <v>2</v>
      </c>
      <c r="Z27" s="90">
        <f>IFERROR(VLOOKUP(A27&amp;"a",COPY!$S$2:$AA$1000,6,FALSE)," ")</f>
        <v>6</v>
      </c>
      <c r="AA27" s="90">
        <f>IFERROR(VLOOKUP(A27&amp;"aa",COPY!$S$2:$AA$1000,6,FALSE)," ")</f>
        <v>5</v>
      </c>
      <c r="AB27" s="90">
        <f>IFERROR(VLOOKUP(A27&amp;"aaa",COPY!$S$2:$AA$1000,6,FALSE)," ")</f>
        <v>10</v>
      </c>
      <c r="AC27" s="90">
        <f>IFERROR(VLOOKUP(A27&amp;"aaaa",COPY!$S$2:$AA$1000,6,FALSE)," ")</f>
        <v>14</v>
      </c>
      <c r="AD27" s="90">
        <f>IFERROR(VLOOKUP(A27&amp;"aaaaa",COPY!$S$2:$AA$1000,6,FALSE)," ")</f>
        <v>6</v>
      </c>
      <c r="AE27" s="90" t="str">
        <f>IFERROR(VLOOKUP(A27&amp;"aaaaaa",COPY!$S$2:$AA$1000,6,FALSE)," ")</f>
        <v xml:space="preserve"> </v>
      </c>
      <c r="AF27" s="90" t="str">
        <f>IFERROR(VLOOKUP(A27&amp;"aaaaaaa",COPY!$S$2:$AA$1000,6,FALSE)," ")</f>
        <v xml:space="preserve"> </v>
      </c>
      <c r="AG27" s="90" t="str">
        <f>IFERROR(VLOOKUP(A27&amp;"aaaaaaaa",COPY!$S$2:$AA$1000,6,FALSE)," ")</f>
        <v xml:space="preserve"> </v>
      </c>
      <c r="AH27" s="90" t="str">
        <f>IFERROR(VLOOKUP(A27&amp;"aaaaaaaaa",COPY!$S$2:$AA$1000,6,FALSE)," ")</f>
        <v xml:space="preserve"> </v>
      </c>
      <c r="AI27" s="90" t="str">
        <f>IFERROR(VLOOKUP(A27&amp;"aaaaaaaaaa",COPY!$S$2:$AA$1000,6,FALSE)," ")</f>
        <v xml:space="preserve"> </v>
      </c>
      <c r="AJ27" s="90" t="str">
        <f>IFERROR(VLOOKUP(A27&amp;"aaaaaaaaaaa",COPY!$S$2:$AA$1000,6,FALSE)," ")</f>
        <v xml:space="preserve"> </v>
      </c>
      <c r="AK27" s="90" t="str">
        <f>IF(LEFT(B27,2)="mg",VLOOKUP(A27,COPY!$S$2:$AA$1000,7,FALSE),IF(LEFT(B27,1)="G"," ",IF(LEFT(B27,2)="ma"," "," ")))</f>
        <v>Pik Up</v>
      </c>
      <c r="AL27" s="90" t="str">
        <f>IFERROR(VLOOKUP(A27&amp;"a",COPY!$S$2:$AA$1000,7,FALSE)," ")</f>
        <v>Pcs</v>
      </c>
      <c r="AM27" s="90" t="str">
        <f>IFERROR(VLOOKUP(A27&amp;"aa",COPY!$S$2:$AA$1000,7,FALSE)," ")</f>
        <v>kg</v>
      </c>
      <c r="AN27" s="90" t="str">
        <f>IFERROR(VLOOKUP(A27&amp;"aaa",COPY!$S$2:$AA$1000,7,FALSE)," ")</f>
        <v>Ljr</v>
      </c>
      <c r="AO27" s="90" t="str">
        <f>IFERROR(VLOOKUP(A27&amp;"aaaa",COPY!$S$2:$AA$1000,7,FALSE)," ")</f>
        <v>Ljr</v>
      </c>
      <c r="AP27" s="90" t="str">
        <f>IFERROR(VLOOKUP(A27&amp;"aaaaa",COPY!$S$2:$AA$1000,7,FALSE)," ")</f>
        <v>Sak</v>
      </c>
      <c r="AQ27" s="90" t="str">
        <f>IFERROR(VLOOKUP(A27&amp;"aaaaaa",COPY!$S$2:$AA$1000,7,FALSE)," ")</f>
        <v xml:space="preserve"> </v>
      </c>
      <c r="AR27" s="90" t="str">
        <f>IFERROR(VLOOKUP(A27&amp;"aaaaaaa",COPY!$S$2:$AA$1000,7,FALSE)," ")</f>
        <v xml:space="preserve"> </v>
      </c>
      <c r="AS27" s="90" t="str">
        <f>IFERROR(VLOOKUP(A27&amp;"aaaaaaaa",COPY!$S$2:$AA$1000,7,FALSE)," ")</f>
        <v xml:space="preserve"> </v>
      </c>
      <c r="AT27" s="90" t="str">
        <f>IFERROR(VLOOKUP(A27&amp;"aaaaaaaaa",COPY!$S$2:$AA$1000,7,FALSE)," ")</f>
        <v xml:space="preserve"> </v>
      </c>
      <c r="AU27" s="90" t="str">
        <f>IFERROR(VLOOKUP(A27&amp;"aaaaaaaaaa",COPY!$S$2:$AA$1000,7,FALSE)," ")</f>
        <v xml:space="preserve"> </v>
      </c>
      <c r="AV27" s="90" t="str">
        <f>IFERROR(VLOOKUP(A27&amp;"aaaaaaaaaaa",COPY!$S$2:$AA$1000,7,FALSE)," ")</f>
        <v xml:space="preserve"> </v>
      </c>
    </row>
    <row r="28" spans="1:48" x14ac:dyDescent="0.2">
      <c r="A28" s="75" t="str">
        <f>'REKAP PAJAK'!W65</f>
        <v>BKK.27</v>
      </c>
      <c r="B28" s="75" t="str">
        <f>IF(LEN(A28)&gt;1,VLOOKUP(A28,COPY!$O$2:$R$1000,4,FALSE),"")</f>
        <v>Mgg4</v>
      </c>
      <c r="C28" s="75" t="str">
        <f t="shared" si="0"/>
        <v>MELIA FITRIANI, S.Pd.SD</v>
      </c>
      <c r="D28" s="75" t="str">
        <f t="shared" si="1"/>
        <v>NIP. 19850619 200904 2 000</v>
      </c>
      <c r="E28" s="75" t="str">
        <f t="shared" si="2"/>
        <v>ARIF NUR UDIN, S.Pd.SD</v>
      </c>
      <c r="F28" s="75" t="str">
        <f t="shared" si="3"/>
        <v>NIP. 19840719 200903 1 002</v>
      </c>
      <c r="G28" s="75" t="str">
        <f>IFERROR(TEXT(VLOOKUP(A28,COPY!$S$2:$W$1000,3,FALSE),"dd mmmm yyyy")," ")</f>
        <v>26 September 2025</v>
      </c>
      <c r="H28" s="75" t="str">
        <f t="shared" si="4"/>
        <v>SDN 1 SIDODADI</v>
      </c>
      <c r="I28" s="75" t="str">
        <f t="shared" si="5"/>
        <v>NGANTANG</v>
      </c>
      <c r="J28" s="90">
        <f>IFERROR(VLOOKUP(A28,COPY!$S$2:$W$1000,4,FALSE)," ")</f>
        <v>1955000</v>
      </c>
      <c r="K28" s="75" t="str">
        <f>IFERROR(VLOOKUP(A28,COPY!$S$2:$W$1000,5,FALSE)," ")</f>
        <v>Satu Juta Sembilan Ratus Lima Puluh Lima Ribu Rupiah</v>
      </c>
      <c r="L28" s="75" t="str">
        <f>IF(B28="","",IF(LEFT(B28,2)="Ma",(VLOOKUP(B28,'Rekap Gaji'!$C$12:$D$26,2,FALSE))&amp;" Untuk "&amp;(PROPER('Rekap Gaji'!$B$2)),IF(LEFT(B28,2)="Mg","Pembelian Material Bahan Bangunan",IF(LEFT(B28,2)="Me","Biaya Pembelanjaan Menejemen",IF(LEFT(B28,1)="G",VLOOKUP(A28,COPY!$S$2:$AA$1000,2,FALSE)&amp;"( "&amp;TEXT(VLOOKUP(B28,'Rekap Gaji'!$A$12:$I$26,5,FALSE),"dd-mm-yyyy")&amp;" "&amp;TEXT(VLOOKUP(B28,'Rekap Gaji'!$A$12:$I$26,6,FALSE)&amp;" "&amp;TEXT(VLOOKUP(B28,'Rekap Gaji'!$A$12:$I$26,7,FALSE),"dd-mm-yyyy")&amp;" )"," "))))))</f>
        <v>Pembelian Material Bahan Bangunan</v>
      </c>
      <c r="M28" s="75" t="str">
        <f>IF(OR(LEFT(B28,2)="mg",LEFT(B28,2)="mE"),VLOOKUP(A28,COPY!$S$2:$AA$1000,2,FALSE),IF(LEFT(B28,1)="G"," ",IF(LEFT(B28,2)="ma"," "," ")))</f>
        <v>Bata Merah Super</v>
      </c>
      <c r="N28" s="75" t="str">
        <f>IFERROR(VLOOKUP($A$28&amp;"a",COPY!$S$2:$AA$1000,2,FALSE)," ")</f>
        <v>Bata Ringan Vocon 10 Cm</v>
      </c>
      <c r="O28" s="75" t="str">
        <f>IFERROR(VLOOKUP($A$28&amp;"aa",COPY!$S$2:$AA$1000,2,FALSE)," ")</f>
        <v xml:space="preserve"> </v>
      </c>
      <c r="P28" s="75" t="str">
        <f>IFERROR(VLOOKUP($A$28&amp;"aaa",COPY!$S$2:$AA$1000,2,FALSE)," ")</f>
        <v xml:space="preserve"> </v>
      </c>
      <c r="Q28" s="75" t="str">
        <f>IFERROR(VLOOKUP($A$28&amp;"aaaa",COPY!$S$2:$AA$1000,2,FALSE)," ")</f>
        <v xml:space="preserve"> </v>
      </c>
      <c r="R28" s="75" t="str">
        <f>IFERROR(VLOOKUP($A$28&amp;"aaaaa",COPY!$S$2:$AA$1000,2,FALSE)," ")</f>
        <v xml:space="preserve"> </v>
      </c>
      <c r="S28" s="75" t="str">
        <f>IFERROR(VLOOKUP($A$28&amp;"aaaaaa",COPY!$S$2:$AA$1000,2,FALSE)," ")</f>
        <v xml:space="preserve"> </v>
      </c>
      <c r="T28" s="75" t="str">
        <f>IFERROR(VLOOKUP($A$28&amp;"aaaaaaa",COPY!$S$2:$AA$1000,2,FALSE)," ")</f>
        <v xml:space="preserve"> </v>
      </c>
      <c r="U28" s="75" t="str">
        <f>IFERROR(VLOOKUP($A$28&amp;"aaaaaaaa",COPY!$S$2:$AA$1000,2,FALSE)," ")</f>
        <v xml:space="preserve"> </v>
      </c>
      <c r="V28" s="75" t="str">
        <f>IFERROR(VLOOKUP($A$28&amp;"aaaaaaaaa",COPY!$S$2:$AA$1000,2,FALSE)," ")</f>
        <v xml:space="preserve"> </v>
      </c>
      <c r="W28" s="75" t="str">
        <f>IFERROR(VLOOKUP($A$28&amp;"aaaaaaaaaa",COPY!$S$2:$AA$1000,2,FALSE)," ")</f>
        <v xml:space="preserve"> </v>
      </c>
      <c r="X28" s="75" t="str">
        <f>IFERROR(VLOOKUP($A$28&amp;"aaaaaaaaaaa",COPY!$S$2:$AA$1000,2,FALSE)," ")</f>
        <v xml:space="preserve"> </v>
      </c>
      <c r="Y28" s="90">
        <f>IF(OR(LEFT(B28,2)="mg",LEFT(B28,2)="mE"),VLOOKUP(A28,COPY!$S$2:$AA$1000,6,FALSE),IF(LEFT(B28,1)="G"," ",IF(LEFT(B28,2)="ma"," "," ")))</f>
        <v>500</v>
      </c>
      <c r="Z28" s="90">
        <f>IFERROR(VLOOKUP(A28&amp;"a",COPY!$S$2:$AA$1000,6,FALSE)," ")</f>
        <v>3</v>
      </c>
      <c r="AA28" s="90" t="str">
        <f>IFERROR(VLOOKUP(A28&amp;"aa",COPY!$S$2:$AA$1000,6,FALSE)," ")</f>
        <v xml:space="preserve"> </v>
      </c>
      <c r="AB28" s="90" t="str">
        <f>IFERROR(VLOOKUP(A28&amp;"aaa",COPY!$S$2:$AA$1000,6,FALSE)," ")</f>
        <v xml:space="preserve"> </v>
      </c>
      <c r="AC28" s="90" t="str">
        <f>IFERROR(VLOOKUP(A28&amp;"aaaa",COPY!$S$2:$AA$1000,6,FALSE)," ")</f>
        <v xml:space="preserve"> </v>
      </c>
      <c r="AD28" s="90" t="str">
        <f>IFERROR(VLOOKUP(A28&amp;"aaaaa",COPY!$S$2:$AA$1000,6,FALSE)," ")</f>
        <v xml:space="preserve"> </v>
      </c>
      <c r="AE28" s="90" t="str">
        <f>IFERROR(VLOOKUP(A28&amp;"aaaaaa",COPY!$S$2:$AA$1000,6,FALSE)," ")</f>
        <v xml:space="preserve"> </v>
      </c>
      <c r="AF28" s="90" t="str">
        <f>IFERROR(VLOOKUP(A28&amp;"aaaaaaa",COPY!$S$2:$AA$1000,6,FALSE)," ")</f>
        <v xml:space="preserve"> </v>
      </c>
      <c r="AG28" s="90" t="str">
        <f>IFERROR(VLOOKUP(A28&amp;"aaaaaaaa",COPY!$S$2:$AA$1000,6,FALSE)," ")</f>
        <v xml:space="preserve"> </v>
      </c>
      <c r="AH28" s="90" t="str">
        <f>IFERROR(VLOOKUP(A28&amp;"aaaaaaaaa",COPY!$S$2:$AA$1000,6,FALSE)," ")</f>
        <v xml:space="preserve"> </v>
      </c>
      <c r="AI28" s="90" t="str">
        <f>IFERROR(VLOOKUP(A28&amp;"aaaaaaaaaa",COPY!$S$2:$AA$1000,6,FALSE)," ")</f>
        <v xml:space="preserve"> </v>
      </c>
      <c r="AJ28" s="90" t="str">
        <f>IFERROR(VLOOKUP(A28&amp;"aaaaaaaaaaa",COPY!$S$2:$AA$1000,6,FALSE)," ")</f>
        <v xml:space="preserve"> </v>
      </c>
      <c r="AK28" s="90" t="str">
        <f>IF(LEFT(B28,2)="mg",VLOOKUP(A28,COPY!$S$2:$AA$1000,7,FALSE),IF(LEFT(B28,1)="G"," ",IF(LEFT(B28,2)="ma"," "," ")))</f>
        <v>Bji</v>
      </c>
      <c r="AL28" s="90" t="str">
        <f>IFERROR(VLOOKUP(A28&amp;"a",COPY!$S$2:$AA$1000,7,FALSE)," ")</f>
        <v>m3</v>
      </c>
      <c r="AM28" s="90" t="str">
        <f>IFERROR(VLOOKUP(A28&amp;"aa",COPY!$S$2:$AA$1000,7,FALSE)," ")</f>
        <v xml:space="preserve"> </v>
      </c>
      <c r="AN28" s="90" t="str">
        <f>IFERROR(VLOOKUP(A28&amp;"aaa",COPY!$S$2:$AA$1000,7,FALSE)," ")</f>
        <v xml:space="preserve"> </v>
      </c>
      <c r="AO28" s="90" t="str">
        <f>IFERROR(VLOOKUP(A28&amp;"aaaa",COPY!$S$2:$AA$1000,7,FALSE)," ")</f>
        <v xml:space="preserve"> </v>
      </c>
      <c r="AP28" s="90" t="str">
        <f>IFERROR(VLOOKUP(A28&amp;"aaaaa",COPY!$S$2:$AA$1000,7,FALSE)," ")</f>
        <v xml:space="preserve"> </v>
      </c>
      <c r="AQ28" s="90" t="str">
        <f>IFERROR(VLOOKUP(A28&amp;"aaaaaa",COPY!$S$2:$AA$1000,7,FALSE)," ")</f>
        <v xml:space="preserve"> </v>
      </c>
      <c r="AR28" s="90" t="str">
        <f>IFERROR(VLOOKUP(A28&amp;"aaaaaaa",COPY!$S$2:$AA$1000,7,FALSE)," ")</f>
        <v xml:space="preserve"> </v>
      </c>
      <c r="AS28" s="90" t="str">
        <f>IFERROR(VLOOKUP(A28&amp;"aaaaaaaa",COPY!$S$2:$AA$1000,7,FALSE)," ")</f>
        <v xml:space="preserve"> </v>
      </c>
      <c r="AT28" s="90" t="str">
        <f>IFERROR(VLOOKUP(A28&amp;"aaaaaaaaa",COPY!$S$2:$AA$1000,7,FALSE)," ")</f>
        <v xml:space="preserve"> </v>
      </c>
      <c r="AU28" s="90" t="str">
        <f>IFERROR(VLOOKUP(A28&amp;"aaaaaaaaaa",COPY!$S$2:$AA$1000,7,FALSE)," ")</f>
        <v xml:space="preserve"> </v>
      </c>
      <c r="AV28" s="90" t="str">
        <f>IFERROR(VLOOKUP(A28&amp;"aaaaaaaaaaa",COPY!$S$2:$AA$1000,7,FALSE)," ")</f>
        <v xml:space="preserve"> </v>
      </c>
    </row>
    <row r="29" spans="1:48" x14ac:dyDescent="0.2">
      <c r="A29" s="75" t="str">
        <f>'REKAP PAJAK'!W66</f>
        <v>BKK.28</v>
      </c>
      <c r="B29" s="75" t="str">
        <f>IF(LEN(A29)&gt;1,VLOOKUP(A29,COPY!$O$2:$R$1000,4,FALSE),"")</f>
        <v>Mgg4</v>
      </c>
      <c r="C29" s="75" t="str">
        <f t="shared" si="0"/>
        <v>MELIA FITRIANI, S.Pd.SD</v>
      </c>
      <c r="D29" s="75" t="str">
        <f t="shared" si="1"/>
        <v>NIP. 19850619 200904 2 000</v>
      </c>
      <c r="E29" s="75" t="str">
        <f t="shared" si="2"/>
        <v>ARIF NUR UDIN, S.Pd.SD</v>
      </c>
      <c r="F29" s="75" t="str">
        <f t="shared" si="3"/>
        <v>NIP. 19840719 200903 1 002</v>
      </c>
      <c r="G29" s="75" t="str">
        <f>IFERROR(TEXT(VLOOKUP(A29,COPY!$S$2:$W$1000,3,FALSE),"dd mmmm yyyy")," ")</f>
        <v>27 September 2025</v>
      </c>
      <c r="H29" s="75" t="str">
        <f t="shared" si="4"/>
        <v>SDN 1 SIDODADI</v>
      </c>
      <c r="I29" s="75" t="str">
        <f t="shared" si="5"/>
        <v>NGANTANG</v>
      </c>
      <c r="J29" s="90">
        <f>IFERROR(VLOOKUP(A29,COPY!$S$2:$W$1000,4,FALSE)," ")</f>
        <v>1658000</v>
      </c>
      <c r="K29" s="75" t="str">
        <f>IFERROR(VLOOKUP(A29,COPY!$S$2:$W$1000,5,FALSE)," ")</f>
        <v>Satu Juta Enam Ratus Lima Puluh Delapan Ribu Rupiah</v>
      </c>
      <c r="L29" s="75" t="str">
        <f>IF(B29="","",IF(LEFT(B29,2)="Ma",(VLOOKUP(B29,'Rekap Gaji'!$C$12:$D$26,2,FALSE))&amp;" Untuk "&amp;(PROPER('Rekap Gaji'!$B$2)),IF(LEFT(B29,2)="Mg","Pembelian Material Bahan Bangunan",IF(LEFT(B29,2)="Me","Biaya Pembelanjaan Menejemen",IF(LEFT(B29,1)="G",VLOOKUP(A29,COPY!$S$2:$AA$1000,2,FALSE)&amp;"( "&amp;TEXT(VLOOKUP(B29,'Rekap Gaji'!$A$12:$I$26,5,FALSE),"dd-mm-yyyy")&amp;" "&amp;TEXT(VLOOKUP(B29,'Rekap Gaji'!$A$12:$I$26,6,FALSE)&amp;" "&amp;TEXT(VLOOKUP(B29,'Rekap Gaji'!$A$12:$I$26,7,FALSE),"dd-mm-yyyy")&amp;" )"," "))))))</f>
        <v>Pembelian Material Bahan Bangunan</v>
      </c>
      <c r="M29" s="75" t="str">
        <f>IF(OR(LEFT(B29,2)="mg",LEFT(B29,2)="mE"),VLOOKUP(A29,COPY!$S$2:$AA$1000,2,FALSE),IF(LEFT(B29,1)="G"," ",IF(LEFT(B29,2)="ma"," "," ")))</f>
        <v>Pasir Biasa L300</v>
      </c>
      <c r="N29" s="75" t="str">
        <f>IFERROR(VLOOKUP($A$29&amp;"a",COPY!$S$2:$AA$1000,2,FALSE)," ")</f>
        <v>Koral L300</v>
      </c>
      <c r="O29" s="75" t="str">
        <f>IFERROR(VLOOKUP($A$29&amp;"aa",COPY!$S$2:$AA$1000,2,FALSE)," ")</f>
        <v>Bendrat Spq</v>
      </c>
      <c r="P29" s="75" t="str">
        <f>IFERROR(VLOOKUP($A$29&amp;"aaa",COPY!$S$2:$AA$1000,2,FALSE)," ")</f>
        <v>Semen Gresik 40Kg</v>
      </c>
      <c r="Q29" s="75" t="str">
        <f>IFERROR(VLOOKUP($A$29&amp;"aaaa",COPY!$S$2:$AA$1000,2,FALSE)," ")</f>
        <v xml:space="preserve"> </v>
      </c>
      <c r="R29" s="75" t="str">
        <f>IFERROR(VLOOKUP($A$29&amp;"aaaaa",COPY!$S$2:$AA$1000,2,FALSE)," ")</f>
        <v xml:space="preserve"> </v>
      </c>
      <c r="S29" s="75" t="str">
        <f>IFERROR(VLOOKUP($A$29&amp;"aaaaaa",COPY!$S$2:$AA$1000,2,FALSE)," ")</f>
        <v xml:space="preserve"> </v>
      </c>
      <c r="T29" s="75" t="str">
        <f>IFERROR(VLOOKUP($A$29&amp;"aaaaaaa",COPY!$S$2:$AA$1000,2,FALSE)," ")</f>
        <v xml:space="preserve"> </v>
      </c>
      <c r="U29" s="75" t="str">
        <f>IFERROR(VLOOKUP($A$29&amp;"aaaaaaaa",COPY!$S$2:$AA$1000,2,FALSE)," ")</f>
        <v xml:space="preserve"> </v>
      </c>
      <c r="V29" s="75" t="str">
        <f>IFERROR(VLOOKUP($A$29&amp;"aaaaaaaaa",COPY!$S$2:$AA$1000,2,FALSE)," ")</f>
        <v xml:space="preserve"> </v>
      </c>
      <c r="W29" s="75" t="str">
        <f>IFERROR(VLOOKUP($A$29&amp;"aaaaaaaaaa",COPY!$S$2:$AA$1000,2,FALSE)," ")</f>
        <v xml:space="preserve"> </v>
      </c>
      <c r="X29" s="75" t="str">
        <f>IFERROR(VLOOKUP($A$29&amp;"aaaaaaaaaaa",COPY!$S$2:$AA$1000,2,FALSE)," ")</f>
        <v xml:space="preserve"> </v>
      </c>
      <c r="Y29" s="90">
        <f>IF(OR(LEFT(B29,2)="mg",LEFT(B29,2)="mE"),VLOOKUP(A29,COPY!$S$2:$AA$1000,6,FALSE),IF(LEFT(B29,1)="G"," ",IF(LEFT(B29,2)="ma"," "," ")))</f>
        <v>1</v>
      </c>
      <c r="Z29" s="90">
        <f>IFERROR(VLOOKUP(A29&amp;"a",COPY!$S$2:$AA$1000,6,FALSE)," ")</f>
        <v>3</v>
      </c>
      <c r="AA29" s="90">
        <f>IFERROR(VLOOKUP(A29&amp;"aa",COPY!$S$2:$AA$1000,6,FALSE)," ")</f>
        <v>4</v>
      </c>
      <c r="AB29" s="90">
        <f>IFERROR(VLOOKUP(A29&amp;"aaa",COPY!$S$2:$AA$1000,6,FALSE)," ")</f>
        <v>5</v>
      </c>
      <c r="AC29" s="90" t="str">
        <f>IFERROR(VLOOKUP(A29&amp;"aaaa",COPY!$S$2:$AA$1000,6,FALSE)," ")</f>
        <v xml:space="preserve"> </v>
      </c>
      <c r="AD29" s="90" t="str">
        <f>IFERROR(VLOOKUP(A29&amp;"aaaaa",COPY!$S$2:$AA$1000,6,FALSE)," ")</f>
        <v xml:space="preserve"> </v>
      </c>
      <c r="AE29" s="90" t="str">
        <f>IFERROR(VLOOKUP(A29&amp;"aaaaaa",COPY!$S$2:$AA$1000,6,FALSE)," ")</f>
        <v xml:space="preserve"> </v>
      </c>
      <c r="AF29" s="90" t="str">
        <f>IFERROR(VLOOKUP(A29&amp;"aaaaaaa",COPY!$S$2:$AA$1000,6,FALSE)," ")</f>
        <v xml:space="preserve"> </v>
      </c>
      <c r="AG29" s="90" t="str">
        <f>IFERROR(VLOOKUP(A29&amp;"aaaaaaaa",COPY!$S$2:$AA$1000,6,FALSE)," ")</f>
        <v xml:space="preserve"> </v>
      </c>
      <c r="AH29" s="90" t="str">
        <f>IFERROR(VLOOKUP(A29&amp;"aaaaaaaaa",COPY!$S$2:$AA$1000,6,FALSE)," ")</f>
        <v xml:space="preserve"> </v>
      </c>
      <c r="AI29" s="90" t="str">
        <f>IFERROR(VLOOKUP(A29&amp;"aaaaaaaaaa",COPY!$S$2:$AA$1000,6,FALSE)," ")</f>
        <v xml:space="preserve"> </v>
      </c>
      <c r="AJ29" s="90" t="str">
        <f>IFERROR(VLOOKUP(A29&amp;"aaaaaaaaaaa",COPY!$S$2:$AA$1000,6,FALSE)," ")</f>
        <v xml:space="preserve"> </v>
      </c>
      <c r="AK29" s="90" t="str">
        <f>IF(LEFT(B29,2)="mg",VLOOKUP(A29,COPY!$S$2:$AA$1000,7,FALSE),IF(LEFT(B29,1)="G"," ",IF(LEFT(B29,2)="ma"," "," ")))</f>
        <v>Pik Up</v>
      </c>
      <c r="AL29" s="90" t="str">
        <f>IFERROR(VLOOKUP(A29&amp;"a",COPY!$S$2:$AA$1000,7,FALSE)," ")</f>
        <v>Pik Up</v>
      </c>
      <c r="AM29" s="90" t="str">
        <f>IFERROR(VLOOKUP(A29&amp;"aa",COPY!$S$2:$AA$1000,7,FALSE)," ")</f>
        <v>kg</v>
      </c>
      <c r="AN29" s="90" t="str">
        <f>IFERROR(VLOOKUP(A29&amp;"aaa",COPY!$S$2:$AA$1000,7,FALSE)," ")</f>
        <v>Sak</v>
      </c>
      <c r="AO29" s="90" t="str">
        <f>IFERROR(VLOOKUP(A29&amp;"aaaa",COPY!$S$2:$AA$1000,7,FALSE)," ")</f>
        <v xml:space="preserve"> </v>
      </c>
      <c r="AP29" s="90" t="str">
        <f>IFERROR(VLOOKUP(A29&amp;"aaaaa",COPY!$S$2:$AA$1000,7,FALSE)," ")</f>
        <v xml:space="preserve"> </v>
      </c>
      <c r="AQ29" s="90" t="str">
        <f>IFERROR(VLOOKUP(A29&amp;"aaaaaa",COPY!$S$2:$AA$1000,7,FALSE)," ")</f>
        <v xml:space="preserve"> </v>
      </c>
      <c r="AR29" s="90" t="str">
        <f>IFERROR(VLOOKUP(A29&amp;"aaaaaaa",COPY!$S$2:$AA$1000,7,FALSE)," ")</f>
        <v xml:space="preserve"> </v>
      </c>
      <c r="AS29" s="90" t="str">
        <f>IFERROR(VLOOKUP(A29&amp;"aaaaaaaa",COPY!$S$2:$AA$1000,7,FALSE)," ")</f>
        <v xml:space="preserve"> </v>
      </c>
      <c r="AT29" s="90" t="str">
        <f>IFERROR(VLOOKUP(A29&amp;"aaaaaaaaa",COPY!$S$2:$AA$1000,7,FALSE)," ")</f>
        <v xml:space="preserve"> </v>
      </c>
      <c r="AU29" s="90" t="str">
        <f>IFERROR(VLOOKUP(A29&amp;"aaaaaaaaaa",COPY!$S$2:$AA$1000,7,FALSE)," ")</f>
        <v xml:space="preserve"> </v>
      </c>
      <c r="AV29" s="90" t="str">
        <f>IFERROR(VLOOKUP(A29&amp;"aaaaaaaaaaa",COPY!$S$2:$AA$1000,7,FALSE)," ")</f>
        <v xml:space="preserve"> </v>
      </c>
    </row>
    <row r="30" spans="1:48" x14ac:dyDescent="0.2">
      <c r="A30" s="75" t="str">
        <f>'REKAP PAJAK'!W67</f>
        <v>BKK.29</v>
      </c>
      <c r="B30" s="75" t="str">
        <f>IF(LEN(A30)&gt;1,VLOOKUP(A30,COPY!$O$2:$R$1000,4,FALSE),"")</f>
        <v>Gaj4</v>
      </c>
      <c r="C30" s="75" t="str">
        <f t="shared" si="0"/>
        <v>MELIA FITRIANI, S.Pd.SD</v>
      </c>
      <c r="D30" s="75" t="str">
        <f t="shared" si="1"/>
        <v>NIP. 19850619 200904 2 000</v>
      </c>
      <c r="E30" s="75" t="str">
        <f t="shared" si="2"/>
        <v>ARIF NUR UDIN, S.Pd.SD</v>
      </c>
      <c r="F30" s="75" t="str">
        <f t="shared" si="3"/>
        <v>NIP. 19840719 200903 1 002</v>
      </c>
      <c r="G30" s="75" t="str">
        <f>IFERROR(TEXT(VLOOKUP(A30,COPY!$S$2:$W$1000,3,FALSE),"dd mmmm yyyy")," ")</f>
        <v>27 September 2025</v>
      </c>
      <c r="H30" s="75" t="str">
        <f t="shared" si="4"/>
        <v>SDN 1 SIDODADI</v>
      </c>
      <c r="I30" s="75" t="str">
        <f t="shared" si="5"/>
        <v>NGANTANG</v>
      </c>
      <c r="J30" s="90">
        <f>IFERROR(VLOOKUP(A30,COPY!$S$2:$W$1000,4,FALSE)," ")</f>
        <v>6035000</v>
      </c>
      <c r="K30" s="75" t="str">
        <f>IFERROR(VLOOKUP(A30,COPY!$S$2:$W$1000,5,FALSE)," ")</f>
        <v>Enam Juta Tiga Puluh Lima Ribu Rupiah</v>
      </c>
      <c r="L30" s="75" t="str">
        <f>IF(B30="","",IF(LEFT(B30,2)="Ma",(VLOOKUP(B30,'Rekap Gaji'!$C$12:$D$26,2,FALSE))&amp;" Untuk "&amp;(PROPER('Rekap Gaji'!$B$2)),IF(LEFT(B30,2)="Mg","Pembelian Material Bahan Bangunan",IF(LEFT(B30,2)="Me","Biaya Pembelanjaan Menejemen",IF(LEFT(B30,1)="G",VLOOKUP(A30,COPY!$S$2:$AA$1000,2,FALSE)&amp;"( "&amp;TEXT(VLOOKUP(B30,'Rekap Gaji'!$A$12:$I$26,5,FALSE),"dd-mm-yyyy")&amp;" "&amp;TEXT(VLOOKUP(B30,'Rekap Gaji'!$A$12:$I$26,6,FALSE)&amp;" "&amp;TEXT(VLOOKUP(B30,'Rekap Gaji'!$A$12:$I$26,7,FALSE),"dd-mm-yyyy")&amp;" )"," "))))))</f>
        <v>Pembayaran Pekerja Minggu Ke 4( 21-09-2025 s/d 27-09-2025 )</v>
      </c>
      <c r="M30" s="75" t="str">
        <f>IF(OR(LEFT(B30,2)="mg",LEFT(B30,2)="mE"),VLOOKUP(A30,COPY!$S$2:$AA$1000,2,FALSE),IF(LEFT(B30,1)="G"," ",IF(LEFT(B30,2)="ma"," "," ")))</f>
        <v xml:space="preserve"> </v>
      </c>
      <c r="N30" s="75" t="str">
        <f>IFERROR(VLOOKUP($A$30&amp;"a",COPY!$S$2:$AA$1000,2,FALSE)," ")</f>
        <v xml:space="preserve"> </v>
      </c>
      <c r="O30" s="75" t="str">
        <f>IFERROR(VLOOKUP($A$30&amp;"aa",COPY!$S$2:$AA$1000,2,FALSE)," ")</f>
        <v xml:space="preserve"> </v>
      </c>
      <c r="P30" s="75" t="str">
        <f>IFERROR(VLOOKUP($A$30&amp;"aaa",COPY!$S$2:$AA$1000,2,FALSE)," ")</f>
        <v xml:space="preserve"> </v>
      </c>
      <c r="Q30" s="75" t="str">
        <f>IFERROR(VLOOKUP($A$30&amp;"aaaa",COPY!$S$2:$AA$1000,2,FALSE)," ")</f>
        <v xml:space="preserve"> </v>
      </c>
      <c r="R30" s="75" t="str">
        <f>IFERROR(VLOOKUP($A$30&amp;"aaaaa",COPY!$S$2:$AA$1000,2,FALSE)," ")</f>
        <v xml:space="preserve"> </v>
      </c>
      <c r="S30" s="75" t="str">
        <f>IFERROR(VLOOKUP($A$30&amp;"aaaaaa",COPY!$S$2:$AA$1000,2,FALSE)," ")</f>
        <v xml:space="preserve"> </v>
      </c>
      <c r="T30" s="75" t="str">
        <f>IFERROR(VLOOKUP($A$30&amp;"aaaaaaa",COPY!$S$2:$AA$1000,2,FALSE)," ")</f>
        <v xml:space="preserve"> </v>
      </c>
      <c r="U30" s="75" t="str">
        <f>IFERROR(VLOOKUP($A$30&amp;"aaaaaaaa",COPY!$S$2:$AA$1000,2,FALSE)," ")</f>
        <v xml:space="preserve"> </v>
      </c>
      <c r="V30" s="75" t="str">
        <f>IFERROR(VLOOKUP($A$30&amp;"aaaaaaaaa",COPY!$S$2:$AA$1000,2,FALSE)," ")</f>
        <v xml:space="preserve"> </v>
      </c>
      <c r="W30" s="75" t="str">
        <f>IFERROR(VLOOKUP($A$30&amp;"aaaaaaaaaa",COPY!$S$2:$AA$1000,2,FALSE)," ")</f>
        <v xml:space="preserve"> </v>
      </c>
      <c r="X30" s="75" t="str">
        <f>IFERROR(VLOOKUP($A$30&amp;"aaaaaaaaaaa",COPY!$S$2:$AA$1000,2,FALSE)," ")</f>
        <v xml:space="preserve"> </v>
      </c>
      <c r="Y30" s="90" t="str">
        <f>IF(OR(LEFT(B30,2)="mg",LEFT(B30,2)="mE"),VLOOKUP(A30,COPY!$S$2:$AA$1000,6,FALSE),IF(LEFT(B30,1)="G"," ",IF(LEFT(B30,2)="ma"," "," ")))</f>
        <v xml:space="preserve"> </v>
      </c>
      <c r="Z30" s="90" t="str">
        <f>IFERROR(VLOOKUP(A30&amp;"a",COPY!$S$2:$AA$1000,6,FALSE)," ")</f>
        <v xml:space="preserve"> </v>
      </c>
      <c r="AA30" s="90" t="str">
        <f>IFERROR(VLOOKUP(A30&amp;"aa",COPY!$S$2:$AA$1000,6,FALSE)," ")</f>
        <v xml:space="preserve"> </v>
      </c>
      <c r="AB30" s="90" t="str">
        <f>IFERROR(VLOOKUP(A30&amp;"aaa",COPY!$S$2:$AA$1000,6,FALSE)," ")</f>
        <v xml:space="preserve"> </v>
      </c>
      <c r="AC30" s="90" t="str">
        <f>IFERROR(VLOOKUP(A30&amp;"aaaa",COPY!$S$2:$AA$1000,6,FALSE)," ")</f>
        <v xml:space="preserve"> </v>
      </c>
      <c r="AD30" s="90" t="str">
        <f>IFERROR(VLOOKUP(A30&amp;"aaaaa",COPY!$S$2:$AA$1000,6,FALSE)," ")</f>
        <v xml:space="preserve"> </v>
      </c>
      <c r="AE30" s="90" t="str">
        <f>IFERROR(VLOOKUP(A30&amp;"aaaaaa",COPY!$S$2:$AA$1000,6,FALSE)," ")</f>
        <v xml:space="preserve"> </v>
      </c>
      <c r="AF30" s="90" t="str">
        <f>IFERROR(VLOOKUP(A30&amp;"aaaaaaa",COPY!$S$2:$AA$1000,6,FALSE)," ")</f>
        <v xml:space="preserve"> </v>
      </c>
      <c r="AG30" s="90" t="str">
        <f>IFERROR(VLOOKUP(A30&amp;"aaaaaaaa",COPY!$S$2:$AA$1000,6,FALSE)," ")</f>
        <v xml:space="preserve"> </v>
      </c>
      <c r="AH30" s="90" t="str">
        <f>IFERROR(VLOOKUP(A30&amp;"aaaaaaaaa",COPY!$S$2:$AA$1000,6,FALSE)," ")</f>
        <v xml:space="preserve"> </v>
      </c>
      <c r="AI30" s="90" t="str">
        <f>IFERROR(VLOOKUP(A30&amp;"aaaaaaaaaa",COPY!$S$2:$AA$1000,6,FALSE)," ")</f>
        <v xml:space="preserve"> </v>
      </c>
      <c r="AJ30" s="90" t="str">
        <f>IFERROR(VLOOKUP(A30&amp;"aaaaaaaaaaa",COPY!$S$2:$AA$1000,6,FALSE)," ")</f>
        <v xml:space="preserve"> </v>
      </c>
      <c r="AK30" s="90" t="str">
        <f>IF(LEFT(B30,2)="mg",VLOOKUP(A30,COPY!$S$2:$AA$1000,7,FALSE),IF(LEFT(B30,1)="G"," ",IF(LEFT(B30,2)="ma"," "," ")))</f>
        <v xml:space="preserve"> </v>
      </c>
      <c r="AL30" s="90" t="str">
        <f>IFERROR(VLOOKUP(A30&amp;"a",COPY!$S$2:$AA$1000,7,FALSE)," ")</f>
        <v xml:space="preserve"> </v>
      </c>
      <c r="AM30" s="90" t="str">
        <f>IFERROR(VLOOKUP(A30&amp;"aa",COPY!$S$2:$AA$1000,7,FALSE)," ")</f>
        <v xml:space="preserve"> </v>
      </c>
      <c r="AN30" s="90" t="str">
        <f>IFERROR(VLOOKUP(A30&amp;"aaa",COPY!$S$2:$AA$1000,7,FALSE)," ")</f>
        <v xml:space="preserve"> </v>
      </c>
      <c r="AO30" s="90" t="str">
        <f>IFERROR(VLOOKUP(A30&amp;"aaaa",COPY!$S$2:$AA$1000,7,FALSE)," ")</f>
        <v xml:space="preserve"> </v>
      </c>
      <c r="AP30" s="90" t="str">
        <f>IFERROR(VLOOKUP(A30&amp;"aaaaa",COPY!$S$2:$AA$1000,7,FALSE)," ")</f>
        <v xml:space="preserve"> </v>
      </c>
      <c r="AQ30" s="90" t="str">
        <f>IFERROR(VLOOKUP(A30&amp;"aaaaaa",COPY!$S$2:$AA$1000,7,FALSE)," ")</f>
        <v xml:space="preserve"> </v>
      </c>
      <c r="AR30" s="90" t="str">
        <f>IFERROR(VLOOKUP(A30&amp;"aaaaaaa",COPY!$S$2:$AA$1000,7,FALSE)," ")</f>
        <v xml:space="preserve"> </v>
      </c>
      <c r="AS30" s="90" t="str">
        <f>IFERROR(VLOOKUP(A30&amp;"aaaaaaaa",COPY!$S$2:$AA$1000,7,FALSE)," ")</f>
        <v xml:space="preserve"> </v>
      </c>
      <c r="AT30" s="90" t="str">
        <f>IFERROR(VLOOKUP(A30&amp;"aaaaaaaaa",COPY!$S$2:$AA$1000,7,FALSE)," ")</f>
        <v xml:space="preserve"> </v>
      </c>
      <c r="AU30" s="90" t="str">
        <f>IFERROR(VLOOKUP(A30&amp;"aaaaaaaaaa",COPY!$S$2:$AA$1000,7,FALSE)," ")</f>
        <v xml:space="preserve"> </v>
      </c>
      <c r="AV30" s="90" t="str">
        <f>IFERROR(VLOOKUP(A30&amp;"aaaaaaaaaaa",COPY!$S$2:$AA$1000,7,FALSE)," ")</f>
        <v xml:space="preserve"> </v>
      </c>
    </row>
    <row r="31" spans="1:48" x14ac:dyDescent="0.2">
      <c r="A31" s="75" t="str">
        <f>'REKAP PAJAK'!W68</f>
        <v>BKK.30</v>
      </c>
      <c r="B31" s="75" t="str">
        <f>IF(LEN(A31)&gt;1,VLOOKUP(A31,COPY!$O$2:$R$1000,4,FALSE),"")</f>
        <v>Mgg5</v>
      </c>
      <c r="C31" s="75" t="str">
        <f t="shared" si="0"/>
        <v>MELIA FITRIANI, S.Pd.SD</v>
      </c>
      <c r="D31" s="75" t="str">
        <f t="shared" si="1"/>
        <v>NIP. 19850619 200904 2 000</v>
      </c>
      <c r="E31" s="75" t="str">
        <f t="shared" si="2"/>
        <v>ARIF NUR UDIN, S.Pd.SD</v>
      </c>
      <c r="F31" s="75" t="str">
        <f t="shared" si="3"/>
        <v>NIP. 19840719 200903 1 002</v>
      </c>
      <c r="G31" s="75" t="str">
        <f>IFERROR(TEXT(VLOOKUP(A31,COPY!$S$2:$W$1000,3,FALSE),"dd mmmm yyyy")," ")</f>
        <v>29 September 2025</v>
      </c>
      <c r="H31" s="75" t="str">
        <f t="shared" si="4"/>
        <v>SDN 1 SIDODADI</v>
      </c>
      <c r="I31" s="75" t="str">
        <f t="shared" si="5"/>
        <v>NGANTANG</v>
      </c>
      <c r="J31" s="90">
        <f>IFERROR(VLOOKUP(A31,COPY!$S$2:$W$1000,4,FALSE)," ")</f>
        <v>1947000</v>
      </c>
      <c r="K31" s="75" t="str">
        <f>IFERROR(VLOOKUP(A31,COPY!$S$2:$W$1000,5,FALSE)," ")</f>
        <v>Satu Juta Sembilan Ratus Empat Puluh Tujuh Ribu Rupiah</v>
      </c>
      <c r="L31" s="75" t="str">
        <f>IF(B31="","",IF(LEFT(B31,2)="Ma",(VLOOKUP(B31,'Rekap Gaji'!$C$12:$D$26,2,FALSE))&amp;" Untuk "&amp;(PROPER('Rekap Gaji'!$B$2)),IF(LEFT(B31,2)="Mg","Pembelian Material Bahan Bangunan",IF(LEFT(B31,2)="Me","Biaya Pembelanjaan Menejemen",IF(LEFT(B31,1)="G",VLOOKUP(A31,COPY!$S$2:$AA$1000,2,FALSE)&amp;"( "&amp;TEXT(VLOOKUP(B31,'Rekap Gaji'!$A$12:$I$26,5,FALSE),"dd-mm-yyyy")&amp;" "&amp;TEXT(VLOOKUP(B31,'Rekap Gaji'!$A$12:$I$26,6,FALSE)&amp;" "&amp;TEXT(VLOOKUP(B31,'Rekap Gaji'!$A$12:$I$26,7,FALSE),"dd-mm-yyyy")&amp;" )"," "))))))</f>
        <v>Pembelian Material Bahan Bangunan</v>
      </c>
      <c r="M31" s="75" t="str">
        <f>IF(OR(LEFT(B31,2)="mg",LEFT(B31,2)="mE"),VLOOKUP(A31,COPY!$S$2:$AA$1000,2,FALSE),IF(LEFT(B31,1)="G"," ",IF(LEFT(B31,2)="ma"," "," ")))</f>
        <v>Lem Ruglue 400 Gr</v>
      </c>
      <c r="N31" s="75" t="str">
        <f>IFERROR(VLOOKUP($A$31&amp;"a",COPY!$S$2:$AA$1000,2,FALSE)," ")</f>
        <v>Tba Onda</v>
      </c>
      <c r="O31" s="75" t="str">
        <f>IFERROR(VLOOKUP($A$31&amp;"aa",COPY!$S$2:$AA$1000,2,FALSE)," ")</f>
        <v>Tee Drat Dalam Kuningan 3/4" Rck</v>
      </c>
      <c r="P31" s="75" t="str">
        <f>IFERROR(VLOOKUP($A$31&amp;"aaa",COPY!$S$2:$AA$1000,2,FALSE)," ")</f>
        <v>Pipa Maspion Abu Aw 3/4"</v>
      </c>
      <c r="Q31" s="75" t="str">
        <f>IFERROR(VLOOKUP($A$31&amp;"aaaa",COPY!$S$2:$AA$1000,2,FALSE)," ")</f>
        <v>Socket Aw 3/4 Rck</v>
      </c>
      <c r="R31" s="75" t="str">
        <f>IFERROR(VLOOKUP($A$31&amp;"aaaaa",COPY!$S$2:$AA$1000,2,FALSE)," ")</f>
        <v>Knee Aw 3" Rck</v>
      </c>
      <c r="S31" s="75" t="str">
        <f>IFERROR(VLOOKUP($A$31&amp;"aaaaaa",COPY!$S$2:$AA$1000,2,FALSE)," ")</f>
        <v>Babon list</v>
      </c>
      <c r="T31" s="75" t="str">
        <f>IFERROR(VLOOKUP($A$31&amp;"aaaaaaa",COPY!$S$2:$AA$1000,2,FALSE)," ")</f>
        <v xml:space="preserve"> </v>
      </c>
      <c r="U31" s="75" t="str">
        <f>IFERROR(VLOOKUP($A$31&amp;"aaaaaaaa",COPY!$S$2:$AA$1000,2,FALSE)," ")</f>
        <v xml:space="preserve"> </v>
      </c>
      <c r="V31" s="75" t="str">
        <f>IFERROR(VLOOKUP($A$31&amp;"aaaaaaaaa",COPY!$S$2:$AA$1000,2,FALSE)," ")</f>
        <v xml:space="preserve"> </v>
      </c>
      <c r="W31" s="75" t="str">
        <f>IFERROR(VLOOKUP($A$31&amp;"aaaaaaaaaa",COPY!$S$2:$AA$1000,2,FALSE)," ")</f>
        <v xml:space="preserve"> </v>
      </c>
      <c r="X31" s="75" t="str">
        <f>IFERROR(VLOOKUP($A$31&amp;"aaaaaaaaaaa",COPY!$S$2:$AA$1000,2,FALSE)," ")</f>
        <v xml:space="preserve"> </v>
      </c>
      <c r="Y31" s="90">
        <f>IF(OR(LEFT(B31,2)="mg",LEFT(B31,2)="mE"),VLOOKUP(A31,COPY!$S$2:$AA$1000,6,FALSE),IF(LEFT(B31,1)="G"," ",IF(LEFT(B31,2)="ma"," "," ")))</f>
        <v>1</v>
      </c>
      <c r="Z31" s="90">
        <f>IFERROR(VLOOKUP(A31&amp;"a",COPY!$S$2:$AA$1000,6,FALSE)," ")</f>
        <v>4</v>
      </c>
      <c r="AA31" s="90">
        <f>IFERROR(VLOOKUP(A31&amp;"aa",COPY!$S$2:$AA$1000,6,FALSE)," ")</f>
        <v>8</v>
      </c>
      <c r="AB31" s="90">
        <f>IFERROR(VLOOKUP(A31&amp;"aaa",COPY!$S$2:$AA$1000,6,FALSE)," ")</f>
        <v>10</v>
      </c>
      <c r="AC31" s="90">
        <f>IFERROR(VLOOKUP(A31&amp;"aaaa",COPY!$S$2:$AA$1000,6,FALSE)," ")</f>
        <v>8</v>
      </c>
      <c r="AD31" s="90">
        <f>IFERROR(VLOOKUP(A31&amp;"aaaaa",COPY!$S$2:$AA$1000,6,FALSE)," ")</f>
        <v>4</v>
      </c>
      <c r="AE31" s="90">
        <f>IFERROR(VLOOKUP(A31&amp;"aaaaaa",COPY!$S$2:$AA$1000,6,FALSE)," ")</f>
        <v>8</v>
      </c>
      <c r="AF31" s="90" t="str">
        <f>IFERROR(VLOOKUP(A31&amp;"aaaaaaa",COPY!$S$2:$AA$1000,6,FALSE)," ")</f>
        <v xml:space="preserve"> </v>
      </c>
      <c r="AG31" s="90" t="str">
        <f>IFERROR(VLOOKUP(A31&amp;"aaaaaaaa",COPY!$S$2:$AA$1000,6,FALSE)," ")</f>
        <v xml:space="preserve"> </v>
      </c>
      <c r="AH31" s="90" t="str">
        <f>IFERROR(VLOOKUP(A31&amp;"aaaaaaaaa",COPY!$S$2:$AA$1000,6,FALSE)," ")</f>
        <v xml:space="preserve"> </v>
      </c>
      <c r="AI31" s="90" t="str">
        <f>IFERROR(VLOOKUP(A31&amp;"aaaaaaaaaa",COPY!$S$2:$AA$1000,6,FALSE)," ")</f>
        <v xml:space="preserve"> </v>
      </c>
      <c r="AJ31" s="90" t="str">
        <f>IFERROR(VLOOKUP(A31&amp;"aaaaaaaaaaa",COPY!$S$2:$AA$1000,6,FALSE)," ")</f>
        <v xml:space="preserve"> </v>
      </c>
      <c r="AK31" s="90" t="str">
        <f>IF(LEFT(B31,2)="mg",VLOOKUP(A31,COPY!$S$2:$AA$1000,7,FALSE),IF(LEFT(B31,1)="G"," ",IF(LEFT(B31,2)="ma"," "," ")))</f>
        <v>Pcs</v>
      </c>
      <c r="AL31" s="90" t="str">
        <f>IFERROR(VLOOKUP(A31&amp;"a",COPY!$S$2:$AA$1000,7,FALSE)," ")</f>
        <v>Pcs</v>
      </c>
      <c r="AM31" s="90" t="str">
        <f>IFERROR(VLOOKUP(A31&amp;"aa",COPY!$S$2:$AA$1000,7,FALSE)," ")</f>
        <v>Pcs</v>
      </c>
      <c r="AN31" s="90" t="str">
        <f>IFERROR(VLOOKUP(A31&amp;"aaa",COPY!$S$2:$AA$1000,7,FALSE)," ")</f>
        <v>Ljr</v>
      </c>
      <c r="AO31" s="90" t="str">
        <f>IFERROR(VLOOKUP(A31&amp;"aaaa",COPY!$S$2:$AA$1000,7,FALSE)," ")</f>
        <v>Pcs</v>
      </c>
      <c r="AP31" s="90" t="str">
        <f>IFERROR(VLOOKUP(A31&amp;"aaaaa",COPY!$S$2:$AA$1000,7,FALSE)," ")</f>
        <v>Pcs</v>
      </c>
      <c r="AQ31" s="90" t="str">
        <f>IFERROR(VLOOKUP(A31&amp;"aaaaaa",COPY!$S$2:$AA$1000,7,FALSE)," ")</f>
        <v>Bji</v>
      </c>
      <c r="AR31" s="90" t="str">
        <f>IFERROR(VLOOKUP(A31&amp;"aaaaaaa",COPY!$S$2:$AA$1000,7,FALSE)," ")</f>
        <v xml:space="preserve"> </v>
      </c>
      <c r="AS31" s="90" t="str">
        <f>IFERROR(VLOOKUP(A31&amp;"aaaaaaaa",COPY!$S$2:$AA$1000,7,FALSE)," ")</f>
        <v xml:space="preserve"> </v>
      </c>
      <c r="AT31" s="90" t="str">
        <f>IFERROR(VLOOKUP(A31&amp;"aaaaaaaaa",COPY!$S$2:$AA$1000,7,FALSE)," ")</f>
        <v xml:space="preserve"> </v>
      </c>
      <c r="AU31" s="90" t="str">
        <f>IFERROR(VLOOKUP(A31&amp;"aaaaaaaaaa",COPY!$S$2:$AA$1000,7,FALSE)," ")</f>
        <v xml:space="preserve"> </v>
      </c>
      <c r="AV31" s="90" t="str">
        <f>IFERROR(VLOOKUP(A31&amp;"aaaaaaaaaaa",COPY!$S$2:$AA$1000,7,FALSE)," ")</f>
        <v xml:space="preserve"> </v>
      </c>
    </row>
    <row r="32" spans="1:48" x14ac:dyDescent="0.2">
      <c r="A32" s="75" t="str">
        <f>'REKAP PAJAK'!W69</f>
        <v>BKK.31</v>
      </c>
      <c r="B32" s="75" t="str">
        <f>IF(LEN(A32)&gt;1,VLOOKUP(A32,COPY!$O$2:$R$1000,4,FALSE),"")</f>
        <v>Men5</v>
      </c>
      <c r="C32" s="75" t="str">
        <f t="shared" si="0"/>
        <v>MELIA FITRIANI, S.Pd.SD</v>
      </c>
      <c r="D32" s="75" t="str">
        <f t="shared" si="1"/>
        <v>NIP. 19850619 200904 2 000</v>
      </c>
      <c r="E32" s="75" t="str">
        <f t="shared" si="2"/>
        <v>ARIF NUR UDIN, S.Pd.SD</v>
      </c>
      <c r="F32" s="75" t="str">
        <f t="shared" si="3"/>
        <v>NIP. 19840719 200903 1 002</v>
      </c>
      <c r="G32" s="75" t="str">
        <f>IFERROR(TEXT(VLOOKUP(A32,COPY!$S$2:$W$1000,3,FALSE),"dd mmmm yyyy")," ")</f>
        <v>30 September 2025</v>
      </c>
      <c r="H32" s="75" t="str">
        <f t="shared" si="4"/>
        <v>SDN 1 SIDODADI</v>
      </c>
      <c r="I32" s="75" t="str">
        <f t="shared" si="5"/>
        <v>NGANTANG</v>
      </c>
      <c r="J32" s="90">
        <f>IFERROR(VLOOKUP(A32,COPY!$S$2:$W$1000,4,FALSE)," ")</f>
        <v>450000</v>
      </c>
      <c r="K32" s="75" t="str">
        <f>IFERROR(VLOOKUP(A32,COPY!$S$2:$W$1000,5,FALSE)," ")</f>
        <v>Empat Ratus Lima Puluh Ribu Rupiah</v>
      </c>
      <c r="L32" s="75" t="str">
        <f>IF(B32="","",IF(LEFT(B32,2)="Ma",(VLOOKUP(B32,'Rekap Gaji'!$C$12:$D$26,2,FALSE))&amp;" Untuk "&amp;(PROPER('Rekap Gaji'!$B$2)),IF(LEFT(B32,2)="Mg","Pembelian Material Bahan Bangunan",IF(LEFT(B32,2)="Me","Biaya Pembelanjaan Menejemen",IF(LEFT(B32,1)="G",VLOOKUP(A32,COPY!$S$2:$AA$1000,2,FALSE)&amp;"( "&amp;TEXT(VLOOKUP(B32,'Rekap Gaji'!$A$12:$I$26,5,FALSE),"dd-mm-yyyy")&amp;" "&amp;TEXT(VLOOKUP(B32,'Rekap Gaji'!$A$12:$I$26,6,FALSE)&amp;" "&amp;TEXT(VLOOKUP(B32,'Rekap Gaji'!$A$12:$I$26,7,FALSE),"dd-mm-yyyy")&amp;" )"," "))))))</f>
        <v>Biaya Pembelanjaan Menejemen</v>
      </c>
      <c r="M32" s="75" t="str">
        <f>IF(OR(LEFT(B32,2)="mg",LEFT(B32,2)="mE"),VLOOKUP(A32,COPY!$S$2:$AA$1000,2,FALSE),IF(LEFT(B32,1)="G"," ",IF(LEFT(B32,2)="ma"," "," ")))</f>
        <v>Kosumsi Rapat Peninjauan 50%</v>
      </c>
      <c r="N32" s="75" t="str">
        <f>IFERROR(VLOOKUP($A$32&amp;"a",COPY!$S$2:$AA$1000,2,FALSE)," ")</f>
        <v xml:space="preserve"> </v>
      </c>
      <c r="O32" s="75" t="str">
        <f>IFERROR(VLOOKUP($A$32&amp;"aa",COPY!$S$2:$AA$1000,2,FALSE)," ")</f>
        <v xml:space="preserve"> </v>
      </c>
      <c r="P32" s="75" t="str">
        <f>IFERROR(VLOOKUP($A$32&amp;"aaa",COPY!$S$2:$AA$1000,2,FALSE)," ")</f>
        <v xml:space="preserve"> </v>
      </c>
      <c r="Q32" s="75" t="str">
        <f>IFERROR(VLOOKUP($A$32&amp;"aaaa",COPY!$S$2:$AA$1000,2,FALSE)," ")</f>
        <v xml:space="preserve"> </v>
      </c>
      <c r="R32" s="75" t="str">
        <f>IFERROR(VLOOKUP($A$32&amp;"aaaaa",COPY!$S$2:$AA$1000,2,FALSE)," ")</f>
        <v xml:space="preserve"> </v>
      </c>
      <c r="S32" s="75" t="str">
        <f>IFERROR(VLOOKUP($A$32&amp;"aaaaaa",COPY!$S$2:$AA$1000,2,FALSE)," ")</f>
        <v xml:space="preserve"> </v>
      </c>
      <c r="T32" s="75" t="str">
        <f>IFERROR(VLOOKUP($A$32&amp;"aaaaaaa",COPY!$S$2:$AA$1000,2,FALSE)," ")</f>
        <v xml:space="preserve"> </v>
      </c>
      <c r="U32" s="75" t="str">
        <f>IFERROR(VLOOKUP($A$32&amp;"aaaaaaaa",COPY!$S$2:$AA$1000,2,FALSE)," ")</f>
        <v xml:space="preserve"> </v>
      </c>
      <c r="V32" s="75" t="str">
        <f>IFERROR(VLOOKUP($A$32&amp;"aaaaaaaaa",COPY!$S$2:$AA$1000,2,FALSE)," ")</f>
        <v xml:space="preserve"> </v>
      </c>
      <c r="W32" s="75" t="str">
        <f>IFERROR(VLOOKUP($A$32&amp;"aaaaaaaaaa",COPY!$S$2:$AA$1000,2,FALSE)," ")</f>
        <v xml:space="preserve"> </v>
      </c>
      <c r="X32" s="75" t="str">
        <f>IFERROR(VLOOKUP($A$32&amp;"aaaaaaaaaaa",COPY!$S$2:$AA$1000,2,FALSE)," ")</f>
        <v xml:space="preserve"> </v>
      </c>
      <c r="Y32" s="90">
        <f>IF(OR(LEFT(B32,2)="mg",LEFT(B32,2)="mE"),VLOOKUP(A32,COPY!$S$2:$AA$1000,6,FALSE),IF(LEFT(B32,1)="G"," ",IF(LEFT(B32,2)="ma"," "," ")))</f>
        <v>15</v>
      </c>
      <c r="Z32" s="90" t="str">
        <f>IFERROR(VLOOKUP(A32&amp;"a",COPY!$S$2:$AA$1000,6,FALSE)," ")</f>
        <v xml:space="preserve"> </v>
      </c>
      <c r="AA32" s="90" t="str">
        <f>IFERROR(VLOOKUP(A32&amp;"aa",COPY!$S$2:$AA$1000,6,FALSE)," ")</f>
        <v xml:space="preserve"> </v>
      </c>
      <c r="AB32" s="90" t="str">
        <f>IFERROR(VLOOKUP(A32&amp;"aaa",COPY!$S$2:$AA$1000,6,FALSE)," ")</f>
        <v xml:space="preserve"> </v>
      </c>
      <c r="AC32" s="90" t="str">
        <f>IFERROR(VLOOKUP(A32&amp;"aaaa",COPY!$S$2:$AA$1000,6,FALSE)," ")</f>
        <v xml:space="preserve"> </v>
      </c>
      <c r="AD32" s="90" t="str">
        <f>IFERROR(VLOOKUP(A32&amp;"aaaaa",COPY!$S$2:$AA$1000,6,FALSE)," ")</f>
        <v xml:space="preserve"> </v>
      </c>
      <c r="AE32" s="90" t="str">
        <f>IFERROR(VLOOKUP(A32&amp;"aaaaaa",COPY!$S$2:$AA$1000,6,FALSE)," ")</f>
        <v xml:space="preserve"> </v>
      </c>
      <c r="AF32" s="90" t="str">
        <f>IFERROR(VLOOKUP(A32&amp;"aaaaaaa",COPY!$S$2:$AA$1000,6,FALSE)," ")</f>
        <v xml:space="preserve"> </v>
      </c>
      <c r="AG32" s="90" t="str">
        <f>IFERROR(VLOOKUP(A32&amp;"aaaaaaaa",COPY!$S$2:$AA$1000,6,FALSE)," ")</f>
        <v xml:space="preserve"> </v>
      </c>
      <c r="AH32" s="90" t="str">
        <f>IFERROR(VLOOKUP(A32&amp;"aaaaaaaaa",COPY!$S$2:$AA$1000,6,FALSE)," ")</f>
        <v xml:space="preserve"> </v>
      </c>
      <c r="AI32" s="90" t="str">
        <f>IFERROR(VLOOKUP(A32&amp;"aaaaaaaaaa",COPY!$S$2:$AA$1000,6,FALSE)," ")</f>
        <v xml:space="preserve"> </v>
      </c>
      <c r="AJ32" s="90" t="str">
        <f>IFERROR(VLOOKUP(A32&amp;"aaaaaaaaaaa",COPY!$S$2:$AA$1000,6,FALSE)," ")</f>
        <v xml:space="preserve"> </v>
      </c>
      <c r="AK32" s="90" t="str">
        <f>IF(LEFT(B32,2)="mg",VLOOKUP(A32,COPY!$S$2:$AA$1000,7,FALSE),IF(LEFT(B32,1)="G"," ",IF(LEFT(B32,2)="ma"," "," ")))</f>
        <v xml:space="preserve"> </v>
      </c>
      <c r="AL32" s="90" t="str">
        <f>IFERROR(VLOOKUP(A32&amp;"a",COPY!$S$2:$AA$1000,7,FALSE)," ")</f>
        <v xml:space="preserve"> </v>
      </c>
      <c r="AM32" s="90" t="str">
        <f>IFERROR(VLOOKUP(A32&amp;"aa",COPY!$S$2:$AA$1000,7,FALSE)," ")</f>
        <v xml:space="preserve"> </v>
      </c>
      <c r="AN32" s="90" t="str">
        <f>IFERROR(VLOOKUP(A32&amp;"aaa",COPY!$S$2:$AA$1000,7,FALSE)," ")</f>
        <v xml:space="preserve"> </v>
      </c>
      <c r="AO32" s="90" t="str">
        <f>IFERROR(VLOOKUP(A32&amp;"aaaa",COPY!$S$2:$AA$1000,7,FALSE)," ")</f>
        <v xml:space="preserve"> </v>
      </c>
      <c r="AP32" s="90" t="str">
        <f>IFERROR(VLOOKUP(A32&amp;"aaaaa",COPY!$S$2:$AA$1000,7,FALSE)," ")</f>
        <v xml:space="preserve"> </v>
      </c>
      <c r="AQ32" s="90" t="str">
        <f>IFERROR(VLOOKUP(A32&amp;"aaaaaa",COPY!$S$2:$AA$1000,7,FALSE)," ")</f>
        <v xml:space="preserve"> </v>
      </c>
      <c r="AR32" s="90" t="str">
        <f>IFERROR(VLOOKUP(A32&amp;"aaaaaaa",COPY!$S$2:$AA$1000,7,FALSE)," ")</f>
        <v xml:space="preserve"> </v>
      </c>
      <c r="AS32" s="90" t="str">
        <f>IFERROR(VLOOKUP(A32&amp;"aaaaaaaa",COPY!$S$2:$AA$1000,7,FALSE)," ")</f>
        <v xml:space="preserve"> </v>
      </c>
      <c r="AT32" s="90" t="str">
        <f>IFERROR(VLOOKUP(A32&amp;"aaaaaaaaa",COPY!$S$2:$AA$1000,7,FALSE)," ")</f>
        <v xml:space="preserve"> </v>
      </c>
      <c r="AU32" s="90" t="str">
        <f>IFERROR(VLOOKUP(A32&amp;"aaaaaaaaaa",COPY!$S$2:$AA$1000,7,FALSE)," ")</f>
        <v xml:space="preserve"> </v>
      </c>
      <c r="AV32" s="90" t="str">
        <f>IFERROR(VLOOKUP(A32&amp;"aaaaaaaaaaa",COPY!$S$2:$AA$1000,7,FALSE)," ")</f>
        <v xml:space="preserve"> </v>
      </c>
    </row>
    <row r="33" spans="1:48" x14ac:dyDescent="0.2">
      <c r="A33" s="75" t="str">
        <f>'REKAP PAJAK'!W70</f>
        <v>BKK.32</v>
      </c>
      <c r="B33" s="75" t="str">
        <f>IF(LEN(A33)&gt;1,VLOOKUP(A33,COPY!$O$2:$R$1000,4,FALSE),"")</f>
        <v>Mgg5</v>
      </c>
      <c r="C33" s="75" t="str">
        <f t="shared" si="0"/>
        <v>MELIA FITRIANI, S.Pd.SD</v>
      </c>
      <c r="D33" s="75" t="str">
        <f t="shared" si="1"/>
        <v>NIP. 19850619 200904 2 000</v>
      </c>
      <c r="E33" s="75" t="str">
        <f t="shared" si="2"/>
        <v>ARIF NUR UDIN, S.Pd.SD</v>
      </c>
      <c r="F33" s="75" t="str">
        <f t="shared" si="3"/>
        <v>NIP. 19840719 200903 1 002</v>
      </c>
      <c r="G33" s="75" t="str">
        <f>IFERROR(TEXT(VLOOKUP(A33,COPY!$S$2:$W$1000,3,FALSE),"dd mmmm yyyy")," ")</f>
        <v>01 Oktober 2025</v>
      </c>
      <c r="H33" s="75" t="str">
        <f t="shared" si="4"/>
        <v>SDN 1 SIDODADI</v>
      </c>
      <c r="I33" s="75" t="str">
        <f t="shared" si="5"/>
        <v>NGANTANG</v>
      </c>
      <c r="J33" s="90">
        <f>IFERROR(VLOOKUP(A33,COPY!$S$2:$W$1000,4,FALSE)," ")</f>
        <v>1650000</v>
      </c>
      <c r="K33" s="75" t="str">
        <f>IFERROR(VLOOKUP(A33,COPY!$S$2:$W$1000,5,FALSE)," ")</f>
        <v>Satu Juta Enam Ratus Lima Puluh Ribu Rupiah</v>
      </c>
      <c r="L33" s="75" t="str">
        <f>IF(B33="","",IF(LEFT(B33,2)="Ma",(VLOOKUP(B33,'Rekap Gaji'!$C$12:$D$26,2,FALSE))&amp;" Untuk "&amp;(PROPER('Rekap Gaji'!$B$2)),IF(LEFT(B33,2)="Mg","Pembelian Material Bahan Bangunan",IF(LEFT(B33,2)="Me","Biaya Pembelanjaan Menejemen",IF(LEFT(B33,1)="G",VLOOKUP(A33,COPY!$S$2:$AA$1000,2,FALSE)&amp;"( "&amp;TEXT(VLOOKUP(B33,'Rekap Gaji'!$A$12:$I$26,5,FALSE),"dd-mm-yyyy")&amp;" "&amp;TEXT(VLOOKUP(B33,'Rekap Gaji'!$A$12:$I$26,6,FALSE)&amp;" "&amp;TEXT(VLOOKUP(B33,'Rekap Gaji'!$A$12:$I$26,7,FALSE),"dd-mm-yyyy")&amp;" )"," "))))))</f>
        <v>Pembelian Material Bahan Bangunan</v>
      </c>
      <c r="M33" s="75" t="str">
        <f>IF(OR(LEFT(B33,2)="mg",LEFT(B33,2)="mE"),VLOOKUP(A33,COPY!$S$2:$AA$1000,2,FALSE),IF(LEFT(B33,1)="G"," ",IF(LEFT(B33,2)="ma"," "," ")))</f>
        <v>Pasir Cor L300</v>
      </c>
      <c r="N33" s="75" t="str">
        <f>IFERROR(VLOOKUP($A$33&amp;"a",COPY!$S$2:$AA$1000,2,FALSE)," ")</f>
        <v>Pasir Biasa L300</v>
      </c>
      <c r="O33" s="75" t="str">
        <f>IFERROR(VLOOKUP($A$33&amp;"aa",COPY!$S$2:$AA$1000,2,FALSE)," ")</f>
        <v>Semen 3 Roda</v>
      </c>
      <c r="P33" s="75" t="str">
        <f>IFERROR(VLOOKUP($A$33&amp;"aaa",COPY!$S$2:$AA$1000,2,FALSE)," ")</f>
        <v xml:space="preserve"> </v>
      </c>
      <c r="Q33" s="75" t="str">
        <f>IFERROR(VLOOKUP($A$33&amp;"aaaa",COPY!$S$2:$AA$1000,2,FALSE)," ")</f>
        <v xml:space="preserve"> </v>
      </c>
      <c r="R33" s="75" t="str">
        <f>IFERROR(VLOOKUP($A$33&amp;"aaaaa",COPY!$S$2:$AA$1000,2,FALSE)," ")</f>
        <v xml:space="preserve"> </v>
      </c>
      <c r="S33" s="75" t="str">
        <f>IFERROR(VLOOKUP($A$33&amp;"aaaaaa",COPY!$S$2:$AA$1000,2,FALSE)," ")</f>
        <v xml:space="preserve"> </v>
      </c>
      <c r="T33" s="75" t="str">
        <f>IFERROR(VLOOKUP($A$33&amp;"aaaaaaa",COPY!$S$2:$AA$1000,2,FALSE)," ")</f>
        <v xml:space="preserve"> </v>
      </c>
      <c r="U33" s="75" t="str">
        <f>IFERROR(VLOOKUP($A$33&amp;"aaaaaaaa",COPY!$S$2:$AA$1000,2,FALSE)," ")</f>
        <v xml:space="preserve"> </v>
      </c>
      <c r="V33" s="75" t="str">
        <f>IFERROR(VLOOKUP($A$33&amp;"aaaaaaaaa",COPY!$S$2:$AA$1000,2,FALSE)," ")</f>
        <v xml:space="preserve"> </v>
      </c>
      <c r="W33" s="75" t="str">
        <f>IFERROR(VLOOKUP($A$33&amp;"aaaaaaaaaa",COPY!$S$2:$AA$1000,2,FALSE)," ")</f>
        <v xml:space="preserve"> </v>
      </c>
      <c r="X33" s="75" t="str">
        <f>IFERROR(VLOOKUP($A$33&amp;"aaaaaaaaaaa",COPY!$S$2:$AA$1000,2,FALSE)," ")</f>
        <v xml:space="preserve"> </v>
      </c>
      <c r="Y33" s="90">
        <f>IF(OR(LEFT(B33,2)="mg",LEFT(B33,2)="mE"),VLOOKUP(A33,COPY!$S$2:$AA$1000,6,FALSE),IF(LEFT(B33,1)="G"," ",IF(LEFT(B33,2)="ma"," "," ")))</f>
        <v>2</v>
      </c>
      <c r="Z33" s="90">
        <f>IFERROR(VLOOKUP(A33&amp;"a",COPY!$S$2:$AA$1000,6,FALSE)," ")</f>
        <v>2</v>
      </c>
      <c r="AA33" s="90">
        <f>IFERROR(VLOOKUP(A33&amp;"aa",COPY!$S$2:$AA$1000,6,FALSE)," ")</f>
        <v>10</v>
      </c>
      <c r="AB33" s="90" t="str">
        <f>IFERROR(VLOOKUP(A33&amp;"aaa",COPY!$S$2:$AA$1000,6,FALSE)," ")</f>
        <v xml:space="preserve"> </v>
      </c>
      <c r="AC33" s="90" t="str">
        <f>IFERROR(VLOOKUP(A33&amp;"aaaa",COPY!$S$2:$AA$1000,6,FALSE)," ")</f>
        <v xml:space="preserve"> </v>
      </c>
      <c r="AD33" s="90" t="str">
        <f>IFERROR(VLOOKUP(A33&amp;"aaaaa",COPY!$S$2:$AA$1000,6,FALSE)," ")</f>
        <v xml:space="preserve"> </v>
      </c>
      <c r="AE33" s="90" t="str">
        <f>IFERROR(VLOOKUP(A33&amp;"aaaaaa",COPY!$S$2:$AA$1000,6,FALSE)," ")</f>
        <v xml:space="preserve"> </v>
      </c>
      <c r="AF33" s="90" t="str">
        <f>IFERROR(VLOOKUP(A33&amp;"aaaaaaa",COPY!$S$2:$AA$1000,6,FALSE)," ")</f>
        <v xml:space="preserve"> </v>
      </c>
      <c r="AG33" s="90" t="str">
        <f>IFERROR(VLOOKUP(A33&amp;"aaaaaaaa",COPY!$S$2:$AA$1000,6,FALSE)," ")</f>
        <v xml:space="preserve"> </v>
      </c>
      <c r="AH33" s="90" t="str">
        <f>IFERROR(VLOOKUP(A33&amp;"aaaaaaaaa",COPY!$S$2:$AA$1000,6,FALSE)," ")</f>
        <v xml:space="preserve"> </v>
      </c>
      <c r="AI33" s="90" t="str">
        <f>IFERROR(VLOOKUP(A33&amp;"aaaaaaaaaa",COPY!$S$2:$AA$1000,6,FALSE)," ")</f>
        <v xml:space="preserve"> </v>
      </c>
      <c r="AJ33" s="90" t="str">
        <f>IFERROR(VLOOKUP(A33&amp;"aaaaaaaaaaa",COPY!$S$2:$AA$1000,6,FALSE)," ")</f>
        <v xml:space="preserve"> </v>
      </c>
      <c r="AK33" s="90" t="str">
        <f>IF(LEFT(B33,2)="mg",VLOOKUP(A33,COPY!$S$2:$AA$1000,7,FALSE),IF(LEFT(B33,1)="G"," ",IF(LEFT(B33,2)="ma"," "," ")))</f>
        <v>Pik Up</v>
      </c>
      <c r="AL33" s="90" t="str">
        <f>IFERROR(VLOOKUP(A33&amp;"a",COPY!$S$2:$AA$1000,7,FALSE)," ")</f>
        <v>Pik Up</v>
      </c>
      <c r="AM33" s="90" t="str">
        <f>IFERROR(VLOOKUP(A33&amp;"aa",COPY!$S$2:$AA$1000,7,FALSE)," ")</f>
        <v>Sak</v>
      </c>
      <c r="AN33" s="90" t="str">
        <f>IFERROR(VLOOKUP(A33&amp;"aaa",COPY!$S$2:$AA$1000,7,FALSE)," ")</f>
        <v xml:space="preserve"> </v>
      </c>
      <c r="AO33" s="90" t="str">
        <f>IFERROR(VLOOKUP(A33&amp;"aaaa",COPY!$S$2:$AA$1000,7,FALSE)," ")</f>
        <v xml:space="preserve"> </v>
      </c>
      <c r="AP33" s="90" t="str">
        <f>IFERROR(VLOOKUP(A33&amp;"aaaaa",COPY!$S$2:$AA$1000,7,FALSE)," ")</f>
        <v xml:space="preserve"> </v>
      </c>
      <c r="AQ33" s="90" t="str">
        <f>IFERROR(VLOOKUP(A33&amp;"aaaaaa",COPY!$S$2:$AA$1000,7,FALSE)," ")</f>
        <v xml:space="preserve"> </v>
      </c>
      <c r="AR33" s="90" t="str">
        <f>IFERROR(VLOOKUP(A33&amp;"aaaaaaa",COPY!$S$2:$AA$1000,7,FALSE)," ")</f>
        <v xml:space="preserve"> </v>
      </c>
      <c r="AS33" s="90" t="str">
        <f>IFERROR(VLOOKUP(A33&amp;"aaaaaaaa",COPY!$S$2:$AA$1000,7,FALSE)," ")</f>
        <v xml:space="preserve"> </v>
      </c>
      <c r="AT33" s="90" t="str">
        <f>IFERROR(VLOOKUP(A33&amp;"aaaaaaaaa",COPY!$S$2:$AA$1000,7,FALSE)," ")</f>
        <v xml:space="preserve"> </v>
      </c>
      <c r="AU33" s="90" t="str">
        <f>IFERROR(VLOOKUP(A33&amp;"aaaaaaaaaa",COPY!$S$2:$AA$1000,7,FALSE)," ")</f>
        <v xml:space="preserve"> </v>
      </c>
      <c r="AV33" s="90" t="str">
        <f>IFERROR(VLOOKUP(A33&amp;"aaaaaaaaaaa",COPY!$S$2:$AA$1000,7,FALSE)," ")</f>
        <v xml:space="preserve"> </v>
      </c>
    </row>
    <row r="34" spans="1:48" x14ac:dyDescent="0.2">
      <c r="A34" s="75" t="str">
        <f>'REKAP PAJAK'!W71</f>
        <v>BKK.33</v>
      </c>
      <c r="B34" s="75" t="str">
        <f>IF(LEN(A34)&gt;1,VLOOKUP(A34,COPY!$O$2:$R$1000,4,FALSE),"")</f>
        <v>Mgg5</v>
      </c>
      <c r="C34" s="75" t="str">
        <f t="shared" si="0"/>
        <v>MELIA FITRIANI, S.Pd.SD</v>
      </c>
      <c r="D34" s="75" t="str">
        <f t="shared" si="1"/>
        <v>NIP. 19850619 200904 2 000</v>
      </c>
      <c r="E34" s="75" t="str">
        <f t="shared" si="2"/>
        <v>ARIF NUR UDIN, S.Pd.SD</v>
      </c>
      <c r="F34" s="75" t="str">
        <f t="shared" si="3"/>
        <v>NIP. 19840719 200903 1 002</v>
      </c>
      <c r="G34" s="75" t="str">
        <f>IFERROR(TEXT(VLOOKUP(A34,COPY!$S$2:$W$1000,3,FALSE),"dd mmmm yyyy")," ")</f>
        <v>03 Oktober 2025</v>
      </c>
      <c r="H34" s="75" t="str">
        <f t="shared" si="4"/>
        <v>SDN 1 SIDODADI</v>
      </c>
      <c r="I34" s="75" t="str">
        <f t="shared" si="5"/>
        <v>NGANTANG</v>
      </c>
      <c r="J34" s="90">
        <f>IFERROR(VLOOKUP(A34,COPY!$S$2:$W$1000,4,FALSE)," ")</f>
        <v>625000</v>
      </c>
      <c r="K34" s="75" t="str">
        <f>IFERROR(VLOOKUP(A34,COPY!$S$2:$W$1000,5,FALSE)," ")</f>
        <v>Enam Ratus Dua Puluh Lima Ribu Rupiah</v>
      </c>
      <c r="L34" s="75" t="str">
        <f>IF(B34="","",IF(LEFT(B34,2)="Ma",(VLOOKUP(B34,'Rekap Gaji'!$C$12:$D$26,2,FALSE))&amp;" Untuk "&amp;(PROPER('Rekap Gaji'!$B$2)),IF(LEFT(B34,2)="Mg","Pembelian Material Bahan Bangunan",IF(LEFT(B34,2)="Me","Biaya Pembelanjaan Menejemen",IF(LEFT(B34,1)="G",VLOOKUP(A34,COPY!$S$2:$AA$1000,2,FALSE)&amp;"( "&amp;TEXT(VLOOKUP(B34,'Rekap Gaji'!$A$12:$I$26,5,FALSE),"dd-mm-yyyy")&amp;" "&amp;TEXT(VLOOKUP(B34,'Rekap Gaji'!$A$12:$I$26,6,FALSE)&amp;" "&amp;TEXT(VLOOKUP(B34,'Rekap Gaji'!$A$12:$I$26,7,FALSE),"dd-mm-yyyy")&amp;" )"," "))))))</f>
        <v>Pembelian Material Bahan Bangunan</v>
      </c>
      <c r="M34" s="75" t="str">
        <f>IF(OR(LEFT(B34,2)="mg",LEFT(B34,2)="mE"),VLOOKUP(A34,COPY!$S$2:$AA$1000,2,FALSE),IF(LEFT(B34,1)="G"," ",IF(LEFT(B34,2)="ma"," "," ")))</f>
        <v>Pasir Cor L300</v>
      </c>
      <c r="N34" s="75" t="str">
        <f>IFERROR(VLOOKUP($A$34&amp;"a",COPY!$S$2:$AA$1000,2,FALSE)," ")</f>
        <v>Semen Gresik 40Kg</v>
      </c>
      <c r="O34" s="75" t="str">
        <f>IFERROR(VLOOKUP($A$34&amp;"aa",COPY!$S$2:$AA$1000,2,FALSE)," ")</f>
        <v xml:space="preserve"> </v>
      </c>
      <c r="P34" s="75" t="str">
        <f>IFERROR(VLOOKUP($A$34&amp;"aaa",COPY!$S$2:$AA$1000,2,FALSE)," ")</f>
        <v xml:space="preserve"> </v>
      </c>
      <c r="Q34" s="75" t="str">
        <f>IFERROR(VLOOKUP($A$34&amp;"aaaa",COPY!$S$2:$AA$1000,2,FALSE)," ")</f>
        <v xml:space="preserve"> </v>
      </c>
      <c r="R34" s="75" t="str">
        <f>IFERROR(VLOOKUP($A$34&amp;"aaaaa",COPY!$S$2:$AA$1000,2,FALSE)," ")</f>
        <v xml:space="preserve"> </v>
      </c>
      <c r="S34" s="75" t="str">
        <f>IFERROR(VLOOKUP($A$34&amp;"aaaaaa",COPY!$S$2:$AA$1000,2,FALSE)," ")</f>
        <v xml:space="preserve"> </v>
      </c>
      <c r="T34" s="75" t="str">
        <f>IFERROR(VLOOKUP($A$34&amp;"aaaaaaa",COPY!$S$2:$AA$1000,2,FALSE)," ")</f>
        <v xml:space="preserve"> </v>
      </c>
      <c r="U34" s="75" t="str">
        <f>IFERROR(VLOOKUP($A$34&amp;"aaaaaaaa",COPY!$S$2:$AA$1000,2,FALSE)," ")</f>
        <v xml:space="preserve"> </v>
      </c>
      <c r="V34" s="75" t="str">
        <f>IFERROR(VLOOKUP($A$34&amp;"aaaaaaaaa",COPY!$S$2:$AA$1000,2,FALSE)," ")</f>
        <v xml:space="preserve"> </v>
      </c>
      <c r="W34" s="75" t="str">
        <f>IFERROR(VLOOKUP($A$34&amp;"aaaaaaaaaa",COPY!$S$2:$AA$1000,2,FALSE)," ")</f>
        <v xml:space="preserve"> </v>
      </c>
      <c r="X34" s="75" t="str">
        <f>IFERROR(VLOOKUP($A$34&amp;"aaaaaaaaaaa",COPY!$S$2:$AA$1000,2,FALSE)," ")</f>
        <v xml:space="preserve"> </v>
      </c>
      <c r="Y34" s="90">
        <f>IF(OR(LEFT(B34,2)="mg",LEFT(B34,2)="mE"),VLOOKUP(A34,COPY!$S$2:$AA$1000,6,FALSE),IF(LEFT(B34,1)="G"," ",IF(LEFT(B34,2)="ma"," "," ")))</f>
        <v>1</v>
      </c>
      <c r="Z34" s="90">
        <f>IFERROR(VLOOKUP(A34&amp;"a",COPY!$S$2:$AA$1000,6,FALSE)," ")</f>
        <v>5</v>
      </c>
      <c r="AA34" s="90" t="str">
        <f>IFERROR(VLOOKUP(A34&amp;"aa",COPY!$S$2:$AA$1000,6,FALSE)," ")</f>
        <v xml:space="preserve"> </v>
      </c>
      <c r="AB34" s="90" t="str">
        <f>IFERROR(VLOOKUP(A34&amp;"aaa",COPY!$S$2:$AA$1000,6,FALSE)," ")</f>
        <v xml:space="preserve"> </v>
      </c>
      <c r="AC34" s="90" t="str">
        <f>IFERROR(VLOOKUP(A34&amp;"aaaa",COPY!$S$2:$AA$1000,6,FALSE)," ")</f>
        <v xml:space="preserve"> </v>
      </c>
      <c r="AD34" s="90" t="str">
        <f>IFERROR(VLOOKUP(A34&amp;"aaaaa",COPY!$S$2:$AA$1000,6,FALSE)," ")</f>
        <v xml:space="preserve"> </v>
      </c>
      <c r="AE34" s="90" t="str">
        <f>IFERROR(VLOOKUP(A34&amp;"aaaaaa",COPY!$S$2:$AA$1000,6,FALSE)," ")</f>
        <v xml:space="preserve"> </v>
      </c>
      <c r="AF34" s="90" t="str">
        <f>IFERROR(VLOOKUP(A34&amp;"aaaaaaa",COPY!$S$2:$AA$1000,6,FALSE)," ")</f>
        <v xml:space="preserve"> </v>
      </c>
      <c r="AG34" s="90" t="str">
        <f>IFERROR(VLOOKUP(A34&amp;"aaaaaaaa",COPY!$S$2:$AA$1000,6,FALSE)," ")</f>
        <v xml:space="preserve"> </v>
      </c>
      <c r="AH34" s="90" t="str">
        <f>IFERROR(VLOOKUP(A34&amp;"aaaaaaaaa",COPY!$S$2:$AA$1000,6,FALSE)," ")</f>
        <v xml:space="preserve"> </v>
      </c>
      <c r="AI34" s="90" t="str">
        <f>IFERROR(VLOOKUP(A34&amp;"aaaaaaaaaa",COPY!$S$2:$AA$1000,6,FALSE)," ")</f>
        <v xml:space="preserve"> </v>
      </c>
      <c r="AJ34" s="90" t="str">
        <f>IFERROR(VLOOKUP(A34&amp;"aaaaaaaaaaa",COPY!$S$2:$AA$1000,6,FALSE)," ")</f>
        <v xml:space="preserve"> </v>
      </c>
      <c r="AK34" s="90" t="str">
        <f>IF(LEFT(B34,2)="mg",VLOOKUP(A34,COPY!$S$2:$AA$1000,7,FALSE),IF(LEFT(B34,1)="G"," ",IF(LEFT(B34,2)="ma"," "," ")))</f>
        <v>Pik Up</v>
      </c>
      <c r="AL34" s="90" t="str">
        <f>IFERROR(VLOOKUP(A34&amp;"a",COPY!$S$2:$AA$1000,7,FALSE)," ")</f>
        <v>Sak</v>
      </c>
      <c r="AM34" s="90" t="str">
        <f>IFERROR(VLOOKUP(A34&amp;"aa",COPY!$S$2:$AA$1000,7,FALSE)," ")</f>
        <v xml:space="preserve"> </v>
      </c>
      <c r="AN34" s="90" t="str">
        <f>IFERROR(VLOOKUP(A34&amp;"aaa",COPY!$S$2:$AA$1000,7,FALSE)," ")</f>
        <v xml:space="preserve"> </v>
      </c>
      <c r="AO34" s="90" t="str">
        <f>IFERROR(VLOOKUP(A34&amp;"aaaa",COPY!$S$2:$AA$1000,7,FALSE)," ")</f>
        <v xml:space="preserve"> </v>
      </c>
      <c r="AP34" s="90" t="str">
        <f>IFERROR(VLOOKUP(A34&amp;"aaaaa",COPY!$S$2:$AA$1000,7,FALSE)," ")</f>
        <v xml:space="preserve"> </v>
      </c>
      <c r="AQ34" s="90" t="str">
        <f>IFERROR(VLOOKUP(A34&amp;"aaaaaa",COPY!$S$2:$AA$1000,7,FALSE)," ")</f>
        <v xml:space="preserve"> </v>
      </c>
      <c r="AR34" s="90" t="str">
        <f>IFERROR(VLOOKUP(A34&amp;"aaaaaaa",COPY!$S$2:$AA$1000,7,FALSE)," ")</f>
        <v xml:space="preserve"> </v>
      </c>
      <c r="AS34" s="90" t="str">
        <f>IFERROR(VLOOKUP(A34&amp;"aaaaaaaa",COPY!$S$2:$AA$1000,7,FALSE)," ")</f>
        <v xml:space="preserve"> </v>
      </c>
      <c r="AT34" s="90" t="str">
        <f>IFERROR(VLOOKUP(A34&amp;"aaaaaaaaa",COPY!$S$2:$AA$1000,7,FALSE)," ")</f>
        <v xml:space="preserve"> </v>
      </c>
      <c r="AU34" s="90" t="str">
        <f>IFERROR(VLOOKUP(A34&amp;"aaaaaaaaaa",COPY!$S$2:$AA$1000,7,FALSE)," ")</f>
        <v xml:space="preserve"> </v>
      </c>
      <c r="AV34" s="90" t="str">
        <f>IFERROR(VLOOKUP(A34&amp;"aaaaaaaaaaa",COPY!$S$2:$AA$1000,7,FALSE)," ")</f>
        <v xml:space="preserve"> </v>
      </c>
    </row>
    <row r="35" spans="1:48" x14ac:dyDescent="0.2">
      <c r="A35" s="75" t="str">
        <f>'REKAP PAJAK'!W72</f>
        <v>BKK.34</v>
      </c>
      <c r="B35" s="75" t="str">
        <f>IF(LEN(A35)&gt;1,VLOOKUP(A35,COPY!$O$2:$R$1000,4,FALSE),"")</f>
        <v>Gaj5</v>
      </c>
      <c r="C35" s="75" t="str">
        <f t="shared" si="0"/>
        <v>MELIA FITRIANI, S.Pd.SD</v>
      </c>
      <c r="D35" s="75" t="str">
        <f t="shared" si="1"/>
        <v>NIP. 19850619 200904 2 000</v>
      </c>
      <c r="E35" s="75" t="str">
        <f t="shared" si="2"/>
        <v>ARIF NUR UDIN, S.Pd.SD</v>
      </c>
      <c r="F35" s="75" t="str">
        <f t="shared" si="3"/>
        <v>NIP. 19840719 200903 1 002</v>
      </c>
      <c r="G35" s="75" t="str">
        <f>IFERROR(TEXT(VLOOKUP(A35,COPY!$S$2:$W$1000,3,FALSE),"dd mmmm yyyy")," ")</f>
        <v>04 Oktober 2025</v>
      </c>
      <c r="H35" s="75" t="str">
        <f t="shared" si="4"/>
        <v>SDN 1 SIDODADI</v>
      </c>
      <c r="I35" s="75" t="str">
        <f t="shared" si="5"/>
        <v>NGANTANG</v>
      </c>
      <c r="J35" s="90">
        <f>IFERROR(VLOOKUP(A35,COPY!$S$2:$W$1000,4,FALSE)," ")</f>
        <v>5225000</v>
      </c>
      <c r="K35" s="75" t="str">
        <f>IFERROR(VLOOKUP(A35,COPY!$S$2:$W$1000,5,FALSE)," ")</f>
        <v>Lima Juta Dua Ratus Dua Puluh Lima Ribu Rupiah</v>
      </c>
      <c r="L35" s="75" t="str">
        <f>IF(B35="","",IF(LEFT(B35,2)="Ma",(VLOOKUP(B35,'Rekap Gaji'!$C$12:$D$26,2,FALSE))&amp;" Untuk "&amp;(PROPER('Rekap Gaji'!$B$2)),IF(LEFT(B35,2)="Mg","Pembelian Material Bahan Bangunan",IF(LEFT(B35,2)="Me","Biaya Pembelanjaan Menejemen",IF(LEFT(B35,1)="G",VLOOKUP(A35,COPY!$S$2:$AA$1000,2,FALSE)&amp;"( "&amp;TEXT(VLOOKUP(B35,'Rekap Gaji'!$A$12:$I$26,5,FALSE),"dd-mm-yyyy")&amp;" "&amp;TEXT(VLOOKUP(B35,'Rekap Gaji'!$A$12:$I$26,6,FALSE)&amp;" "&amp;TEXT(VLOOKUP(B35,'Rekap Gaji'!$A$12:$I$26,7,FALSE),"dd-mm-yyyy")&amp;" )"," "))))))</f>
        <v>Pembayaran Pekerja Minggu Ke 5( 28-09-2025 s/d 04-10-2025 )</v>
      </c>
      <c r="M35" s="75" t="str">
        <f>IF(OR(LEFT(B35,2)="mg",LEFT(B35,2)="mE"),VLOOKUP(A35,COPY!$S$2:$AA$1000,2,FALSE),IF(LEFT(B35,1)="G"," ",IF(LEFT(B35,2)="ma"," "," ")))</f>
        <v xml:space="preserve"> </v>
      </c>
      <c r="N35" s="75" t="str">
        <f>IFERROR(VLOOKUP($A$35&amp;"a",COPY!$S$2:$AA$1000,2,FALSE)," ")</f>
        <v xml:space="preserve"> </v>
      </c>
      <c r="O35" s="75" t="str">
        <f>IFERROR(VLOOKUP($A$35&amp;"aa",COPY!$S$2:$AA$1000,2,FALSE)," ")</f>
        <v xml:space="preserve"> </v>
      </c>
      <c r="P35" s="75" t="str">
        <f>IFERROR(VLOOKUP($A$35&amp;"aaa",COPY!$S$2:$AA$1000,2,FALSE)," ")</f>
        <v xml:space="preserve"> </v>
      </c>
      <c r="Q35" s="75" t="str">
        <f>IFERROR(VLOOKUP($A$35&amp;"aaaa",COPY!$S$2:$AA$1000,2,FALSE)," ")</f>
        <v xml:space="preserve"> </v>
      </c>
      <c r="R35" s="75" t="str">
        <f>IFERROR(VLOOKUP($A$35&amp;"aaaaa",COPY!$S$2:$AA$1000,2,FALSE)," ")</f>
        <v xml:space="preserve"> </v>
      </c>
      <c r="S35" s="75" t="str">
        <f>IFERROR(VLOOKUP($A$35&amp;"aaaaaa",COPY!$S$2:$AA$1000,2,FALSE)," ")</f>
        <v xml:space="preserve"> </v>
      </c>
      <c r="T35" s="75" t="str">
        <f>IFERROR(VLOOKUP($A$35&amp;"aaaaaaa",COPY!$S$2:$AA$1000,2,FALSE)," ")</f>
        <v xml:space="preserve"> </v>
      </c>
      <c r="U35" s="75" t="str">
        <f>IFERROR(VLOOKUP($A$35&amp;"aaaaaaaa",COPY!$S$2:$AA$1000,2,FALSE)," ")</f>
        <v xml:space="preserve"> </v>
      </c>
      <c r="V35" s="75" t="str">
        <f>IFERROR(VLOOKUP($A$35&amp;"aaaaaaaaa",COPY!$S$2:$AA$1000,2,FALSE)," ")</f>
        <v xml:space="preserve"> </v>
      </c>
      <c r="W35" s="75" t="str">
        <f>IFERROR(VLOOKUP($A$35&amp;"aaaaaaaaaa",COPY!$S$2:$AA$1000,2,FALSE)," ")</f>
        <v xml:space="preserve"> </v>
      </c>
      <c r="X35" s="75" t="str">
        <f>IFERROR(VLOOKUP($A$35&amp;"aaaaaaaaaaa",COPY!$S$2:$AA$1000,2,FALSE)," ")</f>
        <v xml:space="preserve"> </v>
      </c>
      <c r="Y35" s="90" t="str">
        <f>IF(OR(LEFT(B35,2)="mg",LEFT(B35,2)="mE"),VLOOKUP(A35,COPY!$S$2:$AA$1000,6,FALSE),IF(LEFT(B35,1)="G"," ",IF(LEFT(B35,2)="ma"," "," ")))</f>
        <v xml:space="preserve"> </v>
      </c>
      <c r="Z35" s="90" t="str">
        <f>IFERROR(VLOOKUP(A35&amp;"a",COPY!$S$2:$AA$1000,6,FALSE)," ")</f>
        <v xml:space="preserve"> </v>
      </c>
      <c r="AA35" s="90" t="str">
        <f>IFERROR(VLOOKUP(A35&amp;"aa",COPY!$S$2:$AA$1000,6,FALSE)," ")</f>
        <v xml:space="preserve"> </v>
      </c>
      <c r="AB35" s="90" t="str">
        <f>IFERROR(VLOOKUP(A35&amp;"aaa",COPY!$S$2:$AA$1000,6,FALSE)," ")</f>
        <v xml:space="preserve"> </v>
      </c>
      <c r="AC35" s="90" t="str">
        <f>IFERROR(VLOOKUP(A35&amp;"aaaa",COPY!$S$2:$AA$1000,6,FALSE)," ")</f>
        <v xml:space="preserve"> </v>
      </c>
      <c r="AD35" s="90" t="str">
        <f>IFERROR(VLOOKUP(A35&amp;"aaaaa",COPY!$S$2:$AA$1000,6,FALSE)," ")</f>
        <v xml:space="preserve"> </v>
      </c>
      <c r="AE35" s="90" t="str">
        <f>IFERROR(VLOOKUP(A35&amp;"aaaaaa",COPY!$S$2:$AA$1000,6,FALSE)," ")</f>
        <v xml:space="preserve"> </v>
      </c>
      <c r="AF35" s="90" t="str">
        <f>IFERROR(VLOOKUP(A35&amp;"aaaaaaa",COPY!$S$2:$AA$1000,6,FALSE)," ")</f>
        <v xml:space="preserve"> </v>
      </c>
      <c r="AG35" s="90" t="str">
        <f>IFERROR(VLOOKUP(A35&amp;"aaaaaaaa",COPY!$S$2:$AA$1000,6,FALSE)," ")</f>
        <v xml:space="preserve"> </v>
      </c>
      <c r="AH35" s="90" t="str">
        <f>IFERROR(VLOOKUP(A35&amp;"aaaaaaaaa",COPY!$S$2:$AA$1000,6,FALSE)," ")</f>
        <v xml:space="preserve"> </v>
      </c>
      <c r="AI35" s="90" t="str">
        <f>IFERROR(VLOOKUP(A35&amp;"aaaaaaaaaa",COPY!$S$2:$AA$1000,6,FALSE)," ")</f>
        <v xml:space="preserve"> </v>
      </c>
      <c r="AJ35" s="90" t="str">
        <f>IFERROR(VLOOKUP(A35&amp;"aaaaaaaaaaa",COPY!$S$2:$AA$1000,6,FALSE)," ")</f>
        <v xml:space="preserve"> </v>
      </c>
      <c r="AK35" s="90" t="str">
        <f>IF(LEFT(B35,2)="mg",VLOOKUP(A35,COPY!$S$2:$AA$1000,7,FALSE),IF(LEFT(B35,1)="G"," ",IF(LEFT(B35,2)="ma"," "," ")))</f>
        <v xml:space="preserve"> </v>
      </c>
      <c r="AL35" s="90" t="str">
        <f>IFERROR(VLOOKUP(A35&amp;"a",COPY!$S$2:$AA$1000,7,FALSE)," ")</f>
        <v xml:space="preserve"> </v>
      </c>
      <c r="AM35" s="90" t="str">
        <f>IFERROR(VLOOKUP(A35&amp;"aa",COPY!$S$2:$AA$1000,7,FALSE)," ")</f>
        <v xml:space="preserve"> </v>
      </c>
      <c r="AN35" s="90" t="str">
        <f>IFERROR(VLOOKUP(A35&amp;"aaa",COPY!$S$2:$AA$1000,7,FALSE)," ")</f>
        <v xml:space="preserve"> </v>
      </c>
      <c r="AO35" s="90" t="str">
        <f>IFERROR(VLOOKUP(A35&amp;"aaaa",COPY!$S$2:$AA$1000,7,FALSE)," ")</f>
        <v xml:space="preserve"> </v>
      </c>
      <c r="AP35" s="90" t="str">
        <f>IFERROR(VLOOKUP(A35&amp;"aaaaa",COPY!$S$2:$AA$1000,7,FALSE)," ")</f>
        <v xml:space="preserve"> </v>
      </c>
      <c r="AQ35" s="90" t="str">
        <f>IFERROR(VLOOKUP(A35&amp;"aaaaaa",COPY!$S$2:$AA$1000,7,FALSE)," ")</f>
        <v xml:space="preserve"> </v>
      </c>
      <c r="AR35" s="90" t="str">
        <f>IFERROR(VLOOKUP(A35&amp;"aaaaaaa",COPY!$S$2:$AA$1000,7,FALSE)," ")</f>
        <v xml:space="preserve"> </v>
      </c>
      <c r="AS35" s="90" t="str">
        <f>IFERROR(VLOOKUP(A35&amp;"aaaaaaaa",COPY!$S$2:$AA$1000,7,FALSE)," ")</f>
        <v xml:space="preserve"> </v>
      </c>
      <c r="AT35" s="90" t="str">
        <f>IFERROR(VLOOKUP(A35&amp;"aaaaaaaaa",COPY!$S$2:$AA$1000,7,FALSE)," ")</f>
        <v xml:space="preserve"> </v>
      </c>
      <c r="AU35" s="90" t="str">
        <f>IFERROR(VLOOKUP(A35&amp;"aaaaaaaaaa",COPY!$S$2:$AA$1000,7,FALSE)," ")</f>
        <v xml:space="preserve"> </v>
      </c>
      <c r="AV35" s="90" t="str">
        <f>IFERROR(VLOOKUP(A35&amp;"aaaaaaaaaaa",COPY!$S$2:$AA$1000,7,FALSE)," ")</f>
        <v xml:space="preserve"> </v>
      </c>
    </row>
    <row r="36" spans="1:48" x14ac:dyDescent="0.2">
      <c r="A36" s="75" t="str">
        <f>'REKAP PAJAK'!W73</f>
        <v>BKK.35</v>
      </c>
      <c r="B36" s="75" t="str">
        <f>IF(LEN(A36)&gt;1,VLOOKUP(A36,COPY!$O$2:$R$1000,4,FALSE),"")</f>
        <v>Mgg6</v>
      </c>
      <c r="C36" s="75" t="str">
        <f t="shared" si="0"/>
        <v>MELIA FITRIANI, S.Pd.SD</v>
      </c>
      <c r="D36" s="75" t="str">
        <f t="shared" si="1"/>
        <v>NIP. 19850619 200904 2 000</v>
      </c>
      <c r="E36" s="75" t="str">
        <f t="shared" si="2"/>
        <v>ARIF NUR UDIN, S.Pd.SD</v>
      </c>
      <c r="F36" s="75" t="str">
        <f t="shared" si="3"/>
        <v>NIP. 19840719 200903 1 002</v>
      </c>
      <c r="G36" s="75" t="str">
        <f>IFERROR(TEXT(VLOOKUP(A36,COPY!$S$2:$W$1000,3,FALSE),"dd mmmm yyyy")," ")</f>
        <v>06 Oktober 2025</v>
      </c>
      <c r="H36" s="75" t="str">
        <f t="shared" si="4"/>
        <v>SDN 1 SIDODADI</v>
      </c>
      <c r="I36" s="75" t="str">
        <f t="shared" si="5"/>
        <v>NGANTANG</v>
      </c>
      <c r="J36" s="90">
        <f>IFERROR(VLOOKUP(A36,COPY!$S$2:$W$1000,4,FALSE)," ")</f>
        <v>2663000</v>
      </c>
      <c r="K36" s="75" t="str">
        <f>IFERROR(VLOOKUP(A36,COPY!$S$2:$W$1000,5,FALSE)," ")</f>
        <v>Dua Juta Enam Ratus Enam Puluh Tiga Ribu Rupiah</v>
      </c>
      <c r="L36" s="75" t="str">
        <f>IF(B36="","",IF(LEFT(B36,2)="Ma",(VLOOKUP(B36,'Rekap Gaji'!$C$12:$D$26,2,FALSE))&amp;" Untuk "&amp;(PROPER('Rekap Gaji'!$B$2)),IF(LEFT(B36,2)="Mg","Pembelian Material Bahan Bangunan",IF(LEFT(B36,2)="Me","Biaya Pembelanjaan Menejemen",IF(LEFT(B36,1)="G",VLOOKUP(A36,COPY!$S$2:$AA$1000,2,FALSE)&amp;"( "&amp;TEXT(VLOOKUP(B36,'Rekap Gaji'!$A$12:$I$26,5,FALSE),"dd-mm-yyyy")&amp;" "&amp;TEXT(VLOOKUP(B36,'Rekap Gaji'!$A$12:$I$26,6,FALSE)&amp;" "&amp;TEXT(VLOOKUP(B36,'Rekap Gaji'!$A$12:$I$26,7,FALSE),"dd-mm-yyyy")&amp;" )"," "))))))</f>
        <v>Pembelian Material Bahan Bangunan</v>
      </c>
      <c r="M36" s="75" t="str">
        <f>IF(OR(LEFT(B36,2)="mg",LEFT(B36,2)="mE"),VLOOKUP(A36,COPY!$S$2:$AA$1000,2,FALSE),IF(LEFT(B36,1)="G"," ",IF(LEFT(B36,2)="ma"," "," ")))</f>
        <v>Pasir Cor L300</v>
      </c>
      <c r="N36" s="75" t="str">
        <f>IFERROR(VLOOKUP($A$36&amp;"a",COPY!$S$2:$AA$1000,2,FALSE)," ")</f>
        <v>Semen Gresik 40Kg</v>
      </c>
      <c r="O36" s="75" t="str">
        <f>IFERROR(VLOOKUP($A$36&amp;"aa",COPY!$S$2:$AA$1000,2,FALSE)," ")</f>
        <v>Lampu Philips Led Bulb 8W</v>
      </c>
      <c r="P36" s="75" t="str">
        <f>IFERROR(VLOOKUP($A$36&amp;"aaa",COPY!$S$2:$AA$1000,2,FALSE)," ")</f>
        <v>Broco Saklar Seri Ib 6622U</v>
      </c>
      <c r="Q36" s="75" t="str">
        <f>IFERROR(VLOOKUP($A$36&amp;"aaaa",COPY!$S$2:$AA$1000,2,FALSE)," ")</f>
        <v>Fitting Plafon Kotak New Broco 1210</v>
      </c>
      <c r="R36" s="75" t="str">
        <f>IFERROR(VLOOKUP($A$36&amp;"aaaaa",COPY!$S$2:$AA$1000,2,FALSE)," ")</f>
        <v>Pipa Listrik Nisso</v>
      </c>
      <c r="S36" s="75" t="str">
        <f>IFERROR(VLOOKUP($A$36&amp;"aaaaaa",COPY!$S$2:$AA$1000,2,FALSE)," ")</f>
        <v>Supreme 2 X 0.75 Nymhy</v>
      </c>
      <c r="T36" s="75" t="str">
        <f>IFERROR(VLOOKUP($A$36&amp;"aaaaaaa",COPY!$S$2:$AA$1000,2,FALSE)," ")</f>
        <v>Spiral Listrik</v>
      </c>
      <c r="U36" s="75" t="str">
        <f>IFERROR(VLOOKUP($A$36&amp;"aaaaaaaa",COPY!$S$2:$AA$1000,2,FALSE)," ")</f>
        <v>Isolasi Kabel National</v>
      </c>
      <c r="V36" s="75" t="str">
        <f>IFERROR(VLOOKUP($A$36&amp;"aaaaaaaaa",COPY!$S$2:$AA$1000,2,FALSE)," ")</f>
        <v>Kabel Nyy 2 X 1.5</v>
      </c>
      <c r="W36" s="75" t="str">
        <f>IFERROR(VLOOKUP($A$36&amp;"aaaaaaaaaa",COPY!$S$2:$AA$1000,2,FALSE)," ")</f>
        <v>Kabel Tis Besar</v>
      </c>
      <c r="X36" s="75" t="str">
        <f>IFERROR(VLOOKUP($A$36&amp;"aaaaaaaaaaa",COPY!$S$2:$AA$1000,2,FALSE)," ")</f>
        <v xml:space="preserve"> </v>
      </c>
      <c r="Y36" s="90">
        <f>IF(OR(LEFT(B36,2)="mg",LEFT(B36,2)="mE"),VLOOKUP(A36,COPY!$S$2:$AA$1000,6,FALSE),IF(LEFT(B36,1)="G"," ",IF(LEFT(B36,2)="ma"," "," ")))</f>
        <v>3</v>
      </c>
      <c r="Z36" s="90">
        <f>IFERROR(VLOOKUP(A36&amp;"a",COPY!$S$2:$AA$1000,6,FALSE)," ")</f>
        <v>5</v>
      </c>
      <c r="AA36" s="90">
        <f>IFERROR(VLOOKUP(A36&amp;"aa",COPY!$S$2:$AA$1000,6,FALSE)," ")</f>
        <v>8</v>
      </c>
      <c r="AB36" s="90">
        <f>IFERROR(VLOOKUP(A36&amp;"aaa",COPY!$S$2:$AA$1000,6,FALSE)," ")</f>
        <v>4</v>
      </c>
      <c r="AC36" s="90">
        <f>IFERROR(VLOOKUP(A36&amp;"aaaa",COPY!$S$2:$AA$1000,6,FALSE)," ")</f>
        <v>8</v>
      </c>
      <c r="AD36" s="90">
        <f>IFERROR(VLOOKUP(A36&amp;"aaaaa",COPY!$S$2:$AA$1000,6,FALSE)," ")</f>
        <v>10</v>
      </c>
      <c r="AE36" s="90">
        <f>IFERROR(VLOOKUP(A36&amp;"aaaaaa",COPY!$S$2:$AA$1000,6,FALSE)," ")</f>
        <v>30</v>
      </c>
      <c r="AF36" s="90">
        <f>IFERROR(VLOOKUP(A36&amp;"aaaaaaa",COPY!$S$2:$AA$1000,6,FALSE)," ")</f>
        <v>4</v>
      </c>
      <c r="AG36" s="90">
        <f>IFERROR(VLOOKUP(A36&amp;"aaaaaaaa",COPY!$S$2:$AA$1000,6,FALSE)," ")</f>
        <v>2</v>
      </c>
      <c r="AH36" s="90">
        <f>IFERROR(VLOOKUP(A36&amp;"aaaaaaaaa",COPY!$S$2:$AA$1000,6,FALSE)," ")</f>
        <v>1</v>
      </c>
      <c r="AI36" s="90">
        <f>IFERROR(VLOOKUP(A36&amp;"aaaaaaaaaa",COPY!$S$2:$AA$1000,6,FALSE)," ")</f>
        <v>1</v>
      </c>
      <c r="AJ36" s="90" t="str">
        <f>IFERROR(VLOOKUP(A36&amp;"aaaaaaaaaaa",COPY!$S$2:$AA$1000,6,FALSE)," ")</f>
        <v xml:space="preserve"> </v>
      </c>
      <c r="AK36" s="90" t="str">
        <f>IF(LEFT(B36,2)="mg",VLOOKUP(A36,COPY!$S$2:$AA$1000,7,FALSE),IF(LEFT(B36,1)="G"," ",IF(LEFT(B36,2)="ma"," "," ")))</f>
        <v>Pik Up</v>
      </c>
      <c r="AL36" s="90" t="str">
        <f>IFERROR(VLOOKUP(A36&amp;"a",COPY!$S$2:$AA$1000,7,FALSE)," ")</f>
        <v>Sak</v>
      </c>
      <c r="AM36" s="90" t="str">
        <f>IFERROR(VLOOKUP(A36&amp;"aa",COPY!$S$2:$AA$1000,7,FALSE)," ")</f>
        <v>Pcs</v>
      </c>
      <c r="AN36" s="90" t="str">
        <f>IFERROR(VLOOKUP(A36&amp;"aaa",COPY!$S$2:$AA$1000,7,FALSE)," ")</f>
        <v>Pcs</v>
      </c>
      <c r="AO36" s="90" t="str">
        <f>IFERROR(VLOOKUP(A36&amp;"aaaa",COPY!$S$2:$AA$1000,7,FALSE)," ")</f>
        <v>Pcs</v>
      </c>
      <c r="AP36" s="90" t="str">
        <f>IFERROR(VLOOKUP(A36&amp;"aaaaa",COPY!$S$2:$AA$1000,7,FALSE)," ")</f>
        <v>Ljr</v>
      </c>
      <c r="AQ36" s="90" t="str">
        <f>IFERROR(VLOOKUP(A36&amp;"aaaaaa",COPY!$S$2:$AA$1000,7,FALSE)," ")</f>
        <v>Pcs</v>
      </c>
      <c r="AR36" s="90" t="str">
        <f>IFERROR(VLOOKUP(A36&amp;"aaaaaaa",COPY!$S$2:$AA$1000,7,FALSE)," ")</f>
        <v>m</v>
      </c>
      <c r="AS36" s="90" t="str">
        <f>IFERROR(VLOOKUP(A36&amp;"aaaaaaaa",COPY!$S$2:$AA$1000,7,FALSE)," ")</f>
        <v>Pcs</v>
      </c>
      <c r="AT36" s="90" t="str">
        <f>IFERROR(VLOOKUP(A36&amp;"aaaaaaaaa",COPY!$S$2:$AA$1000,7,FALSE)," ")</f>
        <v>Roll</v>
      </c>
      <c r="AU36" s="90" t="str">
        <f>IFERROR(VLOOKUP(A36&amp;"aaaaaaaaaa",COPY!$S$2:$AA$1000,7,FALSE)," ")</f>
        <v>pak</v>
      </c>
      <c r="AV36" s="90" t="str">
        <f>IFERROR(VLOOKUP(A36&amp;"aaaaaaaaaaa",COPY!$S$2:$AA$1000,7,FALSE)," ")</f>
        <v xml:space="preserve"> </v>
      </c>
    </row>
    <row r="37" spans="1:48" x14ac:dyDescent="0.2">
      <c r="A37" s="75" t="str">
        <f>'REKAP PAJAK'!W74</f>
        <v>BKK.36</v>
      </c>
      <c r="B37" s="75" t="str">
        <f>IF(LEN(A37)&gt;1,VLOOKUP(A37,COPY!$O$2:$R$1000,4,FALSE),"")</f>
        <v>Mgg6</v>
      </c>
      <c r="C37" s="75" t="str">
        <f t="shared" si="0"/>
        <v>MELIA FITRIANI, S.Pd.SD</v>
      </c>
      <c r="D37" s="75" t="str">
        <f t="shared" si="1"/>
        <v>NIP. 19850619 200904 2 000</v>
      </c>
      <c r="E37" s="75" t="str">
        <f t="shared" si="2"/>
        <v>ARIF NUR UDIN, S.Pd.SD</v>
      </c>
      <c r="F37" s="75" t="str">
        <f t="shared" si="3"/>
        <v>NIP. 19840719 200903 1 002</v>
      </c>
      <c r="G37" s="75" t="str">
        <f>IFERROR(TEXT(VLOOKUP(A37,COPY!$S$2:$W$1000,3,FALSE),"dd mmmm yyyy")," ")</f>
        <v>07 Oktober 2025</v>
      </c>
      <c r="H37" s="75" t="str">
        <f t="shared" si="4"/>
        <v>SDN 1 SIDODADI</v>
      </c>
      <c r="I37" s="75" t="str">
        <f t="shared" si="5"/>
        <v>NGANTANG</v>
      </c>
      <c r="J37" s="90">
        <f>IFERROR(VLOOKUP(A37,COPY!$S$2:$W$1000,4,FALSE)," ")</f>
        <v>1725000</v>
      </c>
      <c r="K37" s="75" t="str">
        <f>IFERROR(VLOOKUP(A37,COPY!$S$2:$W$1000,5,FALSE)," ")</f>
        <v>Satu Juta Tujuh Ratus Dua Puluh Lima Ribu Rupiah</v>
      </c>
      <c r="L37" s="75" t="str">
        <f>IF(B37="","",IF(LEFT(B37,2)="Ma",(VLOOKUP(B37,'Rekap Gaji'!$C$12:$D$26,2,FALSE))&amp;" Untuk "&amp;(PROPER('Rekap Gaji'!$B$2)),IF(LEFT(B37,2)="Mg","Pembelian Material Bahan Bangunan",IF(LEFT(B37,2)="Me","Biaya Pembelanjaan Menejemen",IF(LEFT(B37,1)="G",VLOOKUP(A37,COPY!$S$2:$AA$1000,2,FALSE)&amp;"( "&amp;TEXT(VLOOKUP(B37,'Rekap Gaji'!$A$12:$I$26,5,FALSE),"dd-mm-yyyy")&amp;" "&amp;TEXT(VLOOKUP(B37,'Rekap Gaji'!$A$12:$I$26,6,FALSE)&amp;" "&amp;TEXT(VLOOKUP(B37,'Rekap Gaji'!$A$12:$I$26,7,FALSE),"dd-mm-yyyy")&amp;" )"," "))))))</f>
        <v>Pembelian Material Bahan Bangunan</v>
      </c>
      <c r="M37" s="75" t="str">
        <f>IF(OR(LEFT(B37,2)="mg",LEFT(B37,2)="mE"),VLOOKUP(A37,COPY!$S$2:$AA$1000,2,FALSE),IF(LEFT(B37,1)="G"," ",IF(LEFT(B37,2)="ma"," "," ")))</f>
        <v>Keramik 25X25 Everst Platinum</v>
      </c>
      <c r="N37" s="75" t="str">
        <f>IFERROR(VLOOKUP($A$37&amp;"a",COPY!$S$2:$AA$1000,2,FALSE)," ")</f>
        <v>Keramik Dinding 25 X 40 Novana Perla</v>
      </c>
      <c r="O37" s="75" t="str">
        <f>IFERROR(VLOOKUP($A$37&amp;"aa",COPY!$S$2:$AA$1000,2,FALSE)," ")</f>
        <v xml:space="preserve"> </v>
      </c>
      <c r="P37" s="75" t="str">
        <f>IFERROR(VLOOKUP($A$37&amp;"aaa",COPY!$S$2:$AA$1000,2,FALSE)," ")</f>
        <v xml:space="preserve"> </v>
      </c>
      <c r="Q37" s="75" t="str">
        <f>IFERROR(VLOOKUP($A$37&amp;"aaaa",COPY!$S$2:$AA$1000,2,FALSE)," ")</f>
        <v xml:space="preserve"> </v>
      </c>
      <c r="R37" s="75" t="str">
        <f>IFERROR(VLOOKUP($A$37&amp;"aaaaa",COPY!$S$2:$AA$1000,2,FALSE)," ")</f>
        <v xml:space="preserve"> </v>
      </c>
      <c r="S37" s="75" t="str">
        <f>IFERROR(VLOOKUP($A$37&amp;"aaaaaa",COPY!$S$2:$AA$1000,2,FALSE)," ")</f>
        <v xml:space="preserve"> </v>
      </c>
      <c r="T37" s="75" t="str">
        <f>IFERROR(VLOOKUP($A$37&amp;"aaaaaaa",COPY!$S$2:$AA$1000,2,FALSE)," ")</f>
        <v xml:space="preserve"> </v>
      </c>
      <c r="U37" s="75" t="str">
        <f>IFERROR(VLOOKUP($A$37&amp;"aaaaaaaa",COPY!$S$2:$AA$1000,2,FALSE)," ")</f>
        <v xml:space="preserve"> </v>
      </c>
      <c r="V37" s="75" t="str">
        <f>IFERROR(VLOOKUP($A$37&amp;"aaaaaaaaa",COPY!$S$2:$AA$1000,2,FALSE)," ")</f>
        <v xml:space="preserve"> </v>
      </c>
      <c r="W37" s="75" t="str">
        <f>IFERROR(VLOOKUP($A$37&amp;"aaaaaaaaaa",COPY!$S$2:$AA$1000,2,FALSE)," ")</f>
        <v xml:space="preserve"> </v>
      </c>
      <c r="X37" s="75" t="str">
        <f>IFERROR(VLOOKUP($A$37&amp;"aaaaaaaaaaa",COPY!$S$2:$AA$1000,2,FALSE)," ")</f>
        <v xml:space="preserve"> </v>
      </c>
      <c r="Y37" s="90">
        <f>IF(OR(LEFT(B37,2)="mg",LEFT(B37,2)="mE"),VLOOKUP(A37,COPY!$S$2:$AA$1000,6,FALSE),IF(LEFT(B37,1)="G"," ",IF(LEFT(B37,2)="ma"," "," ")))</f>
        <v>15</v>
      </c>
      <c r="Z37" s="90">
        <f>IFERROR(VLOOKUP(A37&amp;"a",COPY!$S$2:$AA$1000,6,FALSE)," ")</f>
        <v>10</v>
      </c>
      <c r="AA37" s="90" t="str">
        <f>IFERROR(VLOOKUP(A37&amp;"aa",COPY!$S$2:$AA$1000,6,FALSE)," ")</f>
        <v xml:space="preserve"> </v>
      </c>
      <c r="AB37" s="90" t="str">
        <f>IFERROR(VLOOKUP(A37&amp;"aaa",COPY!$S$2:$AA$1000,6,FALSE)," ")</f>
        <v xml:space="preserve"> </v>
      </c>
      <c r="AC37" s="90" t="str">
        <f>IFERROR(VLOOKUP(A37&amp;"aaaa",COPY!$S$2:$AA$1000,6,FALSE)," ")</f>
        <v xml:space="preserve"> </v>
      </c>
      <c r="AD37" s="90" t="str">
        <f>IFERROR(VLOOKUP(A37&amp;"aaaaa",COPY!$S$2:$AA$1000,6,FALSE)," ")</f>
        <v xml:space="preserve"> </v>
      </c>
      <c r="AE37" s="90" t="str">
        <f>IFERROR(VLOOKUP(A37&amp;"aaaaaa",COPY!$S$2:$AA$1000,6,FALSE)," ")</f>
        <v xml:space="preserve"> </v>
      </c>
      <c r="AF37" s="90" t="str">
        <f>IFERROR(VLOOKUP(A37&amp;"aaaaaaa",COPY!$S$2:$AA$1000,6,FALSE)," ")</f>
        <v xml:space="preserve"> </v>
      </c>
      <c r="AG37" s="90" t="str">
        <f>IFERROR(VLOOKUP(A37&amp;"aaaaaaaa",COPY!$S$2:$AA$1000,6,FALSE)," ")</f>
        <v xml:space="preserve"> </v>
      </c>
      <c r="AH37" s="90" t="str">
        <f>IFERROR(VLOOKUP(A37&amp;"aaaaaaaaa",COPY!$S$2:$AA$1000,6,FALSE)," ")</f>
        <v xml:space="preserve"> </v>
      </c>
      <c r="AI37" s="90" t="str">
        <f>IFERROR(VLOOKUP(A37&amp;"aaaaaaaaaa",COPY!$S$2:$AA$1000,6,FALSE)," ")</f>
        <v xml:space="preserve"> </v>
      </c>
      <c r="AJ37" s="90" t="str">
        <f>IFERROR(VLOOKUP(A37&amp;"aaaaaaaaaaa",COPY!$S$2:$AA$1000,6,FALSE)," ")</f>
        <v xml:space="preserve"> </v>
      </c>
      <c r="AK37" s="90" t="str">
        <f>IF(LEFT(B37,2)="mg",VLOOKUP(A37,COPY!$S$2:$AA$1000,7,FALSE),IF(LEFT(B37,1)="G"," ",IF(LEFT(B37,2)="ma"," "," ")))</f>
        <v>Dus</v>
      </c>
      <c r="AL37" s="90" t="str">
        <f>IFERROR(VLOOKUP(A37&amp;"a",COPY!$S$2:$AA$1000,7,FALSE)," ")</f>
        <v>Dus</v>
      </c>
      <c r="AM37" s="90" t="str">
        <f>IFERROR(VLOOKUP(A37&amp;"aa",COPY!$S$2:$AA$1000,7,FALSE)," ")</f>
        <v xml:space="preserve"> </v>
      </c>
      <c r="AN37" s="90" t="str">
        <f>IFERROR(VLOOKUP(A37&amp;"aaa",COPY!$S$2:$AA$1000,7,FALSE)," ")</f>
        <v xml:space="preserve"> </v>
      </c>
      <c r="AO37" s="90" t="str">
        <f>IFERROR(VLOOKUP(A37&amp;"aaaa",COPY!$S$2:$AA$1000,7,FALSE)," ")</f>
        <v xml:space="preserve"> </v>
      </c>
      <c r="AP37" s="90" t="str">
        <f>IFERROR(VLOOKUP(A37&amp;"aaaaa",COPY!$S$2:$AA$1000,7,FALSE)," ")</f>
        <v xml:space="preserve"> </v>
      </c>
      <c r="AQ37" s="90" t="str">
        <f>IFERROR(VLOOKUP(A37&amp;"aaaaaa",COPY!$S$2:$AA$1000,7,FALSE)," ")</f>
        <v xml:space="preserve"> </v>
      </c>
      <c r="AR37" s="90" t="str">
        <f>IFERROR(VLOOKUP(A37&amp;"aaaaaaa",COPY!$S$2:$AA$1000,7,FALSE)," ")</f>
        <v xml:space="preserve"> </v>
      </c>
      <c r="AS37" s="90" t="str">
        <f>IFERROR(VLOOKUP(A37&amp;"aaaaaaaa",COPY!$S$2:$AA$1000,7,FALSE)," ")</f>
        <v xml:space="preserve"> </v>
      </c>
      <c r="AT37" s="90" t="str">
        <f>IFERROR(VLOOKUP(A37&amp;"aaaaaaaaa",COPY!$S$2:$AA$1000,7,FALSE)," ")</f>
        <v xml:space="preserve"> </v>
      </c>
      <c r="AU37" s="90" t="str">
        <f>IFERROR(VLOOKUP(A37&amp;"aaaaaaaaaa",COPY!$S$2:$AA$1000,7,FALSE)," ")</f>
        <v xml:space="preserve"> </v>
      </c>
      <c r="AV37" s="90" t="str">
        <f>IFERROR(VLOOKUP(A37&amp;"aaaaaaaaaaa",COPY!$S$2:$AA$1000,7,FALSE)," ")</f>
        <v xml:space="preserve"> </v>
      </c>
    </row>
    <row r="38" spans="1:48" x14ac:dyDescent="0.2">
      <c r="A38" s="75" t="str">
        <f>'REKAP PAJAK'!W75</f>
        <v>BKK.37</v>
      </c>
      <c r="B38" s="75" t="str">
        <f>IF(LEN(A38)&gt;1,VLOOKUP(A38,COPY!$O$2:$R$1000,4,FALSE),"")</f>
        <v>Mgg6</v>
      </c>
      <c r="C38" s="75" t="str">
        <f t="shared" si="0"/>
        <v>MELIA FITRIANI, S.Pd.SD</v>
      </c>
      <c r="D38" s="75" t="str">
        <f t="shared" si="1"/>
        <v>NIP. 19850619 200904 2 000</v>
      </c>
      <c r="E38" s="75" t="str">
        <f t="shared" si="2"/>
        <v>ARIF NUR UDIN, S.Pd.SD</v>
      </c>
      <c r="F38" s="75" t="str">
        <f t="shared" si="3"/>
        <v>NIP. 19840719 200903 1 002</v>
      </c>
      <c r="G38" s="75" t="str">
        <f>IFERROR(TEXT(VLOOKUP(A38,COPY!$S$2:$W$1000,3,FALSE),"dd mmmm yyyy")," ")</f>
        <v>08 Oktober 2025</v>
      </c>
      <c r="H38" s="75" t="str">
        <f t="shared" si="4"/>
        <v>SDN 1 SIDODADI</v>
      </c>
      <c r="I38" s="75" t="str">
        <f t="shared" si="5"/>
        <v>NGANTANG</v>
      </c>
      <c r="J38" s="90">
        <f>IFERROR(VLOOKUP(A38,COPY!$S$2:$W$1000,4,FALSE)," ")</f>
        <v>2760000</v>
      </c>
      <c r="K38" s="75" t="str">
        <f>IFERROR(VLOOKUP(A38,COPY!$S$2:$W$1000,5,FALSE)," ")</f>
        <v>Dua Juta Tujuh Ratus Enam Puluh Ribu Rupiah</v>
      </c>
      <c r="L38" s="75" t="str">
        <f>IF(B38="","",IF(LEFT(B38,2)="Ma",(VLOOKUP(B38,'Rekap Gaji'!$C$12:$D$26,2,FALSE))&amp;" Untuk "&amp;(PROPER('Rekap Gaji'!$B$2)),IF(LEFT(B38,2)="Mg","Pembelian Material Bahan Bangunan",IF(LEFT(B38,2)="Me","Biaya Pembelanjaan Menejemen",IF(LEFT(B38,1)="G",VLOOKUP(A38,COPY!$S$2:$AA$1000,2,FALSE)&amp;"( "&amp;TEXT(VLOOKUP(B38,'Rekap Gaji'!$A$12:$I$26,5,FALSE),"dd-mm-yyyy")&amp;" "&amp;TEXT(VLOOKUP(B38,'Rekap Gaji'!$A$12:$I$26,6,FALSE)&amp;" "&amp;TEXT(VLOOKUP(B38,'Rekap Gaji'!$A$12:$I$26,7,FALSE),"dd-mm-yyyy")&amp;" )"," "))))))</f>
        <v>Pembelian Material Bahan Bangunan</v>
      </c>
      <c r="M38" s="75" t="str">
        <f>IF(OR(LEFT(B38,2)="mg",LEFT(B38,2)="mE"),VLOOKUP(A38,COPY!$S$2:$AA$1000,2,FALSE),IF(LEFT(B38,1)="G"," ",IF(LEFT(B38,2)="ma"," "," ")))</f>
        <v>Pasir Cor L300</v>
      </c>
      <c r="N38" s="75" t="str">
        <f>IFERROR(VLOOKUP($A$38&amp;"a",COPY!$S$2:$AA$1000,2,FALSE)," ")</f>
        <v>Bata Merah Super</v>
      </c>
      <c r="O38" s="75" t="str">
        <f>IFERROR(VLOOKUP($A$38&amp;"aa",COPY!$S$2:$AA$1000,2,FALSE)," ")</f>
        <v>Keramik Dinding 25 X 40 Novana Perla</v>
      </c>
      <c r="P38" s="75" t="str">
        <f>IFERROR(VLOOKUP($A$38&amp;"aaa",COPY!$S$2:$AA$1000,2,FALSE)," ")</f>
        <v xml:space="preserve"> </v>
      </c>
      <c r="Q38" s="75" t="str">
        <f>IFERROR(VLOOKUP($A$38&amp;"aaaa",COPY!$S$2:$AA$1000,2,FALSE)," ")</f>
        <v xml:space="preserve"> </v>
      </c>
      <c r="R38" s="75" t="str">
        <f>IFERROR(VLOOKUP($A$38&amp;"aaaaa",COPY!$S$2:$AA$1000,2,FALSE)," ")</f>
        <v xml:space="preserve"> </v>
      </c>
      <c r="S38" s="75" t="str">
        <f>IFERROR(VLOOKUP($A$38&amp;"aaaaaa",COPY!$S$2:$AA$1000,2,FALSE)," ")</f>
        <v xml:space="preserve"> </v>
      </c>
      <c r="T38" s="75" t="str">
        <f>IFERROR(VLOOKUP($A$38&amp;"aaaaaaa",COPY!$S$2:$AA$1000,2,FALSE)," ")</f>
        <v xml:space="preserve"> </v>
      </c>
      <c r="U38" s="75" t="str">
        <f>IFERROR(VLOOKUP($A$38&amp;"aaaaaaaa",COPY!$S$2:$AA$1000,2,FALSE)," ")</f>
        <v xml:space="preserve"> </v>
      </c>
      <c r="V38" s="75" t="str">
        <f>IFERROR(VLOOKUP($A$38&amp;"aaaaaaaaa",COPY!$S$2:$AA$1000,2,FALSE)," ")</f>
        <v xml:space="preserve"> </v>
      </c>
      <c r="W38" s="75" t="str">
        <f>IFERROR(VLOOKUP($A$38&amp;"aaaaaaaaaa",COPY!$S$2:$AA$1000,2,FALSE)," ")</f>
        <v xml:space="preserve"> </v>
      </c>
      <c r="X38" s="75" t="str">
        <f>IFERROR(VLOOKUP($A$38&amp;"aaaaaaaaaaa",COPY!$S$2:$AA$1000,2,FALSE)," ")</f>
        <v xml:space="preserve"> </v>
      </c>
      <c r="Y38" s="90">
        <f>IF(OR(LEFT(B38,2)="mg",LEFT(B38,2)="mE"),VLOOKUP(A38,COPY!$S$2:$AA$1000,6,FALSE),IF(LEFT(B38,1)="G"," ",IF(LEFT(B38,2)="ma"," "," ")))</f>
        <v>1</v>
      </c>
      <c r="Z38" s="90">
        <f>IFERROR(VLOOKUP(A38&amp;"a",COPY!$S$2:$AA$1000,6,FALSE)," ")</f>
        <v>1000</v>
      </c>
      <c r="AA38" s="90">
        <f>IFERROR(VLOOKUP(A38&amp;"aa",COPY!$S$2:$AA$1000,6,FALSE)," ")</f>
        <v>25</v>
      </c>
      <c r="AB38" s="90" t="str">
        <f>IFERROR(VLOOKUP(A38&amp;"aaa",COPY!$S$2:$AA$1000,6,FALSE)," ")</f>
        <v xml:space="preserve"> </v>
      </c>
      <c r="AC38" s="90" t="str">
        <f>IFERROR(VLOOKUP(A38&amp;"aaaa",COPY!$S$2:$AA$1000,6,FALSE)," ")</f>
        <v xml:space="preserve"> </v>
      </c>
      <c r="AD38" s="90" t="str">
        <f>IFERROR(VLOOKUP(A38&amp;"aaaaa",COPY!$S$2:$AA$1000,6,FALSE)," ")</f>
        <v xml:space="preserve"> </v>
      </c>
      <c r="AE38" s="90" t="str">
        <f>IFERROR(VLOOKUP(A38&amp;"aaaaaa",COPY!$S$2:$AA$1000,6,FALSE)," ")</f>
        <v xml:space="preserve"> </v>
      </c>
      <c r="AF38" s="90" t="str">
        <f>IFERROR(VLOOKUP(A38&amp;"aaaaaaa",COPY!$S$2:$AA$1000,6,FALSE)," ")</f>
        <v xml:space="preserve"> </v>
      </c>
      <c r="AG38" s="90" t="str">
        <f>IFERROR(VLOOKUP(A38&amp;"aaaaaaaa",COPY!$S$2:$AA$1000,6,FALSE)," ")</f>
        <v xml:space="preserve"> </v>
      </c>
      <c r="AH38" s="90" t="str">
        <f>IFERROR(VLOOKUP(A38&amp;"aaaaaaaaa",COPY!$S$2:$AA$1000,6,FALSE)," ")</f>
        <v xml:space="preserve"> </v>
      </c>
      <c r="AI38" s="90" t="str">
        <f>IFERROR(VLOOKUP(A38&amp;"aaaaaaaaaa",COPY!$S$2:$AA$1000,6,FALSE)," ")</f>
        <v xml:space="preserve"> </v>
      </c>
      <c r="AJ38" s="90" t="str">
        <f>IFERROR(VLOOKUP(A38&amp;"aaaaaaaaaaa",COPY!$S$2:$AA$1000,6,FALSE)," ")</f>
        <v xml:space="preserve"> </v>
      </c>
      <c r="AK38" s="90" t="str">
        <f>IF(LEFT(B38,2)="mg",VLOOKUP(A38,COPY!$S$2:$AA$1000,7,FALSE),IF(LEFT(B38,1)="G"," ",IF(LEFT(B38,2)="ma"," "," ")))</f>
        <v>Pik Up</v>
      </c>
      <c r="AL38" s="90" t="str">
        <f>IFERROR(VLOOKUP(A38&amp;"a",COPY!$S$2:$AA$1000,7,FALSE)," ")</f>
        <v>Bji</v>
      </c>
      <c r="AM38" s="90" t="str">
        <f>IFERROR(VLOOKUP(A38&amp;"aa",COPY!$S$2:$AA$1000,7,FALSE)," ")</f>
        <v>Dus</v>
      </c>
      <c r="AN38" s="90" t="str">
        <f>IFERROR(VLOOKUP(A38&amp;"aaa",COPY!$S$2:$AA$1000,7,FALSE)," ")</f>
        <v xml:space="preserve"> </v>
      </c>
      <c r="AO38" s="90" t="str">
        <f>IFERROR(VLOOKUP(A38&amp;"aaaa",COPY!$S$2:$AA$1000,7,FALSE)," ")</f>
        <v xml:space="preserve"> </v>
      </c>
      <c r="AP38" s="90" t="str">
        <f>IFERROR(VLOOKUP(A38&amp;"aaaaa",COPY!$S$2:$AA$1000,7,FALSE)," ")</f>
        <v xml:space="preserve"> </v>
      </c>
      <c r="AQ38" s="90" t="str">
        <f>IFERROR(VLOOKUP(A38&amp;"aaaaaa",COPY!$S$2:$AA$1000,7,FALSE)," ")</f>
        <v xml:space="preserve"> </v>
      </c>
      <c r="AR38" s="90" t="str">
        <f>IFERROR(VLOOKUP(A38&amp;"aaaaaaa",COPY!$S$2:$AA$1000,7,FALSE)," ")</f>
        <v xml:space="preserve"> </v>
      </c>
      <c r="AS38" s="90" t="str">
        <f>IFERROR(VLOOKUP(A38&amp;"aaaaaaaa",COPY!$S$2:$AA$1000,7,FALSE)," ")</f>
        <v xml:space="preserve"> </v>
      </c>
      <c r="AT38" s="90" t="str">
        <f>IFERROR(VLOOKUP(A38&amp;"aaaaaaaaa",COPY!$S$2:$AA$1000,7,FALSE)," ")</f>
        <v xml:space="preserve"> </v>
      </c>
      <c r="AU38" s="90" t="str">
        <f>IFERROR(VLOOKUP(A38&amp;"aaaaaaaaaa",COPY!$S$2:$AA$1000,7,FALSE)," ")</f>
        <v xml:space="preserve"> </v>
      </c>
      <c r="AV38" s="90" t="str">
        <f>IFERROR(VLOOKUP(A38&amp;"aaaaaaaaaaa",COPY!$S$2:$AA$1000,7,FALSE)," ")</f>
        <v xml:space="preserve"> </v>
      </c>
    </row>
    <row r="39" spans="1:48" x14ac:dyDescent="0.2">
      <c r="A39" s="75" t="str">
        <f>'REKAP PAJAK'!W76</f>
        <v>BKK.38</v>
      </c>
      <c r="B39" s="75" t="str">
        <f>IF(LEN(A39)&gt;1,VLOOKUP(A39,COPY!$O$2:$R$1000,4,FALSE),"")</f>
        <v>Mgg6</v>
      </c>
      <c r="C39" s="75" t="str">
        <f t="shared" si="0"/>
        <v>MELIA FITRIANI, S.Pd.SD</v>
      </c>
      <c r="D39" s="75" t="str">
        <f t="shared" si="1"/>
        <v>NIP. 19850619 200904 2 000</v>
      </c>
      <c r="E39" s="75" t="str">
        <f t="shared" si="2"/>
        <v>ARIF NUR UDIN, S.Pd.SD</v>
      </c>
      <c r="F39" s="75" t="str">
        <f t="shared" si="3"/>
        <v>NIP. 19840719 200903 1 002</v>
      </c>
      <c r="G39" s="75" t="str">
        <f>IFERROR(TEXT(VLOOKUP(A39,COPY!$S$2:$W$1000,3,FALSE),"dd mmmm yyyy")," ")</f>
        <v>09 Oktober 2025</v>
      </c>
      <c r="H39" s="75" t="str">
        <f t="shared" si="4"/>
        <v>SDN 1 SIDODADI</v>
      </c>
      <c r="I39" s="75" t="str">
        <f t="shared" si="5"/>
        <v>NGANTANG</v>
      </c>
      <c r="J39" s="90">
        <f>IFERROR(VLOOKUP(A39,COPY!$S$2:$W$1000,4,FALSE)," ")</f>
        <v>960000</v>
      </c>
      <c r="K39" s="75" t="str">
        <f>IFERROR(VLOOKUP(A39,COPY!$S$2:$W$1000,5,FALSE)," ")</f>
        <v>Sembilan Ratus Enam Puluh Ribu Rupiah</v>
      </c>
      <c r="L39" s="75" t="str">
        <f>IF(B39="","",IF(LEFT(B39,2)="Ma",(VLOOKUP(B39,'Rekap Gaji'!$C$12:$D$26,2,FALSE))&amp;" Untuk "&amp;(PROPER('Rekap Gaji'!$B$2)),IF(LEFT(B39,2)="Mg","Pembelian Material Bahan Bangunan",IF(LEFT(B39,2)="Me","Biaya Pembelanjaan Menejemen",IF(LEFT(B39,1)="G",VLOOKUP(A39,COPY!$S$2:$AA$1000,2,FALSE)&amp;"( "&amp;TEXT(VLOOKUP(B39,'Rekap Gaji'!$A$12:$I$26,5,FALSE),"dd-mm-yyyy")&amp;" "&amp;TEXT(VLOOKUP(B39,'Rekap Gaji'!$A$12:$I$26,6,FALSE)&amp;" "&amp;TEXT(VLOOKUP(B39,'Rekap Gaji'!$A$12:$I$26,7,FALSE),"dd-mm-yyyy")&amp;" )"," "))))))</f>
        <v>Pembelian Material Bahan Bangunan</v>
      </c>
      <c r="M39" s="75" t="str">
        <f>IF(OR(LEFT(B39,2)="mg",LEFT(B39,2)="mE"),VLOOKUP(A39,COPY!$S$2:$AA$1000,2,FALSE),IF(LEFT(B39,1)="G"," ",IF(LEFT(B39,2)="ma"," "," ")))</f>
        <v>Pasir Cor L300</v>
      </c>
      <c r="N39" s="75" t="str">
        <f>IFERROR(VLOOKUP($A$39&amp;"a",COPY!$S$2:$AA$1000,2,FALSE)," ")</f>
        <v>Semen Gresik 40Kg</v>
      </c>
      <c r="O39" s="75" t="str">
        <f>IFERROR(VLOOKUP($A$39&amp;"aa",COPY!$S$2:$AA$1000,2,FALSE)," ")</f>
        <v xml:space="preserve"> </v>
      </c>
      <c r="P39" s="75" t="str">
        <f>IFERROR(VLOOKUP($A$39&amp;"aaa",COPY!$S$2:$AA$1000,2,FALSE)," ")</f>
        <v xml:space="preserve"> </v>
      </c>
      <c r="Q39" s="75" t="str">
        <f>IFERROR(VLOOKUP($A$39&amp;"aaaa",COPY!$S$2:$AA$1000,2,FALSE)," ")</f>
        <v xml:space="preserve"> </v>
      </c>
      <c r="R39" s="75" t="str">
        <f>IFERROR(VLOOKUP($A$39&amp;"aaaaa",COPY!$S$2:$AA$1000,2,FALSE)," ")</f>
        <v xml:space="preserve"> </v>
      </c>
      <c r="S39" s="75" t="str">
        <f>IFERROR(VLOOKUP($A$39&amp;"aaaaaa",COPY!$S$2:$AA$1000,2,FALSE)," ")</f>
        <v xml:space="preserve"> </v>
      </c>
      <c r="T39" s="75" t="str">
        <f>IFERROR(VLOOKUP($A$39&amp;"aaaaaaa",COPY!$S$2:$AA$1000,2,FALSE)," ")</f>
        <v xml:space="preserve"> </v>
      </c>
      <c r="U39" s="75" t="str">
        <f>IFERROR(VLOOKUP($A$39&amp;"aaaaaaaa",COPY!$S$2:$AA$1000,2,FALSE)," ")</f>
        <v xml:space="preserve"> </v>
      </c>
      <c r="V39" s="75" t="str">
        <f>IFERROR(VLOOKUP($A$39&amp;"aaaaaaaaa",COPY!$S$2:$AA$1000,2,FALSE)," ")</f>
        <v xml:space="preserve"> </v>
      </c>
      <c r="W39" s="75" t="str">
        <f>IFERROR(VLOOKUP($A$39&amp;"aaaaaaaaaa",COPY!$S$2:$AA$1000,2,FALSE)," ")</f>
        <v xml:space="preserve"> </v>
      </c>
      <c r="X39" s="75" t="str">
        <f>IFERROR(VLOOKUP($A$39&amp;"aaaaaaaaaaa",COPY!$S$2:$AA$1000,2,FALSE)," ")</f>
        <v xml:space="preserve"> </v>
      </c>
      <c r="Y39" s="90">
        <f>IF(OR(LEFT(B39,2)="mg",LEFT(B39,2)="mE"),VLOOKUP(A39,COPY!$S$2:$AA$1000,6,FALSE),IF(LEFT(B39,1)="G"," ",IF(LEFT(B39,2)="ma"," "," ")))</f>
        <v>2</v>
      </c>
      <c r="Z39" s="90">
        <f>IFERROR(VLOOKUP(A39&amp;"a",COPY!$S$2:$AA$1000,6,FALSE)," ")</f>
        <v>5</v>
      </c>
      <c r="AA39" s="90" t="str">
        <f>IFERROR(VLOOKUP(A39&amp;"aa",COPY!$S$2:$AA$1000,6,FALSE)," ")</f>
        <v xml:space="preserve"> </v>
      </c>
      <c r="AB39" s="90" t="str">
        <f>IFERROR(VLOOKUP(A39&amp;"aaa",COPY!$S$2:$AA$1000,6,FALSE)," ")</f>
        <v xml:space="preserve"> </v>
      </c>
      <c r="AC39" s="90" t="str">
        <f>IFERROR(VLOOKUP(A39&amp;"aaaa",COPY!$S$2:$AA$1000,6,FALSE)," ")</f>
        <v xml:space="preserve"> </v>
      </c>
      <c r="AD39" s="90" t="str">
        <f>IFERROR(VLOOKUP(A39&amp;"aaaaa",COPY!$S$2:$AA$1000,6,FALSE)," ")</f>
        <v xml:space="preserve"> </v>
      </c>
      <c r="AE39" s="90" t="str">
        <f>IFERROR(VLOOKUP(A39&amp;"aaaaaa",COPY!$S$2:$AA$1000,6,FALSE)," ")</f>
        <v xml:space="preserve"> </v>
      </c>
      <c r="AF39" s="90" t="str">
        <f>IFERROR(VLOOKUP(A39&amp;"aaaaaaa",COPY!$S$2:$AA$1000,6,FALSE)," ")</f>
        <v xml:space="preserve"> </v>
      </c>
      <c r="AG39" s="90" t="str">
        <f>IFERROR(VLOOKUP(A39&amp;"aaaaaaaa",COPY!$S$2:$AA$1000,6,FALSE)," ")</f>
        <v xml:space="preserve"> </v>
      </c>
      <c r="AH39" s="90" t="str">
        <f>IFERROR(VLOOKUP(A39&amp;"aaaaaaaaa",COPY!$S$2:$AA$1000,6,FALSE)," ")</f>
        <v xml:space="preserve"> </v>
      </c>
      <c r="AI39" s="90" t="str">
        <f>IFERROR(VLOOKUP(A39&amp;"aaaaaaaaaa",COPY!$S$2:$AA$1000,6,FALSE)," ")</f>
        <v xml:space="preserve"> </v>
      </c>
      <c r="AJ39" s="90" t="str">
        <f>IFERROR(VLOOKUP(A39&amp;"aaaaaaaaaaa",COPY!$S$2:$AA$1000,6,FALSE)," ")</f>
        <v xml:space="preserve"> </v>
      </c>
      <c r="AK39" s="90" t="str">
        <f>IF(LEFT(B39,2)="mg",VLOOKUP(A39,COPY!$S$2:$AA$1000,7,FALSE),IF(LEFT(B39,1)="G"," ",IF(LEFT(B39,2)="ma"," "," ")))</f>
        <v>Pik Up</v>
      </c>
      <c r="AL39" s="90" t="str">
        <f>IFERROR(VLOOKUP(A39&amp;"a",COPY!$S$2:$AA$1000,7,FALSE)," ")</f>
        <v>Sak</v>
      </c>
      <c r="AM39" s="90" t="str">
        <f>IFERROR(VLOOKUP(A39&amp;"aa",COPY!$S$2:$AA$1000,7,FALSE)," ")</f>
        <v xml:space="preserve"> </v>
      </c>
      <c r="AN39" s="90" t="str">
        <f>IFERROR(VLOOKUP(A39&amp;"aaa",COPY!$S$2:$AA$1000,7,FALSE)," ")</f>
        <v xml:space="preserve"> </v>
      </c>
      <c r="AO39" s="90" t="str">
        <f>IFERROR(VLOOKUP(A39&amp;"aaaa",COPY!$S$2:$AA$1000,7,FALSE)," ")</f>
        <v xml:space="preserve"> </v>
      </c>
      <c r="AP39" s="90" t="str">
        <f>IFERROR(VLOOKUP(A39&amp;"aaaaa",COPY!$S$2:$AA$1000,7,FALSE)," ")</f>
        <v xml:space="preserve"> </v>
      </c>
      <c r="AQ39" s="90" t="str">
        <f>IFERROR(VLOOKUP(A39&amp;"aaaaaa",COPY!$S$2:$AA$1000,7,FALSE)," ")</f>
        <v xml:space="preserve"> </v>
      </c>
      <c r="AR39" s="90" t="str">
        <f>IFERROR(VLOOKUP(A39&amp;"aaaaaaa",COPY!$S$2:$AA$1000,7,FALSE)," ")</f>
        <v xml:space="preserve"> </v>
      </c>
      <c r="AS39" s="90" t="str">
        <f>IFERROR(VLOOKUP(A39&amp;"aaaaaaaa",COPY!$S$2:$AA$1000,7,FALSE)," ")</f>
        <v xml:space="preserve"> </v>
      </c>
      <c r="AT39" s="90" t="str">
        <f>IFERROR(VLOOKUP(A39&amp;"aaaaaaaaa",COPY!$S$2:$AA$1000,7,FALSE)," ")</f>
        <v xml:space="preserve"> </v>
      </c>
      <c r="AU39" s="90" t="str">
        <f>IFERROR(VLOOKUP(A39&amp;"aaaaaaaaaa",COPY!$S$2:$AA$1000,7,FALSE)," ")</f>
        <v xml:space="preserve"> </v>
      </c>
      <c r="AV39" s="90" t="str">
        <f>IFERROR(VLOOKUP(A39&amp;"aaaaaaaaaaa",COPY!$S$2:$AA$1000,7,FALSE)," ")</f>
        <v xml:space="preserve"> </v>
      </c>
    </row>
    <row r="40" spans="1:48" x14ac:dyDescent="0.2">
      <c r="A40" s="75" t="str">
        <f>'REKAP PAJAK'!W77</f>
        <v>BKK.39</v>
      </c>
      <c r="B40" s="75" t="str">
        <f>IF(LEN(A40)&gt;1,VLOOKUP(A40,COPY!$O$2:$R$1000,4,FALSE),"")</f>
        <v>Men6</v>
      </c>
      <c r="C40" s="75" t="str">
        <f t="shared" si="0"/>
        <v>MELIA FITRIANI, S.Pd.SD</v>
      </c>
      <c r="D40" s="75" t="str">
        <f t="shared" si="1"/>
        <v>NIP. 19850619 200904 2 000</v>
      </c>
      <c r="E40" s="75" t="str">
        <f t="shared" si="2"/>
        <v>ARIF NUR UDIN, S.Pd.SD</v>
      </c>
      <c r="F40" s="75" t="str">
        <f t="shared" si="3"/>
        <v>NIP. 19840719 200903 1 002</v>
      </c>
      <c r="G40" s="75" t="str">
        <f>IFERROR(TEXT(VLOOKUP(A40,COPY!$S$2:$W$1000,3,FALSE),"dd mmmm yyyy")," ")</f>
        <v>10 Oktober 2025</v>
      </c>
      <c r="H40" s="75" t="str">
        <f t="shared" si="4"/>
        <v>SDN 1 SIDODADI</v>
      </c>
      <c r="I40" s="75" t="str">
        <f t="shared" si="5"/>
        <v>NGANTANG</v>
      </c>
      <c r="J40" s="90">
        <f>IFERROR(VLOOKUP(A40,COPY!$S$2:$W$1000,4,FALSE)," ")</f>
        <v>420000</v>
      </c>
      <c r="K40" s="75" t="str">
        <f>IFERROR(VLOOKUP(A40,COPY!$S$2:$W$1000,5,FALSE)," ")</f>
        <v>Empat Ratus Dua Puluh Ribu Rupiah</v>
      </c>
      <c r="L40" s="75" t="str">
        <f>IF(B40="","",IF(LEFT(B40,2)="Ma",(VLOOKUP(B40,'Rekap Gaji'!$C$12:$D$26,2,FALSE))&amp;" Untuk "&amp;(PROPER('Rekap Gaji'!$B$2)),IF(LEFT(B40,2)="Mg","Pembelian Material Bahan Bangunan",IF(LEFT(B40,2)="Me","Biaya Pembelanjaan Menejemen",IF(LEFT(B40,1)="G",VLOOKUP(A40,COPY!$S$2:$AA$1000,2,FALSE)&amp;"( "&amp;TEXT(VLOOKUP(B40,'Rekap Gaji'!$A$12:$I$26,5,FALSE),"dd-mm-yyyy")&amp;" "&amp;TEXT(VLOOKUP(B40,'Rekap Gaji'!$A$12:$I$26,6,FALSE)&amp;" "&amp;TEXT(VLOOKUP(B40,'Rekap Gaji'!$A$12:$I$26,7,FALSE),"dd-mm-yyyy")&amp;" )"," "))))))</f>
        <v>Biaya Pembelanjaan Menejemen</v>
      </c>
      <c r="M40" s="75" t="str">
        <f>IF(OR(LEFT(B40,2)="mg",LEFT(B40,2)="mE"),VLOOKUP(A40,COPY!$S$2:$AA$1000,2,FALSE),IF(LEFT(B40,1)="G"," ",IF(LEFT(B40,2)="ma"," "," ")))</f>
        <v>Kosumsi Rapat Peninjauan 75%</v>
      </c>
      <c r="N40" s="75" t="str">
        <f>IFERROR(VLOOKUP($A$40&amp;"a",COPY!$S$2:$AA$1000,2,FALSE)," ")</f>
        <v xml:space="preserve"> </v>
      </c>
      <c r="O40" s="75" t="str">
        <f>IFERROR(VLOOKUP($A$40&amp;"aa",COPY!$S$2:$AA$1000,2,FALSE)," ")</f>
        <v xml:space="preserve"> </v>
      </c>
      <c r="P40" s="75" t="str">
        <f>IFERROR(VLOOKUP($A$40&amp;"aaa",COPY!$S$2:$AA$1000,2,FALSE)," ")</f>
        <v xml:space="preserve"> </v>
      </c>
      <c r="Q40" s="75" t="str">
        <f>IFERROR(VLOOKUP($A$40&amp;"aaaa",COPY!$S$2:$AA$1000,2,FALSE)," ")</f>
        <v xml:space="preserve"> </v>
      </c>
      <c r="R40" s="75" t="str">
        <f>IFERROR(VLOOKUP($A$40&amp;"aaaaa",COPY!$S$2:$AA$1000,2,FALSE)," ")</f>
        <v xml:space="preserve"> </v>
      </c>
      <c r="S40" s="75" t="str">
        <f>IFERROR(VLOOKUP($A$40&amp;"aaaaaa",COPY!$S$2:$AA$1000,2,FALSE)," ")</f>
        <v xml:space="preserve"> </v>
      </c>
      <c r="T40" s="75" t="str">
        <f>IFERROR(VLOOKUP($A$40&amp;"aaaaaaa",COPY!$S$2:$AA$1000,2,FALSE)," ")</f>
        <v xml:space="preserve"> </v>
      </c>
      <c r="U40" s="75" t="str">
        <f>IFERROR(VLOOKUP($A$40&amp;"aaaaaaaa",COPY!$S$2:$AA$1000,2,FALSE)," ")</f>
        <v xml:space="preserve"> </v>
      </c>
      <c r="V40" s="75" t="str">
        <f>IFERROR(VLOOKUP($A$40&amp;"aaaaaaaaa",COPY!$S$2:$AA$1000,2,FALSE)," ")</f>
        <v xml:space="preserve"> </v>
      </c>
      <c r="W40" s="75" t="str">
        <f>IFERROR(VLOOKUP($A$40&amp;"aaaaaaaaaa",COPY!$S$2:$AA$1000,2,FALSE)," ")</f>
        <v xml:space="preserve"> </v>
      </c>
      <c r="X40" s="75" t="str">
        <f>IFERROR(VLOOKUP($A$40&amp;"aaaaaaaaaaa",COPY!$S$2:$AA$1000,2,FALSE)," ")</f>
        <v xml:space="preserve"> </v>
      </c>
      <c r="Y40" s="90">
        <f>IF(OR(LEFT(B40,2)="mg",LEFT(B40,2)="mE"),VLOOKUP(A40,COPY!$S$2:$AA$1000,6,FALSE),IF(LEFT(B40,1)="G"," ",IF(LEFT(B40,2)="ma"," "," ")))</f>
        <v>14</v>
      </c>
      <c r="Z40" s="90" t="str">
        <f>IFERROR(VLOOKUP(A40&amp;"a",COPY!$S$2:$AA$1000,6,FALSE)," ")</f>
        <v xml:space="preserve"> </v>
      </c>
      <c r="AA40" s="90" t="str">
        <f>IFERROR(VLOOKUP(A40&amp;"aa",COPY!$S$2:$AA$1000,6,FALSE)," ")</f>
        <v xml:space="preserve"> </v>
      </c>
      <c r="AB40" s="90" t="str">
        <f>IFERROR(VLOOKUP(A40&amp;"aaa",COPY!$S$2:$AA$1000,6,FALSE)," ")</f>
        <v xml:space="preserve"> </v>
      </c>
      <c r="AC40" s="90" t="str">
        <f>IFERROR(VLOOKUP(A40&amp;"aaaa",COPY!$S$2:$AA$1000,6,FALSE)," ")</f>
        <v xml:space="preserve"> </v>
      </c>
      <c r="AD40" s="90" t="str">
        <f>IFERROR(VLOOKUP(A40&amp;"aaaaa",COPY!$S$2:$AA$1000,6,FALSE)," ")</f>
        <v xml:space="preserve"> </v>
      </c>
      <c r="AE40" s="90" t="str">
        <f>IFERROR(VLOOKUP(A40&amp;"aaaaaa",COPY!$S$2:$AA$1000,6,FALSE)," ")</f>
        <v xml:space="preserve"> </v>
      </c>
      <c r="AF40" s="90" t="str">
        <f>IFERROR(VLOOKUP(A40&amp;"aaaaaaa",COPY!$S$2:$AA$1000,6,FALSE)," ")</f>
        <v xml:space="preserve"> </v>
      </c>
      <c r="AG40" s="90" t="str">
        <f>IFERROR(VLOOKUP(A40&amp;"aaaaaaaa",COPY!$S$2:$AA$1000,6,FALSE)," ")</f>
        <v xml:space="preserve"> </v>
      </c>
      <c r="AH40" s="90" t="str">
        <f>IFERROR(VLOOKUP(A40&amp;"aaaaaaaaa",COPY!$S$2:$AA$1000,6,FALSE)," ")</f>
        <v xml:space="preserve"> </v>
      </c>
      <c r="AI40" s="90" t="str">
        <f>IFERROR(VLOOKUP(A40&amp;"aaaaaaaaaa",COPY!$S$2:$AA$1000,6,FALSE)," ")</f>
        <v xml:space="preserve"> </v>
      </c>
      <c r="AJ40" s="90" t="str">
        <f>IFERROR(VLOOKUP(A40&amp;"aaaaaaaaaaa",COPY!$S$2:$AA$1000,6,FALSE)," ")</f>
        <v xml:space="preserve"> </v>
      </c>
      <c r="AK40" s="90" t="str">
        <f>IF(LEFT(B40,2)="mg",VLOOKUP(A40,COPY!$S$2:$AA$1000,7,FALSE),IF(LEFT(B40,1)="G"," ",IF(LEFT(B40,2)="ma"," "," ")))</f>
        <v xml:space="preserve"> </v>
      </c>
      <c r="AL40" s="90" t="str">
        <f>IFERROR(VLOOKUP(A40&amp;"a",COPY!$S$2:$AA$1000,7,FALSE)," ")</f>
        <v xml:space="preserve"> </v>
      </c>
      <c r="AM40" s="90" t="str">
        <f>IFERROR(VLOOKUP(A40&amp;"aa",COPY!$S$2:$AA$1000,7,FALSE)," ")</f>
        <v xml:space="preserve"> </v>
      </c>
      <c r="AN40" s="90" t="str">
        <f>IFERROR(VLOOKUP(A40&amp;"aaa",COPY!$S$2:$AA$1000,7,FALSE)," ")</f>
        <v xml:space="preserve"> </v>
      </c>
      <c r="AO40" s="90" t="str">
        <f>IFERROR(VLOOKUP(A40&amp;"aaaa",COPY!$S$2:$AA$1000,7,FALSE)," ")</f>
        <v xml:space="preserve"> </v>
      </c>
      <c r="AP40" s="90" t="str">
        <f>IFERROR(VLOOKUP(A40&amp;"aaaaa",COPY!$S$2:$AA$1000,7,FALSE)," ")</f>
        <v xml:space="preserve"> </v>
      </c>
      <c r="AQ40" s="90" t="str">
        <f>IFERROR(VLOOKUP(A40&amp;"aaaaaa",COPY!$S$2:$AA$1000,7,FALSE)," ")</f>
        <v xml:space="preserve"> </v>
      </c>
      <c r="AR40" s="90" t="str">
        <f>IFERROR(VLOOKUP(A40&amp;"aaaaaaa",COPY!$S$2:$AA$1000,7,FALSE)," ")</f>
        <v xml:space="preserve"> </v>
      </c>
      <c r="AS40" s="90" t="str">
        <f>IFERROR(VLOOKUP(A40&amp;"aaaaaaaa",COPY!$S$2:$AA$1000,7,FALSE)," ")</f>
        <v xml:space="preserve"> </v>
      </c>
      <c r="AT40" s="90" t="str">
        <f>IFERROR(VLOOKUP(A40&amp;"aaaaaaaaa",COPY!$S$2:$AA$1000,7,FALSE)," ")</f>
        <v xml:space="preserve"> </v>
      </c>
      <c r="AU40" s="90" t="str">
        <f>IFERROR(VLOOKUP(A40&amp;"aaaaaaaaaa",COPY!$S$2:$AA$1000,7,FALSE)," ")</f>
        <v xml:space="preserve"> </v>
      </c>
      <c r="AV40" s="90" t="str">
        <f>IFERROR(VLOOKUP(A40&amp;"aaaaaaaaaaa",COPY!$S$2:$AA$1000,7,FALSE)," ")</f>
        <v xml:space="preserve"> </v>
      </c>
    </row>
    <row r="41" spans="1:48" x14ac:dyDescent="0.2">
      <c r="A41" s="75" t="str">
        <f>'REKAP PAJAK'!W78</f>
        <v>BKK.40</v>
      </c>
      <c r="B41" s="75" t="str">
        <f>IF(LEN(A41)&gt;1,VLOOKUP(A41,COPY!$O$2:$R$1000,4,FALSE),"")</f>
        <v>Mgg6</v>
      </c>
      <c r="C41" s="75" t="str">
        <f t="shared" si="0"/>
        <v>MELIA FITRIANI, S.Pd.SD</v>
      </c>
      <c r="D41" s="75" t="str">
        <f t="shared" si="1"/>
        <v>NIP. 19850619 200904 2 000</v>
      </c>
      <c r="E41" s="75" t="str">
        <f t="shared" si="2"/>
        <v>ARIF NUR UDIN, S.Pd.SD</v>
      </c>
      <c r="F41" s="75" t="str">
        <f t="shared" si="3"/>
        <v>NIP. 19840719 200903 1 002</v>
      </c>
      <c r="G41" s="75" t="str">
        <f>IFERROR(TEXT(VLOOKUP(A41,COPY!$S$2:$W$1000,3,FALSE),"dd mmmm yyyy")," ")</f>
        <v>11 Oktober 2025</v>
      </c>
      <c r="H41" s="75" t="str">
        <f t="shared" si="4"/>
        <v>SDN 1 SIDODADI</v>
      </c>
      <c r="I41" s="75" t="str">
        <f t="shared" si="5"/>
        <v>NGANTANG</v>
      </c>
      <c r="J41" s="90">
        <f>IFERROR(VLOOKUP(A41,COPY!$S$2:$W$1000,4,FALSE)," ")</f>
        <v>1950000</v>
      </c>
      <c r="K41" s="75" t="str">
        <f>IFERROR(VLOOKUP(A41,COPY!$S$2:$W$1000,5,FALSE)," ")</f>
        <v>Satu Juta Sembilan Ratus Lima Puluh Ribu Rupiah</v>
      </c>
      <c r="L41" s="75" t="str">
        <f>IF(B41="","",IF(LEFT(B41,2)="Ma",(VLOOKUP(B41,'Rekap Gaji'!$C$12:$D$26,2,FALSE))&amp;" Untuk "&amp;(PROPER('Rekap Gaji'!$B$2)),IF(LEFT(B41,2)="Mg","Pembelian Material Bahan Bangunan",IF(LEFT(B41,2)="Me","Biaya Pembelanjaan Menejemen",IF(LEFT(B41,1)="G",VLOOKUP(A41,COPY!$S$2:$AA$1000,2,FALSE)&amp;"( "&amp;TEXT(VLOOKUP(B41,'Rekap Gaji'!$A$12:$I$26,5,FALSE),"dd-mm-yyyy")&amp;" "&amp;TEXT(VLOOKUP(B41,'Rekap Gaji'!$A$12:$I$26,6,FALSE)&amp;" "&amp;TEXT(VLOOKUP(B41,'Rekap Gaji'!$A$12:$I$26,7,FALSE),"dd-mm-yyyy")&amp;" )"," "))))))</f>
        <v>Pembelian Material Bahan Bangunan</v>
      </c>
      <c r="M41" s="75" t="str">
        <f>IF(OR(LEFT(B41,2)="mg",LEFT(B41,2)="mE"),VLOOKUP(A41,COPY!$S$2:$AA$1000,2,FALSE),IF(LEFT(B41,1)="G"," ",IF(LEFT(B41,2)="ma"," "," ")))</f>
        <v>Pasir Biasa L300</v>
      </c>
      <c r="N41" s="75" t="str">
        <f>IFERROR(VLOOKUP($A$41&amp;"a",COPY!$S$2:$AA$1000,2,FALSE)," ")</f>
        <v>Koral L300</v>
      </c>
      <c r="O41" s="75" t="str">
        <f>IFERROR(VLOOKUP($A$41&amp;"aa",COPY!$S$2:$AA$1000,2,FALSE)," ")</f>
        <v>Semen 3 Roda</v>
      </c>
      <c r="P41" s="75" t="str">
        <f>IFERROR(VLOOKUP($A$41&amp;"aaa",COPY!$S$2:$AA$1000,2,FALSE)," ")</f>
        <v>Avour Lantai PVC</v>
      </c>
      <c r="Q41" s="75" t="str">
        <f>IFERROR(VLOOKUP($A$41&amp;"aaaa",COPY!$S$2:$AA$1000,2,FALSE)," ")</f>
        <v xml:space="preserve"> </v>
      </c>
      <c r="R41" s="75" t="str">
        <f>IFERROR(VLOOKUP($A$41&amp;"aaaaa",COPY!$S$2:$AA$1000,2,FALSE)," ")</f>
        <v xml:space="preserve"> </v>
      </c>
      <c r="S41" s="75" t="str">
        <f>IFERROR(VLOOKUP($A$41&amp;"aaaaaa",COPY!$S$2:$AA$1000,2,FALSE)," ")</f>
        <v xml:space="preserve"> </v>
      </c>
      <c r="T41" s="75" t="str">
        <f>IFERROR(VLOOKUP($A$41&amp;"aaaaaaa",COPY!$S$2:$AA$1000,2,FALSE)," ")</f>
        <v xml:space="preserve"> </v>
      </c>
      <c r="U41" s="75" t="str">
        <f>IFERROR(VLOOKUP($A$41&amp;"aaaaaaaa",COPY!$S$2:$AA$1000,2,FALSE)," ")</f>
        <v xml:space="preserve"> </v>
      </c>
      <c r="V41" s="75" t="str">
        <f>IFERROR(VLOOKUP($A$41&amp;"aaaaaaaaa",COPY!$S$2:$AA$1000,2,FALSE)," ")</f>
        <v xml:space="preserve"> </v>
      </c>
      <c r="W41" s="75" t="str">
        <f>IFERROR(VLOOKUP($A$41&amp;"aaaaaaaaaa",COPY!$S$2:$AA$1000,2,FALSE)," ")</f>
        <v xml:space="preserve"> </v>
      </c>
      <c r="X41" s="75" t="str">
        <f>IFERROR(VLOOKUP($A$41&amp;"aaaaaaaaaaa",COPY!$S$2:$AA$1000,2,FALSE)," ")</f>
        <v xml:space="preserve"> </v>
      </c>
      <c r="Y41" s="90">
        <f>IF(OR(LEFT(B41,2)="mg",LEFT(B41,2)="mE"),VLOOKUP(A41,COPY!$S$2:$AA$1000,6,FALSE),IF(LEFT(B41,1)="G"," ",IF(LEFT(B41,2)="ma"," "," ")))</f>
        <v>2</v>
      </c>
      <c r="Z41" s="90">
        <f>IFERROR(VLOOKUP(A41&amp;"a",COPY!$S$2:$AA$1000,6,FALSE)," ")</f>
        <v>1</v>
      </c>
      <c r="AA41" s="90">
        <f>IFERROR(VLOOKUP(A41&amp;"aa",COPY!$S$2:$AA$1000,6,FALSE)," ")</f>
        <v>15</v>
      </c>
      <c r="AB41" s="90">
        <f>IFERROR(VLOOKUP(A41&amp;"aaa",COPY!$S$2:$AA$1000,6,FALSE)," ")</f>
        <v>8</v>
      </c>
      <c r="AC41" s="90" t="str">
        <f>IFERROR(VLOOKUP(A41&amp;"aaaa",COPY!$S$2:$AA$1000,6,FALSE)," ")</f>
        <v xml:space="preserve"> </v>
      </c>
      <c r="AD41" s="90" t="str">
        <f>IFERROR(VLOOKUP(A41&amp;"aaaaa",COPY!$S$2:$AA$1000,6,FALSE)," ")</f>
        <v xml:space="preserve"> </v>
      </c>
      <c r="AE41" s="90" t="str">
        <f>IFERROR(VLOOKUP(A41&amp;"aaaaaa",COPY!$S$2:$AA$1000,6,FALSE)," ")</f>
        <v xml:space="preserve"> </v>
      </c>
      <c r="AF41" s="90" t="str">
        <f>IFERROR(VLOOKUP(A41&amp;"aaaaaaa",COPY!$S$2:$AA$1000,6,FALSE)," ")</f>
        <v xml:space="preserve"> </v>
      </c>
      <c r="AG41" s="90" t="str">
        <f>IFERROR(VLOOKUP(A41&amp;"aaaaaaaa",COPY!$S$2:$AA$1000,6,FALSE)," ")</f>
        <v xml:space="preserve"> </v>
      </c>
      <c r="AH41" s="90" t="str">
        <f>IFERROR(VLOOKUP(A41&amp;"aaaaaaaaa",COPY!$S$2:$AA$1000,6,FALSE)," ")</f>
        <v xml:space="preserve"> </v>
      </c>
      <c r="AI41" s="90" t="str">
        <f>IFERROR(VLOOKUP(A41&amp;"aaaaaaaaaa",COPY!$S$2:$AA$1000,6,FALSE)," ")</f>
        <v xml:space="preserve"> </v>
      </c>
      <c r="AJ41" s="90" t="str">
        <f>IFERROR(VLOOKUP(A41&amp;"aaaaaaaaaaa",COPY!$S$2:$AA$1000,6,FALSE)," ")</f>
        <v xml:space="preserve"> </v>
      </c>
      <c r="AK41" s="90" t="str">
        <f>IF(LEFT(B41,2)="mg",VLOOKUP(A41,COPY!$S$2:$AA$1000,7,FALSE),IF(LEFT(B41,1)="G"," ",IF(LEFT(B41,2)="ma"," "," ")))</f>
        <v>Pik Up</v>
      </c>
      <c r="AL41" s="90" t="str">
        <f>IFERROR(VLOOKUP(A41&amp;"a",COPY!$S$2:$AA$1000,7,FALSE)," ")</f>
        <v>Pik Up</v>
      </c>
      <c r="AM41" s="90" t="str">
        <f>IFERROR(VLOOKUP(A41&amp;"aa",COPY!$S$2:$AA$1000,7,FALSE)," ")</f>
        <v>Sak</v>
      </c>
      <c r="AN41" s="90" t="str">
        <f>IFERROR(VLOOKUP(A41&amp;"aaa",COPY!$S$2:$AA$1000,7,FALSE)," ")</f>
        <v>Pcs</v>
      </c>
      <c r="AO41" s="90" t="str">
        <f>IFERROR(VLOOKUP(A41&amp;"aaaa",COPY!$S$2:$AA$1000,7,FALSE)," ")</f>
        <v xml:space="preserve"> </v>
      </c>
      <c r="AP41" s="90" t="str">
        <f>IFERROR(VLOOKUP(A41&amp;"aaaaa",COPY!$S$2:$AA$1000,7,FALSE)," ")</f>
        <v xml:space="preserve"> </v>
      </c>
      <c r="AQ41" s="90" t="str">
        <f>IFERROR(VLOOKUP(A41&amp;"aaaaaa",COPY!$S$2:$AA$1000,7,FALSE)," ")</f>
        <v xml:space="preserve"> </v>
      </c>
      <c r="AR41" s="90" t="str">
        <f>IFERROR(VLOOKUP(A41&amp;"aaaaaaa",COPY!$S$2:$AA$1000,7,FALSE)," ")</f>
        <v xml:space="preserve"> </v>
      </c>
      <c r="AS41" s="90" t="str">
        <f>IFERROR(VLOOKUP(A41&amp;"aaaaaaaa",COPY!$S$2:$AA$1000,7,FALSE)," ")</f>
        <v xml:space="preserve"> </v>
      </c>
      <c r="AT41" s="90" t="str">
        <f>IFERROR(VLOOKUP(A41&amp;"aaaaaaaaa",COPY!$S$2:$AA$1000,7,FALSE)," ")</f>
        <v xml:space="preserve"> </v>
      </c>
      <c r="AU41" s="90" t="str">
        <f>IFERROR(VLOOKUP(A41&amp;"aaaaaaaaaa",COPY!$S$2:$AA$1000,7,FALSE)," ")</f>
        <v xml:space="preserve"> </v>
      </c>
      <c r="AV41" s="90" t="str">
        <f>IFERROR(VLOOKUP(A41&amp;"aaaaaaaaaaa",COPY!$S$2:$AA$1000,7,FALSE)," ")</f>
        <v xml:space="preserve"> </v>
      </c>
    </row>
    <row r="42" spans="1:48" x14ac:dyDescent="0.2">
      <c r="A42" s="75" t="str">
        <f>'REKAP PAJAK'!W79</f>
        <v>BKK.41</v>
      </c>
      <c r="B42" s="75" t="str">
        <f>IF(LEN(A42)&gt;1,VLOOKUP(A42,COPY!$O$2:$R$1000,4,FALSE),"")</f>
        <v>Gaj6</v>
      </c>
      <c r="C42" s="75" t="str">
        <f t="shared" si="0"/>
        <v>MELIA FITRIANI, S.Pd.SD</v>
      </c>
      <c r="D42" s="75" t="str">
        <f t="shared" si="1"/>
        <v>NIP. 19850619 200904 2 000</v>
      </c>
      <c r="E42" s="75" t="str">
        <f t="shared" si="2"/>
        <v>ARIF NUR UDIN, S.Pd.SD</v>
      </c>
      <c r="F42" s="75" t="str">
        <f t="shared" si="3"/>
        <v>NIP. 19840719 200903 1 002</v>
      </c>
      <c r="G42" s="75" t="str">
        <f>IFERROR(TEXT(VLOOKUP(A42,COPY!$S$2:$W$1000,3,FALSE),"dd mmmm yyyy")," ")</f>
        <v>11 Oktober 2025</v>
      </c>
      <c r="H42" s="75" t="str">
        <f t="shared" si="4"/>
        <v>SDN 1 SIDODADI</v>
      </c>
      <c r="I42" s="75" t="str">
        <f t="shared" si="5"/>
        <v>NGANTANG</v>
      </c>
      <c r="J42" s="90">
        <f>IFERROR(VLOOKUP(A42,COPY!$S$2:$W$1000,4,FALSE)," ")</f>
        <v>5350000</v>
      </c>
      <c r="K42" s="75" t="str">
        <f>IFERROR(VLOOKUP(A42,COPY!$S$2:$W$1000,5,FALSE)," ")</f>
        <v>Lima Juta Tiga Ratus Lima Puluh Ribu Rupiah</v>
      </c>
      <c r="L42" s="75" t="str">
        <f>IF(B42="","",IF(LEFT(B42,2)="Ma",(VLOOKUP(B42,'Rekap Gaji'!$C$12:$D$26,2,FALSE))&amp;" Untuk "&amp;(PROPER('Rekap Gaji'!$B$2)),IF(LEFT(B42,2)="Mg","Pembelian Material Bahan Bangunan",IF(LEFT(B42,2)="Me","Biaya Pembelanjaan Menejemen",IF(LEFT(B42,1)="G",VLOOKUP(A42,COPY!$S$2:$AA$1000,2,FALSE)&amp;"( "&amp;TEXT(VLOOKUP(B42,'Rekap Gaji'!$A$12:$I$26,5,FALSE),"dd-mm-yyyy")&amp;" "&amp;TEXT(VLOOKUP(B42,'Rekap Gaji'!$A$12:$I$26,6,FALSE)&amp;" "&amp;TEXT(VLOOKUP(B42,'Rekap Gaji'!$A$12:$I$26,7,FALSE),"dd-mm-yyyy")&amp;" )"," "))))))</f>
        <v>Pembayaran Pekerja Minggu Ke 6( 05-10-2025 s/d 11-10-2025 )</v>
      </c>
      <c r="M42" s="75" t="str">
        <f>IF(OR(LEFT(B42,2)="mg",LEFT(B42,2)="mE"),VLOOKUP(A42,COPY!$S$2:$AA$1000,2,FALSE),IF(LEFT(B42,1)="G"," ",IF(LEFT(B42,2)="ma"," "," ")))</f>
        <v xml:space="preserve"> </v>
      </c>
      <c r="N42" s="75" t="str">
        <f>IFERROR(VLOOKUP($A$42&amp;"a",COPY!$S$2:$AA$1000,2,FALSE)," ")</f>
        <v xml:space="preserve"> </v>
      </c>
      <c r="O42" s="75" t="str">
        <f>IFERROR(VLOOKUP($A$42&amp;"aa",COPY!$S$2:$AA$1000,2,FALSE)," ")</f>
        <v xml:space="preserve"> </v>
      </c>
      <c r="P42" s="75" t="str">
        <f>IFERROR(VLOOKUP($A$42&amp;"aaa",COPY!$S$2:$AA$1000,2,FALSE)," ")</f>
        <v xml:space="preserve"> </v>
      </c>
      <c r="Q42" s="75" t="str">
        <f>IFERROR(VLOOKUP($A$42&amp;"aaaa",COPY!$S$2:$AA$1000,2,FALSE)," ")</f>
        <v xml:space="preserve"> </v>
      </c>
      <c r="R42" s="75" t="str">
        <f>IFERROR(VLOOKUP($A$42&amp;"aaaaa",COPY!$S$2:$AA$1000,2,FALSE)," ")</f>
        <v xml:space="preserve"> </v>
      </c>
      <c r="S42" s="75" t="str">
        <f>IFERROR(VLOOKUP($A$42&amp;"aaaaaa",COPY!$S$2:$AA$1000,2,FALSE)," ")</f>
        <v xml:space="preserve"> </v>
      </c>
      <c r="T42" s="75" t="str">
        <f>IFERROR(VLOOKUP($A$42&amp;"aaaaaaa",COPY!$S$2:$AA$1000,2,FALSE)," ")</f>
        <v xml:space="preserve"> </v>
      </c>
      <c r="U42" s="75" t="str">
        <f>IFERROR(VLOOKUP($A$42&amp;"aaaaaaaa",COPY!$S$2:$AA$1000,2,FALSE)," ")</f>
        <v xml:space="preserve"> </v>
      </c>
      <c r="V42" s="75" t="str">
        <f>IFERROR(VLOOKUP($A$42&amp;"aaaaaaaaa",COPY!$S$2:$AA$1000,2,FALSE)," ")</f>
        <v xml:space="preserve"> </v>
      </c>
      <c r="W42" s="75" t="str">
        <f>IFERROR(VLOOKUP($A$42&amp;"aaaaaaaaaa",COPY!$S$2:$AA$1000,2,FALSE)," ")</f>
        <v xml:space="preserve"> </v>
      </c>
      <c r="X42" s="75" t="str">
        <f>IFERROR(VLOOKUP($A$42&amp;"aaaaaaaaaaa",COPY!$S$2:$AA$1000,2,FALSE)," ")</f>
        <v xml:space="preserve"> </v>
      </c>
      <c r="Y42" s="90" t="str">
        <f>IF(OR(LEFT(B42,2)="mg",LEFT(B42,2)="mE"),VLOOKUP(A42,COPY!$S$2:$AA$1000,6,FALSE),IF(LEFT(B42,1)="G"," ",IF(LEFT(B42,2)="ma"," "," ")))</f>
        <v xml:space="preserve"> </v>
      </c>
      <c r="Z42" s="90" t="str">
        <f>IFERROR(VLOOKUP(A42&amp;"a",COPY!$S$2:$AA$1000,6,FALSE)," ")</f>
        <v xml:space="preserve"> </v>
      </c>
      <c r="AA42" s="90" t="str">
        <f>IFERROR(VLOOKUP(A42&amp;"aa",COPY!$S$2:$AA$1000,6,FALSE)," ")</f>
        <v xml:space="preserve"> </v>
      </c>
      <c r="AB42" s="90" t="str">
        <f>IFERROR(VLOOKUP(A42&amp;"aaa",COPY!$S$2:$AA$1000,6,FALSE)," ")</f>
        <v xml:space="preserve"> </v>
      </c>
      <c r="AC42" s="90" t="str">
        <f>IFERROR(VLOOKUP(A42&amp;"aaaa",COPY!$S$2:$AA$1000,6,FALSE)," ")</f>
        <v xml:space="preserve"> </v>
      </c>
      <c r="AD42" s="90" t="str">
        <f>IFERROR(VLOOKUP(A42&amp;"aaaaa",COPY!$S$2:$AA$1000,6,FALSE)," ")</f>
        <v xml:space="preserve"> </v>
      </c>
      <c r="AE42" s="90" t="str">
        <f>IFERROR(VLOOKUP(A42&amp;"aaaaaa",COPY!$S$2:$AA$1000,6,FALSE)," ")</f>
        <v xml:space="preserve"> </v>
      </c>
      <c r="AF42" s="90" t="str">
        <f>IFERROR(VLOOKUP(A42&amp;"aaaaaaa",COPY!$S$2:$AA$1000,6,FALSE)," ")</f>
        <v xml:space="preserve"> </v>
      </c>
      <c r="AG42" s="90" t="str">
        <f>IFERROR(VLOOKUP(A42&amp;"aaaaaaaa",COPY!$S$2:$AA$1000,6,FALSE)," ")</f>
        <v xml:space="preserve"> </v>
      </c>
      <c r="AH42" s="90" t="str">
        <f>IFERROR(VLOOKUP(A42&amp;"aaaaaaaaa",COPY!$S$2:$AA$1000,6,FALSE)," ")</f>
        <v xml:space="preserve"> </v>
      </c>
      <c r="AI42" s="90" t="str">
        <f>IFERROR(VLOOKUP(A42&amp;"aaaaaaaaaa",COPY!$S$2:$AA$1000,6,FALSE)," ")</f>
        <v xml:space="preserve"> </v>
      </c>
      <c r="AJ42" s="90" t="str">
        <f>IFERROR(VLOOKUP(A42&amp;"aaaaaaaaaaa",COPY!$S$2:$AA$1000,6,FALSE)," ")</f>
        <v xml:space="preserve"> </v>
      </c>
      <c r="AK42" s="90" t="str">
        <f>IF(LEFT(B42,2)="mg",VLOOKUP(A42,COPY!$S$2:$AA$1000,7,FALSE),IF(LEFT(B42,1)="G"," ",IF(LEFT(B42,2)="ma"," "," ")))</f>
        <v xml:space="preserve"> </v>
      </c>
      <c r="AL42" s="90" t="str">
        <f>IFERROR(VLOOKUP(A42&amp;"a",COPY!$S$2:$AA$1000,7,FALSE)," ")</f>
        <v xml:space="preserve"> </v>
      </c>
      <c r="AM42" s="90" t="str">
        <f>IFERROR(VLOOKUP(A42&amp;"aa",COPY!$S$2:$AA$1000,7,FALSE)," ")</f>
        <v xml:space="preserve"> </v>
      </c>
      <c r="AN42" s="90" t="str">
        <f>IFERROR(VLOOKUP(A42&amp;"aaa",COPY!$S$2:$AA$1000,7,FALSE)," ")</f>
        <v xml:space="preserve"> </v>
      </c>
      <c r="AO42" s="90" t="str">
        <f>IFERROR(VLOOKUP(A42&amp;"aaaa",COPY!$S$2:$AA$1000,7,FALSE)," ")</f>
        <v xml:space="preserve"> </v>
      </c>
      <c r="AP42" s="90" t="str">
        <f>IFERROR(VLOOKUP(A42&amp;"aaaaa",COPY!$S$2:$AA$1000,7,FALSE)," ")</f>
        <v xml:space="preserve"> </v>
      </c>
      <c r="AQ42" s="90" t="str">
        <f>IFERROR(VLOOKUP(A42&amp;"aaaaaa",COPY!$S$2:$AA$1000,7,FALSE)," ")</f>
        <v xml:space="preserve"> </v>
      </c>
      <c r="AR42" s="90" t="str">
        <f>IFERROR(VLOOKUP(A42&amp;"aaaaaaa",COPY!$S$2:$AA$1000,7,FALSE)," ")</f>
        <v xml:space="preserve"> </v>
      </c>
      <c r="AS42" s="90" t="str">
        <f>IFERROR(VLOOKUP(A42&amp;"aaaaaaaa",COPY!$S$2:$AA$1000,7,FALSE)," ")</f>
        <v xml:space="preserve"> </v>
      </c>
      <c r="AT42" s="90" t="str">
        <f>IFERROR(VLOOKUP(A42&amp;"aaaaaaaaa",COPY!$S$2:$AA$1000,7,FALSE)," ")</f>
        <v xml:space="preserve"> </v>
      </c>
      <c r="AU42" s="90" t="str">
        <f>IFERROR(VLOOKUP(A42&amp;"aaaaaaaaaa",COPY!$S$2:$AA$1000,7,FALSE)," ")</f>
        <v xml:space="preserve"> </v>
      </c>
      <c r="AV42" s="90" t="str">
        <f>IFERROR(VLOOKUP(A42&amp;"aaaaaaaaaaa",COPY!$S$2:$AA$1000,7,FALSE)," ")</f>
        <v xml:space="preserve"> </v>
      </c>
    </row>
    <row r="43" spans="1:48" x14ac:dyDescent="0.2">
      <c r="A43" s="75" t="str">
        <f>'REKAP PAJAK'!W80</f>
        <v>BKK.42</v>
      </c>
      <c r="B43" s="75" t="str">
        <f>IF(LEN(A43)&gt;1,VLOOKUP(A43,COPY!$O$2:$R$1000,4,FALSE),"")</f>
        <v>Mgg7</v>
      </c>
      <c r="C43" s="75" t="str">
        <f t="shared" si="0"/>
        <v>MELIA FITRIANI, S.Pd.SD</v>
      </c>
      <c r="D43" s="75" t="str">
        <f t="shared" si="1"/>
        <v>NIP. 19850619 200904 2 000</v>
      </c>
      <c r="E43" s="75" t="str">
        <f t="shared" si="2"/>
        <v>ARIF NUR UDIN, S.Pd.SD</v>
      </c>
      <c r="F43" s="75" t="str">
        <f t="shared" si="3"/>
        <v>NIP. 19840719 200903 1 002</v>
      </c>
      <c r="G43" s="75" t="str">
        <f>IFERROR(TEXT(VLOOKUP(A43,COPY!$S$2:$W$1000,3,FALSE),"dd mmmm yyyy")," ")</f>
        <v>13 Oktober 2025</v>
      </c>
      <c r="H43" s="75" t="str">
        <f t="shared" si="4"/>
        <v>SDN 1 SIDODADI</v>
      </c>
      <c r="I43" s="75" t="str">
        <f t="shared" si="5"/>
        <v>NGANTANG</v>
      </c>
      <c r="J43" s="90">
        <f>IFERROR(VLOOKUP(A43,COPY!$S$2:$W$1000,4,FALSE)," ")</f>
        <v>1965000</v>
      </c>
      <c r="K43" s="75" t="str">
        <f>IFERROR(VLOOKUP(A43,COPY!$S$2:$W$1000,5,FALSE)," ")</f>
        <v>Satu Juta Sembilan Ratus Enam Puluh Lima Ribu Rupiah</v>
      </c>
      <c r="L43" s="75" t="str">
        <f>IF(B43="","",IF(LEFT(B43,2)="Ma",(VLOOKUP(B43,'Rekap Gaji'!$C$12:$D$26,2,FALSE))&amp;" Untuk "&amp;(PROPER('Rekap Gaji'!$B$2)),IF(LEFT(B43,2)="Mg","Pembelian Material Bahan Bangunan",IF(LEFT(B43,2)="Me","Biaya Pembelanjaan Menejemen",IF(LEFT(B43,1)="G",VLOOKUP(A43,COPY!$S$2:$AA$1000,2,FALSE)&amp;"( "&amp;TEXT(VLOOKUP(B43,'Rekap Gaji'!$A$12:$I$26,5,FALSE),"dd-mm-yyyy")&amp;" "&amp;TEXT(VLOOKUP(B43,'Rekap Gaji'!$A$12:$I$26,6,FALSE)&amp;" "&amp;TEXT(VLOOKUP(B43,'Rekap Gaji'!$A$12:$I$26,7,FALSE),"dd-mm-yyyy")&amp;" )"," "))))))</f>
        <v>Pembelian Material Bahan Bangunan</v>
      </c>
      <c r="M43" s="75" t="str">
        <f>IF(OR(LEFT(B43,2)="mg",LEFT(B43,2)="mE"),VLOOKUP(A43,COPY!$S$2:$AA$1000,2,FALSE),IF(LEFT(B43,1)="G"," ",IF(LEFT(B43,2)="ma"," "," ")))</f>
        <v>Pasir Cor L300</v>
      </c>
      <c r="N43" s="75" t="str">
        <f>IFERROR(VLOOKUP($A$43&amp;"a",COPY!$S$2:$AA$1000,2,FALSE)," ")</f>
        <v>Pasir Biasa L300</v>
      </c>
      <c r="O43" s="75" t="str">
        <f>IFERROR(VLOOKUP($A$43&amp;"aa",COPY!$S$2:$AA$1000,2,FALSE)," ")</f>
        <v>Koral L300</v>
      </c>
      <c r="P43" s="75" t="str">
        <f>IFERROR(VLOOKUP($A$43&amp;"aaa",COPY!$S$2:$AA$1000,2,FALSE)," ")</f>
        <v>Keramik Kia 30X30</v>
      </c>
      <c r="Q43" s="75" t="str">
        <f>IFERROR(VLOOKUP($A$43&amp;"aaaa",COPY!$S$2:$AA$1000,2,FALSE)," ")</f>
        <v xml:space="preserve"> </v>
      </c>
      <c r="R43" s="75" t="str">
        <f>IFERROR(VLOOKUP($A$43&amp;"aaaaa",COPY!$S$2:$AA$1000,2,FALSE)," ")</f>
        <v xml:space="preserve"> </v>
      </c>
      <c r="S43" s="75" t="str">
        <f>IFERROR(VLOOKUP($A$43&amp;"aaaaaa",COPY!$S$2:$AA$1000,2,FALSE)," ")</f>
        <v xml:space="preserve"> </v>
      </c>
      <c r="T43" s="75" t="str">
        <f>IFERROR(VLOOKUP($A$43&amp;"aaaaaaa",COPY!$S$2:$AA$1000,2,FALSE)," ")</f>
        <v xml:space="preserve"> </v>
      </c>
      <c r="U43" s="75" t="str">
        <f>IFERROR(VLOOKUP($A$43&amp;"aaaaaaaa",COPY!$S$2:$AA$1000,2,FALSE)," ")</f>
        <v xml:space="preserve"> </v>
      </c>
      <c r="V43" s="75" t="str">
        <f>IFERROR(VLOOKUP($A$43&amp;"aaaaaaaaa",COPY!$S$2:$AA$1000,2,FALSE)," ")</f>
        <v xml:space="preserve"> </v>
      </c>
      <c r="W43" s="75" t="str">
        <f>IFERROR(VLOOKUP($A$43&amp;"aaaaaaaaaa",COPY!$S$2:$AA$1000,2,FALSE)," ")</f>
        <v xml:space="preserve"> </v>
      </c>
      <c r="X43" s="75" t="str">
        <f>IFERROR(VLOOKUP($A$43&amp;"aaaaaaaaaaa",COPY!$S$2:$AA$1000,2,FALSE)," ")</f>
        <v xml:space="preserve"> </v>
      </c>
      <c r="Y43" s="90">
        <f>IF(OR(LEFT(B43,2)="mg",LEFT(B43,2)="mE"),VLOOKUP(A43,COPY!$S$2:$AA$1000,6,FALSE),IF(LEFT(B43,1)="G"," ",IF(LEFT(B43,2)="ma"," "," ")))</f>
        <v>1</v>
      </c>
      <c r="Z43" s="90">
        <f>IFERROR(VLOOKUP(A43&amp;"a",COPY!$S$2:$AA$1000,6,FALSE)," ")</f>
        <v>1</v>
      </c>
      <c r="AA43" s="90">
        <f>IFERROR(VLOOKUP(A43&amp;"aa",COPY!$S$2:$AA$1000,6,FALSE)," ")</f>
        <v>1</v>
      </c>
      <c r="AB43" s="90">
        <f>IFERROR(VLOOKUP(A43&amp;"aaa",COPY!$S$2:$AA$1000,6,FALSE)," ")</f>
        <v>15</v>
      </c>
      <c r="AC43" s="90" t="str">
        <f>IFERROR(VLOOKUP(A43&amp;"aaaa",COPY!$S$2:$AA$1000,6,FALSE)," ")</f>
        <v xml:space="preserve"> </v>
      </c>
      <c r="AD43" s="90" t="str">
        <f>IFERROR(VLOOKUP(A43&amp;"aaaaa",COPY!$S$2:$AA$1000,6,FALSE)," ")</f>
        <v xml:space="preserve"> </v>
      </c>
      <c r="AE43" s="90" t="str">
        <f>IFERROR(VLOOKUP(A43&amp;"aaaaaa",COPY!$S$2:$AA$1000,6,FALSE)," ")</f>
        <v xml:space="preserve"> </v>
      </c>
      <c r="AF43" s="90" t="str">
        <f>IFERROR(VLOOKUP(A43&amp;"aaaaaaa",COPY!$S$2:$AA$1000,6,FALSE)," ")</f>
        <v xml:space="preserve"> </v>
      </c>
      <c r="AG43" s="90" t="str">
        <f>IFERROR(VLOOKUP(A43&amp;"aaaaaaaa",COPY!$S$2:$AA$1000,6,FALSE)," ")</f>
        <v xml:space="preserve"> </v>
      </c>
      <c r="AH43" s="90" t="str">
        <f>IFERROR(VLOOKUP(A43&amp;"aaaaaaaaa",COPY!$S$2:$AA$1000,6,FALSE)," ")</f>
        <v xml:space="preserve"> </v>
      </c>
      <c r="AI43" s="90" t="str">
        <f>IFERROR(VLOOKUP(A43&amp;"aaaaaaaaaa",COPY!$S$2:$AA$1000,6,FALSE)," ")</f>
        <v xml:space="preserve"> </v>
      </c>
      <c r="AJ43" s="90" t="str">
        <f>IFERROR(VLOOKUP(A43&amp;"aaaaaaaaaaa",COPY!$S$2:$AA$1000,6,FALSE)," ")</f>
        <v xml:space="preserve"> </v>
      </c>
      <c r="AK43" s="90" t="str">
        <f>IF(LEFT(B43,2)="mg",VLOOKUP(A43,COPY!$S$2:$AA$1000,7,FALSE),IF(LEFT(B43,1)="G"," ",IF(LEFT(B43,2)="ma"," "," ")))</f>
        <v>Pik Up</v>
      </c>
      <c r="AL43" s="90" t="str">
        <f>IFERROR(VLOOKUP(A43&amp;"a",COPY!$S$2:$AA$1000,7,FALSE)," ")</f>
        <v>Pik Up</v>
      </c>
      <c r="AM43" s="90" t="str">
        <f>IFERROR(VLOOKUP(A43&amp;"aa",COPY!$S$2:$AA$1000,7,FALSE)," ")</f>
        <v>Pik Up</v>
      </c>
      <c r="AN43" s="90" t="str">
        <f>IFERROR(VLOOKUP(A43&amp;"aaa",COPY!$S$2:$AA$1000,7,FALSE)," ")</f>
        <v>Dus</v>
      </c>
      <c r="AO43" s="90" t="str">
        <f>IFERROR(VLOOKUP(A43&amp;"aaaa",COPY!$S$2:$AA$1000,7,FALSE)," ")</f>
        <v xml:space="preserve"> </v>
      </c>
      <c r="AP43" s="90" t="str">
        <f>IFERROR(VLOOKUP(A43&amp;"aaaaa",COPY!$S$2:$AA$1000,7,FALSE)," ")</f>
        <v xml:space="preserve"> </v>
      </c>
      <c r="AQ43" s="90" t="str">
        <f>IFERROR(VLOOKUP(A43&amp;"aaaaaa",COPY!$S$2:$AA$1000,7,FALSE)," ")</f>
        <v xml:space="preserve"> </v>
      </c>
      <c r="AR43" s="90" t="str">
        <f>IFERROR(VLOOKUP(A43&amp;"aaaaaaa",COPY!$S$2:$AA$1000,7,FALSE)," ")</f>
        <v xml:space="preserve"> </v>
      </c>
      <c r="AS43" s="90" t="str">
        <f>IFERROR(VLOOKUP(A43&amp;"aaaaaaaa",COPY!$S$2:$AA$1000,7,FALSE)," ")</f>
        <v xml:space="preserve"> </v>
      </c>
      <c r="AT43" s="90" t="str">
        <f>IFERROR(VLOOKUP(A43&amp;"aaaaaaaaa",COPY!$S$2:$AA$1000,7,FALSE)," ")</f>
        <v xml:space="preserve"> </v>
      </c>
      <c r="AU43" s="90" t="str">
        <f>IFERROR(VLOOKUP(A43&amp;"aaaaaaaaaa",COPY!$S$2:$AA$1000,7,FALSE)," ")</f>
        <v xml:space="preserve"> </v>
      </c>
      <c r="AV43" s="90" t="str">
        <f>IFERROR(VLOOKUP(A43&amp;"aaaaaaaaaaa",COPY!$S$2:$AA$1000,7,FALSE)," ")</f>
        <v xml:space="preserve"> </v>
      </c>
    </row>
    <row r="44" spans="1:48" x14ac:dyDescent="0.2">
      <c r="A44" s="75" t="str">
        <f>'REKAP PAJAK'!W81</f>
        <v>BKK.43</v>
      </c>
      <c r="B44" s="75" t="str">
        <f>IF(LEN(A44)&gt;1,VLOOKUP(A44,COPY!$O$2:$R$1000,4,FALSE),"")</f>
        <v>Mgg7</v>
      </c>
      <c r="C44" s="75" t="str">
        <f t="shared" si="0"/>
        <v>MELIA FITRIANI, S.Pd.SD</v>
      </c>
      <c r="D44" s="75" t="str">
        <f t="shared" si="1"/>
        <v>NIP. 19850619 200904 2 000</v>
      </c>
      <c r="E44" s="75" t="str">
        <f t="shared" si="2"/>
        <v>ARIF NUR UDIN, S.Pd.SD</v>
      </c>
      <c r="F44" s="75" t="str">
        <f t="shared" si="3"/>
        <v>NIP. 19840719 200903 1 002</v>
      </c>
      <c r="G44" s="75" t="str">
        <f>IFERROR(TEXT(VLOOKUP(A44,COPY!$S$2:$W$1000,3,FALSE),"dd mmmm yyyy")," ")</f>
        <v>14 Oktober 2025</v>
      </c>
      <c r="H44" s="75" t="str">
        <f t="shared" si="4"/>
        <v>SDN 1 SIDODADI</v>
      </c>
      <c r="I44" s="75" t="str">
        <f t="shared" si="5"/>
        <v>NGANTANG</v>
      </c>
      <c r="J44" s="90">
        <f>IFERROR(VLOOKUP(A44,COPY!$S$2:$W$1000,4,FALSE)," ")</f>
        <v>1004000</v>
      </c>
      <c r="K44" s="75" t="str">
        <f>IFERROR(VLOOKUP(A44,COPY!$S$2:$W$1000,5,FALSE)," ")</f>
        <v>Satu Juta Empat Ribu Rupiah</v>
      </c>
      <c r="L44" s="75" t="str">
        <f>IF(B44="","",IF(LEFT(B44,2)="Ma",(VLOOKUP(B44,'Rekap Gaji'!$C$12:$D$26,2,FALSE))&amp;" Untuk "&amp;(PROPER('Rekap Gaji'!$B$2)),IF(LEFT(B44,2)="Mg","Pembelian Material Bahan Bangunan",IF(LEFT(B44,2)="Me","Biaya Pembelanjaan Menejemen",IF(LEFT(B44,1)="G",VLOOKUP(A44,COPY!$S$2:$AA$1000,2,FALSE)&amp;"( "&amp;TEXT(VLOOKUP(B44,'Rekap Gaji'!$A$12:$I$26,5,FALSE),"dd-mm-yyyy")&amp;" "&amp;TEXT(VLOOKUP(B44,'Rekap Gaji'!$A$12:$I$26,6,FALSE)&amp;" "&amp;TEXT(VLOOKUP(B44,'Rekap Gaji'!$A$12:$I$26,7,FALSE),"dd-mm-yyyy")&amp;" )"," "))))))</f>
        <v>Pembelian Material Bahan Bangunan</v>
      </c>
      <c r="M44" s="75" t="str">
        <f>IF(OR(LEFT(B44,2)="mg",LEFT(B44,2)="mE"),VLOOKUP(A44,COPY!$S$2:$AA$1000,2,FALSE),IF(LEFT(B44,1)="G"," ",IF(LEFT(B44,2)="ma"," "," ")))</f>
        <v>Semen Gresik 40Kg</v>
      </c>
      <c r="N44" s="75" t="str">
        <f>IFERROR(VLOOKUP($A$44&amp;"a",COPY!$S$2:$AA$1000,2,FALSE)," ")</f>
        <v>Kalsium Omya No. 6</v>
      </c>
      <c r="O44" s="75" t="str">
        <f>IFERROR(VLOOKUP($A$44&amp;"aa",COPY!$S$2:$AA$1000,2,FALSE)," ")</f>
        <v>Lem Rajawali Putih</v>
      </c>
      <c r="P44" s="75" t="str">
        <f>IFERROR(VLOOKUP($A$44&amp;"aaa",COPY!$S$2:$AA$1000,2,FALSE)," ")</f>
        <v xml:space="preserve"> </v>
      </c>
      <c r="Q44" s="75" t="str">
        <f>IFERROR(VLOOKUP($A$44&amp;"aaaa",COPY!$S$2:$AA$1000,2,FALSE)," ")</f>
        <v xml:space="preserve"> </v>
      </c>
      <c r="R44" s="75" t="str">
        <f>IFERROR(VLOOKUP($A$44&amp;"aaaaa",COPY!$S$2:$AA$1000,2,FALSE)," ")</f>
        <v xml:space="preserve"> </v>
      </c>
      <c r="S44" s="75" t="str">
        <f>IFERROR(VLOOKUP($A$44&amp;"aaaaaa",COPY!$S$2:$AA$1000,2,FALSE)," ")</f>
        <v xml:space="preserve"> </v>
      </c>
      <c r="T44" s="75" t="str">
        <f>IFERROR(VLOOKUP($A$44&amp;"aaaaaaa",COPY!$S$2:$AA$1000,2,FALSE)," ")</f>
        <v xml:space="preserve"> </v>
      </c>
      <c r="U44" s="75" t="str">
        <f>IFERROR(VLOOKUP($A$44&amp;"aaaaaaaa",COPY!$S$2:$AA$1000,2,FALSE)," ")</f>
        <v xml:space="preserve"> </v>
      </c>
      <c r="V44" s="75" t="str">
        <f>IFERROR(VLOOKUP($A$44&amp;"aaaaaaaaa",COPY!$S$2:$AA$1000,2,FALSE)," ")</f>
        <v xml:space="preserve"> </v>
      </c>
      <c r="W44" s="75" t="str">
        <f>IFERROR(VLOOKUP($A$44&amp;"aaaaaaaaaa",COPY!$S$2:$AA$1000,2,FALSE)," ")</f>
        <v xml:space="preserve"> </v>
      </c>
      <c r="X44" s="75" t="str">
        <f>IFERROR(VLOOKUP($A$44&amp;"aaaaaaaaaaa",COPY!$S$2:$AA$1000,2,FALSE)," ")</f>
        <v xml:space="preserve"> </v>
      </c>
      <c r="Y44" s="90">
        <f>IF(OR(LEFT(B44,2)="mg",LEFT(B44,2)="mE"),VLOOKUP(A44,COPY!$S$2:$AA$1000,6,FALSE),IF(LEFT(B44,1)="G"," ",IF(LEFT(B44,2)="ma"," "," ")))</f>
        <v>2</v>
      </c>
      <c r="Z44" s="90">
        <f>IFERROR(VLOOKUP(A44&amp;"a",COPY!$S$2:$AA$1000,6,FALSE)," ")</f>
        <v>2</v>
      </c>
      <c r="AA44" s="90">
        <f>IFERROR(VLOOKUP(A44&amp;"aa",COPY!$S$2:$AA$1000,6,FALSE)," ")</f>
        <v>40</v>
      </c>
      <c r="AB44" s="90" t="str">
        <f>IFERROR(VLOOKUP(A44&amp;"aaa",COPY!$S$2:$AA$1000,6,FALSE)," ")</f>
        <v xml:space="preserve"> </v>
      </c>
      <c r="AC44" s="90" t="str">
        <f>IFERROR(VLOOKUP(A44&amp;"aaaa",COPY!$S$2:$AA$1000,6,FALSE)," ")</f>
        <v xml:space="preserve"> </v>
      </c>
      <c r="AD44" s="90" t="str">
        <f>IFERROR(VLOOKUP(A44&amp;"aaaaa",COPY!$S$2:$AA$1000,6,FALSE)," ")</f>
        <v xml:space="preserve"> </v>
      </c>
      <c r="AE44" s="90" t="str">
        <f>IFERROR(VLOOKUP(A44&amp;"aaaaaa",COPY!$S$2:$AA$1000,6,FALSE)," ")</f>
        <v xml:space="preserve"> </v>
      </c>
      <c r="AF44" s="90" t="str">
        <f>IFERROR(VLOOKUP(A44&amp;"aaaaaaa",COPY!$S$2:$AA$1000,6,FALSE)," ")</f>
        <v xml:space="preserve"> </v>
      </c>
      <c r="AG44" s="90" t="str">
        <f>IFERROR(VLOOKUP(A44&amp;"aaaaaaaa",COPY!$S$2:$AA$1000,6,FALSE)," ")</f>
        <v xml:space="preserve"> </v>
      </c>
      <c r="AH44" s="90" t="str">
        <f>IFERROR(VLOOKUP(A44&amp;"aaaaaaaaa",COPY!$S$2:$AA$1000,6,FALSE)," ")</f>
        <v xml:space="preserve"> </v>
      </c>
      <c r="AI44" s="90" t="str">
        <f>IFERROR(VLOOKUP(A44&amp;"aaaaaaaaaa",COPY!$S$2:$AA$1000,6,FALSE)," ")</f>
        <v xml:space="preserve"> </v>
      </c>
      <c r="AJ44" s="90" t="str">
        <f>IFERROR(VLOOKUP(A44&amp;"aaaaaaaaaaa",COPY!$S$2:$AA$1000,6,FALSE)," ")</f>
        <v xml:space="preserve"> </v>
      </c>
      <c r="AK44" s="90" t="str">
        <f>IF(LEFT(B44,2)="mg",VLOOKUP(A44,COPY!$S$2:$AA$1000,7,FALSE),IF(LEFT(B44,1)="G"," ",IF(LEFT(B44,2)="ma"," "," ")))</f>
        <v>Sak</v>
      </c>
      <c r="AL44" s="90" t="str">
        <f>IFERROR(VLOOKUP(A44&amp;"a",COPY!$S$2:$AA$1000,7,FALSE)," ")</f>
        <v>sak</v>
      </c>
      <c r="AM44" s="90" t="str">
        <f>IFERROR(VLOOKUP(A44&amp;"aa",COPY!$S$2:$AA$1000,7,FALSE)," ")</f>
        <v>Pcs</v>
      </c>
      <c r="AN44" s="90" t="str">
        <f>IFERROR(VLOOKUP(A44&amp;"aaa",COPY!$S$2:$AA$1000,7,FALSE)," ")</f>
        <v xml:space="preserve"> </v>
      </c>
      <c r="AO44" s="90" t="str">
        <f>IFERROR(VLOOKUP(A44&amp;"aaaa",COPY!$S$2:$AA$1000,7,FALSE)," ")</f>
        <v xml:space="preserve"> </v>
      </c>
      <c r="AP44" s="90" t="str">
        <f>IFERROR(VLOOKUP(A44&amp;"aaaaa",COPY!$S$2:$AA$1000,7,FALSE)," ")</f>
        <v xml:space="preserve"> </v>
      </c>
      <c r="AQ44" s="90" t="str">
        <f>IFERROR(VLOOKUP(A44&amp;"aaaaaa",COPY!$S$2:$AA$1000,7,FALSE)," ")</f>
        <v xml:space="preserve"> </v>
      </c>
      <c r="AR44" s="90" t="str">
        <f>IFERROR(VLOOKUP(A44&amp;"aaaaaaa",COPY!$S$2:$AA$1000,7,FALSE)," ")</f>
        <v xml:space="preserve"> </v>
      </c>
      <c r="AS44" s="90" t="str">
        <f>IFERROR(VLOOKUP(A44&amp;"aaaaaaaa",COPY!$S$2:$AA$1000,7,FALSE)," ")</f>
        <v xml:space="preserve"> </v>
      </c>
      <c r="AT44" s="90" t="str">
        <f>IFERROR(VLOOKUP(A44&amp;"aaaaaaaaa",COPY!$S$2:$AA$1000,7,FALSE)," ")</f>
        <v xml:space="preserve"> </v>
      </c>
      <c r="AU44" s="90" t="str">
        <f>IFERROR(VLOOKUP(A44&amp;"aaaaaaaaaa",COPY!$S$2:$AA$1000,7,FALSE)," ")</f>
        <v xml:space="preserve"> </v>
      </c>
      <c r="AV44" s="90" t="str">
        <f>IFERROR(VLOOKUP(A44&amp;"aaaaaaaaaaa",COPY!$S$2:$AA$1000,7,FALSE)," ")</f>
        <v xml:space="preserve"> </v>
      </c>
    </row>
    <row r="45" spans="1:48" x14ac:dyDescent="0.2">
      <c r="A45" s="75" t="str">
        <f>'REKAP PAJAK'!W82</f>
        <v>BKK.44</v>
      </c>
      <c r="B45" s="75" t="str">
        <f>IF(LEN(A45)&gt;1,VLOOKUP(A45,COPY!$O$2:$R$1000,4,FALSE),"")</f>
        <v>Mgg7</v>
      </c>
      <c r="C45" s="75" t="str">
        <f t="shared" si="0"/>
        <v>MELIA FITRIANI, S.Pd.SD</v>
      </c>
      <c r="D45" s="75" t="str">
        <f t="shared" si="1"/>
        <v>NIP. 19850619 200904 2 000</v>
      </c>
      <c r="E45" s="75" t="str">
        <f t="shared" si="2"/>
        <v>ARIF NUR UDIN, S.Pd.SD</v>
      </c>
      <c r="F45" s="75" t="str">
        <f t="shared" si="3"/>
        <v>NIP. 19840719 200903 1 002</v>
      </c>
      <c r="G45" s="75" t="str">
        <f>IFERROR(TEXT(VLOOKUP(A45,COPY!$S$2:$W$1000,3,FALSE),"dd mmmm yyyy")," ")</f>
        <v>15 Oktober 2025</v>
      </c>
      <c r="H45" s="75" t="str">
        <f t="shared" si="4"/>
        <v>SDN 1 SIDODADI</v>
      </c>
      <c r="I45" s="75" t="str">
        <f t="shared" si="5"/>
        <v>NGANTANG</v>
      </c>
      <c r="J45" s="90">
        <f>IFERROR(VLOOKUP(A45,COPY!$S$2:$W$1000,4,FALSE)," ")</f>
        <v>1805000</v>
      </c>
      <c r="K45" s="75" t="str">
        <f>IFERROR(VLOOKUP(A45,COPY!$S$2:$W$1000,5,FALSE)," ")</f>
        <v>Satu Juta Delapan Ratus Lima Ribu Rupiah</v>
      </c>
      <c r="L45" s="75" t="str">
        <f>IF(B45="","",IF(LEFT(B45,2)="Ma",(VLOOKUP(B45,'Rekap Gaji'!$C$12:$D$26,2,FALSE))&amp;" Untuk "&amp;(PROPER('Rekap Gaji'!$B$2)),IF(LEFT(B45,2)="Mg","Pembelian Material Bahan Bangunan",IF(LEFT(B45,2)="Me","Biaya Pembelanjaan Menejemen",IF(LEFT(B45,1)="G",VLOOKUP(A45,COPY!$S$2:$AA$1000,2,FALSE)&amp;"( "&amp;TEXT(VLOOKUP(B45,'Rekap Gaji'!$A$12:$I$26,5,FALSE),"dd-mm-yyyy")&amp;" "&amp;TEXT(VLOOKUP(B45,'Rekap Gaji'!$A$12:$I$26,6,FALSE)&amp;" "&amp;TEXT(VLOOKUP(B45,'Rekap Gaji'!$A$12:$I$26,7,FALSE),"dd-mm-yyyy")&amp;" )"," "))))))</f>
        <v>Pembelian Material Bahan Bangunan</v>
      </c>
      <c r="M45" s="75" t="str">
        <f>IF(OR(LEFT(B45,2)="mg",LEFT(B45,2)="mE"),VLOOKUP(A45,COPY!$S$2:$AA$1000,2,FALSE),IF(LEFT(B45,1)="G"," ",IF(LEFT(B45,2)="ma"," "," ")))</f>
        <v>Kain Lap</v>
      </c>
      <c r="N45" s="75" t="str">
        <f>IFERROR(VLOOKUP($A$45&amp;"a",COPY!$S$2:$AA$1000,2,FALSE)," ")</f>
        <v>Hcl</v>
      </c>
      <c r="O45" s="75" t="str">
        <f>IFERROR(VLOOKUP($A$45&amp;"aa",COPY!$S$2:$AA$1000,2,FALSE)," ")</f>
        <v>Paragon Putih Eml 20Kg</v>
      </c>
      <c r="P45" s="75" t="str">
        <f>IFERROR(VLOOKUP($A$45&amp;"aaa",COPY!$S$2:$AA$1000,2,FALSE)," ")</f>
        <v>Cat No Drop Hijau</v>
      </c>
      <c r="Q45" s="75" t="str">
        <f>IFERROR(VLOOKUP($A$45&amp;"aaaa",COPY!$S$2:$AA$1000,2,FALSE)," ")</f>
        <v xml:space="preserve"> </v>
      </c>
      <c r="R45" s="75" t="str">
        <f>IFERROR(VLOOKUP($A$45&amp;"aaaaa",COPY!$S$2:$AA$1000,2,FALSE)," ")</f>
        <v xml:space="preserve"> </v>
      </c>
      <c r="S45" s="75" t="str">
        <f>IFERROR(VLOOKUP($A$45&amp;"aaaaaa",COPY!$S$2:$AA$1000,2,FALSE)," ")</f>
        <v xml:space="preserve"> </v>
      </c>
      <c r="T45" s="75" t="str">
        <f>IFERROR(VLOOKUP($A$45&amp;"aaaaaaa",COPY!$S$2:$AA$1000,2,FALSE)," ")</f>
        <v xml:space="preserve"> </v>
      </c>
      <c r="U45" s="75" t="str">
        <f>IFERROR(VLOOKUP($A$45&amp;"aaaaaaaa",COPY!$S$2:$AA$1000,2,FALSE)," ")</f>
        <v xml:space="preserve"> </v>
      </c>
      <c r="V45" s="75" t="str">
        <f>IFERROR(VLOOKUP($A$45&amp;"aaaaaaaaa",COPY!$S$2:$AA$1000,2,FALSE)," ")</f>
        <v xml:space="preserve"> </v>
      </c>
      <c r="W45" s="75" t="str">
        <f>IFERROR(VLOOKUP($A$45&amp;"aaaaaaaaaa",COPY!$S$2:$AA$1000,2,FALSE)," ")</f>
        <v xml:space="preserve"> </v>
      </c>
      <c r="X45" s="75" t="str">
        <f>IFERROR(VLOOKUP($A$45&amp;"aaaaaaaaaaa",COPY!$S$2:$AA$1000,2,FALSE)," ")</f>
        <v xml:space="preserve"> </v>
      </c>
      <c r="Y45" s="90">
        <f>IF(OR(LEFT(B45,2)="mg",LEFT(B45,2)="mE"),VLOOKUP(A45,COPY!$S$2:$AA$1000,6,FALSE),IF(LEFT(B45,1)="G"," ",IF(LEFT(B45,2)="ma"," "," ")))</f>
        <v>10</v>
      </c>
      <c r="Z45" s="90">
        <f>IFERROR(VLOOKUP(A45&amp;"a",COPY!$S$2:$AA$1000,6,FALSE)," ")</f>
        <v>4</v>
      </c>
      <c r="AA45" s="90">
        <f>IFERROR(VLOOKUP(A45&amp;"aa",COPY!$S$2:$AA$1000,6,FALSE)," ")</f>
        <v>1</v>
      </c>
      <c r="AB45" s="90">
        <f>IFERROR(VLOOKUP(A45&amp;"aaa",COPY!$S$2:$AA$1000,6,FALSE)," ")</f>
        <v>1</v>
      </c>
      <c r="AC45" s="90" t="str">
        <f>IFERROR(VLOOKUP(A45&amp;"aaaa",COPY!$S$2:$AA$1000,6,FALSE)," ")</f>
        <v xml:space="preserve"> </v>
      </c>
      <c r="AD45" s="90" t="str">
        <f>IFERROR(VLOOKUP(A45&amp;"aaaaa",COPY!$S$2:$AA$1000,6,FALSE)," ")</f>
        <v xml:space="preserve"> </v>
      </c>
      <c r="AE45" s="90" t="str">
        <f>IFERROR(VLOOKUP(A45&amp;"aaaaaa",COPY!$S$2:$AA$1000,6,FALSE)," ")</f>
        <v xml:space="preserve"> </v>
      </c>
      <c r="AF45" s="90" t="str">
        <f>IFERROR(VLOOKUP(A45&amp;"aaaaaaa",COPY!$S$2:$AA$1000,6,FALSE)," ")</f>
        <v xml:space="preserve"> </v>
      </c>
      <c r="AG45" s="90" t="str">
        <f>IFERROR(VLOOKUP(A45&amp;"aaaaaaaa",COPY!$S$2:$AA$1000,6,FALSE)," ")</f>
        <v xml:space="preserve"> </v>
      </c>
      <c r="AH45" s="90" t="str">
        <f>IFERROR(VLOOKUP(A45&amp;"aaaaaaaaa",COPY!$S$2:$AA$1000,6,FALSE)," ")</f>
        <v xml:space="preserve"> </v>
      </c>
      <c r="AI45" s="90" t="str">
        <f>IFERROR(VLOOKUP(A45&amp;"aaaaaaaaaa",COPY!$S$2:$AA$1000,6,FALSE)," ")</f>
        <v xml:space="preserve"> </v>
      </c>
      <c r="AJ45" s="90" t="str">
        <f>IFERROR(VLOOKUP(A45&amp;"aaaaaaaaaaa",COPY!$S$2:$AA$1000,6,FALSE)," ")</f>
        <v xml:space="preserve"> </v>
      </c>
      <c r="AK45" s="90" t="str">
        <f>IF(LEFT(B45,2)="mg",VLOOKUP(A45,COPY!$S$2:$AA$1000,7,FALSE),IF(LEFT(B45,1)="G"," ",IF(LEFT(B45,2)="ma"," "," ")))</f>
        <v>Bji</v>
      </c>
      <c r="AL45" s="90" t="str">
        <f>IFERROR(VLOOKUP(A45&amp;"a",COPY!$S$2:$AA$1000,7,FALSE)," ")</f>
        <v>ltr</v>
      </c>
      <c r="AM45" s="90" t="str">
        <f>IFERROR(VLOOKUP(A45&amp;"aa",COPY!$S$2:$AA$1000,7,FALSE)," ")</f>
        <v>Pail</v>
      </c>
      <c r="AN45" s="90" t="str">
        <f>IFERROR(VLOOKUP(A45&amp;"aaa",COPY!$S$2:$AA$1000,7,FALSE)," ")</f>
        <v>Pail</v>
      </c>
      <c r="AO45" s="90" t="str">
        <f>IFERROR(VLOOKUP(A45&amp;"aaaa",COPY!$S$2:$AA$1000,7,FALSE)," ")</f>
        <v xml:space="preserve"> </v>
      </c>
      <c r="AP45" s="90" t="str">
        <f>IFERROR(VLOOKUP(A45&amp;"aaaaa",COPY!$S$2:$AA$1000,7,FALSE)," ")</f>
        <v xml:space="preserve"> </v>
      </c>
      <c r="AQ45" s="90" t="str">
        <f>IFERROR(VLOOKUP(A45&amp;"aaaaaa",COPY!$S$2:$AA$1000,7,FALSE)," ")</f>
        <v xml:space="preserve"> </v>
      </c>
      <c r="AR45" s="90" t="str">
        <f>IFERROR(VLOOKUP(A45&amp;"aaaaaaa",COPY!$S$2:$AA$1000,7,FALSE)," ")</f>
        <v xml:space="preserve"> </v>
      </c>
      <c r="AS45" s="90" t="str">
        <f>IFERROR(VLOOKUP(A45&amp;"aaaaaaaa",COPY!$S$2:$AA$1000,7,FALSE)," ")</f>
        <v xml:space="preserve"> </v>
      </c>
      <c r="AT45" s="90" t="str">
        <f>IFERROR(VLOOKUP(A45&amp;"aaaaaaaaa",COPY!$S$2:$AA$1000,7,FALSE)," ")</f>
        <v xml:space="preserve"> </v>
      </c>
      <c r="AU45" s="90" t="str">
        <f>IFERROR(VLOOKUP(A45&amp;"aaaaaaaaaa",COPY!$S$2:$AA$1000,7,FALSE)," ")</f>
        <v xml:space="preserve"> </v>
      </c>
      <c r="AV45" s="90" t="str">
        <f>IFERROR(VLOOKUP(A45&amp;"aaaaaaaaaaa",COPY!$S$2:$AA$1000,7,FALSE)," ")</f>
        <v xml:space="preserve"> </v>
      </c>
    </row>
    <row r="46" spans="1:48" x14ac:dyDescent="0.2">
      <c r="A46" s="75" t="str">
        <f>'REKAP PAJAK'!W83</f>
        <v>BKK.45</v>
      </c>
      <c r="B46" s="75" t="str">
        <f>IF(LEN(A46)&gt;1,VLOOKUP(A46,COPY!$O$2:$R$1000,4,FALSE),"")</f>
        <v>Mgg7</v>
      </c>
      <c r="C46" s="75" t="str">
        <f t="shared" si="0"/>
        <v>MELIA FITRIANI, S.Pd.SD</v>
      </c>
      <c r="D46" s="75" t="str">
        <f t="shared" si="1"/>
        <v>NIP. 19850619 200904 2 000</v>
      </c>
      <c r="E46" s="75" t="str">
        <f t="shared" si="2"/>
        <v>ARIF NUR UDIN, S.Pd.SD</v>
      </c>
      <c r="F46" s="75" t="str">
        <f t="shared" si="3"/>
        <v>NIP. 19840719 200903 1 002</v>
      </c>
      <c r="G46" s="75" t="str">
        <f>IFERROR(TEXT(VLOOKUP(A46,COPY!$S$2:$W$1000,3,FALSE),"dd mmmm yyyy")," ")</f>
        <v>16 Oktober 2025</v>
      </c>
      <c r="H46" s="75" t="str">
        <f t="shared" si="4"/>
        <v>SDN 1 SIDODADI</v>
      </c>
      <c r="I46" s="75" t="str">
        <f t="shared" si="5"/>
        <v>NGANTANG</v>
      </c>
      <c r="J46" s="90">
        <f>IFERROR(VLOOKUP(A46,COPY!$S$2:$W$1000,4,FALSE)," ")</f>
        <v>1836000</v>
      </c>
      <c r="K46" s="75" t="str">
        <f>IFERROR(VLOOKUP(A46,COPY!$S$2:$W$1000,5,FALSE)," ")</f>
        <v>Satu Juta Delapan Ratus Tiga Puluh Enam Ribu Rupiah</v>
      </c>
      <c r="L46" s="75" t="str">
        <f>IF(B46="","",IF(LEFT(B46,2)="Ma",(VLOOKUP(B46,'Rekap Gaji'!$C$12:$D$26,2,FALSE))&amp;" Untuk "&amp;(PROPER('Rekap Gaji'!$B$2)),IF(LEFT(B46,2)="Mg","Pembelian Material Bahan Bangunan",IF(LEFT(B46,2)="Me","Biaya Pembelanjaan Menejemen",IF(LEFT(B46,1)="G",VLOOKUP(A46,COPY!$S$2:$AA$1000,2,FALSE)&amp;"( "&amp;TEXT(VLOOKUP(B46,'Rekap Gaji'!$A$12:$I$26,5,FALSE),"dd-mm-yyyy")&amp;" "&amp;TEXT(VLOOKUP(B46,'Rekap Gaji'!$A$12:$I$26,6,FALSE)&amp;" "&amp;TEXT(VLOOKUP(B46,'Rekap Gaji'!$A$12:$I$26,7,FALSE),"dd-mm-yyyy")&amp;" )"," "))))))</f>
        <v>Pembelian Material Bahan Bangunan</v>
      </c>
      <c r="M46" s="75" t="str">
        <f>IF(OR(LEFT(B46,2)="mg",LEFT(B46,2)="mE"),VLOOKUP(A46,COPY!$S$2:$AA$1000,2,FALSE),IF(LEFT(B46,1)="G"," ",IF(LEFT(B46,2)="ma"," "," ")))</f>
        <v>Semen 3 Roda</v>
      </c>
      <c r="N46" s="75" t="str">
        <f>IFERROR(VLOOKUP($A$46&amp;"a",COPY!$S$2:$AA$1000,2,FALSE)," ")</f>
        <v>Lem Rajawali Putih</v>
      </c>
      <c r="O46" s="75" t="str">
        <f>IFERROR(VLOOKUP($A$46&amp;"aa",COPY!$S$2:$AA$1000,2,FALSE)," ")</f>
        <v>Kuas Nippon 5"</v>
      </c>
      <c r="P46" s="75" t="str">
        <f>IFERROR(VLOOKUP($A$46&amp;"aaa",COPY!$S$2:$AA$1000,2,FALSE)," ")</f>
        <v>Kuas Nippon 6"</v>
      </c>
      <c r="Q46" s="75" t="str">
        <f>IFERROR(VLOOKUP($A$46&amp;"aaaa",COPY!$S$2:$AA$1000,2,FALSE)," ")</f>
        <v>Amplas No 100</v>
      </c>
      <c r="R46" s="75" t="str">
        <f>IFERROR(VLOOKUP($A$46&amp;"aaaaa",COPY!$S$2:$AA$1000,2,FALSE)," ")</f>
        <v>Amplas No 240</v>
      </c>
      <c r="S46" s="75" t="str">
        <f>IFERROR(VLOOKUP($A$46&amp;"aaaaaa",COPY!$S$2:$AA$1000,2,FALSE)," ")</f>
        <v>Serabut No Drop</v>
      </c>
      <c r="T46" s="75" t="str">
        <f>IFERROR(VLOOKUP($A$46&amp;"aaaaaaa",COPY!$S$2:$AA$1000,2,FALSE)," ")</f>
        <v xml:space="preserve"> </v>
      </c>
      <c r="U46" s="75" t="str">
        <f>IFERROR(VLOOKUP($A$46&amp;"aaaaaaaa",COPY!$S$2:$AA$1000,2,FALSE)," ")</f>
        <v xml:space="preserve"> </v>
      </c>
      <c r="V46" s="75" t="str">
        <f>IFERROR(VLOOKUP($A$46&amp;"aaaaaaaaa",COPY!$S$2:$AA$1000,2,FALSE)," ")</f>
        <v xml:space="preserve"> </v>
      </c>
      <c r="W46" s="75" t="str">
        <f>IFERROR(VLOOKUP($A$46&amp;"aaaaaaaaaa",COPY!$S$2:$AA$1000,2,FALSE)," ")</f>
        <v xml:space="preserve"> </v>
      </c>
      <c r="X46" s="75" t="str">
        <f>IFERROR(VLOOKUP($A$46&amp;"aaaaaaaaaaa",COPY!$S$2:$AA$1000,2,FALSE)," ")</f>
        <v xml:space="preserve"> </v>
      </c>
      <c r="Y46" s="90">
        <f>IF(OR(LEFT(B46,2)="mg",LEFT(B46,2)="mE"),VLOOKUP(A46,COPY!$S$2:$AA$1000,6,FALSE),IF(LEFT(B46,1)="G"," ",IF(LEFT(B46,2)="ma"," "," ")))</f>
        <v>10</v>
      </c>
      <c r="Z46" s="90">
        <f>IFERROR(VLOOKUP(A46&amp;"a",COPY!$S$2:$AA$1000,6,FALSE)," ")</f>
        <v>48</v>
      </c>
      <c r="AA46" s="90">
        <f>IFERROR(VLOOKUP(A46&amp;"aa",COPY!$S$2:$AA$1000,6,FALSE)," ")</f>
        <v>4</v>
      </c>
      <c r="AB46" s="90">
        <f>IFERROR(VLOOKUP(A46&amp;"aaa",COPY!$S$2:$AA$1000,6,FALSE)," ")</f>
        <v>2</v>
      </c>
      <c r="AC46" s="90">
        <f>IFERROR(VLOOKUP(A46&amp;"aaaa",COPY!$S$2:$AA$1000,6,FALSE)," ")</f>
        <v>10</v>
      </c>
      <c r="AD46" s="90">
        <f>IFERROR(VLOOKUP(A46&amp;"aaaaa",COPY!$S$2:$AA$1000,6,FALSE)," ")</f>
        <v>10</v>
      </c>
      <c r="AE46" s="90">
        <f>IFERROR(VLOOKUP(A46&amp;"aaaaaa",COPY!$S$2:$AA$1000,6,FALSE)," ")</f>
        <v>3</v>
      </c>
      <c r="AF46" s="90" t="str">
        <f>IFERROR(VLOOKUP(A46&amp;"aaaaaaa",COPY!$S$2:$AA$1000,6,FALSE)," ")</f>
        <v xml:space="preserve"> </v>
      </c>
      <c r="AG46" s="90" t="str">
        <f>IFERROR(VLOOKUP(A46&amp;"aaaaaaaa",COPY!$S$2:$AA$1000,6,FALSE)," ")</f>
        <v xml:space="preserve"> </v>
      </c>
      <c r="AH46" s="90" t="str">
        <f>IFERROR(VLOOKUP(A46&amp;"aaaaaaaaa",COPY!$S$2:$AA$1000,6,FALSE)," ")</f>
        <v xml:space="preserve"> </v>
      </c>
      <c r="AI46" s="90" t="str">
        <f>IFERROR(VLOOKUP(A46&amp;"aaaaaaaaaa",COPY!$S$2:$AA$1000,6,FALSE)," ")</f>
        <v xml:space="preserve"> </v>
      </c>
      <c r="AJ46" s="90" t="str">
        <f>IFERROR(VLOOKUP(A46&amp;"aaaaaaaaaaa",COPY!$S$2:$AA$1000,6,FALSE)," ")</f>
        <v xml:space="preserve"> </v>
      </c>
      <c r="AK46" s="90" t="str">
        <f>IF(LEFT(B46,2)="mg",VLOOKUP(A46,COPY!$S$2:$AA$1000,7,FALSE),IF(LEFT(B46,1)="G"," ",IF(LEFT(B46,2)="ma"," "," ")))</f>
        <v>Sak</v>
      </c>
      <c r="AL46" s="90" t="str">
        <f>IFERROR(VLOOKUP(A46&amp;"a",COPY!$S$2:$AA$1000,7,FALSE)," ")</f>
        <v>Pcs</v>
      </c>
      <c r="AM46" s="90" t="str">
        <f>IFERROR(VLOOKUP(A46&amp;"aa",COPY!$S$2:$AA$1000,7,FALSE)," ")</f>
        <v>Pcs</v>
      </c>
      <c r="AN46" s="90" t="str">
        <f>IFERROR(VLOOKUP(A46&amp;"aaa",COPY!$S$2:$AA$1000,7,FALSE)," ")</f>
        <v>Pcs</v>
      </c>
      <c r="AO46" s="90" t="str">
        <f>IFERROR(VLOOKUP(A46&amp;"aaaa",COPY!$S$2:$AA$1000,7,FALSE)," ")</f>
        <v>m</v>
      </c>
      <c r="AP46" s="90" t="str">
        <f>IFERROR(VLOOKUP(A46&amp;"aaaaa",COPY!$S$2:$AA$1000,7,FALSE)," ")</f>
        <v>m</v>
      </c>
      <c r="AQ46" s="90" t="str">
        <f>IFERROR(VLOOKUP(A46&amp;"aaaaaa",COPY!$S$2:$AA$1000,7,FALSE)," ")</f>
        <v>Pak</v>
      </c>
      <c r="AR46" s="90" t="str">
        <f>IFERROR(VLOOKUP(A46&amp;"aaaaaaa",COPY!$S$2:$AA$1000,7,FALSE)," ")</f>
        <v xml:space="preserve"> </v>
      </c>
      <c r="AS46" s="90" t="str">
        <f>IFERROR(VLOOKUP(A46&amp;"aaaaaaaa",COPY!$S$2:$AA$1000,7,FALSE)," ")</f>
        <v xml:space="preserve"> </v>
      </c>
      <c r="AT46" s="90" t="str">
        <f>IFERROR(VLOOKUP(A46&amp;"aaaaaaaaa",COPY!$S$2:$AA$1000,7,FALSE)," ")</f>
        <v xml:space="preserve"> </v>
      </c>
      <c r="AU46" s="90" t="str">
        <f>IFERROR(VLOOKUP(A46&amp;"aaaaaaaaaa",COPY!$S$2:$AA$1000,7,FALSE)," ")</f>
        <v xml:space="preserve"> </v>
      </c>
      <c r="AV46" s="90" t="str">
        <f>IFERROR(VLOOKUP(A46&amp;"aaaaaaaaaaa",COPY!$S$2:$AA$1000,7,FALSE)," ")</f>
        <v xml:space="preserve"> </v>
      </c>
    </row>
    <row r="47" spans="1:48" x14ac:dyDescent="0.2">
      <c r="A47" s="75" t="str">
        <f>'REKAP PAJAK'!W84</f>
        <v>BKK.46</v>
      </c>
      <c r="B47" s="75" t="str">
        <f>IF(LEN(A47)&gt;1,VLOOKUP(A47,COPY!$O$2:$R$1000,4,FALSE),"")</f>
        <v>Mgg7</v>
      </c>
      <c r="C47" s="75" t="str">
        <f t="shared" si="0"/>
        <v>MELIA FITRIANI, S.Pd.SD</v>
      </c>
      <c r="D47" s="75" t="str">
        <f t="shared" si="1"/>
        <v>NIP. 19850619 200904 2 000</v>
      </c>
      <c r="E47" s="75" t="str">
        <f t="shared" si="2"/>
        <v>ARIF NUR UDIN, S.Pd.SD</v>
      </c>
      <c r="F47" s="75" t="str">
        <f t="shared" si="3"/>
        <v>NIP. 19840719 200903 1 002</v>
      </c>
      <c r="G47" s="75" t="str">
        <f>IFERROR(TEXT(VLOOKUP(A47,COPY!$S$2:$W$1000,3,FALSE),"dd mmmm yyyy")," ")</f>
        <v>17 Oktober 2025</v>
      </c>
      <c r="H47" s="75" t="str">
        <f t="shared" si="4"/>
        <v>SDN 1 SIDODADI</v>
      </c>
      <c r="I47" s="75" t="str">
        <f t="shared" si="5"/>
        <v>NGANTANG</v>
      </c>
      <c r="J47" s="90">
        <f>IFERROR(VLOOKUP(A47,COPY!$S$2:$W$1000,4,FALSE)," ")</f>
        <v>565000</v>
      </c>
      <c r="K47" s="75" t="str">
        <f>IFERROR(VLOOKUP(A47,COPY!$S$2:$W$1000,5,FALSE)," ")</f>
        <v>Lima Ratus Enam Puluh Lima Ribu Rupiah</v>
      </c>
      <c r="L47" s="75" t="str">
        <f>IF(B47="","",IF(LEFT(B47,2)="Ma",(VLOOKUP(B47,'Rekap Gaji'!$C$12:$D$26,2,FALSE))&amp;" Untuk "&amp;(PROPER('Rekap Gaji'!$B$2)),IF(LEFT(B47,2)="Mg","Pembelian Material Bahan Bangunan",IF(LEFT(B47,2)="Me","Biaya Pembelanjaan Menejemen",IF(LEFT(B47,1)="G",VLOOKUP(A47,COPY!$S$2:$AA$1000,2,FALSE)&amp;"( "&amp;TEXT(VLOOKUP(B47,'Rekap Gaji'!$A$12:$I$26,5,FALSE),"dd-mm-yyyy")&amp;" "&amp;TEXT(VLOOKUP(B47,'Rekap Gaji'!$A$12:$I$26,6,FALSE)&amp;" "&amp;TEXT(VLOOKUP(B47,'Rekap Gaji'!$A$12:$I$26,7,FALSE),"dd-mm-yyyy")&amp;" )"," "))))))</f>
        <v>Pembelian Material Bahan Bangunan</v>
      </c>
      <c r="M47" s="75" t="str">
        <f>IF(OR(LEFT(B47,2)="mg",LEFT(B47,2)="mE"),VLOOKUP(A47,COPY!$S$2:$AA$1000,2,FALSE),IF(LEFT(B47,1)="G"," ",IF(LEFT(B47,2)="ma"," "," ")))</f>
        <v>Cat Catylac Int Lime 45120</v>
      </c>
      <c r="N47" s="75" t="str">
        <f>IFERROR(VLOOKUP($A$47&amp;"a",COPY!$S$2:$AA$1000,2,FALSE)," ")</f>
        <v xml:space="preserve"> </v>
      </c>
      <c r="O47" s="75" t="str">
        <f>IFERROR(VLOOKUP($A$47&amp;"aa",COPY!$S$2:$AA$1000,2,FALSE)," ")</f>
        <v xml:space="preserve"> </v>
      </c>
      <c r="P47" s="75" t="str">
        <f>IFERROR(VLOOKUP($A$47&amp;"aaa",COPY!$S$2:$AA$1000,2,FALSE)," ")</f>
        <v xml:space="preserve"> </v>
      </c>
      <c r="Q47" s="75" t="str">
        <f>IFERROR(VLOOKUP($A$47&amp;"aaaa",COPY!$S$2:$AA$1000,2,FALSE)," ")</f>
        <v xml:space="preserve"> </v>
      </c>
      <c r="R47" s="75" t="str">
        <f>IFERROR(VLOOKUP($A$47&amp;"aaaaa",COPY!$S$2:$AA$1000,2,FALSE)," ")</f>
        <v xml:space="preserve"> </v>
      </c>
      <c r="S47" s="75" t="str">
        <f>IFERROR(VLOOKUP($A$47&amp;"aaaaaa",COPY!$S$2:$AA$1000,2,FALSE)," ")</f>
        <v xml:space="preserve"> </v>
      </c>
      <c r="T47" s="75" t="str">
        <f>IFERROR(VLOOKUP($A$47&amp;"aaaaaaa",COPY!$S$2:$AA$1000,2,FALSE)," ")</f>
        <v xml:space="preserve"> </v>
      </c>
      <c r="U47" s="75" t="str">
        <f>IFERROR(VLOOKUP($A$47&amp;"aaaaaaaa",COPY!$S$2:$AA$1000,2,FALSE)," ")</f>
        <v xml:space="preserve"> </v>
      </c>
      <c r="V47" s="75" t="str">
        <f>IFERROR(VLOOKUP($A$47&amp;"aaaaaaaaa",COPY!$S$2:$AA$1000,2,FALSE)," ")</f>
        <v xml:space="preserve"> </v>
      </c>
      <c r="W47" s="75" t="str">
        <f>IFERROR(VLOOKUP($A$47&amp;"aaaaaaaaaa",COPY!$S$2:$AA$1000,2,FALSE)," ")</f>
        <v xml:space="preserve"> </v>
      </c>
      <c r="X47" s="75" t="str">
        <f>IFERROR(VLOOKUP($A$47&amp;"aaaaaaaaaaa",COPY!$S$2:$AA$1000,2,FALSE)," ")</f>
        <v xml:space="preserve"> </v>
      </c>
      <c r="Y47" s="90">
        <f>IF(OR(LEFT(B47,2)="mg",LEFT(B47,2)="mE"),VLOOKUP(A47,COPY!$S$2:$AA$1000,6,FALSE),IF(LEFT(B47,1)="G"," ",IF(LEFT(B47,2)="ma"," "," ")))</f>
        <v>1</v>
      </c>
      <c r="Z47" s="90" t="str">
        <f>IFERROR(VLOOKUP(A47&amp;"a",COPY!$S$2:$AA$1000,6,FALSE)," ")</f>
        <v xml:space="preserve"> </v>
      </c>
      <c r="AA47" s="90" t="str">
        <f>IFERROR(VLOOKUP(A47&amp;"aa",COPY!$S$2:$AA$1000,6,FALSE)," ")</f>
        <v xml:space="preserve"> </v>
      </c>
      <c r="AB47" s="90" t="str">
        <f>IFERROR(VLOOKUP(A47&amp;"aaa",COPY!$S$2:$AA$1000,6,FALSE)," ")</f>
        <v xml:space="preserve"> </v>
      </c>
      <c r="AC47" s="90" t="str">
        <f>IFERROR(VLOOKUP(A47&amp;"aaaa",COPY!$S$2:$AA$1000,6,FALSE)," ")</f>
        <v xml:space="preserve"> </v>
      </c>
      <c r="AD47" s="90" t="str">
        <f>IFERROR(VLOOKUP(A47&amp;"aaaaa",COPY!$S$2:$AA$1000,6,FALSE)," ")</f>
        <v xml:space="preserve"> </v>
      </c>
      <c r="AE47" s="90" t="str">
        <f>IFERROR(VLOOKUP(A47&amp;"aaaaaa",COPY!$S$2:$AA$1000,6,FALSE)," ")</f>
        <v xml:space="preserve"> </v>
      </c>
      <c r="AF47" s="90" t="str">
        <f>IFERROR(VLOOKUP(A47&amp;"aaaaaaa",COPY!$S$2:$AA$1000,6,FALSE)," ")</f>
        <v xml:space="preserve"> </v>
      </c>
      <c r="AG47" s="90" t="str">
        <f>IFERROR(VLOOKUP(A47&amp;"aaaaaaaa",COPY!$S$2:$AA$1000,6,FALSE)," ")</f>
        <v xml:space="preserve"> </v>
      </c>
      <c r="AH47" s="90" t="str">
        <f>IFERROR(VLOOKUP(A47&amp;"aaaaaaaaa",COPY!$S$2:$AA$1000,6,FALSE)," ")</f>
        <v xml:space="preserve"> </v>
      </c>
      <c r="AI47" s="90" t="str">
        <f>IFERROR(VLOOKUP(A47&amp;"aaaaaaaaaa",COPY!$S$2:$AA$1000,6,FALSE)," ")</f>
        <v xml:space="preserve"> </v>
      </c>
      <c r="AJ47" s="90" t="str">
        <f>IFERROR(VLOOKUP(A47&amp;"aaaaaaaaaaa",COPY!$S$2:$AA$1000,6,FALSE)," ")</f>
        <v xml:space="preserve"> </v>
      </c>
      <c r="AK47" s="90" t="str">
        <f>IF(LEFT(B47,2)="mg",VLOOKUP(A47,COPY!$S$2:$AA$1000,7,FALSE),IF(LEFT(B47,1)="G"," ",IF(LEFT(B47,2)="ma"," "," ")))</f>
        <v>Gln</v>
      </c>
      <c r="AL47" s="90" t="str">
        <f>IFERROR(VLOOKUP(A47&amp;"a",COPY!$S$2:$AA$1000,7,FALSE)," ")</f>
        <v xml:space="preserve"> </v>
      </c>
      <c r="AM47" s="90" t="str">
        <f>IFERROR(VLOOKUP(A47&amp;"aa",COPY!$S$2:$AA$1000,7,FALSE)," ")</f>
        <v xml:space="preserve"> </v>
      </c>
      <c r="AN47" s="90" t="str">
        <f>IFERROR(VLOOKUP(A47&amp;"aaa",COPY!$S$2:$AA$1000,7,FALSE)," ")</f>
        <v xml:space="preserve"> </v>
      </c>
      <c r="AO47" s="90" t="str">
        <f>IFERROR(VLOOKUP(A47&amp;"aaaa",COPY!$S$2:$AA$1000,7,FALSE)," ")</f>
        <v xml:space="preserve"> </v>
      </c>
      <c r="AP47" s="90" t="str">
        <f>IFERROR(VLOOKUP(A47&amp;"aaaaa",COPY!$S$2:$AA$1000,7,FALSE)," ")</f>
        <v xml:space="preserve"> </v>
      </c>
      <c r="AQ47" s="90" t="str">
        <f>IFERROR(VLOOKUP(A47&amp;"aaaaaa",COPY!$S$2:$AA$1000,7,FALSE)," ")</f>
        <v xml:space="preserve"> </v>
      </c>
      <c r="AR47" s="90" t="str">
        <f>IFERROR(VLOOKUP(A47&amp;"aaaaaaa",COPY!$S$2:$AA$1000,7,FALSE)," ")</f>
        <v xml:space="preserve"> </v>
      </c>
      <c r="AS47" s="90" t="str">
        <f>IFERROR(VLOOKUP(A47&amp;"aaaaaaaa",COPY!$S$2:$AA$1000,7,FALSE)," ")</f>
        <v xml:space="preserve"> </v>
      </c>
      <c r="AT47" s="90" t="str">
        <f>IFERROR(VLOOKUP(A47&amp;"aaaaaaaaa",COPY!$S$2:$AA$1000,7,FALSE)," ")</f>
        <v xml:space="preserve"> </v>
      </c>
      <c r="AU47" s="90" t="str">
        <f>IFERROR(VLOOKUP(A47&amp;"aaaaaaaaaa",COPY!$S$2:$AA$1000,7,FALSE)," ")</f>
        <v xml:space="preserve"> </v>
      </c>
      <c r="AV47" s="90" t="str">
        <f>IFERROR(VLOOKUP(A47&amp;"aaaaaaaaaaa",COPY!$S$2:$AA$1000,7,FALSE)," ")</f>
        <v xml:space="preserve"> </v>
      </c>
    </row>
    <row r="48" spans="1:48" x14ac:dyDescent="0.2">
      <c r="A48" s="75" t="str">
        <f>'REKAP PAJAK'!W85</f>
        <v>BKK.47</v>
      </c>
      <c r="B48" s="75" t="str">
        <f>IF(LEN(A48)&gt;1,VLOOKUP(A48,COPY!$O$2:$R$1000,4,FALSE),"")</f>
        <v>Mgg7</v>
      </c>
      <c r="C48" s="75" t="str">
        <f t="shared" si="0"/>
        <v>MELIA FITRIANI, S.Pd.SD</v>
      </c>
      <c r="D48" s="75" t="str">
        <f t="shared" si="1"/>
        <v>NIP. 19850619 200904 2 000</v>
      </c>
      <c r="E48" s="75" t="str">
        <f t="shared" si="2"/>
        <v>ARIF NUR UDIN, S.Pd.SD</v>
      </c>
      <c r="F48" s="75" t="str">
        <f t="shared" si="3"/>
        <v>NIP. 19840719 200903 1 002</v>
      </c>
      <c r="G48" s="75" t="str">
        <f>IFERROR(TEXT(VLOOKUP(A48,COPY!$S$2:$W$1000,3,FALSE),"dd mmmm yyyy")," ")</f>
        <v>18 Oktober 2025</v>
      </c>
      <c r="H48" s="75" t="str">
        <f t="shared" si="4"/>
        <v>SDN 1 SIDODADI</v>
      </c>
      <c r="I48" s="75" t="str">
        <f t="shared" si="5"/>
        <v>NGANTANG</v>
      </c>
      <c r="J48" s="90">
        <f>IFERROR(VLOOKUP(A48,COPY!$S$2:$W$1000,4,FALSE)," ")</f>
        <v>2200000</v>
      </c>
      <c r="K48" s="75" t="str">
        <f>IFERROR(VLOOKUP(A48,COPY!$S$2:$W$1000,5,FALSE)," ")</f>
        <v>Dua Juta Dua Ratus Ribu Rupiah</v>
      </c>
      <c r="L48" s="75" t="str">
        <f>IF(B48="","",IF(LEFT(B48,2)="Ma",(VLOOKUP(B48,'Rekap Gaji'!$C$12:$D$26,2,FALSE))&amp;" Untuk "&amp;(PROPER('Rekap Gaji'!$B$2)),IF(LEFT(B48,2)="Mg","Pembelian Material Bahan Bangunan",IF(LEFT(B48,2)="Me","Biaya Pembelanjaan Menejemen",IF(LEFT(B48,1)="G",VLOOKUP(A48,COPY!$S$2:$AA$1000,2,FALSE)&amp;"( "&amp;TEXT(VLOOKUP(B48,'Rekap Gaji'!$A$12:$I$26,5,FALSE),"dd-mm-yyyy")&amp;" "&amp;TEXT(VLOOKUP(B48,'Rekap Gaji'!$A$12:$I$26,6,FALSE)&amp;" "&amp;TEXT(VLOOKUP(B48,'Rekap Gaji'!$A$12:$I$26,7,FALSE),"dd-mm-yyyy")&amp;" )"," "))))))</f>
        <v>Pembelian Material Bahan Bangunan</v>
      </c>
      <c r="M48" s="75" t="str">
        <f>IF(OR(LEFT(B48,2)="mg",LEFT(B48,2)="mE"),VLOOKUP(A48,COPY!$S$2:$AA$1000,2,FALSE),IF(LEFT(B48,1)="G"," ",IF(LEFT(B48,2)="ma"," "," ")))</f>
        <v>Closet Duduk Komplit Volk</v>
      </c>
      <c r="N48" s="75" t="str">
        <f>IFERROR(VLOOKUP($A$48&amp;"a",COPY!$S$2:$AA$1000,2,FALSE)," ")</f>
        <v xml:space="preserve"> </v>
      </c>
      <c r="O48" s="75" t="str">
        <f>IFERROR(VLOOKUP($A$48&amp;"aa",COPY!$S$2:$AA$1000,2,FALSE)," ")</f>
        <v xml:space="preserve"> </v>
      </c>
      <c r="P48" s="75" t="str">
        <f>IFERROR(VLOOKUP($A$48&amp;"aaa",COPY!$S$2:$AA$1000,2,FALSE)," ")</f>
        <v xml:space="preserve"> </v>
      </c>
      <c r="Q48" s="75" t="str">
        <f>IFERROR(VLOOKUP($A$48&amp;"aaaa",COPY!$S$2:$AA$1000,2,FALSE)," ")</f>
        <v xml:space="preserve"> </v>
      </c>
      <c r="R48" s="75" t="str">
        <f>IFERROR(VLOOKUP($A$48&amp;"aaaaa",COPY!$S$2:$AA$1000,2,FALSE)," ")</f>
        <v xml:space="preserve"> </v>
      </c>
      <c r="S48" s="75" t="str">
        <f>IFERROR(VLOOKUP($A$48&amp;"aaaaaa",COPY!$S$2:$AA$1000,2,FALSE)," ")</f>
        <v xml:space="preserve"> </v>
      </c>
      <c r="T48" s="75" t="str">
        <f>IFERROR(VLOOKUP($A$48&amp;"aaaaaaa",COPY!$S$2:$AA$1000,2,FALSE)," ")</f>
        <v xml:space="preserve"> </v>
      </c>
      <c r="U48" s="75" t="str">
        <f>IFERROR(VLOOKUP($A$48&amp;"aaaaaaaa",COPY!$S$2:$AA$1000,2,FALSE)," ")</f>
        <v xml:space="preserve"> </v>
      </c>
      <c r="V48" s="75" t="str">
        <f>IFERROR(VLOOKUP($A$48&amp;"aaaaaaaaa",COPY!$S$2:$AA$1000,2,FALSE)," ")</f>
        <v xml:space="preserve"> </v>
      </c>
      <c r="W48" s="75" t="str">
        <f>IFERROR(VLOOKUP($A$48&amp;"aaaaaaaaaa",COPY!$S$2:$AA$1000,2,FALSE)," ")</f>
        <v xml:space="preserve"> </v>
      </c>
      <c r="X48" s="75" t="str">
        <f>IFERROR(VLOOKUP($A$48&amp;"aaaaaaaaaaa",COPY!$S$2:$AA$1000,2,FALSE)," ")</f>
        <v xml:space="preserve"> </v>
      </c>
      <c r="Y48" s="90">
        <f>IF(OR(LEFT(B48,2)="mg",LEFT(B48,2)="mE"),VLOOKUP(A48,COPY!$S$2:$AA$1000,6,FALSE),IF(LEFT(B48,1)="G"," ",IF(LEFT(B48,2)="ma"," "," ")))</f>
        <v>2</v>
      </c>
      <c r="Z48" s="90" t="str">
        <f>IFERROR(VLOOKUP(A48&amp;"a",COPY!$S$2:$AA$1000,6,FALSE)," ")</f>
        <v xml:space="preserve"> </v>
      </c>
      <c r="AA48" s="90" t="str">
        <f>IFERROR(VLOOKUP(A48&amp;"aa",COPY!$S$2:$AA$1000,6,FALSE)," ")</f>
        <v xml:space="preserve"> </v>
      </c>
      <c r="AB48" s="90" t="str">
        <f>IFERROR(VLOOKUP(A48&amp;"aaa",COPY!$S$2:$AA$1000,6,FALSE)," ")</f>
        <v xml:space="preserve"> </v>
      </c>
      <c r="AC48" s="90" t="str">
        <f>IFERROR(VLOOKUP(A48&amp;"aaaa",COPY!$S$2:$AA$1000,6,FALSE)," ")</f>
        <v xml:space="preserve"> </v>
      </c>
      <c r="AD48" s="90" t="str">
        <f>IFERROR(VLOOKUP(A48&amp;"aaaaa",COPY!$S$2:$AA$1000,6,FALSE)," ")</f>
        <v xml:space="preserve"> </v>
      </c>
      <c r="AE48" s="90" t="str">
        <f>IFERROR(VLOOKUP(A48&amp;"aaaaaa",COPY!$S$2:$AA$1000,6,FALSE)," ")</f>
        <v xml:space="preserve"> </v>
      </c>
      <c r="AF48" s="90" t="str">
        <f>IFERROR(VLOOKUP(A48&amp;"aaaaaaa",COPY!$S$2:$AA$1000,6,FALSE)," ")</f>
        <v xml:space="preserve"> </v>
      </c>
      <c r="AG48" s="90" t="str">
        <f>IFERROR(VLOOKUP(A48&amp;"aaaaaaaa",COPY!$S$2:$AA$1000,6,FALSE)," ")</f>
        <v xml:space="preserve"> </v>
      </c>
      <c r="AH48" s="90" t="str">
        <f>IFERROR(VLOOKUP(A48&amp;"aaaaaaaaa",COPY!$S$2:$AA$1000,6,FALSE)," ")</f>
        <v xml:space="preserve"> </v>
      </c>
      <c r="AI48" s="90" t="str">
        <f>IFERROR(VLOOKUP(A48&amp;"aaaaaaaaaa",COPY!$S$2:$AA$1000,6,FALSE)," ")</f>
        <v xml:space="preserve"> </v>
      </c>
      <c r="AJ48" s="90" t="str">
        <f>IFERROR(VLOOKUP(A48&amp;"aaaaaaaaaaa",COPY!$S$2:$AA$1000,6,FALSE)," ")</f>
        <v xml:space="preserve"> </v>
      </c>
      <c r="AK48" s="90" t="str">
        <f>IF(LEFT(B48,2)="mg",VLOOKUP(A48,COPY!$S$2:$AA$1000,7,FALSE),IF(LEFT(B48,1)="G"," ",IF(LEFT(B48,2)="ma"," "," ")))</f>
        <v>Unit</v>
      </c>
      <c r="AL48" s="90" t="str">
        <f>IFERROR(VLOOKUP(A48&amp;"a",COPY!$S$2:$AA$1000,7,FALSE)," ")</f>
        <v xml:space="preserve"> </v>
      </c>
      <c r="AM48" s="90" t="str">
        <f>IFERROR(VLOOKUP(A48&amp;"aa",COPY!$S$2:$AA$1000,7,FALSE)," ")</f>
        <v xml:space="preserve"> </v>
      </c>
      <c r="AN48" s="90" t="str">
        <f>IFERROR(VLOOKUP(A48&amp;"aaa",COPY!$S$2:$AA$1000,7,FALSE)," ")</f>
        <v xml:space="preserve"> </v>
      </c>
      <c r="AO48" s="90" t="str">
        <f>IFERROR(VLOOKUP(A48&amp;"aaaa",COPY!$S$2:$AA$1000,7,FALSE)," ")</f>
        <v xml:space="preserve"> </v>
      </c>
      <c r="AP48" s="90" t="str">
        <f>IFERROR(VLOOKUP(A48&amp;"aaaaa",COPY!$S$2:$AA$1000,7,FALSE)," ")</f>
        <v xml:space="preserve"> </v>
      </c>
      <c r="AQ48" s="90" t="str">
        <f>IFERROR(VLOOKUP(A48&amp;"aaaaaa",COPY!$S$2:$AA$1000,7,FALSE)," ")</f>
        <v xml:space="preserve"> </v>
      </c>
      <c r="AR48" s="90" t="str">
        <f>IFERROR(VLOOKUP(A48&amp;"aaaaaaa",COPY!$S$2:$AA$1000,7,FALSE)," ")</f>
        <v xml:space="preserve"> </v>
      </c>
      <c r="AS48" s="90" t="str">
        <f>IFERROR(VLOOKUP(A48&amp;"aaaaaaaa",COPY!$S$2:$AA$1000,7,FALSE)," ")</f>
        <v xml:space="preserve"> </v>
      </c>
      <c r="AT48" s="90" t="str">
        <f>IFERROR(VLOOKUP(A48&amp;"aaaaaaaaa",COPY!$S$2:$AA$1000,7,FALSE)," ")</f>
        <v xml:space="preserve"> </v>
      </c>
      <c r="AU48" s="90" t="str">
        <f>IFERROR(VLOOKUP(A48&amp;"aaaaaaaaaa",COPY!$S$2:$AA$1000,7,FALSE)," ")</f>
        <v xml:space="preserve"> </v>
      </c>
      <c r="AV48" s="90" t="str">
        <f>IFERROR(VLOOKUP(A48&amp;"aaaaaaaaaaa",COPY!$S$2:$AA$1000,7,FALSE)," ")</f>
        <v xml:space="preserve"> </v>
      </c>
    </row>
    <row r="49" spans="1:48" x14ac:dyDescent="0.2">
      <c r="A49" s="75" t="str">
        <f>'REKAP PAJAK'!W86</f>
        <v>BKK.48</v>
      </c>
      <c r="B49" s="75" t="str">
        <f>IF(LEN(A49)&gt;1,VLOOKUP(A49,COPY!$O$2:$R$1000,4,FALSE),"")</f>
        <v>Gaj7</v>
      </c>
      <c r="C49" s="75" t="str">
        <f t="shared" si="0"/>
        <v>MELIA FITRIANI, S.Pd.SD</v>
      </c>
      <c r="D49" s="75" t="str">
        <f t="shared" si="1"/>
        <v>NIP. 19850619 200904 2 000</v>
      </c>
      <c r="E49" s="75" t="str">
        <f t="shared" si="2"/>
        <v>ARIF NUR UDIN, S.Pd.SD</v>
      </c>
      <c r="F49" s="75" t="str">
        <f t="shared" si="3"/>
        <v>NIP. 19840719 200903 1 002</v>
      </c>
      <c r="G49" s="75" t="str">
        <f>IFERROR(TEXT(VLOOKUP(A49,COPY!$S$2:$W$1000,3,FALSE),"dd mmmm yyyy")," ")</f>
        <v>18 Oktober 2025</v>
      </c>
      <c r="H49" s="75" t="str">
        <f t="shared" si="4"/>
        <v>SDN 1 SIDODADI</v>
      </c>
      <c r="I49" s="75" t="str">
        <f t="shared" si="5"/>
        <v>NGANTANG</v>
      </c>
      <c r="J49" s="90">
        <f>IFERROR(VLOOKUP(A49,COPY!$S$2:$W$1000,4,FALSE)," ")</f>
        <v>5110000</v>
      </c>
      <c r="K49" s="75" t="str">
        <f>IFERROR(VLOOKUP(A49,COPY!$S$2:$W$1000,5,FALSE)," ")</f>
        <v>Lima Juta Seratus Sepuluh Ribu Rupiah</v>
      </c>
      <c r="L49" s="75" t="str">
        <f>IF(B49="","",IF(LEFT(B49,2)="Ma",(VLOOKUP(B49,'Rekap Gaji'!$C$12:$D$26,2,FALSE))&amp;" Untuk "&amp;(PROPER('Rekap Gaji'!$B$2)),IF(LEFT(B49,2)="Mg","Pembelian Material Bahan Bangunan",IF(LEFT(B49,2)="Me","Biaya Pembelanjaan Menejemen",IF(LEFT(B49,1)="G",VLOOKUP(A49,COPY!$S$2:$AA$1000,2,FALSE)&amp;"( "&amp;TEXT(VLOOKUP(B49,'Rekap Gaji'!$A$12:$I$26,5,FALSE),"dd-mm-yyyy")&amp;" "&amp;TEXT(VLOOKUP(B49,'Rekap Gaji'!$A$12:$I$26,6,FALSE)&amp;" "&amp;TEXT(VLOOKUP(B49,'Rekap Gaji'!$A$12:$I$26,7,FALSE),"dd-mm-yyyy")&amp;" )"," "))))))</f>
        <v>Pembayaran Pekerja Minggu Ke 7( 12-10-2025 s/d 18-10-2025 )</v>
      </c>
      <c r="M49" s="75" t="str">
        <f>IF(OR(LEFT(B49,2)="mg",LEFT(B49,2)="mE"),VLOOKUP(A49,COPY!$S$2:$AA$1000,2,FALSE),IF(LEFT(B49,1)="G"," ",IF(LEFT(B49,2)="ma"," "," ")))</f>
        <v xml:space="preserve"> </v>
      </c>
      <c r="N49" s="75" t="str">
        <f>IFERROR(VLOOKUP($A$49&amp;"a",COPY!$S$2:$AA$1000,2,FALSE)," ")</f>
        <v xml:space="preserve"> </v>
      </c>
      <c r="O49" s="75" t="str">
        <f>IFERROR(VLOOKUP($A$49&amp;"aa",COPY!$S$2:$AA$1000,2,FALSE)," ")</f>
        <v xml:space="preserve"> </v>
      </c>
      <c r="P49" s="75" t="str">
        <f>IFERROR(VLOOKUP($A$49&amp;"aaa",COPY!$S$2:$AA$1000,2,FALSE)," ")</f>
        <v xml:space="preserve"> </v>
      </c>
      <c r="Q49" s="75" t="str">
        <f>IFERROR(VLOOKUP($A$49&amp;"aaaa",COPY!$S$2:$AA$1000,2,FALSE)," ")</f>
        <v xml:space="preserve"> </v>
      </c>
      <c r="R49" s="75" t="str">
        <f>IFERROR(VLOOKUP($A$49&amp;"aaaaa",COPY!$S$2:$AA$1000,2,FALSE)," ")</f>
        <v xml:space="preserve"> </v>
      </c>
      <c r="S49" s="75" t="str">
        <f>IFERROR(VLOOKUP($A$49&amp;"aaaaaa",COPY!$S$2:$AA$1000,2,FALSE)," ")</f>
        <v xml:space="preserve"> </v>
      </c>
      <c r="T49" s="75" t="str">
        <f>IFERROR(VLOOKUP($A$49&amp;"aaaaaaa",COPY!$S$2:$AA$1000,2,FALSE)," ")</f>
        <v xml:space="preserve"> </v>
      </c>
      <c r="U49" s="75" t="str">
        <f>IFERROR(VLOOKUP($A$49&amp;"aaaaaaaa",COPY!$S$2:$AA$1000,2,FALSE)," ")</f>
        <v xml:space="preserve"> </v>
      </c>
      <c r="V49" s="75" t="str">
        <f>IFERROR(VLOOKUP($A$49&amp;"aaaaaaaaa",COPY!$S$2:$AA$1000,2,FALSE)," ")</f>
        <v xml:space="preserve"> </v>
      </c>
      <c r="W49" s="75" t="str">
        <f>IFERROR(VLOOKUP($A$49&amp;"aaaaaaaaaa",COPY!$S$2:$AA$1000,2,FALSE)," ")</f>
        <v xml:space="preserve"> </v>
      </c>
      <c r="X49" s="75" t="str">
        <f>IFERROR(VLOOKUP($A$49&amp;"aaaaaaaaaaa",COPY!$S$2:$AA$1000,2,FALSE)," ")</f>
        <v xml:space="preserve"> </v>
      </c>
      <c r="Y49" s="90" t="str">
        <f>IF(OR(LEFT(B49,2)="mg",LEFT(B49,2)="mE"),VLOOKUP(A49,COPY!$S$2:$AA$1000,6,FALSE),IF(LEFT(B49,1)="G"," ",IF(LEFT(B49,2)="ma"," "," ")))</f>
        <v xml:space="preserve"> </v>
      </c>
      <c r="Z49" s="90" t="str">
        <f>IFERROR(VLOOKUP(A49&amp;"a",COPY!$S$2:$AA$1000,6,FALSE)," ")</f>
        <v xml:space="preserve"> </v>
      </c>
      <c r="AA49" s="90" t="str">
        <f>IFERROR(VLOOKUP(A49&amp;"aa",COPY!$S$2:$AA$1000,6,FALSE)," ")</f>
        <v xml:space="preserve"> </v>
      </c>
      <c r="AB49" s="90" t="str">
        <f>IFERROR(VLOOKUP(A49&amp;"aaa",COPY!$S$2:$AA$1000,6,FALSE)," ")</f>
        <v xml:space="preserve"> </v>
      </c>
      <c r="AC49" s="90" t="str">
        <f>IFERROR(VLOOKUP(A49&amp;"aaaa",COPY!$S$2:$AA$1000,6,FALSE)," ")</f>
        <v xml:space="preserve"> </v>
      </c>
      <c r="AD49" s="90" t="str">
        <f>IFERROR(VLOOKUP(A49&amp;"aaaaa",COPY!$S$2:$AA$1000,6,FALSE)," ")</f>
        <v xml:space="preserve"> </v>
      </c>
      <c r="AE49" s="90" t="str">
        <f>IFERROR(VLOOKUP(A49&amp;"aaaaaa",COPY!$S$2:$AA$1000,6,FALSE)," ")</f>
        <v xml:space="preserve"> </v>
      </c>
      <c r="AF49" s="90" t="str">
        <f>IFERROR(VLOOKUP(A49&amp;"aaaaaaa",COPY!$S$2:$AA$1000,6,FALSE)," ")</f>
        <v xml:space="preserve"> </v>
      </c>
      <c r="AG49" s="90" t="str">
        <f>IFERROR(VLOOKUP(A49&amp;"aaaaaaaa",COPY!$S$2:$AA$1000,6,FALSE)," ")</f>
        <v xml:space="preserve"> </v>
      </c>
      <c r="AH49" s="90" t="str">
        <f>IFERROR(VLOOKUP(A49&amp;"aaaaaaaaa",COPY!$S$2:$AA$1000,6,FALSE)," ")</f>
        <v xml:space="preserve"> </v>
      </c>
      <c r="AI49" s="90" t="str">
        <f>IFERROR(VLOOKUP(A49&amp;"aaaaaaaaaa",COPY!$S$2:$AA$1000,6,FALSE)," ")</f>
        <v xml:space="preserve"> </v>
      </c>
      <c r="AJ49" s="90" t="str">
        <f>IFERROR(VLOOKUP(A49&amp;"aaaaaaaaaaa",COPY!$S$2:$AA$1000,6,FALSE)," ")</f>
        <v xml:space="preserve"> </v>
      </c>
      <c r="AK49" s="90" t="str">
        <f>IF(LEFT(B49,2)="mg",VLOOKUP(A49,COPY!$S$2:$AA$1000,7,FALSE),IF(LEFT(B49,1)="G"," ",IF(LEFT(B49,2)="ma"," "," ")))</f>
        <v xml:space="preserve"> </v>
      </c>
      <c r="AL49" s="90" t="str">
        <f>IFERROR(VLOOKUP(A49&amp;"a",COPY!$S$2:$AA$1000,7,FALSE)," ")</f>
        <v xml:space="preserve"> </v>
      </c>
      <c r="AM49" s="90" t="str">
        <f>IFERROR(VLOOKUP(A49&amp;"aa",COPY!$S$2:$AA$1000,7,FALSE)," ")</f>
        <v xml:space="preserve"> </v>
      </c>
      <c r="AN49" s="90" t="str">
        <f>IFERROR(VLOOKUP(A49&amp;"aaa",COPY!$S$2:$AA$1000,7,FALSE)," ")</f>
        <v xml:space="preserve"> </v>
      </c>
      <c r="AO49" s="90" t="str">
        <f>IFERROR(VLOOKUP(A49&amp;"aaaa",COPY!$S$2:$AA$1000,7,FALSE)," ")</f>
        <v xml:space="preserve"> </v>
      </c>
      <c r="AP49" s="90" t="str">
        <f>IFERROR(VLOOKUP(A49&amp;"aaaaa",COPY!$S$2:$AA$1000,7,FALSE)," ")</f>
        <v xml:space="preserve"> </v>
      </c>
      <c r="AQ49" s="90" t="str">
        <f>IFERROR(VLOOKUP(A49&amp;"aaaaaa",COPY!$S$2:$AA$1000,7,FALSE)," ")</f>
        <v xml:space="preserve"> </v>
      </c>
      <c r="AR49" s="90" t="str">
        <f>IFERROR(VLOOKUP(A49&amp;"aaaaaaa",COPY!$S$2:$AA$1000,7,FALSE)," ")</f>
        <v xml:space="preserve"> </v>
      </c>
      <c r="AS49" s="90" t="str">
        <f>IFERROR(VLOOKUP(A49&amp;"aaaaaaaa",COPY!$S$2:$AA$1000,7,FALSE)," ")</f>
        <v xml:space="preserve"> </v>
      </c>
      <c r="AT49" s="90" t="str">
        <f>IFERROR(VLOOKUP(A49&amp;"aaaaaaaaa",COPY!$S$2:$AA$1000,7,FALSE)," ")</f>
        <v xml:space="preserve"> </v>
      </c>
      <c r="AU49" s="90" t="str">
        <f>IFERROR(VLOOKUP(A49&amp;"aaaaaaaaaa",COPY!$S$2:$AA$1000,7,FALSE)," ")</f>
        <v xml:space="preserve"> </v>
      </c>
      <c r="AV49" s="90" t="str">
        <f>IFERROR(VLOOKUP(A49&amp;"aaaaaaaaaaa",COPY!$S$2:$AA$1000,7,FALSE)," ")</f>
        <v xml:space="preserve"> </v>
      </c>
    </row>
    <row r="50" spans="1:48" x14ac:dyDescent="0.2">
      <c r="A50" s="75" t="str">
        <f>'REKAP PAJAK'!W87</f>
        <v>BKK.49</v>
      </c>
      <c r="B50" s="75" t="str">
        <f>IF(LEN(A50)&gt;1,VLOOKUP(A50,COPY!$O$2:$R$1000,4,FALSE),"")</f>
        <v>Mgg8</v>
      </c>
      <c r="C50" s="75" t="str">
        <f t="shared" si="0"/>
        <v>MELIA FITRIANI, S.Pd.SD</v>
      </c>
      <c r="D50" s="75" t="str">
        <f t="shared" si="1"/>
        <v>NIP. 19850619 200904 2 000</v>
      </c>
      <c r="E50" s="75" t="str">
        <f t="shared" si="2"/>
        <v>ARIF NUR UDIN, S.Pd.SD</v>
      </c>
      <c r="F50" s="75" t="str">
        <f t="shared" si="3"/>
        <v>NIP. 19840719 200903 1 002</v>
      </c>
      <c r="G50" s="75" t="str">
        <f>IFERROR(TEXT(VLOOKUP(A50,COPY!$S$2:$W$1000,3,FALSE),"dd mmmm yyyy")," ")</f>
        <v>20 Oktober 2025</v>
      </c>
      <c r="H50" s="75" t="str">
        <f t="shared" si="4"/>
        <v>SDN 1 SIDODADI</v>
      </c>
      <c r="I50" s="75" t="str">
        <f t="shared" si="5"/>
        <v>NGANTANG</v>
      </c>
      <c r="J50" s="90">
        <f>IFERROR(VLOOKUP(A50,COPY!$S$2:$W$1000,4,FALSE)," ")</f>
        <v>1550000</v>
      </c>
      <c r="K50" s="75" t="str">
        <f>IFERROR(VLOOKUP(A50,COPY!$S$2:$W$1000,5,FALSE)," ")</f>
        <v>Satu Juta Lima Ratus Lima Puluh Ribu Rupiah</v>
      </c>
      <c r="L50" s="75" t="str">
        <f>IF(B50="","",IF(LEFT(B50,2)="Ma",(VLOOKUP(B50,'Rekap Gaji'!$C$12:$D$26,2,FALSE))&amp;" Untuk "&amp;(PROPER('Rekap Gaji'!$B$2)),IF(LEFT(B50,2)="Mg","Pembelian Material Bahan Bangunan",IF(LEFT(B50,2)="Me","Biaya Pembelanjaan Menejemen",IF(LEFT(B50,1)="G",VLOOKUP(A50,COPY!$S$2:$AA$1000,2,FALSE)&amp;"( "&amp;TEXT(VLOOKUP(B50,'Rekap Gaji'!$A$12:$I$26,5,FALSE),"dd-mm-yyyy")&amp;" "&amp;TEXT(VLOOKUP(B50,'Rekap Gaji'!$A$12:$I$26,6,FALSE)&amp;" "&amp;TEXT(VLOOKUP(B50,'Rekap Gaji'!$A$12:$I$26,7,FALSE),"dd-mm-yyyy")&amp;" )"," "))))))</f>
        <v>Pembelian Material Bahan Bangunan</v>
      </c>
      <c r="M50" s="75" t="str">
        <f>IF(OR(LEFT(B50,2)="mg",LEFT(B50,2)="mE"),VLOOKUP(A50,COPY!$S$2:$AA$1000,2,FALSE),IF(LEFT(B50,1)="G"," ",IF(LEFT(B50,2)="ma"," "," ")))</f>
        <v>Tiang Engsel Pintu Lipat 8cm Alumunium</v>
      </c>
      <c r="N50" s="75" t="str">
        <f>IFERROR(VLOOKUP($A$50&amp;"a",COPY!$S$2:$AA$1000,2,FALSE)," ")</f>
        <v>Alumunium Profil C 3"</v>
      </c>
      <c r="O50" s="75" t="str">
        <f>IFERROR(VLOOKUP($A$50&amp;"aa",COPY!$S$2:$AA$1000,2,FALSE)," ")</f>
        <v xml:space="preserve"> </v>
      </c>
      <c r="P50" s="75" t="str">
        <f>IFERROR(VLOOKUP($A$50&amp;"aaa",COPY!$S$2:$AA$1000,2,FALSE)," ")</f>
        <v xml:space="preserve"> </v>
      </c>
      <c r="Q50" s="75" t="str">
        <f>IFERROR(VLOOKUP($A$50&amp;"aaaa",COPY!$S$2:$AA$1000,2,FALSE)," ")</f>
        <v xml:space="preserve"> </v>
      </c>
      <c r="R50" s="75" t="str">
        <f>IFERROR(VLOOKUP($A$50&amp;"aaaaa",COPY!$S$2:$AA$1000,2,FALSE)," ")</f>
        <v xml:space="preserve"> </v>
      </c>
      <c r="S50" s="75" t="str">
        <f>IFERROR(VLOOKUP($A$50&amp;"aaaaaa",COPY!$S$2:$AA$1000,2,FALSE)," ")</f>
        <v xml:space="preserve"> </v>
      </c>
      <c r="T50" s="75" t="str">
        <f>IFERROR(VLOOKUP($A$50&amp;"aaaaaaa",COPY!$S$2:$AA$1000,2,FALSE)," ")</f>
        <v xml:space="preserve"> </v>
      </c>
      <c r="U50" s="75" t="str">
        <f>IFERROR(VLOOKUP($A$50&amp;"aaaaaaaa",COPY!$S$2:$AA$1000,2,FALSE)," ")</f>
        <v xml:space="preserve"> </v>
      </c>
      <c r="V50" s="75" t="str">
        <f>IFERROR(VLOOKUP($A$50&amp;"aaaaaaaaa",COPY!$S$2:$AA$1000,2,FALSE)," ")</f>
        <v xml:space="preserve"> </v>
      </c>
      <c r="W50" s="75" t="str">
        <f>IFERROR(VLOOKUP($A$50&amp;"aaaaaaaaaa",COPY!$S$2:$AA$1000,2,FALSE)," ")</f>
        <v xml:space="preserve"> </v>
      </c>
      <c r="X50" s="75" t="str">
        <f>IFERROR(VLOOKUP($A$50&amp;"aaaaaaaaaaa",COPY!$S$2:$AA$1000,2,FALSE)," ")</f>
        <v xml:space="preserve"> </v>
      </c>
      <c r="Y50" s="90">
        <f>IF(OR(LEFT(B50,2)="mg",LEFT(B50,2)="mE"),VLOOKUP(A50,COPY!$S$2:$AA$1000,6,FALSE),IF(LEFT(B50,1)="G"," ",IF(LEFT(B50,2)="ma"," "," ")))</f>
        <v>2</v>
      </c>
      <c r="Z50" s="90">
        <f>IFERROR(VLOOKUP(A50&amp;"a",COPY!$S$2:$AA$1000,6,FALSE)," ")</f>
        <v>4</v>
      </c>
      <c r="AA50" s="90" t="str">
        <f>IFERROR(VLOOKUP(A50&amp;"aa",COPY!$S$2:$AA$1000,6,FALSE)," ")</f>
        <v xml:space="preserve"> </v>
      </c>
      <c r="AB50" s="90" t="str">
        <f>IFERROR(VLOOKUP(A50&amp;"aaa",COPY!$S$2:$AA$1000,6,FALSE)," ")</f>
        <v xml:space="preserve"> </v>
      </c>
      <c r="AC50" s="90" t="str">
        <f>IFERROR(VLOOKUP(A50&amp;"aaaa",COPY!$S$2:$AA$1000,6,FALSE)," ")</f>
        <v xml:space="preserve"> </v>
      </c>
      <c r="AD50" s="90" t="str">
        <f>IFERROR(VLOOKUP(A50&amp;"aaaaa",COPY!$S$2:$AA$1000,6,FALSE)," ")</f>
        <v xml:space="preserve"> </v>
      </c>
      <c r="AE50" s="90" t="str">
        <f>IFERROR(VLOOKUP(A50&amp;"aaaaaa",COPY!$S$2:$AA$1000,6,FALSE)," ")</f>
        <v xml:space="preserve"> </v>
      </c>
      <c r="AF50" s="90" t="str">
        <f>IFERROR(VLOOKUP(A50&amp;"aaaaaaa",COPY!$S$2:$AA$1000,6,FALSE)," ")</f>
        <v xml:space="preserve"> </v>
      </c>
      <c r="AG50" s="90" t="str">
        <f>IFERROR(VLOOKUP(A50&amp;"aaaaaaaa",COPY!$S$2:$AA$1000,6,FALSE)," ")</f>
        <v xml:space="preserve"> </v>
      </c>
      <c r="AH50" s="90" t="str">
        <f>IFERROR(VLOOKUP(A50&amp;"aaaaaaaaa",COPY!$S$2:$AA$1000,6,FALSE)," ")</f>
        <v xml:space="preserve"> </v>
      </c>
      <c r="AI50" s="90" t="str">
        <f>IFERROR(VLOOKUP(A50&amp;"aaaaaaaaaa",COPY!$S$2:$AA$1000,6,FALSE)," ")</f>
        <v xml:space="preserve"> </v>
      </c>
      <c r="AJ50" s="90" t="str">
        <f>IFERROR(VLOOKUP(A50&amp;"aaaaaaaaaaa",COPY!$S$2:$AA$1000,6,FALSE)," ")</f>
        <v xml:space="preserve"> </v>
      </c>
      <c r="AK50" s="90" t="str">
        <f>IF(LEFT(B50,2)="mg",VLOOKUP(A50,COPY!$S$2:$AA$1000,7,FALSE),IF(LEFT(B50,1)="G"," ",IF(LEFT(B50,2)="ma"," "," ")))</f>
        <v>Ljr</v>
      </c>
      <c r="AL50" s="90" t="str">
        <f>IFERROR(VLOOKUP(A50&amp;"a",COPY!$S$2:$AA$1000,7,FALSE)," ")</f>
        <v>Ljr</v>
      </c>
      <c r="AM50" s="90" t="str">
        <f>IFERROR(VLOOKUP(A50&amp;"aa",COPY!$S$2:$AA$1000,7,FALSE)," ")</f>
        <v xml:space="preserve"> </v>
      </c>
      <c r="AN50" s="90" t="str">
        <f>IFERROR(VLOOKUP(A50&amp;"aaa",COPY!$S$2:$AA$1000,7,FALSE)," ")</f>
        <v xml:space="preserve"> </v>
      </c>
      <c r="AO50" s="90" t="str">
        <f>IFERROR(VLOOKUP(A50&amp;"aaaa",COPY!$S$2:$AA$1000,7,FALSE)," ")</f>
        <v xml:space="preserve"> </v>
      </c>
      <c r="AP50" s="90" t="str">
        <f>IFERROR(VLOOKUP(A50&amp;"aaaaa",COPY!$S$2:$AA$1000,7,FALSE)," ")</f>
        <v xml:space="preserve"> </v>
      </c>
      <c r="AQ50" s="90" t="str">
        <f>IFERROR(VLOOKUP(A50&amp;"aaaaaa",COPY!$S$2:$AA$1000,7,FALSE)," ")</f>
        <v xml:space="preserve"> </v>
      </c>
      <c r="AR50" s="90" t="str">
        <f>IFERROR(VLOOKUP(A50&amp;"aaaaaaa",COPY!$S$2:$AA$1000,7,FALSE)," ")</f>
        <v xml:space="preserve"> </v>
      </c>
      <c r="AS50" s="90" t="str">
        <f>IFERROR(VLOOKUP(A50&amp;"aaaaaaaa",COPY!$S$2:$AA$1000,7,FALSE)," ")</f>
        <v xml:space="preserve"> </v>
      </c>
      <c r="AT50" s="90" t="str">
        <f>IFERROR(VLOOKUP(A50&amp;"aaaaaaaaa",COPY!$S$2:$AA$1000,7,FALSE)," ")</f>
        <v xml:space="preserve"> </v>
      </c>
      <c r="AU50" s="90" t="str">
        <f>IFERROR(VLOOKUP(A50&amp;"aaaaaaaaaa",COPY!$S$2:$AA$1000,7,FALSE)," ")</f>
        <v xml:space="preserve"> </v>
      </c>
      <c r="AV50" s="90" t="str">
        <f>IFERROR(VLOOKUP(A50&amp;"aaaaaaaaaaa",COPY!$S$2:$AA$1000,7,FALSE)," ")</f>
        <v xml:space="preserve"> </v>
      </c>
    </row>
    <row r="51" spans="1:48" x14ac:dyDescent="0.2">
      <c r="A51" s="75" t="str">
        <f>'REKAP PAJAK'!W88</f>
        <v>BKK.50</v>
      </c>
      <c r="B51" s="75" t="str">
        <f>IF(LEN(A51)&gt;1,VLOOKUP(A51,COPY!$O$2:$R$1000,4,FALSE),"")</f>
        <v>Mgg8</v>
      </c>
      <c r="C51" s="75" t="str">
        <f t="shared" si="0"/>
        <v>MELIA FITRIANI, S.Pd.SD</v>
      </c>
      <c r="D51" s="75" t="str">
        <f t="shared" si="1"/>
        <v>NIP. 19850619 200904 2 000</v>
      </c>
      <c r="E51" s="75" t="str">
        <f t="shared" si="2"/>
        <v>ARIF NUR UDIN, S.Pd.SD</v>
      </c>
      <c r="F51" s="75" t="str">
        <f t="shared" si="3"/>
        <v>NIP. 19840719 200903 1 002</v>
      </c>
      <c r="G51" s="75" t="str">
        <f>IFERROR(TEXT(VLOOKUP(A51,COPY!$S$2:$W$1000,3,FALSE),"dd mmmm yyyy")," ")</f>
        <v>21 Oktober 2025</v>
      </c>
      <c r="H51" s="75" t="str">
        <f t="shared" si="4"/>
        <v>SDN 1 SIDODADI</v>
      </c>
      <c r="I51" s="75" t="str">
        <f t="shared" si="5"/>
        <v>NGANTANG</v>
      </c>
      <c r="J51" s="90">
        <f>IFERROR(VLOOKUP(A51,COPY!$S$2:$W$1000,4,FALSE)," ")</f>
        <v>1682000</v>
      </c>
      <c r="K51" s="75" t="str">
        <f>IFERROR(VLOOKUP(A51,COPY!$S$2:$W$1000,5,FALSE)," ")</f>
        <v>Satu Juta Enam Ratus Delapan Puluh Dua Ribu Rupiah</v>
      </c>
      <c r="L51" s="75" t="str">
        <f>IF(B51="","",IF(LEFT(B51,2)="Ma",(VLOOKUP(B51,'Rekap Gaji'!$C$12:$D$26,2,FALSE))&amp;" Untuk "&amp;(PROPER('Rekap Gaji'!$B$2)),IF(LEFT(B51,2)="Mg","Pembelian Material Bahan Bangunan",IF(LEFT(B51,2)="Me","Biaya Pembelanjaan Menejemen",IF(LEFT(B51,1)="G",VLOOKUP(A51,COPY!$S$2:$AA$1000,2,FALSE)&amp;"( "&amp;TEXT(VLOOKUP(B51,'Rekap Gaji'!$A$12:$I$26,5,FALSE),"dd-mm-yyyy")&amp;" "&amp;TEXT(VLOOKUP(B51,'Rekap Gaji'!$A$12:$I$26,6,FALSE)&amp;" "&amp;TEXT(VLOOKUP(B51,'Rekap Gaji'!$A$12:$I$26,7,FALSE),"dd-mm-yyyy")&amp;" )"," "))))))</f>
        <v>Pembelian Material Bahan Bangunan</v>
      </c>
      <c r="M51" s="75" t="str">
        <f>IF(OR(LEFT(B51,2)="mg",LEFT(B51,2)="mE"),VLOOKUP(A51,COPY!$S$2:$AA$1000,2,FALSE),IF(LEFT(B51,1)="G"," ",IF(LEFT(B51,2)="ma"," "," ")))</f>
        <v>Stang Silent Plat</v>
      </c>
      <c r="N51" s="75" t="str">
        <f>IFERROR(VLOOKUP($A$51&amp;"a",COPY!$S$2:$AA$1000,2,FALSE)," ")</f>
        <v>Spigot Indal</v>
      </c>
      <c r="O51" s="75" t="str">
        <f>IFERROR(VLOOKUP($A$51&amp;"aa",COPY!$S$2:$AA$1000,2,FALSE)," ")</f>
        <v>Tiang Engsel Pintu Lipat 8cm Alumunium</v>
      </c>
      <c r="P51" s="75" t="str">
        <f>IFERROR(VLOOKUP($A$51&amp;"aaa",COPY!$S$2:$AA$1000,2,FALSE)," ")</f>
        <v xml:space="preserve"> </v>
      </c>
      <c r="Q51" s="75" t="str">
        <f>IFERROR(VLOOKUP($A$51&amp;"aaaa",COPY!$S$2:$AA$1000,2,FALSE)," ")</f>
        <v xml:space="preserve"> </v>
      </c>
      <c r="R51" s="75" t="str">
        <f>IFERROR(VLOOKUP($A$51&amp;"aaaaa",COPY!$S$2:$AA$1000,2,FALSE)," ")</f>
        <v xml:space="preserve"> </v>
      </c>
      <c r="S51" s="75" t="str">
        <f>IFERROR(VLOOKUP($A$51&amp;"aaaaaa",COPY!$S$2:$AA$1000,2,FALSE)," ")</f>
        <v xml:space="preserve"> </v>
      </c>
      <c r="T51" s="75" t="str">
        <f>IFERROR(VLOOKUP($A$51&amp;"aaaaaaa",COPY!$S$2:$AA$1000,2,FALSE)," ")</f>
        <v xml:space="preserve"> </v>
      </c>
      <c r="U51" s="75" t="str">
        <f>IFERROR(VLOOKUP($A$51&amp;"aaaaaaaa",COPY!$S$2:$AA$1000,2,FALSE)," ")</f>
        <v xml:space="preserve"> </v>
      </c>
      <c r="V51" s="75" t="str">
        <f>IFERROR(VLOOKUP($A$51&amp;"aaaaaaaaa",COPY!$S$2:$AA$1000,2,FALSE)," ")</f>
        <v xml:space="preserve"> </v>
      </c>
      <c r="W51" s="75" t="str">
        <f>IFERROR(VLOOKUP($A$51&amp;"aaaaaaaaaa",COPY!$S$2:$AA$1000,2,FALSE)," ")</f>
        <v xml:space="preserve"> </v>
      </c>
      <c r="X51" s="75" t="str">
        <f>IFERROR(VLOOKUP($A$51&amp;"aaaaaaaaaaa",COPY!$S$2:$AA$1000,2,FALSE)," ")</f>
        <v xml:space="preserve"> </v>
      </c>
      <c r="Y51" s="90">
        <f>IF(OR(LEFT(B51,2)="mg",LEFT(B51,2)="mE"),VLOOKUP(A51,COPY!$S$2:$AA$1000,6,FALSE),IF(LEFT(B51,1)="G"," ",IF(LEFT(B51,2)="ma"," "," ")))</f>
        <v>1</v>
      </c>
      <c r="Z51" s="90">
        <f>IFERROR(VLOOKUP(A51&amp;"a",COPY!$S$2:$AA$1000,6,FALSE)," ")</f>
        <v>2</v>
      </c>
      <c r="AA51" s="90">
        <f>IFERROR(VLOOKUP(A51&amp;"aa",COPY!$S$2:$AA$1000,6,FALSE)," ")</f>
        <v>4</v>
      </c>
      <c r="AB51" s="90" t="str">
        <f>IFERROR(VLOOKUP(A51&amp;"aaa",COPY!$S$2:$AA$1000,6,FALSE)," ")</f>
        <v xml:space="preserve"> </v>
      </c>
      <c r="AC51" s="90" t="str">
        <f>IFERROR(VLOOKUP(A51&amp;"aaaa",COPY!$S$2:$AA$1000,6,FALSE)," ")</f>
        <v xml:space="preserve"> </v>
      </c>
      <c r="AD51" s="90" t="str">
        <f>IFERROR(VLOOKUP(A51&amp;"aaaaa",COPY!$S$2:$AA$1000,6,FALSE)," ")</f>
        <v xml:space="preserve"> </v>
      </c>
      <c r="AE51" s="90" t="str">
        <f>IFERROR(VLOOKUP(A51&amp;"aaaaaa",COPY!$S$2:$AA$1000,6,FALSE)," ")</f>
        <v xml:space="preserve"> </v>
      </c>
      <c r="AF51" s="90" t="str">
        <f>IFERROR(VLOOKUP(A51&amp;"aaaaaaa",COPY!$S$2:$AA$1000,6,FALSE)," ")</f>
        <v xml:space="preserve"> </v>
      </c>
      <c r="AG51" s="90" t="str">
        <f>IFERROR(VLOOKUP(A51&amp;"aaaaaaaa",COPY!$S$2:$AA$1000,6,FALSE)," ")</f>
        <v xml:space="preserve"> </v>
      </c>
      <c r="AH51" s="90" t="str">
        <f>IFERROR(VLOOKUP(A51&amp;"aaaaaaaaa",COPY!$S$2:$AA$1000,6,FALSE)," ")</f>
        <v xml:space="preserve"> </v>
      </c>
      <c r="AI51" s="90" t="str">
        <f>IFERROR(VLOOKUP(A51&amp;"aaaaaaaaaa",COPY!$S$2:$AA$1000,6,FALSE)," ")</f>
        <v xml:space="preserve"> </v>
      </c>
      <c r="AJ51" s="90" t="str">
        <f>IFERROR(VLOOKUP(A51&amp;"aaaaaaaaaaa",COPY!$S$2:$AA$1000,6,FALSE)," ")</f>
        <v xml:space="preserve"> </v>
      </c>
      <c r="AK51" s="90" t="str">
        <f>IF(LEFT(B51,2)="mg",VLOOKUP(A51,COPY!$S$2:$AA$1000,7,FALSE),IF(LEFT(B51,1)="G"," ",IF(LEFT(B51,2)="ma"," "," ")))</f>
        <v>Pcs</v>
      </c>
      <c r="AL51" s="90" t="str">
        <f>IFERROR(VLOOKUP(A51&amp;"a",COPY!$S$2:$AA$1000,7,FALSE)," ")</f>
        <v>Ljr</v>
      </c>
      <c r="AM51" s="90" t="str">
        <f>IFERROR(VLOOKUP(A51&amp;"aa",COPY!$S$2:$AA$1000,7,FALSE)," ")</f>
        <v>Ljr</v>
      </c>
      <c r="AN51" s="90" t="str">
        <f>IFERROR(VLOOKUP(A51&amp;"aaa",COPY!$S$2:$AA$1000,7,FALSE)," ")</f>
        <v xml:space="preserve"> </v>
      </c>
      <c r="AO51" s="90" t="str">
        <f>IFERROR(VLOOKUP(A51&amp;"aaaa",COPY!$S$2:$AA$1000,7,FALSE)," ")</f>
        <v xml:space="preserve"> </v>
      </c>
      <c r="AP51" s="90" t="str">
        <f>IFERROR(VLOOKUP(A51&amp;"aaaaa",COPY!$S$2:$AA$1000,7,FALSE)," ")</f>
        <v xml:space="preserve"> </v>
      </c>
      <c r="AQ51" s="90" t="str">
        <f>IFERROR(VLOOKUP(A51&amp;"aaaaaa",COPY!$S$2:$AA$1000,7,FALSE)," ")</f>
        <v xml:space="preserve"> </v>
      </c>
      <c r="AR51" s="90" t="str">
        <f>IFERROR(VLOOKUP(A51&amp;"aaaaaaa",COPY!$S$2:$AA$1000,7,FALSE)," ")</f>
        <v xml:space="preserve"> </v>
      </c>
      <c r="AS51" s="90" t="str">
        <f>IFERROR(VLOOKUP(A51&amp;"aaaaaaaa",COPY!$S$2:$AA$1000,7,FALSE)," ")</f>
        <v xml:space="preserve"> </v>
      </c>
      <c r="AT51" s="90" t="str">
        <f>IFERROR(VLOOKUP(A51&amp;"aaaaaaaaa",COPY!$S$2:$AA$1000,7,FALSE)," ")</f>
        <v xml:space="preserve"> </v>
      </c>
      <c r="AU51" s="90" t="str">
        <f>IFERROR(VLOOKUP(A51&amp;"aaaaaaaaaa",COPY!$S$2:$AA$1000,7,FALSE)," ")</f>
        <v xml:space="preserve"> </v>
      </c>
      <c r="AV51" s="90" t="str">
        <f>IFERROR(VLOOKUP(A51&amp;"aaaaaaaaaaa",COPY!$S$2:$AA$1000,7,FALSE)," ")</f>
        <v xml:space="preserve"> </v>
      </c>
    </row>
    <row r="52" spans="1:48" x14ac:dyDescent="0.2">
      <c r="A52" s="75" t="str">
        <f>'REKAP PAJAK'!W89</f>
        <v>BKK.51</v>
      </c>
      <c r="B52" s="75" t="str">
        <f>IF(LEN(A52)&gt;1,VLOOKUP(A52,COPY!$O$2:$R$1000,4,FALSE),"")</f>
        <v>Mgg8</v>
      </c>
      <c r="C52" s="75" t="str">
        <f t="shared" si="0"/>
        <v>MELIA FITRIANI, S.Pd.SD</v>
      </c>
      <c r="D52" s="75" t="str">
        <f t="shared" si="1"/>
        <v>NIP. 19850619 200904 2 000</v>
      </c>
      <c r="E52" s="75" t="str">
        <f t="shared" si="2"/>
        <v>ARIF NUR UDIN, S.Pd.SD</v>
      </c>
      <c r="F52" s="75" t="str">
        <f t="shared" si="3"/>
        <v>NIP. 19840719 200903 1 002</v>
      </c>
      <c r="G52" s="75" t="str">
        <f>IFERROR(TEXT(VLOOKUP(A52,COPY!$S$2:$W$1000,3,FALSE),"dd mmmm yyyy")," ")</f>
        <v>22 Oktober 2025</v>
      </c>
      <c r="H52" s="75" t="str">
        <f t="shared" si="4"/>
        <v>SDN 1 SIDODADI</v>
      </c>
      <c r="I52" s="75" t="str">
        <f t="shared" si="5"/>
        <v>NGANTANG</v>
      </c>
      <c r="J52" s="90">
        <f>IFERROR(VLOOKUP(A52,COPY!$S$2:$W$1000,4,FALSE)," ")</f>
        <v>1680000</v>
      </c>
      <c r="K52" s="75" t="str">
        <f>IFERROR(VLOOKUP(A52,COPY!$S$2:$W$1000,5,FALSE)," ")</f>
        <v>Satu Juta Enam Ratus Delapan Puluh Ribu Rupiah</v>
      </c>
      <c r="L52" s="75" t="str">
        <f>IF(B52="","",IF(LEFT(B52,2)="Ma",(VLOOKUP(B52,'Rekap Gaji'!$C$12:$D$26,2,FALSE))&amp;" Untuk "&amp;(PROPER('Rekap Gaji'!$B$2)),IF(LEFT(B52,2)="Mg","Pembelian Material Bahan Bangunan",IF(LEFT(B52,2)="Me","Biaya Pembelanjaan Menejemen",IF(LEFT(B52,1)="G",VLOOKUP(A52,COPY!$S$2:$AA$1000,2,FALSE)&amp;"( "&amp;TEXT(VLOOKUP(B52,'Rekap Gaji'!$A$12:$I$26,5,FALSE),"dd-mm-yyyy")&amp;" "&amp;TEXT(VLOOKUP(B52,'Rekap Gaji'!$A$12:$I$26,6,FALSE)&amp;" "&amp;TEXT(VLOOKUP(B52,'Rekap Gaji'!$A$12:$I$26,7,FALSE),"dd-mm-yyyy")&amp;" )"," "))))))</f>
        <v>Pembelian Material Bahan Bangunan</v>
      </c>
      <c r="M52" s="75" t="str">
        <f>IF(OR(LEFT(B52,2)="mg",LEFT(B52,2)="mE"),VLOOKUP(A52,COPY!$S$2:$AA$1000,2,FALSE),IF(LEFT(B52,1)="G"," ",IF(LEFT(B52,2)="ma"," "," ")))</f>
        <v>Alumunium Profil C 3"</v>
      </c>
      <c r="N52" s="75" t="str">
        <f>IFERROR(VLOOKUP($A$52&amp;"a",COPY!$S$2:$AA$1000,2,FALSE)," ")</f>
        <v>ACP motif</v>
      </c>
      <c r="O52" s="75" t="str">
        <f>IFERROR(VLOOKUP($A$52&amp;"aa",COPY!$S$2:$AA$1000,2,FALSE)," ")</f>
        <v>Hollow Kadalan</v>
      </c>
      <c r="P52" s="75" t="str">
        <f>IFERROR(VLOOKUP($A$52&amp;"aaa",COPY!$S$2:$AA$1000,2,FALSE)," ")</f>
        <v xml:space="preserve"> </v>
      </c>
      <c r="Q52" s="75" t="str">
        <f>IFERROR(VLOOKUP($A$52&amp;"aaaa",COPY!$S$2:$AA$1000,2,FALSE)," ")</f>
        <v xml:space="preserve"> </v>
      </c>
      <c r="R52" s="75" t="str">
        <f>IFERROR(VLOOKUP($A$52&amp;"aaaaa",COPY!$S$2:$AA$1000,2,FALSE)," ")</f>
        <v xml:space="preserve"> </v>
      </c>
      <c r="S52" s="75" t="str">
        <f>IFERROR(VLOOKUP($A$52&amp;"aaaaaa",COPY!$S$2:$AA$1000,2,FALSE)," ")</f>
        <v xml:space="preserve"> </v>
      </c>
      <c r="T52" s="75" t="str">
        <f>IFERROR(VLOOKUP($A$52&amp;"aaaaaaa",COPY!$S$2:$AA$1000,2,FALSE)," ")</f>
        <v xml:space="preserve"> </v>
      </c>
      <c r="U52" s="75" t="str">
        <f>IFERROR(VLOOKUP($A$52&amp;"aaaaaaaa",COPY!$S$2:$AA$1000,2,FALSE)," ")</f>
        <v xml:space="preserve"> </v>
      </c>
      <c r="V52" s="75" t="str">
        <f>IFERROR(VLOOKUP($A$52&amp;"aaaaaaaaa",COPY!$S$2:$AA$1000,2,FALSE)," ")</f>
        <v xml:space="preserve"> </v>
      </c>
      <c r="W52" s="75" t="str">
        <f>IFERROR(VLOOKUP($A$52&amp;"aaaaaaaaaa",COPY!$S$2:$AA$1000,2,FALSE)," ")</f>
        <v xml:space="preserve"> </v>
      </c>
      <c r="X52" s="75" t="str">
        <f>IFERROR(VLOOKUP($A$52&amp;"aaaaaaaaaaa",COPY!$S$2:$AA$1000,2,FALSE)," ")</f>
        <v xml:space="preserve"> </v>
      </c>
      <c r="Y52" s="90">
        <f>IF(OR(LEFT(B52,2)="mg",LEFT(B52,2)="mE"),VLOOKUP(A52,COPY!$S$2:$AA$1000,6,FALSE),IF(LEFT(B52,1)="G"," ",IF(LEFT(B52,2)="ma"," "," ")))</f>
        <v>2</v>
      </c>
      <c r="Z52" s="90">
        <f>IFERROR(VLOOKUP(A52&amp;"a",COPY!$S$2:$AA$1000,6,FALSE)," ")</f>
        <v>4</v>
      </c>
      <c r="AA52" s="90">
        <f>IFERROR(VLOOKUP(A52&amp;"aa",COPY!$S$2:$AA$1000,6,FALSE)," ")</f>
        <v>4</v>
      </c>
      <c r="AB52" s="90" t="str">
        <f>IFERROR(VLOOKUP(A52&amp;"aaa",COPY!$S$2:$AA$1000,6,FALSE)," ")</f>
        <v xml:space="preserve"> </v>
      </c>
      <c r="AC52" s="90" t="str">
        <f>IFERROR(VLOOKUP(A52&amp;"aaaa",COPY!$S$2:$AA$1000,6,FALSE)," ")</f>
        <v xml:space="preserve"> </v>
      </c>
      <c r="AD52" s="90" t="str">
        <f>IFERROR(VLOOKUP(A52&amp;"aaaaa",COPY!$S$2:$AA$1000,6,FALSE)," ")</f>
        <v xml:space="preserve"> </v>
      </c>
      <c r="AE52" s="90" t="str">
        <f>IFERROR(VLOOKUP(A52&amp;"aaaaaa",COPY!$S$2:$AA$1000,6,FALSE)," ")</f>
        <v xml:space="preserve"> </v>
      </c>
      <c r="AF52" s="90" t="str">
        <f>IFERROR(VLOOKUP(A52&amp;"aaaaaaa",COPY!$S$2:$AA$1000,6,FALSE)," ")</f>
        <v xml:space="preserve"> </v>
      </c>
      <c r="AG52" s="90" t="str">
        <f>IFERROR(VLOOKUP(A52&amp;"aaaaaaaa",COPY!$S$2:$AA$1000,6,FALSE)," ")</f>
        <v xml:space="preserve"> </v>
      </c>
      <c r="AH52" s="90" t="str">
        <f>IFERROR(VLOOKUP(A52&amp;"aaaaaaaaa",COPY!$S$2:$AA$1000,6,FALSE)," ")</f>
        <v xml:space="preserve"> </v>
      </c>
      <c r="AI52" s="90" t="str">
        <f>IFERROR(VLOOKUP(A52&amp;"aaaaaaaaaa",COPY!$S$2:$AA$1000,6,FALSE)," ")</f>
        <v xml:space="preserve"> </v>
      </c>
      <c r="AJ52" s="90" t="str">
        <f>IFERROR(VLOOKUP(A52&amp;"aaaaaaaaaaa",COPY!$S$2:$AA$1000,6,FALSE)," ")</f>
        <v xml:space="preserve"> </v>
      </c>
      <c r="AK52" s="90" t="str">
        <f>IF(LEFT(B52,2)="mg",VLOOKUP(A52,COPY!$S$2:$AA$1000,7,FALSE),IF(LEFT(B52,1)="G"," ",IF(LEFT(B52,2)="ma"," "," ")))</f>
        <v>Ljr</v>
      </c>
      <c r="AL52" s="90" t="str">
        <f>IFERROR(VLOOKUP(A52&amp;"a",COPY!$S$2:$AA$1000,7,FALSE)," ")</f>
        <v>Lbr</v>
      </c>
      <c r="AM52" s="90" t="str">
        <f>IFERROR(VLOOKUP(A52&amp;"aa",COPY!$S$2:$AA$1000,7,FALSE)," ")</f>
        <v>Ljr</v>
      </c>
      <c r="AN52" s="90" t="str">
        <f>IFERROR(VLOOKUP(A52&amp;"aaa",COPY!$S$2:$AA$1000,7,FALSE)," ")</f>
        <v xml:space="preserve"> </v>
      </c>
      <c r="AO52" s="90" t="str">
        <f>IFERROR(VLOOKUP(A52&amp;"aaaa",COPY!$S$2:$AA$1000,7,FALSE)," ")</f>
        <v xml:space="preserve"> </v>
      </c>
      <c r="AP52" s="90" t="str">
        <f>IFERROR(VLOOKUP(A52&amp;"aaaaa",COPY!$S$2:$AA$1000,7,FALSE)," ")</f>
        <v xml:space="preserve"> </v>
      </c>
      <c r="AQ52" s="90" t="str">
        <f>IFERROR(VLOOKUP(A52&amp;"aaaaaa",COPY!$S$2:$AA$1000,7,FALSE)," ")</f>
        <v xml:space="preserve"> </v>
      </c>
      <c r="AR52" s="90" t="str">
        <f>IFERROR(VLOOKUP(A52&amp;"aaaaaaa",COPY!$S$2:$AA$1000,7,FALSE)," ")</f>
        <v xml:space="preserve"> </v>
      </c>
      <c r="AS52" s="90" t="str">
        <f>IFERROR(VLOOKUP(A52&amp;"aaaaaaaa",COPY!$S$2:$AA$1000,7,FALSE)," ")</f>
        <v xml:space="preserve"> </v>
      </c>
      <c r="AT52" s="90" t="str">
        <f>IFERROR(VLOOKUP(A52&amp;"aaaaaaaaa",COPY!$S$2:$AA$1000,7,FALSE)," ")</f>
        <v xml:space="preserve"> </v>
      </c>
      <c r="AU52" s="90" t="str">
        <f>IFERROR(VLOOKUP(A52&amp;"aaaaaaaaaa",COPY!$S$2:$AA$1000,7,FALSE)," ")</f>
        <v xml:space="preserve"> </v>
      </c>
      <c r="AV52" s="90" t="str">
        <f>IFERROR(VLOOKUP(A52&amp;"aaaaaaaaaaa",COPY!$S$2:$AA$1000,7,FALSE)," ")</f>
        <v xml:space="preserve"> </v>
      </c>
    </row>
    <row r="53" spans="1:48" x14ac:dyDescent="0.2">
      <c r="A53" s="75" t="str">
        <f>'REKAP PAJAK'!W90</f>
        <v>BKK.52</v>
      </c>
      <c r="B53" s="75" t="str">
        <f>IF(LEN(A53)&gt;1,VLOOKUP(A53,COPY!$O$2:$R$1000,4,FALSE),"")</f>
        <v>Mgg8</v>
      </c>
      <c r="C53" s="75" t="str">
        <f t="shared" si="0"/>
        <v>MELIA FITRIANI, S.Pd.SD</v>
      </c>
      <c r="D53" s="75" t="str">
        <f t="shared" si="1"/>
        <v>NIP. 19850619 200904 2 000</v>
      </c>
      <c r="E53" s="75" t="str">
        <f t="shared" si="2"/>
        <v>ARIF NUR UDIN, S.Pd.SD</v>
      </c>
      <c r="F53" s="75" t="str">
        <f t="shared" si="3"/>
        <v>NIP. 19840719 200903 1 002</v>
      </c>
      <c r="G53" s="75" t="str">
        <f>IFERROR(TEXT(VLOOKUP(A53,COPY!$S$2:$W$1000,3,FALSE),"dd mmmm yyyy")," ")</f>
        <v>23 Oktober 2025</v>
      </c>
      <c r="H53" s="75" t="str">
        <f t="shared" si="4"/>
        <v>SDN 1 SIDODADI</v>
      </c>
      <c r="I53" s="75" t="str">
        <f t="shared" si="5"/>
        <v>NGANTANG</v>
      </c>
      <c r="J53" s="90">
        <f>IFERROR(VLOOKUP(A53,COPY!$S$2:$W$1000,4,FALSE)," ")</f>
        <v>1326000</v>
      </c>
      <c r="K53" s="75" t="str">
        <f>IFERROR(VLOOKUP(A53,COPY!$S$2:$W$1000,5,FALSE)," ")</f>
        <v>Satu Juta Tiga Ratus Dua Puluh Enam Ribu Rupiah</v>
      </c>
      <c r="L53" s="75" t="str">
        <f>IF(B53="","",IF(LEFT(B53,2)="Ma",(VLOOKUP(B53,'Rekap Gaji'!$C$12:$D$26,2,FALSE))&amp;" Untuk "&amp;(PROPER('Rekap Gaji'!$B$2)),IF(LEFT(B53,2)="Mg","Pembelian Material Bahan Bangunan",IF(LEFT(B53,2)="Me","Biaya Pembelanjaan Menejemen",IF(LEFT(B53,1)="G",VLOOKUP(A53,COPY!$S$2:$AA$1000,2,FALSE)&amp;"( "&amp;TEXT(VLOOKUP(B53,'Rekap Gaji'!$A$12:$I$26,5,FALSE),"dd-mm-yyyy")&amp;" "&amp;TEXT(VLOOKUP(B53,'Rekap Gaji'!$A$12:$I$26,6,FALSE)&amp;" "&amp;TEXT(VLOOKUP(B53,'Rekap Gaji'!$A$12:$I$26,7,FALSE),"dd-mm-yyyy")&amp;" )"," "))))))</f>
        <v>Pembelian Material Bahan Bangunan</v>
      </c>
      <c r="M53" s="75" t="str">
        <f>IF(OR(LEFT(B53,2)="mg",LEFT(B53,2)="mE"),VLOOKUP(A53,COPY!$S$2:$AA$1000,2,FALSE),IF(LEFT(B53,1)="G"," ",IF(LEFT(B53,2)="ma"," "," ")))</f>
        <v>Cat Catylac Int Lime 45120</v>
      </c>
      <c r="N53" s="75" t="str">
        <f>IFERROR(VLOOKUP($A$53&amp;"a",COPY!$S$2:$AA$1000,2,FALSE)," ")</f>
        <v>Handle Kotak Natural</v>
      </c>
      <c r="O53" s="75" t="str">
        <f>IFERROR(VLOOKUP($A$53&amp;"aa",COPY!$S$2:$AA$1000,2,FALSE)," ")</f>
        <v>Engsel Tebal  4"</v>
      </c>
      <c r="P53" s="75" t="str">
        <f>IFERROR(VLOOKUP($A$53&amp;"aaa",COPY!$S$2:$AA$1000,2,FALSE)," ")</f>
        <v>Fisher S10</v>
      </c>
      <c r="Q53" s="75" t="str">
        <f>IFERROR(VLOOKUP($A$53&amp;"aaaa",COPY!$S$2:$AA$1000,2,FALSE)," ")</f>
        <v>Silen Clear Netral</v>
      </c>
      <c r="R53" s="75" t="str">
        <f>IFERROR(VLOOKUP($A$53&amp;"aaaaa",COPY!$S$2:$AA$1000,2,FALSE)," ")</f>
        <v xml:space="preserve"> </v>
      </c>
      <c r="S53" s="75" t="str">
        <f>IFERROR(VLOOKUP($A$53&amp;"aaaaaa",COPY!$S$2:$AA$1000,2,FALSE)," ")</f>
        <v xml:space="preserve"> </v>
      </c>
      <c r="T53" s="75" t="str">
        <f>IFERROR(VLOOKUP($A$53&amp;"aaaaaaa",COPY!$S$2:$AA$1000,2,FALSE)," ")</f>
        <v xml:space="preserve"> </v>
      </c>
      <c r="U53" s="75" t="str">
        <f>IFERROR(VLOOKUP($A$53&amp;"aaaaaaaa",COPY!$S$2:$AA$1000,2,FALSE)," ")</f>
        <v xml:space="preserve"> </v>
      </c>
      <c r="V53" s="75" t="str">
        <f>IFERROR(VLOOKUP($A$53&amp;"aaaaaaaaa",COPY!$S$2:$AA$1000,2,FALSE)," ")</f>
        <v xml:space="preserve"> </v>
      </c>
      <c r="W53" s="75" t="str">
        <f>IFERROR(VLOOKUP($A$53&amp;"aaaaaaaaaa",COPY!$S$2:$AA$1000,2,FALSE)," ")</f>
        <v xml:space="preserve"> </v>
      </c>
      <c r="X53" s="75" t="str">
        <f>IFERROR(VLOOKUP($A$53&amp;"aaaaaaaaaaa",COPY!$S$2:$AA$1000,2,FALSE)," ")</f>
        <v xml:space="preserve"> </v>
      </c>
      <c r="Y53" s="90">
        <f>IF(OR(LEFT(B53,2)="mg",LEFT(B53,2)="mE"),VLOOKUP(A53,COPY!$S$2:$AA$1000,6,FALSE),IF(LEFT(B53,1)="G"," ",IF(LEFT(B53,2)="ma"," "," ")))</f>
        <v>1</v>
      </c>
      <c r="Z53" s="90">
        <f>IFERROR(VLOOKUP(A53&amp;"a",COPY!$S$2:$AA$1000,6,FALSE)," ")</f>
        <v>5</v>
      </c>
      <c r="AA53" s="90">
        <f>IFERROR(VLOOKUP(A53&amp;"aa",COPY!$S$2:$AA$1000,6,FALSE)," ")</f>
        <v>5</v>
      </c>
      <c r="AB53" s="90">
        <f>IFERROR(VLOOKUP(A53&amp;"aaa",COPY!$S$2:$AA$1000,6,FALSE)," ")</f>
        <v>1</v>
      </c>
      <c r="AC53" s="90">
        <f>IFERROR(VLOOKUP(A53&amp;"aaaa",COPY!$S$2:$AA$1000,6,FALSE)," ")</f>
        <v>10</v>
      </c>
      <c r="AD53" s="90" t="str">
        <f>IFERROR(VLOOKUP(A53&amp;"aaaaa",COPY!$S$2:$AA$1000,6,FALSE)," ")</f>
        <v xml:space="preserve"> </v>
      </c>
      <c r="AE53" s="90" t="str">
        <f>IFERROR(VLOOKUP(A53&amp;"aaaaaa",COPY!$S$2:$AA$1000,6,FALSE)," ")</f>
        <v xml:space="preserve"> </v>
      </c>
      <c r="AF53" s="90" t="str">
        <f>IFERROR(VLOOKUP(A53&amp;"aaaaaaa",COPY!$S$2:$AA$1000,6,FALSE)," ")</f>
        <v xml:space="preserve"> </v>
      </c>
      <c r="AG53" s="90" t="str">
        <f>IFERROR(VLOOKUP(A53&amp;"aaaaaaaa",COPY!$S$2:$AA$1000,6,FALSE)," ")</f>
        <v xml:space="preserve"> </v>
      </c>
      <c r="AH53" s="90" t="str">
        <f>IFERROR(VLOOKUP(A53&amp;"aaaaaaaaa",COPY!$S$2:$AA$1000,6,FALSE)," ")</f>
        <v xml:space="preserve"> </v>
      </c>
      <c r="AI53" s="90" t="str">
        <f>IFERROR(VLOOKUP(A53&amp;"aaaaaaaaaa",COPY!$S$2:$AA$1000,6,FALSE)," ")</f>
        <v xml:space="preserve"> </v>
      </c>
      <c r="AJ53" s="90" t="str">
        <f>IFERROR(VLOOKUP(A53&amp;"aaaaaaaaaaa",COPY!$S$2:$AA$1000,6,FALSE)," ")</f>
        <v xml:space="preserve"> </v>
      </c>
      <c r="AK53" s="90" t="str">
        <f>IF(LEFT(B53,2)="mg",VLOOKUP(A53,COPY!$S$2:$AA$1000,7,FALSE),IF(LEFT(B53,1)="G"," ",IF(LEFT(B53,2)="ma"," "," ")))</f>
        <v>Gln</v>
      </c>
      <c r="AL53" s="90" t="str">
        <f>IFERROR(VLOOKUP(A53&amp;"a",COPY!$S$2:$AA$1000,7,FALSE)," ")</f>
        <v>Set</v>
      </c>
      <c r="AM53" s="90" t="str">
        <f>IFERROR(VLOOKUP(A53&amp;"aa",COPY!$S$2:$AA$1000,7,FALSE)," ")</f>
        <v>Set</v>
      </c>
      <c r="AN53" s="90" t="str">
        <f>IFERROR(VLOOKUP(A53&amp;"aaa",COPY!$S$2:$AA$1000,7,FALSE)," ")</f>
        <v>Pak</v>
      </c>
      <c r="AO53" s="90" t="str">
        <f>IFERROR(VLOOKUP(A53&amp;"aaaa",COPY!$S$2:$AA$1000,7,FALSE)," ")</f>
        <v>Pcs</v>
      </c>
      <c r="AP53" s="90" t="str">
        <f>IFERROR(VLOOKUP(A53&amp;"aaaaa",COPY!$S$2:$AA$1000,7,FALSE)," ")</f>
        <v xml:space="preserve"> </v>
      </c>
      <c r="AQ53" s="90" t="str">
        <f>IFERROR(VLOOKUP(A53&amp;"aaaaaa",COPY!$S$2:$AA$1000,7,FALSE)," ")</f>
        <v xml:space="preserve"> </v>
      </c>
      <c r="AR53" s="90" t="str">
        <f>IFERROR(VLOOKUP(A53&amp;"aaaaaaa",COPY!$S$2:$AA$1000,7,FALSE)," ")</f>
        <v xml:space="preserve"> </v>
      </c>
      <c r="AS53" s="90" t="str">
        <f>IFERROR(VLOOKUP(A53&amp;"aaaaaaaa",COPY!$S$2:$AA$1000,7,FALSE)," ")</f>
        <v xml:space="preserve"> </v>
      </c>
      <c r="AT53" s="90" t="str">
        <f>IFERROR(VLOOKUP(A53&amp;"aaaaaaaaa",COPY!$S$2:$AA$1000,7,FALSE)," ")</f>
        <v xml:space="preserve"> </v>
      </c>
      <c r="AU53" s="90" t="str">
        <f>IFERROR(VLOOKUP(A53&amp;"aaaaaaaaaa",COPY!$S$2:$AA$1000,7,FALSE)," ")</f>
        <v xml:space="preserve"> </v>
      </c>
      <c r="AV53" s="90" t="str">
        <f>IFERROR(VLOOKUP(A53&amp;"aaaaaaaaaaa",COPY!$S$2:$AA$1000,7,FALSE)," ")</f>
        <v xml:space="preserve"> </v>
      </c>
    </row>
    <row r="54" spans="1:48" x14ac:dyDescent="0.2">
      <c r="A54" s="75" t="str">
        <f>'REKAP PAJAK'!W91</f>
        <v>BKK.53</v>
      </c>
      <c r="B54" s="75" t="str">
        <f>IF(LEN(A54)&gt;1,VLOOKUP(A54,COPY!$O$2:$R$1000,4,FALSE),"")</f>
        <v>Mgg8</v>
      </c>
      <c r="C54" s="75" t="str">
        <f t="shared" si="0"/>
        <v>MELIA FITRIANI, S.Pd.SD</v>
      </c>
      <c r="D54" s="75" t="str">
        <f t="shared" si="1"/>
        <v>NIP. 19850619 200904 2 000</v>
      </c>
      <c r="E54" s="75" t="str">
        <f t="shared" si="2"/>
        <v>ARIF NUR UDIN, S.Pd.SD</v>
      </c>
      <c r="F54" s="75" t="str">
        <f t="shared" si="3"/>
        <v>NIP. 19840719 200903 1 002</v>
      </c>
      <c r="G54" s="75" t="str">
        <f>IFERROR(TEXT(VLOOKUP(A54,COPY!$S$2:$W$1000,3,FALSE),"dd mmmm yyyy")," ")</f>
        <v>24 Oktober 2025</v>
      </c>
      <c r="H54" s="75" t="str">
        <f t="shared" si="4"/>
        <v>SDN 1 SIDODADI</v>
      </c>
      <c r="I54" s="75" t="str">
        <f t="shared" si="5"/>
        <v>NGANTANG</v>
      </c>
      <c r="J54" s="90">
        <f>IFERROR(VLOOKUP(A54,COPY!$S$2:$W$1000,4,FALSE)," ")</f>
        <v>2070000</v>
      </c>
      <c r="K54" s="75" t="str">
        <f>IFERROR(VLOOKUP(A54,COPY!$S$2:$W$1000,5,FALSE)," ")</f>
        <v>Dua Juta Tujuh Puluh Ribu Rupiah</v>
      </c>
      <c r="L54" s="75" t="str">
        <f>IF(B54="","",IF(LEFT(B54,2)="Ma",(VLOOKUP(B54,'Rekap Gaji'!$C$12:$D$26,2,FALSE))&amp;" Untuk "&amp;(PROPER('Rekap Gaji'!$B$2)),IF(LEFT(B54,2)="Mg","Pembelian Material Bahan Bangunan",IF(LEFT(B54,2)="Me","Biaya Pembelanjaan Menejemen",IF(LEFT(B54,1)="G",VLOOKUP(A54,COPY!$S$2:$AA$1000,2,FALSE)&amp;"( "&amp;TEXT(VLOOKUP(B54,'Rekap Gaji'!$A$12:$I$26,5,FALSE),"dd-mm-yyyy")&amp;" "&amp;TEXT(VLOOKUP(B54,'Rekap Gaji'!$A$12:$I$26,6,FALSE)&amp;" "&amp;TEXT(VLOOKUP(B54,'Rekap Gaji'!$A$12:$I$26,7,FALSE),"dd-mm-yyyy")&amp;" )"," "))))))</f>
        <v>Pembelian Material Bahan Bangunan</v>
      </c>
      <c r="M54" s="75" t="str">
        <f>IF(OR(LEFT(B54,2)="mg",LEFT(B54,2)="mE"),VLOOKUP(A54,COPY!$S$2:$AA$1000,2,FALSE),IF(LEFT(B54,1)="G"," ",IF(LEFT(B54,2)="ma"," "," ")))</f>
        <v>Urinoir Komplit Volk</v>
      </c>
      <c r="N54" s="75" t="str">
        <f>IFERROR(VLOOKUP($A$54&amp;"a",COPY!$S$2:$AA$1000,2,FALSE)," ")</f>
        <v>Tandon Air Penyu 320L Biru</v>
      </c>
      <c r="O54" s="75" t="str">
        <f>IFERROR(VLOOKUP($A$54&amp;"aa",COPY!$S$2:$AA$1000,2,FALSE)," ")</f>
        <v xml:space="preserve"> </v>
      </c>
      <c r="P54" s="75" t="str">
        <f>IFERROR(VLOOKUP($A$54&amp;"aaa",COPY!$S$2:$AA$1000,2,FALSE)," ")</f>
        <v xml:space="preserve"> </v>
      </c>
      <c r="Q54" s="75" t="str">
        <f>IFERROR(VLOOKUP($A$54&amp;"aaaa",COPY!$S$2:$AA$1000,2,FALSE)," ")</f>
        <v xml:space="preserve"> </v>
      </c>
      <c r="R54" s="75" t="str">
        <f>IFERROR(VLOOKUP($A$54&amp;"aaaaa",COPY!$S$2:$AA$1000,2,FALSE)," ")</f>
        <v xml:space="preserve"> </v>
      </c>
      <c r="S54" s="75" t="str">
        <f>IFERROR(VLOOKUP($A$54&amp;"aaaaaa",COPY!$S$2:$AA$1000,2,FALSE)," ")</f>
        <v xml:space="preserve"> </v>
      </c>
      <c r="T54" s="75" t="str">
        <f>IFERROR(VLOOKUP($A$54&amp;"aaaaaaa",COPY!$S$2:$AA$1000,2,FALSE)," ")</f>
        <v xml:space="preserve"> </v>
      </c>
      <c r="U54" s="75" t="str">
        <f>IFERROR(VLOOKUP($A$54&amp;"aaaaaaaa",COPY!$S$2:$AA$1000,2,FALSE)," ")</f>
        <v xml:space="preserve"> </v>
      </c>
      <c r="V54" s="75" t="str">
        <f>IFERROR(VLOOKUP($A$54&amp;"aaaaaaaaa",COPY!$S$2:$AA$1000,2,FALSE)," ")</f>
        <v xml:space="preserve"> </v>
      </c>
      <c r="W54" s="75" t="str">
        <f>IFERROR(VLOOKUP($A$54&amp;"aaaaaaaaaa",COPY!$S$2:$AA$1000,2,FALSE)," ")</f>
        <v xml:space="preserve"> </v>
      </c>
      <c r="X54" s="75" t="str">
        <f>IFERROR(VLOOKUP($A$54&amp;"aaaaaaaaaaa",COPY!$S$2:$AA$1000,2,FALSE)," ")</f>
        <v xml:space="preserve"> </v>
      </c>
      <c r="Y54" s="90">
        <f>IF(OR(LEFT(B54,2)="mg",LEFT(B54,2)="mE"),VLOOKUP(A54,COPY!$S$2:$AA$1000,6,FALSE),IF(LEFT(B54,1)="G"," ",IF(LEFT(B54,2)="ma"," "," ")))</f>
        <v>2</v>
      </c>
      <c r="Z54" s="90">
        <f>IFERROR(VLOOKUP(A54&amp;"a",COPY!$S$2:$AA$1000,6,FALSE)," ")</f>
        <v>1</v>
      </c>
      <c r="AA54" s="90" t="str">
        <f>IFERROR(VLOOKUP(A54&amp;"aa",COPY!$S$2:$AA$1000,6,FALSE)," ")</f>
        <v xml:space="preserve"> </v>
      </c>
      <c r="AB54" s="90" t="str">
        <f>IFERROR(VLOOKUP(A54&amp;"aaa",COPY!$S$2:$AA$1000,6,FALSE)," ")</f>
        <v xml:space="preserve"> </v>
      </c>
      <c r="AC54" s="90" t="str">
        <f>IFERROR(VLOOKUP(A54&amp;"aaaa",COPY!$S$2:$AA$1000,6,FALSE)," ")</f>
        <v xml:space="preserve"> </v>
      </c>
      <c r="AD54" s="90" t="str">
        <f>IFERROR(VLOOKUP(A54&amp;"aaaaa",COPY!$S$2:$AA$1000,6,FALSE)," ")</f>
        <v xml:space="preserve"> </v>
      </c>
      <c r="AE54" s="90" t="str">
        <f>IFERROR(VLOOKUP(A54&amp;"aaaaaa",COPY!$S$2:$AA$1000,6,FALSE)," ")</f>
        <v xml:space="preserve"> </v>
      </c>
      <c r="AF54" s="90" t="str">
        <f>IFERROR(VLOOKUP(A54&amp;"aaaaaaa",COPY!$S$2:$AA$1000,6,FALSE)," ")</f>
        <v xml:space="preserve"> </v>
      </c>
      <c r="AG54" s="90" t="str">
        <f>IFERROR(VLOOKUP(A54&amp;"aaaaaaaa",COPY!$S$2:$AA$1000,6,FALSE)," ")</f>
        <v xml:space="preserve"> </v>
      </c>
      <c r="AH54" s="90" t="str">
        <f>IFERROR(VLOOKUP(A54&amp;"aaaaaaaaa",COPY!$S$2:$AA$1000,6,FALSE)," ")</f>
        <v xml:space="preserve"> </v>
      </c>
      <c r="AI54" s="90" t="str">
        <f>IFERROR(VLOOKUP(A54&amp;"aaaaaaaaaa",COPY!$S$2:$AA$1000,6,FALSE)," ")</f>
        <v xml:space="preserve"> </v>
      </c>
      <c r="AJ54" s="90" t="str">
        <f>IFERROR(VLOOKUP(A54&amp;"aaaaaaaaaaa",COPY!$S$2:$AA$1000,6,FALSE)," ")</f>
        <v xml:space="preserve"> </v>
      </c>
      <c r="AK54" s="90" t="str">
        <f>IF(LEFT(B54,2)="mg",VLOOKUP(A54,COPY!$S$2:$AA$1000,7,FALSE),IF(LEFT(B54,1)="G"," ",IF(LEFT(B54,2)="ma"," "," ")))</f>
        <v>Unit</v>
      </c>
      <c r="AL54" s="90" t="str">
        <f>IFERROR(VLOOKUP(A54&amp;"a",COPY!$S$2:$AA$1000,7,FALSE)," ")</f>
        <v>Unit</v>
      </c>
      <c r="AM54" s="90" t="str">
        <f>IFERROR(VLOOKUP(A54&amp;"aa",COPY!$S$2:$AA$1000,7,FALSE)," ")</f>
        <v xml:space="preserve"> </v>
      </c>
      <c r="AN54" s="90" t="str">
        <f>IFERROR(VLOOKUP(A54&amp;"aaa",COPY!$S$2:$AA$1000,7,FALSE)," ")</f>
        <v xml:space="preserve"> </v>
      </c>
      <c r="AO54" s="90" t="str">
        <f>IFERROR(VLOOKUP(A54&amp;"aaaa",COPY!$S$2:$AA$1000,7,FALSE)," ")</f>
        <v xml:space="preserve"> </v>
      </c>
      <c r="AP54" s="90" t="str">
        <f>IFERROR(VLOOKUP(A54&amp;"aaaaa",COPY!$S$2:$AA$1000,7,FALSE)," ")</f>
        <v xml:space="preserve"> </v>
      </c>
      <c r="AQ54" s="90" t="str">
        <f>IFERROR(VLOOKUP(A54&amp;"aaaaaa",COPY!$S$2:$AA$1000,7,FALSE)," ")</f>
        <v xml:space="preserve"> </v>
      </c>
      <c r="AR54" s="90" t="str">
        <f>IFERROR(VLOOKUP(A54&amp;"aaaaaaa",COPY!$S$2:$AA$1000,7,FALSE)," ")</f>
        <v xml:space="preserve"> </v>
      </c>
      <c r="AS54" s="90" t="str">
        <f>IFERROR(VLOOKUP(A54&amp;"aaaaaaaa",COPY!$S$2:$AA$1000,7,FALSE)," ")</f>
        <v xml:space="preserve"> </v>
      </c>
      <c r="AT54" s="90" t="str">
        <f>IFERROR(VLOOKUP(A54&amp;"aaaaaaaaa",COPY!$S$2:$AA$1000,7,FALSE)," ")</f>
        <v xml:space="preserve"> </v>
      </c>
      <c r="AU54" s="90" t="str">
        <f>IFERROR(VLOOKUP(A54&amp;"aaaaaaaaaa",COPY!$S$2:$AA$1000,7,FALSE)," ")</f>
        <v xml:space="preserve"> </v>
      </c>
      <c r="AV54" s="90" t="str">
        <f>IFERROR(VLOOKUP(A54&amp;"aaaaaaaaaaa",COPY!$S$2:$AA$1000,7,FALSE)," ")</f>
        <v xml:space="preserve"> </v>
      </c>
    </row>
    <row r="55" spans="1:48" x14ac:dyDescent="0.2">
      <c r="A55" s="75" t="str">
        <f>'REKAP PAJAK'!W92</f>
        <v>BKK.54</v>
      </c>
      <c r="B55" s="75" t="str">
        <f>IF(LEN(A55)&gt;1,VLOOKUP(A55,COPY!$O$2:$R$1000,4,FALSE),"")</f>
        <v>Mgg8</v>
      </c>
      <c r="C55" s="75" t="str">
        <f t="shared" si="0"/>
        <v>MELIA FITRIANI, S.Pd.SD</v>
      </c>
      <c r="D55" s="75" t="str">
        <f t="shared" si="1"/>
        <v>NIP. 19850619 200904 2 000</v>
      </c>
      <c r="E55" s="75" t="str">
        <f t="shared" si="2"/>
        <v>ARIF NUR UDIN, S.Pd.SD</v>
      </c>
      <c r="F55" s="75" t="str">
        <f t="shared" si="3"/>
        <v>NIP. 19840719 200903 1 002</v>
      </c>
      <c r="G55" s="75" t="str">
        <f>IFERROR(TEXT(VLOOKUP(A55,COPY!$S$2:$W$1000,3,FALSE),"dd mmmm yyyy")," ")</f>
        <v>25 Oktober 2025</v>
      </c>
      <c r="H55" s="75" t="str">
        <f t="shared" si="4"/>
        <v>SDN 1 SIDODADI</v>
      </c>
      <c r="I55" s="75" t="str">
        <f t="shared" si="5"/>
        <v>NGANTANG</v>
      </c>
      <c r="J55" s="90">
        <f>IFERROR(VLOOKUP(A55,COPY!$S$2:$W$1000,4,FALSE)," ")</f>
        <v>2235000</v>
      </c>
      <c r="K55" s="75" t="str">
        <f>IFERROR(VLOOKUP(A55,COPY!$S$2:$W$1000,5,FALSE)," ")</f>
        <v>Dua Juta Dua Ratus Tiga Puluh Lima Ribu Rupiah</v>
      </c>
      <c r="L55" s="75" t="str">
        <f>IF(B55="","",IF(LEFT(B55,2)="Ma",(VLOOKUP(B55,'Rekap Gaji'!$C$12:$D$26,2,FALSE))&amp;" Untuk "&amp;(PROPER('Rekap Gaji'!$B$2)),IF(LEFT(B55,2)="Mg","Pembelian Material Bahan Bangunan",IF(LEFT(B55,2)="Me","Biaya Pembelanjaan Menejemen",IF(LEFT(B55,1)="G",VLOOKUP(A55,COPY!$S$2:$AA$1000,2,FALSE)&amp;"( "&amp;TEXT(VLOOKUP(B55,'Rekap Gaji'!$A$12:$I$26,5,FALSE),"dd-mm-yyyy")&amp;" "&amp;TEXT(VLOOKUP(B55,'Rekap Gaji'!$A$12:$I$26,6,FALSE)&amp;" "&amp;TEXT(VLOOKUP(B55,'Rekap Gaji'!$A$12:$I$26,7,FALSE),"dd-mm-yyyy")&amp;" )"," "))))))</f>
        <v>Pembelian Material Bahan Bangunan</v>
      </c>
      <c r="M55" s="75" t="str">
        <f>IF(OR(LEFT(B55,2)="mg",LEFT(B55,2)="mE"),VLOOKUP(A55,COPY!$S$2:$AA$1000,2,FALSE),IF(LEFT(B55,1)="G"," ",IF(LEFT(B55,2)="ma"," "," ")))</f>
        <v>Kran Alinco 1/2" Kuningan</v>
      </c>
      <c r="N55" s="75" t="str">
        <f>IFERROR(VLOOKUP($A$55&amp;"a",COPY!$S$2:$AA$1000,2,FALSE)," ")</f>
        <v>Tba Imokito 12Mm X 10Mm</v>
      </c>
      <c r="O55" s="75" t="str">
        <f>IFERROR(VLOOKUP($A$55&amp;"aa",COPY!$S$2:$AA$1000,2,FALSE)," ")</f>
        <v>Kloset Ivory Emerald</v>
      </c>
      <c r="P55" s="75" t="str">
        <f>IFERROR(VLOOKUP($A$55&amp;"aaa",COPY!$S$2:$AA$1000,2,FALSE)," ")</f>
        <v>Wastafel Komplit Volk</v>
      </c>
      <c r="Q55" s="75" t="str">
        <f>IFERROR(VLOOKUP($A$55&amp;"aaaa",COPY!$S$2:$AA$1000,2,FALSE)," ")</f>
        <v xml:space="preserve"> </v>
      </c>
      <c r="R55" s="75" t="str">
        <f>IFERROR(VLOOKUP($A$55&amp;"aaaaa",COPY!$S$2:$AA$1000,2,FALSE)," ")</f>
        <v xml:space="preserve"> </v>
      </c>
      <c r="S55" s="75" t="str">
        <f>IFERROR(VLOOKUP($A$55&amp;"aaaaaa",COPY!$S$2:$AA$1000,2,FALSE)," ")</f>
        <v xml:space="preserve"> </v>
      </c>
      <c r="T55" s="75" t="str">
        <f>IFERROR(VLOOKUP($A$55&amp;"aaaaaaa",COPY!$S$2:$AA$1000,2,FALSE)," ")</f>
        <v xml:space="preserve"> </v>
      </c>
      <c r="U55" s="75" t="str">
        <f>IFERROR(VLOOKUP($A$55&amp;"aaaaaaaa",COPY!$S$2:$AA$1000,2,FALSE)," ")</f>
        <v xml:space="preserve"> </v>
      </c>
      <c r="V55" s="75" t="str">
        <f>IFERROR(VLOOKUP($A$55&amp;"aaaaaaaaa",COPY!$S$2:$AA$1000,2,FALSE)," ")</f>
        <v xml:space="preserve"> </v>
      </c>
      <c r="W55" s="75" t="str">
        <f>IFERROR(VLOOKUP($A$55&amp;"aaaaaaaaaa",COPY!$S$2:$AA$1000,2,FALSE)," ")</f>
        <v xml:space="preserve"> </v>
      </c>
      <c r="X55" s="75" t="str">
        <f>IFERROR(VLOOKUP($A$55&amp;"aaaaaaaaaaa",COPY!$S$2:$AA$1000,2,FALSE)," ")</f>
        <v xml:space="preserve"> </v>
      </c>
      <c r="Y55" s="90">
        <f>IF(OR(LEFT(B55,2)="mg",LEFT(B55,2)="mE"),VLOOKUP(A55,COPY!$S$2:$AA$1000,6,FALSE),IF(LEFT(B55,1)="G"," ",IF(LEFT(B55,2)="ma"," "," ")))</f>
        <v>6</v>
      </c>
      <c r="Z55" s="90">
        <f>IFERROR(VLOOKUP(A55&amp;"a",COPY!$S$2:$AA$1000,6,FALSE)," ")</f>
        <v>5</v>
      </c>
      <c r="AA55" s="90">
        <f>IFERROR(VLOOKUP(A55&amp;"aa",COPY!$S$2:$AA$1000,6,FALSE)," ")</f>
        <v>3</v>
      </c>
      <c r="AB55" s="90">
        <f>IFERROR(VLOOKUP(A55&amp;"aaa",COPY!$S$2:$AA$1000,6,FALSE)," ")</f>
        <v>2</v>
      </c>
      <c r="AC55" s="90" t="str">
        <f>IFERROR(VLOOKUP(A55&amp;"aaaa",COPY!$S$2:$AA$1000,6,FALSE)," ")</f>
        <v xml:space="preserve"> </v>
      </c>
      <c r="AD55" s="90" t="str">
        <f>IFERROR(VLOOKUP(A55&amp;"aaaaa",COPY!$S$2:$AA$1000,6,FALSE)," ")</f>
        <v xml:space="preserve"> </v>
      </c>
      <c r="AE55" s="90" t="str">
        <f>IFERROR(VLOOKUP(A55&amp;"aaaaaa",COPY!$S$2:$AA$1000,6,FALSE)," ")</f>
        <v xml:space="preserve"> </v>
      </c>
      <c r="AF55" s="90" t="str">
        <f>IFERROR(VLOOKUP(A55&amp;"aaaaaaa",COPY!$S$2:$AA$1000,6,FALSE)," ")</f>
        <v xml:space="preserve"> </v>
      </c>
      <c r="AG55" s="90" t="str">
        <f>IFERROR(VLOOKUP(A55&amp;"aaaaaaaa",COPY!$S$2:$AA$1000,6,FALSE)," ")</f>
        <v xml:space="preserve"> </v>
      </c>
      <c r="AH55" s="90" t="str">
        <f>IFERROR(VLOOKUP(A55&amp;"aaaaaaaaa",COPY!$S$2:$AA$1000,6,FALSE)," ")</f>
        <v xml:space="preserve"> </v>
      </c>
      <c r="AI55" s="90" t="str">
        <f>IFERROR(VLOOKUP(A55&amp;"aaaaaaaaaa",COPY!$S$2:$AA$1000,6,FALSE)," ")</f>
        <v xml:space="preserve"> </v>
      </c>
      <c r="AJ55" s="90" t="str">
        <f>IFERROR(VLOOKUP(A55&amp;"aaaaaaaaaaa",COPY!$S$2:$AA$1000,6,FALSE)," ")</f>
        <v xml:space="preserve"> </v>
      </c>
      <c r="AK55" s="90" t="str">
        <f>IF(LEFT(B55,2)="mg",VLOOKUP(A55,COPY!$S$2:$AA$1000,7,FALSE),IF(LEFT(B55,1)="G"," ",IF(LEFT(B55,2)="ma"," "," ")))</f>
        <v>Pcs</v>
      </c>
      <c r="AL55" s="90" t="str">
        <f>IFERROR(VLOOKUP(A55&amp;"a",COPY!$S$2:$AA$1000,7,FALSE)," ")</f>
        <v>Pcs</v>
      </c>
      <c r="AM55" s="90" t="str">
        <f>IFERROR(VLOOKUP(A55&amp;"aa",COPY!$S$2:$AA$1000,7,FALSE)," ")</f>
        <v>Pcs</v>
      </c>
      <c r="AN55" s="90" t="str">
        <f>IFERROR(VLOOKUP(A55&amp;"aaa",COPY!$S$2:$AA$1000,7,FALSE)," ")</f>
        <v>Unit</v>
      </c>
      <c r="AO55" s="90" t="str">
        <f>IFERROR(VLOOKUP(A55&amp;"aaaa",COPY!$S$2:$AA$1000,7,FALSE)," ")</f>
        <v xml:space="preserve"> </v>
      </c>
      <c r="AP55" s="90" t="str">
        <f>IFERROR(VLOOKUP(A55&amp;"aaaaa",COPY!$S$2:$AA$1000,7,FALSE)," ")</f>
        <v xml:space="preserve"> </v>
      </c>
      <c r="AQ55" s="90" t="str">
        <f>IFERROR(VLOOKUP(A55&amp;"aaaaaa",COPY!$S$2:$AA$1000,7,FALSE)," ")</f>
        <v xml:space="preserve"> </v>
      </c>
      <c r="AR55" s="90" t="str">
        <f>IFERROR(VLOOKUP(A55&amp;"aaaaaaa",COPY!$S$2:$AA$1000,7,FALSE)," ")</f>
        <v xml:space="preserve"> </v>
      </c>
      <c r="AS55" s="90" t="str">
        <f>IFERROR(VLOOKUP(A55&amp;"aaaaaaaa",COPY!$S$2:$AA$1000,7,FALSE)," ")</f>
        <v xml:space="preserve"> </v>
      </c>
      <c r="AT55" s="90" t="str">
        <f>IFERROR(VLOOKUP(A55&amp;"aaaaaaaaa",COPY!$S$2:$AA$1000,7,FALSE)," ")</f>
        <v xml:space="preserve"> </v>
      </c>
      <c r="AU55" s="90" t="str">
        <f>IFERROR(VLOOKUP(A55&amp;"aaaaaaaaaa",COPY!$S$2:$AA$1000,7,FALSE)," ")</f>
        <v xml:space="preserve"> </v>
      </c>
      <c r="AV55" s="90" t="str">
        <f>IFERROR(VLOOKUP(A55&amp;"aaaaaaaaaaa",COPY!$S$2:$AA$1000,7,FALSE)," ")</f>
        <v xml:space="preserve"> </v>
      </c>
    </row>
    <row r="56" spans="1:48" x14ac:dyDescent="0.2">
      <c r="A56" s="75" t="str">
        <f>'REKAP PAJAK'!W93</f>
        <v>BKK.55</v>
      </c>
      <c r="B56" s="75" t="str">
        <f>IF(LEN(A56)&gt;1,VLOOKUP(A56,COPY!$O$2:$R$1000,4,FALSE),"")</f>
        <v>Gaj8</v>
      </c>
      <c r="C56" s="75" t="str">
        <f t="shared" si="0"/>
        <v>MELIA FITRIANI, S.Pd.SD</v>
      </c>
      <c r="D56" s="75" t="str">
        <f t="shared" si="1"/>
        <v>NIP. 19850619 200904 2 000</v>
      </c>
      <c r="E56" s="75" t="str">
        <f t="shared" si="2"/>
        <v>ARIF NUR UDIN, S.Pd.SD</v>
      </c>
      <c r="F56" s="75" t="str">
        <f t="shared" si="3"/>
        <v>NIP. 19840719 200903 1 002</v>
      </c>
      <c r="G56" s="75" t="str">
        <f>IFERROR(TEXT(VLOOKUP(A56,COPY!$S$2:$W$1000,3,FALSE),"dd mmmm yyyy")," ")</f>
        <v>25 Oktober 2025</v>
      </c>
      <c r="H56" s="75" t="str">
        <f t="shared" si="4"/>
        <v>SDN 1 SIDODADI</v>
      </c>
      <c r="I56" s="75" t="str">
        <f t="shared" si="5"/>
        <v>NGANTANG</v>
      </c>
      <c r="J56" s="90">
        <f>IFERROR(VLOOKUP(A56,COPY!$S$2:$W$1000,4,FALSE)," ")</f>
        <v>4265000</v>
      </c>
      <c r="K56" s="75" t="str">
        <f>IFERROR(VLOOKUP(A56,COPY!$S$2:$W$1000,5,FALSE)," ")</f>
        <v>Empat Juta Dua Ratus Enam Puluh Lima Ribu Rupiah</v>
      </c>
      <c r="L56" s="75" t="str">
        <f>IF(B56="","",IF(LEFT(B56,2)="Ma",(VLOOKUP(B56,'Rekap Gaji'!$C$12:$D$26,2,FALSE))&amp;" Untuk "&amp;(PROPER('Rekap Gaji'!$B$2)),IF(LEFT(B56,2)="Mg","Pembelian Material Bahan Bangunan",IF(LEFT(B56,2)="Me","Biaya Pembelanjaan Menejemen",IF(LEFT(B56,1)="G",VLOOKUP(A56,COPY!$S$2:$AA$1000,2,FALSE)&amp;"( "&amp;TEXT(VLOOKUP(B56,'Rekap Gaji'!$A$12:$I$26,5,FALSE),"dd-mm-yyyy")&amp;" "&amp;TEXT(VLOOKUP(B56,'Rekap Gaji'!$A$12:$I$26,6,FALSE)&amp;" "&amp;TEXT(VLOOKUP(B56,'Rekap Gaji'!$A$12:$I$26,7,FALSE),"dd-mm-yyyy")&amp;" )"," "))))))</f>
        <v>Pembayaran Pekerja Minggu Ke 8( 19-10-2025 s/d 25-10-2025 )</v>
      </c>
      <c r="M56" s="75" t="str">
        <f>IF(OR(LEFT(B56,2)="mg",LEFT(B56,2)="mE"),VLOOKUP(A56,COPY!$S$2:$AA$1000,2,FALSE),IF(LEFT(B56,1)="G"," ",IF(LEFT(B56,2)="ma"," "," ")))</f>
        <v xml:space="preserve"> </v>
      </c>
      <c r="N56" s="75" t="str">
        <f>IFERROR(VLOOKUP($A$56&amp;"a",COPY!$S$2:$AA$1000,2,FALSE)," ")</f>
        <v xml:space="preserve"> </v>
      </c>
      <c r="O56" s="75" t="str">
        <f>IFERROR(VLOOKUP($A$56&amp;"aa",COPY!$S$2:$AA$1000,2,FALSE)," ")</f>
        <v xml:space="preserve"> </v>
      </c>
      <c r="P56" s="75" t="str">
        <f>IFERROR(VLOOKUP($A$56&amp;"aaa",COPY!$S$2:$AA$1000,2,FALSE)," ")</f>
        <v xml:space="preserve"> </v>
      </c>
      <c r="Q56" s="75" t="str">
        <f>IFERROR(VLOOKUP($A$56&amp;"aaaa",COPY!$S$2:$AA$1000,2,FALSE)," ")</f>
        <v xml:space="preserve"> </v>
      </c>
      <c r="R56" s="75" t="str">
        <f>IFERROR(VLOOKUP($A$56&amp;"aaaaa",COPY!$S$2:$AA$1000,2,FALSE)," ")</f>
        <v xml:space="preserve"> </v>
      </c>
      <c r="S56" s="75" t="str">
        <f>IFERROR(VLOOKUP($A$56&amp;"aaaaaa",COPY!$S$2:$AA$1000,2,FALSE)," ")</f>
        <v xml:space="preserve"> </v>
      </c>
      <c r="T56" s="75" t="str">
        <f>IFERROR(VLOOKUP($A$56&amp;"aaaaaaa",COPY!$S$2:$AA$1000,2,FALSE)," ")</f>
        <v xml:space="preserve"> </v>
      </c>
      <c r="U56" s="75" t="str">
        <f>IFERROR(VLOOKUP($A$56&amp;"aaaaaaaa",COPY!$S$2:$AA$1000,2,FALSE)," ")</f>
        <v xml:space="preserve"> </v>
      </c>
      <c r="V56" s="75" t="str">
        <f>IFERROR(VLOOKUP($A$56&amp;"aaaaaaaaa",COPY!$S$2:$AA$1000,2,FALSE)," ")</f>
        <v xml:space="preserve"> </v>
      </c>
      <c r="W56" s="75" t="str">
        <f>IFERROR(VLOOKUP($A$56&amp;"aaaaaaaaaa",COPY!$S$2:$AA$1000,2,FALSE)," ")</f>
        <v xml:space="preserve"> </v>
      </c>
      <c r="X56" s="75" t="str">
        <f>IFERROR(VLOOKUP($A$56&amp;"aaaaaaaaaaa",COPY!$S$2:$AA$1000,2,FALSE)," ")</f>
        <v xml:space="preserve"> </v>
      </c>
      <c r="Y56" s="90" t="str">
        <f>IF(OR(LEFT(B56,2)="mg",LEFT(B56,2)="mE"),VLOOKUP(A56,COPY!$S$2:$AA$1000,6,FALSE),IF(LEFT(B56,1)="G"," ",IF(LEFT(B56,2)="ma"," "," ")))</f>
        <v xml:space="preserve"> </v>
      </c>
      <c r="Z56" s="90" t="str">
        <f>IFERROR(VLOOKUP(A56&amp;"a",COPY!$S$2:$AA$1000,6,FALSE)," ")</f>
        <v xml:space="preserve"> </v>
      </c>
      <c r="AA56" s="90" t="str">
        <f>IFERROR(VLOOKUP(A56&amp;"aa",COPY!$S$2:$AA$1000,6,FALSE)," ")</f>
        <v xml:space="preserve"> </v>
      </c>
      <c r="AB56" s="90" t="str">
        <f>IFERROR(VLOOKUP(A56&amp;"aaa",COPY!$S$2:$AA$1000,6,FALSE)," ")</f>
        <v xml:space="preserve"> </v>
      </c>
      <c r="AC56" s="90" t="str">
        <f>IFERROR(VLOOKUP(A56&amp;"aaaa",COPY!$S$2:$AA$1000,6,FALSE)," ")</f>
        <v xml:space="preserve"> </v>
      </c>
      <c r="AD56" s="90" t="str">
        <f>IFERROR(VLOOKUP(A56&amp;"aaaaa",COPY!$S$2:$AA$1000,6,FALSE)," ")</f>
        <v xml:space="preserve"> </v>
      </c>
      <c r="AE56" s="90" t="str">
        <f>IFERROR(VLOOKUP(A56&amp;"aaaaaa",COPY!$S$2:$AA$1000,6,FALSE)," ")</f>
        <v xml:space="preserve"> </v>
      </c>
      <c r="AF56" s="90" t="str">
        <f>IFERROR(VLOOKUP(A56&amp;"aaaaaaa",COPY!$S$2:$AA$1000,6,FALSE)," ")</f>
        <v xml:space="preserve"> </v>
      </c>
      <c r="AG56" s="90" t="str">
        <f>IFERROR(VLOOKUP(A56&amp;"aaaaaaaa",COPY!$S$2:$AA$1000,6,FALSE)," ")</f>
        <v xml:space="preserve"> </v>
      </c>
      <c r="AH56" s="90" t="str">
        <f>IFERROR(VLOOKUP(A56&amp;"aaaaaaaaa",COPY!$S$2:$AA$1000,6,FALSE)," ")</f>
        <v xml:space="preserve"> </v>
      </c>
      <c r="AI56" s="90" t="str">
        <f>IFERROR(VLOOKUP(A56&amp;"aaaaaaaaaa",COPY!$S$2:$AA$1000,6,FALSE)," ")</f>
        <v xml:space="preserve"> </v>
      </c>
      <c r="AJ56" s="90" t="str">
        <f>IFERROR(VLOOKUP(A56&amp;"aaaaaaaaaaa",COPY!$S$2:$AA$1000,6,FALSE)," ")</f>
        <v xml:space="preserve"> </v>
      </c>
      <c r="AK56" s="90" t="str">
        <f>IF(LEFT(B56,2)="mg",VLOOKUP(A56,COPY!$S$2:$AA$1000,7,FALSE),IF(LEFT(B56,1)="G"," ",IF(LEFT(B56,2)="ma"," "," ")))</f>
        <v xml:space="preserve"> </v>
      </c>
      <c r="AL56" s="90" t="str">
        <f>IFERROR(VLOOKUP(A56&amp;"a",COPY!$S$2:$AA$1000,7,FALSE)," ")</f>
        <v xml:space="preserve"> </v>
      </c>
      <c r="AM56" s="90" t="str">
        <f>IFERROR(VLOOKUP(A56&amp;"aa",COPY!$S$2:$AA$1000,7,FALSE)," ")</f>
        <v xml:space="preserve"> </v>
      </c>
      <c r="AN56" s="90" t="str">
        <f>IFERROR(VLOOKUP(A56&amp;"aaa",COPY!$S$2:$AA$1000,7,FALSE)," ")</f>
        <v xml:space="preserve"> </v>
      </c>
      <c r="AO56" s="90" t="str">
        <f>IFERROR(VLOOKUP(A56&amp;"aaaa",COPY!$S$2:$AA$1000,7,FALSE)," ")</f>
        <v xml:space="preserve"> </v>
      </c>
      <c r="AP56" s="90" t="str">
        <f>IFERROR(VLOOKUP(A56&amp;"aaaaa",COPY!$S$2:$AA$1000,7,FALSE)," ")</f>
        <v xml:space="preserve"> </v>
      </c>
      <c r="AQ56" s="90" t="str">
        <f>IFERROR(VLOOKUP(A56&amp;"aaaaaa",COPY!$S$2:$AA$1000,7,FALSE)," ")</f>
        <v xml:space="preserve"> </v>
      </c>
      <c r="AR56" s="90" t="str">
        <f>IFERROR(VLOOKUP(A56&amp;"aaaaaaa",COPY!$S$2:$AA$1000,7,FALSE)," ")</f>
        <v xml:space="preserve"> </v>
      </c>
      <c r="AS56" s="90" t="str">
        <f>IFERROR(VLOOKUP(A56&amp;"aaaaaaaa",COPY!$S$2:$AA$1000,7,FALSE)," ")</f>
        <v xml:space="preserve"> </v>
      </c>
      <c r="AT56" s="90" t="str">
        <f>IFERROR(VLOOKUP(A56&amp;"aaaaaaaaa",COPY!$S$2:$AA$1000,7,FALSE)," ")</f>
        <v xml:space="preserve"> </v>
      </c>
      <c r="AU56" s="90" t="str">
        <f>IFERROR(VLOOKUP(A56&amp;"aaaaaaaaaa",COPY!$S$2:$AA$1000,7,FALSE)," ")</f>
        <v xml:space="preserve"> </v>
      </c>
      <c r="AV56" s="90" t="str">
        <f>IFERROR(VLOOKUP(A56&amp;"aaaaaaaaaaa",COPY!$S$2:$AA$1000,7,FALSE)," ")</f>
        <v xml:space="preserve"> </v>
      </c>
    </row>
    <row r="57" spans="1:48" x14ac:dyDescent="0.2">
      <c r="A57" s="75" t="str">
        <f>'REKAP PAJAK'!W94</f>
        <v>BKK.56</v>
      </c>
      <c r="B57" s="75" t="str">
        <f>IF(LEN(A57)&gt;1,VLOOKUP(A57,COPY!$O$2:$R$1000,4,FALSE),"")</f>
        <v>Men9</v>
      </c>
      <c r="C57" s="75" t="str">
        <f t="shared" si="0"/>
        <v>MELIA FITRIANI, S.Pd.SD</v>
      </c>
      <c r="D57" s="75" t="str">
        <f t="shared" si="1"/>
        <v>NIP. 19850619 200904 2 000</v>
      </c>
      <c r="E57" s="75" t="str">
        <f t="shared" si="2"/>
        <v>ARIF NUR UDIN, S.Pd.SD</v>
      </c>
      <c r="F57" s="75" t="str">
        <f t="shared" si="3"/>
        <v>NIP. 19840719 200903 1 002</v>
      </c>
      <c r="G57" s="75" t="str">
        <f>IFERROR(TEXT(VLOOKUP(A57,COPY!$S$2:$W$1000,3,FALSE),"dd mmmm yyyy")," ")</f>
        <v>31 Oktober 2025</v>
      </c>
      <c r="H57" s="75" t="str">
        <f t="shared" si="4"/>
        <v>SDN 1 SIDODADI</v>
      </c>
      <c r="I57" s="75" t="str">
        <f t="shared" si="5"/>
        <v>NGANTANG</v>
      </c>
      <c r="J57" s="90">
        <f>IFERROR(VLOOKUP(A57,COPY!$S$2:$W$1000,4,FALSE)," ")</f>
        <v>1010000</v>
      </c>
      <c r="K57" s="75" t="str">
        <f>IFERROR(VLOOKUP(A57,COPY!$S$2:$W$1000,5,FALSE)," ")</f>
        <v>Satu Juta Sepuluh Ribu Rupiah</v>
      </c>
      <c r="L57" s="75" t="str">
        <f>IF(B57="","",IF(LEFT(B57,2)="Ma",(VLOOKUP(B57,'Rekap Gaji'!$C$12:$D$26,2,FALSE))&amp;" Untuk "&amp;(PROPER('Rekap Gaji'!$B$2)),IF(LEFT(B57,2)="Mg","Pembelian Material Bahan Bangunan",IF(LEFT(B57,2)="Me","Biaya Pembelanjaan Menejemen",IF(LEFT(B57,1)="G",VLOOKUP(A57,COPY!$S$2:$AA$1000,2,FALSE)&amp;"( "&amp;TEXT(VLOOKUP(B57,'Rekap Gaji'!$A$12:$I$26,5,FALSE),"dd-mm-yyyy")&amp;" "&amp;TEXT(VLOOKUP(B57,'Rekap Gaji'!$A$12:$I$26,6,FALSE)&amp;" "&amp;TEXT(VLOOKUP(B57,'Rekap Gaji'!$A$12:$I$26,7,FALSE),"dd-mm-yyyy")&amp;" )"," "))))))</f>
        <v>Biaya Pembelanjaan Menejemen</v>
      </c>
      <c r="M57" s="75" t="str">
        <f>IF(OR(LEFT(B57,2)="mg",LEFT(B57,2)="mE"),VLOOKUP(A57,COPY!$S$2:$AA$1000,2,FALSE),IF(LEFT(B57,1)="G"," ",IF(LEFT(B57,2)="ma"," "," ")))</f>
        <v>Kosumsi Rapat Peninjauan 100%</v>
      </c>
      <c r="N57" s="75" t="str">
        <f>IFERROR(VLOOKUP($A$57&amp;"a",COPY!$S$2:$AA$1000,2,FALSE)," ")</f>
        <v>Kertas Sidu A4 70 grm</v>
      </c>
      <c r="O57" s="75" t="str">
        <f>IFERROR(VLOOKUP($A$57&amp;"aa",COPY!$S$2:$AA$1000,2,FALSE)," ")</f>
        <v>Tinta Printer</v>
      </c>
      <c r="P57" s="75" t="str">
        <f>IFERROR(VLOOKUP($A$57&amp;"aaa",COPY!$S$2:$AA$1000,2,FALSE)," ")</f>
        <v>Materai 10000</v>
      </c>
      <c r="Q57" s="75" t="str">
        <f>IFERROR(VLOOKUP($A$57&amp;"aaaa",COPY!$S$2:$AA$1000,2,FALSE)," ")</f>
        <v>Foto Copy</v>
      </c>
      <c r="R57" s="75" t="str">
        <f>IFERROR(VLOOKUP($A$57&amp;"aaaaa",COPY!$S$2:$AA$1000,2,FALSE)," ")</f>
        <v>Biaya Perjalanan Lain</v>
      </c>
      <c r="S57" s="75" t="str">
        <f>IFERROR(VLOOKUP($A$57&amp;"aaaaaa",COPY!$S$2:$AA$1000,2,FALSE)," ")</f>
        <v xml:space="preserve"> </v>
      </c>
      <c r="T57" s="75" t="str">
        <f>IFERROR(VLOOKUP($A$57&amp;"aaaaaaa",COPY!$S$2:$AA$1000,2,FALSE)," ")</f>
        <v xml:space="preserve"> </v>
      </c>
      <c r="U57" s="75" t="str">
        <f>IFERROR(VLOOKUP($A$57&amp;"aaaaaaaa",COPY!$S$2:$AA$1000,2,FALSE)," ")</f>
        <v xml:space="preserve"> </v>
      </c>
      <c r="V57" s="75" t="str">
        <f>IFERROR(VLOOKUP($A$57&amp;"aaaaaaaaa",COPY!$S$2:$AA$1000,2,FALSE)," ")</f>
        <v xml:space="preserve"> </v>
      </c>
      <c r="W57" s="75" t="str">
        <f>IFERROR(VLOOKUP($A$57&amp;"aaaaaaaaaa",COPY!$S$2:$AA$1000,2,FALSE)," ")</f>
        <v xml:space="preserve"> </v>
      </c>
      <c r="X57" s="75" t="str">
        <f>IFERROR(VLOOKUP($A$57&amp;"aaaaaaaaaaa",COPY!$S$2:$AA$1000,2,FALSE)," ")</f>
        <v xml:space="preserve"> </v>
      </c>
      <c r="Y57" s="90">
        <f>IF(OR(LEFT(B57,2)="mg",LEFT(B57,2)="mE"),VLOOKUP(A57,COPY!$S$2:$AA$1000,6,FALSE),IF(LEFT(B57,1)="G"," ",IF(LEFT(B57,2)="ma"," "," ")))</f>
        <v>15</v>
      </c>
      <c r="Z57" s="90">
        <f>IFERROR(VLOOKUP(A57&amp;"a",COPY!$S$2:$AA$1000,6,FALSE)," ")</f>
        <v>2</v>
      </c>
      <c r="AA57" s="90">
        <f>IFERROR(VLOOKUP(A57&amp;"aa",COPY!$S$2:$AA$1000,6,FALSE)," ")</f>
        <v>1</v>
      </c>
      <c r="AB57" s="90">
        <f>IFERROR(VLOOKUP(A57&amp;"aaa",COPY!$S$2:$AA$1000,6,FALSE)," ")</f>
        <v>10</v>
      </c>
      <c r="AC57" s="90">
        <f>IFERROR(VLOOKUP(A57&amp;"aaaa",COPY!$S$2:$AA$1000,6,FALSE)," ")</f>
        <v>2</v>
      </c>
      <c r="AD57" s="90">
        <f>IFERROR(VLOOKUP(A57&amp;"aaaaa",COPY!$S$2:$AA$1000,6,FALSE)," ")</f>
        <v>1</v>
      </c>
      <c r="AE57" s="90" t="str">
        <f>IFERROR(VLOOKUP(A57&amp;"aaaaaa",COPY!$S$2:$AA$1000,6,FALSE)," ")</f>
        <v xml:space="preserve"> </v>
      </c>
      <c r="AF57" s="90" t="str">
        <f>IFERROR(VLOOKUP(A57&amp;"aaaaaaa",COPY!$S$2:$AA$1000,6,FALSE)," ")</f>
        <v xml:space="preserve"> </v>
      </c>
      <c r="AG57" s="90" t="str">
        <f>IFERROR(VLOOKUP(A57&amp;"aaaaaaaa",COPY!$S$2:$AA$1000,6,FALSE)," ")</f>
        <v xml:space="preserve"> </v>
      </c>
      <c r="AH57" s="90" t="str">
        <f>IFERROR(VLOOKUP(A57&amp;"aaaaaaaaa",COPY!$S$2:$AA$1000,6,FALSE)," ")</f>
        <v xml:space="preserve"> </v>
      </c>
      <c r="AI57" s="90" t="str">
        <f>IFERROR(VLOOKUP(A57&amp;"aaaaaaaaaa",COPY!$S$2:$AA$1000,6,FALSE)," ")</f>
        <v xml:space="preserve"> </v>
      </c>
      <c r="AJ57" s="90" t="str">
        <f>IFERROR(VLOOKUP(A57&amp;"aaaaaaaaaaa",COPY!$S$2:$AA$1000,6,FALSE)," ")</f>
        <v xml:space="preserve"> </v>
      </c>
      <c r="AK57" s="90" t="str">
        <f>IF(LEFT(B57,2)="mg",VLOOKUP(A57,COPY!$S$2:$AA$1000,7,FALSE),IF(LEFT(B57,1)="G"," ",IF(LEFT(B57,2)="ma"," "," ")))</f>
        <v xml:space="preserve"> </v>
      </c>
      <c r="AL57" s="90" t="str">
        <f>IFERROR(VLOOKUP(A57&amp;"a",COPY!$S$2:$AA$1000,7,FALSE)," ")</f>
        <v>Rim</v>
      </c>
      <c r="AM57" s="90" t="str">
        <f>IFERROR(VLOOKUP(A57&amp;"aa",COPY!$S$2:$AA$1000,7,FALSE)," ")</f>
        <v>Pcs</v>
      </c>
      <c r="AN57" s="90" t="str">
        <f>IFERROR(VLOOKUP(A57&amp;"aaa",COPY!$S$2:$AA$1000,7,FALSE)," ")</f>
        <v>Pcs</v>
      </c>
      <c r="AO57" s="90" t="str">
        <f>IFERROR(VLOOKUP(A57&amp;"aaaa",COPY!$S$2:$AA$1000,7,FALSE)," ")</f>
        <v>Buku</v>
      </c>
      <c r="AP57" s="90" t="str">
        <f>IFERROR(VLOOKUP(A57&amp;"aaaaa",COPY!$S$2:$AA$1000,7,FALSE)," ")</f>
        <v>Ls</v>
      </c>
      <c r="AQ57" s="90" t="str">
        <f>IFERROR(VLOOKUP(A57&amp;"aaaaaa",COPY!$S$2:$AA$1000,7,FALSE)," ")</f>
        <v xml:space="preserve"> </v>
      </c>
      <c r="AR57" s="90" t="str">
        <f>IFERROR(VLOOKUP(A57&amp;"aaaaaaa",COPY!$S$2:$AA$1000,7,FALSE)," ")</f>
        <v xml:space="preserve"> </v>
      </c>
      <c r="AS57" s="90" t="str">
        <f>IFERROR(VLOOKUP(A57&amp;"aaaaaaaa",COPY!$S$2:$AA$1000,7,FALSE)," ")</f>
        <v xml:space="preserve"> </v>
      </c>
      <c r="AT57" s="90" t="str">
        <f>IFERROR(VLOOKUP(A57&amp;"aaaaaaaaa",COPY!$S$2:$AA$1000,7,FALSE)," ")</f>
        <v xml:space="preserve"> </v>
      </c>
      <c r="AU57" s="90" t="str">
        <f>IFERROR(VLOOKUP(A57&amp;"aaaaaaaaaa",COPY!$S$2:$AA$1000,7,FALSE)," ")</f>
        <v xml:space="preserve"> </v>
      </c>
      <c r="AV57" s="90" t="str">
        <f>IFERROR(VLOOKUP(A57&amp;"aaaaaaaaaaa",COPY!$S$2:$AA$1000,7,FALSE)," ")</f>
        <v xml:space="preserve"> </v>
      </c>
    </row>
    <row r="58" spans="1:48" x14ac:dyDescent="0.2">
      <c r="A58" s="75" t="str">
        <f>'REKAP PAJAK'!W95</f>
        <v>BKK.57</v>
      </c>
      <c r="B58" s="75" t="str">
        <f>IF(LEN(A58)&gt;1,VLOOKUP(A58,COPY!$O$2:$R$1000,4,FALSE),"")</f>
        <v>Maa2</v>
      </c>
      <c r="C58" s="75" t="str">
        <f t="shared" si="0"/>
        <v>MELIA FITRIANI, S.Pd.SD</v>
      </c>
      <c r="D58" s="75" t="str">
        <f t="shared" si="1"/>
        <v>NIP. 19850619 200904 2 000</v>
      </c>
      <c r="E58" s="75" t="str">
        <f t="shared" si="2"/>
        <v>ARIF NUR UDIN, S.Pd.SD</v>
      </c>
      <c r="F58" s="75" t="str">
        <f t="shared" si="3"/>
        <v>NIP. 19840719 200903 1 002</v>
      </c>
      <c r="G58" s="75" t="str">
        <f>IFERROR(TEXT(VLOOKUP(A58,COPY!$S$2:$W$1000,3,FALSE),"dd mmmm yyyy")," ")</f>
        <v>31 Oktober 2025</v>
      </c>
      <c r="H58" s="75" t="str">
        <f t="shared" si="4"/>
        <v>SDN 1 SIDODADI</v>
      </c>
      <c r="I58" s="75" t="str">
        <f t="shared" si="5"/>
        <v>NGANTANG</v>
      </c>
      <c r="J58" s="90">
        <f>IFERROR(VLOOKUP(A58,COPY!$S$2:$W$1000,4,FALSE)," ")</f>
        <v>3404630</v>
      </c>
      <c r="K58" s="75" t="str">
        <f>IFERROR(VLOOKUP(A58,COPY!$S$2:$W$1000,5,FALSE)," ")</f>
        <v>Tiga Juta Empat Ratus Empat Ribu Enam Ratus Tiga Puluh Rupiah</v>
      </c>
      <c r="L58" s="75" t="str">
        <f>IF(B58="","",IF(LEFT(B58,2)="Ma",(VLOOKUP(B58,'Rekap Gaji'!$C$12:$D$26,2,FALSE))&amp;" Untuk "&amp;(PROPER('Rekap Gaji'!$B$2)),IF(LEFT(B58,2)="Mg","Pembelian Material Bahan Bangunan",IF(LEFT(B58,2)="Me","Biaya Pembelanjaan Menejemen",IF(LEFT(B58,1)="G",VLOOKUP(A58,COPY!$S$2:$AA$1000,2,FALSE)&amp;"( "&amp;TEXT(VLOOKUP(B58,'Rekap Gaji'!$A$12:$I$26,5,FALSE),"dd-mm-yyyy")&amp;" "&amp;TEXT(VLOOKUP(B58,'Rekap Gaji'!$A$12:$I$26,6,FALSE)&amp;" "&amp;TEXT(VLOOKUP(B58,'Rekap Gaji'!$A$12:$I$26,7,FALSE),"dd-mm-yyyy")&amp;" )"," "))))))</f>
        <v>Bayar Dana Pengawasan Untuk Pembangunan Toilet Beserta Sanitasinya</v>
      </c>
      <c r="M58" s="75" t="str">
        <f>IF(OR(LEFT(B58,2)="mg",LEFT(B58,2)="mE"),VLOOKUP(A58,COPY!$S$2:$AA$1000,2,FALSE),IF(LEFT(B58,1)="G"," ",IF(LEFT(B58,2)="ma"," "," ")))</f>
        <v xml:space="preserve"> </v>
      </c>
      <c r="N58" s="75" t="str">
        <f>IFERROR(VLOOKUP($A$58&amp;"a",COPY!$S$2:$AA$1000,2,FALSE)," ")</f>
        <v/>
      </c>
      <c r="O58" s="75" t="str">
        <f>IFERROR(VLOOKUP($A$58&amp;"aa",COPY!$S$2:$AA$1000,2,FALSE)," ")</f>
        <v/>
      </c>
      <c r="P58" s="75" t="str">
        <f>IFERROR(VLOOKUP($A$58&amp;"aaa",COPY!$S$2:$AA$1000,2,FALSE)," ")</f>
        <v/>
      </c>
      <c r="Q58" s="75" t="str">
        <f>IFERROR(VLOOKUP($A$58&amp;"aaaa",COPY!$S$2:$AA$1000,2,FALSE)," ")</f>
        <v/>
      </c>
      <c r="R58" s="75" t="str">
        <f>IFERROR(VLOOKUP($A$58&amp;"aaaaa",COPY!$S$2:$AA$1000,2,FALSE)," ")</f>
        <v/>
      </c>
      <c r="S58" s="75" t="str">
        <f>IFERROR(VLOOKUP($A$58&amp;"aaaaaa",COPY!$S$2:$AA$1000,2,FALSE)," ")</f>
        <v/>
      </c>
      <c r="T58" s="75" t="str">
        <f>IFERROR(VLOOKUP($A$58&amp;"aaaaaaa",COPY!$S$2:$AA$1000,2,FALSE)," ")</f>
        <v/>
      </c>
      <c r="U58" s="75" t="str">
        <f>IFERROR(VLOOKUP($A$58&amp;"aaaaaaaa",COPY!$S$2:$AA$1000,2,FALSE)," ")</f>
        <v/>
      </c>
      <c r="V58" s="75" t="str">
        <f>IFERROR(VLOOKUP($A$58&amp;"aaaaaaaaa",COPY!$S$2:$AA$1000,2,FALSE)," ")</f>
        <v/>
      </c>
      <c r="W58" s="75" t="str">
        <f>IFERROR(VLOOKUP($A$58&amp;"aaaaaaaaaa",COPY!$S$2:$AA$1000,2,FALSE)," ")</f>
        <v/>
      </c>
      <c r="X58" s="75" t="str">
        <f>IFERROR(VLOOKUP($A$58&amp;"aaaaaaaaaaa",COPY!$S$2:$AA$1000,2,FALSE)," ")</f>
        <v/>
      </c>
      <c r="Y58" s="90" t="str">
        <f>IF(OR(LEFT(B58,2)="mg",LEFT(B58,2)="mE"),VLOOKUP(A58,COPY!$S$2:$AA$1000,6,FALSE),IF(LEFT(B58,1)="G"," ",IF(LEFT(B58,2)="ma"," "," ")))</f>
        <v xml:space="preserve"> </v>
      </c>
      <c r="Z58" s="90" t="str">
        <f>IFERROR(VLOOKUP(A58&amp;"a",COPY!$S$2:$AA$1000,6,FALSE)," ")</f>
        <v/>
      </c>
      <c r="AA58" s="90" t="str">
        <f>IFERROR(VLOOKUP(A58&amp;"aa",COPY!$S$2:$AA$1000,6,FALSE)," ")</f>
        <v/>
      </c>
      <c r="AB58" s="90" t="str">
        <f>IFERROR(VLOOKUP(A58&amp;"aaa",COPY!$S$2:$AA$1000,6,FALSE)," ")</f>
        <v/>
      </c>
      <c r="AC58" s="90" t="str">
        <f>IFERROR(VLOOKUP(A58&amp;"aaaa",COPY!$S$2:$AA$1000,6,FALSE)," ")</f>
        <v/>
      </c>
      <c r="AD58" s="90" t="str">
        <f>IFERROR(VLOOKUP(A58&amp;"aaaaa",COPY!$S$2:$AA$1000,6,FALSE)," ")</f>
        <v/>
      </c>
      <c r="AE58" s="90" t="str">
        <f>IFERROR(VLOOKUP(A58&amp;"aaaaaa",COPY!$S$2:$AA$1000,6,FALSE)," ")</f>
        <v/>
      </c>
      <c r="AF58" s="90" t="str">
        <f>IFERROR(VLOOKUP(A58&amp;"aaaaaaa",COPY!$S$2:$AA$1000,6,FALSE)," ")</f>
        <v/>
      </c>
      <c r="AG58" s="90" t="str">
        <f>IFERROR(VLOOKUP(A58&amp;"aaaaaaaa",COPY!$S$2:$AA$1000,6,FALSE)," ")</f>
        <v/>
      </c>
      <c r="AH58" s="90" t="str">
        <f>IFERROR(VLOOKUP(A58&amp;"aaaaaaaaa",COPY!$S$2:$AA$1000,6,FALSE)," ")</f>
        <v/>
      </c>
      <c r="AI58" s="90" t="str">
        <f>IFERROR(VLOOKUP(A58&amp;"aaaaaaaaaa",COPY!$S$2:$AA$1000,6,FALSE)," ")</f>
        <v/>
      </c>
      <c r="AJ58" s="90" t="str">
        <f>IFERROR(VLOOKUP(A58&amp;"aaaaaaaaaaa",COPY!$S$2:$AA$1000,6,FALSE)," ")</f>
        <v/>
      </c>
      <c r="AK58" s="90" t="str">
        <f>IF(LEFT(B58,2)="mg",VLOOKUP(A58,COPY!$S$2:$AA$1000,7,FALSE),IF(LEFT(B58,1)="G"," ",IF(LEFT(B58,2)="ma"," "," ")))</f>
        <v xml:space="preserve"> </v>
      </c>
      <c r="AL58" s="90" t="str">
        <f>IFERROR(VLOOKUP(A58&amp;"a",COPY!$S$2:$AA$1000,7,FALSE)," ")</f>
        <v/>
      </c>
      <c r="AM58" s="90" t="str">
        <f>IFERROR(VLOOKUP(A58&amp;"aa",COPY!$S$2:$AA$1000,7,FALSE)," ")</f>
        <v/>
      </c>
      <c r="AN58" s="90" t="str">
        <f>IFERROR(VLOOKUP(A58&amp;"aaa",COPY!$S$2:$AA$1000,7,FALSE)," ")</f>
        <v/>
      </c>
      <c r="AO58" s="90" t="str">
        <f>IFERROR(VLOOKUP(A58&amp;"aaaa",COPY!$S$2:$AA$1000,7,FALSE)," ")</f>
        <v/>
      </c>
      <c r="AP58" s="90" t="str">
        <f>IFERROR(VLOOKUP(A58&amp;"aaaaa",COPY!$S$2:$AA$1000,7,FALSE)," ")</f>
        <v/>
      </c>
      <c r="AQ58" s="90" t="str">
        <f>IFERROR(VLOOKUP(A58&amp;"aaaaaa",COPY!$S$2:$AA$1000,7,FALSE)," ")</f>
        <v/>
      </c>
      <c r="AR58" s="90" t="str">
        <f>IFERROR(VLOOKUP(A58&amp;"aaaaaaa",COPY!$S$2:$AA$1000,7,FALSE)," ")</f>
        <v/>
      </c>
      <c r="AS58" s="90" t="str">
        <f>IFERROR(VLOOKUP(A58&amp;"aaaaaaaa",COPY!$S$2:$AA$1000,7,FALSE)," ")</f>
        <v/>
      </c>
      <c r="AT58" s="90" t="str">
        <f>IFERROR(VLOOKUP(A58&amp;"aaaaaaaaa",COPY!$S$2:$AA$1000,7,FALSE)," ")</f>
        <v/>
      </c>
      <c r="AU58" s="90" t="str">
        <f>IFERROR(VLOOKUP(A58&amp;"aaaaaaaaaa",COPY!$S$2:$AA$1000,7,FALSE)," ")</f>
        <v/>
      </c>
      <c r="AV58" s="90" t="str">
        <f>IFERROR(VLOOKUP(A58&amp;"aaaaaaaaaaa",COPY!$S$2:$AA$1000,7,FALSE)," ")</f>
        <v/>
      </c>
    </row>
    <row r="59" spans="1:48" x14ac:dyDescent="0.2">
      <c r="A59" s="75" t="str">
        <f>'REKAP PAJAK'!W96</f>
        <v/>
      </c>
      <c r="B59" s="75" t="str">
        <f>IF(LEN(A59)&gt;1,VLOOKUP(A59,COPY!$O$2:$R$1000,4,FALSE),"")</f>
        <v/>
      </c>
      <c r="C59" s="75" t="str">
        <f t="shared" si="0"/>
        <v xml:space="preserve"> </v>
      </c>
      <c r="D59" s="75" t="str">
        <f t="shared" si="1"/>
        <v xml:space="preserve"> </v>
      </c>
      <c r="E59" s="75" t="str">
        <f t="shared" si="2"/>
        <v xml:space="preserve"> </v>
      </c>
      <c r="F59" s="75" t="str">
        <f t="shared" si="3"/>
        <v xml:space="preserve"> </v>
      </c>
      <c r="G59" s="75" t="str">
        <f>IFERROR(TEXT(VLOOKUP(A59,COPY!$S$2:$W$1000,3,FALSE),"dd mmmm yyyy")," ")</f>
        <v xml:space="preserve"> </v>
      </c>
      <c r="H59" s="75" t="str">
        <f t="shared" si="4"/>
        <v xml:space="preserve"> </v>
      </c>
      <c r="I59" s="75" t="str">
        <f t="shared" si="5"/>
        <v xml:space="preserve"> </v>
      </c>
      <c r="J59" s="90" t="str">
        <f>IFERROR(VLOOKUP(A59,COPY!$S$2:$W$1000,4,FALSE)," ")</f>
        <v xml:space="preserve"> </v>
      </c>
      <c r="K59" s="75" t="str">
        <f>IFERROR(VLOOKUP(A59,COPY!$S$2:$W$1000,5,FALSE)," ")</f>
        <v xml:space="preserve"> </v>
      </c>
      <c r="L59" s="75" t="str">
        <f>IF(B59="","",IF(LEFT(B59,2)="Ma",(VLOOKUP(B59,'Rekap Gaji'!$C$12:$D$26,2,FALSE))&amp;" Untuk "&amp;(PROPER('Rekap Gaji'!$B$2)),IF(LEFT(B59,2)="Mg","Pembelian Material Bahan Bangunan",IF(LEFT(B59,2)="Me","Biaya Pembelanjaan Menejemen",IF(LEFT(B59,1)="G",VLOOKUP(A59,COPY!$S$2:$AA$1000,2,FALSE)&amp;"( "&amp;TEXT(VLOOKUP(B59,'Rekap Gaji'!$A$12:$I$26,5,FALSE),"dd-mm-yyyy")&amp;" "&amp;TEXT(VLOOKUP(B59,'Rekap Gaji'!$A$12:$I$26,6,FALSE)&amp;" "&amp;TEXT(VLOOKUP(B59,'Rekap Gaji'!$A$12:$I$26,7,FALSE),"dd-mm-yyyy")&amp;" )"," "))))))</f>
        <v/>
      </c>
      <c r="M59" s="75" t="str">
        <f>IF(OR(LEFT(B59,2)="mg",LEFT(B59,2)="mE"),VLOOKUP(A59,COPY!$S$2:$AA$1000,2,FALSE),IF(LEFT(B59,1)="G"," ",IF(LEFT(B59,2)="ma"," "," ")))</f>
        <v xml:space="preserve"> </v>
      </c>
      <c r="N59" s="91" t="str">
        <f>IFERROR(VLOOKUP($A$59&amp;"a",COPY!$S$2:$AA$1000,2,FALSE),"")</f>
        <v/>
      </c>
      <c r="O59" s="91" t="str">
        <f>IFERROR(VLOOKUP($A$59&amp;"a",COPY!$S$2:$AA$1000,2,FALSE),"")</f>
        <v/>
      </c>
      <c r="P59" s="91" t="str">
        <f>IFERROR(VLOOKUP($A$59&amp;"a",COPY!$S$2:$AA$1000,2,FALSE),"")</f>
        <v/>
      </c>
      <c r="Q59" s="91" t="str">
        <f>IFERROR(VLOOKUP($A$59&amp;"a",COPY!$S$2:$AA$1000,2,FALSE),"")</f>
        <v/>
      </c>
      <c r="R59" s="91" t="str">
        <f>IFERROR(VLOOKUP($A$59&amp;"a",COPY!$S$2:$AA$1000,2,FALSE),"")</f>
        <v/>
      </c>
      <c r="S59" s="91" t="str">
        <f>IFERROR(VLOOKUP($A$59&amp;"a",COPY!$S$2:$AA$1000,2,FALSE),"")</f>
        <v/>
      </c>
      <c r="T59" s="91" t="str">
        <f>IFERROR(VLOOKUP($A$59&amp;"a",COPY!$S$2:$AA$1000,2,FALSE),"")</f>
        <v/>
      </c>
      <c r="U59" s="91" t="str">
        <f>IFERROR(VLOOKUP($A$59&amp;"a",COPY!$S$2:$AA$1000,2,FALSE),"")</f>
        <v/>
      </c>
      <c r="V59" s="91" t="str">
        <f>IFERROR(VLOOKUP($A$59&amp;"a",COPY!$S$2:$AA$1000,2,FALSE),"")</f>
        <v/>
      </c>
      <c r="W59" s="91" t="str">
        <f>IFERROR(VLOOKUP($A$59&amp;"a",COPY!$S$2:$AA$1000,2,FALSE),"")</f>
        <v/>
      </c>
      <c r="X59" s="91" t="str">
        <f>IFERROR(VLOOKUP($A$59&amp;"a",COPY!$S$2:$AA$1000,2,FALSE),"")</f>
        <v/>
      </c>
      <c r="Y59" s="90" t="str">
        <f>IF(OR(LEFT(B59,2)="mg",LEFT(B59,2)="mE"),VLOOKUP(A59,COPY!$S$2:$AA$1000,6,FALSE),IF(LEFT(B59,1)="G"," ",IF(LEFT(B59,2)="ma"," "," ")))</f>
        <v xml:space="preserve"> </v>
      </c>
      <c r="Z59" s="90" t="str">
        <f>IFERROR(VLOOKUP(A59&amp;"a",COPY!$S$2:$AA$1000,6,FALSE)," ")</f>
        <v xml:space="preserve"> </v>
      </c>
      <c r="AA59" s="90" t="str">
        <f>IFERROR(VLOOKUP(A59&amp;"aa",COPY!$S$2:$AA$1000,6,FALSE)," ")</f>
        <v xml:space="preserve"> </v>
      </c>
      <c r="AB59" s="90" t="str">
        <f>IFERROR(VLOOKUP(A59&amp;"aaa",COPY!$S$2:$AA$1000,6,FALSE)," ")</f>
        <v xml:space="preserve"> </v>
      </c>
      <c r="AC59" s="90" t="str">
        <f>IFERROR(VLOOKUP(A59&amp;"aaaa",COPY!$S$2:$AA$1000,6,FALSE)," ")</f>
        <v xml:space="preserve"> </v>
      </c>
      <c r="AD59" s="90" t="str">
        <f>IFERROR(VLOOKUP(A59&amp;"aaaaa",COPY!$S$2:$AA$1000,6,FALSE)," ")</f>
        <v xml:space="preserve"> </v>
      </c>
      <c r="AE59" s="90" t="str">
        <f>IFERROR(VLOOKUP(A59&amp;"aaaaaa",COPY!$S$2:$AA$1000,6,FALSE)," ")</f>
        <v xml:space="preserve"> </v>
      </c>
      <c r="AF59" s="90" t="str">
        <f>IFERROR(VLOOKUP(A59&amp;"aaaaaaa",COPY!$S$2:$AA$1000,6,FALSE)," ")</f>
        <v xml:space="preserve"> </v>
      </c>
      <c r="AG59" s="90" t="str">
        <f>IFERROR(VLOOKUP(A59&amp;"aaaaaaaa",COPY!$S$2:$AA$1000,6,FALSE)," ")</f>
        <v xml:space="preserve"> </v>
      </c>
      <c r="AH59" s="90" t="str">
        <f>IFERROR(VLOOKUP(A59&amp;"aaaaaaaaa",COPY!$S$2:$AA$1000,6,FALSE)," ")</f>
        <v xml:space="preserve"> </v>
      </c>
      <c r="AI59" s="90" t="str">
        <f>IFERROR(VLOOKUP(A59&amp;"aaaaaaaaaa",COPY!$S$2:$AA$1000,6,FALSE)," ")</f>
        <v xml:space="preserve"> </v>
      </c>
      <c r="AJ59" s="90" t="str">
        <f>IFERROR(VLOOKUP(A59&amp;"aaaaaaaaaaa",COPY!$S$2:$AA$1000,6,FALSE)," ")</f>
        <v xml:space="preserve"> </v>
      </c>
      <c r="AK59" s="90" t="str">
        <f>IF(LEFT(B59,2)="mg",VLOOKUP(A59,COPY!$S$2:$AA$1000,7,FALSE),IF(LEFT(B59,1)="G"," ",IF(LEFT(B59,2)="ma"," "," ")))</f>
        <v xml:space="preserve"> </v>
      </c>
      <c r="AL59" s="90" t="str">
        <f>IFERROR(VLOOKUP(A59&amp;"a",COPY!$S$2:$AA$1000,7,FALSE)," ")</f>
        <v xml:space="preserve"> </v>
      </c>
      <c r="AM59" s="90" t="str">
        <f>IFERROR(VLOOKUP(A59&amp;"aa",COPY!$S$2:$AA$1000,7,FALSE)," ")</f>
        <v xml:space="preserve"> </v>
      </c>
      <c r="AN59" s="90" t="str">
        <f>IFERROR(VLOOKUP(A59&amp;"aaa",COPY!$S$2:$AA$1000,7,FALSE)," ")</f>
        <v xml:space="preserve"> </v>
      </c>
      <c r="AO59" s="90" t="str">
        <f>IFERROR(VLOOKUP(A59&amp;"aaaa",COPY!$S$2:$AA$1000,7,FALSE)," ")</f>
        <v xml:space="preserve"> </v>
      </c>
      <c r="AP59" s="90" t="str">
        <f>IFERROR(VLOOKUP(A59&amp;"aaaaa",COPY!$S$2:$AA$1000,7,FALSE)," ")</f>
        <v xml:space="preserve"> </v>
      </c>
      <c r="AQ59" s="90" t="str">
        <f>IFERROR(VLOOKUP(A59&amp;"aaaaaa",COPY!$S$2:$AA$1000,7,FALSE)," ")</f>
        <v xml:space="preserve"> </v>
      </c>
      <c r="AR59" s="90" t="str">
        <f>IFERROR(VLOOKUP(A59&amp;"aaaaaaa",COPY!$S$2:$AA$1000,7,FALSE)," ")</f>
        <v xml:space="preserve"> </v>
      </c>
      <c r="AS59" s="90" t="str">
        <f>IFERROR(VLOOKUP(A59&amp;"aaaaaaaa",COPY!$S$2:$AA$1000,7,FALSE)," ")</f>
        <v xml:space="preserve"> </v>
      </c>
      <c r="AT59" s="90" t="str">
        <f>IFERROR(VLOOKUP(A59&amp;"aaaaaaaaa",COPY!$S$2:$AA$1000,7,FALSE)," ")</f>
        <v xml:space="preserve"> </v>
      </c>
      <c r="AU59" s="90" t="str">
        <f>IFERROR(VLOOKUP(A59&amp;"aaaaaaaaaa",COPY!$S$2:$AA$1000,7,FALSE)," ")</f>
        <v xml:space="preserve"> </v>
      </c>
      <c r="AV59" s="90" t="str">
        <f>IFERROR(VLOOKUP(A59&amp;"aaaaaaaaaaa",COPY!$S$2:$AA$1000,7,FALSE)," ")</f>
        <v xml:space="preserve"> </v>
      </c>
    </row>
    <row r="60" spans="1:48" x14ac:dyDescent="0.2">
      <c r="A60" s="75" t="str">
        <f>'REKAP PAJAK'!W97</f>
        <v/>
      </c>
      <c r="B60" s="75" t="str">
        <f>IF(LEN(A60)&gt;1,VLOOKUP(A60,COPY!$O$2:$R$1000,4,FALSE),"")</f>
        <v/>
      </c>
      <c r="C60" s="75" t="str">
        <f t="shared" si="0"/>
        <v xml:space="preserve"> </v>
      </c>
      <c r="D60" s="75" t="str">
        <f t="shared" si="1"/>
        <v xml:space="preserve"> </v>
      </c>
      <c r="E60" s="75" t="str">
        <f t="shared" si="2"/>
        <v xml:space="preserve"> </v>
      </c>
      <c r="F60" s="75" t="str">
        <f t="shared" si="3"/>
        <v xml:space="preserve"> </v>
      </c>
      <c r="G60" s="75" t="str">
        <f>IFERROR(TEXT(VLOOKUP(A60,COPY!$S$2:$W$1000,3,FALSE),"dd mmmm yyyy")," ")</f>
        <v xml:space="preserve"> </v>
      </c>
      <c r="H60" s="75" t="str">
        <f t="shared" si="4"/>
        <v xml:space="preserve"> </v>
      </c>
      <c r="I60" s="75" t="str">
        <f t="shared" si="5"/>
        <v xml:space="preserve"> </v>
      </c>
      <c r="J60" s="90" t="str">
        <f>IFERROR(VLOOKUP(A60,COPY!$S$2:$W$1000,4,FALSE)," ")</f>
        <v xml:space="preserve"> </v>
      </c>
      <c r="K60" s="75" t="str">
        <f>IFERROR(VLOOKUP(A60,COPY!$S$2:$W$1000,5,FALSE)," ")</f>
        <v xml:space="preserve"> </v>
      </c>
      <c r="L60" s="75" t="str">
        <f>IF(B60="","",IF(LEFT(B60,2)="Ma",(VLOOKUP(B60,'Rekap Gaji'!$C$12:$D$26,2,FALSE))&amp;" Untuk "&amp;(PROPER('Rekap Gaji'!$B$2)),IF(LEFT(B60,2)="Mg","Pembelian Material Bahan Bangunan",IF(LEFT(B60,2)="Me","Biaya Pembelanjaan Menejemen",IF(LEFT(B60,1)="G",VLOOKUP(A60,COPY!$S$2:$AA$1000,2,FALSE)&amp;"( "&amp;TEXT(VLOOKUP(B60,'Rekap Gaji'!$A$12:$I$26,5,FALSE),"dd-mm-yyyy")&amp;" "&amp;TEXT(VLOOKUP(B60,'Rekap Gaji'!$A$12:$I$26,6,FALSE)&amp;" "&amp;TEXT(VLOOKUP(B60,'Rekap Gaji'!$A$12:$I$26,7,FALSE),"dd-mm-yyyy")&amp;" )"," "))))))</f>
        <v/>
      </c>
      <c r="M60" s="75" t="str">
        <f>IF(OR(LEFT(B60,2)="mg",LEFT(B60,2)="mE"),VLOOKUP(A60,COPY!$S$2:$AA$1000,2,FALSE),IF(LEFT(B60,1)="G"," ",IF(LEFT(B60,2)="ma"," "," ")))</f>
        <v xml:space="preserve"> </v>
      </c>
      <c r="N60" s="75" t="str">
        <f>IFERROR(VLOOKUP($A$60&amp;"a",COPY!$S$2:$AA$1000,2,FALSE)," ")</f>
        <v xml:space="preserve"> </v>
      </c>
      <c r="O60" s="75" t="str">
        <f>IFERROR(VLOOKUP($A$60&amp;"aa",COPY!$S$2:$AA$1000,2,FALSE)," ")</f>
        <v xml:space="preserve"> </v>
      </c>
      <c r="P60" s="75" t="str">
        <f>IFERROR(VLOOKUP($A$60&amp;"aaa",COPY!$S$2:$AA$1000,2,FALSE)," ")</f>
        <v xml:space="preserve"> </v>
      </c>
      <c r="Q60" s="75" t="str">
        <f>IFERROR(VLOOKUP($A$60&amp;"aaaa",COPY!$S$2:$AA$1000,2,FALSE)," ")</f>
        <v xml:space="preserve"> </v>
      </c>
      <c r="R60" s="75" t="str">
        <f>IFERROR(VLOOKUP($A$60&amp;"aaaaa",COPY!$S$2:$AA$1000,2,FALSE)," ")</f>
        <v xml:space="preserve"> </v>
      </c>
      <c r="S60" s="75" t="str">
        <f>IFERROR(VLOOKUP($A$60&amp;"aaaaaa",COPY!$S$2:$AA$1000,2,FALSE)," ")</f>
        <v xml:space="preserve"> </v>
      </c>
      <c r="T60" s="75" t="str">
        <f>IFERROR(VLOOKUP($A$60&amp;"aaaaaaa",COPY!$S$2:$AA$1000,2,FALSE)," ")</f>
        <v xml:space="preserve"> </v>
      </c>
      <c r="U60" s="75" t="str">
        <f>IFERROR(VLOOKUP($A$60&amp;"aaaaaaaa",COPY!$S$2:$AA$1000,2,FALSE)," ")</f>
        <v xml:space="preserve"> </v>
      </c>
      <c r="V60" s="75" t="str">
        <f>IFERROR(VLOOKUP($A$60&amp;"aaaaaaaaa",COPY!$S$2:$AA$1000,2,FALSE)," ")</f>
        <v xml:space="preserve"> </v>
      </c>
      <c r="W60" s="75" t="str">
        <f>IFERROR(VLOOKUP($A$60&amp;"aaaaaaaaaa",COPY!$S$2:$AA$1000,2,FALSE)," ")</f>
        <v xml:space="preserve"> </v>
      </c>
      <c r="X60" s="75" t="str">
        <f>IFERROR(VLOOKUP($A$60&amp;"aaaaaaaaaaa",COPY!$S$2:$AA$1000,2,FALSE)," ")</f>
        <v xml:space="preserve"> </v>
      </c>
      <c r="Y60" s="90" t="str">
        <f>IF(OR(LEFT(B60,2)="mg",LEFT(B60,2)="mE"),VLOOKUP(A60,COPY!$S$2:$AA$1000,6,FALSE),IF(LEFT(B60,1)="G"," ",IF(LEFT(B60,2)="ma"," "," ")))</f>
        <v xml:space="preserve"> </v>
      </c>
      <c r="Z60" s="90" t="str">
        <f>IFERROR(VLOOKUP(A60&amp;"a",COPY!$S$2:$AA$1000,6,FALSE)," ")</f>
        <v xml:space="preserve"> </v>
      </c>
      <c r="AA60" s="90" t="str">
        <f>IFERROR(VLOOKUP(A60&amp;"aa",COPY!$S$2:$AA$1000,6,FALSE)," ")</f>
        <v xml:space="preserve"> </v>
      </c>
      <c r="AB60" s="90" t="str">
        <f>IFERROR(VLOOKUP(A60&amp;"aaa",COPY!$S$2:$AA$1000,6,FALSE)," ")</f>
        <v xml:space="preserve"> </v>
      </c>
      <c r="AC60" s="90" t="str">
        <f>IFERROR(VLOOKUP(A60&amp;"aaaa",COPY!$S$2:$AA$1000,6,FALSE)," ")</f>
        <v xml:space="preserve"> </v>
      </c>
      <c r="AD60" s="90" t="str">
        <f>IFERROR(VLOOKUP(A60&amp;"aaaaa",COPY!$S$2:$AA$1000,6,FALSE)," ")</f>
        <v xml:space="preserve"> </v>
      </c>
      <c r="AE60" s="90" t="str">
        <f>IFERROR(VLOOKUP(A60&amp;"aaaaaa",COPY!$S$2:$AA$1000,6,FALSE)," ")</f>
        <v xml:space="preserve"> </v>
      </c>
      <c r="AF60" s="90" t="str">
        <f>IFERROR(VLOOKUP(A60&amp;"aaaaaaa",COPY!$S$2:$AA$1000,6,FALSE)," ")</f>
        <v xml:space="preserve"> </v>
      </c>
      <c r="AG60" s="90" t="str">
        <f>IFERROR(VLOOKUP(A60&amp;"aaaaaaaa",COPY!$S$2:$AA$1000,6,FALSE)," ")</f>
        <v xml:space="preserve"> </v>
      </c>
      <c r="AH60" s="90" t="str">
        <f>IFERROR(VLOOKUP(A60&amp;"aaaaaaaaa",COPY!$S$2:$AA$1000,6,FALSE)," ")</f>
        <v xml:space="preserve"> </v>
      </c>
      <c r="AI60" s="90" t="str">
        <f>IFERROR(VLOOKUP(A60&amp;"aaaaaaaaaa",COPY!$S$2:$AA$1000,6,FALSE)," ")</f>
        <v xml:space="preserve"> </v>
      </c>
      <c r="AJ60" s="90" t="str">
        <f>IFERROR(VLOOKUP(A60&amp;"aaaaaaaaaaa",COPY!$S$2:$AA$1000,6,FALSE)," ")</f>
        <v xml:space="preserve"> </v>
      </c>
      <c r="AK60" s="90" t="str">
        <f>IF(LEFT(B60,2)="mg",VLOOKUP(A60,COPY!$S$2:$AA$1000,7,FALSE),IF(LEFT(B60,1)="G"," ",IF(LEFT(B60,2)="ma"," "," ")))</f>
        <v xml:space="preserve"> </v>
      </c>
      <c r="AL60" s="90" t="str">
        <f>IFERROR(VLOOKUP(A60&amp;"a",COPY!$S$2:$AA$1000,7,FALSE)," ")</f>
        <v xml:space="preserve"> </v>
      </c>
      <c r="AM60" s="90" t="str">
        <f>IFERROR(VLOOKUP(A60&amp;"aa",COPY!$S$2:$AA$1000,7,FALSE)," ")</f>
        <v xml:space="preserve"> </v>
      </c>
      <c r="AN60" s="90" t="str">
        <f>IFERROR(VLOOKUP(A60&amp;"aaa",COPY!$S$2:$AA$1000,7,FALSE)," ")</f>
        <v xml:space="preserve"> </v>
      </c>
      <c r="AO60" s="90" t="str">
        <f>IFERROR(VLOOKUP(A60&amp;"aaaa",COPY!$S$2:$AA$1000,7,FALSE)," ")</f>
        <v xml:space="preserve"> </v>
      </c>
      <c r="AP60" s="90" t="str">
        <f>IFERROR(VLOOKUP(A60&amp;"aaaaa",COPY!$S$2:$AA$1000,7,FALSE)," ")</f>
        <v xml:space="preserve"> </v>
      </c>
      <c r="AQ60" s="90" t="str">
        <f>IFERROR(VLOOKUP(A60&amp;"aaaaaa",COPY!$S$2:$AA$1000,7,FALSE)," ")</f>
        <v xml:space="preserve"> </v>
      </c>
      <c r="AR60" s="90" t="str">
        <f>IFERROR(VLOOKUP(A60&amp;"aaaaaaa",COPY!$S$2:$AA$1000,7,FALSE)," ")</f>
        <v xml:space="preserve"> </v>
      </c>
      <c r="AS60" s="90" t="str">
        <f>IFERROR(VLOOKUP(A60&amp;"aaaaaaaa",COPY!$S$2:$AA$1000,7,FALSE)," ")</f>
        <v xml:space="preserve"> </v>
      </c>
      <c r="AT60" s="90" t="str">
        <f>IFERROR(VLOOKUP(A60&amp;"aaaaaaaaa",COPY!$S$2:$AA$1000,7,FALSE)," ")</f>
        <v xml:space="preserve"> </v>
      </c>
      <c r="AU60" s="90" t="str">
        <f>IFERROR(VLOOKUP(A60&amp;"aaaaaaaaaa",COPY!$S$2:$AA$1000,7,FALSE)," ")</f>
        <v xml:space="preserve"> </v>
      </c>
      <c r="AV60" s="90" t="str">
        <f>IFERROR(VLOOKUP(A60&amp;"aaaaaaaaaaa",COPY!$S$2:$AA$1000,7,FALSE)," ")</f>
        <v xml:space="preserve"> </v>
      </c>
    </row>
    <row r="61" spans="1:48" x14ac:dyDescent="0.2">
      <c r="A61" s="75" t="str">
        <f>'REKAP PAJAK'!W98</f>
        <v/>
      </c>
      <c r="B61" s="75" t="str">
        <f>IF(LEN(A61)&gt;1,VLOOKUP(A61,COPY!$O$2:$R$1000,4,FALSE),"")</f>
        <v/>
      </c>
      <c r="C61" s="75" t="str">
        <f t="shared" si="0"/>
        <v xml:space="preserve"> </v>
      </c>
      <c r="D61" s="75" t="str">
        <f t="shared" si="1"/>
        <v xml:space="preserve"> </v>
      </c>
      <c r="E61" s="75" t="str">
        <f t="shared" si="2"/>
        <v xml:space="preserve"> </v>
      </c>
      <c r="F61" s="75" t="str">
        <f t="shared" si="3"/>
        <v xml:space="preserve"> </v>
      </c>
      <c r="G61" s="75" t="str">
        <f>IFERROR(TEXT(VLOOKUP(A61,COPY!$S$2:$W$1000,3,FALSE),"dd mmmm yyyy")," ")</f>
        <v xml:space="preserve"> </v>
      </c>
      <c r="H61" s="75" t="str">
        <f t="shared" si="4"/>
        <v xml:space="preserve"> </v>
      </c>
      <c r="I61" s="75" t="str">
        <f t="shared" si="5"/>
        <v xml:space="preserve"> </v>
      </c>
      <c r="J61" s="90" t="str">
        <f>IFERROR(VLOOKUP(A61,COPY!$S$2:$W$1000,4,FALSE)," ")</f>
        <v xml:space="preserve"> </v>
      </c>
      <c r="K61" s="75" t="str">
        <f>IFERROR(VLOOKUP(A61,COPY!$S$2:$W$1000,5,FALSE)," ")</f>
        <v xml:space="preserve"> </v>
      </c>
      <c r="L61" s="75" t="str">
        <f>IF(B61="","",IF(LEFT(B61,2)="Ma",(VLOOKUP(B61,'Rekap Gaji'!$C$12:$D$26,2,FALSE))&amp;" Untuk "&amp;(PROPER('Rekap Gaji'!$B$2)),IF(LEFT(B61,2)="Mg","Pembelian Material Bahan Bangunan",IF(LEFT(B61,2)="Me","Biaya Pembelanjaan Menejemen",IF(LEFT(B61,1)="G",VLOOKUP(A61,COPY!$S$2:$AA$1000,2,FALSE)&amp;"( "&amp;TEXT(VLOOKUP(B61,'Rekap Gaji'!$A$12:$I$26,5,FALSE),"dd-mm-yyyy")&amp;" "&amp;TEXT(VLOOKUP(B61,'Rekap Gaji'!$A$12:$I$26,6,FALSE)&amp;" "&amp;TEXT(VLOOKUP(B61,'Rekap Gaji'!$A$12:$I$26,7,FALSE),"dd-mm-yyyy")&amp;" )"," "))))))</f>
        <v/>
      </c>
      <c r="M61" s="75" t="str">
        <f>IF(OR(LEFT(B61,2)="mg",LEFT(B61,2)="mE"),VLOOKUP(A61,COPY!$S$2:$AA$1000,2,FALSE),IF(LEFT(B61,1)="G"," ",IF(LEFT(B61,2)="ma"," "," ")))</f>
        <v xml:space="preserve"> </v>
      </c>
      <c r="N61" s="75" t="str">
        <f>IFERROR(VLOOKUP($A$61&amp;"a",COPY!$S$2:$AA$1000,2,FALSE)," ")</f>
        <v xml:space="preserve"> </v>
      </c>
      <c r="O61" s="75" t="str">
        <f>IFERROR(VLOOKUP($A$61&amp;"aa",COPY!$S$2:$AA$1000,2,FALSE)," ")</f>
        <v xml:space="preserve"> </v>
      </c>
      <c r="P61" s="75" t="str">
        <f>IFERROR(VLOOKUP($A$61&amp;"aaa",COPY!$S$2:$AA$1000,2,FALSE)," ")</f>
        <v xml:space="preserve"> </v>
      </c>
      <c r="Q61" s="75" t="str">
        <f>IFERROR(VLOOKUP($A$61&amp;"aaaa",COPY!$S$2:$AA$1000,2,FALSE)," ")</f>
        <v xml:space="preserve"> </v>
      </c>
      <c r="R61" s="75" t="str">
        <f>IFERROR(VLOOKUP($A$61&amp;"aaaaa",COPY!$S$2:$AA$1000,2,FALSE)," ")</f>
        <v xml:space="preserve"> </v>
      </c>
      <c r="S61" s="75" t="str">
        <f>IFERROR(VLOOKUP($A$61&amp;"aaaaaa",COPY!$S$2:$AA$1000,2,FALSE)," ")</f>
        <v xml:space="preserve"> </v>
      </c>
      <c r="T61" s="75" t="str">
        <f>IFERROR(VLOOKUP($A$61&amp;"aaaaaaa",COPY!$S$2:$AA$1000,2,FALSE)," ")</f>
        <v xml:space="preserve"> </v>
      </c>
      <c r="U61" s="75" t="str">
        <f>IFERROR(VLOOKUP($A$61&amp;"aaaaaaaa",COPY!$S$2:$AA$1000,2,FALSE)," ")</f>
        <v xml:space="preserve"> </v>
      </c>
      <c r="V61" s="75" t="str">
        <f>IFERROR(VLOOKUP($A$61&amp;"aaaaaaaaa",COPY!$S$2:$AA$1000,2,FALSE)," ")</f>
        <v xml:space="preserve"> </v>
      </c>
      <c r="W61" s="75" t="str">
        <f>IFERROR(VLOOKUP($A$61&amp;"aaaaaaaaaa",COPY!$S$2:$AA$1000,2,FALSE)," ")</f>
        <v xml:space="preserve"> </v>
      </c>
      <c r="X61" s="75" t="str">
        <f>IFERROR(VLOOKUP($A$61&amp;"aaaaaaaaaaa",COPY!$S$2:$AA$1000,2,FALSE)," ")</f>
        <v xml:space="preserve"> </v>
      </c>
      <c r="Y61" s="90" t="str">
        <f>IF(OR(LEFT(B61,2)="mg",LEFT(B61,2)="mE"),VLOOKUP(A61,COPY!$S$2:$AA$1000,6,FALSE),IF(LEFT(B61,1)="G"," ",IF(LEFT(B61,2)="ma"," "," ")))</f>
        <v xml:space="preserve"> </v>
      </c>
      <c r="Z61" s="90" t="str">
        <f>IFERROR(VLOOKUP(A61&amp;"a",COPY!$S$2:$AA$1000,6,FALSE)," ")</f>
        <v xml:space="preserve"> </v>
      </c>
      <c r="AA61" s="90" t="str">
        <f>IFERROR(VLOOKUP(A61&amp;"aa",COPY!$S$2:$AA$1000,6,FALSE)," ")</f>
        <v xml:space="preserve"> </v>
      </c>
      <c r="AB61" s="90" t="str">
        <f>IFERROR(VLOOKUP(A61&amp;"aaa",COPY!$S$2:$AA$1000,6,FALSE)," ")</f>
        <v xml:space="preserve"> </v>
      </c>
      <c r="AC61" s="90" t="str">
        <f>IFERROR(VLOOKUP(A61&amp;"aaaa",COPY!$S$2:$AA$1000,6,FALSE)," ")</f>
        <v xml:space="preserve"> </v>
      </c>
      <c r="AD61" s="90" t="str">
        <f>IFERROR(VLOOKUP(A61&amp;"aaaaa",COPY!$S$2:$AA$1000,6,FALSE)," ")</f>
        <v xml:space="preserve"> </v>
      </c>
      <c r="AE61" s="90" t="str">
        <f>IFERROR(VLOOKUP(A61&amp;"aaaaaa",COPY!$S$2:$AA$1000,6,FALSE)," ")</f>
        <v xml:space="preserve"> </v>
      </c>
      <c r="AF61" s="90" t="str">
        <f>IFERROR(VLOOKUP(A61&amp;"aaaaaaa",COPY!$S$2:$AA$1000,6,FALSE)," ")</f>
        <v xml:space="preserve"> </v>
      </c>
      <c r="AG61" s="90" t="str">
        <f>IFERROR(VLOOKUP(A61&amp;"aaaaaaaa",COPY!$S$2:$AA$1000,6,FALSE)," ")</f>
        <v xml:space="preserve"> </v>
      </c>
      <c r="AH61" s="90" t="str">
        <f>IFERROR(VLOOKUP(A61&amp;"aaaaaaaaa",COPY!$S$2:$AA$1000,6,FALSE)," ")</f>
        <v xml:space="preserve"> </v>
      </c>
      <c r="AI61" s="90" t="str">
        <f>IFERROR(VLOOKUP(A61&amp;"aaaaaaaaaa",COPY!$S$2:$AA$1000,6,FALSE)," ")</f>
        <v xml:space="preserve"> </v>
      </c>
      <c r="AJ61" s="90" t="str">
        <f>IFERROR(VLOOKUP(A61&amp;"aaaaaaaaaaa",COPY!$S$2:$AA$1000,6,FALSE)," ")</f>
        <v xml:space="preserve"> </v>
      </c>
      <c r="AK61" s="90" t="str">
        <f>IF(LEFT(B61,2)="mg",VLOOKUP(A61,COPY!$S$2:$AA$1000,7,FALSE),IF(LEFT(B61,1)="G"," ",IF(LEFT(B61,2)="ma"," "," ")))</f>
        <v xml:space="preserve"> </v>
      </c>
      <c r="AL61" s="90" t="str">
        <f>IFERROR(VLOOKUP(A61&amp;"a",COPY!$S$2:$AA$1000,7,FALSE)," ")</f>
        <v xml:space="preserve"> </v>
      </c>
      <c r="AM61" s="90" t="str">
        <f>IFERROR(VLOOKUP(A61&amp;"aa",COPY!$S$2:$AA$1000,7,FALSE)," ")</f>
        <v xml:space="preserve"> </v>
      </c>
      <c r="AN61" s="90" t="str">
        <f>IFERROR(VLOOKUP(A61&amp;"aaa",COPY!$S$2:$AA$1000,7,FALSE)," ")</f>
        <v xml:space="preserve"> </v>
      </c>
      <c r="AO61" s="90" t="str">
        <f>IFERROR(VLOOKUP(A61&amp;"aaaa",COPY!$S$2:$AA$1000,7,FALSE)," ")</f>
        <v xml:space="preserve"> </v>
      </c>
      <c r="AP61" s="90" t="str">
        <f>IFERROR(VLOOKUP(A61&amp;"aaaaa",COPY!$S$2:$AA$1000,7,FALSE)," ")</f>
        <v xml:space="preserve"> </v>
      </c>
      <c r="AQ61" s="90" t="str">
        <f>IFERROR(VLOOKUP(A61&amp;"aaaaaa",COPY!$S$2:$AA$1000,7,FALSE)," ")</f>
        <v xml:space="preserve"> </v>
      </c>
      <c r="AR61" s="90" t="str">
        <f>IFERROR(VLOOKUP(A61&amp;"aaaaaaa",COPY!$S$2:$AA$1000,7,FALSE)," ")</f>
        <v xml:space="preserve"> </v>
      </c>
      <c r="AS61" s="90" t="str">
        <f>IFERROR(VLOOKUP(A61&amp;"aaaaaaaa",COPY!$S$2:$AA$1000,7,FALSE)," ")</f>
        <v xml:space="preserve"> </v>
      </c>
      <c r="AT61" s="90" t="str">
        <f>IFERROR(VLOOKUP(A61&amp;"aaaaaaaaa",COPY!$S$2:$AA$1000,7,FALSE)," ")</f>
        <v xml:space="preserve"> </v>
      </c>
      <c r="AU61" s="90" t="str">
        <f>IFERROR(VLOOKUP(A61&amp;"aaaaaaaaaa",COPY!$S$2:$AA$1000,7,FALSE)," ")</f>
        <v xml:space="preserve"> </v>
      </c>
      <c r="AV61" s="90" t="str">
        <f>IFERROR(VLOOKUP(A61&amp;"aaaaaaaaaaa",COPY!$S$2:$AA$1000,7,FALSE)," ")</f>
        <v xml:space="preserve"> </v>
      </c>
    </row>
    <row r="62" spans="1:48" x14ac:dyDescent="0.2">
      <c r="A62" s="75" t="str">
        <f>'REKAP PAJAK'!W99</f>
        <v/>
      </c>
      <c r="B62" s="75" t="str">
        <f>IF(LEN(A62)&gt;1,VLOOKUP(A62,COPY!$O$2:$R$1000,4,FALSE),"")</f>
        <v/>
      </c>
      <c r="C62" s="75" t="str">
        <f t="shared" si="0"/>
        <v xml:space="preserve"> </v>
      </c>
      <c r="D62" s="75" t="str">
        <f t="shared" si="1"/>
        <v xml:space="preserve"> </v>
      </c>
      <c r="E62" s="75" t="str">
        <f t="shared" si="2"/>
        <v xml:space="preserve"> </v>
      </c>
      <c r="F62" s="75" t="str">
        <f t="shared" si="3"/>
        <v xml:space="preserve"> </v>
      </c>
      <c r="G62" s="75" t="str">
        <f>IFERROR(TEXT(VLOOKUP(A62,COPY!$S$2:$W$1000,3,FALSE),"dd mmmm yyyy")," ")</f>
        <v xml:space="preserve"> </v>
      </c>
      <c r="H62" s="75" t="str">
        <f t="shared" si="4"/>
        <v xml:space="preserve"> </v>
      </c>
      <c r="I62" s="75" t="str">
        <f t="shared" si="5"/>
        <v xml:space="preserve"> </v>
      </c>
      <c r="J62" s="90" t="str">
        <f>IFERROR(VLOOKUP(A62,COPY!$S$2:$W$1000,4,FALSE)," ")</f>
        <v xml:space="preserve"> </v>
      </c>
      <c r="K62" s="75" t="str">
        <f>IFERROR(VLOOKUP(A62,COPY!$S$2:$W$1000,5,FALSE)," ")</f>
        <v xml:space="preserve"> </v>
      </c>
      <c r="L62" s="75" t="str">
        <f>IF(B62="","",IF(LEFT(B62,2)="Ma",(VLOOKUP(B62,'Rekap Gaji'!$C$12:$D$26,2,FALSE))&amp;" Untuk "&amp;(PROPER('Rekap Gaji'!$B$2)),IF(LEFT(B62,2)="Mg","Pembelian Material Bahan Bangunan",IF(LEFT(B62,2)="Me","Biaya Pembelanjaan Menejemen",IF(LEFT(B62,1)="G",VLOOKUP(A62,COPY!$S$2:$AA$1000,2,FALSE)&amp;"( "&amp;TEXT(VLOOKUP(B62,'Rekap Gaji'!$A$12:$I$26,5,FALSE),"dd-mm-yyyy")&amp;" "&amp;TEXT(VLOOKUP(B62,'Rekap Gaji'!$A$12:$I$26,6,FALSE)&amp;" "&amp;TEXT(VLOOKUP(B62,'Rekap Gaji'!$A$12:$I$26,7,FALSE),"dd-mm-yyyy")&amp;" )"," "))))))</f>
        <v/>
      </c>
      <c r="M62" s="75" t="str">
        <f>IF(OR(LEFT(B62,2)="mg",LEFT(B62,2)="mE"),VLOOKUP(A62,COPY!$S$2:$AA$1000,2,FALSE),IF(LEFT(B62,1)="G"," ",IF(LEFT(B62,2)="ma"," "," ")))</f>
        <v xml:space="preserve"> </v>
      </c>
      <c r="N62" s="75" t="str">
        <f>IFERROR(VLOOKUP($A$62&amp;"a",COPY!$S$2:$AA$1000,2,FALSE)," ")</f>
        <v xml:space="preserve"> </v>
      </c>
      <c r="O62" s="75" t="str">
        <f>IFERROR(VLOOKUP($A$62&amp;"aa",COPY!$S$2:$AA$1000,2,FALSE)," ")</f>
        <v xml:space="preserve"> </v>
      </c>
      <c r="P62" s="75" t="str">
        <f>IFERROR(VLOOKUP($A$62&amp;"aaa",COPY!$S$2:$AA$1000,2,FALSE)," ")</f>
        <v xml:space="preserve"> </v>
      </c>
      <c r="Q62" s="75" t="str">
        <f>IFERROR(VLOOKUP($A$62&amp;"aaaa",COPY!$S$2:$AA$1000,2,FALSE)," ")</f>
        <v xml:space="preserve"> </v>
      </c>
      <c r="R62" s="75" t="str">
        <f>IFERROR(VLOOKUP($A$62&amp;"aaaaa",COPY!$S$2:$AA$1000,2,FALSE)," ")</f>
        <v xml:space="preserve"> </v>
      </c>
      <c r="S62" s="75" t="str">
        <f>IFERROR(VLOOKUP($A$62&amp;"aaaaaa",COPY!$S$2:$AA$1000,2,FALSE)," ")</f>
        <v xml:space="preserve"> </v>
      </c>
      <c r="T62" s="75" t="str">
        <f>IFERROR(VLOOKUP($A$62&amp;"aaaaaaa",COPY!$S$2:$AA$1000,2,FALSE)," ")</f>
        <v xml:space="preserve"> </v>
      </c>
      <c r="U62" s="75" t="str">
        <f>IFERROR(VLOOKUP($A$62&amp;"aaaaaaaa",COPY!$S$2:$AA$1000,2,FALSE)," ")</f>
        <v xml:space="preserve"> </v>
      </c>
      <c r="V62" s="75" t="str">
        <f>IFERROR(VLOOKUP($A$62&amp;"aaaaaaaaa",COPY!$S$2:$AA$1000,2,FALSE)," ")</f>
        <v xml:space="preserve"> </v>
      </c>
      <c r="W62" s="75" t="str">
        <f>IFERROR(VLOOKUP($A$62&amp;"aaaaaaaaaa",COPY!$S$2:$AA$1000,2,FALSE)," ")</f>
        <v xml:space="preserve"> </v>
      </c>
      <c r="X62" s="75" t="str">
        <f>IFERROR(VLOOKUP($A$62&amp;"aaaaaaaaaaa",COPY!$S$2:$AA$1000,2,FALSE)," ")</f>
        <v xml:space="preserve"> </v>
      </c>
      <c r="Y62" s="90" t="str">
        <f>IF(OR(LEFT(B62,2)="mg",LEFT(B62,2)="mE"),VLOOKUP(A62,COPY!$S$2:$AA$1000,6,FALSE),IF(LEFT(B62,1)="G"," ",IF(LEFT(B62,2)="ma"," "," ")))</f>
        <v xml:space="preserve"> </v>
      </c>
      <c r="Z62" s="90" t="str">
        <f>IFERROR(VLOOKUP(A62&amp;"a",COPY!$S$2:$AA$1000,6,FALSE)," ")</f>
        <v xml:space="preserve"> </v>
      </c>
      <c r="AA62" s="90" t="str">
        <f>IFERROR(VLOOKUP(A62&amp;"aa",COPY!$S$2:$AA$1000,6,FALSE)," ")</f>
        <v xml:space="preserve"> </v>
      </c>
      <c r="AB62" s="90" t="str">
        <f>IFERROR(VLOOKUP(A62&amp;"aaa",COPY!$S$2:$AA$1000,6,FALSE)," ")</f>
        <v xml:space="preserve"> </v>
      </c>
      <c r="AC62" s="90" t="str">
        <f>IFERROR(VLOOKUP(A62&amp;"aaaa",COPY!$S$2:$AA$1000,6,FALSE)," ")</f>
        <v xml:space="preserve"> </v>
      </c>
      <c r="AD62" s="90" t="str">
        <f>IFERROR(VLOOKUP(A62&amp;"aaaaa",COPY!$S$2:$AA$1000,6,FALSE)," ")</f>
        <v xml:space="preserve"> </v>
      </c>
      <c r="AE62" s="90" t="str">
        <f>IFERROR(VLOOKUP(A62&amp;"aaaaaa",COPY!$S$2:$AA$1000,6,FALSE)," ")</f>
        <v xml:space="preserve"> </v>
      </c>
      <c r="AF62" s="90" t="str">
        <f>IFERROR(VLOOKUP(A62&amp;"aaaaaaa",COPY!$S$2:$AA$1000,6,FALSE)," ")</f>
        <v xml:space="preserve"> </v>
      </c>
      <c r="AG62" s="90" t="str">
        <f>IFERROR(VLOOKUP(A62&amp;"aaaaaaaa",COPY!$S$2:$AA$1000,6,FALSE)," ")</f>
        <v xml:space="preserve"> </v>
      </c>
      <c r="AH62" s="90" t="str">
        <f>IFERROR(VLOOKUP(A62&amp;"aaaaaaaaa",COPY!$S$2:$AA$1000,6,FALSE)," ")</f>
        <v xml:space="preserve"> </v>
      </c>
      <c r="AI62" s="90" t="str">
        <f>IFERROR(VLOOKUP(A62&amp;"aaaaaaaaaa",COPY!$S$2:$AA$1000,6,FALSE)," ")</f>
        <v xml:space="preserve"> </v>
      </c>
      <c r="AJ62" s="90" t="str">
        <f>IFERROR(VLOOKUP(A62&amp;"aaaaaaaaaaa",COPY!$S$2:$AA$1000,6,FALSE)," ")</f>
        <v xml:space="preserve"> </v>
      </c>
      <c r="AK62" s="90" t="str">
        <f>IF(LEFT(B62,2)="mg",VLOOKUP(A62,COPY!$S$2:$AA$1000,7,FALSE),IF(LEFT(B62,1)="G"," ",IF(LEFT(B62,2)="ma"," "," ")))</f>
        <v xml:space="preserve"> </v>
      </c>
      <c r="AL62" s="90" t="str">
        <f>IFERROR(VLOOKUP(A62&amp;"a",COPY!$S$2:$AA$1000,7,FALSE)," ")</f>
        <v xml:space="preserve"> </v>
      </c>
      <c r="AM62" s="90" t="str">
        <f>IFERROR(VLOOKUP(A62&amp;"aa",COPY!$S$2:$AA$1000,7,FALSE)," ")</f>
        <v xml:space="preserve"> </v>
      </c>
      <c r="AN62" s="90" t="str">
        <f>IFERROR(VLOOKUP(A62&amp;"aaa",COPY!$S$2:$AA$1000,7,FALSE)," ")</f>
        <v xml:space="preserve"> </v>
      </c>
      <c r="AO62" s="90" t="str">
        <f>IFERROR(VLOOKUP(A62&amp;"aaaa",COPY!$S$2:$AA$1000,7,FALSE)," ")</f>
        <v xml:space="preserve"> </v>
      </c>
      <c r="AP62" s="90" t="str">
        <f>IFERROR(VLOOKUP(A62&amp;"aaaaa",COPY!$S$2:$AA$1000,7,FALSE)," ")</f>
        <v xml:space="preserve"> </v>
      </c>
      <c r="AQ62" s="90" t="str">
        <f>IFERROR(VLOOKUP(A62&amp;"aaaaaa",COPY!$S$2:$AA$1000,7,FALSE)," ")</f>
        <v xml:space="preserve"> </v>
      </c>
      <c r="AR62" s="90" t="str">
        <f>IFERROR(VLOOKUP(A62&amp;"aaaaaaa",COPY!$S$2:$AA$1000,7,FALSE)," ")</f>
        <v xml:space="preserve"> </v>
      </c>
      <c r="AS62" s="90" t="str">
        <f>IFERROR(VLOOKUP(A62&amp;"aaaaaaaa",COPY!$S$2:$AA$1000,7,FALSE)," ")</f>
        <v xml:space="preserve"> </v>
      </c>
      <c r="AT62" s="90" t="str">
        <f>IFERROR(VLOOKUP(A62&amp;"aaaaaaaaa",COPY!$S$2:$AA$1000,7,FALSE)," ")</f>
        <v xml:space="preserve"> </v>
      </c>
      <c r="AU62" s="90" t="str">
        <f>IFERROR(VLOOKUP(A62&amp;"aaaaaaaaaa",COPY!$S$2:$AA$1000,7,FALSE)," ")</f>
        <v xml:space="preserve"> </v>
      </c>
      <c r="AV62" s="90" t="str">
        <f>IFERROR(VLOOKUP(A62&amp;"aaaaaaaaaaa",COPY!$S$2:$AA$1000,7,FALSE)," ")</f>
        <v xml:space="preserve"> </v>
      </c>
    </row>
    <row r="63" spans="1:48" x14ac:dyDescent="0.2">
      <c r="A63" s="75" t="str">
        <f>'REKAP PAJAK'!W100</f>
        <v/>
      </c>
      <c r="B63" s="75" t="str">
        <f>IF(LEN(A63)&gt;1,VLOOKUP(A63,COPY!$O$2:$R$1000,4,FALSE),"")</f>
        <v/>
      </c>
      <c r="C63" s="75" t="str">
        <f t="shared" si="0"/>
        <v xml:space="preserve"> </v>
      </c>
      <c r="D63" s="75" t="str">
        <f t="shared" si="1"/>
        <v xml:space="preserve"> </v>
      </c>
      <c r="E63" s="75" t="str">
        <f t="shared" si="2"/>
        <v xml:space="preserve"> </v>
      </c>
      <c r="F63" s="75" t="str">
        <f t="shared" si="3"/>
        <v xml:space="preserve"> </v>
      </c>
      <c r="G63" s="75" t="str">
        <f>IFERROR(TEXT(VLOOKUP(A63,COPY!$S$2:$W$1000,3,FALSE),"dd mmmm yyyy")," ")</f>
        <v xml:space="preserve"> </v>
      </c>
      <c r="H63" s="75" t="str">
        <f t="shared" si="4"/>
        <v xml:space="preserve"> </v>
      </c>
      <c r="I63" s="75" t="str">
        <f t="shared" si="5"/>
        <v xml:space="preserve"> </v>
      </c>
      <c r="J63" s="90" t="str">
        <f>IFERROR(VLOOKUP(A63,COPY!$S$2:$W$1000,4,FALSE)," ")</f>
        <v xml:space="preserve"> </v>
      </c>
      <c r="K63" s="75" t="str">
        <f>IFERROR(VLOOKUP(A63,COPY!$S$2:$W$1000,5,FALSE)," ")</f>
        <v xml:space="preserve"> </v>
      </c>
      <c r="L63" s="75" t="str">
        <f>IF(B63="","",IF(LEFT(B63,2)="Ma",(VLOOKUP(B63,'Rekap Gaji'!$C$12:$D$26,2,FALSE))&amp;" Untuk "&amp;(PROPER('Rekap Gaji'!$B$2)),IF(LEFT(B63,2)="Mg","Pembelian Material Bahan Bangunan",IF(LEFT(B63,2)="Me","Biaya Pembelanjaan Menejemen",IF(LEFT(B63,1)="G",VLOOKUP(A63,COPY!$S$2:$AA$1000,2,FALSE)&amp;"( "&amp;TEXT(VLOOKUP(B63,'Rekap Gaji'!$A$12:$I$26,5,FALSE),"dd-mm-yyyy")&amp;" "&amp;TEXT(VLOOKUP(B63,'Rekap Gaji'!$A$12:$I$26,6,FALSE)&amp;" "&amp;TEXT(VLOOKUP(B63,'Rekap Gaji'!$A$12:$I$26,7,FALSE),"dd-mm-yyyy")&amp;" )"," "))))))</f>
        <v/>
      </c>
      <c r="M63" s="75" t="str">
        <f>IF(OR(LEFT(B63,2)="mg",LEFT(B63,2)="mE"),VLOOKUP(A63,COPY!$S$2:$AA$1000,2,FALSE),IF(LEFT(B63,1)="G"," ",IF(LEFT(B63,2)="ma"," "," ")))</f>
        <v xml:space="preserve"> </v>
      </c>
      <c r="N63" s="75" t="str">
        <f>IFERROR(VLOOKUP($A$63&amp;"a",COPY!$S$2:$AA$1000,2,FALSE)," ")</f>
        <v xml:space="preserve"> </v>
      </c>
      <c r="O63" s="75" t="str">
        <f>IFERROR(VLOOKUP($A$63&amp;"aa",COPY!$S$2:$AA$1000,2,FALSE)," ")</f>
        <v xml:space="preserve"> </v>
      </c>
      <c r="P63" s="75" t="str">
        <f>IFERROR(VLOOKUP($A$63&amp;"aaa",COPY!$S$2:$AA$1000,2,FALSE)," ")</f>
        <v xml:space="preserve"> </v>
      </c>
      <c r="Q63" s="75" t="str">
        <f>IFERROR(VLOOKUP($A$63&amp;"aaaa",COPY!$S$2:$AA$1000,2,FALSE)," ")</f>
        <v xml:space="preserve"> </v>
      </c>
      <c r="R63" s="75" t="str">
        <f>IFERROR(VLOOKUP($A$63&amp;"aaaaa",COPY!$S$2:$AA$1000,2,FALSE)," ")</f>
        <v xml:space="preserve"> </v>
      </c>
      <c r="S63" s="75" t="str">
        <f>IFERROR(VLOOKUP($A$63&amp;"aaaaaa",COPY!$S$2:$AA$1000,2,FALSE)," ")</f>
        <v xml:space="preserve"> </v>
      </c>
      <c r="T63" s="75" t="str">
        <f>IFERROR(VLOOKUP($A$63&amp;"aaaaaaa",COPY!$S$2:$AA$1000,2,FALSE)," ")</f>
        <v xml:space="preserve"> </v>
      </c>
      <c r="U63" s="75" t="str">
        <f>IFERROR(VLOOKUP($A$63&amp;"aaaaaaaa",COPY!$S$2:$AA$1000,2,FALSE)," ")</f>
        <v xml:space="preserve"> </v>
      </c>
      <c r="V63" s="75" t="str">
        <f>IFERROR(VLOOKUP($A$63&amp;"aaaaaaaaa",COPY!$S$2:$AA$1000,2,FALSE)," ")</f>
        <v xml:space="preserve"> </v>
      </c>
      <c r="W63" s="75" t="str">
        <f>IFERROR(VLOOKUP($A$63&amp;"aaaaaaaaaa",COPY!$S$2:$AA$1000,2,FALSE)," ")</f>
        <v xml:space="preserve"> </v>
      </c>
      <c r="X63" s="75" t="str">
        <f>IFERROR(VLOOKUP($A$63&amp;"aaaaaaaaaaa",COPY!$S$2:$AA$1000,2,FALSE)," ")</f>
        <v xml:space="preserve"> </v>
      </c>
      <c r="Y63" s="90" t="str">
        <f>IF(OR(LEFT(B63,2)="mg",LEFT(B63,2)="mE"),VLOOKUP(A63,COPY!$S$2:$AA$1000,6,FALSE),IF(LEFT(B63,1)="G"," ",IF(LEFT(B63,2)="ma"," "," ")))</f>
        <v xml:space="preserve"> </v>
      </c>
      <c r="Z63" s="90" t="str">
        <f>IFERROR(VLOOKUP(A63&amp;"a",COPY!$S$2:$AA$1000,6,FALSE)," ")</f>
        <v xml:space="preserve"> </v>
      </c>
      <c r="AA63" s="90" t="str">
        <f>IFERROR(VLOOKUP(A63&amp;"aa",COPY!$S$2:$AA$1000,6,FALSE)," ")</f>
        <v xml:space="preserve"> </v>
      </c>
      <c r="AB63" s="90" t="str">
        <f>IFERROR(VLOOKUP(A63&amp;"aaa",COPY!$S$2:$AA$1000,6,FALSE)," ")</f>
        <v xml:space="preserve"> </v>
      </c>
      <c r="AC63" s="90" t="str">
        <f>IFERROR(VLOOKUP(A63&amp;"aaaa",COPY!$S$2:$AA$1000,6,FALSE)," ")</f>
        <v xml:space="preserve"> </v>
      </c>
      <c r="AD63" s="90" t="str">
        <f>IFERROR(VLOOKUP(A63&amp;"aaaaa",COPY!$S$2:$AA$1000,6,FALSE)," ")</f>
        <v xml:space="preserve"> </v>
      </c>
      <c r="AE63" s="90" t="str">
        <f>IFERROR(VLOOKUP(A63&amp;"aaaaaa",COPY!$S$2:$AA$1000,6,FALSE)," ")</f>
        <v xml:space="preserve"> </v>
      </c>
      <c r="AF63" s="90" t="str">
        <f>IFERROR(VLOOKUP(A63&amp;"aaaaaaa",COPY!$S$2:$AA$1000,6,FALSE)," ")</f>
        <v xml:space="preserve"> </v>
      </c>
      <c r="AG63" s="90" t="str">
        <f>IFERROR(VLOOKUP(A63&amp;"aaaaaaaa",COPY!$S$2:$AA$1000,6,FALSE)," ")</f>
        <v xml:space="preserve"> </v>
      </c>
      <c r="AH63" s="90" t="str">
        <f>IFERROR(VLOOKUP(A63&amp;"aaaaaaaaa",COPY!$S$2:$AA$1000,6,FALSE)," ")</f>
        <v xml:space="preserve"> </v>
      </c>
      <c r="AI63" s="90" t="str">
        <f>IFERROR(VLOOKUP(A63&amp;"aaaaaaaaaa",COPY!$S$2:$AA$1000,6,FALSE)," ")</f>
        <v xml:space="preserve"> </v>
      </c>
      <c r="AJ63" s="90" t="str">
        <f>IFERROR(VLOOKUP(A63&amp;"aaaaaaaaaaa",COPY!$S$2:$AA$1000,6,FALSE)," ")</f>
        <v xml:space="preserve"> </v>
      </c>
      <c r="AK63" s="90" t="str">
        <f>IF(LEFT(B63,2)="mg",VLOOKUP(A63,COPY!$S$2:$AA$1000,7,FALSE),IF(LEFT(B63,1)="G"," ",IF(LEFT(B63,2)="ma"," "," ")))</f>
        <v xml:space="preserve"> </v>
      </c>
      <c r="AL63" s="90" t="str">
        <f>IFERROR(VLOOKUP(A63&amp;"a",COPY!$S$2:$AA$1000,7,FALSE)," ")</f>
        <v xml:space="preserve"> </v>
      </c>
      <c r="AM63" s="90" t="str">
        <f>IFERROR(VLOOKUP(A63&amp;"aa",COPY!$S$2:$AA$1000,7,FALSE)," ")</f>
        <v xml:space="preserve"> </v>
      </c>
      <c r="AN63" s="90" t="str">
        <f>IFERROR(VLOOKUP(A63&amp;"aaa",COPY!$S$2:$AA$1000,7,FALSE)," ")</f>
        <v xml:space="preserve"> </v>
      </c>
      <c r="AO63" s="90" t="str">
        <f>IFERROR(VLOOKUP(A63&amp;"aaaa",COPY!$S$2:$AA$1000,7,FALSE)," ")</f>
        <v xml:space="preserve"> </v>
      </c>
      <c r="AP63" s="90" t="str">
        <f>IFERROR(VLOOKUP(A63&amp;"aaaaa",COPY!$S$2:$AA$1000,7,FALSE)," ")</f>
        <v xml:space="preserve"> </v>
      </c>
      <c r="AQ63" s="90" t="str">
        <f>IFERROR(VLOOKUP(A63&amp;"aaaaaa",COPY!$S$2:$AA$1000,7,FALSE)," ")</f>
        <v xml:space="preserve"> </v>
      </c>
      <c r="AR63" s="90" t="str">
        <f>IFERROR(VLOOKUP(A63&amp;"aaaaaaa",COPY!$S$2:$AA$1000,7,FALSE)," ")</f>
        <v xml:space="preserve"> </v>
      </c>
      <c r="AS63" s="90" t="str">
        <f>IFERROR(VLOOKUP(A63&amp;"aaaaaaaa",COPY!$S$2:$AA$1000,7,FALSE)," ")</f>
        <v xml:space="preserve"> </v>
      </c>
      <c r="AT63" s="90" t="str">
        <f>IFERROR(VLOOKUP(A63&amp;"aaaaaaaaa",COPY!$S$2:$AA$1000,7,FALSE)," ")</f>
        <v xml:space="preserve"> </v>
      </c>
      <c r="AU63" s="90" t="str">
        <f>IFERROR(VLOOKUP(A63&amp;"aaaaaaaaaa",COPY!$S$2:$AA$1000,7,FALSE)," ")</f>
        <v xml:space="preserve"> </v>
      </c>
      <c r="AV63" s="90" t="str">
        <f>IFERROR(VLOOKUP(A63&amp;"aaaaaaaaaaa",COPY!$S$2:$AA$1000,7,FALSE)," ")</f>
        <v xml:space="preserve"> </v>
      </c>
    </row>
    <row r="64" spans="1:48" x14ac:dyDescent="0.2">
      <c r="A64" s="75" t="str">
        <f>'REKAP PAJAK'!W101</f>
        <v/>
      </c>
      <c r="B64" s="75" t="str">
        <f>IF(LEN(A64)&gt;1,VLOOKUP(A64,COPY!$O$2:$R$1000,4,FALSE),"")</f>
        <v/>
      </c>
      <c r="C64" s="75" t="str">
        <f t="shared" si="0"/>
        <v xml:space="preserve"> </v>
      </c>
      <c r="D64" s="75" t="str">
        <f t="shared" si="1"/>
        <v xml:space="preserve"> </v>
      </c>
      <c r="E64" s="75" t="str">
        <f t="shared" si="2"/>
        <v xml:space="preserve"> </v>
      </c>
      <c r="F64" s="75" t="str">
        <f t="shared" si="3"/>
        <v xml:space="preserve"> </v>
      </c>
      <c r="G64" s="75" t="str">
        <f>IFERROR(TEXT(VLOOKUP(A64,COPY!$S$2:$W$1000,3,FALSE),"dd mmmm yyyy")," ")</f>
        <v xml:space="preserve"> </v>
      </c>
      <c r="H64" s="75" t="str">
        <f t="shared" si="4"/>
        <v xml:space="preserve"> </v>
      </c>
      <c r="I64" s="75" t="str">
        <f t="shared" si="5"/>
        <v xml:space="preserve"> </v>
      </c>
      <c r="J64" s="90" t="str">
        <f>IFERROR(VLOOKUP(A64,COPY!$S$2:$W$1000,4,FALSE)," ")</f>
        <v xml:space="preserve"> </v>
      </c>
      <c r="K64" s="75" t="str">
        <f>IFERROR(VLOOKUP(A64,COPY!$S$2:$W$1000,5,FALSE)," ")</f>
        <v xml:space="preserve"> </v>
      </c>
      <c r="L64" s="75" t="str">
        <f>IF(B64="","",IF(LEFT(B64,2)="Ma",(VLOOKUP(B64,'Rekap Gaji'!$C$12:$D$26,2,FALSE))&amp;" Untuk "&amp;(PROPER('Rekap Gaji'!$B$2)),IF(LEFT(B64,2)="Mg","Pembelian Material Bahan Bangunan",IF(LEFT(B64,2)="Me","Biaya Pembelanjaan Menejemen",IF(LEFT(B64,1)="G",VLOOKUP(A64,COPY!$S$2:$AA$1000,2,FALSE)&amp;"( "&amp;TEXT(VLOOKUP(B64,'Rekap Gaji'!$A$12:$I$26,5,FALSE),"dd-mm-yyyy")&amp;" "&amp;TEXT(VLOOKUP(B64,'Rekap Gaji'!$A$12:$I$26,6,FALSE)&amp;" "&amp;TEXT(VLOOKUP(B64,'Rekap Gaji'!$A$12:$I$26,7,FALSE),"dd-mm-yyyy")&amp;" )"," "))))))</f>
        <v/>
      </c>
      <c r="M64" s="75" t="str">
        <f>IF(OR(LEFT(B64,2)="mg",LEFT(B64,2)="mE"),VLOOKUP(A64,COPY!$S$2:$AA$1000,2,FALSE),IF(LEFT(B64,1)="G"," ",IF(LEFT(B64,2)="ma"," "," ")))</f>
        <v xml:space="preserve"> </v>
      </c>
      <c r="N64" s="75" t="str">
        <f>IFERROR(VLOOKUP($A$64&amp;"a",COPY!$S$2:$AA$1000,2,FALSE)," ")</f>
        <v xml:space="preserve"> </v>
      </c>
      <c r="O64" s="75" t="str">
        <f>IFERROR(VLOOKUP($A$64&amp;"aa",COPY!$S$2:$AA$1000,2,FALSE)," ")</f>
        <v xml:space="preserve"> </v>
      </c>
      <c r="P64" s="75" t="str">
        <f>IFERROR(VLOOKUP($A$64&amp;"aaa",COPY!$S$2:$AA$1000,2,FALSE)," ")</f>
        <v xml:space="preserve"> </v>
      </c>
      <c r="Q64" s="75" t="str">
        <f>IFERROR(VLOOKUP($A$64&amp;"aaaa",COPY!$S$2:$AA$1000,2,FALSE)," ")</f>
        <v xml:space="preserve"> </v>
      </c>
      <c r="R64" s="75" t="str">
        <f>IFERROR(VLOOKUP($A$64&amp;"aaaaa",COPY!$S$2:$AA$1000,2,FALSE)," ")</f>
        <v xml:space="preserve"> </v>
      </c>
      <c r="S64" s="75" t="str">
        <f>IFERROR(VLOOKUP($A$64&amp;"aaaaaa",COPY!$S$2:$AA$1000,2,FALSE)," ")</f>
        <v xml:space="preserve"> </v>
      </c>
      <c r="T64" s="75" t="str">
        <f>IFERROR(VLOOKUP($A$64&amp;"aaaaaaa",COPY!$S$2:$AA$1000,2,FALSE)," ")</f>
        <v xml:space="preserve"> </v>
      </c>
      <c r="U64" s="75" t="str">
        <f>IFERROR(VLOOKUP($A$64&amp;"aaaaaaaa",COPY!$S$2:$AA$1000,2,FALSE)," ")</f>
        <v xml:space="preserve"> </v>
      </c>
      <c r="V64" s="75" t="str">
        <f>IFERROR(VLOOKUP($A$64&amp;"aaaaaaaaa",COPY!$S$2:$AA$1000,2,FALSE)," ")</f>
        <v xml:space="preserve"> </v>
      </c>
      <c r="W64" s="75" t="str">
        <f>IFERROR(VLOOKUP($A$64&amp;"aaaaaaaaaa",COPY!$S$2:$AA$1000,2,FALSE)," ")</f>
        <v xml:space="preserve"> </v>
      </c>
      <c r="X64" s="75" t="str">
        <f>IFERROR(VLOOKUP($A$64&amp;"aaaaaaaaaaa",COPY!$S$2:$AA$1000,2,FALSE)," ")</f>
        <v xml:space="preserve"> </v>
      </c>
      <c r="Y64" s="90" t="str">
        <f>IF(OR(LEFT(B64,2)="mg",LEFT(B64,2)="mE"),VLOOKUP(A64,COPY!$S$2:$AA$1000,6,FALSE),IF(LEFT(B64,1)="G"," ",IF(LEFT(B64,2)="ma"," "," ")))</f>
        <v xml:space="preserve"> </v>
      </c>
      <c r="Z64" s="90" t="str">
        <f>IFERROR(VLOOKUP(A64&amp;"a",COPY!$S$2:$AA$1000,6,FALSE)," ")</f>
        <v xml:space="preserve"> </v>
      </c>
      <c r="AA64" s="90" t="str">
        <f>IFERROR(VLOOKUP(A64&amp;"aa",COPY!$S$2:$AA$1000,6,FALSE)," ")</f>
        <v xml:space="preserve"> </v>
      </c>
      <c r="AB64" s="90" t="str">
        <f>IFERROR(VLOOKUP(A64&amp;"aaa",COPY!$S$2:$AA$1000,6,FALSE)," ")</f>
        <v xml:space="preserve"> </v>
      </c>
      <c r="AC64" s="90" t="str">
        <f>IFERROR(VLOOKUP(A64&amp;"aaaa",COPY!$S$2:$AA$1000,6,FALSE)," ")</f>
        <v xml:space="preserve"> </v>
      </c>
      <c r="AD64" s="90" t="str">
        <f>IFERROR(VLOOKUP(A64&amp;"aaaaa",COPY!$S$2:$AA$1000,6,FALSE)," ")</f>
        <v xml:space="preserve"> </v>
      </c>
      <c r="AE64" s="90" t="str">
        <f>IFERROR(VLOOKUP(A64&amp;"aaaaaa",COPY!$S$2:$AA$1000,6,FALSE)," ")</f>
        <v xml:space="preserve"> </v>
      </c>
      <c r="AF64" s="90" t="str">
        <f>IFERROR(VLOOKUP(A64&amp;"aaaaaaa",COPY!$S$2:$AA$1000,6,FALSE)," ")</f>
        <v xml:space="preserve"> </v>
      </c>
      <c r="AG64" s="90" t="str">
        <f>IFERROR(VLOOKUP(A64&amp;"aaaaaaaa",COPY!$S$2:$AA$1000,6,FALSE)," ")</f>
        <v xml:space="preserve"> </v>
      </c>
      <c r="AH64" s="90" t="str">
        <f>IFERROR(VLOOKUP(A64&amp;"aaaaaaaaa",COPY!$S$2:$AA$1000,6,FALSE)," ")</f>
        <v xml:space="preserve"> </v>
      </c>
      <c r="AI64" s="90" t="str">
        <f>IFERROR(VLOOKUP(A64&amp;"aaaaaaaaaa",COPY!$S$2:$AA$1000,6,FALSE)," ")</f>
        <v xml:space="preserve"> </v>
      </c>
      <c r="AJ64" s="90" t="str">
        <f>IFERROR(VLOOKUP(A64&amp;"aaaaaaaaaaa",COPY!$S$2:$AA$1000,6,FALSE)," ")</f>
        <v xml:space="preserve"> </v>
      </c>
      <c r="AK64" s="90" t="str">
        <f>IF(LEFT(B64,2)="mg",VLOOKUP(A64,COPY!$S$2:$AA$1000,7,FALSE),IF(LEFT(B64,1)="G"," ",IF(LEFT(B64,2)="ma"," "," ")))</f>
        <v xml:space="preserve"> </v>
      </c>
      <c r="AL64" s="90" t="str">
        <f>IFERROR(VLOOKUP(A64&amp;"a",COPY!$S$2:$AA$1000,7,FALSE)," ")</f>
        <v xml:space="preserve"> </v>
      </c>
      <c r="AM64" s="90" t="str">
        <f>IFERROR(VLOOKUP(A64&amp;"aa",COPY!$S$2:$AA$1000,7,FALSE)," ")</f>
        <v xml:space="preserve"> </v>
      </c>
      <c r="AN64" s="90" t="str">
        <f>IFERROR(VLOOKUP(A64&amp;"aaa",COPY!$S$2:$AA$1000,7,FALSE)," ")</f>
        <v xml:space="preserve"> </v>
      </c>
      <c r="AO64" s="90" t="str">
        <f>IFERROR(VLOOKUP(A64&amp;"aaaa",COPY!$S$2:$AA$1000,7,FALSE)," ")</f>
        <v xml:space="preserve"> </v>
      </c>
      <c r="AP64" s="90" t="str">
        <f>IFERROR(VLOOKUP(A64&amp;"aaaaa",COPY!$S$2:$AA$1000,7,FALSE)," ")</f>
        <v xml:space="preserve"> </v>
      </c>
      <c r="AQ64" s="90" t="str">
        <f>IFERROR(VLOOKUP(A64&amp;"aaaaaa",COPY!$S$2:$AA$1000,7,FALSE)," ")</f>
        <v xml:space="preserve"> </v>
      </c>
      <c r="AR64" s="90" t="str">
        <f>IFERROR(VLOOKUP(A64&amp;"aaaaaaa",COPY!$S$2:$AA$1000,7,FALSE)," ")</f>
        <v xml:space="preserve"> </v>
      </c>
      <c r="AS64" s="90" t="str">
        <f>IFERROR(VLOOKUP(A64&amp;"aaaaaaaa",COPY!$S$2:$AA$1000,7,FALSE)," ")</f>
        <v xml:space="preserve"> </v>
      </c>
      <c r="AT64" s="90" t="str">
        <f>IFERROR(VLOOKUP(A64&amp;"aaaaaaaaa",COPY!$S$2:$AA$1000,7,FALSE)," ")</f>
        <v xml:space="preserve"> </v>
      </c>
      <c r="AU64" s="90" t="str">
        <f>IFERROR(VLOOKUP(A64&amp;"aaaaaaaaaa",COPY!$S$2:$AA$1000,7,FALSE)," ")</f>
        <v xml:space="preserve"> </v>
      </c>
      <c r="AV64" s="90" t="str">
        <f>IFERROR(VLOOKUP(A64&amp;"aaaaaaaaaaa",COPY!$S$2:$AA$1000,7,FALSE)," ")</f>
        <v xml:space="preserve"> </v>
      </c>
    </row>
    <row r="65" spans="1:48" x14ac:dyDescent="0.2">
      <c r="A65" s="75" t="str">
        <f>'REKAP PAJAK'!W102</f>
        <v/>
      </c>
      <c r="B65" s="75" t="str">
        <f>IF(LEN(A65)&gt;1,VLOOKUP(A65,COPY!$O$2:$R$1000,4,FALSE),"")</f>
        <v/>
      </c>
      <c r="C65" s="75" t="str">
        <f t="shared" si="0"/>
        <v xml:space="preserve"> </v>
      </c>
      <c r="D65" s="75" t="str">
        <f t="shared" si="1"/>
        <v xml:space="preserve"> </v>
      </c>
      <c r="E65" s="75" t="str">
        <f t="shared" si="2"/>
        <v xml:space="preserve"> </v>
      </c>
      <c r="F65" s="75" t="str">
        <f t="shared" si="3"/>
        <v xml:space="preserve"> </v>
      </c>
      <c r="G65" s="75" t="str">
        <f>IFERROR(TEXT(VLOOKUP(A65,COPY!$S$2:$W$1000,3,FALSE),"dd mmmm yyyy")," ")</f>
        <v xml:space="preserve"> </v>
      </c>
      <c r="H65" s="75" t="str">
        <f t="shared" si="4"/>
        <v xml:space="preserve"> </v>
      </c>
      <c r="I65" s="75" t="str">
        <f t="shared" si="5"/>
        <v xml:space="preserve"> </v>
      </c>
      <c r="J65" s="90" t="str">
        <f>IFERROR(VLOOKUP(A65,COPY!$S$2:$W$1000,4,FALSE)," ")</f>
        <v xml:space="preserve"> </v>
      </c>
      <c r="K65" s="75" t="str">
        <f>IFERROR(VLOOKUP(A65,COPY!$S$2:$W$1000,5,FALSE)," ")</f>
        <v xml:space="preserve"> </v>
      </c>
      <c r="L65" s="75" t="str">
        <f>IF(B65="","",IF(LEFT(B65,2)="Ma",(VLOOKUP(B65,'Rekap Gaji'!$C$12:$D$26,2,FALSE))&amp;" Untuk "&amp;(PROPER('Rekap Gaji'!$B$2)),IF(LEFT(B65,2)="Mg","Pembelian Material Bahan Bangunan",IF(LEFT(B65,2)="Me","Biaya Pembelanjaan Menejemen",IF(LEFT(B65,1)="G",VLOOKUP(A65,COPY!$S$2:$AA$1000,2,FALSE)&amp;"( "&amp;TEXT(VLOOKUP(B65,'Rekap Gaji'!$A$12:$I$26,5,FALSE),"dd-mm-yyyy")&amp;" "&amp;TEXT(VLOOKUP(B65,'Rekap Gaji'!$A$12:$I$26,6,FALSE)&amp;" "&amp;TEXT(VLOOKUP(B65,'Rekap Gaji'!$A$12:$I$26,7,FALSE),"dd-mm-yyyy")&amp;" )"," "))))))</f>
        <v/>
      </c>
      <c r="M65" s="75" t="str">
        <f>IF(OR(LEFT(B65,2)="mg",LEFT(B65,2)="mE"),VLOOKUP(A65,COPY!$S$2:$AA$1000,2,FALSE),IF(LEFT(B65,1)="G"," ",IF(LEFT(B65,2)="ma"," "," ")))</f>
        <v xml:space="preserve"> </v>
      </c>
      <c r="N65" s="75" t="str">
        <f>IFERROR(VLOOKUP($A$65&amp;"a",COPY!$S$2:$AA$1000,2,FALSE)," ")</f>
        <v xml:space="preserve"> </v>
      </c>
      <c r="O65" s="75" t="str">
        <f>IFERROR(VLOOKUP($A$65&amp;"aa",COPY!$S$2:$AA$1000,2,FALSE)," ")</f>
        <v xml:space="preserve"> </v>
      </c>
      <c r="P65" s="75" t="str">
        <f>IFERROR(VLOOKUP($A$65&amp;"aaa",COPY!$S$2:$AA$1000,2,FALSE)," ")</f>
        <v xml:space="preserve"> </v>
      </c>
      <c r="Q65" s="75" t="str">
        <f>IFERROR(VLOOKUP($A$65&amp;"aaaa",COPY!$S$2:$AA$1000,2,FALSE)," ")</f>
        <v xml:space="preserve"> </v>
      </c>
      <c r="R65" s="75" t="str">
        <f>IFERROR(VLOOKUP($A$65&amp;"aaaaa",COPY!$S$2:$AA$1000,2,FALSE)," ")</f>
        <v xml:space="preserve"> </v>
      </c>
      <c r="S65" s="75" t="str">
        <f>IFERROR(VLOOKUP($A$65&amp;"aaaaaa",COPY!$S$2:$AA$1000,2,FALSE)," ")</f>
        <v xml:space="preserve"> </v>
      </c>
      <c r="T65" s="75" t="str">
        <f>IFERROR(VLOOKUP($A$65&amp;"aaaaaaa",COPY!$S$2:$AA$1000,2,FALSE)," ")</f>
        <v xml:space="preserve"> </v>
      </c>
      <c r="U65" s="75" t="str">
        <f>IFERROR(VLOOKUP($A$65&amp;"aaaaaaaa",COPY!$S$2:$AA$1000,2,FALSE)," ")</f>
        <v xml:space="preserve"> </v>
      </c>
      <c r="V65" s="75" t="str">
        <f>IFERROR(VLOOKUP($A$65&amp;"aaaaaaaaa",COPY!$S$2:$AA$1000,2,FALSE)," ")</f>
        <v xml:space="preserve"> </v>
      </c>
      <c r="W65" s="75" t="str">
        <f>IFERROR(VLOOKUP($A$65&amp;"aaaaaaaaaa",COPY!$S$2:$AA$1000,2,FALSE)," ")</f>
        <v xml:space="preserve"> </v>
      </c>
      <c r="X65" s="75" t="str">
        <f>IFERROR(VLOOKUP($A$65&amp;"aaaaaaaaaaa",COPY!$S$2:$AA$1000,2,FALSE)," ")</f>
        <v xml:space="preserve"> </v>
      </c>
      <c r="Y65" s="90" t="str">
        <f>IF(OR(LEFT(B65,2)="mg",LEFT(B65,2)="mE"),VLOOKUP(A65,COPY!$S$2:$AA$1000,6,FALSE),IF(LEFT(B65,1)="G"," ",IF(LEFT(B65,2)="ma"," "," ")))</f>
        <v xml:space="preserve"> </v>
      </c>
      <c r="Z65" s="90" t="str">
        <f>IFERROR(VLOOKUP(A65&amp;"a",COPY!$S$2:$AA$1000,6,FALSE)," ")</f>
        <v xml:space="preserve"> </v>
      </c>
      <c r="AA65" s="90" t="str">
        <f>IFERROR(VLOOKUP(A65&amp;"aa",COPY!$S$2:$AA$1000,6,FALSE)," ")</f>
        <v xml:space="preserve"> </v>
      </c>
      <c r="AB65" s="90" t="str">
        <f>IFERROR(VLOOKUP(A65&amp;"aaa",COPY!$S$2:$AA$1000,6,FALSE)," ")</f>
        <v xml:space="preserve"> </v>
      </c>
      <c r="AC65" s="90" t="str">
        <f>IFERROR(VLOOKUP(A65&amp;"aaaa",COPY!$S$2:$AA$1000,6,FALSE)," ")</f>
        <v xml:space="preserve"> </v>
      </c>
      <c r="AD65" s="90" t="str">
        <f>IFERROR(VLOOKUP(A65&amp;"aaaaa",COPY!$S$2:$AA$1000,6,FALSE)," ")</f>
        <v xml:space="preserve"> </v>
      </c>
      <c r="AE65" s="90" t="str">
        <f>IFERROR(VLOOKUP(A65&amp;"aaaaaa",COPY!$S$2:$AA$1000,6,FALSE)," ")</f>
        <v xml:space="preserve"> </v>
      </c>
      <c r="AF65" s="90" t="str">
        <f>IFERROR(VLOOKUP(A65&amp;"aaaaaaa",COPY!$S$2:$AA$1000,6,FALSE)," ")</f>
        <v xml:space="preserve"> </v>
      </c>
      <c r="AG65" s="90" t="str">
        <f>IFERROR(VLOOKUP(A65&amp;"aaaaaaaa",COPY!$S$2:$AA$1000,6,FALSE)," ")</f>
        <v xml:space="preserve"> </v>
      </c>
      <c r="AH65" s="90" t="str">
        <f>IFERROR(VLOOKUP(A65&amp;"aaaaaaaaa",COPY!$S$2:$AA$1000,6,FALSE)," ")</f>
        <v xml:space="preserve"> </v>
      </c>
      <c r="AI65" s="90" t="str">
        <f>IFERROR(VLOOKUP(A65&amp;"aaaaaaaaaa",COPY!$S$2:$AA$1000,6,FALSE)," ")</f>
        <v xml:space="preserve"> </v>
      </c>
      <c r="AJ65" s="90" t="str">
        <f>IFERROR(VLOOKUP(A65&amp;"aaaaaaaaaaa",COPY!$S$2:$AA$1000,6,FALSE)," ")</f>
        <v xml:space="preserve"> </v>
      </c>
      <c r="AK65" s="90" t="str">
        <f>IF(LEFT(B65,2)="mg",VLOOKUP(A65,COPY!$S$2:$AA$1000,7,FALSE),IF(LEFT(B65,1)="G"," ",IF(LEFT(B65,2)="ma"," "," ")))</f>
        <v xml:space="preserve"> </v>
      </c>
      <c r="AL65" s="90" t="str">
        <f>IFERROR(VLOOKUP(A65&amp;"a",COPY!$S$2:$AA$1000,7,FALSE)," ")</f>
        <v xml:space="preserve"> </v>
      </c>
      <c r="AM65" s="90" t="str">
        <f>IFERROR(VLOOKUP(A65&amp;"aa",COPY!$S$2:$AA$1000,7,FALSE)," ")</f>
        <v xml:space="preserve"> </v>
      </c>
      <c r="AN65" s="90" t="str">
        <f>IFERROR(VLOOKUP(A65&amp;"aaa",COPY!$S$2:$AA$1000,7,FALSE)," ")</f>
        <v xml:space="preserve"> </v>
      </c>
      <c r="AO65" s="90" t="str">
        <f>IFERROR(VLOOKUP(A65&amp;"aaaa",COPY!$S$2:$AA$1000,7,FALSE)," ")</f>
        <v xml:space="preserve"> </v>
      </c>
      <c r="AP65" s="90" t="str">
        <f>IFERROR(VLOOKUP(A65&amp;"aaaaa",COPY!$S$2:$AA$1000,7,FALSE)," ")</f>
        <v xml:space="preserve"> </v>
      </c>
      <c r="AQ65" s="90" t="str">
        <f>IFERROR(VLOOKUP(A65&amp;"aaaaaa",COPY!$S$2:$AA$1000,7,FALSE)," ")</f>
        <v xml:space="preserve"> </v>
      </c>
      <c r="AR65" s="90" t="str">
        <f>IFERROR(VLOOKUP(A65&amp;"aaaaaaa",COPY!$S$2:$AA$1000,7,FALSE)," ")</f>
        <v xml:space="preserve"> </v>
      </c>
      <c r="AS65" s="90" t="str">
        <f>IFERROR(VLOOKUP(A65&amp;"aaaaaaaa",COPY!$S$2:$AA$1000,7,FALSE)," ")</f>
        <v xml:space="preserve"> </v>
      </c>
      <c r="AT65" s="90" t="str">
        <f>IFERROR(VLOOKUP(A65&amp;"aaaaaaaaa",COPY!$S$2:$AA$1000,7,FALSE)," ")</f>
        <v xml:space="preserve"> </v>
      </c>
      <c r="AU65" s="90" t="str">
        <f>IFERROR(VLOOKUP(A65&amp;"aaaaaaaaaa",COPY!$S$2:$AA$1000,7,FALSE)," ")</f>
        <v xml:space="preserve"> </v>
      </c>
      <c r="AV65" s="90" t="str">
        <f>IFERROR(VLOOKUP(A65&amp;"aaaaaaaaaaa",COPY!$S$2:$AA$1000,7,FALSE)," ")</f>
        <v xml:space="preserve"> </v>
      </c>
    </row>
    <row r="66" spans="1:48" x14ac:dyDescent="0.2">
      <c r="A66" s="75" t="str">
        <f>'REKAP PAJAK'!W103</f>
        <v/>
      </c>
      <c r="B66" s="75" t="str">
        <f>IF(LEN(A66)&gt;1,VLOOKUP(A66,COPY!$O$2:$R$1000,4,FALSE),"")</f>
        <v/>
      </c>
      <c r="C66" s="75" t="str">
        <f t="shared" si="0"/>
        <v xml:space="preserve"> </v>
      </c>
      <c r="D66" s="75" t="str">
        <f t="shared" si="1"/>
        <v xml:space="preserve"> </v>
      </c>
      <c r="E66" s="75" t="str">
        <f t="shared" si="2"/>
        <v xml:space="preserve"> </v>
      </c>
      <c r="F66" s="75" t="str">
        <f t="shared" si="3"/>
        <v xml:space="preserve"> </v>
      </c>
      <c r="G66" s="75" t="str">
        <f>IFERROR(TEXT(VLOOKUP(A66,COPY!$S$2:$W$1000,3,FALSE),"dd mmmm yyyy")," ")</f>
        <v xml:space="preserve"> </v>
      </c>
      <c r="H66" s="75" t="str">
        <f t="shared" si="4"/>
        <v xml:space="preserve"> </v>
      </c>
      <c r="I66" s="75" t="str">
        <f t="shared" si="5"/>
        <v xml:space="preserve"> </v>
      </c>
      <c r="J66" s="90" t="str">
        <f>IFERROR(VLOOKUP(A66,COPY!$S$2:$W$1000,4,FALSE)," ")</f>
        <v xml:space="preserve"> </v>
      </c>
      <c r="K66" s="75" t="str">
        <f>IFERROR(VLOOKUP(A66,COPY!$S$2:$W$1000,5,FALSE)," ")</f>
        <v xml:space="preserve"> </v>
      </c>
      <c r="L66" s="75" t="str">
        <f>IF(B66="","",IF(LEFT(B66,2)="Ma",(VLOOKUP(B66,'Rekap Gaji'!$C$12:$D$26,2,FALSE))&amp;" Untuk "&amp;(PROPER('Rekap Gaji'!$B$2)),IF(LEFT(B66,2)="Mg","Pembelian Material Bahan Bangunan",IF(LEFT(B66,2)="Me","Biaya Pembelanjaan Menejemen",IF(LEFT(B66,1)="G",VLOOKUP(A66,COPY!$S$2:$AA$1000,2,FALSE)&amp;"( "&amp;TEXT(VLOOKUP(B66,'Rekap Gaji'!$A$12:$I$26,5,FALSE),"dd-mm-yyyy")&amp;" "&amp;TEXT(VLOOKUP(B66,'Rekap Gaji'!$A$12:$I$26,6,FALSE)&amp;" "&amp;TEXT(VLOOKUP(B66,'Rekap Gaji'!$A$12:$I$26,7,FALSE),"dd-mm-yyyy")&amp;" )"," "))))))</f>
        <v/>
      </c>
      <c r="M66" s="75" t="str">
        <f>IF(OR(LEFT(B66,2)="mg",LEFT(B66,2)="mE"),VLOOKUP(A66,COPY!$S$2:$AA$1000,2,FALSE),IF(LEFT(B66,1)="G"," ",IF(LEFT(B66,2)="ma"," "," ")))</f>
        <v xml:space="preserve"> </v>
      </c>
      <c r="N66" s="75" t="str">
        <f>IFERROR(VLOOKUP($A$66&amp;"a",COPY!$S$2:$AA$1000,2,FALSE)," ")</f>
        <v xml:space="preserve"> </v>
      </c>
      <c r="O66" s="75" t="str">
        <f>IFERROR(VLOOKUP($A$66&amp;"aa",COPY!$S$2:$AA$1000,2,FALSE)," ")</f>
        <v xml:space="preserve"> </v>
      </c>
      <c r="P66" s="75" t="str">
        <f>IFERROR(VLOOKUP($A$66&amp;"aaa",COPY!$S$2:$AA$1000,2,FALSE)," ")</f>
        <v xml:space="preserve"> </v>
      </c>
      <c r="Q66" s="75" t="str">
        <f>IFERROR(VLOOKUP($A$66&amp;"aaaa",COPY!$S$2:$AA$1000,2,FALSE)," ")</f>
        <v xml:space="preserve"> </v>
      </c>
      <c r="R66" s="75" t="str">
        <f>IFERROR(VLOOKUP($A$66&amp;"aaaaa",COPY!$S$2:$AA$1000,2,FALSE)," ")</f>
        <v xml:space="preserve"> </v>
      </c>
      <c r="S66" s="75" t="str">
        <f>IFERROR(VLOOKUP($A$66&amp;"aaaaaa",COPY!$S$2:$AA$1000,2,FALSE)," ")</f>
        <v xml:space="preserve"> </v>
      </c>
      <c r="T66" s="75" t="str">
        <f>IFERROR(VLOOKUP($A$66&amp;"aaaaaaa",COPY!$S$2:$AA$1000,2,FALSE)," ")</f>
        <v xml:space="preserve"> </v>
      </c>
      <c r="U66" s="75" t="str">
        <f>IFERROR(VLOOKUP($A$66&amp;"aaaaaaaa",COPY!$S$2:$AA$1000,2,FALSE)," ")</f>
        <v xml:space="preserve"> </v>
      </c>
      <c r="V66" s="75" t="str">
        <f>IFERROR(VLOOKUP($A$66&amp;"aaaaaaaaa",COPY!$S$2:$AA$1000,2,FALSE)," ")</f>
        <v xml:space="preserve"> </v>
      </c>
      <c r="W66" s="75" t="str">
        <f>IFERROR(VLOOKUP($A$66&amp;"aaaaaaaaaa",COPY!$S$2:$AA$1000,2,FALSE)," ")</f>
        <v xml:space="preserve"> </v>
      </c>
      <c r="X66" s="75" t="str">
        <f>IFERROR(VLOOKUP($A$66&amp;"aaaaaaaaaaa",COPY!$S$2:$AA$1000,2,FALSE)," ")</f>
        <v xml:space="preserve"> </v>
      </c>
      <c r="Y66" s="90" t="str">
        <f>IF(OR(LEFT(B66,2)="mg",LEFT(B66,2)="mE"),VLOOKUP(A66,COPY!$S$2:$AA$1000,6,FALSE),IF(LEFT(B66,1)="G"," ",IF(LEFT(B66,2)="ma"," "," ")))</f>
        <v xml:space="preserve"> </v>
      </c>
      <c r="Z66" s="90" t="str">
        <f>IFERROR(VLOOKUP(A66&amp;"a",COPY!$S$2:$AA$1000,6,FALSE)," ")</f>
        <v xml:space="preserve"> </v>
      </c>
      <c r="AA66" s="90" t="str">
        <f>IFERROR(VLOOKUP(A66&amp;"aa",COPY!$S$2:$AA$1000,6,FALSE)," ")</f>
        <v xml:space="preserve"> </v>
      </c>
      <c r="AB66" s="90" t="str">
        <f>IFERROR(VLOOKUP(A66&amp;"aaa",COPY!$S$2:$AA$1000,6,FALSE)," ")</f>
        <v xml:space="preserve"> </v>
      </c>
      <c r="AC66" s="90" t="str">
        <f>IFERROR(VLOOKUP(A66&amp;"aaaa",COPY!$S$2:$AA$1000,6,FALSE)," ")</f>
        <v xml:space="preserve"> </v>
      </c>
      <c r="AD66" s="90" t="str">
        <f>IFERROR(VLOOKUP(A66&amp;"aaaaa",COPY!$S$2:$AA$1000,6,FALSE)," ")</f>
        <v xml:space="preserve"> </v>
      </c>
      <c r="AE66" s="90" t="str">
        <f>IFERROR(VLOOKUP(A66&amp;"aaaaaa",COPY!$S$2:$AA$1000,6,FALSE)," ")</f>
        <v xml:space="preserve"> </v>
      </c>
      <c r="AF66" s="90" t="str">
        <f>IFERROR(VLOOKUP(A66&amp;"aaaaaaa",COPY!$S$2:$AA$1000,6,FALSE)," ")</f>
        <v xml:space="preserve"> </v>
      </c>
      <c r="AG66" s="90" t="str">
        <f>IFERROR(VLOOKUP(A66&amp;"aaaaaaaa",COPY!$S$2:$AA$1000,6,FALSE)," ")</f>
        <v xml:space="preserve"> </v>
      </c>
      <c r="AH66" s="90" t="str">
        <f>IFERROR(VLOOKUP(A66&amp;"aaaaaaaaa",COPY!$S$2:$AA$1000,6,FALSE)," ")</f>
        <v xml:space="preserve"> </v>
      </c>
      <c r="AI66" s="90" t="str">
        <f>IFERROR(VLOOKUP(A66&amp;"aaaaaaaaaa",COPY!$S$2:$AA$1000,6,FALSE)," ")</f>
        <v xml:space="preserve"> </v>
      </c>
      <c r="AJ66" s="90" t="str">
        <f>IFERROR(VLOOKUP(A66&amp;"aaaaaaaaaaa",COPY!$S$2:$AA$1000,6,FALSE)," ")</f>
        <v xml:space="preserve"> </v>
      </c>
      <c r="AK66" s="90" t="str">
        <f>IF(LEFT(B66,2)="mg",VLOOKUP(A66,COPY!$S$2:$AA$1000,7,FALSE),IF(LEFT(B66,1)="G"," ",IF(LEFT(B66,2)="ma"," "," ")))</f>
        <v xml:space="preserve"> </v>
      </c>
      <c r="AL66" s="90" t="str">
        <f>IFERROR(VLOOKUP(A66&amp;"a",COPY!$S$2:$AA$1000,7,FALSE)," ")</f>
        <v xml:space="preserve"> </v>
      </c>
      <c r="AM66" s="90" t="str">
        <f>IFERROR(VLOOKUP(A66&amp;"aa",COPY!$S$2:$AA$1000,7,FALSE)," ")</f>
        <v xml:space="preserve"> </v>
      </c>
      <c r="AN66" s="90" t="str">
        <f>IFERROR(VLOOKUP(A66&amp;"aaa",COPY!$S$2:$AA$1000,7,FALSE)," ")</f>
        <v xml:space="preserve"> </v>
      </c>
      <c r="AO66" s="90" t="str">
        <f>IFERROR(VLOOKUP(A66&amp;"aaaa",COPY!$S$2:$AA$1000,7,FALSE)," ")</f>
        <v xml:space="preserve"> </v>
      </c>
      <c r="AP66" s="90" t="str">
        <f>IFERROR(VLOOKUP(A66&amp;"aaaaa",COPY!$S$2:$AA$1000,7,FALSE)," ")</f>
        <v xml:space="preserve"> </v>
      </c>
      <c r="AQ66" s="90" t="str">
        <f>IFERROR(VLOOKUP(A66&amp;"aaaaaa",COPY!$S$2:$AA$1000,7,FALSE)," ")</f>
        <v xml:space="preserve"> </v>
      </c>
      <c r="AR66" s="90" t="str">
        <f>IFERROR(VLOOKUP(A66&amp;"aaaaaaa",COPY!$S$2:$AA$1000,7,FALSE)," ")</f>
        <v xml:space="preserve"> </v>
      </c>
      <c r="AS66" s="90" t="str">
        <f>IFERROR(VLOOKUP(A66&amp;"aaaaaaaa",COPY!$S$2:$AA$1000,7,FALSE)," ")</f>
        <v xml:space="preserve"> </v>
      </c>
      <c r="AT66" s="90" t="str">
        <f>IFERROR(VLOOKUP(A66&amp;"aaaaaaaaa",COPY!$S$2:$AA$1000,7,FALSE)," ")</f>
        <v xml:space="preserve"> </v>
      </c>
      <c r="AU66" s="90" t="str">
        <f>IFERROR(VLOOKUP(A66&amp;"aaaaaaaaaa",COPY!$S$2:$AA$1000,7,FALSE)," ")</f>
        <v xml:space="preserve"> </v>
      </c>
      <c r="AV66" s="90" t="str">
        <f>IFERROR(VLOOKUP(A66&amp;"aaaaaaaaaaa",COPY!$S$2:$AA$1000,7,FALSE)," ")</f>
        <v xml:space="preserve"> </v>
      </c>
    </row>
    <row r="67" spans="1:48" x14ac:dyDescent="0.2">
      <c r="A67" s="75" t="str">
        <f>'REKAP PAJAK'!W104</f>
        <v/>
      </c>
      <c r="B67" s="75" t="str">
        <f>IF(LEN(A67)&gt;1,VLOOKUP(A67,COPY!$O$2:$R$1000,4,FALSE),"")</f>
        <v/>
      </c>
      <c r="C67" s="75" t="str">
        <f t="shared" si="0"/>
        <v xml:space="preserve"> </v>
      </c>
      <c r="D67" s="75" t="str">
        <f t="shared" si="1"/>
        <v xml:space="preserve"> </v>
      </c>
      <c r="E67" s="75" t="str">
        <f t="shared" si="2"/>
        <v xml:space="preserve"> </v>
      </c>
      <c r="F67" s="75" t="str">
        <f t="shared" si="3"/>
        <v xml:space="preserve"> </v>
      </c>
      <c r="G67" s="75" t="str">
        <f>IFERROR(TEXT(VLOOKUP(A67,COPY!$S$2:$W$1000,3,FALSE),"dd mmmm yyyy")," ")</f>
        <v xml:space="preserve"> </v>
      </c>
      <c r="H67" s="75" t="str">
        <f t="shared" si="4"/>
        <v xml:space="preserve"> </v>
      </c>
      <c r="I67" s="75" t="str">
        <f t="shared" si="5"/>
        <v xml:space="preserve"> </v>
      </c>
      <c r="J67" s="90" t="str">
        <f>IFERROR(VLOOKUP(A67,COPY!$S$2:$W$1000,4,FALSE)," ")</f>
        <v xml:space="preserve"> </v>
      </c>
      <c r="K67" s="75" t="str">
        <f>IFERROR(VLOOKUP(A67,COPY!$S$2:$W$1000,5,FALSE)," ")</f>
        <v xml:space="preserve"> </v>
      </c>
      <c r="L67" s="75" t="str">
        <f>IF(B67="","",IF(LEFT(B67,2)="Ma",(VLOOKUP(B67,'Rekap Gaji'!$C$12:$D$26,2,FALSE))&amp;" Untuk "&amp;(PROPER('Rekap Gaji'!$B$2)),IF(LEFT(B67,2)="Mg","Pembelian Material Bahan Bangunan",IF(LEFT(B67,2)="Me","Biaya Pembelanjaan Menejemen",IF(LEFT(B67,1)="G",VLOOKUP(A67,COPY!$S$2:$AA$1000,2,FALSE)&amp;"( "&amp;TEXT(VLOOKUP(B67,'Rekap Gaji'!$A$12:$I$26,5,FALSE),"dd-mm-yyyy")&amp;" "&amp;TEXT(VLOOKUP(B67,'Rekap Gaji'!$A$12:$I$26,6,FALSE)&amp;" "&amp;TEXT(VLOOKUP(B67,'Rekap Gaji'!$A$12:$I$26,7,FALSE),"dd-mm-yyyy")&amp;" )"," "))))))</f>
        <v/>
      </c>
      <c r="M67" s="75" t="str">
        <f>IF(OR(LEFT(B67,2)="mg",LEFT(B67,2)="mE"),VLOOKUP(A67,COPY!$S$2:$AA$1000,2,FALSE),IF(LEFT(B67,1)="G"," ",IF(LEFT(B67,2)="ma"," "," ")))</f>
        <v xml:space="preserve"> </v>
      </c>
      <c r="N67" s="75" t="str">
        <f>IFERROR(VLOOKUP($A$67&amp;"a",COPY!$S$2:$AA$1000,2,FALSE)," ")</f>
        <v xml:space="preserve"> </v>
      </c>
      <c r="O67" s="75" t="str">
        <f>IFERROR(VLOOKUP($A$67&amp;"aa",COPY!$S$2:$AA$1000,2,FALSE)," ")</f>
        <v xml:space="preserve"> </v>
      </c>
      <c r="P67" s="75" t="str">
        <f>IFERROR(VLOOKUP($A$67&amp;"aaa",COPY!$S$2:$AA$1000,2,FALSE)," ")</f>
        <v xml:space="preserve"> </v>
      </c>
      <c r="Q67" s="75" t="str">
        <f>IFERROR(VLOOKUP($A$67&amp;"aaaa",COPY!$S$2:$AA$1000,2,FALSE)," ")</f>
        <v xml:space="preserve"> </v>
      </c>
      <c r="R67" s="75" t="str">
        <f>IFERROR(VLOOKUP($A$67&amp;"aaaaa",COPY!$S$2:$AA$1000,2,FALSE)," ")</f>
        <v xml:space="preserve"> </v>
      </c>
      <c r="S67" s="75" t="str">
        <f>IFERROR(VLOOKUP($A$67&amp;"aaaaaa",COPY!$S$2:$AA$1000,2,FALSE)," ")</f>
        <v xml:space="preserve"> </v>
      </c>
      <c r="T67" s="75" t="str">
        <f>IFERROR(VLOOKUP($A$67&amp;"aaaaaaa",COPY!$S$2:$AA$1000,2,FALSE)," ")</f>
        <v xml:space="preserve"> </v>
      </c>
      <c r="U67" s="75" t="str">
        <f>IFERROR(VLOOKUP($A$67&amp;"aaaaaaaa",COPY!$S$2:$AA$1000,2,FALSE)," ")</f>
        <v xml:space="preserve"> </v>
      </c>
      <c r="V67" s="75" t="str">
        <f>IFERROR(VLOOKUP($A$67&amp;"aaaaaaaaa",COPY!$S$2:$AA$1000,2,FALSE)," ")</f>
        <v xml:space="preserve"> </v>
      </c>
      <c r="W67" s="75" t="str">
        <f>IFERROR(VLOOKUP($A$67&amp;"aaaaaaaaaa",COPY!$S$2:$AA$1000,2,FALSE)," ")</f>
        <v xml:space="preserve"> </v>
      </c>
      <c r="X67" s="75" t="str">
        <f>IFERROR(VLOOKUP($A$67&amp;"aaaaaaaaaaa",COPY!$S$2:$AA$1000,2,FALSE)," ")</f>
        <v xml:space="preserve"> </v>
      </c>
      <c r="Y67" s="90" t="str">
        <f>IF(OR(LEFT(B67,2)="mg",LEFT(B67,2)="mE"),VLOOKUP(A67,COPY!$S$2:$AA$1000,6,FALSE),IF(LEFT(B67,1)="G"," ",IF(LEFT(B67,2)="ma"," "," ")))</f>
        <v xml:space="preserve"> </v>
      </c>
      <c r="Z67" s="90" t="str">
        <f>IFERROR(VLOOKUP(A67&amp;"a",COPY!$S$2:$AA$1000,6,FALSE)," ")</f>
        <v xml:space="preserve"> </v>
      </c>
      <c r="AA67" s="90" t="str">
        <f>IFERROR(VLOOKUP(A67&amp;"aa",COPY!$S$2:$AA$1000,6,FALSE)," ")</f>
        <v xml:space="preserve"> </v>
      </c>
      <c r="AB67" s="90" t="str">
        <f>IFERROR(VLOOKUP(A67&amp;"aaa",COPY!$S$2:$AA$1000,6,FALSE)," ")</f>
        <v xml:space="preserve"> </v>
      </c>
      <c r="AC67" s="90" t="str">
        <f>IFERROR(VLOOKUP(A67&amp;"aaaa",COPY!$S$2:$AA$1000,6,FALSE)," ")</f>
        <v xml:space="preserve"> </v>
      </c>
      <c r="AD67" s="90" t="str">
        <f>IFERROR(VLOOKUP(A67&amp;"aaaaa",COPY!$S$2:$AA$1000,6,FALSE)," ")</f>
        <v xml:space="preserve"> </v>
      </c>
      <c r="AE67" s="90" t="str">
        <f>IFERROR(VLOOKUP(A67&amp;"aaaaaa",COPY!$S$2:$AA$1000,6,FALSE)," ")</f>
        <v xml:space="preserve"> </v>
      </c>
      <c r="AF67" s="90" t="str">
        <f>IFERROR(VLOOKUP(A67&amp;"aaaaaaa",COPY!$S$2:$AA$1000,6,FALSE)," ")</f>
        <v xml:space="preserve"> </v>
      </c>
      <c r="AG67" s="90" t="str">
        <f>IFERROR(VLOOKUP(A67&amp;"aaaaaaaa",COPY!$S$2:$AA$1000,6,FALSE)," ")</f>
        <v xml:space="preserve"> </v>
      </c>
      <c r="AH67" s="90" t="str">
        <f>IFERROR(VLOOKUP(A67&amp;"aaaaaaaaa",COPY!$S$2:$AA$1000,6,FALSE)," ")</f>
        <v xml:space="preserve"> </v>
      </c>
      <c r="AI67" s="90" t="str">
        <f>IFERROR(VLOOKUP(A67&amp;"aaaaaaaaaa",COPY!$S$2:$AA$1000,6,FALSE)," ")</f>
        <v xml:space="preserve"> </v>
      </c>
      <c r="AJ67" s="90" t="str">
        <f>IFERROR(VLOOKUP(A67&amp;"aaaaaaaaaaa",COPY!$S$2:$AA$1000,6,FALSE)," ")</f>
        <v xml:space="preserve"> </v>
      </c>
      <c r="AK67" s="90" t="str">
        <f>IF(LEFT(B67,2)="mg",VLOOKUP(A67,COPY!$S$2:$AA$1000,7,FALSE),IF(LEFT(B67,1)="G"," ",IF(LEFT(B67,2)="ma"," "," ")))</f>
        <v xml:space="preserve"> </v>
      </c>
      <c r="AL67" s="90" t="str">
        <f>IFERROR(VLOOKUP(A67&amp;"a",COPY!$S$2:$AA$1000,7,FALSE)," ")</f>
        <v xml:space="preserve"> </v>
      </c>
      <c r="AM67" s="90" t="str">
        <f>IFERROR(VLOOKUP(A67&amp;"aa",COPY!$S$2:$AA$1000,7,FALSE)," ")</f>
        <v xml:space="preserve"> </v>
      </c>
      <c r="AN67" s="90" t="str">
        <f>IFERROR(VLOOKUP(A67&amp;"aaa",COPY!$S$2:$AA$1000,7,FALSE)," ")</f>
        <v xml:space="preserve"> </v>
      </c>
      <c r="AO67" s="90" t="str">
        <f>IFERROR(VLOOKUP(A67&amp;"aaaa",COPY!$S$2:$AA$1000,7,FALSE)," ")</f>
        <v xml:space="preserve"> </v>
      </c>
      <c r="AP67" s="90" t="str">
        <f>IFERROR(VLOOKUP(A67&amp;"aaaaa",COPY!$S$2:$AA$1000,7,FALSE)," ")</f>
        <v xml:space="preserve"> </v>
      </c>
      <c r="AQ67" s="90" t="str">
        <f>IFERROR(VLOOKUP(A67&amp;"aaaaaa",COPY!$S$2:$AA$1000,7,FALSE)," ")</f>
        <v xml:space="preserve"> </v>
      </c>
      <c r="AR67" s="90" t="str">
        <f>IFERROR(VLOOKUP(A67&amp;"aaaaaaa",COPY!$S$2:$AA$1000,7,FALSE)," ")</f>
        <v xml:space="preserve"> </v>
      </c>
      <c r="AS67" s="90" t="str">
        <f>IFERROR(VLOOKUP(A67&amp;"aaaaaaaa",COPY!$S$2:$AA$1000,7,FALSE)," ")</f>
        <v xml:space="preserve"> </v>
      </c>
      <c r="AT67" s="90" t="str">
        <f>IFERROR(VLOOKUP(A67&amp;"aaaaaaaaa",COPY!$S$2:$AA$1000,7,FALSE)," ")</f>
        <v xml:space="preserve"> </v>
      </c>
      <c r="AU67" s="90" t="str">
        <f>IFERROR(VLOOKUP(A67&amp;"aaaaaaaaaa",COPY!$S$2:$AA$1000,7,FALSE)," ")</f>
        <v xml:space="preserve"> </v>
      </c>
      <c r="AV67" s="90" t="str">
        <f>IFERROR(VLOOKUP(A67&amp;"aaaaaaaaaaa",COPY!$S$2:$AA$1000,7,FALSE)," ")</f>
        <v xml:space="preserve"> </v>
      </c>
    </row>
    <row r="68" spans="1:48" x14ac:dyDescent="0.2">
      <c r="A68" s="75" t="str">
        <f>'REKAP PAJAK'!W105</f>
        <v/>
      </c>
      <c r="B68" s="75" t="str">
        <f>IF(LEN(A68)&gt;1,VLOOKUP(A68,COPY!$O$2:$R$1000,4,FALSE),"")</f>
        <v/>
      </c>
      <c r="C68" s="75" t="str">
        <f t="shared" ref="C68:C131" si="6">IF(LEFT(B68,1)="m",C67,IF(LEFT(B68,1)="G",C67," "))</f>
        <v xml:space="preserve"> </v>
      </c>
      <c r="D68" s="75" t="str">
        <f t="shared" ref="D68:D131" si="7">IF(LEFT(B68,1)="m",D67,IF(LEFT(B68,1)="G",D67," "))</f>
        <v xml:space="preserve"> </v>
      </c>
      <c r="E68" s="75" t="str">
        <f t="shared" ref="E68:E131" si="8">IF(LEFT(B68,1)="m",E67,IF(LEFT(B68,1)="G",E67," "))</f>
        <v xml:space="preserve"> </v>
      </c>
      <c r="F68" s="75" t="str">
        <f t="shared" ref="F68:F131" si="9">IF(LEFT(B68,1)="m",F67,IF(LEFT(B68,1)="G",F67," "))</f>
        <v xml:space="preserve"> </v>
      </c>
      <c r="G68" s="75" t="str">
        <f>IFERROR(TEXT(VLOOKUP(A68,COPY!$S$2:$W$1000,3,FALSE),"dd mmmm yyyy")," ")</f>
        <v xml:space="preserve"> </v>
      </c>
      <c r="H68" s="75" t="str">
        <f t="shared" ref="H68:H131" si="10">IF(LEFT(B68,1)="m",H67,IF(LEFT(B68,1)="G",H67," "))</f>
        <v xml:space="preserve"> </v>
      </c>
      <c r="I68" s="75" t="str">
        <f t="shared" ref="I68:I131" si="11">IF(LEFT(B68,1)="m",I67,IF(LEFT(B68,1)="G",I67," "))</f>
        <v xml:space="preserve"> </v>
      </c>
      <c r="J68" s="90" t="str">
        <f>IFERROR(VLOOKUP(A68,COPY!$S$2:$W$1000,4,FALSE)," ")</f>
        <v xml:space="preserve"> </v>
      </c>
      <c r="K68" s="75" t="str">
        <f>IFERROR(VLOOKUP(A68,COPY!$S$2:$W$1000,5,FALSE)," ")</f>
        <v xml:space="preserve"> </v>
      </c>
      <c r="L68" s="75" t="str">
        <f>IF(B68="","",IF(LEFT(B68,2)="Ma",(VLOOKUP(B68,'Rekap Gaji'!$C$12:$D$26,2,FALSE))&amp;" Untuk "&amp;(PROPER('Rekap Gaji'!$B$2)),IF(LEFT(B68,2)="Mg","Pembelian Material Bahan Bangunan",IF(LEFT(B68,2)="Me","Biaya Pembelanjaan Menejemen",IF(LEFT(B68,1)="G",VLOOKUP(A68,COPY!$S$2:$AA$1000,2,FALSE)&amp;"( "&amp;TEXT(VLOOKUP(B68,'Rekap Gaji'!$A$12:$I$26,5,FALSE),"dd-mm-yyyy")&amp;" "&amp;TEXT(VLOOKUP(B68,'Rekap Gaji'!$A$12:$I$26,6,FALSE)&amp;" "&amp;TEXT(VLOOKUP(B68,'Rekap Gaji'!$A$12:$I$26,7,FALSE),"dd-mm-yyyy")&amp;" )"," "))))))</f>
        <v/>
      </c>
      <c r="M68" s="75" t="str">
        <f>IF(OR(LEFT(B68,2)="mg",LEFT(B68,2)="mE"),VLOOKUP(A68,COPY!$S$2:$AA$1000,2,FALSE),IF(LEFT(B68,1)="G"," ",IF(LEFT(B68,2)="ma"," "," ")))</f>
        <v xml:space="preserve"> </v>
      </c>
      <c r="N68" s="75" t="str">
        <f>IFERROR(VLOOKUP($A$68&amp;"a",COPY!$S$2:$AA$1000,2,FALSE)," ")</f>
        <v xml:space="preserve"> </v>
      </c>
      <c r="O68" s="75" t="str">
        <f>IFERROR(VLOOKUP($A$68&amp;"aa",COPY!$S$2:$AA$1000,2,FALSE)," ")</f>
        <v xml:space="preserve"> </v>
      </c>
      <c r="P68" s="75" t="str">
        <f>IFERROR(VLOOKUP($A$68&amp;"aaa",COPY!$S$2:$AA$1000,2,FALSE)," ")</f>
        <v xml:space="preserve"> </v>
      </c>
      <c r="Q68" s="75" t="str">
        <f>IFERROR(VLOOKUP($A$68&amp;"aaaa",COPY!$S$2:$AA$1000,2,FALSE)," ")</f>
        <v xml:space="preserve"> </v>
      </c>
      <c r="R68" s="75" t="str">
        <f>IFERROR(VLOOKUP($A$68&amp;"aaaaa",COPY!$S$2:$AA$1000,2,FALSE)," ")</f>
        <v xml:space="preserve"> </v>
      </c>
      <c r="S68" s="75" t="str">
        <f>IFERROR(VLOOKUP($A$68&amp;"aaaaaa",COPY!$S$2:$AA$1000,2,FALSE)," ")</f>
        <v xml:space="preserve"> </v>
      </c>
      <c r="T68" s="75" t="str">
        <f>IFERROR(VLOOKUP($A$68&amp;"aaaaaaa",COPY!$S$2:$AA$1000,2,FALSE)," ")</f>
        <v xml:space="preserve"> </v>
      </c>
      <c r="U68" s="75" t="str">
        <f>IFERROR(VLOOKUP($A$68&amp;"aaaaaaaa",COPY!$S$2:$AA$1000,2,FALSE)," ")</f>
        <v xml:space="preserve"> </v>
      </c>
      <c r="V68" s="75" t="str">
        <f>IFERROR(VLOOKUP($A$68&amp;"aaaaaaaaa",COPY!$S$2:$AA$1000,2,FALSE)," ")</f>
        <v xml:space="preserve"> </v>
      </c>
      <c r="W68" s="75" t="str">
        <f>IFERROR(VLOOKUP($A$68&amp;"aaaaaaaaaa",COPY!$S$2:$AA$1000,2,FALSE)," ")</f>
        <v xml:space="preserve"> </v>
      </c>
      <c r="X68" s="75" t="str">
        <f>IFERROR(VLOOKUP($A$68&amp;"aaaaaaaaaaa",COPY!$S$2:$AA$1000,2,FALSE)," ")</f>
        <v xml:space="preserve"> </v>
      </c>
      <c r="Y68" s="90" t="str">
        <f>IF(OR(LEFT(B68,2)="mg",LEFT(B68,2)="mE"),VLOOKUP(A68,COPY!$S$2:$AA$1000,6,FALSE),IF(LEFT(B68,1)="G"," ",IF(LEFT(B68,2)="ma"," "," ")))</f>
        <v xml:space="preserve"> </v>
      </c>
      <c r="Z68" s="90" t="str">
        <f>IFERROR(VLOOKUP(A68&amp;"a",COPY!$S$2:$AA$1000,6,FALSE)," ")</f>
        <v xml:space="preserve"> </v>
      </c>
      <c r="AA68" s="90" t="str">
        <f>IFERROR(VLOOKUP(A68&amp;"aa",COPY!$S$2:$AA$1000,6,FALSE)," ")</f>
        <v xml:space="preserve"> </v>
      </c>
      <c r="AB68" s="90" t="str">
        <f>IFERROR(VLOOKUP(A68&amp;"aaa",COPY!$S$2:$AA$1000,6,FALSE)," ")</f>
        <v xml:space="preserve"> </v>
      </c>
      <c r="AC68" s="90" t="str">
        <f>IFERROR(VLOOKUP(A68&amp;"aaaa",COPY!$S$2:$AA$1000,6,FALSE)," ")</f>
        <v xml:space="preserve"> </v>
      </c>
      <c r="AD68" s="90" t="str">
        <f>IFERROR(VLOOKUP(A68&amp;"aaaaa",COPY!$S$2:$AA$1000,6,FALSE)," ")</f>
        <v xml:space="preserve"> </v>
      </c>
      <c r="AE68" s="90" t="str">
        <f>IFERROR(VLOOKUP(A68&amp;"aaaaaa",COPY!$S$2:$AA$1000,6,FALSE)," ")</f>
        <v xml:space="preserve"> </v>
      </c>
      <c r="AF68" s="90" t="str">
        <f>IFERROR(VLOOKUP(A68&amp;"aaaaaaa",COPY!$S$2:$AA$1000,6,FALSE)," ")</f>
        <v xml:space="preserve"> </v>
      </c>
      <c r="AG68" s="90" t="str">
        <f>IFERROR(VLOOKUP(A68&amp;"aaaaaaaa",COPY!$S$2:$AA$1000,6,FALSE)," ")</f>
        <v xml:space="preserve"> </v>
      </c>
      <c r="AH68" s="90" t="str">
        <f>IFERROR(VLOOKUP(A68&amp;"aaaaaaaaa",COPY!$S$2:$AA$1000,6,FALSE)," ")</f>
        <v xml:space="preserve"> </v>
      </c>
      <c r="AI68" s="90" t="str">
        <f>IFERROR(VLOOKUP(A68&amp;"aaaaaaaaaa",COPY!$S$2:$AA$1000,6,FALSE)," ")</f>
        <v xml:space="preserve"> </v>
      </c>
      <c r="AJ68" s="90" t="str">
        <f>IFERROR(VLOOKUP(A68&amp;"aaaaaaaaaaa",COPY!$S$2:$AA$1000,6,FALSE)," ")</f>
        <v xml:space="preserve"> </v>
      </c>
      <c r="AK68" s="90" t="str">
        <f>IF(LEFT(B68,2)="mg",VLOOKUP(A68,COPY!$S$2:$AA$1000,7,FALSE),IF(LEFT(B68,1)="G"," ",IF(LEFT(B68,2)="ma"," "," ")))</f>
        <v xml:space="preserve"> </v>
      </c>
      <c r="AL68" s="90" t="str">
        <f>IFERROR(VLOOKUP(A68&amp;"a",COPY!$S$2:$AA$1000,7,FALSE)," ")</f>
        <v xml:space="preserve"> </v>
      </c>
      <c r="AM68" s="90" t="str">
        <f>IFERROR(VLOOKUP(A68&amp;"aa",COPY!$S$2:$AA$1000,7,FALSE)," ")</f>
        <v xml:space="preserve"> </v>
      </c>
      <c r="AN68" s="90" t="str">
        <f>IFERROR(VLOOKUP(A68&amp;"aaa",COPY!$S$2:$AA$1000,7,FALSE)," ")</f>
        <v xml:space="preserve"> </v>
      </c>
      <c r="AO68" s="90" t="str">
        <f>IFERROR(VLOOKUP(A68&amp;"aaaa",COPY!$S$2:$AA$1000,7,FALSE)," ")</f>
        <v xml:space="preserve"> </v>
      </c>
      <c r="AP68" s="90" t="str">
        <f>IFERROR(VLOOKUP(A68&amp;"aaaaa",COPY!$S$2:$AA$1000,7,FALSE)," ")</f>
        <v xml:space="preserve"> </v>
      </c>
      <c r="AQ68" s="90" t="str">
        <f>IFERROR(VLOOKUP(A68&amp;"aaaaaa",COPY!$S$2:$AA$1000,7,FALSE)," ")</f>
        <v xml:space="preserve"> </v>
      </c>
      <c r="AR68" s="90" t="str">
        <f>IFERROR(VLOOKUP(A68&amp;"aaaaaaa",COPY!$S$2:$AA$1000,7,FALSE)," ")</f>
        <v xml:space="preserve"> </v>
      </c>
      <c r="AS68" s="90" t="str">
        <f>IFERROR(VLOOKUP(A68&amp;"aaaaaaaa",COPY!$S$2:$AA$1000,7,FALSE)," ")</f>
        <v xml:space="preserve"> </v>
      </c>
      <c r="AT68" s="90" t="str">
        <f>IFERROR(VLOOKUP(A68&amp;"aaaaaaaaa",COPY!$S$2:$AA$1000,7,FALSE)," ")</f>
        <v xml:space="preserve"> </v>
      </c>
      <c r="AU68" s="90" t="str">
        <f>IFERROR(VLOOKUP(A68&amp;"aaaaaaaaaa",COPY!$S$2:$AA$1000,7,FALSE)," ")</f>
        <v xml:space="preserve"> </v>
      </c>
      <c r="AV68" s="90" t="str">
        <f>IFERROR(VLOOKUP(A68&amp;"aaaaaaaaaaa",COPY!$S$2:$AA$1000,7,FALSE)," ")</f>
        <v xml:space="preserve"> </v>
      </c>
    </row>
    <row r="69" spans="1:48" x14ac:dyDescent="0.2">
      <c r="A69" s="75" t="str">
        <f>'REKAP PAJAK'!W106</f>
        <v/>
      </c>
      <c r="B69" s="75" t="str">
        <f>IF(LEN(A69)&gt;1,VLOOKUP(A69,COPY!$O$2:$R$1000,4,FALSE),"")</f>
        <v/>
      </c>
      <c r="C69" s="75" t="str">
        <f t="shared" si="6"/>
        <v xml:space="preserve"> </v>
      </c>
      <c r="D69" s="75" t="str">
        <f t="shared" si="7"/>
        <v xml:space="preserve"> </v>
      </c>
      <c r="E69" s="75" t="str">
        <f t="shared" si="8"/>
        <v xml:space="preserve"> </v>
      </c>
      <c r="F69" s="75" t="str">
        <f t="shared" si="9"/>
        <v xml:space="preserve"> </v>
      </c>
      <c r="G69" s="75" t="str">
        <f>IFERROR(TEXT(VLOOKUP(A69,COPY!$S$2:$W$1000,3,FALSE),"dd mmmm yyyy")," ")</f>
        <v xml:space="preserve"> </v>
      </c>
      <c r="H69" s="75" t="str">
        <f t="shared" si="10"/>
        <v xml:space="preserve"> </v>
      </c>
      <c r="I69" s="75" t="str">
        <f t="shared" si="11"/>
        <v xml:space="preserve"> </v>
      </c>
      <c r="J69" s="90" t="str">
        <f>IFERROR(VLOOKUP(A69,COPY!$S$2:$W$1000,4,FALSE)," ")</f>
        <v xml:space="preserve"> </v>
      </c>
      <c r="K69" s="75" t="str">
        <f>IFERROR(VLOOKUP(A69,COPY!$S$2:$W$1000,5,FALSE)," ")</f>
        <v xml:space="preserve"> </v>
      </c>
      <c r="L69" s="75" t="str">
        <f>IF(B69="","",IF(LEFT(B69,2)="Ma",(VLOOKUP(B69,'Rekap Gaji'!$C$12:$D$26,2,FALSE))&amp;" Untuk "&amp;(PROPER('Rekap Gaji'!$B$2)),IF(LEFT(B69,2)="Mg","Pembelian Material Bahan Bangunan",IF(LEFT(B69,2)="Me","Biaya Pembelanjaan Menejemen",IF(LEFT(B69,1)="G",VLOOKUP(A69,COPY!$S$2:$AA$1000,2,FALSE)&amp;"( "&amp;TEXT(VLOOKUP(B69,'Rekap Gaji'!$A$12:$I$26,5,FALSE),"dd-mm-yyyy")&amp;" "&amp;TEXT(VLOOKUP(B69,'Rekap Gaji'!$A$12:$I$26,6,FALSE)&amp;" "&amp;TEXT(VLOOKUP(B69,'Rekap Gaji'!$A$12:$I$26,7,FALSE),"dd-mm-yyyy")&amp;" )"," "))))))</f>
        <v/>
      </c>
      <c r="M69" s="75" t="str">
        <f>IF(OR(LEFT(B69,2)="mg",LEFT(B69,2)="mE"),VLOOKUP(A69,COPY!$S$2:$AA$1000,2,FALSE),IF(LEFT(B69,1)="G"," ",IF(LEFT(B69,2)="ma"," "," ")))</f>
        <v xml:space="preserve"> </v>
      </c>
      <c r="N69" s="75" t="str">
        <f>IFERROR(VLOOKUP($A$69&amp;"a",COPY!$S$2:$AA$1000,2,FALSE)," ")</f>
        <v xml:space="preserve"> </v>
      </c>
      <c r="O69" s="75" t="str">
        <f>IFERROR(VLOOKUP($A$69&amp;"aa",COPY!$S$2:$AA$1000,2,FALSE)," ")</f>
        <v xml:space="preserve"> </v>
      </c>
      <c r="P69" s="75" t="str">
        <f>IFERROR(VLOOKUP($A$69&amp;"aaa",COPY!$S$2:$AA$1000,2,FALSE)," ")</f>
        <v xml:space="preserve"> </v>
      </c>
      <c r="Q69" s="75" t="str">
        <f>IFERROR(VLOOKUP($A$69&amp;"aaaa",COPY!$S$2:$AA$1000,2,FALSE)," ")</f>
        <v xml:space="preserve"> </v>
      </c>
      <c r="R69" s="75" t="str">
        <f>IFERROR(VLOOKUP($A$69&amp;"aaaaa",COPY!$S$2:$AA$1000,2,FALSE)," ")</f>
        <v xml:space="preserve"> </v>
      </c>
      <c r="S69" s="75" t="str">
        <f>IFERROR(VLOOKUP($A$69&amp;"aaaaaa",COPY!$S$2:$AA$1000,2,FALSE)," ")</f>
        <v xml:space="preserve"> </v>
      </c>
      <c r="T69" s="75" t="str">
        <f>IFERROR(VLOOKUP($A$69&amp;"aaaaaaa",COPY!$S$2:$AA$1000,2,FALSE)," ")</f>
        <v xml:space="preserve"> </v>
      </c>
      <c r="U69" s="75" t="str">
        <f>IFERROR(VLOOKUP($A$69&amp;"aaaaaaaa",COPY!$S$2:$AA$1000,2,FALSE)," ")</f>
        <v xml:space="preserve"> </v>
      </c>
      <c r="V69" s="75" t="str">
        <f>IFERROR(VLOOKUP($A$69&amp;"aaaaaaaaa",COPY!$S$2:$AA$1000,2,FALSE)," ")</f>
        <v xml:space="preserve"> </v>
      </c>
      <c r="W69" s="75" t="str">
        <f>IFERROR(VLOOKUP($A$69&amp;"aaaaaaaaaa",COPY!$S$2:$AA$1000,2,FALSE)," ")</f>
        <v xml:space="preserve"> </v>
      </c>
      <c r="X69" s="75" t="str">
        <f>IFERROR(VLOOKUP($A$69&amp;"aaaaaaaaaaa",COPY!$S$2:$AA$1000,2,FALSE)," ")</f>
        <v xml:space="preserve"> </v>
      </c>
      <c r="Y69" s="90" t="str">
        <f>IF(OR(LEFT(B69,2)="mg",LEFT(B69,2)="mE"),VLOOKUP(A69,COPY!$S$2:$AA$1000,6,FALSE),IF(LEFT(B69,1)="G"," ",IF(LEFT(B69,2)="ma"," "," ")))</f>
        <v xml:space="preserve"> </v>
      </c>
      <c r="Z69" s="90" t="str">
        <f>IFERROR(VLOOKUP(A69&amp;"a",COPY!$S$2:$AA$1000,6,FALSE)," ")</f>
        <v xml:space="preserve"> </v>
      </c>
      <c r="AA69" s="90" t="str">
        <f>IFERROR(VLOOKUP(A69&amp;"aa",COPY!$S$2:$AA$1000,6,FALSE)," ")</f>
        <v xml:space="preserve"> </v>
      </c>
      <c r="AB69" s="90" t="str">
        <f>IFERROR(VLOOKUP(A69&amp;"aaa",COPY!$S$2:$AA$1000,6,FALSE)," ")</f>
        <v xml:space="preserve"> </v>
      </c>
      <c r="AC69" s="90" t="str">
        <f>IFERROR(VLOOKUP(A69&amp;"aaaa",COPY!$S$2:$AA$1000,6,FALSE)," ")</f>
        <v xml:space="preserve"> </v>
      </c>
      <c r="AD69" s="90" t="str">
        <f>IFERROR(VLOOKUP(A69&amp;"aaaaa",COPY!$S$2:$AA$1000,6,FALSE)," ")</f>
        <v xml:space="preserve"> </v>
      </c>
      <c r="AE69" s="90" t="str">
        <f>IFERROR(VLOOKUP(A69&amp;"aaaaaa",COPY!$S$2:$AA$1000,6,FALSE)," ")</f>
        <v xml:space="preserve"> </v>
      </c>
      <c r="AF69" s="90" t="str">
        <f>IFERROR(VLOOKUP(A69&amp;"aaaaaaa",COPY!$S$2:$AA$1000,6,FALSE)," ")</f>
        <v xml:space="preserve"> </v>
      </c>
      <c r="AG69" s="90" t="str">
        <f>IFERROR(VLOOKUP(A69&amp;"aaaaaaaa",COPY!$S$2:$AA$1000,6,FALSE)," ")</f>
        <v xml:space="preserve"> </v>
      </c>
      <c r="AH69" s="90" t="str">
        <f>IFERROR(VLOOKUP(A69&amp;"aaaaaaaaa",COPY!$S$2:$AA$1000,6,FALSE)," ")</f>
        <v xml:space="preserve"> </v>
      </c>
      <c r="AI69" s="90" t="str">
        <f>IFERROR(VLOOKUP(A69&amp;"aaaaaaaaaa",COPY!$S$2:$AA$1000,6,FALSE)," ")</f>
        <v xml:space="preserve"> </v>
      </c>
      <c r="AJ69" s="90" t="str">
        <f>IFERROR(VLOOKUP(A69&amp;"aaaaaaaaaaa",COPY!$S$2:$AA$1000,6,FALSE)," ")</f>
        <v xml:space="preserve"> </v>
      </c>
      <c r="AK69" s="90" t="str">
        <f>IF(LEFT(B69,2)="mg",VLOOKUP(A69,COPY!$S$2:$AA$1000,7,FALSE),IF(LEFT(B69,1)="G"," ",IF(LEFT(B69,2)="ma"," "," ")))</f>
        <v xml:space="preserve"> </v>
      </c>
      <c r="AL69" s="90" t="str">
        <f>IFERROR(VLOOKUP(A69&amp;"a",COPY!$S$2:$AA$1000,7,FALSE)," ")</f>
        <v xml:space="preserve"> </v>
      </c>
      <c r="AM69" s="90" t="str">
        <f>IFERROR(VLOOKUP(A69&amp;"aa",COPY!$S$2:$AA$1000,7,FALSE)," ")</f>
        <v xml:space="preserve"> </v>
      </c>
      <c r="AN69" s="90" t="str">
        <f>IFERROR(VLOOKUP(A69&amp;"aaa",COPY!$S$2:$AA$1000,7,FALSE)," ")</f>
        <v xml:space="preserve"> </v>
      </c>
      <c r="AO69" s="90" t="str">
        <f>IFERROR(VLOOKUP(A69&amp;"aaaa",COPY!$S$2:$AA$1000,7,FALSE)," ")</f>
        <v xml:space="preserve"> </v>
      </c>
      <c r="AP69" s="90" t="str">
        <f>IFERROR(VLOOKUP(A69&amp;"aaaaa",COPY!$S$2:$AA$1000,7,FALSE)," ")</f>
        <v xml:space="preserve"> </v>
      </c>
      <c r="AQ69" s="90" t="str">
        <f>IFERROR(VLOOKUP(A69&amp;"aaaaaa",COPY!$S$2:$AA$1000,7,FALSE)," ")</f>
        <v xml:space="preserve"> </v>
      </c>
      <c r="AR69" s="90" t="str">
        <f>IFERROR(VLOOKUP(A69&amp;"aaaaaaa",COPY!$S$2:$AA$1000,7,FALSE)," ")</f>
        <v xml:space="preserve"> </v>
      </c>
      <c r="AS69" s="90" t="str">
        <f>IFERROR(VLOOKUP(A69&amp;"aaaaaaaa",COPY!$S$2:$AA$1000,7,FALSE)," ")</f>
        <v xml:space="preserve"> </v>
      </c>
      <c r="AT69" s="90" t="str">
        <f>IFERROR(VLOOKUP(A69&amp;"aaaaaaaaa",COPY!$S$2:$AA$1000,7,FALSE)," ")</f>
        <v xml:space="preserve"> </v>
      </c>
      <c r="AU69" s="90" t="str">
        <f>IFERROR(VLOOKUP(A69&amp;"aaaaaaaaaa",COPY!$S$2:$AA$1000,7,FALSE)," ")</f>
        <v xml:space="preserve"> </v>
      </c>
      <c r="AV69" s="90" t="str">
        <f>IFERROR(VLOOKUP(A69&amp;"aaaaaaaaaaa",COPY!$S$2:$AA$1000,7,FALSE)," ")</f>
        <v xml:space="preserve"> </v>
      </c>
    </row>
    <row r="70" spans="1:48" x14ac:dyDescent="0.2">
      <c r="A70" s="75" t="str">
        <f>'REKAP PAJAK'!W107</f>
        <v/>
      </c>
      <c r="B70" s="75" t="str">
        <f>IF(LEN(A70)&gt;1,VLOOKUP(A70,COPY!$O$2:$R$1000,4,FALSE),"")</f>
        <v/>
      </c>
      <c r="C70" s="75" t="str">
        <f t="shared" si="6"/>
        <v xml:space="preserve"> </v>
      </c>
      <c r="D70" s="75" t="str">
        <f t="shared" si="7"/>
        <v xml:space="preserve"> </v>
      </c>
      <c r="E70" s="75" t="str">
        <f t="shared" si="8"/>
        <v xml:space="preserve"> </v>
      </c>
      <c r="F70" s="75" t="str">
        <f t="shared" si="9"/>
        <v xml:space="preserve"> </v>
      </c>
      <c r="G70" s="75" t="str">
        <f>IFERROR(TEXT(VLOOKUP(A70,COPY!$S$2:$W$1000,3,FALSE),"dd mmmm yyyy")," ")</f>
        <v xml:space="preserve"> </v>
      </c>
      <c r="H70" s="75" t="str">
        <f t="shared" si="10"/>
        <v xml:space="preserve"> </v>
      </c>
      <c r="I70" s="75" t="str">
        <f t="shared" si="11"/>
        <v xml:space="preserve"> </v>
      </c>
      <c r="J70" s="90" t="str">
        <f>IFERROR(VLOOKUP(A70,COPY!$S$2:$W$1000,4,FALSE)," ")</f>
        <v xml:space="preserve"> </v>
      </c>
      <c r="K70" s="75" t="str">
        <f>IFERROR(VLOOKUP(A70,COPY!$S$2:$W$1000,5,FALSE)," ")</f>
        <v xml:space="preserve"> </v>
      </c>
      <c r="L70" s="75" t="str">
        <f>IF(B70="","",IF(LEFT(B70,2)="Ma",(VLOOKUP(B70,'Rekap Gaji'!$C$12:$D$26,2,FALSE))&amp;" Untuk "&amp;(PROPER('Rekap Gaji'!$B$2)),IF(LEFT(B70,2)="Mg","Pembelian Material Bahan Bangunan",IF(LEFT(B70,2)="Me","Biaya Pembelanjaan Menejemen",IF(LEFT(B70,1)="G",VLOOKUP(A70,COPY!$S$2:$AA$1000,2,FALSE)&amp;"( "&amp;TEXT(VLOOKUP(B70,'Rekap Gaji'!$A$12:$I$26,5,FALSE),"dd-mm-yyyy")&amp;" "&amp;TEXT(VLOOKUP(B70,'Rekap Gaji'!$A$12:$I$26,6,FALSE)&amp;" "&amp;TEXT(VLOOKUP(B70,'Rekap Gaji'!$A$12:$I$26,7,FALSE),"dd-mm-yyyy")&amp;" )"," "))))))</f>
        <v/>
      </c>
      <c r="M70" s="75" t="str">
        <f>IF(OR(LEFT(B70,2)="mg",LEFT(B70,2)="mE"),VLOOKUP(A70,COPY!$S$2:$AA$1000,2,FALSE),IF(LEFT(B70,1)="G"," ",IF(LEFT(B70,2)="ma"," "," ")))</f>
        <v xml:space="preserve"> </v>
      </c>
      <c r="N70" s="75" t="str">
        <f>IFERROR(VLOOKUP($A$70&amp;"a",COPY!$S$2:$AA$1000,2,FALSE)," ")</f>
        <v xml:space="preserve"> </v>
      </c>
      <c r="O70" s="75" t="str">
        <f>IFERROR(VLOOKUP($A$70&amp;"aa",COPY!$S$2:$AA$1000,2,FALSE)," ")</f>
        <v xml:space="preserve"> </v>
      </c>
      <c r="P70" s="75" t="str">
        <f>IFERROR(VLOOKUP($A$70&amp;"aaa",COPY!$S$2:$AA$1000,2,FALSE)," ")</f>
        <v xml:space="preserve"> </v>
      </c>
      <c r="Q70" s="75" t="str">
        <f>IFERROR(VLOOKUP($A$70&amp;"aaaa",COPY!$S$2:$AA$1000,2,FALSE)," ")</f>
        <v xml:space="preserve"> </v>
      </c>
      <c r="R70" s="75" t="str">
        <f>IFERROR(VLOOKUP($A$70&amp;"aaaaa",COPY!$S$2:$AA$1000,2,FALSE)," ")</f>
        <v xml:space="preserve"> </v>
      </c>
      <c r="S70" s="75" t="str">
        <f>IFERROR(VLOOKUP($A$70&amp;"aaaaaa",COPY!$S$2:$AA$1000,2,FALSE)," ")</f>
        <v xml:space="preserve"> </v>
      </c>
      <c r="T70" s="75" t="str">
        <f>IFERROR(VLOOKUP($A$70&amp;"aaaaaaa",COPY!$S$2:$AA$1000,2,FALSE)," ")</f>
        <v xml:space="preserve"> </v>
      </c>
      <c r="U70" s="75" t="str">
        <f>IFERROR(VLOOKUP($A$70&amp;"aaaaaaaa",COPY!$S$2:$AA$1000,2,FALSE)," ")</f>
        <v xml:space="preserve"> </v>
      </c>
      <c r="V70" s="75" t="str">
        <f>IFERROR(VLOOKUP($A$70&amp;"aaaaaaaaa",COPY!$S$2:$AA$1000,2,FALSE)," ")</f>
        <v xml:space="preserve"> </v>
      </c>
      <c r="W70" s="75" t="str">
        <f>IFERROR(VLOOKUP($A$70&amp;"aaaaaaaaaa",COPY!$S$2:$AA$1000,2,FALSE)," ")</f>
        <v xml:space="preserve"> </v>
      </c>
      <c r="X70" s="75" t="str">
        <f>IFERROR(VLOOKUP($A$70&amp;"aaaaaaaaaaa",COPY!$S$2:$AA$1000,2,FALSE)," ")</f>
        <v xml:space="preserve"> </v>
      </c>
      <c r="Y70" s="90" t="str">
        <f>IF(OR(LEFT(B70,2)="mg",LEFT(B70,2)="mE"),VLOOKUP(A70,COPY!$S$2:$AA$1000,6,FALSE),IF(LEFT(B70,1)="G"," ",IF(LEFT(B70,2)="ma"," "," ")))</f>
        <v xml:space="preserve"> </v>
      </c>
      <c r="Z70" s="90" t="str">
        <f>IFERROR(VLOOKUP(A70&amp;"a",COPY!$S$2:$AA$1000,6,FALSE)," ")</f>
        <v xml:space="preserve"> </v>
      </c>
      <c r="AA70" s="90" t="str">
        <f>IFERROR(VLOOKUP(A70&amp;"aa",COPY!$S$2:$AA$1000,6,FALSE)," ")</f>
        <v xml:space="preserve"> </v>
      </c>
      <c r="AB70" s="90" t="str">
        <f>IFERROR(VLOOKUP(A70&amp;"aaa",COPY!$S$2:$AA$1000,6,FALSE)," ")</f>
        <v xml:space="preserve"> </v>
      </c>
      <c r="AC70" s="90" t="str">
        <f>IFERROR(VLOOKUP(A70&amp;"aaaa",COPY!$S$2:$AA$1000,6,FALSE)," ")</f>
        <v xml:space="preserve"> </v>
      </c>
      <c r="AD70" s="90" t="str">
        <f>IFERROR(VLOOKUP(A70&amp;"aaaaa",COPY!$S$2:$AA$1000,6,FALSE)," ")</f>
        <v xml:space="preserve"> </v>
      </c>
      <c r="AE70" s="90" t="str">
        <f>IFERROR(VLOOKUP(A70&amp;"aaaaaa",COPY!$S$2:$AA$1000,6,FALSE)," ")</f>
        <v xml:space="preserve"> </v>
      </c>
      <c r="AF70" s="90" t="str">
        <f>IFERROR(VLOOKUP(A70&amp;"aaaaaaa",COPY!$S$2:$AA$1000,6,FALSE)," ")</f>
        <v xml:space="preserve"> </v>
      </c>
      <c r="AG70" s="90" t="str">
        <f>IFERROR(VLOOKUP(A70&amp;"aaaaaaaa",COPY!$S$2:$AA$1000,6,FALSE)," ")</f>
        <v xml:space="preserve"> </v>
      </c>
      <c r="AH70" s="90" t="str">
        <f>IFERROR(VLOOKUP(A70&amp;"aaaaaaaaa",COPY!$S$2:$AA$1000,6,FALSE)," ")</f>
        <v xml:space="preserve"> </v>
      </c>
      <c r="AI70" s="90" t="str">
        <f>IFERROR(VLOOKUP(A70&amp;"aaaaaaaaaa",COPY!$S$2:$AA$1000,6,FALSE)," ")</f>
        <v xml:space="preserve"> </v>
      </c>
      <c r="AJ70" s="90" t="str">
        <f>IFERROR(VLOOKUP(A70&amp;"aaaaaaaaaaa",COPY!$S$2:$AA$1000,6,FALSE)," ")</f>
        <v xml:space="preserve"> </v>
      </c>
      <c r="AK70" s="90" t="str">
        <f>IF(LEFT(B70,2)="mg",VLOOKUP(A70,COPY!$S$2:$AA$1000,7,FALSE),IF(LEFT(B70,1)="G"," ",IF(LEFT(B70,2)="ma"," "," ")))</f>
        <v xml:space="preserve"> </v>
      </c>
      <c r="AL70" s="90" t="str">
        <f>IFERROR(VLOOKUP(A70&amp;"a",COPY!$S$2:$AA$1000,7,FALSE)," ")</f>
        <v xml:space="preserve"> </v>
      </c>
      <c r="AM70" s="90" t="str">
        <f>IFERROR(VLOOKUP(A70&amp;"aa",COPY!$S$2:$AA$1000,7,FALSE)," ")</f>
        <v xml:space="preserve"> </v>
      </c>
      <c r="AN70" s="90" t="str">
        <f>IFERROR(VLOOKUP(A70&amp;"aaa",COPY!$S$2:$AA$1000,7,FALSE)," ")</f>
        <v xml:space="preserve"> </v>
      </c>
      <c r="AO70" s="90" t="str">
        <f>IFERROR(VLOOKUP(A70&amp;"aaaa",COPY!$S$2:$AA$1000,7,FALSE)," ")</f>
        <v xml:space="preserve"> </v>
      </c>
      <c r="AP70" s="90" t="str">
        <f>IFERROR(VLOOKUP(A70&amp;"aaaaa",COPY!$S$2:$AA$1000,7,FALSE)," ")</f>
        <v xml:space="preserve"> </v>
      </c>
      <c r="AQ70" s="90" t="str">
        <f>IFERROR(VLOOKUP(A70&amp;"aaaaaa",COPY!$S$2:$AA$1000,7,FALSE)," ")</f>
        <v xml:space="preserve"> </v>
      </c>
      <c r="AR70" s="90" t="str">
        <f>IFERROR(VLOOKUP(A70&amp;"aaaaaaa",COPY!$S$2:$AA$1000,7,FALSE)," ")</f>
        <v xml:space="preserve"> </v>
      </c>
      <c r="AS70" s="90" t="str">
        <f>IFERROR(VLOOKUP(A70&amp;"aaaaaaaa",COPY!$S$2:$AA$1000,7,FALSE)," ")</f>
        <v xml:space="preserve"> </v>
      </c>
      <c r="AT70" s="90" t="str">
        <f>IFERROR(VLOOKUP(A70&amp;"aaaaaaaaa",COPY!$S$2:$AA$1000,7,FALSE)," ")</f>
        <v xml:space="preserve"> </v>
      </c>
      <c r="AU70" s="90" t="str">
        <f>IFERROR(VLOOKUP(A70&amp;"aaaaaaaaaa",COPY!$S$2:$AA$1000,7,FALSE)," ")</f>
        <v xml:space="preserve"> </v>
      </c>
      <c r="AV70" s="90" t="str">
        <f>IFERROR(VLOOKUP(A70&amp;"aaaaaaaaaaa",COPY!$S$2:$AA$1000,7,FALSE)," ")</f>
        <v xml:space="preserve"> </v>
      </c>
    </row>
    <row r="71" spans="1:48" x14ac:dyDescent="0.2">
      <c r="A71" s="75" t="str">
        <f>'REKAP PAJAK'!W108</f>
        <v/>
      </c>
      <c r="B71" s="75" t="str">
        <f>IF(LEN(A71)&gt;1,VLOOKUP(A71,COPY!$O$2:$R$1000,4,FALSE),"")</f>
        <v/>
      </c>
      <c r="C71" s="75" t="str">
        <f t="shared" si="6"/>
        <v xml:space="preserve"> </v>
      </c>
      <c r="D71" s="75" t="str">
        <f t="shared" si="7"/>
        <v xml:space="preserve"> </v>
      </c>
      <c r="E71" s="75" t="str">
        <f t="shared" si="8"/>
        <v xml:space="preserve"> </v>
      </c>
      <c r="F71" s="75" t="str">
        <f t="shared" si="9"/>
        <v xml:space="preserve"> </v>
      </c>
      <c r="G71" s="75" t="str">
        <f>IFERROR(TEXT(VLOOKUP(A71,COPY!$S$2:$W$1000,3,FALSE),"dd mmmm yyyy")," ")</f>
        <v xml:space="preserve"> </v>
      </c>
      <c r="H71" s="75" t="str">
        <f t="shared" si="10"/>
        <v xml:space="preserve"> </v>
      </c>
      <c r="I71" s="75" t="str">
        <f t="shared" si="11"/>
        <v xml:space="preserve"> </v>
      </c>
      <c r="J71" s="90" t="str">
        <f>IFERROR(VLOOKUP(A71,COPY!$S$2:$W$1000,4,FALSE)," ")</f>
        <v xml:space="preserve"> </v>
      </c>
      <c r="K71" s="75" t="str">
        <f>IFERROR(VLOOKUP(A71,COPY!$S$2:$W$1000,5,FALSE)," ")</f>
        <v xml:space="preserve"> </v>
      </c>
      <c r="L71" s="75" t="str">
        <f>IF(B71="","",IF(LEFT(B71,2)="Ma",(VLOOKUP(B71,'Rekap Gaji'!$C$12:$D$26,2,FALSE))&amp;" Untuk "&amp;(PROPER('Rekap Gaji'!$B$2)),IF(LEFT(B71,2)="Mg","Pembelian Material Bahan Bangunan",IF(LEFT(B71,2)="Me","Biaya Pembelanjaan Menejemen",IF(LEFT(B71,1)="G",VLOOKUP(A71,COPY!$S$2:$AA$1000,2,FALSE)&amp;"( "&amp;TEXT(VLOOKUP(B71,'Rekap Gaji'!$A$12:$I$26,5,FALSE),"dd-mm-yyyy")&amp;" "&amp;TEXT(VLOOKUP(B71,'Rekap Gaji'!$A$12:$I$26,6,FALSE)&amp;" "&amp;TEXT(VLOOKUP(B71,'Rekap Gaji'!$A$12:$I$26,7,FALSE),"dd-mm-yyyy")&amp;" )"," "))))))</f>
        <v/>
      </c>
      <c r="M71" s="75" t="str">
        <f>IF(OR(LEFT(B71,2)="mg",LEFT(B71,2)="mE"),VLOOKUP(A71,COPY!$S$2:$AA$1000,2,FALSE),IF(LEFT(B71,1)="G"," ",IF(LEFT(B71,2)="ma"," "," ")))</f>
        <v xml:space="preserve"> </v>
      </c>
      <c r="N71" s="75" t="str">
        <f>IFERROR(VLOOKUP($A$71&amp;"a",COPY!$S$2:$AA$1000,2,FALSE)," ")</f>
        <v xml:space="preserve"> </v>
      </c>
      <c r="O71" s="75" t="str">
        <f>IFERROR(VLOOKUP($A$71&amp;"aa",COPY!$S$2:$AA$1000,2,FALSE)," ")</f>
        <v xml:space="preserve"> </v>
      </c>
      <c r="P71" s="75" t="str">
        <f>IFERROR(VLOOKUP($A$71&amp;"aaa",COPY!$S$2:$AA$1000,2,FALSE)," ")</f>
        <v xml:space="preserve"> </v>
      </c>
      <c r="Q71" s="75" t="str">
        <f>IFERROR(VLOOKUP($A$71&amp;"aaaa",COPY!$S$2:$AA$1000,2,FALSE)," ")</f>
        <v xml:space="preserve"> </v>
      </c>
      <c r="R71" s="75" t="str">
        <f>IFERROR(VLOOKUP($A$71&amp;"aaaaa",COPY!$S$2:$AA$1000,2,FALSE)," ")</f>
        <v xml:space="preserve"> </v>
      </c>
      <c r="S71" s="75" t="str">
        <f>IFERROR(VLOOKUP($A$71&amp;"aaaaaa",COPY!$S$2:$AA$1000,2,FALSE)," ")</f>
        <v xml:space="preserve"> </v>
      </c>
      <c r="T71" s="75" t="str">
        <f>IFERROR(VLOOKUP($A$71&amp;"aaaaaaa",COPY!$S$2:$AA$1000,2,FALSE)," ")</f>
        <v xml:space="preserve"> </v>
      </c>
      <c r="U71" s="75" t="str">
        <f>IFERROR(VLOOKUP($A$71&amp;"aaaaaaaa",COPY!$S$2:$AA$1000,2,FALSE)," ")</f>
        <v xml:space="preserve"> </v>
      </c>
      <c r="V71" s="75" t="str">
        <f>IFERROR(VLOOKUP($A$71&amp;"aaaaaaaaa",COPY!$S$2:$AA$1000,2,FALSE)," ")</f>
        <v xml:space="preserve"> </v>
      </c>
      <c r="W71" s="75" t="str">
        <f>IFERROR(VLOOKUP($A$71&amp;"aaaaaaaaaa",COPY!$S$2:$AA$1000,2,FALSE)," ")</f>
        <v xml:space="preserve"> </v>
      </c>
      <c r="X71" s="75" t="str">
        <f>IFERROR(VLOOKUP($A$71&amp;"aaaaaaaaaaa",COPY!$S$2:$AA$1000,2,FALSE)," ")</f>
        <v xml:space="preserve"> </v>
      </c>
      <c r="Y71" s="90" t="str">
        <f>IF(OR(LEFT(B71,2)="mg",LEFT(B71,2)="mE"),VLOOKUP(A71,COPY!$S$2:$AA$1000,6,FALSE),IF(LEFT(B71,1)="G"," ",IF(LEFT(B71,2)="ma"," "," ")))</f>
        <v xml:space="preserve"> </v>
      </c>
      <c r="Z71" s="90" t="str">
        <f>IFERROR(VLOOKUP(A71&amp;"a",COPY!$S$2:$AA$1000,6,FALSE)," ")</f>
        <v xml:space="preserve"> </v>
      </c>
      <c r="AA71" s="90" t="str">
        <f>IFERROR(VLOOKUP(A71&amp;"aa",COPY!$S$2:$AA$1000,6,FALSE)," ")</f>
        <v xml:space="preserve"> </v>
      </c>
      <c r="AB71" s="90" t="str">
        <f>IFERROR(VLOOKUP(A71&amp;"aaa",COPY!$S$2:$AA$1000,6,FALSE)," ")</f>
        <v xml:space="preserve"> </v>
      </c>
      <c r="AC71" s="90" t="str">
        <f>IFERROR(VLOOKUP(A71&amp;"aaaa",COPY!$S$2:$AA$1000,6,FALSE)," ")</f>
        <v xml:space="preserve"> </v>
      </c>
      <c r="AD71" s="90" t="str">
        <f>IFERROR(VLOOKUP(A71&amp;"aaaaa",COPY!$S$2:$AA$1000,6,FALSE)," ")</f>
        <v xml:space="preserve"> </v>
      </c>
      <c r="AE71" s="90" t="str">
        <f>IFERROR(VLOOKUP(A71&amp;"aaaaaa",COPY!$S$2:$AA$1000,6,FALSE)," ")</f>
        <v xml:space="preserve"> </v>
      </c>
      <c r="AF71" s="90" t="str">
        <f>IFERROR(VLOOKUP(A71&amp;"aaaaaaa",COPY!$S$2:$AA$1000,6,FALSE)," ")</f>
        <v xml:space="preserve"> </v>
      </c>
      <c r="AG71" s="90" t="str">
        <f>IFERROR(VLOOKUP(A71&amp;"aaaaaaaa",COPY!$S$2:$AA$1000,6,FALSE)," ")</f>
        <v xml:space="preserve"> </v>
      </c>
      <c r="AH71" s="90" t="str">
        <f>IFERROR(VLOOKUP(A71&amp;"aaaaaaaaa",COPY!$S$2:$AA$1000,6,FALSE)," ")</f>
        <v xml:space="preserve"> </v>
      </c>
      <c r="AI71" s="90" t="str">
        <f>IFERROR(VLOOKUP(A71&amp;"aaaaaaaaaa",COPY!$S$2:$AA$1000,6,FALSE)," ")</f>
        <v xml:space="preserve"> </v>
      </c>
      <c r="AJ71" s="90" t="str">
        <f>IFERROR(VLOOKUP(A71&amp;"aaaaaaaaaaa",COPY!$S$2:$AA$1000,6,FALSE)," ")</f>
        <v xml:space="preserve"> </v>
      </c>
      <c r="AK71" s="90" t="str">
        <f>IF(LEFT(B71,2)="mg",VLOOKUP(A71,COPY!$S$2:$AA$1000,7,FALSE),IF(LEFT(B71,1)="G"," ",IF(LEFT(B71,2)="ma"," "," ")))</f>
        <v xml:space="preserve"> </v>
      </c>
      <c r="AL71" s="90" t="str">
        <f>IFERROR(VLOOKUP(A71&amp;"a",COPY!$S$2:$AA$1000,7,FALSE)," ")</f>
        <v xml:space="preserve"> </v>
      </c>
      <c r="AM71" s="90" t="str">
        <f>IFERROR(VLOOKUP(A71&amp;"aa",COPY!$S$2:$AA$1000,7,FALSE)," ")</f>
        <v xml:space="preserve"> </v>
      </c>
      <c r="AN71" s="90" t="str">
        <f>IFERROR(VLOOKUP(A71&amp;"aaa",COPY!$S$2:$AA$1000,7,FALSE)," ")</f>
        <v xml:space="preserve"> </v>
      </c>
      <c r="AO71" s="90" t="str">
        <f>IFERROR(VLOOKUP(A71&amp;"aaaa",COPY!$S$2:$AA$1000,7,FALSE)," ")</f>
        <v xml:space="preserve"> </v>
      </c>
      <c r="AP71" s="90" t="str">
        <f>IFERROR(VLOOKUP(A71&amp;"aaaaa",COPY!$S$2:$AA$1000,7,FALSE)," ")</f>
        <v xml:space="preserve"> </v>
      </c>
      <c r="AQ71" s="90" t="str">
        <f>IFERROR(VLOOKUP(A71&amp;"aaaaaa",COPY!$S$2:$AA$1000,7,FALSE)," ")</f>
        <v xml:space="preserve"> </v>
      </c>
      <c r="AR71" s="90" t="str">
        <f>IFERROR(VLOOKUP(A71&amp;"aaaaaaa",COPY!$S$2:$AA$1000,7,FALSE)," ")</f>
        <v xml:space="preserve"> </v>
      </c>
      <c r="AS71" s="90" t="str">
        <f>IFERROR(VLOOKUP(A71&amp;"aaaaaaaa",COPY!$S$2:$AA$1000,7,FALSE)," ")</f>
        <v xml:space="preserve"> </v>
      </c>
      <c r="AT71" s="90" t="str">
        <f>IFERROR(VLOOKUP(A71&amp;"aaaaaaaaa",COPY!$S$2:$AA$1000,7,FALSE)," ")</f>
        <v xml:space="preserve"> </v>
      </c>
      <c r="AU71" s="90" t="str">
        <f>IFERROR(VLOOKUP(A71&amp;"aaaaaaaaaa",COPY!$S$2:$AA$1000,7,FALSE)," ")</f>
        <v xml:space="preserve"> </v>
      </c>
      <c r="AV71" s="90" t="str">
        <f>IFERROR(VLOOKUP(A71&amp;"aaaaaaaaaaa",COPY!$S$2:$AA$1000,7,FALSE)," ")</f>
        <v xml:space="preserve"> </v>
      </c>
    </row>
    <row r="72" spans="1:48" x14ac:dyDescent="0.2">
      <c r="A72" s="75" t="str">
        <f>'REKAP PAJAK'!W109</f>
        <v/>
      </c>
      <c r="B72" s="75" t="str">
        <f>IF(LEN(A72)&gt;1,VLOOKUP(A72,COPY!$O$2:$R$1000,4,FALSE),"")</f>
        <v/>
      </c>
      <c r="C72" s="75" t="str">
        <f t="shared" si="6"/>
        <v xml:space="preserve"> </v>
      </c>
      <c r="D72" s="75" t="str">
        <f t="shared" si="7"/>
        <v xml:space="preserve"> </v>
      </c>
      <c r="E72" s="75" t="str">
        <f t="shared" si="8"/>
        <v xml:space="preserve"> </v>
      </c>
      <c r="F72" s="75" t="str">
        <f t="shared" si="9"/>
        <v xml:space="preserve"> </v>
      </c>
      <c r="G72" s="75" t="str">
        <f>IFERROR(TEXT(VLOOKUP(A72,COPY!$S$2:$W$1000,3,FALSE),"dd mmmm yyyy")," ")</f>
        <v xml:space="preserve"> </v>
      </c>
      <c r="H72" s="75" t="str">
        <f t="shared" si="10"/>
        <v xml:space="preserve"> </v>
      </c>
      <c r="I72" s="75" t="str">
        <f t="shared" si="11"/>
        <v xml:space="preserve"> </v>
      </c>
      <c r="J72" s="90" t="str">
        <f>IFERROR(VLOOKUP(A72,COPY!$S$2:$W$1000,4,FALSE)," ")</f>
        <v xml:space="preserve"> </v>
      </c>
      <c r="K72" s="75" t="str">
        <f>IFERROR(VLOOKUP(A72,COPY!$S$2:$W$1000,5,FALSE)," ")</f>
        <v xml:space="preserve"> </v>
      </c>
      <c r="L72" s="75" t="str">
        <f>IF(B72="","",IF(LEFT(B72,2)="Ma",(VLOOKUP(B72,'Rekap Gaji'!$C$12:$D$26,2,FALSE))&amp;" Untuk "&amp;(PROPER('Rekap Gaji'!$B$2)),IF(LEFT(B72,2)="Mg","Pembelian Material Bahan Bangunan",IF(LEFT(B72,2)="Me","Biaya Pembelanjaan Menejemen",IF(LEFT(B72,1)="G",VLOOKUP(A72,COPY!$S$2:$AA$1000,2,FALSE)&amp;"( "&amp;TEXT(VLOOKUP(B72,'Rekap Gaji'!$A$12:$I$26,5,FALSE),"dd-mm-yyyy")&amp;" "&amp;TEXT(VLOOKUP(B72,'Rekap Gaji'!$A$12:$I$26,6,FALSE)&amp;" "&amp;TEXT(VLOOKUP(B72,'Rekap Gaji'!$A$12:$I$26,7,FALSE),"dd-mm-yyyy")&amp;" )"," "))))))</f>
        <v/>
      </c>
      <c r="M72" s="75" t="str">
        <f>IF(OR(LEFT(B72,2)="mg",LEFT(B72,2)="mE"),VLOOKUP(A72,COPY!$S$2:$AA$1000,2,FALSE),IF(LEFT(B72,1)="G"," ",IF(LEFT(B72,2)="ma"," "," ")))</f>
        <v xml:space="preserve"> </v>
      </c>
      <c r="N72" s="75" t="str">
        <f>IFERROR(VLOOKUP($A$72&amp;"a",COPY!$S$2:$AA$1000,2,FALSE)," ")</f>
        <v xml:space="preserve"> </v>
      </c>
      <c r="O72" s="75" t="str">
        <f>IFERROR(VLOOKUP($A$72&amp;"aa",COPY!$S$2:$AA$1000,2,FALSE)," ")</f>
        <v xml:space="preserve"> </v>
      </c>
      <c r="P72" s="75" t="str">
        <f>IFERROR(VLOOKUP($A$72&amp;"aaa",COPY!$S$2:$AA$1000,2,FALSE)," ")</f>
        <v xml:space="preserve"> </v>
      </c>
      <c r="Q72" s="75" t="str">
        <f>IFERROR(VLOOKUP($A$72&amp;"aaaa",COPY!$S$2:$AA$1000,2,FALSE)," ")</f>
        <v xml:space="preserve"> </v>
      </c>
      <c r="R72" s="75" t="str">
        <f>IFERROR(VLOOKUP($A$72&amp;"aaaaa",COPY!$S$2:$AA$1000,2,FALSE)," ")</f>
        <v xml:space="preserve"> </v>
      </c>
      <c r="S72" s="75" t="str">
        <f>IFERROR(VLOOKUP($A$72&amp;"aaaaaa",COPY!$S$2:$AA$1000,2,FALSE)," ")</f>
        <v xml:space="preserve"> </v>
      </c>
      <c r="T72" s="75" t="str">
        <f>IFERROR(VLOOKUP($A$72&amp;"aaaaaaa",COPY!$S$2:$AA$1000,2,FALSE)," ")</f>
        <v xml:space="preserve"> </v>
      </c>
      <c r="U72" s="75" t="str">
        <f>IFERROR(VLOOKUP($A$72&amp;"aaaaaaaa",COPY!$S$2:$AA$1000,2,FALSE)," ")</f>
        <v xml:space="preserve"> </v>
      </c>
      <c r="V72" s="75" t="str">
        <f>IFERROR(VLOOKUP($A$72&amp;"aaaaaaaaa",COPY!$S$2:$AA$1000,2,FALSE)," ")</f>
        <v xml:space="preserve"> </v>
      </c>
      <c r="W72" s="75" t="str">
        <f>IFERROR(VLOOKUP($A$72&amp;"aaaaaaaaaa",COPY!$S$2:$AA$1000,2,FALSE)," ")</f>
        <v xml:space="preserve"> </v>
      </c>
      <c r="X72" s="75" t="str">
        <f>IFERROR(VLOOKUP($A$72&amp;"aaaaaaaaaaa",COPY!$S$2:$AA$1000,2,FALSE)," ")</f>
        <v xml:space="preserve"> </v>
      </c>
      <c r="Y72" s="90" t="str">
        <f>IF(OR(LEFT(B72,2)="mg",LEFT(B72,2)="mE"),VLOOKUP(A72,COPY!$S$2:$AA$1000,6,FALSE),IF(LEFT(B72,1)="G"," ",IF(LEFT(B72,2)="ma"," "," ")))</f>
        <v xml:space="preserve"> </v>
      </c>
      <c r="Z72" s="90" t="str">
        <f>IFERROR(VLOOKUP(A72&amp;"a",COPY!$S$2:$AA$1000,6,FALSE)," ")</f>
        <v xml:space="preserve"> </v>
      </c>
      <c r="AA72" s="90" t="str">
        <f>IFERROR(VLOOKUP(A72&amp;"aa",COPY!$S$2:$AA$1000,6,FALSE)," ")</f>
        <v xml:space="preserve"> </v>
      </c>
      <c r="AB72" s="90" t="str">
        <f>IFERROR(VLOOKUP(A72&amp;"aaa",COPY!$S$2:$AA$1000,6,FALSE)," ")</f>
        <v xml:space="preserve"> </v>
      </c>
      <c r="AC72" s="90" t="str">
        <f>IFERROR(VLOOKUP(A72&amp;"aaaa",COPY!$S$2:$AA$1000,6,FALSE)," ")</f>
        <v xml:space="preserve"> </v>
      </c>
      <c r="AD72" s="90" t="str">
        <f>IFERROR(VLOOKUP(A72&amp;"aaaaa",COPY!$S$2:$AA$1000,6,FALSE)," ")</f>
        <v xml:space="preserve"> </v>
      </c>
      <c r="AE72" s="90" t="str">
        <f>IFERROR(VLOOKUP(A72&amp;"aaaaaa",COPY!$S$2:$AA$1000,6,FALSE)," ")</f>
        <v xml:space="preserve"> </v>
      </c>
      <c r="AF72" s="90" t="str">
        <f>IFERROR(VLOOKUP(A72&amp;"aaaaaaa",COPY!$S$2:$AA$1000,6,FALSE)," ")</f>
        <v xml:space="preserve"> </v>
      </c>
      <c r="AG72" s="90" t="str">
        <f>IFERROR(VLOOKUP(A72&amp;"aaaaaaaa",COPY!$S$2:$AA$1000,6,FALSE)," ")</f>
        <v xml:space="preserve"> </v>
      </c>
      <c r="AH72" s="90" t="str">
        <f>IFERROR(VLOOKUP(A72&amp;"aaaaaaaaa",COPY!$S$2:$AA$1000,6,FALSE)," ")</f>
        <v xml:space="preserve"> </v>
      </c>
      <c r="AI72" s="90" t="str">
        <f>IFERROR(VLOOKUP(A72&amp;"aaaaaaaaaa",COPY!$S$2:$AA$1000,6,FALSE)," ")</f>
        <v xml:space="preserve"> </v>
      </c>
      <c r="AJ72" s="90" t="str">
        <f>IFERROR(VLOOKUP(A72&amp;"aaaaaaaaaaa",COPY!$S$2:$AA$1000,6,FALSE)," ")</f>
        <v xml:space="preserve"> </v>
      </c>
      <c r="AK72" s="90" t="str">
        <f>IF(LEFT(B72,2)="mg",VLOOKUP(A72,COPY!$S$2:$AA$1000,7,FALSE),IF(LEFT(B72,1)="G"," ",IF(LEFT(B72,2)="ma"," "," ")))</f>
        <v xml:space="preserve"> </v>
      </c>
      <c r="AL72" s="90" t="str">
        <f>IFERROR(VLOOKUP(A72&amp;"a",COPY!$S$2:$AA$1000,7,FALSE)," ")</f>
        <v xml:space="preserve"> </v>
      </c>
      <c r="AM72" s="90" t="str">
        <f>IFERROR(VLOOKUP(A72&amp;"aa",COPY!$S$2:$AA$1000,7,FALSE)," ")</f>
        <v xml:space="preserve"> </v>
      </c>
      <c r="AN72" s="90" t="str">
        <f>IFERROR(VLOOKUP(A72&amp;"aaa",COPY!$S$2:$AA$1000,7,FALSE)," ")</f>
        <v xml:space="preserve"> </v>
      </c>
      <c r="AO72" s="90" t="str">
        <f>IFERROR(VLOOKUP(A72&amp;"aaaa",COPY!$S$2:$AA$1000,7,FALSE)," ")</f>
        <v xml:space="preserve"> </v>
      </c>
      <c r="AP72" s="90" t="str">
        <f>IFERROR(VLOOKUP(A72&amp;"aaaaa",COPY!$S$2:$AA$1000,7,FALSE)," ")</f>
        <v xml:space="preserve"> </v>
      </c>
      <c r="AQ72" s="90" t="str">
        <f>IFERROR(VLOOKUP(A72&amp;"aaaaaa",COPY!$S$2:$AA$1000,7,FALSE)," ")</f>
        <v xml:space="preserve"> </v>
      </c>
      <c r="AR72" s="90" t="str">
        <f>IFERROR(VLOOKUP(A72&amp;"aaaaaaa",COPY!$S$2:$AA$1000,7,FALSE)," ")</f>
        <v xml:space="preserve"> </v>
      </c>
      <c r="AS72" s="90" t="str">
        <f>IFERROR(VLOOKUP(A72&amp;"aaaaaaaa",COPY!$S$2:$AA$1000,7,FALSE)," ")</f>
        <v xml:space="preserve"> </v>
      </c>
      <c r="AT72" s="90" t="str">
        <f>IFERROR(VLOOKUP(A72&amp;"aaaaaaaaa",COPY!$S$2:$AA$1000,7,FALSE)," ")</f>
        <v xml:space="preserve"> </v>
      </c>
      <c r="AU72" s="90" t="str">
        <f>IFERROR(VLOOKUP(A72&amp;"aaaaaaaaaa",COPY!$S$2:$AA$1000,7,FALSE)," ")</f>
        <v xml:space="preserve"> </v>
      </c>
      <c r="AV72" s="90" t="str">
        <f>IFERROR(VLOOKUP(A72&amp;"aaaaaaaaaaa",COPY!$S$2:$AA$1000,7,FALSE)," ")</f>
        <v xml:space="preserve"> </v>
      </c>
    </row>
    <row r="73" spans="1:48" x14ac:dyDescent="0.2">
      <c r="A73" s="75" t="str">
        <f>'REKAP PAJAK'!W110</f>
        <v/>
      </c>
      <c r="B73" s="75" t="str">
        <f>IF(LEN(A73)&gt;1,VLOOKUP(A73,COPY!$O$2:$R$1000,4,FALSE),"")</f>
        <v/>
      </c>
      <c r="C73" s="75" t="str">
        <f t="shared" si="6"/>
        <v xml:space="preserve"> </v>
      </c>
      <c r="D73" s="75" t="str">
        <f t="shared" si="7"/>
        <v xml:space="preserve"> </v>
      </c>
      <c r="E73" s="75" t="str">
        <f t="shared" si="8"/>
        <v xml:space="preserve"> </v>
      </c>
      <c r="F73" s="75" t="str">
        <f t="shared" si="9"/>
        <v xml:space="preserve"> </v>
      </c>
      <c r="G73" s="75" t="str">
        <f>IFERROR(TEXT(VLOOKUP(A73,COPY!$S$2:$W$1000,3,FALSE),"dd mmmm yyyy")," ")</f>
        <v xml:space="preserve"> </v>
      </c>
      <c r="H73" s="75" t="str">
        <f t="shared" si="10"/>
        <v xml:space="preserve"> </v>
      </c>
      <c r="I73" s="75" t="str">
        <f t="shared" si="11"/>
        <v xml:space="preserve"> </v>
      </c>
      <c r="J73" s="90" t="str">
        <f>IFERROR(VLOOKUP(A73,COPY!$S$2:$W$1000,4,FALSE)," ")</f>
        <v xml:space="preserve"> </v>
      </c>
      <c r="K73" s="75" t="str">
        <f>IFERROR(VLOOKUP(A73,COPY!$S$2:$W$1000,5,FALSE)," ")</f>
        <v xml:space="preserve"> </v>
      </c>
      <c r="L73" s="75" t="str">
        <f>IF(B73="","",IF(LEFT(B73,2)="Ma",(VLOOKUP(B73,'Rekap Gaji'!$C$12:$D$26,2,FALSE))&amp;" Untuk "&amp;(PROPER('Rekap Gaji'!$B$2)),IF(LEFT(B73,2)="Mg","Pembelian Material Bahan Bangunan",IF(LEFT(B73,2)="Me","Biaya Pembelanjaan Menejemen",IF(LEFT(B73,1)="G",VLOOKUP(A73,COPY!$S$2:$AA$1000,2,FALSE)&amp;"( "&amp;TEXT(VLOOKUP(B73,'Rekap Gaji'!$A$12:$I$26,5,FALSE),"dd-mm-yyyy")&amp;" "&amp;TEXT(VLOOKUP(B73,'Rekap Gaji'!$A$12:$I$26,6,FALSE)&amp;" "&amp;TEXT(VLOOKUP(B73,'Rekap Gaji'!$A$12:$I$26,7,FALSE),"dd-mm-yyyy")&amp;" )"," "))))))</f>
        <v/>
      </c>
      <c r="M73" s="75" t="str">
        <f>IF(OR(LEFT(B73,2)="mg",LEFT(B73,2)="mE"),VLOOKUP(A73,COPY!$S$2:$AA$1000,2,FALSE),IF(LEFT(B73,1)="G"," ",IF(LEFT(B73,2)="ma"," "," ")))</f>
        <v xml:space="preserve"> </v>
      </c>
      <c r="N73" s="75" t="str">
        <f>IFERROR(VLOOKUP($A$73&amp;"a",COPY!$S$2:$AA$1000,2,FALSE)," ")</f>
        <v xml:space="preserve"> </v>
      </c>
      <c r="O73" s="75" t="str">
        <f>IFERROR(VLOOKUP($A$73&amp;"aa",COPY!$S$2:$AA$1000,2,FALSE)," ")</f>
        <v xml:space="preserve"> </v>
      </c>
      <c r="P73" s="75" t="str">
        <f>IFERROR(VLOOKUP($A$73&amp;"aaa",COPY!$S$2:$AA$1000,2,FALSE)," ")</f>
        <v xml:space="preserve"> </v>
      </c>
      <c r="Q73" s="75" t="str">
        <f>IFERROR(VLOOKUP($A$73&amp;"aaaa",COPY!$S$2:$AA$1000,2,FALSE)," ")</f>
        <v xml:space="preserve"> </v>
      </c>
      <c r="R73" s="75" t="str">
        <f>IFERROR(VLOOKUP($A$73&amp;"aaaaa",COPY!$S$2:$AA$1000,2,FALSE)," ")</f>
        <v xml:space="preserve"> </v>
      </c>
      <c r="S73" s="75" t="str">
        <f>IFERROR(VLOOKUP($A$73&amp;"aaaaaa",COPY!$S$2:$AA$1000,2,FALSE)," ")</f>
        <v xml:space="preserve"> </v>
      </c>
      <c r="T73" s="75" t="str">
        <f>IFERROR(VLOOKUP($A$73&amp;"aaaaaaa",COPY!$S$2:$AA$1000,2,FALSE)," ")</f>
        <v xml:space="preserve"> </v>
      </c>
      <c r="U73" s="75" t="str">
        <f>IFERROR(VLOOKUP($A$73&amp;"aaaaaaaa",COPY!$S$2:$AA$1000,2,FALSE)," ")</f>
        <v xml:space="preserve"> </v>
      </c>
      <c r="V73" s="75" t="str">
        <f>IFERROR(VLOOKUP($A$73&amp;"aaaaaaaaa",COPY!$S$2:$AA$1000,2,FALSE)," ")</f>
        <v xml:space="preserve"> </v>
      </c>
      <c r="W73" s="75" t="str">
        <f>IFERROR(VLOOKUP($A$73&amp;"aaaaaaaaaa",COPY!$S$2:$AA$1000,2,FALSE)," ")</f>
        <v xml:space="preserve"> </v>
      </c>
      <c r="X73" s="75" t="str">
        <f>IFERROR(VLOOKUP($A$73&amp;"aaaaaaaaaaa",COPY!$S$2:$AA$1000,2,FALSE)," ")</f>
        <v xml:space="preserve"> </v>
      </c>
      <c r="Y73" s="90" t="str">
        <f>IF(OR(LEFT(B73,2)="mg",LEFT(B73,2)="mE"),VLOOKUP(A73,COPY!$S$2:$AA$1000,6,FALSE),IF(LEFT(B73,1)="G"," ",IF(LEFT(B73,2)="ma"," "," ")))</f>
        <v xml:space="preserve"> </v>
      </c>
      <c r="Z73" s="90" t="str">
        <f>IFERROR(VLOOKUP(A73&amp;"a",COPY!$S$2:$AA$1000,6,FALSE)," ")</f>
        <v xml:space="preserve"> </v>
      </c>
      <c r="AA73" s="90" t="str">
        <f>IFERROR(VLOOKUP(A73&amp;"aa",COPY!$S$2:$AA$1000,6,FALSE)," ")</f>
        <v xml:space="preserve"> </v>
      </c>
      <c r="AB73" s="90" t="str">
        <f>IFERROR(VLOOKUP(A73&amp;"aaa",COPY!$S$2:$AA$1000,6,FALSE)," ")</f>
        <v xml:space="preserve"> </v>
      </c>
      <c r="AC73" s="90" t="str">
        <f>IFERROR(VLOOKUP(A73&amp;"aaaa",COPY!$S$2:$AA$1000,6,FALSE)," ")</f>
        <v xml:space="preserve"> </v>
      </c>
      <c r="AD73" s="90" t="str">
        <f>IFERROR(VLOOKUP(A73&amp;"aaaaa",COPY!$S$2:$AA$1000,6,FALSE)," ")</f>
        <v xml:space="preserve"> </v>
      </c>
      <c r="AE73" s="90" t="str">
        <f>IFERROR(VLOOKUP(A73&amp;"aaaaaa",COPY!$S$2:$AA$1000,6,FALSE)," ")</f>
        <v xml:space="preserve"> </v>
      </c>
      <c r="AF73" s="90" t="str">
        <f>IFERROR(VLOOKUP(A73&amp;"aaaaaaa",COPY!$S$2:$AA$1000,6,FALSE)," ")</f>
        <v xml:space="preserve"> </v>
      </c>
      <c r="AG73" s="90" t="str">
        <f>IFERROR(VLOOKUP(A73&amp;"aaaaaaaa",COPY!$S$2:$AA$1000,6,FALSE)," ")</f>
        <v xml:space="preserve"> </v>
      </c>
      <c r="AH73" s="90" t="str">
        <f>IFERROR(VLOOKUP(A73&amp;"aaaaaaaaa",COPY!$S$2:$AA$1000,6,FALSE)," ")</f>
        <v xml:space="preserve"> </v>
      </c>
      <c r="AI73" s="90" t="str">
        <f>IFERROR(VLOOKUP(A73&amp;"aaaaaaaaaa",COPY!$S$2:$AA$1000,6,FALSE)," ")</f>
        <v xml:space="preserve"> </v>
      </c>
      <c r="AJ73" s="90" t="str">
        <f>IFERROR(VLOOKUP(A73&amp;"aaaaaaaaaaa",COPY!$S$2:$AA$1000,6,FALSE)," ")</f>
        <v xml:space="preserve"> </v>
      </c>
      <c r="AK73" s="90" t="str">
        <f>IF(LEFT(B73,2)="mg",VLOOKUP(A73,COPY!$S$2:$AA$1000,7,FALSE),IF(LEFT(B73,1)="G"," ",IF(LEFT(B73,2)="ma"," "," ")))</f>
        <v xml:space="preserve"> </v>
      </c>
      <c r="AL73" s="90" t="str">
        <f>IFERROR(VLOOKUP(A73&amp;"a",COPY!$S$2:$AA$1000,7,FALSE)," ")</f>
        <v xml:space="preserve"> </v>
      </c>
      <c r="AM73" s="90" t="str">
        <f>IFERROR(VLOOKUP(A73&amp;"aa",COPY!$S$2:$AA$1000,7,FALSE)," ")</f>
        <v xml:space="preserve"> </v>
      </c>
      <c r="AN73" s="90" t="str">
        <f>IFERROR(VLOOKUP(A73&amp;"aaa",COPY!$S$2:$AA$1000,7,FALSE)," ")</f>
        <v xml:space="preserve"> </v>
      </c>
      <c r="AO73" s="90" t="str">
        <f>IFERROR(VLOOKUP(A73&amp;"aaaa",COPY!$S$2:$AA$1000,7,FALSE)," ")</f>
        <v xml:space="preserve"> </v>
      </c>
      <c r="AP73" s="90" t="str">
        <f>IFERROR(VLOOKUP(A73&amp;"aaaaa",COPY!$S$2:$AA$1000,7,FALSE)," ")</f>
        <v xml:space="preserve"> </v>
      </c>
      <c r="AQ73" s="90" t="str">
        <f>IFERROR(VLOOKUP(A73&amp;"aaaaaa",COPY!$S$2:$AA$1000,7,FALSE)," ")</f>
        <v xml:space="preserve"> </v>
      </c>
      <c r="AR73" s="90" t="str">
        <f>IFERROR(VLOOKUP(A73&amp;"aaaaaaa",COPY!$S$2:$AA$1000,7,FALSE)," ")</f>
        <v xml:space="preserve"> </v>
      </c>
      <c r="AS73" s="90" t="str">
        <f>IFERROR(VLOOKUP(A73&amp;"aaaaaaaa",COPY!$S$2:$AA$1000,7,FALSE)," ")</f>
        <v xml:space="preserve"> </v>
      </c>
      <c r="AT73" s="90" t="str">
        <f>IFERROR(VLOOKUP(A73&amp;"aaaaaaaaa",COPY!$S$2:$AA$1000,7,FALSE)," ")</f>
        <v xml:space="preserve"> </v>
      </c>
      <c r="AU73" s="90" t="str">
        <f>IFERROR(VLOOKUP(A73&amp;"aaaaaaaaaa",COPY!$S$2:$AA$1000,7,FALSE)," ")</f>
        <v xml:space="preserve"> </v>
      </c>
      <c r="AV73" s="90" t="str">
        <f>IFERROR(VLOOKUP(A73&amp;"aaaaaaaaaaa",COPY!$S$2:$AA$1000,7,FALSE)," ")</f>
        <v xml:space="preserve"> </v>
      </c>
    </row>
    <row r="74" spans="1:48" x14ac:dyDescent="0.2">
      <c r="A74" s="75" t="str">
        <f>'REKAP PAJAK'!W111</f>
        <v/>
      </c>
      <c r="B74" s="75" t="str">
        <f>IF(LEN(A74)&gt;1,VLOOKUP(A74,COPY!$O$2:$R$1000,4,FALSE),"")</f>
        <v/>
      </c>
      <c r="C74" s="75" t="str">
        <f t="shared" si="6"/>
        <v xml:space="preserve"> </v>
      </c>
      <c r="D74" s="75" t="str">
        <f t="shared" si="7"/>
        <v xml:space="preserve"> </v>
      </c>
      <c r="E74" s="75" t="str">
        <f t="shared" si="8"/>
        <v xml:space="preserve"> </v>
      </c>
      <c r="F74" s="75" t="str">
        <f t="shared" si="9"/>
        <v xml:space="preserve"> </v>
      </c>
      <c r="G74" s="75" t="str">
        <f>IFERROR(TEXT(VLOOKUP(A74,COPY!$S$2:$W$1000,3,FALSE),"dd mmmm yyyy")," ")</f>
        <v xml:space="preserve"> </v>
      </c>
      <c r="H74" s="75" t="str">
        <f t="shared" si="10"/>
        <v xml:space="preserve"> </v>
      </c>
      <c r="I74" s="75" t="str">
        <f t="shared" si="11"/>
        <v xml:space="preserve"> </v>
      </c>
      <c r="J74" s="90" t="str">
        <f>IFERROR(VLOOKUP(A74,COPY!$S$2:$W$1000,4,FALSE)," ")</f>
        <v xml:space="preserve"> </v>
      </c>
      <c r="K74" s="75" t="str">
        <f>IFERROR(VLOOKUP(A74,COPY!$S$2:$W$1000,5,FALSE)," ")</f>
        <v xml:space="preserve"> </v>
      </c>
      <c r="L74" s="75" t="str">
        <f>IF(B74="","",IF(LEFT(B74,2)="Ma",(VLOOKUP(B74,'Rekap Gaji'!$C$12:$D$26,2,FALSE))&amp;" Untuk "&amp;(PROPER('Rekap Gaji'!$B$2)),IF(LEFT(B74,2)="Mg","Pembelian Material Bahan Bangunan",IF(LEFT(B74,2)="Me","Biaya Pembelanjaan Menejemen",IF(LEFT(B74,1)="G",VLOOKUP(A74,COPY!$S$2:$AA$1000,2,FALSE)&amp;"( "&amp;TEXT(VLOOKUP(B74,'Rekap Gaji'!$A$12:$I$26,5,FALSE),"dd-mm-yyyy")&amp;" "&amp;TEXT(VLOOKUP(B74,'Rekap Gaji'!$A$12:$I$26,6,FALSE)&amp;" "&amp;TEXT(VLOOKUP(B74,'Rekap Gaji'!$A$12:$I$26,7,FALSE),"dd-mm-yyyy")&amp;" )"," "))))))</f>
        <v/>
      </c>
      <c r="M74" s="75" t="str">
        <f>IF(OR(LEFT(B74,2)="mg",LEFT(B74,2)="mE"),VLOOKUP(A74,COPY!$S$2:$AA$1000,2,FALSE),IF(LEFT(B74,1)="G"," ",IF(LEFT(B74,2)="ma"," "," ")))</f>
        <v xml:space="preserve"> </v>
      </c>
      <c r="N74" s="75" t="str">
        <f>IFERROR(VLOOKUP($A$74&amp;"a",COPY!$S$2:$AA$1000,2,FALSE)," ")</f>
        <v xml:space="preserve"> </v>
      </c>
      <c r="O74" s="75" t="str">
        <f>IFERROR(VLOOKUP($A$74&amp;"aa",COPY!$S$2:$AA$1000,2,FALSE)," ")</f>
        <v xml:space="preserve"> </v>
      </c>
      <c r="P74" s="75" t="str">
        <f>IFERROR(VLOOKUP($A$74&amp;"aaa",COPY!$S$2:$AA$1000,2,FALSE)," ")</f>
        <v xml:space="preserve"> </v>
      </c>
      <c r="Q74" s="75" t="str">
        <f>IFERROR(VLOOKUP($A$74&amp;"aaaa",COPY!$S$2:$AA$1000,2,FALSE)," ")</f>
        <v xml:space="preserve"> </v>
      </c>
      <c r="R74" s="75" t="str">
        <f>IFERROR(VLOOKUP($A$74&amp;"aaaaa",COPY!$S$2:$AA$1000,2,FALSE)," ")</f>
        <v xml:space="preserve"> </v>
      </c>
      <c r="S74" s="75" t="str">
        <f>IFERROR(VLOOKUP($A$74&amp;"aaaaaa",COPY!$S$2:$AA$1000,2,FALSE)," ")</f>
        <v xml:space="preserve"> </v>
      </c>
      <c r="T74" s="75" t="str">
        <f>IFERROR(VLOOKUP($A$74&amp;"aaaaaaa",COPY!$S$2:$AA$1000,2,FALSE)," ")</f>
        <v xml:space="preserve"> </v>
      </c>
      <c r="U74" s="75" t="str">
        <f>IFERROR(VLOOKUP($A$74&amp;"aaaaaaaa",COPY!$S$2:$AA$1000,2,FALSE)," ")</f>
        <v xml:space="preserve"> </v>
      </c>
      <c r="V74" s="75" t="str">
        <f>IFERROR(VLOOKUP($A$74&amp;"aaaaaaaaa",COPY!$S$2:$AA$1000,2,FALSE)," ")</f>
        <v xml:space="preserve"> </v>
      </c>
      <c r="W74" s="75" t="str">
        <f>IFERROR(VLOOKUP($A$74&amp;"aaaaaaaaaa",COPY!$S$2:$AA$1000,2,FALSE)," ")</f>
        <v xml:space="preserve"> </v>
      </c>
      <c r="X74" s="75" t="str">
        <f>IFERROR(VLOOKUP($A$74&amp;"aaaaaaaaaaa",COPY!$S$2:$AA$1000,2,FALSE)," ")</f>
        <v xml:space="preserve"> </v>
      </c>
      <c r="Y74" s="90" t="str">
        <f>IF(OR(LEFT(B74,2)="mg",LEFT(B74,2)="mE"),VLOOKUP(A74,COPY!$S$2:$AA$1000,6,FALSE),IF(LEFT(B74,1)="G"," ",IF(LEFT(B74,2)="ma"," "," ")))</f>
        <v xml:space="preserve"> </v>
      </c>
      <c r="Z74" s="90" t="str">
        <f>IFERROR(VLOOKUP(A74&amp;"a",COPY!$S$2:$AA$1000,6,FALSE)," ")</f>
        <v xml:space="preserve"> </v>
      </c>
      <c r="AA74" s="90" t="str">
        <f>IFERROR(VLOOKUP(A74&amp;"aa",COPY!$S$2:$AA$1000,6,FALSE)," ")</f>
        <v xml:space="preserve"> </v>
      </c>
      <c r="AB74" s="90" t="str">
        <f>IFERROR(VLOOKUP(A74&amp;"aaa",COPY!$S$2:$AA$1000,6,FALSE)," ")</f>
        <v xml:space="preserve"> </v>
      </c>
      <c r="AC74" s="90" t="str">
        <f>IFERROR(VLOOKUP(A74&amp;"aaaa",COPY!$S$2:$AA$1000,6,FALSE)," ")</f>
        <v xml:space="preserve"> </v>
      </c>
      <c r="AD74" s="90" t="str">
        <f>IFERROR(VLOOKUP(A74&amp;"aaaaa",COPY!$S$2:$AA$1000,6,FALSE)," ")</f>
        <v xml:space="preserve"> </v>
      </c>
      <c r="AE74" s="90" t="str">
        <f>IFERROR(VLOOKUP(A74&amp;"aaaaaa",COPY!$S$2:$AA$1000,6,FALSE)," ")</f>
        <v xml:space="preserve"> </v>
      </c>
      <c r="AF74" s="90" t="str">
        <f>IFERROR(VLOOKUP(A74&amp;"aaaaaaa",COPY!$S$2:$AA$1000,6,FALSE)," ")</f>
        <v xml:space="preserve"> </v>
      </c>
      <c r="AG74" s="90" t="str">
        <f>IFERROR(VLOOKUP(A74&amp;"aaaaaaaa",COPY!$S$2:$AA$1000,6,FALSE)," ")</f>
        <v xml:space="preserve"> </v>
      </c>
      <c r="AH74" s="90" t="str">
        <f>IFERROR(VLOOKUP(A74&amp;"aaaaaaaaa",COPY!$S$2:$AA$1000,6,FALSE)," ")</f>
        <v xml:space="preserve"> </v>
      </c>
      <c r="AI74" s="90" t="str">
        <f>IFERROR(VLOOKUP(A74&amp;"aaaaaaaaaa",COPY!$S$2:$AA$1000,6,FALSE)," ")</f>
        <v xml:space="preserve"> </v>
      </c>
      <c r="AJ74" s="90" t="str">
        <f>IFERROR(VLOOKUP(A74&amp;"aaaaaaaaaaa",COPY!$S$2:$AA$1000,6,FALSE)," ")</f>
        <v xml:space="preserve"> </v>
      </c>
      <c r="AK74" s="90" t="str">
        <f>IF(LEFT(B74,2)="mg",VLOOKUP(A74,COPY!$S$2:$AA$1000,7,FALSE),IF(LEFT(B74,1)="G"," ",IF(LEFT(B74,2)="ma"," "," ")))</f>
        <v xml:space="preserve"> </v>
      </c>
      <c r="AL74" s="90" t="str">
        <f>IFERROR(VLOOKUP(A74&amp;"a",COPY!$S$2:$AA$1000,7,FALSE)," ")</f>
        <v xml:space="preserve"> </v>
      </c>
      <c r="AM74" s="90" t="str">
        <f>IFERROR(VLOOKUP(A74&amp;"aa",COPY!$S$2:$AA$1000,7,FALSE)," ")</f>
        <v xml:space="preserve"> </v>
      </c>
      <c r="AN74" s="90" t="str">
        <f>IFERROR(VLOOKUP(A74&amp;"aaa",COPY!$S$2:$AA$1000,7,FALSE)," ")</f>
        <v xml:space="preserve"> </v>
      </c>
      <c r="AO74" s="90" t="str">
        <f>IFERROR(VLOOKUP(A74&amp;"aaaa",COPY!$S$2:$AA$1000,7,FALSE)," ")</f>
        <v xml:space="preserve"> </v>
      </c>
      <c r="AP74" s="90" t="str">
        <f>IFERROR(VLOOKUP(A74&amp;"aaaaa",COPY!$S$2:$AA$1000,7,FALSE)," ")</f>
        <v xml:space="preserve"> </v>
      </c>
      <c r="AQ74" s="90" t="str">
        <f>IFERROR(VLOOKUP(A74&amp;"aaaaaa",COPY!$S$2:$AA$1000,7,FALSE)," ")</f>
        <v xml:space="preserve"> </v>
      </c>
      <c r="AR74" s="90" t="str">
        <f>IFERROR(VLOOKUP(A74&amp;"aaaaaaa",COPY!$S$2:$AA$1000,7,FALSE)," ")</f>
        <v xml:space="preserve"> </v>
      </c>
      <c r="AS74" s="90" t="str">
        <f>IFERROR(VLOOKUP(A74&amp;"aaaaaaaa",COPY!$S$2:$AA$1000,7,FALSE)," ")</f>
        <v xml:space="preserve"> </v>
      </c>
      <c r="AT74" s="90" t="str">
        <f>IFERROR(VLOOKUP(A74&amp;"aaaaaaaaa",COPY!$S$2:$AA$1000,7,FALSE)," ")</f>
        <v xml:space="preserve"> </v>
      </c>
      <c r="AU74" s="90" t="str">
        <f>IFERROR(VLOOKUP(A74&amp;"aaaaaaaaaa",COPY!$S$2:$AA$1000,7,FALSE)," ")</f>
        <v xml:space="preserve"> </v>
      </c>
      <c r="AV74" s="90" t="str">
        <f>IFERROR(VLOOKUP(A74&amp;"aaaaaaaaaaa",COPY!$S$2:$AA$1000,7,FALSE)," ")</f>
        <v xml:space="preserve"> </v>
      </c>
    </row>
    <row r="75" spans="1:48" x14ac:dyDescent="0.2">
      <c r="A75" s="75" t="str">
        <f>'REKAP PAJAK'!W112</f>
        <v/>
      </c>
      <c r="B75" s="75" t="str">
        <f>IF(LEN(A75)&gt;1,VLOOKUP(A75,COPY!$O$2:$R$1000,4,FALSE),"")</f>
        <v/>
      </c>
      <c r="C75" s="75" t="str">
        <f t="shared" si="6"/>
        <v xml:space="preserve"> </v>
      </c>
      <c r="D75" s="75" t="str">
        <f t="shared" si="7"/>
        <v xml:space="preserve"> </v>
      </c>
      <c r="E75" s="75" t="str">
        <f t="shared" si="8"/>
        <v xml:space="preserve"> </v>
      </c>
      <c r="F75" s="75" t="str">
        <f t="shared" si="9"/>
        <v xml:space="preserve"> </v>
      </c>
      <c r="G75" s="75" t="str">
        <f>IFERROR(TEXT(VLOOKUP(A75,COPY!$S$2:$W$1000,3,FALSE),"dd mmmm yyyy")," ")</f>
        <v xml:space="preserve"> </v>
      </c>
      <c r="H75" s="75" t="str">
        <f t="shared" si="10"/>
        <v xml:space="preserve"> </v>
      </c>
      <c r="I75" s="75" t="str">
        <f t="shared" si="11"/>
        <v xml:space="preserve"> </v>
      </c>
      <c r="J75" s="90" t="str">
        <f>IFERROR(VLOOKUP(A75,COPY!$S$2:$W$1000,4,FALSE)," ")</f>
        <v xml:space="preserve"> </v>
      </c>
      <c r="K75" s="75" t="str">
        <f>IFERROR(VLOOKUP(A75,COPY!$S$2:$W$1000,5,FALSE)," ")</f>
        <v xml:space="preserve"> </v>
      </c>
      <c r="L75" s="75" t="str">
        <f>IF(B75="","",IF(LEFT(B75,2)="Ma",(VLOOKUP(B75,'Rekap Gaji'!$C$12:$D$26,2,FALSE))&amp;" Untuk "&amp;(PROPER('Rekap Gaji'!$B$2)),IF(LEFT(B75,2)="Mg","Pembelian Material Bahan Bangunan",IF(LEFT(B75,2)="Me","Biaya Pembelanjaan Menejemen",IF(LEFT(B75,1)="G",VLOOKUP(A75,COPY!$S$2:$AA$1000,2,FALSE)&amp;"( "&amp;TEXT(VLOOKUP(B75,'Rekap Gaji'!$A$12:$I$26,5,FALSE),"dd-mm-yyyy")&amp;" "&amp;TEXT(VLOOKUP(B75,'Rekap Gaji'!$A$12:$I$26,6,FALSE)&amp;" "&amp;TEXT(VLOOKUP(B75,'Rekap Gaji'!$A$12:$I$26,7,FALSE),"dd-mm-yyyy")&amp;" )"," "))))))</f>
        <v/>
      </c>
      <c r="M75" s="75" t="str">
        <f>IF(OR(LEFT(B75,2)="mg",LEFT(B75,2)="mE"),VLOOKUP(A75,COPY!$S$2:$AA$1000,2,FALSE),IF(LEFT(B75,1)="G"," ",IF(LEFT(B75,2)="ma"," "," ")))</f>
        <v xml:space="preserve"> </v>
      </c>
      <c r="N75" s="75" t="str">
        <f>IFERROR(VLOOKUP($A$75&amp;"a",COPY!$S$2:$AA$1000,2,FALSE)," ")</f>
        <v xml:space="preserve"> </v>
      </c>
      <c r="O75" s="75" t="str">
        <f>IFERROR(VLOOKUP($A$75&amp;"aa",COPY!$S$2:$AA$1000,2,FALSE)," ")</f>
        <v xml:space="preserve"> </v>
      </c>
      <c r="P75" s="75" t="str">
        <f>IFERROR(VLOOKUP($A$75&amp;"aaa",COPY!$S$2:$AA$1000,2,FALSE)," ")</f>
        <v xml:space="preserve"> </v>
      </c>
      <c r="Q75" s="75" t="str">
        <f>IFERROR(VLOOKUP($A$75&amp;"aaaa",COPY!$S$2:$AA$1000,2,FALSE)," ")</f>
        <v xml:space="preserve"> </v>
      </c>
      <c r="R75" s="75" t="str">
        <f>IFERROR(VLOOKUP($A$75&amp;"aaaaa",COPY!$S$2:$AA$1000,2,FALSE)," ")</f>
        <v xml:space="preserve"> </v>
      </c>
      <c r="S75" s="75" t="str">
        <f>IFERROR(VLOOKUP($A$75&amp;"aaaaaa",COPY!$S$2:$AA$1000,2,FALSE)," ")</f>
        <v xml:space="preserve"> </v>
      </c>
      <c r="T75" s="75" t="str">
        <f>IFERROR(VLOOKUP($A$75&amp;"aaaaaaa",COPY!$S$2:$AA$1000,2,FALSE)," ")</f>
        <v xml:space="preserve"> </v>
      </c>
      <c r="U75" s="75" t="str">
        <f>IFERROR(VLOOKUP($A$75&amp;"aaaaaaaa",COPY!$S$2:$AA$1000,2,FALSE)," ")</f>
        <v xml:space="preserve"> </v>
      </c>
      <c r="V75" s="75" t="str">
        <f>IFERROR(VLOOKUP($A$75&amp;"aaaaaaaaa",COPY!$S$2:$AA$1000,2,FALSE)," ")</f>
        <v xml:space="preserve"> </v>
      </c>
      <c r="W75" s="75" t="str">
        <f>IFERROR(VLOOKUP($A$75&amp;"aaaaaaaaaa",COPY!$S$2:$AA$1000,2,FALSE)," ")</f>
        <v xml:space="preserve"> </v>
      </c>
      <c r="X75" s="75" t="str">
        <f>IFERROR(VLOOKUP($A$75&amp;"aaaaaaaaaaa",COPY!$S$2:$AA$1000,2,FALSE)," ")</f>
        <v xml:space="preserve"> </v>
      </c>
      <c r="Y75" s="90" t="str">
        <f>IF(OR(LEFT(B75,2)="mg",LEFT(B75,2)="mE"),VLOOKUP(A75,COPY!$S$2:$AA$1000,6,FALSE),IF(LEFT(B75,1)="G"," ",IF(LEFT(B75,2)="ma"," "," ")))</f>
        <v xml:space="preserve"> </v>
      </c>
      <c r="Z75" s="90" t="str">
        <f>IFERROR(VLOOKUP(A75&amp;"a",COPY!$S$2:$AA$1000,6,FALSE)," ")</f>
        <v xml:space="preserve"> </v>
      </c>
      <c r="AA75" s="90" t="str">
        <f>IFERROR(VLOOKUP(A75&amp;"aa",COPY!$S$2:$AA$1000,6,FALSE)," ")</f>
        <v xml:space="preserve"> </v>
      </c>
      <c r="AB75" s="90" t="str">
        <f>IFERROR(VLOOKUP(A75&amp;"aaa",COPY!$S$2:$AA$1000,6,FALSE)," ")</f>
        <v xml:space="preserve"> </v>
      </c>
      <c r="AC75" s="90" t="str">
        <f>IFERROR(VLOOKUP(A75&amp;"aaaa",COPY!$S$2:$AA$1000,6,FALSE)," ")</f>
        <v xml:space="preserve"> </v>
      </c>
      <c r="AD75" s="90" t="str">
        <f>IFERROR(VLOOKUP(A75&amp;"aaaaa",COPY!$S$2:$AA$1000,6,FALSE)," ")</f>
        <v xml:space="preserve"> </v>
      </c>
      <c r="AE75" s="90" t="str">
        <f>IFERROR(VLOOKUP(A75&amp;"aaaaaa",COPY!$S$2:$AA$1000,6,FALSE)," ")</f>
        <v xml:space="preserve"> </v>
      </c>
      <c r="AF75" s="90" t="str">
        <f>IFERROR(VLOOKUP(A75&amp;"aaaaaaa",COPY!$S$2:$AA$1000,6,FALSE)," ")</f>
        <v xml:space="preserve"> </v>
      </c>
      <c r="AG75" s="90" t="str">
        <f>IFERROR(VLOOKUP(A75&amp;"aaaaaaaa",COPY!$S$2:$AA$1000,6,FALSE)," ")</f>
        <v xml:space="preserve"> </v>
      </c>
      <c r="AH75" s="90" t="str">
        <f>IFERROR(VLOOKUP(A75&amp;"aaaaaaaaa",COPY!$S$2:$AA$1000,6,FALSE)," ")</f>
        <v xml:space="preserve"> </v>
      </c>
      <c r="AI75" s="90" t="str">
        <f>IFERROR(VLOOKUP(A75&amp;"aaaaaaaaaa",COPY!$S$2:$AA$1000,6,FALSE)," ")</f>
        <v xml:space="preserve"> </v>
      </c>
      <c r="AJ75" s="90" t="str">
        <f>IFERROR(VLOOKUP(A75&amp;"aaaaaaaaaaa",COPY!$S$2:$AA$1000,6,FALSE)," ")</f>
        <v xml:space="preserve"> </v>
      </c>
      <c r="AK75" s="90" t="str">
        <f>IF(LEFT(B75,2)="mg",VLOOKUP(A75,COPY!$S$2:$AA$1000,7,FALSE),IF(LEFT(B75,1)="G"," ",IF(LEFT(B75,2)="ma"," "," ")))</f>
        <v xml:space="preserve"> </v>
      </c>
      <c r="AL75" s="90" t="str">
        <f>IFERROR(VLOOKUP(A75&amp;"a",COPY!$S$2:$AA$1000,7,FALSE)," ")</f>
        <v xml:space="preserve"> </v>
      </c>
      <c r="AM75" s="90" t="str">
        <f>IFERROR(VLOOKUP(A75&amp;"aa",COPY!$S$2:$AA$1000,7,FALSE)," ")</f>
        <v xml:space="preserve"> </v>
      </c>
      <c r="AN75" s="90" t="str">
        <f>IFERROR(VLOOKUP(A75&amp;"aaa",COPY!$S$2:$AA$1000,7,FALSE)," ")</f>
        <v xml:space="preserve"> </v>
      </c>
      <c r="AO75" s="90" t="str">
        <f>IFERROR(VLOOKUP(A75&amp;"aaaa",COPY!$S$2:$AA$1000,7,FALSE)," ")</f>
        <v xml:space="preserve"> </v>
      </c>
      <c r="AP75" s="90" t="str">
        <f>IFERROR(VLOOKUP(A75&amp;"aaaaa",COPY!$S$2:$AA$1000,7,FALSE)," ")</f>
        <v xml:space="preserve"> </v>
      </c>
      <c r="AQ75" s="90" t="str">
        <f>IFERROR(VLOOKUP(A75&amp;"aaaaaa",COPY!$S$2:$AA$1000,7,FALSE)," ")</f>
        <v xml:space="preserve"> </v>
      </c>
      <c r="AR75" s="90" t="str">
        <f>IFERROR(VLOOKUP(A75&amp;"aaaaaaa",COPY!$S$2:$AA$1000,7,FALSE)," ")</f>
        <v xml:space="preserve"> </v>
      </c>
      <c r="AS75" s="90" t="str">
        <f>IFERROR(VLOOKUP(A75&amp;"aaaaaaaa",COPY!$S$2:$AA$1000,7,FALSE)," ")</f>
        <v xml:space="preserve"> </v>
      </c>
      <c r="AT75" s="90" t="str">
        <f>IFERROR(VLOOKUP(A75&amp;"aaaaaaaaa",COPY!$S$2:$AA$1000,7,FALSE)," ")</f>
        <v xml:space="preserve"> </v>
      </c>
      <c r="AU75" s="90" t="str">
        <f>IFERROR(VLOOKUP(A75&amp;"aaaaaaaaaa",COPY!$S$2:$AA$1000,7,FALSE)," ")</f>
        <v xml:space="preserve"> </v>
      </c>
      <c r="AV75" s="90" t="str">
        <f>IFERROR(VLOOKUP(A75&amp;"aaaaaaaaaaa",COPY!$S$2:$AA$1000,7,FALSE)," ")</f>
        <v xml:space="preserve"> </v>
      </c>
    </row>
    <row r="76" spans="1:48" x14ac:dyDescent="0.2">
      <c r="A76" s="75" t="str">
        <f>'REKAP PAJAK'!W113</f>
        <v/>
      </c>
      <c r="B76" s="75" t="str">
        <f>IF(LEN(A76)&gt;1,VLOOKUP(A76,COPY!$O$2:$R$1000,4,FALSE),"")</f>
        <v/>
      </c>
      <c r="C76" s="75" t="str">
        <f t="shared" si="6"/>
        <v xml:space="preserve"> </v>
      </c>
      <c r="D76" s="75" t="str">
        <f t="shared" si="7"/>
        <v xml:space="preserve"> </v>
      </c>
      <c r="E76" s="75" t="str">
        <f t="shared" si="8"/>
        <v xml:space="preserve"> </v>
      </c>
      <c r="F76" s="75" t="str">
        <f t="shared" si="9"/>
        <v xml:space="preserve"> </v>
      </c>
      <c r="G76" s="75" t="str">
        <f>IFERROR(TEXT(VLOOKUP(A76,COPY!$S$2:$W$1000,3,FALSE),"dd mmmm yyyy")," ")</f>
        <v xml:space="preserve"> </v>
      </c>
      <c r="H76" s="75" t="str">
        <f t="shared" si="10"/>
        <v xml:space="preserve"> </v>
      </c>
      <c r="I76" s="75" t="str">
        <f t="shared" si="11"/>
        <v xml:space="preserve"> </v>
      </c>
      <c r="J76" s="90" t="str">
        <f>IFERROR(VLOOKUP(A76,COPY!$S$2:$W$1000,4,FALSE)," ")</f>
        <v xml:space="preserve"> </v>
      </c>
      <c r="K76" s="75" t="str">
        <f>IFERROR(VLOOKUP(A76,COPY!$S$2:$W$1000,5,FALSE)," ")</f>
        <v xml:space="preserve"> </v>
      </c>
      <c r="L76" s="75" t="str">
        <f>IF(B76="","",IF(LEFT(B76,2)="Ma",(VLOOKUP(B76,'Rekap Gaji'!$C$12:$D$26,2,FALSE))&amp;" Untuk "&amp;(PROPER('Rekap Gaji'!$B$2)),IF(LEFT(B76,2)="Mg","Pembelian Material Bahan Bangunan",IF(LEFT(B76,2)="Me","Biaya Pembelanjaan Menejemen",IF(LEFT(B76,1)="G",VLOOKUP(A76,COPY!$S$2:$AA$1000,2,FALSE)&amp;"( "&amp;TEXT(VLOOKUP(B76,'Rekap Gaji'!$A$12:$I$26,5,FALSE),"dd-mm-yyyy")&amp;" "&amp;TEXT(VLOOKUP(B76,'Rekap Gaji'!$A$12:$I$26,6,FALSE)&amp;" "&amp;TEXT(VLOOKUP(B76,'Rekap Gaji'!$A$12:$I$26,7,FALSE),"dd-mm-yyyy")&amp;" )"," "))))))</f>
        <v/>
      </c>
      <c r="M76" s="75" t="str">
        <f>IF(OR(LEFT(B76,2)="mg",LEFT(B76,2)="mE"),VLOOKUP(A76,COPY!$S$2:$AA$1000,2,FALSE),IF(LEFT(B76,1)="G"," ",IF(LEFT(B76,2)="ma"," "," ")))</f>
        <v xml:space="preserve"> </v>
      </c>
      <c r="N76" s="75" t="str">
        <f>IFERROR(VLOOKUP($A$76&amp;"a",COPY!$S$2:$AA$1000,2,FALSE)," ")</f>
        <v xml:space="preserve"> </v>
      </c>
      <c r="O76" s="75" t="str">
        <f>IFERROR(VLOOKUP($A$76&amp;"aa",COPY!$S$2:$AA$1000,2,FALSE)," ")</f>
        <v xml:space="preserve"> </v>
      </c>
      <c r="P76" s="75" t="str">
        <f>IFERROR(VLOOKUP($A$76&amp;"aaa",COPY!$S$2:$AA$1000,2,FALSE)," ")</f>
        <v xml:space="preserve"> </v>
      </c>
      <c r="Q76" s="75" t="str">
        <f>IFERROR(VLOOKUP($A$76&amp;"aaaa",COPY!$S$2:$AA$1000,2,FALSE)," ")</f>
        <v xml:space="preserve"> </v>
      </c>
      <c r="R76" s="75" t="str">
        <f>IFERROR(VLOOKUP($A$76&amp;"aaaaa",COPY!$S$2:$AA$1000,2,FALSE)," ")</f>
        <v xml:space="preserve"> </v>
      </c>
      <c r="S76" s="75" t="str">
        <f>IFERROR(VLOOKUP($A$76&amp;"aaaaaa",COPY!$S$2:$AA$1000,2,FALSE)," ")</f>
        <v xml:space="preserve"> </v>
      </c>
      <c r="T76" s="75" t="str">
        <f>IFERROR(VLOOKUP($A$76&amp;"aaaaaaa",COPY!$S$2:$AA$1000,2,FALSE)," ")</f>
        <v xml:space="preserve"> </v>
      </c>
      <c r="U76" s="75" t="str">
        <f>IFERROR(VLOOKUP($A$76&amp;"aaaaaaaa",COPY!$S$2:$AA$1000,2,FALSE)," ")</f>
        <v xml:space="preserve"> </v>
      </c>
      <c r="V76" s="75" t="str">
        <f>IFERROR(VLOOKUP($A$76&amp;"aaaaaaaaa",COPY!$S$2:$AA$1000,2,FALSE)," ")</f>
        <v xml:space="preserve"> </v>
      </c>
      <c r="W76" s="75" t="str">
        <f>IFERROR(VLOOKUP($A$76&amp;"aaaaaaaaaa",COPY!$S$2:$AA$1000,2,FALSE)," ")</f>
        <v xml:space="preserve"> </v>
      </c>
      <c r="X76" s="75" t="str">
        <f>IFERROR(VLOOKUP($A$76&amp;"aaaaaaaaaaa",COPY!$S$2:$AA$1000,2,FALSE)," ")</f>
        <v xml:space="preserve"> </v>
      </c>
      <c r="Y76" s="90" t="str">
        <f>IF(OR(LEFT(B76,2)="mg",LEFT(B76,2)="mE"),VLOOKUP(A76,COPY!$S$2:$AA$1000,6,FALSE),IF(LEFT(B76,1)="G"," ",IF(LEFT(B76,2)="ma"," "," ")))</f>
        <v xml:space="preserve"> </v>
      </c>
      <c r="Z76" s="90" t="str">
        <f>IFERROR(VLOOKUP(A76&amp;"a",COPY!$S$2:$AA$1000,6,FALSE)," ")</f>
        <v xml:space="preserve"> </v>
      </c>
      <c r="AA76" s="90" t="str">
        <f>IFERROR(VLOOKUP(A76&amp;"aa",COPY!$S$2:$AA$1000,6,FALSE)," ")</f>
        <v xml:space="preserve"> </v>
      </c>
      <c r="AB76" s="90" t="str">
        <f>IFERROR(VLOOKUP(A76&amp;"aaa",COPY!$S$2:$AA$1000,6,FALSE)," ")</f>
        <v xml:space="preserve"> </v>
      </c>
      <c r="AC76" s="90" t="str">
        <f>IFERROR(VLOOKUP(A76&amp;"aaaa",COPY!$S$2:$AA$1000,6,FALSE)," ")</f>
        <v xml:space="preserve"> </v>
      </c>
      <c r="AD76" s="90" t="str">
        <f>IFERROR(VLOOKUP(A76&amp;"aaaaa",COPY!$S$2:$AA$1000,6,FALSE)," ")</f>
        <v xml:space="preserve"> </v>
      </c>
      <c r="AE76" s="90" t="str">
        <f>IFERROR(VLOOKUP(A76&amp;"aaaaaa",COPY!$S$2:$AA$1000,6,FALSE)," ")</f>
        <v xml:space="preserve"> </v>
      </c>
      <c r="AF76" s="90" t="str">
        <f>IFERROR(VLOOKUP(A76&amp;"aaaaaaa",COPY!$S$2:$AA$1000,6,FALSE)," ")</f>
        <v xml:space="preserve"> </v>
      </c>
      <c r="AG76" s="90" t="str">
        <f>IFERROR(VLOOKUP(A76&amp;"aaaaaaaa",COPY!$S$2:$AA$1000,6,FALSE)," ")</f>
        <v xml:space="preserve"> </v>
      </c>
      <c r="AH76" s="90" t="str">
        <f>IFERROR(VLOOKUP(A76&amp;"aaaaaaaaa",COPY!$S$2:$AA$1000,6,FALSE)," ")</f>
        <v xml:space="preserve"> </v>
      </c>
      <c r="AI76" s="90" t="str">
        <f>IFERROR(VLOOKUP(A76&amp;"aaaaaaaaaa",COPY!$S$2:$AA$1000,6,FALSE)," ")</f>
        <v xml:space="preserve"> </v>
      </c>
      <c r="AJ76" s="90" t="str">
        <f>IFERROR(VLOOKUP(A76&amp;"aaaaaaaaaaa",COPY!$S$2:$AA$1000,6,FALSE)," ")</f>
        <v xml:space="preserve"> </v>
      </c>
      <c r="AK76" s="90" t="str">
        <f>IF(LEFT(B76,2)="mg",VLOOKUP(A76,COPY!$S$2:$AA$1000,7,FALSE),IF(LEFT(B76,1)="G"," ",IF(LEFT(B76,2)="ma"," "," ")))</f>
        <v xml:space="preserve"> </v>
      </c>
      <c r="AL76" s="90" t="str">
        <f>IFERROR(VLOOKUP(A76&amp;"a",COPY!$S$2:$AA$1000,7,FALSE)," ")</f>
        <v xml:space="preserve"> </v>
      </c>
      <c r="AM76" s="90" t="str">
        <f>IFERROR(VLOOKUP(A76&amp;"aa",COPY!$S$2:$AA$1000,7,FALSE)," ")</f>
        <v xml:space="preserve"> </v>
      </c>
      <c r="AN76" s="90" t="str">
        <f>IFERROR(VLOOKUP(A76&amp;"aaa",COPY!$S$2:$AA$1000,7,FALSE)," ")</f>
        <v xml:space="preserve"> </v>
      </c>
      <c r="AO76" s="90" t="str">
        <f>IFERROR(VLOOKUP(A76&amp;"aaaa",COPY!$S$2:$AA$1000,7,FALSE)," ")</f>
        <v xml:space="preserve"> </v>
      </c>
      <c r="AP76" s="90" t="str">
        <f>IFERROR(VLOOKUP(A76&amp;"aaaaa",COPY!$S$2:$AA$1000,7,FALSE)," ")</f>
        <v xml:space="preserve"> </v>
      </c>
      <c r="AQ76" s="90" t="str">
        <f>IFERROR(VLOOKUP(A76&amp;"aaaaaa",COPY!$S$2:$AA$1000,7,FALSE)," ")</f>
        <v xml:space="preserve"> </v>
      </c>
      <c r="AR76" s="90" t="str">
        <f>IFERROR(VLOOKUP(A76&amp;"aaaaaaa",COPY!$S$2:$AA$1000,7,FALSE)," ")</f>
        <v xml:space="preserve"> </v>
      </c>
      <c r="AS76" s="90" t="str">
        <f>IFERROR(VLOOKUP(A76&amp;"aaaaaaaa",COPY!$S$2:$AA$1000,7,FALSE)," ")</f>
        <v xml:space="preserve"> </v>
      </c>
      <c r="AT76" s="90" t="str">
        <f>IFERROR(VLOOKUP(A76&amp;"aaaaaaaaa",COPY!$S$2:$AA$1000,7,FALSE)," ")</f>
        <v xml:space="preserve"> </v>
      </c>
      <c r="AU76" s="90" t="str">
        <f>IFERROR(VLOOKUP(A76&amp;"aaaaaaaaaa",COPY!$S$2:$AA$1000,7,FALSE)," ")</f>
        <v xml:space="preserve"> </v>
      </c>
      <c r="AV76" s="90" t="str">
        <f>IFERROR(VLOOKUP(A76&amp;"aaaaaaaaaaa",COPY!$S$2:$AA$1000,7,FALSE)," ")</f>
        <v xml:space="preserve"> </v>
      </c>
    </row>
    <row r="77" spans="1:48" x14ac:dyDescent="0.2">
      <c r="A77" s="75" t="str">
        <f>'REKAP PAJAK'!W114</f>
        <v/>
      </c>
      <c r="B77" s="75" t="str">
        <f>IF(LEN(A77)&gt;1,VLOOKUP(A77,COPY!$O$2:$R$1000,4,FALSE),"")</f>
        <v/>
      </c>
      <c r="C77" s="75" t="str">
        <f t="shared" si="6"/>
        <v xml:space="preserve"> </v>
      </c>
      <c r="D77" s="75" t="str">
        <f t="shared" si="7"/>
        <v xml:space="preserve"> </v>
      </c>
      <c r="E77" s="75" t="str">
        <f t="shared" si="8"/>
        <v xml:space="preserve"> </v>
      </c>
      <c r="F77" s="75" t="str">
        <f t="shared" si="9"/>
        <v xml:space="preserve"> </v>
      </c>
      <c r="G77" s="75" t="str">
        <f>IFERROR(TEXT(VLOOKUP(A77,COPY!$S$2:$W$1000,3,FALSE),"dd mmmm yyyy")," ")</f>
        <v xml:space="preserve"> </v>
      </c>
      <c r="H77" s="75" t="str">
        <f t="shared" si="10"/>
        <v xml:space="preserve"> </v>
      </c>
      <c r="I77" s="75" t="str">
        <f t="shared" si="11"/>
        <v xml:space="preserve"> </v>
      </c>
      <c r="J77" s="90" t="str">
        <f>IFERROR(VLOOKUP(A77,COPY!$S$2:$W$1000,4,FALSE)," ")</f>
        <v xml:space="preserve"> </v>
      </c>
      <c r="K77" s="75" t="str">
        <f>IFERROR(VLOOKUP(A77,COPY!$S$2:$W$1000,5,FALSE)," ")</f>
        <v xml:space="preserve"> </v>
      </c>
      <c r="L77" s="75" t="str">
        <f>IF(B77="","",IF(LEFT(B77,2)="Ma",(VLOOKUP(B77,'Rekap Gaji'!$C$12:$D$26,2,FALSE))&amp;" Untuk "&amp;(PROPER('Rekap Gaji'!$B$2)),IF(LEFT(B77,2)="Mg","Pembelian Material Bahan Bangunan",IF(LEFT(B77,2)="Me","Biaya Pembelanjaan Menejemen",IF(LEFT(B77,1)="G",VLOOKUP(A77,COPY!$S$2:$AA$1000,2,FALSE)&amp;"( "&amp;TEXT(VLOOKUP(B77,'Rekap Gaji'!$A$12:$I$26,5,FALSE),"dd-mm-yyyy")&amp;" "&amp;TEXT(VLOOKUP(B77,'Rekap Gaji'!$A$12:$I$26,6,FALSE)&amp;" "&amp;TEXT(VLOOKUP(B77,'Rekap Gaji'!$A$12:$I$26,7,FALSE),"dd-mm-yyyy")&amp;" )"," "))))))</f>
        <v/>
      </c>
      <c r="M77" s="75" t="str">
        <f>IF(OR(LEFT(B77,2)="mg",LEFT(B77,2)="mE"),VLOOKUP(A77,COPY!$S$2:$AA$1000,2,FALSE),IF(LEFT(B77,1)="G"," ",IF(LEFT(B77,2)="ma"," "," ")))</f>
        <v xml:space="preserve"> </v>
      </c>
      <c r="N77" s="75" t="str">
        <f>IFERROR(VLOOKUP($A$77&amp;"a",COPY!$S$2:$AA$1000,2,FALSE)," ")</f>
        <v xml:space="preserve"> </v>
      </c>
      <c r="O77" s="75" t="str">
        <f>IFERROR(VLOOKUP($A$77&amp;"aa",COPY!$S$2:$AA$1000,2,FALSE)," ")</f>
        <v xml:space="preserve"> </v>
      </c>
      <c r="P77" s="75" t="str">
        <f>IFERROR(VLOOKUP($A$77&amp;"aaa",COPY!$S$2:$AA$1000,2,FALSE)," ")</f>
        <v xml:space="preserve"> </v>
      </c>
      <c r="Q77" s="75" t="str">
        <f>IFERROR(VLOOKUP($A$77&amp;"aaaa",COPY!$S$2:$AA$1000,2,FALSE)," ")</f>
        <v xml:space="preserve"> </v>
      </c>
      <c r="R77" s="75" t="str">
        <f>IFERROR(VLOOKUP($A$77&amp;"aaaaa",COPY!$S$2:$AA$1000,2,FALSE)," ")</f>
        <v xml:space="preserve"> </v>
      </c>
      <c r="S77" s="75" t="str">
        <f>IFERROR(VLOOKUP($A$77&amp;"aaaaaa",COPY!$S$2:$AA$1000,2,FALSE)," ")</f>
        <v xml:space="preserve"> </v>
      </c>
      <c r="T77" s="75" t="str">
        <f>IFERROR(VLOOKUP($A$77&amp;"aaaaaaa",COPY!$S$2:$AA$1000,2,FALSE)," ")</f>
        <v xml:space="preserve"> </v>
      </c>
      <c r="U77" s="75" t="str">
        <f>IFERROR(VLOOKUP($A$77&amp;"aaaaaaaa",COPY!$S$2:$AA$1000,2,FALSE)," ")</f>
        <v xml:space="preserve"> </v>
      </c>
      <c r="V77" s="75" t="str">
        <f>IFERROR(VLOOKUP($A$77&amp;"aaaaaaaaa",COPY!$S$2:$AA$1000,2,FALSE)," ")</f>
        <v xml:space="preserve"> </v>
      </c>
      <c r="W77" s="75" t="str">
        <f>IFERROR(VLOOKUP($A$77&amp;"aaaaaaaaaa",COPY!$S$2:$AA$1000,2,FALSE)," ")</f>
        <v xml:space="preserve"> </v>
      </c>
      <c r="X77" s="75" t="str">
        <f>IFERROR(VLOOKUP($A$77&amp;"aaaaaaaaaaa",COPY!$S$2:$AA$1000,2,FALSE)," ")</f>
        <v xml:space="preserve"> </v>
      </c>
      <c r="Y77" s="90" t="str">
        <f>IF(OR(LEFT(B77,2)="mg",LEFT(B77,2)="mE"),VLOOKUP(A77,COPY!$S$2:$AA$1000,6,FALSE),IF(LEFT(B77,1)="G"," ",IF(LEFT(B77,2)="ma"," "," ")))</f>
        <v xml:space="preserve"> </v>
      </c>
      <c r="Z77" s="90" t="str">
        <f>IFERROR(VLOOKUP(A77&amp;"a",COPY!$S$2:$AA$1000,6,FALSE)," ")</f>
        <v xml:space="preserve"> </v>
      </c>
      <c r="AA77" s="90" t="str">
        <f>IFERROR(VLOOKUP(A77&amp;"aa",COPY!$S$2:$AA$1000,6,FALSE)," ")</f>
        <v xml:space="preserve"> </v>
      </c>
      <c r="AB77" s="90" t="str">
        <f>IFERROR(VLOOKUP(A77&amp;"aaa",COPY!$S$2:$AA$1000,6,FALSE)," ")</f>
        <v xml:space="preserve"> </v>
      </c>
      <c r="AC77" s="90" t="str">
        <f>IFERROR(VLOOKUP(A77&amp;"aaaa",COPY!$S$2:$AA$1000,6,FALSE)," ")</f>
        <v xml:space="preserve"> </v>
      </c>
      <c r="AD77" s="90" t="str">
        <f>IFERROR(VLOOKUP(A77&amp;"aaaaa",COPY!$S$2:$AA$1000,6,FALSE)," ")</f>
        <v xml:space="preserve"> </v>
      </c>
      <c r="AE77" s="90" t="str">
        <f>IFERROR(VLOOKUP(A77&amp;"aaaaaa",COPY!$S$2:$AA$1000,6,FALSE)," ")</f>
        <v xml:space="preserve"> </v>
      </c>
      <c r="AF77" s="90" t="str">
        <f>IFERROR(VLOOKUP(A77&amp;"aaaaaaa",COPY!$S$2:$AA$1000,6,FALSE)," ")</f>
        <v xml:space="preserve"> </v>
      </c>
      <c r="AG77" s="90" t="str">
        <f>IFERROR(VLOOKUP(A77&amp;"aaaaaaaa",COPY!$S$2:$AA$1000,6,FALSE)," ")</f>
        <v xml:space="preserve"> </v>
      </c>
      <c r="AH77" s="90" t="str">
        <f>IFERROR(VLOOKUP(A77&amp;"aaaaaaaaa",COPY!$S$2:$AA$1000,6,FALSE)," ")</f>
        <v xml:space="preserve"> </v>
      </c>
      <c r="AI77" s="90" t="str">
        <f>IFERROR(VLOOKUP(A77&amp;"aaaaaaaaaa",COPY!$S$2:$AA$1000,6,FALSE)," ")</f>
        <v xml:space="preserve"> </v>
      </c>
      <c r="AJ77" s="90" t="str">
        <f>IFERROR(VLOOKUP(A77&amp;"aaaaaaaaaaa",COPY!$S$2:$AA$1000,6,FALSE)," ")</f>
        <v xml:space="preserve"> </v>
      </c>
      <c r="AK77" s="90" t="str">
        <f>IF(LEFT(B77,2)="mg",VLOOKUP(A77,COPY!$S$2:$AA$1000,7,FALSE),IF(LEFT(B77,1)="G"," ",IF(LEFT(B77,2)="ma"," "," ")))</f>
        <v xml:space="preserve"> </v>
      </c>
      <c r="AL77" s="90" t="str">
        <f>IFERROR(VLOOKUP(A77&amp;"a",COPY!$S$2:$AA$1000,7,FALSE)," ")</f>
        <v xml:space="preserve"> </v>
      </c>
      <c r="AM77" s="90" t="str">
        <f>IFERROR(VLOOKUP(A77&amp;"aa",COPY!$S$2:$AA$1000,7,FALSE)," ")</f>
        <v xml:space="preserve"> </v>
      </c>
      <c r="AN77" s="90" t="str">
        <f>IFERROR(VLOOKUP(A77&amp;"aaa",COPY!$S$2:$AA$1000,7,FALSE)," ")</f>
        <v xml:space="preserve"> </v>
      </c>
      <c r="AO77" s="90" t="str">
        <f>IFERROR(VLOOKUP(A77&amp;"aaaa",COPY!$S$2:$AA$1000,7,FALSE)," ")</f>
        <v xml:space="preserve"> </v>
      </c>
      <c r="AP77" s="90" t="str">
        <f>IFERROR(VLOOKUP(A77&amp;"aaaaa",COPY!$S$2:$AA$1000,7,FALSE)," ")</f>
        <v xml:space="preserve"> </v>
      </c>
      <c r="AQ77" s="90" t="str">
        <f>IFERROR(VLOOKUP(A77&amp;"aaaaaa",COPY!$S$2:$AA$1000,7,FALSE)," ")</f>
        <v xml:space="preserve"> </v>
      </c>
      <c r="AR77" s="90" t="str">
        <f>IFERROR(VLOOKUP(A77&amp;"aaaaaaa",COPY!$S$2:$AA$1000,7,FALSE)," ")</f>
        <v xml:space="preserve"> </v>
      </c>
      <c r="AS77" s="90" t="str">
        <f>IFERROR(VLOOKUP(A77&amp;"aaaaaaaa",COPY!$S$2:$AA$1000,7,FALSE)," ")</f>
        <v xml:space="preserve"> </v>
      </c>
      <c r="AT77" s="90" t="str">
        <f>IFERROR(VLOOKUP(A77&amp;"aaaaaaaaa",COPY!$S$2:$AA$1000,7,FALSE)," ")</f>
        <v xml:space="preserve"> </v>
      </c>
      <c r="AU77" s="90" t="str">
        <f>IFERROR(VLOOKUP(A77&amp;"aaaaaaaaaa",COPY!$S$2:$AA$1000,7,FALSE)," ")</f>
        <v xml:space="preserve"> </v>
      </c>
      <c r="AV77" s="90" t="str">
        <f>IFERROR(VLOOKUP(A77&amp;"aaaaaaaaaaa",COPY!$S$2:$AA$1000,7,FALSE)," ")</f>
        <v xml:space="preserve"> </v>
      </c>
    </row>
    <row r="78" spans="1:48" x14ac:dyDescent="0.2">
      <c r="A78" s="75" t="str">
        <f>'REKAP PAJAK'!W115</f>
        <v/>
      </c>
      <c r="B78" s="75" t="str">
        <f>IF(LEN(A78)&gt;1,VLOOKUP(A78,COPY!$O$2:$R$1000,4,FALSE),"")</f>
        <v/>
      </c>
      <c r="C78" s="75" t="str">
        <f t="shared" si="6"/>
        <v xml:space="preserve"> </v>
      </c>
      <c r="D78" s="75" t="str">
        <f t="shared" si="7"/>
        <v xml:space="preserve"> </v>
      </c>
      <c r="E78" s="75" t="str">
        <f t="shared" si="8"/>
        <v xml:space="preserve"> </v>
      </c>
      <c r="F78" s="75" t="str">
        <f t="shared" si="9"/>
        <v xml:space="preserve"> </v>
      </c>
      <c r="G78" s="75" t="str">
        <f>IFERROR(TEXT(VLOOKUP(A78,COPY!$S$2:$W$1000,3,FALSE),"dd-mmmm-yyyy")," ")</f>
        <v xml:space="preserve"> </v>
      </c>
      <c r="H78" s="75" t="str">
        <f t="shared" si="10"/>
        <v xml:space="preserve"> </v>
      </c>
      <c r="I78" s="75" t="str">
        <f t="shared" si="11"/>
        <v xml:space="preserve"> </v>
      </c>
      <c r="J78" s="90" t="str">
        <f>IFERROR(VLOOKUP(A78,COPY!$S$2:$W$1000,4,FALSE)," ")</f>
        <v xml:space="preserve"> </v>
      </c>
      <c r="K78" s="75" t="str">
        <f>IFERROR(VLOOKUP(A78,COPY!$S$2:$W$1000,5,FALSE)," ")</f>
        <v xml:space="preserve"> </v>
      </c>
      <c r="L78" s="75" t="str">
        <f>IF(B78="","",IF(LEFT(B78,2)="Ma",(VLOOKUP(B78,'Rekap Gaji'!$C$12:$D$26,2,FALSE))&amp;" Untuk "&amp;(PROPER('Rekap Gaji'!$B$2)),IF(LEFT(B78,2)="Mg","Pembelian Material Bahan Bangunan",IF(LEFT(B78,2)="Me","Biaya Pembelanjaan Menejemen",IF(LEFT(B78,1)="G",VLOOKUP(A78,COPY!$S$2:$AA$1000,2,FALSE)&amp;"( "&amp;TEXT(VLOOKUP(B78,'Rekap Gaji'!$A$12:$I$26,5,FALSE),"dd-mm-yyyy")&amp;" "&amp;TEXT(VLOOKUP(B78,'Rekap Gaji'!$A$12:$I$26,6,FALSE)&amp;" "&amp;TEXT(VLOOKUP(B78,'Rekap Gaji'!$A$12:$I$26,7,FALSE),"dd-mm-yyyy")&amp;" )"," "))))))</f>
        <v/>
      </c>
      <c r="M78" s="75" t="str">
        <f>IF(OR(LEFT(B78,2)="mg",LEFT(B78,2)="mE"),VLOOKUP(A78,COPY!$S$2:$AA$1000,2,FALSE),IF(LEFT(B78,1)="G"," ",IF(LEFT(B78,2)="ma"," "," ")))</f>
        <v xml:space="preserve"> </v>
      </c>
      <c r="N78" s="75" t="str">
        <f>IFERROR(VLOOKUP($A$78&amp;"a",COPY!$S$2:$AA$1000,2,FALSE)," ")</f>
        <v xml:space="preserve"> </v>
      </c>
      <c r="O78" s="75" t="str">
        <f>IFERROR(VLOOKUP($A$78&amp;"aa",COPY!$S$2:$AA$1000,2,FALSE)," ")</f>
        <v xml:space="preserve"> </v>
      </c>
      <c r="P78" s="75" t="str">
        <f>IFERROR(VLOOKUP($A$78&amp;"aaa",COPY!$S$2:$AA$1000,2,FALSE)," ")</f>
        <v xml:space="preserve"> </v>
      </c>
      <c r="Q78" s="75" t="str">
        <f>IFERROR(VLOOKUP($A$78&amp;"aaaa",COPY!$S$2:$AA$1000,2,FALSE)," ")</f>
        <v xml:space="preserve"> </v>
      </c>
      <c r="R78" s="75" t="str">
        <f>IFERROR(VLOOKUP($A$78&amp;"aaaaa",COPY!$S$2:$AA$1000,2,FALSE)," ")</f>
        <v xml:space="preserve"> </v>
      </c>
      <c r="S78" s="75" t="str">
        <f>IFERROR(VLOOKUP($A$78&amp;"aaaaaa",COPY!$S$2:$AA$1000,2,FALSE)," ")</f>
        <v xml:space="preserve"> </v>
      </c>
      <c r="T78" s="75" t="str">
        <f>IFERROR(VLOOKUP($A$78&amp;"aaaaaaa",COPY!$S$2:$AA$1000,2,FALSE)," ")</f>
        <v xml:space="preserve"> </v>
      </c>
      <c r="U78" s="75" t="str">
        <f>IFERROR(VLOOKUP($A$78&amp;"aaaaaaaa",COPY!$S$2:$AA$1000,2,FALSE)," ")</f>
        <v xml:space="preserve"> </v>
      </c>
      <c r="V78" s="75" t="str">
        <f>IFERROR(VLOOKUP($A$78&amp;"aaaaaaaaa",COPY!$S$2:$AA$1000,2,FALSE)," ")</f>
        <v xml:space="preserve"> </v>
      </c>
      <c r="W78" s="75" t="str">
        <f>IFERROR(VLOOKUP($A$78&amp;"aaaaaaaaaa",COPY!$S$2:$AA$1000,2,FALSE)," ")</f>
        <v xml:space="preserve"> </v>
      </c>
      <c r="X78" s="75" t="str">
        <f>IFERROR(VLOOKUP($A$78&amp;"aaaaaaaaaaa",COPY!$S$2:$AA$1000,2,FALSE)," ")</f>
        <v xml:space="preserve"> </v>
      </c>
      <c r="Y78" s="90" t="str">
        <f>IF(OR(LEFT(B78,2)="mg",LEFT(B78,2)="mE"),VLOOKUP(A78,COPY!$S$2:$AA$1000,6,FALSE),IF(LEFT(B78,1)="G"," ",IF(LEFT(B78,2)="ma"," "," ")))</f>
        <v xml:space="preserve"> </v>
      </c>
      <c r="Z78" s="90" t="str">
        <f>IFERROR(VLOOKUP(A78&amp;"a",COPY!$S$2:$AA$1000,6,FALSE)," ")</f>
        <v xml:space="preserve"> </v>
      </c>
      <c r="AA78" s="90" t="str">
        <f>IFERROR(VLOOKUP(A78&amp;"aa",COPY!$S$2:$AA$1000,6,FALSE)," ")</f>
        <v xml:space="preserve"> </v>
      </c>
      <c r="AB78" s="90" t="str">
        <f>IFERROR(VLOOKUP(A78&amp;"aaa",COPY!$S$2:$AA$1000,6,FALSE)," ")</f>
        <v xml:space="preserve"> </v>
      </c>
      <c r="AC78" s="90" t="str">
        <f>IFERROR(VLOOKUP(A78&amp;"aaaa",COPY!$S$2:$AA$1000,6,FALSE)," ")</f>
        <v xml:space="preserve"> </v>
      </c>
      <c r="AD78" s="90" t="str">
        <f>IFERROR(VLOOKUP(A78&amp;"aaaaa",COPY!$S$2:$AA$1000,6,FALSE)," ")</f>
        <v xml:space="preserve"> </v>
      </c>
      <c r="AE78" s="90" t="str">
        <f>IFERROR(VLOOKUP(A78&amp;"aaaaaa",COPY!$S$2:$AA$1000,6,FALSE)," ")</f>
        <v xml:space="preserve"> </v>
      </c>
      <c r="AF78" s="90" t="str">
        <f>IFERROR(VLOOKUP(A78&amp;"aaaaaaa",COPY!$S$2:$AA$1000,6,FALSE)," ")</f>
        <v xml:space="preserve"> </v>
      </c>
      <c r="AG78" s="90" t="str">
        <f>IFERROR(VLOOKUP(A78&amp;"aaaaaaaa",COPY!$S$2:$AA$1000,6,FALSE)," ")</f>
        <v xml:space="preserve"> </v>
      </c>
      <c r="AH78" s="90" t="str">
        <f>IFERROR(VLOOKUP(A78&amp;"aaaaaaaaa",COPY!$S$2:$AA$1000,6,FALSE)," ")</f>
        <v xml:space="preserve"> </v>
      </c>
      <c r="AI78" s="90" t="str">
        <f>IFERROR(VLOOKUP(A78&amp;"aaaaaaaaaa",COPY!$S$2:$AA$1000,6,FALSE)," ")</f>
        <v xml:space="preserve"> </v>
      </c>
      <c r="AJ78" s="90" t="str">
        <f>IFERROR(VLOOKUP(A78&amp;"aaaaaaaaaaa",COPY!$S$2:$AA$1000,6,FALSE)," ")</f>
        <v xml:space="preserve"> </v>
      </c>
      <c r="AK78" s="90" t="str">
        <f>IF(LEFT(B78,2)="mg",VLOOKUP(A78,COPY!$S$2:$AA$1000,7,FALSE),IF(LEFT(B78,1)="G"," ",IF(LEFT(B78,2)="ma"," "," ")))</f>
        <v xml:space="preserve"> </v>
      </c>
      <c r="AL78" s="90" t="str">
        <f>IFERROR(VLOOKUP(A78&amp;"a",COPY!$S$2:$AA$1000,7,FALSE)," ")</f>
        <v xml:space="preserve"> </v>
      </c>
      <c r="AM78" s="90" t="str">
        <f>IFERROR(VLOOKUP(A78&amp;"aa",COPY!$S$2:$AA$1000,7,FALSE)," ")</f>
        <v xml:space="preserve"> </v>
      </c>
      <c r="AN78" s="90" t="str">
        <f>IFERROR(VLOOKUP(A78&amp;"aaa",COPY!$S$2:$AA$1000,7,FALSE)," ")</f>
        <v xml:space="preserve"> </v>
      </c>
      <c r="AO78" s="90" t="str">
        <f>IFERROR(VLOOKUP(A78&amp;"aaaa",COPY!$S$2:$AA$1000,7,FALSE)," ")</f>
        <v xml:space="preserve"> </v>
      </c>
      <c r="AP78" s="90" t="str">
        <f>IFERROR(VLOOKUP(A78&amp;"aaaaa",COPY!$S$2:$AA$1000,7,FALSE)," ")</f>
        <v xml:space="preserve"> </v>
      </c>
      <c r="AQ78" s="90" t="str">
        <f>IFERROR(VLOOKUP(A78&amp;"aaaaaa",COPY!$S$2:$AA$1000,7,FALSE)," ")</f>
        <v xml:space="preserve"> </v>
      </c>
      <c r="AR78" s="90" t="str">
        <f>IFERROR(VLOOKUP(A78&amp;"aaaaaaa",COPY!$S$2:$AA$1000,7,FALSE)," ")</f>
        <v xml:space="preserve"> </v>
      </c>
      <c r="AS78" s="90" t="str">
        <f>IFERROR(VLOOKUP(A78&amp;"aaaaaaaa",COPY!$S$2:$AA$1000,7,FALSE)," ")</f>
        <v xml:space="preserve"> </v>
      </c>
      <c r="AT78" s="90" t="str">
        <f>IFERROR(VLOOKUP(A78&amp;"aaaaaaaaa",COPY!$S$2:$AA$1000,7,FALSE)," ")</f>
        <v xml:space="preserve"> </v>
      </c>
      <c r="AU78" s="90" t="str">
        <f>IFERROR(VLOOKUP(A78&amp;"aaaaaaaaaa",COPY!$S$2:$AA$1000,7,FALSE)," ")</f>
        <v xml:space="preserve"> </v>
      </c>
      <c r="AV78" s="90" t="str">
        <f>IFERROR(VLOOKUP(A78&amp;"aaaaaaaaaaa",COPY!$S$2:$AA$1000,7,FALSE)," ")</f>
        <v xml:space="preserve"> </v>
      </c>
    </row>
    <row r="79" spans="1:48" x14ac:dyDescent="0.2">
      <c r="A79" s="75" t="str">
        <f>'REKAP PAJAK'!W116</f>
        <v/>
      </c>
      <c r="B79" s="75" t="str">
        <f>IF(LEN(A79)&gt;1,VLOOKUP(A79,COPY!$O$2:$R$1000,4,FALSE),"")</f>
        <v/>
      </c>
      <c r="C79" s="75" t="str">
        <f t="shared" si="6"/>
        <v xml:space="preserve"> </v>
      </c>
      <c r="D79" s="75" t="str">
        <f t="shared" si="7"/>
        <v xml:space="preserve"> </v>
      </c>
      <c r="E79" s="75" t="str">
        <f t="shared" si="8"/>
        <v xml:space="preserve"> </v>
      </c>
      <c r="F79" s="75" t="str">
        <f t="shared" si="9"/>
        <v xml:space="preserve"> </v>
      </c>
      <c r="G79" s="75" t="str">
        <f>IFERROR(TEXT(VLOOKUP(A79,COPY!$S$2:$W$1000,3,FALSE),"dd-mmmm-yyyy")," ")</f>
        <v xml:space="preserve"> </v>
      </c>
      <c r="H79" s="75" t="str">
        <f t="shared" si="10"/>
        <v xml:space="preserve"> </v>
      </c>
      <c r="I79" s="75" t="str">
        <f t="shared" si="11"/>
        <v xml:space="preserve"> </v>
      </c>
      <c r="J79" s="90" t="str">
        <f>IFERROR(VLOOKUP(A79,COPY!$S$2:$W$1000,4,FALSE)," ")</f>
        <v xml:space="preserve"> </v>
      </c>
      <c r="K79" s="75" t="str">
        <f>IFERROR(VLOOKUP(A79,COPY!$S$2:$W$1000,5,FALSE)," ")</f>
        <v xml:space="preserve"> </v>
      </c>
      <c r="L79" s="75" t="str">
        <f>IF(B79="","",IF(LEFT(B79,2)="Ma",(VLOOKUP(B79,'Rekap Gaji'!$C$12:$D$26,2,FALSE))&amp;" Untuk "&amp;(PROPER('Rekap Gaji'!$B$2)),IF(LEFT(B79,2)="Mg","Pembelian Material Bahan Bangunan",IF(LEFT(B79,2)="Me","Biaya Pembelanjaan Menejemen",IF(LEFT(B79,1)="G",VLOOKUP(A79,COPY!$S$2:$AA$1000,2,FALSE)&amp;"( "&amp;TEXT(VLOOKUP(B79,'Rekap Gaji'!$A$12:$I$26,5,FALSE),"dd-mm-yyyy")&amp;" "&amp;TEXT(VLOOKUP(B79,'Rekap Gaji'!$A$12:$I$26,6,FALSE)&amp;" "&amp;TEXT(VLOOKUP(B79,'Rekap Gaji'!$A$12:$I$26,7,FALSE),"dd-mm-yyyy")&amp;" )"," "))))))</f>
        <v/>
      </c>
      <c r="M79" s="75" t="str">
        <f>IF(OR(LEFT(B79,2)="mg",LEFT(B79,2)="mE"),VLOOKUP(A79,COPY!$S$2:$AA$1000,2,FALSE),IF(LEFT(B79,1)="G"," ",IF(LEFT(B79,2)="ma"," "," ")))</f>
        <v xml:space="preserve"> </v>
      </c>
      <c r="N79" s="75" t="str">
        <f>IFERROR(VLOOKUP($A$79&amp;"a",COPY!$S$2:$AA$1000,2,FALSE)," ")</f>
        <v xml:space="preserve"> </v>
      </c>
      <c r="O79" s="75" t="str">
        <f>IFERROR(VLOOKUP($A$79&amp;"aa",COPY!$S$2:$AA$1000,2,FALSE)," ")</f>
        <v xml:space="preserve"> </v>
      </c>
      <c r="P79" s="75" t="str">
        <f>IFERROR(VLOOKUP($A$79&amp;"aaa",COPY!$S$2:$AA$1000,2,FALSE)," ")</f>
        <v xml:space="preserve"> </v>
      </c>
      <c r="Q79" s="75" t="str">
        <f>IFERROR(VLOOKUP($A$79&amp;"aaaa",COPY!$S$2:$AA$1000,2,FALSE)," ")</f>
        <v xml:space="preserve"> </v>
      </c>
      <c r="R79" s="75" t="str">
        <f>IFERROR(VLOOKUP($A$79&amp;"aaaaa",COPY!$S$2:$AA$1000,2,FALSE)," ")</f>
        <v xml:space="preserve"> </v>
      </c>
      <c r="S79" s="75" t="str">
        <f>IFERROR(VLOOKUP($A$79&amp;"aaaaaa",COPY!$S$2:$AA$1000,2,FALSE)," ")</f>
        <v xml:space="preserve"> </v>
      </c>
      <c r="T79" s="75" t="str">
        <f>IFERROR(VLOOKUP($A$79&amp;"aaaaaaa",COPY!$S$2:$AA$1000,2,FALSE)," ")</f>
        <v xml:space="preserve"> </v>
      </c>
      <c r="U79" s="75" t="str">
        <f>IFERROR(VLOOKUP($A$79&amp;"aaaaaaaa",COPY!$S$2:$AA$1000,2,FALSE)," ")</f>
        <v xml:space="preserve"> </v>
      </c>
      <c r="V79" s="75" t="str">
        <f>IFERROR(VLOOKUP($A$79&amp;"aaaaaaaaa",COPY!$S$2:$AA$1000,2,FALSE)," ")</f>
        <v xml:space="preserve"> </v>
      </c>
      <c r="W79" s="75" t="str">
        <f>IFERROR(VLOOKUP($A$79&amp;"aaaaaaaaaa",COPY!$S$2:$AA$1000,2,FALSE)," ")</f>
        <v xml:space="preserve"> </v>
      </c>
      <c r="X79" s="75" t="str">
        <f>IFERROR(VLOOKUP($A$79&amp;"aaaaaaaaaaa",COPY!$S$2:$AA$1000,2,FALSE)," ")</f>
        <v xml:space="preserve"> </v>
      </c>
      <c r="Y79" s="90" t="str">
        <f>IF(OR(LEFT(B79,2)="mg",LEFT(B79,2)="mE"),VLOOKUP(A79,COPY!$S$2:$AA$1000,6,FALSE),IF(LEFT(B79,1)="G"," ",IF(LEFT(B79,2)="ma"," "," ")))</f>
        <v xml:space="preserve"> </v>
      </c>
      <c r="Z79" s="90" t="str">
        <f>IFERROR(VLOOKUP(A79&amp;"a",COPY!$S$2:$AA$1000,6,FALSE)," ")</f>
        <v xml:space="preserve"> </v>
      </c>
      <c r="AA79" s="90" t="str">
        <f>IFERROR(VLOOKUP(A79&amp;"aa",COPY!$S$2:$AA$1000,6,FALSE)," ")</f>
        <v xml:space="preserve"> </v>
      </c>
      <c r="AB79" s="90" t="str">
        <f>IFERROR(VLOOKUP(A79&amp;"aaa",COPY!$S$2:$AA$1000,6,FALSE)," ")</f>
        <v xml:space="preserve"> </v>
      </c>
      <c r="AC79" s="90" t="str">
        <f>IFERROR(VLOOKUP(A79&amp;"aaaa",COPY!$S$2:$AA$1000,6,FALSE)," ")</f>
        <v xml:space="preserve"> </v>
      </c>
      <c r="AD79" s="90" t="str">
        <f>IFERROR(VLOOKUP(A79&amp;"aaaaa",COPY!$S$2:$AA$1000,6,FALSE)," ")</f>
        <v xml:space="preserve"> </v>
      </c>
      <c r="AE79" s="90" t="str">
        <f>IFERROR(VLOOKUP(A79&amp;"aaaaaa",COPY!$S$2:$AA$1000,6,FALSE)," ")</f>
        <v xml:space="preserve"> </v>
      </c>
      <c r="AF79" s="90" t="str">
        <f>IFERROR(VLOOKUP(A79&amp;"aaaaaaa",COPY!$S$2:$AA$1000,6,FALSE)," ")</f>
        <v xml:space="preserve"> </v>
      </c>
      <c r="AG79" s="90" t="str">
        <f>IFERROR(VLOOKUP(A79&amp;"aaaaaaaa",COPY!$S$2:$AA$1000,6,FALSE)," ")</f>
        <v xml:space="preserve"> </v>
      </c>
      <c r="AH79" s="90" t="str">
        <f>IFERROR(VLOOKUP(A79&amp;"aaaaaaaaa",COPY!$S$2:$AA$1000,6,FALSE)," ")</f>
        <v xml:space="preserve"> </v>
      </c>
      <c r="AI79" s="90" t="str">
        <f>IFERROR(VLOOKUP(A79&amp;"aaaaaaaaaa",COPY!$S$2:$AA$1000,6,FALSE)," ")</f>
        <v xml:space="preserve"> </v>
      </c>
      <c r="AJ79" s="90" t="str">
        <f>IFERROR(VLOOKUP(A79&amp;"aaaaaaaaaaa",COPY!$S$2:$AA$1000,6,FALSE)," ")</f>
        <v xml:space="preserve"> </v>
      </c>
      <c r="AK79" s="90" t="str">
        <f>IF(LEFT(B79,2)="mg",VLOOKUP(A79,COPY!$S$2:$AA$1000,7,FALSE),IF(LEFT(B79,1)="G"," ",IF(LEFT(B79,2)="ma"," "," ")))</f>
        <v xml:space="preserve"> </v>
      </c>
      <c r="AL79" s="90" t="str">
        <f>IFERROR(VLOOKUP(A79&amp;"a",COPY!$S$2:$AA$1000,7,FALSE)," ")</f>
        <v xml:space="preserve"> </v>
      </c>
      <c r="AM79" s="90" t="str">
        <f>IFERROR(VLOOKUP(A79&amp;"aa",COPY!$S$2:$AA$1000,7,FALSE)," ")</f>
        <v xml:space="preserve"> </v>
      </c>
      <c r="AN79" s="90" t="str">
        <f>IFERROR(VLOOKUP(A79&amp;"aaa",COPY!$S$2:$AA$1000,7,FALSE)," ")</f>
        <v xml:space="preserve"> </v>
      </c>
      <c r="AO79" s="90" t="str">
        <f>IFERROR(VLOOKUP(A79&amp;"aaaa",COPY!$S$2:$AA$1000,7,FALSE)," ")</f>
        <v xml:space="preserve"> </v>
      </c>
      <c r="AP79" s="90" t="str">
        <f>IFERROR(VLOOKUP(A79&amp;"aaaaa",COPY!$S$2:$AA$1000,7,FALSE)," ")</f>
        <v xml:space="preserve"> </v>
      </c>
      <c r="AQ79" s="90" t="str">
        <f>IFERROR(VLOOKUP(A79&amp;"aaaaaa",COPY!$S$2:$AA$1000,7,FALSE)," ")</f>
        <v xml:space="preserve"> </v>
      </c>
      <c r="AR79" s="90" t="str">
        <f>IFERROR(VLOOKUP(A79&amp;"aaaaaaa",COPY!$S$2:$AA$1000,7,FALSE)," ")</f>
        <v xml:space="preserve"> </v>
      </c>
      <c r="AS79" s="90" t="str">
        <f>IFERROR(VLOOKUP(A79&amp;"aaaaaaaa",COPY!$S$2:$AA$1000,7,FALSE)," ")</f>
        <v xml:space="preserve"> </v>
      </c>
      <c r="AT79" s="90" t="str">
        <f>IFERROR(VLOOKUP(A79&amp;"aaaaaaaaa",COPY!$S$2:$AA$1000,7,FALSE)," ")</f>
        <v xml:space="preserve"> </v>
      </c>
      <c r="AU79" s="90" t="str">
        <f>IFERROR(VLOOKUP(A79&amp;"aaaaaaaaaa",COPY!$S$2:$AA$1000,7,FALSE)," ")</f>
        <v xml:space="preserve"> </v>
      </c>
      <c r="AV79" s="90" t="str">
        <f>IFERROR(VLOOKUP(A79&amp;"aaaaaaaaaaa",COPY!$S$2:$AA$1000,7,FALSE)," ")</f>
        <v xml:space="preserve"> </v>
      </c>
    </row>
    <row r="80" spans="1:48" x14ac:dyDescent="0.2">
      <c r="A80" s="75" t="str">
        <f>'REKAP PAJAK'!W117</f>
        <v/>
      </c>
      <c r="B80" s="75" t="str">
        <f>IF(LEN(A80)&gt;1,VLOOKUP(A80,COPY!$O$2:$R$1000,4,FALSE),"")</f>
        <v/>
      </c>
      <c r="C80" s="75" t="str">
        <f t="shared" si="6"/>
        <v xml:space="preserve"> </v>
      </c>
      <c r="D80" s="75" t="str">
        <f t="shared" si="7"/>
        <v xml:space="preserve"> </v>
      </c>
      <c r="E80" s="75" t="str">
        <f t="shared" si="8"/>
        <v xml:space="preserve"> </v>
      </c>
      <c r="F80" s="75" t="str">
        <f t="shared" si="9"/>
        <v xml:space="preserve"> </v>
      </c>
      <c r="G80" s="75" t="str">
        <f>IFERROR(TEXT(VLOOKUP(A80,COPY!$S$2:$W$1000,3,FALSE),"dd-mmmm-yyyy")," ")</f>
        <v xml:space="preserve"> </v>
      </c>
      <c r="H80" s="75" t="str">
        <f t="shared" si="10"/>
        <v xml:space="preserve"> </v>
      </c>
      <c r="I80" s="75" t="str">
        <f t="shared" si="11"/>
        <v xml:space="preserve"> </v>
      </c>
      <c r="J80" s="90" t="str">
        <f>IFERROR(VLOOKUP(A80,COPY!$S$2:$W$1000,4,FALSE)," ")</f>
        <v xml:space="preserve"> </v>
      </c>
      <c r="K80" s="75" t="str">
        <f>IFERROR(VLOOKUP(A80,COPY!$S$2:$W$1000,5,FALSE)," ")</f>
        <v xml:space="preserve"> </v>
      </c>
      <c r="L80" s="75" t="str">
        <f>IF(B80="","",IF(LEFT(B80,2)="Ma",(VLOOKUP(B80,'Rekap Gaji'!$C$12:$D$26,2,FALSE))&amp;" Untuk "&amp;(PROPER('Rekap Gaji'!$B$2)),IF(LEFT(B80,2)="Mg","Pembelian Material Bahan Bangunan",IF(LEFT(B80,2)="Me","Biaya Pembelanjaan Menejemen",IF(LEFT(B80,1)="G",VLOOKUP(A80,COPY!$S$2:$AA$1000,2,FALSE)&amp;"( "&amp;TEXT(VLOOKUP(B80,'Rekap Gaji'!$A$12:$I$26,5,FALSE),"dd-mm-yyyy")&amp;" "&amp;TEXT(VLOOKUP(B80,'Rekap Gaji'!$A$12:$I$26,6,FALSE)&amp;" "&amp;TEXT(VLOOKUP(B80,'Rekap Gaji'!$A$12:$I$26,7,FALSE),"dd-mm-yyyy")&amp;" )"," "))))))</f>
        <v/>
      </c>
      <c r="M80" s="75" t="str">
        <f>IF(OR(LEFT(B80,2)="mg",LEFT(B80,2)="mE"),VLOOKUP(A80,COPY!$S$2:$AA$1000,2,FALSE),IF(LEFT(B80,1)="G"," ",IF(LEFT(B80,2)="ma"," "," ")))</f>
        <v xml:space="preserve"> </v>
      </c>
      <c r="N80" s="75" t="str">
        <f>IFERROR(VLOOKUP($A$80&amp;"a",COPY!$S$2:$AA$1000,2,FALSE)," ")</f>
        <v xml:space="preserve"> </v>
      </c>
      <c r="O80" s="75" t="str">
        <f>IFERROR(VLOOKUP($A$80&amp;"aa",COPY!$S$2:$AA$1000,2,FALSE)," ")</f>
        <v xml:space="preserve"> </v>
      </c>
      <c r="P80" s="75" t="str">
        <f>IFERROR(VLOOKUP($A$80&amp;"aaa",COPY!$S$2:$AA$1000,2,FALSE)," ")</f>
        <v xml:space="preserve"> </v>
      </c>
      <c r="Q80" s="75" t="str">
        <f>IFERROR(VLOOKUP($A$80&amp;"aaaa",COPY!$S$2:$AA$1000,2,FALSE)," ")</f>
        <v xml:space="preserve"> </v>
      </c>
      <c r="R80" s="75" t="str">
        <f>IFERROR(VLOOKUP($A$80&amp;"aaaaa",COPY!$S$2:$AA$1000,2,FALSE)," ")</f>
        <v xml:space="preserve"> </v>
      </c>
      <c r="S80" s="75" t="str">
        <f>IFERROR(VLOOKUP($A$80&amp;"aaaaaa",COPY!$S$2:$AA$1000,2,FALSE)," ")</f>
        <v xml:space="preserve"> </v>
      </c>
      <c r="T80" s="75" t="str">
        <f>IFERROR(VLOOKUP($A$80&amp;"aaaaaaa",COPY!$S$2:$AA$1000,2,FALSE)," ")</f>
        <v xml:space="preserve"> </v>
      </c>
      <c r="U80" s="75" t="str">
        <f>IFERROR(VLOOKUP($A$80&amp;"aaaaaaaa",COPY!$S$2:$AA$1000,2,FALSE)," ")</f>
        <v xml:space="preserve"> </v>
      </c>
      <c r="V80" s="75" t="str">
        <f>IFERROR(VLOOKUP($A$80&amp;"aaaaaaaaa",COPY!$S$2:$AA$1000,2,FALSE)," ")</f>
        <v xml:space="preserve"> </v>
      </c>
      <c r="W80" s="75" t="str">
        <f>IFERROR(VLOOKUP($A$80&amp;"aaaaaaaaaa",COPY!$S$2:$AA$1000,2,FALSE)," ")</f>
        <v xml:space="preserve"> </v>
      </c>
      <c r="X80" s="75" t="str">
        <f>IFERROR(VLOOKUP($A$80&amp;"aaaaaaaaaaa",COPY!$S$2:$AA$1000,2,FALSE)," ")</f>
        <v xml:space="preserve"> </v>
      </c>
      <c r="Y80" s="90" t="str">
        <f>IF(OR(LEFT(B80,2)="mg",LEFT(B80,2)="mE"),VLOOKUP(A80,COPY!$S$2:$AA$1000,6,FALSE),IF(LEFT(B80,1)="G"," ",IF(LEFT(B80,2)="ma"," "," ")))</f>
        <v xml:space="preserve"> </v>
      </c>
      <c r="Z80" s="90" t="str">
        <f>IFERROR(VLOOKUP(A80&amp;"a",COPY!$S$2:$AA$1000,6,FALSE)," ")</f>
        <v xml:space="preserve"> </v>
      </c>
      <c r="AA80" s="90" t="str">
        <f>IFERROR(VLOOKUP(A80&amp;"aa",COPY!$S$2:$AA$1000,6,FALSE)," ")</f>
        <v xml:space="preserve"> </v>
      </c>
      <c r="AB80" s="90" t="str">
        <f>IFERROR(VLOOKUP(A80&amp;"aaa",COPY!$S$2:$AA$1000,6,FALSE)," ")</f>
        <v xml:space="preserve"> </v>
      </c>
      <c r="AC80" s="90" t="str">
        <f>IFERROR(VLOOKUP(A80&amp;"aaaa",COPY!$S$2:$AA$1000,6,FALSE)," ")</f>
        <v xml:space="preserve"> </v>
      </c>
      <c r="AD80" s="90" t="str">
        <f>IFERROR(VLOOKUP(A80&amp;"aaaaa",COPY!$S$2:$AA$1000,6,FALSE)," ")</f>
        <v xml:space="preserve"> </v>
      </c>
      <c r="AE80" s="90" t="str">
        <f>IFERROR(VLOOKUP(A80&amp;"aaaaaa",COPY!$S$2:$AA$1000,6,FALSE)," ")</f>
        <v xml:space="preserve"> </v>
      </c>
      <c r="AF80" s="90" t="str">
        <f>IFERROR(VLOOKUP(A80&amp;"aaaaaaa",COPY!$S$2:$AA$1000,6,FALSE)," ")</f>
        <v xml:space="preserve"> </v>
      </c>
      <c r="AG80" s="90" t="str">
        <f>IFERROR(VLOOKUP(A80&amp;"aaaaaaaa",COPY!$S$2:$AA$1000,6,FALSE)," ")</f>
        <v xml:space="preserve"> </v>
      </c>
      <c r="AH80" s="90" t="str">
        <f>IFERROR(VLOOKUP(A80&amp;"aaaaaaaaa",COPY!$S$2:$AA$1000,6,FALSE)," ")</f>
        <v xml:space="preserve"> </v>
      </c>
      <c r="AI80" s="90" t="str">
        <f>IFERROR(VLOOKUP(A80&amp;"aaaaaaaaaa",COPY!$S$2:$AA$1000,6,FALSE)," ")</f>
        <v xml:space="preserve"> </v>
      </c>
      <c r="AJ80" s="90" t="str">
        <f>IFERROR(VLOOKUP(A80&amp;"aaaaaaaaaaa",COPY!$S$2:$AA$1000,6,FALSE)," ")</f>
        <v xml:space="preserve"> </v>
      </c>
      <c r="AK80" s="90" t="str">
        <f>IF(LEFT(B80,2)="mg",VLOOKUP(A80,COPY!$S$2:$AA$1000,7,FALSE),IF(LEFT(B80,1)="G"," ",IF(LEFT(B80,2)="ma"," "," ")))</f>
        <v xml:space="preserve"> </v>
      </c>
      <c r="AL80" s="90" t="str">
        <f>IFERROR(VLOOKUP(A80&amp;"a",COPY!$S$2:$AA$1000,7,FALSE)," ")</f>
        <v xml:space="preserve"> </v>
      </c>
      <c r="AM80" s="90" t="str">
        <f>IFERROR(VLOOKUP(A80&amp;"aa",COPY!$S$2:$AA$1000,7,FALSE)," ")</f>
        <v xml:space="preserve"> </v>
      </c>
      <c r="AN80" s="90" t="str">
        <f>IFERROR(VLOOKUP(A80&amp;"aaa",COPY!$S$2:$AA$1000,7,FALSE)," ")</f>
        <v xml:space="preserve"> </v>
      </c>
      <c r="AO80" s="90" t="str">
        <f>IFERROR(VLOOKUP(A80&amp;"aaaa",COPY!$S$2:$AA$1000,7,FALSE)," ")</f>
        <v xml:space="preserve"> </v>
      </c>
      <c r="AP80" s="90" t="str">
        <f>IFERROR(VLOOKUP(A80&amp;"aaaaa",COPY!$S$2:$AA$1000,7,FALSE)," ")</f>
        <v xml:space="preserve"> </v>
      </c>
      <c r="AQ80" s="90" t="str">
        <f>IFERROR(VLOOKUP(A80&amp;"aaaaaa",COPY!$S$2:$AA$1000,7,FALSE)," ")</f>
        <v xml:space="preserve"> </v>
      </c>
      <c r="AR80" s="90" t="str">
        <f>IFERROR(VLOOKUP(A80&amp;"aaaaaaa",COPY!$S$2:$AA$1000,7,FALSE)," ")</f>
        <v xml:space="preserve"> </v>
      </c>
      <c r="AS80" s="90" t="str">
        <f>IFERROR(VLOOKUP(A80&amp;"aaaaaaaa",COPY!$S$2:$AA$1000,7,FALSE)," ")</f>
        <v xml:space="preserve"> </v>
      </c>
      <c r="AT80" s="90" t="str">
        <f>IFERROR(VLOOKUP(A80&amp;"aaaaaaaaa",COPY!$S$2:$AA$1000,7,FALSE)," ")</f>
        <v xml:space="preserve"> </v>
      </c>
      <c r="AU80" s="90" t="str">
        <f>IFERROR(VLOOKUP(A80&amp;"aaaaaaaaaa",COPY!$S$2:$AA$1000,7,FALSE)," ")</f>
        <v xml:space="preserve"> </v>
      </c>
      <c r="AV80" s="90" t="str">
        <f>IFERROR(VLOOKUP(A80&amp;"aaaaaaaaaaa",COPY!$S$2:$AA$1000,7,FALSE)," ")</f>
        <v xml:space="preserve"> </v>
      </c>
    </row>
    <row r="81" spans="1:48" x14ac:dyDescent="0.2">
      <c r="A81" s="75" t="str">
        <f>'REKAP PAJAK'!W118</f>
        <v/>
      </c>
      <c r="B81" s="75" t="str">
        <f>IF(LEN(A81)&gt;1,VLOOKUP(A81,COPY!$O$2:$R$1000,4,FALSE),"")</f>
        <v/>
      </c>
      <c r="C81" s="75" t="str">
        <f t="shared" si="6"/>
        <v xml:space="preserve"> </v>
      </c>
      <c r="D81" s="75" t="str">
        <f t="shared" si="7"/>
        <v xml:space="preserve"> </v>
      </c>
      <c r="E81" s="75" t="str">
        <f t="shared" si="8"/>
        <v xml:space="preserve"> </v>
      </c>
      <c r="F81" s="75" t="str">
        <f t="shared" si="9"/>
        <v xml:space="preserve"> </v>
      </c>
      <c r="G81" s="75" t="str">
        <f>IFERROR(TEXT(VLOOKUP(A81,COPY!$S$2:$W$1000,3,FALSE),"dd-mmmm-yyyy")," ")</f>
        <v xml:space="preserve"> </v>
      </c>
      <c r="H81" s="75" t="str">
        <f t="shared" si="10"/>
        <v xml:space="preserve"> </v>
      </c>
      <c r="I81" s="75" t="str">
        <f t="shared" si="11"/>
        <v xml:space="preserve"> </v>
      </c>
      <c r="J81" s="90" t="str">
        <f>IFERROR(VLOOKUP(A81,COPY!$S$2:$W$1000,4,FALSE)," ")</f>
        <v xml:space="preserve"> </v>
      </c>
      <c r="K81" s="75" t="str">
        <f>IFERROR(VLOOKUP(A81,COPY!$S$2:$W$1000,5,FALSE)," ")</f>
        <v xml:space="preserve"> </v>
      </c>
      <c r="L81" s="75" t="str">
        <f>IF(B81="","",IF(LEFT(B81,2)="Ma",(VLOOKUP(B81,'Rekap Gaji'!$C$12:$D$26,2,FALSE))&amp;" Untuk "&amp;(PROPER('Rekap Gaji'!$B$2)),IF(LEFT(B81,2)="Mg","Pembelian Material Bahan Bangunan",IF(LEFT(B81,2)="Me","Biaya Pembelanjaan Menejemen",IF(LEFT(B81,1)="G",VLOOKUP(A81,COPY!$S$2:$AA$1000,2,FALSE)&amp;"( "&amp;TEXT(VLOOKUP(B81,'Rekap Gaji'!$A$12:$I$26,5,FALSE),"dd-mm-yyyy")&amp;" "&amp;TEXT(VLOOKUP(B81,'Rekap Gaji'!$A$12:$I$26,6,FALSE)&amp;" "&amp;TEXT(VLOOKUP(B81,'Rekap Gaji'!$A$12:$I$26,7,FALSE),"dd-mm-yyyy")&amp;" )"," "))))))</f>
        <v/>
      </c>
      <c r="M81" s="75" t="str">
        <f>IF(OR(LEFT(B81,2)="mg",LEFT(B81,2)="mE"),VLOOKUP(A81,COPY!$S$2:$AA$1000,2,FALSE),IF(LEFT(B81,1)="G"," ",IF(LEFT(B81,2)="ma"," "," ")))</f>
        <v xml:space="preserve"> </v>
      </c>
      <c r="N81" s="75" t="str">
        <f>IFERROR(VLOOKUP($A$81&amp;"a",COPY!$S$2:$AA$1000,2,FALSE)," ")</f>
        <v xml:space="preserve"> </v>
      </c>
      <c r="O81" s="75" t="str">
        <f>IFERROR(VLOOKUP($A$81&amp;"aa",COPY!$S$2:$AA$1000,2,FALSE)," ")</f>
        <v xml:space="preserve"> </v>
      </c>
      <c r="P81" s="75" t="str">
        <f>IFERROR(VLOOKUP($A$81&amp;"aaa",COPY!$S$2:$AA$1000,2,FALSE)," ")</f>
        <v xml:space="preserve"> </v>
      </c>
      <c r="Q81" s="75" t="str">
        <f>IFERROR(VLOOKUP($A$81&amp;"aaaa",COPY!$S$2:$AA$1000,2,FALSE)," ")</f>
        <v xml:space="preserve"> </v>
      </c>
      <c r="R81" s="75" t="str">
        <f>IFERROR(VLOOKUP($A$81&amp;"aaaaa",COPY!$S$2:$AA$1000,2,FALSE)," ")</f>
        <v xml:space="preserve"> </v>
      </c>
      <c r="S81" s="75" t="str">
        <f>IFERROR(VLOOKUP($A$81&amp;"aaaaaa",COPY!$S$2:$AA$1000,2,FALSE)," ")</f>
        <v xml:space="preserve"> </v>
      </c>
      <c r="T81" s="75" t="str">
        <f>IFERROR(VLOOKUP($A$81&amp;"aaaaaaa",COPY!$S$2:$AA$1000,2,FALSE)," ")</f>
        <v xml:space="preserve"> </v>
      </c>
      <c r="U81" s="75" t="str">
        <f>IFERROR(VLOOKUP($A$81&amp;"aaaaaaaa",COPY!$S$2:$AA$1000,2,FALSE)," ")</f>
        <v xml:space="preserve"> </v>
      </c>
      <c r="V81" s="75" t="str">
        <f>IFERROR(VLOOKUP($A$81&amp;"aaaaaaaaa",COPY!$S$2:$AA$1000,2,FALSE)," ")</f>
        <v xml:space="preserve"> </v>
      </c>
      <c r="W81" s="75" t="str">
        <f>IFERROR(VLOOKUP($A$81&amp;"aaaaaaaaaa",COPY!$S$2:$AA$1000,2,FALSE)," ")</f>
        <v xml:space="preserve"> </v>
      </c>
      <c r="X81" s="75" t="str">
        <f>IFERROR(VLOOKUP($A$81&amp;"aaaaaaaaaaa",COPY!$S$2:$AA$1000,2,FALSE)," ")</f>
        <v xml:space="preserve"> </v>
      </c>
      <c r="Y81" s="90" t="str">
        <f>IF(OR(LEFT(B81,2)="mg",LEFT(B81,2)="mE"),VLOOKUP(A81,COPY!$S$2:$AA$1000,6,FALSE),IF(LEFT(B81,1)="G"," ",IF(LEFT(B81,2)="ma"," "," ")))</f>
        <v xml:space="preserve"> </v>
      </c>
      <c r="Z81" s="90" t="str">
        <f>IFERROR(VLOOKUP(A81&amp;"a",COPY!$S$2:$AA$1000,6,FALSE)," ")</f>
        <v xml:space="preserve"> </v>
      </c>
      <c r="AA81" s="90" t="str">
        <f>IFERROR(VLOOKUP(A81&amp;"aa",COPY!$S$2:$AA$1000,6,FALSE)," ")</f>
        <v xml:space="preserve"> </v>
      </c>
      <c r="AB81" s="90" t="str">
        <f>IFERROR(VLOOKUP(A81&amp;"aaa",COPY!$S$2:$AA$1000,6,FALSE)," ")</f>
        <v xml:space="preserve"> </v>
      </c>
      <c r="AC81" s="90" t="str">
        <f>IFERROR(VLOOKUP(A81&amp;"aaaa",COPY!$S$2:$AA$1000,6,FALSE)," ")</f>
        <v xml:space="preserve"> </v>
      </c>
      <c r="AD81" s="90" t="str">
        <f>IFERROR(VLOOKUP(A81&amp;"aaaaa",COPY!$S$2:$AA$1000,6,FALSE)," ")</f>
        <v xml:space="preserve"> </v>
      </c>
      <c r="AE81" s="90" t="str">
        <f>IFERROR(VLOOKUP(A81&amp;"aaaaaa",COPY!$S$2:$AA$1000,6,FALSE)," ")</f>
        <v xml:space="preserve"> </v>
      </c>
      <c r="AF81" s="90" t="str">
        <f>IFERROR(VLOOKUP(A81&amp;"aaaaaaa",COPY!$S$2:$AA$1000,6,FALSE)," ")</f>
        <v xml:space="preserve"> </v>
      </c>
      <c r="AG81" s="90" t="str">
        <f>IFERROR(VLOOKUP(A81&amp;"aaaaaaaa",COPY!$S$2:$AA$1000,6,FALSE)," ")</f>
        <v xml:space="preserve"> </v>
      </c>
      <c r="AH81" s="90" t="str">
        <f>IFERROR(VLOOKUP(A81&amp;"aaaaaaaaa",COPY!$S$2:$AA$1000,6,FALSE)," ")</f>
        <v xml:space="preserve"> </v>
      </c>
      <c r="AI81" s="90" t="str">
        <f>IFERROR(VLOOKUP(A81&amp;"aaaaaaaaaa",COPY!$S$2:$AA$1000,6,FALSE)," ")</f>
        <v xml:space="preserve"> </v>
      </c>
      <c r="AJ81" s="90" t="str">
        <f>IFERROR(VLOOKUP(A81&amp;"aaaaaaaaaaa",COPY!$S$2:$AA$1000,6,FALSE)," ")</f>
        <v xml:space="preserve"> </v>
      </c>
      <c r="AK81" s="90" t="str">
        <f>IF(LEFT(B81,2)="mg",VLOOKUP(A81,COPY!$S$2:$AA$1000,7,FALSE),IF(LEFT(B81,1)="G"," ",IF(LEFT(B81,2)="ma"," "," ")))</f>
        <v xml:space="preserve"> </v>
      </c>
      <c r="AL81" s="90" t="str">
        <f>IFERROR(VLOOKUP(A81&amp;"a",COPY!$S$2:$AA$1000,7,FALSE)," ")</f>
        <v xml:space="preserve"> </v>
      </c>
      <c r="AM81" s="90" t="str">
        <f>IFERROR(VLOOKUP(A81&amp;"aa",COPY!$S$2:$AA$1000,7,FALSE)," ")</f>
        <v xml:space="preserve"> </v>
      </c>
      <c r="AN81" s="90" t="str">
        <f>IFERROR(VLOOKUP(A81&amp;"aaa",COPY!$S$2:$AA$1000,7,FALSE)," ")</f>
        <v xml:space="preserve"> </v>
      </c>
      <c r="AO81" s="90" t="str">
        <f>IFERROR(VLOOKUP(A81&amp;"aaaa",COPY!$S$2:$AA$1000,7,FALSE)," ")</f>
        <v xml:space="preserve"> </v>
      </c>
      <c r="AP81" s="90" t="str">
        <f>IFERROR(VLOOKUP(A81&amp;"aaaaa",COPY!$S$2:$AA$1000,7,FALSE)," ")</f>
        <v xml:space="preserve"> </v>
      </c>
      <c r="AQ81" s="90" t="str">
        <f>IFERROR(VLOOKUP(A81&amp;"aaaaaa",COPY!$S$2:$AA$1000,7,FALSE)," ")</f>
        <v xml:space="preserve"> </v>
      </c>
      <c r="AR81" s="90" t="str">
        <f>IFERROR(VLOOKUP(A81&amp;"aaaaaaa",COPY!$S$2:$AA$1000,7,FALSE)," ")</f>
        <v xml:space="preserve"> </v>
      </c>
      <c r="AS81" s="90" t="str">
        <f>IFERROR(VLOOKUP(A81&amp;"aaaaaaaa",COPY!$S$2:$AA$1000,7,FALSE)," ")</f>
        <v xml:space="preserve"> </v>
      </c>
      <c r="AT81" s="90" t="str">
        <f>IFERROR(VLOOKUP(A81&amp;"aaaaaaaaa",COPY!$S$2:$AA$1000,7,FALSE)," ")</f>
        <v xml:space="preserve"> </v>
      </c>
      <c r="AU81" s="90" t="str">
        <f>IFERROR(VLOOKUP(A81&amp;"aaaaaaaaaa",COPY!$S$2:$AA$1000,7,FALSE)," ")</f>
        <v xml:space="preserve"> </v>
      </c>
      <c r="AV81" s="90" t="str">
        <f>IFERROR(VLOOKUP(A81&amp;"aaaaaaaaaaa",COPY!$S$2:$AA$1000,7,FALSE)," ")</f>
        <v xml:space="preserve"> </v>
      </c>
    </row>
    <row r="82" spans="1:48" x14ac:dyDescent="0.2">
      <c r="A82" s="75" t="str">
        <f>'REKAP PAJAK'!W119</f>
        <v/>
      </c>
      <c r="B82" s="75" t="str">
        <f>IF(LEN(A82)&gt;1,VLOOKUP(A82,COPY!$O$2:$R$1000,4,FALSE),"")</f>
        <v/>
      </c>
      <c r="C82" s="75" t="str">
        <f t="shared" si="6"/>
        <v xml:space="preserve"> </v>
      </c>
      <c r="D82" s="75" t="str">
        <f t="shared" si="7"/>
        <v xml:space="preserve"> </v>
      </c>
      <c r="E82" s="75" t="str">
        <f t="shared" si="8"/>
        <v xml:space="preserve"> </v>
      </c>
      <c r="F82" s="75" t="str">
        <f t="shared" si="9"/>
        <v xml:space="preserve"> </v>
      </c>
      <c r="G82" s="75" t="str">
        <f>IFERROR(TEXT(VLOOKUP(A82,COPY!$S$2:$W$1000,3,FALSE),"dd-mmmm-yyyy")," ")</f>
        <v xml:space="preserve"> </v>
      </c>
      <c r="H82" s="75" t="str">
        <f t="shared" si="10"/>
        <v xml:space="preserve"> </v>
      </c>
      <c r="I82" s="75" t="str">
        <f t="shared" si="11"/>
        <v xml:space="preserve"> </v>
      </c>
      <c r="J82" s="90" t="str">
        <f>IFERROR(VLOOKUP(A82,COPY!$S$2:$W$1000,4,FALSE)," ")</f>
        <v xml:space="preserve"> </v>
      </c>
      <c r="K82" s="75" t="str">
        <f>IFERROR(VLOOKUP(A82,COPY!$S$2:$W$1000,5,FALSE)," ")</f>
        <v xml:space="preserve"> </v>
      </c>
      <c r="L82" s="75" t="str">
        <f>IF(B82="","",IF(LEFT(B82,2)="Ma",(VLOOKUP(B82,'Rekap Gaji'!$C$12:$D$26,2,FALSE))&amp;" Untuk "&amp;(PROPER('Rekap Gaji'!$B$2)),IF(LEFT(B82,2)="Mg","Pembelian Material Bahan Bangunan",IF(LEFT(B82,2)="Me","Biaya Pembelanjaan Menejemen",IF(LEFT(B82,1)="G",VLOOKUP(A82,COPY!$S$2:$AA$1000,2,FALSE)&amp;"( "&amp;TEXT(VLOOKUP(B82,'Rekap Gaji'!$A$12:$I$26,5,FALSE),"dd-mm-yyyy")&amp;" "&amp;TEXT(VLOOKUP(B82,'Rekap Gaji'!$A$12:$I$26,6,FALSE)&amp;" "&amp;TEXT(VLOOKUP(B82,'Rekap Gaji'!$A$12:$I$26,7,FALSE),"dd-mm-yyyy")&amp;" )"," "))))))</f>
        <v/>
      </c>
      <c r="M82" s="75" t="str">
        <f>IF(OR(LEFT(B82,2)="mg",LEFT(B82,2)="mE"),VLOOKUP(A82,COPY!$S$2:$AA$1000,2,FALSE),IF(LEFT(B82,1)="G"," ",IF(LEFT(B82,2)="ma"," "," ")))</f>
        <v xml:space="preserve"> </v>
      </c>
      <c r="N82" s="75" t="str">
        <f>IFERROR(VLOOKUP($A$82&amp;"a",COPY!$S$2:$AA$1000,2,FALSE)," ")</f>
        <v xml:space="preserve"> </v>
      </c>
      <c r="O82" s="75" t="str">
        <f>IFERROR(VLOOKUP($A$82&amp;"aa",COPY!$S$2:$AA$1000,2,FALSE)," ")</f>
        <v xml:space="preserve"> </v>
      </c>
      <c r="P82" s="75" t="str">
        <f>IFERROR(VLOOKUP($A$82&amp;"aaa",COPY!$S$2:$AA$1000,2,FALSE)," ")</f>
        <v xml:space="preserve"> </v>
      </c>
      <c r="Q82" s="75" t="str">
        <f>IFERROR(VLOOKUP($A$82&amp;"aaaa",COPY!$S$2:$AA$1000,2,FALSE)," ")</f>
        <v xml:space="preserve"> </v>
      </c>
      <c r="R82" s="75" t="str">
        <f>IFERROR(VLOOKUP($A$82&amp;"aaaaa",COPY!$S$2:$AA$1000,2,FALSE)," ")</f>
        <v xml:space="preserve"> </v>
      </c>
      <c r="S82" s="75" t="str">
        <f>IFERROR(VLOOKUP($A$82&amp;"aaaaaa",COPY!$S$2:$AA$1000,2,FALSE)," ")</f>
        <v xml:space="preserve"> </v>
      </c>
      <c r="T82" s="75" t="str">
        <f>IFERROR(VLOOKUP($A$82&amp;"aaaaaaa",COPY!$S$2:$AA$1000,2,FALSE)," ")</f>
        <v xml:space="preserve"> </v>
      </c>
      <c r="U82" s="75" t="str">
        <f>IFERROR(VLOOKUP($A$82&amp;"aaaaaaaa",COPY!$S$2:$AA$1000,2,FALSE)," ")</f>
        <v xml:space="preserve"> </v>
      </c>
      <c r="V82" s="75" t="str">
        <f>IFERROR(VLOOKUP($A$82&amp;"aaaaaaaaa",COPY!$S$2:$AA$1000,2,FALSE)," ")</f>
        <v xml:space="preserve"> </v>
      </c>
      <c r="W82" s="75" t="str">
        <f>IFERROR(VLOOKUP($A$82&amp;"aaaaaaaaaa",COPY!$S$2:$AA$1000,2,FALSE)," ")</f>
        <v xml:space="preserve"> </v>
      </c>
      <c r="X82" s="75" t="str">
        <f>IFERROR(VLOOKUP($A$82&amp;"aaaaaaaaaaa",COPY!$S$2:$AA$1000,2,FALSE)," ")</f>
        <v xml:space="preserve"> </v>
      </c>
      <c r="Y82" s="90" t="str">
        <f>IF(OR(LEFT(B82,2)="mg",LEFT(B82,2)="mE"),VLOOKUP(A82,COPY!$S$2:$AA$1000,6,FALSE),IF(LEFT(B82,1)="G"," ",IF(LEFT(B82,2)="ma"," "," ")))</f>
        <v xml:space="preserve"> </v>
      </c>
      <c r="Z82" s="90" t="str">
        <f>IFERROR(VLOOKUP(A82&amp;"a",COPY!$S$2:$AA$1000,6,FALSE)," ")</f>
        <v xml:space="preserve"> </v>
      </c>
      <c r="AA82" s="90" t="str">
        <f>IFERROR(VLOOKUP(A82&amp;"aa",COPY!$S$2:$AA$1000,6,FALSE)," ")</f>
        <v xml:space="preserve"> </v>
      </c>
      <c r="AB82" s="90" t="str">
        <f>IFERROR(VLOOKUP(A82&amp;"aaa",COPY!$S$2:$AA$1000,6,FALSE)," ")</f>
        <v xml:space="preserve"> </v>
      </c>
      <c r="AC82" s="90" t="str">
        <f>IFERROR(VLOOKUP(A82&amp;"aaaa",COPY!$S$2:$AA$1000,6,FALSE)," ")</f>
        <v xml:space="preserve"> </v>
      </c>
      <c r="AD82" s="90" t="str">
        <f>IFERROR(VLOOKUP(A82&amp;"aaaaa",COPY!$S$2:$AA$1000,6,FALSE)," ")</f>
        <v xml:space="preserve"> </v>
      </c>
      <c r="AE82" s="90" t="str">
        <f>IFERROR(VLOOKUP(A82&amp;"aaaaaa",COPY!$S$2:$AA$1000,6,FALSE)," ")</f>
        <v xml:space="preserve"> </v>
      </c>
      <c r="AF82" s="90" t="str">
        <f>IFERROR(VLOOKUP(A82&amp;"aaaaaaa",COPY!$S$2:$AA$1000,6,FALSE)," ")</f>
        <v xml:space="preserve"> </v>
      </c>
      <c r="AG82" s="90" t="str">
        <f>IFERROR(VLOOKUP(A82&amp;"aaaaaaaa",COPY!$S$2:$AA$1000,6,FALSE)," ")</f>
        <v xml:space="preserve"> </v>
      </c>
      <c r="AH82" s="90" t="str">
        <f>IFERROR(VLOOKUP(A82&amp;"aaaaaaaaa",COPY!$S$2:$AA$1000,6,FALSE)," ")</f>
        <v xml:space="preserve"> </v>
      </c>
      <c r="AI82" s="90" t="str">
        <f>IFERROR(VLOOKUP(A82&amp;"aaaaaaaaaa",COPY!$S$2:$AA$1000,6,FALSE)," ")</f>
        <v xml:space="preserve"> </v>
      </c>
      <c r="AJ82" s="90" t="str">
        <f>IFERROR(VLOOKUP(A82&amp;"aaaaaaaaaaa",COPY!$S$2:$AA$1000,6,FALSE)," ")</f>
        <v xml:space="preserve"> </v>
      </c>
      <c r="AK82" s="90" t="str">
        <f>IF(LEFT(B82,2)="mg",VLOOKUP(A82,COPY!$S$2:$AA$1000,7,FALSE),IF(LEFT(B82,1)="G"," ",IF(LEFT(B82,2)="ma"," "," ")))</f>
        <v xml:space="preserve"> </v>
      </c>
      <c r="AL82" s="90" t="str">
        <f>IFERROR(VLOOKUP(A82&amp;"a",COPY!$S$2:$AA$1000,7,FALSE)," ")</f>
        <v xml:space="preserve"> </v>
      </c>
      <c r="AM82" s="90" t="str">
        <f>IFERROR(VLOOKUP(A82&amp;"aa",COPY!$S$2:$AA$1000,7,FALSE)," ")</f>
        <v xml:space="preserve"> </v>
      </c>
      <c r="AN82" s="90" t="str">
        <f>IFERROR(VLOOKUP(A82&amp;"aaa",COPY!$S$2:$AA$1000,7,FALSE)," ")</f>
        <v xml:space="preserve"> </v>
      </c>
      <c r="AO82" s="90" t="str">
        <f>IFERROR(VLOOKUP(A82&amp;"aaaa",COPY!$S$2:$AA$1000,7,FALSE)," ")</f>
        <v xml:space="preserve"> </v>
      </c>
      <c r="AP82" s="90" t="str">
        <f>IFERROR(VLOOKUP(A82&amp;"aaaaa",COPY!$S$2:$AA$1000,7,FALSE)," ")</f>
        <v xml:space="preserve"> </v>
      </c>
      <c r="AQ82" s="90" t="str">
        <f>IFERROR(VLOOKUP(A82&amp;"aaaaaa",COPY!$S$2:$AA$1000,7,FALSE)," ")</f>
        <v xml:space="preserve"> </v>
      </c>
      <c r="AR82" s="90" t="str">
        <f>IFERROR(VLOOKUP(A82&amp;"aaaaaaa",COPY!$S$2:$AA$1000,7,FALSE)," ")</f>
        <v xml:space="preserve"> </v>
      </c>
      <c r="AS82" s="90" t="str">
        <f>IFERROR(VLOOKUP(A82&amp;"aaaaaaaa",COPY!$S$2:$AA$1000,7,FALSE)," ")</f>
        <v xml:space="preserve"> </v>
      </c>
      <c r="AT82" s="90" t="str">
        <f>IFERROR(VLOOKUP(A82&amp;"aaaaaaaaa",COPY!$S$2:$AA$1000,7,FALSE)," ")</f>
        <v xml:space="preserve"> </v>
      </c>
      <c r="AU82" s="90" t="str">
        <f>IFERROR(VLOOKUP(A82&amp;"aaaaaaaaaa",COPY!$S$2:$AA$1000,7,FALSE)," ")</f>
        <v xml:space="preserve"> </v>
      </c>
      <c r="AV82" s="90" t="str">
        <f>IFERROR(VLOOKUP(A82&amp;"aaaaaaaaaaa",COPY!$S$2:$AA$1000,7,FALSE)," ")</f>
        <v xml:space="preserve"> </v>
      </c>
    </row>
    <row r="83" spans="1:48" x14ac:dyDescent="0.2">
      <c r="A83" s="75" t="str">
        <f>'REKAP PAJAK'!W120</f>
        <v/>
      </c>
      <c r="B83" s="75" t="str">
        <f>IF(LEN(A83)&gt;1,VLOOKUP(A83,COPY!$O$2:$R$1000,4,FALSE),"")</f>
        <v/>
      </c>
      <c r="C83" s="75" t="str">
        <f t="shared" si="6"/>
        <v xml:space="preserve"> </v>
      </c>
      <c r="D83" s="75" t="str">
        <f t="shared" si="7"/>
        <v xml:space="preserve"> </v>
      </c>
      <c r="E83" s="75" t="str">
        <f t="shared" si="8"/>
        <v xml:space="preserve"> </v>
      </c>
      <c r="F83" s="75" t="str">
        <f t="shared" si="9"/>
        <v xml:space="preserve"> </v>
      </c>
      <c r="G83" s="75" t="str">
        <f>IFERROR(TEXT(VLOOKUP(A83,COPY!$S$2:$W$1000,3,FALSE),"dd-mmmm-yyyy")," ")</f>
        <v xml:space="preserve"> </v>
      </c>
      <c r="H83" s="75" t="str">
        <f t="shared" si="10"/>
        <v xml:space="preserve"> </v>
      </c>
      <c r="I83" s="75" t="str">
        <f t="shared" si="11"/>
        <v xml:space="preserve"> </v>
      </c>
      <c r="J83" s="90" t="str">
        <f>IFERROR(VLOOKUP(A83,COPY!$S$2:$W$1000,4,FALSE)," ")</f>
        <v xml:space="preserve"> </v>
      </c>
      <c r="K83" s="75" t="str">
        <f>IFERROR(VLOOKUP(A83,COPY!$S$2:$W$1000,5,FALSE)," ")</f>
        <v xml:space="preserve"> </v>
      </c>
      <c r="L83" s="75" t="str">
        <f>IF(B83="","",IF(LEFT(B83,2)="Ma",(VLOOKUP(B83,'Rekap Gaji'!$C$12:$D$26,2,FALSE))&amp;" Untuk "&amp;(PROPER('Rekap Gaji'!$B$2)),IF(LEFT(B83,2)="Mg","Pembelian Material Bahan Bangunan",IF(LEFT(B83,2)="Me","Biaya Pembelanjaan Menejemen",IF(LEFT(B83,1)="G",VLOOKUP(A83,COPY!$S$2:$AA$1000,2,FALSE)&amp;"( "&amp;TEXT(VLOOKUP(B83,'Rekap Gaji'!$A$12:$I$26,5,FALSE),"dd-mm-yyyy")&amp;" "&amp;TEXT(VLOOKUP(B83,'Rekap Gaji'!$A$12:$I$26,6,FALSE)&amp;" "&amp;TEXT(VLOOKUP(B83,'Rekap Gaji'!$A$12:$I$26,7,FALSE),"dd-mm-yyyy")&amp;" )"," "))))))</f>
        <v/>
      </c>
      <c r="M83" s="75" t="str">
        <f>IF(OR(LEFT(B83,2)="mg",LEFT(B83,2)="mE"),VLOOKUP(A83,COPY!$S$2:$AA$1000,2,FALSE),IF(LEFT(B83,1)="G"," ",IF(LEFT(B83,2)="ma"," "," ")))</f>
        <v xml:space="preserve"> </v>
      </c>
      <c r="N83" s="75" t="str">
        <f>IFERROR(VLOOKUP($A$83&amp;"a",COPY!$S$2:$AA$1000,2,FALSE)," ")</f>
        <v xml:space="preserve"> </v>
      </c>
      <c r="O83" s="75" t="str">
        <f>IFERROR(VLOOKUP($A$83&amp;"aa",COPY!$S$2:$AA$1000,2,FALSE)," ")</f>
        <v xml:space="preserve"> </v>
      </c>
      <c r="P83" s="75" t="str">
        <f>IFERROR(VLOOKUP($A$83&amp;"aaa",COPY!$S$2:$AA$1000,2,FALSE)," ")</f>
        <v xml:space="preserve"> </v>
      </c>
      <c r="Q83" s="75" t="str">
        <f>IFERROR(VLOOKUP($A$83&amp;"aaaa",COPY!$S$2:$AA$1000,2,FALSE)," ")</f>
        <v xml:space="preserve"> </v>
      </c>
      <c r="R83" s="75" t="str">
        <f>IFERROR(VLOOKUP($A$83&amp;"aaaaa",COPY!$S$2:$AA$1000,2,FALSE)," ")</f>
        <v xml:space="preserve"> </v>
      </c>
      <c r="S83" s="75" t="str">
        <f>IFERROR(VLOOKUP($A$83&amp;"aaaaaa",COPY!$S$2:$AA$1000,2,FALSE)," ")</f>
        <v xml:space="preserve"> </v>
      </c>
      <c r="T83" s="75" t="str">
        <f>IFERROR(VLOOKUP($A$83&amp;"aaaaaaa",COPY!$S$2:$AA$1000,2,FALSE)," ")</f>
        <v xml:space="preserve"> </v>
      </c>
      <c r="U83" s="75" t="str">
        <f>IFERROR(VLOOKUP($A$83&amp;"aaaaaaaa",COPY!$S$2:$AA$1000,2,FALSE)," ")</f>
        <v xml:space="preserve"> </v>
      </c>
      <c r="V83" s="75" t="str">
        <f>IFERROR(VLOOKUP($A$83&amp;"aaaaaaaaa",COPY!$S$2:$AA$1000,2,FALSE)," ")</f>
        <v xml:space="preserve"> </v>
      </c>
      <c r="W83" s="75" t="str">
        <f>IFERROR(VLOOKUP($A$83&amp;"aaaaaaaaaa",COPY!$S$2:$AA$1000,2,FALSE)," ")</f>
        <v xml:space="preserve"> </v>
      </c>
      <c r="X83" s="75" t="str">
        <f>IFERROR(VLOOKUP($A$83&amp;"aaaaaaaaaaa",COPY!$S$2:$AA$1000,2,FALSE)," ")</f>
        <v xml:space="preserve"> </v>
      </c>
      <c r="Y83" s="90" t="str">
        <f>IF(OR(LEFT(B83,2)="mg",LEFT(B83,2)="mE"),VLOOKUP(A83,COPY!$S$2:$AA$1000,6,FALSE),IF(LEFT(B83,1)="G"," ",IF(LEFT(B83,2)="ma"," "," ")))</f>
        <v xml:space="preserve"> </v>
      </c>
      <c r="Z83" s="90" t="str">
        <f>IFERROR(VLOOKUP(A83&amp;"a",COPY!$S$2:$AA$1000,6,FALSE)," ")</f>
        <v xml:space="preserve"> </v>
      </c>
      <c r="AA83" s="90" t="str">
        <f>IFERROR(VLOOKUP(A83&amp;"aa",COPY!$S$2:$AA$1000,6,FALSE)," ")</f>
        <v xml:space="preserve"> </v>
      </c>
      <c r="AB83" s="90" t="str">
        <f>IFERROR(VLOOKUP(A83&amp;"aaa",COPY!$S$2:$AA$1000,6,FALSE)," ")</f>
        <v xml:space="preserve"> </v>
      </c>
      <c r="AC83" s="90" t="str">
        <f>IFERROR(VLOOKUP(A83&amp;"aaaa",COPY!$S$2:$AA$1000,6,FALSE)," ")</f>
        <v xml:space="preserve"> </v>
      </c>
      <c r="AD83" s="90" t="str">
        <f>IFERROR(VLOOKUP(A83&amp;"aaaaa",COPY!$S$2:$AA$1000,6,FALSE)," ")</f>
        <v xml:space="preserve"> </v>
      </c>
      <c r="AE83" s="90" t="str">
        <f>IFERROR(VLOOKUP(A83&amp;"aaaaaa",COPY!$S$2:$AA$1000,6,FALSE)," ")</f>
        <v xml:space="preserve"> </v>
      </c>
      <c r="AF83" s="90" t="str">
        <f>IFERROR(VLOOKUP(A83&amp;"aaaaaaa",COPY!$S$2:$AA$1000,6,FALSE)," ")</f>
        <v xml:space="preserve"> </v>
      </c>
      <c r="AG83" s="90" t="str">
        <f>IFERROR(VLOOKUP(A83&amp;"aaaaaaaa",COPY!$S$2:$AA$1000,6,FALSE)," ")</f>
        <v xml:space="preserve"> </v>
      </c>
      <c r="AH83" s="90" t="str">
        <f>IFERROR(VLOOKUP(A83&amp;"aaaaaaaaa",COPY!$S$2:$AA$1000,6,FALSE)," ")</f>
        <v xml:space="preserve"> </v>
      </c>
      <c r="AI83" s="90" t="str">
        <f>IFERROR(VLOOKUP(A83&amp;"aaaaaaaaaa",COPY!$S$2:$AA$1000,6,FALSE)," ")</f>
        <v xml:space="preserve"> </v>
      </c>
      <c r="AJ83" s="90" t="str">
        <f>IFERROR(VLOOKUP(A83&amp;"aaaaaaaaaaa",COPY!$S$2:$AA$1000,6,FALSE)," ")</f>
        <v xml:space="preserve"> </v>
      </c>
      <c r="AK83" s="90" t="str">
        <f>IF(LEFT(B83,2)="mg",VLOOKUP(A83,COPY!$S$2:$AA$1000,7,FALSE),IF(LEFT(B83,1)="G"," ",IF(LEFT(B83,2)="ma"," "," ")))</f>
        <v xml:space="preserve"> </v>
      </c>
      <c r="AL83" s="90" t="str">
        <f>IFERROR(VLOOKUP(A83&amp;"a",COPY!$S$2:$AA$1000,7,FALSE)," ")</f>
        <v xml:space="preserve"> </v>
      </c>
      <c r="AM83" s="90" t="str">
        <f>IFERROR(VLOOKUP(A83&amp;"aa",COPY!$S$2:$AA$1000,7,FALSE)," ")</f>
        <v xml:space="preserve"> </v>
      </c>
      <c r="AN83" s="90" t="str">
        <f>IFERROR(VLOOKUP(A83&amp;"aaa",COPY!$S$2:$AA$1000,7,FALSE)," ")</f>
        <v xml:space="preserve"> </v>
      </c>
      <c r="AO83" s="90" t="str">
        <f>IFERROR(VLOOKUP(A83&amp;"aaaa",COPY!$S$2:$AA$1000,7,FALSE)," ")</f>
        <v xml:space="preserve"> </v>
      </c>
      <c r="AP83" s="90" t="str">
        <f>IFERROR(VLOOKUP(A83&amp;"aaaaa",COPY!$S$2:$AA$1000,7,FALSE)," ")</f>
        <v xml:space="preserve"> </v>
      </c>
      <c r="AQ83" s="90" t="str">
        <f>IFERROR(VLOOKUP(A83&amp;"aaaaaa",COPY!$S$2:$AA$1000,7,FALSE)," ")</f>
        <v xml:space="preserve"> </v>
      </c>
      <c r="AR83" s="90" t="str">
        <f>IFERROR(VLOOKUP(A83&amp;"aaaaaaa",COPY!$S$2:$AA$1000,7,FALSE)," ")</f>
        <v xml:space="preserve"> </v>
      </c>
      <c r="AS83" s="90" t="str">
        <f>IFERROR(VLOOKUP(A83&amp;"aaaaaaaa",COPY!$S$2:$AA$1000,7,FALSE)," ")</f>
        <v xml:space="preserve"> </v>
      </c>
      <c r="AT83" s="90" t="str">
        <f>IFERROR(VLOOKUP(A83&amp;"aaaaaaaaa",COPY!$S$2:$AA$1000,7,FALSE)," ")</f>
        <v xml:space="preserve"> </v>
      </c>
      <c r="AU83" s="90" t="str">
        <f>IFERROR(VLOOKUP(A83&amp;"aaaaaaaaaa",COPY!$S$2:$AA$1000,7,FALSE)," ")</f>
        <v xml:space="preserve"> </v>
      </c>
      <c r="AV83" s="90" t="str">
        <f>IFERROR(VLOOKUP(A83&amp;"aaaaaaaaaaa",COPY!$S$2:$AA$1000,7,FALSE)," ")</f>
        <v xml:space="preserve"> </v>
      </c>
    </row>
    <row r="84" spans="1:48" x14ac:dyDescent="0.2">
      <c r="A84" s="75" t="str">
        <f>'REKAP PAJAK'!W121</f>
        <v/>
      </c>
      <c r="B84" s="75" t="str">
        <f>IF(LEN(A84)&gt;1,VLOOKUP(A84,COPY!$O$2:$R$1000,4,FALSE),"")</f>
        <v/>
      </c>
      <c r="C84" s="75" t="str">
        <f t="shared" si="6"/>
        <v xml:space="preserve"> </v>
      </c>
      <c r="D84" s="75" t="str">
        <f t="shared" si="7"/>
        <v xml:space="preserve"> </v>
      </c>
      <c r="E84" s="75" t="str">
        <f t="shared" si="8"/>
        <v xml:space="preserve"> </v>
      </c>
      <c r="F84" s="75" t="str">
        <f t="shared" si="9"/>
        <v xml:space="preserve"> </v>
      </c>
      <c r="G84" s="75" t="str">
        <f>IFERROR(TEXT(VLOOKUP(A84,COPY!$S$2:$W$1000,3,FALSE),"dd-mmmm-yyyy")," ")</f>
        <v xml:space="preserve"> </v>
      </c>
      <c r="H84" s="75" t="str">
        <f t="shared" si="10"/>
        <v xml:space="preserve"> </v>
      </c>
      <c r="I84" s="75" t="str">
        <f t="shared" si="11"/>
        <v xml:space="preserve"> </v>
      </c>
      <c r="J84" s="90" t="str">
        <f>IFERROR(VLOOKUP(A84,COPY!$S$2:$W$1000,4,FALSE)," ")</f>
        <v xml:space="preserve"> </v>
      </c>
      <c r="K84" s="75" t="str">
        <f>IFERROR(VLOOKUP(A84,COPY!$S$2:$W$1000,5,FALSE)," ")</f>
        <v xml:space="preserve"> </v>
      </c>
      <c r="L84" s="75" t="str">
        <f>IF(B84="","",IF(LEFT(B84,2)="Ma",(VLOOKUP(B84,'Rekap Gaji'!$C$12:$D$26,2,FALSE))&amp;" Untuk "&amp;(PROPER('Rekap Gaji'!$B$2)),IF(LEFT(B84,2)="Mg","Pembelian Material Bahan Bangunan",IF(LEFT(B84,2)="Me","Biaya Pembelanjaan Menejemen",IF(LEFT(B84,1)="G",VLOOKUP(A84,COPY!$S$2:$AA$1000,2,FALSE)&amp;"( "&amp;TEXT(VLOOKUP(B84,'Rekap Gaji'!$A$12:$I$26,5,FALSE),"dd-mm-yyyy")&amp;" "&amp;TEXT(VLOOKUP(B84,'Rekap Gaji'!$A$12:$I$26,6,FALSE)&amp;" "&amp;TEXT(VLOOKUP(B84,'Rekap Gaji'!$A$12:$I$26,7,FALSE),"dd-mm-yyyy")&amp;" )"," "))))))</f>
        <v/>
      </c>
      <c r="M84" s="75" t="str">
        <f>IF(OR(LEFT(B84,2)="mg",LEFT(B84,2)="mE"),VLOOKUP(A84,COPY!$S$2:$AA$1000,2,FALSE),IF(LEFT(B84,1)="G"," ",IF(LEFT(B84,2)="ma"," "," ")))</f>
        <v xml:space="preserve"> </v>
      </c>
      <c r="N84" s="75" t="str">
        <f>IFERROR(VLOOKUP($A$84&amp;"a",COPY!$S$2:$AA$1000,2,FALSE)," ")</f>
        <v xml:space="preserve"> </v>
      </c>
      <c r="O84" s="75" t="str">
        <f>IFERROR(VLOOKUP($A$84&amp;"aa",COPY!$S$2:$AA$1000,2,FALSE)," ")</f>
        <v xml:space="preserve"> </v>
      </c>
      <c r="P84" s="75" t="str">
        <f>IFERROR(VLOOKUP($A$84&amp;"aaa",COPY!$S$2:$AA$1000,2,FALSE)," ")</f>
        <v xml:space="preserve"> </v>
      </c>
      <c r="Q84" s="75" t="str">
        <f>IFERROR(VLOOKUP($A$84&amp;"aaaa",COPY!$S$2:$AA$1000,2,FALSE)," ")</f>
        <v xml:space="preserve"> </v>
      </c>
      <c r="R84" s="75" t="str">
        <f>IFERROR(VLOOKUP($A$84&amp;"aaaaa",COPY!$S$2:$AA$1000,2,FALSE)," ")</f>
        <v xml:space="preserve"> </v>
      </c>
      <c r="S84" s="75" t="str">
        <f>IFERROR(VLOOKUP($A$84&amp;"aaaaaa",COPY!$S$2:$AA$1000,2,FALSE)," ")</f>
        <v xml:space="preserve"> </v>
      </c>
      <c r="T84" s="75" t="str">
        <f>IFERROR(VLOOKUP($A$84&amp;"aaaaaaa",COPY!$S$2:$AA$1000,2,FALSE)," ")</f>
        <v xml:space="preserve"> </v>
      </c>
      <c r="U84" s="75" t="str">
        <f>IFERROR(VLOOKUP($A$84&amp;"aaaaaaaa",COPY!$S$2:$AA$1000,2,FALSE)," ")</f>
        <v xml:space="preserve"> </v>
      </c>
      <c r="V84" s="75" t="str">
        <f>IFERROR(VLOOKUP($A$84&amp;"aaaaaaaaa",COPY!$S$2:$AA$1000,2,FALSE)," ")</f>
        <v xml:space="preserve"> </v>
      </c>
      <c r="W84" s="75" t="str">
        <f>IFERROR(VLOOKUP($A$84&amp;"aaaaaaaaaa",COPY!$S$2:$AA$1000,2,FALSE)," ")</f>
        <v xml:space="preserve"> </v>
      </c>
      <c r="X84" s="75" t="str">
        <f>IFERROR(VLOOKUP($A$84&amp;"aaaaaaaaaaa",COPY!$S$2:$AA$1000,2,FALSE)," ")</f>
        <v xml:space="preserve"> </v>
      </c>
      <c r="Y84" s="90" t="str">
        <f>IF(OR(LEFT(B84,2)="mg",LEFT(B84,2)="mE"),VLOOKUP(A84,COPY!$S$2:$AA$1000,6,FALSE),IF(LEFT(B84,1)="G"," ",IF(LEFT(B84,2)="ma"," "," ")))</f>
        <v xml:space="preserve"> </v>
      </c>
      <c r="Z84" s="90" t="str">
        <f>IFERROR(VLOOKUP(A84&amp;"a",COPY!$S$2:$AA$1000,6,FALSE)," ")</f>
        <v xml:space="preserve"> </v>
      </c>
      <c r="AA84" s="90" t="str">
        <f>IFERROR(VLOOKUP(A84&amp;"aa",COPY!$S$2:$AA$1000,6,FALSE)," ")</f>
        <v xml:space="preserve"> </v>
      </c>
      <c r="AB84" s="90" t="str">
        <f>IFERROR(VLOOKUP(A84&amp;"aaa",COPY!$S$2:$AA$1000,6,FALSE)," ")</f>
        <v xml:space="preserve"> </v>
      </c>
      <c r="AC84" s="90" t="str">
        <f>IFERROR(VLOOKUP(A84&amp;"aaaa",COPY!$S$2:$AA$1000,6,FALSE)," ")</f>
        <v xml:space="preserve"> </v>
      </c>
      <c r="AD84" s="90" t="str">
        <f>IFERROR(VLOOKUP(A84&amp;"aaaaa",COPY!$S$2:$AA$1000,6,FALSE)," ")</f>
        <v xml:space="preserve"> </v>
      </c>
      <c r="AE84" s="90" t="str">
        <f>IFERROR(VLOOKUP(A84&amp;"aaaaaa",COPY!$S$2:$AA$1000,6,FALSE)," ")</f>
        <v xml:space="preserve"> </v>
      </c>
      <c r="AF84" s="90" t="str">
        <f>IFERROR(VLOOKUP(A84&amp;"aaaaaaa",COPY!$S$2:$AA$1000,6,FALSE)," ")</f>
        <v xml:space="preserve"> </v>
      </c>
      <c r="AG84" s="90" t="str">
        <f>IFERROR(VLOOKUP(A84&amp;"aaaaaaaa",COPY!$S$2:$AA$1000,6,FALSE)," ")</f>
        <v xml:space="preserve"> </v>
      </c>
      <c r="AH84" s="90" t="str">
        <f>IFERROR(VLOOKUP(A84&amp;"aaaaaaaaa",COPY!$S$2:$AA$1000,6,FALSE)," ")</f>
        <v xml:space="preserve"> </v>
      </c>
      <c r="AI84" s="90" t="str">
        <f>IFERROR(VLOOKUP(A84&amp;"aaaaaaaaaa",COPY!$S$2:$AA$1000,6,FALSE)," ")</f>
        <v xml:space="preserve"> </v>
      </c>
      <c r="AJ84" s="90" t="str">
        <f>IFERROR(VLOOKUP(A84&amp;"aaaaaaaaaaa",COPY!$S$2:$AA$1000,6,FALSE)," ")</f>
        <v xml:space="preserve"> </v>
      </c>
      <c r="AK84" s="90" t="str">
        <f>IF(LEFT(B84,2)="mg",VLOOKUP(A84,COPY!$S$2:$AA$1000,7,FALSE),IF(LEFT(B84,1)="G"," ",IF(LEFT(B84,2)="ma"," "," ")))</f>
        <v xml:space="preserve"> </v>
      </c>
      <c r="AL84" s="90" t="str">
        <f>IFERROR(VLOOKUP(A84&amp;"a",COPY!$S$2:$AA$1000,7,FALSE)," ")</f>
        <v xml:space="preserve"> </v>
      </c>
      <c r="AM84" s="90" t="str">
        <f>IFERROR(VLOOKUP(A84&amp;"aa",COPY!$S$2:$AA$1000,7,FALSE)," ")</f>
        <v xml:space="preserve"> </v>
      </c>
      <c r="AN84" s="90" t="str">
        <f>IFERROR(VLOOKUP(A84&amp;"aaa",COPY!$S$2:$AA$1000,7,FALSE)," ")</f>
        <v xml:space="preserve"> </v>
      </c>
      <c r="AO84" s="90" t="str">
        <f>IFERROR(VLOOKUP(A84&amp;"aaaa",COPY!$S$2:$AA$1000,7,FALSE)," ")</f>
        <v xml:space="preserve"> </v>
      </c>
      <c r="AP84" s="90" t="str">
        <f>IFERROR(VLOOKUP(A84&amp;"aaaaa",COPY!$S$2:$AA$1000,7,FALSE)," ")</f>
        <v xml:space="preserve"> </v>
      </c>
      <c r="AQ84" s="90" t="str">
        <f>IFERROR(VLOOKUP(A84&amp;"aaaaaa",COPY!$S$2:$AA$1000,7,FALSE)," ")</f>
        <v xml:space="preserve"> </v>
      </c>
      <c r="AR84" s="90" t="str">
        <f>IFERROR(VLOOKUP(A84&amp;"aaaaaaa",COPY!$S$2:$AA$1000,7,FALSE)," ")</f>
        <v xml:space="preserve"> </v>
      </c>
      <c r="AS84" s="90" t="str">
        <f>IFERROR(VLOOKUP(A84&amp;"aaaaaaaa",COPY!$S$2:$AA$1000,7,FALSE)," ")</f>
        <v xml:space="preserve"> </v>
      </c>
      <c r="AT84" s="90" t="str">
        <f>IFERROR(VLOOKUP(A84&amp;"aaaaaaaaa",COPY!$S$2:$AA$1000,7,FALSE)," ")</f>
        <v xml:space="preserve"> </v>
      </c>
      <c r="AU84" s="90" t="str">
        <f>IFERROR(VLOOKUP(A84&amp;"aaaaaaaaaa",COPY!$S$2:$AA$1000,7,FALSE)," ")</f>
        <v xml:space="preserve"> </v>
      </c>
      <c r="AV84" s="90" t="str">
        <f>IFERROR(VLOOKUP(A84&amp;"aaaaaaaaaaa",COPY!$S$2:$AA$1000,7,FALSE)," ")</f>
        <v xml:space="preserve"> </v>
      </c>
    </row>
    <row r="85" spans="1:48" x14ac:dyDescent="0.2">
      <c r="A85" s="75" t="str">
        <f>'REKAP PAJAK'!W122</f>
        <v/>
      </c>
      <c r="B85" s="75" t="str">
        <f>IF(LEN(A85)&gt;1,VLOOKUP(A85,COPY!$O$2:$R$1000,4,FALSE),"")</f>
        <v/>
      </c>
      <c r="C85" s="75" t="str">
        <f t="shared" si="6"/>
        <v xml:space="preserve"> </v>
      </c>
      <c r="D85" s="75" t="str">
        <f t="shared" si="7"/>
        <v xml:space="preserve"> </v>
      </c>
      <c r="E85" s="75" t="str">
        <f t="shared" si="8"/>
        <v xml:space="preserve"> </v>
      </c>
      <c r="F85" s="75" t="str">
        <f t="shared" si="9"/>
        <v xml:space="preserve"> </v>
      </c>
      <c r="G85" s="75" t="str">
        <f>IFERROR(TEXT(VLOOKUP(A85,COPY!$S$2:$W$1000,3,FALSE),"dd-mmmm-yyyy")," ")</f>
        <v xml:space="preserve"> </v>
      </c>
      <c r="H85" s="75" t="str">
        <f t="shared" si="10"/>
        <v xml:space="preserve"> </v>
      </c>
      <c r="I85" s="75" t="str">
        <f t="shared" si="11"/>
        <v xml:space="preserve"> </v>
      </c>
      <c r="J85" s="90" t="str">
        <f>IFERROR(VLOOKUP(A85,COPY!$S$2:$W$1000,4,FALSE)," ")</f>
        <v xml:space="preserve"> </v>
      </c>
      <c r="K85" s="75" t="str">
        <f>IFERROR(VLOOKUP(A85,COPY!$S$2:$W$1000,5,FALSE)," ")</f>
        <v xml:space="preserve"> </v>
      </c>
      <c r="L85" s="75" t="str">
        <f>IF(B85="","",IF(LEFT(B85,2)="Ma",(VLOOKUP(B85,'Rekap Gaji'!$C$12:$D$26,2,FALSE))&amp;" Untuk "&amp;(PROPER('Rekap Gaji'!$B$2)),IF(LEFT(B85,2)="Mg","Pembelian Material Bahan Bangunan",IF(LEFT(B85,2)="Me","Biaya Pembelanjaan Menejemen",IF(LEFT(B85,1)="G",VLOOKUP(A85,COPY!$S$2:$AA$1000,2,FALSE)&amp;"( "&amp;TEXT(VLOOKUP(B85,'Rekap Gaji'!$A$12:$I$26,5,FALSE),"dd-mm-yyyy")&amp;" "&amp;TEXT(VLOOKUP(B85,'Rekap Gaji'!$A$12:$I$26,6,FALSE)&amp;" "&amp;TEXT(VLOOKUP(B85,'Rekap Gaji'!$A$12:$I$26,7,FALSE),"dd-mm-yyyy")&amp;" )"," "))))))</f>
        <v/>
      </c>
      <c r="M85" s="75" t="str">
        <f>IF(OR(LEFT(B85,2)="mg",LEFT(B85,2)="mE"),VLOOKUP(A85,COPY!$S$2:$AA$1000,2,FALSE),IF(LEFT(B85,1)="G"," ",IF(LEFT(B85,2)="ma"," "," ")))</f>
        <v xml:space="preserve"> </v>
      </c>
      <c r="N85" s="75" t="str">
        <f>IFERROR(VLOOKUP($A$85&amp;"a",COPY!$S$2:$AA$1000,2,FALSE)," ")</f>
        <v xml:space="preserve"> </v>
      </c>
      <c r="O85" s="75" t="str">
        <f>IFERROR(VLOOKUP($A$85&amp;"aa",COPY!$S$2:$AA$1000,2,FALSE)," ")</f>
        <v xml:space="preserve"> </v>
      </c>
      <c r="P85" s="75" t="str">
        <f>IFERROR(VLOOKUP($A$85&amp;"aaa",COPY!$S$2:$AA$1000,2,FALSE)," ")</f>
        <v xml:space="preserve"> </v>
      </c>
      <c r="Q85" s="75" t="str">
        <f>IFERROR(VLOOKUP($A$85&amp;"aaaa",COPY!$S$2:$AA$1000,2,FALSE)," ")</f>
        <v xml:space="preserve"> </v>
      </c>
      <c r="R85" s="75" t="str">
        <f>IFERROR(VLOOKUP($A$85&amp;"aaaaa",COPY!$S$2:$AA$1000,2,FALSE)," ")</f>
        <v xml:space="preserve"> </v>
      </c>
      <c r="S85" s="75" t="str">
        <f>IFERROR(VLOOKUP($A$85&amp;"aaaaaa",COPY!$S$2:$AA$1000,2,FALSE)," ")</f>
        <v xml:space="preserve"> </v>
      </c>
      <c r="T85" s="75" t="str">
        <f>IFERROR(VLOOKUP($A$85&amp;"aaaaaaa",COPY!$S$2:$AA$1000,2,FALSE)," ")</f>
        <v xml:space="preserve"> </v>
      </c>
      <c r="U85" s="75" t="str">
        <f>IFERROR(VLOOKUP($A$85&amp;"aaaaaaaa",COPY!$S$2:$AA$1000,2,FALSE)," ")</f>
        <v xml:space="preserve"> </v>
      </c>
      <c r="V85" s="75" t="str">
        <f>IFERROR(VLOOKUP($A$85&amp;"aaaaaaaaa",COPY!$S$2:$AA$1000,2,FALSE)," ")</f>
        <v xml:space="preserve"> </v>
      </c>
      <c r="W85" s="75" t="str">
        <f>IFERROR(VLOOKUP($A$85&amp;"aaaaaaaaaa",COPY!$S$2:$AA$1000,2,FALSE)," ")</f>
        <v xml:space="preserve"> </v>
      </c>
      <c r="X85" s="75" t="str">
        <f>IFERROR(VLOOKUP($A$85&amp;"aaaaaaaaaaa",COPY!$S$2:$AA$1000,2,FALSE)," ")</f>
        <v xml:space="preserve"> </v>
      </c>
      <c r="Y85" s="90" t="str">
        <f>IF(OR(LEFT(B85,2)="mg",LEFT(B85,2)="mE"),VLOOKUP(A85,COPY!$S$2:$AA$1000,6,FALSE),IF(LEFT(B85,1)="G"," ",IF(LEFT(B85,2)="ma"," "," ")))</f>
        <v xml:space="preserve"> </v>
      </c>
      <c r="Z85" s="90" t="str">
        <f>IFERROR(VLOOKUP(A85&amp;"a",COPY!$S$2:$AA$1000,6,FALSE)," ")</f>
        <v xml:space="preserve"> </v>
      </c>
      <c r="AA85" s="90" t="str">
        <f>IFERROR(VLOOKUP(A85&amp;"aa",COPY!$S$2:$AA$1000,6,FALSE)," ")</f>
        <v xml:space="preserve"> </v>
      </c>
      <c r="AB85" s="90" t="str">
        <f>IFERROR(VLOOKUP(A85&amp;"aaa",COPY!$S$2:$AA$1000,6,FALSE)," ")</f>
        <v xml:space="preserve"> </v>
      </c>
      <c r="AC85" s="90" t="str">
        <f>IFERROR(VLOOKUP(A85&amp;"aaaa",COPY!$S$2:$AA$1000,6,FALSE)," ")</f>
        <v xml:space="preserve"> </v>
      </c>
      <c r="AD85" s="90" t="str">
        <f>IFERROR(VLOOKUP(A85&amp;"aaaaa",COPY!$S$2:$AA$1000,6,FALSE)," ")</f>
        <v xml:space="preserve"> </v>
      </c>
      <c r="AE85" s="90" t="str">
        <f>IFERROR(VLOOKUP(A85&amp;"aaaaaa",COPY!$S$2:$AA$1000,6,FALSE)," ")</f>
        <v xml:space="preserve"> </v>
      </c>
      <c r="AF85" s="90" t="str">
        <f>IFERROR(VLOOKUP(A85&amp;"aaaaaaa",COPY!$S$2:$AA$1000,6,FALSE)," ")</f>
        <v xml:space="preserve"> </v>
      </c>
      <c r="AG85" s="90" t="str">
        <f>IFERROR(VLOOKUP(A85&amp;"aaaaaaaa",COPY!$S$2:$AA$1000,6,FALSE)," ")</f>
        <v xml:space="preserve"> </v>
      </c>
      <c r="AH85" s="90" t="str">
        <f>IFERROR(VLOOKUP(A85&amp;"aaaaaaaaa",COPY!$S$2:$AA$1000,6,FALSE)," ")</f>
        <v xml:space="preserve"> </v>
      </c>
      <c r="AI85" s="90" t="str">
        <f>IFERROR(VLOOKUP(A85&amp;"aaaaaaaaaa",COPY!$S$2:$AA$1000,6,FALSE)," ")</f>
        <v xml:space="preserve"> </v>
      </c>
      <c r="AJ85" s="90" t="str">
        <f>IFERROR(VLOOKUP(A85&amp;"aaaaaaaaaaa",COPY!$S$2:$AA$1000,6,FALSE)," ")</f>
        <v xml:space="preserve"> </v>
      </c>
      <c r="AK85" s="90" t="str">
        <f>IF(LEFT(B85,2)="mg",VLOOKUP(A85,COPY!$S$2:$AA$1000,7,FALSE),IF(LEFT(B85,1)="G"," ",IF(LEFT(B85,2)="ma"," "," ")))</f>
        <v xml:space="preserve"> </v>
      </c>
      <c r="AL85" s="90" t="str">
        <f>IFERROR(VLOOKUP(A85&amp;"a",COPY!$S$2:$AA$1000,7,FALSE)," ")</f>
        <v xml:space="preserve"> </v>
      </c>
      <c r="AM85" s="90" t="str">
        <f>IFERROR(VLOOKUP(A85&amp;"aa",COPY!$S$2:$AA$1000,7,FALSE)," ")</f>
        <v xml:space="preserve"> </v>
      </c>
      <c r="AN85" s="90" t="str">
        <f>IFERROR(VLOOKUP(A85&amp;"aaa",COPY!$S$2:$AA$1000,7,FALSE)," ")</f>
        <v xml:space="preserve"> </v>
      </c>
      <c r="AO85" s="90" t="str">
        <f>IFERROR(VLOOKUP(A85&amp;"aaaa",COPY!$S$2:$AA$1000,7,FALSE)," ")</f>
        <v xml:space="preserve"> </v>
      </c>
      <c r="AP85" s="90" t="str">
        <f>IFERROR(VLOOKUP(A85&amp;"aaaaa",COPY!$S$2:$AA$1000,7,FALSE)," ")</f>
        <v xml:space="preserve"> </v>
      </c>
      <c r="AQ85" s="90" t="str">
        <f>IFERROR(VLOOKUP(A85&amp;"aaaaaa",COPY!$S$2:$AA$1000,7,FALSE)," ")</f>
        <v xml:space="preserve"> </v>
      </c>
      <c r="AR85" s="90" t="str">
        <f>IFERROR(VLOOKUP(A85&amp;"aaaaaaa",COPY!$S$2:$AA$1000,7,FALSE)," ")</f>
        <v xml:space="preserve"> </v>
      </c>
      <c r="AS85" s="90" t="str">
        <f>IFERROR(VLOOKUP(A85&amp;"aaaaaaaa",COPY!$S$2:$AA$1000,7,FALSE)," ")</f>
        <v xml:space="preserve"> </v>
      </c>
      <c r="AT85" s="90" t="str">
        <f>IFERROR(VLOOKUP(A85&amp;"aaaaaaaaa",COPY!$S$2:$AA$1000,7,FALSE)," ")</f>
        <v xml:space="preserve"> </v>
      </c>
      <c r="AU85" s="90" t="str">
        <f>IFERROR(VLOOKUP(A85&amp;"aaaaaaaaaa",COPY!$S$2:$AA$1000,7,FALSE)," ")</f>
        <v xml:space="preserve"> </v>
      </c>
      <c r="AV85" s="90" t="str">
        <f>IFERROR(VLOOKUP(A85&amp;"aaaaaaaaaaa",COPY!$S$2:$AA$1000,7,FALSE)," ")</f>
        <v xml:space="preserve"> </v>
      </c>
    </row>
    <row r="86" spans="1:48" x14ac:dyDescent="0.2">
      <c r="A86" s="75" t="str">
        <f>'REKAP PAJAK'!W123</f>
        <v/>
      </c>
      <c r="B86" s="75" t="str">
        <f>IF(LEN(A86)&gt;1,VLOOKUP(A86,COPY!$O$2:$R$1000,4,FALSE),"")</f>
        <v/>
      </c>
      <c r="C86" s="75" t="str">
        <f t="shared" si="6"/>
        <v xml:space="preserve"> </v>
      </c>
      <c r="D86" s="75" t="str">
        <f t="shared" si="7"/>
        <v xml:space="preserve"> </v>
      </c>
      <c r="E86" s="75" t="str">
        <f t="shared" si="8"/>
        <v xml:space="preserve"> </v>
      </c>
      <c r="F86" s="75" t="str">
        <f t="shared" si="9"/>
        <v xml:space="preserve"> </v>
      </c>
      <c r="G86" s="75" t="str">
        <f>IFERROR(TEXT(VLOOKUP(A86,COPY!$S$2:$W$1000,3,FALSE),"dd-mmmm-yyyy")," ")</f>
        <v xml:space="preserve"> </v>
      </c>
      <c r="H86" s="75" t="str">
        <f t="shared" si="10"/>
        <v xml:space="preserve"> </v>
      </c>
      <c r="I86" s="75" t="str">
        <f t="shared" si="11"/>
        <v xml:space="preserve"> </v>
      </c>
      <c r="J86" s="90" t="str">
        <f>IFERROR(VLOOKUP(A86,COPY!$S$2:$W$1000,4,FALSE)," ")</f>
        <v xml:space="preserve"> </v>
      </c>
      <c r="K86" s="75" t="str">
        <f>IFERROR(VLOOKUP(A86,COPY!$S$2:$W$1000,5,FALSE)," ")</f>
        <v xml:space="preserve"> </v>
      </c>
      <c r="L86" s="75" t="str">
        <f>IF(B86="","",IF(LEFT(B86,2)="Ma",(VLOOKUP(B86,'Rekap Gaji'!$C$12:$D$26,2,FALSE))&amp;" Untuk "&amp;(PROPER('Rekap Gaji'!$B$2)),IF(LEFT(B86,2)="Mg","Pembelian Material Bahan Bangunan",IF(LEFT(B86,2)="Me","Biaya Pembelanjaan Menejemen",IF(LEFT(B86,1)="G",VLOOKUP(A86,COPY!$S$2:$AA$1000,2,FALSE)&amp;"( "&amp;TEXT(VLOOKUP(B86,'Rekap Gaji'!$A$12:$I$26,5,FALSE),"dd-mm-yyyy")&amp;" "&amp;TEXT(VLOOKUP(B86,'Rekap Gaji'!$A$12:$I$26,6,FALSE)&amp;" "&amp;TEXT(VLOOKUP(B86,'Rekap Gaji'!$A$12:$I$26,7,FALSE),"dd-mm-yyyy")&amp;" )"," "))))))</f>
        <v/>
      </c>
      <c r="M86" s="75" t="str">
        <f>IF(OR(LEFT(B86,2)="mg",LEFT(B86,2)="mE"),VLOOKUP(A86,COPY!$S$2:$AA$1000,2,FALSE),IF(LEFT(B86,1)="G"," ",IF(LEFT(B86,2)="ma"," "," ")))</f>
        <v xml:space="preserve"> </v>
      </c>
      <c r="N86" s="75" t="str">
        <f>IFERROR(VLOOKUP($A$86&amp;"a",COPY!$S$2:$AA$1000,2,FALSE)," ")</f>
        <v xml:space="preserve"> </v>
      </c>
      <c r="O86" s="75" t="str">
        <f>IFERROR(VLOOKUP($A$86&amp;"aa",COPY!$S$2:$AA$1000,2,FALSE)," ")</f>
        <v xml:space="preserve"> </v>
      </c>
      <c r="P86" s="75" t="str">
        <f>IFERROR(VLOOKUP($A$86&amp;"aaa",COPY!$S$2:$AA$1000,2,FALSE)," ")</f>
        <v xml:space="preserve"> </v>
      </c>
      <c r="Q86" s="75" t="str">
        <f>IFERROR(VLOOKUP($A$86&amp;"aaaa",COPY!$S$2:$AA$1000,2,FALSE)," ")</f>
        <v xml:space="preserve"> </v>
      </c>
      <c r="R86" s="75" t="str">
        <f>IFERROR(VLOOKUP($A$86&amp;"aaaaa",COPY!$S$2:$AA$1000,2,FALSE)," ")</f>
        <v xml:space="preserve"> </v>
      </c>
      <c r="S86" s="75" t="str">
        <f>IFERROR(VLOOKUP($A$86&amp;"aaaaaa",COPY!$S$2:$AA$1000,2,FALSE)," ")</f>
        <v xml:space="preserve"> </v>
      </c>
      <c r="T86" s="75" t="str">
        <f>IFERROR(VLOOKUP($A$86&amp;"aaaaaaa",COPY!$S$2:$AA$1000,2,FALSE)," ")</f>
        <v xml:space="preserve"> </v>
      </c>
      <c r="U86" s="75" t="str">
        <f>IFERROR(VLOOKUP($A$86&amp;"aaaaaaaa",COPY!$S$2:$AA$1000,2,FALSE)," ")</f>
        <v xml:space="preserve"> </v>
      </c>
      <c r="V86" s="75" t="str">
        <f>IFERROR(VLOOKUP($A$86&amp;"aaaaaaaaa",COPY!$S$2:$AA$1000,2,FALSE)," ")</f>
        <v xml:space="preserve"> </v>
      </c>
      <c r="W86" s="75" t="str">
        <f>IFERROR(VLOOKUP($A$86&amp;"aaaaaaaaaa",COPY!$S$2:$AA$1000,2,FALSE)," ")</f>
        <v xml:space="preserve"> </v>
      </c>
      <c r="X86" s="75" t="str">
        <f>IFERROR(VLOOKUP($A$86&amp;"aaaaaaaaaaa",COPY!$S$2:$AA$1000,2,FALSE)," ")</f>
        <v xml:space="preserve"> </v>
      </c>
      <c r="Y86" s="90" t="str">
        <f>IF(OR(LEFT(B86,2)="mg",LEFT(B86,2)="mE"),VLOOKUP(A86,COPY!$S$2:$AA$1000,6,FALSE),IF(LEFT(B86,1)="G"," ",IF(LEFT(B86,2)="ma"," "," ")))</f>
        <v xml:space="preserve"> </v>
      </c>
      <c r="Z86" s="90" t="str">
        <f>IFERROR(VLOOKUP(A86&amp;"a",COPY!$S$2:$AA$1000,6,FALSE)," ")</f>
        <v xml:space="preserve"> </v>
      </c>
      <c r="AA86" s="90" t="str">
        <f>IFERROR(VLOOKUP(A86&amp;"aa",COPY!$S$2:$AA$1000,6,FALSE)," ")</f>
        <v xml:space="preserve"> </v>
      </c>
      <c r="AB86" s="90" t="str">
        <f>IFERROR(VLOOKUP(A86&amp;"aaa",COPY!$S$2:$AA$1000,6,FALSE)," ")</f>
        <v xml:space="preserve"> </v>
      </c>
      <c r="AC86" s="90" t="str">
        <f>IFERROR(VLOOKUP(A86&amp;"aaaa",COPY!$S$2:$AA$1000,6,FALSE)," ")</f>
        <v xml:space="preserve"> </v>
      </c>
      <c r="AD86" s="90" t="str">
        <f>IFERROR(VLOOKUP(A86&amp;"aaaaa",COPY!$S$2:$AA$1000,6,FALSE)," ")</f>
        <v xml:space="preserve"> </v>
      </c>
      <c r="AE86" s="90" t="str">
        <f>IFERROR(VLOOKUP(A86&amp;"aaaaaa",COPY!$S$2:$AA$1000,6,FALSE)," ")</f>
        <v xml:space="preserve"> </v>
      </c>
      <c r="AF86" s="90" t="str">
        <f>IFERROR(VLOOKUP(A86&amp;"aaaaaaa",COPY!$S$2:$AA$1000,6,FALSE)," ")</f>
        <v xml:space="preserve"> </v>
      </c>
      <c r="AG86" s="90" t="str">
        <f>IFERROR(VLOOKUP(A86&amp;"aaaaaaaa",COPY!$S$2:$AA$1000,6,FALSE)," ")</f>
        <v xml:space="preserve"> </v>
      </c>
      <c r="AH86" s="90" t="str">
        <f>IFERROR(VLOOKUP(A86&amp;"aaaaaaaaa",COPY!$S$2:$AA$1000,6,FALSE)," ")</f>
        <v xml:space="preserve"> </v>
      </c>
      <c r="AI86" s="90" t="str">
        <f>IFERROR(VLOOKUP(A86&amp;"aaaaaaaaaa",COPY!$S$2:$AA$1000,6,FALSE)," ")</f>
        <v xml:space="preserve"> </v>
      </c>
      <c r="AJ86" s="90" t="str">
        <f>IFERROR(VLOOKUP(A86&amp;"aaaaaaaaaaa",COPY!$S$2:$AA$1000,6,FALSE)," ")</f>
        <v xml:space="preserve"> </v>
      </c>
      <c r="AK86" s="90" t="str">
        <f>IF(LEFT(B86,2)="mg",VLOOKUP(A86,COPY!$S$2:$AA$1000,7,FALSE),IF(LEFT(B86,1)="G"," ",IF(LEFT(B86,2)="ma"," "," ")))</f>
        <v xml:space="preserve"> </v>
      </c>
      <c r="AL86" s="90" t="str">
        <f>IFERROR(VLOOKUP(A86&amp;"a",COPY!$S$2:$AA$1000,7,FALSE)," ")</f>
        <v xml:space="preserve"> </v>
      </c>
      <c r="AM86" s="90" t="str">
        <f>IFERROR(VLOOKUP(A86&amp;"aa",COPY!$S$2:$AA$1000,7,FALSE)," ")</f>
        <v xml:space="preserve"> </v>
      </c>
      <c r="AN86" s="90" t="str">
        <f>IFERROR(VLOOKUP(A86&amp;"aaa",COPY!$S$2:$AA$1000,7,FALSE)," ")</f>
        <v xml:space="preserve"> </v>
      </c>
      <c r="AO86" s="90" t="str">
        <f>IFERROR(VLOOKUP(A86&amp;"aaaa",COPY!$S$2:$AA$1000,7,FALSE)," ")</f>
        <v xml:space="preserve"> </v>
      </c>
      <c r="AP86" s="90" t="str">
        <f>IFERROR(VLOOKUP(A86&amp;"aaaaa",COPY!$S$2:$AA$1000,7,FALSE)," ")</f>
        <v xml:space="preserve"> </v>
      </c>
      <c r="AQ86" s="90" t="str">
        <f>IFERROR(VLOOKUP(A86&amp;"aaaaaa",COPY!$S$2:$AA$1000,7,FALSE)," ")</f>
        <v xml:space="preserve"> </v>
      </c>
      <c r="AR86" s="90" t="str">
        <f>IFERROR(VLOOKUP(A86&amp;"aaaaaaa",COPY!$S$2:$AA$1000,7,FALSE)," ")</f>
        <v xml:space="preserve"> </v>
      </c>
      <c r="AS86" s="90" t="str">
        <f>IFERROR(VLOOKUP(A86&amp;"aaaaaaaa",COPY!$S$2:$AA$1000,7,FALSE)," ")</f>
        <v xml:space="preserve"> </v>
      </c>
      <c r="AT86" s="90" t="str">
        <f>IFERROR(VLOOKUP(A86&amp;"aaaaaaaaa",COPY!$S$2:$AA$1000,7,FALSE)," ")</f>
        <v xml:space="preserve"> </v>
      </c>
      <c r="AU86" s="90" t="str">
        <f>IFERROR(VLOOKUP(A86&amp;"aaaaaaaaaa",COPY!$S$2:$AA$1000,7,FALSE)," ")</f>
        <v xml:space="preserve"> </v>
      </c>
      <c r="AV86" s="90" t="str">
        <f>IFERROR(VLOOKUP(A86&amp;"aaaaaaaaaaa",COPY!$S$2:$AA$1000,7,FALSE)," ")</f>
        <v xml:space="preserve"> </v>
      </c>
    </row>
    <row r="87" spans="1:48" x14ac:dyDescent="0.2">
      <c r="A87" s="75" t="str">
        <f>'REKAP PAJAK'!W124</f>
        <v/>
      </c>
      <c r="B87" s="75" t="str">
        <f>IF(LEN(A87)&gt;1,VLOOKUP(A87,COPY!$O$2:$R$1000,4,FALSE),"")</f>
        <v/>
      </c>
      <c r="C87" s="75" t="str">
        <f t="shared" si="6"/>
        <v xml:space="preserve"> </v>
      </c>
      <c r="D87" s="75" t="str">
        <f t="shared" si="7"/>
        <v xml:space="preserve"> </v>
      </c>
      <c r="E87" s="75" t="str">
        <f t="shared" si="8"/>
        <v xml:space="preserve"> </v>
      </c>
      <c r="F87" s="75" t="str">
        <f t="shared" si="9"/>
        <v xml:space="preserve"> </v>
      </c>
      <c r="G87" s="75" t="str">
        <f>IFERROR(TEXT(VLOOKUP(A87,COPY!$S$2:$W$1000,3,FALSE),"dd-mmmm-yyyy")," ")</f>
        <v xml:space="preserve"> </v>
      </c>
      <c r="H87" s="75" t="str">
        <f t="shared" si="10"/>
        <v xml:space="preserve"> </v>
      </c>
      <c r="I87" s="75" t="str">
        <f t="shared" si="11"/>
        <v xml:space="preserve"> </v>
      </c>
      <c r="J87" s="90" t="str">
        <f>IFERROR(VLOOKUP(A87,COPY!$S$2:$W$1000,4,FALSE)," ")</f>
        <v xml:space="preserve"> </v>
      </c>
      <c r="K87" s="75" t="str">
        <f>IFERROR(VLOOKUP(A87,COPY!$S$2:$W$1000,5,FALSE)," ")</f>
        <v xml:space="preserve"> </v>
      </c>
      <c r="L87" s="75" t="str">
        <f>IF(B87="","",IF(LEFT(B87,2)="Ma",(VLOOKUP(B87,'Rekap Gaji'!$C$12:$D$26,2,FALSE))&amp;" Untuk "&amp;(PROPER('Rekap Gaji'!$B$2)),IF(LEFT(B87,2)="Mg","Pembelian Material Bahan Bangunan",IF(LEFT(B87,2)="Me","Biaya Pembelanjaan Menejemen",IF(LEFT(B87,1)="G",VLOOKUP(A87,COPY!$S$2:$AA$1000,2,FALSE)&amp;"( "&amp;TEXT(VLOOKUP(B87,'Rekap Gaji'!$A$12:$I$26,5,FALSE),"dd-mm-yyyy")&amp;" "&amp;TEXT(VLOOKUP(B87,'Rekap Gaji'!$A$12:$I$26,6,FALSE)&amp;" "&amp;TEXT(VLOOKUP(B87,'Rekap Gaji'!$A$12:$I$26,7,FALSE),"dd-mm-yyyy")&amp;" )"," "))))))</f>
        <v/>
      </c>
      <c r="M87" s="75" t="str">
        <f>IF(OR(LEFT(B87,2)="mg",LEFT(B87,2)="mE"),VLOOKUP(A87,COPY!$S$2:$AA$1000,2,FALSE),IF(LEFT(B87,1)="G"," ",IF(LEFT(B87,2)="ma"," "," ")))</f>
        <v xml:space="preserve"> </v>
      </c>
      <c r="N87" s="75" t="str">
        <f>IFERROR(VLOOKUP($A$87&amp;"a",COPY!$S$2:$AA$1000,2,FALSE)," ")</f>
        <v xml:space="preserve"> </v>
      </c>
      <c r="O87" s="75" t="str">
        <f>IFERROR(VLOOKUP($A$87&amp;"aa",COPY!$S$2:$AA$1000,2,FALSE)," ")</f>
        <v xml:space="preserve"> </v>
      </c>
      <c r="P87" s="75" t="str">
        <f>IFERROR(VLOOKUP($A$87&amp;"aaa",COPY!$S$2:$AA$1000,2,FALSE)," ")</f>
        <v xml:space="preserve"> </v>
      </c>
      <c r="Q87" s="75" t="str">
        <f>IFERROR(VLOOKUP($A$87&amp;"aaaa",COPY!$S$2:$AA$1000,2,FALSE)," ")</f>
        <v xml:space="preserve"> </v>
      </c>
      <c r="R87" s="75" t="str">
        <f>IFERROR(VLOOKUP($A$87&amp;"aaaaa",COPY!$S$2:$AA$1000,2,FALSE)," ")</f>
        <v xml:space="preserve"> </v>
      </c>
      <c r="S87" s="75" t="str">
        <f>IFERROR(VLOOKUP($A$87&amp;"aaaaaa",COPY!$S$2:$AA$1000,2,FALSE)," ")</f>
        <v xml:space="preserve"> </v>
      </c>
      <c r="T87" s="75" t="str">
        <f>IFERROR(VLOOKUP($A$87&amp;"aaaaaaa",COPY!$S$2:$AA$1000,2,FALSE)," ")</f>
        <v xml:space="preserve"> </v>
      </c>
      <c r="U87" s="75" t="str">
        <f>IFERROR(VLOOKUP($A$87&amp;"aaaaaaaa",COPY!$S$2:$AA$1000,2,FALSE)," ")</f>
        <v xml:space="preserve"> </v>
      </c>
      <c r="V87" s="75" t="str">
        <f>IFERROR(VLOOKUP($A$87&amp;"aaaaaaaaa",COPY!$S$2:$AA$1000,2,FALSE)," ")</f>
        <v xml:space="preserve"> </v>
      </c>
      <c r="W87" s="75" t="str">
        <f>IFERROR(VLOOKUP($A$87&amp;"aaaaaaaaaa",COPY!$S$2:$AA$1000,2,FALSE)," ")</f>
        <v xml:space="preserve"> </v>
      </c>
      <c r="X87" s="75" t="str">
        <f>IFERROR(VLOOKUP($A$87&amp;"aaaaaaaaaaa",COPY!$S$2:$AA$1000,2,FALSE)," ")</f>
        <v xml:space="preserve"> </v>
      </c>
      <c r="Y87" s="90" t="str">
        <f>IF(OR(LEFT(B87,2)="mg",LEFT(B87,2)="mE"),VLOOKUP(A87,COPY!$S$2:$AA$1000,6,FALSE),IF(LEFT(B87,1)="G"," ",IF(LEFT(B87,2)="ma"," "," ")))</f>
        <v xml:space="preserve"> </v>
      </c>
      <c r="Z87" s="90" t="str">
        <f>IFERROR(VLOOKUP(A87&amp;"a",COPY!$S$2:$AA$1000,6,FALSE)," ")</f>
        <v xml:space="preserve"> </v>
      </c>
      <c r="AA87" s="90" t="str">
        <f>IFERROR(VLOOKUP(A87&amp;"aa",COPY!$S$2:$AA$1000,6,FALSE)," ")</f>
        <v xml:space="preserve"> </v>
      </c>
      <c r="AB87" s="90" t="str">
        <f>IFERROR(VLOOKUP(A87&amp;"aaa",COPY!$S$2:$AA$1000,6,FALSE)," ")</f>
        <v xml:space="preserve"> </v>
      </c>
      <c r="AC87" s="90" t="str">
        <f>IFERROR(VLOOKUP(A87&amp;"aaaa",COPY!$S$2:$AA$1000,6,FALSE)," ")</f>
        <v xml:space="preserve"> </v>
      </c>
      <c r="AD87" s="90" t="str">
        <f>IFERROR(VLOOKUP(A87&amp;"aaaaa",COPY!$S$2:$AA$1000,6,FALSE)," ")</f>
        <v xml:space="preserve"> </v>
      </c>
      <c r="AE87" s="90" t="str">
        <f>IFERROR(VLOOKUP(A87&amp;"aaaaaa",COPY!$S$2:$AA$1000,6,FALSE)," ")</f>
        <v xml:space="preserve"> </v>
      </c>
      <c r="AF87" s="90" t="str">
        <f>IFERROR(VLOOKUP(A87&amp;"aaaaaaa",COPY!$S$2:$AA$1000,6,FALSE)," ")</f>
        <v xml:space="preserve"> </v>
      </c>
      <c r="AG87" s="90" t="str">
        <f>IFERROR(VLOOKUP(A87&amp;"aaaaaaaa",COPY!$S$2:$AA$1000,6,FALSE)," ")</f>
        <v xml:space="preserve"> </v>
      </c>
      <c r="AH87" s="90" t="str">
        <f>IFERROR(VLOOKUP(A87&amp;"aaaaaaaaa",COPY!$S$2:$AA$1000,6,FALSE)," ")</f>
        <v xml:space="preserve"> </v>
      </c>
      <c r="AI87" s="90" t="str">
        <f>IFERROR(VLOOKUP(A87&amp;"aaaaaaaaaa",COPY!$S$2:$AA$1000,6,FALSE)," ")</f>
        <v xml:space="preserve"> </v>
      </c>
      <c r="AJ87" s="90" t="str">
        <f>IFERROR(VLOOKUP(A87&amp;"aaaaaaaaaaa",COPY!$S$2:$AA$1000,6,FALSE)," ")</f>
        <v xml:space="preserve"> </v>
      </c>
      <c r="AK87" s="90" t="str">
        <f>IF(LEFT(B87,2)="mg",VLOOKUP(A87,COPY!$S$2:$AA$1000,7,FALSE),IF(LEFT(B87,1)="G"," ",IF(LEFT(B87,2)="ma"," "," ")))</f>
        <v xml:space="preserve"> </v>
      </c>
      <c r="AL87" s="90" t="str">
        <f>IFERROR(VLOOKUP(A87&amp;"a",COPY!$S$2:$AA$1000,7,FALSE)," ")</f>
        <v xml:space="preserve"> </v>
      </c>
      <c r="AM87" s="90" t="str">
        <f>IFERROR(VLOOKUP(A87&amp;"aa",COPY!$S$2:$AA$1000,7,FALSE)," ")</f>
        <v xml:space="preserve"> </v>
      </c>
      <c r="AN87" s="90" t="str">
        <f>IFERROR(VLOOKUP(A87&amp;"aaa",COPY!$S$2:$AA$1000,7,FALSE)," ")</f>
        <v xml:space="preserve"> </v>
      </c>
      <c r="AO87" s="90" t="str">
        <f>IFERROR(VLOOKUP(A87&amp;"aaaa",COPY!$S$2:$AA$1000,7,FALSE)," ")</f>
        <v xml:space="preserve"> </v>
      </c>
      <c r="AP87" s="90" t="str">
        <f>IFERROR(VLOOKUP(A87&amp;"aaaaa",COPY!$S$2:$AA$1000,7,FALSE)," ")</f>
        <v xml:space="preserve"> </v>
      </c>
      <c r="AQ87" s="90" t="str">
        <f>IFERROR(VLOOKUP(A87&amp;"aaaaaa",COPY!$S$2:$AA$1000,7,FALSE)," ")</f>
        <v xml:space="preserve"> </v>
      </c>
      <c r="AR87" s="90" t="str">
        <f>IFERROR(VLOOKUP(A87&amp;"aaaaaaa",COPY!$S$2:$AA$1000,7,FALSE)," ")</f>
        <v xml:space="preserve"> </v>
      </c>
      <c r="AS87" s="90" t="str">
        <f>IFERROR(VLOOKUP(A87&amp;"aaaaaaaa",COPY!$S$2:$AA$1000,7,FALSE)," ")</f>
        <v xml:space="preserve"> </v>
      </c>
      <c r="AT87" s="90" t="str">
        <f>IFERROR(VLOOKUP(A87&amp;"aaaaaaaaa",COPY!$S$2:$AA$1000,7,FALSE)," ")</f>
        <v xml:space="preserve"> </v>
      </c>
      <c r="AU87" s="90" t="str">
        <f>IFERROR(VLOOKUP(A87&amp;"aaaaaaaaaa",COPY!$S$2:$AA$1000,7,FALSE)," ")</f>
        <v xml:space="preserve"> </v>
      </c>
      <c r="AV87" s="90" t="str">
        <f>IFERROR(VLOOKUP(A87&amp;"aaaaaaaaaaa",COPY!$S$2:$AA$1000,7,FALSE)," ")</f>
        <v xml:space="preserve"> </v>
      </c>
    </row>
    <row r="88" spans="1:48" x14ac:dyDescent="0.2">
      <c r="A88" s="75" t="str">
        <f>'REKAP PAJAK'!W125</f>
        <v/>
      </c>
      <c r="B88" s="75" t="str">
        <f>IF(LEN(A88)&gt;1,VLOOKUP(A88,COPY!$O$2:$R$1000,4,FALSE),"")</f>
        <v/>
      </c>
      <c r="C88" s="75" t="str">
        <f t="shared" si="6"/>
        <v xml:space="preserve"> </v>
      </c>
      <c r="D88" s="75" t="str">
        <f t="shared" si="7"/>
        <v xml:space="preserve"> </v>
      </c>
      <c r="E88" s="75" t="str">
        <f t="shared" si="8"/>
        <v xml:space="preserve"> </v>
      </c>
      <c r="F88" s="75" t="str">
        <f t="shared" si="9"/>
        <v xml:space="preserve"> </v>
      </c>
      <c r="G88" s="75" t="str">
        <f>IFERROR(TEXT(VLOOKUP(A88,COPY!$S$2:$W$1000,3,FALSE),"dd-mmmm-yyyy")," ")</f>
        <v xml:space="preserve"> </v>
      </c>
      <c r="H88" s="75" t="str">
        <f t="shared" si="10"/>
        <v xml:space="preserve"> </v>
      </c>
      <c r="I88" s="75" t="str">
        <f t="shared" si="11"/>
        <v xml:space="preserve"> </v>
      </c>
      <c r="J88" s="90" t="str">
        <f>IFERROR(VLOOKUP(A88,COPY!$S$2:$W$1000,4,FALSE)," ")</f>
        <v xml:space="preserve"> </v>
      </c>
      <c r="K88" s="75" t="str">
        <f>IFERROR(VLOOKUP(A88,COPY!$S$2:$W$1000,5,FALSE)," ")</f>
        <v xml:space="preserve"> </v>
      </c>
      <c r="L88" s="75" t="str">
        <f>IF(B88="","",IF(LEFT(B88,2)="Ma",(VLOOKUP(B88,'Rekap Gaji'!$C$12:$D$26,2,FALSE))&amp;" Untuk "&amp;(PROPER('Rekap Gaji'!$B$2)),IF(LEFT(B88,2)="Mg","Pembelian Material Bahan Bangunan",IF(LEFT(B88,2)="Me","Biaya Pembelanjaan Menejemen",IF(LEFT(B88,1)="G",VLOOKUP(A88,COPY!$S$2:$AA$1000,2,FALSE)&amp;"( "&amp;TEXT(VLOOKUP(B88,'Rekap Gaji'!$A$12:$I$26,5,FALSE),"dd-mm-yyyy")&amp;" "&amp;TEXT(VLOOKUP(B88,'Rekap Gaji'!$A$12:$I$26,6,FALSE)&amp;" "&amp;TEXT(VLOOKUP(B88,'Rekap Gaji'!$A$12:$I$26,7,FALSE),"dd-mm-yyyy")&amp;" )"," "))))))</f>
        <v/>
      </c>
      <c r="M88" s="75" t="str">
        <f>IF(OR(LEFT(B88,2)="mg",LEFT(B88,2)="mE"),VLOOKUP(A88,COPY!$S$2:$AA$1000,2,FALSE),IF(LEFT(B88,1)="G"," ",IF(LEFT(B88,2)="ma"," "," ")))</f>
        <v xml:space="preserve"> </v>
      </c>
      <c r="N88" s="75" t="str">
        <f>IFERROR(VLOOKUP($A$88&amp;"a",COPY!$S$2:$AA$1000,2,FALSE)," ")</f>
        <v xml:space="preserve"> </v>
      </c>
      <c r="O88" s="75" t="str">
        <f>IFERROR(VLOOKUP($A$88&amp;"aa",COPY!$S$2:$AA$1000,2,FALSE)," ")</f>
        <v xml:space="preserve"> </v>
      </c>
      <c r="P88" s="75" t="str">
        <f>IFERROR(VLOOKUP($A$88&amp;"aaa",COPY!$S$2:$AA$1000,2,FALSE)," ")</f>
        <v xml:space="preserve"> </v>
      </c>
      <c r="Q88" s="75" t="str">
        <f>IFERROR(VLOOKUP($A$88&amp;"aaaa",COPY!$S$2:$AA$1000,2,FALSE)," ")</f>
        <v xml:space="preserve"> </v>
      </c>
      <c r="R88" s="75" t="str">
        <f>IFERROR(VLOOKUP($A$88&amp;"aaaaa",COPY!$S$2:$AA$1000,2,FALSE)," ")</f>
        <v xml:space="preserve"> </v>
      </c>
      <c r="S88" s="75" t="str">
        <f>IFERROR(VLOOKUP($A$88&amp;"aaaaaa",COPY!$S$2:$AA$1000,2,FALSE)," ")</f>
        <v xml:space="preserve"> </v>
      </c>
      <c r="T88" s="75" t="str">
        <f>IFERROR(VLOOKUP($A$88&amp;"aaaaaaa",COPY!$S$2:$AA$1000,2,FALSE)," ")</f>
        <v xml:space="preserve"> </v>
      </c>
      <c r="U88" s="75" t="str">
        <f>IFERROR(VLOOKUP($A$88&amp;"aaaaaaaa",COPY!$S$2:$AA$1000,2,FALSE)," ")</f>
        <v xml:space="preserve"> </v>
      </c>
      <c r="V88" s="75" t="str">
        <f>IFERROR(VLOOKUP($A$88&amp;"aaaaaaaaa",COPY!$S$2:$AA$1000,2,FALSE)," ")</f>
        <v xml:space="preserve"> </v>
      </c>
      <c r="W88" s="75" t="str">
        <f>IFERROR(VLOOKUP($A$88&amp;"aaaaaaaaaa",COPY!$S$2:$AA$1000,2,FALSE)," ")</f>
        <v xml:space="preserve"> </v>
      </c>
      <c r="X88" s="75" t="str">
        <f>IFERROR(VLOOKUP($A$88&amp;"aaaaaaaaaaa",COPY!$S$2:$AA$1000,2,FALSE)," ")</f>
        <v xml:space="preserve"> </v>
      </c>
      <c r="Y88" s="90" t="str">
        <f>IF(OR(LEFT(B88,2)="mg",LEFT(B88,2)="mE"),VLOOKUP(A88,COPY!$S$2:$AA$1000,6,FALSE),IF(LEFT(B88,1)="G"," ",IF(LEFT(B88,2)="ma"," "," ")))</f>
        <v xml:space="preserve"> </v>
      </c>
      <c r="Z88" s="90" t="str">
        <f>IFERROR(VLOOKUP(A88&amp;"a",COPY!$S$2:$AA$1000,6,FALSE)," ")</f>
        <v xml:space="preserve"> </v>
      </c>
      <c r="AA88" s="90" t="str">
        <f>IFERROR(VLOOKUP(A88&amp;"aa",COPY!$S$2:$AA$1000,6,FALSE)," ")</f>
        <v xml:space="preserve"> </v>
      </c>
      <c r="AB88" s="90" t="str">
        <f>IFERROR(VLOOKUP(A88&amp;"aaa",COPY!$S$2:$AA$1000,6,FALSE)," ")</f>
        <v xml:space="preserve"> </v>
      </c>
      <c r="AC88" s="90" t="str">
        <f>IFERROR(VLOOKUP(A88&amp;"aaaa",COPY!$S$2:$AA$1000,6,FALSE)," ")</f>
        <v xml:space="preserve"> </v>
      </c>
      <c r="AD88" s="90" t="str">
        <f>IFERROR(VLOOKUP(A88&amp;"aaaaa",COPY!$S$2:$AA$1000,6,FALSE)," ")</f>
        <v xml:space="preserve"> </v>
      </c>
      <c r="AE88" s="90" t="str">
        <f>IFERROR(VLOOKUP(A88&amp;"aaaaaa",COPY!$S$2:$AA$1000,6,FALSE)," ")</f>
        <v xml:space="preserve"> </v>
      </c>
      <c r="AF88" s="90" t="str">
        <f>IFERROR(VLOOKUP(A88&amp;"aaaaaaa",COPY!$S$2:$AA$1000,6,FALSE)," ")</f>
        <v xml:space="preserve"> </v>
      </c>
      <c r="AG88" s="90" t="str">
        <f>IFERROR(VLOOKUP(A88&amp;"aaaaaaaa",COPY!$S$2:$AA$1000,6,FALSE)," ")</f>
        <v xml:space="preserve"> </v>
      </c>
      <c r="AH88" s="90" t="str">
        <f>IFERROR(VLOOKUP(A88&amp;"aaaaaaaaa",COPY!$S$2:$AA$1000,6,FALSE)," ")</f>
        <v xml:space="preserve"> </v>
      </c>
      <c r="AI88" s="90" t="str">
        <f>IFERROR(VLOOKUP(A88&amp;"aaaaaaaaaa",COPY!$S$2:$AA$1000,6,FALSE)," ")</f>
        <v xml:space="preserve"> </v>
      </c>
      <c r="AJ88" s="90" t="str">
        <f>IFERROR(VLOOKUP(A88&amp;"aaaaaaaaaaa",COPY!$S$2:$AA$1000,6,FALSE)," ")</f>
        <v xml:space="preserve"> </v>
      </c>
      <c r="AK88" s="90" t="str">
        <f>IF(LEFT(B88,2)="mg",VLOOKUP(A88,COPY!$S$2:$AA$1000,7,FALSE),IF(LEFT(B88,1)="G"," ",IF(LEFT(B88,2)="ma"," "," ")))</f>
        <v xml:space="preserve"> </v>
      </c>
      <c r="AL88" s="90" t="str">
        <f>IFERROR(VLOOKUP(A88&amp;"a",COPY!$S$2:$AA$1000,7,FALSE)," ")</f>
        <v xml:space="preserve"> </v>
      </c>
      <c r="AM88" s="90" t="str">
        <f>IFERROR(VLOOKUP(A88&amp;"aa",COPY!$S$2:$AA$1000,7,FALSE)," ")</f>
        <v xml:space="preserve"> </v>
      </c>
      <c r="AN88" s="90" t="str">
        <f>IFERROR(VLOOKUP(A88&amp;"aaa",COPY!$S$2:$AA$1000,7,FALSE)," ")</f>
        <v xml:space="preserve"> </v>
      </c>
      <c r="AO88" s="90" t="str">
        <f>IFERROR(VLOOKUP(A88&amp;"aaaa",COPY!$S$2:$AA$1000,7,FALSE)," ")</f>
        <v xml:space="preserve"> </v>
      </c>
      <c r="AP88" s="90" t="str">
        <f>IFERROR(VLOOKUP(A88&amp;"aaaaa",COPY!$S$2:$AA$1000,7,FALSE)," ")</f>
        <v xml:space="preserve"> </v>
      </c>
      <c r="AQ88" s="90" t="str">
        <f>IFERROR(VLOOKUP(A88&amp;"aaaaaa",COPY!$S$2:$AA$1000,7,FALSE)," ")</f>
        <v xml:space="preserve"> </v>
      </c>
      <c r="AR88" s="90" t="str">
        <f>IFERROR(VLOOKUP(A88&amp;"aaaaaaa",COPY!$S$2:$AA$1000,7,FALSE)," ")</f>
        <v xml:space="preserve"> </v>
      </c>
      <c r="AS88" s="90" t="str">
        <f>IFERROR(VLOOKUP(A88&amp;"aaaaaaaa",COPY!$S$2:$AA$1000,7,FALSE)," ")</f>
        <v xml:space="preserve"> </v>
      </c>
      <c r="AT88" s="90" t="str">
        <f>IFERROR(VLOOKUP(A88&amp;"aaaaaaaaa",COPY!$S$2:$AA$1000,7,FALSE)," ")</f>
        <v xml:space="preserve"> </v>
      </c>
      <c r="AU88" s="90" t="str">
        <f>IFERROR(VLOOKUP(A88&amp;"aaaaaaaaaa",COPY!$S$2:$AA$1000,7,FALSE)," ")</f>
        <v xml:space="preserve"> </v>
      </c>
      <c r="AV88" s="90" t="str">
        <f>IFERROR(VLOOKUP(A88&amp;"aaaaaaaaaaa",COPY!$S$2:$AA$1000,7,FALSE)," ")</f>
        <v xml:space="preserve"> </v>
      </c>
    </row>
    <row r="89" spans="1:48" x14ac:dyDescent="0.2">
      <c r="A89" s="75" t="str">
        <f>'REKAP PAJAK'!W126</f>
        <v/>
      </c>
      <c r="B89" s="75" t="str">
        <f>IF(LEN(A89)&gt;1,VLOOKUP(A89,COPY!$O$2:$R$1000,4,FALSE),"")</f>
        <v/>
      </c>
      <c r="C89" s="75" t="str">
        <f t="shared" si="6"/>
        <v xml:space="preserve"> </v>
      </c>
      <c r="D89" s="75" t="str">
        <f t="shared" si="7"/>
        <v xml:space="preserve"> </v>
      </c>
      <c r="E89" s="75" t="str">
        <f t="shared" si="8"/>
        <v xml:space="preserve"> </v>
      </c>
      <c r="F89" s="75" t="str">
        <f t="shared" si="9"/>
        <v xml:space="preserve"> </v>
      </c>
      <c r="G89" s="75" t="str">
        <f>IFERROR(TEXT(VLOOKUP(A89,COPY!$S$2:$W$1000,3,FALSE),"dd-mmmm-yyyy")," ")</f>
        <v xml:space="preserve"> </v>
      </c>
      <c r="H89" s="75" t="str">
        <f t="shared" si="10"/>
        <v xml:space="preserve"> </v>
      </c>
      <c r="I89" s="75" t="str">
        <f t="shared" si="11"/>
        <v xml:space="preserve"> </v>
      </c>
      <c r="J89" s="90" t="str">
        <f>IFERROR(VLOOKUP(A89,COPY!$S$2:$W$1000,4,FALSE)," ")</f>
        <v xml:space="preserve"> </v>
      </c>
      <c r="K89" s="75" t="str">
        <f>IFERROR(VLOOKUP(A89,COPY!$S$2:$W$1000,5,FALSE)," ")</f>
        <v xml:space="preserve"> </v>
      </c>
      <c r="L89" s="75" t="str">
        <f>IF(B89="","",IF(LEFT(B89,2)="Ma",(VLOOKUP(B89,'Rekap Gaji'!$C$12:$D$26,2,FALSE))&amp;" Untuk "&amp;(PROPER('Rekap Gaji'!$B$2)),IF(LEFT(B89,2)="Mg","Pembelian Material Bahan Bangunan",IF(LEFT(B89,2)="Me","Biaya Pembelanjaan Menejemen",IF(LEFT(B89,1)="G",VLOOKUP(A89,COPY!$S$2:$AA$1000,2,FALSE)&amp;"( "&amp;TEXT(VLOOKUP(B89,'Rekap Gaji'!$A$12:$I$26,5,FALSE),"dd-mm-yyyy")&amp;" "&amp;TEXT(VLOOKUP(B89,'Rekap Gaji'!$A$12:$I$26,6,FALSE)&amp;" "&amp;TEXT(VLOOKUP(B89,'Rekap Gaji'!$A$12:$I$26,7,FALSE),"dd-mm-yyyy")&amp;" )"," "))))))</f>
        <v/>
      </c>
      <c r="M89" s="75" t="str">
        <f>IF(OR(LEFT(B89,2)="mg",LEFT(B89,2)="mE"),VLOOKUP(A89,COPY!$S$2:$AA$1000,2,FALSE),IF(LEFT(B89,1)="G"," ",IF(LEFT(B89,2)="ma"," "," ")))</f>
        <v xml:space="preserve"> </v>
      </c>
      <c r="N89" s="75" t="str">
        <f>IFERROR(VLOOKUP($A$89&amp;"a",COPY!$S$2:$AA$1000,2,FALSE)," ")</f>
        <v xml:space="preserve"> </v>
      </c>
      <c r="O89" s="75" t="str">
        <f>IFERROR(VLOOKUP($A$89&amp;"aa",COPY!$S$2:$AA$1000,2,FALSE)," ")</f>
        <v xml:space="preserve"> </v>
      </c>
      <c r="P89" s="75" t="str">
        <f>IFERROR(VLOOKUP($A$89&amp;"aaa",COPY!$S$2:$AA$1000,2,FALSE)," ")</f>
        <v xml:space="preserve"> </v>
      </c>
      <c r="Q89" s="75" t="str">
        <f>IFERROR(VLOOKUP($A$89&amp;"aaaa",COPY!$S$2:$AA$1000,2,FALSE)," ")</f>
        <v xml:space="preserve"> </v>
      </c>
      <c r="R89" s="75" t="str">
        <f>IFERROR(VLOOKUP($A$89&amp;"aaaaa",COPY!$S$2:$AA$1000,2,FALSE)," ")</f>
        <v xml:space="preserve"> </v>
      </c>
      <c r="S89" s="75" t="str">
        <f>IFERROR(VLOOKUP($A$89&amp;"aaaaaa",COPY!$S$2:$AA$1000,2,FALSE)," ")</f>
        <v xml:space="preserve"> </v>
      </c>
      <c r="T89" s="75" t="str">
        <f>IFERROR(VLOOKUP($A$89&amp;"aaaaaaa",COPY!$S$2:$AA$1000,2,FALSE)," ")</f>
        <v xml:space="preserve"> </v>
      </c>
      <c r="U89" s="75" t="str">
        <f>IFERROR(VLOOKUP($A$89&amp;"aaaaaaaa",COPY!$S$2:$AA$1000,2,FALSE)," ")</f>
        <v xml:space="preserve"> </v>
      </c>
      <c r="V89" s="75" t="str">
        <f>IFERROR(VLOOKUP($A$89&amp;"aaaaaaaaa",COPY!$S$2:$AA$1000,2,FALSE)," ")</f>
        <v xml:space="preserve"> </v>
      </c>
      <c r="W89" s="75" t="str">
        <f>IFERROR(VLOOKUP($A$89&amp;"aaaaaaaaaa",COPY!$S$2:$AA$1000,2,FALSE)," ")</f>
        <v xml:space="preserve"> </v>
      </c>
      <c r="X89" s="75" t="str">
        <f>IFERROR(VLOOKUP($A$89&amp;"aaaaaaaaaaa",COPY!$S$2:$AA$1000,2,FALSE)," ")</f>
        <v xml:space="preserve"> </v>
      </c>
      <c r="Y89" s="90" t="str">
        <f>IF(OR(LEFT(B89,2)="mg",LEFT(B89,2)="mE"),VLOOKUP(A89,COPY!$S$2:$AA$1000,6,FALSE),IF(LEFT(B89,1)="G"," ",IF(LEFT(B89,2)="ma"," "," ")))</f>
        <v xml:space="preserve"> </v>
      </c>
      <c r="Z89" s="90" t="str">
        <f>IFERROR(VLOOKUP(A89&amp;"a",COPY!$S$2:$AA$1000,6,FALSE)," ")</f>
        <v xml:space="preserve"> </v>
      </c>
      <c r="AA89" s="90" t="str">
        <f>IFERROR(VLOOKUP(A89&amp;"aa",COPY!$S$2:$AA$1000,6,FALSE)," ")</f>
        <v xml:space="preserve"> </v>
      </c>
      <c r="AB89" s="90" t="str">
        <f>IFERROR(VLOOKUP(A89&amp;"aaa",COPY!$S$2:$AA$1000,6,FALSE)," ")</f>
        <v xml:space="preserve"> </v>
      </c>
      <c r="AC89" s="90" t="str">
        <f>IFERROR(VLOOKUP(A89&amp;"aaaa",COPY!$S$2:$AA$1000,6,FALSE)," ")</f>
        <v xml:space="preserve"> </v>
      </c>
      <c r="AD89" s="90" t="str">
        <f>IFERROR(VLOOKUP(A89&amp;"aaaaa",COPY!$S$2:$AA$1000,6,FALSE)," ")</f>
        <v xml:space="preserve"> </v>
      </c>
      <c r="AE89" s="90" t="str">
        <f>IFERROR(VLOOKUP(A89&amp;"aaaaaa",COPY!$S$2:$AA$1000,6,FALSE)," ")</f>
        <v xml:space="preserve"> </v>
      </c>
      <c r="AF89" s="90" t="str">
        <f>IFERROR(VLOOKUP(A89&amp;"aaaaaaa",COPY!$S$2:$AA$1000,6,FALSE)," ")</f>
        <v xml:space="preserve"> </v>
      </c>
      <c r="AG89" s="90" t="str">
        <f>IFERROR(VLOOKUP(A89&amp;"aaaaaaaa",COPY!$S$2:$AA$1000,6,FALSE)," ")</f>
        <v xml:space="preserve"> </v>
      </c>
      <c r="AH89" s="90" t="str">
        <f>IFERROR(VLOOKUP(A89&amp;"aaaaaaaaa",COPY!$S$2:$AA$1000,6,FALSE)," ")</f>
        <v xml:space="preserve"> </v>
      </c>
      <c r="AI89" s="90" t="str">
        <f>IFERROR(VLOOKUP(A89&amp;"aaaaaaaaaa",COPY!$S$2:$AA$1000,6,FALSE)," ")</f>
        <v xml:space="preserve"> </v>
      </c>
      <c r="AJ89" s="90" t="str">
        <f>IFERROR(VLOOKUP(A89&amp;"aaaaaaaaaaa",COPY!$S$2:$AA$1000,6,FALSE)," ")</f>
        <v xml:space="preserve"> </v>
      </c>
      <c r="AK89" s="90" t="str">
        <f>IF(LEFT(B89,2)="mg",VLOOKUP(A89,COPY!$S$2:$AA$1000,7,FALSE),IF(LEFT(B89,1)="G"," ",IF(LEFT(B89,2)="ma"," "," ")))</f>
        <v xml:space="preserve"> </v>
      </c>
      <c r="AL89" s="90" t="str">
        <f>IFERROR(VLOOKUP(A89&amp;"a",COPY!$S$2:$AA$1000,7,FALSE)," ")</f>
        <v xml:space="preserve"> </v>
      </c>
      <c r="AM89" s="90" t="str">
        <f>IFERROR(VLOOKUP(A89&amp;"aa",COPY!$S$2:$AA$1000,7,FALSE)," ")</f>
        <v xml:space="preserve"> </v>
      </c>
      <c r="AN89" s="90" t="str">
        <f>IFERROR(VLOOKUP(A89&amp;"aaa",COPY!$S$2:$AA$1000,7,FALSE)," ")</f>
        <v xml:space="preserve"> </v>
      </c>
      <c r="AO89" s="90" t="str">
        <f>IFERROR(VLOOKUP(A89&amp;"aaaa",COPY!$S$2:$AA$1000,7,FALSE)," ")</f>
        <v xml:space="preserve"> </v>
      </c>
      <c r="AP89" s="90" t="str">
        <f>IFERROR(VLOOKUP(A89&amp;"aaaaa",COPY!$S$2:$AA$1000,7,FALSE)," ")</f>
        <v xml:space="preserve"> </v>
      </c>
      <c r="AQ89" s="90" t="str">
        <f>IFERROR(VLOOKUP(A89&amp;"aaaaaa",COPY!$S$2:$AA$1000,7,FALSE)," ")</f>
        <v xml:space="preserve"> </v>
      </c>
      <c r="AR89" s="90" t="str">
        <f>IFERROR(VLOOKUP(A89&amp;"aaaaaaa",COPY!$S$2:$AA$1000,7,FALSE)," ")</f>
        <v xml:space="preserve"> </v>
      </c>
      <c r="AS89" s="90" t="str">
        <f>IFERROR(VLOOKUP(A89&amp;"aaaaaaaa",COPY!$S$2:$AA$1000,7,FALSE)," ")</f>
        <v xml:space="preserve"> </v>
      </c>
      <c r="AT89" s="90" t="str">
        <f>IFERROR(VLOOKUP(A89&amp;"aaaaaaaaa",COPY!$S$2:$AA$1000,7,FALSE)," ")</f>
        <v xml:space="preserve"> </v>
      </c>
      <c r="AU89" s="90" t="str">
        <f>IFERROR(VLOOKUP(A89&amp;"aaaaaaaaaa",COPY!$S$2:$AA$1000,7,FALSE)," ")</f>
        <v xml:space="preserve"> </v>
      </c>
      <c r="AV89" s="90" t="str">
        <f>IFERROR(VLOOKUP(A89&amp;"aaaaaaaaaaa",COPY!$S$2:$AA$1000,7,FALSE)," ")</f>
        <v xml:space="preserve"> </v>
      </c>
    </row>
    <row r="90" spans="1:48" x14ac:dyDescent="0.2">
      <c r="A90" s="75" t="str">
        <f>'REKAP PAJAK'!W127</f>
        <v/>
      </c>
      <c r="B90" s="75" t="str">
        <f>IF(LEN(A90)&gt;1,VLOOKUP(A90,COPY!$O$2:$R$1000,4,FALSE),"")</f>
        <v/>
      </c>
      <c r="C90" s="75" t="str">
        <f t="shared" si="6"/>
        <v xml:space="preserve"> </v>
      </c>
      <c r="D90" s="75" t="str">
        <f t="shared" si="7"/>
        <v xml:space="preserve"> </v>
      </c>
      <c r="E90" s="75" t="str">
        <f t="shared" si="8"/>
        <v xml:space="preserve"> </v>
      </c>
      <c r="F90" s="75" t="str">
        <f t="shared" si="9"/>
        <v xml:space="preserve"> </v>
      </c>
      <c r="G90" s="75" t="str">
        <f>IFERROR(TEXT(VLOOKUP(A90,COPY!$S$2:$W$1000,3,FALSE),"dd-mmmm-yyyy")," ")</f>
        <v xml:space="preserve"> </v>
      </c>
      <c r="H90" s="75" t="str">
        <f t="shared" si="10"/>
        <v xml:space="preserve"> </v>
      </c>
      <c r="I90" s="75" t="str">
        <f t="shared" si="11"/>
        <v xml:space="preserve"> </v>
      </c>
      <c r="J90" s="90" t="str">
        <f>IFERROR(VLOOKUP(A90,COPY!$S$2:$W$1000,4,FALSE)," ")</f>
        <v xml:space="preserve"> </v>
      </c>
      <c r="K90" s="75" t="str">
        <f>IFERROR(VLOOKUP(A90,COPY!$S$2:$W$1000,5,FALSE)," ")</f>
        <v xml:space="preserve"> </v>
      </c>
      <c r="L90" s="75" t="str">
        <f>IF(B90="","",IF(LEFT(B90,2)="Ma",(VLOOKUP(B90,'Rekap Gaji'!$C$12:$D$26,2,FALSE))&amp;" Untuk "&amp;(PROPER('Rekap Gaji'!$B$2)),IF(LEFT(B90,2)="Mg","Pembelian Material Bahan Bangunan",IF(LEFT(B90,2)="Me","Biaya Pembelanjaan Menejemen",IF(LEFT(B90,1)="G",VLOOKUP(A90,COPY!$S$2:$AA$1000,2,FALSE)&amp;"( "&amp;TEXT(VLOOKUP(B90,'Rekap Gaji'!$A$12:$I$26,5,FALSE),"dd-mm-yyyy")&amp;" "&amp;TEXT(VLOOKUP(B90,'Rekap Gaji'!$A$12:$I$26,6,FALSE)&amp;" "&amp;TEXT(VLOOKUP(B90,'Rekap Gaji'!$A$12:$I$26,7,FALSE),"dd-mm-yyyy")&amp;" )"," "))))))</f>
        <v/>
      </c>
      <c r="M90" s="75" t="str">
        <f>IF(OR(LEFT(B90,2)="mg",LEFT(B90,2)="mE"),VLOOKUP(A90,COPY!$S$2:$AA$1000,2,FALSE),IF(LEFT(B90,1)="G"," ",IF(LEFT(B90,2)="ma"," "," ")))</f>
        <v xml:space="preserve"> </v>
      </c>
      <c r="N90" s="75" t="str">
        <f>IFERROR(VLOOKUP($A$90&amp;"a",COPY!$S$2:$AA$1000,2,FALSE)," ")</f>
        <v xml:space="preserve"> </v>
      </c>
      <c r="O90" s="75" t="str">
        <f>IFERROR(VLOOKUP($A$90&amp;"aa",COPY!$S$2:$AA$1000,2,FALSE)," ")</f>
        <v xml:space="preserve"> </v>
      </c>
      <c r="P90" s="75" t="str">
        <f>IFERROR(VLOOKUP($A$90&amp;"aaa",COPY!$S$2:$AA$1000,2,FALSE)," ")</f>
        <v xml:space="preserve"> </v>
      </c>
      <c r="Q90" s="75" t="str">
        <f>IFERROR(VLOOKUP($A$90&amp;"aaaa",COPY!$S$2:$AA$1000,2,FALSE)," ")</f>
        <v xml:space="preserve"> </v>
      </c>
      <c r="R90" s="75" t="str">
        <f>IFERROR(VLOOKUP($A$90&amp;"aaaaa",COPY!$S$2:$AA$1000,2,FALSE)," ")</f>
        <v xml:space="preserve"> </v>
      </c>
      <c r="S90" s="75" t="str">
        <f>IFERROR(VLOOKUP($A$90&amp;"aaaaaa",COPY!$S$2:$AA$1000,2,FALSE)," ")</f>
        <v xml:space="preserve"> </v>
      </c>
      <c r="T90" s="75" t="str">
        <f>IFERROR(VLOOKUP($A$90&amp;"aaaaaaa",COPY!$S$2:$AA$1000,2,FALSE)," ")</f>
        <v xml:space="preserve"> </v>
      </c>
      <c r="U90" s="75" t="str">
        <f>IFERROR(VLOOKUP($A$90&amp;"aaaaaaaa",COPY!$S$2:$AA$1000,2,FALSE)," ")</f>
        <v xml:space="preserve"> </v>
      </c>
      <c r="V90" s="75" t="str">
        <f>IFERROR(VLOOKUP($A$90&amp;"aaaaaaaaa",COPY!$S$2:$AA$1000,2,FALSE)," ")</f>
        <v xml:space="preserve"> </v>
      </c>
      <c r="W90" s="75" t="str">
        <f>IFERROR(VLOOKUP($A$90&amp;"aaaaaaaaaa",COPY!$S$2:$AA$1000,2,FALSE)," ")</f>
        <v xml:space="preserve"> </v>
      </c>
      <c r="X90" s="75" t="str">
        <f>IFERROR(VLOOKUP($A$90&amp;"aaaaaaaaaaa",COPY!$S$2:$AA$1000,2,FALSE)," ")</f>
        <v xml:space="preserve"> </v>
      </c>
      <c r="Y90" s="90" t="str">
        <f>IF(OR(LEFT(B90,2)="mg",LEFT(B90,2)="mE"),VLOOKUP(A90,COPY!$S$2:$AA$1000,6,FALSE),IF(LEFT(B90,1)="G"," ",IF(LEFT(B90,2)="ma"," "," ")))</f>
        <v xml:space="preserve"> </v>
      </c>
      <c r="Z90" s="90" t="str">
        <f>IFERROR(VLOOKUP(A90&amp;"a",COPY!$S$2:$AA$1000,6,FALSE)," ")</f>
        <v xml:space="preserve"> </v>
      </c>
      <c r="AA90" s="90" t="str">
        <f>IFERROR(VLOOKUP(A90&amp;"aa",COPY!$S$2:$AA$1000,6,FALSE)," ")</f>
        <v xml:space="preserve"> </v>
      </c>
      <c r="AB90" s="90" t="str">
        <f>IFERROR(VLOOKUP(A90&amp;"aaa",COPY!$S$2:$AA$1000,6,FALSE)," ")</f>
        <v xml:space="preserve"> </v>
      </c>
      <c r="AC90" s="90" t="str">
        <f>IFERROR(VLOOKUP(A90&amp;"aaaa",COPY!$S$2:$AA$1000,6,FALSE)," ")</f>
        <v xml:space="preserve"> </v>
      </c>
      <c r="AD90" s="90" t="str">
        <f>IFERROR(VLOOKUP(A90&amp;"aaaaa",COPY!$S$2:$AA$1000,6,FALSE)," ")</f>
        <v xml:space="preserve"> </v>
      </c>
      <c r="AE90" s="90" t="str">
        <f>IFERROR(VLOOKUP(A90&amp;"aaaaaa",COPY!$S$2:$AA$1000,6,FALSE)," ")</f>
        <v xml:space="preserve"> </v>
      </c>
      <c r="AF90" s="90" t="str">
        <f>IFERROR(VLOOKUP(A90&amp;"aaaaaaa",COPY!$S$2:$AA$1000,6,FALSE)," ")</f>
        <v xml:space="preserve"> </v>
      </c>
      <c r="AG90" s="90" t="str">
        <f>IFERROR(VLOOKUP(A90&amp;"aaaaaaaa",COPY!$S$2:$AA$1000,6,FALSE)," ")</f>
        <v xml:space="preserve"> </v>
      </c>
      <c r="AH90" s="90" t="str">
        <f>IFERROR(VLOOKUP(A90&amp;"aaaaaaaaa",COPY!$S$2:$AA$1000,6,FALSE)," ")</f>
        <v xml:space="preserve"> </v>
      </c>
      <c r="AI90" s="90" t="str">
        <f>IFERROR(VLOOKUP(A90&amp;"aaaaaaaaaa",COPY!$S$2:$AA$1000,6,FALSE)," ")</f>
        <v xml:space="preserve"> </v>
      </c>
      <c r="AJ90" s="90" t="str">
        <f>IFERROR(VLOOKUP(A90&amp;"aaaaaaaaaaa",COPY!$S$2:$AA$1000,6,FALSE)," ")</f>
        <v xml:space="preserve"> </v>
      </c>
      <c r="AK90" s="90" t="str">
        <f>IF(LEFT(B90,2)="mg",VLOOKUP(A90,COPY!$S$2:$AA$1000,7,FALSE),IF(LEFT(B90,1)="G"," ",IF(LEFT(B90,2)="ma"," "," ")))</f>
        <v xml:space="preserve"> </v>
      </c>
      <c r="AL90" s="90" t="str">
        <f>IFERROR(VLOOKUP(A90&amp;"a",COPY!$S$2:$AA$1000,7,FALSE)," ")</f>
        <v xml:space="preserve"> </v>
      </c>
      <c r="AM90" s="90" t="str">
        <f>IFERROR(VLOOKUP(A90&amp;"aa",COPY!$S$2:$AA$1000,7,FALSE)," ")</f>
        <v xml:space="preserve"> </v>
      </c>
      <c r="AN90" s="90" t="str">
        <f>IFERROR(VLOOKUP(A90&amp;"aaa",COPY!$S$2:$AA$1000,7,FALSE)," ")</f>
        <v xml:space="preserve"> </v>
      </c>
      <c r="AO90" s="90" t="str">
        <f>IFERROR(VLOOKUP(A90&amp;"aaaa",COPY!$S$2:$AA$1000,7,FALSE)," ")</f>
        <v xml:space="preserve"> </v>
      </c>
      <c r="AP90" s="90" t="str">
        <f>IFERROR(VLOOKUP(A90&amp;"aaaaa",COPY!$S$2:$AA$1000,7,FALSE)," ")</f>
        <v xml:space="preserve"> </v>
      </c>
      <c r="AQ90" s="90" t="str">
        <f>IFERROR(VLOOKUP(A90&amp;"aaaaaa",COPY!$S$2:$AA$1000,7,FALSE)," ")</f>
        <v xml:space="preserve"> </v>
      </c>
      <c r="AR90" s="90" t="str">
        <f>IFERROR(VLOOKUP(A90&amp;"aaaaaaa",COPY!$S$2:$AA$1000,7,FALSE)," ")</f>
        <v xml:space="preserve"> </v>
      </c>
      <c r="AS90" s="90" t="str">
        <f>IFERROR(VLOOKUP(A90&amp;"aaaaaaaa",COPY!$S$2:$AA$1000,7,FALSE)," ")</f>
        <v xml:space="preserve"> </v>
      </c>
      <c r="AT90" s="90" t="str">
        <f>IFERROR(VLOOKUP(A90&amp;"aaaaaaaaa",COPY!$S$2:$AA$1000,7,FALSE)," ")</f>
        <v xml:space="preserve"> </v>
      </c>
      <c r="AU90" s="90" t="str">
        <f>IFERROR(VLOOKUP(A90&amp;"aaaaaaaaaa",COPY!$S$2:$AA$1000,7,FALSE)," ")</f>
        <v xml:space="preserve"> </v>
      </c>
      <c r="AV90" s="90" t="str">
        <f>IFERROR(VLOOKUP(A90&amp;"aaaaaaaaaaa",COPY!$S$2:$AA$1000,7,FALSE)," ")</f>
        <v xml:space="preserve"> </v>
      </c>
    </row>
    <row r="91" spans="1:48" x14ac:dyDescent="0.2">
      <c r="A91" s="75" t="str">
        <f>'REKAP PAJAK'!W128</f>
        <v/>
      </c>
      <c r="B91" s="75" t="str">
        <f>IF(LEN(A91)&gt;1,VLOOKUP(A91,COPY!$O$2:$R$1000,4,FALSE),"")</f>
        <v/>
      </c>
      <c r="C91" s="75" t="str">
        <f t="shared" si="6"/>
        <v xml:space="preserve"> </v>
      </c>
      <c r="D91" s="75" t="str">
        <f t="shared" si="7"/>
        <v xml:space="preserve"> </v>
      </c>
      <c r="E91" s="75" t="str">
        <f t="shared" si="8"/>
        <v xml:space="preserve"> </v>
      </c>
      <c r="F91" s="75" t="str">
        <f t="shared" si="9"/>
        <v xml:space="preserve"> </v>
      </c>
      <c r="G91" s="75" t="str">
        <f>IFERROR(TEXT(VLOOKUP(A91,COPY!$S$2:$W$1000,3,FALSE),"dd-mmmm-yyyy")," ")</f>
        <v xml:space="preserve"> </v>
      </c>
      <c r="H91" s="75" t="str">
        <f t="shared" si="10"/>
        <v xml:space="preserve"> </v>
      </c>
      <c r="I91" s="75" t="str">
        <f t="shared" si="11"/>
        <v xml:space="preserve"> </v>
      </c>
      <c r="J91" s="90" t="str">
        <f>IFERROR(VLOOKUP(A91,COPY!$S$2:$W$1000,4,FALSE)," ")</f>
        <v xml:space="preserve"> </v>
      </c>
      <c r="K91" s="75" t="str">
        <f>IFERROR(VLOOKUP(A91,COPY!$S$2:$W$1000,5,FALSE)," ")</f>
        <v xml:space="preserve"> </v>
      </c>
      <c r="L91" s="75" t="str">
        <f>IF(B91="","",IF(LEFT(B91,2)="Ma",(VLOOKUP(B91,'Rekap Gaji'!$C$12:$D$26,2,FALSE))&amp;" Untuk "&amp;(PROPER('Rekap Gaji'!$B$2)),IF(LEFT(B91,2)="Mg","Pembelian Material Bahan Bangunan",IF(LEFT(B91,2)="Me","Biaya Pembelanjaan Menejemen",IF(LEFT(B91,1)="G",VLOOKUP(A91,COPY!$S$2:$AA$1000,2,FALSE)&amp;"( "&amp;TEXT(VLOOKUP(B91,'Rekap Gaji'!$A$12:$I$26,5,FALSE),"dd-mm-yyyy")&amp;" "&amp;TEXT(VLOOKUP(B91,'Rekap Gaji'!$A$12:$I$26,6,FALSE)&amp;" "&amp;TEXT(VLOOKUP(B91,'Rekap Gaji'!$A$12:$I$26,7,FALSE),"dd-mm-yyyy")&amp;" )"," "))))))</f>
        <v/>
      </c>
      <c r="M91" s="75" t="str">
        <f>IF(OR(LEFT(B91,2)="mg",LEFT(B91,2)="mE"),VLOOKUP(A91,COPY!$S$2:$AA$1000,2,FALSE),IF(LEFT(B91,1)="G"," ",IF(LEFT(B91,2)="ma"," "," ")))</f>
        <v xml:space="preserve"> </v>
      </c>
      <c r="N91" s="75" t="str">
        <f>IFERROR(VLOOKUP($A$91&amp;"a",COPY!$S$2:$AA$1000,2,FALSE)," ")</f>
        <v xml:space="preserve"> </v>
      </c>
      <c r="O91" s="75" t="str">
        <f>IFERROR(VLOOKUP($A$91&amp;"aa",COPY!$S$2:$AA$1000,2,FALSE)," ")</f>
        <v xml:space="preserve"> </v>
      </c>
      <c r="P91" s="75" t="str">
        <f>IFERROR(VLOOKUP($A$91&amp;"aaa",COPY!$S$2:$AA$1000,2,FALSE)," ")</f>
        <v xml:space="preserve"> </v>
      </c>
      <c r="Q91" s="75" t="str">
        <f>IFERROR(VLOOKUP($A$91&amp;"aaaa",COPY!$S$2:$AA$1000,2,FALSE)," ")</f>
        <v xml:space="preserve"> </v>
      </c>
      <c r="R91" s="75" t="str">
        <f>IFERROR(VLOOKUP($A$91&amp;"aaaaa",COPY!$S$2:$AA$1000,2,FALSE)," ")</f>
        <v xml:space="preserve"> </v>
      </c>
      <c r="S91" s="75" t="str">
        <f>IFERROR(VLOOKUP($A$91&amp;"aaaaaa",COPY!$S$2:$AA$1000,2,FALSE)," ")</f>
        <v xml:space="preserve"> </v>
      </c>
      <c r="T91" s="75" t="str">
        <f>IFERROR(VLOOKUP($A$91&amp;"aaaaaaa",COPY!$S$2:$AA$1000,2,FALSE)," ")</f>
        <v xml:space="preserve"> </v>
      </c>
      <c r="U91" s="75" t="str">
        <f>IFERROR(VLOOKUP($A$91&amp;"aaaaaaaa",COPY!$S$2:$AA$1000,2,FALSE)," ")</f>
        <v xml:space="preserve"> </v>
      </c>
      <c r="V91" s="75" t="str">
        <f>IFERROR(VLOOKUP($A$91&amp;"aaaaaaaaa",COPY!$S$2:$AA$1000,2,FALSE)," ")</f>
        <v xml:space="preserve"> </v>
      </c>
      <c r="W91" s="75" t="str">
        <f>IFERROR(VLOOKUP($A$91&amp;"aaaaaaaaaa",COPY!$S$2:$AA$1000,2,FALSE)," ")</f>
        <v xml:space="preserve"> </v>
      </c>
      <c r="X91" s="75" t="str">
        <f>IFERROR(VLOOKUP($A$91&amp;"aaaaaaaaaaa",COPY!$S$2:$AA$1000,2,FALSE)," ")</f>
        <v xml:space="preserve"> </v>
      </c>
      <c r="Y91" s="90" t="str">
        <f>IF(OR(LEFT(B91,2)="mg",LEFT(B91,2)="mE"),VLOOKUP(A91,COPY!$S$2:$AA$1000,6,FALSE),IF(LEFT(B91,1)="G"," ",IF(LEFT(B91,2)="ma"," "," ")))</f>
        <v xml:space="preserve"> </v>
      </c>
      <c r="Z91" s="90" t="str">
        <f>IFERROR(VLOOKUP(A91&amp;"a",COPY!$S$2:$AA$1000,6,FALSE)," ")</f>
        <v xml:space="preserve"> </v>
      </c>
      <c r="AA91" s="90" t="str">
        <f>IFERROR(VLOOKUP(A91&amp;"aa",COPY!$S$2:$AA$1000,6,FALSE)," ")</f>
        <v xml:space="preserve"> </v>
      </c>
      <c r="AB91" s="90" t="str">
        <f>IFERROR(VLOOKUP(A91&amp;"aaa",COPY!$S$2:$AA$1000,6,FALSE)," ")</f>
        <v xml:space="preserve"> </v>
      </c>
      <c r="AC91" s="90" t="str">
        <f>IFERROR(VLOOKUP(A91&amp;"aaaa",COPY!$S$2:$AA$1000,6,FALSE)," ")</f>
        <v xml:space="preserve"> </v>
      </c>
      <c r="AD91" s="90" t="str">
        <f>IFERROR(VLOOKUP(A91&amp;"aaaaa",COPY!$S$2:$AA$1000,6,FALSE)," ")</f>
        <v xml:space="preserve"> </v>
      </c>
      <c r="AE91" s="90" t="str">
        <f>IFERROR(VLOOKUP(A91&amp;"aaaaaa",COPY!$S$2:$AA$1000,6,FALSE)," ")</f>
        <v xml:space="preserve"> </v>
      </c>
      <c r="AF91" s="90" t="str">
        <f>IFERROR(VLOOKUP(A91&amp;"aaaaaaa",COPY!$S$2:$AA$1000,6,FALSE)," ")</f>
        <v xml:space="preserve"> </v>
      </c>
      <c r="AG91" s="90" t="str">
        <f>IFERROR(VLOOKUP(A91&amp;"aaaaaaaa",COPY!$S$2:$AA$1000,6,FALSE)," ")</f>
        <v xml:space="preserve"> </v>
      </c>
      <c r="AH91" s="90" t="str">
        <f>IFERROR(VLOOKUP(A91&amp;"aaaaaaaaa",COPY!$S$2:$AA$1000,6,FALSE)," ")</f>
        <v xml:space="preserve"> </v>
      </c>
      <c r="AI91" s="90" t="str">
        <f>IFERROR(VLOOKUP(A91&amp;"aaaaaaaaaa",COPY!$S$2:$AA$1000,6,FALSE)," ")</f>
        <v xml:space="preserve"> </v>
      </c>
      <c r="AJ91" s="90" t="str">
        <f>IFERROR(VLOOKUP(A91&amp;"aaaaaaaaaaa",COPY!$S$2:$AA$1000,6,FALSE)," ")</f>
        <v xml:space="preserve"> </v>
      </c>
      <c r="AK91" s="90" t="str">
        <f>IF(LEFT(B91,2)="mg",VLOOKUP(A91,COPY!$S$2:$AA$1000,7,FALSE),IF(LEFT(B91,1)="G"," ",IF(LEFT(B91,2)="ma"," "," ")))</f>
        <v xml:space="preserve"> </v>
      </c>
      <c r="AL91" s="90" t="str">
        <f>IFERROR(VLOOKUP(A91&amp;"a",COPY!$S$2:$AA$1000,7,FALSE)," ")</f>
        <v xml:space="preserve"> </v>
      </c>
      <c r="AM91" s="90" t="str">
        <f>IFERROR(VLOOKUP(A91&amp;"aa",COPY!$S$2:$AA$1000,7,FALSE)," ")</f>
        <v xml:space="preserve"> </v>
      </c>
      <c r="AN91" s="90" t="str">
        <f>IFERROR(VLOOKUP(A91&amp;"aaa",COPY!$S$2:$AA$1000,7,FALSE)," ")</f>
        <v xml:space="preserve"> </v>
      </c>
      <c r="AO91" s="90" t="str">
        <f>IFERROR(VLOOKUP(A91&amp;"aaaa",COPY!$S$2:$AA$1000,7,FALSE)," ")</f>
        <v xml:space="preserve"> </v>
      </c>
      <c r="AP91" s="90" t="str">
        <f>IFERROR(VLOOKUP(A91&amp;"aaaaa",COPY!$S$2:$AA$1000,7,FALSE)," ")</f>
        <v xml:space="preserve"> </v>
      </c>
      <c r="AQ91" s="90" t="str">
        <f>IFERROR(VLOOKUP(A91&amp;"aaaaaa",COPY!$S$2:$AA$1000,7,FALSE)," ")</f>
        <v xml:space="preserve"> </v>
      </c>
      <c r="AR91" s="90" t="str">
        <f>IFERROR(VLOOKUP(A91&amp;"aaaaaaa",COPY!$S$2:$AA$1000,7,FALSE)," ")</f>
        <v xml:space="preserve"> </v>
      </c>
      <c r="AS91" s="90" t="str">
        <f>IFERROR(VLOOKUP(A91&amp;"aaaaaaaa",COPY!$S$2:$AA$1000,7,FALSE)," ")</f>
        <v xml:space="preserve"> </v>
      </c>
      <c r="AT91" s="90" t="str">
        <f>IFERROR(VLOOKUP(A91&amp;"aaaaaaaaa",COPY!$S$2:$AA$1000,7,FALSE)," ")</f>
        <v xml:space="preserve"> </v>
      </c>
      <c r="AU91" s="90" t="str">
        <f>IFERROR(VLOOKUP(A91&amp;"aaaaaaaaaa",COPY!$S$2:$AA$1000,7,FALSE)," ")</f>
        <v xml:space="preserve"> </v>
      </c>
      <c r="AV91" s="90" t="str">
        <f>IFERROR(VLOOKUP(A91&amp;"aaaaaaaaaaa",COPY!$S$2:$AA$1000,7,FALSE)," ")</f>
        <v xml:space="preserve"> </v>
      </c>
    </row>
    <row r="92" spans="1:48" x14ac:dyDescent="0.2">
      <c r="A92" s="75" t="str">
        <f>'REKAP PAJAK'!W129</f>
        <v/>
      </c>
      <c r="B92" s="75" t="str">
        <f>IF(LEN(A92)&gt;1,VLOOKUP(A92,COPY!$O$2:$R$1000,4,FALSE),"")</f>
        <v/>
      </c>
      <c r="C92" s="75" t="str">
        <f t="shared" si="6"/>
        <v xml:space="preserve"> </v>
      </c>
      <c r="D92" s="75" t="str">
        <f t="shared" si="7"/>
        <v xml:space="preserve"> </v>
      </c>
      <c r="E92" s="75" t="str">
        <f t="shared" si="8"/>
        <v xml:space="preserve"> </v>
      </c>
      <c r="F92" s="75" t="str">
        <f t="shared" si="9"/>
        <v xml:space="preserve"> </v>
      </c>
      <c r="G92" s="75" t="str">
        <f>IFERROR(TEXT(VLOOKUP(A92,COPY!$S$2:$W$1000,3,FALSE),"dd-mmmm-yyyy")," ")</f>
        <v xml:space="preserve"> </v>
      </c>
      <c r="H92" s="75" t="str">
        <f t="shared" si="10"/>
        <v xml:space="preserve"> </v>
      </c>
      <c r="I92" s="75" t="str">
        <f t="shared" si="11"/>
        <v xml:space="preserve"> </v>
      </c>
      <c r="J92" s="90" t="str">
        <f>IFERROR(VLOOKUP(A92,COPY!$S$2:$W$1000,4,FALSE)," ")</f>
        <v xml:space="preserve"> </v>
      </c>
      <c r="K92" s="75" t="str">
        <f>IFERROR(VLOOKUP(A92,COPY!$S$2:$W$1000,5,FALSE)," ")</f>
        <v xml:space="preserve"> </v>
      </c>
      <c r="L92" s="75" t="str">
        <f>IF(B92="","",IF(LEFT(B92,2)="Ma",(VLOOKUP(B92,'Rekap Gaji'!$C$12:$D$26,2,FALSE))&amp;" Untuk "&amp;(PROPER('Rekap Gaji'!$B$2)),IF(LEFT(B92,2)="Mg","Pembelian Material Bahan Bangunan",IF(LEFT(B92,2)="Me","Biaya Pembelanjaan Menejemen",IF(LEFT(B92,1)="G",VLOOKUP(A92,COPY!$S$2:$AA$1000,2,FALSE)&amp;"( "&amp;TEXT(VLOOKUP(B92,'Rekap Gaji'!$A$12:$I$26,5,FALSE),"dd-mm-yyyy")&amp;" "&amp;TEXT(VLOOKUP(B92,'Rekap Gaji'!$A$12:$I$26,6,FALSE)&amp;" "&amp;TEXT(VLOOKUP(B92,'Rekap Gaji'!$A$12:$I$26,7,FALSE),"dd-mm-yyyy")&amp;" )"," "))))))</f>
        <v/>
      </c>
      <c r="M92" s="75" t="str">
        <f>IF(OR(LEFT(B92,2)="mg",LEFT(B92,2)="mE"),VLOOKUP(A92,COPY!$S$2:$AA$1000,2,FALSE),IF(LEFT(B92,1)="G"," ",IF(LEFT(B92,2)="ma"," "," ")))</f>
        <v xml:space="preserve"> </v>
      </c>
      <c r="N92" s="75" t="str">
        <f>IFERROR(VLOOKUP($A$92&amp;"a",COPY!$S$2:$AA$1000,2,FALSE)," ")</f>
        <v xml:space="preserve"> </v>
      </c>
      <c r="O92" s="75" t="str">
        <f>IFERROR(VLOOKUP($A$92&amp;"aa",COPY!$S$2:$AA$1000,2,FALSE)," ")</f>
        <v xml:space="preserve"> </v>
      </c>
      <c r="P92" s="75" t="str">
        <f>IFERROR(VLOOKUP($A$92&amp;"aaa",COPY!$S$2:$AA$1000,2,FALSE)," ")</f>
        <v xml:space="preserve"> </v>
      </c>
      <c r="Q92" s="75" t="str">
        <f>IFERROR(VLOOKUP($A$92&amp;"aaaa",COPY!$S$2:$AA$1000,2,FALSE)," ")</f>
        <v xml:space="preserve"> </v>
      </c>
      <c r="R92" s="75" t="str">
        <f>IFERROR(VLOOKUP($A$92&amp;"aaaaa",COPY!$S$2:$AA$1000,2,FALSE)," ")</f>
        <v xml:space="preserve"> </v>
      </c>
      <c r="S92" s="75" t="str">
        <f>IFERROR(VLOOKUP($A$92&amp;"aaaaaa",COPY!$S$2:$AA$1000,2,FALSE)," ")</f>
        <v xml:space="preserve"> </v>
      </c>
      <c r="T92" s="75" t="str">
        <f>IFERROR(VLOOKUP($A$92&amp;"aaaaaaa",COPY!$S$2:$AA$1000,2,FALSE)," ")</f>
        <v xml:space="preserve"> </v>
      </c>
      <c r="U92" s="75" t="str">
        <f>IFERROR(VLOOKUP($A$92&amp;"aaaaaaaa",COPY!$S$2:$AA$1000,2,FALSE)," ")</f>
        <v xml:space="preserve"> </v>
      </c>
      <c r="V92" s="75" t="str">
        <f>IFERROR(VLOOKUP($A$92&amp;"aaaaaaaaa",COPY!$S$2:$AA$1000,2,FALSE)," ")</f>
        <v xml:space="preserve"> </v>
      </c>
      <c r="W92" s="75" t="str">
        <f>IFERROR(VLOOKUP($A$92&amp;"aaaaaaaaaa",COPY!$S$2:$AA$1000,2,FALSE)," ")</f>
        <v xml:space="preserve"> </v>
      </c>
      <c r="X92" s="75" t="str">
        <f>IFERROR(VLOOKUP($A$92&amp;"aaaaaaaaaaa",COPY!$S$2:$AA$1000,2,FALSE)," ")</f>
        <v xml:space="preserve"> </v>
      </c>
      <c r="Y92" s="90" t="str">
        <f>IF(OR(LEFT(B92,2)="mg",LEFT(B92,2)="mE"),VLOOKUP(A92,COPY!$S$2:$AA$1000,6,FALSE),IF(LEFT(B92,1)="G"," ",IF(LEFT(B92,2)="ma"," "," ")))</f>
        <v xml:space="preserve"> </v>
      </c>
      <c r="Z92" s="90" t="str">
        <f>IFERROR(VLOOKUP(A92&amp;"a",COPY!$S$2:$AA$1000,6,FALSE)," ")</f>
        <v xml:space="preserve"> </v>
      </c>
      <c r="AA92" s="90" t="str">
        <f>IFERROR(VLOOKUP(A92&amp;"aa",COPY!$S$2:$AA$1000,6,FALSE)," ")</f>
        <v xml:space="preserve"> </v>
      </c>
      <c r="AB92" s="90" t="str">
        <f>IFERROR(VLOOKUP(A92&amp;"aaa",COPY!$S$2:$AA$1000,6,FALSE)," ")</f>
        <v xml:space="preserve"> </v>
      </c>
      <c r="AC92" s="90" t="str">
        <f>IFERROR(VLOOKUP(A92&amp;"aaaa",COPY!$S$2:$AA$1000,6,FALSE)," ")</f>
        <v xml:space="preserve"> </v>
      </c>
      <c r="AD92" s="90" t="str">
        <f>IFERROR(VLOOKUP(A92&amp;"aaaaa",COPY!$S$2:$AA$1000,6,FALSE)," ")</f>
        <v xml:space="preserve"> </v>
      </c>
      <c r="AE92" s="90" t="str">
        <f>IFERROR(VLOOKUP(A92&amp;"aaaaaa",COPY!$S$2:$AA$1000,6,FALSE)," ")</f>
        <v xml:space="preserve"> </v>
      </c>
      <c r="AF92" s="90" t="str">
        <f>IFERROR(VLOOKUP(A92&amp;"aaaaaaa",COPY!$S$2:$AA$1000,6,FALSE)," ")</f>
        <v xml:space="preserve"> </v>
      </c>
      <c r="AG92" s="90" t="str">
        <f>IFERROR(VLOOKUP(A92&amp;"aaaaaaaa",COPY!$S$2:$AA$1000,6,FALSE)," ")</f>
        <v xml:space="preserve"> </v>
      </c>
      <c r="AH92" s="90" t="str">
        <f>IFERROR(VLOOKUP(A92&amp;"aaaaaaaaa",COPY!$S$2:$AA$1000,6,FALSE)," ")</f>
        <v xml:space="preserve"> </v>
      </c>
      <c r="AI92" s="90" t="str">
        <f>IFERROR(VLOOKUP(A92&amp;"aaaaaaaaaa",COPY!$S$2:$AA$1000,6,FALSE)," ")</f>
        <v xml:space="preserve"> </v>
      </c>
      <c r="AJ92" s="90" t="str">
        <f>IFERROR(VLOOKUP(A92&amp;"aaaaaaaaaaa",COPY!$S$2:$AA$1000,6,FALSE)," ")</f>
        <v xml:space="preserve"> </v>
      </c>
      <c r="AK92" s="90" t="str">
        <f>IF(LEFT(B92,2)="mg",VLOOKUP(A92,COPY!$S$2:$AA$1000,7,FALSE),IF(LEFT(B92,1)="G"," ",IF(LEFT(B92,2)="ma"," "," ")))</f>
        <v xml:space="preserve"> </v>
      </c>
      <c r="AL92" s="90" t="str">
        <f>IFERROR(VLOOKUP(A92&amp;"a",COPY!$S$2:$AA$1000,7,FALSE)," ")</f>
        <v xml:space="preserve"> </v>
      </c>
      <c r="AM92" s="90" t="str">
        <f>IFERROR(VLOOKUP(A92&amp;"aa",COPY!$S$2:$AA$1000,7,FALSE)," ")</f>
        <v xml:space="preserve"> </v>
      </c>
      <c r="AN92" s="90" t="str">
        <f>IFERROR(VLOOKUP(A92&amp;"aaa",COPY!$S$2:$AA$1000,7,FALSE)," ")</f>
        <v xml:space="preserve"> </v>
      </c>
      <c r="AO92" s="90" t="str">
        <f>IFERROR(VLOOKUP(A92&amp;"aaaa",COPY!$S$2:$AA$1000,7,FALSE)," ")</f>
        <v xml:space="preserve"> </v>
      </c>
      <c r="AP92" s="90" t="str">
        <f>IFERROR(VLOOKUP(A92&amp;"aaaaa",COPY!$S$2:$AA$1000,7,FALSE)," ")</f>
        <v xml:space="preserve"> </v>
      </c>
      <c r="AQ92" s="90" t="str">
        <f>IFERROR(VLOOKUP(A92&amp;"aaaaaa",COPY!$S$2:$AA$1000,7,FALSE)," ")</f>
        <v xml:space="preserve"> </v>
      </c>
      <c r="AR92" s="90" t="str">
        <f>IFERROR(VLOOKUP(A92&amp;"aaaaaaa",COPY!$S$2:$AA$1000,7,FALSE)," ")</f>
        <v xml:space="preserve"> </v>
      </c>
      <c r="AS92" s="90" t="str">
        <f>IFERROR(VLOOKUP(A92&amp;"aaaaaaaa",COPY!$S$2:$AA$1000,7,FALSE)," ")</f>
        <v xml:space="preserve"> </v>
      </c>
      <c r="AT92" s="90" t="str">
        <f>IFERROR(VLOOKUP(A92&amp;"aaaaaaaaa",COPY!$S$2:$AA$1000,7,FALSE)," ")</f>
        <v xml:space="preserve"> </v>
      </c>
      <c r="AU92" s="90" t="str">
        <f>IFERROR(VLOOKUP(A92&amp;"aaaaaaaaaa",COPY!$S$2:$AA$1000,7,FALSE)," ")</f>
        <v xml:space="preserve"> </v>
      </c>
      <c r="AV92" s="90" t="str">
        <f>IFERROR(VLOOKUP(A92&amp;"aaaaaaaaaaa",COPY!$S$2:$AA$1000,7,FALSE)," ")</f>
        <v xml:space="preserve"> </v>
      </c>
    </row>
    <row r="93" spans="1:48" x14ac:dyDescent="0.2">
      <c r="A93" s="75" t="str">
        <f>'REKAP PAJAK'!W130</f>
        <v/>
      </c>
      <c r="B93" s="75" t="str">
        <f>IF(LEN(A93)&gt;1,VLOOKUP(A93,COPY!$O$2:$R$1000,4,FALSE),"")</f>
        <v/>
      </c>
      <c r="C93" s="75" t="str">
        <f t="shared" si="6"/>
        <v xml:space="preserve"> </v>
      </c>
      <c r="D93" s="75" t="str">
        <f t="shared" si="7"/>
        <v xml:space="preserve"> </v>
      </c>
      <c r="E93" s="75" t="str">
        <f t="shared" si="8"/>
        <v xml:space="preserve"> </v>
      </c>
      <c r="F93" s="75" t="str">
        <f t="shared" si="9"/>
        <v xml:space="preserve"> </v>
      </c>
      <c r="G93" s="75" t="str">
        <f>IFERROR(TEXT(VLOOKUP(A93,COPY!$S$2:$W$1000,3,FALSE),"dd-mmmm-yyyy")," ")</f>
        <v xml:space="preserve"> </v>
      </c>
      <c r="H93" s="75" t="str">
        <f t="shared" si="10"/>
        <v xml:space="preserve"> </v>
      </c>
      <c r="I93" s="75" t="str">
        <f t="shared" si="11"/>
        <v xml:space="preserve"> </v>
      </c>
      <c r="J93" s="90" t="str">
        <f>IFERROR(VLOOKUP(A93,COPY!$S$2:$W$1000,4,FALSE)," ")</f>
        <v xml:space="preserve"> </v>
      </c>
      <c r="K93" s="75" t="str">
        <f>IFERROR(VLOOKUP(A93,COPY!$S$2:$W$1000,5,FALSE)," ")</f>
        <v xml:space="preserve"> </v>
      </c>
      <c r="L93" s="75" t="str">
        <f>IF(B93="","",IF(LEFT(B93,2)="Ma",(VLOOKUP(B93,'Rekap Gaji'!$C$12:$D$26,2,FALSE))&amp;" Untuk "&amp;(PROPER('Rekap Gaji'!$B$2)),IF(LEFT(B93,2)="Mg","Pembelian Material Bahan Bangunan",IF(LEFT(B93,2)="Me","Biaya Pembelanjaan Menejemen",IF(LEFT(B93,1)="G",VLOOKUP(A93,COPY!$S$2:$AA$1000,2,FALSE)&amp;"( "&amp;TEXT(VLOOKUP(B93,'Rekap Gaji'!$A$12:$I$26,5,FALSE),"dd-mm-yyyy")&amp;" "&amp;TEXT(VLOOKUP(B93,'Rekap Gaji'!$A$12:$I$26,6,FALSE)&amp;" "&amp;TEXT(VLOOKUP(B93,'Rekap Gaji'!$A$12:$I$26,7,FALSE),"dd-mm-yyyy")&amp;" )"," "))))))</f>
        <v/>
      </c>
      <c r="M93" s="75" t="str">
        <f>IF(OR(LEFT(B93,2)="mg",LEFT(B93,2)="mE"),VLOOKUP(A93,COPY!$S$2:$AA$1000,2,FALSE),IF(LEFT(B93,1)="G"," ",IF(LEFT(B93,2)="ma"," "," ")))</f>
        <v xml:space="preserve"> </v>
      </c>
      <c r="N93" s="75" t="str">
        <f>IFERROR(VLOOKUP($A$93&amp;"a",COPY!$S$2:$AA$1000,2,FALSE)," ")</f>
        <v xml:space="preserve"> </v>
      </c>
      <c r="O93" s="75" t="str">
        <f>IFERROR(VLOOKUP($A$93&amp;"aa",COPY!$S$2:$AA$1000,2,FALSE)," ")</f>
        <v xml:space="preserve"> </v>
      </c>
      <c r="P93" s="75" t="str">
        <f>IFERROR(VLOOKUP($A$93&amp;"aaa",COPY!$S$2:$AA$1000,2,FALSE)," ")</f>
        <v xml:space="preserve"> </v>
      </c>
      <c r="Q93" s="75" t="str">
        <f>IFERROR(VLOOKUP($A$93&amp;"aaaa",COPY!$S$2:$AA$1000,2,FALSE)," ")</f>
        <v xml:space="preserve"> </v>
      </c>
      <c r="R93" s="75" t="str">
        <f>IFERROR(VLOOKUP($A$93&amp;"aaaaa",COPY!$S$2:$AA$1000,2,FALSE)," ")</f>
        <v xml:space="preserve"> </v>
      </c>
      <c r="S93" s="75" t="str">
        <f>IFERROR(VLOOKUP($A$93&amp;"aaaaaa",COPY!$S$2:$AA$1000,2,FALSE)," ")</f>
        <v xml:space="preserve"> </v>
      </c>
      <c r="T93" s="75" t="str">
        <f>IFERROR(VLOOKUP($A$93&amp;"aaaaaaa",COPY!$S$2:$AA$1000,2,FALSE)," ")</f>
        <v xml:space="preserve"> </v>
      </c>
      <c r="U93" s="75" t="str">
        <f>IFERROR(VLOOKUP($A$93&amp;"aaaaaaaa",COPY!$S$2:$AA$1000,2,FALSE)," ")</f>
        <v xml:space="preserve"> </v>
      </c>
      <c r="V93" s="75" t="str">
        <f>IFERROR(VLOOKUP($A$93&amp;"aaaaaaaaa",COPY!$S$2:$AA$1000,2,FALSE)," ")</f>
        <v xml:space="preserve"> </v>
      </c>
      <c r="W93" s="75" t="str">
        <f>IFERROR(VLOOKUP($A$93&amp;"aaaaaaaaaa",COPY!$S$2:$AA$1000,2,FALSE)," ")</f>
        <v xml:space="preserve"> </v>
      </c>
      <c r="X93" s="75" t="str">
        <f>IFERROR(VLOOKUP($A$93&amp;"aaaaaaaaaaa",COPY!$S$2:$AA$1000,2,FALSE)," ")</f>
        <v xml:space="preserve"> </v>
      </c>
      <c r="Y93" s="90" t="str">
        <f>IF(OR(LEFT(B93,2)="mg",LEFT(B93,2)="mE"),VLOOKUP(A93,COPY!$S$2:$AA$1000,6,FALSE),IF(LEFT(B93,1)="G"," ",IF(LEFT(B93,2)="ma"," "," ")))</f>
        <v xml:space="preserve"> </v>
      </c>
      <c r="Z93" s="90" t="str">
        <f>IFERROR(VLOOKUP(A93&amp;"a",COPY!$S$2:$AA$1000,6,FALSE)," ")</f>
        <v xml:space="preserve"> </v>
      </c>
      <c r="AA93" s="90" t="str">
        <f>IFERROR(VLOOKUP(A93&amp;"aa",COPY!$S$2:$AA$1000,6,FALSE)," ")</f>
        <v xml:space="preserve"> </v>
      </c>
      <c r="AB93" s="90" t="str">
        <f>IFERROR(VLOOKUP(A93&amp;"aaa",COPY!$S$2:$AA$1000,6,FALSE)," ")</f>
        <v xml:space="preserve"> </v>
      </c>
      <c r="AC93" s="90" t="str">
        <f>IFERROR(VLOOKUP(A93&amp;"aaaa",COPY!$S$2:$AA$1000,6,FALSE)," ")</f>
        <v xml:space="preserve"> </v>
      </c>
      <c r="AD93" s="90" t="str">
        <f>IFERROR(VLOOKUP(A93&amp;"aaaaa",COPY!$S$2:$AA$1000,6,FALSE)," ")</f>
        <v xml:space="preserve"> </v>
      </c>
      <c r="AE93" s="90" t="str">
        <f>IFERROR(VLOOKUP(A93&amp;"aaaaaa",COPY!$S$2:$AA$1000,6,FALSE)," ")</f>
        <v xml:space="preserve"> </v>
      </c>
      <c r="AF93" s="90" t="str">
        <f>IFERROR(VLOOKUP(A93&amp;"aaaaaaa",COPY!$S$2:$AA$1000,6,FALSE)," ")</f>
        <v xml:space="preserve"> </v>
      </c>
      <c r="AG93" s="90" t="str">
        <f>IFERROR(VLOOKUP(A93&amp;"aaaaaaaa",COPY!$S$2:$AA$1000,6,FALSE)," ")</f>
        <v xml:space="preserve"> </v>
      </c>
      <c r="AH93" s="90" t="str">
        <f>IFERROR(VLOOKUP(A93&amp;"aaaaaaaaa",COPY!$S$2:$AA$1000,6,FALSE)," ")</f>
        <v xml:space="preserve"> </v>
      </c>
      <c r="AI93" s="90" t="str">
        <f>IFERROR(VLOOKUP(A93&amp;"aaaaaaaaaa",COPY!$S$2:$AA$1000,6,FALSE)," ")</f>
        <v xml:space="preserve"> </v>
      </c>
      <c r="AJ93" s="90" t="str">
        <f>IFERROR(VLOOKUP(A93&amp;"aaaaaaaaaaa",COPY!$S$2:$AA$1000,6,FALSE)," ")</f>
        <v xml:space="preserve"> </v>
      </c>
      <c r="AK93" s="90" t="str">
        <f>IF(LEFT(B93,2)="mg",VLOOKUP(A93,COPY!$S$2:$AA$1000,7,FALSE),IF(LEFT(B93,1)="G"," ",IF(LEFT(B93,2)="ma"," "," ")))</f>
        <v xml:space="preserve"> </v>
      </c>
      <c r="AL93" s="90" t="str">
        <f>IFERROR(VLOOKUP(A93&amp;"a",COPY!$S$2:$AA$1000,7,FALSE)," ")</f>
        <v xml:space="preserve"> </v>
      </c>
      <c r="AM93" s="90" t="str">
        <f>IFERROR(VLOOKUP(A93&amp;"aa",COPY!$S$2:$AA$1000,7,FALSE)," ")</f>
        <v xml:space="preserve"> </v>
      </c>
      <c r="AN93" s="90" t="str">
        <f>IFERROR(VLOOKUP(A93&amp;"aaa",COPY!$S$2:$AA$1000,7,FALSE)," ")</f>
        <v xml:space="preserve"> </v>
      </c>
      <c r="AO93" s="90" t="str">
        <f>IFERROR(VLOOKUP(A93&amp;"aaaa",COPY!$S$2:$AA$1000,7,FALSE)," ")</f>
        <v xml:space="preserve"> </v>
      </c>
      <c r="AP93" s="90" t="str">
        <f>IFERROR(VLOOKUP(A93&amp;"aaaaa",COPY!$S$2:$AA$1000,7,FALSE)," ")</f>
        <v xml:space="preserve"> </v>
      </c>
      <c r="AQ93" s="90" t="str">
        <f>IFERROR(VLOOKUP(A93&amp;"aaaaaa",COPY!$S$2:$AA$1000,7,FALSE)," ")</f>
        <v xml:space="preserve"> </v>
      </c>
      <c r="AR93" s="90" t="str">
        <f>IFERROR(VLOOKUP(A93&amp;"aaaaaaa",COPY!$S$2:$AA$1000,7,FALSE)," ")</f>
        <v xml:space="preserve"> </v>
      </c>
      <c r="AS93" s="90" t="str">
        <f>IFERROR(VLOOKUP(A93&amp;"aaaaaaaa",COPY!$S$2:$AA$1000,7,FALSE)," ")</f>
        <v xml:space="preserve"> </v>
      </c>
      <c r="AT93" s="90" t="str">
        <f>IFERROR(VLOOKUP(A93&amp;"aaaaaaaaa",COPY!$S$2:$AA$1000,7,FALSE)," ")</f>
        <v xml:space="preserve"> </v>
      </c>
      <c r="AU93" s="90" t="str">
        <f>IFERROR(VLOOKUP(A93&amp;"aaaaaaaaaa",COPY!$S$2:$AA$1000,7,FALSE)," ")</f>
        <v xml:space="preserve"> </v>
      </c>
      <c r="AV93" s="90" t="str">
        <f>IFERROR(VLOOKUP(A93&amp;"aaaaaaaaaaa",COPY!$S$2:$AA$1000,7,FALSE)," ")</f>
        <v xml:space="preserve"> </v>
      </c>
    </row>
    <row r="94" spans="1:48" x14ac:dyDescent="0.2">
      <c r="A94" s="75" t="str">
        <f>'REKAP PAJAK'!W131</f>
        <v/>
      </c>
      <c r="B94" s="75" t="str">
        <f>IF(LEN(A94)&gt;1,VLOOKUP(A94,COPY!$O$2:$R$1000,4,FALSE),"")</f>
        <v/>
      </c>
      <c r="C94" s="75" t="str">
        <f t="shared" si="6"/>
        <v xml:space="preserve"> </v>
      </c>
      <c r="D94" s="75" t="str">
        <f t="shared" si="7"/>
        <v xml:space="preserve"> </v>
      </c>
      <c r="E94" s="75" t="str">
        <f t="shared" si="8"/>
        <v xml:space="preserve"> </v>
      </c>
      <c r="F94" s="75" t="str">
        <f t="shared" si="9"/>
        <v xml:space="preserve"> </v>
      </c>
      <c r="G94" s="75" t="str">
        <f>IFERROR(TEXT(VLOOKUP(A94,COPY!$S$2:$W$1000,3,FALSE),"dd-mmmm-yyyy")," ")</f>
        <v xml:space="preserve"> </v>
      </c>
      <c r="H94" s="75" t="str">
        <f t="shared" si="10"/>
        <v xml:space="preserve"> </v>
      </c>
      <c r="I94" s="75" t="str">
        <f t="shared" si="11"/>
        <v xml:space="preserve"> </v>
      </c>
      <c r="J94" s="90" t="str">
        <f>IFERROR(VLOOKUP(A94,COPY!$S$2:$W$1000,4,FALSE)," ")</f>
        <v xml:space="preserve"> </v>
      </c>
      <c r="K94" s="75" t="str">
        <f>IFERROR(VLOOKUP(A94,COPY!$S$2:$W$1000,5,FALSE)," ")</f>
        <v xml:space="preserve"> </v>
      </c>
      <c r="L94" s="75" t="str">
        <f>IF(B94="","",IF(LEFT(B94,2)="Ma",(VLOOKUP(B94,'Rekap Gaji'!$C$12:$D$26,2,FALSE))&amp;" Untuk "&amp;(PROPER('Rekap Gaji'!$B$2)),IF(LEFT(B94,2)="Mg","Pembelian Material Bahan Bangunan",IF(LEFT(B94,2)="Me","Biaya Pembelanjaan Menejemen",IF(LEFT(B94,1)="G",VLOOKUP(A94,COPY!$S$2:$AA$1000,2,FALSE)&amp;"( "&amp;TEXT(VLOOKUP(B94,'Rekap Gaji'!$A$12:$I$26,5,FALSE),"dd-mm-yyyy")&amp;" "&amp;TEXT(VLOOKUP(B94,'Rekap Gaji'!$A$12:$I$26,6,FALSE)&amp;" "&amp;TEXT(VLOOKUP(B94,'Rekap Gaji'!$A$12:$I$26,7,FALSE),"dd-mm-yyyy")&amp;" )"," "))))))</f>
        <v/>
      </c>
      <c r="M94" s="75" t="str">
        <f>IF(OR(LEFT(B94,2)="mg",LEFT(B94,2)="mE"),VLOOKUP(A94,COPY!$S$2:$AA$1000,2,FALSE),IF(LEFT(B94,1)="G"," ",IF(LEFT(B94,2)="ma"," "," ")))</f>
        <v xml:space="preserve"> </v>
      </c>
      <c r="N94" s="75" t="str">
        <f>IFERROR(VLOOKUP($A$94&amp;"a",COPY!$S$2:$AA$1000,2,FALSE)," ")</f>
        <v xml:space="preserve"> </v>
      </c>
      <c r="O94" s="75" t="str">
        <f>IFERROR(VLOOKUP($A$94&amp;"aa",COPY!$S$2:$AA$1000,2,FALSE)," ")</f>
        <v xml:space="preserve"> </v>
      </c>
      <c r="P94" s="75" t="str">
        <f>IFERROR(VLOOKUP($A$94&amp;"aaa",COPY!$S$2:$AA$1000,2,FALSE)," ")</f>
        <v xml:space="preserve"> </v>
      </c>
      <c r="Q94" s="75" t="str">
        <f>IFERROR(VLOOKUP($A$94&amp;"aaaa",COPY!$S$2:$AA$1000,2,FALSE)," ")</f>
        <v xml:space="preserve"> </v>
      </c>
      <c r="R94" s="75" t="str">
        <f>IFERROR(VLOOKUP($A$94&amp;"aaaaa",COPY!$S$2:$AA$1000,2,FALSE)," ")</f>
        <v xml:space="preserve"> </v>
      </c>
      <c r="S94" s="75" t="str">
        <f>IFERROR(VLOOKUP($A$94&amp;"aaaaaa",COPY!$S$2:$AA$1000,2,FALSE)," ")</f>
        <v xml:space="preserve"> </v>
      </c>
      <c r="T94" s="75" t="str">
        <f>IFERROR(VLOOKUP($A$94&amp;"aaaaaaa",COPY!$S$2:$AA$1000,2,FALSE)," ")</f>
        <v xml:space="preserve"> </v>
      </c>
      <c r="U94" s="75" t="str">
        <f>IFERROR(VLOOKUP($A$94&amp;"aaaaaaaa",COPY!$S$2:$AA$1000,2,FALSE)," ")</f>
        <v xml:space="preserve"> </v>
      </c>
      <c r="V94" s="75" t="str">
        <f>IFERROR(VLOOKUP($A$94&amp;"aaaaaaaaa",COPY!$S$2:$AA$1000,2,FALSE)," ")</f>
        <v xml:space="preserve"> </v>
      </c>
      <c r="W94" s="75" t="str">
        <f>IFERROR(VLOOKUP($A$94&amp;"aaaaaaaaaa",COPY!$S$2:$AA$1000,2,FALSE)," ")</f>
        <v xml:space="preserve"> </v>
      </c>
      <c r="X94" s="75" t="str">
        <f>IFERROR(VLOOKUP($A$94&amp;"aaaaaaaaaaa",COPY!$S$2:$AA$1000,2,FALSE)," ")</f>
        <v xml:space="preserve"> </v>
      </c>
      <c r="Y94" s="90" t="str">
        <f>IF(OR(LEFT(B94,2)="mg",LEFT(B94,2)="mE"),VLOOKUP(A94,COPY!$S$2:$AA$1000,6,FALSE),IF(LEFT(B94,1)="G"," ",IF(LEFT(B94,2)="ma"," "," ")))</f>
        <v xml:space="preserve"> </v>
      </c>
      <c r="Z94" s="90" t="str">
        <f>IFERROR(VLOOKUP(A94&amp;"a",COPY!$S$2:$AA$1000,6,FALSE)," ")</f>
        <v xml:space="preserve"> </v>
      </c>
      <c r="AA94" s="90" t="str">
        <f>IFERROR(VLOOKUP(A94&amp;"aa",COPY!$S$2:$AA$1000,6,FALSE)," ")</f>
        <v xml:space="preserve"> </v>
      </c>
      <c r="AB94" s="90" t="str">
        <f>IFERROR(VLOOKUP(A94&amp;"aaa",COPY!$S$2:$AA$1000,6,FALSE)," ")</f>
        <v xml:space="preserve"> </v>
      </c>
      <c r="AC94" s="90" t="str">
        <f>IFERROR(VLOOKUP(A94&amp;"aaaa",COPY!$S$2:$AA$1000,6,FALSE)," ")</f>
        <v xml:space="preserve"> </v>
      </c>
      <c r="AD94" s="90" t="str">
        <f>IFERROR(VLOOKUP(A94&amp;"aaaaa",COPY!$S$2:$AA$1000,6,FALSE)," ")</f>
        <v xml:space="preserve"> </v>
      </c>
      <c r="AE94" s="90" t="str">
        <f>IFERROR(VLOOKUP(A94&amp;"aaaaaa",COPY!$S$2:$AA$1000,6,FALSE)," ")</f>
        <v xml:space="preserve"> </v>
      </c>
      <c r="AF94" s="90" t="str">
        <f>IFERROR(VLOOKUP(A94&amp;"aaaaaaa",COPY!$S$2:$AA$1000,6,FALSE)," ")</f>
        <v xml:space="preserve"> </v>
      </c>
      <c r="AG94" s="90" t="str">
        <f>IFERROR(VLOOKUP(A94&amp;"aaaaaaaa",COPY!$S$2:$AA$1000,6,FALSE)," ")</f>
        <v xml:space="preserve"> </v>
      </c>
      <c r="AH94" s="90" t="str">
        <f>IFERROR(VLOOKUP(A94&amp;"aaaaaaaaa",COPY!$S$2:$AA$1000,6,FALSE)," ")</f>
        <v xml:space="preserve"> </v>
      </c>
      <c r="AI94" s="90" t="str">
        <f>IFERROR(VLOOKUP(A94&amp;"aaaaaaaaaa",COPY!$S$2:$AA$1000,6,FALSE)," ")</f>
        <v xml:space="preserve"> </v>
      </c>
      <c r="AJ94" s="90" t="str">
        <f>IFERROR(VLOOKUP(A94&amp;"aaaaaaaaaaa",COPY!$S$2:$AA$1000,6,FALSE)," ")</f>
        <v xml:space="preserve"> </v>
      </c>
      <c r="AK94" s="90" t="str">
        <f>IF(LEFT(B94,2)="mg",VLOOKUP(A94,COPY!$S$2:$AA$1000,7,FALSE),IF(LEFT(B94,1)="G"," ",IF(LEFT(B94,2)="ma"," "," ")))</f>
        <v xml:space="preserve"> </v>
      </c>
      <c r="AL94" s="90" t="str">
        <f>IFERROR(VLOOKUP(A94&amp;"a",COPY!$S$2:$AA$1000,7,FALSE)," ")</f>
        <v xml:space="preserve"> </v>
      </c>
      <c r="AM94" s="90" t="str">
        <f>IFERROR(VLOOKUP(A94&amp;"aa",COPY!$S$2:$AA$1000,7,FALSE)," ")</f>
        <v xml:space="preserve"> </v>
      </c>
      <c r="AN94" s="90" t="str">
        <f>IFERROR(VLOOKUP(A94&amp;"aaa",COPY!$S$2:$AA$1000,7,FALSE)," ")</f>
        <v xml:space="preserve"> </v>
      </c>
      <c r="AO94" s="90" t="str">
        <f>IFERROR(VLOOKUP(A94&amp;"aaaa",COPY!$S$2:$AA$1000,7,FALSE)," ")</f>
        <v xml:space="preserve"> </v>
      </c>
      <c r="AP94" s="90" t="str">
        <f>IFERROR(VLOOKUP(A94&amp;"aaaaa",COPY!$S$2:$AA$1000,7,FALSE)," ")</f>
        <v xml:space="preserve"> </v>
      </c>
      <c r="AQ94" s="90" t="str">
        <f>IFERROR(VLOOKUP(A94&amp;"aaaaaa",COPY!$S$2:$AA$1000,7,FALSE)," ")</f>
        <v xml:space="preserve"> </v>
      </c>
      <c r="AR94" s="90" t="str">
        <f>IFERROR(VLOOKUP(A94&amp;"aaaaaaa",COPY!$S$2:$AA$1000,7,FALSE)," ")</f>
        <v xml:space="preserve"> </v>
      </c>
      <c r="AS94" s="90" t="str">
        <f>IFERROR(VLOOKUP(A94&amp;"aaaaaaaa",COPY!$S$2:$AA$1000,7,FALSE)," ")</f>
        <v xml:space="preserve"> </v>
      </c>
      <c r="AT94" s="90" t="str">
        <f>IFERROR(VLOOKUP(A94&amp;"aaaaaaaaa",COPY!$S$2:$AA$1000,7,FALSE)," ")</f>
        <v xml:space="preserve"> </v>
      </c>
      <c r="AU94" s="90" t="str">
        <f>IFERROR(VLOOKUP(A94&amp;"aaaaaaaaaa",COPY!$S$2:$AA$1000,7,FALSE)," ")</f>
        <v xml:space="preserve"> </v>
      </c>
      <c r="AV94" s="90" t="str">
        <f>IFERROR(VLOOKUP(A94&amp;"aaaaaaaaaaa",COPY!$S$2:$AA$1000,7,FALSE)," ")</f>
        <v xml:space="preserve"> </v>
      </c>
    </row>
    <row r="95" spans="1:48" x14ac:dyDescent="0.2">
      <c r="A95" s="75" t="str">
        <f>'REKAP PAJAK'!W132</f>
        <v/>
      </c>
      <c r="B95" s="75" t="str">
        <f>IF(LEN(A95)&gt;1,VLOOKUP(A95,COPY!$O$2:$R$1000,4,FALSE),"")</f>
        <v/>
      </c>
      <c r="C95" s="75" t="str">
        <f t="shared" si="6"/>
        <v xml:space="preserve"> </v>
      </c>
      <c r="D95" s="75" t="str">
        <f t="shared" si="7"/>
        <v xml:space="preserve"> </v>
      </c>
      <c r="E95" s="75" t="str">
        <f t="shared" si="8"/>
        <v xml:space="preserve"> </v>
      </c>
      <c r="F95" s="75" t="str">
        <f t="shared" si="9"/>
        <v xml:space="preserve"> </v>
      </c>
      <c r="G95" s="75" t="str">
        <f>IFERROR(TEXT(VLOOKUP(A95,COPY!$S$2:$W$1000,3,FALSE),"dd-mmmm-yyyy")," ")</f>
        <v xml:space="preserve"> </v>
      </c>
      <c r="H95" s="75" t="str">
        <f t="shared" si="10"/>
        <v xml:space="preserve"> </v>
      </c>
      <c r="I95" s="75" t="str">
        <f t="shared" si="11"/>
        <v xml:space="preserve"> </v>
      </c>
      <c r="J95" s="90" t="str">
        <f>IFERROR(VLOOKUP(A95,COPY!$S$2:$W$1000,4,FALSE)," ")</f>
        <v xml:space="preserve"> </v>
      </c>
      <c r="K95" s="75" t="str">
        <f>IFERROR(VLOOKUP(A95,COPY!$S$2:$W$1000,5,FALSE)," ")</f>
        <v xml:space="preserve"> </v>
      </c>
      <c r="L95" s="75" t="str">
        <f>IF(B95="","",IF(LEFT(B95,2)="Ma",(VLOOKUP(B95,'Rekap Gaji'!$C$12:$D$26,2,FALSE))&amp;" Untuk "&amp;(PROPER('Rekap Gaji'!$B$2)),IF(LEFT(B95,2)="Mg","Pembelian Material Bahan Bangunan",IF(LEFT(B95,2)="Me","Biaya Pembelanjaan Menejemen",IF(LEFT(B95,1)="G",VLOOKUP(A95,COPY!$S$2:$AA$1000,2,FALSE)&amp;"( "&amp;TEXT(VLOOKUP(B95,'Rekap Gaji'!$A$12:$I$26,5,FALSE),"dd-mm-yyyy")&amp;" "&amp;TEXT(VLOOKUP(B95,'Rekap Gaji'!$A$12:$I$26,6,FALSE)&amp;" "&amp;TEXT(VLOOKUP(B95,'Rekap Gaji'!$A$12:$I$26,7,FALSE),"dd-mm-yyyy")&amp;" )"," "))))))</f>
        <v/>
      </c>
      <c r="M95" s="75" t="str">
        <f>IF(OR(LEFT(B95,2)="mg",LEFT(B95,2)="mE"),VLOOKUP(A95,COPY!$S$2:$AA$1000,2,FALSE),IF(LEFT(B95,1)="G"," ",IF(LEFT(B95,2)="ma"," "," ")))</f>
        <v xml:space="preserve"> </v>
      </c>
      <c r="N95" s="75" t="str">
        <f>IFERROR(VLOOKUP($A$95&amp;"a",COPY!$S$2:$AA$1000,2,FALSE)," ")</f>
        <v xml:space="preserve"> </v>
      </c>
      <c r="O95" s="75" t="str">
        <f>IFERROR(VLOOKUP($A$95&amp;"aa",COPY!$S$2:$AA$1000,2,FALSE)," ")</f>
        <v xml:space="preserve"> </v>
      </c>
      <c r="P95" s="75" t="str">
        <f>IFERROR(VLOOKUP($A$95&amp;"aaa",COPY!$S$2:$AA$1000,2,FALSE)," ")</f>
        <v xml:space="preserve"> </v>
      </c>
      <c r="Q95" s="75" t="str">
        <f>IFERROR(VLOOKUP($A$95&amp;"aaaa",COPY!$S$2:$AA$1000,2,FALSE)," ")</f>
        <v xml:space="preserve"> </v>
      </c>
      <c r="R95" s="75" t="str">
        <f>IFERROR(VLOOKUP($A$95&amp;"aaaaa",COPY!$S$2:$AA$1000,2,FALSE)," ")</f>
        <v xml:space="preserve"> </v>
      </c>
      <c r="S95" s="75" t="str">
        <f>IFERROR(VLOOKUP($A$95&amp;"aaaaaa",COPY!$S$2:$AA$1000,2,FALSE)," ")</f>
        <v xml:space="preserve"> </v>
      </c>
      <c r="T95" s="75" t="str">
        <f>IFERROR(VLOOKUP($A$95&amp;"aaaaaaa",COPY!$S$2:$AA$1000,2,FALSE)," ")</f>
        <v xml:space="preserve"> </v>
      </c>
      <c r="U95" s="75" t="str">
        <f>IFERROR(VLOOKUP($A$95&amp;"aaaaaaaa",COPY!$S$2:$AA$1000,2,FALSE)," ")</f>
        <v xml:space="preserve"> </v>
      </c>
      <c r="V95" s="75" t="str">
        <f>IFERROR(VLOOKUP($A$95&amp;"aaaaaaaaa",COPY!$S$2:$AA$1000,2,FALSE)," ")</f>
        <v xml:space="preserve"> </v>
      </c>
      <c r="W95" s="75" t="str">
        <f>IFERROR(VLOOKUP($A$95&amp;"aaaaaaaaaa",COPY!$S$2:$AA$1000,2,FALSE)," ")</f>
        <v xml:space="preserve"> </v>
      </c>
      <c r="X95" s="75" t="str">
        <f>IFERROR(VLOOKUP($A$95&amp;"aaaaaaaaaaa",COPY!$S$2:$AA$1000,2,FALSE)," ")</f>
        <v xml:space="preserve"> </v>
      </c>
      <c r="Y95" s="90" t="str">
        <f>IF(OR(LEFT(B95,2)="mg",LEFT(B95,2)="mE"),VLOOKUP(A95,COPY!$S$2:$AA$1000,6,FALSE),IF(LEFT(B95,1)="G"," ",IF(LEFT(B95,2)="ma"," "," ")))</f>
        <v xml:space="preserve"> </v>
      </c>
      <c r="Z95" s="90" t="str">
        <f>IFERROR(VLOOKUP(A95&amp;"a",COPY!$S$2:$AA$1000,6,FALSE)," ")</f>
        <v xml:space="preserve"> </v>
      </c>
      <c r="AA95" s="90" t="str">
        <f>IFERROR(VLOOKUP(A95&amp;"aa",COPY!$S$2:$AA$1000,6,FALSE)," ")</f>
        <v xml:space="preserve"> </v>
      </c>
      <c r="AB95" s="90" t="str">
        <f>IFERROR(VLOOKUP(A95&amp;"aaa",COPY!$S$2:$AA$1000,6,FALSE)," ")</f>
        <v xml:space="preserve"> </v>
      </c>
      <c r="AC95" s="90" t="str">
        <f>IFERROR(VLOOKUP(A95&amp;"aaaa",COPY!$S$2:$AA$1000,6,FALSE)," ")</f>
        <v xml:space="preserve"> </v>
      </c>
      <c r="AD95" s="90" t="str">
        <f>IFERROR(VLOOKUP(A95&amp;"aaaaa",COPY!$S$2:$AA$1000,6,FALSE)," ")</f>
        <v xml:space="preserve"> </v>
      </c>
      <c r="AE95" s="90" t="str">
        <f>IFERROR(VLOOKUP(A95&amp;"aaaaaa",COPY!$S$2:$AA$1000,6,FALSE)," ")</f>
        <v xml:space="preserve"> </v>
      </c>
      <c r="AF95" s="90" t="str">
        <f>IFERROR(VLOOKUP(A95&amp;"aaaaaaa",COPY!$S$2:$AA$1000,6,FALSE)," ")</f>
        <v xml:space="preserve"> </v>
      </c>
      <c r="AG95" s="90" t="str">
        <f>IFERROR(VLOOKUP(A95&amp;"aaaaaaaa",COPY!$S$2:$AA$1000,6,FALSE)," ")</f>
        <v xml:space="preserve"> </v>
      </c>
      <c r="AH95" s="90" t="str">
        <f>IFERROR(VLOOKUP(A95&amp;"aaaaaaaaa",COPY!$S$2:$AA$1000,6,FALSE)," ")</f>
        <v xml:space="preserve"> </v>
      </c>
      <c r="AI95" s="90" t="str">
        <f>IFERROR(VLOOKUP(A95&amp;"aaaaaaaaaa",COPY!$S$2:$AA$1000,6,FALSE)," ")</f>
        <v xml:space="preserve"> </v>
      </c>
      <c r="AJ95" s="90" t="str">
        <f>IFERROR(VLOOKUP(A95&amp;"aaaaaaaaaaa",COPY!$S$2:$AA$1000,6,FALSE)," ")</f>
        <v xml:space="preserve"> </v>
      </c>
      <c r="AK95" s="90" t="str">
        <f>IF(LEFT(B95,2)="mg",VLOOKUP(A95,COPY!$S$2:$AA$1000,7,FALSE),IF(LEFT(B95,1)="G"," ",IF(LEFT(B95,2)="ma"," "," ")))</f>
        <v xml:space="preserve"> </v>
      </c>
      <c r="AL95" s="90" t="str">
        <f>IFERROR(VLOOKUP(A95&amp;"a",COPY!$S$2:$AA$1000,7,FALSE)," ")</f>
        <v xml:space="preserve"> </v>
      </c>
      <c r="AM95" s="90" t="str">
        <f>IFERROR(VLOOKUP(A95&amp;"aa",COPY!$S$2:$AA$1000,7,FALSE)," ")</f>
        <v xml:space="preserve"> </v>
      </c>
      <c r="AN95" s="90" t="str">
        <f>IFERROR(VLOOKUP(A95&amp;"aaa",COPY!$S$2:$AA$1000,7,FALSE)," ")</f>
        <v xml:space="preserve"> </v>
      </c>
      <c r="AO95" s="90" t="str">
        <f>IFERROR(VLOOKUP(A95&amp;"aaaa",COPY!$S$2:$AA$1000,7,FALSE)," ")</f>
        <v xml:space="preserve"> </v>
      </c>
      <c r="AP95" s="90" t="str">
        <f>IFERROR(VLOOKUP(A95&amp;"aaaaa",COPY!$S$2:$AA$1000,7,FALSE)," ")</f>
        <v xml:space="preserve"> </v>
      </c>
      <c r="AQ95" s="90" t="str">
        <f>IFERROR(VLOOKUP(A95&amp;"aaaaaa",COPY!$S$2:$AA$1000,7,FALSE)," ")</f>
        <v xml:space="preserve"> </v>
      </c>
      <c r="AR95" s="90" t="str">
        <f>IFERROR(VLOOKUP(A95&amp;"aaaaaaa",COPY!$S$2:$AA$1000,7,FALSE)," ")</f>
        <v xml:space="preserve"> </v>
      </c>
      <c r="AS95" s="90" t="str">
        <f>IFERROR(VLOOKUP(A95&amp;"aaaaaaaa",COPY!$S$2:$AA$1000,7,FALSE)," ")</f>
        <v xml:space="preserve"> </v>
      </c>
      <c r="AT95" s="90" t="str">
        <f>IFERROR(VLOOKUP(A95&amp;"aaaaaaaaa",COPY!$S$2:$AA$1000,7,FALSE)," ")</f>
        <v xml:space="preserve"> </v>
      </c>
      <c r="AU95" s="90" t="str">
        <f>IFERROR(VLOOKUP(A95&amp;"aaaaaaaaaa",COPY!$S$2:$AA$1000,7,FALSE)," ")</f>
        <v xml:space="preserve"> </v>
      </c>
      <c r="AV95" s="90" t="str">
        <f>IFERROR(VLOOKUP(A95&amp;"aaaaaaaaaaa",COPY!$S$2:$AA$1000,7,FALSE)," ")</f>
        <v xml:space="preserve"> </v>
      </c>
    </row>
    <row r="96" spans="1:48" x14ac:dyDescent="0.2">
      <c r="A96" s="75" t="str">
        <f>'REKAP PAJAK'!W133</f>
        <v/>
      </c>
      <c r="B96" s="75" t="str">
        <f>IF(LEN(A96)&gt;1,VLOOKUP(A96,COPY!$O$2:$R$1000,4,FALSE),"")</f>
        <v/>
      </c>
      <c r="C96" s="75" t="str">
        <f t="shared" si="6"/>
        <v xml:space="preserve"> </v>
      </c>
      <c r="D96" s="75" t="str">
        <f t="shared" si="7"/>
        <v xml:space="preserve"> </v>
      </c>
      <c r="E96" s="75" t="str">
        <f t="shared" si="8"/>
        <v xml:space="preserve"> </v>
      </c>
      <c r="F96" s="75" t="str">
        <f t="shared" si="9"/>
        <v xml:space="preserve"> </v>
      </c>
      <c r="G96" s="75" t="str">
        <f>IFERROR(TEXT(VLOOKUP(A96,COPY!$S$2:$W$1000,3,FALSE),"dd-mmmm-yyyy")," ")</f>
        <v xml:space="preserve"> </v>
      </c>
      <c r="H96" s="75" t="str">
        <f t="shared" si="10"/>
        <v xml:space="preserve"> </v>
      </c>
      <c r="I96" s="75" t="str">
        <f t="shared" si="11"/>
        <v xml:space="preserve"> </v>
      </c>
      <c r="J96" s="90" t="str">
        <f>IFERROR(VLOOKUP(A96,COPY!$S$2:$W$1000,4,FALSE)," ")</f>
        <v xml:space="preserve"> </v>
      </c>
      <c r="K96" s="75" t="str">
        <f>IFERROR(VLOOKUP(A96,COPY!$S$2:$W$1000,5,FALSE)," ")</f>
        <v xml:space="preserve"> </v>
      </c>
      <c r="L96" s="75" t="str">
        <f>IF(B96="","",IF(LEFT(B96,2)="Ma",(VLOOKUP(B96,'Rekap Gaji'!$C$12:$D$26,2,FALSE))&amp;" Untuk "&amp;(PROPER('Rekap Gaji'!$B$2)),IF(LEFT(B96,2)="Mg","Pembelian Material Bahan Bangunan",IF(LEFT(B96,2)="Me","Biaya Pembelanjaan Menejemen",IF(LEFT(B96,1)="G",VLOOKUP(A96,COPY!$S$2:$AA$1000,2,FALSE)&amp;"( "&amp;TEXT(VLOOKUP(B96,'Rekap Gaji'!$A$12:$I$26,5,FALSE),"dd-mm-yyyy")&amp;" "&amp;TEXT(VLOOKUP(B96,'Rekap Gaji'!$A$12:$I$26,6,FALSE)&amp;" "&amp;TEXT(VLOOKUP(B96,'Rekap Gaji'!$A$12:$I$26,7,FALSE),"dd-mm-yyyy")&amp;" )"," "))))))</f>
        <v/>
      </c>
      <c r="M96" s="75" t="str">
        <f>IF(OR(LEFT(B96,2)="mg",LEFT(B96,2)="mE"),VLOOKUP(A96,COPY!$S$2:$AA$1000,2,FALSE),IF(LEFT(B96,1)="G"," ",IF(LEFT(B96,2)="ma"," "," ")))</f>
        <v xml:space="preserve"> </v>
      </c>
      <c r="N96" s="75" t="str">
        <f>IFERROR(VLOOKUP($A$96&amp;"a",COPY!$S$2:$AA$1000,2,FALSE)," ")</f>
        <v xml:space="preserve"> </v>
      </c>
      <c r="O96" s="75" t="str">
        <f>IFERROR(VLOOKUP($A$96&amp;"aa",COPY!$S$2:$AA$1000,2,FALSE)," ")</f>
        <v xml:space="preserve"> </v>
      </c>
      <c r="P96" s="75" t="str">
        <f>IFERROR(VLOOKUP($A$96&amp;"aaa",COPY!$S$2:$AA$1000,2,FALSE)," ")</f>
        <v xml:space="preserve"> </v>
      </c>
      <c r="Q96" s="75" t="str">
        <f>IFERROR(VLOOKUP($A$96&amp;"aaaa",COPY!$S$2:$AA$1000,2,FALSE)," ")</f>
        <v xml:space="preserve"> </v>
      </c>
      <c r="R96" s="75" t="str">
        <f>IFERROR(VLOOKUP($A$96&amp;"aaaaa",COPY!$S$2:$AA$1000,2,FALSE)," ")</f>
        <v xml:space="preserve"> </v>
      </c>
      <c r="S96" s="75" t="str">
        <f>IFERROR(VLOOKUP($A$96&amp;"aaaaaa",COPY!$S$2:$AA$1000,2,FALSE)," ")</f>
        <v xml:space="preserve"> </v>
      </c>
      <c r="T96" s="75" t="str">
        <f>IFERROR(VLOOKUP($A$96&amp;"aaaaaaa",COPY!$S$2:$AA$1000,2,FALSE)," ")</f>
        <v xml:space="preserve"> </v>
      </c>
      <c r="U96" s="75" t="str">
        <f>IFERROR(VLOOKUP($A$96&amp;"aaaaaaaa",COPY!$S$2:$AA$1000,2,FALSE)," ")</f>
        <v xml:space="preserve"> </v>
      </c>
      <c r="V96" s="75" t="str">
        <f>IFERROR(VLOOKUP($A$96&amp;"aaaaaaaaa",COPY!$S$2:$AA$1000,2,FALSE)," ")</f>
        <v xml:space="preserve"> </v>
      </c>
      <c r="W96" s="75" t="str">
        <f>IFERROR(VLOOKUP($A$96&amp;"aaaaaaaaaa",COPY!$S$2:$AA$1000,2,FALSE)," ")</f>
        <v xml:space="preserve"> </v>
      </c>
      <c r="X96" s="75" t="str">
        <f>IFERROR(VLOOKUP($A$96&amp;"aaaaaaaaaaa",COPY!$S$2:$AA$1000,2,FALSE)," ")</f>
        <v xml:space="preserve"> </v>
      </c>
      <c r="Y96" s="90" t="str">
        <f>IF(OR(LEFT(B96,2)="mg",LEFT(B96,2)="mE"),VLOOKUP(A96,COPY!$S$2:$AA$1000,6,FALSE),IF(LEFT(B96,1)="G"," ",IF(LEFT(B96,2)="ma"," "," ")))</f>
        <v xml:space="preserve"> </v>
      </c>
      <c r="Z96" s="90" t="str">
        <f>IFERROR(VLOOKUP(A96&amp;"a",COPY!$S$2:$AA$1000,6,FALSE)," ")</f>
        <v xml:space="preserve"> </v>
      </c>
      <c r="AA96" s="90" t="str">
        <f>IFERROR(VLOOKUP(A96&amp;"aa",COPY!$S$2:$AA$1000,6,FALSE)," ")</f>
        <v xml:space="preserve"> </v>
      </c>
      <c r="AB96" s="90" t="str">
        <f>IFERROR(VLOOKUP(A96&amp;"aaa",COPY!$S$2:$AA$1000,6,FALSE)," ")</f>
        <v xml:space="preserve"> </v>
      </c>
      <c r="AC96" s="90" t="str">
        <f>IFERROR(VLOOKUP(A96&amp;"aaaa",COPY!$S$2:$AA$1000,6,FALSE)," ")</f>
        <v xml:space="preserve"> </v>
      </c>
      <c r="AD96" s="90" t="str">
        <f>IFERROR(VLOOKUP(A96&amp;"aaaaa",COPY!$S$2:$AA$1000,6,FALSE)," ")</f>
        <v xml:space="preserve"> </v>
      </c>
      <c r="AE96" s="90" t="str">
        <f>IFERROR(VLOOKUP(A96&amp;"aaaaaa",COPY!$S$2:$AA$1000,6,FALSE)," ")</f>
        <v xml:space="preserve"> </v>
      </c>
      <c r="AF96" s="90" t="str">
        <f>IFERROR(VLOOKUP(A96&amp;"aaaaaaa",COPY!$S$2:$AA$1000,6,FALSE)," ")</f>
        <v xml:space="preserve"> </v>
      </c>
      <c r="AG96" s="90" t="str">
        <f>IFERROR(VLOOKUP(A96&amp;"aaaaaaaa",COPY!$S$2:$AA$1000,6,FALSE)," ")</f>
        <v xml:space="preserve"> </v>
      </c>
      <c r="AH96" s="90" t="str">
        <f>IFERROR(VLOOKUP(A96&amp;"aaaaaaaaa",COPY!$S$2:$AA$1000,6,FALSE)," ")</f>
        <v xml:space="preserve"> </v>
      </c>
      <c r="AI96" s="90" t="str">
        <f>IFERROR(VLOOKUP(A96&amp;"aaaaaaaaaa",COPY!$S$2:$AA$1000,6,FALSE)," ")</f>
        <v xml:space="preserve"> </v>
      </c>
      <c r="AJ96" s="90" t="str">
        <f>IFERROR(VLOOKUP(A96&amp;"aaaaaaaaaaa",COPY!$S$2:$AA$1000,6,FALSE)," ")</f>
        <v xml:space="preserve"> </v>
      </c>
      <c r="AK96" s="90" t="str">
        <f>IF(LEFT(B96,2)="mg",VLOOKUP(A96,COPY!$S$2:$AA$1000,7,FALSE),IF(LEFT(B96,1)="G"," ",IF(LEFT(B96,2)="ma"," "," ")))</f>
        <v xml:space="preserve"> </v>
      </c>
      <c r="AL96" s="90" t="str">
        <f>IFERROR(VLOOKUP(A96&amp;"a",COPY!$S$2:$AA$1000,7,FALSE)," ")</f>
        <v xml:space="preserve"> </v>
      </c>
      <c r="AM96" s="90" t="str">
        <f>IFERROR(VLOOKUP(A96&amp;"aa",COPY!$S$2:$AA$1000,7,FALSE)," ")</f>
        <v xml:space="preserve"> </v>
      </c>
      <c r="AN96" s="90" t="str">
        <f>IFERROR(VLOOKUP(A96&amp;"aaa",COPY!$S$2:$AA$1000,7,FALSE)," ")</f>
        <v xml:space="preserve"> </v>
      </c>
      <c r="AO96" s="90" t="str">
        <f>IFERROR(VLOOKUP(A96&amp;"aaaa",COPY!$S$2:$AA$1000,7,FALSE)," ")</f>
        <v xml:space="preserve"> </v>
      </c>
      <c r="AP96" s="90" t="str">
        <f>IFERROR(VLOOKUP(A96&amp;"aaaaa",COPY!$S$2:$AA$1000,7,FALSE)," ")</f>
        <v xml:space="preserve"> </v>
      </c>
      <c r="AQ96" s="90" t="str">
        <f>IFERROR(VLOOKUP(A96&amp;"aaaaaa",COPY!$S$2:$AA$1000,7,FALSE)," ")</f>
        <v xml:space="preserve"> </v>
      </c>
      <c r="AR96" s="90" t="str">
        <f>IFERROR(VLOOKUP(A96&amp;"aaaaaaa",COPY!$S$2:$AA$1000,7,FALSE)," ")</f>
        <v xml:space="preserve"> </v>
      </c>
      <c r="AS96" s="90" t="str">
        <f>IFERROR(VLOOKUP(A96&amp;"aaaaaaaa",COPY!$S$2:$AA$1000,7,FALSE)," ")</f>
        <v xml:space="preserve"> </v>
      </c>
      <c r="AT96" s="90" t="str">
        <f>IFERROR(VLOOKUP(A96&amp;"aaaaaaaaa",COPY!$S$2:$AA$1000,7,FALSE)," ")</f>
        <v xml:space="preserve"> </v>
      </c>
      <c r="AU96" s="90" t="str">
        <f>IFERROR(VLOOKUP(A96&amp;"aaaaaaaaaa",COPY!$S$2:$AA$1000,7,FALSE)," ")</f>
        <v xml:space="preserve"> </v>
      </c>
      <c r="AV96" s="90" t="str">
        <f>IFERROR(VLOOKUP(A96&amp;"aaaaaaaaaaa",COPY!$S$2:$AA$1000,7,FALSE)," ")</f>
        <v xml:space="preserve"> </v>
      </c>
    </row>
    <row r="97" spans="1:48" x14ac:dyDescent="0.2">
      <c r="A97" s="75" t="str">
        <f>'REKAP PAJAK'!W134</f>
        <v/>
      </c>
      <c r="B97" s="75" t="str">
        <f>IF(LEN(A97)&gt;1,VLOOKUP(A97,COPY!$O$2:$R$1000,4,FALSE),"")</f>
        <v/>
      </c>
      <c r="C97" s="75" t="str">
        <f t="shared" si="6"/>
        <v xml:space="preserve"> </v>
      </c>
      <c r="D97" s="75" t="str">
        <f t="shared" si="7"/>
        <v xml:space="preserve"> </v>
      </c>
      <c r="E97" s="75" t="str">
        <f t="shared" si="8"/>
        <v xml:space="preserve"> </v>
      </c>
      <c r="F97" s="75" t="str">
        <f t="shared" si="9"/>
        <v xml:space="preserve"> </v>
      </c>
      <c r="G97" s="75" t="str">
        <f>IFERROR(TEXT(VLOOKUP(A97,COPY!$S$2:$W$1000,3,FALSE),"dd-mmmm-yyyy")," ")</f>
        <v xml:space="preserve"> </v>
      </c>
      <c r="H97" s="75" t="str">
        <f t="shared" si="10"/>
        <v xml:space="preserve"> </v>
      </c>
      <c r="I97" s="75" t="str">
        <f t="shared" si="11"/>
        <v xml:space="preserve"> </v>
      </c>
      <c r="J97" s="90" t="str">
        <f>IFERROR(VLOOKUP(A97,COPY!$S$2:$W$1000,4,FALSE)," ")</f>
        <v xml:space="preserve"> </v>
      </c>
      <c r="K97" s="75" t="str">
        <f>IFERROR(VLOOKUP(A97,COPY!$S$2:$W$1000,5,FALSE)," ")</f>
        <v xml:space="preserve"> </v>
      </c>
      <c r="L97" s="75" t="str">
        <f>IF(B97="","",IF(LEFT(B97,2)="Ma",(VLOOKUP(B97,'Rekap Gaji'!$C$12:$D$26,2,FALSE))&amp;" Untuk "&amp;(PROPER('Rekap Gaji'!$B$2)),IF(LEFT(B97,2)="Mg","Pembelian Material Bahan Bangunan",IF(LEFT(B97,2)="Me","Biaya Pembelanjaan Menejemen",IF(LEFT(B97,1)="G",VLOOKUP(A97,COPY!$S$2:$AA$1000,2,FALSE)&amp;"( "&amp;TEXT(VLOOKUP(B97,'Rekap Gaji'!$A$12:$I$26,5,FALSE),"dd-mm-yyyy")&amp;" "&amp;TEXT(VLOOKUP(B97,'Rekap Gaji'!$A$12:$I$26,6,FALSE)&amp;" "&amp;TEXT(VLOOKUP(B97,'Rekap Gaji'!$A$12:$I$26,7,FALSE),"dd-mm-yyyy")&amp;" )"," "))))))</f>
        <v/>
      </c>
      <c r="M97" s="75" t="str">
        <f>IF(OR(LEFT(B97,2)="mg",LEFT(B97,2)="mE"),VLOOKUP(A97,COPY!$S$2:$AA$1000,2,FALSE),IF(LEFT(B97,1)="G"," ",IF(LEFT(B97,2)="ma"," "," ")))</f>
        <v xml:space="preserve"> </v>
      </c>
      <c r="N97" s="75" t="str">
        <f>IFERROR(VLOOKUP($A$97&amp;"a",COPY!$S$2:$AA$1000,2,FALSE)," ")</f>
        <v xml:space="preserve"> </v>
      </c>
      <c r="O97" s="75" t="str">
        <f>IFERROR(VLOOKUP($A$97&amp;"aa",COPY!$S$2:$AA$1000,2,FALSE)," ")</f>
        <v xml:space="preserve"> </v>
      </c>
      <c r="P97" s="75" t="str">
        <f>IFERROR(VLOOKUP($A$97&amp;"aaa",COPY!$S$2:$AA$1000,2,FALSE)," ")</f>
        <v xml:space="preserve"> </v>
      </c>
      <c r="Q97" s="75" t="str">
        <f>IFERROR(VLOOKUP($A$97&amp;"aaaa",COPY!$S$2:$AA$1000,2,FALSE)," ")</f>
        <v xml:space="preserve"> </v>
      </c>
      <c r="R97" s="75" t="str">
        <f>IFERROR(VLOOKUP($A$97&amp;"aaaaa",COPY!$S$2:$AA$1000,2,FALSE)," ")</f>
        <v xml:space="preserve"> </v>
      </c>
      <c r="S97" s="75" t="str">
        <f>IFERROR(VLOOKUP($A$97&amp;"aaaaaa",COPY!$S$2:$AA$1000,2,FALSE)," ")</f>
        <v xml:space="preserve"> </v>
      </c>
      <c r="T97" s="75" t="str">
        <f>IFERROR(VLOOKUP($A$97&amp;"aaaaaaa",COPY!$S$2:$AA$1000,2,FALSE)," ")</f>
        <v xml:space="preserve"> </v>
      </c>
      <c r="U97" s="75" t="str">
        <f>IFERROR(VLOOKUP($A$97&amp;"aaaaaaaa",COPY!$S$2:$AA$1000,2,FALSE)," ")</f>
        <v xml:space="preserve"> </v>
      </c>
      <c r="V97" s="75" t="str">
        <f>IFERROR(VLOOKUP($A$97&amp;"aaaaaaaaa",COPY!$S$2:$AA$1000,2,FALSE)," ")</f>
        <v xml:space="preserve"> </v>
      </c>
      <c r="W97" s="75" t="str">
        <f>IFERROR(VLOOKUP($A$97&amp;"aaaaaaaaaa",COPY!$S$2:$AA$1000,2,FALSE)," ")</f>
        <v xml:space="preserve"> </v>
      </c>
      <c r="X97" s="75" t="str">
        <f>IFERROR(VLOOKUP($A$97&amp;"aaaaaaaaaaa",COPY!$S$2:$AA$1000,2,FALSE)," ")</f>
        <v xml:space="preserve"> </v>
      </c>
      <c r="Y97" s="90" t="str">
        <f>IF(OR(LEFT(B97,2)="mg",LEFT(B97,2)="mE"),VLOOKUP(A97,COPY!$S$2:$AA$1000,6,FALSE),IF(LEFT(B97,1)="G"," ",IF(LEFT(B97,2)="ma"," "," ")))</f>
        <v xml:space="preserve"> </v>
      </c>
      <c r="Z97" s="90" t="str">
        <f>IFERROR(VLOOKUP(A97&amp;"a",COPY!$S$2:$AA$1000,6,FALSE)," ")</f>
        <v xml:space="preserve"> </v>
      </c>
      <c r="AA97" s="90" t="str">
        <f>IFERROR(VLOOKUP(A97&amp;"aa",COPY!$S$2:$AA$1000,6,FALSE)," ")</f>
        <v xml:space="preserve"> </v>
      </c>
      <c r="AB97" s="90" t="str">
        <f>IFERROR(VLOOKUP(A97&amp;"aaa",COPY!$S$2:$AA$1000,6,FALSE)," ")</f>
        <v xml:space="preserve"> </v>
      </c>
      <c r="AC97" s="90" t="str">
        <f>IFERROR(VLOOKUP(A97&amp;"aaaa",COPY!$S$2:$AA$1000,6,FALSE)," ")</f>
        <v xml:space="preserve"> </v>
      </c>
      <c r="AD97" s="90" t="str">
        <f>IFERROR(VLOOKUP(A97&amp;"aaaaa",COPY!$S$2:$AA$1000,6,FALSE)," ")</f>
        <v xml:space="preserve"> </v>
      </c>
      <c r="AE97" s="90" t="str">
        <f>IFERROR(VLOOKUP(A97&amp;"aaaaaa",COPY!$S$2:$AA$1000,6,FALSE)," ")</f>
        <v xml:space="preserve"> </v>
      </c>
      <c r="AF97" s="90" t="str">
        <f>IFERROR(VLOOKUP(A97&amp;"aaaaaaa",COPY!$S$2:$AA$1000,6,FALSE)," ")</f>
        <v xml:space="preserve"> </v>
      </c>
      <c r="AG97" s="90" t="str">
        <f>IFERROR(VLOOKUP(A97&amp;"aaaaaaaa",COPY!$S$2:$AA$1000,6,FALSE)," ")</f>
        <v xml:space="preserve"> </v>
      </c>
      <c r="AH97" s="90" t="str">
        <f>IFERROR(VLOOKUP(A97&amp;"aaaaaaaaa",COPY!$S$2:$AA$1000,6,FALSE)," ")</f>
        <v xml:space="preserve"> </v>
      </c>
      <c r="AI97" s="90" t="str">
        <f>IFERROR(VLOOKUP(A97&amp;"aaaaaaaaaa",COPY!$S$2:$AA$1000,6,FALSE)," ")</f>
        <v xml:space="preserve"> </v>
      </c>
      <c r="AJ97" s="90" t="str">
        <f>IFERROR(VLOOKUP(A97&amp;"aaaaaaaaaaa",COPY!$S$2:$AA$1000,6,FALSE)," ")</f>
        <v xml:space="preserve"> </v>
      </c>
      <c r="AK97" s="90" t="str">
        <f>IF(LEFT(B97,2)="mg",VLOOKUP(A97,COPY!$S$2:$AA$1000,7,FALSE),IF(LEFT(B97,1)="G"," ",IF(LEFT(B97,2)="ma"," "," ")))</f>
        <v xml:space="preserve"> </v>
      </c>
      <c r="AL97" s="90" t="str">
        <f>IFERROR(VLOOKUP(A97&amp;"a",COPY!$S$2:$AA$1000,7,FALSE)," ")</f>
        <v xml:space="preserve"> </v>
      </c>
      <c r="AM97" s="90" t="str">
        <f>IFERROR(VLOOKUP(A97&amp;"aa",COPY!$S$2:$AA$1000,7,FALSE)," ")</f>
        <v xml:space="preserve"> </v>
      </c>
      <c r="AN97" s="90" t="str">
        <f>IFERROR(VLOOKUP(A97&amp;"aaa",COPY!$S$2:$AA$1000,7,FALSE)," ")</f>
        <v xml:space="preserve"> </v>
      </c>
      <c r="AO97" s="90" t="str">
        <f>IFERROR(VLOOKUP(A97&amp;"aaaa",COPY!$S$2:$AA$1000,7,FALSE)," ")</f>
        <v xml:space="preserve"> </v>
      </c>
      <c r="AP97" s="90" t="str">
        <f>IFERROR(VLOOKUP(A97&amp;"aaaaa",COPY!$S$2:$AA$1000,7,FALSE)," ")</f>
        <v xml:space="preserve"> </v>
      </c>
      <c r="AQ97" s="90" t="str">
        <f>IFERROR(VLOOKUP(A97&amp;"aaaaaa",COPY!$S$2:$AA$1000,7,FALSE)," ")</f>
        <v xml:space="preserve"> </v>
      </c>
      <c r="AR97" s="90" t="str">
        <f>IFERROR(VLOOKUP(A97&amp;"aaaaaaa",COPY!$S$2:$AA$1000,7,FALSE)," ")</f>
        <v xml:space="preserve"> </v>
      </c>
      <c r="AS97" s="90" t="str">
        <f>IFERROR(VLOOKUP(A97&amp;"aaaaaaaa",COPY!$S$2:$AA$1000,7,FALSE)," ")</f>
        <v xml:space="preserve"> </v>
      </c>
      <c r="AT97" s="90" t="str">
        <f>IFERROR(VLOOKUP(A97&amp;"aaaaaaaaa",COPY!$S$2:$AA$1000,7,FALSE)," ")</f>
        <v xml:space="preserve"> </v>
      </c>
      <c r="AU97" s="90" t="str">
        <f>IFERROR(VLOOKUP(A97&amp;"aaaaaaaaaa",COPY!$S$2:$AA$1000,7,FALSE)," ")</f>
        <v xml:space="preserve"> </v>
      </c>
      <c r="AV97" s="90" t="str">
        <f>IFERROR(VLOOKUP(A97&amp;"aaaaaaaaaaa",COPY!$S$2:$AA$1000,7,FALSE)," ")</f>
        <v xml:space="preserve"> </v>
      </c>
    </row>
    <row r="98" spans="1:48" x14ac:dyDescent="0.2">
      <c r="A98" s="75" t="str">
        <f>'REKAP PAJAK'!W135</f>
        <v/>
      </c>
      <c r="B98" s="75" t="str">
        <f>IF(LEN(A98)&gt;1,VLOOKUP(A98,COPY!$O$2:$R$1000,4,FALSE),"")</f>
        <v/>
      </c>
      <c r="C98" s="75" t="str">
        <f t="shared" si="6"/>
        <v xml:space="preserve"> </v>
      </c>
      <c r="D98" s="75" t="str">
        <f t="shared" si="7"/>
        <v xml:space="preserve"> </v>
      </c>
      <c r="E98" s="75" t="str">
        <f t="shared" si="8"/>
        <v xml:space="preserve"> </v>
      </c>
      <c r="F98" s="75" t="str">
        <f t="shared" si="9"/>
        <v xml:space="preserve"> </v>
      </c>
      <c r="G98" s="75" t="str">
        <f>IFERROR(TEXT(VLOOKUP(A98,COPY!$S$2:$W$1000,3,FALSE),"dd-mmmm-yyyy")," ")</f>
        <v xml:space="preserve"> </v>
      </c>
      <c r="H98" s="75" t="str">
        <f t="shared" si="10"/>
        <v xml:space="preserve"> </v>
      </c>
      <c r="I98" s="75" t="str">
        <f t="shared" si="11"/>
        <v xml:space="preserve"> </v>
      </c>
      <c r="J98" s="90" t="str">
        <f>IFERROR(VLOOKUP(A98,COPY!$S$2:$W$1000,4,FALSE)," ")</f>
        <v xml:space="preserve"> </v>
      </c>
      <c r="K98" s="75" t="str">
        <f>IFERROR(VLOOKUP(A98,COPY!$S$2:$W$1000,5,FALSE)," ")</f>
        <v xml:space="preserve"> </v>
      </c>
      <c r="L98" s="75" t="str">
        <f>IF(B98="","",IF(LEFT(B98,2)="Ma",(VLOOKUP(B98,'Rekap Gaji'!$C$12:$D$26,2,FALSE))&amp;" Untuk "&amp;(PROPER('Rekap Gaji'!$B$2)),IF(LEFT(B98,2)="Mg","Pembelian Material Bahan Bangunan",IF(LEFT(B98,2)="Me","Biaya Pembelanjaan Menejemen",IF(LEFT(B98,1)="G",VLOOKUP(A98,COPY!$S$2:$AA$1000,2,FALSE)&amp;"( "&amp;TEXT(VLOOKUP(B98,'Rekap Gaji'!$A$12:$I$26,5,FALSE),"dd-mm-yyyy")&amp;" "&amp;TEXT(VLOOKUP(B98,'Rekap Gaji'!$A$12:$I$26,6,FALSE)&amp;" "&amp;TEXT(VLOOKUP(B98,'Rekap Gaji'!$A$12:$I$26,7,FALSE),"dd-mm-yyyy")&amp;" )"," "))))))</f>
        <v/>
      </c>
      <c r="M98" s="75" t="str">
        <f>IF(OR(LEFT(B98,2)="mg",LEFT(B98,2)="mE"),VLOOKUP(A98,COPY!$S$2:$AA$1000,2,FALSE),IF(LEFT(B98,1)="G"," ",IF(LEFT(B98,2)="ma"," "," ")))</f>
        <v xml:space="preserve"> </v>
      </c>
      <c r="N98" s="75" t="str">
        <f>IFERROR(VLOOKUP($A$98&amp;"a",COPY!$S$2:$AA$1000,2,FALSE)," ")</f>
        <v xml:space="preserve"> </v>
      </c>
      <c r="O98" s="75" t="str">
        <f>IFERROR(VLOOKUP($A$98&amp;"aa",COPY!$S$2:$AA$1000,2,FALSE)," ")</f>
        <v xml:space="preserve"> </v>
      </c>
      <c r="P98" s="75" t="str">
        <f>IFERROR(VLOOKUP($A$98&amp;"aaa",COPY!$S$2:$AA$1000,2,FALSE)," ")</f>
        <v xml:space="preserve"> </v>
      </c>
      <c r="Q98" s="75" t="str">
        <f>IFERROR(VLOOKUP($A$98&amp;"aaaa",COPY!$S$2:$AA$1000,2,FALSE)," ")</f>
        <v xml:space="preserve"> </v>
      </c>
      <c r="R98" s="75" t="str">
        <f>IFERROR(VLOOKUP($A$98&amp;"aaaaa",COPY!$S$2:$AA$1000,2,FALSE)," ")</f>
        <v xml:space="preserve"> </v>
      </c>
      <c r="S98" s="75" t="str">
        <f>IFERROR(VLOOKUP($A$98&amp;"aaaaaa",COPY!$S$2:$AA$1000,2,FALSE)," ")</f>
        <v xml:space="preserve"> </v>
      </c>
      <c r="T98" s="75" t="str">
        <f>IFERROR(VLOOKUP($A$98&amp;"aaaaaaa",COPY!$S$2:$AA$1000,2,FALSE)," ")</f>
        <v xml:space="preserve"> </v>
      </c>
      <c r="U98" s="75" t="str">
        <f>IFERROR(VLOOKUP($A$98&amp;"aaaaaaaa",COPY!$S$2:$AA$1000,2,FALSE)," ")</f>
        <v xml:space="preserve"> </v>
      </c>
      <c r="V98" s="75" t="str">
        <f>IFERROR(VLOOKUP($A$98&amp;"aaaaaaaaa",COPY!$S$2:$AA$1000,2,FALSE)," ")</f>
        <v xml:space="preserve"> </v>
      </c>
      <c r="W98" s="75" t="str">
        <f>IFERROR(VLOOKUP($A$98&amp;"aaaaaaaaaa",COPY!$S$2:$AA$1000,2,FALSE)," ")</f>
        <v xml:space="preserve"> </v>
      </c>
      <c r="X98" s="75" t="str">
        <f>IFERROR(VLOOKUP($A$98&amp;"aaaaaaaaaaa",COPY!$S$2:$AA$1000,2,FALSE)," ")</f>
        <v xml:space="preserve"> </v>
      </c>
      <c r="Y98" s="90" t="str">
        <f>IF(OR(LEFT(B98,2)="mg",LEFT(B98,2)="mE"),VLOOKUP(A98,COPY!$S$2:$AA$1000,6,FALSE),IF(LEFT(B98,1)="G"," ",IF(LEFT(B98,2)="ma"," "," ")))</f>
        <v xml:space="preserve"> </v>
      </c>
      <c r="Z98" s="90" t="str">
        <f>IFERROR(VLOOKUP(A98&amp;"a",COPY!$S$2:$AA$1000,6,FALSE)," ")</f>
        <v xml:space="preserve"> </v>
      </c>
      <c r="AA98" s="90" t="str">
        <f>IFERROR(VLOOKUP(A98&amp;"aa",COPY!$S$2:$AA$1000,6,FALSE)," ")</f>
        <v xml:space="preserve"> </v>
      </c>
      <c r="AB98" s="90" t="str">
        <f>IFERROR(VLOOKUP(A98&amp;"aaa",COPY!$S$2:$AA$1000,6,FALSE)," ")</f>
        <v xml:space="preserve"> </v>
      </c>
      <c r="AC98" s="90" t="str">
        <f>IFERROR(VLOOKUP(A98&amp;"aaaa",COPY!$S$2:$AA$1000,6,FALSE)," ")</f>
        <v xml:space="preserve"> </v>
      </c>
      <c r="AD98" s="90" t="str">
        <f>IFERROR(VLOOKUP(A98&amp;"aaaaa",COPY!$S$2:$AA$1000,6,FALSE)," ")</f>
        <v xml:space="preserve"> </v>
      </c>
      <c r="AE98" s="90" t="str">
        <f>IFERROR(VLOOKUP(A98&amp;"aaaaaa",COPY!$S$2:$AA$1000,6,FALSE)," ")</f>
        <v xml:space="preserve"> </v>
      </c>
      <c r="AF98" s="90" t="str">
        <f>IFERROR(VLOOKUP(A98&amp;"aaaaaaa",COPY!$S$2:$AA$1000,6,FALSE)," ")</f>
        <v xml:space="preserve"> </v>
      </c>
      <c r="AG98" s="90" t="str">
        <f>IFERROR(VLOOKUP(A98&amp;"aaaaaaaa",COPY!$S$2:$AA$1000,6,FALSE)," ")</f>
        <v xml:space="preserve"> </v>
      </c>
      <c r="AH98" s="90" t="str">
        <f>IFERROR(VLOOKUP(A98&amp;"aaaaaaaaa",COPY!$S$2:$AA$1000,6,FALSE)," ")</f>
        <v xml:space="preserve"> </v>
      </c>
      <c r="AI98" s="90" t="str">
        <f>IFERROR(VLOOKUP(A98&amp;"aaaaaaaaaa",COPY!$S$2:$AA$1000,6,FALSE)," ")</f>
        <v xml:space="preserve"> </v>
      </c>
      <c r="AJ98" s="90" t="str">
        <f>IFERROR(VLOOKUP(A98&amp;"aaaaaaaaaaa",COPY!$S$2:$AA$1000,6,FALSE)," ")</f>
        <v xml:space="preserve"> </v>
      </c>
      <c r="AK98" s="90" t="str">
        <f>IF(LEFT(B98,2)="mg",VLOOKUP(A98,COPY!$S$2:$AA$1000,7,FALSE),IF(LEFT(B98,1)="G"," ",IF(LEFT(B98,2)="ma"," "," ")))</f>
        <v xml:space="preserve"> </v>
      </c>
      <c r="AL98" s="90" t="str">
        <f>IFERROR(VLOOKUP(A98&amp;"a",COPY!$S$2:$AA$1000,7,FALSE)," ")</f>
        <v xml:space="preserve"> </v>
      </c>
      <c r="AM98" s="90" t="str">
        <f>IFERROR(VLOOKUP(A98&amp;"aa",COPY!$S$2:$AA$1000,7,FALSE)," ")</f>
        <v xml:space="preserve"> </v>
      </c>
      <c r="AN98" s="90" t="str">
        <f>IFERROR(VLOOKUP(A98&amp;"aaa",COPY!$S$2:$AA$1000,7,FALSE)," ")</f>
        <v xml:space="preserve"> </v>
      </c>
      <c r="AO98" s="90" t="str">
        <f>IFERROR(VLOOKUP(A98&amp;"aaaa",COPY!$S$2:$AA$1000,7,FALSE)," ")</f>
        <v xml:space="preserve"> </v>
      </c>
      <c r="AP98" s="90" t="str">
        <f>IFERROR(VLOOKUP(A98&amp;"aaaaa",COPY!$S$2:$AA$1000,7,FALSE)," ")</f>
        <v xml:space="preserve"> </v>
      </c>
      <c r="AQ98" s="90" t="str">
        <f>IFERROR(VLOOKUP(A98&amp;"aaaaaa",COPY!$S$2:$AA$1000,7,FALSE)," ")</f>
        <v xml:space="preserve"> </v>
      </c>
      <c r="AR98" s="90" t="str">
        <f>IFERROR(VLOOKUP(A98&amp;"aaaaaaa",COPY!$S$2:$AA$1000,7,FALSE)," ")</f>
        <v xml:space="preserve"> </v>
      </c>
      <c r="AS98" s="90" t="str">
        <f>IFERROR(VLOOKUP(A98&amp;"aaaaaaaa",COPY!$S$2:$AA$1000,7,FALSE)," ")</f>
        <v xml:space="preserve"> </v>
      </c>
      <c r="AT98" s="90" t="str">
        <f>IFERROR(VLOOKUP(A98&amp;"aaaaaaaaa",COPY!$S$2:$AA$1000,7,FALSE)," ")</f>
        <v xml:space="preserve"> </v>
      </c>
      <c r="AU98" s="90" t="str">
        <f>IFERROR(VLOOKUP(A98&amp;"aaaaaaaaaa",COPY!$S$2:$AA$1000,7,FALSE)," ")</f>
        <v xml:space="preserve"> </v>
      </c>
      <c r="AV98" s="90" t="str">
        <f>IFERROR(VLOOKUP(A98&amp;"aaaaaaaaaaa",COPY!$S$2:$AA$1000,7,FALSE)," ")</f>
        <v xml:space="preserve"> </v>
      </c>
    </row>
    <row r="99" spans="1:48" x14ac:dyDescent="0.2">
      <c r="A99" s="75" t="str">
        <f>'REKAP PAJAK'!W136</f>
        <v/>
      </c>
      <c r="B99" s="75" t="str">
        <f>IF(LEN(A99)&gt;1,VLOOKUP(A99,COPY!$O$2:$R$1000,4,FALSE),"")</f>
        <v/>
      </c>
      <c r="C99" s="75" t="str">
        <f t="shared" si="6"/>
        <v xml:space="preserve"> </v>
      </c>
      <c r="D99" s="75" t="str">
        <f t="shared" si="7"/>
        <v xml:space="preserve"> </v>
      </c>
      <c r="E99" s="75" t="str">
        <f t="shared" si="8"/>
        <v xml:space="preserve"> </v>
      </c>
      <c r="F99" s="75" t="str">
        <f t="shared" si="9"/>
        <v xml:space="preserve"> </v>
      </c>
      <c r="G99" s="75" t="str">
        <f>IFERROR(TEXT(VLOOKUP(A99,COPY!$S$2:$W$1000,3,FALSE),"dd-mmmm-yyyy")," ")</f>
        <v xml:space="preserve"> </v>
      </c>
      <c r="H99" s="75" t="str">
        <f t="shared" si="10"/>
        <v xml:space="preserve"> </v>
      </c>
      <c r="I99" s="75" t="str">
        <f t="shared" si="11"/>
        <v xml:space="preserve"> </v>
      </c>
      <c r="J99" s="90" t="str">
        <f>IFERROR(VLOOKUP(A99,COPY!$S$2:$W$1000,4,FALSE)," ")</f>
        <v xml:space="preserve"> </v>
      </c>
      <c r="K99" s="75" t="str">
        <f>IFERROR(VLOOKUP(A99,COPY!$S$2:$W$1000,5,FALSE)," ")</f>
        <v xml:space="preserve"> </v>
      </c>
      <c r="L99" s="75" t="str">
        <f>IF(B99="","",IF(LEFT(B99,2)="Ma",(VLOOKUP(B99,'Rekap Gaji'!$C$12:$D$26,2,FALSE))&amp;" Untuk "&amp;(PROPER('Rekap Gaji'!$B$2)),IF(LEFT(B99,2)="Mg","Pembelian Material Bahan Bangunan",IF(LEFT(B99,2)="Me","Biaya Pembelanjaan Menejemen",IF(LEFT(B99,1)="G",VLOOKUP(A99,COPY!$S$2:$AA$1000,2,FALSE)&amp;"( "&amp;TEXT(VLOOKUP(B99,'Rekap Gaji'!$A$12:$I$26,5,FALSE),"dd-mm-yyyy")&amp;" "&amp;TEXT(VLOOKUP(B99,'Rekap Gaji'!$A$12:$I$26,6,FALSE)&amp;" "&amp;TEXT(VLOOKUP(B99,'Rekap Gaji'!$A$12:$I$26,7,FALSE),"dd-mm-yyyy")&amp;" )"," "))))))</f>
        <v/>
      </c>
      <c r="M99" s="75" t="str">
        <f>IF(OR(LEFT(B99,2)="mg",LEFT(B99,2)="mE"),VLOOKUP(A99,COPY!$S$2:$AA$1000,2,FALSE),IF(LEFT(B99,1)="G"," ",IF(LEFT(B99,2)="ma"," "," ")))</f>
        <v xml:space="preserve"> </v>
      </c>
      <c r="N99" s="75" t="str">
        <f>IFERROR(VLOOKUP($A$99&amp;"a",COPY!$S$2:$AA$1000,2,FALSE)," ")</f>
        <v xml:space="preserve"> </v>
      </c>
      <c r="O99" s="75" t="str">
        <f>IFERROR(VLOOKUP($A$99&amp;"aa",COPY!$S$2:$AA$1000,2,FALSE)," ")</f>
        <v xml:space="preserve"> </v>
      </c>
      <c r="P99" s="75" t="str">
        <f>IFERROR(VLOOKUP($A$99&amp;"aaa",COPY!$S$2:$AA$1000,2,FALSE)," ")</f>
        <v xml:space="preserve"> </v>
      </c>
      <c r="Q99" s="75" t="str">
        <f>IFERROR(VLOOKUP($A$99&amp;"aaaa",COPY!$S$2:$AA$1000,2,FALSE)," ")</f>
        <v xml:space="preserve"> </v>
      </c>
      <c r="R99" s="75" t="str">
        <f>IFERROR(VLOOKUP($A$99&amp;"aaaaa",COPY!$S$2:$AA$1000,2,FALSE)," ")</f>
        <v xml:space="preserve"> </v>
      </c>
      <c r="S99" s="75" t="str">
        <f>IFERROR(VLOOKUP($A$99&amp;"aaaaaa",COPY!$S$2:$AA$1000,2,FALSE)," ")</f>
        <v xml:space="preserve"> </v>
      </c>
      <c r="T99" s="75" t="str">
        <f>IFERROR(VLOOKUP($A$99&amp;"aaaaaaa",COPY!$S$2:$AA$1000,2,FALSE)," ")</f>
        <v xml:space="preserve"> </v>
      </c>
      <c r="U99" s="75" t="str">
        <f>IFERROR(VLOOKUP($A$99&amp;"aaaaaaaa",COPY!$S$2:$AA$1000,2,FALSE)," ")</f>
        <v xml:space="preserve"> </v>
      </c>
      <c r="V99" s="75" t="str">
        <f>IFERROR(VLOOKUP($A$99&amp;"aaaaaaaaa",COPY!$S$2:$AA$1000,2,FALSE)," ")</f>
        <v xml:space="preserve"> </v>
      </c>
      <c r="W99" s="75" t="str">
        <f>IFERROR(VLOOKUP($A$99&amp;"aaaaaaaaaa",COPY!$S$2:$AA$1000,2,FALSE)," ")</f>
        <v xml:space="preserve"> </v>
      </c>
      <c r="X99" s="75" t="str">
        <f>IFERROR(VLOOKUP($A$99&amp;"aaaaaaaaaaa",COPY!$S$2:$AA$1000,2,FALSE)," ")</f>
        <v xml:space="preserve"> </v>
      </c>
      <c r="Y99" s="90" t="str">
        <f>IF(OR(LEFT(B99,2)="mg",LEFT(B99,2)="mE"),VLOOKUP(A99,COPY!$S$2:$AA$1000,6,FALSE),IF(LEFT(B99,1)="G"," ",IF(LEFT(B99,2)="ma"," "," ")))</f>
        <v xml:space="preserve"> </v>
      </c>
      <c r="Z99" s="90" t="str">
        <f>IFERROR(VLOOKUP(A99&amp;"a",COPY!$S$2:$AA$1000,6,FALSE)," ")</f>
        <v xml:space="preserve"> </v>
      </c>
      <c r="AA99" s="90" t="str">
        <f>IFERROR(VLOOKUP(A99&amp;"aa",COPY!$S$2:$AA$1000,6,FALSE)," ")</f>
        <v xml:space="preserve"> </v>
      </c>
      <c r="AB99" s="90" t="str">
        <f>IFERROR(VLOOKUP(A99&amp;"aaa",COPY!$S$2:$AA$1000,6,FALSE)," ")</f>
        <v xml:space="preserve"> </v>
      </c>
      <c r="AC99" s="90" t="str">
        <f>IFERROR(VLOOKUP(A99&amp;"aaaa",COPY!$S$2:$AA$1000,6,FALSE)," ")</f>
        <v xml:space="preserve"> </v>
      </c>
      <c r="AD99" s="90" t="str">
        <f>IFERROR(VLOOKUP(A99&amp;"aaaaa",COPY!$S$2:$AA$1000,6,FALSE)," ")</f>
        <v xml:space="preserve"> </v>
      </c>
      <c r="AE99" s="90" t="str">
        <f>IFERROR(VLOOKUP(A99&amp;"aaaaaa",COPY!$S$2:$AA$1000,6,FALSE)," ")</f>
        <v xml:space="preserve"> </v>
      </c>
      <c r="AF99" s="90" t="str">
        <f>IFERROR(VLOOKUP(A99&amp;"aaaaaaa",COPY!$S$2:$AA$1000,6,FALSE)," ")</f>
        <v xml:space="preserve"> </v>
      </c>
      <c r="AG99" s="90" t="str">
        <f>IFERROR(VLOOKUP(A99&amp;"aaaaaaaa",COPY!$S$2:$AA$1000,6,FALSE)," ")</f>
        <v xml:space="preserve"> </v>
      </c>
      <c r="AH99" s="90" t="str">
        <f>IFERROR(VLOOKUP(A99&amp;"aaaaaaaaa",COPY!$S$2:$AA$1000,6,FALSE)," ")</f>
        <v xml:space="preserve"> </v>
      </c>
      <c r="AI99" s="90" t="str">
        <f>IFERROR(VLOOKUP(A99&amp;"aaaaaaaaaa",COPY!$S$2:$AA$1000,6,FALSE)," ")</f>
        <v xml:space="preserve"> </v>
      </c>
      <c r="AJ99" s="90" t="str">
        <f>IFERROR(VLOOKUP(A99&amp;"aaaaaaaaaaa",COPY!$S$2:$AA$1000,6,FALSE)," ")</f>
        <v xml:space="preserve"> </v>
      </c>
      <c r="AK99" s="90" t="str">
        <f>IF(LEFT(B99,2)="mg",VLOOKUP(A99,COPY!$S$2:$AA$1000,7,FALSE),IF(LEFT(B99,1)="G"," ",IF(LEFT(B99,2)="ma"," "," ")))</f>
        <v xml:space="preserve"> </v>
      </c>
      <c r="AL99" s="90" t="str">
        <f>IFERROR(VLOOKUP(A99&amp;"a",COPY!$S$2:$AA$1000,7,FALSE)," ")</f>
        <v xml:space="preserve"> </v>
      </c>
      <c r="AM99" s="90" t="str">
        <f>IFERROR(VLOOKUP(A99&amp;"aa",COPY!$S$2:$AA$1000,7,FALSE)," ")</f>
        <v xml:space="preserve"> </v>
      </c>
      <c r="AN99" s="90" t="str">
        <f>IFERROR(VLOOKUP(A99&amp;"aaa",COPY!$S$2:$AA$1000,7,FALSE)," ")</f>
        <v xml:space="preserve"> </v>
      </c>
      <c r="AO99" s="90" t="str">
        <f>IFERROR(VLOOKUP(A99&amp;"aaaa",COPY!$S$2:$AA$1000,7,FALSE)," ")</f>
        <v xml:space="preserve"> </v>
      </c>
      <c r="AP99" s="90" t="str">
        <f>IFERROR(VLOOKUP(A99&amp;"aaaaa",COPY!$S$2:$AA$1000,7,FALSE)," ")</f>
        <v xml:space="preserve"> </v>
      </c>
      <c r="AQ99" s="90" t="str">
        <f>IFERROR(VLOOKUP(A99&amp;"aaaaaa",COPY!$S$2:$AA$1000,7,FALSE)," ")</f>
        <v xml:space="preserve"> </v>
      </c>
      <c r="AR99" s="90" t="str">
        <f>IFERROR(VLOOKUP(A99&amp;"aaaaaaa",COPY!$S$2:$AA$1000,7,FALSE)," ")</f>
        <v xml:space="preserve"> </v>
      </c>
      <c r="AS99" s="90" t="str">
        <f>IFERROR(VLOOKUP(A99&amp;"aaaaaaaa",COPY!$S$2:$AA$1000,7,FALSE)," ")</f>
        <v xml:space="preserve"> </v>
      </c>
      <c r="AT99" s="90" t="str">
        <f>IFERROR(VLOOKUP(A99&amp;"aaaaaaaaa",COPY!$S$2:$AA$1000,7,FALSE)," ")</f>
        <v xml:space="preserve"> </v>
      </c>
      <c r="AU99" s="90" t="str">
        <f>IFERROR(VLOOKUP(A99&amp;"aaaaaaaaaa",COPY!$S$2:$AA$1000,7,FALSE)," ")</f>
        <v xml:space="preserve"> </v>
      </c>
      <c r="AV99" s="90" t="str">
        <f>IFERROR(VLOOKUP(A99&amp;"aaaaaaaaaaa",COPY!$S$2:$AA$1000,7,FALSE)," ")</f>
        <v xml:space="preserve"> </v>
      </c>
    </row>
    <row r="100" spans="1:48" x14ac:dyDescent="0.2">
      <c r="A100" s="75" t="str">
        <f>'REKAP PAJAK'!W137</f>
        <v/>
      </c>
      <c r="B100" s="75" t="str">
        <f>IF(LEN(A100)&gt;1,VLOOKUP(A100,COPY!$O$2:$R$1000,4,FALSE),"")</f>
        <v/>
      </c>
      <c r="C100" s="75" t="str">
        <f t="shared" si="6"/>
        <v xml:space="preserve"> </v>
      </c>
      <c r="D100" s="75" t="str">
        <f t="shared" si="7"/>
        <v xml:space="preserve"> </v>
      </c>
      <c r="E100" s="75" t="str">
        <f t="shared" si="8"/>
        <v xml:space="preserve"> </v>
      </c>
      <c r="F100" s="75" t="str">
        <f t="shared" si="9"/>
        <v xml:space="preserve"> </v>
      </c>
      <c r="G100" s="75" t="str">
        <f>IFERROR(TEXT(VLOOKUP(A100,COPY!$S$2:$W$1000,3,FALSE),"dd-mmmm-yyyy")," ")</f>
        <v xml:space="preserve"> </v>
      </c>
      <c r="H100" s="75" t="str">
        <f t="shared" si="10"/>
        <v xml:space="preserve"> </v>
      </c>
      <c r="I100" s="75" t="str">
        <f t="shared" si="11"/>
        <v xml:space="preserve"> </v>
      </c>
      <c r="J100" s="90" t="str">
        <f>IFERROR(VLOOKUP(A100,COPY!$S$2:$W$1000,4,FALSE)," ")</f>
        <v xml:space="preserve"> </v>
      </c>
      <c r="K100" s="75" t="str">
        <f>IFERROR(VLOOKUP(A100,COPY!$S$2:$W$1000,5,FALSE)," ")</f>
        <v xml:space="preserve"> </v>
      </c>
      <c r="L100" s="75" t="str">
        <f>IF(B100="","",IF(LEFT(B100,2)="Ma",(VLOOKUP(B100,'Rekap Gaji'!$C$12:$D$26,2,FALSE))&amp;" Untuk "&amp;(PROPER('Rekap Gaji'!$B$2)),IF(LEFT(B100,2)="Mg","Pembelian Material Bahan Bangunan",IF(LEFT(B100,2)="Me","Biaya Pembelanjaan Menejemen",IF(LEFT(B100,1)="G",VLOOKUP(A100,COPY!$S$2:$AA$1000,2,FALSE)&amp;"( "&amp;TEXT(VLOOKUP(B100,'Rekap Gaji'!$A$12:$I$26,5,FALSE),"dd-mm-yyyy")&amp;" "&amp;TEXT(VLOOKUP(B100,'Rekap Gaji'!$A$12:$I$26,6,FALSE)&amp;" "&amp;TEXT(VLOOKUP(B100,'Rekap Gaji'!$A$12:$I$26,7,FALSE),"dd-mm-yyyy")&amp;" )"," "))))))</f>
        <v/>
      </c>
      <c r="M100" s="75" t="str">
        <f>IF(OR(LEFT(B100,2)="mg",LEFT(B100,2)="mE"),VLOOKUP(A100,COPY!$S$2:$AA$1000,2,FALSE),IF(LEFT(B100,1)="G"," ",IF(LEFT(B100,2)="ma"," "," ")))</f>
        <v xml:space="preserve"> </v>
      </c>
      <c r="N100" s="75" t="str">
        <f>IFERROR(VLOOKUP($A$100&amp;"a",COPY!$S$2:$AA$1000,2,FALSE)," ")</f>
        <v xml:space="preserve"> </v>
      </c>
      <c r="O100" s="75" t="str">
        <f>IFERROR(VLOOKUP($A$100&amp;"aa",COPY!$S$2:$AA$1000,2,FALSE)," ")</f>
        <v xml:space="preserve"> </v>
      </c>
      <c r="P100" s="75" t="str">
        <f>IFERROR(VLOOKUP($A$100&amp;"aaa",COPY!$S$2:$AA$1000,2,FALSE)," ")</f>
        <v xml:space="preserve"> </v>
      </c>
      <c r="Q100" s="75" t="str">
        <f>IFERROR(VLOOKUP($A$100&amp;"aaaa",COPY!$S$2:$AA$1000,2,FALSE)," ")</f>
        <v xml:space="preserve"> </v>
      </c>
      <c r="R100" s="75" t="str">
        <f>IFERROR(VLOOKUP($A$100&amp;"aaaaa",COPY!$S$2:$AA$1000,2,FALSE)," ")</f>
        <v xml:space="preserve"> </v>
      </c>
      <c r="S100" s="75" t="str">
        <f>IFERROR(VLOOKUP($A$100&amp;"aaaaaa",COPY!$S$2:$AA$1000,2,FALSE)," ")</f>
        <v xml:space="preserve"> </v>
      </c>
      <c r="T100" s="75" t="str">
        <f>IFERROR(VLOOKUP($A$100&amp;"aaaaaaa",COPY!$S$2:$AA$1000,2,FALSE)," ")</f>
        <v xml:space="preserve"> </v>
      </c>
      <c r="U100" s="75" t="str">
        <f>IFERROR(VLOOKUP($A$100&amp;"aaaaaaaa",COPY!$S$2:$AA$1000,2,FALSE)," ")</f>
        <v xml:space="preserve"> </v>
      </c>
      <c r="V100" s="75" t="str">
        <f>IFERROR(VLOOKUP($A$100&amp;"aaaaaaaaa",COPY!$S$2:$AA$1000,2,FALSE)," ")</f>
        <v xml:space="preserve"> </v>
      </c>
      <c r="W100" s="75" t="str">
        <f>IFERROR(VLOOKUP($A$100&amp;"aaaaaaaaaa",COPY!$S$2:$AA$1000,2,FALSE)," ")</f>
        <v xml:space="preserve"> </v>
      </c>
      <c r="X100" s="75" t="str">
        <f>IFERROR(VLOOKUP($A$100&amp;"aaaaaaaaaaa",COPY!$S$2:$AA$1000,2,FALSE)," ")</f>
        <v xml:space="preserve"> </v>
      </c>
      <c r="Y100" s="90" t="str">
        <f>IF(OR(LEFT(B100,2)="mg",LEFT(B100,2)="mE"),VLOOKUP(A100,COPY!$S$2:$AA$1000,6,FALSE),IF(LEFT(B100,1)="G"," ",IF(LEFT(B100,2)="ma"," "," ")))</f>
        <v xml:space="preserve"> </v>
      </c>
      <c r="Z100" s="90" t="str">
        <f>IFERROR(VLOOKUP(A100&amp;"a",COPY!$S$2:$AA$1000,6,FALSE)," ")</f>
        <v xml:space="preserve"> </v>
      </c>
      <c r="AA100" s="90" t="str">
        <f>IFERROR(VLOOKUP(A100&amp;"aa",COPY!$S$2:$AA$1000,6,FALSE)," ")</f>
        <v xml:space="preserve"> </v>
      </c>
      <c r="AB100" s="90" t="str">
        <f>IFERROR(VLOOKUP(A100&amp;"aaa",COPY!$S$2:$AA$1000,6,FALSE)," ")</f>
        <v xml:space="preserve"> </v>
      </c>
      <c r="AC100" s="90" t="str">
        <f>IFERROR(VLOOKUP(A100&amp;"aaaa",COPY!$S$2:$AA$1000,6,FALSE)," ")</f>
        <v xml:space="preserve"> </v>
      </c>
      <c r="AD100" s="90" t="str">
        <f>IFERROR(VLOOKUP(A100&amp;"aaaaa",COPY!$S$2:$AA$1000,6,FALSE)," ")</f>
        <v xml:space="preserve"> </v>
      </c>
      <c r="AE100" s="90" t="str">
        <f>IFERROR(VLOOKUP(A100&amp;"aaaaaa",COPY!$S$2:$AA$1000,6,FALSE)," ")</f>
        <v xml:space="preserve"> </v>
      </c>
      <c r="AF100" s="90" t="str">
        <f>IFERROR(VLOOKUP(A100&amp;"aaaaaaa",COPY!$S$2:$AA$1000,6,FALSE)," ")</f>
        <v xml:space="preserve"> </v>
      </c>
      <c r="AG100" s="90" t="str">
        <f>IFERROR(VLOOKUP(A100&amp;"aaaaaaaa",COPY!$S$2:$AA$1000,6,FALSE)," ")</f>
        <v xml:space="preserve"> </v>
      </c>
      <c r="AH100" s="90" t="str">
        <f>IFERROR(VLOOKUP(A100&amp;"aaaaaaaaa",COPY!$S$2:$AA$1000,6,FALSE)," ")</f>
        <v xml:space="preserve"> </v>
      </c>
      <c r="AI100" s="90" t="str">
        <f>IFERROR(VLOOKUP(A100&amp;"aaaaaaaaaa",COPY!$S$2:$AA$1000,6,FALSE)," ")</f>
        <v xml:space="preserve"> </v>
      </c>
      <c r="AJ100" s="90" t="str">
        <f>IFERROR(VLOOKUP(A100&amp;"aaaaaaaaaaa",COPY!$S$2:$AA$1000,6,FALSE)," ")</f>
        <v xml:space="preserve"> </v>
      </c>
      <c r="AK100" s="90" t="str">
        <f>IF(LEFT(B100,2)="mg",VLOOKUP(A100,COPY!$S$2:$AA$1000,7,FALSE),IF(LEFT(B100,1)="G"," ",IF(LEFT(B100,2)="ma"," "," ")))</f>
        <v xml:space="preserve"> </v>
      </c>
      <c r="AL100" s="90" t="str">
        <f>IFERROR(VLOOKUP(A100&amp;"a",COPY!$S$2:$AA$1000,7,FALSE)," ")</f>
        <v xml:space="preserve"> </v>
      </c>
      <c r="AM100" s="90" t="str">
        <f>IFERROR(VLOOKUP(A100&amp;"aa",COPY!$S$2:$AA$1000,7,FALSE)," ")</f>
        <v xml:space="preserve"> </v>
      </c>
      <c r="AN100" s="90" t="str">
        <f>IFERROR(VLOOKUP(A100&amp;"aaa",COPY!$S$2:$AA$1000,7,FALSE)," ")</f>
        <v xml:space="preserve"> </v>
      </c>
      <c r="AO100" s="90" t="str">
        <f>IFERROR(VLOOKUP(A100&amp;"aaaa",COPY!$S$2:$AA$1000,7,FALSE)," ")</f>
        <v xml:space="preserve"> </v>
      </c>
      <c r="AP100" s="90" t="str">
        <f>IFERROR(VLOOKUP(A100&amp;"aaaaa",COPY!$S$2:$AA$1000,7,FALSE)," ")</f>
        <v xml:space="preserve"> </v>
      </c>
      <c r="AQ100" s="90" t="str">
        <f>IFERROR(VLOOKUP(A100&amp;"aaaaaa",COPY!$S$2:$AA$1000,7,FALSE)," ")</f>
        <v xml:space="preserve"> </v>
      </c>
      <c r="AR100" s="90" t="str">
        <f>IFERROR(VLOOKUP(A100&amp;"aaaaaaa",COPY!$S$2:$AA$1000,7,FALSE)," ")</f>
        <v xml:space="preserve"> </v>
      </c>
      <c r="AS100" s="90" t="str">
        <f>IFERROR(VLOOKUP(A100&amp;"aaaaaaaa",COPY!$S$2:$AA$1000,7,FALSE)," ")</f>
        <v xml:space="preserve"> </v>
      </c>
      <c r="AT100" s="90" t="str">
        <f>IFERROR(VLOOKUP(A100&amp;"aaaaaaaaa",COPY!$S$2:$AA$1000,7,FALSE)," ")</f>
        <v xml:space="preserve"> </v>
      </c>
      <c r="AU100" s="90" t="str">
        <f>IFERROR(VLOOKUP(A100&amp;"aaaaaaaaaa",COPY!$S$2:$AA$1000,7,FALSE)," ")</f>
        <v xml:space="preserve"> </v>
      </c>
      <c r="AV100" s="90" t="str">
        <f>IFERROR(VLOOKUP(A100&amp;"aaaaaaaaaaa",COPY!$S$2:$AA$1000,7,FALSE)," ")</f>
        <v xml:space="preserve"> </v>
      </c>
    </row>
    <row r="101" spans="1:48" x14ac:dyDescent="0.2">
      <c r="A101" s="75" t="str">
        <f>'REKAP PAJAK'!W138</f>
        <v/>
      </c>
      <c r="B101" s="75" t="str">
        <f>IF(LEN(A101)&gt;1,VLOOKUP(A101,COPY!$O$2:$R$1000,4,FALSE),"")</f>
        <v/>
      </c>
      <c r="C101" s="75" t="str">
        <f t="shared" si="6"/>
        <v xml:space="preserve"> </v>
      </c>
      <c r="D101" s="75" t="str">
        <f t="shared" si="7"/>
        <v xml:space="preserve"> </v>
      </c>
      <c r="E101" s="75" t="str">
        <f t="shared" si="8"/>
        <v xml:space="preserve"> </v>
      </c>
      <c r="F101" s="75" t="str">
        <f t="shared" si="9"/>
        <v xml:space="preserve"> </v>
      </c>
      <c r="G101" s="75" t="str">
        <f>IFERROR(TEXT(VLOOKUP(A101,COPY!$S$2:$W$1000,3,FALSE),"dd-mmmm-yyyy")," ")</f>
        <v xml:space="preserve"> </v>
      </c>
      <c r="H101" s="75" t="str">
        <f t="shared" si="10"/>
        <v xml:space="preserve"> </v>
      </c>
      <c r="I101" s="75" t="str">
        <f t="shared" si="11"/>
        <v xml:space="preserve"> </v>
      </c>
      <c r="J101" s="90" t="str">
        <f>IFERROR(VLOOKUP(A101,COPY!$S$2:$W$1000,4,FALSE)," ")</f>
        <v xml:space="preserve"> </v>
      </c>
      <c r="K101" s="75" t="str">
        <f>IFERROR(VLOOKUP(A101,COPY!$S$2:$W$1000,5,FALSE)," ")</f>
        <v xml:space="preserve"> </v>
      </c>
      <c r="L101" s="75" t="str">
        <f>IF(B101="","",IF(LEFT(B101,2)="Ma",(VLOOKUP(B101,'Rekap Gaji'!$C$12:$D$26,2,FALSE))&amp;" Untuk "&amp;(PROPER('Rekap Gaji'!$B$2)),IF(LEFT(B101,2)="Mg","Pembelian Material Bahan Bangunan",IF(LEFT(B101,2)="Me","Biaya Pembelanjaan Menejemen",IF(LEFT(B101,1)="G",VLOOKUP(A101,COPY!$S$2:$AA$1000,2,FALSE)&amp;"( "&amp;TEXT(VLOOKUP(B101,'Rekap Gaji'!$A$12:$I$26,5,FALSE),"dd-mm-yyyy")&amp;" "&amp;TEXT(VLOOKUP(B101,'Rekap Gaji'!$A$12:$I$26,6,FALSE)&amp;" "&amp;TEXT(VLOOKUP(B101,'Rekap Gaji'!$A$12:$I$26,7,FALSE),"dd-mm-yyyy")&amp;" )"," "))))))</f>
        <v/>
      </c>
      <c r="M101" s="75" t="str">
        <f>IF(OR(LEFT(B101,2)="mg",LEFT(B101,2)="mE"),VLOOKUP(A101,COPY!$S$2:$AA$1000,2,FALSE),IF(LEFT(B101,1)="G"," ",IF(LEFT(B101,2)="ma"," "," ")))</f>
        <v xml:space="preserve"> </v>
      </c>
      <c r="N101" s="75" t="str">
        <f>IFERROR(VLOOKUP($A$101&amp;"a",COPY!$S$2:$AA$1000,2,FALSE)," ")</f>
        <v xml:space="preserve"> </v>
      </c>
      <c r="O101" s="75" t="str">
        <f>IFERROR(VLOOKUP($A$101&amp;"aa",COPY!$S$2:$AA$1000,2,FALSE)," ")</f>
        <v xml:space="preserve"> </v>
      </c>
      <c r="P101" s="75" t="str">
        <f>IFERROR(VLOOKUP($A$101&amp;"aaa",COPY!$S$2:$AA$1000,2,FALSE)," ")</f>
        <v xml:space="preserve"> </v>
      </c>
      <c r="Q101" s="75" t="str">
        <f>IFERROR(VLOOKUP($A$101&amp;"aaaa",COPY!$S$2:$AA$1000,2,FALSE)," ")</f>
        <v xml:space="preserve"> </v>
      </c>
      <c r="R101" s="75" t="str">
        <f>IFERROR(VLOOKUP($A$101&amp;"aaaaa",COPY!$S$2:$AA$1000,2,FALSE)," ")</f>
        <v xml:space="preserve"> </v>
      </c>
      <c r="S101" s="75" t="str">
        <f>IFERROR(VLOOKUP($A$101&amp;"aaaaaa",COPY!$S$2:$AA$1000,2,FALSE)," ")</f>
        <v xml:space="preserve"> </v>
      </c>
      <c r="T101" s="75" t="str">
        <f>IFERROR(VLOOKUP($A$101&amp;"aaaaaaa",COPY!$S$2:$AA$1000,2,FALSE)," ")</f>
        <v xml:space="preserve"> </v>
      </c>
      <c r="U101" s="75" t="str">
        <f>IFERROR(VLOOKUP($A$101&amp;"aaaaaaaa",COPY!$S$2:$AA$1000,2,FALSE)," ")</f>
        <v xml:space="preserve"> </v>
      </c>
      <c r="V101" s="75" t="str">
        <f>IFERROR(VLOOKUP($A$101&amp;"aaaaaaaaa",COPY!$S$2:$AA$1000,2,FALSE)," ")</f>
        <v xml:space="preserve"> </v>
      </c>
      <c r="W101" s="75" t="str">
        <f>IFERROR(VLOOKUP($A$101&amp;"aaaaaaaaaa",COPY!$S$2:$AA$1000,2,FALSE)," ")</f>
        <v xml:space="preserve"> </v>
      </c>
      <c r="X101" s="75" t="str">
        <f>IFERROR(VLOOKUP($A$101&amp;"aaaaaaaaaaa",COPY!$S$2:$AA$1000,2,FALSE)," ")</f>
        <v xml:space="preserve"> </v>
      </c>
      <c r="Y101" s="90" t="str">
        <f>IF(OR(LEFT(B101,2)="mg",LEFT(B101,2)="mE"),VLOOKUP(A101,COPY!$S$2:$AA$1000,6,FALSE),IF(LEFT(B101,1)="G"," ",IF(LEFT(B101,2)="ma"," "," ")))</f>
        <v xml:space="preserve"> </v>
      </c>
      <c r="Z101" s="90" t="str">
        <f>IFERROR(VLOOKUP(A101&amp;"a",COPY!$S$2:$AA$1000,6,FALSE)," ")</f>
        <v xml:space="preserve"> </v>
      </c>
      <c r="AA101" s="90" t="str">
        <f>IFERROR(VLOOKUP(A101&amp;"aa",COPY!$S$2:$AA$1000,6,FALSE)," ")</f>
        <v xml:space="preserve"> </v>
      </c>
      <c r="AB101" s="90" t="str">
        <f>IFERROR(VLOOKUP(A101&amp;"aaa",COPY!$S$2:$AA$1000,6,FALSE)," ")</f>
        <v xml:space="preserve"> </v>
      </c>
      <c r="AC101" s="90" t="str">
        <f>IFERROR(VLOOKUP(A101&amp;"aaaa",COPY!$S$2:$AA$1000,6,FALSE)," ")</f>
        <v xml:space="preserve"> </v>
      </c>
      <c r="AD101" s="90" t="str">
        <f>IFERROR(VLOOKUP(A101&amp;"aaaaa",COPY!$S$2:$AA$1000,6,FALSE)," ")</f>
        <v xml:space="preserve"> </v>
      </c>
      <c r="AE101" s="90" t="str">
        <f>IFERROR(VLOOKUP(A101&amp;"aaaaaa",COPY!$S$2:$AA$1000,6,FALSE)," ")</f>
        <v xml:space="preserve"> </v>
      </c>
      <c r="AF101" s="90" t="str">
        <f>IFERROR(VLOOKUP(A101&amp;"aaaaaaa",COPY!$S$2:$AA$1000,6,FALSE)," ")</f>
        <v xml:space="preserve"> </v>
      </c>
      <c r="AG101" s="90" t="str">
        <f>IFERROR(VLOOKUP(A101&amp;"aaaaaaaa",COPY!$S$2:$AA$1000,6,FALSE)," ")</f>
        <v xml:space="preserve"> </v>
      </c>
      <c r="AH101" s="90" t="str">
        <f>IFERROR(VLOOKUP(A101&amp;"aaaaaaaaa",COPY!$S$2:$AA$1000,6,FALSE)," ")</f>
        <v xml:space="preserve"> </v>
      </c>
      <c r="AI101" s="90" t="str">
        <f>IFERROR(VLOOKUP(A101&amp;"aaaaaaaaaa",COPY!$S$2:$AA$1000,6,FALSE)," ")</f>
        <v xml:space="preserve"> </v>
      </c>
      <c r="AJ101" s="90" t="str">
        <f>IFERROR(VLOOKUP(A101&amp;"aaaaaaaaaaa",COPY!$S$2:$AA$1000,6,FALSE)," ")</f>
        <v xml:space="preserve"> </v>
      </c>
      <c r="AK101" s="90" t="str">
        <f>IF(LEFT(B101,2)="mg",VLOOKUP(A101,COPY!$S$2:$AA$1000,7,FALSE),IF(LEFT(B101,1)="G"," ",IF(LEFT(B101,2)="ma"," "," ")))</f>
        <v xml:space="preserve"> </v>
      </c>
      <c r="AL101" s="90" t="str">
        <f>IFERROR(VLOOKUP(A101&amp;"a",COPY!$S$2:$AA$1000,7,FALSE)," ")</f>
        <v xml:space="preserve"> </v>
      </c>
      <c r="AM101" s="90" t="str">
        <f>IFERROR(VLOOKUP(A101&amp;"aa",COPY!$S$2:$AA$1000,7,FALSE)," ")</f>
        <v xml:space="preserve"> </v>
      </c>
      <c r="AN101" s="90" t="str">
        <f>IFERROR(VLOOKUP(A101&amp;"aaa",COPY!$S$2:$AA$1000,7,FALSE)," ")</f>
        <v xml:space="preserve"> </v>
      </c>
      <c r="AO101" s="90" t="str">
        <f>IFERROR(VLOOKUP(A101&amp;"aaaa",COPY!$S$2:$AA$1000,7,FALSE)," ")</f>
        <v xml:space="preserve"> </v>
      </c>
      <c r="AP101" s="90" t="str">
        <f>IFERROR(VLOOKUP(A101&amp;"aaaaa",COPY!$S$2:$AA$1000,7,FALSE)," ")</f>
        <v xml:space="preserve"> </v>
      </c>
      <c r="AQ101" s="90" t="str">
        <f>IFERROR(VLOOKUP(A101&amp;"aaaaaa",COPY!$S$2:$AA$1000,7,FALSE)," ")</f>
        <v xml:space="preserve"> </v>
      </c>
      <c r="AR101" s="90" t="str">
        <f>IFERROR(VLOOKUP(A101&amp;"aaaaaaa",COPY!$S$2:$AA$1000,7,FALSE)," ")</f>
        <v xml:space="preserve"> </v>
      </c>
      <c r="AS101" s="90" t="str">
        <f>IFERROR(VLOOKUP(A101&amp;"aaaaaaaa",COPY!$S$2:$AA$1000,7,FALSE)," ")</f>
        <v xml:space="preserve"> </v>
      </c>
      <c r="AT101" s="90" t="str">
        <f>IFERROR(VLOOKUP(A101&amp;"aaaaaaaaa",COPY!$S$2:$AA$1000,7,FALSE)," ")</f>
        <v xml:space="preserve"> </v>
      </c>
      <c r="AU101" s="90" t="str">
        <f>IFERROR(VLOOKUP(A101&amp;"aaaaaaaaaa",COPY!$S$2:$AA$1000,7,FALSE)," ")</f>
        <v xml:space="preserve"> </v>
      </c>
      <c r="AV101" s="90" t="str">
        <f>IFERROR(VLOOKUP(A101&amp;"aaaaaaaaaaa",COPY!$S$2:$AA$1000,7,FALSE)," ")</f>
        <v xml:space="preserve"> </v>
      </c>
    </row>
    <row r="102" spans="1:48" x14ac:dyDescent="0.2">
      <c r="A102" s="75" t="str">
        <f>'REKAP PAJAK'!W139</f>
        <v/>
      </c>
      <c r="B102" s="75" t="str">
        <f>IF(LEN(A102)&gt;1,VLOOKUP(A102,COPY!$O$2:$R$1000,4,FALSE),"")</f>
        <v/>
      </c>
      <c r="C102" s="75" t="str">
        <f t="shared" si="6"/>
        <v xml:space="preserve"> </v>
      </c>
      <c r="D102" s="75" t="str">
        <f t="shared" si="7"/>
        <v xml:space="preserve"> </v>
      </c>
      <c r="E102" s="75" t="str">
        <f t="shared" si="8"/>
        <v xml:space="preserve"> </v>
      </c>
      <c r="F102" s="75" t="str">
        <f t="shared" si="9"/>
        <v xml:space="preserve"> </v>
      </c>
      <c r="G102" s="75" t="str">
        <f>IFERROR(TEXT(VLOOKUP(A102,COPY!$S$2:$W$1000,3,FALSE),"dd-mmmm-yyyy")," ")</f>
        <v xml:space="preserve"> </v>
      </c>
      <c r="H102" s="75" t="str">
        <f t="shared" si="10"/>
        <v xml:space="preserve"> </v>
      </c>
      <c r="I102" s="75" t="str">
        <f t="shared" si="11"/>
        <v xml:space="preserve"> </v>
      </c>
      <c r="J102" s="90" t="str">
        <f>IFERROR(VLOOKUP(A102,COPY!$S$2:$W$1000,4,FALSE)," ")</f>
        <v xml:space="preserve"> </v>
      </c>
      <c r="K102" s="75" t="str">
        <f>IFERROR(VLOOKUP(A102,COPY!$S$2:$W$1000,5,FALSE)," ")</f>
        <v xml:space="preserve"> </v>
      </c>
      <c r="L102" s="75" t="str">
        <f>IF(B102="","",IF(LEFT(B102,2)="Ma",(VLOOKUP(B102,'Rekap Gaji'!$C$12:$D$26,2,FALSE))&amp;" Untuk "&amp;(PROPER('Rekap Gaji'!$B$2)),IF(LEFT(B102,2)="Mg","Pembelian Material Bahan Bangunan",IF(LEFT(B102,2)="Me","Biaya Pembelanjaan Menejemen",IF(LEFT(B102,1)="G",VLOOKUP(A102,COPY!$S$2:$AA$1000,2,FALSE)&amp;"( "&amp;TEXT(VLOOKUP(B102,'Rekap Gaji'!$A$12:$I$26,5,FALSE),"dd-mm-yyyy")&amp;" "&amp;TEXT(VLOOKUP(B102,'Rekap Gaji'!$A$12:$I$26,6,FALSE)&amp;" "&amp;TEXT(VLOOKUP(B102,'Rekap Gaji'!$A$12:$I$26,7,FALSE),"dd-mm-yyyy")&amp;" )"," "))))))</f>
        <v/>
      </c>
      <c r="M102" s="75" t="str">
        <f>IF(OR(LEFT(B102,2)="mg",LEFT(B102,2)="mE"),VLOOKUP(A102,COPY!$S$2:$AA$1000,2,FALSE),IF(LEFT(B102,1)="G"," ",IF(LEFT(B102,2)="ma"," "," ")))</f>
        <v xml:space="preserve"> </v>
      </c>
      <c r="N102" s="75" t="str">
        <f>IFERROR(VLOOKUP($A$102&amp;"a",COPY!$S$2:$AA$1000,2,FALSE)," ")</f>
        <v xml:space="preserve"> </v>
      </c>
      <c r="O102" s="75" t="str">
        <f>IFERROR(VLOOKUP($A$102&amp;"aa",COPY!$S$2:$AA$1000,2,FALSE)," ")</f>
        <v xml:space="preserve"> </v>
      </c>
      <c r="P102" s="75" t="str">
        <f>IFERROR(VLOOKUP($A$102&amp;"aaa",COPY!$S$2:$AA$1000,2,FALSE)," ")</f>
        <v xml:space="preserve"> </v>
      </c>
      <c r="Q102" s="75" t="str">
        <f>IFERROR(VLOOKUP($A$102&amp;"aaaa",COPY!$S$2:$AA$1000,2,FALSE)," ")</f>
        <v xml:space="preserve"> </v>
      </c>
      <c r="R102" s="75" t="str">
        <f>IFERROR(VLOOKUP($A$102&amp;"aaaaa",COPY!$S$2:$AA$1000,2,FALSE)," ")</f>
        <v xml:space="preserve"> </v>
      </c>
      <c r="S102" s="75" t="str">
        <f>IFERROR(VLOOKUP($A$102&amp;"aaaaaa",COPY!$S$2:$AA$1000,2,FALSE)," ")</f>
        <v xml:space="preserve"> </v>
      </c>
      <c r="T102" s="75" t="str">
        <f>IFERROR(VLOOKUP($A$102&amp;"aaaaaaa",COPY!$S$2:$AA$1000,2,FALSE)," ")</f>
        <v xml:space="preserve"> </v>
      </c>
      <c r="U102" s="75" t="str">
        <f>IFERROR(VLOOKUP($A$102&amp;"aaaaaaaa",COPY!$S$2:$AA$1000,2,FALSE)," ")</f>
        <v xml:space="preserve"> </v>
      </c>
      <c r="V102" s="75" t="str">
        <f>IFERROR(VLOOKUP($A$102&amp;"aaaaaaaaa",COPY!$S$2:$AA$1000,2,FALSE)," ")</f>
        <v xml:space="preserve"> </v>
      </c>
      <c r="W102" s="75" t="str">
        <f>IFERROR(VLOOKUP($A$102&amp;"aaaaaaaaaa",COPY!$S$2:$AA$1000,2,FALSE)," ")</f>
        <v xml:space="preserve"> </v>
      </c>
      <c r="X102" s="75" t="str">
        <f>IFERROR(VLOOKUP($A$102&amp;"aaaaaaaaaaa",COPY!$S$2:$AA$1000,2,FALSE)," ")</f>
        <v xml:space="preserve"> </v>
      </c>
      <c r="Y102" s="90" t="str">
        <f>IF(OR(LEFT(B102,2)="mg",LEFT(B102,2)="mE"),VLOOKUP(A102,COPY!$S$2:$AA$1000,6,FALSE),IF(LEFT(B102,1)="G"," ",IF(LEFT(B102,2)="ma"," "," ")))</f>
        <v xml:space="preserve"> </v>
      </c>
      <c r="Z102" s="90" t="str">
        <f>IFERROR(VLOOKUP(A102&amp;"a",COPY!$S$2:$AA$1000,6,FALSE)," ")</f>
        <v xml:space="preserve"> </v>
      </c>
      <c r="AA102" s="90" t="str">
        <f>IFERROR(VLOOKUP(A102&amp;"aa",COPY!$S$2:$AA$1000,6,FALSE)," ")</f>
        <v xml:space="preserve"> </v>
      </c>
      <c r="AB102" s="90" t="str">
        <f>IFERROR(VLOOKUP(A102&amp;"aaa",COPY!$S$2:$AA$1000,6,FALSE)," ")</f>
        <v xml:space="preserve"> </v>
      </c>
      <c r="AC102" s="90" t="str">
        <f>IFERROR(VLOOKUP(A102&amp;"aaaa",COPY!$S$2:$AA$1000,6,FALSE)," ")</f>
        <v xml:space="preserve"> </v>
      </c>
      <c r="AD102" s="90" t="str">
        <f>IFERROR(VLOOKUP(A102&amp;"aaaaa",COPY!$S$2:$AA$1000,6,FALSE)," ")</f>
        <v xml:space="preserve"> </v>
      </c>
      <c r="AE102" s="90" t="str">
        <f>IFERROR(VLOOKUP(A102&amp;"aaaaaa",COPY!$S$2:$AA$1000,6,FALSE)," ")</f>
        <v xml:space="preserve"> </v>
      </c>
      <c r="AF102" s="90" t="str">
        <f>IFERROR(VLOOKUP(A102&amp;"aaaaaaa",COPY!$S$2:$AA$1000,6,FALSE)," ")</f>
        <v xml:space="preserve"> </v>
      </c>
      <c r="AG102" s="90" t="str">
        <f>IFERROR(VLOOKUP(A102&amp;"aaaaaaaa",COPY!$S$2:$AA$1000,6,FALSE)," ")</f>
        <v xml:space="preserve"> </v>
      </c>
      <c r="AH102" s="90" t="str">
        <f>IFERROR(VLOOKUP(A102&amp;"aaaaaaaaa",COPY!$S$2:$AA$1000,6,FALSE)," ")</f>
        <v xml:space="preserve"> </v>
      </c>
      <c r="AI102" s="90" t="str">
        <f>IFERROR(VLOOKUP(A102&amp;"aaaaaaaaaa",COPY!$S$2:$AA$1000,6,FALSE)," ")</f>
        <v xml:space="preserve"> </v>
      </c>
      <c r="AJ102" s="90" t="str">
        <f>IFERROR(VLOOKUP(A102&amp;"aaaaaaaaaaa",COPY!$S$2:$AA$1000,6,FALSE)," ")</f>
        <v xml:space="preserve"> </v>
      </c>
      <c r="AK102" s="90" t="str">
        <f>IF(LEFT(B102,2)="mg",VLOOKUP(A102,COPY!$S$2:$AA$1000,7,FALSE),IF(LEFT(B102,1)="G"," ",IF(LEFT(B102,2)="ma"," "," ")))</f>
        <v xml:space="preserve"> </v>
      </c>
      <c r="AL102" s="90" t="str">
        <f>IFERROR(VLOOKUP(A102&amp;"a",COPY!$S$2:$AA$1000,7,FALSE)," ")</f>
        <v xml:space="preserve"> </v>
      </c>
      <c r="AM102" s="90" t="str">
        <f>IFERROR(VLOOKUP(A102&amp;"aa",COPY!$S$2:$AA$1000,7,FALSE)," ")</f>
        <v xml:space="preserve"> </v>
      </c>
      <c r="AN102" s="90" t="str">
        <f>IFERROR(VLOOKUP(A102&amp;"aaa",COPY!$S$2:$AA$1000,7,FALSE)," ")</f>
        <v xml:space="preserve"> </v>
      </c>
      <c r="AO102" s="90" t="str">
        <f>IFERROR(VLOOKUP(A102&amp;"aaaa",COPY!$S$2:$AA$1000,7,FALSE)," ")</f>
        <v xml:space="preserve"> </v>
      </c>
      <c r="AP102" s="90" t="str">
        <f>IFERROR(VLOOKUP(A102&amp;"aaaaa",COPY!$S$2:$AA$1000,7,FALSE)," ")</f>
        <v xml:space="preserve"> </v>
      </c>
      <c r="AQ102" s="90" t="str">
        <f>IFERROR(VLOOKUP(A102&amp;"aaaaaa",COPY!$S$2:$AA$1000,7,FALSE)," ")</f>
        <v xml:space="preserve"> </v>
      </c>
      <c r="AR102" s="90" t="str">
        <f>IFERROR(VLOOKUP(A102&amp;"aaaaaaa",COPY!$S$2:$AA$1000,7,FALSE)," ")</f>
        <v xml:space="preserve"> </v>
      </c>
      <c r="AS102" s="90" t="str">
        <f>IFERROR(VLOOKUP(A102&amp;"aaaaaaaa",COPY!$S$2:$AA$1000,7,FALSE)," ")</f>
        <v xml:space="preserve"> </v>
      </c>
      <c r="AT102" s="90" t="str">
        <f>IFERROR(VLOOKUP(A102&amp;"aaaaaaaaa",COPY!$S$2:$AA$1000,7,FALSE)," ")</f>
        <v xml:space="preserve"> </v>
      </c>
      <c r="AU102" s="90" t="str">
        <f>IFERROR(VLOOKUP(A102&amp;"aaaaaaaaaa",COPY!$S$2:$AA$1000,7,FALSE)," ")</f>
        <v xml:space="preserve"> </v>
      </c>
      <c r="AV102" s="90" t="str">
        <f>IFERROR(VLOOKUP(A102&amp;"aaaaaaaaaaa",COPY!$S$2:$AA$1000,7,FALSE)," ")</f>
        <v xml:space="preserve"> </v>
      </c>
    </row>
    <row r="103" spans="1:48" x14ac:dyDescent="0.2">
      <c r="A103" s="75" t="str">
        <f>'REKAP PAJAK'!W140</f>
        <v/>
      </c>
      <c r="B103" s="75" t="str">
        <f>IF(LEN(A103)&gt;1,VLOOKUP(A103,COPY!$O$2:$R$1000,4,FALSE),"")</f>
        <v/>
      </c>
      <c r="C103" s="75" t="str">
        <f t="shared" si="6"/>
        <v xml:space="preserve"> </v>
      </c>
      <c r="D103" s="75" t="str">
        <f t="shared" si="7"/>
        <v xml:space="preserve"> </v>
      </c>
      <c r="E103" s="75" t="str">
        <f t="shared" si="8"/>
        <v xml:space="preserve"> </v>
      </c>
      <c r="F103" s="75" t="str">
        <f t="shared" si="9"/>
        <v xml:space="preserve"> </v>
      </c>
      <c r="G103" s="75" t="str">
        <f>IFERROR(TEXT(VLOOKUP(A103,COPY!$S$2:$W$1000,3,FALSE),"dd-mmmm-yyyy")," ")</f>
        <v xml:space="preserve"> </v>
      </c>
      <c r="H103" s="75" t="str">
        <f t="shared" si="10"/>
        <v xml:space="preserve"> </v>
      </c>
      <c r="I103" s="75" t="str">
        <f t="shared" si="11"/>
        <v xml:space="preserve"> </v>
      </c>
      <c r="J103" s="90" t="str">
        <f>IFERROR(VLOOKUP(A103,COPY!$S$2:$W$1000,4,FALSE)," ")</f>
        <v xml:space="preserve"> </v>
      </c>
      <c r="K103" s="75" t="str">
        <f>IFERROR(VLOOKUP(A103,COPY!$S$2:$W$1000,5,FALSE)," ")</f>
        <v xml:space="preserve"> </v>
      </c>
      <c r="L103" s="75" t="str">
        <f>IF(B103="","",IF(LEFT(B103,2)="Ma",(VLOOKUP(B103,'Rekap Gaji'!$C$12:$D$26,2,FALSE))&amp;" Untuk "&amp;(PROPER('Rekap Gaji'!$B$2)),IF(LEFT(B103,2)="Mg","Pembelian Material Bahan Bangunan",IF(LEFT(B103,2)="Me","Biaya Pembelanjaan Menejemen",IF(LEFT(B103,1)="G",VLOOKUP(A103,COPY!$S$2:$AA$1000,2,FALSE)&amp;"( "&amp;TEXT(VLOOKUP(B103,'Rekap Gaji'!$A$12:$I$26,5,FALSE),"dd-mm-yyyy")&amp;" "&amp;TEXT(VLOOKUP(B103,'Rekap Gaji'!$A$12:$I$26,6,FALSE)&amp;" "&amp;TEXT(VLOOKUP(B103,'Rekap Gaji'!$A$12:$I$26,7,FALSE),"dd-mm-yyyy")&amp;" )"," "))))))</f>
        <v/>
      </c>
      <c r="M103" s="75" t="str">
        <f>IF(OR(LEFT(B103,2)="mg",LEFT(B103,2)="mE"),VLOOKUP(A103,COPY!$S$2:$AA$1000,2,FALSE),IF(LEFT(B103,1)="G"," ",IF(LEFT(B103,2)="ma"," "," ")))</f>
        <v xml:space="preserve"> </v>
      </c>
      <c r="N103" s="75" t="str">
        <f>IFERROR(VLOOKUP($A$103&amp;"a",COPY!$S$2:$AA$1000,2,FALSE)," ")</f>
        <v xml:space="preserve"> </v>
      </c>
      <c r="O103" s="75" t="str">
        <f>IFERROR(VLOOKUP($A$103&amp;"aa",COPY!$S$2:$AA$1000,2,FALSE)," ")</f>
        <v xml:space="preserve"> </v>
      </c>
      <c r="P103" s="75" t="str">
        <f>IFERROR(VLOOKUP($A$103&amp;"aaa",COPY!$S$2:$AA$1000,2,FALSE)," ")</f>
        <v xml:space="preserve"> </v>
      </c>
      <c r="Q103" s="75" t="str">
        <f>IFERROR(VLOOKUP($A$103&amp;"aaaa",COPY!$S$2:$AA$1000,2,FALSE)," ")</f>
        <v xml:space="preserve"> </v>
      </c>
      <c r="R103" s="75" t="str">
        <f>IFERROR(VLOOKUP($A$103&amp;"aaaaa",COPY!$S$2:$AA$1000,2,FALSE)," ")</f>
        <v xml:space="preserve"> </v>
      </c>
      <c r="S103" s="75" t="str">
        <f>IFERROR(VLOOKUP($A$103&amp;"aaaaaa",COPY!$S$2:$AA$1000,2,FALSE)," ")</f>
        <v xml:space="preserve"> </v>
      </c>
      <c r="T103" s="75" t="str">
        <f>IFERROR(VLOOKUP($A$103&amp;"aaaaaaa",COPY!$S$2:$AA$1000,2,FALSE)," ")</f>
        <v xml:space="preserve"> </v>
      </c>
      <c r="U103" s="75" t="str">
        <f>IFERROR(VLOOKUP($A$103&amp;"aaaaaaaa",COPY!$S$2:$AA$1000,2,FALSE)," ")</f>
        <v xml:space="preserve"> </v>
      </c>
      <c r="V103" s="75" t="str">
        <f>IFERROR(VLOOKUP($A$103&amp;"aaaaaaaaa",COPY!$S$2:$AA$1000,2,FALSE)," ")</f>
        <v xml:space="preserve"> </v>
      </c>
      <c r="W103" s="75" t="str">
        <f>IFERROR(VLOOKUP($A$103&amp;"aaaaaaaaaa",COPY!$S$2:$AA$1000,2,FALSE)," ")</f>
        <v xml:space="preserve"> </v>
      </c>
      <c r="X103" s="75" t="str">
        <f>IFERROR(VLOOKUP($A$103&amp;"aaaaaaaaaaa",COPY!$S$2:$AA$1000,2,FALSE)," ")</f>
        <v xml:space="preserve"> </v>
      </c>
      <c r="Y103" s="90" t="str">
        <f>IF(OR(LEFT(B103,2)="mg",LEFT(B103,2)="mE"),VLOOKUP(A103,COPY!$S$2:$AA$1000,6,FALSE),IF(LEFT(B103,1)="G"," ",IF(LEFT(B103,2)="ma"," "," ")))</f>
        <v xml:space="preserve"> </v>
      </c>
      <c r="Z103" s="90" t="str">
        <f>IFERROR(VLOOKUP(A103&amp;"a",COPY!$S$2:$AA$1000,6,FALSE)," ")</f>
        <v xml:space="preserve"> </v>
      </c>
      <c r="AA103" s="90" t="str">
        <f>IFERROR(VLOOKUP(A103&amp;"aa",COPY!$S$2:$AA$1000,6,FALSE)," ")</f>
        <v xml:space="preserve"> </v>
      </c>
      <c r="AB103" s="90" t="str">
        <f>IFERROR(VLOOKUP(A103&amp;"aaa",COPY!$S$2:$AA$1000,6,FALSE)," ")</f>
        <v xml:space="preserve"> </v>
      </c>
      <c r="AC103" s="90" t="str">
        <f>IFERROR(VLOOKUP(A103&amp;"aaaa",COPY!$S$2:$AA$1000,6,FALSE)," ")</f>
        <v xml:space="preserve"> </v>
      </c>
      <c r="AD103" s="90" t="str">
        <f>IFERROR(VLOOKUP(A103&amp;"aaaaa",COPY!$S$2:$AA$1000,6,FALSE)," ")</f>
        <v xml:space="preserve"> </v>
      </c>
      <c r="AE103" s="90" t="str">
        <f>IFERROR(VLOOKUP(A103&amp;"aaaaaa",COPY!$S$2:$AA$1000,6,FALSE)," ")</f>
        <v xml:space="preserve"> </v>
      </c>
      <c r="AF103" s="90" t="str">
        <f>IFERROR(VLOOKUP(A103&amp;"aaaaaaa",COPY!$S$2:$AA$1000,6,FALSE)," ")</f>
        <v xml:space="preserve"> </v>
      </c>
      <c r="AG103" s="90" t="str">
        <f>IFERROR(VLOOKUP(A103&amp;"aaaaaaaa",COPY!$S$2:$AA$1000,6,FALSE)," ")</f>
        <v xml:space="preserve"> </v>
      </c>
      <c r="AH103" s="90" t="str">
        <f>IFERROR(VLOOKUP(A103&amp;"aaaaaaaaa",COPY!$S$2:$AA$1000,6,FALSE)," ")</f>
        <v xml:space="preserve"> </v>
      </c>
      <c r="AI103" s="90" t="str">
        <f>IFERROR(VLOOKUP(A103&amp;"aaaaaaaaaa",COPY!$S$2:$AA$1000,6,FALSE)," ")</f>
        <v xml:space="preserve"> </v>
      </c>
      <c r="AJ103" s="90" t="str">
        <f>IFERROR(VLOOKUP(A103&amp;"aaaaaaaaaaa",COPY!$S$2:$AA$1000,6,FALSE)," ")</f>
        <v xml:space="preserve"> </v>
      </c>
      <c r="AK103" s="90" t="str">
        <f>IF(LEFT(B103,2)="mg",VLOOKUP(A103,COPY!$S$2:$AA$1000,7,FALSE),IF(LEFT(B103,1)="G"," ",IF(LEFT(B103,2)="ma"," "," ")))</f>
        <v xml:space="preserve"> </v>
      </c>
      <c r="AL103" s="90" t="str">
        <f>IFERROR(VLOOKUP(A103&amp;"a",COPY!$S$2:$AA$1000,7,FALSE)," ")</f>
        <v xml:space="preserve"> </v>
      </c>
      <c r="AM103" s="90" t="str">
        <f>IFERROR(VLOOKUP(A103&amp;"aa",COPY!$S$2:$AA$1000,7,FALSE)," ")</f>
        <v xml:space="preserve"> </v>
      </c>
      <c r="AN103" s="90" t="str">
        <f>IFERROR(VLOOKUP(A103&amp;"aaa",COPY!$S$2:$AA$1000,7,FALSE)," ")</f>
        <v xml:space="preserve"> </v>
      </c>
      <c r="AO103" s="90" t="str">
        <f>IFERROR(VLOOKUP(A103&amp;"aaaa",COPY!$S$2:$AA$1000,7,FALSE)," ")</f>
        <v xml:space="preserve"> </v>
      </c>
      <c r="AP103" s="90" t="str">
        <f>IFERROR(VLOOKUP(A103&amp;"aaaaa",COPY!$S$2:$AA$1000,7,FALSE)," ")</f>
        <v xml:space="preserve"> </v>
      </c>
      <c r="AQ103" s="90" t="str">
        <f>IFERROR(VLOOKUP(A103&amp;"aaaaaa",COPY!$S$2:$AA$1000,7,FALSE)," ")</f>
        <v xml:space="preserve"> </v>
      </c>
      <c r="AR103" s="90" t="str">
        <f>IFERROR(VLOOKUP(A103&amp;"aaaaaaa",COPY!$S$2:$AA$1000,7,FALSE)," ")</f>
        <v xml:space="preserve"> </v>
      </c>
      <c r="AS103" s="90" t="str">
        <f>IFERROR(VLOOKUP(A103&amp;"aaaaaaaa",COPY!$S$2:$AA$1000,7,FALSE)," ")</f>
        <v xml:space="preserve"> </v>
      </c>
      <c r="AT103" s="90" t="str">
        <f>IFERROR(VLOOKUP(A103&amp;"aaaaaaaaa",COPY!$S$2:$AA$1000,7,FALSE)," ")</f>
        <v xml:space="preserve"> </v>
      </c>
      <c r="AU103" s="90" t="str">
        <f>IFERROR(VLOOKUP(A103&amp;"aaaaaaaaaa",COPY!$S$2:$AA$1000,7,FALSE)," ")</f>
        <v xml:space="preserve"> </v>
      </c>
      <c r="AV103" s="90" t="str">
        <f>IFERROR(VLOOKUP(A103&amp;"aaaaaaaaaaa",COPY!$S$2:$AA$1000,7,FALSE)," ")</f>
        <v xml:space="preserve"> </v>
      </c>
    </row>
    <row r="104" spans="1:48" x14ac:dyDescent="0.2">
      <c r="A104" s="75" t="str">
        <f>'REKAP PAJAK'!W141</f>
        <v/>
      </c>
      <c r="B104" s="75" t="str">
        <f>IF(LEN(A104)&gt;1,VLOOKUP(A104,COPY!$O$2:$R$1000,4,FALSE),"")</f>
        <v/>
      </c>
      <c r="C104" s="75" t="str">
        <f t="shared" si="6"/>
        <v xml:space="preserve"> </v>
      </c>
      <c r="D104" s="75" t="str">
        <f t="shared" si="7"/>
        <v xml:space="preserve"> </v>
      </c>
      <c r="E104" s="75" t="str">
        <f t="shared" si="8"/>
        <v xml:space="preserve"> </v>
      </c>
      <c r="F104" s="75" t="str">
        <f t="shared" si="9"/>
        <v xml:space="preserve"> </v>
      </c>
      <c r="G104" s="75" t="str">
        <f>IFERROR(TEXT(VLOOKUP(A104,COPY!$S$2:$W$1000,3,FALSE),"dd-mmmm-yyyy")," ")</f>
        <v xml:space="preserve"> </v>
      </c>
      <c r="H104" s="75" t="str">
        <f t="shared" si="10"/>
        <v xml:space="preserve"> </v>
      </c>
      <c r="I104" s="75" t="str">
        <f t="shared" si="11"/>
        <v xml:space="preserve"> </v>
      </c>
      <c r="J104" s="90" t="str">
        <f>IFERROR(VLOOKUP(A104,COPY!$S$2:$W$1000,4,FALSE)," ")</f>
        <v xml:space="preserve"> </v>
      </c>
      <c r="K104" s="75" t="str">
        <f>IFERROR(VLOOKUP(A104,COPY!$S$2:$W$1000,5,FALSE)," ")</f>
        <v xml:space="preserve"> </v>
      </c>
      <c r="L104" s="75" t="str">
        <f>IF(B104="","",IF(LEFT(B104,2)="Ma",(VLOOKUP(B104,'Rekap Gaji'!$C$12:$D$26,2,FALSE))&amp;" Untuk "&amp;(PROPER('Rekap Gaji'!$B$2)),IF(LEFT(B104,2)="Mg","Pembelian Material Bahan Bangunan",IF(LEFT(B104,2)="Me","Biaya Pembelanjaan Menejemen",IF(LEFT(B104,1)="G",VLOOKUP(A104,COPY!$S$2:$AA$1000,2,FALSE)&amp;"( "&amp;TEXT(VLOOKUP(B104,'Rekap Gaji'!$A$12:$I$26,5,FALSE),"dd-mm-yyyy")&amp;" "&amp;TEXT(VLOOKUP(B104,'Rekap Gaji'!$A$12:$I$26,6,FALSE)&amp;" "&amp;TEXT(VLOOKUP(B104,'Rekap Gaji'!$A$12:$I$26,7,FALSE),"dd-mm-yyyy")&amp;" )"," "))))))</f>
        <v/>
      </c>
      <c r="M104" s="75" t="str">
        <f>IF(OR(LEFT(B104,2)="mg",LEFT(B104,2)="mE"),VLOOKUP(A104,COPY!$S$2:$AA$1000,2,FALSE),IF(LEFT(B104,1)="G"," ",IF(LEFT(B104,2)="ma"," "," ")))</f>
        <v xml:space="preserve"> </v>
      </c>
      <c r="N104" s="75" t="str">
        <f>IFERROR(VLOOKUP($A$104&amp;"a",COPY!$S$2:$AA$1000,2,FALSE)," ")</f>
        <v xml:space="preserve"> </v>
      </c>
      <c r="O104" s="75" t="str">
        <f>IFERROR(VLOOKUP($A$104&amp;"aa",COPY!$S$2:$AA$1000,2,FALSE)," ")</f>
        <v xml:space="preserve"> </v>
      </c>
      <c r="P104" s="75" t="str">
        <f>IFERROR(VLOOKUP($A$104&amp;"aaa",COPY!$S$2:$AA$1000,2,FALSE)," ")</f>
        <v xml:space="preserve"> </v>
      </c>
      <c r="Q104" s="75" t="str">
        <f>IFERROR(VLOOKUP($A$104&amp;"aaaa",COPY!$S$2:$AA$1000,2,FALSE)," ")</f>
        <v xml:space="preserve"> </v>
      </c>
      <c r="R104" s="75" t="str">
        <f>IFERROR(VLOOKUP($A$104&amp;"aaaaa",COPY!$S$2:$AA$1000,2,FALSE)," ")</f>
        <v xml:space="preserve"> </v>
      </c>
      <c r="S104" s="75" t="str">
        <f>IFERROR(VLOOKUP($A$104&amp;"aaaaaa",COPY!$S$2:$AA$1000,2,FALSE)," ")</f>
        <v xml:space="preserve"> </v>
      </c>
      <c r="T104" s="75" t="str">
        <f>IFERROR(VLOOKUP($A$104&amp;"aaaaaaa",COPY!$S$2:$AA$1000,2,FALSE)," ")</f>
        <v xml:space="preserve"> </v>
      </c>
      <c r="U104" s="75" t="str">
        <f>IFERROR(VLOOKUP($A$104&amp;"aaaaaaaa",COPY!$S$2:$AA$1000,2,FALSE)," ")</f>
        <v xml:space="preserve"> </v>
      </c>
      <c r="V104" s="75" t="str">
        <f>IFERROR(VLOOKUP($A$104&amp;"aaaaaaaaa",COPY!$S$2:$AA$1000,2,FALSE)," ")</f>
        <v xml:space="preserve"> </v>
      </c>
      <c r="W104" s="75" t="str">
        <f>IFERROR(VLOOKUP($A$104&amp;"aaaaaaaaaa",COPY!$S$2:$AA$1000,2,FALSE)," ")</f>
        <v xml:space="preserve"> </v>
      </c>
      <c r="X104" s="75" t="str">
        <f>IFERROR(VLOOKUP($A$104&amp;"aaaaaaaaaaa",COPY!$S$2:$AA$1000,2,FALSE)," ")</f>
        <v xml:space="preserve"> </v>
      </c>
      <c r="Y104" s="90" t="str">
        <f>IF(OR(LEFT(B104,2)="mg",LEFT(B104,2)="mE"),VLOOKUP(A104,COPY!$S$2:$AA$1000,6,FALSE),IF(LEFT(B104,1)="G"," ",IF(LEFT(B104,2)="ma"," "," ")))</f>
        <v xml:space="preserve"> </v>
      </c>
      <c r="Z104" s="90" t="str">
        <f>IFERROR(VLOOKUP(A104&amp;"a",COPY!$S$2:$AA$1000,6,FALSE)," ")</f>
        <v xml:space="preserve"> </v>
      </c>
      <c r="AA104" s="90" t="str">
        <f>IFERROR(VLOOKUP(A104&amp;"aa",COPY!$S$2:$AA$1000,6,FALSE)," ")</f>
        <v xml:space="preserve"> </v>
      </c>
      <c r="AB104" s="90" t="str">
        <f>IFERROR(VLOOKUP(A104&amp;"aaa",COPY!$S$2:$AA$1000,6,FALSE)," ")</f>
        <v xml:space="preserve"> </v>
      </c>
      <c r="AC104" s="90" t="str">
        <f>IFERROR(VLOOKUP(A104&amp;"aaaa",COPY!$S$2:$AA$1000,6,FALSE)," ")</f>
        <v xml:space="preserve"> </v>
      </c>
      <c r="AD104" s="90" t="str">
        <f>IFERROR(VLOOKUP(A104&amp;"aaaaa",COPY!$S$2:$AA$1000,6,FALSE)," ")</f>
        <v xml:space="preserve"> </v>
      </c>
      <c r="AE104" s="90" t="str">
        <f>IFERROR(VLOOKUP(A104&amp;"aaaaaa",COPY!$S$2:$AA$1000,6,FALSE)," ")</f>
        <v xml:space="preserve"> </v>
      </c>
      <c r="AF104" s="90" t="str">
        <f>IFERROR(VLOOKUP(A104&amp;"aaaaaaa",COPY!$S$2:$AA$1000,6,FALSE)," ")</f>
        <v xml:space="preserve"> </v>
      </c>
      <c r="AG104" s="90" t="str">
        <f>IFERROR(VLOOKUP(A104&amp;"aaaaaaaa",COPY!$S$2:$AA$1000,6,FALSE)," ")</f>
        <v xml:space="preserve"> </v>
      </c>
      <c r="AH104" s="90" t="str">
        <f>IFERROR(VLOOKUP(A104&amp;"aaaaaaaaa",COPY!$S$2:$AA$1000,6,FALSE)," ")</f>
        <v xml:space="preserve"> </v>
      </c>
      <c r="AI104" s="90" t="str">
        <f>IFERROR(VLOOKUP(A104&amp;"aaaaaaaaaa",COPY!$S$2:$AA$1000,6,FALSE)," ")</f>
        <v xml:space="preserve"> </v>
      </c>
      <c r="AJ104" s="90" t="str">
        <f>IFERROR(VLOOKUP(A104&amp;"aaaaaaaaaaa",COPY!$S$2:$AA$1000,6,FALSE)," ")</f>
        <v xml:space="preserve"> </v>
      </c>
      <c r="AK104" s="90" t="str">
        <f>IF(LEFT(B104,2)="mg",VLOOKUP(A104,COPY!$S$2:$AA$1000,7,FALSE),IF(LEFT(B104,1)="G"," ",IF(LEFT(B104,2)="ma"," "," ")))</f>
        <v xml:space="preserve"> </v>
      </c>
      <c r="AL104" s="90" t="str">
        <f>IFERROR(VLOOKUP(A104&amp;"a",COPY!$S$2:$AA$1000,7,FALSE)," ")</f>
        <v xml:space="preserve"> </v>
      </c>
      <c r="AM104" s="90" t="str">
        <f>IFERROR(VLOOKUP(A104&amp;"aa",COPY!$S$2:$AA$1000,7,FALSE)," ")</f>
        <v xml:space="preserve"> </v>
      </c>
      <c r="AN104" s="90" t="str">
        <f>IFERROR(VLOOKUP(A104&amp;"aaa",COPY!$S$2:$AA$1000,7,FALSE)," ")</f>
        <v xml:space="preserve"> </v>
      </c>
      <c r="AO104" s="90" t="str">
        <f>IFERROR(VLOOKUP(A104&amp;"aaaa",COPY!$S$2:$AA$1000,7,FALSE)," ")</f>
        <v xml:space="preserve"> </v>
      </c>
      <c r="AP104" s="90" t="str">
        <f>IFERROR(VLOOKUP(A104&amp;"aaaaa",COPY!$S$2:$AA$1000,7,FALSE)," ")</f>
        <v xml:space="preserve"> </v>
      </c>
      <c r="AQ104" s="90" t="str">
        <f>IFERROR(VLOOKUP(A104&amp;"aaaaaa",COPY!$S$2:$AA$1000,7,FALSE)," ")</f>
        <v xml:space="preserve"> </v>
      </c>
      <c r="AR104" s="90" t="str">
        <f>IFERROR(VLOOKUP(A104&amp;"aaaaaaa",COPY!$S$2:$AA$1000,7,FALSE)," ")</f>
        <v xml:space="preserve"> </v>
      </c>
      <c r="AS104" s="90" t="str">
        <f>IFERROR(VLOOKUP(A104&amp;"aaaaaaaa",COPY!$S$2:$AA$1000,7,FALSE)," ")</f>
        <v xml:space="preserve"> </v>
      </c>
      <c r="AT104" s="90" t="str">
        <f>IFERROR(VLOOKUP(A104&amp;"aaaaaaaaa",COPY!$S$2:$AA$1000,7,FALSE)," ")</f>
        <v xml:space="preserve"> </v>
      </c>
      <c r="AU104" s="90" t="str">
        <f>IFERROR(VLOOKUP(A104&amp;"aaaaaaaaaa",COPY!$S$2:$AA$1000,7,FALSE)," ")</f>
        <v xml:space="preserve"> </v>
      </c>
      <c r="AV104" s="90" t="str">
        <f>IFERROR(VLOOKUP(A104&amp;"aaaaaaaaaaa",COPY!$S$2:$AA$1000,7,FALSE)," ")</f>
        <v xml:space="preserve"> </v>
      </c>
    </row>
    <row r="105" spans="1:48" x14ac:dyDescent="0.2">
      <c r="A105" s="75" t="str">
        <f>'REKAP PAJAK'!W142</f>
        <v/>
      </c>
      <c r="B105" s="75" t="str">
        <f>IF(LEN(A105)&gt;1,VLOOKUP(A105,COPY!$O$2:$R$1000,4,FALSE),"")</f>
        <v/>
      </c>
      <c r="C105" s="75" t="str">
        <f t="shared" si="6"/>
        <v xml:space="preserve"> </v>
      </c>
      <c r="D105" s="75" t="str">
        <f t="shared" si="7"/>
        <v xml:space="preserve"> </v>
      </c>
      <c r="E105" s="75" t="str">
        <f t="shared" si="8"/>
        <v xml:space="preserve"> </v>
      </c>
      <c r="F105" s="75" t="str">
        <f t="shared" si="9"/>
        <v xml:space="preserve"> </v>
      </c>
      <c r="G105" s="75" t="str">
        <f>IFERROR(TEXT(VLOOKUP(A105,COPY!$S$2:$W$1000,3,FALSE),"dd-mmmm-yyyy")," ")</f>
        <v xml:space="preserve"> </v>
      </c>
      <c r="H105" s="75" t="str">
        <f t="shared" si="10"/>
        <v xml:space="preserve"> </v>
      </c>
      <c r="I105" s="75" t="str">
        <f t="shared" si="11"/>
        <v xml:space="preserve"> </v>
      </c>
      <c r="J105" s="90" t="str">
        <f>IFERROR(VLOOKUP(A105,COPY!$S$2:$W$1000,4,FALSE)," ")</f>
        <v xml:space="preserve"> </v>
      </c>
      <c r="K105" s="75" t="str">
        <f>IFERROR(VLOOKUP(A105,COPY!$S$2:$W$1000,5,FALSE)," ")</f>
        <v xml:space="preserve"> </v>
      </c>
      <c r="L105" s="75" t="str">
        <f>IF(B105="","",IF(LEFT(B105,2)="Ma",(VLOOKUP(B105,'Rekap Gaji'!$C$12:$D$26,2,FALSE))&amp;" Untuk "&amp;(PROPER('Rekap Gaji'!$B$2)),IF(LEFT(B105,2)="Mg","Pembelian Material Bahan Bangunan",IF(LEFT(B105,2)="Me","Biaya Pembelanjaan Menejemen",IF(LEFT(B105,1)="G",VLOOKUP(A105,COPY!$S$2:$AA$1000,2,FALSE)&amp;"( "&amp;TEXT(VLOOKUP(B105,'Rekap Gaji'!$A$12:$I$26,5,FALSE),"dd-mm-yyyy")&amp;" "&amp;TEXT(VLOOKUP(B105,'Rekap Gaji'!$A$12:$I$26,6,FALSE)&amp;" "&amp;TEXT(VLOOKUP(B105,'Rekap Gaji'!$A$12:$I$26,7,FALSE),"dd-mm-yyyy")&amp;" )"," "))))))</f>
        <v/>
      </c>
      <c r="M105" s="75" t="str">
        <f>IF(OR(LEFT(B105,2)="mg",LEFT(B105,2)="mE"),VLOOKUP(A105,COPY!$S$2:$AA$1000,2,FALSE),IF(LEFT(B105,1)="G"," ",IF(LEFT(B105,2)="ma"," "," ")))</f>
        <v xml:space="preserve"> </v>
      </c>
      <c r="N105" s="75" t="str">
        <f>IFERROR(VLOOKUP($A$105&amp;"a",COPY!$S$2:$AA$1000,2,FALSE)," ")</f>
        <v xml:space="preserve"> </v>
      </c>
      <c r="O105" s="75" t="str">
        <f>IFERROR(VLOOKUP($A$105&amp;"aa",COPY!$S$2:$AA$1000,2,FALSE)," ")</f>
        <v xml:space="preserve"> </v>
      </c>
      <c r="P105" s="75" t="str">
        <f>IFERROR(VLOOKUP($A$105&amp;"aaa",COPY!$S$2:$AA$1000,2,FALSE)," ")</f>
        <v xml:space="preserve"> </v>
      </c>
      <c r="Q105" s="75" t="str">
        <f>IFERROR(VLOOKUP($A$105&amp;"aaaa",COPY!$S$2:$AA$1000,2,FALSE)," ")</f>
        <v xml:space="preserve"> </v>
      </c>
      <c r="R105" s="75" t="str">
        <f>IFERROR(VLOOKUP($A$105&amp;"aaaaa",COPY!$S$2:$AA$1000,2,FALSE)," ")</f>
        <v xml:space="preserve"> </v>
      </c>
      <c r="S105" s="75" t="str">
        <f>IFERROR(VLOOKUP($A$105&amp;"aaaaaa",COPY!$S$2:$AA$1000,2,FALSE)," ")</f>
        <v xml:space="preserve"> </v>
      </c>
      <c r="T105" s="75" t="str">
        <f>IFERROR(VLOOKUP($A$105&amp;"aaaaaaa",COPY!$S$2:$AA$1000,2,FALSE)," ")</f>
        <v xml:space="preserve"> </v>
      </c>
      <c r="U105" s="75" t="str">
        <f>IFERROR(VLOOKUP($A$105&amp;"aaaaaaaa",COPY!$S$2:$AA$1000,2,FALSE)," ")</f>
        <v xml:space="preserve"> </v>
      </c>
      <c r="V105" s="75" t="str">
        <f>IFERROR(VLOOKUP($A$105&amp;"aaaaaaaaa",COPY!$S$2:$AA$1000,2,FALSE)," ")</f>
        <v xml:space="preserve"> </v>
      </c>
      <c r="W105" s="75" t="str">
        <f>IFERROR(VLOOKUP($A$105&amp;"aaaaaaaaaa",COPY!$S$2:$AA$1000,2,FALSE)," ")</f>
        <v xml:space="preserve"> </v>
      </c>
      <c r="X105" s="75" t="str">
        <f>IFERROR(VLOOKUP($A$105&amp;"aaaaaaaaaaa",COPY!$S$2:$AA$1000,2,FALSE)," ")</f>
        <v xml:space="preserve"> </v>
      </c>
      <c r="Y105" s="90" t="str">
        <f>IF(OR(LEFT(B105,2)="mg",LEFT(B105,2)="mE"),VLOOKUP(A105,COPY!$S$2:$AA$1000,6,FALSE),IF(LEFT(B105,1)="G"," ",IF(LEFT(B105,2)="ma"," "," ")))</f>
        <v xml:space="preserve"> </v>
      </c>
      <c r="Z105" s="90" t="str">
        <f>IFERROR(VLOOKUP(A105&amp;"a",COPY!$S$2:$AA$1000,6,FALSE)," ")</f>
        <v xml:space="preserve"> </v>
      </c>
      <c r="AA105" s="90" t="str">
        <f>IFERROR(VLOOKUP(A105&amp;"aa",COPY!$S$2:$AA$1000,6,FALSE)," ")</f>
        <v xml:space="preserve"> </v>
      </c>
      <c r="AB105" s="90" t="str">
        <f>IFERROR(VLOOKUP(A105&amp;"aaa",COPY!$S$2:$AA$1000,6,FALSE)," ")</f>
        <v xml:space="preserve"> </v>
      </c>
      <c r="AC105" s="90" t="str">
        <f>IFERROR(VLOOKUP(A105&amp;"aaaa",COPY!$S$2:$AA$1000,6,FALSE)," ")</f>
        <v xml:space="preserve"> </v>
      </c>
      <c r="AD105" s="90" t="str">
        <f>IFERROR(VLOOKUP(A105&amp;"aaaaa",COPY!$S$2:$AA$1000,6,FALSE)," ")</f>
        <v xml:space="preserve"> </v>
      </c>
      <c r="AE105" s="90" t="str">
        <f>IFERROR(VLOOKUP(A105&amp;"aaaaaa",COPY!$S$2:$AA$1000,6,FALSE)," ")</f>
        <v xml:space="preserve"> </v>
      </c>
      <c r="AF105" s="90" t="str">
        <f>IFERROR(VLOOKUP(A105&amp;"aaaaaaa",COPY!$S$2:$AA$1000,6,FALSE)," ")</f>
        <v xml:space="preserve"> </v>
      </c>
      <c r="AG105" s="90" t="str">
        <f>IFERROR(VLOOKUP(A105&amp;"aaaaaaaa",COPY!$S$2:$AA$1000,6,FALSE)," ")</f>
        <v xml:space="preserve"> </v>
      </c>
      <c r="AH105" s="90" t="str">
        <f>IFERROR(VLOOKUP(A105&amp;"aaaaaaaaa",COPY!$S$2:$AA$1000,6,FALSE)," ")</f>
        <v xml:space="preserve"> </v>
      </c>
      <c r="AI105" s="90" t="str">
        <f>IFERROR(VLOOKUP(A105&amp;"aaaaaaaaaa",COPY!$S$2:$AA$1000,6,FALSE)," ")</f>
        <v xml:space="preserve"> </v>
      </c>
      <c r="AJ105" s="90" t="str">
        <f>IFERROR(VLOOKUP(A105&amp;"aaaaaaaaaaa",COPY!$S$2:$AA$1000,6,FALSE)," ")</f>
        <v xml:space="preserve"> </v>
      </c>
      <c r="AK105" s="90" t="str">
        <f>IF(LEFT(B105,2)="mg",VLOOKUP(A105,COPY!$S$2:$AA$1000,7,FALSE),IF(LEFT(B105,1)="G"," ",IF(LEFT(B105,2)="ma"," "," ")))</f>
        <v xml:space="preserve"> </v>
      </c>
      <c r="AL105" s="90" t="str">
        <f>IFERROR(VLOOKUP(A105&amp;"a",COPY!$S$2:$AA$1000,7,FALSE)," ")</f>
        <v xml:space="preserve"> </v>
      </c>
      <c r="AM105" s="90" t="str">
        <f>IFERROR(VLOOKUP(A105&amp;"aa",COPY!$S$2:$AA$1000,7,FALSE)," ")</f>
        <v xml:space="preserve"> </v>
      </c>
      <c r="AN105" s="90" t="str">
        <f>IFERROR(VLOOKUP(A105&amp;"aaa",COPY!$S$2:$AA$1000,7,FALSE)," ")</f>
        <v xml:space="preserve"> </v>
      </c>
      <c r="AO105" s="90" t="str">
        <f>IFERROR(VLOOKUP(A105&amp;"aaaa",COPY!$S$2:$AA$1000,7,FALSE)," ")</f>
        <v xml:space="preserve"> </v>
      </c>
      <c r="AP105" s="90" t="str">
        <f>IFERROR(VLOOKUP(A105&amp;"aaaaa",COPY!$S$2:$AA$1000,7,FALSE)," ")</f>
        <v xml:space="preserve"> </v>
      </c>
      <c r="AQ105" s="90" t="str">
        <f>IFERROR(VLOOKUP(A105&amp;"aaaaaa",COPY!$S$2:$AA$1000,7,FALSE)," ")</f>
        <v xml:space="preserve"> </v>
      </c>
      <c r="AR105" s="90" t="str">
        <f>IFERROR(VLOOKUP(A105&amp;"aaaaaaa",COPY!$S$2:$AA$1000,7,FALSE)," ")</f>
        <v xml:space="preserve"> </v>
      </c>
      <c r="AS105" s="90" t="str">
        <f>IFERROR(VLOOKUP(A105&amp;"aaaaaaaa",COPY!$S$2:$AA$1000,7,FALSE)," ")</f>
        <v xml:space="preserve"> </v>
      </c>
      <c r="AT105" s="90" t="str">
        <f>IFERROR(VLOOKUP(A105&amp;"aaaaaaaaa",COPY!$S$2:$AA$1000,7,FALSE)," ")</f>
        <v xml:space="preserve"> </v>
      </c>
      <c r="AU105" s="90" t="str">
        <f>IFERROR(VLOOKUP(A105&amp;"aaaaaaaaaa",COPY!$S$2:$AA$1000,7,FALSE)," ")</f>
        <v xml:space="preserve"> </v>
      </c>
      <c r="AV105" s="90" t="str">
        <f>IFERROR(VLOOKUP(A105&amp;"aaaaaaaaaaa",COPY!$S$2:$AA$1000,7,FALSE)," ")</f>
        <v xml:space="preserve"> </v>
      </c>
    </row>
    <row r="106" spans="1:48" x14ac:dyDescent="0.2">
      <c r="A106" s="75" t="str">
        <f>'REKAP PAJAK'!W143</f>
        <v/>
      </c>
      <c r="B106" s="75" t="str">
        <f>IF(LEN(A106)&gt;1,VLOOKUP(A106,COPY!$O$2:$R$1000,4,FALSE),"")</f>
        <v/>
      </c>
      <c r="C106" s="75" t="str">
        <f t="shared" si="6"/>
        <v xml:space="preserve"> </v>
      </c>
      <c r="D106" s="75" t="str">
        <f t="shared" si="7"/>
        <v xml:space="preserve"> </v>
      </c>
      <c r="E106" s="75" t="str">
        <f t="shared" si="8"/>
        <v xml:space="preserve"> </v>
      </c>
      <c r="F106" s="75" t="str">
        <f t="shared" si="9"/>
        <v xml:space="preserve"> </v>
      </c>
      <c r="G106" s="75" t="str">
        <f>IFERROR(TEXT(VLOOKUP(A106,COPY!$S$2:$W$1000,3,FALSE),"dd-mmmm-yyyy")," ")</f>
        <v xml:space="preserve"> </v>
      </c>
      <c r="H106" s="75" t="str">
        <f t="shared" si="10"/>
        <v xml:space="preserve"> </v>
      </c>
      <c r="I106" s="75" t="str">
        <f t="shared" si="11"/>
        <v xml:space="preserve"> </v>
      </c>
      <c r="J106" s="90" t="str">
        <f>IFERROR(VLOOKUP(A106,COPY!$S$2:$W$1000,4,FALSE)," ")</f>
        <v xml:space="preserve"> </v>
      </c>
      <c r="K106" s="75" t="str">
        <f>IFERROR(VLOOKUP(A106,COPY!$S$2:$W$1000,5,FALSE)," ")</f>
        <v xml:space="preserve"> </v>
      </c>
      <c r="L106" s="75" t="str">
        <f>IF(B106="","",IF(LEFT(B106,2)="Ma",(VLOOKUP(B106,'Rekap Gaji'!$C$12:$D$26,2,FALSE))&amp;" Untuk "&amp;(PROPER('Rekap Gaji'!$B$2)),IF(LEFT(B106,2)="Mg","Pembelian Material Bahan Bangunan",IF(LEFT(B106,2)="Me","Biaya Pembelanjaan Menejemen",IF(LEFT(B106,1)="G",VLOOKUP(A106,COPY!$S$2:$AA$1000,2,FALSE)&amp;"( "&amp;TEXT(VLOOKUP(B106,'Rekap Gaji'!$A$12:$I$26,5,FALSE),"dd-mm-yyyy")&amp;" "&amp;TEXT(VLOOKUP(B106,'Rekap Gaji'!$A$12:$I$26,6,FALSE)&amp;" "&amp;TEXT(VLOOKUP(B106,'Rekap Gaji'!$A$12:$I$26,7,FALSE),"dd-mm-yyyy")&amp;" )"," "))))))</f>
        <v/>
      </c>
      <c r="M106" s="75" t="str">
        <f>IF(OR(LEFT(B106,2)="mg",LEFT(B106,2)="mE"),VLOOKUP(A106,COPY!$S$2:$AA$1000,2,FALSE),IF(LEFT(B106,1)="G"," ",IF(LEFT(B106,2)="ma"," "," ")))</f>
        <v xml:space="preserve"> </v>
      </c>
      <c r="N106" s="75" t="str">
        <f>IFERROR(VLOOKUP($A$106&amp;"a",COPY!$S$2:$AA$1000,2,FALSE)," ")</f>
        <v xml:space="preserve"> </v>
      </c>
      <c r="O106" s="75" t="str">
        <f>IFERROR(VLOOKUP($A$106&amp;"aa",COPY!$S$2:$AA$1000,2,FALSE)," ")</f>
        <v xml:space="preserve"> </v>
      </c>
      <c r="P106" s="75" t="str">
        <f>IFERROR(VLOOKUP($A$106&amp;"aaa",COPY!$S$2:$AA$1000,2,FALSE)," ")</f>
        <v xml:space="preserve"> </v>
      </c>
      <c r="Q106" s="75" t="str">
        <f>IFERROR(VLOOKUP($A$106&amp;"aaaa",COPY!$S$2:$AA$1000,2,FALSE)," ")</f>
        <v xml:space="preserve"> </v>
      </c>
      <c r="R106" s="75" t="str">
        <f>IFERROR(VLOOKUP($A$106&amp;"aaaaa",COPY!$S$2:$AA$1000,2,FALSE)," ")</f>
        <v xml:space="preserve"> </v>
      </c>
      <c r="S106" s="75" t="str">
        <f>IFERROR(VLOOKUP($A$106&amp;"aaaaaa",COPY!$S$2:$AA$1000,2,FALSE)," ")</f>
        <v xml:space="preserve"> </v>
      </c>
      <c r="T106" s="75" t="str">
        <f>IFERROR(VLOOKUP($A$106&amp;"aaaaaaa",COPY!$S$2:$AA$1000,2,FALSE)," ")</f>
        <v xml:space="preserve"> </v>
      </c>
      <c r="U106" s="75" t="str">
        <f>IFERROR(VLOOKUP($A$106&amp;"aaaaaaaa",COPY!$S$2:$AA$1000,2,FALSE)," ")</f>
        <v xml:space="preserve"> </v>
      </c>
      <c r="V106" s="75" t="str">
        <f>IFERROR(VLOOKUP($A$106&amp;"aaaaaaaaa",COPY!$S$2:$AA$1000,2,FALSE)," ")</f>
        <v xml:space="preserve"> </v>
      </c>
      <c r="W106" s="75" t="str">
        <f>IFERROR(VLOOKUP($A$106&amp;"aaaaaaaaaa",COPY!$S$2:$AA$1000,2,FALSE)," ")</f>
        <v xml:space="preserve"> </v>
      </c>
      <c r="X106" s="75" t="str">
        <f>IFERROR(VLOOKUP($A$106&amp;"aaaaaaaaaaa",COPY!$S$2:$AA$1000,2,FALSE)," ")</f>
        <v xml:space="preserve"> </v>
      </c>
      <c r="Y106" s="90" t="str">
        <f>IF(OR(LEFT(B106,2)="mg",LEFT(B106,2)="mE"),VLOOKUP(A106,COPY!$S$2:$AA$1000,6,FALSE),IF(LEFT(B106,1)="G"," ",IF(LEFT(B106,2)="ma"," "," ")))</f>
        <v xml:space="preserve"> </v>
      </c>
      <c r="Z106" s="90" t="str">
        <f>IFERROR(VLOOKUP(A106&amp;"a",COPY!$S$2:$AA$1000,6,FALSE)," ")</f>
        <v xml:space="preserve"> </v>
      </c>
      <c r="AA106" s="90" t="str">
        <f>IFERROR(VLOOKUP(A106&amp;"aa",COPY!$S$2:$AA$1000,6,FALSE)," ")</f>
        <v xml:space="preserve"> </v>
      </c>
      <c r="AB106" s="90" t="str">
        <f>IFERROR(VLOOKUP(A106&amp;"aaa",COPY!$S$2:$AA$1000,6,FALSE)," ")</f>
        <v xml:space="preserve"> </v>
      </c>
      <c r="AC106" s="90" t="str">
        <f>IFERROR(VLOOKUP(A106&amp;"aaaa",COPY!$S$2:$AA$1000,6,FALSE)," ")</f>
        <v xml:space="preserve"> </v>
      </c>
      <c r="AD106" s="90" t="str">
        <f>IFERROR(VLOOKUP(A106&amp;"aaaaa",COPY!$S$2:$AA$1000,6,FALSE)," ")</f>
        <v xml:space="preserve"> </v>
      </c>
      <c r="AE106" s="90" t="str">
        <f>IFERROR(VLOOKUP(A106&amp;"aaaaaa",COPY!$S$2:$AA$1000,6,FALSE)," ")</f>
        <v xml:space="preserve"> </v>
      </c>
      <c r="AF106" s="90" t="str">
        <f>IFERROR(VLOOKUP(A106&amp;"aaaaaaa",COPY!$S$2:$AA$1000,6,FALSE)," ")</f>
        <v xml:space="preserve"> </v>
      </c>
      <c r="AG106" s="90" t="str">
        <f>IFERROR(VLOOKUP(A106&amp;"aaaaaaaa",COPY!$S$2:$AA$1000,6,FALSE)," ")</f>
        <v xml:space="preserve"> </v>
      </c>
      <c r="AH106" s="90" t="str">
        <f>IFERROR(VLOOKUP(A106&amp;"aaaaaaaaa",COPY!$S$2:$AA$1000,6,FALSE)," ")</f>
        <v xml:space="preserve"> </v>
      </c>
      <c r="AI106" s="90" t="str">
        <f>IFERROR(VLOOKUP(A106&amp;"aaaaaaaaaa",COPY!$S$2:$AA$1000,6,FALSE)," ")</f>
        <v xml:space="preserve"> </v>
      </c>
      <c r="AJ106" s="90" t="str">
        <f>IFERROR(VLOOKUP(A106&amp;"aaaaaaaaaaa",COPY!$S$2:$AA$1000,6,FALSE)," ")</f>
        <v xml:space="preserve"> </v>
      </c>
      <c r="AK106" s="90" t="str">
        <f>IF(LEFT(B106,2)="mg",VLOOKUP(A106,COPY!$S$2:$AA$1000,7,FALSE),IF(LEFT(B106,1)="G"," ",IF(LEFT(B106,2)="ma"," "," ")))</f>
        <v xml:space="preserve"> </v>
      </c>
      <c r="AL106" s="90" t="str">
        <f>IFERROR(VLOOKUP(A106&amp;"a",COPY!$S$2:$AA$1000,7,FALSE)," ")</f>
        <v xml:space="preserve"> </v>
      </c>
      <c r="AM106" s="90" t="str">
        <f>IFERROR(VLOOKUP(A106&amp;"aa",COPY!$S$2:$AA$1000,7,FALSE)," ")</f>
        <v xml:space="preserve"> </v>
      </c>
      <c r="AN106" s="90" t="str">
        <f>IFERROR(VLOOKUP(A106&amp;"aaa",COPY!$S$2:$AA$1000,7,FALSE)," ")</f>
        <v xml:space="preserve"> </v>
      </c>
      <c r="AO106" s="90" t="str">
        <f>IFERROR(VLOOKUP(A106&amp;"aaaa",COPY!$S$2:$AA$1000,7,FALSE)," ")</f>
        <v xml:space="preserve"> </v>
      </c>
      <c r="AP106" s="90" t="str">
        <f>IFERROR(VLOOKUP(A106&amp;"aaaaa",COPY!$S$2:$AA$1000,7,FALSE)," ")</f>
        <v xml:space="preserve"> </v>
      </c>
      <c r="AQ106" s="90" t="str">
        <f>IFERROR(VLOOKUP(A106&amp;"aaaaaa",COPY!$S$2:$AA$1000,7,FALSE)," ")</f>
        <v xml:space="preserve"> </v>
      </c>
      <c r="AR106" s="90" t="str">
        <f>IFERROR(VLOOKUP(A106&amp;"aaaaaaa",COPY!$S$2:$AA$1000,7,FALSE)," ")</f>
        <v xml:space="preserve"> </v>
      </c>
      <c r="AS106" s="90" t="str">
        <f>IFERROR(VLOOKUP(A106&amp;"aaaaaaaa",COPY!$S$2:$AA$1000,7,FALSE)," ")</f>
        <v xml:space="preserve"> </v>
      </c>
      <c r="AT106" s="90" t="str">
        <f>IFERROR(VLOOKUP(A106&amp;"aaaaaaaaa",COPY!$S$2:$AA$1000,7,FALSE)," ")</f>
        <v xml:space="preserve"> </v>
      </c>
      <c r="AU106" s="90" t="str">
        <f>IFERROR(VLOOKUP(A106&amp;"aaaaaaaaaa",COPY!$S$2:$AA$1000,7,FALSE)," ")</f>
        <v xml:space="preserve"> </v>
      </c>
      <c r="AV106" s="90" t="str">
        <f>IFERROR(VLOOKUP(A106&amp;"aaaaaaaaaaa",COPY!$S$2:$AA$1000,7,FALSE)," ")</f>
        <v xml:space="preserve"> </v>
      </c>
    </row>
    <row r="107" spans="1:48" x14ac:dyDescent="0.2">
      <c r="A107" s="75" t="str">
        <f>'REKAP PAJAK'!W144</f>
        <v/>
      </c>
      <c r="B107" s="75" t="str">
        <f>IF(LEN(A107)&gt;1,VLOOKUP(A107,COPY!$O$2:$R$1000,4,FALSE),"")</f>
        <v/>
      </c>
      <c r="C107" s="75" t="str">
        <f t="shared" si="6"/>
        <v xml:space="preserve"> </v>
      </c>
      <c r="D107" s="75" t="str">
        <f t="shared" si="7"/>
        <v xml:space="preserve"> </v>
      </c>
      <c r="E107" s="75" t="str">
        <f t="shared" si="8"/>
        <v xml:space="preserve"> </v>
      </c>
      <c r="F107" s="75" t="str">
        <f t="shared" si="9"/>
        <v xml:space="preserve"> </v>
      </c>
      <c r="G107" s="75" t="str">
        <f>IFERROR(TEXT(VLOOKUP(A107,COPY!$S$2:$W$1000,3,FALSE),"dd-mmmm-yyyy")," ")</f>
        <v xml:space="preserve"> </v>
      </c>
      <c r="H107" s="75" t="str">
        <f t="shared" si="10"/>
        <v xml:space="preserve"> </v>
      </c>
      <c r="I107" s="75" t="str">
        <f t="shared" si="11"/>
        <v xml:space="preserve"> </v>
      </c>
      <c r="J107" s="90" t="str">
        <f>IFERROR(VLOOKUP(A107,COPY!$S$2:$W$1000,4,FALSE)," ")</f>
        <v xml:space="preserve"> </v>
      </c>
      <c r="K107" s="75" t="str">
        <f>IFERROR(VLOOKUP(A107,COPY!$S$2:$W$1000,5,FALSE)," ")</f>
        <v xml:space="preserve"> </v>
      </c>
      <c r="L107" s="75" t="str">
        <f>IF(B107="","",IF(LEFT(B107,2)="Ma",(VLOOKUP(B107,'Rekap Gaji'!$C$12:$D$26,2,FALSE))&amp;" Untuk "&amp;(PROPER('Rekap Gaji'!$B$2)),IF(LEFT(B107,2)="Mg","Pembelian Material Bahan Bangunan",IF(LEFT(B107,2)="Me","Biaya Pembelanjaan Menejemen",IF(LEFT(B107,1)="G",VLOOKUP(A107,COPY!$S$2:$AA$1000,2,FALSE)&amp;"( "&amp;TEXT(VLOOKUP(B107,'Rekap Gaji'!$A$12:$I$26,5,FALSE),"dd-mm-yyyy")&amp;" "&amp;TEXT(VLOOKUP(B107,'Rekap Gaji'!$A$12:$I$26,6,FALSE)&amp;" "&amp;TEXT(VLOOKUP(B107,'Rekap Gaji'!$A$12:$I$26,7,FALSE),"dd-mm-yyyy")&amp;" )"," "))))))</f>
        <v/>
      </c>
      <c r="M107" s="75" t="str">
        <f>IF(OR(LEFT(B107,2)="mg",LEFT(B107,2)="mE"),VLOOKUP(A107,COPY!$S$2:$AA$1000,2,FALSE),IF(LEFT(B107,1)="G"," ",IF(LEFT(B107,2)="ma"," "," ")))</f>
        <v xml:space="preserve"> </v>
      </c>
      <c r="N107" s="75" t="str">
        <f>IFERROR(VLOOKUP($A$107&amp;"a",COPY!$S$2:$AA$1000,2,FALSE)," ")</f>
        <v xml:space="preserve"> </v>
      </c>
      <c r="O107" s="75" t="str">
        <f>IFERROR(VLOOKUP($A$107&amp;"aa",COPY!$S$2:$AA$1000,2,FALSE)," ")</f>
        <v xml:space="preserve"> </v>
      </c>
      <c r="P107" s="75" t="str">
        <f>IFERROR(VLOOKUP($A$107&amp;"aaa",COPY!$S$2:$AA$1000,2,FALSE)," ")</f>
        <v xml:space="preserve"> </v>
      </c>
      <c r="Q107" s="75" t="str">
        <f>IFERROR(VLOOKUP($A$107&amp;"aaaa",COPY!$S$2:$AA$1000,2,FALSE)," ")</f>
        <v xml:space="preserve"> </v>
      </c>
      <c r="R107" s="75" t="str">
        <f>IFERROR(VLOOKUP($A$107&amp;"aaaaa",COPY!$S$2:$AA$1000,2,FALSE)," ")</f>
        <v xml:space="preserve"> </v>
      </c>
      <c r="S107" s="75" t="str">
        <f>IFERROR(VLOOKUP($A$107&amp;"aaaaaa",COPY!$S$2:$AA$1000,2,FALSE)," ")</f>
        <v xml:space="preserve"> </v>
      </c>
      <c r="T107" s="75" t="str">
        <f>IFERROR(VLOOKUP($A$107&amp;"aaaaaaa",COPY!$S$2:$AA$1000,2,FALSE)," ")</f>
        <v xml:space="preserve"> </v>
      </c>
      <c r="U107" s="75" t="str">
        <f>IFERROR(VLOOKUP($A$107&amp;"aaaaaaaa",COPY!$S$2:$AA$1000,2,FALSE)," ")</f>
        <v xml:space="preserve"> </v>
      </c>
      <c r="V107" s="75" t="str">
        <f>IFERROR(VLOOKUP($A$107&amp;"aaaaaaaaa",COPY!$S$2:$AA$1000,2,FALSE)," ")</f>
        <v xml:space="preserve"> </v>
      </c>
      <c r="W107" s="75" t="str">
        <f>IFERROR(VLOOKUP($A$107&amp;"aaaaaaaaaa",COPY!$S$2:$AA$1000,2,FALSE)," ")</f>
        <v xml:space="preserve"> </v>
      </c>
      <c r="X107" s="75" t="str">
        <f>IFERROR(VLOOKUP($A$107&amp;"aaaaaaaaaaa",COPY!$S$2:$AA$1000,2,FALSE)," ")</f>
        <v xml:space="preserve"> </v>
      </c>
      <c r="Y107" s="90" t="str">
        <f>IF(OR(LEFT(B107,2)="mg",LEFT(B107,2)="mE"),VLOOKUP(A107,COPY!$S$2:$AA$1000,6,FALSE),IF(LEFT(B107,1)="G"," ",IF(LEFT(B107,2)="ma"," "," ")))</f>
        <v xml:space="preserve"> </v>
      </c>
      <c r="Z107" s="90" t="str">
        <f>IFERROR(VLOOKUP(A107&amp;"a",COPY!$S$2:$AA$1000,6,FALSE)," ")</f>
        <v xml:space="preserve"> </v>
      </c>
      <c r="AA107" s="90" t="str">
        <f>IFERROR(VLOOKUP(A107&amp;"aa",COPY!$S$2:$AA$1000,6,FALSE)," ")</f>
        <v xml:space="preserve"> </v>
      </c>
      <c r="AB107" s="90" t="str">
        <f>IFERROR(VLOOKUP(A107&amp;"aaa",COPY!$S$2:$AA$1000,6,FALSE)," ")</f>
        <v xml:space="preserve"> </v>
      </c>
      <c r="AC107" s="90" t="str">
        <f>IFERROR(VLOOKUP(A107&amp;"aaaa",COPY!$S$2:$AA$1000,6,FALSE)," ")</f>
        <v xml:space="preserve"> </v>
      </c>
      <c r="AD107" s="90" t="str">
        <f>IFERROR(VLOOKUP(A107&amp;"aaaaa",COPY!$S$2:$AA$1000,6,FALSE)," ")</f>
        <v xml:space="preserve"> </v>
      </c>
      <c r="AE107" s="90" t="str">
        <f>IFERROR(VLOOKUP(A107&amp;"aaaaaa",COPY!$S$2:$AA$1000,6,FALSE)," ")</f>
        <v xml:space="preserve"> </v>
      </c>
      <c r="AF107" s="90" t="str">
        <f>IFERROR(VLOOKUP(A107&amp;"aaaaaaa",COPY!$S$2:$AA$1000,6,FALSE)," ")</f>
        <v xml:space="preserve"> </v>
      </c>
      <c r="AG107" s="90" t="str">
        <f>IFERROR(VLOOKUP(A107&amp;"aaaaaaaa",COPY!$S$2:$AA$1000,6,FALSE)," ")</f>
        <v xml:space="preserve"> </v>
      </c>
      <c r="AH107" s="90" t="str">
        <f>IFERROR(VLOOKUP(A107&amp;"aaaaaaaaa",COPY!$S$2:$AA$1000,6,FALSE)," ")</f>
        <v xml:space="preserve"> </v>
      </c>
      <c r="AI107" s="90" t="str">
        <f>IFERROR(VLOOKUP(A107&amp;"aaaaaaaaaa",COPY!$S$2:$AA$1000,6,FALSE)," ")</f>
        <v xml:space="preserve"> </v>
      </c>
      <c r="AJ107" s="90" t="str">
        <f>IFERROR(VLOOKUP(A107&amp;"aaaaaaaaaaa",COPY!$S$2:$AA$1000,6,FALSE)," ")</f>
        <v xml:space="preserve"> </v>
      </c>
      <c r="AK107" s="90" t="str">
        <f>IF(LEFT(B107,2)="mg",VLOOKUP(A107,COPY!$S$2:$AA$1000,7,FALSE),IF(LEFT(B107,1)="G"," ",IF(LEFT(B107,2)="ma"," "," ")))</f>
        <v xml:space="preserve"> </v>
      </c>
      <c r="AL107" s="90" t="str">
        <f>IFERROR(VLOOKUP(A107&amp;"a",COPY!$S$2:$AA$1000,7,FALSE)," ")</f>
        <v xml:space="preserve"> </v>
      </c>
      <c r="AM107" s="90" t="str">
        <f>IFERROR(VLOOKUP(A107&amp;"aa",COPY!$S$2:$AA$1000,7,FALSE)," ")</f>
        <v xml:space="preserve"> </v>
      </c>
      <c r="AN107" s="90" t="str">
        <f>IFERROR(VLOOKUP(A107&amp;"aaa",COPY!$S$2:$AA$1000,7,FALSE)," ")</f>
        <v xml:space="preserve"> </v>
      </c>
      <c r="AO107" s="90" t="str">
        <f>IFERROR(VLOOKUP(A107&amp;"aaaa",COPY!$S$2:$AA$1000,7,FALSE)," ")</f>
        <v xml:space="preserve"> </v>
      </c>
      <c r="AP107" s="90" t="str">
        <f>IFERROR(VLOOKUP(A107&amp;"aaaaa",COPY!$S$2:$AA$1000,7,FALSE)," ")</f>
        <v xml:space="preserve"> </v>
      </c>
      <c r="AQ107" s="90" t="str">
        <f>IFERROR(VLOOKUP(A107&amp;"aaaaaa",COPY!$S$2:$AA$1000,7,FALSE)," ")</f>
        <v xml:space="preserve"> </v>
      </c>
      <c r="AR107" s="90" t="str">
        <f>IFERROR(VLOOKUP(A107&amp;"aaaaaaa",COPY!$S$2:$AA$1000,7,FALSE)," ")</f>
        <v xml:space="preserve"> </v>
      </c>
      <c r="AS107" s="90" t="str">
        <f>IFERROR(VLOOKUP(A107&amp;"aaaaaaaa",COPY!$S$2:$AA$1000,7,FALSE)," ")</f>
        <v xml:space="preserve"> </v>
      </c>
      <c r="AT107" s="90" t="str">
        <f>IFERROR(VLOOKUP(A107&amp;"aaaaaaaaa",COPY!$S$2:$AA$1000,7,FALSE)," ")</f>
        <v xml:space="preserve"> </v>
      </c>
      <c r="AU107" s="90" t="str">
        <f>IFERROR(VLOOKUP(A107&amp;"aaaaaaaaaa",COPY!$S$2:$AA$1000,7,FALSE)," ")</f>
        <v xml:space="preserve"> </v>
      </c>
      <c r="AV107" s="90" t="str">
        <f>IFERROR(VLOOKUP(A107&amp;"aaaaaaaaaaa",COPY!$S$2:$AA$1000,7,FALSE)," ")</f>
        <v xml:space="preserve"> </v>
      </c>
    </row>
    <row r="108" spans="1:48" x14ac:dyDescent="0.2">
      <c r="A108" s="75" t="str">
        <f>'REKAP PAJAK'!W145</f>
        <v/>
      </c>
      <c r="B108" s="75" t="str">
        <f>IF(LEN(A108)&gt;1,VLOOKUP(A108,COPY!$O$2:$R$1000,4,FALSE),"")</f>
        <v/>
      </c>
      <c r="C108" s="75" t="str">
        <f t="shared" si="6"/>
        <v xml:space="preserve"> </v>
      </c>
      <c r="D108" s="75" t="str">
        <f t="shared" si="7"/>
        <v xml:space="preserve"> </v>
      </c>
      <c r="E108" s="75" t="str">
        <f t="shared" si="8"/>
        <v xml:space="preserve"> </v>
      </c>
      <c r="F108" s="75" t="str">
        <f t="shared" si="9"/>
        <v xml:space="preserve"> </v>
      </c>
      <c r="G108" s="75" t="str">
        <f>IFERROR(TEXT(VLOOKUP(A108,COPY!$S$2:$W$1000,3,FALSE),"dd-mmmm-yyyy")," ")</f>
        <v xml:space="preserve"> </v>
      </c>
      <c r="H108" s="75" t="str">
        <f t="shared" si="10"/>
        <v xml:space="preserve"> </v>
      </c>
      <c r="I108" s="75" t="str">
        <f t="shared" si="11"/>
        <v xml:space="preserve"> </v>
      </c>
      <c r="J108" s="90" t="str">
        <f>IFERROR(VLOOKUP(A108,COPY!$S$2:$W$1000,4,FALSE)," ")</f>
        <v xml:space="preserve"> </v>
      </c>
      <c r="K108" s="75" t="str">
        <f>IFERROR(VLOOKUP(A108,COPY!$S$2:$W$1000,5,FALSE)," ")</f>
        <v xml:space="preserve"> </v>
      </c>
      <c r="L108" s="75" t="str">
        <f>IF(B108="","",IF(LEFT(B108,2)="Ma",(VLOOKUP(B108,'Rekap Gaji'!$C$12:$D$26,2,FALSE))&amp;" Untuk "&amp;(PROPER('Rekap Gaji'!$B$2)),IF(LEFT(B108,2)="Mg","Pembelian Material Bahan Bangunan",IF(LEFT(B108,2)="Me","Biaya Pembelanjaan Menejemen",IF(LEFT(B108,1)="G",VLOOKUP(A108,COPY!$S$2:$AA$1000,2,FALSE)&amp;"( "&amp;TEXT(VLOOKUP(B108,'Rekap Gaji'!$A$12:$I$26,5,FALSE),"dd-mm-yyyy")&amp;" "&amp;TEXT(VLOOKUP(B108,'Rekap Gaji'!$A$12:$I$26,6,FALSE)&amp;" "&amp;TEXT(VLOOKUP(B108,'Rekap Gaji'!$A$12:$I$26,7,FALSE),"dd-mm-yyyy")&amp;" )"," "))))))</f>
        <v/>
      </c>
      <c r="M108" s="75" t="str">
        <f>IF(OR(LEFT(B108,2)="mg",LEFT(B108,2)="mE"),VLOOKUP(A108,COPY!$S$2:$AA$1000,2,FALSE),IF(LEFT(B108,1)="G"," ",IF(LEFT(B108,2)="ma"," "," ")))</f>
        <v xml:space="preserve"> </v>
      </c>
      <c r="N108" s="75" t="str">
        <f>IFERROR(VLOOKUP($A$108&amp;"a",COPY!$S$2:$AA$1000,2,FALSE)," ")</f>
        <v xml:space="preserve"> </v>
      </c>
      <c r="O108" s="75" t="str">
        <f>IFERROR(VLOOKUP($A$108&amp;"aa",COPY!$S$2:$AA$1000,2,FALSE)," ")</f>
        <v xml:space="preserve"> </v>
      </c>
      <c r="P108" s="75" t="str">
        <f>IFERROR(VLOOKUP($A$108&amp;"aaa",COPY!$S$2:$AA$1000,2,FALSE)," ")</f>
        <v xml:space="preserve"> </v>
      </c>
      <c r="Q108" s="75" t="str">
        <f>IFERROR(VLOOKUP($A$108&amp;"aaaa",COPY!$S$2:$AA$1000,2,FALSE)," ")</f>
        <v xml:space="preserve"> </v>
      </c>
      <c r="R108" s="75" t="str">
        <f>IFERROR(VLOOKUP($A$108&amp;"aaaaa",COPY!$S$2:$AA$1000,2,FALSE)," ")</f>
        <v xml:space="preserve"> </v>
      </c>
      <c r="S108" s="75" t="str">
        <f>IFERROR(VLOOKUP($A$108&amp;"aaaaaa",COPY!$S$2:$AA$1000,2,FALSE)," ")</f>
        <v xml:space="preserve"> </v>
      </c>
      <c r="T108" s="75" t="str">
        <f>IFERROR(VLOOKUP($A$108&amp;"aaaaaaa",COPY!$S$2:$AA$1000,2,FALSE)," ")</f>
        <v xml:space="preserve"> </v>
      </c>
      <c r="U108" s="75" t="str">
        <f>IFERROR(VLOOKUP($A$108&amp;"aaaaaaaa",COPY!$S$2:$AA$1000,2,FALSE)," ")</f>
        <v xml:space="preserve"> </v>
      </c>
      <c r="V108" s="75" t="str">
        <f>IFERROR(VLOOKUP($A$108&amp;"aaaaaaaaa",COPY!$S$2:$AA$1000,2,FALSE)," ")</f>
        <v xml:space="preserve"> </v>
      </c>
      <c r="W108" s="75" t="str">
        <f>IFERROR(VLOOKUP($A$108&amp;"aaaaaaaaaa",COPY!$S$2:$AA$1000,2,FALSE)," ")</f>
        <v xml:space="preserve"> </v>
      </c>
      <c r="X108" s="75" t="str">
        <f>IFERROR(VLOOKUP($A$108&amp;"aaaaaaaaaaa",COPY!$S$2:$AA$1000,2,FALSE)," ")</f>
        <v xml:space="preserve"> </v>
      </c>
      <c r="Y108" s="90" t="str">
        <f>IF(OR(LEFT(B108,2)="mg",LEFT(B108,2)="mE"),VLOOKUP(A108,COPY!$S$2:$AA$1000,6,FALSE),IF(LEFT(B108,1)="G"," ",IF(LEFT(B108,2)="ma"," "," ")))</f>
        <v xml:space="preserve"> </v>
      </c>
      <c r="Z108" s="90" t="str">
        <f>IFERROR(VLOOKUP(A108&amp;"a",COPY!$S$2:$AA$1000,6,FALSE)," ")</f>
        <v xml:space="preserve"> </v>
      </c>
      <c r="AA108" s="90" t="str">
        <f>IFERROR(VLOOKUP(A108&amp;"aa",COPY!$S$2:$AA$1000,6,FALSE)," ")</f>
        <v xml:space="preserve"> </v>
      </c>
      <c r="AB108" s="90" t="str">
        <f>IFERROR(VLOOKUP(A108&amp;"aaa",COPY!$S$2:$AA$1000,6,FALSE)," ")</f>
        <v xml:space="preserve"> </v>
      </c>
      <c r="AC108" s="90" t="str">
        <f>IFERROR(VLOOKUP(A108&amp;"aaaa",COPY!$S$2:$AA$1000,6,FALSE)," ")</f>
        <v xml:space="preserve"> </v>
      </c>
      <c r="AD108" s="90" t="str">
        <f>IFERROR(VLOOKUP(A108&amp;"aaaaa",COPY!$S$2:$AA$1000,6,FALSE)," ")</f>
        <v xml:space="preserve"> </v>
      </c>
      <c r="AE108" s="90" t="str">
        <f>IFERROR(VLOOKUP(A108&amp;"aaaaaa",COPY!$S$2:$AA$1000,6,FALSE)," ")</f>
        <v xml:space="preserve"> </v>
      </c>
      <c r="AF108" s="90" t="str">
        <f>IFERROR(VLOOKUP(A108&amp;"aaaaaaa",COPY!$S$2:$AA$1000,6,FALSE)," ")</f>
        <v xml:space="preserve"> </v>
      </c>
      <c r="AG108" s="90" t="str">
        <f>IFERROR(VLOOKUP(A108&amp;"aaaaaaaa",COPY!$S$2:$AA$1000,6,FALSE)," ")</f>
        <v xml:space="preserve"> </v>
      </c>
      <c r="AH108" s="90" t="str">
        <f>IFERROR(VLOOKUP(A108&amp;"aaaaaaaaa",COPY!$S$2:$AA$1000,6,FALSE)," ")</f>
        <v xml:space="preserve"> </v>
      </c>
      <c r="AI108" s="90" t="str">
        <f>IFERROR(VLOOKUP(A108&amp;"aaaaaaaaaa",COPY!$S$2:$AA$1000,6,FALSE)," ")</f>
        <v xml:space="preserve"> </v>
      </c>
      <c r="AJ108" s="90" t="str">
        <f>IFERROR(VLOOKUP(A108&amp;"aaaaaaaaaaa",COPY!$S$2:$AA$1000,6,FALSE)," ")</f>
        <v xml:space="preserve"> </v>
      </c>
      <c r="AK108" s="90" t="str">
        <f>IF(LEFT(B108,2)="mg",VLOOKUP(A108,COPY!$S$2:$AA$1000,7,FALSE),IF(LEFT(B108,1)="G"," ",IF(LEFT(B108,2)="ma"," "," ")))</f>
        <v xml:space="preserve"> </v>
      </c>
      <c r="AL108" s="90" t="str">
        <f>IFERROR(VLOOKUP(A108&amp;"a",COPY!$S$2:$AA$1000,7,FALSE)," ")</f>
        <v xml:space="preserve"> </v>
      </c>
      <c r="AM108" s="90" t="str">
        <f>IFERROR(VLOOKUP(A108&amp;"aa",COPY!$S$2:$AA$1000,7,FALSE)," ")</f>
        <v xml:space="preserve"> </v>
      </c>
      <c r="AN108" s="90" t="str">
        <f>IFERROR(VLOOKUP(A108&amp;"aaa",COPY!$S$2:$AA$1000,7,FALSE)," ")</f>
        <v xml:space="preserve"> </v>
      </c>
      <c r="AO108" s="90" t="str">
        <f>IFERROR(VLOOKUP(A108&amp;"aaaa",COPY!$S$2:$AA$1000,7,FALSE)," ")</f>
        <v xml:space="preserve"> </v>
      </c>
      <c r="AP108" s="90" t="str">
        <f>IFERROR(VLOOKUP(A108&amp;"aaaaa",COPY!$S$2:$AA$1000,7,FALSE)," ")</f>
        <v xml:space="preserve"> </v>
      </c>
      <c r="AQ108" s="90" t="str">
        <f>IFERROR(VLOOKUP(A108&amp;"aaaaaa",COPY!$S$2:$AA$1000,7,FALSE)," ")</f>
        <v xml:space="preserve"> </v>
      </c>
      <c r="AR108" s="90" t="str">
        <f>IFERROR(VLOOKUP(A108&amp;"aaaaaaa",COPY!$S$2:$AA$1000,7,FALSE)," ")</f>
        <v xml:space="preserve"> </v>
      </c>
      <c r="AS108" s="90" t="str">
        <f>IFERROR(VLOOKUP(A108&amp;"aaaaaaaa",COPY!$S$2:$AA$1000,7,FALSE)," ")</f>
        <v xml:space="preserve"> </v>
      </c>
      <c r="AT108" s="90" t="str">
        <f>IFERROR(VLOOKUP(A108&amp;"aaaaaaaaa",COPY!$S$2:$AA$1000,7,FALSE)," ")</f>
        <v xml:space="preserve"> </v>
      </c>
      <c r="AU108" s="90" t="str">
        <f>IFERROR(VLOOKUP(A108&amp;"aaaaaaaaaa",COPY!$S$2:$AA$1000,7,FALSE)," ")</f>
        <v xml:space="preserve"> </v>
      </c>
      <c r="AV108" s="90" t="str">
        <f>IFERROR(VLOOKUP(A108&amp;"aaaaaaaaaaa",COPY!$S$2:$AA$1000,7,FALSE)," ")</f>
        <v xml:space="preserve"> </v>
      </c>
    </row>
    <row r="109" spans="1:48" x14ac:dyDescent="0.2">
      <c r="A109" s="75" t="str">
        <f>'REKAP PAJAK'!W146</f>
        <v/>
      </c>
      <c r="B109" s="75" t="str">
        <f>IF(LEN(A109)&gt;1,VLOOKUP(A109,COPY!$O$2:$R$1000,4,FALSE),"")</f>
        <v/>
      </c>
      <c r="C109" s="75" t="str">
        <f t="shared" si="6"/>
        <v xml:space="preserve"> </v>
      </c>
      <c r="D109" s="75" t="str">
        <f t="shared" si="7"/>
        <v xml:space="preserve"> </v>
      </c>
      <c r="E109" s="75" t="str">
        <f t="shared" si="8"/>
        <v xml:space="preserve"> </v>
      </c>
      <c r="F109" s="75" t="str">
        <f t="shared" si="9"/>
        <v xml:space="preserve"> </v>
      </c>
      <c r="G109" s="75" t="str">
        <f>IFERROR(TEXT(VLOOKUP(A109,COPY!$S$2:$W$1000,3,FALSE),"dd-mmmm-yyyy")," ")</f>
        <v xml:space="preserve"> </v>
      </c>
      <c r="H109" s="75" t="str">
        <f t="shared" si="10"/>
        <v xml:space="preserve"> </v>
      </c>
      <c r="I109" s="75" t="str">
        <f t="shared" si="11"/>
        <v xml:space="preserve"> </v>
      </c>
      <c r="J109" s="90" t="str">
        <f>IFERROR(VLOOKUP(A109,COPY!$S$2:$W$1000,4,FALSE)," ")</f>
        <v xml:space="preserve"> </v>
      </c>
      <c r="K109" s="75" t="str">
        <f>IFERROR(VLOOKUP(A109,COPY!$S$2:$W$1000,5,FALSE)," ")</f>
        <v xml:space="preserve"> </v>
      </c>
      <c r="L109" s="75" t="str">
        <f>IF(B109="","",IF(LEFT(B109,2)="Ma",(VLOOKUP(B109,'Rekap Gaji'!$C$12:$D$26,2,FALSE))&amp;" Untuk "&amp;(PROPER('Rekap Gaji'!$B$2)),IF(LEFT(B109,2)="Mg","Pembelian Material Bahan Bangunan",IF(LEFT(B109,2)="Me","Biaya Pembelanjaan Menejemen",IF(LEFT(B109,1)="G",VLOOKUP(A109,COPY!$S$2:$AA$1000,2,FALSE)&amp;"( "&amp;TEXT(VLOOKUP(B109,'Rekap Gaji'!$A$12:$I$26,5,FALSE),"dd-mm-yyyy")&amp;" "&amp;TEXT(VLOOKUP(B109,'Rekap Gaji'!$A$12:$I$26,6,FALSE)&amp;" "&amp;TEXT(VLOOKUP(B109,'Rekap Gaji'!$A$12:$I$26,7,FALSE),"dd-mm-yyyy")&amp;" )"," "))))))</f>
        <v/>
      </c>
      <c r="M109" s="75" t="str">
        <f>IF(OR(LEFT(B109,2)="mg",LEFT(B109,2)="mE"),VLOOKUP(A109,COPY!$S$2:$AA$1000,2,FALSE),IF(LEFT(B109,1)="G"," ",IF(LEFT(B109,2)="ma"," "," ")))</f>
        <v xml:space="preserve"> </v>
      </c>
      <c r="N109" s="75" t="str">
        <f>IFERROR(VLOOKUP($A$109&amp;"a",COPY!$S$2:$AA$1000,2,FALSE)," ")</f>
        <v xml:space="preserve"> </v>
      </c>
      <c r="O109" s="75" t="str">
        <f>IFERROR(VLOOKUP($A$109&amp;"aa",COPY!$S$2:$AA$1000,2,FALSE)," ")</f>
        <v xml:space="preserve"> </v>
      </c>
      <c r="P109" s="75" t="str">
        <f>IFERROR(VLOOKUP($A$109&amp;"aaa",COPY!$S$2:$AA$1000,2,FALSE)," ")</f>
        <v xml:space="preserve"> </v>
      </c>
      <c r="Q109" s="75" t="str">
        <f>IFERROR(VLOOKUP($A$109&amp;"aaaa",COPY!$S$2:$AA$1000,2,FALSE)," ")</f>
        <v xml:space="preserve"> </v>
      </c>
      <c r="R109" s="75" t="str">
        <f>IFERROR(VLOOKUP($A$109&amp;"aaaaa",COPY!$S$2:$AA$1000,2,FALSE)," ")</f>
        <v xml:space="preserve"> </v>
      </c>
      <c r="S109" s="75" t="str">
        <f>IFERROR(VLOOKUP($A$109&amp;"aaaaaa",COPY!$S$2:$AA$1000,2,FALSE)," ")</f>
        <v xml:space="preserve"> </v>
      </c>
      <c r="T109" s="75" t="str">
        <f>IFERROR(VLOOKUP($A$109&amp;"aaaaaaa",COPY!$S$2:$AA$1000,2,FALSE)," ")</f>
        <v xml:space="preserve"> </v>
      </c>
      <c r="U109" s="75" t="str">
        <f>IFERROR(VLOOKUP($A$109&amp;"aaaaaaaa",COPY!$S$2:$AA$1000,2,FALSE)," ")</f>
        <v xml:space="preserve"> </v>
      </c>
      <c r="V109" s="75" t="str">
        <f>IFERROR(VLOOKUP($A$109&amp;"aaaaaaaaa",COPY!$S$2:$AA$1000,2,FALSE)," ")</f>
        <v xml:space="preserve"> </v>
      </c>
      <c r="W109" s="75" t="str">
        <f>IFERROR(VLOOKUP($A$109&amp;"aaaaaaaaaa",COPY!$S$2:$AA$1000,2,FALSE)," ")</f>
        <v xml:space="preserve"> </v>
      </c>
      <c r="X109" s="75" t="str">
        <f>IFERROR(VLOOKUP($A$109&amp;"aaaaaaaaaaa",COPY!$S$2:$AA$1000,2,FALSE)," ")</f>
        <v xml:space="preserve"> </v>
      </c>
      <c r="Y109" s="90" t="str">
        <f>IF(OR(LEFT(B109,2)="mg",LEFT(B109,2)="mE"),VLOOKUP(A109,COPY!$S$2:$AA$1000,6,FALSE),IF(LEFT(B109,1)="G"," ",IF(LEFT(B109,2)="ma"," "," ")))</f>
        <v xml:space="preserve"> </v>
      </c>
      <c r="Z109" s="90" t="str">
        <f>IFERROR(VLOOKUP(A109&amp;"a",COPY!$S$2:$AA$1000,6,FALSE)," ")</f>
        <v xml:space="preserve"> </v>
      </c>
      <c r="AA109" s="90" t="str">
        <f>IFERROR(VLOOKUP(A109&amp;"aa",COPY!$S$2:$AA$1000,6,FALSE)," ")</f>
        <v xml:space="preserve"> </v>
      </c>
      <c r="AB109" s="90" t="str">
        <f>IFERROR(VLOOKUP(A109&amp;"aaa",COPY!$S$2:$AA$1000,6,FALSE)," ")</f>
        <v xml:space="preserve"> </v>
      </c>
      <c r="AC109" s="90" t="str">
        <f>IFERROR(VLOOKUP(A109&amp;"aaaa",COPY!$S$2:$AA$1000,6,FALSE)," ")</f>
        <v xml:space="preserve"> </v>
      </c>
      <c r="AD109" s="90" t="str">
        <f>IFERROR(VLOOKUP(A109&amp;"aaaaa",COPY!$S$2:$AA$1000,6,FALSE)," ")</f>
        <v xml:space="preserve"> </v>
      </c>
      <c r="AE109" s="90" t="str">
        <f>IFERROR(VLOOKUP(A109&amp;"aaaaaa",COPY!$S$2:$AA$1000,6,FALSE)," ")</f>
        <v xml:space="preserve"> </v>
      </c>
      <c r="AF109" s="90" t="str">
        <f>IFERROR(VLOOKUP(A109&amp;"aaaaaaa",COPY!$S$2:$AA$1000,6,FALSE)," ")</f>
        <v xml:space="preserve"> </v>
      </c>
      <c r="AG109" s="90" t="str">
        <f>IFERROR(VLOOKUP(A109&amp;"aaaaaaaa",COPY!$S$2:$AA$1000,6,FALSE)," ")</f>
        <v xml:space="preserve"> </v>
      </c>
      <c r="AH109" s="90" t="str">
        <f>IFERROR(VLOOKUP(A109&amp;"aaaaaaaaa",COPY!$S$2:$AA$1000,6,FALSE)," ")</f>
        <v xml:space="preserve"> </v>
      </c>
      <c r="AI109" s="90" t="str">
        <f>IFERROR(VLOOKUP(A109&amp;"aaaaaaaaaa",COPY!$S$2:$AA$1000,6,FALSE)," ")</f>
        <v xml:space="preserve"> </v>
      </c>
      <c r="AJ109" s="90" t="str">
        <f>IFERROR(VLOOKUP(A109&amp;"aaaaaaaaaaa",COPY!$S$2:$AA$1000,6,FALSE)," ")</f>
        <v xml:space="preserve"> </v>
      </c>
      <c r="AK109" s="90" t="str">
        <f>IF(LEFT(B109,2)="mg",VLOOKUP(A109,COPY!$S$2:$AA$1000,7,FALSE),IF(LEFT(B109,1)="G"," ",IF(LEFT(B109,2)="ma"," "," ")))</f>
        <v xml:space="preserve"> </v>
      </c>
      <c r="AL109" s="90" t="str">
        <f>IFERROR(VLOOKUP(A109&amp;"a",COPY!$S$2:$AA$1000,7,FALSE)," ")</f>
        <v xml:space="preserve"> </v>
      </c>
      <c r="AM109" s="90" t="str">
        <f>IFERROR(VLOOKUP(A109&amp;"aa",COPY!$S$2:$AA$1000,7,FALSE)," ")</f>
        <v xml:space="preserve"> </v>
      </c>
      <c r="AN109" s="90" t="str">
        <f>IFERROR(VLOOKUP(A109&amp;"aaa",COPY!$S$2:$AA$1000,7,FALSE)," ")</f>
        <v xml:space="preserve"> </v>
      </c>
      <c r="AO109" s="90" t="str">
        <f>IFERROR(VLOOKUP(A109&amp;"aaaa",COPY!$S$2:$AA$1000,7,FALSE)," ")</f>
        <v xml:space="preserve"> </v>
      </c>
      <c r="AP109" s="90" t="str">
        <f>IFERROR(VLOOKUP(A109&amp;"aaaaa",COPY!$S$2:$AA$1000,7,FALSE)," ")</f>
        <v xml:space="preserve"> </v>
      </c>
      <c r="AQ109" s="90" t="str">
        <f>IFERROR(VLOOKUP(A109&amp;"aaaaaa",COPY!$S$2:$AA$1000,7,FALSE)," ")</f>
        <v xml:space="preserve"> </v>
      </c>
      <c r="AR109" s="90" t="str">
        <f>IFERROR(VLOOKUP(A109&amp;"aaaaaaa",COPY!$S$2:$AA$1000,7,FALSE)," ")</f>
        <v xml:space="preserve"> </v>
      </c>
      <c r="AS109" s="90" t="str">
        <f>IFERROR(VLOOKUP(A109&amp;"aaaaaaaa",COPY!$S$2:$AA$1000,7,FALSE)," ")</f>
        <v xml:space="preserve"> </v>
      </c>
      <c r="AT109" s="90" t="str">
        <f>IFERROR(VLOOKUP(A109&amp;"aaaaaaaaa",COPY!$S$2:$AA$1000,7,FALSE)," ")</f>
        <v xml:space="preserve"> </v>
      </c>
      <c r="AU109" s="90" t="str">
        <f>IFERROR(VLOOKUP(A109&amp;"aaaaaaaaaa",COPY!$S$2:$AA$1000,7,FALSE)," ")</f>
        <v xml:space="preserve"> </v>
      </c>
      <c r="AV109" s="90" t="str">
        <f>IFERROR(VLOOKUP(A109&amp;"aaaaaaaaaaa",COPY!$S$2:$AA$1000,7,FALSE)," ")</f>
        <v xml:space="preserve"> </v>
      </c>
    </row>
    <row r="110" spans="1:48" x14ac:dyDescent="0.2">
      <c r="A110" s="75" t="str">
        <f>'REKAP PAJAK'!W147</f>
        <v/>
      </c>
      <c r="B110" s="75" t="str">
        <f>IF(LEN(A110)&gt;1,VLOOKUP(A110,COPY!$O$2:$R$1000,4,FALSE),"")</f>
        <v/>
      </c>
      <c r="C110" s="75" t="str">
        <f t="shared" si="6"/>
        <v xml:space="preserve"> </v>
      </c>
      <c r="D110" s="75" t="str">
        <f t="shared" si="7"/>
        <v xml:space="preserve"> </v>
      </c>
      <c r="E110" s="75" t="str">
        <f t="shared" si="8"/>
        <v xml:space="preserve"> </v>
      </c>
      <c r="F110" s="75" t="str">
        <f t="shared" si="9"/>
        <v xml:space="preserve"> </v>
      </c>
      <c r="G110" s="75" t="str">
        <f>IFERROR(TEXT(VLOOKUP(A110,COPY!$S$2:$W$1000,3,FALSE),"dd-mmmm-yyyy")," ")</f>
        <v xml:space="preserve"> </v>
      </c>
      <c r="H110" s="75" t="str">
        <f t="shared" si="10"/>
        <v xml:space="preserve"> </v>
      </c>
      <c r="I110" s="75" t="str">
        <f t="shared" si="11"/>
        <v xml:space="preserve"> </v>
      </c>
      <c r="J110" s="90" t="str">
        <f>IFERROR(VLOOKUP(A110,COPY!$S$2:$W$1000,4,FALSE)," ")</f>
        <v xml:space="preserve"> </v>
      </c>
      <c r="K110" s="75" t="str">
        <f>IFERROR(VLOOKUP(A110,COPY!$S$2:$W$1000,5,FALSE)," ")</f>
        <v xml:space="preserve"> </v>
      </c>
      <c r="L110" s="75" t="str">
        <f>IF(B110="","",IF(LEFT(B110,2)="Ma",(VLOOKUP(B110,'Rekap Gaji'!$C$12:$D$26,2,FALSE))&amp;" Untuk "&amp;(PROPER('Rekap Gaji'!$B$2)),IF(LEFT(B110,2)="Mg","Pembelian Material Bahan Bangunan",IF(LEFT(B110,2)="Me","Biaya Pembelanjaan Menejemen",IF(LEFT(B110,1)="G",VLOOKUP(A110,COPY!$S$2:$AA$1000,2,FALSE)&amp;"( "&amp;TEXT(VLOOKUP(B110,'Rekap Gaji'!$A$12:$I$26,5,FALSE),"dd-mm-yyyy")&amp;" "&amp;TEXT(VLOOKUP(B110,'Rekap Gaji'!$A$12:$I$26,6,FALSE)&amp;" "&amp;TEXT(VLOOKUP(B110,'Rekap Gaji'!$A$12:$I$26,7,FALSE),"dd-mm-yyyy")&amp;" )"," "))))))</f>
        <v/>
      </c>
      <c r="M110" s="75" t="str">
        <f>IF(OR(LEFT(B110,2)="mg",LEFT(B110,2)="mE"),VLOOKUP(A110,COPY!$S$2:$AA$1000,2,FALSE),IF(LEFT(B110,1)="G"," ",IF(LEFT(B110,2)="ma"," "," ")))</f>
        <v xml:space="preserve"> </v>
      </c>
      <c r="N110" s="75" t="str">
        <f>IFERROR(VLOOKUP($A$110&amp;"a",COPY!$S$2:$AA$1000,2,FALSE)," ")</f>
        <v xml:space="preserve"> </v>
      </c>
      <c r="O110" s="75" t="str">
        <f>IFERROR(VLOOKUP($A$110&amp;"aa",COPY!$S$2:$AA$1000,2,FALSE)," ")</f>
        <v xml:space="preserve"> </v>
      </c>
      <c r="P110" s="75" t="str">
        <f>IFERROR(VLOOKUP($A$110&amp;"aaa",COPY!$S$2:$AA$1000,2,FALSE)," ")</f>
        <v xml:space="preserve"> </v>
      </c>
      <c r="Q110" s="75" t="str">
        <f>IFERROR(VLOOKUP($A$110&amp;"aaaa",COPY!$S$2:$AA$1000,2,FALSE)," ")</f>
        <v xml:space="preserve"> </v>
      </c>
      <c r="R110" s="75" t="str">
        <f>IFERROR(VLOOKUP($A$110&amp;"aaaaa",COPY!$S$2:$AA$1000,2,FALSE)," ")</f>
        <v xml:space="preserve"> </v>
      </c>
      <c r="S110" s="75" t="str">
        <f>IFERROR(VLOOKUP($A$110&amp;"aaaaaa",COPY!$S$2:$AA$1000,2,FALSE)," ")</f>
        <v xml:space="preserve"> </v>
      </c>
      <c r="T110" s="75" t="str">
        <f>IFERROR(VLOOKUP($A$110&amp;"aaaaaaa",COPY!$S$2:$AA$1000,2,FALSE)," ")</f>
        <v xml:space="preserve"> </v>
      </c>
      <c r="U110" s="75" t="str">
        <f>IFERROR(VLOOKUP($A$110&amp;"aaaaaaaa",COPY!$S$2:$AA$1000,2,FALSE)," ")</f>
        <v xml:space="preserve"> </v>
      </c>
      <c r="V110" s="75" t="str">
        <f>IFERROR(VLOOKUP($A$110&amp;"aaaaaaaaa",COPY!$S$2:$AA$1000,2,FALSE)," ")</f>
        <v xml:space="preserve"> </v>
      </c>
      <c r="W110" s="75" t="str">
        <f>IFERROR(VLOOKUP($A$110&amp;"aaaaaaaaaa",COPY!$S$2:$AA$1000,2,FALSE)," ")</f>
        <v xml:space="preserve"> </v>
      </c>
      <c r="X110" s="75" t="str">
        <f>IFERROR(VLOOKUP($A$110&amp;"aaaaaaaaaaa",COPY!$S$2:$AA$1000,2,FALSE)," ")</f>
        <v xml:space="preserve"> </v>
      </c>
      <c r="Y110" s="90" t="str">
        <f>IF(OR(LEFT(B110,2)="mg",LEFT(B110,2)="mE"),VLOOKUP(A110,COPY!$S$2:$AA$1000,6,FALSE),IF(LEFT(B110,1)="G"," ",IF(LEFT(B110,2)="ma"," "," ")))</f>
        <v xml:space="preserve"> </v>
      </c>
      <c r="Z110" s="90" t="str">
        <f>IFERROR(VLOOKUP(A110&amp;"a",COPY!$S$2:$AA$1000,6,FALSE)," ")</f>
        <v xml:space="preserve"> </v>
      </c>
      <c r="AA110" s="90" t="str">
        <f>IFERROR(VLOOKUP(A110&amp;"aa",COPY!$S$2:$AA$1000,6,FALSE)," ")</f>
        <v xml:space="preserve"> </v>
      </c>
      <c r="AB110" s="90" t="str">
        <f>IFERROR(VLOOKUP(A110&amp;"aaa",COPY!$S$2:$AA$1000,6,FALSE)," ")</f>
        <v xml:space="preserve"> </v>
      </c>
      <c r="AC110" s="90" t="str">
        <f>IFERROR(VLOOKUP(A110&amp;"aaaa",COPY!$S$2:$AA$1000,6,FALSE)," ")</f>
        <v xml:space="preserve"> </v>
      </c>
      <c r="AD110" s="90" t="str">
        <f>IFERROR(VLOOKUP(A110&amp;"aaaaa",COPY!$S$2:$AA$1000,6,FALSE)," ")</f>
        <v xml:space="preserve"> </v>
      </c>
      <c r="AE110" s="90" t="str">
        <f>IFERROR(VLOOKUP(A110&amp;"aaaaaa",COPY!$S$2:$AA$1000,6,FALSE)," ")</f>
        <v xml:space="preserve"> </v>
      </c>
      <c r="AF110" s="90" t="str">
        <f>IFERROR(VLOOKUP(A110&amp;"aaaaaaa",COPY!$S$2:$AA$1000,6,FALSE)," ")</f>
        <v xml:space="preserve"> </v>
      </c>
      <c r="AG110" s="90" t="str">
        <f>IFERROR(VLOOKUP(A110&amp;"aaaaaaaa",COPY!$S$2:$AA$1000,6,FALSE)," ")</f>
        <v xml:space="preserve"> </v>
      </c>
      <c r="AH110" s="90" t="str">
        <f>IFERROR(VLOOKUP(A110&amp;"aaaaaaaaa",COPY!$S$2:$AA$1000,6,FALSE)," ")</f>
        <v xml:space="preserve"> </v>
      </c>
      <c r="AI110" s="90" t="str">
        <f>IFERROR(VLOOKUP(A110&amp;"aaaaaaaaaa",COPY!$S$2:$AA$1000,6,FALSE)," ")</f>
        <v xml:space="preserve"> </v>
      </c>
      <c r="AJ110" s="90" t="str">
        <f>IFERROR(VLOOKUP(A110&amp;"aaaaaaaaaaa",COPY!$S$2:$AA$1000,6,FALSE)," ")</f>
        <v xml:space="preserve"> </v>
      </c>
      <c r="AK110" s="90" t="str">
        <f>IF(LEFT(B110,2)="mg",VLOOKUP(A110,COPY!$S$2:$AA$1000,7,FALSE),IF(LEFT(B110,1)="G"," ",IF(LEFT(B110,2)="ma"," "," ")))</f>
        <v xml:space="preserve"> </v>
      </c>
      <c r="AL110" s="90" t="str">
        <f>IFERROR(VLOOKUP(A110&amp;"a",COPY!$S$2:$AA$1000,7,FALSE)," ")</f>
        <v xml:space="preserve"> </v>
      </c>
      <c r="AM110" s="90" t="str">
        <f>IFERROR(VLOOKUP(A110&amp;"aa",COPY!$S$2:$AA$1000,7,FALSE)," ")</f>
        <v xml:space="preserve"> </v>
      </c>
      <c r="AN110" s="90" t="str">
        <f>IFERROR(VLOOKUP(A110&amp;"aaa",COPY!$S$2:$AA$1000,7,FALSE)," ")</f>
        <v xml:space="preserve"> </v>
      </c>
      <c r="AO110" s="90" t="str">
        <f>IFERROR(VLOOKUP(A110&amp;"aaaa",COPY!$S$2:$AA$1000,7,FALSE)," ")</f>
        <v xml:space="preserve"> </v>
      </c>
      <c r="AP110" s="90" t="str">
        <f>IFERROR(VLOOKUP(A110&amp;"aaaaa",COPY!$S$2:$AA$1000,7,FALSE)," ")</f>
        <v xml:space="preserve"> </v>
      </c>
      <c r="AQ110" s="90" t="str">
        <f>IFERROR(VLOOKUP(A110&amp;"aaaaaa",COPY!$S$2:$AA$1000,7,FALSE)," ")</f>
        <v xml:space="preserve"> </v>
      </c>
      <c r="AR110" s="90" t="str">
        <f>IFERROR(VLOOKUP(A110&amp;"aaaaaaa",COPY!$S$2:$AA$1000,7,FALSE)," ")</f>
        <v xml:space="preserve"> </v>
      </c>
      <c r="AS110" s="90" t="str">
        <f>IFERROR(VLOOKUP(A110&amp;"aaaaaaaa",COPY!$S$2:$AA$1000,7,FALSE)," ")</f>
        <v xml:space="preserve"> </v>
      </c>
      <c r="AT110" s="90" t="str">
        <f>IFERROR(VLOOKUP(A110&amp;"aaaaaaaaa",COPY!$S$2:$AA$1000,7,FALSE)," ")</f>
        <v xml:space="preserve"> </v>
      </c>
      <c r="AU110" s="90" t="str">
        <f>IFERROR(VLOOKUP(A110&amp;"aaaaaaaaaa",COPY!$S$2:$AA$1000,7,FALSE)," ")</f>
        <v xml:space="preserve"> </v>
      </c>
      <c r="AV110" s="90" t="str">
        <f>IFERROR(VLOOKUP(A110&amp;"aaaaaaaaaaa",COPY!$S$2:$AA$1000,7,FALSE)," ")</f>
        <v xml:space="preserve"> </v>
      </c>
    </row>
    <row r="111" spans="1:48" x14ac:dyDescent="0.2">
      <c r="A111" s="75" t="str">
        <f>'REKAP PAJAK'!W148</f>
        <v/>
      </c>
      <c r="B111" s="75" t="str">
        <f>IF(LEN(A111)&gt;1,VLOOKUP(A111,COPY!$O$2:$R$1000,4,FALSE),"")</f>
        <v/>
      </c>
      <c r="C111" s="75" t="str">
        <f t="shared" si="6"/>
        <v xml:space="preserve"> </v>
      </c>
      <c r="D111" s="75" t="str">
        <f t="shared" si="7"/>
        <v xml:space="preserve"> </v>
      </c>
      <c r="E111" s="75" t="str">
        <f t="shared" si="8"/>
        <v xml:space="preserve"> </v>
      </c>
      <c r="F111" s="75" t="str">
        <f t="shared" si="9"/>
        <v xml:space="preserve"> </v>
      </c>
      <c r="G111" s="75" t="str">
        <f>IFERROR(TEXT(VLOOKUP(A111,COPY!$S$2:$W$1000,3,FALSE),"dd-mmmm-yyyy")," ")</f>
        <v xml:space="preserve"> </v>
      </c>
      <c r="H111" s="75" t="str">
        <f t="shared" si="10"/>
        <v xml:space="preserve"> </v>
      </c>
      <c r="I111" s="75" t="str">
        <f t="shared" si="11"/>
        <v xml:space="preserve"> </v>
      </c>
      <c r="J111" s="90" t="str">
        <f>IFERROR(VLOOKUP(A111,COPY!$S$2:$W$1000,4,FALSE)," ")</f>
        <v xml:space="preserve"> </v>
      </c>
      <c r="K111" s="75" t="str">
        <f>IFERROR(VLOOKUP(A111,COPY!$S$2:$W$1000,5,FALSE)," ")</f>
        <v xml:space="preserve"> </v>
      </c>
      <c r="L111" s="75" t="str">
        <f>IF(B111="","",IF(LEFT(B111,2)="Ma",(VLOOKUP(B111,'Rekap Gaji'!$C$12:$D$26,2,FALSE))&amp;" Untuk "&amp;(PROPER('Rekap Gaji'!$B$2)),IF(LEFT(B111,2)="Mg","Pembelian Material Bahan Bangunan",IF(LEFT(B111,2)="Me","Biaya Pembelanjaan Menejemen",IF(LEFT(B111,1)="G",VLOOKUP(A111,COPY!$S$2:$AA$1000,2,FALSE)&amp;"( "&amp;TEXT(VLOOKUP(B111,'Rekap Gaji'!$A$12:$I$26,5,FALSE),"dd-mm-yyyy")&amp;" "&amp;TEXT(VLOOKUP(B111,'Rekap Gaji'!$A$12:$I$26,6,FALSE)&amp;" "&amp;TEXT(VLOOKUP(B111,'Rekap Gaji'!$A$12:$I$26,7,FALSE),"dd-mm-yyyy")&amp;" )"," "))))))</f>
        <v/>
      </c>
      <c r="M111" s="75" t="str">
        <f>IF(OR(LEFT(B111,2)="mg",LEFT(B111,2)="mE"),VLOOKUP(A111,COPY!$S$2:$AA$1000,2,FALSE),IF(LEFT(B111,1)="G"," ",IF(LEFT(B111,2)="ma"," "," ")))</f>
        <v xml:space="preserve"> </v>
      </c>
      <c r="N111" s="75" t="str">
        <f>IFERROR(VLOOKUP($A$111&amp;"a",COPY!$S$2:$AA$1000,2,FALSE)," ")</f>
        <v xml:space="preserve"> </v>
      </c>
      <c r="O111" s="75" t="str">
        <f>IFERROR(VLOOKUP($A$111&amp;"aa",COPY!$S$2:$AA$1000,2,FALSE)," ")</f>
        <v xml:space="preserve"> </v>
      </c>
      <c r="P111" s="75" t="str">
        <f>IFERROR(VLOOKUP($A$111&amp;"aaa",COPY!$S$2:$AA$1000,2,FALSE)," ")</f>
        <v xml:space="preserve"> </v>
      </c>
      <c r="Q111" s="75" t="str">
        <f>IFERROR(VLOOKUP($A$111&amp;"aaaa",COPY!$S$2:$AA$1000,2,FALSE)," ")</f>
        <v xml:space="preserve"> </v>
      </c>
      <c r="R111" s="75" t="str">
        <f>IFERROR(VLOOKUP($A$111&amp;"aaaaa",COPY!$S$2:$AA$1000,2,FALSE)," ")</f>
        <v xml:space="preserve"> </v>
      </c>
      <c r="S111" s="75" t="str">
        <f>IFERROR(VLOOKUP($A$111&amp;"aaaaaa",COPY!$S$2:$AA$1000,2,FALSE)," ")</f>
        <v xml:space="preserve"> </v>
      </c>
      <c r="T111" s="75" t="str">
        <f>IFERROR(VLOOKUP($A$111&amp;"aaaaaaa",COPY!$S$2:$AA$1000,2,FALSE)," ")</f>
        <v xml:space="preserve"> </v>
      </c>
      <c r="U111" s="75" t="str">
        <f>IFERROR(VLOOKUP($A$111&amp;"aaaaaaaa",COPY!$S$2:$AA$1000,2,FALSE)," ")</f>
        <v xml:space="preserve"> </v>
      </c>
      <c r="V111" s="75" t="str">
        <f>IFERROR(VLOOKUP($A$111&amp;"aaaaaaaaa",COPY!$S$2:$AA$1000,2,FALSE)," ")</f>
        <v xml:space="preserve"> </v>
      </c>
      <c r="W111" s="75" t="str">
        <f>IFERROR(VLOOKUP($A$111&amp;"aaaaaaaaaa",COPY!$S$2:$AA$1000,2,FALSE)," ")</f>
        <v xml:space="preserve"> </v>
      </c>
      <c r="X111" s="75" t="str">
        <f>IFERROR(VLOOKUP($A$111&amp;"aaaaaaaaaaa",COPY!$S$2:$AA$1000,2,FALSE)," ")</f>
        <v xml:space="preserve"> </v>
      </c>
      <c r="Y111" s="90" t="str">
        <f>IF(OR(LEFT(B111,2)="mg",LEFT(B111,2)="mE"),VLOOKUP(A111,COPY!$S$2:$AA$1000,6,FALSE),IF(LEFT(B111,1)="G"," ",IF(LEFT(B111,2)="ma"," "," ")))</f>
        <v xml:space="preserve"> </v>
      </c>
      <c r="Z111" s="90" t="str">
        <f>IFERROR(VLOOKUP(A111&amp;"a",COPY!$S$2:$AA$1000,6,FALSE)," ")</f>
        <v xml:space="preserve"> </v>
      </c>
      <c r="AA111" s="90" t="str">
        <f>IFERROR(VLOOKUP(A111&amp;"aa",COPY!$S$2:$AA$1000,6,FALSE)," ")</f>
        <v xml:space="preserve"> </v>
      </c>
      <c r="AB111" s="90" t="str">
        <f>IFERROR(VLOOKUP(A111&amp;"aaa",COPY!$S$2:$AA$1000,6,FALSE)," ")</f>
        <v xml:space="preserve"> </v>
      </c>
      <c r="AC111" s="90" t="str">
        <f>IFERROR(VLOOKUP(A111&amp;"aaaa",COPY!$S$2:$AA$1000,6,FALSE)," ")</f>
        <v xml:space="preserve"> </v>
      </c>
      <c r="AD111" s="90" t="str">
        <f>IFERROR(VLOOKUP(A111&amp;"aaaaa",COPY!$S$2:$AA$1000,6,FALSE)," ")</f>
        <v xml:space="preserve"> </v>
      </c>
      <c r="AE111" s="90" t="str">
        <f>IFERROR(VLOOKUP(A111&amp;"aaaaaa",COPY!$S$2:$AA$1000,6,FALSE)," ")</f>
        <v xml:space="preserve"> </v>
      </c>
      <c r="AF111" s="90" t="str">
        <f>IFERROR(VLOOKUP(A111&amp;"aaaaaaa",COPY!$S$2:$AA$1000,6,FALSE)," ")</f>
        <v xml:space="preserve"> </v>
      </c>
      <c r="AG111" s="90" t="str">
        <f>IFERROR(VLOOKUP(A111&amp;"aaaaaaaa",COPY!$S$2:$AA$1000,6,FALSE)," ")</f>
        <v xml:space="preserve"> </v>
      </c>
      <c r="AH111" s="90" t="str">
        <f>IFERROR(VLOOKUP(A111&amp;"aaaaaaaaa",COPY!$S$2:$AA$1000,6,FALSE)," ")</f>
        <v xml:space="preserve"> </v>
      </c>
      <c r="AI111" s="90" t="str">
        <f>IFERROR(VLOOKUP(A111&amp;"aaaaaaaaaa",COPY!$S$2:$AA$1000,6,FALSE)," ")</f>
        <v xml:space="preserve"> </v>
      </c>
      <c r="AJ111" s="90" t="str">
        <f>IFERROR(VLOOKUP(A111&amp;"aaaaaaaaaaa",COPY!$S$2:$AA$1000,6,FALSE)," ")</f>
        <v xml:space="preserve"> </v>
      </c>
      <c r="AK111" s="90" t="str">
        <f>IF(LEFT(B111,2)="mg",VLOOKUP(A111,COPY!$S$2:$AA$1000,7,FALSE),IF(LEFT(B111,1)="G"," ",IF(LEFT(B111,2)="ma"," "," ")))</f>
        <v xml:space="preserve"> </v>
      </c>
      <c r="AL111" s="90" t="str">
        <f>IFERROR(VLOOKUP(A111&amp;"a",COPY!$S$2:$AA$1000,7,FALSE)," ")</f>
        <v xml:space="preserve"> </v>
      </c>
      <c r="AM111" s="90" t="str">
        <f>IFERROR(VLOOKUP(A111&amp;"aa",COPY!$S$2:$AA$1000,7,FALSE)," ")</f>
        <v xml:space="preserve"> </v>
      </c>
      <c r="AN111" s="90" t="str">
        <f>IFERROR(VLOOKUP(A111&amp;"aaa",COPY!$S$2:$AA$1000,7,FALSE)," ")</f>
        <v xml:space="preserve"> </v>
      </c>
      <c r="AO111" s="90" t="str">
        <f>IFERROR(VLOOKUP(A111&amp;"aaaa",COPY!$S$2:$AA$1000,7,FALSE)," ")</f>
        <v xml:space="preserve"> </v>
      </c>
      <c r="AP111" s="90" t="str">
        <f>IFERROR(VLOOKUP(A111&amp;"aaaaa",COPY!$S$2:$AA$1000,7,FALSE)," ")</f>
        <v xml:space="preserve"> </v>
      </c>
      <c r="AQ111" s="90" t="str">
        <f>IFERROR(VLOOKUP(A111&amp;"aaaaaa",COPY!$S$2:$AA$1000,7,FALSE)," ")</f>
        <v xml:space="preserve"> </v>
      </c>
      <c r="AR111" s="90" t="str">
        <f>IFERROR(VLOOKUP(A111&amp;"aaaaaaa",COPY!$S$2:$AA$1000,7,FALSE)," ")</f>
        <v xml:space="preserve"> </v>
      </c>
      <c r="AS111" s="90" t="str">
        <f>IFERROR(VLOOKUP(A111&amp;"aaaaaaaa",COPY!$S$2:$AA$1000,7,FALSE)," ")</f>
        <v xml:space="preserve"> </v>
      </c>
      <c r="AT111" s="90" t="str">
        <f>IFERROR(VLOOKUP(A111&amp;"aaaaaaaaa",COPY!$S$2:$AA$1000,7,FALSE)," ")</f>
        <v xml:space="preserve"> </v>
      </c>
      <c r="AU111" s="90" t="str">
        <f>IFERROR(VLOOKUP(A111&amp;"aaaaaaaaaa",COPY!$S$2:$AA$1000,7,FALSE)," ")</f>
        <v xml:space="preserve"> </v>
      </c>
      <c r="AV111" s="90" t="str">
        <f>IFERROR(VLOOKUP(A111&amp;"aaaaaaaaaaa",COPY!$S$2:$AA$1000,7,FALSE)," ")</f>
        <v xml:space="preserve"> </v>
      </c>
    </row>
    <row r="112" spans="1:48" x14ac:dyDescent="0.2">
      <c r="A112" s="75" t="str">
        <f>'REKAP PAJAK'!W149</f>
        <v/>
      </c>
      <c r="B112" s="75" t="str">
        <f>IF(LEN(A112)&gt;1,VLOOKUP(A112,COPY!$O$2:$R$1000,4,FALSE),"")</f>
        <v/>
      </c>
      <c r="C112" s="75" t="str">
        <f t="shared" si="6"/>
        <v xml:space="preserve"> </v>
      </c>
      <c r="D112" s="75" t="str">
        <f t="shared" si="7"/>
        <v xml:space="preserve"> </v>
      </c>
      <c r="E112" s="75" t="str">
        <f t="shared" si="8"/>
        <v xml:space="preserve"> </v>
      </c>
      <c r="F112" s="75" t="str">
        <f t="shared" si="9"/>
        <v xml:space="preserve"> </v>
      </c>
      <c r="G112" s="75" t="str">
        <f>IFERROR(TEXT(VLOOKUP(A112,COPY!$S$2:$W$1000,3,FALSE),"dd-mmmm-yyyy")," ")</f>
        <v xml:space="preserve"> </v>
      </c>
      <c r="H112" s="75" t="str">
        <f t="shared" si="10"/>
        <v xml:space="preserve"> </v>
      </c>
      <c r="I112" s="75" t="str">
        <f t="shared" si="11"/>
        <v xml:space="preserve"> </v>
      </c>
      <c r="J112" s="90" t="str">
        <f>IFERROR(VLOOKUP(A112,COPY!$S$2:$W$1000,4,FALSE)," ")</f>
        <v xml:space="preserve"> </v>
      </c>
      <c r="K112" s="75" t="str">
        <f>IFERROR(VLOOKUP(A112,COPY!$S$2:$W$1000,5,FALSE)," ")</f>
        <v xml:space="preserve"> </v>
      </c>
      <c r="L112" s="75" t="str">
        <f>IF(B112="","",IF(LEFT(B112,2)="Ma",(VLOOKUP(B112,'Rekap Gaji'!$C$12:$D$26,2,FALSE))&amp;" Untuk "&amp;(PROPER('Rekap Gaji'!$B$2)),IF(LEFT(B112,2)="Mg","Pembelian Material Bahan Bangunan",IF(LEFT(B112,2)="Me","Biaya Pembelanjaan Menejemen",IF(LEFT(B112,1)="G",VLOOKUP(A112,COPY!$S$2:$AA$1000,2,FALSE)&amp;"( "&amp;TEXT(VLOOKUP(B112,'Rekap Gaji'!$A$12:$I$26,5,FALSE),"dd-mm-yyyy")&amp;" "&amp;TEXT(VLOOKUP(B112,'Rekap Gaji'!$A$12:$I$26,6,FALSE)&amp;" "&amp;TEXT(VLOOKUP(B112,'Rekap Gaji'!$A$12:$I$26,7,FALSE),"dd-mm-yyyy")&amp;" )"," "))))))</f>
        <v/>
      </c>
      <c r="M112" s="75" t="str">
        <f>IF(OR(LEFT(B112,2)="mg",LEFT(B112,2)="mE"),VLOOKUP(A112,COPY!$S$2:$AA$1000,2,FALSE),IF(LEFT(B112,1)="G"," ",IF(LEFT(B112,2)="ma"," "," ")))</f>
        <v xml:space="preserve"> </v>
      </c>
      <c r="N112" s="75" t="str">
        <f>IFERROR(VLOOKUP($A$112&amp;"a",COPY!$S$2:$AA$1000,2,FALSE)," ")</f>
        <v xml:space="preserve"> </v>
      </c>
      <c r="O112" s="75" t="str">
        <f>IFERROR(VLOOKUP($A$112&amp;"aa",COPY!$S$2:$AA$1000,2,FALSE)," ")</f>
        <v xml:space="preserve"> </v>
      </c>
      <c r="P112" s="75" t="str">
        <f>IFERROR(VLOOKUP($A$112&amp;"aaa",COPY!$S$2:$AA$1000,2,FALSE)," ")</f>
        <v xml:space="preserve"> </v>
      </c>
      <c r="Q112" s="75" t="str">
        <f>IFERROR(VLOOKUP($A$112&amp;"aaaa",COPY!$S$2:$AA$1000,2,FALSE)," ")</f>
        <v xml:space="preserve"> </v>
      </c>
      <c r="R112" s="75" t="str">
        <f>IFERROR(VLOOKUP($A$112&amp;"aaaaa",COPY!$S$2:$AA$1000,2,FALSE)," ")</f>
        <v xml:space="preserve"> </v>
      </c>
      <c r="S112" s="75" t="str">
        <f>IFERROR(VLOOKUP($A$112&amp;"aaaaaa",COPY!$S$2:$AA$1000,2,FALSE)," ")</f>
        <v xml:space="preserve"> </v>
      </c>
      <c r="T112" s="75" t="str">
        <f>IFERROR(VLOOKUP($A$112&amp;"aaaaaaa",COPY!$S$2:$AA$1000,2,FALSE)," ")</f>
        <v xml:space="preserve"> </v>
      </c>
      <c r="U112" s="75" t="str">
        <f>IFERROR(VLOOKUP($A$112&amp;"aaaaaaaa",COPY!$S$2:$AA$1000,2,FALSE)," ")</f>
        <v xml:space="preserve"> </v>
      </c>
      <c r="V112" s="75" t="str">
        <f>IFERROR(VLOOKUP($A$112&amp;"aaaaaaaaa",COPY!$S$2:$AA$1000,2,FALSE)," ")</f>
        <v xml:space="preserve"> </v>
      </c>
      <c r="W112" s="75" t="str">
        <f>IFERROR(VLOOKUP($A$112&amp;"aaaaaaaaaa",COPY!$S$2:$AA$1000,2,FALSE)," ")</f>
        <v xml:space="preserve"> </v>
      </c>
      <c r="X112" s="75" t="str">
        <f>IFERROR(VLOOKUP($A$112&amp;"aaaaaaaaaaa",COPY!$S$2:$AA$1000,2,FALSE)," ")</f>
        <v xml:space="preserve"> </v>
      </c>
      <c r="Y112" s="90" t="str">
        <f>IF(OR(LEFT(B112,2)="mg",LEFT(B112,2)="mE"),VLOOKUP(A112,COPY!$S$2:$AA$1000,6,FALSE),IF(LEFT(B112,1)="G"," ",IF(LEFT(B112,2)="ma"," "," ")))</f>
        <v xml:space="preserve"> </v>
      </c>
      <c r="Z112" s="90" t="str">
        <f>IFERROR(VLOOKUP(A112&amp;"a",COPY!$S$2:$AA$1000,6,FALSE)," ")</f>
        <v xml:space="preserve"> </v>
      </c>
      <c r="AA112" s="90" t="str">
        <f>IFERROR(VLOOKUP(A112&amp;"aa",COPY!$S$2:$AA$1000,6,FALSE)," ")</f>
        <v xml:space="preserve"> </v>
      </c>
      <c r="AB112" s="90" t="str">
        <f>IFERROR(VLOOKUP(A112&amp;"aaa",COPY!$S$2:$AA$1000,6,FALSE)," ")</f>
        <v xml:space="preserve"> </v>
      </c>
      <c r="AC112" s="90" t="str">
        <f>IFERROR(VLOOKUP(A112&amp;"aaaa",COPY!$S$2:$AA$1000,6,FALSE)," ")</f>
        <v xml:space="preserve"> </v>
      </c>
      <c r="AD112" s="90" t="str">
        <f>IFERROR(VLOOKUP(A112&amp;"aaaaa",COPY!$S$2:$AA$1000,6,FALSE)," ")</f>
        <v xml:space="preserve"> </v>
      </c>
      <c r="AE112" s="90" t="str">
        <f>IFERROR(VLOOKUP(A112&amp;"aaaaaa",COPY!$S$2:$AA$1000,6,FALSE)," ")</f>
        <v xml:space="preserve"> </v>
      </c>
      <c r="AF112" s="90" t="str">
        <f>IFERROR(VLOOKUP(A112&amp;"aaaaaaa",COPY!$S$2:$AA$1000,6,FALSE)," ")</f>
        <v xml:space="preserve"> </v>
      </c>
      <c r="AG112" s="90" t="str">
        <f>IFERROR(VLOOKUP(A112&amp;"aaaaaaaa",COPY!$S$2:$AA$1000,6,FALSE)," ")</f>
        <v xml:space="preserve"> </v>
      </c>
      <c r="AH112" s="90" t="str">
        <f>IFERROR(VLOOKUP(A112&amp;"aaaaaaaaa",COPY!$S$2:$AA$1000,6,FALSE)," ")</f>
        <v xml:space="preserve"> </v>
      </c>
      <c r="AI112" s="90" t="str">
        <f>IFERROR(VLOOKUP(A112&amp;"aaaaaaaaaa",COPY!$S$2:$AA$1000,6,FALSE)," ")</f>
        <v xml:space="preserve"> </v>
      </c>
      <c r="AJ112" s="90" t="str">
        <f>IFERROR(VLOOKUP(A112&amp;"aaaaaaaaaaa",COPY!$S$2:$AA$1000,6,FALSE)," ")</f>
        <v xml:space="preserve"> </v>
      </c>
      <c r="AK112" s="90" t="str">
        <f>IF(LEFT(B112,2)="mg",VLOOKUP(A112,COPY!$S$2:$AA$1000,7,FALSE),IF(LEFT(B112,1)="G"," ",IF(LEFT(B112,2)="ma"," "," ")))</f>
        <v xml:space="preserve"> </v>
      </c>
      <c r="AL112" s="90" t="str">
        <f>IFERROR(VLOOKUP(A112&amp;"a",COPY!$S$2:$AA$1000,7,FALSE)," ")</f>
        <v xml:space="preserve"> </v>
      </c>
      <c r="AM112" s="90" t="str">
        <f>IFERROR(VLOOKUP(A112&amp;"aa",COPY!$S$2:$AA$1000,7,FALSE)," ")</f>
        <v xml:space="preserve"> </v>
      </c>
      <c r="AN112" s="90" t="str">
        <f>IFERROR(VLOOKUP(A112&amp;"aaa",COPY!$S$2:$AA$1000,7,FALSE)," ")</f>
        <v xml:space="preserve"> </v>
      </c>
      <c r="AO112" s="90" t="str">
        <f>IFERROR(VLOOKUP(A112&amp;"aaaa",COPY!$S$2:$AA$1000,7,FALSE)," ")</f>
        <v xml:space="preserve"> </v>
      </c>
      <c r="AP112" s="90" t="str">
        <f>IFERROR(VLOOKUP(A112&amp;"aaaaa",COPY!$S$2:$AA$1000,7,FALSE)," ")</f>
        <v xml:space="preserve"> </v>
      </c>
      <c r="AQ112" s="90" t="str">
        <f>IFERROR(VLOOKUP(A112&amp;"aaaaaa",COPY!$S$2:$AA$1000,7,FALSE)," ")</f>
        <v xml:space="preserve"> </v>
      </c>
      <c r="AR112" s="90" t="str">
        <f>IFERROR(VLOOKUP(A112&amp;"aaaaaaa",COPY!$S$2:$AA$1000,7,FALSE)," ")</f>
        <v xml:space="preserve"> </v>
      </c>
      <c r="AS112" s="90" t="str">
        <f>IFERROR(VLOOKUP(A112&amp;"aaaaaaaa",COPY!$S$2:$AA$1000,7,FALSE)," ")</f>
        <v xml:space="preserve"> </v>
      </c>
      <c r="AT112" s="90" t="str">
        <f>IFERROR(VLOOKUP(A112&amp;"aaaaaaaaa",COPY!$S$2:$AA$1000,7,FALSE)," ")</f>
        <v xml:space="preserve"> </v>
      </c>
      <c r="AU112" s="90" t="str">
        <f>IFERROR(VLOOKUP(A112&amp;"aaaaaaaaaa",COPY!$S$2:$AA$1000,7,FALSE)," ")</f>
        <v xml:space="preserve"> </v>
      </c>
      <c r="AV112" s="90" t="str">
        <f>IFERROR(VLOOKUP(A112&amp;"aaaaaaaaaaa",COPY!$S$2:$AA$1000,7,FALSE)," ")</f>
        <v xml:space="preserve"> </v>
      </c>
    </row>
    <row r="113" spans="1:48" x14ac:dyDescent="0.2">
      <c r="A113" s="75" t="str">
        <f>'REKAP PAJAK'!W150</f>
        <v/>
      </c>
      <c r="B113" s="75" t="str">
        <f>IF(LEN(A113)&gt;1,VLOOKUP(A113,COPY!$O$2:$R$1000,4,FALSE),"")</f>
        <v/>
      </c>
      <c r="C113" s="75" t="str">
        <f t="shared" si="6"/>
        <v xml:space="preserve"> </v>
      </c>
      <c r="D113" s="75" t="str">
        <f t="shared" si="7"/>
        <v xml:space="preserve"> </v>
      </c>
      <c r="E113" s="75" t="str">
        <f t="shared" si="8"/>
        <v xml:space="preserve"> </v>
      </c>
      <c r="F113" s="75" t="str">
        <f t="shared" si="9"/>
        <v xml:space="preserve"> </v>
      </c>
      <c r="G113" s="75" t="str">
        <f>IFERROR(TEXT(VLOOKUP(A113,COPY!$S$2:$W$1000,3,FALSE),"dd-mmmm-yyyy")," ")</f>
        <v xml:space="preserve"> </v>
      </c>
      <c r="H113" s="75" t="str">
        <f t="shared" si="10"/>
        <v xml:space="preserve"> </v>
      </c>
      <c r="I113" s="75" t="str">
        <f t="shared" si="11"/>
        <v xml:space="preserve"> </v>
      </c>
      <c r="J113" s="90" t="str">
        <f>IFERROR(VLOOKUP(A113,COPY!$S$2:$W$1000,4,FALSE)," ")</f>
        <v xml:space="preserve"> </v>
      </c>
      <c r="K113" s="75" t="str">
        <f>IFERROR(VLOOKUP(A113,COPY!$S$2:$W$1000,5,FALSE)," ")</f>
        <v xml:space="preserve"> </v>
      </c>
      <c r="L113" s="75" t="str">
        <f>IF(B113="","",IF(LEFT(B113,2)="Ma",(VLOOKUP(B113,'Rekap Gaji'!$C$12:$D$26,2,FALSE))&amp;" Untuk "&amp;(PROPER('Rekap Gaji'!$B$2)),IF(LEFT(B113,2)="Mg","Pembelian Material Bahan Bangunan",IF(LEFT(B113,2)="Me","Biaya Pembelanjaan Menejemen",IF(LEFT(B113,1)="G",VLOOKUP(A113,COPY!$S$2:$AA$1000,2,FALSE)&amp;"( "&amp;TEXT(VLOOKUP(B113,'Rekap Gaji'!$A$12:$I$26,5,FALSE),"dd-mm-yyyy")&amp;" "&amp;TEXT(VLOOKUP(B113,'Rekap Gaji'!$A$12:$I$26,6,FALSE)&amp;" "&amp;TEXT(VLOOKUP(B113,'Rekap Gaji'!$A$12:$I$26,7,FALSE),"dd-mm-yyyy")&amp;" )"," "))))))</f>
        <v/>
      </c>
      <c r="M113" s="75" t="str">
        <f>IF(OR(LEFT(B113,2)="mg",LEFT(B113,2)="mE"),VLOOKUP(A113,COPY!$S$2:$AA$1000,2,FALSE),IF(LEFT(B113,1)="G"," ",IF(LEFT(B113,2)="ma"," "," ")))</f>
        <v xml:space="preserve"> </v>
      </c>
      <c r="N113" s="75" t="str">
        <f>IFERROR(VLOOKUP($A$113&amp;"a",COPY!$S$2:$AA$1000,2,FALSE)," ")</f>
        <v xml:space="preserve"> </v>
      </c>
      <c r="O113" s="75" t="str">
        <f>IFERROR(VLOOKUP($A$113&amp;"aa",COPY!$S$2:$AA$1000,2,FALSE)," ")</f>
        <v xml:space="preserve"> </v>
      </c>
      <c r="P113" s="75" t="str">
        <f>IFERROR(VLOOKUP($A$113&amp;"aaa",COPY!$S$2:$AA$1000,2,FALSE)," ")</f>
        <v xml:space="preserve"> </v>
      </c>
      <c r="Q113" s="75" t="str">
        <f>IFERROR(VLOOKUP($A$113&amp;"aaaa",COPY!$S$2:$AA$1000,2,FALSE)," ")</f>
        <v xml:space="preserve"> </v>
      </c>
      <c r="R113" s="75" t="str">
        <f>IFERROR(VLOOKUP($A$113&amp;"aaaaa",COPY!$S$2:$AA$1000,2,FALSE)," ")</f>
        <v xml:space="preserve"> </v>
      </c>
      <c r="S113" s="75" t="str">
        <f>IFERROR(VLOOKUP($A$113&amp;"aaaaaa",COPY!$S$2:$AA$1000,2,FALSE)," ")</f>
        <v xml:space="preserve"> </v>
      </c>
      <c r="T113" s="75" t="str">
        <f>IFERROR(VLOOKUP($A$113&amp;"aaaaaaa",COPY!$S$2:$AA$1000,2,FALSE)," ")</f>
        <v xml:space="preserve"> </v>
      </c>
      <c r="U113" s="75" t="str">
        <f>IFERROR(VLOOKUP($A$113&amp;"aaaaaaaa",COPY!$S$2:$AA$1000,2,FALSE)," ")</f>
        <v xml:space="preserve"> </v>
      </c>
      <c r="V113" s="75" t="str">
        <f>IFERROR(VLOOKUP($A$113&amp;"aaaaaaaaa",COPY!$S$2:$AA$1000,2,FALSE)," ")</f>
        <v xml:space="preserve"> </v>
      </c>
      <c r="W113" s="75" t="str">
        <f>IFERROR(VLOOKUP($A$113&amp;"aaaaaaaaaa",COPY!$S$2:$AA$1000,2,FALSE)," ")</f>
        <v xml:space="preserve"> </v>
      </c>
      <c r="X113" s="75" t="str">
        <f>IFERROR(VLOOKUP($A$113&amp;"aaaaaaaaaaa",COPY!$S$2:$AA$1000,2,FALSE)," ")</f>
        <v xml:space="preserve"> </v>
      </c>
      <c r="Y113" s="90" t="str">
        <f>IF(OR(LEFT(B113,2)="mg",LEFT(B113,2)="mE"),VLOOKUP(A113,COPY!$S$2:$AA$1000,6,FALSE),IF(LEFT(B113,1)="G"," ",IF(LEFT(B113,2)="ma"," "," ")))</f>
        <v xml:space="preserve"> </v>
      </c>
      <c r="Z113" s="90" t="str">
        <f>IFERROR(VLOOKUP(A113&amp;"a",COPY!$S$2:$AA$1000,6,FALSE)," ")</f>
        <v xml:space="preserve"> </v>
      </c>
      <c r="AA113" s="90" t="str">
        <f>IFERROR(VLOOKUP(A113&amp;"aa",COPY!$S$2:$AA$1000,6,FALSE)," ")</f>
        <v xml:space="preserve"> </v>
      </c>
      <c r="AB113" s="90" t="str">
        <f>IFERROR(VLOOKUP(A113&amp;"aaa",COPY!$S$2:$AA$1000,6,FALSE)," ")</f>
        <v xml:space="preserve"> </v>
      </c>
      <c r="AC113" s="90" t="str">
        <f>IFERROR(VLOOKUP(A113&amp;"aaaa",COPY!$S$2:$AA$1000,6,FALSE)," ")</f>
        <v xml:space="preserve"> </v>
      </c>
      <c r="AD113" s="90" t="str">
        <f>IFERROR(VLOOKUP(A113&amp;"aaaaa",COPY!$S$2:$AA$1000,6,FALSE)," ")</f>
        <v xml:space="preserve"> </v>
      </c>
      <c r="AE113" s="90" t="str">
        <f>IFERROR(VLOOKUP(A113&amp;"aaaaaa",COPY!$S$2:$AA$1000,6,FALSE)," ")</f>
        <v xml:space="preserve"> </v>
      </c>
      <c r="AF113" s="90" t="str">
        <f>IFERROR(VLOOKUP(A113&amp;"aaaaaaa",COPY!$S$2:$AA$1000,6,FALSE)," ")</f>
        <v xml:space="preserve"> </v>
      </c>
      <c r="AG113" s="90" t="str">
        <f>IFERROR(VLOOKUP(A113&amp;"aaaaaaaa",COPY!$S$2:$AA$1000,6,FALSE)," ")</f>
        <v xml:space="preserve"> </v>
      </c>
      <c r="AH113" s="90" t="str">
        <f>IFERROR(VLOOKUP(A113&amp;"aaaaaaaaa",COPY!$S$2:$AA$1000,6,FALSE)," ")</f>
        <v xml:space="preserve"> </v>
      </c>
      <c r="AI113" s="90" t="str">
        <f>IFERROR(VLOOKUP(A113&amp;"aaaaaaaaaa",COPY!$S$2:$AA$1000,6,FALSE)," ")</f>
        <v xml:space="preserve"> </v>
      </c>
      <c r="AJ113" s="90" t="str">
        <f>IFERROR(VLOOKUP(A113&amp;"aaaaaaaaaaa",COPY!$S$2:$AA$1000,6,FALSE)," ")</f>
        <v xml:space="preserve"> </v>
      </c>
      <c r="AK113" s="90" t="str">
        <f>IF(LEFT(B113,2)="mg",VLOOKUP(A113,COPY!$S$2:$AA$1000,7,FALSE),IF(LEFT(B113,1)="G"," ",IF(LEFT(B113,2)="ma"," "," ")))</f>
        <v xml:space="preserve"> </v>
      </c>
      <c r="AL113" s="90" t="str">
        <f>IFERROR(VLOOKUP(A113&amp;"a",COPY!$S$2:$AA$1000,7,FALSE)," ")</f>
        <v xml:space="preserve"> </v>
      </c>
      <c r="AM113" s="90" t="str">
        <f>IFERROR(VLOOKUP(A113&amp;"aa",COPY!$S$2:$AA$1000,7,FALSE)," ")</f>
        <v xml:space="preserve"> </v>
      </c>
      <c r="AN113" s="90" t="str">
        <f>IFERROR(VLOOKUP(A113&amp;"aaa",COPY!$S$2:$AA$1000,7,FALSE)," ")</f>
        <v xml:space="preserve"> </v>
      </c>
      <c r="AO113" s="90" t="str">
        <f>IFERROR(VLOOKUP(A113&amp;"aaaa",COPY!$S$2:$AA$1000,7,FALSE)," ")</f>
        <v xml:space="preserve"> </v>
      </c>
      <c r="AP113" s="90" t="str">
        <f>IFERROR(VLOOKUP(A113&amp;"aaaaa",COPY!$S$2:$AA$1000,7,FALSE)," ")</f>
        <v xml:space="preserve"> </v>
      </c>
      <c r="AQ113" s="90" t="str">
        <f>IFERROR(VLOOKUP(A113&amp;"aaaaaa",COPY!$S$2:$AA$1000,7,FALSE)," ")</f>
        <v xml:space="preserve"> </v>
      </c>
      <c r="AR113" s="90" t="str">
        <f>IFERROR(VLOOKUP(A113&amp;"aaaaaaa",COPY!$S$2:$AA$1000,7,FALSE)," ")</f>
        <v xml:space="preserve"> </v>
      </c>
      <c r="AS113" s="90" t="str">
        <f>IFERROR(VLOOKUP(A113&amp;"aaaaaaaa",COPY!$S$2:$AA$1000,7,FALSE)," ")</f>
        <v xml:space="preserve"> </v>
      </c>
      <c r="AT113" s="90" t="str">
        <f>IFERROR(VLOOKUP(A113&amp;"aaaaaaaaa",COPY!$S$2:$AA$1000,7,FALSE)," ")</f>
        <v xml:space="preserve"> </v>
      </c>
      <c r="AU113" s="90" t="str">
        <f>IFERROR(VLOOKUP(A113&amp;"aaaaaaaaaa",COPY!$S$2:$AA$1000,7,FALSE)," ")</f>
        <v xml:space="preserve"> </v>
      </c>
      <c r="AV113" s="90" t="str">
        <f>IFERROR(VLOOKUP(A113&amp;"aaaaaaaaaaa",COPY!$S$2:$AA$1000,7,FALSE)," ")</f>
        <v xml:space="preserve"> </v>
      </c>
    </row>
    <row r="114" spans="1:48" x14ac:dyDescent="0.2">
      <c r="A114" s="75" t="str">
        <f>'REKAP PAJAK'!W151</f>
        <v/>
      </c>
      <c r="B114" s="75" t="str">
        <f>IF(LEN(A114)&gt;1,VLOOKUP(A114,COPY!$O$2:$R$1000,4,FALSE),"")</f>
        <v/>
      </c>
      <c r="C114" s="75" t="str">
        <f t="shared" si="6"/>
        <v xml:space="preserve"> </v>
      </c>
      <c r="D114" s="75" t="str">
        <f t="shared" si="7"/>
        <v xml:space="preserve"> </v>
      </c>
      <c r="E114" s="75" t="str">
        <f t="shared" si="8"/>
        <v xml:space="preserve"> </v>
      </c>
      <c r="F114" s="75" t="str">
        <f t="shared" si="9"/>
        <v xml:space="preserve"> </v>
      </c>
      <c r="G114" s="75" t="str">
        <f>IFERROR(TEXT(VLOOKUP(A114,COPY!$S$2:$W$1000,3,FALSE),"dd-mmmm-yyyy")," ")</f>
        <v xml:space="preserve"> </v>
      </c>
      <c r="H114" s="75" t="str">
        <f t="shared" si="10"/>
        <v xml:space="preserve"> </v>
      </c>
      <c r="I114" s="75" t="str">
        <f t="shared" si="11"/>
        <v xml:space="preserve"> </v>
      </c>
      <c r="J114" s="90" t="str">
        <f>IFERROR(VLOOKUP(A114,COPY!$S$2:$W$1000,4,FALSE)," ")</f>
        <v xml:space="preserve"> </v>
      </c>
      <c r="K114" s="75" t="str">
        <f>IFERROR(VLOOKUP(A114,COPY!$S$2:$W$1000,5,FALSE)," ")</f>
        <v xml:space="preserve"> </v>
      </c>
      <c r="L114" s="75" t="str">
        <f>IF(B114="","",IF(LEFT(B114,2)="Ma",(VLOOKUP(B114,'Rekap Gaji'!$C$12:$D$26,2,FALSE))&amp;" Untuk "&amp;(PROPER('Rekap Gaji'!$B$2)),IF(LEFT(B114,2)="Mg","Pembelian Material Bahan Bangunan",IF(LEFT(B114,2)="Me","Biaya Pembelanjaan Menejemen",IF(LEFT(B114,1)="G",VLOOKUP(A114,COPY!$S$2:$AA$1000,2,FALSE)&amp;"( "&amp;TEXT(VLOOKUP(B114,'Rekap Gaji'!$A$12:$I$26,5,FALSE),"dd-mm-yyyy")&amp;" "&amp;TEXT(VLOOKUP(B114,'Rekap Gaji'!$A$12:$I$26,6,FALSE)&amp;" "&amp;TEXT(VLOOKUP(B114,'Rekap Gaji'!$A$12:$I$26,7,FALSE),"dd-mm-yyyy")&amp;" )"," "))))))</f>
        <v/>
      </c>
      <c r="M114" s="75" t="str">
        <f>IF(OR(LEFT(B114,2)="mg",LEFT(B114,2)="mE"),VLOOKUP(A114,COPY!$S$2:$AA$1000,2,FALSE),IF(LEFT(B114,1)="G"," ",IF(LEFT(B114,2)="ma"," "," ")))</f>
        <v xml:space="preserve"> </v>
      </c>
      <c r="N114" s="75" t="str">
        <f>IFERROR(VLOOKUP($A$114&amp;"a",COPY!$S$2:$AA$1000,2,FALSE)," ")</f>
        <v xml:space="preserve"> </v>
      </c>
      <c r="O114" s="75" t="str">
        <f>IFERROR(VLOOKUP($A$114&amp;"aa",COPY!$S$2:$AA$1000,2,FALSE)," ")</f>
        <v xml:space="preserve"> </v>
      </c>
      <c r="P114" s="75" t="str">
        <f>IFERROR(VLOOKUP($A$114&amp;"aaa",COPY!$S$2:$AA$1000,2,FALSE)," ")</f>
        <v xml:space="preserve"> </v>
      </c>
      <c r="Q114" s="75" t="str">
        <f>IFERROR(VLOOKUP($A$114&amp;"aaaa",COPY!$S$2:$AA$1000,2,FALSE)," ")</f>
        <v xml:space="preserve"> </v>
      </c>
      <c r="R114" s="75" t="str">
        <f>IFERROR(VLOOKUP($A$114&amp;"aaaaa",COPY!$S$2:$AA$1000,2,FALSE)," ")</f>
        <v xml:space="preserve"> </v>
      </c>
      <c r="S114" s="75" t="str">
        <f>IFERROR(VLOOKUP($A$114&amp;"aaaaaa",COPY!$S$2:$AA$1000,2,FALSE)," ")</f>
        <v xml:space="preserve"> </v>
      </c>
      <c r="T114" s="75" t="str">
        <f>IFERROR(VLOOKUP($A$114&amp;"aaaaaaa",COPY!$S$2:$AA$1000,2,FALSE)," ")</f>
        <v xml:space="preserve"> </v>
      </c>
      <c r="U114" s="75" t="str">
        <f>IFERROR(VLOOKUP($A$114&amp;"aaaaaaaa",COPY!$S$2:$AA$1000,2,FALSE)," ")</f>
        <v xml:space="preserve"> </v>
      </c>
      <c r="V114" s="75" t="str">
        <f>IFERROR(VLOOKUP($A$114&amp;"aaaaaaaaa",COPY!$S$2:$AA$1000,2,FALSE)," ")</f>
        <v xml:space="preserve"> </v>
      </c>
      <c r="W114" s="75" t="str">
        <f>IFERROR(VLOOKUP($A$114&amp;"aaaaaaaaaa",COPY!$S$2:$AA$1000,2,FALSE)," ")</f>
        <v xml:space="preserve"> </v>
      </c>
      <c r="X114" s="75" t="str">
        <f>IFERROR(VLOOKUP($A$114&amp;"aaaaaaaaaaa",COPY!$S$2:$AA$1000,2,FALSE)," ")</f>
        <v xml:space="preserve"> </v>
      </c>
      <c r="Y114" s="90" t="str">
        <f>IF(OR(LEFT(B114,2)="mg",LEFT(B114,2)="mE"),VLOOKUP(A114,COPY!$S$2:$AA$1000,6,FALSE),IF(LEFT(B114,1)="G"," ",IF(LEFT(B114,2)="ma"," "," ")))</f>
        <v xml:space="preserve"> </v>
      </c>
      <c r="Z114" s="90" t="str">
        <f>IFERROR(VLOOKUP(A114&amp;"a",COPY!$S$2:$AA$1000,6,FALSE)," ")</f>
        <v xml:space="preserve"> </v>
      </c>
      <c r="AA114" s="90" t="str">
        <f>IFERROR(VLOOKUP(A114&amp;"aa",COPY!$S$2:$AA$1000,6,FALSE)," ")</f>
        <v xml:space="preserve"> </v>
      </c>
      <c r="AB114" s="90" t="str">
        <f>IFERROR(VLOOKUP(A114&amp;"aaa",COPY!$S$2:$AA$1000,6,FALSE)," ")</f>
        <v xml:space="preserve"> </v>
      </c>
      <c r="AC114" s="90" t="str">
        <f>IFERROR(VLOOKUP(A114&amp;"aaaa",COPY!$S$2:$AA$1000,6,FALSE)," ")</f>
        <v xml:space="preserve"> </v>
      </c>
      <c r="AD114" s="90" t="str">
        <f>IFERROR(VLOOKUP(A114&amp;"aaaaa",COPY!$S$2:$AA$1000,6,FALSE)," ")</f>
        <v xml:space="preserve"> </v>
      </c>
      <c r="AE114" s="90" t="str">
        <f>IFERROR(VLOOKUP(A114&amp;"aaaaaa",COPY!$S$2:$AA$1000,6,FALSE)," ")</f>
        <v xml:space="preserve"> </v>
      </c>
      <c r="AF114" s="90" t="str">
        <f>IFERROR(VLOOKUP(A114&amp;"aaaaaaa",COPY!$S$2:$AA$1000,6,FALSE)," ")</f>
        <v xml:space="preserve"> </v>
      </c>
      <c r="AG114" s="90" t="str">
        <f>IFERROR(VLOOKUP(A114&amp;"aaaaaaaa",COPY!$S$2:$AA$1000,6,FALSE)," ")</f>
        <v xml:space="preserve"> </v>
      </c>
      <c r="AH114" s="90" t="str">
        <f>IFERROR(VLOOKUP(A114&amp;"aaaaaaaaa",COPY!$S$2:$AA$1000,6,FALSE)," ")</f>
        <v xml:space="preserve"> </v>
      </c>
      <c r="AI114" s="90" t="str">
        <f>IFERROR(VLOOKUP(A114&amp;"aaaaaaaaaa",COPY!$S$2:$AA$1000,6,FALSE)," ")</f>
        <v xml:space="preserve"> </v>
      </c>
      <c r="AJ114" s="90" t="str">
        <f>IFERROR(VLOOKUP(A114&amp;"aaaaaaaaaaa",COPY!$S$2:$AA$1000,6,FALSE)," ")</f>
        <v xml:space="preserve"> </v>
      </c>
      <c r="AK114" s="90" t="str">
        <f>IF(LEFT(B114,2)="mg",VLOOKUP(A114,COPY!$S$2:$AA$1000,7,FALSE),IF(LEFT(B114,1)="G"," ",IF(LEFT(B114,2)="ma"," "," ")))</f>
        <v xml:space="preserve"> </v>
      </c>
      <c r="AL114" s="90" t="str">
        <f>IFERROR(VLOOKUP(A114&amp;"a",COPY!$S$2:$AA$1000,7,FALSE)," ")</f>
        <v xml:space="preserve"> </v>
      </c>
      <c r="AM114" s="90" t="str">
        <f>IFERROR(VLOOKUP(A114&amp;"aa",COPY!$S$2:$AA$1000,7,FALSE)," ")</f>
        <v xml:space="preserve"> </v>
      </c>
      <c r="AN114" s="90" t="str">
        <f>IFERROR(VLOOKUP(A114&amp;"aaa",COPY!$S$2:$AA$1000,7,FALSE)," ")</f>
        <v xml:space="preserve"> </v>
      </c>
      <c r="AO114" s="90" t="str">
        <f>IFERROR(VLOOKUP(A114&amp;"aaaa",COPY!$S$2:$AA$1000,7,FALSE)," ")</f>
        <v xml:space="preserve"> </v>
      </c>
      <c r="AP114" s="90" t="str">
        <f>IFERROR(VLOOKUP(A114&amp;"aaaaa",COPY!$S$2:$AA$1000,7,FALSE)," ")</f>
        <v xml:space="preserve"> </v>
      </c>
      <c r="AQ114" s="90" t="str">
        <f>IFERROR(VLOOKUP(A114&amp;"aaaaaa",COPY!$S$2:$AA$1000,7,FALSE)," ")</f>
        <v xml:space="preserve"> </v>
      </c>
      <c r="AR114" s="90" t="str">
        <f>IFERROR(VLOOKUP(A114&amp;"aaaaaaa",COPY!$S$2:$AA$1000,7,FALSE)," ")</f>
        <v xml:space="preserve"> </v>
      </c>
      <c r="AS114" s="90" t="str">
        <f>IFERROR(VLOOKUP(A114&amp;"aaaaaaaa",COPY!$S$2:$AA$1000,7,FALSE)," ")</f>
        <v xml:space="preserve"> </v>
      </c>
      <c r="AT114" s="90" t="str">
        <f>IFERROR(VLOOKUP(A114&amp;"aaaaaaaaa",COPY!$S$2:$AA$1000,7,FALSE)," ")</f>
        <v xml:space="preserve"> </v>
      </c>
      <c r="AU114" s="90" t="str">
        <f>IFERROR(VLOOKUP(A114&amp;"aaaaaaaaaa",COPY!$S$2:$AA$1000,7,FALSE)," ")</f>
        <v xml:space="preserve"> </v>
      </c>
      <c r="AV114" s="90" t="str">
        <f>IFERROR(VLOOKUP(A114&amp;"aaaaaaaaaaa",COPY!$S$2:$AA$1000,7,FALSE)," ")</f>
        <v xml:space="preserve"> </v>
      </c>
    </row>
    <row r="115" spans="1:48" x14ac:dyDescent="0.2">
      <c r="A115" s="75" t="str">
        <f>'REKAP PAJAK'!W152</f>
        <v/>
      </c>
      <c r="B115" s="75" t="str">
        <f>IF(LEN(A115)&gt;1,VLOOKUP(A115,COPY!$O$2:$R$1000,4,FALSE),"")</f>
        <v/>
      </c>
      <c r="C115" s="75" t="str">
        <f t="shared" si="6"/>
        <v xml:space="preserve"> </v>
      </c>
      <c r="D115" s="75" t="str">
        <f t="shared" si="7"/>
        <v xml:space="preserve"> </v>
      </c>
      <c r="E115" s="75" t="str">
        <f t="shared" si="8"/>
        <v xml:space="preserve"> </v>
      </c>
      <c r="F115" s="75" t="str">
        <f t="shared" si="9"/>
        <v xml:space="preserve"> </v>
      </c>
      <c r="G115" s="75" t="str">
        <f>IFERROR(TEXT(VLOOKUP(A115,COPY!$S$2:$W$1000,3,FALSE),"dd-mmmm-yyyy")," ")</f>
        <v xml:space="preserve"> </v>
      </c>
      <c r="H115" s="75" t="str">
        <f t="shared" si="10"/>
        <v xml:space="preserve"> </v>
      </c>
      <c r="I115" s="75" t="str">
        <f t="shared" si="11"/>
        <v xml:space="preserve"> </v>
      </c>
      <c r="J115" s="90" t="str">
        <f>IFERROR(VLOOKUP(A115,COPY!$S$2:$W$1000,4,FALSE)," ")</f>
        <v xml:space="preserve"> </v>
      </c>
      <c r="K115" s="75" t="str">
        <f>IFERROR(VLOOKUP(A115,COPY!$S$2:$W$1000,5,FALSE)," ")</f>
        <v xml:space="preserve"> </v>
      </c>
      <c r="L115" s="75" t="str">
        <f>IF(B115="","",IF(LEFT(B115,2)="Ma",(VLOOKUP(B115,'Rekap Gaji'!$C$12:$D$26,2,FALSE))&amp;" Untuk "&amp;(PROPER('Rekap Gaji'!$B$2)),IF(LEFT(B115,2)="Mg","Pembelian Material Bahan Bangunan",IF(LEFT(B115,2)="Me","Biaya Pembelanjaan Menejemen",IF(LEFT(B115,1)="G",VLOOKUP(A115,COPY!$S$2:$AA$1000,2,FALSE)&amp;"( "&amp;TEXT(VLOOKUP(B115,'Rekap Gaji'!$A$12:$I$26,5,FALSE),"dd-mm-yyyy")&amp;" "&amp;TEXT(VLOOKUP(B115,'Rekap Gaji'!$A$12:$I$26,6,FALSE)&amp;" "&amp;TEXT(VLOOKUP(B115,'Rekap Gaji'!$A$12:$I$26,7,FALSE),"dd-mm-yyyy")&amp;" )"," "))))))</f>
        <v/>
      </c>
      <c r="M115" s="75" t="str">
        <f>IF(OR(LEFT(B115,2)="mg",LEFT(B115,2)="mE"),VLOOKUP(A115,COPY!$S$2:$AA$1000,2,FALSE),IF(LEFT(B115,1)="G"," ",IF(LEFT(B115,2)="ma"," "," ")))</f>
        <v xml:space="preserve"> </v>
      </c>
      <c r="N115" s="75" t="str">
        <f>IFERROR(VLOOKUP($A$115&amp;"a",COPY!$S$2:$AA$1000,2,FALSE)," ")</f>
        <v xml:space="preserve"> </v>
      </c>
      <c r="O115" s="75" t="str">
        <f>IFERROR(VLOOKUP($A$115&amp;"aa",COPY!$S$2:$AA$1000,2,FALSE)," ")</f>
        <v xml:space="preserve"> </v>
      </c>
      <c r="P115" s="75" t="str">
        <f>IFERROR(VLOOKUP($A$115&amp;"aaa",COPY!$S$2:$AA$1000,2,FALSE)," ")</f>
        <v xml:space="preserve"> </v>
      </c>
      <c r="Q115" s="75" t="str">
        <f>IFERROR(VLOOKUP($A$115&amp;"aaaa",COPY!$S$2:$AA$1000,2,FALSE)," ")</f>
        <v xml:space="preserve"> </v>
      </c>
      <c r="R115" s="75" t="str">
        <f>IFERROR(VLOOKUP($A$115&amp;"aaaaa",COPY!$S$2:$AA$1000,2,FALSE)," ")</f>
        <v xml:space="preserve"> </v>
      </c>
      <c r="S115" s="75" t="str">
        <f>IFERROR(VLOOKUP($A$115&amp;"aaaaaa",COPY!$S$2:$AA$1000,2,FALSE)," ")</f>
        <v xml:space="preserve"> </v>
      </c>
      <c r="T115" s="75" t="str">
        <f>IFERROR(VLOOKUP($A$115&amp;"aaaaaaa",COPY!$S$2:$AA$1000,2,FALSE)," ")</f>
        <v xml:space="preserve"> </v>
      </c>
      <c r="U115" s="75" t="str">
        <f>IFERROR(VLOOKUP($A$115&amp;"aaaaaaaa",COPY!$S$2:$AA$1000,2,FALSE)," ")</f>
        <v xml:space="preserve"> </v>
      </c>
      <c r="V115" s="75" t="str">
        <f>IFERROR(VLOOKUP($A$115&amp;"aaaaaaaaa",COPY!$S$2:$AA$1000,2,FALSE)," ")</f>
        <v xml:space="preserve"> </v>
      </c>
      <c r="W115" s="75" t="str">
        <f>IFERROR(VLOOKUP($A$115&amp;"aaaaaaaaaa",COPY!$S$2:$AA$1000,2,FALSE)," ")</f>
        <v xml:space="preserve"> </v>
      </c>
      <c r="X115" s="75" t="str">
        <f>IFERROR(VLOOKUP($A$115&amp;"aaaaaaaaaaa",COPY!$S$2:$AA$1000,2,FALSE)," ")</f>
        <v xml:space="preserve"> </v>
      </c>
      <c r="Y115" s="90" t="str">
        <f>IF(OR(LEFT(B115,2)="mg",LEFT(B115,2)="mE"),VLOOKUP(A115,COPY!$S$2:$AA$1000,6,FALSE),IF(LEFT(B115,1)="G"," ",IF(LEFT(B115,2)="ma"," "," ")))</f>
        <v xml:space="preserve"> </v>
      </c>
      <c r="Z115" s="90" t="str">
        <f>IFERROR(VLOOKUP(A115&amp;"a",COPY!$S$2:$AA$1000,6,FALSE)," ")</f>
        <v xml:space="preserve"> </v>
      </c>
      <c r="AA115" s="90" t="str">
        <f>IFERROR(VLOOKUP(A115&amp;"aa",COPY!$S$2:$AA$1000,6,FALSE)," ")</f>
        <v xml:space="preserve"> </v>
      </c>
      <c r="AB115" s="90" t="str">
        <f>IFERROR(VLOOKUP(A115&amp;"aaa",COPY!$S$2:$AA$1000,6,FALSE)," ")</f>
        <v xml:space="preserve"> </v>
      </c>
      <c r="AC115" s="90" t="str">
        <f>IFERROR(VLOOKUP(A115&amp;"aaaa",COPY!$S$2:$AA$1000,6,FALSE)," ")</f>
        <v xml:space="preserve"> </v>
      </c>
      <c r="AD115" s="90" t="str">
        <f>IFERROR(VLOOKUP(A115&amp;"aaaaa",COPY!$S$2:$AA$1000,6,FALSE)," ")</f>
        <v xml:space="preserve"> </v>
      </c>
      <c r="AE115" s="90" t="str">
        <f>IFERROR(VLOOKUP(A115&amp;"aaaaaa",COPY!$S$2:$AA$1000,6,FALSE)," ")</f>
        <v xml:space="preserve"> </v>
      </c>
      <c r="AF115" s="90" t="str">
        <f>IFERROR(VLOOKUP(A115&amp;"aaaaaaa",COPY!$S$2:$AA$1000,6,FALSE)," ")</f>
        <v xml:space="preserve"> </v>
      </c>
      <c r="AG115" s="90" t="str">
        <f>IFERROR(VLOOKUP(A115&amp;"aaaaaaaa",COPY!$S$2:$AA$1000,6,FALSE)," ")</f>
        <v xml:space="preserve"> </v>
      </c>
      <c r="AH115" s="90" t="str">
        <f>IFERROR(VLOOKUP(A115&amp;"aaaaaaaaa",COPY!$S$2:$AA$1000,6,FALSE)," ")</f>
        <v xml:space="preserve"> </v>
      </c>
      <c r="AI115" s="90" t="str">
        <f>IFERROR(VLOOKUP(A115&amp;"aaaaaaaaaa",COPY!$S$2:$AA$1000,6,FALSE)," ")</f>
        <v xml:space="preserve"> </v>
      </c>
      <c r="AJ115" s="90" t="str">
        <f>IFERROR(VLOOKUP(A115&amp;"aaaaaaaaaaa",COPY!$S$2:$AA$1000,6,FALSE)," ")</f>
        <v xml:space="preserve"> </v>
      </c>
      <c r="AK115" s="90" t="str">
        <f>IF(LEFT(B115,2)="mg",VLOOKUP(A115,COPY!$S$2:$AA$1000,7,FALSE),IF(LEFT(B115,1)="G"," ",IF(LEFT(B115,2)="ma"," "," ")))</f>
        <v xml:space="preserve"> </v>
      </c>
      <c r="AL115" s="90" t="str">
        <f>IFERROR(VLOOKUP(A115&amp;"a",COPY!$S$2:$AA$1000,7,FALSE)," ")</f>
        <v xml:space="preserve"> </v>
      </c>
      <c r="AM115" s="90" t="str">
        <f>IFERROR(VLOOKUP(A115&amp;"aa",COPY!$S$2:$AA$1000,7,FALSE)," ")</f>
        <v xml:space="preserve"> </v>
      </c>
      <c r="AN115" s="90" t="str">
        <f>IFERROR(VLOOKUP(A115&amp;"aaa",COPY!$S$2:$AA$1000,7,FALSE)," ")</f>
        <v xml:space="preserve"> </v>
      </c>
      <c r="AO115" s="90" t="str">
        <f>IFERROR(VLOOKUP(A115&amp;"aaaa",COPY!$S$2:$AA$1000,7,FALSE)," ")</f>
        <v xml:space="preserve"> </v>
      </c>
      <c r="AP115" s="90" t="str">
        <f>IFERROR(VLOOKUP(A115&amp;"aaaaa",COPY!$S$2:$AA$1000,7,FALSE)," ")</f>
        <v xml:space="preserve"> </v>
      </c>
      <c r="AQ115" s="90" t="str">
        <f>IFERROR(VLOOKUP(A115&amp;"aaaaaa",COPY!$S$2:$AA$1000,7,FALSE)," ")</f>
        <v xml:space="preserve"> </v>
      </c>
      <c r="AR115" s="90" t="str">
        <f>IFERROR(VLOOKUP(A115&amp;"aaaaaaa",COPY!$S$2:$AA$1000,7,FALSE)," ")</f>
        <v xml:space="preserve"> </v>
      </c>
      <c r="AS115" s="90" t="str">
        <f>IFERROR(VLOOKUP(A115&amp;"aaaaaaaa",COPY!$S$2:$AA$1000,7,FALSE)," ")</f>
        <v xml:space="preserve"> </v>
      </c>
      <c r="AT115" s="90" t="str">
        <f>IFERROR(VLOOKUP(A115&amp;"aaaaaaaaa",COPY!$S$2:$AA$1000,7,FALSE)," ")</f>
        <v xml:space="preserve"> </v>
      </c>
      <c r="AU115" s="90" t="str">
        <f>IFERROR(VLOOKUP(A115&amp;"aaaaaaaaaa",COPY!$S$2:$AA$1000,7,FALSE)," ")</f>
        <v xml:space="preserve"> </v>
      </c>
      <c r="AV115" s="90" t="str">
        <f>IFERROR(VLOOKUP(A115&amp;"aaaaaaaaaaa",COPY!$S$2:$AA$1000,7,FALSE)," ")</f>
        <v xml:space="preserve"> </v>
      </c>
    </row>
    <row r="116" spans="1:48" x14ac:dyDescent="0.2">
      <c r="A116" s="75" t="str">
        <f>'REKAP PAJAK'!W153</f>
        <v/>
      </c>
      <c r="B116" s="75" t="str">
        <f>IF(LEN(A116)&gt;1,VLOOKUP(A116,COPY!$O$2:$R$1000,4,FALSE),"")</f>
        <v/>
      </c>
      <c r="C116" s="75" t="str">
        <f t="shared" si="6"/>
        <v xml:space="preserve"> </v>
      </c>
      <c r="D116" s="75" t="str">
        <f t="shared" si="7"/>
        <v xml:space="preserve"> </v>
      </c>
      <c r="E116" s="75" t="str">
        <f t="shared" si="8"/>
        <v xml:space="preserve"> </v>
      </c>
      <c r="F116" s="75" t="str">
        <f t="shared" si="9"/>
        <v xml:space="preserve"> </v>
      </c>
      <c r="G116" s="75" t="str">
        <f>IFERROR(TEXT(VLOOKUP(A116,COPY!$S$2:$W$1000,3,FALSE),"dd-mmmm-yyyy")," ")</f>
        <v xml:space="preserve"> </v>
      </c>
      <c r="H116" s="75" t="str">
        <f t="shared" si="10"/>
        <v xml:space="preserve"> </v>
      </c>
      <c r="I116" s="75" t="str">
        <f t="shared" si="11"/>
        <v xml:space="preserve"> </v>
      </c>
      <c r="J116" s="90" t="str">
        <f>IFERROR(VLOOKUP(A116,COPY!$S$2:$W$1000,4,FALSE)," ")</f>
        <v xml:space="preserve"> </v>
      </c>
      <c r="K116" s="75" t="str">
        <f>IFERROR(VLOOKUP(A116,COPY!$S$2:$W$1000,5,FALSE)," ")</f>
        <v xml:space="preserve"> </v>
      </c>
      <c r="L116" s="75" t="str">
        <f>IF(B116="","",IF(LEFT(B116,2)="Ma",(VLOOKUP(B116,'Rekap Gaji'!$C$12:$D$26,2,FALSE))&amp;" Untuk "&amp;(PROPER('Rekap Gaji'!$B$2)),IF(LEFT(B116,2)="Mg","Pembelian Material Bahan Bangunan",IF(LEFT(B116,2)="Me","Biaya Pembelanjaan Menejemen",IF(LEFT(B116,1)="G",VLOOKUP(A116,COPY!$S$2:$AA$1000,2,FALSE)&amp;"( "&amp;TEXT(VLOOKUP(B116,'Rekap Gaji'!$A$12:$I$26,5,FALSE),"dd-mm-yyyy")&amp;" "&amp;TEXT(VLOOKUP(B116,'Rekap Gaji'!$A$12:$I$26,6,FALSE)&amp;" "&amp;TEXT(VLOOKUP(B116,'Rekap Gaji'!$A$12:$I$26,7,FALSE),"dd-mm-yyyy")&amp;" )"," "))))))</f>
        <v/>
      </c>
      <c r="M116" s="75" t="str">
        <f>IF(OR(LEFT(B116,2)="mg",LEFT(B116,2)="mE"),VLOOKUP(A116,COPY!$S$2:$AA$1000,2,FALSE),IF(LEFT(B116,1)="G"," ",IF(LEFT(B116,2)="ma"," "," ")))</f>
        <v xml:space="preserve"> </v>
      </c>
      <c r="N116" s="75" t="str">
        <f>IFERROR(VLOOKUP($A$116&amp;"a",COPY!$S$2:$AA$1000,2,FALSE)," ")</f>
        <v xml:space="preserve"> </v>
      </c>
      <c r="O116" s="75" t="str">
        <f>IFERROR(VLOOKUP($A$116&amp;"aa",COPY!$S$2:$AA$1000,2,FALSE)," ")</f>
        <v xml:space="preserve"> </v>
      </c>
      <c r="P116" s="75" t="str">
        <f>IFERROR(VLOOKUP($A$116&amp;"aaa",COPY!$S$2:$AA$1000,2,FALSE)," ")</f>
        <v xml:space="preserve"> </v>
      </c>
      <c r="Q116" s="75" t="str">
        <f>IFERROR(VLOOKUP($A$116&amp;"aaaa",COPY!$S$2:$AA$1000,2,FALSE)," ")</f>
        <v xml:space="preserve"> </v>
      </c>
      <c r="R116" s="75" t="str">
        <f>IFERROR(VLOOKUP($A$116&amp;"aaaaa",COPY!$S$2:$AA$1000,2,FALSE)," ")</f>
        <v xml:space="preserve"> </v>
      </c>
      <c r="S116" s="75" t="str">
        <f>IFERROR(VLOOKUP($A$116&amp;"aaaaaa",COPY!$S$2:$AA$1000,2,FALSE)," ")</f>
        <v xml:space="preserve"> </v>
      </c>
      <c r="T116" s="75" t="str">
        <f>IFERROR(VLOOKUP($A$116&amp;"aaaaaaa",COPY!$S$2:$AA$1000,2,FALSE)," ")</f>
        <v xml:space="preserve"> </v>
      </c>
      <c r="U116" s="75" t="str">
        <f>IFERROR(VLOOKUP($A$116&amp;"aaaaaaaa",COPY!$S$2:$AA$1000,2,FALSE)," ")</f>
        <v xml:space="preserve"> </v>
      </c>
      <c r="V116" s="75" t="str">
        <f>IFERROR(VLOOKUP($A$116&amp;"aaaaaaaaa",COPY!$S$2:$AA$1000,2,FALSE)," ")</f>
        <v xml:space="preserve"> </v>
      </c>
      <c r="W116" s="75" t="str">
        <f>IFERROR(VLOOKUP($A$116&amp;"aaaaaaaaaa",COPY!$S$2:$AA$1000,2,FALSE)," ")</f>
        <v xml:space="preserve"> </v>
      </c>
      <c r="X116" s="75" t="str">
        <f>IFERROR(VLOOKUP($A$116&amp;"aaaaaaaaaaa",COPY!$S$2:$AA$1000,2,FALSE)," ")</f>
        <v xml:space="preserve"> </v>
      </c>
      <c r="Y116" s="90" t="str">
        <f>IF(OR(LEFT(B116,2)="mg",LEFT(B116,2)="mE"),VLOOKUP(A116,COPY!$S$2:$AA$1000,6,FALSE),IF(LEFT(B116,1)="G"," ",IF(LEFT(B116,2)="ma"," "," ")))</f>
        <v xml:space="preserve"> </v>
      </c>
      <c r="Z116" s="90" t="str">
        <f>IFERROR(VLOOKUP(A116&amp;"a",COPY!$S$2:$AA$1000,6,FALSE)," ")</f>
        <v xml:space="preserve"> </v>
      </c>
      <c r="AA116" s="90" t="str">
        <f>IFERROR(VLOOKUP(A116&amp;"aa",COPY!$S$2:$AA$1000,6,FALSE)," ")</f>
        <v xml:space="preserve"> </v>
      </c>
      <c r="AB116" s="90" t="str">
        <f>IFERROR(VLOOKUP(A116&amp;"aaa",COPY!$S$2:$AA$1000,6,FALSE)," ")</f>
        <v xml:space="preserve"> </v>
      </c>
      <c r="AC116" s="90" t="str">
        <f>IFERROR(VLOOKUP(A116&amp;"aaaa",COPY!$S$2:$AA$1000,6,FALSE)," ")</f>
        <v xml:space="preserve"> </v>
      </c>
      <c r="AD116" s="90" t="str">
        <f>IFERROR(VLOOKUP(A116&amp;"aaaaa",COPY!$S$2:$AA$1000,6,FALSE)," ")</f>
        <v xml:space="preserve"> </v>
      </c>
      <c r="AE116" s="90" t="str">
        <f>IFERROR(VLOOKUP(A116&amp;"aaaaaa",COPY!$S$2:$AA$1000,6,FALSE)," ")</f>
        <v xml:space="preserve"> </v>
      </c>
      <c r="AF116" s="90" t="str">
        <f>IFERROR(VLOOKUP(A116&amp;"aaaaaaa",COPY!$S$2:$AA$1000,6,FALSE)," ")</f>
        <v xml:space="preserve"> </v>
      </c>
      <c r="AG116" s="90" t="str">
        <f>IFERROR(VLOOKUP(A116&amp;"aaaaaaaa",COPY!$S$2:$AA$1000,6,FALSE)," ")</f>
        <v xml:space="preserve"> </v>
      </c>
      <c r="AH116" s="90" t="str">
        <f>IFERROR(VLOOKUP(A116&amp;"aaaaaaaaa",COPY!$S$2:$AA$1000,6,FALSE)," ")</f>
        <v xml:space="preserve"> </v>
      </c>
      <c r="AI116" s="90" t="str">
        <f>IFERROR(VLOOKUP(A116&amp;"aaaaaaaaaa",COPY!$S$2:$AA$1000,6,FALSE)," ")</f>
        <v xml:space="preserve"> </v>
      </c>
      <c r="AJ116" s="90" t="str">
        <f>IFERROR(VLOOKUP(A116&amp;"aaaaaaaaaaa",COPY!$S$2:$AA$1000,6,FALSE)," ")</f>
        <v xml:space="preserve"> </v>
      </c>
      <c r="AK116" s="90" t="str">
        <f>IF(LEFT(B116,2)="mg",VLOOKUP(A116,COPY!$S$2:$AA$1000,7,FALSE),IF(LEFT(B116,1)="G"," ",IF(LEFT(B116,2)="ma"," "," ")))</f>
        <v xml:space="preserve"> </v>
      </c>
      <c r="AL116" s="90" t="str">
        <f>IFERROR(VLOOKUP(A116&amp;"a",COPY!$S$2:$AA$1000,7,FALSE)," ")</f>
        <v xml:space="preserve"> </v>
      </c>
      <c r="AM116" s="90" t="str">
        <f>IFERROR(VLOOKUP(A116&amp;"aa",COPY!$S$2:$AA$1000,7,FALSE)," ")</f>
        <v xml:space="preserve"> </v>
      </c>
      <c r="AN116" s="90" t="str">
        <f>IFERROR(VLOOKUP(A116&amp;"aaa",COPY!$S$2:$AA$1000,7,FALSE)," ")</f>
        <v xml:space="preserve"> </v>
      </c>
      <c r="AO116" s="90" t="str">
        <f>IFERROR(VLOOKUP(A116&amp;"aaaa",COPY!$S$2:$AA$1000,7,FALSE)," ")</f>
        <v xml:space="preserve"> </v>
      </c>
      <c r="AP116" s="90" t="str">
        <f>IFERROR(VLOOKUP(A116&amp;"aaaaa",COPY!$S$2:$AA$1000,7,FALSE)," ")</f>
        <v xml:space="preserve"> </v>
      </c>
      <c r="AQ116" s="90" t="str">
        <f>IFERROR(VLOOKUP(A116&amp;"aaaaaa",COPY!$S$2:$AA$1000,7,FALSE)," ")</f>
        <v xml:space="preserve"> </v>
      </c>
      <c r="AR116" s="90" t="str">
        <f>IFERROR(VLOOKUP(A116&amp;"aaaaaaa",COPY!$S$2:$AA$1000,7,FALSE)," ")</f>
        <v xml:space="preserve"> </v>
      </c>
      <c r="AS116" s="90" t="str">
        <f>IFERROR(VLOOKUP(A116&amp;"aaaaaaaa",COPY!$S$2:$AA$1000,7,FALSE)," ")</f>
        <v xml:space="preserve"> </v>
      </c>
      <c r="AT116" s="90" t="str">
        <f>IFERROR(VLOOKUP(A116&amp;"aaaaaaaaa",COPY!$S$2:$AA$1000,7,FALSE)," ")</f>
        <v xml:space="preserve"> </v>
      </c>
      <c r="AU116" s="90" t="str">
        <f>IFERROR(VLOOKUP(A116&amp;"aaaaaaaaaa",COPY!$S$2:$AA$1000,7,FALSE)," ")</f>
        <v xml:space="preserve"> </v>
      </c>
      <c r="AV116" s="90" t="str">
        <f>IFERROR(VLOOKUP(A116&amp;"aaaaaaaaaaa",COPY!$S$2:$AA$1000,7,FALSE)," ")</f>
        <v xml:space="preserve"> </v>
      </c>
    </row>
    <row r="117" spans="1:48" x14ac:dyDescent="0.2">
      <c r="A117" s="75" t="str">
        <f>'REKAP PAJAK'!W154</f>
        <v/>
      </c>
      <c r="B117" s="75" t="str">
        <f>IF(LEN(A117)&gt;1,VLOOKUP(A117,COPY!$O$2:$R$1000,4,FALSE),"")</f>
        <v/>
      </c>
      <c r="C117" s="75" t="str">
        <f t="shared" si="6"/>
        <v xml:space="preserve"> </v>
      </c>
      <c r="D117" s="75" t="str">
        <f t="shared" si="7"/>
        <v xml:space="preserve"> </v>
      </c>
      <c r="E117" s="75" t="str">
        <f t="shared" si="8"/>
        <v xml:space="preserve"> </v>
      </c>
      <c r="F117" s="75" t="str">
        <f t="shared" si="9"/>
        <v xml:space="preserve"> </v>
      </c>
      <c r="G117" s="75" t="str">
        <f>IFERROR(TEXT(VLOOKUP(A117,COPY!$S$2:$W$1000,3,FALSE),"dd-mmmm-yyyy")," ")</f>
        <v xml:space="preserve"> </v>
      </c>
      <c r="H117" s="75" t="str">
        <f t="shared" si="10"/>
        <v xml:space="preserve"> </v>
      </c>
      <c r="I117" s="75" t="str">
        <f t="shared" si="11"/>
        <v xml:space="preserve"> </v>
      </c>
      <c r="J117" s="90" t="str">
        <f>IFERROR(VLOOKUP(A117,COPY!$S$2:$W$1000,4,FALSE)," ")</f>
        <v xml:space="preserve"> </v>
      </c>
      <c r="K117" s="75" t="str">
        <f>IFERROR(VLOOKUP(A117,COPY!$S$2:$W$1000,5,FALSE)," ")</f>
        <v xml:space="preserve"> </v>
      </c>
      <c r="L117" s="75" t="str">
        <f>IF(B117="","",IF(LEFT(B117,2)="Ma",(VLOOKUP(B117,'Rekap Gaji'!$C$12:$D$26,2,FALSE))&amp;" Untuk "&amp;(PROPER('Rekap Gaji'!$B$2)),IF(LEFT(B117,2)="Mg","Pembelian Material Bahan Bangunan",IF(LEFT(B117,2)="Me","Biaya Pembelanjaan Menejemen",IF(LEFT(B117,1)="G",VLOOKUP(A117,COPY!$S$2:$AA$1000,2,FALSE)&amp;"( "&amp;TEXT(VLOOKUP(B117,'Rekap Gaji'!$A$12:$I$26,5,FALSE),"dd-mm-yyyy")&amp;" "&amp;TEXT(VLOOKUP(B117,'Rekap Gaji'!$A$12:$I$26,6,FALSE)&amp;" "&amp;TEXT(VLOOKUP(B117,'Rekap Gaji'!$A$12:$I$26,7,FALSE),"dd-mm-yyyy")&amp;" )"," "))))))</f>
        <v/>
      </c>
      <c r="M117" s="75" t="str">
        <f>IF(OR(LEFT(B117,2)="mg",LEFT(B117,2)="mE"),VLOOKUP(A117,COPY!$S$2:$AA$1000,2,FALSE),IF(LEFT(B117,1)="G"," ",IF(LEFT(B117,2)="ma"," "," ")))</f>
        <v xml:space="preserve"> </v>
      </c>
      <c r="N117" s="75" t="str">
        <f>IFERROR(VLOOKUP($A$117&amp;"a",COPY!$S$2:$AA$1000,2,FALSE)," ")</f>
        <v xml:space="preserve"> </v>
      </c>
      <c r="O117" s="75" t="str">
        <f>IFERROR(VLOOKUP($A$117&amp;"aa",COPY!$S$2:$AA$1000,2,FALSE)," ")</f>
        <v xml:space="preserve"> </v>
      </c>
      <c r="P117" s="75" t="str">
        <f>IFERROR(VLOOKUP($A$117&amp;"aaa",COPY!$S$2:$AA$1000,2,FALSE)," ")</f>
        <v xml:space="preserve"> </v>
      </c>
      <c r="Q117" s="75" t="str">
        <f>IFERROR(VLOOKUP($A$117&amp;"aaaa",COPY!$S$2:$AA$1000,2,FALSE)," ")</f>
        <v xml:space="preserve"> </v>
      </c>
      <c r="R117" s="75" t="str">
        <f>IFERROR(VLOOKUP($A$117&amp;"aaaaa",COPY!$S$2:$AA$1000,2,FALSE)," ")</f>
        <v xml:space="preserve"> </v>
      </c>
      <c r="S117" s="75" t="str">
        <f>IFERROR(VLOOKUP($A$117&amp;"aaaaaa",COPY!$S$2:$AA$1000,2,FALSE)," ")</f>
        <v xml:space="preserve"> </v>
      </c>
      <c r="T117" s="75" t="str">
        <f>IFERROR(VLOOKUP($A$117&amp;"aaaaaaa",COPY!$S$2:$AA$1000,2,FALSE)," ")</f>
        <v xml:space="preserve"> </v>
      </c>
      <c r="U117" s="75" t="str">
        <f>IFERROR(VLOOKUP($A$117&amp;"aaaaaaaa",COPY!$S$2:$AA$1000,2,FALSE)," ")</f>
        <v xml:space="preserve"> </v>
      </c>
      <c r="V117" s="75" t="str">
        <f>IFERROR(VLOOKUP($A$117&amp;"aaaaaaaaa",COPY!$S$2:$AA$1000,2,FALSE)," ")</f>
        <v xml:space="preserve"> </v>
      </c>
      <c r="W117" s="75" t="str">
        <f>IFERROR(VLOOKUP($A$117&amp;"aaaaaaaaaa",COPY!$S$2:$AA$1000,2,FALSE)," ")</f>
        <v xml:space="preserve"> </v>
      </c>
      <c r="X117" s="75" t="str">
        <f>IFERROR(VLOOKUP($A$117&amp;"aaaaaaaaaaa",COPY!$S$2:$AA$1000,2,FALSE)," ")</f>
        <v xml:space="preserve"> </v>
      </c>
      <c r="Y117" s="90" t="str">
        <f>IF(OR(LEFT(B117,2)="mg",LEFT(B117,2)="mE"),VLOOKUP(A117,COPY!$S$2:$AA$1000,6,FALSE),IF(LEFT(B117,1)="G"," ",IF(LEFT(B117,2)="ma"," "," ")))</f>
        <v xml:space="preserve"> </v>
      </c>
      <c r="Z117" s="90" t="str">
        <f>IFERROR(VLOOKUP(A117&amp;"a",COPY!$S$2:$AA$1000,6,FALSE)," ")</f>
        <v xml:space="preserve"> </v>
      </c>
      <c r="AA117" s="90" t="str">
        <f>IFERROR(VLOOKUP(A117&amp;"aa",COPY!$S$2:$AA$1000,6,FALSE)," ")</f>
        <v xml:space="preserve"> </v>
      </c>
      <c r="AB117" s="90" t="str">
        <f>IFERROR(VLOOKUP(A117&amp;"aaa",COPY!$S$2:$AA$1000,6,FALSE)," ")</f>
        <v xml:space="preserve"> </v>
      </c>
      <c r="AC117" s="90" t="str">
        <f>IFERROR(VLOOKUP(A117&amp;"aaaa",COPY!$S$2:$AA$1000,6,FALSE)," ")</f>
        <v xml:space="preserve"> </v>
      </c>
      <c r="AD117" s="90" t="str">
        <f>IFERROR(VLOOKUP(A117&amp;"aaaaa",COPY!$S$2:$AA$1000,6,FALSE)," ")</f>
        <v xml:space="preserve"> </v>
      </c>
      <c r="AE117" s="90" t="str">
        <f>IFERROR(VLOOKUP(A117&amp;"aaaaaa",COPY!$S$2:$AA$1000,6,FALSE)," ")</f>
        <v xml:space="preserve"> </v>
      </c>
      <c r="AF117" s="90" t="str">
        <f>IFERROR(VLOOKUP(A117&amp;"aaaaaaa",COPY!$S$2:$AA$1000,6,FALSE)," ")</f>
        <v xml:space="preserve"> </v>
      </c>
      <c r="AG117" s="90" t="str">
        <f>IFERROR(VLOOKUP(A117&amp;"aaaaaaaa",COPY!$S$2:$AA$1000,6,FALSE)," ")</f>
        <v xml:space="preserve"> </v>
      </c>
      <c r="AH117" s="90" t="str">
        <f>IFERROR(VLOOKUP(A117&amp;"aaaaaaaaa",COPY!$S$2:$AA$1000,6,FALSE)," ")</f>
        <v xml:space="preserve"> </v>
      </c>
      <c r="AI117" s="90" t="str">
        <f>IFERROR(VLOOKUP(A117&amp;"aaaaaaaaaa",COPY!$S$2:$AA$1000,6,FALSE)," ")</f>
        <v xml:space="preserve"> </v>
      </c>
      <c r="AJ117" s="90" t="str">
        <f>IFERROR(VLOOKUP(A117&amp;"aaaaaaaaaaa",COPY!$S$2:$AA$1000,6,FALSE)," ")</f>
        <v xml:space="preserve"> </v>
      </c>
      <c r="AK117" s="90" t="str">
        <f>IF(LEFT(B117,2)="mg",VLOOKUP(A117,COPY!$S$2:$AA$1000,7,FALSE),IF(LEFT(B117,1)="G"," ",IF(LEFT(B117,2)="ma"," "," ")))</f>
        <v xml:space="preserve"> </v>
      </c>
      <c r="AL117" s="90" t="str">
        <f>IFERROR(VLOOKUP(A117&amp;"a",COPY!$S$2:$AA$1000,7,FALSE)," ")</f>
        <v xml:space="preserve"> </v>
      </c>
      <c r="AM117" s="90" t="str">
        <f>IFERROR(VLOOKUP(A117&amp;"aa",COPY!$S$2:$AA$1000,7,FALSE)," ")</f>
        <v xml:space="preserve"> </v>
      </c>
      <c r="AN117" s="90" t="str">
        <f>IFERROR(VLOOKUP(A117&amp;"aaa",COPY!$S$2:$AA$1000,7,FALSE)," ")</f>
        <v xml:space="preserve"> </v>
      </c>
      <c r="AO117" s="90" t="str">
        <f>IFERROR(VLOOKUP(A117&amp;"aaaa",COPY!$S$2:$AA$1000,7,FALSE)," ")</f>
        <v xml:space="preserve"> </v>
      </c>
      <c r="AP117" s="90" t="str">
        <f>IFERROR(VLOOKUP(A117&amp;"aaaaa",COPY!$S$2:$AA$1000,7,FALSE)," ")</f>
        <v xml:space="preserve"> </v>
      </c>
      <c r="AQ117" s="90" t="str">
        <f>IFERROR(VLOOKUP(A117&amp;"aaaaaa",COPY!$S$2:$AA$1000,7,FALSE)," ")</f>
        <v xml:space="preserve"> </v>
      </c>
      <c r="AR117" s="90" t="str">
        <f>IFERROR(VLOOKUP(A117&amp;"aaaaaaa",COPY!$S$2:$AA$1000,7,FALSE)," ")</f>
        <v xml:space="preserve"> </v>
      </c>
      <c r="AS117" s="90" t="str">
        <f>IFERROR(VLOOKUP(A117&amp;"aaaaaaaa",COPY!$S$2:$AA$1000,7,FALSE)," ")</f>
        <v xml:space="preserve"> </v>
      </c>
      <c r="AT117" s="90" t="str">
        <f>IFERROR(VLOOKUP(A117&amp;"aaaaaaaaa",COPY!$S$2:$AA$1000,7,FALSE)," ")</f>
        <v xml:space="preserve"> </v>
      </c>
      <c r="AU117" s="90" t="str">
        <f>IFERROR(VLOOKUP(A117&amp;"aaaaaaaaaa",COPY!$S$2:$AA$1000,7,FALSE)," ")</f>
        <v xml:space="preserve"> </v>
      </c>
      <c r="AV117" s="90" t="str">
        <f>IFERROR(VLOOKUP(A117&amp;"aaaaaaaaaaa",COPY!$S$2:$AA$1000,7,FALSE)," ")</f>
        <v xml:space="preserve"> </v>
      </c>
    </row>
    <row r="118" spans="1:48" x14ac:dyDescent="0.2">
      <c r="A118" s="75" t="str">
        <f>'REKAP PAJAK'!W155</f>
        <v/>
      </c>
      <c r="B118" s="75" t="str">
        <f>IF(LEN(A118)&gt;1,VLOOKUP(A118,COPY!$O$2:$R$1000,4,FALSE),"")</f>
        <v/>
      </c>
      <c r="C118" s="75" t="str">
        <f t="shared" si="6"/>
        <v xml:space="preserve"> </v>
      </c>
      <c r="D118" s="75" t="str">
        <f t="shared" si="7"/>
        <v xml:space="preserve"> </v>
      </c>
      <c r="E118" s="75" t="str">
        <f t="shared" si="8"/>
        <v xml:space="preserve"> </v>
      </c>
      <c r="F118" s="75" t="str">
        <f t="shared" si="9"/>
        <v xml:space="preserve"> </v>
      </c>
      <c r="G118" s="75" t="str">
        <f>IFERROR(TEXT(VLOOKUP(A118,COPY!$S$2:$W$1000,3,FALSE),"dd-mmmm-yyyy")," ")</f>
        <v xml:space="preserve"> </v>
      </c>
      <c r="H118" s="75" t="str">
        <f t="shared" si="10"/>
        <v xml:space="preserve"> </v>
      </c>
      <c r="I118" s="75" t="str">
        <f t="shared" si="11"/>
        <v xml:space="preserve"> </v>
      </c>
      <c r="J118" s="90" t="str">
        <f>IFERROR(VLOOKUP(A118,COPY!$S$2:$W$1000,4,FALSE)," ")</f>
        <v xml:space="preserve"> </v>
      </c>
      <c r="K118" s="75" t="str">
        <f>IFERROR(VLOOKUP(A118,COPY!$S$2:$W$1000,5,FALSE)," ")</f>
        <v xml:space="preserve"> </v>
      </c>
      <c r="L118" s="75" t="str">
        <f>IF(B118="","",IF(LEFT(B118,2)="Ma",(VLOOKUP(B118,'Rekap Gaji'!$C$12:$D$26,2,FALSE))&amp;" Untuk "&amp;(PROPER('Rekap Gaji'!$B$2)),IF(LEFT(B118,2)="Mg","Pembelian Material Bahan Bangunan",IF(LEFT(B118,2)="Me","Biaya Pembelanjaan Menejemen",IF(LEFT(B118,1)="G",VLOOKUP(A118,COPY!$S$2:$AA$1000,2,FALSE)&amp;"( "&amp;TEXT(VLOOKUP(B118,'Rekap Gaji'!$A$12:$I$26,5,FALSE),"dd-mm-yyyy")&amp;" "&amp;TEXT(VLOOKUP(B118,'Rekap Gaji'!$A$12:$I$26,6,FALSE)&amp;" "&amp;TEXT(VLOOKUP(B118,'Rekap Gaji'!$A$12:$I$26,7,FALSE),"dd-mm-yyyy")&amp;" )"," "))))))</f>
        <v/>
      </c>
      <c r="M118" s="75" t="str">
        <f>IF(OR(LEFT(B118,2)="mg",LEFT(B118,2)="mE"),VLOOKUP(A118,COPY!$S$2:$AA$1000,2,FALSE),IF(LEFT(B118,1)="G"," ",IF(LEFT(B118,2)="ma"," "," ")))</f>
        <v xml:space="preserve"> </v>
      </c>
      <c r="N118" s="75" t="str">
        <f>IFERROR(VLOOKUP($A$118&amp;"a",COPY!$S$2:$AA$1000,2,FALSE)," ")</f>
        <v xml:space="preserve"> </v>
      </c>
      <c r="O118" s="75" t="str">
        <f>IFERROR(VLOOKUP($A$118&amp;"aa",COPY!$S$2:$AA$1000,2,FALSE)," ")</f>
        <v xml:space="preserve"> </v>
      </c>
      <c r="P118" s="75" t="str">
        <f>IFERROR(VLOOKUP($A$118&amp;"aaa",COPY!$S$2:$AA$1000,2,FALSE)," ")</f>
        <v xml:space="preserve"> </v>
      </c>
      <c r="Q118" s="75" t="str">
        <f>IFERROR(VLOOKUP($A$118&amp;"aaaa",COPY!$S$2:$AA$1000,2,FALSE)," ")</f>
        <v xml:space="preserve"> </v>
      </c>
      <c r="R118" s="75" t="str">
        <f>IFERROR(VLOOKUP($A$118&amp;"aaaaa",COPY!$S$2:$AA$1000,2,FALSE)," ")</f>
        <v xml:space="preserve"> </v>
      </c>
      <c r="S118" s="75" t="str">
        <f>IFERROR(VLOOKUP($A$118&amp;"aaaaaa",COPY!$S$2:$AA$1000,2,FALSE)," ")</f>
        <v xml:space="preserve"> </v>
      </c>
      <c r="T118" s="75" t="str">
        <f>IFERROR(VLOOKUP($A$118&amp;"aaaaaaa",COPY!$S$2:$AA$1000,2,FALSE)," ")</f>
        <v xml:space="preserve"> </v>
      </c>
      <c r="U118" s="75" t="str">
        <f>IFERROR(VLOOKUP($A$118&amp;"aaaaaaaa",COPY!$S$2:$AA$1000,2,FALSE)," ")</f>
        <v xml:space="preserve"> </v>
      </c>
      <c r="V118" s="75" t="str">
        <f>IFERROR(VLOOKUP($A$118&amp;"aaaaaaaaa",COPY!$S$2:$AA$1000,2,FALSE)," ")</f>
        <v xml:space="preserve"> </v>
      </c>
      <c r="W118" s="75" t="str">
        <f>IFERROR(VLOOKUP($A$118&amp;"aaaaaaaaaa",COPY!$S$2:$AA$1000,2,FALSE)," ")</f>
        <v xml:space="preserve"> </v>
      </c>
      <c r="X118" s="75" t="str">
        <f>IFERROR(VLOOKUP($A$118&amp;"aaaaaaaaaaa",COPY!$S$2:$AA$1000,2,FALSE)," ")</f>
        <v xml:space="preserve"> </v>
      </c>
      <c r="Y118" s="90" t="str">
        <f>IF(OR(LEFT(B118,2)="mg",LEFT(B118,2)="mE"),VLOOKUP(A118,COPY!$S$2:$AA$1000,6,FALSE),IF(LEFT(B118,1)="G"," ",IF(LEFT(B118,2)="ma"," "," ")))</f>
        <v xml:space="preserve"> </v>
      </c>
      <c r="Z118" s="90" t="str">
        <f>IFERROR(VLOOKUP(A118&amp;"a",COPY!$S$2:$AA$1000,6,FALSE)," ")</f>
        <v xml:space="preserve"> </v>
      </c>
      <c r="AA118" s="90" t="str">
        <f>IFERROR(VLOOKUP(A118&amp;"aa",COPY!$S$2:$AA$1000,6,FALSE)," ")</f>
        <v xml:space="preserve"> </v>
      </c>
      <c r="AB118" s="90" t="str">
        <f>IFERROR(VLOOKUP(A118&amp;"aaa",COPY!$S$2:$AA$1000,6,FALSE)," ")</f>
        <v xml:space="preserve"> </v>
      </c>
      <c r="AC118" s="90" t="str">
        <f>IFERROR(VLOOKUP(A118&amp;"aaaa",COPY!$S$2:$AA$1000,6,FALSE)," ")</f>
        <v xml:space="preserve"> </v>
      </c>
      <c r="AD118" s="90" t="str">
        <f>IFERROR(VLOOKUP(A118&amp;"aaaaa",COPY!$S$2:$AA$1000,6,FALSE)," ")</f>
        <v xml:space="preserve"> </v>
      </c>
      <c r="AE118" s="90" t="str">
        <f>IFERROR(VLOOKUP(A118&amp;"aaaaaa",COPY!$S$2:$AA$1000,6,FALSE)," ")</f>
        <v xml:space="preserve"> </v>
      </c>
      <c r="AF118" s="90" t="str">
        <f>IFERROR(VLOOKUP(A118&amp;"aaaaaaa",COPY!$S$2:$AA$1000,6,FALSE)," ")</f>
        <v xml:space="preserve"> </v>
      </c>
      <c r="AG118" s="90" t="str">
        <f>IFERROR(VLOOKUP(A118&amp;"aaaaaaaa",COPY!$S$2:$AA$1000,6,FALSE)," ")</f>
        <v xml:space="preserve"> </v>
      </c>
      <c r="AH118" s="90" t="str">
        <f>IFERROR(VLOOKUP(A118&amp;"aaaaaaaaa",COPY!$S$2:$AA$1000,6,FALSE)," ")</f>
        <v xml:space="preserve"> </v>
      </c>
      <c r="AI118" s="90" t="str">
        <f>IFERROR(VLOOKUP(A118&amp;"aaaaaaaaaa",COPY!$S$2:$AA$1000,6,FALSE)," ")</f>
        <v xml:space="preserve"> </v>
      </c>
      <c r="AJ118" s="90" t="str">
        <f>IFERROR(VLOOKUP(A118&amp;"aaaaaaaaaaa",COPY!$S$2:$AA$1000,6,FALSE)," ")</f>
        <v xml:space="preserve"> </v>
      </c>
      <c r="AK118" s="90" t="str">
        <f>IF(LEFT(B118,2)="mg",VLOOKUP(A118,COPY!$S$2:$AA$1000,7,FALSE),IF(LEFT(B118,1)="G"," ",IF(LEFT(B118,2)="ma"," "," ")))</f>
        <v xml:space="preserve"> </v>
      </c>
      <c r="AL118" s="90" t="str">
        <f>IFERROR(VLOOKUP(A118&amp;"a",COPY!$S$2:$AA$1000,7,FALSE)," ")</f>
        <v xml:space="preserve"> </v>
      </c>
      <c r="AM118" s="90" t="str">
        <f>IFERROR(VLOOKUP(A118&amp;"aa",COPY!$S$2:$AA$1000,7,FALSE)," ")</f>
        <v xml:space="preserve"> </v>
      </c>
      <c r="AN118" s="90" t="str">
        <f>IFERROR(VLOOKUP(A118&amp;"aaa",COPY!$S$2:$AA$1000,7,FALSE)," ")</f>
        <v xml:space="preserve"> </v>
      </c>
      <c r="AO118" s="90" t="str">
        <f>IFERROR(VLOOKUP(A118&amp;"aaaa",COPY!$S$2:$AA$1000,7,FALSE)," ")</f>
        <v xml:space="preserve"> </v>
      </c>
      <c r="AP118" s="90" t="str">
        <f>IFERROR(VLOOKUP(A118&amp;"aaaaa",COPY!$S$2:$AA$1000,7,FALSE)," ")</f>
        <v xml:space="preserve"> </v>
      </c>
      <c r="AQ118" s="90" t="str">
        <f>IFERROR(VLOOKUP(A118&amp;"aaaaaa",COPY!$S$2:$AA$1000,7,FALSE)," ")</f>
        <v xml:space="preserve"> </v>
      </c>
      <c r="AR118" s="90" t="str">
        <f>IFERROR(VLOOKUP(A118&amp;"aaaaaaa",COPY!$S$2:$AA$1000,7,FALSE)," ")</f>
        <v xml:space="preserve"> </v>
      </c>
      <c r="AS118" s="90" t="str">
        <f>IFERROR(VLOOKUP(A118&amp;"aaaaaaaa",COPY!$S$2:$AA$1000,7,FALSE)," ")</f>
        <v xml:space="preserve"> </v>
      </c>
      <c r="AT118" s="90" t="str">
        <f>IFERROR(VLOOKUP(A118&amp;"aaaaaaaaa",COPY!$S$2:$AA$1000,7,FALSE)," ")</f>
        <v xml:space="preserve"> </v>
      </c>
      <c r="AU118" s="90" t="str">
        <f>IFERROR(VLOOKUP(A118&amp;"aaaaaaaaaa",COPY!$S$2:$AA$1000,7,FALSE)," ")</f>
        <v xml:space="preserve"> </v>
      </c>
      <c r="AV118" s="90" t="str">
        <f>IFERROR(VLOOKUP(A118&amp;"aaaaaaaaaaa",COPY!$S$2:$AA$1000,7,FALSE)," ")</f>
        <v xml:space="preserve"> </v>
      </c>
    </row>
    <row r="119" spans="1:48" x14ac:dyDescent="0.2">
      <c r="A119" s="75" t="str">
        <f>'REKAP PAJAK'!W156</f>
        <v/>
      </c>
      <c r="B119" s="75" t="str">
        <f>IF(LEN(A119)&gt;1,VLOOKUP(A119,COPY!$O$2:$R$1000,4,FALSE),"")</f>
        <v/>
      </c>
      <c r="C119" s="75" t="str">
        <f t="shared" si="6"/>
        <v xml:space="preserve"> </v>
      </c>
      <c r="D119" s="75" t="str">
        <f t="shared" si="7"/>
        <v xml:space="preserve"> </v>
      </c>
      <c r="E119" s="75" t="str">
        <f t="shared" si="8"/>
        <v xml:space="preserve"> </v>
      </c>
      <c r="F119" s="75" t="str">
        <f t="shared" si="9"/>
        <v xml:space="preserve"> </v>
      </c>
      <c r="G119" s="75" t="str">
        <f>IFERROR(TEXT(VLOOKUP(A119,COPY!$S$2:$W$1000,3,FALSE),"dd-mmmm-yyyy")," ")</f>
        <v xml:space="preserve"> </v>
      </c>
      <c r="H119" s="75" t="str">
        <f t="shared" si="10"/>
        <v xml:space="preserve"> </v>
      </c>
      <c r="I119" s="75" t="str">
        <f t="shared" si="11"/>
        <v xml:space="preserve"> </v>
      </c>
      <c r="J119" s="90" t="str">
        <f>IFERROR(VLOOKUP(A119,COPY!$S$2:$W$1000,4,FALSE)," ")</f>
        <v xml:space="preserve"> </v>
      </c>
      <c r="K119" s="75" t="str">
        <f>IFERROR(VLOOKUP(A119,COPY!$S$2:$W$1000,5,FALSE)," ")</f>
        <v xml:space="preserve"> </v>
      </c>
      <c r="L119" s="75" t="str">
        <f>IF(B119="","",IF(LEFT(B119,2)="Ma",(VLOOKUP(B119,'Rekap Gaji'!$C$12:$D$26,2,FALSE))&amp;" Untuk "&amp;(PROPER('Rekap Gaji'!$B$2)),IF(LEFT(B119,2)="Mg","Pembelian Material Bahan Bangunan",IF(LEFT(B119,2)="Me","Biaya Pembelanjaan Menejemen",IF(LEFT(B119,1)="G",VLOOKUP(A119,COPY!$S$2:$AA$1000,2,FALSE)&amp;"( "&amp;TEXT(VLOOKUP(B119,'Rekap Gaji'!$A$12:$I$26,5,FALSE),"dd-mm-yyyy")&amp;" "&amp;TEXT(VLOOKUP(B119,'Rekap Gaji'!$A$12:$I$26,6,FALSE)&amp;" "&amp;TEXT(VLOOKUP(B119,'Rekap Gaji'!$A$12:$I$26,7,FALSE),"dd-mm-yyyy")&amp;" )"," "))))))</f>
        <v/>
      </c>
      <c r="M119" s="75" t="str">
        <f>IF(OR(LEFT(B119,2)="mg",LEFT(B119,2)="mE"),VLOOKUP(A119,COPY!$S$2:$AA$1000,2,FALSE),IF(LEFT(B119,1)="G"," ",IF(LEFT(B119,2)="ma"," "," ")))</f>
        <v xml:space="preserve"> </v>
      </c>
      <c r="N119" s="75" t="str">
        <f>IFERROR(VLOOKUP($A$119&amp;"a",COPY!$S$2:$AA$1000,2,FALSE)," ")</f>
        <v xml:space="preserve"> </v>
      </c>
      <c r="O119" s="75" t="str">
        <f>IFERROR(VLOOKUP($A$119&amp;"aa",COPY!$S$2:$AA$1000,2,FALSE)," ")</f>
        <v xml:space="preserve"> </v>
      </c>
      <c r="P119" s="75" t="str">
        <f>IFERROR(VLOOKUP($A$119&amp;"aaa",COPY!$S$2:$AA$1000,2,FALSE)," ")</f>
        <v xml:space="preserve"> </v>
      </c>
      <c r="Q119" s="75" t="str">
        <f>IFERROR(VLOOKUP($A$119&amp;"aaaa",COPY!$S$2:$AA$1000,2,FALSE)," ")</f>
        <v xml:space="preserve"> </v>
      </c>
      <c r="R119" s="75" t="str">
        <f>IFERROR(VLOOKUP($A$119&amp;"aaaaa",COPY!$S$2:$AA$1000,2,FALSE)," ")</f>
        <v xml:space="preserve"> </v>
      </c>
      <c r="S119" s="75" t="str">
        <f>IFERROR(VLOOKUP($A$119&amp;"aaaaaa",COPY!$S$2:$AA$1000,2,FALSE)," ")</f>
        <v xml:space="preserve"> </v>
      </c>
      <c r="T119" s="75" t="str">
        <f>IFERROR(VLOOKUP($A$119&amp;"aaaaaaa",COPY!$S$2:$AA$1000,2,FALSE)," ")</f>
        <v xml:space="preserve"> </v>
      </c>
      <c r="U119" s="75" t="str">
        <f>IFERROR(VLOOKUP($A$119&amp;"aaaaaaaa",COPY!$S$2:$AA$1000,2,FALSE)," ")</f>
        <v xml:space="preserve"> </v>
      </c>
      <c r="V119" s="75" t="str">
        <f>IFERROR(VLOOKUP($A$119&amp;"aaaaaaaaa",COPY!$S$2:$AA$1000,2,FALSE)," ")</f>
        <v xml:space="preserve"> </v>
      </c>
      <c r="W119" s="75" t="str">
        <f>IFERROR(VLOOKUP($A$119&amp;"aaaaaaaaaa",COPY!$S$2:$AA$1000,2,FALSE)," ")</f>
        <v xml:space="preserve"> </v>
      </c>
      <c r="X119" s="75" t="str">
        <f>IFERROR(VLOOKUP($A$119&amp;"aaaaaaaaaaa",COPY!$S$2:$AA$1000,2,FALSE)," ")</f>
        <v xml:space="preserve"> </v>
      </c>
      <c r="Y119" s="90" t="str">
        <f>IF(OR(LEFT(B119,2)="mg",LEFT(B119,2)="mE"),VLOOKUP(A119,COPY!$S$2:$AA$1000,6,FALSE),IF(LEFT(B119,1)="G"," ",IF(LEFT(B119,2)="ma"," "," ")))</f>
        <v xml:space="preserve"> </v>
      </c>
      <c r="Z119" s="90" t="str">
        <f>IFERROR(VLOOKUP(A119&amp;"a",COPY!$S$2:$AA$1000,6,FALSE)," ")</f>
        <v xml:space="preserve"> </v>
      </c>
      <c r="AA119" s="90" t="str">
        <f>IFERROR(VLOOKUP(A119&amp;"aa",COPY!$S$2:$AA$1000,6,FALSE)," ")</f>
        <v xml:space="preserve"> </v>
      </c>
      <c r="AB119" s="90" t="str">
        <f>IFERROR(VLOOKUP(A119&amp;"aaa",COPY!$S$2:$AA$1000,6,FALSE)," ")</f>
        <v xml:space="preserve"> </v>
      </c>
      <c r="AC119" s="90" t="str">
        <f>IFERROR(VLOOKUP(A119&amp;"aaaa",COPY!$S$2:$AA$1000,6,FALSE)," ")</f>
        <v xml:space="preserve"> </v>
      </c>
      <c r="AD119" s="90" t="str">
        <f>IFERROR(VLOOKUP(A119&amp;"aaaaa",COPY!$S$2:$AA$1000,6,FALSE)," ")</f>
        <v xml:space="preserve"> </v>
      </c>
      <c r="AE119" s="90" t="str">
        <f>IFERROR(VLOOKUP(A119&amp;"aaaaaa",COPY!$S$2:$AA$1000,6,FALSE)," ")</f>
        <v xml:space="preserve"> </v>
      </c>
      <c r="AF119" s="90" t="str">
        <f>IFERROR(VLOOKUP(A119&amp;"aaaaaaa",COPY!$S$2:$AA$1000,6,FALSE)," ")</f>
        <v xml:space="preserve"> </v>
      </c>
      <c r="AG119" s="90" t="str">
        <f>IFERROR(VLOOKUP(A119&amp;"aaaaaaaa",COPY!$S$2:$AA$1000,6,FALSE)," ")</f>
        <v xml:space="preserve"> </v>
      </c>
      <c r="AH119" s="90" t="str">
        <f>IFERROR(VLOOKUP(A119&amp;"aaaaaaaaa",COPY!$S$2:$AA$1000,6,FALSE)," ")</f>
        <v xml:space="preserve"> </v>
      </c>
      <c r="AI119" s="90" t="str">
        <f>IFERROR(VLOOKUP(A119&amp;"aaaaaaaaaa",COPY!$S$2:$AA$1000,6,FALSE)," ")</f>
        <v xml:space="preserve"> </v>
      </c>
      <c r="AJ119" s="90" t="str">
        <f>IFERROR(VLOOKUP(A119&amp;"aaaaaaaaaaa",COPY!$S$2:$AA$1000,6,FALSE)," ")</f>
        <v xml:space="preserve"> </v>
      </c>
      <c r="AK119" s="90" t="str">
        <f>IF(LEFT(B119,2)="mg",VLOOKUP(A119,COPY!$S$2:$AA$1000,7,FALSE),IF(LEFT(B119,1)="G"," ",IF(LEFT(B119,2)="ma"," "," ")))</f>
        <v xml:space="preserve"> </v>
      </c>
      <c r="AL119" s="90" t="str">
        <f>IFERROR(VLOOKUP(A119&amp;"a",COPY!$S$2:$AA$1000,7,FALSE)," ")</f>
        <v xml:space="preserve"> </v>
      </c>
      <c r="AM119" s="90" t="str">
        <f>IFERROR(VLOOKUP(A119&amp;"aa",COPY!$S$2:$AA$1000,7,FALSE)," ")</f>
        <v xml:space="preserve"> </v>
      </c>
      <c r="AN119" s="90" t="str">
        <f>IFERROR(VLOOKUP(A119&amp;"aaa",COPY!$S$2:$AA$1000,7,FALSE)," ")</f>
        <v xml:space="preserve"> </v>
      </c>
      <c r="AO119" s="90" t="str">
        <f>IFERROR(VLOOKUP(A119&amp;"aaaa",COPY!$S$2:$AA$1000,7,FALSE)," ")</f>
        <v xml:space="preserve"> </v>
      </c>
      <c r="AP119" s="90" t="str">
        <f>IFERROR(VLOOKUP(A119&amp;"aaaaa",COPY!$S$2:$AA$1000,7,FALSE)," ")</f>
        <v xml:space="preserve"> </v>
      </c>
      <c r="AQ119" s="90" t="str">
        <f>IFERROR(VLOOKUP(A119&amp;"aaaaaa",COPY!$S$2:$AA$1000,7,FALSE)," ")</f>
        <v xml:space="preserve"> </v>
      </c>
      <c r="AR119" s="90" t="str">
        <f>IFERROR(VLOOKUP(A119&amp;"aaaaaaa",COPY!$S$2:$AA$1000,7,FALSE)," ")</f>
        <v xml:space="preserve"> </v>
      </c>
      <c r="AS119" s="90" t="str">
        <f>IFERROR(VLOOKUP(A119&amp;"aaaaaaaa",COPY!$S$2:$AA$1000,7,FALSE)," ")</f>
        <v xml:space="preserve"> </v>
      </c>
      <c r="AT119" s="90" t="str">
        <f>IFERROR(VLOOKUP(A119&amp;"aaaaaaaaa",COPY!$S$2:$AA$1000,7,FALSE)," ")</f>
        <v xml:space="preserve"> </v>
      </c>
      <c r="AU119" s="90" t="str">
        <f>IFERROR(VLOOKUP(A119&amp;"aaaaaaaaaa",COPY!$S$2:$AA$1000,7,FALSE)," ")</f>
        <v xml:space="preserve"> </v>
      </c>
      <c r="AV119" s="90" t="str">
        <f>IFERROR(VLOOKUP(A119&amp;"aaaaaaaaaaa",COPY!$S$2:$AA$1000,7,FALSE)," ")</f>
        <v xml:space="preserve"> </v>
      </c>
    </row>
    <row r="120" spans="1:48" x14ac:dyDescent="0.2">
      <c r="A120" s="75" t="str">
        <f>'REKAP PAJAK'!W157</f>
        <v/>
      </c>
      <c r="B120" s="75" t="str">
        <f>IF(LEN(A120)&gt;1,VLOOKUP(A120,COPY!$O$2:$R$1000,4,FALSE),"")</f>
        <v/>
      </c>
      <c r="C120" s="75" t="str">
        <f t="shared" si="6"/>
        <v xml:space="preserve"> </v>
      </c>
      <c r="D120" s="75" t="str">
        <f t="shared" si="7"/>
        <v xml:space="preserve"> </v>
      </c>
      <c r="E120" s="75" t="str">
        <f t="shared" si="8"/>
        <v xml:space="preserve"> </v>
      </c>
      <c r="F120" s="75" t="str">
        <f t="shared" si="9"/>
        <v xml:space="preserve"> </v>
      </c>
      <c r="G120" s="75" t="str">
        <f>IFERROR(TEXT(VLOOKUP(A120,COPY!$S$2:$W$1000,3,FALSE),"dd-mmmm-yyyy")," ")</f>
        <v xml:space="preserve"> </v>
      </c>
      <c r="H120" s="75" t="str">
        <f t="shared" si="10"/>
        <v xml:space="preserve"> </v>
      </c>
      <c r="I120" s="75" t="str">
        <f t="shared" si="11"/>
        <v xml:space="preserve"> </v>
      </c>
      <c r="J120" s="90" t="str">
        <f>IFERROR(VLOOKUP(A120,COPY!$S$2:$W$1000,4,FALSE)," ")</f>
        <v xml:space="preserve"> </v>
      </c>
      <c r="K120" s="75" t="str">
        <f>IFERROR(VLOOKUP(A120,COPY!$S$2:$W$1000,5,FALSE)," ")</f>
        <v xml:space="preserve"> </v>
      </c>
      <c r="L120" s="75" t="str">
        <f>IF(B120="","",IF(LEFT(B120,2)="Ma",(VLOOKUP(B120,'Rekap Gaji'!$C$12:$D$26,2,FALSE))&amp;" Untuk "&amp;(PROPER('Rekap Gaji'!$B$2)),IF(LEFT(B120,2)="Mg","Pembelian Material Bahan Bangunan",IF(LEFT(B120,2)="Me","Biaya Pembelanjaan Menejemen",IF(LEFT(B120,1)="G",VLOOKUP(A120,COPY!$S$2:$AA$1000,2,FALSE)&amp;"( "&amp;TEXT(VLOOKUP(B120,'Rekap Gaji'!$A$12:$I$26,5,FALSE),"dd-mm-yyyy")&amp;" "&amp;TEXT(VLOOKUP(B120,'Rekap Gaji'!$A$12:$I$26,6,FALSE)&amp;" "&amp;TEXT(VLOOKUP(B120,'Rekap Gaji'!$A$12:$I$26,7,FALSE),"dd-mm-yyyy")&amp;" )"," "))))))</f>
        <v/>
      </c>
      <c r="M120" s="75" t="str">
        <f>IF(OR(LEFT(B120,2)="mg",LEFT(B120,2)="mE"),VLOOKUP(A120,COPY!$S$2:$AA$1000,2,FALSE),IF(LEFT(B120,1)="G"," ",IF(LEFT(B120,2)="ma"," "," ")))</f>
        <v xml:space="preserve"> </v>
      </c>
      <c r="N120" s="75" t="str">
        <f>IFERROR(VLOOKUP($A$120&amp;"a",COPY!$S$2:$AA$1000,2,FALSE)," ")</f>
        <v xml:space="preserve"> </v>
      </c>
      <c r="O120" s="75" t="str">
        <f>IFERROR(VLOOKUP($A$120&amp;"aa",COPY!$S$2:$AA$1000,2,FALSE)," ")</f>
        <v xml:space="preserve"> </v>
      </c>
      <c r="P120" s="75" t="str">
        <f>IFERROR(VLOOKUP($A$120&amp;"aaa",COPY!$S$2:$AA$1000,2,FALSE)," ")</f>
        <v xml:space="preserve"> </v>
      </c>
      <c r="Q120" s="75" t="str">
        <f>IFERROR(VLOOKUP($A$120&amp;"aaaa",COPY!$S$2:$AA$1000,2,FALSE)," ")</f>
        <v xml:space="preserve"> </v>
      </c>
      <c r="R120" s="75" t="str">
        <f>IFERROR(VLOOKUP($A$120&amp;"aaaaa",COPY!$S$2:$AA$1000,2,FALSE)," ")</f>
        <v xml:space="preserve"> </v>
      </c>
      <c r="S120" s="75" t="str">
        <f>IFERROR(VLOOKUP($A$120&amp;"aaaaaa",COPY!$S$2:$AA$1000,2,FALSE)," ")</f>
        <v xml:space="preserve"> </v>
      </c>
      <c r="T120" s="75" t="str">
        <f>IFERROR(VLOOKUP($A$120&amp;"aaaaaaa",COPY!$S$2:$AA$1000,2,FALSE)," ")</f>
        <v xml:space="preserve"> </v>
      </c>
      <c r="U120" s="75" t="str">
        <f>IFERROR(VLOOKUP($A$120&amp;"aaaaaaaa",COPY!$S$2:$AA$1000,2,FALSE)," ")</f>
        <v xml:space="preserve"> </v>
      </c>
      <c r="V120" s="75" t="str">
        <f>IFERROR(VLOOKUP($A$120&amp;"aaaaaaaaa",COPY!$S$2:$AA$1000,2,FALSE)," ")</f>
        <v xml:space="preserve"> </v>
      </c>
      <c r="W120" s="75" t="str">
        <f>IFERROR(VLOOKUP($A$120&amp;"aaaaaaaaaa",COPY!$S$2:$AA$1000,2,FALSE)," ")</f>
        <v xml:space="preserve"> </v>
      </c>
      <c r="X120" s="75" t="str">
        <f>IFERROR(VLOOKUP($A$120&amp;"aaaaaaaaaaa",COPY!$S$2:$AA$1000,2,FALSE)," ")</f>
        <v xml:space="preserve"> </v>
      </c>
      <c r="Y120" s="90" t="str">
        <f>IF(OR(LEFT(B120,2)="mg",LEFT(B120,2)="mE"),VLOOKUP(A120,COPY!$S$2:$AA$1000,6,FALSE),IF(LEFT(B120,1)="G"," ",IF(LEFT(B120,2)="ma"," "," ")))</f>
        <v xml:space="preserve"> </v>
      </c>
      <c r="Z120" s="90" t="str">
        <f>IFERROR(VLOOKUP(A120&amp;"a",COPY!$S$2:$AA$1000,6,FALSE)," ")</f>
        <v xml:space="preserve"> </v>
      </c>
      <c r="AA120" s="90" t="str">
        <f>IFERROR(VLOOKUP(A120&amp;"aa",COPY!$S$2:$AA$1000,6,FALSE)," ")</f>
        <v xml:space="preserve"> </v>
      </c>
      <c r="AB120" s="90" t="str">
        <f>IFERROR(VLOOKUP(A120&amp;"aaa",COPY!$S$2:$AA$1000,6,FALSE)," ")</f>
        <v xml:space="preserve"> </v>
      </c>
      <c r="AC120" s="90" t="str">
        <f>IFERROR(VLOOKUP(A120&amp;"aaaa",COPY!$S$2:$AA$1000,6,FALSE)," ")</f>
        <v xml:space="preserve"> </v>
      </c>
      <c r="AD120" s="90" t="str">
        <f>IFERROR(VLOOKUP(A120&amp;"aaaaa",COPY!$S$2:$AA$1000,6,FALSE)," ")</f>
        <v xml:space="preserve"> </v>
      </c>
      <c r="AE120" s="90" t="str">
        <f>IFERROR(VLOOKUP(A120&amp;"aaaaaa",COPY!$S$2:$AA$1000,6,FALSE)," ")</f>
        <v xml:space="preserve"> </v>
      </c>
      <c r="AF120" s="90" t="str">
        <f>IFERROR(VLOOKUP(A120&amp;"aaaaaaa",COPY!$S$2:$AA$1000,6,FALSE)," ")</f>
        <v xml:space="preserve"> </v>
      </c>
      <c r="AG120" s="90" t="str">
        <f>IFERROR(VLOOKUP(A120&amp;"aaaaaaaa",COPY!$S$2:$AA$1000,6,FALSE)," ")</f>
        <v xml:space="preserve"> </v>
      </c>
      <c r="AH120" s="90" t="str">
        <f>IFERROR(VLOOKUP(A120&amp;"aaaaaaaaa",COPY!$S$2:$AA$1000,6,FALSE)," ")</f>
        <v xml:space="preserve"> </v>
      </c>
      <c r="AI120" s="90" t="str">
        <f>IFERROR(VLOOKUP(A120&amp;"aaaaaaaaaa",COPY!$S$2:$AA$1000,6,FALSE)," ")</f>
        <v xml:space="preserve"> </v>
      </c>
      <c r="AJ120" s="90" t="str">
        <f>IFERROR(VLOOKUP(A120&amp;"aaaaaaaaaaa",COPY!$S$2:$AA$1000,6,FALSE)," ")</f>
        <v xml:space="preserve"> </v>
      </c>
      <c r="AK120" s="90" t="str">
        <f>IF(LEFT(B120,2)="mg",VLOOKUP(A120,COPY!$S$2:$AA$1000,7,FALSE),IF(LEFT(B120,1)="G"," ",IF(LEFT(B120,2)="ma"," "," ")))</f>
        <v xml:space="preserve"> </v>
      </c>
      <c r="AL120" s="90" t="str">
        <f>IFERROR(VLOOKUP(A120&amp;"a",COPY!$S$2:$AA$1000,7,FALSE)," ")</f>
        <v xml:space="preserve"> </v>
      </c>
      <c r="AM120" s="90" t="str">
        <f>IFERROR(VLOOKUP(A120&amp;"aa",COPY!$S$2:$AA$1000,7,FALSE)," ")</f>
        <v xml:space="preserve"> </v>
      </c>
      <c r="AN120" s="90" t="str">
        <f>IFERROR(VLOOKUP(A120&amp;"aaa",COPY!$S$2:$AA$1000,7,FALSE)," ")</f>
        <v xml:space="preserve"> </v>
      </c>
      <c r="AO120" s="90" t="str">
        <f>IFERROR(VLOOKUP(A120&amp;"aaaa",COPY!$S$2:$AA$1000,7,FALSE)," ")</f>
        <v xml:space="preserve"> </v>
      </c>
      <c r="AP120" s="90" t="str">
        <f>IFERROR(VLOOKUP(A120&amp;"aaaaa",COPY!$S$2:$AA$1000,7,FALSE)," ")</f>
        <v xml:space="preserve"> </v>
      </c>
      <c r="AQ120" s="90" t="str">
        <f>IFERROR(VLOOKUP(A120&amp;"aaaaaa",COPY!$S$2:$AA$1000,7,FALSE)," ")</f>
        <v xml:space="preserve"> </v>
      </c>
      <c r="AR120" s="90" t="str">
        <f>IFERROR(VLOOKUP(A120&amp;"aaaaaaa",COPY!$S$2:$AA$1000,7,FALSE)," ")</f>
        <v xml:space="preserve"> </v>
      </c>
      <c r="AS120" s="90" t="str">
        <f>IFERROR(VLOOKUP(A120&amp;"aaaaaaaa",COPY!$S$2:$AA$1000,7,FALSE)," ")</f>
        <v xml:space="preserve"> </v>
      </c>
      <c r="AT120" s="90" t="str">
        <f>IFERROR(VLOOKUP(A120&amp;"aaaaaaaaa",COPY!$S$2:$AA$1000,7,FALSE)," ")</f>
        <v xml:space="preserve"> </v>
      </c>
      <c r="AU120" s="90" t="str">
        <f>IFERROR(VLOOKUP(A120&amp;"aaaaaaaaaa",COPY!$S$2:$AA$1000,7,FALSE)," ")</f>
        <v xml:space="preserve"> </v>
      </c>
      <c r="AV120" s="90" t="str">
        <f>IFERROR(VLOOKUP(A120&amp;"aaaaaaaaaaa",COPY!$S$2:$AA$1000,7,FALSE)," ")</f>
        <v xml:space="preserve"> </v>
      </c>
    </row>
    <row r="121" spans="1:48" x14ac:dyDescent="0.2">
      <c r="A121" s="75" t="str">
        <f>'REKAP PAJAK'!W158</f>
        <v/>
      </c>
      <c r="B121" s="75" t="str">
        <f>IF(LEN(A121)&gt;1,VLOOKUP(A121,COPY!$O$2:$R$1000,4,FALSE),"")</f>
        <v/>
      </c>
      <c r="C121" s="75" t="str">
        <f t="shared" si="6"/>
        <v xml:space="preserve"> </v>
      </c>
      <c r="D121" s="75" t="str">
        <f t="shared" si="7"/>
        <v xml:space="preserve"> </v>
      </c>
      <c r="E121" s="75" t="str">
        <f t="shared" si="8"/>
        <v xml:space="preserve"> </v>
      </c>
      <c r="F121" s="75" t="str">
        <f t="shared" si="9"/>
        <v xml:space="preserve"> </v>
      </c>
      <c r="G121" s="75" t="str">
        <f>IFERROR(TEXT(VLOOKUP(A121,COPY!$S$2:$W$1000,3,FALSE),"dd-mmmm-yyyy")," ")</f>
        <v xml:space="preserve"> </v>
      </c>
      <c r="H121" s="75" t="str">
        <f t="shared" si="10"/>
        <v xml:space="preserve"> </v>
      </c>
      <c r="I121" s="75" t="str">
        <f t="shared" si="11"/>
        <v xml:space="preserve"> </v>
      </c>
      <c r="J121" s="90" t="str">
        <f>IFERROR(VLOOKUP(A121,COPY!$S$2:$W$1000,4,FALSE)," ")</f>
        <v xml:space="preserve"> </v>
      </c>
      <c r="K121" s="75" t="str">
        <f>IFERROR(VLOOKUP(A121,COPY!$S$2:$W$1000,5,FALSE)," ")</f>
        <v xml:space="preserve"> </v>
      </c>
      <c r="L121" s="75" t="str">
        <f>IF(B121="","",IF(LEFT(B121,2)="Ma",(VLOOKUP(B121,'Rekap Gaji'!$C$12:$D$26,2,FALSE))&amp;" Untuk "&amp;(PROPER('Rekap Gaji'!$B$2)),IF(LEFT(B121,2)="Mg","Pembelian Material Bahan Bangunan",IF(LEFT(B121,2)="Me","Biaya Pembelanjaan Menejemen",IF(LEFT(B121,1)="G",VLOOKUP(A121,COPY!$S$2:$AA$1000,2,FALSE)&amp;"( "&amp;TEXT(VLOOKUP(B121,'Rekap Gaji'!$A$12:$I$26,5,FALSE),"dd-mm-yyyy")&amp;" "&amp;TEXT(VLOOKUP(B121,'Rekap Gaji'!$A$12:$I$26,6,FALSE)&amp;" "&amp;TEXT(VLOOKUP(B121,'Rekap Gaji'!$A$12:$I$26,7,FALSE),"dd-mm-yyyy")&amp;" )"," "))))))</f>
        <v/>
      </c>
      <c r="M121" s="75" t="str">
        <f>IF(OR(LEFT(B121,2)="mg",LEFT(B121,2)="mE"),VLOOKUP(A121,COPY!$S$2:$AA$1000,2,FALSE),IF(LEFT(B121,1)="G"," ",IF(LEFT(B121,2)="ma"," "," ")))</f>
        <v xml:space="preserve"> </v>
      </c>
      <c r="N121" s="75" t="str">
        <f>IFERROR(VLOOKUP($A$121&amp;"a",COPY!$S$2:$AA$1000,2,FALSE)," ")</f>
        <v xml:space="preserve"> </v>
      </c>
      <c r="O121" s="75" t="str">
        <f>IFERROR(VLOOKUP($A$121&amp;"aa",COPY!$S$2:$AA$1000,2,FALSE)," ")</f>
        <v xml:space="preserve"> </v>
      </c>
      <c r="P121" s="75" t="str">
        <f>IFERROR(VLOOKUP($A$121&amp;"aaa",COPY!$S$2:$AA$1000,2,FALSE)," ")</f>
        <v xml:space="preserve"> </v>
      </c>
      <c r="Q121" s="75" t="str">
        <f>IFERROR(VLOOKUP($A$121&amp;"aaaa",COPY!$S$2:$AA$1000,2,FALSE)," ")</f>
        <v xml:space="preserve"> </v>
      </c>
      <c r="R121" s="75" t="str">
        <f>IFERROR(VLOOKUP($A$121&amp;"aaaaa",COPY!$S$2:$AA$1000,2,FALSE)," ")</f>
        <v xml:space="preserve"> </v>
      </c>
      <c r="S121" s="75" t="str">
        <f>IFERROR(VLOOKUP($A$121&amp;"aaaaaa",COPY!$S$2:$AA$1000,2,FALSE)," ")</f>
        <v xml:space="preserve"> </v>
      </c>
      <c r="T121" s="75" t="str">
        <f>IFERROR(VLOOKUP($A$121&amp;"aaaaaaa",COPY!$S$2:$AA$1000,2,FALSE)," ")</f>
        <v xml:space="preserve"> </v>
      </c>
      <c r="U121" s="75" t="str">
        <f>IFERROR(VLOOKUP($A$121&amp;"aaaaaaaa",COPY!$S$2:$AA$1000,2,FALSE)," ")</f>
        <v xml:space="preserve"> </v>
      </c>
      <c r="V121" s="75" t="str">
        <f>IFERROR(VLOOKUP($A$121&amp;"aaaaaaaaa",COPY!$S$2:$AA$1000,2,FALSE)," ")</f>
        <v xml:space="preserve"> </v>
      </c>
      <c r="W121" s="75" t="str">
        <f>IFERROR(VLOOKUP($A$121&amp;"aaaaaaaaaa",COPY!$S$2:$AA$1000,2,FALSE)," ")</f>
        <v xml:space="preserve"> </v>
      </c>
      <c r="X121" s="75" t="str">
        <f>IFERROR(VLOOKUP($A$121&amp;"aaaaaaaaaaa",COPY!$S$2:$AA$1000,2,FALSE)," ")</f>
        <v xml:space="preserve"> </v>
      </c>
      <c r="Y121" s="90" t="str">
        <f>IF(OR(LEFT(B121,2)="mg",LEFT(B121,2)="mE"),VLOOKUP(A121,COPY!$S$2:$AA$1000,6,FALSE),IF(LEFT(B121,1)="G"," ",IF(LEFT(B121,2)="ma"," "," ")))</f>
        <v xml:space="preserve"> </v>
      </c>
      <c r="Z121" s="90" t="str">
        <f>IFERROR(VLOOKUP(A121&amp;"a",COPY!$S$2:$AA$1000,6,FALSE)," ")</f>
        <v xml:space="preserve"> </v>
      </c>
      <c r="AA121" s="90" t="str">
        <f>IFERROR(VLOOKUP(A121&amp;"aa",COPY!$S$2:$AA$1000,6,FALSE)," ")</f>
        <v xml:space="preserve"> </v>
      </c>
      <c r="AB121" s="90" t="str">
        <f>IFERROR(VLOOKUP(A121&amp;"aaa",COPY!$S$2:$AA$1000,6,FALSE)," ")</f>
        <v xml:space="preserve"> </v>
      </c>
      <c r="AC121" s="90" t="str">
        <f>IFERROR(VLOOKUP(A121&amp;"aaaa",COPY!$S$2:$AA$1000,6,FALSE)," ")</f>
        <v xml:space="preserve"> </v>
      </c>
      <c r="AD121" s="90" t="str">
        <f>IFERROR(VLOOKUP(A121&amp;"aaaaa",COPY!$S$2:$AA$1000,6,FALSE)," ")</f>
        <v xml:space="preserve"> </v>
      </c>
      <c r="AE121" s="90" t="str">
        <f>IFERROR(VLOOKUP(A121&amp;"aaaaaa",COPY!$S$2:$AA$1000,6,FALSE)," ")</f>
        <v xml:space="preserve"> </v>
      </c>
      <c r="AF121" s="90" t="str">
        <f>IFERROR(VLOOKUP(A121&amp;"aaaaaaa",COPY!$S$2:$AA$1000,6,FALSE)," ")</f>
        <v xml:space="preserve"> </v>
      </c>
      <c r="AG121" s="90" t="str">
        <f>IFERROR(VLOOKUP(A121&amp;"aaaaaaaa",COPY!$S$2:$AA$1000,6,FALSE)," ")</f>
        <v xml:space="preserve"> </v>
      </c>
      <c r="AH121" s="90" t="str">
        <f>IFERROR(VLOOKUP(A121&amp;"aaaaaaaaa",COPY!$S$2:$AA$1000,6,FALSE)," ")</f>
        <v xml:space="preserve"> </v>
      </c>
      <c r="AI121" s="90" t="str">
        <f>IFERROR(VLOOKUP(A121&amp;"aaaaaaaaaa",COPY!$S$2:$AA$1000,6,FALSE)," ")</f>
        <v xml:space="preserve"> </v>
      </c>
      <c r="AJ121" s="90" t="str">
        <f>IFERROR(VLOOKUP(A121&amp;"aaaaaaaaaaa",COPY!$S$2:$AA$1000,6,FALSE)," ")</f>
        <v xml:space="preserve"> </v>
      </c>
      <c r="AK121" s="90" t="str">
        <f>IF(LEFT(B121,2)="mg",VLOOKUP(A121,COPY!$S$2:$AA$1000,7,FALSE),IF(LEFT(B121,1)="G"," ",IF(LEFT(B121,2)="ma"," "," ")))</f>
        <v xml:space="preserve"> </v>
      </c>
      <c r="AL121" s="90" t="str">
        <f>IFERROR(VLOOKUP(A121&amp;"a",COPY!$S$2:$AA$1000,7,FALSE)," ")</f>
        <v xml:space="preserve"> </v>
      </c>
      <c r="AM121" s="90" t="str">
        <f>IFERROR(VLOOKUP(A121&amp;"aa",COPY!$S$2:$AA$1000,7,FALSE)," ")</f>
        <v xml:space="preserve"> </v>
      </c>
      <c r="AN121" s="90" t="str">
        <f>IFERROR(VLOOKUP(A121&amp;"aaa",COPY!$S$2:$AA$1000,7,FALSE)," ")</f>
        <v xml:space="preserve"> </v>
      </c>
      <c r="AO121" s="90" t="str">
        <f>IFERROR(VLOOKUP(A121&amp;"aaaa",COPY!$S$2:$AA$1000,7,FALSE)," ")</f>
        <v xml:space="preserve"> </v>
      </c>
      <c r="AP121" s="90" t="str">
        <f>IFERROR(VLOOKUP(A121&amp;"aaaaa",COPY!$S$2:$AA$1000,7,FALSE)," ")</f>
        <v xml:space="preserve"> </v>
      </c>
      <c r="AQ121" s="90" t="str">
        <f>IFERROR(VLOOKUP(A121&amp;"aaaaaa",COPY!$S$2:$AA$1000,7,FALSE)," ")</f>
        <v xml:space="preserve"> </v>
      </c>
      <c r="AR121" s="90" t="str">
        <f>IFERROR(VLOOKUP(A121&amp;"aaaaaaa",COPY!$S$2:$AA$1000,7,FALSE)," ")</f>
        <v xml:space="preserve"> </v>
      </c>
      <c r="AS121" s="90" t="str">
        <f>IFERROR(VLOOKUP(A121&amp;"aaaaaaaa",COPY!$S$2:$AA$1000,7,FALSE)," ")</f>
        <v xml:space="preserve"> </v>
      </c>
      <c r="AT121" s="90" t="str">
        <f>IFERROR(VLOOKUP(A121&amp;"aaaaaaaaa",COPY!$S$2:$AA$1000,7,FALSE)," ")</f>
        <v xml:space="preserve"> </v>
      </c>
      <c r="AU121" s="90" t="str">
        <f>IFERROR(VLOOKUP(A121&amp;"aaaaaaaaaa",COPY!$S$2:$AA$1000,7,FALSE)," ")</f>
        <v xml:space="preserve"> </v>
      </c>
      <c r="AV121" s="90" t="str">
        <f>IFERROR(VLOOKUP(A121&amp;"aaaaaaaaaaa",COPY!$S$2:$AA$1000,7,FALSE)," ")</f>
        <v xml:space="preserve"> </v>
      </c>
    </row>
    <row r="122" spans="1:48" x14ac:dyDescent="0.2">
      <c r="A122" s="75" t="str">
        <f>'REKAP PAJAK'!W159</f>
        <v/>
      </c>
      <c r="B122" s="75" t="str">
        <f>IF(LEN(A122)&gt;1,VLOOKUP(A122,COPY!$O$2:$R$1000,4,FALSE),"")</f>
        <v/>
      </c>
      <c r="C122" s="75" t="str">
        <f t="shared" si="6"/>
        <v xml:space="preserve"> </v>
      </c>
      <c r="D122" s="75" t="str">
        <f t="shared" si="7"/>
        <v xml:space="preserve"> </v>
      </c>
      <c r="E122" s="75" t="str">
        <f t="shared" si="8"/>
        <v xml:space="preserve"> </v>
      </c>
      <c r="F122" s="75" t="str">
        <f t="shared" si="9"/>
        <v xml:space="preserve"> </v>
      </c>
      <c r="G122" s="75" t="str">
        <f>IFERROR(TEXT(VLOOKUP(A122,COPY!$S$2:$W$1000,3,FALSE),"dd-mmmm-yyyy")," ")</f>
        <v xml:space="preserve"> </v>
      </c>
      <c r="H122" s="75" t="str">
        <f t="shared" si="10"/>
        <v xml:space="preserve"> </v>
      </c>
      <c r="I122" s="75" t="str">
        <f t="shared" si="11"/>
        <v xml:space="preserve"> </v>
      </c>
      <c r="J122" s="90" t="str">
        <f>IFERROR(VLOOKUP(A122,COPY!$S$2:$W$1000,4,FALSE)," ")</f>
        <v xml:space="preserve"> </v>
      </c>
      <c r="K122" s="75" t="str">
        <f>IFERROR(VLOOKUP(A122,COPY!$S$2:$W$1000,5,FALSE)," ")</f>
        <v xml:space="preserve"> </v>
      </c>
      <c r="L122" s="75" t="str">
        <f>IF(B122="","",IF(LEFT(B122,2)="Ma",(VLOOKUP(B122,'Rekap Gaji'!$C$12:$D$26,2,FALSE))&amp;" Untuk "&amp;(PROPER('Rekap Gaji'!$B$2)),IF(LEFT(B122,2)="Mg","Pembelian Material Bahan Bangunan",IF(LEFT(B122,2)="Me","Biaya Pembelanjaan Menejemen",IF(LEFT(B122,1)="G",VLOOKUP(A122,COPY!$S$2:$AA$1000,2,FALSE)&amp;"( "&amp;TEXT(VLOOKUP(B122,'Rekap Gaji'!$A$12:$I$26,5,FALSE),"dd-mm-yyyy")&amp;" "&amp;TEXT(VLOOKUP(B122,'Rekap Gaji'!$A$12:$I$26,6,FALSE)&amp;" "&amp;TEXT(VLOOKUP(B122,'Rekap Gaji'!$A$12:$I$26,7,FALSE),"dd-mm-yyyy")&amp;" )"," "))))))</f>
        <v/>
      </c>
      <c r="M122" s="75" t="str">
        <f>IF(OR(LEFT(B122,2)="mg",LEFT(B122,2)="mE"),VLOOKUP(A122,COPY!$S$2:$AA$1000,2,FALSE),IF(LEFT(B122,1)="G"," ",IF(LEFT(B122,2)="ma"," "," ")))</f>
        <v xml:space="preserve"> </v>
      </c>
      <c r="N122" s="75" t="str">
        <f>IFERROR(VLOOKUP($A$122&amp;"a",COPY!$S$2:$AA$1000,2,FALSE)," ")</f>
        <v xml:space="preserve"> </v>
      </c>
      <c r="O122" s="75" t="str">
        <f>IFERROR(VLOOKUP($A$122&amp;"aa",COPY!$S$2:$AA$1000,2,FALSE)," ")</f>
        <v xml:space="preserve"> </v>
      </c>
      <c r="P122" s="75" t="str">
        <f>IFERROR(VLOOKUP($A$122&amp;"aaa",COPY!$S$2:$AA$1000,2,FALSE)," ")</f>
        <v xml:space="preserve"> </v>
      </c>
      <c r="Q122" s="75" t="str">
        <f>IFERROR(VLOOKUP($A$122&amp;"aaaa",COPY!$S$2:$AA$1000,2,FALSE)," ")</f>
        <v xml:space="preserve"> </v>
      </c>
      <c r="R122" s="75" t="str">
        <f>IFERROR(VLOOKUP($A$122&amp;"aaaaa",COPY!$S$2:$AA$1000,2,FALSE)," ")</f>
        <v xml:space="preserve"> </v>
      </c>
      <c r="S122" s="75" t="str">
        <f>IFERROR(VLOOKUP($A$122&amp;"aaaaaa",COPY!$S$2:$AA$1000,2,FALSE)," ")</f>
        <v xml:space="preserve"> </v>
      </c>
      <c r="T122" s="75" t="str">
        <f>IFERROR(VLOOKUP($A$122&amp;"aaaaaaa",COPY!$S$2:$AA$1000,2,FALSE)," ")</f>
        <v xml:space="preserve"> </v>
      </c>
      <c r="U122" s="75" t="str">
        <f>IFERROR(VLOOKUP($A$122&amp;"aaaaaaaa",COPY!$S$2:$AA$1000,2,FALSE)," ")</f>
        <v xml:space="preserve"> </v>
      </c>
      <c r="V122" s="75" t="str">
        <f>IFERROR(VLOOKUP($A$122&amp;"aaaaaaaaa",COPY!$S$2:$AA$1000,2,FALSE)," ")</f>
        <v xml:space="preserve"> </v>
      </c>
      <c r="W122" s="75" t="str">
        <f>IFERROR(VLOOKUP($A$122&amp;"aaaaaaaaaa",COPY!$S$2:$AA$1000,2,FALSE)," ")</f>
        <v xml:space="preserve"> </v>
      </c>
      <c r="X122" s="75" t="str">
        <f>IFERROR(VLOOKUP($A$122&amp;"aaaaaaaaaaa",COPY!$S$2:$AA$1000,2,FALSE)," ")</f>
        <v xml:space="preserve"> </v>
      </c>
      <c r="Y122" s="90" t="str">
        <f>IF(OR(LEFT(B122,2)="mg",LEFT(B122,2)="mE"),VLOOKUP(A122,COPY!$S$2:$AA$1000,6,FALSE),IF(LEFT(B122,1)="G"," ",IF(LEFT(B122,2)="ma"," "," ")))</f>
        <v xml:space="preserve"> </v>
      </c>
      <c r="Z122" s="90" t="str">
        <f>IFERROR(VLOOKUP(A122&amp;"a",COPY!$S$2:$AA$1000,6,FALSE)," ")</f>
        <v xml:space="preserve"> </v>
      </c>
      <c r="AA122" s="90" t="str">
        <f>IFERROR(VLOOKUP(A122&amp;"aa",COPY!$S$2:$AA$1000,6,FALSE)," ")</f>
        <v xml:space="preserve"> </v>
      </c>
      <c r="AB122" s="90" t="str">
        <f>IFERROR(VLOOKUP(A122&amp;"aaa",COPY!$S$2:$AA$1000,6,FALSE)," ")</f>
        <v xml:space="preserve"> </v>
      </c>
      <c r="AC122" s="90" t="str">
        <f>IFERROR(VLOOKUP(A122&amp;"aaaa",COPY!$S$2:$AA$1000,6,FALSE)," ")</f>
        <v xml:space="preserve"> </v>
      </c>
      <c r="AD122" s="90" t="str">
        <f>IFERROR(VLOOKUP(A122&amp;"aaaaa",COPY!$S$2:$AA$1000,6,FALSE)," ")</f>
        <v xml:space="preserve"> </v>
      </c>
      <c r="AE122" s="90" t="str">
        <f>IFERROR(VLOOKUP(A122&amp;"aaaaaa",COPY!$S$2:$AA$1000,6,FALSE)," ")</f>
        <v xml:space="preserve"> </v>
      </c>
      <c r="AF122" s="90" t="str">
        <f>IFERROR(VLOOKUP(A122&amp;"aaaaaaa",COPY!$S$2:$AA$1000,6,FALSE)," ")</f>
        <v xml:space="preserve"> </v>
      </c>
      <c r="AG122" s="90" t="str">
        <f>IFERROR(VLOOKUP(A122&amp;"aaaaaaaa",COPY!$S$2:$AA$1000,6,FALSE)," ")</f>
        <v xml:space="preserve"> </v>
      </c>
      <c r="AH122" s="90" t="str">
        <f>IFERROR(VLOOKUP(A122&amp;"aaaaaaaaa",COPY!$S$2:$AA$1000,6,FALSE)," ")</f>
        <v xml:space="preserve"> </v>
      </c>
      <c r="AI122" s="90" t="str">
        <f>IFERROR(VLOOKUP(A122&amp;"aaaaaaaaaa",COPY!$S$2:$AA$1000,6,FALSE)," ")</f>
        <v xml:space="preserve"> </v>
      </c>
      <c r="AJ122" s="90" t="str">
        <f>IFERROR(VLOOKUP(A122&amp;"aaaaaaaaaaa",COPY!$S$2:$AA$1000,6,FALSE)," ")</f>
        <v xml:space="preserve"> </v>
      </c>
      <c r="AK122" s="90" t="str">
        <f>IF(LEFT(B122,2)="mg",VLOOKUP(A122,COPY!$S$2:$AA$1000,7,FALSE),IF(LEFT(B122,1)="G"," ",IF(LEFT(B122,2)="ma"," "," ")))</f>
        <v xml:space="preserve"> </v>
      </c>
      <c r="AL122" s="90" t="str">
        <f>IFERROR(VLOOKUP(A122&amp;"a",COPY!$S$2:$AA$1000,7,FALSE)," ")</f>
        <v xml:space="preserve"> </v>
      </c>
      <c r="AM122" s="90" t="str">
        <f>IFERROR(VLOOKUP(A122&amp;"aa",COPY!$S$2:$AA$1000,7,FALSE)," ")</f>
        <v xml:space="preserve"> </v>
      </c>
      <c r="AN122" s="90" t="str">
        <f>IFERROR(VLOOKUP(A122&amp;"aaa",COPY!$S$2:$AA$1000,7,FALSE)," ")</f>
        <v xml:space="preserve"> </v>
      </c>
      <c r="AO122" s="90" t="str">
        <f>IFERROR(VLOOKUP(A122&amp;"aaaa",COPY!$S$2:$AA$1000,7,FALSE)," ")</f>
        <v xml:space="preserve"> </v>
      </c>
      <c r="AP122" s="90" t="str">
        <f>IFERROR(VLOOKUP(A122&amp;"aaaaa",COPY!$S$2:$AA$1000,7,FALSE)," ")</f>
        <v xml:space="preserve"> </v>
      </c>
      <c r="AQ122" s="90" t="str">
        <f>IFERROR(VLOOKUP(A122&amp;"aaaaaa",COPY!$S$2:$AA$1000,7,FALSE)," ")</f>
        <v xml:space="preserve"> </v>
      </c>
      <c r="AR122" s="90" t="str">
        <f>IFERROR(VLOOKUP(A122&amp;"aaaaaaa",COPY!$S$2:$AA$1000,7,FALSE)," ")</f>
        <v xml:space="preserve"> </v>
      </c>
      <c r="AS122" s="90" t="str">
        <f>IFERROR(VLOOKUP(A122&amp;"aaaaaaaa",COPY!$S$2:$AA$1000,7,FALSE)," ")</f>
        <v xml:space="preserve"> </v>
      </c>
      <c r="AT122" s="90" t="str">
        <f>IFERROR(VLOOKUP(A122&amp;"aaaaaaaaa",COPY!$S$2:$AA$1000,7,FALSE)," ")</f>
        <v xml:space="preserve"> </v>
      </c>
      <c r="AU122" s="90" t="str">
        <f>IFERROR(VLOOKUP(A122&amp;"aaaaaaaaaa",COPY!$S$2:$AA$1000,7,FALSE)," ")</f>
        <v xml:space="preserve"> </v>
      </c>
      <c r="AV122" s="90" t="str">
        <f>IFERROR(VLOOKUP(A122&amp;"aaaaaaaaaaa",COPY!$S$2:$AA$1000,7,FALSE)," ")</f>
        <v xml:space="preserve"> </v>
      </c>
    </row>
    <row r="123" spans="1:48" x14ac:dyDescent="0.2">
      <c r="A123" s="75" t="str">
        <f>'REKAP PAJAK'!W160</f>
        <v/>
      </c>
      <c r="B123" s="75" t="str">
        <f>IF(LEN(A123)&gt;1,VLOOKUP(A123,COPY!$O$2:$R$1000,4,FALSE),"")</f>
        <v/>
      </c>
      <c r="C123" s="75" t="str">
        <f t="shared" si="6"/>
        <v xml:space="preserve"> </v>
      </c>
      <c r="D123" s="75" t="str">
        <f t="shared" si="7"/>
        <v xml:space="preserve"> </v>
      </c>
      <c r="E123" s="75" t="str">
        <f t="shared" si="8"/>
        <v xml:space="preserve"> </v>
      </c>
      <c r="F123" s="75" t="str">
        <f t="shared" si="9"/>
        <v xml:space="preserve"> </v>
      </c>
      <c r="G123" s="75" t="str">
        <f>IFERROR(TEXT(VLOOKUP(A123,COPY!$S$2:$W$1000,3,FALSE),"dd-mmmm-yyyy")," ")</f>
        <v xml:space="preserve"> </v>
      </c>
      <c r="H123" s="75" t="str">
        <f t="shared" si="10"/>
        <v xml:space="preserve"> </v>
      </c>
      <c r="I123" s="75" t="str">
        <f t="shared" si="11"/>
        <v xml:space="preserve"> </v>
      </c>
      <c r="J123" s="90" t="str">
        <f>IFERROR(VLOOKUP(A123,COPY!$S$2:$W$1000,4,FALSE)," ")</f>
        <v xml:space="preserve"> </v>
      </c>
      <c r="K123" s="75" t="str">
        <f>IFERROR(VLOOKUP(A123,COPY!$S$2:$W$1000,5,FALSE)," ")</f>
        <v xml:space="preserve"> </v>
      </c>
      <c r="L123" s="75" t="str">
        <f>IF(B123="","",IF(LEFT(B123,2)="Ma",(VLOOKUP(B123,'Rekap Gaji'!$C$12:$D$26,2,FALSE))&amp;" Untuk "&amp;(PROPER('Rekap Gaji'!$B$2)),IF(LEFT(B123,2)="Mg","Pembelian Material Bahan Bangunan",IF(LEFT(B123,2)="Me","Biaya Pembelanjaan Menejemen",IF(LEFT(B123,1)="G",VLOOKUP(A123,COPY!$S$2:$AA$1000,2,FALSE)&amp;"( "&amp;TEXT(VLOOKUP(B123,'Rekap Gaji'!$A$12:$I$26,5,FALSE),"dd-mm-yyyy")&amp;" "&amp;TEXT(VLOOKUP(B123,'Rekap Gaji'!$A$12:$I$26,6,FALSE)&amp;" "&amp;TEXT(VLOOKUP(B123,'Rekap Gaji'!$A$12:$I$26,7,FALSE),"dd-mm-yyyy")&amp;" )"," "))))))</f>
        <v/>
      </c>
      <c r="M123" s="75" t="str">
        <f>IF(OR(LEFT(B123,2)="mg",LEFT(B123,2)="mE"),VLOOKUP(A123,COPY!$S$2:$AA$1000,2,FALSE),IF(LEFT(B123,1)="G"," ",IF(LEFT(B123,2)="ma"," "," ")))</f>
        <v xml:space="preserve"> </v>
      </c>
      <c r="N123" s="75" t="str">
        <f>IFERROR(VLOOKUP($A$123&amp;"a",COPY!$S$2:$AA$1000,2,FALSE)," ")</f>
        <v xml:space="preserve"> </v>
      </c>
      <c r="O123" s="75" t="str">
        <f>IFERROR(VLOOKUP($A$123&amp;"aa",COPY!$S$2:$AA$1000,2,FALSE)," ")</f>
        <v xml:space="preserve"> </v>
      </c>
      <c r="P123" s="75" t="str">
        <f>IFERROR(VLOOKUP($A$123&amp;"aaa",COPY!$S$2:$AA$1000,2,FALSE)," ")</f>
        <v xml:space="preserve"> </v>
      </c>
      <c r="Q123" s="75" t="str">
        <f>IFERROR(VLOOKUP($A$123&amp;"aaaa",COPY!$S$2:$AA$1000,2,FALSE)," ")</f>
        <v xml:space="preserve"> </v>
      </c>
      <c r="R123" s="75" t="str">
        <f>IFERROR(VLOOKUP($A$123&amp;"aaaaa",COPY!$S$2:$AA$1000,2,FALSE)," ")</f>
        <v xml:space="preserve"> </v>
      </c>
      <c r="S123" s="75" t="str">
        <f>IFERROR(VLOOKUP($A$123&amp;"aaaaaa",COPY!$S$2:$AA$1000,2,FALSE)," ")</f>
        <v xml:space="preserve"> </v>
      </c>
      <c r="T123" s="75" t="str">
        <f>IFERROR(VLOOKUP($A$123&amp;"aaaaaaa",COPY!$S$2:$AA$1000,2,FALSE)," ")</f>
        <v xml:space="preserve"> </v>
      </c>
      <c r="U123" s="75" t="str">
        <f>IFERROR(VLOOKUP($A$123&amp;"aaaaaaaa",COPY!$S$2:$AA$1000,2,FALSE)," ")</f>
        <v xml:space="preserve"> </v>
      </c>
      <c r="V123" s="75" t="str">
        <f>IFERROR(VLOOKUP($A$123&amp;"aaaaaaaaa",COPY!$S$2:$AA$1000,2,FALSE)," ")</f>
        <v xml:space="preserve"> </v>
      </c>
      <c r="W123" s="75" t="str">
        <f>IFERROR(VLOOKUP($A$123&amp;"aaaaaaaaaa",COPY!$S$2:$AA$1000,2,FALSE)," ")</f>
        <v xml:space="preserve"> </v>
      </c>
      <c r="X123" s="75" t="str">
        <f>IFERROR(VLOOKUP($A$123&amp;"aaaaaaaaaaa",COPY!$S$2:$AA$1000,2,FALSE)," ")</f>
        <v xml:space="preserve"> </v>
      </c>
      <c r="Y123" s="90" t="str">
        <f>IF(OR(LEFT(B123,2)="mg",LEFT(B123,2)="mE"),VLOOKUP(A123,COPY!$S$2:$AA$1000,6,FALSE),IF(LEFT(B123,1)="G"," ",IF(LEFT(B123,2)="ma"," "," ")))</f>
        <v xml:space="preserve"> </v>
      </c>
      <c r="Z123" s="90" t="str">
        <f>IFERROR(VLOOKUP(A123&amp;"a",COPY!$S$2:$AA$1000,6,FALSE)," ")</f>
        <v xml:space="preserve"> </v>
      </c>
      <c r="AA123" s="90" t="str">
        <f>IFERROR(VLOOKUP(A123&amp;"aa",COPY!$S$2:$AA$1000,6,FALSE)," ")</f>
        <v xml:space="preserve"> </v>
      </c>
      <c r="AB123" s="90" t="str">
        <f>IFERROR(VLOOKUP(A123&amp;"aaa",COPY!$S$2:$AA$1000,6,FALSE)," ")</f>
        <v xml:space="preserve"> </v>
      </c>
      <c r="AC123" s="90" t="str">
        <f>IFERROR(VLOOKUP(A123&amp;"aaaa",COPY!$S$2:$AA$1000,6,FALSE)," ")</f>
        <v xml:space="preserve"> </v>
      </c>
      <c r="AD123" s="90" t="str">
        <f>IFERROR(VLOOKUP(A123&amp;"aaaaa",COPY!$S$2:$AA$1000,6,FALSE)," ")</f>
        <v xml:space="preserve"> </v>
      </c>
      <c r="AE123" s="90" t="str">
        <f>IFERROR(VLOOKUP(A123&amp;"aaaaaa",COPY!$S$2:$AA$1000,6,FALSE)," ")</f>
        <v xml:space="preserve"> </v>
      </c>
      <c r="AF123" s="90" t="str">
        <f>IFERROR(VLOOKUP(A123&amp;"aaaaaaa",COPY!$S$2:$AA$1000,6,FALSE)," ")</f>
        <v xml:space="preserve"> </v>
      </c>
      <c r="AG123" s="90" t="str">
        <f>IFERROR(VLOOKUP(A123&amp;"aaaaaaaa",COPY!$S$2:$AA$1000,6,FALSE)," ")</f>
        <v xml:space="preserve"> </v>
      </c>
      <c r="AH123" s="90" t="str">
        <f>IFERROR(VLOOKUP(A123&amp;"aaaaaaaaa",COPY!$S$2:$AA$1000,6,FALSE)," ")</f>
        <v xml:space="preserve"> </v>
      </c>
      <c r="AI123" s="90" t="str">
        <f>IFERROR(VLOOKUP(A123&amp;"aaaaaaaaaa",COPY!$S$2:$AA$1000,6,FALSE)," ")</f>
        <v xml:space="preserve"> </v>
      </c>
      <c r="AJ123" s="90" t="str">
        <f>IFERROR(VLOOKUP(A123&amp;"aaaaaaaaaaa",COPY!$S$2:$AA$1000,6,FALSE)," ")</f>
        <v xml:space="preserve"> </v>
      </c>
      <c r="AK123" s="90" t="str">
        <f>IF(LEFT(B123,2)="mg",VLOOKUP(A123,COPY!$S$2:$AA$1000,7,FALSE),IF(LEFT(B123,1)="G"," ",IF(LEFT(B123,2)="ma"," "," ")))</f>
        <v xml:space="preserve"> </v>
      </c>
      <c r="AL123" s="90" t="str">
        <f>IFERROR(VLOOKUP(A123&amp;"a",COPY!$S$2:$AA$1000,7,FALSE)," ")</f>
        <v xml:space="preserve"> </v>
      </c>
      <c r="AM123" s="90" t="str">
        <f>IFERROR(VLOOKUP(A123&amp;"aa",COPY!$S$2:$AA$1000,7,FALSE)," ")</f>
        <v xml:space="preserve"> </v>
      </c>
      <c r="AN123" s="90" t="str">
        <f>IFERROR(VLOOKUP(A123&amp;"aaa",COPY!$S$2:$AA$1000,7,FALSE)," ")</f>
        <v xml:space="preserve"> </v>
      </c>
      <c r="AO123" s="90" t="str">
        <f>IFERROR(VLOOKUP(A123&amp;"aaaa",COPY!$S$2:$AA$1000,7,FALSE)," ")</f>
        <v xml:space="preserve"> </v>
      </c>
      <c r="AP123" s="90" t="str">
        <f>IFERROR(VLOOKUP(A123&amp;"aaaaa",COPY!$S$2:$AA$1000,7,FALSE)," ")</f>
        <v xml:space="preserve"> </v>
      </c>
      <c r="AQ123" s="90" t="str">
        <f>IFERROR(VLOOKUP(A123&amp;"aaaaaa",COPY!$S$2:$AA$1000,7,FALSE)," ")</f>
        <v xml:space="preserve"> </v>
      </c>
      <c r="AR123" s="90" t="str">
        <f>IFERROR(VLOOKUP(A123&amp;"aaaaaaa",COPY!$S$2:$AA$1000,7,FALSE)," ")</f>
        <v xml:space="preserve"> </v>
      </c>
      <c r="AS123" s="90" t="str">
        <f>IFERROR(VLOOKUP(A123&amp;"aaaaaaaa",COPY!$S$2:$AA$1000,7,FALSE)," ")</f>
        <v xml:space="preserve"> </v>
      </c>
      <c r="AT123" s="90" t="str">
        <f>IFERROR(VLOOKUP(A123&amp;"aaaaaaaaa",COPY!$S$2:$AA$1000,7,FALSE)," ")</f>
        <v xml:space="preserve"> </v>
      </c>
      <c r="AU123" s="90" t="str">
        <f>IFERROR(VLOOKUP(A123&amp;"aaaaaaaaaa",COPY!$S$2:$AA$1000,7,FALSE)," ")</f>
        <v xml:space="preserve"> </v>
      </c>
      <c r="AV123" s="90" t="str">
        <f>IFERROR(VLOOKUP(A123&amp;"aaaaaaaaaaa",COPY!$S$2:$AA$1000,7,FALSE)," ")</f>
        <v xml:space="preserve"> </v>
      </c>
    </row>
    <row r="124" spans="1:48" x14ac:dyDescent="0.2">
      <c r="A124" s="75" t="str">
        <f>'REKAP PAJAK'!W161</f>
        <v/>
      </c>
      <c r="B124" s="75" t="str">
        <f>IF(LEN(A124)&gt;1,VLOOKUP(A124,COPY!$O$2:$R$1000,4,FALSE),"")</f>
        <v/>
      </c>
      <c r="C124" s="75" t="str">
        <f t="shared" si="6"/>
        <v xml:space="preserve"> </v>
      </c>
      <c r="D124" s="75" t="str">
        <f t="shared" si="7"/>
        <v xml:space="preserve"> </v>
      </c>
      <c r="E124" s="75" t="str">
        <f t="shared" si="8"/>
        <v xml:space="preserve"> </v>
      </c>
      <c r="F124" s="75" t="str">
        <f t="shared" si="9"/>
        <v xml:space="preserve"> </v>
      </c>
      <c r="G124" s="75" t="str">
        <f>IFERROR(TEXT(VLOOKUP(A124,COPY!$S$2:$W$1000,3,FALSE),"dd-mmmm-yyyy")," ")</f>
        <v xml:space="preserve"> </v>
      </c>
      <c r="H124" s="75" t="str">
        <f t="shared" si="10"/>
        <v xml:space="preserve"> </v>
      </c>
      <c r="I124" s="75" t="str">
        <f t="shared" si="11"/>
        <v xml:space="preserve"> </v>
      </c>
      <c r="J124" s="90" t="str">
        <f>IFERROR(VLOOKUP(A124,COPY!$S$2:$W$1000,4,FALSE)," ")</f>
        <v xml:space="preserve"> </v>
      </c>
      <c r="K124" s="75" t="str">
        <f>IFERROR(VLOOKUP(A124,COPY!$S$2:$W$1000,5,FALSE)," ")</f>
        <v xml:space="preserve"> </v>
      </c>
      <c r="L124" s="75" t="str">
        <f>IF(B124="","",IF(LEFT(B124,2)="Ma",(VLOOKUP(B124,'Rekap Gaji'!$C$12:$D$26,2,FALSE))&amp;" Untuk "&amp;(PROPER('Rekap Gaji'!$B$2)),IF(LEFT(B124,2)="Mg","Pembelian Material Bahan Bangunan",IF(LEFT(B124,2)="Me","Biaya Pembelanjaan Menejemen",IF(LEFT(B124,1)="G",VLOOKUP(A124,COPY!$S$2:$AA$1000,2,FALSE)&amp;"( "&amp;TEXT(VLOOKUP(B124,'Rekap Gaji'!$A$12:$I$26,5,FALSE),"dd-mm-yyyy")&amp;" "&amp;TEXT(VLOOKUP(B124,'Rekap Gaji'!$A$12:$I$26,6,FALSE)&amp;" "&amp;TEXT(VLOOKUP(B124,'Rekap Gaji'!$A$12:$I$26,7,FALSE),"dd-mm-yyyy")&amp;" )"," "))))))</f>
        <v/>
      </c>
      <c r="M124" s="75" t="str">
        <f>IF(OR(LEFT(B124,2)="mg",LEFT(B124,2)="mE"),VLOOKUP(A124,COPY!$S$2:$AA$1000,2,FALSE),IF(LEFT(B124,1)="G"," ",IF(LEFT(B124,2)="ma"," "," ")))</f>
        <v xml:space="preserve"> </v>
      </c>
      <c r="N124" s="75" t="str">
        <f>IFERROR(VLOOKUP($A$124&amp;"a",COPY!$S$2:$AA$1000,2,FALSE)," ")</f>
        <v xml:space="preserve"> </v>
      </c>
      <c r="O124" s="75" t="str">
        <f>IFERROR(VLOOKUP($A$124&amp;"aa",COPY!$S$2:$AA$1000,2,FALSE)," ")</f>
        <v xml:space="preserve"> </v>
      </c>
      <c r="P124" s="75" t="str">
        <f>IFERROR(VLOOKUP($A$124&amp;"aaa",COPY!$S$2:$AA$1000,2,FALSE)," ")</f>
        <v xml:space="preserve"> </v>
      </c>
      <c r="Q124" s="75" t="str">
        <f>IFERROR(VLOOKUP($A$124&amp;"aaaa",COPY!$S$2:$AA$1000,2,FALSE)," ")</f>
        <v xml:space="preserve"> </v>
      </c>
      <c r="R124" s="75" t="str">
        <f>IFERROR(VLOOKUP($A$124&amp;"aaaaa",COPY!$S$2:$AA$1000,2,FALSE)," ")</f>
        <v xml:space="preserve"> </v>
      </c>
      <c r="S124" s="75" t="str">
        <f>IFERROR(VLOOKUP($A$124&amp;"aaaaaa",COPY!$S$2:$AA$1000,2,FALSE)," ")</f>
        <v xml:space="preserve"> </v>
      </c>
      <c r="T124" s="75" t="str">
        <f>IFERROR(VLOOKUP($A$124&amp;"aaaaaaa",COPY!$S$2:$AA$1000,2,FALSE)," ")</f>
        <v xml:space="preserve"> </v>
      </c>
      <c r="U124" s="75" t="str">
        <f>IFERROR(VLOOKUP($A$124&amp;"aaaaaaaa",COPY!$S$2:$AA$1000,2,FALSE)," ")</f>
        <v xml:space="preserve"> </v>
      </c>
      <c r="V124" s="75" t="str">
        <f>IFERROR(VLOOKUP($A$124&amp;"aaaaaaaaa",COPY!$S$2:$AA$1000,2,FALSE)," ")</f>
        <v xml:space="preserve"> </v>
      </c>
      <c r="W124" s="75" t="str">
        <f>IFERROR(VLOOKUP($A$124&amp;"aaaaaaaaaa",COPY!$S$2:$AA$1000,2,FALSE)," ")</f>
        <v xml:space="preserve"> </v>
      </c>
      <c r="X124" s="75" t="str">
        <f>IFERROR(VLOOKUP($A$124&amp;"aaaaaaaaaaa",COPY!$S$2:$AA$1000,2,FALSE)," ")</f>
        <v xml:space="preserve"> </v>
      </c>
      <c r="Y124" s="90" t="str">
        <f>IF(OR(LEFT(B124,2)="mg",LEFT(B124,2)="mE"),VLOOKUP(A124,COPY!$S$2:$AA$1000,6,FALSE),IF(LEFT(B124,1)="G"," ",IF(LEFT(B124,2)="ma"," "," ")))</f>
        <v xml:space="preserve"> </v>
      </c>
      <c r="Z124" s="90" t="str">
        <f>IFERROR(VLOOKUP(A124&amp;"a",COPY!$S$2:$AA$1000,6,FALSE)," ")</f>
        <v xml:space="preserve"> </v>
      </c>
      <c r="AA124" s="90" t="str">
        <f>IFERROR(VLOOKUP(A124&amp;"aa",COPY!$S$2:$AA$1000,6,FALSE)," ")</f>
        <v xml:space="preserve"> </v>
      </c>
      <c r="AB124" s="90" t="str">
        <f>IFERROR(VLOOKUP(A124&amp;"aaa",COPY!$S$2:$AA$1000,6,FALSE)," ")</f>
        <v xml:space="preserve"> </v>
      </c>
      <c r="AC124" s="90" t="str">
        <f>IFERROR(VLOOKUP(A124&amp;"aaaa",COPY!$S$2:$AA$1000,6,FALSE)," ")</f>
        <v xml:space="preserve"> </v>
      </c>
      <c r="AD124" s="90" t="str">
        <f>IFERROR(VLOOKUP(A124&amp;"aaaaa",COPY!$S$2:$AA$1000,6,FALSE)," ")</f>
        <v xml:space="preserve"> </v>
      </c>
      <c r="AE124" s="90" t="str">
        <f>IFERROR(VLOOKUP(A124&amp;"aaaaaa",COPY!$S$2:$AA$1000,6,FALSE)," ")</f>
        <v xml:space="preserve"> </v>
      </c>
      <c r="AF124" s="90" t="str">
        <f>IFERROR(VLOOKUP(A124&amp;"aaaaaaa",COPY!$S$2:$AA$1000,6,FALSE)," ")</f>
        <v xml:space="preserve"> </v>
      </c>
      <c r="AG124" s="90" t="str">
        <f>IFERROR(VLOOKUP(A124&amp;"aaaaaaaa",COPY!$S$2:$AA$1000,6,FALSE)," ")</f>
        <v xml:space="preserve"> </v>
      </c>
      <c r="AH124" s="90" t="str">
        <f>IFERROR(VLOOKUP(A124&amp;"aaaaaaaaa",COPY!$S$2:$AA$1000,6,FALSE)," ")</f>
        <v xml:space="preserve"> </v>
      </c>
      <c r="AI124" s="90" t="str">
        <f>IFERROR(VLOOKUP(A124&amp;"aaaaaaaaaa",COPY!$S$2:$AA$1000,6,FALSE)," ")</f>
        <v xml:space="preserve"> </v>
      </c>
      <c r="AJ124" s="90" t="str">
        <f>IFERROR(VLOOKUP(A124&amp;"aaaaaaaaaaa",COPY!$S$2:$AA$1000,6,FALSE)," ")</f>
        <v xml:space="preserve"> </v>
      </c>
      <c r="AK124" s="90" t="str">
        <f>IF(LEFT(B124,2)="mg",VLOOKUP(A124,COPY!$S$2:$AA$1000,7,FALSE),IF(LEFT(B124,1)="G"," ",IF(LEFT(B124,2)="ma"," "," ")))</f>
        <v xml:space="preserve"> </v>
      </c>
      <c r="AL124" s="90" t="str">
        <f>IFERROR(VLOOKUP(A124&amp;"a",COPY!$S$2:$AA$1000,7,FALSE)," ")</f>
        <v xml:space="preserve"> </v>
      </c>
      <c r="AM124" s="90" t="str">
        <f>IFERROR(VLOOKUP(A124&amp;"aa",COPY!$S$2:$AA$1000,7,FALSE)," ")</f>
        <v xml:space="preserve"> </v>
      </c>
      <c r="AN124" s="90" t="str">
        <f>IFERROR(VLOOKUP(A124&amp;"aaa",COPY!$S$2:$AA$1000,7,FALSE)," ")</f>
        <v xml:space="preserve"> </v>
      </c>
      <c r="AO124" s="90" t="str">
        <f>IFERROR(VLOOKUP(A124&amp;"aaaa",COPY!$S$2:$AA$1000,7,FALSE)," ")</f>
        <v xml:space="preserve"> </v>
      </c>
      <c r="AP124" s="90" t="str">
        <f>IFERROR(VLOOKUP(A124&amp;"aaaaa",COPY!$S$2:$AA$1000,7,FALSE)," ")</f>
        <v xml:space="preserve"> </v>
      </c>
      <c r="AQ124" s="90" t="str">
        <f>IFERROR(VLOOKUP(A124&amp;"aaaaaa",COPY!$S$2:$AA$1000,7,FALSE)," ")</f>
        <v xml:space="preserve"> </v>
      </c>
      <c r="AR124" s="90" t="str">
        <f>IFERROR(VLOOKUP(A124&amp;"aaaaaaa",COPY!$S$2:$AA$1000,7,FALSE)," ")</f>
        <v xml:space="preserve"> </v>
      </c>
      <c r="AS124" s="90" t="str">
        <f>IFERROR(VLOOKUP(A124&amp;"aaaaaaaa",COPY!$S$2:$AA$1000,7,FALSE)," ")</f>
        <v xml:space="preserve"> </v>
      </c>
      <c r="AT124" s="90" t="str">
        <f>IFERROR(VLOOKUP(A124&amp;"aaaaaaaaa",COPY!$S$2:$AA$1000,7,FALSE)," ")</f>
        <v xml:space="preserve"> </v>
      </c>
      <c r="AU124" s="90" t="str">
        <f>IFERROR(VLOOKUP(A124&amp;"aaaaaaaaaa",COPY!$S$2:$AA$1000,7,FALSE)," ")</f>
        <v xml:space="preserve"> </v>
      </c>
      <c r="AV124" s="90" t="str">
        <f>IFERROR(VLOOKUP(A124&amp;"aaaaaaaaaaa",COPY!$S$2:$AA$1000,7,FALSE)," ")</f>
        <v xml:space="preserve"> </v>
      </c>
    </row>
    <row r="125" spans="1:48" x14ac:dyDescent="0.2">
      <c r="A125" s="75" t="str">
        <f>'REKAP PAJAK'!W162</f>
        <v/>
      </c>
      <c r="B125" s="75" t="str">
        <f>IF(LEN(A125)&gt;1,VLOOKUP(A125,COPY!$O$2:$R$1000,4,FALSE),"")</f>
        <v/>
      </c>
      <c r="C125" s="75" t="str">
        <f t="shared" si="6"/>
        <v xml:space="preserve"> </v>
      </c>
      <c r="D125" s="75" t="str">
        <f t="shared" si="7"/>
        <v xml:space="preserve"> </v>
      </c>
      <c r="E125" s="75" t="str">
        <f t="shared" si="8"/>
        <v xml:space="preserve"> </v>
      </c>
      <c r="F125" s="75" t="str">
        <f t="shared" si="9"/>
        <v xml:space="preserve"> </v>
      </c>
      <c r="G125" s="75" t="str">
        <f>IFERROR(TEXT(VLOOKUP(A125,COPY!$S$2:$W$1000,3,FALSE),"dd-mmmm-yyyy")," ")</f>
        <v xml:space="preserve"> </v>
      </c>
      <c r="H125" s="75" t="str">
        <f t="shared" si="10"/>
        <v xml:space="preserve"> </v>
      </c>
      <c r="I125" s="75" t="str">
        <f t="shared" si="11"/>
        <v xml:space="preserve"> </v>
      </c>
      <c r="J125" s="90" t="str">
        <f>IFERROR(VLOOKUP(A125,COPY!$S$2:$W$1000,4,FALSE)," ")</f>
        <v xml:space="preserve"> </v>
      </c>
      <c r="K125" s="75" t="str">
        <f>IFERROR(VLOOKUP(A125,COPY!$S$2:$W$1000,5,FALSE)," ")</f>
        <v xml:space="preserve"> </v>
      </c>
      <c r="L125" s="75" t="str">
        <f>IF(B125="","",IF(LEFT(B125,2)="Ma",(VLOOKUP(B125,'Rekap Gaji'!$C$12:$D$26,2,FALSE))&amp;" Untuk "&amp;(PROPER('Rekap Gaji'!$B$2)),IF(LEFT(B125,2)="Mg","Pembelian Material Bahan Bangunan",IF(LEFT(B125,2)="Me","Biaya Pembelanjaan Menejemen",IF(LEFT(B125,1)="G",VLOOKUP(A125,COPY!$S$2:$AA$1000,2,FALSE)&amp;"( "&amp;TEXT(VLOOKUP(B125,'Rekap Gaji'!$A$12:$I$26,5,FALSE),"dd-mm-yyyy")&amp;" "&amp;TEXT(VLOOKUP(B125,'Rekap Gaji'!$A$12:$I$26,6,FALSE)&amp;" "&amp;TEXT(VLOOKUP(B125,'Rekap Gaji'!$A$12:$I$26,7,FALSE),"dd-mm-yyyy")&amp;" )"," "))))))</f>
        <v/>
      </c>
      <c r="M125" s="75" t="str">
        <f>IF(OR(LEFT(B125,2)="mg",LEFT(B125,2)="mE"),VLOOKUP(A125,COPY!$S$2:$AA$1000,2,FALSE),IF(LEFT(B125,1)="G"," ",IF(LEFT(B125,2)="ma"," "," ")))</f>
        <v xml:space="preserve"> </v>
      </c>
      <c r="N125" s="75" t="str">
        <f>IFERROR(VLOOKUP($A$125&amp;"a",COPY!$S$2:$AA$1000,2,FALSE)," ")</f>
        <v xml:space="preserve"> </v>
      </c>
      <c r="O125" s="75" t="str">
        <f>IFERROR(VLOOKUP($A$125&amp;"aa",COPY!$S$2:$AA$1000,2,FALSE)," ")</f>
        <v xml:space="preserve"> </v>
      </c>
      <c r="P125" s="75" t="str">
        <f>IFERROR(VLOOKUP($A$125&amp;"aaa",COPY!$S$2:$AA$1000,2,FALSE)," ")</f>
        <v xml:space="preserve"> </v>
      </c>
      <c r="Q125" s="75" t="str">
        <f>IFERROR(VLOOKUP($A$125&amp;"aaaa",COPY!$S$2:$AA$1000,2,FALSE)," ")</f>
        <v xml:space="preserve"> </v>
      </c>
      <c r="R125" s="75" t="str">
        <f>IFERROR(VLOOKUP($A$125&amp;"aaaaa",COPY!$S$2:$AA$1000,2,FALSE)," ")</f>
        <v xml:space="preserve"> </v>
      </c>
      <c r="S125" s="75" t="str">
        <f>IFERROR(VLOOKUP($A$125&amp;"aaaaaa",COPY!$S$2:$AA$1000,2,FALSE)," ")</f>
        <v xml:space="preserve"> </v>
      </c>
      <c r="T125" s="75" t="str">
        <f>IFERROR(VLOOKUP($A$125&amp;"aaaaaaa",COPY!$S$2:$AA$1000,2,FALSE)," ")</f>
        <v xml:space="preserve"> </v>
      </c>
      <c r="U125" s="75" t="str">
        <f>IFERROR(VLOOKUP($A$125&amp;"aaaaaaaa",COPY!$S$2:$AA$1000,2,FALSE)," ")</f>
        <v xml:space="preserve"> </v>
      </c>
      <c r="V125" s="75" t="str">
        <f>IFERROR(VLOOKUP($A$125&amp;"aaaaaaaaa",COPY!$S$2:$AA$1000,2,FALSE)," ")</f>
        <v xml:space="preserve"> </v>
      </c>
      <c r="W125" s="75" t="str">
        <f>IFERROR(VLOOKUP($A$125&amp;"aaaaaaaaaa",COPY!$S$2:$AA$1000,2,FALSE)," ")</f>
        <v xml:space="preserve"> </v>
      </c>
      <c r="X125" s="75" t="str">
        <f>IFERROR(VLOOKUP($A$125&amp;"aaaaaaaaaaa",COPY!$S$2:$AA$1000,2,FALSE)," ")</f>
        <v xml:space="preserve"> </v>
      </c>
      <c r="Y125" s="90" t="str">
        <f>IF(OR(LEFT(B125,2)="mg",LEFT(B125,2)="mE"),VLOOKUP(A125,COPY!$S$2:$AA$1000,6,FALSE),IF(LEFT(B125,1)="G"," ",IF(LEFT(B125,2)="ma"," "," ")))</f>
        <v xml:space="preserve"> </v>
      </c>
      <c r="Z125" s="90" t="str">
        <f>IFERROR(VLOOKUP(A125&amp;"a",COPY!$S$2:$AA$1000,6,FALSE)," ")</f>
        <v xml:space="preserve"> </v>
      </c>
      <c r="AA125" s="90" t="str">
        <f>IFERROR(VLOOKUP(A125&amp;"aa",COPY!$S$2:$AA$1000,6,FALSE)," ")</f>
        <v xml:space="preserve"> </v>
      </c>
      <c r="AB125" s="90" t="str">
        <f>IFERROR(VLOOKUP(A125&amp;"aaa",COPY!$S$2:$AA$1000,6,FALSE)," ")</f>
        <v xml:space="preserve"> </v>
      </c>
      <c r="AC125" s="90" t="str">
        <f>IFERROR(VLOOKUP(A125&amp;"aaaa",COPY!$S$2:$AA$1000,6,FALSE)," ")</f>
        <v xml:space="preserve"> </v>
      </c>
      <c r="AD125" s="90" t="str">
        <f>IFERROR(VLOOKUP(A125&amp;"aaaaa",COPY!$S$2:$AA$1000,6,FALSE)," ")</f>
        <v xml:space="preserve"> </v>
      </c>
      <c r="AE125" s="90" t="str">
        <f>IFERROR(VLOOKUP(A125&amp;"aaaaaa",COPY!$S$2:$AA$1000,6,FALSE)," ")</f>
        <v xml:space="preserve"> </v>
      </c>
      <c r="AF125" s="90" t="str">
        <f>IFERROR(VLOOKUP(A125&amp;"aaaaaaa",COPY!$S$2:$AA$1000,6,FALSE)," ")</f>
        <v xml:space="preserve"> </v>
      </c>
      <c r="AG125" s="90" t="str">
        <f>IFERROR(VLOOKUP(A125&amp;"aaaaaaaa",COPY!$S$2:$AA$1000,6,FALSE)," ")</f>
        <v xml:space="preserve"> </v>
      </c>
      <c r="AH125" s="90" t="str">
        <f>IFERROR(VLOOKUP(A125&amp;"aaaaaaaaa",COPY!$S$2:$AA$1000,6,FALSE)," ")</f>
        <v xml:space="preserve"> </v>
      </c>
      <c r="AI125" s="90" t="str">
        <f>IFERROR(VLOOKUP(A125&amp;"aaaaaaaaaa",COPY!$S$2:$AA$1000,6,FALSE)," ")</f>
        <v xml:space="preserve"> </v>
      </c>
      <c r="AJ125" s="90" t="str">
        <f>IFERROR(VLOOKUP(A125&amp;"aaaaaaaaaaa",COPY!$S$2:$AA$1000,6,FALSE)," ")</f>
        <v xml:space="preserve"> </v>
      </c>
      <c r="AK125" s="90" t="str">
        <f>IF(LEFT(B125,2)="mg",VLOOKUP(A125,COPY!$S$2:$AA$1000,7,FALSE),IF(LEFT(B125,1)="G"," ",IF(LEFT(B125,2)="ma"," "," ")))</f>
        <v xml:space="preserve"> </v>
      </c>
      <c r="AL125" s="90" t="str">
        <f>IFERROR(VLOOKUP(A125&amp;"a",COPY!$S$2:$AA$1000,7,FALSE)," ")</f>
        <v xml:space="preserve"> </v>
      </c>
      <c r="AM125" s="90" t="str">
        <f>IFERROR(VLOOKUP(A125&amp;"aa",COPY!$S$2:$AA$1000,7,FALSE)," ")</f>
        <v xml:space="preserve"> </v>
      </c>
      <c r="AN125" s="90" t="str">
        <f>IFERROR(VLOOKUP(A125&amp;"aaa",COPY!$S$2:$AA$1000,7,FALSE)," ")</f>
        <v xml:space="preserve"> </v>
      </c>
      <c r="AO125" s="90" t="str">
        <f>IFERROR(VLOOKUP(A125&amp;"aaaa",COPY!$S$2:$AA$1000,7,FALSE)," ")</f>
        <v xml:space="preserve"> </v>
      </c>
      <c r="AP125" s="90" t="str">
        <f>IFERROR(VLOOKUP(A125&amp;"aaaaa",COPY!$S$2:$AA$1000,7,FALSE)," ")</f>
        <v xml:space="preserve"> </v>
      </c>
      <c r="AQ125" s="90" t="str">
        <f>IFERROR(VLOOKUP(A125&amp;"aaaaaa",COPY!$S$2:$AA$1000,7,FALSE)," ")</f>
        <v xml:space="preserve"> </v>
      </c>
      <c r="AR125" s="90" t="str">
        <f>IFERROR(VLOOKUP(A125&amp;"aaaaaaa",COPY!$S$2:$AA$1000,7,FALSE)," ")</f>
        <v xml:space="preserve"> </v>
      </c>
      <c r="AS125" s="90" t="str">
        <f>IFERROR(VLOOKUP(A125&amp;"aaaaaaaa",COPY!$S$2:$AA$1000,7,FALSE)," ")</f>
        <v xml:space="preserve"> </v>
      </c>
      <c r="AT125" s="90" t="str">
        <f>IFERROR(VLOOKUP(A125&amp;"aaaaaaaaa",COPY!$S$2:$AA$1000,7,FALSE)," ")</f>
        <v xml:space="preserve"> </v>
      </c>
      <c r="AU125" s="90" t="str">
        <f>IFERROR(VLOOKUP(A125&amp;"aaaaaaaaaa",COPY!$S$2:$AA$1000,7,FALSE)," ")</f>
        <v xml:space="preserve"> </v>
      </c>
      <c r="AV125" s="90" t="str">
        <f>IFERROR(VLOOKUP(A125&amp;"aaaaaaaaaaa",COPY!$S$2:$AA$1000,7,FALSE)," ")</f>
        <v xml:space="preserve"> </v>
      </c>
    </row>
    <row r="126" spans="1:48" x14ac:dyDescent="0.2">
      <c r="A126" s="75" t="str">
        <f>'REKAP PAJAK'!W163</f>
        <v/>
      </c>
      <c r="B126" s="75" t="str">
        <f>IF(LEN(A126)&gt;1,VLOOKUP(A126,COPY!$O$2:$R$1000,4,FALSE),"")</f>
        <v/>
      </c>
      <c r="C126" s="75" t="str">
        <f t="shared" si="6"/>
        <v xml:space="preserve"> </v>
      </c>
      <c r="D126" s="75" t="str">
        <f t="shared" si="7"/>
        <v xml:space="preserve"> </v>
      </c>
      <c r="E126" s="75" t="str">
        <f t="shared" si="8"/>
        <v xml:space="preserve"> </v>
      </c>
      <c r="F126" s="75" t="str">
        <f t="shared" si="9"/>
        <v xml:space="preserve"> </v>
      </c>
      <c r="G126" s="75" t="str">
        <f>IFERROR(TEXT(VLOOKUP(A126,COPY!$S$2:$W$1000,3,FALSE),"dd-mmmm-yyyy")," ")</f>
        <v xml:space="preserve"> </v>
      </c>
      <c r="H126" s="75" t="str">
        <f t="shared" si="10"/>
        <v xml:space="preserve"> </v>
      </c>
      <c r="I126" s="75" t="str">
        <f t="shared" si="11"/>
        <v xml:space="preserve"> </v>
      </c>
      <c r="J126" s="90" t="str">
        <f>IFERROR(VLOOKUP(A126,COPY!$S$2:$W$1000,4,FALSE)," ")</f>
        <v xml:space="preserve"> </v>
      </c>
      <c r="K126" s="75" t="str">
        <f>IFERROR(VLOOKUP(A126,COPY!$S$2:$W$1000,5,FALSE)," ")</f>
        <v xml:space="preserve"> </v>
      </c>
      <c r="L126" s="75" t="str">
        <f>IF(B126="","",IF(LEFT(B126,2)="Ma",(VLOOKUP(B126,'Rekap Gaji'!$C$12:$D$26,2,FALSE))&amp;" Untuk "&amp;(PROPER('Rekap Gaji'!$B$2)),IF(LEFT(B126,2)="Mg","Pembelian Material Bahan Bangunan",IF(LEFT(B126,2)="Me","Biaya Pembelanjaan Menejemen",IF(LEFT(B126,1)="G",VLOOKUP(A126,COPY!$S$2:$AA$1000,2,FALSE)&amp;"( "&amp;TEXT(VLOOKUP(B126,'Rekap Gaji'!$A$12:$I$26,5,FALSE),"dd-mm-yyyy")&amp;" "&amp;TEXT(VLOOKUP(B126,'Rekap Gaji'!$A$12:$I$26,6,FALSE)&amp;" "&amp;TEXT(VLOOKUP(B126,'Rekap Gaji'!$A$12:$I$26,7,FALSE),"dd-mm-yyyy")&amp;" )"," "))))))</f>
        <v/>
      </c>
      <c r="M126" s="75" t="str">
        <f>IF(OR(LEFT(B126,2)="mg",LEFT(B126,2)="mE"),VLOOKUP(A126,COPY!$S$2:$AA$1000,2,FALSE),IF(LEFT(B126,1)="G"," ",IF(LEFT(B126,2)="ma"," "," ")))</f>
        <v xml:space="preserve"> </v>
      </c>
      <c r="N126" s="75" t="str">
        <f>IFERROR(VLOOKUP($A$126&amp;"a",COPY!$S$2:$AA$1000,2,FALSE)," ")</f>
        <v xml:space="preserve"> </v>
      </c>
      <c r="O126" s="75" t="str">
        <f>IFERROR(VLOOKUP($A$126&amp;"aa",COPY!$S$2:$AA$1000,2,FALSE)," ")</f>
        <v xml:space="preserve"> </v>
      </c>
      <c r="P126" s="75" t="str">
        <f>IFERROR(VLOOKUP($A$126&amp;"aaa",COPY!$S$2:$AA$1000,2,FALSE)," ")</f>
        <v xml:space="preserve"> </v>
      </c>
      <c r="Q126" s="75" t="str">
        <f>IFERROR(VLOOKUP($A$126&amp;"aaaa",COPY!$S$2:$AA$1000,2,FALSE)," ")</f>
        <v xml:space="preserve"> </v>
      </c>
      <c r="R126" s="75" t="str">
        <f>IFERROR(VLOOKUP($A$126&amp;"aaaaa",COPY!$S$2:$AA$1000,2,FALSE)," ")</f>
        <v xml:space="preserve"> </v>
      </c>
      <c r="S126" s="75" t="str">
        <f>IFERROR(VLOOKUP($A$126&amp;"aaaaaa",COPY!$S$2:$AA$1000,2,FALSE)," ")</f>
        <v xml:space="preserve"> </v>
      </c>
      <c r="T126" s="75" t="str">
        <f>IFERROR(VLOOKUP($A$126&amp;"aaaaaaa",COPY!$S$2:$AA$1000,2,FALSE)," ")</f>
        <v xml:space="preserve"> </v>
      </c>
      <c r="U126" s="75" t="str">
        <f>IFERROR(VLOOKUP($A$126&amp;"aaaaaaaa",COPY!$S$2:$AA$1000,2,FALSE)," ")</f>
        <v xml:space="preserve"> </v>
      </c>
      <c r="V126" s="75" t="str">
        <f>IFERROR(VLOOKUP($A$126&amp;"aaaaaaaaa",COPY!$S$2:$AA$1000,2,FALSE)," ")</f>
        <v xml:space="preserve"> </v>
      </c>
      <c r="W126" s="75" t="str">
        <f>IFERROR(VLOOKUP($A$126&amp;"aaaaaaaaaa",COPY!$S$2:$AA$1000,2,FALSE)," ")</f>
        <v xml:space="preserve"> </v>
      </c>
      <c r="X126" s="75" t="str">
        <f>IFERROR(VLOOKUP($A$126&amp;"aaaaaaaaaaa",COPY!$S$2:$AA$1000,2,FALSE)," ")</f>
        <v xml:space="preserve"> </v>
      </c>
      <c r="Y126" s="90" t="str">
        <f>IF(OR(LEFT(B126,2)="mg",LEFT(B126,2)="mE"),VLOOKUP(A126,COPY!$S$2:$AA$1000,6,FALSE),IF(LEFT(B126,1)="G"," ",IF(LEFT(B126,2)="ma"," "," ")))</f>
        <v xml:space="preserve"> </v>
      </c>
      <c r="Z126" s="90" t="str">
        <f>IFERROR(VLOOKUP(A126&amp;"a",COPY!$S$2:$AA$1000,6,FALSE)," ")</f>
        <v xml:space="preserve"> </v>
      </c>
      <c r="AA126" s="90" t="str">
        <f>IFERROR(VLOOKUP(A126&amp;"aa",COPY!$S$2:$AA$1000,6,FALSE)," ")</f>
        <v xml:space="preserve"> </v>
      </c>
      <c r="AB126" s="90" t="str">
        <f>IFERROR(VLOOKUP(A126&amp;"aaa",COPY!$S$2:$AA$1000,6,FALSE)," ")</f>
        <v xml:space="preserve"> </v>
      </c>
      <c r="AC126" s="90" t="str">
        <f>IFERROR(VLOOKUP(A126&amp;"aaaa",COPY!$S$2:$AA$1000,6,FALSE)," ")</f>
        <v xml:space="preserve"> </v>
      </c>
      <c r="AD126" s="90" t="str">
        <f>IFERROR(VLOOKUP(A126&amp;"aaaaa",COPY!$S$2:$AA$1000,6,FALSE)," ")</f>
        <v xml:space="preserve"> </v>
      </c>
      <c r="AE126" s="90" t="str">
        <f>IFERROR(VLOOKUP(A126&amp;"aaaaaa",COPY!$S$2:$AA$1000,6,FALSE)," ")</f>
        <v xml:space="preserve"> </v>
      </c>
      <c r="AF126" s="90" t="str">
        <f>IFERROR(VLOOKUP(A126&amp;"aaaaaaa",COPY!$S$2:$AA$1000,6,FALSE)," ")</f>
        <v xml:space="preserve"> </v>
      </c>
      <c r="AG126" s="90" t="str">
        <f>IFERROR(VLOOKUP(A126&amp;"aaaaaaaa",COPY!$S$2:$AA$1000,6,FALSE)," ")</f>
        <v xml:space="preserve"> </v>
      </c>
      <c r="AH126" s="90" t="str">
        <f>IFERROR(VLOOKUP(A126&amp;"aaaaaaaaa",COPY!$S$2:$AA$1000,6,FALSE)," ")</f>
        <v xml:space="preserve"> </v>
      </c>
      <c r="AI126" s="90" t="str">
        <f>IFERROR(VLOOKUP(A126&amp;"aaaaaaaaaa",COPY!$S$2:$AA$1000,6,FALSE)," ")</f>
        <v xml:space="preserve"> </v>
      </c>
      <c r="AJ126" s="90" t="str">
        <f>IFERROR(VLOOKUP(A126&amp;"aaaaaaaaaaa",COPY!$S$2:$AA$1000,6,FALSE)," ")</f>
        <v xml:space="preserve"> </v>
      </c>
      <c r="AK126" s="90" t="str">
        <f>IF(LEFT(B126,2)="mg",VLOOKUP(A126,COPY!$S$2:$AA$1000,7,FALSE),IF(LEFT(B126,1)="G"," ",IF(LEFT(B126,2)="ma"," "," ")))</f>
        <v xml:space="preserve"> </v>
      </c>
      <c r="AL126" s="90" t="str">
        <f>IFERROR(VLOOKUP(A126&amp;"a",COPY!$S$2:$AA$1000,7,FALSE)," ")</f>
        <v xml:space="preserve"> </v>
      </c>
      <c r="AM126" s="90" t="str">
        <f>IFERROR(VLOOKUP(A126&amp;"aa",COPY!$S$2:$AA$1000,7,FALSE)," ")</f>
        <v xml:space="preserve"> </v>
      </c>
      <c r="AN126" s="90" t="str">
        <f>IFERROR(VLOOKUP(A126&amp;"aaa",COPY!$S$2:$AA$1000,7,FALSE)," ")</f>
        <v xml:space="preserve"> </v>
      </c>
      <c r="AO126" s="90" t="str">
        <f>IFERROR(VLOOKUP(A126&amp;"aaaa",COPY!$S$2:$AA$1000,7,FALSE)," ")</f>
        <v xml:space="preserve"> </v>
      </c>
      <c r="AP126" s="90" t="str">
        <f>IFERROR(VLOOKUP(A126&amp;"aaaaa",COPY!$S$2:$AA$1000,7,FALSE)," ")</f>
        <v xml:space="preserve"> </v>
      </c>
      <c r="AQ126" s="90" t="str">
        <f>IFERROR(VLOOKUP(A126&amp;"aaaaaa",COPY!$S$2:$AA$1000,7,FALSE)," ")</f>
        <v xml:space="preserve"> </v>
      </c>
      <c r="AR126" s="90" t="str">
        <f>IFERROR(VLOOKUP(A126&amp;"aaaaaaa",COPY!$S$2:$AA$1000,7,FALSE)," ")</f>
        <v xml:space="preserve"> </v>
      </c>
      <c r="AS126" s="90" t="str">
        <f>IFERROR(VLOOKUP(A126&amp;"aaaaaaaa",COPY!$S$2:$AA$1000,7,FALSE)," ")</f>
        <v xml:space="preserve"> </v>
      </c>
      <c r="AT126" s="90" t="str">
        <f>IFERROR(VLOOKUP(A126&amp;"aaaaaaaaa",COPY!$S$2:$AA$1000,7,FALSE)," ")</f>
        <v xml:space="preserve"> </v>
      </c>
      <c r="AU126" s="90" t="str">
        <f>IFERROR(VLOOKUP(A126&amp;"aaaaaaaaaa",COPY!$S$2:$AA$1000,7,FALSE)," ")</f>
        <v xml:space="preserve"> </v>
      </c>
      <c r="AV126" s="90" t="str">
        <f>IFERROR(VLOOKUP(A126&amp;"aaaaaaaaaaa",COPY!$S$2:$AA$1000,7,FALSE)," ")</f>
        <v xml:space="preserve"> </v>
      </c>
    </row>
    <row r="127" spans="1:48" x14ac:dyDescent="0.2">
      <c r="A127" s="75" t="str">
        <f>'REKAP PAJAK'!W164</f>
        <v/>
      </c>
      <c r="B127" s="75" t="str">
        <f>IF(LEN(A127)&gt;1,VLOOKUP(A127,COPY!$O$2:$R$1000,4,FALSE),"")</f>
        <v/>
      </c>
      <c r="C127" s="75" t="str">
        <f t="shared" si="6"/>
        <v xml:space="preserve"> </v>
      </c>
      <c r="D127" s="75" t="str">
        <f t="shared" si="7"/>
        <v xml:space="preserve"> </v>
      </c>
      <c r="E127" s="75" t="str">
        <f t="shared" si="8"/>
        <v xml:space="preserve"> </v>
      </c>
      <c r="F127" s="75" t="str">
        <f t="shared" si="9"/>
        <v xml:space="preserve"> </v>
      </c>
      <c r="G127" s="75" t="str">
        <f>IFERROR(TEXT(VLOOKUP(A127,COPY!$S$2:$W$1000,3,FALSE),"dd-mmmm-yyyy")," ")</f>
        <v xml:space="preserve"> </v>
      </c>
      <c r="H127" s="75" t="str">
        <f t="shared" si="10"/>
        <v xml:space="preserve"> </v>
      </c>
      <c r="I127" s="75" t="str">
        <f t="shared" si="11"/>
        <v xml:space="preserve"> </v>
      </c>
      <c r="J127" s="90" t="str">
        <f>IFERROR(VLOOKUP(A127,COPY!$S$2:$W$1000,4,FALSE)," ")</f>
        <v xml:space="preserve"> </v>
      </c>
      <c r="K127" s="75" t="str">
        <f>IFERROR(VLOOKUP(A127,COPY!$S$2:$W$1000,5,FALSE)," ")</f>
        <v xml:space="preserve"> </v>
      </c>
      <c r="L127" s="75" t="str">
        <f>IF(B127="","",IF(LEFT(B127,2)="Ma",(VLOOKUP(B127,'Rekap Gaji'!$C$12:$D$26,2,FALSE))&amp;" Untuk "&amp;(PROPER('Rekap Gaji'!$B$2)),IF(LEFT(B127,2)="Mg","Pembelian Material Bahan Bangunan",IF(LEFT(B127,2)="Me","Biaya Pembelanjaan Menejemen",IF(LEFT(B127,1)="G",VLOOKUP(A127,COPY!$S$2:$AA$1000,2,FALSE)&amp;"( "&amp;TEXT(VLOOKUP(B127,'Rekap Gaji'!$A$12:$I$26,5,FALSE),"dd-mm-yyyy")&amp;" "&amp;TEXT(VLOOKUP(B127,'Rekap Gaji'!$A$12:$I$26,6,FALSE)&amp;" "&amp;TEXT(VLOOKUP(B127,'Rekap Gaji'!$A$12:$I$26,7,FALSE),"dd-mm-yyyy")&amp;" )"," "))))))</f>
        <v/>
      </c>
      <c r="M127" s="75" t="str">
        <f>IF(OR(LEFT(B127,2)="mg",LEFT(B127,2)="mE"),VLOOKUP(A127,COPY!$S$2:$AA$1000,2,FALSE),IF(LEFT(B127,1)="G"," ",IF(LEFT(B127,2)="ma"," "," ")))</f>
        <v xml:space="preserve"> </v>
      </c>
      <c r="N127" s="75" t="str">
        <f>IFERROR(VLOOKUP($A$127&amp;"a",COPY!$S$2:$AA$1000,2,FALSE)," ")</f>
        <v xml:space="preserve"> </v>
      </c>
      <c r="O127" s="75" t="str">
        <f>IFERROR(VLOOKUP($A$127&amp;"aa",COPY!$S$2:$AA$1000,2,FALSE)," ")</f>
        <v xml:space="preserve"> </v>
      </c>
      <c r="P127" s="75" t="str">
        <f>IFERROR(VLOOKUP($A$127&amp;"aaa",COPY!$S$2:$AA$1000,2,FALSE)," ")</f>
        <v xml:space="preserve"> </v>
      </c>
      <c r="Q127" s="75" t="str">
        <f>IFERROR(VLOOKUP($A$127&amp;"aaaa",COPY!$S$2:$AA$1000,2,FALSE)," ")</f>
        <v xml:space="preserve"> </v>
      </c>
      <c r="R127" s="75" t="str">
        <f>IFERROR(VLOOKUP($A$127&amp;"aaaaa",COPY!$S$2:$AA$1000,2,FALSE)," ")</f>
        <v xml:space="preserve"> </v>
      </c>
      <c r="S127" s="75" t="str">
        <f>IFERROR(VLOOKUP($A$127&amp;"aaaaaa",COPY!$S$2:$AA$1000,2,FALSE)," ")</f>
        <v xml:space="preserve"> </v>
      </c>
      <c r="T127" s="75" t="str">
        <f>IFERROR(VLOOKUP($A$127&amp;"aaaaaaa",COPY!$S$2:$AA$1000,2,FALSE)," ")</f>
        <v xml:space="preserve"> </v>
      </c>
      <c r="U127" s="75" t="str">
        <f>IFERROR(VLOOKUP($A$127&amp;"aaaaaaaa",COPY!$S$2:$AA$1000,2,FALSE)," ")</f>
        <v xml:space="preserve"> </v>
      </c>
      <c r="V127" s="75" t="str">
        <f>IFERROR(VLOOKUP($A$127&amp;"aaaaaaaaa",COPY!$S$2:$AA$1000,2,FALSE)," ")</f>
        <v xml:space="preserve"> </v>
      </c>
      <c r="W127" s="75" t="str">
        <f>IFERROR(VLOOKUP($A$127&amp;"aaaaaaaaaa",COPY!$S$2:$AA$1000,2,FALSE)," ")</f>
        <v xml:space="preserve"> </v>
      </c>
      <c r="X127" s="75" t="str">
        <f>IFERROR(VLOOKUP($A$127&amp;"aaaaaaaaaaa",COPY!$S$2:$AA$1000,2,FALSE)," ")</f>
        <v xml:space="preserve"> </v>
      </c>
      <c r="Y127" s="90" t="str">
        <f>IF(OR(LEFT(B127,2)="mg",LEFT(B127,2)="mE"),VLOOKUP(A127,COPY!$S$2:$AA$1000,6,FALSE),IF(LEFT(B127,1)="G"," ",IF(LEFT(B127,2)="ma"," "," ")))</f>
        <v xml:space="preserve"> </v>
      </c>
      <c r="Z127" s="90" t="str">
        <f>IFERROR(VLOOKUP(A127&amp;"a",COPY!$S$2:$AA$1000,6,FALSE)," ")</f>
        <v xml:space="preserve"> </v>
      </c>
      <c r="AA127" s="90" t="str">
        <f>IFERROR(VLOOKUP(A127&amp;"aa",COPY!$S$2:$AA$1000,6,FALSE)," ")</f>
        <v xml:space="preserve"> </v>
      </c>
      <c r="AB127" s="90" t="str">
        <f>IFERROR(VLOOKUP(A127&amp;"aaa",COPY!$S$2:$AA$1000,6,FALSE)," ")</f>
        <v xml:space="preserve"> </v>
      </c>
      <c r="AC127" s="90" t="str">
        <f>IFERROR(VLOOKUP(A127&amp;"aaaa",COPY!$S$2:$AA$1000,6,FALSE)," ")</f>
        <v xml:space="preserve"> </v>
      </c>
      <c r="AD127" s="90" t="str">
        <f>IFERROR(VLOOKUP(A127&amp;"aaaaa",COPY!$S$2:$AA$1000,6,FALSE)," ")</f>
        <v xml:space="preserve"> </v>
      </c>
      <c r="AE127" s="90" t="str">
        <f>IFERROR(VLOOKUP(A127&amp;"aaaaaa",COPY!$S$2:$AA$1000,6,FALSE)," ")</f>
        <v xml:space="preserve"> </v>
      </c>
      <c r="AF127" s="90" t="str">
        <f>IFERROR(VLOOKUP(A127&amp;"aaaaaaa",COPY!$S$2:$AA$1000,6,FALSE)," ")</f>
        <v xml:space="preserve"> </v>
      </c>
      <c r="AG127" s="90" t="str">
        <f>IFERROR(VLOOKUP(A127&amp;"aaaaaaaa",COPY!$S$2:$AA$1000,6,FALSE)," ")</f>
        <v xml:space="preserve"> </v>
      </c>
      <c r="AH127" s="90" t="str">
        <f>IFERROR(VLOOKUP(A127&amp;"aaaaaaaaa",COPY!$S$2:$AA$1000,6,FALSE)," ")</f>
        <v xml:space="preserve"> </v>
      </c>
      <c r="AI127" s="90" t="str">
        <f>IFERROR(VLOOKUP(A127&amp;"aaaaaaaaaa",COPY!$S$2:$AA$1000,6,FALSE)," ")</f>
        <v xml:space="preserve"> </v>
      </c>
      <c r="AJ127" s="90" t="str">
        <f>IFERROR(VLOOKUP(A127&amp;"aaaaaaaaaaa",COPY!$S$2:$AA$1000,6,FALSE)," ")</f>
        <v xml:space="preserve"> </v>
      </c>
      <c r="AK127" s="90" t="str">
        <f>IF(LEFT(B127,2)="mg",VLOOKUP(A127,COPY!$S$2:$AA$1000,7,FALSE),IF(LEFT(B127,1)="G"," ",IF(LEFT(B127,2)="ma"," "," ")))</f>
        <v xml:space="preserve"> </v>
      </c>
      <c r="AL127" s="90" t="str">
        <f>IFERROR(VLOOKUP(A127&amp;"a",COPY!$S$2:$AA$1000,7,FALSE)," ")</f>
        <v xml:space="preserve"> </v>
      </c>
      <c r="AM127" s="90" t="str">
        <f>IFERROR(VLOOKUP(A127&amp;"aa",COPY!$S$2:$AA$1000,7,FALSE)," ")</f>
        <v xml:space="preserve"> </v>
      </c>
      <c r="AN127" s="90" t="str">
        <f>IFERROR(VLOOKUP(A127&amp;"aaa",COPY!$S$2:$AA$1000,7,FALSE)," ")</f>
        <v xml:space="preserve"> </v>
      </c>
      <c r="AO127" s="90" t="str">
        <f>IFERROR(VLOOKUP(A127&amp;"aaaa",COPY!$S$2:$AA$1000,7,FALSE)," ")</f>
        <v xml:space="preserve"> </v>
      </c>
      <c r="AP127" s="90" t="str">
        <f>IFERROR(VLOOKUP(A127&amp;"aaaaa",COPY!$S$2:$AA$1000,7,FALSE)," ")</f>
        <v xml:space="preserve"> </v>
      </c>
      <c r="AQ127" s="90" t="str">
        <f>IFERROR(VLOOKUP(A127&amp;"aaaaaa",COPY!$S$2:$AA$1000,7,FALSE)," ")</f>
        <v xml:space="preserve"> </v>
      </c>
      <c r="AR127" s="90" t="str">
        <f>IFERROR(VLOOKUP(A127&amp;"aaaaaaa",COPY!$S$2:$AA$1000,7,FALSE)," ")</f>
        <v xml:space="preserve"> </v>
      </c>
      <c r="AS127" s="90" t="str">
        <f>IFERROR(VLOOKUP(A127&amp;"aaaaaaaa",COPY!$S$2:$AA$1000,7,FALSE)," ")</f>
        <v xml:space="preserve"> </v>
      </c>
      <c r="AT127" s="90" t="str">
        <f>IFERROR(VLOOKUP(A127&amp;"aaaaaaaaa",COPY!$S$2:$AA$1000,7,FALSE)," ")</f>
        <v xml:space="preserve"> </v>
      </c>
      <c r="AU127" s="90" t="str">
        <f>IFERROR(VLOOKUP(A127&amp;"aaaaaaaaaa",COPY!$S$2:$AA$1000,7,FALSE)," ")</f>
        <v xml:space="preserve"> </v>
      </c>
      <c r="AV127" s="90" t="str">
        <f>IFERROR(VLOOKUP(A127&amp;"aaaaaaaaaaa",COPY!$S$2:$AA$1000,7,FALSE)," ")</f>
        <v xml:space="preserve"> </v>
      </c>
    </row>
    <row r="128" spans="1:48" x14ac:dyDescent="0.2">
      <c r="A128" s="75" t="str">
        <f>'REKAP PAJAK'!W165</f>
        <v/>
      </c>
      <c r="B128" s="75" t="str">
        <f>IF(LEN(A128)&gt;1,VLOOKUP(A128,COPY!$O$2:$R$1000,4,FALSE),"")</f>
        <v/>
      </c>
      <c r="C128" s="75" t="str">
        <f t="shared" si="6"/>
        <v xml:space="preserve"> </v>
      </c>
      <c r="D128" s="75" t="str">
        <f t="shared" si="7"/>
        <v xml:space="preserve"> </v>
      </c>
      <c r="E128" s="75" t="str">
        <f t="shared" si="8"/>
        <v xml:space="preserve"> </v>
      </c>
      <c r="F128" s="75" t="str">
        <f t="shared" si="9"/>
        <v xml:space="preserve"> </v>
      </c>
      <c r="G128" s="75" t="str">
        <f>IFERROR(TEXT(VLOOKUP(A128,COPY!$S$2:$W$1000,3,FALSE),"dd-mmmm-yyyy")," ")</f>
        <v xml:space="preserve"> </v>
      </c>
      <c r="H128" s="75" t="str">
        <f t="shared" si="10"/>
        <v xml:space="preserve"> </v>
      </c>
      <c r="I128" s="75" t="str">
        <f t="shared" si="11"/>
        <v xml:space="preserve"> </v>
      </c>
      <c r="J128" s="90" t="str">
        <f>IFERROR(VLOOKUP(A128,COPY!$S$2:$W$1000,4,FALSE)," ")</f>
        <v xml:space="preserve"> </v>
      </c>
      <c r="K128" s="75" t="str">
        <f>IFERROR(VLOOKUP(A128,COPY!$S$2:$W$1000,5,FALSE)," ")</f>
        <v xml:space="preserve"> </v>
      </c>
      <c r="L128" s="75" t="str">
        <f>IF(B128="","",IF(LEFT(B128,2)="Ma",(VLOOKUP(B128,'Rekap Gaji'!$C$12:$D$26,2,FALSE))&amp;" Untuk "&amp;(PROPER('Rekap Gaji'!$B$2)),IF(LEFT(B128,2)="Mg","Pembelian Material Bahan Bangunan",IF(LEFT(B128,2)="Me","Biaya Pembelanjaan Menejemen",IF(LEFT(B128,1)="G",VLOOKUP(A128,COPY!$S$2:$AA$1000,2,FALSE)&amp;"( "&amp;TEXT(VLOOKUP(B128,'Rekap Gaji'!$A$12:$I$26,5,FALSE),"dd-mm-yyyy")&amp;" "&amp;TEXT(VLOOKUP(B128,'Rekap Gaji'!$A$12:$I$26,6,FALSE)&amp;" "&amp;TEXT(VLOOKUP(B128,'Rekap Gaji'!$A$12:$I$26,7,FALSE),"dd-mm-yyyy")&amp;" )"," "))))))</f>
        <v/>
      </c>
      <c r="M128" s="75" t="str">
        <f>IF(OR(LEFT(B128,2)="mg",LEFT(B128,2)="mE"),VLOOKUP(A128,COPY!$S$2:$AA$1000,2,FALSE),IF(LEFT(B128,1)="G"," ",IF(LEFT(B128,2)="ma"," "," ")))</f>
        <v xml:space="preserve"> </v>
      </c>
      <c r="N128" s="75" t="str">
        <f>IFERROR(VLOOKUP($A$128&amp;"a",COPY!$S$2:$AA$1000,2,FALSE)," ")</f>
        <v xml:space="preserve"> </v>
      </c>
      <c r="O128" s="75" t="str">
        <f>IFERROR(VLOOKUP($A$128&amp;"aa",COPY!$S$2:$AA$1000,2,FALSE)," ")</f>
        <v xml:space="preserve"> </v>
      </c>
      <c r="P128" s="75" t="str">
        <f>IFERROR(VLOOKUP($A$128&amp;"aaa",COPY!$S$2:$AA$1000,2,FALSE)," ")</f>
        <v xml:space="preserve"> </v>
      </c>
      <c r="Q128" s="75" t="str">
        <f>IFERROR(VLOOKUP($A$128&amp;"aaaa",COPY!$S$2:$AA$1000,2,FALSE)," ")</f>
        <v xml:space="preserve"> </v>
      </c>
      <c r="R128" s="75" t="str">
        <f>IFERROR(VLOOKUP($A$128&amp;"aaaaa",COPY!$S$2:$AA$1000,2,FALSE)," ")</f>
        <v xml:space="preserve"> </v>
      </c>
      <c r="S128" s="75" t="str">
        <f>IFERROR(VLOOKUP($A$128&amp;"aaaaaa",COPY!$S$2:$AA$1000,2,FALSE)," ")</f>
        <v xml:space="preserve"> </v>
      </c>
      <c r="T128" s="75" t="str">
        <f>IFERROR(VLOOKUP($A$128&amp;"aaaaaaa",COPY!$S$2:$AA$1000,2,FALSE)," ")</f>
        <v xml:space="preserve"> </v>
      </c>
      <c r="U128" s="75" t="str">
        <f>IFERROR(VLOOKUP($A$128&amp;"aaaaaaaa",COPY!$S$2:$AA$1000,2,FALSE)," ")</f>
        <v xml:space="preserve"> </v>
      </c>
      <c r="V128" s="75" t="str">
        <f>IFERROR(VLOOKUP($A$128&amp;"aaaaaaaaa",COPY!$S$2:$AA$1000,2,FALSE)," ")</f>
        <v xml:space="preserve"> </v>
      </c>
      <c r="W128" s="75" t="str">
        <f>IFERROR(VLOOKUP($A$128&amp;"aaaaaaaaaa",COPY!$S$2:$AA$1000,2,FALSE)," ")</f>
        <v xml:space="preserve"> </v>
      </c>
      <c r="X128" s="75" t="str">
        <f>IFERROR(VLOOKUP($A$128&amp;"aaaaaaaaaaa",COPY!$S$2:$AA$1000,2,FALSE)," ")</f>
        <v xml:space="preserve"> </v>
      </c>
      <c r="Y128" s="90" t="str">
        <f>IF(OR(LEFT(B128,2)="mg",LEFT(B128,2)="mE"),VLOOKUP(A128,COPY!$S$2:$AA$1000,6,FALSE),IF(LEFT(B128,1)="G"," ",IF(LEFT(B128,2)="ma"," "," ")))</f>
        <v xml:space="preserve"> </v>
      </c>
      <c r="Z128" s="90" t="str">
        <f>IFERROR(VLOOKUP(A128&amp;"a",COPY!$S$2:$AA$1000,6,FALSE)," ")</f>
        <v xml:space="preserve"> </v>
      </c>
      <c r="AA128" s="90" t="str">
        <f>IFERROR(VLOOKUP(A128&amp;"aa",COPY!$S$2:$AA$1000,6,FALSE)," ")</f>
        <v xml:space="preserve"> </v>
      </c>
      <c r="AB128" s="90" t="str">
        <f>IFERROR(VLOOKUP(A128&amp;"aaa",COPY!$S$2:$AA$1000,6,FALSE)," ")</f>
        <v xml:space="preserve"> </v>
      </c>
      <c r="AC128" s="90" t="str">
        <f>IFERROR(VLOOKUP(A128&amp;"aaaa",COPY!$S$2:$AA$1000,6,FALSE)," ")</f>
        <v xml:space="preserve"> </v>
      </c>
      <c r="AD128" s="90" t="str">
        <f>IFERROR(VLOOKUP(A128&amp;"aaaaa",COPY!$S$2:$AA$1000,6,FALSE)," ")</f>
        <v xml:space="preserve"> </v>
      </c>
      <c r="AE128" s="90" t="str">
        <f>IFERROR(VLOOKUP(A128&amp;"aaaaaa",COPY!$S$2:$AA$1000,6,FALSE)," ")</f>
        <v xml:space="preserve"> </v>
      </c>
      <c r="AF128" s="90" t="str">
        <f>IFERROR(VLOOKUP(A128&amp;"aaaaaaa",COPY!$S$2:$AA$1000,6,FALSE)," ")</f>
        <v xml:space="preserve"> </v>
      </c>
      <c r="AG128" s="90" t="str">
        <f>IFERROR(VLOOKUP(A128&amp;"aaaaaaaa",COPY!$S$2:$AA$1000,6,FALSE)," ")</f>
        <v xml:space="preserve"> </v>
      </c>
      <c r="AH128" s="90" t="str">
        <f>IFERROR(VLOOKUP(A128&amp;"aaaaaaaaa",COPY!$S$2:$AA$1000,6,FALSE)," ")</f>
        <v xml:space="preserve"> </v>
      </c>
      <c r="AI128" s="90" t="str">
        <f>IFERROR(VLOOKUP(A128&amp;"aaaaaaaaaa",COPY!$S$2:$AA$1000,6,FALSE)," ")</f>
        <v xml:space="preserve"> </v>
      </c>
      <c r="AJ128" s="90" t="str">
        <f>IFERROR(VLOOKUP(A128&amp;"aaaaaaaaaaa",COPY!$S$2:$AA$1000,6,FALSE)," ")</f>
        <v xml:space="preserve"> </v>
      </c>
      <c r="AK128" s="90" t="str">
        <f>IF(LEFT(B128,2)="mg",VLOOKUP(A128,COPY!$S$2:$AA$1000,7,FALSE),IF(LEFT(B128,1)="G"," ",IF(LEFT(B128,2)="ma"," "," ")))</f>
        <v xml:space="preserve"> </v>
      </c>
      <c r="AL128" s="90" t="str">
        <f>IFERROR(VLOOKUP(A128&amp;"a",COPY!$S$2:$AA$1000,7,FALSE)," ")</f>
        <v xml:space="preserve"> </v>
      </c>
      <c r="AM128" s="90" t="str">
        <f>IFERROR(VLOOKUP(A128&amp;"aa",COPY!$S$2:$AA$1000,7,FALSE)," ")</f>
        <v xml:space="preserve"> </v>
      </c>
      <c r="AN128" s="90" t="str">
        <f>IFERROR(VLOOKUP(A128&amp;"aaa",COPY!$S$2:$AA$1000,7,FALSE)," ")</f>
        <v xml:space="preserve"> </v>
      </c>
      <c r="AO128" s="90" t="str">
        <f>IFERROR(VLOOKUP(A128&amp;"aaaa",COPY!$S$2:$AA$1000,7,FALSE)," ")</f>
        <v xml:space="preserve"> </v>
      </c>
      <c r="AP128" s="90" t="str">
        <f>IFERROR(VLOOKUP(A128&amp;"aaaaa",COPY!$S$2:$AA$1000,7,FALSE)," ")</f>
        <v xml:space="preserve"> </v>
      </c>
      <c r="AQ128" s="90" t="str">
        <f>IFERROR(VLOOKUP(A128&amp;"aaaaaa",COPY!$S$2:$AA$1000,7,FALSE)," ")</f>
        <v xml:space="preserve"> </v>
      </c>
      <c r="AR128" s="90" t="str">
        <f>IFERROR(VLOOKUP(A128&amp;"aaaaaaa",COPY!$S$2:$AA$1000,7,FALSE)," ")</f>
        <v xml:space="preserve"> </v>
      </c>
      <c r="AS128" s="90" t="str">
        <f>IFERROR(VLOOKUP(A128&amp;"aaaaaaaa",COPY!$S$2:$AA$1000,7,FALSE)," ")</f>
        <v xml:space="preserve"> </v>
      </c>
      <c r="AT128" s="90" t="str">
        <f>IFERROR(VLOOKUP(A128&amp;"aaaaaaaaa",COPY!$S$2:$AA$1000,7,FALSE)," ")</f>
        <v xml:space="preserve"> </v>
      </c>
      <c r="AU128" s="90" t="str">
        <f>IFERROR(VLOOKUP(A128&amp;"aaaaaaaaaa",COPY!$S$2:$AA$1000,7,FALSE)," ")</f>
        <v xml:space="preserve"> </v>
      </c>
      <c r="AV128" s="90" t="str">
        <f>IFERROR(VLOOKUP(A128&amp;"aaaaaaaaaaa",COPY!$S$2:$AA$1000,7,FALSE)," ")</f>
        <v xml:space="preserve"> </v>
      </c>
    </row>
    <row r="129" spans="1:48" x14ac:dyDescent="0.2">
      <c r="A129" s="75" t="str">
        <f>'REKAP PAJAK'!W166</f>
        <v/>
      </c>
      <c r="B129" s="75" t="str">
        <f>IF(LEN(A129)&gt;1,VLOOKUP(A129,COPY!$O$2:$R$1000,4,FALSE),"")</f>
        <v/>
      </c>
      <c r="C129" s="75" t="str">
        <f t="shared" si="6"/>
        <v xml:space="preserve"> </v>
      </c>
      <c r="D129" s="75" t="str">
        <f t="shared" si="7"/>
        <v xml:space="preserve"> </v>
      </c>
      <c r="E129" s="75" t="str">
        <f t="shared" si="8"/>
        <v xml:space="preserve"> </v>
      </c>
      <c r="F129" s="75" t="str">
        <f t="shared" si="9"/>
        <v xml:space="preserve"> </v>
      </c>
      <c r="G129" s="75" t="str">
        <f>IFERROR(TEXT(VLOOKUP(A129,COPY!$S$2:$W$1000,3,FALSE),"dd-mmmm-yyyy")," ")</f>
        <v xml:space="preserve"> </v>
      </c>
      <c r="H129" s="75" t="str">
        <f t="shared" si="10"/>
        <v xml:space="preserve"> </v>
      </c>
      <c r="I129" s="75" t="str">
        <f t="shared" si="11"/>
        <v xml:space="preserve"> </v>
      </c>
      <c r="J129" s="90" t="str">
        <f>IFERROR(VLOOKUP(A129,COPY!$S$2:$W$1000,4,FALSE)," ")</f>
        <v xml:space="preserve"> </v>
      </c>
      <c r="K129" s="75" t="str">
        <f>IFERROR(VLOOKUP(A129,COPY!$S$2:$W$1000,5,FALSE)," ")</f>
        <v xml:space="preserve"> </v>
      </c>
      <c r="L129" s="75" t="str">
        <f>IF(B129="","",IF(LEFT(B129,2)="Ma",(VLOOKUP(B129,'Rekap Gaji'!$C$12:$D$26,2,FALSE))&amp;" Untuk "&amp;(PROPER('Rekap Gaji'!$B$2)),IF(LEFT(B129,2)="Mg","Pembelian Material Bahan Bangunan",IF(LEFT(B129,2)="Me","Biaya Pembelanjaan Menejemen",IF(LEFT(B129,1)="G",VLOOKUP(A129,COPY!$S$2:$AA$1000,2,FALSE)&amp;"( "&amp;TEXT(VLOOKUP(B129,'Rekap Gaji'!$A$12:$I$26,5,FALSE),"dd-mm-yyyy")&amp;" "&amp;TEXT(VLOOKUP(B129,'Rekap Gaji'!$A$12:$I$26,6,FALSE)&amp;" "&amp;TEXT(VLOOKUP(B129,'Rekap Gaji'!$A$12:$I$26,7,FALSE),"dd-mm-yyyy")&amp;" )"," "))))))</f>
        <v/>
      </c>
      <c r="M129" s="75" t="str">
        <f>IF(OR(LEFT(B129,2)="mg",LEFT(B129,2)="mE"),VLOOKUP(A129,COPY!$S$2:$AA$1000,2,FALSE),IF(LEFT(B129,1)="G"," ",IF(LEFT(B129,2)="ma"," "," ")))</f>
        <v xml:space="preserve"> </v>
      </c>
      <c r="N129" s="75" t="str">
        <f>IFERROR(VLOOKUP($A$129&amp;"a",COPY!$S$2:$AA$1000,2,FALSE)," ")</f>
        <v xml:space="preserve"> </v>
      </c>
      <c r="O129" s="75" t="str">
        <f>IFERROR(VLOOKUP($A$129&amp;"aa",COPY!$S$2:$AA$1000,2,FALSE)," ")</f>
        <v xml:space="preserve"> </v>
      </c>
      <c r="P129" s="75" t="str">
        <f>IFERROR(VLOOKUP($A$129&amp;"aaa",COPY!$S$2:$AA$1000,2,FALSE)," ")</f>
        <v xml:space="preserve"> </v>
      </c>
      <c r="Q129" s="75" t="str">
        <f>IFERROR(VLOOKUP($A$129&amp;"aaaa",COPY!$S$2:$AA$1000,2,FALSE)," ")</f>
        <v xml:space="preserve"> </v>
      </c>
      <c r="R129" s="75" t="str">
        <f>IFERROR(VLOOKUP($A$129&amp;"aaaaa",COPY!$S$2:$AA$1000,2,FALSE)," ")</f>
        <v xml:space="preserve"> </v>
      </c>
      <c r="S129" s="75" t="str">
        <f>IFERROR(VLOOKUP($A$129&amp;"aaaaaa",COPY!$S$2:$AA$1000,2,FALSE)," ")</f>
        <v xml:space="preserve"> </v>
      </c>
      <c r="T129" s="75" t="str">
        <f>IFERROR(VLOOKUP($A$129&amp;"aaaaaaa",COPY!$S$2:$AA$1000,2,FALSE)," ")</f>
        <v xml:space="preserve"> </v>
      </c>
      <c r="U129" s="75" t="str">
        <f>IFERROR(VLOOKUP($A$129&amp;"aaaaaaaa",COPY!$S$2:$AA$1000,2,FALSE)," ")</f>
        <v xml:space="preserve"> </v>
      </c>
      <c r="V129" s="75" t="str">
        <f>IFERROR(VLOOKUP($A$129&amp;"aaaaaaaaa",COPY!$S$2:$AA$1000,2,FALSE)," ")</f>
        <v xml:space="preserve"> </v>
      </c>
      <c r="W129" s="75" t="str">
        <f>IFERROR(VLOOKUP($A$129&amp;"aaaaaaaaaa",COPY!$S$2:$AA$1000,2,FALSE)," ")</f>
        <v xml:space="preserve"> </v>
      </c>
      <c r="X129" s="75" t="str">
        <f>IFERROR(VLOOKUP($A$129&amp;"aaaaaaaaaaa",COPY!$S$2:$AA$1000,2,FALSE)," ")</f>
        <v xml:space="preserve"> </v>
      </c>
      <c r="Y129" s="90" t="str">
        <f>IF(OR(LEFT(B129,2)="mg",LEFT(B129,2)="mE"),VLOOKUP(A129,COPY!$S$2:$AA$1000,6,FALSE),IF(LEFT(B129,1)="G"," ",IF(LEFT(B129,2)="ma"," "," ")))</f>
        <v xml:space="preserve"> </v>
      </c>
      <c r="Z129" s="90" t="str">
        <f>IFERROR(VLOOKUP(A129&amp;"a",COPY!$S$2:$AA$1000,6,FALSE)," ")</f>
        <v xml:space="preserve"> </v>
      </c>
      <c r="AA129" s="90" t="str">
        <f>IFERROR(VLOOKUP(A129&amp;"aa",COPY!$S$2:$AA$1000,6,FALSE)," ")</f>
        <v xml:space="preserve"> </v>
      </c>
      <c r="AB129" s="90" t="str">
        <f>IFERROR(VLOOKUP(A129&amp;"aaa",COPY!$S$2:$AA$1000,6,FALSE)," ")</f>
        <v xml:space="preserve"> </v>
      </c>
      <c r="AC129" s="90" t="str">
        <f>IFERROR(VLOOKUP(A129&amp;"aaaa",COPY!$S$2:$AA$1000,6,FALSE)," ")</f>
        <v xml:space="preserve"> </v>
      </c>
      <c r="AD129" s="90" t="str">
        <f>IFERROR(VLOOKUP(A129&amp;"aaaaa",COPY!$S$2:$AA$1000,6,FALSE)," ")</f>
        <v xml:space="preserve"> </v>
      </c>
      <c r="AE129" s="90" t="str">
        <f>IFERROR(VLOOKUP(A129&amp;"aaaaaa",COPY!$S$2:$AA$1000,6,FALSE)," ")</f>
        <v xml:space="preserve"> </v>
      </c>
      <c r="AF129" s="90" t="str">
        <f>IFERROR(VLOOKUP(A129&amp;"aaaaaaa",COPY!$S$2:$AA$1000,6,FALSE)," ")</f>
        <v xml:space="preserve"> </v>
      </c>
      <c r="AG129" s="90" t="str">
        <f>IFERROR(VLOOKUP(A129&amp;"aaaaaaaa",COPY!$S$2:$AA$1000,6,FALSE)," ")</f>
        <v xml:space="preserve"> </v>
      </c>
      <c r="AH129" s="90" t="str">
        <f>IFERROR(VLOOKUP(A129&amp;"aaaaaaaaa",COPY!$S$2:$AA$1000,6,FALSE)," ")</f>
        <v xml:space="preserve"> </v>
      </c>
      <c r="AI129" s="90" t="str">
        <f>IFERROR(VLOOKUP(A129&amp;"aaaaaaaaaa",COPY!$S$2:$AA$1000,6,FALSE)," ")</f>
        <v xml:space="preserve"> </v>
      </c>
      <c r="AJ129" s="90" t="str">
        <f>IFERROR(VLOOKUP(A129&amp;"aaaaaaaaaaa",COPY!$S$2:$AA$1000,6,FALSE)," ")</f>
        <v xml:space="preserve"> </v>
      </c>
      <c r="AK129" s="90" t="str">
        <f>IF(LEFT(B129,2)="mg",VLOOKUP(A129,COPY!$S$2:$AA$1000,7,FALSE),IF(LEFT(B129,1)="G"," ",IF(LEFT(B129,2)="ma"," "," ")))</f>
        <v xml:space="preserve"> </v>
      </c>
      <c r="AL129" s="90" t="str">
        <f>IFERROR(VLOOKUP(A129&amp;"a",COPY!$S$2:$AA$1000,7,FALSE)," ")</f>
        <v xml:space="preserve"> </v>
      </c>
      <c r="AM129" s="90" t="str">
        <f>IFERROR(VLOOKUP(A129&amp;"aa",COPY!$S$2:$AA$1000,7,FALSE)," ")</f>
        <v xml:space="preserve"> </v>
      </c>
      <c r="AN129" s="90" t="str">
        <f>IFERROR(VLOOKUP(A129&amp;"aaa",COPY!$S$2:$AA$1000,7,FALSE)," ")</f>
        <v xml:space="preserve"> </v>
      </c>
      <c r="AO129" s="90" t="str">
        <f>IFERROR(VLOOKUP(A129&amp;"aaaa",COPY!$S$2:$AA$1000,7,FALSE)," ")</f>
        <v xml:space="preserve"> </v>
      </c>
      <c r="AP129" s="90" t="str">
        <f>IFERROR(VLOOKUP(A129&amp;"aaaaa",COPY!$S$2:$AA$1000,7,FALSE)," ")</f>
        <v xml:space="preserve"> </v>
      </c>
      <c r="AQ129" s="90" t="str">
        <f>IFERROR(VLOOKUP(A129&amp;"aaaaaa",COPY!$S$2:$AA$1000,7,FALSE)," ")</f>
        <v xml:space="preserve"> </v>
      </c>
      <c r="AR129" s="90" t="str">
        <f>IFERROR(VLOOKUP(A129&amp;"aaaaaaa",COPY!$S$2:$AA$1000,7,FALSE)," ")</f>
        <v xml:space="preserve"> </v>
      </c>
      <c r="AS129" s="90" t="str">
        <f>IFERROR(VLOOKUP(A129&amp;"aaaaaaaa",COPY!$S$2:$AA$1000,7,FALSE)," ")</f>
        <v xml:space="preserve"> </v>
      </c>
      <c r="AT129" s="90" t="str">
        <f>IFERROR(VLOOKUP(A129&amp;"aaaaaaaaa",COPY!$S$2:$AA$1000,7,FALSE)," ")</f>
        <v xml:space="preserve"> </v>
      </c>
      <c r="AU129" s="90" t="str">
        <f>IFERROR(VLOOKUP(A129&amp;"aaaaaaaaaa",COPY!$S$2:$AA$1000,7,FALSE)," ")</f>
        <v xml:space="preserve"> </v>
      </c>
      <c r="AV129" s="90" t="str">
        <f>IFERROR(VLOOKUP(A129&amp;"aaaaaaaaaaa",COPY!$S$2:$AA$1000,7,FALSE)," ")</f>
        <v xml:space="preserve"> </v>
      </c>
    </row>
    <row r="130" spans="1:48" x14ac:dyDescent="0.2">
      <c r="A130" s="75" t="str">
        <f>'REKAP PAJAK'!W167</f>
        <v/>
      </c>
      <c r="B130" s="75" t="str">
        <f>IF(LEN(A130)&gt;1,VLOOKUP(A130,COPY!$O$2:$R$1000,4,FALSE),"")</f>
        <v/>
      </c>
      <c r="C130" s="75" t="str">
        <f t="shared" si="6"/>
        <v xml:space="preserve"> </v>
      </c>
      <c r="D130" s="75" t="str">
        <f t="shared" si="7"/>
        <v xml:space="preserve"> </v>
      </c>
      <c r="E130" s="75" t="str">
        <f t="shared" si="8"/>
        <v xml:space="preserve"> </v>
      </c>
      <c r="F130" s="75" t="str">
        <f t="shared" si="9"/>
        <v xml:space="preserve"> </v>
      </c>
      <c r="G130" s="75" t="str">
        <f>IFERROR(TEXT(VLOOKUP(A130,COPY!$S$2:$W$1000,3,FALSE),"dd-mmmm-yyyy")," ")</f>
        <v xml:space="preserve"> </v>
      </c>
      <c r="H130" s="75" t="str">
        <f t="shared" si="10"/>
        <v xml:space="preserve"> </v>
      </c>
      <c r="I130" s="75" t="str">
        <f t="shared" si="11"/>
        <v xml:space="preserve"> </v>
      </c>
      <c r="J130" s="90" t="str">
        <f>IFERROR(VLOOKUP(A130,COPY!$S$2:$W$1000,4,FALSE)," ")</f>
        <v xml:space="preserve"> </v>
      </c>
      <c r="K130" s="75" t="str">
        <f>IFERROR(VLOOKUP(A130,COPY!$S$2:$W$1000,5,FALSE)," ")</f>
        <v xml:space="preserve"> </v>
      </c>
      <c r="L130" s="75" t="str">
        <f>IF(B130="","",IF(LEFT(B130,2)="Ma",(VLOOKUP(B130,'Rekap Gaji'!$C$12:$D$26,2,FALSE))&amp;" Untuk "&amp;(PROPER('Rekap Gaji'!$B$2)),IF(LEFT(B130,2)="Mg","Pembelian Material Bahan Bangunan",IF(LEFT(B130,2)="Me","Biaya Pembelanjaan Menejemen",IF(LEFT(B130,1)="G",VLOOKUP(A130,COPY!$S$2:$AA$1000,2,FALSE)&amp;"( "&amp;TEXT(VLOOKUP(B130,'Rekap Gaji'!$A$12:$I$26,5,FALSE),"dd-mm-yyyy")&amp;" "&amp;TEXT(VLOOKUP(B130,'Rekap Gaji'!$A$12:$I$26,6,FALSE)&amp;" "&amp;TEXT(VLOOKUP(B130,'Rekap Gaji'!$A$12:$I$26,7,FALSE),"dd-mm-yyyy")&amp;" )"," "))))))</f>
        <v/>
      </c>
      <c r="M130" s="75" t="str">
        <f>IF(OR(LEFT(B130,2)="mg",LEFT(B130,2)="mE"),VLOOKUP(A130,COPY!$S$2:$AA$1000,2,FALSE),IF(LEFT(B130,1)="G"," ",IF(LEFT(B130,2)="ma"," "," ")))</f>
        <v xml:space="preserve"> </v>
      </c>
      <c r="N130" s="75" t="str">
        <f>IFERROR(VLOOKUP($A$130&amp;"a",COPY!$S$2:$AA$1000,2,FALSE)," ")</f>
        <v xml:space="preserve"> </v>
      </c>
      <c r="O130" s="75" t="str">
        <f>IFERROR(VLOOKUP($A$130&amp;"aa",COPY!$S$2:$AA$1000,2,FALSE)," ")</f>
        <v xml:space="preserve"> </v>
      </c>
      <c r="P130" s="75" t="str">
        <f>IFERROR(VLOOKUP($A$130&amp;"aaa",COPY!$S$2:$AA$1000,2,FALSE)," ")</f>
        <v xml:space="preserve"> </v>
      </c>
      <c r="Q130" s="75" t="str">
        <f>IFERROR(VLOOKUP($A$130&amp;"aaaa",COPY!$S$2:$AA$1000,2,FALSE)," ")</f>
        <v xml:space="preserve"> </v>
      </c>
      <c r="R130" s="75" t="str">
        <f>IFERROR(VLOOKUP($A$130&amp;"aaaaa",COPY!$S$2:$AA$1000,2,FALSE)," ")</f>
        <v xml:space="preserve"> </v>
      </c>
      <c r="S130" s="75" t="str">
        <f>IFERROR(VLOOKUP($A$130&amp;"aaaaaa",COPY!$S$2:$AA$1000,2,FALSE)," ")</f>
        <v xml:space="preserve"> </v>
      </c>
      <c r="T130" s="75" t="str">
        <f>IFERROR(VLOOKUP($A$130&amp;"aaaaaaa",COPY!$S$2:$AA$1000,2,FALSE)," ")</f>
        <v xml:space="preserve"> </v>
      </c>
      <c r="U130" s="75" t="str">
        <f>IFERROR(VLOOKUP($A$130&amp;"aaaaaaaa",COPY!$S$2:$AA$1000,2,FALSE)," ")</f>
        <v xml:space="preserve"> </v>
      </c>
      <c r="V130" s="75" t="str">
        <f>IFERROR(VLOOKUP($A$130&amp;"aaaaaaaaa",COPY!$S$2:$AA$1000,2,FALSE)," ")</f>
        <v xml:space="preserve"> </v>
      </c>
      <c r="W130" s="75" t="str">
        <f>IFERROR(VLOOKUP($A$130&amp;"aaaaaaaaaa",COPY!$S$2:$AA$1000,2,FALSE)," ")</f>
        <v xml:space="preserve"> </v>
      </c>
      <c r="X130" s="75" t="str">
        <f>IFERROR(VLOOKUP($A$130&amp;"aaaaaaaaaaa",COPY!$S$2:$AA$1000,2,FALSE)," ")</f>
        <v xml:space="preserve"> </v>
      </c>
      <c r="Y130" s="90" t="str">
        <f>IF(OR(LEFT(B130,2)="mg",LEFT(B130,2)="mE"),VLOOKUP(A130,COPY!$S$2:$AA$1000,6,FALSE),IF(LEFT(B130,1)="G"," ",IF(LEFT(B130,2)="ma"," "," ")))</f>
        <v xml:space="preserve"> </v>
      </c>
      <c r="Z130" s="90" t="str">
        <f>IFERROR(VLOOKUP(A130&amp;"a",COPY!$S$2:$AA$1000,6,FALSE)," ")</f>
        <v xml:space="preserve"> </v>
      </c>
      <c r="AA130" s="90" t="str">
        <f>IFERROR(VLOOKUP(A130&amp;"aa",COPY!$S$2:$AA$1000,6,FALSE)," ")</f>
        <v xml:space="preserve"> </v>
      </c>
      <c r="AB130" s="90" t="str">
        <f>IFERROR(VLOOKUP(A130&amp;"aaa",COPY!$S$2:$AA$1000,6,FALSE)," ")</f>
        <v xml:space="preserve"> </v>
      </c>
      <c r="AC130" s="90" t="str">
        <f>IFERROR(VLOOKUP(A130&amp;"aaaa",COPY!$S$2:$AA$1000,6,FALSE)," ")</f>
        <v xml:space="preserve"> </v>
      </c>
      <c r="AD130" s="90" t="str">
        <f>IFERROR(VLOOKUP(A130&amp;"aaaaa",COPY!$S$2:$AA$1000,6,FALSE)," ")</f>
        <v xml:space="preserve"> </v>
      </c>
      <c r="AE130" s="90" t="str">
        <f>IFERROR(VLOOKUP(A130&amp;"aaaaaa",COPY!$S$2:$AA$1000,6,FALSE)," ")</f>
        <v xml:space="preserve"> </v>
      </c>
      <c r="AF130" s="90" t="str">
        <f>IFERROR(VLOOKUP(A130&amp;"aaaaaaa",COPY!$S$2:$AA$1000,6,FALSE)," ")</f>
        <v xml:space="preserve"> </v>
      </c>
      <c r="AG130" s="90" t="str">
        <f>IFERROR(VLOOKUP(A130&amp;"aaaaaaaa",COPY!$S$2:$AA$1000,6,FALSE)," ")</f>
        <v xml:space="preserve"> </v>
      </c>
      <c r="AH130" s="90" t="str">
        <f>IFERROR(VLOOKUP(A130&amp;"aaaaaaaaa",COPY!$S$2:$AA$1000,6,FALSE)," ")</f>
        <v xml:space="preserve"> </v>
      </c>
      <c r="AI130" s="90" t="str">
        <f>IFERROR(VLOOKUP(A130&amp;"aaaaaaaaaa",COPY!$S$2:$AA$1000,6,FALSE)," ")</f>
        <v xml:space="preserve"> </v>
      </c>
      <c r="AJ130" s="90" t="str">
        <f>IFERROR(VLOOKUP(A130&amp;"aaaaaaaaaaa",COPY!$S$2:$AA$1000,6,FALSE)," ")</f>
        <v xml:space="preserve"> </v>
      </c>
      <c r="AK130" s="90" t="str">
        <f>IF(LEFT(B130,2)="mg",VLOOKUP(A130,COPY!$S$2:$AA$1000,7,FALSE),IF(LEFT(B130,1)="G"," ",IF(LEFT(B130,2)="ma"," "," ")))</f>
        <v xml:space="preserve"> </v>
      </c>
      <c r="AL130" s="90" t="str">
        <f>IFERROR(VLOOKUP(A130&amp;"a",COPY!$S$2:$AA$1000,7,FALSE)," ")</f>
        <v xml:space="preserve"> </v>
      </c>
      <c r="AM130" s="90" t="str">
        <f>IFERROR(VLOOKUP(A130&amp;"aa",COPY!$S$2:$AA$1000,7,FALSE)," ")</f>
        <v xml:space="preserve"> </v>
      </c>
      <c r="AN130" s="90" t="str">
        <f>IFERROR(VLOOKUP(A130&amp;"aaa",COPY!$S$2:$AA$1000,7,FALSE)," ")</f>
        <v xml:space="preserve"> </v>
      </c>
      <c r="AO130" s="90" t="str">
        <f>IFERROR(VLOOKUP(A130&amp;"aaaa",COPY!$S$2:$AA$1000,7,FALSE)," ")</f>
        <v xml:space="preserve"> </v>
      </c>
      <c r="AP130" s="90" t="str">
        <f>IFERROR(VLOOKUP(A130&amp;"aaaaa",COPY!$S$2:$AA$1000,7,FALSE)," ")</f>
        <v xml:space="preserve"> </v>
      </c>
      <c r="AQ130" s="90" t="str">
        <f>IFERROR(VLOOKUP(A130&amp;"aaaaaa",COPY!$S$2:$AA$1000,7,FALSE)," ")</f>
        <v xml:space="preserve"> </v>
      </c>
      <c r="AR130" s="90" t="str">
        <f>IFERROR(VLOOKUP(A130&amp;"aaaaaaa",COPY!$S$2:$AA$1000,7,FALSE)," ")</f>
        <v xml:space="preserve"> </v>
      </c>
      <c r="AS130" s="90" t="str">
        <f>IFERROR(VLOOKUP(A130&amp;"aaaaaaaa",COPY!$S$2:$AA$1000,7,FALSE)," ")</f>
        <v xml:space="preserve"> </v>
      </c>
      <c r="AT130" s="90" t="str">
        <f>IFERROR(VLOOKUP(A130&amp;"aaaaaaaaa",COPY!$S$2:$AA$1000,7,FALSE)," ")</f>
        <v xml:space="preserve"> </v>
      </c>
      <c r="AU130" s="90" t="str">
        <f>IFERROR(VLOOKUP(A130&amp;"aaaaaaaaaa",COPY!$S$2:$AA$1000,7,FALSE)," ")</f>
        <v xml:space="preserve"> </v>
      </c>
      <c r="AV130" s="90" t="str">
        <f>IFERROR(VLOOKUP(A130&amp;"aaaaaaaaaaa",COPY!$S$2:$AA$1000,7,FALSE)," ")</f>
        <v xml:space="preserve"> </v>
      </c>
    </row>
    <row r="131" spans="1:48" x14ac:dyDescent="0.2">
      <c r="A131" s="75" t="str">
        <f>'REKAP PAJAK'!W168</f>
        <v/>
      </c>
      <c r="B131" s="75" t="str">
        <f>IF(LEN(A131)&gt;1,VLOOKUP(A131,COPY!$O$2:$R$1000,4,FALSE),"")</f>
        <v/>
      </c>
      <c r="C131" s="75" t="str">
        <f t="shared" si="6"/>
        <v xml:space="preserve"> </v>
      </c>
      <c r="D131" s="75" t="str">
        <f t="shared" si="7"/>
        <v xml:space="preserve"> </v>
      </c>
      <c r="E131" s="75" t="str">
        <f t="shared" si="8"/>
        <v xml:space="preserve"> </v>
      </c>
      <c r="F131" s="75" t="str">
        <f t="shared" si="9"/>
        <v xml:space="preserve"> </v>
      </c>
      <c r="G131" s="75" t="str">
        <f>IFERROR(TEXT(VLOOKUP(A131,COPY!$S$2:$W$1000,3,FALSE),"dd-mmmm-yyyy")," ")</f>
        <v xml:space="preserve"> </v>
      </c>
      <c r="H131" s="75" t="str">
        <f t="shared" si="10"/>
        <v xml:space="preserve"> </v>
      </c>
      <c r="I131" s="75" t="str">
        <f t="shared" si="11"/>
        <v xml:space="preserve"> </v>
      </c>
      <c r="J131" s="90" t="str">
        <f>IFERROR(VLOOKUP(A131,COPY!$S$2:$W$1000,4,FALSE)," ")</f>
        <v xml:space="preserve"> </v>
      </c>
      <c r="K131" s="75" t="str">
        <f>IFERROR(VLOOKUP(A131,COPY!$S$2:$W$1000,5,FALSE)," ")</f>
        <v xml:space="preserve"> </v>
      </c>
      <c r="L131" s="75" t="str">
        <f>IF(B131="","",IF(LEFT(B131,2)="Ma",(VLOOKUP(B131,'Rekap Gaji'!$C$12:$D$26,2,FALSE))&amp;" Untuk "&amp;(PROPER('Rekap Gaji'!$B$2)),IF(LEFT(B131,2)="Mg","Pembelian Material Bahan Bangunan",IF(LEFT(B131,2)="Me","Biaya Pembelanjaan Menejemen",IF(LEFT(B131,1)="G",VLOOKUP(A131,COPY!$S$2:$AA$1000,2,FALSE)&amp;"( "&amp;TEXT(VLOOKUP(B131,'Rekap Gaji'!$A$12:$I$26,5,FALSE),"dd-mm-yyyy")&amp;" "&amp;TEXT(VLOOKUP(B131,'Rekap Gaji'!$A$12:$I$26,6,FALSE)&amp;" "&amp;TEXT(VLOOKUP(B131,'Rekap Gaji'!$A$12:$I$26,7,FALSE),"dd-mm-yyyy")&amp;" )"," "))))))</f>
        <v/>
      </c>
      <c r="M131" s="75" t="str">
        <f>IF(OR(LEFT(B131,2)="mg",LEFT(B131,2)="mE"),VLOOKUP(A131,COPY!$S$2:$AA$1000,2,FALSE),IF(LEFT(B131,1)="G"," ",IF(LEFT(B131,2)="ma"," "," ")))</f>
        <v xml:space="preserve"> </v>
      </c>
      <c r="N131" s="75" t="str">
        <f>IFERROR(VLOOKUP($A$131&amp;"a",COPY!$S$2:$AA$1000,2,FALSE)," ")</f>
        <v xml:space="preserve"> </v>
      </c>
      <c r="O131" s="75" t="str">
        <f>IFERROR(VLOOKUP($A$131&amp;"aa",COPY!$S$2:$AA$1000,2,FALSE)," ")</f>
        <v xml:space="preserve"> </v>
      </c>
      <c r="P131" s="75" t="str">
        <f>IFERROR(VLOOKUP($A$131&amp;"aaa",COPY!$S$2:$AA$1000,2,FALSE)," ")</f>
        <v xml:space="preserve"> </v>
      </c>
      <c r="Q131" s="75" t="str">
        <f>IFERROR(VLOOKUP($A$131&amp;"aaaa",COPY!$S$2:$AA$1000,2,FALSE)," ")</f>
        <v xml:space="preserve"> </v>
      </c>
      <c r="R131" s="75" t="str">
        <f>IFERROR(VLOOKUP($A$131&amp;"aaaaa",COPY!$S$2:$AA$1000,2,FALSE)," ")</f>
        <v xml:space="preserve"> </v>
      </c>
      <c r="S131" s="75" t="str">
        <f>IFERROR(VLOOKUP($A$131&amp;"aaaaaa",COPY!$S$2:$AA$1000,2,FALSE)," ")</f>
        <v xml:space="preserve"> </v>
      </c>
      <c r="T131" s="75" t="str">
        <f>IFERROR(VLOOKUP($A$131&amp;"aaaaaaa",COPY!$S$2:$AA$1000,2,FALSE)," ")</f>
        <v xml:space="preserve"> </v>
      </c>
      <c r="U131" s="75" t="str">
        <f>IFERROR(VLOOKUP($A$131&amp;"aaaaaaaa",COPY!$S$2:$AA$1000,2,FALSE)," ")</f>
        <v xml:space="preserve"> </v>
      </c>
      <c r="V131" s="75" t="str">
        <f>IFERROR(VLOOKUP($A$131&amp;"aaaaaaaaa",COPY!$S$2:$AA$1000,2,FALSE)," ")</f>
        <v xml:space="preserve"> </v>
      </c>
      <c r="W131" s="75" t="str">
        <f>IFERROR(VLOOKUP($A$131&amp;"aaaaaaaaaa",COPY!$S$2:$AA$1000,2,FALSE)," ")</f>
        <v xml:space="preserve"> </v>
      </c>
      <c r="X131" s="75" t="str">
        <f>IFERROR(VLOOKUP($A$131&amp;"aaaaaaaaaaa",COPY!$S$2:$AA$1000,2,FALSE)," ")</f>
        <v xml:space="preserve"> </v>
      </c>
      <c r="Y131" s="90" t="str">
        <f>IF(OR(LEFT(B131,2)="mg",LEFT(B131,2)="mE"),VLOOKUP(A131,COPY!$S$2:$AA$1000,6,FALSE),IF(LEFT(B131,1)="G"," ",IF(LEFT(B131,2)="ma"," "," ")))</f>
        <v xml:space="preserve"> </v>
      </c>
      <c r="Z131" s="90" t="str">
        <f>IFERROR(VLOOKUP(A131&amp;"a",COPY!$S$2:$AA$1000,6,FALSE)," ")</f>
        <v xml:space="preserve"> </v>
      </c>
      <c r="AA131" s="90" t="str">
        <f>IFERROR(VLOOKUP(A131&amp;"aa",COPY!$S$2:$AA$1000,6,FALSE)," ")</f>
        <v xml:space="preserve"> </v>
      </c>
      <c r="AB131" s="90" t="str">
        <f>IFERROR(VLOOKUP(A131&amp;"aaa",COPY!$S$2:$AA$1000,6,FALSE)," ")</f>
        <v xml:space="preserve"> </v>
      </c>
      <c r="AC131" s="90" t="str">
        <f>IFERROR(VLOOKUP(A131&amp;"aaaa",COPY!$S$2:$AA$1000,6,FALSE)," ")</f>
        <v xml:space="preserve"> </v>
      </c>
      <c r="AD131" s="90" t="str">
        <f>IFERROR(VLOOKUP(A131&amp;"aaaaa",COPY!$S$2:$AA$1000,6,FALSE)," ")</f>
        <v xml:space="preserve"> </v>
      </c>
      <c r="AE131" s="90" t="str">
        <f>IFERROR(VLOOKUP(A131&amp;"aaaaaa",COPY!$S$2:$AA$1000,6,FALSE)," ")</f>
        <v xml:space="preserve"> </v>
      </c>
      <c r="AF131" s="90" t="str">
        <f>IFERROR(VLOOKUP(A131&amp;"aaaaaaa",COPY!$S$2:$AA$1000,6,FALSE)," ")</f>
        <v xml:space="preserve"> </v>
      </c>
      <c r="AG131" s="90" t="str">
        <f>IFERROR(VLOOKUP(A131&amp;"aaaaaaaa",COPY!$S$2:$AA$1000,6,FALSE)," ")</f>
        <v xml:space="preserve"> </v>
      </c>
      <c r="AH131" s="90" t="str">
        <f>IFERROR(VLOOKUP(A131&amp;"aaaaaaaaa",COPY!$S$2:$AA$1000,6,FALSE)," ")</f>
        <v xml:space="preserve"> </v>
      </c>
      <c r="AI131" s="90" t="str">
        <f>IFERROR(VLOOKUP(A131&amp;"aaaaaaaaaa",COPY!$S$2:$AA$1000,6,FALSE)," ")</f>
        <v xml:space="preserve"> </v>
      </c>
      <c r="AJ131" s="90" t="str">
        <f>IFERROR(VLOOKUP(A131&amp;"aaaaaaaaaaa",COPY!$S$2:$AA$1000,6,FALSE)," ")</f>
        <v xml:space="preserve"> </v>
      </c>
      <c r="AK131" s="90" t="str">
        <f>IF(LEFT(B131,2)="mg",VLOOKUP(A131,COPY!$S$2:$AA$1000,7,FALSE),IF(LEFT(B131,1)="G"," ",IF(LEFT(B131,2)="ma"," "," ")))</f>
        <v xml:space="preserve"> </v>
      </c>
      <c r="AL131" s="90" t="str">
        <f>IFERROR(VLOOKUP(A131&amp;"a",COPY!$S$2:$AA$1000,7,FALSE)," ")</f>
        <v xml:space="preserve"> </v>
      </c>
      <c r="AM131" s="90" t="str">
        <f>IFERROR(VLOOKUP(A131&amp;"aa",COPY!$S$2:$AA$1000,7,FALSE)," ")</f>
        <v xml:space="preserve"> </v>
      </c>
      <c r="AN131" s="90" t="str">
        <f>IFERROR(VLOOKUP(A131&amp;"aaa",COPY!$S$2:$AA$1000,7,FALSE)," ")</f>
        <v xml:space="preserve"> </v>
      </c>
      <c r="AO131" s="90" t="str">
        <f>IFERROR(VLOOKUP(A131&amp;"aaaa",COPY!$S$2:$AA$1000,7,FALSE)," ")</f>
        <v xml:space="preserve"> </v>
      </c>
      <c r="AP131" s="90" t="str">
        <f>IFERROR(VLOOKUP(A131&amp;"aaaaa",COPY!$S$2:$AA$1000,7,FALSE)," ")</f>
        <v xml:space="preserve"> </v>
      </c>
      <c r="AQ131" s="90" t="str">
        <f>IFERROR(VLOOKUP(A131&amp;"aaaaaa",COPY!$S$2:$AA$1000,7,FALSE)," ")</f>
        <v xml:space="preserve"> </v>
      </c>
      <c r="AR131" s="90" t="str">
        <f>IFERROR(VLOOKUP(A131&amp;"aaaaaaa",COPY!$S$2:$AA$1000,7,FALSE)," ")</f>
        <v xml:space="preserve"> </v>
      </c>
      <c r="AS131" s="90" t="str">
        <f>IFERROR(VLOOKUP(A131&amp;"aaaaaaaa",COPY!$S$2:$AA$1000,7,FALSE)," ")</f>
        <v xml:space="preserve"> </v>
      </c>
      <c r="AT131" s="90" t="str">
        <f>IFERROR(VLOOKUP(A131&amp;"aaaaaaaaa",COPY!$S$2:$AA$1000,7,FALSE)," ")</f>
        <v xml:space="preserve"> </v>
      </c>
      <c r="AU131" s="90" t="str">
        <f>IFERROR(VLOOKUP(A131&amp;"aaaaaaaaaa",COPY!$S$2:$AA$1000,7,FALSE)," ")</f>
        <v xml:space="preserve"> </v>
      </c>
      <c r="AV131" s="90" t="str">
        <f>IFERROR(VLOOKUP(A131&amp;"aaaaaaaaaaa",COPY!$S$2:$AA$1000,7,FALSE)," ")</f>
        <v xml:space="preserve"> </v>
      </c>
    </row>
    <row r="132" spans="1:48" x14ac:dyDescent="0.2">
      <c r="A132" s="75" t="str">
        <f>'REKAP PAJAK'!W169</f>
        <v/>
      </c>
      <c r="B132" s="75" t="str">
        <f>IF(LEN(A132)&gt;1,VLOOKUP(A132,COPY!$O$2:$R$1000,4,FALSE),"")</f>
        <v/>
      </c>
      <c r="C132" s="75" t="str">
        <f t="shared" ref="C132:C195" si="12">IF(LEFT(B132,1)="m",C131,IF(LEFT(B132,1)="G",C131," "))</f>
        <v xml:space="preserve"> </v>
      </c>
      <c r="D132" s="75" t="str">
        <f t="shared" ref="D132:D195" si="13">IF(LEFT(B132,1)="m",D131,IF(LEFT(B132,1)="G",D131," "))</f>
        <v xml:space="preserve"> </v>
      </c>
      <c r="E132" s="75" t="str">
        <f t="shared" ref="E132:E195" si="14">IF(LEFT(B132,1)="m",E131,IF(LEFT(B132,1)="G",E131," "))</f>
        <v xml:space="preserve"> </v>
      </c>
      <c r="F132" s="75" t="str">
        <f t="shared" ref="F132:F195" si="15">IF(LEFT(B132,1)="m",F131,IF(LEFT(B132,1)="G",F131," "))</f>
        <v xml:space="preserve"> </v>
      </c>
      <c r="G132" s="75" t="str">
        <f>IFERROR(TEXT(VLOOKUP(A132,COPY!$S$2:$W$1000,3,FALSE),"dd-mmmm-yyyy")," ")</f>
        <v xml:space="preserve"> </v>
      </c>
      <c r="H132" s="75" t="str">
        <f t="shared" ref="H132:H195" si="16">IF(LEFT(B132,1)="m",H131,IF(LEFT(B132,1)="G",H131," "))</f>
        <v xml:space="preserve"> </v>
      </c>
      <c r="I132" s="75" t="str">
        <f t="shared" ref="I132:I195" si="17">IF(LEFT(B132,1)="m",I131,IF(LEFT(B132,1)="G",I131," "))</f>
        <v xml:space="preserve"> </v>
      </c>
      <c r="J132" s="90" t="str">
        <f>IFERROR(VLOOKUP(A132,COPY!$S$2:$W$1000,4,FALSE)," ")</f>
        <v xml:space="preserve"> </v>
      </c>
      <c r="K132" s="75" t="str">
        <f>IFERROR(VLOOKUP(A132,COPY!$S$2:$W$1000,5,FALSE)," ")</f>
        <v xml:space="preserve"> </v>
      </c>
      <c r="L132" s="75" t="str">
        <f>IF(B132="","",IF(LEFT(B132,2)="Ma",(VLOOKUP(B132,'Rekap Gaji'!$C$12:$D$26,2,FALSE))&amp;" Untuk "&amp;(PROPER('Rekap Gaji'!$B$2)),IF(LEFT(B132,2)="Mg","Pembelian Material Bahan Bangunan",IF(LEFT(B132,2)="Me","Biaya Pembelanjaan Menejemen",IF(LEFT(B132,1)="G",VLOOKUP(A132,COPY!$S$2:$AA$1000,2,FALSE)&amp;"( "&amp;TEXT(VLOOKUP(B132,'Rekap Gaji'!$A$12:$I$26,5,FALSE),"dd-mm-yyyy")&amp;" "&amp;TEXT(VLOOKUP(B132,'Rekap Gaji'!$A$12:$I$26,6,FALSE)&amp;" "&amp;TEXT(VLOOKUP(B132,'Rekap Gaji'!$A$12:$I$26,7,FALSE),"dd-mm-yyyy")&amp;" )"," "))))))</f>
        <v/>
      </c>
      <c r="M132" s="75" t="str">
        <f>IF(OR(LEFT(B132,2)="mg",LEFT(B132,2)="mE"),VLOOKUP(A132,COPY!$S$2:$AA$1000,2,FALSE),IF(LEFT(B132,1)="G"," ",IF(LEFT(B132,2)="ma"," "," ")))</f>
        <v xml:space="preserve"> </v>
      </c>
      <c r="N132" s="75" t="str">
        <f>IFERROR(VLOOKUP($A$132&amp;"a",COPY!$S$2:$AA$1000,2,FALSE)," ")</f>
        <v xml:space="preserve"> </v>
      </c>
      <c r="O132" s="75" t="str">
        <f>IFERROR(VLOOKUP($A$132&amp;"aa",COPY!$S$2:$AA$1000,2,FALSE)," ")</f>
        <v xml:space="preserve"> </v>
      </c>
      <c r="P132" s="75" t="str">
        <f>IFERROR(VLOOKUP($A$132&amp;"aaa",COPY!$S$2:$AA$1000,2,FALSE)," ")</f>
        <v xml:space="preserve"> </v>
      </c>
      <c r="Q132" s="75" t="str">
        <f>IFERROR(VLOOKUP($A$132&amp;"aaaa",COPY!$S$2:$AA$1000,2,FALSE)," ")</f>
        <v xml:space="preserve"> </v>
      </c>
      <c r="R132" s="75" t="str">
        <f>IFERROR(VLOOKUP($A$132&amp;"aaaaa",COPY!$S$2:$AA$1000,2,FALSE)," ")</f>
        <v xml:space="preserve"> </v>
      </c>
      <c r="S132" s="75" t="str">
        <f>IFERROR(VLOOKUP($A$132&amp;"aaaaaa",COPY!$S$2:$AA$1000,2,FALSE)," ")</f>
        <v xml:space="preserve"> </v>
      </c>
      <c r="T132" s="75" t="str">
        <f>IFERROR(VLOOKUP($A$132&amp;"aaaaaaa",COPY!$S$2:$AA$1000,2,FALSE)," ")</f>
        <v xml:space="preserve"> </v>
      </c>
      <c r="U132" s="75" t="str">
        <f>IFERROR(VLOOKUP($A$132&amp;"aaaaaaaa",COPY!$S$2:$AA$1000,2,FALSE)," ")</f>
        <v xml:space="preserve"> </v>
      </c>
      <c r="V132" s="75" t="str">
        <f>IFERROR(VLOOKUP($A$132&amp;"aaaaaaaaa",COPY!$S$2:$AA$1000,2,FALSE)," ")</f>
        <v xml:space="preserve"> </v>
      </c>
      <c r="W132" s="75" t="str">
        <f>IFERROR(VLOOKUP($A$132&amp;"aaaaaaaaaa",COPY!$S$2:$AA$1000,2,FALSE)," ")</f>
        <v xml:space="preserve"> </v>
      </c>
      <c r="X132" s="75" t="str">
        <f>IFERROR(VLOOKUP($A$132&amp;"aaaaaaaaaaa",COPY!$S$2:$AA$1000,2,FALSE)," ")</f>
        <v xml:space="preserve"> </v>
      </c>
      <c r="Y132" s="90" t="str">
        <f>IF(OR(LEFT(B132,2)="mg",LEFT(B132,2)="mE"),VLOOKUP(A132,COPY!$S$2:$AA$1000,6,FALSE),IF(LEFT(B132,1)="G"," ",IF(LEFT(B132,2)="ma"," "," ")))</f>
        <v xml:space="preserve"> </v>
      </c>
      <c r="Z132" s="90" t="str">
        <f>IFERROR(VLOOKUP(A132&amp;"a",COPY!$S$2:$AA$1000,6,FALSE)," ")</f>
        <v xml:space="preserve"> </v>
      </c>
      <c r="AA132" s="90" t="str">
        <f>IFERROR(VLOOKUP(A132&amp;"aa",COPY!$S$2:$AA$1000,6,FALSE)," ")</f>
        <v xml:space="preserve"> </v>
      </c>
      <c r="AB132" s="90" t="str">
        <f>IFERROR(VLOOKUP(A132&amp;"aaa",COPY!$S$2:$AA$1000,6,FALSE)," ")</f>
        <v xml:space="preserve"> </v>
      </c>
      <c r="AC132" s="90" t="str">
        <f>IFERROR(VLOOKUP(A132&amp;"aaaa",COPY!$S$2:$AA$1000,6,FALSE)," ")</f>
        <v xml:space="preserve"> </v>
      </c>
      <c r="AD132" s="90" t="str">
        <f>IFERROR(VLOOKUP(A132&amp;"aaaaa",COPY!$S$2:$AA$1000,6,FALSE)," ")</f>
        <v xml:space="preserve"> </v>
      </c>
      <c r="AE132" s="90" t="str">
        <f>IFERROR(VLOOKUP(A132&amp;"aaaaaa",COPY!$S$2:$AA$1000,6,FALSE)," ")</f>
        <v xml:space="preserve"> </v>
      </c>
      <c r="AF132" s="90" t="str">
        <f>IFERROR(VLOOKUP(A132&amp;"aaaaaaa",COPY!$S$2:$AA$1000,6,FALSE)," ")</f>
        <v xml:space="preserve"> </v>
      </c>
      <c r="AG132" s="90" t="str">
        <f>IFERROR(VLOOKUP(A132&amp;"aaaaaaaa",COPY!$S$2:$AA$1000,6,FALSE)," ")</f>
        <v xml:space="preserve"> </v>
      </c>
      <c r="AH132" s="90" t="str">
        <f>IFERROR(VLOOKUP(A132&amp;"aaaaaaaaa",COPY!$S$2:$AA$1000,6,FALSE)," ")</f>
        <v xml:space="preserve"> </v>
      </c>
      <c r="AI132" s="90" t="str">
        <f>IFERROR(VLOOKUP(A132&amp;"aaaaaaaaaa",COPY!$S$2:$AA$1000,6,FALSE)," ")</f>
        <v xml:space="preserve"> </v>
      </c>
      <c r="AJ132" s="90" t="str">
        <f>IFERROR(VLOOKUP(A132&amp;"aaaaaaaaaaa",COPY!$S$2:$AA$1000,6,FALSE)," ")</f>
        <v xml:space="preserve"> </v>
      </c>
      <c r="AK132" s="90" t="str">
        <f>IF(LEFT(B132,2)="mg",VLOOKUP(A132,COPY!$S$2:$AA$1000,7,FALSE),IF(LEFT(B132,1)="G"," ",IF(LEFT(B132,2)="ma"," "," ")))</f>
        <v xml:space="preserve"> </v>
      </c>
      <c r="AL132" s="90" t="str">
        <f>IFERROR(VLOOKUP(A132&amp;"a",COPY!$S$2:$AA$1000,7,FALSE)," ")</f>
        <v xml:space="preserve"> </v>
      </c>
      <c r="AM132" s="90" t="str">
        <f>IFERROR(VLOOKUP(A132&amp;"aa",COPY!$S$2:$AA$1000,7,FALSE)," ")</f>
        <v xml:space="preserve"> </v>
      </c>
      <c r="AN132" s="90" t="str">
        <f>IFERROR(VLOOKUP(A132&amp;"aaa",COPY!$S$2:$AA$1000,7,FALSE)," ")</f>
        <v xml:space="preserve"> </v>
      </c>
      <c r="AO132" s="90" t="str">
        <f>IFERROR(VLOOKUP(A132&amp;"aaaa",COPY!$S$2:$AA$1000,7,FALSE)," ")</f>
        <v xml:space="preserve"> </v>
      </c>
      <c r="AP132" s="90" t="str">
        <f>IFERROR(VLOOKUP(A132&amp;"aaaaa",COPY!$S$2:$AA$1000,7,FALSE)," ")</f>
        <v xml:space="preserve"> </v>
      </c>
      <c r="AQ132" s="90" t="str">
        <f>IFERROR(VLOOKUP(A132&amp;"aaaaaa",COPY!$S$2:$AA$1000,7,FALSE)," ")</f>
        <v xml:space="preserve"> </v>
      </c>
      <c r="AR132" s="90" t="str">
        <f>IFERROR(VLOOKUP(A132&amp;"aaaaaaa",COPY!$S$2:$AA$1000,7,FALSE)," ")</f>
        <v xml:space="preserve"> </v>
      </c>
      <c r="AS132" s="90" t="str">
        <f>IFERROR(VLOOKUP(A132&amp;"aaaaaaaa",COPY!$S$2:$AA$1000,7,FALSE)," ")</f>
        <v xml:space="preserve"> </v>
      </c>
      <c r="AT132" s="90" t="str">
        <f>IFERROR(VLOOKUP(A132&amp;"aaaaaaaaa",COPY!$S$2:$AA$1000,7,FALSE)," ")</f>
        <v xml:space="preserve"> </v>
      </c>
      <c r="AU132" s="90" t="str">
        <f>IFERROR(VLOOKUP(A132&amp;"aaaaaaaaaa",COPY!$S$2:$AA$1000,7,FALSE)," ")</f>
        <v xml:space="preserve"> </v>
      </c>
      <c r="AV132" s="90" t="str">
        <f>IFERROR(VLOOKUP(A132&amp;"aaaaaaaaaaa",COPY!$S$2:$AA$1000,7,FALSE)," ")</f>
        <v xml:space="preserve"> </v>
      </c>
    </row>
    <row r="133" spans="1:48" x14ac:dyDescent="0.2">
      <c r="A133" s="75" t="str">
        <f>'REKAP PAJAK'!W170</f>
        <v/>
      </c>
      <c r="B133" s="75" t="str">
        <f>IF(LEN(A133)&gt;1,VLOOKUP(A133,COPY!$O$2:$R$1000,4,FALSE),"")</f>
        <v/>
      </c>
      <c r="C133" s="75" t="str">
        <f t="shared" si="12"/>
        <v xml:space="preserve"> </v>
      </c>
      <c r="D133" s="75" t="str">
        <f t="shared" si="13"/>
        <v xml:space="preserve"> </v>
      </c>
      <c r="E133" s="75" t="str">
        <f t="shared" si="14"/>
        <v xml:space="preserve"> </v>
      </c>
      <c r="F133" s="75" t="str">
        <f t="shared" si="15"/>
        <v xml:space="preserve"> </v>
      </c>
      <c r="G133" s="75" t="str">
        <f>IFERROR(TEXT(VLOOKUP(A133,COPY!$S$2:$W$1000,3,FALSE),"dd-mmmm-yyyy")," ")</f>
        <v xml:space="preserve"> </v>
      </c>
      <c r="H133" s="75" t="str">
        <f t="shared" si="16"/>
        <v xml:space="preserve"> </v>
      </c>
      <c r="I133" s="75" t="str">
        <f t="shared" si="17"/>
        <v xml:space="preserve"> </v>
      </c>
      <c r="J133" s="90" t="str">
        <f>IFERROR(VLOOKUP(A133,COPY!$S$2:$W$1000,4,FALSE)," ")</f>
        <v xml:space="preserve"> </v>
      </c>
      <c r="K133" s="75" t="str">
        <f>IFERROR(VLOOKUP(A133,COPY!$S$2:$W$1000,5,FALSE)," ")</f>
        <v xml:space="preserve"> </v>
      </c>
      <c r="L133" s="75" t="str">
        <f>IF(B133="","",IF(LEFT(B133,2)="Ma",(VLOOKUP(B133,'Rekap Gaji'!$C$12:$D$26,2,FALSE))&amp;" Untuk "&amp;(PROPER('Rekap Gaji'!$B$2)),IF(LEFT(B133,2)="Mg","Pembelian Material Bahan Bangunan",IF(LEFT(B133,2)="Me","Biaya Pembelanjaan Menejemen",IF(LEFT(B133,1)="G",VLOOKUP(A133,COPY!$S$2:$AA$1000,2,FALSE)&amp;"( "&amp;TEXT(VLOOKUP(B133,'Rekap Gaji'!$A$12:$I$26,5,FALSE),"dd-mm-yyyy")&amp;" "&amp;TEXT(VLOOKUP(B133,'Rekap Gaji'!$A$12:$I$26,6,FALSE)&amp;" "&amp;TEXT(VLOOKUP(B133,'Rekap Gaji'!$A$12:$I$26,7,FALSE),"dd-mm-yyyy")&amp;" )"," "))))))</f>
        <v/>
      </c>
      <c r="M133" s="75" t="str">
        <f>IF(OR(LEFT(B133,2)="mg",LEFT(B133,2)="mE"),VLOOKUP(A133,COPY!$S$2:$AA$1000,2,FALSE),IF(LEFT(B133,1)="G"," ",IF(LEFT(B133,2)="ma"," "," ")))</f>
        <v xml:space="preserve"> </v>
      </c>
      <c r="N133" s="75" t="str">
        <f>IFERROR(VLOOKUP($A$133&amp;"a",COPY!$S$2:$AA$1000,2,FALSE)," ")</f>
        <v xml:space="preserve"> </v>
      </c>
      <c r="O133" s="75" t="str">
        <f>IFERROR(VLOOKUP($A$133&amp;"aa",COPY!$S$2:$AA$1000,2,FALSE)," ")</f>
        <v xml:space="preserve"> </v>
      </c>
      <c r="P133" s="75" t="str">
        <f>IFERROR(VLOOKUP($A$133&amp;"aaa",COPY!$S$2:$AA$1000,2,FALSE)," ")</f>
        <v xml:space="preserve"> </v>
      </c>
      <c r="Q133" s="75" t="str">
        <f>IFERROR(VLOOKUP($A$133&amp;"aaaa",COPY!$S$2:$AA$1000,2,FALSE)," ")</f>
        <v xml:space="preserve"> </v>
      </c>
      <c r="R133" s="75" t="str">
        <f>IFERROR(VLOOKUP($A$133&amp;"aaaaa",COPY!$S$2:$AA$1000,2,FALSE)," ")</f>
        <v xml:space="preserve"> </v>
      </c>
      <c r="S133" s="75" t="str">
        <f>IFERROR(VLOOKUP($A$133&amp;"aaaaaa",COPY!$S$2:$AA$1000,2,FALSE)," ")</f>
        <v xml:space="preserve"> </v>
      </c>
      <c r="T133" s="75" t="str">
        <f>IFERROR(VLOOKUP($A$133&amp;"aaaaaaa",COPY!$S$2:$AA$1000,2,FALSE)," ")</f>
        <v xml:space="preserve"> </v>
      </c>
      <c r="U133" s="75" t="str">
        <f>IFERROR(VLOOKUP($A$133&amp;"aaaaaaaa",COPY!$S$2:$AA$1000,2,FALSE)," ")</f>
        <v xml:space="preserve"> </v>
      </c>
      <c r="V133" s="75" t="str">
        <f>IFERROR(VLOOKUP($A$133&amp;"aaaaaaaaa",COPY!$S$2:$AA$1000,2,FALSE)," ")</f>
        <v xml:space="preserve"> </v>
      </c>
      <c r="W133" s="75" t="str">
        <f>IFERROR(VLOOKUP($A$133&amp;"aaaaaaaaaa",COPY!$S$2:$AA$1000,2,FALSE)," ")</f>
        <v xml:space="preserve"> </v>
      </c>
      <c r="X133" s="75" t="str">
        <f>IFERROR(VLOOKUP($A$133&amp;"aaaaaaaaaaa",COPY!$S$2:$AA$1000,2,FALSE)," ")</f>
        <v xml:space="preserve"> </v>
      </c>
      <c r="Y133" s="90" t="str">
        <f>IF(OR(LEFT(B133,2)="mg",LEFT(B133,2)="mE"),VLOOKUP(A133,COPY!$S$2:$AA$1000,6,FALSE),IF(LEFT(B133,1)="G"," ",IF(LEFT(B133,2)="ma"," "," ")))</f>
        <v xml:space="preserve"> </v>
      </c>
      <c r="Z133" s="90" t="str">
        <f>IFERROR(VLOOKUP(A133&amp;"a",COPY!$S$2:$AA$1000,6,FALSE)," ")</f>
        <v xml:space="preserve"> </v>
      </c>
      <c r="AA133" s="90" t="str">
        <f>IFERROR(VLOOKUP(A133&amp;"aa",COPY!$S$2:$AA$1000,6,FALSE)," ")</f>
        <v xml:space="preserve"> </v>
      </c>
      <c r="AB133" s="90" t="str">
        <f>IFERROR(VLOOKUP(A133&amp;"aaa",COPY!$S$2:$AA$1000,6,FALSE)," ")</f>
        <v xml:space="preserve"> </v>
      </c>
      <c r="AC133" s="90" t="str">
        <f>IFERROR(VLOOKUP(A133&amp;"aaaa",COPY!$S$2:$AA$1000,6,FALSE)," ")</f>
        <v xml:space="preserve"> </v>
      </c>
      <c r="AD133" s="90" t="str">
        <f>IFERROR(VLOOKUP(A133&amp;"aaaaa",COPY!$S$2:$AA$1000,6,FALSE)," ")</f>
        <v xml:space="preserve"> </v>
      </c>
      <c r="AE133" s="90" t="str">
        <f>IFERROR(VLOOKUP(A133&amp;"aaaaaa",COPY!$S$2:$AA$1000,6,FALSE)," ")</f>
        <v xml:space="preserve"> </v>
      </c>
      <c r="AF133" s="90" t="str">
        <f>IFERROR(VLOOKUP(A133&amp;"aaaaaaa",COPY!$S$2:$AA$1000,6,FALSE)," ")</f>
        <v xml:space="preserve"> </v>
      </c>
      <c r="AG133" s="90" t="str">
        <f>IFERROR(VLOOKUP(A133&amp;"aaaaaaaa",COPY!$S$2:$AA$1000,6,FALSE)," ")</f>
        <v xml:space="preserve"> </v>
      </c>
      <c r="AH133" s="90" t="str">
        <f>IFERROR(VLOOKUP(A133&amp;"aaaaaaaaa",COPY!$S$2:$AA$1000,6,FALSE)," ")</f>
        <v xml:space="preserve"> </v>
      </c>
      <c r="AI133" s="90" t="str">
        <f>IFERROR(VLOOKUP(A133&amp;"aaaaaaaaaa",COPY!$S$2:$AA$1000,6,FALSE)," ")</f>
        <v xml:space="preserve"> </v>
      </c>
      <c r="AJ133" s="90" t="str">
        <f>IFERROR(VLOOKUP(A133&amp;"aaaaaaaaaaa",COPY!$S$2:$AA$1000,6,FALSE)," ")</f>
        <v xml:space="preserve"> </v>
      </c>
      <c r="AK133" s="90" t="str">
        <f>IF(LEFT(B133,2)="mg",VLOOKUP(A133,COPY!$S$2:$AA$1000,7,FALSE),IF(LEFT(B133,1)="G"," ",IF(LEFT(B133,2)="ma"," "," ")))</f>
        <v xml:space="preserve"> </v>
      </c>
      <c r="AL133" s="90" t="str">
        <f>IFERROR(VLOOKUP(A133&amp;"a",COPY!$S$2:$AA$1000,7,FALSE)," ")</f>
        <v xml:space="preserve"> </v>
      </c>
      <c r="AM133" s="90" t="str">
        <f>IFERROR(VLOOKUP(A133&amp;"aa",COPY!$S$2:$AA$1000,7,FALSE)," ")</f>
        <v xml:space="preserve"> </v>
      </c>
      <c r="AN133" s="90" t="str">
        <f>IFERROR(VLOOKUP(A133&amp;"aaa",COPY!$S$2:$AA$1000,7,FALSE)," ")</f>
        <v xml:space="preserve"> </v>
      </c>
      <c r="AO133" s="90" t="str">
        <f>IFERROR(VLOOKUP(A133&amp;"aaaa",COPY!$S$2:$AA$1000,7,FALSE)," ")</f>
        <v xml:space="preserve"> </v>
      </c>
      <c r="AP133" s="90" t="str">
        <f>IFERROR(VLOOKUP(A133&amp;"aaaaa",COPY!$S$2:$AA$1000,7,FALSE)," ")</f>
        <v xml:space="preserve"> </v>
      </c>
      <c r="AQ133" s="90" t="str">
        <f>IFERROR(VLOOKUP(A133&amp;"aaaaaa",COPY!$S$2:$AA$1000,7,FALSE)," ")</f>
        <v xml:space="preserve"> </v>
      </c>
      <c r="AR133" s="90" t="str">
        <f>IFERROR(VLOOKUP(A133&amp;"aaaaaaa",COPY!$S$2:$AA$1000,7,FALSE)," ")</f>
        <v xml:space="preserve"> </v>
      </c>
      <c r="AS133" s="90" t="str">
        <f>IFERROR(VLOOKUP(A133&amp;"aaaaaaaa",COPY!$S$2:$AA$1000,7,FALSE)," ")</f>
        <v xml:space="preserve"> </v>
      </c>
      <c r="AT133" s="90" t="str">
        <f>IFERROR(VLOOKUP(A133&amp;"aaaaaaaaa",COPY!$S$2:$AA$1000,7,FALSE)," ")</f>
        <v xml:space="preserve"> </v>
      </c>
      <c r="AU133" s="90" t="str">
        <f>IFERROR(VLOOKUP(A133&amp;"aaaaaaaaaa",COPY!$S$2:$AA$1000,7,FALSE)," ")</f>
        <v xml:space="preserve"> </v>
      </c>
      <c r="AV133" s="90" t="str">
        <f>IFERROR(VLOOKUP(A133&amp;"aaaaaaaaaaa",COPY!$S$2:$AA$1000,7,FALSE)," ")</f>
        <v xml:space="preserve"> </v>
      </c>
    </row>
    <row r="134" spans="1:48" x14ac:dyDescent="0.2">
      <c r="A134" s="75" t="str">
        <f>'REKAP PAJAK'!W171</f>
        <v/>
      </c>
      <c r="B134" s="75" t="str">
        <f>IF(LEN(A134)&gt;1,VLOOKUP(A134,COPY!$O$2:$R$1000,4,FALSE),"")</f>
        <v/>
      </c>
      <c r="C134" s="75" t="str">
        <f t="shared" si="12"/>
        <v xml:space="preserve"> </v>
      </c>
      <c r="D134" s="75" t="str">
        <f t="shared" si="13"/>
        <v xml:space="preserve"> </v>
      </c>
      <c r="E134" s="75" t="str">
        <f t="shared" si="14"/>
        <v xml:space="preserve"> </v>
      </c>
      <c r="F134" s="75" t="str">
        <f t="shared" si="15"/>
        <v xml:space="preserve"> </v>
      </c>
      <c r="G134" s="75" t="str">
        <f>IFERROR(TEXT(VLOOKUP(A134,COPY!$S$2:$W$1000,3,FALSE),"dd-mmmm-yyyy")," ")</f>
        <v xml:space="preserve"> </v>
      </c>
      <c r="H134" s="75" t="str">
        <f t="shared" si="16"/>
        <v xml:space="preserve"> </v>
      </c>
      <c r="I134" s="75" t="str">
        <f t="shared" si="17"/>
        <v xml:space="preserve"> </v>
      </c>
      <c r="J134" s="90" t="str">
        <f>IFERROR(VLOOKUP(A134,COPY!$S$2:$W$1000,4,FALSE)," ")</f>
        <v xml:space="preserve"> </v>
      </c>
      <c r="K134" s="75" t="str">
        <f>IFERROR(VLOOKUP(A134,COPY!$S$2:$W$1000,5,FALSE)," ")</f>
        <v xml:space="preserve"> </v>
      </c>
      <c r="L134" s="75" t="str">
        <f>IF(B134="","",IF(LEFT(B134,2)="Ma",(VLOOKUP(B134,'Rekap Gaji'!$C$12:$D$26,2,FALSE))&amp;" Untuk "&amp;(PROPER('Rekap Gaji'!$B$2)),IF(LEFT(B134,2)="Mg","Pembelian Material Bahan Bangunan",IF(LEFT(B134,2)="Me","Biaya Pembelanjaan Menejemen",IF(LEFT(B134,1)="G",VLOOKUP(A134,COPY!$S$2:$AA$1000,2,FALSE)&amp;"( "&amp;TEXT(VLOOKUP(B134,'Rekap Gaji'!$A$12:$I$26,5,FALSE),"dd-mm-yyyy")&amp;" "&amp;TEXT(VLOOKUP(B134,'Rekap Gaji'!$A$12:$I$26,6,FALSE)&amp;" "&amp;TEXT(VLOOKUP(B134,'Rekap Gaji'!$A$12:$I$26,7,FALSE),"dd-mm-yyyy")&amp;" )"," "))))))</f>
        <v/>
      </c>
      <c r="M134" s="75" t="str">
        <f>IF(OR(LEFT(B134,2)="mg",LEFT(B134,2)="mE"),VLOOKUP(A134,COPY!$S$2:$AA$1000,2,FALSE),IF(LEFT(B134,1)="G"," ",IF(LEFT(B134,2)="ma"," "," ")))</f>
        <v xml:space="preserve"> </v>
      </c>
      <c r="N134" s="75" t="str">
        <f>IFERROR(VLOOKUP($A$134&amp;"a",COPY!$S$2:$AA$1000,2,FALSE)," ")</f>
        <v xml:space="preserve"> </v>
      </c>
      <c r="O134" s="75" t="str">
        <f>IFERROR(VLOOKUP($A$134&amp;"aa",COPY!$S$2:$AA$1000,2,FALSE)," ")</f>
        <v xml:space="preserve"> </v>
      </c>
      <c r="P134" s="75" t="str">
        <f>IFERROR(VLOOKUP($A$134&amp;"aaa",COPY!$S$2:$AA$1000,2,FALSE)," ")</f>
        <v xml:space="preserve"> </v>
      </c>
      <c r="Q134" s="75" t="str">
        <f>IFERROR(VLOOKUP($A$134&amp;"aaaa",COPY!$S$2:$AA$1000,2,FALSE)," ")</f>
        <v xml:space="preserve"> </v>
      </c>
      <c r="R134" s="75" t="str">
        <f>IFERROR(VLOOKUP($A$134&amp;"aaaaa",COPY!$S$2:$AA$1000,2,FALSE)," ")</f>
        <v xml:space="preserve"> </v>
      </c>
      <c r="S134" s="75" t="str">
        <f>IFERROR(VLOOKUP($A$134&amp;"aaaaaa",COPY!$S$2:$AA$1000,2,FALSE)," ")</f>
        <v xml:space="preserve"> </v>
      </c>
      <c r="T134" s="75" t="str">
        <f>IFERROR(VLOOKUP($A$134&amp;"aaaaaaa",COPY!$S$2:$AA$1000,2,FALSE)," ")</f>
        <v xml:space="preserve"> </v>
      </c>
      <c r="U134" s="75" t="str">
        <f>IFERROR(VLOOKUP($A$134&amp;"aaaaaaaa",COPY!$S$2:$AA$1000,2,FALSE)," ")</f>
        <v xml:space="preserve"> </v>
      </c>
      <c r="V134" s="75" t="str">
        <f>IFERROR(VLOOKUP($A$134&amp;"aaaaaaaaa",COPY!$S$2:$AA$1000,2,FALSE)," ")</f>
        <v xml:space="preserve"> </v>
      </c>
      <c r="W134" s="75" t="str">
        <f>IFERROR(VLOOKUP($A$134&amp;"aaaaaaaaaa",COPY!$S$2:$AA$1000,2,FALSE)," ")</f>
        <v xml:space="preserve"> </v>
      </c>
      <c r="X134" s="75" t="str">
        <f>IFERROR(VLOOKUP($A$134&amp;"aaaaaaaaaaa",COPY!$S$2:$AA$1000,2,FALSE)," ")</f>
        <v xml:space="preserve"> </v>
      </c>
      <c r="Y134" s="90" t="str">
        <f>IF(OR(LEFT(B134,2)="mg",LEFT(B134,2)="mE"),VLOOKUP(A134,COPY!$S$2:$AA$1000,6,FALSE),IF(LEFT(B134,1)="G"," ",IF(LEFT(B134,2)="ma"," "," ")))</f>
        <v xml:space="preserve"> </v>
      </c>
      <c r="Z134" s="90" t="str">
        <f>IFERROR(VLOOKUP(A134&amp;"a",COPY!$S$2:$AA$1000,6,FALSE)," ")</f>
        <v xml:space="preserve"> </v>
      </c>
      <c r="AA134" s="90" t="str">
        <f>IFERROR(VLOOKUP(A134&amp;"aa",COPY!$S$2:$AA$1000,6,FALSE)," ")</f>
        <v xml:space="preserve"> </v>
      </c>
      <c r="AB134" s="90" t="str">
        <f>IFERROR(VLOOKUP(A134&amp;"aaa",COPY!$S$2:$AA$1000,6,FALSE)," ")</f>
        <v xml:space="preserve"> </v>
      </c>
      <c r="AC134" s="90" t="str">
        <f>IFERROR(VLOOKUP(A134&amp;"aaaa",COPY!$S$2:$AA$1000,6,FALSE)," ")</f>
        <v xml:space="preserve"> </v>
      </c>
      <c r="AD134" s="90" t="str">
        <f>IFERROR(VLOOKUP(A134&amp;"aaaaa",COPY!$S$2:$AA$1000,6,FALSE)," ")</f>
        <v xml:space="preserve"> </v>
      </c>
      <c r="AE134" s="90" t="str">
        <f>IFERROR(VLOOKUP(A134&amp;"aaaaaa",COPY!$S$2:$AA$1000,6,FALSE)," ")</f>
        <v xml:space="preserve"> </v>
      </c>
      <c r="AF134" s="90" t="str">
        <f>IFERROR(VLOOKUP(A134&amp;"aaaaaaa",COPY!$S$2:$AA$1000,6,FALSE)," ")</f>
        <v xml:space="preserve"> </v>
      </c>
      <c r="AG134" s="90" t="str">
        <f>IFERROR(VLOOKUP(A134&amp;"aaaaaaaa",COPY!$S$2:$AA$1000,6,FALSE)," ")</f>
        <v xml:space="preserve"> </v>
      </c>
      <c r="AH134" s="90" t="str">
        <f>IFERROR(VLOOKUP(A134&amp;"aaaaaaaaa",COPY!$S$2:$AA$1000,6,FALSE)," ")</f>
        <v xml:space="preserve"> </v>
      </c>
      <c r="AI134" s="90" t="str">
        <f>IFERROR(VLOOKUP(A134&amp;"aaaaaaaaaa",COPY!$S$2:$AA$1000,6,FALSE)," ")</f>
        <v xml:space="preserve"> </v>
      </c>
      <c r="AJ134" s="90" t="str">
        <f>IFERROR(VLOOKUP(A134&amp;"aaaaaaaaaaa",COPY!$S$2:$AA$1000,6,FALSE)," ")</f>
        <v xml:space="preserve"> </v>
      </c>
      <c r="AK134" s="90" t="str">
        <f>IF(LEFT(B134,2)="mg",VLOOKUP(A134,COPY!$S$2:$AA$1000,7,FALSE),IF(LEFT(B134,1)="G"," ",IF(LEFT(B134,2)="ma"," "," ")))</f>
        <v xml:space="preserve"> </v>
      </c>
      <c r="AL134" s="90" t="str">
        <f>IFERROR(VLOOKUP(A134&amp;"a",COPY!$S$2:$AA$1000,7,FALSE)," ")</f>
        <v xml:space="preserve"> </v>
      </c>
      <c r="AM134" s="90" t="str">
        <f>IFERROR(VLOOKUP(A134&amp;"aa",COPY!$S$2:$AA$1000,7,FALSE)," ")</f>
        <v xml:space="preserve"> </v>
      </c>
      <c r="AN134" s="90" t="str">
        <f>IFERROR(VLOOKUP(A134&amp;"aaa",COPY!$S$2:$AA$1000,7,FALSE)," ")</f>
        <v xml:space="preserve"> </v>
      </c>
      <c r="AO134" s="90" t="str">
        <f>IFERROR(VLOOKUP(A134&amp;"aaaa",COPY!$S$2:$AA$1000,7,FALSE)," ")</f>
        <v xml:space="preserve"> </v>
      </c>
      <c r="AP134" s="90" t="str">
        <f>IFERROR(VLOOKUP(A134&amp;"aaaaa",COPY!$S$2:$AA$1000,7,FALSE)," ")</f>
        <v xml:space="preserve"> </v>
      </c>
      <c r="AQ134" s="90" t="str">
        <f>IFERROR(VLOOKUP(A134&amp;"aaaaaa",COPY!$S$2:$AA$1000,7,FALSE)," ")</f>
        <v xml:space="preserve"> </v>
      </c>
      <c r="AR134" s="90" t="str">
        <f>IFERROR(VLOOKUP(A134&amp;"aaaaaaa",COPY!$S$2:$AA$1000,7,FALSE)," ")</f>
        <v xml:space="preserve"> </v>
      </c>
      <c r="AS134" s="90" t="str">
        <f>IFERROR(VLOOKUP(A134&amp;"aaaaaaaa",COPY!$S$2:$AA$1000,7,FALSE)," ")</f>
        <v xml:space="preserve"> </v>
      </c>
      <c r="AT134" s="90" t="str">
        <f>IFERROR(VLOOKUP(A134&amp;"aaaaaaaaa",COPY!$S$2:$AA$1000,7,FALSE)," ")</f>
        <v xml:space="preserve"> </v>
      </c>
      <c r="AU134" s="90" t="str">
        <f>IFERROR(VLOOKUP(A134&amp;"aaaaaaaaaa",COPY!$S$2:$AA$1000,7,FALSE)," ")</f>
        <v xml:space="preserve"> </v>
      </c>
      <c r="AV134" s="90" t="str">
        <f>IFERROR(VLOOKUP(A134&amp;"aaaaaaaaaaa",COPY!$S$2:$AA$1000,7,FALSE)," ")</f>
        <v xml:space="preserve"> </v>
      </c>
    </row>
    <row r="135" spans="1:48" x14ac:dyDescent="0.2">
      <c r="A135" s="75" t="str">
        <f>'REKAP PAJAK'!W172</f>
        <v/>
      </c>
      <c r="B135" s="75" t="str">
        <f>IF(LEN(A135)&gt;1,VLOOKUP(A135,COPY!$O$2:$R$1000,4,FALSE),"")</f>
        <v/>
      </c>
      <c r="C135" s="75" t="str">
        <f t="shared" si="12"/>
        <v xml:space="preserve"> </v>
      </c>
      <c r="D135" s="75" t="str">
        <f t="shared" si="13"/>
        <v xml:space="preserve"> </v>
      </c>
      <c r="E135" s="75" t="str">
        <f t="shared" si="14"/>
        <v xml:space="preserve"> </v>
      </c>
      <c r="F135" s="75" t="str">
        <f t="shared" si="15"/>
        <v xml:space="preserve"> </v>
      </c>
      <c r="G135" s="75" t="str">
        <f>IFERROR(TEXT(VLOOKUP(A135,COPY!$S$2:$W$1000,3,FALSE),"dd-mmmm-yyyy")," ")</f>
        <v xml:space="preserve"> </v>
      </c>
      <c r="H135" s="75" t="str">
        <f t="shared" si="16"/>
        <v xml:space="preserve"> </v>
      </c>
      <c r="I135" s="75" t="str">
        <f t="shared" si="17"/>
        <v xml:space="preserve"> </v>
      </c>
      <c r="J135" s="90" t="str">
        <f>IFERROR(VLOOKUP(A135,COPY!$S$2:$W$1000,4,FALSE)," ")</f>
        <v xml:space="preserve"> </v>
      </c>
      <c r="K135" s="75" t="str">
        <f>IFERROR(VLOOKUP(A135,COPY!$S$2:$W$1000,5,FALSE)," ")</f>
        <v xml:space="preserve"> </v>
      </c>
      <c r="L135" s="75" t="str">
        <f>IF(B135="","",IF(LEFT(B135,2)="Ma",(VLOOKUP(B135,'Rekap Gaji'!$C$12:$D$26,2,FALSE))&amp;" Untuk "&amp;(PROPER('Rekap Gaji'!$B$2)),IF(LEFT(B135,2)="Mg","Pembelian Material Bahan Bangunan",IF(LEFT(B135,2)="Me","Biaya Pembelanjaan Menejemen",IF(LEFT(B135,1)="G",VLOOKUP(A135,COPY!$S$2:$AA$1000,2,FALSE)&amp;"( "&amp;TEXT(VLOOKUP(B135,'Rekap Gaji'!$A$12:$I$26,5,FALSE),"dd-mm-yyyy")&amp;" "&amp;TEXT(VLOOKUP(B135,'Rekap Gaji'!$A$12:$I$26,6,FALSE)&amp;" "&amp;TEXT(VLOOKUP(B135,'Rekap Gaji'!$A$12:$I$26,7,FALSE),"dd-mm-yyyy")&amp;" )"," "))))))</f>
        <v/>
      </c>
      <c r="M135" s="75" t="str">
        <f>IF(OR(LEFT(B135,2)="mg",LEFT(B135,2)="mE"),VLOOKUP(A135,COPY!$S$2:$AA$1000,2,FALSE),IF(LEFT(B135,1)="G"," ",IF(LEFT(B135,2)="ma"," "," ")))</f>
        <v xml:space="preserve"> </v>
      </c>
      <c r="N135" s="75" t="str">
        <f>IFERROR(VLOOKUP($A$135&amp;"a",COPY!$S$2:$AA$1000,2,FALSE)," ")</f>
        <v xml:space="preserve"> </v>
      </c>
      <c r="O135" s="75" t="str">
        <f>IFERROR(VLOOKUP($A$135&amp;"aa",COPY!$S$2:$AA$1000,2,FALSE)," ")</f>
        <v xml:space="preserve"> </v>
      </c>
      <c r="P135" s="75" t="str">
        <f>IFERROR(VLOOKUP($A$135&amp;"aaa",COPY!$S$2:$AA$1000,2,FALSE)," ")</f>
        <v xml:space="preserve"> </v>
      </c>
      <c r="Q135" s="75" t="str">
        <f>IFERROR(VLOOKUP($A$135&amp;"aaaa",COPY!$S$2:$AA$1000,2,FALSE)," ")</f>
        <v xml:space="preserve"> </v>
      </c>
      <c r="R135" s="75" t="str">
        <f>IFERROR(VLOOKUP($A$135&amp;"aaaaa",COPY!$S$2:$AA$1000,2,FALSE)," ")</f>
        <v xml:space="preserve"> </v>
      </c>
      <c r="S135" s="75" t="str">
        <f>IFERROR(VLOOKUP($A$135&amp;"aaaaaa",COPY!$S$2:$AA$1000,2,FALSE)," ")</f>
        <v xml:space="preserve"> </v>
      </c>
      <c r="T135" s="75" t="str">
        <f>IFERROR(VLOOKUP($A$135&amp;"aaaaaaa",COPY!$S$2:$AA$1000,2,FALSE)," ")</f>
        <v xml:space="preserve"> </v>
      </c>
      <c r="U135" s="75" t="str">
        <f>IFERROR(VLOOKUP($A$135&amp;"aaaaaaaa",COPY!$S$2:$AA$1000,2,FALSE)," ")</f>
        <v xml:space="preserve"> </v>
      </c>
      <c r="V135" s="75" t="str">
        <f>IFERROR(VLOOKUP($A$135&amp;"aaaaaaaaa",COPY!$S$2:$AA$1000,2,FALSE)," ")</f>
        <v xml:space="preserve"> </v>
      </c>
      <c r="W135" s="75" t="str">
        <f>IFERROR(VLOOKUP($A$135&amp;"aaaaaaaaaa",COPY!$S$2:$AA$1000,2,FALSE)," ")</f>
        <v xml:space="preserve"> </v>
      </c>
      <c r="X135" s="75" t="str">
        <f>IFERROR(VLOOKUP($A$135&amp;"aaaaaaaaaaa",COPY!$S$2:$AA$1000,2,FALSE)," ")</f>
        <v xml:space="preserve"> </v>
      </c>
      <c r="Y135" s="90" t="str">
        <f>IF(OR(LEFT(B135,2)="mg",LEFT(B135,2)="mE"),VLOOKUP(A135,COPY!$S$2:$AA$1000,6,FALSE),IF(LEFT(B135,1)="G"," ",IF(LEFT(B135,2)="ma"," "," ")))</f>
        <v xml:space="preserve"> </v>
      </c>
      <c r="Z135" s="90" t="str">
        <f>IFERROR(VLOOKUP(A135&amp;"a",COPY!$S$2:$AA$1000,6,FALSE)," ")</f>
        <v xml:space="preserve"> </v>
      </c>
      <c r="AA135" s="90" t="str">
        <f>IFERROR(VLOOKUP(A135&amp;"aa",COPY!$S$2:$AA$1000,6,FALSE)," ")</f>
        <v xml:space="preserve"> </v>
      </c>
      <c r="AB135" s="90" t="str">
        <f>IFERROR(VLOOKUP(A135&amp;"aaa",COPY!$S$2:$AA$1000,6,FALSE)," ")</f>
        <v xml:space="preserve"> </v>
      </c>
      <c r="AC135" s="90" t="str">
        <f>IFERROR(VLOOKUP(A135&amp;"aaaa",COPY!$S$2:$AA$1000,6,FALSE)," ")</f>
        <v xml:space="preserve"> </v>
      </c>
      <c r="AD135" s="90" t="str">
        <f>IFERROR(VLOOKUP(A135&amp;"aaaaa",COPY!$S$2:$AA$1000,6,FALSE)," ")</f>
        <v xml:space="preserve"> </v>
      </c>
      <c r="AE135" s="90" t="str">
        <f>IFERROR(VLOOKUP(A135&amp;"aaaaaa",COPY!$S$2:$AA$1000,6,FALSE)," ")</f>
        <v xml:space="preserve"> </v>
      </c>
      <c r="AF135" s="90" t="str">
        <f>IFERROR(VLOOKUP(A135&amp;"aaaaaaa",COPY!$S$2:$AA$1000,6,FALSE)," ")</f>
        <v xml:space="preserve"> </v>
      </c>
      <c r="AG135" s="90" t="str">
        <f>IFERROR(VLOOKUP(A135&amp;"aaaaaaaa",COPY!$S$2:$AA$1000,6,FALSE)," ")</f>
        <v xml:space="preserve"> </v>
      </c>
      <c r="AH135" s="90" t="str">
        <f>IFERROR(VLOOKUP(A135&amp;"aaaaaaaaa",COPY!$S$2:$AA$1000,6,FALSE)," ")</f>
        <v xml:space="preserve"> </v>
      </c>
      <c r="AI135" s="90" t="str">
        <f>IFERROR(VLOOKUP(A135&amp;"aaaaaaaaaa",COPY!$S$2:$AA$1000,6,FALSE)," ")</f>
        <v xml:space="preserve"> </v>
      </c>
      <c r="AJ135" s="90" t="str">
        <f>IFERROR(VLOOKUP(A135&amp;"aaaaaaaaaaa",COPY!$S$2:$AA$1000,6,FALSE)," ")</f>
        <v xml:space="preserve"> </v>
      </c>
      <c r="AK135" s="90" t="str">
        <f>IF(LEFT(B135,2)="mg",VLOOKUP(A135,COPY!$S$2:$AA$1000,7,FALSE),IF(LEFT(B135,1)="G"," ",IF(LEFT(B135,2)="ma"," "," ")))</f>
        <v xml:space="preserve"> </v>
      </c>
      <c r="AL135" s="90" t="str">
        <f>IFERROR(VLOOKUP(A135&amp;"a",COPY!$S$2:$AA$1000,7,FALSE)," ")</f>
        <v xml:space="preserve"> </v>
      </c>
      <c r="AM135" s="90" t="str">
        <f>IFERROR(VLOOKUP(A135&amp;"aa",COPY!$S$2:$AA$1000,7,FALSE)," ")</f>
        <v xml:space="preserve"> </v>
      </c>
      <c r="AN135" s="90" t="str">
        <f>IFERROR(VLOOKUP(A135&amp;"aaa",COPY!$S$2:$AA$1000,7,FALSE)," ")</f>
        <v xml:space="preserve"> </v>
      </c>
      <c r="AO135" s="90" t="str">
        <f>IFERROR(VLOOKUP(A135&amp;"aaaa",COPY!$S$2:$AA$1000,7,FALSE)," ")</f>
        <v xml:space="preserve"> </v>
      </c>
      <c r="AP135" s="90" t="str">
        <f>IFERROR(VLOOKUP(A135&amp;"aaaaa",COPY!$S$2:$AA$1000,7,FALSE)," ")</f>
        <v xml:space="preserve"> </v>
      </c>
      <c r="AQ135" s="90" t="str">
        <f>IFERROR(VLOOKUP(A135&amp;"aaaaaa",COPY!$S$2:$AA$1000,7,FALSE)," ")</f>
        <v xml:space="preserve"> </v>
      </c>
      <c r="AR135" s="90" t="str">
        <f>IFERROR(VLOOKUP(A135&amp;"aaaaaaa",COPY!$S$2:$AA$1000,7,FALSE)," ")</f>
        <v xml:space="preserve"> </v>
      </c>
      <c r="AS135" s="90" t="str">
        <f>IFERROR(VLOOKUP(A135&amp;"aaaaaaaa",COPY!$S$2:$AA$1000,7,FALSE)," ")</f>
        <v xml:space="preserve"> </v>
      </c>
      <c r="AT135" s="90" t="str">
        <f>IFERROR(VLOOKUP(A135&amp;"aaaaaaaaa",COPY!$S$2:$AA$1000,7,FALSE)," ")</f>
        <v xml:space="preserve"> </v>
      </c>
      <c r="AU135" s="90" t="str">
        <f>IFERROR(VLOOKUP(A135&amp;"aaaaaaaaaa",COPY!$S$2:$AA$1000,7,FALSE)," ")</f>
        <v xml:space="preserve"> </v>
      </c>
      <c r="AV135" s="90" t="str">
        <f>IFERROR(VLOOKUP(A135&amp;"aaaaaaaaaaa",COPY!$S$2:$AA$1000,7,FALSE)," ")</f>
        <v xml:space="preserve"> </v>
      </c>
    </row>
    <row r="136" spans="1:48" x14ac:dyDescent="0.2">
      <c r="A136" s="75" t="str">
        <f>'REKAP PAJAK'!W173</f>
        <v/>
      </c>
      <c r="B136" s="75" t="str">
        <f>IF(LEN(A136)&gt;1,VLOOKUP(A136,COPY!$O$2:$R$1000,4,FALSE),"")</f>
        <v/>
      </c>
      <c r="C136" s="75" t="str">
        <f t="shared" si="12"/>
        <v xml:space="preserve"> </v>
      </c>
      <c r="D136" s="75" t="str">
        <f t="shared" si="13"/>
        <v xml:space="preserve"> </v>
      </c>
      <c r="E136" s="75" t="str">
        <f t="shared" si="14"/>
        <v xml:space="preserve"> </v>
      </c>
      <c r="F136" s="75" t="str">
        <f t="shared" si="15"/>
        <v xml:space="preserve"> </v>
      </c>
      <c r="G136" s="75" t="str">
        <f>IFERROR(TEXT(VLOOKUP(A136,COPY!$S$2:$W$1000,3,FALSE),"dd-mmmm-yyyy")," ")</f>
        <v xml:space="preserve"> </v>
      </c>
      <c r="H136" s="75" t="str">
        <f t="shared" si="16"/>
        <v xml:space="preserve"> </v>
      </c>
      <c r="I136" s="75" t="str">
        <f t="shared" si="17"/>
        <v xml:space="preserve"> </v>
      </c>
      <c r="J136" s="90" t="str">
        <f>IFERROR(VLOOKUP(A136,COPY!$S$2:$W$1000,4,FALSE)," ")</f>
        <v xml:space="preserve"> </v>
      </c>
      <c r="K136" s="75" t="str">
        <f>IFERROR(VLOOKUP(A136,COPY!$S$2:$W$1000,5,FALSE)," ")</f>
        <v xml:space="preserve"> </v>
      </c>
      <c r="L136" s="75" t="str">
        <f>IF(B136="","",IF(LEFT(B136,2)="Ma",(VLOOKUP(B136,'Rekap Gaji'!$C$12:$D$26,2,FALSE))&amp;" Untuk "&amp;(PROPER('Rekap Gaji'!$B$2)),IF(LEFT(B136,2)="Mg","Pembelian Material Bahan Bangunan",IF(LEFT(B136,2)="Me","Biaya Pembelanjaan Menejemen",IF(LEFT(B136,1)="G",VLOOKUP(A136,COPY!$S$2:$AA$1000,2,FALSE)&amp;"( "&amp;TEXT(VLOOKUP(B136,'Rekap Gaji'!$A$12:$I$26,5,FALSE),"dd-mm-yyyy")&amp;" "&amp;TEXT(VLOOKUP(B136,'Rekap Gaji'!$A$12:$I$26,6,FALSE)&amp;" "&amp;TEXT(VLOOKUP(B136,'Rekap Gaji'!$A$12:$I$26,7,FALSE),"dd-mm-yyyy")&amp;" )"," "))))))</f>
        <v/>
      </c>
      <c r="M136" s="75" t="str">
        <f>IF(OR(LEFT(B136,2)="mg",LEFT(B136,2)="mE"),VLOOKUP(A136,COPY!$S$2:$AA$1000,2,FALSE),IF(LEFT(B136,1)="G"," ",IF(LEFT(B136,2)="ma"," "," ")))</f>
        <v xml:space="preserve"> </v>
      </c>
      <c r="N136" s="75" t="str">
        <f>IFERROR(VLOOKUP($A$136&amp;"a",COPY!$S$2:$AA$1000,2,FALSE)," ")</f>
        <v xml:space="preserve"> </v>
      </c>
      <c r="O136" s="75" t="str">
        <f>IFERROR(VLOOKUP($A$136&amp;"aa",COPY!$S$2:$AA$1000,2,FALSE)," ")</f>
        <v xml:space="preserve"> </v>
      </c>
      <c r="P136" s="75" t="str">
        <f>IFERROR(VLOOKUP($A$136&amp;"aaa",COPY!$S$2:$AA$1000,2,FALSE)," ")</f>
        <v xml:space="preserve"> </v>
      </c>
      <c r="Q136" s="75" t="str">
        <f>IFERROR(VLOOKUP($A$136&amp;"aaaa",COPY!$S$2:$AA$1000,2,FALSE)," ")</f>
        <v xml:space="preserve"> </v>
      </c>
      <c r="R136" s="75" t="str">
        <f>IFERROR(VLOOKUP($A$136&amp;"aaaaa",COPY!$S$2:$AA$1000,2,FALSE)," ")</f>
        <v xml:space="preserve"> </v>
      </c>
      <c r="S136" s="75" t="str">
        <f>IFERROR(VLOOKUP($A$136&amp;"aaaaaa",COPY!$S$2:$AA$1000,2,FALSE)," ")</f>
        <v xml:space="preserve"> </v>
      </c>
      <c r="T136" s="75" t="str">
        <f>IFERROR(VLOOKUP($A$136&amp;"aaaaaaa",COPY!$S$2:$AA$1000,2,FALSE)," ")</f>
        <v xml:space="preserve"> </v>
      </c>
      <c r="U136" s="75" t="str">
        <f>IFERROR(VLOOKUP($A$136&amp;"aaaaaaaa",COPY!$S$2:$AA$1000,2,FALSE)," ")</f>
        <v xml:space="preserve"> </v>
      </c>
      <c r="V136" s="75" t="str">
        <f>IFERROR(VLOOKUP($A$136&amp;"aaaaaaaaa",COPY!$S$2:$AA$1000,2,FALSE)," ")</f>
        <v xml:space="preserve"> </v>
      </c>
      <c r="W136" s="75" t="str">
        <f>IFERROR(VLOOKUP($A$136&amp;"aaaaaaaaaa",COPY!$S$2:$AA$1000,2,FALSE)," ")</f>
        <v xml:space="preserve"> </v>
      </c>
      <c r="X136" s="75" t="str">
        <f>IFERROR(VLOOKUP($A$136&amp;"aaaaaaaaaaa",COPY!$S$2:$AA$1000,2,FALSE)," ")</f>
        <v xml:space="preserve"> </v>
      </c>
      <c r="Y136" s="90" t="str">
        <f>IF(OR(LEFT(B136,2)="mg",LEFT(B136,2)="mE"),VLOOKUP(A136,COPY!$S$2:$AA$1000,6,FALSE),IF(LEFT(B136,1)="G"," ",IF(LEFT(B136,2)="ma"," "," ")))</f>
        <v xml:space="preserve"> </v>
      </c>
      <c r="Z136" s="90" t="str">
        <f>IFERROR(VLOOKUP(A136&amp;"a",COPY!$S$2:$AA$1000,6,FALSE)," ")</f>
        <v xml:space="preserve"> </v>
      </c>
      <c r="AA136" s="90" t="str">
        <f>IFERROR(VLOOKUP(A136&amp;"aa",COPY!$S$2:$AA$1000,6,FALSE)," ")</f>
        <v xml:space="preserve"> </v>
      </c>
      <c r="AB136" s="90" t="str">
        <f>IFERROR(VLOOKUP(A136&amp;"aaa",COPY!$S$2:$AA$1000,6,FALSE)," ")</f>
        <v xml:space="preserve"> </v>
      </c>
      <c r="AC136" s="90" t="str">
        <f>IFERROR(VLOOKUP(A136&amp;"aaaa",COPY!$S$2:$AA$1000,6,FALSE)," ")</f>
        <v xml:space="preserve"> </v>
      </c>
      <c r="AD136" s="90" t="str">
        <f>IFERROR(VLOOKUP(A136&amp;"aaaaa",COPY!$S$2:$AA$1000,6,FALSE)," ")</f>
        <v xml:space="preserve"> </v>
      </c>
      <c r="AE136" s="90" t="str">
        <f>IFERROR(VLOOKUP(A136&amp;"aaaaaa",COPY!$S$2:$AA$1000,6,FALSE)," ")</f>
        <v xml:space="preserve"> </v>
      </c>
      <c r="AF136" s="90" t="str">
        <f>IFERROR(VLOOKUP(A136&amp;"aaaaaaa",COPY!$S$2:$AA$1000,6,FALSE)," ")</f>
        <v xml:space="preserve"> </v>
      </c>
      <c r="AG136" s="90" t="str">
        <f>IFERROR(VLOOKUP(A136&amp;"aaaaaaaa",COPY!$S$2:$AA$1000,6,FALSE)," ")</f>
        <v xml:space="preserve"> </v>
      </c>
      <c r="AH136" s="90" t="str">
        <f>IFERROR(VLOOKUP(A136&amp;"aaaaaaaaa",COPY!$S$2:$AA$1000,6,FALSE)," ")</f>
        <v xml:space="preserve"> </v>
      </c>
      <c r="AI136" s="90" t="str">
        <f>IFERROR(VLOOKUP(A136&amp;"aaaaaaaaaa",COPY!$S$2:$AA$1000,6,FALSE)," ")</f>
        <v xml:space="preserve"> </v>
      </c>
      <c r="AJ136" s="90" t="str">
        <f>IFERROR(VLOOKUP(A136&amp;"aaaaaaaaaaa",COPY!$S$2:$AA$1000,6,FALSE)," ")</f>
        <v xml:space="preserve"> </v>
      </c>
      <c r="AK136" s="90" t="str">
        <f>IF(LEFT(B136,2)="mg",VLOOKUP(A136,COPY!$S$2:$AA$1000,7,FALSE),IF(LEFT(B136,1)="G"," ",IF(LEFT(B136,2)="ma"," "," ")))</f>
        <v xml:space="preserve"> </v>
      </c>
      <c r="AL136" s="90" t="str">
        <f>IFERROR(VLOOKUP(A136&amp;"a",COPY!$S$2:$AA$1000,7,FALSE)," ")</f>
        <v xml:space="preserve"> </v>
      </c>
      <c r="AM136" s="90" t="str">
        <f>IFERROR(VLOOKUP(A136&amp;"aa",COPY!$S$2:$AA$1000,7,FALSE)," ")</f>
        <v xml:space="preserve"> </v>
      </c>
      <c r="AN136" s="90" t="str">
        <f>IFERROR(VLOOKUP(A136&amp;"aaa",COPY!$S$2:$AA$1000,7,FALSE)," ")</f>
        <v xml:space="preserve"> </v>
      </c>
      <c r="AO136" s="90" t="str">
        <f>IFERROR(VLOOKUP(A136&amp;"aaaa",COPY!$S$2:$AA$1000,7,FALSE)," ")</f>
        <v xml:space="preserve"> </v>
      </c>
      <c r="AP136" s="90" t="str">
        <f>IFERROR(VLOOKUP(A136&amp;"aaaaa",COPY!$S$2:$AA$1000,7,FALSE)," ")</f>
        <v xml:space="preserve"> </v>
      </c>
      <c r="AQ136" s="90" t="str">
        <f>IFERROR(VLOOKUP(A136&amp;"aaaaaa",COPY!$S$2:$AA$1000,7,FALSE)," ")</f>
        <v xml:space="preserve"> </v>
      </c>
      <c r="AR136" s="90" t="str">
        <f>IFERROR(VLOOKUP(A136&amp;"aaaaaaa",COPY!$S$2:$AA$1000,7,FALSE)," ")</f>
        <v xml:space="preserve"> </v>
      </c>
      <c r="AS136" s="90" t="str">
        <f>IFERROR(VLOOKUP(A136&amp;"aaaaaaaa",COPY!$S$2:$AA$1000,7,FALSE)," ")</f>
        <v xml:space="preserve"> </v>
      </c>
      <c r="AT136" s="90" t="str">
        <f>IFERROR(VLOOKUP(A136&amp;"aaaaaaaaa",COPY!$S$2:$AA$1000,7,FALSE)," ")</f>
        <v xml:space="preserve"> </v>
      </c>
      <c r="AU136" s="90" t="str">
        <f>IFERROR(VLOOKUP(A136&amp;"aaaaaaaaaa",COPY!$S$2:$AA$1000,7,FALSE)," ")</f>
        <v xml:space="preserve"> </v>
      </c>
      <c r="AV136" s="90" t="str">
        <f>IFERROR(VLOOKUP(A136&amp;"aaaaaaaaaaa",COPY!$S$2:$AA$1000,7,FALSE)," ")</f>
        <v xml:space="preserve"> </v>
      </c>
    </row>
    <row r="137" spans="1:48" x14ac:dyDescent="0.2">
      <c r="A137" s="75" t="str">
        <f>'REKAP PAJAK'!W174</f>
        <v/>
      </c>
      <c r="B137" s="75" t="str">
        <f>IF(LEN(A137)&gt;1,VLOOKUP(A137,COPY!$O$2:$R$1000,4,FALSE),"")</f>
        <v/>
      </c>
      <c r="C137" s="75" t="str">
        <f t="shared" si="12"/>
        <v xml:space="preserve"> </v>
      </c>
      <c r="D137" s="75" t="str">
        <f t="shared" si="13"/>
        <v xml:space="preserve"> </v>
      </c>
      <c r="E137" s="75" t="str">
        <f t="shared" si="14"/>
        <v xml:space="preserve"> </v>
      </c>
      <c r="F137" s="75" t="str">
        <f t="shared" si="15"/>
        <v xml:space="preserve"> </v>
      </c>
      <c r="G137" s="75" t="str">
        <f>IFERROR(TEXT(VLOOKUP(A137,COPY!$S$2:$W$1000,3,FALSE),"dd-mmmm-yyyy")," ")</f>
        <v xml:space="preserve"> </v>
      </c>
      <c r="H137" s="75" t="str">
        <f t="shared" si="16"/>
        <v xml:space="preserve"> </v>
      </c>
      <c r="I137" s="75" t="str">
        <f t="shared" si="17"/>
        <v xml:space="preserve"> </v>
      </c>
      <c r="J137" s="90" t="str">
        <f>IFERROR(VLOOKUP(A137,COPY!$S$2:$W$1000,4,FALSE)," ")</f>
        <v xml:space="preserve"> </v>
      </c>
      <c r="K137" s="75" t="str">
        <f>IFERROR(VLOOKUP(A137,COPY!$S$2:$W$1000,5,FALSE)," ")</f>
        <v xml:space="preserve"> </v>
      </c>
      <c r="L137" s="75" t="str">
        <f>IF(B137="","",IF(LEFT(B137,2)="Ma",(VLOOKUP(B137,'Rekap Gaji'!$C$12:$D$26,2,FALSE))&amp;" Untuk "&amp;(PROPER('Rekap Gaji'!$B$2)),IF(LEFT(B137,2)="Mg","Pembelian Material Bahan Bangunan",IF(LEFT(B137,2)="Me","Biaya Pembelanjaan Menejemen",IF(LEFT(B137,1)="G",VLOOKUP(A137,COPY!$S$2:$AA$1000,2,FALSE)&amp;"( "&amp;TEXT(VLOOKUP(B137,'Rekap Gaji'!$A$12:$I$26,5,FALSE),"dd-mm-yyyy")&amp;" "&amp;TEXT(VLOOKUP(B137,'Rekap Gaji'!$A$12:$I$26,6,FALSE)&amp;" "&amp;TEXT(VLOOKUP(B137,'Rekap Gaji'!$A$12:$I$26,7,FALSE),"dd-mm-yyyy")&amp;" )"," "))))))</f>
        <v/>
      </c>
      <c r="M137" s="75" t="str">
        <f>IF(OR(LEFT(B137,2)="mg",LEFT(B137,2)="mE"),VLOOKUP(A137,COPY!$S$2:$AA$1000,2,FALSE),IF(LEFT(B137,1)="G"," ",IF(LEFT(B137,2)="ma"," "," ")))</f>
        <v xml:space="preserve"> </v>
      </c>
      <c r="N137" s="75" t="str">
        <f>IFERROR(VLOOKUP($A$137&amp;"a",COPY!$S$2:$AA$1000,2,FALSE)," ")</f>
        <v xml:space="preserve"> </v>
      </c>
      <c r="O137" s="75" t="str">
        <f>IFERROR(VLOOKUP($A$137&amp;"aa",COPY!$S$2:$AA$1000,2,FALSE)," ")</f>
        <v xml:space="preserve"> </v>
      </c>
      <c r="P137" s="75" t="str">
        <f>IFERROR(VLOOKUP($A$137&amp;"aaa",COPY!$S$2:$AA$1000,2,FALSE)," ")</f>
        <v xml:space="preserve"> </v>
      </c>
      <c r="Q137" s="75" t="str">
        <f>IFERROR(VLOOKUP($A$137&amp;"aaaa",COPY!$S$2:$AA$1000,2,FALSE)," ")</f>
        <v xml:space="preserve"> </v>
      </c>
      <c r="R137" s="75" t="str">
        <f>IFERROR(VLOOKUP($A$137&amp;"aaaaa",COPY!$S$2:$AA$1000,2,FALSE)," ")</f>
        <v xml:space="preserve"> </v>
      </c>
      <c r="S137" s="75" t="str">
        <f>IFERROR(VLOOKUP($A$137&amp;"aaaaaa",COPY!$S$2:$AA$1000,2,FALSE)," ")</f>
        <v xml:space="preserve"> </v>
      </c>
      <c r="T137" s="75" t="str">
        <f>IFERROR(VLOOKUP($A$137&amp;"aaaaaaa",COPY!$S$2:$AA$1000,2,FALSE)," ")</f>
        <v xml:space="preserve"> </v>
      </c>
      <c r="U137" s="75" t="str">
        <f>IFERROR(VLOOKUP($A$137&amp;"aaaaaaaa",COPY!$S$2:$AA$1000,2,FALSE)," ")</f>
        <v xml:space="preserve"> </v>
      </c>
      <c r="V137" s="75" t="str">
        <f>IFERROR(VLOOKUP($A$137&amp;"aaaaaaaaa",COPY!$S$2:$AA$1000,2,FALSE)," ")</f>
        <v xml:space="preserve"> </v>
      </c>
      <c r="W137" s="75" t="str">
        <f>IFERROR(VLOOKUP($A$137&amp;"aaaaaaaaaa",COPY!$S$2:$AA$1000,2,FALSE)," ")</f>
        <v xml:space="preserve"> </v>
      </c>
      <c r="X137" s="75" t="str">
        <f>IFERROR(VLOOKUP($A$137&amp;"aaaaaaaaaaa",COPY!$S$2:$AA$1000,2,FALSE)," ")</f>
        <v xml:space="preserve"> </v>
      </c>
      <c r="Y137" s="90" t="str">
        <f>IF(OR(LEFT(B137,2)="mg",LEFT(B137,2)="mE"),VLOOKUP(A137,COPY!$S$2:$AA$1000,6,FALSE),IF(LEFT(B137,1)="G"," ",IF(LEFT(B137,2)="ma"," "," ")))</f>
        <v xml:space="preserve"> </v>
      </c>
      <c r="Z137" s="90" t="str">
        <f>IFERROR(VLOOKUP(A137&amp;"a",COPY!$S$2:$AA$1000,6,FALSE)," ")</f>
        <v xml:space="preserve"> </v>
      </c>
      <c r="AA137" s="90" t="str">
        <f>IFERROR(VLOOKUP(A137&amp;"aa",COPY!$S$2:$AA$1000,6,FALSE)," ")</f>
        <v xml:space="preserve"> </v>
      </c>
      <c r="AB137" s="90" t="str">
        <f>IFERROR(VLOOKUP(A137&amp;"aaa",COPY!$S$2:$AA$1000,6,FALSE)," ")</f>
        <v xml:space="preserve"> </v>
      </c>
      <c r="AC137" s="90" t="str">
        <f>IFERROR(VLOOKUP(A137&amp;"aaaa",COPY!$S$2:$AA$1000,6,FALSE)," ")</f>
        <v xml:space="preserve"> </v>
      </c>
      <c r="AD137" s="90" t="str">
        <f>IFERROR(VLOOKUP(A137&amp;"aaaaa",COPY!$S$2:$AA$1000,6,FALSE)," ")</f>
        <v xml:space="preserve"> </v>
      </c>
      <c r="AE137" s="90" t="str">
        <f>IFERROR(VLOOKUP(A137&amp;"aaaaaa",COPY!$S$2:$AA$1000,6,FALSE)," ")</f>
        <v xml:space="preserve"> </v>
      </c>
      <c r="AF137" s="90" t="str">
        <f>IFERROR(VLOOKUP(A137&amp;"aaaaaaa",COPY!$S$2:$AA$1000,6,FALSE)," ")</f>
        <v xml:space="preserve"> </v>
      </c>
      <c r="AG137" s="90" t="str">
        <f>IFERROR(VLOOKUP(A137&amp;"aaaaaaaa",COPY!$S$2:$AA$1000,6,FALSE)," ")</f>
        <v xml:space="preserve"> </v>
      </c>
      <c r="AH137" s="90" t="str">
        <f>IFERROR(VLOOKUP(A137&amp;"aaaaaaaaa",COPY!$S$2:$AA$1000,6,FALSE)," ")</f>
        <v xml:space="preserve"> </v>
      </c>
      <c r="AI137" s="90" t="str">
        <f>IFERROR(VLOOKUP(A137&amp;"aaaaaaaaaa",COPY!$S$2:$AA$1000,6,FALSE)," ")</f>
        <v xml:space="preserve"> </v>
      </c>
      <c r="AJ137" s="90" t="str">
        <f>IFERROR(VLOOKUP(A137&amp;"aaaaaaaaaaa",COPY!$S$2:$AA$1000,6,FALSE)," ")</f>
        <v xml:space="preserve"> </v>
      </c>
      <c r="AK137" s="90" t="str">
        <f>IF(LEFT(B137,2)="mg",VLOOKUP(A137,COPY!$S$2:$AA$1000,7,FALSE),IF(LEFT(B137,1)="G"," ",IF(LEFT(B137,2)="ma"," "," ")))</f>
        <v xml:space="preserve"> </v>
      </c>
      <c r="AL137" s="90" t="str">
        <f>IFERROR(VLOOKUP(A137&amp;"a",COPY!$S$2:$AA$1000,7,FALSE)," ")</f>
        <v xml:space="preserve"> </v>
      </c>
      <c r="AM137" s="90" t="str">
        <f>IFERROR(VLOOKUP(A137&amp;"aa",COPY!$S$2:$AA$1000,7,FALSE)," ")</f>
        <v xml:space="preserve"> </v>
      </c>
      <c r="AN137" s="90" t="str">
        <f>IFERROR(VLOOKUP(A137&amp;"aaa",COPY!$S$2:$AA$1000,7,FALSE)," ")</f>
        <v xml:space="preserve"> </v>
      </c>
      <c r="AO137" s="90" t="str">
        <f>IFERROR(VLOOKUP(A137&amp;"aaaa",COPY!$S$2:$AA$1000,7,FALSE)," ")</f>
        <v xml:space="preserve"> </v>
      </c>
      <c r="AP137" s="90" t="str">
        <f>IFERROR(VLOOKUP(A137&amp;"aaaaa",COPY!$S$2:$AA$1000,7,FALSE)," ")</f>
        <v xml:space="preserve"> </v>
      </c>
      <c r="AQ137" s="90" t="str">
        <f>IFERROR(VLOOKUP(A137&amp;"aaaaaa",COPY!$S$2:$AA$1000,7,FALSE)," ")</f>
        <v xml:space="preserve"> </v>
      </c>
      <c r="AR137" s="90" t="str">
        <f>IFERROR(VLOOKUP(A137&amp;"aaaaaaa",COPY!$S$2:$AA$1000,7,FALSE)," ")</f>
        <v xml:space="preserve"> </v>
      </c>
      <c r="AS137" s="90" t="str">
        <f>IFERROR(VLOOKUP(A137&amp;"aaaaaaaa",COPY!$S$2:$AA$1000,7,FALSE)," ")</f>
        <v xml:space="preserve"> </v>
      </c>
      <c r="AT137" s="90" t="str">
        <f>IFERROR(VLOOKUP(A137&amp;"aaaaaaaaa",COPY!$S$2:$AA$1000,7,FALSE)," ")</f>
        <v xml:space="preserve"> </v>
      </c>
      <c r="AU137" s="90" t="str">
        <f>IFERROR(VLOOKUP(A137&amp;"aaaaaaaaaa",COPY!$S$2:$AA$1000,7,FALSE)," ")</f>
        <v xml:space="preserve"> </v>
      </c>
      <c r="AV137" s="90" t="str">
        <f>IFERROR(VLOOKUP(A137&amp;"aaaaaaaaaaa",COPY!$S$2:$AA$1000,7,FALSE)," ")</f>
        <v xml:space="preserve"> </v>
      </c>
    </row>
    <row r="138" spans="1:48" x14ac:dyDescent="0.2">
      <c r="A138" s="75" t="str">
        <f>'REKAP PAJAK'!W175</f>
        <v/>
      </c>
      <c r="B138" s="75" t="str">
        <f>IF(LEN(A138)&gt;1,VLOOKUP(A138,COPY!$O$2:$R$1000,4,FALSE),"")</f>
        <v/>
      </c>
      <c r="C138" s="75" t="str">
        <f t="shared" si="12"/>
        <v xml:space="preserve"> </v>
      </c>
      <c r="D138" s="75" t="str">
        <f t="shared" si="13"/>
        <v xml:space="preserve"> </v>
      </c>
      <c r="E138" s="75" t="str">
        <f t="shared" si="14"/>
        <v xml:space="preserve"> </v>
      </c>
      <c r="F138" s="75" t="str">
        <f t="shared" si="15"/>
        <v xml:space="preserve"> </v>
      </c>
      <c r="G138" s="75" t="str">
        <f>IFERROR(TEXT(VLOOKUP(A138,COPY!$S$2:$W$1000,3,FALSE),"dd-mmmm-yyyy")," ")</f>
        <v xml:space="preserve"> </v>
      </c>
      <c r="H138" s="75" t="str">
        <f t="shared" si="16"/>
        <v xml:space="preserve"> </v>
      </c>
      <c r="I138" s="75" t="str">
        <f t="shared" si="17"/>
        <v xml:space="preserve"> </v>
      </c>
      <c r="J138" s="90" t="str">
        <f>IFERROR(VLOOKUP(A138,COPY!$S$2:$W$1000,4,FALSE)," ")</f>
        <v xml:space="preserve"> </v>
      </c>
      <c r="K138" s="75" t="str">
        <f>IFERROR(VLOOKUP(A138,COPY!$S$2:$W$1000,5,FALSE)," ")</f>
        <v xml:space="preserve"> </v>
      </c>
      <c r="L138" s="75" t="str">
        <f>IF(B138="","",IF(LEFT(B138,2)="Ma",(VLOOKUP(B138,'Rekap Gaji'!$C$12:$D$26,2,FALSE))&amp;" Untuk "&amp;(PROPER('Rekap Gaji'!$B$2)),IF(LEFT(B138,2)="Mg","Pembelian Material Bahan Bangunan",IF(LEFT(B138,2)="Me","Biaya Pembelanjaan Menejemen",IF(LEFT(B138,1)="G",VLOOKUP(A138,COPY!$S$2:$AA$1000,2,FALSE)&amp;"( "&amp;TEXT(VLOOKUP(B138,'Rekap Gaji'!$A$12:$I$26,5,FALSE),"dd-mm-yyyy")&amp;" "&amp;TEXT(VLOOKUP(B138,'Rekap Gaji'!$A$12:$I$26,6,FALSE)&amp;" "&amp;TEXT(VLOOKUP(B138,'Rekap Gaji'!$A$12:$I$26,7,FALSE),"dd-mm-yyyy")&amp;" )"," "))))))</f>
        <v/>
      </c>
      <c r="M138" s="75" t="str">
        <f>IF(OR(LEFT(B138,2)="mg",LEFT(B138,2)="mE"),VLOOKUP(A138,COPY!$S$2:$AA$1000,2,FALSE),IF(LEFT(B138,1)="G"," ",IF(LEFT(B138,2)="ma"," "," ")))</f>
        <v xml:space="preserve"> </v>
      </c>
      <c r="N138" s="75" t="str">
        <f>IFERROR(VLOOKUP($A$138&amp;"a",COPY!$S$2:$AA$1000,2,FALSE)," ")</f>
        <v xml:space="preserve"> </v>
      </c>
      <c r="O138" s="75" t="str">
        <f>IFERROR(VLOOKUP($A$138&amp;"aa",COPY!$S$2:$AA$1000,2,FALSE)," ")</f>
        <v xml:space="preserve"> </v>
      </c>
      <c r="P138" s="75" t="str">
        <f>IFERROR(VLOOKUP($A$138&amp;"aaa",COPY!$S$2:$AA$1000,2,FALSE)," ")</f>
        <v xml:space="preserve"> </v>
      </c>
      <c r="Q138" s="75" t="str">
        <f>IFERROR(VLOOKUP($A$138&amp;"aaaa",COPY!$S$2:$AA$1000,2,FALSE)," ")</f>
        <v xml:space="preserve"> </v>
      </c>
      <c r="R138" s="75" t="str">
        <f>IFERROR(VLOOKUP($A$138&amp;"aaaaa",COPY!$S$2:$AA$1000,2,FALSE)," ")</f>
        <v xml:space="preserve"> </v>
      </c>
      <c r="S138" s="75" t="str">
        <f>IFERROR(VLOOKUP($A$138&amp;"aaaaaa",COPY!$S$2:$AA$1000,2,FALSE)," ")</f>
        <v xml:space="preserve"> </v>
      </c>
      <c r="T138" s="75" t="str">
        <f>IFERROR(VLOOKUP($A$138&amp;"aaaaaaa",COPY!$S$2:$AA$1000,2,FALSE)," ")</f>
        <v xml:space="preserve"> </v>
      </c>
      <c r="U138" s="75" t="str">
        <f>IFERROR(VLOOKUP($A$138&amp;"aaaaaaaa",COPY!$S$2:$AA$1000,2,FALSE)," ")</f>
        <v xml:space="preserve"> </v>
      </c>
      <c r="V138" s="75" t="str">
        <f>IFERROR(VLOOKUP($A$138&amp;"aaaaaaaaa",COPY!$S$2:$AA$1000,2,FALSE)," ")</f>
        <v xml:space="preserve"> </v>
      </c>
      <c r="W138" s="75" t="str">
        <f>IFERROR(VLOOKUP($A$138&amp;"aaaaaaaaaa",COPY!$S$2:$AA$1000,2,FALSE)," ")</f>
        <v xml:space="preserve"> </v>
      </c>
      <c r="X138" s="75" t="str">
        <f>IFERROR(VLOOKUP($A$138&amp;"aaaaaaaaaaa",COPY!$S$2:$AA$1000,2,FALSE)," ")</f>
        <v xml:space="preserve"> </v>
      </c>
      <c r="Y138" s="90" t="str">
        <f>IF(OR(LEFT(B138,2)="mg",LEFT(B138,2)="mE"),VLOOKUP(A138,COPY!$S$2:$AA$1000,6,FALSE),IF(LEFT(B138,1)="G"," ",IF(LEFT(B138,2)="ma"," "," ")))</f>
        <v xml:space="preserve"> </v>
      </c>
      <c r="Z138" s="90" t="str">
        <f>IFERROR(VLOOKUP(A138&amp;"a",COPY!$S$2:$AA$1000,6,FALSE)," ")</f>
        <v xml:space="preserve"> </v>
      </c>
      <c r="AA138" s="90" t="str">
        <f>IFERROR(VLOOKUP(A138&amp;"aa",COPY!$S$2:$AA$1000,6,FALSE)," ")</f>
        <v xml:space="preserve"> </v>
      </c>
      <c r="AB138" s="90" t="str">
        <f>IFERROR(VLOOKUP(A138&amp;"aaa",COPY!$S$2:$AA$1000,6,FALSE)," ")</f>
        <v xml:space="preserve"> </v>
      </c>
      <c r="AC138" s="90" t="str">
        <f>IFERROR(VLOOKUP(A138&amp;"aaaa",COPY!$S$2:$AA$1000,6,FALSE)," ")</f>
        <v xml:space="preserve"> </v>
      </c>
      <c r="AD138" s="90" t="str">
        <f>IFERROR(VLOOKUP(A138&amp;"aaaaa",COPY!$S$2:$AA$1000,6,FALSE)," ")</f>
        <v xml:space="preserve"> </v>
      </c>
      <c r="AE138" s="90" t="str">
        <f>IFERROR(VLOOKUP(A138&amp;"aaaaaa",COPY!$S$2:$AA$1000,6,FALSE)," ")</f>
        <v xml:space="preserve"> </v>
      </c>
      <c r="AF138" s="90" t="str">
        <f>IFERROR(VLOOKUP(A138&amp;"aaaaaaa",COPY!$S$2:$AA$1000,6,FALSE)," ")</f>
        <v xml:space="preserve"> </v>
      </c>
      <c r="AG138" s="90" t="str">
        <f>IFERROR(VLOOKUP(A138&amp;"aaaaaaaa",COPY!$S$2:$AA$1000,6,FALSE)," ")</f>
        <v xml:space="preserve"> </v>
      </c>
      <c r="AH138" s="90" t="str">
        <f>IFERROR(VLOOKUP(A138&amp;"aaaaaaaaa",COPY!$S$2:$AA$1000,6,FALSE)," ")</f>
        <v xml:space="preserve"> </v>
      </c>
      <c r="AI138" s="90" t="str">
        <f>IFERROR(VLOOKUP(A138&amp;"aaaaaaaaaa",COPY!$S$2:$AA$1000,6,FALSE)," ")</f>
        <v xml:space="preserve"> </v>
      </c>
      <c r="AJ138" s="90" t="str">
        <f>IFERROR(VLOOKUP(A138&amp;"aaaaaaaaaaa",COPY!$S$2:$AA$1000,6,FALSE)," ")</f>
        <v xml:space="preserve"> </v>
      </c>
      <c r="AK138" s="90" t="str">
        <f>IF(LEFT(B138,2)="mg",VLOOKUP(A138,COPY!$S$2:$AA$1000,7,FALSE),IF(LEFT(B138,1)="G"," ",IF(LEFT(B138,2)="ma"," "," ")))</f>
        <v xml:space="preserve"> </v>
      </c>
      <c r="AL138" s="90" t="str">
        <f>IFERROR(VLOOKUP(A138&amp;"a",COPY!$S$2:$AA$1000,7,FALSE)," ")</f>
        <v xml:space="preserve"> </v>
      </c>
      <c r="AM138" s="90" t="str">
        <f>IFERROR(VLOOKUP(A138&amp;"aa",COPY!$S$2:$AA$1000,7,FALSE)," ")</f>
        <v xml:space="preserve"> </v>
      </c>
      <c r="AN138" s="90" t="str">
        <f>IFERROR(VLOOKUP(A138&amp;"aaa",COPY!$S$2:$AA$1000,7,FALSE)," ")</f>
        <v xml:space="preserve"> </v>
      </c>
      <c r="AO138" s="90" t="str">
        <f>IFERROR(VLOOKUP(A138&amp;"aaaa",COPY!$S$2:$AA$1000,7,FALSE)," ")</f>
        <v xml:space="preserve"> </v>
      </c>
      <c r="AP138" s="90" t="str">
        <f>IFERROR(VLOOKUP(A138&amp;"aaaaa",COPY!$S$2:$AA$1000,7,FALSE)," ")</f>
        <v xml:space="preserve"> </v>
      </c>
      <c r="AQ138" s="90" t="str">
        <f>IFERROR(VLOOKUP(A138&amp;"aaaaaa",COPY!$S$2:$AA$1000,7,FALSE)," ")</f>
        <v xml:space="preserve"> </v>
      </c>
      <c r="AR138" s="90" t="str">
        <f>IFERROR(VLOOKUP(A138&amp;"aaaaaaa",COPY!$S$2:$AA$1000,7,FALSE)," ")</f>
        <v xml:space="preserve"> </v>
      </c>
      <c r="AS138" s="90" t="str">
        <f>IFERROR(VLOOKUP(A138&amp;"aaaaaaaa",COPY!$S$2:$AA$1000,7,FALSE)," ")</f>
        <v xml:space="preserve"> </v>
      </c>
      <c r="AT138" s="90" t="str">
        <f>IFERROR(VLOOKUP(A138&amp;"aaaaaaaaa",COPY!$S$2:$AA$1000,7,FALSE)," ")</f>
        <v xml:space="preserve"> </v>
      </c>
      <c r="AU138" s="90" t="str">
        <f>IFERROR(VLOOKUP(A138&amp;"aaaaaaaaaa",COPY!$S$2:$AA$1000,7,FALSE)," ")</f>
        <v xml:space="preserve"> </v>
      </c>
      <c r="AV138" s="90" t="str">
        <f>IFERROR(VLOOKUP(A138&amp;"aaaaaaaaaaa",COPY!$S$2:$AA$1000,7,FALSE)," ")</f>
        <v xml:space="preserve"> </v>
      </c>
    </row>
    <row r="139" spans="1:48" x14ac:dyDescent="0.2">
      <c r="A139" s="75" t="str">
        <f>'REKAP PAJAK'!W176</f>
        <v/>
      </c>
      <c r="B139" s="75" t="str">
        <f>IF(LEN(A139)&gt;1,VLOOKUP(A139,COPY!$O$2:$R$1000,4,FALSE),"")</f>
        <v/>
      </c>
      <c r="C139" s="75" t="str">
        <f t="shared" si="12"/>
        <v xml:space="preserve"> </v>
      </c>
      <c r="D139" s="75" t="str">
        <f t="shared" si="13"/>
        <v xml:space="preserve"> </v>
      </c>
      <c r="E139" s="75" t="str">
        <f t="shared" si="14"/>
        <v xml:space="preserve"> </v>
      </c>
      <c r="F139" s="75" t="str">
        <f t="shared" si="15"/>
        <v xml:space="preserve"> </v>
      </c>
      <c r="G139" s="75" t="str">
        <f>IFERROR(TEXT(VLOOKUP(A139,COPY!$S$2:$W$1000,3,FALSE),"dd-mmmm-yyyy")," ")</f>
        <v xml:space="preserve"> </v>
      </c>
      <c r="H139" s="75" t="str">
        <f t="shared" si="16"/>
        <v xml:space="preserve"> </v>
      </c>
      <c r="I139" s="75" t="str">
        <f t="shared" si="17"/>
        <v xml:space="preserve"> </v>
      </c>
      <c r="J139" s="90" t="str">
        <f>IFERROR(VLOOKUP(A139,COPY!$S$2:$W$1000,4,FALSE)," ")</f>
        <v xml:space="preserve"> </v>
      </c>
      <c r="K139" s="75" t="str">
        <f>IFERROR(VLOOKUP(A139,COPY!$S$2:$W$1000,5,FALSE)," ")</f>
        <v xml:space="preserve"> </v>
      </c>
      <c r="L139" s="75" t="str">
        <f>IF(B139="","",IF(LEFT(B139,2)="Ma",(VLOOKUP(B139,'Rekap Gaji'!$C$12:$D$26,2,FALSE))&amp;" Untuk "&amp;(PROPER('Rekap Gaji'!$B$2)),IF(LEFT(B139,2)="Mg","Pembelian Material Bahan Bangunan",IF(LEFT(B139,2)="Me","Biaya Pembelanjaan Menejemen",IF(LEFT(B139,1)="G",VLOOKUP(A139,COPY!$S$2:$AA$1000,2,FALSE)&amp;"( "&amp;TEXT(VLOOKUP(B139,'Rekap Gaji'!$A$12:$I$26,5,FALSE),"dd-mm-yyyy")&amp;" "&amp;TEXT(VLOOKUP(B139,'Rekap Gaji'!$A$12:$I$26,6,FALSE)&amp;" "&amp;TEXT(VLOOKUP(B139,'Rekap Gaji'!$A$12:$I$26,7,FALSE),"dd-mm-yyyy")&amp;" )"," "))))))</f>
        <v/>
      </c>
      <c r="M139" s="75" t="str">
        <f>IF(OR(LEFT(B139,2)="mg",LEFT(B139,2)="mE"),VLOOKUP(A139,COPY!$S$2:$AA$1000,2,FALSE),IF(LEFT(B139,1)="G"," ",IF(LEFT(B139,2)="ma"," "," ")))</f>
        <v xml:space="preserve"> </v>
      </c>
      <c r="N139" s="75" t="str">
        <f>IFERROR(VLOOKUP($A$139&amp;"a",COPY!$S$2:$AA$1000,2,FALSE)," ")</f>
        <v xml:space="preserve"> </v>
      </c>
      <c r="O139" s="75" t="str">
        <f>IFERROR(VLOOKUP($A$139&amp;"aa",COPY!$S$2:$AA$1000,2,FALSE)," ")</f>
        <v xml:space="preserve"> </v>
      </c>
      <c r="P139" s="75" t="str">
        <f>IFERROR(VLOOKUP($A$139&amp;"aaa",COPY!$S$2:$AA$1000,2,FALSE)," ")</f>
        <v xml:space="preserve"> </v>
      </c>
      <c r="Q139" s="75" t="str">
        <f>IFERROR(VLOOKUP($A$139&amp;"aaaa",COPY!$S$2:$AA$1000,2,FALSE)," ")</f>
        <v xml:space="preserve"> </v>
      </c>
      <c r="R139" s="75" t="str">
        <f>IFERROR(VLOOKUP($A$139&amp;"aaaaa",COPY!$S$2:$AA$1000,2,FALSE)," ")</f>
        <v xml:space="preserve"> </v>
      </c>
      <c r="S139" s="75" t="str">
        <f>IFERROR(VLOOKUP($A$139&amp;"aaaaaa",COPY!$S$2:$AA$1000,2,FALSE)," ")</f>
        <v xml:space="preserve"> </v>
      </c>
      <c r="T139" s="75" t="str">
        <f>IFERROR(VLOOKUP($A$139&amp;"aaaaaaa",COPY!$S$2:$AA$1000,2,FALSE)," ")</f>
        <v xml:space="preserve"> </v>
      </c>
      <c r="U139" s="75" t="str">
        <f>IFERROR(VLOOKUP($A$139&amp;"aaaaaaaa",COPY!$S$2:$AA$1000,2,FALSE)," ")</f>
        <v xml:space="preserve"> </v>
      </c>
      <c r="V139" s="75" t="str">
        <f>IFERROR(VLOOKUP($A$139&amp;"aaaaaaaaa",COPY!$S$2:$AA$1000,2,FALSE)," ")</f>
        <v xml:space="preserve"> </v>
      </c>
      <c r="W139" s="75" t="str">
        <f>IFERROR(VLOOKUP($A$139&amp;"aaaaaaaaaa",COPY!$S$2:$AA$1000,2,FALSE)," ")</f>
        <v xml:space="preserve"> </v>
      </c>
      <c r="X139" s="75" t="str">
        <f>IFERROR(VLOOKUP($A$139&amp;"aaaaaaaaaaa",COPY!$S$2:$AA$1000,2,FALSE)," ")</f>
        <v xml:space="preserve"> </v>
      </c>
      <c r="Y139" s="90" t="str">
        <f>IF(OR(LEFT(B139,2)="mg",LEFT(B139,2)="mE"),VLOOKUP(A139,COPY!$S$2:$AA$1000,6,FALSE),IF(LEFT(B139,1)="G"," ",IF(LEFT(B139,2)="ma"," "," ")))</f>
        <v xml:space="preserve"> </v>
      </c>
      <c r="Z139" s="90" t="str">
        <f>IFERROR(VLOOKUP(A139&amp;"a",COPY!$S$2:$AA$1000,6,FALSE)," ")</f>
        <v xml:space="preserve"> </v>
      </c>
      <c r="AA139" s="90" t="str">
        <f>IFERROR(VLOOKUP(A139&amp;"aa",COPY!$S$2:$AA$1000,6,FALSE)," ")</f>
        <v xml:space="preserve"> </v>
      </c>
      <c r="AB139" s="90" t="str">
        <f>IFERROR(VLOOKUP(A139&amp;"aaa",COPY!$S$2:$AA$1000,6,FALSE)," ")</f>
        <v xml:space="preserve"> </v>
      </c>
      <c r="AC139" s="90" t="str">
        <f>IFERROR(VLOOKUP(A139&amp;"aaaa",COPY!$S$2:$AA$1000,6,FALSE)," ")</f>
        <v xml:space="preserve"> </v>
      </c>
      <c r="AD139" s="90" t="str">
        <f>IFERROR(VLOOKUP(A139&amp;"aaaaa",COPY!$S$2:$AA$1000,6,FALSE)," ")</f>
        <v xml:space="preserve"> </v>
      </c>
      <c r="AE139" s="90" t="str">
        <f>IFERROR(VLOOKUP(A139&amp;"aaaaaa",COPY!$S$2:$AA$1000,6,FALSE)," ")</f>
        <v xml:space="preserve"> </v>
      </c>
      <c r="AF139" s="90" t="str">
        <f>IFERROR(VLOOKUP(A139&amp;"aaaaaaa",COPY!$S$2:$AA$1000,6,FALSE)," ")</f>
        <v xml:space="preserve"> </v>
      </c>
      <c r="AG139" s="90" t="str">
        <f>IFERROR(VLOOKUP(A139&amp;"aaaaaaaa",COPY!$S$2:$AA$1000,6,FALSE)," ")</f>
        <v xml:space="preserve"> </v>
      </c>
      <c r="AH139" s="90" t="str">
        <f>IFERROR(VLOOKUP(A139&amp;"aaaaaaaaa",COPY!$S$2:$AA$1000,6,FALSE)," ")</f>
        <v xml:space="preserve"> </v>
      </c>
      <c r="AI139" s="90" t="str">
        <f>IFERROR(VLOOKUP(A139&amp;"aaaaaaaaaa",COPY!$S$2:$AA$1000,6,FALSE)," ")</f>
        <v xml:space="preserve"> </v>
      </c>
      <c r="AJ139" s="90" t="str">
        <f>IFERROR(VLOOKUP(A139&amp;"aaaaaaaaaaa",COPY!$S$2:$AA$1000,6,FALSE)," ")</f>
        <v xml:space="preserve"> </v>
      </c>
      <c r="AK139" s="90" t="str">
        <f>IF(LEFT(B139,2)="mg",VLOOKUP(A139,COPY!$S$2:$AA$1000,7,FALSE),IF(LEFT(B139,1)="G"," ",IF(LEFT(B139,2)="ma"," "," ")))</f>
        <v xml:space="preserve"> </v>
      </c>
      <c r="AL139" s="90" t="str">
        <f>IFERROR(VLOOKUP(A139&amp;"a",COPY!$S$2:$AA$1000,7,FALSE)," ")</f>
        <v xml:space="preserve"> </v>
      </c>
      <c r="AM139" s="90" t="str">
        <f>IFERROR(VLOOKUP(A139&amp;"aa",COPY!$S$2:$AA$1000,7,FALSE)," ")</f>
        <v xml:space="preserve"> </v>
      </c>
      <c r="AN139" s="90" t="str">
        <f>IFERROR(VLOOKUP(A139&amp;"aaa",COPY!$S$2:$AA$1000,7,FALSE)," ")</f>
        <v xml:space="preserve"> </v>
      </c>
      <c r="AO139" s="90" t="str">
        <f>IFERROR(VLOOKUP(A139&amp;"aaaa",COPY!$S$2:$AA$1000,7,FALSE)," ")</f>
        <v xml:space="preserve"> </v>
      </c>
      <c r="AP139" s="90" t="str">
        <f>IFERROR(VLOOKUP(A139&amp;"aaaaa",COPY!$S$2:$AA$1000,7,FALSE)," ")</f>
        <v xml:space="preserve"> </v>
      </c>
      <c r="AQ139" s="90" t="str">
        <f>IFERROR(VLOOKUP(A139&amp;"aaaaaa",COPY!$S$2:$AA$1000,7,FALSE)," ")</f>
        <v xml:space="preserve"> </v>
      </c>
      <c r="AR139" s="90" t="str">
        <f>IFERROR(VLOOKUP(A139&amp;"aaaaaaa",COPY!$S$2:$AA$1000,7,FALSE)," ")</f>
        <v xml:space="preserve"> </v>
      </c>
      <c r="AS139" s="90" t="str">
        <f>IFERROR(VLOOKUP(A139&amp;"aaaaaaaa",COPY!$S$2:$AA$1000,7,FALSE)," ")</f>
        <v xml:space="preserve"> </v>
      </c>
      <c r="AT139" s="90" t="str">
        <f>IFERROR(VLOOKUP(A139&amp;"aaaaaaaaa",COPY!$S$2:$AA$1000,7,FALSE)," ")</f>
        <v xml:space="preserve"> </v>
      </c>
      <c r="AU139" s="90" t="str">
        <f>IFERROR(VLOOKUP(A139&amp;"aaaaaaaaaa",COPY!$S$2:$AA$1000,7,FALSE)," ")</f>
        <v xml:space="preserve"> </v>
      </c>
      <c r="AV139" s="90" t="str">
        <f>IFERROR(VLOOKUP(A139&amp;"aaaaaaaaaaa",COPY!$S$2:$AA$1000,7,FALSE)," ")</f>
        <v xml:space="preserve"> </v>
      </c>
    </row>
    <row r="140" spans="1:48" x14ac:dyDescent="0.2">
      <c r="A140" s="75" t="str">
        <f>'REKAP PAJAK'!W177</f>
        <v/>
      </c>
      <c r="B140" s="75" t="str">
        <f>IF(LEN(A140)&gt;1,VLOOKUP(A140,COPY!$O$2:$R$1000,4,FALSE),"")</f>
        <v/>
      </c>
      <c r="C140" s="75" t="str">
        <f t="shared" si="12"/>
        <v xml:space="preserve"> </v>
      </c>
      <c r="D140" s="75" t="str">
        <f t="shared" si="13"/>
        <v xml:space="preserve"> </v>
      </c>
      <c r="E140" s="75" t="str">
        <f t="shared" si="14"/>
        <v xml:space="preserve"> </v>
      </c>
      <c r="F140" s="75" t="str">
        <f t="shared" si="15"/>
        <v xml:space="preserve"> </v>
      </c>
      <c r="G140" s="75" t="str">
        <f>IFERROR(TEXT(VLOOKUP(A140,COPY!$S$2:$W$1000,3,FALSE),"dd-mmmm-yyyy")," ")</f>
        <v xml:space="preserve"> </v>
      </c>
      <c r="H140" s="75" t="str">
        <f t="shared" si="16"/>
        <v xml:space="preserve"> </v>
      </c>
      <c r="I140" s="75" t="str">
        <f t="shared" si="17"/>
        <v xml:space="preserve"> </v>
      </c>
      <c r="J140" s="90" t="str">
        <f>IFERROR(VLOOKUP(A140,COPY!$S$2:$W$1000,4,FALSE)," ")</f>
        <v xml:space="preserve"> </v>
      </c>
      <c r="K140" s="75" t="str">
        <f>IFERROR(VLOOKUP(A140,COPY!$S$2:$W$1000,5,FALSE)," ")</f>
        <v xml:space="preserve"> </v>
      </c>
      <c r="L140" s="75" t="str">
        <f>IF(B140="","",IF(LEFT(B140,2)="Ma",(VLOOKUP(B140,'Rekap Gaji'!$C$12:$D$26,2,FALSE))&amp;" Untuk "&amp;(PROPER('Rekap Gaji'!$B$2)),IF(LEFT(B140,2)="Mg","Pembelian Material Bahan Bangunan",IF(LEFT(B140,2)="Me","Biaya Pembelanjaan Menejemen",IF(LEFT(B140,1)="G",VLOOKUP(A140,COPY!$S$2:$AA$1000,2,FALSE)&amp;"( "&amp;TEXT(VLOOKUP(B140,'Rekap Gaji'!$A$12:$I$26,5,FALSE),"dd-mm-yyyy")&amp;" "&amp;TEXT(VLOOKUP(B140,'Rekap Gaji'!$A$12:$I$26,6,FALSE)&amp;" "&amp;TEXT(VLOOKUP(B140,'Rekap Gaji'!$A$12:$I$26,7,FALSE),"dd-mm-yyyy")&amp;" )"," "))))))</f>
        <v/>
      </c>
      <c r="M140" s="75" t="str">
        <f>IF(OR(LEFT(B140,2)="mg",LEFT(B140,2)="mE"),VLOOKUP(A140,COPY!$S$2:$AA$1000,2,FALSE),IF(LEFT(B140,1)="G"," ",IF(LEFT(B140,2)="ma"," "," ")))</f>
        <v xml:space="preserve"> </v>
      </c>
      <c r="N140" s="75" t="str">
        <f>IFERROR(VLOOKUP($A$140&amp;"a",COPY!$S$2:$AA$1000,2,FALSE)," ")</f>
        <v xml:space="preserve"> </v>
      </c>
      <c r="O140" s="75" t="str">
        <f>IFERROR(VLOOKUP($A$140&amp;"aa",COPY!$S$2:$AA$1000,2,FALSE)," ")</f>
        <v xml:space="preserve"> </v>
      </c>
      <c r="P140" s="75" t="str">
        <f>IFERROR(VLOOKUP($A$140&amp;"aaa",COPY!$S$2:$AA$1000,2,FALSE)," ")</f>
        <v xml:space="preserve"> </v>
      </c>
      <c r="Q140" s="75" t="str">
        <f>IFERROR(VLOOKUP($A$140&amp;"aaaa",COPY!$S$2:$AA$1000,2,FALSE)," ")</f>
        <v xml:space="preserve"> </v>
      </c>
      <c r="R140" s="75" t="str">
        <f>IFERROR(VLOOKUP($A$140&amp;"aaaaa",COPY!$S$2:$AA$1000,2,FALSE)," ")</f>
        <v xml:space="preserve"> </v>
      </c>
      <c r="S140" s="75" t="str">
        <f>IFERROR(VLOOKUP($A$140&amp;"aaaaaa",COPY!$S$2:$AA$1000,2,FALSE)," ")</f>
        <v xml:space="preserve"> </v>
      </c>
      <c r="T140" s="75" t="str">
        <f>IFERROR(VLOOKUP($A$140&amp;"aaaaaaa",COPY!$S$2:$AA$1000,2,FALSE)," ")</f>
        <v xml:space="preserve"> </v>
      </c>
      <c r="U140" s="75" t="str">
        <f>IFERROR(VLOOKUP($A$140&amp;"aaaaaaaa",COPY!$S$2:$AA$1000,2,FALSE)," ")</f>
        <v xml:space="preserve"> </v>
      </c>
      <c r="V140" s="75" t="str">
        <f>IFERROR(VLOOKUP($A$140&amp;"aaaaaaaaa",COPY!$S$2:$AA$1000,2,FALSE)," ")</f>
        <v xml:space="preserve"> </v>
      </c>
      <c r="W140" s="75" t="str">
        <f>IFERROR(VLOOKUP($A$140&amp;"aaaaaaaaaa",COPY!$S$2:$AA$1000,2,FALSE)," ")</f>
        <v xml:space="preserve"> </v>
      </c>
      <c r="X140" s="75" t="str">
        <f>IFERROR(VLOOKUP($A$140&amp;"aaaaaaaaaaa",COPY!$S$2:$AA$1000,2,FALSE)," ")</f>
        <v xml:space="preserve"> </v>
      </c>
      <c r="Y140" s="90" t="str">
        <f>IF(OR(LEFT(B140,2)="mg",LEFT(B140,2)="mE"),VLOOKUP(A140,COPY!$S$2:$AA$1000,6,FALSE),IF(LEFT(B140,1)="G"," ",IF(LEFT(B140,2)="ma"," "," ")))</f>
        <v xml:space="preserve"> </v>
      </c>
      <c r="Z140" s="90" t="str">
        <f>IFERROR(VLOOKUP(A140&amp;"a",COPY!$S$2:$AA$1000,6,FALSE)," ")</f>
        <v xml:space="preserve"> </v>
      </c>
      <c r="AA140" s="90" t="str">
        <f>IFERROR(VLOOKUP(A140&amp;"aa",COPY!$S$2:$AA$1000,6,FALSE)," ")</f>
        <v xml:space="preserve"> </v>
      </c>
      <c r="AB140" s="90" t="str">
        <f>IFERROR(VLOOKUP(A140&amp;"aaa",COPY!$S$2:$AA$1000,6,FALSE)," ")</f>
        <v xml:space="preserve"> </v>
      </c>
      <c r="AC140" s="90" t="str">
        <f>IFERROR(VLOOKUP(A140&amp;"aaaa",COPY!$S$2:$AA$1000,6,FALSE)," ")</f>
        <v xml:space="preserve"> </v>
      </c>
      <c r="AD140" s="90" t="str">
        <f>IFERROR(VLOOKUP(A140&amp;"aaaaa",COPY!$S$2:$AA$1000,6,FALSE)," ")</f>
        <v xml:space="preserve"> </v>
      </c>
      <c r="AE140" s="90" t="str">
        <f>IFERROR(VLOOKUP(A140&amp;"aaaaaa",COPY!$S$2:$AA$1000,6,FALSE)," ")</f>
        <v xml:space="preserve"> </v>
      </c>
      <c r="AF140" s="90" t="str">
        <f>IFERROR(VLOOKUP(A140&amp;"aaaaaaa",COPY!$S$2:$AA$1000,6,FALSE)," ")</f>
        <v xml:space="preserve"> </v>
      </c>
      <c r="AG140" s="90" t="str">
        <f>IFERROR(VLOOKUP(A140&amp;"aaaaaaaa",COPY!$S$2:$AA$1000,6,FALSE)," ")</f>
        <v xml:space="preserve"> </v>
      </c>
      <c r="AH140" s="90" t="str">
        <f>IFERROR(VLOOKUP(A140&amp;"aaaaaaaaa",COPY!$S$2:$AA$1000,6,FALSE)," ")</f>
        <v xml:space="preserve"> </v>
      </c>
      <c r="AI140" s="90" t="str">
        <f>IFERROR(VLOOKUP(A140&amp;"aaaaaaaaaa",COPY!$S$2:$AA$1000,6,FALSE)," ")</f>
        <v xml:space="preserve"> </v>
      </c>
      <c r="AJ140" s="90" t="str">
        <f>IFERROR(VLOOKUP(A140&amp;"aaaaaaaaaaa",COPY!$S$2:$AA$1000,6,FALSE)," ")</f>
        <v xml:space="preserve"> </v>
      </c>
      <c r="AK140" s="90" t="str">
        <f>IF(LEFT(B140,2)="mg",VLOOKUP(A140,COPY!$S$2:$AA$1000,7,FALSE),IF(LEFT(B140,1)="G"," ",IF(LEFT(B140,2)="ma"," "," ")))</f>
        <v xml:space="preserve"> </v>
      </c>
      <c r="AL140" s="90" t="str">
        <f>IFERROR(VLOOKUP(A140&amp;"a",COPY!$S$2:$AA$1000,7,FALSE)," ")</f>
        <v xml:space="preserve"> </v>
      </c>
      <c r="AM140" s="90" t="str">
        <f>IFERROR(VLOOKUP(A140&amp;"aa",COPY!$S$2:$AA$1000,7,FALSE)," ")</f>
        <v xml:space="preserve"> </v>
      </c>
      <c r="AN140" s="90" t="str">
        <f>IFERROR(VLOOKUP(A140&amp;"aaa",COPY!$S$2:$AA$1000,7,FALSE)," ")</f>
        <v xml:space="preserve"> </v>
      </c>
      <c r="AO140" s="90" t="str">
        <f>IFERROR(VLOOKUP(A140&amp;"aaaa",COPY!$S$2:$AA$1000,7,FALSE)," ")</f>
        <v xml:space="preserve"> </v>
      </c>
      <c r="AP140" s="90" t="str">
        <f>IFERROR(VLOOKUP(A140&amp;"aaaaa",COPY!$S$2:$AA$1000,7,FALSE)," ")</f>
        <v xml:space="preserve"> </v>
      </c>
      <c r="AQ140" s="90" t="str">
        <f>IFERROR(VLOOKUP(A140&amp;"aaaaaa",COPY!$S$2:$AA$1000,7,FALSE)," ")</f>
        <v xml:space="preserve"> </v>
      </c>
      <c r="AR140" s="90" t="str">
        <f>IFERROR(VLOOKUP(A140&amp;"aaaaaaa",COPY!$S$2:$AA$1000,7,FALSE)," ")</f>
        <v xml:space="preserve"> </v>
      </c>
      <c r="AS140" s="90" t="str">
        <f>IFERROR(VLOOKUP(A140&amp;"aaaaaaaa",COPY!$S$2:$AA$1000,7,FALSE)," ")</f>
        <v xml:space="preserve"> </v>
      </c>
      <c r="AT140" s="90" t="str">
        <f>IFERROR(VLOOKUP(A140&amp;"aaaaaaaaa",COPY!$S$2:$AA$1000,7,FALSE)," ")</f>
        <v xml:space="preserve"> </v>
      </c>
      <c r="AU140" s="90" t="str">
        <f>IFERROR(VLOOKUP(A140&amp;"aaaaaaaaaa",COPY!$S$2:$AA$1000,7,FALSE)," ")</f>
        <v xml:space="preserve"> </v>
      </c>
      <c r="AV140" s="90" t="str">
        <f>IFERROR(VLOOKUP(A140&amp;"aaaaaaaaaaa",COPY!$S$2:$AA$1000,7,FALSE)," ")</f>
        <v xml:space="preserve"> </v>
      </c>
    </row>
    <row r="141" spans="1:48" x14ac:dyDescent="0.2">
      <c r="A141" s="75" t="str">
        <f>'REKAP PAJAK'!W178</f>
        <v/>
      </c>
      <c r="B141" s="75" t="str">
        <f>IF(LEN(A141)&gt;1,VLOOKUP(A141,COPY!$O$2:$R$1000,4,FALSE),"")</f>
        <v/>
      </c>
      <c r="C141" s="75" t="str">
        <f t="shared" si="12"/>
        <v xml:space="preserve"> </v>
      </c>
      <c r="D141" s="75" t="str">
        <f t="shared" si="13"/>
        <v xml:space="preserve"> </v>
      </c>
      <c r="E141" s="75" t="str">
        <f t="shared" si="14"/>
        <v xml:space="preserve"> </v>
      </c>
      <c r="F141" s="75" t="str">
        <f t="shared" si="15"/>
        <v xml:space="preserve"> </v>
      </c>
      <c r="G141" s="75" t="str">
        <f>IFERROR(TEXT(VLOOKUP(A141,COPY!$S$2:$W$1000,3,FALSE),"dd-mmmm-yyyy")," ")</f>
        <v xml:space="preserve"> </v>
      </c>
      <c r="H141" s="75" t="str">
        <f t="shared" si="16"/>
        <v xml:space="preserve"> </v>
      </c>
      <c r="I141" s="75" t="str">
        <f t="shared" si="17"/>
        <v xml:space="preserve"> </v>
      </c>
      <c r="J141" s="90" t="str">
        <f>IFERROR(VLOOKUP(A141,COPY!$S$2:$W$1000,4,FALSE)," ")</f>
        <v xml:space="preserve"> </v>
      </c>
      <c r="K141" s="75" t="str">
        <f>IFERROR(VLOOKUP(A141,COPY!$S$2:$W$1000,5,FALSE)," ")</f>
        <v xml:space="preserve"> </v>
      </c>
      <c r="L141" s="75" t="str">
        <f>IF(B141="","",IF(LEFT(B141,2)="Ma",(VLOOKUP(B141,'Rekap Gaji'!$C$12:$D$26,2,FALSE))&amp;" Untuk "&amp;(PROPER('Rekap Gaji'!$B$2)),IF(LEFT(B141,2)="Mg","Pembelian Material Bahan Bangunan",IF(LEFT(B141,2)="Me","Biaya Pembelanjaan Menejemen",IF(LEFT(B141,1)="G",VLOOKUP(A141,COPY!$S$2:$AA$1000,2,FALSE)&amp;"( "&amp;TEXT(VLOOKUP(B141,'Rekap Gaji'!$A$12:$I$26,5,FALSE),"dd-mm-yyyy")&amp;" "&amp;TEXT(VLOOKUP(B141,'Rekap Gaji'!$A$12:$I$26,6,FALSE)&amp;" "&amp;TEXT(VLOOKUP(B141,'Rekap Gaji'!$A$12:$I$26,7,FALSE),"dd-mm-yyyy")&amp;" )"," "))))))</f>
        <v/>
      </c>
      <c r="M141" s="75" t="str">
        <f>IF(OR(LEFT(B141,2)="mg",LEFT(B141,2)="mE"),VLOOKUP(A141,COPY!$S$2:$AA$1000,2,FALSE),IF(LEFT(B141,1)="G"," ",IF(LEFT(B141,2)="ma"," "," ")))</f>
        <v xml:space="preserve"> </v>
      </c>
      <c r="N141" s="75" t="str">
        <f>IFERROR(VLOOKUP($A$141&amp;"a",COPY!$S$2:$AA$1000,2,FALSE)," ")</f>
        <v xml:space="preserve"> </v>
      </c>
      <c r="O141" s="75" t="str">
        <f>IFERROR(VLOOKUP($A$141&amp;"aa",COPY!$S$2:$AA$1000,2,FALSE)," ")</f>
        <v xml:space="preserve"> </v>
      </c>
      <c r="P141" s="75" t="str">
        <f>IFERROR(VLOOKUP($A$141&amp;"aaa",COPY!$S$2:$AA$1000,2,FALSE)," ")</f>
        <v xml:space="preserve"> </v>
      </c>
      <c r="Q141" s="75" t="str">
        <f>IFERROR(VLOOKUP($A$141&amp;"aaaa",COPY!$S$2:$AA$1000,2,FALSE)," ")</f>
        <v xml:space="preserve"> </v>
      </c>
      <c r="R141" s="75" t="str">
        <f>IFERROR(VLOOKUP($A$141&amp;"aaaaa",COPY!$S$2:$AA$1000,2,FALSE)," ")</f>
        <v xml:space="preserve"> </v>
      </c>
      <c r="S141" s="75" t="str">
        <f>IFERROR(VLOOKUP($A$141&amp;"aaaaaa",COPY!$S$2:$AA$1000,2,FALSE)," ")</f>
        <v xml:space="preserve"> </v>
      </c>
      <c r="T141" s="75" t="str">
        <f>IFERROR(VLOOKUP($A$141&amp;"aaaaaaa",COPY!$S$2:$AA$1000,2,FALSE)," ")</f>
        <v xml:space="preserve"> </v>
      </c>
      <c r="U141" s="75" t="str">
        <f>IFERROR(VLOOKUP($A$141&amp;"aaaaaaaa",COPY!$S$2:$AA$1000,2,FALSE)," ")</f>
        <v xml:space="preserve"> </v>
      </c>
      <c r="V141" s="75" t="str">
        <f>IFERROR(VLOOKUP($A$141&amp;"aaaaaaaaa",COPY!$S$2:$AA$1000,2,FALSE)," ")</f>
        <v xml:space="preserve"> </v>
      </c>
      <c r="W141" s="75" t="str">
        <f>IFERROR(VLOOKUP($A$141&amp;"aaaaaaaaaa",COPY!$S$2:$AA$1000,2,FALSE)," ")</f>
        <v xml:space="preserve"> </v>
      </c>
      <c r="X141" s="75" t="str">
        <f>IFERROR(VLOOKUP($A$141&amp;"aaaaaaaaaaa",COPY!$S$2:$AA$1000,2,FALSE)," ")</f>
        <v xml:space="preserve"> </v>
      </c>
      <c r="Y141" s="90" t="str">
        <f>IF(OR(LEFT(B141,2)="mg",LEFT(B141,2)="mE"),VLOOKUP(A141,COPY!$S$2:$AA$1000,6,FALSE),IF(LEFT(B141,1)="G"," ",IF(LEFT(B141,2)="ma"," "," ")))</f>
        <v xml:space="preserve"> </v>
      </c>
      <c r="Z141" s="90" t="str">
        <f>IFERROR(VLOOKUP(A141&amp;"a",COPY!$S$2:$AA$1000,6,FALSE)," ")</f>
        <v xml:space="preserve"> </v>
      </c>
      <c r="AA141" s="90" t="str">
        <f>IFERROR(VLOOKUP(A141&amp;"aa",COPY!$S$2:$AA$1000,6,FALSE)," ")</f>
        <v xml:space="preserve"> </v>
      </c>
      <c r="AB141" s="90" t="str">
        <f>IFERROR(VLOOKUP(A141&amp;"aaa",COPY!$S$2:$AA$1000,6,FALSE)," ")</f>
        <v xml:space="preserve"> </v>
      </c>
      <c r="AC141" s="90" t="str">
        <f>IFERROR(VLOOKUP(A141&amp;"aaaa",COPY!$S$2:$AA$1000,6,FALSE)," ")</f>
        <v xml:space="preserve"> </v>
      </c>
      <c r="AD141" s="90" t="str">
        <f>IFERROR(VLOOKUP(A141&amp;"aaaaa",COPY!$S$2:$AA$1000,6,FALSE)," ")</f>
        <v xml:space="preserve"> </v>
      </c>
      <c r="AE141" s="90" t="str">
        <f>IFERROR(VLOOKUP(A141&amp;"aaaaaa",COPY!$S$2:$AA$1000,6,FALSE)," ")</f>
        <v xml:space="preserve"> </v>
      </c>
      <c r="AF141" s="90" t="str">
        <f>IFERROR(VLOOKUP(A141&amp;"aaaaaaa",COPY!$S$2:$AA$1000,6,FALSE)," ")</f>
        <v xml:space="preserve"> </v>
      </c>
      <c r="AG141" s="90" t="str">
        <f>IFERROR(VLOOKUP(A141&amp;"aaaaaaaa",COPY!$S$2:$AA$1000,6,FALSE)," ")</f>
        <v xml:space="preserve"> </v>
      </c>
      <c r="AH141" s="90" t="str">
        <f>IFERROR(VLOOKUP(A141&amp;"aaaaaaaaa",COPY!$S$2:$AA$1000,6,FALSE)," ")</f>
        <v xml:space="preserve"> </v>
      </c>
      <c r="AI141" s="90" t="str">
        <f>IFERROR(VLOOKUP(A141&amp;"aaaaaaaaaa",COPY!$S$2:$AA$1000,6,FALSE)," ")</f>
        <v xml:space="preserve"> </v>
      </c>
      <c r="AJ141" s="90" t="str">
        <f>IFERROR(VLOOKUP(A141&amp;"aaaaaaaaaaa",COPY!$S$2:$AA$1000,6,FALSE)," ")</f>
        <v xml:space="preserve"> </v>
      </c>
      <c r="AK141" s="90" t="str">
        <f>IF(LEFT(B141,2)="mg",VLOOKUP(A141,COPY!$S$2:$AA$1000,7,FALSE),IF(LEFT(B141,1)="G"," ",IF(LEFT(B141,2)="ma"," "," ")))</f>
        <v xml:space="preserve"> </v>
      </c>
      <c r="AL141" s="90" t="str">
        <f>IFERROR(VLOOKUP(A141&amp;"a",COPY!$S$2:$AA$1000,7,FALSE)," ")</f>
        <v xml:space="preserve"> </v>
      </c>
      <c r="AM141" s="90" t="str">
        <f>IFERROR(VLOOKUP(A141&amp;"aa",COPY!$S$2:$AA$1000,7,FALSE)," ")</f>
        <v xml:space="preserve"> </v>
      </c>
      <c r="AN141" s="90" t="str">
        <f>IFERROR(VLOOKUP(A141&amp;"aaa",COPY!$S$2:$AA$1000,7,FALSE)," ")</f>
        <v xml:space="preserve"> </v>
      </c>
      <c r="AO141" s="90" t="str">
        <f>IFERROR(VLOOKUP(A141&amp;"aaaa",COPY!$S$2:$AA$1000,7,FALSE)," ")</f>
        <v xml:space="preserve"> </v>
      </c>
      <c r="AP141" s="90" t="str">
        <f>IFERROR(VLOOKUP(A141&amp;"aaaaa",COPY!$S$2:$AA$1000,7,FALSE)," ")</f>
        <v xml:space="preserve"> </v>
      </c>
      <c r="AQ141" s="90" t="str">
        <f>IFERROR(VLOOKUP(A141&amp;"aaaaaa",COPY!$S$2:$AA$1000,7,FALSE)," ")</f>
        <v xml:space="preserve"> </v>
      </c>
      <c r="AR141" s="90" t="str">
        <f>IFERROR(VLOOKUP(A141&amp;"aaaaaaa",COPY!$S$2:$AA$1000,7,FALSE)," ")</f>
        <v xml:space="preserve"> </v>
      </c>
      <c r="AS141" s="90" t="str">
        <f>IFERROR(VLOOKUP(A141&amp;"aaaaaaaa",COPY!$S$2:$AA$1000,7,FALSE)," ")</f>
        <v xml:space="preserve"> </v>
      </c>
      <c r="AT141" s="90" t="str">
        <f>IFERROR(VLOOKUP(A141&amp;"aaaaaaaaa",COPY!$S$2:$AA$1000,7,FALSE)," ")</f>
        <v xml:space="preserve"> </v>
      </c>
      <c r="AU141" s="90" t="str">
        <f>IFERROR(VLOOKUP(A141&amp;"aaaaaaaaaa",COPY!$S$2:$AA$1000,7,FALSE)," ")</f>
        <v xml:space="preserve"> </v>
      </c>
      <c r="AV141" s="90" t="str">
        <f>IFERROR(VLOOKUP(A141&amp;"aaaaaaaaaaa",COPY!$S$2:$AA$1000,7,FALSE)," ")</f>
        <v xml:space="preserve"> </v>
      </c>
    </row>
    <row r="142" spans="1:48" x14ac:dyDescent="0.2">
      <c r="A142" s="75" t="str">
        <f>'REKAP PAJAK'!W179</f>
        <v/>
      </c>
      <c r="B142" s="75" t="str">
        <f>IF(LEN(A142)&gt;1,VLOOKUP(A142,COPY!$O$2:$R$1000,4,FALSE),"")</f>
        <v/>
      </c>
      <c r="C142" s="75" t="str">
        <f t="shared" si="12"/>
        <v xml:space="preserve"> </v>
      </c>
      <c r="D142" s="75" t="str">
        <f t="shared" si="13"/>
        <v xml:space="preserve"> </v>
      </c>
      <c r="E142" s="75" t="str">
        <f t="shared" si="14"/>
        <v xml:space="preserve"> </v>
      </c>
      <c r="F142" s="75" t="str">
        <f t="shared" si="15"/>
        <v xml:space="preserve"> </v>
      </c>
      <c r="G142" s="75" t="str">
        <f>IFERROR(TEXT(VLOOKUP(A142,COPY!$S$2:$W$1000,3,FALSE),"dd-mmmm-yyyy")," ")</f>
        <v xml:space="preserve"> </v>
      </c>
      <c r="H142" s="75" t="str">
        <f t="shared" si="16"/>
        <v xml:space="preserve"> </v>
      </c>
      <c r="I142" s="75" t="str">
        <f t="shared" si="17"/>
        <v xml:space="preserve"> </v>
      </c>
      <c r="J142" s="90" t="str">
        <f>IFERROR(VLOOKUP(A142,COPY!$S$2:$W$1000,4,FALSE)," ")</f>
        <v xml:space="preserve"> </v>
      </c>
      <c r="K142" s="75" t="str">
        <f>IFERROR(VLOOKUP(A142,COPY!$S$2:$W$1000,5,FALSE)," ")</f>
        <v xml:space="preserve"> </v>
      </c>
      <c r="L142" s="75" t="str">
        <f>IF(B142="","",IF(LEFT(B142,2)="Ma",(VLOOKUP(B142,'Rekap Gaji'!$C$12:$D$26,2,FALSE))&amp;" Untuk "&amp;(PROPER('Rekap Gaji'!$B$2)),IF(LEFT(B142,2)="Mg","Pembelian Material Bahan Bangunan",IF(LEFT(B142,2)="Me","Biaya Pembelanjaan Menejemen",IF(LEFT(B142,1)="G",VLOOKUP(A142,COPY!$S$2:$AA$1000,2,FALSE)&amp;"( "&amp;TEXT(VLOOKUP(B142,'Rekap Gaji'!$A$12:$I$26,5,FALSE),"dd-mm-yyyy")&amp;" "&amp;TEXT(VLOOKUP(B142,'Rekap Gaji'!$A$12:$I$26,6,FALSE)&amp;" "&amp;TEXT(VLOOKUP(B142,'Rekap Gaji'!$A$12:$I$26,7,FALSE),"dd-mm-yyyy")&amp;" )"," "))))))</f>
        <v/>
      </c>
      <c r="M142" s="75" t="str">
        <f>IF(OR(LEFT(B142,2)="mg",LEFT(B142,2)="mE"),VLOOKUP(A142,COPY!$S$2:$AA$1000,2,FALSE),IF(LEFT(B142,1)="G"," ",IF(LEFT(B142,2)="ma"," "," ")))</f>
        <v xml:space="preserve"> </v>
      </c>
      <c r="N142" s="75" t="str">
        <f>IFERROR(VLOOKUP($A$142&amp;"a",COPY!$S$2:$AA$1000,2,FALSE)," ")</f>
        <v xml:space="preserve"> </v>
      </c>
      <c r="O142" s="75" t="str">
        <f>IFERROR(VLOOKUP($A$142&amp;"aa",COPY!$S$2:$AA$1000,2,FALSE)," ")</f>
        <v xml:space="preserve"> </v>
      </c>
      <c r="P142" s="75" t="str">
        <f>IFERROR(VLOOKUP($A$142&amp;"aaa",COPY!$S$2:$AA$1000,2,FALSE)," ")</f>
        <v xml:space="preserve"> </v>
      </c>
      <c r="Q142" s="75" t="str">
        <f>IFERROR(VLOOKUP($A$142&amp;"aaaa",COPY!$S$2:$AA$1000,2,FALSE)," ")</f>
        <v xml:space="preserve"> </v>
      </c>
      <c r="R142" s="75" t="str">
        <f>IFERROR(VLOOKUP($A$142&amp;"aaaaa",COPY!$S$2:$AA$1000,2,FALSE)," ")</f>
        <v xml:space="preserve"> </v>
      </c>
      <c r="S142" s="75" t="str">
        <f>IFERROR(VLOOKUP($A$142&amp;"aaaaaa",COPY!$S$2:$AA$1000,2,FALSE)," ")</f>
        <v xml:space="preserve"> </v>
      </c>
      <c r="T142" s="75" t="str">
        <f>IFERROR(VLOOKUP($A$142&amp;"aaaaaaa",COPY!$S$2:$AA$1000,2,FALSE)," ")</f>
        <v xml:space="preserve"> </v>
      </c>
      <c r="U142" s="75" t="str">
        <f>IFERROR(VLOOKUP($A$142&amp;"aaaaaaaa",COPY!$S$2:$AA$1000,2,FALSE)," ")</f>
        <v xml:space="preserve"> </v>
      </c>
      <c r="V142" s="75" t="str">
        <f>IFERROR(VLOOKUP($A$142&amp;"aaaaaaaaa",COPY!$S$2:$AA$1000,2,FALSE)," ")</f>
        <v xml:space="preserve"> </v>
      </c>
      <c r="W142" s="75" t="str">
        <f>IFERROR(VLOOKUP($A$142&amp;"aaaaaaaaaa",COPY!$S$2:$AA$1000,2,FALSE)," ")</f>
        <v xml:space="preserve"> </v>
      </c>
      <c r="X142" s="75" t="str">
        <f>IFERROR(VLOOKUP($A$142&amp;"aaaaaaaaaaa",COPY!$S$2:$AA$1000,2,FALSE)," ")</f>
        <v xml:space="preserve"> </v>
      </c>
      <c r="Y142" s="90" t="str">
        <f>IF(OR(LEFT(B142,2)="mg",LEFT(B142,2)="mE"),VLOOKUP(A142,COPY!$S$2:$AA$1000,6,FALSE),IF(LEFT(B142,1)="G"," ",IF(LEFT(B142,2)="ma"," "," ")))</f>
        <v xml:space="preserve"> </v>
      </c>
      <c r="Z142" s="90" t="str">
        <f>IFERROR(VLOOKUP(A142&amp;"a",COPY!$S$2:$AA$1000,6,FALSE)," ")</f>
        <v xml:space="preserve"> </v>
      </c>
      <c r="AA142" s="90" t="str">
        <f>IFERROR(VLOOKUP(A142&amp;"aa",COPY!$S$2:$AA$1000,6,FALSE)," ")</f>
        <v xml:space="preserve"> </v>
      </c>
      <c r="AB142" s="90" t="str">
        <f>IFERROR(VLOOKUP(A142&amp;"aaa",COPY!$S$2:$AA$1000,6,FALSE)," ")</f>
        <v xml:space="preserve"> </v>
      </c>
      <c r="AC142" s="90" t="str">
        <f>IFERROR(VLOOKUP(A142&amp;"aaaa",COPY!$S$2:$AA$1000,6,FALSE)," ")</f>
        <v xml:space="preserve"> </v>
      </c>
      <c r="AD142" s="90" t="str">
        <f>IFERROR(VLOOKUP(A142&amp;"aaaaa",COPY!$S$2:$AA$1000,6,FALSE)," ")</f>
        <v xml:space="preserve"> </v>
      </c>
      <c r="AE142" s="90" t="str">
        <f>IFERROR(VLOOKUP(A142&amp;"aaaaaa",COPY!$S$2:$AA$1000,6,FALSE)," ")</f>
        <v xml:space="preserve"> </v>
      </c>
      <c r="AF142" s="90" t="str">
        <f>IFERROR(VLOOKUP(A142&amp;"aaaaaaa",COPY!$S$2:$AA$1000,6,FALSE)," ")</f>
        <v xml:space="preserve"> </v>
      </c>
      <c r="AG142" s="90" t="str">
        <f>IFERROR(VLOOKUP(A142&amp;"aaaaaaaa",COPY!$S$2:$AA$1000,6,FALSE)," ")</f>
        <v xml:space="preserve"> </v>
      </c>
      <c r="AH142" s="90" t="str">
        <f>IFERROR(VLOOKUP(A142&amp;"aaaaaaaaa",COPY!$S$2:$AA$1000,6,FALSE)," ")</f>
        <v xml:space="preserve"> </v>
      </c>
      <c r="AI142" s="90" t="str">
        <f>IFERROR(VLOOKUP(A142&amp;"aaaaaaaaaa",COPY!$S$2:$AA$1000,6,FALSE)," ")</f>
        <v xml:space="preserve"> </v>
      </c>
      <c r="AJ142" s="90" t="str">
        <f>IFERROR(VLOOKUP(A142&amp;"aaaaaaaaaaa",COPY!$S$2:$AA$1000,6,FALSE)," ")</f>
        <v xml:space="preserve"> </v>
      </c>
      <c r="AK142" s="90" t="str">
        <f>IF(LEFT(B142,2)="mg",VLOOKUP(A142,COPY!$S$2:$AA$1000,7,FALSE),IF(LEFT(B142,1)="G"," ",IF(LEFT(B142,2)="ma"," "," ")))</f>
        <v xml:space="preserve"> </v>
      </c>
      <c r="AL142" s="90" t="str">
        <f>IFERROR(VLOOKUP(A142&amp;"a",COPY!$S$2:$AA$1000,7,FALSE)," ")</f>
        <v xml:space="preserve"> </v>
      </c>
      <c r="AM142" s="90" t="str">
        <f>IFERROR(VLOOKUP(A142&amp;"aa",COPY!$S$2:$AA$1000,7,FALSE)," ")</f>
        <v xml:space="preserve"> </v>
      </c>
      <c r="AN142" s="90" t="str">
        <f>IFERROR(VLOOKUP(A142&amp;"aaa",COPY!$S$2:$AA$1000,7,FALSE)," ")</f>
        <v xml:space="preserve"> </v>
      </c>
      <c r="AO142" s="90" t="str">
        <f>IFERROR(VLOOKUP(A142&amp;"aaaa",COPY!$S$2:$AA$1000,7,FALSE)," ")</f>
        <v xml:space="preserve"> </v>
      </c>
      <c r="AP142" s="90" t="str">
        <f>IFERROR(VLOOKUP(A142&amp;"aaaaa",COPY!$S$2:$AA$1000,7,FALSE)," ")</f>
        <v xml:space="preserve"> </v>
      </c>
      <c r="AQ142" s="90" t="str">
        <f>IFERROR(VLOOKUP(A142&amp;"aaaaaa",COPY!$S$2:$AA$1000,7,FALSE)," ")</f>
        <v xml:space="preserve"> </v>
      </c>
      <c r="AR142" s="90" t="str">
        <f>IFERROR(VLOOKUP(A142&amp;"aaaaaaa",COPY!$S$2:$AA$1000,7,FALSE)," ")</f>
        <v xml:space="preserve"> </v>
      </c>
      <c r="AS142" s="90" t="str">
        <f>IFERROR(VLOOKUP(A142&amp;"aaaaaaaa",COPY!$S$2:$AA$1000,7,FALSE)," ")</f>
        <v xml:space="preserve"> </v>
      </c>
      <c r="AT142" s="90" t="str">
        <f>IFERROR(VLOOKUP(A142&amp;"aaaaaaaaa",COPY!$S$2:$AA$1000,7,FALSE)," ")</f>
        <v xml:space="preserve"> </v>
      </c>
      <c r="AU142" s="90" t="str">
        <f>IFERROR(VLOOKUP(A142&amp;"aaaaaaaaaa",COPY!$S$2:$AA$1000,7,FALSE)," ")</f>
        <v xml:space="preserve"> </v>
      </c>
      <c r="AV142" s="90" t="str">
        <f>IFERROR(VLOOKUP(A142&amp;"aaaaaaaaaaa",COPY!$S$2:$AA$1000,7,FALSE)," ")</f>
        <v xml:space="preserve"> </v>
      </c>
    </row>
    <row r="143" spans="1:48" x14ac:dyDescent="0.2">
      <c r="A143" s="75" t="str">
        <f>'REKAP PAJAK'!W180</f>
        <v/>
      </c>
      <c r="B143" s="75" t="str">
        <f>IF(LEN(A143)&gt;1,VLOOKUP(A143,COPY!$O$2:$R$1000,4,FALSE),"")</f>
        <v/>
      </c>
      <c r="C143" s="75" t="str">
        <f t="shared" si="12"/>
        <v xml:space="preserve"> </v>
      </c>
      <c r="D143" s="75" t="str">
        <f t="shared" si="13"/>
        <v xml:space="preserve"> </v>
      </c>
      <c r="E143" s="75" t="str">
        <f t="shared" si="14"/>
        <v xml:space="preserve"> </v>
      </c>
      <c r="F143" s="75" t="str">
        <f t="shared" si="15"/>
        <v xml:space="preserve"> </v>
      </c>
      <c r="G143" s="75" t="str">
        <f>IFERROR(TEXT(VLOOKUP(A143,COPY!$S$2:$W$1000,3,FALSE),"dd-mmmm-yyyy")," ")</f>
        <v xml:space="preserve"> </v>
      </c>
      <c r="H143" s="75" t="str">
        <f t="shared" si="16"/>
        <v xml:space="preserve"> </v>
      </c>
      <c r="I143" s="75" t="str">
        <f t="shared" si="17"/>
        <v xml:space="preserve"> </v>
      </c>
      <c r="J143" s="90" t="str">
        <f>IFERROR(VLOOKUP(A143,COPY!$S$2:$W$1000,4,FALSE)," ")</f>
        <v xml:space="preserve"> </v>
      </c>
      <c r="K143" s="75" t="str">
        <f>IFERROR(VLOOKUP(A143,COPY!$S$2:$W$1000,5,FALSE)," ")</f>
        <v xml:space="preserve"> </v>
      </c>
      <c r="L143" s="75" t="str">
        <f>IF(B143="","",IF(LEFT(B143,2)="Ma",(VLOOKUP(B143,'Rekap Gaji'!$C$12:$D$26,2,FALSE))&amp;" Untuk "&amp;(PROPER('Rekap Gaji'!$B$2)),IF(LEFT(B143,2)="Mg","Pembelian Material Bahan Bangunan",IF(LEFT(B143,2)="Me","Biaya Pembelanjaan Menejemen",IF(LEFT(B143,1)="G",VLOOKUP(A143,COPY!$S$2:$AA$1000,2,FALSE)&amp;"( "&amp;TEXT(VLOOKUP(B143,'Rekap Gaji'!$A$12:$I$26,5,FALSE),"dd-mm-yyyy")&amp;" "&amp;TEXT(VLOOKUP(B143,'Rekap Gaji'!$A$12:$I$26,6,FALSE)&amp;" "&amp;TEXT(VLOOKUP(B143,'Rekap Gaji'!$A$12:$I$26,7,FALSE),"dd-mm-yyyy")&amp;" )"," "))))))</f>
        <v/>
      </c>
      <c r="M143" s="75" t="str">
        <f>IF(OR(LEFT(B143,2)="mg",LEFT(B143,2)="mE"),VLOOKUP(A143,COPY!$S$2:$AA$1000,2,FALSE),IF(LEFT(B143,1)="G"," ",IF(LEFT(B143,2)="ma"," "," ")))</f>
        <v xml:space="preserve"> </v>
      </c>
      <c r="N143" s="75" t="str">
        <f>IFERROR(VLOOKUP($A$143&amp;"a",COPY!$S$2:$AA$1000,2,FALSE)," ")</f>
        <v xml:space="preserve"> </v>
      </c>
      <c r="O143" s="75" t="str">
        <f>IFERROR(VLOOKUP($A$143&amp;"aa",COPY!$S$2:$AA$1000,2,FALSE)," ")</f>
        <v xml:space="preserve"> </v>
      </c>
      <c r="P143" s="75" t="str">
        <f>IFERROR(VLOOKUP($A$143&amp;"aaa",COPY!$S$2:$AA$1000,2,FALSE)," ")</f>
        <v xml:space="preserve"> </v>
      </c>
      <c r="Q143" s="75" t="str">
        <f>IFERROR(VLOOKUP($A$143&amp;"aaaa",COPY!$S$2:$AA$1000,2,FALSE)," ")</f>
        <v xml:space="preserve"> </v>
      </c>
      <c r="R143" s="75" t="str">
        <f>IFERROR(VLOOKUP($A$143&amp;"aaaaa",COPY!$S$2:$AA$1000,2,FALSE)," ")</f>
        <v xml:space="preserve"> </v>
      </c>
      <c r="S143" s="75" t="str">
        <f>IFERROR(VLOOKUP($A$143&amp;"aaaaaa",COPY!$S$2:$AA$1000,2,FALSE)," ")</f>
        <v xml:space="preserve"> </v>
      </c>
      <c r="T143" s="75" t="str">
        <f>IFERROR(VLOOKUP($A$143&amp;"aaaaaaa",COPY!$S$2:$AA$1000,2,FALSE)," ")</f>
        <v xml:space="preserve"> </v>
      </c>
      <c r="U143" s="75" t="str">
        <f>IFERROR(VLOOKUP($A$143&amp;"aaaaaaaa",COPY!$S$2:$AA$1000,2,FALSE)," ")</f>
        <v xml:space="preserve"> </v>
      </c>
      <c r="V143" s="75" t="str">
        <f>IFERROR(VLOOKUP($A$143&amp;"aaaaaaaaa",COPY!$S$2:$AA$1000,2,FALSE)," ")</f>
        <v xml:space="preserve"> </v>
      </c>
      <c r="W143" s="75" t="str">
        <f>IFERROR(VLOOKUP($A$143&amp;"aaaaaaaaaa",COPY!$S$2:$AA$1000,2,FALSE)," ")</f>
        <v xml:space="preserve"> </v>
      </c>
      <c r="X143" s="75" t="str">
        <f>IFERROR(VLOOKUP($A$143&amp;"aaaaaaaaaaa",COPY!$S$2:$AA$1000,2,FALSE)," ")</f>
        <v xml:space="preserve"> </v>
      </c>
      <c r="Y143" s="90" t="str">
        <f>IF(OR(LEFT(B143,2)="mg",LEFT(B143,2)="mE"),VLOOKUP(A143,COPY!$S$2:$AA$1000,6,FALSE),IF(LEFT(B143,1)="G"," ",IF(LEFT(B143,2)="ma"," "," ")))</f>
        <v xml:space="preserve"> </v>
      </c>
      <c r="Z143" s="90" t="str">
        <f>IFERROR(VLOOKUP(A143&amp;"a",COPY!$S$2:$AA$1000,6,FALSE)," ")</f>
        <v xml:space="preserve"> </v>
      </c>
      <c r="AA143" s="90" t="str">
        <f>IFERROR(VLOOKUP(A143&amp;"aa",COPY!$S$2:$AA$1000,6,FALSE)," ")</f>
        <v xml:space="preserve"> </v>
      </c>
      <c r="AB143" s="90" t="str">
        <f>IFERROR(VLOOKUP(A143&amp;"aaa",COPY!$S$2:$AA$1000,6,FALSE)," ")</f>
        <v xml:space="preserve"> </v>
      </c>
      <c r="AC143" s="90" t="str">
        <f>IFERROR(VLOOKUP(A143&amp;"aaaa",COPY!$S$2:$AA$1000,6,FALSE)," ")</f>
        <v xml:space="preserve"> </v>
      </c>
      <c r="AD143" s="90" t="str">
        <f>IFERROR(VLOOKUP(A143&amp;"aaaaa",COPY!$S$2:$AA$1000,6,FALSE)," ")</f>
        <v xml:space="preserve"> </v>
      </c>
      <c r="AE143" s="90" t="str">
        <f>IFERROR(VLOOKUP(A143&amp;"aaaaaa",COPY!$S$2:$AA$1000,6,FALSE)," ")</f>
        <v xml:space="preserve"> </v>
      </c>
      <c r="AF143" s="90" t="str">
        <f>IFERROR(VLOOKUP(A143&amp;"aaaaaaa",COPY!$S$2:$AA$1000,6,FALSE)," ")</f>
        <v xml:space="preserve"> </v>
      </c>
      <c r="AG143" s="90" t="str">
        <f>IFERROR(VLOOKUP(A143&amp;"aaaaaaaa",COPY!$S$2:$AA$1000,6,FALSE)," ")</f>
        <v xml:space="preserve"> </v>
      </c>
      <c r="AH143" s="90" t="str">
        <f>IFERROR(VLOOKUP(A143&amp;"aaaaaaaaa",COPY!$S$2:$AA$1000,6,FALSE)," ")</f>
        <v xml:space="preserve"> </v>
      </c>
      <c r="AI143" s="90" t="str">
        <f>IFERROR(VLOOKUP(A143&amp;"aaaaaaaaaa",COPY!$S$2:$AA$1000,6,FALSE)," ")</f>
        <v xml:space="preserve"> </v>
      </c>
      <c r="AJ143" s="90" t="str">
        <f>IFERROR(VLOOKUP(A143&amp;"aaaaaaaaaaa",COPY!$S$2:$AA$1000,6,FALSE)," ")</f>
        <v xml:space="preserve"> </v>
      </c>
      <c r="AK143" s="90" t="str">
        <f>IF(LEFT(B143,2)="mg",VLOOKUP(A143,COPY!$S$2:$AA$1000,7,FALSE),IF(LEFT(B143,1)="G"," ",IF(LEFT(B143,2)="ma"," "," ")))</f>
        <v xml:space="preserve"> </v>
      </c>
      <c r="AL143" s="90" t="str">
        <f>IFERROR(VLOOKUP(A143&amp;"a",COPY!$S$2:$AA$1000,7,FALSE)," ")</f>
        <v xml:space="preserve"> </v>
      </c>
      <c r="AM143" s="90" t="str">
        <f>IFERROR(VLOOKUP(A143&amp;"aa",COPY!$S$2:$AA$1000,7,FALSE)," ")</f>
        <v xml:space="preserve"> </v>
      </c>
      <c r="AN143" s="90" t="str">
        <f>IFERROR(VLOOKUP(A143&amp;"aaa",COPY!$S$2:$AA$1000,7,FALSE)," ")</f>
        <v xml:space="preserve"> </v>
      </c>
      <c r="AO143" s="90" t="str">
        <f>IFERROR(VLOOKUP(A143&amp;"aaaa",COPY!$S$2:$AA$1000,7,FALSE)," ")</f>
        <v xml:space="preserve"> </v>
      </c>
      <c r="AP143" s="90" t="str">
        <f>IFERROR(VLOOKUP(A143&amp;"aaaaa",COPY!$S$2:$AA$1000,7,FALSE)," ")</f>
        <v xml:space="preserve"> </v>
      </c>
      <c r="AQ143" s="90" t="str">
        <f>IFERROR(VLOOKUP(A143&amp;"aaaaaa",COPY!$S$2:$AA$1000,7,FALSE)," ")</f>
        <v xml:space="preserve"> </v>
      </c>
      <c r="AR143" s="90" t="str">
        <f>IFERROR(VLOOKUP(A143&amp;"aaaaaaa",COPY!$S$2:$AA$1000,7,FALSE)," ")</f>
        <v xml:space="preserve"> </v>
      </c>
      <c r="AS143" s="90" t="str">
        <f>IFERROR(VLOOKUP(A143&amp;"aaaaaaaa",COPY!$S$2:$AA$1000,7,FALSE)," ")</f>
        <v xml:space="preserve"> </v>
      </c>
      <c r="AT143" s="90" t="str">
        <f>IFERROR(VLOOKUP(A143&amp;"aaaaaaaaa",COPY!$S$2:$AA$1000,7,FALSE)," ")</f>
        <v xml:space="preserve"> </v>
      </c>
      <c r="AU143" s="90" t="str">
        <f>IFERROR(VLOOKUP(A143&amp;"aaaaaaaaaa",COPY!$S$2:$AA$1000,7,FALSE)," ")</f>
        <v xml:space="preserve"> </v>
      </c>
      <c r="AV143" s="90" t="str">
        <f>IFERROR(VLOOKUP(A143&amp;"aaaaaaaaaaa",COPY!$S$2:$AA$1000,7,FALSE)," ")</f>
        <v xml:space="preserve"> </v>
      </c>
    </row>
    <row r="144" spans="1:48" x14ac:dyDescent="0.2">
      <c r="A144" s="75" t="str">
        <f>'REKAP PAJAK'!W181</f>
        <v/>
      </c>
      <c r="B144" s="75" t="str">
        <f>IF(LEN(A144)&gt;1,VLOOKUP(A144,COPY!$O$2:$R$1000,4,FALSE),"")</f>
        <v/>
      </c>
      <c r="C144" s="75" t="str">
        <f t="shared" si="12"/>
        <v xml:space="preserve"> </v>
      </c>
      <c r="D144" s="75" t="str">
        <f t="shared" si="13"/>
        <v xml:space="preserve"> </v>
      </c>
      <c r="E144" s="75" t="str">
        <f t="shared" si="14"/>
        <v xml:space="preserve"> </v>
      </c>
      <c r="F144" s="75" t="str">
        <f t="shared" si="15"/>
        <v xml:space="preserve"> </v>
      </c>
      <c r="G144" s="75" t="str">
        <f>IFERROR(TEXT(VLOOKUP(A144,COPY!$S$2:$W$1000,3,FALSE),"dd-mmmm-yyyy")," ")</f>
        <v xml:space="preserve"> </v>
      </c>
      <c r="H144" s="75" t="str">
        <f t="shared" si="16"/>
        <v xml:space="preserve"> </v>
      </c>
      <c r="I144" s="75" t="str">
        <f t="shared" si="17"/>
        <v xml:space="preserve"> </v>
      </c>
      <c r="J144" s="90" t="str">
        <f>IFERROR(VLOOKUP(A144,COPY!$S$2:$W$1000,4,FALSE)," ")</f>
        <v xml:space="preserve"> </v>
      </c>
      <c r="K144" s="75" t="str">
        <f>IFERROR(VLOOKUP(A144,COPY!$S$2:$W$1000,5,FALSE)," ")</f>
        <v xml:space="preserve"> </v>
      </c>
      <c r="L144" s="75" t="str">
        <f>IF(B144="","",IF(LEFT(B144,2)="Ma",(VLOOKUP(B144,'Rekap Gaji'!$C$12:$D$26,2,FALSE))&amp;" Untuk "&amp;(PROPER('Rekap Gaji'!$B$2)),IF(LEFT(B144,2)="Mg","Pembelian Material Bahan Bangunan",IF(LEFT(B144,2)="Me","Biaya Pembelanjaan Menejemen",IF(LEFT(B144,1)="G",VLOOKUP(A144,COPY!$S$2:$AA$1000,2,FALSE)&amp;"( "&amp;TEXT(VLOOKUP(B144,'Rekap Gaji'!$A$12:$I$26,5,FALSE),"dd-mm-yyyy")&amp;" "&amp;TEXT(VLOOKUP(B144,'Rekap Gaji'!$A$12:$I$26,6,FALSE)&amp;" "&amp;TEXT(VLOOKUP(B144,'Rekap Gaji'!$A$12:$I$26,7,FALSE),"dd-mm-yyyy")&amp;" )"," "))))))</f>
        <v/>
      </c>
      <c r="M144" s="75" t="str">
        <f>IF(OR(LEFT(B144,2)="mg",LEFT(B144,2)="mE"),VLOOKUP(A144,COPY!$S$2:$AA$1000,2,FALSE),IF(LEFT(B144,1)="G"," ",IF(LEFT(B144,2)="ma"," "," ")))</f>
        <v xml:space="preserve"> </v>
      </c>
      <c r="N144" s="75" t="str">
        <f>IFERROR(VLOOKUP($A$144&amp;"a",COPY!$S$2:$AA$1000,2,FALSE)," ")</f>
        <v xml:space="preserve"> </v>
      </c>
      <c r="O144" s="75" t="str">
        <f>IFERROR(VLOOKUP($A$144&amp;"aa",COPY!$S$2:$AA$1000,2,FALSE)," ")</f>
        <v xml:space="preserve"> </v>
      </c>
      <c r="P144" s="75" t="str">
        <f>IFERROR(VLOOKUP($A$144&amp;"aaa",COPY!$S$2:$AA$1000,2,FALSE)," ")</f>
        <v xml:space="preserve"> </v>
      </c>
      <c r="Q144" s="75" t="str">
        <f>IFERROR(VLOOKUP($A$144&amp;"aaaa",COPY!$S$2:$AA$1000,2,FALSE)," ")</f>
        <v xml:space="preserve"> </v>
      </c>
      <c r="R144" s="75" t="str">
        <f>IFERROR(VLOOKUP($A$144&amp;"aaaaa",COPY!$S$2:$AA$1000,2,FALSE)," ")</f>
        <v xml:space="preserve"> </v>
      </c>
      <c r="S144" s="75" t="str">
        <f>IFERROR(VLOOKUP($A$144&amp;"aaaaaa",COPY!$S$2:$AA$1000,2,FALSE)," ")</f>
        <v xml:space="preserve"> </v>
      </c>
      <c r="T144" s="75" t="str">
        <f>IFERROR(VLOOKUP($A$144&amp;"aaaaaaa",COPY!$S$2:$AA$1000,2,FALSE)," ")</f>
        <v xml:space="preserve"> </v>
      </c>
      <c r="U144" s="75" t="str">
        <f>IFERROR(VLOOKUP($A$144&amp;"aaaaaaaa",COPY!$S$2:$AA$1000,2,FALSE)," ")</f>
        <v xml:space="preserve"> </v>
      </c>
      <c r="V144" s="75" t="str">
        <f>IFERROR(VLOOKUP($A$144&amp;"aaaaaaaaa",COPY!$S$2:$AA$1000,2,FALSE)," ")</f>
        <v xml:space="preserve"> </v>
      </c>
      <c r="W144" s="75" t="str">
        <f>IFERROR(VLOOKUP($A$144&amp;"aaaaaaaaaa",COPY!$S$2:$AA$1000,2,FALSE)," ")</f>
        <v xml:space="preserve"> </v>
      </c>
      <c r="X144" s="75" t="str">
        <f>IFERROR(VLOOKUP($A$144&amp;"aaaaaaaaaaa",COPY!$S$2:$AA$1000,2,FALSE)," ")</f>
        <v xml:space="preserve"> </v>
      </c>
      <c r="Y144" s="90" t="str">
        <f>IF(OR(LEFT(B144,2)="mg",LEFT(B144,2)="mE"),VLOOKUP(A144,COPY!$S$2:$AA$1000,6,FALSE),IF(LEFT(B144,1)="G"," ",IF(LEFT(B144,2)="ma"," "," ")))</f>
        <v xml:space="preserve"> </v>
      </c>
      <c r="Z144" s="90" t="str">
        <f>IFERROR(VLOOKUP(A144&amp;"a",COPY!$S$2:$AA$1000,6,FALSE)," ")</f>
        <v xml:space="preserve"> </v>
      </c>
      <c r="AA144" s="90" t="str">
        <f>IFERROR(VLOOKUP(A144&amp;"aa",COPY!$S$2:$AA$1000,6,FALSE)," ")</f>
        <v xml:space="preserve"> </v>
      </c>
      <c r="AB144" s="90" t="str">
        <f>IFERROR(VLOOKUP(A144&amp;"aaa",COPY!$S$2:$AA$1000,6,FALSE)," ")</f>
        <v xml:space="preserve"> </v>
      </c>
      <c r="AC144" s="90" t="str">
        <f>IFERROR(VLOOKUP(A144&amp;"aaaa",COPY!$S$2:$AA$1000,6,FALSE)," ")</f>
        <v xml:space="preserve"> </v>
      </c>
      <c r="AD144" s="90" t="str">
        <f>IFERROR(VLOOKUP(A144&amp;"aaaaa",COPY!$S$2:$AA$1000,6,FALSE)," ")</f>
        <v xml:space="preserve"> </v>
      </c>
      <c r="AE144" s="90" t="str">
        <f>IFERROR(VLOOKUP(A144&amp;"aaaaaa",COPY!$S$2:$AA$1000,6,FALSE)," ")</f>
        <v xml:space="preserve"> </v>
      </c>
      <c r="AF144" s="90" t="str">
        <f>IFERROR(VLOOKUP(A144&amp;"aaaaaaa",COPY!$S$2:$AA$1000,6,FALSE)," ")</f>
        <v xml:space="preserve"> </v>
      </c>
      <c r="AG144" s="90" t="str">
        <f>IFERROR(VLOOKUP(A144&amp;"aaaaaaaa",COPY!$S$2:$AA$1000,6,FALSE)," ")</f>
        <v xml:space="preserve"> </v>
      </c>
      <c r="AH144" s="90" t="str">
        <f>IFERROR(VLOOKUP(A144&amp;"aaaaaaaaa",COPY!$S$2:$AA$1000,6,FALSE)," ")</f>
        <v xml:space="preserve"> </v>
      </c>
      <c r="AI144" s="90" t="str">
        <f>IFERROR(VLOOKUP(A144&amp;"aaaaaaaaaa",COPY!$S$2:$AA$1000,6,FALSE)," ")</f>
        <v xml:space="preserve"> </v>
      </c>
      <c r="AJ144" s="90" t="str">
        <f>IFERROR(VLOOKUP(A144&amp;"aaaaaaaaaaa",COPY!$S$2:$AA$1000,6,FALSE)," ")</f>
        <v xml:space="preserve"> </v>
      </c>
      <c r="AK144" s="90" t="str">
        <f>IF(LEFT(B144,2)="mg",VLOOKUP(A144,COPY!$S$2:$AA$1000,7,FALSE),IF(LEFT(B144,1)="G"," ",IF(LEFT(B144,2)="ma"," "," ")))</f>
        <v xml:space="preserve"> </v>
      </c>
      <c r="AL144" s="90" t="str">
        <f>IFERROR(VLOOKUP(A144&amp;"a",COPY!$S$2:$AA$1000,7,FALSE)," ")</f>
        <v xml:space="preserve"> </v>
      </c>
      <c r="AM144" s="90" t="str">
        <f>IFERROR(VLOOKUP(A144&amp;"aa",COPY!$S$2:$AA$1000,7,FALSE)," ")</f>
        <v xml:space="preserve"> </v>
      </c>
      <c r="AN144" s="90" t="str">
        <f>IFERROR(VLOOKUP(A144&amp;"aaa",COPY!$S$2:$AA$1000,7,FALSE)," ")</f>
        <v xml:space="preserve"> </v>
      </c>
      <c r="AO144" s="90" t="str">
        <f>IFERROR(VLOOKUP(A144&amp;"aaaa",COPY!$S$2:$AA$1000,7,FALSE)," ")</f>
        <v xml:space="preserve"> </v>
      </c>
      <c r="AP144" s="90" t="str">
        <f>IFERROR(VLOOKUP(A144&amp;"aaaaa",COPY!$S$2:$AA$1000,7,FALSE)," ")</f>
        <v xml:space="preserve"> </v>
      </c>
      <c r="AQ144" s="90" t="str">
        <f>IFERROR(VLOOKUP(A144&amp;"aaaaaa",COPY!$S$2:$AA$1000,7,FALSE)," ")</f>
        <v xml:space="preserve"> </v>
      </c>
      <c r="AR144" s="90" t="str">
        <f>IFERROR(VLOOKUP(A144&amp;"aaaaaaa",COPY!$S$2:$AA$1000,7,FALSE)," ")</f>
        <v xml:space="preserve"> </v>
      </c>
      <c r="AS144" s="90" t="str">
        <f>IFERROR(VLOOKUP(A144&amp;"aaaaaaaa",COPY!$S$2:$AA$1000,7,FALSE)," ")</f>
        <v xml:space="preserve"> </v>
      </c>
      <c r="AT144" s="90" t="str">
        <f>IFERROR(VLOOKUP(A144&amp;"aaaaaaaaa",COPY!$S$2:$AA$1000,7,FALSE)," ")</f>
        <v xml:space="preserve"> </v>
      </c>
      <c r="AU144" s="90" t="str">
        <f>IFERROR(VLOOKUP(A144&amp;"aaaaaaaaaa",COPY!$S$2:$AA$1000,7,FALSE)," ")</f>
        <v xml:space="preserve"> </v>
      </c>
      <c r="AV144" s="90" t="str">
        <f>IFERROR(VLOOKUP(A144&amp;"aaaaaaaaaaa",COPY!$S$2:$AA$1000,7,FALSE)," ")</f>
        <v xml:space="preserve"> </v>
      </c>
    </row>
    <row r="145" spans="1:48" x14ac:dyDescent="0.2">
      <c r="A145" s="75" t="str">
        <f>'REKAP PAJAK'!W182</f>
        <v/>
      </c>
      <c r="B145" s="75" t="str">
        <f>IF(LEN(A145)&gt;1,VLOOKUP(A145,COPY!$O$2:$R$1000,4,FALSE),"")</f>
        <v/>
      </c>
      <c r="C145" s="75" t="str">
        <f t="shared" si="12"/>
        <v xml:space="preserve"> </v>
      </c>
      <c r="D145" s="75" t="str">
        <f t="shared" si="13"/>
        <v xml:space="preserve"> </v>
      </c>
      <c r="E145" s="75" t="str">
        <f t="shared" si="14"/>
        <v xml:space="preserve"> </v>
      </c>
      <c r="F145" s="75" t="str">
        <f t="shared" si="15"/>
        <v xml:space="preserve"> </v>
      </c>
      <c r="G145" s="75" t="str">
        <f>IFERROR(TEXT(VLOOKUP(A145,COPY!$S$2:$W$1000,3,FALSE),"dd-mmmm-yyyy")," ")</f>
        <v xml:space="preserve"> </v>
      </c>
      <c r="H145" s="75" t="str">
        <f t="shared" si="16"/>
        <v xml:space="preserve"> </v>
      </c>
      <c r="I145" s="75" t="str">
        <f t="shared" si="17"/>
        <v xml:space="preserve"> </v>
      </c>
      <c r="J145" s="90" t="str">
        <f>IFERROR(VLOOKUP(A145,COPY!$S$2:$W$1000,4,FALSE)," ")</f>
        <v xml:space="preserve"> </v>
      </c>
      <c r="K145" s="75" t="str">
        <f>IFERROR(VLOOKUP(A145,COPY!$S$2:$W$1000,5,FALSE)," ")</f>
        <v xml:space="preserve"> </v>
      </c>
      <c r="L145" s="75" t="str">
        <f>IF(B145="","",IF(LEFT(B145,2)="Ma",(VLOOKUP(B145,'Rekap Gaji'!$C$12:$D$26,2,FALSE))&amp;" Untuk "&amp;(PROPER('Rekap Gaji'!$B$2)),IF(LEFT(B145,2)="Mg","Pembelian Material Bahan Bangunan",IF(LEFT(B145,2)="Me","Biaya Pembelanjaan Menejemen",IF(LEFT(B145,1)="G",VLOOKUP(A145,COPY!$S$2:$AA$1000,2,FALSE)&amp;"( "&amp;TEXT(VLOOKUP(B145,'Rekap Gaji'!$A$12:$I$26,5,FALSE),"dd-mm-yyyy")&amp;" "&amp;TEXT(VLOOKUP(B145,'Rekap Gaji'!$A$12:$I$26,6,FALSE)&amp;" "&amp;TEXT(VLOOKUP(B145,'Rekap Gaji'!$A$12:$I$26,7,FALSE),"dd-mm-yyyy")&amp;" )"," "))))))</f>
        <v/>
      </c>
      <c r="M145" s="75" t="str">
        <f>IF(OR(LEFT(B145,2)="mg",LEFT(B145,2)="mE"),VLOOKUP(A145,COPY!$S$2:$AA$1000,2,FALSE),IF(LEFT(B145,1)="G"," ",IF(LEFT(B145,2)="ma"," "," ")))</f>
        <v xml:space="preserve"> </v>
      </c>
      <c r="N145" s="75" t="str">
        <f>IFERROR(VLOOKUP($A$145&amp;"a",COPY!$S$2:$AA$1000,2,FALSE)," ")</f>
        <v xml:space="preserve"> </v>
      </c>
      <c r="O145" s="75" t="str">
        <f>IFERROR(VLOOKUP($A$145&amp;"aa",COPY!$S$2:$AA$1000,2,FALSE)," ")</f>
        <v xml:space="preserve"> </v>
      </c>
      <c r="P145" s="75" t="str">
        <f>IFERROR(VLOOKUP($A$145&amp;"aaa",COPY!$S$2:$AA$1000,2,FALSE)," ")</f>
        <v xml:space="preserve"> </v>
      </c>
      <c r="Q145" s="75" t="str">
        <f>IFERROR(VLOOKUP($A$145&amp;"aaaa",COPY!$S$2:$AA$1000,2,FALSE)," ")</f>
        <v xml:space="preserve"> </v>
      </c>
      <c r="R145" s="75" t="str">
        <f>IFERROR(VLOOKUP($A$145&amp;"aaaaa",COPY!$S$2:$AA$1000,2,FALSE)," ")</f>
        <v xml:space="preserve"> </v>
      </c>
      <c r="S145" s="75" t="str">
        <f>IFERROR(VLOOKUP($A$145&amp;"aaaaaa",COPY!$S$2:$AA$1000,2,FALSE)," ")</f>
        <v xml:space="preserve"> </v>
      </c>
      <c r="T145" s="75" t="str">
        <f>IFERROR(VLOOKUP($A$145&amp;"aaaaaaa",COPY!$S$2:$AA$1000,2,FALSE)," ")</f>
        <v xml:space="preserve"> </v>
      </c>
      <c r="U145" s="75" t="str">
        <f>IFERROR(VLOOKUP($A$145&amp;"aaaaaaaa",COPY!$S$2:$AA$1000,2,FALSE)," ")</f>
        <v xml:space="preserve"> </v>
      </c>
      <c r="V145" s="75" t="str">
        <f>IFERROR(VLOOKUP($A$145&amp;"aaaaaaaaa",COPY!$S$2:$AA$1000,2,FALSE)," ")</f>
        <v xml:space="preserve"> </v>
      </c>
      <c r="W145" s="75" t="str">
        <f>IFERROR(VLOOKUP($A$145&amp;"aaaaaaaaaa",COPY!$S$2:$AA$1000,2,FALSE)," ")</f>
        <v xml:space="preserve"> </v>
      </c>
      <c r="X145" s="75" t="str">
        <f>IFERROR(VLOOKUP($A$145&amp;"aaaaaaaaaaa",COPY!$S$2:$AA$1000,2,FALSE)," ")</f>
        <v xml:space="preserve"> </v>
      </c>
      <c r="Y145" s="90" t="str">
        <f>IF(OR(LEFT(B145,2)="mg",LEFT(B145,2)="mE"),VLOOKUP(A145,COPY!$S$2:$AA$1000,6,FALSE),IF(LEFT(B145,1)="G"," ",IF(LEFT(B145,2)="ma"," "," ")))</f>
        <v xml:space="preserve"> </v>
      </c>
      <c r="Z145" s="90" t="str">
        <f>IFERROR(VLOOKUP(A145&amp;"a",COPY!$S$2:$AA$1000,6,FALSE)," ")</f>
        <v xml:space="preserve"> </v>
      </c>
      <c r="AA145" s="90" t="str">
        <f>IFERROR(VLOOKUP(A145&amp;"aa",COPY!$S$2:$AA$1000,6,FALSE)," ")</f>
        <v xml:space="preserve"> </v>
      </c>
      <c r="AB145" s="90" t="str">
        <f>IFERROR(VLOOKUP(A145&amp;"aaa",COPY!$S$2:$AA$1000,6,FALSE)," ")</f>
        <v xml:space="preserve"> </v>
      </c>
      <c r="AC145" s="90" t="str">
        <f>IFERROR(VLOOKUP(A145&amp;"aaaa",COPY!$S$2:$AA$1000,6,FALSE)," ")</f>
        <v xml:space="preserve"> </v>
      </c>
      <c r="AD145" s="90" t="str">
        <f>IFERROR(VLOOKUP(A145&amp;"aaaaa",COPY!$S$2:$AA$1000,6,FALSE)," ")</f>
        <v xml:space="preserve"> </v>
      </c>
      <c r="AE145" s="90" t="str">
        <f>IFERROR(VLOOKUP(A145&amp;"aaaaaa",COPY!$S$2:$AA$1000,6,FALSE)," ")</f>
        <v xml:space="preserve"> </v>
      </c>
      <c r="AF145" s="90" t="str">
        <f>IFERROR(VLOOKUP(A145&amp;"aaaaaaa",COPY!$S$2:$AA$1000,6,FALSE)," ")</f>
        <v xml:space="preserve"> </v>
      </c>
      <c r="AG145" s="90" t="str">
        <f>IFERROR(VLOOKUP(A145&amp;"aaaaaaaa",COPY!$S$2:$AA$1000,6,FALSE)," ")</f>
        <v xml:space="preserve"> </v>
      </c>
      <c r="AH145" s="90" t="str">
        <f>IFERROR(VLOOKUP(A145&amp;"aaaaaaaaa",COPY!$S$2:$AA$1000,6,FALSE)," ")</f>
        <v xml:space="preserve"> </v>
      </c>
      <c r="AI145" s="90" t="str">
        <f>IFERROR(VLOOKUP(A145&amp;"aaaaaaaaaa",COPY!$S$2:$AA$1000,6,FALSE)," ")</f>
        <v xml:space="preserve"> </v>
      </c>
      <c r="AJ145" s="90" t="str">
        <f>IFERROR(VLOOKUP(A145&amp;"aaaaaaaaaaa",COPY!$S$2:$AA$1000,6,FALSE)," ")</f>
        <v xml:space="preserve"> </v>
      </c>
      <c r="AK145" s="90" t="str">
        <f>IF(LEFT(B145,2)="mg",VLOOKUP(A145,COPY!$S$2:$AA$1000,7,FALSE),IF(LEFT(B145,1)="G"," ",IF(LEFT(B145,2)="ma"," "," ")))</f>
        <v xml:space="preserve"> </v>
      </c>
      <c r="AL145" s="90" t="str">
        <f>IFERROR(VLOOKUP(A145&amp;"a",COPY!$S$2:$AA$1000,7,FALSE)," ")</f>
        <v xml:space="preserve"> </v>
      </c>
      <c r="AM145" s="90" t="str">
        <f>IFERROR(VLOOKUP(A145&amp;"aa",COPY!$S$2:$AA$1000,7,FALSE)," ")</f>
        <v xml:space="preserve"> </v>
      </c>
      <c r="AN145" s="90" t="str">
        <f>IFERROR(VLOOKUP(A145&amp;"aaa",COPY!$S$2:$AA$1000,7,FALSE)," ")</f>
        <v xml:space="preserve"> </v>
      </c>
      <c r="AO145" s="90" t="str">
        <f>IFERROR(VLOOKUP(A145&amp;"aaaa",COPY!$S$2:$AA$1000,7,FALSE)," ")</f>
        <v xml:space="preserve"> </v>
      </c>
      <c r="AP145" s="90" t="str">
        <f>IFERROR(VLOOKUP(A145&amp;"aaaaa",COPY!$S$2:$AA$1000,7,FALSE)," ")</f>
        <v xml:space="preserve"> </v>
      </c>
      <c r="AQ145" s="90" t="str">
        <f>IFERROR(VLOOKUP(A145&amp;"aaaaaa",COPY!$S$2:$AA$1000,7,FALSE)," ")</f>
        <v xml:space="preserve"> </v>
      </c>
      <c r="AR145" s="90" t="str">
        <f>IFERROR(VLOOKUP(A145&amp;"aaaaaaa",COPY!$S$2:$AA$1000,7,FALSE)," ")</f>
        <v xml:space="preserve"> </v>
      </c>
      <c r="AS145" s="90" t="str">
        <f>IFERROR(VLOOKUP(A145&amp;"aaaaaaaa",COPY!$S$2:$AA$1000,7,FALSE)," ")</f>
        <v xml:space="preserve"> </v>
      </c>
      <c r="AT145" s="90" t="str">
        <f>IFERROR(VLOOKUP(A145&amp;"aaaaaaaaa",COPY!$S$2:$AA$1000,7,FALSE)," ")</f>
        <v xml:space="preserve"> </v>
      </c>
      <c r="AU145" s="90" t="str">
        <f>IFERROR(VLOOKUP(A145&amp;"aaaaaaaaaa",COPY!$S$2:$AA$1000,7,FALSE)," ")</f>
        <v xml:space="preserve"> </v>
      </c>
      <c r="AV145" s="90" t="str">
        <f>IFERROR(VLOOKUP(A145&amp;"aaaaaaaaaaa",COPY!$S$2:$AA$1000,7,FALSE)," ")</f>
        <v xml:space="preserve"> </v>
      </c>
    </row>
    <row r="146" spans="1:48" x14ac:dyDescent="0.2">
      <c r="A146" s="75" t="str">
        <f>'REKAP PAJAK'!W183</f>
        <v/>
      </c>
      <c r="B146" s="75" t="str">
        <f>IF(LEN(A146)&gt;1,VLOOKUP(A146,COPY!$O$2:$R$1000,4,FALSE),"")</f>
        <v/>
      </c>
      <c r="C146" s="75" t="str">
        <f t="shared" si="12"/>
        <v xml:space="preserve"> </v>
      </c>
      <c r="D146" s="75" t="str">
        <f t="shared" si="13"/>
        <v xml:space="preserve"> </v>
      </c>
      <c r="E146" s="75" t="str">
        <f t="shared" si="14"/>
        <v xml:space="preserve"> </v>
      </c>
      <c r="F146" s="75" t="str">
        <f t="shared" si="15"/>
        <v xml:space="preserve"> </v>
      </c>
      <c r="G146" s="75" t="str">
        <f>IFERROR(TEXT(VLOOKUP(A146,COPY!$S$2:$W$1000,3,FALSE),"dd-mmmm-yyyy")," ")</f>
        <v xml:space="preserve"> </v>
      </c>
      <c r="H146" s="75" t="str">
        <f t="shared" si="16"/>
        <v xml:space="preserve"> </v>
      </c>
      <c r="I146" s="75" t="str">
        <f t="shared" si="17"/>
        <v xml:space="preserve"> </v>
      </c>
      <c r="J146" s="90" t="str">
        <f>IFERROR(VLOOKUP(A146,COPY!$S$2:$W$1000,4,FALSE)," ")</f>
        <v xml:space="preserve"> </v>
      </c>
      <c r="K146" s="75" t="str">
        <f>IFERROR(VLOOKUP(A146,COPY!$S$2:$W$1000,5,FALSE)," ")</f>
        <v xml:space="preserve"> </v>
      </c>
      <c r="L146" s="75" t="str">
        <f>IF(B146="","",IF(LEFT(B146,2)="Ma",(VLOOKUP(B146,'Rekap Gaji'!$C$12:$D$26,2,FALSE))&amp;" Untuk "&amp;(PROPER('Rekap Gaji'!$B$2)),IF(LEFT(B146,2)="Mg","Pembelian Material Bahan Bangunan",IF(LEFT(B146,2)="Me","Biaya Pembelanjaan Menejemen",IF(LEFT(B146,1)="G",VLOOKUP(A146,COPY!$S$2:$AA$1000,2,FALSE)&amp;"( "&amp;TEXT(VLOOKUP(B146,'Rekap Gaji'!$A$12:$I$26,5,FALSE),"dd-mm-yyyy")&amp;" "&amp;TEXT(VLOOKUP(B146,'Rekap Gaji'!$A$12:$I$26,6,FALSE)&amp;" "&amp;TEXT(VLOOKUP(B146,'Rekap Gaji'!$A$12:$I$26,7,FALSE),"dd-mm-yyyy")&amp;" )"," "))))))</f>
        <v/>
      </c>
      <c r="M146" s="75" t="str">
        <f>IF(OR(LEFT(B146,2)="mg",LEFT(B146,2)="mE"),VLOOKUP(A146,COPY!$S$2:$AA$1000,2,FALSE),IF(LEFT(B146,1)="G"," ",IF(LEFT(B146,2)="ma"," "," ")))</f>
        <v xml:space="preserve"> </v>
      </c>
      <c r="N146" s="75" t="str">
        <f>IFERROR(VLOOKUP($A$146&amp;"a",COPY!$S$2:$AA$1000,2,FALSE)," ")</f>
        <v xml:space="preserve"> </v>
      </c>
      <c r="O146" s="75" t="str">
        <f>IFERROR(VLOOKUP($A$146&amp;"aa",COPY!$S$2:$AA$1000,2,FALSE)," ")</f>
        <v xml:space="preserve"> </v>
      </c>
      <c r="P146" s="75" t="str">
        <f>IFERROR(VLOOKUP($A$146&amp;"aaa",COPY!$S$2:$AA$1000,2,FALSE)," ")</f>
        <v xml:space="preserve"> </v>
      </c>
      <c r="Q146" s="75" t="str">
        <f>IFERROR(VLOOKUP($A$146&amp;"aaaa",COPY!$S$2:$AA$1000,2,FALSE)," ")</f>
        <v xml:space="preserve"> </v>
      </c>
      <c r="R146" s="75" t="str">
        <f>IFERROR(VLOOKUP($A$146&amp;"aaaaa",COPY!$S$2:$AA$1000,2,FALSE)," ")</f>
        <v xml:space="preserve"> </v>
      </c>
      <c r="S146" s="75" t="str">
        <f>IFERROR(VLOOKUP($A$146&amp;"aaaaaa",COPY!$S$2:$AA$1000,2,FALSE)," ")</f>
        <v xml:space="preserve"> </v>
      </c>
      <c r="T146" s="75" t="str">
        <f>IFERROR(VLOOKUP($A$146&amp;"aaaaaaa",COPY!$S$2:$AA$1000,2,FALSE)," ")</f>
        <v xml:space="preserve"> </v>
      </c>
      <c r="U146" s="75" t="str">
        <f>IFERROR(VLOOKUP($A$146&amp;"aaaaaaaa",COPY!$S$2:$AA$1000,2,FALSE)," ")</f>
        <v xml:space="preserve"> </v>
      </c>
      <c r="V146" s="75" t="str">
        <f>IFERROR(VLOOKUP($A$146&amp;"aaaaaaaaa",COPY!$S$2:$AA$1000,2,FALSE)," ")</f>
        <v xml:space="preserve"> </v>
      </c>
      <c r="W146" s="75" t="str">
        <f>IFERROR(VLOOKUP($A$146&amp;"aaaaaaaaaa",COPY!$S$2:$AA$1000,2,FALSE)," ")</f>
        <v xml:space="preserve"> </v>
      </c>
      <c r="X146" s="75" t="str">
        <f>IFERROR(VLOOKUP($A$146&amp;"aaaaaaaaaaa",COPY!$S$2:$AA$1000,2,FALSE)," ")</f>
        <v xml:space="preserve"> </v>
      </c>
      <c r="Y146" s="90" t="str">
        <f>IF(OR(LEFT(B146,2)="mg",LEFT(B146,2)="mE"),VLOOKUP(A146,COPY!$S$2:$AA$1000,6,FALSE),IF(LEFT(B146,1)="G"," ",IF(LEFT(B146,2)="ma"," "," ")))</f>
        <v xml:space="preserve"> </v>
      </c>
      <c r="Z146" s="90" t="str">
        <f>IFERROR(VLOOKUP(A146&amp;"a",COPY!$S$2:$AA$1000,6,FALSE)," ")</f>
        <v xml:space="preserve"> </v>
      </c>
      <c r="AA146" s="90" t="str">
        <f>IFERROR(VLOOKUP(A146&amp;"aa",COPY!$S$2:$AA$1000,6,FALSE)," ")</f>
        <v xml:space="preserve"> </v>
      </c>
      <c r="AB146" s="90" t="str">
        <f>IFERROR(VLOOKUP(A146&amp;"aaa",COPY!$S$2:$AA$1000,6,FALSE)," ")</f>
        <v xml:space="preserve"> </v>
      </c>
      <c r="AC146" s="90" t="str">
        <f>IFERROR(VLOOKUP(A146&amp;"aaaa",COPY!$S$2:$AA$1000,6,FALSE)," ")</f>
        <v xml:space="preserve"> </v>
      </c>
      <c r="AD146" s="90" t="str">
        <f>IFERROR(VLOOKUP(A146&amp;"aaaaa",COPY!$S$2:$AA$1000,6,FALSE)," ")</f>
        <v xml:space="preserve"> </v>
      </c>
      <c r="AE146" s="90" t="str">
        <f>IFERROR(VLOOKUP(A146&amp;"aaaaaa",COPY!$S$2:$AA$1000,6,FALSE)," ")</f>
        <v xml:space="preserve"> </v>
      </c>
      <c r="AF146" s="90" t="str">
        <f>IFERROR(VLOOKUP(A146&amp;"aaaaaaa",COPY!$S$2:$AA$1000,6,FALSE)," ")</f>
        <v xml:space="preserve"> </v>
      </c>
      <c r="AG146" s="90" t="str">
        <f>IFERROR(VLOOKUP(A146&amp;"aaaaaaaa",COPY!$S$2:$AA$1000,6,FALSE)," ")</f>
        <v xml:space="preserve"> </v>
      </c>
      <c r="AH146" s="90" t="str">
        <f>IFERROR(VLOOKUP(A146&amp;"aaaaaaaaa",COPY!$S$2:$AA$1000,6,FALSE)," ")</f>
        <v xml:space="preserve"> </v>
      </c>
      <c r="AI146" s="90" t="str">
        <f>IFERROR(VLOOKUP(A146&amp;"aaaaaaaaaa",COPY!$S$2:$AA$1000,6,FALSE)," ")</f>
        <v xml:space="preserve"> </v>
      </c>
      <c r="AJ146" s="90" t="str">
        <f>IFERROR(VLOOKUP(A146&amp;"aaaaaaaaaaa",COPY!$S$2:$AA$1000,6,FALSE)," ")</f>
        <v xml:space="preserve"> </v>
      </c>
      <c r="AK146" s="90" t="str">
        <f>IF(LEFT(B146,2)="mg",VLOOKUP(A146,COPY!$S$2:$AA$1000,7,FALSE),IF(LEFT(B146,1)="G"," ",IF(LEFT(B146,2)="ma"," "," ")))</f>
        <v xml:space="preserve"> </v>
      </c>
      <c r="AL146" s="90" t="str">
        <f>IFERROR(VLOOKUP(A146&amp;"a",COPY!$S$2:$AA$1000,7,FALSE)," ")</f>
        <v xml:space="preserve"> </v>
      </c>
      <c r="AM146" s="90" t="str">
        <f>IFERROR(VLOOKUP(A146&amp;"aa",COPY!$S$2:$AA$1000,7,FALSE)," ")</f>
        <v xml:space="preserve"> </v>
      </c>
      <c r="AN146" s="90" t="str">
        <f>IFERROR(VLOOKUP(A146&amp;"aaa",COPY!$S$2:$AA$1000,7,FALSE)," ")</f>
        <v xml:space="preserve"> </v>
      </c>
      <c r="AO146" s="90" t="str">
        <f>IFERROR(VLOOKUP(A146&amp;"aaaa",COPY!$S$2:$AA$1000,7,FALSE)," ")</f>
        <v xml:space="preserve"> </v>
      </c>
      <c r="AP146" s="90" t="str">
        <f>IFERROR(VLOOKUP(A146&amp;"aaaaa",COPY!$S$2:$AA$1000,7,FALSE)," ")</f>
        <v xml:space="preserve"> </v>
      </c>
      <c r="AQ146" s="90" t="str">
        <f>IFERROR(VLOOKUP(A146&amp;"aaaaaa",COPY!$S$2:$AA$1000,7,FALSE)," ")</f>
        <v xml:space="preserve"> </v>
      </c>
      <c r="AR146" s="90" t="str">
        <f>IFERROR(VLOOKUP(A146&amp;"aaaaaaa",COPY!$S$2:$AA$1000,7,FALSE)," ")</f>
        <v xml:space="preserve"> </v>
      </c>
      <c r="AS146" s="90" t="str">
        <f>IFERROR(VLOOKUP(A146&amp;"aaaaaaaa",COPY!$S$2:$AA$1000,7,FALSE)," ")</f>
        <v xml:space="preserve"> </v>
      </c>
      <c r="AT146" s="90" t="str">
        <f>IFERROR(VLOOKUP(A146&amp;"aaaaaaaaa",COPY!$S$2:$AA$1000,7,FALSE)," ")</f>
        <v xml:space="preserve"> </v>
      </c>
      <c r="AU146" s="90" t="str">
        <f>IFERROR(VLOOKUP(A146&amp;"aaaaaaaaaa",COPY!$S$2:$AA$1000,7,FALSE)," ")</f>
        <v xml:space="preserve"> </v>
      </c>
      <c r="AV146" s="90" t="str">
        <f>IFERROR(VLOOKUP(A146&amp;"aaaaaaaaaaa",COPY!$S$2:$AA$1000,7,FALSE)," ")</f>
        <v xml:space="preserve"> </v>
      </c>
    </row>
    <row r="147" spans="1:48" x14ac:dyDescent="0.2">
      <c r="A147" s="75" t="str">
        <f>'REKAP PAJAK'!W184</f>
        <v/>
      </c>
      <c r="B147" s="75" t="str">
        <f>IF(LEN(A147)&gt;1,VLOOKUP(A147,COPY!$O$2:$R$1000,4,FALSE),"")</f>
        <v/>
      </c>
      <c r="C147" s="75" t="str">
        <f t="shared" si="12"/>
        <v xml:space="preserve"> </v>
      </c>
      <c r="D147" s="75" t="str">
        <f t="shared" si="13"/>
        <v xml:space="preserve"> </v>
      </c>
      <c r="E147" s="75" t="str">
        <f t="shared" si="14"/>
        <v xml:space="preserve"> </v>
      </c>
      <c r="F147" s="75" t="str">
        <f t="shared" si="15"/>
        <v xml:space="preserve"> </v>
      </c>
      <c r="G147" s="75" t="str">
        <f>IFERROR(TEXT(VLOOKUP(A147,COPY!$S$2:$W$1000,3,FALSE),"dd-mmmm-yyyy")," ")</f>
        <v xml:space="preserve"> </v>
      </c>
      <c r="H147" s="75" t="str">
        <f t="shared" si="16"/>
        <v xml:space="preserve"> </v>
      </c>
      <c r="I147" s="75" t="str">
        <f t="shared" si="17"/>
        <v xml:space="preserve"> </v>
      </c>
      <c r="J147" s="90" t="str">
        <f>IFERROR(VLOOKUP(A147,COPY!$S$2:$W$1000,4,FALSE)," ")</f>
        <v xml:space="preserve"> </v>
      </c>
      <c r="K147" s="75" t="str">
        <f>IFERROR(VLOOKUP(A147,COPY!$S$2:$W$1000,5,FALSE)," ")</f>
        <v xml:space="preserve"> </v>
      </c>
      <c r="L147" s="75" t="str">
        <f>IF(B147="","",IF(LEFT(B147,2)="Ma",(VLOOKUP(B147,'Rekap Gaji'!$C$12:$D$26,2,FALSE))&amp;" Untuk "&amp;(PROPER('Rekap Gaji'!$B$2)),IF(LEFT(B147,2)="Mg","Pembelian Material Bahan Bangunan",IF(LEFT(B147,2)="Me","Biaya Pembelanjaan Menejemen",IF(LEFT(B147,1)="G",VLOOKUP(A147,COPY!$S$2:$AA$1000,2,FALSE)&amp;"( "&amp;TEXT(VLOOKUP(B147,'Rekap Gaji'!$A$12:$I$26,5,FALSE),"dd-mm-yyyy")&amp;" "&amp;TEXT(VLOOKUP(B147,'Rekap Gaji'!$A$12:$I$26,6,FALSE)&amp;" "&amp;TEXT(VLOOKUP(B147,'Rekap Gaji'!$A$12:$I$26,7,FALSE),"dd-mm-yyyy")&amp;" )"," "))))))</f>
        <v/>
      </c>
      <c r="M147" s="75" t="str">
        <f>IF(OR(LEFT(B147,2)="mg",LEFT(B147,2)="mE"),VLOOKUP(A147,COPY!$S$2:$AA$1000,2,FALSE),IF(LEFT(B147,1)="G"," ",IF(LEFT(B147,2)="ma"," "," ")))</f>
        <v xml:space="preserve"> </v>
      </c>
      <c r="N147" s="75" t="str">
        <f>IFERROR(VLOOKUP($A$147&amp;"a",COPY!$S$2:$AA$1000,2,FALSE)," ")</f>
        <v xml:space="preserve"> </v>
      </c>
      <c r="O147" s="75" t="str">
        <f>IFERROR(VLOOKUP($A$147&amp;"aa",COPY!$S$2:$AA$1000,2,FALSE)," ")</f>
        <v xml:space="preserve"> </v>
      </c>
      <c r="P147" s="75" t="str">
        <f>IFERROR(VLOOKUP($A$147&amp;"aaa",COPY!$S$2:$AA$1000,2,FALSE)," ")</f>
        <v xml:space="preserve"> </v>
      </c>
      <c r="Q147" s="75" t="str">
        <f>IFERROR(VLOOKUP($A$147&amp;"aaaa",COPY!$S$2:$AA$1000,2,FALSE)," ")</f>
        <v xml:space="preserve"> </v>
      </c>
      <c r="R147" s="75" t="str">
        <f>IFERROR(VLOOKUP($A$147&amp;"aaaaa",COPY!$S$2:$AA$1000,2,FALSE)," ")</f>
        <v xml:space="preserve"> </v>
      </c>
      <c r="S147" s="75" t="str">
        <f>IFERROR(VLOOKUP($A$147&amp;"aaaaaa",COPY!$S$2:$AA$1000,2,FALSE)," ")</f>
        <v xml:space="preserve"> </v>
      </c>
      <c r="T147" s="75" t="str">
        <f>IFERROR(VLOOKUP($A$147&amp;"aaaaaaa",COPY!$S$2:$AA$1000,2,FALSE)," ")</f>
        <v xml:space="preserve"> </v>
      </c>
      <c r="U147" s="75" t="str">
        <f>IFERROR(VLOOKUP($A$147&amp;"aaaaaaaa",COPY!$S$2:$AA$1000,2,FALSE)," ")</f>
        <v xml:space="preserve"> </v>
      </c>
      <c r="V147" s="75" t="str">
        <f>IFERROR(VLOOKUP($A$147&amp;"aaaaaaaaa",COPY!$S$2:$AA$1000,2,FALSE)," ")</f>
        <v xml:space="preserve"> </v>
      </c>
      <c r="W147" s="75" t="str">
        <f>IFERROR(VLOOKUP($A$147&amp;"aaaaaaaaaa",COPY!$S$2:$AA$1000,2,FALSE)," ")</f>
        <v xml:space="preserve"> </v>
      </c>
      <c r="X147" s="75" t="str">
        <f>IFERROR(VLOOKUP($A$147&amp;"aaaaaaaaaaa",COPY!$S$2:$AA$1000,2,FALSE)," ")</f>
        <v xml:space="preserve"> </v>
      </c>
      <c r="Y147" s="90" t="str">
        <f>IF(OR(LEFT(B147,2)="mg",LEFT(B147,2)="mE"),VLOOKUP(A147,COPY!$S$2:$AA$1000,6,FALSE),IF(LEFT(B147,1)="G"," ",IF(LEFT(B147,2)="ma"," "," ")))</f>
        <v xml:space="preserve"> </v>
      </c>
      <c r="Z147" s="90" t="str">
        <f>IFERROR(VLOOKUP(A147&amp;"a",COPY!$S$2:$AA$1000,6,FALSE)," ")</f>
        <v xml:space="preserve"> </v>
      </c>
      <c r="AA147" s="90" t="str">
        <f>IFERROR(VLOOKUP(A147&amp;"aa",COPY!$S$2:$AA$1000,6,FALSE)," ")</f>
        <v xml:space="preserve"> </v>
      </c>
      <c r="AB147" s="90" t="str">
        <f>IFERROR(VLOOKUP(A147&amp;"aaa",COPY!$S$2:$AA$1000,6,FALSE)," ")</f>
        <v xml:space="preserve"> </v>
      </c>
      <c r="AC147" s="90" t="str">
        <f>IFERROR(VLOOKUP(A147&amp;"aaaa",COPY!$S$2:$AA$1000,6,FALSE)," ")</f>
        <v xml:space="preserve"> </v>
      </c>
      <c r="AD147" s="90" t="str">
        <f>IFERROR(VLOOKUP(A147&amp;"aaaaa",COPY!$S$2:$AA$1000,6,FALSE)," ")</f>
        <v xml:space="preserve"> </v>
      </c>
      <c r="AE147" s="90" t="str">
        <f>IFERROR(VLOOKUP(A147&amp;"aaaaaa",COPY!$S$2:$AA$1000,6,FALSE)," ")</f>
        <v xml:space="preserve"> </v>
      </c>
      <c r="AF147" s="90" t="str">
        <f>IFERROR(VLOOKUP(A147&amp;"aaaaaaa",COPY!$S$2:$AA$1000,6,FALSE)," ")</f>
        <v xml:space="preserve"> </v>
      </c>
      <c r="AG147" s="90" t="str">
        <f>IFERROR(VLOOKUP(A147&amp;"aaaaaaaa",COPY!$S$2:$AA$1000,6,FALSE)," ")</f>
        <v xml:space="preserve"> </v>
      </c>
      <c r="AH147" s="90" t="str">
        <f>IFERROR(VLOOKUP(A147&amp;"aaaaaaaaa",COPY!$S$2:$AA$1000,6,FALSE)," ")</f>
        <v xml:space="preserve"> </v>
      </c>
      <c r="AI147" s="90" t="str">
        <f>IFERROR(VLOOKUP(A147&amp;"aaaaaaaaaa",COPY!$S$2:$AA$1000,6,FALSE)," ")</f>
        <v xml:space="preserve"> </v>
      </c>
      <c r="AJ147" s="90" t="str">
        <f>IFERROR(VLOOKUP(A147&amp;"aaaaaaaaaaa",COPY!$S$2:$AA$1000,6,FALSE)," ")</f>
        <v xml:space="preserve"> </v>
      </c>
      <c r="AK147" s="90" t="str">
        <f>IF(LEFT(B147,2)="mg",VLOOKUP(A147,COPY!$S$2:$AA$1000,7,FALSE),IF(LEFT(B147,1)="G"," ",IF(LEFT(B147,2)="ma"," "," ")))</f>
        <v xml:space="preserve"> </v>
      </c>
      <c r="AL147" s="90" t="str">
        <f>IFERROR(VLOOKUP(A147&amp;"a",COPY!$S$2:$AA$1000,7,FALSE)," ")</f>
        <v xml:space="preserve"> </v>
      </c>
      <c r="AM147" s="90" t="str">
        <f>IFERROR(VLOOKUP(A147&amp;"aa",COPY!$S$2:$AA$1000,7,FALSE)," ")</f>
        <v xml:space="preserve"> </v>
      </c>
      <c r="AN147" s="90" t="str">
        <f>IFERROR(VLOOKUP(A147&amp;"aaa",COPY!$S$2:$AA$1000,7,FALSE)," ")</f>
        <v xml:space="preserve"> </v>
      </c>
      <c r="AO147" s="90" t="str">
        <f>IFERROR(VLOOKUP(A147&amp;"aaaa",COPY!$S$2:$AA$1000,7,FALSE)," ")</f>
        <v xml:space="preserve"> </v>
      </c>
      <c r="AP147" s="90" t="str">
        <f>IFERROR(VLOOKUP(A147&amp;"aaaaa",COPY!$S$2:$AA$1000,7,FALSE)," ")</f>
        <v xml:space="preserve"> </v>
      </c>
      <c r="AQ147" s="90" t="str">
        <f>IFERROR(VLOOKUP(A147&amp;"aaaaaa",COPY!$S$2:$AA$1000,7,FALSE)," ")</f>
        <v xml:space="preserve"> </v>
      </c>
      <c r="AR147" s="90" t="str">
        <f>IFERROR(VLOOKUP(A147&amp;"aaaaaaa",COPY!$S$2:$AA$1000,7,FALSE)," ")</f>
        <v xml:space="preserve"> </v>
      </c>
      <c r="AS147" s="90" t="str">
        <f>IFERROR(VLOOKUP(A147&amp;"aaaaaaaa",COPY!$S$2:$AA$1000,7,FALSE)," ")</f>
        <v xml:space="preserve"> </v>
      </c>
      <c r="AT147" s="90" t="str">
        <f>IFERROR(VLOOKUP(A147&amp;"aaaaaaaaa",COPY!$S$2:$AA$1000,7,FALSE)," ")</f>
        <v xml:space="preserve"> </v>
      </c>
      <c r="AU147" s="90" t="str">
        <f>IFERROR(VLOOKUP(A147&amp;"aaaaaaaaaa",COPY!$S$2:$AA$1000,7,FALSE)," ")</f>
        <v xml:space="preserve"> </v>
      </c>
      <c r="AV147" s="90" t="str">
        <f>IFERROR(VLOOKUP(A147&amp;"aaaaaaaaaaa",COPY!$S$2:$AA$1000,7,FALSE)," ")</f>
        <v xml:space="preserve"> </v>
      </c>
    </row>
    <row r="148" spans="1:48" x14ac:dyDescent="0.2">
      <c r="A148" s="75" t="str">
        <f>'REKAP PAJAK'!W185</f>
        <v/>
      </c>
      <c r="B148" s="75" t="str">
        <f>IF(LEN(A148)&gt;1,VLOOKUP(A148,COPY!$O$2:$R$1000,4,FALSE),"")</f>
        <v/>
      </c>
      <c r="C148" s="75" t="str">
        <f t="shared" si="12"/>
        <v xml:space="preserve"> </v>
      </c>
      <c r="D148" s="75" t="str">
        <f t="shared" si="13"/>
        <v xml:space="preserve"> </v>
      </c>
      <c r="E148" s="75" t="str">
        <f t="shared" si="14"/>
        <v xml:space="preserve"> </v>
      </c>
      <c r="F148" s="75" t="str">
        <f t="shared" si="15"/>
        <v xml:space="preserve"> </v>
      </c>
      <c r="G148" s="75" t="str">
        <f>IFERROR(TEXT(VLOOKUP(A148,COPY!$S$2:$W$1000,3,FALSE),"dd-mmmm-yyyy")," ")</f>
        <v xml:space="preserve"> </v>
      </c>
      <c r="H148" s="75" t="str">
        <f t="shared" si="16"/>
        <v xml:space="preserve"> </v>
      </c>
      <c r="I148" s="75" t="str">
        <f t="shared" si="17"/>
        <v xml:space="preserve"> </v>
      </c>
      <c r="J148" s="90" t="str">
        <f>IFERROR(VLOOKUP(A148,COPY!$S$2:$W$1000,4,FALSE)," ")</f>
        <v xml:space="preserve"> </v>
      </c>
      <c r="K148" s="75" t="str">
        <f>IFERROR(VLOOKUP(A148,COPY!$S$2:$W$1000,5,FALSE)," ")</f>
        <v xml:space="preserve"> </v>
      </c>
      <c r="L148" s="75" t="str">
        <f>IF(B148="","",IF(LEFT(B148,2)="Ma",(VLOOKUP(B148,'Rekap Gaji'!$C$12:$D$26,2,FALSE))&amp;" Untuk "&amp;(PROPER('Rekap Gaji'!$B$2)),IF(LEFT(B148,2)="Mg","Pembelian Material Bahan Bangunan",IF(LEFT(B148,2)="Me","Biaya Pembelanjaan Menejemen",IF(LEFT(B148,1)="G",VLOOKUP(A148,COPY!$S$2:$AA$1000,2,FALSE)&amp;"( "&amp;TEXT(VLOOKUP(B148,'Rekap Gaji'!$A$12:$I$26,5,FALSE),"dd-mm-yyyy")&amp;" "&amp;TEXT(VLOOKUP(B148,'Rekap Gaji'!$A$12:$I$26,6,FALSE)&amp;" "&amp;TEXT(VLOOKUP(B148,'Rekap Gaji'!$A$12:$I$26,7,FALSE),"dd-mm-yyyy")&amp;" )"," "))))))</f>
        <v/>
      </c>
      <c r="M148" s="75" t="str">
        <f>IF(OR(LEFT(B148,2)="mg",LEFT(B148,2)="mE"),VLOOKUP(A148,COPY!$S$2:$AA$1000,2,FALSE),IF(LEFT(B148,1)="G"," ",IF(LEFT(B148,2)="ma"," "," ")))</f>
        <v xml:space="preserve"> </v>
      </c>
      <c r="N148" s="75" t="str">
        <f>IFERROR(VLOOKUP($A$148&amp;"a",COPY!$S$2:$AA$1000,2,FALSE)," ")</f>
        <v xml:space="preserve"> </v>
      </c>
      <c r="O148" s="75" t="str">
        <f>IFERROR(VLOOKUP($A$148&amp;"aa",COPY!$S$2:$AA$1000,2,FALSE)," ")</f>
        <v xml:space="preserve"> </v>
      </c>
      <c r="P148" s="75" t="str">
        <f>IFERROR(VLOOKUP($A$148&amp;"aaa",COPY!$S$2:$AA$1000,2,FALSE)," ")</f>
        <v xml:space="preserve"> </v>
      </c>
      <c r="Q148" s="75" t="str">
        <f>IFERROR(VLOOKUP($A$148&amp;"aaaa",COPY!$S$2:$AA$1000,2,FALSE)," ")</f>
        <v xml:space="preserve"> </v>
      </c>
      <c r="R148" s="75" t="str">
        <f>IFERROR(VLOOKUP($A$148&amp;"aaaaa",COPY!$S$2:$AA$1000,2,FALSE)," ")</f>
        <v xml:space="preserve"> </v>
      </c>
      <c r="S148" s="75" t="str">
        <f>IFERROR(VLOOKUP($A$148&amp;"aaaaaa",COPY!$S$2:$AA$1000,2,FALSE)," ")</f>
        <v xml:space="preserve"> </v>
      </c>
      <c r="T148" s="75" t="str">
        <f>IFERROR(VLOOKUP($A$148&amp;"aaaaaaa",COPY!$S$2:$AA$1000,2,FALSE)," ")</f>
        <v xml:space="preserve"> </v>
      </c>
      <c r="U148" s="75" t="str">
        <f>IFERROR(VLOOKUP($A$148&amp;"aaaaaaaa",COPY!$S$2:$AA$1000,2,FALSE)," ")</f>
        <v xml:space="preserve"> </v>
      </c>
      <c r="V148" s="75" t="str">
        <f>IFERROR(VLOOKUP($A$148&amp;"aaaaaaaaa",COPY!$S$2:$AA$1000,2,FALSE)," ")</f>
        <v xml:space="preserve"> </v>
      </c>
      <c r="W148" s="75" t="str">
        <f>IFERROR(VLOOKUP($A$148&amp;"aaaaaaaaaa",COPY!$S$2:$AA$1000,2,FALSE)," ")</f>
        <v xml:space="preserve"> </v>
      </c>
      <c r="X148" s="75" t="str">
        <f>IFERROR(VLOOKUP($A$148&amp;"aaaaaaaaaaa",COPY!$S$2:$AA$1000,2,FALSE)," ")</f>
        <v xml:space="preserve"> </v>
      </c>
      <c r="Y148" s="90" t="str">
        <f>IF(OR(LEFT(B148,2)="mg",LEFT(B148,2)="mE"),VLOOKUP(A148,COPY!$S$2:$AA$1000,6,FALSE),IF(LEFT(B148,1)="G"," ",IF(LEFT(B148,2)="ma"," "," ")))</f>
        <v xml:space="preserve"> </v>
      </c>
      <c r="Z148" s="90" t="str">
        <f>IFERROR(VLOOKUP(A148&amp;"a",COPY!$S$2:$AA$1000,6,FALSE)," ")</f>
        <v xml:space="preserve"> </v>
      </c>
      <c r="AA148" s="90" t="str">
        <f>IFERROR(VLOOKUP(A148&amp;"aa",COPY!$S$2:$AA$1000,6,FALSE)," ")</f>
        <v xml:space="preserve"> </v>
      </c>
      <c r="AB148" s="90" t="str">
        <f>IFERROR(VLOOKUP(A148&amp;"aaa",COPY!$S$2:$AA$1000,6,FALSE)," ")</f>
        <v xml:space="preserve"> </v>
      </c>
      <c r="AC148" s="90" t="str">
        <f>IFERROR(VLOOKUP(A148&amp;"aaaa",COPY!$S$2:$AA$1000,6,FALSE)," ")</f>
        <v xml:space="preserve"> </v>
      </c>
      <c r="AD148" s="90" t="str">
        <f>IFERROR(VLOOKUP(A148&amp;"aaaaa",COPY!$S$2:$AA$1000,6,FALSE)," ")</f>
        <v xml:space="preserve"> </v>
      </c>
      <c r="AE148" s="90" t="str">
        <f>IFERROR(VLOOKUP(A148&amp;"aaaaaa",COPY!$S$2:$AA$1000,6,FALSE)," ")</f>
        <v xml:space="preserve"> </v>
      </c>
      <c r="AF148" s="90" t="str">
        <f>IFERROR(VLOOKUP(A148&amp;"aaaaaaa",COPY!$S$2:$AA$1000,6,FALSE)," ")</f>
        <v xml:space="preserve"> </v>
      </c>
      <c r="AG148" s="90" t="str">
        <f>IFERROR(VLOOKUP(A148&amp;"aaaaaaaa",COPY!$S$2:$AA$1000,6,FALSE)," ")</f>
        <v xml:space="preserve"> </v>
      </c>
      <c r="AH148" s="90" t="str">
        <f>IFERROR(VLOOKUP(A148&amp;"aaaaaaaaa",COPY!$S$2:$AA$1000,6,FALSE)," ")</f>
        <v xml:space="preserve"> </v>
      </c>
      <c r="AI148" s="90" t="str">
        <f>IFERROR(VLOOKUP(A148&amp;"aaaaaaaaaa",COPY!$S$2:$AA$1000,6,FALSE)," ")</f>
        <v xml:space="preserve"> </v>
      </c>
      <c r="AJ148" s="90" t="str">
        <f>IFERROR(VLOOKUP(A148&amp;"aaaaaaaaaaa",COPY!$S$2:$AA$1000,6,FALSE)," ")</f>
        <v xml:space="preserve"> </v>
      </c>
      <c r="AK148" s="90" t="str">
        <f>IF(LEFT(B148,2)="mg",VLOOKUP(A148,COPY!$S$2:$AA$1000,7,FALSE),IF(LEFT(B148,1)="G"," ",IF(LEFT(B148,2)="ma"," "," ")))</f>
        <v xml:space="preserve"> </v>
      </c>
      <c r="AL148" s="90" t="str">
        <f>IFERROR(VLOOKUP(A148&amp;"a",COPY!$S$2:$AA$1000,7,FALSE)," ")</f>
        <v xml:space="preserve"> </v>
      </c>
      <c r="AM148" s="90" t="str">
        <f>IFERROR(VLOOKUP(A148&amp;"aa",COPY!$S$2:$AA$1000,7,FALSE)," ")</f>
        <v xml:space="preserve"> </v>
      </c>
      <c r="AN148" s="90" t="str">
        <f>IFERROR(VLOOKUP(A148&amp;"aaa",COPY!$S$2:$AA$1000,7,FALSE)," ")</f>
        <v xml:space="preserve"> </v>
      </c>
      <c r="AO148" s="90" t="str">
        <f>IFERROR(VLOOKUP(A148&amp;"aaaa",COPY!$S$2:$AA$1000,7,FALSE)," ")</f>
        <v xml:space="preserve"> </v>
      </c>
      <c r="AP148" s="90" t="str">
        <f>IFERROR(VLOOKUP(A148&amp;"aaaaa",COPY!$S$2:$AA$1000,7,FALSE)," ")</f>
        <v xml:space="preserve"> </v>
      </c>
      <c r="AQ148" s="90" t="str">
        <f>IFERROR(VLOOKUP(A148&amp;"aaaaaa",COPY!$S$2:$AA$1000,7,FALSE)," ")</f>
        <v xml:space="preserve"> </v>
      </c>
      <c r="AR148" s="90" t="str">
        <f>IFERROR(VLOOKUP(A148&amp;"aaaaaaa",COPY!$S$2:$AA$1000,7,FALSE)," ")</f>
        <v xml:space="preserve"> </v>
      </c>
      <c r="AS148" s="90" t="str">
        <f>IFERROR(VLOOKUP(A148&amp;"aaaaaaaa",COPY!$S$2:$AA$1000,7,FALSE)," ")</f>
        <v xml:space="preserve"> </v>
      </c>
      <c r="AT148" s="90" t="str">
        <f>IFERROR(VLOOKUP(A148&amp;"aaaaaaaaa",COPY!$S$2:$AA$1000,7,FALSE)," ")</f>
        <v xml:space="preserve"> </v>
      </c>
      <c r="AU148" s="90" t="str">
        <f>IFERROR(VLOOKUP(A148&amp;"aaaaaaaaaa",COPY!$S$2:$AA$1000,7,FALSE)," ")</f>
        <v xml:space="preserve"> </v>
      </c>
      <c r="AV148" s="90" t="str">
        <f>IFERROR(VLOOKUP(A148&amp;"aaaaaaaaaaa",COPY!$S$2:$AA$1000,7,FALSE)," ")</f>
        <v xml:space="preserve"> </v>
      </c>
    </row>
    <row r="149" spans="1:48" x14ac:dyDescent="0.2">
      <c r="A149" s="75" t="str">
        <f>'REKAP PAJAK'!W186</f>
        <v/>
      </c>
      <c r="B149" s="75" t="str">
        <f>IF(LEN(A149)&gt;1,VLOOKUP(A149,COPY!$O$2:$R$1000,4,FALSE),"")</f>
        <v/>
      </c>
      <c r="C149" s="75" t="str">
        <f t="shared" si="12"/>
        <v xml:space="preserve"> </v>
      </c>
      <c r="D149" s="75" t="str">
        <f t="shared" si="13"/>
        <v xml:space="preserve"> </v>
      </c>
      <c r="E149" s="75" t="str">
        <f t="shared" si="14"/>
        <v xml:space="preserve"> </v>
      </c>
      <c r="F149" s="75" t="str">
        <f t="shared" si="15"/>
        <v xml:space="preserve"> </v>
      </c>
      <c r="G149" s="75" t="str">
        <f>IFERROR(TEXT(VLOOKUP(A149,COPY!$S$2:$W$1000,3,FALSE),"dd-mmmm-yyyy")," ")</f>
        <v xml:space="preserve"> </v>
      </c>
      <c r="H149" s="75" t="str">
        <f t="shared" si="16"/>
        <v xml:space="preserve"> </v>
      </c>
      <c r="I149" s="75" t="str">
        <f t="shared" si="17"/>
        <v xml:space="preserve"> </v>
      </c>
      <c r="J149" s="90" t="str">
        <f>IFERROR(VLOOKUP(A149,COPY!$S$2:$W$1000,4,FALSE)," ")</f>
        <v xml:space="preserve"> </v>
      </c>
      <c r="K149" s="75" t="str">
        <f>IFERROR(VLOOKUP(A149,COPY!$S$2:$W$1000,5,FALSE)," ")</f>
        <v xml:space="preserve"> </v>
      </c>
      <c r="L149" s="75" t="str">
        <f>IF(B149="","",IF(LEFT(B149,2)="Ma",(VLOOKUP(B149,'Rekap Gaji'!$C$12:$D$26,2,FALSE))&amp;" Untuk "&amp;(PROPER('Rekap Gaji'!$B$2)),IF(LEFT(B149,2)="Mg","Pembelian Material Bahan Bangunan",IF(LEFT(B149,2)="Me","Biaya Pembelanjaan Menejemen",IF(LEFT(B149,1)="G",VLOOKUP(A149,COPY!$S$2:$AA$1000,2,FALSE)&amp;"( "&amp;TEXT(VLOOKUP(B149,'Rekap Gaji'!$A$12:$I$26,5,FALSE),"dd-mm-yyyy")&amp;" "&amp;TEXT(VLOOKUP(B149,'Rekap Gaji'!$A$12:$I$26,6,FALSE)&amp;" "&amp;TEXT(VLOOKUP(B149,'Rekap Gaji'!$A$12:$I$26,7,FALSE),"dd-mm-yyyy")&amp;" )"," "))))))</f>
        <v/>
      </c>
      <c r="M149" s="75" t="str">
        <f>IF(OR(LEFT(B149,2)="mg",LEFT(B149,2)="mE"),VLOOKUP(A149,COPY!$S$2:$AA$1000,2,FALSE),IF(LEFT(B149,1)="G"," ",IF(LEFT(B149,2)="ma"," "," ")))</f>
        <v xml:space="preserve"> </v>
      </c>
      <c r="N149" s="75" t="str">
        <f>IFERROR(VLOOKUP($A$149&amp;"a",COPY!$S$2:$AA$1000,2,FALSE)," ")</f>
        <v xml:space="preserve"> </v>
      </c>
      <c r="O149" s="75" t="str">
        <f>IFERROR(VLOOKUP($A$149&amp;"aa",COPY!$S$2:$AA$1000,2,FALSE)," ")</f>
        <v xml:space="preserve"> </v>
      </c>
      <c r="P149" s="75" t="str">
        <f>IFERROR(VLOOKUP($A$149&amp;"aaa",COPY!$S$2:$AA$1000,2,FALSE)," ")</f>
        <v xml:space="preserve"> </v>
      </c>
      <c r="Q149" s="75" t="str">
        <f>IFERROR(VLOOKUP($A$149&amp;"aaaa",COPY!$S$2:$AA$1000,2,FALSE)," ")</f>
        <v xml:space="preserve"> </v>
      </c>
      <c r="R149" s="75" t="str">
        <f>IFERROR(VLOOKUP($A$149&amp;"aaaaa",COPY!$S$2:$AA$1000,2,FALSE)," ")</f>
        <v xml:space="preserve"> </v>
      </c>
      <c r="S149" s="75" t="str">
        <f>IFERROR(VLOOKUP($A$149&amp;"aaaaaa",COPY!$S$2:$AA$1000,2,FALSE)," ")</f>
        <v xml:space="preserve"> </v>
      </c>
      <c r="T149" s="75" t="str">
        <f>IFERROR(VLOOKUP($A$149&amp;"aaaaaaa",COPY!$S$2:$AA$1000,2,FALSE)," ")</f>
        <v xml:space="preserve"> </v>
      </c>
      <c r="U149" s="75" t="str">
        <f>IFERROR(VLOOKUP($A$149&amp;"aaaaaaaa",COPY!$S$2:$AA$1000,2,FALSE)," ")</f>
        <v xml:space="preserve"> </v>
      </c>
      <c r="V149" s="75" t="str">
        <f>IFERROR(VLOOKUP($A$149&amp;"aaaaaaaaa",COPY!$S$2:$AA$1000,2,FALSE)," ")</f>
        <v xml:space="preserve"> </v>
      </c>
      <c r="W149" s="75" t="str">
        <f>IFERROR(VLOOKUP($A$149&amp;"aaaaaaaaaa",COPY!$S$2:$AA$1000,2,FALSE)," ")</f>
        <v xml:space="preserve"> </v>
      </c>
      <c r="X149" s="75" t="str">
        <f>IFERROR(VLOOKUP($A$149&amp;"aaaaaaaaaaa",COPY!$S$2:$AA$1000,2,FALSE)," ")</f>
        <v xml:space="preserve"> </v>
      </c>
      <c r="Y149" s="90" t="str">
        <f>IF(OR(LEFT(B149,2)="mg",LEFT(B149,2)="mE"),VLOOKUP(A149,COPY!$S$2:$AA$1000,6,FALSE),IF(LEFT(B149,1)="G"," ",IF(LEFT(B149,2)="ma"," "," ")))</f>
        <v xml:space="preserve"> </v>
      </c>
      <c r="Z149" s="90" t="str">
        <f>IFERROR(VLOOKUP(A149&amp;"a",COPY!$S$2:$AA$1000,6,FALSE)," ")</f>
        <v xml:space="preserve"> </v>
      </c>
      <c r="AA149" s="90" t="str">
        <f>IFERROR(VLOOKUP(A149&amp;"aa",COPY!$S$2:$AA$1000,6,FALSE)," ")</f>
        <v xml:space="preserve"> </v>
      </c>
      <c r="AB149" s="90" t="str">
        <f>IFERROR(VLOOKUP(A149&amp;"aaa",COPY!$S$2:$AA$1000,6,FALSE)," ")</f>
        <v xml:space="preserve"> </v>
      </c>
      <c r="AC149" s="90" t="str">
        <f>IFERROR(VLOOKUP(A149&amp;"aaaa",COPY!$S$2:$AA$1000,6,FALSE)," ")</f>
        <v xml:space="preserve"> </v>
      </c>
      <c r="AD149" s="90" t="str">
        <f>IFERROR(VLOOKUP(A149&amp;"aaaaa",COPY!$S$2:$AA$1000,6,FALSE)," ")</f>
        <v xml:space="preserve"> </v>
      </c>
      <c r="AE149" s="90" t="str">
        <f>IFERROR(VLOOKUP(A149&amp;"aaaaaa",COPY!$S$2:$AA$1000,6,FALSE)," ")</f>
        <v xml:space="preserve"> </v>
      </c>
      <c r="AF149" s="90" t="str">
        <f>IFERROR(VLOOKUP(A149&amp;"aaaaaaa",COPY!$S$2:$AA$1000,6,FALSE)," ")</f>
        <v xml:space="preserve"> </v>
      </c>
      <c r="AG149" s="90" t="str">
        <f>IFERROR(VLOOKUP(A149&amp;"aaaaaaaa",COPY!$S$2:$AA$1000,6,FALSE)," ")</f>
        <v xml:space="preserve"> </v>
      </c>
      <c r="AH149" s="90" t="str">
        <f>IFERROR(VLOOKUP(A149&amp;"aaaaaaaaa",COPY!$S$2:$AA$1000,6,FALSE)," ")</f>
        <v xml:space="preserve"> </v>
      </c>
      <c r="AI149" s="90" t="str">
        <f>IFERROR(VLOOKUP(A149&amp;"aaaaaaaaaa",COPY!$S$2:$AA$1000,6,FALSE)," ")</f>
        <v xml:space="preserve"> </v>
      </c>
      <c r="AJ149" s="90" t="str">
        <f>IFERROR(VLOOKUP(A149&amp;"aaaaaaaaaaa",COPY!$S$2:$AA$1000,6,FALSE)," ")</f>
        <v xml:space="preserve"> </v>
      </c>
      <c r="AK149" s="90" t="str">
        <f>IF(LEFT(B149,2)="mg",VLOOKUP(A149,COPY!$S$2:$AA$1000,7,FALSE),IF(LEFT(B149,1)="G"," ",IF(LEFT(B149,2)="ma"," "," ")))</f>
        <v xml:space="preserve"> </v>
      </c>
      <c r="AL149" s="90" t="str">
        <f>IFERROR(VLOOKUP(A149&amp;"a",COPY!$S$2:$AA$1000,7,FALSE)," ")</f>
        <v xml:space="preserve"> </v>
      </c>
      <c r="AM149" s="90" t="str">
        <f>IFERROR(VLOOKUP(A149&amp;"aa",COPY!$S$2:$AA$1000,7,FALSE)," ")</f>
        <v xml:space="preserve"> </v>
      </c>
      <c r="AN149" s="90" t="str">
        <f>IFERROR(VLOOKUP(A149&amp;"aaa",COPY!$S$2:$AA$1000,7,FALSE)," ")</f>
        <v xml:space="preserve"> </v>
      </c>
      <c r="AO149" s="90" t="str">
        <f>IFERROR(VLOOKUP(A149&amp;"aaaa",COPY!$S$2:$AA$1000,7,FALSE)," ")</f>
        <v xml:space="preserve"> </v>
      </c>
      <c r="AP149" s="90" t="str">
        <f>IFERROR(VLOOKUP(A149&amp;"aaaaa",COPY!$S$2:$AA$1000,7,FALSE)," ")</f>
        <v xml:space="preserve"> </v>
      </c>
      <c r="AQ149" s="90" t="str">
        <f>IFERROR(VLOOKUP(A149&amp;"aaaaaa",COPY!$S$2:$AA$1000,7,FALSE)," ")</f>
        <v xml:space="preserve"> </v>
      </c>
      <c r="AR149" s="90" t="str">
        <f>IFERROR(VLOOKUP(A149&amp;"aaaaaaa",COPY!$S$2:$AA$1000,7,FALSE)," ")</f>
        <v xml:space="preserve"> </v>
      </c>
      <c r="AS149" s="90" t="str">
        <f>IFERROR(VLOOKUP(A149&amp;"aaaaaaaa",COPY!$S$2:$AA$1000,7,FALSE)," ")</f>
        <v xml:space="preserve"> </v>
      </c>
      <c r="AT149" s="90" t="str">
        <f>IFERROR(VLOOKUP(A149&amp;"aaaaaaaaa",COPY!$S$2:$AA$1000,7,FALSE)," ")</f>
        <v xml:space="preserve"> </v>
      </c>
      <c r="AU149" s="90" t="str">
        <f>IFERROR(VLOOKUP(A149&amp;"aaaaaaaaaa",COPY!$S$2:$AA$1000,7,FALSE)," ")</f>
        <v xml:space="preserve"> </v>
      </c>
      <c r="AV149" s="90" t="str">
        <f>IFERROR(VLOOKUP(A149&amp;"aaaaaaaaaaa",COPY!$S$2:$AA$1000,7,FALSE)," ")</f>
        <v xml:space="preserve"> </v>
      </c>
    </row>
    <row r="150" spans="1:48" x14ac:dyDescent="0.2">
      <c r="A150" s="75" t="str">
        <f>'REKAP PAJAK'!W187</f>
        <v/>
      </c>
      <c r="B150" s="75" t="str">
        <f>IF(LEN(A150)&gt;1,VLOOKUP(A150,COPY!$O$2:$R$1000,4,FALSE),"")</f>
        <v/>
      </c>
      <c r="C150" s="75" t="str">
        <f t="shared" si="12"/>
        <v xml:space="preserve"> </v>
      </c>
      <c r="D150" s="75" t="str">
        <f t="shared" si="13"/>
        <v xml:space="preserve"> </v>
      </c>
      <c r="E150" s="75" t="str">
        <f t="shared" si="14"/>
        <v xml:space="preserve"> </v>
      </c>
      <c r="F150" s="75" t="str">
        <f t="shared" si="15"/>
        <v xml:space="preserve"> </v>
      </c>
      <c r="G150" s="75" t="str">
        <f>IFERROR(TEXT(VLOOKUP(A150,COPY!$S$2:$W$1000,3,FALSE),"dd-mmmm-yyyy")," ")</f>
        <v xml:space="preserve"> </v>
      </c>
      <c r="H150" s="75" t="str">
        <f t="shared" si="16"/>
        <v xml:space="preserve"> </v>
      </c>
      <c r="I150" s="75" t="str">
        <f t="shared" si="17"/>
        <v xml:space="preserve"> </v>
      </c>
      <c r="J150" s="90" t="str">
        <f>IFERROR(VLOOKUP(A150,COPY!$S$2:$W$1000,4,FALSE)," ")</f>
        <v xml:space="preserve"> </v>
      </c>
      <c r="K150" s="75" t="str">
        <f>IFERROR(VLOOKUP(A150,COPY!$S$2:$W$1000,5,FALSE)," ")</f>
        <v xml:space="preserve"> </v>
      </c>
      <c r="L150" s="75" t="str">
        <f>IF(B150="","",IF(LEFT(B150,2)="Ma",(VLOOKUP(B150,'Rekap Gaji'!$C$12:$D$26,2,FALSE))&amp;" Untuk "&amp;(PROPER('Rekap Gaji'!$B$2)),IF(LEFT(B150,2)="Mg","Pembelian Material Bahan Bangunan",IF(LEFT(B150,2)="Me","Biaya Pembelanjaan Menejemen",IF(LEFT(B150,1)="G",VLOOKUP(A150,COPY!$S$2:$AA$1000,2,FALSE)&amp;"( "&amp;TEXT(VLOOKUP(B150,'Rekap Gaji'!$A$12:$I$26,5,FALSE),"dd-mm-yyyy")&amp;" "&amp;TEXT(VLOOKUP(B150,'Rekap Gaji'!$A$12:$I$26,6,FALSE)&amp;" "&amp;TEXT(VLOOKUP(B150,'Rekap Gaji'!$A$12:$I$26,7,FALSE),"dd-mm-yyyy")&amp;" )"," "))))))</f>
        <v/>
      </c>
      <c r="M150" s="75" t="str">
        <f>IF(OR(LEFT(B150,2)="mg",LEFT(B150,2)="mE"),VLOOKUP(A150,COPY!$S$2:$AA$1000,2,FALSE),IF(LEFT(B150,1)="G"," ",IF(LEFT(B150,2)="ma"," "," ")))</f>
        <v xml:space="preserve"> </v>
      </c>
      <c r="N150" s="75" t="str">
        <f>IFERROR(VLOOKUP(A150&amp;"a",COPY!$S$2:$AA$1000,2,FALSE)," ")</f>
        <v xml:space="preserve"> </v>
      </c>
      <c r="O150" s="75" t="str">
        <f>IFERROR(VLOOKUP($A$150&amp;"aa",COPY!$S$2:$AA$1000,2,FALSE)," ")</f>
        <v xml:space="preserve"> </v>
      </c>
      <c r="P150" s="75" t="str">
        <f>IFERROR(VLOOKUP($A$150&amp;"aaa",COPY!$S$2:$AA$1000,2,FALSE)," ")</f>
        <v xml:space="preserve"> </v>
      </c>
      <c r="Q150" s="75" t="str">
        <f>IFERROR(VLOOKUP($A$150&amp;"aaaa",COPY!$S$2:$AA$1000,2,FALSE)," ")</f>
        <v xml:space="preserve"> </v>
      </c>
      <c r="R150" s="75" t="str">
        <f>IFERROR(VLOOKUP($A$150&amp;"aaaaa",COPY!$S$2:$AA$1000,2,FALSE)," ")</f>
        <v xml:space="preserve"> </v>
      </c>
      <c r="S150" s="75" t="str">
        <f>IFERROR(VLOOKUP($A$150&amp;"aaaaaa",COPY!$S$2:$AA$1000,2,FALSE)," ")</f>
        <v xml:space="preserve"> </v>
      </c>
      <c r="T150" s="75" t="str">
        <f>IFERROR(VLOOKUP($A$150&amp;"aaaaaaa",COPY!$S$2:$AA$1000,2,FALSE)," ")</f>
        <v xml:space="preserve"> </v>
      </c>
      <c r="U150" s="75" t="str">
        <f>IFERROR(VLOOKUP($A$150&amp;"aaaaaaaa",COPY!$S$2:$AA$1000,2,FALSE)," ")</f>
        <v xml:space="preserve"> </v>
      </c>
      <c r="V150" s="75" t="str">
        <f>IFERROR(VLOOKUP($A$150&amp;"aaaaaaaaa",COPY!$S$2:$AA$1000,2,FALSE)," ")</f>
        <v xml:space="preserve"> </v>
      </c>
      <c r="W150" s="75" t="str">
        <f>IFERROR(VLOOKUP($A$150&amp;"aaaaaaaaaa",COPY!$S$2:$AA$1000,2,FALSE)," ")</f>
        <v xml:space="preserve"> </v>
      </c>
      <c r="X150" s="75" t="str">
        <f>IFERROR(VLOOKUP($A$150&amp;"aaaaaaaaaaa",COPY!$S$2:$AA$1000,2,FALSE)," ")</f>
        <v xml:space="preserve"> </v>
      </c>
      <c r="Y150" s="90" t="str">
        <f>IF(OR(LEFT(B150,2)="mg",LEFT(B150,2)="mE"),VLOOKUP(A150,COPY!$S$2:$AA$1000,6,FALSE),IF(LEFT(B150,1)="G"," ",IF(LEFT(B150,2)="ma"," "," ")))</f>
        <v xml:space="preserve"> </v>
      </c>
      <c r="Z150" s="90" t="str">
        <f>IFERROR(VLOOKUP(A150&amp;"a",COPY!$S$2:$AA$1000,6,FALSE)," ")</f>
        <v xml:space="preserve"> </v>
      </c>
      <c r="AA150" s="90" t="str">
        <f>IFERROR(VLOOKUP(A150&amp;"aa",COPY!$S$2:$AA$1000,6,FALSE)," ")</f>
        <v xml:space="preserve"> </v>
      </c>
      <c r="AB150" s="90" t="str">
        <f>IFERROR(VLOOKUP(A150&amp;"aaa",COPY!$S$2:$AA$1000,6,FALSE)," ")</f>
        <v xml:space="preserve"> </v>
      </c>
      <c r="AC150" s="90" t="str">
        <f>IFERROR(VLOOKUP(A150&amp;"aaaa",COPY!$S$2:$AA$1000,6,FALSE)," ")</f>
        <v xml:space="preserve"> </v>
      </c>
      <c r="AD150" s="90" t="str">
        <f>IFERROR(VLOOKUP(A150&amp;"aaaaa",COPY!$S$2:$AA$1000,6,FALSE)," ")</f>
        <v xml:space="preserve"> </v>
      </c>
      <c r="AE150" s="90" t="str">
        <f>IFERROR(VLOOKUP(A150&amp;"aaaaaa",COPY!$S$2:$AA$1000,6,FALSE)," ")</f>
        <v xml:space="preserve"> </v>
      </c>
      <c r="AF150" s="90" t="str">
        <f>IFERROR(VLOOKUP(A150&amp;"aaaaaaa",COPY!$S$2:$AA$1000,6,FALSE)," ")</f>
        <v xml:space="preserve"> </v>
      </c>
      <c r="AG150" s="90" t="str">
        <f>IFERROR(VLOOKUP(A150&amp;"aaaaaaaa",COPY!$S$2:$AA$1000,6,FALSE)," ")</f>
        <v xml:space="preserve"> </v>
      </c>
      <c r="AH150" s="90" t="str">
        <f>IFERROR(VLOOKUP(A150&amp;"aaaaaaaaa",COPY!$S$2:$AA$1000,6,FALSE)," ")</f>
        <v xml:space="preserve"> </v>
      </c>
      <c r="AI150" s="90" t="str">
        <f>IFERROR(VLOOKUP(A150&amp;"aaaaaaaaaa",COPY!$S$2:$AA$1000,6,FALSE)," ")</f>
        <v xml:space="preserve"> </v>
      </c>
      <c r="AJ150" s="90" t="str">
        <f>IFERROR(VLOOKUP(A150&amp;"aaaaaaaaaaa",COPY!$S$2:$AA$1000,6,FALSE)," ")</f>
        <v xml:space="preserve"> </v>
      </c>
      <c r="AK150" s="90" t="str">
        <f>IF(LEFT(B150,2)="mg",VLOOKUP(A150,COPY!$S$2:$AA$1000,7,FALSE),IF(LEFT(B150,1)="G"," ",IF(LEFT(B150,2)="ma"," "," ")))</f>
        <v xml:space="preserve"> </v>
      </c>
      <c r="AL150" s="90" t="str">
        <f>IFERROR(VLOOKUP(A150&amp;"a",COPY!$S$2:$AA$1000,7,FALSE)," ")</f>
        <v xml:space="preserve"> </v>
      </c>
      <c r="AM150" s="90" t="str">
        <f>IFERROR(VLOOKUP(A150&amp;"aa",COPY!$S$2:$AA$1000,7,FALSE)," ")</f>
        <v xml:space="preserve"> </v>
      </c>
      <c r="AN150" s="90" t="str">
        <f>IFERROR(VLOOKUP(A150&amp;"aaa",COPY!$S$2:$AA$1000,7,FALSE)," ")</f>
        <v xml:space="preserve"> </v>
      </c>
      <c r="AO150" s="90" t="str">
        <f>IFERROR(VLOOKUP(A150&amp;"aaaa",COPY!$S$2:$AA$1000,7,FALSE)," ")</f>
        <v xml:space="preserve"> </v>
      </c>
      <c r="AP150" s="90" t="str">
        <f>IFERROR(VLOOKUP(A150&amp;"aaaaa",COPY!$S$2:$AA$1000,7,FALSE)," ")</f>
        <v xml:space="preserve"> </v>
      </c>
      <c r="AQ150" s="90" t="str">
        <f>IFERROR(VLOOKUP(A150&amp;"aaaaaa",COPY!$S$2:$AA$1000,7,FALSE)," ")</f>
        <v xml:space="preserve"> </v>
      </c>
      <c r="AR150" s="90" t="str">
        <f>IFERROR(VLOOKUP(A150&amp;"aaaaaaa",COPY!$S$2:$AA$1000,7,FALSE)," ")</f>
        <v xml:space="preserve"> </v>
      </c>
      <c r="AS150" s="90" t="str">
        <f>IFERROR(VLOOKUP(A150&amp;"aaaaaaaa",COPY!$S$2:$AA$1000,7,FALSE)," ")</f>
        <v xml:space="preserve"> </v>
      </c>
      <c r="AT150" s="90" t="str">
        <f>IFERROR(VLOOKUP(A150&amp;"aaaaaaaaa",COPY!$S$2:$AA$1000,7,FALSE)," ")</f>
        <v xml:space="preserve"> </v>
      </c>
      <c r="AU150" s="90" t="str">
        <f>IFERROR(VLOOKUP(A150&amp;"aaaaaaaaaa",COPY!$S$2:$AA$1000,7,FALSE)," ")</f>
        <v xml:space="preserve"> </v>
      </c>
      <c r="AV150" s="90" t="str">
        <f>IFERROR(VLOOKUP(A150&amp;"aaaaaaaaaaa",COPY!$S$2:$AA$1000,7,FALSE)," ")</f>
        <v xml:space="preserve"> </v>
      </c>
    </row>
    <row r="151" spans="1:48" x14ac:dyDescent="0.2">
      <c r="A151" s="75" t="str">
        <f>'REKAP PAJAK'!W188</f>
        <v/>
      </c>
      <c r="B151" s="75" t="str">
        <f>IF(LEN(A151)&gt;1,VLOOKUP(A151,COPY!$O$2:$R$1000,4,FALSE),"")</f>
        <v/>
      </c>
      <c r="C151" s="75" t="str">
        <f t="shared" si="12"/>
        <v xml:space="preserve"> </v>
      </c>
      <c r="D151" s="75" t="str">
        <f t="shared" si="13"/>
        <v xml:space="preserve"> </v>
      </c>
      <c r="E151" s="75" t="str">
        <f t="shared" si="14"/>
        <v xml:space="preserve"> </v>
      </c>
      <c r="F151" s="75" t="str">
        <f t="shared" si="15"/>
        <v xml:space="preserve"> </v>
      </c>
      <c r="G151" s="75" t="str">
        <f>IFERROR(TEXT(VLOOKUP(A151,COPY!$S$2:$W$1000,3,FALSE),"dd-mmmm-yyyy")," ")</f>
        <v xml:space="preserve"> </v>
      </c>
      <c r="H151" s="75" t="str">
        <f t="shared" si="16"/>
        <v xml:space="preserve"> </v>
      </c>
      <c r="I151" s="75" t="str">
        <f t="shared" si="17"/>
        <v xml:space="preserve"> </v>
      </c>
      <c r="J151" s="90" t="str">
        <f>IFERROR(VLOOKUP(A151,COPY!$S$2:$W$1000,4,FALSE)," ")</f>
        <v xml:space="preserve"> </v>
      </c>
      <c r="K151" s="75" t="str">
        <f>IFERROR(VLOOKUP(A151,COPY!$S$2:$W$1000,5,FALSE)," ")</f>
        <v xml:space="preserve"> </v>
      </c>
      <c r="L151" s="75" t="str">
        <f>IF(B151="","",IF(LEFT(B151,2)="Ma",(VLOOKUP(B151,'Rekap Gaji'!$C$12:$D$26,2,FALSE))&amp;" Untuk "&amp;(PROPER('Rekap Gaji'!$B$2)),IF(LEFT(B151,2)="Mg","Pembelian Material Bahan Bangunan",IF(LEFT(B151,2)="Me","Biaya Pembelanjaan Menejemen",IF(LEFT(B151,1)="G",VLOOKUP(A151,COPY!$S$2:$AA$1000,2,FALSE)&amp;"( "&amp;TEXT(VLOOKUP(B151,'Rekap Gaji'!$A$12:$I$26,5,FALSE),"dd-mm-yyyy")&amp;" "&amp;TEXT(VLOOKUP(B151,'Rekap Gaji'!$A$12:$I$26,6,FALSE)&amp;" "&amp;TEXT(VLOOKUP(B151,'Rekap Gaji'!$A$12:$I$26,7,FALSE),"dd-mm-yyyy")&amp;" )"," "))))))</f>
        <v/>
      </c>
      <c r="M151" s="75" t="str">
        <f>IF(OR(LEFT(B151,2)="mg",LEFT(B151,2)="mE"),VLOOKUP(A151,COPY!$S$2:$AA$1000,2,FALSE),IF(LEFT(B151,1)="G"," ",IF(LEFT(B151,2)="ma"," "," ")))</f>
        <v xml:space="preserve"> </v>
      </c>
      <c r="N151" s="75" t="str">
        <f>IFERROR(VLOOKUP(A151&amp;"a",COPY!$S$2:$AA$1000,2,FALSE)," ")</f>
        <v xml:space="preserve"> </v>
      </c>
      <c r="O151" s="75" t="str">
        <f>IFERROR(VLOOKUP(A151&amp;"aa",COPY!$S$2:$AA$1000,2,FALSE)," ")</f>
        <v xml:space="preserve"> </v>
      </c>
      <c r="P151" s="75" t="str">
        <f>IFERROR(VLOOKUP(A151&amp;"aaa",COPY!$S$2:$AA$1000,2,FALSE)," ")</f>
        <v xml:space="preserve"> </v>
      </c>
      <c r="Q151" s="75" t="str">
        <f>IFERROR(VLOOKUP(A151&amp;"aaaa",COPY!$S$2:$AA$1000,2,FALSE)," ")</f>
        <v xml:space="preserve"> </v>
      </c>
      <c r="R151" s="75" t="str">
        <f>IFERROR(VLOOKUP(A151&amp;"aaaaa",COPY!$S$2:$AA$1000,2,FALSE)," ")</f>
        <v xml:space="preserve"> </v>
      </c>
      <c r="S151" s="75" t="str">
        <f>IFERROR(VLOOKUP(A151&amp;"aaaaaa",COPY!$S$2:$AA$1000,2,FALSE)," ")</f>
        <v xml:space="preserve"> </v>
      </c>
      <c r="T151" s="75" t="str">
        <f>IFERROR(VLOOKUP(A151&amp;"aaaaaaa",COPY!$S$2:$AA$1000,2,FALSE)," ")</f>
        <v xml:space="preserve"> </v>
      </c>
      <c r="U151" s="75" t="str">
        <f>IFERROR(VLOOKUP(A151&amp;"aaaaaaaa",COPY!$S$2:$AA$1000,2,FALSE)," ")</f>
        <v xml:space="preserve"> </v>
      </c>
      <c r="V151" s="75" t="str">
        <f>IFERROR(VLOOKUP(A151&amp;"aaaaaaaaa",COPY!$S$2:$AA$1000,2,FALSE)," ")</f>
        <v xml:space="preserve"> </v>
      </c>
      <c r="W151" s="75" t="str">
        <f>IFERROR(VLOOKUP(A151&amp;"aaaaaaaaaa",COPY!$S$2:$AA$1000,2,FALSE)," ")</f>
        <v xml:space="preserve"> </v>
      </c>
      <c r="X151" s="75" t="str">
        <f>IFERROR(VLOOKUP(A151&amp;"aaaaaaaaaaa",COPY!$S$2:$AA$1000,2,FALSE)," ")</f>
        <v xml:space="preserve"> </v>
      </c>
      <c r="Y151" s="90" t="str">
        <f>IF(OR(LEFT(B151,2)="mg",LEFT(B151,2)="mE"),VLOOKUP(A151,COPY!$S$2:$AA$1000,6,FALSE),IF(LEFT(B151,1)="G"," ",IF(LEFT(B151,2)="ma"," "," ")))</f>
        <v xml:space="preserve"> </v>
      </c>
      <c r="Z151" s="90" t="str">
        <f>IFERROR(VLOOKUP(A151&amp;"a",COPY!$S$2:$AA$1000,6,FALSE)," ")</f>
        <v xml:space="preserve"> </v>
      </c>
      <c r="AA151" s="90" t="str">
        <f>IFERROR(VLOOKUP(A151&amp;"aa",COPY!$S$2:$AA$1000,6,FALSE)," ")</f>
        <v xml:space="preserve"> </v>
      </c>
      <c r="AB151" s="90" t="str">
        <f>IFERROR(VLOOKUP(A151&amp;"aaa",COPY!$S$2:$AA$1000,6,FALSE)," ")</f>
        <v xml:space="preserve"> </v>
      </c>
      <c r="AC151" s="90" t="str">
        <f>IFERROR(VLOOKUP(A151&amp;"aaaa",COPY!$S$2:$AA$1000,6,FALSE)," ")</f>
        <v xml:space="preserve"> </v>
      </c>
      <c r="AD151" s="90" t="str">
        <f>IFERROR(VLOOKUP(A151&amp;"aaaaa",COPY!$S$2:$AA$1000,6,FALSE)," ")</f>
        <v xml:space="preserve"> </v>
      </c>
      <c r="AE151" s="90" t="str">
        <f>IFERROR(VLOOKUP(A151&amp;"aaaaaa",COPY!$S$2:$AA$1000,6,FALSE)," ")</f>
        <v xml:space="preserve"> </v>
      </c>
      <c r="AF151" s="90" t="str">
        <f>IFERROR(VLOOKUP(A151&amp;"aaaaaaa",COPY!$S$2:$AA$1000,6,FALSE)," ")</f>
        <v xml:space="preserve"> </v>
      </c>
      <c r="AG151" s="90" t="str">
        <f>IFERROR(VLOOKUP(A151&amp;"aaaaaaaa",COPY!$S$2:$AA$1000,6,FALSE)," ")</f>
        <v xml:space="preserve"> </v>
      </c>
      <c r="AH151" s="90" t="str">
        <f>IFERROR(VLOOKUP(A151&amp;"aaaaaaaaa",COPY!$S$2:$AA$1000,6,FALSE)," ")</f>
        <v xml:space="preserve"> </v>
      </c>
      <c r="AI151" s="90" t="str">
        <f>IFERROR(VLOOKUP(A151&amp;"aaaaaaaaaa",COPY!$S$2:$AA$1000,6,FALSE)," ")</f>
        <v xml:space="preserve"> </v>
      </c>
      <c r="AJ151" s="90" t="str">
        <f>IFERROR(VLOOKUP(A151&amp;"aaaaaaaaaaa",COPY!$S$2:$AA$1000,6,FALSE)," ")</f>
        <v xml:space="preserve"> </v>
      </c>
      <c r="AK151" s="90" t="str">
        <f>IF(LEFT(B151,2)="mg",VLOOKUP(A151,COPY!$S$2:$AA$1000,7,FALSE),IF(LEFT(B151,1)="G"," ",IF(LEFT(B151,2)="ma"," "," ")))</f>
        <v xml:space="preserve"> </v>
      </c>
      <c r="AL151" s="90" t="str">
        <f>IFERROR(VLOOKUP(A151&amp;"a",COPY!$S$2:$AA$1000,7,FALSE)," ")</f>
        <v xml:space="preserve"> </v>
      </c>
      <c r="AM151" s="90" t="str">
        <f>IFERROR(VLOOKUP(A151&amp;"aa",COPY!$S$2:$AA$1000,7,FALSE)," ")</f>
        <v xml:space="preserve"> </v>
      </c>
      <c r="AN151" s="90" t="str">
        <f>IFERROR(VLOOKUP(A151&amp;"aaa",COPY!$S$2:$AA$1000,7,FALSE)," ")</f>
        <v xml:space="preserve"> </v>
      </c>
      <c r="AO151" s="90" t="str">
        <f>IFERROR(VLOOKUP(A151&amp;"aaaa",COPY!$S$2:$AA$1000,7,FALSE)," ")</f>
        <v xml:space="preserve"> </v>
      </c>
      <c r="AP151" s="90" t="str">
        <f>IFERROR(VLOOKUP(A151&amp;"aaaaa",COPY!$S$2:$AA$1000,7,FALSE)," ")</f>
        <v xml:space="preserve"> </v>
      </c>
      <c r="AQ151" s="90" t="str">
        <f>IFERROR(VLOOKUP(A151&amp;"aaaaaa",COPY!$S$2:$AA$1000,7,FALSE)," ")</f>
        <v xml:space="preserve"> </v>
      </c>
      <c r="AR151" s="90" t="str">
        <f>IFERROR(VLOOKUP(A151&amp;"aaaaaaa",COPY!$S$2:$AA$1000,7,FALSE)," ")</f>
        <v xml:space="preserve"> </v>
      </c>
      <c r="AS151" s="90" t="str">
        <f>IFERROR(VLOOKUP(A151&amp;"aaaaaaaa",COPY!$S$2:$AA$1000,7,FALSE)," ")</f>
        <v xml:space="preserve"> </v>
      </c>
      <c r="AT151" s="90" t="str">
        <f>IFERROR(VLOOKUP(A151&amp;"aaaaaaaaa",COPY!$S$2:$AA$1000,7,FALSE)," ")</f>
        <v xml:space="preserve"> </v>
      </c>
      <c r="AU151" s="90" t="str">
        <f>IFERROR(VLOOKUP(A151&amp;"aaaaaaaaaa",COPY!$S$2:$AA$1000,7,FALSE)," ")</f>
        <v xml:space="preserve"> </v>
      </c>
      <c r="AV151" s="90" t="str">
        <f>IFERROR(VLOOKUP(A151&amp;"aaaaaaaaaaa",COPY!$S$2:$AA$1000,7,FALSE)," ")</f>
        <v xml:space="preserve"> </v>
      </c>
    </row>
    <row r="152" spans="1:48" x14ac:dyDescent="0.2">
      <c r="A152" s="75" t="str">
        <f>'REKAP PAJAK'!W189</f>
        <v/>
      </c>
      <c r="B152" s="75" t="str">
        <f>IF(LEN(A152)&gt;1,VLOOKUP(A152,COPY!$O$2:$R$1000,4,FALSE),"")</f>
        <v/>
      </c>
      <c r="C152" s="75" t="str">
        <f t="shared" si="12"/>
        <v xml:space="preserve"> </v>
      </c>
      <c r="D152" s="75" t="str">
        <f t="shared" si="13"/>
        <v xml:space="preserve"> </v>
      </c>
      <c r="E152" s="75" t="str">
        <f t="shared" si="14"/>
        <v xml:space="preserve"> </v>
      </c>
      <c r="F152" s="75" t="str">
        <f t="shared" si="15"/>
        <v xml:space="preserve"> </v>
      </c>
      <c r="G152" s="75" t="str">
        <f>IFERROR(TEXT(VLOOKUP(A152,COPY!$S$2:$W$1000,3,FALSE),"dd-mmmm-yyyy")," ")</f>
        <v xml:space="preserve"> </v>
      </c>
      <c r="H152" s="75" t="str">
        <f t="shared" si="16"/>
        <v xml:space="preserve"> </v>
      </c>
      <c r="I152" s="75" t="str">
        <f t="shared" si="17"/>
        <v xml:space="preserve"> </v>
      </c>
      <c r="J152" s="90" t="str">
        <f>IFERROR(VLOOKUP(A152,COPY!$S$2:$W$1000,4,FALSE)," ")</f>
        <v xml:space="preserve"> </v>
      </c>
      <c r="K152" s="75" t="str">
        <f>IFERROR(VLOOKUP(A152,COPY!$S$2:$W$1000,5,FALSE)," ")</f>
        <v xml:space="preserve"> </v>
      </c>
      <c r="L152" s="75" t="str">
        <f>IF(B152="","",IF(LEFT(B152,2)="Ma",(VLOOKUP(B152,'Rekap Gaji'!$C$12:$D$26,2,FALSE))&amp;" Untuk "&amp;(PROPER('Rekap Gaji'!$B$2)),IF(LEFT(B152,2)="Mg","Pembelian Material Bahan Bangunan",IF(LEFT(B152,2)="Me","Biaya Pembelanjaan Menejemen",IF(LEFT(B152,1)="G",VLOOKUP(A152,COPY!$S$2:$AA$1000,2,FALSE)&amp;"( "&amp;TEXT(VLOOKUP(B152,'Rekap Gaji'!$A$12:$I$26,5,FALSE),"dd-mm-yyyy")&amp;" "&amp;TEXT(VLOOKUP(B152,'Rekap Gaji'!$A$12:$I$26,6,FALSE)&amp;" "&amp;TEXT(VLOOKUP(B152,'Rekap Gaji'!$A$12:$I$26,7,FALSE),"dd-mm-yyyy")&amp;" )"," "))))))</f>
        <v/>
      </c>
      <c r="M152" s="75" t="str">
        <f>IF(OR(LEFT(B152,2)="mg",LEFT(B152,2)="mE"),VLOOKUP(A152,COPY!$S$2:$AA$1000,2,FALSE),IF(LEFT(B152,1)="G"," ",IF(LEFT(B152,2)="ma"," "," ")))</f>
        <v xml:space="preserve"> </v>
      </c>
      <c r="N152" s="75" t="str">
        <f>IFERROR(VLOOKUP(A152&amp;"a",COPY!$S$2:$AA$1000,2,FALSE)," ")</f>
        <v xml:space="preserve"> </v>
      </c>
      <c r="O152" s="75" t="str">
        <f>IFERROR(VLOOKUP(A152&amp;"aa",COPY!$S$2:$AA$1000,2,FALSE)," ")</f>
        <v xml:space="preserve"> </v>
      </c>
      <c r="P152" s="75" t="str">
        <f>IFERROR(VLOOKUP(A152&amp;"aaa",COPY!$S$2:$AA$1000,2,FALSE)," ")</f>
        <v xml:space="preserve"> </v>
      </c>
      <c r="Q152" s="75" t="str">
        <f>IFERROR(VLOOKUP(A152&amp;"aaaa",COPY!$S$2:$AA$1000,2,FALSE)," ")</f>
        <v xml:space="preserve"> </v>
      </c>
      <c r="R152" s="75" t="str">
        <f>IFERROR(VLOOKUP(A152&amp;"aaaaa",COPY!$S$2:$AA$1000,2,FALSE)," ")</f>
        <v xml:space="preserve"> </v>
      </c>
      <c r="S152" s="75" t="str">
        <f>IFERROR(VLOOKUP(A152&amp;"aaaaaa",COPY!$S$2:$AA$1000,2,FALSE)," ")</f>
        <v xml:space="preserve"> </v>
      </c>
      <c r="T152" s="75" t="str">
        <f>IFERROR(VLOOKUP(A152&amp;"aaaaaaa",COPY!$S$2:$AA$1000,2,FALSE)," ")</f>
        <v xml:space="preserve"> </v>
      </c>
      <c r="U152" s="75" t="str">
        <f>IFERROR(VLOOKUP(A152&amp;"aaaaaaaa",COPY!$S$2:$AA$1000,2,FALSE)," ")</f>
        <v xml:space="preserve"> </v>
      </c>
      <c r="V152" s="75" t="str">
        <f>IFERROR(VLOOKUP(A152&amp;"aaaaaaaaa",COPY!$S$2:$AA$1000,2,FALSE)," ")</f>
        <v xml:space="preserve"> </v>
      </c>
      <c r="W152" s="75" t="str">
        <f>IFERROR(VLOOKUP(A152&amp;"aaaaaaaaaa",COPY!$S$2:$AA$1000,2,FALSE)," ")</f>
        <v xml:space="preserve"> </v>
      </c>
      <c r="X152" s="75" t="str">
        <f>IFERROR(VLOOKUP(A152&amp;"aaaaaaaaaaa",COPY!$S$2:$AA$1000,2,FALSE)," ")</f>
        <v xml:space="preserve"> </v>
      </c>
      <c r="Y152" s="90" t="str">
        <f>IF(OR(LEFT(B152,2)="mg",LEFT(B152,2)="mE"),VLOOKUP(A152,COPY!$S$2:$AA$1000,6,FALSE),IF(LEFT(B152,1)="G"," ",IF(LEFT(B152,2)="ma"," "," ")))</f>
        <v xml:space="preserve"> </v>
      </c>
      <c r="Z152" s="90" t="str">
        <f>IFERROR(VLOOKUP(A152&amp;"a",COPY!$S$2:$AA$1000,6,FALSE)," ")</f>
        <v xml:space="preserve"> </v>
      </c>
      <c r="AA152" s="90" t="str">
        <f>IFERROR(VLOOKUP(A152&amp;"aa",COPY!$S$2:$AA$1000,6,FALSE)," ")</f>
        <v xml:space="preserve"> </v>
      </c>
      <c r="AB152" s="90" t="str">
        <f>IFERROR(VLOOKUP(A152&amp;"aaa",COPY!$S$2:$AA$1000,6,FALSE)," ")</f>
        <v xml:space="preserve"> </v>
      </c>
      <c r="AC152" s="90" t="str">
        <f>IFERROR(VLOOKUP(A152&amp;"aaaa",COPY!$S$2:$AA$1000,6,FALSE)," ")</f>
        <v xml:space="preserve"> </v>
      </c>
      <c r="AD152" s="90" t="str">
        <f>IFERROR(VLOOKUP(A152&amp;"aaaaa",COPY!$S$2:$AA$1000,6,FALSE)," ")</f>
        <v xml:space="preserve"> </v>
      </c>
      <c r="AE152" s="90" t="str">
        <f>IFERROR(VLOOKUP(A152&amp;"aaaaaa",COPY!$S$2:$AA$1000,6,FALSE)," ")</f>
        <v xml:space="preserve"> </v>
      </c>
      <c r="AF152" s="90" t="str">
        <f>IFERROR(VLOOKUP(A152&amp;"aaaaaaa",COPY!$S$2:$AA$1000,6,FALSE)," ")</f>
        <v xml:space="preserve"> </v>
      </c>
      <c r="AG152" s="90" t="str">
        <f>IFERROR(VLOOKUP(A152&amp;"aaaaaaaa",COPY!$S$2:$AA$1000,6,FALSE)," ")</f>
        <v xml:space="preserve"> </v>
      </c>
      <c r="AH152" s="90" t="str">
        <f>IFERROR(VLOOKUP(A152&amp;"aaaaaaaaa",COPY!$S$2:$AA$1000,6,FALSE)," ")</f>
        <v xml:space="preserve"> </v>
      </c>
      <c r="AI152" s="90" t="str">
        <f>IFERROR(VLOOKUP(A152&amp;"aaaaaaaaaa",COPY!$S$2:$AA$1000,6,FALSE)," ")</f>
        <v xml:space="preserve"> </v>
      </c>
      <c r="AJ152" s="90" t="str">
        <f>IFERROR(VLOOKUP(A152&amp;"aaaaaaaaaaa",COPY!$S$2:$AA$1000,6,FALSE)," ")</f>
        <v xml:space="preserve"> </v>
      </c>
      <c r="AK152" s="90" t="str">
        <f>IF(LEFT(B152,2)="mg",VLOOKUP(A152,COPY!$S$2:$AA$1000,7,FALSE),IF(LEFT(B152,1)="G"," ",IF(LEFT(B152,2)="ma"," "," ")))</f>
        <v xml:space="preserve"> </v>
      </c>
      <c r="AL152" s="90" t="str">
        <f>IFERROR(VLOOKUP(A152&amp;"a",COPY!$S$2:$AA$1000,7,FALSE)," ")</f>
        <v xml:space="preserve"> </v>
      </c>
      <c r="AM152" s="90" t="str">
        <f>IFERROR(VLOOKUP(A152&amp;"aa",COPY!$S$2:$AA$1000,7,FALSE)," ")</f>
        <v xml:space="preserve"> </v>
      </c>
      <c r="AN152" s="90" t="str">
        <f>IFERROR(VLOOKUP(A152&amp;"aaa",COPY!$S$2:$AA$1000,7,FALSE)," ")</f>
        <v xml:space="preserve"> </v>
      </c>
      <c r="AO152" s="90" t="str">
        <f>IFERROR(VLOOKUP(A152&amp;"aaaa",COPY!$S$2:$AA$1000,7,FALSE)," ")</f>
        <v xml:space="preserve"> </v>
      </c>
      <c r="AP152" s="90" t="str">
        <f>IFERROR(VLOOKUP(A152&amp;"aaaaa",COPY!$S$2:$AA$1000,7,FALSE)," ")</f>
        <v xml:space="preserve"> </v>
      </c>
      <c r="AQ152" s="90" t="str">
        <f>IFERROR(VLOOKUP(A152&amp;"aaaaaa",COPY!$S$2:$AA$1000,7,FALSE)," ")</f>
        <v xml:space="preserve"> </v>
      </c>
      <c r="AR152" s="90" t="str">
        <f>IFERROR(VLOOKUP(A152&amp;"aaaaaaa",COPY!$S$2:$AA$1000,7,FALSE)," ")</f>
        <v xml:space="preserve"> </v>
      </c>
      <c r="AS152" s="90" t="str">
        <f>IFERROR(VLOOKUP(A152&amp;"aaaaaaaa",COPY!$S$2:$AA$1000,7,FALSE)," ")</f>
        <v xml:space="preserve"> </v>
      </c>
      <c r="AT152" s="90" t="str">
        <f>IFERROR(VLOOKUP(A152&amp;"aaaaaaaaa",COPY!$S$2:$AA$1000,7,FALSE)," ")</f>
        <v xml:space="preserve"> </v>
      </c>
      <c r="AU152" s="90" t="str">
        <f>IFERROR(VLOOKUP(A152&amp;"aaaaaaaaaa",COPY!$S$2:$AA$1000,7,FALSE)," ")</f>
        <v xml:space="preserve"> </v>
      </c>
      <c r="AV152" s="90" t="str">
        <f>IFERROR(VLOOKUP(A152&amp;"aaaaaaaaaaa",COPY!$S$2:$AA$1000,7,FALSE)," ")</f>
        <v xml:space="preserve"> </v>
      </c>
    </row>
    <row r="153" spans="1:48" x14ac:dyDescent="0.2">
      <c r="A153" s="75" t="str">
        <f>'REKAP PAJAK'!W190</f>
        <v/>
      </c>
      <c r="B153" s="75" t="str">
        <f>IF(LEN(A153)&gt;1,VLOOKUP(A153,COPY!$O$2:$R$1000,4,FALSE),"")</f>
        <v/>
      </c>
      <c r="C153" s="75" t="str">
        <f t="shared" si="12"/>
        <v xml:space="preserve"> </v>
      </c>
      <c r="D153" s="75" t="str">
        <f t="shared" si="13"/>
        <v xml:space="preserve"> </v>
      </c>
      <c r="E153" s="75" t="str">
        <f t="shared" si="14"/>
        <v xml:space="preserve"> </v>
      </c>
      <c r="F153" s="75" t="str">
        <f t="shared" si="15"/>
        <v xml:space="preserve"> </v>
      </c>
      <c r="G153" s="75" t="str">
        <f>IFERROR(TEXT(VLOOKUP(A153,COPY!$S$2:$W$1000,3,FALSE),"dd-mmmm-yyyy")," ")</f>
        <v xml:space="preserve"> </v>
      </c>
      <c r="H153" s="75" t="str">
        <f t="shared" si="16"/>
        <v xml:space="preserve"> </v>
      </c>
      <c r="I153" s="75" t="str">
        <f t="shared" si="17"/>
        <v xml:space="preserve"> </v>
      </c>
      <c r="J153" s="90" t="str">
        <f>IFERROR(VLOOKUP(A153,COPY!$S$2:$W$1000,4,FALSE)," ")</f>
        <v xml:space="preserve"> </v>
      </c>
      <c r="K153" s="75" t="str">
        <f>IFERROR(VLOOKUP(A153,COPY!$S$2:$W$1000,5,FALSE)," ")</f>
        <v xml:space="preserve"> </v>
      </c>
      <c r="L153" s="75" t="str">
        <f>IF(B153="","",IF(LEFT(B153,2)="Ma",(VLOOKUP(B153,'Rekap Gaji'!$C$12:$D$26,2,FALSE))&amp;" Untuk "&amp;(PROPER('Rekap Gaji'!$B$2)),IF(LEFT(B153,2)="Mg","Pembelian Material Bahan Bangunan",IF(LEFT(B153,2)="Me","Biaya Pembelanjaan Menejemen",IF(LEFT(B153,1)="G",VLOOKUP(A153,COPY!$S$2:$AA$1000,2,FALSE)&amp;"( "&amp;TEXT(VLOOKUP(B153,'Rekap Gaji'!$A$12:$I$26,5,FALSE),"dd-mm-yyyy")&amp;" "&amp;TEXT(VLOOKUP(B153,'Rekap Gaji'!$A$12:$I$26,6,FALSE)&amp;" "&amp;TEXT(VLOOKUP(B153,'Rekap Gaji'!$A$12:$I$26,7,FALSE),"dd-mm-yyyy")&amp;" )"," "))))))</f>
        <v/>
      </c>
      <c r="M153" s="75" t="str">
        <f>IF(OR(LEFT(B153,2)="mg",LEFT(B153,2)="mE"),VLOOKUP(A153,COPY!$S$2:$AA$1000,2,FALSE),IF(LEFT(B153,1)="G"," ",IF(LEFT(B153,2)="ma"," "," ")))</f>
        <v xml:space="preserve"> </v>
      </c>
      <c r="N153" s="75" t="str">
        <f>IFERROR(VLOOKUP(A153&amp;"a",COPY!$S$2:$AA$1000,2,FALSE)," ")</f>
        <v xml:space="preserve"> </v>
      </c>
      <c r="O153" s="75" t="str">
        <f>IFERROR(VLOOKUP(A153&amp;"aa",COPY!$S$2:$AA$1000,2,FALSE)," ")</f>
        <v xml:space="preserve"> </v>
      </c>
      <c r="P153" s="75" t="str">
        <f>IFERROR(VLOOKUP(A153&amp;"aaa",COPY!$S$2:$AA$1000,2,FALSE)," ")</f>
        <v xml:space="preserve"> </v>
      </c>
      <c r="Q153" s="75" t="str">
        <f>IFERROR(VLOOKUP(A153&amp;"aaaa",COPY!$S$2:$AA$1000,2,FALSE)," ")</f>
        <v xml:space="preserve"> </v>
      </c>
      <c r="R153" s="75" t="str">
        <f>IFERROR(VLOOKUP(A153&amp;"aaaaa",COPY!$S$2:$AA$1000,2,FALSE)," ")</f>
        <v xml:space="preserve"> </v>
      </c>
      <c r="S153" s="75" t="str">
        <f>IFERROR(VLOOKUP(A153&amp;"aaaaaa",COPY!$S$2:$AA$1000,2,FALSE)," ")</f>
        <v xml:space="preserve"> </v>
      </c>
      <c r="T153" s="75" t="str">
        <f>IFERROR(VLOOKUP(A153&amp;"aaaaaaa",COPY!$S$2:$AA$1000,2,FALSE)," ")</f>
        <v xml:space="preserve"> </v>
      </c>
      <c r="U153" s="75" t="str">
        <f>IFERROR(VLOOKUP(A153&amp;"aaaaaaaa",COPY!$S$2:$AA$1000,2,FALSE)," ")</f>
        <v xml:space="preserve"> </v>
      </c>
      <c r="V153" s="75" t="str">
        <f>IFERROR(VLOOKUP(A153&amp;"aaaaaaaaa",COPY!$S$2:$AA$1000,2,FALSE)," ")</f>
        <v xml:space="preserve"> </v>
      </c>
      <c r="W153" s="75" t="str">
        <f>IFERROR(VLOOKUP(A153&amp;"aaaaaaaaaa",COPY!$S$2:$AA$1000,2,FALSE)," ")</f>
        <v xml:space="preserve"> </v>
      </c>
      <c r="X153" s="75" t="str">
        <f>IFERROR(VLOOKUP(A153&amp;"aaaaaaaaaaa",COPY!$S$2:$AA$1000,2,FALSE)," ")</f>
        <v xml:space="preserve"> </v>
      </c>
      <c r="Y153" s="90" t="str">
        <f>IF(OR(LEFT(B153,2)="mg",LEFT(B153,2)="mE"),VLOOKUP(A153,COPY!$S$2:$AA$1000,6,FALSE),IF(LEFT(B153,1)="G"," ",IF(LEFT(B153,2)="ma"," "," ")))</f>
        <v xml:space="preserve"> </v>
      </c>
      <c r="Z153" s="90" t="str">
        <f>IFERROR(VLOOKUP(A153&amp;"a",COPY!$S$2:$AA$1000,6,FALSE)," ")</f>
        <v xml:space="preserve"> </v>
      </c>
      <c r="AA153" s="90" t="str">
        <f>IFERROR(VLOOKUP(A153&amp;"aa",COPY!$S$2:$AA$1000,6,FALSE)," ")</f>
        <v xml:space="preserve"> </v>
      </c>
      <c r="AB153" s="90" t="str">
        <f>IFERROR(VLOOKUP(A153&amp;"aaa",COPY!$S$2:$AA$1000,6,FALSE)," ")</f>
        <v xml:space="preserve"> </v>
      </c>
      <c r="AC153" s="90" t="str">
        <f>IFERROR(VLOOKUP(A153&amp;"aaaa",COPY!$S$2:$AA$1000,6,FALSE)," ")</f>
        <v xml:space="preserve"> </v>
      </c>
      <c r="AD153" s="90" t="str">
        <f>IFERROR(VLOOKUP(A153&amp;"aaaaa",COPY!$S$2:$AA$1000,6,FALSE)," ")</f>
        <v xml:space="preserve"> </v>
      </c>
      <c r="AE153" s="90" t="str">
        <f>IFERROR(VLOOKUP(A153&amp;"aaaaaa",COPY!$S$2:$AA$1000,6,FALSE)," ")</f>
        <v xml:space="preserve"> </v>
      </c>
      <c r="AF153" s="90" t="str">
        <f>IFERROR(VLOOKUP(A153&amp;"aaaaaaa",COPY!$S$2:$AA$1000,6,FALSE)," ")</f>
        <v xml:space="preserve"> </v>
      </c>
      <c r="AG153" s="90" t="str">
        <f>IFERROR(VLOOKUP(A153&amp;"aaaaaaaa",COPY!$S$2:$AA$1000,6,FALSE)," ")</f>
        <v xml:space="preserve"> </v>
      </c>
      <c r="AH153" s="90" t="str">
        <f>IFERROR(VLOOKUP(A153&amp;"aaaaaaaaa",COPY!$S$2:$AA$1000,6,FALSE)," ")</f>
        <v xml:space="preserve"> </v>
      </c>
      <c r="AI153" s="90" t="str">
        <f>IFERROR(VLOOKUP(A153&amp;"aaaaaaaaaa",COPY!$S$2:$AA$1000,6,FALSE)," ")</f>
        <v xml:space="preserve"> </v>
      </c>
      <c r="AJ153" s="90" t="str">
        <f>IFERROR(VLOOKUP(A153&amp;"aaaaaaaaaaa",COPY!$S$2:$AA$1000,6,FALSE)," ")</f>
        <v xml:space="preserve"> </v>
      </c>
      <c r="AK153" s="90" t="str">
        <f>IF(LEFT(B153,2)="mg",VLOOKUP(A153,COPY!$S$2:$AA$1000,7,FALSE),IF(LEFT(B153,1)="G"," ",IF(LEFT(B153,2)="ma"," "," ")))</f>
        <v xml:space="preserve"> </v>
      </c>
      <c r="AL153" s="90" t="str">
        <f>IFERROR(VLOOKUP(A153&amp;"a",COPY!$S$2:$AA$1000,7,FALSE)," ")</f>
        <v xml:space="preserve"> </v>
      </c>
      <c r="AM153" s="90" t="str">
        <f>IFERROR(VLOOKUP(A153&amp;"aa",COPY!$S$2:$AA$1000,7,FALSE)," ")</f>
        <v xml:space="preserve"> </v>
      </c>
      <c r="AN153" s="90" t="str">
        <f>IFERROR(VLOOKUP(A153&amp;"aaa",COPY!$S$2:$AA$1000,7,FALSE)," ")</f>
        <v xml:space="preserve"> </v>
      </c>
      <c r="AO153" s="90" t="str">
        <f>IFERROR(VLOOKUP(A153&amp;"aaaa",COPY!$S$2:$AA$1000,7,FALSE)," ")</f>
        <v xml:space="preserve"> </v>
      </c>
      <c r="AP153" s="90" t="str">
        <f>IFERROR(VLOOKUP(A153&amp;"aaaaa",COPY!$S$2:$AA$1000,7,FALSE)," ")</f>
        <v xml:space="preserve"> </v>
      </c>
      <c r="AQ153" s="90" t="str">
        <f>IFERROR(VLOOKUP(A153&amp;"aaaaaa",COPY!$S$2:$AA$1000,7,FALSE)," ")</f>
        <v xml:space="preserve"> </v>
      </c>
      <c r="AR153" s="90" t="str">
        <f>IFERROR(VLOOKUP(A153&amp;"aaaaaaa",COPY!$S$2:$AA$1000,7,FALSE)," ")</f>
        <v xml:space="preserve"> </v>
      </c>
      <c r="AS153" s="90" t="str">
        <f>IFERROR(VLOOKUP(A153&amp;"aaaaaaaa",COPY!$S$2:$AA$1000,7,FALSE)," ")</f>
        <v xml:space="preserve"> </v>
      </c>
      <c r="AT153" s="90" t="str">
        <f>IFERROR(VLOOKUP(A153&amp;"aaaaaaaaa",COPY!$S$2:$AA$1000,7,FALSE)," ")</f>
        <v xml:space="preserve"> </v>
      </c>
      <c r="AU153" s="90" t="str">
        <f>IFERROR(VLOOKUP(A153&amp;"aaaaaaaaaa",COPY!$S$2:$AA$1000,7,FALSE)," ")</f>
        <v xml:space="preserve"> </v>
      </c>
      <c r="AV153" s="90" t="str">
        <f>IFERROR(VLOOKUP(A153&amp;"aaaaaaaaaaa",COPY!$S$2:$AA$1000,7,FALSE)," ")</f>
        <v xml:space="preserve"> </v>
      </c>
    </row>
    <row r="154" spans="1:48" x14ac:dyDescent="0.2">
      <c r="A154" s="75" t="str">
        <f>'REKAP PAJAK'!W191</f>
        <v/>
      </c>
      <c r="B154" s="75" t="str">
        <f>IF(LEN(A154)&gt;1,VLOOKUP(A154,COPY!$O$2:$R$1000,4,FALSE),"")</f>
        <v/>
      </c>
      <c r="C154" s="75" t="str">
        <f t="shared" si="12"/>
        <v xml:space="preserve"> </v>
      </c>
      <c r="D154" s="75" t="str">
        <f t="shared" si="13"/>
        <v xml:space="preserve"> </v>
      </c>
      <c r="E154" s="75" t="str">
        <f t="shared" si="14"/>
        <v xml:space="preserve"> </v>
      </c>
      <c r="F154" s="75" t="str">
        <f t="shared" si="15"/>
        <v xml:space="preserve"> </v>
      </c>
      <c r="G154" s="75" t="str">
        <f>IFERROR(TEXT(VLOOKUP(A154,COPY!$S$2:$W$1000,3,FALSE),"dd-mmmm-yyyy")," ")</f>
        <v xml:space="preserve"> </v>
      </c>
      <c r="H154" s="75" t="str">
        <f t="shared" si="16"/>
        <v xml:space="preserve"> </v>
      </c>
      <c r="I154" s="75" t="str">
        <f t="shared" si="17"/>
        <v xml:space="preserve"> </v>
      </c>
      <c r="J154" s="90" t="str">
        <f>IFERROR(VLOOKUP(A154,COPY!$S$2:$W$1000,4,FALSE)," ")</f>
        <v xml:space="preserve"> </v>
      </c>
      <c r="K154" s="75" t="str">
        <f>IFERROR(VLOOKUP(A154,COPY!$S$2:$W$1000,5,FALSE)," ")</f>
        <v xml:space="preserve"> </v>
      </c>
      <c r="L154" s="75" t="str">
        <f>IF(B154="","",IF(LEFT(B154,2)="Ma",(VLOOKUP(B154,'Rekap Gaji'!$C$12:$D$26,2,FALSE))&amp;" Untuk "&amp;(PROPER('Rekap Gaji'!$B$2)),IF(LEFT(B154,2)="Mg","Pembelian Material Bahan Bangunan",IF(LEFT(B154,2)="Me","Biaya Pembelanjaan Menejemen",IF(LEFT(B154,1)="G",VLOOKUP(A154,COPY!$S$2:$AA$1000,2,FALSE)&amp;"( "&amp;TEXT(VLOOKUP(B154,'Rekap Gaji'!$A$12:$I$26,5,FALSE),"dd-mm-yyyy")&amp;" "&amp;TEXT(VLOOKUP(B154,'Rekap Gaji'!$A$12:$I$26,6,FALSE)&amp;" "&amp;TEXT(VLOOKUP(B154,'Rekap Gaji'!$A$12:$I$26,7,FALSE),"dd-mm-yyyy")&amp;" )"," "))))))</f>
        <v/>
      </c>
      <c r="M154" s="75" t="str">
        <f>IF(OR(LEFT(B154,2)="mg",LEFT(B154,2)="mE"),VLOOKUP(A154,COPY!$S$2:$AA$1000,2,FALSE),IF(LEFT(B154,1)="G"," ",IF(LEFT(B154,2)="ma"," "," ")))</f>
        <v xml:space="preserve"> </v>
      </c>
      <c r="N154" s="75" t="str">
        <f>IFERROR(VLOOKUP(A154&amp;"a",COPY!$S$2:$AA$1000,2,FALSE)," ")</f>
        <v xml:space="preserve"> </v>
      </c>
      <c r="O154" s="75" t="str">
        <f>IFERROR(VLOOKUP(A154&amp;"aa",COPY!$S$2:$AA$1000,2,FALSE)," ")</f>
        <v xml:space="preserve"> </v>
      </c>
      <c r="P154" s="75" t="str">
        <f>IFERROR(VLOOKUP(A154&amp;"aaa",COPY!$S$2:$AA$1000,2,FALSE)," ")</f>
        <v xml:space="preserve"> </v>
      </c>
      <c r="Q154" s="75" t="str">
        <f>IFERROR(VLOOKUP(A154&amp;"aaaa",COPY!$S$2:$AA$1000,2,FALSE)," ")</f>
        <v xml:space="preserve"> </v>
      </c>
      <c r="R154" s="75" t="str">
        <f>IFERROR(VLOOKUP(A154&amp;"aaaaa",COPY!$S$2:$AA$1000,2,FALSE)," ")</f>
        <v xml:space="preserve"> </v>
      </c>
      <c r="S154" s="75" t="str">
        <f>IFERROR(VLOOKUP(A154&amp;"aaaaaa",COPY!$S$2:$AA$1000,2,FALSE)," ")</f>
        <v xml:space="preserve"> </v>
      </c>
      <c r="T154" s="75" t="str">
        <f>IFERROR(VLOOKUP(A154&amp;"aaaaaaa",COPY!$S$2:$AA$1000,2,FALSE)," ")</f>
        <v xml:space="preserve"> </v>
      </c>
      <c r="U154" s="75" t="str">
        <f>IFERROR(VLOOKUP(A154&amp;"aaaaaaaa",COPY!$S$2:$AA$1000,2,FALSE)," ")</f>
        <v xml:space="preserve"> </v>
      </c>
      <c r="V154" s="75" t="str">
        <f>IFERROR(VLOOKUP(A154&amp;"aaaaaaaaa",COPY!$S$2:$AA$1000,2,FALSE)," ")</f>
        <v xml:space="preserve"> </v>
      </c>
      <c r="W154" s="75" t="str">
        <f>IFERROR(VLOOKUP(A154&amp;"aaaaaaaaaa",COPY!$S$2:$AA$1000,2,FALSE)," ")</f>
        <v xml:space="preserve"> </v>
      </c>
      <c r="X154" s="75" t="str">
        <f>IFERROR(VLOOKUP(A154&amp;"aaaaaaaaaaa",COPY!$S$2:$AA$1000,2,FALSE)," ")</f>
        <v xml:space="preserve"> </v>
      </c>
      <c r="Y154" s="90" t="str">
        <f>IF(OR(LEFT(B154,2)="mg",LEFT(B154,2)="mE"),VLOOKUP(A154,COPY!$S$2:$AA$1000,6,FALSE),IF(LEFT(B154,1)="G"," ",IF(LEFT(B154,2)="ma"," "," ")))</f>
        <v xml:space="preserve"> </v>
      </c>
      <c r="Z154" s="90" t="str">
        <f>IFERROR(VLOOKUP(A154&amp;"a",COPY!$S$2:$AA$1000,6,FALSE)," ")</f>
        <v xml:space="preserve"> </v>
      </c>
      <c r="AA154" s="90" t="str">
        <f>IFERROR(VLOOKUP(A154&amp;"aa",COPY!$S$2:$AA$1000,6,FALSE)," ")</f>
        <v xml:space="preserve"> </v>
      </c>
      <c r="AB154" s="90" t="str">
        <f>IFERROR(VLOOKUP(A154&amp;"aaa",COPY!$S$2:$AA$1000,6,FALSE)," ")</f>
        <v xml:space="preserve"> </v>
      </c>
      <c r="AC154" s="90" t="str">
        <f>IFERROR(VLOOKUP(A154&amp;"aaaa",COPY!$S$2:$AA$1000,6,FALSE)," ")</f>
        <v xml:space="preserve"> </v>
      </c>
      <c r="AD154" s="90" t="str">
        <f>IFERROR(VLOOKUP(A154&amp;"aaaaa",COPY!$S$2:$AA$1000,6,FALSE)," ")</f>
        <v xml:space="preserve"> </v>
      </c>
      <c r="AE154" s="90" t="str">
        <f>IFERROR(VLOOKUP(A154&amp;"aaaaaa",COPY!$S$2:$AA$1000,6,FALSE)," ")</f>
        <v xml:space="preserve"> </v>
      </c>
      <c r="AF154" s="90" t="str">
        <f>IFERROR(VLOOKUP(A154&amp;"aaaaaaa",COPY!$S$2:$AA$1000,6,FALSE)," ")</f>
        <v xml:space="preserve"> </v>
      </c>
      <c r="AG154" s="90" t="str">
        <f>IFERROR(VLOOKUP(A154&amp;"aaaaaaaa",COPY!$S$2:$AA$1000,6,FALSE)," ")</f>
        <v xml:space="preserve"> </v>
      </c>
      <c r="AH154" s="90" t="str">
        <f>IFERROR(VLOOKUP(A154&amp;"aaaaaaaaa",COPY!$S$2:$AA$1000,6,FALSE)," ")</f>
        <v xml:space="preserve"> </v>
      </c>
      <c r="AI154" s="90" t="str">
        <f>IFERROR(VLOOKUP(A154&amp;"aaaaaaaaaa",COPY!$S$2:$AA$1000,6,FALSE)," ")</f>
        <v xml:space="preserve"> </v>
      </c>
      <c r="AJ154" s="90" t="str">
        <f>IFERROR(VLOOKUP(A154&amp;"aaaaaaaaaaa",COPY!$S$2:$AA$1000,6,FALSE)," ")</f>
        <v xml:space="preserve"> </v>
      </c>
      <c r="AK154" s="90" t="str">
        <f>IF(LEFT(B154,2)="mg",VLOOKUP(A154,COPY!$S$2:$AA$1000,7,FALSE),IF(LEFT(B154,1)="G"," ",IF(LEFT(B154,2)="ma"," "," ")))</f>
        <v xml:space="preserve"> </v>
      </c>
      <c r="AL154" s="90" t="str">
        <f>IFERROR(VLOOKUP(A154&amp;"a",COPY!$S$2:$AA$1000,7,FALSE)," ")</f>
        <v xml:space="preserve"> </v>
      </c>
      <c r="AM154" s="90" t="str">
        <f>IFERROR(VLOOKUP(A154&amp;"aa",COPY!$S$2:$AA$1000,7,FALSE)," ")</f>
        <v xml:space="preserve"> </v>
      </c>
      <c r="AN154" s="90" t="str">
        <f>IFERROR(VLOOKUP(A154&amp;"aaa",COPY!$S$2:$AA$1000,7,FALSE)," ")</f>
        <v xml:space="preserve"> </v>
      </c>
      <c r="AO154" s="90" t="str">
        <f>IFERROR(VLOOKUP(A154&amp;"aaaa",COPY!$S$2:$AA$1000,7,FALSE)," ")</f>
        <v xml:space="preserve"> </v>
      </c>
      <c r="AP154" s="90" t="str">
        <f>IFERROR(VLOOKUP(A154&amp;"aaaaa",COPY!$S$2:$AA$1000,7,FALSE)," ")</f>
        <v xml:space="preserve"> </v>
      </c>
      <c r="AQ154" s="90" t="str">
        <f>IFERROR(VLOOKUP(A154&amp;"aaaaaa",COPY!$S$2:$AA$1000,7,FALSE)," ")</f>
        <v xml:space="preserve"> </v>
      </c>
      <c r="AR154" s="90" t="str">
        <f>IFERROR(VLOOKUP(A154&amp;"aaaaaaa",COPY!$S$2:$AA$1000,7,FALSE)," ")</f>
        <v xml:space="preserve"> </v>
      </c>
      <c r="AS154" s="90" t="str">
        <f>IFERROR(VLOOKUP(A154&amp;"aaaaaaaa",COPY!$S$2:$AA$1000,7,FALSE)," ")</f>
        <v xml:space="preserve"> </v>
      </c>
      <c r="AT154" s="90" t="str">
        <f>IFERROR(VLOOKUP(A154&amp;"aaaaaaaaa",COPY!$S$2:$AA$1000,7,FALSE)," ")</f>
        <v xml:space="preserve"> </v>
      </c>
      <c r="AU154" s="90" t="str">
        <f>IFERROR(VLOOKUP(A154&amp;"aaaaaaaaaa",COPY!$S$2:$AA$1000,7,FALSE)," ")</f>
        <v xml:space="preserve"> </v>
      </c>
      <c r="AV154" s="90" t="str">
        <f>IFERROR(VLOOKUP(A154&amp;"aaaaaaaaaaa",COPY!$S$2:$AA$1000,7,FALSE)," ")</f>
        <v xml:space="preserve"> </v>
      </c>
    </row>
    <row r="155" spans="1:48" x14ac:dyDescent="0.2">
      <c r="A155" s="75" t="str">
        <f>'REKAP PAJAK'!W192</f>
        <v/>
      </c>
      <c r="B155" s="75" t="str">
        <f>IF(LEN(A155)&gt;1,VLOOKUP(A155,COPY!$O$2:$R$1000,4,FALSE),"")</f>
        <v/>
      </c>
      <c r="C155" s="75" t="str">
        <f t="shared" si="12"/>
        <v xml:space="preserve"> </v>
      </c>
      <c r="D155" s="75" t="str">
        <f t="shared" si="13"/>
        <v xml:space="preserve"> </v>
      </c>
      <c r="E155" s="75" t="str">
        <f t="shared" si="14"/>
        <v xml:space="preserve"> </v>
      </c>
      <c r="F155" s="75" t="str">
        <f t="shared" si="15"/>
        <v xml:space="preserve"> </v>
      </c>
      <c r="G155" s="75" t="str">
        <f>IFERROR(TEXT(VLOOKUP(A155,COPY!$S$2:$W$1000,3,FALSE),"dd-mmmm-yyyy")," ")</f>
        <v xml:space="preserve"> </v>
      </c>
      <c r="H155" s="75" t="str">
        <f t="shared" si="16"/>
        <v xml:space="preserve"> </v>
      </c>
      <c r="I155" s="75" t="str">
        <f t="shared" si="17"/>
        <v xml:space="preserve"> </v>
      </c>
      <c r="J155" s="90" t="str">
        <f>IFERROR(VLOOKUP(A155,COPY!$S$2:$W$1000,4,FALSE)," ")</f>
        <v xml:space="preserve"> </v>
      </c>
      <c r="K155" s="75" t="str">
        <f>IFERROR(VLOOKUP(A155,COPY!$S$2:$W$1000,5,FALSE)," ")</f>
        <v xml:space="preserve"> </v>
      </c>
      <c r="L155" s="75" t="str">
        <f>IF(B155="","",IF(LEFT(B155,2)="Ma",(VLOOKUP(B155,'Rekap Gaji'!$C$12:$D$26,2,FALSE))&amp;" Untuk "&amp;(PROPER('Rekap Gaji'!$B$2)),IF(LEFT(B155,2)="Mg","Pembelian Material Bahan Bangunan",IF(LEFT(B155,2)="Me","Biaya Pembelanjaan Menejemen",IF(LEFT(B155,1)="G",VLOOKUP(A155,COPY!$S$2:$AA$1000,2,FALSE)&amp;"( "&amp;TEXT(VLOOKUP(B155,'Rekap Gaji'!$A$12:$I$26,5,FALSE),"dd-mm-yyyy")&amp;" "&amp;TEXT(VLOOKUP(B155,'Rekap Gaji'!$A$12:$I$26,6,FALSE)&amp;" "&amp;TEXT(VLOOKUP(B155,'Rekap Gaji'!$A$12:$I$26,7,FALSE),"dd-mm-yyyy")&amp;" )"," "))))))</f>
        <v/>
      </c>
      <c r="M155" s="75" t="str">
        <f>IF(OR(LEFT(B155,2)="mg",LEFT(B155,2)="mE"),VLOOKUP(A155,COPY!$S$2:$AA$1000,2,FALSE),IF(LEFT(B155,1)="G"," ",IF(LEFT(B155,2)="ma"," "," ")))</f>
        <v xml:space="preserve"> </v>
      </c>
      <c r="N155" s="75" t="str">
        <f>IFERROR(VLOOKUP(A155&amp;"a",COPY!$S$2:$AA$1000,2,FALSE)," ")</f>
        <v xml:space="preserve"> </v>
      </c>
      <c r="O155" s="75" t="str">
        <f>IFERROR(VLOOKUP(A155&amp;"aa",COPY!$S$2:$AA$1000,2,FALSE)," ")</f>
        <v xml:space="preserve"> </v>
      </c>
      <c r="P155" s="75" t="str">
        <f>IFERROR(VLOOKUP(A155&amp;"aaa",COPY!$S$2:$AA$1000,2,FALSE)," ")</f>
        <v xml:space="preserve"> </v>
      </c>
      <c r="Q155" s="75" t="str">
        <f>IFERROR(VLOOKUP(A155&amp;"aaaa",COPY!$S$2:$AA$1000,2,FALSE)," ")</f>
        <v xml:space="preserve"> </v>
      </c>
      <c r="R155" s="75" t="str">
        <f>IFERROR(VLOOKUP(A155&amp;"aaaaa",COPY!$S$2:$AA$1000,2,FALSE)," ")</f>
        <v xml:space="preserve"> </v>
      </c>
      <c r="S155" s="75" t="str">
        <f>IFERROR(VLOOKUP(A155&amp;"aaaaaa",COPY!$S$2:$AA$1000,2,FALSE)," ")</f>
        <v xml:space="preserve"> </v>
      </c>
      <c r="T155" s="75" t="str">
        <f>IFERROR(VLOOKUP(A155&amp;"aaaaaaa",COPY!$S$2:$AA$1000,2,FALSE)," ")</f>
        <v xml:space="preserve"> </v>
      </c>
      <c r="U155" s="75" t="str">
        <f>IFERROR(VLOOKUP(A155&amp;"aaaaaaaa",COPY!$S$2:$AA$1000,2,FALSE)," ")</f>
        <v xml:space="preserve"> </v>
      </c>
      <c r="V155" s="75" t="str">
        <f>IFERROR(VLOOKUP(A155&amp;"aaaaaaaaa",COPY!$S$2:$AA$1000,2,FALSE)," ")</f>
        <v xml:space="preserve"> </v>
      </c>
      <c r="W155" s="75" t="str">
        <f>IFERROR(VLOOKUP(A155&amp;"aaaaaaaaaa",COPY!$S$2:$AA$1000,2,FALSE)," ")</f>
        <v xml:space="preserve"> </v>
      </c>
      <c r="X155" s="75" t="str">
        <f>IFERROR(VLOOKUP(A155&amp;"aaaaaaaaaaa",COPY!$S$2:$AA$1000,2,FALSE)," ")</f>
        <v xml:space="preserve"> </v>
      </c>
      <c r="Y155" s="90" t="str">
        <f>IF(OR(LEFT(B155,2)="mg",LEFT(B155,2)="mE"),VLOOKUP(A155,COPY!$S$2:$AA$1000,6,FALSE),IF(LEFT(B155,1)="G"," ",IF(LEFT(B155,2)="ma"," "," ")))</f>
        <v xml:space="preserve"> </v>
      </c>
      <c r="Z155" s="90" t="str">
        <f>IFERROR(VLOOKUP(A155&amp;"a",COPY!$S$2:$AA$1000,6,FALSE)," ")</f>
        <v xml:space="preserve"> </v>
      </c>
      <c r="AA155" s="90" t="str">
        <f>IFERROR(VLOOKUP(A155&amp;"aa",COPY!$S$2:$AA$1000,6,FALSE)," ")</f>
        <v xml:space="preserve"> </v>
      </c>
      <c r="AB155" s="90" t="str">
        <f>IFERROR(VLOOKUP(A155&amp;"aaa",COPY!$S$2:$AA$1000,6,FALSE)," ")</f>
        <v xml:space="preserve"> </v>
      </c>
      <c r="AC155" s="90" t="str">
        <f>IFERROR(VLOOKUP(A155&amp;"aaaa",COPY!$S$2:$AA$1000,6,FALSE)," ")</f>
        <v xml:space="preserve"> </v>
      </c>
      <c r="AD155" s="90" t="str">
        <f>IFERROR(VLOOKUP(A155&amp;"aaaaa",COPY!$S$2:$AA$1000,6,FALSE)," ")</f>
        <v xml:space="preserve"> </v>
      </c>
      <c r="AE155" s="90" t="str">
        <f>IFERROR(VLOOKUP(A155&amp;"aaaaaa",COPY!$S$2:$AA$1000,6,FALSE)," ")</f>
        <v xml:space="preserve"> </v>
      </c>
      <c r="AF155" s="90" t="str">
        <f>IFERROR(VLOOKUP(A155&amp;"aaaaaaa",COPY!$S$2:$AA$1000,6,FALSE)," ")</f>
        <v xml:space="preserve"> </v>
      </c>
      <c r="AG155" s="90" t="str">
        <f>IFERROR(VLOOKUP(A155&amp;"aaaaaaaa",COPY!$S$2:$AA$1000,6,FALSE)," ")</f>
        <v xml:space="preserve"> </v>
      </c>
      <c r="AH155" s="90" t="str">
        <f>IFERROR(VLOOKUP(A155&amp;"aaaaaaaaa",COPY!$S$2:$AA$1000,6,FALSE)," ")</f>
        <v xml:space="preserve"> </v>
      </c>
      <c r="AI155" s="90" t="str">
        <f>IFERROR(VLOOKUP(A155&amp;"aaaaaaaaaa",COPY!$S$2:$AA$1000,6,FALSE)," ")</f>
        <v xml:space="preserve"> </v>
      </c>
      <c r="AJ155" s="90" t="str">
        <f>IFERROR(VLOOKUP(A155&amp;"aaaaaaaaaaa",COPY!$S$2:$AA$1000,6,FALSE)," ")</f>
        <v xml:space="preserve"> </v>
      </c>
      <c r="AK155" s="90" t="str">
        <f>IF(LEFT(B155,2)="mg",VLOOKUP(A155,COPY!$S$2:$AA$1000,7,FALSE),IF(LEFT(B155,1)="G"," ",IF(LEFT(B155,2)="ma"," "," ")))</f>
        <v xml:space="preserve"> </v>
      </c>
      <c r="AL155" s="90" t="str">
        <f>IFERROR(VLOOKUP(A155&amp;"a",COPY!$S$2:$AA$1000,7,FALSE)," ")</f>
        <v xml:space="preserve"> </v>
      </c>
      <c r="AM155" s="90" t="str">
        <f>IFERROR(VLOOKUP(A155&amp;"aa",COPY!$S$2:$AA$1000,7,FALSE)," ")</f>
        <v xml:space="preserve"> </v>
      </c>
      <c r="AN155" s="90" t="str">
        <f>IFERROR(VLOOKUP(A155&amp;"aaa",COPY!$S$2:$AA$1000,7,FALSE)," ")</f>
        <v xml:space="preserve"> </v>
      </c>
      <c r="AO155" s="90" t="str">
        <f>IFERROR(VLOOKUP(A155&amp;"aaaa",COPY!$S$2:$AA$1000,7,FALSE)," ")</f>
        <v xml:space="preserve"> </v>
      </c>
      <c r="AP155" s="90" t="str">
        <f>IFERROR(VLOOKUP(A155&amp;"aaaaa",COPY!$S$2:$AA$1000,7,FALSE)," ")</f>
        <v xml:space="preserve"> </v>
      </c>
      <c r="AQ155" s="90" t="str">
        <f>IFERROR(VLOOKUP(A155&amp;"aaaaaa",COPY!$S$2:$AA$1000,7,FALSE)," ")</f>
        <v xml:space="preserve"> </v>
      </c>
      <c r="AR155" s="90" t="str">
        <f>IFERROR(VLOOKUP(A155&amp;"aaaaaaa",COPY!$S$2:$AA$1000,7,FALSE)," ")</f>
        <v xml:space="preserve"> </v>
      </c>
      <c r="AS155" s="90" t="str">
        <f>IFERROR(VLOOKUP(A155&amp;"aaaaaaaa",COPY!$S$2:$AA$1000,7,FALSE)," ")</f>
        <v xml:space="preserve"> </v>
      </c>
      <c r="AT155" s="90" t="str">
        <f>IFERROR(VLOOKUP(A155&amp;"aaaaaaaaa",COPY!$S$2:$AA$1000,7,FALSE)," ")</f>
        <v xml:space="preserve"> </v>
      </c>
      <c r="AU155" s="90" t="str">
        <f>IFERROR(VLOOKUP(A155&amp;"aaaaaaaaaa",COPY!$S$2:$AA$1000,7,FALSE)," ")</f>
        <v xml:space="preserve"> </v>
      </c>
      <c r="AV155" s="90" t="str">
        <f>IFERROR(VLOOKUP(A155&amp;"aaaaaaaaaaa",COPY!$S$2:$AA$1000,7,FALSE)," ")</f>
        <v xml:space="preserve"> </v>
      </c>
    </row>
    <row r="156" spans="1:48" x14ac:dyDescent="0.2">
      <c r="A156" s="75" t="str">
        <f>'REKAP PAJAK'!W193</f>
        <v/>
      </c>
      <c r="B156" s="75" t="str">
        <f>IF(LEN(A156)&gt;1,VLOOKUP(A156,COPY!$O$2:$R$1000,4,FALSE),"")</f>
        <v/>
      </c>
      <c r="C156" s="75" t="str">
        <f t="shared" si="12"/>
        <v xml:space="preserve"> </v>
      </c>
      <c r="D156" s="75" t="str">
        <f t="shared" si="13"/>
        <v xml:space="preserve"> </v>
      </c>
      <c r="E156" s="75" t="str">
        <f t="shared" si="14"/>
        <v xml:space="preserve"> </v>
      </c>
      <c r="F156" s="75" t="str">
        <f t="shared" si="15"/>
        <v xml:space="preserve"> </v>
      </c>
      <c r="G156" s="75" t="str">
        <f>IFERROR(TEXT(VLOOKUP(A156,COPY!$S$2:$W$1000,3,FALSE),"dd-mmmm-yyyy")," ")</f>
        <v xml:space="preserve"> </v>
      </c>
      <c r="H156" s="75" t="str">
        <f t="shared" si="16"/>
        <v xml:space="preserve"> </v>
      </c>
      <c r="I156" s="75" t="str">
        <f t="shared" si="17"/>
        <v xml:space="preserve"> </v>
      </c>
      <c r="J156" s="90" t="str">
        <f>IFERROR(VLOOKUP(A156,COPY!$S$2:$W$1000,4,FALSE)," ")</f>
        <v xml:space="preserve"> </v>
      </c>
      <c r="K156" s="75" t="str">
        <f>IFERROR(VLOOKUP(A156,COPY!$S$2:$W$1000,5,FALSE)," ")</f>
        <v xml:space="preserve"> </v>
      </c>
      <c r="L156" s="75" t="str">
        <f>IF(B156="","",IF(LEFT(B156,2)="Ma",(VLOOKUP(B156,'Rekap Gaji'!$C$12:$D$26,2,FALSE))&amp;" Untuk "&amp;(PROPER('Rekap Gaji'!$B$2)),IF(LEFT(B156,2)="Mg","Pembelian Material Bahan Bangunan",IF(LEFT(B156,2)="Me","Biaya Pembelanjaan Menejemen",IF(LEFT(B156,1)="G",VLOOKUP(A156,COPY!$S$2:$AA$1000,2,FALSE)&amp;"( "&amp;TEXT(VLOOKUP(B156,'Rekap Gaji'!$A$12:$I$26,5,FALSE),"dd-mm-yyyy")&amp;" "&amp;TEXT(VLOOKUP(B156,'Rekap Gaji'!$A$12:$I$26,6,FALSE)&amp;" "&amp;TEXT(VLOOKUP(B156,'Rekap Gaji'!$A$12:$I$26,7,FALSE),"dd-mm-yyyy")&amp;" )"," "))))))</f>
        <v/>
      </c>
      <c r="M156" s="75" t="str">
        <f>IF(OR(LEFT(B156,2)="mg",LEFT(B156,2)="mE"),VLOOKUP(A156,COPY!$S$2:$AA$1000,2,FALSE),IF(LEFT(B156,1)="G"," ",IF(LEFT(B156,2)="ma"," "," ")))</f>
        <v xml:space="preserve"> </v>
      </c>
      <c r="N156" s="75" t="str">
        <f>IFERROR(VLOOKUP(A156&amp;"a",COPY!$S$2:$AA$1000,2,FALSE)," ")</f>
        <v xml:space="preserve"> </v>
      </c>
      <c r="O156" s="75" t="str">
        <f>IFERROR(VLOOKUP(A156&amp;"aa",COPY!$S$2:$AA$1000,2,FALSE)," ")</f>
        <v xml:space="preserve"> </v>
      </c>
      <c r="P156" s="75" t="str">
        <f>IFERROR(VLOOKUP(A156&amp;"aaa",COPY!$S$2:$AA$1000,2,FALSE)," ")</f>
        <v xml:space="preserve"> </v>
      </c>
      <c r="Q156" s="75" t="str">
        <f>IFERROR(VLOOKUP(A156&amp;"aaaa",COPY!$S$2:$AA$1000,2,FALSE)," ")</f>
        <v xml:space="preserve"> </v>
      </c>
      <c r="R156" s="75" t="str">
        <f>IFERROR(VLOOKUP(A156&amp;"aaaaa",COPY!$S$2:$AA$1000,2,FALSE)," ")</f>
        <v xml:space="preserve"> </v>
      </c>
      <c r="S156" s="75" t="str">
        <f>IFERROR(VLOOKUP(A156&amp;"aaaaaa",COPY!$S$2:$AA$1000,2,FALSE)," ")</f>
        <v xml:space="preserve"> </v>
      </c>
      <c r="T156" s="75" t="str">
        <f>IFERROR(VLOOKUP(A156&amp;"aaaaaaa",COPY!$S$2:$AA$1000,2,FALSE)," ")</f>
        <v xml:space="preserve"> </v>
      </c>
      <c r="U156" s="75" t="str">
        <f>IFERROR(VLOOKUP(A156&amp;"aaaaaaaa",COPY!$S$2:$AA$1000,2,FALSE)," ")</f>
        <v xml:space="preserve"> </v>
      </c>
      <c r="V156" s="75" t="str">
        <f>IFERROR(VLOOKUP(A156&amp;"aaaaaaaaa",COPY!$S$2:$AA$1000,2,FALSE)," ")</f>
        <v xml:space="preserve"> </v>
      </c>
      <c r="W156" s="75" t="str">
        <f>IFERROR(VLOOKUP(A156&amp;"aaaaaaaaaa",COPY!$S$2:$AA$1000,2,FALSE)," ")</f>
        <v xml:space="preserve"> </v>
      </c>
      <c r="X156" s="75" t="str">
        <f>IFERROR(VLOOKUP(A156&amp;"aaaaaaaaaaa",COPY!$S$2:$AA$1000,2,FALSE)," ")</f>
        <v xml:space="preserve"> </v>
      </c>
      <c r="Y156" s="90" t="str">
        <f>IF(OR(LEFT(B156,2)="mg",LEFT(B156,2)="mE"),VLOOKUP(A156,COPY!$S$2:$AA$1000,6,FALSE),IF(LEFT(B156,1)="G"," ",IF(LEFT(B156,2)="ma"," "," ")))</f>
        <v xml:space="preserve"> </v>
      </c>
      <c r="Z156" s="90" t="str">
        <f>IFERROR(VLOOKUP(A156&amp;"a",COPY!$S$2:$AA$1000,6,FALSE)," ")</f>
        <v xml:space="preserve"> </v>
      </c>
      <c r="AA156" s="90" t="str">
        <f>IFERROR(VLOOKUP(A156&amp;"aa",COPY!$S$2:$AA$1000,6,FALSE)," ")</f>
        <v xml:space="preserve"> </v>
      </c>
      <c r="AB156" s="90" t="str">
        <f>IFERROR(VLOOKUP(A156&amp;"aaa",COPY!$S$2:$AA$1000,6,FALSE)," ")</f>
        <v xml:space="preserve"> </v>
      </c>
      <c r="AC156" s="90" t="str">
        <f>IFERROR(VLOOKUP(A156&amp;"aaaa",COPY!$S$2:$AA$1000,6,FALSE)," ")</f>
        <v xml:space="preserve"> </v>
      </c>
      <c r="AD156" s="90" t="str">
        <f>IFERROR(VLOOKUP(A156&amp;"aaaaa",COPY!$S$2:$AA$1000,6,FALSE)," ")</f>
        <v xml:space="preserve"> </v>
      </c>
      <c r="AE156" s="90" t="str">
        <f>IFERROR(VLOOKUP(A156&amp;"aaaaaa",COPY!$S$2:$AA$1000,6,FALSE)," ")</f>
        <v xml:space="preserve"> </v>
      </c>
      <c r="AF156" s="90" t="str">
        <f>IFERROR(VLOOKUP(A156&amp;"aaaaaaa",COPY!$S$2:$AA$1000,6,FALSE)," ")</f>
        <v xml:space="preserve"> </v>
      </c>
      <c r="AG156" s="90" t="str">
        <f>IFERROR(VLOOKUP(A156&amp;"aaaaaaaa",COPY!$S$2:$AA$1000,6,FALSE)," ")</f>
        <v xml:space="preserve"> </v>
      </c>
      <c r="AH156" s="90" t="str">
        <f>IFERROR(VLOOKUP(A156&amp;"aaaaaaaaa",COPY!$S$2:$AA$1000,6,FALSE)," ")</f>
        <v xml:space="preserve"> </v>
      </c>
      <c r="AI156" s="90" t="str">
        <f>IFERROR(VLOOKUP(A156&amp;"aaaaaaaaaa",COPY!$S$2:$AA$1000,6,FALSE)," ")</f>
        <v xml:space="preserve"> </v>
      </c>
      <c r="AJ156" s="90" t="str">
        <f>IFERROR(VLOOKUP(A156&amp;"aaaaaaaaaaa",COPY!$S$2:$AA$1000,6,FALSE)," ")</f>
        <v xml:space="preserve"> </v>
      </c>
      <c r="AK156" s="90" t="str">
        <f>IF(LEFT(B156,2)="mg",VLOOKUP(A156,COPY!$S$2:$AA$1000,7,FALSE),IF(LEFT(B156,1)="G"," ",IF(LEFT(B156,2)="ma"," "," ")))</f>
        <v xml:space="preserve"> </v>
      </c>
      <c r="AL156" s="90" t="str">
        <f>IFERROR(VLOOKUP(A156&amp;"a",COPY!$S$2:$AA$1000,7,FALSE)," ")</f>
        <v xml:space="preserve"> </v>
      </c>
      <c r="AM156" s="90" t="str">
        <f>IFERROR(VLOOKUP(A156&amp;"aa",COPY!$S$2:$AA$1000,7,FALSE)," ")</f>
        <v xml:space="preserve"> </v>
      </c>
      <c r="AN156" s="90" t="str">
        <f>IFERROR(VLOOKUP(A156&amp;"aaa",COPY!$S$2:$AA$1000,7,FALSE)," ")</f>
        <v xml:space="preserve"> </v>
      </c>
      <c r="AO156" s="90" t="str">
        <f>IFERROR(VLOOKUP(A156&amp;"aaaa",COPY!$S$2:$AA$1000,7,FALSE)," ")</f>
        <v xml:space="preserve"> </v>
      </c>
      <c r="AP156" s="90" t="str">
        <f>IFERROR(VLOOKUP(A156&amp;"aaaaa",COPY!$S$2:$AA$1000,7,FALSE)," ")</f>
        <v xml:space="preserve"> </v>
      </c>
      <c r="AQ156" s="90" t="str">
        <f>IFERROR(VLOOKUP(A156&amp;"aaaaaa",COPY!$S$2:$AA$1000,7,FALSE)," ")</f>
        <v xml:space="preserve"> </v>
      </c>
      <c r="AR156" s="90" t="str">
        <f>IFERROR(VLOOKUP(A156&amp;"aaaaaaa",COPY!$S$2:$AA$1000,7,FALSE)," ")</f>
        <v xml:space="preserve"> </v>
      </c>
      <c r="AS156" s="90" t="str">
        <f>IFERROR(VLOOKUP(A156&amp;"aaaaaaaa",COPY!$S$2:$AA$1000,7,FALSE)," ")</f>
        <v xml:space="preserve"> </v>
      </c>
      <c r="AT156" s="90" t="str">
        <f>IFERROR(VLOOKUP(A156&amp;"aaaaaaaaa",COPY!$S$2:$AA$1000,7,FALSE)," ")</f>
        <v xml:space="preserve"> </v>
      </c>
      <c r="AU156" s="90" t="str">
        <f>IFERROR(VLOOKUP(A156&amp;"aaaaaaaaaa",COPY!$S$2:$AA$1000,7,FALSE)," ")</f>
        <v xml:space="preserve"> </v>
      </c>
      <c r="AV156" s="90" t="str">
        <f>IFERROR(VLOOKUP(A156&amp;"aaaaaaaaaaa",COPY!$S$2:$AA$1000,7,FALSE)," ")</f>
        <v xml:space="preserve"> </v>
      </c>
    </row>
    <row r="157" spans="1:48" x14ac:dyDescent="0.2">
      <c r="A157" s="75" t="str">
        <f>'REKAP PAJAK'!W194</f>
        <v/>
      </c>
      <c r="B157" s="75" t="str">
        <f>IF(LEN(A157)&gt;1,VLOOKUP(A157,COPY!$O$2:$R$1000,4,FALSE),"")</f>
        <v/>
      </c>
      <c r="C157" s="75" t="str">
        <f t="shared" si="12"/>
        <v xml:space="preserve"> </v>
      </c>
      <c r="D157" s="75" t="str">
        <f t="shared" si="13"/>
        <v xml:space="preserve"> </v>
      </c>
      <c r="E157" s="75" t="str">
        <f t="shared" si="14"/>
        <v xml:space="preserve"> </v>
      </c>
      <c r="F157" s="75" t="str">
        <f t="shared" si="15"/>
        <v xml:space="preserve"> </v>
      </c>
      <c r="G157" s="75" t="str">
        <f>IFERROR(TEXT(VLOOKUP(A157,COPY!$S$2:$W$1000,3,FALSE),"dd-mmmm-yyyy")," ")</f>
        <v xml:space="preserve"> </v>
      </c>
      <c r="H157" s="75" t="str">
        <f t="shared" si="16"/>
        <v xml:space="preserve"> </v>
      </c>
      <c r="I157" s="75" t="str">
        <f t="shared" si="17"/>
        <v xml:space="preserve"> </v>
      </c>
      <c r="J157" s="90" t="str">
        <f>IFERROR(VLOOKUP(A157,COPY!$S$2:$W$1000,4,FALSE)," ")</f>
        <v xml:space="preserve"> </v>
      </c>
      <c r="K157" s="75" t="str">
        <f>IFERROR(VLOOKUP(A157,COPY!$S$2:$W$1000,5,FALSE)," ")</f>
        <v xml:space="preserve"> </v>
      </c>
      <c r="L157" s="75" t="str">
        <f>IF(B157="","",IF(LEFT(B157,2)="Ma",(VLOOKUP(B157,'Rekap Gaji'!$C$12:$D$26,2,FALSE))&amp;" Untuk "&amp;(PROPER('Rekap Gaji'!$B$2)),IF(LEFT(B157,2)="Mg","Pembelian Material Bahan Bangunan",IF(LEFT(B157,2)="Me","Biaya Pembelanjaan Menejemen",IF(LEFT(B157,1)="G",VLOOKUP(A157,COPY!$S$2:$AA$1000,2,FALSE)&amp;"( "&amp;TEXT(VLOOKUP(B157,'Rekap Gaji'!$A$12:$I$26,5,FALSE),"dd-mm-yyyy")&amp;" "&amp;TEXT(VLOOKUP(B157,'Rekap Gaji'!$A$12:$I$26,6,FALSE)&amp;" "&amp;TEXT(VLOOKUP(B157,'Rekap Gaji'!$A$12:$I$26,7,FALSE),"dd-mm-yyyy")&amp;" )"," "))))))</f>
        <v/>
      </c>
      <c r="M157" s="75" t="str">
        <f>IF(OR(LEFT(B157,2)="mg",LEFT(B157,2)="mE"),VLOOKUP(A157,COPY!$S$2:$AA$1000,2,FALSE),IF(LEFT(B157,1)="G"," ",IF(LEFT(B157,2)="ma"," "," ")))</f>
        <v xml:space="preserve"> </v>
      </c>
      <c r="N157" s="75" t="str">
        <f>IFERROR(VLOOKUP(A157&amp;"a",COPY!$S$2:$AA$1000,2,FALSE)," ")</f>
        <v xml:space="preserve"> </v>
      </c>
      <c r="O157" s="75" t="str">
        <f>IFERROR(VLOOKUP(A157&amp;"aa",COPY!$S$2:$AA$1000,2,FALSE)," ")</f>
        <v xml:space="preserve"> </v>
      </c>
      <c r="P157" s="75" t="str">
        <f>IFERROR(VLOOKUP(A157&amp;"aaa",COPY!$S$2:$AA$1000,2,FALSE)," ")</f>
        <v xml:space="preserve"> </v>
      </c>
      <c r="Q157" s="75" t="str">
        <f>IFERROR(VLOOKUP(A157&amp;"aaaa",COPY!$S$2:$AA$1000,2,FALSE)," ")</f>
        <v xml:space="preserve"> </v>
      </c>
      <c r="R157" s="75" t="str">
        <f>IFERROR(VLOOKUP(A157&amp;"aaaaa",COPY!$S$2:$AA$1000,2,FALSE)," ")</f>
        <v xml:space="preserve"> </v>
      </c>
      <c r="S157" s="75" t="str">
        <f>IFERROR(VLOOKUP(A157&amp;"aaaaaa",COPY!$S$2:$AA$1000,2,FALSE)," ")</f>
        <v xml:space="preserve"> </v>
      </c>
      <c r="T157" s="75" t="str">
        <f>IFERROR(VLOOKUP(A157&amp;"aaaaaaa",COPY!$S$2:$AA$1000,2,FALSE)," ")</f>
        <v xml:space="preserve"> </v>
      </c>
      <c r="U157" s="75" t="str">
        <f>IFERROR(VLOOKUP(A157&amp;"aaaaaaaa",COPY!$S$2:$AA$1000,2,FALSE)," ")</f>
        <v xml:space="preserve"> </v>
      </c>
      <c r="V157" s="75" t="str">
        <f>IFERROR(VLOOKUP(A157&amp;"aaaaaaaaa",COPY!$S$2:$AA$1000,2,FALSE)," ")</f>
        <v xml:space="preserve"> </v>
      </c>
      <c r="W157" s="75" t="str">
        <f>IFERROR(VLOOKUP(A157&amp;"aaaaaaaaaa",COPY!$S$2:$AA$1000,2,FALSE)," ")</f>
        <v xml:space="preserve"> </v>
      </c>
      <c r="X157" s="75" t="str">
        <f>IFERROR(VLOOKUP(A157&amp;"aaaaaaaaaaa",COPY!$S$2:$AA$1000,2,FALSE)," ")</f>
        <v xml:space="preserve"> </v>
      </c>
      <c r="Y157" s="90" t="str">
        <f>IF(OR(LEFT(B157,2)="mg",LEFT(B157,2)="mE"),VLOOKUP(A157,COPY!$S$2:$AA$1000,6,FALSE),IF(LEFT(B157,1)="G"," ",IF(LEFT(B157,2)="ma"," "," ")))</f>
        <v xml:space="preserve"> </v>
      </c>
      <c r="Z157" s="90" t="str">
        <f>IFERROR(VLOOKUP(A157&amp;"a",COPY!$S$2:$AA$1000,6,FALSE)," ")</f>
        <v xml:space="preserve"> </v>
      </c>
      <c r="AA157" s="90" t="str">
        <f>IFERROR(VLOOKUP(A157&amp;"aa",COPY!$S$2:$AA$1000,6,FALSE)," ")</f>
        <v xml:space="preserve"> </v>
      </c>
      <c r="AB157" s="90" t="str">
        <f>IFERROR(VLOOKUP(A157&amp;"aaa",COPY!$S$2:$AA$1000,6,FALSE)," ")</f>
        <v xml:space="preserve"> </v>
      </c>
      <c r="AC157" s="90" t="str">
        <f>IFERROR(VLOOKUP(A157&amp;"aaaa",COPY!$S$2:$AA$1000,6,FALSE)," ")</f>
        <v xml:space="preserve"> </v>
      </c>
      <c r="AD157" s="90" t="str">
        <f>IFERROR(VLOOKUP(A157&amp;"aaaaa",COPY!$S$2:$AA$1000,6,FALSE)," ")</f>
        <v xml:space="preserve"> </v>
      </c>
      <c r="AE157" s="90" t="str">
        <f>IFERROR(VLOOKUP(A157&amp;"aaaaaa",COPY!$S$2:$AA$1000,6,FALSE)," ")</f>
        <v xml:space="preserve"> </v>
      </c>
      <c r="AF157" s="90" t="str">
        <f>IFERROR(VLOOKUP(A157&amp;"aaaaaaa",COPY!$S$2:$AA$1000,6,FALSE)," ")</f>
        <v xml:space="preserve"> </v>
      </c>
      <c r="AG157" s="90" t="str">
        <f>IFERROR(VLOOKUP(A157&amp;"aaaaaaaa",COPY!$S$2:$AA$1000,6,FALSE)," ")</f>
        <v xml:space="preserve"> </v>
      </c>
      <c r="AH157" s="90" t="str">
        <f>IFERROR(VLOOKUP(A157&amp;"aaaaaaaaa",COPY!$S$2:$AA$1000,6,FALSE)," ")</f>
        <v xml:space="preserve"> </v>
      </c>
      <c r="AI157" s="90" t="str">
        <f>IFERROR(VLOOKUP(A157&amp;"aaaaaaaaaa",COPY!$S$2:$AA$1000,6,FALSE)," ")</f>
        <v xml:space="preserve"> </v>
      </c>
      <c r="AJ157" s="90" t="str">
        <f>IFERROR(VLOOKUP(A157&amp;"aaaaaaaaaaa",COPY!$S$2:$AA$1000,6,FALSE)," ")</f>
        <v xml:space="preserve"> </v>
      </c>
      <c r="AK157" s="90" t="str">
        <f>IF(LEFT(B157,2)="mg",VLOOKUP(A157,COPY!$S$2:$AA$1000,7,FALSE),IF(LEFT(B157,1)="G"," ",IF(LEFT(B157,2)="ma"," "," ")))</f>
        <v xml:space="preserve"> </v>
      </c>
      <c r="AL157" s="90" t="str">
        <f>IFERROR(VLOOKUP(A157&amp;"a",COPY!$S$2:$AA$1000,7,FALSE)," ")</f>
        <v xml:space="preserve"> </v>
      </c>
      <c r="AM157" s="90" t="str">
        <f>IFERROR(VLOOKUP(A157&amp;"aa",COPY!$S$2:$AA$1000,7,FALSE)," ")</f>
        <v xml:space="preserve"> </v>
      </c>
      <c r="AN157" s="90" t="str">
        <f>IFERROR(VLOOKUP(A157&amp;"aaa",COPY!$S$2:$AA$1000,7,FALSE)," ")</f>
        <v xml:space="preserve"> </v>
      </c>
      <c r="AO157" s="90" t="str">
        <f>IFERROR(VLOOKUP(A157&amp;"aaaa",COPY!$S$2:$AA$1000,7,FALSE)," ")</f>
        <v xml:space="preserve"> </v>
      </c>
      <c r="AP157" s="90" t="str">
        <f>IFERROR(VLOOKUP(A157&amp;"aaaaa",COPY!$S$2:$AA$1000,7,FALSE)," ")</f>
        <v xml:space="preserve"> </v>
      </c>
      <c r="AQ157" s="90" t="str">
        <f>IFERROR(VLOOKUP(A157&amp;"aaaaaa",COPY!$S$2:$AA$1000,7,FALSE)," ")</f>
        <v xml:space="preserve"> </v>
      </c>
      <c r="AR157" s="90" t="str">
        <f>IFERROR(VLOOKUP(A157&amp;"aaaaaaa",COPY!$S$2:$AA$1000,7,FALSE)," ")</f>
        <v xml:space="preserve"> </v>
      </c>
      <c r="AS157" s="90" t="str">
        <f>IFERROR(VLOOKUP(A157&amp;"aaaaaaaa",COPY!$S$2:$AA$1000,7,FALSE)," ")</f>
        <v xml:space="preserve"> </v>
      </c>
      <c r="AT157" s="90" t="str">
        <f>IFERROR(VLOOKUP(A157&amp;"aaaaaaaaa",COPY!$S$2:$AA$1000,7,FALSE)," ")</f>
        <v xml:space="preserve"> </v>
      </c>
      <c r="AU157" s="90" t="str">
        <f>IFERROR(VLOOKUP(A157&amp;"aaaaaaaaaa",COPY!$S$2:$AA$1000,7,FALSE)," ")</f>
        <v xml:space="preserve"> </v>
      </c>
      <c r="AV157" s="90" t="str">
        <f>IFERROR(VLOOKUP(A157&amp;"aaaaaaaaaaa",COPY!$S$2:$AA$1000,7,FALSE)," ")</f>
        <v xml:space="preserve"> </v>
      </c>
    </row>
    <row r="158" spans="1:48" x14ac:dyDescent="0.2">
      <c r="A158" s="75" t="str">
        <f>'REKAP PAJAK'!W195</f>
        <v/>
      </c>
      <c r="B158" s="75" t="str">
        <f>IF(LEN(A158)&gt;1,VLOOKUP(A158,COPY!$O$2:$R$1000,4,FALSE),"")</f>
        <v/>
      </c>
      <c r="C158" s="75" t="str">
        <f t="shared" si="12"/>
        <v xml:space="preserve"> </v>
      </c>
      <c r="D158" s="75" t="str">
        <f t="shared" si="13"/>
        <v xml:space="preserve"> </v>
      </c>
      <c r="E158" s="75" t="str">
        <f t="shared" si="14"/>
        <v xml:space="preserve"> </v>
      </c>
      <c r="F158" s="75" t="str">
        <f t="shared" si="15"/>
        <v xml:space="preserve"> </v>
      </c>
      <c r="G158" s="75" t="str">
        <f>IFERROR(TEXT(VLOOKUP(A158,COPY!$S$2:$W$1000,3,FALSE),"dd-mmmm-yyyy")," ")</f>
        <v xml:space="preserve"> </v>
      </c>
      <c r="H158" s="75" t="str">
        <f t="shared" si="16"/>
        <v xml:space="preserve"> </v>
      </c>
      <c r="I158" s="75" t="str">
        <f t="shared" si="17"/>
        <v xml:space="preserve"> </v>
      </c>
      <c r="J158" s="90" t="str">
        <f>IFERROR(VLOOKUP(A158,COPY!$S$2:$W$1000,4,FALSE)," ")</f>
        <v xml:space="preserve"> </v>
      </c>
      <c r="K158" s="75" t="str">
        <f>IFERROR(VLOOKUP(A158,COPY!$S$2:$W$1000,5,FALSE)," ")</f>
        <v xml:space="preserve"> </v>
      </c>
      <c r="L158" s="75" t="str">
        <f>IF(B158="","",IF(LEFT(B158,2)="Ma",(VLOOKUP(B158,'Rekap Gaji'!$C$12:$D$26,2,FALSE))&amp;" Untuk "&amp;(PROPER('Rekap Gaji'!$B$2)),IF(LEFT(B158,2)="Mg","Pembelian Material Bahan Bangunan",IF(LEFT(B158,2)="Me","Biaya Pembelanjaan Menejemen",IF(LEFT(B158,1)="G",VLOOKUP(A158,COPY!$S$2:$AA$1000,2,FALSE)&amp;"( "&amp;TEXT(VLOOKUP(B158,'Rekap Gaji'!$A$12:$I$26,5,FALSE),"dd-mm-yyyy")&amp;" "&amp;TEXT(VLOOKUP(B158,'Rekap Gaji'!$A$12:$I$26,6,FALSE)&amp;" "&amp;TEXT(VLOOKUP(B158,'Rekap Gaji'!$A$12:$I$26,7,FALSE),"dd-mm-yyyy")&amp;" )"," "))))))</f>
        <v/>
      </c>
      <c r="M158" s="75" t="str">
        <f>IF(OR(LEFT(B158,2)="mg",LEFT(B158,2)="mE"),VLOOKUP(A158,COPY!$S$2:$AA$1000,2,FALSE),IF(LEFT(B158,1)="G"," ",IF(LEFT(B158,2)="ma"," "," ")))</f>
        <v xml:space="preserve"> </v>
      </c>
      <c r="N158" s="75" t="str">
        <f>IFERROR(VLOOKUP(A158&amp;"a",COPY!$S$2:$AA$1000,2,FALSE)," ")</f>
        <v xml:space="preserve"> </v>
      </c>
      <c r="O158" s="75" t="str">
        <f>IFERROR(VLOOKUP(A158&amp;"aa",COPY!$S$2:$AA$1000,2,FALSE)," ")</f>
        <v xml:space="preserve"> </v>
      </c>
      <c r="P158" s="75" t="str">
        <f>IFERROR(VLOOKUP(A158&amp;"aaa",COPY!$S$2:$AA$1000,2,FALSE)," ")</f>
        <v xml:space="preserve"> </v>
      </c>
      <c r="Q158" s="75" t="str">
        <f>IFERROR(VLOOKUP(A158&amp;"aaaa",COPY!$S$2:$AA$1000,2,FALSE)," ")</f>
        <v xml:space="preserve"> </v>
      </c>
      <c r="R158" s="75" t="str">
        <f>IFERROR(VLOOKUP(A158&amp;"aaaaa",COPY!$S$2:$AA$1000,2,FALSE)," ")</f>
        <v xml:space="preserve"> </v>
      </c>
      <c r="S158" s="75" t="str">
        <f>IFERROR(VLOOKUP(A158&amp;"aaaaaa",COPY!$S$2:$AA$1000,2,FALSE)," ")</f>
        <v xml:space="preserve"> </v>
      </c>
      <c r="T158" s="75" t="str">
        <f>IFERROR(VLOOKUP(A158&amp;"aaaaaaa",COPY!$S$2:$AA$1000,2,FALSE)," ")</f>
        <v xml:space="preserve"> </v>
      </c>
      <c r="U158" s="75" t="str">
        <f>IFERROR(VLOOKUP(A158&amp;"aaaaaaaa",COPY!$S$2:$AA$1000,2,FALSE)," ")</f>
        <v xml:space="preserve"> </v>
      </c>
      <c r="V158" s="75" t="str">
        <f>IFERROR(VLOOKUP(A158&amp;"aaaaaaaaa",COPY!$S$2:$AA$1000,2,FALSE)," ")</f>
        <v xml:space="preserve"> </v>
      </c>
      <c r="W158" s="75" t="str">
        <f>IFERROR(VLOOKUP(A158&amp;"aaaaaaaaaa",COPY!$S$2:$AA$1000,2,FALSE)," ")</f>
        <v xml:space="preserve"> </v>
      </c>
      <c r="X158" s="75" t="str">
        <f>IFERROR(VLOOKUP(A158&amp;"aaaaaaaaaaa",COPY!$S$2:$AA$1000,2,FALSE)," ")</f>
        <v xml:space="preserve"> </v>
      </c>
      <c r="Y158" s="90" t="str">
        <f>IF(OR(LEFT(B158,2)="mg",LEFT(B158,2)="mE"),VLOOKUP(A158,COPY!$S$2:$AA$1000,6,FALSE),IF(LEFT(B158,1)="G"," ",IF(LEFT(B158,2)="ma"," "," ")))</f>
        <v xml:space="preserve"> </v>
      </c>
      <c r="Z158" s="90" t="str">
        <f>IFERROR(VLOOKUP(A158&amp;"a",COPY!$S$2:$AA$1000,6,FALSE)," ")</f>
        <v xml:space="preserve"> </v>
      </c>
      <c r="AA158" s="90" t="str">
        <f>IFERROR(VLOOKUP(A158&amp;"aa",COPY!$S$2:$AA$1000,6,FALSE)," ")</f>
        <v xml:space="preserve"> </v>
      </c>
      <c r="AB158" s="90" t="str">
        <f>IFERROR(VLOOKUP(A158&amp;"aaa",COPY!$S$2:$AA$1000,6,FALSE)," ")</f>
        <v xml:space="preserve"> </v>
      </c>
      <c r="AC158" s="90" t="str">
        <f>IFERROR(VLOOKUP(A158&amp;"aaaa",COPY!$S$2:$AA$1000,6,FALSE)," ")</f>
        <v xml:space="preserve"> </v>
      </c>
      <c r="AD158" s="90" t="str">
        <f>IFERROR(VLOOKUP(A158&amp;"aaaaa",COPY!$S$2:$AA$1000,6,FALSE)," ")</f>
        <v xml:space="preserve"> </v>
      </c>
      <c r="AE158" s="90" t="str">
        <f>IFERROR(VLOOKUP(A158&amp;"aaaaaa",COPY!$S$2:$AA$1000,6,FALSE)," ")</f>
        <v xml:space="preserve"> </v>
      </c>
      <c r="AF158" s="90" t="str">
        <f>IFERROR(VLOOKUP(A158&amp;"aaaaaaa",COPY!$S$2:$AA$1000,6,FALSE)," ")</f>
        <v xml:space="preserve"> </v>
      </c>
      <c r="AG158" s="90" t="str">
        <f>IFERROR(VLOOKUP(A158&amp;"aaaaaaaa",COPY!$S$2:$AA$1000,6,FALSE)," ")</f>
        <v xml:space="preserve"> </v>
      </c>
      <c r="AH158" s="90" t="str">
        <f>IFERROR(VLOOKUP(A158&amp;"aaaaaaaaa",COPY!$S$2:$AA$1000,6,FALSE)," ")</f>
        <v xml:space="preserve"> </v>
      </c>
      <c r="AI158" s="90" t="str">
        <f>IFERROR(VLOOKUP(A158&amp;"aaaaaaaaaa",COPY!$S$2:$AA$1000,6,FALSE)," ")</f>
        <v xml:space="preserve"> </v>
      </c>
      <c r="AJ158" s="90" t="str">
        <f>IFERROR(VLOOKUP(A158&amp;"aaaaaaaaaaa",COPY!$S$2:$AA$1000,6,FALSE)," ")</f>
        <v xml:space="preserve"> </v>
      </c>
      <c r="AK158" s="90" t="str">
        <f>IF(LEFT(B158,2)="mg",VLOOKUP(A158,COPY!$S$2:$AA$1000,7,FALSE),IF(LEFT(B158,1)="G"," ",IF(LEFT(B158,2)="ma"," "," ")))</f>
        <v xml:space="preserve"> </v>
      </c>
      <c r="AL158" s="90" t="str">
        <f>IFERROR(VLOOKUP(A158&amp;"a",COPY!$S$2:$AA$1000,7,FALSE)," ")</f>
        <v xml:space="preserve"> </v>
      </c>
      <c r="AM158" s="90" t="str">
        <f>IFERROR(VLOOKUP(A158&amp;"aa",COPY!$S$2:$AA$1000,7,FALSE)," ")</f>
        <v xml:space="preserve"> </v>
      </c>
      <c r="AN158" s="90" t="str">
        <f>IFERROR(VLOOKUP(A158&amp;"aaa",COPY!$S$2:$AA$1000,7,FALSE)," ")</f>
        <v xml:space="preserve"> </v>
      </c>
      <c r="AO158" s="90" t="str">
        <f>IFERROR(VLOOKUP(A158&amp;"aaaa",COPY!$S$2:$AA$1000,7,FALSE)," ")</f>
        <v xml:space="preserve"> </v>
      </c>
      <c r="AP158" s="90" t="str">
        <f>IFERROR(VLOOKUP(A158&amp;"aaaaa",COPY!$S$2:$AA$1000,7,FALSE)," ")</f>
        <v xml:space="preserve"> </v>
      </c>
      <c r="AQ158" s="90" t="str">
        <f>IFERROR(VLOOKUP(A158&amp;"aaaaaa",COPY!$S$2:$AA$1000,7,FALSE)," ")</f>
        <v xml:space="preserve"> </v>
      </c>
      <c r="AR158" s="90" t="str">
        <f>IFERROR(VLOOKUP(A158&amp;"aaaaaaa",COPY!$S$2:$AA$1000,7,FALSE)," ")</f>
        <v xml:space="preserve"> </v>
      </c>
      <c r="AS158" s="90" t="str">
        <f>IFERROR(VLOOKUP(A158&amp;"aaaaaaaa",COPY!$S$2:$AA$1000,7,FALSE)," ")</f>
        <v xml:space="preserve"> </v>
      </c>
      <c r="AT158" s="90" t="str">
        <f>IFERROR(VLOOKUP(A158&amp;"aaaaaaaaa",COPY!$S$2:$AA$1000,7,FALSE)," ")</f>
        <v xml:space="preserve"> </v>
      </c>
      <c r="AU158" s="90" t="str">
        <f>IFERROR(VLOOKUP(A158&amp;"aaaaaaaaaa",COPY!$S$2:$AA$1000,7,FALSE)," ")</f>
        <v xml:space="preserve"> </v>
      </c>
      <c r="AV158" s="90" t="str">
        <f>IFERROR(VLOOKUP(A158&amp;"aaaaaaaaaaa",COPY!$S$2:$AA$1000,7,FALSE)," ")</f>
        <v xml:space="preserve"> </v>
      </c>
    </row>
    <row r="159" spans="1:48" x14ac:dyDescent="0.2">
      <c r="A159" s="75" t="str">
        <f>'REKAP PAJAK'!W196</f>
        <v/>
      </c>
      <c r="B159" s="75" t="str">
        <f>IF(LEN(A159)&gt;1,VLOOKUP(A159,COPY!$O$2:$R$1000,4,FALSE),"")</f>
        <v/>
      </c>
      <c r="C159" s="75" t="str">
        <f t="shared" si="12"/>
        <v xml:space="preserve"> </v>
      </c>
      <c r="D159" s="75" t="str">
        <f t="shared" si="13"/>
        <v xml:space="preserve"> </v>
      </c>
      <c r="E159" s="75" t="str">
        <f t="shared" si="14"/>
        <v xml:space="preserve"> </v>
      </c>
      <c r="F159" s="75" t="str">
        <f t="shared" si="15"/>
        <v xml:space="preserve"> </v>
      </c>
      <c r="G159" s="75" t="str">
        <f>IFERROR(TEXT(VLOOKUP(A159,COPY!$S$2:$W$1000,3,FALSE),"dd-mmmm-yyyy")," ")</f>
        <v xml:space="preserve"> </v>
      </c>
      <c r="H159" s="75" t="str">
        <f t="shared" si="16"/>
        <v xml:space="preserve"> </v>
      </c>
      <c r="I159" s="75" t="str">
        <f t="shared" si="17"/>
        <v xml:space="preserve"> </v>
      </c>
      <c r="J159" s="90" t="str">
        <f>IFERROR(VLOOKUP(A159,COPY!$S$2:$W$1000,4,FALSE)," ")</f>
        <v xml:space="preserve"> </v>
      </c>
      <c r="K159" s="75" t="str">
        <f>IFERROR(VLOOKUP(A159,COPY!$S$2:$W$1000,5,FALSE)," ")</f>
        <v xml:space="preserve"> </v>
      </c>
      <c r="L159" s="75" t="str">
        <f>IF(B159="","",IF(LEFT(B159,2)="Ma",(VLOOKUP(B159,'Rekap Gaji'!$C$12:$D$26,2,FALSE))&amp;" Untuk "&amp;(PROPER('Rekap Gaji'!$B$2)),IF(LEFT(B159,2)="Mg","Pembelian Material Bahan Bangunan",IF(LEFT(B159,2)="Me","Biaya Pembelanjaan Menejemen",IF(LEFT(B159,1)="G",VLOOKUP(A159,COPY!$S$2:$AA$1000,2,FALSE)&amp;"( "&amp;TEXT(VLOOKUP(B159,'Rekap Gaji'!$A$12:$I$26,5,FALSE),"dd-mm-yyyy")&amp;" "&amp;TEXT(VLOOKUP(B159,'Rekap Gaji'!$A$12:$I$26,6,FALSE)&amp;" "&amp;TEXT(VLOOKUP(B159,'Rekap Gaji'!$A$12:$I$26,7,FALSE),"dd-mm-yyyy")&amp;" )"," "))))))</f>
        <v/>
      </c>
      <c r="M159" s="75" t="str">
        <f>IF(OR(LEFT(B159,2)="mg",LEFT(B159,2)="mE"),VLOOKUP(A159,COPY!$S$2:$AA$1000,2,FALSE),IF(LEFT(B159,1)="G"," ",IF(LEFT(B159,2)="ma"," "," ")))</f>
        <v xml:space="preserve"> </v>
      </c>
      <c r="N159" s="75" t="str">
        <f>IFERROR(VLOOKUP(A159&amp;"a",COPY!$S$2:$AA$1000,2,FALSE)," ")</f>
        <v xml:space="preserve"> </v>
      </c>
      <c r="O159" s="75" t="str">
        <f>IFERROR(VLOOKUP(A159&amp;"aa",COPY!$S$2:$AA$1000,2,FALSE)," ")</f>
        <v xml:space="preserve"> </v>
      </c>
      <c r="P159" s="75" t="str">
        <f>IFERROR(VLOOKUP(A159&amp;"aaa",COPY!$S$2:$AA$1000,2,FALSE)," ")</f>
        <v xml:space="preserve"> </v>
      </c>
      <c r="Q159" s="75" t="str">
        <f>IFERROR(VLOOKUP(A159&amp;"aaaa",COPY!$S$2:$AA$1000,2,FALSE)," ")</f>
        <v xml:space="preserve"> </v>
      </c>
      <c r="R159" s="75" t="str">
        <f>IFERROR(VLOOKUP(A159&amp;"aaaaa",COPY!$S$2:$AA$1000,2,FALSE)," ")</f>
        <v xml:space="preserve"> </v>
      </c>
      <c r="S159" s="75" t="str">
        <f>IFERROR(VLOOKUP(A159&amp;"aaaaaa",COPY!$S$2:$AA$1000,2,FALSE)," ")</f>
        <v xml:space="preserve"> </v>
      </c>
      <c r="T159" s="75" t="str">
        <f>IFERROR(VLOOKUP(A159&amp;"aaaaaaa",COPY!$S$2:$AA$1000,2,FALSE)," ")</f>
        <v xml:space="preserve"> </v>
      </c>
      <c r="U159" s="75" t="str">
        <f>IFERROR(VLOOKUP(A159&amp;"aaaaaaaa",COPY!$S$2:$AA$1000,2,FALSE)," ")</f>
        <v xml:space="preserve"> </v>
      </c>
      <c r="V159" s="75" t="str">
        <f>IFERROR(VLOOKUP(A159&amp;"aaaaaaaaa",COPY!$S$2:$AA$1000,2,FALSE)," ")</f>
        <v xml:space="preserve"> </v>
      </c>
      <c r="W159" s="75" t="str">
        <f>IFERROR(VLOOKUP(A159&amp;"aaaaaaaaaa",COPY!$S$2:$AA$1000,2,FALSE)," ")</f>
        <v xml:space="preserve"> </v>
      </c>
      <c r="X159" s="75" t="str">
        <f>IFERROR(VLOOKUP(A159&amp;"aaaaaaaaaaa",COPY!$S$2:$AA$1000,2,FALSE)," ")</f>
        <v xml:space="preserve"> </v>
      </c>
      <c r="Y159" s="90" t="str">
        <f>IF(OR(LEFT(B159,2)="mg",LEFT(B159,2)="mE"),VLOOKUP(A159,COPY!$S$2:$AA$1000,6,FALSE),IF(LEFT(B159,1)="G"," ",IF(LEFT(B159,2)="ma"," "," ")))</f>
        <v xml:space="preserve"> </v>
      </c>
      <c r="Z159" s="90" t="str">
        <f>IFERROR(VLOOKUP(A159&amp;"a",COPY!$S$2:$AA$1000,6,FALSE)," ")</f>
        <v xml:space="preserve"> </v>
      </c>
      <c r="AA159" s="90" t="str">
        <f>IFERROR(VLOOKUP(A159&amp;"aa",COPY!$S$2:$AA$1000,6,FALSE)," ")</f>
        <v xml:space="preserve"> </v>
      </c>
      <c r="AB159" s="90" t="str">
        <f>IFERROR(VLOOKUP(A159&amp;"aaa",COPY!$S$2:$AA$1000,6,FALSE)," ")</f>
        <v xml:space="preserve"> </v>
      </c>
      <c r="AC159" s="90" t="str">
        <f>IFERROR(VLOOKUP(A159&amp;"aaaa",COPY!$S$2:$AA$1000,6,FALSE)," ")</f>
        <v xml:space="preserve"> </v>
      </c>
      <c r="AD159" s="90" t="str">
        <f>IFERROR(VLOOKUP(A159&amp;"aaaaa",COPY!$S$2:$AA$1000,6,FALSE)," ")</f>
        <v xml:space="preserve"> </v>
      </c>
      <c r="AE159" s="90" t="str">
        <f>IFERROR(VLOOKUP(A159&amp;"aaaaaa",COPY!$S$2:$AA$1000,6,FALSE)," ")</f>
        <v xml:space="preserve"> </v>
      </c>
      <c r="AF159" s="90" t="str">
        <f>IFERROR(VLOOKUP(A159&amp;"aaaaaaa",COPY!$S$2:$AA$1000,6,FALSE)," ")</f>
        <v xml:space="preserve"> </v>
      </c>
      <c r="AG159" s="90" t="str">
        <f>IFERROR(VLOOKUP(A159&amp;"aaaaaaaa",COPY!$S$2:$AA$1000,6,FALSE)," ")</f>
        <v xml:space="preserve"> </v>
      </c>
      <c r="AH159" s="90" t="str">
        <f>IFERROR(VLOOKUP(A159&amp;"aaaaaaaaa",COPY!$S$2:$AA$1000,6,FALSE)," ")</f>
        <v xml:space="preserve"> </v>
      </c>
      <c r="AI159" s="90" t="str">
        <f>IFERROR(VLOOKUP(A159&amp;"aaaaaaaaaa",COPY!$S$2:$AA$1000,6,FALSE)," ")</f>
        <v xml:space="preserve"> </v>
      </c>
      <c r="AJ159" s="90" t="str">
        <f>IFERROR(VLOOKUP(A159&amp;"aaaaaaaaaaa",COPY!$S$2:$AA$1000,6,FALSE)," ")</f>
        <v xml:space="preserve"> </v>
      </c>
      <c r="AK159" s="90" t="str">
        <f>IF(LEFT(B159,2)="mg",VLOOKUP(A159,COPY!$S$2:$AA$1000,7,FALSE),IF(LEFT(B159,1)="G"," ",IF(LEFT(B159,2)="ma"," "," ")))</f>
        <v xml:space="preserve"> </v>
      </c>
      <c r="AL159" s="90" t="str">
        <f>IFERROR(VLOOKUP(A159&amp;"a",COPY!$S$2:$AA$1000,7,FALSE)," ")</f>
        <v xml:space="preserve"> </v>
      </c>
      <c r="AM159" s="90" t="str">
        <f>IFERROR(VLOOKUP(A159&amp;"aa",COPY!$S$2:$AA$1000,7,FALSE)," ")</f>
        <v xml:space="preserve"> </v>
      </c>
      <c r="AN159" s="90" t="str">
        <f>IFERROR(VLOOKUP(A159&amp;"aaa",COPY!$S$2:$AA$1000,7,FALSE)," ")</f>
        <v xml:space="preserve"> </v>
      </c>
      <c r="AO159" s="90" t="str">
        <f>IFERROR(VLOOKUP(A159&amp;"aaaa",COPY!$S$2:$AA$1000,7,FALSE)," ")</f>
        <v xml:space="preserve"> </v>
      </c>
      <c r="AP159" s="90" t="str">
        <f>IFERROR(VLOOKUP(A159&amp;"aaaaa",COPY!$S$2:$AA$1000,7,FALSE)," ")</f>
        <v xml:space="preserve"> </v>
      </c>
      <c r="AQ159" s="90" t="str">
        <f>IFERROR(VLOOKUP(A159&amp;"aaaaaa",COPY!$S$2:$AA$1000,7,FALSE)," ")</f>
        <v xml:space="preserve"> </v>
      </c>
      <c r="AR159" s="90" t="str">
        <f>IFERROR(VLOOKUP(A159&amp;"aaaaaaa",COPY!$S$2:$AA$1000,7,FALSE)," ")</f>
        <v xml:space="preserve"> </v>
      </c>
      <c r="AS159" s="90" t="str">
        <f>IFERROR(VLOOKUP(A159&amp;"aaaaaaaa",COPY!$S$2:$AA$1000,7,FALSE)," ")</f>
        <v xml:space="preserve"> </v>
      </c>
      <c r="AT159" s="90" t="str">
        <f>IFERROR(VLOOKUP(A159&amp;"aaaaaaaaa",COPY!$S$2:$AA$1000,7,FALSE)," ")</f>
        <v xml:space="preserve"> </v>
      </c>
      <c r="AU159" s="90" t="str">
        <f>IFERROR(VLOOKUP(A159&amp;"aaaaaaaaaa",COPY!$S$2:$AA$1000,7,FALSE)," ")</f>
        <v xml:space="preserve"> </v>
      </c>
      <c r="AV159" s="90" t="str">
        <f>IFERROR(VLOOKUP(A159&amp;"aaaaaaaaaaa",COPY!$S$2:$AA$1000,7,FALSE)," ")</f>
        <v xml:space="preserve"> </v>
      </c>
    </row>
    <row r="160" spans="1:48" x14ac:dyDescent="0.2">
      <c r="A160" s="75" t="str">
        <f>'REKAP PAJAK'!W197</f>
        <v/>
      </c>
      <c r="B160" s="75" t="str">
        <f>IF(LEN(A160)&gt;1,VLOOKUP(A160,COPY!$O$2:$R$1000,4,FALSE),"")</f>
        <v/>
      </c>
      <c r="C160" s="75" t="str">
        <f t="shared" si="12"/>
        <v xml:space="preserve"> </v>
      </c>
      <c r="D160" s="75" t="str">
        <f t="shared" si="13"/>
        <v xml:space="preserve"> </v>
      </c>
      <c r="E160" s="75" t="str">
        <f t="shared" si="14"/>
        <v xml:space="preserve"> </v>
      </c>
      <c r="F160" s="75" t="str">
        <f t="shared" si="15"/>
        <v xml:space="preserve"> </v>
      </c>
      <c r="G160" s="75" t="str">
        <f>IFERROR(TEXT(VLOOKUP(A160,COPY!$S$2:$W$1000,3,FALSE),"dd-mmmm-yyyy")," ")</f>
        <v xml:space="preserve"> </v>
      </c>
      <c r="H160" s="75" t="str">
        <f t="shared" si="16"/>
        <v xml:space="preserve"> </v>
      </c>
      <c r="I160" s="75" t="str">
        <f t="shared" si="17"/>
        <v xml:space="preserve"> </v>
      </c>
      <c r="J160" s="90" t="str">
        <f>IFERROR(VLOOKUP(A160,COPY!$S$2:$W$1000,4,FALSE)," ")</f>
        <v xml:space="preserve"> </v>
      </c>
      <c r="K160" s="75" t="str">
        <f>IFERROR(VLOOKUP(A160,COPY!$S$2:$W$1000,5,FALSE)," ")</f>
        <v xml:space="preserve"> </v>
      </c>
      <c r="L160" s="75" t="str">
        <f>IF(B160="","",IF(LEFT(B160,2)="Ma",(VLOOKUP(B160,'Rekap Gaji'!$C$12:$D$26,2,FALSE))&amp;" Untuk "&amp;(PROPER('Rekap Gaji'!$B$2)),IF(LEFT(B160,2)="Mg","Pembelian Material Bahan Bangunan",IF(LEFT(B160,2)="Me","Biaya Pembelanjaan Menejemen",IF(LEFT(B160,1)="G",VLOOKUP(A160,COPY!$S$2:$AA$1000,2,FALSE)&amp;"( "&amp;TEXT(VLOOKUP(B160,'Rekap Gaji'!$A$12:$I$26,5,FALSE),"dd-mm-yyyy")&amp;" "&amp;TEXT(VLOOKUP(B160,'Rekap Gaji'!$A$12:$I$26,6,FALSE)&amp;" "&amp;TEXT(VLOOKUP(B160,'Rekap Gaji'!$A$12:$I$26,7,FALSE),"dd-mm-yyyy")&amp;" )"," "))))))</f>
        <v/>
      </c>
      <c r="M160" s="75" t="str">
        <f>IF(OR(LEFT(B160,2)="mg",LEFT(B160,2)="mE"),VLOOKUP(A160,COPY!$S$2:$AA$1000,2,FALSE),IF(LEFT(B160,1)="G"," ",IF(LEFT(B160,2)="ma"," "," ")))</f>
        <v xml:space="preserve"> </v>
      </c>
      <c r="N160" s="75" t="str">
        <f>IFERROR(VLOOKUP(A160&amp;"a",COPY!$S$2:$AA$1000,2,FALSE)," ")</f>
        <v xml:space="preserve"> </v>
      </c>
      <c r="O160" s="75" t="str">
        <f>IFERROR(VLOOKUP(A160&amp;"aa",COPY!$S$2:$AA$1000,2,FALSE)," ")</f>
        <v xml:space="preserve"> </v>
      </c>
      <c r="P160" s="75" t="str">
        <f>IFERROR(VLOOKUP(A160&amp;"aaa",COPY!$S$2:$AA$1000,2,FALSE)," ")</f>
        <v xml:space="preserve"> </v>
      </c>
      <c r="Q160" s="75" t="str">
        <f>IFERROR(VLOOKUP(A160&amp;"aaaa",COPY!$S$2:$AA$1000,2,FALSE)," ")</f>
        <v xml:space="preserve"> </v>
      </c>
      <c r="R160" s="75" t="str">
        <f>IFERROR(VLOOKUP(A160&amp;"aaaaa",COPY!$S$2:$AA$1000,2,FALSE)," ")</f>
        <v xml:space="preserve"> </v>
      </c>
      <c r="S160" s="75" t="str">
        <f>IFERROR(VLOOKUP(A160&amp;"aaaaaa",COPY!$S$2:$AA$1000,2,FALSE)," ")</f>
        <v xml:space="preserve"> </v>
      </c>
      <c r="T160" s="75" t="str">
        <f>IFERROR(VLOOKUP(A160&amp;"aaaaaaa",COPY!$S$2:$AA$1000,2,FALSE)," ")</f>
        <v xml:space="preserve"> </v>
      </c>
      <c r="U160" s="75" t="str">
        <f>IFERROR(VLOOKUP(A160&amp;"aaaaaaaa",COPY!$S$2:$AA$1000,2,FALSE)," ")</f>
        <v xml:space="preserve"> </v>
      </c>
      <c r="V160" s="75" t="str">
        <f>IFERROR(VLOOKUP(A160&amp;"aaaaaaaaa",COPY!$S$2:$AA$1000,2,FALSE)," ")</f>
        <v xml:space="preserve"> </v>
      </c>
      <c r="W160" s="75" t="str">
        <f>IFERROR(VLOOKUP(A160&amp;"aaaaaaaaaa",COPY!$S$2:$AA$1000,2,FALSE)," ")</f>
        <v xml:space="preserve"> </v>
      </c>
      <c r="X160" s="75" t="str">
        <f>IFERROR(VLOOKUP(A160&amp;"aaaaaaaaaaa",COPY!$S$2:$AA$1000,2,FALSE)," ")</f>
        <v xml:space="preserve"> </v>
      </c>
      <c r="Y160" s="90" t="str">
        <f>IF(OR(LEFT(B160,2)="mg",LEFT(B160,2)="mE"),VLOOKUP(A160,COPY!$S$2:$AA$1000,6,FALSE),IF(LEFT(B160,1)="G"," ",IF(LEFT(B160,2)="ma"," "," ")))</f>
        <v xml:space="preserve"> </v>
      </c>
      <c r="Z160" s="90" t="str">
        <f>IFERROR(VLOOKUP(A160&amp;"a",COPY!$S$2:$AA$1000,6,FALSE)," ")</f>
        <v xml:space="preserve"> </v>
      </c>
      <c r="AA160" s="90" t="str">
        <f>IFERROR(VLOOKUP(A160&amp;"aa",COPY!$S$2:$AA$1000,6,FALSE)," ")</f>
        <v xml:space="preserve"> </v>
      </c>
      <c r="AB160" s="90" t="str">
        <f>IFERROR(VLOOKUP(A160&amp;"aaa",COPY!$S$2:$AA$1000,6,FALSE)," ")</f>
        <v xml:space="preserve"> </v>
      </c>
      <c r="AC160" s="90" t="str">
        <f>IFERROR(VLOOKUP(A160&amp;"aaaa",COPY!$S$2:$AA$1000,6,FALSE)," ")</f>
        <v xml:space="preserve"> </v>
      </c>
      <c r="AD160" s="90" t="str">
        <f>IFERROR(VLOOKUP(A160&amp;"aaaaa",COPY!$S$2:$AA$1000,6,FALSE)," ")</f>
        <v xml:space="preserve"> </v>
      </c>
      <c r="AE160" s="90" t="str">
        <f>IFERROR(VLOOKUP(A160&amp;"aaaaaa",COPY!$S$2:$AA$1000,6,FALSE)," ")</f>
        <v xml:space="preserve"> </v>
      </c>
      <c r="AF160" s="90" t="str">
        <f>IFERROR(VLOOKUP(A160&amp;"aaaaaaa",COPY!$S$2:$AA$1000,6,FALSE)," ")</f>
        <v xml:space="preserve"> </v>
      </c>
      <c r="AG160" s="90" t="str">
        <f>IFERROR(VLOOKUP(A160&amp;"aaaaaaaa",COPY!$S$2:$AA$1000,6,FALSE)," ")</f>
        <v xml:space="preserve"> </v>
      </c>
      <c r="AH160" s="90" t="str">
        <f>IFERROR(VLOOKUP(A160&amp;"aaaaaaaaa",COPY!$S$2:$AA$1000,6,FALSE)," ")</f>
        <v xml:space="preserve"> </v>
      </c>
      <c r="AI160" s="90" t="str">
        <f>IFERROR(VLOOKUP(A160&amp;"aaaaaaaaaa",COPY!$S$2:$AA$1000,6,FALSE)," ")</f>
        <v xml:space="preserve"> </v>
      </c>
      <c r="AJ160" s="90" t="str">
        <f>IFERROR(VLOOKUP(A160&amp;"aaaaaaaaaaa",COPY!$S$2:$AA$1000,6,FALSE)," ")</f>
        <v xml:space="preserve"> </v>
      </c>
      <c r="AK160" s="90" t="str">
        <f>IF(LEFT(B160,2)="mg",VLOOKUP(A160,COPY!$S$2:$AA$1000,7,FALSE),IF(LEFT(B160,1)="G"," ",IF(LEFT(B160,2)="ma"," "," ")))</f>
        <v xml:space="preserve"> </v>
      </c>
      <c r="AL160" s="90" t="str">
        <f>IFERROR(VLOOKUP(A160&amp;"a",COPY!$S$2:$AA$1000,7,FALSE)," ")</f>
        <v xml:space="preserve"> </v>
      </c>
      <c r="AM160" s="90" t="str">
        <f>IFERROR(VLOOKUP(A160&amp;"aa",COPY!$S$2:$AA$1000,7,FALSE)," ")</f>
        <v xml:space="preserve"> </v>
      </c>
      <c r="AN160" s="90" t="str">
        <f>IFERROR(VLOOKUP(A160&amp;"aaa",COPY!$S$2:$AA$1000,7,FALSE)," ")</f>
        <v xml:space="preserve"> </v>
      </c>
      <c r="AO160" s="90" t="str">
        <f>IFERROR(VLOOKUP(A160&amp;"aaaa",COPY!$S$2:$AA$1000,7,FALSE)," ")</f>
        <v xml:space="preserve"> </v>
      </c>
      <c r="AP160" s="90" t="str">
        <f>IFERROR(VLOOKUP(A160&amp;"aaaaa",COPY!$S$2:$AA$1000,7,FALSE)," ")</f>
        <v xml:space="preserve"> </v>
      </c>
      <c r="AQ160" s="90" t="str">
        <f>IFERROR(VLOOKUP(A160&amp;"aaaaaa",COPY!$S$2:$AA$1000,7,FALSE)," ")</f>
        <v xml:space="preserve"> </v>
      </c>
      <c r="AR160" s="90" t="str">
        <f>IFERROR(VLOOKUP(A160&amp;"aaaaaaa",COPY!$S$2:$AA$1000,7,FALSE)," ")</f>
        <v xml:space="preserve"> </v>
      </c>
      <c r="AS160" s="90" t="str">
        <f>IFERROR(VLOOKUP(A160&amp;"aaaaaaaa",COPY!$S$2:$AA$1000,7,FALSE)," ")</f>
        <v xml:space="preserve"> </v>
      </c>
      <c r="AT160" s="90" t="str">
        <f>IFERROR(VLOOKUP(A160&amp;"aaaaaaaaa",COPY!$S$2:$AA$1000,7,FALSE)," ")</f>
        <v xml:space="preserve"> </v>
      </c>
      <c r="AU160" s="90" t="str">
        <f>IFERROR(VLOOKUP(A160&amp;"aaaaaaaaaa",COPY!$S$2:$AA$1000,7,FALSE)," ")</f>
        <v xml:space="preserve"> </v>
      </c>
      <c r="AV160" s="90" t="str">
        <f>IFERROR(VLOOKUP(A160&amp;"aaaaaaaaaaa",COPY!$S$2:$AA$1000,7,FALSE)," ")</f>
        <v xml:space="preserve"> </v>
      </c>
    </row>
    <row r="161" spans="1:48" x14ac:dyDescent="0.2">
      <c r="A161" s="75" t="str">
        <f>'REKAP PAJAK'!W198</f>
        <v/>
      </c>
      <c r="B161" s="75" t="str">
        <f>IF(LEN(A161)&gt;1,VLOOKUP(A161,COPY!$O$2:$R$1000,4,FALSE),"")</f>
        <v/>
      </c>
      <c r="C161" s="75" t="str">
        <f t="shared" si="12"/>
        <v xml:space="preserve"> </v>
      </c>
      <c r="D161" s="75" t="str">
        <f t="shared" si="13"/>
        <v xml:space="preserve"> </v>
      </c>
      <c r="E161" s="75" t="str">
        <f t="shared" si="14"/>
        <v xml:space="preserve"> </v>
      </c>
      <c r="F161" s="75" t="str">
        <f t="shared" si="15"/>
        <v xml:space="preserve"> </v>
      </c>
      <c r="G161" s="75" t="str">
        <f>IFERROR(TEXT(VLOOKUP(A161,COPY!$S$2:$W$1000,3,FALSE),"dd-mmmm-yyyy")," ")</f>
        <v xml:space="preserve"> </v>
      </c>
      <c r="H161" s="75" t="str">
        <f t="shared" si="16"/>
        <v xml:space="preserve"> </v>
      </c>
      <c r="I161" s="75" t="str">
        <f t="shared" si="17"/>
        <v xml:space="preserve"> </v>
      </c>
      <c r="J161" s="90" t="str">
        <f>IFERROR(VLOOKUP(A161,COPY!$S$2:$W$1000,4,FALSE)," ")</f>
        <v xml:space="preserve"> </v>
      </c>
      <c r="K161" s="75" t="str">
        <f>IFERROR(VLOOKUP(A161,COPY!$S$2:$W$1000,5,FALSE)," ")</f>
        <v xml:space="preserve"> </v>
      </c>
      <c r="L161" s="75" t="str">
        <f>IF(B161="","",IF(LEFT(B161,2)="Ma",(VLOOKUP(B161,'Rekap Gaji'!$C$12:$D$26,2,FALSE))&amp;" Untuk "&amp;(PROPER('Rekap Gaji'!$B$2)),IF(LEFT(B161,2)="Mg","Pembelian Material Bahan Bangunan",IF(LEFT(B161,2)="Me","Biaya Pembelanjaan Menejemen",IF(LEFT(B161,1)="G",VLOOKUP(A161,COPY!$S$2:$AA$1000,2,FALSE)&amp;"( "&amp;TEXT(VLOOKUP(B161,'Rekap Gaji'!$A$12:$I$26,5,FALSE),"dd-mm-yyyy")&amp;" "&amp;TEXT(VLOOKUP(B161,'Rekap Gaji'!$A$12:$I$26,6,FALSE)&amp;" "&amp;TEXT(VLOOKUP(B161,'Rekap Gaji'!$A$12:$I$26,7,FALSE),"dd-mm-yyyy")&amp;" )"," "))))))</f>
        <v/>
      </c>
      <c r="M161" s="75" t="str">
        <f>IF(OR(LEFT(B161,2)="mg",LEFT(B161,2)="mE"),VLOOKUP(A161,COPY!$S$2:$AA$1000,2,FALSE),IF(LEFT(B161,1)="G"," ",IF(LEFT(B161,2)="ma"," "," ")))</f>
        <v xml:space="preserve"> </v>
      </c>
      <c r="N161" s="75" t="str">
        <f>IFERROR(VLOOKUP(A161&amp;"a",COPY!$S$2:$AA$1000,2,FALSE)," ")</f>
        <v xml:space="preserve"> </v>
      </c>
      <c r="O161" s="75" t="str">
        <f>IFERROR(VLOOKUP(A161&amp;"aa",COPY!$S$2:$AA$1000,2,FALSE)," ")</f>
        <v xml:space="preserve"> </v>
      </c>
      <c r="P161" s="75" t="str">
        <f>IFERROR(VLOOKUP(A161&amp;"aaa",COPY!$S$2:$AA$1000,2,FALSE)," ")</f>
        <v xml:space="preserve"> </v>
      </c>
      <c r="Q161" s="75" t="str">
        <f>IFERROR(VLOOKUP(A161&amp;"aaaa",COPY!$S$2:$AA$1000,2,FALSE)," ")</f>
        <v xml:space="preserve"> </v>
      </c>
      <c r="R161" s="75" t="str">
        <f>IFERROR(VLOOKUP(A161&amp;"aaaaa",COPY!$S$2:$AA$1000,2,FALSE)," ")</f>
        <v xml:space="preserve"> </v>
      </c>
      <c r="S161" s="75" t="str">
        <f>IFERROR(VLOOKUP(A161&amp;"aaaaaa",COPY!$S$2:$AA$1000,2,FALSE)," ")</f>
        <v xml:space="preserve"> </v>
      </c>
      <c r="T161" s="75" t="str">
        <f>IFERROR(VLOOKUP(A161&amp;"aaaaaaa",COPY!$S$2:$AA$1000,2,FALSE)," ")</f>
        <v xml:space="preserve"> </v>
      </c>
      <c r="U161" s="75" t="str">
        <f>IFERROR(VLOOKUP(A161&amp;"aaaaaaaa",COPY!$S$2:$AA$1000,2,FALSE)," ")</f>
        <v xml:space="preserve"> </v>
      </c>
      <c r="V161" s="75" t="str">
        <f>IFERROR(VLOOKUP(A161&amp;"aaaaaaaaa",COPY!$S$2:$AA$1000,2,FALSE)," ")</f>
        <v xml:space="preserve"> </v>
      </c>
      <c r="W161" s="75" t="str">
        <f>IFERROR(VLOOKUP(A161&amp;"aaaaaaaaaa",COPY!$S$2:$AA$1000,2,FALSE)," ")</f>
        <v xml:space="preserve"> </v>
      </c>
      <c r="X161" s="75" t="str">
        <f>IFERROR(VLOOKUP(A161&amp;"aaaaaaaaaaa",COPY!$S$2:$AA$1000,2,FALSE)," ")</f>
        <v xml:space="preserve"> </v>
      </c>
      <c r="Y161" s="90" t="str">
        <f>IF(OR(LEFT(B161,2)="mg",LEFT(B161,2)="mE"),VLOOKUP(A161,COPY!$S$2:$AA$1000,6,FALSE),IF(LEFT(B161,1)="G"," ",IF(LEFT(B161,2)="ma"," "," ")))</f>
        <v xml:space="preserve"> </v>
      </c>
      <c r="Z161" s="90" t="str">
        <f>IFERROR(VLOOKUP(A161&amp;"a",COPY!$S$2:$AA$1000,6,FALSE)," ")</f>
        <v xml:space="preserve"> </v>
      </c>
      <c r="AA161" s="90" t="str">
        <f>IFERROR(VLOOKUP(A161&amp;"aa",COPY!$S$2:$AA$1000,6,FALSE)," ")</f>
        <v xml:space="preserve"> </v>
      </c>
      <c r="AB161" s="90" t="str">
        <f>IFERROR(VLOOKUP(A161&amp;"aaa",COPY!$S$2:$AA$1000,6,FALSE)," ")</f>
        <v xml:space="preserve"> </v>
      </c>
      <c r="AC161" s="90" t="str">
        <f>IFERROR(VLOOKUP(A161&amp;"aaaa",COPY!$S$2:$AA$1000,6,FALSE)," ")</f>
        <v xml:space="preserve"> </v>
      </c>
      <c r="AD161" s="90" t="str">
        <f>IFERROR(VLOOKUP(A161&amp;"aaaaa",COPY!$S$2:$AA$1000,6,FALSE)," ")</f>
        <v xml:space="preserve"> </v>
      </c>
      <c r="AE161" s="90" t="str">
        <f>IFERROR(VLOOKUP(A161&amp;"aaaaaa",COPY!$S$2:$AA$1000,6,FALSE)," ")</f>
        <v xml:space="preserve"> </v>
      </c>
      <c r="AF161" s="90" t="str">
        <f>IFERROR(VLOOKUP(A161&amp;"aaaaaaa",COPY!$S$2:$AA$1000,6,FALSE)," ")</f>
        <v xml:space="preserve"> </v>
      </c>
      <c r="AG161" s="90" t="str">
        <f>IFERROR(VLOOKUP(A161&amp;"aaaaaaaa",COPY!$S$2:$AA$1000,6,FALSE)," ")</f>
        <v xml:space="preserve"> </v>
      </c>
      <c r="AH161" s="90" t="str">
        <f>IFERROR(VLOOKUP(A161&amp;"aaaaaaaaa",COPY!$S$2:$AA$1000,6,FALSE)," ")</f>
        <v xml:space="preserve"> </v>
      </c>
      <c r="AI161" s="90" t="str">
        <f>IFERROR(VLOOKUP(A161&amp;"aaaaaaaaaa",COPY!$S$2:$AA$1000,6,FALSE)," ")</f>
        <v xml:space="preserve"> </v>
      </c>
      <c r="AJ161" s="90" t="str">
        <f>IFERROR(VLOOKUP(A161&amp;"aaaaaaaaaaa",COPY!$S$2:$AA$1000,6,FALSE)," ")</f>
        <v xml:space="preserve"> </v>
      </c>
      <c r="AK161" s="90" t="str">
        <f>IF(LEFT(B161,2)="mg",VLOOKUP(A161,COPY!$S$2:$AA$1000,7,FALSE),IF(LEFT(B161,1)="G"," ",IF(LEFT(B161,2)="ma"," "," ")))</f>
        <v xml:space="preserve"> </v>
      </c>
      <c r="AL161" s="90" t="str">
        <f>IFERROR(VLOOKUP(A161&amp;"a",COPY!$S$2:$AA$1000,7,FALSE)," ")</f>
        <v xml:space="preserve"> </v>
      </c>
      <c r="AM161" s="90" t="str">
        <f>IFERROR(VLOOKUP(A161&amp;"aa",COPY!$S$2:$AA$1000,7,FALSE)," ")</f>
        <v xml:space="preserve"> </v>
      </c>
      <c r="AN161" s="90" t="str">
        <f>IFERROR(VLOOKUP(A161&amp;"aaa",COPY!$S$2:$AA$1000,7,FALSE)," ")</f>
        <v xml:space="preserve"> </v>
      </c>
      <c r="AO161" s="90" t="str">
        <f>IFERROR(VLOOKUP(A161&amp;"aaaa",COPY!$S$2:$AA$1000,7,FALSE)," ")</f>
        <v xml:space="preserve"> </v>
      </c>
      <c r="AP161" s="90" t="str">
        <f>IFERROR(VLOOKUP(A161&amp;"aaaaa",COPY!$S$2:$AA$1000,7,FALSE)," ")</f>
        <v xml:space="preserve"> </v>
      </c>
      <c r="AQ161" s="90" t="str">
        <f>IFERROR(VLOOKUP(A161&amp;"aaaaaa",COPY!$S$2:$AA$1000,7,FALSE)," ")</f>
        <v xml:space="preserve"> </v>
      </c>
      <c r="AR161" s="90" t="str">
        <f>IFERROR(VLOOKUP(A161&amp;"aaaaaaa",COPY!$S$2:$AA$1000,7,FALSE)," ")</f>
        <v xml:space="preserve"> </v>
      </c>
      <c r="AS161" s="90" t="str">
        <f>IFERROR(VLOOKUP(A161&amp;"aaaaaaaa",COPY!$S$2:$AA$1000,7,FALSE)," ")</f>
        <v xml:space="preserve"> </v>
      </c>
      <c r="AT161" s="90" t="str">
        <f>IFERROR(VLOOKUP(A161&amp;"aaaaaaaaa",COPY!$S$2:$AA$1000,7,FALSE)," ")</f>
        <v xml:space="preserve"> </v>
      </c>
      <c r="AU161" s="90" t="str">
        <f>IFERROR(VLOOKUP(A161&amp;"aaaaaaaaaa",COPY!$S$2:$AA$1000,7,FALSE)," ")</f>
        <v xml:space="preserve"> </v>
      </c>
      <c r="AV161" s="90" t="str">
        <f>IFERROR(VLOOKUP(A161&amp;"aaaaaaaaaaa",COPY!$S$2:$AA$1000,7,FALSE)," ")</f>
        <v xml:space="preserve"> </v>
      </c>
    </row>
    <row r="162" spans="1:48" x14ac:dyDescent="0.2">
      <c r="A162" s="75" t="str">
        <f>'REKAP PAJAK'!W199</f>
        <v/>
      </c>
      <c r="B162" s="75" t="str">
        <f>IF(LEN(A162)&gt;1,VLOOKUP(A162,COPY!$O$2:$R$1000,4,FALSE),"")</f>
        <v/>
      </c>
      <c r="C162" s="75" t="str">
        <f t="shared" si="12"/>
        <v xml:space="preserve"> </v>
      </c>
      <c r="D162" s="75" t="str">
        <f t="shared" si="13"/>
        <v xml:space="preserve"> </v>
      </c>
      <c r="E162" s="75" t="str">
        <f t="shared" si="14"/>
        <v xml:space="preserve"> </v>
      </c>
      <c r="F162" s="75" t="str">
        <f t="shared" si="15"/>
        <v xml:space="preserve"> </v>
      </c>
      <c r="G162" s="75" t="str">
        <f>IFERROR(TEXT(VLOOKUP(A162,COPY!$S$2:$W$1000,3,FALSE),"dd-mmmm-yyyy")," ")</f>
        <v xml:space="preserve"> </v>
      </c>
      <c r="H162" s="75" t="str">
        <f t="shared" si="16"/>
        <v xml:space="preserve"> </v>
      </c>
      <c r="I162" s="75" t="str">
        <f t="shared" si="17"/>
        <v xml:space="preserve"> </v>
      </c>
      <c r="J162" s="90" t="str">
        <f>IFERROR(VLOOKUP(A162,COPY!$S$2:$W$1000,4,FALSE)," ")</f>
        <v xml:space="preserve"> </v>
      </c>
      <c r="K162" s="75" t="str">
        <f>IFERROR(VLOOKUP(A162,COPY!$S$2:$W$1000,5,FALSE)," ")</f>
        <v xml:space="preserve"> </v>
      </c>
      <c r="L162" s="75" t="str">
        <f>IF(B162="","",IF(LEFT(B162,2)="Ma",(VLOOKUP(B162,'Rekap Gaji'!$C$12:$D$26,2,FALSE))&amp;" Untuk "&amp;(PROPER('Rekap Gaji'!$B$2)),IF(LEFT(B162,2)="Mg","Pembelian Material Bahan Bangunan",IF(LEFT(B162,2)="Me","Biaya Pembelanjaan Menejemen",IF(LEFT(B162,1)="G",VLOOKUP(A162,COPY!$S$2:$AA$1000,2,FALSE)&amp;"( "&amp;TEXT(VLOOKUP(B162,'Rekap Gaji'!$A$12:$I$26,5,FALSE),"dd-mm-yyyy")&amp;" "&amp;TEXT(VLOOKUP(B162,'Rekap Gaji'!$A$12:$I$26,6,FALSE)&amp;" "&amp;TEXT(VLOOKUP(B162,'Rekap Gaji'!$A$12:$I$26,7,FALSE),"dd-mm-yyyy")&amp;" )"," "))))))</f>
        <v/>
      </c>
      <c r="M162" s="75" t="str">
        <f>IF(OR(LEFT(B162,2)="mg",LEFT(B162,2)="mE"),VLOOKUP(A162,COPY!$S$2:$AA$1000,2,FALSE),IF(LEFT(B162,1)="G"," ",IF(LEFT(B162,2)="ma"," "," ")))</f>
        <v xml:space="preserve"> </v>
      </c>
      <c r="N162" s="75" t="str">
        <f>IFERROR(VLOOKUP(A162&amp;"a",COPY!$S$2:$AA$1000,2,FALSE)," ")</f>
        <v xml:space="preserve"> </v>
      </c>
      <c r="O162" s="75" t="str">
        <f>IFERROR(VLOOKUP(A162&amp;"aa",COPY!$S$2:$AA$1000,2,FALSE)," ")</f>
        <v xml:space="preserve"> </v>
      </c>
      <c r="P162" s="75" t="str">
        <f>IFERROR(VLOOKUP(A162&amp;"aaa",COPY!$S$2:$AA$1000,2,FALSE)," ")</f>
        <v xml:space="preserve"> </v>
      </c>
      <c r="Q162" s="75" t="str">
        <f>IFERROR(VLOOKUP(A162&amp;"aaaa",COPY!$S$2:$AA$1000,2,FALSE)," ")</f>
        <v xml:space="preserve"> </v>
      </c>
      <c r="R162" s="75" t="str">
        <f>IFERROR(VLOOKUP(A162&amp;"aaaaa",COPY!$S$2:$AA$1000,2,FALSE)," ")</f>
        <v xml:space="preserve"> </v>
      </c>
      <c r="S162" s="75" t="str">
        <f>IFERROR(VLOOKUP(A162&amp;"aaaaaa",COPY!$S$2:$AA$1000,2,FALSE)," ")</f>
        <v xml:space="preserve"> </v>
      </c>
      <c r="T162" s="75" t="str">
        <f>IFERROR(VLOOKUP(A162&amp;"aaaaaaa",COPY!$S$2:$AA$1000,2,FALSE)," ")</f>
        <v xml:space="preserve"> </v>
      </c>
      <c r="U162" s="75" t="str">
        <f>IFERROR(VLOOKUP(A162&amp;"aaaaaaaa",COPY!$S$2:$AA$1000,2,FALSE)," ")</f>
        <v xml:space="preserve"> </v>
      </c>
      <c r="V162" s="75" t="str">
        <f>IFERROR(VLOOKUP(A162&amp;"aaaaaaaaa",COPY!$S$2:$AA$1000,2,FALSE)," ")</f>
        <v xml:space="preserve"> </v>
      </c>
      <c r="W162" s="75" t="str">
        <f>IFERROR(VLOOKUP(A162&amp;"aaaaaaaaaa",COPY!$S$2:$AA$1000,2,FALSE)," ")</f>
        <v xml:space="preserve"> </v>
      </c>
      <c r="X162" s="75" t="str">
        <f>IFERROR(VLOOKUP(A162&amp;"aaaaaaaaaaa",COPY!$S$2:$AA$1000,2,FALSE)," ")</f>
        <v xml:space="preserve"> </v>
      </c>
      <c r="Y162" s="90" t="str">
        <f>IF(OR(LEFT(B162,2)="mg",LEFT(B162,2)="mE"),VLOOKUP(A162,COPY!$S$2:$AA$1000,6,FALSE),IF(LEFT(B162,1)="G"," ",IF(LEFT(B162,2)="ma"," "," ")))</f>
        <v xml:space="preserve"> </v>
      </c>
      <c r="Z162" s="90" t="str">
        <f>IFERROR(VLOOKUP(A162&amp;"a",COPY!$S$2:$AA$1000,6,FALSE)," ")</f>
        <v xml:space="preserve"> </v>
      </c>
      <c r="AA162" s="90" t="str">
        <f>IFERROR(VLOOKUP(A162&amp;"aa",COPY!$S$2:$AA$1000,6,FALSE)," ")</f>
        <v xml:space="preserve"> </v>
      </c>
      <c r="AB162" s="90" t="str">
        <f>IFERROR(VLOOKUP(A162&amp;"aaa",COPY!$S$2:$AA$1000,6,FALSE)," ")</f>
        <v xml:space="preserve"> </v>
      </c>
      <c r="AC162" s="90" t="str">
        <f>IFERROR(VLOOKUP(A162&amp;"aaaa",COPY!$S$2:$AA$1000,6,FALSE)," ")</f>
        <v xml:space="preserve"> </v>
      </c>
      <c r="AD162" s="90" t="str">
        <f>IFERROR(VLOOKUP(A162&amp;"aaaaa",COPY!$S$2:$AA$1000,6,FALSE)," ")</f>
        <v xml:space="preserve"> </v>
      </c>
      <c r="AE162" s="90" t="str">
        <f>IFERROR(VLOOKUP(A162&amp;"aaaaaa",COPY!$S$2:$AA$1000,6,FALSE)," ")</f>
        <v xml:space="preserve"> </v>
      </c>
      <c r="AF162" s="90" t="str">
        <f>IFERROR(VLOOKUP(A162&amp;"aaaaaaa",COPY!$S$2:$AA$1000,6,FALSE)," ")</f>
        <v xml:space="preserve"> </v>
      </c>
      <c r="AG162" s="90" t="str">
        <f>IFERROR(VLOOKUP(A162&amp;"aaaaaaaa",COPY!$S$2:$AA$1000,6,FALSE)," ")</f>
        <v xml:space="preserve"> </v>
      </c>
      <c r="AH162" s="90" t="str">
        <f>IFERROR(VLOOKUP(A162&amp;"aaaaaaaaa",COPY!$S$2:$AA$1000,6,FALSE)," ")</f>
        <v xml:space="preserve"> </v>
      </c>
      <c r="AI162" s="90" t="str">
        <f>IFERROR(VLOOKUP(A162&amp;"aaaaaaaaaa",COPY!$S$2:$AA$1000,6,FALSE)," ")</f>
        <v xml:space="preserve"> </v>
      </c>
      <c r="AJ162" s="90" t="str">
        <f>IFERROR(VLOOKUP(A162&amp;"aaaaaaaaaaa",COPY!$S$2:$AA$1000,6,FALSE)," ")</f>
        <v xml:space="preserve"> </v>
      </c>
      <c r="AK162" s="90" t="str">
        <f>IF(LEFT(B162,2)="mg",VLOOKUP(A162,COPY!$S$2:$AA$1000,7,FALSE),IF(LEFT(B162,1)="G"," ",IF(LEFT(B162,2)="ma"," "," ")))</f>
        <v xml:space="preserve"> </v>
      </c>
      <c r="AL162" s="90" t="str">
        <f>IFERROR(VLOOKUP(A162&amp;"a",COPY!$S$2:$AA$1000,7,FALSE)," ")</f>
        <v xml:space="preserve"> </v>
      </c>
      <c r="AM162" s="90" t="str">
        <f>IFERROR(VLOOKUP(A162&amp;"aa",COPY!$S$2:$AA$1000,7,FALSE)," ")</f>
        <v xml:space="preserve"> </v>
      </c>
      <c r="AN162" s="90" t="str">
        <f>IFERROR(VLOOKUP(A162&amp;"aaa",COPY!$S$2:$AA$1000,7,FALSE)," ")</f>
        <v xml:space="preserve"> </v>
      </c>
      <c r="AO162" s="90" t="str">
        <f>IFERROR(VLOOKUP(A162&amp;"aaaa",COPY!$S$2:$AA$1000,7,FALSE)," ")</f>
        <v xml:space="preserve"> </v>
      </c>
      <c r="AP162" s="90" t="str">
        <f>IFERROR(VLOOKUP(A162&amp;"aaaaa",COPY!$S$2:$AA$1000,7,FALSE)," ")</f>
        <v xml:space="preserve"> </v>
      </c>
      <c r="AQ162" s="90" t="str">
        <f>IFERROR(VLOOKUP(A162&amp;"aaaaaa",COPY!$S$2:$AA$1000,7,FALSE)," ")</f>
        <v xml:space="preserve"> </v>
      </c>
      <c r="AR162" s="90" t="str">
        <f>IFERROR(VLOOKUP(A162&amp;"aaaaaaa",COPY!$S$2:$AA$1000,7,FALSE)," ")</f>
        <v xml:space="preserve"> </v>
      </c>
      <c r="AS162" s="90" t="str">
        <f>IFERROR(VLOOKUP(A162&amp;"aaaaaaaa",COPY!$S$2:$AA$1000,7,FALSE)," ")</f>
        <v xml:space="preserve"> </v>
      </c>
      <c r="AT162" s="90" t="str">
        <f>IFERROR(VLOOKUP(A162&amp;"aaaaaaaaa",COPY!$S$2:$AA$1000,7,FALSE)," ")</f>
        <v xml:space="preserve"> </v>
      </c>
      <c r="AU162" s="90" t="str">
        <f>IFERROR(VLOOKUP(A162&amp;"aaaaaaaaaa",COPY!$S$2:$AA$1000,7,FALSE)," ")</f>
        <v xml:space="preserve"> </v>
      </c>
      <c r="AV162" s="90" t="str">
        <f>IFERROR(VLOOKUP(A162&amp;"aaaaaaaaaaa",COPY!$S$2:$AA$1000,7,FALSE)," ")</f>
        <v xml:space="preserve"> </v>
      </c>
    </row>
    <row r="163" spans="1:48" x14ac:dyDescent="0.2">
      <c r="A163" s="75" t="str">
        <f>'REKAP PAJAK'!W200</f>
        <v/>
      </c>
      <c r="B163" s="75" t="str">
        <f>IF(LEN(A163)&gt;1,VLOOKUP(A163,COPY!$O$2:$R$1000,4,FALSE),"")</f>
        <v/>
      </c>
      <c r="C163" s="75" t="str">
        <f t="shared" si="12"/>
        <v xml:space="preserve"> </v>
      </c>
      <c r="D163" s="75" t="str">
        <f t="shared" si="13"/>
        <v xml:space="preserve"> </v>
      </c>
      <c r="E163" s="75" t="str">
        <f t="shared" si="14"/>
        <v xml:space="preserve"> </v>
      </c>
      <c r="F163" s="75" t="str">
        <f t="shared" si="15"/>
        <v xml:space="preserve"> </v>
      </c>
      <c r="G163" s="75" t="str">
        <f>IFERROR(TEXT(VLOOKUP(A163,COPY!$S$2:$W$1000,3,FALSE),"dd-mmmm-yyyy")," ")</f>
        <v xml:space="preserve"> </v>
      </c>
      <c r="H163" s="75" t="str">
        <f t="shared" si="16"/>
        <v xml:space="preserve"> </v>
      </c>
      <c r="I163" s="75" t="str">
        <f t="shared" si="17"/>
        <v xml:space="preserve"> </v>
      </c>
      <c r="J163" s="90" t="str">
        <f>IFERROR(VLOOKUP(A163,COPY!$S$2:$W$1000,4,FALSE)," ")</f>
        <v xml:space="preserve"> </v>
      </c>
      <c r="K163" s="75" t="str">
        <f>IFERROR(VLOOKUP(A163,COPY!$S$2:$W$1000,5,FALSE)," ")</f>
        <v xml:space="preserve"> </v>
      </c>
      <c r="L163" s="75" t="str">
        <f>IF(B163="","",IF(LEFT(B163,2)="Ma",(VLOOKUP(B163,'Rekap Gaji'!$C$12:$D$26,2,FALSE))&amp;" Untuk "&amp;(PROPER('Rekap Gaji'!$B$2)),IF(LEFT(B163,2)="Mg","Pembelian Material Bahan Bangunan",IF(LEFT(B163,2)="Me","Biaya Pembelanjaan Menejemen",IF(LEFT(B163,1)="G",VLOOKUP(A163,COPY!$S$2:$AA$1000,2,FALSE)&amp;"( "&amp;TEXT(VLOOKUP(B163,'Rekap Gaji'!$A$12:$I$26,5,FALSE),"dd-mm-yyyy")&amp;" "&amp;TEXT(VLOOKUP(B163,'Rekap Gaji'!$A$12:$I$26,6,FALSE)&amp;" "&amp;TEXT(VLOOKUP(B163,'Rekap Gaji'!$A$12:$I$26,7,FALSE),"dd-mm-yyyy")&amp;" )"," "))))))</f>
        <v/>
      </c>
      <c r="M163" s="75" t="str">
        <f>IF(OR(LEFT(B163,2)="mg",LEFT(B163,2)="mE"),VLOOKUP(A163,COPY!$S$2:$AA$1000,2,FALSE),IF(LEFT(B163,1)="G"," ",IF(LEFT(B163,2)="ma"," "," ")))</f>
        <v xml:space="preserve"> </v>
      </c>
      <c r="N163" s="75" t="str">
        <f>IFERROR(VLOOKUP(A163&amp;"a",COPY!$S$2:$AA$1000,2,FALSE)," ")</f>
        <v xml:space="preserve"> </v>
      </c>
      <c r="O163" s="75" t="str">
        <f>IFERROR(VLOOKUP(A163&amp;"aa",COPY!$S$2:$AA$1000,2,FALSE)," ")</f>
        <v xml:space="preserve"> </v>
      </c>
      <c r="P163" s="75" t="str">
        <f>IFERROR(VLOOKUP(A163&amp;"aaa",COPY!$S$2:$AA$1000,2,FALSE)," ")</f>
        <v xml:space="preserve"> </v>
      </c>
      <c r="Q163" s="75" t="str">
        <f>IFERROR(VLOOKUP(A163&amp;"aaaa",COPY!$S$2:$AA$1000,2,FALSE)," ")</f>
        <v xml:space="preserve"> </v>
      </c>
      <c r="R163" s="75" t="str">
        <f>IFERROR(VLOOKUP(A163&amp;"aaaaa",COPY!$S$2:$AA$1000,2,FALSE)," ")</f>
        <v xml:space="preserve"> </v>
      </c>
      <c r="S163" s="75" t="str">
        <f>IFERROR(VLOOKUP(A163&amp;"aaaaaa",COPY!$S$2:$AA$1000,2,FALSE)," ")</f>
        <v xml:space="preserve"> </v>
      </c>
      <c r="T163" s="75" t="str">
        <f>IFERROR(VLOOKUP(A163&amp;"aaaaaaa",COPY!$S$2:$AA$1000,2,FALSE)," ")</f>
        <v xml:space="preserve"> </v>
      </c>
      <c r="U163" s="75" t="str">
        <f>IFERROR(VLOOKUP(A163&amp;"aaaaaaaa",COPY!$S$2:$AA$1000,2,FALSE)," ")</f>
        <v xml:space="preserve"> </v>
      </c>
      <c r="V163" s="75" t="str">
        <f>IFERROR(VLOOKUP(A163&amp;"aaaaaaaaa",COPY!$S$2:$AA$1000,2,FALSE)," ")</f>
        <v xml:space="preserve"> </v>
      </c>
      <c r="W163" s="75" t="str">
        <f>IFERROR(VLOOKUP(A163&amp;"aaaaaaaaaa",COPY!$S$2:$AA$1000,2,FALSE)," ")</f>
        <v xml:space="preserve"> </v>
      </c>
      <c r="X163" s="75" t="str">
        <f>IFERROR(VLOOKUP(A163&amp;"aaaaaaaaaaa",COPY!$S$2:$AA$1000,2,FALSE)," ")</f>
        <v xml:space="preserve"> </v>
      </c>
      <c r="Y163" s="90" t="str">
        <f>IF(OR(LEFT(B163,2)="mg",LEFT(B163,2)="mE"),VLOOKUP(A163,COPY!$S$2:$AA$1000,6,FALSE),IF(LEFT(B163,1)="G"," ",IF(LEFT(B163,2)="ma"," "," ")))</f>
        <v xml:space="preserve"> </v>
      </c>
      <c r="Z163" s="90" t="str">
        <f>IFERROR(VLOOKUP(A163&amp;"a",COPY!$S$2:$AA$1000,6,FALSE)," ")</f>
        <v xml:space="preserve"> </v>
      </c>
      <c r="AA163" s="90" t="str">
        <f>IFERROR(VLOOKUP(A163&amp;"aa",COPY!$S$2:$AA$1000,6,FALSE)," ")</f>
        <v xml:space="preserve"> </v>
      </c>
      <c r="AB163" s="90" t="str">
        <f>IFERROR(VLOOKUP(A163&amp;"aaa",COPY!$S$2:$AA$1000,6,FALSE)," ")</f>
        <v xml:space="preserve"> </v>
      </c>
      <c r="AC163" s="90" t="str">
        <f>IFERROR(VLOOKUP(A163&amp;"aaaa",COPY!$S$2:$AA$1000,6,FALSE)," ")</f>
        <v xml:space="preserve"> </v>
      </c>
      <c r="AD163" s="90" t="str">
        <f>IFERROR(VLOOKUP(A163&amp;"aaaaa",COPY!$S$2:$AA$1000,6,FALSE)," ")</f>
        <v xml:space="preserve"> </v>
      </c>
      <c r="AE163" s="90" t="str">
        <f>IFERROR(VLOOKUP(A163&amp;"aaaaaa",COPY!$S$2:$AA$1000,6,FALSE)," ")</f>
        <v xml:space="preserve"> </v>
      </c>
      <c r="AF163" s="90" t="str">
        <f>IFERROR(VLOOKUP(A163&amp;"aaaaaaa",COPY!$S$2:$AA$1000,6,FALSE)," ")</f>
        <v xml:space="preserve"> </v>
      </c>
      <c r="AG163" s="90" t="str">
        <f>IFERROR(VLOOKUP(A163&amp;"aaaaaaaa",COPY!$S$2:$AA$1000,6,FALSE)," ")</f>
        <v xml:space="preserve"> </v>
      </c>
      <c r="AH163" s="90" t="str">
        <f>IFERROR(VLOOKUP(A163&amp;"aaaaaaaaa",COPY!$S$2:$AA$1000,6,FALSE)," ")</f>
        <v xml:space="preserve"> </v>
      </c>
      <c r="AI163" s="90" t="str">
        <f>IFERROR(VLOOKUP(A163&amp;"aaaaaaaaaa",COPY!$S$2:$AA$1000,6,FALSE)," ")</f>
        <v xml:space="preserve"> </v>
      </c>
      <c r="AJ163" s="90" t="str">
        <f>IFERROR(VLOOKUP(A163&amp;"aaaaaaaaaaa",COPY!$S$2:$AA$1000,6,FALSE)," ")</f>
        <v xml:space="preserve"> </v>
      </c>
      <c r="AK163" s="90" t="str">
        <f>IF(LEFT(B163,2)="mg",VLOOKUP(A163,COPY!$S$2:$AA$1000,7,FALSE),IF(LEFT(B163,1)="G"," ",IF(LEFT(B163,2)="ma"," "," ")))</f>
        <v xml:space="preserve"> </v>
      </c>
      <c r="AL163" s="90" t="str">
        <f>IFERROR(VLOOKUP(A163&amp;"a",COPY!$S$2:$AA$1000,7,FALSE)," ")</f>
        <v xml:space="preserve"> </v>
      </c>
      <c r="AM163" s="90" t="str">
        <f>IFERROR(VLOOKUP(A163&amp;"aa",COPY!$S$2:$AA$1000,7,FALSE)," ")</f>
        <v xml:space="preserve"> </v>
      </c>
      <c r="AN163" s="90" t="str">
        <f>IFERROR(VLOOKUP(A163&amp;"aaa",COPY!$S$2:$AA$1000,7,FALSE)," ")</f>
        <v xml:space="preserve"> </v>
      </c>
      <c r="AO163" s="90" t="str">
        <f>IFERROR(VLOOKUP(A163&amp;"aaaa",COPY!$S$2:$AA$1000,7,FALSE)," ")</f>
        <v xml:space="preserve"> </v>
      </c>
      <c r="AP163" s="90" t="str">
        <f>IFERROR(VLOOKUP(A163&amp;"aaaaa",COPY!$S$2:$AA$1000,7,FALSE)," ")</f>
        <v xml:space="preserve"> </v>
      </c>
      <c r="AQ163" s="90" t="str">
        <f>IFERROR(VLOOKUP(A163&amp;"aaaaaa",COPY!$S$2:$AA$1000,7,FALSE)," ")</f>
        <v xml:space="preserve"> </v>
      </c>
      <c r="AR163" s="90" t="str">
        <f>IFERROR(VLOOKUP(A163&amp;"aaaaaaa",COPY!$S$2:$AA$1000,7,FALSE)," ")</f>
        <v xml:space="preserve"> </v>
      </c>
      <c r="AS163" s="90" t="str">
        <f>IFERROR(VLOOKUP(A163&amp;"aaaaaaaa",COPY!$S$2:$AA$1000,7,FALSE)," ")</f>
        <v xml:space="preserve"> </v>
      </c>
      <c r="AT163" s="90" t="str">
        <f>IFERROR(VLOOKUP(A163&amp;"aaaaaaaaa",COPY!$S$2:$AA$1000,7,FALSE)," ")</f>
        <v xml:space="preserve"> </v>
      </c>
      <c r="AU163" s="90" t="str">
        <f>IFERROR(VLOOKUP(A163&amp;"aaaaaaaaaa",COPY!$S$2:$AA$1000,7,FALSE)," ")</f>
        <v xml:space="preserve"> </v>
      </c>
      <c r="AV163" s="90" t="str">
        <f>IFERROR(VLOOKUP(A163&amp;"aaaaaaaaaaa",COPY!$S$2:$AA$1000,7,FALSE)," ")</f>
        <v xml:space="preserve"> </v>
      </c>
    </row>
    <row r="164" spans="1:48" x14ac:dyDescent="0.2">
      <c r="A164" s="75" t="str">
        <f>'REKAP PAJAK'!W201</f>
        <v/>
      </c>
      <c r="B164" s="75" t="str">
        <f>IF(LEN(A164)&gt;1,VLOOKUP(A164,COPY!$O$2:$R$1000,4,FALSE),"")</f>
        <v/>
      </c>
      <c r="C164" s="75" t="str">
        <f t="shared" si="12"/>
        <v xml:space="preserve"> </v>
      </c>
      <c r="D164" s="75" t="str">
        <f t="shared" si="13"/>
        <v xml:space="preserve"> </v>
      </c>
      <c r="E164" s="75" t="str">
        <f t="shared" si="14"/>
        <v xml:space="preserve"> </v>
      </c>
      <c r="F164" s="75" t="str">
        <f t="shared" si="15"/>
        <v xml:space="preserve"> </v>
      </c>
      <c r="G164" s="75" t="str">
        <f>IFERROR(TEXT(VLOOKUP(A164,COPY!$S$2:$W$1000,3,FALSE),"dd-mmmm-yyyy")," ")</f>
        <v xml:space="preserve"> </v>
      </c>
      <c r="H164" s="75" t="str">
        <f t="shared" si="16"/>
        <v xml:space="preserve"> </v>
      </c>
      <c r="I164" s="75" t="str">
        <f t="shared" si="17"/>
        <v xml:space="preserve"> </v>
      </c>
      <c r="J164" s="90" t="str">
        <f>IFERROR(VLOOKUP(A164,COPY!$S$2:$W$1000,4,FALSE)," ")</f>
        <v xml:space="preserve"> </v>
      </c>
      <c r="K164" s="75" t="str">
        <f>IFERROR(VLOOKUP(A164,COPY!$S$2:$W$1000,5,FALSE)," ")</f>
        <v xml:space="preserve"> </v>
      </c>
      <c r="L164" s="75" t="str">
        <f>IF(B164="","",IF(LEFT(B164,2)="Ma",(VLOOKUP(B164,'Rekap Gaji'!$C$12:$D$26,2,FALSE))&amp;" Untuk "&amp;(PROPER('Rekap Gaji'!$B$2)),IF(LEFT(B164,2)="Mg","Pembelian Material Bahan Bangunan",IF(LEFT(B164,2)="Me","Biaya Pembelanjaan Menejemen",IF(LEFT(B164,1)="G",VLOOKUP(A164,COPY!$S$2:$AA$1000,2,FALSE)&amp;"( "&amp;TEXT(VLOOKUP(B164,'Rekap Gaji'!$A$12:$I$26,5,FALSE),"dd-mm-yyyy")&amp;" "&amp;TEXT(VLOOKUP(B164,'Rekap Gaji'!$A$12:$I$26,6,FALSE)&amp;" "&amp;TEXT(VLOOKUP(B164,'Rekap Gaji'!$A$12:$I$26,7,FALSE),"dd-mm-yyyy")&amp;" )"," "))))))</f>
        <v/>
      </c>
      <c r="M164" s="75" t="str">
        <f>IF(OR(LEFT(B164,2)="mg",LEFT(B164,2)="mE"),VLOOKUP(A164,COPY!$S$2:$AA$1000,2,FALSE),IF(LEFT(B164,1)="G"," ",IF(LEFT(B164,2)="ma"," "," ")))</f>
        <v xml:space="preserve"> </v>
      </c>
      <c r="N164" s="75" t="str">
        <f>IFERROR(VLOOKUP(A164&amp;"a",COPY!$S$2:$AA$1000,2,FALSE)," ")</f>
        <v xml:space="preserve"> </v>
      </c>
      <c r="O164" s="75" t="str">
        <f>IFERROR(VLOOKUP(A164&amp;"aa",COPY!$S$2:$AA$1000,2,FALSE)," ")</f>
        <v xml:space="preserve"> </v>
      </c>
      <c r="P164" s="75" t="str">
        <f>IFERROR(VLOOKUP(A164&amp;"aaa",COPY!$S$2:$AA$1000,2,FALSE)," ")</f>
        <v xml:space="preserve"> </v>
      </c>
      <c r="Q164" s="75" t="str">
        <f>IFERROR(VLOOKUP(A164&amp;"aaaa",COPY!$S$2:$AA$1000,2,FALSE)," ")</f>
        <v xml:space="preserve"> </v>
      </c>
      <c r="R164" s="75" t="str">
        <f>IFERROR(VLOOKUP(A164&amp;"aaaaa",COPY!$S$2:$AA$1000,2,FALSE)," ")</f>
        <v xml:space="preserve"> </v>
      </c>
      <c r="S164" s="75" t="str">
        <f>IFERROR(VLOOKUP(A164&amp;"aaaaaa",COPY!$S$2:$AA$1000,2,FALSE)," ")</f>
        <v xml:space="preserve"> </v>
      </c>
      <c r="T164" s="75" t="str">
        <f>IFERROR(VLOOKUP(A164&amp;"aaaaaaa",COPY!$S$2:$AA$1000,2,FALSE)," ")</f>
        <v xml:space="preserve"> </v>
      </c>
      <c r="U164" s="75" t="str">
        <f>IFERROR(VLOOKUP(A164&amp;"aaaaaaaa",COPY!$S$2:$AA$1000,2,FALSE)," ")</f>
        <v xml:space="preserve"> </v>
      </c>
      <c r="V164" s="75" t="str">
        <f>IFERROR(VLOOKUP(A164&amp;"aaaaaaaaa",COPY!$S$2:$AA$1000,2,FALSE)," ")</f>
        <v xml:space="preserve"> </v>
      </c>
      <c r="W164" s="75" t="str">
        <f>IFERROR(VLOOKUP(A164&amp;"aaaaaaaaaa",COPY!$S$2:$AA$1000,2,FALSE)," ")</f>
        <v xml:space="preserve"> </v>
      </c>
      <c r="X164" s="75" t="str">
        <f>IFERROR(VLOOKUP(A164&amp;"aaaaaaaaaaa",COPY!$S$2:$AA$1000,2,FALSE)," ")</f>
        <v xml:space="preserve"> </v>
      </c>
      <c r="Y164" s="90" t="str">
        <f>IF(OR(LEFT(B164,2)="mg",LEFT(B164,2)="mE"),VLOOKUP(A164,COPY!$S$2:$AA$1000,6,FALSE),IF(LEFT(B164,1)="G"," ",IF(LEFT(B164,2)="ma"," "," ")))</f>
        <v xml:space="preserve"> </v>
      </c>
      <c r="Z164" s="90" t="str">
        <f>IFERROR(VLOOKUP(A164&amp;"a",COPY!$S$2:$AA$1000,6,FALSE)," ")</f>
        <v xml:space="preserve"> </v>
      </c>
      <c r="AA164" s="90" t="str">
        <f>IFERROR(VLOOKUP(A164&amp;"aa",COPY!$S$2:$AA$1000,6,FALSE)," ")</f>
        <v xml:space="preserve"> </v>
      </c>
      <c r="AB164" s="90" t="str">
        <f>IFERROR(VLOOKUP(A164&amp;"aaa",COPY!$S$2:$AA$1000,6,FALSE)," ")</f>
        <v xml:space="preserve"> </v>
      </c>
      <c r="AC164" s="90" t="str">
        <f>IFERROR(VLOOKUP(A164&amp;"aaaa",COPY!$S$2:$AA$1000,6,FALSE)," ")</f>
        <v xml:space="preserve"> </v>
      </c>
      <c r="AD164" s="90" t="str">
        <f>IFERROR(VLOOKUP(A164&amp;"aaaaa",COPY!$S$2:$AA$1000,6,FALSE)," ")</f>
        <v xml:space="preserve"> </v>
      </c>
      <c r="AE164" s="90" t="str">
        <f>IFERROR(VLOOKUP(A164&amp;"aaaaaa",COPY!$S$2:$AA$1000,6,FALSE)," ")</f>
        <v xml:space="preserve"> </v>
      </c>
      <c r="AF164" s="90" t="str">
        <f>IFERROR(VLOOKUP(A164&amp;"aaaaaaa",COPY!$S$2:$AA$1000,6,FALSE)," ")</f>
        <v xml:space="preserve"> </v>
      </c>
      <c r="AG164" s="90" t="str">
        <f>IFERROR(VLOOKUP(A164&amp;"aaaaaaaa",COPY!$S$2:$AA$1000,6,FALSE)," ")</f>
        <v xml:space="preserve"> </v>
      </c>
      <c r="AH164" s="90" t="str">
        <f>IFERROR(VLOOKUP(A164&amp;"aaaaaaaaa",COPY!$S$2:$AA$1000,6,FALSE)," ")</f>
        <v xml:space="preserve"> </v>
      </c>
      <c r="AI164" s="90" t="str">
        <f>IFERROR(VLOOKUP(A164&amp;"aaaaaaaaaa",COPY!$S$2:$AA$1000,6,FALSE)," ")</f>
        <v xml:space="preserve"> </v>
      </c>
      <c r="AJ164" s="90" t="str">
        <f>IFERROR(VLOOKUP(A164&amp;"aaaaaaaaaaa",COPY!$S$2:$AA$1000,6,FALSE)," ")</f>
        <v xml:space="preserve"> </v>
      </c>
      <c r="AK164" s="90" t="str">
        <f>IF(LEFT(B164,2)="mg",VLOOKUP(A164,COPY!$S$2:$AA$1000,7,FALSE),IF(LEFT(B164,1)="G"," ",IF(LEFT(B164,2)="ma"," "," ")))</f>
        <v xml:space="preserve"> </v>
      </c>
      <c r="AL164" s="90" t="str">
        <f>IFERROR(VLOOKUP(A164&amp;"a",COPY!$S$2:$AA$1000,7,FALSE)," ")</f>
        <v xml:space="preserve"> </v>
      </c>
      <c r="AM164" s="90" t="str">
        <f>IFERROR(VLOOKUP(A164&amp;"aa",COPY!$S$2:$AA$1000,7,FALSE)," ")</f>
        <v xml:space="preserve"> </v>
      </c>
      <c r="AN164" s="90" t="str">
        <f>IFERROR(VLOOKUP(A164&amp;"aaa",COPY!$S$2:$AA$1000,7,FALSE)," ")</f>
        <v xml:space="preserve"> </v>
      </c>
      <c r="AO164" s="90" t="str">
        <f>IFERROR(VLOOKUP(A164&amp;"aaaa",COPY!$S$2:$AA$1000,7,FALSE)," ")</f>
        <v xml:space="preserve"> </v>
      </c>
      <c r="AP164" s="90" t="str">
        <f>IFERROR(VLOOKUP(A164&amp;"aaaaa",COPY!$S$2:$AA$1000,7,FALSE)," ")</f>
        <v xml:space="preserve"> </v>
      </c>
      <c r="AQ164" s="90" t="str">
        <f>IFERROR(VLOOKUP(A164&amp;"aaaaaa",COPY!$S$2:$AA$1000,7,FALSE)," ")</f>
        <v xml:space="preserve"> </v>
      </c>
      <c r="AR164" s="90" t="str">
        <f>IFERROR(VLOOKUP(A164&amp;"aaaaaaa",COPY!$S$2:$AA$1000,7,FALSE)," ")</f>
        <v xml:space="preserve"> </v>
      </c>
      <c r="AS164" s="90" t="str">
        <f>IFERROR(VLOOKUP(A164&amp;"aaaaaaaa",COPY!$S$2:$AA$1000,7,FALSE)," ")</f>
        <v xml:space="preserve"> </v>
      </c>
      <c r="AT164" s="90" t="str">
        <f>IFERROR(VLOOKUP(A164&amp;"aaaaaaaaa",COPY!$S$2:$AA$1000,7,FALSE)," ")</f>
        <v xml:space="preserve"> </v>
      </c>
      <c r="AU164" s="90" t="str">
        <f>IFERROR(VLOOKUP(A164&amp;"aaaaaaaaaa",COPY!$S$2:$AA$1000,7,FALSE)," ")</f>
        <v xml:space="preserve"> </v>
      </c>
      <c r="AV164" s="90" t="str">
        <f>IFERROR(VLOOKUP(A164&amp;"aaaaaaaaaaa",COPY!$S$2:$AA$1000,7,FALSE)," ")</f>
        <v xml:space="preserve"> </v>
      </c>
    </row>
    <row r="165" spans="1:48" x14ac:dyDescent="0.2">
      <c r="A165" s="75" t="str">
        <f>'REKAP PAJAK'!W202</f>
        <v/>
      </c>
      <c r="B165" s="75" t="str">
        <f>IF(LEN(A165)&gt;1,VLOOKUP(A165,COPY!$O$2:$R$1000,4,FALSE),"")</f>
        <v/>
      </c>
      <c r="C165" s="75" t="str">
        <f t="shared" si="12"/>
        <v xml:space="preserve"> </v>
      </c>
      <c r="D165" s="75" t="str">
        <f t="shared" si="13"/>
        <v xml:space="preserve"> </v>
      </c>
      <c r="E165" s="75" t="str">
        <f t="shared" si="14"/>
        <v xml:space="preserve"> </v>
      </c>
      <c r="F165" s="75" t="str">
        <f t="shared" si="15"/>
        <v xml:space="preserve"> </v>
      </c>
      <c r="G165" s="75" t="str">
        <f>IFERROR(TEXT(VLOOKUP(A165,COPY!$S$2:$W$1000,3,FALSE),"dd-mmmm-yyyy")," ")</f>
        <v xml:space="preserve"> </v>
      </c>
      <c r="H165" s="75" t="str">
        <f t="shared" si="16"/>
        <v xml:space="preserve"> </v>
      </c>
      <c r="I165" s="75" t="str">
        <f t="shared" si="17"/>
        <v xml:space="preserve"> </v>
      </c>
      <c r="J165" s="90" t="str">
        <f>IFERROR(VLOOKUP(A165,COPY!$S$2:$W$1000,4,FALSE)," ")</f>
        <v xml:space="preserve"> </v>
      </c>
      <c r="K165" s="75" t="str">
        <f>IFERROR(VLOOKUP(A165,COPY!$S$2:$W$1000,5,FALSE)," ")</f>
        <v xml:space="preserve"> </v>
      </c>
      <c r="L165" s="75" t="str">
        <f>IF(B165="","",IF(LEFT(B165,2)="Ma",(VLOOKUP(B165,'Rekap Gaji'!$C$12:$D$26,2,FALSE))&amp;" Untuk "&amp;(PROPER('Rekap Gaji'!$B$2)),IF(LEFT(B165,2)="Mg","Pembelian Material Bahan Bangunan",IF(LEFT(B165,2)="Me","Biaya Pembelanjaan Menejemen",IF(LEFT(B165,1)="G",VLOOKUP(A165,COPY!$S$2:$AA$1000,2,FALSE)&amp;"( "&amp;TEXT(VLOOKUP(B165,'Rekap Gaji'!$A$12:$I$26,5,FALSE),"dd-mm-yyyy")&amp;" "&amp;TEXT(VLOOKUP(B165,'Rekap Gaji'!$A$12:$I$26,6,FALSE)&amp;" "&amp;TEXT(VLOOKUP(B165,'Rekap Gaji'!$A$12:$I$26,7,FALSE),"dd-mm-yyyy")&amp;" )"," "))))))</f>
        <v/>
      </c>
      <c r="M165" s="75" t="str">
        <f>IF(OR(LEFT(B165,2)="mg",LEFT(B165,2)="mE"),VLOOKUP(A165,COPY!$S$2:$AA$1000,2,FALSE),IF(LEFT(B165,1)="G"," ",IF(LEFT(B165,2)="ma"," "," ")))</f>
        <v xml:space="preserve"> </v>
      </c>
      <c r="N165" s="75" t="str">
        <f>IFERROR(VLOOKUP(A165&amp;"a",COPY!$S$2:$AA$1000,2,FALSE)," ")</f>
        <v xml:space="preserve"> </v>
      </c>
      <c r="O165" s="75" t="str">
        <f>IFERROR(VLOOKUP(A165&amp;"aa",COPY!$S$2:$AA$1000,2,FALSE)," ")</f>
        <v xml:space="preserve"> </v>
      </c>
      <c r="P165" s="75" t="str">
        <f>IFERROR(VLOOKUP(A165&amp;"aaa",COPY!$S$2:$AA$1000,2,FALSE)," ")</f>
        <v xml:space="preserve"> </v>
      </c>
      <c r="Q165" s="75" t="str">
        <f>IFERROR(VLOOKUP(A165&amp;"aaaa",COPY!$S$2:$AA$1000,2,FALSE)," ")</f>
        <v xml:space="preserve"> </v>
      </c>
      <c r="R165" s="75" t="str">
        <f>IFERROR(VLOOKUP(A165&amp;"aaaaa",COPY!$S$2:$AA$1000,2,FALSE)," ")</f>
        <v xml:space="preserve"> </v>
      </c>
      <c r="S165" s="75" t="str">
        <f>IFERROR(VLOOKUP(A165&amp;"aaaaaa",COPY!$S$2:$AA$1000,2,FALSE)," ")</f>
        <v xml:space="preserve"> </v>
      </c>
      <c r="T165" s="75" t="str">
        <f>IFERROR(VLOOKUP(A165&amp;"aaaaaaa",COPY!$S$2:$AA$1000,2,FALSE)," ")</f>
        <v xml:space="preserve"> </v>
      </c>
      <c r="U165" s="75" t="str">
        <f>IFERROR(VLOOKUP(A165&amp;"aaaaaaaa",COPY!$S$2:$AA$1000,2,FALSE)," ")</f>
        <v xml:space="preserve"> </v>
      </c>
      <c r="V165" s="75" t="str">
        <f>IFERROR(VLOOKUP(A165&amp;"aaaaaaaaa",COPY!$S$2:$AA$1000,2,FALSE)," ")</f>
        <v xml:space="preserve"> </v>
      </c>
      <c r="W165" s="75" t="str">
        <f>IFERROR(VLOOKUP(A165&amp;"aaaaaaaaaa",COPY!$S$2:$AA$1000,2,FALSE)," ")</f>
        <v xml:space="preserve"> </v>
      </c>
      <c r="X165" s="75" t="str">
        <f>IFERROR(VLOOKUP(A165&amp;"aaaaaaaaaaa",COPY!$S$2:$AA$1000,2,FALSE)," ")</f>
        <v xml:space="preserve"> </v>
      </c>
      <c r="Y165" s="90" t="str">
        <f>IF(OR(LEFT(B165,2)="mg",LEFT(B165,2)="mE"),VLOOKUP(A165,COPY!$S$2:$AA$1000,6,FALSE),IF(LEFT(B165,1)="G"," ",IF(LEFT(B165,2)="ma"," "," ")))</f>
        <v xml:space="preserve"> </v>
      </c>
      <c r="Z165" s="90" t="str">
        <f>IFERROR(VLOOKUP(A165&amp;"a",COPY!$S$2:$AA$1000,6,FALSE)," ")</f>
        <v xml:space="preserve"> </v>
      </c>
      <c r="AA165" s="90" t="str">
        <f>IFERROR(VLOOKUP(A165&amp;"aa",COPY!$S$2:$AA$1000,6,FALSE)," ")</f>
        <v xml:space="preserve"> </v>
      </c>
      <c r="AB165" s="90" t="str">
        <f>IFERROR(VLOOKUP(A165&amp;"aaa",COPY!$S$2:$AA$1000,6,FALSE)," ")</f>
        <v xml:space="preserve"> </v>
      </c>
      <c r="AC165" s="90" t="str">
        <f>IFERROR(VLOOKUP(A165&amp;"aaaa",COPY!$S$2:$AA$1000,6,FALSE)," ")</f>
        <v xml:space="preserve"> </v>
      </c>
      <c r="AD165" s="90" t="str">
        <f>IFERROR(VLOOKUP(A165&amp;"aaaaa",COPY!$S$2:$AA$1000,6,FALSE)," ")</f>
        <v xml:space="preserve"> </v>
      </c>
      <c r="AE165" s="90" t="str">
        <f>IFERROR(VLOOKUP(A165&amp;"aaaaaa",COPY!$S$2:$AA$1000,6,FALSE)," ")</f>
        <v xml:space="preserve"> </v>
      </c>
      <c r="AF165" s="90" t="str">
        <f>IFERROR(VLOOKUP(A165&amp;"aaaaaaa",COPY!$S$2:$AA$1000,6,FALSE)," ")</f>
        <v xml:space="preserve"> </v>
      </c>
      <c r="AG165" s="90" t="str">
        <f>IFERROR(VLOOKUP(A165&amp;"aaaaaaaa",COPY!$S$2:$AA$1000,6,FALSE)," ")</f>
        <v xml:space="preserve"> </v>
      </c>
      <c r="AH165" s="90" t="str">
        <f>IFERROR(VLOOKUP(A165&amp;"aaaaaaaaa",COPY!$S$2:$AA$1000,6,FALSE)," ")</f>
        <v xml:space="preserve"> </v>
      </c>
      <c r="AI165" s="90" t="str">
        <f>IFERROR(VLOOKUP(A165&amp;"aaaaaaaaaa",COPY!$S$2:$AA$1000,6,FALSE)," ")</f>
        <v xml:space="preserve"> </v>
      </c>
      <c r="AJ165" s="90" t="str">
        <f>IFERROR(VLOOKUP(A165&amp;"aaaaaaaaaaa",COPY!$S$2:$AA$1000,6,FALSE)," ")</f>
        <v xml:space="preserve"> </v>
      </c>
      <c r="AK165" s="90" t="str">
        <f>IF(LEFT(B165,2)="mg",VLOOKUP(A165,COPY!$S$2:$AA$1000,7,FALSE),IF(LEFT(B165,1)="G"," ",IF(LEFT(B165,2)="ma"," "," ")))</f>
        <v xml:space="preserve"> </v>
      </c>
      <c r="AL165" s="90" t="str">
        <f>IFERROR(VLOOKUP(A165&amp;"a",COPY!$S$2:$AA$1000,7,FALSE)," ")</f>
        <v xml:space="preserve"> </v>
      </c>
      <c r="AM165" s="90" t="str">
        <f>IFERROR(VLOOKUP(A165&amp;"aa",COPY!$S$2:$AA$1000,7,FALSE)," ")</f>
        <v xml:space="preserve"> </v>
      </c>
      <c r="AN165" s="90" t="str">
        <f>IFERROR(VLOOKUP(A165&amp;"aaa",COPY!$S$2:$AA$1000,7,FALSE)," ")</f>
        <v xml:space="preserve"> </v>
      </c>
      <c r="AO165" s="90" t="str">
        <f>IFERROR(VLOOKUP(A165&amp;"aaaa",COPY!$S$2:$AA$1000,7,FALSE)," ")</f>
        <v xml:space="preserve"> </v>
      </c>
      <c r="AP165" s="90" t="str">
        <f>IFERROR(VLOOKUP(A165&amp;"aaaaa",COPY!$S$2:$AA$1000,7,FALSE)," ")</f>
        <v xml:space="preserve"> </v>
      </c>
      <c r="AQ165" s="90" t="str">
        <f>IFERROR(VLOOKUP(A165&amp;"aaaaaa",COPY!$S$2:$AA$1000,7,FALSE)," ")</f>
        <v xml:space="preserve"> </v>
      </c>
      <c r="AR165" s="90" t="str">
        <f>IFERROR(VLOOKUP(A165&amp;"aaaaaaa",COPY!$S$2:$AA$1000,7,FALSE)," ")</f>
        <v xml:space="preserve"> </v>
      </c>
      <c r="AS165" s="90" t="str">
        <f>IFERROR(VLOOKUP(A165&amp;"aaaaaaaa",COPY!$S$2:$AA$1000,7,FALSE)," ")</f>
        <v xml:space="preserve"> </v>
      </c>
      <c r="AT165" s="90" t="str">
        <f>IFERROR(VLOOKUP(A165&amp;"aaaaaaaaa",COPY!$S$2:$AA$1000,7,FALSE)," ")</f>
        <v xml:space="preserve"> </v>
      </c>
      <c r="AU165" s="90" t="str">
        <f>IFERROR(VLOOKUP(A165&amp;"aaaaaaaaaa",COPY!$S$2:$AA$1000,7,FALSE)," ")</f>
        <v xml:space="preserve"> </v>
      </c>
      <c r="AV165" s="90" t="str">
        <f>IFERROR(VLOOKUP(A165&amp;"aaaaaaaaaaa",COPY!$S$2:$AA$1000,7,FALSE)," ")</f>
        <v xml:space="preserve"> </v>
      </c>
    </row>
    <row r="166" spans="1:48" x14ac:dyDescent="0.2">
      <c r="A166" s="75" t="str">
        <f>'REKAP PAJAK'!W203</f>
        <v/>
      </c>
      <c r="B166" s="75" t="str">
        <f>IF(LEN(A166)&gt;1,VLOOKUP(A166,COPY!$O$2:$R$1000,4,FALSE),"")</f>
        <v/>
      </c>
      <c r="C166" s="75" t="str">
        <f t="shared" si="12"/>
        <v xml:space="preserve"> </v>
      </c>
      <c r="D166" s="75" t="str">
        <f t="shared" si="13"/>
        <v xml:space="preserve"> </v>
      </c>
      <c r="E166" s="75" t="str">
        <f t="shared" si="14"/>
        <v xml:space="preserve"> </v>
      </c>
      <c r="F166" s="75" t="str">
        <f t="shared" si="15"/>
        <v xml:space="preserve"> </v>
      </c>
      <c r="G166" s="75" t="str">
        <f>IFERROR(TEXT(VLOOKUP(A166,COPY!$S$2:$W$1000,3,FALSE),"dd-mmmm-yyyy")," ")</f>
        <v xml:space="preserve"> </v>
      </c>
      <c r="H166" s="75" t="str">
        <f t="shared" si="16"/>
        <v xml:space="preserve"> </v>
      </c>
      <c r="I166" s="75" t="str">
        <f t="shared" si="17"/>
        <v xml:space="preserve"> </v>
      </c>
      <c r="J166" s="90" t="str">
        <f>IFERROR(VLOOKUP(A166,COPY!$S$2:$W$1000,4,FALSE)," ")</f>
        <v xml:space="preserve"> </v>
      </c>
      <c r="K166" s="75" t="str">
        <f>IFERROR(VLOOKUP(A166,COPY!$S$2:$W$1000,5,FALSE)," ")</f>
        <v xml:space="preserve"> </v>
      </c>
      <c r="L166" s="75" t="str">
        <f>IF(B166="","",IF(LEFT(B166,2)="Ma",(VLOOKUP(B166,'Rekap Gaji'!$C$12:$D$26,2,FALSE))&amp;" Untuk "&amp;(PROPER('Rekap Gaji'!$B$2)),IF(LEFT(B166,2)="Mg","Pembelian Material Bahan Bangunan",IF(LEFT(B166,2)="Me","Biaya Pembelanjaan Menejemen",IF(LEFT(B166,1)="G",VLOOKUP(A166,COPY!$S$2:$AA$1000,2,FALSE)&amp;"( "&amp;TEXT(VLOOKUP(B166,'Rekap Gaji'!$A$12:$I$26,5,FALSE),"dd-mm-yyyy")&amp;" "&amp;TEXT(VLOOKUP(B166,'Rekap Gaji'!$A$12:$I$26,6,FALSE)&amp;" "&amp;TEXT(VLOOKUP(B166,'Rekap Gaji'!$A$12:$I$26,7,FALSE),"dd-mm-yyyy")&amp;" )"," "))))))</f>
        <v/>
      </c>
      <c r="M166" s="75" t="str">
        <f>IF(OR(LEFT(B166,2)="mg",LEFT(B166,2)="mE"),VLOOKUP(A166,COPY!$S$2:$AA$1000,2,FALSE),IF(LEFT(B166,1)="G"," ",IF(LEFT(B166,2)="ma"," "," ")))</f>
        <v xml:space="preserve"> </v>
      </c>
      <c r="N166" s="75" t="str">
        <f>IFERROR(VLOOKUP(A166&amp;"a",COPY!$S$2:$AA$1000,2,FALSE)," ")</f>
        <v xml:space="preserve"> </v>
      </c>
      <c r="O166" s="75" t="str">
        <f>IFERROR(VLOOKUP(A166&amp;"aa",COPY!$S$2:$AA$1000,2,FALSE)," ")</f>
        <v xml:space="preserve"> </v>
      </c>
      <c r="P166" s="75" t="str">
        <f>IFERROR(VLOOKUP(A166&amp;"aaa",COPY!$S$2:$AA$1000,2,FALSE)," ")</f>
        <v xml:space="preserve"> </v>
      </c>
      <c r="Q166" s="75" t="str">
        <f>IFERROR(VLOOKUP(A166&amp;"aaaa",COPY!$S$2:$AA$1000,2,FALSE)," ")</f>
        <v xml:space="preserve"> </v>
      </c>
      <c r="R166" s="75" t="str">
        <f>IFERROR(VLOOKUP(A166&amp;"aaaaa",COPY!$S$2:$AA$1000,2,FALSE)," ")</f>
        <v xml:space="preserve"> </v>
      </c>
      <c r="S166" s="75" t="str">
        <f>IFERROR(VLOOKUP(A166&amp;"aaaaaa",COPY!$S$2:$AA$1000,2,FALSE)," ")</f>
        <v xml:space="preserve"> </v>
      </c>
      <c r="T166" s="75" t="str">
        <f>IFERROR(VLOOKUP(A166&amp;"aaaaaaa",COPY!$S$2:$AA$1000,2,FALSE)," ")</f>
        <v xml:space="preserve"> </v>
      </c>
      <c r="U166" s="75" t="str">
        <f>IFERROR(VLOOKUP(A166&amp;"aaaaaaaa",COPY!$S$2:$AA$1000,2,FALSE)," ")</f>
        <v xml:space="preserve"> </v>
      </c>
      <c r="V166" s="75" t="str">
        <f>IFERROR(VLOOKUP(A166&amp;"aaaaaaaaa",COPY!$S$2:$AA$1000,2,FALSE)," ")</f>
        <v xml:space="preserve"> </v>
      </c>
      <c r="W166" s="75" t="str">
        <f>IFERROR(VLOOKUP(A166&amp;"aaaaaaaaaa",COPY!$S$2:$AA$1000,2,FALSE)," ")</f>
        <v xml:space="preserve"> </v>
      </c>
      <c r="X166" s="75" t="str">
        <f>IFERROR(VLOOKUP(A166&amp;"aaaaaaaaaaa",COPY!$S$2:$AA$1000,2,FALSE)," ")</f>
        <v xml:space="preserve"> </v>
      </c>
      <c r="Y166" s="90" t="str">
        <f>IF(OR(LEFT(B166,2)="mg",LEFT(B166,2)="mE"),VLOOKUP(A166,COPY!$S$2:$AA$1000,6,FALSE),IF(LEFT(B166,1)="G"," ",IF(LEFT(B166,2)="ma"," "," ")))</f>
        <v xml:space="preserve"> </v>
      </c>
      <c r="Z166" s="90" t="str">
        <f>IFERROR(VLOOKUP(A166&amp;"a",COPY!$S$2:$AA$1000,6,FALSE)," ")</f>
        <v xml:space="preserve"> </v>
      </c>
      <c r="AA166" s="90" t="str">
        <f>IFERROR(VLOOKUP(A166&amp;"aa",COPY!$S$2:$AA$1000,6,FALSE)," ")</f>
        <v xml:space="preserve"> </v>
      </c>
      <c r="AB166" s="90" t="str">
        <f>IFERROR(VLOOKUP(A166&amp;"aaa",COPY!$S$2:$AA$1000,6,FALSE)," ")</f>
        <v xml:space="preserve"> </v>
      </c>
      <c r="AC166" s="90" t="str">
        <f>IFERROR(VLOOKUP(A166&amp;"aaaa",COPY!$S$2:$AA$1000,6,FALSE)," ")</f>
        <v xml:space="preserve"> </v>
      </c>
      <c r="AD166" s="90" t="str">
        <f>IFERROR(VLOOKUP(A166&amp;"aaaaa",COPY!$S$2:$AA$1000,6,FALSE)," ")</f>
        <v xml:space="preserve"> </v>
      </c>
      <c r="AE166" s="90" t="str">
        <f>IFERROR(VLOOKUP(A166&amp;"aaaaaa",COPY!$S$2:$AA$1000,6,FALSE)," ")</f>
        <v xml:space="preserve"> </v>
      </c>
      <c r="AF166" s="90" t="str">
        <f>IFERROR(VLOOKUP(A166&amp;"aaaaaaa",COPY!$S$2:$AA$1000,6,FALSE)," ")</f>
        <v xml:space="preserve"> </v>
      </c>
      <c r="AG166" s="90" t="str">
        <f>IFERROR(VLOOKUP(A166&amp;"aaaaaaaa",COPY!$S$2:$AA$1000,6,FALSE)," ")</f>
        <v xml:space="preserve"> </v>
      </c>
      <c r="AH166" s="90" t="str">
        <f>IFERROR(VLOOKUP(A166&amp;"aaaaaaaaa",COPY!$S$2:$AA$1000,6,FALSE)," ")</f>
        <v xml:space="preserve"> </v>
      </c>
      <c r="AI166" s="90" t="str">
        <f>IFERROR(VLOOKUP(A166&amp;"aaaaaaaaaa",COPY!$S$2:$AA$1000,6,FALSE)," ")</f>
        <v xml:space="preserve"> </v>
      </c>
      <c r="AJ166" s="90" t="str">
        <f>IFERROR(VLOOKUP(A166&amp;"aaaaaaaaaaa",COPY!$S$2:$AA$1000,6,FALSE)," ")</f>
        <v xml:space="preserve"> </v>
      </c>
      <c r="AK166" s="90" t="str">
        <f>IF(LEFT(B166,2)="mg",VLOOKUP(A166,COPY!$S$2:$AA$1000,7,FALSE),IF(LEFT(B166,1)="G"," ",IF(LEFT(B166,2)="ma"," "," ")))</f>
        <v xml:space="preserve"> </v>
      </c>
      <c r="AL166" s="90" t="str">
        <f>IFERROR(VLOOKUP(A166&amp;"a",COPY!$S$2:$AA$1000,7,FALSE)," ")</f>
        <v xml:space="preserve"> </v>
      </c>
      <c r="AM166" s="90" t="str">
        <f>IFERROR(VLOOKUP(A166&amp;"aa",COPY!$S$2:$AA$1000,7,FALSE)," ")</f>
        <v xml:space="preserve"> </v>
      </c>
      <c r="AN166" s="90" t="str">
        <f>IFERROR(VLOOKUP(A166&amp;"aaa",COPY!$S$2:$AA$1000,7,FALSE)," ")</f>
        <v xml:space="preserve"> </v>
      </c>
      <c r="AO166" s="90" t="str">
        <f>IFERROR(VLOOKUP(A166&amp;"aaaa",COPY!$S$2:$AA$1000,7,FALSE)," ")</f>
        <v xml:space="preserve"> </v>
      </c>
      <c r="AP166" s="90" t="str">
        <f>IFERROR(VLOOKUP(A166&amp;"aaaaa",COPY!$S$2:$AA$1000,7,FALSE)," ")</f>
        <v xml:space="preserve"> </v>
      </c>
      <c r="AQ166" s="90" t="str">
        <f>IFERROR(VLOOKUP(A166&amp;"aaaaaa",COPY!$S$2:$AA$1000,7,FALSE)," ")</f>
        <v xml:space="preserve"> </v>
      </c>
      <c r="AR166" s="90" t="str">
        <f>IFERROR(VLOOKUP(A166&amp;"aaaaaaa",COPY!$S$2:$AA$1000,7,FALSE)," ")</f>
        <v xml:space="preserve"> </v>
      </c>
      <c r="AS166" s="90" t="str">
        <f>IFERROR(VLOOKUP(A166&amp;"aaaaaaaa",COPY!$S$2:$AA$1000,7,FALSE)," ")</f>
        <v xml:space="preserve"> </v>
      </c>
      <c r="AT166" s="90" t="str">
        <f>IFERROR(VLOOKUP(A166&amp;"aaaaaaaaa",COPY!$S$2:$AA$1000,7,FALSE)," ")</f>
        <v xml:space="preserve"> </v>
      </c>
      <c r="AU166" s="90" t="str">
        <f>IFERROR(VLOOKUP(A166&amp;"aaaaaaaaaa",COPY!$S$2:$AA$1000,7,FALSE)," ")</f>
        <v xml:space="preserve"> </v>
      </c>
      <c r="AV166" s="90" t="str">
        <f>IFERROR(VLOOKUP(A166&amp;"aaaaaaaaaaa",COPY!$S$2:$AA$1000,7,FALSE)," ")</f>
        <v xml:space="preserve"> </v>
      </c>
    </row>
    <row r="167" spans="1:48" x14ac:dyDescent="0.2">
      <c r="A167" s="75" t="str">
        <f>'REKAP PAJAK'!W204</f>
        <v/>
      </c>
      <c r="B167" s="75" t="str">
        <f>IF(LEN(A167)&gt;1,VLOOKUP(A167,COPY!$O$2:$R$1000,4,FALSE),"")</f>
        <v/>
      </c>
      <c r="C167" s="75" t="str">
        <f t="shared" si="12"/>
        <v xml:space="preserve"> </v>
      </c>
      <c r="D167" s="75" t="str">
        <f t="shared" si="13"/>
        <v xml:space="preserve"> </v>
      </c>
      <c r="E167" s="75" t="str">
        <f t="shared" si="14"/>
        <v xml:space="preserve"> </v>
      </c>
      <c r="F167" s="75" t="str">
        <f t="shared" si="15"/>
        <v xml:space="preserve"> </v>
      </c>
      <c r="G167" s="75" t="str">
        <f>IFERROR(TEXT(VLOOKUP(A167,COPY!$S$2:$W$1000,3,FALSE),"dd-mmmm-yyyy")," ")</f>
        <v xml:space="preserve"> </v>
      </c>
      <c r="H167" s="75" t="str">
        <f t="shared" si="16"/>
        <v xml:space="preserve"> </v>
      </c>
      <c r="I167" s="75" t="str">
        <f t="shared" si="17"/>
        <v xml:space="preserve"> </v>
      </c>
      <c r="J167" s="90" t="str">
        <f>IFERROR(VLOOKUP(A167,COPY!$S$2:$W$1000,4,FALSE)," ")</f>
        <v xml:space="preserve"> </v>
      </c>
      <c r="K167" s="75" t="str">
        <f>IFERROR(VLOOKUP(A167,COPY!$S$2:$W$1000,5,FALSE)," ")</f>
        <v xml:space="preserve"> </v>
      </c>
      <c r="L167" s="75" t="str">
        <f>IF(B167="","",IF(LEFT(B167,2)="Ma",(VLOOKUP(B167,'Rekap Gaji'!$C$12:$D$26,2,FALSE))&amp;" Untuk "&amp;(PROPER('Rekap Gaji'!$B$2)),IF(LEFT(B167,2)="Mg","Pembelian Material Bahan Bangunan",IF(LEFT(B167,2)="Me","Biaya Pembelanjaan Menejemen",IF(LEFT(B167,1)="G",VLOOKUP(A167,COPY!$S$2:$AA$1000,2,FALSE)&amp;"( "&amp;TEXT(VLOOKUP(B167,'Rekap Gaji'!$A$12:$I$26,5,FALSE),"dd-mm-yyyy")&amp;" "&amp;TEXT(VLOOKUP(B167,'Rekap Gaji'!$A$12:$I$26,6,FALSE)&amp;" "&amp;TEXT(VLOOKUP(B167,'Rekap Gaji'!$A$12:$I$26,7,FALSE),"dd-mm-yyyy")&amp;" )"," "))))))</f>
        <v/>
      </c>
      <c r="M167" s="75" t="str">
        <f>IF(OR(LEFT(B167,2)="mg",LEFT(B167,2)="mE"),VLOOKUP(A167,COPY!$S$2:$AA$1000,2,FALSE),IF(LEFT(B167,1)="G"," ",IF(LEFT(B167,2)="ma"," "," ")))</f>
        <v xml:space="preserve"> </v>
      </c>
      <c r="N167" s="75" t="str">
        <f>IFERROR(VLOOKUP(A167&amp;"a",COPY!$S$2:$AA$1000,2,FALSE)," ")</f>
        <v xml:space="preserve"> </v>
      </c>
      <c r="O167" s="75" t="str">
        <f>IFERROR(VLOOKUP(A167&amp;"aa",COPY!$S$2:$AA$1000,2,FALSE)," ")</f>
        <v xml:space="preserve"> </v>
      </c>
      <c r="P167" s="75" t="str">
        <f>IFERROR(VLOOKUP(A167&amp;"aaa",COPY!$S$2:$AA$1000,2,FALSE)," ")</f>
        <v xml:space="preserve"> </v>
      </c>
      <c r="Q167" s="75" t="str">
        <f>IFERROR(VLOOKUP(A167&amp;"aaaa",COPY!$S$2:$AA$1000,2,FALSE)," ")</f>
        <v xml:space="preserve"> </v>
      </c>
      <c r="R167" s="75" t="str">
        <f>IFERROR(VLOOKUP(A167&amp;"aaaaa",COPY!$S$2:$AA$1000,2,FALSE)," ")</f>
        <v xml:space="preserve"> </v>
      </c>
      <c r="S167" s="75" t="str">
        <f>IFERROR(VLOOKUP(A167&amp;"aaaaaa",COPY!$S$2:$AA$1000,2,FALSE)," ")</f>
        <v xml:space="preserve"> </v>
      </c>
      <c r="T167" s="75" t="str">
        <f>IFERROR(VLOOKUP(A167&amp;"aaaaaaa",COPY!$S$2:$AA$1000,2,FALSE)," ")</f>
        <v xml:space="preserve"> </v>
      </c>
      <c r="U167" s="75" t="str">
        <f>IFERROR(VLOOKUP(A167&amp;"aaaaaaaa",COPY!$S$2:$AA$1000,2,FALSE)," ")</f>
        <v xml:space="preserve"> </v>
      </c>
      <c r="V167" s="75" t="str">
        <f>IFERROR(VLOOKUP(A167&amp;"aaaaaaaaa",COPY!$S$2:$AA$1000,2,FALSE)," ")</f>
        <v xml:space="preserve"> </v>
      </c>
      <c r="W167" s="75" t="str">
        <f>IFERROR(VLOOKUP(A167&amp;"aaaaaaaaaa",COPY!$S$2:$AA$1000,2,FALSE)," ")</f>
        <v xml:space="preserve"> </v>
      </c>
      <c r="X167" s="75" t="str">
        <f>IFERROR(VLOOKUP(A167&amp;"aaaaaaaaaaa",COPY!$S$2:$AA$1000,2,FALSE)," ")</f>
        <v xml:space="preserve"> </v>
      </c>
      <c r="Y167" s="90" t="str">
        <f>IF(OR(LEFT(B167,2)="mg",LEFT(B167,2)="mE"),VLOOKUP(A167,COPY!$S$2:$AA$1000,6,FALSE),IF(LEFT(B167,1)="G"," ",IF(LEFT(B167,2)="ma"," "," ")))</f>
        <v xml:space="preserve"> </v>
      </c>
      <c r="Z167" s="90" t="str">
        <f>IFERROR(VLOOKUP(A167&amp;"a",COPY!$S$2:$AA$1000,6,FALSE)," ")</f>
        <v xml:space="preserve"> </v>
      </c>
      <c r="AA167" s="90" t="str">
        <f>IFERROR(VLOOKUP(A167&amp;"aa",COPY!$S$2:$AA$1000,6,FALSE)," ")</f>
        <v xml:space="preserve"> </v>
      </c>
      <c r="AB167" s="90" t="str">
        <f>IFERROR(VLOOKUP(A167&amp;"aaa",COPY!$S$2:$AA$1000,6,FALSE)," ")</f>
        <v xml:space="preserve"> </v>
      </c>
      <c r="AC167" s="90" t="str">
        <f>IFERROR(VLOOKUP(A167&amp;"aaaa",COPY!$S$2:$AA$1000,6,FALSE)," ")</f>
        <v xml:space="preserve"> </v>
      </c>
      <c r="AD167" s="90" t="str">
        <f>IFERROR(VLOOKUP(A167&amp;"aaaaa",COPY!$S$2:$AA$1000,6,FALSE)," ")</f>
        <v xml:space="preserve"> </v>
      </c>
      <c r="AE167" s="90" t="str">
        <f>IFERROR(VLOOKUP(A167&amp;"aaaaaa",COPY!$S$2:$AA$1000,6,FALSE)," ")</f>
        <v xml:space="preserve"> </v>
      </c>
      <c r="AF167" s="90" t="str">
        <f>IFERROR(VLOOKUP(A167&amp;"aaaaaaa",COPY!$S$2:$AA$1000,6,FALSE)," ")</f>
        <v xml:space="preserve"> </v>
      </c>
      <c r="AG167" s="90" t="str">
        <f>IFERROR(VLOOKUP(A167&amp;"aaaaaaaa",COPY!$S$2:$AA$1000,6,FALSE)," ")</f>
        <v xml:space="preserve"> </v>
      </c>
      <c r="AH167" s="90" t="str">
        <f>IFERROR(VLOOKUP(A167&amp;"aaaaaaaaa",COPY!$S$2:$AA$1000,6,FALSE)," ")</f>
        <v xml:space="preserve"> </v>
      </c>
      <c r="AI167" s="90" t="str">
        <f>IFERROR(VLOOKUP(A167&amp;"aaaaaaaaaa",COPY!$S$2:$AA$1000,6,FALSE)," ")</f>
        <v xml:space="preserve"> </v>
      </c>
      <c r="AJ167" s="90" t="str">
        <f>IFERROR(VLOOKUP(A167&amp;"aaaaaaaaaaa",COPY!$S$2:$AA$1000,6,FALSE)," ")</f>
        <v xml:space="preserve"> </v>
      </c>
      <c r="AK167" s="90" t="str">
        <f>IF(LEFT(B167,2)="mg",VLOOKUP(A167,COPY!$S$2:$AA$1000,7,FALSE),IF(LEFT(B167,1)="G"," ",IF(LEFT(B167,2)="ma"," "," ")))</f>
        <v xml:space="preserve"> </v>
      </c>
      <c r="AL167" s="90" t="str">
        <f>IFERROR(VLOOKUP(A167&amp;"a",COPY!$S$2:$AA$1000,7,FALSE)," ")</f>
        <v xml:space="preserve"> </v>
      </c>
      <c r="AM167" s="90" t="str">
        <f>IFERROR(VLOOKUP(A167&amp;"aa",COPY!$S$2:$AA$1000,7,FALSE)," ")</f>
        <v xml:space="preserve"> </v>
      </c>
      <c r="AN167" s="90" t="str">
        <f>IFERROR(VLOOKUP(A167&amp;"aaa",COPY!$S$2:$AA$1000,7,FALSE)," ")</f>
        <v xml:space="preserve"> </v>
      </c>
      <c r="AO167" s="90" t="str">
        <f>IFERROR(VLOOKUP(A167&amp;"aaaa",COPY!$S$2:$AA$1000,7,FALSE)," ")</f>
        <v xml:space="preserve"> </v>
      </c>
      <c r="AP167" s="90" t="str">
        <f>IFERROR(VLOOKUP(A167&amp;"aaaaa",COPY!$S$2:$AA$1000,7,FALSE)," ")</f>
        <v xml:space="preserve"> </v>
      </c>
      <c r="AQ167" s="90" t="str">
        <f>IFERROR(VLOOKUP(A167&amp;"aaaaaa",COPY!$S$2:$AA$1000,7,FALSE)," ")</f>
        <v xml:space="preserve"> </v>
      </c>
      <c r="AR167" s="90" t="str">
        <f>IFERROR(VLOOKUP(A167&amp;"aaaaaaa",COPY!$S$2:$AA$1000,7,FALSE)," ")</f>
        <v xml:space="preserve"> </v>
      </c>
      <c r="AS167" s="90" t="str">
        <f>IFERROR(VLOOKUP(A167&amp;"aaaaaaaa",COPY!$S$2:$AA$1000,7,FALSE)," ")</f>
        <v xml:space="preserve"> </v>
      </c>
      <c r="AT167" s="90" t="str">
        <f>IFERROR(VLOOKUP(A167&amp;"aaaaaaaaa",COPY!$S$2:$AA$1000,7,FALSE)," ")</f>
        <v xml:space="preserve"> </v>
      </c>
      <c r="AU167" s="90" t="str">
        <f>IFERROR(VLOOKUP(A167&amp;"aaaaaaaaaa",COPY!$S$2:$AA$1000,7,FALSE)," ")</f>
        <v xml:space="preserve"> </v>
      </c>
      <c r="AV167" s="90" t="str">
        <f>IFERROR(VLOOKUP(A167&amp;"aaaaaaaaaaa",COPY!$S$2:$AA$1000,7,FALSE)," ")</f>
        <v xml:space="preserve"> </v>
      </c>
    </row>
    <row r="168" spans="1:48" x14ac:dyDescent="0.2">
      <c r="A168" s="75" t="str">
        <f>'REKAP PAJAK'!W205</f>
        <v/>
      </c>
      <c r="B168" s="75" t="str">
        <f>IF(LEN(A168)&gt;1,VLOOKUP(A168,COPY!$O$2:$R$1000,4,FALSE),"")</f>
        <v/>
      </c>
      <c r="C168" s="75" t="str">
        <f t="shared" si="12"/>
        <v xml:space="preserve"> </v>
      </c>
      <c r="D168" s="75" t="str">
        <f t="shared" si="13"/>
        <v xml:space="preserve"> </v>
      </c>
      <c r="E168" s="75" t="str">
        <f t="shared" si="14"/>
        <v xml:space="preserve"> </v>
      </c>
      <c r="F168" s="75" t="str">
        <f t="shared" si="15"/>
        <v xml:space="preserve"> </v>
      </c>
      <c r="G168" s="75" t="str">
        <f>IFERROR(TEXT(VLOOKUP(A168,COPY!$S$2:$W$1000,3,FALSE),"dd-mmmm-yyyy")," ")</f>
        <v xml:space="preserve"> </v>
      </c>
      <c r="H168" s="75" t="str">
        <f t="shared" si="16"/>
        <v xml:space="preserve"> </v>
      </c>
      <c r="I168" s="75" t="str">
        <f t="shared" si="17"/>
        <v xml:space="preserve"> </v>
      </c>
      <c r="J168" s="90" t="str">
        <f>IFERROR(VLOOKUP(A168,COPY!$S$2:$W$1000,4,FALSE)," ")</f>
        <v xml:space="preserve"> </v>
      </c>
      <c r="K168" s="75" t="str">
        <f>IFERROR(VLOOKUP(A168,COPY!$S$2:$W$1000,5,FALSE)," ")</f>
        <v xml:space="preserve"> </v>
      </c>
      <c r="L168" s="75" t="str">
        <f>IF(B168="","",IF(LEFT(B168,2)="Ma",(VLOOKUP(B168,'Rekap Gaji'!$C$12:$D$26,2,FALSE))&amp;" Untuk "&amp;(PROPER('Rekap Gaji'!$B$2)),IF(LEFT(B168,2)="Mg","Pembelian Material Bahan Bangunan",IF(LEFT(B168,2)="Me","Biaya Pembelanjaan Menejemen",IF(LEFT(B168,1)="G",VLOOKUP(A168,COPY!$S$2:$AA$1000,2,FALSE)&amp;"( "&amp;TEXT(VLOOKUP(B168,'Rekap Gaji'!$A$12:$I$26,5,FALSE),"dd-mm-yyyy")&amp;" "&amp;TEXT(VLOOKUP(B168,'Rekap Gaji'!$A$12:$I$26,6,FALSE)&amp;" "&amp;TEXT(VLOOKUP(B168,'Rekap Gaji'!$A$12:$I$26,7,FALSE),"dd-mm-yyyy")&amp;" )"," "))))))</f>
        <v/>
      </c>
      <c r="M168" s="75" t="str">
        <f>IF(OR(LEFT(B168,2)="mg",LEFT(B168,2)="mE"),VLOOKUP(A168,COPY!$S$2:$AA$1000,2,FALSE),IF(LEFT(B168,1)="G"," ",IF(LEFT(B168,2)="ma"," "," ")))</f>
        <v xml:space="preserve"> </v>
      </c>
      <c r="N168" s="75" t="str">
        <f>IFERROR(VLOOKUP(A168&amp;"a",COPY!$S$2:$AA$1000,2,FALSE)," ")</f>
        <v xml:space="preserve"> </v>
      </c>
      <c r="O168" s="75" t="str">
        <f>IFERROR(VLOOKUP(A168&amp;"aa",COPY!$S$2:$AA$1000,2,FALSE)," ")</f>
        <v xml:space="preserve"> </v>
      </c>
      <c r="P168" s="75" t="str">
        <f>IFERROR(VLOOKUP(A168&amp;"aaa",COPY!$S$2:$AA$1000,2,FALSE)," ")</f>
        <v xml:space="preserve"> </v>
      </c>
      <c r="Q168" s="75" t="str">
        <f>IFERROR(VLOOKUP(A168&amp;"aaaa",COPY!$S$2:$AA$1000,2,FALSE)," ")</f>
        <v xml:space="preserve"> </v>
      </c>
      <c r="R168" s="75" t="str">
        <f>IFERROR(VLOOKUP(A168&amp;"aaaaa",COPY!$S$2:$AA$1000,2,FALSE)," ")</f>
        <v xml:space="preserve"> </v>
      </c>
      <c r="S168" s="75" t="str">
        <f>IFERROR(VLOOKUP(A168&amp;"aaaaaa",COPY!$S$2:$AA$1000,2,FALSE)," ")</f>
        <v xml:space="preserve"> </v>
      </c>
      <c r="T168" s="75" t="str">
        <f>IFERROR(VLOOKUP(A168&amp;"aaaaaaa",COPY!$S$2:$AA$1000,2,FALSE)," ")</f>
        <v xml:space="preserve"> </v>
      </c>
      <c r="U168" s="75" t="str">
        <f>IFERROR(VLOOKUP(A168&amp;"aaaaaaaa",COPY!$S$2:$AA$1000,2,FALSE)," ")</f>
        <v xml:space="preserve"> </v>
      </c>
      <c r="V168" s="75" t="str">
        <f>IFERROR(VLOOKUP(A168&amp;"aaaaaaaaa",COPY!$S$2:$AA$1000,2,FALSE)," ")</f>
        <v xml:space="preserve"> </v>
      </c>
      <c r="W168" s="75" t="str">
        <f>IFERROR(VLOOKUP(A168&amp;"aaaaaaaaaa",COPY!$S$2:$AA$1000,2,FALSE)," ")</f>
        <v xml:space="preserve"> </v>
      </c>
      <c r="X168" s="75" t="str">
        <f>IFERROR(VLOOKUP(A168&amp;"aaaaaaaaaaa",COPY!$S$2:$AA$1000,2,FALSE)," ")</f>
        <v xml:space="preserve"> </v>
      </c>
      <c r="Y168" s="90" t="str">
        <f>IF(OR(LEFT(B168,2)="mg",LEFT(B168,2)="mE"),VLOOKUP(A168,COPY!$S$2:$AA$1000,6,FALSE),IF(LEFT(B168,1)="G"," ",IF(LEFT(B168,2)="ma"," "," ")))</f>
        <v xml:space="preserve"> </v>
      </c>
      <c r="Z168" s="90" t="str">
        <f>IFERROR(VLOOKUP(A168&amp;"a",COPY!$S$2:$AA$1000,6,FALSE)," ")</f>
        <v xml:space="preserve"> </v>
      </c>
      <c r="AA168" s="90" t="str">
        <f>IFERROR(VLOOKUP(A168&amp;"aa",COPY!$S$2:$AA$1000,6,FALSE)," ")</f>
        <v xml:space="preserve"> </v>
      </c>
      <c r="AB168" s="90" t="str">
        <f>IFERROR(VLOOKUP(A168&amp;"aaa",COPY!$S$2:$AA$1000,6,FALSE)," ")</f>
        <v xml:space="preserve"> </v>
      </c>
      <c r="AC168" s="90" t="str">
        <f>IFERROR(VLOOKUP(A168&amp;"aaaa",COPY!$S$2:$AA$1000,6,FALSE)," ")</f>
        <v xml:space="preserve"> </v>
      </c>
      <c r="AD168" s="90" t="str">
        <f>IFERROR(VLOOKUP(A168&amp;"aaaaa",COPY!$S$2:$AA$1000,6,FALSE)," ")</f>
        <v xml:space="preserve"> </v>
      </c>
      <c r="AE168" s="90" t="str">
        <f>IFERROR(VLOOKUP(A168&amp;"aaaaaa",COPY!$S$2:$AA$1000,6,FALSE)," ")</f>
        <v xml:space="preserve"> </v>
      </c>
      <c r="AF168" s="90" t="str">
        <f>IFERROR(VLOOKUP(A168&amp;"aaaaaaa",COPY!$S$2:$AA$1000,6,FALSE)," ")</f>
        <v xml:space="preserve"> </v>
      </c>
      <c r="AG168" s="90" t="str">
        <f>IFERROR(VLOOKUP(A168&amp;"aaaaaaaa",COPY!$S$2:$AA$1000,6,FALSE)," ")</f>
        <v xml:space="preserve"> </v>
      </c>
      <c r="AH168" s="90" t="str">
        <f>IFERROR(VLOOKUP(A168&amp;"aaaaaaaaa",COPY!$S$2:$AA$1000,6,FALSE)," ")</f>
        <v xml:space="preserve"> </v>
      </c>
      <c r="AI168" s="90" t="str">
        <f>IFERROR(VLOOKUP(A168&amp;"aaaaaaaaaa",COPY!$S$2:$AA$1000,6,FALSE)," ")</f>
        <v xml:space="preserve"> </v>
      </c>
      <c r="AJ168" s="90" t="str">
        <f>IFERROR(VLOOKUP(A168&amp;"aaaaaaaaaaa",COPY!$S$2:$AA$1000,6,FALSE)," ")</f>
        <v xml:space="preserve"> </v>
      </c>
      <c r="AK168" s="90" t="str">
        <f>IF(LEFT(B168,2)="mg",VLOOKUP(A168,COPY!$S$2:$AA$1000,7,FALSE),IF(LEFT(B168,1)="G"," ",IF(LEFT(B168,2)="ma"," "," ")))</f>
        <v xml:space="preserve"> </v>
      </c>
      <c r="AL168" s="90" t="str">
        <f>IFERROR(VLOOKUP(A168&amp;"a",COPY!$S$2:$AA$1000,7,FALSE)," ")</f>
        <v xml:space="preserve"> </v>
      </c>
      <c r="AM168" s="90" t="str">
        <f>IFERROR(VLOOKUP(A168&amp;"aa",COPY!$S$2:$AA$1000,7,FALSE)," ")</f>
        <v xml:space="preserve"> </v>
      </c>
      <c r="AN168" s="90" t="str">
        <f>IFERROR(VLOOKUP(A168&amp;"aaa",COPY!$S$2:$AA$1000,7,FALSE)," ")</f>
        <v xml:space="preserve"> </v>
      </c>
      <c r="AO168" s="90" t="str">
        <f>IFERROR(VLOOKUP(A168&amp;"aaaa",COPY!$S$2:$AA$1000,7,FALSE)," ")</f>
        <v xml:space="preserve"> </v>
      </c>
      <c r="AP168" s="90" t="str">
        <f>IFERROR(VLOOKUP(A168&amp;"aaaaa",COPY!$S$2:$AA$1000,7,FALSE)," ")</f>
        <v xml:space="preserve"> </v>
      </c>
      <c r="AQ168" s="90" t="str">
        <f>IFERROR(VLOOKUP(A168&amp;"aaaaaa",COPY!$S$2:$AA$1000,7,FALSE)," ")</f>
        <v xml:space="preserve"> </v>
      </c>
      <c r="AR168" s="90" t="str">
        <f>IFERROR(VLOOKUP(A168&amp;"aaaaaaa",COPY!$S$2:$AA$1000,7,FALSE)," ")</f>
        <v xml:space="preserve"> </v>
      </c>
      <c r="AS168" s="90" t="str">
        <f>IFERROR(VLOOKUP(A168&amp;"aaaaaaaa",COPY!$S$2:$AA$1000,7,FALSE)," ")</f>
        <v xml:space="preserve"> </v>
      </c>
      <c r="AT168" s="90" t="str">
        <f>IFERROR(VLOOKUP(A168&amp;"aaaaaaaaa",COPY!$S$2:$AA$1000,7,FALSE)," ")</f>
        <v xml:space="preserve"> </v>
      </c>
      <c r="AU168" s="90" t="str">
        <f>IFERROR(VLOOKUP(A168&amp;"aaaaaaaaaa",COPY!$S$2:$AA$1000,7,FALSE)," ")</f>
        <v xml:space="preserve"> </v>
      </c>
      <c r="AV168" s="90" t="str">
        <f>IFERROR(VLOOKUP(A168&amp;"aaaaaaaaaaa",COPY!$S$2:$AA$1000,7,FALSE)," ")</f>
        <v xml:space="preserve"> </v>
      </c>
    </row>
    <row r="169" spans="1:48" x14ac:dyDescent="0.2">
      <c r="A169" s="75" t="str">
        <f>'REKAP PAJAK'!W206</f>
        <v/>
      </c>
      <c r="B169" s="75" t="str">
        <f>IF(LEN(A169)&gt;1,VLOOKUP(A169,COPY!$O$2:$R$1000,4,FALSE),"")</f>
        <v/>
      </c>
      <c r="C169" s="75" t="str">
        <f t="shared" si="12"/>
        <v xml:space="preserve"> </v>
      </c>
      <c r="D169" s="75" t="str">
        <f t="shared" si="13"/>
        <v xml:space="preserve"> </v>
      </c>
      <c r="E169" s="75" t="str">
        <f t="shared" si="14"/>
        <v xml:space="preserve"> </v>
      </c>
      <c r="F169" s="75" t="str">
        <f t="shared" si="15"/>
        <v xml:space="preserve"> </v>
      </c>
      <c r="G169" s="75" t="str">
        <f>IFERROR(TEXT(VLOOKUP(A169,COPY!$S$2:$W$1000,3,FALSE),"dd-mmmm-yyyy")," ")</f>
        <v xml:space="preserve"> </v>
      </c>
      <c r="H169" s="75" t="str">
        <f t="shared" si="16"/>
        <v xml:space="preserve"> </v>
      </c>
      <c r="I169" s="75" t="str">
        <f t="shared" si="17"/>
        <v xml:space="preserve"> </v>
      </c>
      <c r="J169" s="90" t="str">
        <f>IFERROR(VLOOKUP(A169,COPY!$S$2:$W$1000,4,FALSE)," ")</f>
        <v xml:space="preserve"> </v>
      </c>
      <c r="K169" s="75" t="str">
        <f>IFERROR(VLOOKUP(A169,COPY!$S$2:$W$1000,5,FALSE)," ")</f>
        <v xml:space="preserve"> </v>
      </c>
      <c r="L169" s="75" t="str">
        <f>IF(B169="","",IF(LEFT(B169,2)="Ma",(VLOOKUP(B169,'Rekap Gaji'!$C$12:$D$26,2,FALSE))&amp;" Untuk "&amp;(PROPER('Rekap Gaji'!$B$2)),IF(LEFT(B169,2)="Mg","Pembelian Material Bahan Bangunan",IF(LEFT(B169,2)="Me","Biaya Pembelanjaan Menejemen",IF(LEFT(B169,1)="G",VLOOKUP(A169,COPY!$S$2:$AA$1000,2,FALSE)&amp;"( "&amp;TEXT(VLOOKUP(B169,'Rekap Gaji'!$A$12:$I$26,5,FALSE),"dd-mm-yyyy")&amp;" "&amp;TEXT(VLOOKUP(B169,'Rekap Gaji'!$A$12:$I$26,6,FALSE)&amp;" "&amp;TEXT(VLOOKUP(B169,'Rekap Gaji'!$A$12:$I$26,7,FALSE),"dd-mm-yyyy")&amp;" )"," "))))))</f>
        <v/>
      </c>
      <c r="M169" s="75" t="str">
        <f>IF(OR(LEFT(B169,2)="mg",LEFT(B169,2)="mE"),VLOOKUP(A169,COPY!$S$2:$AA$1000,2,FALSE),IF(LEFT(B169,1)="G"," ",IF(LEFT(B169,2)="ma"," "," ")))</f>
        <v xml:space="preserve"> </v>
      </c>
      <c r="N169" s="75" t="str">
        <f>IFERROR(VLOOKUP(A169&amp;"a",COPY!$S$2:$AA$1000,2,FALSE)," ")</f>
        <v xml:space="preserve"> </v>
      </c>
      <c r="O169" s="75" t="str">
        <f>IFERROR(VLOOKUP(A169&amp;"aa",COPY!$S$2:$AA$1000,2,FALSE)," ")</f>
        <v xml:space="preserve"> </v>
      </c>
      <c r="P169" s="75" t="str">
        <f>IFERROR(VLOOKUP(A169&amp;"aaa",COPY!$S$2:$AA$1000,2,FALSE)," ")</f>
        <v xml:space="preserve"> </v>
      </c>
      <c r="Q169" s="75" t="str">
        <f>IFERROR(VLOOKUP(A169&amp;"aaaa",COPY!$S$2:$AA$1000,2,FALSE)," ")</f>
        <v xml:space="preserve"> </v>
      </c>
      <c r="R169" s="75" t="str">
        <f>IFERROR(VLOOKUP(A169&amp;"aaaaa",COPY!$S$2:$AA$1000,2,FALSE)," ")</f>
        <v xml:space="preserve"> </v>
      </c>
      <c r="S169" s="75" t="str">
        <f>IFERROR(VLOOKUP(A169&amp;"aaaaaa",COPY!$S$2:$AA$1000,2,FALSE)," ")</f>
        <v xml:space="preserve"> </v>
      </c>
      <c r="T169" s="75" t="str">
        <f>IFERROR(VLOOKUP(A169&amp;"aaaaaaa",COPY!$S$2:$AA$1000,2,FALSE)," ")</f>
        <v xml:space="preserve"> </v>
      </c>
      <c r="U169" s="75" t="str">
        <f>IFERROR(VLOOKUP(A169&amp;"aaaaaaaa",COPY!$S$2:$AA$1000,2,FALSE)," ")</f>
        <v xml:space="preserve"> </v>
      </c>
      <c r="V169" s="75" t="str">
        <f>IFERROR(VLOOKUP(A169&amp;"aaaaaaaaa",COPY!$S$2:$AA$1000,2,FALSE)," ")</f>
        <v xml:space="preserve"> </v>
      </c>
      <c r="W169" s="75" t="str">
        <f>IFERROR(VLOOKUP(A169&amp;"aaaaaaaaaa",COPY!$S$2:$AA$1000,2,FALSE)," ")</f>
        <v xml:space="preserve"> </v>
      </c>
      <c r="X169" s="75" t="str">
        <f>IFERROR(VLOOKUP(A169&amp;"aaaaaaaaaaa",COPY!$S$2:$AA$1000,2,FALSE)," ")</f>
        <v xml:space="preserve"> </v>
      </c>
      <c r="Y169" s="90" t="str">
        <f>IF(OR(LEFT(B169,2)="mg",LEFT(B169,2)="mE"),VLOOKUP(A169,COPY!$S$2:$AA$1000,6,FALSE),IF(LEFT(B169,1)="G"," ",IF(LEFT(B169,2)="ma"," "," ")))</f>
        <v xml:space="preserve"> </v>
      </c>
      <c r="Z169" s="90" t="str">
        <f>IFERROR(VLOOKUP(A169&amp;"a",COPY!$S$2:$AA$1000,6,FALSE)," ")</f>
        <v xml:space="preserve"> </v>
      </c>
      <c r="AA169" s="90" t="str">
        <f>IFERROR(VLOOKUP(A169&amp;"aa",COPY!$S$2:$AA$1000,6,FALSE)," ")</f>
        <v xml:space="preserve"> </v>
      </c>
      <c r="AB169" s="90" t="str">
        <f>IFERROR(VLOOKUP(A169&amp;"aaa",COPY!$S$2:$AA$1000,6,FALSE)," ")</f>
        <v xml:space="preserve"> </v>
      </c>
      <c r="AC169" s="90" t="str">
        <f>IFERROR(VLOOKUP(A169&amp;"aaaa",COPY!$S$2:$AA$1000,6,FALSE)," ")</f>
        <v xml:space="preserve"> </v>
      </c>
      <c r="AD169" s="90" t="str">
        <f>IFERROR(VLOOKUP(A169&amp;"aaaaa",COPY!$S$2:$AA$1000,6,FALSE)," ")</f>
        <v xml:space="preserve"> </v>
      </c>
      <c r="AE169" s="90" t="str">
        <f>IFERROR(VLOOKUP(A169&amp;"aaaaaa",COPY!$S$2:$AA$1000,6,FALSE)," ")</f>
        <v xml:space="preserve"> </v>
      </c>
      <c r="AF169" s="90" t="str">
        <f>IFERROR(VLOOKUP(A169&amp;"aaaaaaa",COPY!$S$2:$AA$1000,6,FALSE)," ")</f>
        <v xml:space="preserve"> </v>
      </c>
      <c r="AG169" s="90" t="str">
        <f>IFERROR(VLOOKUP(A169&amp;"aaaaaaaa",COPY!$S$2:$AA$1000,6,FALSE)," ")</f>
        <v xml:space="preserve"> </v>
      </c>
      <c r="AH169" s="90" t="str">
        <f>IFERROR(VLOOKUP(A169&amp;"aaaaaaaaa",COPY!$S$2:$AA$1000,6,FALSE)," ")</f>
        <v xml:space="preserve"> </v>
      </c>
      <c r="AI169" s="90" t="str">
        <f>IFERROR(VLOOKUP(A169&amp;"aaaaaaaaaa",COPY!$S$2:$AA$1000,6,FALSE)," ")</f>
        <v xml:space="preserve"> </v>
      </c>
      <c r="AJ169" s="90" t="str">
        <f>IFERROR(VLOOKUP(A169&amp;"aaaaaaaaaaa",COPY!$S$2:$AA$1000,6,FALSE)," ")</f>
        <v xml:space="preserve"> </v>
      </c>
      <c r="AK169" s="90" t="str">
        <f>IF(LEFT(B169,2)="mg",VLOOKUP(A169,COPY!$S$2:$AA$1000,7,FALSE),IF(LEFT(B169,1)="G"," ",IF(LEFT(B169,2)="ma"," "," ")))</f>
        <v xml:space="preserve"> </v>
      </c>
      <c r="AL169" s="90" t="str">
        <f>IFERROR(VLOOKUP(A169&amp;"a",COPY!$S$2:$AA$1000,7,FALSE)," ")</f>
        <v xml:space="preserve"> </v>
      </c>
      <c r="AM169" s="90" t="str">
        <f>IFERROR(VLOOKUP(A169&amp;"aa",COPY!$S$2:$AA$1000,7,FALSE)," ")</f>
        <v xml:space="preserve"> </v>
      </c>
      <c r="AN169" s="90" t="str">
        <f>IFERROR(VLOOKUP(A169&amp;"aaa",COPY!$S$2:$AA$1000,7,FALSE)," ")</f>
        <v xml:space="preserve"> </v>
      </c>
      <c r="AO169" s="90" t="str">
        <f>IFERROR(VLOOKUP(A169&amp;"aaaa",COPY!$S$2:$AA$1000,7,FALSE)," ")</f>
        <v xml:space="preserve"> </v>
      </c>
      <c r="AP169" s="90" t="str">
        <f>IFERROR(VLOOKUP(A169&amp;"aaaaa",COPY!$S$2:$AA$1000,7,FALSE)," ")</f>
        <v xml:space="preserve"> </v>
      </c>
      <c r="AQ169" s="90" t="str">
        <f>IFERROR(VLOOKUP(A169&amp;"aaaaaa",COPY!$S$2:$AA$1000,7,FALSE)," ")</f>
        <v xml:space="preserve"> </v>
      </c>
      <c r="AR169" s="90" t="str">
        <f>IFERROR(VLOOKUP(A169&amp;"aaaaaaa",COPY!$S$2:$AA$1000,7,FALSE)," ")</f>
        <v xml:space="preserve"> </v>
      </c>
      <c r="AS169" s="90" t="str">
        <f>IFERROR(VLOOKUP(A169&amp;"aaaaaaaa",COPY!$S$2:$AA$1000,7,FALSE)," ")</f>
        <v xml:space="preserve"> </v>
      </c>
      <c r="AT169" s="90" t="str">
        <f>IFERROR(VLOOKUP(A169&amp;"aaaaaaaaa",COPY!$S$2:$AA$1000,7,FALSE)," ")</f>
        <v xml:space="preserve"> </v>
      </c>
      <c r="AU169" s="90" t="str">
        <f>IFERROR(VLOOKUP(A169&amp;"aaaaaaaaaa",COPY!$S$2:$AA$1000,7,FALSE)," ")</f>
        <v xml:space="preserve"> </v>
      </c>
      <c r="AV169" s="90" t="str">
        <f>IFERROR(VLOOKUP(A169&amp;"aaaaaaaaaaa",COPY!$S$2:$AA$1000,7,FALSE)," ")</f>
        <v xml:space="preserve"> </v>
      </c>
    </row>
    <row r="170" spans="1:48" x14ac:dyDescent="0.2">
      <c r="A170" s="75" t="str">
        <f>'REKAP PAJAK'!W207</f>
        <v/>
      </c>
      <c r="B170" s="75" t="str">
        <f>IF(LEN(A170)&gt;1,VLOOKUP(A170,COPY!$O$2:$R$1000,4,FALSE),"")</f>
        <v/>
      </c>
      <c r="C170" s="75" t="str">
        <f t="shared" si="12"/>
        <v xml:space="preserve"> </v>
      </c>
      <c r="D170" s="75" t="str">
        <f t="shared" si="13"/>
        <v xml:space="preserve"> </v>
      </c>
      <c r="E170" s="75" t="str">
        <f t="shared" si="14"/>
        <v xml:space="preserve"> </v>
      </c>
      <c r="F170" s="75" t="str">
        <f t="shared" si="15"/>
        <v xml:space="preserve"> </v>
      </c>
      <c r="G170" s="75" t="str">
        <f>IFERROR(TEXT(VLOOKUP(A170,COPY!$S$2:$W$1000,3,FALSE),"dd-mmmm-yyyy")," ")</f>
        <v xml:space="preserve"> </v>
      </c>
      <c r="H170" s="75" t="str">
        <f t="shared" si="16"/>
        <v xml:space="preserve"> </v>
      </c>
      <c r="I170" s="75" t="str">
        <f t="shared" si="17"/>
        <v xml:space="preserve"> </v>
      </c>
      <c r="J170" s="90" t="str">
        <f>IFERROR(VLOOKUP(A170,COPY!$S$2:$W$1000,4,FALSE)," ")</f>
        <v xml:space="preserve"> </v>
      </c>
      <c r="K170" s="75" t="str">
        <f>IFERROR(VLOOKUP(A170,COPY!$S$2:$W$1000,5,FALSE)," ")</f>
        <v xml:space="preserve"> </v>
      </c>
      <c r="L170" s="75" t="str">
        <f>IF(B170="","",IF(LEFT(B170,2)="Ma",(VLOOKUP(B170,'Rekap Gaji'!$C$12:$D$26,2,FALSE))&amp;" Untuk "&amp;(PROPER('Rekap Gaji'!$B$2)),IF(LEFT(B170,2)="Mg","Pembelian Material Bahan Bangunan",IF(LEFT(B170,2)="Me","Biaya Pembelanjaan Menejemen",IF(LEFT(B170,1)="G",VLOOKUP(A170,COPY!$S$2:$AA$1000,2,FALSE)&amp;"( "&amp;TEXT(VLOOKUP(B170,'Rekap Gaji'!$A$12:$I$26,5,FALSE),"dd-mm-yyyy")&amp;" "&amp;TEXT(VLOOKUP(B170,'Rekap Gaji'!$A$12:$I$26,6,FALSE)&amp;" "&amp;TEXT(VLOOKUP(B170,'Rekap Gaji'!$A$12:$I$26,7,FALSE),"dd-mm-yyyy")&amp;" )"," "))))))</f>
        <v/>
      </c>
      <c r="M170" s="75" t="str">
        <f>IF(OR(LEFT(B170,2)="mg",LEFT(B170,2)="mE"),VLOOKUP(A170,COPY!$S$2:$AA$1000,2,FALSE),IF(LEFT(B170,1)="G"," ",IF(LEFT(B170,2)="ma"," "," ")))</f>
        <v xml:space="preserve"> </v>
      </c>
      <c r="N170" s="75" t="str">
        <f>IFERROR(VLOOKUP(A170&amp;"a",COPY!$S$2:$AA$1000,2,FALSE)," ")</f>
        <v xml:space="preserve"> </v>
      </c>
      <c r="O170" s="75" t="str">
        <f>IFERROR(VLOOKUP(A170&amp;"aa",COPY!$S$2:$AA$1000,2,FALSE)," ")</f>
        <v xml:space="preserve"> </v>
      </c>
      <c r="P170" s="75" t="str">
        <f>IFERROR(VLOOKUP(A170&amp;"aaa",COPY!$S$2:$AA$1000,2,FALSE)," ")</f>
        <v xml:space="preserve"> </v>
      </c>
      <c r="Q170" s="75" t="str">
        <f>IFERROR(VLOOKUP(A170&amp;"aaaa",COPY!$S$2:$AA$1000,2,FALSE)," ")</f>
        <v xml:space="preserve"> </v>
      </c>
      <c r="R170" s="75" t="str">
        <f>IFERROR(VLOOKUP(A170&amp;"aaaaa",COPY!$S$2:$AA$1000,2,FALSE)," ")</f>
        <v xml:space="preserve"> </v>
      </c>
      <c r="S170" s="75" t="str">
        <f>IFERROR(VLOOKUP(A170&amp;"aaaaaa",COPY!$S$2:$AA$1000,2,FALSE)," ")</f>
        <v xml:space="preserve"> </v>
      </c>
      <c r="T170" s="75" t="str">
        <f>IFERROR(VLOOKUP(A170&amp;"aaaaaaa",COPY!$S$2:$AA$1000,2,FALSE)," ")</f>
        <v xml:space="preserve"> </v>
      </c>
      <c r="U170" s="75" t="str">
        <f>IFERROR(VLOOKUP(A170&amp;"aaaaaaaa",COPY!$S$2:$AA$1000,2,FALSE)," ")</f>
        <v xml:space="preserve"> </v>
      </c>
      <c r="V170" s="75" t="str">
        <f>IFERROR(VLOOKUP(A170&amp;"aaaaaaaaa",COPY!$S$2:$AA$1000,2,FALSE)," ")</f>
        <v xml:space="preserve"> </v>
      </c>
      <c r="W170" s="75" t="str">
        <f>IFERROR(VLOOKUP(A170&amp;"aaaaaaaaaa",COPY!$S$2:$AA$1000,2,FALSE)," ")</f>
        <v xml:space="preserve"> </v>
      </c>
      <c r="X170" s="75" t="str">
        <f>IFERROR(VLOOKUP(A170&amp;"aaaaaaaaaaa",COPY!$S$2:$AA$1000,2,FALSE)," ")</f>
        <v xml:space="preserve"> </v>
      </c>
      <c r="Y170" s="90" t="str">
        <f>IF(OR(LEFT(B170,2)="mg",LEFT(B170,2)="mE"),VLOOKUP(A170,COPY!$S$2:$AA$1000,6,FALSE),IF(LEFT(B170,1)="G"," ",IF(LEFT(B170,2)="ma"," "," ")))</f>
        <v xml:space="preserve"> </v>
      </c>
      <c r="Z170" s="90" t="str">
        <f>IFERROR(VLOOKUP(A170&amp;"a",COPY!$S$2:$AA$1000,6,FALSE)," ")</f>
        <v xml:space="preserve"> </v>
      </c>
      <c r="AA170" s="90" t="str">
        <f>IFERROR(VLOOKUP(A170&amp;"aa",COPY!$S$2:$AA$1000,6,FALSE)," ")</f>
        <v xml:space="preserve"> </v>
      </c>
      <c r="AB170" s="90" t="str">
        <f>IFERROR(VLOOKUP(A170&amp;"aaa",COPY!$S$2:$AA$1000,6,FALSE)," ")</f>
        <v xml:space="preserve"> </v>
      </c>
      <c r="AC170" s="90" t="str">
        <f>IFERROR(VLOOKUP(A170&amp;"aaaa",COPY!$S$2:$AA$1000,6,FALSE)," ")</f>
        <v xml:space="preserve"> </v>
      </c>
      <c r="AD170" s="90" t="str">
        <f>IFERROR(VLOOKUP(A170&amp;"aaaaa",COPY!$S$2:$AA$1000,6,FALSE)," ")</f>
        <v xml:space="preserve"> </v>
      </c>
      <c r="AE170" s="90" t="str">
        <f>IFERROR(VLOOKUP(A170&amp;"aaaaaa",COPY!$S$2:$AA$1000,6,FALSE)," ")</f>
        <v xml:space="preserve"> </v>
      </c>
      <c r="AF170" s="90" t="str">
        <f>IFERROR(VLOOKUP(A170&amp;"aaaaaaa",COPY!$S$2:$AA$1000,6,FALSE)," ")</f>
        <v xml:space="preserve"> </v>
      </c>
      <c r="AG170" s="90" t="str">
        <f>IFERROR(VLOOKUP(A170&amp;"aaaaaaaa",COPY!$S$2:$AA$1000,6,FALSE)," ")</f>
        <v xml:space="preserve"> </v>
      </c>
      <c r="AH170" s="90" t="str">
        <f>IFERROR(VLOOKUP(A170&amp;"aaaaaaaaa",COPY!$S$2:$AA$1000,6,FALSE)," ")</f>
        <v xml:space="preserve"> </v>
      </c>
      <c r="AI170" s="90" t="str">
        <f>IFERROR(VLOOKUP(A170&amp;"aaaaaaaaaa",COPY!$S$2:$AA$1000,6,FALSE)," ")</f>
        <v xml:space="preserve"> </v>
      </c>
      <c r="AJ170" s="90" t="str">
        <f>IFERROR(VLOOKUP(A170&amp;"aaaaaaaaaaa",COPY!$S$2:$AA$1000,6,FALSE)," ")</f>
        <v xml:space="preserve"> </v>
      </c>
      <c r="AK170" s="90" t="str">
        <f>IF(LEFT(B170,2)="mg",VLOOKUP(A170,COPY!$S$2:$AA$1000,7,FALSE),IF(LEFT(B170,1)="G"," ",IF(LEFT(B170,2)="ma"," "," ")))</f>
        <v xml:space="preserve"> </v>
      </c>
      <c r="AL170" s="90" t="str">
        <f>IFERROR(VLOOKUP(A170&amp;"a",COPY!$S$2:$AA$1000,7,FALSE)," ")</f>
        <v xml:space="preserve"> </v>
      </c>
      <c r="AM170" s="90" t="str">
        <f>IFERROR(VLOOKUP(A170&amp;"aa",COPY!$S$2:$AA$1000,7,FALSE)," ")</f>
        <v xml:space="preserve"> </v>
      </c>
      <c r="AN170" s="90" t="str">
        <f>IFERROR(VLOOKUP(A170&amp;"aaa",COPY!$S$2:$AA$1000,7,FALSE)," ")</f>
        <v xml:space="preserve"> </v>
      </c>
      <c r="AO170" s="90" t="str">
        <f>IFERROR(VLOOKUP(A170&amp;"aaaa",COPY!$S$2:$AA$1000,7,FALSE)," ")</f>
        <v xml:space="preserve"> </v>
      </c>
      <c r="AP170" s="90" t="str">
        <f>IFERROR(VLOOKUP(A170&amp;"aaaaa",COPY!$S$2:$AA$1000,7,FALSE)," ")</f>
        <v xml:space="preserve"> </v>
      </c>
      <c r="AQ170" s="90" t="str">
        <f>IFERROR(VLOOKUP(A170&amp;"aaaaaa",COPY!$S$2:$AA$1000,7,FALSE)," ")</f>
        <v xml:space="preserve"> </v>
      </c>
      <c r="AR170" s="90" t="str">
        <f>IFERROR(VLOOKUP(A170&amp;"aaaaaaa",COPY!$S$2:$AA$1000,7,FALSE)," ")</f>
        <v xml:space="preserve"> </v>
      </c>
      <c r="AS170" s="90" t="str">
        <f>IFERROR(VLOOKUP(A170&amp;"aaaaaaaa",COPY!$S$2:$AA$1000,7,FALSE)," ")</f>
        <v xml:space="preserve"> </v>
      </c>
      <c r="AT170" s="90" t="str">
        <f>IFERROR(VLOOKUP(A170&amp;"aaaaaaaaa",COPY!$S$2:$AA$1000,7,FALSE)," ")</f>
        <v xml:space="preserve"> </v>
      </c>
      <c r="AU170" s="90" t="str">
        <f>IFERROR(VLOOKUP(A170&amp;"aaaaaaaaaa",COPY!$S$2:$AA$1000,7,FALSE)," ")</f>
        <v xml:space="preserve"> </v>
      </c>
      <c r="AV170" s="90" t="str">
        <f>IFERROR(VLOOKUP(A170&amp;"aaaaaaaaaaa",COPY!$S$2:$AA$1000,7,FALSE)," ")</f>
        <v xml:space="preserve"> </v>
      </c>
    </row>
    <row r="171" spans="1:48" x14ac:dyDescent="0.2">
      <c r="A171" s="75" t="str">
        <f>'REKAP PAJAK'!W208</f>
        <v/>
      </c>
      <c r="B171" s="75" t="str">
        <f>IF(LEN(A171)&gt;1,VLOOKUP(A171,COPY!$O$2:$R$1000,4,FALSE),"")</f>
        <v/>
      </c>
      <c r="C171" s="75" t="str">
        <f t="shared" si="12"/>
        <v xml:space="preserve"> </v>
      </c>
      <c r="D171" s="75" t="str">
        <f t="shared" si="13"/>
        <v xml:space="preserve"> </v>
      </c>
      <c r="E171" s="75" t="str">
        <f t="shared" si="14"/>
        <v xml:space="preserve"> </v>
      </c>
      <c r="F171" s="75" t="str">
        <f t="shared" si="15"/>
        <v xml:space="preserve"> </v>
      </c>
      <c r="G171" s="75" t="str">
        <f>IFERROR(TEXT(VLOOKUP(A171,COPY!$S$2:$W$1000,3,FALSE),"dd-mmmm-yyyy")," ")</f>
        <v xml:space="preserve"> </v>
      </c>
      <c r="H171" s="75" t="str">
        <f t="shared" si="16"/>
        <v xml:space="preserve"> </v>
      </c>
      <c r="I171" s="75" t="str">
        <f t="shared" si="17"/>
        <v xml:space="preserve"> </v>
      </c>
      <c r="J171" s="90" t="str">
        <f>IFERROR(VLOOKUP(A171,COPY!$S$2:$W$1000,4,FALSE)," ")</f>
        <v xml:space="preserve"> </v>
      </c>
      <c r="K171" s="75" t="str">
        <f>IFERROR(VLOOKUP(A171,COPY!$S$2:$W$1000,5,FALSE)," ")</f>
        <v xml:space="preserve"> </v>
      </c>
      <c r="L171" s="75" t="str">
        <f>IF(B171="","",IF(LEFT(B171,2)="Ma",(VLOOKUP(B171,'Rekap Gaji'!$C$12:$D$26,2,FALSE))&amp;" Untuk "&amp;(PROPER('Rekap Gaji'!$B$2)),IF(LEFT(B171,2)="Mg","Pembelian Material Bahan Bangunan",IF(LEFT(B171,2)="Me","Biaya Pembelanjaan Menejemen",IF(LEFT(B171,1)="G",VLOOKUP(A171,COPY!$S$2:$AA$1000,2,FALSE)&amp;"( "&amp;TEXT(VLOOKUP(B171,'Rekap Gaji'!$A$12:$I$26,5,FALSE),"dd-mm-yyyy")&amp;" "&amp;TEXT(VLOOKUP(B171,'Rekap Gaji'!$A$12:$I$26,6,FALSE)&amp;" "&amp;TEXT(VLOOKUP(B171,'Rekap Gaji'!$A$12:$I$26,7,FALSE),"dd-mm-yyyy")&amp;" )"," "))))))</f>
        <v/>
      </c>
      <c r="M171" s="75" t="str">
        <f>IF(OR(LEFT(B171,2)="mg",LEFT(B171,2)="mE"),VLOOKUP(A171,COPY!$S$2:$AA$1000,2,FALSE),IF(LEFT(B171,1)="G"," ",IF(LEFT(B171,2)="ma"," "," ")))</f>
        <v xml:space="preserve"> </v>
      </c>
      <c r="N171" s="75" t="str">
        <f>IFERROR(VLOOKUP(A171&amp;"a",COPY!$S$2:$AA$1000,2,FALSE)," ")</f>
        <v xml:space="preserve"> </v>
      </c>
      <c r="O171" s="75" t="str">
        <f>IFERROR(VLOOKUP(A171&amp;"aa",COPY!$S$2:$AA$1000,2,FALSE)," ")</f>
        <v xml:space="preserve"> </v>
      </c>
      <c r="P171" s="75" t="str">
        <f>IFERROR(VLOOKUP(A171&amp;"aaa",COPY!$S$2:$AA$1000,2,FALSE)," ")</f>
        <v xml:space="preserve"> </v>
      </c>
      <c r="Q171" s="75" t="str">
        <f>IFERROR(VLOOKUP(A171&amp;"aaaa",COPY!$S$2:$AA$1000,2,FALSE)," ")</f>
        <v xml:space="preserve"> </v>
      </c>
      <c r="R171" s="75" t="str">
        <f>IFERROR(VLOOKUP(A171&amp;"aaaaa",COPY!$S$2:$AA$1000,2,FALSE)," ")</f>
        <v xml:space="preserve"> </v>
      </c>
      <c r="S171" s="75" t="str">
        <f>IFERROR(VLOOKUP(A171&amp;"aaaaaa",COPY!$S$2:$AA$1000,2,FALSE)," ")</f>
        <v xml:space="preserve"> </v>
      </c>
      <c r="T171" s="75" t="str">
        <f>IFERROR(VLOOKUP(A171&amp;"aaaaaaa",COPY!$S$2:$AA$1000,2,FALSE)," ")</f>
        <v xml:space="preserve"> </v>
      </c>
      <c r="U171" s="75" t="str">
        <f>IFERROR(VLOOKUP(A171&amp;"aaaaaaaa",COPY!$S$2:$AA$1000,2,FALSE)," ")</f>
        <v xml:space="preserve"> </v>
      </c>
      <c r="V171" s="75" t="str">
        <f>IFERROR(VLOOKUP(A171&amp;"aaaaaaaaa",COPY!$S$2:$AA$1000,2,FALSE)," ")</f>
        <v xml:space="preserve"> </v>
      </c>
      <c r="W171" s="75" t="str">
        <f>IFERROR(VLOOKUP(A171&amp;"aaaaaaaaaa",COPY!$S$2:$AA$1000,2,FALSE)," ")</f>
        <v xml:space="preserve"> </v>
      </c>
      <c r="X171" s="75" t="str">
        <f>IFERROR(VLOOKUP(A171&amp;"aaaaaaaaaaa",COPY!$S$2:$AA$1000,2,FALSE)," ")</f>
        <v xml:space="preserve"> </v>
      </c>
      <c r="Y171" s="90" t="str">
        <f>IF(OR(LEFT(B171,2)="mg",LEFT(B171,2)="mE"),VLOOKUP(A171,COPY!$S$2:$AA$1000,6,FALSE),IF(LEFT(B171,1)="G"," ",IF(LEFT(B171,2)="ma"," "," ")))</f>
        <v xml:space="preserve"> </v>
      </c>
      <c r="Z171" s="90" t="str">
        <f>IFERROR(VLOOKUP(A171&amp;"a",COPY!$S$2:$AA$1000,6,FALSE)," ")</f>
        <v xml:space="preserve"> </v>
      </c>
      <c r="AA171" s="90" t="str">
        <f>IFERROR(VLOOKUP(A171&amp;"aa",COPY!$S$2:$AA$1000,6,FALSE)," ")</f>
        <v xml:space="preserve"> </v>
      </c>
      <c r="AB171" s="90" t="str">
        <f>IFERROR(VLOOKUP(A171&amp;"aaa",COPY!$S$2:$AA$1000,6,FALSE)," ")</f>
        <v xml:space="preserve"> </v>
      </c>
      <c r="AC171" s="90" t="str">
        <f>IFERROR(VLOOKUP(A171&amp;"aaaa",COPY!$S$2:$AA$1000,6,FALSE)," ")</f>
        <v xml:space="preserve"> </v>
      </c>
      <c r="AD171" s="90" t="str">
        <f>IFERROR(VLOOKUP(A171&amp;"aaaaa",COPY!$S$2:$AA$1000,6,FALSE)," ")</f>
        <v xml:space="preserve"> </v>
      </c>
      <c r="AE171" s="90" t="str">
        <f>IFERROR(VLOOKUP(A171&amp;"aaaaaa",COPY!$S$2:$AA$1000,6,FALSE)," ")</f>
        <v xml:space="preserve"> </v>
      </c>
      <c r="AF171" s="90" t="str">
        <f>IFERROR(VLOOKUP(A171&amp;"aaaaaaa",COPY!$S$2:$AA$1000,6,FALSE)," ")</f>
        <v xml:space="preserve"> </v>
      </c>
      <c r="AG171" s="90" t="str">
        <f>IFERROR(VLOOKUP(A171&amp;"aaaaaaaa",COPY!$S$2:$AA$1000,6,FALSE)," ")</f>
        <v xml:space="preserve"> </v>
      </c>
      <c r="AH171" s="90" t="str">
        <f>IFERROR(VLOOKUP(A171&amp;"aaaaaaaaa",COPY!$S$2:$AA$1000,6,FALSE)," ")</f>
        <v xml:space="preserve"> </v>
      </c>
      <c r="AI171" s="90" t="str">
        <f>IFERROR(VLOOKUP(A171&amp;"aaaaaaaaaa",COPY!$S$2:$AA$1000,6,FALSE)," ")</f>
        <v xml:space="preserve"> </v>
      </c>
      <c r="AJ171" s="90" t="str">
        <f>IFERROR(VLOOKUP(A171&amp;"aaaaaaaaaaa",COPY!$S$2:$AA$1000,6,FALSE)," ")</f>
        <v xml:space="preserve"> </v>
      </c>
      <c r="AK171" s="90" t="str">
        <f>IF(LEFT(B171,2)="mg",VLOOKUP(A171,COPY!$S$2:$AA$1000,7,FALSE),IF(LEFT(B171,1)="G"," ",IF(LEFT(B171,2)="ma"," "," ")))</f>
        <v xml:space="preserve"> </v>
      </c>
      <c r="AL171" s="90" t="str">
        <f>IFERROR(VLOOKUP(A171&amp;"a",COPY!$S$2:$AA$1000,7,FALSE)," ")</f>
        <v xml:space="preserve"> </v>
      </c>
      <c r="AM171" s="90" t="str">
        <f>IFERROR(VLOOKUP(A171&amp;"aa",COPY!$S$2:$AA$1000,7,FALSE)," ")</f>
        <v xml:space="preserve"> </v>
      </c>
      <c r="AN171" s="90" t="str">
        <f>IFERROR(VLOOKUP(A171&amp;"aaa",COPY!$S$2:$AA$1000,7,FALSE)," ")</f>
        <v xml:space="preserve"> </v>
      </c>
      <c r="AO171" s="90" t="str">
        <f>IFERROR(VLOOKUP(A171&amp;"aaaa",COPY!$S$2:$AA$1000,7,FALSE)," ")</f>
        <v xml:space="preserve"> </v>
      </c>
      <c r="AP171" s="90" t="str">
        <f>IFERROR(VLOOKUP(A171&amp;"aaaaa",COPY!$S$2:$AA$1000,7,FALSE)," ")</f>
        <v xml:space="preserve"> </v>
      </c>
      <c r="AQ171" s="90" t="str">
        <f>IFERROR(VLOOKUP(A171&amp;"aaaaaa",COPY!$S$2:$AA$1000,7,FALSE)," ")</f>
        <v xml:space="preserve"> </v>
      </c>
      <c r="AR171" s="90" t="str">
        <f>IFERROR(VLOOKUP(A171&amp;"aaaaaaa",COPY!$S$2:$AA$1000,7,FALSE)," ")</f>
        <v xml:space="preserve"> </v>
      </c>
      <c r="AS171" s="90" t="str">
        <f>IFERROR(VLOOKUP(A171&amp;"aaaaaaaa",COPY!$S$2:$AA$1000,7,FALSE)," ")</f>
        <v xml:space="preserve"> </v>
      </c>
      <c r="AT171" s="90" t="str">
        <f>IFERROR(VLOOKUP(A171&amp;"aaaaaaaaa",COPY!$S$2:$AA$1000,7,FALSE)," ")</f>
        <v xml:space="preserve"> </v>
      </c>
      <c r="AU171" s="90" t="str">
        <f>IFERROR(VLOOKUP(A171&amp;"aaaaaaaaaa",COPY!$S$2:$AA$1000,7,FALSE)," ")</f>
        <v xml:space="preserve"> </v>
      </c>
      <c r="AV171" s="90" t="str">
        <f>IFERROR(VLOOKUP(A171&amp;"aaaaaaaaaaa",COPY!$S$2:$AA$1000,7,FALSE)," ")</f>
        <v xml:space="preserve"> </v>
      </c>
    </row>
    <row r="172" spans="1:48" x14ac:dyDescent="0.2">
      <c r="A172" s="75" t="str">
        <f>'REKAP PAJAK'!W209</f>
        <v/>
      </c>
      <c r="B172" s="75" t="str">
        <f>IF(LEN(A172)&gt;1,VLOOKUP(A172,COPY!$O$2:$R$1000,4,FALSE),"")</f>
        <v/>
      </c>
      <c r="C172" s="75" t="str">
        <f t="shared" si="12"/>
        <v xml:space="preserve"> </v>
      </c>
      <c r="D172" s="75" t="str">
        <f t="shared" si="13"/>
        <v xml:space="preserve"> </v>
      </c>
      <c r="E172" s="75" t="str">
        <f t="shared" si="14"/>
        <v xml:space="preserve"> </v>
      </c>
      <c r="F172" s="75" t="str">
        <f t="shared" si="15"/>
        <v xml:space="preserve"> </v>
      </c>
      <c r="G172" s="75" t="str">
        <f>IFERROR(TEXT(VLOOKUP(A172,COPY!$S$2:$W$1000,3,FALSE),"dd-mmmm-yyyy")," ")</f>
        <v xml:space="preserve"> </v>
      </c>
      <c r="H172" s="75" t="str">
        <f t="shared" si="16"/>
        <v xml:space="preserve"> </v>
      </c>
      <c r="I172" s="75" t="str">
        <f t="shared" si="17"/>
        <v xml:space="preserve"> </v>
      </c>
      <c r="J172" s="90" t="str">
        <f>IFERROR(VLOOKUP(A172,COPY!$S$2:$W$1000,4,FALSE)," ")</f>
        <v xml:space="preserve"> </v>
      </c>
      <c r="K172" s="75" t="str">
        <f>IFERROR(VLOOKUP(A172,COPY!$S$2:$W$1000,5,FALSE)," ")</f>
        <v xml:space="preserve"> </v>
      </c>
      <c r="L172" s="75" t="str">
        <f>IF(B172="","",IF(LEFT(B172,2)="Ma",(VLOOKUP(B172,'Rekap Gaji'!$C$12:$D$26,2,FALSE))&amp;" Untuk "&amp;(PROPER('Rekap Gaji'!$B$2)),IF(LEFT(B172,2)="Mg","Pembelian Material Bahan Bangunan",IF(LEFT(B172,2)="Me","Biaya Pembelanjaan Menejemen",IF(LEFT(B172,1)="G",VLOOKUP(A172,COPY!$S$2:$AA$1000,2,FALSE)&amp;"( "&amp;TEXT(VLOOKUP(B172,'Rekap Gaji'!$A$12:$I$26,5,FALSE),"dd-mm-yyyy")&amp;" "&amp;TEXT(VLOOKUP(B172,'Rekap Gaji'!$A$12:$I$26,6,FALSE)&amp;" "&amp;TEXT(VLOOKUP(B172,'Rekap Gaji'!$A$12:$I$26,7,FALSE),"dd-mm-yyyy")&amp;" )"," "))))))</f>
        <v/>
      </c>
      <c r="M172" s="75" t="str">
        <f>IF(OR(LEFT(B172,2)="mg",LEFT(B172,2)="mE"),VLOOKUP(A172,COPY!$S$2:$AA$1000,2,FALSE),IF(LEFT(B172,1)="G"," ",IF(LEFT(B172,2)="ma"," "," ")))</f>
        <v xml:space="preserve"> </v>
      </c>
      <c r="N172" s="75" t="str">
        <f>IFERROR(VLOOKUP(A172&amp;"a",COPY!$S$2:$AA$1000,2,FALSE)," ")</f>
        <v xml:space="preserve"> </v>
      </c>
      <c r="O172" s="75" t="str">
        <f>IFERROR(VLOOKUP(A172&amp;"aa",COPY!$S$2:$AA$1000,2,FALSE)," ")</f>
        <v xml:space="preserve"> </v>
      </c>
      <c r="P172" s="75" t="str">
        <f>IFERROR(VLOOKUP(A172&amp;"aaa",COPY!$S$2:$AA$1000,2,FALSE)," ")</f>
        <v xml:space="preserve"> </v>
      </c>
      <c r="Q172" s="75" t="str">
        <f>IFERROR(VLOOKUP(A172&amp;"aaaa",COPY!$S$2:$AA$1000,2,FALSE)," ")</f>
        <v xml:space="preserve"> </v>
      </c>
      <c r="R172" s="75" t="str">
        <f>IFERROR(VLOOKUP(A172&amp;"aaaaa",COPY!$S$2:$AA$1000,2,FALSE)," ")</f>
        <v xml:space="preserve"> </v>
      </c>
      <c r="S172" s="75" t="str">
        <f>IFERROR(VLOOKUP(A172&amp;"aaaaaa",COPY!$S$2:$AA$1000,2,FALSE)," ")</f>
        <v xml:space="preserve"> </v>
      </c>
      <c r="T172" s="75" t="str">
        <f>IFERROR(VLOOKUP(A172&amp;"aaaaaaa",COPY!$S$2:$AA$1000,2,FALSE)," ")</f>
        <v xml:space="preserve"> </v>
      </c>
      <c r="U172" s="75" t="str">
        <f>IFERROR(VLOOKUP(A172&amp;"aaaaaaaa",COPY!$S$2:$AA$1000,2,FALSE)," ")</f>
        <v xml:space="preserve"> </v>
      </c>
      <c r="V172" s="75" t="str">
        <f>IFERROR(VLOOKUP(A172&amp;"aaaaaaaaa",COPY!$S$2:$AA$1000,2,FALSE)," ")</f>
        <v xml:space="preserve"> </v>
      </c>
      <c r="W172" s="75" t="str">
        <f>IFERROR(VLOOKUP(A172&amp;"aaaaaaaaaa",COPY!$S$2:$AA$1000,2,FALSE)," ")</f>
        <v xml:space="preserve"> </v>
      </c>
      <c r="X172" s="75" t="str">
        <f>IFERROR(VLOOKUP(A172&amp;"aaaaaaaaaaa",COPY!$S$2:$AA$1000,2,FALSE)," ")</f>
        <v xml:space="preserve"> </v>
      </c>
      <c r="Y172" s="90" t="str">
        <f>IF(OR(LEFT(B172,2)="mg",LEFT(B172,2)="mE"),VLOOKUP(A172,COPY!$S$2:$AA$1000,6,FALSE),IF(LEFT(B172,1)="G"," ",IF(LEFT(B172,2)="ma"," "," ")))</f>
        <v xml:space="preserve"> </v>
      </c>
      <c r="Z172" s="90" t="str">
        <f>IFERROR(VLOOKUP(A172&amp;"a",COPY!$S$2:$AA$1000,6,FALSE)," ")</f>
        <v xml:space="preserve"> </v>
      </c>
      <c r="AA172" s="90" t="str">
        <f>IFERROR(VLOOKUP(A172&amp;"aa",COPY!$S$2:$AA$1000,6,FALSE)," ")</f>
        <v xml:space="preserve"> </v>
      </c>
      <c r="AB172" s="90" t="str">
        <f>IFERROR(VLOOKUP(A172&amp;"aaa",COPY!$S$2:$AA$1000,6,FALSE)," ")</f>
        <v xml:space="preserve"> </v>
      </c>
      <c r="AC172" s="90" t="str">
        <f>IFERROR(VLOOKUP(A172&amp;"aaaa",COPY!$S$2:$AA$1000,6,FALSE)," ")</f>
        <v xml:space="preserve"> </v>
      </c>
      <c r="AD172" s="90" t="str">
        <f>IFERROR(VLOOKUP(A172&amp;"aaaaa",COPY!$S$2:$AA$1000,6,FALSE)," ")</f>
        <v xml:space="preserve"> </v>
      </c>
      <c r="AE172" s="90" t="str">
        <f>IFERROR(VLOOKUP(A172&amp;"aaaaaa",COPY!$S$2:$AA$1000,6,FALSE)," ")</f>
        <v xml:space="preserve"> </v>
      </c>
      <c r="AF172" s="90" t="str">
        <f>IFERROR(VLOOKUP(A172&amp;"aaaaaaa",COPY!$S$2:$AA$1000,6,FALSE)," ")</f>
        <v xml:space="preserve"> </v>
      </c>
      <c r="AG172" s="90" t="str">
        <f>IFERROR(VLOOKUP(A172&amp;"aaaaaaaa",COPY!$S$2:$AA$1000,6,FALSE)," ")</f>
        <v xml:space="preserve"> </v>
      </c>
      <c r="AH172" s="90" t="str">
        <f>IFERROR(VLOOKUP(A172&amp;"aaaaaaaaa",COPY!$S$2:$AA$1000,6,FALSE)," ")</f>
        <v xml:space="preserve"> </v>
      </c>
      <c r="AI172" s="90" t="str">
        <f>IFERROR(VLOOKUP(A172&amp;"aaaaaaaaaa",COPY!$S$2:$AA$1000,6,FALSE)," ")</f>
        <v xml:space="preserve"> </v>
      </c>
      <c r="AJ172" s="90" t="str">
        <f>IFERROR(VLOOKUP(A172&amp;"aaaaaaaaaaa",COPY!$S$2:$AA$1000,6,FALSE)," ")</f>
        <v xml:space="preserve"> </v>
      </c>
      <c r="AK172" s="90" t="str">
        <f>IF(LEFT(B172,2)="mg",VLOOKUP(A172,COPY!$S$2:$AA$1000,7,FALSE),IF(LEFT(B172,1)="G"," ",IF(LEFT(B172,2)="ma"," "," ")))</f>
        <v xml:space="preserve"> </v>
      </c>
      <c r="AL172" s="90" t="str">
        <f>IFERROR(VLOOKUP(A172&amp;"a",COPY!$S$2:$AA$1000,7,FALSE)," ")</f>
        <v xml:space="preserve"> </v>
      </c>
      <c r="AM172" s="90" t="str">
        <f>IFERROR(VLOOKUP(A172&amp;"aa",COPY!$S$2:$AA$1000,7,FALSE)," ")</f>
        <v xml:space="preserve"> </v>
      </c>
      <c r="AN172" s="90" t="str">
        <f>IFERROR(VLOOKUP(A172&amp;"aaa",COPY!$S$2:$AA$1000,7,FALSE)," ")</f>
        <v xml:space="preserve"> </v>
      </c>
      <c r="AO172" s="90" t="str">
        <f>IFERROR(VLOOKUP(A172&amp;"aaaa",COPY!$S$2:$AA$1000,7,FALSE)," ")</f>
        <v xml:space="preserve"> </v>
      </c>
      <c r="AP172" s="90" t="str">
        <f>IFERROR(VLOOKUP(A172&amp;"aaaaa",COPY!$S$2:$AA$1000,7,FALSE)," ")</f>
        <v xml:space="preserve"> </v>
      </c>
      <c r="AQ172" s="90" t="str">
        <f>IFERROR(VLOOKUP(A172&amp;"aaaaaa",COPY!$S$2:$AA$1000,7,FALSE)," ")</f>
        <v xml:space="preserve"> </v>
      </c>
      <c r="AR172" s="90" t="str">
        <f>IFERROR(VLOOKUP(A172&amp;"aaaaaaa",COPY!$S$2:$AA$1000,7,FALSE)," ")</f>
        <v xml:space="preserve"> </v>
      </c>
      <c r="AS172" s="90" t="str">
        <f>IFERROR(VLOOKUP(A172&amp;"aaaaaaaa",COPY!$S$2:$AA$1000,7,FALSE)," ")</f>
        <v xml:space="preserve"> </v>
      </c>
      <c r="AT172" s="90" t="str">
        <f>IFERROR(VLOOKUP(A172&amp;"aaaaaaaaa",COPY!$S$2:$AA$1000,7,FALSE)," ")</f>
        <v xml:space="preserve"> </v>
      </c>
      <c r="AU172" s="90" t="str">
        <f>IFERROR(VLOOKUP(A172&amp;"aaaaaaaaaa",COPY!$S$2:$AA$1000,7,FALSE)," ")</f>
        <v xml:space="preserve"> </v>
      </c>
      <c r="AV172" s="90" t="str">
        <f>IFERROR(VLOOKUP(A172&amp;"aaaaaaaaaaa",COPY!$S$2:$AA$1000,7,FALSE)," ")</f>
        <v xml:space="preserve"> </v>
      </c>
    </row>
    <row r="173" spans="1:48" x14ac:dyDescent="0.2">
      <c r="A173" s="75" t="str">
        <f>'REKAP PAJAK'!W210</f>
        <v/>
      </c>
      <c r="B173" s="75" t="str">
        <f>IF(LEN(A173)&gt;1,VLOOKUP(A173,COPY!$O$2:$R$1000,4,FALSE),"")</f>
        <v/>
      </c>
      <c r="C173" s="75" t="str">
        <f t="shared" si="12"/>
        <v xml:space="preserve"> </v>
      </c>
      <c r="D173" s="75" t="str">
        <f t="shared" si="13"/>
        <v xml:space="preserve"> </v>
      </c>
      <c r="E173" s="75" t="str">
        <f t="shared" si="14"/>
        <v xml:space="preserve"> </v>
      </c>
      <c r="F173" s="75" t="str">
        <f t="shared" si="15"/>
        <v xml:space="preserve"> </v>
      </c>
      <c r="G173" s="75" t="str">
        <f>IFERROR(TEXT(VLOOKUP(A173,COPY!$S$2:$W$1000,3,FALSE),"dd-mmmm-yyyy")," ")</f>
        <v xml:space="preserve"> </v>
      </c>
      <c r="H173" s="75" t="str">
        <f t="shared" si="16"/>
        <v xml:space="preserve"> </v>
      </c>
      <c r="I173" s="75" t="str">
        <f t="shared" si="17"/>
        <v xml:space="preserve"> </v>
      </c>
      <c r="J173" s="90" t="str">
        <f>IFERROR(VLOOKUP(A173,COPY!$S$2:$W$1000,4,FALSE)," ")</f>
        <v xml:space="preserve"> </v>
      </c>
      <c r="K173" s="75" t="str">
        <f>IFERROR(VLOOKUP(A173,COPY!$S$2:$W$1000,5,FALSE)," ")</f>
        <v xml:space="preserve"> </v>
      </c>
      <c r="L173" s="75" t="str">
        <f>IF(B173="","",IF(LEFT(B173,2)="Ma",(VLOOKUP(B173,'Rekap Gaji'!$C$12:$D$26,2,FALSE))&amp;" Untuk "&amp;(PROPER('Rekap Gaji'!$B$2)),IF(LEFT(B173,2)="Mg","Pembelian Material Bahan Bangunan",IF(LEFT(B173,2)="Me","Biaya Pembelanjaan Menejemen",IF(LEFT(B173,1)="G",VLOOKUP(A173,COPY!$S$2:$AA$1000,2,FALSE)&amp;"( "&amp;TEXT(VLOOKUP(B173,'Rekap Gaji'!$A$12:$I$26,5,FALSE),"dd-mm-yyyy")&amp;" "&amp;TEXT(VLOOKUP(B173,'Rekap Gaji'!$A$12:$I$26,6,FALSE)&amp;" "&amp;TEXT(VLOOKUP(B173,'Rekap Gaji'!$A$12:$I$26,7,FALSE),"dd-mm-yyyy")&amp;" )"," "))))))</f>
        <v/>
      </c>
      <c r="M173" s="75" t="str">
        <f>IF(OR(LEFT(B173,2)="mg",LEFT(B173,2)="mE"),VLOOKUP(A173,COPY!$S$2:$AA$1000,2,FALSE),IF(LEFT(B173,1)="G"," ",IF(LEFT(B173,2)="ma"," "," ")))</f>
        <v xml:space="preserve"> </v>
      </c>
      <c r="N173" s="75" t="str">
        <f>IFERROR(VLOOKUP(A173&amp;"a",COPY!$S$2:$AA$1000,2,FALSE)," ")</f>
        <v xml:space="preserve"> </v>
      </c>
      <c r="O173" s="75" t="str">
        <f>IFERROR(VLOOKUP(A173&amp;"aa",COPY!$S$2:$AA$1000,2,FALSE)," ")</f>
        <v xml:space="preserve"> </v>
      </c>
      <c r="P173" s="75" t="str">
        <f>IFERROR(VLOOKUP(A173&amp;"aaa",COPY!$S$2:$AA$1000,2,FALSE)," ")</f>
        <v xml:space="preserve"> </v>
      </c>
      <c r="Q173" s="75" t="str">
        <f>IFERROR(VLOOKUP(A173&amp;"aaaa",COPY!$S$2:$AA$1000,2,FALSE)," ")</f>
        <v xml:space="preserve"> </v>
      </c>
      <c r="R173" s="75" t="str">
        <f>IFERROR(VLOOKUP(A173&amp;"aaaaa",COPY!$S$2:$AA$1000,2,FALSE)," ")</f>
        <v xml:space="preserve"> </v>
      </c>
      <c r="S173" s="75" t="str">
        <f>IFERROR(VLOOKUP(A173&amp;"aaaaaa",COPY!$S$2:$AA$1000,2,FALSE)," ")</f>
        <v xml:space="preserve"> </v>
      </c>
      <c r="T173" s="75" t="str">
        <f>IFERROR(VLOOKUP(A173&amp;"aaaaaaa",COPY!$S$2:$AA$1000,2,FALSE)," ")</f>
        <v xml:space="preserve"> </v>
      </c>
      <c r="U173" s="75" t="str">
        <f>IFERROR(VLOOKUP(A173&amp;"aaaaaaaa",COPY!$S$2:$AA$1000,2,FALSE)," ")</f>
        <v xml:space="preserve"> </v>
      </c>
      <c r="V173" s="75" t="str">
        <f>IFERROR(VLOOKUP(A173&amp;"aaaaaaaaa",COPY!$S$2:$AA$1000,2,FALSE)," ")</f>
        <v xml:space="preserve"> </v>
      </c>
      <c r="W173" s="75" t="str">
        <f>IFERROR(VLOOKUP(A173&amp;"aaaaaaaaaa",COPY!$S$2:$AA$1000,2,FALSE)," ")</f>
        <v xml:space="preserve"> </v>
      </c>
      <c r="X173" s="75" t="str">
        <f>IFERROR(VLOOKUP(A173&amp;"aaaaaaaaaaa",COPY!$S$2:$AA$1000,2,FALSE)," ")</f>
        <v xml:space="preserve"> </v>
      </c>
      <c r="Y173" s="90" t="str">
        <f>IF(OR(LEFT(B173,2)="mg",LEFT(B173,2)="mE"),VLOOKUP(A173,COPY!$S$2:$AA$1000,6,FALSE),IF(LEFT(B173,1)="G"," ",IF(LEFT(B173,2)="ma"," "," ")))</f>
        <v xml:space="preserve"> </v>
      </c>
      <c r="Z173" s="90" t="str">
        <f>IFERROR(VLOOKUP(A173&amp;"a",COPY!$S$2:$AA$1000,6,FALSE)," ")</f>
        <v xml:space="preserve"> </v>
      </c>
      <c r="AA173" s="90" t="str">
        <f>IFERROR(VLOOKUP(A173&amp;"aa",COPY!$S$2:$AA$1000,6,FALSE)," ")</f>
        <v xml:space="preserve"> </v>
      </c>
      <c r="AB173" s="90" t="str">
        <f>IFERROR(VLOOKUP(A173&amp;"aaa",COPY!$S$2:$AA$1000,6,FALSE)," ")</f>
        <v xml:space="preserve"> </v>
      </c>
      <c r="AC173" s="90" t="str">
        <f>IFERROR(VLOOKUP(A173&amp;"aaaa",COPY!$S$2:$AA$1000,6,FALSE)," ")</f>
        <v xml:space="preserve"> </v>
      </c>
      <c r="AD173" s="90" t="str">
        <f>IFERROR(VLOOKUP(A173&amp;"aaaaa",COPY!$S$2:$AA$1000,6,FALSE)," ")</f>
        <v xml:space="preserve"> </v>
      </c>
      <c r="AE173" s="90" t="str">
        <f>IFERROR(VLOOKUP(A173&amp;"aaaaaa",COPY!$S$2:$AA$1000,6,FALSE)," ")</f>
        <v xml:space="preserve"> </v>
      </c>
      <c r="AF173" s="90" t="str">
        <f>IFERROR(VLOOKUP(A173&amp;"aaaaaaa",COPY!$S$2:$AA$1000,6,FALSE)," ")</f>
        <v xml:space="preserve"> </v>
      </c>
      <c r="AG173" s="90" t="str">
        <f>IFERROR(VLOOKUP(A173&amp;"aaaaaaaa",COPY!$S$2:$AA$1000,6,FALSE)," ")</f>
        <v xml:space="preserve"> </v>
      </c>
      <c r="AH173" s="90" t="str">
        <f>IFERROR(VLOOKUP(A173&amp;"aaaaaaaaa",COPY!$S$2:$AA$1000,6,FALSE)," ")</f>
        <v xml:space="preserve"> </v>
      </c>
      <c r="AI173" s="90" t="str">
        <f>IFERROR(VLOOKUP(A173&amp;"aaaaaaaaaa",COPY!$S$2:$AA$1000,6,FALSE)," ")</f>
        <v xml:space="preserve"> </v>
      </c>
      <c r="AJ173" s="90" t="str">
        <f>IFERROR(VLOOKUP(A173&amp;"aaaaaaaaaaa",COPY!$S$2:$AA$1000,6,FALSE)," ")</f>
        <v xml:space="preserve"> </v>
      </c>
      <c r="AK173" s="90" t="str">
        <f>IF(LEFT(B173,2)="mg",VLOOKUP(A173,COPY!$S$2:$AA$1000,7,FALSE),IF(LEFT(B173,1)="G"," ",IF(LEFT(B173,2)="ma"," "," ")))</f>
        <v xml:space="preserve"> </v>
      </c>
      <c r="AL173" s="90" t="str">
        <f>IFERROR(VLOOKUP(A173&amp;"a",COPY!$S$2:$AA$1000,7,FALSE)," ")</f>
        <v xml:space="preserve"> </v>
      </c>
      <c r="AM173" s="90" t="str">
        <f>IFERROR(VLOOKUP(A173&amp;"aa",COPY!$S$2:$AA$1000,7,FALSE)," ")</f>
        <v xml:space="preserve"> </v>
      </c>
      <c r="AN173" s="90" t="str">
        <f>IFERROR(VLOOKUP(A173&amp;"aaa",COPY!$S$2:$AA$1000,7,FALSE)," ")</f>
        <v xml:space="preserve"> </v>
      </c>
      <c r="AO173" s="90" t="str">
        <f>IFERROR(VLOOKUP(A173&amp;"aaaa",COPY!$S$2:$AA$1000,7,FALSE)," ")</f>
        <v xml:space="preserve"> </v>
      </c>
      <c r="AP173" s="90" t="str">
        <f>IFERROR(VLOOKUP(A173&amp;"aaaaa",COPY!$S$2:$AA$1000,7,FALSE)," ")</f>
        <v xml:space="preserve"> </v>
      </c>
      <c r="AQ173" s="90" t="str">
        <f>IFERROR(VLOOKUP(A173&amp;"aaaaaa",COPY!$S$2:$AA$1000,7,FALSE)," ")</f>
        <v xml:space="preserve"> </v>
      </c>
      <c r="AR173" s="90" t="str">
        <f>IFERROR(VLOOKUP(A173&amp;"aaaaaaa",COPY!$S$2:$AA$1000,7,FALSE)," ")</f>
        <v xml:space="preserve"> </v>
      </c>
      <c r="AS173" s="90" t="str">
        <f>IFERROR(VLOOKUP(A173&amp;"aaaaaaaa",COPY!$S$2:$AA$1000,7,FALSE)," ")</f>
        <v xml:space="preserve"> </v>
      </c>
      <c r="AT173" s="90" t="str">
        <f>IFERROR(VLOOKUP(A173&amp;"aaaaaaaaa",COPY!$S$2:$AA$1000,7,FALSE)," ")</f>
        <v xml:space="preserve"> </v>
      </c>
      <c r="AU173" s="90" t="str">
        <f>IFERROR(VLOOKUP(A173&amp;"aaaaaaaaaa",COPY!$S$2:$AA$1000,7,FALSE)," ")</f>
        <v xml:space="preserve"> </v>
      </c>
      <c r="AV173" s="90" t="str">
        <f>IFERROR(VLOOKUP(A173&amp;"aaaaaaaaaaa",COPY!$S$2:$AA$1000,7,FALSE)," ")</f>
        <v xml:space="preserve"> </v>
      </c>
    </row>
    <row r="174" spans="1:48" x14ac:dyDescent="0.2">
      <c r="A174" s="75" t="str">
        <f>'REKAP PAJAK'!W211</f>
        <v/>
      </c>
      <c r="B174" s="75" t="str">
        <f>IF(LEN(A174)&gt;1,VLOOKUP(A174,COPY!$O$2:$R$1000,4,FALSE),"")</f>
        <v/>
      </c>
      <c r="C174" s="75" t="str">
        <f t="shared" si="12"/>
        <v xml:space="preserve"> </v>
      </c>
      <c r="D174" s="75" t="str">
        <f t="shared" si="13"/>
        <v xml:space="preserve"> </v>
      </c>
      <c r="E174" s="75" t="str">
        <f t="shared" si="14"/>
        <v xml:space="preserve"> </v>
      </c>
      <c r="F174" s="75" t="str">
        <f t="shared" si="15"/>
        <v xml:space="preserve"> </v>
      </c>
      <c r="G174" s="75" t="str">
        <f>IFERROR(TEXT(VLOOKUP(A174,COPY!$S$2:$W$1000,3,FALSE),"dd-mmmm-yyyy")," ")</f>
        <v xml:space="preserve"> </v>
      </c>
      <c r="H174" s="75" t="str">
        <f t="shared" si="16"/>
        <v xml:space="preserve"> </v>
      </c>
      <c r="I174" s="75" t="str">
        <f t="shared" si="17"/>
        <v xml:space="preserve"> </v>
      </c>
      <c r="J174" s="90" t="str">
        <f>IFERROR(VLOOKUP(A174,COPY!$S$2:$W$1000,4,FALSE)," ")</f>
        <v xml:space="preserve"> </v>
      </c>
      <c r="K174" s="75" t="str">
        <f>IFERROR(VLOOKUP(A174,COPY!$S$2:$W$1000,5,FALSE)," ")</f>
        <v xml:space="preserve"> </v>
      </c>
      <c r="L174" s="75" t="str">
        <f>IF(B174="","",IF(LEFT(B174,2)="Ma",(VLOOKUP(B174,'Rekap Gaji'!$C$12:$D$26,2,FALSE))&amp;" Untuk "&amp;(PROPER('Rekap Gaji'!$B$2)),IF(LEFT(B174,2)="Mg","Pembelian Material Bahan Bangunan",IF(LEFT(B174,2)="Me","Biaya Pembelanjaan Menejemen",IF(LEFT(B174,1)="G",VLOOKUP(A174,COPY!$S$2:$AA$1000,2,FALSE)&amp;"( "&amp;TEXT(VLOOKUP(B174,'Rekap Gaji'!$A$12:$I$26,5,FALSE),"dd-mm-yyyy")&amp;" "&amp;TEXT(VLOOKUP(B174,'Rekap Gaji'!$A$12:$I$26,6,FALSE)&amp;" "&amp;TEXT(VLOOKUP(B174,'Rekap Gaji'!$A$12:$I$26,7,FALSE),"dd-mm-yyyy")&amp;" )"," "))))))</f>
        <v/>
      </c>
      <c r="M174" s="75" t="str">
        <f>IF(OR(LEFT(B174,2)="mg",LEFT(B174,2)="mE"),VLOOKUP(A174,COPY!$S$2:$AA$1000,2,FALSE),IF(LEFT(B174,1)="G"," ",IF(LEFT(B174,2)="ma"," "," ")))</f>
        <v xml:space="preserve"> </v>
      </c>
      <c r="N174" s="75" t="str">
        <f>IFERROR(VLOOKUP(A174&amp;"a",COPY!$S$2:$AA$1000,2,FALSE)," ")</f>
        <v xml:space="preserve"> </v>
      </c>
      <c r="O174" s="75" t="str">
        <f>IFERROR(VLOOKUP(A174&amp;"aa",COPY!$S$2:$AA$1000,2,FALSE)," ")</f>
        <v xml:space="preserve"> </v>
      </c>
      <c r="P174" s="75" t="str">
        <f>IFERROR(VLOOKUP(A174&amp;"aaa",COPY!$S$2:$AA$1000,2,FALSE)," ")</f>
        <v xml:space="preserve"> </v>
      </c>
      <c r="Q174" s="75" t="str">
        <f>IFERROR(VLOOKUP(A174&amp;"aaaa",COPY!$S$2:$AA$1000,2,FALSE)," ")</f>
        <v xml:space="preserve"> </v>
      </c>
      <c r="R174" s="75" t="str">
        <f>IFERROR(VLOOKUP(A174&amp;"aaaaa",COPY!$S$2:$AA$1000,2,FALSE)," ")</f>
        <v xml:space="preserve"> </v>
      </c>
      <c r="S174" s="75" t="str">
        <f>IFERROR(VLOOKUP(A174&amp;"aaaaaa",COPY!$S$2:$AA$1000,2,FALSE)," ")</f>
        <v xml:space="preserve"> </v>
      </c>
      <c r="T174" s="75" t="str">
        <f>IFERROR(VLOOKUP(A174&amp;"aaaaaaa",COPY!$S$2:$AA$1000,2,FALSE)," ")</f>
        <v xml:space="preserve"> </v>
      </c>
      <c r="U174" s="75" t="str">
        <f>IFERROR(VLOOKUP(A174&amp;"aaaaaaaa",COPY!$S$2:$AA$1000,2,FALSE)," ")</f>
        <v xml:space="preserve"> </v>
      </c>
      <c r="V174" s="75" t="str">
        <f>IFERROR(VLOOKUP(A174&amp;"aaaaaaaaa",COPY!$S$2:$AA$1000,2,FALSE)," ")</f>
        <v xml:space="preserve"> </v>
      </c>
      <c r="W174" s="75" t="str">
        <f>IFERROR(VLOOKUP(A174&amp;"aaaaaaaaaa",COPY!$S$2:$AA$1000,2,FALSE)," ")</f>
        <v xml:space="preserve"> </v>
      </c>
      <c r="X174" s="75" t="str">
        <f>IFERROR(VLOOKUP(A174&amp;"aaaaaaaaaaa",COPY!$S$2:$AA$1000,2,FALSE)," ")</f>
        <v xml:space="preserve"> </v>
      </c>
      <c r="Y174" s="90" t="str">
        <f>IF(OR(LEFT(B174,2)="mg",LEFT(B174,2)="mE"),VLOOKUP(A174,COPY!$S$2:$AA$1000,6,FALSE),IF(LEFT(B174,1)="G"," ",IF(LEFT(B174,2)="ma"," "," ")))</f>
        <v xml:space="preserve"> </v>
      </c>
      <c r="Z174" s="90" t="str">
        <f>IFERROR(VLOOKUP(A174&amp;"a",COPY!$S$2:$AA$1000,6,FALSE)," ")</f>
        <v xml:space="preserve"> </v>
      </c>
      <c r="AA174" s="90" t="str">
        <f>IFERROR(VLOOKUP(A174&amp;"aa",COPY!$S$2:$AA$1000,6,FALSE)," ")</f>
        <v xml:space="preserve"> </v>
      </c>
      <c r="AB174" s="90" t="str">
        <f>IFERROR(VLOOKUP(A174&amp;"aaa",COPY!$S$2:$AA$1000,6,FALSE)," ")</f>
        <v xml:space="preserve"> </v>
      </c>
      <c r="AC174" s="90" t="str">
        <f>IFERROR(VLOOKUP(A174&amp;"aaaa",COPY!$S$2:$AA$1000,6,FALSE)," ")</f>
        <v xml:space="preserve"> </v>
      </c>
      <c r="AD174" s="90" t="str">
        <f>IFERROR(VLOOKUP(A174&amp;"aaaaa",COPY!$S$2:$AA$1000,6,FALSE)," ")</f>
        <v xml:space="preserve"> </v>
      </c>
      <c r="AE174" s="90" t="str">
        <f>IFERROR(VLOOKUP(A174&amp;"aaaaaa",COPY!$S$2:$AA$1000,6,FALSE)," ")</f>
        <v xml:space="preserve"> </v>
      </c>
      <c r="AF174" s="90" t="str">
        <f>IFERROR(VLOOKUP(A174&amp;"aaaaaaa",COPY!$S$2:$AA$1000,6,FALSE)," ")</f>
        <v xml:space="preserve"> </v>
      </c>
      <c r="AG174" s="90" t="str">
        <f>IFERROR(VLOOKUP(A174&amp;"aaaaaaaa",COPY!$S$2:$AA$1000,6,FALSE)," ")</f>
        <v xml:space="preserve"> </v>
      </c>
      <c r="AH174" s="90" t="str">
        <f>IFERROR(VLOOKUP(A174&amp;"aaaaaaaaa",COPY!$S$2:$AA$1000,6,FALSE)," ")</f>
        <v xml:space="preserve"> </v>
      </c>
      <c r="AI174" s="90" t="str">
        <f>IFERROR(VLOOKUP(A174&amp;"aaaaaaaaaa",COPY!$S$2:$AA$1000,6,FALSE)," ")</f>
        <v xml:space="preserve"> </v>
      </c>
      <c r="AJ174" s="90" t="str">
        <f>IFERROR(VLOOKUP(A174&amp;"aaaaaaaaaaa",COPY!$S$2:$AA$1000,6,FALSE)," ")</f>
        <v xml:space="preserve"> </v>
      </c>
      <c r="AK174" s="90" t="str">
        <f>IF(LEFT(B174,2)="mg",VLOOKUP(A174,COPY!$S$2:$AA$1000,7,FALSE),IF(LEFT(B174,1)="G"," ",IF(LEFT(B174,2)="ma"," "," ")))</f>
        <v xml:space="preserve"> </v>
      </c>
      <c r="AL174" s="90" t="str">
        <f>IFERROR(VLOOKUP(A174&amp;"a",COPY!$S$2:$AA$1000,7,FALSE)," ")</f>
        <v xml:space="preserve"> </v>
      </c>
      <c r="AM174" s="90" t="str">
        <f>IFERROR(VLOOKUP(A174&amp;"aa",COPY!$S$2:$AA$1000,7,FALSE)," ")</f>
        <v xml:space="preserve"> </v>
      </c>
      <c r="AN174" s="90" t="str">
        <f>IFERROR(VLOOKUP(A174&amp;"aaa",COPY!$S$2:$AA$1000,7,FALSE)," ")</f>
        <v xml:space="preserve"> </v>
      </c>
      <c r="AO174" s="90" t="str">
        <f>IFERROR(VLOOKUP(A174&amp;"aaaa",COPY!$S$2:$AA$1000,7,FALSE)," ")</f>
        <v xml:space="preserve"> </v>
      </c>
      <c r="AP174" s="90" t="str">
        <f>IFERROR(VLOOKUP(A174&amp;"aaaaa",COPY!$S$2:$AA$1000,7,FALSE)," ")</f>
        <v xml:space="preserve"> </v>
      </c>
      <c r="AQ174" s="90" t="str">
        <f>IFERROR(VLOOKUP(A174&amp;"aaaaaa",COPY!$S$2:$AA$1000,7,FALSE)," ")</f>
        <v xml:space="preserve"> </v>
      </c>
      <c r="AR174" s="90" t="str">
        <f>IFERROR(VLOOKUP(A174&amp;"aaaaaaa",COPY!$S$2:$AA$1000,7,FALSE)," ")</f>
        <v xml:space="preserve"> </v>
      </c>
      <c r="AS174" s="90" t="str">
        <f>IFERROR(VLOOKUP(A174&amp;"aaaaaaaa",COPY!$S$2:$AA$1000,7,FALSE)," ")</f>
        <v xml:space="preserve"> </v>
      </c>
      <c r="AT174" s="90" t="str">
        <f>IFERROR(VLOOKUP(A174&amp;"aaaaaaaaa",COPY!$S$2:$AA$1000,7,FALSE)," ")</f>
        <v xml:space="preserve"> </v>
      </c>
      <c r="AU174" s="90" t="str">
        <f>IFERROR(VLOOKUP(A174&amp;"aaaaaaaaaa",COPY!$S$2:$AA$1000,7,FALSE)," ")</f>
        <v xml:space="preserve"> </v>
      </c>
      <c r="AV174" s="90" t="str">
        <f>IFERROR(VLOOKUP(A174&amp;"aaaaaaaaaaa",COPY!$S$2:$AA$1000,7,FALSE)," ")</f>
        <v xml:space="preserve"> </v>
      </c>
    </row>
    <row r="175" spans="1:48" x14ac:dyDescent="0.2">
      <c r="A175" s="75" t="str">
        <f>'REKAP PAJAK'!W212</f>
        <v/>
      </c>
      <c r="B175" s="75" t="str">
        <f>IF(LEN(A175)&gt;1,VLOOKUP(A175,COPY!$O$2:$R$1000,4,FALSE),"")</f>
        <v/>
      </c>
      <c r="C175" s="75" t="str">
        <f t="shared" si="12"/>
        <v xml:space="preserve"> </v>
      </c>
      <c r="D175" s="75" t="str">
        <f t="shared" si="13"/>
        <v xml:space="preserve"> </v>
      </c>
      <c r="E175" s="75" t="str">
        <f t="shared" si="14"/>
        <v xml:space="preserve"> </v>
      </c>
      <c r="F175" s="75" t="str">
        <f t="shared" si="15"/>
        <v xml:space="preserve"> </v>
      </c>
      <c r="G175" s="75" t="str">
        <f>IFERROR(TEXT(VLOOKUP(A175,COPY!$S$2:$W$1000,3,FALSE),"dd-mmmm-yyyy")," ")</f>
        <v xml:space="preserve"> </v>
      </c>
      <c r="H175" s="75" t="str">
        <f t="shared" si="16"/>
        <v xml:space="preserve"> </v>
      </c>
      <c r="I175" s="75" t="str">
        <f t="shared" si="17"/>
        <v xml:space="preserve"> </v>
      </c>
      <c r="J175" s="90" t="str">
        <f>IFERROR(VLOOKUP(A175,COPY!$S$2:$W$1000,4,FALSE)," ")</f>
        <v xml:space="preserve"> </v>
      </c>
      <c r="K175" s="75" t="str">
        <f>IFERROR(VLOOKUP(A175,COPY!$S$2:$W$1000,5,FALSE)," ")</f>
        <v xml:space="preserve"> </v>
      </c>
      <c r="L175" s="75" t="str">
        <f>IF(B175="","",IF(LEFT(B175,2)="Ma",(VLOOKUP(B175,'Rekap Gaji'!$C$12:$D$26,2,FALSE))&amp;" Untuk "&amp;(PROPER('Rekap Gaji'!$B$2)),IF(LEFT(B175,2)="Mg","Pembelian Material Bahan Bangunan",IF(LEFT(B175,2)="Me","Biaya Pembelanjaan Menejemen",IF(LEFT(B175,1)="G",VLOOKUP(A175,COPY!$S$2:$AA$1000,2,FALSE)&amp;"( "&amp;TEXT(VLOOKUP(B175,'Rekap Gaji'!$A$12:$I$26,5,FALSE),"dd-mm-yyyy")&amp;" "&amp;TEXT(VLOOKUP(B175,'Rekap Gaji'!$A$12:$I$26,6,FALSE)&amp;" "&amp;TEXT(VLOOKUP(B175,'Rekap Gaji'!$A$12:$I$26,7,FALSE),"dd-mm-yyyy")&amp;" )"," "))))))</f>
        <v/>
      </c>
      <c r="M175" s="75" t="str">
        <f>IF(OR(LEFT(B175,2)="mg",LEFT(B175,2)="mE"),VLOOKUP(A175,COPY!$S$2:$AA$1000,2,FALSE),IF(LEFT(B175,1)="G"," ",IF(LEFT(B175,2)="ma"," "," ")))</f>
        <v xml:space="preserve"> </v>
      </c>
      <c r="N175" s="75" t="str">
        <f>IFERROR(VLOOKUP(A175&amp;"a",COPY!$S$2:$AA$1000,2,FALSE)," ")</f>
        <v xml:space="preserve"> </v>
      </c>
      <c r="O175" s="75" t="str">
        <f>IFERROR(VLOOKUP(A175&amp;"aa",COPY!$S$2:$AA$1000,2,FALSE)," ")</f>
        <v xml:space="preserve"> </v>
      </c>
      <c r="P175" s="75" t="str">
        <f>IFERROR(VLOOKUP(A175&amp;"aaa",COPY!$S$2:$AA$1000,2,FALSE)," ")</f>
        <v xml:space="preserve"> </v>
      </c>
      <c r="Q175" s="75" t="str">
        <f>IFERROR(VLOOKUP(A175&amp;"aaaa",COPY!$S$2:$AA$1000,2,FALSE)," ")</f>
        <v xml:space="preserve"> </v>
      </c>
      <c r="R175" s="75" t="str">
        <f>IFERROR(VLOOKUP(A175&amp;"aaaaa",COPY!$S$2:$AA$1000,2,FALSE)," ")</f>
        <v xml:space="preserve"> </v>
      </c>
      <c r="S175" s="75" t="str">
        <f>IFERROR(VLOOKUP(A175&amp;"aaaaaa",COPY!$S$2:$AA$1000,2,FALSE)," ")</f>
        <v xml:space="preserve"> </v>
      </c>
      <c r="T175" s="75" t="str">
        <f>IFERROR(VLOOKUP(A175&amp;"aaaaaaa",COPY!$S$2:$AA$1000,2,FALSE)," ")</f>
        <v xml:space="preserve"> </v>
      </c>
      <c r="U175" s="75" t="str">
        <f>IFERROR(VLOOKUP(A175&amp;"aaaaaaaa",COPY!$S$2:$AA$1000,2,FALSE)," ")</f>
        <v xml:space="preserve"> </v>
      </c>
      <c r="V175" s="75" t="str">
        <f>IFERROR(VLOOKUP(A175&amp;"aaaaaaaaa",COPY!$S$2:$AA$1000,2,FALSE)," ")</f>
        <v xml:space="preserve"> </v>
      </c>
      <c r="W175" s="75" t="str">
        <f>IFERROR(VLOOKUP(A175&amp;"aaaaaaaaaa",COPY!$S$2:$AA$1000,2,FALSE)," ")</f>
        <v xml:space="preserve"> </v>
      </c>
      <c r="X175" s="75" t="str">
        <f>IFERROR(VLOOKUP(A175&amp;"aaaaaaaaaaa",COPY!$S$2:$AA$1000,2,FALSE)," ")</f>
        <v xml:space="preserve"> </v>
      </c>
      <c r="Y175" s="90" t="str">
        <f>IF(OR(LEFT(B175,2)="mg",LEFT(B175,2)="mE"),VLOOKUP(A175,COPY!$S$2:$AA$1000,6,FALSE),IF(LEFT(B175,1)="G"," ",IF(LEFT(B175,2)="ma"," "," ")))</f>
        <v xml:space="preserve"> </v>
      </c>
      <c r="Z175" s="90" t="str">
        <f>IFERROR(VLOOKUP(A175&amp;"a",COPY!$S$2:$AA$1000,6,FALSE)," ")</f>
        <v xml:space="preserve"> </v>
      </c>
      <c r="AA175" s="90" t="str">
        <f>IFERROR(VLOOKUP(A175&amp;"aa",COPY!$S$2:$AA$1000,6,FALSE)," ")</f>
        <v xml:space="preserve"> </v>
      </c>
      <c r="AB175" s="90" t="str">
        <f>IFERROR(VLOOKUP(A175&amp;"aaa",COPY!$S$2:$AA$1000,6,FALSE)," ")</f>
        <v xml:space="preserve"> </v>
      </c>
      <c r="AC175" s="90" t="str">
        <f>IFERROR(VLOOKUP(A175&amp;"aaaa",COPY!$S$2:$AA$1000,6,FALSE)," ")</f>
        <v xml:space="preserve"> </v>
      </c>
      <c r="AD175" s="90" t="str">
        <f>IFERROR(VLOOKUP(A175&amp;"aaaaa",COPY!$S$2:$AA$1000,6,FALSE)," ")</f>
        <v xml:space="preserve"> </v>
      </c>
      <c r="AE175" s="90" t="str">
        <f>IFERROR(VLOOKUP(A175&amp;"aaaaaa",COPY!$S$2:$AA$1000,6,FALSE)," ")</f>
        <v xml:space="preserve"> </v>
      </c>
      <c r="AF175" s="90" t="str">
        <f>IFERROR(VLOOKUP(A175&amp;"aaaaaaa",COPY!$S$2:$AA$1000,6,FALSE)," ")</f>
        <v xml:space="preserve"> </v>
      </c>
      <c r="AG175" s="90" t="str">
        <f>IFERROR(VLOOKUP(A175&amp;"aaaaaaaa",COPY!$S$2:$AA$1000,6,FALSE)," ")</f>
        <v xml:space="preserve"> </v>
      </c>
      <c r="AH175" s="90" t="str">
        <f>IFERROR(VLOOKUP(A175&amp;"aaaaaaaaa",COPY!$S$2:$AA$1000,6,FALSE)," ")</f>
        <v xml:space="preserve"> </v>
      </c>
      <c r="AI175" s="90" t="str">
        <f>IFERROR(VLOOKUP(A175&amp;"aaaaaaaaaa",COPY!$S$2:$AA$1000,6,FALSE)," ")</f>
        <v xml:space="preserve"> </v>
      </c>
      <c r="AJ175" s="90" t="str">
        <f>IFERROR(VLOOKUP(A175&amp;"aaaaaaaaaaa",COPY!$S$2:$AA$1000,6,FALSE)," ")</f>
        <v xml:space="preserve"> </v>
      </c>
      <c r="AK175" s="90" t="str">
        <f>IF(LEFT(B175,2)="mg",VLOOKUP(A175,COPY!$S$2:$AA$1000,7,FALSE),IF(LEFT(B175,1)="G"," ",IF(LEFT(B175,2)="ma"," "," ")))</f>
        <v xml:space="preserve"> </v>
      </c>
      <c r="AL175" s="90" t="str">
        <f>IFERROR(VLOOKUP(A175&amp;"a",COPY!$S$2:$AA$1000,7,FALSE)," ")</f>
        <v xml:space="preserve"> </v>
      </c>
      <c r="AM175" s="90" t="str">
        <f>IFERROR(VLOOKUP(A175&amp;"aa",COPY!$S$2:$AA$1000,7,FALSE)," ")</f>
        <v xml:space="preserve"> </v>
      </c>
      <c r="AN175" s="90" t="str">
        <f>IFERROR(VLOOKUP(A175&amp;"aaa",COPY!$S$2:$AA$1000,7,FALSE)," ")</f>
        <v xml:space="preserve"> </v>
      </c>
      <c r="AO175" s="90" t="str">
        <f>IFERROR(VLOOKUP(A175&amp;"aaaa",COPY!$S$2:$AA$1000,7,FALSE)," ")</f>
        <v xml:space="preserve"> </v>
      </c>
      <c r="AP175" s="90" t="str">
        <f>IFERROR(VLOOKUP(A175&amp;"aaaaa",COPY!$S$2:$AA$1000,7,FALSE)," ")</f>
        <v xml:space="preserve"> </v>
      </c>
      <c r="AQ175" s="90" t="str">
        <f>IFERROR(VLOOKUP(A175&amp;"aaaaaa",COPY!$S$2:$AA$1000,7,FALSE)," ")</f>
        <v xml:space="preserve"> </v>
      </c>
      <c r="AR175" s="90" t="str">
        <f>IFERROR(VLOOKUP(A175&amp;"aaaaaaa",COPY!$S$2:$AA$1000,7,FALSE)," ")</f>
        <v xml:space="preserve"> </v>
      </c>
      <c r="AS175" s="90" t="str">
        <f>IFERROR(VLOOKUP(A175&amp;"aaaaaaaa",COPY!$S$2:$AA$1000,7,FALSE)," ")</f>
        <v xml:space="preserve"> </v>
      </c>
      <c r="AT175" s="90" t="str">
        <f>IFERROR(VLOOKUP(A175&amp;"aaaaaaaaa",COPY!$S$2:$AA$1000,7,FALSE)," ")</f>
        <v xml:space="preserve"> </v>
      </c>
      <c r="AU175" s="90" t="str">
        <f>IFERROR(VLOOKUP(A175&amp;"aaaaaaaaaa",COPY!$S$2:$AA$1000,7,FALSE)," ")</f>
        <v xml:space="preserve"> </v>
      </c>
      <c r="AV175" s="90" t="str">
        <f>IFERROR(VLOOKUP(A175&amp;"aaaaaaaaaaa",COPY!$S$2:$AA$1000,7,FALSE)," ")</f>
        <v xml:space="preserve"> </v>
      </c>
    </row>
    <row r="176" spans="1:48" x14ac:dyDescent="0.2">
      <c r="A176" s="75" t="str">
        <f>'REKAP PAJAK'!W213</f>
        <v/>
      </c>
      <c r="B176" s="75" t="str">
        <f>IF(LEN(A176)&gt;1,VLOOKUP(A176,COPY!$O$2:$R$1000,4,FALSE),"")</f>
        <v/>
      </c>
      <c r="C176" s="75" t="str">
        <f t="shared" si="12"/>
        <v xml:space="preserve"> </v>
      </c>
      <c r="D176" s="75" t="str">
        <f t="shared" si="13"/>
        <v xml:space="preserve"> </v>
      </c>
      <c r="E176" s="75" t="str">
        <f t="shared" si="14"/>
        <v xml:space="preserve"> </v>
      </c>
      <c r="F176" s="75" t="str">
        <f t="shared" si="15"/>
        <v xml:space="preserve"> </v>
      </c>
      <c r="G176" s="75" t="str">
        <f>IFERROR(TEXT(VLOOKUP(A176,COPY!$S$2:$W$1000,3,FALSE),"dd-mmmm-yyyy")," ")</f>
        <v xml:space="preserve"> </v>
      </c>
      <c r="H176" s="75" t="str">
        <f t="shared" si="16"/>
        <v xml:space="preserve"> </v>
      </c>
      <c r="I176" s="75" t="str">
        <f t="shared" si="17"/>
        <v xml:space="preserve"> </v>
      </c>
      <c r="J176" s="90" t="str">
        <f>IFERROR(VLOOKUP(A176,COPY!$S$2:$W$1000,4,FALSE)," ")</f>
        <v xml:space="preserve"> </v>
      </c>
      <c r="K176" s="75" t="str">
        <f>IFERROR(VLOOKUP(A176,COPY!$S$2:$W$1000,5,FALSE)," ")</f>
        <v xml:space="preserve"> </v>
      </c>
      <c r="L176" s="75" t="str">
        <f>IF(B176="","",IF(LEFT(B176,2)="Ma",(VLOOKUP(B176,'Rekap Gaji'!$C$12:$D$26,2,FALSE))&amp;" Untuk "&amp;(PROPER('Rekap Gaji'!$B$2)),IF(LEFT(B176,2)="Mg","Pembelian Material Bahan Bangunan",IF(LEFT(B176,2)="Me","Biaya Pembelanjaan Menejemen",IF(LEFT(B176,1)="G",VLOOKUP(A176,COPY!$S$2:$AA$1000,2,FALSE)&amp;"( "&amp;TEXT(VLOOKUP(B176,'Rekap Gaji'!$A$12:$I$26,5,FALSE),"dd-mm-yyyy")&amp;" "&amp;TEXT(VLOOKUP(B176,'Rekap Gaji'!$A$12:$I$26,6,FALSE)&amp;" "&amp;TEXT(VLOOKUP(B176,'Rekap Gaji'!$A$12:$I$26,7,FALSE),"dd-mm-yyyy")&amp;" )"," "))))))</f>
        <v/>
      </c>
      <c r="M176" s="75" t="str">
        <f>IF(OR(LEFT(B176,2)="mg",LEFT(B176,2)="mE"),VLOOKUP(A176,COPY!$S$2:$AA$1000,2,FALSE),IF(LEFT(B176,1)="G"," ",IF(LEFT(B176,2)="ma"," "," ")))</f>
        <v xml:space="preserve"> </v>
      </c>
      <c r="N176" s="75" t="str">
        <f>IFERROR(VLOOKUP(A176&amp;"a",COPY!$S$2:$AA$1000,2,FALSE)," ")</f>
        <v xml:space="preserve"> </v>
      </c>
      <c r="O176" s="75" t="str">
        <f>IFERROR(VLOOKUP(A176&amp;"aa",COPY!$S$2:$AA$1000,2,FALSE)," ")</f>
        <v xml:space="preserve"> </v>
      </c>
      <c r="P176" s="75" t="str">
        <f>IFERROR(VLOOKUP(A176&amp;"aaa",COPY!$S$2:$AA$1000,2,FALSE)," ")</f>
        <v xml:space="preserve"> </v>
      </c>
      <c r="Q176" s="75" t="str">
        <f>IFERROR(VLOOKUP(A176&amp;"aaaa",COPY!$S$2:$AA$1000,2,FALSE)," ")</f>
        <v xml:space="preserve"> </v>
      </c>
      <c r="R176" s="75" t="str">
        <f>IFERROR(VLOOKUP(A176&amp;"aaaaa",COPY!$S$2:$AA$1000,2,FALSE)," ")</f>
        <v xml:space="preserve"> </v>
      </c>
      <c r="S176" s="75" t="str">
        <f>IFERROR(VLOOKUP(A176&amp;"aaaaaa",COPY!$S$2:$AA$1000,2,FALSE)," ")</f>
        <v xml:space="preserve"> </v>
      </c>
      <c r="T176" s="75" t="str">
        <f>IFERROR(VLOOKUP(A176&amp;"aaaaaaa",COPY!$S$2:$AA$1000,2,FALSE)," ")</f>
        <v xml:space="preserve"> </v>
      </c>
      <c r="U176" s="75" t="str">
        <f>IFERROR(VLOOKUP(A176&amp;"aaaaaaaa",COPY!$S$2:$AA$1000,2,FALSE)," ")</f>
        <v xml:space="preserve"> </v>
      </c>
      <c r="V176" s="75" t="str">
        <f>IFERROR(VLOOKUP(A176&amp;"aaaaaaaaa",COPY!$S$2:$AA$1000,2,FALSE)," ")</f>
        <v xml:space="preserve"> </v>
      </c>
      <c r="W176" s="75" t="str">
        <f>IFERROR(VLOOKUP(A176&amp;"aaaaaaaaaa",COPY!$S$2:$AA$1000,2,FALSE)," ")</f>
        <v xml:space="preserve"> </v>
      </c>
      <c r="X176" s="75" t="str">
        <f>IFERROR(VLOOKUP(A176&amp;"aaaaaaaaaaa",COPY!$S$2:$AA$1000,2,FALSE)," ")</f>
        <v xml:space="preserve"> </v>
      </c>
      <c r="Y176" s="90" t="str">
        <f>IF(OR(LEFT(B176,2)="mg",LEFT(B176,2)="mE"),VLOOKUP(A176,COPY!$S$2:$AA$1000,6,FALSE),IF(LEFT(B176,1)="G"," ",IF(LEFT(B176,2)="ma"," "," ")))</f>
        <v xml:space="preserve"> </v>
      </c>
      <c r="Z176" s="90" t="str">
        <f>IFERROR(VLOOKUP(A176&amp;"a",COPY!$S$2:$AA$1000,6,FALSE)," ")</f>
        <v xml:space="preserve"> </v>
      </c>
      <c r="AA176" s="90" t="str">
        <f>IFERROR(VLOOKUP(A176&amp;"aa",COPY!$S$2:$AA$1000,6,FALSE)," ")</f>
        <v xml:space="preserve"> </v>
      </c>
      <c r="AB176" s="90" t="str">
        <f>IFERROR(VLOOKUP(A176&amp;"aaa",COPY!$S$2:$AA$1000,6,FALSE)," ")</f>
        <v xml:space="preserve"> </v>
      </c>
      <c r="AC176" s="90" t="str">
        <f>IFERROR(VLOOKUP(A176&amp;"aaaa",COPY!$S$2:$AA$1000,6,FALSE)," ")</f>
        <v xml:space="preserve"> </v>
      </c>
      <c r="AD176" s="90" t="str">
        <f>IFERROR(VLOOKUP(A176&amp;"aaaaa",COPY!$S$2:$AA$1000,6,FALSE)," ")</f>
        <v xml:space="preserve"> </v>
      </c>
      <c r="AE176" s="90" t="str">
        <f>IFERROR(VLOOKUP(A176&amp;"aaaaaa",COPY!$S$2:$AA$1000,6,FALSE)," ")</f>
        <v xml:space="preserve"> </v>
      </c>
      <c r="AF176" s="90" t="str">
        <f>IFERROR(VLOOKUP(A176&amp;"aaaaaaa",COPY!$S$2:$AA$1000,6,FALSE)," ")</f>
        <v xml:space="preserve"> </v>
      </c>
      <c r="AG176" s="90" t="str">
        <f>IFERROR(VLOOKUP(A176&amp;"aaaaaaaa",COPY!$S$2:$AA$1000,6,FALSE)," ")</f>
        <v xml:space="preserve"> </v>
      </c>
      <c r="AH176" s="90" t="str">
        <f>IFERROR(VLOOKUP(A176&amp;"aaaaaaaaa",COPY!$S$2:$AA$1000,6,FALSE)," ")</f>
        <v xml:space="preserve"> </v>
      </c>
      <c r="AI176" s="90" t="str">
        <f>IFERROR(VLOOKUP(A176&amp;"aaaaaaaaaa",COPY!$S$2:$AA$1000,6,FALSE)," ")</f>
        <v xml:space="preserve"> </v>
      </c>
      <c r="AJ176" s="90" t="str">
        <f>IFERROR(VLOOKUP(A176&amp;"aaaaaaaaaaa",COPY!$S$2:$AA$1000,6,FALSE)," ")</f>
        <v xml:space="preserve"> </v>
      </c>
      <c r="AK176" s="90" t="str">
        <f>IF(LEFT(B176,2)="mg",VLOOKUP(A176,COPY!$S$2:$AA$1000,7,FALSE),IF(LEFT(B176,1)="G"," ",IF(LEFT(B176,2)="ma"," "," ")))</f>
        <v xml:space="preserve"> </v>
      </c>
      <c r="AL176" s="90" t="str">
        <f>IFERROR(VLOOKUP(A176&amp;"a",COPY!$S$2:$AA$1000,7,FALSE)," ")</f>
        <v xml:space="preserve"> </v>
      </c>
      <c r="AM176" s="90" t="str">
        <f>IFERROR(VLOOKUP(A176&amp;"aa",COPY!$S$2:$AA$1000,7,FALSE)," ")</f>
        <v xml:space="preserve"> </v>
      </c>
      <c r="AN176" s="90" t="str">
        <f>IFERROR(VLOOKUP(A176&amp;"aaa",COPY!$S$2:$AA$1000,7,FALSE)," ")</f>
        <v xml:space="preserve"> </v>
      </c>
      <c r="AO176" s="90" t="str">
        <f>IFERROR(VLOOKUP(A176&amp;"aaaa",COPY!$S$2:$AA$1000,7,FALSE)," ")</f>
        <v xml:space="preserve"> </v>
      </c>
      <c r="AP176" s="90" t="str">
        <f>IFERROR(VLOOKUP(A176&amp;"aaaaa",COPY!$S$2:$AA$1000,7,FALSE)," ")</f>
        <v xml:space="preserve"> </v>
      </c>
      <c r="AQ176" s="90" t="str">
        <f>IFERROR(VLOOKUP(A176&amp;"aaaaaa",COPY!$S$2:$AA$1000,7,FALSE)," ")</f>
        <v xml:space="preserve"> </v>
      </c>
      <c r="AR176" s="90" t="str">
        <f>IFERROR(VLOOKUP(A176&amp;"aaaaaaa",COPY!$S$2:$AA$1000,7,FALSE)," ")</f>
        <v xml:space="preserve"> </v>
      </c>
      <c r="AS176" s="90" t="str">
        <f>IFERROR(VLOOKUP(A176&amp;"aaaaaaaa",COPY!$S$2:$AA$1000,7,FALSE)," ")</f>
        <v xml:space="preserve"> </v>
      </c>
      <c r="AT176" s="90" t="str">
        <f>IFERROR(VLOOKUP(A176&amp;"aaaaaaaaa",COPY!$S$2:$AA$1000,7,FALSE)," ")</f>
        <v xml:space="preserve"> </v>
      </c>
      <c r="AU176" s="90" t="str">
        <f>IFERROR(VLOOKUP(A176&amp;"aaaaaaaaaa",COPY!$S$2:$AA$1000,7,FALSE)," ")</f>
        <v xml:space="preserve"> </v>
      </c>
      <c r="AV176" s="90" t="str">
        <f>IFERROR(VLOOKUP(A176&amp;"aaaaaaaaaaa",COPY!$S$2:$AA$1000,7,FALSE)," ")</f>
        <v xml:space="preserve"> </v>
      </c>
    </row>
    <row r="177" spans="1:48" x14ac:dyDescent="0.2">
      <c r="A177" s="75" t="str">
        <f>'REKAP PAJAK'!W214</f>
        <v/>
      </c>
      <c r="B177" s="75" t="str">
        <f>IF(LEN(A177)&gt;1,VLOOKUP(A177,COPY!$O$2:$R$1000,4,FALSE),"")</f>
        <v/>
      </c>
      <c r="C177" s="75" t="str">
        <f t="shared" si="12"/>
        <v xml:space="preserve"> </v>
      </c>
      <c r="D177" s="75" t="str">
        <f t="shared" si="13"/>
        <v xml:space="preserve"> </v>
      </c>
      <c r="E177" s="75" t="str">
        <f t="shared" si="14"/>
        <v xml:space="preserve"> </v>
      </c>
      <c r="F177" s="75" t="str">
        <f t="shared" si="15"/>
        <v xml:space="preserve"> </v>
      </c>
      <c r="G177" s="75" t="str">
        <f>IFERROR(TEXT(VLOOKUP(A177,COPY!$S$2:$W$1000,3,FALSE),"dd-mmmm-yyyy")," ")</f>
        <v xml:space="preserve"> </v>
      </c>
      <c r="H177" s="75" t="str">
        <f t="shared" si="16"/>
        <v xml:space="preserve"> </v>
      </c>
      <c r="I177" s="75" t="str">
        <f t="shared" si="17"/>
        <v xml:space="preserve"> </v>
      </c>
      <c r="J177" s="90" t="str">
        <f>IFERROR(VLOOKUP(A177,COPY!$S$2:$W$1000,4,FALSE)," ")</f>
        <v xml:space="preserve"> </v>
      </c>
      <c r="K177" s="75" t="str">
        <f>IFERROR(VLOOKUP(A177,COPY!$S$2:$W$1000,5,FALSE)," ")</f>
        <v xml:space="preserve"> </v>
      </c>
      <c r="L177" s="75" t="str">
        <f>IF(B177="","",IF(LEFT(B177,2)="Ma",(VLOOKUP(B177,'Rekap Gaji'!$C$12:$D$26,2,FALSE))&amp;" Untuk "&amp;(PROPER('Rekap Gaji'!$B$2)),IF(LEFT(B177,2)="Mg","Pembelian Material Bahan Bangunan",IF(LEFT(B177,2)="Me","Biaya Pembelanjaan Menejemen",IF(LEFT(B177,1)="G",VLOOKUP(A177,COPY!$S$2:$AA$1000,2,FALSE)&amp;"( "&amp;TEXT(VLOOKUP(B177,'Rekap Gaji'!$A$12:$I$26,5,FALSE),"dd-mm-yyyy")&amp;" "&amp;TEXT(VLOOKUP(B177,'Rekap Gaji'!$A$12:$I$26,6,FALSE)&amp;" "&amp;TEXT(VLOOKUP(B177,'Rekap Gaji'!$A$12:$I$26,7,FALSE),"dd-mm-yyyy")&amp;" )"," "))))))</f>
        <v/>
      </c>
      <c r="M177" s="75" t="str">
        <f>IF(OR(LEFT(B177,2)="mg",LEFT(B177,2)="mE"),VLOOKUP(A177,COPY!$S$2:$AA$1000,2,FALSE),IF(LEFT(B177,1)="G"," ",IF(LEFT(B177,2)="ma"," "," ")))</f>
        <v xml:space="preserve"> </v>
      </c>
      <c r="N177" s="75" t="str">
        <f>IFERROR(VLOOKUP(A177&amp;"a",COPY!$S$2:$AA$1000,2,FALSE)," ")</f>
        <v xml:space="preserve"> </v>
      </c>
      <c r="O177" s="75" t="str">
        <f>IFERROR(VLOOKUP(A177&amp;"aa",COPY!$S$2:$AA$1000,2,FALSE)," ")</f>
        <v xml:space="preserve"> </v>
      </c>
      <c r="P177" s="75" t="str">
        <f>IFERROR(VLOOKUP(A177&amp;"aaa",COPY!$S$2:$AA$1000,2,FALSE)," ")</f>
        <v xml:space="preserve"> </v>
      </c>
      <c r="Q177" s="75" t="str">
        <f>IFERROR(VLOOKUP(A177&amp;"aaaa",COPY!$S$2:$AA$1000,2,FALSE)," ")</f>
        <v xml:space="preserve"> </v>
      </c>
      <c r="R177" s="75" t="str">
        <f>IFERROR(VLOOKUP(A177&amp;"aaaaa",COPY!$S$2:$AA$1000,2,FALSE)," ")</f>
        <v xml:space="preserve"> </v>
      </c>
      <c r="S177" s="75" t="str">
        <f>IFERROR(VLOOKUP(A177&amp;"aaaaaa",COPY!$S$2:$AA$1000,2,FALSE)," ")</f>
        <v xml:space="preserve"> </v>
      </c>
      <c r="T177" s="75" t="str">
        <f>IFERROR(VLOOKUP(A177&amp;"aaaaaaa",COPY!$S$2:$AA$1000,2,FALSE)," ")</f>
        <v xml:space="preserve"> </v>
      </c>
      <c r="U177" s="75" t="str">
        <f>IFERROR(VLOOKUP(A177&amp;"aaaaaaaa",COPY!$S$2:$AA$1000,2,FALSE)," ")</f>
        <v xml:space="preserve"> </v>
      </c>
      <c r="V177" s="75" t="str">
        <f>IFERROR(VLOOKUP(A177&amp;"aaaaaaaaa",COPY!$S$2:$AA$1000,2,FALSE)," ")</f>
        <v xml:space="preserve"> </v>
      </c>
      <c r="W177" s="75" t="str">
        <f>IFERROR(VLOOKUP(A177&amp;"aaaaaaaaaa",COPY!$S$2:$AA$1000,2,FALSE)," ")</f>
        <v xml:space="preserve"> </v>
      </c>
      <c r="X177" s="75" t="str">
        <f>IFERROR(VLOOKUP(A177&amp;"aaaaaaaaaaa",COPY!$S$2:$AA$1000,2,FALSE)," ")</f>
        <v xml:space="preserve"> </v>
      </c>
      <c r="Y177" s="90" t="str">
        <f>IF(OR(LEFT(B177,2)="mg",LEFT(B177,2)="mE"),VLOOKUP(A177,COPY!$S$2:$AA$1000,6,FALSE),IF(LEFT(B177,1)="G"," ",IF(LEFT(B177,2)="ma"," "," ")))</f>
        <v xml:space="preserve"> </v>
      </c>
      <c r="Z177" s="90" t="str">
        <f>IFERROR(VLOOKUP(A177&amp;"a",COPY!$S$2:$AA$1000,6,FALSE)," ")</f>
        <v xml:space="preserve"> </v>
      </c>
      <c r="AA177" s="90" t="str">
        <f>IFERROR(VLOOKUP(A177&amp;"aa",COPY!$S$2:$AA$1000,6,FALSE)," ")</f>
        <v xml:space="preserve"> </v>
      </c>
      <c r="AB177" s="90" t="str">
        <f>IFERROR(VLOOKUP(A177&amp;"aaa",COPY!$S$2:$AA$1000,6,FALSE)," ")</f>
        <v xml:space="preserve"> </v>
      </c>
      <c r="AC177" s="90" t="str">
        <f>IFERROR(VLOOKUP(A177&amp;"aaaa",COPY!$S$2:$AA$1000,6,FALSE)," ")</f>
        <v xml:space="preserve"> </v>
      </c>
      <c r="AD177" s="90" t="str">
        <f>IFERROR(VLOOKUP(A177&amp;"aaaaa",COPY!$S$2:$AA$1000,6,FALSE)," ")</f>
        <v xml:space="preserve"> </v>
      </c>
      <c r="AE177" s="90" t="str">
        <f>IFERROR(VLOOKUP(A177&amp;"aaaaaa",COPY!$S$2:$AA$1000,6,FALSE)," ")</f>
        <v xml:space="preserve"> </v>
      </c>
      <c r="AF177" s="90" t="str">
        <f>IFERROR(VLOOKUP(A177&amp;"aaaaaaa",COPY!$S$2:$AA$1000,6,FALSE)," ")</f>
        <v xml:space="preserve"> </v>
      </c>
      <c r="AG177" s="90" t="str">
        <f>IFERROR(VLOOKUP(A177&amp;"aaaaaaaa",COPY!$S$2:$AA$1000,6,FALSE)," ")</f>
        <v xml:space="preserve"> </v>
      </c>
      <c r="AH177" s="90" t="str">
        <f>IFERROR(VLOOKUP(A177&amp;"aaaaaaaaa",COPY!$S$2:$AA$1000,6,FALSE)," ")</f>
        <v xml:space="preserve"> </v>
      </c>
      <c r="AI177" s="90" t="str">
        <f>IFERROR(VLOOKUP(A177&amp;"aaaaaaaaaa",COPY!$S$2:$AA$1000,6,FALSE)," ")</f>
        <v xml:space="preserve"> </v>
      </c>
      <c r="AJ177" s="90" t="str">
        <f>IFERROR(VLOOKUP(A177&amp;"aaaaaaaaaaa",COPY!$S$2:$AA$1000,6,FALSE)," ")</f>
        <v xml:space="preserve"> </v>
      </c>
      <c r="AK177" s="90" t="str">
        <f>IF(LEFT(B177,2)="mg",VLOOKUP(A177,COPY!$S$2:$AA$1000,7,FALSE),IF(LEFT(B177,1)="G"," ",IF(LEFT(B177,2)="ma"," "," ")))</f>
        <v xml:space="preserve"> </v>
      </c>
      <c r="AL177" s="90" t="str">
        <f>IFERROR(VLOOKUP(A177&amp;"a",COPY!$S$2:$AA$1000,7,FALSE)," ")</f>
        <v xml:space="preserve"> </v>
      </c>
      <c r="AM177" s="90" t="str">
        <f>IFERROR(VLOOKUP(A177&amp;"aa",COPY!$S$2:$AA$1000,7,FALSE)," ")</f>
        <v xml:space="preserve"> </v>
      </c>
      <c r="AN177" s="90" t="str">
        <f>IFERROR(VLOOKUP(A177&amp;"aaa",COPY!$S$2:$AA$1000,7,FALSE)," ")</f>
        <v xml:space="preserve"> </v>
      </c>
      <c r="AO177" s="90" t="str">
        <f>IFERROR(VLOOKUP(A177&amp;"aaaa",COPY!$S$2:$AA$1000,7,FALSE)," ")</f>
        <v xml:space="preserve"> </v>
      </c>
      <c r="AP177" s="90" t="str">
        <f>IFERROR(VLOOKUP(A177&amp;"aaaaa",COPY!$S$2:$AA$1000,7,FALSE)," ")</f>
        <v xml:space="preserve"> </v>
      </c>
      <c r="AQ177" s="90" t="str">
        <f>IFERROR(VLOOKUP(A177&amp;"aaaaaa",COPY!$S$2:$AA$1000,7,FALSE)," ")</f>
        <v xml:space="preserve"> </v>
      </c>
      <c r="AR177" s="90" t="str">
        <f>IFERROR(VLOOKUP(A177&amp;"aaaaaaa",COPY!$S$2:$AA$1000,7,FALSE)," ")</f>
        <v xml:space="preserve"> </v>
      </c>
      <c r="AS177" s="90" t="str">
        <f>IFERROR(VLOOKUP(A177&amp;"aaaaaaaa",COPY!$S$2:$AA$1000,7,FALSE)," ")</f>
        <v xml:space="preserve"> </v>
      </c>
      <c r="AT177" s="90" t="str">
        <f>IFERROR(VLOOKUP(A177&amp;"aaaaaaaaa",COPY!$S$2:$AA$1000,7,FALSE)," ")</f>
        <v xml:space="preserve"> </v>
      </c>
      <c r="AU177" s="90" t="str">
        <f>IFERROR(VLOOKUP(A177&amp;"aaaaaaaaaa",COPY!$S$2:$AA$1000,7,FALSE)," ")</f>
        <v xml:space="preserve"> </v>
      </c>
      <c r="AV177" s="90" t="str">
        <f>IFERROR(VLOOKUP(A177&amp;"aaaaaaaaaaa",COPY!$S$2:$AA$1000,7,FALSE)," ")</f>
        <v xml:space="preserve"> </v>
      </c>
    </row>
    <row r="178" spans="1:48" x14ac:dyDescent="0.2">
      <c r="A178" s="75" t="str">
        <f>'REKAP PAJAK'!W215</f>
        <v/>
      </c>
      <c r="B178" s="75" t="str">
        <f>IF(LEN(A178)&gt;1,VLOOKUP(A178,COPY!$O$2:$R$1000,4,FALSE),"")</f>
        <v/>
      </c>
      <c r="C178" s="75" t="str">
        <f t="shared" si="12"/>
        <v xml:space="preserve"> </v>
      </c>
      <c r="D178" s="75" t="str">
        <f t="shared" si="13"/>
        <v xml:space="preserve"> </v>
      </c>
      <c r="E178" s="75" t="str">
        <f t="shared" si="14"/>
        <v xml:space="preserve"> </v>
      </c>
      <c r="F178" s="75" t="str">
        <f t="shared" si="15"/>
        <v xml:space="preserve"> </v>
      </c>
      <c r="G178" s="75" t="str">
        <f>IFERROR(TEXT(VLOOKUP(A178,COPY!$S$2:$W$1000,3,FALSE),"dd-mmmm-yyyy")," ")</f>
        <v xml:space="preserve"> </v>
      </c>
      <c r="H178" s="75" t="str">
        <f t="shared" si="16"/>
        <v xml:space="preserve"> </v>
      </c>
      <c r="I178" s="75" t="str">
        <f t="shared" si="17"/>
        <v xml:space="preserve"> </v>
      </c>
      <c r="J178" s="90" t="str">
        <f>IFERROR(VLOOKUP(A178,COPY!$S$2:$W$1000,4,FALSE)," ")</f>
        <v xml:space="preserve"> </v>
      </c>
      <c r="K178" s="75" t="str">
        <f>IFERROR(VLOOKUP(A178,COPY!$S$2:$W$1000,5,FALSE)," ")</f>
        <v xml:space="preserve"> </v>
      </c>
      <c r="L178" s="75" t="str">
        <f>IF(B178="","",IF(LEFT(B178,2)="Ma",(VLOOKUP(B178,'Rekap Gaji'!$C$12:$D$26,2,FALSE))&amp;" Untuk "&amp;(PROPER('Rekap Gaji'!$B$2)),IF(LEFT(B178,2)="Mg","Pembelian Material Bahan Bangunan",IF(LEFT(B178,2)="Me","Biaya Pembelanjaan Menejemen",IF(LEFT(B178,1)="G",VLOOKUP(A178,COPY!$S$2:$AA$1000,2,FALSE)&amp;"( "&amp;TEXT(VLOOKUP(B178,'Rekap Gaji'!$A$12:$I$26,5,FALSE),"dd-mm-yyyy")&amp;" "&amp;TEXT(VLOOKUP(B178,'Rekap Gaji'!$A$12:$I$26,6,FALSE)&amp;" "&amp;TEXT(VLOOKUP(B178,'Rekap Gaji'!$A$12:$I$26,7,FALSE),"dd-mm-yyyy")&amp;" )"," "))))))</f>
        <v/>
      </c>
      <c r="M178" s="75" t="str">
        <f>IF(OR(LEFT(B178,2)="mg",LEFT(B178,2)="mE"),VLOOKUP(A178,COPY!$S$2:$AA$1000,2,FALSE),IF(LEFT(B178,1)="G"," ",IF(LEFT(B178,2)="ma"," "," ")))</f>
        <v xml:space="preserve"> </v>
      </c>
      <c r="N178" s="75" t="str">
        <f>IFERROR(VLOOKUP(A178&amp;"a",COPY!$S$2:$AA$1000,2,FALSE)," ")</f>
        <v xml:space="preserve"> </v>
      </c>
      <c r="O178" s="75" t="str">
        <f>IFERROR(VLOOKUP(A178&amp;"aa",COPY!$S$2:$AA$1000,2,FALSE)," ")</f>
        <v xml:space="preserve"> </v>
      </c>
      <c r="P178" s="75" t="str">
        <f>IFERROR(VLOOKUP(A178&amp;"aaa",COPY!$S$2:$AA$1000,2,FALSE)," ")</f>
        <v xml:space="preserve"> </v>
      </c>
      <c r="Q178" s="75" t="str">
        <f>IFERROR(VLOOKUP(A178&amp;"aaaa",COPY!$S$2:$AA$1000,2,FALSE)," ")</f>
        <v xml:space="preserve"> </v>
      </c>
      <c r="R178" s="75" t="str">
        <f>IFERROR(VLOOKUP(A178&amp;"aaaaa",COPY!$S$2:$AA$1000,2,FALSE)," ")</f>
        <v xml:space="preserve"> </v>
      </c>
      <c r="S178" s="75" t="str">
        <f>IFERROR(VLOOKUP(A178&amp;"aaaaaa",COPY!$S$2:$AA$1000,2,FALSE)," ")</f>
        <v xml:space="preserve"> </v>
      </c>
      <c r="T178" s="75" t="str">
        <f>IFERROR(VLOOKUP(A178&amp;"aaaaaaa",COPY!$S$2:$AA$1000,2,FALSE)," ")</f>
        <v xml:space="preserve"> </v>
      </c>
      <c r="U178" s="75" t="str">
        <f>IFERROR(VLOOKUP(A178&amp;"aaaaaaaa",COPY!$S$2:$AA$1000,2,FALSE)," ")</f>
        <v xml:space="preserve"> </v>
      </c>
      <c r="V178" s="75" t="str">
        <f>IFERROR(VLOOKUP(A178&amp;"aaaaaaaaa",COPY!$S$2:$AA$1000,2,FALSE)," ")</f>
        <v xml:space="preserve"> </v>
      </c>
      <c r="W178" s="75" t="str">
        <f>IFERROR(VLOOKUP(A178&amp;"aaaaaaaaaa",COPY!$S$2:$AA$1000,2,FALSE)," ")</f>
        <v xml:space="preserve"> </v>
      </c>
      <c r="X178" s="75" t="str">
        <f>IFERROR(VLOOKUP(A178&amp;"aaaaaaaaaaa",COPY!$S$2:$AA$1000,2,FALSE)," ")</f>
        <v xml:space="preserve"> </v>
      </c>
      <c r="Y178" s="90" t="str">
        <f>IF(OR(LEFT(B178,2)="mg",LEFT(B178,2)="mE"),VLOOKUP(A178,COPY!$S$2:$AA$1000,6,FALSE),IF(LEFT(B178,1)="G"," ",IF(LEFT(B178,2)="ma"," "," ")))</f>
        <v xml:space="preserve"> </v>
      </c>
      <c r="Z178" s="90" t="str">
        <f>IFERROR(VLOOKUP(A178&amp;"a",COPY!$S$2:$AA$1000,6,FALSE)," ")</f>
        <v xml:space="preserve"> </v>
      </c>
      <c r="AA178" s="90" t="str">
        <f>IFERROR(VLOOKUP(A178&amp;"aa",COPY!$S$2:$AA$1000,6,FALSE)," ")</f>
        <v xml:space="preserve"> </v>
      </c>
      <c r="AB178" s="90" t="str">
        <f>IFERROR(VLOOKUP(A178&amp;"aaa",COPY!$S$2:$AA$1000,6,FALSE)," ")</f>
        <v xml:space="preserve"> </v>
      </c>
      <c r="AC178" s="90" t="str">
        <f>IFERROR(VLOOKUP(A178&amp;"aaaa",COPY!$S$2:$AA$1000,6,FALSE)," ")</f>
        <v xml:space="preserve"> </v>
      </c>
      <c r="AD178" s="90" t="str">
        <f>IFERROR(VLOOKUP(A178&amp;"aaaaa",COPY!$S$2:$AA$1000,6,FALSE)," ")</f>
        <v xml:space="preserve"> </v>
      </c>
      <c r="AE178" s="90" t="str">
        <f>IFERROR(VLOOKUP(A178&amp;"aaaaaa",COPY!$S$2:$AA$1000,6,FALSE)," ")</f>
        <v xml:space="preserve"> </v>
      </c>
      <c r="AF178" s="90" t="str">
        <f>IFERROR(VLOOKUP(A178&amp;"aaaaaaa",COPY!$S$2:$AA$1000,6,FALSE)," ")</f>
        <v xml:space="preserve"> </v>
      </c>
      <c r="AG178" s="90" t="str">
        <f>IFERROR(VLOOKUP(A178&amp;"aaaaaaaa",COPY!$S$2:$AA$1000,6,FALSE)," ")</f>
        <v xml:space="preserve"> </v>
      </c>
      <c r="AH178" s="90" t="str">
        <f>IFERROR(VLOOKUP(A178&amp;"aaaaaaaaa",COPY!$S$2:$AA$1000,6,FALSE)," ")</f>
        <v xml:space="preserve"> </v>
      </c>
      <c r="AI178" s="90" t="str">
        <f>IFERROR(VLOOKUP(A178&amp;"aaaaaaaaaa",COPY!$S$2:$AA$1000,6,FALSE)," ")</f>
        <v xml:space="preserve"> </v>
      </c>
      <c r="AJ178" s="90" t="str">
        <f>IFERROR(VLOOKUP(A178&amp;"aaaaaaaaaaa",COPY!$S$2:$AA$1000,6,FALSE)," ")</f>
        <v xml:space="preserve"> </v>
      </c>
      <c r="AK178" s="90" t="str">
        <f>IF(LEFT(B178,2)="mg",VLOOKUP(A178,COPY!$S$2:$AA$1000,7,FALSE),IF(LEFT(B178,1)="G"," ",IF(LEFT(B178,2)="ma"," "," ")))</f>
        <v xml:space="preserve"> </v>
      </c>
      <c r="AL178" s="90" t="str">
        <f>IFERROR(VLOOKUP(A178&amp;"a",COPY!$S$2:$AA$1000,7,FALSE)," ")</f>
        <v xml:space="preserve"> </v>
      </c>
      <c r="AM178" s="90" t="str">
        <f>IFERROR(VLOOKUP(A178&amp;"aa",COPY!$S$2:$AA$1000,7,FALSE)," ")</f>
        <v xml:space="preserve"> </v>
      </c>
      <c r="AN178" s="90" t="str">
        <f>IFERROR(VLOOKUP(A178&amp;"aaa",COPY!$S$2:$AA$1000,7,FALSE)," ")</f>
        <v xml:space="preserve"> </v>
      </c>
      <c r="AO178" s="90" t="str">
        <f>IFERROR(VLOOKUP(A178&amp;"aaaa",COPY!$S$2:$AA$1000,7,FALSE)," ")</f>
        <v xml:space="preserve"> </v>
      </c>
      <c r="AP178" s="90" t="str">
        <f>IFERROR(VLOOKUP(A178&amp;"aaaaa",COPY!$S$2:$AA$1000,7,FALSE)," ")</f>
        <v xml:space="preserve"> </v>
      </c>
      <c r="AQ178" s="90" t="str">
        <f>IFERROR(VLOOKUP(A178&amp;"aaaaaa",COPY!$S$2:$AA$1000,7,FALSE)," ")</f>
        <v xml:space="preserve"> </v>
      </c>
      <c r="AR178" s="90" t="str">
        <f>IFERROR(VLOOKUP(A178&amp;"aaaaaaa",COPY!$S$2:$AA$1000,7,FALSE)," ")</f>
        <v xml:space="preserve"> </v>
      </c>
      <c r="AS178" s="90" t="str">
        <f>IFERROR(VLOOKUP(A178&amp;"aaaaaaaa",COPY!$S$2:$AA$1000,7,FALSE)," ")</f>
        <v xml:space="preserve"> </v>
      </c>
      <c r="AT178" s="90" t="str">
        <f>IFERROR(VLOOKUP(A178&amp;"aaaaaaaaa",COPY!$S$2:$AA$1000,7,FALSE)," ")</f>
        <v xml:space="preserve"> </v>
      </c>
      <c r="AU178" s="90" t="str">
        <f>IFERROR(VLOOKUP(A178&amp;"aaaaaaaaaa",COPY!$S$2:$AA$1000,7,FALSE)," ")</f>
        <v xml:space="preserve"> </v>
      </c>
      <c r="AV178" s="90" t="str">
        <f>IFERROR(VLOOKUP(A178&amp;"aaaaaaaaaaa",COPY!$S$2:$AA$1000,7,FALSE)," ")</f>
        <v xml:space="preserve"> </v>
      </c>
    </row>
    <row r="179" spans="1:48" x14ac:dyDescent="0.2">
      <c r="A179" s="75" t="str">
        <f>'REKAP PAJAK'!W216</f>
        <v/>
      </c>
      <c r="B179" s="75" t="str">
        <f>IF(LEN(A179)&gt;1,VLOOKUP(A179,COPY!$O$2:$R$1000,4,FALSE),"")</f>
        <v/>
      </c>
      <c r="C179" s="75" t="str">
        <f t="shared" si="12"/>
        <v xml:space="preserve"> </v>
      </c>
      <c r="D179" s="75" t="str">
        <f t="shared" si="13"/>
        <v xml:space="preserve"> </v>
      </c>
      <c r="E179" s="75" t="str">
        <f t="shared" si="14"/>
        <v xml:space="preserve"> </v>
      </c>
      <c r="F179" s="75" t="str">
        <f t="shared" si="15"/>
        <v xml:space="preserve"> </v>
      </c>
      <c r="G179" s="75" t="str">
        <f>IFERROR(TEXT(VLOOKUP(A179,COPY!$S$2:$W$1000,3,FALSE),"dd-mmmm-yyyy")," ")</f>
        <v xml:space="preserve"> </v>
      </c>
      <c r="H179" s="75" t="str">
        <f t="shared" si="16"/>
        <v xml:space="preserve"> </v>
      </c>
      <c r="I179" s="75" t="str">
        <f t="shared" si="17"/>
        <v xml:space="preserve"> </v>
      </c>
      <c r="J179" s="90" t="str">
        <f>IFERROR(VLOOKUP(A179,COPY!$S$2:$W$1000,4,FALSE)," ")</f>
        <v xml:space="preserve"> </v>
      </c>
      <c r="K179" s="75" t="str">
        <f>IFERROR(VLOOKUP(A179,COPY!$S$2:$W$1000,5,FALSE)," ")</f>
        <v xml:space="preserve"> </v>
      </c>
      <c r="L179" s="75" t="str">
        <f>IF(B179="","",IF(LEFT(B179,2)="Ma",(VLOOKUP(B179,'Rekap Gaji'!$C$12:$D$26,2,FALSE))&amp;" Untuk "&amp;(PROPER('Rekap Gaji'!$B$2)),IF(LEFT(B179,2)="Mg","Pembelian Material Bahan Bangunan",IF(LEFT(B179,2)="Me","Biaya Pembelanjaan Menejemen",IF(LEFT(B179,1)="G",VLOOKUP(A179,COPY!$S$2:$AA$1000,2,FALSE)&amp;"( "&amp;TEXT(VLOOKUP(B179,'Rekap Gaji'!$A$12:$I$26,5,FALSE),"dd-mm-yyyy")&amp;" "&amp;TEXT(VLOOKUP(B179,'Rekap Gaji'!$A$12:$I$26,6,FALSE)&amp;" "&amp;TEXT(VLOOKUP(B179,'Rekap Gaji'!$A$12:$I$26,7,FALSE),"dd-mm-yyyy")&amp;" )"," "))))))</f>
        <v/>
      </c>
      <c r="M179" s="75" t="str">
        <f>IF(OR(LEFT(B179,2)="mg",LEFT(B179,2)="mE"),VLOOKUP(A179,COPY!$S$2:$AA$1000,2,FALSE),IF(LEFT(B179,1)="G"," ",IF(LEFT(B179,2)="ma"," "," ")))</f>
        <v xml:space="preserve"> </v>
      </c>
      <c r="N179" s="75" t="str">
        <f>IFERROR(VLOOKUP(A179&amp;"a",COPY!$S$2:$AA$1000,2,FALSE)," ")</f>
        <v xml:space="preserve"> </v>
      </c>
      <c r="O179" s="75" t="str">
        <f>IFERROR(VLOOKUP(A179&amp;"aa",COPY!$S$2:$AA$1000,2,FALSE)," ")</f>
        <v xml:space="preserve"> </v>
      </c>
      <c r="P179" s="75" t="str">
        <f>IFERROR(VLOOKUP(A179&amp;"aaa",COPY!$S$2:$AA$1000,2,FALSE)," ")</f>
        <v xml:space="preserve"> </v>
      </c>
      <c r="Q179" s="75" t="str">
        <f>IFERROR(VLOOKUP(A179&amp;"aaaa",COPY!$S$2:$AA$1000,2,FALSE)," ")</f>
        <v xml:space="preserve"> </v>
      </c>
      <c r="R179" s="75" t="str">
        <f>IFERROR(VLOOKUP(A179&amp;"aaaaa",COPY!$S$2:$AA$1000,2,FALSE)," ")</f>
        <v xml:space="preserve"> </v>
      </c>
      <c r="S179" s="75" t="str">
        <f>IFERROR(VLOOKUP(A179&amp;"aaaaaa",COPY!$S$2:$AA$1000,2,FALSE)," ")</f>
        <v xml:space="preserve"> </v>
      </c>
      <c r="T179" s="75" t="str">
        <f>IFERROR(VLOOKUP(A179&amp;"aaaaaaa",COPY!$S$2:$AA$1000,2,FALSE)," ")</f>
        <v xml:space="preserve"> </v>
      </c>
      <c r="U179" s="75" t="str">
        <f>IFERROR(VLOOKUP(A179&amp;"aaaaaaaa",COPY!$S$2:$AA$1000,2,FALSE)," ")</f>
        <v xml:space="preserve"> </v>
      </c>
      <c r="V179" s="75" t="str">
        <f>IFERROR(VLOOKUP(A179&amp;"aaaaaaaaa",COPY!$S$2:$AA$1000,2,FALSE)," ")</f>
        <v xml:space="preserve"> </v>
      </c>
      <c r="W179" s="75" t="str">
        <f>IFERROR(VLOOKUP(A179&amp;"aaaaaaaaaa",COPY!$S$2:$AA$1000,2,FALSE)," ")</f>
        <v xml:space="preserve"> </v>
      </c>
      <c r="X179" s="75" t="str">
        <f>IFERROR(VLOOKUP(A179&amp;"aaaaaaaaaaa",COPY!$S$2:$AA$1000,2,FALSE)," ")</f>
        <v xml:space="preserve"> </v>
      </c>
      <c r="Y179" s="90" t="str">
        <f>IF(OR(LEFT(B179,2)="mg",LEFT(B179,2)="mE"),VLOOKUP(A179,COPY!$S$2:$AA$1000,6,FALSE),IF(LEFT(B179,1)="G"," ",IF(LEFT(B179,2)="ma"," "," ")))</f>
        <v xml:space="preserve"> </v>
      </c>
      <c r="Z179" s="90" t="str">
        <f>IFERROR(VLOOKUP(A179&amp;"a",COPY!$S$2:$AA$1000,6,FALSE)," ")</f>
        <v xml:space="preserve"> </v>
      </c>
      <c r="AA179" s="90" t="str">
        <f>IFERROR(VLOOKUP(A179&amp;"aa",COPY!$S$2:$AA$1000,6,FALSE)," ")</f>
        <v xml:space="preserve"> </v>
      </c>
      <c r="AB179" s="90" t="str">
        <f>IFERROR(VLOOKUP(A179&amp;"aaa",COPY!$S$2:$AA$1000,6,FALSE)," ")</f>
        <v xml:space="preserve"> </v>
      </c>
      <c r="AC179" s="90" t="str">
        <f>IFERROR(VLOOKUP(A179&amp;"aaaa",COPY!$S$2:$AA$1000,6,FALSE)," ")</f>
        <v xml:space="preserve"> </v>
      </c>
      <c r="AD179" s="90" t="str">
        <f>IFERROR(VLOOKUP(A179&amp;"aaaaa",COPY!$S$2:$AA$1000,6,FALSE)," ")</f>
        <v xml:space="preserve"> </v>
      </c>
      <c r="AE179" s="90" t="str">
        <f>IFERROR(VLOOKUP(A179&amp;"aaaaaa",COPY!$S$2:$AA$1000,6,FALSE)," ")</f>
        <v xml:space="preserve"> </v>
      </c>
      <c r="AF179" s="90" t="str">
        <f>IFERROR(VLOOKUP(A179&amp;"aaaaaaa",COPY!$S$2:$AA$1000,6,FALSE)," ")</f>
        <v xml:space="preserve"> </v>
      </c>
      <c r="AG179" s="90" t="str">
        <f>IFERROR(VLOOKUP(A179&amp;"aaaaaaaa",COPY!$S$2:$AA$1000,6,FALSE)," ")</f>
        <v xml:space="preserve"> </v>
      </c>
      <c r="AH179" s="90" t="str">
        <f>IFERROR(VLOOKUP(A179&amp;"aaaaaaaaa",COPY!$S$2:$AA$1000,6,FALSE)," ")</f>
        <v xml:space="preserve"> </v>
      </c>
      <c r="AI179" s="90" t="str">
        <f>IFERROR(VLOOKUP(A179&amp;"aaaaaaaaaa",COPY!$S$2:$AA$1000,6,FALSE)," ")</f>
        <v xml:space="preserve"> </v>
      </c>
      <c r="AJ179" s="90" t="str">
        <f>IFERROR(VLOOKUP(A179&amp;"aaaaaaaaaaa",COPY!$S$2:$AA$1000,6,FALSE)," ")</f>
        <v xml:space="preserve"> </v>
      </c>
      <c r="AK179" s="90" t="str">
        <f>IF(LEFT(B179,2)="mg",VLOOKUP(A179,COPY!$S$2:$AA$1000,7,FALSE),IF(LEFT(B179,1)="G"," ",IF(LEFT(B179,2)="ma"," "," ")))</f>
        <v xml:space="preserve"> </v>
      </c>
      <c r="AL179" s="90" t="str">
        <f>IFERROR(VLOOKUP(A179&amp;"a",COPY!$S$2:$AA$1000,7,FALSE)," ")</f>
        <v xml:space="preserve"> </v>
      </c>
      <c r="AM179" s="90" t="str">
        <f>IFERROR(VLOOKUP(A179&amp;"aa",COPY!$S$2:$AA$1000,7,FALSE)," ")</f>
        <v xml:space="preserve"> </v>
      </c>
      <c r="AN179" s="90" t="str">
        <f>IFERROR(VLOOKUP(A179&amp;"aaa",COPY!$S$2:$AA$1000,7,FALSE)," ")</f>
        <v xml:space="preserve"> </v>
      </c>
      <c r="AO179" s="90" t="str">
        <f>IFERROR(VLOOKUP(A179&amp;"aaaa",COPY!$S$2:$AA$1000,7,FALSE)," ")</f>
        <v xml:space="preserve"> </v>
      </c>
      <c r="AP179" s="90" t="str">
        <f>IFERROR(VLOOKUP(A179&amp;"aaaaa",COPY!$S$2:$AA$1000,7,FALSE)," ")</f>
        <v xml:space="preserve"> </v>
      </c>
      <c r="AQ179" s="90" t="str">
        <f>IFERROR(VLOOKUP(A179&amp;"aaaaaa",COPY!$S$2:$AA$1000,7,FALSE)," ")</f>
        <v xml:space="preserve"> </v>
      </c>
      <c r="AR179" s="90" t="str">
        <f>IFERROR(VLOOKUP(A179&amp;"aaaaaaa",COPY!$S$2:$AA$1000,7,FALSE)," ")</f>
        <v xml:space="preserve"> </v>
      </c>
      <c r="AS179" s="90" t="str">
        <f>IFERROR(VLOOKUP(A179&amp;"aaaaaaaa",COPY!$S$2:$AA$1000,7,FALSE)," ")</f>
        <v xml:space="preserve"> </v>
      </c>
      <c r="AT179" s="90" t="str">
        <f>IFERROR(VLOOKUP(A179&amp;"aaaaaaaaa",COPY!$S$2:$AA$1000,7,FALSE)," ")</f>
        <v xml:space="preserve"> </v>
      </c>
      <c r="AU179" s="90" t="str">
        <f>IFERROR(VLOOKUP(A179&amp;"aaaaaaaaaa",COPY!$S$2:$AA$1000,7,FALSE)," ")</f>
        <v xml:space="preserve"> </v>
      </c>
      <c r="AV179" s="90" t="str">
        <f>IFERROR(VLOOKUP(A179&amp;"aaaaaaaaaaa",COPY!$S$2:$AA$1000,7,FALSE)," ")</f>
        <v xml:space="preserve"> </v>
      </c>
    </row>
    <row r="180" spans="1:48" x14ac:dyDescent="0.2">
      <c r="A180" s="75" t="str">
        <f>'REKAP PAJAK'!W217</f>
        <v/>
      </c>
      <c r="B180" s="75" t="str">
        <f>IF(LEN(A180)&gt;1,VLOOKUP(A180,COPY!$O$2:$R$1000,4,FALSE),"")</f>
        <v/>
      </c>
      <c r="C180" s="75" t="str">
        <f t="shared" si="12"/>
        <v xml:space="preserve"> </v>
      </c>
      <c r="D180" s="75" t="str">
        <f t="shared" si="13"/>
        <v xml:space="preserve"> </v>
      </c>
      <c r="E180" s="75" t="str">
        <f t="shared" si="14"/>
        <v xml:space="preserve"> </v>
      </c>
      <c r="F180" s="75" t="str">
        <f t="shared" si="15"/>
        <v xml:space="preserve"> </v>
      </c>
      <c r="G180" s="75" t="str">
        <f>IFERROR(TEXT(VLOOKUP(A180,COPY!$S$2:$W$1000,3,FALSE),"dd-mmmm-yyyy")," ")</f>
        <v xml:space="preserve"> </v>
      </c>
      <c r="H180" s="75" t="str">
        <f t="shared" si="16"/>
        <v xml:space="preserve"> </v>
      </c>
      <c r="I180" s="75" t="str">
        <f t="shared" si="17"/>
        <v xml:space="preserve"> </v>
      </c>
      <c r="J180" s="90" t="str">
        <f>IFERROR(VLOOKUP(A180,COPY!$S$2:$W$1000,4,FALSE)," ")</f>
        <v xml:space="preserve"> </v>
      </c>
      <c r="K180" s="75" t="str">
        <f>IFERROR(VLOOKUP(A180,COPY!$S$2:$W$1000,5,FALSE)," ")</f>
        <v xml:space="preserve"> </v>
      </c>
      <c r="L180" s="75" t="str">
        <f>IF(B180="","",IF(LEFT(B180,2)="Ma",(VLOOKUP(B180,'Rekap Gaji'!$C$12:$D$26,2,FALSE))&amp;" Untuk "&amp;(PROPER('Rekap Gaji'!$B$2)),IF(LEFT(B180,2)="Mg","Pembelian Material Bahan Bangunan",IF(LEFT(B180,2)="Me","Biaya Pembelanjaan Menejemen",IF(LEFT(B180,1)="G",VLOOKUP(A180,COPY!$S$2:$AA$1000,2,FALSE)&amp;"( "&amp;TEXT(VLOOKUP(B180,'Rekap Gaji'!$A$12:$I$26,5,FALSE),"dd-mm-yyyy")&amp;" "&amp;TEXT(VLOOKUP(B180,'Rekap Gaji'!$A$12:$I$26,6,FALSE)&amp;" "&amp;TEXT(VLOOKUP(B180,'Rekap Gaji'!$A$12:$I$26,7,FALSE),"dd-mm-yyyy")&amp;" )"," "))))))</f>
        <v/>
      </c>
      <c r="M180" s="75" t="str">
        <f>IF(OR(LEFT(B180,2)="mg",LEFT(B180,2)="mE"),VLOOKUP(A180,COPY!$S$2:$AA$1000,2,FALSE),IF(LEFT(B180,1)="G"," ",IF(LEFT(B180,2)="ma"," "," ")))</f>
        <v xml:space="preserve"> </v>
      </c>
      <c r="N180" s="75" t="str">
        <f>IFERROR(VLOOKUP(A180&amp;"a",COPY!$S$2:$AA$1000,2,FALSE)," ")</f>
        <v xml:space="preserve"> </v>
      </c>
      <c r="O180" s="75" t="str">
        <f>IFERROR(VLOOKUP(A180&amp;"aa",COPY!$S$2:$AA$1000,2,FALSE)," ")</f>
        <v xml:space="preserve"> </v>
      </c>
      <c r="P180" s="75" t="str">
        <f>IFERROR(VLOOKUP(A180&amp;"aaa",COPY!$S$2:$AA$1000,2,FALSE)," ")</f>
        <v xml:space="preserve"> </v>
      </c>
      <c r="Q180" s="75" t="str">
        <f>IFERROR(VLOOKUP(A180&amp;"aaaa",COPY!$S$2:$AA$1000,2,FALSE)," ")</f>
        <v xml:space="preserve"> </v>
      </c>
      <c r="R180" s="75" t="str">
        <f>IFERROR(VLOOKUP(A180&amp;"aaaaa",COPY!$S$2:$AA$1000,2,FALSE)," ")</f>
        <v xml:space="preserve"> </v>
      </c>
      <c r="S180" s="75" t="str">
        <f>IFERROR(VLOOKUP(A180&amp;"aaaaaa",COPY!$S$2:$AA$1000,2,FALSE)," ")</f>
        <v xml:space="preserve"> </v>
      </c>
      <c r="T180" s="75" t="str">
        <f>IFERROR(VLOOKUP(A180&amp;"aaaaaaa",COPY!$S$2:$AA$1000,2,FALSE)," ")</f>
        <v xml:space="preserve"> </v>
      </c>
      <c r="U180" s="75" t="str">
        <f>IFERROR(VLOOKUP(A180&amp;"aaaaaaaa",COPY!$S$2:$AA$1000,2,FALSE)," ")</f>
        <v xml:space="preserve"> </v>
      </c>
      <c r="V180" s="75" t="str">
        <f>IFERROR(VLOOKUP(A180&amp;"aaaaaaaaa",COPY!$S$2:$AA$1000,2,FALSE)," ")</f>
        <v xml:space="preserve"> </v>
      </c>
      <c r="W180" s="75" t="str">
        <f>IFERROR(VLOOKUP(A180&amp;"aaaaaaaaaa",COPY!$S$2:$AA$1000,2,FALSE)," ")</f>
        <v xml:space="preserve"> </v>
      </c>
      <c r="X180" s="75" t="str">
        <f>IFERROR(VLOOKUP(A180&amp;"aaaaaaaaaaa",COPY!$S$2:$AA$1000,2,FALSE)," ")</f>
        <v xml:space="preserve"> </v>
      </c>
      <c r="Y180" s="90" t="str">
        <f>IF(OR(LEFT(B180,2)="mg",LEFT(B180,2)="mE"),VLOOKUP(A180,COPY!$S$2:$AA$1000,6,FALSE),IF(LEFT(B180,1)="G"," ",IF(LEFT(B180,2)="ma"," "," ")))</f>
        <v xml:space="preserve"> </v>
      </c>
      <c r="Z180" s="90" t="str">
        <f>IFERROR(VLOOKUP(A180&amp;"a",COPY!$S$2:$AA$1000,6,FALSE)," ")</f>
        <v xml:space="preserve"> </v>
      </c>
      <c r="AA180" s="90" t="str">
        <f>IFERROR(VLOOKUP(A180&amp;"aa",COPY!$S$2:$AA$1000,6,FALSE)," ")</f>
        <v xml:space="preserve"> </v>
      </c>
      <c r="AB180" s="90" t="str">
        <f>IFERROR(VLOOKUP(A180&amp;"aaa",COPY!$S$2:$AA$1000,6,FALSE)," ")</f>
        <v xml:space="preserve"> </v>
      </c>
      <c r="AC180" s="90" t="str">
        <f>IFERROR(VLOOKUP(A180&amp;"aaaa",COPY!$S$2:$AA$1000,6,FALSE)," ")</f>
        <v xml:space="preserve"> </v>
      </c>
      <c r="AD180" s="90" t="str">
        <f>IFERROR(VLOOKUP(A180&amp;"aaaaa",COPY!$S$2:$AA$1000,6,FALSE)," ")</f>
        <v xml:space="preserve"> </v>
      </c>
      <c r="AE180" s="90" t="str">
        <f>IFERROR(VLOOKUP(A180&amp;"aaaaaa",COPY!$S$2:$AA$1000,6,FALSE)," ")</f>
        <v xml:space="preserve"> </v>
      </c>
      <c r="AF180" s="90" t="str">
        <f>IFERROR(VLOOKUP(A180&amp;"aaaaaaa",COPY!$S$2:$AA$1000,6,FALSE)," ")</f>
        <v xml:space="preserve"> </v>
      </c>
      <c r="AG180" s="90" t="str">
        <f>IFERROR(VLOOKUP(A180&amp;"aaaaaaaa",COPY!$S$2:$AA$1000,6,FALSE)," ")</f>
        <v xml:space="preserve"> </v>
      </c>
      <c r="AH180" s="90" t="str">
        <f>IFERROR(VLOOKUP(A180&amp;"aaaaaaaaa",COPY!$S$2:$AA$1000,6,FALSE)," ")</f>
        <v xml:space="preserve"> </v>
      </c>
      <c r="AI180" s="90" t="str">
        <f>IFERROR(VLOOKUP(A180&amp;"aaaaaaaaaa",COPY!$S$2:$AA$1000,6,FALSE)," ")</f>
        <v xml:space="preserve"> </v>
      </c>
      <c r="AJ180" s="90" t="str">
        <f>IFERROR(VLOOKUP(A180&amp;"aaaaaaaaaaa",COPY!$S$2:$AA$1000,6,FALSE)," ")</f>
        <v xml:space="preserve"> </v>
      </c>
      <c r="AK180" s="90" t="str">
        <f>IF(LEFT(B180,2)="mg",VLOOKUP(A180,COPY!$S$2:$AA$1000,7,FALSE),IF(LEFT(B180,1)="G"," ",IF(LEFT(B180,2)="ma"," "," ")))</f>
        <v xml:space="preserve"> </v>
      </c>
      <c r="AL180" s="90" t="str">
        <f>IFERROR(VLOOKUP(A180&amp;"a",COPY!$S$2:$AA$1000,7,FALSE)," ")</f>
        <v xml:space="preserve"> </v>
      </c>
      <c r="AM180" s="90" t="str">
        <f>IFERROR(VLOOKUP(A180&amp;"aa",COPY!$S$2:$AA$1000,7,FALSE)," ")</f>
        <v xml:space="preserve"> </v>
      </c>
      <c r="AN180" s="90" t="str">
        <f>IFERROR(VLOOKUP(A180&amp;"aaa",COPY!$S$2:$AA$1000,7,FALSE)," ")</f>
        <v xml:space="preserve"> </v>
      </c>
      <c r="AO180" s="90" t="str">
        <f>IFERROR(VLOOKUP(A180&amp;"aaaa",COPY!$S$2:$AA$1000,7,FALSE)," ")</f>
        <v xml:space="preserve"> </v>
      </c>
      <c r="AP180" s="90" t="str">
        <f>IFERROR(VLOOKUP(A180&amp;"aaaaa",COPY!$S$2:$AA$1000,7,FALSE)," ")</f>
        <v xml:space="preserve"> </v>
      </c>
      <c r="AQ180" s="90" t="str">
        <f>IFERROR(VLOOKUP(A180&amp;"aaaaaa",COPY!$S$2:$AA$1000,7,FALSE)," ")</f>
        <v xml:space="preserve"> </v>
      </c>
      <c r="AR180" s="90" t="str">
        <f>IFERROR(VLOOKUP(A180&amp;"aaaaaaa",COPY!$S$2:$AA$1000,7,FALSE)," ")</f>
        <v xml:space="preserve"> </v>
      </c>
      <c r="AS180" s="90" t="str">
        <f>IFERROR(VLOOKUP(A180&amp;"aaaaaaaa",COPY!$S$2:$AA$1000,7,FALSE)," ")</f>
        <v xml:space="preserve"> </v>
      </c>
      <c r="AT180" s="90" t="str">
        <f>IFERROR(VLOOKUP(A180&amp;"aaaaaaaaa",COPY!$S$2:$AA$1000,7,FALSE)," ")</f>
        <v xml:space="preserve"> </v>
      </c>
      <c r="AU180" s="90" t="str">
        <f>IFERROR(VLOOKUP(A180&amp;"aaaaaaaaaa",COPY!$S$2:$AA$1000,7,FALSE)," ")</f>
        <v xml:space="preserve"> </v>
      </c>
      <c r="AV180" s="90" t="str">
        <f>IFERROR(VLOOKUP(A180&amp;"aaaaaaaaaaa",COPY!$S$2:$AA$1000,7,FALSE)," ")</f>
        <v xml:space="preserve"> </v>
      </c>
    </row>
    <row r="181" spans="1:48" x14ac:dyDescent="0.2">
      <c r="A181" s="75" t="str">
        <f>'REKAP PAJAK'!W218</f>
        <v/>
      </c>
      <c r="B181" s="75" t="str">
        <f>IF(LEN(A181)&gt;1,VLOOKUP(A181,COPY!$O$2:$R$1000,4,FALSE),"")</f>
        <v/>
      </c>
      <c r="C181" s="75" t="str">
        <f t="shared" si="12"/>
        <v xml:space="preserve"> </v>
      </c>
      <c r="D181" s="75" t="str">
        <f t="shared" si="13"/>
        <v xml:space="preserve"> </v>
      </c>
      <c r="E181" s="75" t="str">
        <f t="shared" si="14"/>
        <v xml:space="preserve"> </v>
      </c>
      <c r="F181" s="75" t="str">
        <f t="shared" si="15"/>
        <v xml:space="preserve"> </v>
      </c>
      <c r="G181" s="75" t="str">
        <f>IFERROR(TEXT(VLOOKUP(A181,COPY!$S$2:$W$1000,3,FALSE),"dd-mmmm-yyyy")," ")</f>
        <v xml:space="preserve"> </v>
      </c>
      <c r="H181" s="75" t="str">
        <f t="shared" si="16"/>
        <v xml:space="preserve"> </v>
      </c>
      <c r="I181" s="75" t="str">
        <f t="shared" si="17"/>
        <v xml:space="preserve"> </v>
      </c>
      <c r="J181" s="90" t="str">
        <f>IFERROR(VLOOKUP(A181,COPY!$S$2:$W$1000,4,FALSE)," ")</f>
        <v xml:space="preserve"> </v>
      </c>
      <c r="K181" s="75" t="str">
        <f>IFERROR(VLOOKUP(A181,COPY!$S$2:$W$1000,5,FALSE)," ")</f>
        <v xml:space="preserve"> </v>
      </c>
      <c r="L181" s="75" t="str">
        <f>IF(B181="","",IF(LEFT(B181,2)="Ma",(VLOOKUP(B181,'Rekap Gaji'!$C$12:$D$26,2,FALSE))&amp;" Untuk "&amp;(PROPER('Rekap Gaji'!$B$2)),IF(LEFT(B181,2)="Mg","Pembelian Material Bahan Bangunan",IF(LEFT(B181,2)="Me","Biaya Pembelanjaan Menejemen",IF(LEFT(B181,1)="G",VLOOKUP(A181,COPY!$S$2:$AA$1000,2,FALSE)&amp;"( "&amp;TEXT(VLOOKUP(B181,'Rekap Gaji'!$A$12:$I$26,5,FALSE),"dd-mm-yyyy")&amp;" "&amp;TEXT(VLOOKUP(B181,'Rekap Gaji'!$A$12:$I$26,6,FALSE)&amp;" "&amp;TEXT(VLOOKUP(B181,'Rekap Gaji'!$A$12:$I$26,7,FALSE),"dd-mm-yyyy")&amp;" )"," "))))))</f>
        <v/>
      </c>
      <c r="M181" s="75" t="str">
        <f>IF(OR(LEFT(B181,2)="mg",LEFT(B181,2)="mE"),VLOOKUP(A181,COPY!$S$2:$AA$1000,2,FALSE),IF(LEFT(B181,1)="G"," ",IF(LEFT(B181,2)="ma"," "," ")))</f>
        <v xml:space="preserve"> </v>
      </c>
      <c r="N181" s="75" t="str">
        <f>IFERROR(VLOOKUP(A181&amp;"a",COPY!$S$2:$AA$1000,2,FALSE)," ")</f>
        <v xml:space="preserve"> </v>
      </c>
      <c r="O181" s="75" t="str">
        <f>IFERROR(VLOOKUP(A181&amp;"aa",COPY!$S$2:$AA$1000,2,FALSE)," ")</f>
        <v xml:space="preserve"> </v>
      </c>
      <c r="P181" s="75" t="str">
        <f>IFERROR(VLOOKUP(A181&amp;"aaa",COPY!$S$2:$AA$1000,2,FALSE)," ")</f>
        <v xml:space="preserve"> </v>
      </c>
      <c r="Q181" s="75" t="str">
        <f>IFERROR(VLOOKUP(A181&amp;"aaaa",COPY!$S$2:$AA$1000,2,FALSE)," ")</f>
        <v xml:space="preserve"> </v>
      </c>
      <c r="R181" s="75" t="str">
        <f>IFERROR(VLOOKUP(A181&amp;"aaaaa",COPY!$S$2:$AA$1000,2,FALSE)," ")</f>
        <v xml:space="preserve"> </v>
      </c>
      <c r="S181" s="75" t="str">
        <f>IFERROR(VLOOKUP(A181&amp;"aaaaaa",COPY!$S$2:$AA$1000,2,FALSE)," ")</f>
        <v xml:space="preserve"> </v>
      </c>
      <c r="T181" s="75" t="str">
        <f>IFERROR(VLOOKUP(A181&amp;"aaaaaaa",COPY!$S$2:$AA$1000,2,FALSE)," ")</f>
        <v xml:space="preserve"> </v>
      </c>
      <c r="U181" s="75" t="str">
        <f>IFERROR(VLOOKUP(A181&amp;"aaaaaaaa",COPY!$S$2:$AA$1000,2,FALSE)," ")</f>
        <v xml:space="preserve"> </v>
      </c>
      <c r="V181" s="75" t="str">
        <f>IFERROR(VLOOKUP(A181&amp;"aaaaaaaaa",COPY!$S$2:$AA$1000,2,FALSE)," ")</f>
        <v xml:space="preserve"> </v>
      </c>
      <c r="W181" s="75" t="str">
        <f>IFERROR(VLOOKUP(A181&amp;"aaaaaaaaaa",COPY!$S$2:$AA$1000,2,FALSE)," ")</f>
        <v xml:space="preserve"> </v>
      </c>
      <c r="X181" s="75" t="str">
        <f>IFERROR(VLOOKUP(A181&amp;"aaaaaaaaaaa",COPY!$S$2:$AA$1000,2,FALSE)," ")</f>
        <v xml:space="preserve"> </v>
      </c>
      <c r="Y181" s="90" t="str">
        <f>IF(OR(LEFT(B181,2)="mg",LEFT(B181,2)="mE"),VLOOKUP(A181,COPY!$S$2:$AA$1000,6,FALSE),IF(LEFT(B181,1)="G"," ",IF(LEFT(B181,2)="ma"," "," ")))</f>
        <v xml:space="preserve"> </v>
      </c>
      <c r="Z181" s="90" t="str">
        <f>IFERROR(VLOOKUP(A181&amp;"a",COPY!$S$2:$AA$1000,6,FALSE)," ")</f>
        <v xml:space="preserve"> </v>
      </c>
      <c r="AA181" s="90" t="str">
        <f>IFERROR(VLOOKUP(A181&amp;"aa",COPY!$S$2:$AA$1000,6,FALSE)," ")</f>
        <v xml:space="preserve"> </v>
      </c>
      <c r="AB181" s="90" t="str">
        <f>IFERROR(VLOOKUP(A181&amp;"aaa",COPY!$S$2:$AA$1000,6,FALSE)," ")</f>
        <v xml:space="preserve"> </v>
      </c>
      <c r="AC181" s="90" t="str">
        <f>IFERROR(VLOOKUP(A181&amp;"aaaa",COPY!$S$2:$AA$1000,6,FALSE)," ")</f>
        <v xml:space="preserve"> </v>
      </c>
      <c r="AD181" s="90" t="str">
        <f>IFERROR(VLOOKUP(A181&amp;"aaaaa",COPY!$S$2:$AA$1000,6,FALSE)," ")</f>
        <v xml:space="preserve"> </v>
      </c>
      <c r="AE181" s="90" t="str">
        <f>IFERROR(VLOOKUP(A181&amp;"aaaaaa",COPY!$S$2:$AA$1000,6,FALSE)," ")</f>
        <v xml:space="preserve"> </v>
      </c>
      <c r="AF181" s="90" t="str">
        <f>IFERROR(VLOOKUP(A181&amp;"aaaaaaa",COPY!$S$2:$AA$1000,6,FALSE)," ")</f>
        <v xml:space="preserve"> </v>
      </c>
      <c r="AG181" s="90" t="str">
        <f>IFERROR(VLOOKUP(A181&amp;"aaaaaaaa",COPY!$S$2:$AA$1000,6,FALSE)," ")</f>
        <v xml:space="preserve"> </v>
      </c>
      <c r="AH181" s="90" t="str">
        <f>IFERROR(VLOOKUP(A181&amp;"aaaaaaaaa",COPY!$S$2:$AA$1000,6,FALSE)," ")</f>
        <v xml:space="preserve"> </v>
      </c>
      <c r="AI181" s="90" t="str">
        <f>IFERROR(VLOOKUP(A181&amp;"aaaaaaaaaa",COPY!$S$2:$AA$1000,6,FALSE)," ")</f>
        <v xml:space="preserve"> </v>
      </c>
      <c r="AJ181" s="90" t="str">
        <f>IFERROR(VLOOKUP(A181&amp;"aaaaaaaaaaa",COPY!$S$2:$AA$1000,6,FALSE)," ")</f>
        <v xml:space="preserve"> </v>
      </c>
      <c r="AK181" s="90" t="str">
        <f>IF(LEFT(B181,2)="mg",VLOOKUP(A181,COPY!$S$2:$AA$1000,7,FALSE),IF(LEFT(B181,1)="G"," ",IF(LEFT(B181,2)="ma"," "," ")))</f>
        <v xml:space="preserve"> </v>
      </c>
      <c r="AL181" s="90" t="str">
        <f>IFERROR(VLOOKUP(A181&amp;"a",COPY!$S$2:$AA$1000,7,FALSE)," ")</f>
        <v xml:space="preserve"> </v>
      </c>
      <c r="AM181" s="90" t="str">
        <f>IFERROR(VLOOKUP(A181&amp;"aa",COPY!$S$2:$AA$1000,7,FALSE)," ")</f>
        <v xml:space="preserve"> </v>
      </c>
      <c r="AN181" s="90" t="str">
        <f>IFERROR(VLOOKUP(A181&amp;"aaa",COPY!$S$2:$AA$1000,7,FALSE)," ")</f>
        <v xml:space="preserve"> </v>
      </c>
      <c r="AO181" s="90" t="str">
        <f>IFERROR(VLOOKUP(A181&amp;"aaaa",COPY!$S$2:$AA$1000,7,FALSE)," ")</f>
        <v xml:space="preserve"> </v>
      </c>
      <c r="AP181" s="90" t="str">
        <f>IFERROR(VLOOKUP(A181&amp;"aaaaa",COPY!$S$2:$AA$1000,7,FALSE)," ")</f>
        <v xml:space="preserve"> </v>
      </c>
      <c r="AQ181" s="90" t="str">
        <f>IFERROR(VLOOKUP(A181&amp;"aaaaaa",COPY!$S$2:$AA$1000,7,FALSE)," ")</f>
        <v xml:space="preserve"> </v>
      </c>
      <c r="AR181" s="90" t="str">
        <f>IFERROR(VLOOKUP(A181&amp;"aaaaaaa",COPY!$S$2:$AA$1000,7,FALSE)," ")</f>
        <v xml:space="preserve"> </v>
      </c>
      <c r="AS181" s="90" t="str">
        <f>IFERROR(VLOOKUP(A181&amp;"aaaaaaaa",COPY!$S$2:$AA$1000,7,FALSE)," ")</f>
        <v xml:space="preserve"> </v>
      </c>
      <c r="AT181" s="90" t="str">
        <f>IFERROR(VLOOKUP(A181&amp;"aaaaaaaaa",COPY!$S$2:$AA$1000,7,FALSE)," ")</f>
        <v xml:space="preserve"> </v>
      </c>
      <c r="AU181" s="90" t="str">
        <f>IFERROR(VLOOKUP(A181&amp;"aaaaaaaaaa",COPY!$S$2:$AA$1000,7,FALSE)," ")</f>
        <v xml:space="preserve"> </v>
      </c>
      <c r="AV181" s="90" t="str">
        <f>IFERROR(VLOOKUP(A181&amp;"aaaaaaaaaaa",COPY!$S$2:$AA$1000,7,FALSE)," ")</f>
        <v xml:space="preserve"> </v>
      </c>
    </row>
    <row r="182" spans="1:48" x14ac:dyDescent="0.2">
      <c r="A182" s="75" t="str">
        <f>'REKAP PAJAK'!W219</f>
        <v/>
      </c>
      <c r="B182" s="75" t="str">
        <f>IF(LEN(A182)&gt;1,VLOOKUP(A182,COPY!$O$2:$R$1000,4,FALSE),"")</f>
        <v/>
      </c>
      <c r="C182" s="75" t="str">
        <f t="shared" si="12"/>
        <v xml:space="preserve"> </v>
      </c>
      <c r="D182" s="75" t="str">
        <f t="shared" si="13"/>
        <v xml:space="preserve"> </v>
      </c>
      <c r="E182" s="75" t="str">
        <f t="shared" si="14"/>
        <v xml:space="preserve"> </v>
      </c>
      <c r="F182" s="75" t="str">
        <f t="shared" si="15"/>
        <v xml:space="preserve"> </v>
      </c>
      <c r="G182" s="75" t="str">
        <f>IFERROR(TEXT(VLOOKUP(A182,COPY!$S$2:$W$1000,3,FALSE),"dd-mmmm-yyyy")," ")</f>
        <v xml:space="preserve"> </v>
      </c>
      <c r="H182" s="75" t="str">
        <f t="shared" si="16"/>
        <v xml:space="preserve"> </v>
      </c>
      <c r="I182" s="75" t="str">
        <f t="shared" si="17"/>
        <v xml:space="preserve"> </v>
      </c>
      <c r="J182" s="90" t="str">
        <f>IFERROR(VLOOKUP(A182,COPY!$S$2:$W$1000,4,FALSE)," ")</f>
        <v xml:space="preserve"> </v>
      </c>
      <c r="K182" s="75" t="str">
        <f>IFERROR(VLOOKUP(A182,COPY!$S$2:$W$1000,5,FALSE)," ")</f>
        <v xml:space="preserve"> </v>
      </c>
      <c r="L182" s="75" t="str">
        <f>IF(B182="","",IF(LEFT(B182,2)="Ma",(VLOOKUP(B182,'Rekap Gaji'!$C$12:$D$26,2,FALSE))&amp;" Untuk "&amp;(PROPER('Rekap Gaji'!$B$2)),IF(LEFT(B182,2)="Mg","Pembelian Material Bahan Bangunan",IF(LEFT(B182,2)="Me","Biaya Pembelanjaan Menejemen",IF(LEFT(B182,1)="G",VLOOKUP(A182,COPY!$S$2:$AA$1000,2,FALSE)&amp;"( "&amp;TEXT(VLOOKUP(B182,'Rekap Gaji'!$A$12:$I$26,5,FALSE),"dd-mm-yyyy")&amp;" "&amp;TEXT(VLOOKUP(B182,'Rekap Gaji'!$A$12:$I$26,6,FALSE)&amp;" "&amp;TEXT(VLOOKUP(B182,'Rekap Gaji'!$A$12:$I$26,7,FALSE),"dd-mm-yyyy")&amp;" )"," "))))))</f>
        <v/>
      </c>
      <c r="M182" s="75" t="str">
        <f>IF(OR(LEFT(B182,2)="mg",LEFT(B182,2)="mE"),VLOOKUP(A182,COPY!$S$2:$AA$1000,2,FALSE),IF(LEFT(B182,1)="G"," ",IF(LEFT(B182,2)="ma"," "," ")))</f>
        <v xml:space="preserve"> </v>
      </c>
      <c r="N182" s="75" t="str">
        <f>IFERROR(VLOOKUP(A182&amp;"a",COPY!$S$2:$AA$1000,2,FALSE)," ")</f>
        <v xml:space="preserve"> </v>
      </c>
      <c r="O182" s="75" t="str">
        <f>IFERROR(VLOOKUP(A182&amp;"aa",COPY!$S$2:$AA$1000,2,FALSE)," ")</f>
        <v xml:space="preserve"> </v>
      </c>
      <c r="P182" s="75" t="str">
        <f>IFERROR(VLOOKUP(A182&amp;"aaa",COPY!$S$2:$AA$1000,2,FALSE)," ")</f>
        <v xml:space="preserve"> </v>
      </c>
      <c r="Q182" s="75" t="str">
        <f>IFERROR(VLOOKUP(A182&amp;"aaaa",COPY!$S$2:$AA$1000,2,FALSE)," ")</f>
        <v xml:space="preserve"> </v>
      </c>
      <c r="R182" s="75" t="str">
        <f>IFERROR(VLOOKUP(A182&amp;"aaaaa",COPY!$S$2:$AA$1000,2,FALSE)," ")</f>
        <v xml:space="preserve"> </v>
      </c>
      <c r="S182" s="75" t="str">
        <f>IFERROR(VLOOKUP(A182&amp;"aaaaaa",COPY!$S$2:$AA$1000,2,FALSE)," ")</f>
        <v xml:space="preserve"> </v>
      </c>
      <c r="T182" s="75" t="str">
        <f>IFERROR(VLOOKUP(A182&amp;"aaaaaaa",COPY!$S$2:$AA$1000,2,FALSE)," ")</f>
        <v xml:space="preserve"> </v>
      </c>
      <c r="U182" s="75" t="str">
        <f>IFERROR(VLOOKUP(A182&amp;"aaaaaaaa",COPY!$S$2:$AA$1000,2,FALSE)," ")</f>
        <v xml:space="preserve"> </v>
      </c>
      <c r="V182" s="75" t="str">
        <f>IFERROR(VLOOKUP(A182&amp;"aaaaaaaaa",COPY!$S$2:$AA$1000,2,FALSE)," ")</f>
        <v xml:space="preserve"> </v>
      </c>
      <c r="W182" s="75" t="str">
        <f>IFERROR(VLOOKUP(A182&amp;"aaaaaaaaaa",COPY!$S$2:$AA$1000,2,FALSE)," ")</f>
        <v xml:space="preserve"> </v>
      </c>
      <c r="X182" s="75" t="str">
        <f>IFERROR(VLOOKUP(A182&amp;"aaaaaaaaaaa",COPY!$S$2:$AA$1000,2,FALSE)," ")</f>
        <v xml:space="preserve"> </v>
      </c>
      <c r="Y182" s="90" t="str">
        <f>IF(OR(LEFT(B182,2)="mg",LEFT(B182,2)="mE"),VLOOKUP(A182,COPY!$S$2:$AA$1000,6,FALSE),IF(LEFT(B182,1)="G"," ",IF(LEFT(B182,2)="ma"," "," ")))</f>
        <v xml:space="preserve"> </v>
      </c>
      <c r="Z182" s="90" t="str">
        <f>IFERROR(VLOOKUP(A182&amp;"a",COPY!$S$2:$AA$1000,6,FALSE)," ")</f>
        <v xml:space="preserve"> </v>
      </c>
      <c r="AA182" s="90" t="str">
        <f>IFERROR(VLOOKUP(A182&amp;"aa",COPY!$S$2:$AA$1000,6,FALSE)," ")</f>
        <v xml:space="preserve"> </v>
      </c>
      <c r="AB182" s="90" t="str">
        <f>IFERROR(VLOOKUP(A182&amp;"aaa",COPY!$S$2:$AA$1000,6,FALSE)," ")</f>
        <v xml:space="preserve"> </v>
      </c>
      <c r="AC182" s="90" t="str">
        <f>IFERROR(VLOOKUP(A182&amp;"aaaa",COPY!$S$2:$AA$1000,6,FALSE)," ")</f>
        <v xml:space="preserve"> </v>
      </c>
      <c r="AD182" s="90" t="str">
        <f>IFERROR(VLOOKUP(A182&amp;"aaaaa",COPY!$S$2:$AA$1000,6,FALSE)," ")</f>
        <v xml:space="preserve"> </v>
      </c>
      <c r="AE182" s="90" t="str">
        <f>IFERROR(VLOOKUP(A182&amp;"aaaaaa",COPY!$S$2:$AA$1000,6,FALSE)," ")</f>
        <v xml:space="preserve"> </v>
      </c>
      <c r="AF182" s="90" t="str">
        <f>IFERROR(VLOOKUP(A182&amp;"aaaaaaa",COPY!$S$2:$AA$1000,6,FALSE)," ")</f>
        <v xml:space="preserve"> </v>
      </c>
      <c r="AG182" s="90" t="str">
        <f>IFERROR(VLOOKUP(A182&amp;"aaaaaaaa",COPY!$S$2:$AA$1000,6,FALSE)," ")</f>
        <v xml:space="preserve"> </v>
      </c>
      <c r="AH182" s="90" t="str">
        <f>IFERROR(VLOOKUP(A182&amp;"aaaaaaaaa",COPY!$S$2:$AA$1000,6,FALSE)," ")</f>
        <v xml:space="preserve"> </v>
      </c>
      <c r="AI182" s="90" t="str">
        <f>IFERROR(VLOOKUP(A182&amp;"aaaaaaaaaa",COPY!$S$2:$AA$1000,6,FALSE)," ")</f>
        <v xml:space="preserve"> </v>
      </c>
      <c r="AJ182" s="90" t="str">
        <f>IFERROR(VLOOKUP(A182&amp;"aaaaaaaaaaa",COPY!$S$2:$AA$1000,6,FALSE)," ")</f>
        <v xml:space="preserve"> </v>
      </c>
      <c r="AK182" s="90" t="str">
        <f>IF(LEFT(B182,2)="mg",VLOOKUP(A182,COPY!$S$2:$AA$1000,7,FALSE),IF(LEFT(B182,1)="G"," ",IF(LEFT(B182,2)="ma"," "," ")))</f>
        <v xml:space="preserve"> </v>
      </c>
      <c r="AL182" s="90" t="str">
        <f>IFERROR(VLOOKUP(A182&amp;"a",COPY!$S$2:$AA$1000,7,FALSE)," ")</f>
        <v xml:space="preserve"> </v>
      </c>
      <c r="AM182" s="90" t="str">
        <f>IFERROR(VLOOKUP(A182&amp;"aa",COPY!$S$2:$AA$1000,7,FALSE)," ")</f>
        <v xml:space="preserve"> </v>
      </c>
      <c r="AN182" s="90" t="str">
        <f>IFERROR(VLOOKUP(A182&amp;"aaa",COPY!$S$2:$AA$1000,7,FALSE)," ")</f>
        <v xml:space="preserve"> </v>
      </c>
      <c r="AO182" s="90" t="str">
        <f>IFERROR(VLOOKUP(A182&amp;"aaaa",COPY!$S$2:$AA$1000,7,FALSE)," ")</f>
        <v xml:space="preserve"> </v>
      </c>
      <c r="AP182" s="90" t="str">
        <f>IFERROR(VLOOKUP(A182&amp;"aaaaa",COPY!$S$2:$AA$1000,7,FALSE)," ")</f>
        <v xml:space="preserve"> </v>
      </c>
      <c r="AQ182" s="90" t="str">
        <f>IFERROR(VLOOKUP(A182&amp;"aaaaaa",COPY!$S$2:$AA$1000,7,FALSE)," ")</f>
        <v xml:space="preserve"> </v>
      </c>
      <c r="AR182" s="90" t="str">
        <f>IFERROR(VLOOKUP(A182&amp;"aaaaaaa",COPY!$S$2:$AA$1000,7,FALSE)," ")</f>
        <v xml:space="preserve"> </v>
      </c>
      <c r="AS182" s="90" t="str">
        <f>IFERROR(VLOOKUP(A182&amp;"aaaaaaaa",COPY!$S$2:$AA$1000,7,FALSE)," ")</f>
        <v xml:space="preserve"> </v>
      </c>
      <c r="AT182" s="90" t="str">
        <f>IFERROR(VLOOKUP(A182&amp;"aaaaaaaaa",COPY!$S$2:$AA$1000,7,FALSE)," ")</f>
        <v xml:space="preserve"> </v>
      </c>
      <c r="AU182" s="90" t="str">
        <f>IFERROR(VLOOKUP(A182&amp;"aaaaaaaaaa",COPY!$S$2:$AA$1000,7,FALSE)," ")</f>
        <v xml:space="preserve"> </v>
      </c>
      <c r="AV182" s="90" t="str">
        <f>IFERROR(VLOOKUP(A182&amp;"aaaaaaaaaaa",COPY!$S$2:$AA$1000,7,FALSE)," ")</f>
        <v xml:space="preserve"> </v>
      </c>
    </row>
    <row r="183" spans="1:48" x14ac:dyDescent="0.2">
      <c r="A183" s="75" t="str">
        <f>'REKAP PAJAK'!W220</f>
        <v/>
      </c>
      <c r="B183" s="75" t="str">
        <f>IF(LEN(A183)&gt;1,VLOOKUP(A183,COPY!$O$2:$R$1000,4,FALSE),"")</f>
        <v/>
      </c>
      <c r="C183" s="75" t="str">
        <f t="shared" si="12"/>
        <v xml:space="preserve"> </v>
      </c>
      <c r="D183" s="75" t="str">
        <f t="shared" si="13"/>
        <v xml:space="preserve"> </v>
      </c>
      <c r="E183" s="75" t="str">
        <f t="shared" si="14"/>
        <v xml:space="preserve"> </v>
      </c>
      <c r="F183" s="75" t="str">
        <f t="shared" si="15"/>
        <v xml:space="preserve"> </v>
      </c>
      <c r="G183" s="75" t="str">
        <f>IFERROR(TEXT(VLOOKUP(A183,COPY!$S$2:$W$1000,3,FALSE),"dd-mmmm-yyyy")," ")</f>
        <v xml:space="preserve"> </v>
      </c>
      <c r="H183" s="75" t="str">
        <f t="shared" si="16"/>
        <v xml:space="preserve"> </v>
      </c>
      <c r="I183" s="75" t="str">
        <f t="shared" si="17"/>
        <v xml:space="preserve"> </v>
      </c>
      <c r="J183" s="90" t="str">
        <f>IFERROR(VLOOKUP(A183,COPY!$S$2:$W$1000,4,FALSE)," ")</f>
        <v xml:space="preserve"> </v>
      </c>
      <c r="K183" s="75" t="str">
        <f>IFERROR(VLOOKUP(A183,COPY!$S$2:$W$1000,5,FALSE)," ")</f>
        <v xml:space="preserve"> </v>
      </c>
      <c r="L183" s="75" t="str">
        <f>IF(B183="","",IF(LEFT(B183,2)="Ma",(VLOOKUP(B183,'Rekap Gaji'!$C$12:$D$26,2,FALSE))&amp;" Untuk "&amp;(PROPER('Rekap Gaji'!$B$2)),IF(LEFT(B183,2)="Mg","Pembelian Material Bahan Bangunan",IF(LEFT(B183,2)="Me","Biaya Pembelanjaan Menejemen",IF(LEFT(B183,1)="G",VLOOKUP(A183,COPY!$S$2:$AA$1000,2,FALSE)&amp;"( "&amp;TEXT(VLOOKUP(B183,'Rekap Gaji'!$A$12:$I$26,5,FALSE),"dd-mm-yyyy")&amp;" "&amp;TEXT(VLOOKUP(B183,'Rekap Gaji'!$A$12:$I$26,6,FALSE)&amp;" "&amp;TEXT(VLOOKUP(B183,'Rekap Gaji'!$A$12:$I$26,7,FALSE),"dd-mm-yyyy")&amp;" )"," "))))))</f>
        <v/>
      </c>
      <c r="M183" s="75" t="str">
        <f>IF(OR(LEFT(B183,2)="mg",LEFT(B183,2)="mE"),VLOOKUP(A183,COPY!$S$2:$AA$1000,2,FALSE),IF(LEFT(B183,1)="G"," ",IF(LEFT(B183,2)="ma"," "," ")))</f>
        <v xml:space="preserve"> </v>
      </c>
      <c r="N183" s="75" t="str">
        <f>IFERROR(VLOOKUP(A183&amp;"a",COPY!$S$2:$AA$1000,2,FALSE)," ")</f>
        <v xml:space="preserve"> </v>
      </c>
      <c r="O183" s="75" t="str">
        <f>IFERROR(VLOOKUP(A183&amp;"aa",COPY!$S$2:$AA$1000,2,FALSE)," ")</f>
        <v xml:space="preserve"> </v>
      </c>
      <c r="P183" s="75" t="str">
        <f>IFERROR(VLOOKUP(A183&amp;"aaa",COPY!$S$2:$AA$1000,2,FALSE)," ")</f>
        <v xml:space="preserve"> </v>
      </c>
      <c r="Q183" s="75" t="str">
        <f>IFERROR(VLOOKUP(A183&amp;"aaaa",COPY!$S$2:$AA$1000,2,FALSE)," ")</f>
        <v xml:space="preserve"> </v>
      </c>
      <c r="R183" s="75" t="str">
        <f>IFERROR(VLOOKUP(A183&amp;"aaaaa",COPY!$S$2:$AA$1000,2,FALSE)," ")</f>
        <v xml:space="preserve"> </v>
      </c>
      <c r="S183" s="75" t="str">
        <f>IFERROR(VLOOKUP(A183&amp;"aaaaaa",COPY!$S$2:$AA$1000,2,FALSE)," ")</f>
        <v xml:space="preserve"> </v>
      </c>
      <c r="T183" s="75" t="str">
        <f>IFERROR(VLOOKUP(A183&amp;"aaaaaaa",COPY!$S$2:$AA$1000,2,FALSE)," ")</f>
        <v xml:space="preserve"> </v>
      </c>
      <c r="U183" s="75" t="str">
        <f>IFERROR(VLOOKUP(A183&amp;"aaaaaaaa",COPY!$S$2:$AA$1000,2,FALSE)," ")</f>
        <v xml:space="preserve"> </v>
      </c>
      <c r="V183" s="75" t="str">
        <f>IFERROR(VLOOKUP(A183&amp;"aaaaaaaaa",COPY!$S$2:$AA$1000,2,FALSE)," ")</f>
        <v xml:space="preserve"> </v>
      </c>
      <c r="W183" s="75" t="str">
        <f>IFERROR(VLOOKUP(A183&amp;"aaaaaaaaaa",COPY!$S$2:$AA$1000,2,FALSE)," ")</f>
        <v xml:space="preserve"> </v>
      </c>
      <c r="X183" s="75" t="str">
        <f>IFERROR(VLOOKUP(A183&amp;"aaaaaaaaaaa",COPY!$S$2:$AA$1000,2,FALSE)," ")</f>
        <v xml:space="preserve"> </v>
      </c>
      <c r="Y183" s="90" t="str">
        <f>IF(OR(LEFT(B183,2)="mg",LEFT(B183,2)="mE"),VLOOKUP(A183,COPY!$S$2:$AA$1000,6,FALSE),IF(LEFT(B183,1)="G"," ",IF(LEFT(B183,2)="ma"," "," ")))</f>
        <v xml:space="preserve"> </v>
      </c>
      <c r="Z183" s="90" t="str">
        <f>IFERROR(VLOOKUP(A183&amp;"a",COPY!$S$2:$AA$1000,6,FALSE)," ")</f>
        <v xml:space="preserve"> </v>
      </c>
      <c r="AA183" s="90" t="str">
        <f>IFERROR(VLOOKUP(A183&amp;"aa",COPY!$S$2:$AA$1000,6,FALSE)," ")</f>
        <v xml:space="preserve"> </v>
      </c>
      <c r="AB183" s="90" t="str">
        <f>IFERROR(VLOOKUP(A183&amp;"aaa",COPY!$S$2:$AA$1000,6,FALSE)," ")</f>
        <v xml:space="preserve"> </v>
      </c>
      <c r="AC183" s="90" t="str">
        <f>IFERROR(VLOOKUP(A183&amp;"aaaa",COPY!$S$2:$AA$1000,6,FALSE)," ")</f>
        <v xml:space="preserve"> </v>
      </c>
      <c r="AD183" s="90" t="str">
        <f>IFERROR(VLOOKUP(A183&amp;"aaaaa",COPY!$S$2:$AA$1000,6,FALSE)," ")</f>
        <v xml:space="preserve"> </v>
      </c>
      <c r="AE183" s="90" t="str">
        <f>IFERROR(VLOOKUP(A183&amp;"aaaaaa",COPY!$S$2:$AA$1000,6,FALSE)," ")</f>
        <v xml:space="preserve"> </v>
      </c>
      <c r="AF183" s="90" t="str">
        <f>IFERROR(VLOOKUP(A183&amp;"aaaaaaa",COPY!$S$2:$AA$1000,6,FALSE)," ")</f>
        <v xml:space="preserve"> </v>
      </c>
      <c r="AG183" s="90" t="str">
        <f>IFERROR(VLOOKUP(A183&amp;"aaaaaaaa",COPY!$S$2:$AA$1000,6,FALSE)," ")</f>
        <v xml:space="preserve"> </v>
      </c>
      <c r="AH183" s="90" t="str">
        <f>IFERROR(VLOOKUP(A183&amp;"aaaaaaaaa",COPY!$S$2:$AA$1000,6,FALSE)," ")</f>
        <v xml:space="preserve"> </v>
      </c>
      <c r="AI183" s="90" t="str">
        <f>IFERROR(VLOOKUP(A183&amp;"aaaaaaaaaa",COPY!$S$2:$AA$1000,6,FALSE)," ")</f>
        <v xml:space="preserve"> </v>
      </c>
      <c r="AJ183" s="90" t="str">
        <f>IFERROR(VLOOKUP(A183&amp;"aaaaaaaaaaa",COPY!$S$2:$AA$1000,6,FALSE)," ")</f>
        <v xml:space="preserve"> </v>
      </c>
      <c r="AK183" s="90" t="str">
        <f>IF(LEFT(B183,2)="mg",VLOOKUP(A183,COPY!$S$2:$AA$1000,7,FALSE),IF(LEFT(B183,1)="G"," ",IF(LEFT(B183,2)="ma"," "," ")))</f>
        <v xml:space="preserve"> </v>
      </c>
      <c r="AL183" s="90" t="str">
        <f>IFERROR(VLOOKUP(A183&amp;"a",COPY!$S$2:$AA$1000,7,FALSE)," ")</f>
        <v xml:space="preserve"> </v>
      </c>
      <c r="AM183" s="90" t="str">
        <f>IFERROR(VLOOKUP(A183&amp;"aa",COPY!$S$2:$AA$1000,7,FALSE)," ")</f>
        <v xml:space="preserve"> </v>
      </c>
      <c r="AN183" s="90" t="str">
        <f>IFERROR(VLOOKUP(A183&amp;"aaa",COPY!$S$2:$AA$1000,7,FALSE)," ")</f>
        <v xml:space="preserve"> </v>
      </c>
      <c r="AO183" s="90" t="str">
        <f>IFERROR(VLOOKUP(A183&amp;"aaaa",COPY!$S$2:$AA$1000,7,FALSE)," ")</f>
        <v xml:space="preserve"> </v>
      </c>
      <c r="AP183" s="90" t="str">
        <f>IFERROR(VLOOKUP(A183&amp;"aaaaa",COPY!$S$2:$AA$1000,7,FALSE)," ")</f>
        <v xml:space="preserve"> </v>
      </c>
      <c r="AQ183" s="90" t="str">
        <f>IFERROR(VLOOKUP(A183&amp;"aaaaaa",COPY!$S$2:$AA$1000,7,FALSE)," ")</f>
        <v xml:space="preserve"> </v>
      </c>
      <c r="AR183" s="90" t="str">
        <f>IFERROR(VLOOKUP(A183&amp;"aaaaaaa",COPY!$S$2:$AA$1000,7,FALSE)," ")</f>
        <v xml:space="preserve"> </v>
      </c>
      <c r="AS183" s="90" t="str">
        <f>IFERROR(VLOOKUP(A183&amp;"aaaaaaaa",COPY!$S$2:$AA$1000,7,FALSE)," ")</f>
        <v xml:space="preserve"> </v>
      </c>
      <c r="AT183" s="90" t="str">
        <f>IFERROR(VLOOKUP(A183&amp;"aaaaaaaaa",COPY!$S$2:$AA$1000,7,FALSE)," ")</f>
        <v xml:space="preserve"> </v>
      </c>
      <c r="AU183" s="90" t="str">
        <f>IFERROR(VLOOKUP(A183&amp;"aaaaaaaaaa",COPY!$S$2:$AA$1000,7,FALSE)," ")</f>
        <v xml:space="preserve"> </v>
      </c>
      <c r="AV183" s="90" t="str">
        <f>IFERROR(VLOOKUP(A183&amp;"aaaaaaaaaaa",COPY!$S$2:$AA$1000,7,FALSE)," ")</f>
        <v xml:space="preserve"> </v>
      </c>
    </row>
    <row r="184" spans="1:48" x14ac:dyDescent="0.2">
      <c r="A184" s="75" t="str">
        <f>'REKAP PAJAK'!W221</f>
        <v/>
      </c>
      <c r="B184" s="75" t="str">
        <f>IF(LEN(A184)&gt;1,VLOOKUP(A184,COPY!$O$2:$R$1000,4,FALSE),"")</f>
        <v/>
      </c>
      <c r="C184" s="75" t="str">
        <f t="shared" si="12"/>
        <v xml:space="preserve"> </v>
      </c>
      <c r="D184" s="75" t="str">
        <f t="shared" si="13"/>
        <v xml:space="preserve"> </v>
      </c>
      <c r="E184" s="75" t="str">
        <f t="shared" si="14"/>
        <v xml:space="preserve"> </v>
      </c>
      <c r="F184" s="75" t="str">
        <f t="shared" si="15"/>
        <v xml:space="preserve"> </v>
      </c>
      <c r="G184" s="75" t="str">
        <f>IFERROR(TEXT(VLOOKUP(A184,COPY!$S$2:$W$1000,3,FALSE),"dd-mmmm-yyyy")," ")</f>
        <v xml:space="preserve"> </v>
      </c>
      <c r="H184" s="75" t="str">
        <f t="shared" si="16"/>
        <v xml:space="preserve"> </v>
      </c>
      <c r="I184" s="75" t="str">
        <f t="shared" si="17"/>
        <v xml:space="preserve"> </v>
      </c>
      <c r="J184" s="90" t="str">
        <f>IFERROR(VLOOKUP(A184,COPY!$S$2:$W$1000,4,FALSE)," ")</f>
        <v xml:space="preserve"> </v>
      </c>
      <c r="K184" s="75" t="str">
        <f>IFERROR(VLOOKUP(A184,COPY!$S$2:$W$1000,5,FALSE)," ")</f>
        <v xml:space="preserve"> </v>
      </c>
      <c r="L184" s="75" t="str">
        <f>IF(B184="","",IF(LEFT(B184,2)="Ma",(VLOOKUP(B184,'Rekap Gaji'!$C$12:$D$26,2,FALSE))&amp;" Untuk "&amp;(PROPER('Rekap Gaji'!$B$2)),IF(LEFT(B184,2)="Mg","Pembelian Material Bahan Bangunan",IF(LEFT(B184,2)="Me","Biaya Pembelanjaan Menejemen",IF(LEFT(B184,1)="G",VLOOKUP(A184,COPY!$S$2:$AA$1000,2,FALSE)&amp;"( "&amp;TEXT(VLOOKUP(B184,'Rekap Gaji'!$A$12:$I$26,5,FALSE),"dd-mm-yyyy")&amp;" "&amp;TEXT(VLOOKUP(B184,'Rekap Gaji'!$A$12:$I$26,6,FALSE)&amp;" "&amp;TEXT(VLOOKUP(B184,'Rekap Gaji'!$A$12:$I$26,7,FALSE),"dd-mm-yyyy")&amp;" )"," "))))))</f>
        <v/>
      </c>
      <c r="M184" s="75" t="str">
        <f>IF(OR(LEFT(B184,2)="mg",LEFT(B184,2)="mE"),VLOOKUP(A184,COPY!$S$2:$AA$1000,2,FALSE),IF(LEFT(B184,1)="G"," ",IF(LEFT(B184,2)="ma"," "," ")))</f>
        <v xml:space="preserve"> </v>
      </c>
      <c r="N184" s="75" t="str">
        <f>IFERROR(VLOOKUP(A184&amp;"a",COPY!$S$2:$AA$1000,2,FALSE)," ")</f>
        <v xml:space="preserve"> </v>
      </c>
      <c r="O184" s="75" t="str">
        <f>IFERROR(VLOOKUP(A184&amp;"aa",COPY!$S$2:$AA$1000,2,FALSE)," ")</f>
        <v xml:space="preserve"> </v>
      </c>
      <c r="P184" s="75" t="str">
        <f>IFERROR(VLOOKUP(A184&amp;"aaa",COPY!$S$2:$AA$1000,2,FALSE)," ")</f>
        <v xml:space="preserve"> </v>
      </c>
      <c r="Q184" s="75" t="str">
        <f>IFERROR(VLOOKUP(A184&amp;"aaaa",COPY!$S$2:$AA$1000,2,FALSE)," ")</f>
        <v xml:space="preserve"> </v>
      </c>
      <c r="R184" s="75" t="str">
        <f>IFERROR(VLOOKUP(A184&amp;"aaaaa",COPY!$S$2:$AA$1000,2,FALSE)," ")</f>
        <v xml:space="preserve"> </v>
      </c>
      <c r="S184" s="75" t="str">
        <f>IFERROR(VLOOKUP(A184&amp;"aaaaaa",COPY!$S$2:$AA$1000,2,FALSE)," ")</f>
        <v xml:space="preserve"> </v>
      </c>
      <c r="T184" s="75" t="str">
        <f>IFERROR(VLOOKUP(A184&amp;"aaaaaaa",COPY!$S$2:$AA$1000,2,FALSE)," ")</f>
        <v xml:space="preserve"> </v>
      </c>
      <c r="U184" s="75" t="str">
        <f>IFERROR(VLOOKUP(A184&amp;"aaaaaaaa",COPY!$S$2:$AA$1000,2,FALSE)," ")</f>
        <v xml:space="preserve"> </v>
      </c>
      <c r="V184" s="75" t="str">
        <f>IFERROR(VLOOKUP(A184&amp;"aaaaaaaaa",COPY!$S$2:$AA$1000,2,FALSE)," ")</f>
        <v xml:space="preserve"> </v>
      </c>
      <c r="W184" s="75" t="str">
        <f>IFERROR(VLOOKUP(A184&amp;"aaaaaaaaaa",COPY!$S$2:$AA$1000,2,FALSE)," ")</f>
        <v xml:space="preserve"> </v>
      </c>
      <c r="X184" s="75" t="str">
        <f>IFERROR(VLOOKUP(A184&amp;"aaaaaaaaaaa",COPY!$S$2:$AA$1000,2,FALSE)," ")</f>
        <v xml:space="preserve"> </v>
      </c>
      <c r="Y184" s="90" t="str">
        <f>IF(OR(LEFT(B184,2)="mg",LEFT(B184,2)="mE"),VLOOKUP(A184,COPY!$S$2:$AA$1000,6,FALSE),IF(LEFT(B184,1)="G"," ",IF(LEFT(B184,2)="ma"," "," ")))</f>
        <v xml:space="preserve"> </v>
      </c>
      <c r="Z184" s="90" t="str">
        <f>IFERROR(VLOOKUP(A184&amp;"a",COPY!$S$2:$AA$1000,6,FALSE)," ")</f>
        <v xml:space="preserve"> </v>
      </c>
      <c r="AA184" s="90" t="str">
        <f>IFERROR(VLOOKUP(A184&amp;"aa",COPY!$S$2:$AA$1000,6,FALSE)," ")</f>
        <v xml:space="preserve"> </v>
      </c>
      <c r="AB184" s="90" t="str">
        <f>IFERROR(VLOOKUP(A184&amp;"aaa",COPY!$S$2:$AA$1000,6,FALSE)," ")</f>
        <v xml:space="preserve"> </v>
      </c>
      <c r="AC184" s="90" t="str">
        <f>IFERROR(VLOOKUP(A184&amp;"aaaa",COPY!$S$2:$AA$1000,6,FALSE)," ")</f>
        <v xml:space="preserve"> </v>
      </c>
      <c r="AD184" s="90" t="str">
        <f>IFERROR(VLOOKUP(A184&amp;"aaaaa",COPY!$S$2:$AA$1000,6,FALSE)," ")</f>
        <v xml:space="preserve"> </v>
      </c>
      <c r="AE184" s="90" t="str">
        <f>IFERROR(VLOOKUP(A184&amp;"aaaaaa",COPY!$S$2:$AA$1000,6,FALSE)," ")</f>
        <v xml:space="preserve"> </v>
      </c>
      <c r="AF184" s="90" t="str">
        <f>IFERROR(VLOOKUP(A184&amp;"aaaaaaa",COPY!$S$2:$AA$1000,6,FALSE)," ")</f>
        <v xml:space="preserve"> </v>
      </c>
      <c r="AG184" s="90" t="str">
        <f>IFERROR(VLOOKUP(A184&amp;"aaaaaaaa",COPY!$S$2:$AA$1000,6,FALSE)," ")</f>
        <v xml:space="preserve"> </v>
      </c>
      <c r="AH184" s="90" t="str">
        <f>IFERROR(VLOOKUP(A184&amp;"aaaaaaaaa",COPY!$S$2:$AA$1000,6,FALSE)," ")</f>
        <v xml:space="preserve"> </v>
      </c>
      <c r="AI184" s="90" t="str">
        <f>IFERROR(VLOOKUP(A184&amp;"aaaaaaaaaa",COPY!$S$2:$AA$1000,6,FALSE)," ")</f>
        <v xml:space="preserve"> </v>
      </c>
      <c r="AJ184" s="90" t="str">
        <f>IFERROR(VLOOKUP(A184&amp;"aaaaaaaaaaa",COPY!$S$2:$AA$1000,6,FALSE)," ")</f>
        <v xml:space="preserve"> </v>
      </c>
      <c r="AK184" s="90" t="str">
        <f>IF(LEFT(B184,2)="mg",VLOOKUP(A184,COPY!$S$2:$AA$1000,7,FALSE),IF(LEFT(B184,1)="G"," ",IF(LEFT(B184,2)="ma"," "," ")))</f>
        <v xml:space="preserve"> </v>
      </c>
      <c r="AL184" s="90" t="str">
        <f>IFERROR(VLOOKUP(A184&amp;"a",COPY!$S$2:$AA$1000,7,FALSE)," ")</f>
        <v xml:space="preserve"> </v>
      </c>
      <c r="AM184" s="90" t="str">
        <f>IFERROR(VLOOKUP(A184&amp;"aa",COPY!$S$2:$AA$1000,7,FALSE)," ")</f>
        <v xml:space="preserve"> </v>
      </c>
      <c r="AN184" s="90" t="str">
        <f>IFERROR(VLOOKUP(A184&amp;"aaa",COPY!$S$2:$AA$1000,7,FALSE)," ")</f>
        <v xml:space="preserve"> </v>
      </c>
      <c r="AO184" s="90" t="str">
        <f>IFERROR(VLOOKUP(A184&amp;"aaaa",COPY!$S$2:$AA$1000,7,FALSE)," ")</f>
        <v xml:space="preserve"> </v>
      </c>
      <c r="AP184" s="90" t="str">
        <f>IFERROR(VLOOKUP(A184&amp;"aaaaa",COPY!$S$2:$AA$1000,7,FALSE)," ")</f>
        <v xml:space="preserve"> </v>
      </c>
      <c r="AQ184" s="90" t="str">
        <f>IFERROR(VLOOKUP(A184&amp;"aaaaaa",COPY!$S$2:$AA$1000,7,FALSE)," ")</f>
        <v xml:space="preserve"> </v>
      </c>
      <c r="AR184" s="90" t="str">
        <f>IFERROR(VLOOKUP(A184&amp;"aaaaaaa",COPY!$S$2:$AA$1000,7,FALSE)," ")</f>
        <v xml:space="preserve"> </v>
      </c>
      <c r="AS184" s="90" t="str">
        <f>IFERROR(VLOOKUP(A184&amp;"aaaaaaaa",COPY!$S$2:$AA$1000,7,FALSE)," ")</f>
        <v xml:space="preserve"> </v>
      </c>
      <c r="AT184" s="90" t="str">
        <f>IFERROR(VLOOKUP(A184&amp;"aaaaaaaaa",COPY!$S$2:$AA$1000,7,FALSE)," ")</f>
        <v xml:space="preserve"> </v>
      </c>
      <c r="AU184" s="90" t="str">
        <f>IFERROR(VLOOKUP(A184&amp;"aaaaaaaaaa",COPY!$S$2:$AA$1000,7,FALSE)," ")</f>
        <v xml:space="preserve"> </v>
      </c>
      <c r="AV184" s="90" t="str">
        <f>IFERROR(VLOOKUP(A184&amp;"aaaaaaaaaaa",COPY!$S$2:$AA$1000,7,FALSE)," ")</f>
        <v xml:space="preserve"> </v>
      </c>
    </row>
    <row r="185" spans="1:48" x14ac:dyDescent="0.2">
      <c r="A185" s="75" t="str">
        <f>'REKAP PAJAK'!W222</f>
        <v/>
      </c>
      <c r="B185" s="75" t="str">
        <f>IF(LEN(A185)&gt;1,VLOOKUP(A185,COPY!$O$2:$R$1000,4,FALSE),"")</f>
        <v/>
      </c>
      <c r="C185" s="75" t="str">
        <f t="shared" si="12"/>
        <v xml:space="preserve"> </v>
      </c>
      <c r="D185" s="75" t="str">
        <f t="shared" si="13"/>
        <v xml:space="preserve"> </v>
      </c>
      <c r="E185" s="75" t="str">
        <f t="shared" si="14"/>
        <v xml:space="preserve"> </v>
      </c>
      <c r="F185" s="75" t="str">
        <f t="shared" si="15"/>
        <v xml:space="preserve"> </v>
      </c>
      <c r="G185" s="75" t="str">
        <f>IFERROR(TEXT(VLOOKUP(A185,COPY!$S$2:$W$1000,3,FALSE),"dd-mmmm-yyyy")," ")</f>
        <v xml:space="preserve"> </v>
      </c>
      <c r="H185" s="75" t="str">
        <f t="shared" si="16"/>
        <v xml:space="preserve"> </v>
      </c>
      <c r="I185" s="75" t="str">
        <f t="shared" si="17"/>
        <v xml:space="preserve"> </v>
      </c>
      <c r="J185" s="90" t="str">
        <f>IFERROR(VLOOKUP(A185,COPY!$S$2:$W$1000,4,FALSE)," ")</f>
        <v xml:space="preserve"> </v>
      </c>
      <c r="K185" s="75" t="str">
        <f>IFERROR(VLOOKUP(A185,COPY!$S$2:$W$1000,5,FALSE)," ")</f>
        <v xml:space="preserve"> </v>
      </c>
      <c r="L185" s="75" t="str">
        <f>IF(B185="","",IF(LEFT(B185,2)="Ma",(VLOOKUP(B185,'Rekap Gaji'!$C$12:$D$26,2,FALSE))&amp;" Untuk "&amp;(PROPER('Rekap Gaji'!$B$2)),IF(LEFT(B185,2)="Mg","Pembelian Material Bahan Bangunan",IF(LEFT(B185,2)="Me","Biaya Pembelanjaan Menejemen",IF(LEFT(B185,1)="G",VLOOKUP(A185,COPY!$S$2:$AA$1000,2,FALSE)&amp;"( "&amp;TEXT(VLOOKUP(B185,'Rekap Gaji'!$A$12:$I$26,5,FALSE),"dd-mm-yyyy")&amp;" "&amp;TEXT(VLOOKUP(B185,'Rekap Gaji'!$A$12:$I$26,6,FALSE)&amp;" "&amp;TEXT(VLOOKUP(B185,'Rekap Gaji'!$A$12:$I$26,7,FALSE),"dd-mm-yyyy")&amp;" )"," "))))))</f>
        <v/>
      </c>
      <c r="M185" s="75" t="str">
        <f>IF(OR(LEFT(B185,2)="mg",LEFT(B185,2)="mE"),VLOOKUP(A185,COPY!$S$2:$AA$1000,2,FALSE),IF(LEFT(B185,1)="G"," ",IF(LEFT(B185,2)="ma"," "," ")))</f>
        <v xml:space="preserve"> </v>
      </c>
      <c r="N185" s="75" t="str">
        <f>IFERROR(VLOOKUP(A185&amp;"a",COPY!$S$2:$AA$1000,2,FALSE)," ")</f>
        <v xml:space="preserve"> </v>
      </c>
      <c r="O185" s="75" t="str">
        <f>IFERROR(VLOOKUP(A185&amp;"aa",COPY!$S$2:$AA$1000,2,FALSE)," ")</f>
        <v xml:space="preserve"> </v>
      </c>
      <c r="P185" s="75" t="str">
        <f>IFERROR(VLOOKUP(A185&amp;"aaa",COPY!$S$2:$AA$1000,2,FALSE)," ")</f>
        <v xml:space="preserve"> </v>
      </c>
      <c r="Q185" s="75" t="str">
        <f>IFERROR(VLOOKUP(A185&amp;"aaaa",COPY!$S$2:$AA$1000,2,FALSE)," ")</f>
        <v xml:space="preserve"> </v>
      </c>
      <c r="R185" s="75" t="str">
        <f>IFERROR(VLOOKUP(A185&amp;"aaaaa",COPY!$S$2:$AA$1000,2,FALSE)," ")</f>
        <v xml:space="preserve"> </v>
      </c>
      <c r="S185" s="75" t="str">
        <f>IFERROR(VLOOKUP(A185&amp;"aaaaaa",COPY!$S$2:$AA$1000,2,FALSE)," ")</f>
        <v xml:space="preserve"> </v>
      </c>
      <c r="T185" s="75" t="str">
        <f>IFERROR(VLOOKUP(A185&amp;"aaaaaaa",COPY!$S$2:$AA$1000,2,FALSE)," ")</f>
        <v xml:space="preserve"> </v>
      </c>
      <c r="U185" s="75" t="str">
        <f>IFERROR(VLOOKUP(A185&amp;"aaaaaaaa",COPY!$S$2:$AA$1000,2,FALSE)," ")</f>
        <v xml:space="preserve"> </v>
      </c>
      <c r="V185" s="75" t="str">
        <f>IFERROR(VLOOKUP(A185&amp;"aaaaaaaaa",COPY!$S$2:$AA$1000,2,FALSE)," ")</f>
        <v xml:space="preserve"> </v>
      </c>
      <c r="W185" s="75" t="str">
        <f>IFERROR(VLOOKUP(A185&amp;"aaaaaaaaaa",COPY!$S$2:$AA$1000,2,FALSE)," ")</f>
        <v xml:space="preserve"> </v>
      </c>
      <c r="X185" s="75" t="str">
        <f>IFERROR(VLOOKUP(A185&amp;"aaaaaaaaaaa",COPY!$S$2:$AA$1000,2,FALSE)," ")</f>
        <v xml:space="preserve"> </v>
      </c>
      <c r="Y185" s="90" t="str">
        <f>IF(OR(LEFT(B185,2)="mg",LEFT(B185,2)="mE"),VLOOKUP(A185,COPY!$S$2:$AA$1000,6,FALSE),IF(LEFT(B185,1)="G"," ",IF(LEFT(B185,2)="ma"," "," ")))</f>
        <v xml:space="preserve"> </v>
      </c>
      <c r="Z185" s="90" t="str">
        <f>IFERROR(VLOOKUP(A185&amp;"a",COPY!$S$2:$AA$1000,6,FALSE)," ")</f>
        <v xml:space="preserve"> </v>
      </c>
      <c r="AA185" s="90" t="str">
        <f>IFERROR(VLOOKUP(A185&amp;"aa",COPY!$S$2:$AA$1000,6,FALSE)," ")</f>
        <v xml:space="preserve"> </v>
      </c>
      <c r="AB185" s="90" t="str">
        <f>IFERROR(VLOOKUP(A185&amp;"aaa",COPY!$S$2:$AA$1000,6,FALSE)," ")</f>
        <v xml:space="preserve"> </v>
      </c>
      <c r="AC185" s="90" t="str">
        <f>IFERROR(VLOOKUP(A185&amp;"aaaa",COPY!$S$2:$AA$1000,6,FALSE)," ")</f>
        <v xml:space="preserve"> </v>
      </c>
      <c r="AD185" s="90" t="str">
        <f>IFERROR(VLOOKUP(A185&amp;"aaaaa",COPY!$S$2:$AA$1000,6,FALSE)," ")</f>
        <v xml:space="preserve"> </v>
      </c>
      <c r="AE185" s="90" t="str">
        <f>IFERROR(VLOOKUP(A185&amp;"aaaaaa",COPY!$S$2:$AA$1000,6,FALSE)," ")</f>
        <v xml:space="preserve"> </v>
      </c>
      <c r="AF185" s="90" t="str">
        <f>IFERROR(VLOOKUP(A185&amp;"aaaaaaa",COPY!$S$2:$AA$1000,6,FALSE)," ")</f>
        <v xml:space="preserve"> </v>
      </c>
      <c r="AG185" s="90" t="str">
        <f>IFERROR(VLOOKUP(A185&amp;"aaaaaaaa",COPY!$S$2:$AA$1000,6,FALSE)," ")</f>
        <v xml:space="preserve"> </v>
      </c>
      <c r="AH185" s="90" t="str">
        <f>IFERROR(VLOOKUP(A185&amp;"aaaaaaaaa",COPY!$S$2:$AA$1000,6,FALSE)," ")</f>
        <v xml:space="preserve"> </v>
      </c>
      <c r="AI185" s="90" t="str">
        <f>IFERROR(VLOOKUP(A185&amp;"aaaaaaaaaa",COPY!$S$2:$AA$1000,6,FALSE)," ")</f>
        <v xml:space="preserve"> </v>
      </c>
      <c r="AJ185" s="90" t="str">
        <f>IFERROR(VLOOKUP(A185&amp;"aaaaaaaaaaa",COPY!$S$2:$AA$1000,6,FALSE)," ")</f>
        <v xml:space="preserve"> </v>
      </c>
      <c r="AK185" s="90" t="str">
        <f>IF(LEFT(B185,2)="mg",VLOOKUP(A185,COPY!$S$2:$AA$1000,7,FALSE),IF(LEFT(B185,1)="G"," ",IF(LEFT(B185,2)="ma"," "," ")))</f>
        <v xml:space="preserve"> </v>
      </c>
      <c r="AL185" s="90" t="str">
        <f>IFERROR(VLOOKUP(A185&amp;"a",COPY!$S$2:$AA$1000,7,FALSE)," ")</f>
        <v xml:space="preserve"> </v>
      </c>
      <c r="AM185" s="90" t="str">
        <f>IFERROR(VLOOKUP(A185&amp;"aa",COPY!$S$2:$AA$1000,7,FALSE)," ")</f>
        <v xml:space="preserve"> </v>
      </c>
      <c r="AN185" s="90" t="str">
        <f>IFERROR(VLOOKUP(A185&amp;"aaa",COPY!$S$2:$AA$1000,7,FALSE)," ")</f>
        <v xml:space="preserve"> </v>
      </c>
      <c r="AO185" s="90" t="str">
        <f>IFERROR(VLOOKUP(A185&amp;"aaaa",COPY!$S$2:$AA$1000,7,FALSE)," ")</f>
        <v xml:space="preserve"> </v>
      </c>
      <c r="AP185" s="90" t="str">
        <f>IFERROR(VLOOKUP(A185&amp;"aaaaa",COPY!$S$2:$AA$1000,7,FALSE)," ")</f>
        <v xml:space="preserve"> </v>
      </c>
      <c r="AQ185" s="90" t="str">
        <f>IFERROR(VLOOKUP(A185&amp;"aaaaaa",COPY!$S$2:$AA$1000,7,FALSE)," ")</f>
        <v xml:space="preserve"> </v>
      </c>
      <c r="AR185" s="90" t="str">
        <f>IFERROR(VLOOKUP(A185&amp;"aaaaaaa",COPY!$S$2:$AA$1000,7,FALSE)," ")</f>
        <v xml:space="preserve"> </v>
      </c>
      <c r="AS185" s="90" t="str">
        <f>IFERROR(VLOOKUP(A185&amp;"aaaaaaaa",COPY!$S$2:$AA$1000,7,FALSE)," ")</f>
        <v xml:space="preserve"> </v>
      </c>
      <c r="AT185" s="90" t="str">
        <f>IFERROR(VLOOKUP(A185&amp;"aaaaaaaaa",COPY!$S$2:$AA$1000,7,FALSE)," ")</f>
        <v xml:space="preserve"> </v>
      </c>
      <c r="AU185" s="90" t="str">
        <f>IFERROR(VLOOKUP(A185&amp;"aaaaaaaaaa",COPY!$S$2:$AA$1000,7,FALSE)," ")</f>
        <v xml:space="preserve"> </v>
      </c>
      <c r="AV185" s="90" t="str">
        <f>IFERROR(VLOOKUP(A185&amp;"aaaaaaaaaaa",COPY!$S$2:$AA$1000,7,FALSE)," ")</f>
        <v xml:space="preserve"> </v>
      </c>
    </row>
    <row r="186" spans="1:48" x14ac:dyDescent="0.2">
      <c r="A186" s="75" t="str">
        <f>'REKAP PAJAK'!W223</f>
        <v/>
      </c>
      <c r="B186" s="75" t="str">
        <f>IF(LEN(A186)&gt;1,VLOOKUP(A186,COPY!$O$2:$R$1000,4,FALSE),"")</f>
        <v/>
      </c>
      <c r="C186" s="75" t="str">
        <f t="shared" si="12"/>
        <v xml:space="preserve"> </v>
      </c>
      <c r="D186" s="75" t="str">
        <f t="shared" si="13"/>
        <v xml:space="preserve"> </v>
      </c>
      <c r="E186" s="75" t="str">
        <f t="shared" si="14"/>
        <v xml:space="preserve"> </v>
      </c>
      <c r="F186" s="75" t="str">
        <f t="shared" si="15"/>
        <v xml:space="preserve"> </v>
      </c>
      <c r="G186" s="75" t="str">
        <f>IFERROR(TEXT(VLOOKUP(A186,COPY!$S$2:$W$1000,3,FALSE),"dd-mmmm-yyyy")," ")</f>
        <v xml:space="preserve"> </v>
      </c>
      <c r="H186" s="75" t="str">
        <f t="shared" si="16"/>
        <v xml:space="preserve"> </v>
      </c>
      <c r="I186" s="75" t="str">
        <f t="shared" si="17"/>
        <v xml:space="preserve"> </v>
      </c>
      <c r="J186" s="90" t="str">
        <f>IFERROR(VLOOKUP(A186,COPY!$S$2:$W$1000,4,FALSE)," ")</f>
        <v xml:space="preserve"> </v>
      </c>
      <c r="K186" s="75" t="str">
        <f>IFERROR(VLOOKUP(A186,COPY!$S$2:$W$1000,5,FALSE)," ")</f>
        <v xml:space="preserve"> </v>
      </c>
      <c r="L186" s="75" t="str">
        <f>IF(B186="","",IF(LEFT(B186,2)="Ma",(VLOOKUP(B186,'Rekap Gaji'!$C$12:$D$26,2,FALSE))&amp;" Untuk "&amp;(PROPER('Rekap Gaji'!$B$2)),IF(LEFT(B186,2)="Mg","Pembelian Material Bahan Bangunan",IF(LEFT(B186,2)="Me","Biaya Pembelanjaan Menejemen",IF(LEFT(B186,1)="G",VLOOKUP(A186,COPY!$S$2:$AA$1000,2,FALSE)&amp;"( "&amp;TEXT(VLOOKUP(B186,'Rekap Gaji'!$A$12:$I$26,5,FALSE),"dd-mm-yyyy")&amp;" "&amp;TEXT(VLOOKUP(B186,'Rekap Gaji'!$A$12:$I$26,6,FALSE)&amp;" "&amp;TEXT(VLOOKUP(B186,'Rekap Gaji'!$A$12:$I$26,7,FALSE),"dd-mm-yyyy")&amp;" )"," "))))))</f>
        <v/>
      </c>
      <c r="M186" s="75" t="str">
        <f>IF(OR(LEFT(B186,2)="mg",LEFT(B186,2)="mE"),VLOOKUP(A186,COPY!$S$2:$AA$1000,2,FALSE),IF(LEFT(B186,1)="G"," ",IF(LEFT(B186,2)="ma"," "," ")))</f>
        <v xml:space="preserve"> </v>
      </c>
      <c r="N186" s="75" t="str">
        <f>IFERROR(VLOOKUP(A186&amp;"a",COPY!$S$2:$AA$1000,2,FALSE)," ")</f>
        <v xml:space="preserve"> </v>
      </c>
      <c r="O186" s="75" t="str">
        <f>IFERROR(VLOOKUP(A186&amp;"aa",COPY!$S$2:$AA$1000,2,FALSE)," ")</f>
        <v xml:space="preserve"> </v>
      </c>
      <c r="P186" s="75" t="str">
        <f>IFERROR(VLOOKUP(A186&amp;"aaa",COPY!$S$2:$AA$1000,2,FALSE)," ")</f>
        <v xml:space="preserve"> </v>
      </c>
      <c r="Q186" s="75" t="str">
        <f>IFERROR(VLOOKUP(A186&amp;"aaaa",COPY!$S$2:$AA$1000,2,FALSE)," ")</f>
        <v xml:space="preserve"> </v>
      </c>
      <c r="R186" s="75" t="str">
        <f>IFERROR(VLOOKUP(A186&amp;"aaaaa",COPY!$S$2:$AA$1000,2,FALSE)," ")</f>
        <v xml:space="preserve"> </v>
      </c>
      <c r="S186" s="75" t="str">
        <f>IFERROR(VLOOKUP(A186&amp;"aaaaaa",COPY!$S$2:$AA$1000,2,FALSE)," ")</f>
        <v xml:space="preserve"> </v>
      </c>
      <c r="T186" s="75" t="str">
        <f>IFERROR(VLOOKUP(A186&amp;"aaaaaaa",COPY!$S$2:$AA$1000,2,FALSE)," ")</f>
        <v xml:space="preserve"> </v>
      </c>
      <c r="U186" s="75" t="str">
        <f>IFERROR(VLOOKUP(A186&amp;"aaaaaaaa",COPY!$S$2:$AA$1000,2,FALSE)," ")</f>
        <v xml:space="preserve"> </v>
      </c>
      <c r="V186" s="75" t="str">
        <f>IFERROR(VLOOKUP(A186&amp;"aaaaaaaaa",COPY!$S$2:$AA$1000,2,FALSE)," ")</f>
        <v xml:space="preserve"> </v>
      </c>
      <c r="W186" s="75" t="str">
        <f>IFERROR(VLOOKUP(A186&amp;"aaaaaaaaaa",COPY!$S$2:$AA$1000,2,FALSE)," ")</f>
        <v xml:space="preserve"> </v>
      </c>
      <c r="X186" s="75" t="str">
        <f>IFERROR(VLOOKUP(A186&amp;"aaaaaaaaaaa",COPY!$S$2:$AA$1000,2,FALSE)," ")</f>
        <v xml:space="preserve"> </v>
      </c>
      <c r="Y186" s="90" t="str">
        <f>IF(OR(LEFT(B186,2)="mg",LEFT(B186,2)="mE"),VLOOKUP(A186,COPY!$S$2:$AA$1000,6,FALSE),IF(LEFT(B186,1)="G"," ",IF(LEFT(B186,2)="ma"," "," ")))</f>
        <v xml:space="preserve"> </v>
      </c>
      <c r="Z186" s="90" t="str">
        <f>IFERROR(VLOOKUP(A186&amp;"a",COPY!$S$2:$AA$1000,6,FALSE)," ")</f>
        <v xml:space="preserve"> </v>
      </c>
      <c r="AA186" s="90" t="str">
        <f>IFERROR(VLOOKUP(A186&amp;"aa",COPY!$S$2:$AA$1000,6,FALSE)," ")</f>
        <v xml:space="preserve"> </v>
      </c>
      <c r="AB186" s="90" t="str">
        <f>IFERROR(VLOOKUP(A186&amp;"aaa",COPY!$S$2:$AA$1000,6,FALSE)," ")</f>
        <v xml:space="preserve"> </v>
      </c>
      <c r="AC186" s="90" t="str">
        <f>IFERROR(VLOOKUP(A186&amp;"aaaa",COPY!$S$2:$AA$1000,6,FALSE)," ")</f>
        <v xml:space="preserve"> </v>
      </c>
      <c r="AD186" s="90" t="str">
        <f>IFERROR(VLOOKUP(A186&amp;"aaaaa",COPY!$S$2:$AA$1000,6,FALSE)," ")</f>
        <v xml:space="preserve"> </v>
      </c>
      <c r="AE186" s="90" t="str">
        <f>IFERROR(VLOOKUP(A186&amp;"aaaaaa",COPY!$S$2:$AA$1000,6,FALSE)," ")</f>
        <v xml:space="preserve"> </v>
      </c>
      <c r="AF186" s="90" t="str">
        <f>IFERROR(VLOOKUP(A186&amp;"aaaaaaa",COPY!$S$2:$AA$1000,6,FALSE)," ")</f>
        <v xml:space="preserve"> </v>
      </c>
      <c r="AG186" s="90" t="str">
        <f>IFERROR(VLOOKUP(A186&amp;"aaaaaaaa",COPY!$S$2:$AA$1000,6,FALSE)," ")</f>
        <v xml:space="preserve"> </v>
      </c>
      <c r="AH186" s="90" t="str">
        <f>IFERROR(VLOOKUP(A186&amp;"aaaaaaaaa",COPY!$S$2:$AA$1000,6,FALSE)," ")</f>
        <v xml:space="preserve"> </v>
      </c>
      <c r="AI186" s="90" t="str">
        <f>IFERROR(VLOOKUP(A186&amp;"aaaaaaaaaa",COPY!$S$2:$AA$1000,6,FALSE)," ")</f>
        <v xml:space="preserve"> </v>
      </c>
      <c r="AJ186" s="90" t="str">
        <f>IFERROR(VLOOKUP(A186&amp;"aaaaaaaaaaa",COPY!$S$2:$AA$1000,6,FALSE)," ")</f>
        <v xml:space="preserve"> </v>
      </c>
      <c r="AK186" s="90" t="str">
        <f>IF(LEFT(B186,2)="mg",VLOOKUP(A186,COPY!$S$2:$AA$1000,7,FALSE),IF(LEFT(B186,1)="G"," ",IF(LEFT(B186,2)="ma"," "," ")))</f>
        <v xml:space="preserve"> </v>
      </c>
      <c r="AL186" s="90" t="str">
        <f>IFERROR(VLOOKUP(A186&amp;"a",COPY!$S$2:$AA$1000,7,FALSE)," ")</f>
        <v xml:space="preserve"> </v>
      </c>
      <c r="AM186" s="90" t="str">
        <f>IFERROR(VLOOKUP(A186&amp;"aa",COPY!$S$2:$AA$1000,7,FALSE)," ")</f>
        <v xml:space="preserve"> </v>
      </c>
      <c r="AN186" s="90" t="str">
        <f>IFERROR(VLOOKUP(A186&amp;"aaa",COPY!$S$2:$AA$1000,7,FALSE)," ")</f>
        <v xml:space="preserve"> </v>
      </c>
      <c r="AO186" s="90" t="str">
        <f>IFERROR(VLOOKUP(A186&amp;"aaaa",COPY!$S$2:$AA$1000,7,FALSE)," ")</f>
        <v xml:space="preserve"> </v>
      </c>
      <c r="AP186" s="90" t="str">
        <f>IFERROR(VLOOKUP(A186&amp;"aaaaa",COPY!$S$2:$AA$1000,7,FALSE)," ")</f>
        <v xml:space="preserve"> </v>
      </c>
      <c r="AQ186" s="90" t="str">
        <f>IFERROR(VLOOKUP(A186&amp;"aaaaaa",COPY!$S$2:$AA$1000,7,FALSE)," ")</f>
        <v xml:space="preserve"> </v>
      </c>
      <c r="AR186" s="90" t="str">
        <f>IFERROR(VLOOKUP(A186&amp;"aaaaaaa",COPY!$S$2:$AA$1000,7,FALSE)," ")</f>
        <v xml:space="preserve"> </v>
      </c>
      <c r="AS186" s="90" t="str">
        <f>IFERROR(VLOOKUP(A186&amp;"aaaaaaaa",COPY!$S$2:$AA$1000,7,FALSE)," ")</f>
        <v xml:space="preserve"> </v>
      </c>
      <c r="AT186" s="90" t="str">
        <f>IFERROR(VLOOKUP(A186&amp;"aaaaaaaaa",COPY!$S$2:$AA$1000,7,FALSE)," ")</f>
        <v xml:space="preserve"> </v>
      </c>
      <c r="AU186" s="90" t="str">
        <f>IFERROR(VLOOKUP(A186&amp;"aaaaaaaaaa",COPY!$S$2:$AA$1000,7,FALSE)," ")</f>
        <v xml:space="preserve"> </v>
      </c>
      <c r="AV186" s="90" t="str">
        <f>IFERROR(VLOOKUP(A186&amp;"aaaaaaaaaaa",COPY!$S$2:$AA$1000,7,FALSE)," ")</f>
        <v xml:space="preserve"> </v>
      </c>
    </row>
    <row r="187" spans="1:48" x14ac:dyDescent="0.2">
      <c r="A187" s="75" t="str">
        <f>'REKAP PAJAK'!W224</f>
        <v/>
      </c>
      <c r="B187" s="75" t="str">
        <f>IF(LEN(A187)&gt;1,VLOOKUP(A187,COPY!$O$2:$R$1000,4,FALSE),"")</f>
        <v/>
      </c>
      <c r="C187" s="75" t="str">
        <f t="shared" si="12"/>
        <v xml:space="preserve"> </v>
      </c>
      <c r="D187" s="75" t="str">
        <f t="shared" si="13"/>
        <v xml:space="preserve"> </v>
      </c>
      <c r="E187" s="75" t="str">
        <f t="shared" si="14"/>
        <v xml:space="preserve"> </v>
      </c>
      <c r="F187" s="75" t="str">
        <f t="shared" si="15"/>
        <v xml:space="preserve"> </v>
      </c>
      <c r="G187" s="75" t="str">
        <f>IFERROR(TEXT(VLOOKUP(A187,COPY!$S$2:$W$1000,3,FALSE),"dd-mmmm-yyyy")," ")</f>
        <v xml:space="preserve"> </v>
      </c>
      <c r="H187" s="75" t="str">
        <f t="shared" si="16"/>
        <v xml:space="preserve"> </v>
      </c>
      <c r="I187" s="75" t="str">
        <f t="shared" si="17"/>
        <v xml:space="preserve"> </v>
      </c>
      <c r="J187" s="90" t="str">
        <f>IFERROR(VLOOKUP(A187,COPY!$S$2:$W$1000,4,FALSE)," ")</f>
        <v xml:space="preserve"> </v>
      </c>
      <c r="K187" s="75" t="str">
        <f>IFERROR(VLOOKUP(A187,COPY!$S$2:$W$1000,5,FALSE)," ")</f>
        <v xml:space="preserve"> </v>
      </c>
      <c r="L187" s="75" t="str">
        <f>IF(B187="","",IF(LEFT(B187,2)="Ma",(VLOOKUP(B187,'Rekap Gaji'!$C$12:$D$26,2,FALSE))&amp;" Untuk "&amp;(PROPER('Rekap Gaji'!$B$2)),IF(LEFT(B187,2)="Mg","Pembelian Material Bahan Bangunan",IF(LEFT(B187,2)="Me","Biaya Pembelanjaan Menejemen",IF(LEFT(B187,1)="G",VLOOKUP(A187,COPY!$S$2:$AA$1000,2,FALSE)&amp;"( "&amp;TEXT(VLOOKUP(B187,'Rekap Gaji'!$A$12:$I$26,5,FALSE),"dd-mm-yyyy")&amp;" "&amp;TEXT(VLOOKUP(B187,'Rekap Gaji'!$A$12:$I$26,6,FALSE)&amp;" "&amp;TEXT(VLOOKUP(B187,'Rekap Gaji'!$A$12:$I$26,7,FALSE),"dd-mm-yyyy")&amp;" )"," "))))))</f>
        <v/>
      </c>
      <c r="M187" s="75" t="str">
        <f>IF(OR(LEFT(B187,2)="mg",LEFT(B187,2)="mE"),VLOOKUP(A187,COPY!$S$2:$AA$1000,2,FALSE),IF(LEFT(B187,1)="G"," ",IF(LEFT(B187,2)="ma"," "," ")))</f>
        <v xml:space="preserve"> </v>
      </c>
      <c r="N187" s="75" t="str">
        <f>IFERROR(VLOOKUP(A187&amp;"a",COPY!$S$2:$AA$1000,2,FALSE)," ")</f>
        <v xml:space="preserve"> </v>
      </c>
      <c r="O187" s="75" t="str">
        <f>IFERROR(VLOOKUP(A187&amp;"aa",COPY!$S$2:$AA$1000,2,FALSE)," ")</f>
        <v xml:space="preserve"> </v>
      </c>
      <c r="P187" s="75" t="str">
        <f>IFERROR(VLOOKUP(A187&amp;"aaa",COPY!$S$2:$AA$1000,2,FALSE)," ")</f>
        <v xml:space="preserve"> </v>
      </c>
      <c r="Q187" s="75" t="str">
        <f>IFERROR(VLOOKUP(A187&amp;"aaaa",COPY!$S$2:$AA$1000,2,FALSE)," ")</f>
        <v xml:space="preserve"> </v>
      </c>
      <c r="R187" s="75" t="str">
        <f>IFERROR(VLOOKUP(A187&amp;"aaaaa",COPY!$S$2:$AA$1000,2,FALSE)," ")</f>
        <v xml:space="preserve"> </v>
      </c>
      <c r="S187" s="75" t="str">
        <f>IFERROR(VLOOKUP(A187&amp;"aaaaaa",COPY!$S$2:$AA$1000,2,FALSE)," ")</f>
        <v xml:space="preserve"> </v>
      </c>
      <c r="T187" s="75" t="str">
        <f>IFERROR(VLOOKUP(A187&amp;"aaaaaaa",COPY!$S$2:$AA$1000,2,FALSE)," ")</f>
        <v xml:space="preserve"> </v>
      </c>
      <c r="U187" s="75" t="str">
        <f>IFERROR(VLOOKUP(A187&amp;"aaaaaaaa",COPY!$S$2:$AA$1000,2,FALSE)," ")</f>
        <v xml:space="preserve"> </v>
      </c>
      <c r="V187" s="75" t="str">
        <f>IFERROR(VLOOKUP(A187&amp;"aaaaaaaaa",COPY!$S$2:$AA$1000,2,FALSE)," ")</f>
        <v xml:space="preserve"> </v>
      </c>
      <c r="W187" s="75" t="str">
        <f>IFERROR(VLOOKUP(A187&amp;"aaaaaaaaaa",COPY!$S$2:$AA$1000,2,FALSE)," ")</f>
        <v xml:space="preserve"> </v>
      </c>
      <c r="X187" s="75" t="str">
        <f>IFERROR(VLOOKUP(A187&amp;"aaaaaaaaaaa",COPY!$S$2:$AA$1000,2,FALSE)," ")</f>
        <v xml:space="preserve"> </v>
      </c>
      <c r="Y187" s="90" t="str">
        <f>IF(OR(LEFT(B187,2)="mg",LEFT(B187,2)="mE"),VLOOKUP(A187,COPY!$S$2:$AA$1000,6,FALSE),IF(LEFT(B187,1)="G"," ",IF(LEFT(B187,2)="ma"," "," ")))</f>
        <v xml:space="preserve"> </v>
      </c>
      <c r="Z187" s="90" t="str">
        <f>IFERROR(VLOOKUP(A187&amp;"a",COPY!$S$2:$AA$1000,6,FALSE)," ")</f>
        <v xml:space="preserve"> </v>
      </c>
      <c r="AA187" s="90" t="str">
        <f>IFERROR(VLOOKUP(A187&amp;"aa",COPY!$S$2:$AA$1000,6,FALSE)," ")</f>
        <v xml:space="preserve"> </v>
      </c>
      <c r="AB187" s="90" t="str">
        <f>IFERROR(VLOOKUP(A187&amp;"aaa",COPY!$S$2:$AA$1000,6,FALSE)," ")</f>
        <v xml:space="preserve"> </v>
      </c>
      <c r="AC187" s="90" t="str">
        <f>IFERROR(VLOOKUP(A187&amp;"aaaa",COPY!$S$2:$AA$1000,6,FALSE)," ")</f>
        <v xml:space="preserve"> </v>
      </c>
      <c r="AD187" s="90" t="str">
        <f>IFERROR(VLOOKUP(A187&amp;"aaaaa",COPY!$S$2:$AA$1000,6,FALSE)," ")</f>
        <v xml:space="preserve"> </v>
      </c>
      <c r="AE187" s="90" t="str">
        <f>IFERROR(VLOOKUP(A187&amp;"aaaaaa",COPY!$S$2:$AA$1000,6,FALSE)," ")</f>
        <v xml:space="preserve"> </v>
      </c>
      <c r="AF187" s="90" t="str">
        <f>IFERROR(VLOOKUP(A187&amp;"aaaaaaa",COPY!$S$2:$AA$1000,6,FALSE)," ")</f>
        <v xml:space="preserve"> </v>
      </c>
      <c r="AG187" s="90" t="str">
        <f>IFERROR(VLOOKUP(A187&amp;"aaaaaaaa",COPY!$S$2:$AA$1000,6,FALSE)," ")</f>
        <v xml:space="preserve"> </v>
      </c>
      <c r="AH187" s="90" t="str">
        <f>IFERROR(VLOOKUP(A187&amp;"aaaaaaaaa",COPY!$S$2:$AA$1000,6,FALSE)," ")</f>
        <v xml:space="preserve"> </v>
      </c>
      <c r="AI187" s="90" t="str">
        <f>IFERROR(VLOOKUP(A187&amp;"aaaaaaaaaa",COPY!$S$2:$AA$1000,6,FALSE)," ")</f>
        <v xml:space="preserve"> </v>
      </c>
      <c r="AJ187" s="90" t="str">
        <f>IFERROR(VLOOKUP(A187&amp;"aaaaaaaaaaa",COPY!$S$2:$AA$1000,6,FALSE)," ")</f>
        <v xml:space="preserve"> </v>
      </c>
      <c r="AK187" s="90" t="str">
        <f>IF(LEFT(B187,2)="mg",VLOOKUP(A187,COPY!$S$2:$AA$1000,7,FALSE),IF(LEFT(B187,1)="G"," ",IF(LEFT(B187,2)="ma"," "," ")))</f>
        <v xml:space="preserve"> </v>
      </c>
      <c r="AL187" s="90" t="str">
        <f>IFERROR(VLOOKUP(A187&amp;"a",COPY!$S$2:$AA$1000,7,FALSE)," ")</f>
        <v xml:space="preserve"> </v>
      </c>
      <c r="AM187" s="90" t="str">
        <f>IFERROR(VLOOKUP(A187&amp;"aa",COPY!$S$2:$AA$1000,7,FALSE)," ")</f>
        <v xml:space="preserve"> </v>
      </c>
      <c r="AN187" s="90" t="str">
        <f>IFERROR(VLOOKUP(A187&amp;"aaa",COPY!$S$2:$AA$1000,7,FALSE)," ")</f>
        <v xml:space="preserve"> </v>
      </c>
      <c r="AO187" s="90" t="str">
        <f>IFERROR(VLOOKUP(A187&amp;"aaaa",COPY!$S$2:$AA$1000,7,FALSE)," ")</f>
        <v xml:space="preserve"> </v>
      </c>
      <c r="AP187" s="90" t="str">
        <f>IFERROR(VLOOKUP(A187&amp;"aaaaa",COPY!$S$2:$AA$1000,7,FALSE)," ")</f>
        <v xml:space="preserve"> </v>
      </c>
      <c r="AQ187" s="90" t="str">
        <f>IFERROR(VLOOKUP(A187&amp;"aaaaaa",COPY!$S$2:$AA$1000,7,FALSE)," ")</f>
        <v xml:space="preserve"> </v>
      </c>
      <c r="AR187" s="90" t="str">
        <f>IFERROR(VLOOKUP(A187&amp;"aaaaaaa",COPY!$S$2:$AA$1000,7,FALSE)," ")</f>
        <v xml:space="preserve"> </v>
      </c>
      <c r="AS187" s="90" t="str">
        <f>IFERROR(VLOOKUP(A187&amp;"aaaaaaaa",COPY!$S$2:$AA$1000,7,FALSE)," ")</f>
        <v xml:space="preserve"> </v>
      </c>
      <c r="AT187" s="90" t="str">
        <f>IFERROR(VLOOKUP(A187&amp;"aaaaaaaaa",COPY!$S$2:$AA$1000,7,FALSE)," ")</f>
        <v xml:space="preserve"> </v>
      </c>
      <c r="AU187" s="90" t="str">
        <f>IFERROR(VLOOKUP(A187&amp;"aaaaaaaaaa",COPY!$S$2:$AA$1000,7,FALSE)," ")</f>
        <v xml:space="preserve"> </v>
      </c>
      <c r="AV187" s="90" t="str">
        <f>IFERROR(VLOOKUP(A187&amp;"aaaaaaaaaaa",COPY!$S$2:$AA$1000,7,FALSE)," ")</f>
        <v xml:space="preserve"> </v>
      </c>
    </row>
    <row r="188" spans="1:48" x14ac:dyDescent="0.2">
      <c r="A188" s="75" t="str">
        <f>'REKAP PAJAK'!W225</f>
        <v/>
      </c>
      <c r="B188" s="75" t="str">
        <f>IF(LEN(A188)&gt;1,VLOOKUP(A188,COPY!$O$2:$R$1000,4,FALSE),"")</f>
        <v/>
      </c>
      <c r="C188" s="75" t="str">
        <f t="shared" si="12"/>
        <v xml:space="preserve"> </v>
      </c>
      <c r="D188" s="75" t="str">
        <f t="shared" si="13"/>
        <v xml:space="preserve"> </v>
      </c>
      <c r="E188" s="75" t="str">
        <f t="shared" si="14"/>
        <v xml:space="preserve"> </v>
      </c>
      <c r="F188" s="75" t="str">
        <f t="shared" si="15"/>
        <v xml:space="preserve"> </v>
      </c>
      <c r="G188" s="75" t="str">
        <f>IFERROR(TEXT(VLOOKUP(A188,COPY!$S$2:$W$1000,3,FALSE),"dd-mmmm-yyyy")," ")</f>
        <v xml:space="preserve"> </v>
      </c>
      <c r="H188" s="75" t="str">
        <f t="shared" si="16"/>
        <v xml:space="preserve"> </v>
      </c>
      <c r="I188" s="75" t="str">
        <f t="shared" si="17"/>
        <v xml:space="preserve"> </v>
      </c>
      <c r="J188" s="90" t="str">
        <f>IFERROR(VLOOKUP(A188,COPY!$S$2:$W$1000,4,FALSE)," ")</f>
        <v xml:space="preserve"> </v>
      </c>
      <c r="K188" s="75" t="str">
        <f>IFERROR(VLOOKUP(A188,COPY!$S$2:$W$1000,5,FALSE)," ")</f>
        <v xml:space="preserve"> </v>
      </c>
      <c r="L188" s="75" t="str">
        <f>IF(B188="","",IF(LEFT(B188,2)="Ma",(VLOOKUP(B188,'Rekap Gaji'!$C$12:$D$26,2,FALSE))&amp;" Untuk "&amp;(PROPER('Rekap Gaji'!$B$2)),IF(LEFT(B188,2)="Mg","Pembelian Material Bahan Bangunan",IF(LEFT(B188,2)="Me","Biaya Pembelanjaan Menejemen",IF(LEFT(B188,1)="G",VLOOKUP(A188,COPY!$S$2:$AA$1000,2,FALSE)&amp;"( "&amp;TEXT(VLOOKUP(B188,'Rekap Gaji'!$A$12:$I$26,5,FALSE),"dd-mm-yyyy")&amp;" "&amp;TEXT(VLOOKUP(B188,'Rekap Gaji'!$A$12:$I$26,6,FALSE)&amp;" "&amp;TEXT(VLOOKUP(B188,'Rekap Gaji'!$A$12:$I$26,7,FALSE),"dd-mm-yyyy")&amp;" )"," "))))))</f>
        <v/>
      </c>
      <c r="M188" s="75" t="str">
        <f>IF(OR(LEFT(B188,2)="mg",LEFT(B188,2)="mE"),VLOOKUP(A188,COPY!$S$2:$AA$1000,2,FALSE),IF(LEFT(B188,1)="G"," ",IF(LEFT(B188,2)="ma"," "," ")))</f>
        <v xml:space="preserve"> </v>
      </c>
      <c r="N188" s="75" t="str">
        <f>IFERROR(VLOOKUP(A188&amp;"a",COPY!$S$2:$AA$1000,2,FALSE)," ")</f>
        <v xml:space="preserve"> </v>
      </c>
      <c r="O188" s="75" t="str">
        <f>IFERROR(VLOOKUP(A188&amp;"aa",COPY!$S$2:$AA$1000,2,FALSE)," ")</f>
        <v xml:space="preserve"> </v>
      </c>
      <c r="P188" s="75" t="str">
        <f>IFERROR(VLOOKUP(A188&amp;"aaa",COPY!$S$2:$AA$1000,2,FALSE)," ")</f>
        <v xml:space="preserve"> </v>
      </c>
      <c r="Q188" s="75" t="str">
        <f>IFERROR(VLOOKUP(A188&amp;"aaaa",COPY!$S$2:$AA$1000,2,FALSE)," ")</f>
        <v xml:space="preserve"> </v>
      </c>
      <c r="R188" s="75" t="str">
        <f>IFERROR(VLOOKUP(A188&amp;"aaaaa",COPY!$S$2:$AA$1000,2,FALSE)," ")</f>
        <v xml:space="preserve"> </v>
      </c>
      <c r="S188" s="75" t="str">
        <f>IFERROR(VLOOKUP(A188&amp;"aaaaaa",COPY!$S$2:$AA$1000,2,FALSE)," ")</f>
        <v xml:space="preserve"> </v>
      </c>
      <c r="T188" s="75" t="str">
        <f>IFERROR(VLOOKUP(A188&amp;"aaaaaaa",COPY!$S$2:$AA$1000,2,FALSE)," ")</f>
        <v xml:space="preserve"> </v>
      </c>
      <c r="U188" s="75" t="str">
        <f>IFERROR(VLOOKUP(A188&amp;"aaaaaaaa",COPY!$S$2:$AA$1000,2,FALSE)," ")</f>
        <v xml:space="preserve"> </v>
      </c>
      <c r="V188" s="75" t="str">
        <f>IFERROR(VLOOKUP(A188&amp;"aaaaaaaaa",COPY!$S$2:$AA$1000,2,FALSE)," ")</f>
        <v xml:space="preserve"> </v>
      </c>
      <c r="W188" s="75" t="str">
        <f>IFERROR(VLOOKUP(A188&amp;"aaaaaaaaaa",COPY!$S$2:$AA$1000,2,FALSE)," ")</f>
        <v xml:space="preserve"> </v>
      </c>
      <c r="X188" s="75" t="str">
        <f>IFERROR(VLOOKUP(A188&amp;"aaaaaaaaaaa",COPY!$S$2:$AA$1000,2,FALSE)," ")</f>
        <v xml:space="preserve"> </v>
      </c>
      <c r="Y188" s="90" t="str">
        <f>IF(OR(LEFT(B188,2)="mg",LEFT(B188,2)="mE"),VLOOKUP(A188,COPY!$S$2:$AA$1000,6,FALSE),IF(LEFT(B188,1)="G"," ",IF(LEFT(B188,2)="ma"," "," ")))</f>
        <v xml:space="preserve"> </v>
      </c>
      <c r="Z188" s="90" t="str">
        <f>IFERROR(VLOOKUP(A188&amp;"a",COPY!$S$2:$AA$1000,6,FALSE)," ")</f>
        <v xml:space="preserve"> </v>
      </c>
      <c r="AA188" s="90" t="str">
        <f>IFERROR(VLOOKUP(A188&amp;"aa",COPY!$S$2:$AA$1000,6,FALSE)," ")</f>
        <v xml:space="preserve"> </v>
      </c>
      <c r="AB188" s="90" t="str">
        <f>IFERROR(VLOOKUP(A188&amp;"aaa",COPY!$S$2:$AA$1000,6,FALSE)," ")</f>
        <v xml:space="preserve"> </v>
      </c>
      <c r="AC188" s="90" t="str">
        <f>IFERROR(VLOOKUP(A188&amp;"aaaa",COPY!$S$2:$AA$1000,6,FALSE)," ")</f>
        <v xml:space="preserve"> </v>
      </c>
      <c r="AD188" s="90" t="str">
        <f>IFERROR(VLOOKUP(A188&amp;"aaaaa",COPY!$S$2:$AA$1000,6,FALSE)," ")</f>
        <v xml:space="preserve"> </v>
      </c>
      <c r="AE188" s="90" t="str">
        <f>IFERROR(VLOOKUP(A188&amp;"aaaaaa",COPY!$S$2:$AA$1000,6,FALSE)," ")</f>
        <v xml:space="preserve"> </v>
      </c>
      <c r="AF188" s="90" t="str">
        <f>IFERROR(VLOOKUP(A188&amp;"aaaaaaa",COPY!$S$2:$AA$1000,6,FALSE)," ")</f>
        <v xml:space="preserve"> </v>
      </c>
      <c r="AG188" s="90" t="str">
        <f>IFERROR(VLOOKUP(A188&amp;"aaaaaaaa",COPY!$S$2:$AA$1000,6,FALSE)," ")</f>
        <v xml:space="preserve"> </v>
      </c>
      <c r="AH188" s="90" t="str">
        <f>IFERROR(VLOOKUP(A188&amp;"aaaaaaaaa",COPY!$S$2:$AA$1000,6,FALSE)," ")</f>
        <v xml:space="preserve"> </v>
      </c>
      <c r="AI188" s="90" t="str">
        <f>IFERROR(VLOOKUP(A188&amp;"aaaaaaaaaa",COPY!$S$2:$AA$1000,6,FALSE)," ")</f>
        <v xml:space="preserve"> </v>
      </c>
      <c r="AJ188" s="90" t="str">
        <f>IFERROR(VLOOKUP(A188&amp;"aaaaaaaaaaa",COPY!$S$2:$AA$1000,6,FALSE)," ")</f>
        <v xml:space="preserve"> </v>
      </c>
      <c r="AK188" s="90" t="str">
        <f>IF(LEFT(B188,2)="mg",VLOOKUP(A188,COPY!$S$2:$AA$1000,7,FALSE),IF(LEFT(B188,1)="G"," ",IF(LEFT(B188,2)="ma"," "," ")))</f>
        <v xml:space="preserve"> </v>
      </c>
      <c r="AL188" s="90" t="str">
        <f>IFERROR(VLOOKUP(A188&amp;"a",COPY!$S$2:$AA$1000,7,FALSE)," ")</f>
        <v xml:space="preserve"> </v>
      </c>
      <c r="AM188" s="90" t="str">
        <f>IFERROR(VLOOKUP(A188&amp;"aa",COPY!$S$2:$AA$1000,7,FALSE)," ")</f>
        <v xml:space="preserve"> </v>
      </c>
      <c r="AN188" s="90" t="str">
        <f>IFERROR(VLOOKUP(A188&amp;"aaa",COPY!$S$2:$AA$1000,7,FALSE)," ")</f>
        <v xml:space="preserve"> </v>
      </c>
      <c r="AO188" s="90" t="str">
        <f>IFERROR(VLOOKUP(A188&amp;"aaaa",COPY!$S$2:$AA$1000,7,FALSE)," ")</f>
        <v xml:space="preserve"> </v>
      </c>
      <c r="AP188" s="90" t="str">
        <f>IFERROR(VLOOKUP(A188&amp;"aaaaa",COPY!$S$2:$AA$1000,7,FALSE)," ")</f>
        <v xml:space="preserve"> </v>
      </c>
      <c r="AQ188" s="90" t="str">
        <f>IFERROR(VLOOKUP(A188&amp;"aaaaaa",COPY!$S$2:$AA$1000,7,FALSE)," ")</f>
        <v xml:space="preserve"> </v>
      </c>
      <c r="AR188" s="90" t="str">
        <f>IFERROR(VLOOKUP(A188&amp;"aaaaaaa",COPY!$S$2:$AA$1000,7,FALSE)," ")</f>
        <v xml:space="preserve"> </v>
      </c>
      <c r="AS188" s="90" t="str">
        <f>IFERROR(VLOOKUP(A188&amp;"aaaaaaaa",COPY!$S$2:$AA$1000,7,FALSE)," ")</f>
        <v xml:space="preserve"> </v>
      </c>
      <c r="AT188" s="90" t="str">
        <f>IFERROR(VLOOKUP(A188&amp;"aaaaaaaaa",COPY!$S$2:$AA$1000,7,FALSE)," ")</f>
        <v xml:space="preserve"> </v>
      </c>
      <c r="AU188" s="90" t="str">
        <f>IFERROR(VLOOKUP(A188&amp;"aaaaaaaaaa",COPY!$S$2:$AA$1000,7,FALSE)," ")</f>
        <v xml:space="preserve"> </v>
      </c>
      <c r="AV188" s="90" t="str">
        <f>IFERROR(VLOOKUP(A188&amp;"aaaaaaaaaaa",COPY!$S$2:$AA$1000,7,FALSE)," ")</f>
        <v xml:space="preserve"> </v>
      </c>
    </row>
    <row r="189" spans="1:48" x14ac:dyDescent="0.2">
      <c r="A189" s="75" t="str">
        <f>'REKAP PAJAK'!W226</f>
        <v/>
      </c>
      <c r="B189" s="75" t="str">
        <f>IF(LEN(A189)&gt;1,VLOOKUP(A189,COPY!$O$2:$R$1000,4,FALSE),"")</f>
        <v/>
      </c>
      <c r="C189" s="75" t="str">
        <f t="shared" si="12"/>
        <v xml:space="preserve"> </v>
      </c>
      <c r="D189" s="75" t="str">
        <f t="shared" si="13"/>
        <v xml:space="preserve"> </v>
      </c>
      <c r="E189" s="75" t="str">
        <f t="shared" si="14"/>
        <v xml:space="preserve"> </v>
      </c>
      <c r="F189" s="75" t="str">
        <f t="shared" si="15"/>
        <v xml:space="preserve"> </v>
      </c>
      <c r="G189" s="75" t="str">
        <f>IFERROR(TEXT(VLOOKUP(A189,COPY!$S$2:$W$1000,3,FALSE),"dd-mmmm-yyyy")," ")</f>
        <v xml:space="preserve"> </v>
      </c>
      <c r="H189" s="75" t="str">
        <f t="shared" si="16"/>
        <v xml:space="preserve"> </v>
      </c>
      <c r="I189" s="75" t="str">
        <f t="shared" si="17"/>
        <v xml:space="preserve"> </v>
      </c>
      <c r="J189" s="90" t="str">
        <f>IFERROR(VLOOKUP(A189,COPY!$S$2:$W$1000,4,FALSE)," ")</f>
        <v xml:space="preserve"> </v>
      </c>
      <c r="K189" s="75" t="str">
        <f>IFERROR(VLOOKUP(A189,COPY!$S$2:$W$1000,5,FALSE)," ")</f>
        <v xml:space="preserve"> </v>
      </c>
      <c r="L189" s="75" t="str">
        <f>IF(B189="","",IF(LEFT(B189,2)="Ma",(VLOOKUP(B189,'Rekap Gaji'!$C$12:$D$26,2,FALSE))&amp;" Untuk "&amp;(PROPER('Rekap Gaji'!$B$2)),IF(LEFT(B189,2)="Mg","Pembelian Material Bahan Bangunan",IF(LEFT(B189,2)="Me","Biaya Pembelanjaan Menejemen",IF(LEFT(B189,1)="G",VLOOKUP(A189,COPY!$S$2:$AA$1000,2,FALSE)&amp;"( "&amp;TEXT(VLOOKUP(B189,'Rekap Gaji'!$A$12:$I$26,5,FALSE),"dd-mm-yyyy")&amp;" "&amp;TEXT(VLOOKUP(B189,'Rekap Gaji'!$A$12:$I$26,6,FALSE)&amp;" "&amp;TEXT(VLOOKUP(B189,'Rekap Gaji'!$A$12:$I$26,7,FALSE),"dd-mm-yyyy")&amp;" )"," "))))))</f>
        <v/>
      </c>
      <c r="M189" s="75" t="str">
        <f>IF(OR(LEFT(B189,2)="mg",LEFT(B189,2)="mE"),VLOOKUP(A189,COPY!$S$2:$AA$1000,2,FALSE),IF(LEFT(B189,1)="G"," ",IF(LEFT(B189,2)="ma"," "," ")))</f>
        <v xml:space="preserve"> </v>
      </c>
      <c r="N189" s="75" t="str">
        <f>IFERROR(VLOOKUP(A189&amp;"a",COPY!$S$2:$AA$1000,2,FALSE)," ")</f>
        <v xml:space="preserve"> </v>
      </c>
      <c r="O189" s="75" t="str">
        <f>IFERROR(VLOOKUP(A189&amp;"aa",COPY!$S$2:$AA$1000,2,FALSE)," ")</f>
        <v xml:space="preserve"> </v>
      </c>
      <c r="P189" s="75" t="str">
        <f>IFERROR(VLOOKUP(A189&amp;"aaa",COPY!$S$2:$AA$1000,2,FALSE)," ")</f>
        <v xml:space="preserve"> </v>
      </c>
      <c r="Q189" s="75" t="str">
        <f>IFERROR(VLOOKUP(A189&amp;"aaaa",COPY!$S$2:$AA$1000,2,FALSE)," ")</f>
        <v xml:space="preserve"> </v>
      </c>
      <c r="R189" s="75" t="str">
        <f>IFERROR(VLOOKUP(A189&amp;"aaaaa",COPY!$S$2:$AA$1000,2,FALSE)," ")</f>
        <v xml:space="preserve"> </v>
      </c>
      <c r="S189" s="75" t="str">
        <f>IFERROR(VLOOKUP(A189&amp;"aaaaaa",COPY!$S$2:$AA$1000,2,FALSE)," ")</f>
        <v xml:space="preserve"> </v>
      </c>
      <c r="T189" s="75" t="str">
        <f>IFERROR(VLOOKUP(A189&amp;"aaaaaaa",COPY!$S$2:$AA$1000,2,FALSE)," ")</f>
        <v xml:space="preserve"> </v>
      </c>
      <c r="U189" s="75" t="str">
        <f>IFERROR(VLOOKUP(A189&amp;"aaaaaaaa",COPY!$S$2:$AA$1000,2,FALSE)," ")</f>
        <v xml:space="preserve"> </v>
      </c>
      <c r="V189" s="75" t="str">
        <f>IFERROR(VLOOKUP(A189&amp;"aaaaaaaaa",COPY!$S$2:$AA$1000,2,FALSE)," ")</f>
        <v xml:space="preserve"> </v>
      </c>
      <c r="W189" s="75" t="str">
        <f>IFERROR(VLOOKUP(A189&amp;"aaaaaaaaaa",COPY!$S$2:$AA$1000,2,FALSE)," ")</f>
        <v xml:space="preserve"> </v>
      </c>
      <c r="X189" s="75" t="str">
        <f>IFERROR(VLOOKUP(A189&amp;"aaaaaaaaaaa",COPY!$S$2:$AA$1000,2,FALSE)," ")</f>
        <v xml:space="preserve"> </v>
      </c>
      <c r="Y189" s="90" t="str">
        <f>IF(OR(LEFT(B189,2)="mg",LEFT(B189,2)="mE"),VLOOKUP(A189,COPY!$S$2:$AA$1000,6,FALSE),IF(LEFT(B189,1)="G"," ",IF(LEFT(B189,2)="ma"," "," ")))</f>
        <v xml:space="preserve"> </v>
      </c>
      <c r="Z189" s="90" t="str">
        <f>IFERROR(VLOOKUP(A189&amp;"a",COPY!$S$2:$AA$1000,6,FALSE)," ")</f>
        <v xml:space="preserve"> </v>
      </c>
      <c r="AA189" s="90" t="str">
        <f>IFERROR(VLOOKUP(A189&amp;"aa",COPY!$S$2:$AA$1000,6,FALSE)," ")</f>
        <v xml:space="preserve"> </v>
      </c>
      <c r="AB189" s="90" t="str">
        <f>IFERROR(VLOOKUP(A189&amp;"aaa",COPY!$S$2:$AA$1000,6,FALSE)," ")</f>
        <v xml:space="preserve"> </v>
      </c>
      <c r="AC189" s="90" t="str">
        <f>IFERROR(VLOOKUP(A189&amp;"aaaa",COPY!$S$2:$AA$1000,6,FALSE)," ")</f>
        <v xml:space="preserve"> </v>
      </c>
      <c r="AD189" s="90" t="str">
        <f>IFERROR(VLOOKUP(A189&amp;"aaaaa",COPY!$S$2:$AA$1000,6,FALSE)," ")</f>
        <v xml:space="preserve"> </v>
      </c>
      <c r="AE189" s="90" t="str">
        <f>IFERROR(VLOOKUP(A189&amp;"aaaaaa",COPY!$S$2:$AA$1000,6,FALSE)," ")</f>
        <v xml:space="preserve"> </v>
      </c>
      <c r="AF189" s="90" t="str">
        <f>IFERROR(VLOOKUP(A189&amp;"aaaaaaa",COPY!$S$2:$AA$1000,6,FALSE)," ")</f>
        <v xml:space="preserve"> </v>
      </c>
      <c r="AG189" s="90" t="str">
        <f>IFERROR(VLOOKUP(A189&amp;"aaaaaaaa",COPY!$S$2:$AA$1000,6,FALSE)," ")</f>
        <v xml:space="preserve"> </v>
      </c>
      <c r="AH189" s="90" t="str">
        <f>IFERROR(VLOOKUP(A189&amp;"aaaaaaaaa",COPY!$S$2:$AA$1000,6,FALSE)," ")</f>
        <v xml:space="preserve"> </v>
      </c>
      <c r="AI189" s="90" t="str">
        <f>IFERROR(VLOOKUP(A189&amp;"aaaaaaaaaa",COPY!$S$2:$AA$1000,6,FALSE)," ")</f>
        <v xml:space="preserve"> </v>
      </c>
      <c r="AJ189" s="90" t="str">
        <f>IFERROR(VLOOKUP(A189&amp;"aaaaaaaaaaa",COPY!$S$2:$AA$1000,6,FALSE)," ")</f>
        <v xml:space="preserve"> </v>
      </c>
      <c r="AK189" s="90" t="str">
        <f>IF(LEFT(B189,2)="mg",VLOOKUP(A189,COPY!$S$2:$AA$1000,7,FALSE),IF(LEFT(B189,1)="G"," ",IF(LEFT(B189,2)="ma"," "," ")))</f>
        <v xml:space="preserve"> </v>
      </c>
      <c r="AL189" s="90" t="str">
        <f>IFERROR(VLOOKUP(A189&amp;"a",COPY!$S$2:$AA$1000,7,FALSE)," ")</f>
        <v xml:space="preserve"> </v>
      </c>
      <c r="AM189" s="90" t="str">
        <f>IFERROR(VLOOKUP(A189&amp;"aa",COPY!$S$2:$AA$1000,7,FALSE)," ")</f>
        <v xml:space="preserve"> </v>
      </c>
      <c r="AN189" s="90" t="str">
        <f>IFERROR(VLOOKUP(A189&amp;"aaa",COPY!$S$2:$AA$1000,7,FALSE)," ")</f>
        <v xml:space="preserve"> </v>
      </c>
      <c r="AO189" s="90" t="str">
        <f>IFERROR(VLOOKUP(A189&amp;"aaaa",COPY!$S$2:$AA$1000,7,FALSE)," ")</f>
        <v xml:space="preserve"> </v>
      </c>
      <c r="AP189" s="90" t="str">
        <f>IFERROR(VLOOKUP(A189&amp;"aaaaa",COPY!$S$2:$AA$1000,7,FALSE)," ")</f>
        <v xml:space="preserve"> </v>
      </c>
      <c r="AQ189" s="90" t="str">
        <f>IFERROR(VLOOKUP(A189&amp;"aaaaaa",COPY!$S$2:$AA$1000,7,FALSE)," ")</f>
        <v xml:space="preserve"> </v>
      </c>
      <c r="AR189" s="90" t="str">
        <f>IFERROR(VLOOKUP(A189&amp;"aaaaaaa",COPY!$S$2:$AA$1000,7,FALSE)," ")</f>
        <v xml:space="preserve"> </v>
      </c>
      <c r="AS189" s="90" t="str">
        <f>IFERROR(VLOOKUP(A189&amp;"aaaaaaaa",COPY!$S$2:$AA$1000,7,FALSE)," ")</f>
        <v xml:space="preserve"> </v>
      </c>
      <c r="AT189" s="90" t="str">
        <f>IFERROR(VLOOKUP(A189&amp;"aaaaaaaaa",COPY!$S$2:$AA$1000,7,FALSE)," ")</f>
        <v xml:space="preserve"> </v>
      </c>
      <c r="AU189" s="90" t="str">
        <f>IFERROR(VLOOKUP(A189&amp;"aaaaaaaaaa",COPY!$S$2:$AA$1000,7,FALSE)," ")</f>
        <v xml:space="preserve"> </v>
      </c>
      <c r="AV189" s="90" t="str">
        <f>IFERROR(VLOOKUP(A189&amp;"aaaaaaaaaaa",COPY!$S$2:$AA$1000,7,FALSE)," ")</f>
        <v xml:space="preserve"> </v>
      </c>
    </row>
    <row r="190" spans="1:48" x14ac:dyDescent="0.2">
      <c r="A190" s="75" t="str">
        <f>'REKAP PAJAK'!W227</f>
        <v/>
      </c>
      <c r="B190" s="75" t="str">
        <f>IF(LEN(A190)&gt;1,VLOOKUP(A190,COPY!$O$2:$R$1000,4,FALSE),"")</f>
        <v/>
      </c>
      <c r="C190" s="75" t="str">
        <f t="shared" si="12"/>
        <v xml:space="preserve"> </v>
      </c>
      <c r="D190" s="75" t="str">
        <f t="shared" si="13"/>
        <v xml:space="preserve"> </v>
      </c>
      <c r="E190" s="75" t="str">
        <f t="shared" si="14"/>
        <v xml:space="preserve"> </v>
      </c>
      <c r="F190" s="75" t="str">
        <f t="shared" si="15"/>
        <v xml:space="preserve"> </v>
      </c>
      <c r="G190" s="75" t="str">
        <f>IFERROR(TEXT(VLOOKUP(A190,COPY!$S$2:$W$1000,3,FALSE),"dd-mmmm-yyyy")," ")</f>
        <v xml:space="preserve"> </v>
      </c>
      <c r="H190" s="75" t="str">
        <f t="shared" si="16"/>
        <v xml:space="preserve"> </v>
      </c>
      <c r="I190" s="75" t="str">
        <f t="shared" si="17"/>
        <v xml:space="preserve"> </v>
      </c>
      <c r="J190" s="90" t="str">
        <f>IFERROR(VLOOKUP(A190,COPY!$S$2:$W$1000,4,FALSE)," ")</f>
        <v xml:space="preserve"> </v>
      </c>
      <c r="K190" s="75" t="str">
        <f>IFERROR(VLOOKUP(A190,COPY!$S$2:$W$1000,5,FALSE)," ")</f>
        <v xml:space="preserve"> </v>
      </c>
      <c r="L190" s="75" t="str">
        <f>IF(B190="","",IF(LEFT(B190,2)="Ma",(VLOOKUP(B190,'Rekap Gaji'!$C$12:$D$26,2,FALSE))&amp;" Untuk "&amp;(PROPER('Rekap Gaji'!$B$2)),IF(LEFT(B190,2)="Mg","Pembelian Material Bahan Bangunan",IF(LEFT(B190,2)="Me","Biaya Pembelanjaan Menejemen",IF(LEFT(B190,1)="G",VLOOKUP(A190,COPY!$S$2:$AA$1000,2,FALSE)&amp;"( "&amp;TEXT(VLOOKUP(B190,'Rekap Gaji'!$A$12:$I$26,5,FALSE),"dd-mm-yyyy")&amp;" "&amp;TEXT(VLOOKUP(B190,'Rekap Gaji'!$A$12:$I$26,6,FALSE)&amp;" "&amp;TEXT(VLOOKUP(B190,'Rekap Gaji'!$A$12:$I$26,7,FALSE),"dd-mm-yyyy")&amp;" )"," "))))))</f>
        <v/>
      </c>
      <c r="M190" s="75" t="str">
        <f>IF(OR(LEFT(B190,2)="mg",LEFT(B190,2)="mE"),VLOOKUP(A190,COPY!$S$2:$AA$1000,2,FALSE),IF(LEFT(B190,1)="G"," ",IF(LEFT(B190,2)="ma"," "," ")))</f>
        <v xml:space="preserve"> </v>
      </c>
      <c r="N190" s="75" t="str">
        <f>IFERROR(VLOOKUP(A190&amp;"a",COPY!$S$2:$AA$1000,2,FALSE)," ")</f>
        <v xml:space="preserve"> </v>
      </c>
      <c r="O190" s="75" t="str">
        <f>IFERROR(VLOOKUP(A190&amp;"aa",COPY!$S$2:$AA$1000,2,FALSE)," ")</f>
        <v xml:space="preserve"> </v>
      </c>
      <c r="P190" s="75" t="str">
        <f>IFERROR(VLOOKUP(A190&amp;"aaa",COPY!$S$2:$AA$1000,2,FALSE)," ")</f>
        <v xml:space="preserve"> </v>
      </c>
      <c r="Q190" s="75" t="str">
        <f>IFERROR(VLOOKUP(A190&amp;"aaaa",COPY!$S$2:$AA$1000,2,FALSE)," ")</f>
        <v xml:space="preserve"> </v>
      </c>
      <c r="R190" s="75" t="str">
        <f>IFERROR(VLOOKUP(A190&amp;"aaaaa",COPY!$S$2:$AA$1000,2,FALSE)," ")</f>
        <v xml:space="preserve"> </v>
      </c>
      <c r="S190" s="75" t="str">
        <f>IFERROR(VLOOKUP(A190&amp;"aaaaaa",COPY!$S$2:$AA$1000,2,FALSE)," ")</f>
        <v xml:space="preserve"> </v>
      </c>
      <c r="T190" s="75" t="str">
        <f>IFERROR(VLOOKUP(A190&amp;"aaaaaaa",COPY!$S$2:$AA$1000,2,FALSE)," ")</f>
        <v xml:space="preserve"> </v>
      </c>
      <c r="U190" s="75" t="str">
        <f>IFERROR(VLOOKUP(A190&amp;"aaaaaaaa",COPY!$S$2:$AA$1000,2,FALSE)," ")</f>
        <v xml:space="preserve"> </v>
      </c>
      <c r="V190" s="75" t="str">
        <f>IFERROR(VLOOKUP(A190&amp;"aaaaaaaaa",COPY!$S$2:$AA$1000,2,FALSE)," ")</f>
        <v xml:space="preserve"> </v>
      </c>
      <c r="W190" s="75" t="str">
        <f>IFERROR(VLOOKUP(A190&amp;"aaaaaaaaaa",COPY!$S$2:$AA$1000,2,FALSE)," ")</f>
        <v xml:space="preserve"> </v>
      </c>
      <c r="X190" s="75" t="str">
        <f>IFERROR(VLOOKUP(A190&amp;"aaaaaaaaaaa",COPY!$S$2:$AA$1000,2,FALSE)," ")</f>
        <v xml:space="preserve"> </v>
      </c>
      <c r="Y190" s="90" t="str">
        <f>IF(OR(LEFT(B190,2)="mg",LEFT(B190,2)="mE"),VLOOKUP(A190,COPY!$S$2:$AA$1000,6,FALSE),IF(LEFT(B190,1)="G"," ",IF(LEFT(B190,2)="ma"," "," ")))</f>
        <v xml:space="preserve"> </v>
      </c>
      <c r="Z190" s="90" t="str">
        <f>IFERROR(VLOOKUP(A190&amp;"a",COPY!$S$2:$AA$1000,6,FALSE)," ")</f>
        <v xml:space="preserve"> </v>
      </c>
      <c r="AA190" s="90" t="str">
        <f>IFERROR(VLOOKUP(A190&amp;"aa",COPY!$S$2:$AA$1000,6,FALSE)," ")</f>
        <v xml:space="preserve"> </v>
      </c>
      <c r="AB190" s="90" t="str">
        <f>IFERROR(VLOOKUP(A190&amp;"aaa",COPY!$S$2:$AA$1000,6,FALSE)," ")</f>
        <v xml:space="preserve"> </v>
      </c>
      <c r="AC190" s="90" t="str">
        <f>IFERROR(VLOOKUP(A190&amp;"aaaa",COPY!$S$2:$AA$1000,6,FALSE)," ")</f>
        <v xml:space="preserve"> </v>
      </c>
      <c r="AD190" s="90" t="str">
        <f>IFERROR(VLOOKUP(A190&amp;"aaaaa",COPY!$S$2:$AA$1000,6,FALSE)," ")</f>
        <v xml:space="preserve"> </v>
      </c>
      <c r="AE190" s="90" t="str">
        <f>IFERROR(VLOOKUP(A190&amp;"aaaaaa",COPY!$S$2:$AA$1000,6,FALSE)," ")</f>
        <v xml:space="preserve"> </v>
      </c>
      <c r="AF190" s="90" t="str">
        <f>IFERROR(VLOOKUP(A190&amp;"aaaaaaa",COPY!$S$2:$AA$1000,6,FALSE)," ")</f>
        <v xml:space="preserve"> </v>
      </c>
      <c r="AG190" s="90" t="str">
        <f>IFERROR(VLOOKUP(A190&amp;"aaaaaaaa",COPY!$S$2:$AA$1000,6,FALSE)," ")</f>
        <v xml:space="preserve"> </v>
      </c>
      <c r="AH190" s="90" t="str">
        <f>IFERROR(VLOOKUP(A190&amp;"aaaaaaaaa",COPY!$S$2:$AA$1000,6,FALSE)," ")</f>
        <v xml:space="preserve"> </v>
      </c>
      <c r="AI190" s="90" t="str">
        <f>IFERROR(VLOOKUP(A190&amp;"aaaaaaaaaa",COPY!$S$2:$AA$1000,6,FALSE)," ")</f>
        <v xml:space="preserve"> </v>
      </c>
      <c r="AJ190" s="90" t="str">
        <f>IFERROR(VLOOKUP(A190&amp;"aaaaaaaaaaa",COPY!$S$2:$AA$1000,6,FALSE)," ")</f>
        <v xml:space="preserve"> </v>
      </c>
      <c r="AK190" s="90" t="str">
        <f>IF(LEFT(B190,2)="mg",VLOOKUP(A190,COPY!$S$2:$AA$1000,7,FALSE),IF(LEFT(B190,1)="G"," ",IF(LEFT(B190,2)="ma"," "," ")))</f>
        <v xml:space="preserve"> </v>
      </c>
      <c r="AL190" s="90" t="str">
        <f>IFERROR(VLOOKUP(A190&amp;"a",COPY!$S$2:$AA$1000,7,FALSE)," ")</f>
        <v xml:space="preserve"> </v>
      </c>
      <c r="AM190" s="90" t="str">
        <f>IFERROR(VLOOKUP(A190&amp;"aa",COPY!$S$2:$AA$1000,7,FALSE)," ")</f>
        <v xml:space="preserve"> </v>
      </c>
      <c r="AN190" s="90" t="str">
        <f>IFERROR(VLOOKUP(A190&amp;"aaa",COPY!$S$2:$AA$1000,7,FALSE)," ")</f>
        <v xml:space="preserve"> </v>
      </c>
      <c r="AO190" s="90" t="str">
        <f>IFERROR(VLOOKUP(A190&amp;"aaaa",COPY!$S$2:$AA$1000,7,FALSE)," ")</f>
        <v xml:space="preserve"> </v>
      </c>
      <c r="AP190" s="90" t="str">
        <f>IFERROR(VLOOKUP(A190&amp;"aaaaa",COPY!$S$2:$AA$1000,7,FALSE)," ")</f>
        <v xml:space="preserve"> </v>
      </c>
      <c r="AQ190" s="90" t="str">
        <f>IFERROR(VLOOKUP(A190&amp;"aaaaaa",COPY!$S$2:$AA$1000,7,FALSE)," ")</f>
        <v xml:space="preserve"> </v>
      </c>
      <c r="AR190" s="90" t="str">
        <f>IFERROR(VLOOKUP(A190&amp;"aaaaaaa",COPY!$S$2:$AA$1000,7,FALSE)," ")</f>
        <v xml:space="preserve"> </v>
      </c>
      <c r="AS190" s="90" t="str">
        <f>IFERROR(VLOOKUP(A190&amp;"aaaaaaaa",COPY!$S$2:$AA$1000,7,FALSE)," ")</f>
        <v xml:space="preserve"> </v>
      </c>
      <c r="AT190" s="90" t="str">
        <f>IFERROR(VLOOKUP(A190&amp;"aaaaaaaaa",COPY!$S$2:$AA$1000,7,FALSE)," ")</f>
        <v xml:space="preserve"> </v>
      </c>
      <c r="AU190" s="90" t="str">
        <f>IFERROR(VLOOKUP(A190&amp;"aaaaaaaaaa",COPY!$S$2:$AA$1000,7,FALSE)," ")</f>
        <v xml:space="preserve"> </v>
      </c>
      <c r="AV190" s="90" t="str">
        <f>IFERROR(VLOOKUP(A190&amp;"aaaaaaaaaaa",COPY!$S$2:$AA$1000,7,FALSE)," ")</f>
        <v xml:space="preserve"> </v>
      </c>
    </row>
    <row r="191" spans="1:48" x14ac:dyDescent="0.2">
      <c r="A191" s="75" t="str">
        <f>'REKAP PAJAK'!W228</f>
        <v/>
      </c>
      <c r="B191" s="75" t="str">
        <f>IF(LEN(A191)&gt;1,VLOOKUP(A191,COPY!$O$2:$R$1000,4,FALSE),"")</f>
        <v/>
      </c>
      <c r="C191" s="75" t="str">
        <f t="shared" si="12"/>
        <v xml:space="preserve"> </v>
      </c>
      <c r="D191" s="75" t="str">
        <f t="shared" si="13"/>
        <v xml:space="preserve"> </v>
      </c>
      <c r="E191" s="75" t="str">
        <f t="shared" si="14"/>
        <v xml:space="preserve"> </v>
      </c>
      <c r="F191" s="75" t="str">
        <f t="shared" si="15"/>
        <v xml:space="preserve"> </v>
      </c>
      <c r="G191" s="75" t="str">
        <f>IFERROR(TEXT(VLOOKUP(A191,COPY!$S$2:$W$1000,3,FALSE),"dd-mmmm-yyyy")," ")</f>
        <v xml:space="preserve"> </v>
      </c>
      <c r="H191" s="75" t="str">
        <f t="shared" si="16"/>
        <v xml:space="preserve"> </v>
      </c>
      <c r="I191" s="75" t="str">
        <f t="shared" si="17"/>
        <v xml:space="preserve"> </v>
      </c>
      <c r="J191" s="90" t="str">
        <f>IFERROR(VLOOKUP(A191,COPY!$S$2:$W$1000,4,FALSE)," ")</f>
        <v xml:space="preserve"> </v>
      </c>
      <c r="K191" s="75" t="str">
        <f>IFERROR(VLOOKUP(A191,COPY!$S$2:$W$1000,5,FALSE)," ")</f>
        <v xml:space="preserve"> </v>
      </c>
      <c r="L191" s="75" t="str">
        <f>IF(B191="","",IF(LEFT(B191,2)="Ma",(VLOOKUP(B191,'Rekap Gaji'!$C$12:$D$26,2,FALSE))&amp;" Untuk "&amp;(PROPER('Rekap Gaji'!$B$2)),IF(LEFT(B191,2)="Mg","Pembelian Material Bahan Bangunan",IF(LEFT(B191,2)="Me","Biaya Pembelanjaan Menejemen",IF(LEFT(B191,1)="G",VLOOKUP(A191,COPY!$S$2:$AA$1000,2,FALSE)&amp;"( "&amp;TEXT(VLOOKUP(B191,'Rekap Gaji'!$A$12:$I$26,5,FALSE),"dd-mm-yyyy")&amp;" "&amp;TEXT(VLOOKUP(B191,'Rekap Gaji'!$A$12:$I$26,6,FALSE)&amp;" "&amp;TEXT(VLOOKUP(B191,'Rekap Gaji'!$A$12:$I$26,7,FALSE),"dd-mm-yyyy")&amp;" )"," "))))))</f>
        <v/>
      </c>
      <c r="M191" s="75" t="str">
        <f>IF(OR(LEFT(B191,2)="mg",LEFT(B191,2)="mE"),VLOOKUP(A191,COPY!$S$2:$AA$1000,2,FALSE),IF(LEFT(B191,1)="G"," ",IF(LEFT(B191,2)="ma"," "," ")))</f>
        <v xml:space="preserve"> </v>
      </c>
      <c r="N191" s="75" t="str">
        <f>IFERROR(VLOOKUP(A191&amp;"a",COPY!$S$2:$AA$1000,2,FALSE)," ")</f>
        <v xml:space="preserve"> </v>
      </c>
      <c r="O191" s="75" t="str">
        <f>IFERROR(VLOOKUP(A191&amp;"aa",COPY!$S$2:$AA$1000,2,FALSE)," ")</f>
        <v xml:space="preserve"> </v>
      </c>
      <c r="P191" s="75" t="str">
        <f>IFERROR(VLOOKUP(A191&amp;"aaa",COPY!$S$2:$AA$1000,2,FALSE)," ")</f>
        <v xml:space="preserve"> </v>
      </c>
      <c r="Q191" s="75" t="str">
        <f>IFERROR(VLOOKUP(A191&amp;"aaaa",COPY!$S$2:$AA$1000,2,FALSE)," ")</f>
        <v xml:space="preserve"> </v>
      </c>
      <c r="R191" s="75" t="str">
        <f>IFERROR(VLOOKUP(A191&amp;"aaaaa",COPY!$S$2:$AA$1000,2,FALSE)," ")</f>
        <v xml:space="preserve"> </v>
      </c>
      <c r="S191" s="75" t="str">
        <f>IFERROR(VLOOKUP(A191&amp;"aaaaaa",COPY!$S$2:$AA$1000,2,FALSE)," ")</f>
        <v xml:space="preserve"> </v>
      </c>
      <c r="T191" s="75" t="str">
        <f>IFERROR(VLOOKUP(A191&amp;"aaaaaaa",COPY!$S$2:$AA$1000,2,FALSE)," ")</f>
        <v xml:space="preserve"> </v>
      </c>
      <c r="U191" s="75" t="str">
        <f>IFERROR(VLOOKUP(A191&amp;"aaaaaaaa",COPY!$S$2:$AA$1000,2,FALSE)," ")</f>
        <v xml:space="preserve"> </v>
      </c>
      <c r="V191" s="75" t="str">
        <f>IFERROR(VLOOKUP(A191&amp;"aaaaaaaaa",COPY!$S$2:$AA$1000,2,FALSE)," ")</f>
        <v xml:space="preserve"> </v>
      </c>
      <c r="W191" s="75" t="str">
        <f>IFERROR(VLOOKUP(A191&amp;"aaaaaaaaaa",COPY!$S$2:$AA$1000,2,FALSE)," ")</f>
        <v xml:space="preserve"> </v>
      </c>
      <c r="X191" s="75" t="str">
        <f>IFERROR(VLOOKUP(A191&amp;"aaaaaaaaaaa",COPY!$S$2:$AA$1000,2,FALSE)," ")</f>
        <v xml:space="preserve"> </v>
      </c>
      <c r="Y191" s="90" t="str">
        <f>IF(OR(LEFT(B191,2)="mg",LEFT(B191,2)="mE"),VLOOKUP(A191,COPY!$S$2:$AA$1000,6,FALSE),IF(LEFT(B191,1)="G"," ",IF(LEFT(B191,2)="ma"," "," ")))</f>
        <v xml:space="preserve"> </v>
      </c>
      <c r="Z191" s="90" t="str">
        <f>IFERROR(VLOOKUP(A191&amp;"a",COPY!$S$2:$AA$1000,6,FALSE)," ")</f>
        <v xml:space="preserve"> </v>
      </c>
      <c r="AA191" s="90" t="str">
        <f>IFERROR(VLOOKUP(A191&amp;"aa",COPY!$S$2:$AA$1000,6,FALSE)," ")</f>
        <v xml:space="preserve"> </v>
      </c>
      <c r="AB191" s="90" t="str">
        <f>IFERROR(VLOOKUP(A191&amp;"aaa",COPY!$S$2:$AA$1000,6,FALSE)," ")</f>
        <v xml:space="preserve"> </v>
      </c>
      <c r="AC191" s="90" t="str">
        <f>IFERROR(VLOOKUP(A191&amp;"aaaa",COPY!$S$2:$AA$1000,6,FALSE)," ")</f>
        <v xml:space="preserve"> </v>
      </c>
      <c r="AD191" s="90" t="str">
        <f>IFERROR(VLOOKUP(A191&amp;"aaaaa",COPY!$S$2:$AA$1000,6,FALSE)," ")</f>
        <v xml:space="preserve"> </v>
      </c>
      <c r="AE191" s="90" t="str">
        <f>IFERROR(VLOOKUP(A191&amp;"aaaaaa",COPY!$S$2:$AA$1000,6,FALSE)," ")</f>
        <v xml:space="preserve"> </v>
      </c>
      <c r="AF191" s="90" t="str">
        <f>IFERROR(VLOOKUP(A191&amp;"aaaaaaa",COPY!$S$2:$AA$1000,6,FALSE)," ")</f>
        <v xml:space="preserve"> </v>
      </c>
      <c r="AG191" s="90" t="str">
        <f>IFERROR(VLOOKUP(A191&amp;"aaaaaaaa",COPY!$S$2:$AA$1000,6,FALSE)," ")</f>
        <v xml:space="preserve"> </v>
      </c>
      <c r="AH191" s="90" t="str">
        <f>IFERROR(VLOOKUP(A191&amp;"aaaaaaaaa",COPY!$S$2:$AA$1000,6,FALSE)," ")</f>
        <v xml:space="preserve"> </v>
      </c>
      <c r="AI191" s="90" t="str">
        <f>IFERROR(VLOOKUP(A191&amp;"aaaaaaaaaa",COPY!$S$2:$AA$1000,6,FALSE)," ")</f>
        <v xml:space="preserve"> </v>
      </c>
      <c r="AJ191" s="90" t="str">
        <f>IFERROR(VLOOKUP(A191&amp;"aaaaaaaaaaa",COPY!$S$2:$AA$1000,6,FALSE)," ")</f>
        <v xml:space="preserve"> </v>
      </c>
      <c r="AK191" s="90" t="str">
        <f>IF(LEFT(B191,2)="mg",VLOOKUP(A191,COPY!$S$2:$AA$1000,7,FALSE),IF(LEFT(B191,1)="G"," ",IF(LEFT(B191,2)="ma"," "," ")))</f>
        <v xml:space="preserve"> </v>
      </c>
      <c r="AL191" s="90" t="str">
        <f>IFERROR(VLOOKUP(A191&amp;"a",COPY!$S$2:$AA$1000,7,FALSE)," ")</f>
        <v xml:space="preserve"> </v>
      </c>
      <c r="AM191" s="90" t="str">
        <f>IFERROR(VLOOKUP(A191&amp;"aa",COPY!$S$2:$AA$1000,7,FALSE)," ")</f>
        <v xml:space="preserve"> </v>
      </c>
      <c r="AN191" s="90" t="str">
        <f>IFERROR(VLOOKUP(A191&amp;"aaa",COPY!$S$2:$AA$1000,7,FALSE)," ")</f>
        <v xml:space="preserve"> </v>
      </c>
      <c r="AO191" s="90" t="str">
        <f>IFERROR(VLOOKUP(A191&amp;"aaaa",COPY!$S$2:$AA$1000,7,FALSE)," ")</f>
        <v xml:space="preserve"> </v>
      </c>
      <c r="AP191" s="90" t="str">
        <f>IFERROR(VLOOKUP(A191&amp;"aaaaa",COPY!$S$2:$AA$1000,7,FALSE)," ")</f>
        <v xml:space="preserve"> </v>
      </c>
      <c r="AQ191" s="90" t="str">
        <f>IFERROR(VLOOKUP(A191&amp;"aaaaaa",COPY!$S$2:$AA$1000,7,FALSE)," ")</f>
        <v xml:space="preserve"> </v>
      </c>
      <c r="AR191" s="90" t="str">
        <f>IFERROR(VLOOKUP(A191&amp;"aaaaaaa",COPY!$S$2:$AA$1000,7,FALSE)," ")</f>
        <v xml:space="preserve"> </v>
      </c>
      <c r="AS191" s="90" t="str">
        <f>IFERROR(VLOOKUP(A191&amp;"aaaaaaaa",COPY!$S$2:$AA$1000,7,FALSE)," ")</f>
        <v xml:space="preserve"> </v>
      </c>
      <c r="AT191" s="90" t="str">
        <f>IFERROR(VLOOKUP(A191&amp;"aaaaaaaaa",COPY!$S$2:$AA$1000,7,FALSE)," ")</f>
        <v xml:space="preserve"> </v>
      </c>
      <c r="AU191" s="90" t="str">
        <f>IFERROR(VLOOKUP(A191&amp;"aaaaaaaaaa",COPY!$S$2:$AA$1000,7,FALSE)," ")</f>
        <v xml:space="preserve"> </v>
      </c>
      <c r="AV191" s="90" t="str">
        <f>IFERROR(VLOOKUP(A191&amp;"aaaaaaaaaaa",COPY!$S$2:$AA$1000,7,FALSE)," ")</f>
        <v xml:space="preserve"> </v>
      </c>
    </row>
    <row r="192" spans="1:48" x14ac:dyDescent="0.2">
      <c r="A192" s="75" t="str">
        <f>'REKAP PAJAK'!W229</f>
        <v/>
      </c>
      <c r="B192" s="75" t="str">
        <f>IF(LEN(A192)&gt;1,VLOOKUP(A192,COPY!$O$2:$R$1000,4,FALSE),"")</f>
        <v/>
      </c>
      <c r="C192" s="75" t="str">
        <f t="shared" si="12"/>
        <v xml:space="preserve"> </v>
      </c>
      <c r="D192" s="75" t="str">
        <f t="shared" si="13"/>
        <v xml:space="preserve"> </v>
      </c>
      <c r="E192" s="75" t="str">
        <f t="shared" si="14"/>
        <v xml:space="preserve"> </v>
      </c>
      <c r="F192" s="75" t="str">
        <f t="shared" si="15"/>
        <v xml:space="preserve"> </v>
      </c>
      <c r="G192" s="75" t="str">
        <f>IFERROR(TEXT(VLOOKUP(A192,COPY!$S$2:$W$1000,3,FALSE),"dd-mmmm-yyyy")," ")</f>
        <v xml:space="preserve"> </v>
      </c>
      <c r="H192" s="75" t="str">
        <f t="shared" si="16"/>
        <v xml:space="preserve"> </v>
      </c>
      <c r="I192" s="75" t="str">
        <f t="shared" si="17"/>
        <v xml:space="preserve"> </v>
      </c>
      <c r="J192" s="90" t="str">
        <f>IFERROR(VLOOKUP(A192,COPY!$S$2:$W$1000,4,FALSE)," ")</f>
        <v xml:space="preserve"> </v>
      </c>
      <c r="K192" s="75" t="str">
        <f>IFERROR(VLOOKUP(A192,COPY!$S$2:$W$1000,5,FALSE)," ")</f>
        <v xml:space="preserve"> </v>
      </c>
      <c r="L192" s="75" t="str">
        <f>IF(B192="","",IF(LEFT(B192,2)="Ma",(VLOOKUP(B192,'Rekap Gaji'!$C$12:$D$26,2,FALSE))&amp;" Untuk "&amp;(PROPER('Rekap Gaji'!$B$2)),IF(LEFT(B192,2)="Mg","Pembelian Material Bahan Bangunan",IF(LEFT(B192,2)="Me","Biaya Pembelanjaan Menejemen",IF(LEFT(B192,1)="G",VLOOKUP(A192,COPY!$S$2:$AA$1000,2,FALSE)&amp;"( "&amp;TEXT(VLOOKUP(B192,'Rekap Gaji'!$A$12:$I$26,5,FALSE),"dd-mm-yyyy")&amp;" "&amp;TEXT(VLOOKUP(B192,'Rekap Gaji'!$A$12:$I$26,6,FALSE)&amp;" "&amp;TEXT(VLOOKUP(B192,'Rekap Gaji'!$A$12:$I$26,7,FALSE),"dd-mm-yyyy")&amp;" )"," "))))))</f>
        <v/>
      </c>
      <c r="M192" s="75" t="str">
        <f>IF(OR(LEFT(B192,2)="mg",LEFT(B192,2)="mE"),VLOOKUP(A192,COPY!$S$2:$AA$1000,2,FALSE),IF(LEFT(B192,1)="G"," ",IF(LEFT(B192,2)="ma"," "," ")))</f>
        <v xml:space="preserve"> </v>
      </c>
      <c r="N192" s="75" t="str">
        <f>IFERROR(VLOOKUP(A192&amp;"a",COPY!$S$2:$AA$1000,2,FALSE)," ")</f>
        <v xml:space="preserve"> </v>
      </c>
      <c r="O192" s="75" t="str">
        <f>IFERROR(VLOOKUP(A192&amp;"aa",COPY!$S$2:$AA$1000,2,FALSE)," ")</f>
        <v xml:space="preserve"> </v>
      </c>
      <c r="P192" s="75" t="str">
        <f>IFERROR(VLOOKUP(A192&amp;"aaa",COPY!$S$2:$AA$1000,2,FALSE)," ")</f>
        <v xml:space="preserve"> </v>
      </c>
      <c r="Q192" s="75" t="str">
        <f>IFERROR(VLOOKUP(A192&amp;"aaaa",COPY!$S$2:$AA$1000,2,FALSE)," ")</f>
        <v xml:space="preserve"> </v>
      </c>
      <c r="R192" s="75" t="str">
        <f>IFERROR(VLOOKUP(A192&amp;"aaaaa",COPY!$S$2:$AA$1000,2,FALSE)," ")</f>
        <v xml:space="preserve"> </v>
      </c>
      <c r="S192" s="75" t="str">
        <f>IFERROR(VLOOKUP(A192&amp;"aaaaaa",COPY!$S$2:$AA$1000,2,FALSE)," ")</f>
        <v xml:space="preserve"> </v>
      </c>
      <c r="T192" s="75" t="str">
        <f>IFERROR(VLOOKUP(A192&amp;"aaaaaaa",COPY!$S$2:$AA$1000,2,FALSE)," ")</f>
        <v xml:space="preserve"> </v>
      </c>
      <c r="U192" s="75" t="str">
        <f>IFERROR(VLOOKUP(A192&amp;"aaaaaaaa",COPY!$S$2:$AA$1000,2,FALSE)," ")</f>
        <v xml:space="preserve"> </v>
      </c>
      <c r="V192" s="75" t="str">
        <f>IFERROR(VLOOKUP(A192&amp;"aaaaaaaaa",COPY!$S$2:$AA$1000,2,FALSE)," ")</f>
        <v xml:space="preserve"> </v>
      </c>
      <c r="W192" s="75" t="str">
        <f>IFERROR(VLOOKUP(A192&amp;"aaaaaaaaaa",COPY!$S$2:$AA$1000,2,FALSE)," ")</f>
        <v xml:space="preserve"> </v>
      </c>
      <c r="X192" s="75" t="str">
        <f>IFERROR(VLOOKUP(A192&amp;"aaaaaaaaaaa",COPY!$S$2:$AA$1000,2,FALSE)," ")</f>
        <v xml:space="preserve"> </v>
      </c>
      <c r="Y192" s="90" t="str">
        <f>IF(OR(LEFT(B192,2)="mg",LEFT(B192,2)="mE"),VLOOKUP(A192,COPY!$S$2:$AA$1000,6,FALSE),IF(LEFT(B192,1)="G"," ",IF(LEFT(B192,2)="ma"," "," ")))</f>
        <v xml:space="preserve"> </v>
      </c>
      <c r="Z192" s="90" t="str">
        <f>IFERROR(VLOOKUP(A192&amp;"a",COPY!$S$2:$AA$1000,6,FALSE)," ")</f>
        <v xml:space="preserve"> </v>
      </c>
      <c r="AA192" s="90" t="str">
        <f>IFERROR(VLOOKUP(A192&amp;"aa",COPY!$S$2:$AA$1000,6,FALSE)," ")</f>
        <v xml:space="preserve"> </v>
      </c>
      <c r="AB192" s="90" t="str">
        <f>IFERROR(VLOOKUP(A192&amp;"aaa",COPY!$S$2:$AA$1000,6,FALSE)," ")</f>
        <v xml:space="preserve"> </v>
      </c>
      <c r="AC192" s="90" t="str">
        <f>IFERROR(VLOOKUP(A192&amp;"aaaa",COPY!$S$2:$AA$1000,6,FALSE)," ")</f>
        <v xml:space="preserve"> </v>
      </c>
      <c r="AD192" s="90" t="str">
        <f>IFERROR(VLOOKUP(A192&amp;"aaaaa",COPY!$S$2:$AA$1000,6,FALSE)," ")</f>
        <v xml:space="preserve"> </v>
      </c>
      <c r="AE192" s="90" t="str">
        <f>IFERROR(VLOOKUP(A192&amp;"aaaaaa",COPY!$S$2:$AA$1000,6,FALSE)," ")</f>
        <v xml:space="preserve"> </v>
      </c>
      <c r="AF192" s="90" t="str">
        <f>IFERROR(VLOOKUP(A192&amp;"aaaaaaa",COPY!$S$2:$AA$1000,6,FALSE)," ")</f>
        <v xml:space="preserve"> </v>
      </c>
      <c r="AG192" s="90" t="str">
        <f>IFERROR(VLOOKUP(A192&amp;"aaaaaaaa",COPY!$S$2:$AA$1000,6,FALSE)," ")</f>
        <v xml:space="preserve"> </v>
      </c>
      <c r="AH192" s="90" t="str">
        <f>IFERROR(VLOOKUP(A192&amp;"aaaaaaaaa",COPY!$S$2:$AA$1000,6,FALSE)," ")</f>
        <v xml:space="preserve"> </v>
      </c>
      <c r="AI192" s="90" t="str">
        <f>IFERROR(VLOOKUP(A192&amp;"aaaaaaaaaa",COPY!$S$2:$AA$1000,6,FALSE)," ")</f>
        <v xml:space="preserve"> </v>
      </c>
      <c r="AJ192" s="90" t="str">
        <f>IFERROR(VLOOKUP(A192&amp;"aaaaaaaaaaa",COPY!$S$2:$AA$1000,6,FALSE)," ")</f>
        <v xml:space="preserve"> </v>
      </c>
      <c r="AK192" s="90" t="str">
        <f>IF(LEFT(B192,2)="mg",VLOOKUP(A192,COPY!$S$2:$AA$1000,7,FALSE),IF(LEFT(B192,1)="G"," ",IF(LEFT(B192,2)="ma"," "," ")))</f>
        <v xml:space="preserve"> </v>
      </c>
      <c r="AL192" s="90" t="str">
        <f>IFERROR(VLOOKUP(A192&amp;"a",COPY!$S$2:$AA$1000,7,FALSE)," ")</f>
        <v xml:space="preserve"> </v>
      </c>
      <c r="AM192" s="90" t="str">
        <f>IFERROR(VLOOKUP(A192&amp;"aa",COPY!$S$2:$AA$1000,7,FALSE)," ")</f>
        <v xml:space="preserve"> </v>
      </c>
      <c r="AN192" s="90" t="str">
        <f>IFERROR(VLOOKUP(A192&amp;"aaa",COPY!$S$2:$AA$1000,7,FALSE)," ")</f>
        <v xml:space="preserve"> </v>
      </c>
      <c r="AO192" s="90" t="str">
        <f>IFERROR(VLOOKUP(A192&amp;"aaaa",COPY!$S$2:$AA$1000,7,FALSE)," ")</f>
        <v xml:space="preserve"> </v>
      </c>
      <c r="AP192" s="90" t="str">
        <f>IFERROR(VLOOKUP(A192&amp;"aaaaa",COPY!$S$2:$AA$1000,7,FALSE)," ")</f>
        <v xml:space="preserve"> </v>
      </c>
      <c r="AQ192" s="90" t="str">
        <f>IFERROR(VLOOKUP(A192&amp;"aaaaaa",COPY!$S$2:$AA$1000,7,FALSE)," ")</f>
        <v xml:space="preserve"> </v>
      </c>
      <c r="AR192" s="90" t="str">
        <f>IFERROR(VLOOKUP(A192&amp;"aaaaaaa",COPY!$S$2:$AA$1000,7,FALSE)," ")</f>
        <v xml:space="preserve"> </v>
      </c>
      <c r="AS192" s="90" t="str">
        <f>IFERROR(VLOOKUP(A192&amp;"aaaaaaaa",COPY!$S$2:$AA$1000,7,FALSE)," ")</f>
        <v xml:space="preserve"> </v>
      </c>
      <c r="AT192" s="90" t="str">
        <f>IFERROR(VLOOKUP(A192&amp;"aaaaaaaaa",COPY!$S$2:$AA$1000,7,FALSE)," ")</f>
        <v xml:space="preserve"> </v>
      </c>
      <c r="AU192" s="90" t="str">
        <f>IFERROR(VLOOKUP(A192&amp;"aaaaaaaaaa",COPY!$S$2:$AA$1000,7,FALSE)," ")</f>
        <v xml:space="preserve"> </v>
      </c>
      <c r="AV192" s="90" t="str">
        <f>IFERROR(VLOOKUP(A192&amp;"aaaaaaaaaaa",COPY!$S$2:$AA$1000,7,FALSE)," ")</f>
        <v xml:space="preserve"> </v>
      </c>
    </row>
    <row r="193" spans="1:48" x14ac:dyDescent="0.2">
      <c r="A193" s="75" t="str">
        <f>'REKAP PAJAK'!W230</f>
        <v/>
      </c>
      <c r="B193" s="75" t="str">
        <f>IF(LEN(A193)&gt;1,VLOOKUP(A193,COPY!$O$2:$R$1000,4,FALSE),"")</f>
        <v/>
      </c>
      <c r="C193" s="75" t="str">
        <f t="shared" si="12"/>
        <v xml:space="preserve"> </v>
      </c>
      <c r="D193" s="75" t="str">
        <f t="shared" si="13"/>
        <v xml:space="preserve"> </v>
      </c>
      <c r="E193" s="75" t="str">
        <f t="shared" si="14"/>
        <v xml:space="preserve"> </v>
      </c>
      <c r="F193" s="75" t="str">
        <f t="shared" si="15"/>
        <v xml:space="preserve"> </v>
      </c>
      <c r="G193" s="75" t="str">
        <f>IFERROR(TEXT(VLOOKUP(A193,COPY!$S$2:$W$1000,3,FALSE),"dd-mmmm-yyyy")," ")</f>
        <v xml:space="preserve"> </v>
      </c>
      <c r="H193" s="75" t="str">
        <f t="shared" si="16"/>
        <v xml:space="preserve"> </v>
      </c>
      <c r="I193" s="75" t="str">
        <f t="shared" si="17"/>
        <v xml:space="preserve"> </v>
      </c>
      <c r="J193" s="90" t="str">
        <f>IFERROR(VLOOKUP(A193,COPY!$S$2:$W$1000,4,FALSE)," ")</f>
        <v xml:space="preserve"> </v>
      </c>
      <c r="K193" s="75" t="str">
        <f>IFERROR(VLOOKUP(A193,COPY!$S$2:$W$1000,5,FALSE)," ")</f>
        <v xml:space="preserve"> </v>
      </c>
      <c r="L193" s="75" t="str">
        <f>IF(B193="","",IF(LEFT(B193,2)="Ma",(VLOOKUP(B193,'Rekap Gaji'!$C$12:$D$26,2,FALSE))&amp;" Untuk "&amp;(PROPER('Rekap Gaji'!$B$2)),IF(LEFT(B193,2)="Mg","Pembelian Material Bahan Bangunan",IF(LEFT(B193,2)="Me","Biaya Pembelanjaan Menejemen",IF(LEFT(B193,1)="G",VLOOKUP(A193,COPY!$S$2:$AA$1000,2,FALSE)&amp;"( "&amp;TEXT(VLOOKUP(B193,'Rekap Gaji'!$A$12:$I$26,5,FALSE),"dd-mm-yyyy")&amp;" "&amp;TEXT(VLOOKUP(B193,'Rekap Gaji'!$A$12:$I$26,6,FALSE)&amp;" "&amp;TEXT(VLOOKUP(B193,'Rekap Gaji'!$A$12:$I$26,7,FALSE),"dd-mm-yyyy")&amp;" )"," "))))))</f>
        <v/>
      </c>
      <c r="M193" s="75" t="str">
        <f>IF(OR(LEFT(B193,2)="mg",LEFT(B193,2)="mE"),VLOOKUP(A193,COPY!$S$2:$AA$1000,2,FALSE),IF(LEFT(B193,1)="G"," ",IF(LEFT(B193,2)="ma"," "," ")))</f>
        <v xml:space="preserve"> </v>
      </c>
      <c r="N193" s="75" t="str">
        <f>IFERROR(VLOOKUP(A193&amp;"a",COPY!$S$2:$AA$1000,2,FALSE)," ")</f>
        <v xml:space="preserve"> </v>
      </c>
      <c r="O193" s="75" t="str">
        <f>IFERROR(VLOOKUP(A193&amp;"aa",COPY!$S$2:$AA$1000,2,FALSE)," ")</f>
        <v xml:space="preserve"> </v>
      </c>
      <c r="P193" s="75" t="str">
        <f>IFERROR(VLOOKUP(A193&amp;"aaa",COPY!$S$2:$AA$1000,2,FALSE)," ")</f>
        <v xml:space="preserve"> </v>
      </c>
      <c r="Q193" s="75" t="str">
        <f>IFERROR(VLOOKUP(A193&amp;"aaaa",COPY!$S$2:$AA$1000,2,FALSE)," ")</f>
        <v xml:space="preserve"> </v>
      </c>
      <c r="R193" s="75" t="str">
        <f>IFERROR(VLOOKUP(A193&amp;"aaaaa",COPY!$S$2:$AA$1000,2,FALSE)," ")</f>
        <v xml:space="preserve"> </v>
      </c>
      <c r="S193" s="75" t="str">
        <f>IFERROR(VLOOKUP(A193&amp;"aaaaaa",COPY!$S$2:$AA$1000,2,FALSE)," ")</f>
        <v xml:space="preserve"> </v>
      </c>
      <c r="T193" s="75" t="str">
        <f>IFERROR(VLOOKUP(A193&amp;"aaaaaaa",COPY!$S$2:$AA$1000,2,FALSE)," ")</f>
        <v xml:space="preserve"> </v>
      </c>
      <c r="U193" s="75" t="str">
        <f>IFERROR(VLOOKUP(A193&amp;"aaaaaaaa",COPY!$S$2:$AA$1000,2,FALSE)," ")</f>
        <v xml:space="preserve"> </v>
      </c>
      <c r="V193" s="75" t="str">
        <f>IFERROR(VLOOKUP(A193&amp;"aaaaaaaaa",COPY!$S$2:$AA$1000,2,FALSE)," ")</f>
        <v xml:space="preserve"> </v>
      </c>
      <c r="W193" s="75" t="str">
        <f>IFERROR(VLOOKUP(A193&amp;"aaaaaaaaaa",COPY!$S$2:$AA$1000,2,FALSE)," ")</f>
        <v xml:space="preserve"> </v>
      </c>
      <c r="X193" s="75" t="str">
        <f>IFERROR(VLOOKUP(A193&amp;"aaaaaaaaaaa",COPY!$S$2:$AA$1000,2,FALSE)," ")</f>
        <v xml:space="preserve"> </v>
      </c>
      <c r="Y193" s="90" t="str">
        <f>IF(OR(LEFT(B193,2)="mg",LEFT(B193,2)="mE"),VLOOKUP(A193,COPY!$S$2:$AA$1000,6,FALSE),IF(LEFT(B193,1)="G"," ",IF(LEFT(B193,2)="ma"," "," ")))</f>
        <v xml:space="preserve"> </v>
      </c>
      <c r="Z193" s="90" t="str">
        <f>IFERROR(VLOOKUP(A193&amp;"a",COPY!$S$2:$AA$1000,6,FALSE)," ")</f>
        <v xml:space="preserve"> </v>
      </c>
      <c r="AA193" s="90" t="str">
        <f>IFERROR(VLOOKUP(A193&amp;"aa",COPY!$S$2:$AA$1000,6,FALSE)," ")</f>
        <v xml:space="preserve"> </v>
      </c>
      <c r="AB193" s="90" t="str">
        <f>IFERROR(VLOOKUP(A193&amp;"aaa",COPY!$S$2:$AA$1000,6,FALSE)," ")</f>
        <v xml:space="preserve"> </v>
      </c>
      <c r="AC193" s="90" t="str">
        <f>IFERROR(VLOOKUP(A193&amp;"aaaa",COPY!$S$2:$AA$1000,6,FALSE)," ")</f>
        <v xml:space="preserve"> </v>
      </c>
      <c r="AD193" s="90" t="str">
        <f>IFERROR(VLOOKUP(A193&amp;"aaaaa",COPY!$S$2:$AA$1000,6,FALSE)," ")</f>
        <v xml:space="preserve"> </v>
      </c>
      <c r="AE193" s="90" t="str">
        <f>IFERROR(VLOOKUP(A193&amp;"aaaaaa",COPY!$S$2:$AA$1000,6,FALSE)," ")</f>
        <v xml:space="preserve"> </v>
      </c>
      <c r="AF193" s="90" t="str">
        <f>IFERROR(VLOOKUP(A193&amp;"aaaaaaa",COPY!$S$2:$AA$1000,6,FALSE)," ")</f>
        <v xml:space="preserve"> </v>
      </c>
      <c r="AG193" s="90" t="str">
        <f>IFERROR(VLOOKUP(A193&amp;"aaaaaaaa",COPY!$S$2:$AA$1000,6,FALSE)," ")</f>
        <v xml:space="preserve"> </v>
      </c>
      <c r="AH193" s="90" t="str">
        <f>IFERROR(VLOOKUP(A193&amp;"aaaaaaaaa",COPY!$S$2:$AA$1000,6,FALSE)," ")</f>
        <v xml:space="preserve"> </v>
      </c>
      <c r="AI193" s="90" t="str">
        <f>IFERROR(VLOOKUP(A193&amp;"aaaaaaaaaa",COPY!$S$2:$AA$1000,6,FALSE)," ")</f>
        <v xml:space="preserve"> </v>
      </c>
      <c r="AJ193" s="90" t="str">
        <f>IFERROR(VLOOKUP(A193&amp;"aaaaaaaaaaa",COPY!$S$2:$AA$1000,6,FALSE)," ")</f>
        <v xml:space="preserve"> </v>
      </c>
      <c r="AK193" s="90" t="str">
        <f>IF(LEFT(B193,2)="mg",VLOOKUP(A193,COPY!$S$2:$AA$1000,7,FALSE),IF(LEFT(B193,1)="G"," ",IF(LEFT(B193,2)="ma"," "," ")))</f>
        <v xml:space="preserve"> </v>
      </c>
      <c r="AL193" s="90" t="str">
        <f>IFERROR(VLOOKUP(A193&amp;"a",COPY!$S$2:$AA$1000,7,FALSE)," ")</f>
        <v xml:space="preserve"> </v>
      </c>
      <c r="AM193" s="90" t="str">
        <f>IFERROR(VLOOKUP(A193&amp;"aa",COPY!$S$2:$AA$1000,7,FALSE)," ")</f>
        <v xml:space="preserve"> </v>
      </c>
      <c r="AN193" s="90" t="str">
        <f>IFERROR(VLOOKUP(A193&amp;"aaa",COPY!$S$2:$AA$1000,7,FALSE)," ")</f>
        <v xml:space="preserve"> </v>
      </c>
      <c r="AO193" s="90" t="str">
        <f>IFERROR(VLOOKUP(A193&amp;"aaaa",COPY!$S$2:$AA$1000,7,FALSE)," ")</f>
        <v xml:space="preserve"> </v>
      </c>
      <c r="AP193" s="90" t="str">
        <f>IFERROR(VLOOKUP(A193&amp;"aaaaa",COPY!$S$2:$AA$1000,7,FALSE)," ")</f>
        <v xml:space="preserve"> </v>
      </c>
      <c r="AQ193" s="90" t="str">
        <f>IFERROR(VLOOKUP(A193&amp;"aaaaaa",COPY!$S$2:$AA$1000,7,FALSE)," ")</f>
        <v xml:space="preserve"> </v>
      </c>
      <c r="AR193" s="90" t="str">
        <f>IFERROR(VLOOKUP(A193&amp;"aaaaaaa",COPY!$S$2:$AA$1000,7,FALSE)," ")</f>
        <v xml:space="preserve"> </v>
      </c>
      <c r="AS193" s="90" t="str">
        <f>IFERROR(VLOOKUP(A193&amp;"aaaaaaaa",COPY!$S$2:$AA$1000,7,FALSE)," ")</f>
        <v xml:space="preserve"> </v>
      </c>
      <c r="AT193" s="90" t="str">
        <f>IFERROR(VLOOKUP(A193&amp;"aaaaaaaaa",COPY!$S$2:$AA$1000,7,FALSE)," ")</f>
        <v xml:space="preserve"> </v>
      </c>
      <c r="AU193" s="90" t="str">
        <f>IFERROR(VLOOKUP(A193&amp;"aaaaaaaaaa",COPY!$S$2:$AA$1000,7,FALSE)," ")</f>
        <v xml:space="preserve"> </v>
      </c>
      <c r="AV193" s="90" t="str">
        <f>IFERROR(VLOOKUP(A193&amp;"aaaaaaaaaaa",COPY!$S$2:$AA$1000,7,FALSE)," ")</f>
        <v xml:space="preserve"> </v>
      </c>
    </row>
    <row r="194" spans="1:48" x14ac:dyDescent="0.2">
      <c r="A194" s="75" t="str">
        <f>'REKAP PAJAK'!W231</f>
        <v/>
      </c>
      <c r="B194" s="75" t="str">
        <f>IF(LEN(A194)&gt;1,VLOOKUP(A194,COPY!$O$2:$R$1000,4,FALSE),"")</f>
        <v/>
      </c>
      <c r="C194" s="75" t="str">
        <f t="shared" si="12"/>
        <v xml:space="preserve"> </v>
      </c>
      <c r="D194" s="75" t="str">
        <f t="shared" si="13"/>
        <v xml:space="preserve"> </v>
      </c>
      <c r="E194" s="75" t="str">
        <f t="shared" si="14"/>
        <v xml:space="preserve"> </v>
      </c>
      <c r="F194" s="75" t="str">
        <f t="shared" si="15"/>
        <v xml:space="preserve"> </v>
      </c>
      <c r="G194" s="75" t="str">
        <f>IFERROR(TEXT(VLOOKUP(A194,COPY!$S$2:$W$1000,3,FALSE),"dd-mmmm-yyyy")," ")</f>
        <v xml:space="preserve"> </v>
      </c>
      <c r="H194" s="75" t="str">
        <f t="shared" si="16"/>
        <v xml:space="preserve"> </v>
      </c>
      <c r="I194" s="75" t="str">
        <f t="shared" si="17"/>
        <v xml:space="preserve"> </v>
      </c>
      <c r="J194" s="90" t="str">
        <f>IFERROR(VLOOKUP(A194,COPY!$S$2:$W$1000,4,FALSE)," ")</f>
        <v xml:space="preserve"> </v>
      </c>
      <c r="K194" s="75" t="str">
        <f>IFERROR(VLOOKUP(A194,COPY!$S$2:$W$1000,5,FALSE)," ")</f>
        <v xml:space="preserve"> </v>
      </c>
      <c r="L194" s="75" t="str">
        <f>IF(B194="","",IF(LEFT(B194,2)="Ma",(VLOOKUP(B194,'Rekap Gaji'!$C$12:$D$26,2,FALSE))&amp;" Untuk "&amp;(PROPER('Rekap Gaji'!$B$2)),IF(LEFT(B194,2)="Mg","Pembelian Material Bahan Bangunan",IF(LEFT(B194,2)="Me","Biaya Pembelanjaan Menejemen",IF(LEFT(B194,1)="G",VLOOKUP(A194,COPY!$S$2:$AA$1000,2,FALSE)&amp;"( "&amp;TEXT(VLOOKUP(B194,'Rekap Gaji'!$A$12:$I$26,5,FALSE),"dd-mm-yyyy")&amp;" "&amp;TEXT(VLOOKUP(B194,'Rekap Gaji'!$A$12:$I$26,6,FALSE)&amp;" "&amp;TEXT(VLOOKUP(B194,'Rekap Gaji'!$A$12:$I$26,7,FALSE),"dd-mm-yyyy")&amp;" )"," "))))))</f>
        <v/>
      </c>
      <c r="M194" s="75" t="str">
        <f>IF(OR(LEFT(B194,2)="mg",LEFT(B194,2)="mE"),VLOOKUP(A194,COPY!$S$2:$AA$1000,2,FALSE),IF(LEFT(B194,1)="G"," ",IF(LEFT(B194,2)="ma"," "," ")))</f>
        <v xml:space="preserve"> </v>
      </c>
      <c r="N194" s="75" t="str">
        <f>IFERROR(VLOOKUP(A194&amp;"a",COPY!$S$2:$AA$1000,2,FALSE)," ")</f>
        <v xml:space="preserve"> </v>
      </c>
      <c r="O194" s="75" t="str">
        <f>IFERROR(VLOOKUP(A194&amp;"aa",COPY!$S$2:$AA$1000,2,FALSE)," ")</f>
        <v xml:space="preserve"> </v>
      </c>
      <c r="P194" s="75" t="str">
        <f>IFERROR(VLOOKUP(A194&amp;"aaa",COPY!$S$2:$AA$1000,2,FALSE)," ")</f>
        <v xml:space="preserve"> </v>
      </c>
      <c r="Q194" s="75" t="str">
        <f>IFERROR(VLOOKUP(A194&amp;"aaaa",COPY!$S$2:$AA$1000,2,FALSE)," ")</f>
        <v xml:space="preserve"> </v>
      </c>
      <c r="R194" s="75" t="str">
        <f>IFERROR(VLOOKUP(A194&amp;"aaaaa",COPY!$S$2:$AA$1000,2,FALSE)," ")</f>
        <v xml:space="preserve"> </v>
      </c>
      <c r="S194" s="75" t="str">
        <f>IFERROR(VLOOKUP(A194&amp;"aaaaaa",COPY!$S$2:$AA$1000,2,FALSE)," ")</f>
        <v xml:space="preserve"> </v>
      </c>
      <c r="T194" s="75" t="str">
        <f>IFERROR(VLOOKUP(A194&amp;"aaaaaaa",COPY!$S$2:$AA$1000,2,FALSE)," ")</f>
        <v xml:space="preserve"> </v>
      </c>
      <c r="U194" s="75" t="str">
        <f>IFERROR(VLOOKUP(A194&amp;"aaaaaaaa",COPY!$S$2:$AA$1000,2,FALSE)," ")</f>
        <v xml:space="preserve"> </v>
      </c>
      <c r="V194" s="75" t="str">
        <f>IFERROR(VLOOKUP(A194&amp;"aaaaaaaaa",COPY!$S$2:$AA$1000,2,FALSE)," ")</f>
        <v xml:space="preserve"> </v>
      </c>
      <c r="W194" s="75" t="str">
        <f>IFERROR(VLOOKUP(A194&amp;"aaaaaaaaaa",COPY!$S$2:$AA$1000,2,FALSE)," ")</f>
        <v xml:space="preserve"> </v>
      </c>
      <c r="X194" s="75" t="str">
        <f>IFERROR(VLOOKUP(A194&amp;"aaaaaaaaaaa",COPY!$S$2:$AA$1000,2,FALSE)," ")</f>
        <v xml:space="preserve"> </v>
      </c>
      <c r="Y194" s="90" t="str">
        <f>IF(OR(LEFT(B194,2)="mg",LEFT(B194,2)="mE"),VLOOKUP(A194,COPY!$S$2:$AA$1000,6,FALSE),IF(LEFT(B194,1)="G"," ",IF(LEFT(B194,2)="ma"," "," ")))</f>
        <v xml:space="preserve"> </v>
      </c>
      <c r="Z194" s="90" t="str">
        <f>IFERROR(VLOOKUP(A194&amp;"a",COPY!$S$2:$AA$1000,6,FALSE)," ")</f>
        <v xml:space="preserve"> </v>
      </c>
      <c r="AA194" s="90" t="str">
        <f>IFERROR(VLOOKUP(A194&amp;"aa",COPY!$S$2:$AA$1000,6,FALSE)," ")</f>
        <v xml:space="preserve"> </v>
      </c>
      <c r="AB194" s="90" t="str">
        <f>IFERROR(VLOOKUP(A194&amp;"aaa",COPY!$S$2:$AA$1000,6,FALSE)," ")</f>
        <v xml:space="preserve"> </v>
      </c>
      <c r="AC194" s="90" t="str">
        <f>IFERROR(VLOOKUP(A194&amp;"aaaa",COPY!$S$2:$AA$1000,6,FALSE)," ")</f>
        <v xml:space="preserve"> </v>
      </c>
      <c r="AD194" s="90" t="str">
        <f>IFERROR(VLOOKUP(A194&amp;"aaaaa",COPY!$S$2:$AA$1000,6,FALSE)," ")</f>
        <v xml:space="preserve"> </v>
      </c>
      <c r="AE194" s="90" t="str">
        <f>IFERROR(VLOOKUP(A194&amp;"aaaaaa",COPY!$S$2:$AA$1000,6,FALSE)," ")</f>
        <v xml:space="preserve"> </v>
      </c>
      <c r="AF194" s="90" t="str">
        <f>IFERROR(VLOOKUP(A194&amp;"aaaaaaa",COPY!$S$2:$AA$1000,6,FALSE)," ")</f>
        <v xml:space="preserve"> </v>
      </c>
      <c r="AG194" s="90" t="str">
        <f>IFERROR(VLOOKUP(A194&amp;"aaaaaaaa",COPY!$S$2:$AA$1000,6,FALSE)," ")</f>
        <v xml:space="preserve"> </v>
      </c>
      <c r="AH194" s="90" t="str">
        <f>IFERROR(VLOOKUP(A194&amp;"aaaaaaaaa",COPY!$S$2:$AA$1000,6,FALSE)," ")</f>
        <v xml:space="preserve"> </v>
      </c>
      <c r="AI194" s="90" t="str">
        <f>IFERROR(VLOOKUP(A194&amp;"aaaaaaaaaa",COPY!$S$2:$AA$1000,6,FALSE)," ")</f>
        <v xml:space="preserve"> </v>
      </c>
      <c r="AJ194" s="90" t="str">
        <f>IFERROR(VLOOKUP(A194&amp;"aaaaaaaaaaa",COPY!$S$2:$AA$1000,6,FALSE)," ")</f>
        <v xml:space="preserve"> </v>
      </c>
      <c r="AK194" s="90" t="str">
        <f>IF(LEFT(B194,2)="mg",VLOOKUP(A194,COPY!$S$2:$AA$1000,7,FALSE),IF(LEFT(B194,1)="G"," ",IF(LEFT(B194,2)="ma"," "," ")))</f>
        <v xml:space="preserve"> </v>
      </c>
      <c r="AL194" s="90" t="str">
        <f>IFERROR(VLOOKUP(A194&amp;"a",COPY!$S$2:$AA$1000,7,FALSE)," ")</f>
        <v xml:space="preserve"> </v>
      </c>
      <c r="AM194" s="90" t="str">
        <f>IFERROR(VLOOKUP(A194&amp;"aa",COPY!$S$2:$AA$1000,7,FALSE)," ")</f>
        <v xml:space="preserve"> </v>
      </c>
      <c r="AN194" s="90" t="str">
        <f>IFERROR(VLOOKUP(A194&amp;"aaa",COPY!$S$2:$AA$1000,7,FALSE)," ")</f>
        <v xml:space="preserve"> </v>
      </c>
      <c r="AO194" s="90" t="str">
        <f>IFERROR(VLOOKUP(A194&amp;"aaaa",COPY!$S$2:$AA$1000,7,FALSE)," ")</f>
        <v xml:space="preserve"> </v>
      </c>
      <c r="AP194" s="90" t="str">
        <f>IFERROR(VLOOKUP(A194&amp;"aaaaa",COPY!$S$2:$AA$1000,7,FALSE)," ")</f>
        <v xml:space="preserve"> </v>
      </c>
      <c r="AQ194" s="90" t="str">
        <f>IFERROR(VLOOKUP(A194&amp;"aaaaaa",COPY!$S$2:$AA$1000,7,FALSE)," ")</f>
        <v xml:space="preserve"> </v>
      </c>
      <c r="AR194" s="90" t="str">
        <f>IFERROR(VLOOKUP(A194&amp;"aaaaaaa",COPY!$S$2:$AA$1000,7,FALSE)," ")</f>
        <v xml:space="preserve"> </v>
      </c>
      <c r="AS194" s="90" t="str">
        <f>IFERROR(VLOOKUP(A194&amp;"aaaaaaaa",COPY!$S$2:$AA$1000,7,FALSE)," ")</f>
        <v xml:space="preserve"> </v>
      </c>
      <c r="AT194" s="90" t="str">
        <f>IFERROR(VLOOKUP(A194&amp;"aaaaaaaaa",COPY!$S$2:$AA$1000,7,FALSE)," ")</f>
        <v xml:space="preserve"> </v>
      </c>
      <c r="AU194" s="90" t="str">
        <f>IFERROR(VLOOKUP(A194&amp;"aaaaaaaaaa",COPY!$S$2:$AA$1000,7,FALSE)," ")</f>
        <v xml:space="preserve"> </v>
      </c>
      <c r="AV194" s="90" t="str">
        <f>IFERROR(VLOOKUP(A194&amp;"aaaaaaaaaaa",COPY!$S$2:$AA$1000,7,FALSE)," ")</f>
        <v xml:space="preserve"> </v>
      </c>
    </row>
    <row r="195" spans="1:48" x14ac:dyDescent="0.2">
      <c r="A195" s="75" t="str">
        <f>'REKAP PAJAK'!W232</f>
        <v/>
      </c>
      <c r="B195" s="75" t="str">
        <f>IF(LEN(A195)&gt;1,VLOOKUP(A195,COPY!$O$2:$R$1000,4,FALSE),"")</f>
        <v/>
      </c>
      <c r="C195" s="75" t="str">
        <f t="shared" si="12"/>
        <v xml:space="preserve"> </v>
      </c>
      <c r="D195" s="75" t="str">
        <f t="shared" si="13"/>
        <v xml:space="preserve"> </v>
      </c>
      <c r="E195" s="75" t="str">
        <f t="shared" si="14"/>
        <v xml:space="preserve"> </v>
      </c>
      <c r="F195" s="75" t="str">
        <f t="shared" si="15"/>
        <v xml:space="preserve"> </v>
      </c>
      <c r="G195" s="75" t="str">
        <f>IFERROR(TEXT(VLOOKUP(A195,COPY!$S$2:$W$1000,3,FALSE),"dd-mmmm-yyyy")," ")</f>
        <v xml:space="preserve"> </v>
      </c>
      <c r="H195" s="75" t="str">
        <f t="shared" si="16"/>
        <v xml:space="preserve"> </v>
      </c>
      <c r="I195" s="75" t="str">
        <f t="shared" si="17"/>
        <v xml:space="preserve"> </v>
      </c>
      <c r="J195" s="90" t="str">
        <f>IFERROR(VLOOKUP(A195,COPY!$S$2:$W$1000,4,FALSE)," ")</f>
        <v xml:space="preserve"> </v>
      </c>
      <c r="K195" s="75" t="str">
        <f>IFERROR(VLOOKUP(A195,COPY!$S$2:$W$1000,5,FALSE)," ")</f>
        <v xml:space="preserve"> </v>
      </c>
      <c r="L195" s="75" t="str">
        <f>IF(B195="","",IF(LEFT(B195,2)="Ma",(VLOOKUP(B195,'Rekap Gaji'!$C$12:$D$26,2,FALSE))&amp;" Untuk "&amp;(PROPER('Rekap Gaji'!$B$2)),IF(LEFT(B195,2)="Mg","Pembelian Material Bahan Bangunan",IF(LEFT(B195,2)="Me","Biaya Pembelanjaan Menejemen",IF(LEFT(B195,1)="G",VLOOKUP(A195,COPY!$S$2:$AA$1000,2,FALSE)&amp;"( "&amp;TEXT(VLOOKUP(B195,'Rekap Gaji'!$A$12:$I$26,5,FALSE),"dd-mm-yyyy")&amp;" "&amp;TEXT(VLOOKUP(B195,'Rekap Gaji'!$A$12:$I$26,6,FALSE)&amp;" "&amp;TEXT(VLOOKUP(B195,'Rekap Gaji'!$A$12:$I$26,7,FALSE),"dd-mm-yyyy")&amp;" )"," "))))))</f>
        <v/>
      </c>
      <c r="M195" s="75" t="str">
        <f>IF(OR(LEFT(B195,2)="mg",LEFT(B195,2)="mE"),VLOOKUP(A195,COPY!$S$2:$AA$1000,2,FALSE),IF(LEFT(B195,1)="G"," ",IF(LEFT(B195,2)="ma"," "," ")))</f>
        <v xml:space="preserve"> </v>
      </c>
      <c r="N195" s="75" t="str">
        <f>IFERROR(VLOOKUP(A195&amp;"a",COPY!$S$2:$AA$1000,2,FALSE)," ")</f>
        <v xml:space="preserve"> </v>
      </c>
      <c r="O195" s="75" t="str">
        <f>IFERROR(VLOOKUP(A195&amp;"aa",COPY!$S$2:$AA$1000,2,FALSE)," ")</f>
        <v xml:space="preserve"> </v>
      </c>
      <c r="P195" s="75" t="str">
        <f>IFERROR(VLOOKUP(A195&amp;"aaa",COPY!$S$2:$AA$1000,2,FALSE)," ")</f>
        <v xml:space="preserve"> </v>
      </c>
      <c r="Q195" s="75" t="str">
        <f>IFERROR(VLOOKUP(A195&amp;"aaaa",COPY!$S$2:$AA$1000,2,FALSE)," ")</f>
        <v xml:space="preserve"> </v>
      </c>
      <c r="R195" s="75" t="str">
        <f>IFERROR(VLOOKUP(A195&amp;"aaaaa",COPY!$S$2:$AA$1000,2,FALSE)," ")</f>
        <v xml:space="preserve"> </v>
      </c>
      <c r="S195" s="75" t="str">
        <f>IFERROR(VLOOKUP(A195&amp;"aaaaaa",COPY!$S$2:$AA$1000,2,FALSE)," ")</f>
        <v xml:space="preserve"> </v>
      </c>
      <c r="T195" s="75" t="str">
        <f>IFERROR(VLOOKUP(A195&amp;"aaaaaaa",COPY!$S$2:$AA$1000,2,FALSE)," ")</f>
        <v xml:space="preserve"> </v>
      </c>
      <c r="U195" s="75" t="str">
        <f>IFERROR(VLOOKUP(A195&amp;"aaaaaaaa",COPY!$S$2:$AA$1000,2,FALSE)," ")</f>
        <v xml:space="preserve"> </v>
      </c>
      <c r="V195" s="75" t="str">
        <f>IFERROR(VLOOKUP(A195&amp;"aaaaaaaaa",COPY!$S$2:$AA$1000,2,FALSE)," ")</f>
        <v xml:space="preserve"> </v>
      </c>
      <c r="W195" s="75" t="str">
        <f>IFERROR(VLOOKUP(A195&amp;"aaaaaaaaaa",COPY!$S$2:$AA$1000,2,FALSE)," ")</f>
        <v xml:space="preserve"> </v>
      </c>
      <c r="X195" s="75" t="str">
        <f>IFERROR(VLOOKUP(A195&amp;"aaaaaaaaaaa",COPY!$S$2:$AA$1000,2,FALSE)," ")</f>
        <v xml:space="preserve"> </v>
      </c>
      <c r="Y195" s="90" t="str">
        <f>IF(OR(LEFT(B195,2)="mg",LEFT(B195,2)="mE"),VLOOKUP(A195,COPY!$S$2:$AA$1000,6,FALSE),IF(LEFT(B195,1)="G"," ",IF(LEFT(B195,2)="ma"," "," ")))</f>
        <v xml:space="preserve"> </v>
      </c>
      <c r="Z195" s="90" t="str">
        <f>IFERROR(VLOOKUP(A195&amp;"a",COPY!$S$2:$AA$1000,6,FALSE)," ")</f>
        <v xml:space="preserve"> </v>
      </c>
      <c r="AA195" s="90" t="str">
        <f>IFERROR(VLOOKUP(A195&amp;"aa",COPY!$S$2:$AA$1000,6,FALSE)," ")</f>
        <v xml:space="preserve"> </v>
      </c>
      <c r="AB195" s="90" t="str">
        <f>IFERROR(VLOOKUP(A195&amp;"aaa",COPY!$S$2:$AA$1000,6,FALSE)," ")</f>
        <v xml:space="preserve"> </v>
      </c>
      <c r="AC195" s="90" t="str">
        <f>IFERROR(VLOOKUP(A195&amp;"aaaa",COPY!$S$2:$AA$1000,6,FALSE)," ")</f>
        <v xml:space="preserve"> </v>
      </c>
      <c r="AD195" s="90" t="str">
        <f>IFERROR(VLOOKUP(A195&amp;"aaaaa",COPY!$S$2:$AA$1000,6,FALSE)," ")</f>
        <v xml:space="preserve"> </v>
      </c>
      <c r="AE195" s="90" t="str">
        <f>IFERROR(VLOOKUP(A195&amp;"aaaaaa",COPY!$S$2:$AA$1000,6,FALSE)," ")</f>
        <v xml:space="preserve"> </v>
      </c>
      <c r="AF195" s="90" t="str">
        <f>IFERROR(VLOOKUP(A195&amp;"aaaaaaa",COPY!$S$2:$AA$1000,6,FALSE)," ")</f>
        <v xml:space="preserve"> </v>
      </c>
      <c r="AG195" s="90" t="str">
        <f>IFERROR(VLOOKUP(A195&amp;"aaaaaaaa",COPY!$S$2:$AA$1000,6,FALSE)," ")</f>
        <v xml:space="preserve"> </v>
      </c>
      <c r="AH195" s="90" t="str">
        <f>IFERROR(VLOOKUP(A195&amp;"aaaaaaaaa",COPY!$S$2:$AA$1000,6,FALSE)," ")</f>
        <v xml:space="preserve"> </v>
      </c>
      <c r="AI195" s="90" t="str">
        <f>IFERROR(VLOOKUP(A195&amp;"aaaaaaaaaa",COPY!$S$2:$AA$1000,6,FALSE)," ")</f>
        <v xml:space="preserve"> </v>
      </c>
      <c r="AJ195" s="90" t="str">
        <f>IFERROR(VLOOKUP(A195&amp;"aaaaaaaaaaa",COPY!$S$2:$AA$1000,6,FALSE)," ")</f>
        <v xml:space="preserve"> </v>
      </c>
      <c r="AK195" s="90" t="str">
        <f>IF(LEFT(B195,2)="mg",VLOOKUP(A195,COPY!$S$2:$AA$1000,7,FALSE),IF(LEFT(B195,1)="G"," ",IF(LEFT(B195,2)="ma"," "," ")))</f>
        <v xml:space="preserve"> </v>
      </c>
      <c r="AL195" s="90" t="str">
        <f>IFERROR(VLOOKUP(A195&amp;"a",COPY!$S$2:$AA$1000,7,FALSE)," ")</f>
        <v xml:space="preserve"> </v>
      </c>
      <c r="AM195" s="90" t="str">
        <f>IFERROR(VLOOKUP(A195&amp;"aa",COPY!$S$2:$AA$1000,7,FALSE)," ")</f>
        <v xml:space="preserve"> </v>
      </c>
      <c r="AN195" s="90" t="str">
        <f>IFERROR(VLOOKUP(A195&amp;"aaa",COPY!$S$2:$AA$1000,7,FALSE)," ")</f>
        <v xml:space="preserve"> </v>
      </c>
      <c r="AO195" s="90" t="str">
        <f>IFERROR(VLOOKUP(A195&amp;"aaaa",COPY!$S$2:$AA$1000,7,FALSE)," ")</f>
        <v xml:space="preserve"> </v>
      </c>
      <c r="AP195" s="90" t="str">
        <f>IFERROR(VLOOKUP(A195&amp;"aaaaa",COPY!$S$2:$AA$1000,7,FALSE)," ")</f>
        <v xml:space="preserve"> </v>
      </c>
      <c r="AQ195" s="90" t="str">
        <f>IFERROR(VLOOKUP(A195&amp;"aaaaaa",COPY!$S$2:$AA$1000,7,FALSE)," ")</f>
        <v xml:space="preserve"> </v>
      </c>
      <c r="AR195" s="90" t="str">
        <f>IFERROR(VLOOKUP(A195&amp;"aaaaaaa",COPY!$S$2:$AA$1000,7,FALSE)," ")</f>
        <v xml:space="preserve"> </v>
      </c>
      <c r="AS195" s="90" t="str">
        <f>IFERROR(VLOOKUP(A195&amp;"aaaaaaaa",COPY!$S$2:$AA$1000,7,FALSE)," ")</f>
        <v xml:space="preserve"> </v>
      </c>
      <c r="AT195" s="90" t="str">
        <f>IFERROR(VLOOKUP(A195&amp;"aaaaaaaaa",COPY!$S$2:$AA$1000,7,FALSE)," ")</f>
        <v xml:space="preserve"> </v>
      </c>
      <c r="AU195" s="90" t="str">
        <f>IFERROR(VLOOKUP(A195&amp;"aaaaaaaaaa",COPY!$S$2:$AA$1000,7,FALSE)," ")</f>
        <v xml:space="preserve"> </v>
      </c>
      <c r="AV195" s="90" t="str">
        <f>IFERROR(VLOOKUP(A195&amp;"aaaaaaaaaaa",COPY!$S$2:$AA$1000,7,FALSE)," ")</f>
        <v xml:space="preserve"> </v>
      </c>
    </row>
    <row r="196" spans="1:48" x14ac:dyDescent="0.2">
      <c r="A196" s="75" t="str">
        <f>'REKAP PAJAK'!W233</f>
        <v/>
      </c>
      <c r="B196" s="75" t="str">
        <f>IF(LEN(A196)&gt;1,VLOOKUP(A196,COPY!$O$2:$R$1000,4,FALSE),"")</f>
        <v/>
      </c>
      <c r="C196" s="75" t="str">
        <f t="shared" ref="C196:C251" si="18">IF(LEFT(B196,1)="m",C195,IF(LEFT(B196,1)="G",C195," "))</f>
        <v xml:space="preserve"> </v>
      </c>
      <c r="D196" s="75" t="str">
        <f t="shared" ref="D196:D251" si="19">IF(LEFT(B196,1)="m",D195,IF(LEFT(B196,1)="G",D195," "))</f>
        <v xml:space="preserve"> </v>
      </c>
      <c r="E196" s="75" t="str">
        <f t="shared" ref="E196:E251" si="20">IF(LEFT(B196,1)="m",E195,IF(LEFT(B196,1)="G",E195," "))</f>
        <v xml:space="preserve"> </v>
      </c>
      <c r="F196" s="75" t="str">
        <f t="shared" ref="F196:F251" si="21">IF(LEFT(B196,1)="m",F195,IF(LEFT(B196,1)="G",F195," "))</f>
        <v xml:space="preserve"> </v>
      </c>
      <c r="G196" s="75" t="str">
        <f>IFERROR(TEXT(VLOOKUP(A196,COPY!$S$2:$W$1000,3,FALSE),"dd-mmmm-yyyy")," ")</f>
        <v xml:space="preserve"> </v>
      </c>
      <c r="H196" s="75" t="str">
        <f t="shared" ref="H196:H251" si="22">IF(LEFT(B196,1)="m",H195,IF(LEFT(B196,1)="G",H195," "))</f>
        <v xml:space="preserve"> </v>
      </c>
      <c r="I196" s="75" t="str">
        <f t="shared" ref="I196:I251" si="23">IF(LEFT(B196,1)="m",I195,IF(LEFT(B196,1)="G",I195," "))</f>
        <v xml:space="preserve"> </v>
      </c>
      <c r="J196" s="90" t="str">
        <f>IFERROR(VLOOKUP(A196,COPY!$S$2:$W$1000,4,FALSE)," ")</f>
        <v xml:space="preserve"> </v>
      </c>
      <c r="K196" s="75" t="str">
        <f>IFERROR(VLOOKUP(A196,COPY!$S$2:$W$1000,5,FALSE)," ")</f>
        <v xml:space="preserve"> </v>
      </c>
      <c r="L196" s="75" t="str">
        <f>IF(B196="","",IF(LEFT(B196,2)="Ma",(VLOOKUP(B196,'Rekap Gaji'!$C$12:$D$26,2,FALSE))&amp;" Untuk "&amp;(PROPER('Rekap Gaji'!$B$2)),IF(LEFT(B196,2)="Mg","Pembelian Material Bahan Bangunan",IF(LEFT(B196,2)="Me","Biaya Pembelanjaan Menejemen",IF(LEFT(B196,1)="G",VLOOKUP(A196,COPY!$S$2:$AA$1000,2,FALSE)&amp;"( "&amp;TEXT(VLOOKUP(B196,'Rekap Gaji'!$A$12:$I$26,5,FALSE),"dd-mm-yyyy")&amp;" "&amp;TEXT(VLOOKUP(B196,'Rekap Gaji'!$A$12:$I$26,6,FALSE)&amp;" "&amp;TEXT(VLOOKUP(B196,'Rekap Gaji'!$A$12:$I$26,7,FALSE),"dd-mm-yyyy")&amp;" )"," "))))))</f>
        <v/>
      </c>
      <c r="M196" s="75" t="str">
        <f>IF(OR(LEFT(B196,2)="mg",LEFT(B196,2)="mE"),VLOOKUP(A196,COPY!$S$2:$AA$1000,2,FALSE),IF(LEFT(B196,1)="G"," ",IF(LEFT(B196,2)="ma"," "," ")))</f>
        <v xml:space="preserve"> </v>
      </c>
      <c r="N196" s="75" t="str">
        <f>IFERROR(VLOOKUP(A196&amp;"a",COPY!$S$2:$AA$1000,2,FALSE)," ")</f>
        <v xml:space="preserve"> </v>
      </c>
      <c r="O196" s="75" t="str">
        <f>IFERROR(VLOOKUP(A196&amp;"aa",COPY!$S$2:$AA$1000,2,FALSE)," ")</f>
        <v xml:space="preserve"> </v>
      </c>
      <c r="P196" s="75" t="str">
        <f>IFERROR(VLOOKUP(A196&amp;"aaa",COPY!$S$2:$AA$1000,2,FALSE)," ")</f>
        <v xml:space="preserve"> </v>
      </c>
      <c r="Q196" s="75" t="str">
        <f>IFERROR(VLOOKUP(A196&amp;"aaaa",COPY!$S$2:$AA$1000,2,FALSE)," ")</f>
        <v xml:space="preserve"> </v>
      </c>
      <c r="R196" s="75" t="str">
        <f>IFERROR(VLOOKUP(A196&amp;"aaaaa",COPY!$S$2:$AA$1000,2,FALSE)," ")</f>
        <v xml:space="preserve"> </v>
      </c>
      <c r="S196" s="75" t="str">
        <f>IFERROR(VLOOKUP(A196&amp;"aaaaaa",COPY!$S$2:$AA$1000,2,FALSE)," ")</f>
        <v xml:space="preserve"> </v>
      </c>
      <c r="T196" s="75" t="str">
        <f>IFERROR(VLOOKUP(A196&amp;"aaaaaaa",COPY!$S$2:$AA$1000,2,FALSE)," ")</f>
        <v xml:space="preserve"> </v>
      </c>
      <c r="U196" s="75" t="str">
        <f>IFERROR(VLOOKUP(A196&amp;"aaaaaaaa",COPY!$S$2:$AA$1000,2,FALSE)," ")</f>
        <v xml:space="preserve"> </v>
      </c>
      <c r="V196" s="75" t="str">
        <f>IFERROR(VLOOKUP(A196&amp;"aaaaaaaaa",COPY!$S$2:$AA$1000,2,FALSE)," ")</f>
        <v xml:space="preserve"> </v>
      </c>
      <c r="W196" s="75" t="str">
        <f>IFERROR(VLOOKUP(A196&amp;"aaaaaaaaaa",COPY!$S$2:$AA$1000,2,FALSE)," ")</f>
        <v xml:space="preserve"> </v>
      </c>
      <c r="X196" s="75" t="str">
        <f>IFERROR(VLOOKUP(A196&amp;"aaaaaaaaaaa",COPY!$S$2:$AA$1000,2,FALSE)," ")</f>
        <v xml:space="preserve"> </v>
      </c>
      <c r="Y196" s="90" t="str">
        <f>IF(OR(LEFT(B196,2)="mg",LEFT(B196,2)="mE"),VLOOKUP(A196,COPY!$S$2:$AA$1000,6,FALSE),IF(LEFT(B196,1)="G"," ",IF(LEFT(B196,2)="ma"," "," ")))</f>
        <v xml:space="preserve"> </v>
      </c>
      <c r="Z196" s="90" t="str">
        <f>IFERROR(VLOOKUP(A196&amp;"a",COPY!$S$2:$AA$1000,6,FALSE)," ")</f>
        <v xml:space="preserve"> </v>
      </c>
      <c r="AA196" s="90" t="str">
        <f>IFERROR(VLOOKUP(A196&amp;"aa",COPY!$S$2:$AA$1000,6,FALSE)," ")</f>
        <v xml:space="preserve"> </v>
      </c>
      <c r="AB196" s="90" t="str">
        <f>IFERROR(VLOOKUP(A196&amp;"aaa",COPY!$S$2:$AA$1000,6,FALSE)," ")</f>
        <v xml:space="preserve"> </v>
      </c>
      <c r="AC196" s="90" t="str">
        <f>IFERROR(VLOOKUP(A196&amp;"aaaa",COPY!$S$2:$AA$1000,6,FALSE)," ")</f>
        <v xml:space="preserve"> </v>
      </c>
      <c r="AD196" s="90" t="str">
        <f>IFERROR(VLOOKUP(A196&amp;"aaaaa",COPY!$S$2:$AA$1000,6,FALSE)," ")</f>
        <v xml:space="preserve"> </v>
      </c>
      <c r="AE196" s="90" t="str">
        <f>IFERROR(VLOOKUP(A196&amp;"aaaaaa",COPY!$S$2:$AA$1000,6,FALSE)," ")</f>
        <v xml:space="preserve"> </v>
      </c>
      <c r="AF196" s="90" t="str">
        <f>IFERROR(VLOOKUP(A196&amp;"aaaaaaa",COPY!$S$2:$AA$1000,6,FALSE)," ")</f>
        <v xml:space="preserve"> </v>
      </c>
      <c r="AG196" s="90" t="str">
        <f>IFERROR(VLOOKUP(A196&amp;"aaaaaaaa",COPY!$S$2:$AA$1000,6,FALSE)," ")</f>
        <v xml:space="preserve"> </v>
      </c>
      <c r="AH196" s="90" t="str">
        <f>IFERROR(VLOOKUP(A196&amp;"aaaaaaaaa",COPY!$S$2:$AA$1000,6,FALSE)," ")</f>
        <v xml:space="preserve"> </v>
      </c>
      <c r="AI196" s="90" t="str">
        <f>IFERROR(VLOOKUP(A196&amp;"aaaaaaaaaa",COPY!$S$2:$AA$1000,6,FALSE)," ")</f>
        <v xml:space="preserve"> </v>
      </c>
      <c r="AJ196" s="90" t="str">
        <f>IFERROR(VLOOKUP(A196&amp;"aaaaaaaaaaa",COPY!$S$2:$AA$1000,6,FALSE)," ")</f>
        <v xml:space="preserve"> </v>
      </c>
      <c r="AK196" s="90" t="str">
        <f>IF(LEFT(B196,2)="mg",VLOOKUP(A196,COPY!$S$2:$AA$1000,7,FALSE),IF(LEFT(B196,1)="G"," ",IF(LEFT(B196,2)="ma"," "," ")))</f>
        <v xml:space="preserve"> </v>
      </c>
      <c r="AL196" s="90" t="str">
        <f>IFERROR(VLOOKUP(A196&amp;"a",COPY!$S$2:$AA$1000,7,FALSE)," ")</f>
        <v xml:space="preserve"> </v>
      </c>
      <c r="AM196" s="90" t="str">
        <f>IFERROR(VLOOKUP(A196&amp;"aa",COPY!$S$2:$AA$1000,7,FALSE)," ")</f>
        <v xml:space="preserve"> </v>
      </c>
      <c r="AN196" s="90" t="str">
        <f>IFERROR(VLOOKUP(A196&amp;"aaa",COPY!$S$2:$AA$1000,7,FALSE)," ")</f>
        <v xml:space="preserve"> </v>
      </c>
      <c r="AO196" s="90" t="str">
        <f>IFERROR(VLOOKUP(A196&amp;"aaaa",COPY!$S$2:$AA$1000,7,FALSE)," ")</f>
        <v xml:space="preserve"> </v>
      </c>
      <c r="AP196" s="90" t="str">
        <f>IFERROR(VLOOKUP(A196&amp;"aaaaa",COPY!$S$2:$AA$1000,7,FALSE)," ")</f>
        <v xml:space="preserve"> </v>
      </c>
      <c r="AQ196" s="90" t="str">
        <f>IFERROR(VLOOKUP(A196&amp;"aaaaaa",COPY!$S$2:$AA$1000,7,FALSE)," ")</f>
        <v xml:space="preserve"> </v>
      </c>
      <c r="AR196" s="90" t="str">
        <f>IFERROR(VLOOKUP(A196&amp;"aaaaaaa",COPY!$S$2:$AA$1000,7,FALSE)," ")</f>
        <v xml:space="preserve"> </v>
      </c>
      <c r="AS196" s="90" t="str">
        <f>IFERROR(VLOOKUP(A196&amp;"aaaaaaaa",COPY!$S$2:$AA$1000,7,FALSE)," ")</f>
        <v xml:space="preserve"> </v>
      </c>
      <c r="AT196" s="90" t="str">
        <f>IFERROR(VLOOKUP(A196&amp;"aaaaaaaaa",COPY!$S$2:$AA$1000,7,FALSE)," ")</f>
        <v xml:space="preserve"> </v>
      </c>
      <c r="AU196" s="90" t="str">
        <f>IFERROR(VLOOKUP(A196&amp;"aaaaaaaaaa",COPY!$S$2:$AA$1000,7,FALSE)," ")</f>
        <v xml:space="preserve"> </v>
      </c>
      <c r="AV196" s="90" t="str">
        <f>IFERROR(VLOOKUP(A196&amp;"aaaaaaaaaaa",COPY!$S$2:$AA$1000,7,FALSE)," ")</f>
        <v xml:space="preserve"> </v>
      </c>
    </row>
    <row r="197" spans="1:48" x14ac:dyDescent="0.2">
      <c r="A197" s="75" t="str">
        <f>'REKAP PAJAK'!W234</f>
        <v/>
      </c>
      <c r="B197" s="75" t="str">
        <f>IF(LEN(A197)&gt;1,VLOOKUP(A197,COPY!$O$2:$R$1000,4,FALSE),"")</f>
        <v/>
      </c>
      <c r="C197" s="75" t="str">
        <f t="shared" si="18"/>
        <v xml:space="preserve"> </v>
      </c>
      <c r="D197" s="75" t="str">
        <f t="shared" si="19"/>
        <v xml:space="preserve"> </v>
      </c>
      <c r="E197" s="75" t="str">
        <f t="shared" si="20"/>
        <v xml:space="preserve"> </v>
      </c>
      <c r="F197" s="75" t="str">
        <f t="shared" si="21"/>
        <v xml:space="preserve"> </v>
      </c>
      <c r="G197" s="75" t="str">
        <f>IFERROR(TEXT(VLOOKUP(A197,COPY!$S$2:$W$1000,3,FALSE),"dd-mmmm-yyyy")," ")</f>
        <v xml:space="preserve"> </v>
      </c>
      <c r="H197" s="75" t="str">
        <f t="shared" si="22"/>
        <v xml:space="preserve"> </v>
      </c>
      <c r="I197" s="75" t="str">
        <f t="shared" si="23"/>
        <v xml:space="preserve"> </v>
      </c>
      <c r="J197" s="90" t="str">
        <f>IFERROR(VLOOKUP(A197,COPY!$S$2:$W$1000,4,FALSE)," ")</f>
        <v xml:space="preserve"> </v>
      </c>
      <c r="K197" s="75" t="str">
        <f>IFERROR(VLOOKUP(A197,COPY!$S$2:$W$1000,5,FALSE)," ")</f>
        <v xml:space="preserve"> </v>
      </c>
      <c r="L197" s="75" t="str">
        <f>IF(B197="","",IF(LEFT(B197,2)="Ma",(VLOOKUP(B197,'Rekap Gaji'!$C$12:$D$26,2,FALSE))&amp;" Untuk "&amp;(PROPER('Rekap Gaji'!$B$2)),IF(LEFT(B197,2)="Mg","Pembelian Material Bahan Bangunan",IF(LEFT(B197,2)="Me","Biaya Pembelanjaan Menejemen",IF(LEFT(B197,1)="G",VLOOKUP(A197,COPY!$S$2:$AA$1000,2,FALSE)&amp;"( "&amp;TEXT(VLOOKUP(B197,'Rekap Gaji'!$A$12:$I$26,5,FALSE),"dd-mm-yyyy")&amp;" "&amp;TEXT(VLOOKUP(B197,'Rekap Gaji'!$A$12:$I$26,6,FALSE)&amp;" "&amp;TEXT(VLOOKUP(B197,'Rekap Gaji'!$A$12:$I$26,7,FALSE),"dd-mm-yyyy")&amp;" )"," "))))))</f>
        <v/>
      </c>
      <c r="M197" s="75" t="str">
        <f>IF(OR(LEFT(B197,2)="mg",LEFT(B197,2)="mE"),VLOOKUP(A197,COPY!$S$2:$AA$1000,2,FALSE),IF(LEFT(B197,1)="G"," ",IF(LEFT(B197,2)="ma"," "," ")))</f>
        <v xml:space="preserve"> </v>
      </c>
      <c r="N197" s="75" t="str">
        <f>IFERROR(VLOOKUP(A197&amp;"a",COPY!$S$2:$AA$1000,2,FALSE)," ")</f>
        <v xml:space="preserve"> </v>
      </c>
      <c r="O197" s="75" t="str">
        <f>IFERROR(VLOOKUP(A197&amp;"aa",COPY!$S$2:$AA$1000,2,FALSE)," ")</f>
        <v xml:space="preserve"> </v>
      </c>
      <c r="P197" s="75" t="str">
        <f>IFERROR(VLOOKUP(A197&amp;"aaa",COPY!$S$2:$AA$1000,2,FALSE)," ")</f>
        <v xml:space="preserve"> </v>
      </c>
      <c r="Q197" s="75" t="str">
        <f>IFERROR(VLOOKUP(A197&amp;"aaaa",COPY!$S$2:$AA$1000,2,FALSE)," ")</f>
        <v xml:space="preserve"> </v>
      </c>
      <c r="R197" s="75" t="str">
        <f>IFERROR(VLOOKUP(A197&amp;"aaaaa",COPY!$S$2:$AA$1000,2,FALSE)," ")</f>
        <v xml:space="preserve"> </v>
      </c>
      <c r="S197" s="75" t="str">
        <f>IFERROR(VLOOKUP(A197&amp;"aaaaaa",COPY!$S$2:$AA$1000,2,FALSE)," ")</f>
        <v xml:space="preserve"> </v>
      </c>
      <c r="T197" s="75" t="str">
        <f>IFERROR(VLOOKUP(A197&amp;"aaaaaaa",COPY!$S$2:$AA$1000,2,FALSE)," ")</f>
        <v xml:space="preserve"> </v>
      </c>
      <c r="U197" s="75" t="str">
        <f>IFERROR(VLOOKUP(A197&amp;"aaaaaaaa",COPY!$S$2:$AA$1000,2,FALSE)," ")</f>
        <v xml:space="preserve"> </v>
      </c>
      <c r="V197" s="75" t="str">
        <f>IFERROR(VLOOKUP(A197&amp;"aaaaaaaaa",COPY!$S$2:$AA$1000,2,FALSE)," ")</f>
        <v xml:space="preserve"> </v>
      </c>
      <c r="W197" s="75" t="str">
        <f>IFERROR(VLOOKUP(A197&amp;"aaaaaaaaaa",COPY!$S$2:$AA$1000,2,FALSE)," ")</f>
        <v xml:space="preserve"> </v>
      </c>
      <c r="X197" s="75" t="str">
        <f>IFERROR(VLOOKUP(A197&amp;"aaaaaaaaaaa",COPY!$S$2:$AA$1000,2,FALSE)," ")</f>
        <v xml:space="preserve"> </v>
      </c>
      <c r="Y197" s="90" t="str">
        <f>IF(OR(LEFT(B197,2)="mg",LEFT(B197,2)="mE"),VLOOKUP(A197,COPY!$S$2:$AA$1000,6,FALSE),IF(LEFT(B197,1)="G"," ",IF(LEFT(B197,2)="ma"," "," ")))</f>
        <v xml:space="preserve"> </v>
      </c>
      <c r="Z197" s="90" t="str">
        <f>IFERROR(VLOOKUP(A197&amp;"a",COPY!$S$2:$AA$1000,6,FALSE)," ")</f>
        <v xml:space="preserve"> </v>
      </c>
      <c r="AA197" s="90" t="str">
        <f>IFERROR(VLOOKUP(A197&amp;"aa",COPY!$S$2:$AA$1000,6,FALSE)," ")</f>
        <v xml:space="preserve"> </v>
      </c>
      <c r="AB197" s="90" t="str">
        <f>IFERROR(VLOOKUP(A197&amp;"aaa",COPY!$S$2:$AA$1000,6,FALSE)," ")</f>
        <v xml:space="preserve"> </v>
      </c>
      <c r="AC197" s="90" t="str">
        <f>IFERROR(VLOOKUP(A197&amp;"aaaa",COPY!$S$2:$AA$1000,6,FALSE)," ")</f>
        <v xml:space="preserve"> </v>
      </c>
      <c r="AD197" s="90" t="str">
        <f>IFERROR(VLOOKUP(A197&amp;"aaaaa",COPY!$S$2:$AA$1000,6,FALSE)," ")</f>
        <v xml:space="preserve"> </v>
      </c>
      <c r="AE197" s="90" t="str">
        <f>IFERROR(VLOOKUP(A197&amp;"aaaaaa",COPY!$S$2:$AA$1000,6,FALSE)," ")</f>
        <v xml:space="preserve"> </v>
      </c>
      <c r="AF197" s="90" t="str">
        <f>IFERROR(VLOOKUP(A197&amp;"aaaaaaa",COPY!$S$2:$AA$1000,6,FALSE)," ")</f>
        <v xml:space="preserve"> </v>
      </c>
      <c r="AG197" s="90" t="str">
        <f>IFERROR(VLOOKUP(A197&amp;"aaaaaaaa",COPY!$S$2:$AA$1000,6,FALSE)," ")</f>
        <v xml:space="preserve"> </v>
      </c>
      <c r="AH197" s="90" t="str">
        <f>IFERROR(VLOOKUP(A197&amp;"aaaaaaaaa",COPY!$S$2:$AA$1000,6,FALSE)," ")</f>
        <v xml:space="preserve"> </v>
      </c>
      <c r="AI197" s="90" t="str">
        <f>IFERROR(VLOOKUP(A197&amp;"aaaaaaaaaa",COPY!$S$2:$AA$1000,6,FALSE)," ")</f>
        <v xml:space="preserve"> </v>
      </c>
      <c r="AJ197" s="90" t="str">
        <f>IFERROR(VLOOKUP(A197&amp;"aaaaaaaaaaa",COPY!$S$2:$AA$1000,6,FALSE)," ")</f>
        <v xml:space="preserve"> </v>
      </c>
      <c r="AK197" s="90" t="str">
        <f>IF(LEFT(B197,2)="mg",VLOOKUP(A197,COPY!$S$2:$AA$1000,7,FALSE),IF(LEFT(B197,1)="G"," ",IF(LEFT(B197,2)="ma"," "," ")))</f>
        <v xml:space="preserve"> </v>
      </c>
      <c r="AL197" s="90" t="str">
        <f>IFERROR(VLOOKUP(A197&amp;"a",COPY!$S$2:$AA$1000,7,FALSE)," ")</f>
        <v xml:space="preserve"> </v>
      </c>
      <c r="AM197" s="90" t="str">
        <f>IFERROR(VLOOKUP(A197&amp;"aa",COPY!$S$2:$AA$1000,7,FALSE)," ")</f>
        <v xml:space="preserve"> </v>
      </c>
      <c r="AN197" s="90" t="str">
        <f>IFERROR(VLOOKUP(A197&amp;"aaa",COPY!$S$2:$AA$1000,7,FALSE)," ")</f>
        <v xml:space="preserve"> </v>
      </c>
      <c r="AO197" s="90" t="str">
        <f>IFERROR(VLOOKUP(A197&amp;"aaaa",COPY!$S$2:$AA$1000,7,FALSE)," ")</f>
        <v xml:space="preserve"> </v>
      </c>
      <c r="AP197" s="90" t="str">
        <f>IFERROR(VLOOKUP(A197&amp;"aaaaa",COPY!$S$2:$AA$1000,7,FALSE)," ")</f>
        <v xml:space="preserve"> </v>
      </c>
      <c r="AQ197" s="90" t="str">
        <f>IFERROR(VLOOKUP(A197&amp;"aaaaaa",COPY!$S$2:$AA$1000,7,FALSE)," ")</f>
        <v xml:space="preserve"> </v>
      </c>
      <c r="AR197" s="90" t="str">
        <f>IFERROR(VLOOKUP(A197&amp;"aaaaaaa",COPY!$S$2:$AA$1000,7,FALSE)," ")</f>
        <v xml:space="preserve"> </v>
      </c>
      <c r="AS197" s="90" t="str">
        <f>IFERROR(VLOOKUP(A197&amp;"aaaaaaaa",COPY!$S$2:$AA$1000,7,FALSE)," ")</f>
        <v xml:space="preserve"> </v>
      </c>
      <c r="AT197" s="90" t="str">
        <f>IFERROR(VLOOKUP(A197&amp;"aaaaaaaaa",COPY!$S$2:$AA$1000,7,FALSE)," ")</f>
        <v xml:space="preserve"> </v>
      </c>
      <c r="AU197" s="90" t="str">
        <f>IFERROR(VLOOKUP(A197&amp;"aaaaaaaaaa",COPY!$S$2:$AA$1000,7,FALSE)," ")</f>
        <v xml:space="preserve"> </v>
      </c>
      <c r="AV197" s="90" t="str">
        <f>IFERROR(VLOOKUP(A197&amp;"aaaaaaaaaaa",COPY!$S$2:$AA$1000,7,FALSE)," ")</f>
        <v xml:space="preserve"> </v>
      </c>
    </row>
    <row r="198" spans="1:48" x14ac:dyDescent="0.2">
      <c r="A198" s="75" t="str">
        <f>'REKAP PAJAK'!W235</f>
        <v/>
      </c>
      <c r="B198" s="75" t="str">
        <f>IF(LEN(A198)&gt;1,VLOOKUP(A198,COPY!$O$2:$R$1000,4,FALSE),"")</f>
        <v/>
      </c>
      <c r="C198" s="75" t="str">
        <f t="shared" si="18"/>
        <v xml:space="preserve"> </v>
      </c>
      <c r="D198" s="75" t="str">
        <f t="shared" si="19"/>
        <v xml:space="preserve"> </v>
      </c>
      <c r="E198" s="75" t="str">
        <f t="shared" si="20"/>
        <v xml:space="preserve"> </v>
      </c>
      <c r="F198" s="75" t="str">
        <f t="shared" si="21"/>
        <v xml:space="preserve"> </v>
      </c>
      <c r="G198" s="75" t="str">
        <f>IFERROR(TEXT(VLOOKUP(A198,COPY!$S$2:$W$1000,3,FALSE),"dd-mmmm-yyyy")," ")</f>
        <v xml:space="preserve"> </v>
      </c>
      <c r="H198" s="75" t="str">
        <f t="shared" si="22"/>
        <v xml:space="preserve"> </v>
      </c>
      <c r="I198" s="75" t="str">
        <f t="shared" si="23"/>
        <v xml:space="preserve"> </v>
      </c>
      <c r="J198" s="90" t="str">
        <f>IFERROR(VLOOKUP(A198,COPY!$S$2:$W$1000,4,FALSE)," ")</f>
        <v xml:space="preserve"> </v>
      </c>
      <c r="K198" s="75" t="str">
        <f>IFERROR(VLOOKUP(A198,COPY!$S$2:$W$1000,5,FALSE)," ")</f>
        <v xml:space="preserve"> </v>
      </c>
      <c r="L198" s="75" t="str">
        <f>IF(B198="","",IF(LEFT(B198,2)="Ma",(VLOOKUP(B198,'Rekap Gaji'!$C$12:$D$26,2,FALSE))&amp;" Untuk "&amp;(PROPER('Rekap Gaji'!$B$2)),IF(LEFT(B198,2)="Mg","Pembelian Material Bahan Bangunan",IF(LEFT(B198,2)="Me","Biaya Pembelanjaan Menejemen",IF(LEFT(B198,1)="G",VLOOKUP(A198,COPY!$S$2:$AA$1000,2,FALSE)&amp;"( "&amp;TEXT(VLOOKUP(B198,'Rekap Gaji'!$A$12:$I$26,5,FALSE),"dd-mm-yyyy")&amp;" "&amp;TEXT(VLOOKUP(B198,'Rekap Gaji'!$A$12:$I$26,6,FALSE)&amp;" "&amp;TEXT(VLOOKUP(B198,'Rekap Gaji'!$A$12:$I$26,7,FALSE),"dd-mm-yyyy")&amp;" )"," "))))))</f>
        <v/>
      </c>
      <c r="M198" s="75" t="str">
        <f>IF(OR(LEFT(B198,2)="mg",LEFT(B198,2)="mE"),VLOOKUP(A198,COPY!$S$2:$AA$1000,2,FALSE),IF(LEFT(B198,1)="G"," ",IF(LEFT(B198,2)="ma"," "," ")))</f>
        <v xml:space="preserve"> </v>
      </c>
      <c r="N198" s="75" t="str">
        <f>IFERROR(VLOOKUP(A198&amp;"a",COPY!$S$2:$AA$1000,2,FALSE)," ")</f>
        <v xml:space="preserve"> </v>
      </c>
      <c r="O198" s="75" t="str">
        <f>IFERROR(VLOOKUP(A198&amp;"aa",COPY!$S$2:$AA$1000,2,FALSE)," ")</f>
        <v xml:space="preserve"> </v>
      </c>
      <c r="P198" s="75" t="str">
        <f>IFERROR(VLOOKUP(A198&amp;"aaa",COPY!$S$2:$AA$1000,2,FALSE)," ")</f>
        <v xml:space="preserve"> </v>
      </c>
      <c r="Q198" s="75" t="str">
        <f>IFERROR(VLOOKUP(A198&amp;"aaaa",COPY!$S$2:$AA$1000,2,FALSE)," ")</f>
        <v xml:space="preserve"> </v>
      </c>
      <c r="R198" s="75" t="str">
        <f>IFERROR(VLOOKUP(A198&amp;"aaaaa",COPY!$S$2:$AA$1000,2,FALSE)," ")</f>
        <v xml:space="preserve"> </v>
      </c>
      <c r="S198" s="75" t="str">
        <f>IFERROR(VLOOKUP(A198&amp;"aaaaaa",COPY!$S$2:$AA$1000,2,FALSE)," ")</f>
        <v xml:space="preserve"> </v>
      </c>
      <c r="T198" s="75" t="str">
        <f>IFERROR(VLOOKUP(A198&amp;"aaaaaaa",COPY!$S$2:$AA$1000,2,FALSE)," ")</f>
        <v xml:space="preserve"> </v>
      </c>
      <c r="U198" s="75" t="str">
        <f>IFERROR(VLOOKUP(A198&amp;"aaaaaaaa",COPY!$S$2:$AA$1000,2,FALSE)," ")</f>
        <v xml:space="preserve"> </v>
      </c>
      <c r="V198" s="75" t="str">
        <f>IFERROR(VLOOKUP(A198&amp;"aaaaaaaaa",COPY!$S$2:$AA$1000,2,FALSE)," ")</f>
        <v xml:space="preserve"> </v>
      </c>
      <c r="W198" s="75" t="str">
        <f>IFERROR(VLOOKUP(A198&amp;"aaaaaaaaaa",COPY!$S$2:$AA$1000,2,FALSE)," ")</f>
        <v xml:space="preserve"> </v>
      </c>
      <c r="X198" s="75" t="str">
        <f>IFERROR(VLOOKUP(A198&amp;"aaaaaaaaaaa",COPY!$S$2:$AA$1000,2,FALSE)," ")</f>
        <v xml:space="preserve"> </v>
      </c>
      <c r="Y198" s="90" t="str">
        <f>IF(OR(LEFT(B198,2)="mg",LEFT(B198,2)="mE"),VLOOKUP(A198,COPY!$S$2:$AA$1000,6,FALSE),IF(LEFT(B198,1)="G"," ",IF(LEFT(B198,2)="ma"," "," ")))</f>
        <v xml:space="preserve"> </v>
      </c>
      <c r="Z198" s="90" t="str">
        <f>IFERROR(VLOOKUP(A198&amp;"a",COPY!$S$2:$AA$1000,6,FALSE)," ")</f>
        <v xml:space="preserve"> </v>
      </c>
      <c r="AA198" s="90" t="str">
        <f>IFERROR(VLOOKUP(A198&amp;"aa",COPY!$S$2:$AA$1000,6,FALSE)," ")</f>
        <v xml:space="preserve"> </v>
      </c>
      <c r="AB198" s="90" t="str">
        <f>IFERROR(VLOOKUP(A198&amp;"aaa",COPY!$S$2:$AA$1000,6,FALSE)," ")</f>
        <v xml:space="preserve"> </v>
      </c>
      <c r="AC198" s="90" t="str">
        <f>IFERROR(VLOOKUP(A198&amp;"aaaa",COPY!$S$2:$AA$1000,6,FALSE)," ")</f>
        <v xml:space="preserve"> </v>
      </c>
      <c r="AD198" s="90" t="str">
        <f>IFERROR(VLOOKUP(A198&amp;"aaaaa",COPY!$S$2:$AA$1000,6,FALSE)," ")</f>
        <v xml:space="preserve"> </v>
      </c>
      <c r="AE198" s="90" t="str">
        <f>IFERROR(VLOOKUP(A198&amp;"aaaaaa",COPY!$S$2:$AA$1000,6,FALSE)," ")</f>
        <v xml:space="preserve"> </v>
      </c>
      <c r="AF198" s="90" t="str">
        <f>IFERROR(VLOOKUP(A198&amp;"aaaaaaa",COPY!$S$2:$AA$1000,6,FALSE)," ")</f>
        <v xml:space="preserve"> </v>
      </c>
      <c r="AG198" s="90" t="str">
        <f>IFERROR(VLOOKUP(A198&amp;"aaaaaaaa",COPY!$S$2:$AA$1000,6,FALSE)," ")</f>
        <v xml:space="preserve"> </v>
      </c>
      <c r="AH198" s="90" t="str">
        <f>IFERROR(VLOOKUP(A198&amp;"aaaaaaaaa",COPY!$S$2:$AA$1000,6,FALSE)," ")</f>
        <v xml:space="preserve"> </v>
      </c>
      <c r="AI198" s="90" t="str">
        <f>IFERROR(VLOOKUP(A198&amp;"aaaaaaaaaa",COPY!$S$2:$AA$1000,6,FALSE)," ")</f>
        <v xml:space="preserve"> </v>
      </c>
      <c r="AJ198" s="90" t="str">
        <f>IFERROR(VLOOKUP(A198&amp;"aaaaaaaaaaa",COPY!$S$2:$AA$1000,6,FALSE)," ")</f>
        <v xml:space="preserve"> </v>
      </c>
      <c r="AK198" s="90" t="str">
        <f>IF(LEFT(B198,2)="mg",VLOOKUP(A198,COPY!$S$2:$AA$1000,7,FALSE),IF(LEFT(B198,1)="G"," ",IF(LEFT(B198,2)="ma"," "," ")))</f>
        <v xml:space="preserve"> </v>
      </c>
      <c r="AL198" s="90" t="str">
        <f>IFERROR(VLOOKUP(A198&amp;"a",COPY!$S$2:$AA$1000,7,FALSE)," ")</f>
        <v xml:space="preserve"> </v>
      </c>
      <c r="AM198" s="90" t="str">
        <f>IFERROR(VLOOKUP(A198&amp;"aa",COPY!$S$2:$AA$1000,7,FALSE)," ")</f>
        <v xml:space="preserve"> </v>
      </c>
      <c r="AN198" s="90" t="str">
        <f>IFERROR(VLOOKUP(A198&amp;"aaa",COPY!$S$2:$AA$1000,7,FALSE)," ")</f>
        <v xml:space="preserve"> </v>
      </c>
      <c r="AO198" s="90" t="str">
        <f>IFERROR(VLOOKUP(A198&amp;"aaaa",COPY!$S$2:$AA$1000,7,FALSE)," ")</f>
        <v xml:space="preserve"> </v>
      </c>
      <c r="AP198" s="90" t="str">
        <f>IFERROR(VLOOKUP(A198&amp;"aaaaa",COPY!$S$2:$AA$1000,7,FALSE)," ")</f>
        <v xml:space="preserve"> </v>
      </c>
      <c r="AQ198" s="90" t="str">
        <f>IFERROR(VLOOKUP(A198&amp;"aaaaaa",COPY!$S$2:$AA$1000,7,FALSE)," ")</f>
        <v xml:space="preserve"> </v>
      </c>
      <c r="AR198" s="90" t="str">
        <f>IFERROR(VLOOKUP(A198&amp;"aaaaaaa",COPY!$S$2:$AA$1000,7,FALSE)," ")</f>
        <v xml:space="preserve"> </v>
      </c>
      <c r="AS198" s="90" t="str">
        <f>IFERROR(VLOOKUP(A198&amp;"aaaaaaaa",COPY!$S$2:$AA$1000,7,FALSE)," ")</f>
        <v xml:space="preserve"> </v>
      </c>
      <c r="AT198" s="90" t="str">
        <f>IFERROR(VLOOKUP(A198&amp;"aaaaaaaaa",COPY!$S$2:$AA$1000,7,FALSE)," ")</f>
        <v xml:space="preserve"> </v>
      </c>
      <c r="AU198" s="90" t="str">
        <f>IFERROR(VLOOKUP(A198&amp;"aaaaaaaaaa",COPY!$S$2:$AA$1000,7,FALSE)," ")</f>
        <v xml:space="preserve"> </v>
      </c>
      <c r="AV198" s="90" t="str">
        <f>IFERROR(VLOOKUP(A198&amp;"aaaaaaaaaaa",COPY!$S$2:$AA$1000,7,FALSE)," ")</f>
        <v xml:space="preserve"> </v>
      </c>
    </row>
    <row r="199" spans="1:48" x14ac:dyDescent="0.2">
      <c r="A199" s="75" t="str">
        <f>'REKAP PAJAK'!W236</f>
        <v/>
      </c>
      <c r="B199" s="75" t="str">
        <f>IF(LEN(A199)&gt;1,VLOOKUP(A199,COPY!$O$2:$R$1000,4,FALSE),"")</f>
        <v/>
      </c>
      <c r="C199" s="75" t="str">
        <f t="shared" si="18"/>
        <v xml:space="preserve"> </v>
      </c>
      <c r="D199" s="75" t="str">
        <f t="shared" si="19"/>
        <v xml:space="preserve"> </v>
      </c>
      <c r="E199" s="75" t="str">
        <f t="shared" si="20"/>
        <v xml:space="preserve"> </v>
      </c>
      <c r="F199" s="75" t="str">
        <f t="shared" si="21"/>
        <v xml:space="preserve"> </v>
      </c>
      <c r="G199" s="75" t="str">
        <f>IFERROR(TEXT(VLOOKUP(A199,COPY!$S$2:$W$1000,3,FALSE),"dd-mmmm-yyyy")," ")</f>
        <v xml:space="preserve"> </v>
      </c>
      <c r="H199" s="75" t="str">
        <f t="shared" si="22"/>
        <v xml:space="preserve"> </v>
      </c>
      <c r="I199" s="75" t="str">
        <f t="shared" si="23"/>
        <v xml:space="preserve"> </v>
      </c>
      <c r="J199" s="90" t="str">
        <f>IFERROR(VLOOKUP(A199,COPY!$S$2:$W$1000,4,FALSE)," ")</f>
        <v xml:space="preserve"> </v>
      </c>
      <c r="K199" s="75" t="str">
        <f>IFERROR(VLOOKUP(A199,COPY!$S$2:$W$1000,5,FALSE)," ")</f>
        <v xml:space="preserve"> </v>
      </c>
      <c r="L199" s="75" t="str">
        <f>IF(B199="","",IF(LEFT(B199,2)="Ma",(VLOOKUP(B199,'Rekap Gaji'!$C$12:$D$26,2,FALSE))&amp;" Untuk "&amp;(PROPER('Rekap Gaji'!$B$2)),IF(LEFT(B199,2)="Mg","Pembelian Material Bahan Bangunan",IF(LEFT(B199,2)="Me","Biaya Pembelanjaan Menejemen",IF(LEFT(B199,1)="G",VLOOKUP(A199,COPY!$S$2:$AA$1000,2,FALSE)&amp;"( "&amp;TEXT(VLOOKUP(B199,'Rekap Gaji'!$A$12:$I$26,5,FALSE),"dd-mm-yyyy")&amp;" "&amp;TEXT(VLOOKUP(B199,'Rekap Gaji'!$A$12:$I$26,6,FALSE)&amp;" "&amp;TEXT(VLOOKUP(B199,'Rekap Gaji'!$A$12:$I$26,7,FALSE),"dd-mm-yyyy")&amp;" )"," "))))))</f>
        <v/>
      </c>
      <c r="M199" s="75" t="str">
        <f>IF(OR(LEFT(B199,2)="mg",LEFT(B199,2)="mE"),VLOOKUP(A199,COPY!$S$2:$AA$1000,2,FALSE),IF(LEFT(B199,1)="G"," ",IF(LEFT(B199,2)="ma"," "," ")))</f>
        <v xml:space="preserve"> </v>
      </c>
      <c r="N199" s="75" t="str">
        <f>IFERROR(VLOOKUP(A199&amp;"a",COPY!$S$2:$AA$1000,2,FALSE)," ")</f>
        <v xml:space="preserve"> </v>
      </c>
      <c r="O199" s="75" t="str">
        <f>IFERROR(VLOOKUP(A199&amp;"aa",COPY!$S$2:$AA$1000,2,FALSE)," ")</f>
        <v xml:space="preserve"> </v>
      </c>
      <c r="P199" s="75" t="str">
        <f>IFERROR(VLOOKUP(A199&amp;"aaa",COPY!$S$2:$AA$1000,2,FALSE)," ")</f>
        <v xml:space="preserve"> </v>
      </c>
      <c r="Q199" s="75" t="str">
        <f>IFERROR(VLOOKUP(A199&amp;"aaaa",COPY!$S$2:$AA$1000,2,FALSE)," ")</f>
        <v xml:space="preserve"> </v>
      </c>
      <c r="R199" s="75" t="str">
        <f>IFERROR(VLOOKUP(A199&amp;"aaaaa",COPY!$S$2:$AA$1000,2,FALSE)," ")</f>
        <v xml:space="preserve"> </v>
      </c>
      <c r="S199" s="75" t="str">
        <f>IFERROR(VLOOKUP(A199&amp;"aaaaaa",COPY!$S$2:$AA$1000,2,FALSE)," ")</f>
        <v xml:space="preserve"> </v>
      </c>
      <c r="T199" s="75" t="str">
        <f>IFERROR(VLOOKUP(A199&amp;"aaaaaaa",COPY!$S$2:$AA$1000,2,FALSE)," ")</f>
        <v xml:space="preserve"> </v>
      </c>
      <c r="U199" s="75" t="str">
        <f>IFERROR(VLOOKUP(A199&amp;"aaaaaaaa",COPY!$S$2:$AA$1000,2,FALSE)," ")</f>
        <v xml:space="preserve"> </v>
      </c>
      <c r="V199" s="75" t="str">
        <f>IFERROR(VLOOKUP(A199&amp;"aaaaaaaaa",COPY!$S$2:$AA$1000,2,FALSE)," ")</f>
        <v xml:space="preserve"> </v>
      </c>
      <c r="W199" s="75" t="str">
        <f>IFERROR(VLOOKUP(A199&amp;"aaaaaaaaaa",COPY!$S$2:$AA$1000,2,FALSE)," ")</f>
        <v xml:space="preserve"> </v>
      </c>
      <c r="X199" s="75" t="str">
        <f>IFERROR(VLOOKUP(A199&amp;"aaaaaaaaaaa",COPY!$S$2:$AA$1000,2,FALSE)," ")</f>
        <v xml:space="preserve"> </v>
      </c>
      <c r="Y199" s="90" t="str">
        <f>IF(OR(LEFT(B199,2)="mg",LEFT(B199,2)="mE"),VLOOKUP(A199,COPY!$S$2:$AA$1000,6,FALSE),IF(LEFT(B199,1)="G"," ",IF(LEFT(B199,2)="ma"," "," ")))</f>
        <v xml:space="preserve"> </v>
      </c>
      <c r="Z199" s="90" t="str">
        <f>IFERROR(VLOOKUP(A199&amp;"a",COPY!$S$2:$AA$1000,6,FALSE)," ")</f>
        <v xml:space="preserve"> </v>
      </c>
      <c r="AA199" s="90" t="str">
        <f>IFERROR(VLOOKUP(A199&amp;"aa",COPY!$S$2:$AA$1000,6,FALSE)," ")</f>
        <v xml:space="preserve"> </v>
      </c>
      <c r="AB199" s="90" t="str">
        <f>IFERROR(VLOOKUP(A199&amp;"aaa",COPY!$S$2:$AA$1000,6,FALSE)," ")</f>
        <v xml:space="preserve"> </v>
      </c>
      <c r="AC199" s="90" t="str">
        <f>IFERROR(VLOOKUP(A199&amp;"aaaa",COPY!$S$2:$AA$1000,6,FALSE)," ")</f>
        <v xml:space="preserve"> </v>
      </c>
      <c r="AD199" s="90" t="str">
        <f>IFERROR(VLOOKUP(A199&amp;"aaaaa",COPY!$S$2:$AA$1000,6,FALSE)," ")</f>
        <v xml:space="preserve"> </v>
      </c>
      <c r="AE199" s="90" t="str">
        <f>IFERROR(VLOOKUP(A199&amp;"aaaaaa",COPY!$S$2:$AA$1000,6,FALSE)," ")</f>
        <v xml:space="preserve"> </v>
      </c>
      <c r="AF199" s="90" t="str">
        <f>IFERROR(VLOOKUP(A199&amp;"aaaaaaa",COPY!$S$2:$AA$1000,6,FALSE)," ")</f>
        <v xml:space="preserve"> </v>
      </c>
      <c r="AG199" s="90" t="str">
        <f>IFERROR(VLOOKUP(A199&amp;"aaaaaaaa",COPY!$S$2:$AA$1000,6,FALSE)," ")</f>
        <v xml:space="preserve"> </v>
      </c>
      <c r="AH199" s="90" t="str">
        <f>IFERROR(VLOOKUP(A199&amp;"aaaaaaaaa",COPY!$S$2:$AA$1000,6,FALSE)," ")</f>
        <v xml:space="preserve"> </v>
      </c>
      <c r="AI199" s="90" t="str">
        <f>IFERROR(VLOOKUP(A199&amp;"aaaaaaaaaa",COPY!$S$2:$AA$1000,6,FALSE)," ")</f>
        <v xml:space="preserve"> </v>
      </c>
      <c r="AJ199" s="90" t="str">
        <f>IFERROR(VLOOKUP(A199&amp;"aaaaaaaaaaa",COPY!$S$2:$AA$1000,6,FALSE)," ")</f>
        <v xml:space="preserve"> </v>
      </c>
      <c r="AK199" s="90" t="str">
        <f>IF(LEFT(B199,2)="mg",VLOOKUP(A199,COPY!$S$2:$AA$1000,7,FALSE),IF(LEFT(B199,1)="G"," ",IF(LEFT(B199,2)="ma"," "," ")))</f>
        <v xml:space="preserve"> </v>
      </c>
      <c r="AL199" s="90" t="str">
        <f>IFERROR(VLOOKUP(A199&amp;"a",COPY!$S$2:$AA$1000,7,FALSE)," ")</f>
        <v xml:space="preserve"> </v>
      </c>
      <c r="AM199" s="90" t="str">
        <f>IFERROR(VLOOKUP(A199&amp;"aa",COPY!$S$2:$AA$1000,7,FALSE)," ")</f>
        <v xml:space="preserve"> </v>
      </c>
      <c r="AN199" s="90" t="str">
        <f>IFERROR(VLOOKUP(A199&amp;"aaa",COPY!$S$2:$AA$1000,7,FALSE)," ")</f>
        <v xml:space="preserve"> </v>
      </c>
      <c r="AO199" s="90" t="str">
        <f>IFERROR(VLOOKUP(A199&amp;"aaaa",COPY!$S$2:$AA$1000,7,FALSE)," ")</f>
        <v xml:space="preserve"> </v>
      </c>
      <c r="AP199" s="90" t="str">
        <f>IFERROR(VLOOKUP(A199&amp;"aaaaa",COPY!$S$2:$AA$1000,7,FALSE)," ")</f>
        <v xml:space="preserve"> </v>
      </c>
      <c r="AQ199" s="90" t="str">
        <f>IFERROR(VLOOKUP(A199&amp;"aaaaaa",COPY!$S$2:$AA$1000,7,FALSE)," ")</f>
        <v xml:space="preserve"> </v>
      </c>
      <c r="AR199" s="90" t="str">
        <f>IFERROR(VLOOKUP(A199&amp;"aaaaaaa",COPY!$S$2:$AA$1000,7,FALSE)," ")</f>
        <v xml:space="preserve"> </v>
      </c>
      <c r="AS199" s="90" t="str">
        <f>IFERROR(VLOOKUP(A199&amp;"aaaaaaaa",COPY!$S$2:$AA$1000,7,FALSE)," ")</f>
        <v xml:space="preserve"> </v>
      </c>
      <c r="AT199" s="90" t="str">
        <f>IFERROR(VLOOKUP(A199&amp;"aaaaaaaaa",COPY!$S$2:$AA$1000,7,FALSE)," ")</f>
        <v xml:space="preserve"> </v>
      </c>
      <c r="AU199" s="90" t="str">
        <f>IFERROR(VLOOKUP(A199&amp;"aaaaaaaaaa",COPY!$S$2:$AA$1000,7,FALSE)," ")</f>
        <v xml:space="preserve"> </v>
      </c>
      <c r="AV199" s="90" t="str">
        <f>IFERROR(VLOOKUP(A199&amp;"aaaaaaaaaaa",COPY!$S$2:$AA$1000,7,FALSE)," ")</f>
        <v xml:space="preserve"> </v>
      </c>
    </row>
    <row r="200" spans="1:48" x14ac:dyDescent="0.2">
      <c r="A200" s="75" t="str">
        <f>'REKAP PAJAK'!W237</f>
        <v/>
      </c>
      <c r="B200" s="75" t="str">
        <f>IF(LEN(A200)&gt;1,VLOOKUP(A200,COPY!$O$2:$R$1000,4,FALSE),"")</f>
        <v/>
      </c>
      <c r="C200" s="75" t="str">
        <f t="shared" si="18"/>
        <v xml:space="preserve"> </v>
      </c>
      <c r="D200" s="75" t="str">
        <f t="shared" si="19"/>
        <v xml:space="preserve"> </v>
      </c>
      <c r="E200" s="75" t="str">
        <f t="shared" si="20"/>
        <v xml:space="preserve"> </v>
      </c>
      <c r="F200" s="75" t="str">
        <f t="shared" si="21"/>
        <v xml:space="preserve"> </v>
      </c>
      <c r="G200" s="75" t="str">
        <f>IFERROR(TEXT(VLOOKUP(A200,COPY!$S$2:$W$1000,3,FALSE),"dd-mmmm-yyyy")," ")</f>
        <v xml:space="preserve"> </v>
      </c>
      <c r="H200" s="75" t="str">
        <f t="shared" si="22"/>
        <v xml:space="preserve"> </v>
      </c>
      <c r="I200" s="75" t="str">
        <f t="shared" si="23"/>
        <v xml:space="preserve"> </v>
      </c>
      <c r="J200" s="90" t="str">
        <f>IFERROR(VLOOKUP(A200,COPY!$S$2:$W$1000,4,FALSE)," ")</f>
        <v xml:space="preserve"> </v>
      </c>
      <c r="K200" s="75" t="str">
        <f>IFERROR(VLOOKUP(A200,COPY!$S$2:$W$1000,5,FALSE)," ")</f>
        <v xml:space="preserve"> </v>
      </c>
      <c r="L200" s="75" t="str">
        <f>IF(B200="","",IF(LEFT(B200,2)="Ma",(VLOOKUP(B200,'Rekap Gaji'!$C$12:$D$26,2,FALSE))&amp;" Untuk "&amp;(PROPER('Rekap Gaji'!$B$2)),IF(LEFT(B200,2)="Mg","Pembelian Material Bahan Bangunan",IF(LEFT(B200,2)="Me","Biaya Pembelanjaan Menejemen",IF(LEFT(B200,1)="G",VLOOKUP(A200,COPY!$S$2:$AA$1000,2,FALSE)&amp;"( "&amp;TEXT(VLOOKUP(B200,'Rekap Gaji'!$A$12:$I$26,5,FALSE),"dd-mm-yyyy")&amp;" "&amp;TEXT(VLOOKUP(B200,'Rekap Gaji'!$A$12:$I$26,6,FALSE)&amp;" "&amp;TEXT(VLOOKUP(B200,'Rekap Gaji'!$A$12:$I$26,7,FALSE),"dd-mm-yyyy")&amp;" )"," "))))))</f>
        <v/>
      </c>
      <c r="M200" s="75" t="str">
        <f>IF(OR(LEFT(B200,2)="mg",LEFT(B200,2)="mE"),VLOOKUP(A200,COPY!$S$2:$AA$1000,2,FALSE),IF(LEFT(B200,1)="G"," ",IF(LEFT(B200,2)="ma"," "," ")))</f>
        <v xml:space="preserve"> </v>
      </c>
      <c r="N200" s="75" t="str">
        <f>IFERROR(VLOOKUP(A200&amp;"a",COPY!$S$2:$AA$1000,2,FALSE)," ")</f>
        <v xml:space="preserve"> </v>
      </c>
      <c r="O200" s="75" t="str">
        <f>IFERROR(VLOOKUP(A200&amp;"aa",COPY!$S$2:$AA$1000,2,FALSE)," ")</f>
        <v xml:space="preserve"> </v>
      </c>
      <c r="P200" s="75" t="str">
        <f>IFERROR(VLOOKUP(A200&amp;"aaa",COPY!$S$2:$AA$1000,2,FALSE)," ")</f>
        <v xml:space="preserve"> </v>
      </c>
      <c r="Q200" s="75" t="str">
        <f>IFERROR(VLOOKUP(A200&amp;"aaaa",COPY!$S$2:$AA$1000,2,FALSE)," ")</f>
        <v xml:space="preserve"> </v>
      </c>
      <c r="R200" s="75" t="str">
        <f>IFERROR(VLOOKUP(A200&amp;"aaaaa",COPY!$S$2:$AA$1000,2,FALSE)," ")</f>
        <v xml:space="preserve"> </v>
      </c>
      <c r="S200" s="75" t="str">
        <f>IFERROR(VLOOKUP(A200&amp;"aaaaaa",COPY!$S$2:$AA$1000,2,FALSE)," ")</f>
        <v xml:space="preserve"> </v>
      </c>
      <c r="T200" s="75" t="str">
        <f>IFERROR(VLOOKUP(A200&amp;"aaaaaaa",COPY!$S$2:$AA$1000,2,FALSE)," ")</f>
        <v xml:space="preserve"> </v>
      </c>
      <c r="U200" s="75" t="str">
        <f>IFERROR(VLOOKUP(A200&amp;"aaaaaaaa",COPY!$S$2:$AA$1000,2,FALSE)," ")</f>
        <v xml:space="preserve"> </v>
      </c>
      <c r="V200" s="75" t="str">
        <f>IFERROR(VLOOKUP(A200&amp;"aaaaaaaaa",COPY!$S$2:$AA$1000,2,FALSE)," ")</f>
        <v xml:space="preserve"> </v>
      </c>
      <c r="W200" s="75" t="str">
        <f>IFERROR(VLOOKUP(A200&amp;"aaaaaaaaaa",COPY!$S$2:$AA$1000,2,FALSE)," ")</f>
        <v xml:space="preserve"> </v>
      </c>
      <c r="X200" s="75" t="str">
        <f>IFERROR(VLOOKUP(A200&amp;"aaaaaaaaaaa",COPY!$S$2:$AA$1000,2,FALSE)," ")</f>
        <v xml:space="preserve"> </v>
      </c>
      <c r="Y200" s="90" t="str">
        <f>IF(OR(LEFT(B200,2)="mg",LEFT(B200,2)="mE"),VLOOKUP(A200,COPY!$S$2:$AA$1000,6,FALSE),IF(LEFT(B200,1)="G"," ",IF(LEFT(B200,2)="ma"," "," ")))</f>
        <v xml:space="preserve"> </v>
      </c>
      <c r="Z200" s="90" t="str">
        <f>IFERROR(VLOOKUP(A200&amp;"a",COPY!$S$2:$AA$1000,6,FALSE)," ")</f>
        <v xml:space="preserve"> </v>
      </c>
      <c r="AA200" s="90" t="str">
        <f>IFERROR(VLOOKUP(A200&amp;"aa",COPY!$S$2:$AA$1000,6,FALSE)," ")</f>
        <v xml:space="preserve"> </v>
      </c>
      <c r="AB200" s="90" t="str">
        <f>IFERROR(VLOOKUP(A200&amp;"aaa",COPY!$S$2:$AA$1000,6,FALSE)," ")</f>
        <v xml:space="preserve"> </v>
      </c>
      <c r="AC200" s="90" t="str">
        <f>IFERROR(VLOOKUP(A200&amp;"aaaa",COPY!$S$2:$AA$1000,6,FALSE)," ")</f>
        <v xml:space="preserve"> </v>
      </c>
      <c r="AD200" s="90" t="str">
        <f>IFERROR(VLOOKUP(A200&amp;"aaaaa",COPY!$S$2:$AA$1000,6,FALSE)," ")</f>
        <v xml:space="preserve"> </v>
      </c>
      <c r="AE200" s="90" t="str">
        <f>IFERROR(VLOOKUP(A200&amp;"aaaaaa",COPY!$S$2:$AA$1000,6,FALSE)," ")</f>
        <v xml:space="preserve"> </v>
      </c>
      <c r="AF200" s="90" t="str">
        <f>IFERROR(VLOOKUP(A200&amp;"aaaaaaa",COPY!$S$2:$AA$1000,6,FALSE)," ")</f>
        <v xml:space="preserve"> </v>
      </c>
      <c r="AG200" s="90" t="str">
        <f>IFERROR(VLOOKUP(A200&amp;"aaaaaaaa",COPY!$S$2:$AA$1000,6,FALSE)," ")</f>
        <v xml:space="preserve"> </v>
      </c>
      <c r="AH200" s="90" t="str">
        <f>IFERROR(VLOOKUP(A200&amp;"aaaaaaaaa",COPY!$S$2:$AA$1000,6,FALSE)," ")</f>
        <v xml:space="preserve"> </v>
      </c>
      <c r="AI200" s="90" t="str">
        <f>IFERROR(VLOOKUP(A200&amp;"aaaaaaaaaa",COPY!$S$2:$AA$1000,6,FALSE)," ")</f>
        <v xml:space="preserve"> </v>
      </c>
      <c r="AJ200" s="90" t="str">
        <f>IFERROR(VLOOKUP(A200&amp;"aaaaaaaaaaa",COPY!$S$2:$AA$1000,6,FALSE)," ")</f>
        <v xml:space="preserve"> </v>
      </c>
      <c r="AK200" s="90" t="str">
        <f>IF(LEFT(B200,2)="mg",VLOOKUP(A200,COPY!$S$2:$AA$1000,7,FALSE),IF(LEFT(B200,1)="G"," ",IF(LEFT(B200,2)="ma"," "," ")))</f>
        <v xml:space="preserve"> </v>
      </c>
      <c r="AL200" s="90" t="str">
        <f>IFERROR(VLOOKUP(A200&amp;"a",COPY!$S$2:$AA$1000,7,FALSE)," ")</f>
        <v xml:space="preserve"> </v>
      </c>
      <c r="AM200" s="90" t="str">
        <f>IFERROR(VLOOKUP(A200&amp;"aa",COPY!$S$2:$AA$1000,7,FALSE)," ")</f>
        <v xml:space="preserve"> </v>
      </c>
      <c r="AN200" s="90" t="str">
        <f>IFERROR(VLOOKUP(A200&amp;"aaa",COPY!$S$2:$AA$1000,7,FALSE)," ")</f>
        <v xml:space="preserve"> </v>
      </c>
      <c r="AO200" s="90" t="str">
        <f>IFERROR(VLOOKUP(A200&amp;"aaaa",COPY!$S$2:$AA$1000,7,FALSE)," ")</f>
        <v xml:space="preserve"> </v>
      </c>
      <c r="AP200" s="90" t="str">
        <f>IFERROR(VLOOKUP(A200&amp;"aaaaa",COPY!$S$2:$AA$1000,7,FALSE)," ")</f>
        <v xml:space="preserve"> </v>
      </c>
      <c r="AQ200" s="90" t="str">
        <f>IFERROR(VLOOKUP(A200&amp;"aaaaaa",COPY!$S$2:$AA$1000,7,FALSE)," ")</f>
        <v xml:space="preserve"> </v>
      </c>
      <c r="AR200" s="90" t="str">
        <f>IFERROR(VLOOKUP(A200&amp;"aaaaaaa",COPY!$S$2:$AA$1000,7,FALSE)," ")</f>
        <v xml:space="preserve"> </v>
      </c>
      <c r="AS200" s="90" t="str">
        <f>IFERROR(VLOOKUP(A200&amp;"aaaaaaaa",COPY!$S$2:$AA$1000,7,FALSE)," ")</f>
        <v xml:space="preserve"> </v>
      </c>
      <c r="AT200" s="90" t="str">
        <f>IFERROR(VLOOKUP(A200&amp;"aaaaaaaaa",COPY!$S$2:$AA$1000,7,FALSE)," ")</f>
        <v xml:space="preserve"> </v>
      </c>
      <c r="AU200" s="90" t="str">
        <f>IFERROR(VLOOKUP(A200&amp;"aaaaaaaaaa",COPY!$S$2:$AA$1000,7,FALSE)," ")</f>
        <v xml:space="preserve"> </v>
      </c>
      <c r="AV200" s="90" t="str">
        <f>IFERROR(VLOOKUP(A200&amp;"aaaaaaaaaaa",COPY!$S$2:$AA$1000,7,FALSE)," ")</f>
        <v xml:space="preserve"> </v>
      </c>
    </row>
    <row r="201" spans="1:48" x14ac:dyDescent="0.2">
      <c r="A201" s="75" t="str">
        <f>'REKAP PAJAK'!W238</f>
        <v/>
      </c>
      <c r="B201" s="75" t="str">
        <f>IF(LEN(A201)&gt;1,VLOOKUP(A201,COPY!$O$2:$R$1000,4,FALSE),"")</f>
        <v/>
      </c>
      <c r="C201" s="75" t="str">
        <f t="shared" si="18"/>
        <v xml:space="preserve"> </v>
      </c>
      <c r="D201" s="75" t="str">
        <f t="shared" si="19"/>
        <v xml:space="preserve"> </v>
      </c>
      <c r="E201" s="75" t="str">
        <f t="shared" si="20"/>
        <v xml:space="preserve"> </v>
      </c>
      <c r="F201" s="75" t="str">
        <f t="shared" si="21"/>
        <v xml:space="preserve"> </v>
      </c>
      <c r="G201" s="75" t="str">
        <f>IFERROR(TEXT(VLOOKUP(A201,COPY!$S$2:$W$1000,3,FALSE),"dd-mmmm-yyyy")," ")</f>
        <v xml:space="preserve"> </v>
      </c>
      <c r="H201" s="75" t="str">
        <f t="shared" si="22"/>
        <v xml:space="preserve"> </v>
      </c>
      <c r="I201" s="75" t="str">
        <f t="shared" si="23"/>
        <v xml:space="preserve"> </v>
      </c>
      <c r="J201" s="90" t="str">
        <f>IFERROR(VLOOKUP(A201,COPY!$S$2:$W$1000,4,FALSE)," ")</f>
        <v xml:space="preserve"> </v>
      </c>
      <c r="K201" s="75" t="str">
        <f>IFERROR(VLOOKUP(A201,COPY!$S$2:$W$1000,5,FALSE)," ")</f>
        <v xml:space="preserve"> </v>
      </c>
      <c r="L201" s="75" t="str">
        <f>IF(B201="","",IF(LEFT(B201,2)="Ma",(VLOOKUP(B201,'Rekap Gaji'!$C$12:$D$26,2,FALSE))&amp;" Untuk "&amp;(PROPER('Rekap Gaji'!$B$2)),IF(LEFT(B201,2)="Mg","Pembelian Material Bahan Bangunan",IF(LEFT(B201,2)="Me","Biaya Pembelanjaan Menejemen",IF(LEFT(B201,1)="G",VLOOKUP(A201,COPY!$S$2:$AA$1000,2,FALSE)&amp;"( "&amp;TEXT(VLOOKUP(B201,'Rekap Gaji'!$A$12:$I$26,5,FALSE),"dd-mm-yyyy")&amp;" "&amp;TEXT(VLOOKUP(B201,'Rekap Gaji'!$A$12:$I$26,6,FALSE)&amp;" "&amp;TEXT(VLOOKUP(B201,'Rekap Gaji'!$A$12:$I$26,7,FALSE),"dd-mm-yyyy")&amp;" )"," "))))))</f>
        <v/>
      </c>
      <c r="M201" s="75" t="str">
        <f>IF(OR(LEFT(B201,2)="mg",LEFT(B201,2)="mE"),VLOOKUP(A201,COPY!$S$2:$AA$1000,2,FALSE),IF(LEFT(B201,1)="G"," ",IF(LEFT(B201,2)="ma"," "," ")))</f>
        <v xml:space="preserve"> </v>
      </c>
      <c r="N201" s="75" t="str">
        <f>IFERROR(VLOOKUP(A201&amp;"a",COPY!$S$2:$AA$1000,2,FALSE)," ")</f>
        <v xml:space="preserve"> </v>
      </c>
      <c r="O201" s="75" t="str">
        <f>IFERROR(VLOOKUP(A201&amp;"aa",COPY!$S$2:$AA$1000,2,FALSE)," ")</f>
        <v xml:space="preserve"> </v>
      </c>
      <c r="P201" s="75" t="str">
        <f>IFERROR(VLOOKUP(A201&amp;"aaa",COPY!$S$2:$AA$1000,2,FALSE)," ")</f>
        <v xml:space="preserve"> </v>
      </c>
      <c r="Q201" s="75" t="str">
        <f>IFERROR(VLOOKUP(A201&amp;"aaaa",COPY!$S$2:$AA$1000,2,FALSE)," ")</f>
        <v xml:space="preserve"> </v>
      </c>
      <c r="R201" s="75" t="str">
        <f>IFERROR(VLOOKUP(A201&amp;"aaaaa",COPY!$S$2:$AA$1000,2,FALSE)," ")</f>
        <v xml:space="preserve"> </v>
      </c>
      <c r="S201" s="75" t="str">
        <f>IFERROR(VLOOKUP(A201&amp;"aaaaaa",COPY!$S$2:$AA$1000,2,FALSE)," ")</f>
        <v xml:space="preserve"> </v>
      </c>
      <c r="T201" s="75" t="str">
        <f>IFERROR(VLOOKUP(A201&amp;"aaaaaaa",COPY!$S$2:$AA$1000,2,FALSE)," ")</f>
        <v xml:space="preserve"> </v>
      </c>
      <c r="U201" s="75" t="str">
        <f>IFERROR(VLOOKUP(A201&amp;"aaaaaaaa",COPY!$S$2:$AA$1000,2,FALSE)," ")</f>
        <v xml:space="preserve"> </v>
      </c>
      <c r="V201" s="75" t="str">
        <f>IFERROR(VLOOKUP(A201&amp;"aaaaaaaaa",COPY!$S$2:$AA$1000,2,FALSE)," ")</f>
        <v xml:space="preserve"> </v>
      </c>
      <c r="W201" s="75" t="str">
        <f>IFERROR(VLOOKUP(A201&amp;"aaaaaaaaaa",COPY!$S$2:$AA$1000,2,FALSE)," ")</f>
        <v xml:space="preserve"> </v>
      </c>
      <c r="X201" s="75" t="str">
        <f>IFERROR(VLOOKUP(A201&amp;"aaaaaaaaaaa",COPY!$S$2:$AA$1000,2,FALSE)," ")</f>
        <v xml:space="preserve"> </v>
      </c>
      <c r="Y201" s="90" t="str">
        <f>IF(OR(LEFT(B201,2)="mg",LEFT(B201,2)="mE"),VLOOKUP(A201,COPY!$S$2:$AA$1000,6,FALSE),IF(LEFT(B201,1)="G"," ",IF(LEFT(B201,2)="ma"," "," ")))</f>
        <v xml:space="preserve"> </v>
      </c>
      <c r="Z201" s="90" t="str">
        <f>IFERROR(VLOOKUP(A201&amp;"a",COPY!$S$2:$AA$1000,6,FALSE)," ")</f>
        <v xml:space="preserve"> </v>
      </c>
      <c r="AA201" s="90" t="str">
        <f>IFERROR(VLOOKUP(A201&amp;"aa",COPY!$S$2:$AA$1000,6,FALSE)," ")</f>
        <v xml:space="preserve"> </v>
      </c>
      <c r="AB201" s="90" t="str">
        <f>IFERROR(VLOOKUP(A201&amp;"aaa",COPY!$S$2:$AA$1000,6,FALSE)," ")</f>
        <v xml:space="preserve"> </v>
      </c>
      <c r="AC201" s="90" t="str">
        <f>IFERROR(VLOOKUP(A201&amp;"aaaa",COPY!$S$2:$AA$1000,6,FALSE)," ")</f>
        <v xml:space="preserve"> </v>
      </c>
      <c r="AD201" s="90" t="str">
        <f>IFERROR(VLOOKUP(A201&amp;"aaaaa",COPY!$S$2:$AA$1000,6,FALSE)," ")</f>
        <v xml:space="preserve"> </v>
      </c>
      <c r="AE201" s="90" t="str">
        <f>IFERROR(VLOOKUP(A201&amp;"aaaaaa",COPY!$S$2:$AA$1000,6,FALSE)," ")</f>
        <v xml:space="preserve"> </v>
      </c>
      <c r="AF201" s="90" t="str">
        <f>IFERROR(VLOOKUP(A201&amp;"aaaaaaa",COPY!$S$2:$AA$1000,6,FALSE)," ")</f>
        <v xml:space="preserve"> </v>
      </c>
      <c r="AG201" s="90" t="str">
        <f>IFERROR(VLOOKUP(A201&amp;"aaaaaaaa",COPY!$S$2:$AA$1000,6,FALSE)," ")</f>
        <v xml:space="preserve"> </v>
      </c>
      <c r="AH201" s="90" t="str">
        <f>IFERROR(VLOOKUP(A201&amp;"aaaaaaaaa",COPY!$S$2:$AA$1000,6,FALSE)," ")</f>
        <v xml:space="preserve"> </v>
      </c>
      <c r="AI201" s="90" t="str">
        <f>IFERROR(VLOOKUP(A201&amp;"aaaaaaaaaa",COPY!$S$2:$AA$1000,6,FALSE)," ")</f>
        <v xml:space="preserve"> </v>
      </c>
      <c r="AJ201" s="90" t="str">
        <f>IFERROR(VLOOKUP(A201&amp;"aaaaaaaaaaa",COPY!$S$2:$AA$1000,6,FALSE)," ")</f>
        <v xml:space="preserve"> </v>
      </c>
      <c r="AK201" s="90" t="str">
        <f>IF(LEFT(B201,2)="mg",VLOOKUP(A201,COPY!$S$2:$AA$1000,7,FALSE),IF(LEFT(B201,1)="G"," ",IF(LEFT(B201,2)="ma"," "," ")))</f>
        <v xml:space="preserve"> </v>
      </c>
      <c r="AL201" s="90" t="str">
        <f>IFERROR(VLOOKUP(A201&amp;"a",COPY!$S$2:$AA$1000,7,FALSE)," ")</f>
        <v xml:space="preserve"> </v>
      </c>
      <c r="AM201" s="90" t="str">
        <f>IFERROR(VLOOKUP(A201&amp;"aa",COPY!$S$2:$AA$1000,7,FALSE)," ")</f>
        <v xml:space="preserve"> </v>
      </c>
      <c r="AN201" s="90" t="str">
        <f>IFERROR(VLOOKUP(A201&amp;"aaa",COPY!$S$2:$AA$1000,7,FALSE)," ")</f>
        <v xml:space="preserve"> </v>
      </c>
      <c r="AO201" s="90" t="str">
        <f>IFERROR(VLOOKUP(A201&amp;"aaaa",COPY!$S$2:$AA$1000,7,FALSE)," ")</f>
        <v xml:space="preserve"> </v>
      </c>
      <c r="AP201" s="90" t="str">
        <f>IFERROR(VLOOKUP(A201&amp;"aaaaa",COPY!$S$2:$AA$1000,7,FALSE)," ")</f>
        <v xml:space="preserve"> </v>
      </c>
      <c r="AQ201" s="90" t="str">
        <f>IFERROR(VLOOKUP(A201&amp;"aaaaaa",COPY!$S$2:$AA$1000,7,FALSE)," ")</f>
        <v xml:space="preserve"> </v>
      </c>
      <c r="AR201" s="90" t="str">
        <f>IFERROR(VLOOKUP(A201&amp;"aaaaaaa",COPY!$S$2:$AA$1000,7,FALSE)," ")</f>
        <v xml:space="preserve"> </v>
      </c>
      <c r="AS201" s="90" t="str">
        <f>IFERROR(VLOOKUP(A201&amp;"aaaaaaaa",COPY!$S$2:$AA$1000,7,FALSE)," ")</f>
        <v xml:space="preserve"> </v>
      </c>
      <c r="AT201" s="90" t="str">
        <f>IFERROR(VLOOKUP(A201&amp;"aaaaaaaaa",COPY!$S$2:$AA$1000,7,FALSE)," ")</f>
        <v xml:space="preserve"> </v>
      </c>
      <c r="AU201" s="90" t="str">
        <f>IFERROR(VLOOKUP(A201&amp;"aaaaaaaaaa",COPY!$S$2:$AA$1000,7,FALSE)," ")</f>
        <v xml:space="preserve"> </v>
      </c>
      <c r="AV201" s="90" t="str">
        <f>IFERROR(VLOOKUP(A201&amp;"aaaaaaaaaaa",COPY!$S$2:$AA$1000,7,FALSE)," ")</f>
        <v xml:space="preserve"> </v>
      </c>
    </row>
    <row r="202" spans="1:48" x14ac:dyDescent="0.2">
      <c r="A202" s="75" t="str">
        <f>'REKAP PAJAK'!W239</f>
        <v/>
      </c>
      <c r="B202" s="75" t="str">
        <f>IF(LEN(A202)&gt;1,VLOOKUP(A202,COPY!$O$2:$R$1000,4,FALSE),"")</f>
        <v/>
      </c>
      <c r="C202" s="75" t="str">
        <f t="shared" si="18"/>
        <v xml:space="preserve"> </v>
      </c>
      <c r="D202" s="75" t="str">
        <f t="shared" si="19"/>
        <v xml:space="preserve"> </v>
      </c>
      <c r="E202" s="75" t="str">
        <f t="shared" si="20"/>
        <v xml:space="preserve"> </v>
      </c>
      <c r="F202" s="75" t="str">
        <f t="shared" si="21"/>
        <v xml:space="preserve"> </v>
      </c>
      <c r="H202" s="75" t="str">
        <f t="shared" si="22"/>
        <v xml:space="preserve"> </v>
      </c>
      <c r="I202" s="75" t="str">
        <f t="shared" si="23"/>
        <v xml:space="preserve"> </v>
      </c>
      <c r="J202" s="90" t="str">
        <f>IFERROR(VLOOKUP(A202,COPY!$S$2:$W$1000,4,FALSE)," ")</f>
        <v xml:space="preserve"> </v>
      </c>
      <c r="K202" s="75" t="str">
        <f>IFERROR(VLOOKUP(A202,COPY!$S$2:$W$1000,5,FALSE)," ")</f>
        <v xml:space="preserve"> </v>
      </c>
      <c r="L202" s="75" t="str">
        <f>IF(B202="","",IF(LEFT(B202,2)="Ma",(VLOOKUP(B202,'Rekap Gaji'!$C$12:$D$26,2,FALSE))&amp;" Untuk "&amp;(PROPER('Rekap Gaji'!$B$2)),IF(LEFT(B202,2)="Mg","Pembelian Material Bahan Bangunan",IF(LEFT(B202,2)="Me","Biaya Pembelanjaan Menejemen",IF(LEFT(B202,1)="G",VLOOKUP(A202,COPY!$S$2:$AA$1000,2,FALSE)&amp;"( "&amp;TEXT(VLOOKUP(B202,'Rekap Gaji'!$A$12:$I$26,5,FALSE),"dd-mm-yyyy")&amp;" "&amp;TEXT(VLOOKUP(B202,'Rekap Gaji'!$A$12:$I$26,6,FALSE)&amp;" "&amp;TEXT(VLOOKUP(B202,'Rekap Gaji'!$A$12:$I$26,7,FALSE),"dd-mm-yyyy")&amp;" )"," "))))))</f>
        <v/>
      </c>
      <c r="M202" s="75" t="str">
        <f>IF(OR(LEFT(B202,2)="mg",LEFT(B202,2)="mE"),VLOOKUP(A202,COPY!$S$2:$AA$1000,2,FALSE),IF(LEFT(B202,1)="G"," ",IF(LEFT(B202,2)="ma"," "," ")))</f>
        <v xml:space="preserve"> </v>
      </c>
      <c r="N202" s="75" t="str">
        <f>IFERROR(VLOOKUP(A202&amp;"a",COPY!$S$2:$AA$1000,2,FALSE)," ")</f>
        <v xml:space="preserve"> </v>
      </c>
      <c r="O202" s="75" t="str">
        <f>IFERROR(VLOOKUP(A202&amp;"aa",COPY!$S$2:$AA$1000,2,FALSE)," ")</f>
        <v xml:space="preserve"> </v>
      </c>
      <c r="P202" s="75" t="str">
        <f>IFERROR(VLOOKUP(A202&amp;"aaa",COPY!$S$2:$AA$1000,2,FALSE)," ")</f>
        <v xml:space="preserve"> </v>
      </c>
      <c r="Q202" s="75" t="str">
        <f>IFERROR(VLOOKUP(A202&amp;"aaaa",COPY!$S$2:$AA$1000,2,FALSE)," ")</f>
        <v xml:space="preserve"> </v>
      </c>
      <c r="R202" s="75" t="str">
        <f>IFERROR(VLOOKUP(A202&amp;"aaaaa",COPY!$S$2:$AA$1000,2,FALSE)," ")</f>
        <v xml:space="preserve"> </v>
      </c>
      <c r="S202" s="75" t="str">
        <f>IFERROR(VLOOKUP(A202&amp;"aaaaaa",COPY!$S$2:$AA$1000,2,FALSE)," ")</f>
        <v xml:space="preserve"> </v>
      </c>
      <c r="T202" s="75" t="str">
        <f>IFERROR(VLOOKUP(A202&amp;"aaaaaaa",COPY!$S$2:$AA$1000,2,FALSE)," ")</f>
        <v xml:space="preserve"> </v>
      </c>
      <c r="U202" s="75" t="str">
        <f>IFERROR(VLOOKUP(A202&amp;"aaaaaaaa",COPY!$S$2:$AA$1000,2,FALSE)," ")</f>
        <v xml:space="preserve"> </v>
      </c>
      <c r="V202" s="75" t="str">
        <f>IFERROR(VLOOKUP(A202&amp;"aaaaaaaaa",COPY!$S$2:$AA$1000,2,FALSE)," ")</f>
        <v xml:space="preserve"> </v>
      </c>
      <c r="W202" s="75" t="str">
        <f>IFERROR(VLOOKUP(A202&amp;"aaaaaaaaaa",COPY!$S$2:$AA$1000,2,FALSE)," ")</f>
        <v xml:space="preserve"> </v>
      </c>
      <c r="X202" s="75" t="str">
        <f>IFERROR(VLOOKUP(A202&amp;"aaaaaaaaaaa",COPY!$S$2:$AA$1000,2,FALSE)," ")</f>
        <v xml:space="preserve"> </v>
      </c>
      <c r="Y202" s="90" t="str">
        <f>IF(OR(LEFT(B202,2)="mg",LEFT(B202,2)="mE"),VLOOKUP(A202,COPY!$S$2:$AA$1000,6,FALSE),IF(LEFT(B202,1)="G"," ",IF(LEFT(B202,2)="ma"," "," ")))</f>
        <v xml:space="preserve"> </v>
      </c>
      <c r="Z202" s="90" t="str">
        <f>IFERROR(VLOOKUP(A202&amp;"a",COPY!$S$2:$AA$1000,6,FALSE)," ")</f>
        <v xml:space="preserve"> </v>
      </c>
      <c r="AA202" s="90" t="str">
        <f>IFERROR(VLOOKUP(A202&amp;"aa",COPY!$S$2:$AA$1000,6,FALSE)," ")</f>
        <v xml:space="preserve"> </v>
      </c>
      <c r="AB202" s="90" t="str">
        <f>IFERROR(VLOOKUP(A202&amp;"aaa",COPY!$S$2:$AA$1000,6,FALSE)," ")</f>
        <v xml:space="preserve"> </v>
      </c>
      <c r="AC202" s="90" t="str">
        <f>IFERROR(VLOOKUP(A202&amp;"aaaa",COPY!$S$2:$AA$1000,6,FALSE)," ")</f>
        <v xml:space="preserve"> </v>
      </c>
      <c r="AD202" s="90" t="str">
        <f>IFERROR(VLOOKUP(A202&amp;"aaaaa",COPY!$S$2:$AA$1000,6,FALSE)," ")</f>
        <v xml:space="preserve"> </v>
      </c>
      <c r="AE202" s="90" t="str">
        <f>IFERROR(VLOOKUP(A202&amp;"aaaaaa",COPY!$S$2:$AA$1000,6,FALSE)," ")</f>
        <v xml:space="preserve"> </v>
      </c>
      <c r="AF202" s="90" t="str">
        <f>IFERROR(VLOOKUP(A202&amp;"aaaaaaa",COPY!$S$2:$AA$1000,6,FALSE)," ")</f>
        <v xml:space="preserve"> </v>
      </c>
      <c r="AG202" s="90" t="str">
        <f>IFERROR(VLOOKUP(A202&amp;"aaaaaaaa",COPY!$S$2:$AA$1000,6,FALSE)," ")</f>
        <v xml:space="preserve"> </v>
      </c>
      <c r="AH202" s="90" t="str">
        <f>IFERROR(VLOOKUP(A202&amp;"aaaaaaaaa",COPY!$S$2:$AA$1000,6,FALSE)," ")</f>
        <v xml:space="preserve"> </v>
      </c>
      <c r="AI202" s="90" t="str">
        <f>IFERROR(VLOOKUP(A202&amp;"aaaaaaaaaa",COPY!$S$2:$AA$1000,6,FALSE)," ")</f>
        <v xml:space="preserve"> </v>
      </c>
      <c r="AJ202" s="90" t="str">
        <f>IFERROR(VLOOKUP(A202&amp;"aaaaaaaaaaa",COPY!$S$2:$AA$1000,6,FALSE)," ")</f>
        <v xml:space="preserve"> </v>
      </c>
      <c r="AK202" s="90" t="str">
        <f>IF(LEFT(B202,2)="mg",VLOOKUP(A202,COPY!$S$2:$AA$1000,7,FALSE),IF(LEFT(B202,1)="G"," ",IF(LEFT(B202,2)="ma"," "," ")))</f>
        <v xml:space="preserve"> </v>
      </c>
      <c r="AL202" s="90" t="str">
        <f>IFERROR(VLOOKUP(A202&amp;"a",COPY!$S$2:$AA$1000,7,FALSE)," ")</f>
        <v xml:space="preserve"> </v>
      </c>
      <c r="AM202" s="90" t="str">
        <f>IFERROR(VLOOKUP(A202&amp;"aa",COPY!$S$2:$AA$1000,7,FALSE)," ")</f>
        <v xml:space="preserve"> </v>
      </c>
      <c r="AN202" s="90" t="str">
        <f>IFERROR(VLOOKUP(A202&amp;"aaa",COPY!$S$2:$AA$1000,7,FALSE)," ")</f>
        <v xml:space="preserve"> </v>
      </c>
      <c r="AO202" s="90" t="str">
        <f>IFERROR(VLOOKUP(A202&amp;"aaaa",COPY!$S$2:$AA$1000,7,FALSE)," ")</f>
        <v xml:space="preserve"> </v>
      </c>
      <c r="AP202" s="90" t="str">
        <f>IFERROR(VLOOKUP(A202&amp;"aaaaa",COPY!$S$2:$AA$1000,7,FALSE)," ")</f>
        <v xml:space="preserve"> </v>
      </c>
      <c r="AQ202" s="90" t="str">
        <f>IFERROR(VLOOKUP(A202&amp;"aaaaaa",COPY!$S$2:$AA$1000,7,FALSE)," ")</f>
        <v xml:space="preserve"> </v>
      </c>
      <c r="AR202" s="90" t="str">
        <f>IFERROR(VLOOKUP(A202&amp;"aaaaaaa",COPY!$S$2:$AA$1000,7,FALSE)," ")</f>
        <v xml:space="preserve"> </v>
      </c>
      <c r="AS202" s="90" t="str">
        <f>IFERROR(VLOOKUP(A202&amp;"aaaaaaaa",COPY!$S$2:$AA$1000,7,FALSE)," ")</f>
        <v xml:space="preserve"> </v>
      </c>
      <c r="AT202" s="90" t="str">
        <f>IFERROR(VLOOKUP(A202&amp;"aaaaaaaaa",COPY!$S$2:$AA$1000,7,FALSE)," ")</f>
        <v xml:space="preserve"> </v>
      </c>
      <c r="AU202" s="90" t="str">
        <f>IFERROR(VLOOKUP(A202&amp;"aaaaaaaaaa",COPY!$S$2:$AA$1000,7,FALSE)," ")</f>
        <v xml:space="preserve"> </v>
      </c>
      <c r="AV202" s="90" t="str">
        <f>IFERROR(VLOOKUP(A202&amp;"aaaaaaaaaaa",COPY!$S$2:$AA$1000,7,FALSE)," ")</f>
        <v xml:space="preserve"> </v>
      </c>
    </row>
    <row r="203" spans="1:48" x14ac:dyDescent="0.2">
      <c r="A203" s="75" t="str">
        <f>'REKAP PAJAK'!W240</f>
        <v/>
      </c>
      <c r="B203" s="75" t="str">
        <f>IF(LEN(A203)&gt;1,VLOOKUP(A203,COPY!$O$2:$R$1000,4,FALSE),"")</f>
        <v/>
      </c>
      <c r="C203" s="75" t="str">
        <f t="shared" si="18"/>
        <v xml:space="preserve"> </v>
      </c>
      <c r="D203" s="75" t="str">
        <f t="shared" si="19"/>
        <v xml:space="preserve"> </v>
      </c>
      <c r="E203" s="75" t="str">
        <f t="shared" si="20"/>
        <v xml:space="preserve"> </v>
      </c>
      <c r="F203" s="75" t="str">
        <f t="shared" si="21"/>
        <v xml:space="preserve"> </v>
      </c>
      <c r="H203" s="75" t="str">
        <f t="shared" si="22"/>
        <v xml:space="preserve"> </v>
      </c>
      <c r="I203" s="75" t="str">
        <f t="shared" si="23"/>
        <v xml:space="preserve"> </v>
      </c>
      <c r="J203" s="90" t="str">
        <f>IFERROR(VLOOKUP(A203,COPY!$S$2:$W$1000,4,FALSE)," ")</f>
        <v xml:space="preserve"> </v>
      </c>
      <c r="K203" s="75" t="str">
        <f>IFERROR(VLOOKUP(A203,COPY!$S$2:$W$1000,5,FALSE)," ")</f>
        <v xml:space="preserve"> </v>
      </c>
      <c r="L203" s="75" t="str">
        <f>IF(B203="","",IF(LEFT(B203,2)="Ma",(VLOOKUP(B203,'Rekap Gaji'!$C$12:$D$26,2,FALSE))&amp;" Untuk "&amp;(PROPER('Rekap Gaji'!$B$2)),IF(LEFT(B203,2)="Mg","Pembelian Material Bahan Bangunan",IF(LEFT(B203,2)="Me","Biaya Pembelanjaan Menejemen",IF(LEFT(B203,1)="G",VLOOKUP(A203,COPY!$S$2:$AA$1000,2,FALSE)&amp;"( "&amp;TEXT(VLOOKUP(B203,'Rekap Gaji'!$A$12:$I$26,5,FALSE),"dd-mm-yyyy")&amp;" "&amp;TEXT(VLOOKUP(B203,'Rekap Gaji'!$A$12:$I$26,6,FALSE)&amp;" "&amp;TEXT(VLOOKUP(B203,'Rekap Gaji'!$A$12:$I$26,7,FALSE),"dd-mm-yyyy")&amp;" )"," "))))))</f>
        <v/>
      </c>
      <c r="M203" s="75" t="str">
        <f>IF(OR(LEFT(B203,2)="mg",LEFT(B203,2)="mE"),VLOOKUP(A203,COPY!$S$2:$AA$1000,2,FALSE),IF(LEFT(B203,1)="G"," ",IF(LEFT(B203,2)="ma"," "," ")))</f>
        <v xml:space="preserve"> </v>
      </c>
      <c r="N203" s="75" t="str">
        <f>IFERROR(VLOOKUP(A203&amp;"a",COPY!$S$2:$AA$1000,2,FALSE)," ")</f>
        <v xml:space="preserve"> </v>
      </c>
      <c r="O203" s="75" t="str">
        <f>IFERROR(VLOOKUP(A203&amp;"aa",COPY!$S$2:$AA$1000,2,FALSE)," ")</f>
        <v xml:space="preserve"> </v>
      </c>
      <c r="P203" s="75" t="str">
        <f>IFERROR(VLOOKUP(A203&amp;"aaa",COPY!$S$2:$AA$1000,2,FALSE)," ")</f>
        <v xml:space="preserve"> </v>
      </c>
      <c r="Q203" s="75" t="str">
        <f>IFERROR(VLOOKUP(A203&amp;"aaaa",COPY!$S$2:$AA$1000,2,FALSE)," ")</f>
        <v xml:space="preserve"> </v>
      </c>
      <c r="R203" s="75" t="str">
        <f>IFERROR(VLOOKUP(A203&amp;"aaaaa",COPY!$S$2:$AA$1000,2,FALSE)," ")</f>
        <v xml:space="preserve"> </v>
      </c>
      <c r="S203" s="75" t="str">
        <f>IFERROR(VLOOKUP(A203&amp;"aaaaaa",COPY!$S$2:$AA$1000,2,FALSE)," ")</f>
        <v xml:space="preserve"> </v>
      </c>
      <c r="T203" s="75" t="str">
        <f>IFERROR(VLOOKUP(A203&amp;"aaaaaaa",COPY!$S$2:$AA$1000,2,FALSE)," ")</f>
        <v xml:space="preserve"> </v>
      </c>
      <c r="U203" s="75" t="str">
        <f>IFERROR(VLOOKUP(A203&amp;"aaaaaaaa",COPY!$S$2:$AA$1000,2,FALSE)," ")</f>
        <v xml:space="preserve"> </v>
      </c>
      <c r="V203" s="75" t="str">
        <f>IFERROR(VLOOKUP(A203&amp;"aaaaaaaaa",COPY!$S$2:$AA$1000,2,FALSE)," ")</f>
        <v xml:space="preserve"> </v>
      </c>
      <c r="W203" s="75" t="str">
        <f>IFERROR(VLOOKUP(A203&amp;"aaaaaaaaaa",COPY!$S$2:$AA$1000,2,FALSE)," ")</f>
        <v xml:space="preserve"> </v>
      </c>
      <c r="X203" s="75" t="str">
        <f>IFERROR(VLOOKUP(A203&amp;"aaaaaaaaaaa",COPY!$S$2:$AA$1000,2,FALSE)," ")</f>
        <v xml:space="preserve"> </v>
      </c>
      <c r="Y203" s="90" t="str">
        <f>IF(OR(LEFT(B203,2)="mg",LEFT(B203,2)="mE"),VLOOKUP(A203,COPY!$S$2:$AA$1000,6,FALSE),IF(LEFT(B203,1)="G"," ",IF(LEFT(B203,2)="ma"," "," ")))</f>
        <v xml:space="preserve"> </v>
      </c>
      <c r="Z203" s="90" t="str">
        <f>IFERROR(VLOOKUP(A203&amp;"a",COPY!$S$2:$AA$1000,6,FALSE)," ")</f>
        <v xml:space="preserve"> </v>
      </c>
      <c r="AA203" s="90" t="str">
        <f>IFERROR(VLOOKUP(A203&amp;"aa",COPY!$S$2:$AA$1000,6,FALSE)," ")</f>
        <v xml:space="preserve"> </v>
      </c>
      <c r="AB203" s="90" t="str">
        <f>IFERROR(VLOOKUP(A203&amp;"aaa",COPY!$S$2:$AA$1000,6,FALSE)," ")</f>
        <v xml:space="preserve"> </v>
      </c>
      <c r="AC203" s="90" t="str">
        <f>IFERROR(VLOOKUP(A203&amp;"aaaa",COPY!$S$2:$AA$1000,6,FALSE)," ")</f>
        <v xml:space="preserve"> </v>
      </c>
      <c r="AD203" s="90" t="str">
        <f>IFERROR(VLOOKUP(A203&amp;"aaaaa",COPY!$S$2:$AA$1000,6,FALSE)," ")</f>
        <v xml:space="preserve"> </v>
      </c>
      <c r="AE203" s="90" t="str">
        <f>IFERROR(VLOOKUP(A203&amp;"aaaaaa",COPY!$S$2:$AA$1000,6,FALSE)," ")</f>
        <v xml:space="preserve"> </v>
      </c>
      <c r="AF203" s="90" t="str">
        <f>IFERROR(VLOOKUP(A203&amp;"aaaaaaa",COPY!$S$2:$AA$1000,6,FALSE)," ")</f>
        <v xml:space="preserve"> </v>
      </c>
      <c r="AG203" s="90" t="str">
        <f>IFERROR(VLOOKUP(A203&amp;"aaaaaaaa",COPY!$S$2:$AA$1000,6,FALSE)," ")</f>
        <v xml:space="preserve"> </v>
      </c>
      <c r="AH203" s="90" t="str">
        <f>IFERROR(VLOOKUP(A203&amp;"aaaaaaaaa",COPY!$S$2:$AA$1000,6,FALSE)," ")</f>
        <v xml:space="preserve"> </v>
      </c>
      <c r="AI203" s="90" t="str">
        <f>IFERROR(VLOOKUP(A203&amp;"aaaaaaaaaa",COPY!$S$2:$AA$1000,6,FALSE)," ")</f>
        <v xml:space="preserve"> </v>
      </c>
      <c r="AJ203" s="90" t="str">
        <f>IFERROR(VLOOKUP(A203&amp;"aaaaaaaaaaa",COPY!$S$2:$AA$1000,6,FALSE)," ")</f>
        <v xml:space="preserve"> </v>
      </c>
      <c r="AK203" s="90" t="str">
        <f>IF(LEFT(B203,2)="mg",VLOOKUP(A203,COPY!$S$2:$AA$1000,7,FALSE),IF(LEFT(B203,1)="G"," ",IF(LEFT(B203,2)="ma"," "," ")))</f>
        <v xml:space="preserve"> </v>
      </c>
      <c r="AL203" s="90" t="str">
        <f>IFERROR(VLOOKUP(A203&amp;"a",COPY!$S$2:$AA$1000,7,FALSE)," ")</f>
        <v xml:space="preserve"> </v>
      </c>
      <c r="AM203" s="90" t="str">
        <f>IFERROR(VLOOKUP(A203&amp;"aa",COPY!$S$2:$AA$1000,7,FALSE)," ")</f>
        <v xml:space="preserve"> </v>
      </c>
      <c r="AN203" s="90" t="str">
        <f>IFERROR(VLOOKUP(A203&amp;"aaa",COPY!$S$2:$AA$1000,7,FALSE)," ")</f>
        <v xml:space="preserve"> </v>
      </c>
      <c r="AO203" s="90" t="str">
        <f>IFERROR(VLOOKUP(A203&amp;"aaaa",COPY!$S$2:$AA$1000,7,FALSE)," ")</f>
        <v xml:space="preserve"> </v>
      </c>
      <c r="AP203" s="90" t="str">
        <f>IFERROR(VLOOKUP(A203&amp;"aaaaa",COPY!$S$2:$AA$1000,7,FALSE)," ")</f>
        <v xml:space="preserve"> </v>
      </c>
      <c r="AQ203" s="90" t="str">
        <f>IFERROR(VLOOKUP(A203&amp;"aaaaaa",COPY!$S$2:$AA$1000,7,FALSE)," ")</f>
        <v xml:space="preserve"> </v>
      </c>
      <c r="AR203" s="90" t="str">
        <f>IFERROR(VLOOKUP(A203&amp;"aaaaaaa",COPY!$S$2:$AA$1000,7,FALSE)," ")</f>
        <v xml:space="preserve"> </v>
      </c>
      <c r="AS203" s="90" t="str">
        <f>IFERROR(VLOOKUP(A203&amp;"aaaaaaaa",COPY!$S$2:$AA$1000,7,FALSE)," ")</f>
        <v xml:space="preserve"> </v>
      </c>
      <c r="AT203" s="90" t="str">
        <f>IFERROR(VLOOKUP(A203&amp;"aaaaaaaaa",COPY!$S$2:$AA$1000,7,FALSE)," ")</f>
        <v xml:space="preserve"> </v>
      </c>
      <c r="AU203" s="90" t="str">
        <f>IFERROR(VLOOKUP(A203&amp;"aaaaaaaaaa",COPY!$S$2:$AA$1000,7,FALSE)," ")</f>
        <v xml:space="preserve"> </v>
      </c>
      <c r="AV203" s="90" t="str">
        <f>IFERROR(VLOOKUP(A203&amp;"aaaaaaaaaaa",COPY!$S$2:$AA$1000,7,FALSE)," ")</f>
        <v xml:space="preserve"> </v>
      </c>
    </row>
    <row r="204" spans="1:48" x14ac:dyDescent="0.2">
      <c r="A204" s="75" t="str">
        <f>'REKAP PAJAK'!W241</f>
        <v/>
      </c>
      <c r="B204" s="75" t="str">
        <f>IF(LEN(A204)&gt;1,VLOOKUP(A204,COPY!$O$2:$R$1000,4,FALSE),"")</f>
        <v/>
      </c>
      <c r="C204" s="75" t="str">
        <f t="shared" si="18"/>
        <v xml:space="preserve"> </v>
      </c>
      <c r="D204" s="75" t="str">
        <f t="shared" si="19"/>
        <v xml:space="preserve"> </v>
      </c>
      <c r="E204" s="75" t="str">
        <f t="shared" si="20"/>
        <v xml:space="preserve"> </v>
      </c>
      <c r="F204" s="75" t="str">
        <f t="shared" si="21"/>
        <v xml:space="preserve"> </v>
      </c>
      <c r="H204" s="75" t="str">
        <f t="shared" si="22"/>
        <v xml:space="preserve"> </v>
      </c>
      <c r="I204" s="75" t="str">
        <f t="shared" si="23"/>
        <v xml:space="preserve"> </v>
      </c>
      <c r="J204" s="90" t="str">
        <f>IFERROR(VLOOKUP(A204,COPY!$S$2:$W$1000,4,FALSE)," ")</f>
        <v xml:space="preserve"> </v>
      </c>
      <c r="K204" s="75" t="str">
        <f>IFERROR(VLOOKUP(A204,COPY!$S$2:$W$1000,5,FALSE)," ")</f>
        <v xml:space="preserve"> </v>
      </c>
      <c r="L204" s="75" t="str">
        <f>IF(B204="","",IF(LEFT(B204,2)="Ma",(VLOOKUP(B204,'Rekap Gaji'!$C$12:$D$26,2,FALSE))&amp;" Untuk "&amp;(PROPER('Rekap Gaji'!$B$2)),IF(LEFT(B204,2)="Mg","Pembelian Material Bahan Bangunan",IF(LEFT(B204,2)="Me","Biaya Pembelanjaan Menejemen",IF(LEFT(B204,1)="G",VLOOKUP(A204,COPY!$S$2:$AA$1000,2,FALSE)&amp;"( "&amp;TEXT(VLOOKUP(B204,'Rekap Gaji'!$A$12:$I$26,5,FALSE),"dd-mm-yyyy")&amp;" "&amp;TEXT(VLOOKUP(B204,'Rekap Gaji'!$A$12:$I$26,6,FALSE)&amp;" "&amp;TEXT(VLOOKUP(B204,'Rekap Gaji'!$A$12:$I$26,7,FALSE),"dd-mm-yyyy")&amp;" )"," "))))))</f>
        <v/>
      </c>
      <c r="M204" s="75" t="str">
        <f>IF(OR(LEFT(B204,2)="mg",LEFT(B204,2)="mE"),VLOOKUP(A204,COPY!$S$2:$AA$1000,2,FALSE),IF(LEFT(B204,1)="G"," ",IF(LEFT(B204,2)="ma"," "," ")))</f>
        <v xml:space="preserve"> </v>
      </c>
      <c r="N204" s="75" t="str">
        <f>IFERROR(VLOOKUP(A204&amp;"a",COPY!$S$2:$AA$1000,2,FALSE)," ")</f>
        <v xml:space="preserve"> </v>
      </c>
      <c r="O204" s="75" t="str">
        <f>IFERROR(VLOOKUP(A204&amp;"aa",COPY!$S$2:$AA$1000,2,FALSE)," ")</f>
        <v xml:space="preserve"> </v>
      </c>
      <c r="P204" s="75" t="str">
        <f>IFERROR(VLOOKUP(A204&amp;"aaa",COPY!$S$2:$AA$1000,2,FALSE)," ")</f>
        <v xml:space="preserve"> </v>
      </c>
      <c r="Q204" s="75" t="str">
        <f>IFERROR(VLOOKUP(A204&amp;"aaaa",COPY!$S$2:$AA$1000,2,FALSE)," ")</f>
        <v xml:space="preserve"> </v>
      </c>
      <c r="R204" s="75" t="str">
        <f>IFERROR(VLOOKUP(A204&amp;"aaaaa",COPY!$S$2:$AA$1000,2,FALSE)," ")</f>
        <v xml:space="preserve"> </v>
      </c>
      <c r="S204" s="75" t="str">
        <f>IFERROR(VLOOKUP(A204&amp;"aaaaaa",COPY!$S$2:$AA$1000,2,FALSE)," ")</f>
        <v xml:space="preserve"> </v>
      </c>
      <c r="T204" s="75" t="str">
        <f>IFERROR(VLOOKUP(A204&amp;"aaaaaaa",COPY!$S$2:$AA$1000,2,FALSE)," ")</f>
        <v xml:space="preserve"> </v>
      </c>
      <c r="U204" s="75" t="str">
        <f>IFERROR(VLOOKUP(A204&amp;"aaaaaaaa",COPY!$S$2:$AA$1000,2,FALSE)," ")</f>
        <v xml:space="preserve"> </v>
      </c>
      <c r="V204" s="75" t="str">
        <f>IFERROR(VLOOKUP(A204&amp;"aaaaaaaaa",COPY!$S$2:$AA$1000,2,FALSE)," ")</f>
        <v xml:space="preserve"> </v>
      </c>
      <c r="W204" s="75" t="str">
        <f>IFERROR(VLOOKUP(A204&amp;"aaaaaaaaaa",COPY!$S$2:$AA$1000,2,FALSE)," ")</f>
        <v xml:space="preserve"> </v>
      </c>
      <c r="X204" s="75" t="str">
        <f>IFERROR(VLOOKUP(A204&amp;"aaaaaaaaaaa",COPY!$S$2:$AA$1000,2,FALSE)," ")</f>
        <v xml:space="preserve"> </v>
      </c>
      <c r="Y204" s="90" t="str">
        <f>IF(OR(LEFT(B204,2)="mg",LEFT(B204,2)="mE"),VLOOKUP(A204,COPY!$S$2:$AA$1000,6,FALSE),IF(LEFT(B204,1)="G"," ",IF(LEFT(B204,2)="ma"," "," ")))</f>
        <v xml:space="preserve"> </v>
      </c>
      <c r="Z204" s="90" t="str">
        <f>IFERROR(VLOOKUP(A204&amp;"a",COPY!$S$2:$AA$1000,6,FALSE)," ")</f>
        <v xml:space="preserve"> </v>
      </c>
      <c r="AA204" s="90" t="str">
        <f>IFERROR(VLOOKUP(A204&amp;"aa",COPY!$S$2:$AA$1000,6,FALSE)," ")</f>
        <v xml:space="preserve"> </v>
      </c>
      <c r="AB204" s="90" t="str">
        <f>IFERROR(VLOOKUP(A204&amp;"aaa",COPY!$S$2:$AA$1000,6,FALSE)," ")</f>
        <v xml:space="preserve"> </v>
      </c>
      <c r="AC204" s="90" t="str">
        <f>IFERROR(VLOOKUP(A204&amp;"aaaa",COPY!$S$2:$AA$1000,6,FALSE)," ")</f>
        <v xml:space="preserve"> </v>
      </c>
      <c r="AD204" s="90" t="str">
        <f>IFERROR(VLOOKUP(A204&amp;"aaaaa",COPY!$S$2:$AA$1000,6,FALSE)," ")</f>
        <v xml:space="preserve"> </v>
      </c>
      <c r="AE204" s="90" t="str">
        <f>IFERROR(VLOOKUP(A204&amp;"aaaaaa",COPY!$S$2:$AA$1000,6,FALSE)," ")</f>
        <v xml:space="preserve"> </v>
      </c>
      <c r="AF204" s="90" t="str">
        <f>IFERROR(VLOOKUP(A204&amp;"aaaaaaa",COPY!$S$2:$AA$1000,6,FALSE)," ")</f>
        <v xml:space="preserve"> </v>
      </c>
      <c r="AG204" s="90" t="str">
        <f>IFERROR(VLOOKUP(A204&amp;"aaaaaaaa",COPY!$S$2:$AA$1000,6,FALSE)," ")</f>
        <v xml:space="preserve"> </v>
      </c>
      <c r="AH204" s="90" t="str">
        <f>IFERROR(VLOOKUP(A204&amp;"aaaaaaaaa",COPY!$S$2:$AA$1000,6,FALSE)," ")</f>
        <v xml:space="preserve"> </v>
      </c>
      <c r="AI204" s="90" t="str">
        <f>IFERROR(VLOOKUP(A204&amp;"aaaaaaaaaa",COPY!$S$2:$AA$1000,6,FALSE)," ")</f>
        <v xml:space="preserve"> </v>
      </c>
      <c r="AJ204" s="90" t="str">
        <f>IFERROR(VLOOKUP(A204&amp;"aaaaaaaaaaa",COPY!$S$2:$AA$1000,6,FALSE)," ")</f>
        <v xml:space="preserve"> </v>
      </c>
      <c r="AK204" s="90" t="str">
        <f>IF(LEFT(B204,2)="mg",VLOOKUP(A204,COPY!$S$2:$AA$1000,7,FALSE),IF(LEFT(B204,1)="G"," ",IF(LEFT(B204,2)="ma"," "," ")))</f>
        <v xml:space="preserve"> </v>
      </c>
      <c r="AL204" s="90" t="str">
        <f>IFERROR(VLOOKUP(A204&amp;"a",COPY!$S$2:$AA$1000,7,FALSE)," ")</f>
        <v xml:space="preserve"> </v>
      </c>
      <c r="AM204" s="90" t="str">
        <f>IFERROR(VLOOKUP(A204&amp;"aa",COPY!$S$2:$AA$1000,7,FALSE)," ")</f>
        <v xml:space="preserve"> </v>
      </c>
      <c r="AN204" s="90" t="str">
        <f>IFERROR(VLOOKUP(A204&amp;"aaa",COPY!$S$2:$AA$1000,7,FALSE)," ")</f>
        <v xml:space="preserve"> </v>
      </c>
      <c r="AO204" s="90" t="str">
        <f>IFERROR(VLOOKUP(A204&amp;"aaaa",COPY!$S$2:$AA$1000,7,FALSE)," ")</f>
        <v xml:space="preserve"> </v>
      </c>
      <c r="AP204" s="90" t="str">
        <f>IFERROR(VLOOKUP(A204&amp;"aaaaa",COPY!$S$2:$AA$1000,7,FALSE)," ")</f>
        <v xml:space="preserve"> </v>
      </c>
      <c r="AQ204" s="90" t="str">
        <f>IFERROR(VLOOKUP(A204&amp;"aaaaaa",COPY!$S$2:$AA$1000,7,FALSE)," ")</f>
        <v xml:space="preserve"> </v>
      </c>
      <c r="AR204" s="90" t="str">
        <f>IFERROR(VLOOKUP(A204&amp;"aaaaaaa",COPY!$S$2:$AA$1000,7,FALSE)," ")</f>
        <v xml:space="preserve"> </v>
      </c>
      <c r="AS204" s="90" t="str">
        <f>IFERROR(VLOOKUP(A204&amp;"aaaaaaaa",COPY!$S$2:$AA$1000,7,FALSE)," ")</f>
        <v xml:space="preserve"> </v>
      </c>
      <c r="AT204" s="90" t="str">
        <f>IFERROR(VLOOKUP(A204&amp;"aaaaaaaaa",COPY!$S$2:$AA$1000,7,FALSE)," ")</f>
        <v xml:space="preserve"> </v>
      </c>
      <c r="AU204" s="90" t="str">
        <f>IFERROR(VLOOKUP(A204&amp;"aaaaaaaaaa",COPY!$S$2:$AA$1000,7,FALSE)," ")</f>
        <v xml:space="preserve"> </v>
      </c>
      <c r="AV204" s="90" t="str">
        <f>IFERROR(VLOOKUP(A204&amp;"aaaaaaaaaaa",COPY!$S$2:$AA$1000,7,FALSE)," ")</f>
        <v xml:space="preserve"> </v>
      </c>
    </row>
    <row r="205" spans="1:48" x14ac:dyDescent="0.2">
      <c r="A205" s="75" t="str">
        <f>'REKAP PAJAK'!W242</f>
        <v/>
      </c>
      <c r="B205" s="75" t="str">
        <f>IF(LEN(A205)&gt;1,VLOOKUP(A205,COPY!$O$2:$R$1000,4,FALSE),"")</f>
        <v/>
      </c>
      <c r="C205" s="75" t="str">
        <f t="shared" si="18"/>
        <v xml:space="preserve"> </v>
      </c>
      <c r="D205" s="75" t="str">
        <f t="shared" si="19"/>
        <v xml:space="preserve"> </v>
      </c>
      <c r="E205" s="75" t="str">
        <f t="shared" si="20"/>
        <v xml:space="preserve"> </v>
      </c>
      <c r="F205" s="75" t="str">
        <f t="shared" si="21"/>
        <v xml:space="preserve"> </v>
      </c>
      <c r="H205" s="75" t="str">
        <f t="shared" si="22"/>
        <v xml:space="preserve"> </v>
      </c>
      <c r="I205" s="75" t="str">
        <f t="shared" si="23"/>
        <v xml:space="preserve"> </v>
      </c>
      <c r="J205" s="90" t="str">
        <f>IFERROR(VLOOKUP(A205,COPY!$S$2:$W$1000,4,FALSE)," ")</f>
        <v xml:space="preserve"> </v>
      </c>
      <c r="K205" s="75" t="str">
        <f>IFERROR(VLOOKUP(A205,COPY!$S$2:$W$1000,5,FALSE)," ")</f>
        <v xml:space="preserve"> </v>
      </c>
      <c r="L205" s="75" t="str">
        <f>IF(B205="","",IF(LEFT(B205,2)="Ma",(VLOOKUP(B205,'Rekap Gaji'!$C$12:$D$26,2,FALSE))&amp;" Untuk "&amp;(PROPER('Rekap Gaji'!$B$2)),IF(LEFT(B205,2)="Mg","Pembelian Material Bahan Bangunan",IF(LEFT(B205,2)="Me","Biaya Pembelanjaan Menejemen",IF(LEFT(B205,1)="G",VLOOKUP(A205,COPY!$S$2:$AA$1000,2,FALSE)&amp;"( "&amp;TEXT(VLOOKUP(B205,'Rekap Gaji'!$A$12:$I$26,5,FALSE),"dd-mm-yyyy")&amp;" "&amp;TEXT(VLOOKUP(B205,'Rekap Gaji'!$A$12:$I$26,6,FALSE)&amp;" "&amp;TEXT(VLOOKUP(B205,'Rekap Gaji'!$A$12:$I$26,7,FALSE),"dd-mm-yyyy")&amp;" )"," "))))))</f>
        <v/>
      </c>
      <c r="M205" s="75" t="str">
        <f>IF(OR(LEFT(B205,2)="mg",LEFT(B205,2)="mE"),VLOOKUP(A205,COPY!$S$2:$AA$1000,2,FALSE),IF(LEFT(B205,1)="G"," ",IF(LEFT(B205,2)="ma"," "," ")))</f>
        <v xml:space="preserve"> </v>
      </c>
      <c r="N205" s="75" t="str">
        <f>IFERROR(VLOOKUP(A205&amp;"a",COPY!$S$2:$AA$1000,2,FALSE)," ")</f>
        <v xml:space="preserve"> </v>
      </c>
      <c r="O205" s="75" t="str">
        <f>IFERROR(VLOOKUP(A205&amp;"aa",COPY!$S$2:$AA$1000,2,FALSE)," ")</f>
        <v xml:space="preserve"> </v>
      </c>
      <c r="P205" s="75" t="str">
        <f>IFERROR(VLOOKUP(A205&amp;"aaa",COPY!$S$2:$AA$1000,2,FALSE)," ")</f>
        <v xml:space="preserve"> </v>
      </c>
      <c r="Q205" s="75" t="str">
        <f>IFERROR(VLOOKUP(A205&amp;"aaaa",COPY!$S$2:$AA$1000,2,FALSE)," ")</f>
        <v xml:space="preserve"> </v>
      </c>
      <c r="R205" s="75" t="str">
        <f>IFERROR(VLOOKUP(A205&amp;"aaaaa",COPY!$S$2:$AA$1000,2,FALSE)," ")</f>
        <v xml:space="preserve"> </v>
      </c>
      <c r="S205" s="75" t="str">
        <f>IFERROR(VLOOKUP(A205&amp;"aaaaaa",COPY!$S$2:$AA$1000,2,FALSE)," ")</f>
        <v xml:space="preserve"> </v>
      </c>
      <c r="T205" s="75" t="str">
        <f>IFERROR(VLOOKUP(A205&amp;"aaaaaaa",COPY!$S$2:$AA$1000,2,FALSE)," ")</f>
        <v xml:space="preserve"> </v>
      </c>
      <c r="U205" s="75" t="str">
        <f>IFERROR(VLOOKUP(A205&amp;"aaaaaaaa",COPY!$S$2:$AA$1000,2,FALSE)," ")</f>
        <v xml:space="preserve"> </v>
      </c>
      <c r="V205" s="75" t="str">
        <f>IFERROR(VLOOKUP(A205&amp;"aaaaaaaaa",COPY!$S$2:$AA$1000,2,FALSE)," ")</f>
        <v xml:space="preserve"> </v>
      </c>
      <c r="W205" s="75" t="str">
        <f>IFERROR(VLOOKUP(A205&amp;"aaaaaaaaaa",COPY!$S$2:$AA$1000,2,FALSE)," ")</f>
        <v xml:space="preserve"> </v>
      </c>
      <c r="X205" s="75" t="str">
        <f>IFERROR(VLOOKUP(A205&amp;"aaaaaaaaaaa",COPY!$S$2:$AA$1000,2,FALSE)," ")</f>
        <v xml:space="preserve"> </v>
      </c>
      <c r="Y205" s="90" t="str">
        <f>IF(OR(LEFT(B205,2)="mg",LEFT(B205,2)="mE"),VLOOKUP(A205,COPY!$S$2:$AA$1000,6,FALSE),IF(LEFT(B205,1)="G"," ",IF(LEFT(B205,2)="ma"," "," ")))</f>
        <v xml:space="preserve"> </v>
      </c>
      <c r="Z205" s="90" t="str">
        <f>IFERROR(VLOOKUP(A205&amp;"a",COPY!$S$2:$AA$1000,6,FALSE)," ")</f>
        <v xml:space="preserve"> </v>
      </c>
      <c r="AA205" s="90" t="str">
        <f>IFERROR(VLOOKUP(A205&amp;"aa",COPY!$S$2:$AA$1000,6,FALSE)," ")</f>
        <v xml:space="preserve"> </v>
      </c>
      <c r="AB205" s="90" t="str">
        <f>IFERROR(VLOOKUP(A205&amp;"aaa",COPY!$S$2:$AA$1000,6,FALSE)," ")</f>
        <v xml:space="preserve"> </v>
      </c>
      <c r="AC205" s="90" t="str">
        <f>IFERROR(VLOOKUP(A205&amp;"aaaa",COPY!$S$2:$AA$1000,6,FALSE)," ")</f>
        <v xml:space="preserve"> </v>
      </c>
      <c r="AD205" s="90" t="str">
        <f>IFERROR(VLOOKUP(A205&amp;"aaaaa",COPY!$S$2:$AA$1000,6,FALSE)," ")</f>
        <v xml:space="preserve"> </v>
      </c>
      <c r="AE205" s="90" t="str">
        <f>IFERROR(VLOOKUP(A205&amp;"aaaaaa",COPY!$S$2:$AA$1000,6,FALSE)," ")</f>
        <v xml:space="preserve"> </v>
      </c>
      <c r="AF205" s="90" t="str">
        <f>IFERROR(VLOOKUP(A205&amp;"aaaaaaa",COPY!$S$2:$AA$1000,6,FALSE)," ")</f>
        <v xml:space="preserve"> </v>
      </c>
      <c r="AG205" s="90" t="str">
        <f>IFERROR(VLOOKUP(A205&amp;"aaaaaaaa",COPY!$S$2:$AA$1000,6,FALSE)," ")</f>
        <v xml:space="preserve"> </v>
      </c>
      <c r="AH205" s="90" t="str">
        <f>IFERROR(VLOOKUP(A205&amp;"aaaaaaaaa",COPY!$S$2:$AA$1000,6,FALSE)," ")</f>
        <v xml:space="preserve"> </v>
      </c>
      <c r="AI205" s="90" t="str">
        <f>IFERROR(VLOOKUP(A205&amp;"aaaaaaaaaa",COPY!$S$2:$AA$1000,6,FALSE)," ")</f>
        <v xml:space="preserve"> </v>
      </c>
      <c r="AJ205" s="90" t="str">
        <f>IFERROR(VLOOKUP(A205&amp;"aaaaaaaaaaa",COPY!$S$2:$AA$1000,6,FALSE)," ")</f>
        <v xml:space="preserve"> </v>
      </c>
      <c r="AK205" s="90" t="str">
        <f>IF(LEFT(B205,2)="mg",VLOOKUP(A205,COPY!$S$2:$AA$1000,7,FALSE),IF(LEFT(B205,1)="G"," ",IF(LEFT(B205,2)="ma"," "," ")))</f>
        <v xml:space="preserve"> </v>
      </c>
      <c r="AL205" s="90" t="str">
        <f>IFERROR(VLOOKUP(A205&amp;"a",COPY!$S$2:$AA$1000,7,FALSE)," ")</f>
        <v xml:space="preserve"> </v>
      </c>
      <c r="AM205" s="90" t="str">
        <f>IFERROR(VLOOKUP(A205&amp;"aa",COPY!$S$2:$AA$1000,7,FALSE)," ")</f>
        <v xml:space="preserve"> </v>
      </c>
      <c r="AN205" s="90" t="str">
        <f>IFERROR(VLOOKUP(A205&amp;"aaa",COPY!$S$2:$AA$1000,7,FALSE)," ")</f>
        <v xml:space="preserve"> </v>
      </c>
      <c r="AO205" s="90" t="str">
        <f>IFERROR(VLOOKUP(A205&amp;"aaaa",COPY!$S$2:$AA$1000,7,FALSE)," ")</f>
        <v xml:space="preserve"> </v>
      </c>
      <c r="AP205" s="90" t="str">
        <f>IFERROR(VLOOKUP(A205&amp;"aaaaa",COPY!$S$2:$AA$1000,7,FALSE)," ")</f>
        <v xml:space="preserve"> </v>
      </c>
      <c r="AQ205" s="90" t="str">
        <f>IFERROR(VLOOKUP(A205&amp;"aaaaaa",COPY!$S$2:$AA$1000,7,FALSE)," ")</f>
        <v xml:space="preserve"> </v>
      </c>
      <c r="AR205" s="90" t="str">
        <f>IFERROR(VLOOKUP(A205&amp;"aaaaaaa",COPY!$S$2:$AA$1000,7,FALSE)," ")</f>
        <v xml:space="preserve"> </v>
      </c>
      <c r="AS205" s="90" t="str">
        <f>IFERROR(VLOOKUP(A205&amp;"aaaaaaaa",COPY!$S$2:$AA$1000,7,FALSE)," ")</f>
        <v xml:space="preserve"> </v>
      </c>
      <c r="AT205" s="90" t="str">
        <f>IFERROR(VLOOKUP(A205&amp;"aaaaaaaaa",COPY!$S$2:$AA$1000,7,FALSE)," ")</f>
        <v xml:space="preserve"> </v>
      </c>
      <c r="AU205" s="90" t="str">
        <f>IFERROR(VLOOKUP(A205&amp;"aaaaaaaaaa",COPY!$S$2:$AA$1000,7,FALSE)," ")</f>
        <v xml:space="preserve"> </v>
      </c>
      <c r="AV205" s="90" t="str">
        <f>IFERROR(VLOOKUP(A205&amp;"aaaaaaaaaaa",COPY!$S$2:$AA$1000,7,FALSE)," ")</f>
        <v xml:space="preserve"> </v>
      </c>
    </row>
    <row r="206" spans="1:48" x14ac:dyDescent="0.2">
      <c r="A206" s="75" t="str">
        <f>'REKAP PAJAK'!W243</f>
        <v/>
      </c>
      <c r="B206" s="75" t="str">
        <f>IF(LEN(A206)&gt;1,VLOOKUP(A206,COPY!$O$2:$R$1000,4,FALSE),"")</f>
        <v/>
      </c>
      <c r="C206" s="75" t="str">
        <f t="shared" si="18"/>
        <v xml:space="preserve"> </v>
      </c>
      <c r="D206" s="75" t="str">
        <f t="shared" si="19"/>
        <v xml:space="preserve"> </v>
      </c>
      <c r="E206" s="75" t="str">
        <f t="shared" si="20"/>
        <v xml:space="preserve"> </v>
      </c>
      <c r="F206" s="75" t="str">
        <f t="shared" si="21"/>
        <v xml:space="preserve"> </v>
      </c>
      <c r="H206" s="75" t="str">
        <f t="shared" si="22"/>
        <v xml:space="preserve"> </v>
      </c>
      <c r="I206" s="75" t="str">
        <f t="shared" si="23"/>
        <v xml:space="preserve"> </v>
      </c>
      <c r="J206" s="90" t="str">
        <f>IFERROR(VLOOKUP(A206,COPY!$S$2:$W$1000,4,FALSE)," ")</f>
        <v xml:space="preserve"> </v>
      </c>
      <c r="K206" s="75" t="str">
        <f>IFERROR(VLOOKUP(A206,COPY!$S$2:$W$1000,5,FALSE)," ")</f>
        <v xml:space="preserve"> </v>
      </c>
      <c r="L206" s="75" t="str">
        <f>IF(B206="","",IF(LEFT(B206,2)="Ma",(VLOOKUP(B206,'Rekap Gaji'!$C$12:$D$26,2,FALSE))&amp;" Untuk "&amp;(PROPER('Rekap Gaji'!$B$2)),IF(LEFT(B206,2)="Mg","Pembelian Material Bahan Bangunan",IF(LEFT(B206,2)="Me","Biaya Pembelanjaan Menejemen",IF(LEFT(B206,1)="G",VLOOKUP(A206,COPY!$S$2:$AA$1000,2,FALSE)&amp;"( "&amp;TEXT(VLOOKUP(B206,'Rekap Gaji'!$A$12:$I$26,5,FALSE),"dd-mm-yyyy")&amp;" "&amp;TEXT(VLOOKUP(B206,'Rekap Gaji'!$A$12:$I$26,6,FALSE)&amp;" "&amp;TEXT(VLOOKUP(B206,'Rekap Gaji'!$A$12:$I$26,7,FALSE),"dd-mm-yyyy")&amp;" )"," "))))))</f>
        <v/>
      </c>
      <c r="M206" s="75" t="str">
        <f>IF(OR(LEFT(B206,2)="mg",LEFT(B206,2)="mE"),VLOOKUP(A206,COPY!$S$2:$AA$1000,2,FALSE),IF(LEFT(B206,1)="G"," ",IF(LEFT(B206,2)="ma"," "," ")))</f>
        <v xml:space="preserve"> </v>
      </c>
      <c r="N206" s="75" t="str">
        <f>IFERROR(VLOOKUP(A206&amp;"a",COPY!$S$2:$AA$1000,2,FALSE)," ")</f>
        <v xml:space="preserve"> </v>
      </c>
      <c r="O206" s="75" t="str">
        <f>IFERROR(VLOOKUP(A206&amp;"aa",COPY!$S$2:$AA$1000,2,FALSE)," ")</f>
        <v xml:space="preserve"> </v>
      </c>
      <c r="P206" s="75" t="str">
        <f>IFERROR(VLOOKUP(A206&amp;"aaa",COPY!$S$2:$AA$1000,2,FALSE)," ")</f>
        <v xml:space="preserve"> </v>
      </c>
      <c r="Q206" s="75" t="str">
        <f>IFERROR(VLOOKUP(A206&amp;"aaaa",COPY!$S$2:$AA$1000,2,FALSE)," ")</f>
        <v xml:space="preserve"> </v>
      </c>
      <c r="R206" s="75" t="str">
        <f>IFERROR(VLOOKUP(A206&amp;"aaaaa",COPY!$S$2:$AA$1000,2,FALSE)," ")</f>
        <v xml:space="preserve"> </v>
      </c>
      <c r="S206" s="75" t="str">
        <f>IFERROR(VLOOKUP(A206&amp;"aaaaaa",COPY!$S$2:$AA$1000,2,FALSE)," ")</f>
        <v xml:space="preserve"> </v>
      </c>
      <c r="T206" s="75" t="str">
        <f>IFERROR(VLOOKUP(A206&amp;"aaaaaaa",COPY!$S$2:$AA$1000,2,FALSE)," ")</f>
        <v xml:space="preserve"> </v>
      </c>
      <c r="U206" s="75" t="str">
        <f>IFERROR(VLOOKUP(A206&amp;"aaaaaaaa",COPY!$S$2:$AA$1000,2,FALSE)," ")</f>
        <v xml:space="preserve"> </v>
      </c>
      <c r="V206" s="75" t="str">
        <f>IFERROR(VLOOKUP(A206&amp;"aaaaaaaaa",COPY!$S$2:$AA$1000,2,FALSE)," ")</f>
        <v xml:space="preserve"> </v>
      </c>
      <c r="W206" s="75" t="str">
        <f>IFERROR(VLOOKUP(A206&amp;"aaaaaaaaaa",COPY!$S$2:$AA$1000,2,FALSE)," ")</f>
        <v xml:space="preserve"> </v>
      </c>
      <c r="X206" s="75" t="str">
        <f>IFERROR(VLOOKUP(A206&amp;"aaaaaaaaaaa",COPY!$S$2:$AA$1000,2,FALSE)," ")</f>
        <v xml:space="preserve"> </v>
      </c>
      <c r="Y206" s="90" t="str">
        <f>IF(OR(LEFT(B206,2)="mg",LEFT(B206,2)="mE"),VLOOKUP(A206,COPY!$S$2:$AA$1000,6,FALSE),IF(LEFT(B206,1)="G"," ",IF(LEFT(B206,2)="ma"," "," ")))</f>
        <v xml:space="preserve"> </v>
      </c>
      <c r="Z206" s="90" t="str">
        <f>IFERROR(VLOOKUP(A206&amp;"a",COPY!$S$2:$AA$1000,6,FALSE)," ")</f>
        <v xml:space="preserve"> </v>
      </c>
      <c r="AA206" s="90" t="str">
        <f>IFERROR(VLOOKUP(A206&amp;"aa",COPY!$S$2:$AA$1000,6,FALSE)," ")</f>
        <v xml:space="preserve"> </v>
      </c>
      <c r="AB206" s="90" t="str">
        <f>IFERROR(VLOOKUP(A206&amp;"aaa",COPY!$S$2:$AA$1000,6,FALSE)," ")</f>
        <v xml:space="preserve"> </v>
      </c>
      <c r="AC206" s="90" t="str">
        <f>IFERROR(VLOOKUP(A206&amp;"aaaa",COPY!$S$2:$AA$1000,6,FALSE)," ")</f>
        <v xml:space="preserve"> </v>
      </c>
      <c r="AD206" s="90" t="str">
        <f>IFERROR(VLOOKUP(A206&amp;"aaaaa",COPY!$S$2:$AA$1000,6,FALSE)," ")</f>
        <v xml:space="preserve"> </v>
      </c>
      <c r="AE206" s="90" t="str">
        <f>IFERROR(VLOOKUP(A206&amp;"aaaaaa",COPY!$S$2:$AA$1000,6,FALSE)," ")</f>
        <v xml:space="preserve"> </v>
      </c>
      <c r="AF206" s="90" t="str">
        <f>IFERROR(VLOOKUP(A206&amp;"aaaaaaa",COPY!$S$2:$AA$1000,6,FALSE)," ")</f>
        <v xml:space="preserve"> </v>
      </c>
      <c r="AG206" s="90" t="str">
        <f>IFERROR(VLOOKUP(A206&amp;"aaaaaaaa",COPY!$S$2:$AA$1000,6,FALSE)," ")</f>
        <v xml:space="preserve"> </v>
      </c>
      <c r="AH206" s="90" t="str">
        <f>IFERROR(VLOOKUP(A206&amp;"aaaaaaaaa",COPY!$S$2:$AA$1000,6,FALSE)," ")</f>
        <v xml:space="preserve"> </v>
      </c>
      <c r="AI206" s="90" t="str">
        <f>IFERROR(VLOOKUP(A206&amp;"aaaaaaaaaa",COPY!$S$2:$AA$1000,6,FALSE)," ")</f>
        <v xml:space="preserve"> </v>
      </c>
      <c r="AJ206" s="90" t="str">
        <f>IFERROR(VLOOKUP(A206&amp;"aaaaaaaaaaa",COPY!$S$2:$AA$1000,6,FALSE)," ")</f>
        <v xml:space="preserve"> </v>
      </c>
      <c r="AK206" s="90" t="str">
        <f>IF(LEFT(B206,2)="mg",VLOOKUP(A206,COPY!$S$2:$AA$1000,7,FALSE),IF(LEFT(B206,1)="G"," ",IF(LEFT(B206,2)="ma"," "," ")))</f>
        <v xml:space="preserve"> </v>
      </c>
      <c r="AL206" s="90" t="str">
        <f>IFERROR(VLOOKUP(A206&amp;"a",COPY!$S$2:$AA$1000,7,FALSE)," ")</f>
        <v xml:space="preserve"> </v>
      </c>
      <c r="AM206" s="90" t="str">
        <f>IFERROR(VLOOKUP(A206&amp;"aa",COPY!$S$2:$AA$1000,7,FALSE)," ")</f>
        <v xml:space="preserve"> </v>
      </c>
      <c r="AN206" s="90" t="str">
        <f>IFERROR(VLOOKUP(A206&amp;"aaa",COPY!$S$2:$AA$1000,7,FALSE)," ")</f>
        <v xml:space="preserve"> </v>
      </c>
      <c r="AO206" s="90" t="str">
        <f>IFERROR(VLOOKUP(A206&amp;"aaaa",COPY!$S$2:$AA$1000,7,FALSE)," ")</f>
        <v xml:space="preserve"> </v>
      </c>
      <c r="AP206" s="90" t="str">
        <f>IFERROR(VLOOKUP(A206&amp;"aaaaa",COPY!$S$2:$AA$1000,7,FALSE)," ")</f>
        <v xml:space="preserve"> </v>
      </c>
      <c r="AQ206" s="90" t="str">
        <f>IFERROR(VLOOKUP(A206&amp;"aaaaaa",COPY!$S$2:$AA$1000,7,FALSE)," ")</f>
        <v xml:space="preserve"> </v>
      </c>
      <c r="AR206" s="90" t="str">
        <f>IFERROR(VLOOKUP(A206&amp;"aaaaaaa",COPY!$S$2:$AA$1000,7,FALSE)," ")</f>
        <v xml:space="preserve"> </v>
      </c>
      <c r="AS206" s="90" t="str">
        <f>IFERROR(VLOOKUP(A206&amp;"aaaaaaaa",COPY!$S$2:$AA$1000,7,FALSE)," ")</f>
        <v xml:space="preserve"> </v>
      </c>
      <c r="AT206" s="90" t="str">
        <f>IFERROR(VLOOKUP(A206&amp;"aaaaaaaaa",COPY!$S$2:$AA$1000,7,FALSE)," ")</f>
        <v xml:space="preserve"> </v>
      </c>
      <c r="AU206" s="90" t="str">
        <f>IFERROR(VLOOKUP(A206&amp;"aaaaaaaaaa",COPY!$S$2:$AA$1000,7,FALSE)," ")</f>
        <v xml:space="preserve"> </v>
      </c>
      <c r="AV206" s="90" t="str">
        <f>IFERROR(VLOOKUP(A206&amp;"aaaaaaaaaaa",COPY!$S$2:$AA$1000,7,FALSE)," ")</f>
        <v xml:space="preserve"> </v>
      </c>
    </row>
    <row r="207" spans="1:48" x14ac:dyDescent="0.2">
      <c r="A207" s="75" t="str">
        <f>'REKAP PAJAK'!W244</f>
        <v/>
      </c>
      <c r="B207" s="75" t="str">
        <f>IF(LEN(A207)&gt;1,VLOOKUP(A207,COPY!$O$2:$R$1000,4,FALSE),"")</f>
        <v/>
      </c>
      <c r="C207" s="75" t="str">
        <f t="shared" si="18"/>
        <v xml:space="preserve"> </v>
      </c>
      <c r="D207" s="75" t="str">
        <f t="shared" si="19"/>
        <v xml:space="preserve"> </v>
      </c>
      <c r="E207" s="75" t="str">
        <f t="shared" si="20"/>
        <v xml:space="preserve"> </v>
      </c>
      <c r="F207" s="75" t="str">
        <f t="shared" si="21"/>
        <v xml:space="preserve"> </v>
      </c>
      <c r="H207" s="75" t="str">
        <f t="shared" si="22"/>
        <v xml:space="preserve"> </v>
      </c>
      <c r="I207" s="75" t="str">
        <f t="shared" si="23"/>
        <v xml:space="preserve"> </v>
      </c>
      <c r="J207" s="90" t="str">
        <f>IFERROR(VLOOKUP(A207,COPY!$S$2:$W$1000,4,FALSE)," ")</f>
        <v xml:space="preserve"> </v>
      </c>
      <c r="K207" s="75" t="str">
        <f>IFERROR(VLOOKUP(A207,COPY!$S$2:$W$1000,5,FALSE)," ")</f>
        <v xml:space="preserve"> </v>
      </c>
      <c r="L207" s="75" t="str">
        <f>IF(B207="","",IF(LEFT(B207,2)="Ma",(VLOOKUP(B207,'Rekap Gaji'!$C$12:$D$26,2,FALSE))&amp;" Untuk "&amp;(PROPER('Rekap Gaji'!$B$2)),IF(LEFT(B207,2)="Mg","Pembelian Material Bahan Bangunan",IF(LEFT(B207,2)="Me","Biaya Pembelanjaan Menejemen",IF(LEFT(B207,1)="G",VLOOKUP(A207,COPY!$S$2:$AA$1000,2,FALSE)&amp;"( "&amp;TEXT(VLOOKUP(B207,'Rekap Gaji'!$A$12:$I$26,5,FALSE),"dd-mm-yyyy")&amp;" "&amp;TEXT(VLOOKUP(B207,'Rekap Gaji'!$A$12:$I$26,6,FALSE)&amp;" "&amp;TEXT(VLOOKUP(B207,'Rekap Gaji'!$A$12:$I$26,7,FALSE),"dd-mm-yyyy")&amp;" )"," "))))))</f>
        <v/>
      </c>
      <c r="M207" s="75" t="str">
        <f>IF(OR(LEFT(B207,2)="mg",LEFT(B207,2)="mE"),VLOOKUP(A207,COPY!$S$2:$AA$1000,2,FALSE),IF(LEFT(B207,1)="G"," ",IF(LEFT(B207,2)="ma"," "," ")))</f>
        <v xml:space="preserve"> </v>
      </c>
      <c r="N207" s="75" t="str">
        <f>IFERROR(VLOOKUP(A207&amp;"a",COPY!$S$2:$AA$1000,2,FALSE)," ")</f>
        <v xml:space="preserve"> </v>
      </c>
      <c r="O207" s="75" t="str">
        <f>IFERROR(VLOOKUP(A207&amp;"aa",COPY!$S$2:$AA$1000,2,FALSE)," ")</f>
        <v xml:space="preserve"> </v>
      </c>
      <c r="P207" s="75" t="str">
        <f>IFERROR(VLOOKUP(A207&amp;"aaa",COPY!$S$2:$AA$1000,2,FALSE)," ")</f>
        <v xml:space="preserve"> </v>
      </c>
      <c r="Q207" s="75" t="str">
        <f>IFERROR(VLOOKUP(A207&amp;"aaaa",COPY!$S$2:$AA$1000,2,FALSE)," ")</f>
        <v xml:space="preserve"> </v>
      </c>
      <c r="R207" s="75" t="str">
        <f>IFERROR(VLOOKUP(A207&amp;"aaaaa",COPY!$S$2:$AA$1000,2,FALSE)," ")</f>
        <v xml:space="preserve"> </v>
      </c>
      <c r="S207" s="75" t="str">
        <f>IFERROR(VLOOKUP(A207&amp;"aaaaaa",COPY!$S$2:$AA$1000,2,FALSE)," ")</f>
        <v xml:space="preserve"> </v>
      </c>
      <c r="T207" s="75" t="str">
        <f>IFERROR(VLOOKUP(A207&amp;"aaaaaaa",COPY!$S$2:$AA$1000,2,FALSE)," ")</f>
        <v xml:space="preserve"> </v>
      </c>
      <c r="U207" s="75" t="str">
        <f>IFERROR(VLOOKUP(A207&amp;"aaaaaaaa",COPY!$S$2:$AA$1000,2,FALSE)," ")</f>
        <v xml:space="preserve"> </v>
      </c>
      <c r="V207" s="75" t="str">
        <f>IFERROR(VLOOKUP(A207&amp;"aaaaaaaaa",COPY!$S$2:$AA$1000,2,FALSE)," ")</f>
        <v xml:space="preserve"> </v>
      </c>
      <c r="W207" s="75" t="str">
        <f>IFERROR(VLOOKUP(A207&amp;"aaaaaaaaaa",COPY!$S$2:$AA$1000,2,FALSE)," ")</f>
        <v xml:space="preserve"> </v>
      </c>
      <c r="X207" s="75" t="str">
        <f>IFERROR(VLOOKUP(A207&amp;"aaaaaaaaaaa",COPY!$S$2:$AA$1000,2,FALSE)," ")</f>
        <v xml:space="preserve"> </v>
      </c>
      <c r="Y207" s="90" t="str">
        <f>IF(OR(LEFT(B207,2)="mg",LEFT(B207,2)="mE"),VLOOKUP(A207,COPY!$S$2:$AA$1000,6,FALSE),IF(LEFT(B207,1)="G"," ",IF(LEFT(B207,2)="ma"," "," ")))</f>
        <v xml:space="preserve"> </v>
      </c>
      <c r="Z207" s="90" t="str">
        <f>IFERROR(VLOOKUP(A207&amp;"a",COPY!$S$2:$AA$1000,6,FALSE)," ")</f>
        <v xml:space="preserve"> </v>
      </c>
      <c r="AA207" s="90" t="str">
        <f>IFERROR(VLOOKUP(A207&amp;"aa",COPY!$S$2:$AA$1000,6,FALSE)," ")</f>
        <v xml:space="preserve"> </v>
      </c>
      <c r="AB207" s="90" t="str">
        <f>IFERROR(VLOOKUP(A207&amp;"aaa",COPY!$S$2:$AA$1000,6,FALSE)," ")</f>
        <v xml:space="preserve"> </v>
      </c>
      <c r="AC207" s="90" t="str">
        <f>IFERROR(VLOOKUP(A207&amp;"aaaa",COPY!$S$2:$AA$1000,6,FALSE)," ")</f>
        <v xml:space="preserve"> </v>
      </c>
      <c r="AD207" s="90" t="str">
        <f>IFERROR(VLOOKUP(A207&amp;"aaaaa",COPY!$S$2:$AA$1000,6,FALSE)," ")</f>
        <v xml:space="preserve"> </v>
      </c>
      <c r="AE207" s="90" t="str">
        <f>IFERROR(VLOOKUP(A207&amp;"aaaaaa",COPY!$S$2:$AA$1000,6,FALSE)," ")</f>
        <v xml:space="preserve"> </v>
      </c>
      <c r="AF207" s="90" t="str">
        <f>IFERROR(VLOOKUP(A207&amp;"aaaaaaa",COPY!$S$2:$AA$1000,6,FALSE)," ")</f>
        <v xml:space="preserve"> </v>
      </c>
      <c r="AG207" s="90" t="str">
        <f>IFERROR(VLOOKUP(A207&amp;"aaaaaaaa",COPY!$S$2:$AA$1000,6,FALSE)," ")</f>
        <v xml:space="preserve"> </v>
      </c>
      <c r="AH207" s="90" t="str">
        <f>IFERROR(VLOOKUP(A207&amp;"aaaaaaaaa",COPY!$S$2:$AA$1000,6,FALSE)," ")</f>
        <v xml:space="preserve"> </v>
      </c>
      <c r="AI207" s="90" t="str">
        <f>IFERROR(VLOOKUP(A207&amp;"aaaaaaaaaa",COPY!$S$2:$AA$1000,6,FALSE)," ")</f>
        <v xml:space="preserve"> </v>
      </c>
      <c r="AJ207" s="90" t="str">
        <f>IFERROR(VLOOKUP(A207&amp;"aaaaaaaaaaa",COPY!$S$2:$AA$1000,6,FALSE)," ")</f>
        <v xml:space="preserve"> </v>
      </c>
      <c r="AK207" s="90" t="str">
        <f>IF(LEFT(B207,2)="mg",VLOOKUP(A207,COPY!$S$2:$AA$1000,7,FALSE),IF(LEFT(B207,1)="G"," ",IF(LEFT(B207,2)="ma"," "," ")))</f>
        <v xml:space="preserve"> </v>
      </c>
      <c r="AL207" s="90" t="str">
        <f>IFERROR(VLOOKUP(A207&amp;"a",COPY!$S$2:$AA$1000,7,FALSE)," ")</f>
        <v xml:space="preserve"> </v>
      </c>
      <c r="AM207" s="90" t="str">
        <f>IFERROR(VLOOKUP(A207&amp;"aa",COPY!$S$2:$AA$1000,7,FALSE)," ")</f>
        <v xml:space="preserve"> </v>
      </c>
      <c r="AN207" s="90" t="str">
        <f>IFERROR(VLOOKUP(A207&amp;"aaa",COPY!$S$2:$AA$1000,7,FALSE)," ")</f>
        <v xml:space="preserve"> </v>
      </c>
      <c r="AO207" s="90" t="str">
        <f>IFERROR(VLOOKUP(A207&amp;"aaaa",COPY!$S$2:$AA$1000,7,FALSE)," ")</f>
        <v xml:space="preserve"> </v>
      </c>
      <c r="AP207" s="90" t="str">
        <f>IFERROR(VLOOKUP(A207&amp;"aaaaa",COPY!$S$2:$AA$1000,7,FALSE)," ")</f>
        <v xml:space="preserve"> </v>
      </c>
      <c r="AQ207" s="90" t="str">
        <f>IFERROR(VLOOKUP(A207&amp;"aaaaaa",COPY!$S$2:$AA$1000,7,FALSE)," ")</f>
        <v xml:space="preserve"> </v>
      </c>
      <c r="AR207" s="90" t="str">
        <f>IFERROR(VLOOKUP(A207&amp;"aaaaaaa",COPY!$S$2:$AA$1000,7,FALSE)," ")</f>
        <v xml:space="preserve"> </v>
      </c>
      <c r="AS207" s="90" t="str">
        <f>IFERROR(VLOOKUP(A207&amp;"aaaaaaaa",COPY!$S$2:$AA$1000,7,FALSE)," ")</f>
        <v xml:space="preserve"> </v>
      </c>
      <c r="AT207" s="90" t="str">
        <f>IFERROR(VLOOKUP(A207&amp;"aaaaaaaaa",COPY!$S$2:$AA$1000,7,FALSE)," ")</f>
        <v xml:space="preserve"> </v>
      </c>
      <c r="AU207" s="90" t="str">
        <f>IFERROR(VLOOKUP(A207&amp;"aaaaaaaaaa",COPY!$S$2:$AA$1000,7,FALSE)," ")</f>
        <v xml:space="preserve"> </v>
      </c>
      <c r="AV207" s="90" t="str">
        <f>IFERROR(VLOOKUP(A207&amp;"aaaaaaaaaaa",COPY!$S$2:$AA$1000,7,FALSE)," ")</f>
        <v xml:space="preserve"> </v>
      </c>
    </row>
    <row r="208" spans="1:48" x14ac:dyDescent="0.2">
      <c r="A208" s="75" t="str">
        <f>'REKAP PAJAK'!W245</f>
        <v/>
      </c>
      <c r="B208" s="75" t="str">
        <f>IF(LEN(A208)&gt;1,VLOOKUP(A208,COPY!$O$2:$R$1000,4,FALSE),"")</f>
        <v/>
      </c>
      <c r="C208" s="75" t="str">
        <f t="shared" si="18"/>
        <v xml:space="preserve"> </v>
      </c>
      <c r="D208" s="75" t="str">
        <f t="shared" si="19"/>
        <v xml:space="preserve"> </v>
      </c>
      <c r="E208" s="75" t="str">
        <f t="shared" si="20"/>
        <v xml:space="preserve"> </v>
      </c>
      <c r="F208" s="75" t="str">
        <f t="shared" si="21"/>
        <v xml:space="preserve"> </v>
      </c>
      <c r="H208" s="75" t="str">
        <f t="shared" si="22"/>
        <v xml:space="preserve"> </v>
      </c>
      <c r="I208" s="75" t="str">
        <f t="shared" si="23"/>
        <v xml:space="preserve"> </v>
      </c>
      <c r="J208" s="90" t="str">
        <f>IFERROR(VLOOKUP(A208,COPY!$S$2:$W$1000,4,FALSE)," ")</f>
        <v xml:space="preserve"> </v>
      </c>
      <c r="K208" s="75" t="str">
        <f>IFERROR(VLOOKUP(A208,COPY!$S$2:$W$1000,5,FALSE)," ")</f>
        <v xml:space="preserve"> </v>
      </c>
      <c r="L208" s="75" t="str">
        <f>IF(B208="","",IF(LEFT(B208,2)="Ma",(VLOOKUP(B208,'Rekap Gaji'!$C$12:$D$26,2,FALSE))&amp;" Untuk "&amp;(PROPER('Rekap Gaji'!$B$2)),IF(LEFT(B208,2)="Mg","Pembelian Material Bahan Bangunan",IF(LEFT(B208,2)="Me","Biaya Pembelanjaan Menejemen",IF(LEFT(B208,1)="G",VLOOKUP(A208,COPY!$S$2:$AA$1000,2,FALSE)&amp;"( "&amp;TEXT(VLOOKUP(B208,'Rekap Gaji'!$A$12:$I$26,5,FALSE),"dd-mm-yyyy")&amp;" "&amp;TEXT(VLOOKUP(B208,'Rekap Gaji'!$A$12:$I$26,6,FALSE)&amp;" "&amp;TEXT(VLOOKUP(B208,'Rekap Gaji'!$A$12:$I$26,7,FALSE),"dd-mm-yyyy")&amp;" )"," "))))))</f>
        <v/>
      </c>
      <c r="M208" s="75" t="str">
        <f>IF(OR(LEFT(B208,2)="mg",LEFT(B208,2)="mE"),VLOOKUP(A208,COPY!$S$2:$AA$1000,2,FALSE),IF(LEFT(B208,1)="G"," ",IF(LEFT(B208,2)="ma"," "," ")))</f>
        <v xml:space="preserve"> </v>
      </c>
      <c r="N208" s="75" t="str">
        <f>IFERROR(VLOOKUP(A208&amp;"a",COPY!$S$2:$AA$1000,2,FALSE)," ")</f>
        <v xml:space="preserve"> </v>
      </c>
      <c r="O208" s="75" t="str">
        <f>IFERROR(VLOOKUP(A208&amp;"aa",COPY!$S$2:$AA$1000,2,FALSE)," ")</f>
        <v xml:space="preserve"> </v>
      </c>
      <c r="P208" s="75" t="str">
        <f>IFERROR(VLOOKUP(A208&amp;"aaa",COPY!$S$2:$AA$1000,2,FALSE)," ")</f>
        <v xml:space="preserve"> </v>
      </c>
      <c r="Q208" s="75" t="str">
        <f>IFERROR(VLOOKUP(A208&amp;"aaaa",COPY!$S$2:$AA$1000,2,FALSE)," ")</f>
        <v xml:space="preserve"> </v>
      </c>
      <c r="R208" s="75" t="str">
        <f>IFERROR(VLOOKUP(A208&amp;"aaaaa",COPY!$S$2:$AA$1000,2,FALSE)," ")</f>
        <v xml:space="preserve"> </v>
      </c>
      <c r="S208" s="75" t="str">
        <f>IFERROR(VLOOKUP(A208&amp;"aaaaaa",COPY!$S$2:$AA$1000,2,FALSE)," ")</f>
        <v xml:space="preserve"> </v>
      </c>
      <c r="T208" s="75" t="str">
        <f>IFERROR(VLOOKUP(A208&amp;"aaaaaaa",COPY!$S$2:$AA$1000,2,FALSE)," ")</f>
        <v xml:space="preserve"> </v>
      </c>
      <c r="U208" s="75" t="str">
        <f>IFERROR(VLOOKUP(A208&amp;"aaaaaaaa",COPY!$S$2:$AA$1000,2,FALSE)," ")</f>
        <v xml:space="preserve"> </v>
      </c>
      <c r="V208" s="75" t="str">
        <f>IFERROR(VLOOKUP(A208&amp;"aaaaaaaaa",COPY!$S$2:$AA$1000,2,FALSE)," ")</f>
        <v xml:space="preserve"> </v>
      </c>
      <c r="W208" s="75" t="str">
        <f>IFERROR(VLOOKUP(A208&amp;"aaaaaaaaaa",COPY!$S$2:$AA$1000,2,FALSE)," ")</f>
        <v xml:space="preserve"> </v>
      </c>
      <c r="X208" s="75" t="str">
        <f>IFERROR(VLOOKUP(A208&amp;"aaaaaaaaaaa",COPY!$S$2:$AA$1000,2,FALSE)," ")</f>
        <v xml:space="preserve"> </v>
      </c>
      <c r="Y208" s="90" t="str">
        <f>IF(OR(LEFT(B208,2)="mg",LEFT(B208,2)="mE"),VLOOKUP(A208,COPY!$S$2:$AA$1000,6,FALSE),IF(LEFT(B208,1)="G"," ",IF(LEFT(B208,2)="ma"," "," ")))</f>
        <v xml:space="preserve"> </v>
      </c>
      <c r="Z208" s="90" t="str">
        <f>IFERROR(VLOOKUP(A208&amp;"a",COPY!$S$2:$AA$1000,6,FALSE)," ")</f>
        <v xml:space="preserve"> </v>
      </c>
      <c r="AA208" s="90" t="str">
        <f>IFERROR(VLOOKUP(A208&amp;"aa",COPY!$S$2:$AA$1000,6,FALSE)," ")</f>
        <v xml:space="preserve"> </v>
      </c>
      <c r="AB208" s="90" t="str">
        <f>IFERROR(VLOOKUP(A208&amp;"aaa",COPY!$S$2:$AA$1000,6,FALSE)," ")</f>
        <v xml:space="preserve"> </v>
      </c>
      <c r="AC208" s="90" t="str">
        <f>IFERROR(VLOOKUP(A208&amp;"aaaa",COPY!$S$2:$AA$1000,6,FALSE)," ")</f>
        <v xml:space="preserve"> </v>
      </c>
      <c r="AD208" s="90" t="str">
        <f>IFERROR(VLOOKUP(A208&amp;"aaaaa",COPY!$S$2:$AA$1000,6,FALSE)," ")</f>
        <v xml:space="preserve"> </v>
      </c>
      <c r="AE208" s="90" t="str">
        <f>IFERROR(VLOOKUP(A208&amp;"aaaaaa",COPY!$S$2:$AA$1000,6,FALSE)," ")</f>
        <v xml:space="preserve"> </v>
      </c>
      <c r="AF208" s="90" t="str">
        <f>IFERROR(VLOOKUP(A208&amp;"aaaaaaa",COPY!$S$2:$AA$1000,6,FALSE)," ")</f>
        <v xml:space="preserve"> </v>
      </c>
      <c r="AG208" s="90" t="str">
        <f>IFERROR(VLOOKUP(A208&amp;"aaaaaaaa",COPY!$S$2:$AA$1000,6,FALSE)," ")</f>
        <v xml:space="preserve"> </v>
      </c>
      <c r="AH208" s="90" t="str">
        <f>IFERROR(VLOOKUP(A208&amp;"aaaaaaaaa",COPY!$S$2:$AA$1000,6,FALSE)," ")</f>
        <v xml:space="preserve"> </v>
      </c>
      <c r="AI208" s="90" t="str">
        <f>IFERROR(VLOOKUP(A208&amp;"aaaaaaaaaa",COPY!$S$2:$AA$1000,6,FALSE)," ")</f>
        <v xml:space="preserve"> </v>
      </c>
      <c r="AJ208" s="90" t="str">
        <f>IFERROR(VLOOKUP(A208&amp;"aaaaaaaaaaa",COPY!$S$2:$AA$1000,6,FALSE)," ")</f>
        <v xml:space="preserve"> </v>
      </c>
      <c r="AK208" s="90" t="str">
        <f>IF(LEFT(B208,2)="mg",VLOOKUP(A208,COPY!$S$2:$AA$1000,7,FALSE),IF(LEFT(B208,1)="G"," ",IF(LEFT(B208,2)="ma"," "," ")))</f>
        <v xml:space="preserve"> </v>
      </c>
      <c r="AL208" s="90" t="str">
        <f>IFERROR(VLOOKUP(A208&amp;"a",COPY!$S$2:$AA$1000,7,FALSE)," ")</f>
        <v xml:space="preserve"> </v>
      </c>
      <c r="AM208" s="90" t="str">
        <f>IFERROR(VLOOKUP(A208&amp;"aa",COPY!$S$2:$AA$1000,7,FALSE)," ")</f>
        <v xml:space="preserve"> </v>
      </c>
      <c r="AN208" s="90" t="str">
        <f>IFERROR(VLOOKUP(A208&amp;"aaa",COPY!$S$2:$AA$1000,7,FALSE)," ")</f>
        <v xml:space="preserve"> </v>
      </c>
      <c r="AO208" s="90" t="str">
        <f>IFERROR(VLOOKUP(A208&amp;"aaaa",COPY!$S$2:$AA$1000,7,FALSE)," ")</f>
        <v xml:space="preserve"> </v>
      </c>
      <c r="AP208" s="90" t="str">
        <f>IFERROR(VLOOKUP(A208&amp;"aaaaa",COPY!$S$2:$AA$1000,7,FALSE)," ")</f>
        <v xml:space="preserve"> </v>
      </c>
      <c r="AQ208" s="90" t="str">
        <f>IFERROR(VLOOKUP(A208&amp;"aaaaaa",COPY!$S$2:$AA$1000,7,FALSE)," ")</f>
        <v xml:space="preserve"> </v>
      </c>
      <c r="AR208" s="90" t="str">
        <f>IFERROR(VLOOKUP(A208&amp;"aaaaaaa",COPY!$S$2:$AA$1000,7,FALSE)," ")</f>
        <v xml:space="preserve"> </v>
      </c>
      <c r="AS208" s="90" t="str">
        <f>IFERROR(VLOOKUP(A208&amp;"aaaaaaaa",COPY!$S$2:$AA$1000,7,FALSE)," ")</f>
        <v xml:space="preserve"> </v>
      </c>
      <c r="AT208" s="90" t="str">
        <f>IFERROR(VLOOKUP(A208&amp;"aaaaaaaaa",COPY!$S$2:$AA$1000,7,FALSE)," ")</f>
        <v xml:space="preserve"> </v>
      </c>
      <c r="AU208" s="90" t="str">
        <f>IFERROR(VLOOKUP(A208&amp;"aaaaaaaaaa",COPY!$S$2:$AA$1000,7,FALSE)," ")</f>
        <v xml:space="preserve"> </v>
      </c>
      <c r="AV208" s="90" t="str">
        <f>IFERROR(VLOOKUP(A208&amp;"aaaaaaaaaaa",COPY!$S$2:$AA$1000,7,FALSE)," ")</f>
        <v xml:space="preserve"> </v>
      </c>
    </row>
    <row r="209" spans="1:48" x14ac:dyDescent="0.2">
      <c r="A209" s="75" t="str">
        <f>'REKAP PAJAK'!W246</f>
        <v/>
      </c>
      <c r="B209" s="75" t="str">
        <f>IF(LEN(A209)&gt;1,VLOOKUP(A209,COPY!$O$2:$R$1000,4,FALSE),"")</f>
        <v/>
      </c>
      <c r="C209" s="75" t="str">
        <f t="shared" si="18"/>
        <v xml:space="preserve"> </v>
      </c>
      <c r="D209" s="75" t="str">
        <f t="shared" si="19"/>
        <v xml:space="preserve"> </v>
      </c>
      <c r="E209" s="75" t="str">
        <f t="shared" si="20"/>
        <v xml:space="preserve"> </v>
      </c>
      <c r="F209" s="75" t="str">
        <f t="shared" si="21"/>
        <v xml:space="preserve"> </v>
      </c>
      <c r="H209" s="75" t="str">
        <f t="shared" si="22"/>
        <v xml:space="preserve"> </v>
      </c>
      <c r="I209" s="75" t="str">
        <f t="shared" si="23"/>
        <v xml:space="preserve"> </v>
      </c>
      <c r="J209" s="90" t="str">
        <f>IFERROR(VLOOKUP(A209,COPY!$S$2:$W$1000,4,FALSE)," ")</f>
        <v xml:space="preserve"> </v>
      </c>
      <c r="K209" s="75" t="str">
        <f>IFERROR(VLOOKUP(A209,COPY!$S$2:$W$1000,5,FALSE)," ")</f>
        <v xml:space="preserve"> </v>
      </c>
      <c r="L209" s="75" t="str">
        <f>IF(B209="","",IF(LEFT(B209,2)="Ma",(VLOOKUP(B209,'Rekap Gaji'!$C$12:$D$26,2,FALSE))&amp;" Untuk "&amp;(PROPER('Rekap Gaji'!$B$2)),IF(LEFT(B209,2)="Mg","Pembelian Material Bahan Bangunan",IF(LEFT(B209,2)="Me","Biaya Pembelanjaan Menejemen",IF(LEFT(B209,1)="G",VLOOKUP(A209,COPY!$S$2:$AA$1000,2,FALSE)&amp;"( "&amp;TEXT(VLOOKUP(B209,'Rekap Gaji'!$A$12:$I$26,5,FALSE),"dd-mm-yyyy")&amp;" "&amp;TEXT(VLOOKUP(B209,'Rekap Gaji'!$A$12:$I$26,6,FALSE)&amp;" "&amp;TEXT(VLOOKUP(B209,'Rekap Gaji'!$A$12:$I$26,7,FALSE),"dd-mm-yyyy")&amp;" )"," "))))))</f>
        <v/>
      </c>
      <c r="M209" s="75" t="str">
        <f>IF(OR(LEFT(B209,2)="mg",LEFT(B209,2)="mE"),VLOOKUP(A209,COPY!$S$2:$AA$1000,2,FALSE),IF(LEFT(B209,1)="G"," ",IF(LEFT(B209,2)="ma"," "," ")))</f>
        <v xml:space="preserve"> </v>
      </c>
      <c r="N209" s="75" t="str">
        <f>IFERROR(VLOOKUP(A209&amp;"a",COPY!$S$2:$AA$1000,2,FALSE)," ")</f>
        <v xml:space="preserve"> </v>
      </c>
      <c r="O209" s="75" t="str">
        <f>IFERROR(VLOOKUP(A209&amp;"aa",COPY!$S$2:$AA$1000,2,FALSE)," ")</f>
        <v xml:space="preserve"> </v>
      </c>
      <c r="P209" s="75" t="str">
        <f>IFERROR(VLOOKUP(A209&amp;"aaa",COPY!$S$2:$AA$1000,2,FALSE)," ")</f>
        <v xml:space="preserve"> </v>
      </c>
      <c r="Q209" s="75" t="str">
        <f>IFERROR(VLOOKUP(A209&amp;"aaaa",COPY!$S$2:$AA$1000,2,FALSE)," ")</f>
        <v xml:space="preserve"> </v>
      </c>
      <c r="R209" s="75" t="str">
        <f>IFERROR(VLOOKUP(A209&amp;"aaaaa",COPY!$S$2:$AA$1000,2,FALSE)," ")</f>
        <v xml:space="preserve"> </v>
      </c>
      <c r="S209" s="75" t="str">
        <f>IFERROR(VLOOKUP(A209&amp;"aaaaaa",COPY!$S$2:$AA$1000,2,FALSE)," ")</f>
        <v xml:space="preserve"> </v>
      </c>
      <c r="T209" s="75" t="str">
        <f>IFERROR(VLOOKUP(A209&amp;"aaaaaaa",COPY!$S$2:$AA$1000,2,FALSE)," ")</f>
        <v xml:space="preserve"> </v>
      </c>
      <c r="U209" s="75" t="str">
        <f>IFERROR(VLOOKUP(A209&amp;"aaaaaaaa",COPY!$S$2:$AA$1000,2,FALSE)," ")</f>
        <v xml:space="preserve"> </v>
      </c>
      <c r="V209" s="75" t="str">
        <f>IFERROR(VLOOKUP(A209&amp;"aaaaaaaaa",COPY!$S$2:$AA$1000,2,FALSE)," ")</f>
        <v xml:space="preserve"> </v>
      </c>
      <c r="W209" s="75" t="str">
        <f>IFERROR(VLOOKUP(A209&amp;"aaaaaaaaaa",COPY!$S$2:$AA$1000,2,FALSE)," ")</f>
        <v xml:space="preserve"> </v>
      </c>
      <c r="X209" s="75" t="str">
        <f>IFERROR(VLOOKUP(A209&amp;"aaaaaaaaaaa",COPY!$S$2:$AA$1000,2,FALSE)," ")</f>
        <v xml:space="preserve"> </v>
      </c>
      <c r="Y209" s="90" t="str">
        <f>IF(OR(LEFT(B209,2)="mg",LEFT(B209,2)="mE"),VLOOKUP(A209,COPY!$S$2:$AA$1000,6,FALSE),IF(LEFT(B209,1)="G"," ",IF(LEFT(B209,2)="ma"," "," ")))</f>
        <v xml:space="preserve"> </v>
      </c>
      <c r="Z209" s="90" t="str">
        <f>IFERROR(VLOOKUP(A209&amp;"a",COPY!$S$2:$AA$1000,6,FALSE)," ")</f>
        <v xml:space="preserve"> </v>
      </c>
      <c r="AA209" s="90" t="str">
        <f>IFERROR(VLOOKUP(A209&amp;"aa",COPY!$S$2:$AA$1000,6,FALSE)," ")</f>
        <v xml:space="preserve"> </v>
      </c>
      <c r="AB209" s="90" t="str">
        <f>IFERROR(VLOOKUP(A209&amp;"aaa",COPY!$S$2:$AA$1000,6,FALSE)," ")</f>
        <v xml:space="preserve"> </v>
      </c>
      <c r="AC209" s="90" t="str">
        <f>IFERROR(VLOOKUP(A209&amp;"aaaa",COPY!$S$2:$AA$1000,6,FALSE)," ")</f>
        <v xml:space="preserve"> </v>
      </c>
      <c r="AD209" s="90" t="str">
        <f>IFERROR(VLOOKUP(A209&amp;"aaaaa",COPY!$S$2:$AA$1000,6,FALSE)," ")</f>
        <v xml:space="preserve"> </v>
      </c>
      <c r="AE209" s="90" t="str">
        <f>IFERROR(VLOOKUP(A209&amp;"aaaaaa",COPY!$S$2:$AA$1000,6,FALSE)," ")</f>
        <v xml:space="preserve"> </v>
      </c>
      <c r="AF209" s="90" t="str">
        <f>IFERROR(VLOOKUP(A209&amp;"aaaaaaa",COPY!$S$2:$AA$1000,6,FALSE)," ")</f>
        <v xml:space="preserve"> </v>
      </c>
      <c r="AG209" s="90" t="str">
        <f>IFERROR(VLOOKUP(A209&amp;"aaaaaaaa",COPY!$S$2:$AA$1000,6,FALSE)," ")</f>
        <v xml:space="preserve"> </v>
      </c>
      <c r="AH209" s="90" t="str">
        <f>IFERROR(VLOOKUP(A209&amp;"aaaaaaaaa",COPY!$S$2:$AA$1000,6,FALSE)," ")</f>
        <v xml:space="preserve"> </v>
      </c>
      <c r="AI209" s="90" t="str">
        <f>IFERROR(VLOOKUP(A209&amp;"aaaaaaaaaa",COPY!$S$2:$AA$1000,6,FALSE)," ")</f>
        <v xml:space="preserve"> </v>
      </c>
      <c r="AJ209" s="90" t="str">
        <f>IFERROR(VLOOKUP(A209&amp;"aaaaaaaaaaa",COPY!$S$2:$AA$1000,6,FALSE)," ")</f>
        <v xml:space="preserve"> </v>
      </c>
      <c r="AK209" s="90" t="str">
        <f>IF(LEFT(B209,2)="mg",VLOOKUP(A209,COPY!$S$2:$AA$1000,7,FALSE),IF(LEFT(B209,1)="G"," ",IF(LEFT(B209,2)="ma"," "," ")))</f>
        <v xml:space="preserve"> </v>
      </c>
      <c r="AL209" s="90" t="str">
        <f>IFERROR(VLOOKUP(A209&amp;"a",COPY!$S$2:$AA$1000,7,FALSE)," ")</f>
        <v xml:space="preserve"> </v>
      </c>
      <c r="AM209" s="90" t="str">
        <f>IFERROR(VLOOKUP(A209&amp;"aa",COPY!$S$2:$AA$1000,7,FALSE)," ")</f>
        <v xml:space="preserve"> </v>
      </c>
      <c r="AN209" s="90" t="str">
        <f>IFERROR(VLOOKUP(A209&amp;"aaa",COPY!$S$2:$AA$1000,7,FALSE)," ")</f>
        <v xml:space="preserve"> </v>
      </c>
      <c r="AO209" s="90" t="str">
        <f>IFERROR(VLOOKUP(A209&amp;"aaaa",COPY!$S$2:$AA$1000,7,FALSE)," ")</f>
        <v xml:space="preserve"> </v>
      </c>
      <c r="AP209" s="90" t="str">
        <f>IFERROR(VLOOKUP(A209&amp;"aaaaa",COPY!$S$2:$AA$1000,7,FALSE)," ")</f>
        <v xml:space="preserve"> </v>
      </c>
      <c r="AQ209" s="90" t="str">
        <f>IFERROR(VLOOKUP(A209&amp;"aaaaaa",COPY!$S$2:$AA$1000,7,FALSE)," ")</f>
        <v xml:space="preserve"> </v>
      </c>
      <c r="AR209" s="90" t="str">
        <f>IFERROR(VLOOKUP(A209&amp;"aaaaaaa",COPY!$S$2:$AA$1000,7,FALSE)," ")</f>
        <v xml:space="preserve"> </v>
      </c>
      <c r="AS209" s="90" t="str">
        <f>IFERROR(VLOOKUP(A209&amp;"aaaaaaaa",COPY!$S$2:$AA$1000,7,FALSE)," ")</f>
        <v xml:space="preserve"> </v>
      </c>
      <c r="AT209" s="90" t="str">
        <f>IFERROR(VLOOKUP(A209&amp;"aaaaaaaaa",COPY!$S$2:$AA$1000,7,FALSE)," ")</f>
        <v xml:space="preserve"> </v>
      </c>
      <c r="AU209" s="90" t="str">
        <f>IFERROR(VLOOKUP(A209&amp;"aaaaaaaaaa",COPY!$S$2:$AA$1000,7,FALSE)," ")</f>
        <v xml:space="preserve"> </v>
      </c>
      <c r="AV209" s="90" t="str">
        <f>IFERROR(VLOOKUP(A209&amp;"aaaaaaaaaaa",COPY!$S$2:$AA$1000,7,FALSE)," ")</f>
        <v xml:space="preserve"> </v>
      </c>
    </row>
    <row r="210" spans="1:48" x14ac:dyDescent="0.2">
      <c r="A210" s="75" t="str">
        <f>'REKAP PAJAK'!W247</f>
        <v/>
      </c>
      <c r="B210" s="75" t="str">
        <f>IF(LEN(A210)&gt;1,VLOOKUP(A210,COPY!$O$2:$R$1000,4,FALSE),"")</f>
        <v/>
      </c>
      <c r="C210" s="75" t="str">
        <f t="shared" si="18"/>
        <v xml:space="preserve"> </v>
      </c>
      <c r="D210" s="75" t="str">
        <f t="shared" si="19"/>
        <v xml:space="preserve"> </v>
      </c>
      <c r="E210" s="75" t="str">
        <f t="shared" si="20"/>
        <v xml:space="preserve"> </v>
      </c>
      <c r="F210" s="75" t="str">
        <f t="shared" si="21"/>
        <v xml:space="preserve"> </v>
      </c>
      <c r="H210" s="75" t="str">
        <f t="shared" si="22"/>
        <v xml:space="preserve"> </v>
      </c>
      <c r="I210" s="75" t="str">
        <f t="shared" si="23"/>
        <v xml:space="preserve"> </v>
      </c>
      <c r="J210" s="90" t="str">
        <f>IFERROR(VLOOKUP(A210,COPY!$S$2:$W$1000,4,FALSE)," ")</f>
        <v xml:space="preserve"> </v>
      </c>
      <c r="K210" s="75" t="str">
        <f>IFERROR(VLOOKUP(A210,COPY!$S$2:$W$1000,5,FALSE)," ")</f>
        <v xml:space="preserve"> </v>
      </c>
      <c r="L210" s="75" t="str">
        <f>IF(B210="","",IF(LEFT(B210,2)="Ma",(VLOOKUP(B210,'Rekap Gaji'!$C$12:$D$26,2,FALSE))&amp;" Untuk "&amp;(PROPER('Rekap Gaji'!$B$2)),IF(LEFT(B210,2)="Mg","Pembelian Material Bahan Bangunan",IF(LEFT(B210,2)="Me","Biaya Pembelanjaan Menejemen",IF(LEFT(B210,1)="G",VLOOKUP(A210,COPY!$S$2:$AA$1000,2,FALSE)&amp;"( "&amp;TEXT(VLOOKUP(B210,'Rekap Gaji'!$A$12:$I$26,5,FALSE),"dd-mm-yyyy")&amp;" "&amp;TEXT(VLOOKUP(B210,'Rekap Gaji'!$A$12:$I$26,6,FALSE)&amp;" "&amp;TEXT(VLOOKUP(B210,'Rekap Gaji'!$A$12:$I$26,7,FALSE),"dd-mm-yyyy")&amp;" )"," "))))))</f>
        <v/>
      </c>
      <c r="M210" s="75" t="str">
        <f>IF(OR(LEFT(B210,2)="mg",LEFT(B210,2)="mE"),VLOOKUP(A210,COPY!$S$2:$AA$1000,2,FALSE),IF(LEFT(B210,1)="G"," ",IF(LEFT(B210,2)="ma"," "," ")))</f>
        <v xml:space="preserve"> </v>
      </c>
      <c r="N210" s="75" t="str">
        <f>IFERROR(VLOOKUP(A210&amp;"a",COPY!$S$2:$AA$1000,2,FALSE)," ")</f>
        <v xml:space="preserve"> </v>
      </c>
      <c r="O210" s="75" t="str">
        <f>IFERROR(VLOOKUP(A210&amp;"aa",COPY!$S$2:$AA$1000,2,FALSE)," ")</f>
        <v xml:space="preserve"> </v>
      </c>
      <c r="P210" s="75" t="str">
        <f>IFERROR(VLOOKUP(A210&amp;"aaa",COPY!$S$2:$AA$1000,2,FALSE)," ")</f>
        <v xml:space="preserve"> </v>
      </c>
      <c r="Q210" s="75" t="str">
        <f>IFERROR(VLOOKUP(A210&amp;"aaaa",COPY!$S$2:$AA$1000,2,FALSE)," ")</f>
        <v xml:space="preserve"> </v>
      </c>
      <c r="R210" s="75" t="str">
        <f>IFERROR(VLOOKUP(A210&amp;"aaaaa",COPY!$S$2:$AA$1000,2,FALSE)," ")</f>
        <v xml:space="preserve"> </v>
      </c>
      <c r="S210" s="75" t="str">
        <f>IFERROR(VLOOKUP(A210&amp;"aaaaaa",COPY!$S$2:$AA$1000,2,FALSE)," ")</f>
        <v xml:space="preserve"> </v>
      </c>
      <c r="T210" s="75" t="str">
        <f>IFERROR(VLOOKUP(A210&amp;"aaaaaaa",COPY!$S$2:$AA$1000,2,FALSE)," ")</f>
        <v xml:space="preserve"> </v>
      </c>
      <c r="U210" s="75" t="str">
        <f>IFERROR(VLOOKUP(A210&amp;"aaaaaaaa",COPY!$S$2:$AA$1000,2,FALSE)," ")</f>
        <v xml:space="preserve"> </v>
      </c>
      <c r="V210" s="75" t="str">
        <f>IFERROR(VLOOKUP(A210&amp;"aaaaaaaaa",COPY!$S$2:$AA$1000,2,FALSE)," ")</f>
        <v xml:space="preserve"> </v>
      </c>
      <c r="W210" s="75" t="str">
        <f>IFERROR(VLOOKUP(A210&amp;"aaaaaaaaaa",COPY!$S$2:$AA$1000,2,FALSE)," ")</f>
        <v xml:space="preserve"> </v>
      </c>
      <c r="X210" s="75" t="str">
        <f>IFERROR(VLOOKUP(A210&amp;"aaaaaaaaaaa",COPY!$S$2:$AA$1000,2,FALSE)," ")</f>
        <v xml:space="preserve"> </v>
      </c>
      <c r="Y210" s="90" t="str">
        <f>IF(OR(LEFT(B210,2)="mg",LEFT(B210,2)="mE"),VLOOKUP(A210,COPY!$S$2:$AA$1000,6,FALSE),IF(LEFT(B210,1)="G"," ",IF(LEFT(B210,2)="ma"," "," ")))</f>
        <v xml:space="preserve"> </v>
      </c>
      <c r="Z210" s="90" t="str">
        <f>IFERROR(VLOOKUP(A210&amp;"a",COPY!$S$2:$AA$1000,6,FALSE)," ")</f>
        <v xml:space="preserve"> </v>
      </c>
      <c r="AA210" s="90" t="str">
        <f>IFERROR(VLOOKUP(A210&amp;"aa",COPY!$S$2:$AA$1000,6,FALSE)," ")</f>
        <v xml:space="preserve"> </v>
      </c>
      <c r="AB210" s="90" t="str">
        <f>IFERROR(VLOOKUP(A210&amp;"aaa",COPY!$S$2:$AA$1000,6,FALSE)," ")</f>
        <v xml:space="preserve"> </v>
      </c>
      <c r="AC210" s="90" t="str">
        <f>IFERROR(VLOOKUP(A210&amp;"aaaa",COPY!$S$2:$AA$1000,6,FALSE)," ")</f>
        <v xml:space="preserve"> </v>
      </c>
      <c r="AD210" s="90" t="str">
        <f>IFERROR(VLOOKUP(A210&amp;"aaaaa",COPY!$S$2:$AA$1000,6,FALSE)," ")</f>
        <v xml:space="preserve"> </v>
      </c>
      <c r="AE210" s="90" t="str">
        <f>IFERROR(VLOOKUP(A210&amp;"aaaaaa",COPY!$S$2:$AA$1000,6,FALSE)," ")</f>
        <v xml:space="preserve"> </v>
      </c>
      <c r="AF210" s="90" t="str">
        <f>IFERROR(VLOOKUP(A210&amp;"aaaaaaa",COPY!$S$2:$AA$1000,6,FALSE)," ")</f>
        <v xml:space="preserve"> </v>
      </c>
      <c r="AG210" s="90" t="str">
        <f>IFERROR(VLOOKUP(A210&amp;"aaaaaaaa",COPY!$S$2:$AA$1000,6,FALSE)," ")</f>
        <v xml:space="preserve"> </v>
      </c>
      <c r="AH210" s="90" t="str">
        <f>IFERROR(VLOOKUP(A210&amp;"aaaaaaaaa",COPY!$S$2:$AA$1000,6,FALSE)," ")</f>
        <v xml:space="preserve"> </v>
      </c>
      <c r="AI210" s="90" t="str">
        <f>IFERROR(VLOOKUP(A210&amp;"aaaaaaaaaa",COPY!$S$2:$AA$1000,6,FALSE)," ")</f>
        <v xml:space="preserve"> </v>
      </c>
      <c r="AJ210" s="90" t="str">
        <f>IFERROR(VLOOKUP(A210&amp;"aaaaaaaaaaa",COPY!$S$2:$AA$1000,6,FALSE)," ")</f>
        <v xml:space="preserve"> </v>
      </c>
      <c r="AK210" s="90" t="str">
        <f>IF(LEFT(B210,2)="mg",VLOOKUP(A210,COPY!$S$2:$AA$1000,7,FALSE),IF(LEFT(B210,1)="G"," ",IF(LEFT(B210,2)="ma"," "," ")))</f>
        <v xml:space="preserve"> </v>
      </c>
      <c r="AL210" s="90" t="str">
        <f>IFERROR(VLOOKUP(A210&amp;"a",COPY!$S$2:$AA$1000,7,FALSE)," ")</f>
        <v xml:space="preserve"> </v>
      </c>
      <c r="AM210" s="90" t="str">
        <f>IFERROR(VLOOKUP(A210&amp;"aa",COPY!$S$2:$AA$1000,7,FALSE)," ")</f>
        <v xml:space="preserve"> </v>
      </c>
      <c r="AN210" s="90" t="str">
        <f>IFERROR(VLOOKUP(A210&amp;"aaa",COPY!$S$2:$AA$1000,7,FALSE)," ")</f>
        <v xml:space="preserve"> </v>
      </c>
      <c r="AO210" s="90" t="str">
        <f>IFERROR(VLOOKUP(A210&amp;"aaaa",COPY!$S$2:$AA$1000,7,FALSE)," ")</f>
        <v xml:space="preserve"> </v>
      </c>
      <c r="AP210" s="90" t="str">
        <f>IFERROR(VLOOKUP(A210&amp;"aaaaa",COPY!$S$2:$AA$1000,7,FALSE)," ")</f>
        <v xml:space="preserve"> </v>
      </c>
      <c r="AQ210" s="90" t="str">
        <f>IFERROR(VLOOKUP(A210&amp;"aaaaaa",COPY!$S$2:$AA$1000,7,FALSE)," ")</f>
        <v xml:space="preserve"> </v>
      </c>
      <c r="AR210" s="90" t="str">
        <f>IFERROR(VLOOKUP(A210&amp;"aaaaaaa",COPY!$S$2:$AA$1000,7,FALSE)," ")</f>
        <v xml:space="preserve"> </v>
      </c>
      <c r="AS210" s="90" t="str">
        <f>IFERROR(VLOOKUP(A210&amp;"aaaaaaaa",COPY!$S$2:$AA$1000,7,FALSE)," ")</f>
        <v xml:space="preserve"> </v>
      </c>
      <c r="AT210" s="90" t="str">
        <f>IFERROR(VLOOKUP(A210&amp;"aaaaaaaaa",COPY!$S$2:$AA$1000,7,FALSE)," ")</f>
        <v xml:space="preserve"> </v>
      </c>
      <c r="AU210" s="90" t="str">
        <f>IFERROR(VLOOKUP(A210&amp;"aaaaaaaaaa",COPY!$S$2:$AA$1000,7,FALSE)," ")</f>
        <v xml:space="preserve"> </v>
      </c>
      <c r="AV210" s="90" t="str">
        <f>IFERROR(VLOOKUP(A210&amp;"aaaaaaaaaaa",COPY!$S$2:$AA$1000,7,FALSE)," ")</f>
        <v xml:space="preserve"> </v>
      </c>
    </row>
    <row r="211" spans="1:48" x14ac:dyDescent="0.2">
      <c r="A211" s="75" t="str">
        <f>'REKAP PAJAK'!W248</f>
        <v/>
      </c>
      <c r="B211" s="75" t="str">
        <f>IF(LEN(A211)&gt;1,VLOOKUP(A211,COPY!$O$2:$R$1000,4,FALSE),"")</f>
        <v/>
      </c>
      <c r="C211" s="75" t="str">
        <f t="shared" si="18"/>
        <v xml:space="preserve"> </v>
      </c>
      <c r="D211" s="75" t="str">
        <f t="shared" si="19"/>
        <v xml:space="preserve"> </v>
      </c>
      <c r="E211" s="75" t="str">
        <f t="shared" si="20"/>
        <v xml:space="preserve"> </v>
      </c>
      <c r="F211" s="75" t="str">
        <f t="shared" si="21"/>
        <v xml:space="preserve"> </v>
      </c>
      <c r="H211" s="75" t="str">
        <f t="shared" si="22"/>
        <v xml:space="preserve"> </v>
      </c>
      <c r="I211" s="75" t="str">
        <f t="shared" si="23"/>
        <v xml:space="preserve"> </v>
      </c>
      <c r="J211" s="90" t="str">
        <f>IFERROR(VLOOKUP(A211,COPY!$S$2:$W$1000,4,FALSE)," ")</f>
        <v xml:space="preserve"> </v>
      </c>
      <c r="K211" s="75" t="str">
        <f>IFERROR(VLOOKUP(A211,COPY!$S$2:$W$1000,5,FALSE)," ")</f>
        <v xml:space="preserve"> </v>
      </c>
      <c r="L211" s="75" t="str">
        <f>IF(B211="","",IF(LEFT(B211,2)="Ma",(VLOOKUP(B211,'Rekap Gaji'!$C$12:$D$26,2,FALSE))&amp;" Untuk "&amp;(PROPER('Rekap Gaji'!$B$2)),IF(LEFT(B211,2)="Mg","Pembelian Material Bahan Bangunan",IF(LEFT(B211,2)="Me","Biaya Pembelanjaan Menejemen",IF(LEFT(B211,1)="G",VLOOKUP(A211,COPY!$S$2:$AA$1000,2,FALSE)&amp;"( "&amp;TEXT(VLOOKUP(B211,'Rekap Gaji'!$A$12:$I$26,5,FALSE),"dd-mm-yyyy")&amp;" "&amp;TEXT(VLOOKUP(B211,'Rekap Gaji'!$A$12:$I$26,6,FALSE)&amp;" "&amp;TEXT(VLOOKUP(B211,'Rekap Gaji'!$A$12:$I$26,7,FALSE),"dd-mm-yyyy")&amp;" )"," "))))))</f>
        <v/>
      </c>
      <c r="M211" s="75" t="str">
        <f>IF(OR(LEFT(B211,2)="mg",LEFT(B211,2)="mE"),VLOOKUP(A211,COPY!$S$2:$AA$1000,2,FALSE),IF(LEFT(B211,1)="G"," ",IF(LEFT(B211,2)="ma"," "," ")))</f>
        <v xml:space="preserve"> </v>
      </c>
      <c r="N211" s="75" t="str">
        <f>IFERROR(VLOOKUP(A211&amp;"a",COPY!$S$2:$AA$1000,2,FALSE)," ")</f>
        <v xml:space="preserve"> </v>
      </c>
      <c r="O211" s="75" t="str">
        <f>IFERROR(VLOOKUP(A211&amp;"aa",COPY!$S$2:$AA$1000,2,FALSE)," ")</f>
        <v xml:space="preserve"> </v>
      </c>
      <c r="P211" s="75" t="str">
        <f>IFERROR(VLOOKUP(A211&amp;"aaa",COPY!$S$2:$AA$1000,2,FALSE)," ")</f>
        <v xml:space="preserve"> </v>
      </c>
      <c r="Q211" s="75" t="str">
        <f>IFERROR(VLOOKUP(A211&amp;"aaaa",COPY!$S$2:$AA$1000,2,FALSE)," ")</f>
        <v xml:space="preserve"> </v>
      </c>
      <c r="R211" s="75" t="str">
        <f>IFERROR(VLOOKUP(A211&amp;"aaaaa",COPY!$S$2:$AA$1000,2,FALSE)," ")</f>
        <v xml:space="preserve"> </v>
      </c>
      <c r="S211" s="75" t="str">
        <f>IFERROR(VLOOKUP(A211&amp;"aaaaaa",COPY!$S$2:$AA$1000,2,FALSE)," ")</f>
        <v xml:space="preserve"> </v>
      </c>
      <c r="T211" s="75" t="str">
        <f>IFERROR(VLOOKUP(A211&amp;"aaaaaaa",COPY!$S$2:$AA$1000,2,FALSE)," ")</f>
        <v xml:space="preserve"> </v>
      </c>
      <c r="U211" s="75" t="str">
        <f>IFERROR(VLOOKUP(A211&amp;"aaaaaaaa",COPY!$S$2:$AA$1000,2,FALSE)," ")</f>
        <v xml:space="preserve"> </v>
      </c>
      <c r="V211" s="75" t="str">
        <f>IFERROR(VLOOKUP(A211&amp;"aaaaaaaaa",COPY!$S$2:$AA$1000,2,FALSE)," ")</f>
        <v xml:space="preserve"> </v>
      </c>
      <c r="W211" s="75" t="str">
        <f>IFERROR(VLOOKUP(A211&amp;"aaaaaaaaaa",COPY!$S$2:$AA$1000,2,FALSE)," ")</f>
        <v xml:space="preserve"> </v>
      </c>
      <c r="X211" s="75" t="str">
        <f>IFERROR(VLOOKUP(A211&amp;"aaaaaaaaaaa",COPY!$S$2:$AA$1000,2,FALSE)," ")</f>
        <v xml:space="preserve"> </v>
      </c>
      <c r="Y211" s="90" t="str">
        <f>IF(OR(LEFT(B211,2)="mg",LEFT(B211,2)="mE"),VLOOKUP(A211,COPY!$S$2:$AA$1000,6,FALSE),IF(LEFT(B211,1)="G"," ",IF(LEFT(B211,2)="ma"," "," ")))</f>
        <v xml:space="preserve"> </v>
      </c>
      <c r="Z211" s="90" t="str">
        <f>IFERROR(VLOOKUP(A211&amp;"a",COPY!$S$2:$AA$1000,6,FALSE)," ")</f>
        <v xml:space="preserve"> </v>
      </c>
      <c r="AA211" s="90" t="str">
        <f>IFERROR(VLOOKUP(A211&amp;"aa",COPY!$S$2:$AA$1000,6,FALSE)," ")</f>
        <v xml:space="preserve"> </v>
      </c>
      <c r="AB211" s="90" t="str">
        <f>IFERROR(VLOOKUP(A211&amp;"aaa",COPY!$S$2:$AA$1000,6,FALSE)," ")</f>
        <v xml:space="preserve"> </v>
      </c>
      <c r="AC211" s="90" t="str">
        <f>IFERROR(VLOOKUP(A211&amp;"aaaa",COPY!$S$2:$AA$1000,6,FALSE)," ")</f>
        <v xml:space="preserve"> </v>
      </c>
      <c r="AD211" s="90" t="str">
        <f>IFERROR(VLOOKUP(A211&amp;"aaaaa",COPY!$S$2:$AA$1000,6,FALSE)," ")</f>
        <v xml:space="preserve"> </v>
      </c>
      <c r="AE211" s="90" t="str">
        <f>IFERROR(VLOOKUP(A211&amp;"aaaaaa",COPY!$S$2:$AA$1000,6,FALSE)," ")</f>
        <v xml:space="preserve"> </v>
      </c>
      <c r="AF211" s="90" t="str">
        <f>IFERROR(VLOOKUP(A211&amp;"aaaaaaa",COPY!$S$2:$AA$1000,6,FALSE)," ")</f>
        <v xml:space="preserve"> </v>
      </c>
      <c r="AG211" s="90" t="str">
        <f>IFERROR(VLOOKUP(A211&amp;"aaaaaaaa",COPY!$S$2:$AA$1000,6,FALSE)," ")</f>
        <v xml:space="preserve"> </v>
      </c>
      <c r="AH211" s="90" t="str">
        <f>IFERROR(VLOOKUP(A211&amp;"aaaaaaaaa",COPY!$S$2:$AA$1000,6,FALSE)," ")</f>
        <v xml:space="preserve"> </v>
      </c>
      <c r="AI211" s="90" t="str">
        <f>IFERROR(VLOOKUP(A211&amp;"aaaaaaaaaa",COPY!$S$2:$AA$1000,6,FALSE)," ")</f>
        <v xml:space="preserve"> </v>
      </c>
      <c r="AJ211" s="90" t="str">
        <f>IFERROR(VLOOKUP(A211&amp;"aaaaaaaaaaa",COPY!$S$2:$AA$1000,6,FALSE)," ")</f>
        <v xml:space="preserve"> </v>
      </c>
      <c r="AK211" s="90" t="str">
        <f>IF(LEFT(B211,2)="mg",VLOOKUP(A211,COPY!$S$2:$AA$1000,7,FALSE),IF(LEFT(B211,1)="G"," ",IF(LEFT(B211,2)="ma"," "," ")))</f>
        <v xml:space="preserve"> </v>
      </c>
      <c r="AL211" s="90" t="str">
        <f>IFERROR(VLOOKUP(A211&amp;"a",COPY!$S$2:$AA$1000,7,FALSE)," ")</f>
        <v xml:space="preserve"> </v>
      </c>
      <c r="AM211" s="90" t="str">
        <f>IFERROR(VLOOKUP(A211&amp;"aa",COPY!$S$2:$AA$1000,7,FALSE)," ")</f>
        <v xml:space="preserve"> </v>
      </c>
      <c r="AN211" s="90" t="str">
        <f>IFERROR(VLOOKUP(A211&amp;"aaa",COPY!$S$2:$AA$1000,7,FALSE)," ")</f>
        <v xml:space="preserve"> </v>
      </c>
      <c r="AO211" s="90" t="str">
        <f>IFERROR(VLOOKUP(A211&amp;"aaaa",COPY!$S$2:$AA$1000,7,FALSE)," ")</f>
        <v xml:space="preserve"> </v>
      </c>
      <c r="AP211" s="90" t="str">
        <f>IFERROR(VLOOKUP(A211&amp;"aaaaa",COPY!$S$2:$AA$1000,7,FALSE)," ")</f>
        <v xml:space="preserve"> </v>
      </c>
      <c r="AQ211" s="90" t="str">
        <f>IFERROR(VLOOKUP(A211&amp;"aaaaaa",COPY!$S$2:$AA$1000,7,FALSE)," ")</f>
        <v xml:space="preserve"> </v>
      </c>
      <c r="AR211" s="90" t="str">
        <f>IFERROR(VLOOKUP(A211&amp;"aaaaaaa",COPY!$S$2:$AA$1000,7,FALSE)," ")</f>
        <v xml:space="preserve"> </v>
      </c>
      <c r="AS211" s="90" t="str">
        <f>IFERROR(VLOOKUP(A211&amp;"aaaaaaaa",COPY!$S$2:$AA$1000,7,FALSE)," ")</f>
        <v xml:space="preserve"> </v>
      </c>
      <c r="AT211" s="90" t="str">
        <f>IFERROR(VLOOKUP(A211&amp;"aaaaaaaaa",COPY!$S$2:$AA$1000,7,FALSE)," ")</f>
        <v xml:space="preserve"> </v>
      </c>
      <c r="AU211" s="90" t="str">
        <f>IFERROR(VLOOKUP(A211&amp;"aaaaaaaaaa",COPY!$S$2:$AA$1000,7,FALSE)," ")</f>
        <v xml:space="preserve"> </v>
      </c>
      <c r="AV211" s="90" t="str">
        <f>IFERROR(VLOOKUP(A211&amp;"aaaaaaaaaaa",COPY!$S$2:$AA$1000,7,FALSE)," ")</f>
        <v xml:space="preserve"> </v>
      </c>
    </row>
    <row r="212" spans="1:48" x14ac:dyDescent="0.2">
      <c r="A212" s="75" t="str">
        <f>'REKAP PAJAK'!W249</f>
        <v/>
      </c>
      <c r="B212" s="75" t="str">
        <f>IF(LEN(A212)&gt;1,VLOOKUP(A212,COPY!$O$2:$R$1000,4,FALSE),"")</f>
        <v/>
      </c>
      <c r="C212" s="75" t="str">
        <f t="shared" si="18"/>
        <v xml:space="preserve"> </v>
      </c>
      <c r="D212" s="75" t="str">
        <f t="shared" si="19"/>
        <v xml:space="preserve"> </v>
      </c>
      <c r="E212" s="75" t="str">
        <f t="shared" si="20"/>
        <v xml:space="preserve"> </v>
      </c>
      <c r="F212" s="75" t="str">
        <f t="shared" si="21"/>
        <v xml:space="preserve"> </v>
      </c>
      <c r="H212" s="75" t="str">
        <f t="shared" si="22"/>
        <v xml:space="preserve"> </v>
      </c>
      <c r="I212" s="75" t="str">
        <f t="shared" si="23"/>
        <v xml:space="preserve"> </v>
      </c>
      <c r="J212" s="90" t="str">
        <f>IFERROR(VLOOKUP(A212,COPY!$S$2:$W$1000,4,FALSE)," ")</f>
        <v xml:space="preserve"> </v>
      </c>
      <c r="K212" s="75" t="str">
        <f>IFERROR(VLOOKUP(A212,COPY!$S$2:$W$1000,5,FALSE)," ")</f>
        <v xml:space="preserve"> </v>
      </c>
      <c r="L212" s="75" t="str">
        <f>IF(B212="","",IF(LEFT(B212,2)="Ma",(VLOOKUP(B212,'Rekap Gaji'!$C$12:$D$26,2,FALSE))&amp;" Untuk "&amp;(PROPER('Rekap Gaji'!$B$2)),IF(LEFT(B212,2)="Mg","Pembelian Material Bahan Bangunan",IF(LEFT(B212,2)="Me","Biaya Pembelanjaan Menejemen",IF(LEFT(B212,1)="G",VLOOKUP(A212,COPY!$S$2:$AA$1000,2,FALSE)&amp;"( "&amp;TEXT(VLOOKUP(B212,'Rekap Gaji'!$A$12:$I$26,5,FALSE),"dd-mm-yyyy")&amp;" "&amp;TEXT(VLOOKUP(B212,'Rekap Gaji'!$A$12:$I$26,6,FALSE)&amp;" "&amp;TEXT(VLOOKUP(B212,'Rekap Gaji'!$A$12:$I$26,7,FALSE),"dd-mm-yyyy")&amp;" )"," "))))))</f>
        <v/>
      </c>
      <c r="M212" s="75" t="str">
        <f>IF(OR(LEFT(B212,2)="mg",LEFT(B212,2)="mE"),VLOOKUP(A212,COPY!$S$2:$AA$1000,2,FALSE),IF(LEFT(B212,1)="G"," ",IF(LEFT(B212,2)="ma"," "," ")))</f>
        <v xml:space="preserve"> </v>
      </c>
      <c r="N212" s="75" t="str">
        <f>IFERROR(VLOOKUP(A212&amp;"a",COPY!$S$2:$AA$1000,2,FALSE)," ")</f>
        <v xml:space="preserve"> </v>
      </c>
      <c r="O212" s="75" t="str">
        <f>IFERROR(VLOOKUP(A212&amp;"aa",COPY!$S$2:$AA$1000,2,FALSE)," ")</f>
        <v xml:space="preserve"> </v>
      </c>
      <c r="P212" s="75" t="str">
        <f>IFERROR(VLOOKUP(A212&amp;"aaa",COPY!$S$2:$AA$1000,2,FALSE)," ")</f>
        <v xml:space="preserve"> </v>
      </c>
      <c r="Q212" s="75" t="str">
        <f>IFERROR(VLOOKUP(A212&amp;"aaaa",COPY!$S$2:$AA$1000,2,FALSE)," ")</f>
        <v xml:space="preserve"> </v>
      </c>
      <c r="R212" s="75" t="str">
        <f>IFERROR(VLOOKUP(A212&amp;"aaaaa",COPY!$S$2:$AA$1000,2,FALSE)," ")</f>
        <v xml:space="preserve"> </v>
      </c>
      <c r="S212" s="75" t="str">
        <f>IFERROR(VLOOKUP(A212&amp;"aaaaaa",COPY!$S$2:$AA$1000,2,FALSE)," ")</f>
        <v xml:space="preserve"> </v>
      </c>
      <c r="T212" s="75" t="str">
        <f>IFERROR(VLOOKUP(A212&amp;"aaaaaaa",COPY!$S$2:$AA$1000,2,FALSE)," ")</f>
        <v xml:space="preserve"> </v>
      </c>
      <c r="U212" s="75" t="str">
        <f>IFERROR(VLOOKUP(A212&amp;"aaaaaaaa",COPY!$S$2:$AA$1000,2,FALSE)," ")</f>
        <v xml:space="preserve"> </v>
      </c>
      <c r="V212" s="75" t="str">
        <f>IFERROR(VLOOKUP(A212&amp;"aaaaaaaaa",COPY!$S$2:$AA$1000,2,FALSE)," ")</f>
        <v xml:space="preserve"> </v>
      </c>
      <c r="W212" s="75" t="str">
        <f>IFERROR(VLOOKUP(A212&amp;"aaaaaaaaaa",COPY!$S$2:$AA$1000,2,FALSE)," ")</f>
        <v xml:space="preserve"> </v>
      </c>
      <c r="X212" s="75" t="str">
        <f>IFERROR(VLOOKUP(A212&amp;"aaaaaaaaaaa",COPY!$S$2:$AA$1000,2,FALSE)," ")</f>
        <v xml:space="preserve"> </v>
      </c>
      <c r="Y212" s="90" t="str">
        <f>IF(OR(LEFT(B212,2)="mg",LEFT(B212,2)="mE"),VLOOKUP(A212,COPY!$S$2:$AA$1000,6,FALSE),IF(LEFT(B212,1)="G"," ",IF(LEFT(B212,2)="ma"," "," ")))</f>
        <v xml:space="preserve"> </v>
      </c>
      <c r="Z212" s="90" t="str">
        <f>IFERROR(VLOOKUP(A212&amp;"a",COPY!$S$2:$AA$1000,6,FALSE)," ")</f>
        <v xml:space="preserve"> </v>
      </c>
      <c r="AA212" s="90" t="str">
        <f>IFERROR(VLOOKUP(A212&amp;"aa",COPY!$S$2:$AA$1000,6,FALSE)," ")</f>
        <v xml:space="preserve"> </v>
      </c>
      <c r="AB212" s="90" t="str">
        <f>IFERROR(VLOOKUP(A212&amp;"aaa",COPY!$S$2:$AA$1000,6,FALSE)," ")</f>
        <v xml:space="preserve"> </v>
      </c>
      <c r="AC212" s="90" t="str">
        <f>IFERROR(VLOOKUP(A212&amp;"aaaa",COPY!$S$2:$AA$1000,6,FALSE)," ")</f>
        <v xml:space="preserve"> </v>
      </c>
      <c r="AD212" s="90" t="str">
        <f>IFERROR(VLOOKUP(A212&amp;"aaaaa",COPY!$S$2:$AA$1000,6,FALSE)," ")</f>
        <v xml:space="preserve"> </v>
      </c>
      <c r="AE212" s="90" t="str">
        <f>IFERROR(VLOOKUP(A212&amp;"aaaaaa",COPY!$S$2:$AA$1000,6,FALSE)," ")</f>
        <v xml:space="preserve"> </v>
      </c>
      <c r="AF212" s="90" t="str">
        <f>IFERROR(VLOOKUP(A212&amp;"aaaaaaa",COPY!$S$2:$AA$1000,6,FALSE)," ")</f>
        <v xml:space="preserve"> </v>
      </c>
      <c r="AG212" s="90" t="str">
        <f>IFERROR(VLOOKUP(A212&amp;"aaaaaaaa",COPY!$S$2:$AA$1000,6,FALSE)," ")</f>
        <v xml:space="preserve"> </v>
      </c>
      <c r="AH212" s="90" t="str">
        <f>IFERROR(VLOOKUP(A212&amp;"aaaaaaaaa",COPY!$S$2:$AA$1000,6,FALSE)," ")</f>
        <v xml:space="preserve"> </v>
      </c>
      <c r="AI212" s="90" t="str">
        <f>IFERROR(VLOOKUP(A212&amp;"aaaaaaaaaa",COPY!$S$2:$AA$1000,6,FALSE)," ")</f>
        <v xml:space="preserve"> </v>
      </c>
      <c r="AJ212" s="90" t="str">
        <f>IFERROR(VLOOKUP(A212&amp;"aaaaaaaaaaa",COPY!$S$2:$AA$1000,6,FALSE)," ")</f>
        <v xml:space="preserve"> </v>
      </c>
      <c r="AK212" s="90" t="str">
        <f>IF(LEFT(B212,2)="mg",VLOOKUP(A212,COPY!$S$2:$AA$1000,7,FALSE),IF(LEFT(B212,1)="G"," ",IF(LEFT(B212,2)="ma"," "," ")))</f>
        <v xml:space="preserve"> </v>
      </c>
      <c r="AL212" s="90" t="str">
        <f>IFERROR(VLOOKUP(A212&amp;"a",COPY!$S$2:$AA$1000,7,FALSE)," ")</f>
        <v xml:space="preserve"> </v>
      </c>
      <c r="AM212" s="90" t="str">
        <f>IFERROR(VLOOKUP(A212&amp;"aa",COPY!$S$2:$AA$1000,7,FALSE)," ")</f>
        <v xml:space="preserve"> </v>
      </c>
      <c r="AN212" s="90" t="str">
        <f>IFERROR(VLOOKUP(A212&amp;"aaa",COPY!$S$2:$AA$1000,7,FALSE)," ")</f>
        <v xml:space="preserve"> </v>
      </c>
      <c r="AO212" s="90" t="str">
        <f>IFERROR(VLOOKUP(A212&amp;"aaaa",COPY!$S$2:$AA$1000,7,FALSE)," ")</f>
        <v xml:space="preserve"> </v>
      </c>
      <c r="AP212" s="90" t="str">
        <f>IFERROR(VLOOKUP(A212&amp;"aaaaa",COPY!$S$2:$AA$1000,7,FALSE)," ")</f>
        <v xml:space="preserve"> </v>
      </c>
      <c r="AQ212" s="90" t="str">
        <f>IFERROR(VLOOKUP(A212&amp;"aaaaaa",COPY!$S$2:$AA$1000,7,FALSE)," ")</f>
        <v xml:space="preserve"> </v>
      </c>
      <c r="AR212" s="90" t="str">
        <f>IFERROR(VLOOKUP(A212&amp;"aaaaaaa",COPY!$S$2:$AA$1000,7,FALSE)," ")</f>
        <v xml:space="preserve"> </v>
      </c>
      <c r="AS212" s="90" t="str">
        <f>IFERROR(VLOOKUP(A212&amp;"aaaaaaaa",COPY!$S$2:$AA$1000,7,FALSE)," ")</f>
        <v xml:space="preserve"> </v>
      </c>
      <c r="AT212" s="90" t="str">
        <f>IFERROR(VLOOKUP(A212&amp;"aaaaaaaaa",COPY!$S$2:$AA$1000,7,FALSE)," ")</f>
        <v xml:space="preserve"> </v>
      </c>
      <c r="AU212" s="90" t="str">
        <f>IFERROR(VLOOKUP(A212&amp;"aaaaaaaaaa",COPY!$S$2:$AA$1000,7,FALSE)," ")</f>
        <v xml:space="preserve"> </v>
      </c>
      <c r="AV212" s="90" t="str">
        <f>IFERROR(VLOOKUP(A212&amp;"aaaaaaaaaaa",COPY!$S$2:$AA$1000,7,FALSE)," ")</f>
        <v xml:space="preserve"> </v>
      </c>
    </row>
    <row r="213" spans="1:48" x14ac:dyDescent="0.2">
      <c r="A213" s="75" t="str">
        <f>'REKAP PAJAK'!W250</f>
        <v/>
      </c>
      <c r="B213" s="75" t="str">
        <f>IF(LEN(A213)&gt;1,VLOOKUP(A213,COPY!$O$2:$R$1000,4,FALSE),"")</f>
        <v/>
      </c>
      <c r="C213" s="75" t="str">
        <f t="shared" si="18"/>
        <v xml:space="preserve"> </v>
      </c>
      <c r="D213" s="75" t="str">
        <f t="shared" si="19"/>
        <v xml:space="preserve"> </v>
      </c>
      <c r="E213" s="75" t="str">
        <f t="shared" si="20"/>
        <v xml:space="preserve"> </v>
      </c>
      <c r="F213" s="75" t="str">
        <f t="shared" si="21"/>
        <v xml:space="preserve"> </v>
      </c>
      <c r="H213" s="75" t="str">
        <f t="shared" si="22"/>
        <v xml:space="preserve"> </v>
      </c>
      <c r="I213" s="75" t="str">
        <f t="shared" si="23"/>
        <v xml:space="preserve"> </v>
      </c>
      <c r="J213" s="90" t="str">
        <f>IFERROR(VLOOKUP(A213,COPY!$S$2:$W$1000,4,FALSE)," ")</f>
        <v xml:space="preserve"> </v>
      </c>
      <c r="K213" s="75" t="str">
        <f>IFERROR(VLOOKUP(A213,COPY!$S$2:$W$1000,5,FALSE)," ")</f>
        <v xml:space="preserve"> </v>
      </c>
      <c r="L213" s="75" t="str">
        <f>IF(B213="","",IF(LEFT(B213,2)="Ma",(VLOOKUP(B213,'Rekap Gaji'!$C$12:$D$26,2,FALSE))&amp;" Untuk "&amp;(PROPER('Rekap Gaji'!$B$2)),IF(LEFT(B213,2)="Mg","Pembelian Material Bahan Bangunan",IF(LEFT(B213,2)="Me","Biaya Pembelanjaan Menejemen",IF(LEFT(B213,1)="G",VLOOKUP(A213,COPY!$S$2:$AA$1000,2,FALSE)&amp;"( "&amp;TEXT(VLOOKUP(B213,'Rekap Gaji'!$A$12:$I$26,5,FALSE),"dd-mm-yyyy")&amp;" "&amp;TEXT(VLOOKUP(B213,'Rekap Gaji'!$A$12:$I$26,6,FALSE)&amp;" "&amp;TEXT(VLOOKUP(B213,'Rekap Gaji'!$A$12:$I$26,7,FALSE),"dd-mm-yyyy")&amp;" )"," "))))))</f>
        <v/>
      </c>
      <c r="M213" s="75" t="str">
        <f>IF(OR(LEFT(B213,2)="mg",LEFT(B213,2)="mE"),VLOOKUP(A213,COPY!$S$2:$AA$1000,2,FALSE),IF(LEFT(B213,1)="G"," ",IF(LEFT(B213,2)="ma"," "," ")))</f>
        <v xml:space="preserve"> </v>
      </c>
      <c r="N213" s="75" t="str">
        <f>IFERROR(VLOOKUP(A213&amp;"a",COPY!$S$2:$AA$1000,2,FALSE)," ")</f>
        <v xml:space="preserve"> </v>
      </c>
      <c r="O213" s="75" t="str">
        <f>IFERROR(VLOOKUP(A213&amp;"aa",COPY!$S$2:$AA$1000,2,FALSE)," ")</f>
        <v xml:space="preserve"> </v>
      </c>
      <c r="P213" s="75" t="str">
        <f>IFERROR(VLOOKUP(A213&amp;"aaa",COPY!$S$2:$AA$1000,2,FALSE)," ")</f>
        <v xml:space="preserve"> </v>
      </c>
      <c r="Q213" s="75" t="str">
        <f>IFERROR(VLOOKUP(A213&amp;"aaaa",COPY!$S$2:$AA$1000,2,FALSE)," ")</f>
        <v xml:space="preserve"> </v>
      </c>
      <c r="R213" s="75" t="str">
        <f>IFERROR(VLOOKUP(A213&amp;"aaaaa",COPY!$S$2:$AA$1000,2,FALSE)," ")</f>
        <v xml:space="preserve"> </v>
      </c>
      <c r="S213" s="75" t="str">
        <f>IFERROR(VLOOKUP(A213&amp;"aaaaaa",COPY!$S$2:$AA$1000,2,FALSE)," ")</f>
        <v xml:space="preserve"> </v>
      </c>
      <c r="T213" s="75" t="str">
        <f>IFERROR(VLOOKUP(A213&amp;"aaaaaaa",COPY!$S$2:$AA$1000,2,FALSE)," ")</f>
        <v xml:space="preserve"> </v>
      </c>
      <c r="U213" s="75" t="str">
        <f>IFERROR(VLOOKUP(A213&amp;"aaaaaaaa",COPY!$S$2:$AA$1000,2,FALSE)," ")</f>
        <v xml:space="preserve"> </v>
      </c>
      <c r="V213" s="75" t="str">
        <f>IFERROR(VLOOKUP(A213&amp;"aaaaaaaaa",COPY!$S$2:$AA$1000,2,FALSE)," ")</f>
        <v xml:space="preserve"> </v>
      </c>
      <c r="W213" s="75" t="str">
        <f>IFERROR(VLOOKUP(A213&amp;"aaaaaaaaaa",COPY!$S$2:$AA$1000,2,FALSE)," ")</f>
        <v xml:space="preserve"> </v>
      </c>
      <c r="X213" s="75" t="str">
        <f>IFERROR(VLOOKUP(A213&amp;"aaaaaaaaaaa",COPY!$S$2:$AA$1000,2,FALSE)," ")</f>
        <v xml:space="preserve"> </v>
      </c>
      <c r="Y213" s="90" t="str">
        <f>IF(OR(LEFT(B213,2)="mg",LEFT(B213,2)="mE"),VLOOKUP(A213,COPY!$S$2:$AA$1000,6,FALSE),IF(LEFT(B213,1)="G"," ",IF(LEFT(B213,2)="ma"," "," ")))</f>
        <v xml:space="preserve"> </v>
      </c>
      <c r="Z213" s="90" t="str">
        <f>IFERROR(VLOOKUP(A213&amp;"a",COPY!$S$2:$AA$1000,6,FALSE)," ")</f>
        <v xml:space="preserve"> </v>
      </c>
      <c r="AA213" s="90" t="str">
        <f>IFERROR(VLOOKUP(A213&amp;"aa",COPY!$S$2:$AA$1000,6,FALSE)," ")</f>
        <v xml:space="preserve"> </v>
      </c>
      <c r="AB213" s="90" t="str">
        <f>IFERROR(VLOOKUP(A213&amp;"aaa",COPY!$S$2:$AA$1000,6,FALSE)," ")</f>
        <v xml:space="preserve"> </v>
      </c>
      <c r="AC213" s="90" t="str">
        <f>IFERROR(VLOOKUP(A213&amp;"aaaa",COPY!$S$2:$AA$1000,6,FALSE)," ")</f>
        <v xml:space="preserve"> </v>
      </c>
      <c r="AD213" s="90" t="str">
        <f>IFERROR(VLOOKUP(A213&amp;"aaaaa",COPY!$S$2:$AA$1000,6,FALSE)," ")</f>
        <v xml:space="preserve"> </v>
      </c>
      <c r="AE213" s="90" t="str">
        <f>IFERROR(VLOOKUP(A213&amp;"aaaaaa",COPY!$S$2:$AA$1000,6,FALSE)," ")</f>
        <v xml:space="preserve"> </v>
      </c>
      <c r="AF213" s="90" t="str">
        <f>IFERROR(VLOOKUP(A213&amp;"aaaaaaa",COPY!$S$2:$AA$1000,6,FALSE)," ")</f>
        <v xml:space="preserve"> </v>
      </c>
      <c r="AG213" s="90" t="str">
        <f>IFERROR(VLOOKUP(A213&amp;"aaaaaaaa",COPY!$S$2:$AA$1000,6,FALSE)," ")</f>
        <v xml:space="preserve"> </v>
      </c>
      <c r="AH213" s="90" t="str">
        <f>IFERROR(VLOOKUP(A213&amp;"aaaaaaaaa",COPY!$S$2:$AA$1000,6,FALSE)," ")</f>
        <v xml:space="preserve"> </v>
      </c>
      <c r="AI213" s="90" t="str">
        <f>IFERROR(VLOOKUP(A213&amp;"aaaaaaaaaa",COPY!$S$2:$AA$1000,6,FALSE)," ")</f>
        <v xml:space="preserve"> </v>
      </c>
      <c r="AJ213" s="90" t="str">
        <f>IFERROR(VLOOKUP(A213&amp;"aaaaaaaaaaa",COPY!$S$2:$AA$1000,6,FALSE)," ")</f>
        <v xml:space="preserve"> </v>
      </c>
      <c r="AK213" s="90" t="str">
        <f>IF(LEFT(B213,2)="mg",VLOOKUP(A213,COPY!$S$2:$AA$1000,7,FALSE),IF(LEFT(B213,1)="G"," ",IF(LEFT(B213,2)="ma"," "," ")))</f>
        <v xml:space="preserve"> </v>
      </c>
      <c r="AL213" s="90" t="str">
        <f>IFERROR(VLOOKUP(A213&amp;"a",COPY!$S$2:$AA$1000,7,FALSE)," ")</f>
        <v xml:space="preserve"> </v>
      </c>
      <c r="AM213" s="90" t="str">
        <f>IFERROR(VLOOKUP(A213&amp;"aa",COPY!$S$2:$AA$1000,7,FALSE)," ")</f>
        <v xml:space="preserve"> </v>
      </c>
      <c r="AN213" s="90" t="str">
        <f>IFERROR(VLOOKUP(A213&amp;"aaa",COPY!$S$2:$AA$1000,7,FALSE)," ")</f>
        <v xml:space="preserve"> </v>
      </c>
      <c r="AO213" s="90" t="str">
        <f>IFERROR(VLOOKUP(A213&amp;"aaaa",COPY!$S$2:$AA$1000,7,FALSE)," ")</f>
        <v xml:space="preserve"> </v>
      </c>
      <c r="AP213" s="90" t="str">
        <f>IFERROR(VLOOKUP(A213&amp;"aaaaa",COPY!$S$2:$AA$1000,7,FALSE)," ")</f>
        <v xml:space="preserve"> </v>
      </c>
      <c r="AQ213" s="90" t="str">
        <f>IFERROR(VLOOKUP(A213&amp;"aaaaaa",COPY!$S$2:$AA$1000,7,FALSE)," ")</f>
        <v xml:space="preserve"> </v>
      </c>
      <c r="AR213" s="90" t="str">
        <f>IFERROR(VLOOKUP(A213&amp;"aaaaaaa",COPY!$S$2:$AA$1000,7,FALSE)," ")</f>
        <v xml:space="preserve"> </v>
      </c>
      <c r="AS213" s="90" t="str">
        <f>IFERROR(VLOOKUP(A213&amp;"aaaaaaaa",COPY!$S$2:$AA$1000,7,FALSE)," ")</f>
        <v xml:space="preserve"> </v>
      </c>
      <c r="AT213" s="90" t="str">
        <f>IFERROR(VLOOKUP(A213&amp;"aaaaaaaaa",COPY!$S$2:$AA$1000,7,FALSE)," ")</f>
        <v xml:space="preserve"> </v>
      </c>
      <c r="AU213" s="90" t="str">
        <f>IFERROR(VLOOKUP(A213&amp;"aaaaaaaaaa",COPY!$S$2:$AA$1000,7,FALSE)," ")</f>
        <v xml:space="preserve"> </v>
      </c>
      <c r="AV213" s="90" t="str">
        <f>IFERROR(VLOOKUP(A213&amp;"aaaaaaaaaaa",COPY!$S$2:$AA$1000,7,FALSE)," ")</f>
        <v xml:space="preserve"> </v>
      </c>
    </row>
    <row r="214" spans="1:48" x14ac:dyDescent="0.2">
      <c r="A214" s="75" t="str">
        <f>'REKAP PAJAK'!W251</f>
        <v/>
      </c>
      <c r="B214" s="75" t="str">
        <f>IF(LEN(A214)&gt;1,VLOOKUP(A214,COPY!$O$2:$R$1000,4,FALSE),"")</f>
        <v/>
      </c>
      <c r="C214" s="75" t="str">
        <f t="shared" si="18"/>
        <v xml:space="preserve"> </v>
      </c>
      <c r="D214" s="75" t="str">
        <f t="shared" si="19"/>
        <v xml:space="preserve"> </v>
      </c>
      <c r="E214" s="75" t="str">
        <f t="shared" si="20"/>
        <v xml:space="preserve"> </v>
      </c>
      <c r="F214" s="75" t="str">
        <f t="shared" si="21"/>
        <v xml:space="preserve"> </v>
      </c>
      <c r="H214" s="75" t="str">
        <f t="shared" si="22"/>
        <v xml:space="preserve"> </v>
      </c>
      <c r="I214" s="75" t="str">
        <f t="shared" si="23"/>
        <v xml:space="preserve"> </v>
      </c>
      <c r="J214" s="90" t="str">
        <f>IFERROR(VLOOKUP(A214,COPY!$S$2:$W$1000,4,FALSE)," ")</f>
        <v xml:space="preserve"> </v>
      </c>
      <c r="K214" s="75" t="str">
        <f>IFERROR(VLOOKUP(A214,COPY!$S$2:$W$1000,5,FALSE)," ")</f>
        <v xml:space="preserve"> </v>
      </c>
      <c r="L214" s="75" t="str">
        <f>IF(B214="","",IF(LEFT(B214,2)="Ma",(VLOOKUP(B214,'Rekap Gaji'!$C$12:$D$26,2,FALSE))&amp;" Untuk "&amp;(PROPER('Rekap Gaji'!$B$2)),IF(LEFT(B214,2)="Mg","Pembelian Material Bahan Bangunan",IF(LEFT(B214,2)="Me","Biaya Pembelanjaan Menejemen",IF(LEFT(B214,1)="G",VLOOKUP(A214,COPY!$S$2:$AA$1000,2,FALSE)&amp;"( "&amp;TEXT(VLOOKUP(B214,'Rekap Gaji'!$A$12:$I$26,5,FALSE),"dd-mm-yyyy")&amp;" "&amp;TEXT(VLOOKUP(B214,'Rekap Gaji'!$A$12:$I$26,6,FALSE)&amp;" "&amp;TEXT(VLOOKUP(B214,'Rekap Gaji'!$A$12:$I$26,7,FALSE),"dd-mm-yyyy")&amp;" )"," "))))))</f>
        <v/>
      </c>
      <c r="M214" s="75" t="str">
        <f>IF(OR(LEFT(B214,2)="mg",LEFT(B214,2)="mE"),VLOOKUP(A214,COPY!$S$2:$AA$1000,2,FALSE),IF(LEFT(B214,1)="G"," ",IF(LEFT(B214,2)="ma"," "," ")))</f>
        <v xml:space="preserve"> </v>
      </c>
      <c r="N214" s="75" t="str">
        <f>IFERROR(VLOOKUP(A214&amp;"a",COPY!$S$2:$AA$1000,2,FALSE)," ")</f>
        <v xml:space="preserve"> </v>
      </c>
      <c r="O214" s="75" t="str">
        <f>IFERROR(VLOOKUP(A214&amp;"aa",COPY!$S$2:$AA$1000,2,FALSE)," ")</f>
        <v xml:space="preserve"> </v>
      </c>
      <c r="P214" s="75" t="str">
        <f>IFERROR(VLOOKUP(A214&amp;"aaa",COPY!$S$2:$AA$1000,2,FALSE)," ")</f>
        <v xml:space="preserve"> </v>
      </c>
      <c r="Q214" s="75" t="str">
        <f>IFERROR(VLOOKUP(A214&amp;"aaaa",COPY!$S$2:$AA$1000,2,FALSE)," ")</f>
        <v xml:space="preserve"> </v>
      </c>
      <c r="R214" s="75" t="str">
        <f>IFERROR(VLOOKUP(A214&amp;"aaaaa",COPY!$S$2:$AA$1000,2,FALSE)," ")</f>
        <v xml:space="preserve"> </v>
      </c>
      <c r="S214" s="75" t="str">
        <f>IFERROR(VLOOKUP(A214&amp;"aaaaaa",COPY!$S$2:$AA$1000,2,FALSE)," ")</f>
        <v xml:space="preserve"> </v>
      </c>
      <c r="T214" s="75" t="str">
        <f>IFERROR(VLOOKUP(A214&amp;"aaaaaaa",COPY!$S$2:$AA$1000,2,FALSE)," ")</f>
        <v xml:space="preserve"> </v>
      </c>
      <c r="U214" s="75" t="str">
        <f>IFERROR(VLOOKUP(A214&amp;"aaaaaaaa",COPY!$S$2:$AA$1000,2,FALSE)," ")</f>
        <v xml:space="preserve"> </v>
      </c>
      <c r="V214" s="75" t="str">
        <f>IFERROR(VLOOKUP(A214&amp;"aaaaaaaaa",COPY!$S$2:$AA$1000,2,FALSE)," ")</f>
        <v xml:space="preserve"> </v>
      </c>
      <c r="W214" s="75" t="str">
        <f>IFERROR(VLOOKUP(A214&amp;"aaaaaaaaaa",COPY!$S$2:$AA$1000,2,FALSE)," ")</f>
        <v xml:space="preserve"> </v>
      </c>
      <c r="X214" s="75" t="str">
        <f>IFERROR(VLOOKUP(A214&amp;"aaaaaaaaaaa",COPY!$S$2:$AA$1000,2,FALSE)," ")</f>
        <v xml:space="preserve"> </v>
      </c>
      <c r="Y214" s="90" t="str">
        <f>IF(OR(LEFT(B214,2)="mg",LEFT(B214,2)="mE"),VLOOKUP(A214,COPY!$S$2:$AA$1000,6,FALSE),IF(LEFT(B214,1)="G"," ",IF(LEFT(B214,2)="ma"," "," ")))</f>
        <v xml:space="preserve"> </v>
      </c>
      <c r="Z214" s="90" t="str">
        <f>IFERROR(VLOOKUP(A214&amp;"a",COPY!$S$2:$AA$1000,6,FALSE)," ")</f>
        <v xml:space="preserve"> </v>
      </c>
      <c r="AA214" s="90" t="str">
        <f>IFERROR(VLOOKUP(A214&amp;"aa",COPY!$S$2:$AA$1000,6,FALSE)," ")</f>
        <v xml:space="preserve"> </v>
      </c>
      <c r="AB214" s="90" t="str">
        <f>IFERROR(VLOOKUP(A214&amp;"aaa",COPY!$S$2:$AA$1000,6,FALSE)," ")</f>
        <v xml:space="preserve"> </v>
      </c>
      <c r="AC214" s="90" t="str">
        <f>IFERROR(VLOOKUP(A214&amp;"aaaa",COPY!$S$2:$AA$1000,6,FALSE)," ")</f>
        <v xml:space="preserve"> </v>
      </c>
      <c r="AD214" s="90" t="str">
        <f>IFERROR(VLOOKUP(A214&amp;"aaaaa",COPY!$S$2:$AA$1000,6,FALSE)," ")</f>
        <v xml:space="preserve"> </v>
      </c>
      <c r="AE214" s="90" t="str">
        <f>IFERROR(VLOOKUP(A214&amp;"aaaaaa",COPY!$S$2:$AA$1000,6,FALSE)," ")</f>
        <v xml:space="preserve"> </v>
      </c>
      <c r="AF214" s="90" t="str">
        <f>IFERROR(VLOOKUP(A214&amp;"aaaaaaa",COPY!$S$2:$AA$1000,6,FALSE)," ")</f>
        <v xml:space="preserve"> </v>
      </c>
      <c r="AG214" s="90" t="str">
        <f>IFERROR(VLOOKUP(A214&amp;"aaaaaaaa",COPY!$S$2:$AA$1000,6,FALSE)," ")</f>
        <v xml:space="preserve"> </v>
      </c>
      <c r="AH214" s="90" t="str">
        <f>IFERROR(VLOOKUP(A214&amp;"aaaaaaaaa",COPY!$S$2:$AA$1000,6,FALSE)," ")</f>
        <v xml:space="preserve"> </v>
      </c>
      <c r="AI214" s="90" t="str">
        <f>IFERROR(VLOOKUP(A214&amp;"aaaaaaaaaa",COPY!$S$2:$AA$1000,6,FALSE)," ")</f>
        <v xml:space="preserve"> </v>
      </c>
      <c r="AJ214" s="90" t="str">
        <f>IFERROR(VLOOKUP(A214&amp;"aaaaaaaaaaa",COPY!$S$2:$AA$1000,6,FALSE)," ")</f>
        <v xml:space="preserve"> </v>
      </c>
      <c r="AK214" s="90" t="str">
        <f>IF(LEFT(B214,2)="mg",VLOOKUP(A214,COPY!$S$2:$AA$1000,7,FALSE),IF(LEFT(B214,1)="G"," ",IF(LEFT(B214,2)="ma"," "," ")))</f>
        <v xml:space="preserve"> </v>
      </c>
      <c r="AL214" s="90" t="str">
        <f>IFERROR(VLOOKUP(A214&amp;"a",COPY!$S$2:$AA$1000,7,FALSE)," ")</f>
        <v xml:space="preserve"> </v>
      </c>
      <c r="AM214" s="90" t="str">
        <f>IFERROR(VLOOKUP(A214&amp;"aa",COPY!$S$2:$AA$1000,7,FALSE)," ")</f>
        <v xml:space="preserve"> </v>
      </c>
      <c r="AN214" s="90" t="str">
        <f>IFERROR(VLOOKUP(A214&amp;"aaa",COPY!$S$2:$AA$1000,7,FALSE)," ")</f>
        <v xml:space="preserve"> </v>
      </c>
      <c r="AO214" s="90" t="str">
        <f>IFERROR(VLOOKUP(A214&amp;"aaaa",COPY!$S$2:$AA$1000,7,FALSE)," ")</f>
        <v xml:space="preserve"> </v>
      </c>
      <c r="AP214" s="90" t="str">
        <f>IFERROR(VLOOKUP(A214&amp;"aaaaa",COPY!$S$2:$AA$1000,7,FALSE)," ")</f>
        <v xml:space="preserve"> </v>
      </c>
      <c r="AQ214" s="90" t="str">
        <f>IFERROR(VLOOKUP(A214&amp;"aaaaaa",COPY!$S$2:$AA$1000,7,FALSE)," ")</f>
        <v xml:space="preserve"> </v>
      </c>
      <c r="AR214" s="90" t="str">
        <f>IFERROR(VLOOKUP(A214&amp;"aaaaaaa",COPY!$S$2:$AA$1000,7,FALSE)," ")</f>
        <v xml:space="preserve"> </v>
      </c>
      <c r="AS214" s="90" t="str">
        <f>IFERROR(VLOOKUP(A214&amp;"aaaaaaaa",COPY!$S$2:$AA$1000,7,FALSE)," ")</f>
        <v xml:space="preserve"> </v>
      </c>
      <c r="AT214" s="90" t="str">
        <f>IFERROR(VLOOKUP(A214&amp;"aaaaaaaaa",COPY!$S$2:$AA$1000,7,FALSE)," ")</f>
        <v xml:space="preserve"> </v>
      </c>
      <c r="AU214" s="90" t="str">
        <f>IFERROR(VLOOKUP(A214&amp;"aaaaaaaaaa",COPY!$S$2:$AA$1000,7,FALSE)," ")</f>
        <v xml:space="preserve"> </v>
      </c>
      <c r="AV214" s="90" t="str">
        <f>IFERROR(VLOOKUP(A214&amp;"aaaaaaaaaaa",COPY!$S$2:$AA$1000,7,FALSE)," ")</f>
        <v xml:space="preserve"> </v>
      </c>
    </row>
    <row r="215" spans="1:48" x14ac:dyDescent="0.2">
      <c r="A215" s="75" t="str">
        <f>'REKAP PAJAK'!W252</f>
        <v/>
      </c>
      <c r="B215" s="75" t="str">
        <f>IF(LEN(A215)&gt;1,VLOOKUP(A215,COPY!$O$2:$R$1000,4,FALSE),"")</f>
        <v/>
      </c>
      <c r="C215" s="75" t="str">
        <f t="shared" si="18"/>
        <v xml:space="preserve"> </v>
      </c>
      <c r="D215" s="75" t="str">
        <f t="shared" si="19"/>
        <v xml:space="preserve"> </v>
      </c>
      <c r="E215" s="75" t="str">
        <f t="shared" si="20"/>
        <v xml:space="preserve"> </v>
      </c>
      <c r="F215" s="75" t="str">
        <f t="shared" si="21"/>
        <v xml:space="preserve"> </v>
      </c>
      <c r="H215" s="75" t="str">
        <f t="shared" si="22"/>
        <v xml:space="preserve"> </v>
      </c>
      <c r="I215" s="75" t="str">
        <f t="shared" si="23"/>
        <v xml:space="preserve"> </v>
      </c>
      <c r="J215" s="90" t="str">
        <f>IFERROR(VLOOKUP(A215,COPY!$S$2:$W$1000,4,FALSE)," ")</f>
        <v xml:space="preserve"> </v>
      </c>
      <c r="K215" s="75" t="str">
        <f>IFERROR(VLOOKUP(A215,COPY!$S$2:$W$1000,5,FALSE)," ")</f>
        <v xml:space="preserve"> </v>
      </c>
      <c r="L215" s="75" t="str">
        <f>IF(B215="","",IF(LEFT(B215,2)="Ma",(VLOOKUP(B215,'Rekap Gaji'!$C$12:$D$26,2,FALSE))&amp;" Untuk "&amp;(PROPER('Rekap Gaji'!$B$2)),IF(LEFT(B215,2)="Mg","Pembelian Material Bahan Bangunan",IF(LEFT(B215,2)="Me","Biaya Pembelanjaan Menejemen",IF(LEFT(B215,1)="G",VLOOKUP(A215,COPY!$S$2:$AA$1000,2,FALSE)&amp;"( "&amp;TEXT(VLOOKUP(B215,'Rekap Gaji'!$A$12:$I$26,5,FALSE),"dd-mm-yyyy")&amp;" "&amp;TEXT(VLOOKUP(B215,'Rekap Gaji'!$A$12:$I$26,6,FALSE)&amp;" "&amp;TEXT(VLOOKUP(B215,'Rekap Gaji'!$A$12:$I$26,7,FALSE),"dd-mm-yyyy")&amp;" )"," "))))))</f>
        <v/>
      </c>
      <c r="M215" s="75" t="str">
        <f>IF(OR(LEFT(B215,2)="mg",LEFT(B215,2)="mE"),VLOOKUP(A215,COPY!$S$2:$AA$1000,2,FALSE),IF(LEFT(B215,1)="G"," ",IF(LEFT(B215,2)="ma"," "," ")))</f>
        <v xml:space="preserve"> </v>
      </c>
      <c r="N215" s="75" t="str">
        <f>IFERROR(VLOOKUP(A215&amp;"a",COPY!$S$2:$AA$1000,2,FALSE)," ")</f>
        <v xml:space="preserve"> </v>
      </c>
      <c r="O215" s="75" t="str">
        <f>IFERROR(VLOOKUP(A215&amp;"aa",COPY!$S$2:$AA$1000,2,FALSE)," ")</f>
        <v xml:space="preserve"> </v>
      </c>
      <c r="P215" s="75" t="str">
        <f>IFERROR(VLOOKUP(A215&amp;"aaa",COPY!$S$2:$AA$1000,2,FALSE)," ")</f>
        <v xml:space="preserve"> </v>
      </c>
      <c r="Q215" s="75" t="str">
        <f>IFERROR(VLOOKUP(A215&amp;"aaaa",COPY!$S$2:$AA$1000,2,FALSE)," ")</f>
        <v xml:space="preserve"> </v>
      </c>
      <c r="R215" s="75" t="str">
        <f>IFERROR(VLOOKUP(A215&amp;"aaaaa",COPY!$S$2:$AA$1000,2,FALSE)," ")</f>
        <v xml:space="preserve"> </v>
      </c>
      <c r="S215" s="75" t="str">
        <f>IFERROR(VLOOKUP(A215&amp;"aaaaaa",COPY!$S$2:$AA$1000,2,FALSE)," ")</f>
        <v xml:space="preserve"> </v>
      </c>
      <c r="T215" s="75" t="str">
        <f>IFERROR(VLOOKUP(A215&amp;"aaaaaaa",COPY!$S$2:$AA$1000,2,FALSE)," ")</f>
        <v xml:space="preserve"> </v>
      </c>
      <c r="U215" s="75" t="str">
        <f>IFERROR(VLOOKUP(A215&amp;"aaaaaaaa",COPY!$S$2:$AA$1000,2,FALSE)," ")</f>
        <v xml:space="preserve"> </v>
      </c>
      <c r="V215" s="75" t="str">
        <f>IFERROR(VLOOKUP(A215&amp;"aaaaaaaaa",COPY!$S$2:$AA$1000,2,FALSE)," ")</f>
        <v xml:space="preserve"> </v>
      </c>
      <c r="W215" s="75" t="str">
        <f>IFERROR(VLOOKUP(A215&amp;"aaaaaaaaaa",COPY!$S$2:$AA$1000,2,FALSE)," ")</f>
        <v xml:space="preserve"> </v>
      </c>
      <c r="X215" s="75" t="str">
        <f>IFERROR(VLOOKUP(A215&amp;"aaaaaaaaaaa",COPY!$S$2:$AA$1000,2,FALSE)," ")</f>
        <v xml:space="preserve"> </v>
      </c>
      <c r="Y215" s="90" t="str">
        <f>IF(OR(LEFT(B215,2)="mg",LEFT(B215,2)="mE"),VLOOKUP(A215,COPY!$S$2:$AA$1000,6,FALSE),IF(LEFT(B215,1)="G"," ",IF(LEFT(B215,2)="ma"," "," ")))</f>
        <v xml:space="preserve"> </v>
      </c>
      <c r="Z215" s="90" t="str">
        <f>IFERROR(VLOOKUP(A215&amp;"a",COPY!$S$2:$AA$1000,6,FALSE)," ")</f>
        <v xml:space="preserve"> </v>
      </c>
      <c r="AA215" s="90" t="str">
        <f>IFERROR(VLOOKUP(A215&amp;"aa",COPY!$S$2:$AA$1000,6,FALSE)," ")</f>
        <v xml:space="preserve"> </v>
      </c>
      <c r="AB215" s="90" t="str">
        <f>IFERROR(VLOOKUP(A215&amp;"aaa",COPY!$S$2:$AA$1000,6,FALSE)," ")</f>
        <v xml:space="preserve"> </v>
      </c>
      <c r="AC215" s="90" t="str">
        <f>IFERROR(VLOOKUP(A215&amp;"aaaa",COPY!$S$2:$AA$1000,6,FALSE)," ")</f>
        <v xml:space="preserve"> </v>
      </c>
      <c r="AD215" s="90" t="str">
        <f>IFERROR(VLOOKUP(A215&amp;"aaaaa",COPY!$S$2:$AA$1000,6,FALSE)," ")</f>
        <v xml:space="preserve"> </v>
      </c>
      <c r="AE215" s="90" t="str">
        <f>IFERROR(VLOOKUP(A215&amp;"aaaaaa",COPY!$S$2:$AA$1000,6,FALSE)," ")</f>
        <v xml:space="preserve"> </v>
      </c>
      <c r="AF215" s="90" t="str">
        <f>IFERROR(VLOOKUP(A215&amp;"aaaaaaa",COPY!$S$2:$AA$1000,6,FALSE)," ")</f>
        <v xml:space="preserve"> </v>
      </c>
      <c r="AG215" s="90" t="str">
        <f>IFERROR(VLOOKUP(A215&amp;"aaaaaaaa",COPY!$S$2:$AA$1000,6,FALSE)," ")</f>
        <v xml:space="preserve"> </v>
      </c>
      <c r="AH215" s="90" t="str">
        <f>IFERROR(VLOOKUP(A215&amp;"aaaaaaaaa",COPY!$S$2:$AA$1000,6,FALSE)," ")</f>
        <v xml:space="preserve"> </v>
      </c>
      <c r="AI215" s="90" t="str">
        <f>IFERROR(VLOOKUP(A215&amp;"aaaaaaaaaa",COPY!$S$2:$AA$1000,6,FALSE)," ")</f>
        <v xml:space="preserve"> </v>
      </c>
      <c r="AJ215" s="90" t="str">
        <f>IFERROR(VLOOKUP(A215&amp;"aaaaaaaaaaa",COPY!$S$2:$AA$1000,6,FALSE)," ")</f>
        <v xml:space="preserve"> </v>
      </c>
      <c r="AK215" s="90" t="str">
        <f>IF(LEFT(B215,2)="mg",VLOOKUP(A215,COPY!$S$2:$AA$1000,7,FALSE),IF(LEFT(B215,1)="G"," ",IF(LEFT(B215,2)="ma"," "," ")))</f>
        <v xml:space="preserve"> </v>
      </c>
      <c r="AL215" s="90" t="str">
        <f>IFERROR(VLOOKUP(A215&amp;"a",COPY!$S$2:$AA$1000,7,FALSE)," ")</f>
        <v xml:space="preserve"> </v>
      </c>
      <c r="AM215" s="90" t="str">
        <f>IFERROR(VLOOKUP(A215&amp;"aa",COPY!$S$2:$AA$1000,7,FALSE)," ")</f>
        <v xml:space="preserve"> </v>
      </c>
      <c r="AN215" s="90" t="str">
        <f>IFERROR(VLOOKUP(A215&amp;"aaa",COPY!$S$2:$AA$1000,7,FALSE)," ")</f>
        <v xml:space="preserve"> </v>
      </c>
      <c r="AO215" s="90" t="str">
        <f>IFERROR(VLOOKUP(A215&amp;"aaaa",COPY!$S$2:$AA$1000,7,FALSE)," ")</f>
        <v xml:space="preserve"> </v>
      </c>
      <c r="AP215" s="90" t="str">
        <f>IFERROR(VLOOKUP(A215&amp;"aaaaa",COPY!$S$2:$AA$1000,7,FALSE)," ")</f>
        <v xml:space="preserve"> </v>
      </c>
      <c r="AQ215" s="90" t="str">
        <f>IFERROR(VLOOKUP(A215&amp;"aaaaaa",COPY!$S$2:$AA$1000,7,FALSE)," ")</f>
        <v xml:space="preserve"> </v>
      </c>
      <c r="AR215" s="90" t="str">
        <f>IFERROR(VLOOKUP(A215&amp;"aaaaaaa",COPY!$S$2:$AA$1000,7,FALSE)," ")</f>
        <v xml:space="preserve"> </v>
      </c>
      <c r="AS215" s="90" t="str">
        <f>IFERROR(VLOOKUP(A215&amp;"aaaaaaaa",COPY!$S$2:$AA$1000,7,FALSE)," ")</f>
        <v xml:space="preserve"> </v>
      </c>
      <c r="AT215" s="90" t="str">
        <f>IFERROR(VLOOKUP(A215&amp;"aaaaaaaaa",COPY!$S$2:$AA$1000,7,FALSE)," ")</f>
        <v xml:space="preserve"> </v>
      </c>
      <c r="AU215" s="90" t="str">
        <f>IFERROR(VLOOKUP(A215&amp;"aaaaaaaaaa",COPY!$S$2:$AA$1000,7,FALSE)," ")</f>
        <v xml:space="preserve"> </v>
      </c>
      <c r="AV215" s="90" t="str">
        <f>IFERROR(VLOOKUP(A215&amp;"aaaaaaaaaaa",COPY!$S$2:$AA$1000,7,FALSE)," ")</f>
        <v xml:space="preserve"> </v>
      </c>
    </row>
    <row r="216" spans="1:48" x14ac:dyDescent="0.2">
      <c r="A216" s="75" t="str">
        <f>'REKAP PAJAK'!W253</f>
        <v/>
      </c>
      <c r="B216" s="75" t="str">
        <f>IF(LEN(A216)&gt;1,VLOOKUP(A216,COPY!$O$2:$R$1000,4,FALSE),"")</f>
        <v/>
      </c>
      <c r="C216" s="75" t="str">
        <f t="shared" si="18"/>
        <v xml:space="preserve"> </v>
      </c>
      <c r="D216" s="75" t="str">
        <f t="shared" si="19"/>
        <v xml:space="preserve"> </v>
      </c>
      <c r="E216" s="75" t="str">
        <f t="shared" si="20"/>
        <v xml:space="preserve"> </v>
      </c>
      <c r="F216" s="75" t="str">
        <f t="shared" si="21"/>
        <v xml:space="preserve"> </v>
      </c>
      <c r="H216" s="75" t="str">
        <f t="shared" si="22"/>
        <v xml:space="preserve"> </v>
      </c>
      <c r="I216" s="75" t="str">
        <f t="shared" si="23"/>
        <v xml:space="preserve"> </v>
      </c>
      <c r="J216" s="90" t="str">
        <f>IFERROR(VLOOKUP(A216,COPY!$S$2:$W$1000,4,FALSE)," ")</f>
        <v xml:space="preserve"> </v>
      </c>
      <c r="K216" s="75" t="str">
        <f>IFERROR(VLOOKUP(A216,COPY!$S$2:$W$1000,5,FALSE)," ")</f>
        <v xml:space="preserve"> </v>
      </c>
      <c r="L216" s="75" t="str">
        <f>IF(B216="","",IF(LEFT(B216,2)="Ma",(VLOOKUP(B216,'Rekap Gaji'!$C$12:$D$26,2,FALSE))&amp;" Untuk "&amp;(PROPER('Rekap Gaji'!$B$2)),IF(LEFT(B216,2)="Mg","Pembelian Material Bahan Bangunan",IF(LEFT(B216,2)="Me","Biaya Pembelanjaan Menejemen",IF(LEFT(B216,1)="G",VLOOKUP(A216,COPY!$S$2:$AA$1000,2,FALSE)&amp;"( "&amp;TEXT(VLOOKUP(B216,'Rekap Gaji'!$A$12:$I$26,5,FALSE),"dd-mm-yyyy")&amp;" "&amp;TEXT(VLOOKUP(B216,'Rekap Gaji'!$A$12:$I$26,6,FALSE)&amp;" "&amp;TEXT(VLOOKUP(B216,'Rekap Gaji'!$A$12:$I$26,7,FALSE),"dd-mm-yyyy")&amp;" )"," "))))))</f>
        <v/>
      </c>
      <c r="M216" s="75" t="str">
        <f>IF(OR(LEFT(B216,2)="mg",LEFT(B216,2)="mE"),VLOOKUP(A216,COPY!$S$2:$AA$1000,2,FALSE),IF(LEFT(B216,1)="G"," ",IF(LEFT(B216,2)="ma"," "," ")))</f>
        <v xml:space="preserve"> </v>
      </c>
      <c r="N216" s="75" t="str">
        <f>IFERROR(VLOOKUP(A216&amp;"a",COPY!$S$2:$AA$1000,2,FALSE)," ")</f>
        <v xml:space="preserve"> </v>
      </c>
      <c r="O216" s="75" t="str">
        <f>IFERROR(VLOOKUP(A216&amp;"aa",COPY!$S$2:$AA$1000,2,FALSE)," ")</f>
        <v xml:space="preserve"> </v>
      </c>
      <c r="P216" s="75" t="str">
        <f>IFERROR(VLOOKUP(A216&amp;"aaa",COPY!$S$2:$AA$1000,2,FALSE)," ")</f>
        <v xml:space="preserve"> </v>
      </c>
      <c r="Q216" s="75" t="str">
        <f>IFERROR(VLOOKUP(A216&amp;"aaaa",COPY!$S$2:$AA$1000,2,FALSE)," ")</f>
        <v xml:space="preserve"> </v>
      </c>
      <c r="R216" s="75" t="str">
        <f>IFERROR(VLOOKUP(A216&amp;"aaaaa",COPY!$S$2:$AA$1000,2,FALSE)," ")</f>
        <v xml:space="preserve"> </v>
      </c>
      <c r="S216" s="75" t="str">
        <f>IFERROR(VLOOKUP(A216&amp;"aaaaaa",COPY!$S$2:$AA$1000,2,FALSE)," ")</f>
        <v xml:space="preserve"> </v>
      </c>
      <c r="T216" s="75" t="str">
        <f>IFERROR(VLOOKUP(A216&amp;"aaaaaaa",COPY!$S$2:$AA$1000,2,FALSE)," ")</f>
        <v xml:space="preserve"> </v>
      </c>
      <c r="U216" s="75" t="str">
        <f>IFERROR(VLOOKUP(A216&amp;"aaaaaaaa",COPY!$S$2:$AA$1000,2,FALSE)," ")</f>
        <v xml:space="preserve"> </v>
      </c>
      <c r="V216" s="75" t="str">
        <f>IFERROR(VLOOKUP(A216&amp;"aaaaaaaaa",COPY!$S$2:$AA$1000,2,FALSE)," ")</f>
        <v xml:space="preserve"> </v>
      </c>
      <c r="W216" s="75" t="str">
        <f>IFERROR(VLOOKUP(A216&amp;"aaaaaaaaaa",COPY!$S$2:$AA$1000,2,FALSE)," ")</f>
        <v xml:space="preserve"> </v>
      </c>
      <c r="X216" s="75" t="str">
        <f>IFERROR(VLOOKUP(A216&amp;"aaaaaaaaaaa",COPY!$S$2:$AA$1000,2,FALSE)," ")</f>
        <v xml:space="preserve"> </v>
      </c>
      <c r="Y216" s="90" t="str">
        <f>IF(OR(LEFT(B216,2)="mg",LEFT(B216,2)="mE"),VLOOKUP(A216,COPY!$S$2:$AA$1000,6,FALSE),IF(LEFT(B216,1)="G"," ",IF(LEFT(B216,2)="ma"," "," ")))</f>
        <v xml:space="preserve"> </v>
      </c>
      <c r="Z216" s="90" t="str">
        <f>IFERROR(VLOOKUP(A216&amp;"a",COPY!$S$2:$AA$1000,6,FALSE)," ")</f>
        <v xml:space="preserve"> </v>
      </c>
      <c r="AA216" s="90" t="str">
        <f>IFERROR(VLOOKUP(A216&amp;"aa",COPY!$S$2:$AA$1000,6,FALSE)," ")</f>
        <v xml:space="preserve"> </v>
      </c>
      <c r="AB216" s="90" t="str">
        <f>IFERROR(VLOOKUP(A216&amp;"aaa",COPY!$S$2:$AA$1000,6,FALSE)," ")</f>
        <v xml:space="preserve"> </v>
      </c>
      <c r="AC216" s="90" t="str">
        <f>IFERROR(VLOOKUP(A216&amp;"aaaa",COPY!$S$2:$AA$1000,6,FALSE)," ")</f>
        <v xml:space="preserve"> </v>
      </c>
      <c r="AD216" s="90" t="str">
        <f>IFERROR(VLOOKUP(A216&amp;"aaaaa",COPY!$S$2:$AA$1000,6,FALSE)," ")</f>
        <v xml:space="preserve"> </v>
      </c>
      <c r="AE216" s="90" t="str">
        <f>IFERROR(VLOOKUP(A216&amp;"aaaaaa",COPY!$S$2:$AA$1000,6,FALSE)," ")</f>
        <v xml:space="preserve"> </v>
      </c>
      <c r="AF216" s="90" t="str">
        <f>IFERROR(VLOOKUP(A216&amp;"aaaaaaa",COPY!$S$2:$AA$1000,6,FALSE)," ")</f>
        <v xml:space="preserve"> </v>
      </c>
      <c r="AG216" s="90" t="str">
        <f>IFERROR(VLOOKUP(A216&amp;"aaaaaaaa",COPY!$S$2:$AA$1000,6,FALSE)," ")</f>
        <v xml:space="preserve"> </v>
      </c>
      <c r="AH216" s="90" t="str">
        <f>IFERROR(VLOOKUP(A216&amp;"aaaaaaaaa",COPY!$S$2:$AA$1000,6,FALSE)," ")</f>
        <v xml:space="preserve"> </v>
      </c>
      <c r="AI216" s="90" t="str">
        <f>IFERROR(VLOOKUP(A216&amp;"aaaaaaaaaa",COPY!$S$2:$AA$1000,6,FALSE)," ")</f>
        <v xml:space="preserve"> </v>
      </c>
      <c r="AJ216" s="90" t="str">
        <f>IFERROR(VLOOKUP(A216&amp;"aaaaaaaaaaa",COPY!$S$2:$AA$1000,6,FALSE)," ")</f>
        <v xml:space="preserve"> </v>
      </c>
      <c r="AK216" s="90" t="str">
        <f>IF(LEFT(B216,2)="mg",VLOOKUP(A216,COPY!$S$2:$AA$1000,7,FALSE),IF(LEFT(B216,1)="G"," ",IF(LEFT(B216,2)="ma"," "," ")))</f>
        <v xml:space="preserve"> </v>
      </c>
      <c r="AL216" s="90" t="str">
        <f>IFERROR(VLOOKUP(A216&amp;"a",COPY!$S$2:$AA$1000,7,FALSE)," ")</f>
        <v xml:space="preserve"> </v>
      </c>
      <c r="AM216" s="90" t="str">
        <f>IFERROR(VLOOKUP(A216&amp;"aa",COPY!$S$2:$AA$1000,7,FALSE)," ")</f>
        <v xml:space="preserve"> </v>
      </c>
      <c r="AN216" s="90" t="str">
        <f>IFERROR(VLOOKUP(A216&amp;"aaa",COPY!$S$2:$AA$1000,7,FALSE)," ")</f>
        <v xml:space="preserve"> </v>
      </c>
      <c r="AO216" s="90" t="str">
        <f>IFERROR(VLOOKUP(A216&amp;"aaaa",COPY!$S$2:$AA$1000,7,FALSE)," ")</f>
        <v xml:space="preserve"> </v>
      </c>
      <c r="AP216" s="90" t="str">
        <f>IFERROR(VLOOKUP(A216&amp;"aaaaa",COPY!$S$2:$AA$1000,7,FALSE)," ")</f>
        <v xml:space="preserve"> </v>
      </c>
      <c r="AQ216" s="90" t="str">
        <f>IFERROR(VLOOKUP(A216&amp;"aaaaaa",COPY!$S$2:$AA$1000,7,FALSE)," ")</f>
        <v xml:space="preserve"> </v>
      </c>
      <c r="AR216" s="90" t="str">
        <f>IFERROR(VLOOKUP(A216&amp;"aaaaaaa",COPY!$S$2:$AA$1000,7,FALSE)," ")</f>
        <v xml:space="preserve"> </v>
      </c>
      <c r="AS216" s="90" t="str">
        <f>IFERROR(VLOOKUP(A216&amp;"aaaaaaaa",COPY!$S$2:$AA$1000,7,FALSE)," ")</f>
        <v xml:space="preserve"> </v>
      </c>
      <c r="AT216" s="90" t="str">
        <f>IFERROR(VLOOKUP(A216&amp;"aaaaaaaaa",COPY!$S$2:$AA$1000,7,FALSE)," ")</f>
        <v xml:space="preserve"> </v>
      </c>
      <c r="AU216" s="90" t="str">
        <f>IFERROR(VLOOKUP(A216&amp;"aaaaaaaaaa",COPY!$S$2:$AA$1000,7,FALSE)," ")</f>
        <v xml:space="preserve"> </v>
      </c>
      <c r="AV216" s="90" t="str">
        <f>IFERROR(VLOOKUP(A216&amp;"aaaaaaaaaaa",COPY!$S$2:$AA$1000,7,FALSE)," ")</f>
        <v xml:space="preserve"> </v>
      </c>
    </row>
    <row r="217" spans="1:48" x14ac:dyDescent="0.2">
      <c r="A217" s="75" t="str">
        <f>'REKAP PAJAK'!W254</f>
        <v/>
      </c>
      <c r="B217" s="75" t="str">
        <f>IF(LEN(A217)&gt;1,VLOOKUP(A217,COPY!$O$2:$R$1000,4,FALSE),"")</f>
        <v/>
      </c>
      <c r="C217" s="75" t="str">
        <f t="shared" si="18"/>
        <v xml:space="preserve"> </v>
      </c>
      <c r="D217" s="75" t="str">
        <f t="shared" si="19"/>
        <v xml:space="preserve"> </v>
      </c>
      <c r="E217" s="75" t="str">
        <f t="shared" si="20"/>
        <v xml:space="preserve"> </v>
      </c>
      <c r="F217" s="75" t="str">
        <f t="shared" si="21"/>
        <v xml:space="preserve"> </v>
      </c>
      <c r="H217" s="75" t="str">
        <f t="shared" si="22"/>
        <v xml:space="preserve"> </v>
      </c>
      <c r="I217" s="75" t="str">
        <f t="shared" si="23"/>
        <v xml:space="preserve"> </v>
      </c>
      <c r="J217" s="90" t="str">
        <f>IFERROR(VLOOKUP(A217,COPY!$S$2:$W$1000,4,FALSE)," ")</f>
        <v xml:space="preserve"> </v>
      </c>
      <c r="K217" s="75" t="str">
        <f>IFERROR(VLOOKUP(A217,COPY!$S$2:$W$1000,5,FALSE)," ")</f>
        <v xml:space="preserve"> </v>
      </c>
      <c r="L217" s="75" t="str">
        <f>IF(B217="","",IF(LEFT(B217,2)="Ma",(VLOOKUP(B217,'Rekap Gaji'!$C$12:$D$26,2,FALSE))&amp;" Untuk "&amp;(PROPER('Rekap Gaji'!$B$2)),IF(LEFT(B217,2)="Mg","Pembelian Material Bahan Bangunan",IF(LEFT(B217,2)="Me","Biaya Pembelanjaan Menejemen",IF(LEFT(B217,1)="G",VLOOKUP(A217,COPY!$S$2:$AA$1000,2,FALSE)&amp;"( "&amp;TEXT(VLOOKUP(B217,'Rekap Gaji'!$A$12:$I$26,5,FALSE),"dd-mm-yyyy")&amp;" "&amp;TEXT(VLOOKUP(B217,'Rekap Gaji'!$A$12:$I$26,6,FALSE)&amp;" "&amp;TEXT(VLOOKUP(B217,'Rekap Gaji'!$A$12:$I$26,7,FALSE),"dd-mm-yyyy")&amp;" )"," "))))))</f>
        <v/>
      </c>
      <c r="M217" s="75" t="str">
        <f>IF(OR(LEFT(B217,2)="mg",LEFT(B217,2)="mE"),VLOOKUP(A217,COPY!$S$2:$AA$1000,2,FALSE),IF(LEFT(B217,1)="G"," ",IF(LEFT(B217,2)="ma"," "," ")))</f>
        <v xml:space="preserve"> </v>
      </c>
      <c r="N217" s="75" t="str">
        <f>IFERROR(VLOOKUP(A217&amp;"a",COPY!$S$2:$AA$1000,2,FALSE)," ")</f>
        <v xml:space="preserve"> </v>
      </c>
      <c r="O217" s="75" t="str">
        <f>IFERROR(VLOOKUP(A217&amp;"aa",COPY!$S$2:$AA$1000,2,FALSE)," ")</f>
        <v xml:space="preserve"> </v>
      </c>
      <c r="P217" s="75" t="str">
        <f>IFERROR(VLOOKUP(A217&amp;"aaa",COPY!$S$2:$AA$1000,2,FALSE)," ")</f>
        <v xml:space="preserve"> </v>
      </c>
      <c r="Q217" s="75" t="str">
        <f>IFERROR(VLOOKUP(A217&amp;"aaaa",COPY!$S$2:$AA$1000,2,FALSE)," ")</f>
        <v xml:space="preserve"> </v>
      </c>
      <c r="R217" s="75" t="str">
        <f>IFERROR(VLOOKUP(A217&amp;"aaaaa",COPY!$S$2:$AA$1000,2,FALSE)," ")</f>
        <v xml:space="preserve"> </v>
      </c>
      <c r="S217" s="75" t="str">
        <f>IFERROR(VLOOKUP(A217&amp;"aaaaaa",COPY!$S$2:$AA$1000,2,FALSE)," ")</f>
        <v xml:space="preserve"> </v>
      </c>
      <c r="T217" s="75" t="str">
        <f>IFERROR(VLOOKUP(A217&amp;"aaaaaaa",COPY!$S$2:$AA$1000,2,FALSE)," ")</f>
        <v xml:space="preserve"> </v>
      </c>
      <c r="U217" s="75" t="str">
        <f>IFERROR(VLOOKUP(A217&amp;"aaaaaaaa",COPY!$S$2:$AA$1000,2,FALSE)," ")</f>
        <v xml:space="preserve"> </v>
      </c>
      <c r="V217" s="75" t="str">
        <f>IFERROR(VLOOKUP(A217&amp;"aaaaaaaaa",COPY!$S$2:$AA$1000,2,FALSE)," ")</f>
        <v xml:space="preserve"> </v>
      </c>
      <c r="W217" s="75" t="str">
        <f>IFERROR(VLOOKUP(A217&amp;"aaaaaaaaaa",COPY!$S$2:$AA$1000,2,FALSE)," ")</f>
        <v xml:space="preserve"> </v>
      </c>
      <c r="X217" s="75" t="str">
        <f>IFERROR(VLOOKUP(A217&amp;"aaaaaaaaaaa",COPY!$S$2:$AA$1000,2,FALSE)," ")</f>
        <v xml:space="preserve"> </v>
      </c>
      <c r="Y217" s="90" t="str">
        <f>IF(OR(LEFT(B217,2)="mg",LEFT(B217,2)="mE"),VLOOKUP(A217,COPY!$S$2:$AA$1000,6,FALSE),IF(LEFT(B217,1)="G"," ",IF(LEFT(B217,2)="ma"," "," ")))</f>
        <v xml:space="preserve"> </v>
      </c>
      <c r="Z217" s="90" t="str">
        <f>IFERROR(VLOOKUP(A217&amp;"a",COPY!$S$2:$AA$1000,6,FALSE)," ")</f>
        <v xml:space="preserve"> </v>
      </c>
      <c r="AA217" s="90" t="str">
        <f>IFERROR(VLOOKUP(A217&amp;"aa",COPY!$S$2:$AA$1000,6,FALSE)," ")</f>
        <v xml:space="preserve"> </v>
      </c>
      <c r="AB217" s="90" t="str">
        <f>IFERROR(VLOOKUP(A217&amp;"aaa",COPY!$S$2:$AA$1000,6,FALSE)," ")</f>
        <v xml:space="preserve"> </v>
      </c>
      <c r="AC217" s="90" t="str">
        <f>IFERROR(VLOOKUP(A217&amp;"aaaa",COPY!$S$2:$AA$1000,6,FALSE)," ")</f>
        <v xml:space="preserve"> </v>
      </c>
      <c r="AD217" s="90" t="str">
        <f>IFERROR(VLOOKUP(A217&amp;"aaaaa",COPY!$S$2:$AA$1000,6,FALSE)," ")</f>
        <v xml:space="preserve"> </v>
      </c>
      <c r="AE217" s="90" t="str">
        <f>IFERROR(VLOOKUP(A217&amp;"aaaaaa",COPY!$S$2:$AA$1000,6,FALSE)," ")</f>
        <v xml:space="preserve"> </v>
      </c>
      <c r="AF217" s="90" t="str">
        <f>IFERROR(VLOOKUP(A217&amp;"aaaaaaa",COPY!$S$2:$AA$1000,6,FALSE)," ")</f>
        <v xml:space="preserve"> </v>
      </c>
      <c r="AG217" s="90" t="str">
        <f>IFERROR(VLOOKUP(A217&amp;"aaaaaaaa",COPY!$S$2:$AA$1000,6,FALSE)," ")</f>
        <v xml:space="preserve"> </v>
      </c>
      <c r="AH217" s="90" t="str">
        <f>IFERROR(VLOOKUP(A217&amp;"aaaaaaaaa",COPY!$S$2:$AA$1000,6,FALSE)," ")</f>
        <v xml:space="preserve"> </v>
      </c>
      <c r="AI217" s="90" t="str">
        <f>IFERROR(VLOOKUP(A217&amp;"aaaaaaaaaa",COPY!$S$2:$AA$1000,6,FALSE)," ")</f>
        <v xml:space="preserve"> </v>
      </c>
      <c r="AJ217" s="90" t="str">
        <f>IFERROR(VLOOKUP(A217&amp;"aaaaaaaaaaa",COPY!$S$2:$AA$1000,6,FALSE)," ")</f>
        <v xml:space="preserve"> </v>
      </c>
      <c r="AK217" s="90" t="str">
        <f>IF(LEFT(B217,2)="mg",VLOOKUP(A217,COPY!$S$2:$AA$1000,7,FALSE),IF(LEFT(B217,1)="G"," ",IF(LEFT(B217,2)="ma"," "," ")))</f>
        <v xml:space="preserve"> </v>
      </c>
      <c r="AL217" s="90" t="str">
        <f>IFERROR(VLOOKUP(A217&amp;"a",COPY!$S$2:$AA$1000,7,FALSE)," ")</f>
        <v xml:space="preserve"> </v>
      </c>
      <c r="AM217" s="90" t="str">
        <f>IFERROR(VLOOKUP(A217&amp;"aa",COPY!$S$2:$AA$1000,7,FALSE)," ")</f>
        <v xml:space="preserve"> </v>
      </c>
      <c r="AN217" s="90" t="str">
        <f>IFERROR(VLOOKUP(A217&amp;"aaa",COPY!$S$2:$AA$1000,7,FALSE)," ")</f>
        <v xml:space="preserve"> </v>
      </c>
      <c r="AO217" s="90" t="str">
        <f>IFERROR(VLOOKUP(A217&amp;"aaaa",COPY!$S$2:$AA$1000,7,FALSE)," ")</f>
        <v xml:space="preserve"> </v>
      </c>
      <c r="AP217" s="90" t="str">
        <f>IFERROR(VLOOKUP(A217&amp;"aaaaa",COPY!$S$2:$AA$1000,7,FALSE)," ")</f>
        <v xml:space="preserve"> </v>
      </c>
      <c r="AQ217" s="90" t="str">
        <f>IFERROR(VLOOKUP(A217&amp;"aaaaaa",COPY!$S$2:$AA$1000,7,FALSE)," ")</f>
        <v xml:space="preserve"> </v>
      </c>
      <c r="AR217" s="90" t="str">
        <f>IFERROR(VLOOKUP(A217&amp;"aaaaaaa",COPY!$S$2:$AA$1000,7,FALSE)," ")</f>
        <v xml:space="preserve"> </v>
      </c>
      <c r="AS217" s="90" t="str">
        <f>IFERROR(VLOOKUP(A217&amp;"aaaaaaaa",COPY!$S$2:$AA$1000,7,FALSE)," ")</f>
        <v xml:space="preserve"> </v>
      </c>
      <c r="AT217" s="90" t="str">
        <f>IFERROR(VLOOKUP(A217&amp;"aaaaaaaaa",COPY!$S$2:$AA$1000,7,FALSE)," ")</f>
        <v xml:space="preserve"> </v>
      </c>
      <c r="AU217" s="90" t="str">
        <f>IFERROR(VLOOKUP(A217&amp;"aaaaaaaaaa",COPY!$S$2:$AA$1000,7,FALSE)," ")</f>
        <v xml:space="preserve"> </v>
      </c>
      <c r="AV217" s="90" t="str">
        <f>IFERROR(VLOOKUP(A217&amp;"aaaaaaaaaaa",COPY!$S$2:$AA$1000,7,FALSE)," ")</f>
        <v xml:space="preserve"> </v>
      </c>
    </row>
    <row r="218" spans="1:48" x14ac:dyDescent="0.2">
      <c r="A218" s="75" t="str">
        <f>'REKAP PAJAK'!W255</f>
        <v/>
      </c>
      <c r="B218" s="75" t="str">
        <f>IF(LEN(A218)&gt;1,VLOOKUP(A218,COPY!$O$2:$R$1000,4,FALSE),"")</f>
        <v/>
      </c>
      <c r="C218" s="75" t="str">
        <f t="shared" si="18"/>
        <v xml:space="preserve"> </v>
      </c>
      <c r="D218" s="75" t="str">
        <f t="shared" si="19"/>
        <v xml:space="preserve"> </v>
      </c>
      <c r="E218" s="75" t="str">
        <f t="shared" si="20"/>
        <v xml:space="preserve"> </v>
      </c>
      <c r="F218" s="75" t="str">
        <f t="shared" si="21"/>
        <v xml:space="preserve"> </v>
      </c>
      <c r="H218" s="75" t="str">
        <f t="shared" si="22"/>
        <v xml:space="preserve"> </v>
      </c>
      <c r="I218" s="75" t="str">
        <f t="shared" si="23"/>
        <v xml:space="preserve"> </v>
      </c>
      <c r="J218" s="90" t="str">
        <f>IFERROR(VLOOKUP(A218,COPY!$S$2:$W$1000,4,FALSE)," ")</f>
        <v xml:space="preserve"> </v>
      </c>
      <c r="K218" s="75" t="str">
        <f>IFERROR(VLOOKUP(A218,COPY!$S$2:$W$1000,5,FALSE)," ")</f>
        <v xml:space="preserve"> </v>
      </c>
      <c r="L218" s="75" t="str">
        <f>IF(B218="","",IF(LEFT(B218,2)="Ma",(VLOOKUP(B218,'Rekap Gaji'!$C$12:$D$26,2,FALSE))&amp;" Untuk "&amp;(PROPER('Rekap Gaji'!$B$2)),IF(LEFT(B218,2)="Mg","Pembelian Material Bahan Bangunan",IF(LEFT(B218,2)="Me","Biaya Pembelanjaan Menejemen",IF(LEFT(B218,1)="G",VLOOKUP(A218,COPY!$S$2:$AA$1000,2,FALSE)&amp;"( "&amp;TEXT(VLOOKUP(B218,'Rekap Gaji'!$A$12:$I$26,5,FALSE),"dd-mm-yyyy")&amp;" "&amp;TEXT(VLOOKUP(B218,'Rekap Gaji'!$A$12:$I$26,6,FALSE)&amp;" "&amp;TEXT(VLOOKUP(B218,'Rekap Gaji'!$A$12:$I$26,7,FALSE),"dd-mm-yyyy")&amp;" )"," "))))))</f>
        <v/>
      </c>
      <c r="M218" s="75" t="str">
        <f>IF(OR(LEFT(B218,2)="mg",LEFT(B218,2)="mE"),VLOOKUP(A218,COPY!$S$2:$AA$1000,2,FALSE),IF(LEFT(B218,1)="G"," ",IF(LEFT(B218,2)="ma"," "," ")))</f>
        <v xml:space="preserve"> </v>
      </c>
      <c r="N218" s="75" t="str">
        <f>IFERROR(VLOOKUP(A218&amp;"a",COPY!$S$2:$AA$1000,2,FALSE)," ")</f>
        <v xml:space="preserve"> </v>
      </c>
      <c r="O218" s="75" t="str">
        <f>IFERROR(VLOOKUP(A218&amp;"aa",COPY!$S$2:$AA$1000,2,FALSE)," ")</f>
        <v xml:space="preserve"> </v>
      </c>
      <c r="P218" s="75" t="str">
        <f>IFERROR(VLOOKUP(A218&amp;"aaa",COPY!$S$2:$AA$1000,2,FALSE)," ")</f>
        <v xml:space="preserve"> </v>
      </c>
      <c r="Q218" s="75" t="str">
        <f>IFERROR(VLOOKUP(A218&amp;"aaaa",COPY!$S$2:$AA$1000,2,FALSE)," ")</f>
        <v xml:space="preserve"> </v>
      </c>
      <c r="R218" s="75" t="str">
        <f>IFERROR(VLOOKUP(A218&amp;"aaaaa",COPY!$S$2:$AA$1000,2,FALSE)," ")</f>
        <v xml:space="preserve"> </v>
      </c>
      <c r="S218" s="75" t="str">
        <f>IFERROR(VLOOKUP(A218&amp;"aaaaaa",COPY!$S$2:$AA$1000,2,FALSE)," ")</f>
        <v xml:space="preserve"> </v>
      </c>
      <c r="T218" s="75" t="str">
        <f>IFERROR(VLOOKUP(A218&amp;"aaaaaaa",COPY!$S$2:$AA$1000,2,FALSE)," ")</f>
        <v xml:space="preserve"> </v>
      </c>
      <c r="U218" s="75" t="str">
        <f>IFERROR(VLOOKUP(A218&amp;"aaaaaaaa",COPY!$S$2:$AA$1000,2,FALSE)," ")</f>
        <v xml:space="preserve"> </v>
      </c>
      <c r="V218" s="75" t="str">
        <f>IFERROR(VLOOKUP(A218&amp;"aaaaaaaaa",COPY!$S$2:$AA$1000,2,FALSE)," ")</f>
        <v xml:space="preserve"> </v>
      </c>
      <c r="W218" s="75" t="str">
        <f>IFERROR(VLOOKUP(A218&amp;"aaaaaaaaaa",COPY!$S$2:$AA$1000,2,FALSE)," ")</f>
        <v xml:space="preserve"> </v>
      </c>
      <c r="X218" s="75" t="str">
        <f>IFERROR(VLOOKUP(A218&amp;"aaaaaaaaaaa",COPY!$S$2:$AA$1000,2,FALSE)," ")</f>
        <v xml:space="preserve"> </v>
      </c>
      <c r="Y218" s="90" t="str">
        <f>IF(OR(LEFT(B218,2)="mg",LEFT(B218,2)="mE"),VLOOKUP(A218,COPY!$S$2:$AA$1000,6,FALSE),IF(LEFT(B218,1)="G"," ",IF(LEFT(B218,2)="ma"," "," ")))</f>
        <v xml:space="preserve"> </v>
      </c>
      <c r="Z218" s="90" t="str">
        <f>IFERROR(VLOOKUP(A218&amp;"a",COPY!$S$2:$AA$1000,6,FALSE)," ")</f>
        <v xml:space="preserve"> </v>
      </c>
      <c r="AA218" s="90" t="str">
        <f>IFERROR(VLOOKUP(A218&amp;"aa",COPY!$S$2:$AA$1000,6,FALSE)," ")</f>
        <v xml:space="preserve"> </v>
      </c>
      <c r="AB218" s="90" t="str">
        <f>IFERROR(VLOOKUP(A218&amp;"aaa",COPY!$S$2:$AA$1000,6,FALSE)," ")</f>
        <v xml:space="preserve"> </v>
      </c>
      <c r="AC218" s="90" t="str">
        <f>IFERROR(VLOOKUP(A218&amp;"aaaa",COPY!$S$2:$AA$1000,6,FALSE)," ")</f>
        <v xml:space="preserve"> </v>
      </c>
      <c r="AD218" s="90" t="str">
        <f>IFERROR(VLOOKUP(A218&amp;"aaaaa",COPY!$S$2:$AA$1000,6,FALSE)," ")</f>
        <v xml:space="preserve"> </v>
      </c>
      <c r="AE218" s="90" t="str">
        <f>IFERROR(VLOOKUP(A218&amp;"aaaaaa",COPY!$S$2:$AA$1000,6,FALSE)," ")</f>
        <v xml:space="preserve"> </v>
      </c>
      <c r="AF218" s="90" t="str">
        <f>IFERROR(VLOOKUP(A218&amp;"aaaaaaa",COPY!$S$2:$AA$1000,6,FALSE)," ")</f>
        <v xml:space="preserve"> </v>
      </c>
      <c r="AG218" s="90" t="str">
        <f>IFERROR(VLOOKUP(A218&amp;"aaaaaaaa",COPY!$S$2:$AA$1000,6,FALSE)," ")</f>
        <v xml:space="preserve"> </v>
      </c>
      <c r="AH218" s="90" t="str">
        <f>IFERROR(VLOOKUP(A218&amp;"aaaaaaaaa",COPY!$S$2:$AA$1000,6,FALSE)," ")</f>
        <v xml:space="preserve"> </v>
      </c>
      <c r="AI218" s="90" t="str">
        <f>IFERROR(VLOOKUP(A218&amp;"aaaaaaaaaa",COPY!$S$2:$AA$1000,6,FALSE)," ")</f>
        <v xml:space="preserve"> </v>
      </c>
      <c r="AJ218" s="90" t="str">
        <f>IFERROR(VLOOKUP(A218&amp;"aaaaaaaaaaa",COPY!$S$2:$AA$1000,6,FALSE)," ")</f>
        <v xml:space="preserve"> </v>
      </c>
      <c r="AK218" s="90" t="str">
        <f>IF(LEFT(B218,2)="mg",VLOOKUP(A218,COPY!$S$2:$AA$1000,7,FALSE),IF(LEFT(B218,1)="G"," ",IF(LEFT(B218,2)="ma"," "," ")))</f>
        <v xml:space="preserve"> </v>
      </c>
      <c r="AL218" s="90" t="str">
        <f>IFERROR(VLOOKUP(A218&amp;"a",COPY!$S$2:$AA$1000,7,FALSE)," ")</f>
        <v xml:space="preserve"> </v>
      </c>
      <c r="AM218" s="90" t="str">
        <f>IFERROR(VLOOKUP(A218&amp;"aa",COPY!$S$2:$AA$1000,7,FALSE)," ")</f>
        <v xml:space="preserve"> </v>
      </c>
      <c r="AN218" s="90" t="str">
        <f>IFERROR(VLOOKUP(A218&amp;"aaa",COPY!$S$2:$AA$1000,7,FALSE)," ")</f>
        <v xml:space="preserve"> </v>
      </c>
      <c r="AO218" s="90" t="str">
        <f>IFERROR(VLOOKUP(A218&amp;"aaaa",COPY!$S$2:$AA$1000,7,FALSE)," ")</f>
        <v xml:space="preserve"> </v>
      </c>
      <c r="AP218" s="90" t="str">
        <f>IFERROR(VLOOKUP(A218&amp;"aaaaa",COPY!$S$2:$AA$1000,7,FALSE)," ")</f>
        <v xml:space="preserve"> </v>
      </c>
      <c r="AQ218" s="90" t="str">
        <f>IFERROR(VLOOKUP(A218&amp;"aaaaaa",COPY!$S$2:$AA$1000,7,FALSE)," ")</f>
        <v xml:space="preserve"> </v>
      </c>
      <c r="AR218" s="90" t="str">
        <f>IFERROR(VLOOKUP(A218&amp;"aaaaaaa",COPY!$S$2:$AA$1000,7,FALSE)," ")</f>
        <v xml:space="preserve"> </v>
      </c>
      <c r="AS218" s="90" t="str">
        <f>IFERROR(VLOOKUP(A218&amp;"aaaaaaaa",COPY!$S$2:$AA$1000,7,FALSE)," ")</f>
        <v xml:space="preserve"> </v>
      </c>
      <c r="AT218" s="90" t="str">
        <f>IFERROR(VLOOKUP(A218&amp;"aaaaaaaaa",COPY!$S$2:$AA$1000,7,FALSE)," ")</f>
        <v xml:space="preserve"> </v>
      </c>
      <c r="AU218" s="90" t="str">
        <f>IFERROR(VLOOKUP(A218&amp;"aaaaaaaaaa",COPY!$S$2:$AA$1000,7,FALSE)," ")</f>
        <v xml:space="preserve"> </v>
      </c>
      <c r="AV218" s="90" t="str">
        <f>IFERROR(VLOOKUP(A218&amp;"aaaaaaaaaaa",COPY!$S$2:$AA$1000,7,FALSE)," ")</f>
        <v xml:space="preserve"> </v>
      </c>
    </row>
    <row r="219" spans="1:48" x14ac:dyDescent="0.2">
      <c r="A219" s="75" t="str">
        <f>'REKAP PAJAK'!W256</f>
        <v/>
      </c>
      <c r="B219" s="75" t="str">
        <f>IF(LEN(A219)&gt;1,VLOOKUP(A219,COPY!$O$2:$R$1000,4,FALSE),"")</f>
        <v/>
      </c>
      <c r="C219" s="75" t="str">
        <f t="shared" si="18"/>
        <v xml:space="preserve"> </v>
      </c>
      <c r="D219" s="75" t="str">
        <f t="shared" si="19"/>
        <v xml:space="preserve"> </v>
      </c>
      <c r="E219" s="75" t="str">
        <f t="shared" si="20"/>
        <v xml:space="preserve"> </v>
      </c>
      <c r="F219" s="75" t="str">
        <f t="shared" si="21"/>
        <v xml:space="preserve"> </v>
      </c>
      <c r="H219" s="75" t="str">
        <f t="shared" si="22"/>
        <v xml:space="preserve"> </v>
      </c>
      <c r="I219" s="75" t="str">
        <f t="shared" si="23"/>
        <v xml:space="preserve"> </v>
      </c>
      <c r="J219" s="90" t="str">
        <f>IFERROR(VLOOKUP(A219,COPY!$S$2:$W$1000,4,FALSE)," ")</f>
        <v xml:space="preserve"> </v>
      </c>
      <c r="K219" s="75" t="str">
        <f>IFERROR(VLOOKUP(A219,COPY!$S$2:$W$1000,5,FALSE)," ")</f>
        <v xml:space="preserve"> </v>
      </c>
      <c r="L219" s="75" t="str">
        <f>IF(B219="","",IF(LEFT(B219,2)="Ma",(VLOOKUP(B219,'Rekap Gaji'!$C$12:$D$26,2,FALSE))&amp;" Untuk "&amp;(PROPER('Rekap Gaji'!$B$2)),IF(LEFT(B219,2)="Mg","Pembelian Material Bahan Bangunan",IF(LEFT(B219,2)="Me","Biaya Pembelanjaan Menejemen",IF(LEFT(B219,1)="G",VLOOKUP(A219,COPY!$S$2:$AA$1000,2,FALSE)&amp;"( "&amp;TEXT(VLOOKUP(B219,'Rekap Gaji'!$A$12:$I$26,5,FALSE),"dd-mm-yyyy")&amp;" "&amp;TEXT(VLOOKUP(B219,'Rekap Gaji'!$A$12:$I$26,6,FALSE)&amp;" "&amp;TEXT(VLOOKUP(B219,'Rekap Gaji'!$A$12:$I$26,7,FALSE),"dd-mm-yyyy")&amp;" )"," "))))))</f>
        <v/>
      </c>
      <c r="M219" s="75" t="str">
        <f>IF(OR(LEFT(B219,2)="mg",LEFT(B219,2)="mE"),VLOOKUP(A219,COPY!$S$2:$AA$1000,2,FALSE),IF(LEFT(B219,1)="G"," ",IF(LEFT(B219,2)="ma"," "," ")))</f>
        <v xml:space="preserve"> </v>
      </c>
      <c r="N219" s="75" t="str">
        <f>IFERROR(VLOOKUP(A219&amp;"a",COPY!$S$2:$AA$1000,2,FALSE)," ")</f>
        <v xml:space="preserve"> </v>
      </c>
      <c r="O219" s="75" t="str">
        <f>IFERROR(VLOOKUP(A219&amp;"aa",COPY!$S$2:$AA$1000,2,FALSE)," ")</f>
        <v xml:space="preserve"> </v>
      </c>
      <c r="P219" s="75" t="str">
        <f>IFERROR(VLOOKUP(A219&amp;"aaa",COPY!$S$2:$AA$1000,2,FALSE)," ")</f>
        <v xml:space="preserve"> </v>
      </c>
      <c r="Q219" s="75" t="str">
        <f>IFERROR(VLOOKUP(A219&amp;"aaaa",COPY!$S$2:$AA$1000,2,FALSE)," ")</f>
        <v xml:space="preserve"> </v>
      </c>
      <c r="R219" s="75" t="str">
        <f>IFERROR(VLOOKUP(A219&amp;"aaaaa",COPY!$S$2:$AA$1000,2,FALSE)," ")</f>
        <v xml:space="preserve"> </v>
      </c>
      <c r="S219" s="75" t="str">
        <f>IFERROR(VLOOKUP(A219&amp;"aaaaaa",COPY!$S$2:$AA$1000,2,FALSE)," ")</f>
        <v xml:space="preserve"> </v>
      </c>
      <c r="T219" s="75" t="str">
        <f>IFERROR(VLOOKUP(A219&amp;"aaaaaaa",COPY!$S$2:$AA$1000,2,FALSE)," ")</f>
        <v xml:space="preserve"> </v>
      </c>
      <c r="U219" s="75" t="str">
        <f>IFERROR(VLOOKUP(A219&amp;"aaaaaaaa",COPY!$S$2:$AA$1000,2,FALSE)," ")</f>
        <v xml:space="preserve"> </v>
      </c>
      <c r="V219" s="75" t="str">
        <f>IFERROR(VLOOKUP(A219&amp;"aaaaaaaaa",COPY!$S$2:$AA$1000,2,FALSE)," ")</f>
        <v xml:space="preserve"> </v>
      </c>
      <c r="W219" s="75" t="str">
        <f>IFERROR(VLOOKUP(A219&amp;"aaaaaaaaaa",COPY!$S$2:$AA$1000,2,FALSE)," ")</f>
        <v xml:space="preserve"> </v>
      </c>
      <c r="X219" s="75" t="str">
        <f>IFERROR(VLOOKUP(A219&amp;"aaaaaaaaaaa",COPY!$S$2:$AA$1000,2,FALSE)," ")</f>
        <v xml:space="preserve"> </v>
      </c>
      <c r="Y219" s="90" t="str">
        <f>IF(OR(LEFT(B219,2)="mg",LEFT(B219,2)="mE"),VLOOKUP(A219,COPY!$S$2:$AA$1000,6,FALSE),IF(LEFT(B219,1)="G"," ",IF(LEFT(B219,2)="ma"," "," ")))</f>
        <v xml:space="preserve"> </v>
      </c>
      <c r="Z219" s="90" t="str">
        <f>IFERROR(VLOOKUP(A219&amp;"a",COPY!$S$2:$AA$1000,6,FALSE)," ")</f>
        <v xml:space="preserve"> </v>
      </c>
      <c r="AA219" s="90" t="str">
        <f>IFERROR(VLOOKUP(A219&amp;"aa",COPY!$S$2:$AA$1000,6,FALSE)," ")</f>
        <v xml:space="preserve"> </v>
      </c>
      <c r="AB219" s="90" t="str">
        <f>IFERROR(VLOOKUP(A219&amp;"aaa",COPY!$S$2:$AA$1000,6,FALSE)," ")</f>
        <v xml:space="preserve"> </v>
      </c>
      <c r="AC219" s="90" t="str">
        <f>IFERROR(VLOOKUP(A219&amp;"aaaa",COPY!$S$2:$AA$1000,6,FALSE)," ")</f>
        <v xml:space="preserve"> </v>
      </c>
      <c r="AD219" s="90" t="str">
        <f>IFERROR(VLOOKUP(A219&amp;"aaaaa",COPY!$S$2:$AA$1000,6,FALSE)," ")</f>
        <v xml:space="preserve"> </v>
      </c>
      <c r="AE219" s="90" t="str">
        <f>IFERROR(VLOOKUP(A219&amp;"aaaaaa",COPY!$S$2:$AA$1000,6,FALSE)," ")</f>
        <v xml:space="preserve"> </v>
      </c>
      <c r="AF219" s="90" t="str">
        <f>IFERROR(VLOOKUP(A219&amp;"aaaaaaa",COPY!$S$2:$AA$1000,6,FALSE)," ")</f>
        <v xml:space="preserve"> </v>
      </c>
      <c r="AG219" s="90" t="str">
        <f>IFERROR(VLOOKUP(A219&amp;"aaaaaaaa",COPY!$S$2:$AA$1000,6,FALSE)," ")</f>
        <v xml:space="preserve"> </v>
      </c>
      <c r="AH219" s="90" t="str">
        <f>IFERROR(VLOOKUP(A219&amp;"aaaaaaaaa",COPY!$S$2:$AA$1000,6,FALSE)," ")</f>
        <v xml:space="preserve"> </v>
      </c>
      <c r="AI219" s="90" t="str">
        <f>IFERROR(VLOOKUP(A219&amp;"aaaaaaaaaa",COPY!$S$2:$AA$1000,6,FALSE)," ")</f>
        <v xml:space="preserve"> </v>
      </c>
      <c r="AJ219" s="90" t="str">
        <f>IFERROR(VLOOKUP(A219&amp;"aaaaaaaaaaa",COPY!$S$2:$AA$1000,6,FALSE)," ")</f>
        <v xml:space="preserve"> </v>
      </c>
      <c r="AK219" s="90" t="str">
        <f>IF(LEFT(B219,2)="mg",VLOOKUP(A219,COPY!$S$2:$AA$1000,7,FALSE),IF(LEFT(B219,1)="G"," ",IF(LEFT(B219,2)="ma"," "," ")))</f>
        <v xml:space="preserve"> </v>
      </c>
      <c r="AL219" s="90" t="str">
        <f>IFERROR(VLOOKUP(A219&amp;"a",COPY!$S$2:$AA$1000,7,FALSE)," ")</f>
        <v xml:space="preserve"> </v>
      </c>
      <c r="AM219" s="90" t="str">
        <f>IFERROR(VLOOKUP(A219&amp;"aa",COPY!$S$2:$AA$1000,7,FALSE)," ")</f>
        <v xml:space="preserve"> </v>
      </c>
      <c r="AN219" s="90" t="str">
        <f>IFERROR(VLOOKUP(A219&amp;"aaa",COPY!$S$2:$AA$1000,7,FALSE)," ")</f>
        <v xml:space="preserve"> </v>
      </c>
      <c r="AO219" s="90" t="str">
        <f>IFERROR(VLOOKUP(A219&amp;"aaaa",COPY!$S$2:$AA$1000,7,FALSE)," ")</f>
        <v xml:space="preserve"> </v>
      </c>
      <c r="AP219" s="90" t="str">
        <f>IFERROR(VLOOKUP(A219&amp;"aaaaa",COPY!$S$2:$AA$1000,7,FALSE)," ")</f>
        <v xml:space="preserve"> </v>
      </c>
      <c r="AQ219" s="90" t="str">
        <f>IFERROR(VLOOKUP(A219&amp;"aaaaaa",COPY!$S$2:$AA$1000,7,FALSE)," ")</f>
        <v xml:space="preserve"> </v>
      </c>
      <c r="AR219" s="90" t="str">
        <f>IFERROR(VLOOKUP(A219&amp;"aaaaaaa",COPY!$S$2:$AA$1000,7,FALSE)," ")</f>
        <v xml:space="preserve"> </v>
      </c>
      <c r="AS219" s="90" t="str">
        <f>IFERROR(VLOOKUP(A219&amp;"aaaaaaaa",COPY!$S$2:$AA$1000,7,FALSE)," ")</f>
        <v xml:space="preserve"> </v>
      </c>
      <c r="AT219" s="90" t="str">
        <f>IFERROR(VLOOKUP(A219&amp;"aaaaaaaaa",COPY!$S$2:$AA$1000,7,FALSE)," ")</f>
        <v xml:space="preserve"> </v>
      </c>
      <c r="AU219" s="90" t="str">
        <f>IFERROR(VLOOKUP(A219&amp;"aaaaaaaaaa",COPY!$S$2:$AA$1000,7,FALSE)," ")</f>
        <v xml:space="preserve"> </v>
      </c>
      <c r="AV219" s="90" t="str">
        <f>IFERROR(VLOOKUP(A219&amp;"aaaaaaaaaaa",COPY!$S$2:$AA$1000,7,FALSE)," ")</f>
        <v xml:space="preserve"> </v>
      </c>
    </row>
    <row r="220" spans="1:48" x14ac:dyDescent="0.2">
      <c r="A220" s="75" t="str">
        <f>'REKAP PAJAK'!W257</f>
        <v/>
      </c>
      <c r="B220" s="75" t="str">
        <f>IF(LEN(A220)&gt;1,VLOOKUP(A220,COPY!$O$2:$R$1000,4,FALSE),"")</f>
        <v/>
      </c>
      <c r="C220" s="75" t="str">
        <f t="shared" si="18"/>
        <v xml:space="preserve"> </v>
      </c>
      <c r="D220" s="75" t="str">
        <f t="shared" si="19"/>
        <v xml:space="preserve"> </v>
      </c>
      <c r="E220" s="75" t="str">
        <f t="shared" si="20"/>
        <v xml:space="preserve"> </v>
      </c>
      <c r="F220" s="75" t="str">
        <f t="shared" si="21"/>
        <v xml:space="preserve"> </v>
      </c>
      <c r="H220" s="75" t="str">
        <f t="shared" si="22"/>
        <v xml:space="preserve"> </v>
      </c>
      <c r="I220" s="75" t="str">
        <f t="shared" si="23"/>
        <v xml:space="preserve"> </v>
      </c>
      <c r="J220" s="90" t="str">
        <f>IFERROR(VLOOKUP(A220,COPY!$S$2:$W$1000,4,FALSE)," ")</f>
        <v xml:space="preserve"> </v>
      </c>
      <c r="K220" s="75" t="str">
        <f>IFERROR(VLOOKUP(A220,COPY!$S$2:$W$1000,5,FALSE)," ")</f>
        <v xml:space="preserve"> </v>
      </c>
      <c r="L220" s="75" t="str">
        <f>IF(B220="","",IF(LEFT(B220,2)="Ma",(VLOOKUP(B220,'Rekap Gaji'!$C$12:$D$26,2,FALSE))&amp;" Untuk "&amp;(PROPER('Rekap Gaji'!$B$2)),IF(LEFT(B220,2)="Mg","Pembelian Material Bahan Bangunan",IF(LEFT(B220,2)="Me","Biaya Pembelanjaan Menejemen",IF(LEFT(B220,1)="G",VLOOKUP(A220,COPY!$S$2:$AA$1000,2,FALSE)&amp;"( "&amp;TEXT(VLOOKUP(B220,'Rekap Gaji'!$A$12:$I$26,5,FALSE),"dd-mm-yyyy")&amp;" "&amp;TEXT(VLOOKUP(B220,'Rekap Gaji'!$A$12:$I$26,6,FALSE)&amp;" "&amp;TEXT(VLOOKUP(B220,'Rekap Gaji'!$A$12:$I$26,7,FALSE),"dd-mm-yyyy")&amp;" )"," "))))))</f>
        <v/>
      </c>
      <c r="M220" s="75" t="str">
        <f>IF(OR(LEFT(B220,2)="mg",LEFT(B220,2)="mE"),VLOOKUP(A220,COPY!$S$2:$AA$1000,2,FALSE),IF(LEFT(B220,1)="G"," ",IF(LEFT(B220,2)="ma"," "," ")))</f>
        <v xml:space="preserve"> </v>
      </c>
      <c r="N220" s="75" t="str">
        <f>IFERROR(VLOOKUP(A220&amp;"a",COPY!$S$2:$AA$1000,2,FALSE)," ")</f>
        <v xml:space="preserve"> </v>
      </c>
      <c r="O220" s="75" t="str">
        <f>IFERROR(VLOOKUP(A220&amp;"aa",COPY!$S$2:$AA$1000,2,FALSE)," ")</f>
        <v xml:space="preserve"> </v>
      </c>
      <c r="P220" s="75" t="str">
        <f>IFERROR(VLOOKUP(A220&amp;"aaa",COPY!$S$2:$AA$1000,2,FALSE)," ")</f>
        <v xml:space="preserve"> </v>
      </c>
      <c r="Q220" s="75" t="str">
        <f>IFERROR(VLOOKUP(A220&amp;"aaaa",COPY!$S$2:$AA$1000,2,FALSE)," ")</f>
        <v xml:space="preserve"> </v>
      </c>
      <c r="R220" s="75" t="str">
        <f>IFERROR(VLOOKUP(A220&amp;"aaaaa",COPY!$S$2:$AA$1000,2,FALSE)," ")</f>
        <v xml:space="preserve"> </v>
      </c>
      <c r="S220" s="75" t="str">
        <f>IFERROR(VLOOKUP(A220&amp;"aaaaaa",COPY!$S$2:$AA$1000,2,FALSE)," ")</f>
        <v xml:space="preserve"> </v>
      </c>
      <c r="T220" s="75" t="str">
        <f>IFERROR(VLOOKUP(A220&amp;"aaaaaaa",COPY!$S$2:$AA$1000,2,FALSE)," ")</f>
        <v xml:space="preserve"> </v>
      </c>
      <c r="U220" s="75" t="str">
        <f>IFERROR(VLOOKUP(A220&amp;"aaaaaaaa",COPY!$S$2:$AA$1000,2,FALSE)," ")</f>
        <v xml:space="preserve"> </v>
      </c>
      <c r="V220" s="75" t="str">
        <f>IFERROR(VLOOKUP(A220&amp;"aaaaaaaaa",COPY!$S$2:$AA$1000,2,FALSE)," ")</f>
        <v xml:space="preserve"> </v>
      </c>
      <c r="W220" s="75" t="str">
        <f>IFERROR(VLOOKUP(A220&amp;"aaaaaaaaaa",COPY!$S$2:$AA$1000,2,FALSE)," ")</f>
        <v xml:space="preserve"> </v>
      </c>
      <c r="X220" s="75" t="str">
        <f>IFERROR(VLOOKUP(A220&amp;"aaaaaaaaaaa",COPY!$S$2:$AA$1000,2,FALSE)," ")</f>
        <v xml:space="preserve"> </v>
      </c>
      <c r="Y220" s="90" t="str">
        <f>IF(OR(LEFT(B220,2)="mg",LEFT(B220,2)="mE"),VLOOKUP(A220,COPY!$S$2:$AA$1000,6,FALSE),IF(LEFT(B220,1)="G"," ",IF(LEFT(B220,2)="ma"," "," ")))</f>
        <v xml:space="preserve"> </v>
      </c>
      <c r="Z220" s="90" t="str">
        <f>IFERROR(VLOOKUP(A220&amp;"a",COPY!$S$2:$AA$1000,6,FALSE)," ")</f>
        <v xml:space="preserve"> </v>
      </c>
      <c r="AA220" s="90" t="str">
        <f>IFERROR(VLOOKUP(A220&amp;"aa",COPY!$S$2:$AA$1000,6,FALSE)," ")</f>
        <v xml:space="preserve"> </v>
      </c>
      <c r="AB220" s="90" t="str">
        <f>IFERROR(VLOOKUP(A220&amp;"aaa",COPY!$S$2:$AA$1000,6,FALSE)," ")</f>
        <v xml:space="preserve"> </v>
      </c>
      <c r="AC220" s="90" t="str">
        <f>IFERROR(VLOOKUP(A220&amp;"aaaa",COPY!$S$2:$AA$1000,6,FALSE)," ")</f>
        <v xml:space="preserve"> </v>
      </c>
      <c r="AD220" s="90" t="str">
        <f>IFERROR(VLOOKUP(A220&amp;"aaaaa",COPY!$S$2:$AA$1000,6,FALSE)," ")</f>
        <v xml:space="preserve"> </v>
      </c>
      <c r="AE220" s="90" t="str">
        <f>IFERROR(VLOOKUP(A220&amp;"aaaaaa",COPY!$S$2:$AA$1000,6,FALSE)," ")</f>
        <v xml:space="preserve"> </v>
      </c>
      <c r="AF220" s="90" t="str">
        <f>IFERROR(VLOOKUP(A220&amp;"aaaaaaa",COPY!$S$2:$AA$1000,6,FALSE)," ")</f>
        <v xml:space="preserve"> </v>
      </c>
      <c r="AG220" s="90" t="str">
        <f>IFERROR(VLOOKUP(A220&amp;"aaaaaaaa",COPY!$S$2:$AA$1000,6,FALSE)," ")</f>
        <v xml:space="preserve"> </v>
      </c>
      <c r="AH220" s="90" t="str">
        <f>IFERROR(VLOOKUP(A220&amp;"aaaaaaaaa",COPY!$S$2:$AA$1000,6,FALSE)," ")</f>
        <v xml:space="preserve"> </v>
      </c>
      <c r="AI220" s="90" t="str">
        <f>IFERROR(VLOOKUP(A220&amp;"aaaaaaaaaa",COPY!$S$2:$AA$1000,6,FALSE)," ")</f>
        <v xml:space="preserve"> </v>
      </c>
      <c r="AJ220" s="90" t="str">
        <f>IFERROR(VLOOKUP(A220&amp;"aaaaaaaaaaa",COPY!$S$2:$AA$1000,6,FALSE)," ")</f>
        <v xml:space="preserve"> </v>
      </c>
      <c r="AK220" s="90" t="str">
        <f>IF(LEFT(B220,2)="mg",VLOOKUP(A220,COPY!$S$2:$AA$1000,7,FALSE),IF(LEFT(B220,1)="G"," ",IF(LEFT(B220,2)="ma"," "," ")))</f>
        <v xml:space="preserve"> </v>
      </c>
      <c r="AL220" s="90" t="str">
        <f>IFERROR(VLOOKUP(A220&amp;"a",COPY!$S$2:$AA$1000,7,FALSE)," ")</f>
        <v xml:space="preserve"> </v>
      </c>
      <c r="AM220" s="90" t="str">
        <f>IFERROR(VLOOKUP(A220&amp;"aa",COPY!$S$2:$AA$1000,7,FALSE)," ")</f>
        <v xml:space="preserve"> </v>
      </c>
      <c r="AN220" s="90" t="str">
        <f>IFERROR(VLOOKUP(A220&amp;"aaa",COPY!$S$2:$AA$1000,7,FALSE)," ")</f>
        <v xml:space="preserve"> </v>
      </c>
      <c r="AO220" s="90" t="str">
        <f>IFERROR(VLOOKUP(A220&amp;"aaaa",COPY!$S$2:$AA$1000,7,FALSE)," ")</f>
        <v xml:space="preserve"> </v>
      </c>
      <c r="AP220" s="90" t="str">
        <f>IFERROR(VLOOKUP(A220&amp;"aaaaa",COPY!$S$2:$AA$1000,7,FALSE)," ")</f>
        <v xml:space="preserve"> </v>
      </c>
      <c r="AQ220" s="90" t="str">
        <f>IFERROR(VLOOKUP(A220&amp;"aaaaaa",COPY!$S$2:$AA$1000,7,FALSE)," ")</f>
        <v xml:space="preserve"> </v>
      </c>
      <c r="AR220" s="90" t="str">
        <f>IFERROR(VLOOKUP(A220&amp;"aaaaaaa",COPY!$S$2:$AA$1000,7,FALSE)," ")</f>
        <v xml:space="preserve"> </v>
      </c>
      <c r="AS220" s="90" t="str">
        <f>IFERROR(VLOOKUP(A220&amp;"aaaaaaaa",COPY!$S$2:$AA$1000,7,FALSE)," ")</f>
        <v xml:space="preserve"> </v>
      </c>
      <c r="AT220" s="90" t="str">
        <f>IFERROR(VLOOKUP(A220&amp;"aaaaaaaaa",COPY!$S$2:$AA$1000,7,FALSE)," ")</f>
        <v xml:space="preserve"> </v>
      </c>
      <c r="AU220" s="90" t="str">
        <f>IFERROR(VLOOKUP(A220&amp;"aaaaaaaaaa",COPY!$S$2:$AA$1000,7,FALSE)," ")</f>
        <v xml:space="preserve"> </v>
      </c>
      <c r="AV220" s="90" t="str">
        <f>IFERROR(VLOOKUP(A220&amp;"aaaaaaaaaaa",COPY!$S$2:$AA$1000,7,FALSE)," ")</f>
        <v xml:space="preserve"> </v>
      </c>
    </row>
    <row r="221" spans="1:48" x14ac:dyDescent="0.2">
      <c r="A221" s="75" t="str">
        <f>'REKAP PAJAK'!W258</f>
        <v/>
      </c>
      <c r="B221" s="75" t="str">
        <f>IF(LEN(A221)&gt;1,VLOOKUP(A221,COPY!$O$2:$R$1000,4,FALSE),"")</f>
        <v/>
      </c>
      <c r="C221" s="75" t="str">
        <f t="shared" si="18"/>
        <v xml:space="preserve"> </v>
      </c>
      <c r="D221" s="75" t="str">
        <f t="shared" si="19"/>
        <v xml:space="preserve"> </v>
      </c>
      <c r="E221" s="75" t="str">
        <f t="shared" si="20"/>
        <v xml:space="preserve"> </v>
      </c>
      <c r="F221" s="75" t="str">
        <f t="shared" si="21"/>
        <v xml:space="preserve"> </v>
      </c>
      <c r="H221" s="75" t="str">
        <f t="shared" si="22"/>
        <v xml:space="preserve"> </v>
      </c>
      <c r="I221" s="75" t="str">
        <f t="shared" si="23"/>
        <v xml:space="preserve"> </v>
      </c>
      <c r="J221" s="90" t="str">
        <f>IFERROR(VLOOKUP(A221,COPY!$S$2:$W$1000,4,FALSE)," ")</f>
        <v xml:space="preserve"> </v>
      </c>
      <c r="K221" s="75" t="str">
        <f>IFERROR(VLOOKUP(A221,COPY!$S$2:$W$1000,5,FALSE)," ")</f>
        <v xml:space="preserve"> </v>
      </c>
      <c r="L221" s="75" t="str">
        <f>IF(B221="","",IF(LEFT(B221,2)="Ma",(VLOOKUP(B221,'Rekap Gaji'!$C$12:$D$26,2,FALSE))&amp;" Untuk "&amp;(PROPER('Rekap Gaji'!$B$2)),IF(LEFT(B221,2)="Mg","Pembelian Material Bahan Bangunan",IF(LEFT(B221,2)="Me","Biaya Pembelanjaan Menejemen",IF(LEFT(B221,1)="G",VLOOKUP(A221,COPY!$S$2:$AA$1000,2,FALSE)&amp;"( "&amp;TEXT(VLOOKUP(B221,'Rekap Gaji'!$A$12:$I$26,5,FALSE),"dd-mm-yyyy")&amp;" "&amp;TEXT(VLOOKUP(B221,'Rekap Gaji'!$A$12:$I$26,6,FALSE)&amp;" "&amp;TEXT(VLOOKUP(B221,'Rekap Gaji'!$A$12:$I$26,7,FALSE),"dd-mm-yyyy")&amp;" )"," "))))))</f>
        <v/>
      </c>
      <c r="M221" s="75" t="str">
        <f>IF(OR(LEFT(B221,2)="mg",LEFT(B221,2)="mE"),VLOOKUP(A221,COPY!$S$2:$AA$1000,2,FALSE),IF(LEFT(B221,1)="G"," ",IF(LEFT(B221,2)="ma"," "," ")))</f>
        <v xml:space="preserve"> </v>
      </c>
      <c r="N221" s="75" t="str">
        <f>IFERROR(VLOOKUP(A221&amp;"a",COPY!$S$2:$AA$1000,2,FALSE)," ")</f>
        <v xml:space="preserve"> </v>
      </c>
      <c r="O221" s="75" t="str">
        <f>IFERROR(VLOOKUP(A221&amp;"aa",COPY!$S$2:$AA$1000,2,FALSE)," ")</f>
        <v xml:space="preserve"> </v>
      </c>
      <c r="P221" s="75" t="str">
        <f>IFERROR(VLOOKUP(A221&amp;"aaa",COPY!$S$2:$AA$1000,2,FALSE)," ")</f>
        <v xml:space="preserve"> </v>
      </c>
      <c r="Q221" s="75" t="str">
        <f>IFERROR(VLOOKUP(A221&amp;"aaaa",COPY!$S$2:$AA$1000,2,FALSE)," ")</f>
        <v xml:space="preserve"> </v>
      </c>
      <c r="R221" s="75" t="str">
        <f>IFERROR(VLOOKUP(A221&amp;"aaaaa",COPY!$S$2:$AA$1000,2,FALSE)," ")</f>
        <v xml:space="preserve"> </v>
      </c>
      <c r="S221" s="75" t="str">
        <f>IFERROR(VLOOKUP(A221&amp;"aaaaaa",COPY!$S$2:$AA$1000,2,FALSE)," ")</f>
        <v xml:space="preserve"> </v>
      </c>
      <c r="T221" s="75" t="str">
        <f>IFERROR(VLOOKUP(A221&amp;"aaaaaaa",COPY!$S$2:$AA$1000,2,FALSE)," ")</f>
        <v xml:space="preserve"> </v>
      </c>
      <c r="U221" s="75" t="str">
        <f>IFERROR(VLOOKUP(A221&amp;"aaaaaaaa",COPY!$S$2:$AA$1000,2,FALSE)," ")</f>
        <v xml:space="preserve"> </v>
      </c>
      <c r="V221" s="75" t="str">
        <f>IFERROR(VLOOKUP(A221&amp;"aaaaaaaaa",COPY!$S$2:$AA$1000,2,FALSE)," ")</f>
        <v xml:space="preserve"> </v>
      </c>
      <c r="W221" s="75" t="str">
        <f>IFERROR(VLOOKUP(A221&amp;"aaaaaaaaaa",COPY!$S$2:$AA$1000,2,FALSE)," ")</f>
        <v xml:space="preserve"> </v>
      </c>
      <c r="X221" s="75" t="str">
        <f>IFERROR(VLOOKUP(A221&amp;"aaaaaaaaaaa",COPY!$S$2:$AA$1000,2,FALSE)," ")</f>
        <v xml:space="preserve"> </v>
      </c>
      <c r="Y221" s="90" t="str">
        <f>IF(OR(LEFT(B221,2)="mg",LEFT(B221,2)="mE"),VLOOKUP(A221,COPY!$S$2:$AA$1000,6,FALSE),IF(LEFT(B221,1)="G"," ",IF(LEFT(B221,2)="ma"," "," ")))</f>
        <v xml:space="preserve"> </v>
      </c>
      <c r="Z221" s="90" t="str">
        <f>IFERROR(VLOOKUP(A221&amp;"a",COPY!$S$2:$AA$1000,6,FALSE)," ")</f>
        <v xml:space="preserve"> </v>
      </c>
      <c r="AA221" s="90" t="str">
        <f>IFERROR(VLOOKUP(A221&amp;"aa",COPY!$S$2:$AA$1000,6,FALSE)," ")</f>
        <v xml:space="preserve"> </v>
      </c>
      <c r="AB221" s="90" t="str">
        <f>IFERROR(VLOOKUP(A221&amp;"aaa",COPY!$S$2:$AA$1000,6,FALSE)," ")</f>
        <v xml:space="preserve"> </v>
      </c>
      <c r="AC221" s="90" t="str">
        <f>IFERROR(VLOOKUP(A221&amp;"aaaa",COPY!$S$2:$AA$1000,6,FALSE)," ")</f>
        <v xml:space="preserve"> </v>
      </c>
      <c r="AD221" s="90" t="str">
        <f>IFERROR(VLOOKUP(A221&amp;"aaaaa",COPY!$S$2:$AA$1000,6,FALSE)," ")</f>
        <v xml:space="preserve"> </v>
      </c>
      <c r="AE221" s="90" t="str">
        <f>IFERROR(VLOOKUP(A221&amp;"aaaaaa",COPY!$S$2:$AA$1000,6,FALSE)," ")</f>
        <v xml:space="preserve"> </v>
      </c>
      <c r="AF221" s="90" t="str">
        <f>IFERROR(VLOOKUP(A221&amp;"aaaaaaa",COPY!$S$2:$AA$1000,6,FALSE)," ")</f>
        <v xml:space="preserve"> </v>
      </c>
      <c r="AG221" s="90" t="str">
        <f>IFERROR(VLOOKUP(A221&amp;"aaaaaaaa",COPY!$S$2:$AA$1000,6,FALSE)," ")</f>
        <v xml:space="preserve"> </v>
      </c>
      <c r="AH221" s="90" t="str">
        <f>IFERROR(VLOOKUP(A221&amp;"aaaaaaaaa",COPY!$S$2:$AA$1000,6,FALSE)," ")</f>
        <v xml:space="preserve"> </v>
      </c>
      <c r="AI221" s="90" t="str">
        <f>IFERROR(VLOOKUP(A221&amp;"aaaaaaaaaa",COPY!$S$2:$AA$1000,6,FALSE)," ")</f>
        <v xml:space="preserve"> </v>
      </c>
      <c r="AJ221" s="90" t="str">
        <f>IFERROR(VLOOKUP(A221&amp;"aaaaaaaaaaa",COPY!$S$2:$AA$1000,6,FALSE)," ")</f>
        <v xml:space="preserve"> </v>
      </c>
      <c r="AK221" s="90" t="str">
        <f>IF(LEFT(B221,2)="mg",VLOOKUP(A221,COPY!$S$2:$AA$1000,7,FALSE),IF(LEFT(B221,1)="G"," ",IF(LEFT(B221,2)="ma"," "," ")))</f>
        <v xml:space="preserve"> </v>
      </c>
      <c r="AL221" s="90" t="str">
        <f>IFERROR(VLOOKUP(A221&amp;"a",COPY!$S$2:$AA$1000,7,FALSE)," ")</f>
        <v xml:space="preserve"> </v>
      </c>
      <c r="AM221" s="90" t="str">
        <f>IFERROR(VLOOKUP(A221&amp;"aa",COPY!$S$2:$AA$1000,7,FALSE)," ")</f>
        <v xml:space="preserve"> </v>
      </c>
      <c r="AN221" s="90" t="str">
        <f>IFERROR(VLOOKUP(A221&amp;"aaa",COPY!$S$2:$AA$1000,7,FALSE)," ")</f>
        <v xml:space="preserve"> </v>
      </c>
      <c r="AO221" s="90" t="str">
        <f>IFERROR(VLOOKUP(A221&amp;"aaaa",COPY!$S$2:$AA$1000,7,FALSE)," ")</f>
        <v xml:space="preserve"> </v>
      </c>
      <c r="AP221" s="90" t="str">
        <f>IFERROR(VLOOKUP(A221&amp;"aaaaa",COPY!$S$2:$AA$1000,7,FALSE)," ")</f>
        <v xml:space="preserve"> </v>
      </c>
      <c r="AQ221" s="90" t="str">
        <f>IFERROR(VLOOKUP(A221&amp;"aaaaaa",COPY!$S$2:$AA$1000,7,FALSE)," ")</f>
        <v xml:space="preserve"> </v>
      </c>
      <c r="AR221" s="90" t="str">
        <f>IFERROR(VLOOKUP(A221&amp;"aaaaaaa",COPY!$S$2:$AA$1000,7,FALSE)," ")</f>
        <v xml:space="preserve"> </v>
      </c>
      <c r="AS221" s="90" t="str">
        <f>IFERROR(VLOOKUP(A221&amp;"aaaaaaaa",COPY!$S$2:$AA$1000,7,FALSE)," ")</f>
        <v xml:space="preserve"> </v>
      </c>
      <c r="AT221" s="90" t="str">
        <f>IFERROR(VLOOKUP(A221&amp;"aaaaaaaaa",COPY!$S$2:$AA$1000,7,FALSE)," ")</f>
        <v xml:space="preserve"> </v>
      </c>
      <c r="AU221" s="90" t="str">
        <f>IFERROR(VLOOKUP(A221&amp;"aaaaaaaaaa",COPY!$S$2:$AA$1000,7,FALSE)," ")</f>
        <v xml:space="preserve"> </v>
      </c>
      <c r="AV221" s="90" t="str">
        <f>IFERROR(VLOOKUP(A221&amp;"aaaaaaaaaaa",COPY!$S$2:$AA$1000,7,FALSE)," ")</f>
        <v xml:space="preserve"> </v>
      </c>
    </row>
    <row r="222" spans="1:48" x14ac:dyDescent="0.2">
      <c r="A222" s="75" t="str">
        <f>'REKAP PAJAK'!W259</f>
        <v/>
      </c>
      <c r="B222" s="75" t="str">
        <f>IF(LEN(A222)&gt;1,VLOOKUP(A222,COPY!$O$2:$R$1000,4,FALSE),"")</f>
        <v/>
      </c>
      <c r="C222" s="75" t="str">
        <f t="shared" si="18"/>
        <v xml:space="preserve"> </v>
      </c>
      <c r="D222" s="75" t="str">
        <f t="shared" si="19"/>
        <v xml:space="preserve"> </v>
      </c>
      <c r="E222" s="75" t="str">
        <f t="shared" si="20"/>
        <v xml:space="preserve"> </v>
      </c>
      <c r="F222" s="75" t="str">
        <f t="shared" si="21"/>
        <v xml:space="preserve"> </v>
      </c>
      <c r="H222" s="75" t="str">
        <f t="shared" si="22"/>
        <v xml:space="preserve"> </v>
      </c>
      <c r="I222" s="75" t="str">
        <f t="shared" si="23"/>
        <v xml:space="preserve"> </v>
      </c>
      <c r="J222" s="90" t="str">
        <f>IFERROR(VLOOKUP(A222,COPY!$S$2:$W$1000,4,FALSE)," ")</f>
        <v xml:space="preserve"> </v>
      </c>
      <c r="K222" s="75" t="str">
        <f>IFERROR(VLOOKUP(A222,COPY!$S$2:$W$1000,5,FALSE)," ")</f>
        <v xml:space="preserve"> </v>
      </c>
      <c r="L222" s="75" t="str">
        <f>IF(B222="","",IF(LEFT(B222,2)="Ma",(VLOOKUP(B222,'Rekap Gaji'!$C$12:$D$26,2,FALSE))&amp;" Untuk "&amp;(PROPER('Rekap Gaji'!$B$2)),IF(LEFT(B222,2)="Mg","Pembelian Material Bahan Bangunan",IF(LEFT(B222,2)="Me","Biaya Pembelanjaan Menejemen",IF(LEFT(B222,1)="G",VLOOKUP(A222,COPY!$S$2:$AA$1000,2,FALSE)&amp;"( "&amp;TEXT(VLOOKUP(B222,'Rekap Gaji'!$A$12:$I$26,5,FALSE),"dd-mm-yyyy")&amp;" "&amp;TEXT(VLOOKUP(B222,'Rekap Gaji'!$A$12:$I$26,6,FALSE)&amp;" "&amp;TEXT(VLOOKUP(B222,'Rekap Gaji'!$A$12:$I$26,7,FALSE),"dd-mm-yyyy")&amp;" )"," "))))))</f>
        <v/>
      </c>
      <c r="M222" s="75" t="str">
        <f>IF(OR(LEFT(B222,2)="mg",LEFT(B222,2)="mE"),VLOOKUP(A222,COPY!$S$2:$AA$1000,2,FALSE),IF(LEFT(B222,1)="G"," ",IF(LEFT(B222,2)="ma"," "," ")))</f>
        <v xml:space="preserve"> </v>
      </c>
      <c r="N222" s="75" t="str">
        <f>IFERROR(VLOOKUP(A222&amp;"a",COPY!$S$2:$AA$1000,2,FALSE)," ")</f>
        <v xml:space="preserve"> </v>
      </c>
      <c r="O222" s="75" t="str">
        <f>IFERROR(VLOOKUP(A222&amp;"aa",COPY!$S$2:$AA$1000,2,FALSE)," ")</f>
        <v xml:space="preserve"> </v>
      </c>
      <c r="P222" s="75" t="str">
        <f>IFERROR(VLOOKUP(A222&amp;"aaa",COPY!$S$2:$AA$1000,2,FALSE)," ")</f>
        <v xml:space="preserve"> </v>
      </c>
      <c r="Q222" s="75" t="str">
        <f>IFERROR(VLOOKUP(A222&amp;"aaaa",COPY!$S$2:$AA$1000,2,FALSE)," ")</f>
        <v xml:space="preserve"> </v>
      </c>
      <c r="R222" s="75" t="str">
        <f>IFERROR(VLOOKUP(A222&amp;"aaaaa",COPY!$S$2:$AA$1000,2,FALSE)," ")</f>
        <v xml:space="preserve"> </v>
      </c>
      <c r="S222" s="75" t="str">
        <f>IFERROR(VLOOKUP(A222&amp;"aaaaaa",COPY!$S$2:$AA$1000,2,FALSE)," ")</f>
        <v xml:space="preserve"> </v>
      </c>
      <c r="T222" s="75" t="str">
        <f>IFERROR(VLOOKUP(A222&amp;"aaaaaaa",COPY!$S$2:$AA$1000,2,FALSE)," ")</f>
        <v xml:space="preserve"> </v>
      </c>
      <c r="U222" s="75" t="str">
        <f>IFERROR(VLOOKUP(A222&amp;"aaaaaaaa",COPY!$S$2:$AA$1000,2,FALSE)," ")</f>
        <v xml:space="preserve"> </v>
      </c>
      <c r="V222" s="75" t="str">
        <f>IFERROR(VLOOKUP(A222&amp;"aaaaaaaaa",COPY!$S$2:$AA$1000,2,FALSE)," ")</f>
        <v xml:space="preserve"> </v>
      </c>
      <c r="W222" s="75" t="str">
        <f>IFERROR(VLOOKUP(A222&amp;"aaaaaaaaaa",COPY!$S$2:$AA$1000,2,FALSE)," ")</f>
        <v xml:space="preserve"> </v>
      </c>
      <c r="X222" s="75" t="str">
        <f>IFERROR(VLOOKUP(A222&amp;"aaaaaaaaaaa",COPY!$S$2:$AA$1000,2,FALSE)," ")</f>
        <v xml:space="preserve"> </v>
      </c>
      <c r="Y222" s="90" t="str">
        <f>IF(OR(LEFT(B222,2)="mg",LEFT(B222,2)="mE"),VLOOKUP(A222,COPY!$S$2:$AA$1000,6,FALSE),IF(LEFT(B222,1)="G"," ",IF(LEFT(B222,2)="ma"," "," ")))</f>
        <v xml:space="preserve"> </v>
      </c>
      <c r="Z222" s="90" t="str">
        <f>IFERROR(VLOOKUP(A222&amp;"a",COPY!$S$2:$AA$1000,6,FALSE)," ")</f>
        <v xml:space="preserve"> </v>
      </c>
      <c r="AA222" s="90" t="str">
        <f>IFERROR(VLOOKUP(A222&amp;"aa",COPY!$S$2:$AA$1000,6,FALSE)," ")</f>
        <v xml:space="preserve"> </v>
      </c>
      <c r="AB222" s="90" t="str">
        <f>IFERROR(VLOOKUP(A222&amp;"aaa",COPY!$S$2:$AA$1000,6,FALSE)," ")</f>
        <v xml:space="preserve"> </v>
      </c>
      <c r="AC222" s="90" t="str">
        <f>IFERROR(VLOOKUP(A222&amp;"aaaa",COPY!$S$2:$AA$1000,6,FALSE)," ")</f>
        <v xml:space="preserve"> </v>
      </c>
      <c r="AD222" s="90" t="str">
        <f>IFERROR(VLOOKUP(A222&amp;"aaaaa",COPY!$S$2:$AA$1000,6,FALSE)," ")</f>
        <v xml:space="preserve"> </v>
      </c>
      <c r="AE222" s="90" t="str">
        <f>IFERROR(VLOOKUP(A222&amp;"aaaaaa",COPY!$S$2:$AA$1000,6,FALSE)," ")</f>
        <v xml:space="preserve"> </v>
      </c>
      <c r="AF222" s="90" t="str">
        <f>IFERROR(VLOOKUP(A222&amp;"aaaaaaa",COPY!$S$2:$AA$1000,6,FALSE)," ")</f>
        <v xml:space="preserve"> </v>
      </c>
      <c r="AG222" s="90" t="str">
        <f>IFERROR(VLOOKUP(A222&amp;"aaaaaaaa",COPY!$S$2:$AA$1000,6,FALSE)," ")</f>
        <v xml:space="preserve"> </v>
      </c>
      <c r="AH222" s="90" t="str">
        <f>IFERROR(VLOOKUP(A222&amp;"aaaaaaaaa",COPY!$S$2:$AA$1000,6,FALSE)," ")</f>
        <v xml:space="preserve"> </v>
      </c>
      <c r="AI222" s="90" t="str">
        <f>IFERROR(VLOOKUP(A222&amp;"aaaaaaaaaa",COPY!$S$2:$AA$1000,6,FALSE)," ")</f>
        <v xml:space="preserve"> </v>
      </c>
      <c r="AJ222" s="90" t="str">
        <f>IFERROR(VLOOKUP(A222&amp;"aaaaaaaaaaa",COPY!$S$2:$AA$1000,6,FALSE)," ")</f>
        <v xml:space="preserve"> </v>
      </c>
      <c r="AK222" s="90" t="str">
        <f>IF(LEFT(B222,2)="mg",VLOOKUP(A222,COPY!$S$2:$AA$1000,7,FALSE),IF(LEFT(B222,1)="G"," ",IF(LEFT(B222,2)="ma"," "," ")))</f>
        <v xml:space="preserve"> </v>
      </c>
      <c r="AL222" s="90" t="str">
        <f>IFERROR(VLOOKUP(A222&amp;"a",COPY!$S$2:$AA$1000,7,FALSE)," ")</f>
        <v xml:space="preserve"> </v>
      </c>
      <c r="AM222" s="90" t="str">
        <f>IFERROR(VLOOKUP(A222&amp;"aa",COPY!$S$2:$AA$1000,7,FALSE)," ")</f>
        <v xml:space="preserve"> </v>
      </c>
      <c r="AN222" s="90" t="str">
        <f>IFERROR(VLOOKUP(A222&amp;"aaa",COPY!$S$2:$AA$1000,7,FALSE)," ")</f>
        <v xml:space="preserve"> </v>
      </c>
      <c r="AO222" s="90" t="str">
        <f>IFERROR(VLOOKUP(A222&amp;"aaaa",COPY!$S$2:$AA$1000,7,FALSE)," ")</f>
        <v xml:space="preserve"> </v>
      </c>
      <c r="AP222" s="90" t="str">
        <f>IFERROR(VLOOKUP(A222&amp;"aaaaa",COPY!$S$2:$AA$1000,7,FALSE)," ")</f>
        <v xml:space="preserve"> </v>
      </c>
      <c r="AQ222" s="90" t="str">
        <f>IFERROR(VLOOKUP(A222&amp;"aaaaaa",COPY!$S$2:$AA$1000,7,FALSE)," ")</f>
        <v xml:space="preserve"> </v>
      </c>
      <c r="AR222" s="90" t="str">
        <f>IFERROR(VLOOKUP(A222&amp;"aaaaaaa",COPY!$S$2:$AA$1000,7,FALSE)," ")</f>
        <v xml:space="preserve"> </v>
      </c>
      <c r="AS222" s="90" t="str">
        <f>IFERROR(VLOOKUP(A222&amp;"aaaaaaaa",COPY!$S$2:$AA$1000,7,FALSE)," ")</f>
        <v xml:space="preserve"> </v>
      </c>
      <c r="AT222" s="90" t="str">
        <f>IFERROR(VLOOKUP(A222&amp;"aaaaaaaaa",COPY!$S$2:$AA$1000,7,FALSE)," ")</f>
        <v xml:space="preserve"> </v>
      </c>
      <c r="AU222" s="90" t="str">
        <f>IFERROR(VLOOKUP(A222&amp;"aaaaaaaaaa",COPY!$S$2:$AA$1000,7,FALSE)," ")</f>
        <v xml:space="preserve"> </v>
      </c>
      <c r="AV222" s="90" t="str">
        <f>IFERROR(VLOOKUP(A222&amp;"aaaaaaaaaaa",COPY!$S$2:$AA$1000,7,FALSE)," ")</f>
        <v xml:space="preserve"> </v>
      </c>
    </row>
    <row r="223" spans="1:48" x14ac:dyDescent="0.2">
      <c r="A223" s="75" t="str">
        <f>'REKAP PAJAK'!W260</f>
        <v/>
      </c>
      <c r="B223" s="75" t="str">
        <f>IF(LEN(A223)&gt;1,VLOOKUP(A223,COPY!$O$2:$R$1000,4,FALSE),"")</f>
        <v/>
      </c>
      <c r="C223" s="75" t="str">
        <f t="shared" si="18"/>
        <v xml:space="preserve"> </v>
      </c>
      <c r="D223" s="75" t="str">
        <f t="shared" si="19"/>
        <v xml:space="preserve"> </v>
      </c>
      <c r="E223" s="75" t="str">
        <f t="shared" si="20"/>
        <v xml:space="preserve"> </v>
      </c>
      <c r="F223" s="75" t="str">
        <f t="shared" si="21"/>
        <v xml:space="preserve"> </v>
      </c>
      <c r="H223" s="75" t="str">
        <f t="shared" si="22"/>
        <v xml:space="preserve"> </v>
      </c>
      <c r="I223" s="75" t="str">
        <f t="shared" si="23"/>
        <v xml:space="preserve"> </v>
      </c>
      <c r="J223" s="90" t="str">
        <f>IFERROR(VLOOKUP(A223,COPY!$S$2:$W$1000,4,FALSE)," ")</f>
        <v xml:space="preserve"> </v>
      </c>
      <c r="K223" s="75" t="str">
        <f>IFERROR(VLOOKUP(A223,COPY!$S$2:$W$1000,5,FALSE)," ")</f>
        <v xml:space="preserve"> </v>
      </c>
      <c r="L223" s="75" t="str">
        <f>IF(B223="","",IF(LEFT(B223,2)="Ma",(VLOOKUP(B223,'Rekap Gaji'!$C$12:$D$26,2,FALSE))&amp;" Untuk "&amp;(PROPER('Rekap Gaji'!$B$2)),IF(LEFT(B223,2)="Mg","Pembelian Material Bahan Bangunan",IF(LEFT(B223,2)="Me","Biaya Pembelanjaan Menejemen",IF(LEFT(B223,1)="G",VLOOKUP(A223,COPY!$S$2:$AA$1000,2,FALSE)&amp;"( "&amp;TEXT(VLOOKUP(B223,'Rekap Gaji'!$A$12:$I$26,5,FALSE),"dd-mm-yyyy")&amp;" "&amp;TEXT(VLOOKUP(B223,'Rekap Gaji'!$A$12:$I$26,6,FALSE)&amp;" "&amp;TEXT(VLOOKUP(B223,'Rekap Gaji'!$A$12:$I$26,7,FALSE),"dd-mm-yyyy")&amp;" )"," "))))))</f>
        <v/>
      </c>
      <c r="M223" s="75" t="str">
        <f>IF(OR(LEFT(B223,2)="mg",LEFT(B223,2)="mE"),VLOOKUP(A223,COPY!$S$2:$AA$1000,2,FALSE),IF(LEFT(B223,1)="G"," ",IF(LEFT(B223,2)="ma"," "," ")))</f>
        <v xml:space="preserve"> </v>
      </c>
      <c r="N223" s="75" t="str">
        <f>IFERROR(VLOOKUP(A223&amp;"a",COPY!$S$2:$AA$1000,2,FALSE)," ")</f>
        <v xml:space="preserve"> </v>
      </c>
      <c r="O223" s="75" t="str">
        <f>IFERROR(VLOOKUP(A223&amp;"aa",COPY!$S$2:$AA$1000,2,FALSE)," ")</f>
        <v xml:space="preserve"> </v>
      </c>
      <c r="P223" s="75" t="str">
        <f>IFERROR(VLOOKUP(A223&amp;"aaa",COPY!$S$2:$AA$1000,2,FALSE)," ")</f>
        <v xml:space="preserve"> </v>
      </c>
      <c r="Q223" s="75" t="str">
        <f>IFERROR(VLOOKUP(A223&amp;"aaaa",COPY!$S$2:$AA$1000,2,FALSE)," ")</f>
        <v xml:space="preserve"> </v>
      </c>
      <c r="R223" s="75" t="str">
        <f>IFERROR(VLOOKUP(A223&amp;"aaaaa",COPY!$S$2:$AA$1000,2,FALSE)," ")</f>
        <v xml:space="preserve"> </v>
      </c>
      <c r="S223" s="75" t="str">
        <f>IFERROR(VLOOKUP(A223&amp;"aaaaaa",COPY!$S$2:$AA$1000,2,FALSE)," ")</f>
        <v xml:space="preserve"> </v>
      </c>
      <c r="T223" s="75" t="str">
        <f>IFERROR(VLOOKUP(A223&amp;"aaaaaaa",COPY!$S$2:$AA$1000,2,FALSE)," ")</f>
        <v xml:space="preserve"> </v>
      </c>
      <c r="U223" s="75" t="str">
        <f>IFERROR(VLOOKUP(A223&amp;"aaaaaaaa",COPY!$S$2:$AA$1000,2,FALSE)," ")</f>
        <v xml:space="preserve"> </v>
      </c>
      <c r="V223" s="75" t="str">
        <f>IFERROR(VLOOKUP(A223&amp;"aaaaaaaaa",COPY!$S$2:$AA$1000,2,FALSE)," ")</f>
        <v xml:space="preserve"> </v>
      </c>
      <c r="W223" s="75" t="str">
        <f>IFERROR(VLOOKUP(A223&amp;"aaaaaaaaaa",COPY!$S$2:$AA$1000,2,FALSE)," ")</f>
        <v xml:space="preserve"> </v>
      </c>
      <c r="X223" s="75" t="str">
        <f>IFERROR(VLOOKUP(A223&amp;"aaaaaaaaaaa",COPY!$S$2:$AA$1000,2,FALSE)," ")</f>
        <v xml:space="preserve"> </v>
      </c>
      <c r="Y223" s="90" t="str">
        <f>IF(OR(LEFT(B223,2)="mg",LEFT(B223,2)="mE"),VLOOKUP(A223,COPY!$S$2:$AA$1000,6,FALSE),IF(LEFT(B223,1)="G"," ",IF(LEFT(B223,2)="ma"," "," ")))</f>
        <v xml:space="preserve"> </v>
      </c>
      <c r="Z223" s="90" t="str">
        <f>IFERROR(VLOOKUP(A223&amp;"a",COPY!$S$2:$AA$1000,6,FALSE)," ")</f>
        <v xml:space="preserve"> </v>
      </c>
      <c r="AA223" s="90" t="str">
        <f>IFERROR(VLOOKUP(A223&amp;"aa",COPY!$S$2:$AA$1000,6,FALSE)," ")</f>
        <v xml:space="preserve"> </v>
      </c>
      <c r="AB223" s="90" t="str">
        <f>IFERROR(VLOOKUP(A223&amp;"aaa",COPY!$S$2:$AA$1000,6,FALSE)," ")</f>
        <v xml:space="preserve"> </v>
      </c>
      <c r="AC223" s="90" t="str">
        <f>IFERROR(VLOOKUP(A223&amp;"aaaa",COPY!$S$2:$AA$1000,6,FALSE)," ")</f>
        <v xml:space="preserve"> </v>
      </c>
      <c r="AD223" s="90" t="str">
        <f>IFERROR(VLOOKUP(A223&amp;"aaaaa",COPY!$S$2:$AA$1000,6,FALSE)," ")</f>
        <v xml:space="preserve"> </v>
      </c>
      <c r="AE223" s="90" t="str">
        <f>IFERROR(VLOOKUP(A223&amp;"aaaaaa",COPY!$S$2:$AA$1000,6,FALSE)," ")</f>
        <v xml:space="preserve"> </v>
      </c>
      <c r="AF223" s="90" t="str">
        <f>IFERROR(VLOOKUP(A223&amp;"aaaaaaa",COPY!$S$2:$AA$1000,6,FALSE)," ")</f>
        <v xml:space="preserve"> </v>
      </c>
      <c r="AG223" s="90" t="str">
        <f>IFERROR(VLOOKUP(A223&amp;"aaaaaaaa",COPY!$S$2:$AA$1000,6,FALSE)," ")</f>
        <v xml:space="preserve"> </v>
      </c>
      <c r="AH223" s="90" t="str">
        <f>IFERROR(VLOOKUP(A223&amp;"aaaaaaaaa",COPY!$S$2:$AA$1000,6,FALSE)," ")</f>
        <v xml:space="preserve"> </v>
      </c>
      <c r="AI223" s="90" t="str">
        <f>IFERROR(VLOOKUP(A223&amp;"aaaaaaaaaa",COPY!$S$2:$AA$1000,6,FALSE)," ")</f>
        <v xml:space="preserve"> </v>
      </c>
      <c r="AJ223" s="90" t="str">
        <f>IFERROR(VLOOKUP(A223&amp;"aaaaaaaaaaa",COPY!$S$2:$AA$1000,6,FALSE)," ")</f>
        <v xml:space="preserve"> </v>
      </c>
      <c r="AK223" s="90" t="str">
        <f>IF(LEFT(B223,2)="mg",VLOOKUP(A223,COPY!$S$2:$AA$1000,7,FALSE),IF(LEFT(B223,1)="G"," ",IF(LEFT(B223,2)="ma"," "," ")))</f>
        <v xml:space="preserve"> </v>
      </c>
      <c r="AL223" s="90" t="str">
        <f>IFERROR(VLOOKUP(A223&amp;"a",COPY!$S$2:$AA$1000,7,FALSE)," ")</f>
        <v xml:space="preserve"> </v>
      </c>
      <c r="AM223" s="90" t="str">
        <f>IFERROR(VLOOKUP(A223&amp;"aa",COPY!$S$2:$AA$1000,7,FALSE)," ")</f>
        <v xml:space="preserve"> </v>
      </c>
      <c r="AN223" s="90" t="str">
        <f>IFERROR(VLOOKUP(A223&amp;"aaa",COPY!$S$2:$AA$1000,7,FALSE)," ")</f>
        <v xml:space="preserve"> </v>
      </c>
      <c r="AO223" s="90" t="str">
        <f>IFERROR(VLOOKUP(A223&amp;"aaaa",COPY!$S$2:$AA$1000,7,FALSE)," ")</f>
        <v xml:space="preserve"> </v>
      </c>
      <c r="AP223" s="90" t="str">
        <f>IFERROR(VLOOKUP(A223&amp;"aaaaa",COPY!$S$2:$AA$1000,7,FALSE)," ")</f>
        <v xml:space="preserve"> </v>
      </c>
      <c r="AQ223" s="90" t="str">
        <f>IFERROR(VLOOKUP(A223&amp;"aaaaaa",COPY!$S$2:$AA$1000,7,FALSE)," ")</f>
        <v xml:space="preserve"> </v>
      </c>
      <c r="AR223" s="90" t="str">
        <f>IFERROR(VLOOKUP(A223&amp;"aaaaaaa",COPY!$S$2:$AA$1000,7,FALSE)," ")</f>
        <v xml:space="preserve"> </v>
      </c>
      <c r="AS223" s="90" t="str">
        <f>IFERROR(VLOOKUP(A223&amp;"aaaaaaaa",COPY!$S$2:$AA$1000,7,FALSE)," ")</f>
        <v xml:space="preserve"> </v>
      </c>
      <c r="AT223" s="90" t="str">
        <f>IFERROR(VLOOKUP(A223&amp;"aaaaaaaaa",COPY!$S$2:$AA$1000,7,FALSE)," ")</f>
        <v xml:space="preserve"> </v>
      </c>
      <c r="AU223" s="90" t="str">
        <f>IFERROR(VLOOKUP(A223&amp;"aaaaaaaaaa",COPY!$S$2:$AA$1000,7,FALSE)," ")</f>
        <v xml:space="preserve"> </v>
      </c>
      <c r="AV223" s="90" t="str">
        <f>IFERROR(VLOOKUP(A223&amp;"aaaaaaaaaaa",COPY!$S$2:$AA$1000,7,FALSE)," ")</f>
        <v xml:space="preserve"> </v>
      </c>
    </row>
    <row r="224" spans="1:48" x14ac:dyDescent="0.2">
      <c r="A224" s="75" t="str">
        <f>'REKAP PAJAK'!W261</f>
        <v/>
      </c>
      <c r="B224" s="75" t="str">
        <f>IF(LEN(A224)&gt;1,VLOOKUP(A224,COPY!$O$2:$R$1000,4,FALSE),"")</f>
        <v/>
      </c>
      <c r="C224" s="75" t="str">
        <f t="shared" si="18"/>
        <v xml:space="preserve"> </v>
      </c>
      <c r="D224" s="75" t="str">
        <f t="shared" si="19"/>
        <v xml:space="preserve"> </v>
      </c>
      <c r="E224" s="75" t="str">
        <f t="shared" si="20"/>
        <v xml:space="preserve"> </v>
      </c>
      <c r="F224" s="75" t="str">
        <f t="shared" si="21"/>
        <v xml:space="preserve"> </v>
      </c>
      <c r="H224" s="75" t="str">
        <f t="shared" si="22"/>
        <v xml:space="preserve"> </v>
      </c>
      <c r="I224" s="75" t="str">
        <f t="shared" si="23"/>
        <v xml:space="preserve"> </v>
      </c>
      <c r="J224" s="90" t="str">
        <f>IFERROR(VLOOKUP(A224,COPY!$S$2:$W$1000,4,FALSE)," ")</f>
        <v xml:space="preserve"> </v>
      </c>
      <c r="K224" s="75" t="str">
        <f>IFERROR(VLOOKUP(A224,COPY!$S$2:$W$1000,5,FALSE)," ")</f>
        <v xml:space="preserve"> </v>
      </c>
      <c r="L224" s="75" t="str">
        <f>IF(B224="","",IF(LEFT(B224,2)="Ma",(VLOOKUP(B224,'Rekap Gaji'!$C$12:$D$26,2,FALSE))&amp;" Untuk "&amp;(PROPER('Rekap Gaji'!$B$2)),IF(LEFT(B224,2)="Mg","Pembelian Material Bahan Bangunan",IF(LEFT(B224,2)="Me","Biaya Pembelanjaan Menejemen",IF(LEFT(B224,1)="G",VLOOKUP(A224,COPY!$S$2:$AA$1000,2,FALSE)&amp;"( "&amp;TEXT(VLOOKUP(B224,'Rekap Gaji'!$A$12:$I$26,5,FALSE),"dd-mm-yyyy")&amp;" "&amp;TEXT(VLOOKUP(B224,'Rekap Gaji'!$A$12:$I$26,6,FALSE)&amp;" "&amp;TEXT(VLOOKUP(B224,'Rekap Gaji'!$A$12:$I$26,7,FALSE),"dd-mm-yyyy")&amp;" )"," "))))))</f>
        <v/>
      </c>
      <c r="M224" s="75" t="str">
        <f>IF(OR(LEFT(B224,2)="mg",LEFT(B224,2)="mE"),VLOOKUP(A224,COPY!$S$2:$AA$1000,2,FALSE),IF(LEFT(B224,1)="G"," ",IF(LEFT(B224,2)="ma"," "," ")))</f>
        <v xml:space="preserve"> </v>
      </c>
      <c r="N224" s="75" t="str">
        <f>IFERROR(VLOOKUP(A224&amp;"a",COPY!$S$2:$AA$1000,2,FALSE)," ")</f>
        <v xml:space="preserve"> </v>
      </c>
      <c r="O224" s="75" t="str">
        <f>IFERROR(VLOOKUP(A224&amp;"aa",COPY!$S$2:$AA$1000,2,FALSE)," ")</f>
        <v xml:space="preserve"> </v>
      </c>
      <c r="P224" s="75" t="str">
        <f>IFERROR(VLOOKUP(A224&amp;"aaa",COPY!$S$2:$AA$1000,2,FALSE)," ")</f>
        <v xml:space="preserve"> </v>
      </c>
      <c r="Q224" s="75" t="str">
        <f>IFERROR(VLOOKUP(A224&amp;"aaaa",COPY!$S$2:$AA$1000,2,FALSE)," ")</f>
        <v xml:space="preserve"> </v>
      </c>
      <c r="R224" s="75" t="str">
        <f>IFERROR(VLOOKUP(A224&amp;"aaaaa",COPY!$S$2:$AA$1000,2,FALSE)," ")</f>
        <v xml:space="preserve"> </v>
      </c>
      <c r="S224" s="75" t="str">
        <f>IFERROR(VLOOKUP(A224&amp;"aaaaaa",COPY!$S$2:$AA$1000,2,FALSE)," ")</f>
        <v xml:space="preserve"> </v>
      </c>
      <c r="T224" s="75" t="str">
        <f>IFERROR(VLOOKUP(A224&amp;"aaaaaaa",COPY!$S$2:$AA$1000,2,FALSE)," ")</f>
        <v xml:space="preserve"> </v>
      </c>
      <c r="U224" s="75" t="str">
        <f>IFERROR(VLOOKUP(A224&amp;"aaaaaaaa",COPY!$S$2:$AA$1000,2,FALSE)," ")</f>
        <v xml:space="preserve"> </v>
      </c>
      <c r="V224" s="75" t="str">
        <f>IFERROR(VLOOKUP(A224&amp;"aaaaaaaaa",COPY!$S$2:$AA$1000,2,FALSE)," ")</f>
        <v xml:space="preserve"> </v>
      </c>
      <c r="W224" s="75" t="str">
        <f>IFERROR(VLOOKUP(A224&amp;"aaaaaaaaaa",COPY!$S$2:$AA$1000,2,FALSE)," ")</f>
        <v xml:space="preserve"> </v>
      </c>
      <c r="X224" s="75" t="str">
        <f>IFERROR(VLOOKUP(A224&amp;"aaaaaaaaaaa",COPY!$S$2:$AA$1000,2,FALSE)," ")</f>
        <v xml:space="preserve"> </v>
      </c>
      <c r="Y224" s="90" t="str">
        <f>IF(OR(LEFT(B224,2)="mg",LEFT(B224,2)="mE"),VLOOKUP(A224,COPY!$S$2:$AA$1000,6,FALSE),IF(LEFT(B224,1)="G"," ",IF(LEFT(B224,2)="ma"," "," ")))</f>
        <v xml:space="preserve"> </v>
      </c>
      <c r="Z224" s="90" t="str">
        <f>IFERROR(VLOOKUP(A224&amp;"a",COPY!$S$2:$AA$1000,6,FALSE)," ")</f>
        <v xml:space="preserve"> </v>
      </c>
      <c r="AA224" s="90" t="str">
        <f>IFERROR(VLOOKUP(A224&amp;"aa",COPY!$S$2:$AA$1000,6,FALSE)," ")</f>
        <v xml:space="preserve"> </v>
      </c>
      <c r="AB224" s="90" t="str">
        <f>IFERROR(VLOOKUP(A224&amp;"aaa",COPY!$S$2:$AA$1000,6,FALSE)," ")</f>
        <v xml:space="preserve"> </v>
      </c>
      <c r="AC224" s="90" t="str">
        <f>IFERROR(VLOOKUP(A224&amp;"aaaa",COPY!$S$2:$AA$1000,6,FALSE)," ")</f>
        <v xml:space="preserve"> </v>
      </c>
      <c r="AD224" s="90" t="str">
        <f>IFERROR(VLOOKUP(A224&amp;"aaaaa",COPY!$S$2:$AA$1000,6,FALSE)," ")</f>
        <v xml:space="preserve"> </v>
      </c>
      <c r="AE224" s="90" t="str">
        <f>IFERROR(VLOOKUP(A224&amp;"aaaaaa",COPY!$S$2:$AA$1000,6,FALSE)," ")</f>
        <v xml:space="preserve"> </v>
      </c>
      <c r="AF224" s="90" t="str">
        <f>IFERROR(VLOOKUP(A224&amp;"aaaaaaa",COPY!$S$2:$AA$1000,6,FALSE)," ")</f>
        <v xml:space="preserve"> </v>
      </c>
      <c r="AG224" s="90" t="str">
        <f>IFERROR(VLOOKUP(A224&amp;"aaaaaaaa",COPY!$S$2:$AA$1000,6,FALSE)," ")</f>
        <v xml:space="preserve"> </v>
      </c>
      <c r="AH224" s="90" t="str">
        <f>IFERROR(VLOOKUP(A224&amp;"aaaaaaaaa",COPY!$S$2:$AA$1000,6,FALSE)," ")</f>
        <v xml:space="preserve"> </v>
      </c>
      <c r="AI224" s="90" t="str">
        <f>IFERROR(VLOOKUP(A224&amp;"aaaaaaaaaa",COPY!$S$2:$AA$1000,6,FALSE)," ")</f>
        <v xml:space="preserve"> </v>
      </c>
      <c r="AJ224" s="90" t="str">
        <f>IFERROR(VLOOKUP(A224&amp;"aaaaaaaaaaa",COPY!$S$2:$AA$1000,6,FALSE)," ")</f>
        <v xml:space="preserve"> </v>
      </c>
      <c r="AK224" s="90" t="str">
        <f>IF(LEFT(B224,2)="mg",VLOOKUP(A224,COPY!$S$2:$AA$1000,7,FALSE),IF(LEFT(B224,1)="G"," ",IF(LEFT(B224,2)="ma"," "," ")))</f>
        <v xml:space="preserve"> </v>
      </c>
      <c r="AL224" s="90" t="str">
        <f>IFERROR(VLOOKUP(A224&amp;"a",COPY!$S$2:$AA$1000,7,FALSE)," ")</f>
        <v xml:space="preserve"> </v>
      </c>
      <c r="AM224" s="90" t="str">
        <f>IFERROR(VLOOKUP(A224&amp;"aa",COPY!$S$2:$AA$1000,7,FALSE)," ")</f>
        <v xml:space="preserve"> </v>
      </c>
      <c r="AN224" s="90" t="str">
        <f>IFERROR(VLOOKUP(A224&amp;"aaa",COPY!$S$2:$AA$1000,7,FALSE)," ")</f>
        <v xml:space="preserve"> </v>
      </c>
      <c r="AO224" s="90" t="str">
        <f>IFERROR(VLOOKUP(A224&amp;"aaaa",COPY!$S$2:$AA$1000,7,FALSE)," ")</f>
        <v xml:space="preserve"> </v>
      </c>
      <c r="AP224" s="90" t="str">
        <f>IFERROR(VLOOKUP(A224&amp;"aaaaa",COPY!$S$2:$AA$1000,7,FALSE)," ")</f>
        <v xml:space="preserve"> </v>
      </c>
      <c r="AQ224" s="90" t="str">
        <f>IFERROR(VLOOKUP(A224&amp;"aaaaaa",COPY!$S$2:$AA$1000,7,FALSE)," ")</f>
        <v xml:space="preserve"> </v>
      </c>
      <c r="AR224" s="90" t="str">
        <f>IFERROR(VLOOKUP(A224&amp;"aaaaaaa",COPY!$S$2:$AA$1000,7,FALSE)," ")</f>
        <v xml:space="preserve"> </v>
      </c>
      <c r="AS224" s="90" t="str">
        <f>IFERROR(VLOOKUP(A224&amp;"aaaaaaaa",COPY!$S$2:$AA$1000,7,FALSE)," ")</f>
        <v xml:space="preserve"> </v>
      </c>
      <c r="AT224" s="90" t="str">
        <f>IFERROR(VLOOKUP(A224&amp;"aaaaaaaaa",COPY!$S$2:$AA$1000,7,FALSE)," ")</f>
        <v xml:space="preserve"> </v>
      </c>
      <c r="AU224" s="90" t="str">
        <f>IFERROR(VLOOKUP(A224&amp;"aaaaaaaaaa",COPY!$S$2:$AA$1000,7,FALSE)," ")</f>
        <v xml:space="preserve"> </v>
      </c>
      <c r="AV224" s="90" t="str">
        <f>IFERROR(VLOOKUP(A224&amp;"aaaaaaaaaaa",COPY!$S$2:$AA$1000,7,FALSE)," ")</f>
        <v xml:space="preserve"> </v>
      </c>
    </row>
    <row r="225" spans="1:48" x14ac:dyDescent="0.2">
      <c r="A225" s="75" t="str">
        <f>'REKAP PAJAK'!W262</f>
        <v/>
      </c>
      <c r="B225" s="75" t="str">
        <f>IF(LEN(A225)&gt;1,VLOOKUP(A225,COPY!$O$2:$R$1000,4,FALSE),"")</f>
        <v/>
      </c>
      <c r="C225" s="75" t="str">
        <f t="shared" si="18"/>
        <v xml:space="preserve"> </v>
      </c>
      <c r="D225" s="75" t="str">
        <f t="shared" si="19"/>
        <v xml:space="preserve"> </v>
      </c>
      <c r="E225" s="75" t="str">
        <f t="shared" si="20"/>
        <v xml:space="preserve"> </v>
      </c>
      <c r="F225" s="75" t="str">
        <f t="shared" si="21"/>
        <v xml:space="preserve"> </v>
      </c>
      <c r="H225" s="75" t="str">
        <f t="shared" si="22"/>
        <v xml:space="preserve"> </v>
      </c>
      <c r="I225" s="75" t="str">
        <f t="shared" si="23"/>
        <v xml:space="preserve"> </v>
      </c>
      <c r="J225" s="90" t="str">
        <f>IFERROR(VLOOKUP(A225,COPY!$S$2:$W$1000,4,FALSE)," ")</f>
        <v xml:space="preserve"> </v>
      </c>
      <c r="K225" s="75" t="str">
        <f>IFERROR(VLOOKUP(A225,COPY!$S$2:$W$1000,5,FALSE)," ")</f>
        <v xml:space="preserve"> </v>
      </c>
      <c r="L225" s="75" t="str">
        <f>IF(B225="","",IF(LEFT(B225,2)="Ma",(VLOOKUP(B225,'Rekap Gaji'!$C$12:$D$26,2,FALSE))&amp;" Untuk "&amp;(PROPER('Rekap Gaji'!$B$2)),IF(LEFT(B225,2)="Mg","Pembelian Material Bahan Bangunan",IF(LEFT(B225,2)="Me","Biaya Pembelanjaan Menejemen",IF(LEFT(B225,1)="G",VLOOKUP(A225,COPY!$S$2:$AA$1000,2,FALSE)&amp;"( "&amp;TEXT(VLOOKUP(B225,'Rekap Gaji'!$A$12:$I$26,5,FALSE),"dd-mm-yyyy")&amp;" "&amp;TEXT(VLOOKUP(B225,'Rekap Gaji'!$A$12:$I$26,6,FALSE)&amp;" "&amp;TEXT(VLOOKUP(B225,'Rekap Gaji'!$A$12:$I$26,7,FALSE),"dd-mm-yyyy")&amp;" )"," "))))))</f>
        <v/>
      </c>
      <c r="M225" s="75" t="str">
        <f>IF(OR(LEFT(B225,2)="mg",LEFT(B225,2)="mE"),VLOOKUP(A225,COPY!$S$2:$AA$1000,2,FALSE),IF(LEFT(B225,1)="G"," ",IF(LEFT(B225,2)="ma"," "," ")))</f>
        <v xml:space="preserve"> </v>
      </c>
      <c r="N225" s="75" t="str">
        <f>IFERROR(VLOOKUP(A225&amp;"a",COPY!$S$2:$AA$1000,2,FALSE)," ")</f>
        <v xml:space="preserve"> </v>
      </c>
      <c r="O225" s="75" t="str">
        <f>IFERROR(VLOOKUP(A225&amp;"aa",COPY!$S$2:$AA$1000,2,FALSE)," ")</f>
        <v xml:space="preserve"> </v>
      </c>
      <c r="P225" s="75" t="str">
        <f>IFERROR(VLOOKUP(A225&amp;"aaa",COPY!$S$2:$AA$1000,2,FALSE)," ")</f>
        <v xml:space="preserve"> </v>
      </c>
      <c r="Q225" s="75" t="str">
        <f>IFERROR(VLOOKUP(A225&amp;"aaaa",COPY!$S$2:$AA$1000,2,FALSE)," ")</f>
        <v xml:space="preserve"> </v>
      </c>
      <c r="R225" s="75" t="str">
        <f>IFERROR(VLOOKUP(A225&amp;"aaaaa",COPY!$S$2:$AA$1000,2,FALSE)," ")</f>
        <v xml:space="preserve"> </v>
      </c>
      <c r="S225" s="75" t="str">
        <f>IFERROR(VLOOKUP(A225&amp;"aaaaaa",COPY!$S$2:$AA$1000,2,FALSE)," ")</f>
        <v xml:space="preserve"> </v>
      </c>
      <c r="T225" s="75" t="str">
        <f>IFERROR(VLOOKUP(A225&amp;"aaaaaaa",COPY!$S$2:$AA$1000,2,FALSE)," ")</f>
        <v xml:space="preserve"> </v>
      </c>
      <c r="U225" s="75" t="str">
        <f>IFERROR(VLOOKUP(A225&amp;"aaaaaaaa",COPY!$S$2:$AA$1000,2,FALSE)," ")</f>
        <v xml:space="preserve"> </v>
      </c>
      <c r="V225" s="75" t="str">
        <f>IFERROR(VLOOKUP(A225&amp;"aaaaaaaaa",COPY!$S$2:$AA$1000,2,FALSE)," ")</f>
        <v xml:space="preserve"> </v>
      </c>
      <c r="W225" s="75" t="str">
        <f>IFERROR(VLOOKUP(A225&amp;"aaaaaaaaaa",COPY!$S$2:$AA$1000,2,FALSE)," ")</f>
        <v xml:space="preserve"> </v>
      </c>
      <c r="X225" s="75" t="str">
        <f>IFERROR(VLOOKUP(A225&amp;"aaaaaaaaaaa",COPY!$S$2:$AA$1000,2,FALSE)," ")</f>
        <v xml:space="preserve"> </v>
      </c>
      <c r="Y225" s="90" t="str">
        <f>IF(OR(LEFT(B225,2)="mg",LEFT(B225,2)="mE"),VLOOKUP(A225,COPY!$S$2:$AA$1000,6,FALSE),IF(LEFT(B225,1)="G"," ",IF(LEFT(B225,2)="ma"," "," ")))</f>
        <v xml:space="preserve"> </v>
      </c>
      <c r="Z225" s="90" t="str">
        <f>IFERROR(VLOOKUP(A225&amp;"a",COPY!$S$2:$AA$1000,6,FALSE)," ")</f>
        <v xml:space="preserve"> </v>
      </c>
      <c r="AA225" s="90" t="str">
        <f>IFERROR(VLOOKUP(A225&amp;"aa",COPY!$S$2:$AA$1000,6,FALSE)," ")</f>
        <v xml:space="preserve"> </v>
      </c>
      <c r="AB225" s="90" t="str">
        <f>IFERROR(VLOOKUP(A225&amp;"aaa",COPY!$S$2:$AA$1000,6,FALSE)," ")</f>
        <v xml:space="preserve"> </v>
      </c>
      <c r="AC225" s="90" t="str">
        <f>IFERROR(VLOOKUP(A225&amp;"aaaa",COPY!$S$2:$AA$1000,6,FALSE)," ")</f>
        <v xml:space="preserve"> </v>
      </c>
      <c r="AD225" s="90" t="str">
        <f>IFERROR(VLOOKUP(A225&amp;"aaaaa",COPY!$S$2:$AA$1000,6,FALSE)," ")</f>
        <v xml:space="preserve"> </v>
      </c>
      <c r="AE225" s="90" t="str">
        <f>IFERROR(VLOOKUP(A225&amp;"aaaaaa",COPY!$S$2:$AA$1000,6,FALSE)," ")</f>
        <v xml:space="preserve"> </v>
      </c>
      <c r="AF225" s="90" t="str">
        <f>IFERROR(VLOOKUP(A225&amp;"aaaaaaa",COPY!$S$2:$AA$1000,6,FALSE)," ")</f>
        <v xml:space="preserve"> </v>
      </c>
      <c r="AG225" s="90" t="str">
        <f>IFERROR(VLOOKUP(A225&amp;"aaaaaaaa",COPY!$S$2:$AA$1000,6,FALSE)," ")</f>
        <v xml:space="preserve"> </v>
      </c>
      <c r="AH225" s="90" t="str">
        <f>IFERROR(VLOOKUP(A225&amp;"aaaaaaaaa",COPY!$S$2:$AA$1000,6,FALSE)," ")</f>
        <v xml:space="preserve"> </v>
      </c>
      <c r="AI225" s="90" t="str">
        <f>IFERROR(VLOOKUP(A225&amp;"aaaaaaaaaa",COPY!$S$2:$AA$1000,6,FALSE)," ")</f>
        <v xml:space="preserve"> </v>
      </c>
      <c r="AJ225" s="90" t="str">
        <f>IFERROR(VLOOKUP(A225&amp;"aaaaaaaaaaa",COPY!$S$2:$AA$1000,6,FALSE)," ")</f>
        <v xml:space="preserve"> </v>
      </c>
      <c r="AK225" s="90" t="str">
        <f>IF(LEFT(B225,2)="mg",VLOOKUP(A225,COPY!$S$2:$AA$1000,7,FALSE),IF(LEFT(B225,1)="G"," ",IF(LEFT(B225,2)="ma"," "," ")))</f>
        <v xml:space="preserve"> </v>
      </c>
      <c r="AL225" s="90" t="str">
        <f>IFERROR(VLOOKUP(A225&amp;"a",COPY!$S$2:$AA$1000,7,FALSE)," ")</f>
        <v xml:space="preserve"> </v>
      </c>
      <c r="AM225" s="90" t="str">
        <f>IFERROR(VLOOKUP(A225&amp;"aa",COPY!$S$2:$AA$1000,7,FALSE)," ")</f>
        <v xml:space="preserve"> </v>
      </c>
      <c r="AN225" s="90" t="str">
        <f>IFERROR(VLOOKUP(A225&amp;"aaa",COPY!$S$2:$AA$1000,7,FALSE)," ")</f>
        <v xml:space="preserve"> </v>
      </c>
      <c r="AO225" s="90" t="str">
        <f>IFERROR(VLOOKUP(A225&amp;"aaaa",COPY!$S$2:$AA$1000,7,FALSE)," ")</f>
        <v xml:space="preserve"> </v>
      </c>
      <c r="AP225" s="90" t="str">
        <f>IFERROR(VLOOKUP(A225&amp;"aaaaa",COPY!$S$2:$AA$1000,7,FALSE)," ")</f>
        <v xml:space="preserve"> </v>
      </c>
      <c r="AQ225" s="90" t="str">
        <f>IFERROR(VLOOKUP(A225&amp;"aaaaaa",COPY!$S$2:$AA$1000,7,FALSE)," ")</f>
        <v xml:space="preserve"> </v>
      </c>
      <c r="AR225" s="90" t="str">
        <f>IFERROR(VLOOKUP(A225&amp;"aaaaaaa",COPY!$S$2:$AA$1000,7,FALSE)," ")</f>
        <v xml:space="preserve"> </v>
      </c>
      <c r="AS225" s="90" t="str">
        <f>IFERROR(VLOOKUP(A225&amp;"aaaaaaaa",COPY!$S$2:$AA$1000,7,FALSE)," ")</f>
        <v xml:space="preserve"> </v>
      </c>
      <c r="AT225" s="90" t="str">
        <f>IFERROR(VLOOKUP(A225&amp;"aaaaaaaaa",COPY!$S$2:$AA$1000,7,FALSE)," ")</f>
        <v xml:space="preserve"> </v>
      </c>
      <c r="AU225" s="90" t="str">
        <f>IFERROR(VLOOKUP(A225&amp;"aaaaaaaaaa",COPY!$S$2:$AA$1000,7,FALSE)," ")</f>
        <v xml:space="preserve"> </v>
      </c>
      <c r="AV225" s="90" t="str">
        <f>IFERROR(VLOOKUP(A225&amp;"aaaaaaaaaaa",COPY!$S$2:$AA$1000,7,FALSE)," ")</f>
        <v xml:space="preserve"> </v>
      </c>
    </row>
    <row r="226" spans="1:48" x14ac:dyDescent="0.2">
      <c r="A226" s="75" t="str">
        <f>'REKAP PAJAK'!W263</f>
        <v/>
      </c>
      <c r="B226" s="75" t="str">
        <f>IF(LEN(A226)&gt;1,VLOOKUP(A226,COPY!$O$2:$R$1000,4,FALSE),"")</f>
        <v/>
      </c>
      <c r="C226" s="75" t="str">
        <f t="shared" si="18"/>
        <v xml:space="preserve"> </v>
      </c>
      <c r="D226" s="75" t="str">
        <f t="shared" si="19"/>
        <v xml:space="preserve"> </v>
      </c>
      <c r="E226" s="75" t="str">
        <f t="shared" si="20"/>
        <v xml:space="preserve"> </v>
      </c>
      <c r="F226" s="75" t="str">
        <f t="shared" si="21"/>
        <v xml:space="preserve"> </v>
      </c>
      <c r="H226" s="75" t="str">
        <f t="shared" si="22"/>
        <v xml:space="preserve"> </v>
      </c>
      <c r="I226" s="75" t="str">
        <f t="shared" si="23"/>
        <v xml:space="preserve"> </v>
      </c>
      <c r="J226" s="90" t="str">
        <f>IFERROR(VLOOKUP(A226,COPY!$S$2:$W$1000,4,FALSE)," ")</f>
        <v xml:space="preserve"> </v>
      </c>
      <c r="K226" s="75" t="str">
        <f>IFERROR(VLOOKUP(A226,COPY!$S$2:$W$1000,5,FALSE)," ")</f>
        <v xml:space="preserve"> </v>
      </c>
      <c r="L226" s="75" t="str">
        <f>IF(B226="","",IF(LEFT(B226,2)="Ma",(VLOOKUP(B226,'Rekap Gaji'!$C$12:$D$26,2,FALSE))&amp;" Untuk "&amp;(PROPER('Rekap Gaji'!$B$2)),IF(LEFT(B226,2)="Mg","Pembelian Material Bahan Bangunan",IF(LEFT(B226,2)="Me","Biaya Pembelanjaan Menejemen",IF(LEFT(B226,1)="G",VLOOKUP(A226,COPY!$S$2:$AA$1000,2,FALSE)&amp;"( "&amp;TEXT(VLOOKUP(B226,'Rekap Gaji'!$A$12:$I$26,5,FALSE),"dd-mm-yyyy")&amp;" "&amp;TEXT(VLOOKUP(B226,'Rekap Gaji'!$A$12:$I$26,6,FALSE)&amp;" "&amp;TEXT(VLOOKUP(B226,'Rekap Gaji'!$A$12:$I$26,7,FALSE),"dd-mm-yyyy")&amp;" )"," "))))))</f>
        <v/>
      </c>
      <c r="M226" s="75" t="str">
        <f>IF(OR(LEFT(B226,2)="mg",LEFT(B226,2)="mE"),VLOOKUP(A226,COPY!$S$2:$AA$1000,2,FALSE),IF(LEFT(B226,1)="G"," ",IF(LEFT(B226,2)="ma"," "," ")))</f>
        <v xml:space="preserve"> </v>
      </c>
      <c r="N226" s="75" t="str">
        <f>IFERROR(VLOOKUP(A226&amp;"a",COPY!$S$2:$AA$1000,2,FALSE)," ")</f>
        <v xml:space="preserve"> </v>
      </c>
      <c r="O226" s="75" t="str">
        <f>IFERROR(VLOOKUP(A226&amp;"aa",COPY!$S$2:$AA$1000,2,FALSE)," ")</f>
        <v xml:space="preserve"> </v>
      </c>
      <c r="P226" s="75" t="str">
        <f>IFERROR(VLOOKUP(A226&amp;"aaa",COPY!$S$2:$AA$1000,2,FALSE)," ")</f>
        <v xml:space="preserve"> </v>
      </c>
      <c r="Q226" s="75" t="str">
        <f>IFERROR(VLOOKUP(A226&amp;"aaaa",COPY!$S$2:$AA$1000,2,FALSE)," ")</f>
        <v xml:space="preserve"> </v>
      </c>
      <c r="R226" s="75" t="str">
        <f>IFERROR(VLOOKUP(A226&amp;"aaaaa",COPY!$S$2:$AA$1000,2,FALSE)," ")</f>
        <v xml:space="preserve"> </v>
      </c>
      <c r="S226" s="75" t="str">
        <f>IFERROR(VLOOKUP(A226&amp;"aaaaaa",COPY!$S$2:$AA$1000,2,FALSE)," ")</f>
        <v xml:space="preserve"> </v>
      </c>
      <c r="T226" s="75" t="str">
        <f>IFERROR(VLOOKUP(A226&amp;"aaaaaaa",COPY!$S$2:$AA$1000,2,FALSE)," ")</f>
        <v xml:space="preserve"> </v>
      </c>
      <c r="U226" s="75" t="str">
        <f>IFERROR(VLOOKUP(A226&amp;"aaaaaaaa",COPY!$S$2:$AA$1000,2,FALSE)," ")</f>
        <v xml:space="preserve"> </v>
      </c>
      <c r="V226" s="75" t="str">
        <f>IFERROR(VLOOKUP(A226&amp;"aaaaaaaaa",COPY!$S$2:$AA$1000,2,FALSE)," ")</f>
        <v xml:space="preserve"> </v>
      </c>
      <c r="W226" s="75" t="str">
        <f>IFERROR(VLOOKUP(A226&amp;"aaaaaaaaaa",COPY!$S$2:$AA$1000,2,FALSE)," ")</f>
        <v xml:space="preserve"> </v>
      </c>
      <c r="X226" s="75" t="str">
        <f>IFERROR(VLOOKUP(A226&amp;"aaaaaaaaaaa",COPY!$S$2:$AA$1000,2,FALSE)," ")</f>
        <v xml:space="preserve"> </v>
      </c>
      <c r="Y226" s="90" t="str">
        <f>IF(OR(LEFT(B226,2)="mg",LEFT(B226,2)="mE"),VLOOKUP(A226,COPY!$S$2:$AA$1000,6,FALSE),IF(LEFT(B226,1)="G"," ",IF(LEFT(B226,2)="ma"," "," ")))</f>
        <v xml:space="preserve"> </v>
      </c>
      <c r="Z226" s="90" t="str">
        <f>IFERROR(VLOOKUP(A226&amp;"a",COPY!$S$2:$AA$1000,6,FALSE)," ")</f>
        <v xml:space="preserve"> </v>
      </c>
      <c r="AA226" s="90" t="str">
        <f>IFERROR(VLOOKUP(A226&amp;"aa",COPY!$S$2:$AA$1000,6,FALSE)," ")</f>
        <v xml:space="preserve"> </v>
      </c>
      <c r="AB226" s="90" t="str">
        <f>IFERROR(VLOOKUP(A226&amp;"aaa",COPY!$S$2:$AA$1000,6,FALSE)," ")</f>
        <v xml:space="preserve"> </v>
      </c>
      <c r="AC226" s="90" t="str">
        <f>IFERROR(VLOOKUP(A226&amp;"aaaa",COPY!$S$2:$AA$1000,6,FALSE)," ")</f>
        <v xml:space="preserve"> </v>
      </c>
      <c r="AD226" s="90" t="str">
        <f>IFERROR(VLOOKUP(A226&amp;"aaaaa",COPY!$S$2:$AA$1000,6,FALSE)," ")</f>
        <v xml:space="preserve"> </v>
      </c>
      <c r="AE226" s="90" t="str">
        <f>IFERROR(VLOOKUP(A226&amp;"aaaaaa",COPY!$S$2:$AA$1000,6,FALSE)," ")</f>
        <v xml:space="preserve"> </v>
      </c>
      <c r="AF226" s="90" t="str">
        <f>IFERROR(VLOOKUP(A226&amp;"aaaaaaa",COPY!$S$2:$AA$1000,6,FALSE)," ")</f>
        <v xml:space="preserve"> </v>
      </c>
      <c r="AG226" s="90" t="str">
        <f>IFERROR(VLOOKUP(A226&amp;"aaaaaaaa",COPY!$S$2:$AA$1000,6,FALSE)," ")</f>
        <v xml:space="preserve"> </v>
      </c>
      <c r="AH226" s="90" t="str">
        <f>IFERROR(VLOOKUP(A226&amp;"aaaaaaaaa",COPY!$S$2:$AA$1000,6,FALSE)," ")</f>
        <v xml:space="preserve"> </v>
      </c>
      <c r="AI226" s="90" t="str">
        <f>IFERROR(VLOOKUP(A226&amp;"aaaaaaaaaa",COPY!$S$2:$AA$1000,6,FALSE)," ")</f>
        <v xml:space="preserve"> </v>
      </c>
      <c r="AJ226" s="90" t="str">
        <f>IFERROR(VLOOKUP(A226&amp;"aaaaaaaaaaa",COPY!$S$2:$AA$1000,6,FALSE)," ")</f>
        <v xml:space="preserve"> </v>
      </c>
      <c r="AK226" s="90" t="str">
        <f>IF(LEFT(B226,2)="mg",VLOOKUP(A226,COPY!$S$2:$AA$1000,7,FALSE),IF(LEFT(B226,1)="G"," ",IF(LEFT(B226,2)="ma"," "," ")))</f>
        <v xml:space="preserve"> </v>
      </c>
      <c r="AL226" s="90" t="str">
        <f>IFERROR(VLOOKUP(A226&amp;"a",COPY!$S$2:$AA$1000,7,FALSE)," ")</f>
        <v xml:space="preserve"> </v>
      </c>
      <c r="AM226" s="90" t="str">
        <f>IFERROR(VLOOKUP(A226&amp;"aa",COPY!$S$2:$AA$1000,7,FALSE)," ")</f>
        <v xml:space="preserve"> </v>
      </c>
      <c r="AN226" s="90" t="str">
        <f>IFERROR(VLOOKUP(A226&amp;"aaa",COPY!$S$2:$AA$1000,7,FALSE)," ")</f>
        <v xml:space="preserve"> </v>
      </c>
      <c r="AO226" s="90" t="str">
        <f>IFERROR(VLOOKUP(A226&amp;"aaaa",COPY!$S$2:$AA$1000,7,FALSE)," ")</f>
        <v xml:space="preserve"> </v>
      </c>
      <c r="AP226" s="90" t="str">
        <f>IFERROR(VLOOKUP(A226&amp;"aaaaa",COPY!$S$2:$AA$1000,7,FALSE)," ")</f>
        <v xml:space="preserve"> </v>
      </c>
      <c r="AQ226" s="90" t="str">
        <f>IFERROR(VLOOKUP(A226&amp;"aaaaaa",COPY!$S$2:$AA$1000,7,FALSE)," ")</f>
        <v xml:space="preserve"> </v>
      </c>
      <c r="AR226" s="90" t="str">
        <f>IFERROR(VLOOKUP(A226&amp;"aaaaaaa",COPY!$S$2:$AA$1000,7,FALSE)," ")</f>
        <v xml:space="preserve"> </v>
      </c>
      <c r="AS226" s="90" t="str">
        <f>IFERROR(VLOOKUP(A226&amp;"aaaaaaaa",COPY!$S$2:$AA$1000,7,FALSE)," ")</f>
        <v xml:space="preserve"> </v>
      </c>
      <c r="AT226" s="90" t="str">
        <f>IFERROR(VLOOKUP(A226&amp;"aaaaaaaaa",COPY!$S$2:$AA$1000,7,FALSE)," ")</f>
        <v xml:space="preserve"> </v>
      </c>
      <c r="AU226" s="90" t="str">
        <f>IFERROR(VLOOKUP(A226&amp;"aaaaaaaaaa",COPY!$S$2:$AA$1000,7,FALSE)," ")</f>
        <v xml:space="preserve"> </v>
      </c>
      <c r="AV226" s="90" t="str">
        <f>IFERROR(VLOOKUP(A226&amp;"aaaaaaaaaaa",COPY!$S$2:$AA$1000,7,FALSE)," ")</f>
        <v xml:space="preserve"> </v>
      </c>
    </row>
    <row r="227" spans="1:48" x14ac:dyDescent="0.2">
      <c r="A227" s="75" t="str">
        <f>'REKAP PAJAK'!W264</f>
        <v/>
      </c>
      <c r="B227" s="75" t="str">
        <f>IF(LEN(A227)&gt;1,VLOOKUP(A227,COPY!$O$2:$R$1000,4,FALSE),"")</f>
        <v/>
      </c>
      <c r="C227" s="75" t="str">
        <f t="shared" si="18"/>
        <v xml:space="preserve"> </v>
      </c>
      <c r="D227" s="75" t="str">
        <f t="shared" si="19"/>
        <v xml:space="preserve"> </v>
      </c>
      <c r="E227" s="75" t="str">
        <f t="shared" si="20"/>
        <v xml:space="preserve"> </v>
      </c>
      <c r="F227" s="75" t="str">
        <f t="shared" si="21"/>
        <v xml:space="preserve"> </v>
      </c>
      <c r="H227" s="75" t="str">
        <f t="shared" si="22"/>
        <v xml:space="preserve"> </v>
      </c>
      <c r="I227" s="75" t="str">
        <f t="shared" si="23"/>
        <v xml:space="preserve"> </v>
      </c>
      <c r="J227" s="90" t="str">
        <f>IFERROR(VLOOKUP(A227,COPY!$S$2:$W$1000,4,FALSE)," ")</f>
        <v xml:space="preserve"> </v>
      </c>
      <c r="K227" s="75" t="str">
        <f>IFERROR(VLOOKUP(A227,COPY!$S$2:$W$1000,5,FALSE)," ")</f>
        <v xml:space="preserve"> </v>
      </c>
      <c r="L227" s="75" t="str">
        <f>IF(B227="","",IF(LEFT(B227,2)="Ma",(VLOOKUP(B227,'Rekap Gaji'!$C$12:$D$26,2,FALSE))&amp;" Untuk "&amp;(PROPER('Rekap Gaji'!$B$2)),IF(LEFT(B227,2)="Mg","Pembelian Material Bahan Bangunan",IF(LEFT(B227,2)="Me","Biaya Pembelanjaan Menejemen",IF(LEFT(B227,1)="G",VLOOKUP(A227,COPY!$S$2:$AA$1000,2,FALSE)&amp;"( "&amp;TEXT(VLOOKUP(B227,'Rekap Gaji'!$A$12:$I$26,5,FALSE),"dd-mm-yyyy")&amp;" "&amp;TEXT(VLOOKUP(B227,'Rekap Gaji'!$A$12:$I$26,6,FALSE)&amp;" "&amp;TEXT(VLOOKUP(B227,'Rekap Gaji'!$A$12:$I$26,7,FALSE),"dd-mm-yyyy")&amp;" )"," "))))))</f>
        <v/>
      </c>
      <c r="M227" s="75" t="str">
        <f>IF(OR(LEFT(B227,2)="mg",LEFT(B227,2)="mE"),VLOOKUP(A227,COPY!$S$2:$AA$1000,2,FALSE),IF(LEFT(B227,1)="G"," ",IF(LEFT(B227,2)="ma"," "," ")))</f>
        <v xml:space="preserve"> </v>
      </c>
      <c r="N227" s="75" t="str">
        <f>IFERROR(VLOOKUP(A227&amp;"a",COPY!$S$2:$AA$1000,2,FALSE)," ")</f>
        <v xml:space="preserve"> </v>
      </c>
      <c r="O227" s="75" t="str">
        <f>IFERROR(VLOOKUP(A227&amp;"aa",COPY!$S$2:$AA$1000,2,FALSE)," ")</f>
        <v xml:space="preserve"> </v>
      </c>
      <c r="P227" s="75" t="str">
        <f>IFERROR(VLOOKUP(A227&amp;"aaa",COPY!$S$2:$AA$1000,2,FALSE)," ")</f>
        <v xml:space="preserve"> </v>
      </c>
      <c r="Q227" s="75" t="str">
        <f>IFERROR(VLOOKUP(A227&amp;"aaaa",COPY!$S$2:$AA$1000,2,FALSE)," ")</f>
        <v xml:space="preserve"> </v>
      </c>
      <c r="R227" s="75" t="str">
        <f>IFERROR(VLOOKUP(A227&amp;"aaaaa",COPY!$S$2:$AA$1000,2,FALSE)," ")</f>
        <v xml:space="preserve"> </v>
      </c>
      <c r="S227" s="75" t="str">
        <f>IFERROR(VLOOKUP(A227&amp;"aaaaaa",COPY!$S$2:$AA$1000,2,FALSE)," ")</f>
        <v xml:space="preserve"> </v>
      </c>
      <c r="T227" s="75" t="str">
        <f>IFERROR(VLOOKUP(A227&amp;"aaaaaaa",COPY!$S$2:$AA$1000,2,FALSE)," ")</f>
        <v xml:space="preserve"> </v>
      </c>
      <c r="U227" s="75" t="str">
        <f>IFERROR(VLOOKUP(A227&amp;"aaaaaaaa",COPY!$S$2:$AA$1000,2,FALSE)," ")</f>
        <v xml:space="preserve"> </v>
      </c>
      <c r="V227" s="75" t="str">
        <f>IFERROR(VLOOKUP(A227&amp;"aaaaaaaaa",COPY!$S$2:$AA$1000,2,FALSE)," ")</f>
        <v xml:space="preserve"> </v>
      </c>
      <c r="W227" s="75" t="str">
        <f>IFERROR(VLOOKUP(A227&amp;"aaaaaaaaaa",COPY!$S$2:$AA$1000,2,FALSE)," ")</f>
        <v xml:space="preserve"> </v>
      </c>
      <c r="X227" s="75" t="str">
        <f>IFERROR(VLOOKUP(A227&amp;"aaaaaaaaaaa",COPY!$S$2:$AA$1000,2,FALSE)," ")</f>
        <v xml:space="preserve"> </v>
      </c>
      <c r="Y227" s="90" t="str">
        <f>IF(OR(LEFT(B227,2)="mg",LEFT(B227,2)="mE"),VLOOKUP(A227,COPY!$S$2:$AA$1000,6,FALSE),IF(LEFT(B227,1)="G"," ",IF(LEFT(B227,2)="ma"," "," ")))</f>
        <v xml:space="preserve"> </v>
      </c>
      <c r="Z227" s="90" t="str">
        <f>IFERROR(VLOOKUP(A227&amp;"a",COPY!$S$2:$AA$1000,6,FALSE)," ")</f>
        <v xml:space="preserve"> </v>
      </c>
      <c r="AA227" s="90" t="str">
        <f>IFERROR(VLOOKUP(A227&amp;"aa",COPY!$S$2:$AA$1000,6,FALSE)," ")</f>
        <v xml:space="preserve"> </v>
      </c>
      <c r="AB227" s="90" t="str">
        <f>IFERROR(VLOOKUP(A227&amp;"aaa",COPY!$S$2:$AA$1000,6,FALSE)," ")</f>
        <v xml:space="preserve"> </v>
      </c>
      <c r="AC227" s="90" t="str">
        <f>IFERROR(VLOOKUP(A227&amp;"aaaa",COPY!$S$2:$AA$1000,6,FALSE)," ")</f>
        <v xml:space="preserve"> </v>
      </c>
      <c r="AD227" s="90" t="str">
        <f>IFERROR(VLOOKUP(A227&amp;"aaaaa",COPY!$S$2:$AA$1000,6,FALSE)," ")</f>
        <v xml:space="preserve"> </v>
      </c>
      <c r="AE227" s="90" t="str">
        <f>IFERROR(VLOOKUP(A227&amp;"aaaaaa",COPY!$S$2:$AA$1000,6,FALSE)," ")</f>
        <v xml:space="preserve"> </v>
      </c>
      <c r="AF227" s="90" t="str">
        <f>IFERROR(VLOOKUP(A227&amp;"aaaaaaa",COPY!$S$2:$AA$1000,6,FALSE)," ")</f>
        <v xml:space="preserve"> </v>
      </c>
      <c r="AG227" s="90" t="str">
        <f>IFERROR(VLOOKUP(A227&amp;"aaaaaaaa",COPY!$S$2:$AA$1000,6,FALSE)," ")</f>
        <v xml:space="preserve"> </v>
      </c>
      <c r="AH227" s="90" t="str">
        <f>IFERROR(VLOOKUP(A227&amp;"aaaaaaaaa",COPY!$S$2:$AA$1000,6,FALSE)," ")</f>
        <v xml:space="preserve"> </v>
      </c>
      <c r="AI227" s="90" t="str">
        <f>IFERROR(VLOOKUP(A227&amp;"aaaaaaaaaa",COPY!$S$2:$AA$1000,6,FALSE)," ")</f>
        <v xml:space="preserve"> </v>
      </c>
      <c r="AJ227" s="90" t="str">
        <f>IFERROR(VLOOKUP(A227&amp;"aaaaaaaaaaa",COPY!$S$2:$AA$1000,6,FALSE)," ")</f>
        <v xml:space="preserve"> </v>
      </c>
      <c r="AK227" s="90" t="str">
        <f>IF(LEFT(B227,2)="mg",VLOOKUP(A227,COPY!$S$2:$AA$1000,7,FALSE),IF(LEFT(B227,1)="G"," ",IF(LEFT(B227,2)="ma"," "," ")))</f>
        <v xml:space="preserve"> </v>
      </c>
      <c r="AL227" s="90" t="str">
        <f>IFERROR(VLOOKUP(A227&amp;"a",COPY!$S$2:$AA$1000,7,FALSE)," ")</f>
        <v xml:space="preserve"> </v>
      </c>
      <c r="AM227" s="90" t="str">
        <f>IFERROR(VLOOKUP(A227&amp;"aa",COPY!$S$2:$AA$1000,7,FALSE)," ")</f>
        <v xml:space="preserve"> </v>
      </c>
      <c r="AN227" s="90" t="str">
        <f>IFERROR(VLOOKUP(A227&amp;"aaa",COPY!$S$2:$AA$1000,7,FALSE)," ")</f>
        <v xml:space="preserve"> </v>
      </c>
      <c r="AO227" s="90" t="str">
        <f>IFERROR(VLOOKUP(A227&amp;"aaaa",COPY!$S$2:$AA$1000,7,FALSE)," ")</f>
        <v xml:space="preserve"> </v>
      </c>
      <c r="AP227" s="90" t="str">
        <f>IFERROR(VLOOKUP(A227&amp;"aaaaa",COPY!$S$2:$AA$1000,7,FALSE)," ")</f>
        <v xml:space="preserve"> </v>
      </c>
      <c r="AQ227" s="90" t="str">
        <f>IFERROR(VLOOKUP(A227&amp;"aaaaaa",COPY!$S$2:$AA$1000,7,FALSE)," ")</f>
        <v xml:space="preserve"> </v>
      </c>
      <c r="AR227" s="90" t="str">
        <f>IFERROR(VLOOKUP(A227&amp;"aaaaaaa",COPY!$S$2:$AA$1000,7,FALSE)," ")</f>
        <v xml:space="preserve"> </v>
      </c>
      <c r="AS227" s="90" t="str">
        <f>IFERROR(VLOOKUP(A227&amp;"aaaaaaaa",COPY!$S$2:$AA$1000,7,FALSE)," ")</f>
        <v xml:space="preserve"> </v>
      </c>
      <c r="AT227" s="90" t="str">
        <f>IFERROR(VLOOKUP(A227&amp;"aaaaaaaaa",COPY!$S$2:$AA$1000,7,FALSE)," ")</f>
        <v xml:space="preserve"> </v>
      </c>
      <c r="AU227" s="90" t="str">
        <f>IFERROR(VLOOKUP(A227&amp;"aaaaaaaaaa",COPY!$S$2:$AA$1000,7,FALSE)," ")</f>
        <v xml:space="preserve"> </v>
      </c>
      <c r="AV227" s="90" t="str">
        <f>IFERROR(VLOOKUP(A227&amp;"aaaaaaaaaaa",COPY!$S$2:$AA$1000,7,FALSE)," ")</f>
        <v xml:space="preserve"> </v>
      </c>
    </row>
    <row r="228" spans="1:48" x14ac:dyDescent="0.2">
      <c r="A228" s="75" t="str">
        <f>'REKAP PAJAK'!W265</f>
        <v/>
      </c>
      <c r="B228" s="75" t="str">
        <f>IF(LEN(A228)&gt;1,VLOOKUP(A228,COPY!$O$2:$R$1000,4,FALSE),"")</f>
        <v/>
      </c>
      <c r="C228" s="75" t="str">
        <f t="shared" si="18"/>
        <v xml:space="preserve"> </v>
      </c>
      <c r="D228" s="75" t="str">
        <f t="shared" si="19"/>
        <v xml:space="preserve"> </v>
      </c>
      <c r="E228" s="75" t="str">
        <f t="shared" si="20"/>
        <v xml:space="preserve"> </v>
      </c>
      <c r="F228" s="75" t="str">
        <f t="shared" si="21"/>
        <v xml:space="preserve"> </v>
      </c>
      <c r="H228" s="75" t="str">
        <f t="shared" si="22"/>
        <v xml:space="preserve"> </v>
      </c>
      <c r="I228" s="75" t="str">
        <f t="shared" si="23"/>
        <v xml:space="preserve"> </v>
      </c>
      <c r="J228" s="90" t="str">
        <f>IFERROR(VLOOKUP(A228,COPY!$S$2:$W$1000,4,FALSE)," ")</f>
        <v xml:space="preserve"> </v>
      </c>
      <c r="K228" s="75" t="str">
        <f>IFERROR(VLOOKUP(A228,COPY!$S$2:$W$1000,5,FALSE)," ")</f>
        <v xml:space="preserve"> </v>
      </c>
      <c r="L228" s="75" t="str">
        <f>IF(B228="","",IF(LEFT(B228,2)="Ma",(VLOOKUP(B228,'Rekap Gaji'!$C$12:$D$26,2,FALSE))&amp;" Untuk "&amp;(PROPER('Rekap Gaji'!$B$2)),IF(LEFT(B228,2)="Mg","Pembelian Material Bahan Bangunan",IF(LEFT(B228,2)="Me","Biaya Pembelanjaan Menejemen",IF(LEFT(B228,1)="G",VLOOKUP(A228,COPY!$S$2:$AA$1000,2,FALSE)&amp;"( "&amp;TEXT(VLOOKUP(B228,'Rekap Gaji'!$A$12:$I$26,5,FALSE),"dd-mm-yyyy")&amp;" "&amp;TEXT(VLOOKUP(B228,'Rekap Gaji'!$A$12:$I$26,6,FALSE)&amp;" "&amp;TEXT(VLOOKUP(B228,'Rekap Gaji'!$A$12:$I$26,7,FALSE),"dd-mm-yyyy")&amp;" )"," "))))))</f>
        <v/>
      </c>
      <c r="M228" s="75" t="str">
        <f>IF(OR(LEFT(B228,2)="mg",LEFT(B228,2)="mE"),VLOOKUP(A228,COPY!$S$2:$AA$1000,2,FALSE),IF(LEFT(B228,1)="G"," ",IF(LEFT(B228,2)="ma"," "," ")))</f>
        <v xml:space="preserve"> </v>
      </c>
      <c r="N228" s="75" t="str">
        <f>IFERROR(VLOOKUP(A228&amp;"a",COPY!$S$2:$AA$1000,2,FALSE)," ")</f>
        <v xml:space="preserve"> </v>
      </c>
      <c r="O228" s="75" t="str">
        <f>IFERROR(VLOOKUP(A228&amp;"aa",COPY!$S$2:$AA$1000,2,FALSE)," ")</f>
        <v xml:space="preserve"> </v>
      </c>
      <c r="P228" s="75" t="str">
        <f>IFERROR(VLOOKUP(A228&amp;"aaa",COPY!$S$2:$AA$1000,2,FALSE)," ")</f>
        <v xml:space="preserve"> </v>
      </c>
      <c r="Q228" s="75" t="str">
        <f>IFERROR(VLOOKUP(A228&amp;"aaaa",COPY!$S$2:$AA$1000,2,FALSE)," ")</f>
        <v xml:space="preserve"> </v>
      </c>
      <c r="R228" s="75" t="str">
        <f>IFERROR(VLOOKUP(A228&amp;"aaaaa",COPY!$S$2:$AA$1000,2,FALSE)," ")</f>
        <v xml:space="preserve"> </v>
      </c>
      <c r="S228" s="75" t="str">
        <f>IFERROR(VLOOKUP(A228&amp;"aaaaaa",COPY!$S$2:$AA$1000,2,FALSE)," ")</f>
        <v xml:space="preserve"> </v>
      </c>
      <c r="T228" s="75" t="str">
        <f>IFERROR(VLOOKUP(A228&amp;"aaaaaaa",COPY!$S$2:$AA$1000,2,FALSE)," ")</f>
        <v xml:space="preserve"> </v>
      </c>
      <c r="U228" s="75" t="str">
        <f>IFERROR(VLOOKUP(A228&amp;"aaaaaaaa",COPY!$S$2:$AA$1000,2,FALSE)," ")</f>
        <v xml:space="preserve"> </v>
      </c>
      <c r="V228" s="75" t="str">
        <f>IFERROR(VLOOKUP(A228&amp;"aaaaaaaaa",COPY!$S$2:$AA$1000,2,FALSE)," ")</f>
        <v xml:space="preserve"> </v>
      </c>
      <c r="W228" s="75" t="str">
        <f>IFERROR(VLOOKUP(A228&amp;"aaaaaaaaaa",COPY!$S$2:$AA$1000,2,FALSE)," ")</f>
        <v xml:space="preserve"> </v>
      </c>
      <c r="X228" s="75" t="str">
        <f>IFERROR(VLOOKUP(A228&amp;"aaaaaaaaaaa",COPY!$S$2:$AA$1000,2,FALSE)," ")</f>
        <v xml:space="preserve"> </v>
      </c>
      <c r="Y228" s="90" t="str">
        <f>IF(OR(LEFT(B228,2)="mg",LEFT(B228,2)="mE"),VLOOKUP(A228,COPY!$S$2:$AA$1000,6,FALSE),IF(LEFT(B228,1)="G"," ",IF(LEFT(B228,2)="ma"," "," ")))</f>
        <v xml:space="preserve"> </v>
      </c>
      <c r="Z228" s="90" t="str">
        <f>IFERROR(VLOOKUP(A228&amp;"a",COPY!$S$2:$AA$1000,6,FALSE)," ")</f>
        <v xml:space="preserve"> </v>
      </c>
      <c r="AA228" s="90" t="str">
        <f>IFERROR(VLOOKUP(A228&amp;"aa",COPY!$S$2:$AA$1000,6,FALSE)," ")</f>
        <v xml:space="preserve"> </v>
      </c>
      <c r="AB228" s="90" t="str">
        <f>IFERROR(VLOOKUP(A228&amp;"aaa",COPY!$S$2:$AA$1000,6,FALSE)," ")</f>
        <v xml:space="preserve"> </v>
      </c>
      <c r="AC228" s="90" t="str">
        <f>IFERROR(VLOOKUP(A228&amp;"aaaa",COPY!$S$2:$AA$1000,6,FALSE)," ")</f>
        <v xml:space="preserve"> </v>
      </c>
      <c r="AD228" s="90" t="str">
        <f>IFERROR(VLOOKUP(A228&amp;"aaaaa",COPY!$S$2:$AA$1000,6,FALSE)," ")</f>
        <v xml:space="preserve"> </v>
      </c>
      <c r="AE228" s="90" t="str">
        <f>IFERROR(VLOOKUP(A228&amp;"aaaaaa",COPY!$S$2:$AA$1000,6,FALSE)," ")</f>
        <v xml:space="preserve"> </v>
      </c>
      <c r="AF228" s="90" t="str">
        <f>IFERROR(VLOOKUP(A228&amp;"aaaaaaa",COPY!$S$2:$AA$1000,6,FALSE)," ")</f>
        <v xml:space="preserve"> </v>
      </c>
      <c r="AG228" s="90" t="str">
        <f>IFERROR(VLOOKUP(A228&amp;"aaaaaaaa",COPY!$S$2:$AA$1000,6,FALSE)," ")</f>
        <v xml:space="preserve"> </v>
      </c>
      <c r="AH228" s="90" t="str">
        <f>IFERROR(VLOOKUP(A228&amp;"aaaaaaaaa",COPY!$S$2:$AA$1000,6,FALSE)," ")</f>
        <v xml:space="preserve"> </v>
      </c>
      <c r="AI228" s="90" t="str">
        <f>IFERROR(VLOOKUP(A228&amp;"aaaaaaaaaa",COPY!$S$2:$AA$1000,6,FALSE)," ")</f>
        <v xml:space="preserve"> </v>
      </c>
      <c r="AJ228" s="90" t="str">
        <f>IFERROR(VLOOKUP(A228&amp;"aaaaaaaaaaa",COPY!$S$2:$AA$1000,6,FALSE)," ")</f>
        <v xml:space="preserve"> </v>
      </c>
      <c r="AK228" s="90" t="str">
        <f>IF(LEFT(B228,2)="mg",VLOOKUP(A228,COPY!$S$2:$AA$1000,7,FALSE),IF(LEFT(B228,1)="G"," ",IF(LEFT(B228,2)="ma"," "," ")))</f>
        <v xml:space="preserve"> </v>
      </c>
      <c r="AL228" s="90" t="str">
        <f>IFERROR(VLOOKUP(A228&amp;"a",COPY!$S$2:$AA$1000,7,FALSE)," ")</f>
        <v xml:space="preserve"> </v>
      </c>
      <c r="AM228" s="90" t="str">
        <f>IFERROR(VLOOKUP(A228&amp;"aa",COPY!$S$2:$AA$1000,7,FALSE)," ")</f>
        <v xml:space="preserve"> </v>
      </c>
      <c r="AN228" s="90" t="str">
        <f>IFERROR(VLOOKUP(A228&amp;"aaa",COPY!$S$2:$AA$1000,7,FALSE)," ")</f>
        <v xml:space="preserve"> </v>
      </c>
      <c r="AO228" s="90" t="str">
        <f>IFERROR(VLOOKUP(A228&amp;"aaaa",COPY!$S$2:$AA$1000,7,FALSE)," ")</f>
        <v xml:space="preserve"> </v>
      </c>
      <c r="AP228" s="90" t="str">
        <f>IFERROR(VLOOKUP(A228&amp;"aaaaa",COPY!$S$2:$AA$1000,7,FALSE)," ")</f>
        <v xml:space="preserve"> </v>
      </c>
      <c r="AQ228" s="90" t="str">
        <f>IFERROR(VLOOKUP(A228&amp;"aaaaaa",COPY!$S$2:$AA$1000,7,FALSE)," ")</f>
        <v xml:space="preserve"> </v>
      </c>
      <c r="AR228" s="90" t="str">
        <f>IFERROR(VLOOKUP(A228&amp;"aaaaaaa",COPY!$S$2:$AA$1000,7,FALSE)," ")</f>
        <v xml:space="preserve"> </v>
      </c>
      <c r="AS228" s="90" t="str">
        <f>IFERROR(VLOOKUP(A228&amp;"aaaaaaaa",COPY!$S$2:$AA$1000,7,FALSE)," ")</f>
        <v xml:space="preserve"> </v>
      </c>
      <c r="AT228" s="90" t="str">
        <f>IFERROR(VLOOKUP(A228&amp;"aaaaaaaaa",COPY!$S$2:$AA$1000,7,FALSE)," ")</f>
        <v xml:space="preserve"> </v>
      </c>
      <c r="AU228" s="90" t="str">
        <f>IFERROR(VLOOKUP(A228&amp;"aaaaaaaaaa",COPY!$S$2:$AA$1000,7,FALSE)," ")</f>
        <v xml:space="preserve"> </v>
      </c>
      <c r="AV228" s="90" t="str">
        <f>IFERROR(VLOOKUP(A228&amp;"aaaaaaaaaaa",COPY!$S$2:$AA$1000,7,FALSE)," ")</f>
        <v xml:space="preserve"> </v>
      </c>
    </row>
    <row r="229" spans="1:48" x14ac:dyDescent="0.2">
      <c r="A229" s="75" t="str">
        <f>'REKAP PAJAK'!W266</f>
        <v/>
      </c>
      <c r="B229" s="75" t="str">
        <f>IF(LEN(A229)&gt;1,VLOOKUP(A229,COPY!$O$2:$R$1000,4,FALSE),"")</f>
        <v/>
      </c>
      <c r="C229" s="75" t="str">
        <f t="shared" si="18"/>
        <v xml:space="preserve"> </v>
      </c>
      <c r="D229" s="75" t="str">
        <f t="shared" si="19"/>
        <v xml:space="preserve"> </v>
      </c>
      <c r="E229" s="75" t="str">
        <f t="shared" si="20"/>
        <v xml:space="preserve"> </v>
      </c>
      <c r="F229" s="75" t="str">
        <f t="shared" si="21"/>
        <v xml:space="preserve"> </v>
      </c>
      <c r="H229" s="75" t="str">
        <f t="shared" si="22"/>
        <v xml:space="preserve"> </v>
      </c>
      <c r="I229" s="75" t="str">
        <f t="shared" si="23"/>
        <v xml:space="preserve"> </v>
      </c>
      <c r="J229" s="90" t="str">
        <f>IFERROR(VLOOKUP(A229,COPY!$S$2:$W$1000,4,FALSE)," ")</f>
        <v xml:space="preserve"> </v>
      </c>
      <c r="K229" s="75" t="str">
        <f>IFERROR(VLOOKUP(A229,COPY!$S$2:$W$1000,5,FALSE)," ")</f>
        <v xml:space="preserve"> </v>
      </c>
      <c r="L229" s="75" t="str">
        <f>IF(B229="","",IF(LEFT(B229,2)="Ma",(VLOOKUP(B229,'Rekap Gaji'!$C$12:$D$26,2,FALSE))&amp;" Untuk "&amp;(PROPER('Rekap Gaji'!$B$2)),IF(LEFT(B229,2)="Mg","Pembelian Material Bahan Bangunan",IF(LEFT(B229,2)="Me","Biaya Pembelanjaan Menejemen",IF(LEFT(B229,1)="G",VLOOKUP(A229,COPY!$S$2:$AA$1000,2,FALSE)&amp;"( "&amp;TEXT(VLOOKUP(B229,'Rekap Gaji'!$A$12:$I$26,5,FALSE),"dd-mm-yyyy")&amp;" "&amp;TEXT(VLOOKUP(B229,'Rekap Gaji'!$A$12:$I$26,6,FALSE)&amp;" "&amp;TEXT(VLOOKUP(B229,'Rekap Gaji'!$A$12:$I$26,7,FALSE),"dd-mm-yyyy")&amp;" )"," "))))))</f>
        <v/>
      </c>
      <c r="M229" s="75" t="str">
        <f>IF(OR(LEFT(B229,2)="mg",LEFT(B229,2)="mE"),VLOOKUP(A229,COPY!$S$2:$AA$1000,2,FALSE),IF(LEFT(B229,1)="G"," ",IF(LEFT(B229,2)="ma"," "," ")))</f>
        <v xml:space="preserve"> </v>
      </c>
      <c r="N229" s="75" t="str">
        <f>IFERROR(VLOOKUP(A229&amp;"a",COPY!$S$2:$AA$1000,2,FALSE)," ")</f>
        <v xml:space="preserve"> </v>
      </c>
      <c r="O229" s="75" t="str">
        <f>IFERROR(VLOOKUP(A229&amp;"aa",COPY!$S$2:$AA$1000,2,FALSE)," ")</f>
        <v xml:space="preserve"> </v>
      </c>
      <c r="P229" s="75" t="str">
        <f>IFERROR(VLOOKUP(A229&amp;"aaa",COPY!$S$2:$AA$1000,2,FALSE)," ")</f>
        <v xml:space="preserve"> </v>
      </c>
      <c r="Q229" s="75" t="str">
        <f>IFERROR(VLOOKUP(A229&amp;"aaaa",COPY!$S$2:$AA$1000,2,FALSE)," ")</f>
        <v xml:space="preserve"> </v>
      </c>
      <c r="R229" s="75" t="str">
        <f>IFERROR(VLOOKUP(A229&amp;"aaaaa",COPY!$S$2:$AA$1000,2,FALSE)," ")</f>
        <v xml:space="preserve"> </v>
      </c>
      <c r="S229" s="75" t="str">
        <f>IFERROR(VLOOKUP(A229&amp;"aaaaaa",COPY!$S$2:$AA$1000,2,FALSE)," ")</f>
        <v xml:space="preserve"> </v>
      </c>
      <c r="T229" s="75" t="str">
        <f>IFERROR(VLOOKUP(A229&amp;"aaaaaaa",COPY!$S$2:$AA$1000,2,FALSE)," ")</f>
        <v xml:space="preserve"> </v>
      </c>
      <c r="U229" s="75" t="str">
        <f>IFERROR(VLOOKUP(A229&amp;"aaaaaaaa",COPY!$S$2:$AA$1000,2,FALSE)," ")</f>
        <v xml:space="preserve"> </v>
      </c>
      <c r="V229" s="75" t="str">
        <f>IFERROR(VLOOKUP(A229&amp;"aaaaaaaaa",COPY!$S$2:$AA$1000,2,FALSE)," ")</f>
        <v xml:space="preserve"> </v>
      </c>
      <c r="W229" s="75" t="str">
        <f>IFERROR(VLOOKUP(A229&amp;"aaaaaaaaaa",COPY!$S$2:$AA$1000,2,FALSE)," ")</f>
        <v xml:space="preserve"> </v>
      </c>
      <c r="X229" s="75" t="str">
        <f>IFERROR(VLOOKUP(A229&amp;"aaaaaaaaaaa",COPY!$S$2:$AA$1000,2,FALSE)," ")</f>
        <v xml:space="preserve"> </v>
      </c>
      <c r="Y229" s="90" t="str">
        <f>IF(OR(LEFT(B229,2)="mg",LEFT(B229,2)="mE"),VLOOKUP(A229,COPY!$S$2:$AA$1000,6,FALSE),IF(LEFT(B229,1)="G"," ",IF(LEFT(B229,2)="ma"," "," ")))</f>
        <v xml:space="preserve"> </v>
      </c>
      <c r="Z229" s="90" t="str">
        <f>IFERROR(VLOOKUP(A229&amp;"a",COPY!$S$2:$AA$1000,6,FALSE)," ")</f>
        <v xml:space="preserve"> </v>
      </c>
      <c r="AA229" s="90" t="str">
        <f>IFERROR(VLOOKUP(A229&amp;"aa",COPY!$S$2:$AA$1000,6,FALSE)," ")</f>
        <v xml:space="preserve"> </v>
      </c>
      <c r="AB229" s="90" t="str">
        <f>IFERROR(VLOOKUP(A229&amp;"aaa",COPY!$S$2:$AA$1000,6,FALSE)," ")</f>
        <v xml:space="preserve"> </v>
      </c>
      <c r="AC229" s="90" t="str">
        <f>IFERROR(VLOOKUP(A229&amp;"aaaa",COPY!$S$2:$AA$1000,6,FALSE)," ")</f>
        <v xml:space="preserve"> </v>
      </c>
      <c r="AD229" s="90" t="str">
        <f>IFERROR(VLOOKUP(A229&amp;"aaaaa",COPY!$S$2:$AA$1000,6,FALSE)," ")</f>
        <v xml:space="preserve"> </v>
      </c>
      <c r="AE229" s="90" t="str">
        <f>IFERROR(VLOOKUP(A229&amp;"aaaaaa",COPY!$S$2:$AA$1000,6,FALSE)," ")</f>
        <v xml:space="preserve"> </v>
      </c>
      <c r="AF229" s="90" t="str">
        <f>IFERROR(VLOOKUP(A229&amp;"aaaaaaa",COPY!$S$2:$AA$1000,6,FALSE)," ")</f>
        <v xml:space="preserve"> </v>
      </c>
      <c r="AG229" s="90" t="str">
        <f>IFERROR(VLOOKUP(A229&amp;"aaaaaaaa",COPY!$S$2:$AA$1000,6,FALSE)," ")</f>
        <v xml:space="preserve"> </v>
      </c>
      <c r="AH229" s="90" t="str">
        <f>IFERROR(VLOOKUP(A229&amp;"aaaaaaaaa",COPY!$S$2:$AA$1000,6,FALSE)," ")</f>
        <v xml:space="preserve"> </v>
      </c>
      <c r="AI229" s="90" t="str">
        <f>IFERROR(VLOOKUP(A229&amp;"aaaaaaaaaa",COPY!$S$2:$AA$1000,6,FALSE)," ")</f>
        <v xml:space="preserve"> </v>
      </c>
      <c r="AJ229" s="90" t="str">
        <f>IFERROR(VLOOKUP(A229&amp;"aaaaaaaaaaa",COPY!$S$2:$AA$1000,6,FALSE)," ")</f>
        <v xml:space="preserve"> </v>
      </c>
      <c r="AK229" s="90" t="str">
        <f>IF(LEFT(B229,2)="mg",VLOOKUP(A229,COPY!$S$2:$AA$1000,7,FALSE),IF(LEFT(B229,1)="G"," ",IF(LEFT(B229,2)="ma"," "," ")))</f>
        <v xml:space="preserve"> </v>
      </c>
      <c r="AL229" s="90" t="str">
        <f>IFERROR(VLOOKUP(A229&amp;"a",COPY!$S$2:$AA$1000,7,FALSE)," ")</f>
        <v xml:space="preserve"> </v>
      </c>
      <c r="AM229" s="90" t="str">
        <f>IFERROR(VLOOKUP(A229&amp;"aa",COPY!$S$2:$AA$1000,7,FALSE)," ")</f>
        <v xml:space="preserve"> </v>
      </c>
      <c r="AN229" s="90" t="str">
        <f>IFERROR(VLOOKUP(A229&amp;"aaa",COPY!$S$2:$AA$1000,7,FALSE)," ")</f>
        <v xml:space="preserve"> </v>
      </c>
      <c r="AO229" s="90" t="str">
        <f>IFERROR(VLOOKUP(A229&amp;"aaaa",COPY!$S$2:$AA$1000,7,FALSE)," ")</f>
        <v xml:space="preserve"> </v>
      </c>
      <c r="AP229" s="90" t="str">
        <f>IFERROR(VLOOKUP(A229&amp;"aaaaa",COPY!$S$2:$AA$1000,7,FALSE)," ")</f>
        <v xml:space="preserve"> </v>
      </c>
      <c r="AQ229" s="90" t="str">
        <f>IFERROR(VLOOKUP(A229&amp;"aaaaaa",COPY!$S$2:$AA$1000,7,FALSE)," ")</f>
        <v xml:space="preserve"> </v>
      </c>
      <c r="AR229" s="90" t="str">
        <f>IFERROR(VLOOKUP(A229&amp;"aaaaaaa",COPY!$S$2:$AA$1000,7,FALSE)," ")</f>
        <v xml:space="preserve"> </v>
      </c>
      <c r="AS229" s="90" t="str">
        <f>IFERROR(VLOOKUP(A229&amp;"aaaaaaaa",COPY!$S$2:$AA$1000,7,FALSE)," ")</f>
        <v xml:space="preserve"> </v>
      </c>
      <c r="AT229" s="90" t="str">
        <f>IFERROR(VLOOKUP(A229&amp;"aaaaaaaaa",COPY!$S$2:$AA$1000,7,FALSE)," ")</f>
        <v xml:space="preserve"> </v>
      </c>
      <c r="AU229" s="90" t="str">
        <f>IFERROR(VLOOKUP(A229&amp;"aaaaaaaaaa",COPY!$S$2:$AA$1000,7,FALSE)," ")</f>
        <v xml:space="preserve"> </v>
      </c>
      <c r="AV229" s="90" t="str">
        <f>IFERROR(VLOOKUP(A229&amp;"aaaaaaaaaaa",COPY!$S$2:$AA$1000,7,FALSE)," ")</f>
        <v xml:space="preserve"> </v>
      </c>
    </row>
    <row r="230" spans="1:48" x14ac:dyDescent="0.2">
      <c r="A230" s="75" t="str">
        <f>'REKAP PAJAK'!W267</f>
        <v/>
      </c>
      <c r="B230" s="75" t="str">
        <f>IF(LEN(A230)&gt;1,VLOOKUP(A230,COPY!$O$2:$R$1000,4,FALSE),"")</f>
        <v/>
      </c>
      <c r="C230" s="75" t="str">
        <f t="shared" si="18"/>
        <v xml:space="preserve"> </v>
      </c>
      <c r="D230" s="75" t="str">
        <f t="shared" si="19"/>
        <v xml:space="preserve"> </v>
      </c>
      <c r="E230" s="75" t="str">
        <f t="shared" si="20"/>
        <v xml:space="preserve"> </v>
      </c>
      <c r="F230" s="75" t="str">
        <f t="shared" si="21"/>
        <v xml:space="preserve"> </v>
      </c>
      <c r="H230" s="75" t="str">
        <f t="shared" si="22"/>
        <v xml:space="preserve"> </v>
      </c>
      <c r="I230" s="75" t="str">
        <f t="shared" si="23"/>
        <v xml:space="preserve"> </v>
      </c>
      <c r="J230" s="90" t="str">
        <f>IFERROR(VLOOKUP(A230,COPY!$S$2:$W$1000,4,FALSE)," ")</f>
        <v xml:space="preserve"> </v>
      </c>
      <c r="K230" s="75" t="str">
        <f>IFERROR(VLOOKUP(A230,COPY!$S$2:$W$1000,5,FALSE)," ")</f>
        <v xml:space="preserve"> </v>
      </c>
      <c r="L230" s="75" t="str">
        <f>IF(B230="","",IF(LEFT(B230,2)="Ma",(VLOOKUP(B230,'Rekap Gaji'!$C$12:$D$26,2,FALSE))&amp;" Untuk "&amp;(PROPER('Rekap Gaji'!$B$2)),IF(LEFT(B230,2)="Mg","Pembelian Material Bahan Bangunan",IF(LEFT(B230,2)="Me","Biaya Pembelanjaan Menejemen",IF(LEFT(B230,1)="G",VLOOKUP(A230,COPY!$S$2:$AA$1000,2,FALSE)&amp;"( "&amp;TEXT(VLOOKUP(B230,'Rekap Gaji'!$A$12:$I$26,5,FALSE),"dd-mm-yyyy")&amp;" "&amp;TEXT(VLOOKUP(B230,'Rekap Gaji'!$A$12:$I$26,6,FALSE)&amp;" "&amp;TEXT(VLOOKUP(B230,'Rekap Gaji'!$A$12:$I$26,7,FALSE),"dd-mm-yyyy")&amp;" )"," "))))))</f>
        <v/>
      </c>
      <c r="M230" s="75" t="str">
        <f>IF(OR(LEFT(B230,2)="mg",LEFT(B230,2)="mE"),VLOOKUP(A230,COPY!$S$2:$AA$1000,2,FALSE),IF(LEFT(B230,1)="G"," ",IF(LEFT(B230,2)="ma"," "," ")))</f>
        <v xml:space="preserve"> </v>
      </c>
      <c r="N230" s="75" t="str">
        <f>IFERROR(VLOOKUP(A230&amp;"a",COPY!$S$2:$AA$1000,2,FALSE)," ")</f>
        <v xml:space="preserve"> </v>
      </c>
      <c r="O230" s="75" t="str">
        <f>IFERROR(VLOOKUP(A230&amp;"aa",COPY!$S$2:$AA$1000,2,FALSE)," ")</f>
        <v xml:space="preserve"> </v>
      </c>
      <c r="P230" s="75" t="str">
        <f>IFERROR(VLOOKUP(A230&amp;"aaa",COPY!$S$2:$AA$1000,2,FALSE)," ")</f>
        <v xml:space="preserve"> </v>
      </c>
      <c r="Q230" s="75" t="str">
        <f>IFERROR(VLOOKUP(A230&amp;"aaaa",COPY!$S$2:$AA$1000,2,FALSE)," ")</f>
        <v xml:space="preserve"> </v>
      </c>
      <c r="R230" s="75" t="str">
        <f>IFERROR(VLOOKUP(A230&amp;"aaaaa",COPY!$S$2:$AA$1000,2,FALSE)," ")</f>
        <v xml:space="preserve"> </v>
      </c>
      <c r="S230" s="75" t="str">
        <f>IFERROR(VLOOKUP(A230&amp;"aaaaaa",COPY!$S$2:$AA$1000,2,FALSE)," ")</f>
        <v xml:space="preserve"> </v>
      </c>
      <c r="T230" s="75" t="str">
        <f>IFERROR(VLOOKUP(A230&amp;"aaaaaaa",COPY!$S$2:$AA$1000,2,FALSE)," ")</f>
        <v xml:space="preserve"> </v>
      </c>
      <c r="U230" s="75" t="str">
        <f>IFERROR(VLOOKUP(A230&amp;"aaaaaaaa",COPY!$S$2:$AA$1000,2,FALSE)," ")</f>
        <v xml:space="preserve"> </v>
      </c>
      <c r="V230" s="75" t="str">
        <f>IFERROR(VLOOKUP(A230&amp;"aaaaaaaaa",COPY!$S$2:$AA$1000,2,FALSE)," ")</f>
        <v xml:space="preserve"> </v>
      </c>
      <c r="W230" s="75" t="str">
        <f>IFERROR(VLOOKUP(A230&amp;"aaaaaaaaaa",COPY!$S$2:$AA$1000,2,FALSE)," ")</f>
        <v xml:space="preserve"> </v>
      </c>
      <c r="X230" s="75" t="str">
        <f>IFERROR(VLOOKUP(A230&amp;"aaaaaaaaaaa",COPY!$S$2:$AA$1000,2,FALSE)," ")</f>
        <v xml:space="preserve"> </v>
      </c>
      <c r="Y230" s="90" t="str">
        <f>IF(OR(LEFT(B230,2)="mg",LEFT(B230,2)="mE"),VLOOKUP(A230,COPY!$S$2:$AA$1000,6,FALSE),IF(LEFT(B230,1)="G"," ",IF(LEFT(B230,2)="ma"," "," ")))</f>
        <v xml:space="preserve"> </v>
      </c>
      <c r="Z230" s="90" t="str">
        <f>IFERROR(VLOOKUP(A230&amp;"a",COPY!$S$2:$AA$1000,6,FALSE)," ")</f>
        <v xml:space="preserve"> </v>
      </c>
      <c r="AA230" s="90" t="str">
        <f>IFERROR(VLOOKUP(A230&amp;"aa",COPY!$S$2:$AA$1000,6,FALSE)," ")</f>
        <v xml:space="preserve"> </v>
      </c>
      <c r="AB230" s="90" t="str">
        <f>IFERROR(VLOOKUP(A230&amp;"aaa",COPY!$S$2:$AA$1000,6,FALSE)," ")</f>
        <v xml:space="preserve"> </v>
      </c>
      <c r="AC230" s="90" t="str">
        <f>IFERROR(VLOOKUP(A230&amp;"aaaa",COPY!$S$2:$AA$1000,6,FALSE)," ")</f>
        <v xml:space="preserve"> </v>
      </c>
      <c r="AD230" s="90" t="str">
        <f>IFERROR(VLOOKUP(A230&amp;"aaaaa",COPY!$S$2:$AA$1000,6,FALSE)," ")</f>
        <v xml:space="preserve"> </v>
      </c>
      <c r="AE230" s="90" t="str">
        <f>IFERROR(VLOOKUP(A230&amp;"aaaaaa",COPY!$S$2:$AA$1000,6,FALSE)," ")</f>
        <v xml:space="preserve"> </v>
      </c>
      <c r="AF230" s="90" t="str">
        <f>IFERROR(VLOOKUP(A230&amp;"aaaaaaa",COPY!$S$2:$AA$1000,6,FALSE)," ")</f>
        <v xml:space="preserve"> </v>
      </c>
      <c r="AG230" s="90" t="str">
        <f>IFERROR(VLOOKUP(A230&amp;"aaaaaaaa",COPY!$S$2:$AA$1000,6,FALSE)," ")</f>
        <v xml:space="preserve"> </v>
      </c>
      <c r="AH230" s="90" t="str">
        <f>IFERROR(VLOOKUP(A230&amp;"aaaaaaaaa",COPY!$S$2:$AA$1000,6,FALSE)," ")</f>
        <v xml:space="preserve"> </v>
      </c>
      <c r="AI230" s="90" t="str">
        <f>IFERROR(VLOOKUP(A230&amp;"aaaaaaaaaa",COPY!$S$2:$AA$1000,6,FALSE)," ")</f>
        <v xml:space="preserve"> </v>
      </c>
      <c r="AJ230" s="90" t="str">
        <f>IFERROR(VLOOKUP(A230&amp;"aaaaaaaaaaa",COPY!$S$2:$AA$1000,6,FALSE)," ")</f>
        <v xml:space="preserve"> </v>
      </c>
      <c r="AK230" s="90" t="str">
        <f>IF(LEFT(B230,2)="mg",VLOOKUP(A230,COPY!$S$2:$AA$1000,7,FALSE),IF(LEFT(B230,1)="G"," ",IF(LEFT(B230,2)="ma"," "," ")))</f>
        <v xml:space="preserve"> </v>
      </c>
      <c r="AL230" s="90" t="str">
        <f>IFERROR(VLOOKUP(A230&amp;"a",COPY!$S$2:$AA$1000,7,FALSE)," ")</f>
        <v xml:space="preserve"> </v>
      </c>
      <c r="AM230" s="90" t="str">
        <f>IFERROR(VLOOKUP(A230&amp;"aa",COPY!$S$2:$AA$1000,7,FALSE)," ")</f>
        <v xml:space="preserve"> </v>
      </c>
      <c r="AN230" s="90" t="str">
        <f>IFERROR(VLOOKUP(A230&amp;"aaa",COPY!$S$2:$AA$1000,7,FALSE)," ")</f>
        <v xml:space="preserve"> </v>
      </c>
      <c r="AO230" s="90" t="str">
        <f>IFERROR(VLOOKUP(A230&amp;"aaaa",COPY!$S$2:$AA$1000,7,FALSE)," ")</f>
        <v xml:space="preserve"> </v>
      </c>
      <c r="AP230" s="90" t="str">
        <f>IFERROR(VLOOKUP(A230&amp;"aaaaa",COPY!$S$2:$AA$1000,7,FALSE)," ")</f>
        <v xml:space="preserve"> </v>
      </c>
      <c r="AQ230" s="90" t="str">
        <f>IFERROR(VLOOKUP(A230&amp;"aaaaaa",COPY!$S$2:$AA$1000,7,FALSE)," ")</f>
        <v xml:space="preserve"> </v>
      </c>
      <c r="AR230" s="90" t="str">
        <f>IFERROR(VLOOKUP(A230&amp;"aaaaaaa",COPY!$S$2:$AA$1000,7,FALSE)," ")</f>
        <v xml:space="preserve"> </v>
      </c>
      <c r="AS230" s="90" t="str">
        <f>IFERROR(VLOOKUP(A230&amp;"aaaaaaaa",COPY!$S$2:$AA$1000,7,FALSE)," ")</f>
        <v xml:space="preserve"> </v>
      </c>
      <c r="AT230" s="90" t="str">
        <f>IFERROR(VLOOKUP(A230&amp;"aaaaaaaaa",COPY!$S$2:$AA$1000,7,FALSE)," ")</f>
        <v xml:space="preserve"> </v>
      </c>
      <c r="AU230" s="90" t="str">
        <f>IFERROR(VLOOKUP(A230&amp;"aaaaaaaaaa",COPY!$S$2:$AA$1000,7,FALSE)," ")</f>
        <v xml:space="preserve"> </v>
      </c>
      <c r="AV230" s="90" t="str">
        <f>IFERROR(VLOOKUP(A230&amp;"aaaaaaaaaaa",COPY!$S$2:$AA$1000,7,FALSE)," ")</f>
        <v xml:space="preserve"> </v>
      </c>
    </row>
    <row r="231" spans="1:48" x14ac:dyDescent="0.2">
      <c r="A231" s="75" t="str">
        <f>'REKAP PAJAK'!W268</f>
        <v/>
      </c>
      <c r="B231" s="75" t="str">
        <f>IF(LEN(A231)&gt;1,VLOOKUP(A231,COPY!$O$2:$R$1000,4,FALSE),"")</f>
        <v/>
      </c>
      <c r="C231" s="75" t="str">
        <f t="shared" si="18"/>
        <v xml:space="preserve"> </v>
      </c>
      <c r="D231" s="75" t="str">
        <f t="shared" si="19"/>
        <v xml:space="preserve"> </v>
      </c>
      <c r="E231" s="75" t="str">
        <f t="shared" si="20"/>
        <v xml:space="preserve"> </v>
      </c>
      <c r="F231" s="75" t="str">
        <f t="shared" si="21"/>
        <v xml:space="preserve"> </v>
      </c>
      <c r="H231" s="75" t="str">
        <f t="shared" si="22"/>
        <v xml:space="preserve"> </v>
      </c>
      <c r="I231" s="75" t="str">
        <f t="shared" si="23"/>
        <v xml:space="preserve"> </v>
      </c>
      <c r="J231" s="90" t="str">
        <f>IFERROR(VLOOKUP(A231,COPY!$S$2:$W$1000,4,FALSE)," ")</f>
        <v xml:space="preserve"> </v>
      </c>
      <c r="K231" s="75" t="str">
        <f>IFERROR(VLOOKUP(A231,COPY!$S$2:$W$1000,5,FALSE)," ")</f>
        <v xml:space="preserve"> </v>
      </c>
      <c r="L231" s="75" t="str">
        <f>IF(B231="","",IF(LEFT(B231,2)="Ma",(VLOOKUP(B231,'Rekap Gaji'!$C$12:$D$26,2,FALSE))&amp;" Untuk "&amp;(PROPER('Rekap Gaji'!$B$2)),IF(LEFT(B231,2)="Mg","Pembelian Material Bahan Bangunan",IF(LEFT(B231,2)="Me","Biaya Pembelanjaan Menejemen",IF(LEFT(B231,1)="G",VLOOKUP(A231,COPY!$S$2:$AA$1000,2,FALSE)&amp;"( "&amp;TEXT(VLOOKUP(B231,'Rekap Gaji'!$A$12:$I$26,5,FALSE),"dd-mm-yyyy")&amp;" "&amp;TEXT(VLOOKUP(B231,'Rekap Gaji'!$A$12:$I$26,6,FALSE)&amp;" "&amp;TEXT(VLOOKUP(B231,'Rekap Gaji'!$A$12:$I$26,7,FALSE),"dd-mm-yyyy")&amp;" )"," "))))))</f>
        <v/>
      </c>
      <c r="M231" s="75" t="str">
        <f>IF(OR(LEFT(B231,2)="mg",LEFT(B231,2)="mE"),VLOOKUP(A231,COPY!$S$2:$AA$1000,2,FALSE),IF(LEFT(B231,1)="G"," ",IF(LEFT(B231,2)="ma"," "," ")))</f>
        <v xml:space="preserve"> </v>
      </c>
      <c r="N231" s="75" t="str">
        <f>IFERROR(VLOOKUP(A231&amp;"a",COPY!$S$2:$AA$1000,2,FALSE)," ")</f>
        <v xml:space="preserve"> </v>
      </c>
      <c r="O231" s="75" t="str">
        <f>IFERROR(VLOOKUP(A231&amp;"aa",COPY!$S$2:$AA$1000,2,FALSE)," ")</f>
        <v xml:space="preserve"> </v>
      </c>
      <c r="P231" s="75" t="str">
        <f>IFERROR(VLOOKUP(A231&amp;"aaa",COPY!$S$2:$AA$1000,2,FALSE)," ")</f>
        <v xml:space="preserve"> </v>
      </c>
      <c r="Q231" s="75" t="str">
        <f>IFERROR(VLOOKUP(A231&amp;"aaaa",COPY!$S$2:$AA$1000,2,FALSE)," ")</f>
        <v xml:space="preserve"> </v>
      </c>
      <c r="R231" s="75" t="str">
        <f>IFERROR(VLOOKUP(A231&amp;"aaaaa",COPY!$S$2:$AA$1000,2,FALSE)," ")</f>
        <v xml:space="preserve"> </v>
      </c>
      <c r="S231" s="75" t="str">
        <f>IFERROR(VLOOKUP(A231&amp;"aaaaaa",COPY!$S$2:$AA$1000,2,FALSE)," ")</f>
        <v xml:space="preserve"> </v>
      </c>
      <c r="T231" s="75" t="str">
        <f>IFERROR(VLOOKUP(A231&amp;"aaaaaaa",COPY!$S$2:$AA$1000,2,FALSE)," ")</f>
        <v xml:space="preserve"> </v>
      </c>
      <c r="U231" s="75" t="str">
        <f>IFERROR(VLOOKUP(A231&amp;"aaaaaaaa",COPY!$S$2:$AA$1000,2,FALSE)," ")</f>
        <v xml:space="preserve"> </v>
      </c>
      <c r="V231" s="75" t="str">
        <f>IFERROR(VLOOKUP(A231&amp;"aaaaaaaaa",COPY!$S$2:$AA$1000,2,FALSE)," ")</f>
        <v xml:space="preserve"> </v>
      </c>
      <c r="W231" s="75" t="str">
        <f>IFERROR(VLOOKUP(A231&amp;"aaaaaaaaaa",COPY!$S$2:$AA$1000,2,FALSE)," ")</f>
        <v xml:space="preserve"> </v>
      </c>
      <c r="X231" s="75" t="str">
        <f>IFERROR(VLOOKUP(A231&amp;"aaaaaaaaaaa",COPY!$S$2:$AA$1000,2,FALSE)," ")</f>
        <v xml:space="preserve"> </v>
      </c>
      <c r="Y231" s="90" t="str">
        <f>IF(OR(LEFT(B231,2)="mg",LEFT(B231,2)="mE"),VLOOKUP(A231,COPY!$S$2:$AA$1000,6,FALSE),IF(LEFT(B231,1)="G"," ",IF(LEFT(B231,2)="ma"," "," ")))</f>
        <v xml:space="preserve"> </v>
      </c>
      <c r="Z231" s="90" t="str">
        <f>IFERROR(VLOOKUP(A231&amp;"a",COPY!$S$2:$AA$1000,6,FALSE)," ")</f>
        <v xml:space="preserve"> </v>
      </c>
      <c r="AA231" s="90" t="str">
        <f>IFERROR(VLOOKUP(A231&amp;"aa",COPY!$S$2:$AA$1000,6,FALSE)," ")</f>
        <v xml:space="preserve"> </v>
      </c>
      <c r="AB231" s="90" t="str">
        <f>IFERROR(VLOOKUP(A231&amp;"aaa",COPY!$S$2:$AA$1000,6,FALSE)," ")</f>
        <v xml:space="preserve"> </v>
      </c>
      <c r="AC231" s="90" t="str">
        <f>IFERROR(VLOOKUP(A231&amp;"aaaa",COPY!$S$2:$AA$1000,6,FALSE)," ")</f>
        <v xml:space="preserve"> </v>
      </c>
      <c r="AD231" s="90" t="str">
        <f>IFERROR(VLOOKUP(A231&amp;"aaaaa",COPY!$S$2:$AA$1000,6,FALSE)," ")</f>
        <v xml:space="preserve"> </v>
      </c>
      <c r="AE231" s="90" t="str">
        <f>IFERROR(VLOOKUP(A231&amp;"aaaaaa",COPY!$S$2:$AA$1000,6,FALSE)," ")</f>
        <v xml:space="preserve"> </v>
      </c>
      <c r="AF231" s="90" t="str">
        <f>IFERROR(VLOOKUP(A231&amp;"aaaaaaa",COPY!$S$2:$AA$1000,6,FALSE)," ")</f>
        <v xml:space="preserve"> </v>
      </c>
      <c r="AG231" s="90" t="str">
        <f>IFERROR(VLOOKUP(A231&amp;"aaaaaaaa",COPY!$S$2:$AA$1000,6,FALSE)," ")</f>
        <v xml:space="preserve"> </v>
      </c>
      <c r="AH231" s="90" t="str">
        <f>IFERROR(VLOOKUP(A231&amp;"aaaaaaaaa",COPY!$S$2:$AA$1000,6,FALSE)," ")</f>
        <v xml:space="preserve"> </v>
      </c>
      <c r="AI231" s="90" t="str">
        <f>IFERROR(VLOOKUP(A231&amp;"aaaaaaaaaa",COPY!$S$2:$AA$1000,6,FALSE)," ")</f>
        <v xml:space="preserve"> </v>
      </c>
      <c r="AJ231" s="90" t="str">
        <f>IFERROR(VLOOKUP(A231&amp;"aaaaaaaaaaa",COPY!$S$2:$AA$1000,6,FALSE)," ")</f>
        <v xml:space="preserve"> </v>
      </c>
      <c r="AK231" s="90" t="str">
        <f>IF(LEFT(B231,2)="mg",VLOOKUP(A231,COPY!$S$2:$AA$1000,7,FALSE),IF(LEFT(B231,1)="G"," ",IF(LEFT(B231,2)="ma"," "," ")))</f>
        <v xml:space="preserve"> </v>
      </c>
      <c r="AL231" s="90" t="str">
        <f>IFERROR(VLOOKUP(A231&amp;"a",COPY!$S$2:$AA$1000,7,FALSE)," ")</f>
        <v xml:space="preserve"> </v>
      </c>
      <c r="AM231" s="90" t="str">
        <f>IFERROR(VLOOKUP(A231&amp;"aa",COPY!$S$2:$AA$1000,7,FALSE)," ")</f>
        <v xml:space="preserve"> </v>
      </c>
      <c r="AN231" s="90" t="str">
        <f>IFERROR(VLOOKUP(A231&amp;"aaa",COPY!$S$2:$AA$1000,7,FALSE)," ")</f>
        <v xml:space="preserve"> </v>
      </c>
      <c r="AO231" s="90" t="str">
        <f>IFERROR(VLOOKUP(A231&amp;"aaaa",COPY!$S$2:$AA$1000,7,FALSE)," ")</f>
        <v xml:space="preserve"> </v>
      </c>
      <c r="AP231" s="90" t="str">
        <f>IFERROR(VLOOKUP(A231&amp;"aaaaa",COPY!$S$2:$AA$1000,7,FALSE)," ")</f>
        <v xml:space="preserve"> </v>
      </c>
      <c r="AQ231" s="90" t="str">
        <f>IFERROR(VLOOKUP(A231&amp;"aaaaaa",COPY!$S$2:$AA$1000,7,FALSE)," ")</f>
        <v xml:space="preserve"> </v>
      </c>
      <c r="AR231" s="90" t="str">
        <f>IFERROR(VLOOKUP(A231&amp;"aaaaaaa",COPY!$S$2:$AA$1000,7,FALSE)," ")</f>
        <v xml:space="preserve"> </v>
      </c>
      <c r="AS231" s="90" t="str">
        <f>IFERROR(VLOOKUP(A231&amp;"aaaaaaaa",COPY!$S$2:$AA$1000,7,FALSE)," ")</f>
        <v xml:space="preserve"> </v>
      </c>
      <c r="AT231" s="90" t="str">
        <f>IFERROR(VLOOKUP(A231&amp;"aaaaaaaaa",COPY!$S$2:$AA$1000,7,FALSE)," ")</f>
        <v xml:space="preserve"> </v>
      </c>
      <c r="AU231" s="90" t="str">
        <f>IFERROR(VLOOKUP(A231&amp;"aaaaaaaaaa",COPY!$S$2:$AA$1000,7,FALSE)," ")</f>
        <v xml:space="preserve"> </v>
      </c>
      <c r="AV231" s="90" t="str">
        <f>IFERROR(VLOOKUP(A231&amp;"aaaaaaaaaaa",COPY!$S$2:$AA$1000,7,FALSE)," ")</f>
        <v xml:space="preserve"> </v>
      </c>
    </row>
    <row r="232" spans="1:48" x14ac:dyDescent="0.2">
      <c r="A232" s="75" t="str">
        <f>'REKAP PAJAK'!W269</f>
        <v/>
      </c>
      <c r="B232" s="75" t="str">
        <f>IF(LEN(A232)&gt;1,VLOOKUP(A232,COPY!$O$2:$R$1000,4,FALSE),"")</f>
        <v/>
      </c>
      <c r="C232" s="75" t="str">
        <f t="shared" si="18"/>
        <v xml:space="preserve"> </v>
      </c>
      <c r="D232" s="75" t="str">
        <f t="shared" si="19"/>
        <v xml:space="preserve"> </v>
      </c>
      <c r="E232" s="75" t="str">
        <f t="shared" si="20"/>
        <v xml:space="preserve"> </v>
      </c>
      <c r="F232" s="75" t="str">
        <f t="shared" si="21"/>
        <v xml:space="preserve"> </v>
      </c>
      <c r="H232" s="75" t="str">
        <f t="shared" si="22"/>
        <v xml:space="preserve"> </v>
      </c>
      <c r="I232" s="75" t="str">
        <f t="shared" si="23"/>
        <v xml:space="preserve"> </v>
      </c>
      <c r="J232" s="90" t="str">
        <f>IFERROR(VLOOKUP(A232,COPY!$S$2:$W$1000,4,FALSE)," ")</f>
        <v xml:space="preserve"> </v>
      </c>
      <c r="K232" s="75" t="str">
        <f>IFERROR(VLOOKUP(A232,COPY!$S$2:$W$1000,5,FALSE)," ")</f>
        <v xml:space="preserve"> </v>
      </c>
      <c r="L232" s="75" t="str">
        <f>IF(B232="","",IF(LEFT(B232,2)="Ma",(VLOOKUP(B232,'Rekap Gaji'!$C$12:$D$26,2,FALSE))&amp;" Untuk "&amp;(PROPER('Rekap Gaji'!$B$2)),IF(LEFT(B232,2)="Mg","Pembelian Material Bahan Bangunan",IF(LEFT(B232,2)="Me","Biaya Pembelanjaan Menejemen",IF(LEFT(B232,1)="G",VLOOKUP(A232,COPY!$S$2:$AA$1000,2,FALSE)&amp;"( "&amp;TEXT(VLOOKUP(B232,'Rekap Gaji'!$A$12:$I$26,5,FALSE),"dd-mm-yyyy")&amp;" "&amp;TEXT(VLOOKUP(B232,'Rekap Gaji'!$A$12:$I$26,6,FALSE)&amp;" "&amp;TEXT(VLOOKUP(B232,'Rekap Gaji'!$A$12:$I$26,7,FALSE),"dd-mm-yyyy")&amp;" )"," "))))))</f>
        <v/>
      </c>
      <c r="M232" s="75" t="str">
        <f>IF(OR(LEFT(B232,2)="mg",LEFT(B232,2)="mE"),VLOOKUP(A232,COPY!$S$2:$AA$1000,2,FALSE),IF(LEFT(B232,1)="G"," ",IF(LEFT(B232,2)="ma"," "," ")))</f>
        <v xml:space="preserve"> </v>
      </c>
      <c r="N232" s="75" t="str">
        <f>IFERROR(VLOOKUP(A232&amp;"a",COPY!$S$2:$AA$1000,2,FALSE)," ")</f>
        <v xml:space="preserve"> </v>
      </c>
      <c r="O232" s="75" t="str">
        <f>IFERROR(VLOOKUP(A232&amp;"aa",COPY!$S$2:$AA$1000,2,FALSE)," ")</f>
        <v xml:space="preserve"> </v>
      </c>
      <c r="P232" s="75" t="str">
        <f>IFERROR(VLOOKUP(A232&amp;"aaa",COPY!$S$2:$AA$1000,2,FALSE)," ")</f>
        <v xml:space="preserve"> </v>
      </c>
      <c r="Q232" s="75" t="str">
        <f>IFERROR(VLOOKUP(A232&amp;"aaaa",COPY!$S$2:$AA$1000,2,FALSE)," ")</f>
        <v xml:space="preserve"> </v>
      </c>
      <c r="R232" s="75" t="str">
        <f>IFERROR(VLOOKUP(A232&amp;"aaaaa",COPY!$S$2:$AA$1000,2,FALSE)," ")</f>
        <v xml:space="preserve"> </v>
      </c>
      <c r="S232" s="75" t="str">
        <f>IFERROR(VLOOKUP(A232&amp;"aaaaaa",COPY!$S$2:$AA$1000,2,FALSE)," ")</f>
        <v xml:space="preserve"> </v>
      </c>
      <c r="T232" s="75" t="str">
        <f>IFERROR(VLOOKUP(A232&amp;"aaaaaaa",COPY!$S$2:$AA$1000,2,FALSE)," ")</f>
        <v xml:space="preserve"> </v>
      </c>
      <c r="U232" s="75" t="str">
        <f>IFERROR(VLOOKUP(A232&amp;"aaaaaaaa",COPY!$S$2:$AA$1000,2,FALSE)," ")</f>
        <v xml:space="preserve"> </v>
      </c>
      <c r="V232" s="75" t="str">
        <f>IFERROR(VLOOKUP(A232&amp;"aaaaaaaaa",COPY!$S$2:$AA$1000,2,FALSE)," ")</f>
        <v xml:space="preserve"> </v>
      </c>
      <c r="W232" s="75" t="str">
        <f>IFERROR(VLOOKUP(A232&amp;"aaaaaaaaaa",COPY!$S$2:$AA$1000,2,FALSE)," ")</f>
        <v xml:space="preserve"> </v>
      </c>
      <c r="X232" s="75" t="str">
        <f>IFERROR(VLOOKUP(A232&amp;"aaaaaaaaaaa",COPY!$S$2:$AA$1000,2,FALSE)," ")</f>
        <v xml:space="preserve"> </v>
      </c>
      <c r="Y232" s="90" t="str">
        <f>IF(OR(LEFT(B232,2)="mg",LEFT(B232,2)="mE"),VLOOKUP(A232,COPY!$S$2:$AA$1000,6,FALSE),IF(LEFT(B232,1)="G"," ",IF(LEFT(B232,2)="ma"," "," ")))</f>
        <v xml:space="preserve"> </v>
      </c>
      <c r="Z232" s="90" t="str">
        <f>IFERROR(VLOOKUP(A232&amp;"a",COPY!$S$2:$AA$1000,6,FALSE)," ")</f>
        <v xml:space="preserve"> </v>
      </c>
      <c r="AA232" s="90" t="str">
        <f>IFERROR(VLOOKUP(A232&amp;"aa",COPY!$S$2:$AA$1000,6,FALSE)," ")</f>
        <v xml:space="preserve"> </v>
      </c>
      <c r="AB232" s="90" t="str">
        <f>IFERROR(VLOOKUP(A232&amp;"aaa",COPY!$S$2:$AA$1000,6,FALSE)," ")</f>
        <v xml:space="preserve"> </v>
      </c>
      <c r="AC232" s="90" t="str">
        <f>IFERROR(VLOOKUP(A232&amp;"aaaa",COPY!$S$2:$AA$1000,6,FALSE)," ")</f>
        <v xml:space="preserve"> </v>
      </c>
      <c r="AD232" s="90" t="str">
        <f>IFERROR(VLOOKUP(A232&amp;"aaaaa",COPY!$S$2:$AA$1000,6,FALSE)," ")</f>
        <v xml:space="preserve"> </v>
      </c>
      <c r="AE232" s="90" t="str">
        <f>IFERROR(VLOOKUP(A232&amp;"aaaaaa",COPY!$S$2:$AA$1000,6,FALSE)," ")</f>
        <v xml:space="preserve"> </v>
      </c>
      <c r="AF232" s="90" t="str">
        <f>IFERROR(VLOOKUP(A232&amp;"aaaaaaa",COPY!$S$2:$AA$1000,6,FALSE)," ")</f>
        <v xml:space="preserve"> </v>
      </c>
      <c r="AG232" s="90" t="str">
        <f>IFERROR(VLOOKUP(A232&amp;"aaaaaaaa",COPY!$S$2:$AA$1000,6,FALSE)," ")</f>
        <v xml:space="preserve"> </v>
      </c>
      <c r="AH232" s="90" t="str">
        <f>IFERROR(VLOOKUP(A232&amp;"aaaaaaaaa",COPY!$S$2:$AA$1000,6,FALSE)," ")</f>
        <v xml:space="preserve"> </v>
      </c>
      <c r="AI232" s="90" t="str">
        <f>IFERROR(VLOOKUP(A232&amp;"aaaaaaaaaa",COPY!$S$2:$AA$1000,6,FALSE)," ")</f>
        <v xml:space="preserve"> </v>
      </c>
      <c r="AJ232" s="90" t="str">
        <f>IFERROR(VLOOKUP(A232&amp;"aaaaaaaaaaa",COPY!$S$2:$AA$1000,6,FALSE)," ")</f>
        <v xml:space="preserve"> </v>
      </c>
      <c r="AK232" s="90" t="str">
        <f>IF(LEFT(B232,2)="mg",VLOOKUP(A232,COPY!$S$2:$AA$1000,7,FALSE),IF(LEFT(B232,1)="G"," ",IF(LEFT(B232,2)="ma"," "," ")))</f>
        <v xml:space="preserve"> </v>
      </c>
      <c r="AL232" s="90" t="str">
        <f>IFERROR(VLOOKUP(A232&amp;"a",COPY!$S$2:$AA$1000,7,FALSE)," ")</f>
        <v xml:space="preserve"> </v>
      </c>
      <c r="AM232" s="90" t="str">
        <f>IFERROR(VLOOKUP(A232&amp;"aa",COPY!$S$2:$AA$1000,7,FALSE)," ")</f>
        <v xml:space="preserve"> </v>
      </c>
      <c r="AN232" s="90" t="str">
        <f>IFERROR(VLOOKUP(A232&amp;"aaa",COPY!$S$2:$AA$1000,7,FALSE)," ")</f>
        <v xml:space="preserve"> </v>
      </c>
      <c r="AO232" s="90" t="str">
        <f>IFERROR(VLOOKUP(A232&amp;"aaaa",COPY!$S$2:$AA$1000,7,FALSE)," ")</f>
        <v xml:space="preserve"> </v>
      </c>
      <c r="AP232" s="90" t="str">
        <f>IFERROR(VLOOKUP(A232&amp;"aaaaa",COPY!$S$2:$AA$1000,7,FALSE)," ")</f>
        <v xml:space="preserve"> </v>
      </c>
      <c r="AQ232" s="90" t="str">
        <f>IFERROR(VLOOKUP(A232&amp;"aaaaaa",COPY!$S$2:$AA$1000,7,FALSE)," ")</f>
        <v xml:space="preserve"> </v>
      </c>
      <c r="AR232" s="90" t="str">
        <f>IFERROR(VLOOKUP(A232&amp;"aaaaaaa",COPY!$S$2:$AA$1000,7,FALSE)," ")</f>
        <v xml:space="preserve"> </v>
      </c>
      <c r="AS232" s="90" t="str">
        <f>IFERROR(VLOOKUP(A232&amp;"aaaaaaaa",COPY!$S$2:$AA$1000,7,FALSE)," ")</f>
        <v xml:space="preserve"> </v>
      </c>
      <c r="AT232" s="90" t="str">
        <f>IFERROR(VLOOKUP(A232&amp;"aaaaaaaaa",COPY!$S$2:$AA$1000,7,FALSE)," ")</f>
        <v xml:space="preserve"> </v>
      </c>
      <c r="AU232" s="90" t="str">
        <f>IFERROR(VLOOKUP(A232&amp;"aaaaaaaaaa",COPY!$S$2:$AA$1000,7,FALSE)," ")</f>
        <v xml:space="preserve"> </v>
      </c>
      <c r="AV232" s="90" t="str">
        <f>IFERROR(VLOOKUP(A232&amp;"aaaaaaaaaaa",COPY!$S$2:$AA$1000,7,FALSE)," ")</f>
        <v xml:space="preserve"> </v>
      </c>
    </row>
    <row r="233" spans="1:48" x14ac:dyDescent="0.2">
      <c r="A233" s="75" t="str">
        <f>'REKAP PAJAK'!W270</f>
        <v/>
      </c>
      <c r="B233" s="75" t="str">
        <f>IF(LEN(A233)&gt;1,VLOOKUP(A233,COPY!$O$2:$R$1000,4,FALSE),"")</f>
        <v/>
      </c>
      <c r="C233" s="75" t="str">
        <f t="shared" si="18"/>
        <v xml:space="preserve"> </v>
      </c>
      <c r="D233" s="75" t="str">
        <f t="shared" si="19"/>
        <v xml:space="preserve"> </v>
      </c>
      <c r="E233" s="75" t="str">
        <f t="shared" si="20"/>
        <v xml:space="preserve"> </v>
      </c>
      <c r="F233" s="75" t="str">
        <f t="shared" si="21"/>
        <v xml:space="preserve"> </v>
      </c>
      <c r="H233" s="75" t="str">
        <f t="shared" si="22"/>
        <v xml:space="preserve"> </v>
      </c>
      <c r="I233" s="75" t="str">
        <f t="shared" si="23"/>
        <v xml:space="preserve"> </v>
      </c>
      <c r="J233" s="90" t="str">
        <f>IFERROR(VLOOKUP(A233,COPY!$S$2:$W$1000,4,FALSE)," ")</f>
        <v xml:space="preserve"> </v>
      </c>
      <c r="K233" s="75" t="str">
        <f>IFERROR(VLOOKUP(A233,COPY!$S$2:$W$1000,5,FALSE)," ")</f>
        <v xml:space="preserve"> </v>
      </c>
      <c r="L233" s="75" t="str">
        <f>IF(B233="","",IF(LEFT(B233,2)="Ma",(VLOOKUP(B233,'Rekap Gaji'!$C$12:$D$26,2,FALSE))&amp;" Untuk "&amp;(PROPER('Rekap Gaji'!$B$2)),IF(LEFT(B233,2)="Mg","Pembelian Material Bahan Bangunan",IF(LEFT(B233,2)="Me","Biaya Pembelanjaan Menejemen",IF(LEFT(B233,1)="G",VLOOKUP(A233,COPY!$S$2:$AA$1000,2,FALSE)&amp;"( "&amp;TEXT(VLOOKUP(B233,'Rekap Gaji'!$A$12:$I$26,5,FALSE),"dd-mm-yyyy")&amp;" "&amp;TEXT(VLOOKUP(B233,'Rekap Gaji'!$A$12:$I$26,6,FALSE)&amp;" "&amp;TEXT(VLOOKUP(B233,'Rekap Gaji'!$A$12:$I$26,7,FALSE),"dd-mm-yyyy")&amp;" )"," "))))))</f>
        <v/>
      </c>
      <c r="M233" s="75" t="str">
        <f>IF(OR(LEFT(B233,2)="mg",LEFT(B233,2)="mE"),VLOOKUP(A233,COPY!$S$2:$AA$1000,2,FALSE),IF(LEFT(B233,1)="G"," ",IF(LEFT(B233,2)="ma"," "," ")))</f>
        <v xml:space="preserve"> </v>
      </c>
      <c r="N233" s="75" t="str">
        <f>IFERROR(VLOOKUP(A233&amp;"a",COPY!$S$2:$AA$1000,2,FALSE)," ")</f>
        <v xml:space="preserve"> </v>
      </c>
      <c r="O233" s="75" t="str">
        <f>IFERROR(VLOOKUP(A233&amp;"aa",COPY!$S$2:$AA$1000,2,FALSE)," ")</f>
        <v xml:space="preserve"> </v>
      </c>
      <c r="P233" s="75" t="str">
        <f>IFERROR(VLOOKUP(A233&amp;"aaa",COPY!$S$2:$AA$1000,2,FALSE)," ")</f>
        <v xml:space="preserve"> </v>
      </c>
      <c r="Q233" s="75" t="str">
        <f>IFERROR(VLOOKUP(A233&amp;"aaaa",COPY!$S$2:$AA$1000,2,FALSE)," ")</f>
        <v xml:space="preserve"> </v>
      </c>
      <c r="R233" s="75" t="str">
        <f>IFERROR(VLOOKUP(A233&amp;"aaaaa",COPY!$S$2:$AA$1000,2,FALSE)," ")</f>
        <v xml:space="preserve"> </v>
      </c>
      <c r="S233" s="75" t="str">
        <f>IFERROR(VLOOKUP(A233&amp;"aaaaaa",COPY!$S$2:$AA$1000,2,FALSE)," ")</f>
        <v xml:space="preserve"> </v>
      </c>
      <c r="T233" s="75" t="str">
        <f>IFERROR(VLOOKUP(A233&amp;"aaaaaaa",COPY!$S$2:$AA$1000,2,FALSE)," ")</f>
        <v xml:space="preserve"> </v>
      </c>
      <c r="U233" s="75" t="str">
        <f>IFERROR(VLOOKUP(A233&amp;"aaaaaaaa",COPY!$S$2:$AA$1000,2,FALSE)," ")</f>
        <v xml:space="preserve"> </v>
      </c>
      <c r="V233" s="75" t="str">
        <f>IFERROR(VLOOKUP(A233&amp;"aaaaaaaaa",COPY!$S$2:$AA$1000,2,FALSE)," ")</f>
        <v xml:space="preserve"> </v>
      </c>
      <c r="W233" s="75" t="str">
        <f>IFERROR(VLOOKUP(A233&amp;"aaaaaaaaaa",COPY!$S$2:$AA$1000,2,FALSE)," ")</f>
        <v xml:space="preserve"> </v>
      </c>
      <c r="X233" s="75" t="str">
        <f>IFERROR(VLOOKUP(A233&amp;"aaaaaaaaaaa",COPY!$S$2:$AA$1000,2,FALSE)," ")</f>
        <v xml:space="preserve"> </v>
      </c>
      <c r="Y233" s="90" t="str">
        <f>IF(OR(LEFT(B233,2)="mg",LEFT(B233,2)="mE"),VLOOKUP(A233,COPY!$S$2:$AA$1000,6,FALSE),IF(LEFT(B233,1)="G"," ",IF(LEFT(B233,2)="ma"," "," ")))</f>
        <v xml:space="preserve"> </v>
      </c>
      <c r="Z233" s="90" t="str">
        <f>IFERROR(VLOOKUP(A233&amp;"a",COPY!$S$2:$AA$1000,6,FALSE)," ")</f>
        <v xml:space="preserve"> </v>
      </c>
      <c r="AA233" s="90" t="str">
        <f>IFERROR(VLOOKUP(A233&amp;"aa",COPY!$S$2:$AA$1000,6,FALSE)," ")</f>
        <v xml:space="preserve"> </v>
      </c>
      <c r="AB233" s="90" t="str">
        <f>IFERROR(VLOOKUP(A233&amp;"aaa",COPY!$S$2:$AA$1000,6,FALSE)," ")</f>
        <v xml:space="preserve"> </v>
      </c>
      <c r="AC233" s="90" t="str">
        <f>IFERROR(VLOOKUP(A233&amp;"aaaa",COPY!$S$2:$AA$1000,6,FALSE)," ")</f>
        <v xml:space="preserve"> </v>
      </c>
      <c r="AD233" s="90" t="str">
        <f>IFERROR(VLOOKUP(A233&amp;"aaaaa",COPY!$S$2:$AA$1000,6,FALSE)," ")</f>
        <v xml:space="preserve"> </v>
      </c>
      <c r="AE233" s="90" t="str">
        <f>IFERROR(VLOOKUP(A233&amp;"aaaaaa",COPY!$S$2:$AA$1000,6,FALSE)," ")</f>
        <v xml:space="preserve"> </v>
      </c>
      <c r="AF233" s="90" t="str">
        <f>IFERROR(VLOOKUP(A233&amp;"aaaaaaa",COPY!$S$2:$AA$1000,6,FALSE)," ")</f>
        <v xml:space="preserve"> </v>
      </c>
      <c r="AG233" s="90" t="str">
        <f>IFERROR(VLOOKUP(A233&amp;"aaaaaaaa",COPY!$S$2:$AA$1000,6,FALSE)," ")</f>
        <v xml:space="preserve"> </v>
      </c>
      <c r="AH233" s="90" t="str">
        <f>IFERROR(VLOOKUP(A233&amp;"aaaaaaaaa",COPY!$S$2:$AA$1000,6,FALSE)," ")</f>
        <v xml:space="preserve"> </v>
      </c>
      <c r="AI233" s="90" t="str">
        <f>IFERROR(VLOOKUP(A233&amp;"aaaaaaaaaa",COPY!$S$2:$AA$1000,6,FALSE)," ")</f>
        <v xml:space="preserve"> </v>
      </c>
      <c r="AJ233" s="90" t="str">
        <f>IFERROR(VLOOKUP(A233&amp;"aaaaaaaaaaa",COPY!$S$2:$AA$1000,6,FALSE)," ")</f>
        <v xml:space="preserve"> </v>
      </c>
      <c r="AK233" s="90" t="str">
        <f>IF(LEFT(B233,2)="mg",VLOOKUP(A233,COPY!$S$2:$AA$1000,7,FALSE),IF(LEFT(B233,1)="G"," ",IF(LEFT(B233,2)="ma"," "," ")))</f>
        <v xml:space="preserve"> </v>
      </c>
      <c r="AL233" s="90" t="str">
        <f>IFERROR(VLOOKUP(A233&amp;"a",COPY!$S$2:$AA$1000,7,FALSE)," ")</f>
        <v xml:space="preserve"> </v>
      </c>
      <c r="AM233" s="90" t="str">
        <f>IFERROR(VLOOKUP(A233&amp;"aa",COPY!$S$2:$AA$1000,7,FALSE)," ")</f>
        <v xml:space="preserve"> </v>
      </c>
      <c r="AN233" s="90" t="str">
        <f>IFERROR(VLOOKUP(A233&amp;"aaa",COPY!$S$2:$AA$1000,7,FALSE)," ")</f>
        <v xml:space="preserve"> </v>
      </c>
      <c r="AO233" s="90" t="str">
        <f>IFERROR(VLOOKUP(A233&amp;"aaaa",COPY!$S$2:$AA$1000,7,FALSE)," ")</f>
        <v xml:space="preserve"> </v>
      </c>
      <c r="AP233" s="90" t="str">
        <f>IFERROR(VLOOKUP(A233&amp;"aaaaa",COPY!$S$2:$AA$1000,7,FALSE)," ")</f>
        <v xml:space="preserve"> </v>
      </c>
      <c r="AQ233" s="90" t="str">
        <f>IFERROR(VLOOKUP(A233&amp;"aaaaaa",COPY!$S$2:$AA$1000,7,FALSE)," ")</f>
        <v xml:space="preserve"> </v>
      </c>
      <c r="AR233" s="90" t="str">
        <f>IFERROR(VLOOKUP(A233&amp;"aaaaaaa",COPY!$S$2:$AA$1000,7,FALSE)," ")</f>
        <v xml:space="preserve"> </v>
      </c>
      <c r="AS233" s="90" t="str">
        <f>IFERROR(VLOOKUP(A233&amp;"aaaaaaaa",COPY!$S$2:$AA$1000,7,FALSE)," ")</f>
        <v xml:space="preserve"> </v>
      </c>
      <c r="AT233" s="90" t="str">
        <f>IFERROR(VLOOKUP(A233&amp;"aaaaaaaaa",COPY!$S$2:$AA$1000,7,FALSE)," ")</f>
        <v xml:space="preserve"> </v>
      </c>
      <c r="AU233" s="90" t="str">
        <f>IFERROR(VLOOKUP(A233&amp;"aaaaaaaaaa",COPY!$S$2:$AA$1000,7,FALSE)," ")</f>
        <v xml:space="preserve"> </v>
      </c>
      <c r="AV233" s="90" t="str">
        <f>IFERROR(VLOOKUP(A233&amp;"aaaaaaaaaaa",COPY!$S$2:$AA$1000,7,FALSE)," ")</f>
        <v xml:space="preserve"> </v>
      </c>
    </row>
    <row r="234" spans="1:48" x14ac:dyDescent="0.2">
      <c r="A234" s="75" t="str">
        <f>'REKAP PAJAK'!W271</f>
        <v/>
      </c>
      <c r="B234" s="75" t="str">
        <f>IF(LEN(A234)&gt;1,VLOOKUP(A234,COPY!$O$2:$R$1000,4,FALSE),"")</f>
        <v/>
      </c>
      <c r="C234" s="75" t="str">
        <f t="shared" si="18"/>
        <v xml:space="preserve"> </v>
      </c>
      <c r="D234" s="75" t="str">
        <f t="shared" si="19"/>
        <v xml:space="preserve"> </v>
      </c>
      <c r="E234" s="75" t="str">
        <f t="shared" si="20"/>
        <v xml:space="preserve"> </v>
      </c>
      <c r="F234" s="75" t="str">
        <f t="shared" si="21"/>
        <v xml:space="preserve"> </v>
      </c>
      <c r="H234" s="75" t="str">
        <f t="shared" si="22"/>
        <v xml:space="preserve"> </v>
      </c>
      <c r="I234" s="75" t="str">
        <f t="shared" si="23"/>
        <v xml:space="preserve"> </v>
      </c>
      <c r="J234" s="90" t="str">
        <f>IFERROR(VLOOKUP(A234,COPY!$S$2:$W$1000,4,FALSE)," ")</f>
        <v xml:space="preserve"> </v>
      </c>
      <c r="K234" s="75" t="str">
        <f>IFERROR(VLOOKUP(A234,COPY!$S$2:$W$1000,5,FALSE)," ")</f>
        <v xml:space="preserve"> </v>
      </c>
      <c r="L234" s="75" t="str">
        <f>IF(B234="","",IF(LEFT(B234,2)="Ma",(VLOOKUP(B234,'Rekap Gaji'!$C$12:$D$26,2,FALSE))&amp;" Untuk "&amp;(PROPER('Rekap Gaji'!$B$2)),IF(LEFT(B234,2)="Mg","Pembelian Material Bahan Bangunan",IF(LEFT(B234,2)="Me","Biaya Pembelanjaan Menejemen",IF(LEFT(B234,1)="G",VLOOKUP(A234,COPY!$S$2:$AA$1000,2,FALSE)&amp;"( "&amp;TEXT(VLOOKUP(B234,'Rekap Gaji'!$A$12:$I$26,5,FALSE),"dd-mm-yyyy")&amp;" "&amp;TEXT(VLOOKUP(B234,'Rekap Gaji'!$A$12:$I$26,6,FALSE)&amp;" "&amp;TEXT(VLOOKUP(B234,'Rekap Gaji'!$A$12:$I$26,7,FALSE),"dd-mm-yyyy")&amp;" )"," "))))))</f>
        <v/>
      </c>
      <c r="M234" s="75" t="str">
        <f>IF(OR(LEFT(B234,2)="mg",LEFT(B234,2)="mE"),VLOOKUP(A234,COPY!$S$2:$AA$1000,2,FALSE),IF(LEFT(B234,1)="G"," ",IF(LEFT(B234,2)="ma"," "," ")))</f>
        <v xml:space="preserve"> </v>
      </c>
      <c r="N234" s="75" t="str">
        <f>IFERROR(VLOOKUP(A234&amp;"a",COPY!$S$2:$AA$1000,2,FALSE)," ")</f>
        <v xml:space="preserve"> </v>
      </c>
      <c r="O234" s="75" t="str">
        <f>IFERROR(VLOOKUP(A234&amp;"aa",COPY!$S$2:$AA$1000,2,FALSE)," ")</f>
        <v xml:space="preserve"> </v>
      </c>
      <c r="P234" s="75" t="str">
        <f>IFERROR(VLOOKUP(A234&amp;"aaa",COPY!$S$2:$AA$1000,2,FALSE)," ")</f>
        <v xml:space="preserve"> </v>
      </c>
      <c r="Q234" s="75" t="str">
        <f>IFERROR(VLOOKUP(A234&amp;"aaaa",COPY!$S$2:$AA$1000,2,FALSE)," ")</f>
        <v xml:space="preserve"> </v>
      </c>
      <c r="R234" s="75" t="str">
        <f>IFERROR(VLOOKUP(A234&amp;"aaaaa",COPY!$S$2:$AA$1000,2,FALSE)," ")</f>
        <v xml:space="preserve"> </v>
      </c>
      <c r="S234" s="75" t="str">
        <f>IFERROR(VLOOKUP(A234&amp;"aaaaaa",COPY!$S$2:$AA$1000,2,FALSE)," ")</f>
        <v xml:space="preserve"> </v>
      </c>
      <c r="T234" s="75" t="str">
        <f>IFERROR(VLOOKUP(A234&amp;"aaaaaaa",COPY!$S$2:$AA$1000,2,FALSE)," ")</f>
        <v xml:space="preserve"> </v>
      </c>
      <c r="U234" s="75" t="str">
        <f>IFERROR(VLOOKUP(A234&amp;"aaaaaaaa",COPY!$S$2:$AA$1000,2,FALSE)," ")</f>
        <v xml:space="preserve"> </v>
      </c>
      <c r="V234" s="75" t="str">
        <f>IFERROR(VLOOKUP(A234&amp;"aaaaaaaaa",COPY!$S$2:$AA$1000,2,FALSE)," ")</f>
        <v xml:space="preserve"> </v>
      </c>
      <c r="W234" s="75" t="str">
        <f>IFERROR(VLOOKUP(A234&amp;"aaaaaaaaaa",COPY!$S$2:$AA$1000,2,FALSE)," ")</f>
        <v xml:space="preserve"> </v>
      </c>
      <c r="X234" s="75" t="str">
        <f>IFERROR(VLOOKUP(A234&amp;"aaaaaaaaaaa",COPY!$S$2:$AA$1000,2,FALSE)," ")</f>
        <v xml:space="preserve"> </v>
      </c>
      <c r="Y234" s="90" t="str">
        <f>IF(OR(LEFT(B234,2)="mg",LEFT(B234,2)="mE"),VLOOKUP(A234,COPY!$S$2:$AA$1000,6,FALSE),IF(LEFT(B234,1)="G"," ",IF(LEFT(B234,2)="ma"," "," ")))</f>
        <v xml:space="preserve"> </v>
      </c>
      <c r="Z234" s="90" t="str">
        <f>IFERROR(VLOOKUP(A234&amp;"a",COPY!$S$2:$AA$1000,6,FALSE)," ")</f>
        <v xml:space="preserve"> </v>
      </c>
      <c r="AA234" s="90" t="str">
        <f>IFERROR(VLOOKUP(A234&amp;"aa",COPY!$S$2:$AA$1000,6,FALSE)," ")</f>
        <v xml:space="preserve"> </v>
      </c>
      <c r="AB234" s="90" t="str">
        <f>IFERROR(VLOOKUP(A234&amp;"aaa",COPY!$S$2:$AA$1000,6,FALSE)," ")</f>
        <v xml:space="preserve"> </v>
      </c>
      <c r="AC234" s="90" t="str">
        <f>IFERROR(VLOOKUP(A234&amp;"aaaa",COPY!$S$2:$AA$1000,6,FALSE)," ")</f>
        <v xml:space="preserve"> </v>
      </c>
      <c r="AD234" s="90" t="str">
        <f>IFERROR(VLOOKUP(A234&amp;"aaaaa",COPY!$S$2:$AA$1000,6,FALSE)," ")</f>
        <v xml:space="preserve"> </v>
      </c>
      <c r="AE234" s="90" t="str">
        <f>IFERROR(VLOOKUP(A234&amp;"aaaaaa",COPY!$S$2:$AA$1000,6,FALSE)," ")</f>
        <v xml:space="preserve"> </v>
      </c>
      <c r="AF234" s="90" t="str">
        <f>IFERROR(VLOOKUP(A234&amp;"aaaaaaa",COPY!$S$2:$AA$1000,6,FALSE)," ")</f>
        <v xml:space="preserve"> </v>
      </c>
      <c r="AG234" s="90" t="str">
        <f>IFERROR(VLOOKUP(A234&amp;"aaaaaaaa",COPY!$S$2:$AA$1000,6,FALSE)," ")</f>
        <v xml:space="preserve"> </v>
      </c>
      <c r="AH234" s="90" t="str">
        <f>IFERROR(VLOOKUP(A234&amp;"aaaaaaaaa",COPY!$S$2:$AA$1000,6,FALSE)," ")</f>
        <v xml:space="preserve"> </v>
      </c>
      <c r="AI234" s="90" t="str">
        <f>IFERROR(VLOOKUP(A234&amp;"aaaaaaaaaa",COPY!$S$2:$AA$1000,6,FALSE)," ")</f>
        <v xml:space="preserve"> </v>
      </c>
      <c r="AJ234" s="90" t="str">
        <f>IFERROR(VLOOKUP(A234&amp;"aaaaaaaaaaa",COPY!$S$2:$AA$1000,6,FALSE)," ")</f>
        <v xml:space="preserve"> </v>
      </c>
      <c r="AK234" s="90" t="str">
        <f>IF(LEFT(B234,2)="mg",VLOOKUP(A234,COPY!$S$2:$AA$1000,7,FALSE),IF(LEFT(B234,1)="G"," ",IF(LEFT(B234,2)="ma"," "," ")))</f>
        <v xml:space="preserve"> </v>
      </c>
      <c r="AL234" s="90" t="str">
        <f>IFERROR(VLOOKUP(A234&amp;"a",COPY!$S$2:$AA$1000,7,FALSE)," ")</f>
        <v xml:space="preserve"> </v>
      </c>
      <c r="AM234" s="90" t="str">
        <f>IFERROR(VLOOKUP(A234&amp;"aa",COPY!$S$2:$AA$1000,7,FALSE)," ")</f>
        <v xml:space="preserve"> </v>
      </c>
      <c r="AN234" s="90" t="str">
        <f>IFERROR(VLOOKUP(A234&amp;"aaa",COPY!$S$2:$AA$1000,7,FALSE)," ")</f>
        <v xml:space="preserve"> </v>
      </c>
      <c r="AO234" s="90" t="str">
        <f>IFERROR(VLOOKUP(A234&amp;"aaaa",COPY!$S$2:$AA$1000,7,FALSE)," ")</f>
        <v xml:space="preserve"> </v>
      </c>
      <c r="AP234" s="90" t="str">
        <f>IFERROR(VLOOKUP(A234&amp;"aaaaa",COPY!$S$2:$AA$1000,7,FALSE)," ")</f>
        <v xml:space="preserve"> </v>
      </c>
      <c r="AQ234" s="90" t="str">
        <f>IFERROR(VLOOKUP(A234&amp;"aaaaaa",COPY!$S$2:$AA$1000,7,FALSE)," ")</f>
        <v xml:space="preserve"> </v>
      </c>
      <c r="AR234" s="90" t="str">
        <f>IFERROR(VLOOKUP(A234&amp;"aaaaaaa",COPY!$S$2:$AA$1000,7,FALSE)," ")</f>
        <v xml:space="preserve"> </v>
      </c>
      <c r="AS234" s="90" t="str">
        <f>IFERROR(VLOOKUP(A234&amp;"aaaaaaaa",COPY!$S$2:$AA$1000,7,FALSE)," ")</f>
        <v xml:space="preserve"> </v>
      </c>
      <c r="AT234" s="90" t="str">
        <f>IFERROR(VLOOKUP(A234&amp;"aaaaaaaaa",COPY!$S$2:$AA$1000,7,FALSE)," ")</f>
        <v xml:space="preserve"> </v>
      </c>
      <c r="AU234" s="90" t="str">
        <f>IFERROR(VLOOKUP(A234&amp;"aaaaaaaaaa",COPY!$S$2:$AA$1000,7,FALSE)," ")</f>
        <v xml:space="preserve"> </v>
      </c>
      <c r="AV234" s="90" t="str">
        <f>IFERROR(VLOOKUP(A234&amp;"aaaaaaaaaaa",COPY!$S$2:$AA$1000,7,FALSE)," ")</f>
        <v xml:space="preserve"> </v>
      </c>
    </row>
    <row r="235" spans="1:48" x14ac:dyDescent="0.2">
      <c r="A235" s="75" t="str">
        <f>'REKAP PAJAK'!W272</f>
        <v/>
      </c>
      <c r="B235" s="75" t="str">
        <f>IF(LEN(A235)&gt;1,VLOOKUP(A235,COPY!$O$2:$R$1000,4,FALSE),"")</f>
        <v/>
      </c>
      <c r="C235" s="75" t="str">
        <f t="shared" si="18"/>
        <v xml:space="preserve"> </v>
      </c>
      <c r="D235" s="75" t="str">
        <f t="shared" si="19"/>
        <v xml:space="preserve"> </v>
      </c>
      <c r="E235" s="75" t="str">
        <f t="shared" si="20"/>
        <v xml:space="preserve"> </v>
      </c>
      <c r="F235" s="75" t="str">
        <f t="shared" si="21"/>
        <v xml:space="preserve"> </v>
      </c>
      <c r="H235" s="75" t="str">
        <f t="shared" si="22"/>
        <v xml:space="preserve"> </v>
      </c>
      <c r="I235" s="75" t="str">
        <f t="shared" si="23"/>
        <v xml:space="preserve"> </v>
      </c>
      <c r="J235" s="90" t="str">
        <f>IFERROR(VLOOKUP(A235,COPY!$S$2:$W$1000,4,FALSE)," ")</f>
        <v xml:space="preserve"> </v>
      </c>
      <c r="K235" s="75" t="str">
        <f>IFERROR(VLOOKUP(A235,COPY!$S$2:$W$1000,5,FALSE)," ")</f>
        <v xml:space="preserve"> </v>
      </c>
      <c r="L235" s="75" t="str">
        <f>IF(B235="","",IF(LEFT(B235,2)="Ma",(VLOOKUP(B235,'Rekap Gaji'!$C$12:$D$26,2,FALSE))&amp;" Untuk "&amp;(PROPER('Rekap Gaji'!$B$2)),IF(LEFT(B235,2)="Mg","Pembelian Material Bahan Bangunan",IF(LEFT(B235,2)="Me","Biaya Pembelanjaan Menejemen",IF(LEFT(B235,1)="G",VLOOKUP(A235,COPY!$S$2:$AA$1000,2,FALSE)&amp;"( "&amp;TEXT(VLOOKUP(B235,'Rekap Gaji'!$A$12:$I$26,5,FALSE),"dd-mm-yyyy")&amp;" "&amp;TEXT(VLOOKUP(B235,'Rekap Gaji'!$A$12:$I$26,6,FALSE)&amp;" "&amp;TEXT(VLOOKUP(B235,'Rekap Gaji'!$A$12:$I$26,7,FALSE),"dd-mm-yyyy")&amp;" )"," "))))))</f>
        <v/>
      </c>
      <c r="M235" s="75" t="str">
        <f>IF(OR(LEFT(B235,2)="mg",LEFT(B235,2)="mE"),VLOOKUP(A235,COPY!$S$2:$AA$1000,2,FALSE),IF(LEFT(B235,1)="G"," ",IF(LEFT(B235,2)="ma"," "," ")))</f>
        <v xml:space="preserve"> </v>
      </c>
      <c r="N235" s="75" t="str">
        <f>IFERROR(VLOOKUP(A235&amp;"a",COPY!$S$2:$AA$1000,2,FALSE)," ")</f>
        <v xml:space="preserve"> </v>
      </c>
      <c r="O235" s="75" t="str">
        <f>IFERROR(VLOOKUP(A235&amp;"aa",COPY!$S$2:$AA$1000,2,FALSE)," ")</f>
        <v xml:space="preserve"> </v>
      </c>
      <c r="P235" s="75" t="str">
        <f>IFERROR(VLOOKUP(A235&amp;"aaa",COPY!$S$2:$AA$1000,2,FALSE)," ")</f>
        <v xml:space="preserve"> </v>
      </c>
      <c r="Q235" s="75" t="str">
        <f>IFERROR(VLOOKUP(A235&amp;"aaaa",COPY!$S$2:$AA$1000,2,FALSE)," ")</f>
        <v xml:space="preserve"> </v>
      </c>
      <c r="R235" s="75" t="str">
        <f>IFERROR(VLOOKUP(A235&amp;"aaaaa",COPY!$S$2:$AA$1000,2,FALSE)," ")</f>
        <v xml:space="preserve"> </v>
      </c>
      <c r="S235" s="75" t="str">
        <f>IFERROR(VLOOKUP(A235&amp;"aaaaaa",COPY!$S$2:$AA$1000,2,FALSE)," ")</f>
        <v xml:space="preserve"> </v>
      </c>
      <c r="T235" s="75" t="str">
        <f>IFERROR(VLOOKUP(A235&amp;"aaaaaaa",COPY!$S$2:$AA$1000,2,FALSE)," ")</f>
        <v xml:space="preserve"> </v>
      </c>
      <c r="U235" s="75" t="str">
        <f>IFERROR(VLOOKUP(A235&amp;"aaaaaaaa",COPY!$S$2:$AA$1000,2,FALSE)," ")</f>
        <v xml:space="preserve"> </v>
      </c>
      <c r="V235" s="75" t="str">
        <f>IFERROR(VLOOKUP(A235&amp;"aaaaaaaaa",COPY!$S$2:$AA$1000,2,FALSE)," ")</f>
        <v xml:space="preserve"> </v>
      </c>
      <c r="W235" s="75" t="str">
        <f>IFERROR(VLOOKUP(A235&amp;"aaaaaaaaaa",COPY!$S$2:$AA$1000,2,FALSE)," ")</f>
        <v xml:space="preserve"> </v>
      </c>
      <c r="X235" s="75" t="str">
        <f>IFERROR(VLOOKUP(A235&amp;"aaaaaaaaaaa",COPY!$S$2:$AA$1000,2,FALSE)," ")</f>
        <v xml:space="preserve"> </v>
      </c>
      <c r="Y235" s="90" t="str">
        <f>IF(OR(LEFT(B235,2)="mg",LEFT(B235,2)="mE"),VLOOKUP(A235,COPY!$S$2:$AA$1000,6,FALSE),IF(LEFT(B235,1)="G"," ",IF(LEFT(B235,2)="ma"," "," ")))</f>
        <v xml:space="preserve"> </v>
      </c>
      <c r="Z235" s="90" t="str">
        <f>IFERROR(VLOOKUP(A235&amp;"a",COPY!$S$2:$AA$1000,6,FALSE)," ")</f>
        <v xml:space="preserve"> </v>
      </c>
      <c r="AA235" s="90" t="str">
        <f>IFERROR(VLOOKUP(A235&amp;"aa",COPY!$S$2:$AA$1000,6,FALSE)," ")</f>
        <v xml:space="preserve"> </v>
      </c>
      <c r="AB235" s="90" t="str">
        <f>IFERROR(VLOOKUP(A235&amp;"aaa",COPY!$S$2:$AA$1000,6,FALSE)," ")</f>
        <v xml:space="preserve"> </v>
      </c>
      <c r="AC235" s="90" t="str">
        <f>IFERROR(VLOOKUP(A235&amp;"aaaa",COPY!$S$2:$AA$1000,6,FALSE)," ")</f>
        <v xml:space="preserve"> </v>
      </c>
      <c r="AD235" s="90" t="str">
        <f>IFERROR(VLOOKUP(A235&amp;"aaaaa",COPY!$S$2:$AA$1000,6,FALSE)," ")</f>
        <v xml:space="preserve"> </v>
      </c>
      <c r="AE235" s="90" t="str">
        <f>IFERROR(VLOOKUP(A235&amp;"aaaaaa",COPY!$S$2:$AA$1000,6,FALSE)," ")</f>
        <v xml:space="preserve"> </v>
      </c>
      <c r="AF235" s="90" t="str">
        <f>IFERROR(VLOOKUP(A235&amp;"aaaaaaa",COPY!$S$2:$AA$1000,6,FALSE)," ")</f>
        <v xml:space="preserve"> </v>
      </c>
      <c r="AG235" s="90" t="str">
        <f>IFERROR(VLOOKUP(A235&amp;"aaaaaaaa",COPY!$S$2:$AA$1000,6,FALSE)," ")</f>
        <v xml:space="preserve"> </v>
      </c>
      <c r="AH235" s="90" t="str">
        <f>IFERROR(VLOOKUP(A235&amp;"aaaaaaaaa",COPY!$S$2:$AA$1000,6,FALSE)," ")</f>
        <v xml:space="preserve"> </v>
      </c>
      <c r="AI235" s="90" t="str">
        <f>IFERROR(VLOOKUP(A235&amp;"aaaaaaaaaa",COPY!$S$2:$AA$1000,6,FALSE)," ")</f>
        <v xml:space="preserve"> </v>
      </c>
      <c r="AJ235" s="90" t="str">
        <f>IFERROR(VLOOKUP(A235&amp;"aaaaaaaaaaa",COPY!$S$2:$AA$1000,6,FALSE)," ")</f>
        <v xml:space="preserve"> </v>
      </c>
      <c r="AK235" s="90" t="str">
        <f>IF(LEFT(B235,2)="mg",VLOOKUP(A235,COPY!$S$2:$AA$1000,7,FALSE),IF(LEFT(B235,1)="G"," ",IF(LEFT(B235,2)="ma"," "," ")))</f>
        <v xml:space="preserve"> </v>
      </c>
      <c r="AL235" s="90" t="str">
        <f>IFERROR(VLOOKUP(A235&amp;"a",COPY!$S$2:$AA$1000,7,FALSE)," ")</f>
        <v xml:space="preserve"> </v>
      </c>
      <c r="AM235" s="90" t="str">
        <f>IFERROR(VLOOKUP(A235&amp;"aa",COPY!$S$2:$AA$1000,7,FALSE)," ")</f>
        <v xml:space="preserve"> </v>
      </c>
      <c r="AN235" s="90" t="str">
        <f>IFERROR(VLOOKUP(A235&amp;"aaa",COPY!$S$2:$AA$1000,7,FALSE)," ")</f>
        <v xml:space="preserve"> </v>
      </c>
      <c r="AO235" s="90" t="str">
        <f>IFERROR(VLOOKUP(A235&amp;"aaaa",COPY!$S$2:$AA$1000,7,FALSE)," ")</f>
        <v xml:space="preserve"> </v>
      </c>
      <c r="AP235" s="90" t="str">
        <f>IFERROR(VLOOKUP(A235&amp;"aaaaa",COPY!$S$2:$AA$1000,7,FALSE)," ")</f>
        <v xml:space="preserve"> </v>
      </c>
      <c r="AQ235" s="90" t="str">
        <f>IFERROR(VLOOKUP(A235&amp;"aaaaaa",COPY!$S$2:$AA$1000,7,FALSE)," ")</f>
        <v xml:space="preserve"> </v>
      </c>
      <c r="AR235" s="90" t="str">
        <f>IFERROR(VLOOKUP(A235&amp;"aaaaaaa",COPY!$S$2:$AA$1000,7,FALSE)," ")</f>
        <v xml:space="preserve"> </v>
      </c>
      <c r="AS235" s="90" t="str">
        <f>IFERROR(VLOOKUP(A235&amp;"aaaaaaaa",COPY!$S$2:$AA$1000,7,FALSE)," ")</f>
        <v xml:space="preserve"> </v>
      </c>
      <c r="AT235" s="90" t="str">
        <f>IFERROR(VLOOKUP(A235&amp;"aaaaaaaaa",COPY!$S$2:$AA$1000,7,FALSE)," ")</f>
        <v xml:space="preserve"> </v>
      </c>
      <c r="AU235" s="90" t="str">
        <f>IFERROR(VLOOKUP(A235&amp;"aaaaaaaaaa",COPY!$S$2:$AA$1000,7,FALSE)," ")</f>
        <v xml:space="preserve"> </v>
      </c>
      <c r="AV235" s="90" t="str">
        <f>IFERROR(VLOOKUP(A235&amp;"aaaaaaaaaaa",COPY!$S$2:$AA$1000,7,FALSE)," ")</f>
        <v xml:space="preserve"> </v>
      </c>
    </row>
    <row r="236" spans="1:48" x14ac:dyDescent="0.2">
      <c r="A236" s="75" t="str">
        <f>'REKAP PAJAK'!W273</f>
        <v/>
      </c>
      <c r="B236" s="75" t="str">
        <f>IF(LEN(A236)&gt;1,VLOOKUP(A236,COPY!$O$2:$R$1000,4,FALSE),"")</f>
        <v/>
      </c>
      <c r="C236" s="75" t="str">
        <f t="shared" si="18"/>
        <v xml:space="preserve"> </v>
      </c>
      <c r="D236" s="75" t="str">
        <f t="shared" si="19"/>
        <v xml:space="preserve"> </v>
      </c>
      <c r="E236" s="75" t="str">
        <f t="shared" si="20"/>
        <v xml:space="preserve"> </v>
      </c>
      <c r="F236" s="75" t="str">
        <f t="shared" si="21"/>
        <v xml:space="preserve"> </v>
      </c>
      <c r="H236" s="75" t="str">
        <f t="shared" si="22"/>
        <v xml:space="preserve"> </v>
      </c>
      <c r="I236" s="75" t="str">
        <f t="shared" si="23"/>
        <v xml:space="preserve"> </v>
      </c>
      <c r="J236" s="90" t="str">
        <f>IFERROR(VLOOKUP(A236,COPY!$S$2:$W$1000,4,FALSE)," ")</f>
        <v xml:space="preserve"> </v>
      </c>
      <c r="K236" s="75" t="str">
        <f>IFERROR(VLOOKUP(A236,COPY!$S$2:$W$1000,5,FALSE)," ")</f>
        <v xml:space="preserve"> </v>
      </c>
      <c r="L236" s="75" t="str">
        <f>IF(B236="","",IF(LEFT(B236,2)="Ma",(VLOOKUP(B236,'Rekap Gaji'!$C$12:$D$26,2,FALSE))&amp;" Untuk "&amp;(PROPER('Rekap Gaji'!$B$2)),IF(LEFT(B236,2)="Mg","Pembelian Material Bahan Bangunan",IF(LEFT(B236,2)="Me","Biaya Pembelanjaan Menejemen",IF(LEFT(B236,1)="G",VLOOKUP(A236,COPY!$S$2:$AA$1000,2,FALSE)&amp;"( "&amp;TEXT(VLOOKUP(B236,'Rekap Gaji'!$A$12:$I$26,5,FALSE),"dd-mm-yyyy")&amp;" "&amp;TEXT(VLOOKUP(B236,'Rekap Gaji'!$A$12:$I$26,6,FALSE)&amp;" "&amp;TEXT(VLOOKUP(B236,'Rekap Gaji'!$A$12:$I$26,7,FALSE),"dd-mm-yyyy")&amp;" )"," "))))))</f>
        <v/>
      </c>
      <c r="M236" s="75" t="str">
        <f>IF(OR(LEFT(B236,2)="mg",LEFT(B236,2)="mE"),VLOOKUP(A236,COPY!$S$2:$AA$1000,2,FALSE),IF(LEFT(B236,1)="G"," ",IF(LEFT(B236,2)="ma"," "," ")))</f>
        <v xml:space="preserve"> </v>
      </c>
      <c r="N236" s="75" t="str">
        <f>IFERROR(VLOOKUP(A236&amp;"a",COPY!$S$2:$AA$1000,2,FALSE)," ")</f>
        <v xml:space="preserve"> </v>
      </c>
      <c r="O236" s="75" t="str">
        <f>IFERROR(VLOOKUP(A236&amp;"aa",COPY!$S$2:$AA$1000,2,FALSE)," ")</f>
        <v xml:space="preserve"> </v>
      </c>
      <c r="P236" s="75" t="str">
        <f>IFERROR(VLOOKUP(A236&amp;"aaa",COPY!$S$2:$AA$1000,2,FALSE)," ")</f>
        <v xml:space="preserve"> </v>
      </c>
      <c r="Q236" s="75" t="str">
        <f>IFERROR(VLOOKUP(A236&amp;"aaaa",COPY!$S$2:$AA$1000,2,FALSE)," ")</f>
        <v xml:space="preserve"> </v>
      </c>
      <c r="R236" s="75" t="str">
        <f>IFERROR(VLOOKUP(A236&amp;"aaaaa",COPY!$S$2:$AA$1000,2,FALSE)," ")</f>
        <v xml:space="preserve"> </v>
      </c>
      <c r="S236" s="75" t="str">
        <f>IFERROR(VLOOKUP(A236&amp;"aaaaaa",COPY!$S$2:$AA$1000,2,FALSE)," ")</f>
        <v xml:space="preserve"> </v>
      </c>
      <c r="T236" s="75" t="str">
        <f>IFERROR(VLOOKUP(A236&amp;"aaaaaaa",COPY!$S$2:$AA$1000,2,FALSE)," ")</f>
        <v xml:space="preserve"> </v>
      </c>
      <c r="U236" s="75" t="str">
        <f>IFERROR(VLOOKUP(A236&amp;"aaaaaaaa",COPY!$S$2:$AA$1000,2,FALSE)," ")</f>
        <v xml:space="preserve"> </v>
      </c>
      <c r="V236" s="75" t="str">
        <f>IFERROR(VLOOKUP(A236&amp;"aaaaaaaaa",COPY!$S$2:$AA$1000,2,FALSE)," ")</f>
        <v xml:space="preserve"> </v>
      </c>
      <c r="W236" s="75" t="str">
        <f>IFERROR(VLOOKUP(A236&amp;"aaaaaaaaaa",COPY!$S$2:$AA$1000,2,FALSE)," ")</f>
        <v xml:space="preserve"> </v>
      </c>
      <c r="X236" s="75" t="str">
        <f>IFERROR(VLOOKUP(A236&amp;"aaaaaaaaaaa",COPY!$S$2:$AA$1000,2,FALSE)," ")</f>
        <v xml:space="preserve"> </v>
      </c>
      <c r="Y236" s="90" t="str">
        <f>IF(OR(LEFT(B236,2)="mg",LEFT(B236,2)="mE"),VLOOKUP(A236,COPY!$S$2:$AA$1000,6,FALSE),IF(LEFT(B236,1)="G"," ",IF(LEFT(B236,2)="ma"," "," ")))</f>
        <v xml:space="preserve"> </v>
      </c>
      <c r="Z236" s="90" t="str">
        <f>IFERROR(VLOOKUP(A236&amp;"a",COPY!$S$2:$AA$1000,6,FALSE)," ")</f>
        <v xml:space="preserve"> </v>
      </c>
      <c r="AA236" s="90" t="str">
        <f>IFERROR(VLOOKUP(A236&amp;"aa",COPY!$S$2:$AA$1000,6,FALSE)," ")</f>
        <v xml:space="preserve"> </v>
      </c>
      <c r="AB236" s="90" t="str">
        <f>IFERROR(VLOOKUP(A236&amp;"aaa",COPY!$S$2:$AA$1000,6,FALSE)," ")</f>
        <v xml:space="preserve"> </v>
      </c>
      <c r="AC236" s="90" t="str">
        <f>IFERROR(VLOOKUP(A236&amp;"aaaa",COPY!$S$2:$AA$1000,6,FALSE)," ")</f>
        <v xml:space="preserve"> </v>
      </c>
      <c r="AD236" s="90" t="str">
        <f>IFERROR(VLOOKUP(A236&amp;"aaaaa",COPY!$S$2:$AA$1000,6,FALSE)," ")</f>
        <v xml:space="preserve"> </v>
      </c>
      <c r="AE236" s="90" t="str">
        <f>IFERROR(VLOOKUP(A236&amp;"aaaaaa",COPY!$S$2:$AA$1000,6,FALSE)," ")</f>
        <v xml:space="preserve"> </v>
      </c>
      <c r="AF236" s="90" t="str">
        <f>IFERROR(VLOOKUP(A236&amp;"aaaaaaa",COPY!$S$2:$AA$1000,6,FALSE)," ")</f>
        <v xml:space="preserve"> </v>
      </c>
      <c r="AG236" s="90" t="str">
        <f>IFERROR(VLOOKUP(A236&amp;"aaaaaaaa",COPY!$S$2:$AA$1000,6,FALSE)," ")</f>
        <v xml:space="preserve"> </v>
      </c>
      <c r="AH236" s="90" t="str">
        <f>IFERROR(VLOOKUP(A236&amp;"aaaaaaaaa",COPY!$S$2:$AA$1000,6,FALSE)," ")</f>
        <v xml:space="preserve"> </v>
      </c>
      <c r="AI236" s="90" t="str">
        <f>IFERROR(VLOOKUP(A236&amp;"aaaaaaaaaa",COPY!$S$2:$AA$1000,6,FALSE)," ")</f>
        <v xml:space="preserve"> </v>
      </c>
      <c r="AJ236" s="90" t="str">
        <f>IFERROR(VLOOKUP(A236&amp;"aaaaaaaaaaa",COPY!$S$2:$AA$1000,6,FALSE)," ")</f>
        <v xml:space="preserve"> </v>
      </c>
      <c r="AK236" s="90" t="str">
        <f>IF(LEFT(B236,2)="mg",VLOOKUP(A236,COPY!$S$2:$AA$1000,7,FALSE),IF(LEFT(B236,1)="G"," ",IF(LEFT(B236,2)="ma"," "," ")))</f>
        <v xml:space="preserve"> </v>
      </c>
      <c r="AL236" s="90" t="str">
        <f>IFERROR(VLOOKUP(A236&amp;"a",COPY!$S$2:$AA$1000,7,FALSE)," ")</f>
        <v xml:space="preserve"> </v>
      </c>
      <c r="AM236" s="90" t="str">
        <f>IFERROR(VLOOKUP(A236&amp;"aa",COPY!$S$2:$AA$1000,7,FALSE)," ")</f>
        <v xml:space="preserve"> </v>
      </c>
      <c r="AN236" s="90" t="str">
        <f>IFERROR(VLOOKUP(A236&amp;"aaa",COPY!$S$2:$AA$1000,7,FALSE)," ")</f>
        <v xml:space="preserve"> </v>
      </c>
      <c r="AO236" s="90" t="str">
        <f>IFERROR(VLOOKUP(A236&amp;"aaaa",COPY!$S$2:$AA$1000,7,FALSE)," ")</f>
        <v xml:space="preserve"> </v>
      </c>
      <c r="AP236" s="90" t="str">
        <f>IFERROR(VLOOKUP(A236&amp;"aaaaa",COPY!$S$2:$AA$1000,7,FALSE)," ")</f>
        <v xml:space="preserve"> </v>
      </c>
      <c r="AQ236" s="90" t="str">
        <f>IFERROR(VLOOKUP(A236&amp;"aaaaaa",COPY!$S$2:$AA$1000,7,FALSE)," ")</f>
        <v xml:space="preserve"> </v>
      </c>
      <c r="AR236" s="90" t="str">
        <f>IFERROR(VLOOKUP(A236&amp;"aaaaaaa",COPY!$S$2:$AA$1000,7,FALSE)," ")</f>
        <v xml:space="preserve"> </v>
      </c>
      <c r="AS236" s="90" t="str">
        <f>IFERROR(VLOOKUP(A236&amp;"aaaaaaaa",COPY!$S$2:$AA$1000,7,FALSE)," ")</f>
        <v xml:space="preserve"> </v>
      </c>
      <c r="AT236" s="90" t="str">
        <f>IFERROR(VLOOKUP(A236&amp;"aaaaaaaaa",COPY!$S$2:$AA$1000,7,FALSE)," ")</f>
        <v xml:space="preserve"> </v>
      </c>
      <c r="AU236" s="90" t="str">
        <f>IFERROR(VLOOKUP(A236&amp;"aaaaaaaaaa",COPY!$S$2:$AA$1000,7,FALSE)," ")</f>
        <v xml:space="preserve"> </v>
      </c>
      <c r="AV236" s="90" t="str">
        <f>IFERROR(VLOOKUP(A236&amp;"aaaaaaaaaaa",COPY!$S$2:$AA$1000,7,FALSE)," ")</f>
        <v xml:space="preserve"> </v>
      </c>
    </row>
    <row r="237" spans="1:48" x14ac:dyDescent="0.2">
      <c r="A237" s="75" t="str">
        <f>'REKAP PAJAK'!W274</f>
        <v/>
      </c>
      <c r="B237" s="75" t="str">
        <f>IF(LEN(A237)&gt;1,VLOOKUP(A237,COPY!$O$2:$R$1000,4,FALSE),"")</f>
        <v/>
      </c>
      <c r="C237" s="75" t="str">
        <f t="shared" si="18"/>
        <v xml:space="preserve"> </v>
      </c>
      <c r="D237" s="75" t="str">
        <f t="shared" si="19"/>
        <v xml:space="preserve"> </v>
      </c>
      <c r="E237" s="75" t="str">
        <f t="shared" si="20"/>
        <v xml:space="preserve"> </v>
      </c>
      <c r="F237" s="75" t="str">
        <f t="shared" si="21"/>
        <v xml:space="preserve"> </v>
      </c>
      <c r="H237" s="75" t="str">
        <f t="shared" si="22"/>
        <v xml:space="preserve"> </v>
      </c>
      <c r="I237" s="75" t="str">
        <f t="shared" si="23"/>
        <v xml:space="preserve"> </v>
      </c>
      <c r="J237" s="90" t="str">
        <f>IFERROR(VLOOKUP(A237,COPY!$S$2:$W$1000,4,FALSE)," ")</f>
        <v xml:space="preserve"> </v>
      </c>
      <c r="K237" s="75" t="str">
        <f>IFERROR(VLOOKUP(A237,COPY!$S$2:$W$1000,5,FALSE)," ")</f>
        <v xml:space="preserve"> </v>
      </c>
      <c r="L237" s="75" t="str">
        <f>IF(B237="","",IF(LEFT(B237,2)="Ma",(VLOOKUP(B237,'Rekap Gaji'!$C$12:$D$26,2,FALSE))&amp;" Untuk "&amp;(PROPER('Rekap Gaji'!$B$2)),IF(LEFT(B237,2)="Mg","Pembelian Material Bahan Bangunan",IF(LEFT(B237,2)="Me","Biaya Pembelanjaan Menejemen",IF(LEFT(B237,1)="G",VLOOKUP(A237,COPY!$S$2:$AA$1000,2,FALSE)&amp;"( "&amp;TEXT(VLOOKUP(B237,'Rekap Gaji'!$A$12:$I$26,5,FALSE),"dd-mm-yyyy")&amp;" "&amp;TEXT(VLOOKUP(B237,'Rekap Gaji'!$A$12:$I$26,6,FALSE)&amp;" "&amp;TEXT(VLOOKUP(B237,'Rekap Gaji'!$A$12:$I$26,7,FALSE),"dd-mm-yyyy")&amp;" )"," "))))))</f>
        <v/>
      </c>
      <c r="M237" s="75" t="str">
        <f>IF(OR(LEFT(B237,2)="mg",LEFT(B237,2)="mE"),VLOOKUP(A237,COPY!$S$2:$AA$1000,2,FALSE),IF(LEFT(B237,1)="G"," ",IF(LEFT(B237,2)="ma"," "," ")))</f>
        <v xml:space="preserve"> </v>
      </c>
      <c r="N237" s="75" t="str">
        <f>IFERROR(VLOOKUP(A237&amp;"a",COPY!$S$2:$AA$1000,2,FALSE)," ")</f>
        <v xml:space="preserve"> </v>
      </c>
      <c r="O237" s="75" t="str">
        <f>IFERROR(VLOOKUP(A237&amp;"aa",COPY!$S$2:$AA$1000,2,FALSE)," ")</f>
        <v xml:space="preserve"> </v>
      </c>
      <c r="P237" s="75" t="str">
        <f>IFERROR(VLOOKUP(A237&amp;"aaa",COPY!$S$2:$AA$1000,2,FALSE)," ")</f>
        <v xml:space="preserve"> </v>
      </c>
      <c r="Q237" s="75" t="str">
        <f>IFERROR(VLOOKUP(A237&amp;"aaaa",COPY!$S$2:$AA$1000,2,FALSE)," ")</f>
        <v xml:space="preserve"> </v>
      </c>
      <c r="R237" s="75" t="str">
        <f>IFERROR(VLOOKUP(A237&amp;"aaaaa",COPY!$S$2:$AA$1000,2,FALSE)," ")</f>
        <v xml:space="preserve"> </v>
      </c>
      <c r="S237" s="75" t="str">
        <f>IFERROR(VLOOKUP(A237&amp;"aaaaaa",COPY!$S$2:$AA$1000,2,FALSE)," ")</f>
        <v xml:space="preserve"> </v>
      </c>
      <c r="T237" s="75" t="str">
        <f>IFERROR(VLOOKUP(A237&amp;"aaaaaaa",COPY!$S$2:$AA$1000,2,FALSE)," ")</f>
        <v xml:space="preserve"> </v>
      </c>
      <c r="U237" s="75" t="str">
        <f>IFERROR(VLOOKUP(A237&amp;"aaaaaaaa",COPY!$S$2:$AA$1000,2,FALSE)," ")</f>
        <v xml:space="preserve"> </v>
      </c>
      <c r="V237" s="75" t="str">
        <f>IFERROR(VLOOKUP(A237&amp;"aaaaaaaaa",COPY!$S$2:$AA$1000,2,FALSE)," ")</f>
        <v xml:space="preserve"> </v>
      </c>
      <c r="W237" s="75" t="str">
        <f>IFERROR(VLOOKUP(A237&amp;"aaaaaaaaaa",COPY!$S$2:$AA$1000,2,FALSE)," ")</f>
        <v xml:space="preserve"> </v>
      </c>
      <c r="X237" s="75" t="str">
        <f>IFERROR(VLOOKUP(A237&amp;"aaaaaaaaaaa",COPY!$S$2:$AA$1000,2,FALSE)," ")</f>
        <v xml:space="preserve"> </v>
      </c>
      <c r="Y237" s="90" t="str">
        <f>IF(OR(LEFT(B237,2)="mg",LEFT(B237,2)="mE"),VLOOKUP(A237,COPY!$S$2:$AA$1000,6,FALSE),IF(LEFT(B237,1)="G"," ",IF(LEFT(B237,2)="ma"," "," ")))</f>
        <v xml:space="preserve"> </v>
      </c>
      <c r="Z237" s="90" t="str">
        <f>IFERROR(VLOOKUP(A237&amp;"a",COPY!$S$2:$AA$1000,6,FALSE)," ")</f>
        <v xml:space="preserve"> </v>
      </c>
      <c r="AA237" s="90" t="str">
        <f>IFERROR(VLOOKUP(A237&amp;"aa",COPY!$S$2:$AA$1000,6,FALSE)," ")</f>
        <v xml:space="preserve"> </v>
      </c>
      <c r="AB237" s="90" t="str">
        <f>IFERROR(VLOOKUP(A237&amp;"aaa",COPY!$S$2:$AA$1000,6,FALSE)," ")</f>
        <v xml:space="preserve"> </v>
      </c>
      <c r="AC237" s="90" t="str">
        <f>IFERROR(VLOOKUP(A237&amp;"aaaa",COPY!$S$2:$AA$1000,6,FALSE)," ")</f>
        <v xml:space="preserve"> </v>
      </c>
      <c r="AD237" s="90" t="str">
        <f>IFERROR(VLOOKUP(A237&amp;"aaaaa",COPY!$S$2:$AA$1000,6,FALSE)," ")</f>
        <v xml:space="preserve"> </v>
      </c>
      <c r="AE237" s="90" t="str">
        <f>IFERROR(VLOOKUP(A237&amp;"aaaaaa",COPY!$S$2:$AA$1000,6,FALSE)," ")</f>
        <v xml:space="preserve"> </v>
      </c>
      <c r="AF237" s="90" t="str">
        <f>IFERROR(VLOOKUP(A237&amp;"aaaaaaa",COPY!$S$2:$AA$1000,6,FALSE)," ")</f>
        <v xml:space="preserve"> </v>
      </c>
      <c r="AG237" s="90" t="str">
        <f>IFERROR(VLOOKUP(A237&amp;"aaaaaaaa",COPY!$S$2:$AA$1000,6,FALSE)," ")</f>
        <v xml:space="preserve"> </v>
      </c>
      <c r="AH237" s="90" t="str">
        <f>IFERROR(VLOOKUP(A237&amp;"aaaaaaaaa",COPY!$S$2:$AA$1000,6,FALSE)," ")</f>
        <v xml:space="preserve"> </v>
      </c>
      <c r="AI237" s="90" t="str">
        <f>IFERROR(VLOOKUP(A237&amp;"aaaaaaaaaa",COPY!$S$2:$AA$1000,6,FALSE)," ")</f>
        <v xml:space="preserve"> </v>
      </c>
      <c r="AJ237" s="90" t="str">
        <f>IFERROR(VLOOKUP(A237&amp;"aaaaaaaaaaa",COPY!$S$2:$AA$1000,6,FALSE)," ")</f>
        <v xml:space="preserve"> </v>
      </c>
      <c r="AK237" s="90" t="str">
        <f>IF(LEFT(B237,2)="mg",VLOOKUP(A237,COPY!$S$2:$AA$1000,7,FALSE),IF(LEFT(B237,1)="G"," ",IF(LEFT(B237,2)="ma"," "," ")))</f>
        <v xml:space="preserve"> </v>
      </c>
      <c r="AL237" s="90" t="str">
        <f>IFERROR(VLOOKUP(A237&amp;"a",COPY!$S$2:$AA$1000,7,FALSE)," ")</f>
        <v xml:space="preserve"> </v>
      </c>
      <c r="AM237" s="90" t="str">
        <f>IFERROR(VLOOKUP(A237&amp;"aa",COPY!$S$2:$AA$1000,7,FALSE)," ")</f>
        <v xml:space="preserve"> </v>
      </c>
      <c r="AN237" s="90" t="str">
        <f>IFERROR(VLOOKUP(A237&amp;"aaa",COPY!$S$2:$AA$1000,7,FALSE)," ")</f>
        <v xml:space="preserve"> </v>
      </c>
      <c r="AO237" s="90" t="str">
        <f>IFERROR(VLOOKUP(A237&amp;"aaaa",COPY!$S$2:$AA$1000,7,FALSE)," ")</f>
        <v xml:space="preserve"> </v>
      </c>
      <c r="AP237" s="90" t="str">
        <f>IFERROR(VLOOKUP(A237&amp;"aaaaa",COPY!$S$2:$AA$1000,7,FALSE)," ")</f>
        <v xml:space="preserve"> </v>
      </c>
      <c r="AQ237" s="90" t="str">
        <f>IFERROR(VLOOKUP(A237&amp;"aaaaaa",COPY!$S$2:$AA$1000,7,FALSE)," ")</f>
        <v xml:space="preserve"> </v>
      </c>
      <c r="AR237" s="90" t="str">
        <f>IFERROR(VLOOKUP(A237&amp;"aaaaaaa",COPY!$S$2:$AA$1000,7,FALSE)," ")</f>
        <v xml:space="preserve"> </v>
      </c>
      <c r="AS237" s="90" t="str">
        <f>IFERROR(VLOOKUP(A237&amp;"aaaaaaaa",COPY!$S$2:$AA$1000,7,FALSE)," ")</f>
        <v xml:space="preserve"> </v>
      </c>
      <c r="AT237" s="90" t="str">
        <f>IFERROR(VLOOKUP(A237&amp;"aaaaaaaaa",COPY!$S$2:$AA$1000,7,FALSE)," ")</f>
        <v xml:space="preserve"> </v>
      </c>
      <c r="AU237" s="90" t="str">
        <f>IFERROR(VLOOKUP(A237&amp;"aaaaaaaaaa",COPY!$S$2:$AA$1000,7,FALSE)," ")</f>
        <v xml:space="preserve"> </v>
      </c>
      <c r="AV237" s="90" t="str">
        <f>IFERROR(VLOOKUP(A237&amp;"aaaaaaaaaaa",COPY!$S$2:$AA$1000,7,FALSE)," ")</f>
        <v xml:space="preserve"> </v>
      </c>
    </row>
    <row r="238" spans="1:48" x14ac:dyDescent="0.2">
      <c r="A238" s="75" t="str">
        <f>'REKAP PAJAK'!W275</f>
        <v/>
      </c>
      <c r="B238" s="75" t="str">
        <f>IF(LEN(A238)&gt;1,VLOOKUP(A238,COPY!$O$2:$R$1000,4,FALSE),"")</f>
        <v/>
      </c>
      <c r="C238" s="75" t="str">
        <f t="shared" si="18"/>
        <v xml:space="preserve"> </v>
      </c>
      <c r="D238" s="75" t="str">
        <f t="shared" si="19"/>
        <v xml:space="preserve"> </v>
      </c>
      <c r="E238" s="75" t="str">
        <f t="shared" si="20"/>
        <v xml:space="preserve"> </v>
      </c>
      <c r="F238" s="75" t="str">
        <f t="shared" si="21"/>
        <v xml:space="preserve"> </v>
      </c>
      <c r="H238" s="75" t="str">
        <f t="shared" si="22"/>
        <v xml:space="preserve"> </v>
      </c>
      <c r="I238" s="75" t="str">
        <f t="shared" si="23"/>
        <v xml:space="preserve"> </v>
      </c>
      <c r="J238" s="90" t="str">
        <f>IFERROR(VLOOKUP(A238,COPY!$S$2:$W$1000,4,FALSE)," ")</f>
        <v xml:space="preserve"> </v>
      </c>
      <c r="K238" s="75" t="str">
        <f>IFERROR(VLOOKUP(A238,COPY!$S$2:$W$1000,5,FALSE)," ")</f>
        <v xml:space="preserve"> </v>
      </c>
      <c r="L238" s="75" t="str">
        <f>IF(B238="","",IF(LEFT(B238,2)="Ma",(VLOOKUP(B238,'Rekap Gaji'!$C$12:$D$26,2,FALSE))&amp;" Untuk "&amp;(PROPER('Rekap Gaji'!$B$2)),IF(LEFT(B238,2)="Mg","Pembelian Material Bahan Bangunan",IF(LEFT(B238,2)="Me","Biaya Pembelanjaan Menejemen",IF(LEFT(B238,1)="G",VLOOKUP(A238,COPY!$S$2:$AA$1000,2,FALSE)&amp;"( "&amp;TEXT(VLOOKUP(B238,'Rekap Gaji'!$A$12:$I$26,5,FALSE),"dd-mm-yyyy")&amp;" "&amp;TEXT(VLOOKUP(B238,'Rekap Gaji'!$A$12:$I$26,6,FALSE)&amp;" "&amp;TEXT(VLOOKUP(B238,'Rekap Gaji'!$A$12:$I$26,7,FALSE),"dd-mm-yyyy")&amp;" )"," "))))))</f>
        <v/>
      </c>
      <c r="M238" s="75" t="str">
        <f>IF(OR(LEFT(B238,2)="mg",LEFT(B238,2)="mE"),VLOOKUP(A238,COPY!$S$2:$AA$1000,2,FALSE),IF(LEFT(B238,1)="G"," ",IF(LEFT(B238,2)="ma"," "," ")))</f>
        <v xml:space="preserve"> </v>
      </c>
      <c r="N238" s="75" t="str">
        <f>IFERROR(VLOOKUP(A238&amp;"a",COPY!$S$2:$AA$1000,2,FALSE)," ")</f>
        <v xml:space="preserve"> </v>
      </c>
      <c r="O238" s="75" t="str">
        <f>IFERROR(VLOOKUP(A238&amp;"aa",COPY!$S$2:$AA$1000,2,FALSE)," ")</f>
        <v xml:space="preserve"> </v>
      </c>
      <c r="P238" s="75" t="str">
        <f>IFERROR(VLOOKUP(A238&amp;"aaa",COPY!$S$2:$AA$1000,2,FALSE)," ")</f>
        <v xml:space="preserve"> </v>
      </c>
      <c r="Q238" s="75" t="str">
        <f>IFERROR(VLOOKUP(A238&amp;"aaaa",COPY!$S$2:$AA$1000,2,FALSE)," ")</f>
        <v xml:space="preserve"> </v>
      </c>
      <c r="R238" s="75" t="str">
        <f>IFERROR(VLOOKUP(A238&amp;"aaaaa",COPY!$S$2:$AA$1000,2,FALSE)," ")</f>
        <v xml:space="preserve"> </v>
      </c>
      <c r="S238" s="75" t="str">
        <f>IFERROR(VLOOKUP(A238&amp;"aaaaaa",COPY!$S$2:$AA$1000,2,FALSE)," ")</f>
        <v xml:space="preserve"> </v>
      </c>
      <c r="T238" s="75" t="str">
        <f>IFERROR(VLOOKUP(A238&amp;"aaaaaaa",COPY!$S$2:$AA$1000,2,FALSE)," ")</f>
        <v xml:space="preserve"> </v>
      </c>
      <c r="U238" s="75" t="str">
        <f>IFERROR(VLOOKUP(A238&amp;"aaaaaaaa",COPY!$S$2:$AA$1000,2,FALSE)," ")</f>
        <v xml:space="preserve"> </v>
      </c>
      <c r="V238" s="75" t="str">
        <f>IFERROR(VLOOKUP(A238&amp;"aaaaaaaaa",COPY!$S$2:$AA$1000,2,FALSE)," ")</f>
        <v xml:space="preserve"> </v>
      </c>
      <c r="W238" s="75" t="str">
        <f>IFERROR(VLOOKUP(A238&amp;"aaaaaaaaaa",COPY!$S$2:$AA$1000,2,FALSE)," ")</f>
        <v xml:space="preserve"> </v>
      </c>
      <c r="X238" s="75" t="str">
        <f>IFERROR(VLOOKUP(A238&amp;"aaaaaaaaaaa",COPY!$S$2:$AA$1000,2,FALSE)," ")</f>
        <v xml:space="preserve"> </v>
      </c>
      <c r="Y238" s="90" t="str">
        <f>IF(OR(LEFT(B238,2)="mg",LEFT(B238,2)="mE"),VLOOKUP(A238,COPY!$S$2:$AA$1000,6,FALSE),IF(LEFT(B238,1)="G"," ",IF(LEFT(B238,2)="ma"," "," ")))</f>
        <v xml:space="preserve"> </v>
      </c>
      <c r="Z238" s="90" t="str">
        <f>IFERROR(VLOOKUP(A238&amp;"a",COPY!$S$2:$AA$1000,6,FALSE)," ")</f>
        <v xml:space="preserve"> </v>
      </c>
      <c r="AA238" s="90" t="str">
        <f>IFERROR(VLOOKUP(A238&amp;"aa",COPY!$S$2:$AA$1000,6,FALSE)," ")</f>
        <v xml:space="preserve"> </v>
      </c>
      <c r="AB238" s="90" t="str">
        <f>IFERROR(VLOOKUP(A238&amp;"aaa",COPY!$S$2:$AA$1000,6,FALSE)," ")</f>
        <v xml:space="preserve"> </v>
      </c>
      <c r="AC238" s="90" t="str">
        <f>IFERROR(VLOOKUP(A238&amp;"aaaa",COPY!$S$2:$AA$1000,6,FALSE)," ")</f>
        <v xml:space="preserve"> </v>
      </c>
      <c r="AD238" s="90" t="str">
        <f>IFERROR(VLOOKUP(A238&amp;"aaaaa",COPY!$S$2:$AA$1000,6,FALSE)," ")</f>
        <v xml:space="preserve"> </v>
      </c>
      <c r="AE238" s="90" t="str">
        <f>IFERROR(VLOOKUP(A238&amp;"aaaaaa",COPY!$S$2:$AA$1000,6,FALSE)," ")</f>
        <v xml:space="preserve"> </v>
      </c>
      <c r="AF238" s="90" t="str">
        <f>IFERROR(VLOOKUP(A238&amp;"aaaaaaa",COPY!$S$2:$AA$1000,6,FALSE)," ")</f>
        <v xml:space="preserve"> </v>
      </c>
      <c r="AG238" s="90" t="str">
        <f>IFERROR(VLOOKUP(A238&amp;"aaaaaaaa",COPY!$S$2:$AA$1000,6,FALSE)," ")</f>
        <v xml:space="preserve"> </v>
      </c>
      <c r="AH238" s="90" t="str">
        <f>IFERROR(VLOOKUP(A238&amp;"aaaaaaaaa",COPY!$S$2:$AA$1000,6,FALSE)," ")</f>
        <v xml:space="preserve"> </v>
      </c>
      <c r="AI238" s="90" t="str">
        <f>IFERROR(VLOOKUP(A238&amp;"aaaaaaaaaa",COPY!$S$2:$AA$1000,6,FALSE)," ")</f>
        <v xml:space="preserve"> </v>
      </c>
      <c r="AJ238" s="90" t="str">
        <f>IFERROR(VLOOKUP(A238&amp;"aaaaaaaaaaa",COPY!$S$2:$AA$1000,6,FALSE)," ")</f>
        <v xml:space="preserve"> </v>
      </c>
      <c r="AK238" s="90" t="str">
        <f>IF(LEFT(B238,2)="mg",VLOOKUP(A238,COPY!$S$2:$AA$1000,7,FALSE),IF(LEFT(B238,1)="G"," ",IF(LEFT(B238,2)="ma"," "," ")))</f>
        <v xml:space="preserve"> </v>
      </c>
      <c r="AL238" s="90" t="str">
        <f>IFERROR(VLOOKUP(A238&amp;"a",COPY!$S$2:$AA$1000,7,FALSE)," ")</f>
        <v xml:space="preserve"> </v>
      </c>
      <c r="AM238" s="90" t="str">
        <f>IFERROR(VLOOKUP(A238&amp;"aa",COPY!$S$2:$AA$1000,7,FALSE)," ")</f>
        <v xml:space="preserve"> </v>
      </c>
      <c r="AN238" s="90" t="str">
        <f>IFERROR(VLOOKUP(A238&amp;"aaa",COPY!$S$2:$AA$1000,7,FALSE)," ")</f>
        <v xml:space="preserve"> </v>
      </c>
      <c r="AO238" s="90" t="str">
        <f>IFERROR(VLOOKUP(A238&amp;"aaaa",COPY!$S$2:$AA$1000,7,FALSE)," ")</f>
        <v xml:space="preserve"> </v>
      </c>
      <c r="AP238" s="90" t="str">
        <f>IFERROR(VLOOKUP(A238&amp;"aaaaa",COPY!$S$2:$AA$1000,7,FALSE)," ")</f>
        <v xml:space="preserve"> </v>
      </c>
      <c r="AQ238" s="90" t="str">
        <f>IFERROR(VLOOKUP(A238&amp;"aaaaaa",COPY!$S$2:$AA$1000,7,FALSE)," ")</f>
        <v xml:space="preserve"> </v>
      </c>
      <c r="AR238" s="90" t="str">
        <f>IFERROR(VLOOKUP(A238&amp;"aaaaaaa",COPY!$S$2:$AA$1000,7,FALSE)," ")</f>
        <v xml:space="preserve"> </v>
      </c>
      <c r="AS238" s="90" t="str">
        <f>IFERROR(VLOOKUP(A238&amp;"aaaaaaaa",COPY!$S$2:$AA$1000,7,FALSE)," ")</f>
        <v xml:space="preserve"> </v>
      </c>
      <c r="AT238" s="90" t="str">
        <f>IFERROR(VLOOKUP(A238&amp;"aaaaaaaaa",COPY!$S$2:$AA$1000,7,FALSE)," ")</f>
        <v xml:space="preserve"> </v>
      </c>
      <c r="AU238" s="90" t="str">
        <f>IFERROR(VLOOKUP(A238&amp;"aaaaaaaaaa",COPY!$S$2:$AA$1000,7,FALSE)," ")</f>
        <v xml:space="preserve"> </v>
      </c>
      <c r="AV238" s="90" t="str">
        <f>IFERROR(VLOOKUP(A238&amp;"aaaaaaaaaaa",COPY!$S$2:$AA$1000,7,FALSE)," ")</f>
        <v xml:space="preserve"> </v>
      </c>
    </row>
    <row r="239" spans="1:48" x14ac:dyDescent="0.2">
      <c r="A239" s="75" t="str">
        <f>'REKAP PAJAK'!W276</f>
        <v/>
      </c>
      <c r="B239" s="75" t="str">
        <f>IF(LEN(A239)&gt;1,VLOOKUP(A239,COPY!$O$2:$R$1000,4,FALSE),"")</f>
        <v/>
      </c>
      <c r="C239" s="75" t="str">
        <f t="shared" si="18"/>
        <v xml:space="preserve"> </v>
      </c>
      <c r="D239" s="75" t="str">
        <f t="shared" si="19"/>
        <v xml:space="preserve"> </v>
      </c>
      <c r="E239" s="75" t="str">
        <f t="shared" si="20"/>
        <v xml:space="preserve"> </v>
      </c>
      <c r="F239" s="75" t="str">
        <f t="shared" si="21"/>
        <v xml:space="preserve"> </v>
      </c>
      <c r="H239" s="75" t="str">
        <f t="shared" si="22"/>
        <v xml:space="preserve"> </v>
      </c>
      <c r="I239" s="75" t="str">
        <f t="shared" si="23"/>
        <v xml:space="preserve"> </v>
      </c>
      <c r="J239" s="90" t="str">
        <f>IFERROR(VLOOKUP(A239,COPY!$S$2:$W$1000,4,FALSE)," ")</f>
        <v xml:space="preserve"> </v>
      </c>
      <c r="K239" s="75" t="str">
        <f>IFERROR(VLOOKUP(A239,COPY!$S$2:$W$1000,5,FALSE)," ")</f>
        <v xml:space="preserve"> </v>
      </c>
      <c r="L239" s="75" t="str">
        <f>IF(B239="","",IF(LEFT(B239,2)="Ma",(VLOOKUP(B239,'Rekap Gaji'!$C$12:$D$26,2,FALSE))&amp;" Untuk "&amp;(PROPER('Rekap Gaji'!$B$2)),IF(LEFT(B239,2)="Mg","Pembelian Material Bahan Bangunan",IF(LEFT(B239,2)="Me","Biaya Pembelanjaan Menejemen",IF(LEFT(B239,1)="G",VLOOKUP(A239,COPY!$S$2:$AA$1000,2,FALSE)&amp;"( "&amp;TEXT(VLOOKUP(B239,'Rekap Gaji'!$A$12:$I$26,5,FALSE),"dd-mm-yyyy")&amp;" "&amp;TEXT(VLOOKUP(B239,'Rekap Gaji'!$A$12:$I$26,6,FALSE)&amp;" "&amp;TEXT(VLOOKUP(B239,'Rekap Gaji'!$A$12:$I$26,7,FALSE),"dd-mm-yyyy")&amp;" )"," "))))))</f>
        <v/>
      </c>
      <c r="M239" s="75" t="str">
        <f>IF(OR(LEFT(B239,2)="mg",LEFT(B239,2)="mE"),VLOOKUP(A239,COPY!$S$2:$AA$1000,2,FALSE),IF(LEFT(B239,1)="G"," ",IF(LEFT(B239,2)="ma"," "," ")))</f>
        <v xml:space="preserve"> </v>
      </c>
      <c r="N239" s="75" t="str">
        <f>IFERROR(VLOOKUP(A239&amp;"a",COPY!$S$2:$AA$1000,2,FALSE)," ")</f>
        <v xml:space="preserve"> </v>
      </c>
      <c r="O239" s="75" t="str">
        <f>IFERROR(VLOOKUP(A239&amp;"aa",COPY!$S$2:$AA$1000,2,FALSE)," ")</f>
        <v xml:space="preserve"> </v>
      </c>
      <c r="P239" s="75" t="str">
        <f>IFERROR(VLOOKUP(A239&amp;"aaa",COPY!$S$2:$AA$1000,2,FALSE)," ")</f>
        <v xml:space="preserve"> </v>
      </c>
      <c r="Q239" s="75" t="str">
        <f>IFERROR(VLOOKUP(A239&amp;"aaaa",COPY!$S$2:$AA$1000,2,FALSE)," ")</f>
        <v xml:space="preserve"> </v>
      </c>
      <c r="R239" s="75" t="str">
        <f>IFERROR(VLOOKUP(A239&amp;"aaaaa",COPY!$S$2:$AA$1000,2,FALSE)," ")</f>
        <v xml:space="preserve"> </v>
      </c>
      <c r="S239" s="75" t="str">
        <f>IFERROR(VLOOKUP(A239&amp;"aaaaaa",COPY!$S$2:$AA$1000,2,FALSE)," ")</f>
        <v xml:space="preserve"> </v>
      </c>
      <c r="T239" s="75" t="str">
        <f>IFERROR(VLOOKUP(A239&amp;"aaaaaaa",COPY!$S$2:$AA$1000,2,FALSE)," ")</f>
        <v xml:space="preserve"> </v>
      </c>
      <c r="U239" s="75" t="str">
        <f>IFERROR(VLOOKUP(A239&amp;"aaaaaaaa",COPY!$S$2:$AA$1000,2,FALSE)," ")</f>
        <v xml:space="preserve"> </v>
      </c>
      <c r="V239" s="75" t="str">
        <f>IFERROR(VLOOKUP(A239&amp;"aaaaaaaaa",COPY!$S$2:$AA$1000,2,FALSE)," ")</f>
        <v xml:space="preserve"> </v>
      </c>
      <c r="W239" s="75" t="str">
        <f>IFERROR(VLOOKUP(A239&amp;"aaaaaaaaaa",COPY!$S$2:$AA$1000,2,FALSE)," ")</f>
        <v xml:space="preserve"> </v>
      </c>
      <c r="X239" s="75" t="str">
        <f>IFERROR(VLOOKUP(A239&amp;"aaaaaaaaaaa",COPY!$S$2:$AA$1000,2,FALSE)," ")</f>
        <v xml:space="preserve"> </v>
      </c>
      <c r="Y239" s="90" t="str">
        <f>IF(OR(LEFT(B239,2)="mg",LEFT(B239,2)="mE"),VLOOKUP(A239,COPY!$S$2:$AA$1000,6,FALSE),IF(LEFT(B239,1)="G"," ",IF(LEFT(B239,2)="ma"," "," ")))</f>
        <v xml:space="preserve"> </v>
      </c>
      <c r="Z239" s="90" t="str">
        <f>IFERROR(VLOOKUP(A239&amp;"a",COPY!$S$2:$AA$1000,6,FALSE)," ")</f>
        <v xml:space="preserve"> </v>
      </c>
      <c r="AA239" s="90" t="str">
        <f>IFERROR(VLOOKUP(A239&amp;"aa",COPY!$S$2:$AA$1000,6,FALSE)," ")</f>
        <v xml:space="preserve"> </v>
      </c>
      <c r="AB239" s="90" t="str">
        <f>IFERROR(VLOOKUP(A239&amp;"aaa",COPY!$S$2:$AA$1000,6,FALSE)," ")</f>
        <v xml:space="preserve"> </v>
      </c>
      <c r="AC239" s="90" t="str">
        <f>IFERROR(VLOOKUP(A239&amp;"aaaa",COPY!$S$2:$AA$1000,6,FALSE)," ")</f>
        <v xml:space="preserve"> </v>
      </c>
      <c r="AD239" s="90" t="str">
        <f>IFERROR(VLOOKUP(A239&amp;"aaaaa",COPY!$S$2:$AA$1000,6,FALSE)," ")</f>
        <v xml:space="preserve"> </v>
      </c>
      <c r="AE239" s="90" t="str">
        <f>IFERROR(VLOOKUP(A239&amp;"aaaaaa",COPY!$S$2:$AA$1000,6,FALSE)," ")</f>
        <v xml:space="preserve"> </v>
      </c>
      <c r="AF239" s="90" t="str">
        <f>IFERROR(VLOOKUP(A239&amp;"aaaaaaa",COPY!$S$2:$AA$1000,6,FALSE)," ")</f>
        <v xml:space="preserve"> </v>
      </c>
      <c r="AG239" s="90" t="str">
        <f>IFERROR(VLOOKUP(A239&amp;"aaaaaaaa",COPY!$S$2:$AA$1000,6,FALSE)," ")</f>
        <v xml:space="preserve"> </v>
      </c>
      <c r="AH239" s="90" t="str">
        <f>IFERROR(VLOOKUP(A239&amp;"aaaaaaaaa",COPY!$S$2:$AA$1000,6,FALSE)," ")</f>
        <v xml:space="preserve"> </v>
      </c>
      <c r="AI239" s="90" t="str">
        <f>IFERROR(VLOOKUP(A239&amp;"aaaaaaaaaa",COPY!$S$2:$AA$1000,6,FALSE)," ")</f>
        <v xml:space="preserve"> </v>
      </c>
      <c r="AJ239" s="90" t="str">
        <f>IFERROR(VLOOKUP(A239&amp;"aaaaaaaaaaa",COPY!$S$2:$AA$1000,6,FALSE)," ")</f>
        <v xml:space="preserve"> </v>
      </c>
      <c r="AK239" s="90" t="str">
        <f>IF(LEFT(B239,2)="mg",VLOOKUP(A239,COPY!$S$2:$AA$1000,7,FALSE),IF(LEFT(B239,1)="G"," ",IF(LEFT(B239,2)="ma"," "," ")))</f>
        <v xml:space="preserve"> </v>
      </c>
      <c r="AL239" s="90" t="str">
        <f>IFERROR(VLOOKUP(A239&amp;"a",COPY!$S$2:$AA$1000,7,FALSE)," ")</f>
        <v xml:space="preserve"> </v>
      </c>
      <c r="AM239" s="90" t="str">
        <f>IFERROR(VLOOKUP(A239&amp;"aa",COPY!$S$2:$AA$1000,7,FALSE)," ")</f>
        <v xml:space="preserve"> </v>
      </c>
      <c r="AN239" s="90" t="str">
        <f>IFERROR(VLOOKUP(A239&amp;"aaa",COPY!$S$2:$AA$1000,7,FALSE)," ")</f>
        <v xml:space="preserve"> </v>
      </c>
      <c r="AO239" s="90" t="str">
        <f>IFERROR(VLOOKUP(A239&amp;"aaaa",COPY!$S$2:$AA$1000,7,FALSE)," ")</f>
        <v xml:space="preserve"> </v>
      </c>
      <c r="AP239" s="90" t="str">
        <f>IFERROR(VLOOKUP(A239&amp;"aaaaa",COPY!$S$2:$AA$1000,7,FALSE)," ")</f>
        <v xml:space="preserve"> </v>
      </c>
      <c r="AQ239" s="90" t="str">
        <f>IFERROR(VLOOKUP(A239&amp;"aaaaaa",COPY!$S$2:$AA$1000,7,FALSE)," ")</f>
        <v xml:space="preserve"> </v>
      </c>
      <c r="AR239" s="90" t="str">
        <f>IFERROR(VLOOKUP(A239&amp;"aaaaaaa",COPY!$S$2:$AA$1000,7,FALSE)," ")</f>
        <v xml:space="preserve"> </v>
      </c>
      <c r="AS239" s="90" t="str">
        <f>IFERROR(VLOOKUP(A239&amp;"aaaaaaaa",COPY!$S$2:$AA$1000,7,FALSE)," ")</f>
        <v xml:space="preserve"> </v>
      </c>
      <c r="AT239" s="90" t="str">
        <f>IFERROR(VLOOKUP(A239&amp;"aaaaaaaaa",COPY!$S$2:$AA$1000,7,FALSE)," ")</f>
        <v xml:space="preserve"> </v>
      </c>
      <c r="AU239" s="90" t="str">
        <f>IFERROR(VLOOKUP(A239&amp;"aaaaaaaaaa",COPY!$S$2:$AA$1000,7,FALSE)," ")</f>
        <v xml:space="preserve"> </v>
      </c>
      <c r="AV239" s="90" t="str">
        <f>IFERROR(VLOOKUP(A239&amp;"aaaaaaaaaaa",COPY!$S$2:$AA$1000,7,FALSE)," ")</f>
        <v xml:space="preserve"> </v>
      </c>
    </row>
    <row r="240" spans="1:48" x14ac:dyDescent="0.2">
      <c r="A240" s="75" t="str">
        <f>'REKAP PAJAK'!W277</f>
        <v/>
      </c>
      <c r="B240" s="75" t="str">
        <f>IF(LEN(A240)&gt;1,VLOOKUP(A240,COPY!$O$2:$R$1000,4,FALSE),"")</f>
        <v/>
      </c>
      <c r="C240" s="75" t="str">
        <f t="shared" si="18"/>
        <v xml:space="preserve"> </v>
      </c>
      <c r="D240" s="75" t="str">
        <f t="shared" si="19"/>
        <v xml:space="preserve"> </v>
      </c>
      <c r="E240" s="75" t="str">
        <f t="shared" si="20"/>
        <v xml:space="preserve"> </v>
      </c>
      <c r="F240" s="75" t="str">
        <f t="shared" si="21"/>
        <v xml:space="preserve"> </v>
      </c>
      <c r="H240" s="75" t="str">
        <f t="shared" si="22"/>
        <v xml:space="preserve"> </v>
      </c>
      <c r="I240" s="75" t="str">
        <f t="shared" si="23"/>
        <v xml:space="preserve"> </v>
      </c>
      <c r="J240" s="90" t="str">
        <f>IFERROR(VLOOKUP(A240,COPY!$S$2:$W$1000,4,FALSE)," ")</f>
        <v xml:space="preserve"> </v>
      </c>
      <c r="K240" s="75" t="str">
        <f>IFERROR(VLOOKUP(A240,COPY!$S$2:$W$1000,5,FALSE)," ")</f>
        <v xml:space="preserve"> </v>
      </c>
      <c r="L240" s="75" t="str">
        <f>IF(B240="","",IF(LEFT(B240,2)="Ma",(VLOOKUP(B240,'Rekap Gaji'!$C$12:$D$26,2,FALSE))&amp;" Untuk "&amp;(PROPER('Rekap Gaji'!$B$2)),IF(LEFT(B240,2)="Mg","Pembelian Material Bahan Bangunan",IF(LEFT(B240,2)="Me","Biaya Pembelanjaan Menejemen",IF(LEFT(B240,1)="G",VLOOKUP(A240,COPY!$S$2:$AA$1000,2,FALSE)&amp;"( "&amp;TEXT(VLOOKUP(B240,'Rekap Gaji'!$A$12:$I$26,5,FALSE),"dd-mm-yyyy")&amp;" "&amp;TEXT(VLOOKUP(B240,'Rekap Gaji'!$A$12:$I$26,6,FALSE)&amp;" "&amp;TEXT(VLOOKUP(B240,'Rekap Gaji'!$A$12:$I$26,7,FALSE),"dd-mm-yyyy")&amp;" )"," "))))))</f>
        <v/>
      </c>
      <c r="M240" s="75" t="str">
        <f>IF(OR(LEFT(B240,2)="mg",LEFT(B240,2)="mE"),VLOOKUP(A240,COPY!$S$2:$AA$1000,2,FALSE),IF(LEFT(B240,1)="G"," ",IF(LEFT(B240,2)="ma"," "," ")))</f>
        <v xml:space="preserve"> </v>
      </c>
      <c r="N240" s="75" t="str">
        <f>IFERROR(VLOOKUP(A240&amp;"a",COPY!$S$2:$AA$1000,2,FALSE)," ")</f>
        <v xml:space="preserve"> </v>
      </c>
      <c r="O240" s="75" t="str">
        <f>IFERROR(VLOOKUP(A240&amp;"aa",COPY!$S$2:$AA$1000,2,FALSE)," ")</f>
        <v xml:space="preserve"> </v>
      </c>
      <c r="P240" s="75" t="str">
        <f>IFERROR(VLOOKUP(A240&amp;"aaa",COPY!$S$2:$AA$1000,2,FALSE)," ")</f>
        <v xml:space="preserve"> </v>
      </c>
      <c r="Q240" s="75" t="str">
        <f>IFERROR(VLOOKUP(A240&amp;"aaaa",COPY!$S$2:$AA$1000,2,FALSE)," ")</f>
        <v xml:space="preserve"> </v>
      </c>
      <c r="R240" s="75" t="str">
        <f>IFERROR(VLOOKUP(A240&amp;"aaaaa",COPY!$S$2:$AA$1000,2,FALSE)," ")</f>
        <v xml:space="preserve"> </v>
      </c>
      <c r="S240" s="75" t="str">
        <f>IFERROR(VLOOKUP(A240&amp;"aaaaaa",COPY!$S$2:$AA$1000,2,FALSE)," ")</f>
        <v xml:space="preserve"> </v>
      </c>
      <c r="T240" s="75" t="str">
        <f>IFERROR(VLOOKUP(A240&amp;"aaaaaaa",COPY!$S$2:$AA$1000,2,FALSE)," ")</f>
        <v xml:space="preserve"> </v>
      </c>
      <c r="U240" s="75" t="str">
        <f>IFERROR(VLOOKUP(A240&amp;"aaaaaaaa",COPY!$S$2:$AA$1000,2,FALSE)," ")</f>
        <v xml:space="preserve"> </v>
      </c>
      <c r="V240" s="75" t="str">
        <f>IFERROR(VLOOKUP(A240&amp;"aaaaaaaaa",COPY!$S$2:$AA$1000,2,FALSE)," ")</f>
        <v xml:space="preserve"> </v>
      </c>
      <c r="W240" s="75" t="str">
        <f>IFERROR(VLOOKUP(A240&amp;"aaaaaaaaaa",COPY!$S$2:$AA$1000,2,FALSE)," ")</f>
        <v xml:space="preserve"> </v>
      </c>
      <c r="X240" s="75" t="str">
        <f>IFERROR(VLOOKUP(A240&amp;"aaaaaaaaaaa",COPY!$S$2:$AA$1000,2,FALSE)," ")</f>
        <v xml:space="preserve"> </v>
      </c>
      <c r="Y240" s="90" t="str">
        <f>IF(OR(LEFT(B240,2)="mg",LEFT(B240,2)="mE"),VLOOKUP(A240,COPY!$S$2:$AA$1000,6,FALSE),IF(LEFT(B240,1)="G"," ",IF(LEFT(B240,2)="ma"," "," ")))</f>
        <v xml:space="preserve"> </v>
      </c>
      <c r="Z240" s="90" t="str">
        <f>IFERROR(VLOOKUP(A240&amp;"a",COPY!$S$2:$AA$1000,6,FALSE)," ")</f>
        <v xml:space="preserve"> </v>
      </c>
      <c r="AA240" s="90" t="str">
        <f>IFERROR(VLOOKUP(A240&amp;"aa",COPY!$S$2:$AA$1000,6,FALSE)," ")</f>
        <v xml:space="preserve"> </v>
      </c>
      <c r="AB240" s="90" t="str">
        <f>IFERROR(VLOOKUP(A240&amp;"aaa",COPY!$S$2:$AA$1000,6,FALSE)," ")</f>
        <v xml:space="preserve"> </v>
      </c>
      <c r="AC240" s="90" t="str">
        <f>IFERROR(VLOOKUP(A240&amp;"aaaa",COPY!$S$2:$AA$1000,6,FALSE)," ")</f>
        <v xml:space="preserve"> </v>
      </c>
      <c r="AD240" s="90" t="str">
        <f>IFERROR(VLOOKUP(A240&amp;"aaaaa",COPY!$S$2:$AA$1000,6,FALSE)," ")</f>
        <v xml:space="preserve"> </v>
      </c>
      <c r="AE240" s="90" t="str">
        <f>IFERROR(VLOOKUP(A240&amp;"aaaaaa",COPY!$S$2:$AA$1000,6,FALSE)," ")</f>
        <v xml:space="preserve"> </v>
      </c>
      <c r="AF240" s="90" t="str">
        <f>IFERROR(VLOOKUP(A240&amp;"aaaaaaa",COPY!$S$2:$AA$1000,6,FALSE)," ")</f>
        <v xml:space="preserve"> </v>
      </c>
      <c r="AG240" s="90" t="str">
        <f>IFERROR(VLOOKUP(A240&amp;"aaaaaaaa",COPY!$S$2:$AA$1000,6,FALSE)," ")</f>
        <v xml:space="preserve"> </v>
      </c>
      <c r="AH240" s="90" t="str">
        <f>IFERROR(VLOOKUP(A240&amp;"aaaaaaaaa",COPY!$S$2:$AA$1000,6,FALSE)," ")</f>
        <v xml:space="preserve"> </v>
      </c>
      <c r="AI240" s="90" t="str">
        <f>IFERROR(VLOOKUP(A240&amp;"aaaaaaaaaa",COPY!$S$2:$AA$1000,6,FALSE)," ")</f>
        <v xml:space="preserve"> </v>
      </c>
      <c r="AJ240" s="90" t="str">
        <f>IFERROR(VLOOKUP(A240&amp;"aaaaaaaaaaa",COPY!$S$2:$AA$1000,6,FALSE)," ")</f>
        <v xml:space="preserve"> </v>
      </c>
      <c r="AK240" s="90" t="str">
        <f>IF(LEFT(B240,2)="mg",VLOOKUP(A240,COPY!$S$2:$AA$1000,7,FALSE),IF(LEFT(B240,1)="G"," ",IF(LEFT(B240,2)="ma"," "," ")))</f>
        <v xml:space="preserve"> </v>
      </c>
      <c r="AL240" s="90" t="str">
        <f>IFERROR(VLOOKUP(A240&amp;"a",COPY!$S$2:$AA$1000,7,FALSE)," ")</f>
        <v xml:space="preserve"> </v>
      </c>
      <c r="AM240" s="90" t="str">
        <f>IFERROR(VLOOKUP(A240&amp;"aa",COPY!$S$2:$AA$1000,7,FALSE)," ")</f>
        <v xml:space="preserve"> </v>
      </c>
      <c r="AN240" s="90" t="str">
        <f>IFERROR(VLOOKUP(A240&amp;"aaa",COPY!$S$2:$AA$1000,7,FALSE)," ")</f>
        <v xml:space="preserve"> </v>
      </c>
      <c r="AO240" s="90" t="str">
        <f>IFERROR(VLOOKUP(A240&amp;"aaaa",COPY!$S$2:$AA$1000,7,FALSE)," ")</f>
        <v xml:space="preserve"> </v>
      </c>
      <c r="AP240" s="90" t="str">
        <f>IFERROR(VLOOKUP(A240&amp;"aaaaa",COPY!$S$2:$AA$1000,7,FALSE)," ")</f>
        <v xml:space="preserve"> </v>
      </c>
      <c r="AQ240" s="90" t="str">
        <f>IFERROR(VLOOKUP(A240&amp;"aaaaaa",COPY!$S$2:$AA$1000,7,FALSE)," ")</f>
        <v xml:space="preserve"> </v>
      </c>
      <c r="AR240" s="90" t="str">
        <f>IFERROR(VLOOKUP(A240&amp;"aaaaaaa",COPY!$S$2:$AA$1000,7,FALSE)," ")</f>
        <v xml:space="preserve"> </v>
      </c>
      <c r="AS240" s="90" t="str">
        <f>IFERROR(VLOOKUP(A240&amp;"aaaaaaaa",COPY!$S$2:$AA$1000,7,FALSE)," ")</f>
        <v xml:space="preserve"> </v>
      </c>
      <c r="AT240" s="90" t="str">
        <f>IFERROR(VLOOKUP(A240&amp;"aaaaaaaaa",COPY!$S$2:$AA$1000,7,FALSE)," ")</f>
        <v xml:space="preserve"> </v>
      </c>
      <c r="AU240" s="90" t="str">
        <f>IFERROR(VLOOKUP(A240&amp;"aaaaaaaaaa",COPY!$S$2:$AA$1000,7,FALSE)," ")</f>
        <v xml:space="preserve"> </v>
      </c>
      <c r="AV240" s="90" t="str">
        <f>IFERROR(VLOOKUP(A240&amp;"aaaaaaaaaaa",COPY!$S$2:$AA$1000,7,FALSE)," ")</f>
        <v xml:space="preserve"> </v>
      </c>
    </row>
    <row r="241" spans="1:48" x14ac:dyDescent="0.2">
      <c r="A241" s="75" t="str">
        <f>'REKAP PAJAK'!W278</f>
        <v/>
      </c>
      <c r="B241" s="75" t="str">
        <f>IF(LEN(A241)&gt;1,VLOOKUP(A241,COPY!$O$2:$R$1000,4,FALSE),"")</f>
        <v/>
      </c>
      <c r="C241" s="75" t="str">
        <f t="shared" si="18"/>
        <v xml:space="preserve"> </v>
      </c>
      <c r="D241" s="75" t="str">
        <f t="shared" si="19"/>
        <v xml:space="preserve"> </v>
      </c>
      <c r="E241" s="75" t="str">
        <f t="shared" si="20"/>
        <v xml:space="preserve"> </v>
      </c>
      <c r="F241" s="75" t="str">
        <f t="shared" si="21"/>
        <v xml:space="preserve"> </v>
      </c>
      <c r="H241" s="75" t="str">
        <f t="shared" si="22"/>
        <v xml:space="preserve"> </v>
      </c>
      <c r="I241" s="75" t="str">
        <f t="shared" si="23"/>
        <v xml:space="preserve"> </v>
      </c>
      <c r="J241" s="90" t="str">
        <f>IFERROR(VLOOKUP(A241,COPY!$S$2:$W$1000,4,FALSE)," ")</f>
        <v xml:space="preserve"> </v>
      </c>
      <c r="K241" s="75" t="str">
        <f>IFERROR(VLOOKUP(A241,COPY!$S$2:$W$1000,5,FALSE)," ")</f>
        <v xml:space="preserve"> </v>
      </c>
      <c r="L241" s="75" t="str">
        <f>IF(B241="","",IF(LEFT(B241,2)="Ma",(VLOOKUP(B241,'Rekap Gaji'!$C$12:$D$26,2,FALSE))&amp;" Untuk "&amp;(PROPER('Rekap Gaji'!$B$2)),IF(LEFT(B241,2)="Mg","Pembelian Material Bahan Bangunan",IF(LEFT(B241,2)="Me","Biaya Pembelanjaan Menejemen",IF(LEFT(B241,1)="G",VLOOKUP(A241,COPY!$S$2:$AA$1000,2,FALSE)&amp;"( "&amp;TEXT(VLOOKUP(B241,'Rekap Gaji'!$A$12:$I$26,5,FALSE),"dd-mm-yyyy")&amp;" "&amp;TEXT(VLOOKUP(B241,'Rekap Gaji'!$A$12:$I$26,6,FALSE)&amp;" "&amp;TEXT(VLOOKUP(B241,'Rekap Gaji'!$A$12:$I$26,7,FALSE),"dd-mm-yyyy")&amp;" )"," "))))))</f>
        <v/>
      </c>
      <c r="M241" s="75" t="str">
        <f>IF(OR(LEFT(B241,2)="mg",LEFT(B241,2)="mE"),VLOOKUP(A241,COPY!$S$2:$AA$1000,2,FALSE),IF(LEFT(B241,1)="G"," ",IF(LEFT(B241,2)="ma"," "," ")))</f>
        <v xml:space="preserve"> </v>
      </c>
      <c r="N241" s="75" t="str">
        <f>IFERROR(VLOOKUP(A241&amp;"a",COPY!$S$2:$AA$1000,2,FALSE)," ")</f>
        <v xml:space="preserve"> </v>
      </c>
      <c r="O241" s="75" t="str">
        <f>IFERROR(VLOOKUP(A241&amp;"aa",COPY!$S$2:$AA$1000,2,FALSE)," ")</f>
        <v xml:space="preserve"> </v>
      </c>
      <c r="P241" s="75" t="str">
        <f>IFERROR(VLOOKUP(A241&amp;"aaa",COPY!$S$2:$AA$1000,2,FALSE)," ")</f>
        <v xml:space="preserve"> </v>
      </c>
      <c r="Q241" s="75" t="str">
        <f>IFERROR(VLOOKUP(A241&amp;"aaaa",COPY!$S$2:$AA$1000,2,FALSE)," ")</f>
        <v xml:space="preserve"> </v>
      </c>
      <c r="R241" s="75" t="str">
        <f>IFERROR(VLOOKUP(A241&amp;"aaaaa",COPY!$S$2:$AA$1000,2,FALSE)," ")</f>
        <v xml:space="preserve"> </v>
      </c>
      <c r="S241" s="75" t="str">
        <f>IFERROR(VLOOKUP(A241&amp;"aaaaaa",COPY!$S$2:$AA$1000,2,FALSE)," ")</f>
        <v xml:space="preserve"> </v>
      </c>
      <c r="T241" s="75" t="str">
        <f>IFERROR(VLOOKUP(A241&amp;"aaaaaaa",COPY!$S$2:$AA$1000,2,FALSE)," ")</f>
        <v xml:space="preserve"> </v>
      </c>
      <c r="U241" s="75" t="str">
        <f>IFERROR(VLOOKUP(A241&amp;"aaaaaaaa",COPY!$S$2:$AA$1000,2,FALSE)," ")</f>
        <v xml:space="preserve"> </v>
      </c>
      <c r="V241" s="75" t="str">
        <f>IFERROR(VLOOKUP(A241&amp;"aaaaaaaaa",COPY!$S$2:$AA$1000,2,FALSE)," ")</f>
        <v xml:space="preserve"> </v>
      </c>
      <c r="W241" s="75" t="str">
        <f>IFERROR(VLOOKUP(A241&amp;"aaaaaaaaaa",COPY!$S$2:$AA$1000,2,FALSE)," ")</f>
        <v xml:space="preserve"> </v>
      </c>
      <c r="X241" s="75" t="str">
        <f>IFERROR(VLOOKUP(A241&amp;"aaaaaaaaaaa",COPY!$S$2:$AA$1000,2,FALSE)," ")</f>
        <v xml:space="preserve"> </v>
      </c>
      <c r="Y241" s="90" t="str">
        <f>IF(OR(LEFT(B241,2)="mg",LEFT(B241,2)="mE"),VLOOKUP(A241,COPY!$S$2:$AA$1000,6,FALSE),IF(LEFT(B241,1)="G"," ",IF(LEFT(B241,2)="ma"," "," ")))</f>
        <v xml:space="preserve"> </v>
      </c>
      <c r="Z241" s="90" t="str">
        <f>IFERROR(VLOOKUP(A241&amp;"a",COPY!$S$2:$AA$1000,6,FALSE)," ")</f>
        <v xml:space="preserve"> </v>
      </c>
      <c r="AA241" s="90" t="str">
        <f>IFERROR(VLOOKUP(A241&amp;"aa",COPY!$S$2:$AA$1000,6,FALSE)," ")</f>
        <v xml:space="preserve"> </v>
      </c>
      <c r="AB241" s="90" t="str">
        <f>IFERROR(VLOOKUP(A241&amp;"aaa",COPY!$S$2:$AA$1000,6,FALSE)," ")</f>
        <v xml:space="preserve"> </v>
      </c>
      <c r="AC241" s="90" t="str">
        <f>IFERROR(VLOOKUP(A241&amp;"aaaa",COPY!$S$2:$AA$1000,6,FALSE)," ")</f>
        <v xml:space="preserve"> </v>
      </c>
      <c r="AD241" s="90" t="str">
        <f>IFERROR(VLOOKUP(A241&amp;"aaaaa",COPY!$S$2:$AA$1000,6,FALSE)," ")</f>
        <v xml:space="preserve"> </v>
      </c>
      <c r="AE241" s="90" t="str">
        <f>IFERROR(VLOOKUP(A241&amp;"aaaaaa",COPY!$S$2:$AA$1000,6,FALSE)," ")</f>
        <v xml:space="preserve"> </v>
      </c>
      <c r="AF241" s="90" t="str">
        <f>IFERROR(VLOOKUP(A241&amp;"aaaaaaa",COPY!$S$2:$AA$1000,6,FALSE)," ")</f>
        <v xml:space="preserve"> </v>
      </c>
      <c r="AG241" s="90" t="str">
        <f>IFERROR(VLOOKUP(A241&amp;"aaaaaaaa",COPY!$S$2:$AA$1000,6,FALSE)," ")</f>
        <v xml:space="preserve"> </v>
      </c>
      <c r="AH241" s="90" t="str">
        <f>IFERROR(VLOOKUP(A241&amp;"aaaaaaaaa",COPY!$S$2:$AA$1000,6,FALSE)," ")</f>
        <v xml:space="preserve"> </v>
      </c>
      <c r="AI241" s="90" t="str">
        <f>IFERROR(VLOOKUP(A241&amp;"aaaaaaaaaa",COPY!$S$2:$AA$1000,6,FALSE)," ")</f>
        <v xml:space="preserve"> </v>
      </c>
      <c r="AJ241" s="90" t="str">
        <f>IFERROR(VLOOKUP(A241&amp;"aaaaaaaaaaa",COPY!$S$2:$AA$1000,6,FALSE)," ")</f>
        <v xml:space="preserve"> </v>
      </c>
      <c r="AK241" s="90" t="str">
        <f>IF(LEFT(B241,2)="mg",VLOOKUP(A241,COPY!$S$2:$AA$1000,7,FALSE),IF(LEFT(B241,1)="G"," ",IF(LEFT(B241,2)="ma"," "," ")))</f>
        <v xml:space="preserve"> </v>
      </c>
      <c r="AL241" s="90" t="str">
        <f>IFERROR(VLOOKUP(A241&amp;"a",COPY!$S$2:$AA$1000,7,FALSE)," ")</f>
        <v xml:space="preserve"> </v>
      </c>
      <c r="AM241" s="90" t="str">
        <f>IFERROR(VLOOKUP(A241&amp;"aa",COPY!$S$2:$AA$1000,7,FALSE)," ")</f>
        <v xml:space="preserve"> </v>
      </c>
      <c r="AN241" s="90" t="str">
        <f>IFERROR(VLOOKUP(A241&amp;"aaa",COPY!$S$2:$AA$1000,7,FALSE)," ")</f>
        <v xml:space="preserve"> </v>
      </c>
      <c r="AO241" s="90" t="str">
        <f>IFERROR(VLOOKUP(A241&amp;"aaaa",COPY!$S$2:$AA$1000,7,FALSE)," ")</f>
        <v xml:space="preserve"> </v>
      </c>
      <c r="AP241" s="90" t="str">
        <f>IFERROR(VLOOKUP(A241&amp;"aaaaa",COPY!$S$2:$AA$1000,7,FALSE)," ")</f>
        <v xml:space="preserve"> </v>
      </c>
      <c r="AQ241" s="90" t="str">
        <f>IFERROR(VLOOKUP(A241&amp;"aaaaaa",COPY!$S$2:$AA$1000,7,FALSE)," ")</f>
        <v xml:space="preserve"> </v>
      </c>
      <c r="AR241" s="90" t="str">
        <f>IFERROR(VLOOKUP(A241&amp;"aaaaaaa",COPY!$S$2:$AA$1000,7,FALSE)," ")</f>
        <v xml:space="preserve"> </v>
      </c>
      <c r="AS241" s="90" t="str">
        <f>IFERROR(VLOOKUP(A241&amp;"aaaaaaaa",COPY!$S$2:$AA$1000,7,FALSE)," ")</f>
        <v xml:space="preserve"> </v>
      </c>
      <c r="AT241" s="90" t="str">
        <f>IFERROR(VLOOKUP(A241&amp;"aaaaaaaaa",COPY!$S$2:$AA$1000,7,FALSE)," ")</f>
        <v xml:space="preserve"> </v>
      </c>
      <c r="AU241" s="90" t="str">
        <f>IFERROR(VLOOKUP(A241&amp;"aaaaaaaaaa",COPY!$S$2:$AA$1000,7,FALSE)," ")</f>
        <v xml:space="preserve"> </v>
      </c>
      <c r="AV241" s="90" t="str">
        <f>IFERROR(VLOOKUP(A241&amp;"aaaaaaaaaaa",COPY!$S$2:$AA$1000,7,FALSE)," ")</f>
        <v xml:space="preserve"> </v>
      </c>
    </row>
    <row r="242" spans="1:48" x14ac:dyDescent="0.2">
      <c r="A242" s="75" t="str">
        <f>'REKAP PAJAK'!W279</f>
        <v/>
      </c>
      <c r="B242" s="75" t="str">
        <f>IF(LEN(A242)&gt;1,VLOOKUP(A242,COPY!$O$2:$R$1000,4,FALSE),"")</f>
        <v/>
      </c>
      <c r="C242" s="75" t="str">
        <f t="shared" si="18"/>
        <v xml:space="preserve"> </v>
      </c>
      <c r="D242" s="75" t="str">
        <f t="shared" si="19"/>
        <v xml:space="preserve"> </v>
      </c>
      <c r="E242" s="75" t="str">
        <f t="shared" si="20"/>
        <v xml:space="preserve"> </v>
      </c>
      <c r="F242" s="75" t="str">
        <f t="shared" si="21"/>
        <v xml:space="preserve"> </v>
      </c>
      <c r="H242" s="75" t="str">
        <f t="shared" si="22"/>
        <v xml:space="preserve"> </v>
      </c>
      <c r="I242" s="75" t="str">
        <f t="shared" si="23"/>
        <v xml:space="preserve"> </v>
      </c>
      <c r="J242" s="90" t="str">
        <f>IFERROR(VLOOKUP(A242,COPY!$S$2:$W$1000,4,FALSE)," ")</f>
        <v xml:space="preserve"> </v>
      </c>
      <c r="K242" s="75" t="str">
        <f>IFERROR(VLOOKUP(A242,COPY!$S$2:$W$1000,5,FALSE)," ")</f>
        <v xml:space="preserve"> </v>
      </c>
      <c r="L242" s="75" t="str">
        <f>IF(B242="","",IF(LEFT(B242,2)="Ma",(VLOOKUP(B242,'Rekap Gaji'!$C$12:$D$26,2,FALSE))&amp;" Untuk "&amp;(PROPER('Rekap Gaji'!$B$2)),IF(LEFT(B242,2)="Mg","Pembelian Material Bahan Bangunan",IF(LEFT(B242,2)="Me","Biaya Pembelanjaan Menejemen",IF(LEFT(B242,1)="G",VLOOKUP(A242,COPY!$S$2:$AA$1000,2,FALSE)&amp;"( "&amp;TEXT(VLOOKUP(B242,'Rekap Gaji'!$A$12:$I$26,5,FALSE),"dd-mm-yyyy")&amp;" "&amp;TEXT(VLOOKUP(B242,'Rekap Gaji'!$A$12:$I$26,6,FALSE)&amp;" "&amp;TEXT(VLOOKUP(B242,'Rekap Gaji'!$A$12:$I$26,7,FALSE),"dd-mm-yyyy")&amp;" )"," "))))))</f>
        <v/>
      </c>
      <c r="M242" s="75" t="str">
        <f>IF(OR(LEFT(B242,2)="mg",LEFT(B242,2)="mE"),VLOOKUP(A242,COPY!$S$2:$AA$1000,2,FALSE),IF(LEFT(B242,1)="G"," ",IF(LEFT(B242,2)="ma"," "," ")))</f>
        <v xml:space="preserve"> </v>
      </c>
      <c r="N242" s="75" t="str">
        <f>IFERROR(VLOOKUP(A242&amp;"a",COPY!$S$2:$AA$1000,2,FALSE)," ")</f>
        <v xml:space="preserve"> </v>
      </c>
      <c r="O242" s="75" t="str">
        <f>IFERROR(VLOOKUP(A242&amp;"aa",COPY!$S$2:$AA$1000,2,FALSE)," ")</f>
        <v xml:space="preserve"> </v>
      </c>
      <c r="P242" s="75" t="str">
        <f>IFERROR(VLOOKUP(A242&amp;"aaa",COPY!$S$2:$AA$1000,2,FALSE)," ")</f>
        <v xml:space="preserve"> </v>
      </c>
      <c r="Q242" s="75" t="str">
        <f>IFERROR(VLOOKUP(A242&amp;"aaaa",COPY!$S$2:$AA$1000,2,FALSE)," ")</f>
        <v xml:space="preserve"> </v>
      </c>
      <c r="R242" s="75" t="str">
        <f>IFERROR(VLOOKUP(A242&amp;"aaaaa",COPY!$S$2:$AA$1000,2,FALSE)," ")</f>
        <v xml:space="preserve"> </v>
      </c>
      <c r="S242" s="75" t="str">
        <f>IFERROR(VLOOKUP(A242&amp;"aaaaaa",COPY!$S$2:$AA$1000,2,FALSE)," ")</f>
        <v xml:space="preserve"> </v>
      </c>
      <c r="T242" s="75" t="str">
        <f>IFERROR(VLOOKUP(A242&amp;"aaaaaaa",COPY!$S$2:$AA$1000,2,FALSE)," ")</f>
        <v xml:space="preserve"> </v>
      </c>
      <c r="U242" s="75" t="str">
        <f>IFERROR(VLOOKUP(A242&amp;"aaaaaaaa",COPY!$S$2:$AA$1000,2,FALSE)," ")</f>
        <v xml:space="preserve"> </v>
      </c>
      <c r="V242" s="75" t="str">
        <f>IFERROR(VLOOKUP(A242&amp;"aaaaaaaaa",COPY!$S$2:$AA$1000,2,FALSE)," ")</f>
        <v xml:space="preserve"> </v>
      </c>
      <c r="W242" s="75" t="str">
        <f>IFERROR(VLOOKUP(A242&amp;"aaaaaaaaaa",COPY!$S$2:$AA$1000,2,FALSE)," ")</f>
        <v xml:space="preserve"> </v>
      </c>
      <c r="X242" s="75" t="str">
        <f>IFERROR(VLOOKUP(A242&amp;"aaaaaaaaaaa",COPY!$S$2:$AA$1000,2,FALSE)," ")</f>
        <v xml:space="preserve"> </v>
      </c>
      <c r="Y242" s="90" t="str">
        <f>IF(OR(LEFT(B242,2)="mg",LEFT(B242,2)="mE"),VLOOKUP(A242,COPY!$S$2:$AA$1000,6,FALSE),IF(LEFT(B242,1)="G"," ",IF(LEFT(B242,2)="ma"," "," ")))</f>
        <v xml:space="preserve"> </v>
      </c>
      <c r="Z242" s="90" t="str">
        <f>IFERROR(VLOOKUP(A242&amp;"a",COPY!$S$2:$AA$1000,6,FALSE)," ")</f>
        <v xml:space="preserve"> </v>
      </c>
      <c r="AA242" s="90" t="str">
        <f>IFERROR(VLOOKUP(A242&amp;"aa",COPY!$S$2:$AA$1000,6,FALSE)," ")</f>
        <v xml:space="preserve"> </v>
      </c>
      <c r="AB242" s="90" t="str">
        <f>IFERROR(VLOOKUP(A242&amp;"aaa",COPY!$S$2:$AA$1000,6,FALSE)," ")</f>
        <v xml:space="preserve"> </v>
      </c>
      <c r="AC242" s="90" t="str">
        <f>IFERROR(VLOOKUP(A242&amp;"aaaa",COPY!$S$2:$AA$1000,6,FALSE)," ")</f>
        <v xml:space="preserve"> </v>
      </c>
      <c r="AD242" s="90" t="str">
        <f>IFERROR(VLOOKUP(A242&amp;"aaaaa",COPY!$S$2:$AA$1000,6,FALSE)," ")</f>
        <v xml:space="preserve"> </v>
      </c>
      <c r="AE242" s="90" t="str">
        <f>IFERROR(VLOOKUP(A242&amp;"aaaaaa",COPY!$S$2:$AA$1000,6,FALSE)," ")</f>
        <v xml:space="preserve"> </v>
      </c>
      <c r="AF242" s="90" t="str">
        <f>IFERROR(VLOOKUP(A242&amp;"aaaaaaa",COPY!$S$2:$AA$1000,6,FALSE)," ")</f>
        <v xml:space="preserve"> </v>
      </c>
      <c r="AG242" s="90" t="str">
        <f>IFERROR(VLOOKUP(A242&amp;"aaaaaaaa",COPY!$S$2:$AA$1000,6,FALSE)," ")</f>
        <v xml:space="preserve"> </v>
      </c>
      <c r="AH242" s="90" t="str">
        <f>IFERROR(VLOOKUP(A242&amp;"aaaaaaaaa",COPY!$S$2:$AA$1000,6,FALSE)," ")</f>
        <v xml:space="preserve"> </v>
      </c>
      <c r="AI242" s="90" t="str">
        <f>IFERROR(VLOOKUP(A242&amp;"aaaaaaaaaa",COPY!$S$2:$AA$1000,6,FALSE)," ")</f>
        <v xml:space="preserve"> </v>
      </c>
      <c r="AJ242" s="90" t="str">
        <f>IFERROR(VLOOKUP(A242&amp;"aaaaaaaaaaa",COPY!$S$2:$AA$1000,6,FALSE)," ")</f>
        <v xml:space="preserve"> </v>
      </c>
      <c r="AK242" s="90" t="str">
        <f>IF(LEFT(B242,2)="mg",VLOOKUP(A242,COPY!$S$2:$AA$1000,7,FALSE),IF(LEFT(B242,1)="G"," ",IF(LEFT(B242,2)="ma"," "," ")))</f>
        <v xml:space="preserve"> </v>
      </c>
      <c r="AL242" s="90" t="str">
        <f>IFERROR(VLOOKUP(A242&amp;"a",COPY!$S$2:$AA$1000,7,FALSE)," ")</f>
        <v xml:space="preserve"> </v>
      </c>
      <c r="AM242" s="90" t="str">
        <f>IFERROR(VLOOKUP(A242&amp;"aa",COPY!$S$2:$AA$1000,7,FALSE)," ")</f>
        <v xml:space="preserve"> </v>
      </c>
      <c r="AN242" s="90" t="str">
        <f>IFERROR(VLOOKUP(A242&amp;"aaa",COPY!$S$2:$AA$1000,7,FALSE)," ")</f>
        <v xml:space="preserve"> </v>
      </c>
      <c r="AO242" s="90" t="str">
        <f>IFERROR(VLOOKUP(A242&amp;"aaaa",COPY!$S$2:$AA$1000,7,FALSE)," ")</f>
        <v xml:space="preserve"> </v>
      </c>
      <c r="AP242" s="90" t="str">
        <f>IFERROR(VLOOKUP(A242&amp;"aaaaa",COPY!$S$2:$AA$1000,7,FALSE)," ")</f>
        <v xml:space="preserve"> </v>
      </c>
      <c r="AQ242" s="90" t="str">
        <f>IFERROR(VLOOKUP(A242&amp;"aaaaaa",COPY!$S$2:$AA$1000,7,FALSE)," ")</f>
        <v xml:space="preserve"> </v>
      </c>
      <c r="AR242" s="90" t="str">
        <f>IFERROR(VLOOKUP(A242&amp;"aaaaaaa",COPY!$S$2:$AA$1000,7,FALSE)," ")</f>
        <v xml:space="preserve"> </v>
      </c>
      <c r="AS242" s="90" t="str">
        <f>IFERROR(VLOOKUP(A242&amp;"aaaaaaaa",COPY!$S$2:$AA$1000,7,FALSE)," ")</f>
        <v xml:space="preserve"> </v>
      </c>
      <c r="AT242" s="90" t="str">
        <f>IFERROR(VLOOKUP(A242&amp;"aaaaaaaaa",COPY!$S$2:$AA$1000,7,FALSE)," ")</f>
        <v xml:space="preserve"> </v>
      </c>
      <c r="AU242" s="90" t="str">
        <f>IFERROR(VLOOKUP(A242&amp;"aaaaaaaaaa",COPY!$S$2:$AA$1000,7,FALSE)," ")</f>
        <v xml:space="preserve"> </v>
      </c>
      <c r="AV242" s="90" t="str">
        <f>IFERROR(VLOOKUP(A242&amp;"aaaaaaaaaaa",COPY!$S$2:$AA$1000,7,FALSE)," ")</f>
        <v xml:space="preserve"> </v>
      </c>
    </row>
    <row r="243" spans="1:48" x14ac:dyDescent="0.2">
      <c r="A243" s="75" t="str">
        <f>'REKAP PAJAK'!W280</f>
        <v/>
      </c>
      <c r="B243" s="75" t="str">
        <f>IF(LEN(A243)&gt;1,VLOOKUP(A243,COPY!$O$2:$R$1000,4,FALSE),"")</f>
        <v/>
      </c>
      <c r="C243" s="75" t="str">
        <f t="shared" si="18"/>
        <v xml:space="preserve"> </v>
      </c>
      <c r="D243" s="75" t="str">
        <f t="shared" si="19"/>
        <v xml:space="preserve"> </v>
      </c>
      <c r="E243" s="75" t="str">
        <f t="shared" si="20"/>
        <v xml:space="preserve"> </v>
      </c>
      <c r="F243" s="75" t="str">
        <f t="shared" si="21"/>
        <v xml:space="preserve"> </v>
      </c>
      <c r="H243" s="75" t="str">
        <f t="shared" si="22"/>
        <v xml:space="preserve"> </v>
      </c>
      <c r="I243" s="75" t="str">
        <f t="shared" si="23"/>
        <v xml:space="preserve"> </v>
      </c>
      <c r="J243" s="90" t="str">
        <f>IFERROR(VLOOKUP(A243,COPY!$S$2:$W$1000,4,FALSE)," ")</f>
        <v xml:space="preserve"> </v>
      </c>
      <c r="K243" s="75" t="str">
        <f>IFERROR(VLOOKUP(A243,COPY!$S$2:$W$1000,5,FALSE)," ")</f>
        <v xml:space="preserve"> </v>
      </c>
      <c r="L243" s="75" t="str">
        <f>IF(B243="","",IF(LEFT(B243,2)="Ma",(VLOOKUP(B243,'Rekap Gaji'!$C$12:$D$26,2,FALSE))&amp;" Untuk "&amp;(PROPER('Rekap Gaji'!$B$2)),IF(LEFT(B243,2)="Mg","Pembelian Material Bahan Bangunan",IF(LEFT(B243,2)="Me","Biaya Pembelanjaan Menejemen",IF(LEFT(B243,1)="G",VLOOKUP(A243,COPY!$S$2:$AA$1000,2,FALSE)&amp;"( "&amp;TEXT(VLOOKUP(B243,'Rekap Gaji'!$A$12:$I$26,5,FALSE),"dd-mm-yyyy")&amp;" "&amp;TEXT(VLOOKUP(B243,'Rekap Gaji'!$A$12:$I$26,6,FALSE)&amp;" "&amp;TEXT(VLOOKUP(B243,'Rekap Gaji'!$A$12:$I$26,7,FALSE),"dd-mm-yyyy")&amp;" )"," "))))))</f>
        <v/>
      </c>
      <c r="M243" s="75" t="str">
        <f>IF(OR(LEFT(B243,2)="mg",LEFT(B243,2)="mE"),VLOOKUP(A243,COPY!$S$2:$AA$1000,2,FALSE),IF(LEFT(B243,1)="G"," ",IF(LEFT(B243,2)="ma"," "," ")))</f>
        <v xml:space="preserve"> </v>
      </c>
      <c r="N243" s="75" t="str">
        <f>IFERROR(VLOOKUP(A243&amp;"a",COPY!$S$2:$AA$1000,2,FALSE)," ")</f>
        <v xml:space="preserve"> </v>
      </c>
      <c r="O243" s="75" t="str">
        <f>IFERROR(VLOOKUP(A243&amp;"aa",COPY!$S$2:$AA$1000,2,FALSE)," ")</f>
        <v xml:space="preserve"> </v>
      </c>
      <c r="P243" s="75" t="str">
        <f>IFERROR(VLOOKUP(A243&amp;"aaa",COPY!$S$2:$AA$1000,2,FALSE)," ")</f>
        <v xml:space="preserve"> </v>
      </c>
      <c r="Q243" s="75" t="str">
        <f>IFERROR(VLOOKUP(A243&amp;"aaaa",COPY!$S$2:$AA$1000,2,FALSE)," ")</f>
        <v xml:space="preserve"> </v>
      </c>
      <c r="R243" s="75" t="str">
        <f>IFERROR(VLOOKUP(A243&amp;"aaaaa",COPY!$S$2:$AA$1000,2,FALSE)," ")</f>
        <v xml:space="preserve"> </v>
      </c>
      <c r="S243" s="75" t="str">
        <f>IFERROR(VLOOKUP(A243&amp;"aaaaaa",COPY!$S$2:$AA$1000,2,FALSE)," ")</f>
        <v xml:space="preserve"> </v>
      </c>
      <c r="T243" s="75" t="str">
        <f>IFERROR(VLOOKUP(A243&amp;"aaaaaaa",COPY!$S$2:$AA$1000,2,FALSE)," ")</f>
        <v xml:space="preserve"> </v>
      </c>
      <c r="U243" s="75" t="str">
        <f>IFERROR(VLOOKUP(A243&amp;"aaaaaaaa",COPY!$S$2:$AA$1000,2,FALSE)," ")</f>
        <v xml:space="preserve"> </v>
      </c>
      <c r="V243" s="75" t="str">
        <f>IFERROR(VLOOKUP(A243&amp;"aaaaaaaaa",COPY!$S$2:$AA$1000,2,FALSE)," ")</f>
        <v xml:space="preserve"> </v>
      </c>
      <c r="W243" s="75" t="str">
        <f>IFERROR(VLOOKUP(A243&amp;"aaaaaaaaaa",COPY!$S$2:$AA$1000,2,FALSE)," ")</f>
        <v xml:space="preserve"> </v>
      </c>
      <c r="X243" s="75" t="str">
        <f>IFERROR(VLOOKUP(A243&amp;"aaaaaaaaaaa",COPY!$S$2:$AA$1000,2,FALSE)," ")</f>
        <v xml:space="preserve"> </v>
      </c>
      <c r="Y243" s="90" t="str">
        <f>IF(OR(LEFT(B243,2)="mg",LEFT(B243,2)="mE"),VLOOKUP(A243,COPY!$S$2:$AA$1000,6,FALSE),IF(LEFT(B243,1)="G"," ",IF(LEFT(B243,2)="ma"," "," ")))</f>
        <v xml:space="preserve"> </v>
      </c>
      <c r="Z243" s="90" t="str">
        <f>IFERROR(VLOOKUP(A243&amp;"a",COPY!$S$2:$AA$1000,6,FALSE)," ")</f>
        <v xml:space="preserve"> </v>
      </c>
      <c r="AA243" s="90" t="str">
        <f>IFERROR(VLOOKUP(A243&amp;"aa",COPY!$S$2:$AA$1000,6,FALSE)," ")</f>
        <v xml:space="preserve"> </v>
      </c>
      <c r="AB243" s="90" t="str">
        <f>IFERROR(VLOOKUP(A243&amp;"aaa",COPY!$S$2:$AA$1000,6,FALSE)," ")</f>
        <v xml:space="preserve"> </v>
      </c>
      <c r="AC243" s="90" t="str">
        <f>IFERROR(VLOOKUP(A243&amp;"aaaa",COPY!$S$2:$AA$1000,6,FALSE)," ")</f>
        <v xml:space="preserve"> </v>
      </c>
      <c r="AD243" s="90" t="str">
        <f>IFERROR(VLOOKUP(A243&amp;"aaaaa",COPY!$S$2:$AA$1000,6,FALSE)," ")</f>
        <v xml:space="preserve"> </v>
      </c>
      <c r="AE243" s="90" t="str">
        <f>IFERROR(VLOOKUP(A243&amp;"aaaaaa",COPY!$S$2:$AA$1000,6,FALSE)," ")</f>
        <v xml:space="preserve"> </v>
      </c>
      <c r="AF243" s="90" t="str">
        <f>IFERROR(VLOOKUP(A243&amp;"aaaaaaa",COPY!$S$2:$AA$1000,6,FALSE)," ")</f>
        <v xml:space="preserve"> </v>
      </c>
      <c r="AG243" s="90" t="str">
        <f>IFERROR(VLOOKUP(A243&amp;"aaaaaaaa",COPY!$S$2:$AA$1000,6,FALSE)," ")</f>
        <v xml:space="preserve"> </v>
      </c>
      <c r="AH243" s="90" t="str">
        <f>IFERROR(VLOOKUP(A243&amp;"aaaaaaaaa",COPY!$S$2:$AA$1000,6,FALSE)," ")</f>
        <v xml:space="preserve"> </v>
      </c>
      <c r="AI243" s="90" t="str">
        <f>IFERROR(VLOOKUP(A243&amp;"aaaaaaaaaa",COPY!$S$2:$AA$1000,6,FALSE)," ")</f>
        <v xml:space="preserve"> </v>
      </c>
      <c r="AJ243" s="90" t="str">
        <f>IFERROR(VLOOKUP(A243&amp;"aaaaaaaaaaa",COPY!$S$2:$AA$1000,6,FALSE)," ")</f>
        <v xml:space="preserve"> </v>
      </c>
      <c r="AK243" s="90" t="str">
        <f>IF(LEFT(B243,2)="mg",VLOOKUP(A243,COPY!$S$2:$AA$1000,7,FALSE),IF(LEFT(B243,1)="G"," ",IF(LEFT(B243,2)="ma"," "," ")))</f>
        <v xml:space="preserve"> </v>
      </c>
      <c r="AL243" s="90" t="str">
        <f>IFERROR(VLOOKUP(A243&amp;"a",COPY!$S$2:$AA$1000,7,FALSE)," ")</f>
        <v xml:space="preserve"> </v>
      </c>
      <c r="AM243" s="90" t="str">
        <f>IFERROR(VLOOKUP(A243&amp;"aa",COPY!$S$2:$AA$1000,7,FALSE)," ")</f>
        <v xml:space="preserve"> </v>
      </c>
      <c r="AN243" s="90" t="str">
        <f>IFERROR(VLOOKUP(A243&amp;"aaa",COPY!$S$2:$AA$1000,7,FALSE)," ")</f>
        <v xml:space="preserve"> </v>
      </c>
      <c r="AO243" s="90" t="str">
        <f>IFERROR(VLOOKUP(A243&amp;"aaaa",COPY!$S$2:$AA$1000,7,FALSE)," ")</f>
        <v xml:space="preserve"> </v>
      </c>
      <c r="AP243" s="90" t="str">
        <f>IFERROR(VLOOKUP(A243&amp;"aaaaa",COPY!$S$2:$AA$1000,7,FALSE)," ")</f>
        <v xml:space="preserve"> </v>
      </c>
      <c r="AQ243" s="90" t="str">
        <f>IFERROR(VLOOKUP(A243&amp;"aaaaaa",COPY!$S$2:$AA$1000,7,FALSE)," ")</f>
        <v xml:space="preserve"> </v>
      </c>
      <c r="AR243" s="90" t="str">
        <f>IFERROR(VLOOKUP(A243&amp;"aaaaaaa",COPY!$S$2:$AA$1000,7,FALSE)," ")</f>
        <v xml:space="preserve"> </v>
      </c>
      <c r="AS243" s="90" t="str">
        <f>IFERROR(VLOOKUP(A243&amp;"aaaaaaaa",COPY!$S$2:$AA$1000,7,FALSE)," ")</f>
        <v xml:space="preserve"> </v>
      </c>
      <c r="AT243" s="90" t="str">
        <f>IFERROR(VLOOKUP(A243&amp;"aaaaaaaaa",COPY!$S$2:$AA$1000,7,FALSE)," ")</f>
        <v xml:space="preserve"> </v>
      </c>
      <c r="AU243" s="90" t="str">
        <f>IFERROR(VLOOKUP(A243&amp;"aaaaaaaaaa",COPY!$S$2:$AA$1000,7,FALSE)," ")</f>
        <v xml:space="preserve"> </v>
      </c>
      <c r="AV243" s="90" t="str">
        <f>IFERROR(VLOOKUP(A243&amp;"aaaaaaaaaaa",COPY!$S$2:$AA$1000,7,FALSE)," ")</f>
        <v xml:space="preserve"> </v>
      </c>
    </row>
    <row r="244" spans="1:48" x14ac:dyDescent="0.2">
      <c r="A244" s="75" t="str">
        <f>'REKAP PAJAK'!W281</f>
        <v/>
      </c>
      <c r="B244" s="75" t="str">
        <f>IF(LEN(A244)&gt;1,VLOOKUP(A244,COPY!$O$2:$R$1000,4,FALSE),"")</f>
        <v/>
      </c>
      <c r="C244" s="75" t="str">
        <f t="shared" si="18"/>
        <v xml:space="preserve"> </v>
      </c>
      <c r="D244" s="75" t="str">
        <f t="shared" si="19"/>
        <v xml:space="preserve"> </v>
      </c>
      <c r="E244" s="75" t="str">
        <f t="shared" si="20"/>
        <v xml:space="preserve"> </v>
      </c>
      <c r="F244" s="75" t="str">
        <f t="shared" si="21"/>
        <v xml:space="preserve"> </v>
      </c>
      <c r="H244" s="75" t="str">
        <f t="shared" si="22"/>
        <v xml:space="preserve"> </v>
      </c>
      <c r="I244" s="75" t="str">
        <f t="shared" si="23"/>
        <v xml:space="preserve"> </v>
      </c>
      <c r="J244" s="90" t="str">
        <f>IFERROR(VLOOKUP(A244,COPY!$S$2:$W$1000,4,FALSE)," ")</f>
        <v xml:space="preserve"> </v>
      </c>
      <c r="K244" s="75" t="str">
        <f>IFERROR(VLOOKUP(A244,COPY!$S$2:$W$1000,5,FALSE)," ")</f>
        <v xml:space="preserve"> </v>
      </c>
      <c r="L244" s="75" t="str">
        <f>IF(B244="","",IF(LEFT(B244,2)="Ma",(VLOOKUP(B244,'Rekap Gaji'!$C$12:$D$26,2,FALSE))&amp;" Untuk "&amp;(PROPER('Rekap Gaji'!$B$2)),IF(LEFT(B244,2)="Mg","Pembelian Material Bahan Bangunan",IF(LEFT(B244,2)="Me","Biaya Pembelanjaan Menejemen",IF(LEFT(B244,1)="G",VLOOKUP(A244,COPY!$S$2:$AA$1000,2,FALSE)&amp;"( "&amp;TEXT(VLOOKUP(B244,'Rekap Gaji'!$A$12:$I$26,5,FALSE),"dd-mm-yyyy")&amp;" "&amp;TEXT(VLOOKUP(B244,'Rekap Gaji'!$A$12:$I$26,6,FALSE)&amp;" "&amp;TEXT(VLOOKUP(B244,'Rekap Gaji'!$A$12:$I$26,7,FALSE),"dd-mm-yyyy")&amp;" )"," "))))))</f>
        <v/>
      </c>
      <c r="M244" s="75" t="str">
        <f>IF(OR(LEFT(B244,2)="mg",LEFT(B244,2)="mE"),VLOOKUP(A244,COPY!$S$2:$AA$1000,2,FALSE),IF(LEFT(B244,1)="G"," ",IF(LEFT(B244,2)="ma"," "," ")))</f>
        <v xml:space="preserve"> </v>
      </c>
      <c r="N244" s="75" t="str">
        <f>IFERROR(VLOOKUP(A244&amp;"a",COPY!$S$2:$AA$1000,2,FALSE)," ")</f>
        <v xml:space="preserve"> </v>
      </c>
      <c r="O244" s="75" t="str">
        <f>IFERROR(VLOOKUP(A244&amp;"aa",COPY!$S$2:$AA$1000,2,FALSE)," ")</f>
        <v xml:space="preserve"> </v>
      </c>
      <c r="P244" s="75" t="str">
        <f>IFERROR(VLOOKUP(A244&amp;"aaa",COPY!$S$2:$AA$1000,2,FALSE)," ")</f>
        <v xml:space="preserve"> </v>
      </c>
      <c r="Q244" s="75" t="str">
        <f>IFERROR(VLOOKUP(A244&amp;"aaaa",COPY!$S$2:$AA$1000,2,FALSE)," ")</f>
        <v xml:space="preserve"> </v>
      </c>
      <c r="R244" s="75" t="str">
        <f>IFERROR(VLOOKUP(A244&amp;"aaaaa",COPY!$S$2:$AA$1000,2,FALSE)," ")</f>
        <v xml:space="preserve"> </v>
      </c>
      <c r="S244" s="75" t="str">
        <f>IFERROR(VLOOKUP(A244&amp;"aaaaaa",COPY!$S$2:$AA$1000,2,FALSE)," ")</f>
        <v xml:space="preserve"> </v>
      </c>
      <c r="T244" s="75" t="str">
        <f>IFERROR(VLOOKUP(A244&amp;"aaaaaaa",COPY!$S$2:$AA$1000,2,FALSE)," ")</f>
        <v xml:space="preserve"> </v>
      </c>
      <c r="U244" s="75" t="str">
        <f>IFERROR(VLOOKUP(A244&amp;"aaaaaaaa",COPY!$S$2:$AA$1000,2,FALSE)," ")</f>
        <v xml:space="preserve"> </v>
      </c>
      <c r="V244" s="75" t="str">
        <f>IFERROR(VLOOKUP(A244&amp;"aaaaaaaaa",COPY!$S$2:$AA$1000,2,FALSE)," ")</f>
        <v xml:space="preserve"> </v>
      </c>
      <c r="W244" s="75" t="str">
        <f>IFERROR(VLOOKUP(A244&amp;"aaaaaaaaaa",COPY!$S$2:$AA$1000,2,FALSE)," ")</f>
        <v xml:space="preserve"> </v>
      </c>
      <c r="X244" s="75" t="str">
        <f>IFERROR(VLOOKUP(A244&amp;"aaaaaaaaaaa",COPY!$S$2:$AA$1000,2,FALSE)," ")</f>
        <v xml:space="preserve"> </v>
      </c>
      <c r="Y244" s="90" t="str">
        <f>IF(OR(LEFT(B244,2)="mg",LEFT(B244,2)="mE"),VLOOKUP(A244,COPY!$S$2:$AA$1000,6,FALSE),IF(LEFT(B244,1)="G"," ",IF(LEFT(B244,2)="ma"," "," ")))</f>
        <v xml:space="preserve"> </v>
      </c>
      <c r="Z244" s="90" t="str">
        <f>IFERROR(VLOOKUP(A244&amp;"a",COPY!$S$2:$AA$1000,6,FALSE)," ")</f>
        <v xml:space="preserve"> </v>
      </c>
      <c r="AA244" s="90" t="str">
        <f>IFERROR(VLOOKUP(A244&amp;"aa",COPY!$S$2:$AA$1000,6,FALSE)," ")</f>
        <v xml:space="preserve"> </v>
      </c>
      <c r="AB244" s="90" t="str">
        <f>IFERROR(VLOOKUP(A244&amp;"aaa",COPY!$S$2:$AA$1000,6,FALSE)," ")</f>
        <v xml:space="preserve"> </v>
      </c>
      <c r="AC244" s="90" t="str">
        <f>IFERROR(VLOOKUP(A244&amp;"aaaa",COPY!$S$2:$AA$1000,6,FALSE)," ")</f>
        <v xml:space="preserve"> </v>
      </c>
      <c r="AD244" s="90" t="str">
        <f>IFERROR(VLOOKUP(A244&amp;"aaaaa",COPY!$S$2:$AA$1000,6,FALSE)," ")</f>
        <v xml:space="preserve"> </v>
      </c>
      <c r="AE244" s="90" t="str">
        <f>IFERROR(VLOOKUP(A244&amp;"aaaaaa",COPY!$S$2:$AA$1000,6,FALSE)," ")</f>
        <v xml:space="preserve"> </v>
      </c>
      <c r="AF244" s="90" t="str">
        <f>IFERROR(VLOOKUP(A244&amp;"aaaaaaa",COPY!$S$2:$AA$1000,6,FALSE)," ")</f>
        <v xml:space="preserve"> </v>
      </c>
      <c r="AG244" s="90" t="str">
        <f>IFERROR(VLOOKUP(A244&amp;"aaaaaaaa",COPY!$S$2:$AA$1000,6,FALSE)," ")</f>
        <v xml:space="preserve"> </v>
      </c>
      <c r="AH244" s="90" t="str">
        <f>IFERROR(VLOOKUP(A244&amp;"aaaaaaaaa",COPY!$S$2:$AA$1000,6,FALSE)," ")</f>
        <v xml:space="preserve"> </v>
      </c>
      <c r="AI244" s="90" t="str">
        <f>IFERROR(VLOOKUP(A244&amp;"aaaaaaaaaa",COPY!$S$2:$AA$1000,6,FALSE)," ")</f>
        <v xml:space="preserve"> </v>
      </c>
      <c r="AJ244" s="90" t="str">
        <f>IFERROR(VLOOKUP(A244&amp;"aaaaaaaaaaa",COPY!$S$2:$AA$1000,6,FALSE)," ")</f>
        <v xml:space="preserve"> </v>
      </c>
      <c r="AK244" s="90" t="str">
        <f>IF(LEFT(B244,2)="mg",VLOOKUP(A244,COPY!$S$2:$AA$1000,7,FALSE),IF(LEFT(B244,1)="G"," ",IF(LEFT(B244,2)="ma"," "," ")))</f>
        <v xml:space="preserve"> </v>
      </c>
      <c r="AL244" s="90" t="str">
        <f>IFERROR(VLOOKUP(A244&amp;"a",COPY!$S$2:$AA$1000,7,FALSE)," ")</f>
        <v xml:space="preserve"> </v>
      </c>
      <c r="AM244" s="90" t="str">
        <f>IFERROR(VLOOKUP(A244&amp;"aa",COPY!$S$2:$AA$1000,7,FALSE)," ")</f>
        <v xml:space="preserve"> </v>
      </c>
      <c r="AN244" s="90" t="str">
        <f>IFERROR(VLOOKUP(A244&amp;"aaa",COPY!$S$2:$AA$1000,7,FALSE)," ")</f>
        <v xml:space="preserve"> </v>
      </c>
      <c r="AO244" s="90" t="str">
        <f>IFERROR(VLOOKUP(A244&amp;"aaaa",COPY!$S$2:$AA$1000,7,FALSE)," ")</f>
        <v xml:space="preserve"> </v>
      </c>
      <c r="AP244" s="90" t="str">
        <f>IFERROR(VLOOKUP(A244&amp;"aaaaa",COPY!$S$2:$AA$1000,7,FALSE)," ")</f>
        <v xml:space="preserve"> </v>
      </c>
      <c r="AQ244" s="90" t="str">
        <f>IFERROR(VLOOKUP(A244&amp;"aaaaaa",COPY!$S$2:$AA$1000,7,FALSE)," ")</f>
        <v xml:space="preserve"> </v>
      </c>
      <c r="AR244" s="90" t="str">
        <f>IFERROR(VLOOKUP(A244&amp;"aaaaaaa",COPY!$S$2:$AA$1000,7,FALSE)," ")</f>
        <v xml:space="preserve"> </v>
      </c>
      <c r="AS244" s="90" t="str">
        <f>IFERROR(VLOOKUP(A244&amp;"aaaaaaaa",COPY!$S$2:$AA$1000,7,FALSE)," ")</f>
        <v xml:space="preserve"> </v>
      </c>
      <c r="AT244" s="90" t="str">
        <f>IFERROR(VLOOKUP(A244&amp;"aaaaaaaaa",COPY!$S$2:$AA$1000,7,FALSE)," ")</f>
        <v xml:space="preserve"> </v>
      </c>
      <c r="AU244" s="90" t="str">
        <f>IFERROR(VLOOKUP(A244&amp;"aaaaaaaaaa",COPY!$S$2:$AA$1000,7,FALSE)," ")</f>
        <v xml:space="preserve"> </v>
      </c>
      <c r="AV244" s="90" t="str">
        <f>IFERROR(VLOOKUP(A244&amp;"aaaaaaaaaaa",COPY!$S$2:$AA$1000,7,FALSE)," ")</f>
        <v xml:space="preserve"> </v>
      </c>
    </row>
    <row r="245" spans="1:48" x14ac:dyDescent="0.2">
      <c r="A245" s="75" t="str">
        <f>'REKAP PAJAK'!W282</f>
        <v/>
      </c>
      <c r="B245" s="75" t="str">
        <f>IF(LEN(A245)&gt;1,VLOOKUP(A245,COPY!$O$2:$R$1000,4,FALSE),"")</f>
        <v/>
      </c>
      <c r="C245" s="75" t="str">
        <f t="shared" si="18"/>
        <v xml:space="preserve"> </v>
      </c>
      <c r="D245" s="75" t="str">
        <f t="shared" si="19"/>
        <v xml:space="preserve"> </v>
      </c>
      <c r="E245" s="75" t="str">
        <f t="shared" si="20"/>
        <v xml:space="preserve"> </v>
      </c>
      <c r="F245" s="75" t="str">
        <f t="shared" si="21"/>
        <v xml:space="preserve"> </v>
      </c>
      <c r="H245" s="75" t="str">
        <f t="shared" si="22"/>
        <v xml:space="preserve"> </v>
      </c>
      <c r="I245" s="75" t="str">
        <f t="shared" si="23"/>
        <v xml:space="preserve"> </v>
      </c>
      <c r="J245" s="90" t="str">
        <f>IFERROR(VLOOKUP(A245,COPY!$S$2:$W$1000,4,FALSE)," ")</f>
        <v xml:space="preserve"> </v>
      </c>
      <c r="K245" s="75" t="str">
        <f>IFERROR(VLOOKUP(A245,COPY!$S$2:$W$1000,5,FALSE)," ")</f>
        <v xml:space="preserve"> </v>
      </c>
      <c r="L245" s="75" t="str">
        <f>IF(B245="","",IF(LEFT(B245,2)="Ma",(VLOOKUP(B245,'Rekap Gaji'!$C$12:$D$26,2,FALSE))&amp;" Untuk "&amp;(PROPER('Rekap Gaji'!$B$2)),IF(LEFT(B245,2)="Mg","Pembelian Material Bahan Bangunan",IF(LEFT(B245,2)="Me","Biaya Pembelanjaan Menejemen",IF(LEFT(B245,1)="G",VLOOKUP(A245,COPY!$S$2:$AA$1000,2,FALSE)&amp;"( "&amp;TEXT(VLOOKUP(B245,'Rekap Gaji'!$A$12:$I$26,5,FALSE),"dd-mm-yyyy")&amp;" "&amp;TEXT(VLOOKUP(B245,'Rekap Gaji'!$A$12:$I$26,6,FALSE)&amp;" "&amp;TEXT(VLOOKUP(B245,'Rekap Gaji'!$A$12:$I$26,7,FALSE),"dd-mm-yyyy")&amp;" )"," "))))))</f>
        <v/>
      </c>
      <c r="M245" s="75" t="str">
        <f>IF(OR(LEFT(B245,2)="mg",LEFT(B245,2)="mE"),VLOOKUP(A245,COPY!$S$2:$AA$1000,2,FALSE),IF(LEFT(B245,1)="G"," ",IF(LEFT(B245,2)="ma"," "," ")))</f>
        <v xml:space="preserve"> </v>
      </c>
      <c r="N245" s="75" t="str">
        <f>IFERROR(VLOOKUP(A245&amp;"a",COPY!$S$2:$AA$1000,2,FALSE)," ")</f>
        <v xml:space="preserve"> </v>
      </c>
      <c r="O245" s="75" t="str">
        <f>IFERROR(VLOOKUP(A245&amp;"aa",COPY!$S$2:$AA$1000,2,FALSE)," ")</f>
        <v xml:space="preserve"> </v>
      </c>
      <c r="P245" s="75" t="str">
        <f>IFERROR(VLOOKUP(A245&amp;"aaa",COPY!$S$2:$AA$1000,2,FALSE)," ")</f>
        <v xml:space="preserve"> </v>
      </c>
      <c r="Q245" s="75" t="str">
        <f>IFERROR(VLOOKUP(A245&amp;"aaaa",COPY!$S$2:$AA$1000,2,FALSE)," ")</f>
        <v xml:space="preserve"> </v>
      </c>
      <c r="R245" s="75" t="str">
        <f>IFERROR(VLOOKUP(A245&amp;"aaaaa",COPY!$S$2:$AA$1000,2,FALSE)," ")</f>
        <v xml:space="preserve"> </v>
      </c>
      <c r="S245" s="75" t="str">
        <f>IFERROR(VLOOKUP(A245&amp;"aaaaaa",COPY!$S$2:$AA$1000,2,FALSE)," ")</f>
        <v xml:space="preserve"> </v>
      </c>
      <c r="T245" s="75" t="str">
        <f>IFERROR(VLOOKUP(A245&amp;"aaaaaaa",COPY!$S$2:$AA$1000,2,FALSE)," ")</f>
        <v xml:space="preserve"> </v>
      </c>
      <c r="U245" s="75" t="str">
        <f>IFERROR(VLOOKUP(A245&amp;"aaaaaaaa",COPY!$S$2:$AA$1000,2,FALSE)," ")</f>
        <v xml:space="preserve"> </v>
      </c>
      <c r="V245" s="75" t="str">
        <f>IFERROR(VLOOKUP(A245&amp;"aaaaaaaaa",COPY!$S$2:$AA$1000,2,FALSE)," ")</f>
        <v xml:space="preserve"> </v>
      </c>
      <c r="W245" s="75" t="str">
        <f>IFERROR(VLOOKUP(A245&amp;"aaaaaaaaaa",COPY!$S$2:$AA$1000,2,FALSE)," ")</f>
        <v xml:space="preserve"> </v>
      </c>
      <c r="X245" s="75" t="str">
        <f>IFERROR(VLOOKUP(A245&amp;"aaaaaaaaaaa",COPY!$S$2:$AA$1000,2,FALSE)," ")</f>
        <v xml:space="preserve"> </v>
      </c>
      <c r="Y245" s="90" t="str">
        <f>IF(OR(LEFT(B245,2)="mg",LEFT(B245,2)="mE"),VLOOKUP(A245,COPY!$S$2:$AA$1000,6,FALSE),IF(LEFT(B245,1)="G"," ",IF(LEFT(B245,2)="ma"," "," ")))</f>
        <v xml:space="preserve"> </v>
      </c>
      <c r="Z245" s="90" t="str">
        <f>IFERROR(VLOOKUP(A245&amp;"a",COPY!$S$2:$AA$1000,6,FALSE)," ")</f>
        <v xml:space="preserve"> </v>
      </c>
      <c r="AA245" s="90" t="str">
        <f>IFERROR(VLOOKUP(A245&amp;"aa",COPY!$S$2:$AA$1000,6,FALSE)," ")</f>
        <v xml:space="preserve"> </v>
      </c>
      <c r="AB245" s="90" t="str">
        <f>IFERROR(VLOOKUP(A245&amp;"aaa",COPY!$S$2:$AA$1000,6,FALSE)," ")</f>
        <v xml:space="preserve"> </v>
      </c>
      <c r="AC245" s="90" t="str">
        <f>IFERROR(VLOOKUP(A245&amp;"aaaa",COPY!$S$2:$AA$1000,6,FALSE)," ")</f>
        <v xml:space="preserve"> </v>
      </c>
      <c r="AD245" s="90" t="str">
        <f>IFERROR(VLOOKUP(A245&amp;"aaaaa",COPY!$S$2:$AA$1000,6,FALSE)," ")</f>
        <v xml:space="preserve"> </v>
      </c>
      <c r="AE245" s="90" t="str">
        <f>IFERROR(VLOOKUP(A245&amp;"aaaaaa",COPY!$S$2:$AA$1000,6,FALSE)," ")</f>
        <v xml:space="preserve"> </v>
      </c>
      <c r="AF245" s="90" t="str">
        <f>IFERROR(VLOOKUP(A245&amp;"aaaaaaa",COPY!$S$2:$AA$1000,6,FALSE)," ")</f>
        <v xml:space="preserve"> </v>
      </c>
      <c r="AG245" s="90" t="str">
        <f>IFERROR(VLOOKUP(A245&amp;"aaaaaaaa",COPY!$S$2:$AA$1000,6,FALSE)," ")</f>
        <v xml:space="preserve"> </v>
      </c>
      <c r="AH245" s="90" t="str">
        <f>IFERROR(VLOOKUP(A245&amp;"aaaaaaaaa",COPY!$S$2:$AA$1000,6,FALSE)," ")</f>
        <v xml:space="preserve"> </v>
      </c>
      <c r="AI245" s="90" t="str">
        <f>IFERROR(VLOOKUP(A245&amp;"aaaaaaaaaa",COPY!$S$2:$AA$1000,6,FALSE)," ")</f>
        <v xml:space="preserve"> </v>
      </c>
      <c r="AJ245" s="90" t="str">
        <f>IFERROR(VLOOKUP(A245&amp;"aaaaaaaaaaa",COPY!$S$2:$AA$1000,6,FALSE)," ")</f>
        <v xml:space="preserve"> </v>
      </c>
      <c r="AK245" s="90" t="str">
        <f>IF(LEFT(B245,2)="mg",VLOOKUP(A245,COPY!$S$2:$AA$1000,7,FALSE),IF(LEFT(B245,1)="G"," ",IF(LEFT(B245,2)="ma"," "," ")))</f>
        <v xml:space="preserve"> </v>
      </c>
      <c r="AL245" s="90" t="str">
        <f>IFERROR(VLOOKUP(A245&amp;"a",COPY!$S$2:$AA$1000,7,FALSE)," ")</f>
        <v xml:space="preserve"> </v>
      </c>
      <c r="AM245" s="90" t="str">
        <f>IFERROR(VLOOKUP(A245&amp;"aa",COPY!$S$2:$AA$1000,7,FALSE)," ")</f>
        <v xml:space="preserve"> </v>
      </c>
      <c r="AN245" s="90" t="str">
        <f>IFERROR(VLOOKUP(A245&amp;"aaa",COPY!$S$2:$AA$1000,7,FALSE)," ")</f>
        <v xml:space="preserve"> </v>
      </c>
      <c r="AO245" s="90" t="str">
        <f>IFERROR(VLOOKUP(A245&amp;"aaaa",COPY!$S$2:$AA$1000,7,FALSE)," ")</f>
        <v xml:space="preserve"> </v>
      </c>
      <c r="AP245" s="90" t="str">
        <f>IFERROR(VLOOKUP(A245&amp;"aaaaa",COPY!$S$2:$AA$1000,7,FALSE)," ")</f>
        <v xml:space="preserve"> </v>
      </c>
      <c r="AQ245" s="90" t="str">
        <f>IFERROR(VLOOKUP(A245&amp;"aaaaaa",COPY!$S$2:$AA$1000,7,FALSE)," ")</f>
        <v xml:space="preserve"> </v>
      </c>
      <c r="AR245" s="90" t="str">
        <f>IFERROR(VLOOKUP(A245&amp;"aaaaaaa",COPY!$S$2:$AA$1000,7,FALSE)," ")</f>
        <v xml:space="preserve"> </v>
      </c>
      <c r="AS245" s="90" t="str">
        <f>IFERROR(VLOOKUP(A245&amp;"aaaaaaaa",COPY!$S$2:$AA$1000,7,FALSE)," ")</f>
        <v xml:space="preserve"> </v>
      </c>
      <c r="AT245" s="90" t="str">
        <f>IFERROR(VLOOKUP(A245&amp;"aaaaaaaaa",COPY!$S$2:$AA$1000,7,FALSE)," ")</f>
        <v xml:space="preserve"> </v>
      </c>
      <c r="AU245" s="90" t="str">
        <f>IFERROR(VLOOKUP(A245&amp;"aaaaaaaaaa",COPY!$S$2:$AA$1000,7,FALSE)," ")</f>
        <v xml:space="preserve"> </v>
      </c>
      <c r="AV245" s="90" t="str">
        <f>IFERROR(VLOOKUP(A245&amp;"aaaaaaaaaaa",COPY!$S$2:$AA$1000,7,FALSE)," ")</f>
        <v xml:space="preserve"> </v>
      </c>
    </row>
    <row r="246" spans="1:48" x14ac:dyDescent="0.2">
      <c r="A246" s="75" t="str">
        <f>'REKAP PAJAK'!W283</f>
        <v/>
      </c>
      <c r="B246" s="75" t="str">
        <f>IF(LEN(A246)&gt;1,VLOOKUP(A246,COPY!$O$2:$R$1000,4,FALSE),"")</f>
        <v/>
      </c>
      <c r="C246" s="75" t="str">
        <f t="shared" si="18"/>
        <v xml:space="preserve"> </v>
      </c>
      <c r="D246" s="75" t="str">
        <f t="shared" si="19"/>
        <v xml:space="preserve"> </v>
      </c>
      <c r="E246" s="75" t="str">
        <f t="shared" si="20"/>
        <v xml:space="preserve"> </v>
      </c>
      <c r="F246" s="75" t="str">
        <f t="shared" si="21"/>
        <v xml:space="preserve"> </v>
      </c>
      <c r="H246" s="75" t="str">
        <f t="shared" si="22"/>
        <v xml:space="preserve"> </v>
      </c>
      <c r="I246" s="75" t="str">
        <f t="shared" si="23"/>
        <v xml:space="preserve"> </v>
      </c>
      <c r="J246" s="90" t="str">
        <f>IFERROR(VLOOKUP(A246,COPY!$S$2:$W$1000,4,FALSE)," ")</f>
        <v xml:space="preserve"> </v>
      </c>
      <c r="K246" s="75" t="str">
        <f>IFERROR(VLOOKUP(A246,COPY!$S$2:$W$1000,5,FALSE)," ")</f>
        <v xml:space="preserve"> </v>
      </c>
      <c r="L246" s="75" t="str">
        <f>IF(B246="","",IF(LEFT(B246,2)="Ma",(VLOOKUP(B246,'Rekap Gaji'!$C$12:$D$26,2,FALSE))&amp;" Untuk "&amp;(PROPER('Rekap Gaji'!$B$2)),IF(LEFT(B246,2)="Mg","Pembelian Material Bahan Bangunan",IF(LEFT(B246,2)="Me","Biaya Pembelanjaan Menejemen",IF(LEFT(B246,1)="G",VLOOKUP(A246,COPY!$S$2:$AA$1000,2,FALSE)&amp;"( "&amp;TEXT(VLOOKUP(B246,'Rekap Gaji'!$A$12:$I$26,5,FALSE),"dd-mm-yyyy")&amp;" "&amp;TEXT(VLOOKUP(B246,'Rekap Gaji'!$A$12:$I$26,6,FALSE)&amp;" "&amp;TEXT(VLOOKUP(B246,'Rekap Gaji'!$A$12:$I$26,7,FALSE),"dd-mm-yyyy")&amp;" )"," "))))))</f>
        <v/>
      </c>
      <c r="M246" s="75" t="str">
        <f>IF(OR(LEFT(B246,2)="mg",LEFT(B246,2)="mE"),VLOOKUP(A246,COPY!$S$2:$AA$1000,2,FALSE),IF(LEFT(B246,1)="G"," ",IF(LEFT(B246,2)="ma"," "," ")))</f>
        <v xml:space="preserve"> </v>
      </c>
      <c r="N246" s="75" t="str">
        <f>IFERROR(VLOOKUP(A246&amp;"a",COPY!$S$2:$AA$1000,2,FALSE)," ")</f>
        <v xml:space="preserve"> </v>
      </c>
      <c r="O246" s="75" t="str">
        <f>IFERROR(VLOOKUP(A246&amp;"aa",COPY!$S$2:$AA$1000,2,FALSE)," ")</f>
        <v xml:space="preserve"> </v>
      </c>
      <c r="P246" s="75" t="str">
        <f>IFERROR(VLOOKUP(A246&amp;"aaa",COPY!$S$2:$AA$1000,2,FALSE)," ")</f>
        <v xml:space="preserve"> </v>
      </c>
      <c r="Q246" s="75" t="str">
        <f>IFERROR(VLOOKUP(A246&amp;"aaaa",COPY!$S$2:$AA$1000,2,FALSE)," ")</f>
        <v xml:space="preserve"> </v>
      </c>
      <c r="R246" s="75" t="str">
        <f>IFERROR(VLOOKUP(A246&amp;"aaaaa",COPY!$S$2:$AA$1000,2,FALSE)," ")</f>
        <v xml:space="preserve"> </v>
      </c>
      <c r="S246" s="75" t="str">
        <f>IFERROR(VLOOKUP(A246&amp;"aaaaaa",COPY!$S$2:$AA$1000,2,FALSE)," ")</f>
        <v xml:space="preserve"> </v>
      </c>
      <c r="T246" s="75" t="str">
        <f>IFERROR(VLOOKUP(A246&amp;"aaaaaaa",COPY!$S$2:$AA$1000,2,FALSE)," ")</f>
        <v xml:space="preserve"> </v>
      </c>
      <c r="U246" s="75" t="str">
        <f>IFERROR(VLOOKUP(A246&amp;"aaaaaaaa",COPY!$S$2:$AA$1000,2,FALSE)," ")</f>
        <v xml:space="preserve"> </v>
      </c>
      <c r="V246" s="75" t="str">
        <f>IFERROR(VLOOKUP(A246&amp;"aaaaaaaaa",COPY!$S$2:$AA$1000,2,FALSE)," ")</f>
        <v xml:space="preserve"> </v>
      </c>
      <c r="W246" s="75" t="str">
        <f>IFERROR(VLOOKUP(A246&amp;"aaaaaaaaaa",COPY!$S$2:$AA$1000,2,FALSE)," ")</f>
        <v xml:space="preserve"> </v>
      </c>
      <c r="X246" s="75" t="str">
        <f>IFERROR(VLOOKUP(A246&amp;"aaaaaaaaaaa",COPY!$S$2:$AA$1000,2,FALSE)," ")</f>
        <v xml:space="preserve"> </v>
      </c>
      <c r="Y246" s="90" t="str">
        <f>IF(OR(LEFT(B246,2)="mg",LEFT(B246,2)="mE"),VLOOKUP(A246,COPY!$S$2:$AA$1000,6,FALSE),IF(LEFT(B246,1)="G"," ",IF(LEFT(B246,2)="ma"," "," ")))</f>
        <v xml:space="preserve"> </v>
      </c>
      <c r="Z246" s="90" t="str">
        <f>IFERROR(VLOOKUP(A246&amp;"a",COPY!$S$2:$AA$1000,6,FALSE)," ")</f>
        <v xml:space="preserve"> </v>
      </c>
      <c r="AA246" s="90" t="str">
        <f>IFERROR(VLOOKUP(A246&amp;"aa",COPY!$S$2:$AA$1000,6,FALSE)," ")</f>
        <v xml:space="preserve"> </v>
      </c>
      <c r="AB246" s="90" t="str">
        <f>IFERROR(VLOOKUP(A246&amp;"aaa",COPY!$S$2:$AA$1000,6,FALSE)," ")</f>
        <v xml:space="preserve"> </v>
      </c>
      <c r="AC246" s="90" t="str">
        <f>IFERROR(VLOOKUP(A246&amp;"aaaa",COPY!$S$2:$AA$1000,6,FALSE)," ")</f>
        <v xml:space="preserve"> </v>
      </c>
      <c r="AD246" s="90" t="str">
        <f>IFERROR(VLOOKUP(A246&amp;"aaaaa",COPY!$S$2:$AA$1000,6,FALSE)," ")</f>
        <v xml:space="preserve"> </v>
      </c>
      <c r="AE246" s="90" t="str">
        <f>IFERROR(VLOOKUP(A246&amp;"aaaaaa",COPY!$S$2:$AA$1000,6,FALSE)," ")</f>
        <v xml:space="preserve"> </v>
      </c>
      <c r="AF246" s="90" t="str">
        <f>IFERROR(VLOOKUP(A246&amp;"aaaaaaa",COPY!$S$2:$AA$1000,6,FALSE)," ")</f>
        <v xml:space="preserve"> </v>
      </c>
      <c r="AG246" s="90" t="str">
        <f>IFERROR(VLOOKUP(A246&amp;"aaaaaaaa",COPY!$S$2:$AA$1000,6,FALSE)," ")</f>
        <v xml:space="preserve"> </v>
      </c>
      <c r="AH246" s="90" t="str">
        <f>IFERROR(VLOOKUP(A246&amp;"aaaaaaaaa",COPY!$S$2:$AA$1000,6,FALSE)," ")</f>
        <v xml:space="preserve"> </v>
      </c>
      <c r="AI246" s="90" t="str">
        <f>IFERROR(VLOOKUP(A246&amp;"aaaaaaaaaa",COPY!$S$2:$AA$1000,6,FALSE)," ")</f>
        <v xml:space="preserve"> </v>
      </c>
      <c r="AJ246" s="90" t="str">
        <f>IFERROR(VLOOKUP(A246&amp;"aaaaaaaaaaa",COPY!$S$2:$AA$1000,6,FALSE)," ")</f>
        <v xml:space="preserve"> </v>
      </c>
      <c r="AK246" s="90" t="str">
        <f>IF(LEFT(B246,2)="mg",VLOOKUP(A246,COPY!$S$2:$AA$1000,7,FALSE),IF(LEFT(B246,1)="G"," ",IF(LEFT(B246,2)="ma"," "," ")))</f>
        <v xml:space="preserve"> </v>
      </c>
      <c r="AL246" s="90" t="str">
        <f>IFERROR(VLOOKUP(A246&amp;"a",COPY!$S$2:$AA$1000,7,FALSE)," ")</f>
        <v xml:space="preserve"> </v>
      </c>
      <c r="AM246" s="90" t="str">
        <f>IFERROR(VLOOKUP(A246&amp;"aa",COPY!$S$2:$AA$1000,7,FALSE)," ")</f>
        <v xml:space="preserve"> </v>
      </c>
      <c r="AN246" s="90" t="str">
        <f>IFERROR(VLOOKUP(A246&amp;"aaa",COPY!$S$2:$AA$1000,7,FALSE)," ")</f>
        <v xml:space="preserve"> </v>
      </c>
      <c r="AO246" s="90" t="str">
        <f>IFERROR(VLOOKUP(A246&amp;"aaaa",COPY!$S$2:$AA$1000,7,FALSE)," ")</f>
        <v xml:space="preserve"> </v>
      </c>
      <c r="AP246" s="90" t="str">
        <f>IFERROR(VLOOKUP(A246&amp;"aaaaa",COPY!$S$2:$AA$1000,7,FALSE)," ")</f>
        <v xml:space="preserve"> </v>
      </c>
      <c r="AQ246" s="90" t="str">
        <f>IFERROR(VLOOKUP(A246&amp;"aaaaaa",COPY!$S$2:$AA$1000,7,FALSE)," ")</f>
        <v xml:space="preserve"> </v>
      </c>
      <c r="AR246" s="90" t="str">
        <f>IFERROR(VLOOKUP(A246&amp;"aaaaaaa",COPY!$S$2:$AA$1000,7,FALSE)," ")</f>
        <v xml:space="preserve"> </v>
      </c>
      <c r="AS246" s="90" t="str">
        <f>IFERROR(VLOOKUP(A246&amp;"aaaaaaaa",COPY!$S$2:$AA$1000,7,FALSE)," ")</f>
        <v xml:space="preserve"> </v>
      </c>
      <c r="AT246" s="90" t="str">
        <f>IFERROR(VLOOKUP(A246&amp;"aaaaaaaaa",COPY!$S$2:$AA$1000,7,FALSE)," ")</f>
        <v xml:space="preserve"> </v>
      </c>
      <c r="AU246" s="90" t="str">
        <f>IFERROR(VLOOKUP(A246&amp;"aaaaaaaaaa",COPY!$S$2:$AA$1000,7,FALSE)," ")</f>
        <v xml:space="preserve"> </v>
      </c>
      <c r="AV246" s="90" t="str">
        <f>IFERROR(VLOOKUP(A246&amp;"aaaaaaaaaaa",COPY!$S$2:$AA$1000,7,FALSE)," ")</f>
        <v xml:space="preserve"> </v>
      </c>
    </row>
    <row r="247" spans="1:48" x14ac:dyDescent="0.2">
      <c r="A247" s="75" t="str">
        <f>'REKAP PAJAK'!W284</f>
        <v/>
      </c>
      <c r="B247" s="75" t="str">
        <f>IF(LEN(A247)&gt;1,VLOOKUP(A247,COPY!$O$2:$R$1000,4,FALSE),"")</f>
        <v/>
      </c>
      <c r="C247" s="75" t="str">
        <f t="shared" si="18"/>
        <v xml:space="preserve"> </v>
      </c>
      <c r="D247" s="75" t="str">
        <f t="shared" si="19"/>
        <v xml:space="preserve"> </v>
      </c>
      <c r="E247" s="75" t="str">
        <f t="shared" si="20"/>
        <v xml:space="preserve"> </v>
      </c>
      <c r="F247" s="75" t="str">
        <f t="shared" si="21"/>
        <v xml:space="preserve"> </v>
      </c>
      <c r="H247" s="75" t="str">
        <f t="shared" si="22"/>
        <v xml:space="preserve"> </v>
      </c>
      <c r="I247" s="75" t="str">
        <f t="shared" si="23"/>
        <v xml:space="preserve"> </v>
      </c>
      <c r="J247" s="90" t="str">
        <f>IFERROR(VLOOKUP(A247,COPY!$S$2:$W$1000,4,FALSE)," ")</f>
        <v xml:space="preserve"> </v>
      </c>
      <c r="K247" s="75" t="str">
        <f>IFERROR(VLOOKUP(A247,COPY!$S$2:$W$1000,5,FALSE)," ")</f>
        <v xml:space="preserve"> </v>
      </c>
      <c r="L247" s="75" t="str">
        <f>IF(B247="","",IF(LEFT(B247,2)="Ma",(VLOOKUP(B247,'Rekap Gaji'!$C$12:$D$26,2,FALSE))&amp;" Untuk "&amp;(PROPER('Rekap Gaji'!$B$2)),IF(LEFT(B247,2)="Mg","Pembelian Material Bahan Bangunan",IF(LEFT(B247,2)="Me","Biaya Pembelanjaan Menejemen",IF(LEFT(B247,1)="G",VLOOKUP(A247,COPY!$S$2:$AA$1000,2,FALSE)&amp;"( "&amp;TEXT(VLOOKUP(B247,'Rekap Gaji'!$A$12:$I$26,5,FALSE),"dd-mm-yyyy")&amp;" "&amp;TEXT(VLOOKUP(B247,'Rekap Gaji'!$A$12:$I$26,6,FALSE)&amp;" "&amp;TEXT(VLOOKUP(B247,'Rekap Gaji'!$A$12:$I$26,7,FALSE),"dd-mm-yyyy")&amp;" )"," "))))))</f>
        <v/>
      </c>
      <c r="M247" s="75" t="str">
        <f>IF(OR(LEFT(B247,2)="mg",LEFT(B247,2)="mE"),VLOOKUP(A247,COPY!$S$2:$AA$1000,2,FALSE),IF(LEFT(B247,1)="G"," ",IF(LEFT(B247,2)="ma"," "," ")))</f>
        <v xml:space="preserve"> </v>
      </c>
      <c r="N247" s="75" t="str">
        <f>IFERROR(VLOOKUP(A247&amp;"a",COPY!$S$2:$AA$1000,2,FALSE)," ")</f>
        <v xml:space="preserve"> </v>
      </c>
      <c r="O247" s="75" t="str">
        <f>IFERROR(VLOOKUP(A247&amp;"aa",COPY!$S$2:$AA$1000,2,FALSE)," ")</f>
        <v xml:space="preserve"> </v>
      </c>
      <c r="P247" s="75" t="str">
        <f>IFERROR(VLOOKUP(A247&amp;"aaa",COPY!$S$2:$AA$1000,2,FALSE)," ")</f>
        <v xml:space="preserve"> </v>
      </c>
      <c r="Q247" s="75" t="str">
        <f>IFERROR(VLOOKUP(A247&amp;"aaaa",COPY!$S$2:$AA$1000,2,FALSE)," ")</f>
        <v xml:space="preserve"> </v>
      </c>
      <c r="R247" s="75" t="str">
        <f>IFERROR(VLOOKUP(A247&amp;"aaaaa",COPY!$S$2:$AA$1000,2,FALSE)," ")</f>
        <v xml:space="preserve"> </v>
      </c>
      <c r="S247" s="75" t="str">
        <f>IFERROR(VLOOKUP(A247&amp;"aaaaaa",COPY!$S$2:$AA$1000,2,FALSE)," ")</f>
        <v xml:space="preserve"> </v>
      </c>
      <c r="T247" s="75" t="str">
        <f>IFERROR(VLOOKUP(A247&amp;"aaaaaaa",COPY!$S$2:$AA$1000,2,FALSE)," ")</f>
        <v xml:space="preserve"> </v>
      </c>
      <c r="U247" s="75" t="str">
        <f>IFERROR(VLOOKUP(A247&amp;"aaaaaaaa",COPY!$S$2:$AA$1000,2,FALSE)," ")</f>
        <v xml:space="preserve"> </v>
      </c>
      <c r="V247" s="75" t="str">
        <f>IFERROR(VLOOKUP(A247&amp;"aaaaaaaaa",COPY!$S$2:$AA$1000,2,FALSE)," ")</f>
        <v xml:space="preserve"> </v>
      </c>
      <c r="W247" s="75" t="str">
        <f>IFERROR(VLOOKUP(A247&amp;"aaaaaaaaaa",COPY!$S$2:$AA$1000,2,FALSE)," ")</f>
        <v xml:space="preserve"> </v>
      </c>
      <c r="X247" s="75" t="str">
        <f>IFERROR(VLOOKUP(A247&amp;"aaaaaaaaaaa",COPY!$S$2:$AA$1000,2,FALSE)," ")</f>
        <v xml:space="preserve"> </v>
      </c>
      <c r="Y247" s="90" t="str">
        <f>IF(OR(LEFT(B247,2)="mg",LEFT(B247,2)="mE"),VLOOKUP(A247,COPY!$S$2:$AA$1000,6,FALSE),IF(LEFT(B247,1)="G"," ",IF(LEFT(B247,2)="ma"," "," ")))</f>
        <v xml:space="preserve"> </v>
      </c>
      <c r="Z247" s="90" t="str">
        <f>IFERROR(VLOOKUP(A247&amp;"a",COPY!$S$2:$AA$1000,6,FALSE)," ")</f>
        <v xml:space="preserve"> </v>
      </c>
      <c r="AA247" s="90" t="str">
        <f>IFERROR(VLOOKUP(A247&amp;"aa",COPY!$S$2:$AA$1000,6,FALSE)," ")</f>
        <v xml:space="preserve"> </v>
      </c>
      <c r="AB247" s="90" t="str">
        <f>IFERROR(VLOOKUP(A247&amp;"aaa",COPY!$S$2:$AA$1000,6,FALSE)," ")</f>
        <v xml:space="preserve"> </v>
      </c>
      <c r="AC247" s="90" t="str">
        <f>IFERROR(VLOOKUP(A247&amp;"aaaa",COPY!$S$2:$AA$1000,6,FALSE)," ")</f>
        <v xml:space="preserve"> </v>
      </c>
      <c r="AD247" s="90" t="str">
        <f>IFERROR(VLOOKUP(A247&amp;"aaaaa",COPY!$S$2:$AA$1000,6,FALSE)," ")</f>
        <v xml:space="preserve"> </v>
      </c>
      <c r="AE247" s="90" t="str">
        <f>IFERROR(VLOOKUP(A247&amp;"aaaaaa",COPY!$S$2:$AA$1000,6,FALSE)," ")</f>
        <v xml:space="preserve"> </v>
      </c>
      <c r="AF247" s="90" t="str">
        <f>IFERROR(VLOOKUP(A247&amp;"aaaaaaa",COPY!$S$2:$AA$1000,6,FALSE)," ")</f>
        <v xml:space="preserve"> </v>
      </c>
      <c r="AG247" s="90" t="str">
        <f>IFERROR(VLOOKUP(A247&amp;"aaaaaaaa",COPY!$S$2:$AA$1000,6,FALSE)," ")</f>
        <v xml:space="preserve"> </v>
      </c>
      <c r="AH247" s="90" t="str">
        <f>IFERROR(VLOOKUP(A247&amp;"aaaaaaaaa",COPY!$S$2:$AA$1000,6,FALSE)," ")</f>
        <v xml:space="preserve"> </v>
      </c>
      <c r="AI247" s="90" t="str">
        <f>IFERROR(VLOOKUP(A247&amp;"aaaaaaaaaa",COPY!$S$2:$AA$1000,6,FALSE)," ")</f>
        <v xml:space="preserve"> </v>
      </c>
      <c r="AJ247" s="90" t="str">
        <f>IFERROR(VLOOKUP(A247&amp;"aaaaaaaaaaa",COPY!$S$2:$AA$1000,6,FALSE)," ")</f>
        <v xml:space="preserve"> </v>
      </c>
      <c r="AK247" s="90" t="str">
        <f>IF(LEFT(B247,2)="mg",VLOOKUP(A247,COPY!$S$2:$AA$1000,7,FALSE),IF(LEFT(B247,1)="G"," ",IF(LEFT(B247,2)="ma"," "," ")))</f>
        <v xml:space="preserve"> </v>
      </c>
      <c r="AL247" s="90" t="str">
        <f>IFERROR(VLOOKUP(A247&amp;"a",COPY!$S$2:$AA$1000,7,FALSE)," ")</f>
        <v xml:space="preserve"> </v>
      </c>
      <c r="AM247" s="90" t="str">
        <f>IFERROR(VLOOKUP(A247&amp;"aa",COPY!$S$2:$AA$1000,7,FALSE)," ")</f>
        <v xml:space="preserve"> </v>
      </c>
      <c r="AN247" s="90" t="str">
        <f>IFERROR(VLOOKUP(A247&amp;"aaa",COPY!$S$2:$AA$1000,7,FALSE)," ")</f>
        <v xml:space="preserve"> </v>
      </c>
      <c r="AO247" s="90" t="str">
        <f>IFERROR(VLOOKUP(A247&amp;"aaaa",COPY!$S$2:$AA$1000,7,FALSE)," ")</f>
        <v xml:space="preserve"> </v>
      </c>
      <c r="AP247" s="90" t="str">
        <f>IFERROR(VLOOKUP(A247&amp;"aaaaa",COPY!$S$2:$AA$1000,7,FALSE)," ")</f>
        <v xml:space="preserve"> </v>
      </c>
      <c r="AQ247" s="90" t="str">
        <f>IFERROR(VLOOKUP(A247&amp;"aaaaaa",COPY!$S$2:$AA$1000,7,FALSE)," ")</f>
        <v xml:space="preserve"> </v>
      </c>
      <c r="AR247" s="90" t="str">
        <f>IFERROR(VLOOKUP(A247&amp;"aaaaaaa",COPY!$S$2:$AA$1000,7,FALSE)," ")</f>
        <v xml:space="preserve"> </v>
      </c>
      <c r="AS247" s="90" t="str">
        <f>IFERROR(VLOOKUP(A247&amp;"aaaaaaaa",COPY!$S$2:$AA$1000,7,FALSE)," ")</f>
        <v xml:space="preserve"> </v>
      </c>
      <c r="AT247" s="90" t="str">
        <f>IFERROR(VLOOKUP(A247&amp;"aaaaaaaaa",COPY!$S$2:$AA$1000,7,FALSE)," ")</f>
        <v xml:space="preserve"> </v>
      </c>
      <c r="AU247" s="90" t="str">
        <f>IFERROR(VLOOKUP(A247&amp;"aaaaaaaaaa",COPY!$S$2:$AA$1000,7,FALSE)," ")</f>
        <v xml:space="preserve"> </v>
      </c>
      <c r="AV247" s="90" t="str">
        <f>IFERROR(VLOOKUP(A247&amp;"aaaaaaaaaaa",COPY!$S$2:$AA$1000,7,FALSE)," ")</f>
        <v xml:space="preserve"> </v>
      </c>
    </row>
    <row r="248" spans="1:48" x14ac:dyDescent="0.2">
      <c r="A248" s="75" t="str">
        <f>'REKAP PAJAK'!W285</f>
        <v/>
      </c>
      <c r="B248" s="75" t="str">
        <f>IF(LEN(A248)&gt;1,VLOOKUP(A248,COPY!$O$2:$R$1000,4,FALSE),"")</f>
        <v/>
      </c>
      <c r="C248" s="75" t="str">
        <f t="shared" si="18"/>
        <v xml:space="preserve"> </v>
      </c>
      <c r="D248" s="75" t="str">
        <f t="shared" si="19"/>
        <v xml:space="preserve"> </v>
      </c>
      <c r="E248" s="75" t="str">
        <f t="shared" si="20"/>
        <v xml:space="preserve"> </v>
      </c>
      <c r="F248" s="75" t="str">
        <f t="shared" si="21"/>
        <v xml:space="preserve"> </v>
      </c>
      <c r="H248" s="75" t="str">
        <f t="shared" si="22"/>
        <v xml:space="preserve"> </v>
      </c>
      <c r="I248" s="75" t="str">
        <f t="shared" si="23"/>
        <v xml:space="preserve"> </v>
      </c>
      <c r="J248" s="90" t="str">
        <f>IFERROR(VLOOKUP(A248,COPY!$S$2:$W$1000,4,FALSE)," ")</f>
        <v xml:space="preserve"> </v>
      </c>
      <c r="K248" s="75" t="str">
        <f>IFERROR(VLOOKUP(A248,COPY!$S$2:$W$1000,5,FALSE)," ")</f>
        <v xml:space="preserve"> </v>
      </c>
      <c r="L248" s="75" t="str">
        <f>IF(B248="","",IF(LEFT(B248,2)="Ma",(VLOOKUP(B248,'Rekap Gaji'!$C$12:$D$26,2,FALSE))&amp;" Untuk "&amp;(PROPER('Rekap Gaji'!$B$2)),IF(LEFT(B248,2)="Mg","Pembelian Material Bahan Bangunan",IF(LEFT(B248,2)="Me","Biaya Pembelanjaan Menejemen",IF(LEFT(B248,1)="G",VLOOKUP(A248,COPY!$S$2:$AA$1000,2,FALSE)&amp;"( "&amp;TEXT(VLOOKUP(B248,'Rekap Gaji'!$A$12:$I$26,5,FALSE),"dd-mm-yyyy")&amp;" "&amp;TEXT(VLOOKUP(B248,'Rekap Gaji'!$A$12:$I$26,6,FALSE)&amp;" "&amp;TEXT(VLOOKUP(B248,'Rekap Gaji'!$A$12:$I$26,7,FALSE),"dd-mm-yyyy")&amp;" )"," "))))))</f>
        <v/>
      </c>
      <c r="M248" s="75" t="str">
        <f>IF(OR(LEFT(B248,2)="mg",LEFT(B248,2)="mE"),VLOOKUP(A248,COPY!$S$2:$AA$1000,2,FALSE),IF(LEFT(B248,1)="G"," ",IF(LEFT(B248,2)="ma"," "," ")))</f>
        <v xml:space="preserve"> </v>
      </c>
      <c r="N248" s="75" t="str">
        <f>IFERROR(VLOOKUP(A248&amp;"a",COPY!$S$2:$AA$1000,2,FALSE)," ")</f>
        <v xml:space="preserve"> </v>
      </c>
      <c r="O248" s="75" t="str">
        <f>IFERROR(VLOOKUP(A248&amp;"aa",COPY!$S$2:$AA$1000,2,FALSE)," ")</f>
        <v xml:space="preserve"> </v>
      </c>
      <c r="P248" s="75" t="str">
        <f>IFERROR(VLOOKUP(A248&amp;"aaa",COPY!$S$2:$AA$1000,2,FALSE)," ")</f>
        <v xml:space="preserve"> </v>
      </c>
      <c r="Q248" s="75" t="str">
        <f>IFERROR(VLOOKUP(A248&amp;"aaaa",COPY!$S$2:$AA$1000,2,FALSE)," ")</f>
        <v xml:space="preserve"> </v>
      </c>
      <c r="R248" s="75" t="str">
        <f>IFERROR(VLOOKUP(A248&amp;"aaaaa",COPY!$S$2:$AA$1000,2,FALSE)," ")</f>
        <v xml:space="preserve"> </v>
      </c>
      <c r="S248" s="75" t="str">
        <f>IFERROR(VLOOKUP(A248&amp;"aaaaaa",COPY!$S$2:$AA$1000,2,FALSE)," ")</f>
        <v xml:space="preserve"> </v>
      </c>
      <c r="T248" s="75" t="str">
        <f>IFERROR(VLOOKUP(A248&amp;"aaaaaaa",COPY!$S$2:$AA$1000,2,FALSE)," ")</f>
        <v xml:space="preserve"> </v>
      </c>
      <c r="U248" s="75" t="str">
        <f>IFERROR(VLOOKUP(A248&amp;"aaaaaaaa",COPY!$S$2:$AA$1000,2,FALSE)," ")</f>
        <v xml:space="preserve"> </v>
      </c>
      <c r="V248" s="75" t="str">
        <f>IFERROR(VLOOKUP(A248&amp;"aaaaaaaaa",COPY!$S$2:$AA$1000,2,FALSE)," ")</f>
        <v xml:space="preserve"> </v>
      </c>
      <c r="W248" s="75" t="str">
        <f>IFERROR(VLOOKUP(A248&amp;"aaaaaaaaaa",COPY!$S$2:$AA$1000,2,FALSE)," ")</f>
        <v xml:space="preserve"> </v>
      </c>
      <c r="X248" s="75" t="str">
        <f>IFERROR(VLOOKUP(A248&amp;"aaaaaaaaaaa",COPY!$S$2:$AA$1000,2,FALSE)," ")</f>
        <v xml:space="preserve"> </v>
      </c>
      <c r="Y248" s="90" t="str">
        <f>IF(OR(LEFT(B248,2)="mg",LEFT(B248,2)="mE"),VLOOKUP(A248,COPY!$S$2:$AA$1000,6,FALSE),IF(LEFT(B248,1)="G"," ",IF(LEFT(B248,2)="ma"," "," ")))</f>
        <v xml:space="preserve"> </v>
      </c>
      <c r="Z248" s="90" t="str">
        <f>IFERROR(VLOOKUP(A248&amp;"a",COPY!$S$2:$AA$1000,6,FALSE)," ")</f>
        <v xml:space="preserve"> </v>
      </c>
      <c r="AA248" s="90" t="str">
        <f>IFERROR(VLOOKUP(A248&amp;"aa",COPY!$S$2:$AA$1000,6,FALSE)," ")</f>
        <v xml:space="preserve"> </v>
      </c>
      <c r="AB248" s="90" t="str">
        <f>IFERROR(VLOOKUP(A248&amp;"aaa",COPY!$S$2:$AA$1000,6,FALSE)," ")</f>
        <v xml:space="preserve"> </v>
      </c>
      <c r="AC248" s="90" t="str">
        <f>IFERROR(VLOOKUP(A248&amp;"aaaa",COPY!$S$2:$AA$1000,6,FALSE)," ")</f>
        <v xml:space="preserve"> </v>
      </c>
      <c r="AD248" s="90" t="str">
        <f>IFERROR(VLOOKUP(A248&amp;"aaaaa",COPY!$S$2:$AA$1000,6,FALSE)," ")</f>
        <v xml:space="preserve"> </v>
      </c>
      <c r="AE248" s="90" t="str">
        <f>IFERROR(VLOOKUP(A248&amp;"aaaaaa",COPY!$S$2:$AA$1000,6,FALSE)," ")</f>
        <v xml:space="preserve"> </v>
      </c>
      <c r="AF248" s="90" t="str">
        <f>IFERROR(VLOOKUP(A248&amp;"aaaaaaa",COPY!$S$2:$AA$1000,6,FALSE)," ")</f>
        <v xml:space="preserve"> </v>
      </c>
      <c r="AG248" s="90" t="str">
        <f>IFERROR(VLOOKUP(A248&amp;"aaaaaaaa",COPY!$S$2:$AA$1000,6,FALSE)," ")</f>
        <v xml:space="preserve"> </v>
      </c>
      <c r="AH248" s="90" t="str">
        <f>IFERROR(VLOOKUP(A248&amp;"aaaaaaaaa",COPY!$S$2:$AA$1000,6,FALSE)," ")</f>
        <v xml:space="preserve"> </v>
      </c>
      <c r="AI248" s="90" t="str">
        <f>IFERROR(VLOOKUP(A248&amp;"aaaaaaaaaa",COPY!$S$2:$AA$1000,6,FALSE)," ")</f>
        <v xml:space="preserve"> </v>
      </c>
      <c r="AJ248" s="90" t="str">
        <f>IFERROR(VLOOKUP(A248&amp;"aaaaaaaaaaa",COPY!$S$2:$AA$1000,6,FALSE)," ")</f>
        <v xml:space="preserve"> </v>
      </c>
      <c r="AK248" s="90" t="str">
        <f>IF(LEFT(B248,2)="mg",VLOOKUP(A248,COPY!$S$2:$AA$1000,7,FALSE),IF(LEFT(B248,1)="G"," ",IF(LEFT(B248,2)="ma"," "," ")))</f>
        <v xml:space="preserve"> </v>
      </c>
      <c r="AL248" s="90" t="str">
        <f>IFERROR(VLOOKUP(A248&amp;"a",COPY!$S$2:$AA$1000,7,FALSE)," ")</f>
        <v xml:space="preserve"> </v>
      </c>
      <c r="AM248" s="90" t="str">
        <f>IFERROR(VLOOKUP(A248&amp;"aa",COPY!$S$2:$AA$1000,7,FALSE)," ")</f>
        <v xml:space="preserve"> </v>
      </c>
      <c r="AN248" s="90" t="str">
        <f>IFERROR(VLOOKUP(A248&amp;"aaa",COPY!$S$2:$AA$1000,7,FALSE)," ")</f>
        <v xml:space="preserve"> </v>
      </c>
      <c r="AO248" s="90" t="str">
        <f>IFERROR(VLOOKUP(A248&amp;"aaaa",COPY!$S$2:$AA$1000,7,FALSE)," ")</f>
        <v xml:space="preserve"> </v>
      </c>
      <c r="AP248" s="90" t="str">
        <f>IFERROR(VLOOKUP(A248&amp;"aaaaa",COPY!$S$2:$AA$1000,7,FALSE)," ")</f>
        <v xml:space="preserve"> </v>
      </c>
      <c r="AQ248" s="90" t="str">
        <f>IFERROR(VLOOKUP(A248&amp;"aaaaaa",COPY!$S$2:$AA$1000,7,FALSE)," ")</f>
        <v xml:space="preserve"> </v>
      </c>
      <c r="AR248" s="90" t="str">
        <f>IFERROR(VLOOKUP(A248&amp;"aaaaaaa",COPY!$S$2:$AA$1000,7,FALSE)," ")</f>
        <v xml:space="preserve"> </v>
      </c>
      <c r="AS248" s="90" t="str">
        <f>IFERROR(VLOOKUP(A248&amp;"aaaaaaaa",COPY!$S$2:$AA$1000,7,FALSE)," ")</f>
        <v xml:space="preserve"> </v>
      </c>
      <c r="AT248" s="90" t="str">
        <f>IFERROR(VLOOKUP(A248&amp;"aaaaaaaaa",COPY!$S$2:$AA$1000,7,FALSE)," ")</f>
        <v xml:space="preserve"> </v>
      </c>
      <c r="AU248" s="90" t="str">
        <f>IFERROR(VLOOKUP(A248&amp;"aaaaaaaaaa",COPY!$S$2:$AA$1000,7,FALSE)," ")</f>
        <v xml:space="preserve"> </v>
      </c>
      <c r="AV248" s="90" t="str">
        <f>IFERROR(VLOOKUP(A248&amp;"aaaaaaaaaaa",COPY!$S$2:$AA$1000,7,FALSE)," ")</f>
        <v xml:space="preserve"> </v>
      </c>
    </row>
    <row r="249" spans="1:48" x14ac:dyDescent="0.2">
      <c r="A249" s="75" t="str">
        <f>'REKAP PAJAK'!W286</f>
        <v/>
      </c>
      <c r="B249" s="75" t="str">
        <f>IF(LEN(A249)&gt;1,VLOOKUP(A249,COPY!$O$2:$R$1000,4,FALSE),"")</f>
        <v/>
      </c>
      <c r="C249" s="75" t="str">
        <f t="shared" si="18"/>
        <v xml:space="preserve"> </v>
      </c>
      <c r="D249" s="75" t="str">
        <f t="shared" si="19"/>
        <v xml:space="preserve"> </v>
      </c>
      <c r="E249" s="75" t="str">
        <f t="shared" si="20"/>
        <v xml:space="preserve"> </v>
      </c>
      <c r="F249" s="75" t="str">
        <f t="shared" si="21"/>
        <v xml:space="preserve"> </v>
      </c>
      <c r="H249" s="75" t="str">
        <f t="shared" si="22"/>
        <v xml:space="preserve"> </v>
      </c>
      <c r="I249" s="75" t="str">
        <f t="shared" si="23"/>
        <v xml:space="preserve"> </v>
      </c>
      <c r="J249" s="90" t="str">
        <f>IFERROR(VLOOKUP(A249,COPY!$S$2:$W$1000,4,FALSE)," ")</f>
        <v xml:space="preserve"> </v>
      </c>
      <c r="K249" s="75" t="str">
        <f>IFERROR(VLOOKUP(A249,COPY!$S$2:$W$1000,5,FALSE)," ")</f>
        <v xml:space="preserve"> </v>
      </c>
      <c r="L249" s="75" t="str">
        <f>IF(B249="","",IF(LEFT(B249,2)="Ma",(VLOOKUP(B249,'Rekap Gaji'!$C$12:$D$26,2,FALSE))&amp;" Untuk "&amp;(PROPER('Rekap Gaji'!$B$2)),IF(LEFT(B249,2)="Mg","Pembelian Material Bahan Bangunan",IF(LEFT(B249,2)="Me","Biaya Pembelanjaan Menejemen",IF(LEFT(B249,1)="G",VLOOKUP(A249,COPY!$S$2:$AA$1000,2,FALSE)&amp;"( "&amp;TEXT(VLOOKUP(B249,'Rekap Gaji'!$A$12:$I$26,5,FALSE),"dd-mm-yyyy")&amp;" "&amp;TEXT(VLOOKUP(B249,'Rekap Gaji'!$A$12:$I$26,6,FALSE)&amp;" "&amp;TEXT(VLOOKUP(B249,'Rekap Gaji'!$A$12:$I$26,7,FALSE),"dd-mm-yyyy")&amp;" )"," "))))))</f>
        <v/>
      </c>
      <c r="M249" s="75" t="str">
        <f>IF(OR(LEFT(B249,2)="mg",LEFT(B249,2)="mE"),VLOOKUP(A249,COPY!$S$2:$AA$1000,2,FALSE),IF(LEFT(B249,1)="G"," ",IF(LEFT(B249,2)="ma"," "," ")))</f>
        <v xml:space="preserve"> </v>
      </c>
      <c r="N249" s="75" t="str">
        <f>IFERROR(VLOOKUP(A249&amp;"a",COPY!$S$2:$AA$1000,2,FALSE)," ")</f>
        <v xml:space="preserve"> </v>
      </c>
      <c r="O249" s="75" t="str">
        <f>IFERROR(VLOOKUP(A249&amp;"aa",COPY!$S$2:$AA$1000,2,FALSE)," ")</f>
        <v xml:space="preserve"> </v>
      </c>
      <c r="P249" s="75" t="str">
        <f>IFERROR(VLOOKUP(A249&amp;"aaa",COPY!$S$2:$AA$1000,2,FALSE)," ")</f>
        <v xml:space="preserve"> </v>
      </c>
      <c r="Q249" s="75" t="str">
        <f>IFERROR(VLOOKUP(A249&amp;"aaaa",COPY!$S$2:$AA$1000,2,FALSE)," ")</f>
        <v xml:space="preserve"> </v>
      </c>
      <c r="R249" s="75" t="str">
        <f>IFERROR(VLOOKUP(A249&amp;"aaaaa",COPY!$S$2:$AA$1000,2,FALSE)," ")</f>
        <v xml:space="preserve"> </v>
      </c>
      <c r="S249" s="75" t="str">
        <f>IFERROR(VLOOKUP(A249&amp;"aaaaaa",COPY!$S$2:$AA$1000,2,FALSE)," ")</f>
        <v xml:space="preserve"> </v>
      </c>
      <c r="T249" s="75" t="str">
        <f>IFERROR(VLOOKUP(A249&amp;"aaaaaaa",COPY!$S$2:$AA$1000,2,FALSE)," ")</f>
        <v xml:space="preserve"> </v>
      </c>
      <c r="U249" s="75" t="str">
        <f>IFERROR(VLOOKUP(A249&amp;"aaaaaaaa",COPY!$S$2:$AA$1000,2,FALSE)," ")</f>
        <v xml:space="preserve"> </v>
      </c>
      <c r="V249" s="75" t="str">
        <f>IFERROR(VLOOKUP(A249&amp;"aaaaaaaaa",COPY!$S$2:$AA$1000,2,FALSE)," ")</f>
        <v xml:space="preserve"> </v>
      </c>
      <c r="W249" s="75" t="str">
        <f>IFERROR(VLOOKUP(A249&amp;"aaaaaaaaaa",COPY!$S$2:$AA$1000,2,FALSE)," ")</f>
        <v xml:space="preserve"> </v>
      </c>
      <c r="X249" s="75" t="str">
        <f>IFERROR(VLOOKUP(A249&amp;"aaaaaaaaaaa",COPY!$S$2:$AA$1000,2,FALSE)," ")</f>
        <v xml:space="preserve"> </v>
      </c>
      <c r="Y249" s="90" t="str">
        <f>IF(OR(LEFT(B249,2)="mg",LEFT(B249,2)="mE"),VLOOKUP(A249,COPY!$S$2:$AA$1000,6,FALSE),IF(LEFT(B249,1)="G"," ",IF(LEFT(B249,2)="ma"," "," ")))</f>
        <v xml:space="preserve"> </v>
      </c>
      <c r="Z249" s="90" t="str">
        <f>IFERROR(VLOOKUP(A249&amp;"a",COPY!$S$2:$AA$1000,6,FALSE)," ")</f>
        <v xml:space="preserve"> </v>
      </c>
      <c r="AA249" s="90" t="str">
        <f>IFERROR(VLOOKUP(A249&amp;"aa",COPY!$S$2:$AA$1000,6,FALSE)," ")</f>
        <v xml:space="preserve"> </v>
      </c>
      <c r="AB249" s="90" t="str">
        <f>IFERROR(VLOOKUP(A249&amp;"aaa",COPY!$S$2:$AA$1000,6,FALSE)," ")</f>
        <v xml:space="preserve"> </v>
      </c>
      <c r="AC249" s="90" t="str">
        <f>IFERROR(VLOOKUP(A249&amp;"aaaa",COPY!$S$2:$AA$1000,6,FALSE)," ")</f>
        <v xml:space="preserve"> </v>
      </c>
      <c r="AD249" s="90" t="str">
        <f>IFERROR(VLOOKUP(A249&amp;"aaaaa",COPY!$S$2:$AA$1000,6,FALSE)," ")</f>
        <v xml:space="preserve"> </v>
      </c>
      <c r="AE249" s="90" t="str">
        <f>IFERROR(VLOOKUP(A249&amp;"aaaaaa",COPY!$S$2:$AA$1000,6,FALSE)," ")</f>
        <v xml:space="preserve"> </v>
      </c>
      <c r="AF249" s="90" t="str">
        <f>IFERROR(VLOOKUP(A249&amp;"aaaaaaa",COPY!$S$2:$AA$1000,6,FALSE)," ")</f>
        <v xml:space="preserve"> </v>
      </c>
      <c r="AG249" s="90" t="str">
        <f>IFERROR(VLOOKUP(A249&amp;"aaaaaaaa",COPY!$S$2:$AA$1000,6,FALSE)," ")</f>
        <v xml:space="preserve"> </v>
      </c>
      <c r="AH249" s="90" t="str">
        <f>IFERROR(VLOOKUP(A249&amp;"aaaaaaaaa",COPY!$S$2:$AA$1000,6,FALSE)," ")</f>
        <v xml:space="preserve"> </v>
      </c>
      <c r="AI249" s="90" t="str">
        <f>IFERROR(VLOOKUP(A249&amp;"aaaaaaaaaa",COPY!$S$2:$AA$1000,6,FALSE)," ")</f>
        <v xml:space="preserve"> </v>
      </c>
      <c r="AJ249" s="90" t="str">
        <f>IFERROR(VLOOKUP(A249&amp;"aaaaaaaaaaa",COPY!$S$2:$AA$1000,6,FALSE)," ")</f>
        <v xml:space="preserve"> </v>
      </c>
      <c r="AK249" s="90" t="str">
        <f>IF(LEFT(B249,2)="mg",VLOOKUP(A249,COPY!$S$2:$AA$1000,7,FALSE),IF(LEFT(B249,1)="G"," ",IF(LEFT(B249,2)="ma"," "," ")))</f>
        <v xml:space="preserve"> </v>
      </c>
      <c r="AL249" s="90" t="str">
        <f>IFERROR(VLOOKUP(A249&amp;"a",COPY!$S$2:$AA$1000,7,FALSE)," ")</f>
        <v xml:space="preserve"> </v>
      </c>
      <c r="AM249" s="90" t="str">
        <f>IFERROR(VLOOKUP(A249&amp;"aa",COPY!$S$2:$AA$1000,7,FALSE)," ")</f>
        <v xml:space="preserve"> </v>
      </c>
      <c r="AN249" s="90" t="str">
        <f>IFERROR(VLOOKUP(A249&amp;"aaa",COPY!$S$2:$AA$1000,7,FALSE)," ")</f>
        <v xml:space="preserve"> </v>
      </c>
      <c r="AO249" s="90" t="str">
        <f>IFERROR(VLOOKUP(A249&amp;"aaaa",COPY!$S$2:$AA$1000,7,FALSE)," ")</f>
        <v xml:space="preserve"> </v>
      </c>
      <c r="AP249" s="90" t="str">
        <f>IFERROR(VLOOKUP(A249&amp;"aaaaa",COPY!$S$2:$AA$1000,7,FALSE)," ")</f>
        <v xml:space="preserve"> </v>
      </c>
      <c r="AQ249" s="90" t="str">
        <f>IFERROR(VLOOKUP(A249&amp;"aaaaaa",COPY!$S$2:$AA$1000,7,FALSE)," ")</f>
        <v xml:space="preserve"> </v>
      </c>
      <c r="AR249" s="90" t="str">
        <f>IFERROR(VLOOKUP(A249&amp;"aaaaaaa",COPY!$S$2:$AA$1000,7,FALSE)," ")</f>
        <v xml:space="preserve"> </v>
      </c>
      <c r="AS249" s="90" t="str">
        <f>IFERROR(VLOOKUP(A249&amp;"aaaaaaaa",COPY!$S$2:$AA$1000,7,FALSE)," ")</f>
        <v xml:space="preserve"> </v>
      </c>
      <c r="AT249" s="90" t="str">
        <f>IFERROR(VLOOKUP(A249&amp;"aaaaaaaaa",COPY!$S$2:$AA$1000,7,FALSE)," ")</f>
        <v xml:space="preserve"> </v>
      </c>
      <c r="AU249" s="90" t="str">
        <f>IFERROR(VLOOKUP(A249&amp;"aaaaaaaaaa",COPY!$S$2:$AA$1000,7,FALSE)," ")</f>
        <v xml:space="preserve"> </v>
      </c>
      <c r="AV249" s="90" t="str">
        <f>IFERROR(VLOOKUP(A249&amp;"aaaaaaaaaaa",COPY!$S$2:$AA$1000,7,FALSE)," ")</f>
        <v xml:space="preserve"> </v>
      </c>
    </row>
    <row r="250" spans="1:48" x14ac:dyDescent="0.2">
      <c r="A250" s="75" t="str">
        <f>'REKAP PAJAK'!W287</f>
        <v/>
      </c>
      <c r="B250" s="75" t="str">
        <f>IF(LEN(A250)&gt;1,VLOOKUP(A250,COPY!$O$2:$R$1000,4,FALSE),"")</f>
        <v/>
      </c>
      <c r="C250" s="75" t="str">
        <f t="shared" si="18"/>
        <v xml:space="preserve"> </v>
      </c>
      <c r="D250" s="75" t="str">
        <f t="shared" si="19"/>
        <v xml:space="preserve"> </v>
      </c>
      <c r="E250" s="75" t="str">
        <f t="shared" si="20"/>
        <v xml:space="preserve"> </v>
      </c>
      <c r="F250" s="75" t="str">
        <f t="shared" si="21"/>
        <v xml:space="preserve"> </v>
      </c>
      <c r="H250" s="75" t="str">
        <f t="shared" si="22"/>
        <v xml:space="preserve"> </v>
      </c>
      <c r="I250" s="75" t="str">
        <f t="shared" si="23"/>
        <v xml:space="preserve"> </v>
      </c>
      <c r="J250" s="90" t="str">
        <f>IFERROR(VLOOKUP(A250,COPY!$S$2:$W$1000,4,FALSE)," ")</f>
        <v xml:space="preserve"> </v>
      </c>
      <c r="K250" s="75" t="str">
        <f>IFERROR(VLOOKUP(A250,COPY!$S$2:$W$1000,5,FALSE)," ")</f>
        <v xml:space="preserve"> </v>
      </c>
      <c r="L250" s="75" t="str">
        <f>IF(B250="","",IF(LEFT(B250,2)="Ma",(VLOOKUP(B250,'Rekap Gaji'!$C$12:$D$26,2,FALSE))&amp;" Untuk "&amp;(PROPER('Rekap Gaji'!$B$2)),IF(LEFT(B250,2)="Mg","Pembelian Material Bahan Bangunan",IF(LEFT(B250,2)="Me","Biaya Pembelanjaan Menejemen",IF(LEFT(B250,1)="G",VLOOKUP(A250,COPY!$S$2:$AA$1000,2,FALSE)&amp;"( "&amp;TEXT(VLOOKUP(B250,'Rekap Gaji'!$A$12:$I$26,5,FALSE),"dd-mm-yyyy")&amp;" "&amp;TEXT(VLOOKUP(B250,'Rekap Gaji'!$A$12:$I$26,6,FALSE)&amp;" "&amp;TEXT(VLOOKUP(B250,'Rekap Gaji'!$A$12:$I$26,7,FALSE),"dd-mm-yyyy")&amp;" )"," "))))))</f>
        <v/>
      </c>
      <c r="M250" s="75" t="str">
        <f>IF(OR(LEFT(B250,2)="mg",LEFT(B250,2)="mE"),VLOOKUP(A250,COPY!$S$2:$AA$1000,2,FALSE),IF(LEFT(B250,1)="G"," ",IF(LEFT(B250,2)="ma"," "," ")))</f>
        <v xml:space="preserve"> </v>
      </c>
      <c r="N250" s="75" t="str">
        <f>IFERROR(VLOOKUP(A250&amp;"a",COPY!$S$2:$AA$1000,2,FALSE)," ")</f>
        <v xml:space="preserve"> </v>
      </c>
      <c r="O250" s="75" t="str">
        <f>IFERROR(VLOOKUP(A250&amp;"aa",COPY!$S$2:$AA$1000,2,FALSE)," ")</f>
        <v xml:space="preserve"> </v>
      </c>
      <c r="P250" s="75" t="str">
        <f>IFERROR(VLOOKUP(A250&amp;"aaa",COPY!$S$2:$AA$1000,2,FALSE)," ")</f>
        <v xml:space="preserve"> </v>
      </c>
      <c r="Q250" s="75" t="str">
        <f>IFERROR(VLOOKUP(A250&amp;"aaaa",COPY!$S$2:$AA$1000,2,FALSE)," ")</f>
        <v xml:space="preserve"> </v>
      </c>
      <c r="R250" s="75" t="str">
        <f>IFERROR(VLOOKUP(A250&amp;"aaaaa",COPY!$S$2:$AA$1000,2,FALSE)," ")</f>
        <v xml:space="preserve"> </v>
      </c>
      <c r="S250" s="75" t="str">
        <f>IFERROR(VLOOKUP(A250&amp;"aaaaaa",COPY!$S$2:$AA$1000,2,FALSE)," ")</f>
        <v xml:space="preserve"> </v>
      </c>
      <c r="T250" s="75" t="str">
        <f>IFERROR(VLOOKUP(A250&amp;"aaaaaaa",COPY!$S$2:$AA$1000,2,FALSE)," ")</f>
        <v xml:space="preserve"> </v>
      </c>
      <c r="U250" s="75" t="str">
        <f>IFERROR(VLOOKUP(A250&amp;"aaaaaaaa",COPY!$S$2:$AA$1000,2,FALSE)," ")</f>
        <v xml:space="preserve"> </v>
      </c>
      <c r="V250" s="75" t="str">
        <f>IFERROR(VLOOKUP(A250&amp;"aaaaaaaaa",COPY!$S$2:$AA$1000,2,FALSE)," ")</f>
        <v xml:space="preserve"> </v>
      </c>
      <c r="W250" s="75" t="str">
        <f>IFERROR(VLOOKUP(A250&amp;"aaaaaaaaaa",COPY!$S$2:$AA$1000,2,FALSE)," ")</f>
        <v xml:space="preserve"> </v>
      </c>
      <c r="X250" s="75" t="str">
        <f>IFERROR(VLOOKUP(A250&amp;"aaaaaaaaaaa",COPY!$S$2:$AA$1000,2,FALSE)," ")</f>
        <v xml:space="preserve"> </v>
      </c>
      <c r="Y250" s="90" t="str">
        <f>IF(OR(LEFT(B250,2)="mg",LEFT(B250,2)="mE"),VLOOKUP(A250,COPY!$S$2:$AA$1000,6,FALSE),IF(LEFT(B250,1)="G"," ",IF(LEFT(B250,2)="ma"," "," ")))</f>
        <v xml:space="preserve"> </v>
      </c>
      <c r="Z250" s="90" t="str">
        <f>IFERROR(VLOOKUP(A250&amp;"a",COPY!$S$2:$AA$1000,6,FALSE)," ")</f>
        <v xml:space="preserve"> </v>
      </c>
      <c r="AA250" s="90" t="str">
        <f>IFERROR(VLOOKUP(A250&amp;"aa",COPY!$S$2:$AA$1000,6,FALSE)," ")</f>
        <v xml:space="preserve"> </v>
      </c>
      <c r="AB250" s="90" t="str">
        <f>IFERROR(VLOOKUP(A250&amp;"aaa",COPY!$S$2:$AA$1000,6,FALSE)," ")</f>
        <v xml:space="preserve"> </v>
      </c>
      <c r="AC250" s="90" t="str">
        <f>IFERROR(VLOOKUP(A250&amp;"aaaa",COPY!$S$2:$AA$1000,6,FALSE)," ")</f>
        <v xml:space="preserve"> </v>
      </c>
      <c r="AD250" s="90" t="str">
        <f>IFERROR(VLOOKUP(A250&amp;"aaaaa",COPY!$S$2:$AA$1000,6,FALSE)," ")</f>
        <v xml:space="preserve"> </v>
      </c>
      <c r="AE250" s="90" t="str">
        <f>IFERROR(VLOOKUP(A250&amp;"aaaaaa",COPY!$S$2:$AA$1000,6,FALSE)," ")</f>
        <v xml:space="preserve"> </v>
      </c>
      <c r="AF250" s="90" t="str">
        <f>IFERROR(VLOOKUP(A250&amp;"aaaaaaa",COPY!$S$2:$AA$1000,6,FALSE)," ")</f>
        <v xml:space="preserve"> </v>
      </c>
      <c r="AG250" s="90" t="str">
        <f>IFERROR(VLOOKUP(A250&amp;"aaaaaaaa",COPY!$S$2:$AA$1000,6,FALSE)," ")</f>
        <v xml:space="preserve"> </v>
      </c>
      <c r="AH250" s="90" t="str">
        <f>IFERROR(VLOOKUP(A250&amp;"aaaaaaaaa",COPY!$S$2:$AA$1000,6,FALSE)," ")</f>
        <v xml:space="preserve"> </v>
      </c>
      <c r="AI250" s="90" t="str">
        <f>IFERROR(VLOOKUP(A250&amp;"aaaaaaaaaa",COPY!$S$2:$AA$1000,6,FALSE)," ")</f>
        <v xml:space="preserve"> </v>
      </c>
      <c r="AJ250" s="90" t="str">
        <f>IFERROR(VLOOKUP(A250&amp;"aaaaaaaaaaa",COPY!$S$2:$AA$1000,6,FALSE)," ")</f>
        <v xml:space="preserve"> </v>
      </c>
      <c r="AK250" s="90" t="str">
        <f>IF(LEFT(B250,2)="mg",VLOOKUP(A250,COPY!$S$2:$AA$1000,7,FALSE),IF(LEFT(B250,1)="G"," ",IF(LEFT(B250,2)="ma"," "," ")))</f>
        <v xml:space="preserve"> </v>
      </c>
      <c r="AL250" s="90" t="str">
        <f>IFERROR(VLOOKUP(A250&amp;"a",COPY!$S$2:$AA$1000,7,FALSE)," ")</f>
        <v xml:space="preserve"> </v>
      </c>
      <c r="AM250" s="90" t="str">
        <f>IFERROR(VLOOKUP(A250&amp;"aa",COPY!$S$2:$AA$1000,7,FALSE)," ")</f>
        <v xml:space="preserve"> </v>
      </c>
      <c r="AN250" s="90" t="str">
        <f>IFERROR(VLOOKUP(A250&amp;"aaa",COPY!$S$2:$AA$1000,7,FALSE)," ")</f>
        <v xml:space="preserve"> </v>
      </c>
      <c r="AO250" s="90" t="str">
        <f>IFERROR(VLOOKUP(A250&amp;"aaaa",COPY!$S$2:$AA$1000,7,FALSE)," ")</f>
        <v xml:space="preserve"> </v>
      </c>
      <c r="AP250" s="90" t="str">
        <f>IFERROR(VLOOKUP(A250&amp;"aaaaa",COPY!$S$2:$AA$1000,7,FALSE)," ")</f>
        <v xml:space="preserve"> </v>
      </c>
      <c r="AQ250" s="90" t="str">
        <f>IFERROR(VLOOKUP(A250&amp;"aaaaaa",COPY!$S$2:$AA$1000,7,FALSE)," ")</f>
        <v xml:space="preserve"> </v>
      </c>
      <c r="AR250" s="90" t="str">
        <f>IFERROR(VLOOKUP(A250&amp;"aaaaaaa",COPY!$S$2:$AA$1000,7,FALSE)," ")</f>
        <v xml:space="preserve"> </v>
      </c>
      <c r="AS250" s="90" t="str">
        <f>IFERROR(VLOOKUP(A250&amp;"aaaaaaaa",COPY!$S$2:$AA$1000,7,FALSE)," ")</f>
        <v xml:space="preserve"> </v>
      </c>
      <c r="AT250" s="90" t="str">
        <f>IFERROR(VLOOKUP(A250&amp;"aaaaaaaaa",COPY!$S$2:$AA$1000,7,FALSE)," ")</f>
        <v xml:space="preserve"> </v>
      </c>
      <c r="AU250" s="90" t="str">
        <f>IFERROR(VLOOKUP(A250&amp;"aaaaaaaaaa",COPY!$S$2:$AA$1000,7,FALSE)," ")</f>
        <v xml:space="preserve"> </v>
      </c>
      <c r="AV250" s="90" t="str">
        <f>IFERROR(VLOOKUP(A250&amp;"aaaaaaaaaaa",COPY!$S$2:$AA$1000,7,FALSE)," ")</f>
        <v xml:space="preserve"> </v>
      </c>
    </row>
    <row r="251" spans="1:48" x14ac:dyDescent="0.2">
      <c r="A251" s="75" t="str">
        <f>'REKAP PAJAK'!W288</f>
        <v/>
      </c>
      <c r="B251" s="75" t="str">
        <f>IF(LEN(A251)&gt;1,VLOOKUP(A251,COPY!$O$2:$R$1000,4,FALSE),"")</f>
        <v/>
      </c>
      <c r="C251" s="75" t="str">
        <f t="shared" si="18"/>
        <v xml:space="preserve"> </v>
      </c>
      <c r="D251" s="75" t="str">
        <f t="shared" si="19"/>
        <v xml:space="preserve"> </v>
      </c>
      <c r="E251" s="75" t="str">
        <f t="shared" si="20"/>
        <v xml:space="preserve"> </v>
      </c>
      <c r="F251" s="75" t="str">
        <f t="shared" si="21"/>
        <v xml:space="preserve"> </v>
      </c>
      <c r="H251" s="75" t="str">
        <f t="shared" si="22"/>
        <v xml:space="preserve"> </v>
      </c>
      <c r="I251" s="75" t="str">
        <f t="shared" si="23"/>
        <v xml:space="preserve"> </v>
      </c>
      <c r="J251" s="90" t="str">
        <f>IFERROR(VLOOKUP(A251,COPY!$S$2:$W$1000,4,FALSE)," ")</f>
        <v xml:space="preserve"> </v>
      </c>
      <c r="K251" s="75" t="str">
        <f>IFERROR(VLOOKUP(A251,COPY!$S$2:$W$1000,5,FALSE)," ")</f>
        <v xml:space="preserve"> </v>
      </c>
      <c r="L251" s="75" t="str">
        <f>IF(B251="","",IF(LEFT(B251,2)="Ma",(VLOOKUP(B251,'Rekap Gaji'!$C$12:$D$26,2,FALSE))&amp;" Untuk "&amp;(PROPER('Rekap Gaji'!$B$2)),IF(LEFT(B251,2)="Mg","Pembelian Material Bahan Bangunan",IF(LEFT(B251,2)="Me","Biaya Pembelanjaan Menejemen",IF(LEFT(B251,1)="G",VLOOKUP(A251,COPY!$S$2:$AA$1000,2,FALSE)&amp;"( "&amp;TEXT(VLOOKUP(B251,'Rekap Gaji'!$A$12:$I$26,5,FALSE),"dd-mm-yyyy")&amp;" "&amp;TEXT(VLOOKUP(B251,'Rekap Gaji'!$A$12:$I$26,6,FALSE)&amp;" "&amp;TEXT(VLOOKUP(B251,'Rekap Gaji'!$A$12:$I$26,7,FALSE),"dd-mm-yyyy")&amp;" )"," "))))))</f>
        <v/>
      </c>
      <c r="M251" s="75" t="str">
        <f>IF(OR(LEFT(B251,2)="mg",LEFT(B251,2)="mE"),VLOOKUP(A251,COPY!$S$2:$AA$1000,2,FALSE),IF(LEFT(B251,1)="G"," ",IF(LEFT(B251,2)="ma"," "," ")))</f>
        <v xml:space="preserve"> </v>
      </c>
      <c r="N251" s="75" t="str">
        <f>IFERROR(VLOOKUP(A251&amp;"a",COPY!$S$2:$AA$1000,2,FALSE)," ")</f>
        <v xml:space="preserve"> </v>
      </c>
      <c r="O251" s="75" t="str">
        <f>IFERROR(VLOOKUP(A251&amp;"aa",COPY!$S$2:$AA$1000,2,FALSE)," ")</f>
        <v xml:space="preserve"> </v>
      </c>
      <c r="P251" s="75" t="str">
        <f>IFERROR(VLOOKUP(A251&amp;"aaa",COPY!$S$2:$AA$1000,2,FALSE)," ")</f>
        <v xml:space="preserve"> </v>
      </c>
      <c r="Q251" s="75" t="str">
        <f>IFERROR(VLOOKUP(A251&amp;"aaaa",COPY!$S$2:$AA$1000,2,FALSE)," ")</f>
        <v xml:space="preserve"> </v>
      </c>
      <c r="R251" s="75" t="str">
        <f>IFERROR(VLOOKUP(A251&amp;"aaaaa",COPY!$S$2:$AA$1000,2,FALSE)," ")</f>
        <v xml:space="preserve"> </v>
      </c>
      <c r="S251" s="75" t="str">
        <f>IFERROR(VLOOKUP(A251&amp;"aaaaaa",COPY!$S$2:$AA$1000,2,FALSE)," ")</f>
        <v xml:space="preserve"> </v>
      </c>
      <c r="T251" s="75" t="str">
        <f>IFERROR(VLOOKUP(A251&amp;"aaaaaaa",COPY!$S$2:$AA$1000,2,FALSE)," ")</f>
        <v xml:space="preserve"> </v>
      </c>
      <c r="U251" s="75" t="str">
        <f>IFERROR(VLOOKUP(A251&amp;"aaaaaaaa",COPY!$S$2:$AA$1000,2,FALSE)," ")</f>
        <v xml:space="preserve"> </v>
      </c>
      <c r="V251" s="75" t="str">
        <f>IFERROR(VLOOKUP(A251&amp;"aaaaaaaaa",COPY!$S$2:$AA$1000,2,FALSE)," ")</f>
        <v xml:space="preserve"> </v>
      </c>
      <c r="W251" s="75" t="str">
        <f>IFERROR(VLOOKUP(A251&amp;"aaaaaaaaaa",COPY!$S$2:$AA$1000,2,FALSE)," ")</f>
        <v xml:space="preserve"> </v>
      </c>
      <c r="X251" s="75" t="str">
        <f>IFERROR(VLOOKUP(A251&amp;"aaaaaaaaaaa",COPY!$S$2:$AA$1000,2,FALSE)," ")</f>
        <v xml:space="preserve"> </v>
      </c>
      <c r="Y251" s="90" t="str">
        <f>IF(OR(LEFT(B251,2)="mg",LEFT(B251,2)="mE"),VLOOKUP(A251,COPY!$S$2:$AA$1000,6,FALSE),IF(LEFT(B251,1)="G"," ",IF(LEFT(B251,2)="ma"," "," ")))</f>
        <v xml:space="preserve"> </v>
      </c>
      <c r="Z251" s="90" t="str">
        <f>IFERROR(VLOOKUP(A251&amp;"a",COPY!$S$2:$AA$1000,6,FALSE)," ")</f>
        <v xml:space="preserve"> </v>
      </c>
      <c r="AA251" s="90" t="str">
        <f>IFERROR(VLOOKUP(A251&amp;"aa",COPY!$S$2:$AA$1000,6,FALSE)," ")</f>
        <v xml:space="preserve"> </v>
      </c>
      <c r="AB251" s="90" t="str">
        <f>IFERROR(VLOOKUP(A251&amp;"aaa",COPY!$S$2:$AA$1000,6,FALSE)," ")</f>
        <v xml:space="preserve"> </v>
      </c>
      <c r="AC251" s="90" t="str">
        <f>IFERROR(VLOOKUP(A251&amp;"aaaa",COPY!$S$2:$AA$1000,6,FALSE)," ")</f>
        <v xml:space="preserve"> </v>
      </c>
      <c r="AD251" s="90" t="str">
        <f>IFERROR(VLOOKUP(A251&amp;"aaaaa",COPY!$S$2:$AA$1000,6,FALSE)," ")</f>
        <v xml:space="preserve"> </v>
      </c>
      <c r="AE251" s="90" t="str">
        <f>IFERROR(VLOOKUP(A251&amp;"aaaaaa",COPY!$S$2:$AA$1000,6,FALSE)," ")</f>
        <v xml:space="preserve"> </v>
      </c>
      <c r="AF251" s="90" t="str">
        <f>IFERROR(VLOOKUP(A251&amp;"aaaaaaa",COPY!$S$2:$AA$1000,6,FALSE)," ")</f>
        <v xml:space="preserve"> </v>
      </c>
      <c r="AG251" s="90" t="str">
        <f>IFERROR(VLOOKUP(A251&amp;"aaaaaaaa",COPY!$S$2:$AA$1000,6,FALSE)," ")</f>
        <v xml:space="preserve"> </v>
      </c>
      <c r="AH251" s="90" t="str">
        <f>IFERROR(VLOOKUP(A251&amp;"aaaaaaaaa",COPY!$S$2:$AA$1000,6,FALSE)," ")</f>
        <v xml:space="preserve"> </v>
      </c>
      <c r="AI251" s="90" t="str">
        <f>IFERROR(VLOOKUP(A251&amp;"aaaaaaaaaa",COPY!$S$2:$AA$1000,6,FALSE)," ")</f>
        <v xml:space="preserve"> </v>
      </c>
      <c r="AJ251" s="90" t="str">
        <f>IFERROR(VLOOKUP(A251&amp;"aaaaaaaaaaa",COPY!$S$2:$AA$1000,6,FALSE)," ")</f>
        <v xml:space="preserve"> </v>
      </c>
      <c r="AK251" s="90" t="str">
        <f>IF(LEFT(B251,2)="mg",VLOOKUP(A251,COPY!$S$2:$AA$1000,7,FALSE),IF(LEFT(B251,1)="G"," ",IF(LEFT(B251,2)="ma"," "," ")))</f>
        <v xml:space="preserve"> </v>
      </c>
      <c r="AL251" s="90" t="str">
        <f>IFERROR(VLOOKUP(A251&amp;"a",COPY!$S$2:$AA$1000,7,FALSE)," ")</f>
        <v xml:space="preserve"> </v>
      </c>
      <c r="AM251" s="90" t="str">
        <f>IFERROR(VLOOKUP(A251&amp;"aa",COPY!$S$2:$AA$1000,7,FALSE)," ")</f>
        <v xml:space="preserve"> </v>
      </c>
      <c r="AN251" s="90" t="str">
        <f>IFERROR(VLOOKUP(A251&amp;"aaa",COPY!$S$2:$AA$1000,7,FALSE)," ")</f>
        <v xml:space="preserve"> </v>
      </c>
      <c r="AO251" s="90" t="str">
        <f>IFERROR(VLOOKUP(A251&amp;"aaaa",COPY!$S$2:$AA$1000,7,FALSE)," ")</f>
        <v xml:space="preserve"> </v>
      </c>
      <c r="AP251" s="90" t="str">
        <f>IFERROR(VLOOKUP(A251&amp;"aaaaa",COPY!$S$2:$AA$1000,7,FALSE)," ")</f>
        <v xml:space="preserve"> </v>
      </c>
      <c r="AQ251" s="90" t="str">
        <f>IFERROR(VLOOKUP(A251&amp;"aaaaaa",COPY!$S$2:$AA$1000,7,FALSE)," ")</f>
        <v xml:space="preserve"> </v>
      </c>
      <c r="AR251" s="90" t="str">
        <f>IFERROR(VLOOKUP(A251&amp;"aaaaaaa",COPY!$S$2:$AA$1000,7,FALSE)," ")</f>
        <v xml:space="preserve"> </v>
      </c>
      <c r="AS251" s="90" t="str">
        <f>IFERROR(VLOOKUP(A251&amp;"aaaaaaaa",COPY!$S$2:$AA$1000,7,FALSE)," ")</f>
        <v xml:space="preserve"> </v>
      </c>
      <c r="AT251" s="90" t="str">
        <f>IFERROR(VLOOKUP(A251&amp;"aaaaaaaaa",COPY!$S$2:$AA$1000,7,FALSE)," ")</f>
        <v xml:space="preserve"> </v>
      </c>
      <c r="AU251" s="90" t="str">
        <f>IFERROR(VLOOKUP(A251&amp;"aaaaaaaaaa",COPY!$S$2:$AA$1000,7,FALSE)," ")</f>
        <v xml:space="preserve"> </v>
      </c>
      <c r="AV251" s="90" t="str">
        <f>IFERROR(VLOOKUP(A251&amp;"aaaaaaaaaaa",COPY!$S$2:$AA$1000,7,FALSE)," ")</f>
        <v xml:space="preserve"> </v>
      </c>
    </row>
    <row r="252" spans="1:48" x14ac:dyDescent="0.2">
      <c r="J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  <c r="AK252" s="90"/>
      <c r="AL252" s="90"/>
      <c r="AM252" s="90"/>
      <c r="AN252" s="90"/>
      <c r="AO252" s="90"/>
      <c r="AP252" s="90"/>
      <c r="AQ252" s="90"/>
      <c r="AR252" s="90"/>
      <c r="AS252" s="90"/>
      <c r="AT252" s="90"/>
      <c r="AU252" s="90"/>
      <c r="AV252" s="90"/>
    </row>
    <row r="253" spans="1:48" x14ac:dyDescent="0.2">
      <c r="J253" s="90"/>
      <c r="Y253" s="90"/>
      <c r="Z253" s="90"/>
      <c r="AA253" s="90"/>
      <c r="AB253" s="90"/>
      <c r="AC253" s="90"/>
      <c r="AD253" s="90"/>
      <c r="AE253" s="90"/>
      <c r="AF253" s="90"/>
      <c r="AG253" s="90"/>
      <c r="AH253" s="90"/>
      <c r="AI253" s="90"/>
      <c r="AJ253" s="90"/>
      <c r="AK253" s="90"/>
      <c r="AL253" s="90"/>
      <c r="AM253" s="90"/>
      <c r="AN253" s="90"/>
      <c r="AO253" s="90"/>
      <c r="AP253" s="90"/>
      <c r="AQ253" s="90"/>
      <c r="AR253" s="90"/>
      <c r="AS253" s="90"/>
      <c r="AT253" s="90"/>
      <c r="AU253" s="90"/>
      <c r="AV253" s="90"/>
    </row>
    <row r="254" spans="1:48" x14ac:dyDescent="0.2">
      <c r="J254" s="90"/>
      <c r="Y254" s="90"/>
      <c r="Z254" s="90"/>
      <c r="AA254" s="90"/>
      <c r="AB254" s="90"/>
      <c r="AC254" s="90"/>
      <c r="AD254" s="90"/>
      <c r="AE254" s="90"/>
      <c r="AF254" s="90"/>
      <c r="AG254" s="90"/>
      <c r="AH254" s="90"/>
      <c r="AI254" s="90"/>
      <c r="AJ254" s="90"/>
      <c r="AK254" s="90"/>
      <c r="AL254" s="90"/>
      <c r="AM254" s="90"/>
      <c r="AN254" s="90"/>
      <c r="AO254" s="90"/>
      <c r="AP254" s="90"/>
      <c r="AQ254" s="90"/>
      <c r="AR254" s="90"/>
      <c r="AS254" s="90"/>
      <c r="AT254" s="90"/>
      <c r="AU254" s="90"/>
      <c r="AV254" s="90"/>
    </row>
    <row r="255" spans="1:48" x14ac:dyDescent="0.2">
      <c r="J255" s="90"/>
      <c r="Y255" s="90"/>
      <c r="Z255" s="90"/>
      <c r="AA255" s="90"/>
      <c r="AB255" s="90"/>
      <c r="AC255" s="90"/>
      <c r="AD255" s="90"/>
      <c r="AE255" s="90"/>
      <c r="AF255" s="90"/>
      <c r="AG255" s="90"/>
      <c r="AH255" s="90"/>
      <c r="AI255" s="90"/>
      <c r="AJ255" s="90"/>
      <c r="AK255" s="90"/>
      <c r="AL255" s="90"/>
      <c r="AM255" s="90"/>
      <c r="AN255" s="90"/>
      <c r="AO255" s="90"/>
      <c r="AP255" s="90"/>
      <c r="AQ255" s="90"/>
      <c r="AR255" s="90"/>
      <c r="AS255" s="90"/>
      <c r="AT255" s="90"/>
      <c r="AU255" s="90"/>
      <c r="AV255" s="90"/>
    </row>
    <row r="256" spans="1:48" x14ac:dyDescent="0.2">
      <c r="J256" s="90"/>
      <c r="Y256" s="90"/>
      <c r="Z256" s="90"/>
      <c r="AA256" s="90"/>
      <c r="AB256" s="90"/>
      <c r="AC256" s="90"/>
      <c r="AD256" s="90"/>
      <c r="AE256" s="90"/>
      <c r="AF256" s="90"/>
      <c r="AG256" s="90"/>
      <c r="AH256" s="90"/>
      <c r="AI256" s="90"/>
      <c r="AJ256" s="90"/>
      <c r="AK256" s="90"/>
      <c r="AL256" s="90"/>
      <c r="AM256" s="90"/>
      <c r="AN256" s="90"/>
      <c r="AO256" s="90"/>
      <c r="AP256" s="90"/>
      <c r="AQ256" s="90"/>
      <c r="AR256" s="90"/>
      <c r="AS256" s="90"/>
      <c r="AT256" s="90"/>
      <c r="AU256" s="90"/>
      <c r="AV256" s="90"/>
    </row>
    <row r="257" spans="10:48" x14ac:dyDescent="0.2">
      <c r="J257" s="90"/>
      <c r="Y257" s="90"/>
      <c r="Z257" s="90"/>
      <c r="AA257" s="90"/>
      <c r="AB257" s="90"/>
      <c r="AC257" s="90"/>
      <c r="AD257" s="90"/>
      <c r="AE257" s="90"/>
      <c r="AF257" s="90"/>
      <c r="AG257" s="90"/>
      <c r="AH257" s="90"/>
      <c r="AI257" s="90"/>
      <c r="AJ257" s="90"/>
      <c r="AK257" s="90"/>
      <c r="AL257" s="90"/>
      <c r="AM257" s="90"/>
      <c r="AN257" s="90"/>
      <c r="AO257" s="90"/>
      <c r="AP257" s="90"/>
      <c r="AQ257" s="90"/>
      <c r="AR257" s="90"/>
      <c r="AS257" s="90"/>
      <c r="AT257" s="90"/>
      <c r="AU257" s="90"/>
      <c r="AV257" s="90"/>
    </row>
    <row r="258" spans="10:48" x14ac:dyDescent="0.2">
      <c r="J258" s="90"/>
      <c r="Y258" s="90"/>
      <c r="Z258" s="90"/>
      <c r="AA258" s="90"/>
      <c r="AB258" s="90"/>
      <c r="AC258" s="90"/>
      <c r="AD258" s="90"/>
      <c r="AE258" s="90"/>
      <c r="AF258" s="90"/>
      <c r="AG258" s="90"/>
      <c r="AH258" s="90"/>
      <c r="AI258" s="90"/>
      <c r="AJ258" s="90"/>
      <c r="AK258" s="90"/>
      <c r="AL258" s="90"/>
      <c r="AM258" s="90"/>
      <c r="AN258" s="90"/>
      <c r="AO258" s="90"/>
      <c r="AP258" s="90"/>
      <c r="AQ258" s="90"/>
      <c r="AR258" s="90"/>
      <c r="AS258" s="90"/>
      <c r="AT258" s="90"/>
      <c r="AU258" s="90"/>
      <c r="AV258" s="90"/>
    </row>
    <row r="259" spans="10:48" x14ac:dyDescent="0.2">
      <c r="J259" s="90"/>
      <c r="Y259" s="90"/>
      <c r="Z259" s="90"/>
      <c r="AA259" s="90"/>
      <c r="AB259" s="90"/>
      <c r="AC259" s="90"/>
      <c r="AD259" s="90"/>
      <c r="AE259" s="90"/>
      <c r="AF259" s="90"/>
      <c r="AG259" s="90"/>
      <c r="AH259" s="90"/>
      <c r="AI259" s="90"/>
      <c r="AJ259" s="90"/>
      <c r="AK259" s="90"/>
      <c r="AL259" s="90"/>
      <c r="AM259" s="90"/>
      <c r="AN259" s="90"/>
      <c r="AO259" s="90"/>
      <c r="AP259" s="90"/>
      <c r="AQ259" s="90"/>
      <c r="AR259" s="90"/>
      <c r="AS259" s="90"/>
      <c r="AT259" s="90"/>
      <c r="AU259" s="90"/>
      <c r="AV259" s="90"/>
    </row>
    <row r="260" spans="10:48" x14ac:dyDescent="0.2">
      <c r="J260" s="90"/>
      <c r="Y260" s="90"/>
      <c r="Z260" s="90"/>
      <c r="AA260" s="90"/>
      <c r="AB260" s="90"/>
      <c r="AC260" s="90"/>
      <c r="AD260" s="90"/>
      <c r="AE260" s="90"/>
      <c r="AF260" s="90"/>
      <c r="AG260" s="90"/>
      <c r="AH260" s="90"/>
      <c r="AI260" s="90"/>
      <c r="AJ260" s="90"/>
      <c r="AK260" s="90"/>
      <c r="AL260" s="90"/>
      <c r="AM260" s="90"/>
      <c r="AN260" s="90"/>
      <c r="AO260" s="90"/>
      <c r="AP260" s="90"/>
      <c r="AQ260" s="90"/>
      <c r="AR260" s="90"/>
      <c r="AS260" s="90"/>
      <c r="AT260" s="90"/>
      <c r="AU260" s="90"/>
      <c r="AV260" s="90"/>
    </row>
    <row r="261" spans="10:48" x14ac:dyDescent="0.2">
      <c r="J261" s="90"/>
      <c r="Y261" s="90"/>
      <c r="Z261" s="90"/>
      <c r="AA261" s="90"/>
      <c r="AB261" s="90"/>
      <c r="AC261" s="90"/>
      <c r="AD261" s="90"/>
      <c r="AE261" s="90"/>
      <c r="AF261" s="90"/>
      <c r="AG261" s="90"/>
      <c r="AH261" s="90"/>
      <c r="AI261" s="90"/>
      <c r="AJ261" s="90"/>
      <c r="AK261" s="90"/>
      <c r="AL261" s="90"/>
      <c r="AM261" s="90"/>
      <c r="AN261" s="90"/>
      <c r="AO261" s="90"/>
      <c r="AP261" s="90"/>
      <c r="AQ261" s="90"/>
      <c r="AR261" s="90"/>
      <c r="AS261" s="90"/>
      <c r="AT261" s="90"/>
      <c r="AU261" s="90"/>
      <c r="AV261" s="90"/>
    </row>
    <row r="262" spans="10:48" x14ac:dyDescent="0.2">
      <c r="J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90"/>
      <c r="AK262" s="90"/>
      <c r="AL262" s="90"/>
      <c r="AM262" s="90"/>
      <c r="AN262" s="90"/>
      <c r="AO262" s="90"/>
      <c r="AP262" s="90"/>
      <c r="AQ262" s="90"/>
      <c r="AR262" s="90"/>
      <c r="AS262" s="90"/>
      <c r="AT262" s="90"/>
      <c r="AU262" s="90"/>
      <c r="AV262" s="90"/>
    </row>
    <row r="263" spans="10:48" x14ac:dyDescent="0.2">
      <c r="J263" s="90"/>
      <c r="Y263" s="90"/>
      <c r="Z263" s="90"/>
      <c r="AA263" s="90"/>
      <c r="AB263" s="90"/>
      <c r="AC263" s="90"/>
      <c r="AD263" s="90"/>
      <c r="AE263" s="90"/>
      <c r="AF263" s="90"/>
      <c r="AG263" s="90"/>
      <c r="AH263" s="90"/>
      <c r="AI263" s="90"/>
      <c r="AJ263" s="90"/>
      <c r="AK263" s="90"/>
      <c r="AL263" s="90"/>
      <c r="AM263" s="90"/>
      <c r="AN263" s="90"/>
      <c r="AO263" s="90"/>
      <c r="AP263" s="90"/>
      <c r="AQ263" s="90"/>
      <c r="AR263" s="90"/>
      <c r="AS263" s="90"/>
      <c r="AT263" s="90"/>
      <c r="AU263" s="90"/>
      <c r="AV263" s="90"/>
    </row>
    <row r="264" spans="10:48" x14ac:dyDescent="0.2">
      <c r="J264" s="90"/>
      <c r="Y264" s="90"/>
      <c r="Z264" s="90"/>
      <c r="AA264" s="90"/>
      <c r="AB264" s="90"/>
      <c r="AC264" s="90"/>
      <c r="AD264" s="90"/>
      <c r="AE264" s="90"/>
      <c r="AF264" s="90"/>
      <c r="AG264" s="90"/>
      <c r="AH264" s="90"/>
      <c r="AI264" s="90"/>
      <c r="AJ264" s="90"/>
      <c r="AK264" s="90"/>
      <c r="AL264" s="90"/>
      <c r="AM264" s="90"/>
      <c r="AN264" s="90"/>
      <c r="AO264" s="90"/>
      <c r="AP264" s="90"/>
      <c r="AQ264" s="90"/>
      <c r="AR264" s="90"/>
      <c r="AS264" s="90"/>
      <c r="AT264" s="90"/>
      <c r="AU264" s="90"/>
      <c r="AV264" s="90"/>
    </row>
    <row r="265" spans="10:48" x14ac:dyDescent="0.2">
      <c r="J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90"/>
      <c r="AK265" s="90"/>
      <c r="AL265" s="90"/>
      <c r="AM265" s="90"/>
      <c r="AN265" s="90"/>
      <c r="AO265" s="90"/>
      <c r="AP265" s="90"/>
      <c r="AQ265" s="90"/>
      <c r="AR265" s="90"/>
      <c r="AS265" s="90"/>
      <c r="AT265" s="90"/>
      <c r="AU265" s="90"/>
      <c r="AV265" s="90"/>
    </row>
    <row r="266" spans="10:48" x14ac:dyDescent="0.2">
      <c r="J266" s="90"/>
      <c r="Y266" s="90"/>
      <c r="Z266" s="90"/>
      <c r="AA266" s="90"/>
      <c r="AB266" s="90"/>
      <c r="AC266" s="90"/>
      <c r="AD266" s="90"/>
      <c r="AE266" s="90"/>
      <c r="AF266" s="90"/>
      <c r="AG266" s="90"/>
      <c r="AH266" s="90"/>
      <c r="AI266" s="90"/>
      <c r="AJ266" s="90"/>
      <c r="AK266" s="90"/>
      <c r="AL266" s="90"/>
      <c r="AM266" s="90"/>
      <c r="AN266" s="90"/>
      <c r="AO266" s="90"/>
      <c r="AP266" s="90"/>
      <c r="AQ266" s="90"/>
      <c r="AR266" s="90"/>
      <c r="AS266" s="90"/>
      <c r="AT266" s="90"/>
      <c r="AU266" s="90"/>
      <c r="AV266" s="90"/>
    </row>
    <row r="267" spans="10:48" x14ac:dyDescent="0.2">
      <c r="J267" s="90"/>
      <c r="Y267" s="90"/>
      <c r="Z267" s="90"/>
      <c r="AA267" s="90"/>
      <c r="AB267" s="90"/>
      <c r="AC267" s="90"/>
      <c r="AD267" s="90"/>
      <c r="AE267" s="90"/>
      <c r="AF267" s="90"/>
      <c r="AG267" s="90"/>
      <c r="AH267" s="90"/>
      <c r="AI267" s="90"/>
      <c r="AJ267" s="90"/>
      <c r="AK267" s="90"/>
      <c r="AL267" s="90"/>
      <c r="AM267" s="90"/>
      <c r="AN267" s="90"/>
      <c r="AO267" s="90"/>
      <c r="AP267" s="90"/>
      <c r="AQ267" s="90"/>
      <c r="AR267" s="90"/>
      <c r="AS267" s="90"/>
      <c r="AT267" s="90"/>
      <c r="AU267" s="90"/>
      <c r="AV267" s="90"/>
    </row>
    <row r="268" spans="10:48" x14ac:dyDescent="0.2">
      <c r="J268" s="90"/>
      <c r="Y268" s="90"/>
      <c r="Z268" s="90"/>
      <c r="AA268" s="90"/>
      <c r="AB268" s="90"/>
      <c r="AC268" s="90"/>
      <c r="AD268" s="90"/>
      <c r="AE268" s="90"/>
      <c r="AF268" s="90"/>
      <c r="AG268" s="90"/>
      <c r="AH268" s="90"/>
      <c r="AI268" s="90"/>
      <c r="AJ268" s="90"/>
      <c r="AK268" s="90"/>
      <c r="AL268" s="90"/>
      <c r="AM268" s="90"/>
      <c r="AN268" s="90"/>
      <c r="AO268" s="90"/>
      <c r="AP268" s="90"/>
      <c r="AQ268" s="90"/>
      <c r="AR268" s="90"/>
      <c r="AS268" s="90"/>
      <c r="AT268" s="90"/>
      <c r="AU268" s="90"/>
      <c r="AV268" s="90"/>
    </row>
    <row r="269" spans="10:48" x14ac:dyDescent="0.2">
      <c r="J269" s="90"/>
      <c r="Y269" s="90"/>
      <c r="Z269" s="90"/>
      <c r="AA269" s="90"/>
      <c r="AB269" s="90"/>
      <c r="AC269" s="90"/>
      <c r="AD269" s="90"/>
      <c r="AE269" s="90"/>
      <c r="AF269" s="90"/>
      <c r="AG269" s="90"/>
      <c r="AH269" s="90"/>
      <c r="AI269" s="90"/>
      <c r="AJ269" s="90"/>
      <c r="AK269" s="90"/>
      <c r="AL269" s="90"/>
      <c r="AM269" s="90"/>
      <c r="AN269" s="90"/>
      <c r="AO269" s="90"/>
      <c r="AP269" s="90"/>
      <c r="AQ269" s="90"/>
      <c r="AR269" s="90"/>
      <c r="AS269" s="90"/>
      <c r="AT269" s="90"/>
      <c r="AU269" s="90"/>
      <c r="AV269" s="90"/>
    </row>
    <row r="270" spans="10:48" x14ac:dyDescent="0.2">
      <c r="J270" s="90"/>
      <c r="Y270" s="90"/>
      <c r="Z270" s="90"/>
      <c r="AA270" s="90"/>
      <c r="AB270" s="90"/>
      <c r="AC270" s="90"/>
      <c r="AD270" s="90"/>
      <c r="AE270" s="90"/>
      <c r="AF270" s="90"/>
      <c r="AG270" s="90"/>
      <c r="AH270" s="90"/>
      <c r="AI270" s="90"/>
      <c r="AJ270" s="90"/>
      <c r="AK270" s="90"/>
      <c r="AL270" s="90"/>
      <c r="AM270" s="90"/>
      <c r="AN270" s="90"/>
      <c r="AO270" s="90"/>
      <c r="AP270" s="90"/>
      <c r="AQ270" s="90"/>
      <c r="AR270" s="90"/>
      <c r="AS270" s="90"/>
      <c r="AT270" s="90"/>
      <c r="AU270" s="90"/>
      <c r="AV270" s="90"/>
    </row>
    <row r="271" spans="10:48" x14ac:dyDescent="0.2">
      <c r="J271" s="90"/>
      <c r="Y271" s="90"/>
      <c r="Z271" s="90"/>
      <c r="AA271" s="90"/>
      <c r="AB271" s="90"/>
      <c r="AC271" s="90"/>
      <c r="AD271" s="90"/>
      <c r="AE271" s="90"/>
      <c r="AF271" s="90"/>
      <c r="AG271" s="90"/>
      <c r="AH271" s="90"/>
      <c r="AI271" s="90"/>
      <c r="AJ271" s="90"/>
      <c r="AK271" s="90"/>
      <c r="AL271" s="90"/>
      <c r="AM271" s="90"/>
      <c r="AN271" s="90"/>
      <c r="AO271" s="90"/>
      <c r="AP271" s="90"/>
      <c r="AQ271" s="90"/>
      <c r="AR271" s="90"/>
      <c r="AS271" s="90"/>
      <c r="AT271" s="90"/>
      <c r="AU271" s="90"/>
      <c r="AV271" s="90"/>
    </row>
    <row r="272" spans="10:48" x14ac:dyDescent="0.2">
      <c r="J272" s="90"/>
      <c r="Y272" s="90"/>
      <c r="Z272" s="90"/>
      <c r="AA272" s="90"/>
      <c r="AB272" s="90"/>
      <c r="AC272" s="90"/>
      <c r="AD272" s="90"/>
      <c r="AE272" s="90"/>
      <c r="AF272" s="90"/>
      <c r="AG272" s="90"/>
      <c r="AH272" s="90"/>
      <c r="AI272" s="90"/>
      <c r="AJ272" s="90"/>
      <c r="AK272" s="90"/>
      <c r="AL272" s="90"/>
      <c r="AM272" s="90"/>
      <c r="AN272" s="90"/>
      <c r="AO272" s="90"/>
      <c r="AP272" s="90"/>
      <c r="AQ272" s="90"/>
      <c r="AR272" s="90"/>
      <c r="AS272" s="90"/>
      <c r="AT272" s="90"/>
      <c r="AU272" s="90"/>
      <c r="AV272" s="90"/>
    </row>
    <row r="273" spans="10:48" x14ac:dyDescent="0.2">
      <c r="J273" s="90"/>
      <c r="Y273" s="90"/>
      <c r="Z273" s="90"/>
      <c r="AA273" s="90"/>
      <c r="AB273" s="90"/>
      <c r="AC273" s="90"/>
      <c r="AD273" s="90"/>
      <c r="AE273" s="90"/>
      <c r="AF273" s="90"/>
      <c r="AG273" s="90"/>
      <c r="AH273" s="90"/>
      <c r="AI273" s="90"/>
      <c r="AJ273" s="90"/>
      <c r="AK273" s="90"/>
      <c r="AL273" s="90"/>
      <c r="AM273" s="90"/>
      <c r="AN273" s="90"/>
      <c r="AO273" s="90"/>
      <c r="AP273" s="90"/>
      <c r="AQ273" s="90"/>
      <c r="AR273" s="90"/>
      <c r="AS273" s="90"/>
      <c r="AT273" s="90"/>
      <c r="AU273" s="90"/>
      <c r="AV273" s="90"/>
    </row>
    <row r="274" spans="10:48" x14ac:dyDescent="0.2">
      <c r="J274" s="90"/>
      <c r="Y274" s="90"/>
      <c r="Z274" s="90"/>
      <c r="AA274" s="90"/>
      <c r="AB274" s="90"/>
      <c r="AC274" s="90"/>
      <c r="AD274" s="90"/>
      <c r="AE274" s="90"/>
      <c r="AF274" s="90"/>
      <c r="AG274" s="90"/>
      <c r="AH274" s="90"/>
      <c r="AI274" s="90"/>
      <c r="AJ274" s="90"/>
      <c r="AK274" s="90"/>
      <c r="AL274" s="90"/>
      <c r="AM274" s="90"/>
      <c r="AN274" s="90"/>
      <c r="AO274" s="90"/>
      <c r="AP274" s="90"/>
      <c r="AQ274" s="90"/>
      <c r="AR274" s="90"/>
      <c r="AS274" s="90"/>
      <c r="AT274" s="90"/>
      <c r="AU274" s="90"/>
      <c r="AV274" s="90"/>
    </row>
    <row r="275" spans="10:48" x14ac:dyDescent="0.2">
      <c r="J275" s="90"/>
      <c r="Y275" s="90"/>
      <c r="Z275" s="90"/>
      <c r="AA275" s="90"/>
      <c r="AB275" s="90"/>
      <c r="AC275" s="90"/>
      <c r="AD275" s="90"/>
      <c r="AE275" s="90"/>
      <c r="AF275" s="90"/>
      <c r="AG275" s="90"/>
      <c r="AH275" s="90"/>
      <c r="AI275" s="90"/>
      <c r="AJ275" s="90"/>
      <c r="AK275" s="90"/>
      <c r="AL275" s="90"/>
      <c r="AM275" s="90"/>
      <c r="AN275" s="90"/>
      <c r="AO275" s="90"/>
      <c r="AP275" s="90"/>
      <c r="AQ275" s="90"/>
      <c r="AR275" s="90"/>
      <c r="AS275" s="90"/>
      <c r="AT275" s="90"/>
      <c r="AU275" s="90"/>
      <c r="AV275" s="90"/>
    </row>
    <row r="276" spans="10:48" x14ac:dyDescent="0.2">
      <c r="J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90"/>
      <c r="AK276" s="90"/>
      <c r="AL276" s="90"/>
      <c r="AM276" s="90"/>
      <c r="AN276" s="90"/>
      <c r="AO276" s="90"/>
      <c r="AP276" s="90"/>
      <c r="AQ276" s="90"/>
      <c r="AR276" s="90"/>
      <c r="AS276" s="90"/>
      <c r="AT276" s="90"/>
      <c r="AU276" s="90"/>
      <c r="AV276" s="90"/>
    </row>
    <row r="277" spans="10:48" x14ac:dyDescent="0.2">
      <c r="J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  <c r="AK277" s="90"/>
      <c r="AL277" s="90"/>
      <c r="AM277" s="90"/>
      <c r="AN277" s="90"/>
      <c r="AO277" s="90"/>
      <c r="AP277" s="90"/>
      <c r="AQ277" s="90"/>
      <c r="AR277" s="90"/>
      <c r="AS277" s="90"/>
      <c r="AT277" s="90"/>
      <c r="AU277" s="90"/>
      <c r="AV277" s="90"/>
    </row>
    <row r="278" spans="10:48" x14ac:dyDescent="0.2">
      <c r="J278" s="90"/>
      <c r="Y278" s="90"/>
      <c r="Z278" s="90"/>
      <c r="AA278" s="90"/>
      <c r="AB278" s="90"/>
      <c r="AC278" s="90"/>
      <c r="AD278" s="90"/>
      <c r="AE278" s="90"/>
      <c r="AF278" s="90"/>
      <c r="AG278" s="90"/>
      <c r="AH278" s="90"/>
      <c r="AI278" s="90"/>
      <c r="AJ278" s="90"/>
      <c r="AK278" s="90"/>
      <c r="AL278" s="90"/>
      <c r="AM278" s="90"/>
      <c r="AN278" s="90"/>
      <c r="AO278" s="90"/>
      <c r="AP278" s="90"/>
      <c r="AQ278" s="90"/>
      <c r="AR278" s="90"/>
      <c r="AS278" s="90"/>
      <c r="AT278" s="90"/>
      <c r="AU278" s="90"/>
      <c r="AV278" s="90"/>
    </row>
    <row r="279" spans="10:48" x14ac:dyDescent="0.2">
      <c r="J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90"/>
      <c r="AK279" s="90"/>
      <c r="AL279" s="90"/>
      <c r="AM279" s="90"/>
      <c r="AN279" s="90"/>
      <c r="AO279" s="90"/>
      <c r="AP279" s="90"/>
      <c r="AQ279" s="90"/>
      <c r="AR279" s="90"/>
      <c r="AS279" s="90"/>
      <c r="AT279" s="90"/>
      <c r="AU279" s="90"/>
      <c r="AV279" s="90"/>
    </row>
    <row r="280" spans="10:48" x14ac:dyDescent="0.2">
      <c r="J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</row>
    <row r="281" spans="10:48" x14ac:dyDescent="0.2">
      <c r="J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</row>
    <row r="282" spans="10:48" x14ac:dyDescent="0.2">
      <c r="J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</row>
    <row r="283" spans="10:48" x14ac:dyDescent="0.2">
      <c r="J283" s="90"/>
      <c r="Y283" s="90"/>
      <c r="Z283" s="90"/>
      <c r="AA283" s="90"/>
      <c r="AB283" s="90"/>
      <c r="AC283" s="90"/>
      <c r="AD283" s="90"/>
      <c r="AE283" s="90"/>
      <c r="AF283" s="90"/>
      <c r="AG283" s="90"/>
      <c r="AH283" s="90"/>
      <c r="AI283" s="90"/>
      <c r="AJ283" s="90"/>
      <c r="AK283" s="90"/>
      <c r="AL283" s="90"/>
      <c r="AM283" s="90"/>
      <c r="AN283" s="90"/>
      <c r="AO283" s="90"/>
      <c r="AP283" s="90"/>
      <c r="AQ283" s="90"/>
      <c r="AR283" s="90"/>
      <c r="AS283" s="90"/>
      <c r="AT283" s="90"/>
      <c r="AU283" s="90"/>
      <c r="AV283" s="90"/>
    </row>
    <row r="284" spans="10:48" x14ac:dyDescent="0.2">
      <c r="J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90"/>
      <c r="AK284" s="90"/>
      <c r="AL284" s="90"/>
      <c r="AM284" s="90"/>
      <c r="AN284" s="90"/>
      <c r="AO284" s="90"/>
      <c r="AP284" s="90"/>
      <c r="AQ284" s="90"/>
      <c r="AR284" s="90"/>
      <c r="AS284" s="90"/>
      <c r="AT284" s="90"/>
      <c r="AU284" s="90"/>
      <c r="AV284" s="90"/>
    </row>
    <row r="285" spans="10:48" x14ac:dyDescent="0.2">
      <c r="J285" s="90"/>
      <c r="Y285" s="90"/>
      <c r="Z285" s="90"/>
      <c r="AA285" s="90"/>
      <c r="AB285" s="90"/>
      <c r="AC285" s="90"/>
      <c r="AD285" s="90"/>
      <c r="AE285" s="90"/>
      <c r="AF285" s="90"/>
      <c r="AG285" s="90"/>
      <c r="AH285" s="90"/>
      <c r="AI285" s="90"/>
      <c r="AJ285" s="90"/>
      <c r="AK285" s="90"/>
      <c r="AL285" s="90"/>
      <c r="AM285" s="90"/>
      <c r="AN285" s="90"/>
      <c r="AO285" s="90"/>
      <c r="AP285" s="90"/>
      <c r="AQ285" s="90"/>
      <c r="AR285" s="90"/>
      <c r="AS285" s="90"/>
      <c r="AT285" s="90"/>
      <c r="AU285" s="90"/>
      <c r="AV285" s="90"/>
    </row>
    <row r="286" spans="10:48" x14ac:dyDescent="0.2">
      <c r="J286" s="90"/>
      <c r="Y286" s="90"/>
      <c r="Z286" s="90"/>
      <c r="AA286" s="90"/>
      <c r="AB286" s="90"/>
      <c r="AC286" s="90"/>
      <c r="AD286" s="90"/>
      <c r="AE286" s="90"/>
      <c r="AF286" s="90"/>
      <c r="AG286" s="90"/>
      <c r="AH286" s="90"/>
      <c r="AI286" s="90"/>
      <c r="AJ286" s="90"/>
      <c r="AK286" s="90"/>
      <c r="AL286" s="90"/>
      <c r="AM286" s="90"/>
      <c r="AN286" s="90"/>
      <c r="AO286" s="90"/>
      <c r="AP286" s="90"/>
      <c r="AQ286" s="90"/>
      <c r="AR286" s="90"/>
      <c r="AS286" s="90"/>
      <c r="AT286" s="90"/>
      <c r="AU286" s="90"/>
      <c r="AV286" s="90"/>
    </row>
    <row r="287" spans="10:48" x14ac:dyDescent="0.2">
      <c r="J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</row>
    <row r="288" spans="10:48" x14ac:dyDescent="0.2">
      <c r="J288" s="90"/>
      <c r="Y288" s="90"/>
      <c r="Z288" s="90"/>
      <c r="AA288" s="90"/>
      <c r="AB288" s="90"/>
      <c r="AC288" s="90"/>
      <c r="AD288" s="90"/>
      <c r="AE288" s="90"/>
      <c r="AF288" s="90"/>
      <c r="AG288" s="90"/>
      <c r="AH288" s="90"/>
      <c r="AI288" s="90"/>
      <c r="AJ288" s="90"/>
      <c r="AK288" s="90"/>
      <c r="AL288" s="90"/>
      <c r="AM288" s="90"/>
      <c r="AN288" s="90"/>
      <c r="AO288" s="90"/>
      <c r="AP288" s="90"/>
      <c r="AQ288" s="90"/>
      <c r="AR288" s="90"/>
      <c r="AS288" s="90"/>
      <c r="AT288" s="90"/>
      <c r="AU288" s="90"/>
      <c r="AV288" s="90"/>
    </row>
    <row r="289" spans="10:48" x14ac:dyDescent="0.2">
      <c r="J289" s="90"/>
      <c r="Y289" s="90"/>
      <c r="Z289" s="90"/>
      <c r="AA289" s="90"/>
      <c r="AB289" s="90"/>
      <c r="AC289" s="90"/>
      <c r="AD289" s="90"/>
      <c r="AE289" s="90"/>
      <c r="AF289" s="90"/>
      <c r="AG289" s="90"/>
      <c r="AH289" s="90"/>
      <c r="AI289" s="90"/>
      <c r="AJ289" s="90"/>
      <c r="AK289" s="90"/>
      <c r="AL289" s="90"/>
      <c r="AM289" s="90"/>
      <c r="AN289" s="90"/>
      <c r="AO289" s="90"/>
      <c r="AP289" s="90"/>
      <c r="AQ289" s="90"/>
      <c r="AR289" s="90"/>
      <c r="AS289" s="90"/>
      <c r="AT289" s="90"/>
      <c r="AU289" s="90"/>
      <c r="AV289" s="90"/>
    </row>
    <row r="290" spans="10:48" x14ac:dyDescent="0.2">
      <c r="J290" s="90"/>
      <c r="Y290" s="90"/>
      <c r="Z290" s="90"/>
      <c r="AA290" s="90"/>
      <c r="AB290" s="90"/>
      <c r="AC290" s="90"/>
      <c r="AD290" s="90"/>
      <c r="AE290" s="90"/>
      <c r="AF290" s="90"/>
      <c r="AG290" s="90"/>
      <c r="AH290" s="90"/>
      <c r="AI290" s="90"/>
      <c r="AJ290" s="90"/>
      <c r="AK290" s="90"/>
      <c r="AL290" s="90"/>
      <c r="AM290" s="90"/>
      <c r="AN290" s="90"/>
      <c r="AO290" s="90"/>
      <c r="AP290" s="90"/>
      <c r="AQ290" s="90"/>
      <c r="AR290" s="90"/>
      <c r="AS290" s="90"/>
      <c r="AT290" s="90"/>
      <c r="AU290" s="90"/>
      <c r="AV290" s="90"/>
    </row>
    <row r="291" spans="10:48" x14ac:dyDescent="0.2">
      <c r="J291" s="90"/>
      <c r="Y291" s="90"/>
      <c r="Z291" s="90"/>
      <c r="AA291" s="90"/>
      <c r="AB291" s="90"/>
      <c r="AC291" s="90"/>
      <c r="AD291" s="90"/>
      <c r="AE291" s="90"/>
      <c r="AF291" s="90"/>
      <c r="AG291" s="90"/>
      <c r="AH291" s="90"/>
      <c r="AI291" s="90"/>
      <c r="AJ291" s="90"/>
      <c r="AK291" s="90"/>
      <c r="AL291" s="90"/>
      <c r="AM291" s="90"/>
      <c r="AN291" s="90"/>
      <c r="AO291" s="90"/>
      <c r="AP291" s="90"/>
      <c r="AQ291" s="90"/>
      <c r="AR291" s="90"/>
      <c r="AS291" s="90"/>
      <c r="AT291" s="90"/>
      <c r="AU291" s="90"/>
      <c r="AV291" s="90"/>
    </row>
    <row r="292" spans="10:48" x14ac:dyDescent="0.2">
      <c r="J292" s="90"/>
      <c r="Y292" s="90"/>
      <c r="Z292" s="90"/>
      <c r="AA292" s="90"/>
      <c r="AB292" s="90"/>
      <c r="AC292" s="90"/>
      <c r="AD292" s="90"/>
      <c r="AE292" s="90"/>
      <c r="AF292" s="90"/>
      <c r="AG292" s="90"/>
      <c r="AH292" s="90"/>
      <c r="AI292" s="90"/>
      <c r="AJ292" s="90"/>
      <c r="AK292" s="90"/>
      <c r="AL292" s="90"/>
      <c r="AM292" s="90"/>
      <c r="AN292" s="90"/>
      <c r="AO292" s="90"/>
      <c r="AP292" s="90"/>
      <c r="AQ292" s="90"/>
      <c r="AR292" s="90"/>
      <c r="AS292" s="90"/>
      <c r="AT292" s="90"/>
      <c r="AU292" s="90"/>
      <c r="AV292" s="90"/>
    </row>
    <row r="293" spans="10:48" x14ac:dyDescent="0.2">
      <c r="J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90"/>
      <c r="AK293" s="90"/>
      <c r="AL293" s="90"/>
      <c r="AM293" s="90"/>
      <c r="AN293" s="90"/>
      <c r="AO293" s="90"/>
      <c r="AP293" s="90"/>
      <c r="AQ293" s="90"/>
      <c r="AR293" s="90"/>
      <c r="AS293" s="90"/>
      <c r="AT293" s="90"/>
      <c r="AU293" s="90"/>
      <c r="AV293" s="90"/>
    </row>
    <row r="294" spans="10:48" x14ac:dyDescent="0.2">
      <c r="J294" s="90"/>
      <c r="Y294" s="90"/>
      <c r="Z294" s="90"/>
      <c r="AA294" s="90"/>
      <c r="AB294" s="90"/>
      <c r="AC294" s="90"/>
      <c r="AD294" s="90"/>
      <c r="AE294" s="90"/>
      <c r="AF294" s="90"/>
      <c r="AG294" s="90"/>
      <c r="AH294" s="90"/>
      <c r="AI294" s="90"/>
      <c r="AJ294" s="90"/>
      <c r="AK294" s="90"/>
      <c r="AL294" s="90"/>
      <c r="AM294" s="90"/>
      <c r="AN294" s="90"/>
      <c r="AO294" s="90"/>
      <c r="AP294" s="90"/>
      <c r="AQ294" s="90"/>
      <c r="AR294" s="90"/>
      <c r="AS294" s="90"/>
      <c r="AT294" s="90"/>
      <c r="AU294" s="90"/>
      <c r="AV294" s="90"/>
    </row>
    <row r="295" spans="10:48" x14ac:dyDescent="0.2">
      <c r="J295" s="90"/>
      <c r="Y295" s="90"/>
      <c r="Z295" s="90"/>
      <c r="AA295" s="90"/>
      <c r="AB295" s="90"/>
      <c r="AC295" s="90"/>
      <c r="AD295" s="90"/>
      <c r="AE295" s="90"/>
      <c r="AF295" s="90"/>
      <c r="AG295" s="90"/>
      <c r="AH295" s="90"/>
      <c r="AI295" s="90"/>
      <c r="AJ295" s="90"/>
      <c r="AK295" s="90"/>
      <c r="AL295" s="90"/>
      <c r="AM295" s="90"/>
      <c r="AN295" s="90"/>
      <c r="AO295" s="90"/>
      <c r="AP295" s="90"/>
      <c r="AQ295" s="90"/>
      <c r="AR295" s="90"/>
      <c r="AS295" s="90"/>
      <c r="AT295" s="90"/>
      <c r="AU295" s="90"/>
      <c r="AV295" s="90"/>
    </row>
    <row r="296" spans="10:48" x14ac:dyDescent="0.2">
      <c r="J296" s="90"/>
      <c r="Y296" s="90"/>
      <c r="Z296" s="90"/>
      <c r="AA296" s="90"/>
      <c r="AB296" s="90"/>
      <c r="AC296" s="90"/>
      <c r="AD296" s="90"/>
      <c r="AE296" s="90"/>
      <c r="AF296" s="90"/>
      <c r="AG296" s="90"/>
      <c r="AH296" s="90"/>
      <c r="AI296" s="90"/>
      <c r="AJ296" s="90"/>
      <c r="AK296" s="90"/>
      <c r="AL296" s="90"/>
      <c r="AM296" s="90"/>
      <c r="AN296" s="90"/>
      <c r="AO296" s="90"/>
      <c r="AP296" s="90"/>
      <c r="AQ296" s="90"/>
      <c r="AR296" s="90"/>
      <c r="AS296" s="90"/>
      <c r="AT296" s="90"/>
      <c r="AU296" s="90"/>
      <c r="AV296" s="90"/>
    </row>
    <row r="297" spans="10:48" x14ac:dyDescent="0.2">
      <c r="J297" s="90"/>
      <c r="Y297" s="90"/>
      <c r="Z297" s="90"/>
      <c r="AA297" s="90"/>
      <c r="AB297" s="90"/>
      <c r="AC297" s="90"/>
      <c r="AD297" s="90"/>
      <c r="AE297" s="90"/>
      <c r="AF297" s="90"/>
      <c r="AG297" s="90"/>
      <c r="AH297" s="90"/>
      <c r="AI297" s="90"/>
      <c r="AJ297" s="90"/>
      <c r="AK297" s="90"/>
      <c r="AL297" s="90"/>
      <c r="AM297" s="90"/>
      <c r="AN297" s="90"/>
      <c r="AO297" s="90"/>
      <c r="AP297" s="90"/>
      <c r="AQ297" s="90"/>
      <c r="AR297" s="90"/>
      <c r="AS297" s="90"/>
      <c r="AT297" s="90"/>
      <c r="AU297" s="90"/>
      <c r="AV297" s="90"/>
    </row>
    <row r="298" spans="10:48" x14ac:dyDescent="0.2">
      <c r="J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90"/>
      <c r="AK298" s="90"/>
      <c r="AL298" s="90"/>
      <c r="AM298" s="90"/>
      <c r="AN298" s="90"/>
      <c r="AO298" s="90"/>
      <c r="AP298" s="90"/>
      <c r="AQ298" s="90"/>
      <c r="AR298" s="90"/>
      <c r="AS298" s="90"/>
      <c r="AT298" s="90"/>
      <c r="AU298" s="90"/>
      <c r="AV298" s="90"/>
    </row>
    <row r="299" spans="10:48" x14ac:dyDescent="0.2">
      <c r="J299" s="90"/>
      <c r="Y299" s="90"/>
      <c r="Z299" s="90"/>
      <c r="AA299" s="90"/>
      <c r="AB299" s="90"/>
      <c r="AC299" s="90"/>
      <c r="AD299" s="90"/>
      <c r="AE299" s="90"/>
      <c r="AF299" s="90"/>
      <c r="AG299" s="90"/>
      <c r="AH299" s="90"/>
      <c r="AI299" s="90"/>
      <c r="AJ299" s="90"/>
      <c r="AK299" s="90"/>
      <c r="AL299" s="90"/>
      <c r="AM299" s="90"/>
      <c r="AN299" s="90"/>
      <c r="AO299" s="90"/>
      <c r="AP299" s="90"/>
      <c r="AQ299" s="90"/>
      <c r="AR299" s="90"/>
      <c r="AS299" s="90"/>
      <c r="AT299" s="90"/>
      <c r="AU299" s="90"/>
      <c r="AV299" s="90"/>
    </row>
    <row r="300" spans="10:48" x14ac:dyDescent="0.2">
      <c r="J300" s="90"/>
      <c r="Y300" s="90"/>
      <c r="Z300" s="90"/>
      <c r="AA300" s="90"/>
      <c r="AB300" s="90"/>
      <c r="AC300" s="90"/>
      <c r="AD300" s="90"/>
      <c r="AE300" s="90"/>
      <c r="AF300" s="90"/>
      <c r="AG300" s="90"/>
      <c r="AH300" s="90"/>
      <c r="AI300" s="90"/>
      <c r="AJ300" s="90"/>
      <c r="AK300" s="90"/>
      <c r="AL300" s="90"/>
      <c r="AM300" s="90"/>
      <c r="AN300" s="90"/>
      <c r="AO300" s="90"/>
      <c r="AP300" s="90"/>
      <c r="AQ300" s="90"/>
      <c r="AR300" s="90"/>
      <c r="AS300" s="90"/>
      <c r="AT300" s="90"/>
      <c r="AU300" s="90"/>
      <c r="AV300" s="90"/>
    </row>
    <row r="301" spans="10:48" x14ac:dyDescent="0.2">
      <c r="J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0"/>
      <c r="AS301" s="90"/>
      <c r="AT301" s="90"/>
      <c r="AU301" s="90"/>
      <c r="AV301" s="90"/>
    </row>
    <row r="302" spans="10:48" x14ac:dyDescent="0.2">
      <c r="J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0"/>
      <c r="AS302" s="90"/>
      <c r="AT302" s="90"/>
      <c r="AU302" s="90"/>
      <c r="AV302" s="90"/>
    </row>
    <row r="303" spans="10:48" x14ac:dyDescent="0.2">
      <c r="J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0"/>
      <c r="AS303" s="90"/>
      <c r="AT303" s="90"/>
      <c r="AU303" s="90"/>
      <c r="AV303" s="90"/>
    </row>
    <row r="304" spans="10:48" x14ac:dyDescent="0.2">
      <c r="J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0"/>
      <c r="AS304" s="90"/>
      <c r="AT304" s="90"/>
      <c r="AU304" s="90"/>
      <c r="AV304" s="90"/>
    </row>
    <row r="305" spans="10:48" x14ac:dyDescent="0.2">
      <c r="J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0"/>
      <c r="AS305" s="90"/>
      <c r="AT305" s="90"/>
      <c r="AU305" s="90"/>
      <c r="AV305" s="90"/>
    </row>
    <row r="306" spans="10:48" x14ac:dyDescent="0.2">
      <c r="J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0"/>
      <c r="AS306" s="90"/>
      <c r="AT306" s="90"/>
      <c r="AU306" s="90"/>
      <c r="AV306" s="90"/>
    </row>
    <row r="307" spans="10:48" x14ac:dyDescent="0.2">
      <c r="J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0"/>
      <c r="AS307" s="90"/>
      <c r="AT307" s="90"/>
      <c r="AU307" s="90"/>
      <c r="AV307" s="90"/>
    </row>
    <row r="308" spans="10:48" x14ac:dyDescent="0.2">
      <c r="J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0"/>
      <c r="AS308" s="90"/>
      <c r="AT308" s="90"/>
      <c r="AU308" s="90"/>
      <c r="AV308" s="90"/>
    </row>
    <row r="309" spans="10:48" x14ac:dyDescent="0.2">
      <c r="J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0"/>
      <c r="AS309" s="90"/>
      <c r="AT309" s="90"/>
      <c r="AU309" s="90"/>
      <c r="AV309" s="90"/>
    </row>
    <row r="310" spans="10:48" x14ac:dyDescent="0.2">
      <c r="J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0"/>
      <c r="AS310" s="90"/>
      <c r="AT310" s="90"/>
      <c r="AU310" s="90"/>
      <c r="AV310" s="90"/>
    </row>
    <row r="311" spans="10:48" x14ac:dyDescent="0.2">
      <c r="J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0"/>
      <c r="AS311" s="90"/>
      <c r="AT311" s="90"/>
      <c r="AU311" s="90"/>
      <c r="AV311" s="90"/>
    </row>
    <row r="312" spans="10:48" x14ac:dyDescent="0.2">
      <c r="J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0"/>
      <c r="AS312" s="90"/>
      <c r="AT312" s="90"/>
      <c r="AU312" s="90"/>
      <c r="AV312" s="90"/>
    </row>
    <row r="313" spans="10:48" x14ac:dyDescent="0.2">
      <c r="J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0"/>
      <c r="AS313" s="90"/>
      <c r="AT313" s="90"/>
      <c r="AU313" s="90"/>
      <c r="AV313" s="90"/>
    </row>
    <row r="314" spans="10:48" x14ac:dyDescent="0.2">
      <c r="J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0"/>
      <c r="AS314" s="90"/>
      <c r="AT314" s="90"/>
      <c r="AU314" s="90"/>
      <c r="AV314" s="90"/>
    </row>
    <row r="315" spans="10:48" x14ac:dyDescent="0.2">
      <c r="J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0"/>
      <c r="AS315" s="90"/>
      <c r="AT315" s="90"/>
      <c r="AU315" s="90"/>
      <c r="AV315" s="90"/>
    </row>
    <row r="316" spans="10:48" x14ac:dyDescent="0.2">
      <c r="J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0"/>
      <c r="AS316" s="90"/>
      <c r="AT316" s="90"/>
      <c r="AU316" s="90"/>
      <c r="AV316" s="90"/>
    </row>
    <row r="317" spans="10:48" x14ac:dyDescent="0.2">
      <c r="J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0"/>
      <c r="AS317" s="90"/>
      <c r="AT317" s="90"/>
      <c r="AU317" s="90"/>
      <c r="AV317" s="90"/>
    </row>
    <row r="318" spans="10:48" x14ac:dyDescent="0.2">
      <c r="J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90"/>
      <c r="AK318" s="90"/>
      <c r="AL318" s="90"/>
      <c r="AM318" s="90"/>
      <c r="AN318" s="90"/>
      <c r="AO318" s="90"/>
      <c r="AP318" s="90"/>
      <c r="AQ318" s="90"/>
      <c r="AR318" s="90"/>
      <c r="AS318" s="90"/>
      <c r="AT318" s="90"/>
      <c r="AU318" s="90"/>
      <c r="AV318" s="90"/>
    </row>
    <row r="319" spans="10:48" x14ac:dyDescent="0.2">
      <c r="J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</row>
    <row r="320" spans="10:48" x14ac:dyDescent="0.2">
      <c r="J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</row>
    <row r="321" spans="10:48" x14ac:dyDescent="0.2">
      <c r="J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</row>
    <row r="322" spans="10:48" x14ac:dyDescent="0.2">
      <c r="J322" s="90"/>
      <c r="Y322" s="90"/>
      <c r="Z322" s="90"/>
      <c r="AA322" s="90"/>
      <c r="AB322" s="90"/>
      <c r="AC322" s="90"/>
      <c r="AD322" s="90"/>
      <c r="AE322" s="90"/>
      <c r="AF322" s="90"/>
      <c r="AG322" s="90"/>
      <c r="AH322" s="90"/>
      <c r="AI322" s="90"/>
      <c r="AJ322" s="90"/>
      <c r="AK322" s="90"/>
      <c r="AL322" s="90"/>
      <c r="AM322" s="90"/>
      <c r="AN322" s="90"/>
      <c r="AO322" s="90"/>
      <c r="AP322" s="90"/>
      <c r="AQ322" s="90"/>
      <c r="AR322" s="90"/>
      <c r="AS322" s="90"/>
      <c r="AT322" s="90"/>
      <c r="AU322" s="90"/>
      <c r="AV322" s="90"/>
    </row>
    <row r="323" spans="10:48" x14ac:dyDescent="0.2">
      <c r="J323" s="90"/>
      <c r="Y323" s="90"/>
      <c r="Z323" s="90"/>
      <c r="AA323" s="90"/>
      <c r="AB323" s="90"/>
      <c r="AC323" s="90"/>
      <c r="AD323" s="90"/>
      <c r="AE323" s="90"/>
      <c r="AF323" s="90"/>
      <c r="AG323" s="90"/>
      <c r="AH323" s="90"/>
      <c r="AI323" s="90"/>
      <c r="AJ323" s="90"/>
      <c r="AK323" s="90"/>
      <c r="AL323" s="90"/>
      <c r="AM323" s="90"/>
      <c r="AN323" s="90"/>
      <c r="AO323" s="90"/>
      <c r="AP323" s="90"/>
      <c r="AQ323" s="90"/>
      <c r="AR323" s="90"/>
      <c r="AS323" s="90"/>
      <c r="AT323" s="90"/>
      <c r="AU323" s="90"/>
      <c r="AV323" s="90"/>
    </row>
    <row r="324" spans="10:48" x14ac:dyDescent="0.2">
      <c r="J324" s="90"/>
      <c r="Y324" s="90"/>
      <c r="Z324" s="90"/>
      <c r="AA324" s="90"/>
      <c r="AB324" s="90"/>
      <c r="AC324" s="90"/>
      <c r="AD324" s="90"/>
      <c r="AE324" s="90"/>
      <c r="AF324" s="90"/>
      <c r="AG324" s="90"/>
      <c r="AH324" s="90"/>
      <c r="AI324" s="90"/>
      <c r="AJ324" s="90"/>
      <c r="AK324" s="90"/>
      <c r="AL324" s="90"/>
      <c r="AM324" s="90"/>
      <c r="AN324" s="90"/>
      <c r="AO324" s="90"/>
      <c r="AP324" s="90"/>
      <c r="AQ324" s="90"/>
      <c r="AR324" s="90"/>
      <c r="AS324" s="90"/>
      <c r="AT324" s="90"/>
      <c r="AU324" s="90"/>
      <c r="AV324" s="90"/>
    </row>
    <row r="325" spans="10:48" x14ac:dyDescent="0.2">
      <c r="J325" s="90"/>
      <c r="Y325" s="90"/>
      <c r="Z325" s="90"/>
      <c r="AA325" s="90"/>
      <c r="AB325" s="90"/>
      <c r="AC325" s="90"/>
      <c r="AD325" s="90"/>
      <c r="AE325" s="90"/>
      <c r="AF325" s="90"/>
      <c r="AG325" s="90"/>
      <c r="AH325" s="90"/>
      <c r="AI325" s="90"/>
      <c r="AJ325" s="90"/>
      <c r="AK325" s="90"/>
      <c r="AL325" s="90"/>
      <c r="AM325" s="90"/>
      <c r="AN325" s="90"/>
      <c r="AO325" s="90"/>
      <c r="AP325" s="90"/>
      <c r="AQ325" s="90"/>
      <c r="AR325" s="90"/>
      <c r="AS325" s="90"/>
      <c r="AT325" s="90"/>
      <c r="AU325" s="90"/>
      <c r="AV325" s="90"/>
    </row>
    <row r="326" spans="10:48" x14ac:dyDescent="0.2">
      <c r="J326" s="90"/>
      <c r="Y326" s="90"/>
      <c r="Z326" s="90"/>
      <c r="AA326" s="90"/>
      <c r="AB326" s="90"/>
      <c r="AC326" s="90"/>
      <c r="AD326" s="90"/>
      <c r="AE326" s="90"/>
      <c r="AF326" s="90"/>
      <c r="AG326" s="90"/>
      <c r="AH326" s="90"/>
      <c r="AI326" s="90"/>
      <c r="AJ326" s="90"/>
      <c r="AK326" s="90"/>
      <c r="AL326" s="90"/>
      <c r="AM326" s="90"/>
      <c r="AN326" s="90"/>
      <c r="AO326" s="90"/>
      <c r="AP326" s="90"/>
      <c r="AQ326" s="90"/>
      <c r="AR326" s="90"/>
      <c r="AS326" s="90"/>
      <c r="AT326" s="90"/>
      <c r="AU326" s="90"/>
      <c r="AV326" s="90"/>
    </row>
    <row r="327" spans="10:48" x14ac:dyDescent="0.2">
      <c r="J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  <c r="AK327" s="90"/>
      <c r="AL327" s="90"/>
      <c r="AM327" s="90"/>
      <c r="AN327" s="90"/>
      <c r="AO327" s="90"/>
      <c r="AP327" s="90"/>
      <c r="AQ327" s="90"/>
      <c r="AR327" s="90"/>
      <c r="AS327" s="90"/>
      <c r="AT327" s="90"/>
      <c r="AU327" s="90"/>
      <c r="AV327" s="90"/>
    </row>
    <row r="328" spans="10:48" x14ac:dyDescent="0.2">
      <c r="J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0"/>
      <c r="AS328" s="90"/>
      <c r="AT328" s="90"/>
      <c r="AU328" s="90"/>
      <c r="AV328" s="90"/>
    </row>
    <row r="329" spans="10:48" x14ac:dyDescent="0.2">
      <c r="J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0"/>
      <c r="AS329" s="90"/>
      <c r="AT329" s="90"/>
      <c r="AU329" s="90"/>
      <c r="AV329" s="90"/>
    </row>
    <row r="330" spans="10:48" x14ac:dyDescent="0.2">
      <c r="J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0"/>
      <c r="AS330" s="90"/>
      <c r="AT330" s="90"/>
      <c r="AU330" s="90"/>
      <c r="AV330" s="90"/>
    </row>
    <row r="331" spans="10:48" x14ac:dyDescent="0.2">
      <c r="J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0"/>
      <c r="AS331" s="90"/>
      <c r="AT331" s="90"/>
      <c r="AU331" s="90"/>
      <c r="AV331" s="90"/>
    </row>
    <row r="332" spans="10:48" x14ac:dyDescent="0.2">
      <c r="J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0"/>
      <c r="AS332" s="90"/>
      <c r="AT332" s="90"/>
      <c r="AU332" s="90"/>
      <c r="AV332" s="90"/>
    </row>
  </sheetData>
  <phoneticPr fontId="12" type="noConversion"/>
  <pageMargins left="0.7" right="0.7" top="0.75" bottom="0.75" header="0.3" footer="0.3"/>
  <pageSetup paperSize="9" orientation="landscape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Y50"/>
  <sheetViews>
    <sheetView workbookViewId="0">
      <selection activeCell="E38" sqref="E38"/>
    </sheetView>
  </sheetViews>
  <sheetFormatPr defaultRowHeight="15" x14ac:dyDescent="0.25"/>
  <cols>
    <col min="1" max="1" width="8" bestFit="1" customWidth="1"/>
    <col min="2" max="4" width="4.7109375" customWidth="1"/>
    <col min="5" max="5" width="32.140625" bestFit="1" customWidth="1"/>
    <col min="6" max="6" width="26.28515625" bestFit="1" customWidth="1"/>
    <col min="7" max="7" width="41.85546875" bestFit="1" customWidth="1"/>
    <col min="8" max="8" width="49" bestFit="1" customWidth="1"/>
    <col min="9" max="9" width="42.42578125" bestFit="1" customWidth="1"/>
    <col min="10" max="10" width="49" bestFit="1" customWidth="1"/>
    <col min="11" max="11" width="15.7109375" bestFit="1" customWidth="1"/>
    <col min="12" max="12" width="42.42578125" bestFit="1" customWidth="1"/>
    <col min="13" max="14" width="34.85546875" bestFit="1" customWidth="1"/>
    <col min="15" max="15" width="20.85546875" bestFit="1" customWidth="1"/>
    <col min="16" max="16" width="21.85546875" bestFit="1" customWidth="1"/>
    <col min="17" max="17" width="22.85546875" bestFit="1" customWidth="1"/>
    <col min="18" max="30" width="4.7109375" style="23" customWidth="1"/>
    <col min="31" max="43" width="4.7109375" customWidth="1"/>
    <col min="44" max="44" width="10.5703125" bestFit="1" customWidth="1"/>
    <col min="45" max="50" width="10.85546875" bestFit="1" customWidth="1"/>
    <col min="51" max="51" width="12.140625" customWidth="1"/>
    <col min="52" max="56" width="10.85546875" customWidth="1"/>
    <col min="57" max="57" width="13.28515625" style="23" bestFit="1" customWidth="1"/>
    <col min="58" max="58" width="13.28515625" bestFit="1" customWidth="1"/>
    <col min="59" max="63" width="11.5703125" bestFit="1" customWidth="1"/>
    <col min="64" max="69" width="11.5703125" customWidth="1"/>
    <col min="70" max="70" width="13.28515625" style="23" bestFit="1" customWidth="1"/>
    <col min="71" max="71" width="11.5703125" style="23" bestFit="1" customWidth="1"/>
    <col min="72" max="72" width="13.28515625" style="23" bestFit="1" customWidth="1"/>
    <col min="73" max="76" width="4.7109375" customWidth="1"/>
    <col min="77" max="77" width="24.42578125" style="31" customWidth="1"/>
  </cols>
  <sheetData>
    <row r="1" spans="1:77" s="30" customFormat="1" x14ac:dyDescent="0.25">
      <c r="A1" s="30" t="s">
        <v>349</v>
      </c>
      <c r="B1" s="30" t="s">
        <v>346</v>
      </c>
      <c r="C1" s="30" t="s">
        <v>347</v>
      </c>
      <c r="D1" s="30" t="s">
        <v>348</v>
      </c>
      <c r="E1" s="30" t="s">
        <v>1</v>
      </c>
      <c r="F1" s="30" t="s">
        <v>350</v>
      </c>
      <c r="G1" s="30" t="s">
        <v>351</v>
      </c>
      <c r="H1" s="30" t="s">
        <v>352</v>
      </c>
      <c r="I1" s="30" t="s">
        <v>354</v>
      </c>
      <c r="J1" s="30" t="s">
        <v>353</v>
      </c>
      <c r="K1" s="30" t="s">
        <v>355</v>
      </c>
      <c r="L1" s="30" t="s">
        <v>400</v>
      </c>
      <c r="M1" s="30" t="s">
        <v>401</v>
      </c>
      <c r="N1" s="30" t="s">
        <v>402</v>
      </c>
      <c r="O1" s="30" t="s">
        <v>403</v>
      </c>
      <c r="P1" s="30" t="s">
        <v>404</v>
      </c>
      <c r="Q1" s="30" t="s">
        <v>405</v>
      </c>
      <c r="R1" s="23" t="s">
        <v>97</v>
      </c>
      <c r="S1" s="23" t="s">
        <v>356</v>
      </c>
      <c r="T1" s="23" t="s">
        <v>359</v>
      </c>
      <c r="U1" s="23" t="s">
        <v>360</v>
      </c>
      <c r="V1" s="23" t="s">
        <v>361</v>
      </c>
      <c r="W1" s="23" t="s">
        <v>362</v>
      </c>
      <c r="X1" s="23" t="s">
        <v>363</v>
      </c>
      <c r="Y1" s="23" t="s">
        <v>406</v>
      </c>
      <c r="Z1" s="23" t="s">
        <v>407</v>
      </c>
      <c r="AA1" s="23" t="s">
        <v>408</v>
      </c>
      <c r="AB1" s="23" t="s">
        <v>409</v>
      </c>
      <c r="AC1" s="23" t="s">
        <v>410</v>
      </c>
      <c r="AD1" s="23" t="s">
        <v>411</v>
      </c>
      <c r="AE1" s="23" t="s">
        <v>357</v>
      </c>
      <c r="AF1" s="23" t="s">
        <v>364</v>
      </c>
      <c r="AG1" s="23" t="s">
        <v>365</v>
      </c>
      <c r="AH1" s="23" t="s">
        <v>366</v>
      </c>
      <c r="AI1" s="23" t="s">
        <v>367</v>
      </c>
      <c r="AJ1" s="23" t="s">
        <v>368</v>
      </c>
      <c r="AK1" s="23" t="s">
        <v>369</v>
      </c>
      <c r="AL1" s="23" t="s">
        <v>412</v>
      </c>
      <c r="AM1" s="23" t="s">
        <v>413</v>
      </c>
      <c r="AN1" s="23" t="s">
        <v>414</v>
      </c>
      <c r="AO1" s="23" t="s">
        <v>415</v>
      </c>
      <c r="AP1" s="23" t="s">
        <v>416</v>
      </c>
      <c r="AQ1" s="23" t="s">
        <v>417</v>
      </c>
      <c r="AR1" s="23" t="s">
        <v>358</v>
      </c>
      <c r="AS1" s="23" t="s">
        <v>370</v>
      </c>
      <c r="AT1" s="23" t="s">
        <v>371</v>
      </c>
      <c r="AU1" s="23" t="s">
        <v>372</v>
      </c>
      <c r="AV1" s="23" t="s">
        <v>373</v>
      </c>
      <c r="AW1" s="23" t="s">
        <v>374</v>
      </c>
      <c r="AX1" s="23" t="s">
        <v>375</v>
      </c>
      <c r="AY1" s="23" t="s">
        <v>418</v>
      </c>
      <c r="AZ1" s="23" t="s">
        <v>419</v>
      </c>
      <c r="BA1" s="23" t="s">
        <v>420</v>
      </c>
      <c r="BB1" s="23" t="s">
        <v>421</v>
      </c>
      <c r="BC1" s="23" t="s">
        <v>422</v>
      </c>
      <c r="BD1" s="23" t="s">
        <v>423</v>
      </c>
      <c r="BE1" s="23" t="s">
        <v>376</v>
      </c>
      <c r="BF1" s="30" t="s">
        <v>377</v>
      </c>
      <c r="BG1" s="30" t="s">
        <v>378</v>
      </c>
      <c r="BH1" s="30" t="s">
        <v>379</v>
      </c>
      <c r="BI1" s="30" t="s">
        <v>380</v>
      </c>
      <c r="BJ1" s="30" t="s">
        <v>381</v>
      </c>
      <c r="BK1" s="30" t="s">
        <v>382</v>
      </c>
      <c r="BL1" s="30" t="s">
        <v>424</v>
      </c>
      <c r="BM1" s="30" t="s">
        <v>425</v>
      </c>
      <c r="BN1" s="30" t="s">
        <v>426</v>
      </c>
      <c r="BO1" s="30" t="s">
        <v>427</v>
      </c>
      <c r="BP1" s="30" t="s">
        <v>428</v>
      </c>
      <c r="BQ1" s="30" t="s">
        <v>429</v>
      </c>
      <c r="BR1" s="23" t="s">
        <v>383</v>
      </c>
      <c r="BS1" s="23" t="s">
        <v>75</v>
      </c>
      <c r="BT1" s="23" t="s">
        <v>384</v>
      </c>
      <c r="BU1" s="30" t="s">
        <v>385</v>
      </c>
      <c r="BV1" s="30" t="s">
        <v>386</v>
      </c>
      <c r="BW1" s="30" t="s">
        <v>387</v>
      </c>
      <c r="BX1" s="30" t="s">
        <v>388</v>
      </c>
      <c r="BY1" s="31" t="s">
        <v>389</v>
      </c>
    </row>
    <row r="2" spans="1:77" x14ac:dyDescent="0.25">
      <c r="A2" t="str">
        <f>IFERROR((IF('Laporan ppn'!G6789&gt;0,VLOOKUP('Laporan ppn'!G6789,'Laporan ppn'!$E$10:$F$6785,2,FALSE),"")),"")</f>
        <v/>
      </c>
      <c r="B2" t="str">
        <f>IF(Table1824[[#This Row],[BKK]]=" "," ",'BKU 1'!$D$25)</f>
        <v>SDN 1 SIDODADI</v>
      </c>
      <c r="C2" t="str">
        <f>IF(Table1824[[#This Row],[BKK]]=" "," ",'BKU 1'!$D$26)</f>
        <v>Jl. Kawi No.36 Rt. 1 Rw. 1 Dusun Sekar, Rt / Rw : 1 / 1, Dusun : Sekar, Kelurahan : Sidodadi</v>
      </c>
      <c r="D2" t="str">
        <f>IF(Table1824[[#This Row],[BKK]]=" "," ",'BKU 1'!$I$25)</f>
        <v>NGANTANG</v>
      </c>
      <c r="E2" t="str">
        <f>IFERROR(VLOOKUP(Table1824[[#This Row],[BKK]],'Un nOTA'!$D$4:$J$1004,2,FALSE),"")</f>
        <v>Cetak A3 HVS 70 Grm</v>
      </c>
      <c r="F2" t="str">
        <f>IFERROR(VLOOKUP(Table1824[[#This Row],[BKK]]&amp;TRIM(RIGHT(SUBSTITUTE(TRIM(Table1824[[#Headers],[Uraian a]])," ",REPT(" ",255)),255)),'Un nOTA'!$D$4:$J$1004,2,FALSE),"")</f>
        <v/>
      </c>
      <c r="G2" t="str">
        <f>IFERROR(VLOOKUP(Table1824[[#This Row],[BKK]]&amp;TRIM(RIGHT(SUBSTITUTE(TRIM(Table1824[[#Headers],[Uraian aa]])," ",REPT(" ",255)),255)),'Un nOTA'!$D$4:$J$1004,2,FALSE),"")</f>
        <v/>
      </c>
      <c r="H2" t="str">
        <f>IFERROR(VLOOKUP(Table1824[[#This Row],[BKK]]&amp;TRIM(RIGHT(SUBSTITUTE(TRIM(Table1824[[#Headers],[Uraian aaa]])," ",REPT(" ",255)),255)),'Un nOTA'!$D$4:$J$1004,2,FALSE),"")</f>
        <v/>
      </c>
      <c r="I2" t="str">
        <f>IFERROR(VLOOKUP(Table1824[[#This Row],[BKK]]&amp;TRIM(RIGHT(SUBSTITUTE(TRIM(Table1824[[#Headers],[Uraian aaaa]])," ",REPT(" ",255)),255)),'Un nOTA'!$D$4:$J$1004,2,FALSE),"")</f>
        <v/>
      </c>
      <c r="J2" t="str">
        <f>IFERROR(VLOOKUP(Table1824[[#This Row],[BKK]]&amp;TRIM(RIGHT(SUBSTITUTE(TRIM(Table1824[[#Headers],[Uraian aaaaa]])," ",REPT(" ",255)),255)),'Un nOTA'!$D$4:$J$1004,2,FALSE),"")</f>
        <v/>
      </c>
      <c r="K2" t="str">
        <f>IFERROR(VLOOKUP(Table1824[[#This Row],[BKK]]&amp;TRIM(RIGHT(SUBSTITUTE(TRIM(Table1824[[#Headers],[Uraian aaaaaa]])," ",REPT(" ",255)),255)),'Un nOTA'!$D$4:$J$1004,2,FALSE),"")</f>
        <v/>
      </c>
      <c r="L2" t="str">
        <f>IFERROR(VLOOKUP(Table1824[[#This Row],[BKK]]&amp;TRIM(RIGHT(SUBSTITUTE(TRIM(Table1824[[#Headers],[Uraian aaaaaaa]])," ",REPT(" ",255)),255)),'Un nOTA'!$D$4:$J$1004,2,FALSE),"")</f>
        <v/>
      </c>
      <c r="M2" t="str">
        <f>IFERROR(VLOOKUP(Table1824[[#This Row],[BKK]]&amp;TRIM(RIGHT(SUBSTITUTE(TRIM(Table1824[[#Headers],[Uraian aaaaaaaa]])," ",REPT(" ",255)),255)),'Un nOTA'!$D$4:$J$1004,2,FALSE),"")</f>
        <v/>
      </c>
      <c r="N2" t="str">
        <f>IFERROR(VLOOKUP(Table1824[[#This Row],[BKK]]&amp;TRIM(RIGHT(SUBSTITUTE(TRIM(Table1824[[#Headers],[Uraian aaaaaaaaa]])," ",REPT(" ",255)),255)),'Un nOTA'!$D$4:$J$1004,2,FALSE),"")</f>
        <v/>
      </c>
      <c r="O2" t="str">
        <f>IFERROR(VLOOKUP(Table1824[[#This Row],[BKK]]&amp;TRIM(RIGHT(SUBSTITUTE(TRIM(Table1824[[#Headers],[Uraian aaaaaaaaaa]])," ",REPT(" ",255)),255)),'Un nOTA'!$D$4:$J$1004,2,FALSE),"")</f>
        <v/>
      </c>
      <c r="P2" t="str">
        <f>IFERROR(VLOOKUP(Table1824[[#This Row],[BKK]]&amp;TRIM(RIGHT(SUBSTITUTE(TRIM(Table1824[[#Headers],[Uraian aaaaaaaaaaa]])," ",REPT(" ",255)),255)),'Un nOTA'!$D$4:$J$1004,2,FALSE),"")</f>
        <v/>
      </c>
      <c r="Q2" t="str">
        <f>IFERROR(VLOOKUP(Table1824[[#This Row],[BKK]]&amp;TRIM(RIGHT(SUBSTITUTE(TRIM(Table1824[[#Headers],[Uraian aaaaaaaaaaaa]])," ",REPT(" ",255)),255)),'Un nOTA'!$D$4:$J$1004,2,FALSE),"")</f>
        <v/>
      </c>
      <c r="R2" s="30">
        <f>IFERROR(VLOOKUP(Table1824[[#This Row],[BKK]],'Un nOTA'!$D$4:$J$1004,3,FALSE),"")</f>
        <v>26</v>
      </c>
      <c r="S2" s="30" t="str">
        <f>IFERROR(VLOOKUP(Table1824[[#This Row],[BKK]]&amp;TRIM(RIGHT(SUBSTITUTE(TRIM(Table1824[[#Headers],[Uraian a]])," ",REPT(" ",255)),255)),'Un nOTA'!$D$4:$J$1004,3,FALSE),"")</f>
        <v/>
      </c>
      <c r="T2" s="30" t="str">
        <f>IFERROR(VLOOKUP(Table1824[[#This Row],[BKK]]&amp;TRIM(RIGHT(SUBSTITUTE(TRIM(Table1824[[#Headers],[Uraian aa]])," ",REPT(" ",255)),255)),'Un nOTA'!$D$4:$J$1004,3,FALSE),"")</f>
        <v/>
      </c>
      <c r="U2" s="30" t="str">
        <f>IFERROR(VLOOKUP(Table1824[[#This Row],[BKK]]&amp;TRIM(RIGHT(SUBSTITUTE(TRIM(Table1824[[#Headers],[Uraian aaa]])," ",REPT(" ",255)),255)),'Un nOTA'!$D$4:$J$1004,3,FALSE),"")</f>
        <v/>
      </c>
      <c r="V2" s="30" t="str">
        <f>IFERROR(VLOOKUP(Table1824[[#This Row],[BKK]]&amp;TRIM(RIGHT(SUBSTITUTE(TRIM(Table1824[[#Headers],[Uraian aaaa]])," ",REPT(" ",255)),255)),'Un nOTA'!$D$4:$J$1004,3,FALSE),"")</f>
        <v/>
      </c>
      <c r="W2" s="30" t="str">
        <f>IFERROR(VLOOKUP(Table1824[[#This Row],[BKK]]&amp;TRIM(RIGHT(SUBSTITUTE(TRIM(Table1824[[#Headers],[Uraian aaaaa]])," ",REPT(" ",255)),255)),'Un nOTA'!$D$4:$J$1004,3,FALSE),"")</f>
        <v/>
      </c>
      <c r="X2" s="30" t="str">
        <f>IFERROR(VLOOKUP(Table1824[[#This Row],[BKK]]&amp;TRIM(RIGHT(SUBSTITUTE(TRIM(Table1824[[#Headers],[Uraian aaaaaa]])," ",REPT(" ",255)),255)),'Un nOTA'!$D$4:$J$1004,3,FALSE),"")</f>
        <v/>
      </c>
      <c r="Y2" s="30" t="str">
        <f>IFERROR(VLOOKUP(Table1824[[#This Row],[BKK]]&amp;TRIM(RIGHT(SUBSTITUTE(TRIM(Table1824[[#Headers],[Uraian aaaaaaa]])," ",REPT(" ",255)),255)),'Un nOTA'!$D$4:$J$1004,3,FALSE),"")</f>
        <v/>
      </c>
      <c r="Z2" s="30" t="str">
        <f>IFERROR(VLOOKUP(Table1824[[#This Row],[BKK]]&amp;TRIM(RIGHT(SUBSTITUTE(TRIM(Table1824[[#Headers],[Uraian aaaaaaaa]])," ",REPT(" ",255)),255)),'Un nOTA'!$D$4:$J$1004,3,FALSE),"")</f>
        <v/>
      </c>
      <c r="AA2" s="30" t="str">
        <f>IFERROR(VLOOKUP(Table1824[[#This Row],[BKK]]&amp;TRIM(RIGHT(SUBSTITUTE(TRIM(Table1824[[#Headers],[Uraian aaaaaaaaa]])," ",REPT(" ",255)),255)),'Un nOTA'!$D$4:$J$1004,3,FALSE),"")</f>
        <v/>
      </c>
      <c r="AB2" s="30" t="str">
        <f>IFERROR(VLOOKUP(Table1824[[#This Row],[BKK]]&amp;TRIM(RIGHT(SUBSTITUTE(TRIM(Table1824[[#Headers],[Uraian aaaaaaaaaa]])," ",REPT(" ",255)),255)),'Un nOTA'!$D$4:$J$1004,3,FALSE),"")</f>
        <v/>
      </c>
      <c r="AC2" s="30" t="str">
        <f>IFERROR(VLOOKUP(Table1824[[#This Row],[BKK]]&amp;TRIM(RIGHT(SUBSTITUTE(TRIM(Table1824[[#Headers],[Uraian aaaaaaaaaaa]])," ",REPT(" ",255)),255)),'Un nOTA'!$D$4:$J$1004,3,FALSE),"")</f>
        <v/>
      </c>
      <c r="AD2" s="30" t="str">
        <f>IFERROR(VLOOKUP(Table1824[[#This Row],[BKK]]&amp;TRIM(RIGHT(SUBSTITUTE(TRIM(Table1824[[#Headers],[Uraian aaaaaaaaaaaa]])," ",REPT(" ",255)),255)),'Un nOTA'!$D$4:$J$1004,3,FALSE),"")</f>
        <v/>
      </c>
      <c r="AE2" s="30" t="str">
        <f>IFERROR(VLOOKUP(Table1824[[#This Row],[BKK]],'Un nOTA'!$D$4:$J$1004,4,FALSE),"")</f>
        <v>Lbr</v>
      </c>
      <c r="AF2" s="30" t="str">
        <f>IFERROR(VLOOKUP(Table1824[[#This Row],[BKK]]&amp;TRIM(RIGHT(SUBSTITUTE(TRIM(Table1824[[#Headers],[Uraian a]])," ",REPT(" ",255)),255)),'Un nOTA'!$D$4:$J$1004,4,FALSE),"")</f>
        <v/>
      </c>
      <c r="AG2" s="30" t="str">
        <f>IFERROR(VLOOKUP(Table1824[[#This Row],[BKK]]&amp;TRIM(RIGHT(SUBSTITUTE(TRIM(Table1824[[#Headers],[Uraian aa]])," ",REPT(" ",255)),255)),'Un nOTA'!$D$4:$J$1004,4,FALSE),"")</f>
        <v/>
      </c>
      <c r="AH2" s="30" t="str">
        <f>IFERROR(VLOOKUP(Table1824[[#This Row],[BKK]]&amp;TRIM(RIGHT(SUBSTITUTE(TRIM(Table1824[[#Headers],[Uraian aaa]])," ",REPT(" ",255)),255)),'Un nOTA'!$D$4:$J$1004,4,FALSE),"")</f>
        <v/>
      </c>
      <c r="AI2" s="30" t="str">
        <f>IFERROR(VLOOKUP(Table1824[[#This Row],[BKK]]&amp;TRIM(RIGHT(SUBSTITUTE(TRIM(Table1824[[#Headers],[Uraian aaaa]])," ",REPT(" ",255)),255)),'Un nOTA'!$D$4:$J$1004,4,FALSE),"")</f>
        <v/>
      </c>
      <c r="AJ2" s="30" t="str">
        <f>IFERROR(VLOOKUP(Table1824[[#This Row],[BKK]]&amp;TRIM(RIGHT(SUBSTITUTE(TRIM(Table1824[[#Headers],[Uraian aaaaa]])," ",REPT(" ",255)),255)),'Un nOTA'!$D$4:$J$1004,4,FALSE),"")</f>
        <v/>
      </c>
      <c r="AK2" s="30" t="str">
        <f>IFERROR(VLOOKUP(Table1824[[#This Row],[BKK]]&amp;TRIM(RIGHT(SUBSTITUTE(TRIM(Table1824[[#Headers],[Uraian aaaaaa]])," ",REPT(" ",255)),255)),'Un nOTA'!$D$4:$J$1004,4,FALSE),"")</f>
        <v/>
      </c>
      <c r="AL2" s="30" t="str">
        <f>IFERROR(VLOOKUP(Table1824[[#This Row],[BKK]]&amp;TRIM(RIGHT(SUBSTITUTE(TRIM(Table1824[[#Headers],[Uraian aaaaaaa]])," ",REPT(" ",255)),255)),'Un nOTA'!$D$4:$J$1004,4,FALSE),"")</f>
        <v/>
      </c>
      <c r="AM2" s="30" t="str">
        <f>IFERROR(VLOOKUP(Table1824[[#This Row],[BKK]]&amp;TRIM(RIGHT(SUBSTITUTE(TRIM(Table1824[[#Headers],[Uraian aaaaaaaa]])," ",REPT(" ",255)),255)),'Un nOTA'!$D$4:$J$1004,4,FALSE),"")</f>
        <v/>
      </c>
      <c r="AN2" s="30" t="str">
        <f>IFERROR(VLOOKUP(Table1824[[#This Row],[BKK]]&amp;TRIM(RIGHT(SUBSTITUTE(TRIM(Table1824[[#Headers],[Uraian aaaaaaaaa]])," ",REPT(" ",255)),255)),'Un nOTA'!$D$4:$J$1004,4,FALSE),"")</f>
        <v/>
      </c>
      <c r="AO2" s="30" t="str">
        <f>IFERROR(VLOOKUP(Table1824[[#This Row],[BKK]]&amp;TRIM(RIGHT(SUBSTITUTE(TRIM(Table1824[[#Headers],[Uraian aaaaaaaaaa]])," ",REPT(" ",255)),255)),'Un nOTA'!$D$4:$J$1004,4,FALSE),"")</f>
        <v/>
      </c>
      <c r="AP2" s="30" t="str">
        <f>IFERROR(VLOOKUP(Table1824[[#This Row],[BKK]]&amp;TRIM(RIGHT(SUBSTITUTE(TRIM(Table1824[[#Headers],[Uraian aaaaaaaaaaa]])," ",REPT(" ",255)),255)),'Un nOTA'!$D$4:$J$1004,4,FALSE),"")</f>
        <v/>
      </c>
      <c r="AQ2" s="30" t="str">
        <f>IFERROR(VLOOKUP(Table1824[[#This Row],[BKK]]&amp;TRIM(RIGHT(SUBSTITUTE(TRIM(Table1824[[#Headers],[Uraian aaaaaaaaaaaa]])," ",REPT(" ",255)),255)),'Un nOTA'!$D$4:$J$1004,4,FALSE),"")</f>
        <v/>
      </c>
      <c r="AR2" s="23">
        <f>IFERROR((IFERROR(VLOOKUP(Table1824[[#This Row],[BKK]],'Un nOTA'!$D$4:$J$1004,5,FALSE),""))*(10/11),"")</f>
        <v>3181.8181818181815</v>
      </c>
      <c r="AS2" s="23" t="str">
        <f>IFERROR((IFERROR(VLOOKUP(Table1824[[#This Row],[BKK]]&amp;TRIM(RIGHT(SUBSTITUTE(TRIM(Table1824[[#Headers],[Uraian a]])," ",REPT(" ",255)),255)),'Un nOTA'!$D$4:$J$1004,5,FALSE),"")*(10/11)),"")</f>
        <v/>
      </c>
      <c r="AT2" s="23" t="str">
        <f>IFERROR((IFERROR(VLOOKUP(Table1824[[#This Row],[BKK]]&amp;TRIM(RIGHT(SUBSTITUTE(TRIM(Table1824[[#Headers],[Uraian aa]])," ",REPT(" ",255)),255)),'Un nOTA'!$D$4:$J$1004,5,FALSE),"")*(10/11)),"")</f>
        <v/>
      </c>
      <c r="AU2" s="23" t="str">
        <f>IFERROR((IFERROR(VLOOKUP(Table1824[[#This Row],[BKK]]&amp;TRIM(RIGHT(SUBSTITUTE(TRIM(Table1824[[#Headers],[Uraian aaa]])," ",REPT(" ",255)),255)),'Un nOTA'!$D$4:$J$1004,5,FALSE),"")*(10/11)),"")</f>
        <v/>
      </c>
      <c r="AV2" s="23" t="str">
        <f>IFERROR((IFERROR(VLOOKUP(Table1824[[#This Row],[BKK]]&amp;TRIM(RIGHT(SUBSTITUTE(TRIM(Table1824[[#Headers],[Uraian aaaa]])," ",REPT(" ",255)),255)),'Un nOTA'!$D$4:$J$1004,5,FALSE),"")*(10/11)),"")</f>
        <v/>
      </c>
      <c r="AW2" s="23" t="str">
        <f>IFERROR((IFERROR(VLOOKUP(Table1824[[#This Row],[BKK]]&amp;TRIM(RIGHT(SUBSTITUTE(TRIM(Table1824[[#Headers],[Uraian aaaaa]])," ",REPT(" ",255)),255)),'Un nOTA'!$D$4:$J$1004,5,FALSE),"")*(10/11)),"")</f>
        <v/>
      </c>
      <c r="AX2" s="23" t="str">
        <f>IFERROR((IFERROR(VLOOKUP(Table1824[[#This Row],[BKK]]&amp;TRIM(RIGHT(SUBSTITUTE(TRIM(Table1824[[#Headers],[Uraian aaaaaa]])," ",REPT(" ",255)),255)),'Un nOTA'!$D$4:$J$1004,5,FALSE),"")*(10/11)),"")</f>
        <v/>
      </c>
      <c r="AY2" s="23" t="str">
        <f>IFERROR((IFERROR(VLOOKUP(Table1824[[#This Row],[BKK]]&amp;TRIM(RIGHT(SUBSTITUTE(TRIM(Table1824[[#Headers],[Uraian aaaaaaa]])," ",REPT(" ",255)),255)),'Un nOTA'!$D$4:$J$1004,5,FALSE),"")*(10/11)),"")</f>
        <v/>
      </c>
      <c r="AZ2" s="23" t="str">
        <f>IFERROR((IFERROR(VLOOKUP(Table1824[[#This Row],[BKK]]&amp;TRIM(RIGHT(SUBSTITUTE(TRIM(Table1824[[#Headers],[Uraian aaaaaaaa]])," ",REPT(" ",255)),255)),'Un nOTA'!$D$4:$J$1004,5,FALSE),"")*(10/11)),"")</f>
        <v/>
      </c>
      <c r="BA2" s="23" t="str">
        <f>IFERROR((IFERROR(VLOOKUP(Table1824[[#This Row],[BKK]]&amp;TRIM(RIGHT(SUBSTITUTE(TRIM(Table1824[[#Headers],[Uraian aaaaaaaaa]])," ",REPT(" ",255)),255)),'Un nOTA'!$D$4:$J$1004,5,FALSE),"")*(10/11)),"")</f>
        <v/>
      </c>
      <c r="BB2" s="23" t="str">
        <f>IFERROR((IFERROR(VLOOKUP(Table1824[[#This Row],[BKK]]&amp;TRIM(RIGHT(SUBSTITUTE(TRIM(Table1824[[#Headers],[Uraian aaaaaaaaaa]])," ",REPT(" ",255)),255)),'Un nOTA'!$D$4:$J$1004,5,FALSE),"")*(10/11)),"")</f>
        <v/>
      </c>
      <c r="BC2" s="23" t="str">
        <f>IFERROR((IFERROR(VLOOKUP(Table1824[[#This Row],[BKK]]&amp;TRIM(RIGHT(SUBSTITUTE(TRIM(Table1824[[#Headers],[Uraian aaaaaaaaaaa]])," ",REPT(" ",255)),255)),'Un nOTA'!$D$4:$J$1004,5,FALSE),"")*(10/11)),"")</f>
        <v/>
      </c>
      <c r="BD2" s="23" t="str">
        <f>IFERROR((IFERROR(VLOOKUP(Table1824[[#This Row],[BKK]]&amp;TRIM(RIGHT(SUBSTITUTE(TRIM(Table1824[[#Headers],[Uraian aaaaaaaaaaaa]])," ",REPT(" ",255)),255)),'Un nOTA'!$D$4:$J$1004,5,FALSE),"")*(10/11)),"")</f>
        <v/>
      </c>
      <c r="BE2" s="23">
        <f>IFERROR(ROUNDUP((Table1824[[#This Row],[Qty]]*Table1824[[#This Row],[Hrg St]]),0),"")</f>
        <v>82728</v>
      </c>
      <c r="BF2" s="23" t="str">
        <f>IFERROR(ROUNDUP((Table1824[[#This Row],[Qty2]]*Table1824[[#This Row],[Hrg St2]]),0),"")</f>
        <v/>
      </c>
      <c r="BG2" s="23" t="str">
        <f>IFERROR(ROUNDUP((Table1824[[#This Row],[Qty3]]*Table1824[[#This Row],[Hrg St3]]),0),"")</f>
        <v/>
      </c>
      <c r="BH2" s="23" t="str">
        <f>IFERROR(ROUNDUP((Table1824[[#This Row],[Qty4]]*Table1824[[#This Row],[Hrg St4]]),0),"")</f>
        <v/>
      </c>
      <c r="BI2" s="23" t="str">
        <f>IFERROR(ROUNDUP((Table1824[[#This Row],[Qty5]]*Table1824[[#This Row],[Hrg St5]]),0),"")</f>
        <v/>
      </c>
      <c r="BJ2" s="23" t="str">
        <f>IFERROR(ROUNDUP((Table1824[[#This Row],[Qty6]]*Table1824[[#This Row],[Hrg St6]]),0),"")</f>
        <v/>
      </c>
      <c r="BK2" s="23" t="str">
        <f>IFERROR(ROUNDUP((Table1824[[#This Row],[Qty7]]*Table1824[[#This Row],[Hrg St7]]),0),"")</f>
        <v/>
      </c>
      <c r="BL2" s="23" t="str">
        <f>IFERROR(ROUNDUP((Table1824[[#This Row],[Qty8]]*Table1824[[#This Row],[Hrg St8]]),0),"")</f>
        <v/>
      </c>
      <c r="BM2" s="23" t="str">
        <f>IFERROR(ROUNDUP((Table1824[[#This Row],[Qty9]]*Table1824[[#This Row],[Hrg St9]]),0),"")</f>
        <v/>
      </c>
      <c r="BN2" s="23" t="str">
        <f>IFERROR(ROUNDUP((Table1824[[#This Row],[Qty10]]*Table1824[[#This Row],[Hrg St10]]),0),"")</f>
        <v/>
      </c>
      <c r="BO2" s="23" t="str">
        <f>IFERROR(ROUNDUP((Table1824[[#This Row],[Qty11]]*Table1824[[#This Row],[Hrg St11]]),0),"")</f>
        <v/>
      </c>
      <c r="BP2" s="23" t="str">
        <f>IFERROR(ROUNDUP((Table1824[[#This Row],[Qty12]]*Table1824[[#This Row],[Hrg St12]]),0),"")</f>
        <v/>
      </c>
      <c r="BQ2" s="23" t="str">
        <f>IFERROR(ROUNDUP((Table1824[[#This Row],[Qty13]]*Table1824[[#This Row],[Hrg St13]]),0),"")</f>
        <v/>
      </c>
      <c r="BR2" s="23" t="str">
        <f>IF(Table1824[[#This Row],[BKK]]&gt;" ",IFERROR(ROUNDUP((SUM(Table1824[[#This Row],[Jml]:[Jml13]])),0)," ")," ")</f>
        <v xml:space="preserve"> </v>
      </c>
      <c r="BS2" s="23" t="str">
        <f>IF(Table1824[[#This Row],[BKK]]&gt;" ",ROUND((Table1824[[#This Row],[Total]]*0.1),0)," ")</f>
        <v xml:space="preserve"> </v>
      </c>
      <c r="BT2" s="23" t="str">
        <f>IF(Table1824[[#This Row],[BKK]]&gt;" ",(Table1824[[#This Row],[Total]]+Table1824[[#This Row],[PPN]])," ")</f>
        <v xml:space="preserve"> </v>
      </c>
      <c r="BU2" t="s">
        <v>454</v>
      </c>
      <c r="BV2" t="str">
        <f>IF(Table1824[[#This Row],[BKK]]&gt;" ",("INV/AK-MLG/2019/"&amp;'BKU 1'!$E$1&amp;"/"&amp;Table1824[[#This Row],[BKK]]&amp;"/"&amp;'BKU 1'!$E$1&amp;ROW())," ")</f>
        <v xml:space="preserve"> </v>
      </c>
      <c r="BW2" t="str">
        <f>IF(Table1824[[#This Row],[BKK]]&gt;" ",(TEXT(VLOOKUP(Table1824[[#This Row],[BKK]],COPY!$O$2:$U$1000,7,FALSE),"dd mmmm yyyy"))," ")</f>
        <v xml:space="preserve"> </v>
      </c>
      <c r="BX2" t="str">
        <f>IF(Table1824[[#This Row],[BKK]]&gt;" ",(TEXT((Table1824[[#This Row],[Tanggal Kirim]]+30),"dd mmmm yyyy"))," ")</f>
        <v xml:space="preserve"> </v>
      </c>
      <c r="BY2" t="str">
        <f>IF(Table1824[[#This Row],[BKK]]&gt;" ",'BKU 1'!$E$17," ")</f>
        <v xml:space="preserve"> </v>
      </c>
    </row>
    <row r="3" spans="1:77" x14ac:dyDescent="0.25">
      <c r="A3" t="str">
        <f>IFERROR((IF('Laporan ppn'!G6790&gt;0,VLOOKUP('Laporan ppn'!G6790,'Laporan ppn'!$E$10:$F$6785,2,FALSE),"")),"")</f>
        <v xml:space="preserve"> </v>
      </c>
      <c r="B3" t="str">
        <f>IF(Table1824[[#This Row],[BKK]]=" "," ",'BKU 1'!$D$25)</f>
        <v xml:space="preserve"> </v>
      </c>
      <c r="C3" t="str">
        <f>IF(Table1824[[#This Row],[BKK]]=" "," ",'BKU 1'!$D$26)</f>
        <v xml:space="preserve"> </v>
      </c>
      <c r="D3" t="str">
        <f>IF(Table1824[[#This Row],[BKK]]=" "," ",'BKU 1'!$I$25)</f>
        <v xml:space="preserve"> </v>
      </c>
      <c r="E3" t="str">
        <f>IFERROR(VLOOKUP(Table1824[[#This Row],[BKK]],'Un nOTA'!$D$4:$J$1004,2,FALSE),"")</f>
        <v/>
      </c>
      <c r="F3" t="str">
        <f>IFERROR(VLOOKUP(Table1824[[#This Row],[BKK]]&amp;TRIM(RIGHT(SUBSTITUTE(TRIM(Table1824[[#Headers],[Uraian a]])," ",REPT(" ",255)),255)),'Un nOTA'!$D$4:$J$1004,2,FALSE),"")</f>
        <v/>
      </c>
      <c r="G3" t="str">
        <f>IFERROR(VLOOKUP(Table1824[[#This Row],[BKK]]&amp;TRIM(RIGHT(SUBSTITUTE(TRIM(Table1824[[#Headers],[Uraian aa]])," ",REPT(" ",255)),255)),'Un nOTA'!$D$4:$J$1004,2,FALSE),"")</f>
        <v/>
      </c>
      <c r="H3" t="str">
        <f>IFERROR(VLOOKUP(Table1824[[#This Row],[BKK]]&amp;TRIM(RIGHT(SUBSTITUTE(TRIM(Table1824[[#Headers],[Uraian aaa]])," ",REPT(" ",255)),255)),'Un nOTA'!$D$4:$J$1004,2,FALSE),"")</f>
        <v/>
      </c>
      <c r="I3" t="str">
        <f>IFERROR(VLOOKUP(Table1824[[#This Row],[BKK]]&amp;TRIM(RIGHT(SUBSTITUTE(TRIM(Table1824[[#Headers],[Uraian aaaa]])," ",REPT(" ",255)),255)),'Un nOTA'!$D$4:$J$1004,2,FALSE),"")</f>
        <v/>
      </c>
      <c r="J3" t="str">
        <f>IFERROR(VLOOKUP(Table1824[[#This Row],[BKK]]&amp;TRIM(RIGHT(SUBSTITUTE(TRIM(Table1824[[#Headers],[Uraian aaaaa]])," ",REPT(" ",255)),255)),'Un nOTA'!$D$4:$J$1004,2,FALSE),"")</f>
        <v/>
      </c>
      <c r="K3" t="str">
        <f>IFERROR(VLOOKUP(Table1824[[#This Row],[BKK]]&amp;TRIM(RIGHT(SUBSTITUTE(TRIM(Table1824[[#Headers],[Uraian aaaaaa]])," ",REPT(" ",255)),255)),'Un nOTA'!$D$4:$J$1004,2,FALSE),"")</f>
        <v/>
      </c>
      <c r="L3" t="str">
        <f>IFERROR(VLOOKUP(Table1824[[#This Row],[BKK]]&amp;TRIM(RIGHT(SUBSTITUTE(TRIM(Table1824[[#Headers],[Uraian aaaaaaa]])," ",REPT(" ",255)),255)),'Un nOTA'!$D$4:$J$1004,2,FALSE),"")</f>
        <v/>
      </c>
      <c r="M3" t="str">
        <f>IFERROR(VLOOKUP(Table1824[[#This Row],[BKK]]&amp;TRIM(RIGHT(SUBSTITUTE(TRIM(Table1824[[#Headers],[Uraian aaaaaaaa]])," ",REPT(" ",255)),255)),'Un nOTA'!$D$4:$J$1004,2,FALSE),"")</f>
        <v/>
      </c>
      <c r="N3" t="str">
        <f>IFERROR(VLOOKUP(Table1824[[#This Row],[BKK]]&amp;TRIM(RIGHT(SUBSTITUTE(TRIM(Table1824[[#Headers],[Uraian aaaaaaaaa]])," ",REPT(" ",255)),255)),'Un nOTA'!$D$4:$J$1004,2,FALSE),"")</f>
        <v/>
      </c>
      <c r="O3" t="str">
        <f>IFERROR(VLOOKUP(Table1824[[#This Row],[BKK]]&amp;TRIM(RIGHT(SUBSTITUTE(TRIM(Table1824[[#Headers],[Uraian aaaaaaaaaa]])," ",REPT(" ",255)),255)),'Un nOTA'!$D$4:$J$1004,2,FALSE),"")</f>
        <v/>
      </c>
      <c r="P3" t="str">
        <f>IFERROR(VLOOKUP(Table1824[[#This Row],[BKK]]&amp;TRIM(RIGHT(SUBSTITUTE(TRIM(Table1824[[#Headers],[Uraian aaaaaaaaaaa]])," ",REPT(" ",255)),255)),'Un nOTA'!$D$4:$J$1004,2,FALSE),"")</f>
        <v/>
      </c>
      <c r="Q3" t="str">
        <f>IFERROR(VLOOKUP(Table1824[[#This Row],[BKK]]&amp;TRIM(RIGHT(SUBSTITUTE(TRIM(Table1824[[#Headers],[Uraian aaaaaaaaaaaa]])," ",REPT(" ",255)),255)),'Un nOTA'!$D$4:$J$1004,2,FALSE),"")</f>
        <v/>
      </c>
      <c r="R3" s="32" t="str">
        <f>IFERROR(VLOOKUP(Table1824[[#This Row],[BKK]],'Un nOTA'!$D$4:$J$1004,3,FALSE),"")</f>
        <v/>
      </c>
      <c r="S3" s="32" t="str">
        <f>IFERROR(VLOOKUP(Table1824[[#This Row],[BKK]]&amp;TRIM(RIGHT(SUBSTITUTE(TRIM(Table1824[[#Headers],[Uraian a]])," ",REPT(" ",255)),255)),'Un nOTA'!$D$4:$J$1004,3,FALSE),"")</f>
        <v/>
      </c>
      <c r="T3" s="32" t="str">
        <f>IFERROR(VLOOKUP(Table1824[[#This Row],[BKK]]&amp;TRIM(RIGHT(SUBSTITUTE(TRIM(Table1824[[#Headers],[Uraian aa]])," ",REPT(" ",255)),255)),'Un nOTA'!$D$4:$J$1004,3,FALSE),"")</f>
        <v/>
      </c>
      <c r="U3" s="32" t="str">
        <f>IFERROR(VLOOKUP(Table1824[[#This Row],[BKK]]&amp;TRIM(RIGHT(SUBSTITUTE(TRIM(Table1824[[#Headers],[Uraian aaa]])," ",REPT(" ",255)),255)),'Un nOTA'!$D$4:$J$1004,3,FALSE),"")</f>
        <v/>
      </c>
      <c r="V3" s="32" t="str">
        <f>IFERROR(VLOOKUP(Table1824[[#This Row],[BKK]]&amp;TRIM(RIGHT(SUBSTITUTE(TRIM(Table1824[[#Headers],[Uraian aaaa]])," ",REPT(" ",255)),255)),'Un nOTA'!$D$4:$J$1004,3,FALSE),"")</f>
        <v/>
      </c>
      <c r="W3" s="32" t="str">
        <f>IFERROR(VLOOKUP(Table1824[[#This Row],[BKK]]&amp;TRIM(RIGHT(SUBSTITUTE(TRIM(Table1824[[#Headers],[Uraian aaaaa]])," ",REPT(" ",255)),255)),'Un nOTA'!$D$4:$J$1004,3,FALSE),"")</f>
        <v/>
      </c>
      <c r="X3" s="32" t="str">
        <f>IFERROR(VLOOKUP(Table1824[[#This Row],[BKK]]&amp;TRIM(RIGHT(SUBSTITUTE(TRIM(Table1824[[#Headers],[Uraian aaaaaa]])," ",REPT(" ",255)),255)),'Un nOTA'!$D$4:$J$1004,3,FALSE),"")</f>
        <v/>
      </c>
      <c r="Y3" s="32" t="str">
        <f>IFERROR(VLOOKUP(Table1824[[#This Row],[BKK]]&amp;TRIM(RIGHT(SUBSTITUTE(TRIM(Table1824[[#Headers],[Uraian aaaaaaa]])," ",REPT(" ",255)),255)),'Un nOTA'!$D$4:$J$1004,3,FALSE),"")</f>
        <v/>
      </c>
      <c r="Z3" s="32" t="str">
        <f>IFERROR(VLOOKUP(Table1824[[#This Row],[BKK]]&amp;TRIM(RIGHT(SUBSTITUTE(TRIM(Table1824[[#Headers],[Uraian aaaaaaaa]])," ",REPT(" ",255)),255)),'Un nOTA'!$D$4:$J$1004,3,FALSE),"")</f>
        <v/>
      </c>
      <c r="AA3" s="32" t="str">
        <f>IFERROR(VLOOKUP(Table1824[[#This Row],[BKK]]&amp;TRIM(RIGHT(SUBSTITUTE(TRIM(Table1824[[#Headers],[Uraian aaaaaaaaa]])," ",REPT(" ",255)),255)),'Un nOTA'!$D$4:$J$1004,3,FALSE),"")</f>
        <v/>
      </c>
      <c r="AB3" s="32" t="str">
        <f>IFERROR(VLOOKUP(Table1824[[#This Row],[BKK]]&amp;TRIM(RIGHT(SUBSTITUTE(TRIM(Table1824[[#Headers],[Uraian aaaaaaaaaa]])," ",REPT(" ",255)),255)),'Un nOTA'!$D$4:$J$1004,3,FALSE),"")</f>
        <v/>
      </c>
      <c r="AC3" s="32" t="str">
        <f>IFERROR(VLOOKUP(Table1824[[#This Row],[BKK]]&amp;TRIM(RIGHT(SUBSTITUTE(TRIM(Table1824[[#Headers],[Uraian aaaaaaaaaaa]])," ",REPT(" ",255)),255)),'Un nOTA'!$D$4:$J$1004,3,FALSE),"")</f>
        <v/>
      </c>
      <c r="AD3" s="32" t="str">
        <f>IFERROR(VLOOKUP(Table1824[[#This Row],[BKK]]&amp;TRIM(RIGHT(SUBSTITUTE(TRIM(Table1824[[#Headers],[Uraian aaaaaaaaaaaa]])," ",REPT(" ",255)),255)),'Un nOTA'!$D$4:$J$1004,3,FALSE),"")</f>
        <v/>
      </c>
      <c r="AE3" s="8" t="str">
        <f>IFERROR(VLOOKUP(Table1824[[#This Row],[BKK]],'Un nOTA'!$D$4:$J$1004,4,FALSE),"")</f>
        <v/>
      </c>
      <c r="AF3" s="8" t="str">
        <f>IFERROR(VLOOKUP(Table1824[[#This Row],[BKK]]&amp;TRIM(RIGHT(SUBSTITUTE(TRIM(Table1824[[#Headers],[Uraian a]])," ",REPT(" ",255)),255)),'Un nOTA'!$D$4:$J$1004,4,FALSE),"")</f>
        <v/>
      </c>
      <c r="AG3" s="8" t="str">
        <f>IFERROR(VLOOKUP(Table1824[[#This Row],[BKK]]&amp;TRIM(RIGHT(SUBSTITUTE(TRIM(Table1824[[#Headers],[Uraian aa]])," ",REPT(" ",255)),255)),'Un nOTA'!$D$4:$J$1004,4,FALSE),"")</f>
        <v/>
      </c>
      <c r="AH3" s="8" t="str">
        <f>IFERROR(VLOOKUP(Table1824[[#This Row],[BKK]]&amp;TRIM(RIGHT(SUBSTITUTE(TRIM(Table1824[[#Headers],[Uraian aaa]])," ",REPT(" ",255)),255)),'Un nOTA'!$D$4:$J$1004,4,FALSE),"")</f>
        <v/>
      </c>
      <c r="AI3" s="8" t="str">
        <f>IFERROR(VLOOKUP(Table1824[[#This Row],[BKK]]&amp;TRIM(RIGHT(SUBSTITUTE(TRIM(Table1824[[#Headers],[Uraian aaaa]])," ",REPT(" ",255)),255)),'Un nOTA'!$D$4:$J$1004,4,FALSE),"")</f>
        <v/>
      </c>
      <c r="AJ3" s="8" t="str">
        <f>IFERROR(VLOOKUP(Table1824[[#This Row],[BKK]]&amp;TRIM(RIGHT(SUBSTITUTE(TRIM(Table1824[[#Headers],[Uraian aaaaa]])," ",REPT(" ",255)),255)),'Un nOTA'!$D$4:$J$1004,4,FALSE),"")</f>
        <v/>
      </c>
      <c r="AK3" s="8" t="str">
        <f>IFERROR(VLOOKUP(Table1824[[#This Row],[BKK]]&amp;TRIM(RIGHT(SUBSTITUTE(TRIM(Table1824[[#Headers],[Uraian aaaaaa]])," ",REPT(" ",255)),255)),'Un nOTA'!$D$4:$J$1004,4,FALSE),"")</f>
        <v/>
      </c>
      <c r="AL3" s="8" t="str">
        <f>IFERROR(VLOOKUP(Table1824[[#This Row],[BKK]]&amp;TRIM(RIGHT(SUBSTITUTE(TRIM(Table1824[[#Headers],[Uraian aaaaaaa]])," ",REPT(" ",255)),255)),'Un nOTA'!$D$4:$J$1004,4,FALSE),"")</f>
        <v/>
      </c>
      <c r="AM3" s="8" t="str">
        <f>IFERROR(VLOOKUP(Table1824[[#This Row],[BKK]]&amp;TRIM(RIGHT(SUBSTITUTE(TRIM(Table1824[[#Headers],[Uraian aaaaaaaa]])," ",REPT(" ",255)),255)),'Un nOTA'!$D$4:$J$1004,4,FALSE),"")</f>
        <v/>
      </c>
      <c r="AN3" s="8" t="str">
        <f>IFERROR(VLOOKUP(Table1824[[#This Row],[BKK]]&amp;TRIM(RIGHT(SUBSTITUTE(TRIM(Table1824[[#Headers],[Uraian aaaaaaaaa]])," ",REPT(" ",255)),255)),'Un nOTA'!$D$4:$J$1004,4,FALSE),"")</f>
        <v/>
      </c>
      <c r="AO3" s="8" t="str">
        <f>IFERROR(VLOOKUP(Table1824[[#This Row],[BKK]]&amp;TRIM(RIGHT(SUBSTITUTE(TRIM(Table1824[[#Headers],[Uraian aaaaaaaaaa]])," ",REPT(" ",255)),255)),'Un nOTA'!$D$4:$J$1004,4,FALSE),"")</f>
        <v/>
      </c>
      <c r="AP3" s="8" t="str">
        <f>IFERROR(VLOOKUP(Table1824[[#This Row],[BKK]]&amp;TRIM(RIGHT(SUBSTITUTE(TRIM(Table1824[[#Headers],[Uraian aaaaaaaaaaa]])," ",REPT(" ",255)),255)),'Un nOTA'!$D$4:$J$1004,4,FALSE),"")</f>
        <v/>
      </c>
      <c r="AQ3" s="8" t="str">
        <f>IFERROR(VLOOKUP(Table1824[[#This Row],[BKK]]&amp;TRIM(RIGHT(SUBSTITUTE(TRIM(Table1824[[#Headers],[Uraian aaaaaaaaaaaa]])," ",REPT(" ",255)),255)),'Un nOTA'!$D$4:$J$1004,4,FALSE),"")</f>
        <v/>
      </c>
      <c r="AR3" s="8" t="str">
        <f>IFERROR((IFERROR(VLOOKUP(Table1824[[#This Row],[BKK]],'Un nOTA'!$D$4:$J$1004,5,FALSE),""))*(10/11),"")</f>
        <v/>
      </c>
      <c r="AS3" s="8" t="str">
        <f>IFERROR((IFERROR(VLOOKUP(Table1824[[#This Row],[BKK]]&amp;TRIM(RIGHT(SUBSTITUTE(TRIM(Table1824[[#Headers],[Uraian a]])," ",REPT(" ",255)),255)),'Un nOTA'!$D$4:$J$1004,5,FALSE),"")*(10/11)),"")</f>
        <v/>
      </c>
      <c r="AT3" s="8" t="str">
        <f>IFERROR((IFERROR(VLOOKUP(Table1824[[#This Row],[BKK]]&amp;TRIM(RIGHT(SUBSTITUTE(TRIM(Table1824[[#Headers],[Uraian aa]])," ",REPT(" ",255)),255)),'Un nOTA'!$D$4:$J$1004,5,FALSE),"")*(10/11)),"")</f>
        <v/>
      </c>
      <c r="AU3" s="8" t="str">
        <f>IFERROR((IFERROR(VLOOKUP(Table1824[[#This Row],[BKK]]&amp;TRIM(RIGHT(SUBSTITUTE(TRIM(Table1824[[#Headers],[Uraian aaa]])," ",REPT(" ",255)),255)),'Un nOTA'!$D$4:$J$1004,5,FALSE),"")*(10/11)),"")</f>
        <v/>
      </c>
      <c r="AV3" s="8" t="str">
        <f>IFERROR((IFERROR(VLOOKUP(Table1824[[#This Row],[BKK]]&amp;TRIM(RIGHT(SUBSTITUTE(TRIM(Table1824[[#Headers],[Uraian aaaa]])," ",REPT(" ",255)),255)),'Un nOTA'!$D$4:$J$1004,5,FALSE),"")*(10/11)),"")</f>
        <v/>
      </c>
      <c r="AW3" s="8" t="str">
        <f>IFERROR((IFERROR(VLOOKUP(Table1824[[#This Row],[BKK]]&amp;TRIM(RIGHT(SUBSTITUTE(TRIM(Table1824[[#Headers],[Uraian aaaaa]])," ",REPT(" ",255)),255)),'Un nOTA'!$D$4:$J$1004,5,FALSE),"")*(10/11)),"")</f>
        <v/>
      </c>
      <c r="AX3" s="8" t="str">
        <f>IFERROR((IFERROR(VLOOKUP(Table1824[[#This Row],[BKK]]&amp;TRIM(RIGHT(SUBSTITUTE(TRIM(Table1824[[#Headers],[Uraian aaaaaa]])," ",REPT(" ",255)),255)),'Un nOTA'!$D$4:$J$1004,5,FALSE),"")*(10/11)),"")</f>
        <v/>
      </c>
      <c r="AY3" s="8" t="str">
        <f>IFERROR((IFERROR(VLOOKUP(Table1824[[#This Row],[BKK]]&amp;TRIM(RIGHT(SUBSTITUTE(TRIM(Table1824[[#Headers],[Uraian aaaaaaa]])," ",REPT(" ",255)),255)),'Un nOTA'!$D$4:$J$1004,5,FALSE),"")*(10/11)),"")</f>
        <v/>
      </c>
      <c r="AZ3" s="8" t="str">
        <f>IFERROR((IFERROR(VLOOKUP(Table1824[[#This Row],[BKK]]&amp;TRIM(RIGHT(SUBSTITUTE(TRIM(Table1824[[#Headers],[Uraian aaaaaaaa]])," ",REPT(" ",255)),255)),'Un nOTA'!$D$4:$J$1004,5,FALSE),"")*(10/11)),"")</f>
        <v/>
      </c>
      <c r="BA3" s="8" t="str">
        <f>IFERROR((IFERROR(VLOOKUP(Table1824[[#This Row],[BKK]]&amp;TRIM(RIGHT(SUBSTITUTE(TRIM(Table1824[[#Headers],[Uraian aaaaaaaaa]])," ",REPT(" ",255)),255)),'Un nOTA'!$D$4:$J$1004,5,FALSE),"")*(10/11)),"")</f>
        <v/>
      </c>
      <c r="BB3" s="8" t="str">
        <f>IFERROR((IFERROR(VLOOKUP(Table1824[[#This Row],[BKK]]&amp;TRIM(RIGHT(SUBSTITUTE(TRIM(Table1824[[#Headers],[Uraian aaaaaaaaaa]])," ",REPT(" ",255)),255)),'Un nOTA'!$D$4:$J$1004,5,FALSE),"")*(10/11)),"")</f>
        <v/>
      </c>
      <c r="BC3" s="8" t="str">
        <f>IFERROR((IFERROR(VLOOKUP(Table1824[[#This Row],[BKK]]&amp;TRIM(RIGHT(SUBSTITUTE(TRIM(Table1824[[#Headers],[Uraian aaaaaaaaaaa]])," ",REPT(" ",255)),255)),'Un nOTA'!$D$4:$J$1004,5,FALSE),"")*(10/11)),"")</f>
        <v/>
      </c>
      <c r="BD3" s="8" t="str">
        <f>IFERROR((IFERROR(VLOOKUP(Table1824[[#This Row],[BKK]]&amp;TRIM(RIGHT(SUBSTITUTE(TRIM(Table1824[[#Headers],[Uraian aaaaaaaaaaaa]])," ",REPT(" ",255)),255)),'Un nOTA'!$D$4:$J$1004,5,FALSE),"")*(10/11)),"")</f>
        <v/>
      </c>
      <c r="BE3" s="23" t="str">
        <f>IFERROR(ROUNDUP((Table1824[[#This Row],[Qty]]*Table1824[[#This Row],[Hrg St]]),0),"")</f>
        <v/>
      </c>
      <c r="BF3" s="8" t="str">
        <f>IFERROR(ROUNDUP((Table1824[[#This Row],[Qty2]]*Table1824[[#This Row],[Hrg St2]]),0),"")</f>
        <v/>
      </c>
      <c r="BG3" s="8" t="str">
        <f>IFERROR(ROUNDUP((Table1824[[#This Row],[Qty3]]*Table1824[[#This Row],[Hrg St3]]),0),"")</f>
        <v/>
      </c>
      <c r="BH3" s="8" t="str">
        <f>IFERROR(ROUNDUP((Table1824[[#This Row],[Qty4]]*Table1824[[#This Row],[Hrg St4]]),0),"")</f>
        <v/>
      </c>
      <c r="BI3" s="8" t="str">
        <f>IFERROR(ROUNDUP((Table1824[[#This Row],[Qty5]]*Table1824[[#This Row],[Hrg St5]]),0),"")</f>
        <v/>
      </c>
      <c r="BJ3" s="8" t="str">
        <f>IFERROR(ROUNDUP((Table1824[[#This Row],[Qty6]]*Table1824[[#This Row],[Hrg St6]]),0),"")</f>
        <v/>
      </c>
      <c r="BK3" s="8" t="str">
        <f>IFERROR(ROUNDUP((Table1824[[#This Row],[Qty7]]*Table1824[[#This Row],[Hrg St7]]),0),"")</f>
        <v/>
      </c>
      <c r="BL3" s="8" t="str">
        <f>IFERROR(ROUNDUP((Table1824[[#This Row],[Qty8]]*Table1824[[#This Row],[Hrg St8]]),0),"")</f>
        <v/>
      </c>
      <c r="BM3" s="8" t="str">
        <f>IFERROR(ROUNDUP((Table1824[[#This Row],[Qty9]]*Table1824[[#This Row],[Hrg St9]]),0),"")</f>
        <v/>
      </c>
      <c r="BN3" s="8" t="str">
        <f>IFERROR(ROUNDUP((Table1824[[#This Row],[Qty10]]*Table1824[[#This Row],[Hrg St10]]),0),"")</f>
        <v/>
      </c>
      <c r="BO3" s="8" t="str">
        <f>IFERROR(ROUNDUP((Table1824[[#This Row],[Qty11]]*Table1824[[#This Row],[Hrg St11]]),0),"")</f>
        <v/>
      </c>
      <c r="BP3" s="8" t="str">
        <f>IFERROR(ROUNDUP((Table1824[[#This Row],[Qty12]]*Table1824[[#This Row],[Hrg St12]]),0),"")</f>
        <v/>
      </c>
      <c r="BQ3" s="8" t="str">
        <f>IFERROR(ROUNDUP((Table1824[[#This Row],[Qty13]]*Table1824[[#This Row],[Hrg St13]]),0),"")</f>
        <v/>
      </c>
      <c r="BR3" s="23" t="str">
        <f>IF(Table1824[[#This Row],[BKK]]&gt;" ",IFERROR(ROUNDUP((SUM(Table1824[[#This Row],[Jml]:[Jml13]])),0)," ")," ")</f>
        <v xml:space="preserve"> </v>
      </c>
      <c r="BS3" s="23" t="str">
        <f>IF(Table1824[[#This Row],[BKK]]&gt;" ",ROUND((Table1824[[#This Row],[Total]]*0.1),0)," ")</f>
        <v xml:space="preserve"> </v>
      </c>
      <c r="BT3" s="23" t="str">
        <f>IF(Table1824[[#This Row],[BKK]]&gt;" ",(Table1824[[#This Row],[Total]]+Table1824[[#This Row],[PPN]])," ")</f>
        <v xml:space="preserve"> </v>
      </c>
      <c r="BU3" t="s">
        <v>454</v>
      </c>
      <c r="BV3" t="str">
        <f>IF(Table1824[[#This Row],[BKK]]&gt;" ",("INV/AK-MLG/2019/"&amp;'BKU 1'!$E$1&amp;"/"&amp;Table1824[[#This Row],[BKK]]&amp;"/"&amp;'BKU 1'!$E$1&amp;ROW())," ")</f>
        <v xml:space="preserve"> </v>
      </c>
      <c r="BW3" t="str">
        <f>IF(Table1824[[#This Row],[BKK]]&gt;" ",(TEXT(VLOOKUP(Table1824[[#This Row],[BKK]],COPY!$O$2:$U$1000,7,FALSE),"dd mmmm yyyy"))," ")</f>
        <v xml:space="preserve"> </v>
      </c>
      <c r="BX3" t="str">
        <f>IF(Table1824[[#This Row],[BKK]]&gt;" ",(TEXT((Table1824[[#This Row],[Tanggal Kirim]]+30),"dd mmmm yyyy"))," ")</f>
        <v xml:space="preserve"> </v>
      </c>
      <c r="BY3" t="str">
        <f>IF(Table1824[[#This Row],[BKK]]&gt;" ",'BKU 1'!$E$17," ")</f>
        <v xml:space="preserve"> </v>
      </c>
    </row>
    <row r="4" spans="1:77" x14ac:dyDescent="0.25">
      <c r="A4" t="str">
        <f>IFERROR((IF('Laporan ppn'!G6791&gt;0,VLOOKUP('Laporan ppn'!G6791,'Laporan ppn'!$E$10:$F$6785,2,FALSE),"")),"")</f>
        <v xml:space="preserve"> </v>
      </c>
      <c r="B4" t="str">
        <f>IF(Table1824[[#This Row],[BKK]]=" "," ",'BKU 1'!$D$25)</f>
        <v xml:space="preserve"> </v>
      </c>
      <c r="C4" t="str">
        <f>IF(Table1824[[#This Row],[BKK]]=" "," ",'BKU 1'!$D$26)</f>
        <v xml:space="preserve"> </v>
      </c>
      <c r="D4" t="str">
        <f>IF(Table1824[[#This Row],[BKK]]=" "," ",'BKU 1'!$I$25)</f>
        <v xml:space="preserve"> </v>
      </c>
      <c r="E4" t="str">
        <f>IFERROR(VLOOKUP(Table1824[[#This Row],[BKK]],'Un nOTA'!$D$4:$J$1004,2,FALSE),"")</f>
        <v/>
      </c>
      <c r="F4" t="str">
        <f>IFERROR(VLOOKUP(Table1824[[#This Row],[BKK]]&amp;TRIM(RIGHT(SUBSTITUTE(TRIM(Table1824[[#Headers],[Uraian a]])," ",REPT(" ",255)),255)),'Un nOTA'!$D$4:$J$1004,2,FALSE),"")</f>
        <v/>
      </c>
      <c r="G4" t="str">
        <f>IFERROR(VLOOKUP(Table1824[[#This Row],[BKK]]&amp;TRIM(RIGHT(SUBSTITUTE(TRIM(Table1824[[#Headers],[Uraian aa]])," ",REPT(" ",255)),255)),'Un nOTA'!$D$4:$J$1004,2,FALSE),"")</f>
        <v/>
      </c>
      <c r="H4" t="str">
        <f>IFERROR(VLOOKUP(Table1824[[#This Row],[BKK]]&amp;TRIM(RIGHT(SUBSTITUTE(TRIM(Table1824[[#Headers],[Uraian aaa]])," ",REPT(" ",255)),255)),'Un nOTA'!$D$4:$J$1004,2,FALSE),"")</f>
        <v/>
      </c>
      <c r="I4" t="str">
        <f>IFERROR(VLOOKUP(Table1824[[#This Row],[BKK]]&amp;TRIM(RIGHT(SUBSTITUTE(TRIM(Table1824[[#Headers],[Uraian aaaa]])," ",REPT(" ",255)),255)),'Un nOTA'!$D$4:$J$1004,2,FALSE),"")</f>
        <v/>
      </c>
      <c r="J4" t="str">
        <f>IFERROR(VLOOKUP(Table1824[[#This Row],[BKK]]&amp;TRIM(RIGHT(SUBSTITUTE(TRIM(Table1824[[#Headers],[Uraian aaaaa]])," ",REPT(" ",255)),255)),'Un nOTA'!$D$4:$J$1004,2,FALSE),"")</f>
        <v/>
      </c>
      <c r="K4" t="str">
        <f>IFERROR(VLOOKUP(Table1824[[#This Row],[BKK]]&amp;TRIM(RIGHT(SUBSTITUTE(TRIM(Table1824[[#Headers],[Uraian aaaaaa]])," ",REPT(" ",255)),255)),'Un nOTA'!$D$4:$J$1004,2,FALSE),"")</f>
        <v/>
      </c>
      <c r="L4" t="str">
        <f>IFERROR(VLOOKUP(Table1824[[#This Row],[BKK]]&amp;TRIM(RIGHT(SUBSTITUTE(TRIM(Table1824[[#Headers],[Uraian aaaaaaa]])," ",REPT(" ",255)),255)),'Un nOTA'!$D$4:$J$1004,2,FALSE),"")</f>
        <v/>
      </c>
      <c r="M4" t="str">
        <f>IFERROR(VLOOKUP(Table1824[[#This Row],[BKK]]&amp;TRIM(RIGHT(SUBSTITUTE(TRIM(Table1824[[#Headers],[Uraian aaaaaaaa]])," ",REPT(" ",255)),255)),'Un nOTA'!$D$4:$J$1004,2,FALSE),"")</f>
        <v/>
      </c>
      <c r="N4" t="str">
        <f>IFERROR(VLOOKUP(Table1824[[#This Row],[BKK]]&amp;TRIM(RIGHT(SUBSTITUTE(TRIM(Table1824[[#Headers],[Uraian aaaaaaaaa]])," ",REPT(" ",255)),255)),'Un nOTA'!$D$4:$J$1004,2,FALSE),"")</f>
        <v/>
      </c>
      <c r="O4" t="str">
        <f>IFERROR(VLOOKUP(Table1824[[#This Row],[BKK]]&amp;TRIM(RIGHT(SUBSTITUTE(TRIM(Table1824[[#Headers],[Uraian aaaaaaaaaa]])," ",REPT(" ",255)),255)),'Un nOTA'!$D$4:$J$1004,2,FALSE),"")</f>
        <v/>
      </c>
      <c r="P4" t="str">
        <f>IFERROR(VLOOKUP(Table1824[[#This Row],[BKK]]&amp;TRIM(RIGHT(SUBSTITUTE(TRIM(Table1824[[#Headers],[Uraian aaaaaaaaaaa]])," ",REPT(" ",255)),255)),'Un nOTA'!$D$4:$J$1004,2,FALSE),"")</f>
        <v/>
      </c>
      <c r="Q4" t="str">
        <f>IFERROR(VLOOKUP(Table1824[[#This Row],[BKK]]&amp;TRIM(RIGHT(SUBSTITUTE(TRIM(Table1824[[#Headers],[Uraian aaaaaaaaaaaa]])," ",REPT(" ",255)),255)),'Un nOTA'!$D$4:$J$1004,2,FALSE),"")</f>
        <v/>
      </c>
      <c r="R4" s="32" t="str">
        <f>IFERROR(VLOOKUP(Table1824[[#This Row],[BKK]],'Un nOTA'!$D$4:$J$1004,3,FALSE),"")</f>
        <v/>
      </c>
      <c r="S4" s="32" t="str">
        <f>IFERROR(VLOOKUP(Table1824[[#This Row],[BKK]]&amp;TRIM(RIGHT(SUBSTITUTE(TRIM(Table1824[[#Headers],[Uraian a]])," ",REPT(" ",255)),255)),'Un nOTA'!$D$4:$J$1004,3,FALSE),"")</f>
        <v/>
      </c>
      <c r="T4" s="32" t="str">
        <f>IFERROR(VLOOKUP(Table1824[[#This Row],[BKK]]&amp;TRIM(RIGHT(SUBSTITUTE(TRIM(Table1824[[#Headers],[Uraian aa]])," ",REPT(" ",255)),255)),'Un nOTA'!$D$4:$J$1004,3,FALSE),"")</f>
        <v/>
      </c>
      <c r="U4" s="32" t="str">
        <f>IFERROR(VLOOKUP(Table1824[[#This Row],[BKK]]&amp;TRIM(RIGHT(SUBSTITUTE(TRIM(Table1824[[#Headers],[Uraian aaa]])," ",REPT(" ",255)),255)),'Un nOTA'!$D$4:$J$1004,3,FALSE),"")</f>
        <v/>
      </c>
      <c r="V4" s="32" t="str">
        <f>IFERROR(VLOOKUP(Table1824[[#This Row],[BKK]]&amp;TRIM(RIGHT(SUBSTITUTE(TRIM(Table1824[[#Headers],[Uraian aaaa]])," ",REPT(" ",255)),255)),'Un nOTA'!$D$4:$J$1004,3,FALSE),"")</f>
        <v/>
      </c>
      <c r="W4" s="32" t="str">
        <f>IFERROR(VLOOKUP(Table1824[[#This Row],[BKK]]&amp;TRIM(RIGHT(SUBSTITUTE(TRIM(Table1824[[#Headers],[Uraian aaaaa]])," ",REPT(" ",255)),255)),'Un nOTA'!$D$4:$J$1004,3,FALSE),"")</f>
        <v/>
      </c>
      <c r="X4" s="32" t="str">
        <f>IFERROR(VLOOKUP(Table1824[[#This Row],[BKK]]&amp;TRIM(RIGHT(SUBSTITUTE(TRIM(Table1824[[#Headers],[Uraian aaaaaa]])," ",REPT(" ",255)),255)),'Un nOTA'!$D$4:$J$1004,3,FALSE),"")</f>
        <v/>
      </c>
      <c r="Y4" s="32" t="str">
        <f>IFERROR(VLOOKUP(Table1824[[#This Row],[BKK]]&amp;TRIM(RIGHT(SUBSTITUTE(TRIM(Table1824[[#Headers],[Uraian aaaaaaa]])," ",REPT(" ",255)),255)),'Un nOTA'!$D$4:$J$1004,3,FALSE),"")</f>
        <v/>
      </c>
      <c r="Z4" s="32" t="str">
        <f>IFERROR(VLOOKUP(Table1824[[#This Row],[BKK]]&amp;TRIM(RIGHT(SUBSTITUTE(TRIM(Table1824[[#Headers],[Uraian aaaaaaaa]])," ",REPT(" ",255)),255)),'Un nOTA'!$D$4:$J$1004,3,FALSE),"")</f>
        <v/>
      </c>
      <c r="AA4" s="32" t="str">
        <f>IFERROR(VLOOKUP(Table1824[[#This Row],[BKK]]&amp;TRIM(RIGHT(SUBSTITUTE(TRIM(Table1824[[#Headers],[Uraian aaaaaaaaa]])," ",REPT(" ",255)),255)),'Un nOTA'!$D$4:$J$1004,3,FALSE),"")</f>
        <v/>
      </c>
      <c r="AB4" s="32" t="str">
        <f>IFERROR(VLOOKUP(Table1824[[#This Row],[BKK]]&amp;TRIM(RIGHT(SUBSTITUTE(TRIM(Table1824[[#Headers],[Uraian aaaaaaaaaa]])," ",REPT(" ",255)),255)),'Un nOTA'!$D$4:$J$1004,3,FALSE),"")</f>
        <v/>
      </c>
      <c r="AC4" s="32" t="str">
        <f>IFERROR(VLOOKUP(Table1824[[#This Row],[BKK]]&amp;TRIM(RIGHT(SUBSTITUTE(TRIM(Table1824[[#Headers],[Uraian aaaaaaaaaaa]])," ",REPT(" ",255)),255)),'Un nOTA'!$D$4:$J$1004,3,FALSE),"")</f>
        <v/>
      </c>
      <c r="AD4" s="32" t="str">
        <f>IFERROR(VLOOKUP(Table1824[[#This Row],[BKK]]&amp;TRIM(RIGHT(SUBSTITUTE(TRIM(Table1824[[#Headers],[Uraian aaaaaaaaaaaa]])," ",REPT(" ",255)),255)),'Un nOTA'!$D$4:$J$1004,3,FALSE),"")</f>
        <v/>
      </c>
      <c r="AE4" s="8" t="str">
        <f>IFERROR(VLOOKUP(Table1824[[#This Row],[BKK]],'Un nOTA'!$D$4:$J$1004,4,FALSE),"")</f>
        <v/>
      </c>
      <c r="AF4" s="8" t="str">
        <f>IFERROR(VLOOKUP(Table1824[[#This Row],[BKK]]&amp;TRIM(RIGHT(SUBSTITUTE(TRIM(Table1824[[#Headers],[Uraian a]])," ",REPT(" ",255)),255)),'Un nOTA'!$D$4:$J$1004,4,FALSE),"")</f>
        <v/>
      </c>
      <c r="AG4" s="8" t="str">
        <f>IFERROR(VLOOKUP(Table1824[[#This Row],[BKK]]&amp;TRIM(RIGHT(SUBSTITUTE(TRIM(Table1824[[#Headers],[Uraian aa]])," ",REPT(" ",255)),255)),'Un nOTA'!$D$4:$J$1004,4,FALSE),"")</f>
        <v/>
      </c>
      <c r="AH4" s="8" t="str">
        <f>IFERROR(VLOOKUP(Table1824[[#This Row],[BKK]]&amp;TRIM(RIGHT(SUBSTITUTE(TRIM(Table1824[[#Headers],[Uraian aaa]])," ",REPT(" ",255)),255)),'Un nOTA'!$D$4:$J$1004,4,FALSE),"")</f>
        <v/>
      </c>
      <c r="AI4" s="8" t="str">
        <f>IFERROR(VLOOKUP(Table1824[[#This Row],[BKK]]&amp;TRIM(RIGHT(SUBSTITUTE(TRIM(Table1824[[#Headers],[Uraian aaaa]])," ",REPT(" ",255)),255)),'Un nOTA'!$D$4:$J$1004,4,FALSE),"")</f>
        <v/>
      </c>
      <c r="AJ4" s="8" t="str">
        <f>IFERROR(VLOOKUP(Table1824[[#This Row],[BKK]]&amp;TRIM(RIGHT(SUBSTITUTE(TRIM(Table1824[[#Headers],[Uraian aaaaa]])," ",REPT(" ",255)),255)),'Un nOTA'!$D$4:$J$1004,4,FALSE),"")</f>
        <v/>
      </c>
      <c r="AK4" s="8" t="str">
        <f>IFERROR(VLOOKUP(Table1824[[#This Row],[BKK]]&amp;TRIM(RIGHT(SUBSTITUTE(TRIM(Table1824[[#Headers],[Uraian aaaaaa]])," ",REPT(" ",255)),255)),'Un nOTA'!$D$4:$J$1004,4,FALSE),"")</f>
        <v/>
      </c>
      <c r="AL4" s="8" t="str">
        <f>IFERROR(VLOOKUP(Table1824[[#This Row],[BKK]]&amp;TRIM(RIGHT(SUBSTITUTE(TRIM(Table1824[[#Headers],[Uraian aaaaaaa]])," ",REPT(" ",255)),255)),'Un nOTA'!$D$4:$J$1004,4,FALSE),"")</f>
        <v/>
      </c>
      <c r="AM4" s="8" t="str">
        <f>IFERROR(VLOOKUP(Table1824[[#This Row],[BKK]]&amp;TRIM(RIGHT(SUBSTITUTE(TRIM(Table1824[[#Headers],[Uraian aaaaaaaa]])," ",REPT(" ",255)),255)),'Un nOTA'!$D$4:$J$1004,4,FALSE),"")</f>
        <v/>
      </c>
      <c r="AN4" s="8" t="str">
        <f>IFERROR(VLOOKUP(Table1824[[#This Row],[BKK]]&amp;TRIM(RIGHT(SUBSTITUTE(TRIM(Table1824[[#Headers],[Uraian aaaaaaaaa]])," ",REPT(" ",255)),255)),'Un nOTA'!$D$4:$J$1004,4,FALSE),"")</f>
        <v/>
      </c>
      <c r="AO4" s="8" t="str">
        <f>IFERROR(VLOOKUP(Table1824[[#This Row],[BKK]]&amp;TRIM(RIGHT(SUBSTITUTE(TRIM(Table1824[[#Headers],[Uraian aaaaaaaaaa]])," ",REPT(" ",255)),255)),'Un nOTA'!$D$4:$J$1004,4,FALSE),"")</f>
        <v/>
      </c>
      <c r="AP4" s="8" t="str">
        <f>IFERROR(VLOOKUP(Table1824[[#This Row],[BKK]]&amp;TRIM(RIGHT(SUBSTITUTE(TRIM(Table1824[[#Headers],[Uraian aaaaaaaaaaa]])," ",REPT(" ",255)),255)),'Un nOTA'!$D$4:$J$1004,4,FALSE),"")</f>
        <v/>
      </c>
      <c r="AQ4" s="8" t="str">
        <f>IFERROR(VLOOKUP(Table1824[[#This Row],[BKK]]&amp;TRIM(RIGHT(SUBSTITUTE(TRIM(Table1824[[#Headers],[Uraian aaaaaaaaaaaa]])," ",REPT(" ",255)),255)),'Un nOTA'!$D$4:$J$1004,4,FALSE),"")</f>
        <v/>
      </c>
      <c r="AR4" s="8" t="str">
        <f>IFERROR((IFERROR(VLOOKUP(Table1824[[#This Row],[BKK]],'Un nOTA'!$D$4:$J$1004,5,FALSE),""))*(10/11),"")</f>
        <v/>
      </c>
      <c r="AS4" s="8" t="str">
        <f>IFERROR((IFERROR(VLOOKUP(Table1824[[#This Row],[BKK]]&amp;TRIM(RIGHT(SUBSTITUTE(TRIM(Table1824[[#Headers],[Uraian a]])," ",REPT(" ",255)),255)),'Un nOTA'!$D$4:$J$1004,5,FALSE),"")*(10/11)),"")</f>
        <v/>
      </c>
      <c r="AT4" s="8" t="str">
        <f>IFERROR((IFERROR(VLOOKUP(Table1824[[#This Row],[BKK]]&amp;TRIM(RIGHT(SUBSTITUTE(TRIM(Table1824[[#Headers],[Uraian aa]])," ",REPT(" ",255)),255)),'Un nOTA'!$D$4:$J$1004,5,FALSE),"")*(10/11)),"")</f>
        <v/>
      </c>
      <c r="AU4" s="8" t="str">
        <f>IFERROR((IFERROR(VLOOKUP(Table1824[[#This Row],[BKK]]&amp;TRIM(RIGHT(SUBSTITUTE(TRIM(Table1824[[#Headers],[Uraian aaa]])," ",REPT(" ",255)),255)),'Un nOTA'!$D$4:$J$1004,5,FALSE),"")*(10/11)),"")</f>
        <v/>
      </c>
      <c r="AV4" s="8" t="str">
        <f>IFERROR((IFERROR(VLOOKUP(Table1824[[#This Row],[BKK]]&amp;TRIM(RIGHT(SUBSTITUTE(TRIM(Table1824[[#Headers],[Uraian aaaa]])," ",REPT(" ",255)),255)),'Un nOTA'!$D$4:$J$1004,5,FALSE),"")*(10/11)),"")</f>
        <v/>
      </c>
      <c r="AW4" s="8" t="str">
        <f>IFERROR((IFERROR(VLOOKUP(Table1824[[#This Row],[BKK]]&amp;TRIM(RIGHT(SUBSTITUTE(TRIM(Table1824[[#Headers],[Uraian aaaaa]])," ",REPT(" ",255)),255)),'Un nOTA'!$D$4:$J$1004,5,FALSE),"")*(10/11)),"")</f>
        <v/>
      </c>
      <c r="AX4" s="8" t="str">
        <f>IFERROR((IFERROR(VLOOKUP(Table1824[[#This Row],[BKK]]&amp;TRIM(RIGHT(SUBSTITUTE(TRIM(Table1824[[#Headers],[Uraian aaaaaa]])," ",REPT(" ",255)),255)),'Un nOTA'!$D$4:$J$1004,5,FALSE),"")*(10/11)),"")</f>
        <v/>
      </c>
      <c r="AY4" s="8" t="str">
        <f>IFERROR((IFERROR(VLOOKUP(Table1824[[#This Row],[BKK]]&amp;TRIM(RIGHT(SUBSTITUTE(TRIM(Table1824[[#Headers],[Uraian aaaaaaa]])," ",REPT(" ",255)),255)),'Un nOTA'!$D$4:$J$1004,5,FALSE),"")*(10/11)),"")</f>
        <v/>
      </c>
      <c r="AZ4" s="8" t="str">
        <f>IFERROR((IFERROR(VLOOKUP(Table1824[[#This Row],[BKK]]&amp;TRIM(RIGHT(SUBSTITUTE(TRIM(Table1824[[#Headers],[Uraian aaaaaaaa]])," ",REPT(" ",255)),255)),'Un nOTA'!$D$4:$J$1004,5,FALSE),"")*(10/11)),"")</f>
        <v/>
      </c>
      <c r="BA4" s="8" t="str">
        <f>IFERROR((IFERROR(VLOOKUP(Table1824[[#This Row],[BKK]]&amp;TRIM(RIGHT(SUBSTITUTE(TRIM(Table1824[[#Headers],[Uraian aaaaaaaaa]])," ",REPT(" ",255)),255)),'Un nOTA'!$D$4:$J$1004,5,FALSE),"")*(10/11)),"")</f>
        <v/>
      </c>
      <c r="BB4" s="8" t="str">
        <f>IFERROR((IFERROR(VLOOKUP(Table1824[[#This Row],[BKK]]&amp;TRIM(RIGHT(SUBSTITUTE(TRIM(Table1824[[#Headers],[Uraian aaaaaaaaaa]])," ",REPT(" ",255)),255)),'Un nOTA'!$D$4:$J$1004,5,FALSE),"")*(10/11)),"")</f>
        <v/>
      </c>
      <c r="BC4" s="8" t="str">
        <f>IFERROR((IFERROR(VLOOKUP(Table1824[[#This Row],[BKK]]&amp;TRIM(RIGHT(SUBSTITUTE(TRIM(Table1824[[#Headers],[Uraian aaaaaaaaaaa]])," ",REPT(" ",255)),255)),'Un nOTA'!$D$4:$J$1004,5,FALSE),"")*(10/11)),"")</f>
        <v/>
      </c>
      <c r="BD4" s="8" t="str">
        <f>IFERROR((IFERROR(VLOOKUP(Table1824[[#This Row],[BKK]]&amp;TRIM(RIGHT(SUBSTITUTE(TRIM(Table1824[[#Headers],[Uraian aaaaaaaaaaaa]])," ",REPT(" ",255)),255)),'Un nOTA'!$D$4:$J$1004,5,FALSE),"")*(10/11)),"")</f>
        <v/>
      </c>
      <c r="BE4" s="23" t="str">
        <f>IFERROR(ROUNDUP((Table1824[[#This Row],[Qty]]*Table1824[[#This Row],[Hrg St]]),0),"")</f>
        <v/>
      </c>
      <c r="BF4" s="8" t="str">
        <f>IFERROR(ROUNDUP((Table1824[[#This Row],[Qty2]]*Table1824[[#This Row],[Hrg St2]]),0),"")</f>
        <v/>
      </c>
      <c r="BG4" s="8" t="str">
        <f>IFERROR(ROUNDUP((Table1824[[#This Row],[Qty3]]*Table1824[[#This Row],[Hrg St3]]),0),"")</f>
        <v/>
      </c>
      <c r="BH4" s="8" t="str">
        <f>IFERROR(ROUNDUP((Table1824[[#This Row],[Qty4]]*Table1824[[#This Row],[Hrg St4]]),0),"")</f>
        <v/>
      </c>
      <c r="BI4" s="8" t="str">
        <f>IFERROR(ROUNDUP((Table1824[[#This Row],[Qty5]]*Table1824[[#This Row],[Hrg St5]]),0),"")</f>
        <v/>
      </c>
      <c r="BJ4" s="8" t="str">
        <f>IFERROR(ROUNDUP((Table1824[[#This Row],[Qty6]]*Table1824[[#This Row],[Hrg St6]]),0),"")</f>
        <v/>
      </c>
      <c r="BK4" s="8" t="str">
        <f>IFERROR(ROUNDUP((Table1824[[#This Row],[Qty7]]*Table1824[[#This Row],[Hrg St7]]),0),"")</f>
        <v/>
      </c>
      <c r="BL4" s="8" t="str">
        <f>IFERROR(ROUNDUP((Table1824[[#This Row],[Qty8]]*Table1824[[#This Row],[Hrg St8]]),0),"")</f>
        <v/>
      </c>
      <c r="BM4" s="8" t="str">
        <f>IFERROR(ROUNDUP((Table1824[[#This Row],[Qty9]]*Table1824[[#This Row],[Hrg St9]]),0),"")</f>
        <v/>
      </c>
      <c r="BN4" s="8" t="str">
        <f>IFERROR(ROUNDUP((Table1824[[#This Row],[Qty10]]*Table1824[[#This Row],[Hrg St10]]),0),"")</f>
        <v/>
      </c>
      <c r="BO4" s="8" t="str">
        <f>IFERROR(ROUNDUP((Table1824[[#This Row],[Qty11]]*Table1824[[#This Row],[Hrg St11]]),0),"")</f>
        <v/>
      </c>
      <c r="BP4" s="8" t="str">
        <f>IFERROR(ROUNDUP((Table1824[[#This Row],[Qty12]]*Table1824[[#This Row],[Hrg St12]]),0),"")</f>
        <v/>
      </c>
      <c r="BQ4" s="8" t="str">
        <f>IFERROR(ROUNDUP((Table1824[[#This Row],[Qty13]]*Table1824[[#This Row],[Hrg St13]]),0),"")</f>
        <v/>
      </c>
      <c r="BR4" s="23" t="str">
        <f>IF(Table1824[[#This Row],[BKK]]&gt;" ",IFERROR(ROUNDUP((SUM(Table1824[[#This Row],[Jml]:[Jml13]])),0)," ")," ")</f>
        <v xml:space="preserve"> </v>
      </c>
      <c r="BS4" s="23" t="str">
        <f>IF(Table1824[[#This Row],[BKK]]&gt;" ",ROUND((Table1824[[#This Row],[Total]]*0.1),0)," ")</f>
        <v xml:space="preserve"> </v>
      </c>
      <c r="BT4" s="23" t="str">
        <f>IF(Table1824[[#This Row],[BKK]]&gt;" ",(Table1824[[#This Row],[Total]]+Table1824[[#This Row],[PPN]])," ")</f>
        <v xml:space="preserve"> </v>
      </c>
      <c r="BU4" t="s">
        <v>454</v>
      </c>
      <c r="BV4" t="str">
        <f>IF(Table1824[[#This Row],[BKK]]&gt;" ",("INV/AK-MLG/2019/"&amp;'BKU 1'!$E$1&amp;"/"&amp;Table1824[[#This Row],[BKK]]&amp;"/"&amp;'BKU 1'!$E$1&amp;ROW())," ")</f>
        <v xml:space="preserve"> </v>
      </c>
      <c r="BW4" t="str">
        <f>IF(Table1824[[#This Row],[BKK]]&gt;" ",(TEXT(VLOOKUP(Table1824[[#This Row],[BKK]],COPY!$O$2:$U$1000,7,FALSE),"dd mmmm yyyy"))," ")</f>
        <v xml:space="preserve"> </v>
      </c>
      <c r="BX4" t="str">
        <f>IF(Table1824[[#This Row],[BKK]]&gt;" ",(TEXT((Table1824[[#This Row],[Tanggal Kirim]]+30),"dd mmmm yyyy"))," ")</f>
        <v xml:space="preserve"> </v>
      </c>
      <c r="BY4" t="str">
        <f>IF(Table1824[[#This Row],[BKK]]&gt;" ",'BKU 1'!$E$17," ")</f>
        <v xml:space="preserve"> </v>
      </c>
    </row>
    <row r="5" spans="1:77" x14ac:dyDescent="0.25">
      <c r="A5" t="str">
        <f>IFERROR((IF('Laporan ppn'!G6792&gt;0,VLOOKUP('Laporan ppn'!G6792,'Laporan ppn'!$E$10:$F$6785,2,FALSE),"")),"")</f>
        <v xml:space="preserve"> </v>
      </c>
      <c r="B5" t="str">
        <f>IF(Table1824[[#This Row],[BKK]]=" "," ",'BKU 1'!$D$25)</f>
        <v xml:space="preserve"> </v>
      </c>
      <c r="C5" t="str">
        <f>IF(Table1824[[#This Row],[BKK]]=" "," ",'BKU 1'!$D$26)</f>
        <v xml:space="preserve"> </v>
      </c>
      <c r="D5" t="str">
        <f>IF(Table1824[[#This Row],[BKK]]=" "," ",'BKU 1'!$I$25)</f>
        <v xml:space="preserve"> </v>
      </c>
      <c r="E5" t="str">
        <f>IFERROR(VLOOKUP(Table1824[[#This Row],[BKK]],'Un nOTA'!$D$4:$J$1004,2,FALSE),"")</f>
        <v/>
      </c>
      <c r="F5" t="str">
        <f>IFERROR(VLOOKUP(Table1824[[#This Row],[BKK]]&amp;TRIM(RIGHT(SUBSTITUTE(TRIM(Table1824[[#Headers],[Uraian a]])," ",REPT(" ",255)),255)),'Un nOTA'!$D$4:$J$1004,2,FALSE),"")</f>
        <v/>
      </c>
      <c r="G5" t="str">
        <f>IFERROR(VLOOKUP(Table1824[[#This Row],[BKK]]&amp;TRIM(RIGHT(SUBSTITUTE(TRIM(Table1824[[#Headers],[Uraian aa]])," ",REPT(" ",255)),255)),'Un nOTA'!$D$4:$J$1004,2,FALSE),"")</f>
        <v/>
      </c>
      <c r="H5" t="str">
        <f>IFERROR(VLOOKUP(Table1824[[#This Row],[BKK]]&amp;TRIM(RIGHT(SUBSTITUTE(TRIM(Table1824[[#Headers],[Uraian aaa]])," ",REPT(" ",255)),255)),'Un nOTA'!$D$4:$J$1004,2,FALSE),"")</f>
        <v/>
      </c>
      <c r="I5" t="str">
        <f>IFERROR(VLOOKUP(Table1824[[#This Row],[BKK]]&amp;TRIM(RIGHT(SUBSTITUTE(TRIM(Table1824[[#Headers],[Uraian aaaa]])," ",REPT(" ",255)),255)),'Un nOTA'!$D$4:$J$1004,2,FALSE),"")</f>
        <v/>
      </c>
      <c r="J5" t="str">
        <f>IFERROR(VLOOKUP(Table1824[[#This Row],[BKK]]&amp;TRIM(RIGHT(SUBSTITUTE(TRIM(Table1824[[#Headers],[Uraian aaaaa]])," ",REPT(" ",255)),255)),'Un nOTA'!$D$4:$J$1004,2,FALSE),"")</f>
        <v/>
      </c>
      <c r="K5" t="str">
        <f>IFERROR(VLOOKUP(Table1824[[#This Row],[BKK]]&amp;TRIM(RIGHT(SUBSTITUTE(TRIM(Table1824[[#Headers],[Uraian aaaaaa]])," ",REPT(" ",255)),255)),'Un nOTA'!$D$4:$J$1004,2,FALSE),"")</f>
        <v/>
      </c>
      <c r="L5" t="str">
        <f>IFERROR(VLOOKUP(Table1824[[#This Row],[BKK]]&amp;TRIM(RIGHT(SUBSTITUTE(TRIM(Table1824[[#Headers],[Uraian aaaaaaa]])," ",REPT(" ",255)),255)),'Un nOTA'!$D$4:$J$1004,2,FALSE),"")</f>
        <v/>
      </c>
      <c r="M5" t="str">
        <f>IFERROR(VLOOKUP(Table1824[[#This Row],[BKK]]&amp;TRIM(RIGHT(SUBSTITUTE(TRIM(Table1824[[#Headers],[Uraian aaaaaaaa]])," ",REPT(" ",255)),255)),'Un nOTA'!$D$4:$J$1004,2,FALSE),"")</f>
        <v/>
      </c>
      <c r="N5" t="str">
        <f>IFERROR(VLOOKUP(Table1824[[#This Row],[BKK]]&amp;TRIM(RIGHT(SUBSTITUTE(TRIM(Table1824[[#Headers],[Uraian aaaaaaaaa]])," ",REPT(" ",255)),255)),'Un nOTA'!$D$4:$J$1004,2,FALSE),"")</f>
        <v/>
      </c>
      <c r="O5" t="str">
        <f>IFERROR(VLOOKUP(Table1824[[#This Row],[BKK]]&amp;TRIM(RIGHT(SUBSTITUTE(TRIM(Table1824[[#Headers],[Uraian aaaaaaaaaa]])," ",REPT(" ",255)),255)),'Un nOTA'!$D$4:$J$1004,2,FALSE),"")</f>
        <v/>
      </c>
      <c r="P5" t="str">
        <f>IFERROR(VLOOKUP(Table1824[[#This Row],[BKK]]&amp;TRIM(RIGHT(SUBSTITUTE(TRIM(Table1824[[#Headers],[Uraian aaaaaaaaaaa]])," ",REPT(" ",255)),255)),'Un nOTA'!$D$4:$J$1004,2,FALSE),"")</f>
        <v/>
      </c>
      <c r="Q5" t="str">
        <f>IFERROR(VLOOKUP(Table1824[[#This Row],[BKK]]&amp;TRIM(RIGHT(SUBSTITUTE(TRIM(Table1824[[#Headers],[Uraian aaaaaaaaaaaa]])," ",REPT(" ",255)),255)),'Un nOTA'!$D$4:$J$1004,2,FALSE),"")</f>
        <v/>
      </c>
      <c r="R5" s="32" t="str">
        <f>IFERROR(VLOOKUP(Table1824[[#This Row],[BKK]],'Un nOTA'!$D$4:$J$1004,3,FALSE),"")</f>
        <v/>
      </c>
      <c r="S5" s="32" t="str">
        <f>IFERROR(VLOOKUP(Table1824[[#This Row],[BKK]]&amp;TRIM(RIGHT(SUBSTITUTE(TRIM(Table1824[[#Headers],[Uraian a]])," ",REPT(" ",255)),255)),'Un nOTA'!$D$4:$J$1004,3,FALSE),"")</f>
        <v/>
      </c>
      <c r="T5" s="32" t="str">
        <f>IFERROR(VLOOKUP(Table1824[[#This Row],[BKK]]&amp;TRIM(RIGHT(SUBSTITUTE(TRIM(Table1824[[#Headers],[Uraian aa]])," ",REPT(" ",255)),255)),'Un nOTA'!$D$4:$J$1004,3,FALSE),"")</f>
        <v/>
      </c>
      <c r="U5" s="32" t="str">
        <f>IFERROR(VLOOKUP(Table1824[[#This Row],[BKK]]&amp;TRIM(RIGHT(SUBSTITUTE(TRIM(Table1824[[#Headers],[Uraian aaa]])," ",REPT(" ",255)),255)),'Un nOTA'!$D$4:$J$1004,3,FALSE),"")</f>
        <v/>
      </c>
      <c r="V5" s="32" t="str">
        <f>IFERROR(VLOOKUP(Table1824[[#This Row],[BKK]]&amp;TRIM(RIGHT(SUBSTITUTE(TRIM(Table1824[[#Headers],[Uraian aaaa]])," ",REPT(" ",255)),255)),'Un nOTA'!$D$4:$J$1004,3,FALSE),"")</f>
        <v/>
      </c>
      <c r="W5" s="32" t="str">
        <f>IFERROR(VLOOKUP(Table1824[[#This Row],[BKK]]&amp;TRIM(RIGHT(SUBSTITUTE(TRIM(Table1824[[#Headers],[Uraian aaaaa]])," ",REPT(" ",255)),255)),'Un nOTA'!$D$4:$J$1004,3,FALSE),"")</f>
        <v/>
      </c>
      <c r="X5" s="32" t="str">
        <f>IFERROR(VLOOKUP(Table1824[[#This Row],[BKK]]&amp;TRIM(RIGHT(SUBSTITUTE(TRIM(Table1824[[#Headers],[Uraian aaaaaa]])," ",REPT(" ",255)),255)),'Un nOTA'!$D$4:$J$1004,3,FALSE),"")</f>
        <v/>
      </c>
      <c r="Y5" s="32" t="str">
        <f>IFERROR(VLOOKUP(Table1824[[#This Row],[BKK]]&amp;TRIM(RIGHT(SUBSTITUTE(TRIM(Table1824[[#Headers],[Uraian aaaaaaa]])," ",REPT(" ",255)),255)),'Un nOTA'!$D$4:$J$1004,3,FALSE),"")</f>
        <v/>
      </c>
      <c r="Z5" s="32" t="str">
        <f>IFERROR(VLOOKUP(Table1824[[#This Row],[BKK]]&amp;TRIM(RIGHT(SUBSTITUTE(TRIM(Table1824[[#Headers],[Uraian aaaaaaaa]])," ",REPT(" ",255)),255)),'Un nOTA'!$D$4:$J$1004,3,FALSE),"")</f>
        <v/>
      </c>
      <c r="AA5" s="32" t="str">
        <f>IFERROR(VLOOKUP(Table1824[[#This Row],[BKK]]&amp;TRIM(RIGHT(SUBSTITUTE(TRIM(Table1824[[#Headers],[Uraian aaaaaaaaa]])," ",REPT(" ",255)),255)),'Un nOTA'!$D$4:$J$1004,3,FALSE),"")</f>
        <v/>
      </c>
      <c r="AB5" s="32" t="str">
        <f>IFERROR(VLOOKUP(Table1824[[#This Row],[BKK]]&amp;TRIM(RIGHT(SUBSTITUTE(TRIM(Table1824[[#Headers],[Uraian aaaaaaaaaa]])," ",REPT(" ",255)),255)),'Un nOTA'!$D$4:$J$1004,3,FALSE),"")</f>
        <v/>
      </c>
      <c r="AC5" s="32" t="str">
        <f>IFERROR(VLOOKUP(Table1824[[#This Row],[BKK]]&amp;TRIM(RIGHT(SUBSTITUTE(TRIM(Table1824[[#Headers],[Uraian aaaaaaaaaaa]])," ",REPT(" ",255)),255)),'Un nOTA'!$D$4:$J$1004,3,FALSE),"")</f>
        <v/>
      </c>
      <c r="AD5" s="32" t="str">
        <f>IFERROR(VLOOKUP(Table1824[[#This Row],[BKK]]&amp;TRIM(RIGHT(SUBSTITUTE(TRIM(Table1824[[#Headers],[Uraian aaaaaaaaaaaa]])," ",REPT(" ",255)),255)),'Un nOTA'!$D$4:$J$1004,3,FALSE),"")</f>
        <v/>
      </c>
      <c r="AE5" s="8" t="str">
        <f>IFERROR(VLOOKUP(Table1824[[#This Row],[BKK]],'Un nOTA'!$D$4:$J$1004,4,FALSE),"")</f>
        <v/>
      </c>
      <c r="AF5" s="8" t="str">
        <f>IFERROR(VLOOKUP(Table1824[[#This Row],[BKK]]&amp;TRIM(RIGHT(SUBSTITUTE(TRIM(Table1824[[#Headers],[Uraian a]])," ",REPT(" ",255)),255)),'Un nOTA'!$D$4:$J$1004,4,FALSE),"")</f>
        <v/>
      </c>
      <c r="AG5" s="8" t="str">
        <f>IFERROR(VLOOKUP(Table1824[[#This Row],[BKK]]&amp;TRIM(RIGHT(SUBSTITUTE(TRIM(Table1824[[#Headers],[Uraian aa]])," ",REPT(" ",255)),255)),'Un nOTA'!$D$4:$J$1004,4,FALSE),"")</f>
        <v/>
      </c>
      <c r="AH5" s="8" t="str">
        <f>IFERROR(VLOOKUP(Table1824[[#This Row],[BKK]]&amp;TRIM(RIGHT(SUBSTITUTE(TRIM(Table1824[[#Headers],[Uraian aaa]])," ",REPT(" ",255)),255)),'Un nOTA'!$D$4:$J$1004,4,FALSE),"")</f>
        <v/>
      </c>
      <c r="AI5" s="8" t="str">
        <f>IFERROR(VLOOKUP(Table1824[[#This Row],[BKK]]&amp;TRIM(RIGHT(SUBSTITUTE(TRIM(Table1824[[#Headers],[Uraian aaaa]])," ",REPT(" ",255)),255)),'Un nOTA'!$D$4:$J$1004,4,FALSE),"")</f>
        <v/>
      </c>
      <c r="AJ5" s="8" t="str">
        <f>IFERROR(VLOOKUP(Table1824[[#This Row],[BKK]]&amp;TRIM(RIGHT(SUBSTITUTE(TRIM(Table1824[[#Headers],[Uraian aaaaa]])," ",REPT(" ",255)),255)),'Un nOTA'!$D$4:$J$1004,4,FALSE),"")</f>
        <v/>
      </c>
      <c r="AK5" s="8" t="str">
        <f>IFERROR(VLOOKUP(Table1824[[#This Row],[BKK]]&amp;TRIM(RIGHT(SUBSTITUTE(TRIM(Table1824[[#Headers],[Uraian aaaaaa]])," ",REPT(" ",255)),255)),'Un nOTA'!$D$4:$J$1004,4,FALSE),"")</f>
        <v/>
      </c>
      <c r="AL5" s="8" t="str">
        <f>IFERROR(VLOOKUP(Table1824[[#This Row],[BKK]]&amp;TRIM(RIGHT(SUBSTITUTE(TRIM(Table1824[[#Headers],[Uraian aaaaaaa]])," ",REPT(" ",255)),255)),'Un nOTA'!$D$4:$J$1004,4,FALSE),"")</f>
        <v/>
      </c>
      <c r="AM5" s="8" t="str">
        <f>IFERROR(VLOOKUP(Table1824[[#This Row],[BKK]]&amp;TRIM(RIGHT(SUBSTITUTE(TRIM(Table1824[[#Headers],[Uraian aaaaaaaa]])," ",REPT(" ",255)),255)),'Un nOTA'!$D$4:$J$1004,4,FALSE),"")</f>
        <v/>
      </c>
      <c r="AN5" s="8" t="str">
        <f>IFERROR(VLOOKUP(Table1824[[#This Row],[BKK]]&amp;TRIM(RIGHT(SUBSTITUTE(TRIM(Table1824[[#Headers],[Uraian aaaaaaaaa]])," ",REPT(" ",255)),255)),'Un nOTA'!$D$4:$J$1004,4,FALSE),"")</f>
        <v/>
      </c>
      <c r="AO5" s="8" t="str">
        <f>IFERROR(VLOOKUP(Table1824[[#This Row],[BKK]]&amp;TRIM(RIGHT(SUBSTITUTE(TRIM(Table1824[[#Headers],[Uraian aaaaaaaaaa]])," ",REPT(" ",255)),255)),'Un nOTA'!$D$4:$J$1004,4,FALSE),"")</f>
        <v/>
      </c>
      <c r="AP5" s="8" t="str">
        <f>IFERROR(VLOOKUP(Table1824[[#This Row],[BKK]]&amp;TRIM(RIGHT(SUBSTITUTE(TRIM(Table1824[[#Headers],[Uraian aaaaaaaaaaa]])," ",REPT(" ",255)),255)),'Un nOTA'!$D$4:$J$1004,4,FALSE),"")</f>
        <v/>
      </c>
      <c r="AQ5" s="8" t="str">
        <f>IFERROR(VLOOKUP(Table1824[[#This Row],[BKK]]&amp;TRIM(RIGHT(SUBSTITUTE(TRIM(Table1824[[#Headers],[Uraian aaaaaaaaaaaa]])," ",REPT(" ",255)),255)),'Un nOTA'!$D$4:$J$1004,4,FALSE),"")</f>
        <v/>
      </c>
      <c r="AR5" s="8" t="str">
        <f>IFERROR((IFERROR(VLOOKUP(Table1824[[#This Row],[BKK]],'Un nOTA'!$D$4:$J$1004,5,FALSE),""))*(10/11),"")</f>
        <v/>
      </c>
      <c r="AS5" s="8" t="str">
        <f>IFERROR((IFERROR(VLOOKUP(Table1824[[#This Row],[BKK]]&amp;TRIM(RIGHT(SUBSTITUTE(TRIM(Table1824[[#Headers],[Uraian a]])," ",REPT(" ",255)),255)),'Un nOTA'!$D$4:$J$1004,5,FALSE),"")*(10/11)),"")</f>
        <v/>
      </c>
      <c r="AT5" s="8" t="str">
        <f>IFERROR((IFERROR(VLOOKUP(Table1824[[#This Row],[BKK]]&amp;TRIM(RIGHT(SUBSTITUTE(TRIM(Table1824[[#Headers],[Uraian aa]])," ",REPT(" ",255)),255)),'Un nOTA'!$D$4:$J$1004,5,FALSE),"")*(10/11)),"")</f>
        <v/>
      </c>
      <c r="AU5" s="8" t="str">
        <f>IFERROR((IFERROR(VLOOKUP(Table1824[[#This Row],[BKK]]&amp;TRIM(RIGHT(SUBSTITUTE(TRIM(Table1824[[#Headers],[Uraian aaa]])," ",REPT(" ",255)),255)),'Un nOTA'!$D$4:$J$1004,5,FALSE),"")*(10/11)),"")</f>
        <v/>
      </c>
      <c r="AV5" s="8" t="str">
        <f>IFERROR((IFERROR(VLOOKUP(Table1824[[#This Row],[BKK]]&amp;TRIM(RIGHT(SUBSTITUTE(TRIM(Table1824[[#Headers],[Uraian aaaa]])," ",REPT(" ",255)),255)),'Un nOTA'!$D$4:$J$1004,5,FALSE),"")*(10/11)),"")</f>
        <v/>
      </c>
      <c r="AW5" s="8" t="str">
        <f>IFERROR((IFERROR(VLOOKUP(Table1824[[#This Row],[BKK]]&amp;TRIM(RIGHT(SUBSTITUTE(TRIM(Table1824[[#Headers],[Uraian aaaaa]])," ",REPT(" ",255)),255)),'Un nOTA'!$D$4:$J$1004,5,FALSE),"")*(10/11)),"")</f>
        <v/>
      </c>
      <c r="AX5" s="8" t="str">
        <f>IFERROR((IFERROR(VLOOKUP(Table1824[[#This Row],[BKK]]&amp;TRIM(RIGHT(SUBSTITUTE(TRIM(Table1824[[#Headers],[Uraian aaaaaa]])," ",REPT(" ",255)),255)),'Un nOTA'!$D$4:$J$1004,5,FALSE),"")*(10/11)),"")</f>
        <v/>
      </c>
      <c r="AY5" s="8" t="str">
        <f>IFERROR((IFERROR(VLOOKUP(Table1824[[#This Row],[BKK]]&amp;TRIM(RIGHT(SUBSTITUTE(TRIM(Table1824[[#Headers],[Uraian aaaaaaa]])," ",REPT(" ",255)),255)),'Un nOTA'!$D$4:$J$1004,5,FALSE),"")*(10/11)),"")</f>
        <v/>
      </c>
      <c r="AZ5" s="8" t="str">
        <f>IFERROR((IFERROR(VLOOKUP(Table1824[[#This Row],[BKK]]&amp;TRIM(RIGHT(SUBSTITUTE(TRIM(Table1824[[#Headers],[Uraian aaaaaaaa]])," ",REPT(" ",255)),255)),'Un nOTA'!$D$4:$J$1004,5,FALSE),"")*(10/11)),"")</f>
        <v/>
      </c>
      <c r="BA5" s="8" t="str">
        <f>IFERROR((IFERROR(VLOOKUP(Table1824[[#This Row],[BKK]]&amp;TRIM(RIGHT(SUBSTITUTE(TRIM(Table1824[[#Headers],[Uraian aaaaaaaaa]])," ",REPT(" ",255)),255)),'Un nOTA'!$D$4:$J$1004,5,FALSE),"")*(10/11)),"")</f>
        <v/>
      </c>
      <c r="BB5" s="8" t="str">
        <f>IFERROR((IFERROR(VLOOKUP(Table1824[[#This Row],[BKK]]&amp;TRIM(RIGHT(SUBSTITUTE(TRIM(Table1824[[#Headers],[Uraian aaaaaaaaaa]])," ",REPT(" ",255)),255)),'Un nOTA'!$D$4:$J$1004,5,FALSE),"")*(10/11)),"")</f>
        <v/>
      </c>
      <c r="BC5" s="8" t="str">
        <f>IFERROR((IFERROR(VLOOKUP(Table1824[[#This Row],[BKK]]&amp;TRIM(RIGHT(SUBSTITUTE(TRIM(Table1824[[#Headers],[Uraian aaaaaaaaaaa]])," ",REPT(" ",255)),255)),'Un nOTA'!$D$4:$J$1004,5,FALSE),"")*(10/11)),"")</f>
        <v/>
      </c>
      <c r="BD5" s="8" t="str">
        <f>IFERROR((IFERROR(VLOOKUP(Table1824[[#This Row],[BKK]]&amp;TRIM(RIGHT(SUBSTITUTE(TRIM(Table1824[[#Headers],[Uraian aaaaaaaaaaaa]])," ",REPT(" ",255)),255)),'Un nOTA'!$D$4:$J$1004,5,FALSE),"")*(10/11)),"")</f>
        <v/>
      </c>
      <c r="BE5" s="23" t="str">
        <f>IFERROR(ROUNDUP((Table1824[[#This Row],[Qty]]*Table1824[[#This Row],[Hrg St]]),0),"")</f>
        <v/>
      </c>
      <c r="BF5" s="8" t="str">
        <f>IFERROR(ROUNDUP((Table1824[[#This Row],[Qty2]]*Table1824[[#This Row],[Hrg St2]]),0),"")</f>
        <v/>
      </c>
      <c r="BG5" s="8" t="str">
        <f>IFERROR(ROUNDUP((Table1824[[#This Row],[Qty3]]*Table1824[[#This Row],[Hrg St3]]),0),"")</f>
        <v/>
      </c>
      <c r="BH5" s="8" t="str">
        <f>IFERROR(ROUNDUP((Table1824[[#This Row],[Qty4]]*Table1824[[#This Row],[Hrg St4]]),0),"")</f>
        <v/>
      </c>
      <c r="BI5" s="8" t="str">
        <f>IFERROR(ROUNDUP((Table1824[[#This Row],[Qty5]]*Table1824[[#This Row],[Hrg St5]]),0),"")</f>
        <v/>
      </c>
      <c r="BJ5" s="8" t="str">
        <f>IFERROR(ROUNDUP((Table1824[[#This Row],[Qty6]]*Table1824[[#This Row],[Hrg St6]]),0),"")</f>
        <v/>
      </c>
      <c r="BK5" s="8" t="str">
        <f>IFERROR(ROUNDUP((Table1824[[#This Row],[Qty7]]*Table1824[[#This Row],[Hrg St7]]),0),"")</f>
        <v/>
      </c>
      <c r="BL5" s="8" t="str">
        <f>IFERROR(ROUNDUP((Table1824[[#This Row],[Qty8]]*Table1824[[#This Row],[Hrg St8]]),0),"")</f>
        <v/>
      </c>
      <c r="BM5" s="8" t="str">
        <f>IFERROR(ROUNDUP((Table1824[[#This Row],[Qty9]]*Table1824[[#This Row],[Hrg St9]]),0),"")</f>
        <v/>
      </c>
      <c r="BN5" s="8" t="str">
        <f>IFERROR(ROUNDUP((Table1824[[#This Row],[Qty10]]*Table1824[[#This Row],[Hrg St10]]),0),"")</f>
        <v/>
      </c>
      <c r="BO5" s="8" t="str">
        <f>IFERROR(ROUNDUP((Table1824[[#This Row],[Qty11]]*Table1824[[#This Row],[Hrg St11]]),0),"")</f>
        <v/>
      </c>
      <c r="BP5" s="8" t="str">
        <f>IFERROR(ROUNDUP((Table1824[[#This Row],[Qty12]]*Table1824[[#This Row],[Hrg St12]]),0),"")</f>
        <v/>
      </c>
      <c r="BQ5" s="8" t="str">
        <f>IFERROR(ROUNDUP((Table1824[[#This Row],[Qty13]]*Table1824[[#This Row],[Hrg St13]]),0),"")</f>
        <v/>
      </c>
      <c r="BR5" s="23" t="str">
        <f>IF(Table1824[[#This Row],[BKK]]&gt;" ",IFERROR(ROUNDUP((SUM(Table1824[[#This Row],[Jml]:[Jml13]])),0)," ")," ")</f>
        <v xml:space="preserve"> </v>
      </c>
      <c r="BS5" s="23" t="str">
        <f>IF(Table1824[[#This Row],[BKK]]&gt;" ",ROUND((Table1824[[#This Row],[Total]]*0.1),0)," ")</f>
        <v xml:space="preserve"> </v>
      </c>
      <c r="BT5" s="23" t="str">
        <f>IF(Table1824[[#This Row],[BKK]]&gt;" ",(Table1824[[#This Row],[Total]]+Table1824[[#This Row],[PPN]])," ")</f>
        <v xml:space="preserve"> </v>
      </c>
      <c r="BU5" t="s">
        <v>454</v>
      </c>
      <c r="BV5" t="str">
        <f>IF(Table1824[[#This Row],[BKK]]&gt;" ",("INV/AK-MLG/2019/"&amp;'BKU 1'!$E$1&amp;"/"&amp;Table1824[[#This Row],[BKK]]&amp;"/"&amp;'BKU 1'!$E$1&amp;ROW())," ")</f>
        <v xml:space="preserve"> </v>
      </c>
      <c r="BW5" t="str">
        <f>IF(Table1824[[#This Row],[BKK]]&gt;" ",(TEXT(VLOOKUP(Table1824[[#This Row],[BKK]],COPY!$O$2:$U$1000,7,FALSE),"dd mmmm yyyy"))," ")</f>
        <v xml:space="preserve"> </v>
      </c>
      <c r="BX5" t="str">
        <f>IF(Table1824[[#This Row],[BKK]]&gt;" ",(TEXT((Table1824[[#This Row],[Tanggal Kirim]]+30),"dd mmmm yyyy"))," ")</f>
        <v xml:space="preserve"> </v>
      </c>
      <c r="BY5" t="str">
        <f>IF(Table1824[[#This Row],[BKK]]&gt;" ",'BKU 1'!$E$17," ")</f>
        <v xml:space="preserve"> </v>
      </c>
    </row>
    <row r="6" spans="1:77" x14ac:dyDescent="0.25">
      <c r="A6" t="str">
        <f>IFERROR((IF('Laporan ppn'!G6793&gt;0,VLOOKUP('Laporan ppn'!G6793,'Laporan ppn'!$E$10:$F$6785,2,FALSE),"")),"")</f>
        <v xml:space="preserve"> </v>
      </c>
      <c r="B6" t="str">
        <f>IF(Table1824[[#This Row],[BKK]]=" "," ",'BKU 1'!$D$25)</f>
        <v xml:space="preserve"> </v>
      </c>
      <c r="C6" t="str">
        <f>IF(Table1824[[#This Row],[BKK]]=" "," ",'BKU 1'!$D$26)</f>
        <v xml:space="preserve"> </v>
      </c>
      <c r="D6" t="str">
        <f>IF(Table1824[[#This Row],[BKK]]=" "," ",'BKU 1'!$I$25)</f>
        <v xml:space="preserve"> </v>
      </c>
      <c r="E6" t="str">
        <f>IFERROR(VLOOKUP(Table1824[[#This Row],[BKK]],'Un nOTA'!$D$4:$J$1004,2,FALSE),"")</f>
        <v/>
      </c>
      <c r="F6" t="str">
        <f>IFERROR(VLOOKUP(Table1824[[#This Row],[BKK]]&amp;TRIM(RIGHT(SUBSTITUTE(TRIM(Table1824[[#Headers],[Uraian a]])," ",REPT(" ",255)),255)),'Un nOTA'!$D$4:$J$1004,2,FALSE),"")</f>
        <v/>
      </c>
      <c r="G6" t="str">
        <f>IFERROR(VLOOKUP(Table1824[[#This Row],[BKK]]&amp;TRIM(RIGHT(SUBSTITUTE(TRIM(Table1824[[#Headers],[Uraian aa]])," ",REPT(" ",255)),255)),'Un nOTA'!$D$4:$J$1004,2,FALSE),"")</f>
        <v/>
      </c>
      <c r="H6" t="str">
        <f>IFERROR(VLOOKUP(Table1824[[#This Row],[BKK]]&amp;TRIM(RIGHT(SUBSTITUTE(TRIM(Table1824[[#Headers],[Uraian aaa]])," ",REPT(" ",255)),255)),'Un nOTA'!$D$4:$J$1004,2,FALSE),"")</f>
        <v/>
      </c>
      <c r="I6" t="str">
        <f>IFERROR(VLOOKUP(Table1824[[#This Row],[BKK]]&amp;TRIM(RIGHT(SUBSTITUTE(TRIM(Table1824[[#Headers],[Uraian aaaa]])," ",REPT(" ",255)),255)),'Un nOTA'!$D$4:$J$1004,2,FALSE),"")</f>
        <v/>
      </c>
      <c r="J6" t="str">
        <f>IFERROR(VLOOKUP(Table1824[[#This Row],[BKK]]&amp;TRIM(RIGHT(SUBSTITUTE(TRIM(Table1824[[#Headers],[Uraian aaaaa]])," ",REPT(" ",255)),255)),'Un nOTA'!$D$4:$J$1004,2,FALSE),"")</f>
        <v/>
      </c>
      <c r="K6" t="str">
        <f>IFERROR(VLOOKUP(Table1824[[#This Row],[BKK]]&amp;TRIM(RIGHT(SUBSTITUTE(TRIM(Table1824[[#Headers],[Uraian aaaaaa]])," ",REPT(" ",255)),255)),'Un nOTA'!$D$4:$J$1004,2,FALSE),"")</f>
        <v/>
      </c>
      <c r="L6" t="str">
        <f>IFERROR(VLOOKUP(Table1824[[#This Row],[BKK]]&amp;TRIM(RIGHT(SUBSTITUTE(TRIM(Table1824[[#Headers],[Uraian aaaaaaa]])," ",REPT(" ",255)),255)),'Un nOTA'!$D$4:$J$1004,2,FALSE),"")</f>
        <v/>
      </c>
      <c r="M6" t="str">
        <f>IFERROR(VLOOKUP(Table1824[[#This Row],[BKK]]&amp;TRIM(RIGHT(SUBSTITUTE(TRIM(Table1824[[#Headers],[Uraian aaaaaaaa]])," ",REPT(" ",255)),255)),'Un nOTA'!$D$4:$J$1004,2,FALSE),"")</f>
        <v/>
      </c>
      <c r="N6" t="str">
        <f>IFERROR(VLOOKUP(Table1824[[#This Row],[BKK]]&amp;TRIM(RIGHT(SUBSTITUTE(TRIM(Table1824[[#Headers],[Uraian aaaaaaaaa]])," ",REPT(" ",255)),255)),'Un nOTA'!$D$4:$J$1004,2,FALSE),"")</f>
        <v/>
      </c>
      <c r="O6" t="str">
        <f>IFERROR(VLOOKUP(Table1824[[#This Row],[BKK]]&amp;TRIM(RIGHT(SUBSTITUTE(TRIM(Table1824[[#Headers],[Uraian aaaaaaaaaa]])," ",REPT(" ",255)),255)),'Un nOTA'!$D$4:$J$1004,2,FALSE),"")</f>
        <v/>
      </c>
      <c r="P6" t="str">
        <f>IFERROR(VLOOKUP(Table1824[[#This Row],[BKK]]&amp;TRIM(RIGHT(SUBSTITUTE(TRIM(Table1824[[#Headers],[Uraian aaaaaaaaaaa]])," ",REPT(" ",255)),255)),'Un nOTA'!$D$4:$J$1004,2,FALSE),"")</f>
        <v/>
      </c>
      <c r="Q6" t="str">
        <f>IFERROR(VLOOKUP(Table1824[[#This Row],[BKK]]&amp;TRIM(RIGHT(SUBSTITUTE(TRIM(Table1824[[#Headers],[Uraian aaaaaaaaaaaa]])," ",REPT(" ",255)),255)),'Un nOTA'!$D$4:$J$1004,2,FALSE),"")</f>
        <v/>
      </c>
      <c r="R6" s="32" t="str">
        <f>IFERROR(VLOOKUP(Table1824[[#This Row],[BKK]],'Un nOTA'!$D$4:$J$1004,3,FALSE),"")</f>
        <v/>
      </c>
      <c r="S6" s="32" t="str">
        <f>IFERROR(VLOOKUP(Table1824[[#This Row],[BKK]]&amp;TRIM(RIGHT(SUBSTITUTE(TRIM(Table1824[[#Headers],[Uraian a]])," ",REPT(" ",255)),255)),'Un nOTA'!$D$4:$J$1004,3,FALSE),"")</f>
        <v/>
      </c>
      <c r="T6" s="32" t="str">
        <f>IFERROR(VLOOKUP(Table1824[[#This Row],[BKK]]&amp;TRIM(RIGHT(SUBSTITUTE(TRIM(Table1824[[#Headers],[Uraian aa]])," ",REPT(" ",255)),255)),'Un nOTA'!$D$4:$J$1004,3,FALSE),"")</f>
        <v/>
      </c>
      <c r="U6" s="32" t="str">
        <f>IFERROR(VLOOKUP(Table1824[[#This Row],[BKK]]&amp;TRIM(RIGHT(SUBSTITUTE(TRIM(Table1824[[#Headers],[Uraian aaa]])," ",REPT(" ",255)),255)),'Un nOTA'!$D$4:$J$1004,3,FALSE),"")</f>
        <v/>
      </c>
      <c r="V6" s="32" t="str">
        <f>IFERROR(VLOOKUP(Table1824[[#This Row],[BKK]]&amp;TRIM(RIGHT(SUBSTITUTE(TRIM(Table1824[[#Headers],[Uraian aaaa]])," ",REPT(" ",255)),255)),'Un nOTA'!$D$4:$J$1004,3,FALSE),"")</f>
        <v/>
      </c>
      <c r="W6" s="32" t="str">
        <f>IFERROR(VLOOKUP(Table1824[[#This Row],[BKK]]&amp;TRIM(RIGHT(SUBSTITUTE(TRIM(Table1824[[#Headers],[Uraian aaaaa]])," ",REPT(" ",255)),255)),'Un nOTA'!$D$4:$J$1004,3,FALSE),"")</f>
        <v/>
      </c>
      <c r="X6" s="32" t="str">
        <f>IFERROR(VLOOKUP(Table1824[[#This Row],[BKK]]&amp;TRIM(RIGHT(SUBSTITUTE(TRIM(Table1824[[#Headers],[Uraian aaaaaa]])," ",REPT(" ",255)),255)),'Un nOTA'!$D$4:$J$1004,3,FALSE),"")</f>
        <v/>
      </c>
      <c r="Y6" s="32" t="str">
        <f>IFERROR(VLOOKUP(Table1824[[#This Row],[BKK]]&amp;TRIM(RIGHT(SUBSTITUTE(TRIM(Table1824[[#Headers],[Uraian aaaaaaa]])," ",REPT(" ",255)),255)),'Un nOTA'!$D$4:$J$1004,3,FALSE),"")</f>
        <v/>
      </c>
      <c r="Z6" s="32" t="str">
        <f>IFERROR(VLOOKUP(Table1824[[#This Row],[BKK]]&amp;TRIM(RIGHT(SUBSTITUTE(TRIM(Table1824[[#Headers],[Uraian aaaaaaaa]])," ",REPT(" ",255)),255)),'Un nOTA'!$D$4:$J$1004,3,FALSE),"")</f>
        <v/>
      </c>
      <c r="AA6" s="32" t="str">
        <f>IFERROR(VLOOKUP(Table1824[[#This Row],[BKK]]&amp;TRIM(RIGHT(SUBSTITUTE(TRIM(Table1824[[#Headers],[Uraian aaaaaaaaa]])," ",REPT(" ",255)),255)),'Un nOTA'!$D$4:$J$1004,3,FALSE),"")</f>
        <v/>
      </c>
      <c r="AB6" s="32" t="str">
        <f>IFERROR(VLOOKUP(Table1824[[#This Row],[BKK]]&amp;TRIM(RIGHT(SUBSTITUTE(TRIM(Table1824[[#Headers],[Uraian aaaaaaaaaa]])," ",REPT(" ",255)),255)),'Un nOTA'!$D$4:$J$1004,3,FALSE),"")</f>
        <v/>
      </c>
      <c r="AC6" s="32" t="str">
        <f>IFERROR(VLOOKUP(Table1824[[#This Row],[BKK]]&amp;TRIM(RIGHT(SUBSTITUTE(TRIM(Table1824[[#Headers],[Uraian aaaaaaaaaaa]])," ",REPT(" ",255)),255)),'Un nOTA'!$D$4:$J$1004,3,FALSE),"")</f>
        <v/>
      </c>
      <c r="AD6" s="32" t="str">
        <f>IFERROR(VLOOKUP(Table1824[[#This Row],[BKK]]&amp;TRIM(RIGHT(SUBSTITUTE(TRIM(Table1824[[#Headers],[Uraian aaaaaaaaaaaa]])," ",REPT(" ",255)),255)),'Un nOTA'!$D$4:$J$1004,3,FALSE),"")</f>
        <v/>
      </c>
      <c r="AE6" s="8" t="str">
        <f>IFERROR(VLOOKUP(Table1824[[#This Row],[BKK]],'Un nOTA'!$D$4:$J$1004,4,FALSE),"")</f>
        <v/>
      </c>
      <c r="AF6" s="8" t="str">
        <f>IFERROR(VLOOKUP(Table1824[[#This Row],[BKK]]&amp;TRIM(RIGHT(SUBSTITUTE(TRIM(Table1824[[#Headers],[Uraian a]])," ",REPT(" ",255)),255)),'Un nOTA'!$D$4:$J$1004,4,FALSE),"")</f>
        <v/>
      </c>
      <c r="AG6" s="8" t="str">
        <f>IFERROR(VLOOKUP(Table1824[[#This Row],[BKK]]&amp;TRIM(RIGHT(SUBSTITUTE(TRIM(Table1824[[#Headers],[Uraian aa]])," ",REPT(" ",255)),255)),'Un nOTA'!$D$4:$J$1004,4,FALSE),"")</f>
        <v/>
      </c>
      <c r="AH6" s="8" t="str">
        <f>IFERROR(VLOOKUP(Table1824[[#This Row],[BKK]]&amp;TRIM(RIGHT(SUBSTITUTE(TRIM(Table1824[[#Headers],[Uraian aaa]])," ",REPT(" ",255)),255)),'Un nOTA'!$D$4:$J$1004,4,FALSE),"")</f>
        <v/>
      </c>
      <c r="AI6" s="8" t="str">
        <f>IFERROR(VLOOKUP(Table1824[[#This Row],[BKK]]&amp;TRIM(RIGHT(SUBSTITUTE(TRIM(Table1824[[#Headers],[Uraian aaaa]])," ",REPT(" ",255)),255)),'Un nOTA'!$D$4:$J$1004,4,FALSE),"")</f>
        <v/>
      </c>
      <c r="AJ6" s="8" t="str">
        <f>IFERROR(VLOOKUP(Table1824[[#This Row],[BKK]]&amp;TRIM(RIGHT(SUBSTITUTE(TRIM(Table1824[[#Headers],[Uraian aaaaa]])," ",REPT(" ",255)),255)),'Un nOTA'!$D$4:$J$1004,4,FALSE),"")</f>
        <v/>
      </c>
      <c r="AK6" s="8" t="str">
        <f>IFERROR(VLOOKUP(Table1824[[#This Row],[BKK]]&amp;TRIM(RIGHT(SUBSTITUTE(TRIM(Table1824[[#Headers],[Uraian aaaaaa]])," ",REPT(" ",255)),255)),'Un nOTA'!$D$4:$J$1004,4,FALSE),"")</f>
        <v/>
      </c>
      <c r="AL6" s="8" t="str">
        <f>IFERROR(VLOOKUP(Table1824[[#This Row],[BKK]]&amp;TRIM(RIGHT(SUBSTITUTE(TRIM(Table1824[[#Headers],[Uraian aaaaaaa]])," ",REPT(" ",255)),255)),'Un nOTA'!$D$4:$J$1004,4,FALSE),"")</f>
        <v/>
      </c>
      <c r="AM6" s="8" t="str">
        <f>IFERROR(VLOOKUP(Table1824[[#This Row],[BKK]]&amp;TRIM(RIGHT(SUBSTITUTE(TRIM(Table1824[[#Headers],[Uraian aaaaaaaa]])," ",REPT(" ",255)),255)),'Un nOTA'!$D$4:$J$1004,4,FALSE),"")</f>
        <v/>
      </c>
      <c r="AN6" s="8" t="str">
        <f>IFERROR(VLOOKUP(Table1824[[#This Row],[BKK]]&amp;TRIM(RIGHT(SUBSTITUTE(TRIM(Table1824[[#Headers],[Uraian aaaaaaaaa]])," ",REPT(" ",255)),255)),'Un nOTA'!$D$4:$J$1004,4,FALSE),"")</f>
        <v/>
      </c>
      <c r="AO6" s="8" t="str">
        <f>IFERROR(VLOOKUP(Table1824[[#This Row],[BKK]]&amp;TRIM(RIGHT(SUBSTITUTE(TRIM(Table1824[[#Headers],[Uraian aaaaaaaaaa]])," ",REPT(" ",255)),255)),'Un nOTA'!$D$4:$J$1004,4,FALSE),"")</f>
        <v/>
      </c>
      <c r="AP6" s="8" t="str">
        <f>IFERROR(VLOOKUP(Table1824[[#This Row],[BKK]]&amp;TRIM(RIGHT(SUBSTITUTE(TRIM(Table1824[[#Headers],[Uraian aaaaaaaaaaa]])," ",REPT(" ",255)),255)),'Un nOTA'!$D$4:$J$1004,4,FALSE),"")</f>
        <v/>
      </c>
      <c r="AQ6" s="8" t="str">
        <f>IFERROR(VLOOKUP(Table1824[[#This Row],[BKK]]&amp;TRIM(RIGHT(SUBSTITUTE(TRIM(Table1824[[#Headers],[Uraian aaaaaaaaaaaa]])," ",REPT(" ",255)),255)),'Un nOTA'!$D$4:$J$1004,4,FALSE),"")</f>
        <v/>
      </c>
      <c r="AR6" s="8" t="str">
        <f>IFERROR((IFERROR(VLOOKUP(Table1824[[#This Row],[BKK]],'Un nOTA'!$D$4:$J$1004,5,FALSE),""))*(10/11),"")</f>
        <v/>
      </c>
      <c r="AS6" s="8" t="str">
        <f>IFERROR((IFERROR(VLOOKUP(Table1824[[#This Row],[BKK]]&amp;TRIM(RIGHT(SUBSTITUTE(TRIM(Table1824[[#Headers],[Uraian a]])," ",REPT(" ",255)),255)),'Un nOTA'!$D$4:$J$1004,5,FALSE),"")*(10/11)),"")</f>
        <v/>
      </c>
      <c r="AT6" s="8" t="str">
        <f>IFERROR((IFERROR(VLOOKUP(Table1824[[#This Row],[BKK]]&amp;TRIM(RIGHT(SUBSTITUTE(TRIM(Table1824[[#Headers],[Uraian aa]])," ",REPT(" ",255)),255)),'Un nOTA'!$D$4:$J$1004,5,FALSE),"")*(10/11)),"")</f>
        <v/>
      </c>
      <c r="AU6" s="8" t="str">
        <f>IFERROR((IFERROR(VLOOKUP(Table1824[[#This Row],[BKK]]&amp;TRIM(RIGHT(SUBSTITUTE(TRIM(Table1824[[#Headers],[Uraian aaa]])," ",REPT(" ",255)),255)),'Un nOTA'!$D$4:$J$1004,5,FALSE),"")*(10/11)),"")</f>
        <v/>
      </c>
      <c r="AV6" s="8" t="str">
        <f>IFERROR((IFERROR(VLOOKUP(Table1824[[#This Row],[BKK]]&amp;TRIM(RIGHT(SUBSTITUTE(TRIM(Table1824[[#Headers],[Uraian aaaa]])," ",REPT(" ",255)),255)),'Un nOTA'!$D$4:$J$1004,5,FALSE),"")*(10/11)),"")</f>
        <v/>
      </c>
      <c r="AW6" s="8" t="str">
        <f>IFERROR((IFERROR(VLOOKUP(Table1824[[#This Row],[BKK]]&amp;TRIM(RIGHT(SUBSTITUTE(TRIM(Table1824[[#Headers],[Uraian aaaaa]])," ",REPT(" ",255)),255)),'Un nOTA'!$D$4:$J$1004,5,FALSE),"")*(10/11)),"")</f>
        <v/>
      </c>
      <c r="AX6" s="8" t="str">
        <f>IFERROR((IFERROR(VLOOKUP(Table1824[[#This Row],[BKK]]&amp;TRIM(RIGHT(SUBSTITUTE(TRIM(Table1824[[#Headers],[Uraian aaaaaa]])," ",REPT(" ",255)),255)),'Un nOTA'!$D$4:$J$1004,5,FALSE),"")*(10/11)),"")</f>
        <v/>
      </c>
      <c r="AY6" s="8" t="str">
        <f>IFERROR((IFERROR(VLOOKUP(Table1824[[#This Row],[BKK]]&amp;TRIM(RIGHT(SUBSTITUTE(TRIM(Table1824[[#Headers],[Uraian aaaaaaa]])," ",REPT(" ",255)),255)),'Un nOTA'!$D$4:$J$1004,5,FALSE),"")*(10/11)),"")</f>
        <v/>
      </c>
      <c r="AZ6" s="8" t="str">
        <f>IFERROR((IFERROR(VLOOKUP(Table1824[[#This Row],[BKK]]&amp;TRIM(RIGHT(SUBSTITUTE(TRIM(Table1824[[#Headers],[Uraian aaaaaaaa]])," ",REPT(" ",255)),255)),'Un nOTA'!$D$4:$J$1004,5,FALSE),"")*(10/11)),"")</f>
        <v/>
      </c>
      <c r="BA6" s="8" t="str">
        <f>IFERROR((IFERROR(VLOOKUP(Table1824[[#This Row],[BKK]]&amp;TRIM(RIGHT(SUBSTITUTE(TRIM(Table1824[[#Headers],[Uraian aaaaaaaaa]])," ",REPT(" ",255)),255)),'Un nOTA'!$D$4:$J$1004,5,FALSE),"")*(10/11)),"")</f>
        <v/>
      </c>
      <c r="BB6" s="8" t="str">
        <f>IFERROR((IFERROR(VLOOKUP(Table1824[[#This Row],[BKK]]&amp;TRIM(RIGHT(SUBSTITUTE(TRIM(Table1824[[#Headers],[Uraian aaaaaaaaaa]])," ",REPT(" ",255)),255)),'Un nOTA'!$D$4:$J$1004,5,FALSE),"")*(10/11)),"")</f>
        <v/>
      </c>
      <c r="BC6" s="8" t="str">
        <f>IFERROR((IFERROR(VLOOKUP(Table1824[[#This Row],[BKK]]&amp;TRIM(RIGHT(SUBSTITUTE(TRIM(Table1824[[#Headers],[Uraian aaaaaaaaaaa]])," ",REPT(" ",255)),255)),'Un nOTA'!$D$4:$J$1004,5,FALSE),"")*(10/11)),"")</f>
        <v/>
      </c>
      <c r="BD6" s="8" t="str">
        <f>IFERROR((IFERROR(VLOOKUP(Table1824[[#This Row],[BKK]]&amp;TRIM(RIGHT(SUBSTITUTE(TRIM(Table1824[[#Headers],[Uraian aaaaaaaaaaaa]])," ",REPT(" ",255)),255)),'Un nOTA'!$D$4:$J$1004,5,FALSE),"")*(10/11)),"")</f>
        <v/>
      </c>
      <c r="BE6" s="23" t="str">
        <f>IFERROR(ROUNDUP((Table1824[[#This Row],[Qty]]*Table1824[[#This Row],[Hrg St]]),0),"")</f>
        <v/>
      </c>
      <c r="BF6" s="8" t="str">
        <f>IFERROR(ROUNDUP((Table1824[[#This Row],[Qty2]]*Table1824[[#This Row],[Hrg St2]]),0),"")</f>
        <v/>
      </c>
      <c r="BG6" s="8" t="str">
        <f>IFERROR(ROUNDUP((Table1824[[#This Row],[Qty3]]*Table1824[[#This Row],[Hrg St3]]),0),"")</f>
        <v/>
      </c>
      <c r="BH6" s="8" t="str">
        <f>IFERROR(ROUNDUP((Table1824[[#This Row],[Qty4]]*Table1824[[#This Row],[Hrg St4]]),0),"")</f>
        <v/>
      </c>
      <c r="BI6" s="8" t="str">
        <f>IFERROR(ROUNDUP((Table1824[[#This Row],[Qty5]]*Table1824[[#This Row],[Hrg St5]]),0),"")</f>
        <v/>
      </c>
      <c r="BJ6" s="8" t="str">
        <f>IFERROR(ROUNDUP((Table1824[[#This Row],[Qty6]]*Table1824[[#This Row],[Hrg St6]]),0),"")</f>
        <v/>
      </c>
      <c r="BK6" s="8" t="str">
        <f>IFERROR(ROUNDUP((Table1824[[#This Row],[Qty7]]*Table1824[[#This Row],[Hrg St7]]),0),"")</f>
        <v/>
      </c>
      <c r="BL6" s="8" t="str">
        <f>IFERROR(ROUNDUP((Table1824[[#This Row],[Qty8]]*Table1824[[#This Row],[Hrg St8]]),0),"")</f>
        <v/>
      </c>
      <c r="BM6" s="8" t="str">
        <f>IFERROR(ROUNDUP((Table1824[[#This Row],[Qty9]]*Table1824[[#This Row],[Hrg St9]]),0),"")</f>
        <v/>
      </c>
      <c r="BN6" s="8" t="str">
        <f>IFERROR(ROUNDUP((Table1824[[#This Row],[Qty10]]*Table1824[[#This Row],[Hrg St10]]),0),"")</f>
        <v/>
      </c>
      <c r="BO6" s="8" t="str">
        <f>IFERROR(ROUNDUP((Table1824[[#This Row],[Qty11]]*Table1824[[#This Row],[Hrg St11]]),0),"")</f>
        <v/>
      </c>
      <c r="BP6" s="8" t="str">
        <f>IFERROR(ROUNDUP((Table1824[[#This Row],[Qty12]]*Table1824[[#This Row],[Hrg St12]]),0),"")</f>
        <v/>
      </c>
      <c r="BQ6" s="8" t="str">
        <f>IFERROR(ROUNDUP((Table1824[[#This Row],[Qty13]]*Table1824[[#This Row],[Hrg St13]]),0),"")</f>
        <v/>
      </c>
      <c r="BR6" s="23" t="str">
        <f>IF(Table1824[[#This Row],[BKK]]&gt;" ",IFERROR(ROUNDUP((SUM(Table1824[[#This Row],[Jml]:[Jml13]])),0)," ")," ")</f>
        <v xml:space="preserve"> </v>
      </c>
      <c r="BS6" s="23" t="str">
        <f>IF(Table1824[[#This Row],[BKK]]&gt;" ",ROUND((Table1824[[#This Row],[Total]]*0.1),0)," ")</f>
        <v xml:space="preserve"> </v>
      </c>
      <c r="BT6" s="23" t="str">
        <f>IF(Table1824[[#This Row],[BKK]]&gt;" ",(Table1824[[#This Row],[Total]]+Table1824[[#This Row],[PPN]])," ")</f>
        <v xml:space="preserve"> </v>
      </c>
      <c r="BU6" t="s">
        <v>454</v>
      </c>
      <c r="BV6" t="str">
        <f>IF(Table1824[[#This Row],[BKK]]&gt;" ",("INV/AK-MLG/2019/"&amp;'BKU 1'!$E$1&amp;"/"&amp;Table1824[[#This Row],[BKK]]&amp;"/"&amp;'BKU 1'!$E$1&amp;ROW())," ")</f>
        <v xml:space="preserve"> </v>
      </c>
      <c r="BW6" t="str">
        <f>IF(Table1824[[#This Row],[BKK]]&gt;" ",(TEXT(VLOOKUP(Table1824[[#This Row],[BKK]],COPY!$O$2:$U$1000,7,FALSE),"dd mmmm yyyy"))," ")</f>
        <v xml:space="preserve"> </v>
      </c>
      <c r="BX6" t="str">
        <f>IF(Table1824[[#This Row],[BKK]]&gt;" ",(TEXT((Table1824[[#This Row],[Tanggal Kirim]]+30),"dd mmmm yyyy"))," ")</f>
        <v xml:space="preserve"> </v>
      </c>
      <c r="BY6" t="str">
        <f>IF(Table1824[[#This Row],[BKK]]&gt;" ",'BKU 1'!$E$17," ")</f>
        <v xml:space="preserve"> </v>
      </c>
    </row>
    <row r="7" spans="1:77" x14ac:dyDescent="0.25">
      <c r="A7" t="str">
        <f>IFERROR((IF('Laporan ppn'!G6794&gt;0,VLOOKUP('Laporan ppn'!G6794,'Laporan ppn'!$E$10:$F$6785,2,FALSE),"")),"")</f>
        <v xml:space="preserve"> </v>
      </c>
      <c r="B7" t="str">
        <f>IF(Table1824[[#This Row],[BKK]]=" "," ",'BKU 1'!$D$25)</f>
        <v xml:space="preserve"> </v>
      </c>
      <c r="C7" t="str">
        <f>IF(Table1824[[#This Row],[BKK]]=" "," ",'BKU 1'!$D$26)</f>
        <v xml:space="preserve"> </v>
      </c>
      <c r="D7" t="str">
        <f>IF(Table1824[[#This Row],[BKK]]=" "," ",'BKU 1'!$I$25)</f>
        <v xml:space="preserve"> </v>
      </c>
      <c r="E7" t="str">
        <f>IFERROR(VLOOKUP(Table1824[[#This Row],[BKK]],'Un nOTA'!$D$4:$J$1004,2,FALSE),"")</f>
        <v/>
      </c>
      <c r="F7" t="str">
        <f>IFERROR(VLOOKUP(Table1824[[#This Row],[BKK]]&amp;TRIM(RIGHT(SUBSTITUTE(TRIM(Table1824[[#Headers],[Uraian a]])," ",REPT(" ",255)),255)),'Un nOTA'!$D$4:$J$1004,2,FALSE),"")</f>
        <v/>
      </c>
      <c r="G7" t="str">
        <f>IFERROR(VLOOKUP(Table1824[[#This Row],[BKK]]&amp;TRIM(RIGHT(SUBSTITUTE(TRIM(Table1824[[#Headers],[Uraian aa]])," ",REPT(" ",255)),255)),'Un nOTA'!$D$4:$J$1004,2,FALSE),"")</f>
        <v/>
      </c>
      <c r="H7" t="str">
        <f>IFERROR(VLOOKUP(Table1824[[#This Row],[BKK]]&amp;TRIM(RIGHT(SUBSTITUTE(TRIM(Table1824[[#Headers],[Uraian aaa]])," ",REPT(" ",255)),255)),'Un nOTA'!$D$4:$J$1004,2,FALSE),"")</f>
        <v/>
      </c>
      <c r="I7" t="str">
        <f>IFERROR(VLOOKUP(Table1824[[#This Row],[BKK]]&amp;TRIM(RIGHT(SUBSTITUTE(TRIM(Table1824[[#Headers],[Uraian aaaa]])," ",REPT(" ",255)),255)),'Un nOTA'!$D$4:$J$1004,2,FALSE),"")</f>
        <v/>
      </c>
      <c r="J7" t="str">
        <f>IFERROR(VLOOKUP(Table1824[[#This Row],[BKK]]&amp;TRIM(RIGHT(SUBSTITUTE(TRIM(Table1824[[#Headers],[Uraian aaaaa]])," ",REPT(" ",255)),255)),'Un nOTA'!$D$4:$J$1004,2,FALSE),"")</f>
        <v/>
      </c>
      <c r="K7" t="str">
        <f>IFERROR(VLOOKUP(Table1824[[#This Row],[BKK]]&amp;TRIM(RIGHT(SUBSTITUTE(TRIM(Table1824[[#Headers],[Uraian aaaaaa]])," ",REPT(" ",255)),255)),'Un nOTA'!$D$4:$J$1004,2,FALSE),"")</f>
        <v/>
      </c>
      <c r="L7" t="str">
        <f>IFERROR(VLOOKUP(Table1824[[#This Row],[BKK]]&amp;TRIM(RIGHT(SUBSTITUTE(TRIM(Table1824[[#Headers],[Uraian aaaaaaa]])," ",REPT(" ",255)),255)),'Un nOTA'!$D$4:$J$1004,2,FALSE),"")</f>
        <v/>
      </c>
      <c r="M7" t="str">
        <f>IFERROR(VLOOKUP(Table1824[[#This Row],[BKK]]&amp;TRIM(RIGHT(SUBSTITUTE(TRIM(Table1824[[#Headers],[Uraian aaaaaaaa]])," ",REPT(" ",255)),255)),'Un nOTA'!$D$4:$J$1004,2,FALSE),"")</f>
        <v/>
      </c>
      <c r="N7" t="str">
        <f>IFERROR(VLOOKUP(Table1824[[#This Row],[BKK]]&amp;TRIM(RIGHT(SUBSTITUTE(TRIM(Table1824[[#Headers],[Uraian aaaaaaaaa]])," ",REPT(" ",255)),255)),'Un nOTA'!$D$4:$J$1004,2,FALSE),"")</f>
        <v/>
      </c>
      <c r="O7" t="str">
        <f>IFERROR(VLOOKUP(Table1824[[#This Row],[BKK]]&amp;TRIM(RIGHT(SUBSTITUTE(TRIM(Table1824[[#Headers],[Uraian aaaaaaaaaa]])," ",REPT(" ",255)),255)),'Un nOTA'!$D$4:$J$1004,2,FALSE),"")</f>
        <v/>
      </c>
      <c r="P7" t="str">
        <f>IFERROR(VLOOKUP(Table1824[[#This Row],[BKK]]&amp;TRIM(RIGHT(SUBSTITUTE(TRIM(Table1824[[#Headers],[Uraian aaaaaaaaaaa]])," ",REPT(" ",255)),255)),'Un nOTA'!$D$4:$J$1004,2,FALSE),"")</f>
        <v/>
      </c>
      <c r="Q7" t="str">
        <f>IFERROR(VLOOKUP(Table1824[[#This Row],[BKK]]&amp;TRIM(RIGHT(SUBSTITUTE(TRIM(Table1824[[#Headers],[Uraian aaaaaaaaaaaa]])," ",REPT(" ",255)),255)),'Un nOTA'!$D$4:$J$1004,2,FALSE),"")</f>
        <v/>
      </c>
      <c r="R7" s="32" t="str">
        <f>IFERROR(VLOOKUP(Table1824[[#This Row],[BKK]],'Un nOTA'!$D$4:$J$1004,3,FALSE),"")</f>
        <v/>
      </c>
      <c r="S7" s="32" t="str">
        <f>IFERROR(VLOOKUP(Table1824[[#This Row],[BKK]]&amp;TRIM(RIGHT(SUBSTITUTE(TRIM(Table1824[[#Headers],[Uraian a]])," ",REPT(" ",255)),255)),'Un nOTA'!$D$4:$J$1004,3,FALSE),"")</f>
        <v/>
      </c>
      <c r="T7" s="32" t="str">
        <f>IFERROR(VLOOKUP(Table1824[[#This Row],[BKK]]&amp;TRIM(RIGHT(SUBSTITUTE(TRIM(Table1824[[#Headers],[Uraian aa]])," ",REPT(" ",255)),255)),'Un nOTA'!$D$4:$J$1004,3,FALSE),"")</f>
        <v/>
      </c>
      <c r="U7" s="32" t="str">
        <f>IFERROR(VLOOKUP(Table1824[[#This Row],[BKK]]&amp;TRIM(RIGHT(SUBSTITUTE(TRIM(Table1824[[#Headers],[Uraian aaa]])," ",REPT(" ",255)),255)),'Un nOTA'!$D$4:$J$1004,3,FALSE),"")</f>
        <v/>
      </c>
      <c r="V7" s="32" t="str">
        <f>IFERROR(VLOOKUP(Table1824[[#This Row],[BKK]]&amp;TRIM(RIGHT(SUBSTITUTE(TRIM(Table1824[[#Headers],[Uraian aaaa]])," ",REPT(" ",255)),255)),'Un nOTA'!$D$4:$J$1004,3,FALSE),"")</f>
        <v/>
      </c>
      <c r="W7" s="32" t="str">
        <f>IFERROR(VLOOKUP(Table1824[[#This Row],[BKK]]&amp;TRIM(RIGHT(SUBSTITUTE(TRIM(Table1824[[#Headers],[Uraian aaaaa]])," ",REPT(" ",255)),255)),'Un nOTA'!$D$4:$J$1004,3,FALSE),"")</f>
        <v/>
      </c>
      <c r="X7" s="32" t="str">
        <f>IFERROR(VLOOKUP(Table1824[[#This Row],[BKK]]&amp;TRIM(RIGHT(SUBSTITUTE(TRIM(Table1824[[#Headers],[Uraian aaaaaa]])," ",REPT(" ",255)),255)),'Un nOTA'!$D$4:$J$1004,3,FALSE),"")</f>
        <v/>
      </c>
      <c r="Y7" s="32" t="str">
        <f>IFERROR(VLOOKUP(Table1824[[#This Row],[BKK]]&amp;TRIM(RIGHT(SUBSTITUTE(TRIM(Table1824[[#Headers],[Uraian aaaaaaa]])," ",REPT(" ",255)),255)),'Un nOTA'!$D$4:$J$1004,3,FALSE),"")</f>
        <v/>
      </c>
      <c r="Z7" s="32" t="str">
        <f>IFERROR(VLOOKUP(Table1824[[#This Row],[BKK]]&amp;TRIM(RIGHT(SUBSTITUTE(TRIM(Table1824[[#Headers],[Uraian aaaaaaaa]])," ",REPT(" ",255)),255)),'Un nOTA'!$D$4:$J$1004,3,FALSE),"")</f>
        <v/>
      </c>
      <c r="AA7" s="32" t="str">
        <f>IFERROR(VLOOKUP(Table1824[[#This Row],[BKK]]&amp;TRIM(RIGHT(SUBSTITUTE(TRIM(Table1824[[#Headers],[Uraian aaaaaaaaa]])," ",REPT(" ",255)),255)),'Un nOTA'!$D$4:$J$1004,3,FALSE),"")</f>
        <v/>
      </c>
      <c r="AB7" s="32" t="str">
        <f>IFERROR(VLOOKUP(Table1824[[#This Row],[BKK]]&amp;TRIM(RIGHT(SUBSTITUTE(TRIM(Table1824[[#Headers],[Uraian aaaaaaaaaa]])," ",REPT(" ",255)),255)),'Un nOTA'!$D$4:$J$1004,3,FALSE),"")</f>
        <v/>
      </c>
      <c r="AC7" s="32" t="str">
        <f>IFERROR(VLOOKUP(Table1824[[#This Row],[BKK]]&amp;TRIM(RIGHT(SUBSTITUTE(TRIM(Table1824[[#Headers],[Uraian aaaaaaaaaaa]])," ",REPT(" ",255)),255)),'Un nOTA'!$D$4:$J$1004,3,FALSE),"")</f>
        <v/>
      </c>
      <c r="AD7" s="32" t="str">
        <f>IFERROR(VLOOKUP(Table1824[[#This Row],[BKK]]&amp;TRIM(RIGHT(SUBSTITUTE(TRIM(Table1824[[#Headers],[Uraian aaaaaaaaaaaa]])," ",REPT(" ",255)),255)),'Un nOTA'!$D$4:$J$1004,3,FALSE),"")</f>
        <v/>
      </c>
      <c r="AE7" s="8" t="str">
        <f>IFERROR(VLOOKUP(Table1824[[#This Row],[BKK]],'Un nOTA'!$D$4:$J$1004,4,FALSE),"")</f>
        <v/>
      </c>
      <c r="AF7" s="8" t="str">
        <f>IFERROR(VLOOKUP(Table1824[[#This Row],[BKK]]&amp;TRIM(RIGHT(SUBSTITUTE(TRIM(Table1824[[#Headers],[Uraian a]])," ",REPT(" ",255)),255)),'Un nOTA'!$D$4:$J$1004,4,FALSE),"")</f>
        <v/>
      </c>
      <c r="AG7" s="8" t="str">
        <f>IFERROR(VLOOKUP(Table1824[[#This Row],[BKK]]&amp;TRIM(RIGHT(SUBSTITUTE(TRIM(Table1824[[#Headers],[Uraian aa]])," ",REPT(" ",255)),255)),'Un nOTA'!$D$4:$J$1004,4,FALSE),"")</f>
        <v/>
      </c>
      <c r="AH7" s="8" t="str">
        <f>IFERROR(VLOOKUP(Table1824[[#This Row],[BKK]]&amp;TRIM(RIGHT(SUBSTITUTE(TRIM(Table1824[[#Headers],[Uraian aaa]])," ",REPT(" ",255)),255)),'Un nOTA'!$D$4:$J$1004,4,FALSE),"")</f>
        <v/>
      </c>
      <c r="AI7" s="8" t="str">
        <f>IFERROR(VLOOKUP(Table1824[[#This Row],[BKK]]&amp;TRIM(RIGHT(SUBSTITUTE(TRIM(Table1824[[#Headers],[Uraian aaaa]])," ",REPT(" ",255)),255)),'Un nOTA'!$D$4:$J$1004,4,FALSE),"")</f>
        <v/>
      </c>
      <c r="AJ7" s="8" t="str">
        <f>IFERROR(VLOOKUP(Table1824[[#This Row],[BKK]]&amp;TRIM(RIGHT(SUBSTITUTE(TRIM(Table1824[[#Headers],[Uraian aaaaa]])," ",REPT(" ",255)),255)),'Un nOTA'!$D$4:$J$1004,4,FALSE),"")</f>
        <v/>
      </c>
      <c r="AK7" s="8" t="str">
        <f>IFERROR(VLOOKUP(Table1824[[#This Row],[BKK]]&amp;TRIM(RIGHT(SUBSTITUTE(TRIM(Table1824[[#Headers],[Uraian aaaaaa]])," ",REPT(" ",255)),255)),'Un nOTA'!$D$4:$J$1004,4,FALSE),"")</f>
        <v/>
      </c>
      <c r="AL7" s="8" t="str">
        <f>IFERROR(VLOOKUP(Table1824[[#This Row],[BKK]]&amp;TRIM(RIGHT(SUBSTITUTE(TRIM(Table1824[[#Headers],[Uraian aaaaaaa]])," ",REPT(" ",255)),255)),'Un nOTA'!$D$4:$J$1004,4,FALSE),"")</f>
        <v/>
      </c>
      <c r="AM7" s="8" t="str">
        <f>IFERROR(VLOOKUP(Table1824[[#This Row],[BKK]]&amp;TRIM(RIGHT(SUBSTITUTE(TRIM(Table1824[[#Headers],[Uraian aaaaaaaa]])," ",REPT(" ",255)),255)),'Un nOTA'!$D$4:$J$1004,4,FALSE),"")</f>
        <v/>
      </c>
      <c r="AN7" s="8" t="str">
        <f>IFERROR(VLOOKUP(Table1824[[#This Row],[BKK]]&amp;TRIM(RIGHT(SUBSTITUTE(TRIM(Table1824[[#Headers],[Uraian aaaaaaaaa]])," ",REPT(" ",255)),255)),'Un nOTA'!$D$4:$J$1004,4,FALSE),"")</f>
        <v/>
      </c>
      <c r="AO7" s="8" t="str">
        <f>IFERROR(VLOOKUP(Table1824[[#This Row],[BKK]]&amp;TRIM(RIGHT(SUBSTITUTE(TRIM(Table1824[[#Headers],[Uraian aaaaaaaaaa]])," ",REPT(" ",255)),255)),'Un nOTA'!$D$4:$J$1004,4,FALSE),"")</f>
        <v/>
      </c>
      <c r="AP7" s="8" t="str">
        <f>IFERROR(VLOOKUP(Table1824[[#This Row],[BKK]]&amp;TRIM(RIGHT(SUBSTITUTE(TRIM(Table1824[[#Headers],[Uraian aaaaaaaaaaa]])," ",REPT(" ",255)),255)),'Un nOTA'!$D$4:$J$1004,4,FALSE),"")</f>
        <v/>
      </c>
      <c r="AQ7" s="8" t="str">
        <f>IFERROR(VLOOKUP(Table1824[[#This Row],[BKK]]&amp;TRIM(RIGHT(SUBSTITUTE(TRIM(Table1824[[#Headers],[Uraian aaaaaaaaaaaa]])," ",REPT(" ",255)),255)),'Un nOTA'!$D$4:$J$1004,4,FALSE),"")</f>
        <v/>
      </c>
      <c r="AR7" s="8" t="str">
        <f>IFERROR((IFERROR(VLOOKUP(Table1824[[#This Row],[BKK]],'Un nOTA'!$D$4:$J$1004,5,FALSE),""))*(10/11),"")</f>
        <v/>
      </c>
      <c r="AS7" s="8" t="str">
        <f>IFERROR((IFERROR(VLOOKUP(Table1824[[#This Row],[BKK]]&amp;TRIM(RIGHT(SUBSTITUTE(TRIM(Table1824[[#Headers],[Uraian a]])," ",REPT(" ",255)),255)),'Un nOTA'!$D$4:$J$1004,5,FALSE),"")*(10/11)),"")</f>
        <v/>
      </c>
      <c r="AT7" s="8" t="str">
        <f>IFERROR((IFERROR(VLOOKUP(Table1824[[#This Row],[BKK]]&amp;TRIM(RIGHT(SUBSTITUTE(TRIM(Table1824[[#Headers],[Uraian aa]])," ",REPT(" ",255)),255)),'Un nOTA'!$D$4:$J$1004,5,FALSE),"")*(10/11)),"")</f>
        <v/>
      </c>
      <c r="AU7" s="8" t="str">
        <f>IFERROR((IFERROR(VLOOKUP(Table1824[[#This Row],[BKK]]&amp;TRIM(RIGHT(SUBSTITUTE(TRIM(Table1824[[#Headers],[Uraian aaa]])," ",REPT(" ",255)),255)),'Un nOTA'!$D$4:$J$1004,5,FALSE),"")*(10/11)),"")</f>
        <v/>
      </c>
      <c r="AV7" s="8" t="str">
        <f>IFERROR((IFERROR(VLOOKUP(Table1824[[#This Row],[BKK]]&amp;TRIM(RIGHT(SUBSTITUTE(TRIM(Table1824[[#Headers],[Uraian aaaa]])," ",REPT(" ",255)),255)),'Un nOTA'!$D$4:$J$1004,5,FALSE),"")*(10/11)),"")</f>
        <v/>
      </c>
      <c r="AW7" s="8" t="str">
        <f>IFERROR((IFERROR(VLOOKUP(Table1824[[#This Row],[BKK]]&amp;TRIM(RIGHT(SUBSTITUTE(TRIM(Table1824[[#Headers],[Uraian aaaaa]])," ",REPT(" ",255)),255)),'Un nOTA'!$D$4:$J$1004,5,FALSE),"")*(10/11)),"")</f>
        <v/>
      </c>
      <c r="AX7" s="8" t="str">
        <f>IFERROR((IFERROR(VLOOKUP(Table1824[[#This Row],[BKK]]&amp;TRIM(RIGHT(SUBSTITUTE(TRIM(Table1824[[#Headers],[Uraian aaaaaa]])," ",REPT(" ",255)),255)),'Un nOTA'!$D$4:$J$1004,5,FALSE),"")*(10/11)),"")</f>
        <v/>
      </c>
      <c r="AY7" s="8" t="str">
        <f>IFERROR((IFERROR(VLOOKUP(Table1824[[#This Row],[BKK]]&amp;TRIM(RIGHT(SUBSTITUTE(TRIM(Table1824[[#Headers],[Uraian aaaaaaa]])," ",REPT(" ",255)),255)),'Un nOTA'!$D$4:$J$1004,5,FALSE),"")*(10/11)),"")</f>
        <v/>
      </c>
      <c r="AZ7" s="8" t="str">
        <f>IFERROR((IFERROR(VLOOKUP(Table1824[[#This Row],[BKK]]&amp;TRIM(RIGHT(SUBSTITUTE(TRIM(Table1824[[#Headers],[Uraian aaaaaaaa]])," ",REPT(" ",255)),255)),'Un nOTA'!$D$4:$J$1004,5,FALSE),"")*(10/11)),"")</f>
        <v/>
      </c>
      <c r="BA7" s="8" t="str">
        <f>IFERROR((IFERROR(VLOOKUP(Table1824[[#This Row],[BKK]]&amp;TRIM(RIGHT(SUBSTITUTE(TRIM(Table1824[[#Headers],[Uraian aaaaaaaaa]])," ",REPT(" ",255)),255)),'Un nOTA'!$D$4:$J$1004,5,FALSE),"")*(10/11)),"")</f>
        <v/>
      </c>
      <c r="BB7" s="8" t="str">
        <f>IFERROR((IFERROR(VLOOKUP(Table1824[[#This Row],[BKK]]&amp;TRIM(RIGHT(SUBSTITUTE(TRIM(Table1824[[#Headers],[Uraian aaaaaaaaaa]])," ",REPT(" ",255)),255)),'Un nOTA'!$D$4:$J$1004,5,FALSE),"")*(10/11)),"")</f>
        <v/>
      </c>
      <c r="BC7" s="8" t="str">
        <f>IFERROR((IFERROR(VLOOKUP(Table1824[[#This Row],[BKK]]&amp;TRIM(RIGHT(SUBSTITUTE(TRIM(Table1824[[#Headers],[Uraian aaaaaaaaaaa]])," ",REPT(" ",255)),255)),'Un nOTA'!$D$4:$J$1004,5,FALSE),"")*(10/11)),"")</f>
        <v/>
      </c>
      <c r="BD7" s="8" t="str">
        <f>IFERROR((IFERROR(VLOOKUP(Table1824[[#This Row],[BKK]]&amp;TRIM(RIGHT(SUBSTITUTE(TRIM(Table1824[[#Headers],[Uraian aaaaaaaaaaaa]])," ",REPT(" ",255)),255)),'Un nOTA'!$D$4:$J$1004,5,FALSE),"")*(10/11)),"")</f>
        <v/>
      </c>
      <c r="BE7" s="23" t="str">
        <f>IFERROR(ROUNDUP((Table1824[[#This Row],[Qty]]*Table1824[[#This Row],[Hrg St]]),0),"")</f>
        <v/>
      </c>
      <c r="BF7" s="8" t="str">
        <f>IFERROR(ROUNDUP((Table1824[[#This Row],[Qty2]]*Table1824[[#This Row],[Hrg St2]]),0),"")</f>
        <v/>
      </c>
      <c r="BG7" s="8" t="str">
        <f>IFERROR(ROUNDUP((Table1824[[#This Row],[Qty3]]*Table1824[[#This Row],[Hrg St3]]),0),"")</f>
        <v/>
      </c>
      <c r="BH7" s="8" t="str">
        <f>IFERROR(ROUNDUP((Table1824[[#This Row],[Qty4]]*Table1824[[#This Row],[Hrg St4]]),0),"")</f>
        <v/>
      </c>
      <c r="BI7" s="8" t="str">
        <f>IFERROR(ROUNDUP((Table1824[[#This Row],[Qty5]]*Table1824[[#This Row],[Hrg St5]]),0),"")</f>
        <v/>
      </c>
      <c r="BJ7" s="8" t="str">
        <f>IFERROR(ROUNDUP((Table1824[[#This Row],[Qty6]]*Table1824[[#This Row],[Hrg St6]]),0),"")</f>
        <v/>
      </c>
      <c r="BK7" s="8" t="str">
        <f>IFERROR(ROUNDUP((Table1824[[#This Row],[Qty7]]*Table1824[[#This Row],[Hrg St7]]),0),"")</f>
        <v/>
      </c>
      <c r="BL7" s="8" t="str">
        <f>IFERROR(ROUNDUP((Table1824[[#This Row],[Qty8]]*Table1824[[#This Row],[Hrg St8]]),0),"")</f>
        <v/>
      </c>
      <c r="BM7" s="8" t="str">
        <f>IFERROR(ROUNDUP((Table1824[[#This Row],[Qty9]]*Table1824[[#This Row],[Hrg St9]]),0),"")</f>
        <v/>
      </c>
      <c r="BN7" s="8" t="str">
        <f>IFERROR(ROUNDUP((Table1824[[#This Row],[Qty10]]*Table1824[[#This Row],[Hrg St10]]),0),"")</f>
        <v/>
      </c>
      <c r="BO7" s="8" t="str">
        <f>IFERROR(ROUNDUP((Table1824[[#This Row],[Qty11]]*Table1824[[#This Row],[Hrg St11]]),0),"")</f>
        <v/>
      </c>
      <c r="BP7" s="8" t="str">
        <f>IFERROR(ROUNDUP((Table1824[[#This Row],[Qty12]]*Table1824[[#This Row],[Hrg St12]]),0),"")</f>
        <v/>
      </c>
      <c r="BQ7" s="8" t="str">
        <f>IFERROR(ROUNDUP((Table1824[[#This Row],[Qty13]]*Table1824[[#This Row],[Hrg St13]]),0),"")</f>
        <v/>
      </c>
      <c r="BR7" s="23" t="str">
        <f>IF(Table1824[[#This Row],[BKK]]&gt;" ",IFERROR(ROUNDUP((SUM(Table1824[[#This Row],[Jml]:[Jml13]])),0)," ")," ")</f>
        <v xml:space="preserve"> </v>
      </c>
      <c r="BS7" s="23" t="str">
        <f>IF(Table1824[[#This Row],[BKK]]&gt;" ",ROUND((Table1824[[#This Row],[Total]]*0.1),0)," ")</f>
        <v xml:space="preserve"> </v>
      </c>
      <c r="BT7" s="23" t="str">
        <f>IF(Table1824[[#This Row],[BKK]]&gt;" ",(Table1824[[#This Row],[Total]]+Table1824[[#This Row],[PPN]])," ")</f>
        <v xml:space="preserve"> </v>
      </c>
      <c r="BU7" t="s">
        <v>454</v>
      </c>
      <c r="BV7" t="str">
        <f>IF(Table1824[[#This Row],[BKK]]&gt;" ",("INV/AK-MLG/2019/"&amp;'BKU 1'!$E$1&amp;"/"&amp;Table1824[[#This Row],[BKK]]&amp;"/"&amp;'BKU 1'!$E$1&amp;ROW())," ")</f>
        <v xml:space="preserve"> </v>
      </c>
      <c r="BW7" t="str">
        <f>IF(Table1824[[#This Row],[BKK]]&gt;" ",(TEXT(VLOOKUP(Table1824[[#This Row],[BKK]],COPY!$O$2:$U$1000,7,FALSE),"dd mmmm yyyy"))," ")</f>
        <v xml:space="preserve"> </v>
      </c>
      <c r="BX7" t="str">
        <f>IF(Table1824[[#This Row],[BKK]]&gt;" ",(TEXT((Table1824[[#This Row],[Tanggal Kirim]]+30),"dd mmmm yyyy"))," ")</f>
        <v xml:space="preserve"> </v>
      </c>
      <c r="BY7" t="str">
        <f>IF(Table1824[[#This Row],[BKK]]&gt;" ",'BKU 1'!$E$17," ")</f>
        <v xml:space="preserve"> </v>
      </c>
    </row>
    <row r="8" spans="1:77" x14ac:dyDescent="0.25">
      <c r="A8" t="str">
        <f>IFERROR((IF('Laporan ppn'!G6795&gt;0,VLOOKUP('Laporan ppn'!G6795,'Laporan ppn'!$E$10:$F$6785,2,FALSE),"")),"")</f>
        <v xml:space="preserve"> </v>
      </c>
      <c r="B8" t="str">
        <f>IF(Table1824[[#This Row],[BKK]]=" "," ",'BKU 1'!$D$25)</f>
        <v xml:space="preserve"> </v>
      </c>
      <c r="C8" t="str">
        <f>IF(Table1824[[#This Row],[BKK]]=" "," ",'BKU 1'!$D$26)</f>
        <v xml:space="preserve"> </v>
      </c>
      <c r="D8" t="str">
        <f>IF(Table1824[[#This Row],[BKK]]=" "," ",'BKU 1'!$I$25)</f>
        <v xml:space="preserve"> </v>
      </c>
      <c r="E8" t="str">
        <f>IFERROR(VLOOKUP(Table1824[[#This Row],[BKK]],'Un nOTA'!$D$4:$J$1004,2,FALSE),"")</f>
        <v/>
      </c>
      <c r="F8" t="str">
        <f>IFERROR(VLOOKUP(Table1824[[#This Row],[BKK]]&amp;TRIM(RIGHT(SUBSTITUTE(TRIM(Table1824[[#Headers],[Uraian a]])," ",REPT(" ",255)),255)),'Un nOTA'!$D$4:$J$1004,2,FALSE),"")</f>
        <v/>
      </c>
      <c r="G8" t="str">
        <f>IFERROR(VLOOKUP(Table1824[[#This Row],[BKK]]&amp;TRIM(RIGHT(SUBSTITUTE(TRIM(Table1824[[#Headers],[Uraian aa]])," ",REPT(" ",255)),255)),'Un nOTA'!$D$4:$J$1004,2,FALSE),"")</f>
        <v/>
      </c>
      <c r="H8" t="str">
        <f>IFERROR(VLOOKUP(Table1824[[#This Row],[BKK]]&amp;TRIM(RIGHT(SUBSTITUTE(TRIM(Table1824[[#Headers],[Uraian aaa]])," ",REPT(" ",255)),255)),'Un nOTA'!$D$4:$J$1004,2,FALSE),"")</f>
        <v/>
      </c>
      <c r="I8" t="str">
        <f>IFERROR(VLOOKUP(Table1824[[#This Row],[BKK]]&amp;TRIM(RIGHT(SUBSTITUTE(TRIM(Table1824[[#Headers],[Uraian aaaa]])," ",REPT(" ",255)),255)),'Un nOTA'!$D$4:$J$1004,2,FALSE),"")</f>
        <v/>
      </c>
      <c r="J8" t="str">
        <f>IFERROR(VLOOKUP(Table1824[[#This Row],[BKK]]&amp;TRIM(RIGHT(SUBSTITUTE(TRIM(Table1824[[#Headers],[Uraian aaaaa]])," ",REPT(" ",255)),255)),'Un nOTA'!$D$4:$J$1004,2,FALSE),"")</f>
        <v/>
      </c>
      <c r="K8" t="str">
        <f>IFERROR(VLOOKUP(Table1824[[#This Row],[BKK]]&amp;TRIM(RIGHT(SUBSTITUTE(TRIM(Table1824[[#Headers],[Uraian aaaaaa]])," ",REPT(" ",255)),255)),'Un nOTA'!$D$4:$J$1004,2,FALSE),"")</f>
        <v/>
      </c>
      <c r="L8" t="str">
        <f>IFERROR(VLOOKUP(Table1824[[#This Row],[BKK]]&amp;TRIM(RIGHT(SUBSTITUTE(TRIM(Table1824[[#Headers],[Uraian aaaaaaa]])," ",REPT(" ",255)),255)),'Un nOTA'!$D$4:$J$1004,2,FALSE),"")</f>
        <v/>
      </c>
      <c r="M8" t="str">
        <f>IFERROR(VLOOKUP(Table1824[[#This Row],[BKK]]&amp;TRIM(RIGHT(SUBSTITUTE(TRIM(Table1824[[#Headers],[Uraian aaaaaaaa]])," ",REPT(" ",255)),255)),'Un nOTA'!$D$4:$J$1004,2,FALSE),"")</f>
        <v/>
      </c>
      <c r="N8" t="str">
        <f>IFERROR(VLOOKUP(Table1824[[#This Row],[BKK]]&amp;TRIM(RIGHT(SUBSTITUTE(TRIM(Table1824[[#Headers],[Uraian aaaaaaaaa]])," ",REPT(" ",255)),255)),'Un nOTA'!$D$4:$J$1004,2,FALSE),"")</f>
        <v/>
      </c>
      <c r="O8" t="str">
        <f>IFERROR(VLOOKUP(Table1824[[#This Row],[BKK]]&amp;TRIM(RIGHT(SUBSTITUTE(TRIM(Table1824[[#Headers],[Uraian aaaaaaaaaa]])," ",REPT(" ",255)),255)),'Un nOTA'!$D$4:$J$1004,2,FALSE),"")</f>
        <v/>
      </c>
      <c r="P8" t="str">
        <f>IFERROR(VLOOKUP(Table1824[[#This Row],[BKK]]&amp;TRIM(RIGHT(SUBSTITUTE(TRIM(Table1824[[#Headers],[Uraian aaaaaaaaaaa]])," ",REPT(" ",255)),255)),'Un nOTA'!$D$4:$J$1004,2,FALSE),"")</f>
        <v/>
      </c>
      <c r="Q8" t="str">
        <f>IFERROR(VLOOKUP(Table1824[[#This Row],[BKK]]&amp;TRIM(RIGHT(SUBSTITUTE(TRIM(Table1824[[#Headers],[Uraian aaaaaaaaaaaa]])," ",REPT(" ",255)),255)),'Un nOTA'!$D$4:$J$1004,2,FALSE),"")</f>
        <v/>
      </c>
      <c r="R8" s="32" t="str">
        <f>IFERROR(VLOOKUP(Table1824[[#This Row],[BKK]],'Un nOTA'!$D$4:$J$1004,3,FALSE),"")</f>
        <v/>
      </c>
      <c r="S8" s="32" t="str">
        <f>IFERROR(VLOOKUP(Table1824[[#This Row],[BKK]]&amp;TRIM(RIGHT(SUBSTITUTE(TRIM(Table1824[[#Headers],[Uraian a]])," ",REPT(" ",255)),255)),'Un nOTA'!$D$4:$J$1004,3,FALSE),"")</f>
        <v/>
      </c>
      <c r="T8" s="32" t="str">
        <f>IFERROR(VLOOKUP(Table1824[[#This Row],[BKK]]&amp;TRIM(RIGHT(SUBSTITUTE(TRIM(Table1824[[#Headers],[Uraian aa]])," ",REPT(" ",255)),255)),'Un nOTA'!$D$4:$J$1004,3,FALSE),"")</f>
        <v/>
      </c>
      <c r="U8" s="32" t="str">
        <f>IFERROR(VLOOKUP(Table1824[[#This Row],[BKK]]&amp;TRIM(RIGHT(SUBSTITUTE(TRIM(Table1824[[#Headers],[Uraian aaa]])," ",REPT(" ",255)),255)),'Un nOTA'!$D$4:$J$1004,3,FALSE),"")</f>
        <v/>
      </c>
      <c r="V8" s="32" t="str">
        <f>IFERROR(VLOOKUP(Table1824[[#This Row],[BKK]]&amp;TRIM(RIGHT(SUBSTITUTE(TRIM(Table1824[[#Headers],[Uraian aaaa]])," ",REPT(" ",255)),255)),'Un nOTA'!$D$4:$J$1004,3,FALSE),"")</f>
        <v/>
      </c>
      <c r="W8" s="32" t="str">
        <f>IFERROR(VLOOKUP(Table1824[[#This Row],[BKK]]&amp;TRIM(RIGHT(SUBSTITUTE(TRIM(Table1824[[#Headers],[Uraian aaaaa]])," ",REPT(" ",255)),255)),'Un nOTA'!$D$4:$J$1004,3,FALSE),"")</f>
        <v/>
      </c>
      <c r="X8" s="32" t="str">
        <f>IFERROR(VLOOKUP(Table1824[[#This Row],[BKK]]&amp;TRIM(RIGHT(SUBSTITUTE(TRIM(Table1824[[#Headers],[Uraian aaaaaa]])," ",REPT(" ",255)),255)),'Un nOTA'!$D$4:$J$1004,3,FALSE),"")</f>
        <v/>
      </c>
      <c r="Y8" s="32" t="str">
        <f>IFERROR(VLOOKUP(Table1824[[#This Row],[BKK]]&amp;TRIM(RIGHT(SUBSTITUTE(TRIM(Table1824[[#Headers],[Uraian aaaaaaa]])," ",REPT(" ",255)),255)),'Un nOTA'!$D$4:$J$1004,3,FALSE),"")</f>
        <v/>
      </c>
      <c r="Z8" s="32" t="str">
        <f>IFERROR(VLOOKUP(Table1824[[#This Row],[BKK]]&amp;TRIM(RIGHT(SUBSTITUTE(TRIM(Table1824[[#Headers],[Uraian aaaaaaaa]])," ",REPT(" ",255)),255)),'Un nOTA'!$D$4:$J$1004,3,FALSE),"")</f>
        <v/>
      </c>
      <c r="AA8" s="32" t="str">
        <f>IFERROR(VLOOKUP(Table1824[[#This Row],[BKK]]&amp;TRIM(RIGHT(SUBSTITUTE(TRIM(Table1824[[#Headers],[Uraian aaaaaaaaa]])," ",REPT(" ",255)),255)),'Un nOTA'!$D$4:$J$1004,3,FALSE),"")</f>
        <v/>
      </c>
      <c r="AB8" s="32" t="str">
        <f>IFERROR(VLOOKUP(Table1824[[#This Row],[BKK]]&amp;TRIM(RIGHT(SUBSTITUTE(TRIM(Table1824[[#Headers],[Uraian aaaaaaaaaa]])," ",REPT(" ",255)),255)),'Un nOTA'!$D$4:$J$1004,3,FALSE),"")</f>
        <v/>
      </c>
      <c r="AC8" s="32" t="str">
        <f>IFERROR(VLOOKUP(Table1824[[#This Row],[BKK]]&amp;TRIM(RIGHT(SUBSTITUTE(TRIM(Table1824[[#Headers],[Uraian aaaaaaaaaaa]])," ",REPT(" ",255)),255)),'Un nOTA'!$D$4:$J$1004,3,FALSE),"")</f>
        <v/>
      </c>
      <c r="AD8" s="32" t="str">
        <f>IFERROR(VLOOKUP(Table1824[[#This Row],[BKK]]&amp;TRIM(RIGHT(SUBSTITUTE(TRIM(Table1824[[#Headers],[Uraian aaaaaaaaaaaa]])," ",REPT(" ",255)),255)),'Un nOTA'!$D$4:$J$1004,3,FALSE),"")</f>
        <v/>
      </c>
      <c r="AE8" s="8" t="str">
        <f>IFERROR(VLOOKUP(Table1824[[#This Row],[BKK]],'Un nOTA'!$D$4:$J$1004,4,FALSE),"")</f>
        <v/>
      </c>
      <c r="AF8" s="8" t="str">
        <f>IFERROR(VLOOKUP(Table1824[[#This Row],[BKK]]&amp;TRIM(RIGHT(SUBSTITUTE(TRIM(Table1824[[#Headers],[Uraian a]])," ",REPT(" ",255)),255)),'Un nOTA'!$D$4:$J$1004,4,FALSE),"")</f>
        <v/>
      </c>
      <c r="AG8" s="8" t="str">
        <f>IFERROR(VLOOKUP(Table1824[[#This Row],[BKK]]&amp;TRIM(RIGHT(SUBSTITUTE(TRIM(Table1824[[#Headers],[Uraian aa]])," ",REPT(" ",255)),255)),'Un nOTA'!$D$4:$J$1004,4,FALSE),"")</f>
        <v/>
      </c>
      <c r="AH8" s="8" t="str">
        <f>IFERROR(VLOOKUP(Table1824[[#This Row],[BKK]]&amp;TRIM(RIGHT(SUBSTITUTE(TRIM(Table1824[[#Headers],[Uraian aaa]])," ",REPT(" ",255)),255)),'Un nOTA'!$D$4:$J$1004,4,FALSE),"")</f>
        <v/>
      </c>
      <c r="AI8" s="8" t="str">
        <f>IFERROR(VLOOKUP(Table1824[[#This Row],[BKK]]&amp;TRIM(RIGHT(SUBSTITUTE(TRIM(Table1824[[#Headers],[Uraian aaaa]])," ",REPT(" ",255)),255)),'Un nOTA'!$D$4:$J$1004,4,FALSE),"")</f>
        <v/>
      </c>
      <c r="AJ8" s="8" t="str">
        <f>IFERROR(VLOOKUP(Table1824[[#This Row],[BKK]]&amp;TRIM(RIGHT(SUBSTITUTE(TRIM(Table1824[[#Headers],[Uraian aaaaa]])," ",REPT(" ",255)),255)),'Un nOTA'!$D$4:$J$1004,4,FALSE),"")</f>
        <v/>
      </c>
      <c r="AK8" s="8" t="str">
        <f>IFERROR(VLOOKUP(Table1824[[#This Row],[BKK]]&amp;TRIM(RIGHT(SUBSTITUTE(TRIM(Table1824[[#Headers],[Uraian aaaaaa]])," ",REPT(" ",255)),255)),'Un nOTA'!$D$4:$J$1004,4,FALSE),"")</f>
        <v/>
      </c>
      <c r="AL8" s="8" t="str">
        <f>IFERROR(VLOOKUP(Table1824[[#This Row],[BKK]]&amp;TRIM(RIGHT(SUBSTITUTE(TRIM(Table1824[[#Headers],[Uraian aaaaaaa]])," ",REPT(" ",255)),255)),'Un nOTA'!$D$4:$J$1004,4,FALSE),"")</f>
        <v/>
      </c>
      <c r="AM8" s="8" t="str">
        <f>IFERROR(VLOOKUP(Table1824[[#This Row],[BKK]]&amp;TRIM(RIGHT(SUBSTITUTE(TRIM(Table1824[[#Headers],[Uraian aaaaaaaa]])," ",REPT(" ",255)),255)),'Un nOTA'!$D$4:$J$1004,4,FALSE),"")</f>
        <v/>
      </c>
      <c r="AN8" s="8" t="str">
        <f>IFERROR(VLOOKUP(Table1824[[#This Row],[BKK]]&amp;TRIM(RIGHT(SUBSTITUTE(TRIM(Table1824[[#Headers],[Uraian aaaaaaaaa]])," ",REPT(" ",255)),255)),'Un nOTA'!$D$4:$J$1004,4,FALSE),"")</f>
        <v/>
      </c>
      <c r="AO8" s="8" t="str">
        <f>IFERROR(VLOOKUP(Table1824[[#This Row],[BKK]]&amp;TRIM(RIGHT(SUBSTITUTE(TRIM(Table1824[[#Headers],[Uraian aaaaaaaaaa]])," ",REPT(" ",255)),255)),'Un nOTA'!$D$4:$J$1004,4,FALSE),"")</f>
        <v/>
      </c>
      <c r="AP8" s="8" t="str">
        <f>IFERROR(VLOOKUP(Table1824[[#This Row],[BKK]]&amp;TRIM(RIGHT(SUBSTITUTE(TRIM(Table1824[[#Headers],[Uraian aaaaaaaaaaa]])," ",REPT(" ",255)),255)),'Un nOTA'!$D$4:$J$1004,4,FALSE),"")</f>
        <v/>
      </c>
      <c r="AQ8" s="8" t="str">
        <f>IFERROR(VLOOKUP(Table1824[[#This Row],[BKK]]&amp;TRIM(RIGHT(SUBSTITUTE(TRIM(Table1824[[#Headers],[Uraian aaaaaaaaaaaa]])," ",REPT(" ",255)),255)),'Un nOTA'!$D$4:$J$1004,4,FALSE),"")</f>
        <v/>
      </c>
      <c r="AR8" s="8" t="str">
        <f>IFERROR((IFERROR(VLOOKUP(Table1824[[#This Row],[BKK]],'Un nOTA'!$D$4:$J$1004,5,FALSE),""))*(10/11),"")</f>
        <v/>
      </c>
      <c r="AS8" s="8" t="str">
        <f>IFERROR((IFERROR(VLOOKUP(Table1824[[#This Row],[BKK]]&amp;TRIM(RIGHT(SUBSTITUTE(TRIM(Table1824[[#Headers],[Uraian a]])," ",REPT(" ",255)),255)),'Un nOTA'!$D$4:$J$1004,5,FALSE),"")*(10/11)),"")</f>
        <v/>
      </c>
      <c r="AT8" s="8" t="str">
        <f>IFERROR((IFERROR(VLOOKUP(Table1824[[#This Row],[BKK]]&amp;TRIM(RIGHT(SUBSTITUTE(TRIM(Table1824[[#Headers],[Uraian aa]])," ",REPT(" ",255)),255)),'Un nOTA'!$D$4:$J$1004,5,FALSE),"")*(10/11)),"")</f>
        <v/>
      </c>
      <c r="AU8" s="8" t="str">
        <f>IFERROR((IFERROR(VLOOKUP(Table1824[[#This Row],[BKK]]&amp;TRIM(RIGHT(SUBSTITUTE(TRIM(Table1824[[#Headers],[Uraian aaa]])," ",REPT(" ",255)),255)),'Un nOTA'!$D$4:$J$1004,5,FALSE),"")*(10/11)),"")</f>
        <v/>
      </c>
      <c r="AV8" s="8" t="str">
        <f>IFERROR((IFERROR(VLOOKUP(Table1824[[#This Row],[BKK]]&amp;TRIM(RIGHT(SUBSTITUTE(TRIM(Table1824[[#Headers],[Uraian aaaa]])," ",REPT(" ",255)),255)),'Un nOTA'!$D$4:$J$1004,5,FALSE),"")*(10/11)),"")</f>
        <v/>
      </c>
      <c r="AW8" s="8" t="str">
        <f>IFERROR((IFERROR(VLOOKUP(Table1824[[#This Row],[BKK]]&amp;TRIM(RIGHT(SUBSTITUTE(TRIM(Table1824[[#Headers],[Uraian aaaaa]])," ",REPT(" ",255)),255)),'Un nOTA'!$D$4:$J$1004,5,FALSE),"")*(10/11)),"")</f>
        <v/>
      </c>
      <c r="AX8" s="8" t="str">
        <f>IFERROR((IFERROR(VLOOKUP(Table1824[[#This Row],[BKK]]&amp;TRIM(RIGHT(SUBSTITUTE(TRIM(Table1824[[#Headers],[Uraian aaaaaa]])," ",REPT(" ",255)),255)),'Un nOTA'!$D$4:$J$1004,5,FALSE),"")*(10/11)),"")</f>
        <v/>
      </c>
      <c r="AY8" s="8" t="str">
        <f>IFERROR((IFERROR(VLOOKUP(Table1824[[#This Row],[BKK]]&amp;TRIM(RIGHT(SUBSTITUTE(TRIM(Table1824[[#Headers],[Uraian aaaaaaa]])," ",REPT(" ",255)),255)),'Un nOTA'!$D$4:$J$1004,5,FALSE),"")*(10/11)),"")</f>
        <v/>
      </c>
      <c r="AZ8" s="8" t="str">
        <f>IFERROR((IFERROR(VLOOKUP(Table1824[[#This Row],[BKK]]&amp;TRIM(RIGHT(SUBSTITUTE(TRIM(Table1824[[#Headers],[Uraian aaaaaaaa]])," ",REPT(" ",255)),255)),'Un nOTA'!$D$4:$J$1004,5,FALSE),"")*(10/11)),"")</f>
        <v/>
      </c>
      <c r="BA8" s="8" t="str">
        <f>IFERROR((IFERROR(VLOOKUP(Table1824[[#This Row],[BKK]]&amp;TRIM(RIGHT(SUBSTITUTE(TRIM(Table1824[[#Headers],[Uraian aaaaaaaaa]])," ",REPT(" ",255)),255)),'Un nOTA'!$D$4:$J$1004,5,FALSE),"")*(10/11)),"")</f>
        <v/>
      </c>
      <c r="BB8" s="8" t="str">
        <f>IFERROR((IFERROR(VLOOKUP(Table1824[[#This Row],[BKK]]&amp;TRIM(RIGHT(SUBSTITUTE(TRIM(Table1824[[#Headers],[Uraian aaaaaaaaaa]])," ",REPT(" ",255)),255)),'Un nOTA'!$D$4:$J$1004,5,FALSE),"")*(10/11)),"")</f>
        <v/>
      </c>
      <c r="BC8" s="8" t="str">
        <f>IFERROR((IFERROR(VLOOKUP(Table1824[[#This Row],[BKK]]&amp;TRIM(RIGHT(SUBSTITUTE(TRIM(Table1824[[#Headers],[Uraian aaaaaaaaaaa]])," ",REPT(" ",255)),255)),'Un nOTA'!$D$4:$J$1004,5,FALSE),"")*(10/11)),"")</f>
        <v/>
      </c>
      <c r="BD8" s="8" t="str">
        <f>IFERROR((IFERROR(VLOOKUP(Table1824[[#This Row],[BKK]]&amp;TRIM(RIGHT(SUBSTITUTE(TRIM(Table1824[[#Headers],[Uraian aaaaaaaaaaaa]])," ",REPT(" ",255)),255)),'Un nOTA'!$D$4:$J$1004,5,FALSE),"")*(10/11)),"")</f>
        <v/>
      </c>
      <c r="BE8" s="23" t="str">
        <f>IFERROR(ROUNDUP((Table1824[[#This Row],[Qty]]*Table1824[[#This Row],[Hrg St]]),0),"")</f>
        <v/>
      </c>
      <c r="BF8" s="8" t="str">
        <f>IFERROR(ROUNDUP((Table1824[[#This Row],[Qty2]]*Table1824[[#This Row],[Hrg St2]]),0),"")</f>
        <v/>
      </c>
      <c r="BG8" s="8" t="str">
        <f>IFERROR(ROUNDUP((Table1824[[#This Row],[Qty3]]*Table1824[[#This Row],[Hrg St3]]),0),"")</f>
        <v/>
      </c>
      <c r="BH8" s="8" t="str">
        <f>IFERROR(ROUNDUP((Table1824[[#This Row],[Qty4]]*Table1824[[#This Row],[Hrg St4]]),0),"")</f>
        <v/>
      </c>
      <c r="BI8" s="8" t="str">
        <f>IFERROR(ROUNDUP((Table1824[[#This Row],[Qty5]]*Table1824[[#This Row],[Hrg St5]]),0),"")</f>
        <v/>
      </c>
      <c r="BJ8" s="8" t="str">
        <f>IFERROR(ROUNDUP((Table1824[[#This Row],[Qty6]]*Table1824[[#This Row],[Hrg St6]]),0),"")</f>
        <v/>
      </c>
      <c r="BK8" s="8" t="str">
        <f>IFERROR(ROUNDUP((Table1824[[#This Row],[Qty7]]*Table1824[[#This Row],[Hrg St7]]),0),"")</f>
        <v/>
      </c>
      <c r="BL8" s="8" t="str">
        <f>IFERROR(ROUNDUP((Table1824[[#This Row],[Qty8]]*Table1824[[#This Row],[Hrg St8]]),0),"")</f>
        <v/>
      </c>
      <c r="BM8" s="8" t="str">
        <f>IFERROR(ROUNDUP((Table1824[[#This Row],[Qty9]]*Table1824[[#This Row],[Hrg St9]]),0),"")</f>
        <v/>
      </c>
      <c r="BN8" s="8" t="str">
        <f>IFERROR(ROUNDUP((Table1824[[#This Row],[Qty10]]*Table1824[[#This Row],[Hrg St10]]),0),"")</f>
        <v/>
      </c>
      <c r="BO8" s="8" t="str">
        <f>IFERROR(ROUNDUP((Table1824[[#This Row],[Qty11]]*Table1824[[#This Row],[Hrg St11]]),0),"")</f>
        <v/>
      </c>
      <c r="BP8" s="8" t="str">
        <f>IFERROR(ROUNDUP((Table1824[[#This Row],[Qty12]]*Table1824[[#This Row],[Hrg St12]]),0),"")</f>
        <v/>
      </c>
      <c r="BQ8" s="8" t="str">
        <f>IFERROR(ROUNDUP((Table1824[[#This Row],[Qty13]]*Table1824[[#This Row],[Hrg St13]]),0),"")</f>
        <v/>
      </c>
      <c r="BR8" s="23" t="str">
        <f>IF(Table1824[[#This Row],[BKK]]&gt;" ",IFERROR(ROUNDUP((SUM(Table1824[[#This Row],[Jml]:[Jml13]])),0)," ")," ")</f>
        <v xml:space="preserve"> </v>
      </c>
      <c r="BS8" s="23" t="str">
        <f>IF(Table1824[[#This Row],[BKK]]&gt;" ",ROUND((Table1824[[#This Row],[Total]]*0.1),0)," ")</f>
        <v xml:space="preserve"> </v>
      </c>
      <c r="BT8" s="23" t="str">
        <f>IF(Table1824[[#This Row],[BKK]]&gt;" ",(Table1824[[#This Row],[Total]]+Table1824[[#This Row],[PPN]])," ")</f>
        <v xml:space="preserve"> </v>
      </c>
      <c r="BU8" t="s">
        <v>454</v>
      </c>
      <c r="BV8" t="str">
        <f>IF(Table1824[[#This Row],[BKK]]&gt;" ",("INV/AK-MLG/2019/"&amp;'BKU 1'!$E$1&amp;"/"&amp;Table1824[[#This Row],[BKK]]&amp;"/"&amp;'BKU 1'!$E$1&amp;ROW())," ")</f>
        <v xml:space="preserve"> </v>
      </c>
      <c r="BW8" t="str">
        <f>IF(Table1824[[#This Row],[BKK]]&gt;" ",(TEXT(VLOOKUP(Table1824[[#This Row],[BKK]],COPY!$O$2:$U$1000,7,FALSE),"dd mmmm yyyy"))," ")</f>
        <v xml:space="preserve"> </v>
      </c>
      <c r="BX8" t="str">
        <f>IF(Table1824[[#This Row],[BKK]]&gt;" ",(TEXT((Table1824[[#This Row],[Tanggal Kirim]]+30),"dd mmmm yyyy"))," ")</f>
        <v xml:space="preserve"> </v>
      </c>
      <c r="BY8" t="str">
        <f>IF(Table1824[[#This Row],[BKK]]&gt;" ",'BKU 1'!$E$17," ")</f>
        <v xml:space="preserve"> </v>
      </c>
    </row>
    <row r="9" spans="1:77" x14ac:dyDescent="0.25">
      <c r="A9" t="str">
        <f>IFERROR((IF('Laporan ppn'!G6796&gt;0,VLOOKUP('Laporan ppn'!G6796,'Laporan ppn'!$E$10:$F$6785,2,FALSE),"")),"")</f>
        <v xml:space="preserve"> </v>
      </c>
      <c r="B9" t="str">
        <f>IF(Table1824[[#This Row],[BKK]]=" "," ",'BKU 1'!$D$25)</f>
        <v xml:space="preserve"> </v>
      </c>
      <c r="C9" t="str">
        <f>IF(Table1824[[#This Row],[BKK]]=" "," ",'BKU 1'!$D$26)</f>
        <v xml:space="preserve"> </v>
      </c>
      <c r="D9" t="str">
        <f>IF(Table1824[[#This Row],[BKK]]=" "," ",'BKU 1'!$I$25)</f>
        <v xml:space="preserve"> </v>
      </c>
      <c r="E9" t="str">
        <f>IFERROR(VLOOKUP(Table1824[[#This Row],[BKK]],'Un nOTA'!$D$4:$J$1004,2,FALSE),"")</f>
        <v/>
      </c>
      <c r="F9" t="str">
        <f>IFERROR(VLOOKUP(Table1824[[#This Row],[BKK]]&amp;TRIM(RIGHT(SUBSTITUTE(TRIM(Table1824[[#Headers],[Uraian a]])," ",REPT(" ",255)),255)),'Un nOTA'!$D$4:$J$1004,2,FALSE),"")</f>
        <v/>
      </c>
      <c r="G9" t="str">
        <f>IFERROR(VLOOKUP(Table1824[[#This Row],[BKK]]&amp;TRIM(RIGHT(SUBSTITUTE(TRIM(Table1824[[#Headers],[Uraian aa]])," ",REPT(" ",255)),255)),'Un nOTA'!$D$4:$J$1004,2,FALSE),"")</f>
        <v/>
      </c>
      <c r="H9" t="str">
        <f>IFERROR(VLOOKUP(Table1824[[#This Row],[BKK]]&amp;TRIM(RIGHT(SUBSTITUTE(TRIM(Table1824[[#Headers],[Uraian aaa]])," ",REPT(" ",255)),255)),'Un nOTA'!$D$4:$J$1004,2,FALSE),"")</f>
        <v/>
      </c>
      <c r="I9" t="str">
        <f>IFERROR(VLOOKUP(Table1824[[#This Row],[BKK]]&amp;TRIM(RIGHT(SUBSTITUTE(TRIM(Table1824[[#Headers],[Uraian aaaa]])," ",REPT(" ",255)),255)),'Un nOTA'!$D$4:$J$1004,2,FALSE),"")</f>
        <v/>
      </c>
      <c r="J9" t="str">
        <f>IFERROR(VLOOKUP(Table1824[[#This Row],[BKK]]&amp;TRIM(RIGHT(SUBSTITUTE(TRIM(Table1824[[#Headers],[Uraian aaaaa]])," ",REPT(" ",255)),255)),'Un nOTA'!$D$4:$J$1004,2,FALSE),"")</f>
        <v/>
      </c>
      <c r="K9" t="str">
        <f>IFERROR(VLOOKUP(Table1824[[#This Row],[BKK]]&amp;TRIM(RIGHT(SUBSTITUTE(TRIM(Table1824[[#Headers],[Uraian aaaaaa]])," ",REPT(" ",255)),255)),'Un nOTA'!$D$4:$J$1004,2,FALSE),"")</f>
        <v/>
      </c>
      <c r="L9" t="str">
        <f>IFERROR(VLOOKUP(Table1824[[#This Row],[BKK]]&amp;TRIM(RIGHT(SUBSTITUTE(TRIM(Table1824[[#Headers],[Uraian aaaaaaa]])," ",REPT(" ",255)),255)),'Un nOTA'!$D$4:$J$1004,2,FALSE),"")</f>
        <v/>
      </c>
      <c r="M9" t="str">
        <f>IFERROR(VLOOKUP(Table1824[[#This Row],[BKK]]&amp;TRIM(RIGHT(SUBSTITUTE(TRIM(Table1824[[#Headers],[Uraian aaaaaaaa]])," ",REPT(" ",255)),255)),'Un nOTA'!$D$4:$J$1004,2,FALSE),"")</f>
        <v/>
      </c>
      <c r="N9" t="str">
        <f>IFERROR(VLOOKUP(Table1824[[#This Row],[BKK]]&amp;TRIM(RIGHT(SUBSTITUTE(TRIM(Table1824[[#Headers],[Uraian aaaaaaaaa]])," ",REPT(" ",255)),255)),'Un nOTA'!$D$4:$J$1004,2,FALSE),"")</f>
        <v/>
      </c>
      <c r="O9" t="str">
        <f>IFERROR(VLOOKUP(Table1824[[#This Row],[BKK]]&amp;TRIM(RIGHT(SUBSTITUTE(TRIM(Table1824[[#Headers],[Uraian aaaaaaaaaa]])," ",REPT(" ",255)),255)),'Un nOTA'!$D$4:$J$1004,2,FALSE),"")</f>
        <v/>
      </c>
      <c r="P9" t="str">
        <f>IFERROR(VLOOKUP(Table1824[[#This Row],[BKK]]&amp;TRIM(RIGHT(SUBSTITUTE(TRIM(Table1824[[#Headers],[Uraian aaaaaaaaaaa]])," ",REPT(" ",255)),255)),'Un nOTA'!$D$4:$J$1004,2,FALSE),"")</f>
        <v/>
      </c>
      <c r="Q9" t="str">
        <f>IFERROR(VLOOKUP(Table1824[[#This Row],[BKK]]&amp;TRIM(RIGHT(SUBSTITUTE(TRIM(Table1824[[#Headers],[Uraian aaaaaaaaaaaa]])," ",REPT(" ",255)),255)),'Un nOTA'!$D$4:$J$1004,2,FALSE),"")</f>
        <v/>
      </c>
      <c r="R9" s="32" t="str">
        <f>IFERROR(VLOOKUP(Table1824[[#This Row],[BKK]],'Un nOTA'!$D$4:$J$1004,3,FALSE),"")</f>
        <v/>
      </c>
      <c r="S9" s="32" t="str">
        <f>IFERROR(VLOOKUP(Table1824[[#This Row],[BKK]]&amp;TRIM(RIGHT(SUBSTITUTE(TRIM(Table1824[[#Headers],[Uraian a]])," ",REPT(" ",255)),255)),'Un nOTA'!$D$4:$J$1004,3,FALSE),"")</f>
        <v/>
      </c>
      <c r="T9" s="32" t="str">
        <f>IFERROR(VLOOKUP(Table1824[[#This Row],[BKK]]&amp;TRIM(RIGHT(SUBSTITUTE(TRIM(Table1824[[#Headers],[Uraian aa]])," ",REPT(" ",255)),255)),'Un nOTA'!$D$4:$J$1004,3,FALSE),"")</f>
        <v/>
      </c>
      <c r="U9" s="32" t="str">
        <f>IFERROR(VLOOKUP(Table1824[[#This Row],[BKK]]&amp;TRIM(RIGHT(SUBSTITUTE(TRIM(Table1824[[#Headers],[Uraian aaa]])," ",REPT(" ",255)),255)),'Un nOTA'!$D$4:$J$1004,3,FALSE),"")</f>
        <v/>
      </c>
      <c r="V9" s="32" t="str">
        <f>IFERROR(VLOOKUP(Table1824[[#This Row],[BKK]]&amp;TRIM(RIGHT(SUBSTITUTE(TRIM(Table1824[[#Headers],[Uraian aaaa]])," ",REPT(" ",255)),255)),'Un nOTA'!$D$4:$J$1004,3,FALSE),"")</f>
        <v/>
      </c>
      <c r="W9" s="32" t="str">
        <f>IFERROR(VLOOKUP(Table1824[[#This Row],[BKK]]&amp;TRIM(RIGHT(SUBSTITUTE(TRIM(Table1824[[#Headers],[Uraian aaaaa]])," ",REPT(" ",255)),255)),'Un nOTA'!$D$4:$J$1004,3,FALSE),"")</f>
        <v/>
      </c>
      <c r="X9" s="32" t="str">
        <f>IFERROR(VLOOKUP(Table1824[[#This Row],[BKK]]&amp;TRIM(RIGHT(SUBSTITUTE(TRIM(Table1824[[#Headers],[Uraian aaaaaa]])," ",REPT(" ",255)),255)),'Un nOTA'!$D$4:$J$1004,3,FALSE),"")</f>
        <v/>
      </c>
      <c r="Y9" s="32" t="str">
        <f>IFERROR(VLOOKUP(Table1824[[#This Row],[BKK]]&amp;TRIM(RIGHT(SUBSTITUTE(TRIM(Table1824[[#Headers],[Uraian aaaaaaa]])," ",REPT(" ",255)),255)),'Un nOTA'!$D$4:$J$1004,3,FALSE),"")</f>
        <v/>
      </c>
      <c r="Z9" s="32" t="str">
        <f>IFERROR(VLOOKUP(Table1824[[#This Row],[BKK]]&amp;TRIM(RIGHT(SUBSTITUTE(TRIM(Table1824[[#Headers],[Uraian aaaaaaaa]])," ",REPT(" ",255)),255)),'Un nOTA'!$D$4:$J$1004,3,FALSE),"")</f>
        <v/>
      </c>
      <c r="AA9" s="32" t="str">
        <f>IFERROR(VLOOKUP(Table1824[[#This Row],[BKK]]&amp;TRIM(RIGHT(SUBSTITUTE(TRIM(Table1824[[#Headers],[Uraian aaaaaaaaa]])," ",REPT(" ",255)),255)),'Un nOTA'!$D$4:$J$1004,3,FALSE),"")</f>
        <v/>
      </c>
      <c r="AB9" s="32" t="str">
        <f>IFERROR(VLOOKUP(Table1824[[#This Row],[BKK]]&amp;TRIM(RIGHT(SUBSTITUTE(TRIM(Table1824[[#Headers],[Uraian aaaaaaaaaa]])," ",REPT(" ",255)),255)),'Un nOTA'!$D$4:$J$1004,3,FALSE),"")</f>
        <v/>
      </c>
      <c r="AC9" s="32" t="str">
        <f>IFERROR(VLOOKUP(Table1824[[#This Row],[BKK]]&amp;TRIM(RIGHT(SUBSTITUTE(TRIM(Table1824[[#Headers],[Uraian aaaaaaaaaaa]])," ",REPT(" ",255)),255)),'Un nOTA'!$D$4:$J$1004,3,FALSE),"")</f>
        <v/>
      </c>
      <c r="AD9" s="32" t="str">
        <f>IFERROR(VLOOKUP(Table1824[[#This Row],[BKK]]&amp;TRIM(RIGHT(SUBSTITUTE(TRIM(Table1824[[#Headers],[Uraian aaaaaaaaaaaa]])," ",REPT(" ",255)),255)),'Un nOTA'!$D$4:$J$1004,3,FALSE),"")</f>
        <v/>
      </c>
      <c r="AE9" s="8" t="str">
        <f>IFERROR(VLOOKUP(Table1824[[#This Row],[BKK]],'Un nOTA'!$D$4:$J$1004,4,FALSE),"")</f>
        <v/>
      </c>
      <c r="AF9" s="8" t="str">
        <f>IFERROR(VLOOKUP(Table1824[[#This Row],[BKK]]&amp;TRIM(RIGHT(SUBSTITUTE(TRIM(Table1824[[#Headers],[Uraian a]])," ",REPT(" ",255)),255)),'Un nOTA'!$D$4:$J$1004,4,FALSE),"")</f>
        <v/>
      </c>
      <c r="AG9" s="8" t="str">
        <f>IFERROR(VLOOKUP(Table1824[[#This Row],[BKK]]&amp;TRIM(RIGHT(SUBSTITUTE(TRIM(Table1824[[#Headers],[Uraian aa]])," ",REPT(" ",255)),255)),'Un nOTA'!$D$4:$J$1004,4,FALSE),"")</f>
        <v/>
      </c>
      <c r="AH9" s="8" t="str">
        <f>IFERROR(VLOOKUP(Table1824[[#This Row],[BKK]]&amp;TRIM(RIGHT(SUBSTITUTE(TRIM(Table1824[[#Headers],[Uraian aaa]])," ",REPT(" ",255)),255)),'Un nOTA'!$D$4:$J$1004,4,FALSE),"")</f>
        <v/>
      </c>
      <c r="AI9" s="8" t="str">
        <f>IFERROR(VLOOKUP(Table1824[[#This Row],[BKK]]&amp;TRIM(RIGHT(SUBSTITUTE(TRIM(Table1824[[#Headers],[Uraian aaaa]])," ",REPT(" ",255)),255)),'Un nOTA'!$D$4:$J$1004,4,FALSE),"")</f>
        <v/>
      </c>
      <c r="AJ9" s="8" t="str">
        <f>IFERROR(VLOOKUP(Table1824[[#This Row],[BKK]]&amp;TRIM(RIGHT(SUBSTITUTE(TRIM(Table1824[[#Headers],[Uraian aaaaa]])," ",REPT(" ",255)),255)),'Un nOTA'!$D$4:$J$1004,4,FALSE),"")</f>
        <v/>
      </c>
      <c r="AK9" s="8" t="str">
        <f>IFERROR(VLOOKUP(Table1824[[#This Row],[BKK]]&amp;TRIM(RIGHT(SUBSTITUTE(TRIM(Table1824[[#Headers],[Uraian aaaaaa]])," ",REPT(" ",255)),255)),'Un nOTA'!$D$4:$J$1004,4,FALSE),"")</f>
        <v/>
      </c>
      <c r="AL9" s="8" t="str">
        <f>IFERROR(VLOOKUP(Table1824[[#This Row],[BKK]]&amp;TRIM(RIGHT(SUBSTITUTE(TRIM(Table1824[[#Headers],[Uraian aaaaaaa]])," ",REPT(" ",255)),255)),'Un nOTA'!$D$4:$J$1004,4,FALSE),"")</f>
        <v/>
      </c>
      <c r="AM9" s="8" t="str">
        <f>IFERROR(VLOOKUP(Table1824[[#This Row],[BKK]]&amp;TRIM(RIGHT(SUBSTITUTE(TRIM(Table1824[[#Headers],[Uraian aaaaaaaa]])," ",REPT(" ",255)),255)),'Un nOTA'!$D$4:$J$1004,4,FALSE),"")</f>
        <v/>
      </c>
      <c r="AN9" s="8" t="str">
        <f>IFERROR(VLOOKUP(Table1824[[#This Row],[BKK]]&amp;TRIM(RIGHT(SUBSTITUTE(TRIM(Table1824[[#Headers],[Uraian aaaaaaaaa]])," ",REPT(" ",255)),255)),'Un nOTA'!$D$4:$J$1004,4,FALSE),"")</f>
        <v/>
      </c>
      <c r="AO9" s="8" t="str">
        <f>IFERROR(VLOOKUP(Table1824[[#This Row],[BKK]]&amp;TRIM(RIGHT(SUBSTITUTE(TRIM(Table1824[[#Headers],[Uraian aaaaaaaaaa]])," ",REPT(" ",255)),255)),'Un nOTA'!$D$4:$J$1004,4,FALSE),"")</f>
        <v/>
      </c>
      <c r="AP9" s="8" t="str">
        <f>IFERROR(VLOOKUP(Table1824[[#This Row],[BKK]]&amp;TRIM(RIGHT(SUBSTITUTE(TRIM(Table1824[[#Headers],[Uraian aaaaaaaaaaa]])," ",REPT(" ",255)),255)),'Un nOTA'!$D$4:$J$1004,4,FALSE),"")</f>
        <v/>
      </c>
      <c r="AQ9" s="8" t="str">
        <f>IFERROR(VLOOKUP(Table1824[[#This Row],[BKK]]&amp;TRIM(RIGHT(SUBSTITUTE(TRIM(Table1824[[#Headers],[Uraian aaaaaaaaaaaa]])," ",REPT(" ",255)),255)),'Un nOTA'!$D$4:$J$1004,4,FALSE),"")</f>
        <v/>
      </c>
      <c r="AR9" s="8" t="str">
        <f>IFERROR((IFERROR(VLOOKUP(Table1824[[#This Row],[BKK]],'Un nOTA'!$D$4:$J$1004,5,FALSE),""))*(10/11),"")</f>
        <v/>
      </c>
      <c r="AS9" s="8" t="str">
        <f>IFERROR((IFERROR(VLOOKUP(Table1824[[#This Row],[BKK]]&amp;TRIM(RIGHT(SUBSTITUTE(TRIM(Table1824[[#Headers],[Uraian a]])," ",REPT(" ",255)),255)),'Un nOTA'!$D$4:$J$1004,5,FALSE),"")*(10/11)),"")</f>
        <v/>
      </c>
      <c r="AT9" s="8" t="str">
        <f>IFERROR((IFERROR(VLOOKUP(Table1824[[#This Row],[BKK]]&amp;TRIM(RIGHT(SUBSTITUTE(TRIM(Table1824[[#Headers],[Uraian aa]])," ",REPT(" ",255)),255)),'Un nOTA'!$D$4:$J$1004,5,FALSE),"")*(10/11)),"")</f>
        <v/>
      </c>
      <c r="AU9" s="8" t="str">
        <f>IFERROR((IFERROR(VLOOKUP(Table1824[[#This Row],[BKK]]&amp;TRIM(RIGHT(SUBSTITUTE(TRIM(Table1824[[#Headers],[Uraian aaa]])," ",REPT(" ",255)),255)),'Un nOTA'!$D$4:$J$1004,5,FALSE),"")*(10/11)),"")</f>
        <v/>
      </c>
      <c r="AV9" s="8" t="str">
        <f>IFERROR((IFERROR(VLOOKUP(Table1824[[#This Row],[BKK]]&amp;TRIM(RIGHT(SUBSTITUTE(TRIM(Table1824[[#Headers],[Uraian aaaa]])," ",REPT(" ",255)),255)),'Un nOTA'!$D$4:$J$1004,5,FALSE),"")*(10/11)),"")</f>
        <v/>
      </c>
      <c r="AW9" s="8" t="str">
        <f>IFERROR((IFERROR(VLOOKUP(Table1824[[#This Row],[BKK]]&amp;TRIM(RIGHT(SUBSTITUTE(TRIM(Table1824[[#Headers],[Uraian aaaaa]])," ",REPT(" ",255)),255)),'Un nOTA'!$D$4:$J$1004,5,FALSE),"")*(10/11)),"")</f>
        <v/>
      </c>
      <c r="AX9" s="8" t="str">
        <f>IFERROR((IFERROR(VLOOKUP(Table1824[[#This Row],[BKK]]&amp;TRIM(RIGHT(SUBSTITUTE(TRIM(Table1824[[#Headers],[Uraian aaaaaa]])," ",REPT(" ",255)),255)),'Un nOTA'!$D$4:$J$1004,5,FALSE),"")*(10/11)),"")</f>
        <v/>
      </c>
      <c r="AY9" s="8" t="str">
        <f>IFERROR((IFERROR(VLOOKUP(Table1824[[#This Row],[BKK]]&amp;TRIM(RIGHT(SUBSTITUTE(TRIM(Table1824[[#Headers],[Uraian aaaaaaa]])," ",REPT(" ",255)),255)),'Un nOTA'!$D$4:$J$1004,5,FALSE),"")*(10/11)),"")</f>
        <v/>
      </c>
      <c r="AZ9" s="8" t="str">
        <f>IFERROR((IFERROR(VLOOKUP(Table1824[[#This Row],[BKK]]&amp;TRIM(RIGHT(SUBSTITUTE(TRIM(Table1824[[#Headers],[Uraian aaaaaaaa]])," ",REPT(" ",255)),255)),'Un nOTA'!$D$4:$J$1004,5,FALSE),"")*(10/11)),"")</f>
        <v/>
      </c>
      <c r="BA9" s="8" t="str">
        <f>IFERROR((IFERROR(VLOOKUP(Table1824[[#This Row],[BKK]]&amp;TRIM(RIGHT(SUBSTITUTE(TRIM(Table1824[[#Headers],[Uraian aaaaaaaaa]])," ",REPT(" ",255)),255)),'Un nOTA'!$D$4:$J$1004,5,FALSE),"")*(10/11)),"")</f>
        <v/>
      </c>
      <c r="BB9" s="8" t="str">
        <f>IFERROR((IFERROR(VLOOKUP(Table1824[[#This Row],[BKK]]&amp;TRIM(RIGHT(SUBSTITUTE(TRIM(Table1824[[#Headers],[Uraian aaaaaaaaaa]])," ",REPT(" ",255)),255)),'Un nOTA'!$D$4:$J$1004,5,FALSE),"")*(10/11)),"")</f>
        <v/>
      </c>
      <c r="BC9" s="8" t="str">
        <f>IFERROR((IFERROR(VLOOKUP(Table1824[[#This Row],[BKK]]&amp;TRIM(RIGHT(SUBSTITUTE(TRIM(Table1824[[#Headers],[Uraian aaaaaaaaaaa]])," ",REPT(" ",255)),255)),'Un nOTA'!$D$4:$J$1004,5,FALSE),"")*(10/11)),"")</f>
        <v/>
      </c>
      <c r="BD9" s="8" t="str">
        <f>IFERROR((IFERROR(VLOOKUP(Table1824[[#This Row],[BKK]]&amp;TRIM(RIGHT(SUBSTITUTE(TRIM(Table1824[[#Headers],[Uraian aaaaaaaaaaaa]])," ",REPT(" ",255)),255)),'Un nOTA'!$D$4:$J$1004,5,FALSE),"")*(10/11)),"")</f>
        <v/>
      </c>
      <c r="BE9" s="23" t="str">
        <f>IFERROR(ROUNDUP((Table1824[[#This Row],[Qty]]*Table1824[[#This Row],[Hrg St]]),0),"")</f>
        <v/>
      </c>
      <c r="BF9" s="8" t="str">
        <f>IFERROR(ROUNDUP((Table1824[[#This Row],[Qty2]]*Table1824[[#This Row],[Hrg St2]]),0),"")</f>
        <v/>
      </c>
      <c r="BG9" s="8" t="str">
        <f>IFERROR(ROUNDUP((Table1824[[#This Row],[Qty3]]*Table1824[[#This Row],[Hrg St3]]),0),"")</f>
        <v/>
      </c>
      <c r="BH9" s="8" t="str">
        <f>IFERROR(ROUNDUP((Table1824[[#This Row],[Qty4]]*Table1824[[#This Row],[Hrg St4]]),0),"")</f>
        <v/>
      </c>
      <c r="BI9" s="8" t="str">
        <f>IFERROR(ROUNDUP((Table1824[[#This Row],[Qty5]]*Table1824[[#This Row],[Hrg St5]]),0),"")</f>
        <v/>
      </c>
      <c r="BJ9" s="8" t="str">
        <f>IFERROR(ROUNDUP((Table1824[[#This Row],[Qty6]]*Table1824[[#This Row],[Hrg St6]]),0),"")</f>
        <v/>
      </c>
      <c r="BK9" s="8" t="str">
        <f>IFERROR(ROUNDUP((Table1824[[#This Row],[Qty7]]*Table1824[[#This Row],[Hrg St7]]),0),"")</f>
        <v/>
      </c>
      <c r="BL9" s="8" t="str">
        <f>IFERROR(ROUNDUP((Table1824[[#This Row],[Qty8]]*Table1824[[#This Row],[Hrg St8]]),0),"")</f>
        <v/>
      </c>
      <c r="BM9" s="8" t="str">
        <f>IFERROR(ROUNDUP((Table1824[[#This Row],[Qty9]]*Table1824[[#This Row],[Hrg St9]]),0),"")</f>
        <v/>
      </c>
      <c r="BN9" s="8" t="str">
        <f>IFERROR(ROUNDUP((Table1824[[#This Row],[Qty10]]*Table1824[[#This Row],[Hrg St10]]),0),"")</f>
        <v/>
      </c>
      <c r="BO9" s="8" t="str">
        <f>IFERROR(ROUNDUP((Table1824[[#This Row],[Qty11]]*Table1824[[#This Row],[Hrg St11]]),0),"")</f>
        <v/>
      </c>
      <c r="BP9" s="8" t="str">
        <f>IFERROR(ROUNDUP((Table1824[[#This Row],[Qty12]]*Table1824[[#This Row],[Hrg St12]]),0),"")</f>
        <v/>
      </c>
      <c r="BQ9" s="8" t="str">
        <f>IFERROR(ROUNDUP((Table1824[[#This Row],[Qty13]]*Table1824[[#This Row],[Hrg St13]]),0),"")</f>
        <v/>
      </c>
      <c r="BR9" s="23" t="str">
        <f>IF(Table1824[[#This Row],[BKK]]&gt;" ",IFERROR(ROUNDUP((SUM(Table1824[[#This Row],[Jml]:[Jml13]])),0)," ")," ")</f>
        <v xml:space="preserve"> </v>
      </c>
      <c r="BS9" s="23" t="str">
        <f>IF(Table1824[[#This Row],[BKK]]&gt;" ",ROUND((Table1824[[#This Row],[Total]]*0.1),0)," ")</f>
        <v xml:space="preserve"> </v>
      </c>
      <c r="BT9" s="23" t="str">
        <f>IF(Table1824[[#This Row],[BKK]]&gt;" ",(Table1824[[#This Row],[Total]]+Table1824[[#This Row],[PPN]])," ")</f>
        <v xml:space="preserve"> </v>
      </c>
      <c r="BU9" t="s">
        <v>454</v>
      </c>
      <c r="BV9" t="str">
        <f>IF(Table1824[[#This Row],[BKK]]&gt;" ",("INV/AK-MLG/2019/"&amp;'BKU 1'!$E$1&amp;"/"&amp;Table1824[[#This Row],[BKK]]&amp;"/"&amp;'BKU 1'!$E$1&amp;ROW())," ")</f>
        <v xml:space="preserve"> </v>
      </c>
      <c r="BW9" t="str">
        <f>IF(Table1824[[#This Row],[BKK]]&gt;" ",(TEXT(VLOOKUP(Table1824[[#This Row],[BKK]],COPY!$O$2:$U$1000,7,FALSE),"dd mmmm yyyy"))," ")</f>
        <v xml:space="preserve"> </v>
      </c>
      <c r="BX9" t="str">
        <f>IF(Table1824[[#This Row],[BKK]]&gt;" ",(TEXT((Table1824[[#This Row],[Tanggal Kirim]]+30),"dd mmmm yyyy"))," ")</f>
        <v xml:space="preserve"> </v>
      </c>
      <c r="BY9" t="str">
        <f>IF(Table1824[[#This Row],[BKK]]&gt;" ",'BKU 1'!$E$17," ")</f>
        <v xml:space="preserve"> </v>
      </c>
    </row>
    <row r="10" spans="1:77" x14ac:dyDescent="0.25">
      <c r="A10" t="str">
        <f>IFERROR((IF('Laporan ppn'!G6797&gt;0,VLOOKUP('Laporan ppn'!G6797,'Laporan ppn'!$E$10:$F$6785,2,FALSE),"")),"")</f>
        <v xml:space="preserve"> </v>
      </c>
      <c r="B10" t="str">
        <f>IF(Table1824[[#This Row],[BKK]]=" "," ",'BKU 1'!$D$25)</f>
        <v xml:space="preserve"> </v>
      </c>
      <c r="C10" t="str">
        <f>IF(Table1824[[#This Row],[BKK]]=" "," ",'BKU 1'!$D$26)</f>
        <v xml:space="preserve"> </v>
      </c>
      <c r="D10" t="str">
        <f>IF(Table1824[[#This Row],[BKK]]=" "," ",'BKU 1'!$I$25)</f>
        <v xml:space="preserve"> </v>
      </c>
      <c r="E10" t="str">
        <f>IFERROR(VLOOKUP(Table1824[[#This Row],[BKK]],'Un nOTA'!$D$4:$J$1004,2,FALSE),"")</f>
        <v/>
      </c>
      <c r="F10" t="str">
        <f>IFERROR(VLOOKUP(Table1824[[#This Row],[BKK]]&amp;TRIM(RIGHT(SUBSTITUTE(TRIM(Table1824[[#Headers],[Uraian a]])," ",REPT(" ",255)),255)),'Un nOTA'!$D$4:$J$1004,2,FALSE),"")</f>
        <v/>
      </c>
      <c r="G10" t="str">
        <f>IFERROR(VLOOKUP(Table1824[[#This Row],[BKK]]&amp;TRIM(RIGHT(SUBSTITUTE(TRIM(Table1824[[#Headers],[Uraian aa]])," ",REPT(" ",255)),255)),'Un nOTA'!$D$4:$J$1004,2,FALSE),"")</f>
        <v/>
      </c>
      <c r="H10" t="str">
        <f>IFERROR(VLOOKUP(Table1824[[#This Row],[BKK]]&amp;TRIM(RIGHT(SUBSTITUTE(TRIM(Table1824[[#Headers],[Uraian aaa]])," ",REPT(" ",255)),255)),'Un nOTA'!$D$4:$J$1004,2,FALSE),"")</f>
        <v/>
      </c>
      <c r="I10" t="str">
        <f>IFERROR(VLOOKUP(Table1824[[#This Row],[BKK]]&amp;TRIM(RIGHT(SUBSTITUTE(TRIM(Table1824[[#Headers],[Uraian aaaa]])," ",REPT(" ",255)),255)),'Un nOTA'!$D$4:$J$1004,2,FALSE),"")</f>
        <v/>
      </c>
      <c r="J10" t="str">
        <f>IFERROR(VLOOKUP(Table1824[[#This Row],[BKK]]&amp;TRIM(RIGHT(SUBSTITUTE(TRIM(Table1824[[#Headers],[Uraian aaaaa]])," ",REPT(" ",255)),255)),'Un nOTA'!$D$4:$J$1004,2,FALSE),"")</f>
        <v/>
      </c>
      <c r="K10" t="str">
        <f>IFERROR(VLOOKUP(Table1824[[#This Row],[BKK]]&amp;TRIM(RIGHT(SUBSTITUTE(TRIM(Table1824[[#Headers],[Uraian aaaaaa]])," ",REPT(" ",255)),255)),'Un nOTA'!$D$4:$J$1004,2,FALSE),"")</f>
        <v/>
      </c>
      <c r="L10" t="str">
        <f>IFERROR(VLOOKUP(Table1824[[#This Row],[BKK]]&amp;TRIM(RIGHT(SUBSTITUTE(TRIM(Table1824[[#Headers],[Uraian aaaaaaa]])," ",REPT(" ",255)),255)),'Un nOTA'!$D$4:$J$1004,2,FALSE),"")</f>
        <v/>
      </c>
      <c r="M10" t="str">
        <f>IFERROR(VLOOKUP(Table1824[[#This Row],[BKK]]&amp;TRIM(RIGHT(SUBSTITUTE(TRIM(Table1824[[#Headers],[Uraian aaaaaaaa]])," ",REPT(" ",255)),255)),'Un nOTA'!$D$4:$J$1004,2,FALSE),"")</f>
        <v/>
      </c>
      <c r="N10" t="str">
        <f>IFERROR(VLOOKUP(Table1824[[#This Row],[BKK]]&amp;TRIM(RIGHT(SUBSTITUTE(TRIM(Table1824[[#Headers],[Uraian aaaaaaaaa]])," ",REPT(" ",255)),255)),'Un nOTA'!$D$4:$J$1004,2,FALSE),"")</f>
        <v/>
      </c>
      <c r="O10" t="str">
        <f>IFERROR(VLOOKUP(Table1824[[#This Row],[BKK]]&amp;TRIM(RIGHT(SUBSTITUTE(TRIM(Table1824[[#Headers],[Uraian aaaaaaaaaa]])," ",REPT(" ",255)),255)),'Un nOTA'!$D$4:$J$1004,2,FALSE),"")</f>
        <v/>
      </c>
      <c r="P10" t="str">
        <f>IFERROR(VLOOKUP(Table1824[[#This Row],[BKK]]&amp;TRIM(RIGHT(SUBSTITUTE(TRIM(Table1824[[#Headers],[Uraian aaaaaaaaaaa]])," ",REPT(" ",255)),255)),'Un nOTA'!$D$4:$J$1004,2,FALSE),"")</f>
        <v/>
      </c>
      <c r="Q10" t="str">
        <f>IFERROR(VLOOKUP(Table1824[[#This Row],[BKK]]&amp;TRIM(RIGHT(SUBSTITUTE(TRIM(Table1824[[#Headers],[Uraian aaaaaaaaaaaa]])," ",REPT(" ",255)),255)),'Un nOTA'!$D$4:$J$1004,2,FALSE),"")</f>
        <v/>
      </c>
      <c r="R10" s="32" t="str">
        <f>IFERROR(VLOOKUP(Table1824[[#This Row],[BKK]],'Un nOTA'!$D$4:$J$1004,3,FALSE),"")</f>
        <v/>
      </c>
      <c r="S10" s="32" t="str">
        <f>IFERROR(VLOOKUP(Table1824[[#This Row],[BKK]]&amp;TRIM(RIGHT(SUBSTITUTE(TRIM(Table1824[[#Headers],[Uraian a]])," ",REPT(" ",255)),255)),'Un nOTA'!$D$4:$J$1004,3,FALSE),"")</f>
        <v/>
      </c>
      <c r="T10" s="32" t="str">
        <f>IFERROR(VLOOKUP(Table1824[[#This Row],[BKK]]&amp;TRIM(RIGHT(SUBSTITUTE(TRIM(Table1824[[#Headers],[Uraian aa]])," ",REPT(" ",255)),255)),'Un nOTA'!$D$4:$J$1004,3,FALSE),"")</f>
        <v/>
      </c>
      <c r="U10" s="32" t="str">
        <f>IFERROR(VLOOKUP(Table1824[[#This Row],[BKK]]&amp;TRIM(RIGHT(SUBSTITUTE(TRIM(Table1824[[#Headers],[Uraian aaa]])," ",REPT(" ",255)),255)),'Un nOTA'!$D$4:$J$1004,3,FALSE),"")</f>
        <v/>
      </c>
      <c r="V10" s="32" t="str">
        <f>IFERROR(VLOOKUP(Table1824[[#This Row],[BKK]]&amp;TRIM(RIGHT(SUBSTITUTE(TRIM(Table1824[[#Headers],[Uraian aaaa]])," ",REPT(" ",255)),255)),'Un nOTA'!$D$4:$J$1004,3,FALSE),"")</f>
        <v/>
      </c>
      <c r="W10" s="32" t="str">
        <f>IFERROR(VLOOKUP(Table1824[[#This Row],[BKK]]&amp;TRIM(RIGHT(SUBSTITUTE(TRIM(Table1824[[#Headers],[Uraian aaaaa]])," ",REPT(" ",255)),255)),'Un nOTA'!$D$4:$J$1004,3,FALSE),"")</f>
        <v/>
      </c>
      <c r="X10" s="32" t="str">
        <f>IFERROR(VLOOKUP(Table1824[[#This Row],[BKK]]&amp;TRIM(RIGHT(SUBSTITUTE(TRIM(Table1824[[#Headers],[Uraian aaaaaa]])," ",REPT(" ",255)),255)),'Un nOTA'!$D$4:$J$1004,3,FALSE),"")</f>
        <v/>
      </c>
      <c r="Y10" s="32" t="str">
        <f>IFERROR(VLOOKUP(Table1824[[#This Row],[BKK]]&amp;TRIM(RIGHT(SUBSTITUTE(TRIM(Table1824[[#Headers],[Uraian aaaaaaa]])," ",REPT(" ",255)),255)),'Un nOTA'!$D$4:$J$1004,3,FALSE),"")</f>
        <v/>
      </c>
      <c r="Z10" s="32" t="str">
        <f>IFERROR(VLOOKUP(Table1824[[#This Row],[BKK]]&amp;TRIM(RIGHT(SUBSTITUTE(TRIM(Table1824[[#Headers],[Uraian aaaaaaaa]])," ",REPT(" ",255)),255)),'Un nOTA'!$D$4:$J$1004,3,FALSE),"")</f>
        <v/>
      </c>
      <c r="AA10" s="32" t="str">
        <f>IFERROR(VLOOKUP(Table1824[[#This Row],[BKK]]&amp;TRIM(RIGHT(SUBSTITUTE(TRIM(Table1824[[#Headers],[Uraian aaaaaaaaa]])," ",REPT(" ",255)),255)),'Un nOTA'!$D$4:$J$1004,3,FALSE),"")</f>
        <v/>
      </c>
      <c r="AB10" s="32" t="str">
        <f>IFERROR(VLOOKUP(Table1824[[#This Row],[BKK]]&amp;TRIM(RIGHT(SUBSTITUTE(TRIM(Table1824[[#Headers],[Uraian aaaaaaaaaa]])," ",REPT(" ",255)),255)),'Un nOTA'!$D$4:$J$1004,3,FALSE),"")</f>
        <v/>
      </c>
      <c r="AC10" s="32" t="str">
        <f>IFERROR(VLOOKUP(Table1824[[#This Row],[BKK]]&amp;TRIM(RIGHT(SUBSTITUTE(TRIM(Table1824[[#Headers],[Uraian aaaaaaaaaaa]])," ",REPT(" ",255)),255)),'Un nOTA'!$D$4:$J$1004,3,FALSE),"")</f>
        <v/>
      </c>
      <c r="AD10" s="32" t="str">
        <f>IFERROR(VLOOKUP(Table1824[[#This Row],[BKK]]&amp;TRIM(RIGHT(SUBSTITUTE(TRIM(Table1824[[#Headers],[Uraian aaaaaaaaaaaa]])," ",REPT(" ",255)),255)),'Un nOTA'!$D$4:$J$1004,3,FALSE),"")</f>
        <v/>
      </c>
      <c r="AE10" s="8" t="str">
        <f>IFERROR(VLOOKUP(Table1824[[#This Row],[BKK]],'Un nOTA'!$D$4:$J$1004,4,FALSE),"")</f>
        <v/>
      </c>
      <c r="AF10" s="8" t="str">
        <f>IFERROR(VLOOKUP(Table1824[[#This Row],[BKK]]&amp;TRIM(RIGHT(SUBSTITUTE(TRIM(Table1824[[#Headers],[Uraian a]])," ",REPT(" ",255)),255)),'Un nOTA'!$D$4:$J$1004,4,FALSE),"")</f>
        <v/>
      </c>
      <c r="AG10" s="8" t="str">
        <f>IFERROR(VLOOKUP(Table1824[[#This Row],[BKK]]&amp;TRIM(RIGHT(SUBSTITUTE(TRIM(Table1824[[#Headers],[Uraian aa]])," ",REPT(" ",255)),255)),'Un nOTA'!$D$4:$J$1004,4,FALSE),"")</f>
        <v/>
      </c>
      <c r="AH10" s="8" t="str">
        <f>IFERROR(VLOOKUP(Table1824[[#This Row],[BKK]]&amp;TRIM(RIGHT(SUBSTITUTE(TRIM(Table1824[[#Headers],[Uraian aaa]])," ",REPT(" ",255)),255)),'Un nOTA'!$D$4:$J$1004,4,FALSE),"")</f>
        <v/>
      </c>
      <c r="AI10" s="8" t="str">
        <f>IFERROR(VLOOKUP(Table1824[[#This Row],[BKK]]&amp;TRIM(RIGHT(SUBSTITUTE(TRIM(Table1824[[#Headers],[Uraian aaaa]])," ",REPT(" ",255)),255)),'Un nOTA'!$D$4:$J$1004,4,FALSE),"")</f>
        <v/>
      </c>
      <c r="AJ10" s="8" t="str">
        <f>IFERROR(VLOOKUP(Table1824[[#This Row],[BKK]]&amp;TRIM(RIGHT(SUBSTITUTE(TRIM(Table1824[[#Headers],[Uraian aaaaa]])," ",REPT(" ",255)),255)),'Un nOTA'!$D$4:$J$1004,4,FALSE),"")</f>
        <v/>
      </c>
      <c r="AK10" s="8" t="str">
        <f>IFERROR(VLOOKUP(Table1824[[#This Row],[BKK]]&amp;TRIM(RIGHT(SUBSTITUTE(TRIM(Table1824[[#Headers],[Uraian aaaaaa]])," ",REPT(" ",255)),255)),'Un nOTA'!$D$4:$J$1004,4,FALSE),"")</f>
        <v/>
      </c>
      <c r="AL10" s="8" t="str">
        <f>IFERROR(VLOOKUP(Table1824[[#This Row],[BKK]]&amp;TRIM(RIGHT(SUBSTITUTE(TRIM(Table1824[[#Headers],[Uraian aaaaaaa]])," ",REPT(" ",255)),255)),'Un nOTA'!$D$4:$J$1004,4,FALSE),"")</f>
        <v/>
      </c>
      <c r="AM10" s="8" t="str">
        <f>IFERROR(VLOOKUP(Table1824[[#This Row],[BKK]]&amp;TRIM(RIGHT(SUBSTITUTE(TRIM(Table1824[[#Headers],[Uraian aaaaaaaa]])," ",REPT(" ",255)),255)),'Un nOTA'!$D$4:$J$1004,4,FALSE),"")</f>
        <v/>
      </c>
      <c r="AN10" s="8" t="str">
        <f>IFERROR(VLOOKUP(Table1824[[#This Row],[BKK]]&amp;TRIM(RIGHT(SUBSTITUTE(TRIM(Table1824[[#Headers],[Uraian aaaaaaaaa]])," ",REPT(" ",255)),255)),'Un nOTA'!$D$4:$J$1004,4,FALSE),"")</f>
        <v/>
      </c>
      <c r="AO10" s="8" t="str">
        <f>IFERROR(VLOOKUP(Table1824[[#This Row],[BKK]]&amp;TRIM(RIGHT(SUBSTITUTE(TRIM(Table1824[[#Headers],[Uraian aaaaaaaaaa]])," ",REPT(" ",255)),255)),'Un nOTA'!$D$4:$J$1004,4,FALSE),"")</f>
        <v/>
      </c>
      <c r="AP10" s="8" t="str">
        <f>IFERROR(VLOOKUP(Table1824[[#This Row],[BKK]]&amp;TRIM(RIGHT(SUBSTITUTE(TRIM(Table1824[[#Headers],[Uraian aaaaaaaaaaa]])," ",REPT(" ",255)),255)),'Un nOTA'!$D$4:$J$1004,4,FALSE),"")</f>
        <v/>
      </c>
      <c r="AQ10" s="8" t="str">
        <f>IFERROR(VLOOKUP(Table1824[[#This Row],[BKK]]&amp;TRIM(RIGHT(SUBSTITUTE(TRIM(Table1824[[#Headers],[Uraian aaaaaaaaaaaa]])," ",REPT(" ",255)),255)),'Un nOTA'!$D$4:$J$1004,4,FALSE),"")</f>
        <v/>
      </c>
      <c r="AR10" s="8" t="str">
        <f>IFERROR((IFERROR(VLOOKUP(Table1824[[#This Row],[BKK]],'Un nOTA'!$D$4:$J$1004,5,FALSE),""))*(10/11),"")</f>
        <v/>
      </c>
      <c r="AS10" s="8" t="str">
        <f>IFERROR((IFERROR(VLOOKUP(Table1824[[#This Row],[BKK]]&amp;TRIM(RIGHT(SUBSTITUTE(TRIM(Table1824[[#Headers],[Uraian a]])," ",REPT(" ",255)),255)),'Un nOTA'!$D$4:$J$1004,5,FALSE),"")*(10/11)),"")</f>
        <v/>
      </c>
      <c r="AT10" s="8" t="str">
        <f>IFERROR((IFERROR(VLOOKUP(Table1824[[#This Row],[BKK]]&amp;TRIM(RIGHT(SUBSTITUTE(TRIM(Table1824[[#Headers],[Uraian aa]])," ",REPT(" ",255)),255)),'Un nOTA'!$D$4:$J$1004,5,FALSE),"")*(10/11)),"")</f>
        <v/>
      </c>
      <c r="AU10" s="8" t="str">
        <f>IFERROR((IFERROR(VLOOKUP(Table1824[[#This Row],[BKK]]&amp;TRIM(RIGHT(SUBSTITUTE(TRIM(Table1824[[#Headers],[Uraian aaa]])," ",REPT(" ",255)),255)),'Un nOTA'!$D$4:$J$1004,5,FALSE),"")*(10/11)),"")</f>
        <v/>
      </c>
      <c r="AV10" s="8" t="str">
        <f>IFERROR((IFERROR(VLOOKUP(Table1824[[#This Row],[BKK]]&amp;TRIM(RIGHT(SUBSTITUTE(TRIM(Table1824[[#Headers],[Uraian aaaa]])," ",REPT(" ",255)),255)),'Un nOTA'!$D$4:$J$1004,5,FALSE),"")*(10/11)),"")</f>
        <v/>
      </c>
      <c r="AW10" s="8" t="str">
        <f>IFERROR((IFERROR(VLOOKUP(Table1824[[#This Row],[BKK]]&amp;TRIM(RIGHT(SUBSTITUTE(TRIM(Table1824[[#Headers],[Uraian aaaaa]])," ",REPT(" ",255)),255)),'Un nOTA'!$D$4:$J$1004,5,FALSE),"")*(10/11)),"")</f>
        <v/>
      </c>
      <c r="AX10" s="8" t="str">
        <f>IFERROR((IFERROR(VLOOKUP(Table1824[[#This Row],[BKK]]&amp;TRIM(RIGHT(SUBSTITUTE(TRIM(Table1824[[#Headers],[Uraian aaaaaa]])," ",REPT(" ",255)),255)),'Un nOTA'!$D$4:$J$1004,5,FALSE),"")*(10/11)),"")</f>
        <v/>
      </c>
      <c r="AY10" s="8" t="str">
        <f>IFERROR((IFERROR(VLOOKUP(Table1824[[#This Row],[BKK]]&amp;TRIM(RIGHT(SUBSTITUTE(TRIM(Table1824[[#Headers],[Uraian aaaaaaa]])," ",REPT(" ",255)),255)),'Un nOTA'!$D$4:$J$1004,5,FALSE),"")*(10/11)),"")</f>
        <v/>
      </c>
      <c r="AZ10" s="8" t="str">
        <f>IFERROR((IFERROR(VLOOKUP(Table1824[[#This Row],[BKK]]&amp;TRIM(RIGHT(SUBSTITUTE(TRIM(Table1824[[#Headers],[Uraian aaaaaaaa]])," ",REPT(" ",255)),255)),'Un nOTA'!$D$4:$J$1004,5,FALSE),"")*(10/11)),"")</f>
        <v/>
      </c>
      <c r="BA10" s="8" t="str">
        <f>IFERROR((IFERROR(VLOOKUP(Table1824[[#This Row],[BKK]]&amp;TRIM(RIGHT(SUBSTITUTE(TRIM(Table1824[[#Headers],[Uraian aaaaaaaaa]])," ",REPT(" ",255)),255)),'Un nOTA'!$D$4:$J$1004,5,FALSE),"")*(10/11)),"")</f>
        <v/>
      </c>
      <c r="BB10" s="8" t="str">
        <f>IFERROR((IFERROR(VLOOKUP(Table1824[[#This Row],[BKK]]&amp;TRIM(RIGHT(SUBSTITUTE(TRIM(Table1824[[#Headers],[Uraian aaaaaaaaaa]])," ",REPT(" ",255)),255)),'Un nOTA'!$D$4:$J$1004,5,FALSE),"")*(10/11)),"")</f>
        <v/>
      </c>
      <c r="BC10" s="8" t="str">
        <f>IFERROR((IFERROR(VLOOKUP(Table1824[[#This Row],[BKK]]&amp;TRIM(RIGHT(SUBSTITUTE(TRIM(Table1824[[#Headers],[Uraian aaaaaaaaaaa]])," ",REPT(" ",255)),255)),'Un nOTA'!$D$4:$J$1004,5,FALSE),"")*(10/11)),"")</f>
        <v/>
      </c>
      <c r="BD10" s="8" t="str">
        <f>IFERROR((IFERROR(VLOOKUP(Table1824[[#This Row],[BKK]]&amp;TRIM(RIGHT(SUBSTITUTE(TRIM(Table1824[[#Headers],[Uraian aaaaaaaaaaaa]])," ",REPT(" ",255)),255)),'Un nOTA'!$D$4:$J$1004,5,FALSE),"")*(10/11)),"")</f>
        <v/>
      </c>
      <c r="BE10" s="23" t="str">
        <f>IFERROR(ROUNDUP((Table1824[[#This Row],[Qty]]*Table1824[[#This Row],[Hrg St]]),0),"")</f>
        <v/>
      </c>
      <c r="BF10" s="8" t="str">
        <f>IFERROR(ROUNDUP((Table1824[[#This Row],[Qty2]]*Table1824[[#This Row],[Hrg St2]]),0),"")</f>
        <v/>
      </c>
      <c r="BG10" s="8" t="str">
        <f>IFERROR(ROUNDUP((Table1824[[#This Row],[Qty3]]*Table1824[[#This Row],[Hrg St3]]),0),"")</f>
        <v/>
      </c>
      <c r="BH10" s="8" t="str">
        <f>IFERROR(ROUNDUP((Table1824[[#This Row],[Qty4]]*Table1824[[#This Row],[Hrg St4]]),0),"")</f>
        <v/>
      </c>
      <c r="BI10" s="8" t="str">
        <f>IFERROR(ROUNDUP((Table1824[[#This Row],[Qty5]]*Table1824[[#This Row],[Hrg St5]]),0),"")</f>
        <v/>
      </c>
      <c r="BJ10" s="8" t="str">
        <f>IFERROR(ROUNDUP((Table1824[[#This Row],[Qty6]]*Table1824[[#This Row],[Hrg St6]]),0),"")</f>
        <v/>
      </c>
      <c r="BK10" s="8" t="str">
        <f>IFERROR(ROUNDUP((Table1824[[#This Row],[Qty7]]*Table1824[[#This Row],[Hrg St7]]),0),"")</f>
        <v/>
      </c>
      <c r="BL10" s="8" t="str">
        <f>IFERROR(ROUNDUP((Table1824[[#This Row],[Qty8]]*Table1824[[#This Row],[Hrg St8]]),0),"")</f>
        <v/>
      </c>
      <c r="BM10" s="8" t="str">
        <f>IFERROR(ROUNDUP((Table1824[[#This Row],[Qty9]]*Table1824[[#This Row],[Hrg St9]]),0),"")</f>
        <v/>
      </c>
      <c r="BN10" s="8" t="str">
        <f>IFERROR(ROUNDUP((Table1824[[#This Row],[Qty10]]*Table1824[[#This Row],[Hrg St10]]),0),"")</f>
        <v/>
      </c>
      <c r="BO10" s="8" t="str">
        <f>IFERROR(ROUNDUP((Table1824[[#This Row],[Qty11]]*Table1824[[#This Row],[Hrg St11]]),0),"")</f>
        <v/>
      </c>
      <c r="BP10" s="8" t="str">
        <f>IFERROR(ROUNDUP((Table1824[[#This Row],[Qty12]]*Table1824[[#This Row],[Hrg St12]]),0),"")</f>
        <v/>
      </c>
      <c r="BQ10" s="8" t="str">
        <f>IFERROR(ROUNDUP((Table1824[[#This Row],[Qty13]]*Table1824[[#This Row],[Hrg St13]]),0),"")</f>
        <v/>
      </c>
      <c r="BR10" s="23" t="str">
        <f>IF(Table1824[[#This Row],[BKK]]&gt;" ",IFERROR(ROUNDUP((SUM(Table1824[[#This Row],[Jml]:[Jml13]])),0)," ")," ")</f>
        <v xml:space="preserve"> </v>
      </c>
      <c r="BS10" s="23" t="str">
        <f>IF(Table1824[[#This Row],[BKK]]&gt;" ",ROUND((Table1824[[#This Row],[Total]]*0.1),0)," ")</f>
        <v xml:space="preserve"> </v>
      </c>
      <c r="BT10" s="23" t="str">
        <f>IF(Table1824[[#This Row],[BKK]]&gt;" ",(Table1824[[#This Row],[Total]]+Table1824[[#This Row],[PPN]])," ")</f>
        <v xml:space="preserve"> </v>
      </c>
      <c r="BU10" t="s">
        <v>454</v>
      </c>
      <c r="BV10" t="str">
        <f>IF(Table1824[[#This Row],[BKK]]&gt;" ",("INV/AK-MLG/2019/"&amp;'BKU 1'!$E$1&amp;"/"&amp;Table1824[[#This Row],[BKK]]&amp;"/"&amp;'BKU 1'!$E$1&amp;ROW())," ")</f>
        <v xml:space="preserve"> </v>
      </c>
      <c r="BW10" t="str">
        <f>IF(Table1824[[#This Row],[BKK]]&gt;" ",(TEXT(VLOOKUP(Table1824[[#This Row],[BKK]],COPY!$O$2:$U$1000,7,FALSE),"dd mmmm yyyy"))," ")</f>
        <v xml:space="preserve"> </v>
      </c>
      <c r="BX10" t="str">
        <f>IF(Table1824[[#This Row],[BKK]]&gt;" ",(TEXT((Table1824[[#This Row],[Tanggal Kirim]]+30),"dd mmmm yyyy"))," ")</f>
        <v xml:space="preserve"> </v>
      </c>
      <c r="BY10" t="str">
        <f>IF(Table1824[[#This Row],[BKK]]&gt;" ",'BKU 1'!$E$17," ")</f>
        <v xml:space="preserve"> </v>
      </c>
    </row>
    <row r="11" spans="1:77" hidden="1" x14ac:dyDescent="0.25">
      <c r="A11" t="str">
        <f>IFERROR((IF('Laporan ppn'!G6798&gt;0,VLOOKUP('Laporan ppn'!G6798,'Laporan ppn'!$E$10:$F$6785,2,FALSE),"")),"")</f>
        <v xml:space="preserve"> </v>
      </c>
      <c r="B11" t="str">
        <f>IF(Table1824[[#This Row],[BKK]]=" "," ",'BKU 1'!$D$25)</f>
        <v xml:space="preserve"> </v>
      </c>
      <c r="C11" t="str">
        <f>IF(Table1824[[#This Row],[BKK]]=" "," ",'BKU 1'!$D$26)</f>
        <v xml:space="preserve"> </v>
      </c>
      <c r="D11" t="str">
        <f>IF(Table1824[[#This Row],[BKK]]=" "," ",'BKU 1'!$I$25)</f>
        <v xml:space="preserve"> </v>
      </c>
      <c r="E11" t="str">
        <f>IFERROR(VLOOKUP(Table1824[[#This Row],[BKK]],'Un nOTA'!$D$4:$J$1004,2,FALSE),"")</f>
        <v/>
      </c>
      <c r="F11" t="str">
        <f>IFERROR(VLOOKUP(Table1824[[#This Row],[BKK]]&amp;TRIM(RIGHT(SUBSTITUTE(TRIM(Table1824[[#Headers],[Uraian a]])," ",REPT(" ",255)),255)),'Un nOTA'!$D$4:$J$1004,2,FALSE),"")</f>
        <v/>
      </c>
      <c r="G11" t="str">
        <f>IFERROR(VLOOKUP(Table1824[[#This Row],[BKK]]&amp;TRIM(RIGHT(SUBSTITUTE(TRIM(Table1824[[#Headers],[Uraian aa]])," ",REPT(" ",255)),255)),'Un nOTA'!$D$4:$J$1004,2,FALSE),"")</f>
        <v/>
      </c>
      <c r="H11" t="str">
        <f>IFERROR(VLOOKUP(Table1824[[#This Row],[BKK]]&amp;TRIM(RIGHT(SUBSTITUTE(TRIM(Table1824[[#Headers],[Uraian aaa]])," ",REPT(" ",255)),255)),'Un nOTA'!$D$4:$J$1004,2,FALSE),"")</f>
        <v/>
      </c>
      <c r="I11" t="str">
        <f>IFERROR(VLOOKUP(Table1824[[#This Row],[BKK]]&amp;TRIM(RIGHT(SUBSTITUTE(TRIM(Table1824[[#Headers],[Uraian aaaa]])," ",REPT(" ",255)),255)),'Un nOTA'!$D$4:$J$1004,2,FALSE),"")</f>
        <v/>
      </c>
      <c r="J11" t="str">
        <f>IFERROR(VLOOKUP(Table1824[[#This Row],[BKK]]&amp;TRIM(RIGHT(SUBSTITUTE(TRIM(Table1824[[#Headers],[Uraian aaaaa]])," ",REPT(" ",255)),255)),'Un nOTA'!$D$4:$J$1004,2,FALSE),"")</f>
        <v/>
      </c>
      <c r="K11" t="str">
        <f>IFERROR(VLOOKUP(Table1824[[#This Row],[BKK]]&amp;TRIM(RIGHT(SUBSTITUTE(TRIM(Table1824[[#Headers],[Uraian aaaaaa]])," ",REPT(" ",255)),255)),'Un nOTA'!$D$4:$J$1004,2,FALSE),"")</f>
        <v/>
      </c>
      <c r="L11" t="str">
        <f>IFERROR(VLOOKUP(Table1824[[#This Row],[BKK]]&amp;TRIM(RIGHT(SUBSTITUTE(TRIM(Table1824[[#Headers],[Uraian aaaaaaa]])," ",REPT(" ",255)),255)),'Un nOTA'!$D$4:$J$1004,2,FALSE),"")</f>
        <v/>
      </c>
      <c r="M11" t="str">
        <f>IFERROR(VLOOKUP(Table1824[[#This Row],[BKK]]&amp;TRIM(RIGHT(SUBSTITUTE(TRIM(Table1824[[#Headers],[Uraian aaaaaaaa]])," ",REPT(" ",255)),255)),'Un nOTA'!$D$4:$J$1004,2,FALSE),"")</f>
        <v/>
      </c>
      <c r="N11" t="str">
        <f>IFERROR(VLOOKUP(Table1824[[#This Row],[BKK]]&amp;TRIM(RIGHT(SUBSTITUTE(TRIM(Table1824[[#Headers],[Uraian aaaaaaaaa]])," ",REPT(" ",255)),255)),'Un nOTA'!$D$4:$J$1004,2,FALSE),"")</f>
        <v/>
      </c>
      <c r="O11" t="str">
        <f>IFERROR(VLOOKUP(Table1824[[#This Row],[BKK]]&amp;TRIM(RIGHT(SUBSTITUTE(TRIM(Table1824[[#Headers],[Uraian aaaaaaaaaa]])," ",REPT(" ",255)),255)),'Un nOTA'!$D$4:$J$1004,2,FALSE),"")</f>
        <v/>
      </c>
      <c r="P11" t="str">
        <f>IFERROR(VLOOKUP(Table1824[[#This Row],[BKK]]&amp;TRIM(RIGHT(SUBSTITUTE(TRIM(Table1824[[#Headers],[Uraian aaaaaaaaaaa]])," ",REPT(" ",255)),255)),'Un nOTA'!$D$4:$J$1004,2,FALSE),"")</f>
        <v/>
      </c>
      <c r="Q11" t="str">
        <f>IFERROR(VLOOKUP(Table1824[[#This Row],[BKK]]&amp;TRIM(RIGHT(SUBSTITUTE(TRIM(Table1824[[#Headers],[Uraian aaaaaaaaaaaa]])," ",REPT(" ",255)),255)),'Un nOTA'!$D$4:$J$1004,2,FALSE),"")</f>
        <v/>
      </c>
      <c r="R11" s="32" t="str">
        <f>IFERROR(VLOOKUP(Table1824[[#This Row],[BKK]],'Un nOTA'!$D$4:$J$1004,3,FALSE),"")</f>
        <v/>
      </c>
      <c r="S11" s="32" t="str">
        <f>IFERROR(VLOOKUP(Table1824[[#This Row],[BKK]]&amp;TRIM(RIGHT(SUBSTITUTE(TRIM(Table1824[[#Headers],[Uraian a]])," ",REPT(" ",255)),255)),'Un nOTA'!$D$4:$J$1004,3,FALSE),"")</f>
        <v/>
      </c>
      <c r="T11" s="32" t="str">
        <f>IFERROR(VLOOKUP(Table1824[[#This Row],[BKK]]&amp;TRIM(RIGHT(SUBSTITUTE(TRIM(Table1824[[#Headers],[Uraian aa]])," ",REPT(" ",255)),255)),'Un nOTA'!$D$4:$J$1004,3,FALSE),"")</f>
        <v/>
      </c>
      <c r="U11" s="32" t="str">
        <f>IFERROR(VLOOKUP(Table1824[[#This Row],[BKK]]&amp;TRIM(RIGHT(SUBSTITUTE(TRIM(Table1824[[#Headers],[Uraian aaa]])," ",REPT(" ",255)),255)),'Un nOTA'!$D$4:$J$1004,3,FALSE),"")</f>
        <v/>
      </c>
      <c r="V11" s="32" t="str">
        <f>IFERROR(VLOOKUP(Table1824[[#This Row],[BKK]]&amp;TRIM(RIGHT(SUBSTITUTE(TRIM(Table1824[[#Headers],[Uraian aaaa]])," ",REPT(" ",255)),255)),'Un nOTA'!$D$4:$J$1004,3,FALSE),"")</f>
        <v/>
      </c>
      <c r="W11" s="32" t="str">
        <f>IFERROR(VLOOKUP(Table1824[[#This Row],[BKK]]&amp;TRIM(RIGHT(SUBSTITUTE(TRIM(Table1824[[#Headers],[Uraian aaaaa]])," ",REPT(" ",255)),255)),'Un nOTA'!$D$4:$J$1004,3,FALSE),"")</f>
        <v/>
      </c>
      <c r="X11" s="32" t="str">
        <f>IFERROR(VLOOKUP(Table1824[[#This Row],[BKK]]&amp;TRIM(RIGHT(SUBSTITUTE(TRIM(Table1824[[#Headers],[Uraian aaaaaa]])," ",REPT(" ",255)),255)),'Un nOTA'!$D$4:$J$1004,3,FALSE),"")</f>
        <v/>
      </c>
      <c r="Y11" s="32" t="str">
        <f>IFERROR(VLOOKUP(Table1824[[#This Row],[BKK]]&amp;TRIM(RIGHT(SUBSTITUTE(TRIM(Table1824[[#Headers],[Uraian aaaaaaa]])," ",REPT(" ",255)),255)),'Un nOTA'!$D$4:$J$1004,3,FALSE),"")</f>
        <v/>
      </c>
      <c r="Z11" s="32" t="str">
        <f>IFERROR(VLOOKUP(Table1824[[#This Row],[BKK]]&amp;TRIM(RIGHT(SUBSTITUTE(TRIM(Table1824[[#Headers],[Uraian aaaaaaaa]])," ",REPT(" ",255)),255)),'Un nOTA'!$D$4:$J$1004,3,FALSE),"")</f>
        <v/>
      </c>
      <c r="AA11" s="32" t="str">
        <f>IFERROR(VLOOKUP(Table1824[[#This Row],[BKK]]&amp;TRIM(RIGHT(SUBSTITUTE(TRIM(Table1824[[#Headers],[Uraian aaaaaaaaa]])," ",REPT(" ",255)),255)),'Un nOTA'!$D$4:$J$1004,3,FALSE),"")</f>
        <v/>
      </c>
      <c r="AB11" s="32" t="str">
        <f>IFERROR(VLOOKUP(Table1824[[#This Row],[BKK]]&amp;TRIM(RIGHT(SUBSTITUTE(TRIM(Table1824[[#Headers],[Uraian aaaaaaaaaa]])," ",REPT(" ",255)),255)),'Un nOTA'!$D$4:$J$1004,3,FALSE),"")</f>
        <v/>
      </c>
      <c r="AC11" s="32" t="str">
        <f>IFERROR(VLOOKUP(Table1824[[#This Row],[BKK]]&amp;TRIM(RIGHT(SUBSTITUTE(TRIM(Table1824[[#Headers],[Uraian aaaaaaaaaaa]])," ",REPT(" ",255)),255)),'Un nOTA'!$D$4:$J$1004,3,FALSE),"")</f>
        <v/>
      </c>
      <c r="AD11" s="32" t="str">
        <f>IFERROR(VLOOKUP(Table1824[[#This Row],[BKK]]&amp;TRIM(RIGHT(SUBSTITUTE(TRIM(Table1824[[#Headers],[Uraian aaaaaaaaaaaa]])," ",REPT(" ",255)),255)),'Un nOTA'!$D$4:$J$1004,3,FALSE),"")</f>
        <v/>
      </c>
      <c r="AE11" s="8" t="str">
        <f>IFERROR(VLOOKUP(Table1824[[#This Row],[BKK]],'Un nOTA'!$D$4:$J$1004,4,FALSE),"")</f>
        <v/>
      </c>
      <c r="AF11" s="8" t="str">
        <f>IFERROR(VLOOKUP(Table1824[[#This Row],[BKK]]&amp;TRIM(RIGHT(SUBSTITUTE(TRIM(Table1824[[#Headers],[Uraian a]])," ",REPT(" ",255)),255)),'Un nOTA'!$D$4:$J$1004,4,FALSE),"")</f>
        <v/>
      </c>
      <c r="AG11" s="8" t="str">
        <f>IFERROR(VLOOKUP(Table1824[[#This Row],[BKK]]&amp;TRIM(RIGHT(SUBSTITUTE(TRIM(Table1824[[#Headers],[Uraian aa]])," ",REPT(" ",255)),255)),'Un nOTA'!$D$4:$J$1004,4,FALSE),"")</f>
        <v/>
      </c>
      <c r="AH11" s="8" t="str">
        <f>IFERROR(VLOOKUP(Table1824[[#This Row],[BKK]]&amp;TRIM(RIGHT(SUBSTITUTE(TRIM(Table1824[[#Headers],[Uraian aaa]])," ",REPT(" ",255)),255)),'Un nOTA'!$D$4:$J$1004,4,FALSE),"")</f>
        <v/>
      </c>
      <c r="AI11" s="8" t="str">
        <f>IFERROR(VLOOKUP(Table1824[[#This Row],[BKK]]&amp;TRIM(RIGHT(SUBSTITUTE(TRIM(Table1824[[#Headers],[Uraian aaaa]])," ",REPT(" ",255)),255)),'Un nOTA'!$D$4:$J$1004,4,FALSE),"")</f>
        <v/>
      </c>
      <c r="AJ11" s="8" t="str">
        <f>IFERROR(VLOOKUP(Table1824[[#This Row],[BKK]]&amp;TRIM(RIGHT(SUBSTITUTE(TRIM(Table1824[[#Headers],[Uraian aaaaa]])," ",REPT(" ",255)),255)),'Un nOTA'!$D$4:$J$1004,4,FALSE),"")</f>
        <v/>
      </c>
      <c r="AK11" s="8" t="str">
        <f>IFERROR(VLOOKUP(Table1824[[#This Row],[BKK]]&amp;TRIM(RIGHT(SUBSTITUTE(TRIM(Table1824[[#Headers],[Uraian aaaaaa]])," ",REPT(" ",255)),255)),'Un nOTA'!$D$4:$J$1004,4,FALSE),"")</f>
        <v/>
      </c>
      <c r="AL11" s="8" t="str">
        <f>IFERROR(VLOOKUP(Table1824[[#This Row],[BKK]]&amp;TRIM(RIGHT(SUBSTITUTE(TRIM(Table1824[[#Headers],[Uraian aaaaaaa]])," ",REPT(" ",255)),255)),'Un nOTA'!$D$4:$J$1004,4,FALSE),"")</f>
        <v/>
      </c>
      <c r="AM11" s="8" t="str">
        <f>IFERROR(VLOOKUP(Table1824[[#This Row],[BKK]]&amp;TRIM(RIGHT(SUBSTITUTE(TRIM(Table1824[[#Headers],[Uraian aaaaaaaa]])," ",REPT(" ",255)),255)),'Un nOTA'!$D$4:$J$1004,4,FALSE),"")</f>
        <v/>
      </c>
      <c r="AN11" s="8" t="str">
        <f>IFERROR(VLOOKUP(Table1824[[#This Row],[BKK]]&amp;TRIM(RIGHT(SUBSTITUTE(TRIM(Table1824[[#Headers],[Uraian aaaaaaaaa]])," ",REPT(" ",255)),255)),'Un nOTA'!$D$4:$J$1004,4,FALSE),"")</f>
        <v/>
      </c>
      <c r="AO11" s="8" t="str">
        <f>IFERROR(VLOOKUP(Table1824[[#This Row],[BKK]]&amp;TRIM(RIGHT(SUBSTITUTE(TRIM(Table1824[[#Headers],[Uraian aaaaaaaaaa]])," ",REPT(" ",255)),255)),'Un nOTA'!$D$4:$J$1004,4,FALSE),"")</f>
        <v/>
      </c>
      <c r="AP11" s="8" t="str">
        <f>IFERROR(VLOOKUP(Table1824[[#This Row],[BKK]]&amp;TRIM(RIGHT(SUBSTITUTE(TRIM(Table1824[[#Headers],[Uraian aaaaaaaaaaa]])," ",REPT(" ",255)),255)),'Un nOTA'!$D$4:$J$1004,4,FALSE),"")</f>
        <v/>
      </c>
      <c r="AQ11" s="8" t="str">
        <f>IFERROR(VLOOKUP(Table1824[[#This Row],[BKK]]&amp;TRIM(RIGHT(SUBSTITUTE(TRIM(Table1824[[#Headers],[Uraian aaaaaaaaaaaa]])," ",REPT(" ",255)),255)),'Un nOTA'!$D$4:$J$1004,4,FALSE),"")</f>
        <v/>
      </c>
      <c r="AR11" s="8" t="str">
        <f>IFERROR((IFERROR(VLOOKUP(Table1824[[#This Row],[BKK]],'Un nOTA'!$D$4:$J$1004,5,FALSE),""))*(10/11),"")</f>
        <v/>
      </c>
      <c r="AS11" s="8" t="str">
        <f>IFERROR((IFERROR(VLOOKUP(Table1824[[#This Row],[BKK]]&amp;TRIM(RIGHT(SUBSTITUTE(TRIM(Table1824[[#Headers],[Uraian a]])," ",REPT(" ",255)),255)),'Un nOTA'!$D$4:$J$1004,5,FALSE),"")*(10/11)),"")</f>
        <v/>
      </c>
      <c r="AT11" s="8" t="str">
        <f>IFERROR((IFERROR(VLOOKUP(Table1824[[#This Row],[BKK]]&amp;TRIM(RIGHT(SUBSTITUTE(TRIM(Table1824[[#Headers],[Uraian aa]])," ",REPT(" ",255)),255)),'Un nOTA'!$D$4:$J$1004,5,FALSE),"")*(10/11)),"")</f>
        <v/>
      </c>
      <c r="AU11" s="8" t="str">
        <f>IFERROR((IFERROR(VLOOKUP(Table1824[[#This Row],[BKK]]&amp;TRIM(RIGHT(SUBSTITUTE(TRIM(Table1824[[#Headers],[Uraian aaa]])," ",REPT(" ",255)),255)),'Un nOTA'!$D$4:$J$1004,5,FALSE),"")*(10/11)),"")</f>
        <v/>
      </c>
      <c r="AV11" s="8" t="str">
        <f>IFERROR((IFERROR(VLOOKUP(Table1824[[#This Row],[BKK]]&amp;TRIM(RIGHT(SUBSTITUTE(TRIM(Table1824[[#Headers],[Uraian aaaa]])," ",REPT(" ",255)),255)),'Un nOTA'!$D$4:$J$1004,5,FALSE),"")*(10/11)),"")</f>
        <v/>
      </c>
      <c r="AW11" s="8" t="str">
        <f>IFERROR((IFERROR(VLOOKUP(Table1824[[#This Row],[BKK]]&amp;TRIM(RIGHT(SUBSTITUTE(TRIM(Table1824[[#Headers],[Uraian aaaaa]])," ",REPT(" ",255)),255)),'Un nOTA'!$D$4:$J$1004,5,FALSE),"")*(10/11)),"")</f>
        <v/>
      </c>
      <c r="AX11" s="8" t="str">
        <f>IFERROR((IFERROR(VLOOKUP(Table1824[[#This Row],[BKK]]&amp;TRIM(RIGHT(SUBSTITUTE(TRIM(Table1824[[#Headers],[Uraian aaaaaa]])," ",REPT(" ",255)),255)),'Un nOTA'!$D$4:$J$1004,5,FALSE),"")*(10/11)),"")</f>
        <v/>
      </c>
      <c r="AY11" s="8" t="str">
        <f>IFERROR((IFERROR(VLOOKUP(Table1824[[#This Row],[BKK]]&amp;TRIM(RIGHT(SUBSTITUTE(TRIM(Table1824[[#Headers],[Uraian aaaaaaa]])," ",REPT(" ",255)),255)),'Un nOTA'!$D$4:$J$1004,5,FALSE),"")*(10/11)),"")</f>
        <v/>
      </c>
      <c r="AZ11" s="8" t="str">
        <f>IFERROR((IFERROR(VLOOKUP(Table1824[[#This Row],[BKK]]&amp;TRIM(RIGHT(SUBSTITUTE(TRIM(Table1824[[#Headers],[Uraian aaaaaaaa]])," ",REPT(" ",255)),255)),'Un nOTA'!$D$4:$J$1004,5,FALSE),"")*(10/11)),"")</f>
        <v/>
      </c>
      <c r="BA11" s="8" t="str">
        <f>IFERROR((IFERROR(VLOOKUP(Table1824[[#This Row],[BKK]]&amp;TRIM(RIGHT(SUBSTITUTE(TRIM(Table1824[[#Headers],[Uraian aaaaaaaaa]])," ",REPT(" ",255)),255)),'Un nOTA'!$D$4:$J$1004,5,FALSE),"")*(10/11)),"")</f>
        <v/>
      </c>
      <c r="BB11" s="8" t="str">
        <f>IFERROR((IFERROR(VLOOKUP(Table1824[[#This Row],[BKK]]&amp;TRIM(RIGHT(SUBSTITUTE(TRIM(Table1824[[#Headers],[Uraian aaaaaaaaaa]])," ",REPT(" ",255)),255)),'Un nOTA'!$D$4:$J$1004,5,FALSE),"")*(10/11)),"")</f>
        <v/>
      </c>
      <c r="BC11" s="8" t="str">
        <f>IFERROR((IFERROR(VLOOKUP(Table1824[[#This Row],[BKK]]&amp;TRIM(RIGHT(SUBSTITUTE(TRIM(Table1824[[#Headers],[Uraian aaaaaaaaaaa]])," ",REPT(" ",255)),255)),'Un nOTA'!$D$4:$J$1004,5,FALSE),"")*(10/11)),"")</f>
        <v/>
      </c>
      <c r="BD11" s="8" t="str">
        <f>IFERROR((IFERROR(VLOOKUP(Table1824[[#This Row],[BKK]]&amp;TRIM(RIGHT(SUBSTITUTE(TRIM(Table1824[[#Headers],[Uraian aaaaaaaaaaaa]])," ",REPT(" ",255)),255)),'Un nOTA'!$D$4:$J$1004,5,FALSE),"")*(10/11)),"")</f>
        <v/>
      </c>
      <c r="BE11" s="23" t="str">
        <f>IFERROR(ROUNDUP((Table1824[[#This Row],[Qty]]*Table1824[[#This Row],[Hrg St]]),0),"")</f>
        <v/>
      </c>
      <c r="BF11" s="8" t="str">
        <f>IFERROR(ROUNDUP((Table1824[[#This Row],[Qty2]]*Table1824[[#This Row],[Hrg St2]]),0),"")</f>
        <v/>
      </c>
      <c r="BG11" s="8" t="str">
        <f>IFERROR(ROUNDUP((Table1824[[#This Row],[Qty3]]*Table1824[[#This Row],[Hrg St3]]),0),"")</f>
        <v/>
      </c>
      <c r="BH11" s="8" t="str">
        <f>IFERROR(ROUNDUP((Table1824[[#This Row],[Qty4]]*Table1824[[#This Row],[Hrg St4]]),0),"")</f>
        <v/>
      </c>
      <c r="BI11" s="8" t="str">
        <f>IFERROR(ROUNDUP((Table1824[[#This Row],[Qty5]]*Table1824[[#This Row],[Hrg St5]]),0),"")</f>
        <v/>
      </c>
      <c r="BJ11" s="8" t="str">
        <f>IFERROR(ROUNDUP((Table1824[[#This Row],[Qty6]]*Table1824[[#This Row],[Hrg St6]]),0),"")</f>
        <v/>
      </c>
      <c r="BK11" s="8" t="str">
        <f>IFERROR(ROUNDUP((Table1824[[#This Row],[Qty7]]*Table1824[[#This Row],[Hrg St7]]),0),"")</f>
        <v/>
      </c>
      <c r="BL11" s="8" t="str">
        <f>IFERROR(ROUNDUP((Table1824[[#This Row],[Qty8]]*Table1824[[#This Row],[Hrg St8]]),0),"")</f>
        <v/>
      </c>
      <c r="BM11" s="8" t="str">
        <f>IFERROR(ROUNDUP((Table1824[[#This Row],[Qty9]]*Table1824[[#This Row],[Hrg St9]]),0),"")</f>
        <v/>
      </c>
      <c r="BN11" s="8" t="str">
        <f>IFERROR(ROUNDUP((Table1824[[#This Row],[Qty10]]*Table1824[[#This Row],[Hrg St10]]),0),"")</f>
        <v/>
      </c>
      <c r="BO11" s="8" t="str">
        <f>IFERROR(ROUNDUP((Table1824[[#This Row],[Qty11]]*Table1824[[#This Row],[Hrg St11]]),0),"")</f>
        <v/>
      </c>
      <c r="BP11" s="8" t="str">
        <f>IFERROR(ROUNDUP((Table1824[[#This Row],[Qty12]]*Table1824[[#This Row],[Hrg St12]]),0),"")</f>
        <v/>
      </c>
      <c r="BQ11" s="8" t="str">
        <f>IFERROR(ROUNDUP((Table1824[[#This Row],[Qty13]]*Table1824[[#This Row],[Hrg St13]]),0),"")</f>
        <v/>
      </c>
      <c r="BR11" s="23" t="str">
        <f>IF(Table1824[[#This Row],[BKK]]&gt;" ",IFERROR(ROUNDUP((SUM(Table1824[[#This Row],[Jml]:[Jml13]])),0)," ")," ")</f>
        <v xml:space="preserve"> </v>
      </c>
      <c r="BS11" s="23" t="str">
        <f>IF(Table1824[[#This Row],[BKK]]&gt;" ",ROUND((Table1824[[#This Row],[Total]]*0.1),0)," ")</f>
        <v xml:space="preserve"> </v>
      </c>
      <c r="BT11" s="23" t="str">
        <f>IF(Table1824[[#This Row],[BKK]]&gt;" ",(Table1824[[#This Row],[Total]]+Table1824[[#This Row],[PPN]])," ")</f>
        <v xml:space="preserve"> </v>
      </c>
      <c r="BU11" t="s">
        <v>454</v>
      </c>
      <c r="BV11" t="str">
        <f>IF(Table1824[[#This Row],[BKK]]&gt;" ",("INV/AK-MLG/2019/"&amp;'BKU 1'!$E$1&amp;"/"&amp;Table1824[[#This Row],[BKK]]&amp;"/"&amp;'BKU 1'!$E$1&amp;ROW())," ")</f>
        <v xml:space="preserve"> </v>
      </c>
      <c r="BW11" t="str">
        <f>IF(Table1824[[#This Row],[BKK]]&gt;" ",(TEXT(VLOOKUP(Table1824[[#This Row],[BKK]],COPY!$O$2:$U$1000,7,FALSE),"dd mmmm yyyy"))," ")</f>
        <v xml:space="preserve"> </v>
      </c>
      <c r="BX11" t="str">
        <f>IF(Table1824[[#This Row],[BKK]]&gt;" ",(TEXT((Table1824[[#This Row],[Tanggal Kirim]]+30),"dd mmmm yyyy"))," ")</f>
        <v xml:space="preserve"> </v>
      </c>
      <c r="BY11" t="str">
        <f>IF(Table1824[[#This Row],[BKK]]&gt;" ",'BKU 1'!$E$17," ")</f>
        <v xml:space="preserve"> </v>
      </c>
    </row>
    <row r="12" spans="1:77" hidden="1" x14ac:dyDescent="0.25">
      <c r="A12" t="str">
        <f>IFERROR((IF('Laporan ppn'!G6799&gt;0,VLOOKUP('Laporan ppn'!G6799,'Laporan ppn'!$E$10:$F$6785,2,FALSE),"")),"")</f>
        <v xml:space="preserve"> </v>
      </c>
      <c r="B12" t="str">
        <f>IF(Table1824[[#This Row],[BKK]]=" "," ",'BKU 1'!$D$25)</f>
        <v xml:space="preserve"> </v>
      </c>
      <c r="C12" t="str">
        <f>IF(Table1824[[#This Row],[BKK]]=" "," ",'BKU 1'!$D$26)</f>
        <v xml:space="preserve"> </v>
      </c>
      <c r="D12" t="str">
        <f>IF(Table1824[[#This Row],[BKK]]=" "," ",'BKU 1'!$I$25)</f>
        <v xml:space="preserve"> </v>
      </c>
      <c r="E12" t="str">
        <f>IFERROR(VLOOKUP(Table1824[[#This Row],[BKK]],'Un nOTA'!$D$4:$J$1004,2,FALSE),"")</f>
        <v/>
      </c>
      <c r="F12" t="str">
        <f>IFERROR(VLOOKUP(Table1824[[#This Row],[BKK]]&amp;TRIM(RIGHT(SUBSTITUTE(TRIM(Table1824[[#Headers],[Uraian a]])," ",REPT(" ",255)),255)),'Un nOTA'!$D$4:$J$1004,2,FALSE),"")</f>
        <v/>
      </c>
      <c r="G12" t="str">
        <f>IFERROR(VLOOKUP(Table1824[[#This Row],[BKK]]&amp;TRIM(RIGHT(SUBSTITUTE(TRIM(Table1824[[#Headers],[Uraian aa]])," ",REPT(" ",255)),255)),'Un nOTA'!$D$4:$J$1004,2,FALSE),"")</f>
        <v/>
      </c>
      <c r="H12" t="str">
        <f>IFERROR(VLOOKUP(Table1824[[#This Row],[BKK]]&amp;TRIM(RIGHT(SUBSTITUTE(TRIM(Table1824[[#Headers],[Uraian aaa]])," ",REPT(" ",255)),255)),'Un nOTA'!$D$4:$J$1004,2,FALSE),"")</f>
        <v/>
      </c>
      <c r="I12" t="str">
        <f>IFERROR(VLOOKUP(Table1824[[#This Row],[BKK]]&amp;TRIM(RIGHT(SUBSTITUTE(TRIM(Table1824[[#Headers],[Uraian aaaa]])," ",REPT(" ",255)),255)),'Un nOTA'!$D$4:$J$1004,2,FALSE),"")</f>
        <v/>
      </c>
      <c r="J12" t="str">
        <f>IFERROR(VLOOKUP(Table1824[[#This Row],[BKK]]&amp;TRIM(RIGHT(SUBSTITUTE(TRIM(Table1824[[#Headers],[Uraian aaaaa]])," ",REPT(" ",255)),255)),'Un nOTA'!$D$4:$J$1004,2,FALSE),"")</f>
        <v/>
      </c>
      <c r="K12" t="str">
        <f>IFERROR(VLOOKUP(Table1824[[#This Row],[BKK]]&amp;TRIM(RIGHT(SUBSTITUTE(TRIM(Table1824[[#Headers],[Uraian aaaaaa]])," ",REPT(" ",255)),255)),'Un nOTA'!$D$4:$J$1004,2,FALSE),"")</f>
        <v/>
      </c>
      <c r="L12" t="str">
        <f>IFERROR(VLOOKUP(Table1824[[#This Row],[BKK]]&amp;TRIM(RIGHT(SUBSTITUTE(TRIM(Table1824[[#Headers],[Uraian aaaaaaa]])," ",REPT(" ",255)),255)),'Un nOTA'!$D$4:$J$1004,2,FALSE),"")</f>
        <v/>
      </c>
      <c r="M12" t="str">
        <f>IFERROR(VLOOKUP(Table1824[[#This Row],[BKK]]&amp;TRIM(RIGHT(SUBSTITUTE(TRIM(Table1824[[#Headers],[Uraian aaaaaaaa]])," ",REPT(" ",255)),255)),'Un nOTA'!$D$4:$J$1004,2,FALSE),"")</f>
        <v/>
      </c>
      <c r="N12" t="str">
        <f>IFERROR(VLOOKUP(Table1824[[#This Row],[BKK]]&amp;TRIM(RIGHT(SUBSTITUTE(TRIM(Table1824[[#Headers],[Uraian aaaaaaaaa]])," ",REPT(" ",255)),255)),'Un nOTA'!$D$4:$J$1004,2,FALSE),"")</f>
        <v/>
      </c>
      <c r="O12" t="str">
        <f>IFERROR(VLOOKUP(Table1824[[#This Row],[BKK]]&amp;TRIM(RIGHT(SUBSTITUTE(TRIM(Table1824[[#Headers],[Uraian aaaaaaaaaa]])," ",REPT(" ",255)),255)),'Un nOTA'!$D$4:$J$1004,2,FALSE),"")</f>
        <v/>
      </c>
      <c r="P12" t="str">
        <f>IFERROR(VLOOKUP(Table1824[[#This Row],[BKK]]&amp;TRIM(RIGHT(SUBSTITUTE(TRIM(Table1824[[#Headers],[Uraian aaaaaaaaaaa]])," ",REPT(" ",255)),255)),'Un nOTA'!$D$4:$J$1004,2,FALSE),"")</f>
        <v/>
      </c>
      <c r="Q12" t="str">
        <f>IFERROR(VLOOKUP(Table1824[[#This Row],[BKK]]&amp;TRIM(RIGHT(SUBSTITUTE(TRIM(Table1824[[#Headers],[Uraian aaaaaaaaaaaa]])," ",REPT(" ",255)),255)),'Un nOTA'!$D$4:$J$1004,2,FALSE),"")</f>
        <v/>
      </c>
      <c r="R12" s="32" t="str">
        <f>IFERROR(VLOOKUP(Table1824[[#This Row],[BKK]],'Un nOTA'!$D$4:$J$1004,3,FALSE),"")</f>
        <v/>
      </c>
      <c r="S12" s="32" t="str">
        <f>IFERROR(VLOOKUP(Table1824[[#This Row],[BKK]]&amp;TRIM(RIGHT(SUBSTITUTE(TRIM(Table1824[[#Headers],[Uraian a]])," ",REPT(" ",255)),255)),'Un nOTA'!$D$4:$J$1004,3,FALSE),"")</f>
        <v/>
      </c>
      <c r="T12" s="32" t="str">
        <f>IFERROR(VLOOKUP(Table1824[[#This Row],[BKK]]&amp;TRIM(RIGHT(SUBSTITUTE(TRIM(Table1824[[#Headers],[Uraian aa]])," ",REPT(" ",255)),255)),'Un nOTA'!$D$4:$J$1004,3,FALSE),"")</f>
        <v/>
      </c>
      <c r="U12" s="32" t="str">
        <f>IFERROR(VLOOKUP(Table1824[[#This Row],[BKK]]&amp;TRIM(RIGHT(SUBSTITUTE(TRIM(Table1824[[#Headers],[Uraian aaa]])," ",REPT(" ",255)),255)),'Un nOTA'!$D$4:$J$1004,3,FALSE),"")</f>
        <v/>
      </c>
      <c r="V12" s="32" t="str">
        <f>IFERROR(VLOOKUP(Table1824[[#This Row],[BKK]]&amp;TRIM(RIGHT(SUBSTITUTE(TRIM(Table1824[[#Headers],[Uraian aaaa]])," ",REPT(" ",255)),255)),'Un nOTA'!$D$4:$J$1004,3,FALSE),"")</f>
        <v/>
      </c>
      <c r="W12" s="32" t="str">
        <f>IFERROR(VLOOKUP(Table1824[[#This Row],[BKK]]&amp;TRIM(RIGHT(SUBSTITUTE(TRIM(Table1824[[#Headers],[Uraian aaaaa]])," ",REPT(" ",255)),255)),'Un nOTA'!$D$4:$J$1004,3,FALSE),"")</f>
        <v/>
      </c>
      <c r="X12" s="32" t="str">
        <f>IFERROR(VLOOKUP(Table1824[[#This Row],[BKK]]&amp;TRIM(RIGHT(SUBSTITUTE(TRIM(Table1824[[#Headers],[Uraian aaaaaa]])," ",REPT(" ",255)),255)),'Un nOTA'!$D$4:$J$1004,3,FALSE),"")</f>
        <v/>
      </c>
      <c r="Y12" s="32" t="str">
        <f>IFERROR(VLOOKUP(Table1824[[#This Row],[BKK]]&amp;TRIM(RIGHT(SUBSTITUTE(TRIM(Table1824[[#Headers],[Uraian aaaaaaa]])," ",REPT(" ",255)),255)),'Un nOTA'!$D$4:$J$1004,3,FALSE),"")</f>
        <v/>
      </c>
      <c r="Z12" s="32" t="str">
        <f>IFERROR(VLOOKUP(Table1824[[#This Row],[BKK]]&amp;TRIM(RIGHT(SUBSTITUTE(TRIM(Table1824[[#Headers],[Uraian aaaaaaaa]])," ",REPT(" ",255)),255)),'Un nOTA'!$D$4:$J$1004,3,FALSE),"")</f>
        <v/>
      </c>
      <c r="AA12" s="32" t="str">
        <f>IFERROR(VLOOKUP(Table1824[[#This Row],[BKK]]&amp;TRIM(RIGHT(SUBSTITUTE(TRIM(Table1824[[#Headers],[Uraian aaaaaaaaa]])," ",REPT(" ",255)),255)),'Un nOTA'!$D$4:$J$1004,3,FALSE),"")</f>
        <v/>
      </c>
      <c r="AB12" s="32" t="str">
        <f>IFERROR(VLOOKUP(Table1824[[#This Row],[BKK]]&amp;TRIM(RIGHT(SUBSTITUTE(TRIM(Table1824[[#Headers],[Uraian aaaaaaaaaa]])," ",REPT(" ",255)),255)),'Un nOTA'!$D$4:$J$1004,3,FALSE),"")</f>
        <v/>
      </c>
      <c r="AC12" s="32" t="str">
        <f>IFERROR(VLOOKUP(Table1824[[#This Row],[BKK]]&amp;TRIM(RIGHT(SUBSTITUTE(TRIM(Table1824[[#Headers],[Uraian aaaaaaaaaaa]])," ",REPT(" ",255)),255)),'Un nOTA'!$D$4:$J$1004,3,FALSE),"")</f>
        <v/>
      </c>
      <c r="AD12" s="32" t="str">
        <f>IFERROR(VLOOKUP(Table1824[[#This Row],[BKK]]&amp;TRIM(RIGHT(SUBSTITUTE(TRIM(Table1824[[#Headers],[Uraian aaaaaaaaaaaa]])," ",REPT(" ",255)),255)),'Un nOTA'!$D$4:$J$1004,3,FALSE),"")</f>
        <v/>
      </c>
      <c r="AE12" s="8" t="str">
        <f>IFERROR(VLOOKUP(Table1824[[#This Row],[BKK]],'Un nOTA'!$D$4:$J$1004,4,FALSE),"")</f>
        <v/>
      </c>
      <c r="AF12" s="8" t="str">
        <f>IFERROR(VLOOKUP(Table1824[[#This Row],[BKK]]&amp;TRIM(RIGHT(SUBSTITUTE(TRIM(Table1824[[#Headers],[Uraian a]])," ",REPT(" ",255)),255)),'Un nOTA'!$D$4:$J$1004,4,FALSE),"")</f>
        <v/>
      </c>
      <c r="AG12" s="8" t="str">
        <f>IFERROR(VLOOKUP(Table1824[[#This Row],[BKK]]&amp;TRIM(RIGHT(SUBSTITUTE(TRIM(Table1824[[#Headers],[Uraian aa]])," ",REPT(" ",255)),255)),'Un nOTA'!$D$4:$J$1004,4,FALSE),"")</f>
        <v/>
      </c>
      <c r="AH12" s="8" t="str">
        <f>IFERROR(VLOOKUP(Table1824[[#This Row],[BKK]]&amp;TRIM(RIGHT(SUBSTITUTE(TRIM(Table1824[[#Headers],[Uraian aaa]])," ",REPT(" ",255)),255)),'Un nOTA'!$D$4:$J$1004,4,FALSE),"")</f>
        <v/>
      </c>
      <c r="AI12" s="8" t="str">
        <f>IFERROR(VLOOKUP(Table1824[[#This Row],[BKK]]&amp;TRIM(RIGHT(SUBSTITUTE(TRIM(Table1824[[#Headers],[Uraian aaaa]])," ",REPT(" ",255)),255)),'Un nOTA'!$D$4:$J$1004,4,FALSE),"")</f>
        <v/>
      </c>
      <c r="AJ12" s="8" t="str">
        <f>IFERROR(VLOOKUP(Table1824[[#This Row],[BKK]]&amp;TRIM(RIGHT(SUBSTITUTE(TRIM(Table1824[[#Headers],[Uraian aaaaa]])," ",REPT(" ",255)),255)),'Un nOTA'!$D$4:$J$1004,4,FALSE),"")</f>
        <v/>
      </c>
      <c r="AK12" s="8" t="str">
        <f>IFERROR(VLOOKUP(Table1824[[#This Row],[BKK]]&amp;TRIM(RIGHT(SUBSTITUTE(TRIM(Table1824[[#Headers],[Uraian aaaaaa]])," ",REPT(" ",255)),255)),'Un nOTA'!$D$4:$J$1004,4,FALSE),"")</f>
        <v/>
      </c>
      <c r="AL12" s="8" t="str">
        <f>IFERROR(VLOOKUP(Table1824[[#This Row],[BKK]]&amp;TRIM(RIGHT(SUBSTITUTE(TRIM(Table1824[[#Headers],[Uraian aaaaaaa]])," ",REPT(" ",255)),255)),'Un nOTA'!$D$4:$J$1004,4,FALSE),"")</f>
        <v/>
      </c>
      <c r="AM12" s="8" t="str">
        <f>IFERROR(VLOOKUP(Table1824[[#This Row],[BKK]]&amp;TRIM(RIGHT(SUBSTITUTE(TRIM(Table1824[[#Headers],[Uraian aaaaaaaa]])," ",REPT(" ",255)),255)),'Un nOTA'!$D$4:$J$1004,4,FALSE),"")</f>
        <v/>
      </c>
      <c r="AN12" s="8" t="str">
        <f>IFERROR(VLOOKUP(Table1824[[#This Row],[BKK]]&amp;TRIM(RIGHT(SUBSTITUTE(TRIM(Table1824[[#Headers],[Uraian aaaaaaaaa]])," ",REPT(" ",255)),255)),'Un nOTA'!$D$4:$J$1004,4,FALSE),"")</f>
        <v/>
      </c>
      <c r="AO12" s="8" t="str">
        <f>IFERROR(VLOOKUP(Table1824[[#This Row],[BKK]]&amp;TRIM(RIGHT(SUBSTITUTE(TRIM(Table1824[[#Headers],[Uraian aaaaaaaaaa]])," ",REPT(" ",255)),255)),'Un nOTA'!$D$4:$J$1004,4,FALSE),"")</f>
        <v/>
      </c>
      <c r="AP12" s="8" t="str">
        <f>IFERROR(VLOOKUP(Table1824[[#This Row],[BKK]]&amp;TRIM(RIGHT(SUBSTITUTE(TRIM(Table1824[[#Headers],[Uraian aaaaaaaaaaa]])," ",REPT(" ",255)),255)),'Un nOTA'!$D$4:$J$1004,4,FALSE),"")</f>
        <v/>
      </c>
      <c r="AQ12" s="8" t="str">
        <f>IFERROR(VLOOKUP(Table1824[[#This Row],[BKK]]&amp;TRIM(RIGHT(SUBSTITUTE(TRIM(Table1824[[#Headers],[Uraian aaaaaaaaaaaa]])," ",REPT(" ",255)),255)),'Un nOTA'!$D$4:$J$1004,4,FALSE),"")</f>
        <v/>
      </c>
      <c r="AR12" s="8" t="str">
        <f>IFERROR((IFERROR(VLOOKUP(Table1824[[#This Row],[BKK]],'Un nOTA'!$D$4:$J$1004,5,FALSE),""))*(10/11),"")</f>
        <v/>
      </c>
      <c r="AS12" s="8" t="str">
        <f>IFERROR((IFERROR(VLOOKUP(Table1824[[#This Row],[BKK]]&amp;TRIM(RIGHT(SUBSTITUTE(TRIM(Table1824[[#Headers],[Uraian a]])," ",REPT(" ",255)),255)),'Un nOTA'!$D$4:$J$1004,5,FALSE),"")*(10/11)),"")</f>
        <v/>
      </c>
      <c r="AT12" s="8" t="str">
        <f>IFERROR((IFERROR(VLOOKUP(Table1824[[#This Row],[BKK]]&amp;TRIM(RIGHT(SUBSTITUTE(TRIM(Table1824[[#Headers],[Uraian aa]])," ",REPT(" ",255)),255)),'Un nOTA'!$D$4:$J$1004,5,FALSE),"")*(10/11)),"")</f>
        <v/>
      </c>
      <c r="AU12" s="8" t="str">
        <f>IFERROR((IFERROR(VLOOKUP(Table1824[[#This Row],[BKK]]&amp;TRIM(RIGHT(SUBSTITUTE(TRIM(Table1824[[#Headers],[Uraian aaa]])," ",REPT(" ",255)),255)),'Un nOTA'!$D$4:$J$1004,5,FALSE),"")*(10/11)),"")</f>
        <v/>
      </c>
      <c r="AV12" s="8" t="str">
        <f>IFERROR((IFERROR(VLOOKUP(Table1824[[#This Row],[BKK]]&amp;TRIM(RIGHT(SUBSTITUTE(TRIM(Table1824[[#Headers],[Uraian aaaa]])," ",REPT(" ",255)),255)),'Un nOTA'!$D$4:$J$1004,5,FALSE),"")*(10/11)),"")</f>
        <v/>
      </c>
      <c r="AW12" s="8" t="str">
        <f>IFERROR((IFERROR(VLOOKUP(Table1824[[#This Row],[BKK]]&amp;TRIM(RIGHT(SUBSTITUTE(TRIM(Table1824[[#Headers],[Uraian aaaaa]])," ",REPT(" ",255)),255)),'Un nOTA'!$D$4:$J$1004,5,FALSE),"")*(10/11)),"")</f>
        <v/>
      </c>
      <c r="AX12" s="8" t="str">
        <f>IFERROR((IFERROR(VLOOKUP(Table1824[[#This Row],[BKK]]&amp;TRIM(RIGHT(SUBSTITUTE(TRIM(Table1824[[#Headers],[Uraian aaaaaa]])," ",REPT(" ",255)),255)),'Un nOTA'!$D$4:$J$1004,5,FALSE),"")*(10/11)),"")</f>
        <v/>
      </c>
      <c r="AY12" s="8" t="str">
        <f>IFERROR((IFERROR(VLOOKUP(Table1824[[#This Row],[BKK]]&amp;TRIM(RIGHT(SUBSTITUTE(TRIM(Table1824[[#Headers],[Uraian aaaaaaa]])," ",REPT(" ",255)),255)),'Un nOTA'!$D$4:$J$1004,5,FALSE),"")*(10/11)),"")</f>
        <v/>
      </c>
      <c r="AZ12" s="8" t="str">
        <f>IFERROR((IFERROR(VLOOKUP(Table1824[[#This Row],[BKK]]&amp;TRIM(RIGHT(SUBSTITUTE(TRIM(Table1824[[#Headers],[Uraian aaaaaaaa]])," ",REPT(" ",255)),255)),'Un nOTA'!$D$4:$J$1004,5,FALSE),"")*(10/11)),"")</f>
        <v/>
      </c>
      <c r="BA12" s="8" t="str">
        <f>IFERROR((IFERROR(VLOOKUP(Table1824[[#This Row],[BKK]]&amp;TRIM(RIGHT(SUBSTITUTE(TRIM(Table1824[[#Headers],[Uraian aaaaaaaaa]])," ",REPT(" ",255)),255)),'Un nOTA'!$D$4:$J$1004,5,FALSE),"")*(10/11)),"")</f>
        <v/>
      </c>
      <c r="BB12" s="8" t="str">
        <f>IFERROR((IFERROR(VLOOKUP(Table1824[[#This Row],[BKK]]&amp;TRIM(RIGHT(SUBSTITUTE(TRIM(Table1824[[#Headers],[Uraian aaaaaaaaaa]])," ",REPT(" ",255)),255)),'Un nOTA'!$D$4:$J$1004,5,FALSE),"")*(10/11)),"")</f>
        <v/>
      </c>
      <c r="BC12" s="8" t="str">
        <f>IFERROR((IFERROR(VLOOKUP(Table1824[[#This Row],[BKK]]&amp;TRIM(RIGHT(SUBSTITUTE(TRIM(Table1824[[#Headers],[Uraian aaaaaaaaaaa]])," ",REPT(" ",255)),255)),'Un nOTA'!$D$4:$J$1004,5,FALSE),"")*(10/11)),"")</f>
        <v/>
      </c>
      <c r="BD12" s="8" t="str">
        <f>IFERROR((IFERROR(VLOOKUP(Table1824[[#This Row],[BKK]]&amp;TRIM(RIGHT(SUBSTITUTE(TRIM(Table1824[[#Headers],[Uraian aaaaaaaaaaaa]])," ",REPT(" ",255)),255)),'Un nOTA'!$D$4:$J$1004,5,FALSE),"")*(10/11)),"")</f>
        <v/>
      </c>
      <c r="BE12" s="23" t="str">
        <f>IFERROR(ROUNDUP((Table1824[[#This Row],[Qty]]*Table1824[[#This Row],[Hrg St]]),0),"")</f>
        <v/>
      </c>
      <c r="BF12" s="8" t="str">
        <f>IFERROR(ROUNDUP((Table1824[[#This Row],[Qty2]]*Table1824[[#This Row],[Hrg St2]]),0),"")</f>
        <v/>
      </c>
      <c r="BG12" s="8" t="str">
        <f>IFERROR(ROUNDUP((Table1824[[#This Row],[Qty3]]*Table1824[[#This Row],[Hrg St3]]),0),"")</f>
        <v/>
      </c>
      <c r="BH12" s="8" t="str">
        <f>IFERROR(ROUNDUP((Table1824[[#This Row],[Qty4]]*Table1824[[#This Row],[Hrg St4]]),0),"")</f>
        <v/>
      </c>
      <c r="BI12" s="8" t="str">
        <f>IFERROR(ROUNDUP((Table1824[[#This Row],[Qty5]]*Table1824[[#This Row],[Hrg St5]]),0),"")</f>
        <v/>
      </c>
      <c r="BJ12" s="8" t="str">
        <f>IFERROR(ROUNDUP((Table1824[[#This Row],[Qty6]]*Table1824[[#This Row],[Hrg St6]]),0),"")</f>
        <v/>
      </c>
      <c r="BK12" s="8" t="str">
        <f>IFERROR(ROUNDUP((Table1824[[#This Row],[Qty7]]*Table1824[[#This Row],[Hrg St7]]),0),"")</f>
        <v/>
      </c>
      <c r="BL12" s="8" t="str">
        <f>IFERROR(ROUNDUP((Table1824[[#This Row],[Qty8]]*Table1824[[#This Row],[Hrg St8]]),0),"")</f>
        <v/>
      </c>
      <c r="BM12" s="8" t="str">
        <f>IFERROR(ROUNDUP((Table1824[[#This Row],[Qty9]]*Table1824[[#This Row],[Hrg St9]]),0),"")</f>
        <v/>
      </c>
      <c r="BN12" s="8" t="str">
        <f>IFERROR(ROUNDUP((Table1824[[#This Row],[Qty10]]*Table1824[[#This Row],[Hrg St10]]),0),"")</f>
        <v/>
      </c>
      <c r="BO12" s="8" t="str">
        <f>IFERROR(ROUNDUP((Table1824[[#This Row],[Qty11]]*Table1824[[#This Row],[Hrg St11]]),0),"")</f>
        <v/>
      </c>
      <c r="BP12" s="8" t="str">
        <f>IFERROR(ROUNDUP((Table1824[[#This Row],[Qty12]]*Table1824[[#This Row],[Hrg St12]]),0),"")</f>
        <v/>
      </c>
      <c r="BQ12" s="8" t="str">
        <f>IFERROR(ROUNDUP((Table1824[[#This Row],[Qty13]]*Table1824[[#This Row],[Hrg St13]]),0),"")</f>
        <v/>
      </c>
      <c r="BR12" s="23" t="str">
        <f>IF(Table1824[[#This Row],[BKK]]&gt;" ",IFERROR(ROUNDUP((SUM(Table1824[[#This Row],[Jml]:[Jml13]])),0)," ")," ")</f>
        <v xml:space="preserve"> </v>
      </c>
      <c r="BS12" s="23" t="str">
        <f>IF(Table1824[[#This Row],[BKK]]&gt;" ",ROUND((Table1824[[#This Row],[Total]]*0.1),0)," ")</f>
        <v xml:space="preserve"> </v>
      </c>
      <c r="BT12" s="23" t="str">
        <f>IF(Table1824[[#This Row],[BKK]]&gt;" ",(Table1824[[#This Row],[Total]]+Table1824[[#This Row],[PPN]])," ")</f>
        <v xml:space="preserve"> </v>
      </c>
      <c r="BU12" t="s">
        <v>454</v>
      </c>
      <c r="BV12" t="str">
        <f>IF(Table1824[[#This Row],[BKK]]&gt;" ",("INV/AK-MLG/2019/"&amp;'BKU 1'!$E$1&amp;"/"&amp;Table1824[[#This Row],[BKK]]&amp;"/"&amp;'BKU 1'!$E$1&amp;ROW())," ")</f>
        <v xml:space="preserve"> </v>
      </c>
      <c r="BW12" t="str">
        <f>IF(Table1824[[#This Row],[BKK]]&gt;" ",(TEXT(VLOOKUP(Table1824[[#This Row],[BKK]],COPY!$O$2:$U$1000,7,FALSE),"dd mmmm yyyy"))," ")</f>
        <v xml:space="preserve"> </v>
      </c>
      <c r="BX12" t="str">
        <f>IF(Table1824[[#This Row],[BKK]]&gt;" ",(TEXT((Table1824[[#This Row],[Tanggal Kirim]]+30),"dd mmmm yyyy"))," ")</f>
        <v xml:space="preserve"> </v>
      </c>
      <c r="BY12" t="str">
        <f>IF(Table1824[[#This Row],[BKK]]&gt;" ",'BKU 1'!$E$17," ")</f>
        <v xml:space="preserve"> </v>
      </c>
    </row>
    <row r="13" spans="1:77" hidden="1" x14ac:dyDescent="0.25">
      <c r="A13" t="str">
        <f>IFERROR((IF('Laporan ppn'!G6800&gt;0,VLOOKUP('Laporan ppn'!G6800,'Laporan ppn'!$E$10:$F$6785,2,FALSE),"")),"")</f>
        <v xml:space="preserve"> </v>
      </c>
      <c r="B13" t="str">
        <f>IF(Table1824[[#This Row],[BKK]]=" "," ",'BKU 1'!$D$25)</f>
        <v xml:space="preserve"> </v>
      </c>
      <c r="C13" t="str">
        <f>IF(Table1824[[#This Row],[BKK]]=" "," ",'BKU 1'!$D$26)</f>
        <v xml:space="preserve"> </v>
      </c>
      <c r="D13" t="str">
        <f>IF(Table1824[[#This Row],[BKK]]=" "," ",'BKU 1'!$I$25)</f>
        <v xml:space="preserve"> </v>
      </c>
      <c r="E13" t="str">
        <f>IFERROR(VLOOKUP(Table1824[[#This Row],[BKK]],'Un nOTA'!$D$4:$J$1004,2,FALSE),"")</f>
        <v/>
      </c>
      <c r="F13" t="str">
        <f>IFERROR(VLOOKUP(Table1824[[#This Row],[BKK]]&amp;TRIM(RIGHT(SUBSTITUTE(TRIM(Table1824[[#Headers],[Uraian a]])," ",REPT(" ",255)),255)),'Un nOTA'!$D$4:$J$1004,2,FALSE),"")</f>
        <v/>
      </c>
      <c r="G13" t="str">
        <f>IFERROR(VLOOKUP(Table1824[[#This Row],[BKK]]&amp;TRIM(RIGHT(SUBSTITUTE(TRIM(Table1824[[#Headers],[Uraian aa]])," ",REPT(" ",255)),255)),'Un nOTA'!$D$4:$J$1004,2,FALSE),"")</f>
        <v/>
      </c>
      <c r="H13" t="str">
        <f>IFERROR(VLOOKUP(Table1824[[#This Row],[BKK]]&amp;TRIM(RIGHT(SUBSTITUTE(TRIM(Table1824[[#Headers],[Uraian aaa]])," ",REPT(" ",255)),255)),'Un nOTA'!$D$4:$J$1004,2,FALSE),"")</f>
        <v/>
      </c>
      <c r="I13" t="str">
        <f>IFERROR(VLOOKUP(Table1824[[#This Row],[BKK]]&amp;TRIM(RIGHT(SUBSTITUTE(TRIM(Table1824[[#Headers],[Uraian aaaa]])," ",REPT(" ",255)),255)),'Un nOTA'!$D$4:$J$1004,2,FALSE),"")</f>
        <v/>
      </c>
      <c r="J13" t="str">
        <f>IFERROR(VLOOKUP(Table1824[[#This Row],[BKK]]&amp;TRIM(RIGHT(SUBSTITUTE(TRIM(Table1824[[#Headers],[Uraian aaaaa]])," ",REPT(" ",255)),255)),'Un nOTA'!$D$4:$J$1004,2,FALSE),"")</f>
        <v/>
      </c>
      <c r="K13" t="str">
        <f>IFERROR(VLOOKUP(Table1824[[#This Row],[BKK]]&amp;TRIM(RIGHT(SUBSTITUTE(TRIM(Table1824[[#Headers],[Uraian aaaaaa]])," ",REPT(" ",255)),255)),'Un nOTA'!$D$4:$J$1004,2,FALSE),"")</f>
        <v/>
      </c>
      <c r="L13" t="str">
        <f>IFERROR(VLOOKUP(Table1824[[#This Row],[BKK]]&amp;TRIM(RIGHT(SUBSTITUTE(TRIM(Table1824[[#Headers],[Uraian aaaaaaa]])," ",REPT(" ",255)),255)),'Un nOTA'!$D$4:$J$1004,2,FALSE),"")</f>
        <v/>
      </c>
      <c r="M13" t="str">
        <f>IFERROR(VLOOKUP(Table1824[[#This Row],[BKK]]&amp;TRIM(RIGHT(SUBSTITUTE(TRIM(Table1824[[#Headers],[Uraian aaaaaaaa]])," ",REPT(" ",255)),255)),'Un nOTA'!$D$4:$J$1004,2,FALSE),"")</f>
        <v/>
      </c>
      <c r="N13" t="str">
        <f>IFERROR(VLOOKUP(Table1824[[#This Row],[BKK]]&amp;TRIM(RIGHT(SUBSTITUTE(TRIM(Table1824[[#Headers],[Uraian aaaaaaaaa]])," ",REPT(" ",255)),255)),'Un nOTA'!$D$4:$J$1004,2,FALSE),"")</f>
        <v/>
      </c>
      <c r="O13" t="str">
        <f>IFERROR(VLOOKUP(Table1824[[#This Row],[BKK]]&amp;TRIM(RIGHT(SUBSTITUTE(TRIM(Table1824[[#Headers],[Uraian aaaaaaaaaa]])," ",REPT(" ",255)),255)),'Un nOTA'!$D$4:$J$1004,2,FALSE),"")</f>
        <v/>
      </c>
      <c r="P13" t="str">
        <f>IFERROR(VLOOKUP(Table1824[[#This Row],[BKK]]&amp;TRIM(RIGHT(SUBSTITUTE(TRIM(Table1824[[#Headers],[Uraian aaaaaaaaaaa]])," ",REPT(" ",255)),255)),'Un nOTA'!$D$4:$J$1004,2,FALSE),"")</f>
        <v/>
      </c>
      <c r="Q13" t="str">
        <f>IFERROR(VLOOKUP(Table1824[[#This Row],[BKK]]&amp;TRIM(RIGHT(SUBSTITUTE(TRIM(Table1824[[#Headers],[Uraian aaaaaaaaaaaa]])," ",REPT(" ",255)),255)),'Un nOTA'!$D$4:$J$1004,2,FALSE),"")</f>
        <v/>
      </c>
      <c r="R13" s="32" t="str">
        <f>IFERROR(VLOOKUP(Table1824[[#This Row],[BKK]],'Un nOTA'!$D$4:$J$1004,3,FALSE),"")</f>
        <v/>
      </c>
      <c r="S13" s="32" t="str">
        <f>IFERROR(VLOOKUP(Table1824[[#This Row],[BKK]]&amp;TRIM(RIGHT(SUBSTITUTE(TRIM(Table1824[[#Headers],[Uraian a]])," ",REPT(" ",255)),255)),'Un nOTA'!$D$4:$J$1004,3,FALSE),"")</f>
        <v/>
      </c>
      <c r="T13" s="32" t="str">
        <f>IFERROR(VLOOKUP(Table1824[[#This Row],[BKK]]&amp;TRIM(RIGHT(SUBSTITUTE(TRIM(Table1824[[#Headers],[Uraian aa]])," ",REPT(" ",255)),255)),'Un nOTA'!$D$4:$J$1004,3,FALSE),"")</f>
        <v/>
      </c>
      <c r="U13" s="32" t="str">
        <f>IFERROR(VLOOKUP(Table1824[[#This Row],[BKK]]&amp;TRIM(RIGHT(SUBSTITUTE(TRIM(Table1824[[#Headers],[Uraian aaa]])," ",REPT(" ",255)),255)),'Un nOTA'!$D$4:$J$1004,3,FALSE),"")</f>
        <v/>
      </c>
      <c r="V13" s="32" t="str">
        <f>IFERROR(VLOOKUP(Table1824[[#This Row],[BKK]]&amp;TRIM(RIGHT(SUBSTITUTE(TRIM(Table1824[[#Headers],[Uraian aaaa]])," ",REPT(" ",255)),255)),'Un nOTA'!$D$4:$J$1004,3,FALSE),"")</f>
        <v/>
      </c>
      <c r="W13" s="32" t="str">
        <f>IFERROR(VLOOKUP(Table1824[[#This Row],[BKK]]&amp;TRIM(RIGHT(SUBSTITUTE(TRIM(Table1824[[#Headers],[Uraian aaaaa]])," ",REPT(" ",255)),255)),'Un nOTA'!$D$4:$J$1004,3,FALSE),"")</f>
        <v/>
      </c>
      <c r="X13" s="32" t="str">
        <f>IFERROR(VLOOKUP(Table1824[[#This Row],[BKK]]&amp;TRIM(RIGHT(SUBSTITUTE(TRIM(Table1824[[#Headers],[Uraian aaaaaa]])," ",REPT(" ",255)),255)),'Un nOTA'!$D$4:$J$1004,3,FALSE),"")</f>
        <v/>
      </c>
      <c r="Y13" s="32" t="str">
        <f>IFERROR(VLOOKUP(Table1824[[#This Row],[BKK]]&amp;TRIM(RIGHT(SUBSTITUTE(TRIM(Table1824[[#Headers],[Uraian aaaaaaa]])," ",REPT(" ",255)),255)),'Un nOTA'!$D$4:$J$1004,3,FALSE),"")</f>
        <v/>
      </c>
      <c r="Z13" s="32" t="str">
        <f>IFERROR(VLOOKUP(Table1824[[#This Row],[BKK]]&amp;TRIM(RIGHT(SUBSTITUTE(TRIM(Table1824[[#Headers],[Uraian aaaaaaaa]])," ",REPT(" ",255)),255)),'Un nOTA'!$D$4:$J$1004,3,FALSE),"")</f>
        <v/>
      </c>
      <c r="AA13" s="32" t="str">
        <f>IFERROR(VLOOKUP(Table1824[[#This Row],[BKK]]&amp;TRIM(RIGHT(SUBSTITUTE(TRIM(Table1824[[#Headers],[Uraian aaaaaaaaa]])," ",REPT(" ",255)),255)),'Un nOTA'!$D$4:$J$1004,3,FALSE),"")</f>
        <v/>
      </c>
      <c r="AB13" s="32" t="str">
        <f>IFERROR(VLOOKUP(Table1824[[#This Row],[BKK]]&amp;TRIM(RIGHT(SUBSTITUTE(TRIM(Table1824[[#Headers],[Uraian aaaaaaaaaa]])," ",REPT(" ",255)),255)),'Un nOTA'!$D$4:$J$1004,3,FALSE),"")</f>
        <v/>
      </c>
      <c r="AC13" s="32" t="str">
        <f>IFERROR(VLOOKUP(Table1824[[#This Row],[BKK]]&amp;TRIM(RIGHT(SUBSTITUTE(TRIM(Table1824[[#Headers],[Uraian aaaaaaaaaaa]])," ",REPT(" ",255)),255)),'Un nOTA'!$D$4:$J$1004,3,FALSE),"")</f>
        <v/>
      </c>
      <c r="AD13" s="32" t="str">
        <f>IFERROR(VLOOKUP(Table1824[[#This Row],[BKK]]&amp;TRIM(RIGHT(SUBSTITUTE(TRIM(Table1824[[#Headers],[Uraian aaaaaaaaaaaa]])," ",REPT(" ",255)),255)),'Un nOTA'!$D$4:$J$1004,3,FALSE),"")</f>
        <v/>
      </c>
      <c r="AE13" s="8" t="str">
        <f>IFERROR(VLOOKUP(Table1824[[#This Row],[BKK]],'Un nOTA'!$D$4:$J$1004,4,FALSE),"")</f>
        <v/>
      </c>
      <c r="AF13" s="8" t="str">
        <f>IFERROR(VLOOKUP(Table1824[[#This Row],[BKK]]&amp;TRIM(RIGHT(SUBSTITUTE(TRIM(Table1824[[#Headers],[Uraian a]])," ",REPT(" ",255)),255)),'Un nOTA'!$D$4:$J$1004,4,FALSE),"")</f>
        <v/>
      </c>
      <c r="AG13" s="8" t="str">
        <f>IFERROR(VLOOKUP(Table1824[[#This Row],[BKK]]&amp;TRIM(RIGHT(SUBSTITUTE(TRIM(Table1824[[#Headers],[Uraian aa]])," ",REPT(" ",255)),255)),'Un nOTA'!$D$4:$J$1004,4,FALSE),"")</f>
        <v/>
      </c>
      <c r="AH13" s="8" t="str">
        <f>IFERROR(VLOOKUP(Table1824[[#This Row],[BKK]]&amp;TRIM(RIGHT(SUBSTITUTE(TRIM(Table1824[[#Headers],[Uraian aaa]])," ",REPT(" ",255)),255)),'Un nOTA'!$D$4:$J$1004,4,FALSE),"")</f>
        <v/>
      </c>
      <c r="AI13" s="8" t="str">
        <f>IFERROR(VLOOKUP(Table1824[[#This Row],[BKK]]&amp;TRIM(RIGHT(SUBSTITUTE(TRIM(Table1824[[#Headers],[Uraian aaaa]])," ",REPT(" ",255)),255)),'Un nOTA'!$D$4:$J$1004,4,FALSE),"")</f>
        <v/>
      </c>
      <c r="AJ13" s="8" t="str">
        <f>IFERROR(VLOOKUP(Table1824[[#This Row],[BKK]]&amp;TRIM(RIGHT(SUBSTITUTE(TRIM(Table1824[[#Headers],[Uraian aaaaa]])," ",REPT(" ",255)),255)),'Un nOTA'!$D$4:$J$1004,4,FALSE),"")</f>
        <v/>
      </c>
      <c r="AK13" s="8" t="str">
        <f>IFERROR(VLOOKUP(Table1824[[#This Row],[BKK]]&amp;TRIM(RIGHT(SUBSTITUTE(TRIM(Table1824[[#Headers],[Uraian aaaaaa]])," ",REPT(" ",255)),255)),'Un nOTA'!$D$4:$J$1004,4,FALSE),"")</f>
        <v/>
      </c>
      <c r="AL13" s="8" t="str">
        <f>IFERROR(VLOOKUP(Table1824[[#This Row],[BKK]]&amp;TRIM(RIGHT(SUBSTITUTE(TRIM(Table1824[[#Headers],[Uraian aaaaaaa]])," ",REPT(" ",255)),255)),'Un nOTA'!$D$4:$J$1004,4,FALSE),"")</f>
        <v/>
      </c>
      <c r="AM13" s="8" t="str">
        <f>IFERROR(VLOOKUP(Table1824[[#This Row],[BKK]]&amp;TRIM(RIGHT(SUBSTITUTE(TRIM(Table1824[[#Headers],[Uraian aaaaaaaa]])," ",REPT(" ",255)),255)),'Un nOTA'!$D$4:$J$1004,4,FALSE),"")</f>
        <v/>
      </c>
      <c r="AN13" s="8" t="str">
        <f>IFERROR(VLOOKUP(Table1824[[#This Row],[BKK]]&amp;TRIM(RIGHT(SUBSTITUTE(TRIM(Table1824[[#Headers],[Uraian aaaaaaaaa]])," ",REPT(" ",255)),255)),'Un nOTA'!$D$4:$J$1004,4,FALSE),"")</f>
        <v/>
      </c>
      <c r="AO13" s="8" t="str">
        <f>IFERROR(VLOOKUP(Table1824[[#This Row],[BKK]]&amp;TRIM(RIGHT(SUBSTITUTE(TRIM(Table1824[[#Headers],[Uraian aaaaaaaaaa]])," ",REPT(" ",255)),255)),'Un nOTA'!$D$4:$J$1004,4,FALSE),"")</f>
        <v/>
      </c>
      <c r="AP13" s="8" t="str">
        <f>IFERROR(VLOOKUP(Table1824[[#This Row],[BKK]]&amp;TRIM(RIGHT(SUBSTITUTE(TRIM(Table1824[[#Headers],[Uraian aaaaaaaaaaa]])," ",REPT(" ",255)),255)),'Un nOTA'!$D$4:$J$1004,4,FALSE),"")</f>
        <v/>
      </c>
      <c r="AQ13" s="8" t="str">
        <f>IFERROR(VLOOKUP(Table1824[[#This Row],[BKK]]&amp;TRIM(RIGHT(SUBSTITUTE(TRIM(Table1824[[#Headers],[Uraian aaaaaaaaaaaa]])," ",REPT(" ",255)),255)),'Un nOTA'!$D$4:$J$1004,4,FALSE),"")</f>
        <v/>
      </c>
      <c r="AR13" s="8" t="str">
        <f>IFERROR((IFERROR(VLOOKUP(Table1824[[#This Row],[BKK]],'Un nOTA'!$D$4:$J$1004,5,FALSE),""))*(10/11),"")</f>
        <v/>
      </c>
      <c r="AS13" s="8" t="str">
        <f>IFERROR((IFERROR(VLOOKUP(Table1824[[#This Row],[BKK]]&amp;TRIM(RIGHT(SUBSTITUTE(TRIM(Table1824[[#Headers],[Uraian a]])," ",REPT(" ",255)),255)),'Un nOTA'!$D$4:$J$1004,5,FALSE),"")*(10/11)),"")</f>
        <v/>
      </c>
      <c r="AT13" s="8" t="str">
        <f>IFERROR((IFERROR(VLOOKUP(Table1824[[#This Row],[BKK]]&amp;TRIM(RIGHT(SUBSTITUTE(TRIM(Table1824[[#Headers],[Uraian aa]])," ",REPT(" ",255)),255)),'Un nOTA'!$D$4:$J$1004,5,FALSE),"")*(10/11)),"")</f>
        <v/>
      </c>
      <c r="AU13" s="8" t="str">
        <f>IFERROR((IFERROR(VLOOKUP(Table1824[[#This Row],[BKK]]&amp;TRIM(RIGHT(SUBSTITUTE(TRIM(Table1824[[#Headers],[Uraian aaa]])," ",REPT(" ",255)),255)),'Un nOTA'!$D$4:$J$1004,5,FALSE),"")*(10/11)),"")</f>
        <v/>
      </c>
      <c r="AV13" s="8" t="str">
        <f>IFERROR((IFERROR(VLOOKUP(Table1824[[#This Row],[BKK]]&amp;TRIM(RIGHT(SUBSTITUTE(TRIM(Table1824[[#Headers],[Uraian aaaa]])," ",REPT(" ",255)),255)),'Un nOTA'!$D$4:$J$1004,5,FALSE),"")*(10/11)),"")</f>
        <v/>
      </c>
      <c r="AW13" s="8" t="str">
        <f>IFERROR((IFERROR(VLOOKUP(Table1824[[#This Row],[BKK]]&amp;TRIM(RIGHT(SUBSTITUTE(TRIM(Table1824[[#Headers],[Uraian aaaaa]])," ",REPT(" ",255)),255)),'Un nOTA'!$D$4:$J$1004,5,FALSE),"")*(10/11)),"")</f>
        <v/>
      </c>
      <c r="AX13" s="8" t="str">
        <f>IFERROR((IFERROR(VLOOKUP(Table1824[[#This Row],[BKK]]&amp;TRIM(RIGHT(SUBSTITUTE(TRIM(Table1824[[#Headers],[Uraian aaaaaa]])," ",REPT(" ",255)),255)),'Un nOTA'!$D$4:$J$1004,5,FALSE),"")*(10/11)),"")</f>
        <v/>
      </c>
      <c r="AY13" s="8" t="str">
        <f>IFERROR((IFERROR(VLOOKUP(Table1824[[#This Row],[BKK]]&amp;TRIM(RIGHT(SUBSTITUTE(TRIM(Table1824[[#Headers],[Uraian aaaaaaa]])," ",REPT(" ",255)),255)),'Un nOTA'!$D$4:$J$1004,5,FALSE),"")*(10/11)),"")</f>
        <v/>
      </c>
      <c r="AZ13" s="8" t="str">
        <f>IFERROR((IFERROR(VLOOKUP(Table1824[[#This Row],[BKK]]&amp;TRIM(RIGHT(SUBSTITUTE(TRIM(Table1824[[#Headers],[Uraian aaaaaaaa]])," ",REPT(" ",255)),255)),'Un nOTA'!$D$4:$J$1004,5,FALSE),"")*(10/11)),"")</f>
        <v/>
      </c>
      <c r="BA13" s="8" t="str">
        <f>IFERROR((IFERROR(VLOOKUP(Table1824[[#This Row],[BKK]]&amp;TRIM(RIGHT(SUBSTITUTE(TRIM(Table1824[[#Headers],[Uraian aaaaaaaaa]])," ",REPT(" ",255)),255)),'Un nOTA'!$D$4:$J$1004,5,FALSE),"")*(10/11)),"")</f>
        <v/>
      </c>
      <c r="BB13" s="8" t="str">
        <f>IFERROR((IFERROR(VLOOKUP(Table1824[[#This Row],[BKK]]&amp;TRIM(RIGHT(SUBSTITUTE(TRIM(Table1824[[#Headers],[Uraian aaaaaaaaaa]])," ",REPT(" ",255)),255)),'Un nOTA'!$D$4:$J$1004,5,FALSE),"")*(10/11)),"")</f>
        <v/>
      </c>
      <c r="BC13" s="8" t="str">
        <f>IFERROR((IFERROR(VLOOKUP(Table1824[[#This Row],[BKK]]&amp;TRIM(RIGHT(SUBSTITUTE(TRIM(Table1824[[#Headers],[Uraian aaaaaaaaaaa]])," ",REPT(" ",255)),255)),'Un nOTA'!$D$4:$J$1004,5,FALSE),"")*(10/11)),"")</f>
        <v/>
      </c>
      <c r="BD13" s="8" t="str">
        <f>IFERROR((IFERROR(VLOOKUP(Table1824[[#This Row],[BKK]]&amp;TRIM(RIGHT(SUBSTITUTE(TRIM(Table1824[[#Headers],[Uraian aaaaaaaaaaaa]])," ",REPT(" ",255)),255)),'Un nOTA'!$D$4:$J$1004,5,FALSE),"")*(10/11)),"")</f>
        <v/>
      </c>
      <c r="BE13" s="23" t="str">
        <f>IFERROR(ROUNDUP((Table1824[[#This Row],[Qty]]*Table1824[[#This Row],[Hrg St]]),0),"")</f>
        <v/>
      </c>
      <c r="BF13" s="8" t="str">
        <f>IFERROR(ROUNDUP((Table1824[[#This Row],[Qty2]]*Table1824[[#This Row],[Hrg St2]]),0),"")</f>
        <v/>
      </c>
      <c r="BG13" s="8" t="str">
        <f>IFERROR(ROUNDUP((Table1824[[#This Row],[Qty3]]*Table1824[[#This Row],[Hrg St3]]),0),"")</f>
        <v/>
      </c>
      <c r="BH13" s="8" t="str">
        <f>IFERROR(ROUNDUP((Table1824[[#This Row],[Qty4]]*Table1824[[#This Row],[Hrg St4]]),0),"")</f>
        <v/>
      </c>
      <c r="BI13" s="8" t="str">
        <f>IFERROR(ROUNDUP((Table1824[[#This Row],[Qty5]]*Table1824[[#This Row],[Hrg St5]]),0),"")</f>
        <v/>
      </c>
      <c r="BJ13" s="8" t="str">
        <f>IFERROR(ROUNDUP((Table1824[[#This Row],[Qty6]]*Table1824[[#This Row],[Hrg St6]]),0),"")</f>
        <v/>
      </c>
      <c r="BK13" s="8" t="str">
        <f>IFERROR(ROUNDUP((Table1824[[#This Row],[Qty7]]*Table1824[[#This Row],[Hrg St7]]),0),"")</f>
        <v/>
      </c>
      <c r="BL13" s="8" t="str">
        <f>IFERROR(ROUNDUP((Table1824[[#This Row],[Qty8]]*Table1824[[#This Row],[Hrg St8]]),0),"")</f>
        <v/>
      </c>
      <c r="BM13" s="8" t="str">
        <f>IFERROR(ROUNDUP((Table1824[[#This Row],[Qty9]]*Table1824[[#This Row],[Hrg St9]]),0),"")</f>
        <v/>
      </c>
      <c r="BN13" s="8" t="str">
        <f>IFERROR(ROUNDUP((Table1824[[#This Row],[Qty10]]*Table1824[[#This Row],[Hrg St10]]),0),"")</f>
        <v/>
      </c>
      <c r="BO13" s="8" t="str">
        <f>IFERROR(ROUNDUP((Table1824[[#This Row],[Qty11]]*Table1824[[#This Row],[Hrg St11]]),0),"")</f>
        <v/>
      </c>
      <c r="BP13" s="8" t="str">
        <f>IFERROR(ROUNDUP((Table1824[[#This Row],[Qty12]]*Table1824[[#This Row],[Hrg St12]]),0),"")</f>
        <v/>
      </c>
      <c r="BQ13" s="8" t="str">
        <f>IFERROR(ROUNDUP((Table1824[[#This Row],[Qty13]]*Table1824[[#This Row],[Hrg St13]]),0),"")</f>
        <v/>
      </c>
      <c r="BR13" s="23" t="str">
        <f>IF(Table1824[[#This Row],[BKK]]&gt;" ",IFERROR(ROUNDUP((SUM(Table1824[[#This Row],[Jml]:[Jml13]])),0)," ")," ")</f>
        <v xml:space="preserve"> </v>
      </c>
      <c r="BS13" s="23" t="str">
        <f>IF(Table1824[[#This Row],[BKK]]&gt;" ",ROUND((Table1824[[#This Row],[Total]]*0.1),0)," ")</f>
        <v xml:space="preserve"> </v>
      </c>
      <c r="BT13" s="23" t="str">
        <f>IF(Table1824[[#This Row],[BKK]]&gt;" ",(Table1824[[#This Row],[Total]]+Table1824[[#This Row],[PPN]])," ")</f>
        <v xml:space="preserve"> </v>
      </c>
      <c r="BU13" t="s">
        <v>454</v>
      </c>
      <c r="BV13" t="str">
        <f>IF(Table1824[[#This Row],[BKK]]&gt;" ",("INV/AK-MLG/2019/"&amp;'BKU 1'!$E$1&amp;"/"&amp;Table1824[[#This Row],[BKK]]&amp;"/"&amp;'BKU 1'!$E$1&amp;ROW())," ")</f>
        <v xml:space="preserve"> </v>
      </c>
      <c r="BW13" t="str">
        <f>IF(Table1824[[#This Row],[BKK]]&gt;" ",(TEXT(VLOOKUP(Table1824[[#This Row],[BKK]],COPY!$O$2:$U$1000,7,FALSE),"dd mmmm yyyy"))," ")</f>
        <v xml:space="preserve"> </v>
      </c>
      <c r="BX13" t="str">
        <f>IF(Table1824[[#This Row],[BKK]]&gt;" ",(TEXT((Table1824[[#This Row],[Tanggal Kirim]]+30),"dd mmmm yyyy"))," ")</f>
        <v xml:space="preserve"> </v>
      </c>
      <c r="BY13" t="str">
        <f>IF(Table1824[[#This Row],[BKK]]&gt;" ",'BKU 1'!$E$17," ")</f>
        <v xml:space="preserve"> </v>
      </c>
    </row>
    <row r="14" spans="1:77" hidden="1" x14ac:dyDescent="0.25">
      <c r="A14" t="str">
        <f>IFERROR((IF('Laporan ppn'!G6801&gt;0,VLOOKUP('Laporan ppn'!G6801,'Laporan ppn'!$E$10:$F$6785,2,FALSE),"")),"")</f>
        <v xml:space="preserve"> </v>
      </c>
      <c r="B14" t="str">
        <f>IF(Table1824[[#This Row],[BKK]]=" "," ",'BKU 1'!$D$25)</f>
        <v xml:space="preserve"> </v>
      </c>
      <c r="C14" t="str">
        <f>IF(Table1824[[#This Row],[BKK]]=" "," ",'BKU 1'!$D$26)</f>
        <v xml:space="preserve"> </v>
      </c>
      <c r="D14" t="str">
        <f>IF(Table1824[[#This Row],[BKK]]=" "," ",'BKU 1'!$I$25)</f>
        <v xml:space="preserve"> </v>
      </c>
      <c r="E14" t="str">
        <f>IFERROR(VLOOKUP(Table1824[[#This Row],[BKK]],'Un nOTA'!$D$4:$J$1004,2,FALSE),"")</f>
        <v/>
      </c>
      <c r="F14" t="str">
        <f>IFERROR(VLOOKUP(Table1824[[#This Row],[BKK]]&amp;TRIM(RIGHT(SUBSTITUTE(TRIM(Table1824[[#Headers],[Uraian a]])," ",REPT(" ",255)),255)),'Un nOTA'!$D$4:$J$1004,2,FALSE),"")</f>
        <v/>
      </c>
      <c r="G14" t="str">
        <f>IFERROR(VLOOKUP(Table1824[[#This Row],[BKK]]&amp;TRIM(RIGHT(SUBSTITUTE(TRIM(Table1824[[#Headers],[Uraian aa]])," ",REPT(" ",255)),255)),'Un nOTA'!$D$4:$J$1004,2,FALSE),"")</f>
        <v/>
      </c>
      <c r="H14" t="str">
        <f>IFERROR(VLOOKUP(Table1824[[#This Row],[BKK]]&amp;TRIM(RIGHT(SUBSTITUTE(TRIM(Table1824[[#Headers],[Uraian aaa]])," ",REPT(" ",255)),255)),'Un nOTA'!$D$4:$J$1004,2,FALSE),"")</f>
        <v/>
      </c>
      <c r="I14" t="str">
        <f>IFERROR(VLOOKUP(Table1824[[#This Row],[BKK]]&amp;TRIM(RIGHT(SUBSTITUTE(TRIM(Table1824[[#Headers],[Uraian aaaa]])," ",REPT(" ",255)),255)),'Un nOTA'!$D$4:$J$1004,2,FALSE),"")</f>
        <v/>
      </c>
      <c r="J14" t="str">
        <f>IFERROR(VLOOKUP(Table1824[[#This Row],[BKK]]&amp;TRIM(RIGHT(SUBSTITUTE(TRIM(Table1824[[#Headers],[Uraian aaaaa]])," ",REPT(" ",255)),255)),'Un nOTA'!$D$4:$J$1004,2,FALSE),"")</f>
        <v/>
      </c>
      <c r="K14" t="str">
        <f>IFERROR(VLOOKUP(Table1824[[#This Row],[BKK]]&amp;TRIM(RIGHT(SUBSTITUTE(TRIM(Table1824[[#Headers],[Uraian aaaaaa]])," ",REPT(" ",255)),255)),'Un nOTA'!$D$4:$J$1004,2,FALSE),"")</f>
        <v/>
      </c>
      <c r="L14" t="str">
        <f>IFERROR(VLOOKUP(Table1824[[#This Row],[BKK]]&amp;TRIM(RIGHT(SUBSTITUTE(TRIM(Table1824[[#Headers],[Uraian aaaaaaa]])," ",REPT(" ",255)),255)),'Un nOTA'!$D$4:$J$1004,2,FALSE),"")</f>
        <v/>
      </c>
      <c r="M14" t="str">
        <f>IFERROR(VLOOKUP(Table1824[[#This Row],[BKK]]&amp;TRIM(RIGHT(SUBSTITUTE(TRIM(Table1824[[#Headers],[Uraian aaaaaaaa]])," ",REPT(" ",255)),255)),'Un nOTA'!$D$4:$J$1004,2,FALSE),"")</f>
        <v/>
      </c>
      <c r="N14" t="str">
        <f>IFERROR(VLOOKUP(Table1824[[#This Row],[BKK]]&amp;TRIM(RIGHT(SUBSTITUTE(TRIM(Table1824[[#Headers],[Uraian aaaaaaaaa]])," ",REPT(" ",255)),255)),'Un nOTA'!$D$4:$J$1004,2,FALSE),"")</f>
        <v/>
      </c>
      <c r="O14" t="str">
        <f>IFERROR(VLOOKUP(Table1824[[#This Row],[BKK]]&amp;TRIM(RIGHT(SUBSTITUTE(TRIM(Table1824[[#Headers],[Uraian aaaaaaaaaa]])," ",REPT(" ",255)),255)),'Un nOTA'!$D$4:$J$1004,2,FALSE),"")</f>
        <v/>
      </c>
      <c r="P14" t="str">
        <f>IFERROR(VLOOKUP(Table1824[[#This Row],[BKK]]&amp;TRIM(RIGHT(SUBSTITUTE(TRIM(Table1824[[#Headers],[Uraian aaaaaaaaaaa]])," ",REPT(" ",255)),255)),'Un nOTA'!$D$4:$J$1004,2,FALSE),"")</f>
        <v/>
      </c>
      <c r="Q14" t="str">
        <f>IFERROR(VLOOKUP(Table1824[[#This Row],[BKK]]&amp;TRIM(RIGHT(SUBSTITUTE(TRIM(Table1824[[#Headers],[Uraian aaaaaaaaaaaa]])," ",REPT(" ",255)),255)),'Un nOTA'!$D$4:$J$1004,2,FALSE),"")</f>
        <v/>
      </c>
      <c r="R14" s="32" t="str">
        <f>IFERROR(VLOOKUP(Table1824[[#This Row],[BKK]],'Un nOTA'!$D$4:$J$1004,3,FALSE),"")</f>
        <v/>
      </c>
      <c r="S14" s="32" t="str">
        <f>IFERROR(VLOOKUP(Table1824[[#This Row],[BKK]]&amp;TRIM(RIGHT(SUBSTITUTE(TRIM(Table1824[[#Headers],[Uraian a]])," ",REPT(" ",255)),255)),'Un nOTA'!$D$4:$J$1004,3,FALSE),"")</f>
        <v/>
      </c>
      <c r="T14" s="32" t="str">
        <f>IFERROR(VLOOKUP(Table1824[[#This Row],[BKK]]&amp;TRIM(RIGHT(SUBSTITUTE(TRIM(Table1824[[#Headers],[Uraian aa]])," ",REPT(" ",255)),255)),'Un nOTA'!$D$4:$J$1004,3,FALSE),"")</f>
        <v/>
      </c>
      <c r="U14" s="32" t="str">
        <f>IFERROR(VLOOKUP(Table1824[[#This Row],[BKK]]&amp;TRIM(RIGHT(SUBSTITUTE(TRIM(Table1824[[#Headers],[Uraian aaa]])," ",REPT(" ",255)),255)),'Un nOTA'!$D$4:$J$1004,3,FALSE),"")</f>
        <v/>
      </c>
      <c r="V14" s="32" t="str">
        <f>IFERROR(VLOOKUP(Table1824[[#This Row],[BKK]]&amp;TRIM(RIGHT(SUBSTITUTE(TRIM(Table1824[[#Headers],[Uraian aaaa]])," ",REPT(" ",255)),255)),'Un nOTA'!$D$4:$J$1004,3,FALSE),"")</f>
        <v/>
      </c>
      <c r="W14" s="32" t="str">
        <f>IFERROR(VLOOKUP(Table1824[[#This Row],[BKK]]&amp;TRIM(RIGHT(SUBSTITUTE(TRIM(Table1824[[#Headers],[Uraian aaaaa]])," ",REPT(" ",255)),255)),'Un nOTA'!$D$4:$J$1004,3,FALSE),"")</f>
        <v/>
      </c>
      <c r="X14" s="32" t="str">
        <f>IFERROR(VLOOKUP(Table1824[[#This Row],[BKK]]&amp;TRIM(RIGHT(SUBSTITUTE(TRIM(Table1824[[#Headers],[Uraian aaaaaa]])," ",REPT(" ",255)),255)),'Un nOTA'!$D$4:$J$1004,3,FALSE),"")</f>
        <v/>
      </c>
      <c r="Y14" s="32" t="str">
        <f>IFERROR(VLOOKUP(Table1824[[#This Row],[BKK]]&amp;TRIM(RIGHT(SUBSTITUTE(TRIM(Table1824[[#Headers],[Uraian aaaaaaa]])," ",REPT(" ",255)),255)),'Un nOTA'!$D$4:$J$1004,3,FALSE),"")</f>
        <v/>
      </c>
      <c r="Z14" s="32" t="str">
        <f>IFERROR(VLOOKUP(Table1824[[#This Row],[BKK]]&amp;TRIM(RIGHT(SUBSTITUTE(TRIM(Table1824[[#Headers],[Uraian aaaaaaaa]])," ",REPT(" ",255)),255)),'Un nOTA'!$D$4:$J$1004,3,FALSE),"")</f>
        <v/>
      </c>
      <c r="AA14" s="32" t="str">
        <f>IFERROR(VLOOKUP(Table1824[[#This Row],[BKK]]&amp;TRIM(RIGHT(SUBSTITUTE(TRIM(Table1824[[#Headers],[Uraian aaaaaaaaa]])," ",REPT(" ",255)),255)),'Un nOTA'!$D$4:$J$1004,3,FALSE),"")</f>
        <v/>
      </c>
      <c r="AB14" s="32" t="str">
        <f>IFERROR(VLOOKUP(Table1824[[#This Row],[BKK]]&amp;TRIM(RIGHT(SUBSTITUTE(TRIM(Table1824[[#Headers],[Uraian aaaaaaaaaa]])," ",REPT(" ",255)),255)),'Un nOTA'!$D$4:$J$1004,3,FALSE),"")</f>
        <v/>
      </c>
      <c r="AC14" s="32" t="str">
        <f>IFERROR(VLOOKUP(Table1824[[#This Row],[BKK]]&amp;TRIM(RIGHT(SUBSTITUTE(TRIM(Table1824[[#Headers],[Uraian aaaaaaaaaaa]])," ",REPT(" ",255)),255)),'Un nOTA'!$D$4:$J$1004,3,FALSE),"")</f>
        <v/>
      </c>
      <c r="AD14" s="32" t="str">
        <f>IFERROR(VLOOKUP(Table1824[[#This Row],[BKK]]&amp;TRIM(RIGHT(SUBSTITUTE(TRIM(Table1824[[#Headers],[Uraian aaaaaaaaaaaa]])," ",REPT(" ",255)),255)),'Un nOTA'!$D$4:$J$1004,3,FALSE),"")</f>
        <v/>
      </c>
      <c r="AE14" s="8" t="str">
        <f>IFERROR(VLOOKUP(Table1824[[#This Row],[BKK]],'Un nOTA'!$D$4:$J$1004,4,FALSE),"")</f>
        <v/>
      </c>
      <c r="AF14" s="8" t="str">
        <f>IFERROR(VLOOKUP(Table1824[[#This Row],[BKK]]&amp;TRIM(RIGHT(SUBSTITUTE(TRIM(Table1824[[#Headers],[Uraian a]])," ",REPT(" ",255)),255)),'Un nOTA'!$D$4:$J$1004,4,FALSE),"")</f>
        <v/>
      </c>
      <c r="AG14" s="8" t="str">
        <f>IFERROR(VLOOKUP(Table1824[[#This Row],[BKK]]&amp;TRIM(RIGHT(SUBSTITUTE(TRIM(Table1824[[#Headers],[Uraian aa]])," ",REPT(" ",255)),255)),'Un nOTA'!$D$4:$J$1004,4,FALSE),"")</f>
        <v/>
      </c>
      <c r="AH14" s="8" t="str">
        <f>IFERROR(VLOOKUP(Table1824[[#This Row],[BKK]]&amp;TRIM(RIGHT(SUBSTITUTE(TRIM(Table1824[[#Headers],[Uraian aaa]])," ",REPT(" ",255)),255)),'Un nOTA'!$D$4:$J$1004,4,FALSE),"")</f>
        <v/>
      </c>
      <c r="AI14" s="8" t="str">
        <f>IFERROR(VLOOKUP(Table1824[[#This Row],[BKK]]&amp;TRIM(RIGHT(SUBSTITUTE(TRIM(Table1824[[#Headers],[Uraian aaaa]])," ",REPT(" ",255)),255)),'Un nOTA'!$D$4:$J$1004,4,FALSE),"")</f>
        <v/>
      </c>
      <c r="AJ14" s="8" t="str">
        <f>IFERROR(VLOOKUP(Table1824[[#This Row],[BKK]]&amp;TRIM(RIGHT(SUBSTITUTE(TRIM(Table1824[[#Headers],[Uraian aaaaa]])," ",REPT(" ",255)),255)),'Un nOTA'!$D$4:$J$1004,4,FALSE),"")</f>
        <v/>
      </c>
      <c r="AK14" s="8" t="str">
        <f>IFERROR(VLOOKUP(Table1824[[#This Row],[BKK]]&amp;TRIM(RIGHT(SUBSTITUTE(TRIM(Table1824[[#Headers],[Uraian aaaaaa]])," ",REPT(" ",255)),255)),'Un nOTA'!$D$4:$J$1004,4,FALSE),"")</f>
        <v/>
      </c>
      <c r="AL14" s="8" t="str">
        <f>IFERROR(VLOOKUP(Table1824[[#This Row],[BKK]]&amp;TRIM(RIGHT(SUBSTITUTE(TRIM(Table1824[[#Headers],[Uraian aaaaaaa]])," ",REPT(" ",255)),255)),'Un nOTA'!$D$4:$J$1004,4,FALSE),"")</f>
        <v/>
      </c>
      <c r="AM14" s="8" t="str">
        <f>IFERROR(VLOOKUP(Table1824[[#This Row],[BKK]]&amp;TRIM(RIGHT(SUBSTITUTE(TRIM(Table1824[[#Headers],[Uraian aaaaaaaa]])," ",REPT(" ",255)),255)),'Un nOTA'!$D$4:$J$1004,4,FALSE),"")</f>
        <v/>
      </c>
      <c r="AN14" s="8" t="str">
        <f>IFERROR(VLOOKUP(Table1824[[#This Row],[BKK]]&amp;TRIM(RIGHT(SUBSTITUTE(TRIM(Table1824[[#Headers],[Uraian aaaaaaaaa]])," ",REPT(" ",255)),255)),'Un nOTA'!$D$4:$J$1004,4,FALSE),"")</f>
        <v/>
      </c>
      <c r="AO14" s="8" t="str">
        <f>IFERROR(VLOOKUP(Table1824[[#This Row],[BKK]]&amp;TRIM(RIGHT(SUBSTITUTE(TRIM(Table1824[[#Headers],[Uraian aaaaaaaaaa]])," ",REPT(" ",255)),255)),'Un nOTA'!$D$4:$J$1004,4,FALSE),"")</f>
        <v/>
      </c>
      <c r="AP14" s="8" t="str">
        <f>IFERROR(VLOOKUP(Table1824[[#This Row],[BKK]]&amp;TRIM(RIGHT(SUBSTITUTE(TRIM(Table1824[[#Headers],[Uraian aaaaaaaaaaa]])," ",REPT(" ",255)),255)),'Un nOTA'!$D$4:$J$1004,4,FALSE),"")</f>
        <v/>
      </c>
      <c r="AQ14" s="8" t="str">
        <f>IFERROR(VLOOKUP(Table1824[[#This Row],[BKK]]&amp;TRIM(RIGHT(SUBSTITUTE(TRIM(Table1824[[#Headers],[Uraian aaaaaaaaaaaa]])," ",REPT(" ",255)),255)),'Un nOTA'!$D$4:$J$1004,4,FALSE),"")</f>
        <v/>
      </c>
      <c r="AR14" s="8" t="str">
        <f>IFERROR((IFERROR(VLOOKUP(Table1824[[#This Row],[BKK]],'Un nOTA'!$D$4:$J$1004,5,FALSE),""))*(10/11),"")</f>
        <v/>
      </c>
      <c r="AS14" s="8" t="str">
        <f>IFERROR((IFERROR(VLOOKUP(Table1824[[#This Row],[BKK]]&amp;TRIM(RIGHT(SUBSTITUTE(TRIM(Table1824[[#Headers],[Uraian a]])," ",REPT(" ",255)),255)),'Un nOTA'!$D$4:$J$1004,5,FALSE),"")*(10/11)),"")</f>
        <v/>
      </c>
      <c r="AT14" s="8" t="str">
        <f>IFERROR((IFERROR(VLOOKUP(Table1824[[#This Row],[BKK]]&amp;TRIM(RIGHT(SUBSTITUTE(TRIM(Table1824[[#Headers],[Uraian aa]])," ",REPT(" ",255)),255)),'Un nOTA'!$D$4:$J$1004,5,FALSE),"")*(10/11)),"")</f>
        <v/>
      </c>
      <c r="AU14" s="8" t="str">
        <f>IFERROR((IFERROR(VLOOKUP(Table1824[[#This Row],[BKK]]&amp;TRIM(RIGHT(SUBSTITUTE(TRIM(Table1824[[#Headers],[Uraian aaa]])," ",REPT(" ",255)),255)),'Un nOTA'!$D$4:$J$1004,5,FALSE),"")*(10/11)),"")</f>
        <v/>
      </c>
      <c r="AV14" s="8" t="str">
        <f>IFERROR((IFERROR(VLOOKUP(Table1824[[#This Row],[BKK]]&amp;TRIM(RIGHT(SUBSTITUTE(TRIM(Table1824[[#Headers],[Uraian aaaa]])," ",REPT(" ",255)),255)),'Un nOTA'!$D$4:$J$1004,5,FALSE),"")*(10/11)),"")</f>
        <v/>
      </c>
      <c r="AW14" s="8" t="str">
        <f>IFERROR((IFERROR(VLOOKUP(Table1824[[#This Row],[BKK]]&amp;TRIM(RIGHT(SUBSTITUTE(TRIM(Table1824[[#Headers],[Uraian aaaaa]])," ",REPT(" ",255)),255)),'Un nOTA'!$D$4:$J$1004,5,FALSE),"")*(10/11)),"")</f>
        <v/>
      </c>
      <c r="AX14" s="8" t="str">
        <f>IFERROR((IFERROR(VLOOKUP(Table1824[[#This Row],[BKK]]&amp;TRIM(RIGHT(SUBSTITUTE(TRIM(Table1824[[#Headers],[Uraian aaaaaa]])," ",REPT(" ",255)),255)),'Un nOTA'!$D$4:$J$1004,5,FALSE),"")*(10/11)),"")</f>
        <v/>
      </c>
      <c r="AY14" s="8" t="str">
        <f>IFERROR((IFERROR(VLOOKUP(Table1824[[#This Row],[BKK]]&amp;TRIM(RIGHT(SUBSTITUTE(TRIM(Table1824[[#Headers],[Uraian aaaaaaa]])," ",REPT(" ",255)),255)),'Un nOTA'!$D$4:$J$1004,5,FALSE),"")*(10/11)),"")</f>
        <v/>
      </c>
      <c r="AZ14" s="8" t="str">
        <f>IFERROR((IFERROR(VLOOKUP(Table1824[[#This Row],[BKK]]&amp;TRIM(RIGHT(SUBSTITUTE(TRIM(Table1824[[#Headers],[Uraian aaaaaaaa]])," ",REPT(" ",255)),255)),'Un nOTA'!$D$4:$J$1004,5,FALSE),"")*(10/11)),"")</f>
        <v/>
      </c>
      <c r="BA14" s="8" t="str">
        <f>IFERROR((IFERROR(VLOOKUP(Table1824[[#This Row],[BKK]]&amp;TRIM(RIGHT(SUBSTITUTE(TRIM(Table1824[[#Headers],[Uraian aaaaaaaaa]])," ",REPT(" ",255)),255)),'Un nOTA'!$D$4:$J$1004,5,FALSE),"")*(10/11)),"")</f>
        <v/>
      </c>
      <c r="BB14" s="8" t="str">
        <f>IFERROR((IFERROR(VLOOKUP(Table1824[[#This Row],[BKK]]&amp;TRIM(RIGHT(SUBSTITUTE(TRIM(Table1824[[#Headers],[Uraian aaaaaaaaaa]])," ",REPT(" ",255)),255)),'Un nOTA'!$D$4:$J$1004,5,FALSE),"")*(10/11)),"")</f>
        <v/>
      </c>
      <c r="BC14" s="8" t="str">
        <f>IFERROR((IFERROR(VLOOKUP(Table1824[[#This Row],[BKK]]&amp;TRIM(RIGHT(SUBSTITUTE(TRIM(Table1824[[#Headers],[Uraian aaaaaaaaaaa]])," ",REPT(" ",255)),255)),'Un nOTA'!$D$4:$J$1004,5,FALSE),"")*(10/11)),"")</f>
        <v/>
      </c>
      <c r="BD14" s="8" t="str">
        <f>IFERROR((IFERROR(VLOOKUP(Table1824[[#This Row],[BKK]]&amp;TRIM(RIGHT(SUBSTITUTE(TRIM(Table1824[[#Headers],[Uraian aaaaaaaaaaaa]])," ",REPT(" ",255)),255)),'Un nOTA'!$D$4:$J$1004,5,FALSE),"")*(10/11)),"")</f>
        <v/>
      </c>
      <c r="BE14" s="23" t="str">
        <f>IFERROR(ROUNDUP((Table1824[[#This Row],[Qty]]*Table1824[[#This Row],[Hrg St]]),0),"")</f>
        <v/>
      </c>
      <c r="BF14" s="8" t="str">
        <f>IFERROR(ROUNDUP((Table1824[[#This Row],[Qty2]]*Table1824[[#This Row],[Hrg St2]]),0),"")</f>
        <v/>
      </c>
      <c r="BG14" s="8" t="str">
        <f>IFERROR(ROUNDUP((Table1824[[#This Row],[Qty3]]*Table1824[[#This Row],[Hrg St3]]),0),"")</f>
        <v/>
      </c>
      <c r="BH14" s="8" t="str">
        <f>IFERROR(ROUNDUP((Table1824[[#This Row],[Qty4]]*Table1824[[#This Row],[Hrg St4]]),0),"")</f>
        <v/>
      </c>
      <c r="BI14" s="8" t="str">
        <f>IFERROR(ROUNDUP((Table1824[[#This Row],[Qty5]]*Table1824[[#This Row],[Hrg St5]]),0),"")</f>
        <v/>
      </c>
      <c r="BJ14" s="8" t="str">
        <f>IFERROR(ROUNDUP((Table1824[[#This Row],[Qty6]]*Table1824[[#This Row],[Hrg St6]]),0),"")</f>
        <v/>
      </c>
      <c r="BK14" s="8" t="str">
        <f>IFERROR(ROUNDUP((Table1824[[#This Row],[Qty7]]*Table1824[[#This Row],[Hrg St7]]),0),"")</f>
        <v/>
      </c>
      <c r="BL14" s="8" t="str">
        <f>IFERROR(ROUNDUP((Table1824[[#This Row],[Qty8]]*Table1824[[#This Row],[Hrg St8]]),0),"")</f>
        <v/>
      </c>
      <c r="BM14" s="8" t="str">
        <f>IFERROR(ROUNDUP((Table1824[[#This Row],[Qty9]]*Table1824[[#This Row],[Hrg St9]]),0),"")</f>
        <v/>
      </c>
      <c r="BN14" s="8" t="str">
        <f>IFERROR(ROUNDUP((Table1824[[#This Row],[Qty10]]*Table1824[[#This Row],[Hrg St10]]),0),"")</f>
        <v/>
      </c>
      <c r="BO14" s="8" t="str">
        <f>IFERROR(ROUNDUP((Table1824[[#This Row],[Qty11]]*Table1824[[#This Row],[Hrg St11]]),0),"")</f>
        <v/>
      </c>
      <c r="BP14" s="8" t="str">
        <f>IFERROR(ROUNDUP((Table1824[[#This Row],[Qty12]]*Table1824[[#This Row],[Hrg St12]]),0),"")</f>
        <v/>
      </c>
      <c r="BQ14" s="8" t="str">
        <f>IFERROR(ROUNDUP((Table1824[[#This Row],[Qty13]]*Table1824[[#This Row],[Hrg St13]]),0),"")</f>
        <v/>
      </c>
      <c r="BR14" s="23" t="str">
        <f>IF(Table1824[[#This Row],[BKK]]&gt;" ",IFERROR(ROUNDUP((SUM(Table1824[[#This Row],[Jml]:[Jml13]])),0)," ")," ")</f>
        <v xml:space="preserve"> </v>
      </c>
      <c r="BS14" s="23" t="str">
        <f>IF(Table1824[[#This Row],[BKK]]&gt;" ",ROUND((Table1824[[#This Row],[Total]]*0.1),0)," ")</f>
        <v xml:space="preserve"> </v>
      </c>
      <c r="BT14" s="23" t="str">
        <f>IF(Table1824[[#This Row],[BKK]]&gt;" ",(Table1824[[#This Row],[Total]]+Table1824[[#This Row],[PPN]])," ")</f>
        <v xml:space="preserve"> </v>
      </c>
      <c r="BU14" t="s">
        <v>454</v>
      </c>
      <c r="BV14" t="str">
        <f>IF(Table1824[[#This Row],[BKK]]&gt;" ",("INV/AK-MLG/2019/"&amp;'BKU 1'!$E$1&amp;"/"&amp;Table1824[[#This Row],[BKK]]&amp;"/"&amp;'BKU 1'!$E$1&amp;ROW())," ")</f>
        <v xml:space="preserve"> </v>
      </c>
      <c r="BW14" t="str">
        <f>IF(Table1824[[#This Row],[BKK]]&gt;" ",(TEXT(VLOOKUP(Table1824[[#This Row],[BKK]],COPY!$O$2:$U$1000,7,FALSE),"dd mmmm yyyy"))," ")</f>
        <v xml:space="preserve"> </v>
      </c>
      <c r="BX14" t="str">
        <f>IF(Table1824[[#This Row],[BKK]]&gt;" ",(TEXT((Table1824[[#This Row],[Tanggal Kirim]]+30),"dd mmmm yyyy"))," ")</f>
        <v xml:space="preserve"> </v>
      </c>
      <c r="BY14" t="str">
        <f>IF(Table1824[[#This Row],[BKK]]&gt;" ",'BKU 1'!$E$17," ")</f>
        <v xml:space="preserve"> </v>
      </c>
    </row>
    <row r="15" spans="1:77" hidden="1" x14ac:dyDescent="0.25">
      <c r="A15" t="str">
        <f>IFERROR((IF('Laporan ppn'!G6802&gt;0,VLOOKUP('Laporan ppn'!G6802,'Laporan ppn'!$E$10:$F$6785,2,FALSE),"")),"")</f>
        <v xml:space="preserve"> </v>
      </c>
      <c r="B15" t="str">
        <f>IF(Table1824[[#This Row],[BKK]]=" "," ",'BKU 1'!$D$25)</f>
        <v xml:space="preserve"> </v>
      </c>
      <c r="C15" t="str">
        <f>IF(Table1824[[#This Row],[BKK]]=" "," ",'BKU 1'!$D$26)</f>
        <v xml:space="preserve"> </v>
      </c>
      <c r="D15" t="str">
        <f>IF(Table1824[[#This Row],[BKK]]=" "," ",'BKU 1'!$I$25)</f>
        <v xml:space="preserve"> </v>
      </c>
      <c r="E15" t="str">
        <f>IFERROR(VLOOKUP(Table1824[[#This Row],[BKK]],'Un nOTA'!$D$4:$J$1004,2,FALSE),"")</f>
        <v/>
      </c>
      <c r="F15" t="str">
        <f>IFERROR(VLOOKUP(Table1824[[#This Row],[BKK]]&amp;TRIM(RIGHT(SUBSTITUTE(TRIM(Table1824[[#Headers],[Uraian a]])," ",REPT(" ",255)),255)),'Un nOTA'!$D$4:$J$1004,2,FALSE),"")</f>
        <v/>
      </c>
      <c r="G15" t="str">
        <f>IFERROR(VLOOKUP(Table1824[[#This Row],[BKK]]&amp;TRIM(RIGHT(SUBSTITUTE(TRIM(Table1824[[#Headers],[Uraian aa]])," ",REPT(" ",255)),255)),'Un nOTA'!$D$4:$J$1004,2,FALSE),"")</f>
        <v/>
      </c>
      <c r="H15" t="str">
        <f>IFERROR(VLOOKUP(Table1824[[#This Row],[BKK]]&amp;TRIM(RIGHT(SUBSTITUTE(TRIM(Table1824[[#Headers],[Uraian aaa]])," ",REPT(" ",255)),255)),'Un nOTA'!$D$4:$J$1004,2,FALSE),"")</f>
        <v/>
      </c>
      <c r="I15" t="str">
        <f>IFERROR(VLOOKUP(Table1824[[#This Row],[BKK]]&amp;TRIM(RIGHT(SUBSTITUTE(TRIM(Table1824[[#Headers],[Uraian aaaa]])," ",REPT(" ",255)),255)),'Un nOTA'!$D$4:$J$1004,2,FALSE),"")</f>
        <v/>
      </c>
      <c r="J15" t="str">
        <f>IFERROR(VLOOKUP(Table1824[[#This Row],[BKK]]&amp;TRIM(RIGHT(SUBSTITUTE(TRIM(Table1824[[#Headers],[Uraian aaaaa]])," ",REPT(" ",255)),255)),'Un nOTA'!$D$4:$J$1004,2,FALSE),"")</f>
        <v/>
      </c>
      <c r="K15" t="str">
        <f>IFERROR(VLOOKUP(Table1824[[#This Row],[BKK]]&amp;TRIM(RIGHT(SUBSTITUTE(TRIM(Table1824[[#Headers],[Uraian aaaaaa]])," ",REPT(" ",255)),255)),'Un nOTA'!$D$4:$J$1004,2,FALSE),"")</f>
        <v/>
      </c>
      <c r="L15" t="str">
        <f>IFERROR(VLOOKUP(Table1824[[#This Row],[BKK]]&amp;TRIM(RIGHT(SUBSTITUTE(TRIM(Table1824[[#Headers],[Uraian aaaaaaa]])," ",REPT(" ",255)),255)),'Un nOTA'!$D$4:$J$1004,2,FALSE),"")</f>
        <v/>
      </c>
      <c r="M15" t="str">
        <f>IFERROR(VLOOKUP(Table1824[[#This Row],[BKK]]&amp;TRIM(RIGHT(SUBSTITUTE(TRIM(Table1824[[#Headers],[Uraian aaaaaaaa]])," ",REPT(" ",255)),255)),'Un nOTA'!$D$4:$J$1004,2,FALSE),"")</f>
        <v/>
      </c>
      <c r="N15" t="str">
        <f>IFERROR(VLOOKUP(Table1824[[#This Row],[BKK]]&amp;TRIM(RIGHT(SUBSTITUTE(TRIM(Table1824[[#Headers],[Uraian aaaaaaaaa]])," ",REPT(" ",255)),255)),'Un nOTA'!$D$4:$J$1004,2,FALSE),"")</f>
        <v/>
      </c>
      <c r="O15" t="str">
        <f>IFERROR(VLOOKUP(Table1824[[#This Row],[BKK]]&amp;TRIM(RIGHT(SUBSTITUTE(TRIM(Table1824[[#Headers],[Uraian aaaaaaaaaa]])," ",REPT(" ",255)),255)),'Un nOTA'!$D$4:$J$1004,2,FALSE),"")</f>
        <v/>
      </c>
      <c r="P15" t="str">
        <f>IFERROR(VLOOKUP(Table1824[[#This Row],[BKK]]&amp;TRIM(RIGHT(SUBSTITUTE(TRIM(Table1824[[#Headers],[Uraian aaaaaaaaaaa]])," ",REPT(" ",255)),255)),'Un nOTA'!$D$4:$J$1004,2,FALSE),"")</f>
        <v/>
      </c>
      <c r="Q15" t="str">
        <f>IFERROR(VLOOKUP(Table1824[[#This Row],[BKK]]&amp;TRIM(RIGHT(SUBSTITUTE(TRIM(Table1824[[#Headers],[Uraian aaaaaaaaaaaa]])," ",REPT(" ",255)),255)),'Un nOTA'!$D$4:$J$1004,2,FALSE),"")</f>
        <v/>
      </c>
      <c r="R15" s="32" t="str">
        <f>IFERROR(VLOOKUP(Table1824[[#This Row],[BKK]],'Un nOTA'!$D$4:$J$1004,3,FALSE),"")</f>
        <v/>
      </c>
      <c r="S15" s="32" t="str">
        <f>IFERROR(VLOOKUP(Table1824[[#This Row],[BKK]]&amp;TRIM(RIGHT(SUBSTITUTE(TRIM(Table1824[[#Headers],[Uraian a]])," ",REPT(" ",255)),255)),'Un nOTA'!$D$4:$J$1004,3,FALSE),"")</f>
        <v/>
      </c>
      <c r="T15" s="32" t="str">
        <f>IFERROR(VLOOKUP(Table1824[[#This Row],[BKK]]&amp;TRIM(RIGHT(SUBSTITUTE(TRIM(Table1824[[#Headers],[Uraian aa]])," ",REPT(" ",255)),255)),'Un nOTA'!$D$4:$J$1004,3,FALSE),"")</f>
        <v/>
      </c>
      <c r="U15" s="32" t="str">
        <f>IFERROR(VLOOKUP(Table1824[[#This Row],[BKK]]&amp;TRIM(RIGHT(SUBSTITUTE(TRIM(Table1824[[#Headers],[Uraian aaa]])," ",REPT(" ",255)),255)),'Un nOTA'!$D$4:$J$1004,3,FALSE),"")</f>
        <v/>
      </c>
      <c r="V15" s="32" t="str">
        <f>IFERROR(VLOOKUP(Table1824[[#This Row],[BKK]]&amp;TRIM(RIGHT(SUBSTITUTE(TRIM(Table1824[[#Headers],[Uraian aaaa]])," ",REPT(" ",255)),255)),'Un nOTA'!$D$4:$J$1004,3,FALSE),"")</f>
        <v/>
      </c>
      <c r="W15" s="32" t="str">
        <f>IFERROR(VLOOKUP(Table1824[[#This Row],[BKK]]&amp;TRIM(RIGHT(SUBSTITUTE(TRIM(Table1824[[#Headers],[Uraian aaaaa]])," ",REPT(" ",255)),255)),'Un nOTA'!$D$4:$J$1004,3,FALSE),"")</f>
        <v/>
      </c>
      <c r="X15" s="32" t="str">
        <f>IFERROR(VLOOKUP(Table1824[[#This Row],[BKK]]&amp;TRIM(RIGHT(SUBSTITUTE(TRIM(Table1824[[#Headers],[Uraian aaaaaa]])," ",REPT(" ",255)),255)),'Un nOTA'!$D$4:$J$1004,3,FALSE),"")</f>
        <v/>
      </c>
      <c r="Y15" s="32" t="str">
        <f>IFERROR(VLOOKUP(Table1824[[#This Row],[BKK]]&amp;TRIM(RIGHT(SUBSTITUTE(TRIM(Table1824[[#Headers],[Uraian aaaaaaa]])," ",REPT(" ",255)),255)),'Un nOTA'!$D$4:$J$1004,3,FALSE),"")</f>
        <v/>
      </c>
      <c r="Z15" s="32" t="str">
        <f>IFERROR(VLOOKUP(Table1824[[#This Row],[BKK]]&amp;TRIM(RIGHT(SUBSTITUTE(TRIM(Table1824[[#Headers],[Uraian aaaaaaaa]])," ",REPT(" ",255)),255)),'Un nOTA'!$D$4:$J$1004,3,FALSE),"")</f>
        <v/>
      </c>
      <c r="AA15" s="32" t="str">
        <f>IFERROR(VLOOKUP(Table1824[[#This Row],[BKK]]&amp;TRIM(RIGHT(SUBSTITUTE(TRIM(Table1824[[#Headers],[Uraian aaaaaaaaa]])," ",REPT(" ",255)),255)),'Un nOTA'!$D$4:$J$1004,3,FALSE),"")</f>
        <v/>
      </c>
      <c r="AB15" s="32" t="str">
        <f>IFERROR(VLOOKUP(Table1824[[#This Row],[BKK]]&amp;TRIM(RIGHT(SUBSTITUTE(TRIM(Table1824[[#Headers],[Uraian aaaaaaaaaa]])," ",REPT(" ",255)),255)),'Un nOTA'!$D$4:$J$1004,3,FALSE),"")</f>
        <v/>
      </c>
      <c r="AC15" s="32" t="str">
        <f>IFERROR(VLOOKUP(Table1824[[#This Row],[BKK]]&amp;TRIM(RIGHT(SUBSTITUTE(TRIM(Table1824[[#Headers],[Uraian aaaaaaaaaaa]])," ",REPT(" ",255)),255)),'Un nOTA'!$D$4:$J$1004,3,FALSE),"")</f>
        <v/>
      </c>
      <c r="AD15" s="32" t="str">
        <f>IFERROR(VLOOKUP(Table1824[[#This Row],[BKK]]&amp;TRIM(RIGHT(SUBSTITUTE(TRIM(Table1824[[#Headers],[Uraian aaaaaaaaaaaa]])," ",REPT(" ",255)),255)),'Un nOTA'!$D$4:$J$1004,3,FALSE),"")</f>
        <v/>
      </c>
      <c r="AE15" s="8" t="str">
        <f>IFERROR(VLOOKUP(Table1824[[#This Row],[BKK]],'Un nOTA'!$D$4:$J$1004,4,FALSE),"")</f>
        <v/>
      </c>
      <c r="AF15" s="8" t="str">
        <f>IFERROR(VLOOKUP(Table1824[[#This Row],[BKK]]&amp;TRIM(RIGHT(SUBSTITUTE(TRIM(Table1824[[#Headers],[Uraian a]])," ",REPT(" ",255)),255)),'Un nOTA'!$D$4:$J$1004,4,FALSE),"")</f>
        <v/>
      </c>
      <c r="AG15" s="8" t="str">
        <f>IFERROR(VLOOKUP(Table1824[[#This Row],[BKK]]&amp;TRIM(RIGHT(SUBSTITUTE(TRIM(Table1824[[#Headers],[Uraian aa]])," ",REPT(" ",255)),255)),'Un nOTA'!$D$4:$J$1004,4,FALSE),"")</f>
        <v/>
      </c>
      <c r="AH15" s="8" t="str">
        <f>IFERROR(VLOOKUP(Table1824[[#This Row],[BKK]]&amp;TRIM(RIGHT(SUBSTITUTE(TRIM(Table1824[[#Headers],[Uraian aaa]])," ",REPT(" ",255)),255)),'Un nOTA'!$D$4:$J$1004,4,FALSE),"")</f>
        <v/>
      </c>
      <c r="AI15" s="8" t="str">
        <f>IFERROR(VLOOKUP(Table1824[[#This Row],[BKK]]&amp;TRIM(RIGHT(SUBSTITUTE(TRIM(Table1824[[#Headers],[Uraian aaaa]])," ",REPT(" ",255)),255)),'Un nOTA'!$D$4:$J$1004,4,FALSE),"")</f>
        <v/>
      </c>
      <c r="AJ15" s="8" t="str">
        <f>IFERROR(VLOOKUP(Table1824[[#This Row],[BKK]]&amp;TRIM(RIGHT(SUBSTITUTE(TRIM(Table1824[[#Headers],[Uraian aaaaa]])," ",REPT(" ",255)),255)),'Un nOTA'!$D$4:$J$1004,4,FALSE),"")</f>
        <v/>
      </c>
      <c r="AK15" s="8" t="str">
        <f>IFERROR(VLOOKUP(Table1824[[#This Row],[BKK]]&amp;TRIM(RIGHT(SUBSTITUTE(TRIM(Table1824[[#Headers],[Uraian aaaaaa]])," ",REPT(" ",255)),255)),'Un nOTA'!$D$4:$J$1004,4,FALSE),"")</f>
        <v/>
      </c>
      <c r="AL15" s="8" t="str">
        <f>IFERROR(VLOOKUP(Table1824[[#This Row],[BKK]]&amp;TRIM(RIGHT(SUBSTITUTE(TRIM(Table1824[[#Headers],[Uraian aaaaaaa]])," ",REPT(" ",255)),255)),'Un nOTA'!$D$4:$J$1004,4,FALSE),"")</f>
        <v/>
      </c>
      <c r="AM15" s="8" t="str">
        <f>IFERROR(VLOOKUP(Table1824[[#This Row],[BKK]]&amp;TRIM(RIGHT(SUBSTITUTE(TRIM(Table1824[[#Headers],[Uraian aaaaaaaa]])," ",REPT(" ",255)),255)),'Un nOTA'!$D$4:$J$1004,4,FALSE),"")</f>
        <v/>
      </c>
      <c r="AN15" s="8" t="str">
        <f>IFERROR(VLOOKUP(Table1824[[#This Row],[BKK]]&amp;TRIM(RIGHT(SUBSTITUTE(TRIM(Table1824[[#Headers],[Uraian aaaaaaaaa]])," ",REPT(" ",255)),255)),'Un nOTA'!$D$4:$J$1004,4,FALSE),"")</f>
        <v/>
      </c>
      <c r="AO15" s="8" t="str">
        <f>IFERROR(VLOOKUP(Table1824[[#This Row],[BKK]]&amp;TRIM(RIGHT(SUBSTITUTE(TRIM(Table1824[[#Headers],[Uraian aaaaaaaaaa]])," ",REPT(" ",255)),255)),'Un nOTA'!$D$4:$J$1004,4,FALSE),"")</f>
        <v/>
      </c>
      <c r="AP15" s="8" t="str">
        <f>IFERROR(VLOOKUP(Table1824[[#This Row],[BKK]]&amp;TRIM(RIGHT(SUBSTITUTE(TRIM(Table1824[[#Headers],[Uraian aaaaaaaaaaa]])," ",REPT(" ",255)),255)),'Un nOTA'!$D$4:$J$1004,4,FALSE),"")</f>
        <v/>
      </c>
      <c r="AQ15" s="8" t="str">
        <f>IFERROR(VLOOKUP(Table1824[[#This Row],[BKK]]&amp;TRIM(RIGHT(SUBSTITUTE(TRIM(Table1824[[#Headers],[Uraian aaaaaaaaaaaa]])," ",REPT(" ",255)),255)),'Un nOTA'!$D$4:$J$1004,4,FALSE),"")</f>
        <v/>
      </c>
      <c r="AR15" s="8" t="str">
        <f>IFERROR((IFERROR(VLOOKUP(Table1824[[#This Row],[BKK]],'Un nOTA'!$D$4:$J$1004,5,FALSE),""))*(10/11),"")</f>
        <v/>
      </c>
      <c r="AS15" s="8" t="str">
        <f>IFERROR((IFERROR(VLOOKUP(Table1824[[#This Row],[BKK]]&amp;TRIM(RIGHT(SUBSTITUTE(TRIM(Table1824[[#Headers],[Uraian a]])," ",REPT(" ",255)),255)),'Un nOTA'!$D$4:$J$1004,5,FALSE),"")*(10/11)),"")</f>
        <v/>
      </c>
      <c r="AT15" s="8" t="str">
        <f>IFERROR((IFERROR(VLOOKUP(Table1824[[#This Row],[BKK]]&amp;TRIM(RIGHT(SUBSTITUTE(TRIM(Table1824[[#Headers],[Uraian aa]])," ",REPT(" ",255)),255)),'Un nOTA'!$D$4:$J$1004,5,FALSE),"")*(10/11)),"")</f>
        <v/>
      </c>
      <c r="AU15" s="8" t="str">
        <f>IFERROR((IFERROR(VLOOKUP(Table1824[[#This Row],[BKK]]&amp;TRIM(RIGHT(SUBSTITUTE(TRIM(Table1824[[#Headers],[Uraian aaa]])," ",REPT(" ",255)),255)),'Un nOTA'!$D$4:$J$1004,5,FALSE),"")*(10/11)),"")</f>
        <v/>
      </c>
      <c r="AV15" s="8" t="str">
        <f>IFERROR((IFERROR(VLOOKUP(Table1824[[#This Row],[BKK]]&amp;TRIM(RIGHT(SUBSTITUTE(TRIM(Table1824[[#Headers],[Uraian aaaa]])," ",REPT(" ",255)),255)),'Un nOTA'!$D$4:$J$1004,5,FALSE),"")*(10/11)),"")</f>
        <v/>
      </c>
      <c r="AW15" s="8" t="str">
        <f>IFERROR((IFERROR(VLOOKUP(Table1824[[#This Row],[BKK]]&amp;TRIM(RIGHT(SUBSTITUTE(TRIM(Table1824[[#Headers],[Uraian aaaaa]])," ",REPT(" ",255)),255)),'Un nOTA'!$D$4:$J$1004,5,FALSE),"")*(10/11)),"")</f>
        <v/>
      </c>
      <c r="AX15" s="8" t="str">
        <f>IFERROR((IFERROR(VLOOKUP(Table1824[[#This Row],[BKK]]&amp;TRIM(RIGHT(SUBSTITUTE(TRIM(Table1824[[#Headers],[Uraian aaaaaa]])," ",REPT(" ",255)),255)),'Un nOTA'!$D$4:$J$1004,5,FALSE),"")*(10/11)),"")</f>
        <v/>
      </c>
      <c r="AY15" s="8" t="str">
        <f>IFERROR((IFERROR(VLOOKUP(Table1824[[#This Row],[BKK]]&amp;TRIM(RIGHT(SUBSTITUTE(TRIM(Table1824[[#Headers],[Uraian aaaaaaa]])," ",REPT(" ",255)),255)),'Un nOTA'!$D$4:$J$1004,5,FALSE),"")*(10/11)),"")</f>
        <v/>
      </c>
      <c r="AZ15" s="8" t="str">
        <f>IFERROR((IFERROR(VLOOKUP(Table1824[[#This Row],[BKK]]&amp;TRIM(RIGHT(SUBSTITUTE(TRIM(Table1824[[#Headers],[Uraian aaaaaaaa]])," ",REPT(" ",255)),255)),'Un nOTA'!$D$4:$J$1004,5,FALSE),"")*(10/11)),"")</f>
        <v/>
      </c>
      <c r="BA15" s="8" t="str">
        <f>IFERROR((IFERROR(VLOOKUP(Table1824[[#This Row],[BKK]]&amp;TRIM(RIGHT(SUBSTITUTE(TRIM(Table1824[[#Headers],[Uraian aaaaaaaaa]])," ",REPT(" ",255)),255)),'Un nOTA'!$D$4:$J$1004,5,FALSE),"")*(10/11)),"")</f>
        <v/>
      </c>
      <c r="BB15" s="8" t="str">
        <f>IFERROR((IFERROR(VLOOKUP(Table1824[[#This Row],[BKK]]&amp;TRIM(RIGHT(SUBSTITUTE(TRIM(Table1824[[#Headers],[Uraian aaaaaaaaaa]])," ",REPT(" ",255)),255)),'Un nOTA'!$D$4:$J$1004,5,FALSE),"")*(10/11)),"")</f>
        <v/>
      </c>
      <c r="BC15" s="8" t="str">
        <f>IFERROR((IFERROR(VLOOKUP(Table1824[[#This Row],[BKK]]&amp;TRIM(RIGHT(SUBSTITUTE(TRIM(Table1824[[#Headers],[Uraian aaaaaaaaaaa]])," ",REPT(" ",255)),255)),'Un nOTA'!$D$4:$J$1004,5,FALSE),"")*(10/11)),"")</f>
        <v/>
      </c>
      <c r="BD15" s="8" t="str">
        <f>IFERROR((IFERROR(VLOOKUP(Table1824[[#This Row],[BKK]]&amp;TRIM(RIGHT(SUBSTITUTE(TRIM(Table1824[[#Headers],[Uraian aaaaaaaaaaaa]])," ",REPT(" ",255)),255)),'Un nOTA'!$D$4:$J$1004,5,FALSE),"")*(10/11)),"")</f>
        <v/>
      </c>
      <c r="BE15" s="23" t="str">
        <f>IFERROR(ROUNDUP((Table1824[[#This Row],[Qty]]*Table1824[[#This Row],[Hrg St]]),0),"")</f>
        <v/>
      </c>
      <c r="BF15" s="8" t="str">
        <f>IFERROR(ROUNDUP((Table1824[[#This Row],[Qty2]]*Table1824[[#This Row],[Hrg St2]]),0),"")</f>
        <v/>
      </c>
      <c r="BG15" s="8" t="str">
        <f>IFERROR(ROUNDUP((Table1824[[#This Row],[Qty3]]*Table1824[[#This Row],[Hrg St3]]),0),"")</f>
        <v/>
      </c>
      <c r="BH15" s="8" t="str">
        <f>IFERROR(ROUNDUP((Table1824[[#This Row],[Qty4]]*Table1824[[#This Row],[Hrg St4]]),0),"")</f>
        <v/>
      </c>
      <c r="BI15" s="8" t="str">
        <f>IFERROR(ROUNDUP((Table1824[[#This Row],[Qty5]]*Table1824[[#This Row],[Hrg St5]]),0),"")</f>
        <v/>
      </c>
      <c r="BJ15" s="8" t="str">
        <f>IFERROR(ROUNDUP((Table1824[[#This Row],[Qty6]]*Table1824[[#This Row],[Hrg St6]]),0),"")</f>
        <v/>
      </c>
      <c r="BK15" s="8" t="str">
        <f>IFERROR(ROUNDUP((Table1824[[#This Row],[Qty7]]*Table1824[[#This Row],[Hrg St7]]),0),"")</f>
        <v/>
      </c>
      <c r="BL15" s="8" t="str">
        <f>IFERROR(ROUNDUP((Table1824[[#This Row],[Qty8]]*Table1824[[#This Row],[Hrg St8]]),0),"")</f>
        <v/>
      </c>
      <c r="BM15" s="8" t="str">
        <f>IFERROR(ROUNDUP((Table1824[[#This Row],[Qty9]]*Table1824[[#This Row],[Hrg St9]]),0),"")</f>
        <v/>
      </c>
      <c r="BN15" s="8" t="str">
        <f>IFERROR(ROUNDUP((Table1824[[#This Row],[Qty10]]*Table1824[[#This Row],[Hrg St10]]),0),"")</f>
        <v/>
      </c>
      <c r="BO15" s="8" t="str">
        <f>IFERROR(ROUNDUP((Table1824[[#This Row],[Qty11]]*Table1824[[#This Row],[Hrg St11]]),0),"")</f>
        <v/>
      </c>
      <c r="BP15" s="8" t="str">
        <f>IFERROR(ROUNDUP((Table1824[[#This Row],[Qty12]]*Table1824[[#This Row],[Hrg St12]]),0),"")</f>
        <v/>
      </c>
      <c r="BQ15" s="8" t="str">
        <f>IFERROR(ROUNDUP((Table1824[[#This Row],[Qty13]]*Table1824[[#This Row],[Hrg St13]]),0),"")</f>
        <v/>
      </c>
      <c r="BR15" s="23" t="str">
        <f>IF(Table1824[[#This Row],[BKK]]&gt;" ",IFERROR(ROUNDUP((SUM(Table1824[[#This Row],[Jml]:[Jml13]])),0)," ")," ")</f>
        <v xml:space="preserve"> </v>
      </c>
      <c r="BS15" s="23" t="str">
        <f>IF(Table1824[[#This Row],[BKK]]&gt;" ",ROUND((Table1824[[#This Row],[Total]]*0.1),0)," ")</f>
        <v xml:space="preserve"> </v>
      </c>
      <c r="BT15" s="23" t="str">
        <f>IF(Table1824[[#This Row],[BKK]]&gt;" ",(Table1824[[#This Row],[Total]]+Table1824[[#This Row],[PPN]])," ")</f>
        <v xml:space="preserve"> </v>
      </c>
      <c r="BU15" t="s">
        <v>454</v>
      </c>
      <c r="BV15" t="str">
        <f>IF(Table1824[[#This Row],[BKK]]&gt;" ",("INV/AK-MLG/2019/"&amp;'BKU 1'!$E$1&amp;"/"&amp;Table1824[[#This Row],[BKK]]&amp;"/"&amp;'BKU 1'!$E$1&amp;ROW())," ")</f>
        <v xml:space="preserve"> </v>
      </c>
      <c r="BW15" t="str">
        <f>IF(Table1824[[#This Row],[BKK]]&gt;" ",(TEXT(VLOOKUP(Table1824[[#This Row],[BKK]],COPY!$O$2:$U$1000,7,FALSE),"dd mmmm yyyy"))," ")</f>
        <v xml:space="preserve"> </v>
      </c>
      <c r="BX15" t="str">
        <f>IF(Table1824[[#This Row],[BKK]]&gt;" ",(TEXT((Table1824[[#This Row],[Tanggal Kirim]]+30),"dd mmmm yyyy"))," ")</f>
        <v xml:space="preserve"> </v>
      </c>
      <c r="BY15" t="str">
        <f>IF(Table1824[[#This Row],[BKK]]&gt;" ",'BKU 1'!$E$17," ")</f>
        <v xml:space="preserve"> </v>
      </c>
    </row>
    <row r="16" spans="1:77" hidden="1" x14ac:dyDescent="0.25">
      <c r="A16" t="str">
        <f>IFERROR((IF('Laporan ppn'!G6803&gt;0,VLOOKUP('Laporan ppn'!G6803,'Laporan ppn'!$E$10:$F$6785,2,FALSE),"")),"")</f>
        <v xml:space="preserve"> </v>
      </c>
      <c r="B16" t="str">
        <f>IF(Table1824[[#This Row],[BKK]]=" "," ",'BKU 1'!$D$25)</f>
        <v xml:space="preserve"> </v>
      </c>
      <c r="C16" t="str">
        <f>IF(Table1824[[#This Row],[BKK]]=" "," ",'BKU 1'!$D$26)</f>
        <v xml:space="preserve"> </v>
      </c>
      <c r="D16" t="str">
        <f>IF(Table1824[[#This Row],[BKK]]=" "," ",'BKU 1'!$I$25)</f>
        <v xml:space="preserve"> </v>
      </c>
      <c r="E16" t="str">
        <f>IFERROR(VLOOKUP(Table1824[[#This Row],[BKK]],'Un nOTA'!$D$4:$J$1004,2,FALSE),"")</f>
        <v/>
      </c>
      <c r="F16" t="str">
        <f>IFERROR(VLOOKUP(Table1824[[#This Row],[BKK]]&amp;TRIM(RIGHT(SUBSTITUTE(TRIM(Table1824[[#Headers],[Uraian a]])," ",REPT(" ",255)),255)),'Un nOTA'!$D$4:$J$1004,2,FALSE),"")</f>
        <v/>
      </c>
      <c r="G16" t="str">
        <f>IFERROR(VLOOKUP(Table1824[[#This Row],[BKK]]&amp;TRIM(RIGHT(SUBSTITUTE(TRIM(Table1824[[#Headers],[Uraian aa]])," ",REPT(" ",255)),255)),'Un nOTA'!$D$4:$J$1004,2,FALSE),"")</f>
        <v/>
      </c>
      <c r="H16" t="str">
        <f>IFERROR(VLOOKUP(Table1824[[#This Row],[BKK]]&amp;TRIM(RIGHT(SUBSTITUTE(TRIM(Table1824[[#Headers],[Uraian aaa]])," ",REPT(" ",255)),255)),'Un nOTA'!$D$4:$J$1004,2,FALSE),"")</f>
        <v/>
      </c>
      <c r="I16" t="str">
        <f>IFERROR(VLOOKUP(Table1824[[#This Row],[BKK]]&amp;TRIM(RIGHT(SUBSTITUTE(TRIM(Table1824[[#Headers],[Uraian aaaa]])," ",REPT(" ",255)),255)),'Un nOTA'!$D$4:$J$1004,2,FALSE),"")</f>
        <v/>
      </c>
      <c r="J16" t="str">
        <f>IFERROR(VLOOKUP(Table1824[[#This Row],[BKK]]&amp;TRIM(RIGHT(SUBSTITUTE(TRIM(Table1824[[#Headers],[Uraian aaaaa]])," ",REPT(" ",255)),255)),'Un nOTA'!$D$4:$J$1004,2,FALSE),"")</f>
        <v/>
      </c>
      <c r="K16" t="str">
        <f>IFERROR(VLOOKUP(Table1824[[#This Row],[BKK]]&amp;TRIM(RIGHT(SUBSTITUTE(TRIM(Table1824[[#Headers],[Uraian aaaaaa]])," ",REPT(" ",255)),255)),'Un nOTA'!$D$4:$J$1004,2,FALSE),"")</f>
        <v/>
      </c>
      <c r="L16" t="str">
        <f>IFERROR(VLOOKUP(Table1824[[#This Row],[BKK]]&amp;TRIM(RIGHT(SUBSTITUTE(TRIM(Table1824[[#Headers],[Uraian aaaaaaa]])," ",REPT(" ",255)),255)),'Un nOTA'!$D$4:$J$1004,2,FALSE),"")</f>
        <v/>
      </c>
      <c r="M16" t="str">
        <f>IFERROR(VLOOKUP(Table1824[[#This Row],[BKK]]&amp;TRIM(RIGHT(SUBSTITUTE(TRIM(Table1824[[#Headers],[Uraian aaaaaaaa]])," ",REPT(" ",255)),255)),'Un nOTA'!$D$4:$J$1004,2,FALSE),"")</f>
        <v/>
      </c>
      <c r="N16" t="str">
        <f>IFERROR(VLOOKUP(Table1824[[#This Row],[BKK]]&amp;TRIM(RIGHT(SUBSTITUTE(TRIM(Table1824[[#Headers],[Uraian aaaaaaaaa]])," ",REPT(" ",255)),255)),'Un nOTA'!$D$4:$J$1004,2,FALSE),"")</f>
        <v/>
      </c>
      <c r="O16" t="str">
        <f>IFERROR(VLOOKUP(Table1824[[#This Row],[BKK]]&amp;TRIM(RIGHT(SUBSTITUTE(TRIM(Table1824[[#Headers],[Uraian aaaaaaaaaa]])," ",REPT(" ",255)),255)),'Un nOTA'!$D$4:$J$1004,2,FALSE),"")</f>
        <v/>
      </c>
      <c r="P16" t="str">
        <f>IFERROR(VLOOKUP(Table1824[[#This Row],[BKK]]&amp;TRIM(RIGHT(SUBSTITUTE(TRIM(Table1824[[#Headers],[Uraian aaaaaaaaaaa]])," ",REPT(" ",255)),255)),'Un nOTA'!$D$4:$J$1004,2,FALSE),"")</f>
        <v/>
      </c>
      <c r="Q16" t="str">
        <f>IFERROR(VLOOKUP(Table1824[[#This Row],[BKK]]&amp;TRIM(RIGHT(SUBSTITUTE(TRIM(Table1824[[#Headers],[Uraian aaaaaaaaaaaa]])," ",REPT(" ",255)),255)),'Un nOTA'!$D$4:$J$1004,2,FALSE),"")</f>
        <v/>
      </c>
      <c r="R16" s="32" t="str">
        <f>IFERROR(VLOOKUP(Table1824[[#This Row],[BKK]],'Un nOTA'!$D$4:$J$1004,3,FALSE),"")</f>
        <v/>
      </c>
      <c r="S16" s="32" t="str">
        <f>IFERROR(VLOOKUP(Table1824[[#This Row],[BKK]]&amp;TRIM(RIGHT(SUBSTITUTE(TRIM(Table1824[[#Headers],[Uraian a]])," ",REPT(" ",255)),255)),'Un nOTA'!$D$4:$J$1004,3,FALSE),"")</f>
        <v/>
      </c>
      <c r="T16" s="32" t="str">
        <f>IFERROR(VLOOKUP(Table1824[[#This Row],[BKK]]&amp;TRIM(RIGHT(SUBSTITUTE(TRIM(Table1824[[#Headers],[Uraian aa]])," ",REPT(" ",255)),255)),'Un nOTA'!$D$4:$J$1004,3,FALSE),"")</f>
        <v/>
      </c>
      <c r="U16" s="32" t="str">
        <f>IFERROR(VLOOKUP(Table1824[[#This Row],[BKK]]&amp;TRIM(RIGHT(SUBSTITUTE(TRIM(Table1824[[#Headers],[Uraian aaa]])," ",REPT(" ",255)),255)),'Un nOTA'!$D$4:$J$1004,3,FALSE),"")</f>
        <v/>
      </c>
      <c r="V16" s="32" t="str">
        <f>IFERROR(VLOOKUP(Table1824[[#This Row],[BKK]]&amp;TRIM(RIGHT(SUBSTITUTE(TRIM(Table1824[[#Headers],[Uraian aaaa]])," ",REPT(" ",255)),255)),'Un nOTA'!$D$4:$J$1004,3,FALSE),"")</f>
        <v/>
      </c>
      <c r="W16" s="32" t="str">
        <f>IFERROR(VLOOKUP(Table1824[[#This Row],[BKK]]&amp;TRIM(RIGHT(SUBSTITUTE(TRIM(Table1824[[#Headers],[Uraian aaaaa]])," ",REPT(" ",255)),255)),'Un nOTA'!$D$4:$J$1004,3,FALSE),"")</f>
        <v/>
      </c>
      <c r="X16" s="32" t="str">
        <f>IFERROR(VLOOKUP(Table1824[[#This Row],[BKK]]&amp;TRIM(RIGHT(SUBSTITUTE(TRIM(Table1824[[#Headers],[Uraian aaaaaa]])," ",REPT(" ",255)),255)),'Un nOTA'!$D$4:$J$1004,3,FALSE),"")</f>
        <v/>
      </c>
      <c r="Y16" s="32" t="str">
        <f>IFERROR(VLOOKUP(Table1824[[#This Row],[BKK]]&amp;TRIM(RIGHT(SUBSTITUTE(TRIM(Table1824[[#Headers],[Uraian aaaaaaa]])," ",REPT(" ",255)),255)),'Un nOTA'!$D$4:$J$1004,3,FALSE),"")</f>
        <v/>
      </c>
      <c r="Z16" s="32" t="str">
        <f>IFERROR(VLOOKUP(Table1824[[#This Row],[BKK]]&amp;TRIM(RIGHT(SUBSTITUTE(TRIM(Table1824[[#Headers],[Uraian aaaaaaaa]])," ",REPT(" ",255)),255)),'Un nOTA'!$D$4:$J$1004,3,FALSE),"")</f>
        <v/>
      </c>
      <c r="AA16" s="32" t="str">
        <f>IFERROR(VLOOKUP(Table1824[[#This Row],[BKK]]&amp;TRIM(RIGHT(SUBSTITUTE(TRIM(Table1824[[#Headers],[Uraian aaaaaaaaa]])," ",REPT(" ",255)),255)),'Un nOTA'!$D$4:$J$1004,3,FALSE),"")</f>
        <v/>
      </c>
      <c r="AB16" s="32" t="str">
        <f>IFERROR(VLOOKUP(Table1824[[#This Row],[BKK]]&amp;TRIM(RIGHT(SUBSTITUTE(TRIM(Table1824[[#Headers],[Uraian aaaaaaaaaa]])," ",REPT(" ",255)),255)),'Un nOTA'!$D$4:$J$1004,3,FALSE),"")</f>
        <v/>
      </c>
      <c r="AC16" s="32" t="str">
        <f>IFERROR(VLOOKUP(Table1824[[#This Row],[BKK]]&amp;TRIM(RIGHT(SUBSTITUTE(TRIM(Table1824[[#Headers],[Uraian aaaaaaaaaaa]])," ",REPT(" ",255)),255)),'Un nOTA'!$D$4:$J$1004,3,FALSE),"")</f>
        <v/>
      </c>
      <c r="AD16" s="32" t="str">
        <f>IFERROR(VLOOKUP(Table1824[[#This Row],[BKK]]&amp;TRIM(RIGHT(SUBSTITUTE(TRIM(Table1824[[#Headers],[Uraian aaaaaaaaaaaa]])," ",REPT(" ",255)),255)),'Un nOTA'!$D$4:$J$1004,3,FALSE),"")</f>
        <v/>
      </c>
      <c r="AE16" s="8" t="str">
        <f>IFERROR(VLOOKUP(Table1824[[#This Row],[BKK]],'Un nOTA'!$D$4:$J$1004,4,FALSE),"")</f>
        <v/>
      </c>
      <c r="AF16" s="8" t="str">
        <f>IFERROR(VLOOKUP(Table1824[[#This Row],[BKK]]&amp;TRIM(RIGHT(SUBSTITUTE(TRIM(Table1824[[#Headers],[Uraian a]])," ",REPT(" ",255)),255)),'Un nOTA'!$D$4:$J$1004,4,FALSE),"")</f>
        <v/>
      </c>
      <c r="AG16" s="8" t="str">
        <f>IFERROR(VLOOKUP(Table1824[[#This Row],[BKK]]&amp;TRIM(RIGHT(SUBSTITUTE(TRIM(Table1824[[#Headers],[Uraian aa]])," ",REPT(" ",255)),255)),'Un nOTA'!$D$4:$J$1004,4,FALSE),"")</f>
        <v/>
      </c>
      <c r="AH16" s="8" t="str">
        <f>IFERROR(VLOOKUP(Table1824[[#This Row],[BKK]]&amp;TRIM(RIGHT(SUBSTITUTE(TRIM(Table1824[[#Headers],[Uraian aaa]])," ",REPT(" ",255)),255)),'Un nOTA'!$D$4:$J$1004,4,FALSE),"")</f>
        <v/>
      </c>
      <c r="AI16" s="8" t="str">
        <f>IFERROR(VLOOKUP(Table1824[[#This Row],[BKK]]&amp;TRIM(RIGHT(SUBSTITUTE(TRIM(Table1824[[#Headers],[Uraian aaaa]])," ",REPT(" ",255)),255)),'Un nOTA'!$D$4:$J$1004,4,FALSE),"")</f>
        <v/>
      </c>
      <c r="AJ16" s="8" t="str">
        <f>IFERROR(VLOOKUP(Table1824[[#This Row],[BKK]]&amp;TRIM(RIGHT(SUBSTITUTE(TRIM(Table1824[[#Headers],[Uraian aaaaa]])," ",REPT(" ",255)),255)),'Un nOTA'!$D$4:$J$1004,4,FALSE),"")</f>
        <v/>
      </c>
      <c r="AK16" s="8" t="str">
        <f>IFERROR(VLOOKUP(Table1824[[#This Row],[BKK]]&amp;TRIM(RIGHT(SUBSTITUTE(TRIM(Table1824[[#Headers],[Uraian aaaaaa]])," ",REPT(" ",255)),255)),'Un nOTA'!$D$4:$J$1004,4,FALSE),"")</f>
        <v/>
      </c>
      <c r="AL16" s="8" t="str">
        <f>IFERROR(VLOOKUP(Table1824[[#This Row],[BKK]]&amp;TRIM(RIGHT(SUBSTITUTE(TRIM(Table1824[[#Headers],[Uraian aaaaaaa]])," ",REPT(" ",255)),255)),'Un nOTA'!$D$4:$J$1004,4,FALSE),"")</f>
        <v/>
      </c>
      <c r="AM16" s="8" t="str">
        <f>IFERROR(VLOOKUP(Table1824[[#This Row],[BKK]]&amp;TRIM(RIGHT(SUBSTITUTE(TRIM(Table1824[[#Headers],[Uraian aaaaaaaa]])," ",REPT(" ",255)),255)),'Un nOTA'!$D$4:$J$1004,4,FALSE),"")</f>
        <v/>
      </c>
      <c r="AN16" s="8" t="str">
        <f>IFERROR(VLOOKUP(Table1824[[#This Row],[BKK]]&amp;TRIM(RIGHT(SUBSTITUTE(TRIM(Table1824[[#Headers],[Uraian aaaaaaaaa]])," ",REPT(" ",255)),255)),'Un nOTA'!$D$4:$J$1004,4,FALSE),"")</f>
        <v/>
      </c>
      <c r="AO16" s="8" t="str">
        <f>IFERROR(VLOOKUP(Table1824[[#This Row],[BKK]]&amp;TRIM(RIGHT(SUBSTITUTE(TRIM(Table1824[[#Headers],[Uraian aaaaaaaaaa]])," ",REPT(" ",255)),255)),'Un nOTA'!$D$4:$J$1004,4,FALSE),"")</f>
        <v/>
      </c>
      <c r="AP16" s="8" t="str">
        <f>IFERROR(VLOOKUP(Table1824[[#This Row],[BKK]]&amp;TRIM(RIGHT(SUBSTITUTE(TRIM(Table1824[[#Headers],[Uraian aaaaaaaaaaa]])," ",REPT(" ",255)),255)),'Un nOTA'!$D$4:$J$1004,4,FALSE),"")</f>
        <v/>
      </c>
      <c r="AQ16" s="8" t="str">
        <f>IFERROR(VLOOKUP(Table1824[[#This Row],[BKK]]&amp;TRIM(RIGHT(SUBSTITUTE(TRIM(Table1824[[#Headers],[Uraian aaaaaaaaaaaa]])," ",REPT(" ",255)),255)),'Un nOTA'!$D$4:$J$1004,4,FALSE),"")</f>
        <v/>
      </c>
      <c r="AR16" s="8" t="str">
        <f>IFERROR((IFERROR(VLOOKUP(Table1824[[#This Row],[BKK]],'Un nOTA'!$D$4:$J$1004,5,FALSE),""))*(10/11),"")</f>
        <v/>
      </c>
      <c r="AS16" s="8" t="str">
        <f>IFERROR((IFERROR(VLOOKUP(Table1824[[#This Row],[BKK]]&amp;TRIM(RIGHT(SUBSTITUTE(TRIM(Table1824[[#Headers],[Uraian a]])," ",REPT(" ",255)),255)),'Un nOTA'!$D$4:$J$1004,5,FALSE),"")*(10/11)),"")</f>
        <v/>
      </c>
      <c r="AT16" s="8" t="str">
        <f>IFERROR((IFERROR(VLOOKUP(Table1824[[#This Row],[BKK]]&amp;TRIM(RIGHT(SUBSTITUTE(TRIM(Table1824[[#Headers],[Uraian aa]])," ",REPT(" ",255)),255)),'Un nOTA'!$D$4:$J$1004,5,FALSE),"")*(10/11)),"")</f>
        <v/>
      </c>
      <c r="AU16" s="8" t="str">
        <f>IFERROR((IFERROR(VLOOKUP(Table1824[[#This Row],[BKK]]&amp;TRIM(RIGHT(SUBSTITUTE(TRIM(Table1824[[#Headers],[Uraian aaa]])," ",REPT(" ",255)),255)),'Un nOTA'!$D$4:$J$1004,5,FALSE),"")*(10/11)),"")</f>
        <v/>
      </c>
      <c r="AV16" s="8" t="str">
        <f>IFERROR((IFERROR(VLOOKUP(Table1824[[#This Row],[BKK]]&amp;TRIM(RIGHT(SUBSTITUTE(TRIM(Table1824[[#Headers],[Uraian aaaa]])," ",REPT(" ",255)),255)),'Un nOTA'!$D$4:$J$1004,5,FALSE),"")*(10/11)),"")</f>
        <v/>
      </c>
      <c r="AW16" s="8" t="str">
        <f>IFERROR((IFERROR(VLOOKUP(Table1824[[#This Row],[BKK]]&amp;TRIM(RIGHT(SUBSTITUTE(TRIM(Table1824[[#Headers],[Uraian aaaaa]])," ",REPT(" ",255)),255)),'Un nOTA'!$D$4:$J$1004,5,FALSE),"")*(10/11)),"")</f>
        <v/>
      </c>
      <c r="AX16" s="8" t="str">
        <f>IFERROR((IFERROR(VLOOKUP(Table1824[[#This Row],[BKK]]&amp;TRIM(RIGHT(SUBSTITUTE(TRIM(Table1824[[#Headers],[Uraian aaaaaa]])," ",REPT(" ",255)),255)),'Un nOTA'!$D$4:$J$1004,5,FALSE),"")*(10/11)),"")</f>
        <v/>
      </c>
      <c r="AY16" s="8" t="str">
        <f>IFERROR((IFERROR(VLOOKUP(Table1824[[#This Row],[BKK]]&amp;TRIM(RIGHT(SUBSTITUTE(TRIM(Table1824[[#Headers],[Uraian aaaaaaa]])," ",REPT(" ",255)),255)),'Un nOTA'!$D$4:$J$1004,5,FALSE),"")*(10/11)),"")</f>
        <v/>
      </c>
      <c r="AZ16" s="8" t="str">
        <f>IFERROR((IFERROR(VLOOKUP(Table1824[[#This Row],[BKK]]&amp;TRIM(RIGHT(SUBSTITUTE(TRIM(Table1824[[#Headers],[Uraian aaaaaaaa]])," ",REPT(" ",255)),255)),'Un nOTA'!$D$4:$J$1004,5,FALSE),"")*(10/11)),"")</f>
        <v/>
      </c>
      <c r="BA16" s="8" t="str">
        <f>IFERROR((IFERROR(VLOOKUP(Table1824[[#This Row],[BKK]]&amp;TRIM(RIGHT(SUBSTITUTE(TRIM(Table1824[[#Headers],[Uraian aaaaaaaaa]])," ",REPT(" ",255)),255)),'Un nOTA'!$D$4:$J$1004,5,FALSE),"")*(10/11)),"")</f>
        <v/>
      </c>
      <c r="BB16" s="8" t="str">
        <f>IFERROR((IFERROR(VLOOKUP(Table1824[[#This Row],[BKK]]&amp;TRIM(RIGHT(SUBSTITUTE(TRIM(Table1824[[#Headers],[Uraian aaaaaaaaaa]])," ",REPT(" ",255)),255)),'Un nOTA'!$D$4:$J$1004,5,FALSE),"")*(10/11)),"")</f>
        <v/>
      </c>
      <c r="BC16" s="8" t="str">
        <f>IFERROR((IFERROR(VLOOKUP(Table1824[[#This Row],[BKK]]&amp;TRIM(RIGHT(SUBSTITUTE(TRIM(Table1824[[#Headers],[Uraian aaaaaaaaaaa]])," ",REPT(" ",255)),255)),'Un nOTA'!$D$4:$J$1004,5,FALSE),"")*(10/11)),"")</f>
        <v/>
      </c>
      <c r="BD16" s="8" t="str">
        <f>IFERROR((IFERROR(VLOOKUP(Table1824[[#This Row],[BKK]]&amp;TRIM(RIGHT(SUBSTITUTE(TRIM(Table1824[[#Headers],[Uraian aaaaaaaaaaaa]])," ",REPT(" ",255)),255)),'Un nOTA'!$D$4:$J$1004,5,FALSE),"")*(10/11)),"")</f>
        <v/>
      </c>
      <c r="BE16" s="23" t="str">
        <f>IFERROR(ROUNDUP((Table1824[[#This Row],[Qty]]*Table1824[[#This Row],[Hrg St]]),0),"")</f>
        <v/>
      </c>
      <c r="BF16" s="8" t="str">
        <f>IFERROR(ROUNDUP((Table1824[[#This Row],[Qty2]]*Table1824[[#This Row],[Hrg St2]]),0),"")</f>
        <v/>
      </c>
      <c r="BG16" s="8" t="str">
        <f>IFERROR(ROUNDUP((Table1824[[#This Row],[Qty3]]*Table1824[[#This Row],[Hrg St3]]),0),"")</f>
        <v/>
      </c>
      <c r="BH16" s="8" t="str">
        <f>IFERROR(ROUNDUP((Table1824[[#This Row],[Qty4]]*Table1824[[#This Row],[Hrg St4]]),0),"")</f>
        <v/>
      </c>
      <c r="BI16" s="8" t="str">
        <f>IFERROR(ROUNDUP((Table1824[[#This Row],[Qty5]]*Table1824[[#This Row],[Hrg St5]]),0),"")</f>
        <v/>
      </c>
      <c r="BJ16" s="8" t="str">
        <f>IFERROR(ROUNDUP((Table1824[[#This Row],[Qty6]]*Table1824[[#This Row],[Hrg St6]]),0),"")</f>
        <v/>
      </c>
      <c r="BK16" s="8" t="str">
        <f>IFERROR(ROUNDUP((Table1824[[#This Row],[Qty7]]*Table1824[[#This Row],[Hrg St7]]),0),"")</f>
        <v/>
      </c>
      <c r="BL16" s="8" t="str">
        <f>IFERROR(ROUNDUP((Table1824[[#This Row],[Qty8]]*Table1824[[#This Row],[Hrg St8]]),0),"")</f>
        <v/>
      </c>
      <c r="BM16" s="8" t="str">
        <f>IFERROR(ROUNDUP((Table1824[[#This Row],[Qty9]]*Table1824[[#This Row],[Hrg St9]]),0),"")</f>
        <v/>
      </c>
      <c r="BN16" s="8" t="str">
        <f>IFERROR(ROUNDUP((Table1824[[#This Row],[Qty10]]*Table1824[[#This Row],[Hrg St10]]),0),"")</f>
        <v/>
      </c>
      <c r="BO16" s="8" t="str">
        <f>IFERROR(ROUNDUP((Table1824[[#This Row],[Qty11]]*Table1824[[#This Row],[Hrg St11]]),0),"")</f>
        <v/>
      </c>
      <c r="BP16" s="8" t="str">
        <f>IFERROR(ROUNDUP((Table1824[[#This Row],[Qty12]]*Table1824[[#This Row],[Hrg St12]]),0),"")</f>
        <v/>
      </c>
      <c r="BQ16" s="8" t="str">
        <f>IFERROR(ROUNDUP((Table1824[[#This Row],[Qty13]]*Table1824[[#This Row],[Hrg St13]]),0),"")</f>
        <v/>
      </c>
      <c r="BR16" s="23" t="str">
        <f>IF(Table1824[[#This Row],[BKK]]&gt;" ",IFERROR(ROUNDUP((SUM(Table1824[[#This Row],[Jml]:[Jml13]])),0)," ")," ")</f>
        <v xml:space="preserve"> </v>
      </c>
      <c r="BS16" s="23" t="str">
        <f>IF(Table1824[[#This Row],[BKK]]&gt;" ",ROUND((Table1824[[#This Row],[Total]]*0.1),0)," ")</f>
        <v xml:space="preserve"> </v>
      </c>
      <c r="BT16" s="23" t="str">
        <f>IF(Table1824[[#This Row],[BKK]]&gt;" ",(Table1824[[#This Row],[Total]]+Table1824[[#This Row],[PPN]])," ")</f>
        <v xml:space="preserve"> </v>
      </c>
      <c r="BU16" t="s">
        <v>454</v>
      </c>
      <c r="BV16" t="str">
        <f>IF(Table1824[[#This Row],[BKK]]&gt;" ",("INV/AK-MLG/2019/"&amp;'BKU 1'!$E$1&amp;"/"&amp;Table1824[[#This Row],[BKK]]&amp;"/"&amp;'BKU 1'!$E$1&amp;ROW())," ")</f>
        <v xml:space="preserve"> </v>
      </c>
      <c r="BW16" t="str">
        <f>IF(Table1824[[#This Row],[BKK]]&gt;" ",(TEXT(VLOOKUP(Table1824[[#This Row],[BKK]],COPY!$O$2:$U$1000,7,FALSE),"dd mmmm yyyy"))," ")</f>
        <v xml:space="preserve"> </v>
      </c>
      <c r="BX16" t="str">
        <f>IF(Table1824[[#This Row],[BKK]]&gt;" ",(TEXT((Table1824[[#This Row],[Tanggal Kirim]]+30),"dd mmmm yyyy"))," ")</f>
        <v xml:space="preserve"> </v>
      </c>
      <c r="BY16" t="str">
        <f>IF(Table1824[[#This Row],[BKK]]&gt;" ",'BKU 1'!$E$17," ")</f>
        <v xml:space="preserve"> </v>
      </c>
    </row>
    <row r="17" spans="1:77" hidden="1" x14ac:dyDescent="0.25">
      <c r="A17" t="str">
        <f>IFERROR((IF('Laporan ppn'!G6804&gt;0,VLOOKUP('Laporan ppn'!G6804,'Laporan ppn'!$E$10:$F$6785,2,FALSE),"")),"")</f>
        <v xml:space="preserve"> </v>
      </c>
      <c r="B17" t="str">
        <f>IF(Table1824[[#This Row],[BKK]]=" "," ",'BKU 1'!$D$25)</f>
        <v xml:space="preserve"> </v>
      </c>
      <c r="C17" t="str">
        <f>IF(Table1824[[#This Row],[BKK]]=" "," ",'BKU 1'!$D$26)</f>
        <v xml:space="preserve"> </v>
      </c>
      <c r="D17" t="str">
        <f>IF(Table1824[[#This Row],[BKK]]=" "," ",'BKU 1'!$I$25)</f>
        <v xml:space="preserve"> </v>
      </c>
      <c r="E17" t="str">
        <f>IFERROR(VLOOKUP(Table1824[[#This Row],[BKK]],'Un nOTA'!$D$4:$J$1004,2,FALSE),"")</f>
        <v/>
      </c>
      <c r="F17" t="str">
        <f>IFERROR(VLOOKUP(Table1824[[#This Row],[BKK]]&amp;TRIM(RIGHT(SUBSTITUTE(TRIM(Table1824[[#Headers],[Uraian a]])," ",REPT(" ",255)),255)),'Un nOTA'!$D$4:$J$1004,2,FALSE),"")</f>
        <v/>
      </c>
      <c r="G17" t="str">
        <f>IFERROR(VLOOKUP(Table1824[[#This Row],[BKK]]&amp;TRIM(RIGHT(SUBSTITUTE(TRIM(Table1824[[#Headers],[Uraian aa]])," ",REPT(" ",255)),255)),'Un nOTA'!$D$4:$J$1004,2,FALSE),"")</f>
        <v/>
      </c>
      <c r="H17" t="str">
        <f>IFERROR(VLOOKUP(Table1824[[#This Row],[BKK]]&amp;TRIM(RIGHT(SUBSTITUTE(TRIM(Table1824[[#Headers],[Uraian aaa]])," ",REPT(" ",255)),255)),'Un nOTA'!$D$4:$J$1004,2,FALSE),"")</f>
        <v/>
      </c>
      <c r="I17" t="str">
        <f>IFERROR(VLOOKUP(Table1824[[#This Row],[BKK]]&amp;TRIM(RIGHT(SUBSTITUTE(TRIM(Table1824[[#Headers],[Uraian aaaa]])," ",REPT(" ",255)),255)),'Un nOTA'!$D$4:$J$1004,2,FALSE),"")</f>
        <v/>
      </c>
      <c r="J17" t="str">
        <f>IFERROR(VLOOKUP(Table1824[[#This Row],[BKK]]&amp;TRIM(RIGHT(SUBSTITUTE(TRIM(Table1824[[#Headers],[Uraian aaaaa]])," ",REPT(" ",255)),255)),'Un nOTA'!$D$4:$J$1004,2,FALSE),"")</f>
        <v/>
      </c>
      <c r="K17" t="str">
        <f>IFERROR(VLOOKUP(Table1824[[#This Row],[BKK]]&amp;TRIM(RIGHT(SUBSTITUTE(TRIM(Table1824[[#Headers],[Uraian aaaaaa]])," ",REPT(" ",255)),255)),'Un nOTA'!$D$4:$J$1004,2,FALSE),"")</f>
        <v/>
      </c>
      <c r="L17" t="str">
        <f>IFERROR(VLOOKUP(Table1824[[#This Row],[BKK]]&amp;TRIM(RIGHT(SUBSTITUTE(TRIM(Table1824[[#Headers],[Uraian aaaaaaa]])," ",REPT(" ",255)),255)),'Un nOTA'!$D$4:$J$1004,2,FALSE),"")</f>
        <v/>
      </c>
      <c r="M17" t="str">
        <f>IFERROR(VLOOKUP(Table1824[[#This Row],[BKK]]&amp;TRIM(RIGHT(SUBSTITUTE(TRIM(Table1824[[#Headers],[Uraian aaaaaaaa]])," ",REPT(" ",255)),255)),'Un nOTA'!$D$4:$J$1004,2,FALSE),"")</f>
        <v/>
      </c>
      <c r="N17" t="str">
        <f>IFERROR(VLOOKUP(Table1824[[#This Row],[BKK]]&amp;TRIM(RIGHT(SUBSTITUTE(TRIM(Table1824[[#Headers],[Uraian aaaaaaaaa]])," ",REPT(" ",255)),255)),'Un nOTA'!$D$4:$J$1004,2,FALSE),"")</f>
        <v/>
      </c>
      <c r="O17" t="str">
        <f>IFERROR(VLOOKUP(Table1824[[#This Row],[BKK]]&amp;TRIM(RIGHT(SUBSTITUTE(TRIM(Table1824[[#Headers],[Uraian aaaaaaaaaa]])," ",REPT(" ",255)),255)),'Un nOTA'!$D$4:$J$1004,2,FALSE),"")</f>
        <v/>
      </c>
      <c r="P17" t="str">
        <f>IFERROR(VLOOKUP(Table1824[[#This Row],[BKK]]&amp;TRIM(RIGHT(SUBSTITUTE(TRIM(Table1824[[#Headers],[Uraian aaaaaaaaaaa]])," ",REPT(" ",255)),255)),'Un nOTA'!$D$4:$J$1004,2,FALSE),"")</f>
        <v/>
      </c>
      <c r="Q17" t="str">
        <f>IFERROR(VLOOKUP(Table1824[[#This Row],[BKK]]&amp;TRIM(RIGHT(SUBSTITUTE(TRIM(Table1824[[#Headers],[Uraian aaaaaaaaaaaa]])," ",REPT(" ",255)),255)),'Un nOTA'!$D$4:$J$1004,2,FALSE),"")</f>
        <v/>
      </c>
      <c r="R17" s="32" t="str">
        <f>IFERROR(VLOOKUP(Table1824[[#This Row],[BKK]],'Un nOTA'!$D$4:$J$1004,3,FALSE),"")</f>
        <v/>
      </c>
      <c r="S17" s="32" t="str">
        <f>IFERROR(VLOOKUP(Table1824[[#This Row],[BKK]]&amp;TRIM(RIGHT(SUBSTITUTE(TRIM(Table1824[[#Headers],[Uraian a]])," ",REPT(" ",255)),255)),'Un nOTA'!$D$4:$J$1004,3,FALSE),"")</f>
        <v/>
      </c>
      <c r="T17" s="32" t="str">
        <f>IFERROR(VLOOKUP(Table1824[[#This Row],[BKK]]&amp;TRIM(RIGHT(SUBSTITUTE(TRIM(Table1824[[#Headers],[Uraian aa]])," ",REPT(" ",255)),255)),'Un nOTA'!$D$4:$J$1004,3,FALSE),"")</f>
        <v/>
      </c>
      <c r="U17" s="32" t="str">
        <f>IFERROR(VLOOKUP(Table1824[[#This Row],[BKK]]&amp;TRIM(RIGHT(SUBSTITUTE(TRIM(Table1824[[#Headers],[Uraian aaa]])," ",REPT(" ",255)),255)),'Un nOTA'!$D$4:$J$1004,3,FALSE),"")</f>
        <v/>
      </c>
      <c r="V17" s="32" t="str">
        <f>IFERROR(VLOOKUP(Table1824[[#This Row],[BKK]]&amp;TRIM(RIGHT(SUBSTITUTE(TRIM(Table1824[[#Headers],[Uraian aaaa]])," ",REPT(" ",255)),255)),'Un nOTA'!$D$4:$J$1004,3,FALSE),"")</f>
        <v/>
      </c>
      <c r="W17" s="32" t="str">
        <f>IFERROR(VLOOKUP(Table1824[[#This Row],[BKK]]&amp;TRIM(RIGHT(SUBSTITUTE(TRIM(Table1824[[#Headers],[Uraian aaaaa]])," ",REPT(" ",255)),255)),'Un nOTA'!$D$4:$J$1004,3,FALSE),"")</f>
        <v/>
      </c>
      <c r="X17" s="32" t="str">
        <f>IFERROR(VLOOKUP(Table1824[[#This Row],[BKK]]&amp;TRIM(RIGHT(SUBSTITUTE(TRIM(Table1824[[#Headers],[Uraian aaaaaa]])," ",REPT(" ",255)),255)),'Un nOTA'!$D$4:$J$1004,3,FALSE),"")</f>
        <v/>
      </c>
      <c r="Y17" s="32" t="str">
        <f>IFERROR(VLOOKUP(Table1824[[#This Row],[BKK]]&amp;TRIM(RIGHT(SUBSTITUTE(TRIM(Table1824[[#Headers],[Uraian aaaaaaa]])," ",REPT(" ",255)),255)),'Un nOTA'!$D$4:$J$1004,3,FALSE),"")</f>
        <v/>
      </c>
      <c r="Z17" s="32" t="str">
        <f>IFERROR(VLOOKUP(Table1824[[#This Row],[BKK]]&amp;TRIM(RIGHT(SUBSTITUTE(TRIM(Table1824[[#Headers],[Uraian aaaaaaaa]])," ",REPT(" ",255)),255)),'Un nOTA'!$D$4:$J$1004,3,FALSE),"")</f>
        <v/>
      </c>
      <c r="AA17" s="32" t="str">
        <f>IFERROR(VLOOKUP(Table1824[[#This Row],[BKK]]&amp;TRIM(RIGHT(SUBSTITUTE(TRIM(Table1824[[#Headers],[Uraian aaaaaaaaa]])," ",REPT(" ",255)),255)),'Un nOTA'!$D$4:$J$1004,3,FALSE),"")</f>
        <v/>
      </c>
      <c r="AB17" s="32" t="str">
        <f>IFERROR(VLOOKUP(Table1824[[#This Row],[BKK]]&amp;TRIM(RIGHT(SUBSTITUTE(TRIM(Table1824[[#Headers],[Uraian aaaaaaaaaa]])," ",REPT(" ",255)),255)),'Un nOTA'!$D$4:$J$1004,3,FALSE),"")</f>
        <v/>
      </c>
      <c r="AC17" s="32" t="str">
        <f>IFERROR(VLOOKUP(Table1824[[#This Row],[BKK]]&amp;TRIM(RIGHT(SUBSTITUTE(TRIM(Table1824[[#Headers],[Uraian aaaaaaaaaaa]])," ",REPT(" ",255)),255)),'Un nOTA'!$D$4:$J$1004,3,FALSE),"")</f>
        <v/>
      </c>
      <c r="AD17" s="32" t="str">
        <f>IFERROR(VLOOKUP(Table1824[[#This Row],[BKK]]&amp;TRIM(RIGHT(SUBSTITUTE(TRIM(Table1824[[#Headers],[Uraian aaaaaaaaaaaa]])," ",REPT(" ",255)),255)),'Un nOTA'!$D$4:$J$1004,3,FALSE),"")</f>
        <v/>
      </c>
      <c r="AE17" s="8" t="str">
        <f>IFERROR(VLOOKUP(Table1824[[#This Row],[BKK]],'Un nOTA'!$D$4:$J$1004,4,FALSE),"")</f>
        <v/>
      </c>
      <c r="AF17" s="8" t="str">
        <f>IFERROR(VLOOKUP(Table1824[[#This Row],[BKK]]&amp;TRIM(RIGHT(SUBSTITUTE(TRIM(Table1824[[#Headers],[Uraian a]])," ",REPT(" ",255)),255)),'Un nOTA'!$D$4:$J$1004,4,FALSE),"")</f>
        <v/>
      </c>
      <c r="AG17" s="8" t="str">
        <f>IFERROR(VLOOKUP(Table1824[[#This Row],[BKK]]&amp;TRIM(RIGHT(SUBSTITUTE(TRIM(Table1824[[#Headers],[Uraian aa]])," ",REPT(" ",255)),255)),'Un nOTA'!$D$4:$J$1004,4,FALSE),"")</f>
        <v/>
      </c>
      <c r="AH17" s="8" t="str">
        <f>IFERROR(VLOOKUP(Table1824[[#This Row],[BKK]]&amp;TRIM(RIGHT(SUBSTITUTE(TRIM(Table1824[[#Headers],[Uraian aaa]])," ",REPT(" ",255)),255)),'Un nOTA'!$D$4:$J$1004,4,FALSE),"")</f>
        <v/>
      </c>
      <c r="AI17" s="8" t="str">
        <f>IFERROR(VLOOKUP(Table1824[[#This Row],[BKK]]&amp;TRIM(RIGHT(SUBSTITUTE(TRIM(Table1824[[#Headers],[Uraian aaaa]])," ",REPT(" ",255)),255)),'Un nOTA'!$D$4:$J$1004,4,FALSE),"")</f>
        <v/>
      </c>
      <c r="AJ17" s="8" t="str">
        <f>IFERROR(VLOOKUP(Table1824[[#This Row],[BKK]]&amp;TRIM(RIGHT(SUBSTITUTE(TRIM(Table1824[[#Headers],[Uraian aaaaa]])," ",REPT(" ",255)),255)),'Un nOTA'!$D$4:$J$1004,4,FALSE),"")</f>
        <v/>
      </c>
      <c r="AK17" s="8" t="str">
        <f>IFERROR(VLOOKUP(Table1824[[#This Row],[BKK]]&amp;TRIM(RIGHT(SUBSTITUTE(TRIM(Table1824[[#Headers],[Uraian aaaaaa]])," ",REPT(" ",255)),255)),'Un nOTA'!$D$4:$J$1004,4,FALSE),"")</f>
        <v/>
      </c>
      <c r="AL17" s="8" t="str">
        <f>IFERROR(VLOOKUP(Table1824[[#This Row],[BKK]]&amp;TRIM(RIGHT(SUBSTITUTE(TRIM(Table1824[[#Headers],[Uraian aaaaaaa]])," ",REPT(" ",255)),255)),'Un nOTA'!$D$4:$J$1004,4,FALSE),"")</f>
        <v/>
      </c>
      <c r="AM17" s="8" t="str">
        <f>IFERROR(VLOOKUP(Table1824[[#This Row],[BKK]]&amp;TRIM(RIGHT(SUBSTITUTE(TRIM(Table1824[[#Headers],[Uraian aaaaaaaa]])," ",REPT(" ",255)),255)),'Un nOTA'!$D$4:$J$1004,4,FALSE),"")</f>
        <v/>
      </c>
      <c r="AN17" s="8" t="str">
        <f>IFERROR(VLOOKUP(Table1824[[#This Row],[BKK]]&amp;TRIM(RIGHT(SUBSTITUTE(TRIM(Table1824[[#Headers],[Uraian aaaaaaaaa]])," ",REPT(" ",255)),255)),'Un nOTA'!$D$4:$J$1004,4,FALSE),"")</f>
        <v/>
      </c>
      <c r="AO17" s="8" t="str">
        <f>IFERROR(VLOOKUP(Table1824[[#This Row],[BKK]]&amp;TRIM(RIGHT(SUBSTITUTE(TRIM(Table1824[[#Headers],[Uraian aaaaaaaaaa]])," ",REPT(" ",255)),255)),'Un nOTA'!$D$4:$J$1004,4,FALSE),"")</f>
        <v/>
      </c>
      <c r="AP17" s="8" t="str">
        <f>IFERROR(VLOOKUP(Table1824[[#This Row],[BKK]]&amp;TRIM(RIGHT(SUBSTITUTE(TRIM(Table1824[[#Headers],[Uraian aaaaaaaaaaa]])," ",REPT(" ",255)),255)),'Un nOTA'!$D$4:$J$1004,4,FALSE),"")</f>
        <v/>
      </c>
      <c r="AQ17" s="8" t="str">
        <f>IFERROR(VLOOKUP(Table1824[[#This Row],[BKK]]&amp;TRIM(RIGHT(SUBSTITUTE(TRIM(Table1824[[#Headers],[Uraian aaaaaaaaaaaa]])," ",REPT(" ",255)),255)),'Un nOTA'!$D$4:$J$1004,4,FALSE),"")</f>
        <v/>
      </c>
      <c r="AR17" s="8" t="str">
        <f>IFERROR((IFERROR(VLOOKUP(Table1824[[#This Row],[BKK]],'Un nOTA'!$D$4:$J$1004,5,FALSE),""))*(10/11),"")</f>
        <v/>
      </c>
      <c r="AS17" s="8" t="str">
        <f>IFERROR((IFERROR(VLOOKUP(Table1824[[#This Row],[BKK]]&amp;TRIM(RIGHT(SUBSTITUTE(TRIM(Table1824[[#Headers],[Uraian a]])," ",REPT(" ",255)),255)),'Un nOTA'!$D$4:$J$1004,5,FALSE),"")*(10/11)),"")</f>
        <v/>
      </c>
      <c r="AT17" s="8" t="str">
        <f>IFERROR((IFERROR(VLOOKUP(Table1824[[#This Row],[BKK]]&amp;TRIM(RIGHT(SUBSTITUTE(TRIM(Table1824[[#Headers],[Uraian aa]])," ",REPT(" ",255)),255)),'Un nOTA'!$D$4:$J$1004,5,FALSE),"")*(10/11)),"")</f>
        <v/>
      </c>
      <c r="AU17" s="8" t="str">
        <f>IFERROR((IFERROR(VLOOKUP(Table1824[[#This Row],[BKK]]&amp;TRIM(RIGHT(SUBSTITUTE(TRIM(Table1824[[#Headers],[Uraian aaa]])," ",REPT(" ",255)),255)),'Un nOTA'!$D$4:$J$1004,5,FALSE),"")*(10/11)),"")</f>
        <v/>
      </c>
      <c r="AV17" s="8" t="str">
        <f>IFERROR((IFERROR(VLOOKUP(Table1824[[#This Row],[BKK]]&amp;TRIM(RIGHT(SUBSTITUTE(TRIM(Table1824[[#Headers],[Uraian aaaa]])," ",REPT(" ",255)),255)),'Un nOTA'!$D$4:$J$1004,5,FALSE),"")*(10/11)),"")</f>
        <v/>
      </c>
      <c r="AW17" s="8" t="str">
        <f>IFERROR((IFERROR(VLOOKUP(Table1824[[#This Row],[BKK]]&amp;TRIM(RIGHT(SUBSTITUTE(TRIM(Table1824[[#Headers],[Uraian aaaaa]])," ",REPT(" ",255)),255)),'Un nOTA'!$D$4:$J$1004,5,FALSE),"")*(10/11)),"")</f>
        <v/>
      </c>
      <c r="AX17" s="8" t="str">
        <f>IFERROR((IFERROR(VLOOKUP(Table1824[[#This Row],[BKK]]&amp;TRIM(RIGHT(SUBSTITUTE(TRIM(Table1824[[#Headers],[Uraian aaaaaa]])," ",REPT(" ",255)),255)),'Un nOTA'!$D$4:$J$1004,5,FALSE),"")*(10/11)),"")</f>
        <v/>
      </c>
      <c r="AY17" s="8" t="str">
        <f>IFERROR((IFERROR(VLOOKUP(Table1824[[#This Row],[BKK]]&amp;TRIM(RIGHT(SUBSTITUTE(TRIM(Table1824[[#Headers],[Uraian aaaaaaa]])," ",REPT(" ",255)),255)),'Un nOTA'!$D$4:$J$1004,5,FALSE),"")*(10/11)),"")</f>
        <v/>
      </c>
      <c r="AZ17" s="8" t="str">
        <f>IFERROR((IFERROR(VLOOKUP(Table1824[[#This Row],[BKK]]&amp;TRIM(RIGHT(SUBSTITUTE(TRIM(Table1824[[#Headers],[Uraian aaaaaaaa]])," ",REPT(" ",255)),255)),'Un nOTA'!$D$4:$J$1004,5,FALSE),"")*(10/11)),"")</f>
        <v/>
      </c>
      <c r="BA17" s="8" t="str">
        <f>IFERROR((IFERROR(VLOOKUP(Table1824[[#This Row],[BKK]]&amp;TRIM(RIGHT(SUBSTITUTE(TRIM(Table1824[[#Headers],[Uraian aaaaaaaaa]])," ",REPT(" ",255)),255)),'Un nOTA'!$D$4:$J$1004,5,FALSE),"")*(10/11)),"")</f>
        <v/>
      </c>
      <c r="BB17" s="8" t="str">
        <f>IFERROR((IFERROR(VLOOKUP(Table1824[[#This Row],[BKK]]&amp;TRIM(RIGHT(SUBSTITUTE(TRIM(Table1824[[#Headers],[Uraian aaaaaaaaaa]])," ",REPT(" ",255)),255)),'Un nOTA'!$D$4:$J$1004,5,FALSE),"")*(10/11)),"")</f>
        <v/>
      </c>
      <c r="BC17" s="8" t="str">
        <f>IFERROR((IFERROR(VLOOKUP(Table1824[[#This Row],[BKK]]&amp;TRIM(RIGHT(SUBSTITUTE(TRIM(Table1824[[#Headers],[Uraian aaaaaaaaaaa]])," ",REPT(" ",255)),255)),'Un nOTA'!$D$4:$J$1004,5,FALSE),"")*(10/11)),"")</f>
        <v/>
      </c>
      <c r="BD17" s="8" t="str">
        <f>IFERROR((IFERROR(VLOOKUP(Table1824[[#This Row],[BKK]]&amp;TRIM(RIGHT(SUBSTITUTE(TRIM(Table1824[[#Headers],[Uraian aaaaaaaaaaaa]])," ",REPT(" ",255)),255)),'Un nOTA'!$D$4:$J$1004,5,FALSE),"")*(10/11)),"")</f>
        <v/>
      </c>
      <c r="BE17" s="23" t="str">
        <f>IFERROR(ROUNDUP((Table1824[[#This Row],[Qty]]*Table1824[[#This Row],[Hrg St]]),0),"")</f>
        <v/>
      </c>
      <c r="BF17" s="8" t="str">
        <f>IFERROR(ROUNDUP((Table1824[[#This Row],[Qty2]]*Table1824[[#This Row],[Hrg St2]]),0),"")</f>
        <v/>
      </c>
      <c r="BG17" s="8" t="str">
        <f>IFERROR(ROUNDUP((Table1824[[#This Row],[Qty3]]*Table1824[[#This Row],[Hrg St3]]),0),"")</f>
        <v/>
      </c>
      <c r="BH17" s="8" t="str">
        <f>IFERROR(ROUNDUP((Table1824[[#This Row],[Qty4]]*Table1824[[#This Row],[Hrg St4]]),0),"")</f>
        <v/>
      </c>
      <c r="BI17" s="8" t="str">
        <f>IFERROR(ROUNDUP((Table1824[[#This Row],[Qty5]]*Table1824[[#This Row],[Hrg St5]]),0),"")</f>
        <v/>
      </c>
      <c r="BJ17" s="8" t="str">
        <f>IFERROR(ROUNDUP((Table1824[[#This Row],[Qty6]]*Table1824[[#This Row],[Hrg St6]]),0),"")</f>
        <v/>
      </c>
      <c r="BK17" s="8" t="str">
        <f>IFERROR(ROUNDUP((Table1824[[#This Row],[Qty7]]*Table1824[[#This Row],[Hrg St7]]),0),"")</f>
        <v/>
      </c>
      <c r="BL17" s="8" t="str">
        <f>IFERROR(ROUNDUP((Table1824[[#This Row],[Qty8]]*Table1824[[#This Row],[Hrg St8]]),0),"")</f>
        <v/>
      </c>
      <c r="BM17" s="8" t="str">
        <f>IFERROR(ROUNDUP((Table1824[[#This Row],[Qty9]]*Table1824[[#This Row],[Hrg St9]]),0),"")</f>
        <v/>
      </c>
      <c r="BN17" s="8" t="str">
        <f>IFERROR(ROUNDUP((Table1824[[#This Row],[Qty10]]*Table1824[[#This Row],[Hrg St10]]),0),"")</f>
        <v/>
      </c>
      <c r="BO17" s="8" t="str">
        <f>IFERROR(ROUNDUP((Table1824[[#This Row],[Qty11]]*Table1824[[#This Row],[Hrg St11]]),0),"")</f>
        <v/>
      </c>
      <c r="BP17" s="8" t="str">
        <f>IFERROR(ROUNDUP((Table1824[[#This Row],[Qty12]]*Table1824[[#This Row],[Hrg St12]]),0),"")</f>
        <v/>
      </c>
      <c r="BQ17" s="8" t="str">
        <f>IFERROR(ROUNDUP((Table1824[[#This Row],[Qty13]]*Table1824[[#This Row],[Hrg St13]]),0),"")</f>
        <v/>
      </c>
      <c r="BR17" s="23" t="str">
        <f>IF(Table1824[[#This Row],[BKK]]&gt;" ",IFERROR(ROUNDUP((SUM(Table1824[[#This Row],[Jml]:[Jml13]])),0)," ")," ")</f>
        <v xml:space="preserve"> </v>
      </c>
      <c r="BS17" s="23" t="str">
        <f>IF(Table1824[[#This Row],[BKK]]&gt;" ",ROUND((Table1824[[#This Row],[Total]]*0.1),0)," ")</f>
        <v xml:space="preserve"> </v>
      </c>
      <c r="BT17" s="23" t="str">
        <f>IF(Table1824[[#This Row],[BKK]]&gt;" ",(Table1824[[#This Row],[Total]]+Table1824[[#This Row],[PPN]])," ")</f>
        <v xml:space="preserve"> </v>
      </c>
      <c r="BU17" t="s">
        <v>454</v>
      </c>
      <c r="BV17" t="str">
        <f>IF(Table1824[[#This Row],[BKK]]&gt;" ",("INV/AK-MLG/2019/"&amp;'BKU 1'!$E$1&amp;"/"&amp;Table1824[[#This Row],[BKK]]&amp;"/"&amp;'BKU 1'!$E$1&amp;ROW())," ")</f>
        <v xml:space="preserve"> </v>
      </c>
      <c r="BW17" t="str">
        <f>IF(Table1824[[#This Row],[BKK]]&gt;" ",(TEXT(VLOOKUP(Table1824[[#This Row],[BKK]],COPY!$O$2:$U$1000,7,FALSE),"dd mmmm yyyy"))," ")</f>
        <v xml:space="preserve"> </v>
      </c>
      <c r="BX17" t="str">
        <f>IF(Table1824[[#This Row],[BKK]]&gt;" ",(TEXT((Table1824[[#This Row],[Tanggal Kirim]]+30),"dd mmmm yyyy"))," ")</f>
        <v xml:space="preserve"> </v>
      </c>
      <c r="BY17" t="str">
        <f>IF(Table1824[[#This Row],[BKK]]&gt;" ",'BKU 1'!$E$17," ")</f>
        <v xml:space="preserve"> </v>
      </c>
    </row>
    <row r="18" spans="1:77" hidden="1" x14ac:dyDescent="0.25">
      <c r="A18" t="str">
        <f>IFERROR((IF('Laporan ppn'!G6805&gt;0,VLOOKUP('Laporan ppn'!G6805,'Laporan ppn'!$E$10:$F$6785,2,FALSE),"")),"")</f>
        <v xml:space="preserve"> </v>
      </c>
      <c r="B18" t="str">
        <f>IF(Table1824[[#This Row],[BKK]]=" "," ",'BKU 1'!$D$25)</f>
        <v xml:space="preserve"> </v>
      </c>
      <c r="C18" t="str">
        <f>IF(Table1824[[#This Row],[BKK]]=" "," ",'BKU 1'!$D$26)</f>
        <v xml:space="preserve"> </v>
      </c>
      <c r="D18" t="str">
        <f>IF(Table1824[[#This Row],[BKK]]=" "," ",'BKU 1'!$I$25)</f>
        <v xml:space="preserve"> </v>
      </c>
      <c r="E18" t="str">
        <f>IFERROR(VLOOKUP(Table1824[[#This Row],[BKK]],'Un nOTA'!$D$4:$J$1004,2,FALSE),"")</f>
        <v/>
      </c>
      <c r="F18" t="str">
        <f>IFERROR(VLOOKUP(Table1824[[#This Row],[BKK]]&amp;TRIM(RIGHT(SUBSTITUTE(TRIM(Table1824[[#Headers],[Uraian a]])," ",REPT(" ",255)),255)),'Un nOTA'!$D$4:$J$1004,2,FALSE),"")</f>
        <v/>
      </c>
      <c r="G18" t="str">
        <f>IFERROR(VLOOKUP(Table1824[[#This Row],[BKK]]&amp;TRIM(RIGHT(SUBSTITUTE(TRIM(Table1824[[#Headers],[Uraian aa]])," ",REPT(" ",255)),255)),'Un nOTA'!$D$4:$J$1004,2,FALSE),"")</f>
        <v/>
      </c>
      <c r="H18" t="str">
        <f>IFERROR(VLOOKUP(Table1824[[#This Row],[BKK]]&amp;TRIM(RIGHT(SUBSTITUTE(TRIM(Table1824[[#Headers],[Uraian aaa]])," ",REPT(" ",255)),255)),'Un nOTA'!$D$4:$J$1004,2,FALSE),"")</f>
        <v/>
      </c>
      <c r="I18" t="str">
        <f>IFERROR(VLOOKUP(Table1824[[#This Row],[BKK]]&amp;TRIM(RIGHT(SUBSTITUTE(TRIM(Table1824[[#Headers],[Uraian aaaa]])," ",REPT(" ",255)),255)),'Un nOTA'!$D$4:$J$1004,2,FALSE),"")</f>
        <v/>
      </c>
      <c r="J18" t="str">
        <f>IFERROR(VLOOKUP(Table1824[[#This Row],[BKK]]&amp;TRIM(RIGHT(SUBSTITUTE(TRIM(Table1824[[#Headers],[Uraian aaaaa]])," ",REPT(" ",255)),255)),'Un nOTA'!$D$4:$J$1004,2,FALSE),"")</f>
        <v/>
      </c>
      <c r="K18" t="str">
        <f>IFERROR(VLOOKUP(Table1824[[#This Row],[BKK]]&amp;TRIM(RIGHT(SUBSTITUTE(TRIM(Table1824[[#Headers],[Uraian aaaaaa]])," ",REPT(" ",255)),255)),'Un nOTA'!$D$4:$J$1004,2,FALSE),"")</f>
        <v/>
      </c>
      <c r="L18" t="str">
        <f>IFERROR(VLOOKUP(Table1824[[#This Row],[BKK]]&amp;TRIM(RIGHT(SUBSTITUTE(TRIM(Table1824[[#Headers],[Uraian aaaaaaa]])," ",REPT(" ",255)),255)),'Un nOTA'!$D$4:$J$1004,2,FALSE),"")</f>
        <v/>
      </c>
      <c r="M18" t="str">
        <f>IFERROR(VLOOKUP(Table1824[[#This Row],[BKK]]&amp;TRIM(RIGHT(SUBSTITUTE(TRIM(Table1824[[#Headers],[Uraian aaaaaaaa]])," ",REPT(" ",255)),255)),'Un nOTA'!$D$4:$J$1004,2,FALSE),"")</f>
        <v/>
      </c>
      <c r="N18" t="str">
        <f>IFERROR(VLOOKUP(Table1824[[#This Row],[BKK]]&amp;TRIM(RIGHT(SUBSTITUTE(TRIM(Table1824[[#Headers],[Uraian aaaaaaaaa]])," ",REPT(" ",255)),255)),'Un nOTA'!$D$4:$J$1004,2,FALSE),"")</f>
        <v/>
      </c>
      <c r="O18" t="str">
        <f>IFERROR(VLOOKUP(Table1824[[#This Row],[BKK]]&amp;TRIM(RIGHT(SUBSTITUTE(TRIM(Table1824[[#Headers],[Uraian aaaaaaaaaa]])," ",REPT(" ",255)),255)),'Un nOTA'!$D$4:$J$1004,2,FALSE),"")</f>
        <v/>
      </c>
      <c r="P18" t="str">
        <f>IFERROR(VLOOKUP(Table1824[[#This Row],[BKK]]&amp;TRIM(RIGHT(SUBSTITUTE(TRIM(Table1824[[#Headers],[Uraian aaaaaaaaaaa]])," ",REPT(" ",255)),255)),'Un nOTA'!$D$4:$J$1004,2,FALSE),"")</f>
        <v/>
      </c>
      <c r="Q18" t="str">
        <f>IFERROR(VLOOKUP(Table1824[[#This Row],[BKK]]&amp;TRIM(RIGHT(SUBSTITUTE(TRIM(Table1824[[#Headers],[Uraian aaaaaaaaaaaa]])," ",REPT(" ",255)),255)),'Un nOTA'!$D$4:$J$1004,2,FALSE),"")</f>
        <v/>
      </c>
      <c r="R18" s="32" t="str">
        <f>IFERROR(VLOOKUP(Table1824[[#This Row],[BKK]],'Un nOTA'!$D$4:$J$1004,3,FALSE),"")</f>
        <v/>
      </c>
      <c r="S18" s="32" t="str">
        <f>IFERROR(VLOOKUP(Table1824[[#This Row],[BKK]]&amp;TRIM(RIGHT(SUBSTITUTE(TRIM(Table1824[[#Headers],[Uraian a]])," ",REPT(" ",255)),255)),'Un nOTA'!$D$4:$J$1004,3,FALSE),"")</f>
        <v/>
      </c>
      <c r="T18" s="32" t="str">
        <f>IFERROR(VLOOKUP(Table1824[[#This Row],[BKK]]&amp;TRIM(RIGHT(SUBSTITUTE(TRIM(Table1824[[#Headers],[Uraian aa]])," ",REPT(" ",255)),255)),'Un nOTA'!$D$4:$J$1004,3,FALSE),"")</f>
        <v/>
      </c>
      <c r="U18" s="32" t="str">
        <f>IFERROR(VLOOKUP(Table1824[[#This Row],[BKK]]&amp;TRIM(RIGHT(SUBSTITUTE(TRIM(Table1824[[#Headers],[Uraian aaa]])," ",REPT(" ",255)),255)),'Un nOTA'!$D$4:$J$1004,3,FALSE),"")</f>
        <v/>
      </c>
      <c r="V18" s="32" t="str">
        <f>IFERROR(VLOOKUP(Table1824[[#This Row],[BKK]]&amp;TRIM(RIGHT(SUBSTITUTE(TRIM(Table1824[[#Headers],[Uraian aaaa]])," ",REPT(" ",255)),255)),'Un nOTA'!$D$4:$J$1004,3,FALSE),"")</f>
        <v/>
      </c>
      <c r="W18" s="32" t="str">
        <f>IFERROR(VLOOKUP(Table1824[[#This Row],[BKK]]&amp;TRIM(RIGHT(SUBSTITUTE(TRIM(Table1824[[#Headers],[Uraian aaaaa]])," ",REPT(" ",255)),255)),'Un nOTA'!$D$4:$J$1004,3,FALSE),"")</f>
        <v/>
      </c>
      <c r="X18" s="32" t="str">
        <f>IFERROR(VLOOKUP(Table1824[[#This Row],[BKK]]&amp;TRIM(RIGHT(SUBSTITUTE(TRIM(Table1824[[#Headers],[Uraian aaaaaa]])," ",REPT(" ",255)),255)),'Un nOTA'!$D$4:$J$1004,3,FALSE),"")</f>
        <v/>
      </c>
      <c r="Y18" s="32" t="str">
        <f>IFERROR(VLOOKUP(Table1824[[#This Row],[BKK]]&amp;TRIM(RIGHT(SUBSTITUTE(TRIM(Table1824[[#Headers],[Uraian aaaaaaa]])," ",REPT(" ",255)),255)),'Un nOTA'!$D$4:$J$1004,3,FALSE),"")</f>
        <v/>
      </c>
      <c r="Z18" s="32" t="str">
        <f>IFERROR(VLOOKUP(Table1824[[#This Row],[BKK]]&amp;TRIM(RIGHT(SUBSTITUTE(TRIM(Table1824[[#Headers],[Uraian aaaaaaaa]])," ",REPT(" ",255)),255)),'Un nOTA'!$D$4:$J$1004,3,FALSE),"")</f>
        <v/>
      </c>
      <c r="AA18" s="32" t="str">
        <f>IFERROR(VLOOKUP(Table1824[[#This Row],[BKK]]&amp;TRIM(RIGHT(SUBSTITUTE(TRIM(Table1824[[#Headers],[Uraian aaaaaaaaa]])," ",REPT(" ",255)),255)),'Un nOTA'!$D$4:$J$1004,3,FALSE),"")</f>
        <v/>
      </c>
      <c r="AB18" s="32" t="str">
        <f>IFERROR(VLOOKUP(Table1824[[#This Row],[BKK]]&amp;TRIM(RIGHT(SUBSTITUTE(TRIM(Table1824[[#Headers],[Uraian aaaaaaaaaa]])," ",REPT(" ",255)),255)),'Un nOTA'!$D$4:$J$1004,3,FALSE),"")</f>
        <v/>
      </c>
      <c r="AC18" s="32" t="str">
        <f>IFERROR(VLOOKUP(Table1824[[#This Row],[BKK]]&amp;TRIM(RIGHT(SUBSTITUTE(TRIM(Table1824[[#Headers],[Uraian aaaaaaaaaaa]])," ",REPT(" ",255)),255)),'Un nOTA'!$D$4:$J$1004,3,FALSE),"")</f>
        <v/>
      </c>
      <c r="AD18" s="32" t="str">
        <f>IFERROR(VLOOKUP(Table1824[[#This Row],[BKK]]&amp;TRIM(RIGHT(SUBSTITUTE(TRIM(Table1824[[#Headers],[Uraian aaaaaaaaaaaa]])," ",REPT(" ",255)),255)),'Un nOTA'!$D$4:$J$1004,3,FALSE),"")</f>
        <v/>
      </c>
      <c r="AE18" s="8" t="str">
        <f>IFERROR(VLOOKUP(Table1824[[#This Row],[BKK]],'Un nOTA'!$D$4:$J$1004,4,FALSE),"")</f>
        <v/>
      </c>
      <c r="AF18" s="8" t="str">
        <f>IFERROR(VLOOKUP(Table1824[[#This Row],[BKK]]&amp;TRIM(RIGHT(SUBSTITUTE(TRIM(Table1824[[#Headers],[Uraian a]])," ",REPT(" ",255)),255)),'Un nOTA'!$D$4:$J$1004,4,FALSE),"")</f>
        <v/>
      </c>
      <c r="AG18" s="8" t="str">
        <f>IFERROR(VLOOKUP(Table1824[[#This Row],[BKK]]&amp;TRIM(RIGHT(SUBSTITUTE(TRIM(Table1824[[#Headers],[Uraian aa]])," ",REPT(" ",255)),255)),'Un nOTA'!$D$4:$J$1004,4,FALSE),"")</f>
        <v/>
      </c>
      <c r="AH18" s="8" t="str">
        <f>IFERROR(VLOOKUP(Table1824[[#This Row],[BKK]]&amp;TRIM(RIGHT(SUBSTITUTE(TRIM(Table1824[[#Headers],[Uraian aaa]])," ",REPT(" ",255)),255)),'Un nOTA'!$D$4:$J$1004,4,FALSE),"")</f>
        <v/>
      </c>
      <c r="AI18" s="8" t="str">
        <f>IFERROR(VLOOKUP(Table1824[[#This Row],[BKK]]&amp;TRIM(RIGHT(SUBSTITUTE(TRIM(Table1824[[#Headers],[Uraian aaaa]])," ",REPT(" ",255)),255)),'Un nOTA'!$D$4:$J$1004,4,FALSE),"")</f>
        <v/>
      </c>
      <c r="AJ18" s="8" t="str">
        <f>IFERROR(VLOOKUP(Table1824[[#This Row],[BKK]]&amp;TRIM(RIGHT(SUBSTITUTE(TRIM(Table1824[[#Headers],[Uraian aaaaa]])," ",REPT(" ",255)),255)),'Un nOTA'!$D$4:$J$1004,4,FALSE),"")</f>
        <v/>
      </c>
      <c r="AK18" s="8" t="str">
        <f>IFERROR(VLOOKUP(Table1824[[#This Row],[BKK]]&amp;TRIM(RIGHT(SUBSTITUTE(TRIM(Table1824[[#Headers],[Uraian aaaaaa]])," ",REPT(" ",255)),255)),'Un nOTA'!$D$4:$J$1004,4,FALSE),"")</f>
        <v/>
      </c>
      <c r="AL18" s="8" t="str">
        <f>IFERROR(VLOOKUP(Table1824[[#This Row],[BKK]]&amp;TRIM(RIGHT(SUBSTITUTE(TRIM(Table1824[[#Headers],[Uraian aaaaaaa]])," ",REPT(" ",255)),255)),'Un nOTA'!$D$4:$J$1004,4,FALSE),"")</f>
        <v/>
      </c>
      <c r="AM18" s="8" t="str">
        <f>IFERROR(VLOOKUP(Table1824[[#This Row],[BKK]]&amp;TRIM(RIGHT(SUBSTITUTE(TRIM(Table1824[[#Headers],[Uraian aaaaaaaa]])," ",REPT(" ",255)),255)),'Un nOTA'!$D$4:$J$1004,4,FALSE),"")</f>
        <v/>
      </c>
      <c r="AN18" s="8" t="str">
        <f>IFERROR(VLOOKUP(Table1824[[#This Row],[BKK]]&amp;TRIM(RIGHT(SUBSTITUTE(TRIM(Table1824[[#Headers],[Uraian aaaaaaaaa]])," ",REPT(" ",255)),255)),'Un nOTA'!$D$4:$J$1004,4,FALSE),"")</f>
        <v/>
      </c>
      <c r="AO18" s="8" t="str">
        <f>IFERROR(VLOOKUP(Table1824[[#This Row],[BKK]]&amp;TRIM(RIGHT(SUBSTITUTE(TRIM(Table1824[[#Headers],[Uraian aaaaaaaaaa]])," ",REPT(" ",255)),255)),'Un nOTA'!$D$4:$J$1004,4,FALSE),"")</f>
        <v/>
      </c>
      <c r="AP18" s="8" t="str">
        <f>IFERROR(VLOOKUP(Table1824[[#This Row],[BKK]]&amp;TRIM(RIGHT(SUBSTITUTE(TRIM(Table1824[[#Headers],[Uraian aaaaaaaaaaa]])," ",REPT(" ",255)),255)),'Un nOTA'!$D$4:$J$1004,4,FALSE),"")</f>
        <v/>
      </c>
      <c r="AQ18" s="8" t="str">
        <f>IFERROR(VLOOKUP(Table1824[[#This Row],[BKK]]&amp;TRIM(RIGHT(SUBSTITUTE(TRIM(Table1824[[#Headers],[Uraian aaaaaaaaaaaa]])," ",REPT(" ",255)),255)),'Un nOTA'!$D$4:$J$1004,4,FALSE),"")</f>
        <v/>
      </c>
      <c r="AR18" s="8" t="str">
        <f>IFERROR((IFERROR(VLOOKUP(Table1824[[#This Row],[BKK]],'Un nOTA'!$D$4:$J$1004,5,FALSE),""))*(10/11),"")</f>
        <v/>
      </c>
      <c r="AS18" s="8" t="str">
        <f>IFERROR((IFERROR(VLOOKUP(Table1824[[#This Row],[BKK]]&amp;TRIM(RIGHT(SUBSTITUTE(TRIM(Table1824[[#Headers],[Uraian a]])," ",REPT(" ",255)),255)),'Un nOTA'!$D$4:$J$1004,5,FALSE),"")*(10/11)),"")</f>
        <v/>
      </c>
      <c r="AT18" s="8" t="str">
        <f>IFERROR((IFERROR(VLOOKUP(Table1824[[#This Row],[BKK]]&amp;TRIM(RIGHT(SUBSTITUTE(TRIM(Table1824[[#Headers],[Uraian aa]])," ",REPT(" ",255)),255)),'Un nOTA'!$D$4:$J$1004,5,FALSE),"")*(10/11)),"")</f>
        <v/>
      </c>
      <c r="AU18" s="8" t="str">
        <f>IFERROR((IFERROR(VLOOKUP(Table1824[[#This Row],[BKK]]&amp;TRIM(RIGHT(SUBSTITUTE(TRIM(Table1824[[#Headers],[Uraian aaa]])," ",REPT(" ",255)),255)),'Un nOTA'!$D$4:$J$1004,5,FALSE),"")*(10/11)),"")</f>
        <v/>
      </c>
      <c r="AV18" s="8" t="str">
        <f>IFERROR((IFERROR(VLOOKUP(Table1824[[#This Row],[BKK]]&amp;TRIM(RIGHT(SUBSTITUTE(TRIM(Table1824[[#Headers],[Uraian aaaa]])," ",REPT(" ",255)),255)),'Un nOTA'!$D$4:$J$1004,5,FALSE),"")*(10/11)),"")</f>
        <v/>
      </c>
      <c r="AW18" s="8" t="str">
        <f>IFERROR((IFERROR(VLOOKUP(Table1824[[#This Row],[BKK]]&amp;TRIM(RIGHT(SUBSTITUTE(TRIM(Table1824[[#Headers],[Uraian aaaaa]])," ",REPT(" ",255)),255)),'Un nOTA'!$D$4:$J$1004,5,FALSE),"")*(10/11)),"")</f>
        <v/>
      </c>
      <c r="AX18" s="8" t="str">
        <f>IFERROR((IFERROR(VLOOKUP(Table1824[[#This Row],[BKK]]&amp;TRIM(RIGHT(SUBSTITUTE(TRIM(Table1824[[#Headers],[Uraian aaaaaa]])," ",REPT(" ",255)),255)),'Un nOTA'!$D$4:$J$1004,5,FALSE),"")*(10/11)),"")</f>
        <v/>
      </c>
      <c r="AY18" s="8" t="str">
        <f>IFERROR((IFERROR(VLOOKUP(Table1824[[#This Row],[BKK]]&amp;TRIM(RIGHT(SUBSTITUTE(TRIM(Table1824[[#Headers],[Uraian aaaaaaa]])," ",REPT(" ",255)),255)),'Un nOTA'!$D$4:$J$1004,5,FALSE),"")*(10/11)),"")</f>
        <v/>
      </c>
      <c r="AZ18" s="8" t="str">
        <f>IFERROR((IFERROR(VLOOKUP(Table1824[[#This Row],[BKK]]&amp;TRIM(RIGHT(SUBSTITUTE(TRIM(Table1824[[#Headers],[Uraian aaaaaaaa]])," ",REPT(" ",255)),255)),'Un nOTA'!$D$4:$J$1004,5,FALSE),"")*(10/11)),"")</f>
        <v/>
      </c>
      <c r="BA18" s="8" t="str">
        <f>IFERROR((IFERROR(VLOOKUP(Table1824[[#This Row],[BKK]]&amp;TRIM(RIGHT(SUBSTITUTE(TRIM(Table1824[[#Headers],[Uraian aaaaaaaaa]])," ",REPT(" ",255)),255)),'Un nOTA'!$D$4:$J$1004,5,FALSE),"")*(10/11)),"")</f>
        <v/>
      </c>
      <c r="BB18" s="8" t="str">
        <f>IFERROR((IFERROR(VLOOKUP(Table1824[[#This Row],[BKK]]&amp;TRIM(RIGHT(SUBSTITUTE(TRIM(Table1824[[#Headers],[Uraian aaaaaaaaaa]])," ",REPT(" ",255)),255)),'Un nOTA'!$D$4:$J$1004,5,FALSE),"")*(10/11)),"")</f>
        <v/>
      </c>
      <c r="BC18" s="8" t="str">
        <f>IFERROR((IFERROR(VLOOKUP(Table1824[[#This Row],[BKK]]&amp;TRIM(RIGHT(SUBSTITUTE(TRIM(Table1824[[#Headers],[Uraian aaaaaaaaaaa]])," ",REPT(" ",255)),255)),'Un nOTA'!$D$4:$J$1004,5,FALSE),"")*(10/11)),"")</f>
        <v/>
      </c>
      <c r="BD18" s="8" t="str">
        <f>IFERROR((IFERROR(VLOOKUP(Table1824[[#This Row],[BKK]]&amp;TRIM(RIGHT(SUBSTITUTE(TRIM(Table1824[[#Headers],[Uraian aaaaaaaaaaaa]])," ",REPT(" ",255)),255)),'Un nOTA'!$D$4:$J$1004,5,FALSE),"")*(10/11)),"")</f>
        <v/>
      </c>
      <c r="BE18" s="23" t="str">
        <f>IFERROR(ROUNDUP((Table1824[[#This Row],[Qty]]*Table1824[[#This Row],[Hrg St]]),0),"")</f>
        <v/>
      </c>
      <c r="BF18" s="8" t="str">
        <f>IFERROR(ROUNDUP((Table1824[[#This Row],[Qty2]]*Table1824[[#This Row],[Hrg St2]]),0),"")</f>
        <v/>
      </c>
      <c r="BG18" s="8" t="str">
        <f>IFERROR(ROUNDUP((Table1824[[#This Row],[Qty3]]*Table1824[[#This Row],[Hrg St3]]),0),"")</f>
        <v/>
      </c>
      <c r="BH18" s="8" t="str">
        <f>IFERROR(ROUNDUP((Table1824[[#This Row],[Qty4]]*Table1824[[#This Row],[Hrg St4]]),0),"")</f>
        <v/>
      </c>
      <c r="BI18" s="8" t="str">
        <f>IFERROR(ROUNDUP((Table1824[[#This Row],[Qty5]]*Table1824[[#This Row],[Hrg St5]]),0),"")</f>
        <v/>
      </c>
      <c r="BJ18" s="8" t="str">
        <f>IFERROR(ROUNDUP((Table1824[[#This Row],[Qty6]]*Table1824[[#This Row],[Hrg St6]]),0),"")</f>
        <v/>
      </c>
      <c r="BK18" s="8" t="str">
        <f>IFERROR(ROUNDUP((Table1824[[#This Row],[Qty7]]*Table1824[[#This Row],[Hrg St7]]),0),"")</f>
        <v/>
      </c>
      <c r="BL18" s="8" t="str">
        <f>IFERROR(ROUNDUP((Table1824[[#This Row],[Qty8]]*Table1824[[#This Row],[Hrg St8]]),0),"")</f>
        <v/>
      </c>
      <c r="BM18" s="8" t="str">
        <f>IFERROR(ROUNDUP((Table1824[[#This Row],[Qty9]]*Table1824[[#This Row],[Hrg St9]]),0),"")</f>
        <v/>
      </c>
      <c r="BN18" s="8" t="str">
        <f>IFERROR(ROUNDUP((Table1824[[#This Row],[Qty10]]*Table1824[[#This Row],[Hrg St10]]),0),"")</f>
        <v/>
      </c>
      <c r="BO18" s="8" t="str">
        <f>IFERROR(ROUNDUP((Table1824[[#This Row],[Qty11]]*Table1824[[#This Row],[Hrg St11]]),0),"")</f>
        <v/>
      </c>
      <c r="BP18" s="8" t="str">
        <f>IFERROR(ROUNDUP((Table1824[[#This Row],[Qty12]]*Table1824[[#This Row],[Hrg St12]]),0),"")</f>
        <v/>
      </c>
      <c r="BQ18" s="8" t="str">
        <f>IFERROR(ROUNDUP((Table1824[[#This Row],[Qty13]]*Table1824[[#This Row],[Hrg St13]]),0),"")</f>
        <v/>
      </c>
      <c r="BR18" s="23" t="str">
        <f>IF(Table1824[[#This Row],[BKK]]&gt;" ",IFERROR(ROUNDUP((SUM(Table1824[[#This Row],[Jml]:[Jml13]])),0)," ")," ")</f>
        <v xml:space="preserve"> </v>
      </c>
      <c r="BS18" s="23" t="str">
        <f>IF(Table1824[[#This Row],[BKK]]&gt;" ",ROUND((Table1824[[#This Row],[Total]]*0.1),0)," ")</f>
        <v xml:space="preserve"> </v>
      </c>
      <c r="BT18" s="23" t="str">
        <f>IF(Table1824[[#This Row],[BKK]]&gt;" ",(Table1824[[#This Row],[Total]]+Table1824[[#This Row],[PPN]])," ")</f>
        <v xml:space="preserve"> </v>
      </c>
      <c r="BU18" t="s">
        <v>454</v>
      </c>
      <c r="BV18" t="str">
        <f>IF(Table1824[[#This Row],[BKK]]&gt;" ",("INV/AK-MLG/2019/"&amp;'BKU 1'!$E$1&amp;"/"&amp;Table1824[[#This Row],[BKK]]&amp;"/"&amp;'BKU 1'!$E$1&amp;ROW())," ")</f>
        <v xml:space="preserve"> </v>
      </c>
      <c r="BW18" t="str">
        <f>IF(Table1824[[#This Row],[BKK]]&gt;" ",(TEXT(VLOOKUP(Table1824[[#This Row],[BKK]],COPY!$O$2:$U$1000,7,FALSE),"dd mmmm yyyy"))," ")</f>
        <v xml:space="preserve"> </v>
      </c>
      <c r="BX18" t="str">
        <f>IF(Table1824[[#This Row],[BKK]]&gt;" ",(TEXT((Table1824[[#This Row],[Tanggal Kirim]]+30),"dd mmmm yyyy"))," ")</f>
        <v xml:space="preserve"> </v>
      </c>
      <c r="BY18" t="str">
        <f>IF(Table1824[[#This Row],[BKK]]&gt;" ",'BKU 1'!$E$17," ")</f>
        <v xml:space="preserve"> </v>
      </c>
    </row>
    <row r="19" spans="1:77" hidden="1" x14ac:dyDescent="0.25">
      <c r="A19" t="str">
        <f>IFERROR((IF('Laporan ppn'!G6806&gt;0,VLOOKUP('Laporan ppn'!G6806,'Laporan ppn'!$E$10:$F$6785,2,FALSE),"")),"")</f>
        <v xml:space="preserve"> </v>
      </c>
      <c r="B19" t="str">
        <f>IF(Table1824[[#This Row],[BKK]]=" "," ",'BKU 1'!$D$25)</f>
        <v xml:space="preserve"> </v>
      </c>
      <c r="C19" t="str">
        <f>IF(Table1824[[#This Row],[BKK]]=" "," ",'BKU 1'!$D$26)</f>
        <v xml:space="preserve"> </v>
      </c>
      <c r="D19" t="str">
        <f>IF(Table1824[[#This Row],[BKK]]=" "," ",'BKU 1'!$I$25)</f>
        <v xml:space="preserve"> </v>
      </c>
      <c r="E19" t="str">
        <f>IFERROR(VLOOKUP(Table1824[[#This Row],[BKK]],'Un nOTA'!$D$4:$J$1004,2,FALSE),"")</f>
        <v/>
      </c>
      <c r="F19" t="str">
        <f>IFERROR(VLOOKUP(Table1824[[#This Row],[BKK]]&amp;TRIM(RIGHT(SUBSTITUTE(TRIM(Table1824[[#Headers],[Uraian a]])," ",REPT(" ",255)),255)),'Un nOTA'!$D$4:$J$1004,2,FALSE),"")</f>
        <v/>
      </c>
      <c r="G19" t="str">
        <f>IFERROR(VLOOKUP(Table1824[[#This Row],[BKK]]&amp;TRIM(RIGHT(SUBSTITUTE(TRIM(Table1824[[#Headers],[Uraian aa]])," ",REPT(" ",255)),255)),'Un nOTA'!$D$4:$J$1004,2,FALSE),"")</f>
        <v/>
      </c>
      <c r="H19" t="str">
        <f>IFERROR(VLOOKUP(Table1824[[#This Row],[BKK]]&amp;TRIM(RIGHT(SUBSTITUTE(TRIM(Table1824[[#Headers],[Uraian aaa]])," ",REPT(" ",255)),255)),'Un nOTA'!$D$4:$J$1004,2,FALSE),"")</f>
        <v/>
      </c>
      <c r="I19" t="str">
        <f>IFERROR(VLOOKUP(Table1824[[#This Row],[BKK]]&amp;TRIM(RIGHT(SUBSTITUTE(TRIM(Table1824[[#Headers],[Uraian aaaa]])," ",REPT(" ",255)),255)),'Un nOTA'!$D$4:$J$1004,2,FALSE),"")</f>
        <v/>
      </c>
      <c r="J19" t="str">
        <f>IFERROR(VLOOKUP(Table1824[[#This Row],[BKK]]&amp;TRIM(RIGHT(SUBSTITUTE(TRIM(Table1824[[#Headers],[Uraian aaaaa]])," ",REPT(" ",255)),255)),'Un nOTA'!$D$4:$J$1004,2,FALSE),"")</f>
        <v/>
      </c>
      <c r="K19" t="str">
        <f>IFERROR(VLOOKUP(Table1824[[#This Row],[BKK]]&amp;TRIM(RIGHT(SUBSTITUTE(TRIM(Table1824[[#Headers],[Uraian aaaaaa]])," ",REPT(" ",255)),255)),'Un nOTA'!$D$4:$J$1004,2,FALSE),"")</f>
        <v/>
      </c>
      <c r="L19" t="str">
        <f>IFERROR(VLOOKUP(Table1824[[#This Row],[BKK]]&amp;TRIM(RIGHT(SUBSTITUTE(TRIM(Table1824[[#Headers],[Uraian aaaaaaa]])," ",REPT(" ",255)),255)),'Un nOTA'!$D$4:$J$1004,2,FALSE),"")</f>
        <v/>
      </c>
      <c r="M19" t="str">
        <f>IFERROR(VLOOKUP(Table1824[[#This Row],[BKK]]&amp;TRIM(RIGHT(SUBSTITUTE(TRIM(Table1824[[#Headers],[Uraian aaaaaaaa]])," ",REPT(" ",255)),255)),'Un nOTA'!$D$4:$J$1004,2,FALSE),"")</f>
        <v/>
      </c>
      <c r="N19" t="str">
        <f>IFERROR(VLOOKUP(Table1824[[#This Row],[BKK]]&amp;TRIM(RIGHT(SUBSTITUTE(TRIM(Table1824[[#Headers],[Uraian aaaaaaaaa]])," ",REPT(" ",255)),255)),'Un nOTA'!$D$4:$J$1004,2,FALSE),"")</f>
        <v/>
      </c>
      <c r="O19" t="str">
        <f>IFERROR(VLOOKUP(Table1824[[#This Row],[BKK]]&amp;TRIM(RIGHT(SUBSTITUTE(TRIM(Table1824[[#Headers],[Uraian aaaaaaaaaa]])," ",REPT(" ",255)),255)),'Un nOTA'!$D$4:$J$1004,2,FALSE),"")</f>
        <v/>
      </c>
      <c r="P19" t="str">
        <f>IFERROR(VLOOKUP(Table1824[[#This Row],[BKK]]&amp;TRIM(RIGHT(SUBSTITUTE(TRIM(Table1824[[#Headers],[Uraian aaaaaaaaaaa]])," ",REPT(" ",255)),255)),'Un nOTA'!$D$4:$J$1004,2,FALSE),"")</f>
        <v/>
      </c>
      <c r="Q19" t="str">
        <f>IFERROR(VLOOKUP(Table1824[[#This Row],[BKK]]&amp;TRIM(RIGHT(SUBSTITUTE(TRIM(Table1824[[#Headers],[Uraian aaaaaaaaaaaa]])," ",REPT(" ",255)),255)),'Un nOTA'!$D$4:$J$1004,2,FALSE),"")</f>
        <v/>
      </c>
      <c r="R19" s="32" t="str">
        <f>IFERROR(VLOOKUP(Table1824[[#This Row],[BKK]],'Un nOTA'!$D$4:$J$1004,3,FALSE),"")</f>
        <v/>
      </c>
      <c r="S19" s="32" t="str">
        <f>IFERROR(VLOOKUP(Table1824[[#This Row],[BKK]]&amp;TRIM(RIGHT(SUBSTITUTE(TRIM(Table1824[[#Headers],[Uraian a]])," ",REPT(" ",255)),255)),'Un nOTA'!$D$4:$J$1004,3,FALSE),"")</f>
        <v/>
      </c>
      <c r="T19" s="32" t="str">
        <f>IFERROR(VLOOKUP(Table1824[[#This Row],[BKK]]&amp;TRIM(RIGHT(SUBSTITUTE(TRIM(Table1824[[#Headers],[Uraian aa]])," ",REPT(" ",255)),255)),'Un nOTA'!$D$4:$J$1004,3,FALSE),"")</f>
        <v/>
      </c>
      <c r="U19" s="32" t="str">
        <f>IFERROR(VLOOKUP(Table1824[[#This Row],[BKK]]&amp;TRIM(RIGHT(SUBSTITUTE(TRIM(Table1824[[#Headers],[Uraian aaa]])," ",REPT(" ",255)),255)),'Un nOTA'!$D$4:$J$1004,3,FALSE),"")</f>
        <v/>
      </c>
      <c r="V19" s="32" t="str">
        <f>IFERROR(VLOOKUP(Table1824[[#This Row],[BKK]]&amp;TRIM(RIGHT(SUBSTITUTE(TRIM(Table1824[[#Headers],[Uraian aaaa]])," ",REPT(" ",255)),255)),'Un nOTA'!$D$4:$J$1004,3,FALSE),"")</f>
        <v/>
      </c>
      <c r="W19" s="32" t="str">
        <f>IFERROR(VLOOKUP(Table1824[[#This Row],[BKK]]&amp;TRIM(RIGHT(SUBSTITUTE(TRIM(Table1824[[#Headers],[Uraian aaaaa]])," ",REPT(" ",255)),255)),'Un nOTA'!$D$4:$J$1004,3,FALSE),"")</f>
        <v/>
      </c>
      <c r="X19" s="32" t="str">
        <f>IFERROR(VLOOKUP(Table1824[[#This Row],[BKK]]&amp;TRIM(RIGHT(SUBSTITUTE(TRIM(Table1824[[#Headers],[Uraian aaaaaa]])," ",REPT(" ",255)),255)),'Un nOTA'!$D$4:$J$1004,3,FALSE),"")</f>
        <v/>
      </c>
      <c r="Y19" s="32" t="str">
        <f>IFERROR(VLOOKUP(Table1824[[#This Row],[BKK]]&amp;TRIM(RIGHT(SUBSTITUTE(TRIM(Table1824[[#Headers],[Uraian aaaaaaa]])," ",REPT(" ",255)),255)),'Un nOTA'!$D$4:$J$1004,3,FALSE),"")</f>
        <v/>
      </c>
      <c r="Z19" s="32" t="str">
        <f>IFERROR(VLOOKUP(Table1824[[#This Row],[BKK]]&amp;TRIM(RIGHT(SUBSTITUTE(TRIM(Table1824[[#Headers],[Uraian aaaaaaaa]])," ",REPT(" ",255)),255)),'Un nOTA'!$D$4:$J$1004,3,FALSE),"")</f>
        <v/>
      </c>
      <c r="AA19" s="32" t="str">
        <f>IFERROR(VLOOKUP(Table1824[[#This Row],[BKK]]&amp;TRIM(RIGHT(SUBSTITUTE(TRIM(Table1824[[#Headers],[Uraian aaaaaaaaa]])," ",REPT(" ",255)),255)),'Un nOTA'!$D$4:$J$1004,3,FALSE),"")</f>
        <v/>
      </c>
      <c r="AB19" s="32" t="str">
        <f>IFERROR(VLOOKUP(Table1824[[#This Row],[BKK]]&amp;TRIM(RIGHT(SUBSTITUTE(TRIM(Table1824[[#Headers],[Uraian aaaaaaaaaa]])," ",REPT(" ",255)),255)),'Un nOTA'!$D$4:$J$1004,3,FALSE),"")</f>
        <v/>
      </c>
      <c r="AC19" s="32" t="str">
        <f>IFERROR(VLOOKUP(Table1824[[#This Row],[BKK]]&amp;TRIM(RIGHT(SUBSTITUTE(TRIM(Table1824[[#Headers],[Uraian aaaaaaaaaaa]])," ",REPT(" ",255)),255)),'Un nOTA'!$D$4:$J$1004,3,FALSE),"")</f>
        <v/>
      </c>
      <c r="AD19" s="32" t="str">
        <f>IFERROR(VLOOKUP(Table1824[[#This Row],[BKK]]&amp;TRIM(RIGHT(SUBSTITUTE(TRIM(Table1824[[#Headers],[Uraian aaaaaaaaaaaa]])," ",REPT(" ",255)),255)),'Un nOTA'!$D$4:$J$1004,3,FALSE),"")</f>
        <v/>
      </c>
      <c r="AE19" s="8" t="str">
        <f>IFERROR(VLOOKUP(Table1824[[#This Row],[BKK]],'Un nOTA'!$D$4:$J$1004,4,FALSE),"")</f>
        <v/>
      </c>
      <c r="AF19" s="8" t="str">
        <f>IFERROR(VLOOKUP(Table1824[[#This Row],[BKK]]&amp;TRIM(RIGHT(SUBSTITUTE(TRIM(Table1824[[#Headers],[Uraian a]])," ",REPT(" ",255)),255)),'Un nOTA'!$D$4:$J$1004,4,FALSE),"")</f>
        <v/>
      </c>
      <c r="AG19" s="8" t="str">
        <f>IFERROR(VLOOKUP(Table1824[[#This Row],[BKK]]&amp;TRIM(RIGHT(SUBSTITUTE(TRIM(Table1824[[#Headers],[Uraian aa]])," ",REPT(" ",255)),255)),'Un nOTA'!$D$4:$J$1004,4,FALSE),"")</f>
        <v/>
      </c>
      <c r="AH19" s="8" t="str">
        <f>IFERROR(VLOOKUP(Table1824[[#This Row],[BKK]]&amp;TRIM(RIGHT(SUBSTITUTE(TRIM(Table1824[[#Headers],[Uraian aaa]])," ",REPT(" ",255)),255)),'Un nOTA'!$D$4:$J$1004,4,FALSE),"")</f>
        <v/>
      </c>
      <c r="AI19" s="8" t="str">
        <f>IFERROR(VLOOKUP(Table1824[[#This Row],[BKK]]&amp;TRIM(RIGHT(SUBSTITUTE(TRIM(Table1824[[#Headers],[Uraian aaaa]])," ",REPT(" ",255)),255)),'Un nOTA'!$D$4:$J$1004,4,FALSE),"")</f>
        <v/>
      </c>
      <c r="AJ19" s="8" t="str">
        <f>IFERROR(VLOOKUP(Table1824[[#This Row],[BKK]]&amp;TRIM(RIGHT(SUBSTITUTE(TRIM(Table1824[[#Headers],[Uraian aaaaa]])," ",REPT(" ",255)),255)),'Un nOTA'!$D$4:$J$1004,4,FALSE),"")</f>
        <v/>
      </c>
      <c r="AK19" s="8" t="str">
        <f>IFERROR(VLOOKUP(Table1824[[#This Row],[BKK]]&amp;TRIM(RIGHT(SUBSTITUTE(TRIM(Table1824[[#Headers],[Uraian aaaaaa]])," ",REPT(" ",255)),255)),'Un nOTA'!$D$4:$J$1004,4,FALSE),"")</f>
        <v/>
      </c>
      <c r="AL19" s="8" t="str">
        <f>IFERROR(VLOOKUP(Table1824[[#This Row],[BKK]]&amp;TRIM(RIGHT(SUBSTITUTE(TRIM(Table1824[[#Headers],[Uraian aaaaaaa]])," ",REPT(" ",255)),255)),'Un nOTA'!$D$4:$J$1004,4,FALSE),"")</f>
        <v/>
      </c>
      <c r="AM19" s="8" t="str">
        <f>IFERROR(VLOOKUP(Table1824[[#This Row],[BKK]]&amp;TRIM(RIGHT(SUBSTITUTE(TRIM(Table1824[[#Headers],[Uraian aaaaaaaa]])," ",REPT(" ",255)),255)),'Un nOTA'!$D$4:$J$1004,4,FALSE),"")</f>
        <v/>
      </c>
      <c r="AN19" s="8" t="str">
        <f>IFERROR(VLOOKUP(Table1824[[#This Row],[BKK]]&amp;TRIM(RIGHT(SUBSTITUTE(TRIM(Table1824[[#Headers],[Uraian aaaaaaaaa]])," ",REPT(" ",255)),255)),'Un nOTA'!$D$4:$J$1004,4,FALSE),"")</f>
        <v/>
      </c>
      <c r="AO19" s="8" t="str">
        <f>IFERROR(VLOOKUP(Table1824[[#This Row],[BKK]]&amp;TRIM(RIGHT(SUBSTITUTE(TRIM(Table1824[[#Headers],[Uraian aaaaaaaaaa]])," ",REPT(" ",255)),255)),'Un nOTA'!$D$4:$J$1004,4,FALSE),"")</f>
        <v/>
      </c>
      <c r="AP19" s="8" t="str">
        <f>IFERROR(VLOOKUP(Table1824[[#This Row],[BKK]]&amp;TRIM(RIGHT(SUBSTITUTE(TRIM(Table1824[[#Headers],[Uraian aaaaaaaaaaa]])," ",REPT(" ",255)),255)),'Un nOTA'!$D$4:$J$1004,4,FALSE),"")</f>
        <v/>
      </c>
      <c r="AQ19" s="8" t="str">
        <f>IFERROR(VLOOKUP(Table1824[[#This Row],[BKK]]&amp;TRIM(RIGHT(SUBSTITUTE(TRIM(Table1824[[#Headers],[Uraian aaaaaaaaaaaa]])," ",REPT(" ",255)),255)),'Un nOTA'!$D$4:$J$1004,4,FALSE),"")</f>
        <v/>
      </c>
      <c r="AR19" s="8" t="str">
        <f>IFERROR((IFERROR(VLOOKUP(Table1824[[#This Row],[BKK]],'Un nOTA'!$D$4:$J$1004,5,FALSE),""))*(10/11),"")</f>
        <v/>
      </c>
      <c r="AS19" s="8" t="str">
        <f>IFERROR((IFERROR(VLOOKUP(Table1824[[#This Row],[BKK]]&amp;TRIM(RIGHT(SUBSTITUTE(TRIM(Table1824[[#Headers],[Uraian a]])," ",REPT(" ",255)),255)),'Un nOTA'!$D$4:$J$1004,5,FALSE),"")*(10/11)),"")</f>
        <v/>
      </c>
      <c r="AT19" s="8" t="str">
        <f>IFERROR((IFERROR(VLOOKUP(Table1824[[#This Row],[BKK]]&amp;TRIM(RIGHT(SUBSTITUTE(TRIM(Table1824[[#Headers],[Uraian aa]])," ",REPT(" ",255)),255)),'Un nOTA'!$D$4:$J$1004,5,FALSE),"")*(10/11)),"")</f>
        <v/>
      </c>
      <c r="AU19" s="8" t="str">
        <f>IFERROR((IFERROR(VLOOKUP(Table1824[[#This Row],[BKK]]&amp;TRIM(RIGHT(SUBSTITUTE(TRIM(Table1824[[#Headers],[Uraian aaa]])," ",REPT(" ",255)),255)),'Un nOTA'!$D$4:$J$1004,5,FALSE),"")*(10/11)),"")</f>
        <v/>
      </c>
      <c r="AV19" s="8" t="str">
        <f>IFERROR((IFERROR(VLOOKUP(Table1824[[#This Row],[BKK]]&amp;TRIM(RIGHT(SUBSTITUTE(TRIM(Table1824[[#Headers],[Uraian aaaa]])," ",REPT(" ",255)),255)),'Un nOTA'!$D$4:$J$1004,5,FALSE),"")*(10/11)),"")</f>
        <v/>
      </c>
      <c r="AW19" s="8" t="str">
        <f>IFERROR((IFERROR(VLOOKUP(Table1824[[#This Row],[BKK]]&amp;TRIM(RIGHT(SUBSTITUTE(TRIM(Table1824[[#Headers],[Uraian aaaaa]])," ",REPT(" ",255)),255)),'Un nOTA'!$D$4:$J$1004,5,FALSE),"")*(10/11)),"")</f>
        <v/>
      </c>
      <c r="AX19" s="8" t="str">
        <f>IFERROR((IFERROR(VLOOKUP(Table1824[[#This Row],[BKK]]&amp;TRIM(RIGHT(SUBSTITUTE(TRIM(Table1824[[#Headers],[Uraian aaaaaa]])," ",REPT(" ",255)),255)),'Un nOTA'!$D$4:$J$1004,5,FALSE),"")*(10/11)),"")</f>
        <v/>
      </c>
      <c r="AY19" s="8" t="str">
        <f>IFERROR((IFERROR(VLOOKUP(Table1824[[#This Row],[BKK]]&amp;TRIM(RIGHT(SUBSTITUTE(TRIM(Table1824[[#Headers],[Uraian aaaaaaa]])," ",REPT(" ",255)),255)),'Un nOTA'!$D$4:$J$1004,5,FALSE),"")*(10/11)),"")</f>
        <v/>
      </c>
      <c r="AZ19" s="8" t="str">
        <f>IFERROR((IFERROR(VLOOKUP(Table1824[[#This Row],[BKK]]&amp;TRIM(RIGHT(SUBSTITUTE(TRIM(Table1824[[#Headers],[Uraian aaaaaaaa]])," ",REPT(" ",255)),255)),'Un nOTA'!$D$4:$J$1004,5,FALSE),"")*(10/11)),"")</f>
        <v/>
      </c>
      <c r="BA19" s="8" t="str">
        <f>IFERROR((IFERROR(VLOOKUP(Table1824[[#This Row],[BKK]]&amp;TRIM(RIGHT(SUBSTITUTE(TRIM(Table1824[[#Headers],[Uraian aaaaaaaaa]])," ",REPT(" ",255)),255)),'Un nOTA'!$D$4:$J$1004,5,FALSE),"")*(10/11)),"")</f>
        <v/>
      </c>
      <c r="BB19" s="8" t="str">
        <f>IFERROR((IFERROR(VLOOKUP(Table1824[[#This Row],[BKK]]&amp;TRIM(RIGHT(SUBSTITUTE(TRIM(Table1824[[#Headers],[Uraian aaaaaaaaaa]])," ",REPT(" ",255)),255)),'Un nOTA'!$D$4:$J$1004,5,FALSE),"")*(10/11)),"")</f>
        <v/>
      </c>
      <c r="BC19" s="8" t="str">
        <f>IFERROR((IFERROR(VLOOKUP(Table1824[[#This Row],[BKK]]&amp;TRIM(RIGHT(SUBSTITUTE(TRIM(Table1824[[#Headers],[Uraian aaaaaaaaaaa]])," ",REPT(" ",255)),255)),'Un nOTA'!$D$4:$J$1004,5,FALSE),"")*(10/11)),"")</f>
        <v/>
      </c>
      <c r="BD19" s="8" t="str">
        <f>IFERROR((IFERROR(VLOOKUP(Table1824[[#This Row],[BKK]]&amp;TRIM(RIGHT(SUBSTITUTE(TRIM(Table1824[[#Headers],[Uraian aaaaaaaaaaaa]])," ",REPT(" ",255)),255)),'Un nOTA'!$D$4:$J$1004,5,FALSE),"")*(10/11)),"")</f>
        <v/>
      </c>
      <c r="BE19" s="23" t="str">
        <f>IFERROR(ROUNDUP((Table1824[[#This Row],[Qty]]*Table1824[[#This Row],[Hrg St]]),0),"")</f>
        <v/>
      </c>
      <c r="BF19" s="8" t="str">
        <f>IFERROR(ROUNDUP((Table1824[[#This Row],[Qty2]]*Table1824[[#This Row],[Hrg St2]]),0),"")</f>
        <v/>
      </c>
      <c r="BG19" s="8" t="str">
        <f>IFERROR(ROUNDUP((Table1824[[#This Row],[Qty3]]*Table1824[[#This Row],[Hrg St3]]),0),"")</f>
        <v/>
      </c>
      <c r="BH19" s="8" t="str">
        <f>IFERROR(ROUNDUP((Table1824[[#This Row],[Qty4]]*Table1824[[#This Row],[Hrg St4]]),0),"")</f>
        <v/>
      </c>
      <c r="BI19" s="8" t="str">
        <f>IFERROR(ROUNDUP((Table1824[[#This Row],[Qty5]]*Table1824[[#This Row],[Hrg St5]]),0),"")</f>
        <v/>
      </c>
      <c r="BJ19" s="8" t="str">
        <f>IFERROR(ROUNDUP((Table1824[[#This Row],[Qty6]]*Table1824[[#This Row],[Hrg St6]]),0),"")</f>
        <v/>
      </c>
      <c r="BK19" s="8" t="str">
        <f>IFERROR(ROUNDUP((Table1824[[#This Row],[Qty7]]*Table1824[[#This Row],[Hrg St7]]),0),"")</f>
        <v/>
      </c>
      <c r="BL19" s="8" t="str">
        <f>IFERROR(ROUNDUP((Table1824[[#This Row],[Qty8]]*Table1824[[#This Row],[Hrg St8]]),0),"")</f>
        <v/>
      </c>
      <c r="BM19" s="8" t="str">
        <f>IFERROR(ROUNDUP((Table1824[[#This Row],[Qty9]]*Table1824[[#This Row],[Hrg St9]]),0),"")</f>
        <v/>
      </c>
      <c r="BN19" s="8" t="str">
        <f>IFERROR(ROUNDUP((Table1824[[#This Row],[Qty10]]*Table1824[[#This Row],[Hrg St10]]),0),"")</f>
        <v/>
      </c>
      <c r="BO19" s="8" t="str">
        <f>IFERROR(ROUNDUP((Table1824[[#This Row],[Qty11]]*Table1824[[#This Row],[Hrg St11]]),0),"")</f>
        <v/>
      </c>
      <c r="BP19" s="8" t="str">
        <f>IFERROR(ROUNDUP((Table1824[[#This Row],[Qty12]]*Table1824[[#This Row],[Hrg St12]]),0),"")</f>
        <v/>
      </c>
      <c r="BQ19" s="8" t="str">
        <f>IFERROR(ROUNDUP((Table1824[[#This Row],[Qty13]]*Table1824[[#This Row],[Hrg St13]]),0),"")</f>
        <v/>
      </c>
      <c r="BR19" s="23" t="str">
        <f>IF(Table1824[[#This Row],[BKK]]&gt;" ",IFERROR(ROUNDUP((SUM(Table1824[[#This Row],[Jml]:[Jml13]])),0)," ")," ")</f>
        <v xml:space="preserve"> </v>
      </c>
      <c r="BS19" s="23" t="str">
        <f>IF(Table1824[[#This Row],[BKK]]&gt;" ",ROUND((Table1824[[#This Row],[Total]]*0.1),0)," ")</f>
        <v xml:space="preserve"> </v>
      </c>
      <c r="BT19" s="23" t="str">
        <f>IF(Table1824[[#This Row],[BKK]]&gt;" ",(Table1824[[#This Row],[Total]]+Table1824[[#This Row],[PPN]])," ")</f>
        <v xml:space="preserve"> </v>
      </c>
      <c r="BU19" t="s">
        <v>454</v>
      </c>
      <c r="BV19" t="str">
        <f>IF(Table1824[[#This Row],[BKK]]&gt;" ",("INV/AK-MLG/2019/"&amp;'BKU 1'!$E$1&amp;"/"&amp;Table1824[[#This Row],[BKK]]&amp;"/"&amp;'BKU 1'!$E$1&amp;ROW())," ")</f>
        <v xml:space="preserve"> </v>
      </c>
      <c r="BW19" t="str">
        <f>IF(Table1824[[#This Row],[BKK]]&gt;" ",(TEXT(VLOOKUP(Table1824[[#This Row],[BKK]],COPY!$O$2:$U$1000,7,FALSE),"dd mmmm yyyy"))," ")</f>
        <v xml:space="preserve"> </v>
      </c>
      <c r="BX19" t="str">
        <f>IF(Table1824[[#This Row],[BKK]]&gt;" ",(TEXT((Table1824[[#This Row],[Tanggal Kirim]]+30),"dd mmmm yyyy"))," ")</f>
        <v xml:space="preserve"> </v>
      </c>
      <c r="BY19" t="str">
        <f>IF(Table1824[[#This Row],[BKK]]&gt;" ",'BKU 1'!$E$17," ")</f>
        <v xml:space="preserve"> </v>
      </c>
    </row>
    <row r="20" spans="1:77" hidden="1" x14ac:dyDescent="0.25">
      <c r="A20" t="str">
        <f>IFERROR((IF('Laporan ppn'!G6807&gt;0,VLOOKUP('Laporan ppn'!G6807,'Laporan ppn'!$E$10:$F$6785,2,FALSE),"")),"")</f>
        <v xml:space="preserve"> </v>
      </c>
      <c r="B20" t="str">
        <f>IF(Table1824[[#This Row],[BKK]]=" "," ",'BKU 1'!$D$25)</f>
        <v xml:space="preserve"> </v>
      </c>
      <c r="C20" t="str">
        <f>IF(Table1824[[#This Row],[BKK]]=" "," ",'BKU 1'!$D$26)</f>
        <v xml:space="preserve"> </v>
      </c>
      <c r="D20" t="str">
        <f>IF(Table1824[[#This Row],[BKK]]=" "," ",'BKU 1'!$I$25)</f>
        <v xml:space="preserve"> </v>
      </c>
      <c r="E20" t="str">
        <f>IFERROR(VLOOKUP(Table1824[[#This Row],[BKK]],'Un nOTA'!$D$4:$J$1004,2,FALSE),"")</f>
        <v/>
      </c>
      <c r="F20" t="str">
        <f>IFERROR(VLOOKUP(Table1824[[#This Row],[BKK]]&amp;TRIM(RIGHT(SUBSTITUTE(TRIM(Table1824[[#Headers],[Uraian a]])," ",REPT(" ",255)),255)),'Un nOTA'!$D$4:$J$1004,2,FALSE),"")</f>
        <v/>
      </c>
      <c r="G20" t="str">
        <f>IFERROR(VLOOKUP(Table1824[[#This Row],[BKK]]&amp;TRIM(RIGHT(SUBSTITUTE(TRIM(Table1824[[#Headers],[Uraian aa]])," ",REPT(" ",255)),255)),'Un nOTA'!$D$4:$J$1004,2,FALSE),"")</f>
        <v/>
      </c>
      <c r="H20" t="str">
        <f>IFERROR(VLOOKUP(Table1824[[#This Row],[BKK]]&amp;TRIM(RIGHT(SUBSTITUTE(TRIM(Table1824[[#Headers],[Uraian aaa]])," ",REPT(" ",255)),255)),'Un nOTA'!$D$4:$J$1004,2,FALSE),"")</f>
        <v/>
      </c>
      <c r="I20" t="str">
        <f>IFERROR(VLOOKUP(Table1824[[#This Row],[BKK]]&amp;TRIM(RIGHT(SUBSTITUTE(TRIM(Table1824[[#Headers],[Uraian aaaa]])," ",REPT(" ",255)),255)),'Un nOTA'!$D$4:$J$1004,2,FALSE),"")</f>
        <v/>
      </c>
      <c r="J20" t="str">
        <f>IFERROR(VLOOKUP(Table1824[[#This Row],[BKK]]&amp;TRIM(RIGHT(SUBSTITUTE(TRIM(Table1824[[#Headers],[Uraian aaaaa]])," ",REPT(" ",255)),255)),'Un nOTA'!$D$4:$J$1004,2,FALSE),"")</f>
        <v/>
      </c>
      <c r="K20" t="str">
        <f>IFERROR(VLOOKUP(Table1824[[#This Row],[BKK]]&amp;TRIM(RIGHT(SUBSTITUTE(TRIM(Table1824[[#Headers],[Uraian aaaaaa]])," ",REPT(" ",255)),255)),'Un nOTA'!$D$4:$J$1004,2,FALSE),"")</f>
        <v/>
      </c>
      <c r="L20" t="str">
        <f>IFERROR(VLOOKUP(Table1824[[#This Row],[BKK]]&amp;TRIM(RIGHT(SUBSTITUTE(TRIM(Table1824[[#Headers],[Uraian aaaaaaa]])," ",REPT(" ",255)),255)),'Un nOTA'!$D$4:$J$1004,2,FALSE),"")</f>
        <v/>
      </c>
      <c r="M20" t="str">
        <f>IFERROR(VLOOKUP(Table1824[[#This Row],[BKK]]&amp;TRIM(RIGHT(SUBSTITUTE(TRIM(Table1824[[#Headers],[Uraian aaaaaaaa]])," ",REPT(" ",255)),255)),'Un nOTA'!$D$4:$J$1004,2,FALSE),"")</f>
        <v/>
      </c>
      <c r="N20" t="str">
        <f>IFERROR(VLOOKUP(Table1824[[#This Row],[BKK]]&amp;TRIM(RIGHT(SUBSTITUTE(TRIM(Table1824[[#Headers],[Uraian aaaaaaaaa]])," ",REPT(" ",255)),255)),'Un nOTA'!$D$4:$J$1004,2,FALSE),"")</f>
        <v/>
      </c>
      <c r="O20" t="str">
        <f>IFERROR(VLOOKUP(Table1824[[#This Row],[BKK]]&amp;TRIM(RIGHT(SUBSTITUTE(TRIM(Table1824[[#Headers],[Uraian aaaaaaaaaa]])," ",REPT(" ",255)),255)),'Un nOTA'!$D$4:$J$1004,2,FALSE),"")</f>
        <v/>
      </c>
      <c r="P20" t="str">
        <f>IFERROR(VLOOKUP(Table1824[[#This Row],[BKK]]&amp;TRIM(RIGHT(SUBSTITUTE(TRIM(Table1824[[#Headers],[Uraian aaaaaaaaaaa]])," ",REPT(" ",255)),255)),'Un nOTA'!$D$4:$J$1004,2,FALSE),"")</f>
        <v/>
      </c>
      <c r="Q20" t="str">
        <f>IFERROR(VLOOKUP(Table1824[[#This Row],[BKK]]&amp;TRIM(RIGHT(SUBSTITUTE(TRIM(Table1824[[#Headers],[Uraian aaaaaaaaaaaa]])," ",REPT(" ",255)),255)),'Un nOTA'!$D$4:$J$1004,2,FALSE),"")</f>
        <v/>
      </c>
      <c r="R20" s="32" t="str">
        <f>IFERROR(VLOOKUP(Table1824[[#This Row],[BKK]],'Un nOTA'!$D$4:$J$1004,3,FALSE),"")</f>
        <v/>
      </c>
      <c r="S20" s="32" t="str">
        <f>IFERROR(VLOOKUP(Table1824[[#This Row],[BKK]]&amp;TRIM(RIGHT(SUBSTITUTE(TRIM(Table1824[[#Headers],[Uraian a]])," ",REPT(" ",255)),255)),'Un nOTA'!$D$4:$J$1004,3,FALSE),"")</f>
        <v/>
      </c>
      <c r="T20" s="32" t="str">
        <f>IFERROR(VLOOKUP(Table1824[[#This Row],[BKK]]&amp;TRIM(RIGHT(SUBSTITUTE(TRIM(Table1824[[#Headers],[Uraian aa]])," ",REPT(" ",255)),255)),'Un nOTA'!$D$4:$J$1004,3,FALSE),"")</f>
        <v/>
      </c>
      <c r="U20" s="32" t="str">
        <f>IFERROR(VLOOKUP(Table1824[[#This Row],[BKK]]&amp;TRIM(RIGHT(SUBSTITUTE(TRIM(Table1824[[#Headers],[Uraian aaa]])," ",REPT(" ",255)),255)),'Un nOTA'!$D$4:$J$1004,3,FALSE),"")</f>
        <v/>
      </c>
      <c r="V20" s="32" t="str">
        <f>IFERROR(VLOOKUP(Table1824[[#This Row],[BKK]]&amp;TRIM(RIGHT(SUBSTITUTE(TRIM(Table1824[[#Headers],[Uraian aaaa]])," ",REPT(" ",255)),255)),'Un nOTA'!$D$4:$J$1004,3,FALSE),"")</f>
        <v/>
      </c>
      <c r="W20" s="32" t="str">
        <f>IFERROR(VLOOKUP(Table1824[[#This Row],[BKK]]&amp;TRIM(RIGHT(SUBSTITUTE(TRIM(Table1824[[#Headers],[Uraian aaaaa]])," ",REPT(" ",255)),255)),'Un nOTA'!$D$4:$J$1004,3,FALSE),"")</f>
        <v/>
      </c>
      <c r="X20" s="32" t="str">
        <f>IFERROR(VLOOKUP(Table1824[[#This Row],[BKK]]&amp;TRIM(RIGHT(SUBSTITUTE(TRIM(Table1824[[#Headers],[Uraian aaaaaa]])," ",REPT(" ",255)),255)),'Un nOTA'!$D$4:$J$1004,3,FALSE),"")</f>
        <v/>
      </c>
      <c r="Y20" s="32" t="str">
        <f>IFERROR(VLOOKUP(Table1824[[#This Row],[BKK]]&amp;TRIM(RIGHT(SUBSTITUTE(TRIM(Table1824[[#Headers],[Uraian aaaaaaa]])," ",REPT(" ",255)),255)),'Un nOTA'!$D$4:$J$1004,3,FALSE),"")</f>
        <v/>
      </c>
      <c r="Z20" s="32" t="str">
        <f>IFERROR(VLOOKUP(Table1824[[#This Row],[BKK]]&amp;TRIM(RIGHT(SUBSTITUTE(TRIM(Table1824[[#Headers],[Uraian aaaaaaaa]])," ",REPT(" ",255)),255)),'Un nOTA'!$D$4:$J$1004,3,FALSE),"")</f>
        <v/>
      </c>
      <c r="AA20" s="32" t="str">
        <f>IFERROR(VLOOKUP(Table1824[[#This Row],[BKK]]&amp;TRIM(RIGHT(SUBSTITUTE(TRIM(Table1824[[#Headers],[Uraian aaaaaaaaa]])," ",REPT(" ",255)),255)),'Un nOTA'!$D$4:$J$1004,3,FALSE),"")</f>
        <v/>
      </c>
      <c r="AB20" s="32" t="str">
        <f>IFERROR(VLOOKUP(Table1824[[#This Row],[BKK]]&amp;TRIM(RIGHT(SUBSTITUTE(TRIM(Table1824[[#Headers],[Uraian aaaaaaaaaa]])," ",REPT(" ",255)),255)),'Un nOTA'!$D$4:$J$1004,3,FALSE),"")</f>
        <v/>
      </c>
      <c r="AC20" s="32" t="str">
        <f>IFERROR(VLOOKUP(Table1824[[#This Row],[BKK]]&amp;TRIM(RIGHT(SUBSTITUTE(TRIM(Table1824[[#Headers],[Uraian aaaaaaaaaaa]])," ",REPT(" ",255)),255)),'Un nOTA'!$D$4:$J$1004,3,FALSE),"")</f>
        <v/>
      </c>
      <c r="AD20" s="32" t="str">
        <f>IFERROR(VLOOKUP(Table1824[[#This Row],[BKK]]&amp;TRIM(RIGHT(SUBSTITUTE(TRIM(Table1824[[#Headers],[Uraian aaaaaaaaaaaa]])," ",REPT(" ",255)),255)),'Un nOTA'!$D$4:$J$1004,3,FALSE),"")</f>
        <v/>
      </c>
      <c r="AE20" s="8" t="str">
        <f>IFERROR(VLOOKUP(Table1824[[#This Row],[BKK]],'Un nOTA'!$D$4:$J$1004,4,FALSE),"")</f>
        <v/>
      </c>
      <c r="AF20" s="8" t="str">
        <f>IFERROR(VLOOKUP(Table1824[[#This Row],[BKK]]&amp;TRIM(RIGHT(SUBSTITUTE(TRIM(Table1824[[#Headers],[Uraian a]])," ",REPT(" ",255)),255)),'Un nOTA'!$D$4:$J$1004,4,FALSE),"")</f>
        <v/>
      </c>
      <c r="AG20" s="8" t="str">
        <f>IFERROR(VLOOKUP(Table1824[[#This Row],[BKK]]&amp;TRIM(RIGHT(SUBSTITUTE(TRIM(Table1824[[#Headers],[Uraian aa]])," ",REPT(" ",255)),255)),'Un nOTA'!$D$4:$J$1004,4,FALSE),"")</f>
        <v/>
      </c>
      <c r="AH20" s="8" t="str">
        <f>IFERROR(VLOOKUP(Table1824[[#This Row],[BKK]]&amp;TRIM(RIGHT(SUBSTITUTE(TRIM(Table1824[[#Headers],[Uraian aaa]])," ",REPT(" ",255)),255)),'Un nOTA'!$D$4:$J$1004,4,FALSE),"")</f>
        <v/>
      </c>
      <c r="AI20" s="8" t="str">
        <f>IFERROR(VLOOKUP(Table1824[[#This Row],[BKK]]&amp;TRIM(RIGHT(SUBSTITUTE(TRIM(Table1824[[#Headers],[Uraian aaaa]])," ",REPT(" ",255)),255)),'Un nOTA'!$D$4:$J$1004,4,FALSE),"")</f>
        <v/>
      </c>
      <c r="AJ20" s="8" t="str">
        <f>IFERROR(VLOOKUP(Table1824[[#This Row],[BKK]]&amp;TRIM(RIGHT(SUBSTITUTE(TRIM(Table1824[[#Headers],[Uraian aaaaa]])," ",REPT(" ",255)),255)),'Un nOTA'!$D$4:$J$1004,4,FALSE),"")</f>
        <v/>
      </c>
      <c r="AK20" s="8" t="str">
        <f>IFERROR(VLOOKUP(Table1824[[#This Row],[BKK]]&amp;TRIM(RIGHT(SUBSTITUTE(TRIM(Table1824[[#Headers],[Uraian aaaaaa]])," ",REPT(" ",255)),255)),'Un nOTA'!$D$4:$J$1004,4,FALSE),"")</f>
        <v/>
      </c>
      <c r="AL20" s="8" t="str">
        <f>IFERROR(VLOOKUP(Table1824[[#This Row],[BKK]]&amp;TRIM(RIGHT(SUBSTITUTE(TRIM(Table1824[[#Headers],[Uraian aaaaaaa]])," ",REPT(" ",255)),255)),'Un nOTA'!$D$4:$J$1004,4,FALSE),"")</f>
        <v/>
      </c>
      <c r="AM20" s="8" t="str">
        <f>IFERROR(VLOOKUP(Table1824[[#This Row],[BKK]]&amp;TRIM(RIGHT(SUBSTITUTE(TRIM(Table1824[[#Headers],[Uraian aaaaaaaa]])," ",REPT(" ",255)),255)),'Un nOTA'!$D$4:$J$1004,4,FALSE),"")</f>
        <v/>
      </c>
      <c r="AN20" s="8" t="str">
        <f>IFERROR(VLOOKUP(Table1824[[#This Row],[BKK]]&amp;TRIM(RIGHT(SUBSTITUTE(TRIM(Table1824[[#Headers],[Uraian aaaaaaaaa]])," ",REPT(" ",255)),255)),'Un nOTA'!$D$4:$J$1004,4,FALSE),"")</f>
        <v/>
      </c>
      <c r="AO20" s="8" t="str">
        <f>IFERROR(VLOOKUP(Table1824[[#This Row],[BKK]]&amp;TRIM(RIGHT(SUBSTITUTE(TRIM(Table1824[[#Headers],[Uraian aaaaaaaaaa]])," ",REPT(" ",255)),255)),'Un nOTA'!$D$4:$J$1004,4,FALSE),"")</f>
        <v/>
      </c>
      <c r="AP20" s="8" t="str">
        <f>IFERROR(VLOOKUP(Table1824[[#This Row],[BKK]]&amp;TRIM(RIGHT(SUBSTITUTE(TRIM(Table1824[[#Headers],[Uraian aaaaaaaaaaa]])," ",REPT(" ",255)),255)),'Un nOTA'!$D$4:$J$1004,4,FALSE),"")</f>
        <v/>
      </c>
      <c r="AQ20" s="8" t="str">
        <f>IFERROR(VLOOKUP(Table1824[[#This Row],[BKK]]&amp;TRIM(RIGHT(SUBSTITUTE(TRIM(Table1824[[#Headers],[Uraian aaaaaaaaaaaa]])," ",REPT(" ",255)),255)),'Un nOTA'!$D$4:$J$1004,4,FALSE),"")</f>
        <v/>
      </c>
      <c r="AR20" s="8" t="str">
        <f>IFERROR((IFERROR(VLOOKUP(Table1824[[#This Row],[BKK]],'Un nOTA'!$D$4:$J$1004,5,FALSE),""))*(10/11),"")</f>
        <v/>
      </c>
      <c r="AS20" s="8" t="str">
        <f>IFERROR((IFERROR(VLOOKUP(Table1824[[#This Row],[BKK]]&amp;TRIM(RIGHT(SUBSTITUTE(TRIM(Table1824[[#Headers],[Uraian a]])," ",REPT(" ",255)),255)),'Un nOTA'!$D$4:$J$1004,5,FALSE),"")*(10/11)),"")</f>
        <v/>
      </c>
      <c r="AT20" s="8" t="str">
        <f>IFERROR((IFERROR(VLOOKUP(Table1824[[#This Row],[BKK]]&amp;TRIM(RIGHT(SUBSTITUTE(TRIM(Table1824[[#Headers],[Uraian aa]])," ",REPT(" ",255)),255)),'Un nOTA'!$D$4:$J$1004,5,FALSE),"")*(10/11)),"")</f>
        <v/>
      </c>
      <c r="AU20" s="8" t="str">
        <f>IFERROR((IFERROR(VLOOKUP(Table1824[[#This Row],[BKK]]&amp;TRIM(RIGHT(SUBSTITUTE(TRIM(Table1824[[#Headers],[Uraian aaa]])," ",REPT(" ",255)),255)),'Un nOTA'!$D$4:$J$1004,5,FALSE),"")*(10/11)),"")</f>
        <v/>
      </c>
      <c r="AV20" s="8" t="str">
        <f>IFERROR((IFERROR(VLOOKUP(Table1824[[#This Row],[BKK]]&amp;TRIM(RIGHT(SUBSTITUTE(TRIM(Table1824[[#Headers],[Uraian aaaa]])," ",REPT(" ",255)),255)),'Un nOTA'!$D$4:$J$1004,5,FALSE),"")*(10/11)),"")</f>
        <v/>
      </c>
      <c r="AW20" s="8" t="str">
        <f>IFERROR((IFERROR(VLOOKUP(Table1824[[#This Row],[BKK]]&amp;TRIM(RIGHT(SUBSTITUTE(TRIM(Table1824[[#Headers],[Uraian aaaaa]])," ",REPT(" ",255)),255)),'Un nOTA'!$D$4:$J$1004,5,FALSE),"")*(10/11)),"")</f>
        <v/>
      </c>
      <c r="AX20" s="8" t="str">
        <f>IFERROR((IFERROR(VLOOKUP(Table1824[[#This Row],[BKK]]&amp;TRIM(RIGHT(SUBSTITUTE(TRIM(Table1824[[#Headers],[Uraian aaaaaa]])," ",REPT(" ",255)),255)),'Un nOTA'!$D$4:$J$1004,5,FALSE),"")*(10/11)),"")</f>
        <v/>
      </c>
      <c r="AY20" s="8" t="str">
        <f>IFERROR((IFERROR(VLOOKUP(Table1824[[#This Row],[BKK]]&amp;TRIM(RIGHT(SUBSTITUTE(TRIM(Table1824[[#Headers],[Uraian aaaaaaa]])," ",REPT(" ",255)),255)),'Un nOTA'!$D$4:$J$1004,5,FALSE),"")*(10/11)),"")</f>
        <v/>
      </c>
      <c r="AZ20" s="8" t="str">
        <f>IFERROR((IFERROR(VLOOKUP(Table1824[[#This Row],[BKK]]&amp;TRIM(RIGHT(SUBSTITUTE(TRIM(Table1824[[#Headers],[Uraian aaaaaaaa]])," ",REPT(" ",255)),255)),'Un nOTA'!$D$4:$J$1004,5,FALSE),"")*(10/11)),"")</f>
        <v/>
      </c>
      <c r="BA20" s="8" t="str">
        <f>IFERROR((IFERROR(VLOOKUP(Table1824[[#This Row],[BKK]]&amp;TRIM(RIGHT(SUBSTITUTE(TRIM(Table1824[[#Headers],[Uraian aaaaaaaaa]])," ",REPT(" ",255)),255)),'Un nOTA'!$D$4:$J$1004,5,FALSE),"")*(10/11)),"")</f>
        <v/>
      </c>
      <c r="BB20" s="8" t="str">
        <f>IFERROR((IFERROR(VLOOKUP(Table1824[[#This Row],[BKK]]&amp;TRIM(RIGHT(SUBSTITUTE(TRIM(Table1824[[#Headers],[Uraian aaaaaaaaaa]])," ",REPT(" ",255)),255)),'Un nOTA'!$D$4:$J$1004,5,FALSE),"")*(10/11)),"")</f>
        <v/>
      </c>
      <c r="BC20" s="8" t="str">
        <f>IFERROR((IFERROR(VLOOKUP(Table1824[[#This Row],[BKK]]&amp;TRIM(RIGHT(SUBSTITUTE(TRIM(Table1824[[#Headers],[Uraian aaaaaaaaaaa]])," ",REPT(" ",255)),255)),'Un nOTA'!$D$4:$J$1004,5,FALSE),"")*(10/11)),"")</f>
        <v/>
      </c>
      <c r="BD20" s="8" t="str">
        <f>IFERROR((IFERROR(VLOOKUP(Table1824[[#This Row],[BKK]]&amp;TRIM(RIGHT(SUBSTITUTE(TRIM(Table1824[[#Headers],[Uraian aaaaaaaaaaaa]])," ",REPT(" ",255)),255)),'Un nOTA'!$D$4:$J$1004,5,FALSE),"")*(10/11)),"")</f>
        <v/>
      </c>
      <c r="BE20" s="23" t="str">
        <f>IFERROR(ROUNDUP((Table1824[[#This Row],[Qty]]*Table1824[[#This Row],[Hrg St]]),0),"")</f>
        <v/>
      </c>
      <c r="BF20" s="8" t="str">
        <f>IFERROR(ROUNDUP((Table1824[[#This Row],[Qty2]]*Table1824[[#This Row],[Hrg St2]]),0),"")</f>
        <v/>
      </c>
      <c r="BG20" s="8" t="str">
        <f>IFERROR(ROUNDUP((Table1824[[#This Row],[Qty3]]*Table1824[[#This Row],[Hrg St3]]),0),"")</f>
        <v/>
      </c>
      <c r="BH20" s="8" t="str">
        <f>IFERROR(ROUNDUP((Table1824[[#This Row],[Qty4]]*Table1824[[#This Row],[Hrg St4]]),0),"")</f>
        <v/>
      </c>
      <c r="BI20" s="8" t="str">
        <f>IFERROR(ROUNDUP((Table1824[[#This Row],[Qty5]]*Table1824[[#This Row],[Hrg St5]]),0),"")</f>
        <v/>
      </c>
      <c r="BJ20" s="8" t="str">
        <f>IFERROR(ROUNDUP((Table1824[[#This Row],[Qty6]]*Table1824[[#This Row],[Hrg St6]]),0),"")</f>
        <v/>
      </c>
      <c r="BK20" s="8" t="str">
        <f>IFERROR(ROUNDUP((Table1824[[#This Row],[Qty7]]*Table1824[[#This Row],[Hrg St7]]),0),"")</f>
        <v/>
      </c>
      <c r="BL20" s="8" t="str">
        <f>IFERROR(ROUNDUP((Table1824[[#This Row],[Qty8]]*Table1824[[#This Row],[Hrg St8]]),0),"")</f>
        <v/>
      </c>
      <c r="BM20" s="8" t="str">
        <f>IFERROR(ROUNDUP((Table1824[[#This Row],[Qty9]]*Table1824[[#This Row],[Hrg St9]]),0),"")</f>
        <v/>
      </c>
      <c r="BN20" s="8" t="str">
        <f>IFERROR(ROUNDUP((Table1824[[#This Row],[Qty10]]*Table1824[[#This Row],[Hrg St10]]),0),"")</f>
        <v/>
      </c>
      <c r="BO20" s="8" t="str">
        <f>IFERROR(ROUNDUP((Table1824[[#This Row],[Qty11]]*Table1824[[#This Row],[Hrg St11]]),0),"")</f>
        <v/>
      </c>
      <c r="BP20" s="8" t="str">
        <f>IFERROR(ROUNDUP((Table1824[[#This Row],[Qty12]]*Table1824[[#This Row],[Hrg St12]]),0),"")</f>
        <v/>
      </c>
      <c r="BQ20" s="8" t="str">
        <f>IFERROR(ROUNDUP((Table1824[[#This Row],[Qty13]]*Table1824[[#This Row],[Hrg St13]]),0),"")</f>
        <v/>
      </c>
      <c r="BR20" s="23" t="str">
        <f>IF(Table1824[[#This Row],[BKK]]&gt;" ",IFERROR(ROUNDUP((SUM(Table1824[[#This Row],[Jml]:[Jml13]])),0)," ")," ")</f>
        <v xml:space="preserve"> </v>
      </c>
      <c r="BS20" s="23" t="str">
        <f>IF(Table1824[[#This Row],[BKK]]&gt;" ",ROUND((Table1824[[#This Row],[Total]]*0.1),0)," ")</f>
        <v xml:space="preserve"> </v>
      </c>
      <c r="BT20" s="23" t="str">
        <f>IF(Table1824[[#This Row],[BKK]]&gt;" ",(Table1824[[#This Row],[Total]]+Table1824[[#This Row],[PPN]])," ")</f>
        <v xml:space="preserve"> </v>
      </c>
      <c r="BU20" t="s">
        <v>454</v>
      </c>
      <c r="BV20" t="str">
        <f>IF(Table1824[[#This Row],[BKK]]&gt;" ",("INV/AK-MLG/2019/"&amp;'BKU 1'!$E$1&amp;"/"&amp;Table1824[[#This Row],[BKK]]&amp;"/"&amp;'BKU 1'!$E$1&amp;ROW())," ")</f>
        <v xml:space="preserve"> </v>
      </c>
      <c r="BW20" t="str">
        <f>IF(Table1824[[#This Row],[BKK]]&gt;" ",(TEXT(VLOOKUP(Table1824[[#This Row],[BKK]],COPY!$O$2:$U$1000,7,FALSE),"dd mmmm yyyy"))," ")</f>
        <v xml:space="preserve"> </v>
      </c>
      <c r="BX20" t="str">
        <f>IF(Table1824[[#This Row],[BKK]]&gt;" ",(TEXT((Table1824[[#This Row],[Tanggal Kirim]]+30),"dd mmmm yyyy"))," ")</f>
        <v xml:space="preserve"> </v>
      </c>
      <c r="BY20" t="str">
        <f>IF(Table1824[[#This Row],[BKK]]&gt;" ",'BKU 1'!$E$17," ")</f>
        <v xml:space="preserve"> </v>
      </c>
    </row>
    <row r="21" spans="1:77" hidden="1" x14ac:dyDescent="0.25">
      <c r="A21" t="str">
        <f>IFERROR((IF('Laporan ppn'!G6808&gt;0,VLOOKUP('Laporan ppn'!G6808,'Laporan ppn'!$E$10:$F$6785,2,FALSE),"")),"")</f>
        <v xml:space="preserve"> </v>
      </c>
      <c r="B21" t="str">
        <f>IF(Table1824[[#This Row],[BKK]]=" "," ",'BKU 1'!$D$25)</f>
        <v xml:space="preserve"> </v>
      </c>
      <c r="C21" t="str">
        <f>IF(Table1824[[#This Row],[BKK]]=" "," ",'BKU 1'!$D$26)</f>
        <v xml:space="preserve"> </v>
      </c>
      <c r="D21" t="str">
        <f>IF(Table1824[[#This Row],[BKK]]=" "," ",'BKU 1'!$I$25)</f>
        <v xml:space="preserve"> </v>
      </c>
      <c r="E21" t="str">
        <f>IFERROR(VLOOKUP(Table1824[[#This Row],[BKK]],'Un nOTA'!$D$4:$J$1004,2,FALSE),"")</f>
        <v/>
      </c>
      <c r="F21" t="str">
        <f>IFERROR(VLOOKUP(Table1824[[#This Row],[BKK]]&amp;TRIM(RIGHT(SUBSTITUTE(TRIM(Table1824[[#Headers],[Uraian a]])," ",REPT(" ",255)),255)),'Un nOTA'!$D$4:$J$1004,2,FALSE),"")</f>
        <v/>
      </c>
      <c r="G21" t="str">
        <f>IFERROR(VLOOKUP(Table1824[[#This Row],[BKK]]&amp;TRIM(RIGHT(SUBSTITUTE(TRIM(Table1824[[#Headers],[Uraian aa]])," ",REPT(" ",255)),255)),'Un nOTA'!$D$4:$J$1004,2,FALSE),"")</f>
        <v/>
      </c>
      <c r="H21" t="str">
        <f>IFERROR(VLOOKUP(Table1824[[#This Row],[BKK]]&amp;TRIM(RIGHT(SUBSTITUTE(TRIM(Table1824[[#Headers],[Uraian aaa]])," ",REPT(" ",255)),255)),'Un nOTA'!$D$4:$J$1004,2,FALSE),"")</f>
        <v/>
      </c>
      <c r="I21" t="str">
        <f>IFERROR(VLOOKUP(Table1824[[#This Row],[BKK]]&amp;TRIM(RIGHT(SUBSTITUTE(TRIM(Table1824[[#Headers],[Uraian aaaa]])," ",REPT(" ",255)),255)),'Un nOTA'!$D$4:$J$1004,2,FALSE),"")</f>
        <v/>
      </c>
      <c r="J21" t="str">
        <f>IFERROR(VLOOKUP(Table1824[[#This Row],[BKK]]&amp;TRIM(RIGHT(SUBSTITUTE(TRIM(Table1824[[#Headers],[Uraian aaaaa]])," ",REPT(" ",255)),255)),'Un nOTA'!$D$4:$J$1004,2,FALSE),"")</f>
        <v/>
      </c>
      <c r="K21" t="str">
        <f>IFERROR(VLOOKUP(Table1824[[#This Row],[BKK]]&amp;TRIM(RIGHT(SUBSTITUTE(TRIM(Table1824[[#Headers],[Uraian aaaaaa]])," ",REPT(" ",255)),255)),'Un nOTA'!$D$4:$J$1004,2,FALSE),"")</f>
        <v/>
      </c>
      <c r="L21" t="str">
        <f>IFERROR(VLOOKUP(Table1824[[#This Row],[BKK]]&amp;TRIM(RIGHT(SUBSTITUTE(TRIM(Table1824[[#Headers],[Uraian aaaaaaa]])," ",REPT(" ",255)),255)),'Un nOTA'!$D$4:$J$1004,2,FALSE),"")</f>
        <v/>
      </c>
      <c r="M21" t="str">
        <f>IFERROR(VLOOKUP(Table1824[[#This Row],[BKK]]&amp;TRIM(RIGHT(SUBSTITUTE(TRIM(Table1824[[#Headers],[Uraian aaaaaaaa]])," ",REPT(" ",255)),255)),'Un nOTA'!$D$4:$J$1004,2,FALSE),"")</f>
        <v/>
      </c>
      <c r="N21" t="str">
        <f>IFERROR(VLOOKUP(Table1824[[#This Row],[BKK]]&amp;TRIM(RIGHT(SUBSTITUTE(TRIM(Table1824[[#Headers],[Uraian aaaaaaaaa]])," ",REPT(" ",255)),255)),'Un nOTA'!$D$4:$J$1004,2,FALSE),"")</f>
        <v/>
      </c>
      <c r="O21" t="str">
        <f>IFERROR(VLOOKUP(Table1824[[#This Row],[BKK]]&amp;TRIM(RIGHT(SUBSTITUTE(TRIM(Table1824[[#Headers],[Uraian aaaaaaaaaa]])," ",REPT(" ",255)),255)),'Un nOTA'!$D$4:$J$1004,2,FALSE),"")</f>
        <v/>
      </c>
      <c r="P21" t="str">
        <f>IFERROR(VLOOKUP(Table1824[[#This Row],[BKK]]&amp;TRIM(RIGHT(SUBSTITUTE(TRIM(Table1824[[#Headers],[Uraian aaaaaaaaaaa]])," ",REPT(" ",255)),255)),'Un nOTA'!$D$4:$J$1004,2,FALSE),"")</f>
        <v/>
      </c>
      <c r="Q21" t="str">
        <f>IFERROR(VLOOKUP(Table1824[[#This Row],[BKK]]&amp;TRIM(RIGHT(SUBSTITUTE(TRIM(Table1824[[#Headers],[Uraian aaaaaaaaaaaa]])," ",REPT(" ",255)),255)),'Un nOTA'!$D$4:$J$1004,2,FALSE),"")</f>
        <v/>
      </c>
      <c r="R21" s="32" t="str">
        <f>IFERROR(VLOOKUP(Table1824[[#This Row],[BKK]],'Un nOTA'!$D$4:$J$1004,3,FALSE),"")</f>
        <v/>
      </c>
      <c r="S21" s="32" t="str">
        <f>IFERROR(VLOOKUP(Table1824[[#This Row],[BKK]]&amp;TRIM(RIGHT(SUBSTITUTE(TRIM(Table1824[[#Headers],[Uraian a]])," ",REPT(" ",255)),255)),'Un nOTA'!$D$4:$J$1004,3,FALSE),"")</f>
        <v/>
      </c>
      <c r="T21" s="32" t="str">
        <f>IFERROR(VLOOKUP(Table1824[[#This Row],[BKK]]&amp;TRIM(RIGHT(SUBSTITUTE(TRIM(Table1824[[#Headers],[Uraian aa]])," ",REPT(" ",255)),255)),'Un nOTA'!$D$4:$J$1004,3,FALSE),"")</f>
        <v/>
      </c>
      <c r="U21" s="32" t="str">
        <f>IFERROR(VLOOKUP(Table1824[[#This Row],[BKK]]&amp;TRIM(RIGHT(SUBSTITUTE(TRIM(Table1824[[#Headers],[Uraian aaa]])," ",REPT(" ",255)),255)),'Un nOTA'!$D$4:$J$1004,3,FALSE),"")</f>
        <v/>
      </c>
      <c r="V21" s="32" t="str">
        <f>IFERROR(VLOOKUP(Table1824[[#This Row],[BKK]]&amp;TRIM(RIGHT(SUBSTITUTE(TRIM(Table1824[[#Headers],[Uraian aaaa]])," ",REPT(" ",255)),255)),'Un nOTA'!$D$4:$J$1004,3,FALSE),"")</f>
        <v/>
      </c>
      <c r="W21" s="32" t="str">
        <f>IFERROR(VLOOKUP(Table1824[[#This Row],[BKK]]&amp;TRIM(RIGHT(SUBSTITUTE(TRIM(Table1824[[#Headers],[Uraian aaaaa]])," ",REPT(" ",255)),255)),'Un nOTA'!$D$4:$J$1004,3,FALSE),"")</f>
        <v/>
      </c>
      <c r="X21" s="32" t="str">
        <f>IFERROR(VLOOKUP(Table1824[[#This Row],[BKK]]&amp;TRIM(RIGHT(SUBSTITUTE(TRIM(Table1824[[#Headers],[Uraian aaaaaa]])," ",REPT(" ",255)),255)),'Un nOTA'!$D$4:$J$1004,3,FALSE),"")</f>
        <v/>
      </c>
      <c r="Y21" s="32" t="str">
        <f>IFERROR(VLOOKUP(Table1824[[#This Row],[BKK]]&amp;TRIM(RIGHT(SUBSTITUTE(TRIM(Table1824[[#Headers],[Uraian aaaaaaa]])," ",REPT(" ",255)),255)),'Un nOTA'!$D$4:$J$1004,3,FALSE),"")</f>
        <v/>
      </c>
      <c r="Z21" s="32" t="str">
        <f>IFERROR(VLOOKUP(Table1824[[#This Row],[BKK]]&amp;TRIM(RIGHT(SUBSTITUTE(TRIM(Table1824[[#Headers],[Uraian aaaaaaaa]])," ",REPT(" ",255)),255)),'Un nOTA'!$D$4:$J$1004,3,FALSE),"")</f>
        <v/>
      </c>
      <c r="AA21" s="32" t="str">
        <f>IFERROR(VLOOKUP(Table1824[[#This Row],[BKK]]&amp;TRIM(RIGHT(SUBSTITUTE(TRIM(Table1824[[#Headers],[Uraian aaaaaaaaa]])," ",REPT(" ",255)),255)),'Un nOTA'!$D$4:$J$1004,3,FALSE),"")</f>
        <v/>
      </c>
      <c r="AB21" s="32" t="str">
        <f>IFERROR(VLOOKUP(Table1824[[#This Row],[BKK]]&amp;TRIM(RIGHT(SUBSTITUTE(TRIM(Table1824[[#Headers],[Uraian aaaaaaaaaa]])," ",REPT(" ",255)),255)),'Un nOTA'!$D$4:$J$1004,3,FALSE),"")</f>
        <v/>
      </c>
      <c r="AC21" s="32" t="str">
        <f>IFERROR(VLOOKUP(Table1824[[#This Row],[BKK]]&amp;TRIM(RIGHT(SUBSTITUTE(TRIM(Table1824[[#Headers],[Uraian aaaaaaaaaaa]])," ",REPT(" ",255)),255)),'Un nOTA'!$D$4:$J$1004,3,FALSE),"")</f>
        <v/>
      </c>
      <c r="AD21" s="32" t="str">
        <f>IFERROR(VLOOKUP(Table1824[[#This Row],[BKK]]&amp;TRIM(RIGHT(SUBSTITUTE(TRIM(Table1824[[#Headers],[Uraian aaaaaaaaaaaa]])," ",REPT(" ",255)),255)),'Un nOTA'!$D$4:$J$1004,3,FALSE),"")</f>
        <v/>
      </c>
      <c r="AE21" s="8" t="str">
        <f>IFERROR(VLOOKUP(Table1824[[#This Row],[BKK]],'Un nOTA'!$D$4:$J$1004,4,FALSE),"")</f>
        <v/>
      </c>
      <c r="AF21" s="8" t="str">
        <f>IFERROR(VLOOKUP(Table1824[[#This Row],[BKK]]&amp;TRIM(RIGHT(SUBSTITUTE(TRIM(Table1824[[#Headers],[Uraian a]])," ",REPT(" ",255)),255)),'Un nOTA'!$D$4:$J$1004,4,FALSE),"")</f>
        <v/>
      </c>
      <c r="AG21" s="8" t="str">
        <f>IFERROR(VLOOKUP(Table1824[[#This Row],[BKK]]&amp;TRIM(RIGHT(SUBSTITUTE(TRIM(Table1824[[#Headers],[Uraian aa]])," ",REPT(" ",255)),255)),'Un nOTA'!$D$4:$J$1004,4,FALSE),"")</f>
        <v/>
      </c>
      <c r="AH21" s="8" t="str">
        <f>IFERROR(VLOOKUP(Table1824[[#This Row],[BKK]]&amp;TRIM(RIGHT(SUBSTITUTE(TRIM(Table1824[[#Headers],[Uraian aaa]])," ",REPT(" ",255)),255)),'Un nOTA'!$D$4:$J$1004,4,FALSE),"")</f>
        <v/>
      </c>
      <c r="AI21" s="8" t="str">
        <f>IFERROR(VLOOKUP(Table1824[[#This Row],[BKK]]&amp;TRIM(RIGHT(SUBSTITUTE(TRIM(Table1824[[#Headers],[Uraian aaaa]])," ",REPT(" ",255)),255)),'Un nOTA'!$D$4:$J$1004,4,FALSE),"")</f>
        <v/>
      </c>
      <c r="AJ21" s="8" t="str">
        <f>IFERROR(VLOOKUP(Table1824[[#This Row],[BKK]]&amp;TRIM(RIGHT(SUBSTITUTE(TRIM(Table1824[[#Headers],[Uraian aaaaa]])," ",REPT(" ",255)),255)),'Un nOTA'!$D$4:$J$1004,4,FALSE),"")</f>
        <v/>
      </c>
      <c r="AK21" s="8" t="str">
        <f>IFERROR(VLOOKUP(Table1824[[#This Row],[BKK]]&amp;TRIM(RIGHT(SUBSTITUTE(TRIM(Table1824[[#Headers],[Uraian aaaaaa]])," ",REPT(" ",255)),255)),'Un nOTA'!$D$4:$J$1004,4,FALSE),"")</f>
        <v/>
      </c>
      <c r="AL21" s="8" t="str">
        <f>IFERROR(VLOOKUP(Table1824[[#This Row],[BKK]]&amp;TRIM(RIGHT(SUBSTITUTE(TRIM(Table1824[[#Headers],[Uraian aaaaaaa]])," ",REPT(" ",255)),255)),'Un nOTA'!$D$4:$J$1004,4,FALSE),"")</f>
        <v/>
      </c>
      <c r="AM21" s="8" t="str">
        <f>IFERROR(VLOOKUP(Table1824[[#This Row],[BKK]]&amp;TRIM(RIGHT(SUBSTITUTE(TRIM(Table1824[[#Headers],[Uraian aaaaaaaa]])," ",REPT(" ",255)),255)),'Un nOTA'!$D$4:$J$1004,4,FALSE),"")</f>
        <v/>
      </c>
      <c r="AN21" s="8" t="str">
        <f>IFERROR(VLOOKUP(Table1824[[#This Row],[BKK]]&amp;TRIM(RIGHT(SUBSTITUTE(TRIM(Table1824[[#Headers],[Uraian aaaaaaaaa]])," ",REPT(" ",255)),255)),'Un nOTA'!$D$4:$J$1004,4,FALSE),"")</f>
        <v/>
      </c>
      <c r="AO21" s="8" t="str">
        <f>IFERROR(VLOOKUP(Table1824[[#This Row],[BKK]]&amp;TRIM(RIGHT(SUBSTITUTE(TRIM(Table1824[[#Headers],[Uraian aaaaaaaaaa]])," ",REPT(" ",255)),255)),'Un nOTA'!$D$4:$J$1004,4,FALSE),"")</f>
        <v/>
      </c>
      <c r="AP21" s="8" t="str">
        <f>IFERROR(VLOOKUP(Table1824[[#This Row],[BKK]]&amp;TRIM(RIGHT(SUBSTITUTE(TRIM(Table1824[[#Headers],[Uraian aaaaaaaaaaa]])," ",REPT(" ",255)),255)),'Un nOTA'!$D$4:$J$1004,4,FALSE),"")</f>
        <v/>
      </c>
      <c r="AQ21" s="8" t="str">
        <f>IFERROR(VLOOKUP(Table1824[[#This Row],[BKK]]&amp;TRIM(RIGHT(SUBSTITUTE(TRIM(Table1824[[#Headers],[Uraian aaaaaaaaaaaa]])," ",REPT(" ",255)),255)),'Un nOTA'!$D$4:$J$1004,4,FALSE),"")</f>
        <v/>
      </c>
      <c r="AR21" s="8" t="str">
        <f>IFERROR((IFERROR(VLOOKUP(Table1824[[#This Row],[BKK]],'Un nOTA'!$D$4:$J$1004,5,FALSE),""))*(10/11),"")</f>
        <v/>
      </c>
      <c r="AS21" s="8" t="str">
        <f>IFERROR((IFERROR(VLOOKUP(Table1824[[#This Row],[BKK]]&amp;TRIM(RIGHT(SUBSTITUTE(TRIM(Table1824[[#Headers],[Uraian a]])," ",REPT(" ",255)),255)),'Un nOTA'!$D$4:$J$1004,5,FALSE),"")*(10/11)),"")</f>
        <v/>
      </c>
      <c r="AT21" s="8" t="str">
        <f>IFERROR((IFERROR(VLOOKUP(Table1824[[#This Row],[BKK]]&amp;TRIM(RIGHT(SUBSTITUTE(TRIM(Table1824[[#Headers],[Uraian aa]])," ",REPT(" ",255)),255)),'Un nOTA'!$D$4:$J$1004,5,FALSE),"")*(10/11)),"")</f>
        <v/>
      </c>
      <c r="AU21" s="8" t="str">
        <f>IFERROR((IFERROR(VLOOKUP(Table1824[[#This Row],[BKK]]&amp;TRIM(RIGHT(SUBSTITUTE(TRIM(Table1824[[#Headers],[Uraian aaa]])," ",REPT(" ",255)),255)),'Un nOTA'!$D$4:$J$1004,5,FALSE),"")*(10/11)),"")</f>
        <v/>
      </c>
      <c r="AV21" s="8" t="str">
        <f>IFERROR((IFERROR(VLOOKUP(Table1824[[#This Row],[BKK]]&amp;TRIM(RIGHT(SUBSTITUTE(TRIM(Table1824[[#Headers],[Uraian aaaa]])," ",REPT(" ",255)),255)),'Un nOTA'!$D$4:$J$1004,5,FALSE),"")*(10/11)),"")</f>
        <v/>
      </c>
      <c r="AW21" s="8" t="str">
        <f>IFERROR((IFERROR(VLOOKUP(Table1824[[#This Row],[BKK]]&amp;TRIM(RIGHT(SUBSTITUTE(TRIM(Table1824[[#Headers],[Uraian aaaaa]])," ",REPT(" ",255)),255)),'Un nOTA'!$D$4:$J$1004,5,FALSE),"")*(10/11)),"")</f>
        <v/>
      </c>
      <c r="AX21" s="8" t="str">
        <f>IFERROR((IFERROR(VLOOKUP(Table1824[[#This Row],[BKK]]&amp;TRIM(RIGHT(SUBSTITUTE(TRIM(Table1824[[#Headers],[Uraian aaaaaa]])," ",REPT(" ",255)),255)),'Un nOTA'!$D$4:$J$1004,5,FALSE),"")*(10/11)),"")</f>
        <v/>
      </c>
      <c r="AY21" s="8" t="str">
        <f>IFERROR((IFERROR(VLOOKUP(Table1824[[#This Row],[BKK]]&amp;TRIM(RIGHT(SUBSTITUTE(TRIM(Table1824[[#Headers],[Uraian aaaaaaa]])," ",REPT(" ",255)),255)),'Un nOTA'!$D$4:$J$1004,5,FALSE),"")*(10/11)),"")</f>
        <v/>
      </c>
      <c r="AZ21" s="8" t="str">
        <f>IFERROR((IFERROR(VLOOKUP(Table1824[[#This Row],[BKK]]&amp;TRIM(RIGHT(SUBSTITUTE(TRIM(Table1824[[#Headers],[Uraian aaaaaaaa]])," ",REPT(" ",255)),255)),'Un nOTA'!$D$4:$J$1004,5,FALSE),"")*(10/11)),"")</f>
        <v/>
      </c>
      <c r="BA21" s="8" t="str">
        <f>IFERROR((IFERROR(VLOOKUP(Table1824[[#This Row],[BKK]]&amp;TRIM(RIGHT(SUBSTITUTE(TRIM(Table1824[[#Headers],[Uraian aaaaaaaaa]])," ",REPT(" ",255)),255)),'Un nOTA'!$D$4:$J$1004,5,FALSE),"")*(10/11)),"")</f>
        <v/>
      </c>
      <c r="BB21" s="8" t="str">
        <f>IFERROR((IFERROR(VLOOKUP(Table1824[[#This Row],[BKK]]&amp;TRIM(RIGHT(SUBSTITUTE(TRIM(Table1824[[#Headers],[Uraian aaaaaaaaaa]])," ",REPT(" ",255)),255)),'Un nOTA'!$D$4:$J$1004,5,FALSE),"")*(10/11)),"")</f>
        <v/>
      </c>
      <c r="BC21" s="8" t="str">
        <f>IFERROR((IFERROR(VLOOKUP(Table1824[[#This Row],[BKK]]&amp;TRIM(RIGHT(SUBSTITUTE(TRIM(Table1824[[#Headers],[Uraian aaaaaaaaaaa]])," ",REPT(" ",255)),255)),'Un nOTA'!$D$4:$J$1004,5,FALSE),"")*(10/11)),"")</f>
        <v/>
      </c>
      <c r="BD21" s="8" t="str">
        <f>IFERROR((IFERROR(VLOOKUP(Table1824[[#This Row],[BKK]]&amp;TRIM(RIGHT(SUBSTITUTE(TRIM(Table1824[[#Headers],[Uraian aaaaaaaaaaaa]])," ",REPT(" ",255)),255)),'Un nOTA'!$D$4:$J$1004,5,FALSE),"")*(10/11)),"")</f>
        <v/>
      </c>
      <c r="BE21" s="23" t="str">
        <f>IFERROR(ROUNDUP((Table1824[[#This Row],[Qty]]*Table1824[[#This Row],[Hrg St]]),0),"")</f>
        <v/>
      </c>
      <c r="BF21" s="8" t="str">
        <f>IFERROR(ROUNDUP((Table1824[[#This Row],[Qty2]]*Table1824[[#This Row],[Hrg St2]]),0),"")</f>
        <v/>
      </c>
      <c r="BG21" s="8" t="str">
        <f>IFERROR(ROUNDUP((Table1824[[#This Row],[Qty3]]*Table1824[[#This Row],[Hrg St3]]),0),"")</f>
        <v/>
      </c>
      <c r="BH21" s="8" t="str">
        <f>IFERROR(ROUNDUP((Table1824[[#This Row],[Qty4]]*Table1824[[#This Row],[Hrg St4]]),0),"")</f>
        <v/>
      </c>
      <c r="BI21" s="8" t="str">
        <f>IFERROR(ROUNDUP((Table1824[[#This Row],[Qty5]]*Table1824[[#This Row],[Hrg St5]]),0),"")</f>
        <v/>
      </c>
      <c r="BJ21" s="8" t="str">
        <f>IFERROR(ROUNDUP((Table1824[[#This Row],[Qty6]]*Table1824[[#This Row],[Hrg St6]]),0),"")</f>
        <v/>
      </c>
      <c r="BK21" s="8" t="str">
        <f>IFERROR(ROUNDUP((Table1824[[#This Row],[Qty7]]*Table1824[[#This Row],[Hrg St7]]),0),"")</f>
        <v/>
      </c>
      <c r="BL21" s="8" t="str">
        <f>IFERROR(ROUNDUP((Table1824[[#This Row],[Qty8]]*Table1824[[#This Row],[Hrg St8]]),0),"")</f>
        <v/>
      </c>
      <c r="BM21" s="8" t="str">
        <f>IFERROR(ROUNDUP((Table1824[[#This Row],[Qty9]]*Table1824[[#This Row],[Hrg St9]]),0),"")</f>
        <v/>
      </c>
      <c r="BN21" s="8" t="str">
        <f>IFERROR(ROUNDUP((Table1824[[#This Row],[Qty10]]*Table1824[[#This Row],[Hrg St10]]),0),"")</f>
        <v/>
      </c>
      <c r="BO21" s="8" t="str">
        <f>IFERROR(ROUNDUP((Table1824[[#This Row],[Qty11]]*Table1824[[#This Row],[Hrg St11]]),0),"")</f>
        <v/>
      </c>
      <c r="BP21" s="8" t="str">
        <f>IFERROR(ROUNDUP((Table1824[[#This Row],[Qty12]]*Table1824[[#This Row],[Hrg St12]]),0),"")</f>
        <v/>
      </c>
      <c r="BQ21" s="8" t="str">
        <f>IFERROR(ROUNDUP((Table1824[[#This Row],[Qty13]]*Table1824[[#This Row],[Hrg St13]]),0),"")</f>
        <v/>
      </c>
      <c r="BR21" s="23" t="str">
        <f>IF(Table1824[[#This Row],[BKK]]&gt;" ",IFERROR(ROUNDUP((SUM(Table1824[[#This Row],[Jml]:[Jml13]])),0)," ")," ")</f>
        <v xml:space="preserve"> </v>
      </c>
      <c r="BS21" s="23" t="str">
        <f>IF(Table1824[[#This Row],[BKK]]&gt;" ",ROUND((Table1824[[#This Row],[Total]]*0.1),0)," ")</f>
        <v xml:space="preserve"> </v>
      </c>
      <c r="BT21" s="23" t="str">
        <f>IF(Table1824[[#This Row],[BKK]]&gt;" ",(Table1824[[#This Row],[Total]]+Table1824[[#This Row],[PPN]])," ")</f>
        <v xml:space="preserve"> </v>
      </c>
      <c r="BU21" t="s">
        <v>454</v>
      </c>
      <c r="BV21" t="str">
        <f>IF(Table1824[[#This Row],[BKK]]&gt;" ",("INV/AK-MLG/2019/"&amp;'BKU 1'!$E$1&amp;"/"&amp;Table1824[[#This Row],[BKK]]&amp;"/"&amp;'BKU 1'!$E$1&amp;ROW())," ")</f>
        <v xml:space="preserve"> </v>
      </c>
      <c r="BW21" t="str">
        <f>IF(Table1824[[#This Row],[BKK]]&gt;" ",(TEXT(VLOOKUP(Table1824[[#This Row],[BKK]],COPY!$O$2:$U$1000,7,FALSE),"dd mmmm yyyy"))," ")</f>
        <v xml:space="preserve"> </v>
      </c>
      <c r="BX21" t="str">
        <f>IF(Table1824[[#This Row],[BKK]]&gt;" ",(TEXT((Table1824[[#This Row],[Tanggal Kirim]]+30),"dd mmmm yyyy"))," ")</f>
        <v xml:space="preserve"> </v>
      </c>
      <c r="BY21" t="str">
        <f>IF(Table1824[[#This Row],[BKK]]&gt;" ",'BKU 1'!$E$17," ")</f>
        <v xml:space="preserve"> </v>
      </c>
    </row>
    <row r="22" spans="1:77" hidden="1" x14ac:dyDescent="0.25">
      <c r="A22" t="str">
        <f>IFERROR((IF('Laporan ppn'!G6809&gt;0,VLOOKUP('Laporan ppn'!G6809,'Laporan ppn'!$E$10:$F$6785,2,FALSE),"")),"")</f>
        <v xml:space="preserve"> </v>
      </c>
      <c r="B22" t="str">
        <f>IF(Table1824[[#This Row],[BKK]]=" "," ",'BKU 1'!$D$25)</f>
        <v xml:space="preserve"> </v>
      </c>
      <c r="C22" t="str">
        <f>IF(Table1824[[#This Row],[BKK]]=" "," ",'BKU 1'!$D$26)</f>
        <v xml:space="preserve"> </v>
      </c>
      <c r="D22" t="str">
        <f>IF(Table1824[[#This Row],[BKK]]=" "," ",'BKU 1'!$I$25)</f>
        <v xml:space="preserve"> </v>
      </c>
      <c r="E22" t="str">
        <f>IFERROR(VLOOKUP(Table1824[[#This Row],[BKK]],'Un nOTA'!$D$4:$J$1004,2,FALSE),"")</f>
        <v/>
      </c>
      <c r="F22" t="str">
        <f>IFERROR(VLOOKUP(Table1824[[#This Row],[BKK]]&amp;TRIM(RIGHT(SUBSTITUTE(TRIM(Table1824[[#Headers],[Uraian a]])," ",REPT(" ",255)),255)),'Un nOTA'!$D$4:$J$1004,2,FALSE),"")</f>
        <v/>
      </c>
      <c r="G22" t="str">
        <f>IFERROR(VLOOKUP(Table1824[[#This Row],[BKK]]&amp;TRIM(RIGHT(SUBSTITUTE(TRIM(Table1824[[#Headers],[Uraian aa]])," ",REPT(" ",255)),255)),'Un nOTA'!$D$4:$J$1004,2,FALSE),"")</f>
        <v/>
      </c>
      <c r="H22" t="str">
        <f>IFERROR(VLOOKUP(Table1824[[#This Row],[BKK]]&amp;TRIM(RIGHT(SUBSTITUTE(TRIM(Table1824[[#Headers],[Uraian aaa]])," ",REPT(" ",255)),255)),'Un nOTA'!$D$4:$J$1004,2,FALSE),"")</f>
        <v/>
      </c>
      <c r="I22" t="str">
        <f>IFERROR(VLOOKUP(Table1824[[#This Row],[BKK]]&amp;TRIM(RIGHT(SUBSTITUTE(TRIM(Table1824[[#Headers],[Uraian aaaa]])," ",REPT(" ",255)),255)),'Un nOTA'!$D$4:$J$1004,2,FALSE),"")</f>
        <v/>
      </c>
      <c r="J22" t="str">
        <f>IFERROR(VLOOKUP(Table1824[[#This Row],[BKK]]&amp;TRIM(RIGHT(SUBSTITUTE(TRIM(Table1824[[#Headers],[Uraian aaaaa]])," ",REPT(" ",255)),255)),'Un nOTA'!$D$4:$J$1004,2,FALSE),"")</f>
        <v/>
      </c>
      <c r="K22" t="str">
        <f>IFERROR(VLOOKUP(Table1824[[#This Row],[BKK]]&amp;TRIM(RIGHT(SUBSTITUTE(TRIM(Table1824[[#Headers],[Uraian aaaaaa]])," ",REPT(" ",255)),255)),'Un nOTA'!$D$4:$J$1004,2,FALSE),"")</f>
        <v/>
      </c>
      <c r="L22" t="str">
        <f>IFERROR(VLOOKUP(Table1824[[#This Row],[BKK]]&amp;TRIM(RIGHT(SUBSTITUTE(TRIM(Table1824[[#Headers],[Uraian aaaaaaa]])," ",REPT(" ",255)),255)),'Un nOTA'!$D$4:$J$1004,2,FALSE),"")</f>
        <v/>
      </c>
      <c r="M22" t="str">
        <f>IFERROR(VLOOKUP(Table1824[[#This Row],[BKK]]&amp;TRIM(RIGHT(SUBSTITUTE(TRIM(Table1824[[#Headers],[Uraian aaaaaaaa]])," ",REPT(" ",255)),255)),'Un nOTA'!$D$4:$J$1004,2,FALSE),"")</f>
        <v/>
      </c>
      <c r="N22" t="str">
        <f>IFERROR(VLOOKUP(Table1824[[#This Row],[BKK]]&amp;TRIM(RIGHT(SUBSTITUTE(TRIM(Table1824[[#Headers],[Uraian aaaaaaaaa]])," ",REPT(" ",255)),255)),'Un nOTA'!$D$4:$J$1004,2,FALSE),"")</f>
        <v/>
      </c>
      <c r="O22" t="str">
        <f>IFERROR(VLOOKUP(Table1824[[#This Row],[BKK]]&amp;TRIM(RIGHT(SUBSTITUTE(TRIM(Table1824[[#Headers],[Uraian aaaaaaaaaa]])," ",REPT(" ",255)),255)),'Un nOTA'!$D$4:$J$1004,2,FALSE),"")</f>
        <v/>
      </c>
      <c r="P22" t="str">
        <f>IFERROR(VLOOKUP(Table1824[[#This Row],[BKK]]&amp;TRIM(RIGHT(SUBSTITUTE(TRIM(Table1824[[#Headers],[Uraian aaaaaaaaaaa]])," ",REPT(" ",255)),255)),'Un nOTA'!$D$4:$J$1004,2,FALSE),"")</f>
        <v/>
      </c>
      <c r="Q22" t="str">
        <f>IFERROR(VLOOKUP(Table1824[[#This Row],[BKK]]&amp;TRIM(RIGHT(SUBSTITUTE(TRIM(Table1824[[#Headers],[Uraian aaaaaaaaaaaa]])," ",REPT(" ",255)),255)),'Un nOTA'!$D$4:$J$1004,2,FALSE),"")</f>
        <v/>
      </c>
      <c r="R22" s="32" t="str">
        <f>IFERROR(VLOOKUP(Table1824[[#This Row],[BKK]],'Un nOTA'!$D$4:$J$1004,3,FALSE),"")</f>
        <v/>
      </c>
      <c r="S22" s="32" t="str">
        <f>IFERROR(VLOOKUP(Table1824[[#This Row],[BKK]]&amp;TRIM(RIGHT(SUBSTITUTE(TRIM(Table1824[[#Headers],[Uraian a]])," ",REPT(" ",255)),255)),'Un nOTA'!$D$4:$J$1004,3,FALSE),"")</f>
        <v/>
      </c>
      <c r="T22" s="32" t="str">
        <f>IFERROR(VLOOKUP(Table1824[[#This Row],[BKK]]&amp;TRIM(RIGHT(SUBSTITUTE(TRIM(Table1824[[#Headers],[Uraian aa]])," ",REPT(" ",255)),255)),'Un nOTA'!$D$4:$J$1004,3,FALSE),"")</f>
        <v/>
      </c>
      <c r="U22" s="32" t="str">
        <f>IFERROR(VLOOKUP(Table1824[[#This Row],[BKK]]&amp;TRIM(RIGHT(SUBSTITUTE(TRIM(Table1824[[#Headers],[Uraian aaa]])," ",REPT(" ",255)),255)),'Un nOTA'!$D$4:$J$1004,3,FALSE),"")</f>
        <v/>
      </c>
      <c r="V22" s="32" t="str">
        <f>IFERROR(VLOOKUP(Table1824[[#This Row],[BKK]]&amp;TRIM(RIGHT(SUBSTITUTE(TRIM(Table1824[[#Headers],[Uraian aaaa]])," ",REPT(" ",255)),255)),'Un nOTA'!$D$4:$J$1004,3,FALSE),"")</f>
        <v/>
      </c>
      <c r="W22" s="32" t="str">
        <f>IFERROR(VLOOKUP(Table1824[[#This Row],[BKK]]&amp;TRIM(RIGHT(SUBSTITUTE(TRIM(Table1824[[#Headers],[Uraian aaaaa]])," ",REPT(" ",255)),255)),'Un nOTA'!$D$4:$J$1004,3,FALSE),"")</f>
        <v/>
      </c>
      <c r="X22" s="32" t="str">
        <f>IFERROR(VLOOKUP(Table1824[[#This Row],[BKK]]&amp;TRIM(RIGHT(SUBSTITUTE(TRIM(Table1824[[#Headers],[Uraian aaaaaa]])," ",REPT(" ",255)),255)),'Un nOTA'!$D$4:$J$1004,3,FALSE),"")</f>
        <v/>
      </c>
      <c r="Y22" s="32" t="str">
        <f>IFERROR(VLOOKUP(Table1824[[#This Row],[BKK]]&amp;TRIM(RIGHT(SUBSTITUTE(TRIM(Table1824[[#Headers],[Uraian aaaaaaa]])," ",REPT(" ",255)),255)),'Un nOTA'!$D$4:$J$1004,3,FALSE),"")</f>
        <v/>
      </c>
      <c r="Z22" s="32" t="str">
        <f>IFERROR(VLOOKUP(Table1824[[#This Row],[BKK]]&amp;TRIM(RIGHT(SUBSTITUTE(TRIM(Table1824[[#Headers],[Uraian aaaaaaaa]])," ",REPT(" ",255)),255)),'Un nOTA'!$D$4:$J$1004,3,FALSE),"")</f>
        <v/>
      </c>
      <c r="AA22" s="32" t="str">
        <f>IFERROR(VLOOKUP(Table1824[[#This Row],[BKK]]&amp;TRIM(RIGHT(SUBSTITUTE(TRIM(Table1824[[#Headers],[Uraian aaaaaaaaa]])," ",REPT(" ",255)),255)),'Un nOTA'!$D$4:$J$1004,3,FALSE),"")</f>
        <v/>
      </c>
      <c r="AB22" s="32" t="str">
        <f>IFERROR(VLOOKUP(Table1824[[#This Row],[BKK]]&amp;TRIM(RIGHT(SUBSTITUTE(TRIM(Table1824[[#Headers],[Uraian aaaaaaaaaa]])," ",REPT(" ",255)),255)),'Un nOTA'!$D$4:$J$1004,3,FALSE),"")</f>
        <v/>
      </c>
      <c r="AC22" s="32" t="str">
        <f>IFERROR(VLOOKUP(Table1824[[#This Row],[BKK]]&amp;TRIM(RIGHT(SUBSTITUTE(TRIM(Table1824[[#Headers],[Uraian aaaaaaaaaaa]])," ",REPT(" ",255)),255)),'Un nOTA'!$D$4:$J$1004,3,FALSE),"")</f>
        <v/>
      </c>
      <c r="AD22" s="32" t="str">
        <f>IFERROR(VLOOKUP(Table1824[[#This Row],[BKK]]&amp;TRIM(RIGHT(SUBSTITUTE(TRIM(Table1824[[#Headers],[Uraian aaaaaaaaaaaa]])," ",REPT(" ",255)),255)),'Un nOTA'!$D$4:$J$1004,3,FALSE),"")</f>
        <v/>
      </c>
      <c r="AE22" s="8" t="str">
        <f>IFERROR(VLOOKUP(Table1824[[#This Row],[BKK]],'Un nOTA'!$D$4:$J$1004,4,FALSE),"")</f>
        <v/>
      </c>
      <c r="AF22" s="8" t="str">
        <f>IFERROR(VLOOKUP(Table1824[[#This Row],[BKK]]&amp;TRIM(RIGHT(SUBSTITUTE(TRIM(Table1824[[#Headers],[Uraian a]])," ",REPT(" ",255)),255)),'Un nOTA'!$D$4:$J$1004,4,FALSE),"")</f>
        <v/>
      </c>
      <c r="AG22" s="8" t="str">
        <f>IFERROR(VLOOKUP(Table1824[[#This Row],[BKK]]&amp;TRIM(RIGHT(SUBSTITUTE(TRIM(Table1824[[#Headers],[Uraian aa]])," ",REPT(" ",255)),255)),'Un nOTA'!$D$4:$J$1004,4,FALSE),"")</f>
        <v/>
      </c>
      <c r="AH22" s="8" t="str">
        <f>IFERROR(VLOOKUP(Table1824[[#This Row],[BKK]]&amp;TRIM(RIGHT(SUBSTITUTE(TRIM(Table1824[[#Headers],[Uraian aaa]])," ",REPT(" ",255)),255)),'Un nOTA'!$D$4:$J$1004,4,FALSE),"")</f>
        <v/>
      </c>
      <c r="AI22" s="8" t="str">
        <f>IFERROR(VLOOKUP(Table1824[[#This Row],[BKK]]&amp;TRIM(RIGHT(SUBSTITUTE(TRIM(Table1824[[#Headers],[Uraian aaaa]])," ",REPT(" ",255)),255)),'Un nOTA'!$D$4:$J$1004,4,FALSE),"")</f>
        <v/>
      </c>
      <c r="AJ22" s="8" t="str">
        <f>IFERROR(VLOOKUP(Table1824[[#This Row],[BKK]]&amp;TRIM(RIGHT(SUBSTITUTE(TRIM(Table1824[[#Headers],[Uraian aaaaa]])," ",REPT(" ",255)),255)),'Un nOTA'!$D$4:$J$1004,4,FALSE),"")</f>
        <v/>
      </c>
      <c r="AK22" s="8" t="str">
        <f>IFERROR(VLOOKUP(Table1824[[#This Row],[BKK]]&amp;TRIM(RIGHT(SUBSTITUTE(TRIM(Table1824[[#Headers],[Uraian aaaaaa]])," ",REPT(" ",255)),255)),'Un nOTA'!$D$4:$J$1004,4,FALSE),"")</f>
        <v/>
      </c>
      <c r="AL22" s="8" t="str">
        <f>IFERROR(VLOOKUP(Table1824[[#This Row],[BKK]]&amp;TRIM(RIGHT(SUBSTITUTE(TRIM(Table1824[[#Headers],[Uraian aaaaaaa]])," ",REPT(" ",255)),255)),'Un nOTA'!$D$4:$J$1004,4,FALSE),"")</f>
        <v/>
      </c>
      <c r="AM22" s="8" t="str">
        <f>IFERROR(VLOOKUP(Table1824[[#This Row],[BKK]]&amp;TRIM(RIGHT(SUBSTITUTE(TRIM(Table1824[[#Headers],[Uraian aaaaaaaa]])," ",REPT(" ",255)),255)),'Un nOTA'!$D$4:$J$1004,4,FALSE),"")</f>
        <v/>
      </c>
      <c r="AN22" s="8" t="str">
        <f>IFERROR(VLOOKUP(Table1824[[#This Row],[BKK]]&amp;TRIM(RIGHT(SUBSTITUTE(TRIM(Table1824[[#Headers],[Uraian aaaaaaaaa]])," ",REPT(" ",255)),255)),'Un nOTA'!$D$4:$J$1004,4,FALSE),"")</f>
        <v/>
      </c>
      <c r="AO22" s="8" t="str">
        <f>IFERROR(VLOOKUP(Table1824[[#This Row],[BKK]]&amp;TRIM(RIGHT(SUBSTITUTE(TRIM(Table1824[[#Headers],[Uraian aaaaaaaaaa]])," ",REPT(" ",255)),255)),'Un nOTA'!$D$4:$J$1004,4,FALSE),"")</f>
        <v/>
      </c>
      <c r="AP22" s="8" t="str">
        <f>IFERROR(VLOOKUP(Table1824[[#This Row],[BKK]]&amp;TRIM(RIGHT(SUBSTITUTE(TRIM(Table1824[[#Headers],[Uraian aaaaaaaaaaa]])," ",REPT(" ",255)),255)),'Un nOTA'!$D$4:$J$1004,4,FALSE),"")</f>
        <v/>
      </c>
      <c r="AQ22" s="8" t="str">
        <f>IFERROR(VLOOKUP(Table1824[[#This Row],[BKK]]&amp;TRIM(RIGHT(SUBSTITUTE(TRIM(Table1824[[#Headers],[Uraian aaaaaaaaaaaa]])," ",REPT(" ",255)),255)),'Un nOTA'!$D$4:$J$1004,4,FALSE),"")</f>
        <v/>
      </c>
      <c r="AR22" s="8" t="str">
        <f>IFERROR((IFERROR(VLOOKUP(Table1824[[#This Row],[BKK]],'Un nOTA'!$D$4:$J$1004,5,FALSE),""))*(10/11),"")</f>
        <v/>
      </c>
      <c r="AS22" s="8" t="str">
        <f>IFERROR((IFERROR(VLOOKUP(Table1824[[#This Row],[BKK]]&amp;TRIM(RIGHT(SUBSTITUTE(TRIM(Table1824[[#Headers],[Uraian a]])," ",REPT(" ",255)),255)),'Un nOTA'!$D$4:$J$1004,5,FALSE),"")*(10/11)),"")</f>
        <v/>
      </c>
      <c r="AT22" s="8" t="str">
        <f>IFERROR((IFERROR(VLOOKUP(Table1824[[#This Row],[BKK]]&amp;TRIM(RIGHT(SUBSTITUTE(TRIM(Table1824[[#Headers],[Uraian aa]])," ",REPT(" ",255)),255)),'Un nOTA'!$D$4:$J$1004,5,FALSE),"")*(10/11)),"")</f>
        <v/>
      </c>
      <c r="AU22" s="8" t="str">
        <f>IFERROR((IFERROR(VLOOKUP(Table1824[[#This Row],[BKK]]&amp;TRIM(RIGHT(SUBSTITUTE(TRIM(Table1824[[#Headers],[Uraian aaa]])," ",REPT(" ",255)),255)),'Un nOTA'!$D$4:$J$1004,5,FALSE),"")*(10/11)),"")</f>
        <v/>
      </c>
      <c r="AV22" s="8" t="str">
        <f>IFERROR((IFERROR(VLOOKUP(Table1824[[#This Row],[BKK]]&amp;TRIM(RIGHT(SUBSTITUTE(TRIM(Table1824[[#Headers],[Uraian aaaa]])," ",REPT(" ",255)),255)),'Un nOTA'!$D$4:$J$1004,5,FALSE),"")*(10/11)),"")</f>
        <v/>
      </c>
      <c r="AW22" s="8" t="str">
        <f>IFERROR((IFERROR(VLOOKUP(Table1824[[#This Row],[BKK]]&amp;TRIM(RIGHT(SUBSTITUTE(TRIM(Table1824[[#Headers],[Uraian aaaaa]])," ",REPT(" ",255)),255)),'Un nOTA'!$D$4:$J$1004,5,FALSE),"")*(10/11)),"")</f>
        <v/>
      </c>
      <c r="AX22" s="8" t="str">
        <f>IFERROR((IFERROR(VLOOKUP(Table1824[[#This Row],[BKK]]&amp;TRIM(RIGHT(SUBSTITUTE(TRIM(Table1824[[#Headers],[Uraian aaaaaa]])," ",REPT(" ",255)),255)),'Un nOTA'!$D$4:$J$1004,5,FALSE),"")*(10/11)),"")</f>
        <v/>
      </c>
      <c r="AY22" s="8" t="str">
        <f>IFERROR((IFERROR(VLOOKUP(Table1824[[#This Row],[BKK]]&amp;TRIM(RIGHT(SUBSTITUTE(TRIM(Table1824[[#Headers],[Uraian aaaaaaa]])," ",REPT(" ",255)),255)),'Un nOTA'!$D$4:$J$1004,5,FALSE),"")*(10/11)),"")</f>
        <v/>
      </c>
      <c r="AZ22" s="8" t="str">
        <f>IFERROR((IFERROR(VLOOKUP(Table1824[[#This Row],[BKK]]&amp;TRIM(RIGHT(SUBSTITUTE(TRIM(Table1824[[#Headers],[Uraian aaaaaaaa]])," ",REPT(" ",255)),255)),'Un nOTA'!$D$4:$J$1004,5,FALSE),"")*(10/11)),"")</f>
        <v/>
      </c>
      <c r="BA22" s="8" t="str">
        <f>IFERROR((IFERROR(VLOOKUP(Table1824[[#This Row],[BKK]]&amp;TRIM(RIGHT(SUBSTITUTE(TRIM(Table1824[[#Headers],[Uraian aaaaaaaaa]])," ",REPT(" ",255)),255)),'Un nOTA'!$D$4:$J$1004,5,FALSE),"")*(10/11)),"")</f>
        <v/>
      </c>
      <c r="BB22" s="8" t="str">
        <f>IFERROR((IFERROR(VLOOKUP(Table1824[[#This Row],[BKK]]&amp;TRIM(RIGHT(SUBSTITUTE(TRIM(Table1824[[#Headers],[Uraian aaaaaaaaaa]])," ",REPT(" ",255)),255)),'Un nOTA'!$D$4:$J$1004,5,FALSE),"")*(10/11)),"")</f>
        <v/>
      </c>
      <c r="BC22" s="8" t="str">
        <f>IFERROR((IFERROR(VLOOKUP(Table1824[[#This Row],[BKK]]&amp;TRIM(RIGHT(SUBSTITUTE(TRIM(Table1824[[#Headers],[Uraian aaaaaaaaaaa]])," ",REPT(" ",255)),255)),'Un nOTA'!$D$4:$J$1004,5,FALSE),"")*(10/11)),"")</f>
        <v/>
      </c>
      <c r="BD22" s="8" t="str">
        <f>IFERROR((IFERROR(VLOOKUP(Table1824[[#This Row],[BKK]]&amp;TRIM(RIGHT(SUBSTITUTE(TRIM(Table1824[[#Headers],[Uraian aaaaaaaaaaaa]])," ",REPT(" ",255)),255)),'Un nOTA'!$D$4:$J$1004,5,FALSE),"")*(10/11)),"")</f>
        <v/>
      </c>
      <c r="BE22" s="23" t="str">
        <f>IFERROR(ROUNDUP((Table1824[[#This Row],[Qty]]*Table1824[[#This Row],[Hrg St]]),0),"")</f>
        <v/>
      </c>
      <c r="BF22" s="8" t="str">
        <f>IFERROR(ROUNDUP((Table1824[[#This Row],[Qty2]]*Table1824[[#This Row],[Hrg St2]]),0),"")</f>
        <v/>
      </c>
      <c r="BG22" s="8" t="str">
        <f>IFERROR(ROUNDUP((Table1824[[#This Row],[Qty3]]*Table1824[[#This Row],[Hrg St3]]),0),"")</f>
        <v/>
      </c>
      <c r="BH22" s="8" t="str">
        <f>IFERROR(ROUNDUP((Table1824[[#This Row],[Qty4]]*Table1824[[#This Row],[Hrg St4]]),0),"")</f>
        <v/>
      </c>
      <c r="BI22" s="8" t="str">
        <f>IFERROR(ROUNDUP((Table1824[[#This Row],[Qty5]]*Table1824[[#This Row],[Hrg St5]]),0),"")</f>
        <v/>
      </c>
      <c r="BJ22" s="8" t="str">
        <f>IFERROR(ROUNDUP((Table1824[[#This Row],[Qty6]]*Table1824[[#This Row],[Hrg St6]]),0),"")</f>
        <v/>
      </c>
      <c r="BK22" s="8" t="str">
        <f>IFERROR(ROUNDUP((Table1824[[#This Row],[Qty7]]*Table1824[[#This Row],[Hrg St7]]),0),"")</f>
        <v/>
      </c>
      <c r="BL22" s="8" t="str">
        <f>IFERROR(ROUNDUP((Table1824[[#This Row],[Qty8]]*Table1824[[#This Row],[Hrg St8]]),0),"")</f>
        <v/>
      </c>
      <c r="BM22" s="8" t="str">
        <f>IFERROR(ROUNDUP((Table1824[[#This Row],[Qty9]]*Table1824[[#This Row],[Hrg St9]]),0),"")</f>
        <v/>
      </c>
      <c r="BN22" s="8" t="str">
        <f>IFERROR(ROUNDUP((Table1824[[#This Row],[Qty10]]*Table1824[[#This Row],[Hrg St10]]),0),"")</f>
        <v/>
      </c>
      <c r="BO22" s="8" t="str">
        <f>IFERROR(ROUNDUP((Table1824[[#This Row],[Qty11]]*Table1824[[#This Row],[Hrg St11]]),0),"")</f>
        <v/>
      </c>
      <c r="BP22" s="8" t="str">
        <f>IFERROR(ROUNDUP((Table1824[[#This Row],[Qty12]]*Table1824[[#This Row],[Hrg St12]]),0),"")</f>
        <v/>
      </c>
      <c r="BQ22" s="8" t="str">
        <f>IFERROR(ROUNDUP((Table1824[[#This Row],[Qty13]]*Table1824[[#This Row],[Hrg St13]]),0),"")</f>
        <v/>
      </c>
      <c r="BR22" s="23" t="str">
        <f>IF(Table1824[[#This Row],[BKK]]&gt;" ",IFERROR(ROUNDUP((SUM(Table1824[[#This Row],[Jml]:[Jml13]])),0)," ")," ")</f>
        <v xml:space="preserve"> </v>
      </c>
      <c r="BS22" s="23" t="str">
        <f>IF(Table1824[[#This Row],[BKK]]&gt;" ",ROUND((Table1824[[#This Row],[Total]]*0.1),0)," ")</f>
        <v xml:space="preserve"> </v>
      </c>
      <c r="BT22" s="23" t="str">
        <f>IF(Table1824[[#This Row],[BKK]]&gt;" ",(Table1824[[#This Row],[Total]]+Table1824[[#This Row],[PPN]])," ")</f>
        <v xml:space="preserve"> </v>
      </c>
      <c r="BU22" t="s">
        <v>454</v>
      </c>
      <c r="BV22" t="str">
        <f>IF(Table1824[[#This Row],[BKK]]&gt;" ",("INV/AK-MLG/2019/"&amp;'BKU 1'!$E$1&amp;"/"&amp;Table1824[[#This Row],[BKK]]&amp;"/"&amp;'BKU 1'!$E$1&amp;ROW())," ")</f>
        <v xml:space="preserve"> </v>
      </c>
      <c r="BW22" t="str">
        <f>IF(Table1824[[#This Row],[BKK]]&gt;" ",(TEXT(VLOOKUP(Table1824[[#This Row],[BKK]],COPY!$O$2:$U$1000,7,FALSE),"dd mmmm yyyy"))," ")</f>
        <v xml:space="preserve"> </v>
      </c>
      <c r="BX22" t="str">
        <f>IF(Table1824[[#This Row],[BKK]]&gt;" ",(TEXT((Table1824[[#This Row],[Tanggal Kirim]]+30),"dd mmmm yyyy"))," ")</f>
        <v xml:space="preserve"> </v>
      </c>
      <c r="BY22" t="str">
        <f>IF(Table1824[[#This Row],[BKK]]&gt;" ",'BKU 1'!$E$17," ")</f>
        <v xml:space="preserve"> </v>
      </c>
    </row>
    <row r="23" spans="1:77" hidden="1" x14ac:dyDescent="0.25">
      <c r="A23" t="str">
        <f>IFERROR((IF('Laporan ppn'!G6810&gt;0,VLOOKUP('Laporan ppn'!G6810,'Laporan ppn'!$E$10:$F$6785,2,FALSE),"")),"")</f>
        <v xml:space="preserve"> </v>
      </c>
      <c r="B23" t="str">
        <f>IF(Table1824[[#This Row],[BKK]]=" "," ",'BKU 1'!$D$25)</f>
        <v xml:space="preserve"> </v>
      </c>
      <c r="C23" t="str">
        <f>IF(Table1824[[#This Row],[BKK]]=" "," ",'BKU 1'!$D$26)</f>
        <v xml:space="preserve"> </v>
      </c>
      <c r="D23" t="str">
        <f>IF(Table1824[[#This Row],[BKK]]=" "," ",'BKU 1'!$I$25)</f>
        <v xml:space="preserve"> </v>
      </c>
      <c r="E23" t="str">
        <f>IFERROR(VLOOKUP(Table1824[[#This Row],[BKK]],'Un nOTA'!$D$4:$J$1004,2,FALSE),"")</f>
        <v/>
      </c>
      <c r="F23" t="str">
        <f>IFERROR(VLOOKUP(Table1824[[#This Row],[BKK]]&amp;TRIM(RIGHT(SUBSTITUTE(TRIM(Table1824[[#Headers],[Uraian a]])," ",REPT(" ",255)),255)),'Un nOTA'!$D$4:$J$1004,2,FALSE),"")</f>
        <v/>
      </c>
      <c r="G23" t="str">
        <f>IFERROR(VLOOKUP(Table1824[[#This Row],[BKK]]&amp;TRIM(RIGHT(SUBSTITUTE(TRIM(Table1824[[#Headers],[Uraian aa]])," ",REPT(" ",255)),255)),'Un nOTA'!$D$4:$J$1004,2,FALSE),"")</f>
        <v/>
      </c>
      <c r="H23" t="str">
        <f>IFERROR(VLOOKUP(Table1824[[#This Row],[BKK]]&amp;TRIM(RIGHT(SUBSTITUTE(TRIM(Table1824[[#Headers],[Uraian aaa]])," ",REPT(" ",255)),255)),'Un nOTA'!$D$4:$J$1004,2,FALSE),"")</f>
        <v/>
      </c>
      <c r="I23" t="str">
        <f>IFERROR(VLOOKUP(Table1824[[#This Row],[BKK]]&amp;TRIM(RIGHT(SUBSTITUTE(TRIM(Table1824[[#Headers],[Uraian aaaa]])," ",REPT(" ",255)),255)),'Un nOTA'!$D$4:$J$1004,2,FALSE),"")</f>
        <v/>
      </c>
      <c r="J23" t="str">
        <f>IFERROR(VLOOKUP(Table1824[[#This Row],[BKK]]&amp;TRIM(RIGHT(SUBSTITUTE(TRIM(Table1824[[#Headers],[Uraian aaaaa]])," ",REPT(" ",255)),255)),'Un nOTA'!$D$4:$J$1004,2,FALSE),"")</f>
        <v/>
      </c>
      <c r="K23" t="str">
        <f>IFERROR(VLOOKUP(Table1824[[#This Row],[BKK]]&amp;TRIM(RIGHT(SUBSTITUTE(TRIM(Table1824[[#Headers],[Uraian aaaaaa]])," ",REPT(" ",255)),255)),'Un nOTA'!$D$4:$J$1004,2,FALSE),"")</f>
        <v/>
      </c>
      <c r="L23" t="str">
        <f>IFERROR(VLOOKUP(Table1824[[#This Row],[BKK]]&amp;TRIM(RIGHT(SUBSTITUTE(TRIM(Table1824[[#Headers],[Uraian aaaaaaa]])," ",REPT(" ",255)),255)),'Un nOTA'!$D$4:$J$1004,2,FALSE),"")</f>
        <v/>
      </c>
      <c r="M23" t="str">
        <f>IFERROR(VLOOKUP(Table1824[[#This Row],[BKK]]&amp;TRIM(RIGHT(SUBSTITUTE(TRIM(Table1824[[#Headers],[Uraian aaaaaaaa]])," ",REPT(" ",255)),255)),'Un nOTA'!$D$4:$J$1004,2,FALSE),"")</f>
        <v/>
      </c>
      <c r="N23" t="str">
        <f>IFERROR(VLOOKUP(Table1824[[#This Row],[BKK]]&amp;TRIM(RIGHT(SUBSTITUTE(TRIM(Table1824[[#Headers],[Uraian aaaaaaaaa]])," ",REPT(" ",255)),255)),'Un nOTA'!$D$4:$J$1004,2,FALSE),"")</f>
        <v/>
      </c>
      <c r="O23" t="str">
        <f>IFERROR(VLOOKUP(Table1824[[#This Row],[BKK]]&amp;TRIM(RIGHT(SUBSTITUTE(TRIM(Table1824[[#Headers],[Uraian aaaaaaaaaa]])," ",REPT(" ",255)),255)),'Un nOTA'!$D$4:$J$1004,2,FALSE),"")</f>
        <v/>
      </c>
      <c r="P23" t="str">
        <f>IFERROR(VLOOKUP(Table1824[[#This Row],[BKK]]&amp;TRIM(RIGHT(SUBSTITUTE(TRIM(Table1824[[#Headers],[Uraian aaaaaaaaaaa]])," ",REPT(" ",255)),255)),'Un nOTA'!$D$4:$J$1004,2,FALSE),"")</f>
        <v/>
      </c>
      <c r="Q23" t="str">
        <f>IFERROR(VLOOKUP(Table1824[[#This Row],[BKK]]&amp;TRIM(RIGHT(SUBSTITUTE(TRIM(Table1824[[#Headers],[Uraian aaaaaaaaaaaa]])," ",REPT(" ",255)),255)),'Un nOTA'!$D$4:$J$1004,2,FALSE),"")</f>
        <v/>
      </c>
      <c r="R23" s="32" t="str">
        <f>IFERROR(VLOOKUP(Table1824[[#This Row],[BKK]],'Un nOTA'!$D$4:$J$1004,3,FALSE),"")</f>
        <v/>
      </c>
      <c r="S23" s="32" t="str">
        <f>IFERROR(VLOOKUP(Table1824[[#This Row],[BKK]]&amp;TRIM(RIGHT(SUBSTITUTE(TRIM(Table1824[[#Headers],[Uraian a]])," ",REPT(" ",255)),255)),'Un nOTA'!$D$4:$J$1004,3,FALSE),"")</f>
        <v/>
      </c>
      <c r="T23" s="32" t="str">
        <f>IFERROR(VLOOKUP(Table1824[[#This Row],[BKK]]&amp;TRIM(RIGHT(SUBSTITUTE(TRIM(Table1824[[#Headers],[Uraian aa]])," ",REPT(" ",255)),255)),'Un nOTA'!$D$4:$J$1004,3,FALSE),"")</f>
        <v/>
      </c>
      <c r="U23" s="32" t="str">
        <f>IFERROR(VLOOKUP(Table1824[[#This Row],[BKK]]&amp;TRIM(RIGHT(SUBSTITUTE(TRIM(Table1824[[#Headers],[Uraian aaa]])," ",REPT(" ",255)),255)),'Un nOTA'!$D$4:$J$1004,3,FALSE),"")</f>
        <v/>
      </c>
      <c r="V23" s="32" t="str">
        <f>IFERROR(VLOOKUP(Table1824[[#This Row],[BKK]]&amp;TRIM(RIGHT(SUBSTITUTE(TRIM(Table1824[[#Headers],[Uraian aaaa]])," ",REPT(" ",255)),255)),'Un nOTA'!$D$4:$J$1004,3,FALSE),"")</f>
        <v/>
      </c>
      <c r="W23" s="32" t="str">
        <f>IFERROR(VLOOKUP(Table1824[[#This Row],[BKK]]&amp;TRIM(RIGHT(SUBSTITUTE(TRIM(Table1824[[#Headers],[Uraian aaaaa]])," ",REPT(" ",255)),255)),'Un nOTA'!$D$4:$J$1004,3,FALSE),"")</f>
        <v/>
      </c>
      <c r="X23" s="32" t="str">
        <f>IFERROR(VLOOKUP(Table1824[[#This Row],[BKK]]&amp;TRIM(RIGHT(SUBSTITUTE(TRIM(Table1824[[#Headers],[Uraian aaaaaa]])," ",REPT(" ",255)),255)),'Un nOTA'!$D$4:$J$1004,3,FALSE),"")</f>
        <v/>
      </c>
      <c r="Y23" s="32" t="str">
        <f>IFERROR(VLOOKUP(Table1824[[#This Row],[BKK]]&amp;TRIM(RIGHT(SUBSTITUTE(TRIM(Table1824[[#Headers],[Uraian aaaaaaa]])," ",REPT(" ",255)),255)),'Un nOTA'!$D$4:$J$1004,3,FALSE),"")</f>
        <v/>
      </c>
      <c r="Z23" s="32" t="str">
        <f>IFERROR(VLOOKUP(Table1824[[#This Row],[BKK]]&amp;TRIM(RIGHT(SUBSTITUTE(TRIM(Table1824[[#Headers],[Uraian aaaaaaaa]])," ",REPT(" ",255)),255)),'Un nOTA'!$D$4:$J$1004,3,FALSE),"")</f>
        <v/>
      </c>
      <c r="AA23" s="32" t="str">
        <f>IFERROR(VLOOKUP(Table1824[[#This Row],[BKK]]&amp;TRIM(RIGHT(SUBSTITUTE(TRIM(Table1824[[#Headers],[Uraian aaaaaaaaa]])," ",REPT(" ",255)),255)),'Un nOTA'!$D$4:$J$1004,3,FALSE),"")</f>
        <v/>
      </c>
      <c r="AB23" s="32" t="str">
        <f>IFERROR(VLOOKUP(Table1824[[#This Row],[BKK]]&amp;TRIM(RIGHT(SUBSTITUTE(TRIM(Table1824[[#Headers],[Uraian aaaaaaaaaa]])," ",REPT(" ",255)),255)),'Un nOTA'!$D$4:$J$1004,3,FALSE),"")</f>
        <v/>
      </c>
      <c r="AC23" s="32" t="str">
        <f>IFERROR(VLOOKUP(Table1824[[#This Row],[BKK]]&amp;TRIM(RIGHT(SUBSTITUTE(TRIM(Table1824[[#Headers],[Uraian aaaaaaaaaaa]])," ",REPT(" ",255)),255)),'Un nOTA'!$D$4:$J$1004,3,FALSE),"")</f>
        <v/>
      </c>
      <c r="AD23" s="32" t="str">
        <f>IFERROR(VLOOKUP(Table1824[[#This Row],[BKK]]&amp;TRIM(RIGHT(SUBSTITUTE(TRIM(Table1824[[#Headers],[Uraian aaaaaaaaaaaa]])," ",REPT(" ",255)),255)),'Un nOTA'!$D$4:$J$1004,3,FALSE),"")</f>
        <v/>
      </c>
      <c r="AE23" s="8" t="str">
        <f>IFERROR(VLOOKUP(Table1824[[#This Row],[BKK]],'Un nOTA'!$D$4:$J$1004,4,FALSE),"")</f>
        <v/>
      </c>
      <c r="AF23" s="8" t="str">
        <f>IFERROR(VLOOKUP(Table1824[[#This Row],[BKK]]&amp;TRIM(RIGHT(SUBSTITUTE(TRIM(Table1824[[#Headers],[Uraian a]])," ",REPT(" ",255)),255)),'Un nOTA'!$D$4:$J$1004,4,FALSE),"")</f>
        <v/>
      </c>
      <c r="AG23" s="8" t="str">
        <f>IFERROR(VLOOKUP(Table1824[[#This Row],[BKK]]&amp;TRIM(RIGHT(SUBSTITUTE(TRIM(Table1824[[#Headers],[Uraian aa]])," ",REPT(" ",255)),255)),'Un nOTA'!$D$4:$J$1004,4,FALSE),"")</f>
        <v/>
      </c>
      <c r="AH23" s="8" t="str">
        <f>IFERROR(VLOOKUP(Table1824[[#This Row],[BKK]]&amp;TRIM(RIGHT(SUBSTITUTE(TRIM(Table1824[[#Headers],[Uraian aaa]])," ",REPT(" ",255)),255)),'Un nOTA'!$D$4:$J$1004,4,FALSE),"")</f>
        <v/>
      </c>
      <c r="AI23" s="8" t="str">
        <f>IFERROR(VLOOKUP(Table1824[[#This Row],[BKK]]&amp;TRIM(RIGHT(SUBSTITUTE(TRIM(Table1824[[#Headers],[Uraian aaaa]])," ",REPT(" ",255)),255)),'Un nOTA'!$D$4:$J$1004,4,FALSE),"")</f>
        <v/>
      </c>
      <c r="AJ23" s="8" t="str">
        <f>IFERROR(VLOOKUP(Table1824[[#This Row],[BKK]]&amp;TRIM(RIGHT(SUBSTITUTE(TRIM(Table1824[[#Headers],[Uraian aaaaa]])," ",REPT(" ",255)),255)),'Un nOTA'!$D$4:$J$1004,4,FALSE),"")</f>
        <v/>
      </c>
      <c r="AK23" s="8" t="str">
        <f>IFERROR(VLOOKUP(Table1824[[#This Row],[BKK]]&amp;TRIM(RIGHT(SUBSTITUTE(TRIM(Table1824[[#Headers],[Uraian aaaaaa]])," ",REPT(" ",255)),255)),'Un nOTA'!$D$4:$J$1004,4,FALSE),"")</f>
        <v/>
      </c>
      <c r="AL23" s="8" t="str">
        <f>IFERROR(VLOOKUP(Table1824[[#This Row],[BKK]]&amp;TRIM(RIGHT(SUBSTITUTE(TRIM(Table1824[[#Headers],[Uraian aaaaaaa]])," ",REPT(" ",255)),255)),'Un nOTA'!$D$4:$J$1004,4,FALSE),"")</f>
        <v/>
      </c>
      <c r="AM23" s="8" t="str">
        <f>IFERROR(VLOOKUP(Table1824[[#This Row],[BKK]]&amp;TRIM(RIGHT(SUBSTITUTE(TRIM(Table1824[[#Headers],[Uraian aaaaaaaa]])," ",REPT(" ",255)),255)),'Un nOTA'!$D$4:$J$1004,4,FALSE),"")</f>
        <v/>
      </c>
      <c r="AN23" s="8" t="str">
        <f>IFERROR(VLOOKUP(Table1824[[#This Row],[BKK]]&amp;TRIM(RIGHT(SUBSTITUTE(TRIM(Table1824[[#Headers],[Uraian aaaaaaaaa]])," ",REPT(" ",255)),255)),'Un nOTA'!$D$4:$J$1004,4,FALSE),"")</f>
        <v/>
      </c>
      <c r="AO23" s="8" t="str">
        <f>IFERROR(VLOOKUP(Table1824[[#This Row],[BKK]]&amp;TRIM(RIGHT(SUBSTITUTE(TRIM(Table1824[[#Headers],[Uraian aaaaaaaaaa]])," ",REPT(" ",255)),255)),'Un nOTA'!$D$4:$J$1004,4,FALSE),"")</f>
        <v/>
      </c>
      <c r="AP23" s="8" t="str">
        <f>IFERROR(VLOOKUP(Table1824[[#This Row],[BKK]]&amp;TRIM(RIGHT(SUBSTITUTE(TRIM(Table1824[[#Headers],[Uraian aaaaaaaaaaa]])," ",REPT(" ",255)),255)),'Un nOTA'!$D$4:$J$1004,4,FALSE),"")</f>
        <v/>
      </c>
      <c r="AQ23" s="8" t="str">
        <f>IFERROR(VLOOKUP(Table1824[[#This Row],[BKK]]&amp;TRIM(RIGHT(SUBSTITUTE(TRIM(Table1824[[#Headers],[Uraian aaaaaaaaaaaa]])," ",REPT(" ",255)),255)),'Un nOTA'!$D$4:$J$1004,4,FALSE),"")</f>
        <v/>
      </c>
      <c r="AR23" s="8" t="str">
        <f>IFERROR((IFERROR(VLOOKUP(Table1824[[#This Row],[BKK]],'Un nOTA'!$D$4:$J$1004,5,FALSE),""))*(10/11),"")</f>
        <v/>
      </c>
      <c r="AS23" s="8" t="str">
        <f>IFERROR((IFERROR(VLOOKUP(Table1824[[#This Row],[BKK]]&amp;TRIM(RIGHT(SUBSTITUTE(TRIM(Table1824[[#Headers],[Uraian a]])," ",REPT(" ",255)),255)),'Un nOTA'!$D$4:$J$1004,5,FALSE),"")*(10/11)),"")</f>
        <v/>
      </c>
      <c r="AT23" s="8" t="str">
        <f>IFERROR((IFERROR(VLOOKUP(Table1824[[#This Row],[BKK]]&amp;TRIM(RIGHT(SUBSTITUTE(TRIM(Table1824[[#Headers],[Uraian aa]])," ",REPT(" ",255)),255)),'Un nOTA'!$D$4:$J$1004,5,FALSE),"")*(10/11)),"")</f>
        <v/>
      </c>
      <c r="AU23" s="8" t="str">
        <f>IFERROR((IFERROR(VLOOKUP(Table1824[[#This Row],[BKK]]&amp;TRIM(RIGHT(SUBSTITUTE(TRIM(Table1824[[#Headers],[Uraian aaa]])," ",REPT(" ",255)),255)),'Un nOTA'!$D$4:$J$1004,5,FALSE),"")*(10/11)),"")</f>
        <v/>
      </c>
      <c r="AV23" s="8" t="str">
        <f>IFERROR((IFERROR(VLOOKUP(Table1824[[#This Row],[BKK]]&amp;TRIM(RIGHT(SUBSTITUTE(TRIM(Table1824[[#Headers],[Uraian aaaa]])," ",REPT(" ",255)),255)),'Un nOTA'!$D$4:$J$1004,5,FALSE),"")*(10/11)),"")</f>
        <v/>
      </c>
      <c r="AW23" s="8" t="str">
        <f>IFERROR((IFERROR(VLOOKUP(Table1824[[#This Row],[BKK]]&amp;TRIM(RIGHT(SUBSTITUTE(TRIM(Table1824[[#Headers],[Uraian aaaaa]])," ",REPT(" ",255)),255)),'Un nOTA'!$D$4:$J$1004,5,FALSE),"")*(10/11)),"")</f>
        <v/>
      </c>
      <c r="AX23" s="8" t="str">
        <f>IFERROR((IFERROR(VLOOKUP(Table1824[[#This Row],[BKK]]&amp;TRIM(RIGHT(SUBSTITUTE(TRIM(Table1824[[#Headers],[Uraian aaaaaa]])," ",REPT(" ",255)),255)),'Un nOTA'!$D$4:$J$1004,5,FALSE),"")*(10/11)),"")</f>
        <v/>
      </c>
      <c r="AY23" s="8" t="str">
        <f>IFERROR((IFERROR(VLOOKUP(Table1824[[#This Row],[BKK]]&amp;TRIM(RIGHT(SUBSTITUTE(TRIM(Table1824[[#Headers],[Uraian aaaaaaa]])," ",REPT(" ",255)),255)),'Un nOTA'!$D$4:$J$1004,5,FALSE),"")*(10/11)),"")</f>
        <v/>
      </c>
      <c r="AZ23" s="8" t="str">
        <f>IFERROR((IFERROR(VLOOKUP(Table1824[[#This Row],[BKK]]&amp;TRIM(RIGHT(SUBSTITUTE(TRIM(Table1824[[#Headers],[Uraian aaaaaaaa]])," ",REPT(" ",255)),255)),'Un nOTA'!$D$4:$J$1004,5,FALSE),"")*(10/11)),"")</f>
        <v/>
      </c>
      <c r="BA23" s="8" t="str">
        <f>IFERROR((IFERROR(VLOOKUP(Table1824[[#This Row],[BKK]]&amp;TRIM(RIGHT(SUBSTITUTE(TRIM(Table1824[[#Headers],[Uraian aaaaaaaaa]])," ",REPT(" ",255)),255)),'Un nOTA'!$D$4:$J$1004,5,FALSE),"")*(10/11)),"")</f>
        <v/>
      </c>
      <c r="BB23" s="8" t="str">
        <f>IFERROR((IFERROR(VLOOKUP(Table1824[[#This Row],[BKK]]&amp;TRIM(RIGHT(SUBSTITUTE(TRIM(Table1824[[#Headers],[Uraian aaaaaaaaaa]])," ",REPT(" ",255)),255)),'Un nOTA'!$D$4:$J$1004,5,FALSE),"")*(10/11)),"")</f>
        <v/>
      </c>
      <c r="BC23" s="8" t="str">
        <f>IFERROR((IFERROR(VLOOKUP(Table1824[[#This Row],[BKK]]&amp;TRIM(RIGHT(SUBSTITUTE(TRIM(Table1824[[#Headers],[Uraian aaaaaaaaaaa]])," ",REPT(" ",255)),255)),'Un nOTA'!$D$4:$J$1004,5,FALSE),"")*(10/11)),"")</f>
        <v/>
      </c>
      <c r="BD23" s="8" t="str">
        <f>IFERROR((IFERROR(VLOOKUP(Table1824[[#This Row],[BKK]]&amp;TRIM(RIGHT(SUBSTITUTE(TRIM(Table1824[[#Headers],[Uraian aaaaaaaaaaaa]])," ",REPT(" ",255)),255)),'Un nOTA'!$D$4:$J$1004,5,FALSE),"")*(10/11)),"")</f>
        <v/>
      </c>
      <c r="BE23" s="23" t="str">
        <f>IFERROR(ROUNDUP((Table1824[[#This Row],[Qty]]*Table1824[[#This Row],[Hrg St]]),0),"")</f>
        <v/>
      </c>
      <c r="BF23" s="8" t="str">
        <f>IFERROR(ROUNDUP((Table1824[[#This Row],[Qty2]]*Table1824[[#This Row],[Hrg St2]]),0),"")</f>
        <v/>
      </c>
      <c r="BG23" s="8" t="str">
        <f>IFERROR(ROUNDUP((Table1824[[#This Row],[Qty3]]*Table1824[[#This Row],[Hrg St3]]),0),"")</f>
        <v/>
      </c>
      <c r="BH23" s="8" t="str">
        <f>IFERROR(ROUNDUP((Table1824[[#This Row],[Qty4]]*Table1824[[#This Row],[Hrg St4]]),0),"")</f>
        <v/>
      </c>
      <c r="BI23" s="8" t="str">
        <f>IFERROR(ROUNDUP((Table1824[[#This Row],[Qty5]]*Table1824[[#This Row],[Hrg St5]]),0),"")</f>
        <v/>
      </c>
      <c r="BJ23" s="8" t="str">
        <f>IFERROR(ROUNDUP((Table1824[[#This Row],[Qty6]]*Table1824[[#This Row],[Hrg St6]]),0),"")</f>
        <v/>
      </c>
      <c r="BK23" s="8" t="str">
        <f>IFERROR(ROUNDUP((Table1824[[#This Row],[Qty7]]*Table1824[[#This Row],[Hrg St7]]),0),"")</f>
        <v/>
      </c>
      <c r="BL23" s="8" t="str">
        <f>IFERROR(ROUNDUP((Table1824[[#This Row],[Qty8]]*Table1824[[#This Row],[Hrg St8]]),0),"")</f>
        <v/>
      </c>
      <c r="BM23" s="8" t="str">
        <f>IFERROR(ROUNDUP((Table1824[[#This Row],[Qty9]]*Table1824[[#This Row],[Hrg St9]]),0),"")</f>
        <v/>
      </c>
      <c r="BN23" s="8" t="str">
        <f>IFERROR(ROUNDUP((Table1824[[#This Row],[Qty10]]*Table1824[[#This Row],[Hrg St10]]),0),"")</f>
        <v/>
      </c>
      <c r="BO23" s="8" t="str">
        <f>IFERROR(ROUNDUP((Table1824[[#This Row],[Qty11]]*Table1824[[#This Row],[Hrg St11]]),0),"")</f>
        <v/>
      </c>
      <c r="BP23" s="8" t="str">
        <f>IFERROR(ROUNDUP((Table1824[[#This Row],[Qty12]]*Table1824[[#This Row],[Hrg St12]]),0),"")</f>
        <v/>
      </c>
      <c r="BQ23" s="8" t="str">
        <f>IFERROR(ROUNDUP((Table1824[[#This Row],[Qty13]]*Table1824[[#This Row],[Hrg St13]]),0),"")</f>
        <v/>
      </c>
      <c r="BR23" s="23" t="str">
        <f>IF(Table1824[[#This Row],[BKK]]&gt;" ",IFERROR(ROUNDUP((SUM(Table1824[[#This Row],[Jml]:[Jml13]])),0)," ")," ")</f>
        <v xml:space="preserve"> </v>
      </c>
      <c r="BS23" s="23" t="str">
        <f>IF(Table1824[[#This Row],[BKK]]&gt;" ",ROUND((Table1824[[#This Row],[Total]]*0.1),0)," ")</f>
        <v xml:space="preserve"> </v>
      </c>
      <c r="BT23" s="23" t="str">
        <f>IF(Table1824[[#This Row],[BKK]]&gt;" ",(Table1824[[#This Row],[Total]]+Table1824[[#This Row],[PPN]])," ")</f>
        <v xml:space="preserve"> </v>
      </c>
      <c r="BU23" t="s">
        <v>454</v>
      </c>
      <c r="BV23" t="str">
        <f>IF(Table1824[[#This Row],[BKK]]&gt;" ",("INV/AK-MLG/2019/"&amp;'BKU 1'!$E$1&amp;"/"&amp;Table1824[[#This Row],[BKK]]&amp;"/"&amp;'BKU 1'!$E$1&amp;ROW())," ")</f>
        <v xml:space="preserve"> </v>
      </c>
      <c r="BW23" t="str">
        <f>IF(Table1824[[#This Row],[BKK]]&gt;" ",(TEXT(VLOOKUP(Table1824[[#This Row],[BKK]],COPY!$O$2:$U$1000,7,FALSE),"dd mmmm yyyy"))," ")</f>
        <v xml:space="preserve"> </v>
      </c>
      <c r="BX23" t="str">
        <f>IF(Table1824[[#This Row],[BKK]]&gt;" ",(TEXT((Table1824[[#This Row],[Tanggal Kirim]]+30),"dd mmmm yyyy"))," ")</f>
        <v xml:space="preserve"> </v>
      </c>
      <c r="BY23" t="str">
        <f>IF(Table1824[[#This Row],[BKK]]&gt;" ",'BKU 1'!$E$17," ")</f>
        <v xml:space="preserve"> </v>
      </c>
    </row>
    <row r="24" spans="1:77" hidden="1" x14ac:dyDescent="0.25">
      <c r="A24" t="str">
        <f>IFERROR((IF('Laporan ppn'!G6811&gt;0,VLOOKUP('Laporan ppn'!G6811,'Laporan ppn'!$E$10:$F$6785,2,FALSE),"")),"")</f>
        <v xml:space="preserve"> </v>
      </c>
      <c r="B24" t="str">
        <f>IF(Table1824[[#This Row],[BKK]]=" "," ",'BKU 1'!$D$25)</f>
        <v xml:space="preserve"> </v>
      </c>
      <c r="C24" t="str">
        <f>IF(Table1824[[#This Row],[BKK]]=" "," ",'BKU 1'!$D$26)</f>
        <v xml:space="preserve"> </v>
      </c>
      <c r="D24" t="str">
        <f>IF(Table1824[[#This Row],[BKK]]=" "," ",'BKU 1'!$I$25)</f>
        <v xml:space="preserve"> </v>
      </c>
      <c r="E24" t="str">
        <f>IFERROR(VLOOKUP(Table1824[[#This Row],[BKK]],'Un nOTA'!$D$4:$J$1004,2,FALSE),"")</f>
        <v/>
      </c>
      <c r="F24" t="str">
        <f>IFERROR(VLOOKUP(Table1824[[#This Row],[BKK]]&amp;TRIM(RIGHT(SUBSTITUTE(TRIM(Table1824[[#Headers],[Uraian a]])," ",REPT(" ",255)),255)),'Un nOTA'!$D$4:$J$1004,2,FALSE),"")</f>
        <v/>
      </c>
      <c r="G24" t="str">
        <f>IFERROR(VLOOKUP(Table1824[[#This Row],[BKK]]&amp;TRIM(RIGHT(SUBSTITUTE(TRIM(Table1824[[#Headers],[Uraian aa]])," ",REPT(" ",255)),255)),'Un nOTA'!$D$4:$J$1004,2,FALSE),"")</f>
        <v/>
      </c>
      <c r="H24" t="str">
        <f>IFERROR(VLOOKUP(Table1824[[#This Row],[BKK]]&amp;TRIM(RIGHT(SUBSTITUTE(TRIM(Table1824[[#Headers],[Uraian aaa]])," ",REPT(" ",255)),255)),'Un nOTA'!$D$4:$J$1004,2,FALSE),"")</f>
        <v/>
      </c>
      <c r="I24" t="str">
        <f>IFERROR(VLOOKUP(Table1824[[#This Row],[BKK]]&amp;TRIM(RIGHT(SUBSTITUTE(TRIM(Table1824[[#Headers],[Uraian aaaa]])," ",REPT(" ",255)),255)),'Un nOTA'!$D$4:$J$1004,2,FALSE),"")</f>
        <v/>
      </c>
      <c r="J24" t="str">
        <f>IFERROR(VLOOKUP(Table1824[[#This Row],[BKK]]&amp;TRIM(RIGHT(SUBSTITUTE(TRIM(Table1824[[#Headers],[Uraian aaaaa]])," ",REPT(" ",255)),255)),'Un nOTA'!$D$4:$J$1004,2,FALSE),"")</f>
        <v/>
      </c>
      <c r="K24" t="str">
        <f>IFERROR(VLOOKUP(Table1824[[#This Row],[BKK]]&amp;TRIM(RIGHT(SUBSTITUTE(TRIM(Table1824[[#Headers],[Uraian aaaaaa]])," ",REPT(" ",255)),255)),'Un nOTA'!$D$4:$J$1004,2,FALSE),"")</f>
        <v/>
      </c>
      <c r="L24" t="str">
        <f>IFERROR(VLOOKUP(Table1824[[#This Row],[BKK]]&amp;TRIM(RIGHT(SUBSTITUTE(TRIM(Table1824[[#Headers],[Uraian aaaaaaa]])," ",REPT(" ",255)),255)),'Un nOTA'!$D$4:$J$1004,2,FALSE),"")</f>
        <v/>
      </c>
      <c r="M24" t="str">
        <f>IFERROR(VLOOKUP(Table1824[[#This Row],[BKK]]&amp;TRIM(RIGHT(SUBSTITUTE(TRIM(Table1824[[#Headers],[Uraian aaaaaaaa]])," ",REPT(" ",255)),255)),'Un nOTA'!$D$4:$J$1004,2,FALSE),"")</f>
        <v/>
      </c>
      <c r="N24" t="str">
        <f>IFERROR(VLOOKUP(Table1824[[#This Row],[BKK]]&amp;TRIM(RIGHT(SUBSTITUTE(TRIM(Table1824[[#Headers],[Uraian aaaaaaaaa]])," ",REPT(" ",255)),255)),'Un nOTA'!$D$4:$J$1004,2,FALSE),"")</f>
        <v/>
      </c>
      <c r="O24" t="str">
        <f>IFERROR(VLOOKUP(Table1824[[#This Row],[BKK]]&amp;TRIM(RIGHT(SUBSTITUTE(TRIM(Table1824[[#Headers],[Uraian aaaaaaaaaa]])," ",REPT(" ",255)),255)),'Un nOTA'!$D$4:$J$1004,2,FALSE),"")</f>
        <v/>
      </c>
      <c r="P24" t="str">
        <f>IFERROR(VLOOKUP(Table1824[[#This Row],[BKK]]&amp;TRIM(RIGHT(SUBSTITUTE(TRIM(Table1824[[#Headers],[Uraian aaaaaaaaaaa]])," ",REPT(" ",255)),255)),'Un nOTA'!$D$4:$J$1004,2,FALSE),"")</f>
        <v/>
      </c>
      <c r="Q24" t="str">
        <f>IFERROR(VLOOKUP(Table1824[[#This Row],[BKK]]&amp;TRIM(RIGHT(SUBSTITUTE(TRIM(Table1824[[#Headers],[Uraian aaaaaaaaaaaa]])," ",REPT(" ",255)),255)),'Un nOTA'!$D$4:$J$1004,2,FALSE),"")</f>
        <v/>
      </c>
      <c r="R24" s="32" t="str">
        <f>IFERROR(VLOOKUP(Table1824[[#This Row],[BKK]],'Un nOTA'!$D$4:$J$1004,3,FALSE),"")</f>
        <v/>
      </c>
      <c r="S24" s="32" t="str">
        <f>IFERROR(VLOOKUP(Table1824[[#This Row],[BKK]]&amp;TRIM(RIGHT(SUBSTITUTE(TRIM(Table1824[[#Headers],[Uraian a]])," ",REPT(" ",255)),255)),'Un nOTA'!$D$4:$J$1004,3,FALSE),"")</f>
        <v/>
      </c>
      <c r="T24" s="32" t="str">
        <f>IFERROR(VLOOKUP(Table1824[[#This Row],[BKK]]&amp;TRIM(RIGHT(SUBSTITUTE(TRIM(Table1824[[#Headers],[Uraian aa]])," ",REPT(" ",255)),255)),'Un nOTA'!$D$4:$J$1004,3,FALSE),"")</f>
        <v/>
      </c>
      <c r="U24" s="32" t="str">
        <f>IFERROR(VLOOKUP(Table1824[[#This Row],[BKK]]&amp;TRIM(RIGHT(SUBSTITUTE(TRIM(Table1824[[#Headers],[Uraian aaa]])," ",REPT(" ",255)),255)),'Un nOTA'!$D$4:$J$1004,3,FALSE),"")</f>
        <v/>
      </c>
      <c r="V24" s="32" t="str">
        <f>IFERROR(VLOOKUP(Table1824[[#This Row],[BKK]]&amp;TRIM(RIGHT(SUBSTITUTE(TRIM(Table1824[[#Headers],[Uraian aaaa]])," ",REPT(" ",255)),255)),'Un nOTA'!$D$4:$J$1004,3,FALSE),"")</f>
        <v/>
      </c>
      <c r="W24" s="32" t="str">
        <f>IFERROR(VLOOKUP(Table1824[[#This Row],[BKK]]&amp;TRIM(RIGHT(SUBSTITUTE(TRIM(Table1824[[#Headers],[Uraian aaaaa]])," ",REPT(" ",255)),255)),'Un nOTA'!$D$4:$J$1004,3,FALSE),"")</f>
        <v/>
      </c>
      <c r="X24" s="32" t="str">
        <f>IFERROR(VLOOKUP(Table1824[[#This Row],[BKK]]&amp;TRIM(RIGHT(SUBSTITUTE(TRIM(Table1824[[#Headers],[Uraian aaaaaa]])," ",REPT(" ",255)),255)),'Un nOTA'!$D$4:$J$1004,3,FALSE),"")</f>
        <v/>
      </c>
      <c r="Y24" s="32" t="str">
        <f>IFERROR(VLOOKUP(Table1824[[#This Row],[BKK]]&amp;TRIM(RIGHT(SUBSTITUTE(TRIM(Table1824[[#Headers],[Uraian aaaaaaa]])," ",REPT(" ",255)),255)),'Un nOTA'!$D$4:$J$1004,3,FALSE),"")</f>
        <v/>
      </c>
      <c r="Z24" s="32" t="str">
        <f>IFERROR(VLOOKUP(Table1824[[#This Row],[BKK]]&amp;TRIM(RIGHT(SUBSTITUTE(TRIM(Table1824[[#Headers],[Uraian aaaaaaaa]])," ",REPT(" ",255)),255)),'Un nOTA'!$D$4:$J$1004,3,FALSE),"")</f>
        <v/>
      </c>
      <c r="AA24" s="32" t="str">
        <f>IFERROR(VLOOKUP(Table1824[[#This Row],[BKK]]&amp;TRIM(RIGHT(SUBSTITUTE(TRIM(Table1824[[#Headers],[Uraian aaaaaaaaa]])," ",REPT(" ",255)),255)),'Un nOTA'!$D$4:$J$1004,3,FALSE),"")</f>
        <v/>
      </c>
      <c r="AB24" s="32" t="str">
        <f>IFERROR(VLOOKUP(Table1824[[#This Row],[BKK]]&amp;TRIM(RIGHT(SUBSTITUTE(TRIM(Table1824[[#Headers],[Uraian aaaaaaaaaa]])," ",REPT(" ",255)),255)),'Un nOTA'!$D$4:$J$1004,3,FALSE),"")</f>
        <v/>
      </c>
      <c r="AC24" s="32" t="str">
        <f>IFERROR(VLOOKUP(Table1824[[#This Row],[BKK]]&amp;TRIM(RIGHT(SUBSTITUTE(TRIM(Table1824[[#Headers],[Uraian aaaaaaaaaaa]])," ",REPT(" ",255)),255)),'Un nOTA'!$D$4:$J$1004,3,FALSE),"")</f>
        <v/>
      </c>
      <c r="AD24" s="32" t="str">
        <f>IFERROR(VLOOKUP(Table1824[[#This Row],[BKK]]&amp;TRIM(RIGHT(SUBSTITUTE(TRIM(Table1824[[#Headers],[Uraian aaaaaaaaaaaa]])," ",REPT(" ",255)),255)),'Un nOTA'!$D$4:$J$1004,3,FALSE),"")</f>
        <v/>
      </c>
      <c r="AE24" s="8" t="str">
        <f>IFERROR(VLOOKUP(Table1824[[#This Row],[BKK]],'Un nOTA'!$D$4:$J$1004,4,FALSE),"")</f>
        <v/>
      </c>
      <c r="AF24" s="8" t="str">
        <f>IFERROR(VLOOKUP(Table1824[[#This Row],[BKK]]&amp;TRIM(RIGHT(SUBSTITUTE(TRIM(Table1824[[#Headers],[Uraian a]])," ",REPT(" ",255)),255)),'Un nOTA'!$D$4:$J$1004,4,FALSE),"")</f>
        <v/>
      </c>
      <c r="AG24" s="8" t="str">
        <f>IFERROR(VLOOKUP(Table1824[[#This Row],[BKK]]&amp;TRIM(RIGHT(SUBSTITUTE(TRIM(Table1824[[#Headers],[Uraian aa]])," ",REPT(" ",255)),255)),'Un nOTA'!$D$4:$J$1004,4,FALSE),"")</f>
        <v/>
      </c>
      <c r="AH24" s="8" t="str">
        <f>IFERROR(VLOOKUP(Table1824[[#This Row],[BKK]]&amp;TRIM(RIGHT(SUBSTITUTE(TRIM(Table1824[[#Headers],[Uraian aaa]])," ",REPT(" ",255)),255)),'Un nOTA'!$D$4:$J$1004,4,FALSE),"")</f>
        <v/>
      </c>
      <c r="AI24" s="8" t="str">
        <f>IFERROR(VLOOKUP(Table1824[[#This Row],[BKK]]&amp;TRIM(RIGHT(SUBSTITUTE(TRIM(Table1824[[#Headers],[Uraian aaaa]])," ",REPT(" ",255)),255)),'Un nOTA'!$D$4:$J$1004,4,FALSE),"")</f>
        <v/>
      </c>
      <c r="AJ24" s="8" t="str">
        <f>IFERROR(VLOOKUP(Table1824[[#This Row],[BKK]]&amp;TRIM(RIGHT(SUBSTITUTE(TRIM(Table1824[[#Headers],[Uraian aaaaa]])," ",REPT(" ",255)),255)),'Un nOTA'!$D$4:$J$1004,4,FALSE),"")</f>
        <v/>
      </c>
      <c r="AK24" s="8" t="str">
        <f>IFERROR(VLOOKUP(Table1824[[#This Row],[BKK]]&amp;TRIM(RIGHT(SUBSTITUTE(TRIM(Table1824[[#Headers],[Uraian aaaaaa]])," ",REPT(" ",255)),255)),'Un nOTA'!$D$4:$J$1004,4,FALSE),"")</f>
        <v/>
      </c>
      <c r="AL24" s="8" t="str">
        <f>IFERROR(VLOOKUP(Table1824[[#This Row],[BKK]]&amp;TRIM(RIGHT(SUBSTITUTE(TRIM(Table1824[[#Headers],[Uraian aaaaaaa]])," ",REPT(" ",255)),255)),'Un nOTA'!$D$4:$J$1004,4,FALSE),"")</f>
        <v/>
      </c>
      <c r="AM24" s="8" t="str">
        <f>IFERROR(VLOOKUP(Table1824[[#This Row],[BKK]]&amp;TRIM(RIGHT(SUBSTITUTE(TRIM(Table1824[[#Headers],[Uraian aaaaaaaa]])," ",REPT(" ",255)),255)),'Un nOTA'!$D$4:$J$1004,4,FALSE),"")</f>
        <v/>
      </c>
      <c r="AN24" s="8" t="str">
        <f>IFERROR(VLOOKUP(Table1824[[#This Row],[BKK]]&amp;TRIM(RIGHT(SUBSTITUTE(TRIM(Table1824[[#Headers],[Uraian aaaaaaaaa]])," ",REPT(" ",255)),255)),'Un nOTA'!$D$4:$J$1004,4,FALSE),"")</f>
        <v/>
      </c>
      <c r="AO24" s="8" t="str">
        <f>IFERROR(VLOOKUP(Table1824[[#This Row],[BKK]]&amp;TRIM(RIGHT(SUBSTITUTE(TRIM(Table1824[[#Headers],[Uraian aaaaaaaaaa]])," ",REPT(" ",255)),255)),'Un nOTA'!$D$4:$J$1004,4,FALSE),"")</f>
        <v/>
      </c>
      <c r="AP24" s="8" t="str">
        <f>IFERROR(VLOOKUP(Table1824[[#This Row],[BKK]]&amp;TRIM(RIGHT(SUBSTITUTE(TRIM(Table1824[[#Headers],[Uraian aaaaaaaaaaa]])," ",REPT(" ",255)),255)),'Un nOTA'!$D$4:$J$1004,4,FALSE),"")</f>
        <v/>
      </c>
      <c r="AQ24" s="8" t="str">
        <f>IFERROR(VLOOKUP(Table1824[[#This Row],[BKK]]&amp;TRIM(RIGHT(SUBSTITUTE(TRIM(Table1824[[#Headers],[Uraian aaaaaaaaaaaa]])," ",REPT(" ",255)),255)),'Un nOTA'!$D$4:$J$1004,4,FALSE),"")</f>
        <v/>
      </c>
      <c r="AR24" s="8" t="str">
        <f>IFERROR((IFERROR(VLOOKUP(Table1824[[#This Row],[BKK]],'Un nOTA'!$D$4:$J$1004,5,FALSE),""))*(10/11),"")</f>
        <v/>
      </c>
      <c r="AS24" s="8" t="str">
        <f>IFERROR((IFERROR(VLOOKUP(Table1824[[#This Row],[BKK]]&amp;TRIM(RIGHT(SUBSTITUTE(TRIM(Table1824[[#Headers],[Uraian a]])," ",REPT(" ",255)),255)),'Un nOTA'!$D$4:$J$1004,5,FALSE),"")*(10/11)),"")</f>
        <v/>
      </c>
      <c r="AT24" s="8" t="str">
        <f>IFERROR((IFERROR(VLOOKUP(Table1824[[#This Row],[BKK]]&amp;TRIM(RIGHT(SUBSTITUTE(TRIM(Table1824[[#Headers],[Uraian aa]])," ",REPT(" ",255)),255)),'Un nOTA'!$D$4:$J$1004,5,FALSE),"")*(10/11)),"")</f>
        <v/>
      </c>
      <c r="AU24" s="8" t="str">
        <f>IFERROR((IFERROR(VLOOKUP(Table1824[[#This Row],[BKK]]&amp;TRIM(RIGHT(SUBSTITUTE(TRIM(Table1824[[#Headers],[Uraian aaa]])," ",REPT(" ",255)),255)),'Un nOTA'!$D$4:$J$1004,5,FALSE),"")*(10/11)),"")</f>
        <v/>
      </c>
      <c r="AV24" s="8" t="str">
        <f>IFERROR((IFERROR(VLOOKUP(Table1824[[#This Row],[BKK]]&amp;TRIM(RIGHT(SUBSTITUTE(TRIM(Table1824[[#Headers],[Uraian aaaa]])," ",REPT(" ",255)),255)),'Un nOTA'!$D$4:$J$1004,5,FALSE),"")*(10/11)),"")</f>
        <v/>
      </c>
      <c r="AW24" s="8" t="str">
        <f>IFERROR((IFERROR(VLOOKUP(Table1824[[#This Row],[BKK]]&amp;TRIM(RIGHT(SUBSTITUTE(TRIM(Table1824[[#Headers],[Uraian aaaaa]])," ",REPT(" ",255)),255)),'Un nOTA'!$D$4:$J$1004,5,FALSE),"")*(10/11)),"")</f>
        <v/>
      </c>
      <c r="AX24" s="8" t="str">
        <f>IFERROR((IFERROR(VLOOKUP(Table1824[[#This Row],[BKK]]&amp;TRIM(RIGHT(SUBSTITUTE(TRIM(Table1824[[#Headers],[Uraian aaaaaa]])," ",REPT(" ",255)),255)),'Un nOTA'!$D$4:$J$1004,5,FALSE),"")*(10/11)),"")</f>
        <v/>
      </c>
      <c r="AY24" s="8" t="str">
        <f>IFERROR((IFERROR(VLOOKUP(Table1824[[#This Row],[BKK]]&amp;TRIM(RIGHT(SUBSTITUTE(TRIM(Table1824[[#Headers],[Uraian aaaaaaa]])," ",REPT(" ",255)),255)),'Un nOTA'!$D$4:$J$1004,5,FALSE),"")*(10/11)),"")</f>
        <v/>
      </c>
      <c r="AZ24" s="8" t="str">
        <f>IFERROR((IFERROR(VLOOKUP(Table1824[[#This Row],[BKK]]&amp;TRIM(RIGHT(SUBSTITUTE(TRIM(Table1824[[#Headers],[Uraian aaaaaaaa]])," ",REPT(" ",255)),255)),'Un nOTA'!$D$4:$J$1004,5,FALSE),"")*(10/11)),"")</f>
        <v/>
      </c>
      <c r="BA24" s="8" t="str">
        <f>IFERROR((IFERROR(VLOOKUP(Table1824[[#This Row],[BKK]]&amp;TRIM(RIGHT(SUBSTITUTE(TRIM(Table1824[[#Headers],[Uraian aaaaaaaaa]])," ",REPT(" ",255)),255)),'Un nOTA'!$D$4:$J$1004,5,FALSE),"")*(10/11)),"")</f>
        <v/>
      </c>
      <c r="BB24" s="8" t="str">
        <f>IFERROR((IFERROR(VLOOKUP(Table1824[[#This Row],[BKK]]&amp;TRIM(RIGHT(SUBSTITUTE(TRIM(Table1824[[#Headers],[Uraian aaaaaaaaaa]])," ",REPT(" ",255)),255)),'Un nOTA'!$D$4:$J$1004,5,FALSE),"")*(10/11)),"")</f>
        <v/>
      </c>
      <c r="BC24" s="8" t="str">
        <f>IFERROR((IFERROR(VLOOKUP(Table1824[[#This Row],[BKK]]&amp;TRIM(RIGHT(SUBSTITUTE(TRIM(Table1824[[#Headers],[Uraian aaaaaaaaaaa]])," ",REPT(" ",255)),255)),'Un nOTA'!$D$4:$J$1004,5,FALSE),"")*(10/11)),"")</f>
        <v/>
      </c>
      <c r="BD24" s="8" t="str">
        <f>IFERROR((IFERROR(VLOOKUP(Table1824[[#This Row],[BKK]]&amp;TRIM(RIGHT(SUBSTITUTE(TRIM(Table1824[[#Headers],[Uraian aaaaaaaaaaaa]])," ",REPT(" ",255)),255)),'Un nOTA'!$D$4:$J$1004,5,FALSE),"")*(10/11)),"")</f>
        <v/>
      </c>
      <c r="BE24" s="23" t="str">
        <f>IFERROR(ROUNDUP((Table1824[[#This Row],[Qty]]*Table1824[[#This Row],[Hrg St]]),0),"")</f>
        <v/>
      </c>
      <c r="BF24" s="8" t="str">
        <f>IFERROR(ROUNDUP((Table1824[[#This Row],[Qty2]]*Table1824[[#This Row],[Hrg St2]]),0),"")</f>
        <v/>
      </c>
      <c r="BG24" s="8" t="str">
        <f>IFERROR(ROUNDUP((Table1824[[#This Row],[Qty3]]*Table1824[[#This Row],[Hrg St3]]),0),"")</f>
        <v/>
      </c>
      <c r="BH24" s="8" t="str">
        <f>IFERROR(ROUNDUP((Table1824[[#This Row],[Qty4]]*Table1824[[#This Row],[Hrg St4]]),0),"")</f>
        <v/>
      </c>
      <c r="BI24" s="8" t="str">
        <f>IFERROR(ROUNDUP((Table1824[[#This Row],[Qty5]]*Table1824[[#This Row],[Hrg St5]]),0),"")</f>
        <v/>
      </c>
      <c r="BJ24" s="8" t="str">
        <f>IFERROR(ROUNDUP((Table1824[[#This Row],[Qty6]]*Table1824[[#This Row],[Hrg St6]]),0),"")</f>
        <v/>
      </c>
      <c r="BK24" s="8" t="str">
        <f>IFERROR(ROUNDUP((Table1824[[#This Row],[Qty7]]*Table1824[[#This Row],[Hrg St7]]),0),"")</f>
        <v/>
      </c>
      <c r="BL24" s="8" t="str">
        <f>IFERROR(ROUNDUP((Table1824[[#This Row],[Qty8]]*Table1824[[#This Row],[Hrg St8]]),0),"")</f>
        <v/>
      </c>
      <c r="BM24" s="8" t="str">
        <f>IFERROR(ROUNDUP((Table1824[[#This Row],[Qty9]]*Table1824[[#This Row],[Hrg St9]]),0),"")</f>
        <v/>
      </c>
      <c r="BN24" s="8" t="str">
        <f>IFERROR(ROUNDUP((Table1824[[#This Row],[Qty10]]*Table1824[[#This Row],[Hrg St10]]),0),"")</f>
        <v/>
      </c>
      <c r="BO24" s="8" t="str">
        <f>IFERROR(ROUNDUP((Table1824[[#This Row],[Qty11]]*Table1824[[#This Row],[Hrg St11]]),0),"")</f>
        <v/>
      </c>
      <c r="BP24" s="8" t="str">
        <f>IFERROR(ROUNDUP((Table1824[[#This Row],[Qty12]]*Table1824[[#This Row],[Hrg St12]]),0),"")</f>
        <v/>
      </c>
      <c r="BQ24" s="8" t="str">
        <f>IFERROR(ROUNDUP((Table1824[[#This Row],[Qty13]]*Table1824[[#This Row],[Hrg St13]]),0),"")</f>
        <v/>
      </c>
      <c r="BR24" s="23" t="str">
        <f>IF(Table1824[[#This Row],[BKK]]&gt;" ",IFERROR(ROUNDUP((SUM(Table1824[[#This Row],[Jml]:[Jml13]])),0)," ")," ")</f>
        <v xml:space="preserve"> </v>
      </c>
      <c r="BS24" s="23" t="str">
        <f>IF(Table1824[[#This Row],[BKK]]&gt;" ",ROUND((Table1824[[#This Row],[Total]]*0.1),0)," ")</f>
        <v xml:space="preserve"> </v>
      </c>
      <c r="BT24" s="23" t="str">
        <f>IF(Table1824[[#This Row],[BKK]]&gt;" ",(Table1824[[#This Row],[Total]]+Table1824[[#This Row],[PPN]])," ")</f>
        <v xml:space="preserve"> </v>
      </c>
      <c r="BU24" t="s">
        <v>454</v>
      </c>
      <c r="BV24" t="str">
        <f>IF(Table1824[[#This Row],[BKK]]&gt;" ",("INV/AK-MLG/2019/"&amp;'BKU 1'!$E$1&amp;"/"&amp;Table1824[[#This Row],[BKK]]&amp;"/"&amp;'BKU 1'!$E$1&amp;ROW())," ")</f>
        <v xml:space="preserve"> </v>
      </c>
      <c r="BW24" t="str">
        <f>IF(Table1824[[#This Row],[BKK]]&gt;" ",(TEXT(VLOOKUP(Table1824[[#This Row],[BKK]],COPY!$O$2:$U$1000,7,FALSE),"dd mmmm yyyy"))," ")</f>
        <v xml:space="preserve"> </v>
      </c>
      <c r="BX24" t="str">
        <f>IF(Table1824[[#This Row],[BKK]]&gt;" ",(TEXT((Table1824[[#This Row],[Tanggal Kirim]]+30),"dd mmmm yyyy"))," ")</f>
        <v xml:space="preserve"> </v>
      </c>
      <c r="BY24" t="str">
        <f>IF(Table1824[[#This Row],[BKK]]&gt;" ",'BKU 1'!$E$17," ")</f>
        <v xml:space="preserve"> </v>
      </c>
    </row>
    <row r="25" spans="1:77" hidden="1" x14ac:dyDescent="0.25">
      <c r="A25" t="str">
        <f>IFERROR((IF('Laporan ppn'!G6812&gt;0,VLOOKUP('Laporan ppn'!G6812,'Laporan ppn'!$E$10:$F$6785,2,FALSE),"")),"")</f>
        <v xml:space="preserve"> </v>
      </c>
      <c r="B25" t="str">
        <f>IF(Table1824[[#This Row],[BKK]]=" "," ",'BKU 1'!$D$25)</f>
        <v xml:space="preserve"> </v>
      </c>
      <c r="C25" t="str">
        <f>IF(Table1824[[#This Row],[BKK]]=" "," ",'BKU 1'!$D$26)</f>
        <v xml:space="preserve"> </v>
      </c>
      <c r="D25" t="str">
        <f>IF(Table1824[[#This Row],[BKK]]=" "," ",'BKU 1'!$I$25)</f>
        <v xml:space="preserve"> </v>
      </c>
      <c r="E25" t="str">
        <f>IFERROR(VLOOKUP(Table1824[[#This Row],[BKK]],'Un nOTA'!$D$4:$J$1004,2,FALSE),"")</f>
        <v/>
      </c>
      <c r="F25" t="str">
        <f>IFERROR(VLOOKUP(Table1824[[#This Row],[BKK]]&amp;TRIM(RIGHT(SUBSTITUTE(TRIM(Table1824[[#Headers],[Uraian a]])," ",REPT(" ",255)),255)),'Un nOTA'!$D$4:$J$1004,2,FALSE),"")</f>
        <v/>
      </c>
      <c r="G25" t="str">
        <f>IFERROR(VLOOKUP(Table1824[[#This Row],[BKK]]&amp;TRIM(RIGHT(SUBSTITUTE(TRIM(Table1824[[#Headers],[Uraian aa]])," ",REPT(" ",255)),255)),'Un nOTA'!$D$4:$J$1004,2,FALSE),"")</f>
        <v/>
      </c>
      <c r="H25" t="str">
        <f>IFERROR(VLOOKUP(Table1824[[#This Row],[BKK]]&amp;TRIM(RIGHT(SUBSTITUTE(TRIM(Table1824[[#Headers],[Uraian aaa]])," ",REPT(" ",255)),255)),'Un nOTA'!$D$4:$J$1004,2,FALSE),"")</f>
        <v/>
      </c>
      <c r="I25" t="str">
        <f>IFERROR(VLOOKUP(Table1824[[#This Row],[BKK]]&amp;TRIM(RIGHT(SUBSTITUTE(TRIM(Table1824[[#Headers],[Uraian aaaa]])," ",REPT(" ",255)),255)),'Un nOTA'!$D$4:$J$1004,2,FALSE),"")</f>
        <v/>
      </c>
      <c r="J25" t="str">
        <f>IFERROR(VLOOKUP(Table1824[[#This Row],[BKK]]&amp;TRIM(RIGHT(SUBSTITUTE(TRIM(Table1824[[#Headers],[Uraian aaaaa]])," ",REPT(" ",255)),255)),'Un nOTA'!$D$4:$J$1004,2,FALSE),"")</f>
        <v/>
      </c>
      <c r="K25" t="str">
        <f>IFERROR(VLOOKUP(Table1824[[#This Row],[BKK]]&amp;TRIM(RIGHT(SUBSTITUTE(TRIM(Table1824[[#Headers],[Uraian aaaaaa]])," ",REPT(" ",255)),255)),'Un nOTA'!$D$4:$J$1004,2,FALSE),"")</f>
        <v/>
      </c>
      <c r="L25" t="str">
        <f>IFERROR(VLOOKUP(Table1824[[#This Row],[BKK]]&amp;TRIM(RIGHT(SUBSTITUTE(TRIM(Table1824[[#Headers],[Uraian aaaaaaa]])," ",REPT(" ",255)),255)),'Un nOTA'!$D$4:$J$1004,2,FALSE),"")</f>
        <v/>
      </c>
      <c r="M25" t="str">
        <f>IFERROR(VLOOKUP(Table1824[[#This Row],[BKK]]&amp;TRIM(RIGHT(SUBSTITUTE(TRIM(Table1824[[#Headers],[Uraian aaaaaaaa]])," ",REPT(" ",255)),255)),'Un nOTA'!$D$4:$J$1004,2,FALSE),"")</f>
        <v/>
      </c>
      <c r="N25" t="str">
        <f>IFERROR(VLOOKUP(Table1824[[#This Row],[BKK]]&amp;TRIM(RIGHT(SUBSTITUTE(TRIM(Table1824[[#Headers],[Uraian aaaaaaaaa]])," ",REPT(" ",255)),255)),'Un nOTA'!$D$4:$J$1004,2,FALSE),"")</f>
        <v/>
      </c>
      <c r="O25" t="str">
        <f>IFERROR(VLOOKUP(Table1824[[#This Row],[BKK]]&amp;TRIM(RIGHT(SUBSTITUTE(TRIM(Table1824[[#Headers],[Uraian aaaaaaaaaa]])," ",REPT(" ",255)),255)),'Un nOTA'!$D$4:$J$1004,2,FALSE),"")</f>
        <v/>
      </c>
      <c r="P25" t="str">
        <f>IFERROR(VLOOKUP(Table1824[[#This Row],[BKK]]&amp;TRIM(RIGHT(SUBSTITUTE(TRIM(Table1824[[#Headers],[Uraian aaaaaaaaaaa]])," ",REPT(" ",255)),255)),'Un nOTA'!$D$4:$J$1004,2,FALSE),"")</f>
        <v/>
      </c>
      <c r="Q25" t="str">
        <f>IFERROR(VLOOKUP(Table1824[[#This Row],[BKK]]&amp;TRIM(RIGHT(SUBSTITUTE(TRIM(Table1824[[#Headers],[Uraian aaaaaaaaaaaa]])," ",REPT(" ",255)),255)),'Un nOTA'!$D$4:$J$1004,2,FALSE),"")</f>
        <v/>
      </c>
      <c r="R25" s="32" t="str">
        <f>IFERROR(VLOOKUP(Table1824[[#This Row],[BKK]],'Un nOTA'!$D$4:$J$1004,3,FALSE),"")</f>
        <v/>
      </c>
      <c r="S25" s="32" t="str">
        <f>IFERROR(VLOOKUP(Table1824[[#This Row],[BKK]]&amp;TRIM(RIGHT(SUBSTITUTE(TRIM(Table1824[[#Headers],[Uraian a]])," ",REPT(" ",255)),255)),'Un nOTA'!$D$4:$J$1004,3,FALSE),"")</f>
        <v/>
      </c>
      <c r="T25" s="32" t="str">
        <f>IFERROR(VLOOKUP(Table1824[[#This Row],[BKK]]&amp;TRIM(RIGHT(SUBSTITUTE(TRIM(Table1824[[#Headers],[Uraian aa]])," ",REPT(" ",255)),255)),'Un nOTA'!$D$4:$J$1004,3,FALSE),"")</f>
        <v/>
      </c>
      <c r="U25" s="32" t="str">
        <f>IFERROR(VLOOKUP(Table1824[[#This Row],[BKK]]&amp;TRIM(RIGHT(SUBSTITUTE(TRIM(Table1824[[#Headers],[Uraian aaa]])," ",REPT(" ",255)),255)),'Un nOTA'!$D$4:$J$1004,3,FALSE),"")</f>
        <v/>
      </c>
      <c r="V25" s="32" t="str">
        <f>IFERROR(VLOOKUP(Table1824[[#This Row],[BKK]]&amp;TRIM(RIGHT(SUBSTITUTE(TRIM(Table1824[[#Headers],[Uraian aaaa]])," ",REPT(" ",255)),255)),'Un nOTA'!$D$4:$J$1004,3,FALSE),"")</f>
        <v/>
      </c>
      <c r="W25" s="32" t="str">
        <f>IFERROR(VLOOKUP(Table1824[[#This Row],[BKK]]&amp;TRIM(RIGHT(SUBSTITUTE(TRIM(Table1824[[#Headers],[Uraian aaaaa]])," ",REPT(" ",255)),255)),'Un nOTA'!$D$4:$J$1004,3,FALSE),"")</f>
        <v/>
      </c>
      <c r="X25" s="32" t="str">
        <f>IFERROR(VLOOKUP(Table1824[[#This Row],[BKK]]&amp;TRIM(RIGHT(SUBSTITUTE(TRIM(Table1824[[#Headers],[Uraian aaaaaa]])," ",REPT(" ",255)),255)),'Un nOTA'!$D$4:$J$1004,3,FALSE),"")</f>
        <v/>
      </c>
      <c r="Y25" s="32" t="str">
        <f>IFERROR(VLOOKUP(Table1824[[#This Row],[BKK]]&amp;TRIM(RIGHT(SUBSTITUTE(TRIM(Table1824[[#Headers],[Uraian aaaaaaa]])," ",REPT(" ",255)),255)),'Un nOTA'!$D$4:$J$1004,3,FALSE),"")</f>
        <v/>
      </c>
      <c r="Z25" s="32" t="str">
        <f>IFERROR(VLOOKUP(Table1824[[#This Row],[BKK]]&amp;TRIM(RIGHT(SUBSTITUTE(TRIM(Table1824[[#Headers],[Uraian aaaaaaaa]])," ",REPT(" ",255)),255)),'Un nOTA'!$D$4:$J$1004,3,FALSE),"")</f>
        <v/>
      </c>
      <c r="AA25" s="32" t="str">
        <f>IFERROR(VLOOKUP(Table1824[[#This Row],[BKK]]&amp;TRIM(RIGHT(SUBSTITUTE(TRIM(Table1824[[#Headers],[Uraian aaaaaaaaa]])," ",REPT(" ",255)),255)),'Un nOTA'!$D$4:$J$1004,3,FALSE),"")</f>
        <v/>
      </c>
      <c r="AB25" s="32" t="str">
        <f>IFERROR(VLOOKUP(Table1824[[#This Row],[BKK]]&amp;TRIM(RIGHT(SUBSTITUTE(TRIM(Table1824[[#Headers],[Uraian aaaaaaaaaa]])," ",REPT(" ",255)),255)),'Un nOTA'!$D$4:$J$1004,3,FALSE),"")</f>
        <v/>
      </c>
      <c r="AC25" s="32" t="str">
        <f>IFERROR(VLOOKUP(Table1824[[#This Row],[BKK]]&amp;TRIM(RIGHT(SUBSTITUTE(TRIM(Table1824[[#Headers],[Uraian aaaaaaaaaaa]])," ",REPT(" ",255)),255)),'Un nOTA'!$D$4:$J$1004,3,FALSE),"")</f>
        <v/>
      </c>
      <c r="AD25" s="32" t="str">
        <f>IFERROR(VLOOKUP(Table1824[[#This Row],[BKK]]&amp;TRIM(RIGHT(SUBSTITUTE(TRIM(Table1824[[#Headers],[Uraian aaaaaaaaaaaa]])," ",REPT(" ",255)),255)),'Un nOTA'!$D$4:$J$1004,3,FALSE),"")</f>
        <v/>
      </c>
      <c r="AE25" s="8" t="str">
        <f>IFERROR(VLOOKUP(Table1824[[#This Row],[BKK]],'Un nOTA'!$D$4:$J$1004,4,FALSE),"")</f>
        <v/>
      </c>
      <c r="AF25" s="8" t="str">
        <f>IFERROR(VLOOKUP(Table1824[[#This Row],[BKK]]&amp;TRIM(RIGHT(SUBSTITUTE(TRIM(Table1824[[#Headers],[Uraian a]])," ",REPT(" ",255)),255)),'Un nOTA'!$D$4:$J$1004,4,FALSE),"")</f>
        <v/>
      </c>
      <c r="AG25" s="8" t="str">
        <f>IFERROR(VLOOKUP(Table1824[[#This Row],[BKK]]&amp;TRIM(RIGHT(SUBSTITUTE(TRIM(Table1824[[#Headers],[Uraian aa]])," ",REPT(" ",255)),255)),'Un nOTA'!$D$4:$J$1004,4,FALSE),"")</f>
        <v/>
      </c>
      <c r="AH25" s="8" t="str">
        <f>IFERROR(VLOOKUP(Table1824[[#This Row],[BKK]]&amp;TRIM(RIGHT(SUBSTITUTE(TRIM(Table1824[[#Headers],[Uraian aaa]])," ",REPT(" ",255)),255)),'Un nOTA'!$D$4:$J$1004,4,FALSE),"")</f>
        <v/>
      </c>
      <c r="AI25" s="8" t="str">
        <f>IFERROR(VLOOKUP(Table1824[[#This Row],[BKK]]&amp;TRIM(RIGHT(SUBSTITUTE(TRIM(Table1824[[#Headers],[Uraian aaaa]])," ",REPT(" ",255)),255)),'Un nOTA'!$D$4:$J$1004,4,FALSE),"")</f>
        <v/>
      </c>
      <c r="AJ25" s="8" t="str">
        <f>IFERROR(VLOOKUP(Table1824[[#This Row],[BKK]]&amp;TRIM(RIGHT(SUBSTITUTE(TRIM(Table1824[[#Headers],[Uraian aaaaa]])," ",REPT(" ",255)),255)),'Un nOTA'!$D$4:$J$1004,4,FALSE),"")</f>
        <v/>
      </c>
      <c r="AK25" s="8" t="str">
        <f>IFERROR(VLOOKUP(Table1824[[#This Row],[BKK]]&amp;TRIM(RIGHT(SUBSTITUTE(TRIM(Table1824[[#Headers],[Uraian aaaaaa]])," ",REPT(" ",255)),255)),'Un nOTA'!$D$4:$J$1004,4,FALSE),"")</f>
        <v/>
      </c>
      <c r="AL25" s="8" t="str">
        <f>IFERROR(VLOOKUP(Table1824[[#This Row],[BKK]]&amp;TRIM(RIGHT(SUBSTITUTE(TRIM(Table1824[[#Headers],[Uraian aaaaaaa]])," ",REPT(" ",255)),255)),'Un nOTA'!$D$4:$J$1004,4,FALSE),"")</f>
        <v/>
      </c>
      <c r="AM25" s="8" t="str">
        <f>IFERROR(VLOOKUP(Table1824[[#This Row],[BKK]]&amp;TRIM(RIGHT(SUBSTITUTE(TRIM(Table1824[[#Headers],[Uraian aaaaaaaa]])," ",REPT(" ",255)),255)),'Un nOTA'!$D$4:$J$1004,4,FALSE),"")</f>
        <v/>
      </c>
      <c r="AN25" s="8" t="str">
        <f>IFERROR(VLOOKUP(Table1824[[#This Row],[BKK]]&amp;TRIM(RIGHT(SUBSTITUTE(TRIM(Table1824[[#Headers],[Uraian aaaaaaaaa]])," ",REPT(" ",255)),255)),'Un nOTA'!$D$4:$J$1004,4,FALSE),"")</f>
        <v/>
      </c>
      <c r="AO25" s="8" t="str">
        <f>IFERROR(VLOOKUP(Table1824[[#This Row],[BKK]]&amp;TRIM(RIGHT(SUBSTITUTE(TRIM(Table1824[[#Headers],[Uraian aaaaaaaaaa]])," ",REPT(" ",255)),255)),'Un nOTA'!$D$4:$J$1004,4,FALSE),"")</f>
        <v/>
      </c>
      <c r="AP25" s="8" t="str">
        <f>IFERROR(VLOOKUP(Table1824[[#This Row],[BKK]]&amp;TRIM(RIGHT(SUBSTITUTE(TRIM(Table1824[[#Headers],[Uraian aaaaaaaaaaa]])," ",REPT(" ",255)),255)),'Un nOTA'!$D$4:$J$1004,4,FALSE),"")</f>
        <v/>
      </c>
      <c r="AQ25" s="8" t="str">
        <f>IFERROR(VLOOKUP(Table1824[[#This Row],[BKK]]&amp;TRIM(RIGHT(SUBSTITUTE(TRIM(Table1824[[#Headers],[Uraian aaaaaaaaaaaa]])," ",REPT(" ",255)),255)),'Un nOTA'!$D$4:$J$1004,4,FALSE),"")</f>
        <v/>
      </c>
      <c r="AR25" s="8" t="str">
        <f>IFERROR((IFERROR(VLOOKUP(Table1824[[#This Row],[BKK]],'Un nOTA'!$D$4:$J$1004,5,FALSE),""))*(10/11),"")</f>
        <v/>
      </c>
      <c r="AS25" s="8" t="str">
        <f>IFERROR((IFERROR(VLOOKUP(Table1824[[#This Row],[BKK]]&amp;TRIM(RIGHT(SUBSTITUTE(TRIM(Table1824[[#Headers],[Uraian a]])," ",REPT(" ",255)),255)),'Un nOTA'!$D$4:$J$1004,5,FALSE),"")*(10/11)),"")</f>
        <v/>
      </c>
      <c r="AT25" s="8" t="str">
        <f>IFERROR((IFERROR(VLOOKUP(Table1824[[#This Row],[BKK]]&amp;TRIM(RIGHT(SUBSTITUTE(TRIM(Table1824[[#Headers],[Uraian aa]])," ",REPT(" ",255)),255)),'Un nOTA'!$D$4:$J$1004,5,FALSE),"")*(10/11)),"")</f>
        <v/>
      </c>
      <c r="AU25" s="8" t="str">
        <f>IFERROR((IFERROR(VLOOKUP(Table1824[[#This Row],[BKK]]&amp;TRIM(RIGHT(SUBSTITUTE(TRIM(Table1824[[#Headers],[Uraian aaa]])," ",REPT(" ",255)),255)),'Un nOTA'!$D$4:$J$1004,5,FALSE),"")*(10/11)),"")</f>
        <v/>
      </c>
      <c r="AV25" s="8" t="str">
        <f>IFERROR((IFERROR(VLOOKUP(Table1824[[#This Row],[BKK]]&amp;TRIM(RIGHT(SUBSTITUTE(TRIM(Table1824[[#Headers],[Uraian aaaa]])," ",REPT(" ",255)),255)),'Un nOTA'!$D$4:$J$1004,5,FALSE),"")*(10/11)),"")</f>
        <v/>
      </c>
      <c r="AW25" s="8" t="str">
        <f>IFERROR((IFERROR(VLOOKUP(Table1824[[#This Row],[BKK]]&amp;TRIM(RIGHT(SUBSTITUTE(TRIM(Table1824[[#Headers],[Uraian aaaaa]])," ",REPT(" ",255)),255)),'Un nOTA'!$D$4:$J$1004,5,FALSE),"")*(10/11)),"")</f>
        <v/>
      </c>
      <c r="AX25" s="8" t="str">
        <f>IFERROR((IFERROR(VLOOKUP(Table1824[[#This Row],[BKK]]&amp;TRIM(RIGHT(SUBSTITUTE(TRIM(Table1824[[#Headers],[Uraian aaaaaa]])," ",REPT(" ",255)),255)),'Un nOTA'!$D$4:$J$1004,5,FALSE),"")*(10/11)),"")</f>
        <v/>
      </c>
      <c r="AY25" s="8" t="str">
        <f>IFERROR((IFERROR(VLOOKUP(Table1824[[#This Row],[BKK]]&amp;TRIM(RIGHT(SUBSTITUTE(TRIM(Table1824[[#Headers],[Uraian aaaaaaa]])," ",REPT(" ",255)),255)),'Un nOTA'!$D$4:$J$1004,5,FALSE),"")*(10/11)),"")</f>
        <v/>
      </c>
      <c r="AZ25" s="8" t="str">
        <f>IFERROR((IFERROR(VLOOKUP(Table1824[[#This Row],[BKK]]&amp;TRIM(RIGHT(SUBSTITUTE(TRIM(Table1824[[#Headers],[Uraian aaaaaaaa]])," ",REPT(" ",255)),255)),'Un nOTA'!$D$4:$J$1004,5,FALSE),"")*(10/11)),"")</f>
        <v/>
      </c>
      <c r="BA25" s="8" t="str">
        <f>IFERROR((IFERROR(VLOOKUP(Table1824[[#This Row],[BKK]]&amp;TRIM(RIGHT(SUBSTITUTE(TRIM(Table1824[[#Headers],[Uraian aaaaaaaaa]])," ",REPT(" ",255)),255)),'Un nOTA'!$D$4:$J$1004,5,FALSE),"")*(10/11)),"")</f>
        <v/>
      </c>
      <c r="BB25" s="8" t="str">
        <f>IFERROR((IFERROR(VLOOKUP(Table1824[[#This Row],[BKK]]&amp;TRIM(RIGHT(SUBSTITUTE(TRIM(Table1824[[#Headers],[Uraian aaaaaaaaaa]])," ",REPT(" ",255)),255)),'Un nOTA'!$D$4:$J$1004,5,FALSE),"")*(10/11)),"")</f>
        <v/>
      </c>
      <c r="BC25" s="8" t="str">
        <f>IFERROR((IFERROR(VLOOKUP(Table1824[[#This Row],[BKK]]&amp;TRIM(RIGHT(SUBSTITUTE(TRIM(Table1824[[#Headers],[Uraian aaaaaaaaaaa]])," ",REPT(" ",255)),255)),'Un nOTA'!$D$4:$J$1004,5,FALSE),"")*(10/11)),"")</f>
        <v/>
      </c>
      <c r="BD25" s="8" t="str">
        <f>IFERROR((IFERROR(VLOOKUP(Table1824[[#This Row],[BKK]]&amp;TRIM(RIGHT(SUBSTITUTE(TRIM(Table1824[[#Headers],[Uraian aaaaaaaaaaaa]])," ",REPT(" ",255)),255)),'Un nOTA'!$D$4:$J$1004,5,FALSE),"")*(10/11)),"")</f>
        <v/>
      </c>
      <c r="BE25" s="23" t="str">
        <f>IFERROR(ROUNDUP((Table1824[[#This Row],[Qty]]*Table1824[[#This Row],[Hrg St]]),0),"")</f>
        <v/>
      </c>
      <c r="BF25" s="8" t="str">
        <f>IFERROR(ROUNDUP((Table1824[[#This Row],[Qty2]]*Table1824[[#This Row],[Hrg St2]]),0),"")</f>
        <v/>
      </c>
      <c r="BG25" s="8" t="str">
        <f>IFERROR(ROUNDUP((Table1824[[#This Row],[Qty3]]*Table1824[[#This Row],[Hrg St3]]),0),"")</f>
        <v/>
      </c>
      <c r="BH25" s="8" t="str">
        <f>IFERROR(ROUNDUP((Table1824[[#This Row],[Qty4]]*Table1824[[#This Row],[Hrg St4]]),0),"")</f>
        <v/>
      </c>
      <c r="BI25" s="8" t="str">
        <f>IFERROR(ROUNDUP((Table1824[[#This Row],[Qty5]]*Table1824[[#This Row],[Hrg St5]]),0),"")</f>
        <v/>
      </c>
      <c r="BJ25" s="8" t="str">
        <f>IFERROR(ROUNDUP((Table1824[[#This Row],[Qty6]]*Table1824[[#This Row],[Hrg St6]]),0),"")</f>
        <v/>
      </c>
      <c r="BK25" s="8" t="str">
        <f>IFERROR(ROUNDUP((Table1824[[#This Row],[Qty7]]*Table1824[[#This Row],[Hrg St7]]),0),"")</f>
        <v/>
      </c>
      <c r="BL25" s="8" t="str">
        <f>IFERROR(ROUNDUP((Table1824[[#This Row],[Qty8]]*Table1824[[#This Row],[Hrg St8]]),0),"")</f>
        <v/>
      </c>
      <c r="BM25" s="8" t="str">
        <f>IFERROR(ROUNDUP((Table1824[[#This Row],[Qty9]]*Table1824[[#This Row],[Hrg St9]]),0),"")</f>
        <v/>
      </c>
      <c r="BN25" s="8" t="str">
        <f>IFERROR(ROUNDUP((Table1824[[#This Row],[Qty10]]*Table1824[[#This Row],[Hrg St10]]),0),"")</f>
        <v/>
      </c>
      <c r="BO25" s="8" t="str">
        <f>IFERROR(ROUNDUP((Table1824[[#This Row],[Qty11]]*Table1824[[#This Row],[Hrg St11]]),0),"")</f>
        <v/>
      </c>
      <c r="BP25" s="8" t="str">
        <f>IFERROR(ROUNDUP((Table1824[[#This Row],[Qty12]]*Table1824[[#This Row],[Hrg St12]]),0),"")</f>
        <v/>
      </c>
      <c r="BQ25" s="8" t="str">
        <f>IFERROR(ROUNDUP((Table1824[[#This Row],[Qty13]]*Table1824[[#This Row],[Hrg St13]]),0),"")</f>
        <v/>
      </c>
      <c r="BR25" s="23" t="str">
        <f>IF(Table1824[[#This Row],[BKK]]&gt;" ",IFERROR(ROUNDUP((SUM(Table1824[[#This Row],[Jml]:[Jml13]])),0)," ")," ")</f>
        <v xml:space="preserve"> </v>
      </c>
      <c r="BS25" s="23" t="str">
        <f>IF(Table1824[[#This Row],[BKK]]&gt;" ",ROUND((Table1824[[#This Row],[Total]]*0.1),0)," ")</f>
        <v xml:space="preserve"> </v>
      </c>
      <c r="BT25" s="23" t="str">
        <f>IF(Table1824[[#This Row],[BKK]]&gt;" ",(Table1824[[#This Row],[Total]]+Table1824[[#This Row],[PPN]])," ")</f>
        <v xml:space="preserve"> </v>
      </c>
      <c r="BU25" t="s">
        <v>454</v>
      </c>
      <c r="BV25" t="str">
        <f>IF(Table1824[[#This Row],[BKK]]&gt;" ",("INV/AK-MLG/2019/"&amp;'BKU 1'!$E$1&amp;"/"&amp;Table1824[[#This Row],[BKK]]&amp;"/"&amp;'BKU 1'!$E$1&amp;ROW())," ")</f>
        <v xml:space="preserve"> </v>
      </c>
      <c r="BW25" t="str">
        <f>IF(Table1824[[#This Row],[BKK]]&gt;" ",(TEXT(VLOOKUP(Table1824[[#This Row],[BKK]],COPY!$O$2:$U$1000,7,FALSE),"dd mmmm yyyy"))," ")</f>
        <v xml:space="preserve"> </v>
      </c>
      <c r="BX25" t="str">
        <f>IF(Table1824[[#This Row],[BKK]]&gt;" ",(TEXT((Table1824[[#This Row],[Tanggal Kirim]]+30),"dd mmmm yyyy"))," ")</f>
        <v xml:space="preserve"> </v>
      </c>
      <c r="BY25" t="str">
        <f>IF(Table1824[[#This Row],[BKK]]&gt;" ",'BKU 1'!$E$17," ")</f>
        <v xml:space="preserve"> </v>
      </c>
    </row>
    <row r="26" spans="1:77" hidden="1" x14ac:dyDescent="0.25">
      <c r="A26" t="str">
        <f>IFERROR((IF('Laporan ppn'!G6813&gt;0,VLOOKUP('Laporan ppn'!G6813,'Laporan ppn'!$E$10:$F$6785,2,FALSE),"")),"")</f>
        <v xml:space="preserve"> </v>
      </c>
      <c r="B26" t="str">
        <f>IF(Table1824[[#This Row],[BKK]]=" "," ",'BKU 1'!$D$25)</f>
        <v xml:space="preserve"> </v>
      </c>
      <c r="C26" t="str">
        <f>IF(Table1824[[#This Row],[BKK]]=" "," ",'BKU 1'!$D$26)</f>
        <v xml:space="preserve"> </v>
      </c>
      <c r="D26" t="str">
        <f>IF(Table1824[[#This Row],[BKK]]=" "," ",'BKU 1'!$I$25)</f>
        <v xml:space="preserve"> </v>
      </c>
      <c r="E26" t="str">
        <f>IFERROR(VLOOKUP(Table1824[[#This Row],[BKK]],'Un nOTA'!$D$4:$J$1004,2,FALSE),"")</f>
        <v/>
      </c>
      <c r="F26" t="str">
        <f>IFERROR(VLOOKUP(Table1824[[#This Row],[BKK]]&amp;TRIM(RIGHT(SUBSTITUTE(TRIM(Table1824[[#Headers],[Uraian a]])," ",REPT(" ",255)),255)),'Un nOTA'!$D$4:$J$1004,2,FALSE),"")</f>
        <v/>
      </c>
      <c r="G26" t="str">
        <f>IFERROR(VLOOKUP(Table1824[[#This Row],[BKK]]&amp;TRIM(RIGHT(SUBSTITUTE(TRIM(Table1824[[#Headers],[Uraian aa]])," ",REPT(" ",255)),255)),'Un nOTA'!$D$4:$J$1004,2,FALSE),"")</f>
        <v/>
      </c>
      <c r="H26" t="str">
        <f>IFERROR(VLOOKUP(Table1824[[#This Row],[BKK]]&amp;TRIM(RIGHT(SUBSTITUTE(TRIM(Table1824[[#Headers],[Uraian aaa]])," ",REPT(" ",255)),255)),'Un nOTA'!$D$4:$J$1004,2,FALSE),"")</f>
        <v/>
      </c>
      <c r="I26" t="str">
        <f>IFERROR(VLOOKUP(Table1824[[#This Row],[BKK]]&amp;TRIM(RIGHT(SUBSTITUTE(TRIM(Table1824[[#Headers],[Uraian aaaa]])," ",REPT(" ",255)),255)),'Un nOTA'!$D$4:$J$1004,2,FALSE),"")</f>
        <v/>
      </c>
      <c r="J26" t="str">
        <f>IFERROR(VLOOKUP(Table1824[[#This Row],[BKK]]&amp;TRIM(RIGHT(SUBSTITUTE(TRIM(Table1824[[#Headers],[Uraian aaaaa]])," ",REPT(" ",255)),255)),'Un nOTA'!$D$4:$J$1004,2,FALSE),"")</f>
        <v/>
      </c>
      <c r="K26" t="str">
        <f>IFERROR(VLOOKUP(Table1824[[#This Row],[BKK]]&amp;TRIM(RIGHT(SUBSTITUTE(TRIM(Table1824[[#Headers],[Uraian aaaaaa]])," ",REPT(" ",255)),255)),'Un nOTA'!$D$4:$J$1004,2,FALSE),"")</f>
        <v/>
      </c>
      <c r="L26" t="str">
        <f>IFERROR(VLOOKUP(Table1824[[#This Row],[BKK]]&amp;TRIM(RIGHT(SUBSTITUTE(TRIM(Table1824[[#Headers],[Uraian aaaaaaa]])," ",REPT(" ",255)),255)),'Un nOTA'!$D$4:$J$1004,2,FALSE),"")</f>
        <v/>
      </c>
      <c r="M26" t="str">
        <f>IFERROR(VLOOKUP(Table1824[[#This Row],[BKK]]&amp;TRIM(RIGHT(SUBSTITUTE(TRIM(Table1824[[#Headers],[Uraian aaaaaaaa]])," ",REPT(" ",255)),255)),'Un nOTA'!$D$4:$J$1004,2,FALSE),"")</f>
        <v/>
      </c>
      <c r="N26" t="str">
        <f>IFERROR(VLOOKUP(Table1824[[#This Row],[BKK]]&amp;TRIM(RIGHT(SUBSTITUTE(TRIM(Table1824[[#Headers],[Uraian aaaaaaaaa]])," ",REPT(" ",255)),255)),'Un nOTA'!$D$4:$J$1004,2,FALSE),"")</f>
        <v/>
      </c>
      <c r="O26" t="str">
        <f>IFERROR(VLOOKUP(Table1824[[#This Row],[BKK]]&amp;TRIM(RIGHT(SUBSTITUTE(TRIM(Table1824[[#Headers],[Uraian aaaaaaaaaa]])," ",REPT(" ",255)),255)),'Un nOTA'!$D$4:$J$1004,2,FALSE),"")</f>
        <v/>
      </c>
      <c r="P26" t="str">
        <f>IFERROR(VLOOKUP(Table1824[[#This Row],[BKK]]&amp;TRIM(RIGHT(SUBSTITUTE(TRIM(Table1824[[#Headers],[Uraian aaaaaaaaaaa]])," ",REPT(" ",255)),255)),'Un nOTA'!$D$4:$J$1004,2,FALSE),"")</f>
        <v/>
      </c>
      <c r="Q26" t="str">
        <f>IFERROR(VLOOKUP(Table1824[[#This Row],[BKK]]&amp;TRIM(RIGHT(SUBSTITUTE(TRIM(Table1824[[#Headers],[Uraian aaaaaaaaaaaa]])," ",REPT(" ",255)),255)),'Un nOTA'!$D$4:$J$1004,2,FALSE),"")</f>
        <v/>
      </c>
      <c r="R26" s="32" t="str">
        <f>IFERROR(VLOOKUP(Table1824[[#This Row],[BKK]],'Un nOTA'!$D$4:$J$1004,3,FALSE),"")</f>
        <v/>
      </c>
      <c r="S26" s="32" t="str">
        <f>IFERROR(VLOOKUP(Table1824[[#This Row],[BKK]]&amp;TRIM(RIGHT(SUBSTITUTE(TRIM(Table1824[[#Headers],[Uraian a]])," ",REPT(" ",255)),255)),'Un nOTA'!$D$4:$J$1004,3,FALSE),"")</f>
        <v/>
      </c>
      <c r="T26" s="32" t="str">
        <f>IFERROR(VLOOKUP(Table1824[[#This Row],[BKK]]&amp;TRIM(RIGHT(SUBSTITUTE(TRIM(Table1824[[#Headers],[Uraian aa]])," ",REPT(" ",255)),255)),'Un nOTA'!$D$4:$J$1004,3,FALSE),"")</f>
        <v/>
      </c>
      <c r="U26" s="32" t="str">
        <f>IFERROR(VLOOKUP(Table1824[[#This Row],[BKK]]&amp;TRIM(RIGHT(SUBSTITUTE(TRIM(Table1824[[#Headers],[Uraian aaa]])," ",REPT(" ",255)),255)),'Un nOTA'!$D$4:$J$1004,3,FALSE),"")</f>
        <v/>
      </c>
      <c r="V26" s="32" t="str">
        <f>IFERROR(VLOOKUP(Table1824[[#This Row],[BKK]]&amp;TRIM(RIGHT(SUBSTITUTE(TRIM(Table1824[[#Headers],[Uraian aaaa]])," ",REPT(" ",255)),255)),'Un nOTA'!$D$4:$J$1004,3,FALSE),"")</f>
        <v/>
      </c>
      <c r="W26" s="32" t="str">
        <f>IFERROR(VLOOKUP(Table1824[[#This Row],[BKK]]&amp;TRIM(RIGHT(SUBSTITUTE(TRIM(Table1824[[#Headers],[Uraian aaaaa]])," ",REPT(" ",255)),255)),'Un nOTA'!$D$4:$J$1004,3,FALSE),"")</f>
        <v/>
      </c>
      <c r="X26" s="32" t="str">
        <f>IFERROR(VLOOKUP(Table1824[[#This Row],[BKK]]&amp;TRIM(RIGHT(SUBSTITUTE(TRIM(Table1824[[#Headers],[Uraian aaaaaa]])," ",REPT(" ",255)),255)),'Un nOTA'!$D$4:$J$1004,3,FALSE),"")</f>
        <v/>
      </c>
      <c r="Y26" s="32" t="str">
        <f>IFERROR(VLOOKUP(Table1824[[#This Row],[BKK]]&amp;TRIM(RIGHT(SUBSTITUTE(TRIM(Table1824[[#Headers],[Uraian aaaaaaa]])," ",REPT(" ",255)),255)),'Un nOTA'!$D$4:$J$1004,3,FALSE),"")</f>
        <v/>
      </c>
      <c r="Z26" s="32" t="str">
        <f>IFERROR(VLOOKUP(Table1824[[#This Row],[BKK]]&amp;TRIM(RIGHT(SUBSTITUTE(TRIM(Table1824[[#Headers],[Uraian aaaaaaaa]])," ",REPT(" ",255)),255)),'Un nOTA'!$D$4:$J$1004,3,FALSE),"")</f>
        <v/>
      </c>
      <c r="AA26" s="32" t="str">
        <f>IFERROR(VLOOKUP(Table1824[[#This Row],[BKK]]&amp;TRIM(RIGHT(SUBSTITUTE(TRIM(Table1824[[#Headers],[Uraian aaaaaaaaa]])," ",REPT(" ",255)),255)),'Un nOTA'!$D$4:$J$1004,3,FALSE),"")</f>
        <v/>
      </c>
      <c r="AB26" s="32" t="str">
        <f>IFERROR(VLOOKUP(Table1824[[#This Row],[BKK]]&amp;TRIM(RIGHT(SUBSTITUTE(TRIM(Table1824[[#Headers],[Uraian aaaaaaaaaa]])," ",REPT(" ",255)),255)),'Un nOTA'!$D$4:$J$1004,3,FALSE),"")</f>
        <v/>
      </c>
      <c r="AC26" s="32" t="str">
        <f>IFERROR(VLOOKUP(Table1824[[#This Row],[BKK]]&amp;TRIM(RIGHT(SUBSTITUTE(TRIM(Table1824[[#Headers],[Uraian aaaaaaaaaaa]])," ",REPT(" ",255)),255)),'Un nOTA'!$D$4:$J$1004,3,FALSE),"")</f>
        <v/>
      </c>
      <c r="AD26" s="32" t="str">
        <f>IFERROR(VLOOKUP(Table1824[[#This Row],[BKK]]&amp;TRIM(RIGHT(SUBSTITUTE(TRIM(Table1824[[#Headers],[Uraian aaaaaaaaaaaa]])," ",REPT(" ",255)),255)),'Un nOTA'!$D$4:$J$1004,3,FALSE),"")</f>
        <v/>
      </c>
      <c r="AE26" s="8" t="str">
        <f>IFERROR(VLOOKUP(Table1824[[#This Row],[BKK]],'Un nOTA'!$D$4:$J$1004,4,FALSE),"")</f>
        <v/>
      </c>
      <c r="AF26" s="8" t="str">
        <f>IFERROR(VLOOKUP(Table1824[[#This Row],[BKK]]&amp;TRIM(RIGHT(SUBSTITUTE(TRIM(Table1824[[#Headers],[Uraian a]])," ",REPT(" ",255)),255)),'Un nOTA'!$D$4:$J$1004,4,FALSE),"")</f>
        <v/>
      </c>
      <c r="AG26" s="8" t="str">
        <f>IFERROR(VLOOKUP(Table1824[[#This Row],[BKK]]&amp;TRIM(RIGHT(SUBSTITUTE(TRIM(Table1824[[#Headers],[Uraian aa]])," ",REPT(" ",255)),255)),'Un nOTA'!$D$4:$J$1004,4,FALSE),"")</f>
        <v/>
      </c>
      <c r="AH26" s="8" t="str">
        <f>IFERROR(VLOOKUP(Table1824[[#This Row],[BKK]]&amp;TRIM(RIGHT(SUBSTITUTE(TRIM(Table1824[[#Headers],[Uraian aaa]])," ",REPT(" ",255)),255)),'Un nOTA'!$D$4:$J$1004,4,FALSE),"")</f>
        <v/>
      </c>
      <c r="AI26" s="8" t="str">
        <f>IFERROR(VLOOKUP(Table1824[[#This Row],[BKK]]&amp;TRIM(RIGHT(SUBSTITUTE(TRIM(Table1824[[#Headers],[Uraian aaaa]])," ",REPT(" ",255)),255)),'Un nOTA'!$D$4:$J$1004,4,FALSE),"")</f>
        <v/>
      </c>
      <c r="AJ26" s="8" t="str">
        <f>IFERROR(VLOOKUP(Table1824[[#This Row],[BKK]]&amp;TRIM(RIGHT(SUBSTITUTE(TRIM(Table1824[[#Headers],[Uraian aaaaa]])," ",REPT(" ",255)),255)),'Un nOTA'!$D$4:$J$1004,4,FALSE),"")</f>
        <v/>
      </c>
      <c r="AK26" s="8" t="str">
        <f>IFERROR(VLOOKUP(Table1824[[#This Row],[BKK]]&amp;TRIM(RIGHT(SUBSTITUTE(TRIM(Table1824[[#Headers],[Uraian aaaaaa]])," ",REPT(" ",255)),255)),'Un nOTA'!$D$4:$J$1004,4,FALSE),"")</f>
        <v/>
      </c>
      <c r="AL26" s="8" t="str">
        <f>IFERROR(VLOOKUP(Table1824[[#This Row],[BKK]]&amp;TRIM(RIGHT(SUBSTITUTE(TRIM(Table1824[[#Headers],[Uraian aaaaaaa]])," ",REPT(" ",255)),255)),'Un nOTA'!$D$4:$J$1004,4,FALSE),"")</f>
        <v/>
      </c>
      <c r="AM26" s="8" t="str">
        <f>IFERROR(VLOOKUP(Table1824[[#This Row],[BKK]]&amp;TRIM(RIGHT(SUBSTITUTE(TRIM(Table1824[[#Headers],[Uraian aaaaaaaa]])," ",REPT(" ",255)),255)),'Un nOTA'!$D$4:$J$1004,4,FALSE),"")</f>
        <v/>
      </c>
      <c r="AN26" s="8" t="str">
        <f>IFERROR(VLOOKUP(Table1824[[#This Row],[BKK]]&amp;TRIM(RIGHT(SUBSTITUTE(TRIM(Table1824[[#Headers],[Uraian aaaaaaaaa]])," ",REPT(" ",255)),255)),'Un nOTA'!$D$4:$J$1004,4,FALSE),"")</f>
        <v/>
      </c>
      <c r="AO26" s="8" t="str">
        <f>IFERROR(VLOOKUP(Table1824[[#This Row],[BKK]]&amp;TRIM(RIGHT(SUBSTITUTE(TRIM(Table1824[[#Headers],[Uraian aaaaaaaaaa]])," ",REPT(" ",255)),255)),'Un nOTA'!$D$4:$J$1004,4,FALSE),"")</f>
        <v/>
      </c>
      <c r="AP26" s="8" t="str">
        <f>IFERROR(VLOOKUP(Table1824[[#This Row],[BKK]]&amp;TRIM(RIGHT(SUBSTITUTE(TRIM(Table1824[[#Headers],[Uraian aaaaaaaaaaa]])," ",REPT(" ",255)),255)),'Un nOTA'!$D$4:$J$1004,4,FALSE),"")</f>
        <v/>
      </c>
      <c r="AQ26" s="8" t="str">
        <f>IFERROR(VLOOKUP(Table1824[[#This Row],[BKK]]&amp;TRIM(RIGHT(SUBSTITUTE(TRIM(Table1824[[#Headers],[Uraian aaaaaaaaaaaa]])," ",REPT(" ",255)),255)),'Un nOTA'!$D$4:$J$1004,4,FALSE),"")</f>
        <v/>
      </c>
      <c r="AR26" s="8" t="str">
        <f>IFERROR((IFERROR(VLOOKUP(Table1824[[#This Row],[BKK]],'Un nOTA'!$D$4:$J$1004,5,FALSE),""))*(10/11),"")</f>
        <v/>
      </c>
      <c r="AS26" s="8" t="str">
        <f>IFERROR((IFERROR(VLOOKUP(Table1824[[#This Row],[BKK]]&amp;TRIM(RIGHT(SUBSTITUTE(TRIM(Table1824[[#Headers],[Uraian a]])," ",REPT(" ",255)),255)),'Un nOTA'!$D$4:$J$1004,5,FALSE),"")*(10/11)),"")</f>
        <v/>
      </c>
      <c r="AT26" s="8" t="str">
        <f>IFERROR((IFERROR(VLOOKUP(Table1824[[#This Row],[BKK]]&amp;TRIM(RIGHT(SUBSTITUTE(TRIM(Table1824[[#Headers],[Uraian aa]])," ",REPT(" ",255)),255)),'Un nOTA'!$D$4:$J$1004,5,FALSE),"")*(10/11)),"")</f>
        <v/>
      </c>
      <c r="AU26" s="8" t="str">
        <f>IFERROR((IFERROR(VLOOKUP(Table1824[[#This Row],[BKK]]&amp;TRIM(RIGHT(SUBSTITUTE(TRIM(Table1824[[#Headers],[Uraian aaa]])," ",REPT(" ",255)),255)),'Un nOTA'!$D$4:$J$1004,5,FALSE),"")*(10/11)),"")</f>
        <v/>
      </c>
      <c r="AV26" s="8" t="str">
        <f>IFERROR((IFERROR(VLOOKUP(Table1824[[#This Row],[BKK]]&amp;TRIM(RIGHT(SUBSTITUTE(TRIM(Table1824[[#Headers],[Uraian aaaa]])," ",REPT(" ",255)),255)),'Un nOTA'!$D$4:$J$1004,5,FALSE),"")*(10/11)),"")</f>
        <v/>
      </c>
      <c r="AW26" s="8" t="str">
        <f>IFERROR((IFERROR(VLOOKUP(Table1824[[#This Row],[BKK]]&amp;TRIM(RIGHT(SUBSTITUTE(TRIM(Table1824[[#Headers],[Uraian aaaaa]])," ",REPT(" ",255)),255)),'Un nOTA'!$D$4:$J$1004,5,FALSE),"")*(10/11)),"")</f>
        <v/>
      </c>
      <c r="AX26" s="8" t="str">
        <f>IFERROR((IFERROR(VLOOKUP(Table1824[[#This Row],[BKK]]&amp;TRIM(RIGHT(SUBSTITUTE(TRIM(Table1824[[#Headers],[Uraian aaaaaa]])," ",REPT(" ",255)),255)),'Un nOTA'!$D$4:$J$1004,5,FALSE),"")*(10/11)),"")</f>
        <v/>
      </c>
      <c r="AY26" s="8" t="str">
        <f>IFERROR((IFERROR(VLOOKUP(Table1824[[#This Row],[BKK]]&amp;TRIM(RIGHT(SUBSTITUTE(TRIM(Table1824[[#Headers],[Uraian aaaaaaa]])," ",REPT(" ",255)),255)),'Un nOTA'!$D$4:$J$1004,5,FALSE),"")*(10/11)),"")</f>
        <v/>
      </c>
      <c r="AZ26" s="8" t="str">
        <f>IFERROR((IFERROR(VLOOKUP(Table1824[[#This Row],[BKK]]&amp;TRIM(RIGHT(SUBSTITUTE(TRIM(Table1824[[#Headers],[Uraian aaaaaaaa]])," ",REPT(" ",255)),255)),'Un nOTA'!$D$4:$J$1004,5,FALSE),"")*(10/11)),"")</f>
        <v/>
      </c>
      <c r="BA26" s="8" t="str">
        <f>IFERROR((IFERROR(VLOOKUP(Table1824[[#This Row],[BKK]]&amp;TRIM(RIGHT(SUBSTITUTE(TRIM(Table1824[[#Headers],[Uraian aaaaaaaaa]])," ",REPT(" ",255)),255)),'Un nOTA'!$D$4:$J$1004,5,FALSE),"")*(10/11)),"")</f>
        <v/>
      </c>
      <c r="BB26" s="8" t="str">
        <f>IFERROR((IFERROR(VLOOKUP(Table1824[[#This Row],[BKK]]&amp;TRIM(RIGHT(SUBSTITUTE(TRIM(Table1824[[#Headers],[Uraian aaaaaaaaaa]])," ",REPT(" ",255)),255)),'Un nOTA'!$D$4:$J$1004,5,FALSE),"")*(10/11)),"")</f>
        <v/>
      </c>
      <c r="BC26" s="8" t="str">
        <f>IFERROR((IFERROR(VLOOKUP(Table1824[[#This Row],[BKK]]&amp;TRIM(RIGHT(SUBSTITUTE(TRIM(Table1824[[#Headers],[Uraian aaaaaaaaaaa]])," ",REPT(" ",255)),255)),'Un nOTA'!$D$4:$J$1004,5,FALSE),"")*(10/11)),"")</f>
        <v/>
      </c>
      <c r="BD26" s="8" t="str">
        <f>IFERROR((IFERROR(VLOOKUP(Table1824[[#This Row],[BKK]]&amp;TRIM(RIGHT(SUBSTITUTE(TRIM(Table1824[[#Headers],[Uraian aaaaaaaaaaaa]])," ",REPT(" ",255)),255)),'Un nOTA'!$D$4:$J$1004,5,FALSE),"")*(10/11)),"")</f>
        <v/>
      </c>
      <c r="BE26" s="23" t="str">
        <f>IFERROR(ROUNDUP((Table1824[[#This Row],[Qty]]*Table1824[[#This Row],[Hrg St]]),0),"")</f>
        <v/>
      </c>
      <c r="BF26" s="8" t="str">
        <f>IFERROR(ROUNDUP((Table1824[[#This Row],[Qty2]]*Table1824[[#This Row],[Hrg St2]]),0),"")</f>
        <v/>
      </c>
      <c r="BG26" s="8" t="str">
        <f>IFERROR(ROUNDUP((Table1824[[#This Row],[Qty3]]*Table1824[[#This Row],[Hrg St3]]),0),"")</f>
        <v/>
      </c>
      <c r="BH26" s="8" t="str">
        <f>IFERROR(ROUNDUP((Table1824[[#This Row],[Qty4]]*Table1824[[#This Row],[Hrg St4]]),0),"")</f>
        <v/>
      </c>
      <c r="BI26" s="8" t="str">
        <f>IFERROR(ROUNDUP((Table1824[[#This Row],[Qty5]]*Table1824[[#This Row],[Hrg St5]]),0),"")</f>
        <v/>
      </c>
      <c r="BJ26" s="8" t="str">
        <f>IFERROR(ROUNDUP((Table1824[[#This Row],[Qty6]]*Table1824[[#This Row],[Hrg St6]]),0),"")</f>
        <v/>
      </c>
      <c r="BK26" s="8" t="str">
        <f>IFERROR(ROUNDUP((Table1824[[#This Row],[Qty7]]*Table1824[[#This Row],[Hrg St7]]),0),"")</f>
        <v/>
      </c>
      <c r="BL26" s="8" t="str">
        <f>IFERROR(ROUNDUP((Table1824[[#This Row],[Qty8]]*Table1824[[#This Row],[Hrg St8]]),0),"")</f>
        <v/>
      </c>
      <c r="BM26" s="8" t="str">
        <f>IFERROR(ROUNDUP((Table1824[[#This Row],[Qty9]]*Table1824[[#This Row],[Hrg St9]]),0),"")</f>
        <v/>
      </c>
      <c r="BN26" s="8" t="str">
        <f>IFERROR(ROUNDUP((Table1824[[#This Row],[Qty10]]*Table1824[[#This Row],[Hrg St10]]),0),"")</f>
        <v/>
      </c>
      <c r="BO26" s="8" t="str">
        <f>IFERROR(ROUNDUP((Table1824[[#This Row],[Qty11]]*Table1824[[#This Row],[Hrg St11]]),0),"")</f>
        <v/>
      </c>
      <c r="BP26" s="8" t="str">
        <f>IFERROR(ROUNDUP((Table1824[[#This Row],[Qty12]]*Table1824[[#This Row],[Hrg St12]]),0),"")</f>
        <v/>
      </c>
      <c r="BQ26" s="8" t="str">
        <f>IFERROR(ROUNDUP((Table1824[[#This Row],[Qty13]]*Table1824[[#This Row],[Hrg St13]]),0),"")</f>
        <v/>
      </c>
      <c r="BR26" s="23" t="str">
        <f>IF(Table1824[[#This Row],[BKK]]&gt;" ",IFERROR(ROUNDUP((SUM(Table1824[[#This Row],[Jml]:[Jml13]])),0)," ")," ")</f>
        <v xml:space="preserve"> </v>
      </c>
      <c r="BS26" s="23" t="str">
        <f>IF(Table1824[[#This Row],[BKK]]&gt;" ",ROUND((Table1824[[#This Row],[Total]]*0.1),0)," ")</f>
        <v xml:space="preserve"> </v>
      </c>
      <c r="BT26" s="23" t="str">
        <f>IF(Table1824[[#This Row],[BKK]]&gt;" ",(Table1824[[#This Row],[Total]]+Table1824[[#This Row],[PPN]])," ")</f>
        <v xml:space="preserve"> </v>
      </c>
      <c r="BU26" t="s">
        <v>454</v>
      </c>
      <c r="BV26" t="str">
        <f>IF(Table1824[[#This Row],[BKK]]&gt;" ",("INV/AK-MLG/2019/"&amp;'BKU 1'!$E$1&amp;"/"&amp;Table1824[[#This Row],[BKK]]&amp;"/"&amp;'BKU 1'!$E$1&amp;ROW())," ")</f>
        <v xml:space="preserve"> </v>
      </c>
      <c r="BW26" t="str">
        <f>IF(Table1824[[#This Row],[BKK]]&gt;" ",(TEXT(VLOOKUP(Table1824[[#This Row],[BKK]],COPY!$O$2:$U$1000,7,FALSE),"dd mmmm yyyy"))," ")</f>
        <v xml:space="preserve"> </v>
      </c>
      <c r="BX26" t="str">
        <f>IF(Table1824[[#This Row],[BKK]]&gt;" ",(TEXT((Table1824[[#This Row],[Tanggal Kirim]]+30),"dd mmmm yyyy"))," ")</f>
        <v xml:space="preserve"> </v>
      </c>
      <c r="BY26" t="str">
        <f>IF(Table1824[[#This Row],[BKK]]&gt;" ",'BKU 1'!$E$17," ")</f>
        <v xml:space="preserve"> </v>
      </c>
    </row>
    <row r="27" spans="1:77" hidden="1" x14ac:dyDescent="0.25">
      <c r="A27" t="str">
        <f>IFERROR((IF('Laporan ppn'!G6814&gt;0,VLOOKUP('Laporan ppn'!G6814,'Laporan ppn'!$E$10:$F$6785,2,FALSE),"")),"")</f>
        <v xml:space="preserve"> </v>
      </c>
      <c r="B27" t="str">
        <f>IF(Table1824[[#This Row],[BKK]]=" "," ",'BKU 1'!$D$25)</f>
        <v xml:space="preserve"> </v>
      </c>
      <c r="C27" t="str">
        <f>IF(Table1824[[#This Row],[BKK]]=" "," ",'BKU 1'!$D$26)</f>
        <v xml:space="preserve"> </v>
      </c>
      <c r="D27" t="str">
        <f>IF(Table1824[[#This Row],[BKK]]=" "," ",'BKU 1'!$I$25)</f>
        <v xml:space="preserve"> </v>
      </c>
      <c r="E27" t="str">
        <f>IFERROR(VLOOKUP(Table1824[[#This Row],[BKK]],'Un nOTA'!$D$4:$J$1004,2,FALSE),"")</f>
        <v/>
      </c>
      <c r="F27" t="str">
        <f>IFERROR(VLOOKUP(Table1824[[#This Row],[BKK]]&amp;TRIM(RIGHT(SUBSTITUTE(TRIM(Table1824[[#Headers],[Uraian a]])," ",REPT(" ",255)),255)),'Un nOTA'!$D$4:$J$1004,2,FALSE),"")</f>
        <v/>
      </c>
      <c r="G27" t="str">
        <f>IFERROR(VLOOKUP(Table1824[[#This Row],[BKK]]&amp;TRIM(RIGHT(SUBSTITUTE(TRIM(Table1824[[#Headers],[Uraian aa]])," ",REPT(" ",255)),255)),'Un nOTA'!$D$4:$J$1004,2,FALSE),"")</f>
        <v/>
      </c>
      <c r="H27" t="str">
        <f>IFERROR(VLOOKUP(Table1824[[#This Row],[BKK]]&amp;TRIM(RIGHT(SUBSTITUTE(TRIM(Table1824[[#Headers],[Uraian aaa]])," ",REPT(" ",255)),255)),'Un nOTA'!$D$4:$J$1004,2,FALSE),"")</f>
        <v/>
      </c>
      <c r="I27" t="str">
        <f>IFERROR(VLOOKUP(Table1824[[#This Row],[BKK]]&amp;TRIM(RIGHT(SUBSTITUTE(TRIM(Table1824[[#Headers],[Uraian aaaa]])," ",REPT(" ",255)),255)),'Un nOTA'!$D$4:$J$1004,2,FALSE),"")</f>
        <v/>
      </c>
      <c r="J27" t="str">
        <f>IFERROR(VLOOKUP(Table1824[[#This Row],[BKK]]&amp;TRIM(RIGHT(SUBSTITUTE(TRIM(Table1824[[#Headers],[Uraian aaaaa]])," ",REPT(" ",255)),255)),'Un nOTA'!$D$4:$J$1004,2,FALSE),"")</f>
        <v/>
      </c>
      <c r="K27" t="str">
        <f>IFERROR(VLOOKUP(Table1824[[#This Row],[BKK]]&amp;TRIM(RIGHT(SUBSTITUTE(TRIM(Table1824[[#Headers],[Uraian aaaaaa]])," ",REPT(" ",255)),255)),'Un nOTA'!$D$4:$J$1004,2,FALSE),"")</f>
        <v/>
      </c>
      <c r="L27" t="str">
        <f>IFERROR(VLOOKUP(Table1824[[#This Row],[BKK]]&amp;TRIM(RIGHT(SUBSTITUTE(TRIM(Table1824[[#Headers],[Uraian aaaaaaa]])," ",REPT(" ",255)),255)),'Un nOTA'!$D$4:$J$1004,2,FALSE),"")</f>
        <v/>
      </c>
      <c r="M27" t="str">
        <f>IFERROR(VLOOKUP(Table1824[[#This Row],[BKK]]&amp;TRIM(RIGHT(SUBSTITUTE(TRIM(Table1824[[#Headers],[Uraian aaaaaaaa]])," ",REPT(" ",255)),255)),'Un nOTA'!$D$4:$J$1004,2,FALSE),"")</f>
        <v/>
      </c>
      <c r="N27" t="str">
        <f>IFERROR(VLOOKUP(Table1824[[#This Row],[BKK]]&amp;TRIM(RIGHT(SUBSTITUTE(TRIM(Table1824[[#Headers],[Uraian aaaaaaaaa]])," ",REPT(" ",255)),255)),'Un nOTA'!$D$4:$J$1004,2,FALSE),"")</f>
        <v/>
      </c>
      <c r="O27" t="str">
        <f>IFERROR(VLOOKUP(Table1824[[#This Row],[BKK]]&amp;TRIM(RIGHT(SUBSTITUTE(TRIM(Table1824[[#Headers],[Uraian aaaaaaaaaa]])," ",REPT(" ",255)),255)),'Un nOTA'!$D$4:$J$1004,2,FALSE),"")</f>
        <v/>
      </c>
      <c r="P27" t="str">
        <f>IFERROR(VLOOKUP(Table1824[[#This Row],[BKK]]&amp;TRIM(RIGHT(SUBSTITUTE(TRIM(Table1824[[#Headers],[Uraian aaaaaaaaaaa]])," ",REPT(" ",255)),255)),'Un nOTA'!$D$4:$J$1004,2,FALSE),"")</f>
        <v/>
      </c>
      <c r="Q27" t="str">
        <f>IFERROR(VLOOKUP(Table1824[[#This Row],[BKK]]&amp;TRIM(RIGHT(SUBSTITUTE(TRIM(Table1824[[#Headers],[Uraian aaaaaaaaaaaa]])," ",REPT(" ",255)),255)),'Un nOTA'!$D$4:$J$1004,2,FALSE),"")</f>
        <v/>
      </c>
      <c r="R27" s="32" t="str">
        <f>IFERROR(VLOOKUP(Table1824[[#This Row],[BKK]],'Un nOTA'!$D$4:$J$1004,3,FALSE),"")</f>
        <v/>
      </c>
      <c r="S27" s="32" t="str">
        <f>IFERROR(VLOOKUP(Table1824[[#This Row],[BKK]]&amp;TRIM(RIGHT(SUBSTITUTE(TRIM(Table1824[[#Headers],[Uraian a]])," ",REPT(" ",255)),255)),'Un nOTA'!$D$4:$J$1004,3,FALSE),"")</f>
        <v/>
      </c>
      <c r="T27" s="32" t="str">
        <f>IFERROR(VLOOKUP(Table1824[[#This Row],[BKK]]&amp;TRIM(RIGHT(SUBSTITUTE(TRIM(Table1824[[#Headers],[Uraian aa]])," ",REPT(" ",255)),255)),'Un nOTA'!$D$4:$J$1004,3,FALSE),"")</f>
        <v/>
      </c>
      <c r="U27" s="32" t="str">
        <f>IFERROR(VLOOKUP(Table1824[[#This Row],[BKK]]&amp;TRIM(RIGHT(SUBSTITUTE(TRIM(Table1824[[#Headers],[Uraian aaa]])," ",REPT(" ",255)),255)),'Un nOTA'!$D$4:$J$1004,3,FALSE),"")</f>
        <v/>
      </c>
      <c r="V27" s="32" t="str">
        <f>IFERROR(VLOOKUP(Table1824[[#This Row],[BKK]]&amp;TRIM(RIGHT(SUBSTITUTE(TRIM(Table1824[[#Headers],[Uraian aaaa]])," ",REPT(" ",255)),255)),'Un nOTA'!$D$4:$J$1004,3,FALSE),"")</f>
        <v/>
      </c>
      <c r="W27" s="32" t="str">
        <f>IFERROR(VLOOKUP(Table1824[[#This Row],[BKK]]&amp;TRIM(RIGHT(SUBSTITUTE(TRIM(Table1824[[#Headers],[Uraian aaaaa]])," ",REPT(" ",255)),255)),'Un nOTA'!$D$4:$J$1004,3,FALSE),"")</f>
        <v/>
      </c>
      <c r="X27" s="32" t="str">
        <f>IFERROR(VLOOKUP(Table1824[[#This Row],[BKK]]&amp;TRIM(RIGHT(SUBSTITUTE(TRIM(Table1824[[#Headers],[Uraian aaaaaa]])," ",REPT(" ",255)),255)),'Un nOTA'!$D$4:$J$1004,3,FALSE),"")</f>
        <v/>
      </c>
      <c r="Y27" s="32" t="str">
        <f>IFERROR(VLOOKUP(Table1824[[#This Row],[BKK]]&amp;TRIM(RIGHT(SUBSTITUTE(TRIM(Table1824[[#Headers],[Uraian aaaaaaa]])," ",REPT(" ",255)),255)),'Un nOTA'!$D$4:$J$1004,3,FALSE),"")</f>
        <v/>
      </c>
      <c r="Z27" s="32" t="str">
        <f>IFERROR(VLOOKUP(Table1824[[#This Row],[BKK]]&amp;TRIM(RIGHT(SUBSTITUTE(TRIM(Table1824[[#Headers],[Uraian aaaaaaaa]])," ",REPT(" ",255)),255)),'Un nOTA'!$D$4:$J$1004,3,FALSE),"")</f>
        <v/>
      </c>
      <c r="AA27" s="32" t="str">
        <f>IFERROR(VLOOKUP(Table1824[[#This Row],[BKK]]&amp;TRIM(RIGHT(SUBSTITUTE(TRIM(Table1824[[#Headers],[Uraian aaaaaaaaa]])," ",REPT(" ",255)),255)),'Un nOTA'!$D$4:$J$1004,3,FALSE),"")</f>
        <v/>
      </c>
      <c r="AB27" s="32" t="str">
        <f>IFERROR(VLOOKUP(Table1824[[#This Row],[BKK]]&amp;TRIM(RIGHT(SUBSTITUTE(TRIM(Table1824[[#Headers],[Uraian aaaaaaaaaa]])," ",REPT(" ",255)),255)),'Un nOTA'!$D$4:$J$1004,3,FALSE),"")</f>
        <v/>
      </c>
      <c r="AC27" s="32" t="str">
        <f>IFERROR(VLOOKUP(Table1824[[#This Row],[BKK]]&amp;TRIM(RIGHT(SUBSTITUTE(TRIM(Table1824[[#Headers],[Uraian aaaaaaaaaaa]])," ",REPT(" ",255)),255)),'Un nOTA'!$D$4:$J$1004,3,FALSE),"")</f>
        <v/>
      </c>
      <c r="AD27" s="32" t="str">
        <f>IFERROR(VLOOKUP(Table1824[[#This Row],[BKK]]&amp;TRIM(RIGHT(SUBSTITUTE(TRIM(Table1824[[#Headers],[Uraian aaaaaaaaaaaa]])," ",REPT(" ",255)),255)),'Un nOTA'!$D$4:$J$1004,3,FALSE),"")</f>
        <v/>
      </c>
      <c r="AE27" s="8" t="str">
        <f>IFERROR(VLOOKUP(Table1824[[#This Row],[BKK]],'Un nOTA'!$D$4:$J$1004,4,FALSE),"")</f>
        <v/>
      </c>
      <c r="AF27" s="8" t="str">
        <f>IFERROR(VLOOKUP(Table1824[[#This Row],[BKK]]&amp;TRIM(RIGHT(SUBSTITUTE(TRIM(Table1824[[#Headers],[Uraian a]])," ",REPT(" ",255)),255)),'Un nOTA'!$D$4:$J$1004,4,FALSE),"")</f>
        <v/>
      </c>
      <c r="AG27" s="8" t="str">
        <f>IFERROR(VLOOKUP(Table1824[[#This Row],[BKK]]&amp;TRIM(RIGHT(SUBSTITUTE(TRIM(Table1824[[#Headers],[Uraian aa]])," ",REPT(" ",255)),255)),'Un nOTA'!$D$4:$J$1004,4,FALSE),"")</f>
        <v/>
      </c>
      <c r="AH27" s="8" t="str">
        <f>IFERROR(VLOOKUP(Table1824[[#This Row],[BKK]]&amp;TRIM(RIGHT(SUBSTITUTE(TRIM(Table1824[[#Headers],[Uraian aaa]])," ",REPT(" ",255)),255)),'Un nOTA'!$D$4:$J$1004,4,FALSE),"")</f>
        <v/>
      </c>
      <c r="AI27" s="8" t="str">
        <f>IFERROR(VLOOKUP(Table1824[[#This Row],[BKK]]&amp;TRIM(RIGHT(SUBSTITUTE(TRIM(Table1824[[#Headers],[Uraian aaaa]])," ",REPT(" ",255)),255)),'Un nOTA'!$D$4:$J$1004,4,FALSE),"")</f>
        <v/>
      </c>
      <c r="AJ27" s="8" t="str">
        <f>IFERROR(VLOOKUP(Table1824[[#This Row],[BKK]]&amp;TRIM(RIGHT(SUBSTITUTE(TRIM(Table1824[[#Headers],[Uraian aaaaa]])," ",REPT(" ",255)),255)),'Un nOTA'!$D$4:$J$1004,4,FALSE),"")</f>
        <v/>
      </c>
      <c r="AK27" s="8" t="str">
        <f>IFERROR(VLOOKUP(Table1824[[#This Row],[BKK]]&amp;TRIM(RIGHT(SUBSTITUTE(TRIM(Table1824[[#Headers],[Uraian aaaaaa]])," ",REPT(" ",255)),255)),'Un nOTA'!$D$4:$J$1004,4,FALSE),"")</f>
        <v/>
      </c>
      <c r="AL27" s="8" t="str">
        <f>IFERROR(VLOOKUP(Table1824[[#This Row],[BKK]]&amp;TRIM(RIGHT(SUBSTITUTE(TRIM(Table1824[[#Headers],[Uraian aaaaaaa]])," ",REPT(" ",255)),255)),'Un nOTA'!$D$4:$J$1004,4,FALSE),"")</f>
        <v/>
      </c>
      <c r="AM27" s="8" t="str">
        <f>IFERROR(VLOOKUP(Table1824[[#This Row],[BKK]]&amp;TRIM(RIGHT(SUBSTITUTE(TRIM(Table1824[[#Headers],[Uraian aaaaaaaa]])," ",REPT(" ",255)),255)),'Un nOTA'!$D$4:$J$1004,4,FALSE),"")</f>
        <v/>
      </c>
      <c r="AN27" s="8" t="str">
        <f>IFERROR(VLOOKUP(Table1824[[#This Row],[BKK]]&amp;TRIM(RIGHT(SUBSTITUTE(TRIM(Table1824[[#Headers],[Uraian aaaaaaaaa]])," ",REPT(" ",255)),255)),'Un nOTA'!$D$4:$J$1004,4,FALSE),"")</f>
        <v/>
      </c>
      <c r="AO27" s="8" t="str">
        <f>IFERROR(VLOOKUP(Table1824[[#This Row],[BKK]]&amp;TRIM(RIGHT(SUBSTITUTE(TRIM(Table1824[[#Headers],[Uraian aaaaaaaaaa]])," ",REPT(" ",255)),255)),'Un nOTA'!$D$4:$J$1004,4,FALSE),"")</f>
        <v/>
      </c>
      <c r="AP27" s="8" t="str">
        <f>IFERROR(VLOOKUP(Table1824[[#This Row],[BKK]]&amp;TRIM(RIGHT(SUBSTITUTE(TRIM(Table1824[[#Headers],[Uraian aaaaaaaaaaa]])," ",REPT(" ",255)),255)),'Un nOTA'!$D$4:$J$1004,4,FALSE),"")</f>
        <v/>
      </c>
      <c r="AQ27" s="8" t="str">
        <f>IFERROR(VLOOKUP(Table1824[[#This Row],[BKK]]&amp;TRIM(RIGHT(SUBSTITUTE(TRIM(Table1824[[#Headers],[Uraian aaaaaaaaaaaa]])," ",REPT(" ",255)),255)),'Un nOTA'!$D$4:$J$1004,4,FALSE),"")</f>
        <v/>
      </c>
      <c r="AR27" s="8" t="str">
        <f>IFERROR((IFERROR(VLOOKUP(Table1824[[#This Row],[BKK]],'Un nOTA'!$D$4:$J$1004,5,FALSE),""))*(10/11),"")</f>
        <v/>
      </c>
      <c r="AS27" s="8" t="str">
        <f>IFERROR((IFERROR(VLOOKUP(Table1824[[#This Row],[BKK]]&amp;TRIM(RIGHT(SUBSTITUTE(TRIM(Table1824[[#Headers],[Uraian a]])," ",REPT(" ",255)),255)),'Un nOTA'!$D$4:$J$1004,5,FALSE),"")*(10/11)),"")</f>
        <v/>
      </c>
      <c r="AT27" s="8" t="str">
        <f>IFERROR((IFERROR(VLOOKUP(Table1824[[#This Row],[BKK]]&amp;TRIM(RIGHT(SUBSTITUTE(TRIM(Table1824[[#Headers],[Uraian aa]])," ",REPT(" ",255)),255)),'Un nOTA'!$D$4:$J$1004,5,FALSE),"")*(10/11)),"")</f>
        <v/>
      </c>
      <c r="AU27" s="8" t="str">
        <f>IFERROR((IFERROR(VLOOKUP(Table1824[[#This Row],[BKK]]&amp;TRIM(RIGHT(SUBSTITUTE(TRIM(Table1824[[#Headers],[Uraian aaa]])," ",REPT(" ",255)),255)),'Un nOTA'!$D$4:$J$1004,5,FALSE),"")*(10/11)),"")</f>
        <v/>
      </c>
      <c r="AV27" s="8" t="str">
        <f>IFERROR((IFERROR(VLOOKUP(Table1824[[#This Row],[BKK]]&amp;TRIM(RIGHT(SUBSTITUTE(TRIM(Table1824[[#Headers],[Uraian aaaa]])," ",REPT(" ",255)),255)),'Un nOTA'!$D$4:$J$1004,5,FALSE),"")*(10/11)),"")</f>
        <v/>
      </c>
      <c r="AW27" s="8" t="str">
        <f>IFERROR((IFERROR(VLOOKUP(Table1824[[#This Row],[BKK]]&amp;TRIM(RIGHT(SUBSTITUTE(TRIM(Table1824[[#Headers],[Uraian aaaaa]])," ",REPT(" ",255)),255)),'Un nOTA'!$D$4:$J$1004,5,FALSE),"")*(10/11)),"")</f>
        <v/>
      </c>
      <c r="AX27" s="8" t="str">
        <f>IFERROR((IFERROR(VLOOKUP(Table1824[[#This Row],[BKK]]&amp;TRIM(RIGHT(SUBSTITUTE(TRIM(Table1824[[#Headers],[Uraian aaaaaa]])," ",REPT(" ",255)),255)),'Un nOTA'!$D$4:$J$1004,5,FALSE),"")*(10/11)),"")</f>
        <v/>
      </c>
      <c r="AY27" s="8" t="str">
        <f>IFERROR((IFERROR(VLOOKUP(Table1824[[#This Row],[BKK]]&amp;TRIM(RIGHT(SUBSTITUTE(TRIM(Table1824[[#Headers],[Uraian aaaaaaa]])," ",REPT(" ",255)),255)),'Un nOTA'!$D$4:$J$1004,5,FALSE),"")*(10/11)),"")</f>
        <v/>
      </c>
      <c r="AZ27" s="8" t="str">
        <f>IFERROR((IFERROR(VLOOKUP(Table1824[[#This Row],[BKK]]&amp;TRIM(RIGHT(SUBSTITUTE(TRIM(Table1824[[#Headers],[Uraian aaaaaaaa]])," ",REPT(" ",255)),255)),'Un nOTA'!$D$4:$J$1004,5,FALSE),"")*(10/11)),"")</f>
        <v/>
      </c>
      <c r="BA27" s="8" t="str">
        <f>IFERROR((IFERROR(VLOOKUP(Table1824[[#This Row],[BKK]]&amp;TRIM(RIGHT(SUBSTITUTE(TRIM(Table1824[[#Headers],[Uraian aaaaaaaaa]])," ",REPT(" ",255)),255)),'Un nOTA'!$D$4:$J$1004,5,FALSE),"")*(10/11)),"")</f>
        <v/>
      </c>
      <c r="BB27" s="8" t="str">
        <f>IFERROR((IFERROR(VLOOKUP(Table1824[[#This Row],[BKK]]&amp;TRIM(RIGHT(SUBSTITUTE(TRIM(Table1824[[#Headers],[Uraian aaaaaaaaaa]])," ",REPT(" ",255)),255)),'Un nOTA'!$D$4:$J$1004,5,FALSE),"")*(10/11)),"")</f>
        <v/>
      </c>
      <c r="BC27" s="8" t="str">
        <f>IFERROR((IFERROR(VLOOKUP(Table1824[[#This Row],[BKK]]&amp;TRIM(RIGHT(SUBSTITUTE(TRIM(Table1824[[#Headers],[Uraian aaaaaaaaaaa]])," ",REPT(" ",255)),255)),'Un nOTA'!$D$4:$J$1004,5,FALSE),"")*(10/11)),"")</f>
        <v/>
      </c>
      <c r="BD27" s="8" t="str">
        <f>IFERROR((IFERROR(VLOOKUP(Table1824[[#This Row],[BKK]]&amp;TRIM(RIGHT(SUBSTITUTE(TRIM(Table1824[[#Headers],[Uraian aaaaaaaaaaaa]])," ",REPT(" ",255)),255)),'Un nOTA'!$D$4:$J$1004,5,FALSE),"")*(10/11)),"")</f>
        <v/>
      </c>
      <c r="BE27" s="23" t="str">
        <f>IFERROR(ROUNDUP((Table1824[[#This Row],[Qty]]*Table1824[[#This Row],[Hrg St]]),0),"")</f>
        <v/>
      </c>
      <c r="BF27" s="8" t="str">
        <f>IFERROR(ROUNDUP((Table1824[[#This Row],[Qty2]]*Table1824[[#This Row],[Hrg St2]]),0),"")</f>
        <v/>
      </c>
      <c r="BG27" s="8" t="str">
        <f>IFERROR(ROUNDUP((Table1824[[#This Row],[Qty3]]*Table1824[[#This Row],[Hrg St3]]),0),"")</f>
        <v/>
      </c>
      <c r="BH27" s="8" t="str">
        <f>IFERROR(ROUNDUP((Table1824[[#This Row],[Qty4]]*Table1824[[#This Row],[Hrg St4]]),0),"")</f>
        <v/>
      </c>
      <c r="BI27" s="8" t="str">
        <f>IFERROR(ROUNDUP((Table1824[[#This Row],[Qty5]]*Table1824[[#This Row],[Hrg St5]]),0),"")</f>
        <v/>
      </c>
      <c r="BJ27" s="8" t="str">
        <f>IFERROR(ROUNDUP((Table1824[[#This Row],[Qty6]]*Table1824[[#This Row],[Hrg St6]]),0),"")</f>
        <v/>
      </c>
      <c r="BK27" s="8" t="str">
        <f>IFERROR(ROUNDUP((Table1824[[#This Row],[Qty7]]*Table1824[[#This Row],[Hrg St7]]),0),"")</f>
        <v/>
      </c>
      <c r="BL27" s="8" t="str">
        <f>IFERROR(ROUNDUP((Table1824[[#This Row],[Qty8]]*Table1824[[#This Row],[Hrg St8]]),0),"")</f>
        <v/>
      </c>
      <c r="BM27" s="8" t="str">
        <f>IFERROR(ROUNDUP((Table1824[[#This Row],[Qty9]]*Table1824[[#This Row],[Hrg St9]]),0),"")</f>
        <v/>
      </c>
      <c r="BN27" s="8" t="str">
        <f>IFERROR(ROUNDUP((Table1824[[#This Row],[Qty10]]*Table1824[[#This Row],[Hrg St10]]),0),"")</f>
        <v/>
      </c>
      <c r="BO27" s="8" t="str">
        <f>IFERROR(ROUNDUP((Table1824[[#This Row],[Qty11]]*Table1824[[#This Row],[Hrg St11]]),0),"")</f>
        <v/>
      </c>
      <c r="BP27" s="8" t="str">
        <f>IFERROR(ROUNDUP((Table1824[[#This Row],[Qty12]]*Table1824[[#This Row],[Hrg St12]]),0),"")</f>
        <v/>
      </c>
      <c r="BQ27" s="8" t="str">
        <f>IFERROR(ROUNDUP((Table1824[[#This Row],[Qty13]]*Table1824[[#This Row],[Hrg St13]]),0),"")</f>
        <v/>
      </c>
      <c r="BR27" s="23" t="str">
        <f>IF(Table1824[[#This Row],[BKK]]&gt;" ",IFERROR(ROUNDUP((SUM(Table1824[[#This Row],[Jml]:[Jml13]])),0)," ")," ")</f>
        <v xml:space="preserve"> </v>
      </c>
      <c r="BS27" s="23" t="str">
        <f>IF(Table1824[[#This Row],[BKK]]&gt;" ",ROUND((Table1824[[#This Row],[Total]]*0.1),0)," ")</f>
        <v xml:space="preserve"> </v>
      </c>
      <c r="BT27" s="23" t="str">
        <f>IF(Table1824[[#This Row],[BKK]]&gt;" ",(Table1824[[#This Row],[Total]]+Table1824[[#This Row],[PPN]])," ")</f>
        <v xml:space="preserve"> </v>
      </c>
      <c r="BU27" t="s">
        <v>454</v>
      </c>
      <c r="BV27" t="str">
        <f>IF(Table1824[[#This Row],[BKK]]&gt;" ",("INV/AK-MLG/2019/"&amp;'BKU 1'!$E$1&amp;"/"&amp;Table1824[[#This Row],[BKK]]&amp;"/"&amp;'BKU 1'!$E$1&amp;ROW())," ")</f>
        <v xml:space="preserve"> </v>
      </c>
      <c r="BW27" t="str">
        <f>IF(Table1824[[#This Row],[BKK]]&gt;" ",(TEXT(VLOOKUP(Table1824[[#This Row],[BKK]],COPY!$O$2:$U$1000,7,FALSE),"dd mmmm yyyy"))," ")</f>
        <v xml:space="preserve"> </v>
      </c>
      <c r="BX27" t="str">
        <f>IF(Table1824[[#This Row],[BKK]]&gt;" ",(TEXT((Table1824[[#This Row],[Tanggal Kirim]]+30),"dd mmmm yyyy"))," ")</f>
        <v xml:space="preserve"> </v>
      </c>
      <c r="BY27" t="str">
        <f>IF(Table1824[[#This Row],[BKK]]&gt;" ",'BKU 1'!$E$17," ")</f>
        <v xml:space="preserve"> </v>
      </c>
    </row>
    <row r="28" spans="1:77" hidden="1" x14ac:dyDescent="0.25">
      <c r="A28" t="str">
        <f>IFERROR((IF('Laporan ppn'!G6815&gt;0,VLOOKUP('Laporan ppn'!G6815,'Laporan ppn'!$E$10:$F$6785,2,FALSE),"")),"")</f>
        <v xml:space="preserve"> </v>
      </c>
      <c r="B28" t="str">
        <f>IF(Table1824[[#This Row],[BKK]]=" "," ",'BKU 1'!$D$25)</f>
        <v xml:space="preserve"> </v>
      </c>
      <c r="C28" t="str">
        <f>IF(Table1824[[#This Row],[BKK]]=" "," ",'BKU 1'!$D$26)</f>
        <v xml:space="preserve"> </v>
      </c>
      <c r="D28" t="str">
        <f>IF(Table1824[[#This Row],[BKK]]=" "," ",'BKU 1'!$I$25)</f>
        <v xml:space="preserve"> </v>
      </c>
      <c r="E28" t="str">
        <f>IFERROR(VLOOKUP(Table1824[[#This Row],[BKK]],'Un nOTA'!$D$4:$J$1004,2,FALSE),"")</f>
        <v/>
      </c>
      <c r="F28" t="str">
        <f>IFERROR(VLOOKUP(Table1824[[#This Row],[BKK]]&amp;TRIM(RIGHT(SUBSTITUTE(TRIM(Table1824[[#Headers],[Uraian a]])," ",REPT(" ",255)),255)),'Un nOTA'!$D$4:$J$1004,2,FALSE),"")</f>
        <v/>
      </c>
      <c r="G28" t="str">
        <f>IFERROR(VLOOKUP(Table1824[[#This Row],[BKK]]&amp;TRIM(RIGHT(SUBSTITUTE(TRIM(Table1824[[#Headers],[Uraian aa]])," ",REPT(" ",255)),255)),'Un nOTA'!$D$4:$J$1004,2,FALSE),"")</f>
        <v/>
      </c>
      <c r="H28" t="str">
        <f>IFERROR(VLOOKUP(Table1824[[#This Row],[BKK]]&amp;TRIM(RIGHT(SUBSTITUTE(TRIM(Table1824[[#Headers],[Uraian aaa]])," ",REPT(" ",255)),255)),'Un nOTA'!$D$4:$J$1004,2,FALSE),"")</f>
        <v/>
      </c>
      <c r="I28" t="str">
        <f>IFERROR(VLOOKUP(Table1824[[#This Row],[BKK]]&amp;TRIM(RIGHT(SUBSTITUTE(TRIM(Table1824[[#Headers],[Uraian aaaa]])," ",REPT(" ",255)),255)),'Un nOTA'!$D$4:$J$1004,2,FALSE),"")</f>
        <v/>
      </c>
      <c r="J28" t="str">
        <f>IFERROR(VLOOKUP(Table1824[[#This Row],[BKK]]&amp;TRIM(RIGHT(SUBSTITUTE(TRIM(Table1824[[#Headers],[Uraian aaaaa]])," ",REPT(" ",255)),255)),'Un nOTA'!$D$4:$J$1004,2,FALSE),"")</f>
        <v/>
      </c>
      <c r="K28" t="str">
        <f>IFERROR(VLOOKUP(Table1824[[#This Row],[BKK]]&amp;TRIM(RIGHT(SUBSTITUTE(TRIM(Table1824[[#Headers],[Uraian aaaaaa]])," ",REPT(" ",255)),255)),'Un nOTA'!$D$4:$J$1004,2,FALSE),"")</f>
        <v/>
      </c>
      <c r="L28" t="str">
        <f>IFERROR(VLOOKUP(Table1824[[#This Row],[BKK]]&amp;TRIM(RIGHT(SUBSTITUTE(TRIM(Table1824[[#Headers],[Uraian aaaaaaa]])," ",REPT(" ",255)),255)),'Un nOTA'!$D$4:$J$1004,2,FALSE),"")</f>
        <v/>
      </c>
      <c r="M28" t="str">
        <f>IFERROR(VLOOKUP(Table1824[[#This Row],[BKK]]&amp;TRIM(RIGHT(SUBSTITUTE(TRIM(Table1824[[#Headers],[Uraian aaaaaaaa]])," ",REPT(" ",255)),255)),'Un nOTA'!$D$4:$J$1004,2,FALSE),"")</f>
        <v/>
      </c>
      <c r="N28" t="str">
        <f>IFERROR(VLOOKUP(Table1824[[#This Row],[BKK]]&amp;TRIM(RIGHT(SUBSTITUTE(TRIM(Table1824[[#Headers],[Uraian aaaaaaaaa]])," ",REPT(" ",255)),255)),'Un nOTA'!$D$4:$J$1004,2,FALSE),"")</f>
        <v/>
      </c>
      <c r="O28" t="str">
        <f>IFERROR(VLOOKUP(Table1824[[#This Row],[BKK]]&amp;TRIM(RIGHT(SUBSTITUTE(TRIM(Table1824[[#Headers],[Uraian aaaaaaaaaa]])," ",REPT(" ",255)),255)),'Un nOTA'!$D$4:$J$1004,2,FALSE),"")</f>
        <v/>
      </c>
      <c r="P28" t="str">
        <f>IFERROR(VLOOKUP(Table1824[[#This Row],[BKK]]&amp;TRIM(RIGHT(SUBSTITUTE(TRIM(Table1824[[#Headers],[Uraian aaaaaaaaaaa]])," ",REPT(" ",255)),255)),'Un nOTA'!$D$4:$J$1004,2,FALSE),"")</f>
        <v/>
      </c>
      <c r="Q28" t="str">
        <f>IFERROR(VLOOKUP(Table1824[[#This Row],[BKK]]&amp;TRIM(RIGHT(SUBSTITUTE(TRIM(Table1824[[#Headers],[Uraian aaaaaaaaaaaa]])," ",REPT(" ",255)),255)),'Un nOTA'!$D$4:$J$1004,2,FALSE),"")</f>
        <v/>
      </c>
      <c r="R28" s="32" t="str">
        <f>IFERROR(VLOOKUP(Table1824[[#This Row],[BKK]],'Un nOTA'!$D$4:$J$1004,3,FALSE),"")</f>
        <v/>
      </c>
      <c r="S28" s="32" t="str">
        <f>IFERROR(VLOOKUP(Table1824[[#This Row],[BKK]]&amp;TRIM(RIGHT(SUBSTITUTE(TRIM(Table1824[[#Headers],[Uraian a]])," ",REPT(" ",255)),255)),'Un nOTA'!$D$4:$J$1004,3,FALSE),"")</f>
        <v/>
      </c>
      <c r="T28" s="32" t="str">
        <f>IFERROR(VLOOKUP(Table1824[[#This Row],[BKK]]&amp;TRIM(RIGHT(SUBSTITUTE(TRIM(Table1824[[#Headers],[Uraian aa]])," ",REPT(" ",255)),255)),'Un nOTA'!$D$4:$J$1004,3,FALSE),"")</f>
        <v/>
      </c>
      <c r="U28" s="32" t="str">
        <f>IFERROR(VLOOKUP(Table1824[[#This Row],[BKK]]&amp;TRIM(RIGHT(SUBSTITUTE(TRIM(Table1824[[#Headers],[Uraian aaa]])," ",REPT(" ",255)),255)),'Un nOTA'!$D$4:$J$1004,3,FALSE),"")</f>
        <v/>
      </c>
      <c r="V28" s="32" t="str">
        <f>IFERROR(VLOOKUP(Table1824[[#This Row],[BKK]]&amp;TRIM(RIGHT(SUBSTITUTE(TRIM(Table1824[[#Headers],[Uraian aaaa]])," ",REPT(" ",255)),255)),'Un nOTA'!$D$4:$J$1004,3,FALSE),"")</f>
        <v/>
      </c>
      <c r="W28" s="32" t="str">
        <f>IFERROR(VLOOKUP(Table1824[[#This Row],[BKK]]&amp;TRIM(RIGHT(SUBSTITUTE(TRIM(Table1824[[#Headers],[Uraian aaaaa]])," ",REPT(" ",255)),255)),'Un nOTA'!$D$4:$J$1004,3,FALSE),"")</f>
        <v/>
      </c>
      <c r="X28" s="32" t="str">
        <f>IFERROR(VLOOKUP(Table1824[[#This Row],[BKK]]&amp;TRIM(RIGHT(SUBSTITUTE(TRIM(Table1824[[#Headers],[Uraian aaaaaa]])," ",REPT(" ",255)),255)),'Un nOTA'!$D$4:$J$1004,3,FALSE),"")</f>
        <v/>
      </c>
      <c r="Y28" s="32" t="str">
        <f>IFERROR(VLOOKUP(Table1824[[#This Row],[BKK]]&amp;TRIM(RIGHT(SUBSTITUTE(TRIM(Table1824[[#Headers],[Uraian aaaaaaa]])," ",REPT(" ",255)),255)),'Un nOTA'!$D$4:$J$1004,3,FALSE),"")</f>
        <v/>
      </c>
      <c r="Z28" s="32" t="str">
        <f>IFERROR(VLOOKUP(Table1824[[#This Row],[BKK]]&amp;TRIM(RIGHT(SUBSTITUTE(TRIM(Table1824[[#Headers],[Uraian aaaaaaaa]])," ",REPT(" ",255)),255)),'Un nOTA'!$D$4:$J$1004,3,FALSE),"")</f>
        <v/>
      </c>
      <c r="AA28" s="32" t="str">
        <f>IFERROR(VLOOKUP(Table1824[[#This Row],[BKK]]&amp;TRIM(RIGHT(SUBSTITUTE(TRIM(Table1824[[#Headers],[Uraian aaaaaaaaa]])," ",REPT(" ",255)),255)),'Un nOTA'!$D$4:$J$1004,3,FALSE),"")</f>
        <v/>
      </c>
      <c r="AB28" s="32" t="str">
        <f>IFERROR(VLOOKUP(Table1824[[#This Row],[BKK]]&amp;TRIM(RIGHT(SUBSTITUTE(TRIM(Table1824[[#Headers],[Uraian aaaaaaaaaa]])," ",REPT(" ",255)),255)),'Un nOTA'!$D$4:$J$1004,3,FALSE),"")</f>
        <v/>
      </c>
      <c r="AC28" s="32" t="str">
        <f>IFERROR(VLOOKUP(Table1824[[#This Row],[BKK]]&amp;TRIM(RIGHT(SUBSTITUTE(TRIM(Table1824[[#Headers],[Uraian aaaaaaaaaaa]])," ",REPT(" ",255)),255)),'Un nOTA'!$D$4:$J$1004,3,FALSE),"")</f>
        <v/>
      </c>
      <c r="AD28" s="32" t="str">
        <f>IFERROR(VLOOKUP(Table1824[[#This Row],[BKK]]&amp;TRIM(RIGHT(SUBSTITUTE(TRIM(Table1824[[#Headers],[Uraian aaaaaaaaaaaa]])," ",REPT(" ",255)),255)),'Un nOTA'!$D$4:$J$1004,3,FALSE),"")</f>
        <v/>
      </c>
      <c r="AE28" s="8" t="str">
        <f>IFERROR(VLOOKUP(Table1824[[#This Row],[BKK]],'Un nOTA'!$D$4:$J$1004,4,FALSE),"")</f>
        <v/>
      </c>
      <c r="AF28" s="8" t="str">
        <f>IFERROR(VLOOKUP(Table1824[[#This Row],[BKK]]&amp;TRIM(RIGHT(SUBSTITUTE(TRIM(Table1824[[#Headers],[Uraian a]])," ",REPT(" ",255)),255)),'Un nOTA'!$D$4:$J$1004,4,FALSE),"")</f>
        <v/>
      </c>
      <c r="AG28" s="8" t="str">
        <f>IFERROR(VLOOKUP(Table1824[[#This Row],[BKK]]&amp;TRIM(RIGHT(SUBSTITUTE(TRIM(Table1824[[#Headers],[Uraian aa]])," ",REPT(" ",255)),255)),'Un nOTA'!$D$4:$J$1004,4,FALSE),"")</f>
        <v/>
      </c>
      <c r="AH28" s="8" t="str">
        <f>IFERROR(VLOOKUP(Table1824[[#This Row],[BKK]]&amp;TRIM(RIGHT(SUBSTITUTE(TRIM(Table1824[[#Headers],[Uraian aaa]])," ",REPT(" ",255)),255)),'Un nOTA'!$D$4:$J$1004,4,FALSE),"")</f>
        <v/>
      </c>
      <c r="AI28" s="8" t="str">
        <f>IFERROR(VLOOKUP(Table1824[[#This Row],[BKK]]&amp;TRIM(RIGHT(SUBSTITUTE(TRIM(Table1824[[#Headers],[Uraian aaaa]])," ",REPT(" ",255)),255)),'Un nOTA'!$D$4:$J$1004,4,FALSE),"")</f>
        <v/>
      </c>
      <c r="AJ28" s="8" t="str">
        <f>IFERROR(VLOOKUP(Table1824[[#This Row],[BKK]]&amp;TRIM(RIGHT(SUBSTITUTE(TRIM(Table1824[[#Headers],[Uraian aaaaa]])," ",REPT(" ",255)),255)),'Un nOTA'!$D$4:$J$1004,4,FALSE),"")</f>
        <v/>
      </c>
      <c r="AK28" s="8" t="str">
        <f>IFERROR(VLOOKUP(Table1824[[#This Row],[BKK]]&amp;TRIM(RIGHT(SUBSTITUTE(TRIM(Table1824[[#Headers],[Uraian aaaaaa]])," ",REPT(" ",255)),255)),'Un nOTA'!$D$4:$J$1004,4,FALSE),"")</f>
        <v/>
      </c>
      <c r="AL28" s="8" t="str">
        <f>IFERROR(VLOOKUP(Table1824[[#This Row],[BKK]]&amp;TRIM(RIGHT(SUBSTITUTE(TRIM(Table1824[[#Headers],[Uraian aaaaaaa]])," ",REPT(" ",255)),255)),'Un nOTA'!$D$4:$J$1004,4,FALSE),"")</f>
        <v/>
      </c>
      <c r="AM28" s="8" t="str">
        <f>IFERROR(VLOOKUP(Table1824[[#This Row],[BKK]]&amp;TRIM(RIGHT(SUBSTITUTE(TRIM(Table1824[[#Headers],[Uraian aaaaaaaa]])," ",REPT(" ",255)),255)),'Un nOTA'!$D$4:$J$1004,4,FALSE),"")</f>
        <v/>
      </c>
      <c r="AN28" s="8" t="str">
        <f>IFERROR(VLOOKUP(Table1824[[#This Row],[BKK]]&amp;TRIM(RIGHT(SUBSTITUTE(TRIM(Table1824[[#Headers],[Uraian aaaaaaaaa]])," ",REPT(" ",255)),255)),'Un nOTA'!$D$4:$J$1004,4,FALSE),"")</f>
        <v/>
      </c>
      <c r="AO28" s="8" t="str">
        <f>IFERROR(VLOOKUP(Table1824[[#This Row],[BKK]]&amp;TRIM(RIGHT(SUBSTITUTE(TRIM(Table1824[[#Headers],[Uraian aaaaaaaaaa]])," ",REPT(" ",255)),255)),'Un nOTA'!$D$4:$J$1004,4,FALSE),"")</f>
        <v/>
      </c>
      <c r="AP28" s="8" t="str">
        <f>IFERROR(VLOOKUP(Table1824[[#This Row],[BKK]]&amp;TRIM(RIGHT(SUBSTITUTE(TRIM(Table1824[[#Headers],[Uraian aaaaaaaaaaa]])," ",REPT(" ",255)),255)),'Un nOTA'!$D$4:$J$1004,4,FALSE),"")</f>
        <v/>
      </c>
      <c r="AQ28" s="8" t="str">
        <f>IFERROR(VLOOKUP(Table1824[[#This Row],[BKK]]&amp;TRIM(RIGHT(SUBSTITUTE(TRIM(Table1824[[#Headers],[Uraian aaaaaaaaaaaa]])," ",REPT(" ",255)),255)),'Un nOTA'!$D$4:$J$1004,4,FALSE),"")</f>
        <v/>
      </c>
      <c r="AR28" s="8" t="str">
        <f>IFERROR((IFERROR(VLOOKUP(Table1824[[#This Row],[BKK]],'Un nOTA'!$D$4:$J$1004,5,FALSE),""))*(10/11),"")</f>
        <v/>
      </c>
      <c r="AS28" s="8" t="str">
        <f>IFERROR((IFERROR(VLOOKUP(Table1824[[#This Row],[BKK]]&amp;TRIM(RIGHT(SUBSTITUTE(TRIM(Table1824[[#Headers],[Uraian a]])," ",REPT(" ",255)),255)),'Un nOTA'!$D$4:$J$1004,5,FALSE),"")*(10/11)),"")</f>
        <v/>
      </c>
      <c r="AT28" s="8" t="str">
        <f>IFERROR((IFERROR(VLOOKUP(Table1824[[#This Row],[BKK]]&amp;TRIM(RIGHT(SUBSTITUTE(TRIM(Table1824[[#Headers],[Uraian aa]])," ",REPT(" ",255)),255)),'Un nOTA'!$D$4:$J$1004,5,FALSE),"")*(10/11)),"")</f>
        <v/>
      </c>
      <c r="AU28" s="8" t="str">
        <f>IFERROR((IFERROR(VLOOKUP(Table1824[[#This Row],[BKK]]&amp;TRIM(RIGHT(SUBSTITUTE(TRIM(Table1824[[#Headers],[Uraian aaa]])," ",REPT(" ",255)),255)),'Un nOTA'!$D$4:$J$1004,5,FALSE),"")*(10/11)),"")</f>
        <v/>
      </c>
      <c r="AV28" s="8" t="str">
        <f>IFERROR((IFERROR(VLOOKUP(Table1824[[#This Row],[BKK]]&amp;TRIM(RIGHT(SUBSTITUTE(TRIM(Table1824[[#Headers],[Uraian aaaa]])," ",REPT(" ",255)),255)),'Un nOTA'!$D$4:$J$1004,5,FALSE),"")*(10/11)),"")</f>
        <v/>
      </c>
      <c r="AW28" s="8" t="str">
        <f>IFERROR((IFERROR(VLOOKUP(Table1824[[#This Row],[BKK]]&amp;TRIM(RIGHT(SUBSTITUTE(TRIM(Table1824[[#Headers],[Uraian aaaaa]])," ",REPT(" ",255)),255)),'Un nOTA'!$D$4:$J$1004,5,FALSE),"")*(10/11)),"")</f>
        <v/>
      </c>
      <c r="AX28" s="8" t="str">
        <f>IFERROR((IFERROR(VLOOKUP(Table1824[[#This Row],[BKK]]&amp;TRIM(RIGHT(SUBSTITUTE(TRIM(Table1824[[#Headers],[Uraian aaaaaa]])," ",REPT(" ",255)),255)),'Un nOTA'!$D$4:$J$1004,5,FALSE),"")*(10/11)),"")</f>
        <v/>
      </c>
      <c r="AY28" s="8" t="str">
        <f>IFERROR((IFERROR(VLOOKUP(Table1824[[#This Row],[BKK]]&amp;TRIM(RIGHT(SUBSTITUTE(TRIM(Table1824[[#Headers],[Uraian aaaaaaa]])," ",REPT(" ",255)),255)),'Un nOTA'!$D$4:$J$1004,5,FALSE),"")*(10/11)),"")</f>
        <v/>
      </c>
      <c r="AZ28" s="8" t="str">
        <f>IFERROR((IFERROR(VLOOKUP(Table1824[[#This Row],[BKK]]&amp;TRIM(RIGHT(SUBSTITUTE(TRIM(Table1824[[#Headers],[Uraian aaaaaaaa]])," ",REPT(" ",255)),255)),'Un nOTA'!$D$4:$J$1004,5,FALSE),"")*(10/11)),"")</f>
        <v/>
      </c>
      <c r="BA28" s="8" t="str">
        <f>IFERROR((IFERROR(VLOOKUP(Table1824[[#This Row],[BKK]]&amp;TRIM(RIGHT(SUBSTITUTE(TRIM(Table1824[[#Headers],[Uraian aaaaaaaaa]])," ",REPT(" ",255)),255)),'Un nOTA'!$D$4:$J$1004,5,FALSE),"")*(10/11)),"")</f>
        <v/>
      </c>
      <c r="BB28" s="8" t="str">
        <f>IFERROR((IFERROR(VLOOKUP(Table1824[[#This Row],[BKK]]&amp;TRIM(RIGHT(SUBSTITUTE(TRIM(Table1824[[#Headers],[Uraian aaaaaaaaaa]])," ",REPT(" ",255)),255)),'Un nOTA'!$D$4:$J$1004,5,FALSE),"")*(10/11)),"")</f>
        <v/>
      </c>
      <c r="BC28" s="8" t="str">
        <f>IFERROR((IFERROR(VLOOKUP(Table1824[[#This Row],[BKK]]&amp;TRIM(RIGHT(SUBSTITUTE(TRIM(Table1824[[#Headers],[Uraian aaaaaaaaaaa]])," ",REPT(" ",255)),255)),'Un nOTA'!$D$4:$J$1004,5,FALSE),"")*(10/11)),"")</f>
        <v/>
      </c>
      <c r="BD28" s="8" t="str">
        <f>IFERROR((IFERROR(VLOOKUP(Table1824[[#This Row],[BKK]]&amp;TRIM(RIGHT(SUBSTITUTE(TRIM(Table1824[[#Headers],[Uraian aaaaaaaaaaaa]])," ",REPT(" ",255)),255)),'Un nOTA'!$D$4:$J$1004,5,FALSE),"")*(10/11)),"")</f>
        <v/>
      </c>
      <c r="BE28" s="23" t="str">
        <f>IFERROR(ROUNDUP((Table1824[[#This Row],[Qty]]*Table1824[[#This Row],[Hrg St]]),0),"")</f>
        <v/>
      </c>
      <c r="BF28" s="8" t="str">
        <f>IFERROR(ROUNDUP((Table1824[[#This Row],[Qty2]]*Table1824[[#This Row],[Hrg St2]]),0),"")</f>
        <v/>
      </c>
      <c r="BG28" s="8" t="str">
        <f>IFERROR(ROUNDUP((Table1824[[#This Row],[Qty3]]*Table1824[[#This Row],[Hrg St3]]),0),"")</f>
        <v/>
      </c>
      <c r="BH28" s="8" t="str">
        <f>IFERROR(ROUNDUP((Table1824[[#This Row],[Qty4]]*Table1824[[#This Row],[Hrg St4]]),0),"")</f>
        <v/>
      </c>
      <c r="BI28" s="8" t="str">
        <f>IFERROR(ROUNDUP((Table1824[[#This Row],[Qty5]]*Table1824[[#This Row],[Hrg St5]]),0),"")</f>
        <v/>
      </c>
      <c r="BJ28" s="8" t="str">
        <f>IFERROR(ROUNDUP((Table1824[[#This Row],[Qty6]]*Table1824[[#This Row],[Hrg St6]]),0),"")</f>
        <v/>
      </c>
      <c r="BK28" s="8" t="str">
        <f>IFERROR(ROUNDUP((Table1824[[#This Row],[Qty7]]*Table1824[[#This Row],[Hrg St7]]),0),"")</f>
        <v/>
      </c>
      <c r="BL28" s="8" t="str">
        <f>IFERROR(ROUNDUP((Table1824[[#This Row],[Qty8]]*Table1824[[#This Row],[Hrg St8]]),0),"")</f>
        <v/>
      </c>
      <c r="BM28" s="8" t="str">
        <f>IFERROR(ROUNDUP((Table1824[[#This Row],[Qty9]]*Table1824[[#This Row],[Hrg St9]]),0),"")</f>
        <v/>
      </c>
      <c r="BN28" s="8" t="str">
        <f>IFERROR(ROUNDUP((Table1824[[#This Row],[Qty10]]*Table1824[[#This Row],[Hrg St10]]),0),"")</f>
        <v/>
      </c>
      <c r="BO28" s="8" t="str">
        <f>IFERROR(ROUNDUP((Table1824[[#This Row],[Qty11]]*Table1824[[#This Row],[Hrg St11]]),0),"")</f>
        <v/>
      </c>
      <c r="BP28" s="8" t="str">
        <f>IFERROR(ROUNDUP((Table1824[[#This Row],[Qty12]]*Table1824[[#This Row],[Hrg St12]]),0),"")</f>
        <v/>
      </c>
      <c r="BQ28" s="8" t="str">
        <f>IFERROR(ROUNDUP((Table1824[[#This Row],[Qty13]]*Table1824[[#This Row],[Hrg St13]]),0),"")</f>
        <v/>
      </c>
      <c r="BR28" s="23" t="str">
        <f>IF(Table1824[[#This Row],[BKK]]&gt;" ",IFERROR(ROUNDUP((SUM(Table1824[[#This Row],[Jml]:[Jml13]])),0)," ")," ")</f>
        <v xml:space="preserve"> </v>
      </c>
      <c r="BS28" s="23" t="str">
        <f>IF(Table1824[[#This Row],[BKK]]&gt;" ",ROUND((Table1824[[#This Row],[Total]]*0.1),0)," ")</f>
        <v xml:space="preserve"> </v>
      </c>
      <c r="BT28" s="23" t="str">
        <f>IF(Table1824[[#This Row],[BKK]]&gt;" ",(Table1824[[#This Row],[Total]]+Table1824[[#This Row],[PPN]])," ")</f>
        <v xml:space="preserve"> </v>
      </c>
      <c r="BU28" t="s">
        <v>454</v>
      </c>
      <c r="BV28" t="str">
        <f>IF(Table1824[[#This Row],[BKK]]&gt;" ",("INV/AK-MLG/2019/"&amp;'BKU 1'!$E$1&amp;"/"&amp;Table1824[[#This Row],[BKK]]&amp;"/"&amp;'BKU 1'!$E$1&amp;ROW())," ")</f>
        <v xml:space="preserve"> </v>
      </c>
      <c r="BW28" t="str">
        <f>IF(Table1824[[#This Row],[BKK]]&gt;" ",(TEXT(VLOOKUP(Table1824[[#This Row],[BKK]],COPY!$O$2:$U$1000,7,FALSE),"dd mmmm yyyy"))," ")</f>
        <v xml:space="preserve"> </v>
      </c>
      <c r="BX28" t="str">
        <f>IF(Table1824[[#This Row],[BKK]]&gt;" ",(TEXT((Table1824[[#This Row],[Tanggal Kirim]]+30),"dd mmmm yyyy"))," ")</f>
        <v xml:space="preserve"> </v>
      </c>
      <c r="BY28" t="str">
        <f>IF(Table1824[[#This Row],[BKK]]&gt;" ",'BKU 1'!$E$17," ")</f>
        <v xml:space="preserve"> </v>
      </c>
    </row>
    <row r="29" spans="1:77" hidden="1" x14ac:dyDescent="0.25">
      <c r="A29" t="str">
        <f>IFERROR((IF('Laporan ppn'!G6816&gt;0,VLOOKUP('Laporan ppn'!G6816,'Laporan ppn'!$E$10:$F$6785,2,FALSE),"")),"")</f>
        <v xml:space="preserve"> </v>
      </c>
      <c r="B29" t="str">
        <f>IF(Table1824[[#This Row],[BKK]]=" "," ",'BKU 1'!$D$25)</f>
        <v xml:space="preserve"> </v>
      </c>
      <c r="C29" t="str">
        <f>IF(Table1824[[#This Row],[BKK]]=" "," ",'BKU 1'!$D$26)</f>
        <v xml:space="preserve"> </v>
      </c>
      <c r="D29" t="str">
        <f>IF(Table1824[[#This Row],[BKK]]=" "," ",'BKU 1'!$I$25)</f>
        <v xml:space="preserve"> </v>
      </c>
      <c r="E29" t="str">
        <f>IFERROR(VLOOKUP(Table1824[[#This Row],[BKK]],'Un nOTA'!$D$4:$J$1004,2,FALSE),"")</f>
        <v/>
      </c>
      <c r="F29" t="str">
        <f>IFERROR(VLOOKUP(Table1824[[#This Row],[BKK]]&amp;TRIM(RIGHT(SUBSTITUTE(TRIM(Table1824[[#Headers],[Uraian a]])," ",REPT(" ",255)),255)),'Un nOTA'!$D$4:$J$1004,2,FALSE),"")</f>
        <v/>
      </c>
      <c r="G29" t="str">
        <f>IFERROR(VLOOKUP(Table1824[[#This Row],[BKK]]&amp;TRIM(RIGHT(SUBSTITUTE(TRIM(Table1824[[#Headers],[Uraian aa]])," ",REPT(" ",255)),255)),'Un nOTA'!$D$4:$J$1004,2,FALSE),"")</f>
        <v/>
      </c>
      <c r="H29" t="str">
        <f>IFERROR(VLOOKUP(Table1824[[#This Row],[BKK]]&amp;TRIM(RIGHT(SUBSTITUTE(TRIM(Table1824[[#Headers],[Uraian aaa]])," ",REPT(" ",255)),255)),'Un nOTA'!$D$4:$J$1004,2,FALSE),"")</f>
        <v/>
      </c>
      <c r="I29" t="str">
        <f>IFERROR(VLOOKUP(Table1824[[#This Row],[BKK]]&amp;TRIM(RIGHT(SUBSTITUTE(TRIM(Table1824[[#Headers],[Uraian aaaa]])," ",REPT(" ",255)),255)),'Un nOTA'!$D$4:$J$1004,2,FALSE),"")</f>
        <v/>
      </c>
      <c r="J29" t="str">
        <f>IFERROR(VLOOKUP(Table1824[[#This Row],[BKK]]&amp;TRIM(RIGHT(SUBSTITUTE(TRIM(Table1824[[#Headers],[Uraian aaaaa]])," ",REPT(" ",255)),255)),'Un nOTA'!$D$4:$J$1004,2,FALSE),"")</f>
        <v/>
      </c>
      <c r="K29" t="str">
        <f>IFERROR(VLOOKUP(Table1824[[#This Row],[BKK]]&amp;TRIM(RIGHT(SUBSTITUTE(TRIM(Table1824[[#Headers],[Uraian aaaaaa]])," ",REPT(" ",255)),255)),'Un nOTA'!$D$4:$J$1004,2,FALSE),"")</f>
        <v/>
      </c>
      <c r="L29" t="str">
        <f>IFERROR(VLOOKUP(Table1824[[#This Row],[BKK]]&amp;TRIM(RIGHT(SUBSTITUTE(TRIM(Table1824[[#Headers],[Uraian aaaaaaa]])," ",REPT(" ",255)),255)),'Un nOTA'!$D$4:$J$1004,2,FALSE),"")</f>
        <v/>
      </c>
      <c r="M29" t="str">
        <f>IFERROR(VLOOKUP(Table1824[[#This Row],[BKK]]&amp;TRIM(RIGHT(SUBSTITUTE(TRIM(Table1824[[#Headers],[Uraian aaaaaaaa]])," ",REPT(" ",255)),255)),'Un nOTA'!$D$4:$J$1004,2,FALSE),"")</f>
        <v/>
      </c>
      <c r="N29" t="str">
        <f>IFERROR(VLOOKUP(Table1824[[#This Row],[BKK]]&amp;TRIM(RIGHT(SUBSTITUTE(TRIM(Table1824[[#Headers],[Uraian aaaaaaaaa]])," ",REPT(" ",255)),255)),'Un nOTA'!$D$4:$J$1004,2,FALSE),"")</f>
        <v/>
      </c>
      <c r="O29" t="str">
        <f>IFERROR(VLOOKUP(Table1824[[#This Row],[BKK]]&amp;TRIM(RIGHT(SUBSTITUTE(TRIM(Table1824[[#Headers],[Uraian aaaaaaaaaa]])," ",REPT(" ",255)),255)),'Un nOTA'!$D$4:$J$1004,2,FALSE),"")</f>
        <v/>
      </c>
      <c r="P29" t="str">
        <f>IFERROR(VLOOKUP(Table1824[[#This Row],[BKK]]&amp;TRIM(RIGHT(SUBSTITUTE(TRIM(Table1824[[#Headers],[Uraian aaaaaaaaaaa]])," ",REPT(" ",255)),255)),'Un nOTA'!$D$4:$J$1004,2,FALSE),"")</f>
        <v/>
      </c>
      <c r="Q29" t="str">
        <f>IFERROR(VLOOKUP(Table1824[[#This Row],[BKK]]&amp;TRIM(RIGHT(SUBSTITUTE(TRIM(Table1824[[#Headers],[Uraian aaaaaaaaaaaa]])," ",REPT(" ",255)),255)),'Un nOTA'!$D$4:$J$1004,2,FALSE),"")</f>
        <v/>
      </c>
      <c r="R29" s="32" t="str">
        <f>IFERROR(VLOOKUP(Table1824[[#This Row],[BKK]],'Un nOTA'!$D$4:$J$1004,3,FALSE),"")</f>
        <v/>
      </c>
      <c r="S29" s="32" t="str">
        <f>IFERROR(VLOOKUP(Table1824[[#This Row],[BKK]]&amp;TRIM(RIGHT(SUBSTITUTE(TRIM(Table1824[[#Headers],[Uraian a]])," ",REPT(" ",255)),255)),'Un nOTA'!$D$4:$J$1004,3,FALSE),"")</f>
        <v/>
      </c>
      <c r="T29" s="32" t="str">
        <f>IFERROR(VLOOKUP(Table1824[[#This Row],[BKK]]&amp;TRIM(RIGHT(SUBSTITUTE(TRIM(Table1824[[#Headers],[Uraian aa]])," ",REPT(" ",255)),255)),'Un nOTA'!$D$4:$J$1004,3,FALSE),"")</f>
        <v/>
      </c>
      <c r="U29" s="32" t="str">
        <f>IFERROR(VLOOKUP(Table1824[[#This Row],[BKK]]&amp;TRIM(RIGHT(SUBSTITUTE(TRIM(Table1824[[#Headers],[Uraian aaa]])," ",REPT(" ",255)),255)),'Un nOTA'!$D$4:$J$1004,3,FALSE),"")</f>
        <v/>
      </c>
      <c r="V29" s="32" t="str">
        <f>IFERROR(VLOOKUP(Table1824[[#This Row],[BKK]]&amp;TRIM(RIGHT(SUBSTITUTE(TRIM(Table1824[[#Headers],[Uraian aaaa]])," ",REPT(" ",255)),255)),'Un nOTA'!$D$4:$J$1004,3,FALSE),"")</f>
        <v/>
      </c>
      <c r="W29" s="32" t="str">
        <f>IFERROR(VLOOKUP(Table1824[[#This Row],[BKK]]&amp;TRIM(RIGHT(SUBSTITUTE(TRIM(Table1824[[#Headers],[Uraian aaaaa]])," ",REPT(" ",255)),255)),'Un nOTA'!$D$4:$J$1004,3,FALSE),"")</f>
        <v/>
      </c>
      <c r="X29" s="32" t="str">
        <f>IFERROR(VLOOKUP(Table1824[[#This Row],[BKK]]&amp;TRIM(RIGHT(SUBSTITUTE(TRIM(Table1824[[#Headers],[Uraian aaaaaa]])," ",REPT(" ",255)),255)),'Un nOTA'!$D$4:$J$1004,3,FALSE),"")</f>
        <v/>
      </c>
      <c r="Y29" s="32" t="str">
        <f>IFERROR(VLOOKUP(Table1824[[#This Row],[BKK]]&amp;TRIM(RIGHT(SUBSTITUTE(TRIM(Table1824[[#Headers],[Uraian aaaaaaa]])," ",REPT(" ",255)),255)),'Un nOTA'!$D$4:$J$1004,3,FALSE),"")</f>
        <v/>
      </c>
      <c r="Z29" s="32" t="str">
        <f>IFERROR(VLOOKUP(Table1824[[#This Row],[BKK]]&amp;TRIM(RIGHT(SUBSTITUTE(TRIM(Table1824[[#Headers],[Uraian aaaaaaaa]])," ",REPT(" ",255)),255)),'Un nOTA'!$D$4:$J$1004,3,FALSE),"")</f>
        <v/>
      </c>
      <c r="AA29" s="32" t="str">
        <f>IFERROR(VLOOKUP(Table1824[[#This Row],[BKK]]&amp;TRIM(RIGHT(SUBSTITUTE(TRIM(Table1824[[#Headers],[Uraian aaaaaaaaa]])," ",REPT(" ",255)),255)),'Un nOTA'!$D$4:$J$1004,3,FALSE),"")</f>
        <v/>
      </c>
      <c r="AB29" s="32" t="str">
        <f>IFERROR(VLOOKUP(Table1824[[#This Row],[BKK]]&amp;TRIM(RIGHT(SUBSTITUTE(TRIM(Table1824[[#Headers],[Uraian aaaaaaaaaa]])," ",REPT(" ",255)),255)),'Un nOTA'!$D$4:$J$1004,3,FALSE),"")</f>
        <v/>
      </c>
      <c r="AC29" s="32" t="str">
        <f>IFERROR(VLOOKUP(Table1824[[#This Row],[BKK]]&amp;TRIM(RIGHT(SUBSTITUTE(TRIM(Table1824[[#Headers],[Uraian aaaaaaaaaaa]])," ",REPT(" ",255)),255)),'Un nOTA'!$D$4:$J$1004,3,FALSE),"")</f>
        <v/>
      </c>
      <c r="AD29" s="32" t="str">
        <f>IFERROR(VLOOKUP(Table1824[[#This Row],[BKK]]&amp;TRIM(RIGHT(SUBSTITUTE(TRIM(Table1824[[#Headers],[Uraian aaaaaaaaaaaa]])," ",REPT(" ",255)),255)),'Un nOTA'!$D$4:$J$1004,3,FALSE),"")</f>
        <v/>
      </c>
      <c r="AE29" s="8" t="str">
        <f>IFERROR(VLOOKUP(Table1824[[#This Row],[BKK]],'Un nOTA'!$D$4:$J$1004,4,FALSE),"")</f>
        <v/>
      </c>
      <c r="AF29" s="8" t="str">
        <f>IFERROR(VLOOKUP(Table1824[[#This Row],[BKK]]&amp;TRIM(RIGHT(SUBSTITUTE(TRIM(Table1824[[#Headers],[Uraian a]])," ",REPT(" ",255)),255)),'Un nOTA'!$D$4:$J$1004,4,FALSE),"")</f>
        <v/>
      </c>
      <c r="AG29" s="8" t="str">
        <f>IFERROR(VLOOKUP(Table1824[[#This Row],[BKK]]&amp;TRIM(RIGHT(SUBSTITUTE(TRIM(Table1824[[#Headers],[Uraian aa]])," ",REPT(" ",255)),255)),'Un nOTA'!$D$4:$J$1004,4,FALSE),"")</f>
        <v/>
      </c>
      <c r="AH29" s="8" t="str">
        <f>IFERROR(VLOOKUP(Table1824[[#This Row],[BKK]]&amp;TRIM(RIGHT(SUBSTITUTE(TRIM(Table1824[[#Headers],[Uraian aaa]])," ",REPT(" ",255)),255)),'Un nOTA'!$D$4:$J$1004,4,FALSE),"")</f>
        <v/>
      </c>
      <c r="AI29" s="8" t="str">
        <f>IFERROR(VLOOKUP(Table1824[[#This Row],[BKK]]&amp;TRIM(RIGHT(SUBSTITUTE(TRIM(Table1824[[#Headers],[Uraian aaaa]])," ",REPT(" ",255)),255)),'Un nOTA'!$D$4:$J$1004,4,FALSE),"")</f>
        <v/>
      </c>
      <c r="AJ29" s="8" t="str">
        <f>IFERROR(VLOOKUP(Table1824[[#This Row],[BKK]]&amp;TRIM(RIGHT(SUBSTITUTE(TRIM(Table1824[[#Headers],[Uraian aaaaa]])," ",REPT(" ",255)),255)),'Un nOTA'!$D$4:$J$1004,4,FALSE),"")</f>
        <v/>
      </c>
      <c r="AK29" s="8" t="str">
        <f>IFERROR(VLOOKUP(Table1824[[#This Row],[BKK]]&amp;TRIM(RIGHT(SUBSTITUTE(TRIM(Table1824[[#Headers],[Uraian aaaaaa]])," ",REPT(" ",255)),255)),'Un nOTA'!$D$4:$J$1004,4,FALSE),"")</f>
        <v/>
      </c>
      <c r="AL29" s="8" t="str">
        <f>IFERROR(VLOOKUP(Table1824[[#This Row],[BKK]]&amp;TRIM(RIGHT(SUBSTITUTE(TRIM(Table1824[[#Headers],[Uraian aaaaaaa]])," ",REPT(" ",255)),255)),'Un nOTA'!$D$4:$J$1004,4,FALSE),"")</f>
        <v/>
      </c>
      <c r="AM29" s="8" t="str">
        <f>IFERROR(VLOOKUP(Table1824[[#This Row],[BKK]]&amp;TRIM(RIGHT(SUBSTITUTE(TRIM(Table1824[[#Headers],[Uraian aaaaaaaa]])," ",REPT(" ",255)),255)),'Un nOTA'!$D$4:$J$1004,4,FALSE),"")</f>
        <v/>
      </c>
      <c r="AN29" s="8" t="str">
        <f>IFERROR(VLOOKUP(Table1824[[#This Row],[BKK]]&amp;TRIM(RIGHT(SUBSTITUTE(TRIM(Table1824[[#Headers],[Uraian aaaaaaaaa]])," ",REPT(" ",255)),255)),'Un nOTA'!$D$4:$J$1004,4,FALSE),"")</f>
        <v/>
      </c>
      <c r="AO29" s="8" t="str">
        <f>IFERROR(VLOOKUP(Table1824[[#This Row],[BKK]]&amp;TRIM(RIGHT(SUBSTITUTE(TRIM(Table1824[[#Headers],[Uraian aaaaaaaaaa]])," ",REPT(" ",255)),255)),'Un nOTA'!$D$4:$J$1004,4,FALSE),"")</f>
        <v/>
      </c>
      <c r="AP29" s="8" t="str">
        <f>IFERROR(VLOOKUP(Table1824[[#This Row],[BKK]]&amp;TRIM(RIGHT(SUBSTITUTE(TRIM(Table1824[[#Headers],[Uraian aaaaaaaaaaa]])," ",REPT(" ",255)),255)),'Un nOTA'!$D$4:$J$1004,4,FALSE),"")</f>
        <v/>
      </c>
      <c r="AQ29" s="8" t="str">
        <f>IFERROR(VLOOKUP(Table1824[[#This Row],[BKK]]&amp;TRIM(RIGHT(SUBSTITUTE(TRIM(Table1824[[#Headers],[Uraian aaaaaaaaaaaa]])," ",REPT(" ",255)),255)),'Un nOTA'!$D$4:$J$1004,4,FALSE),"")</f>
        <v/>
      </c>
      <c r="AR29" s="8" t="str">
        <f>IFERROR((IFERROR(VLOOKUP(Table1824[[#This Row],[BKK]],'Un nOTA'!$D$4:$J$1004,5,FALSE),""))*(10/11),"")</f>
        <v/>
      </c>
      <c r="AS29" s="8" t="str">
        <f>IFERROR((IFERROR(VLOOKUP(Table1824[[#This Row],[BKK]]&amp;TRIM(RIGHT(SUBSTITUTE(TRIM(Table1824[[#Headers],[Uraian a]])," ",REPT(" ",255)),255)),'Un nOTA'!$D$4:$J$1004,5,FALSE),"")*(10/11)),"")</f>
        <v/>
      </c>
      <c r="AT29" s="8" t="str">
        <f>IFERROR((IFERROR(VLOOKUP(Table1824[[#This Row],[BKK]]&amp;TRIM(RIGHT(SUBSTITUTE(TRIM(Table1824[[#Headers],[Uraian aa]])," ",REPT(" ",255)),255)),'Un nOTA'!$D$4:$J$1004,5,FALSE),"")*(10/11)),"")</f>
        <v/>
      </c>
      <c r="AU29" s="8" t="str">
        <f>IFERROR((IFERROR(VLOOKUP(Table1824[[#This Row],[BKK]]&amp;TRIM(RIGHT(SUBSTITUTE(TRIM(Table1824[[#Headers],[Uraian aaa]])," ",REPT(" ",255)),255)),'Un nOTA'!$D$4:$J$1004,5,FALSE),"")*(10/11)),"")</f>
        <v/>
      </c>
      <c r="AV29" s="8" t="str">
        <f>IFERROR((IFERROR(VLOOKUP(Table1824[[#This Row],[BKK]]&amp;TRIM(RIGHT(SUBSTITUTE(TRIM(Table1824[[#Headers],[Uraian aaaa]])," ",REPT(" ",255)),255)),'Un nOTA'!$D$4:$J$1004,5,FALSE),"")*(10/11)),"")</f>
        <v/>
      </c>
      <c r="AW29" s="8" t="str">
        <f>IFERROR((IFERROR(VLOOKUP(Table1824[[#This Row],[BKK]]&amp;TRIM(RIGHT(SUBSTITUTE(TRIM(Table1824[[#Headers],[Uraian aaaaa]])," ",REPT(" ",255)),255)),'Un nOTA'!$D$4:$J$1004,5,FALSE),"")*(10/11)),"")</f>
        <v/>
      </c>
      <c r="AX29" s="8" t="str">
        <f>IFERROR((IFERROR(VLOOKUP(Table1824[[#This Row],[BKK]]&amp;TRIM(RIGHT(SUBSTITUTE(TRIM(Table1824[[#Headers],[Uraian aaaaaa]])," ",REPT(" ",255)),255)),'Un nOTA'!$D$4:$J$1004,5,FALSE),"")*(10/11)),"")</f>
        <v/>
      </c>
      <c r="AY29" s="8" t="str">
        <f>IFERROR((IFERROR(VLOOKUP(Table1824[[#This Row],[BKK]]&amp;TRIM(RIGHT(SUBSTITUTE(TRIM(Table1824[[#Headers],[Uraian aaaaaaa]])," ",REPT(" ",255)),255)),'Un nOTA'!$D$4:$J$1004,5,FALSE),"")*(10/11)),"")</f>
        <v/>
      </c>
      <c r="AZ29" s="8" t="str">
        <f>IFERROR((IFERROR(VLOOKUP(Table1824[[#This Row],[BKK]]&amp;TRIM(RIGHT(SUBSTITUTE(TRIM(Table1824[[#Headers],[Uraian aaaaaaaa]])," ",REPT(" ",255)),255)),'Un nOTA'!$D$4:$J$1004,5,FALSE),"")*(10/11)),"")</f>
        <v/>
      </c>
      <c r="BA29" s="8" t="str">
        <f>IFERROR((IFERROR(VLOOKUP(Table1824[[#This Row],[BKK]]&amp;TRIM(RIGHT(SUBSTITUTE(TRIM(Table1824[[#Headers],[Uraian aaaaaaaaa]])," ",REPT(" ",255)),255)),'Un nOTA'!$D$4:$J$1004,5,FALSE),"")*(10/11)),"")</f>
        <v/>
      </c>
      <c r="BB29" s="8" t="str">
        <f>IFERROR((IFERROR(VLOOKUP(Table1824[[#This Row],[BKK]]&amp;TRIM(RIGHT(SUBSTITUTE(TRIM(Table1824[[#Headers],[Uraian aaaaaaaaaa]])," ",REPT(" ",255)),255)),'Un nOTA'!$D$4:$J$1004,5,FALSE),"")*(10/11)),"")</f>
        <v/>
      </c>
      <c r="BC29" s="8" t="str">
        <f>IFERROR((IFERROR(VLOOKUP(Table1824[[#This Row],[BKK]]&amp;TRIM(RIGHT(SUBSTITUTE(TRIM(Table1824[[#Headers],[Uraian aaaaaaaaaaa]])," ",REPT(" ",255)),255)),'Un nOTA'!$D$4:$J$1004,5,FALSE),"")*(10/11)),"")</f>
        <v/>
      </c>
      <c r="BD29" s="8" t="str">
        <f>IFERROR((IFERROR(VLOOKUP(Table1824[[#This Row],[BKK]]&amp;TRIM(RIGHT(SUBSTITUTE(TRIM(Table1824[[#Headers],[Uraian aaaaaaaaaaaa]])," ",REPT(" ",255)),255)),'Un nOTA'!$D$4:$J$1004,5,FALSE),"")*(10/11)),"")</f>
        <v/>
      </c>
      <c r="BE29" s="23" t="str">
        <f>IFERROR(ROUNDUP((Table1824[[#This Row],[Qty]]*Table1824[[#This Row],[Hrg St]]),0),"")</f>
        <v/>
      </c>
      <c r="BF29" s="8" t="str">
        <f>IFERROR(ROUNDUP((Table1824[[#This Row],[Qty2]]*Table1824[[#This Row],[Hrg St2]]),0),"")</f>
        <v/>
      </c>
      <c r="BG29" s="8" t="str">
        <f>IFERROR(ROUNDUP((Table1824[[#This Row],[Qty3]]*Table1824[[#This Row],[Hrg St3]]),0),"")</f>
        <v/>
      </c>
      <c r="BH29" s="8" t="str">
        <f>IFERROR(ROUNDUP((Table1824[[#This Row],[Qty4]]*Table1824[[#This Row],[Hrg St4]]),0),"")</f>
        <v/>
      </c>
      <c r="BI29" s="8" t="str">
        <f>IFERROR(ROUNDUP((Table1824[[#This Row],[Qty5]]*Table1824[[#This Row],[Hrg St5]]),0),"")</f>
        <v/>
      </c>
      <c r="BJ29" s="8" t="str">
        <f>IFERROR(ROUNDUP((Table1824[[#This Row],[Qty6]]*Table1824[[#This Row],[Hrg St6]]),0),"")</f>
        <v/>
      </c>
      <c r="BK29" s="8" t="str">
        <f>IFERROR(ROUNDUP((Table1824[[#This Row],[Qty7]]*Table1824[[#This Row],[Hrg St7]]),0),"")</f>
        <v/>
      </c>
      <c r="BL29" s="8" t="str">
        <f>IFERROR(ROUNDUP((Table1824[[#This Row],[Qty8]]*Table1824[[#This Row],[Hrg St8]]),0),"")</f>
        <v/>
      </c>
      <c r="BM29" s="8" t="str">
        <f>IFERROR(ROUNDUP((Table1824[[#This Row],[Qty9]]*Table1824[[#This Row],[Hrg St9]]),0),"")</f>
        <v/>
      </c>
      <c r="BN29" s="8" t="str">
        <f>IFERROR(ROUNDUP((Table1824[[#This Row],[Qty10]]*Table1824[[#This Row],[Hrg St10]]),0),"")</f>
        <v/>
      </c>
      <c r="BO29" s="8" t="str">
        <f>IFERROR(ROUNDUP((Table1824[[#This Row],[Qty11]]*Table1824[[#This Row],[Hrg St11]]),0),"")</f>
        <v/>
      </c>
      <c r="BP29" s="8" t="str">
        <f>IFERROR(ROUNDUP((Table1824[[#This Row],[Qty12]]*Table1824[[#This Row],[Hrg St12]]),0),"")</f>
        <v/>
      </c>
      <c r="BQ29" s="8" t="str">
        <f>IFERROR(ROUNDUP((Table1824[[#This Row],[Qty13]]*Table1824[[#This Row],[Hrg St13]]),0),"")</f>
        <v/>
      </c>
      <c r="BR29" s="23" t="str">
        <f>IF(Table1824[[#This Row],[BKK]]&gt;" ",IFERROR(ROUNDUP((SUM(Table1824[[#This Row],[Jml]:[Jml13]])),0)," ")," ")</f>
        <v xml:space="preserve"> </v>
      </c>
      <c r="BS29" s="23" t="str">
        <f>IF(Table1824[[#This Row],[BKK]]&gt;" ",ROUND((Table1824[[#This Row],[Total]]*0.1),0)," ")</f>
        <v xml:space="preserve"> </v>
      </c>
      <c r="BT29" s="23" t="str">
        <f>IF(Table1824[[#This Row],[BKK]]&gt;" ",(Table1824[[#This Row],[Total]]+Table1824[[#This Row],[PPN]])," ")</f>
        <v xml:space="preserve"> </v>
      </c>
      <c r="BU29" t="s">
        <v>454</v>
      </c>
      <c r="BV29" t="str">
        <f>IF(Table1824[[#This Row],[BKK]]&gt;" ",("INV/AK-MLG/2019/"&amp;'BKU 1'!$E$1&amp;"/"&amp;Table1824[[#This Row],[BKK]]&amp;"/"&amp;'BKU 1'!$E$1&amp;ROW())," ")</f>
        <v xml:space="preserve"> </v>
      </c>
      <c r="BW29" t="str">
        <f>IF(Table1824[[#This Row],[BKK]]&gt;" ",(TEXT(VLOOKUP(Table1824[[#This Row],[BKK]],COPY!$O$2:$U$1000,7,FALSE),"dd mmmm yyyy"))," ")</f>
        <v xml:space="preserve"> </v>
      </c>
      <c r="BX29" t="str">
        <f>IF(Table1824[[#This Row],[BKK]]&gt;" ",(TEXT((Table1824[[#This Row],[Tanggal Kirim]]+30),"dd mmmm yyyy"))," ")</f>
        <v xml:space="preserve"> </v>
      </c>
      <c r="BY29" t="str">
        <f>IF(Table1824[[#This Row],[BKK]]&gt;" ",'BKU 1'!$E$17," ")</f>
        <v xml:space="preserve"> </v>
      </c>
    </row>
    <row r="30" spans="1:77" hidden="1" x14ac:dyDescent="0.25">
      <c r="A30" t="str">
        <f>IFERROR((IF('Laporan ppn'!G6817&gt;0,VLOOKUP('Laporan ppn'!G6817,'Laporan ppn'!$E$10:$F$6785,2,FALSE),"")),"")</f>
        <v xml:space="preserve"> </v>
      </c>
      <c r="B30" t="str">
        <f>IF(Table1824[[#This Row],[BKK]]=" "," ",'BKU 1'!$D$25)</f>
        <v xml:space="preserve"> </v>
      </c>
      <c r="C30" t="str">
        <f>IF(Table1824[[#This Row],[BKK]]=" "," ",'BKU 1'!$D$26)</f>
        <v xml:space="preserve"> </v>
      </c>
      <c r="D30" t="str">
        <f>IF(Table1824[[#This Row],[BKK]]=" "," ",'BKU 1'!$I$25)</f>
        <v xml:space="preserve"> </v>
      </c>
      <c r="E30" t="str">
        <f>IFERROR(VLOOKUP(Table1824[[#This Row],[BKK]],'Un nOTA'!$D$4:$J$1004,2,FALSE),"")</f>
        <v/>
      </c>
      <c r="F30" t="str">
        <f>IFERROR(VLOOKUP(Table1824[[#This Row],[BKK]]&amp;TRIM(RIGHT(SUBSTITUTE(TRIM(Table1824[[#Headers],[Uraian a]])," ",REPT(" ",255)),255)),'Un nOTA'!$D$4:$J$1004,2,FALSE),"")</f>
        <v/>
      </c>
      <c r="G30" t="str">
        <f>IFERROR(VLOOKUP(Table1824[[#This Row],[BKK]]&amp;TRIM(RIGHT(SUBSTITUTE(TRIM(Table1824[[#Headers],[Uraian aa]])," ",REPT(" ",255)),255)),'Un nOTA'!$D$4:$J$1004,2,FALSE),"")</f>
        <v/>
      </c>
      <c r="H30" t="str">
        <f>IFERROR(VLOOKUP(Table1824[[#This Row],[BKK]]&amp;TRIM(RIGHT(SUBSTITUTE(TRIM(Table1824[[#Headers],[Uraian aaa]])," ",REPT(" ",255)),255)),'Un nOTA'!$D$4:$J$1004,2,FALSE),"")</f>
        <v/>
      </c>
      <c r="I30" t="str">
        <f>IFERROR(VLOOKUP(Table1824[[#This Row],[BKK]]&amp;TRIM(RIGHT(SUBSTITUTE(TRIM(Table1824[[#Headers],[Uraian aaaa]])," ",REPT(" ",255)),255)),'Un nOTA'!$D$4:$J$1004,2,FALSE),"")</f>
        <v/>
      </c>
      <c r="J30" t="str">
        <f>IFERROR(VLOOKUP(Table1824[[#This Row],[BKK]]&amp;TRIM(RIGHT(SUBSTITUTE(TRIM(Table1824[[#Headers],[Uraian aaaaa]])," ",REPT(" ",255)),255)),'Un nOTA'!$D$4:$J$1004,2,FALSE),"")</f>
        <v/>
      </c>
      <c r="K30" t="str">
        <f>IFERROR(VLOOKUP(Table1824[[#This Row],[BKK]]&amp;TRIM(RIGHT(SUBSTITUTE(TRIM(Table1824[[#Headers],[Uraian aaaaaa]])," ",REPT(" ",255)),255)),'Un nOTA'!$D$4:$J$1004,2,FALSE),"")</f>
        <v/>
      </c>
      <c r="L30" t="str">
        <f>IFERROR(VLOOKUP(Table1824[[#This Row],[BKK]]&amp;TRIM(RIGHT(SUBSTITUTE(TRIM(Table1824[[#Headers],[Uraian aaaaaaa]])," ",REPT(" ",255)),255)),'Un nOTA'!$D$4:$J$1004,2,FALSE),"")</f>
        <v/>
      </c>
      <c r="M30" t="str">
        <f>IFERROR(VLOOKUP(Table1824[[#This Row],[BKK]]&amp;TRIM(RIGHT(SUBSTITUTE(TRIM(Table1824[[#Headers],[Uraian aaaaaaaa]])," ",REPT(" ",255)),255)),'Un nOTA'!$D$4:$J$1004,2,FALSE),"")</f>
        <v/>
      </c>
      <c r="N30" t="str">
        <f>IFERROR(VLOOKUP(Table1824[[#This Row],[BKK]]&amp;TRIM(RIGHT(SUBSTITUTE(TRIM(Table1824[[#Headers],[Uraian aaaaaaaaa]])," ",REPT(" ",255)),255)),'Un nOTA'!$D$4:$J$1004,2,FALSE),"")</f>
        <v/>
      </c>
      <c r="O30" t="str">
        <f>IFERROR(VLOOKUP(Table1824[[#This Row],[BKK]]&amp;TRIM(RIGHT(SUBSTITUTE(TRIM(Table1824[[#Headers],[Uraian aaaaaaaaaa]])," ",REPT(" ",255)),255)),'Un nOTA'!$D$4:$J$1004,2,FALSE),"")</f>
        <v/>
      </c>
      <c r="P30" t="str">
        <f>IFERROR(VLOOKUP(Table1824[[#This Row],[BKK]]&amp;TRIM(RIGHT(SUBSTITUTE(TRIM(Table1824[[#Headers],[Uraian aaaaaaaaaaa]])," ",REPT(" ",255)),255)),'Un nOTA'!$D$4:$J$1004,2,FALSE),"")</f>
        <v/>
      </c>
      <c r="Q30" t="str">
        <f>IFERROR(VLOOKUP(Table1824[[#This Row],[BKK]]&amp;TRIM(RIGHT(SUBSTITUTE(TRIM(Table1824[[#Headers],[Uraian aaaaaaaaaaaa]])," ",REPT(" ",255)),255)),'Un nOTA'!$D$4:$J$1004,2,FALSE),"")</f>
        <v/>
      </c>
      <c r="R30" s="32" t="str">
        <f>IFERROR(VLOOKUP(Table1824[[#This Row],[BKK]],'Un nOTA'!$D$4:$J$1004,3,FALSE),"")</f>
        <v/>
      </c>
      <c r="S30" s="32" t="str">
        <f>IFERROR(VLOOKUP(Table1824[[#This Row],[BKK]]&amp;TRIM(RIGHT(SUBSTITUTE(TRIM(Table1824[[#Headers],[Uraian a]])," ",REPT(" ",255)),255)),'Un nOTA'!$D$4:$J$1004,3,FALSE),"")</f>
        <v/>
      </c>
      <c r="T30" s="32" t="str">
        <f>IFERROR(VLOOKUP(Table1824[[#This Row],[BKK]]&amp;TRIM(RIGHT(SUBSTITUTE(TRIM(Table1824[[#Headers],[Uraian aa]])," ",REPT(" ",255)),255)),'Un nOTA'!$D$4:$J$1004,3,FALSE),"")</f>
        <v/>
      </c>
      <c r="U30" s="32" t="str">
        <f>IFERROR(VLOOKUP(Table1824[[#This Row],[BKK]]&amp;TRIM(RIGHT(SUBSTITUTE(TRIM(Table1824[[#Headers],[Uraian aaa]])," ",REPT(" ",255)),255)),'Un nOTA'!$D$4:$J$1004,3,FALSE),"")</f>
        <v/>
      </c>
      <c r="V30" s="32" t="str">
        <f>IFERROR(VLOOKUP(Table1824[[#This Row],[BKK]]&amp;TRIM(RIGHT(SUBSTITUTE(TRIM(Table1824[[#Headers],[Uraian aaaa]])," ",REPT(" ",255)),255)),'Un nOTA'!$D$4:$J$1004,3,FALSE),"")</f>
        <v/>
      </c>
      <c r="W30" s="32" t="str">
        <f>IFERROR(VLOOKUP(Table1824[[#This Row],[BKK]]&amp;TRIM(RIGHT(SUBSTITUTE(TRIM(Table1824[[#Headers],[Uraian aaaaa]])," ",REPT(" ",255)),255)),'Un nOTA'!$D$4:$J$1004,3,FALSE),"")</f>
        <v/>
      </c>
      <c r="X30" s="32" t="str">
        <f>IFERROR(VLOOKUP(Table1824[[#This Row],[BKK]]&amp;TRIM(RIGHT(SUBSTITUTE(TRIM(Table1824[[#Headers],[Uraian aaaaaa]])," ",REPT(" ",255)),255)),'Un nOTA'!$D$4:$J$1004,3,FALSE),"")</f>
        <v/>
      </c>
      <c r="Y30" s="32" t="str">
        <f>IFERROR(VLOOKUP(Table1824[[#This Row],[BKK]]&amp;TRIM(RIGHT(SUBSTITUTE(TRIM(Table1824[[#Headers],[Uraian aaaaaaa]])," ",REPT(" ",255)),255)),'Un nOTA'!$D$4:$J$1004,3,FALSE),"")</f>
        <v/>
      </c>
      <c r="Z30" s="32" t="str">
        <f>IFERROR(VLOOKUP(Table1824[[#This Row],[BKK]]&amp;TRIM(RIGHT(SUBSTITUTE(TRIM(Table1824[[#Headers],[Uraian aaaaaaaa]])," ",REPT(" ",255)),255)),'Un nOTA'!$D$4:$J$1004,3,FALSE),"")</f>
        <v/>
      </c>
      <c r="AA30" s="32" t="str">
        <f>IFERROR(VLOOKUP(Table1824[[#This Row],[BKK]]&amp;TRIM(RIGHT(SUBSTITUTE(TRIM(Table1824[[#Headers],[Uraian aaaaaaaaa]])," ",REPT(" ",255)),255)),'Un nOTA'!$D$4:$J$1004,3,FALSE),"")</f>
        <v/>
      </c>
      <c r="AB30" s="32" t="str">
        <f>IFERROR(VLOOKUP(Table1824[[#This Row],[BKK]]&amp;TRIM(RIGHT(SUBSTITUTE(TRIM(Table1824[[#Headers],[Uraian aaaaaaaaaa]])," ",REPT(" ",255)),255)),'Un nOTA'!$D$4:$J$1004,3,FALSE),"")</f>
        <v/>
      </c>
      <c r="AC30" s="32" t="str">
        <f>IFERROR(VLOOKUP(Table1824[[#This Row],[BKK]]&amp;TRIM(RIGHT(SUBSTITUTE(TRIM(Table1824[[#Headers],[Uraian aaaaaaaaaaa]])," ",REPT(" ",255)),255)),'Un nOTA'!$D$4:$J$1004,3,FALSE),"")</f>
        <v/>
      </c>
      <c r="AD30" s="32" t="str">
        <f>IFERROR(VLOOKUP(Table1824[[#This Row],[BKK]]&amp;TRIM(RIGHT(SUBSTITUTE(TRIM(Table1824[[#Headers],[Uraian aaaaaaaaaaaa]])," ",REPT(" ",255)),255)),'Un nOTA'!$D$4:$J$1004,3,FALSE),"")</f>
        <v/>
      </c>
      <c r="AE30" s="8" t="str">
        <f>IFERROR(VLOOKUP(Table1824[[#This Row],[BKK]],'Un nOTA'!$D$4:$J$1004,4,FALSE),"")</f>
        <v/>
      </c>
      <c r="AF30" s="8" t="str">
        <f>IFERROR(VLOOKUP(Table1824[[#This Row],[BKK]]&amp;TRIM(RIGHT(SUBSTITUTE(TRIM(Table1824[[#Headers],[Uraian a]])," ",REPT(" ",255)),255)),'Un nOTA'!$D$4:$J$1004,4,FALSE),"")</f>
        <v/>
      </c>
      <c r="AG30" s="8" t="str">
        <f>IFERROR(VLOOKUP(Table1824[[#This Row],[BKK]]&amp;TRIM(RIGHT(SUBSTITUTE(TRIM(Table1824[[#Headers],[Uraian aa]])," ",REPT(" ",255)),255)),'Un nOTA'!$D$4:$J$1004,4,FALSE),"")</f>
        <v/>
      </c>
      <c r="AH30" s="8" t="str">
        <f>IFERROR(VLOOKUP(Table1824[[#This Row],[BKK]]&amp;TRIM(RIGHT(SUBSTITUTE(TRIM(Table1824[[#Headers],[Uraian aaa]])," ",REPT(" ",255)),255)),'Un nOTA'!$D$4:$J$1004,4,FALSE),"")</f>
        <v/>
      </c>
      <c r="AI30" s="8" t="str">
        <f>IFERROR(VLOOKUP(Table1824[[#This Row],[BKK]]&amp;TRIM(RIGHT(SUBSTITUTE(TRIM(Table1824[[#Headers],[Uraian aaaa]])," ",REPT(" ",255)),255)),'Un nOTA'!$D$4:$J$1004,4,FALSE),"")</f>
        <v/>
      </c>
      <c r="AJ30" s="8" t="str">
        <f>IFERROR(VLOOKUP(Table1824[[#This Row],[BKK]]&amp;TRIM(RIGHT(SUBSTITUTE(TRIM(Table1824[[#Headers],[Uraian aaaaa]])," ",REPT(" ",255)),255)),'Un nOTA'!$D$4:$J$1004,4,FALSE),"")</f>
        <v/>
      </c>
      <c r="AK30" s="8" t="str">
        <f>IFERROR(VLOOKUP(Table1824[[#This Row],[BKK]]&amp;TRIM(RIGHT(SUBSTITUTE(TRIM(Table1824[[#Headers],[Uraian aaaaaa]])," ",REPT(" ",255)),255)),'Un nOTA'!$D$4:$J$1004,4,FALSE),"")</f>
        <v/>
      </c>
      <c r="AL30" s="8" t="str">
        <f>IFERROR(VLOOKUP(Table1824[[#This Row],[BKK]]&amp;TRIM(RIGHT(SUBSTITUTE(TRIM(Table1824[[#Headers],[Uraian aaaaaaa]])," ",REPT(" ",255)),255)),'Un nOTA'!$D$4:$J$1004,4,FALSE),"")</f>
        <v/>
      </c>
      <c r="AM30" s="8" t="str">
        <f>IFERROR(VLOOKUP(Table1824[[#This Row],[BKK]]&amp;TRIM(RIGHT(SUBSTITUTE(TRIM(Table1824[[#Headers],[Uraian aaaaaaaa]])," ",REPT(" ",255)),255)),'Un nOTA'!$D$4:$J$1004,4,FALSE),"")</f>
        <v/>
      </c>
      <c r="AN30" s="8" t="str">
        <f>IFERROR(VLOOKUP(Table1824[[#This Row],[BKK]]&amp;TRIM(RIGHT(SUBSTITUTE(TRIM(Table1824[[#Headers],[Uraian aaaaaaaaa]])," ",REPT(" ",255)),255)),'Un nOTA'!$D$4:$J$1004,4,FALSE),"")</f>
        <v/>
      </c>
      <c r="AO30" s="8" t="str">
        <f>IFERROR(VLOOKUP(Table1824[[#This Row],[BKK]]&amp;TRIM(RIGHT(SUBSTITUTE(TRIM(Table1824[[#Headers],[Uraian aaaaaaaaaa]])," ",REPT(" ",255)),255)),'Un nOTA'!$D$4:$J$1004,4,FALSE),"")</f>
        <v/>
      </c>
      <c r="AP30" s="8" t="str">
        <f>IFERROR(VLOOKUP(Table1824[[#This Row],[BKK]]&amp;TRIM(RIGHT(SUBSTITUTE(TRIM(Table1824[[#Headers],[Uraian aaaaaaaaaaa]])," ",REPT(" ",255)),255)),'Un nOTA'!$D$4:$J$1004,4,FALSE),"")</f>
        <v/>
      </c>
      <c r="AQ30" s="8" t="str">
        <f>IFERROR(VLOOKUP(Table1824[[#This Row],[BKK]]&amp;TRIM(RIGHT(SUBSTITUTE(TRIM(Table1824[[#Headers],[Uraian aaaaaaaaaaaa]])," ",REPT(" ",255)),255)),'Un nOTA'!$D$4:$J$1004,4,FALSE),"")</f>
        <v/>
      </c>
      <c r="AR30" s="8" t="str">
        <f>IFERROR((IFERROR(VLOOKUP(Table1824[[#This Row],[BKK]],'Un nOTA'!$D$4:$J$1004,5,FALSE),""))*(10/11),"")</f>
        <v/>
      </c>
      <c r="AS30" s="8" t="str">
        <f>IFERROR((IFERROR(VLOOKUP(Table1824[[#This Row],[BKK]]&amp;TRIM(RIGHT(SUBSTITUTE(TRIM(Table1824[[#Headers],[Uraian a]])," ",REPT(" ",255)),255)),'Un nOTA'!$D$4:$J$1004,5,FALSE),"")*(10/11)),"")</f>
        <v/>
      </c>
      <c r="AT30" s="8" t="str">
        <f>IFERROR((IFERROR(VLOOKUP(Table1824[[#This Row],[BKK]]&amp;TRIM(RIGHT(SUBSTITUTE(TRIM(Table1824[[#Headers],[Uraian aa]])," ",REPT(" ",255)),255)),'Un nOTA'!$D$4:$J$1004,5,FALSE),"")*(10/11)),"")</f>
        <v/>
      </c>
      <c r="AU30" s="8" t="str">
        <f>IFERROR((IFERROR(VLOOKUP(Table1824[[#This Row],[BKK]]&amp;TRIM(RIGHT(SUBSTITUTE(TRIM(Table1824[[#Headers],[Uraian aaa]])," ",REPT(" ",255)),255)),'Un nOTA'!$D$4:$J$1004,5,FALSE),"")*(10/11)),"")</f>
        <v/>
      </c>
      <c r="AV30" s="8" t="str">
        <f>IFERROR((IFERROR(VLOOKUP(Table1824[[#This Row],[BKK]]&amp;TRIM(RIGHT(SUBSTITUTE(TRIM(Table1824[[#Headers],[Uraian aaaa]])," ",REPT(" ",255)),255)),'Un nOTA'!$D$4:$J$1004,5,FALSE),"")*(10/11)),"")</f>
        <v/>
      </c>
      <c r="AW30" s="8" t="str">
        <f>IFERROR((IFERROR(VLOOKUP(Table1824[[#This Row],[BKK]]&amp;TRIM(RIGHT(SUBSTITUTE(TRIM(Table1824[[#Headers],[Uraian aaaaa]])," ",REPT(" ",255)),255)),'Un nOTA'!$D$4:$J$1004,5,FALSE),"")*(10/11)),"")</f>
        <v/>
      </c>
      <c r="AX30" s="8" t="str">
        <f>IFERROR((IFERROR(VLOOKUP(Table1824[[#This Row],[BKK]]&amp;TRIM(RIGHT(SUBSTITUTE(TRIM(Table1824[[#Headers],[Uraian aaaaaa]])," ",REPT(" ",255)),255)),'Un nOTA'!$D$4:$J$1004,5,FALSE),"")*(10/11)),"")</f>
        <v/>
      </c>
      <c r="AY30" s="8" t="str">
        <f>IFERROR((IFERROR(VLOOKUP(Table1824[[#This Row],[BKK]]&amp;TRIM(RIGHT(SUBSTITUTE(TRIM(Table1824[[#Headers],[Uraian aaaaaaa]])," ",REPT(" ",255)),255)),'Un nOTA'!$D$4:$J$1004,5,FALSE),"")*(10/11)),"")</f>
        <v/>
      </c>
      <c r="AZ30" s="8" t="str">
        <f>IFERROR((IFERROR(VLOOKUP(Table1824[[#This Row],[BKK]]&amp;TRIM(RIGHT(SUBSTITUTE(TRIM(Table1824[[#Headers],[Uraian aaaaaaaa]])," ",REPT(" ",255)),255)),'Un nOTA'!$D$4:$J$1004,5,FALSE),"")*(10/11)),"")</f>
        <v/>
      </c>
      <c r="BA30" s="8" t="str">
        <f>IFERROR((IFERROR(VLOOKUP(Table1824[[#This Row],[BKK]]&amp;TRIM(RIGHT(SUBSTITUTE(TRIM(Table1824[[#Headers],[Uraian aaaaaaaaa]])," ",REPT(" ",255)),255)),'Un nOTA'!$D$4:$J$1004,5,FALSE),"")*(10/11)),"")</f>
        <v/>
      </c>
      <c r="BB30" s="8" t="str">
        <f>IFERROR((IFERROR(VLOOKUP(Table1824[[#This Row],[BKK]]&amp;TRIM(RIGHT(SUBSTITUTE(TRIM(Table1824[[#Headers],[Uraian aaaaaaaaaa]])," ",REPT(" ",255)),255)),'Un nOTA'!$D$4:$J$1004,5,FALSE),"")*(10/11)),"")</f>
        <v/>
      </c>
      <c r="BC30" s="8" t="str">
        <f>IFERROR((IFERROR(VLOOKUP(Table1824[[#This Row],[BKK]]&amp;TRIM(RIGHT(SUBSTITUTE(TRIM(Table1824[[#Headers],[Uraian aaaaaaaaaaa]])," ",REPT(" ",255)),255)),'Un nOTA'!$D$4:$J$1004,5,FALSE),"")*(10/11)),"")</f>
        <v/>
      </c>
      <c r="BD30" s="8" t="str">
        <f>IFERROR((IFERROR(VLOOKUP(Table1824[[#This Row],[BKK]]&amp;TRIM(RIGHT(SUBSTITUTE(TRIM(Table1824[[#Headers],[Uraian aaaaaaaaaaaa]])," ",REPT(" ",255)),255)),'Un nOTA'!$D$4:$J$1004,5,FALSE),"")*(10/11)),"")</f>
        <v/>
      </c>
      <c r="BE30" s="23" t="str">
        <f>IFERROR(ROUNDUP((Table1824[[#This Row],[Qty]]*Table1824[[#This Row],[Hrg St]]),0),"")</f>
        <v/>
      </c>
      <c r="BF30" s="8" t="str">
        <f>IFERROR(ROUNDUP((Table1824[[#This Row],[Qty2]]*Table1824[[#This Row],[Hrg St2]]),0),"")</f>
        <v/>
      </c>
      <c r="BG30" s="8" t="str">
        <f>IFERROR(ROUNDUP((Table1824[[#This Row],[Qty3]]*Table1824[[#This Row],[Hrg St3]]),0),"")</f>
        <v/>
      </c>
      <c r="BH30" s="8" t="str">
        <f>IFERROR(ROUNDUP((Table1824[[#This Row],[Qty4]]*Table1824[[#This Row],[Hrg St4]]),0),"")</f>
        <v/>
      </c>
      <c r="BI30" s="8" t="str">
        <f>IFERROR(ROUNDUP((Table1824[[#This Row],[Qty5]]*Table1824[[#This Row],[Hrg St5]]),0),"")</f>
        <v/>
      </c>
      <c r="BJ30" s="8" t="str">
        <f>IFERROR(ROUNDUP((Table1824[[#This Row],[Qty6]]*Table1824[[#This Row],[Hrg St6]]),0),"")</f>
        <v/>
      </c>
      <c r="BK30" s="8" t="str">
        <f>IFERROR(ROUNDUP((Table1824[[#This Row],[Qty7]]*Table1824[[#This Row],[Hrg St7]]),0),"")</f>
        <v/>
      </c>
      <c r="BL30" s="8" t="str">
        <f>IFERROR(ROUNDUP((Table1824[[#This Row],[Qty8]]*Table1824[[#This Row],[Hrg St8]]),0),"")</f>
        <v/>
      </c>
      <c r="BM30" s="8" t="str">
        <f>IFERROR(ROUNDUP((Table1824[[#This Row],[Qty9]]*Table1824[[#This Row],[Hrg St9]]),0),"")</f>
        <v/>
      </c>
      <c r="BN30" s="8" t="str">
        <f>IFERROR(ROUNDUP((Table1824[[#This Row],[Qty10]]*Table1824[[#This Row],[Hrg St10]]),0),"")</f>
        <v/>
      </c>
      <c r="BO30" s="8" t="str">
        <f>IFERROR(ROUNDUP((Table1824[[#This Row],[Qty11]]*Table1824[[#This Row],[Hrg St11]]),0),"")</f>
        <v/>
      </c>
      <c r="BP30" s="8" t="str">
        <f>IFERROR(ROUNDUP((Table1824[[#This Row],[Qty12]]*Table1824[[#This Row],[Hrg St12]]),0),"")</f>
        <v/>
      </c>
      <c r="BQ30" s="8" t="str">
        <f>IFERROR(ROUNDUP((Table1824[[#This Row],[Qty13]]*Table1824[[#This Row],[Hrg St13]]),0),"")</f>
        <v/>
      </c>
      <c r="BR30" s="23" t="str">
        <f>IF(Table1824[[#This Row],[BKK]]&gt;" ",IFERROR(ROUNDUP((SUM(Table1824[[#This Row],[Jml]:[Jml13]])),0)," ")," ")</f>
        <v xml:space="preserve"> </v>
      </c>
      <c r="BS30" s="23" t="str">
        <f>IF(Table1824[[#This Row],[BKK]]&gt;" ",ROUND((Table1824[[#This Row],[Total]]*0.1),0)," ")</f>
        <v xml:space="preserve"> </v>
      </c>
      <c r="BT30" s="23" t="str">
        <f>IF(Table1824[[#This Row],[BKK]]&gt;" ",(Table1824[[#This Row],[Total]]+Table1824[[#This Row],[PPN]])," ")</f>
        <v xml:space="preserve"> </v>
      </c>
      <c r="BU30" t="s">
        <v>454</v>
      </c>
      <c r="BV30" t="str">
        <f>IF(Table1824[[#This Row],[BKK]]&gt;" ",("INV/AK-MLG/2019/"&amp;'BKU 1'!$E$1&amp;"/"&amp;Table1824[[#This Row],[BKK]]&amp;"/"&amp;'BKU 1'!$E$1&amp;ROW())," ")</f>
        <v xml:space="preserve"> </v>
      </c>
      <c r="BW30" t="str">
        <f>IF(Table1824[[#This Row],[BKK]]&gt;" ",(TEXT(VLOOKUP(Table1824[[#This Row],[BKK]],COPY!$O$2:$U$1000,7,FALSE),"dd mmmm yyyy"))," ")</f>
        <v xml:space="preserve"> </v>
      </c>
      <c r="BX30" t="str">
        <f>IF(Table1824[[#This Row],[BKK]]&gt;" ",(TEXT((Table1824[[#This Row],[Tanggal Kirim]]+30),"dd mmmm yyyy"))," ")</f>
        <v xml:space="preserve"> </v>
      </c>
      <c r="BY30" t="str">
        <f>IF(Table1824[[#This Row],[BKK]]&gt;" ",'BKU 1'!$E$17," ")</f>
        <v xml:space="preserve"> </v>
      </c>
    </row>
    <row r="31" spans="1:77" hidden="1" x14ac:dyDescent="0.25">
      <c r="A31" t="str">
        <f>IFERROR((IF('Laporan ppn'!G6818&gt;0,VLOOKUP('Laporan ppn'!G6818,'Laporan ppn'!$E$10:$F$6785,2,FALSE),"")),"")</f>
        <v xml:space="preserve"> </v>
      </c>
      <c r="B31" t="str">
        <f>IF(Table1824[[#This Row],[BKK]]=" "," ",'BKU 1'!$D$25)</f>
        <v xml:space="preserve"> </v>
      </c>
      <c r="C31" t="str">
        <f>IF(Table1824[[#This Row],[BKK]]=" "," ",'BKU 1'!$D$26)</f>
        <v xml:space="preserve"> </v>
      </c>
      <c r="D31" t="str">
        <f>IF(Table1824[[#This Row],[BKK]]=" "," ",'BKU 1'!$I$25)</f>
        <v xml:space="preserve"> </v>
      </c>
      <c r="E31" t="str">
        <f>IFERROR(VLOOKUP(Table1824[[#This Row],[BKK]],'Un nOTA'!$D$4:$J$1004,2,FALSE),"")</f>
        <v/>
      </c>
      <c r="F31" t="str">
        <f>IFERROR(VLOOKUP(Table1824[[#This Row],[BKK]]&amp;TRIM(RIGHT(SUBSTITUTE(TRIM(Table1824[[#Headers],[Uraian a]])," ",REPT(" ",255)),255)),'Un nOTA'!$D$4:$J$1004,2,FALSE),"")</f>
        <v/>
      </c>
      <c r="G31" t="str">
        <f>IFERROR(VLOOKUP(Table1824[[#This Row],[BKK]]&amp;TRIM(RIGHT(SUBSTITUTE(TRIM(Table1824[[#Headers],[Uraian aa]])," ",REPT(" ",255)),255)),'Un nOTA'!$D$4:$J$1004,2,FALSE),"")</f>
        <v/>
      </c>
      <c r="H31" t="str">
        <f>IFERROR(VLOOKUP(Table1824[[#This Row],[BKK]]&amp;TRIM(RIGHT(SUBSTITUTE(TRIM(Table1824[[#Headers],[Uraian aaa]])," ",REPT(" ",255)),255)),'Un nOTA'!$D$4:$J$1004,2,FALSE),"")</f>
        <v/>
      </c>
      <c r="I31" t="str">
        <f>IFERROR(VLOOKUP(Table1824[[#This Row],[BKK]]&amp;TRIM(RIGHT(SUBSTITUTE(TRIM(Table1824[[#Headers],[Uraian aaaa]])," ",REPT(" ",255)),255)),'Un nOTA'!$D$4:$J$1004,2,FALSE),"")</f>
        <v/>
      </c>
      <c r="J31" t="str">
        <f>IFERROR(VLOOKUP(Table1824[[#This Row],[BKK]]&amp;TRIM(RIGHT(SUBSTITUTE(TRIM(Table1824[[#Headers],[Uraian aaaaa]])," ",REPT(" ",255)),255)),'Un nOTA'!$D$4:$J$1004,2,FALSE),"")</f>
        <v/>
      </c>
      <c r="K31" t="str">
        <f>IFERROR(VLOOKUP(Table1824[[#This Row],[BKK]]&amp;TRIM(RIGHT(SUBSTITUTE(TRIM(Table1824[[#Headers],[Uraian aaaaaa]])," ",REPT(" ",255)),255)),'Un nOTA'!$D$4:$J$1004,2,FALSE),"")</f>
        <v/>
      </c>
      <c r="L31" t="str">
        <f>IFERROR(VLOOKUP(Table1824[[#This Row],[BKK]]&amp;TRIM(RIGHT(SUBSTITUTE(TRIM(Table1824[[#Headers],[Uraian aaaaaaa]])," ",REPT(" ",255)),255)),'Un nOTA'!$D$4:$J$1004,2,FALSE),"")</f>
        <v/>
      </c>
      <c r="M31" t="str">
        <f>IFERROR(VLOOKUP(Table1824[[#This Row],[BKK]]&amp;TRIM(RIGHT(SUBSTITUTE(TRIM(Table1824[[#Headers],[Uraian aaaaaaaa]])," ",REPT(" ",255)),255)),'Un nOTA'!$D$4:$J$1004,2,FALSE),"")</f>
        <v/>
      </c>
      <c r="N31" t="str">
        <f>IFERROR(VLOOKUP(Table1824[[#This Row],[BKK]]&amp;TRIM(RIGHT(SUBSTITUTE(TRIM(Table1824[[#Headers],[Uraian aaaaaaaaa]])," ",REPT(" ",255)),255)),'Un nOTA'!$D$4:$J$1004,2,FALSE),"")</f>
        <v/>
      </c>
      <c r="O31" t="str">
        <f>IFERROR(VLOOKUP(Table1824[[#This Row],[BKK]]&amp;TRIM(RIGHT(SUBSTITUTE(TRIM(Table1824[[#Headers],[Uraian aaaaaaaaaa]])," ",REPT(" ",255)),255)),'Un nOTA'!$D$4:$J$1004,2,FALSE),"")</f>
        <v/>
      </c>
      <c r="P31" t="str">
        <f>IFERROR(VLOOKUP(Table1824[[#This Row],[BKK]]&amp;TRIM(RIGHT(SUBSTITUTE(TRIM(Table1824[[#Headers],[Uraian aaaaaaaaaaa]])," ",REPT(" ",255)),255)),'Un nOTA'!$D$4:$J$1004,2,FALSE),"")</f>
        <v/>
      </c>
      <c r="Q31" t="str">
        <f>IFERROR(VLOOKUP(Table1824[[#This Row],[BKK]]&amp;TRIM(RIGHT(SUBSTITUTE(TRIM(Table1824[[#Headers],[Uraian aaaaaaaaaaaa]])," ",REPT(" ",255)),255)),'Un nOTA'!$D$4:$J$1004,2,FALSE),"")</f>
        <v/>
      </c>
      <c r="R31" s="32" t="str">
        <f>IFERROR(VLOOKUP(Table1824[[#This Row],[BKK]],'Un nOTA'!$D$4:$J$1004,3,FALSE),"")</f>
        <v/>
      </c>
      <c r="S31" s="32" t="str">
        <f>IFERROR(VLOOKUP(Table1824[[#This Row],[BKK]]&amp;TRIM(RIGHT(SUBSTITUTE(TRIM(Table1824[[#Headers],[Uraian a]])," ",REPT(" ",255)),255)),'Un nOTA'!$D$4:$J$1004,3,FALSE),"")</f>
        <v/>
      </c>
      <c r="T31" s="32" t="str">
        <f>IFERROR(VLOOKUP(Table1824[[#This Row],[BKK]]&amp;TRIM(RIGHT(SUBSTITUTE(TRIM(Table1824[[#Headers],[Uraian aa]])," ",REPT(" ",255)),255)),'Un nOTA'!$D$4:$J$1004,3,FALSE),"")</f>
        <v/>
      </c>
      <c r="U31" s="32" t="str">
        <f>IFERROR(VLOOKUP(Table1824[[#This Row],[BKK]]&amp;TRIM(RIGHT(SUBSTITUTE(TRIM(Table1824[[#Headers],[Uraian aaa]])," ",REPT(" ",255)),255)),'Un nOTA'!$D$4:$J$1004,3,FALSE),"")</f>
        <v/>
      </c>
      <c r="V31" s="32" t="str">
        <f>IFERROR(VLOOKUP(Table1824[[#This Row],[BKK]]&amp;TRIM(RIGHT(SUBSTITUTE(TRIM(Table1824[[#Headers],[Uraian aaaa]])," ",REPT(" ",255)),255)),'Un nOTA'!$D$4:$J$1004,3,FALSE),"")</f>
        <v/>
      </c>
      <c r="W31" s="32" t="str">
        <f>IFERROR(VLOOKUP(Table1824[[#This Row],[BKK]]&amp;TRIM(RIGHT(SUBSTITUTE(TRIM(Table1824[[#Headers],[Uraian aaaaa]])," ",REPT(" ",255)),255)),'Un nOTA'!$D$4:$J$1004,3,FALSE),"")</f>
        <v/>
      </c>
      <c r="X31" s="32" t="str">
        <f>IFERROR(VLOOKUP(Table1824[[#This Row],[BKK]]&amp;TRIM(RIGHT(SUBSTITUTE(TRIM(Table1824[[#Headers],[Uraian aaaaaa]])," ",REPT(" ",255)),255)),'Un nOTA'!$D$4:$J$1004,3,FALSE),"")</f>
        <v/>
      </c>
      <c r="Y31" s="32" t="str">
        <f>IFERROR(VLOOKUP(Table1824[[#This Row],[BKK]]&amp;TRIM(RIGHT(SUBSTITUTE(TRIM(Table1824[[#Headers],[Uraian aaaaaaa]])," ",REPT(" ",255)),255)),'Un nOTA'!$D$4:$J$1004,3,FALSE),"")</f>
        <v/>
      </c>
      <c r="Z31" s="32" t="str">
        <f>IFERROR(VLOOKUP(Table1824[[#This Row],[BKK]]&amp;TRIM(RIGHT(SUBSTITUTE(TRIM(Table1824[[#Headers],[Uraian aaaaaaaa]])," ",REPT(" ",255)),255)),'Un nOTA'!$D$4:$J$1004,3,FALSE),"")</f>
        <v/>
      </c>
      <c r="AA31" s="32" t="str">
        <f>IFERROR(VLOOKUP(Table1824[[#This Row],[BKK]]&amp;TRIM(RIGHT(SUBSTITUTE(TRIM(Table1824[[#Headers],[Uraian aaaaaaaaa]])," ",REPT(" ",255)),255)),'Un nOTA'!$D$4:$J$1004,3,FALSE),"")</f>
        <v/>
      </c>
      <c r="AB31" s="32" t="str">
        <f>IFERROR(VLOOKUP(Table1824[[#This Row],[BKK]]&amp;TRIM(RIGHT(SUBSTITUTE(TRIM(Table1824[[#Headers],[Uraian aaaaaaaaaa]])," ",REPT(" ",255)),255)),'Un nOTA'!$D$4:$J$1004,3,FALSE),"")</f>
        <v/>
      </c>
      <c r="AC31" s="32" t="str">
        <f>IFERROR(VLOOKUP(Table1824[[#This Row],[BKK]]&amp;TRIM(RIGHT(SUBSTITUTE(TRIM(Table1824[[#Headers],[Uraian aaaaaaaaaaa]])," ",REPT(" ",255)),255)),'Un nOTA'!$D$4:$J$1004,3,FALSE),"")</f>
        <v/>
      </c>
      <c r="AD31" s="32" t="str">
        <f>IFERROR(VLOOKUP(Table1824[[#This Row],[BKK]]&amp;TRIM(RIGHT(SUBSTITUTE(TRIM(Table1824[[#Headers],[Uraian aaaaaaaaaaaa]])," ",REPT(" ",255)),255)),'Un nOTA'!$D$4:$J$1004,3,FALSE),"")</f>
        <v/>
      </c>
      <c r="AE31" s="8" t="str">
        <f>IFERROR(VLOOKUP(Table1824[[#This Row],[BKK]],'Un nOTA'!$D$4:$J$1004,4,FALSE),"")</f>
        <v/>
      </c>
      <c r="AF31" s="8" t="str">
        <f>IFERROR(VLOOKUP(Table1824[[#This Row],[BKK]]&amp;TRIM(RIGHT(SUBSTITUTE(TRIM(Table1824[[#Headers],[Uraian a]])," ",REPT(" ",255)),255)),'Un nOTA'!$D$4:$J$1004,4,FALSE),"")</f>
        <v/>
      </c>
      <c r="AG31" s="8" t="str">
        <f>IFERROR(VLOOKUP(Table1824[[#This Row],[BKK]]&amp;TRIM(RIGHT(SUBSTITUTE(TRIM(Table1824[[#Headers],[Uraian aa]])," ",REPT(" ",255)),255)),'Un nOTA'!$D$4:$J$1004,4,FALSE),"")</f>
        <v/>
      </c>
      <c r="AH31" s="8" t="str">
        <f>IFERROR(VLOOKUP(Table1824[[#This Row],[BKK]]&amp;TRIM(RIGHT(SUBSTITUTE(TRIM(Table1824[[#Headers],[Uraian aaa]])," ",REPT(" ",255)),255)),'Un nOTA'!$D$4:$J$1004,4,FALSE),"")</f>
        <v/>
      </c>
      <c r="AI31" s="8" t="str">
        <f>IFERROR(VLOOKUP(Table1824[[#This Row],[BKK]]&amp;TRIM(RIGHT(SUBSTITUTE(TRIM(Table1824[[#Headers],[Uraian aaaa]])," ",REPT(" ",255)),255)),'Un nOTA'!$D$4:$J$1004,4,FALSE),"")</f>
        <v/>
      </c>
      <c r="AJ31" s="8" t="str">
        <f>IFERROR(VLOOKUP(Table1824[[#This Row],[BKK]]&amp;TRIM(RIGHT(SUBSTITUTE(TRIM(Table1824[[#Headers],[Uraian aaaaa]])," ",REPT(" ",255)),255)),'Un nOTA'!$D$4:$J$1004,4,FALSE),"")</f>
        <v/>
      </c>
      <c r="AK31" s="8" t="str">
        <f>IFERROR(VLOOKUP(Table1824[[#This Row],[BKK]]&amp;TRIM(RIGHT(SUBSTITUTE(TRIM(Table1824[[#Headers],[Uraian aaaaaa]])," ",REPT(" ",255)),255)),'Un nOTA'!$D$4:$J$1004,4,FALSE),"")</f>
        <v/>
      </c>
      <c r="AL31" s="8" t="str">
        <f>IFERROR(VLOOKUP(Table1824[[#This Row],[BKK]]&amp;TRIM(RIGHT(SUBSTITUTE(TRIM(Table1824[[#Headers],[Uraian aaaaaaa]])," ",REPT(" ",255)),255)),'Un nOTA'!$D$4:$J$1004,4,FALSE),"")</f>
        <v/>
      </c>
      <c r="AM31" s="8" t="str">
        <f>IFERROR(VLOOKUP(Table1824[[#This Row],[BKK]]&amp;TRIM(RIGHT(SUBSTITUTE(TRIM(Table1824[[#Headers],[Uraian aaaaaaaa]])," ",REPT(" ",255)),255)),'Un nOTA'!$D$4:$J$1004,4,FALSE),"")</f>
        <v/>
      </c>
      <c r="AN31" s="8" t="str">
        <f>IFERROR(VLOOKUP(Table1824[[#This Row],[BKK]]&amp;TRIM(RIGHT(SUBSTITUTE(TRIM(Table1824[[#Headers],[Uraian aaaaaaaaa]])," ",REPT(" ",255)),255)),'Un nOTA'!$D$4:$J$1004,4,FALSE),"")</f>
        <v/>
      </c>
      <c r="AO31" s="8" t="str">
        <f>IFERROR(VLOOKUP(Table1824[[#This Row],[BKK]]&amp;TRIM(RIGHT(SUBSTITUTE(TRIM(Table1824[[#Headers],[Uraian aaaaaaaaaa]])," ",REPT(" ",255)),255)),'Un nOTA'!$D$4:$J$1004,4,FALSE),"")</f>
        <v/>
      </c>
      <c r="AP31" s="8" t="str">
        <f>IFERROR(VLOOKUP(Table1824[[#This Row],[BKK]]&amp;TRIM(RIGHT(SUBSTITUTE(TRIM(Table1824[[#Headers],[Uraian aaaaaaaaaaa]])," ",REPT(" ",255)),255)),'Un nOTA'!$D$4:$J$1004,4,FALSE),"")</f>
        <v/>
      </c>
      <c r="AQ31" s="8" t="str">
        <f>IFERROR(VLOOKUP(Table1824[[#This Row],[BKK]]&amp;TRIM(RIGHT(SUBSTITUTE(TRIM(Table1824[[#Headers],[Uraian aaaaaaaaaaaa]])," ",REPT(" ",255)),255)),'Un nOTA'!$D$4:$J$1004,4,FALSE),"")</f>
        <v/>
      </c>
      <c r="AR31" s="8" t="str">
        <f>IFERROR((IFERROR(VLOOKUP(Table1824[[#This Row],[BKK]],'Un nOTA'!$D$4:$J$1004,5,FALSE),""))*(10/11),"")</f>
        <v/>
      </c>
      <c r="AS31" s="8" t="str">
        <f>IFERROR((IFERROR(VLOOKUP(Table1824[[#This Row],[BKK]]&amp;TRIM(RIGHT(SUBSTITUTE(TRIM(Table1824[[#Headers],[Uraian a]])," ",REPT(" ",255)),255)),'Un nOTA'!$D$4:$J$1004,5,FALSE),"")*(10/11)),"")</f>
        <v/>
      </c>
      <c r="AT31" s="8" t="str">
        <f>IFERROR((IFERROR(VLOOKUP(Table1824[[#This Row],[BKK]]&amp;TRIM(RIGHT(SUBSTITUTE(TRIM(Table1824[[#Headers],[Uraian aa]])," ",REPT(" ",255)),255)),'Un nOTA'!$D$4:$J$1004,5,FALSE),"")*(10/11)),"")</f>
        <v/>
      </c>
      <c r="AU31" s="8" t="str">
        <f>IFERROR((IFERROR(VLOOKUP(Table1824[[#This Row],[BKK]]&amp;TRIM(RIGHT(SUBSTITUTE(TRIM(Table1824[[#Headers],[Uraian aaa]])," ",REPT(" ",255)),255)),'Un nOTA'!$D$4:$J$1004,5,FALSE),"")*(10/11)),"")</f>
        <v/>
      </c>
      <c r="AV31" s="8" t="str">
        <f>IFERROR((IFERROR(VLOOKUP(Table1824[[#This Row],[BKK]]&amp;TRIM(RIGHT(SUBSTITUTE(TRIM(Table1824[[#Headers],[Uraian aaaa]])," ",REPT(" ",255)),255)),'Un nOTA'!$D$4:$J$1004,5,FALSE),"")*(10/11)),"")</f>
        <v/>
      </c>
      <c r="AW31" s="8" t="str">
        <f>IFERROR((IFERROR(VLOOKUP(Table1824[[#This Row],[BKK]]&amp;TRIM(RIGHT(SUBSTITUTE(TRIM(Table1824[[#Headers],[Uraian aaaaa]])," ",REPT(" ",255)),255)),'Un nOTA'!$D$4:$J$1004,5,FALSE),"")*(10/11)),"")</f>
        <v/>
      </c>
      <c r="AX31" s="8" t="str">
        <f>IFERROR((IFERROR(VLOOKUP(Table1824[[#This Row],[BKK]]&amp;TRIM(RIGHT(SUBSTITUTE(TRIM(Table1824[[#Headers],[Uraian aaaaaa]])," ",REPT(" ",255)),255)),'Un nOTA'!$D$4:$J$1004,5,FALSE),"")*(10/11)),"")</f>
        <v/>
      </c>
      <c r="AY31" s="8" t="str">
        <f>IFERROR((IFERROR(VLOOKUP(Table1824[[#This Row],[BKK]]&amp;TRIM(RIGHT(SUBSTITUTE(TRIM(Table1824[[#Headers],[Uraian aaaaaaa]])," ",REPT(" ",255)),255)),'Un nOTA'!$D$4:$J$1004,5,FALSE),"")*(10/11)),"")</f>
        <v/>
      </c>
      <c r="AZ31" s="8" t="str">
        <f>IFERROR((IFERROR(VLOOKUP(Table1824[[#This Row],[BKK]]&amp;TRIM(RIGHT(SUBSTITUTE(TRIM(Table1824[[#Headers],[Uraian aaaaaaaa]])," ",REPT(" ",255)),255)),'Un nOTA'!$D$4:$J$1004,5,FALSE),"")*(10/11)),"")</f>
        <v/>
      </c>
      <c r="BA31" s="8" t="str">
        <f>IFERROR((IFERROR(VLOOKUP(Table1824[[#This Row],[BKK]]&amp;TRIM(RIGHT(SUBSTITUTE(TRIM(Table1824[[#Headers],[Uraian aaaaaaaaa]])," ",REPT(" ",255)),255)),'Un nOTA'!$D$4:$J$1004,5,FALSE),"")*(10/11)),"")</f>
        <v/>
      </c>
      <c r="BB31" s="8" t="str">
        <f>IFERROR((IFERROR(VLOOKUP(Table1824[[#This Row],[BKK]]&amp;TRIM(RIGHT(SUBSTITUTE(TRIM(Table1824[[#Headers],[Uraian aaaaaaaaaa]])," ",REPT(" ",255)),255)),'Un nOTA'!$D$4:$J$1004,5,FALSE),"")*(10/11)),"")</f>
        <v/>
      </c>
      <c r="BC31" s="8" t="str">
        <f>IFERROR((IFERROR(VLOOKUP(Table1824[[#This Row],[BKK]]&amp;TRIM(RIGHT(SUBSTITUTE(TRIM(Table1824[[#Headers],[Uraian aaaaaaaaaaa]])," ",REPT(" ",255)),255)),'Un nOTA'!$D$4:$J$1004,5,FALSE),"")*(10/11)),"")</f>
        <v/>
      </c>
      <c r="BD31" s="8" t="str">
        <f>IFERROR((IFERROR(VLOOKUP(Table1824[[#This Row],[BKK]]&amp;TRIM(RIGHT(SUBSTITUTE(TRIM(Table1824[[#Headers],[Uraian aaaaaaaaaaaa]])," ",REPT(" ",255)),255)),'Un nOTA'!$D$4:$J$1004,5,FALSE),"")*(10/11)),"")</f>
        <v/>
      </c>
      <c r="BE31" s="23" t="str">
        <f>IFERROR(ROUNDUP((Table1824[[#This Row],[Qty]]*Table1824[[#This Row],[Hrg St]]),0),"")</f>
        <v/>
      </c>
      <c r="BF31" s="8" t="str">
        <f>IFERROR(ROUNDUP((Table1824[[#This Row],[Qty2]]*Table1824[[#This Row],[Hrg St2]]),0),"")</f>
        <v/>
      </c>
      <c r="BG31" s="8" t="str">
        <f>IFERROR(ROUNDUP((Table1824[[#This Row],[Qty3]]*Table1824[[#This Row],[Hrg St3]]),0),"")</f>
        <v/>
      </c>
      <c r="BH31" s="8" t="str">
        <f>IFERROR(ROUNDUP((Table1824[[#This Row],[Qty4]]*Table1824[[#This Row],[Hrg St4]]),0),"")</f>
        <v/>
      </c>
      <c r="BI31" s="8" t="str">
        <f>IFERROR(ROUNDUP((Table1824[[#This Row],[Qty5]]*Table1824[[#This Row],[Hrg St5]]),0),"")</f>
        <v/>
      </c>
      <c r="BJ31" s="8" t="str">
        <f>IFERROR(ROUNDUP((Table1824[[#This Row],[Qty6]]*Table1824[[#This Row],[Hrg St6]]),0),"")</f>
        <v/>
      </c>
      <c r="BK31" s="8" t="str">
        <f>IFERROR(ROUNDUP((Table1824[[#This Row],[Qty7]]*Table1824[[#This Row],[Hrg St7]]),0),"")</f>
        <v/>
      </c>
      <c r="BL31" s="8" t="str">
        <f>IFERROR(ROUNDUP((Table1824[[#This Row],[Qty8]]*Table1824[[#This Row],[Hrg St8]]),0),"")</f>
        <v/>
      </c>
      <c r="BM31" s="8" t="str">
        <f>IFERROR(ROUNDUP((Table1824[[#This Row],[Qty9]]*Table1824[[#This Row],[Hrg St9]]),0),"")</f>
        <v/>
      </c>
      <c r="BN31" s="8" t="str">
        <f>IFERROR(ROUNDUP((Table1824[[#This Row],[Qty10]]*Table1824[[#This Row],[Hrg St10]]),0),"")</f>
        <v/>
      </c>
      <c r="BO31" s="8" t="str">
        <f>IFERROR(ROUNDUP((Table1824[[#This Row],[Qty11]]*Table1824[[#This Row],[Hrg St11]]),0),"")</f>
        <v/>
      </c>
      <c r="BP31" s="8" t="str">
        <f>IFERROR(ROUNDUP((Table1824[[#This Row],[Qty12]]*Table1824[[#This Row],[Hrg St12]]),0),"")</f>
        <v/>
      </c>
      <c r="BQ31" s="8" t="str">
        <f>IFERROR(ROUNDUP((Table1824[[#This Row],[Qty13]]*Table1824[[#This Row],[Hrg St13]]),0),"")</f>
        <v/>
      </c>
      <c r="BR31" s="23" t="str">
        <f>IF(Table1824[[#This Row],[BKK]]&gt;" ",IFERROR(ROUNDUP((SUM(Table1824[[#This Row],[Jml]:[Jml13]])),0)," ")," ")</f>
        <v xml:space="preserve"> </v>
      </c>
      <c r="BS31" s="23" t="str">
        <f>IF(Table1824[[#This Row],[BKK]]&gt;" ",ROUND((Table1824[[#This Row],[Total]]*0.1),0)," ")</f>
        <v xml:space="preserve"> </v>
      </c>
      <c r="BT31" s="23" t="str">
        <f>IF(Table1824[[#This Row],[BKK]]&gt;" ",(Table1824[[#This Row],[Total]]+Table1824[[#This Row],[PPN]])," ")</f>
        <v xml:space="preserve"> </v>
      </c>
      <c r="BU31" t="s">
        <v>454</v>
      </c>
      <c r="BV31" t="str">
        <f>IF(Table1824[[#This Row],[BKK]]&gt;" ",("INV/AK-MLG/2019/"&amp;'BKU 1'!$E$1&amp;"/"&amp;Table1824[[#This Row],[BKK]]&amp;"/"&amp;'BKU 1'!$E$1&amp;ROW())," ")</f>
        <v xml:space="preserve"> </v>
      </c>
      <c r="BW31" t="str">
        <f>IF(Table1824[[#This Row],[BKK]]&gt;" ",(TEXT(VLOOKUP(Table1824[[#This Row],[BKK]],COPY!$O$2:$U$1000,7,FALSE),"dd mmmm yyyy"))," ")</f>
        <v xml:space="preserve"> </v>
      </c>
      <c r="BX31" t="str">
        <f>IF(Table1824[[#This Row],[BKK]]&gt;" ",(TEXT((Table1824[[#This Row],[Tanggal Kirim]]+30),"dd mmmm yyyy"))," ")</f>
        <v xml:space="preserve"> </v>
      </c>
      <c r="BY31" t="str">
        <f>IF(Table1824[[#This Row],[BKK]]&gt;" ",'BKU 1'!$E$17," ")</f>
        <v xml:space="preserve"> </v>
      </c>
    </row>
    <row r="32" spans="1:77" hidden="1" x14ac:dyDescent="0.25">
      <c r="A32" t="str">
        <f>IFERROR((IF('Laporan ppn'!G6819&gt;0,VLOOKUP('Laporan ppn'!G6819,'Laporan ppn'!$E$10:$F$6785,2,FALSE),"")),"")</f>
        <v xml:space="preserve"> </v>
      </c>
      <c r="B32" t="str">
        <f>IF(Table1824[[#This Row],[BKK]]=" "," ",'BKU 1'!$D$25)</f>
        <v xml:space="preserve"> </v>
      </c>
      <c r="C32" t="str">
        <f>IF(Table1824[[#This Row],[BKK]]=" "," ",'BKU 1'!$D$26)</f>
        <v xml:space="preserve"> </v>
      </c>
      <c r="D32" t="str">
        <f>IF(Table1824[[#This Row],[BKK]]=" "," ",'BKU 1'!$I$25)</f>
        <v xml:space="preserve"> </v>
      </c>
      <c r="E32" t="str">
        <f>IFERROR(VLOOKUP(Table1824[[#This Row],[BKK]],'Un nOTA'!$D$4:$J$1004,2,FALSE),"")</f>
        <v/>
      </c>
      <c r="F32" t="str">
        <f>IFERROR(VLOOKUP(Table1824[[#This Row],[BKK]]&amp;TRIM(RIGHT(SUBSTITUTE(TRIM(Table1824[[#Headers],[Uraian a]])," ",REPT(" ",255)),255)),'Un nOTA'!$D$4:$J$1004,2,FALSE),"")</f>
        <v/>
      </c>
      <c r="G32" t="str">
        <f>IFERROR(VLOOKUP(Table1824[[#This Row],[BKK]]&amp;TRIM(RIGHT(SUBSTITUTE(TRIM(Table1824[[#Headers],[Uraian aa]])," ",REPT(" ",255)),255)),'Un nOTA'!$D$4:$J$1004,2,FALSE),"")</f>
        <v/>
      </c>
      <c r="H32" t="str">
        <f>IFERROR(VLOOKUP(Table1824[[#This Row],[BKK]]&amp;TRIM(RIGHT(SUBSTITUTE(TRIM(Table1824[[#Headers],[Uraian aaa]])," ",REPT(" ",255)),255)),'Un nOTA'!$D$4:$J$1004,2,FALSE),"")</f>
        <v/>
      </c>
      <c r="I32" t="str">
        <f>IFERROR(VLOOKUP(Table1824[[#This Row],[BKK]]&amp;TRIM(RIGHT(SUBSTITUTE(TRIM(Table1824[[#Headers],[Uraian aaaa]])," ",REPT(" ",255)),255)),'Un nOTA'!$D$4:$J$1004,2,FALSE),"")</f>
        <v/>
      </c>
      <c r="J32" t="str">
        <f>IFERROR(VLOOKUP(Table1824[[#This Row],[BKK]]&amp;TRIM(RIGHT(SUBSTITUTE(TRIM(Table1824[[#Headers],[Uraian aaaaa]])," ",REPT(" ",255)),255)),'Un nOTA'!$D$4:$J$1004,2,FALSE),"")</f>
        <v/>
      </c>
      <c r="K32" t="str">
        <f>IFERROR(VLOOKUP(Table1824[[#This Row],[BKK]]&amp;TRIM(RIGHT(SUBSTITUTE(TRIM(Table1824[[#Headers],[Uraian aaaaaa]])," ",REPT(" ",255)),255)),'Un nOTA'!$D$4:$J$1004,2,FALSE),"")</f>
        <v/>
      </c>
      <c r="L32" t="str">
        <f>IFERROR(VLOOKUP(Table1824[[#This Row],[BKK]]&amp;TRIM(RIGHT(SUBSTITUTE(TRIM(Table1824[[#Headers],[Uraian aaaaaaa]])," ",REPT(" ",255)),255)),'Un nOTA'!$D$4:$J$1004,2,FALSE),"")</f>
        <v/>
      </c>
      <c r="M32" t="str">
        <f>IFERROR(VLOOKUP(Table1824[[#This Row],[BKK]]&amp;TRIM(RIGHT(SUBSTITUTE(TRIM(Table1824[[#Headers],[Uraian aaaaaaaa]])," ",REPT(" ",255)),255)),'Un nOTA'!$D$4:$J$1004,2,FALSE),"")</f>
        <v/>
      </c>
      <c r="N32" t="str">
        <f>IFERROR(VLOOKUP(Table1824[[#This Row],[BKK]]&amp;TRIM(RIGHT(SUBSTITUTE(TRIM(Table1824[[#Headers],[Uraian aaaaaaaaa]])," ",REPT(" ",255)),255)),'Un nOTA'!$D$4:$J$1004,2,FALSE),"")</f>
        <v/>
      </c>
      <c r="O32" t="str">
        <f>IFERROR(VLOOKUP(Table1824[[#This Row],[BKK]]&amp;TRIM(RIGHT(SUBSTITUTE(TRIM(Table1824[[#Headers],[Uraian aaaaaaaaaa]])," ",REPT(" ",255)),255)),'Un nOTA'!$D$4:$J$1004,2,FALSE),"")</f>
        <v/>
      </c>
      <c r="P32" t="str">
        <f>IFERROR(VLOOKUP(Table1824[[#This Row],[BKK]]&amp;TRIM(RIGHT(SUBSTITUTE(TRIM(Table1824[[#Headers],[Uraian aaaaaaaaaaa]])," ",REPT(" ",255)),255)),'Un nOTA'!$D$4:$J$1004,2,FALSE),"")</f>
        <v/>
      </c>
      <c r="Q32" t="str">
        <f>IFERROR(VLOOKUP(Table1824[[#This Row],[BKK]]&amp;TRIM(RIGHT(SUBSTITUTE(TRIM(Table1824[[#Headers],[Uraian aaaaaaaaaaaa]])," ",REPT(" ",255)),255)),'Un nOTA'!$D$4:$J$1004,2,FALSE),"")</f>
        <v/>
      </c>
      <c r="R32" s="32" t="str">
        <f>IFERROR(VLOOKUP(Table1824[[#This Row],[BKK]],'Un nOTA'!$D$4:$J$1004,3,FALSE),"")</f>
        <v/>
      </c>
      <c r="S32" s="32" t="str">
        <f>IFERROR(VLOOKUP(Table1824[[#This Row],[BKK]]&amp;TRIM(RIGHT(SUBSTITUTE(TRIM(Table1824[[#Headers],[Uraian a]])," ",REPT(" ",255)),255)),'Un nOTA'!$D$4:$J$1004,3,FALSE),"")</f>
        <v/>
      </c>
      <c r="T32" s="32" t="str">
        <f>IFERROR(VLOOKUP(Table1824[[#This Row],[BKK]]&amp;TRIM(RIGHT(SUBSTITUTE(TRIM(Table1824[[#Headers],[Uraian aa]])," ",REPT(" ",255)),255)),'Un nOTA'!$D$4:$J$1004,3,FALSE),"")</f>
        <v/>
      </c>
      <c r="U32" s="32" t="str">
        <f>IFERROR(VLOOKUP(Table1824[[#This Row],[BKK]]&amp;TRIM(RIGHT(SUBSTITUTE(TRIM(Table1824[[#Headers],[Uraian aaa]])," ",REPT(" ",255)),255)),'Un nOTA'!$D$4:$J$1004,3,FALSE),"")</f>
        <v/>
      </c>
      <c r="V32" s="32" t="str">
        <f>IFERROR(VLOOKUP(Table1824[[#This Row],[BKK]]&amp;TRIM(RIGHT(SUBSTITUTE(TRIM(Table1824[[#Headers],[Uraian aaaa]])," ",REPT(" ",255)),255)),'Un nOTA'!$D$4:$J$1004,3,FALSE),"")</f>
        <v/>
      </c>
      <c r="W32" s="32" t="str">
        <f>IFERROR(VLOOKUP(Table1824[[#This Row],[BKK]]&amp;TRIM(RIGHT(SUBSTITUTE(TRIM(Table1824[[#Headers],[Uraian aaaaa]])," ",REPT(" ",255)),255)),'Un nOTA'!$D$4:$J$1004,3,FALSE),"")</f>
        <v/>
      </c>
      <c r="X32" s="32" t="str">
        <f>IFERROR(VLOOKUP(Table1824[[#This Row],[BKK]]&amp;TRIM(RIGHT(SUBSTITUTE(TRIM(Table1824[[#Headers],[Uraian aaaaaa]])," ",REPT(" ",255)),255)),'Un nOTA'!$D$4:$J$1004,3,FALSE),"")</f>
        <v/>
      </c>
      <c r="Y32" s="32" t="str">
        <f>IFERROR(VLOOKUP(Table1824[[#This Row],[BKK]]&amp;TRIM(RIGHT(SUBSTITUTE(TRIM(Table1824[[#Headers],[Uraian aaaaaaa]])," ",REPT(" ",255)),255)),'Un nOTA'!$D$4:$J$1004,3,FALSE),"")</f>
        <v/>
      </c>
      <c r="Z32" s="32" t="str">
        <f>IFERROR(VLOOKUP(Table1824[[#This Row],[BKK]]&amp;TRIM(RIGHT(SUBSTITUTE(TRIM(Table1824[[#Headers],[Uraian aaaaaaaa]])," ",REPT(" ",255)),255)),'Un nOTA'!$D$4:$J$1004,3,FALSE),"")</f>
        <v/>
      </c>
      <c r="AA32" s="32" t="str">
        <f>IFERROR(VLOOKUP(Table1824[[#This Row],[BKK]]&amp;TRIM(RIGHT(SUBSTITUTE(TRIM(Table1824[[#Headers],[Uraian aaaaaaaaa]])," ",REPT(" ",255)),255)),'Un nOTA'!$D$4:$J$1004,3,FALSE),"")</f>
        <v/>
      </c>
      <c r="AB32" s="32" t="str">
        <f>IFERROR(VLOOKUP(Table1824[[#This Row],[BKK]]&amp;TRIM(RIGHT(SUBSTITUTE(TRIM(Table1824[[#Headers],[Uraian aaaaaaaaaa]])," ",REPT(" ",255)),255)),'Un nOTA'!$D$4:$J$1004,3,FALSE),"")</f>
        <v/>
      </c>
      <c r="AC32" s="32" t="str">
        <f>IFERROR(VLOOKUP(Table1824[[#This Row],[BKK]]&amp;TRIM(RIGHT(SUBSTITUTE(TRIM(Table1824[[#Headers],[Uraian aaaaaaaaaaa]])," ",REPT(" ",255)),255)),'Un nOTA'!$D$4:$J$1004,3,FALSE),"")</f>
        <v/>
      </c>
      <c r="AD32" s="32" t="str">
        <f>IFERROR(VLOOKUP(Table1824[[#This Row],[BKK]]&amp;TRIM(RIGHT(SUBSTITUTE(TRIM(Table1824[[#Headers],[Uraian aaaaaaaaaaaa]])," ",REPT(" ",255)),255)),'Un nOTA'!$D$4:$J$1004,3,FALSE),"")</f>
        <v/>
      </c>
      <c r="AE32" s="8" t="str">
        <f>IFERROR(VLOOKUP(Table1824[[#This Row],[BKK]],'Un nOTA'!$D$4:$J$1004,4,FALSE),"")</f>
        <v/>
      </c>
      <c r="AF32" s="8" t="str">
        <f>IFERROR(VLOOKUP(Table1824[[#This Row],[BKK]]&amp;TRIM(RIGHT(SUBSTITUTE(TRIM(Table1824[[#Headers],[Uraian a]])," ",REPT(" ",255)),255)),'Un nOTA'!$D$4:$J$1004,4,FALSE),"")</f>
        <v/>
      </c>
      <c r="AG32" s="8" t="str">
        <f>IFERROR(VLOOKUP(Table1824[[#This Row],[BKK]]&amp;TRIM(RIGHT(SUBSTITUTE(TRIM(Table1824[[#Headers],[Uraian aa]])," ",REPT(" ",255)),255)),'Un nOTA'!$D$4:$J$1004,4,FALSE),"")</f>
        <v/>
      </c>
      <c r="AH32" s="8" t="str">
        <f>IFERROR(VLOOKUP(Table1824[[#This Row],[BKK]]&amp;TRIM(RIGHT(SUBSTITUTE(TRIM(Table1824[[#Headers],[Uraian aaa]])," ",REPT(" ",255)),255)),'Un nOTA'!$D$4:$J$1004,4,FALSE),"")</f>
        <v/>
      </c>
      <c r="AI32" s="8" t="str">
        <f>IFERROR(VLOOKUP(Table1824[[#This Row],[BKK]]&amp;TRIM(RIGHT(SUBSTITUTE(TRIM(Table1824[[#Headers],[Uraian aaaa]])," ",REPT(" ",255)),255)),'Un nOTA'!$D$4:$J$1004,4,FALSE),"")</f>
        <v/>
      </c>
      <c r="AJ32" s="8" t="str">
        <f>IFERROR(VLOOKUP(Table1824[[#This Row],[BKK]]&amp;TRIM(RIGHT(SUBSTITUTE(TRIM(Table1824[[#Headers],[Uraian aaaaa]])," ",REPT(" ",255)),255)),'Un nOTA'!$D$4:$J$1004,4,FALSE),"")</f>
        <v/>
      </c>
      <c r="AK32" s="8" t="str">
        <f>IFERROR(VLOOKUP(Table1824[[#This Row],[BKK]]&amp;TRIM(RIGHT(SUBSTITUTE(TRIM(Table1824[[#Headers],[Uraian aaaaaa]])," ",REPT(" ",255)),255)),'Un nOTA'!$D$4:$J$1004,4,FALSE),"")</f>
        <v/>
      </c>
      <c r="AL32" s="8" t="str">
        <f>IFERROR(VLOOKUP(Table1824[[#This Row],[BKK]]&amp;TRIM(RIGHT(SUBSTITUTE(TRIM(Table1824[[#Headers],[Uraian aaaaaaa]])," ",REPT(" ",255)),255)),'Un nOTA'!$D$4:$J$1004,4,FALSE),"")</f>
        <v/>
      </c>
      <c r="AM32" s="8" t="str">
        <f>IFERROR(VLOOKUP(Table1824[[#This Row],[BKK]]&amp;TRIM(RIGHT(SUBSTITUTE(TRIM(Table1824[[#Headers],[Uraian aaaaaaaa]])," ",REPT(" ",255)),255)),'Un nOTA'!$D$4:$J$1004,4,FALSE),"")</f>
        <v/>
      </c>
      <c r="AN32" s="8" t="str">
        <f>IFERROR(VLOOKUP(Table1824[[#This Row],[BKK]]&amp;TRIM(RIGHT(SUBSTITUTE(TRIM(Table1824[[#Headers],[Uraian aaaaaaaaa]])," ",REPT(" ",255)),255)),'Un nOTA'!$D$4:$J$1004,4,FALSE),"")</f>
        <v/>
      </c>
      <c r="AO32" s="8" t="str">
        <f>IFERROR(VLOOKUP(Table1824[[#This Row],[BKK]]&amp;TRIM(RIGHT(SUBSTITUTE(TRIM(Table1824[[#Headers],[Uraian aaaaaaaaaa]])," ",REPT(" ",255)),255)),'Un nOTA'!$D$4:$J$1004,4,FALSE),"")</f>
        <v/>
      </c>
      <c r="AP32" s="8" t="str">
        <f>IFERROR(VLOOKUP(Table1824[[#This Row],[BKK]]&amp;TRIM(RIGHT(SUBSTITUTE(TRIM(Table1824[[#Headers],[Uraian aaaaaaaaaaa]])," ",REPT(" ",255)),255)),'Un nOTA'!$D$4:$J$1004,4,FALSE),"")</f>
        <v/>
      </c>
      <c r="AQ32" s="8" t="str">
        <f>IFERROR(VLOOKUP(Table1824[[#This Row],[BKK]]&amp;TRIM(RIGHT(SUBSTITUTE(TRIM(Table1824[[#Headers],[Uraian aaaaaaaaaaaa]])," ",REPT(" ",255)),255)),'Un nOTA'!$D$4:$J$1004,4,FALSE),"")</f>
        <v/>
      </c>
      <c r="AR32" s="8" t="str">
        <f>IFERROR((IFERROR(VLOOKUP(Table1824[[#This Row],[BKK]],'Un nOTA'!$D$4:$J$1004,5,FALSE),""))*(10/11),"")</f>
        <v/>
      </c>
      <c r="AS32" s="8" t="str">
        <f>IFERROR((IFERROR(VLOOKUP(Table1824[[#This Row],[BKK]]&amp;TRIM(RIGHT(SUBSTITUTE(TRIM(Table1824[[#Headers],[Uraian a]])," ",REPT(" ",255)),255)),'Un nOTA'!$D$4:$J$1004,5,FALSE),"")*(10/11)),"")</f>
        <v/>
      </c>
      <c r="AT32" s="8" t="str">
        <f>IFERROR((IFERROR(VLOOKUP(Table1824[[#This Row],[BKK]]&amp;TRIM(RIGHT(SUBSTITUTE(TRIM(Table1824[[#Headers],[Uraian aa]])," ",REPT(" ",255)),255)),'Un nOTA'!$D$4:$J$1004,5,FALSE),"")*(10/11)),"")</f>
        <v/>
      </c>
      <c r="AU32" s="8" t="str">
        <f>IFERROR((IFERROR(VLOOKUP(Table1824[[#This Row],[BKK]]&amp;TRIM(RIGHT(SUBSTITUTE(TRIM(Table1824[[#Headers],[Uraian aaa]])," ",REPT(" ",255)),255)),'Un nOTA'!$D$4:$J$1004,5,FALSE),"")*(10/11)),"")</f>
        <v/>
      </c>
      <c r="AV32" s="8" t="str">
        <f>IFERROR((IFERROR(VLOOKUP(Table1824[[#This Row],[BKK]]&amp;TRIM(RIGHT(SUBSTITUTE(TRIM(Table1824[[#Headers],[Uraian aaaa]])," ",REPT(" ",255)),255)),'Un nOTA'!$D$4:$J$1004,5,FALSE),"")*(10/11)),"")</f>
        <v/>
      </c>
      <c r="AW32" s="8" t="str">
        <f>IFERROR((IFERROR(VLOOKUP(Table1824[[#This Row],[BKK]]&amp;TRIM(RIGHT(SUBSTITUTE(TRIM(Table1824[[#Headers],[Uraian aaaaa]])," ",REPT(" ",255)),255)),'Un nOTA'!$D$4:$J$1004,5,FALSE),"")*(10/11)),"")</f>
        <v/>
      </c>
      <c r="AX32" s="8" t="str">
        <f>IFERROR((IFERROR(VLOOKUP(Table1824[[#This Row],[BKK]]&amp;TRIM(RIGHT(SUBSTITUTE(TRIM(Table1824[[#Headers],[Uraian aaaaaa]])," ",REPT(" ",255)),255)),'Un nOTA'!$D$4:$J$1004,5,FALSE),"")*(10/11)),"")</f>
        <v/>
      </c>
      <c r="AY32" s="8" t="str">
        <f>IFERROR((IFERROR(VLOOKUP(Table1824[[#This Row],[BKK]]&amp;TRIM(RIGHT(SUBSTITUTE(TRIM(Table1824[[#Headers],[Uraian aaaaaaa]])," ",REPT(" ",255)),255)),'Un nOTA'!$D$4:$J$1004,5,FALSE),"")*(10/11)),"")</f>
        <v/>
      </c>
      <c r="AZ32" s="8" t="str">
        <f>IFERROR((IFERROR(VLOOKUP(Table1824[[#This Row],[BKK]]&amp;TRIM(RIGHT(SUBSTITUTE(TRIM(Table1824[[#Headers],[Uraian aaaaaaaa]])," ",REPT(" ",255)),255)),'Un nOTA'!$D$4:$J$1004,5,FALSE),"")*(10/11)),"")</f>
        <v/>
      </c>
      <c r="BA32" s="8" t="str">
        <f>IFERROR((IFERROR(VLOOKUP(Table1824[[#This Row],[BKK]]&amp;TRIM(RIGHT(SUBSTITUTE(TRIM(Table1824[[#Headers],[Uraian aaaaaaaaa]])," ",REPT(" ",255)),255)),'Un nOTA'!$D$4:$J$1004,5,FALSE),"")*(10/11)),"")</f>
        <v/>
      </c>
      <c r="BB32" s="8" t="str">
        <f>IFERROR((IFERROR(VLOOKUP(Table1824[[#This Row],[BKK]]&amp;TRIM(RIGHT(SUBSTITUTE(TRIM(Table1824[[#Headers],[Uraian aaaaaaaaaa]])," ",REPT(" ",255)),255)),'Un nOTA'!$D$4:$J$1004,5,FALSE),"")*(10/11)),"")</f>
        <v/>
      </c>
      <c r="BC32" s="8" t="str">
        <f>IFERROR((IFERROR(VLOOKUP(Table1824[[#This Row],[BKK]]&amp;TRIM(RIGHT(SUBSTITUTE(TRIM(Table1824[[#Headers],[Uraian aaaaaaaaaaa]])," ",REPT(" ",255)),255)),'Un nOTA'!$D$4:$J$1004,5,FALSE),"")*(10/11)),"")</f>
        <v/>
      </c>
      <c r="BD32" s="8" t="str">
        <f>IFERROR((IFERROR(VLOOKUP(Table1824[[#This Row],[BKK]]&amp;TRIM(RIGHT(SUBSTITUTE(TRIM(Table1824[[#Headers],[Uraian aaaaaaaaaaaa]])," ",REPT(" ",255)),255)),'Un nOTA'!$D$4:$J$1004,5,FALSE),"")*(10/11)),"")</f>
        <v/>
      </c>
      <c r="BE32" s="23" t="str">
        <f>IFERROR(ROUNDUP((Table1824[[#This Row],[Qty]]*Table1824[[#This Row],[Hrg St]]),0),"")</f>
        <v/>
      </c>
      <c r="BF32" s="8" t="str">
        <f>IFERROR(ROUNDUP((Table1824[[#This Row],[Qty2]]*Table1824[[#This Row],[Hrg St2]]),0),"")</f>
        <v/>
      </c>
      <c r="BG32" s="8" t="str">
        <f>IFERROR(ROUNDUP((Table1824[[#This Row],[Qty3]]*Table1824[[#This Row],[Hrg St3]]),0),"")</f>
        <v/>
      </c>
      <c r="BH32" s="8" t="str">
        <f>IFERROR(ROUNDUP((Table1824[[#This Row],[Qty4]]*Table1824[[#This Row],[Hrg St4]]),0),"")</f>
        <v/>
      </c>
      <c r="BI32" s="8" t="str">
        <f>IFERROR(ROUNDUP((Table1824[[#This Row],[Qty5]]*Table1824[[#This Row],[Hrg St5]]),0),"")</f>
        <v/>
      </c>
      <c r="BJ32" s="8" t="str">
        <f>IFERROR(ROUNDUP((Table1824[[#This Row],[Qty6]]*Table1824[[#This Row],[Hrg St6]]),0),"")</f>
        <v/>
      </c>
      <c r="BK32" s="8" t="str">
        <f>IFERROR(ROUNDUP((Table1824[[#This Row],[Qty7]]*Table1824[[#This Row],[Hrg St7]]),0),"")</f>
        <v/>
      </c>
      <c r="BL32" s="8" t="str">
        <f>IFERROR(ROUNDUP((Table1824[[#This Row],[Qty8]]*Table1824[[#This Row],[Hrg St8]]),0),"")</f>
        <v/>
      </c>
      <c r="BM32" s="8" t="str">
        <f>IFERROR(ROUNDUP((Table1824[[#This Row],[Qty9]]*Table1824[[#This Row],[Hrg St9]]),0),"")</f>
        <v/>
      </c>
      <c r="BN32" s="8" t="str">
        <f>IFERROR(ROUNDUP((Table1824[[#This Row],[Qty10]]*Table1824[[#This Row],[Hrg St10]]),0),"")</f>
        <v/>
      </c>
      <c r="BO32" s="8" t="str">
        <f>IFERROR(ROUNDUP((Table1824[[#This Row],[Qty11]]*Table1824[[#This Row],[Hrg St11]]),0),"")</f>
        <v/>
      </c>
      <c r="BP32" s="8" t="str">
        <f>IFERROR(ROUNDUP((Table1824[[#This Row],[Qty12]]*Table1824[[#This Row],[Hrg St12]]),0),"")</f>
        <v/>
      </c>
      <c r="BQ32" s="8" t="str">
        <f>IFERROR(ROUNDUP((Table1824[[#This Row],[Qty13]]*Table1824[[#This Row],[Hrg St13]]),0),"")</f>
        <v/>
      </c>
      <c r="BR32" s="23" t="str">
        <f>IF(Table1824[[#This Row],[BKK]]&gt;" ",IFERROR(ROUNDUP((SUM(Table1824[[#This Row],[Jml]:[Jml13]])),0)," ")," ")</f>
        <v xml:space="preserve"> </v>
      </c>
      <c r="BS32" s="23" t="str">
        <f>IF(Table1824[[#This Row],[BKK]]&gt;" ",ROUND((Table1824[[#This Row],[Total]]*0.1),0)," ")</f>
        <v xml:space="preserve"> </v>
      </c>
      <c r="BT32" s="23" t="str">
        <f>IF(Table1824[[#This Row],[BKK]]&gt;" ",(Table1824[[#This Row],[Total]]+Table1824[[#This Row],[PPN]])," ")</f>
        <v xml:space="preserve"> </v>
      </c>
      <c r="BU32" t="s">
        <v>454</v>
      </c>
      <c r="BV32" t="str">
        <f>IF(Table1824[[#This Row],[BKK]]&gt;" ",("INV/AK-MLG/2019/"&amp;'BKU 1'!$E$1&amp;"/"&amp;Table1824[[#This Row],[BKK]]&amp;"/"&amp;'BKU 1'!$E$1&amp;ROW())," ")</f>
        <v xml:space="preserve"> </v>
      </c>
      <c r="BW32" t="str">
        <f>IF(Table1824[[#This Row],[BKK]]&gt;" ",(TEXT(VLOOKUP(Table1824[[#This Row],[BKK]],COPY!$O$2:$U$1000,7,FALSE),"dd mmmm yyyy"))," ")</f>
        <v xml:space="preserve"> </v>
      </c>
      <c r="BX32" t="str">
        <f>IF(Table1824[[#This Row],[BKK]]&gt;" ",(TEXT((Table1824[[#This Row],[Tanggal Kirim]]+30),"dd mmmm yyyy"))," ")</f>
        <v xml:space="preserve"> </v>
      </c>
      <c r="BY32" t="str">
        <f>IF(Table1824[[#This Row],[BKK]]&gt;" ",'BKU 1'!$E$17," ")</f>
        <v xml:space="preserve"> </v>
      </c>
    </row>
    <row r="33" spans="1:77" hidden="1" x14ac:dyDescent="0.25">
      <c r="A33" t="str">
        <f>IFERROR((IF('Laporan ppn'!G6820&gt;0,VLOOKUP('Laporan ppn'!G6820,'Laporan ppn'!$E$10:$F$6785,2,FALSE),"")),"")</f>
        <v xml:space="preserve"> </v>
      </c>
      <c r="B33" t="str">
        <f>IF(Table1824[[#This Row],[BKK]]=" "," ",'BKU 1'!$D$25)</f>
        <v xml:space="preserve"> </v>
      </c>
      <c r="C33" t="str">
        <f>IF(Table1824[[#This Row],[BKK]]=" "," ",'BKU 1'!$D$26)</f>
        <v xml:space="preserve"> </v>
      </c>
      <c r="D33" t="str">
        <f>IF(Table1824[[#This Row],[BKK]]=" "," ",'BKU 1'!$I$25)</f>
        <v xml:space="preserve"> </v>
      </c>
      <c r="E33" t="str">
        <f>IFERROR(VLOOKUP(Table1824[[#This Row],[BKK]],'Un nOTA'!$D$4:$J$1004,2,FALSE),"")</f>
        <v/>
      </c>
      <c r="F33" t="str">
        <f>IFERROR(VLOOKUP(Table1824[[#This Row],[BKK]]&amp;TRIM(RIGHT(SUBSTITUTE(TRIM(Table1824[[#Headers],[Uraian a]])," ",REPT(" ",255)),255)),'Un nOTA'!$D$4:$J$1004,2,FALSE),"")</f>
        <v/>
      </c>
      <c r="G33" t="str">
        <f>IFERROR(VLOOKUP(Table1824[[#This Row],[BKK]]&amp;TRIM(RIGHT(SUBSTITUTE(TRIM(Table1824[[#Headers],[Uraian aa]])," ",REPT(" ",255)),255)),'Un nOTA'!$D$4:$J$1004,2,FALSE),"")</f>
        <v/>
      </c>
      <c r="H33" t="str">
        <f>IFERROR(VLOOKUP(Table1824[[#This Row],[BKK]]&amp;TRIM(RIGHT(SUBSTITUTE(TRIM(Table1824[[#Headers],[Uraian aaa]])," ",REPT(" ",255)),255)),'Un nOTA'!$D$4:$J$1004,2,FALSE),"")</f>
        <v/>
      </c>
      <c r="I33" t="str">
        <f>IFERROR(VLOOKUP(Table1824[[#This Row],[BKK]]&amp;TRIM(RIGHT(SUBSTITUTE(TRIM(Table1824[[#Headers],[Uraian aaaa]])," ",REPT(" ",255)),255)),'Un nOTA'!$D$4:$J$1004,2,FALSE),"")</f>
        <v/>
      </c>
      <c r="J33" t="str">
        <f>IFERROR(VLOOKUP(Table1824[[#This Row],[BKK]]&amp;TRIM(RIGHT(SUBSTITUTE(TRIM(Table1824[[#Headers],[Uraian aaaaa]])," ",REPT(" ",255)),255)),'Un nOTA'!$D$4:$J$1004,2,FALSE),"")</f>
        <v/>
      </c>
      <c r="K33" t="str">
        <f>IFERROR(VLOOKUP(Table1824[[#This Row],[BKK]]&amp;TRIM(RIGHT(SUBSTITUTE(TRIM(Table1824[[#Headers],[Uraian aaaaaa]])," ",REPT(" ",255)),255)),'Un nOTA'!$D$4:$J$1004,2,FALSE),"")</f>
        <v/>
      </c>
      <c r="L33" t="str">
        <f>IFERROR(VLOOKUP(Table1824[[#This Row],[BKK]]&amp;TRIM(RIGHT(SUBSTITUTE(TRIM(Table1824[[#Headers],[Uraian aaaaaaa]])," ",REPT(" ",255)),255)),'Un nOTA'!$D$4:$J$1004,2,FALSE),"")</f>
        <v/>
      </c>
      <c r="M33" t="str">
        <f>IFERROR(VLOOKUP(Table1824[[#This Row],[BKK]]&amp;TRIM(RIGHT(SUBSTITUTE(TRIM(Table1824[[#Headers],[Uraian aaaaaaaa]])," ",REPT(" ",255)),255)),'Un nOTA'!$D$4:$J$1004,2,FALSE),"")</f>
        <v/>
      </c>
      <c r="N33" t="str">
        <f>IFERROR(VLOOKUP(Table1824[[#This Row],[BKK]]&amp;TRIM(RIGHT(SUBSTITUTE(TRIM(Table1824[[#Headers],[Uraian aaaaaaaaa]])," ",REPT(" ",255)),255)),'Un nOTA'!$D$4:$J$1004,2,FALSE),"")</f>
        <v/>
      </c>
      <c r="O33" t="str">
        <f>IFERROR(VLOOKUP(Table1824[[#This Row],[BKK]]&amp;TRIM(RIGHT(SUBSTITUTE(TRIM(Table1824[[#Headers],[Uraian aaaaaaaaaa]])," ",REPT(" ",255)),255)),'Un nOTA'!$D$4:$J$1004,2,FALSE),"")</f>
        <v/>
      </c>
      <c r="P33" t="str">
        <f>IFERROR(VLOOKUP(Table1824[[#This Row],[BKK]]&amp;TRIM(RIGHT(SUBSTITUTE(TRIM(Table1824[[#Headers],[Uraian aaaaaaaaaaa]])," ",REPT(" ",255)),255)),'Un nOTA'!$D$4:$J$1004,2,FALSE),"")</f>
        <v/>
      </c>
      <c r="Q33" t="str">
        <f>IFERROR(VLOOKUP(Table1824[[#This Row],[BKK]]&amp;TRIM(RIGHT(SUBSTITUTE(TRIM(Table1824[[#Headers],[Uraian aaaaaaaaaaaa]])," ",REPT(" ",255)),255)),'Un nOTA'!$D$4:$J$1004,2,FALSE),"")</f>
        <v/>
      </c>
      <c r="R33" s="32" t="str">
        <f>IFERROR(VLOOKUP(Table1824[[#This Row],[BKK]],'Un nOTA'!$D$4:$J$1004,3,FALSE),"")</f>
        <v/>
      </c>
      <c r="S33" s="32" t="str">
        <f>IFERROR(VLOOKUP(Table1824[[#This Row],[BKK]]&amp;TRIM(RIGHT(SUBSTITUTE(TRIM(Table1824[[#Headers],[Uraian a]])," ",REPT(" ",255)),255)),'Un nOTA'!$D$4:$J$1004,3,FALSE),"")</f>
        <v/>
      </c>
      <c r="T33" s="32" t="str">
        <f>IFERROR(VLOOKUP(Table1824[[#This Row],[BKK]]&amp;TRIM(RIGHT(SUBSTITUTE(TRIM(Table1824[[#Headers],[Uraian aa]])," ",REPT(" ",255)),255)),'Un nOTA'!$D$4:$J$1004,3,FALSE),"")</f>
        <v/>
      </c>
      <c r="U33" s="32" t="str">
        <f>IFERROR(VLOOKUP(Table1824[[#This Row],[BKK]]&amp;TRIM(RIGHT(SUBSTITUTE(TRIM(Table1824[[#Headers],[Uraian aaa]])," ",REPT(" ",255)),255)),'Un nOTA'!$D$4:$J$1004,3,FALSE),"")</f>
        <v/>
      </c>
      <c r="V33" s="32" t="str">
        <f>IFERROR(VLOOKUP(Table1824[[#This Row],[BKK]]&amp;TRIM(RIGHT(SUBSTITUTE(TRIM(Table1824[[#Headers],[Uraian aaaa]])," ",REPT(" ",255)),255)),'Un nOTA'!$D$4:$J$1004,3,FALSE),"")</f>
        <v/>
      </c>
      <c r="W33" s="32" t="str">
        <f>IFERROR(VLOOKUP(Table1824[[#This Row],[BKK]]&amp;TRIM(RIGHT(SUBSTITUTE(TRIM(Table1824[[#Headers],[Uraian aaaaa]])," ",REPT(" ",255)),255)),'Un nOTA'!$D$4:$J$1004,3,FALSE),"")</f>
        <v/>
      </c>
      <c r="X33" s="32" t="str">
        <f>IFERROR(VLOOKUP(Table1824[[#This Row],[BKK]]&amp;TRIM(RIGHT(SUBSTITUTE(TRIM(Table1824[[#Headers],[Uraian aaaaaa]])," ",REPT(" ",255)),255)),'Un nOTA'!$D$4:$J$1004,3,FALSE),"")</f>
        <v/>
      </c>
      <c r="Y33" s="32" t="str">
        <f>IFERROR(VLOOKUP(Table1824[[#This Row],[BKK]]&amp;TRIM(RIGHT(SUBSTITUTE(TRIM(Table1824[[#Headers],[Uraian aaaaaaa]])," ",REPT(" ",255)),255)),'Un nOTA'!$D$4:$J$1004,3,FALSE),"")</f>
        <v/>
      </c>
      <c r="Z33" s="32" t="str">
        <f>IFERROR(VLOOKUP(Table1824[[#This Row],[BKK]]&amp;TRIM(RIGHT(SUBSTITUTE(TRIM(Table1824[[#Headers],[Uraian aaaaaaaa]])," ",REPT(" ",255)),255)),'Un nOTA'!$D$4:$J$1004,3,FALSE),"")</f>
        <v/>
      </c>
      <c r="AA33" s="32" t="str">
        <f>IFERROR(VLOOKUP(Table1824[[#This Row],[BKK]]&amp;TRIM(RIGHT(SUBSTITUTE(TRIM(Table1824[[#Headers],[Uraian aaaaaaaaa]])," ",REPT(" ",255)),255)),'Un nOTA'!$D$4:$J$1004,3,FALSE),"")</f>
        <v/>
      </c>
      <c r="AB33" s="32" t="str">
        <f>IFERROR(VLOOKUP(Table1824[[#This Row],[BKK]]&amp;TRIM(RIGHT(SUBSTITUTE(TRIM(Table1824[[#Headers],[Uraian aaaaaaaaaa]])," ",REPT(" ",255)),255)),'Un nOTA'!$D$4:$J$1004,3,FALSE),"")</f>
        <v/>
      </c>
      <c r="AC33" s="32" t="str">
        <f>IFERROR(VLOOKUP(Table1824[[#This Row],[BKK]]&amp;TRIM(RIGHT(SUBSTITUTE(TRIM(Table1824[[#Headers],[Uraian aaaaaaaaaaa]])," ",REPT(" ",255)),255)),'Un nOTA'!$D$4:$J$1004,3,FALSE),"")</f>
        <v/>
      </c>
      <c r="AD33" s="32" t="str">
        <f>IFERROR(VLOOKUP(Table1824[[#This Row],[BKK]]&amp;TRIM(RIGHT(SUBSTITUTE(TRIM(Table1824[[#Headers],[Uraian aaaaaaaaaaaa]])," ",REPT(" ",255)),255)),'Un nOTA'!$D$4:$J$1004,3,FALSE),"")</f>
        <v/>
      </c>
      <c r="AE33" s="8" t="str">
        <f>IFERROR(VLOOKUP(Table1824[[#This Row],[BKK]],'Un nOTA'!$D$4:$J$1004,4,FALSE),"")</f>
        <v/>
      </c>
      <c r="AF33" s="8" t="str">
        <f>IFERROR(VLOOKUP(Table1824[[#This Row],[BKK]]&amp;TRIM(RIGHT(SUBSTITUTE(TRIM(Table1824[[#Headers],[Uraian a]])," ",REPT(" ",255)),255)),'Un nOTA'!$D$4:$J$1004,4,FALSE),"")</f>
        <v/>
      </c>
      <c r="AG33" s="8" t="str">
        <f>IFERROR(VLOOKUP(Table1824[[#This Row],[BKK]]&amp;TRIM(RIGHT(SUBSTITUTE(TRIM(Table1824[[#Headers],[Uraian aa]])," ",REPT(" ",255)),255)),'Un nOTA'!$D$4:$J$1004,4,FALSE),"")</f>
        <v/>
      </c>
      <c r="AH33" s="8" t="str">
        <f>IFERROR(VLOOKUP(Table1824[[#This Row],[BKK]]&amp;TRIM(RIGHT(SUBSTITUTE(TRIM(Table1824[[#Headers],[Uraian aaa]])," ",REPT(" ",255)),255)),'Un nOTA'!$D$4:$J$1004,4,FALSE),"")</f>
        <v/>
      </c>
      <c r="AI33" s="8" t="str">
        <f>IFERROR(VLOOKUP(Table1824[[#This Row],[BKK]]&amp;TRIM(RIGHT(SUBSTITUTE(TRIM(Table1824[[#Headers],[Uraian aaaa]])," ",REPT(" ",255)),255)),'Un nOTA'!$D$4:$J$1004,4,FALSE),"")</f>
        <v/>
      </c>
      <c r="AJ33" s="8" t="str">
        <f>IFERROR(VLOOKUP(Table1824[[#This Row],[BKK]]&amp;TRIM(RIGHT(SUBSTITUTE(TRIM(Table1824[[#Headers],[Uraian aaaaa]])," ",REPT(" ",255)),255)),'Un nOTA'!$D$4:$J$1004,4,FALSE),"")</f>
        <v/>
      </c>
      <c r="AK33" s="8" t="str">
        <f>IFERROR(VLOOKUP(Table1824[[#This Row],[BKK]]&amp;TRIM(RIGHT(SUBSTITUTE(TRIM(Table1824[[#Headers],[Uraian aaaaaa]])," ",REPT(" ",255)),255)),'Un nOTA'!$D$4:$J$1004,4,FALSE),"")</f>
        <v/>
      </c>
      <c r="AL33" s="8" t="str">
        <f>IFERROR(VLOOKUP(Table1824[[#This Row],[BKK]]&amp;TRIM(RIGHT(SUBSTITUTE(TRIM(Table1824[[#Headers],[Uraian aaaaaaa]])," ",REPT(" ",255)),255)),'Un nOTA'!$D$4:$J$1004,4,FALSE),"")</f>
        <v/>
      </c>
      <c r="AM33" s="8" t="str">
        <f>IFERROR(VLOOKUP(Table1824[[#This Row],[BKK]]&amp;TRIM(RIGHT(SUBSTITUTE(TRIM(Table1824[[#Headers],[Uraian aaaaaaaa]])," ",REPT(" ",255)),255)),'Un nOTA'!$D$4:$J$1004,4,FALSE),"")</f>
        <v/>
      </c>
      <c r="AN33" s="8" t="str">
        <f>IFERROR(VLOOKUP(Table1824[[#This Row],[BKK]]&amp;TRIM(RIGHT(SUBSTITUTE(TRIM(Table1824[[#Headers],[Uraian aaaaaaaaa]])," ",REPT(" ",255)),255)),'Un nOTA'!$D$4:$J$1004,4,FALSE),"")</f>
        <v/>
      </c>
      <c r="AO33" s="8" t="str">
        <f>IFERROR(VLOOKUP(Table1824[[#This Row],[BKK]]&amp;TRIM(RIGHT(SUBSTITUTE(TRIM(Table1824[[#Headers],[Uraian aaaaaaaaaa]])," ",REPT(" ",255)),255)),'Un nOTA'!$D$4:$J$1004,4,FALSE),"")</f>
        <v/>
      </c>
      <c r="AP33" s="8" t="str">
        <f>IFERROR(VLOOKUP(Table1824[[#This Row],[BKK]]&amp;TRIM(RIGHT(SUBSTITUTE(TRIM(Table1824[[#Headers],[Uraian aaaaaaaaaaa]])," ",REPT(" ",255)),255)),'Un nOTA'!$D$4:$J$1004,4,FALSE),"")</f>
        <v/>
      </c>
      <c r="AQ33" s="8" t="str">
        <f>IFERROR(VLOOKUP(Table1824[[#This Row],[BKK]]&amp;TRIM(RIGHT(SUBSTITUTE(TRIM(Table1824[[#Headers],[Uraian aaaaaaaaaaaa]])," ",REPT(" ",255)),255)),'Un nOTA'!$D$4:$J$1004,4,FALSE),"")</f>
        <v/>
      </c>
      <c r="AR33" s="8" t="str">
        <f>IFERROR((IFERROR(VLOOKUP(Table1824[[#This Row],[BKK]],'Un nOTA'!$D$4:$J$1004,5,FALSE),""))*(10/11),"")</f>
        <v/>
      </c>
      <c r="AS33" s="8" t="str">
        <f>IFERROR((IFERROR(VLOOKUP(Table1824[[#This Row],[BKK]]&amp;TRIM(RIGHT(SUBSTITUTE(TRIM(Table1824[[#Headers],[Uraian a]])," ",REPT(" ",255)),255)),'Un nOTA'!$D$4:$J$1004,5,FALSE),"")*(10/11)),"")</f>
        <v/>
      </c>
      <c r="AT33" s="8" t="str">
        <f>IFERROR((IFERROR(VLOOKUP(Table1824[[#This Row],[BKK]]&amp;TRIM(RIGHT(SUBSTITUTE(TRIM(Table1824[[#Headers],[Uraian aa]])," ",REPT(" ",255)),255)),'Un nOTA'!$D$4:$J$1004,5,FALSE),"")*(10/11)),"")</f>
        <v/>
      </c>
      <c r="AU33" s="8" t="str">
        <f>IFERROR((IFERROR(VLOOKUP(Table1824[[#This Row],[BKK]]&amp;TRIM(RIGHT(SUBSTITUTE(TRIM(Table1824[[#Headers],[Uraian aaa]])," ",REPT(" ",255)),255)),'Un nOTA'!$D$4:$J$1004,5,FALSE),"")*(10/11)),"")</f>
        <v/>
      </c>
      <c r="AV33" s="8" t="str">
        <f>IFERROR((IFERROR(VLOOKUP(Table1824[[#This Row],[BKK]]&amp;TRIM(RIGHT(SUBSTITUTE(TRIM(Table1824[[#Headers],[Uraian aaaa]])," ",REPT(" ",255)),255)),'Un nOTA'!$D$4:$J$1004,5,FALSE),"")*(10/11)),"")</f>
        <v/>
      </c>
      <c r="AW33" s="8" t="str">
        <f>IFERROR((IFERROR(VLOOKUP(Table1824[[#This Row],[BKK]]&amp;TRIM(RIGHT(SUBSTITUTE(TRIM(Table1824[[#Headers],[Uraian aaaaa]])," ",REPT(" ",255)),255)),'Un nOTA'!$D$4:$J$1004,5,FALSE),"")*(10/11)),"")</f>
        <v/>
      </c>
      <c r="AX33" s="8" t="str">
        <f>IFERROR((IFERROR(VLOOKUP(Table1824[[#This Row],[BKK]]&amp;TRIM(RIGHT(SUBSTITUTE(TRIM(Table1824[[#Headers],[Uraian aaaaaa]])," ",REPT(" ",255)),255)),'Un nOTA'!$D$4:$J$1004,5,FALSE),"")*(10/11)),"")</f>
        <v/>
      </c>
      <c r="AY33" s="8" t="str">
        <f>IFERROR((IFERROR(VLOOKUP(Table1824[[#This Row],[BKK]]&amp;TRIM(RIGHT(SUBSTITUTE(TRIM(Table1824[[#Headers],[Uraian aaaaaaa]])," ",REPT(" ",255)),255)),'Un nOTA'!$D$4:$J$1004,5,FALSE),"")*(10/11)),"")</f>
        <v/>
      </c>
      <c r="AZ33" s="8" t="str">
        <f>IFERROR((IFERROR(VLOOKUP(Table1824[[#This Row],[BKK]]&amp;TRIM(RIGHT(SUBSTITUTE(TRIM(Table1824[[#Headers],[Uraian aaaaaaaa]])," ",REPT(" ",255)),255)),'Un nOTA'!$D$4:$J$1004,5,FALSE),"")*(10/11)),"")</f>
        <v/>
      </c>
      <c r="BA33" s="8" t="str">
        <f>IFERROR((IFERROR(VLOOKUP(Table1824[[#This Row],[BKK]]&amp;TRIM(RIGHT(SUBSTITUTE(TRIM(Table1824[[#Headers],[Uraian aaaaaaaaa]])," ",REPT(" ",255)),255)),'Un nOTA'!$D$4:$J$1004,5,FALSE),"")*(10/11)),"")</f>
        <v/>
      </c>
      <c r="BB33" s="8" t="str">
        <f>IFERROR((IFERROR(VLOOKUP(Table1824[[#This Row],[BKK]]&amp;TRIM(RIGHT(SUBSTITUTE(TRIM(Table1824[[#Headers],[Uraian aaaaaaaaaa]])," ",REPT(" ",255)),255)),'Un nOTA'!$D$4:$J$1004,5,FALSE),"")*(10/11)),"")</f>
        <v/>
      </c>
      <c r="BC33" s="8" t="str">
        <f>IFERROR((IFERROR(VLOOKUP(Table1824[[#This Row],[BKK]]&amp;TRIM(RIGHT(SUBSTITUTE(TRIM(Table1824[[#Headers],[Uraian aaaaaaaaaaa]])," ",REPT(" ",255)),255)),'Un nOTA'!$D$4:$J$1004,5,FALSE),"")*(10/11)),"")</f>
        <v/>
      </c>
      <c r="BD33" s="8" t="str">
        <f>IFERROR((IFERROR(VLOOKUP(Table1824[[#This Row],[BKK]]&amp;TRIM(RIGHT(SUBSTITUTE(TRIM(Table1824[[#Headers],[Uraian aaaaaaaaaaaa]])," ",REPT(" ",255)),255)),'Un nOTA'!$D$4:$J$1004,5,FALSE),"")*(10/11)),"")</f>
        <v/>
      </c>
      <c r="BE33" s="23" t="str">
        <f>IFERROR(ROUNDUP((Table1824[[#This Row],[Qty]]*Table1824[[#This Row],[Hrg St]]),0),"")</f>
        <v/>
      </c>
      <c r="BF33" s="8" t="str">
        <f>IFERROR(ROUNDUP((Table1824[[#This Row],[Qty2]]*Table1824[[#This Row],[Hrg St2]]),0),"")</f>
        <v/>
      </c>
      <c r="BG33" s="8" t="str">
        <f>IFERROR(ROUNDUP((Table1824[[#This Row],[Qty3]]*Table1824[[#This Row],[Hrg St3]]),0),"")</f>
        <v/>
      </c>
      <c r="BH33" s="8" t="str">
        <f>IFERROR(ROUNDUP((Table1824[[#This Row],[Qty4]]*Table1824[[#This Row],[Hrg St4]]),0),"")</f>
        <v/>
      </c>
      <c r="BI33" s="8" t="str">
        <f>IFERROR(ROUNDUP((Table1824[[#This Row],[Qty5]]*Table1824[[#This Row],[Hrg St5]]),0),"")</f>
        <v/>
      </c>
      <c r="BJ33" s="8" t="str">
        <f>IFERROR(ROUNDUP((Table1824[[#This Row],[Qty6]]*Table1824[[#This Row],[Hrg St6]]),0),"")</f>
        <v/>
      </c>
      <c r="BK33" s="8" t="str">
        <f>IFERROR(ROUNDUP((Table1824[[#This Row],[Qty7]]*Table1824[[#This Row],[Hrg St7]]),0),"")</f>
        <v/>
      </c>
      <c r="BL33" s="8" t="str">
        <f>IFERROR(ROUNDUP((Table1824[[#This Row],[Qty8]]*Table1824[[#This Row],[Hrg St8]]),0),"")</f>
        <v/>
      </c>
      <c r="BM33" s="8" t="str">
        <f>IFERROR(ROUNDUP((Table1824[[#This Row],[Qty9]]*Table1824[[#This Row],[Hrg St9]]),0),"")</f>
        <v/>
      </c>
      <c r="BN33" s="8" t="str">
        <f>IFERROR(ROUNDUP((Table1824[[#This Row],[Qty10]]*Table1824[[#This Row],[Hrg St10]]),0),"")</f>
        <v/>
      </c>
      <c r="BO33" s="8" t="str">
        <f>IFERROR(ROUNDUP((Table1824[[#This Row],[Qty11]]*Table1824[[#This Row],[Hrg St11]]),0),"")</f>
        <v/>
      </c>
      <c r="BP33" s="8" t="str">
        <f>IFERROR(ROUNDUP((Table1824[[#This Row],[Qty12]]*Table1824[[#This Row],[Hrg St12]]),0),"")</f>
        <v/>
      </c>
      <c r="BQ33" s="8" t="str">
        <f>IFERROR(ROUNDUP((Table1824[[#This Row],[Qty13]]*Table1824[[#This Row],[Hrg St13]]),0),"")</f>
        <v/>
      </c>
      <c r="BR33" s="23" t="str">
        <f>IF(Table1824[[#This Row],[BKK]]&gt;" ",IFERROR(ROUNDUP((SUM(Table1824[[#This Row],[Jml]:[Jml13]])),0)," ")," ")</f>
        <v xml:space="preserve"> </v>
      </c>
      <c r="BS33" s="23" t="str">
        <f>IF(Table1824[[#This Row],[BKK]]&gt;" ",ROUND((Table1824[[#This Row],[Total]]*0.1),0)," ")</f>
        <v xml:space="preserve"> </v>
      </c>
      <c r="BT33" s="23" t="str">
        <f>IF(Table1824[[#This Row],[BKK]]&gt;" ",(Table1824[[#This Row],[Total]]+Table1824[[#This Row],[PPN]])," ")</f>
        <v xml:space="preserve"> </v>
      </c>
      <c r="BU33" t="s">
        <v>454</v>
      </c>
      <c r="BV33" t="str">
        <f>IF(Table1824[[#This Row],[BKK]]&gt;" ",("INV/AK-MLG/2019/"&amp;'BKU 1'!$E$1&amp;"/"&amp;Table1824[[#This Row],[BKK]]&amp;"/"&amp;'BKU 1'!$E$1&amp;ROW())," ")</f>
        <v xml:space="preserve"> </v>
      </c>
      <c r="BW33" t="str">
        <f>IF(Table1824[[#This Row],[BKK]]&gt;" ",(TEXT(VLOOKUP(Table1824[[#This Row],[BKK]],COPY!$O$2:$U$1000,7,FALSE),"dd mmmm yyyy"))," ")</f>
        <v xml:space="preserve"> </v>
      </c>
      <c r="BX33" t="str">
        <f>IF(Table1824[[#This Row],[BKK]]&gt;" ",(TEXT((Table1824[[#This Row],[Tanggal Kirim]]+30),"dd mmmm yyyy"))," ")</f>
        <v xml:space="preserve"> </v>
      </c>
      <c r="BY33" t="str">
        <f>IF(Table1824[[#This Row],[BKK]]&gt;" ",'BKU 1'!$E$17," ")</f>
        <v xml:space="preserve"> </v>
      </c>
    </row>
    <row r="34" spans="1:77" hidden="1" x14ac:dyDescent="0.25">
      <c r="A34" t="str">
        <f>IFERROR((IF('Laporan ppn'!G6821&gt;0,VLOOKUP('Laporan ppn'!G6821,'Laporan ppn'!$E$10:$F$6785,2,FALSE),"")),"")</f>
        <v xml:space="preserve"> </v>
      </c>
      <c r="B34" t="str">
        <f>IF(Table1824[[#This Row],[BKK]]=" "," ",'BKU 1'!$D$25)</f>
        <v xml:space="preserve"> </v>
      </c>
      <c r="C34" t="str">
        <f>IF(Table1824[[#This Row],[BKK]]=" "," ",'BKU 1'!$D$26)</f>
        <v xml:space="preserve"> </v>
      </c>
      <c r="D34" t="str">
        <f>IF(Table1824[[#This Row],[BKK]]=" "," ",'BKU 1'!$I$25)</f>
        <v xml:space="preserve"> </v>
      </c>
      <c r="E34" t="str">
        <f>IFERROR(VLOOKUP(Table1824[[#This Row],[BKK]],'Un nOTA'!$D$4:$J$1004,2,FALSE),"")</f>
        <v/>
      </c>
      <c r="F34" t="str">
        <f>IFERROR(VLOOKUP(Table1824[[#This Row],[BKK]]&amp;TRIM(RIGHT(SUBSTITUTE(TRIM(Table1824[[#Headers],[Uraian a]])," ",REPT(" ",255)),255)),'Un nOTA'!$D$4:$J$1004,2,FALSE),"")</f>
        <v/>
      </c>
      <c r="G34" t="str">
        <f>IFERROR(VLOOKUP(Table1824[[#This Row],[BKK]]&amp;TRIM(RIGHT(SUBSTITUTE(TRIM(Table1824[[#Headers],[Uraian aa]])," ",REPT(" ",255)),255)),'Un nOTA'!$D$4:$J$1004,2,FALSE),"")</f>
        <v/>
      </c>
      <c r="H34" t="str">
        <f>IFERROR(VLOOKUP(Table1824[[#This Row],[BKK]]&amp;TRIM(RIGHT(SUBSTITUTE(TRIM(Table1824[[#Headers],[Uraian aaa]])," ",REPT(" ",255)),255)),'Un nOTA'!$D$4:$J$1004,2,FALSE),"")</f>
        <v/>
      </c>
      <c r="I34" t="str">
        <f>IFERROR(VLOOKUP(Table1824[[#This Row],[BKK]]&amp;TRIM(RIGHT(SUBSTITUTE(TRIM(Table1824[[#Headers],[Uraian aaaa]])," ",REPT(" ",255)),255)),'Un nOTA'!$D$4:$J$1004,2,FALSE),"")</f>
        <v/>
      </c>
      <c r="J34" t="str">
        <f>IFERROR(VLOOKUP(Table1824[[#This Row],[BKK]]&amp;TRIM(RIGHT(SUBSTITUTE(TRIM(Table1824[[#Headers],[Uraian aaaaa]])," ",REPT(" ",255)),255)),'Un nOTA'!$D$4:$J$1004,2,FALSE),"")</f>
        <v/>
      </c>
      <c r="K34" t="str">
        <f>IFERROR(VLOOKUP(Table1824[[#This Row],[BKK]]&amp;TRIM(RIGHT(SUBSTITUTE(TRIM(Table1824[[#Headers],[Uraian aaaaaa]])," ",REPT(" ",255)),255)),'Un nOTA'!$D$4:$J$1004,2,FALSE),"")</f>
        <v/>
      </c>
      <c r="L34" t="str">
        <f>IFERROR(VLOOKUP(Table1824[[#This Row],[BKK]]&amp;TRIM(RIGHT(SUBSTITUTE(TRIM(Table1824[[#Headers],[Uraian aaaaaaa]])," ",REPT(" ",255)),255)),'Un nOTA'!$D$4:$J$1004,2,FALSE),"")</f>
        <v/>
      </c>
      <c r="M34" t="str">
        <f>IFERROR(VLOOKUP(Table1824[[#This Row],[BKK]]&amp;TRIM(RIGHT(SUBSTITUTE(TRIM(Table1824[[#Headers],[Uraian aaaaaaaa]])," ",REPT(" ",255)),255)),'Un nOTA'!$D$4:$J$1004,2,FALSE),"")</f>
        <v/>
      </c>
      <c r="N34" t="str">
        <f>IFERROR(VLOOKUP(Table1824[[#This Row],[BKK]]&amp;TRIM(RIGHT(SUBSTITUTE(TRIM(Table1824[[#Headers],[Uraian aaaaaaaaa]])," ",REPT(" ",255)),255)),'Un nOTA'!$D$4:$J$1004,2,FALSE),"")</f>
        <v/>
      </c>
      <c r="O34" t="str">
        <f>IFERROR(VLOOKUP(Table1824[[#This Row],[BKK]]&amp;TRIM(RIGHT(SUBSTITUTE(TRIM(Table1824[[#Headers],[Uraian aaaaaaaaaa]])," ",REPT(" ",255)),255)),'Un nOTA'!$D$4:$J$1004,2,FALSE),"")</f>
        <v/>
      </c>
      <c r="P34" t="str">
        <f>IFERROR(VLOOKUP(Table1824[[#This Row],[BKK]]&amp;TRIM(RIGHT(SUBSTITUTE(TRIM(Table1824[[#Headers],[Uraian aaaaaaaaaaa]])," ",REPT(" ",255)),255)),'Un nOTA'!$D$4:$J$1004,2,FALSE),"")</f>
        <v/>
      </c>
      <c r="Q34" t="str">
        <f>IFERROR(VLOOKUP(Table1824[[#This Row],[BKK]]&amp;TRIM(RIGHT(SUBSTITUTE(TRIM(Table1824[[#Headers],[Uraian aaaaaaaaaaaa]])," ",REPT(" ",255)),255)),'Un nOTA'!$D$4:$J$1004,2,FALSE),"")</f>
        <v/>
      </c>
      <c r="R34" s="32" t="str">
        <f>IFERROR(VLOOKUP(Table1824[[#This Row],[BKK]],'Un nOTA'!$D$4:$J$1004,3,FALSE),"")</f>
        <v/>
      </c>
      <c r="S34" s="32" t="str">
        <f>IFERROR(VLOOKUP(Table1824[[#This Row],[BKK]]&amp;TRIM(RIGHT(SUBSTITUTE(TRIM(Table1824[[#Headers],[Uraian a]])," ",REPT(" ",255)),255)),'Un nOTA'!$D$4:$J$1004,3,FALSE),"")</f>
        <v/>
      </c>
      <c r="T34" s="32" t="str">
        <f>IFERROR(VLOOKUP(Table1824[[#This Row],[BKK]]&amp;TRIM(RIGHT(SUBSTITUTE(TRIM(Table1824[[#Headers],[Uraian aa]])," ",REPT(" ",255)),255)),'Un nOTA'!$D$4:$J$1004,3,FALSE),"")</f>
        <v/>
      </c>
      <c r="U34" s="32" t="str">
        <f>IFERROR(VLOOKUP(Table1824[[#This Row],[BKK]]&amp;TRIM(RIGHT(SUBSTITUTE(TRIM(Table1824[[#Headers],[Uraian aaa]])," ",REPT(" ",255)),255)),'Un nOTA'!$D$4:$J$1004,3,FALSE),"")</f>
        <v/>
      </c>
      <c r="V34" s="32" t="str">
        <f>IFERROR(VLOOKUP(Table1824[[#This Row],[BKK]]&amp;TRIM(RIGHT(SUBSTITUTE(TRIM(Table1824[[#Headers],[Uraian aaaa]])," ",REPT(" ",255)),255)),'Un nOTA'!$D$4:$J$1004,3,FALSE),"")</f>
        <v/>
      </c>
      <c r="W34" s="32" t="str">
        <f>IFERROR(VLOOKUP(Table1824[[#This Row],[BKK]]&amp;TRIM(RIGHT(SUBSTITUTE(TRIM(Table1824[[#Headers],[Uraian aaaaa]])," ",REPT(" ",255)),255)),'Un nOTA'!$D$4:$J$1004,3,FALSE),"")</f>
        <v/>
      </c>
      <c r="X34" s="32" t="str">
        <f>IFERROR(VLOOKUP(Table1824[[#This Row],[BKK]]&amp;TRIM(RIGHT(SUBSTITUTE(TRIM(Table1824[[#Headers],[Uraian aaaaaa]])," ",REPT(" ",255)),255)),'Un nOTA'!$D$4:$J$1004,3,FALSE),"")</f>
        <v/>
      </c>
      <c r="Y34" s="32" t="str">
        <f>IFERROR(VLOOKUP(Table1824[[#This Row],[BKK]]&amp;TRIM(RIGHT(SUBSTITUTE(TRIM(Table1824[[#Headers],[Uraian aaaaaaa]])," ",REPT(" ",255)),255)),'Un nOTA'!$D$4:$J$1004,3,FALSE),"")</f>
        <v/>
      </c>
      <c r="Z34" s="32" t="str">
        <f>IFERROR(VLOOKUP(Table1824[[#This Row],[BKK]]&amp;TRIM(RIGHT(SUBSTITUTE(TRIM(Table1824[[#Headers],[Uraian aaaaaaaa]])," ",REPT(" ",255)),255)),'Un nOTA'!$D$4:$J$1004,3,FALSE),"")</f>
        <v/>
      </c>
      <c r="AA34" s="32" t="str">
        <f>IFERROR(VLOOKUP(Table1824[[#This Row],[BKK]]&amp;TRIM(RIGHT(SUBSTITUTE(TRIM(Table1824[[#Headers],[Uraian aaaaaaaaa]])," ",REPT(" ",255)),255)),'Un nOTA'!$D$4:$J$1004,3,FALSE),"")</f>
        <v/>
      </c>
      <c r="AB34" s="32" t="str">
        <f>IFERROR(VLOOKUP(Table1824[[#This Row],[BKK]]&amp;TRIM(RIGHT(SUBSTITUTE(TRIM(Table1824[[#Headers],[Uraian aaaaaaaaaa]])," ",REPT(" ",255)),255)),'Un nOTA'!$D$4:$J$1004,3,FALSE),"")</f>
        <v/>
      </c>
      <c r="AC34" s="32" t="str">
        <f>IFERROR(VLOOKUP(Table1824[[#This Row],[BKK]]&amp;TRIM(RIGHT(SUBSTITUTE(TRIM(Table1824[[#Headers],[Uraian aaaaaaaaaaa]])," ",REPT(" ",255)),255)),'Un nOTA'!$D$4:$J$1004,3,FALSE),"")</f>
        <v/>
      </c>
      <c r="AD34" s="32" t="str">
        <f>IFERROR(VLOOKUP(Table1824[[#This Row],[BKK]]&amp;TRIM(RIGHT(SUBSTITUTE(TRIM(Table1824[[#Headers],[Uraian aaaaaaaaaaaa]])," ",REPT(" ",255)),255)),'Un nOTA'!$D$4:$J$1004,3,FALSE),"")</f>
        <v/>
      </c>
      <c r="AE34" s="8" t="str">
        <f>IFERROR(VLOOKUP(Table1824[[#This Row],[BKK]],'Un nOTA'!$D$4:$J$1004,4,FALSE),"")</f>
        <v/>
      </c>
      <c r="AF34" s="8" t="str">
        <f>IFERROR(VLOOKUP(Table1824[[#This Row],[BKK]]&amp;TRIM(RIGHT(SUBSTITUTE(TRIM(Table1824[[#Headers],[Uraian a]])," ",REPT(" ",255)),255)),'Un nOTA'!$D$4:$J$1004,4,FALSE),"")</f>
        <v/>
      </c>
      <c r="AG34" s="8" t="str">
        <f>IFERROR(VLOOKUP(Table1824[[#This Row],[BKK]]&amp;TRIM(RIGHT(SUBSTITUTE(TRIM(Table1824[[#Headers],[Uraian aa]])," ",REPT(" ",255)),255)),'Un nOTA'!$D$4:$J$1004,4,FALSE),"")</f>
        <v/>
      </c>
      <c r="AH34" s="8" t="str">
        <f>IFERROR(VLOOKUP(Table1824[[#This Row],[BKK]]&amp;TRIM(RIGHT(SUBSTITUTE(TRIM(Table1824[[#Headers],[Uraian aaa]])," ",REPT(" ",255)),255)),'Un nOTA'!$D$4:$J$1004,4,FALSE),"")</f>
        <v/>
      </c>
      <c r="AI34" s="8" t="str">
        <f>IFERROR(VLOOKUP(Table1824[[#This Row],[BKK]]&amp;TRIM(RIGHT(SUBSTITUTE(TRIM(Table1824[[#Headers],[Uraian aaaa]])," ",REPT(" ",255)),255)),'Un nOTA'!$D$4:$J$1004,4,FALSE),"")</f>
        <v/>
      </c>
      <c r="AJ34" s="8" t="str">
        <f>IFERROR(VLOOKUP(Table1824[[#This Row],[BKK]]&amp;TRIM(RIGHT(SUBSTITUTE(TRIM(Table1824[[#Headers],[Uraian aaaaa]])," ",REPT(" ",255)),255)),'Un nOTA'!$D$4:$J$1004,4,FALSE),"")</f>
        <v/>
      </c>
      <c r="AK34" s="8" t="str">
        <f>IFERROR(VLOOKUP(Table1824[[#This Row],[BKK]]&amp;TRIM(RIGHT(SUBSTITUTE(TRIM(Table1824[[#Headers],[Uraian aaaaaa]])," ",REPT(" ",255)),255)),'Un nOTA'!$D$4:$J$1004,4,FALSE),"")</f>
        <v/>
      </c>
      <c r="AL34" s="8" t="str">
        <f>IFERROR(VLOOKUP(Table1824[[#This Row],[BKK]]&amp;TRIM(RIGHT(SUBSTITUTE(TRIM(Table1824[[#Headers],[Uraian aaaaaaa]])," ",REPT(" ",255)),255)),'Un nOTA'!$D$4:$J$1004,4,FALSE),"")</f>
        <v/>
      </c>
      <c r="AM34" s="8" t="str">
        <f>IFERROR(VLOOKUP(Table1824[[#This Row],[BKK]]&amp;TRIM(RIGHT(SUBSTITUTE(TRIM(Table1824[[#Headers],[Uraian aaaaaaaa]])," ",REPT(" ",255)),255)),'Un nOTA'!$D$4:$J$1004,4,FALSE),"")</f>
        <v/>
      </c>
      <c r="AN34" s="8" t="str">
        <f>IFERROR(VLOOKUP(Table1824[[#This Row],[BKK]]&amp;TRIM(RIGHT(SUBSTITUTE(TRIM(Table1824[[#Headers],[Uraian aaaaaaaaa]])," ",REPT(" ",255)),255)),'Un nOTA'!$D$4:$J$1004,4,FALSE),"")</f>
        <v/>
      </c>
      <c r="AO34" s="8" t="str">
        <f>IFERROR(VLOOKUP(Table1824[[#This Row],[BKK]]&amp;TRIM(RIGHT(SUBSTITUTE(TRIM(Table1824[[#Headers],[Uraian aaaaaaaaaa]])," ",REPT(" ",255)),255)),'Un nOTA'!$D$4:$J$1004,4,FALSE),"")</f>
        <v/>
      </c>
      <c r="AP34" s="8" t="str">
        <f>IFERROR(VLOOKUP(Table1824[[#This Row],[BKK]]&amp;TRIM(RIGHT(SUBSTITUTE(TRIM(Table1824[[#Headers],[Uraian aaaaaaaaaaa]])," ",REPT(" ",255)),255)),'Un nOTA'!$D$4:$J$1004,4,FALSE),"")</f>
        <v/>
      </c>
      <c r="AQ34" s="8" t="str">
        <f>IFERROR(VLOOKUP(Table1824[[#This Row],[BKK]]&amp;TRIM(RIGHT(SUBSTITUTE(TRIM(Table1824[[#Headers],[Uraian aaaaaaaaaaaa]])," ",REPT(" ",255)),255)),'Un nOTA'!$D$4:$J$1004,4,FALSE),"")</f>
        <v/>
      </c>
      <c r="AR34" s="8" t="str">
        <f>IFERROR((IFERROR(VLOOKUP(Table1824[[#This Row],[BKK]],'Un nOTA'!$D$4:$J$1004,5,FALSE),""))*(10/11),"")</f>
        <v/>
      </c>
      <c r="AS34" s="8" t="str">
        <f>IFERROR((IFERROR(VLOOKUP(Table1824[[#This Row],[BKK]]&amp;TRIM(RIGHT(SUBSTITUTE(TRIM(Table1824[[#Headers],[Uraian a]])," ",REPT(" ",255)),255)),'Un nOTA'!$D$4:$J$1004,5,FALSE),"")*(10/11)),"")</f>
        <v/>
      </c>
      <c r="AT34" s="8" t="str">
        <f>IFERROR((IFERROR(VLOOKUP(Table1824[[#This Row],[BKK]]&amp;TRIM(RIGHT(SUBSTITUTE(TRIM(Table1824[[#Headers],[Uraian aa]])," ",REPT(" ",255)),255)),'Un nOTA'!$D$4:$J$1004,5,FALSE),"")*(10/11)),"")</f>
        <v/>
      </c>
      <c r="AU34" s="8" t="str">
        <f>IFERROR((IFERROR(VLOOKUP(Table1824[[#This Row],[BKK]]&amp;TRIM(RIGHT(SUBSTITUTE(TRIM(Table1824[[#Headers],[Uraian aaa]])," ",REPT(" ",255)),255)),'Un nOTA'!$D$4:$J$1004,5,FALSE),"")*(10/11)),"")</f>
        <v/>
      </c>
      <c r="AV34" s="8" t="str">
        <f>IFERROR((IFERROR(VLOOKUP(Table1824[[#This Row],[BKK]]&amp;TRIM(RIGHT(SUBSTITUTE(TRIM(Table1824[[#Headers],[Uraian aaaa]])," ",REPT(" ",255)),255)),'Un nOTA'!$D$4:$J$1004,5,FALSE),"")*(10/11)),"")</f>
        <v/>
      </c>
      <c r="AW34" s="8" t="str">
        <f>IFERROR((IFERROR(VLOOKUP(Table1824[[#This Row],[BKK]]&amp;TRIM(RIGHT(SUBSTITUTE(TRIM(Table1824[[#Headers],[Uraian aaaaa]])," ",REPT(" ",255)),255)),'Un nOTA'!$D$4:$J$1004,5,FALSE),"")*(10/11)),"")</f>
        <v/>
      </c>
      <c r="AX34" s="8" t="str">
        <f>IFERROR((IFERROR(VLOOKUP(Table1824[[#This Row],[BKK]]&amp;TRIM(RIGHT(SUBSTITUTE(TRIM(Table1824[[#Headers],[Uraian aaaaaa]])," ",REPT(" ",255)),255)),'Un nOTA'!$D$4:$J$1004,5,FALSE),"")*(10/11)),"")</f>
        <v/>
      </c>
      <c r="AY34" s="8" t="str">
        <f>IFERROR((IFERROR(VLOOKUP(Table1824[[#This Row],[BKK]]&amp;TRIM(RIGHT(SUBSTITUTE(TRIM(Table1824[[#Headers],[Uraian aaaaaaa]])," ",REPT(" ",255)),255)),'Un nOTA'!$D$4:$J$1004,5,FALSE),"")*(10/11)),"")</f>
        <v/>
      </c>
      <c r="AZ34" s="8" t="str">
        <f>IFERROR((IFERROR(VLOOKUP(Table1824[[#This Row],[BKK]]&amp;TRIM(RIGHT(SUBSTITUTE(TRIM(Table1824[[#Headers],[Uraian aaaaaaaa]])," ",REPT(" ",255)),255)),'Un nOTA'!$D$4:$J$1004,5,FALSE),"")*(10/11)),"")</f>
        <v/>
      </c>
      <c r="BA34" s="8" t="str">
        <f>IFERROR((IFERROR(VLOOKUP(Table1824[[#This Row],[BKK]]&amp;TRIM(RIGHT(SUBSTITUTE(TRIM(Table1824[[#Headers],[Uraian aaaaaaaaa]])," ",REPT(" ",255)),255)),'Un nOTA'!$D$4:$J$1004,5,FALSE),"")*(10/11)),"")</f>
        <v/>
      </c>
      <c r="BB34" s="8" t="str">
        <f>IFERROR((IFERROR(VLOOKUP(Table1824[[#This Row],[BKK]]&amp;TRIM(RIGHT(SUBSTITUTE(TRIM(Table1824[[#Headers],[Uraian aaaaaaaaaa]])," ",REPT(" ",255)),255)),'Un nOTA'!$D$4:$J$1004,5,FALSE),"")*(10/11)),"")</f>
        <v/>
      </c>
      <c r="BC34" s="8" t="str">
        <f>IFERROR((IFERROR(VLOOKUP(Table1824[[#This Row],[BKK]]&amp;TRIM(RIGHT(SUBSTITUTE(TRIM(Table1824[[#Headers],[Uraian aaaaaaaaaaa]])," ",REPT(" ",255)),255)),'Un nOTA'!$D$4:$J$1004,5,FALSE),"")*(10/11)),"")</f>
        <v/>
      </c>
      <c r="BD34" s="8" t="str">
        <f>IFERROR((IFERROR(VLOOKUP(Table1824[[#This Row],[BKK]]&amp;TRIM(RIGHT(SUBSTITUTE(TRIM(Table1824[[#Headers],[Uraian aaaaaaaaaaaa]])," ",REPT(" ",255)),255)),'Un nOTA'!$D$4:$J$1004,5,FALSE),"")*(10/11)),"")</f>
        <v/>
      </c>
      <c r="BE34" s="23" t="str">
        <f>IFERROR(ROUNDUP((Table1824[[#This Row],[Qty]]*Table1824[[#This Row],[Hrg St]]),0),"")</f>
        <v/>
      </c>
      <c r="BF34" s="8" t="str">
        <f>IFERROR(ROUNDUP((Table1824[[#This Row],[Qty2]]*Table1824[[#This Row],[Hrg St2]]),0),"")</f>
        <v/>
      </c>
      <c r="BG34" s="8" t="str">
        <f>IFERROR(ROUNDUP((Table1824[[#This Row],[Qty3]]*Table1824[[#This Row],[Hrg St3]]),0),"")</f>
        <v/>
      </c>
      <c r="BH34" s="8" t="str">
        <f>IFERROR(ROUNDUP((Table1824[[#This Row],[Qty4]]*Table1824[[#This Row],[Hrg St4]]),0),"")</f>
        <v/>
      </c>
      <c r="BI34" s="8" t="str">
        <f>IFERROR(ROUNDUP((Table1824[[#This Row],[Qty5]]*Table1824[[#This Row],[Hrg St5]]),0),"")</f>
        <v/>
      </c>
      <c r="BJ34" s="8" t="str">
        <f>IFERROR(ROUNDUP((Table1824[[#This Row],[Qty6]]*Table1824[[#This Row],[Hrg St6]]),0),"")</f>
        <v/>
      </c>
      <c r="BK34" s="8" t="str">
        <f>IFERROR(ROUNDUP((Table1824[[#This Row],[Qty7]]*Table1824[[#This Row],[Hrg St7]]),0),"")</f>
        <v/>
      </c>
      <c r="BL34" s="8" t="str">
        <f>IFERROR(ROUNDUP((Table1824[[#This Row],[Qty8]]*Table1824[[#This Row],[Hrg St8]]),0),"")</f>
        <v/>
      </c>
      <c r="BM34" s="8" t="str">
        <f>IFERROR(ROUNDUP((Table1824[[#This Row],[Qty9]]*Table1824[[#This Row],[Hrg St9]]),0),"")</f>
        <v/>
      </c>
      <c r="BN34" s="8" t="str">
        <f>IFERROR(ROUNDUP((Table1824[[#This Row],[Qty10]]*Table1824[[#This Row],[Hrg St10]]),0),"")</f>
        <v/>
      </c>
      <c r="BO34" s="8" t="str">
        <f>IFERROR(ROUNDUP((Table1824[[#This Row],[Qty11]]*Table1824[[#This Row],[Hrg St11]]),0),"")</f>
        <v/>
      </c>
      <c r="BP34" s="8" t="str">
        <f>IFERROR(ROUNDUP((Table1824[[#This Row],[Qty12]]*Table1824[[#This Row],[Hrg St12]]),0),"")</f>
        <v/>
      </c>
      <c r="BQ34" s="8" t="str">
        <f>IFERROR(ROUNDUP((Table1824[[#This Row],[Qty13]]*Table1824[[#This Row],[Hrg St13]]),0),"")</f>
        <v/>
      </c>
      <c r="BR34" s="23" t="str">
        <f>IF(Table1824[[#This Row],[BKK]]&gt;" ",IFERROR(ROUNDUP((SUM(Table1824[[#This Row],[Jml]:[Jml13]])),0)," ")," ")</f>
        <v xml:space="preserve"> </v>
      </c>
      <c r="BS34" s="23" t="str">
        <f>IF(Table1824[[#This Row],[BKK]]&gt;" ",ROUND((Table1824[[#This Row],[Total]]*0.1),0)," ")</f>
        <v xml:space="preserve"> </v>
      </c>
      <c r="BT34" s="23" t="str">
        <f>IF(Table1824[[#This Row],[BKK]]&gt;" ",(Table1824[[#This Row],[Total]]+Table1824[[#This Row],[PPN]])," ")</f>
        <v xml:space="preserve"> </v>
      </c>
      <c r="BU34" t="s">
        <v>454</v>
      </c>
      <c r="BV34" t="str">
        <f>IF(Table1824[[#This Row],[BKK]]&gt;" ",("INV/AK-MLG/2019/"&amp;'BKU 1'!$E$1&amp;"/"&amp;Table1824[[#This Row],[BKK]]&amp;"/"&amp;'BKU 1'!$E$1&amp;ROW())," ")</f>
        <v xml:space="preserve"> </v>
      </c>
      <c r="BW34" t="str">
        <f>IF(Table1824[[#This Row],[BKK]]&gt;" ",(TEXT(VLOOKUP(Table1824[[#This Row],[BKK]],COPY!$O$2:$U$1000,7,FALSE),"dd mmmm yyyy"))," ")</f>
        <v xml:space="preserve"> </v>
      </c>
      <c r="BX34" t="str">
        <f>IF(Table1824[[#This Row],[BKK]]&gt;" ",(TEXT((Table1824[[#This Row],[Tanggal Kirim]]+30),"dd mmmm yyyy"))," ")</f>
        <v xml:space="preserve"> </v>
      </c>
      <c r="BY34" t="str">
        <f>IF(Table1824[[#This Row],[BKK]]&gt;" ",'BKU 1'!$E$17," ")</f>
        <v xml:space="preserve"> </v>
      </c>
    </row>
    <row r="35" spans="1:77" hidden="1" x14ac:dyDescent="0.25">
      <c r="A35" t="str">
        <f>IFERROR((IF('Laporan ppn'!G6822&gt;0,VLOOKUP('Laporan ppn'!G6822,'Laporan ppn'!$E$10:$F$6785,2,FALSE),"")),"")</f>
        <v xml:space="preserve"> </v>
      </c>
      <c r="B35" t="str">
        <f>IF(Table1824[[#This Row],[BKK]]=" "," ",'BKU 1'!$D$25)</f>
        <v xml:space="preserve"> </v>
      </c>
      <c r="C35" t="str">
        <f>IF(Table1824[[#This Row],[BKK]]=" "," ",'BKU 1'!$D$26)</f>
        <v xml:space="preserve"> </v>
      </c>
      <c r="D35" t="str">
        <f>IF(Table1824[[#This Row],[BKK]]=" "," ",'BKU 1'!$I$25)</f>
        <v xml:space="preserve"> </v>
      </c>
      <c r="E35" t="str">
        <f>IFERROR(VLOOKUP(Table1824[[#This Row],[BKK]],'Un nOTA'!$D$4:$J$1004,2,FALSE),"")</f>
        <v/>
      </c>
      <c r="F35" t="str">
        <f>IFERROR(VLOOKUP(Table1824[[#This Row],[BKK]]&amp;TRIM(RIGHT(SUBSTITUTE(TRIM(Table1824[[#Headers],[Uraian a]])," ",REPT(" ",255)),255)),'Un nOTA'!$D$4:$J$1004,2,FALSE),"")</f>
        <v/>
      </c>
      <c r="G35" t="str">
        <f>IFERROR(VLOOKUP(Table1824[[#This Row],[BKK]]&amp;TRIM(RIGHT(SUBSTITUTE(TRIM(Table1824[[#Headers],[Uraian aa]])," ",REPT(" ",255)),255)),'Un nOTA'!$D$4:$J$1004,2,FALSE),"")</f>
        <v/>
      </c>
      <c r="H35" t="str">
        <f>IFERROR(VLOOKUP(Table1824[[#This Row],[BKK]]&amp;TRIM(RIGHT(SUBSTITUTE(TRIM(Table1824[[#Headers],[Uraian aaa]])," ",REPT(" ",255)),255)),'Un nOTA'!$D$4:$J$1004,2,FALSE),"")</f>
        <v/>
      </c>
      <c r="I35" t="str">
        <f>IFERROR(VLOOKUP(Table1824[[#This Row],[BKK]]&amp;TRIM(RIGHT(SUBSTITUTE(TRIM(Table1824[[#Headers],[Uraian aaaa]])," ",REPT(" ",255)),255)),'Un nOTA'!$D$4:$J$1004,2,FALSE),"")</f>
        <v/>
      </c>
      <c r="J35" t="str">
        <f>IFERROR(VLOOKUP(Table1824[[#This Row],[BKK]]&amp;TRIM(RIGHT(SUBSTITUTE(TRIM(Table1824[[#Headers],[Uraian aaaaa]])," ",REPT(" ",255)),255)),'Un nOTA'!$D$4:$J$1004,2,FALSE),"")</f>
        <v/>
      </c>
      <c r="K35" t="str">
        <f>IFERROR(VLOOKUP(Table1824[[#This Row],[BKK]]&amp;TRIM(RIGHT(SUBSTITUTE(TRIM(Table1824[[#Headers],[Uraian aaaaaa]])," ",REPT(" ",255)),255)),'Un nOTA'!$D$4:$J$1004,2,FALSE),"")</f>
        <v/>
      </c>
      <c r="L35" t="str">
        <f>IFERROR(VLOOKUP(Table1824[[#This Row],[BKK]]&amp;TRIM(RIGHT(SUBSTITUTE(TRIM(Table1824[[#Headers],[Uraian aaaaaaa]])," ",REPT(" ",255)),255)),'Un nOTA'!$D$4:$J$1004,2,FALSE),"")</f>
        <v/>
      </c>
      <c r="M35" t="str">
        <f>IFERROR(VLOOKUP(Table1824[[#This Row],[BKK]]&amp;TRIM(RIGHT(SUBSTITUTE(TRIM(Table1824[[#Headers],[Uraian aaaaaaaa]])," ",REPT(" ",255)),255)),'Un nOTA'!$D$4:$J$1004,2,FALSE),"")</f>
        <v/>
      </c>
      <c r="N35" t="str">
        <f>IFERROR(VLOOKUP(Table1824[[#This Row],[BKK]]&amp;TRIM(RIGHT(SUBSTITUTE(TRIM(Table1824[[#Headers],[Uraian aaaaaaaaa]])," ",REPT(" ",255)),255)),'Un nOTA'!$D$4:$J$1004,2,FALSE),"")</f>
        <v/>
      </c>
      <c r="O35" t="str">
        <f>IFERROR(VLOOKUP(Table1824[[#This Row],[BKK]]&amp;TRIM(RIGHT(SUBSTITUTE(TRIM(Table1824[[#Headers],[Uraian aaaaaaaaaa]])," ",REPT(" ",255)),255)),'Un nOTA'!$D$4:$J$1004,2,FALSE),"")</f>
        <v/>
      </c>
      <c r="P35" t="str">
        <f>IFERROR(VLOOKUP(Table1824[[#This Row],[BKK]]&amp;TRIM(RIGHT(SUBSTITUTE(TRIM(Table1824[[#Headers],[Uraian aaaaaaaaaaa]])," ",REPT(" ",255)),255)),'Un nOTA'!$D$4:$J$1004,2,FALSE),"")</f>
        <v/>
      </c>
      <c r="Q35" t="str">
        <f>IFERROR(VLOOKUP(Table1824[[#This Row],[BKK]]&amp;TRIM(RIGHT(SUBSTITUTE(TRIM(Table1824[[#Headers],[Uraian aaaaaaaaaaaa]])," ",REPT(" ",255)),255)),'Un nOTA'!$D$4:$J$1004,2,FALSE),"")</f>
        <v/>
      </c>
      <c r="R35" s="32" t="str">
        <f>IFERROR(VLOOKUP(Table1824[[#This Row],[BKK]],'Un nOTA'!$D$4:$J$1004,3,FALSE),"")</f>
        <v/>
      </c>
      <c r="S35" s="32" t="str">
        <f>IFERROR(VLOOKUP(Table1824[[#This Row],[BKK]]&amp;TRIM(RIGHT(SUBSTITUTE(TRIM(Table1824[[#Headers],[Uraian a]])," ",REPT(" ",255)),255)),'Un nOTA'!$D$4:$J$1004,3,FALSE),"")</f>
        <v/>
      </c>
      <c r="T35" s="32" t="str">
        <f>IFERROR(VLOOKUP(Table1824[[#This Row],[BKK]]&amp;TRIM(RIGHT(SUBSTITUTE(TRIM(Table1824[[#Headers],[Uraian aa]])," ",REPT(" ",255)),255)),'Un nOTA'!$D$4:$J$1004,3,FALSE),"")</f>
        <v/>
      </c>
      <c r="U35" s="32" t="str">
        <f>IFERROR(VLOOKUP(Table1824[[#This Row],[BKK]]&amp;TRIM(RIGHT(SUBSTITUTE(TRIM(Table1824[[#Headers],[Uraian aaa]])," ",REPT(" ",255)),255)),'Un nOTA'!$D$4:$J$1004,3,FALSE),"")</f>
        <v/>
      </c>
      <c r="V35" s="32" t="str">
        <f>IFERROR(VLOOKUP(Table1824[[#This Row],[BKK]]&amp;TRIM(RIGHT(SUBSTITUTE(TRIM(Table1824[[#Headers],[Uraian aaaa]])," ",REPT(" ",255)),255)),'Un nOTA'!$D$4:$J$1004,3,FALSE),"")</f>
        <v/>
      </c>
      <c r="W35" s="32" t="str">
        <f>IFERROR(VLOOKUP(Table1824[[#This Row],[BKK]]&amp;TRIM(RIGHT(SUBSTITUTE(TRIM(Table1824[[#Headers],[Uraian aaaaa]])," ",REPT(" ",255)),255)),'Un nOTA'!$D$4:$J$1004,3,FALSE),"")</f>
        <v/>
      </c>
      <c r="X35" s="32" t="str">
        <f>IFERROR(VLOOKUP(Table1824[[#This Row],[BKK]]&amp;TRIM(RIGHT(SUBSTITUTE(TRIM(Table1824[[#Headers],[Uraian aaaaaa]])," ",REPT(" ",255)),255)),'Un nOTA'!$D$4:$J$1004,3,FALSE),"")</f>
        <v/>
      </c>
      <c r="Y35" s="32" t="str">
        <f>IFERROR(VLOOKUP(Table1824[[#This Row],[BKK]]&amp;TRIM(RIGHT(SUBSTITUTE(TRIM(Table1824[[#Headers],[Uraian aaaaaaa]])," ",REPT(" ",255)),255)),'Un nOTA'!$D$4:$J$1004,3,FALSE),"")</f>
        <v/>
      </c>
      <c r="Z35" s="32" t="str">
        <f>IFERROR(VLOOKUP(Table1824[[#This Row],[BKK]]&amp;TRIM(RIGHT(SUBSTITUTE(TRIM(Table1824[[#Headers],[Uraian aaaaaaaa]])," ",REPT(" ",255)),255)),'Un nOTA'!$D$4:$J$1004,3,FALSE),"")</f>
        <v/>
      </c>
      <c r="AA35" s="32" t="str">
        <f>IFERROR(VLOOKUP(Table1824[[#This Row],[BKK]]&amp;TRIM(RIGHT(SUBSTITUTE(TRIM(Table1824[[#Headers],[Uraian aaaaaaaaa]])," ",REPT(" ",255)),255)),'Un nOTA'!$D$4:$J$1004,3,FALSE),"")</f>
        <v/>
      </c>
      <c r="AB35" s="32" t="str">
        <f>IFERROR(VLOOKUP(Table1824[[#This Row],[BKK]]&amp;TRIM(RIGHT(SUBSTITUTE(TRIM(Table1824[[#Headers],[Uraian aaaaaaaaaa]])," ",REPT(" ",255)),255)),'Un nOTA'!$D$4:$J$1004,3,FALSE),"")</f>
        <v/>
      </c>
      <c r="AC35" s="32" t="str">
        <f>IFERROR(VLOOKUP(Table1824[[#This Row],[BKK]]&amp;TRIM(RIGHT(SUBSTITUTE(TRIM(Table1824[[#Headers],[Uraian aaaaaaaaaaa]])," ",REPT(" ",255)),255)),'Un nOTA'!$D$4:$J$1004,3,FALSE),"")</f>
        <v/>
      </c>
      <c r="AD35" s="32" t="str">
        <f>IFERROR(VLOOKUP(Table1824[[#This Row],[BKK]]&amp;TRIM(RIGHT(SUBSTITUTE(TRIM(Table1824[[#Headers],[Uraian aaaaaaaaaaaa]])," ",REPT(" ",255)),255)),'Un nOTA'!$D$4:$J$1004,3,FALSE),"")</f>
        <v/>
      </c>
      <c r="AE35" s="8" t="str">
        <f>IFERROR(VLOOKUP(Table1824[[#This Row],[BKK]],'Un nOTA'!$D$4:$J$1004,4,FALSE),"")</f>
        <v/>
      </c>
      <c r="AF35" s="8" t="str">
        <f>IFERROR(VLOOKUP(Table1824[[#This Row],[BKK]]&amp;TRIM(RIGHT(SUBSTITUTE(TRIM(Table1824[[#Headers],[Uraian a]])," ",REPT(" ",255)),255)),'Un nOTA'!$D$4:$J$1004,4,FALSE),"")</f>
        <v/>
      </c>
      <c r="AG35" s="8" t="str">
        <f>IFERROR(VLOOKUP(Table1824[[#This Row],[BKK]]&amp;TRIM(RIGHT(SUBSTITUTE(TRIM(Table1824[[#Headers],[Uraian aa]])," ",REPT(" ",255)),255)),'Un nOTA'!$D$4:$J$1004,4,FALSE),"")</f>
        <v/>
      </c>
      <c r="AH35" s="8" t="str">
        <f>IFERROR(VLOOKUP(Table1824[[#This Row],[BKK]]&amp;TRIM(RIGHT(SUBSTITUTE(TRIM(Table1824[[#Headers],[Uraian aaa]])," ",REPT(" ",255)),255)),'Un nOTA'!$D$4:$J$1004,4,FALSE),"")</f>
        <v/>
      </c>
      <c r="AI35" s="8" t="str">
        <f>IFERROR(VLOOKUP(Table1824[[#This Row],[BKK]]&amp;TRIM(RIGHT(SUBSTITUTE(TRIM(Table1824[[#Headers],[Uraian aaaa]])," ",REPT(" ",255)),255)),'Un nOTA'!$D$4:$J$1004,4,FALSE),"")</f>
        <v/>
      </c>
      <c r="AJ35" s="8" t="str">
        <f>IFERROR(VLOOKUP(Table1824[[#This Row],[BKK]]&amp;TRIM(RIGHT(SUBSTITUTE(TRIM(Table1824[[#Headers],[Uraian aaaaa]])," ",REPT(" ",255)),255)),'Un nOTA'!$D$4:$J$1004,4,FALSE),"")</f>
        <v/>
      </c>
      <c r="AK35" s="8" t="str">
        <f>IFERROR(VLOOKUP(Table1824[[#This Row],[BKK]]&amp;TRIM(RIGHT(SUBSTITUTE(TRIM(Table1824[[#Headers],[Uraian aaaaaa]])," ",REPT(" ",255)),255)),'Un nOTA'!$D$4:$J$1004,4,FALSE),"")</f>
        <v/>
      </c>
      <c r="AL35" s="8" t="str">
        <f>IFERROR(VLOOKUP(Table1824[[#This Row],[BKK]]&amp;TRIM(RIGHT(SUBSTITUTE(TRIM(Table1824[[#Headers],[Uraian aaaaaaa]])," ",REPT(" ",255)),255)),'Un nOTA'!$D$4:$J$1004,4,FALSE),"")</f>
        <v/>
      </c>
      <c r="AM35" s="8" t="str">
        <f>IFERROR(VLOOKUP(Table1824[[#This Row],[BKK]]&amp;TRIM(RIGHT(SUBSTITUTE(TRIM(Table1824[[#Headers],[Uraian aaaaaaaa]])," ",REPT(" ",255)),255)),'Un nOTA'!$D$4:$J$1004,4,FALSE),"")</f>
        <v/>
      </c>
      <c r="AN35" s="8" t="str">
        <f>IFERROR(VLOOKUP(Table1824[[#This Row],[BKK]]&amp;TRIM(RIGHT(SUBSTITUTE(TRIM(Table1824[[#Headers],[Uraian aaaaaaaaa]])," ",REPT(" ",255)),255)),'Un nOTA'!$D$4:$J$1004,4,FALSE),"")</f>
        <v/>
      </c>
      <c r="AO35" s="8" t="str">
        <f>IFERROR(VLOOKUP(Table1824[[#This Row],[BKK]]&amp;TRIM(RIGHT(SUBSTITUTE(TRIM(Table1824[[#Headers],[Uraian aaaaaaaaaa]])," ",REPT(" ",255)),255)),'Un nOTA'!$D$4:$J$1004,4,FALSE),"")</f>
        <v/>
      </c>
      <c r="AP35" s="8" t="str">
        <f>IFERROR(VLOOKUP(Table1824[[#This Row],[BKK]]&amp;TRIM(RIGHT(SUBSTITUTE(TRIM(Table1824[[#Headers],[Uraian aaaaaaaaaaa]])," ",REPT(" ",255)),255)),'Un nOTA'!$D$4:$J$1004,4,FALSE),"")</f>
        <v/>
      </c>
      <c r="AQ35" s="8" t="str">
        <f>IFERROR(VLOOKUP(Table1824[[#This Row],[BKK]]&amp;TRIM(RIGHT(SUBSTITUTE(TRIM(Table1824[[#Headers],[Uraian aaaaaaaaaaaa]])," ",REPT(" ",255)),255)),'Un nOTA'!$D$4:$J$1004,4,FALSE),"")</f>
        <v/>
      </c>
      <c r="AR35" s="8" t="str">
        <f>IFERROR((IFERROR(VLOOKUP(Table1824[[#This Row],[BKK]],'Un nOTA'!$D$4:$J$1004,5,FALSE),""))*(10/11),"")</f>
        <v/>
      </c>
      <c r="AS35" s="8" t="str">
        <f>IFERROR((IFERROR(VLOOKUP(Table1824[[#This Row],[BKK]]&amp;TRIM(RIGHT(SUBSTITUTE(TRIM(Table1824[[#Headers],[Uraian a]])," ",REPT(" ",255)),255)),'Un nOTA'!$D$4:$J$1004,5,FALSE),"")*(10/11)),"")</f>
        <v/>
      </c>
      <c r="AT35" s="8" t="str">
        <f>IFERROR((IFERROR(VLOOKUP(Table1824[[#This Row],[BKK]]&amp;TRIM(RIGHT(SUBSTITUTE(TRIM(Table1824[[#Headers],[Uraian aa]])," ",REPT(" ",255)),255)),'Un nOTA'!$D$4:$J$1004,5,FALSE),"")*(10/11)),"")</f>
        <v/>
      </c>
      <c r="AU35" s="8" t="str">
        <f>IFERROR((IFERROR(VLOOKUP(Table1824[[#This Row],[BKK]]&amp;TRIM(RIGHT(SUBSTITUTE(TRIM(Table1824[[#Headers],[Uraian aaa]])," ",REPT(" ",255)),255)),'Un nOTA'!$D$4:$J$1004,5,FALSE),"")*(10/11)),"")</f>
        <v/>
      </c>
      <c r="AV35" s="8" t="str">
        <f>IFERROR((IFERROR(VLOOKUP(Table1824[[#This Row],[BKK]]&amp;TRIM(RIGHT(SUBSTITUTE(TRIM(Table1824[[#Headers],[Uraian aaaa]])," ",REPT(" ",255)),255)),'Un nOTA'!$D$4:$J$1004,5,FALSE),"")*(10/11)),"")</f>
        <v/>
      </c>
      <c r="AW35" s="8" t="str">
        <f>IFERROR((IFERROR(VLOOKUP(Table1824[[#This Row],[BKK]]&amp;TRIM(RIGHT(SUBSTITUTE(TRIM(Table1824[[#Headers],[Uraian aaaaa]])," ",REPT(" ",255)),255)),'Un nOTA'!$D$4:$J$1004,5,FALSE),"")*(10/11)),"")</f>
        <v/>
      </c>
      <c r="AX35" s="8" t="str">
        <f>IFERROR((IFERROR(VLOOKUP(Table1824[[#This Row],[BKK]]&amp;TRIM(RIGHT(SUBSTITUTE(TRIM(Table1824[[#Headers],[Uraian aaaaaa]])," ",REPT(" ",255)),255)),'Un nOTA'!$D$4:$J$1004,5,FALSE),"")*(10/11)),"")</f>
        <v/>
      </c>
      <c r="AY35" s="8" t="str">
        <f>IFERROR((IFERROR(VLOOKUP(Table1824[[#This Row],[BKK]]&amp;TRIM(RIGHT(SUBSTITUTE(TRIM(Table1824[[#Headers],[Uraian aaaaaaa]])," ",REPT(" ",255)),255)),'Un nOTA'!$D$4:$J$1004,5,FALSE),"")*(10/11)),"")</f>
        <v/>
      </c>
      <c r="AZ35" s="8" t="str">
        <f>IFERROR((IFERROR(VLOOKUP(Table1824[[#This Row],[BKK]]&amp;TRIM(RIGHT(SUBSTITUTE(TRIM(Table1824[[#Headers],[Uraian aaaaaaaa]])," ",REPT(" ",255)),255)),'Un nOTA'!$D$4:$J$1004,5,FALSE),"")*(10/11)),"")</f>
        <v/>
      </c>
      <c r="BA35" s="8" t="str">
        <f>IFERROR((IFERROR(VLOOKUP(Table1824[[#This Row],[BKK]]&amp;TRIM(RIGHT(SUBSTITUTE(TRIM(Table1824[[#Headers],[Uraian aaaaaaaaa]])," ",REPT(" ",255)),255)),'Un nOTA'!$D$4:$J$1004,5,FALSE),"")*(10/11)),"")</f>
        <v/>
      </c>
      <c r="BB35" s="8" t="str">
        <f>IFERROR((IFERROR(VLOOKUP(Table1824[[#This Row],[BKK]]&amp;TRIM(RIGHT(SUBSTITUTE(TRIM(Table1824[[#Headers],[Uraian aaaaaaaaaa]])," ",REPT(" ",255)),255)),'Un nOTA'!$D$4:$J$1004,5,FALSE),"")*(10/11)),"")</f>
        <v/>
      </c>
      <c r="BC35" s="8" t="str">
        <f>IFERROR((IFERROR(VLOOKUP(Table1824[[#This Row],[BKK]]&amp;TRIM(RIGHT(SUBSTITUTE(TRIM(Table1824[[#Headers],[Uraian aaaaaaaaaaa]])," ",REPT(" ",255)),255)),'Un nOTA'!$D$4:$J$1004,5,FALSE),"")*(10/11)),"")</f>
        <v/>
      </c>
      <c r="BD35" s="8" t="str">
        <f>IFERROR((IFERROR(VLOOKUP(Table1824[[#This Row],[BKK]]&amp;TRIM(RIGHT(SUBSTITUTE(TRIM(Table1824[[#Headers],[Uraian aaaaaaaaaaaa]])," ",REPT(" ",255)),255)),'Un nOTA'!$D$4:$J$1004,5,FALSE),"")*(10/11)),"")</f>
        <v/>
      </c>
      <c r="BE35" s="23" t="str">
        <f>IFERROR(ROUNDUP((Table1824[[#This Row],[Qty]]*Table1824[[#This Row],[Hrg St]]),0),"")</f>
        <v/>
      </c>
      <c r="BF35" s="8" t="str">
        <f>IFERROR(ROUNDUP((Table1824[[#This Row],[Qty2]]*Table1824[[#This Row],[Hrg St2]]),0),"")</f>
        <v/>
      </c>
      <c r="BG35" s="8" t="str">
        <f>IFERROR(ROUNDUP((Table1824[[#This Row],[Qty3]]*Table1824[[#This Row],[Hrg St3]]),0),"")</f>
        <v/>
      </c>
      <c r="BH35" s="8" t="str">
        <f>IFERROR(ROUNDUP((Table1824[[#This Row],[Qty4]]*Table1824[[#This Row],[Hrg St4]]),0),"")</f>
        <v/>
      </c>
      <c r="BI35" s="8" t="str">
        <f>IFERROR(ROUNDUP((Table1824[[#This Row],[Qty5]]*Table1824[[#This Row],[Hrg St5]]),0),"")</f>
        <v/>
      </c>
      <c r="BJ35" s="8" t="str">
        <f>IFERROR(ROUNDUP((Table1824[[#This Row],[Qty6]]*Table1824[[#This Row],[Hrg St6]]),0),"")</f>
        <v/>
      </c>
      <c r="BK35" s="8" t="str">
        <f>IFERROR(ROUNDUP((Table1824[[#This Row],[Qty7]]*Table1824[[#This Row],[Hrg St7]]),0),"")</f>
        <v/>
      </c>
      <c r="BL35" s="8" t="str">
        <f>IFERROR(ROUNDUP((Table1824[[#This Row],[Qty8]]*Table1824[[#This Row],[Hrg St8]]),0),"")</f>
        <v/>
      </c>
      <c r="BM35" s="8" t="str">
        <f>IFERROR(ROUNDUP((Table1824[[#This Row],[Qty9]]*Table1824[[#This Row],[Hrg St9]]),0),"")</f>
        <v/>
      </c>
      <c r="BN35" s="8" t="str">
        <f>IFERROR(ROUNDUP((Table1824[[#This Row],[Qty10]]*Table1824[[#This Row],[Hrg St10]]),0),"")</f>
        <v/>
      </c>
      <c r="BO35" s="8" t="str">
        <f>IFERROR(ROUNDUP((Table1824[[#This Row],[Qty11]]*Table1824[[#This Row],[Hrg St11]]),0),"")</f>
        <v/>
      </c>
      <c r="BP35" s="8" t="str">
        <f>IFERROR(ROUNDUP((Table1824[[#This Row],[Qty12]]*Table1824[[#This Row],[Hrg St12]]),0),"")</f>
        <v/>
      </c>
      <c r="BQ35" s="8" t="str">
        <f>IFERROR(ROUNDUP((Table1824[[#This Row],[Qty13]]*Table1824[[#This Row],[Hrg St13]]),0),"")</f>
        <v/>
      </c>
      <c r="BR35" s="23" t="str">
        <f>IF(Table1824[[#This Row],[BKK]]&gt;" ",IFERROR(ROUNDUP((SUM(Table1824[[#This Row],[Jml]:[Jml13]])),0)," ")," ")</f>
        <v xml:space="preserve"> </v>
      </c>
      <c r="BS35" s="23" t="str">
        <f>IF(Table1824[[#This Row],[BKK]]&gt;" ",ROUND((Table1824[[#This Row],[Total]]*0.1),0)," ")</f>
        <v xml:space="preserve"> </v>
      </c>
      <c r="BT35" s="23" t="str">
        <f>IF(Table1824[[#This Row],[BKK]]&gt;" ",(Table1824[[#This Row],[Total]]+Table1824[[#This Row],[PPN]])," ")</f>
        <v xml:space="preserve"> </v>
      </c>
      <c r="BU35" t="s">
        <v>454</v>
      </c>
      <c r="BV35" t="str">
        <f>IF(Table1824[[#This Row],[BKK]]&gt;" ",("INV/AK-MLG/2019/"&amp;'BKU 1'!$E$1&amp;"/"&amp;Table1824[[#This Row],[BKK]]&amp;"/"&amp;'BKU 1'!$E$1&amp;ROW())," ")</f>
        <v xml:space="preserve"> </v>
      </c>
      <c r="BW35" t="str">
        <f>IF(Table1824[[#This Row],[BKK]]&gt;" ",(TEXT(VLOOKUP(Table1824[[#This Row],[BKK]],COPY!$O$2:$U$1000,7,FALSE),"dd mmmm yyyy"))," ")</f>
        <v xml:space="preserve"> </v>
      </c>
      <c r="BX35" t="str">
        <f>IF(Table1824[[#This Row],[BKK]]&gt;" ",(TEXT((Table1824[[#This Row],[Tanggal Kirim]]+30),"dd mmmm yyyy"))," ")</f>
        <v xml:space="preserve"> </v>
      </c>
      <c r="BY35" t="str">
        <f>IF(Table1824[[#This Row],[BKK]]&gt;" ",'BKU 1'!$E$17," ")</f>
        <v xml:space="preserve"> </v>
      </c>
    </row>
    <row r="36" spans="1:77" hidden="1" x14ac:dyDescent="0.25">
      <c r="A36" t="str">
        <f>IFERROR((IF('Laporan ppn'!G6823&gt;0,VLOOKUP('Laporan ppn'!G6823,'Laporan ppn'!$E$10:$F$6785,2,FALSE),"")),"")</f>
        <v xml:space="preserve"> </v>
      </c>
      <c r="B36" t="str">
        <f>IF(Table1824[[#This Row],[BKK]]=" "," ",'BKU 1'!$D$25)</f>
        <v xml:space="preserve"> </v>
      </c>
      <c r="C36" t="str">
        <f>IF(Table1824[[#This Row],[BKK]]=" "," ",'BKU 1'!$D$26)</f>
        <v xml:space="preserve"> </v>
      </c>
      <c r="D36" t="str">
        <f>IF(Table1824[[#This Row],[BKK]]=" "," ",'BKU 1'!$I$25)</f>
        <v xml:space="preserve"> </v>
      </c>
      <c r="E36" t="str">
        <f>IFERROR(VLOOKUP(Table1824[[#This Row],[BKK]],'Un nOTA'!$D$4:$J$1004,2,FALSE),"")</f>
        <v/>
      </c>
      <c r="F36" t="str">
        <f>IFERROR(VLOOKUP(Table1824[[#This Row],[BKK]]&amp;TRIM(RIGHT(SUBSTITUTE(TRIM(Table1824[[#Headers],[Uraian a]])," ",REPT(" ",255)),255)),'Un nOTA'!$D$4:$J$1004,2,FALSE),"")</f>
        <v/>
      </c>
      <c r="G36" t="str">
        <f>IFERROR(VLOOKUP(Table1824[[#This Row],[BKK]]&amp;TRIM(RIGHT(SUBSTITUTE(TRIM(Table1824[[#Headers],[Uraian aa]])," ",REPT(" ",255)),255)),'Un nOTA'!$D$4:$J$1004,2,FALSE),"")</f>
        <v/>
      </c>
      <c r="H36" t="str">
        <f>IFERROR(VLOOKUP(Table1824[[#This Row],[BKK]]&amp;TRIM(RIGHT(SUBSTITUTE(TRIM(Table1824[[#Headers],[Uraian aaa]])," ",REPT(" ",255)),255)),'Un nOTA'!$D$4:$J$1004,2,FALSE),"")</f>
        <v/>
      </c>
      <c r="I36" t="str">
        <f>IFERROR(VLOOKUP(Table1824[[#This Row],[BKK]]&amp;TRIM(RIGHT(SUBSTITUTE(TRIM(Table1824[[#Headers],[Uraian aaaa]])," ",REPT(" ",255)),255)),'Un nOTA'!$D$4:$J$1004,2,FALSE),"")</f>
        <v/>
      </c>
      <c r="J36" t="str">
        <f>IFERROR(VLOOKUP(Table1824[[#This Row],[BKK]]&amp;TRIM(RIGHT(SUBSTITUTE(TRIM(Table1824[[#Headers],[Uraian aaaaa]])," ",REPT(" ",255)),255)),'Un nOTA'!$D$4:$J$1004,2,FALSE),"")</f>
        <v/>
      </c>
      <c r="K36" t="str">
        <f>IFERROR(VLOOKUP(Table1824[[#This Row],[BKK]]&amp;TRIM(RIGHT(SUBSTITUTE(TRIM(Table1824[[#Headers],[Uraian aaaaaa]])," ",REPT(" ",255)),255)),'Un nOTA'!$D$4:$J$1004,2,FALSE),"")</f>
        <v/>
      </c>
      <c r="L36" t="str">
        <f>IFERROR(VLOOKUP(Table1824[[#This Row],[BKK]]&amp;TRIM(RIGHT(SUBSTITUTE(TRIM(Table1824[[#Headers],[Uraian aaaaaaa]])," ",REPT(" ",255)),255)),'Un nOTA'!$D$4:$J$1004,2,FALSE),"")</f>
        <v/>
      </c>
      <c r="M36" t="str">
        <f>IFERROR(VLOOKUP(Table1824[[#This Row],[BKK]]&amp;TRIM(RIGHT(SUBSTITUTE(TRIM(Table1824[[#Headers],[Uraian aaaaaaaa]])," ",REPT(" ",255)),255)),'Un nOTA'!$D$4:$J$1004,2,FALSE),"")</f>
        <v/>
      </c>
      <c r="N36" t="str">
        <f>IFERROR(VLOOKUP(Table1824[[#This Row],[BKK]]&amp;TRIM(RIGHT(SUBSTITUTE(TRIM(Table1824[[#Headers],[Uraian aaaaaaaaa]])," ",REPT(" ",255)),255)),'Un nOTA'!$D$4:$J$1004,2,FALSE),"")</f>
        <v/>
      </c>
      <c r="O36" t="str">
        <f>IFERROR(VLOOKUP(Table1824[[#This Row],[BKK]]&amp;TRIM(RIGHT(SUBSTITUTE(TRIM(Table1824[[#Headers],[Uraian aaaaaaaaaa]])," ",REPT(" ",255)),255)),'Un nOTA'!$D$4:$J$1004,2,FALSE),"")</f>
        <v/>
      </c>
      <c r="P36" t="str">
        <f>IFERROR(VLOOKUP(Table1824[[#This Row],[BKK]]&amp;TRIM(RIGHT(SUBSTITUTE(TRIM(Table1824[[#Headers],[Uraian aaaaaaaaaaa]])," ",REPT(" ",255)),255)),'Un nOTA'!$D$4:$J$1004,2,FALSE),"")</f>
        <v/>
      </c>
      <c r="Q36" t="str">
        <f>IFERROR(VLOOKUP(Table1824[[#This Row],[BKK]]&amp;TRIM(RIGHT(SUBSTITUTE(TRIM(Table1824[[#Headers],[Uraian aaaaaaaaaaaa]])," ",REPT(" ",255)),255)),'Un nOTA'!$D$4:$J$1004,2,FALSE),"")</f>
        <v/>
      </c>
      <c r="R36" s="32" t="str">
        <f>IFERROR(VLOOKUP(Table1824[[#This Row],[BKK]],'Un nOTA'!$D$4:$J$1004,3,FALSE),"")</f>
        <v/>
      </c>
      <c r="S36" s="32" t="str">
        <f>IFERROR(VLOOKUP(Table1824[[#This Row],[BKK]]&amp;TRIM(RIGHT(SUBSTITUTE(TRIM(Table1824[[#Headers],[Uraian a]])," ",REPT(" ",255)),255)),'Un nOTA'!$D$4:$J$1004,3,FALSE),"")</f>
        <v/>
      </c>
      <c r="T36" s="32" t="str">
        <f>IFERROR(VLOOKUP(Table1824[[#This Row],[BKK]]&amp;TRIM(RIGHT(SUBSTITUTE(TRIM(Table1824[[#Headers],[Uraian aa]])," ",REPT(" ",255)),255)),'Un nOTA'!$D$4:$J$1004,3,FALSE),"")</f>
        <v/>
      </c>
      <c r="U36" s="32" t="str">
        <f>IFERROR(VLOOKUP(Table1824[[#This Row],[BKK]]&amp;TRIM(RIGHT(SUBSTITUTE(TRIM(Table1824[[#Headers],[Uraian aaa]])," ",REPT(" ",255)),255)),'Un nOTA'!$D$4:$J$1004,3,FALSE),"")</f>
        <v/>
      </c>
      <c r="V36" s="32" t="str">
        <f>IFERROR(VLOOKUP(Table1824[[#This Row],[BKK]]&amp;TRIM(RIGHT(SUBSTITUTE(TRIM(Table1824[[#Headers],[Uraian aaaa]])," ",REPT(" ",255)),255)),'Un nOTA'!$D$4:$J$1004,3,FALSE),"")</f>
        <v/>
      </c>
      <c r="W36" s="32" t="str">
        <f>IFERROR(VLOOKUP(Table1824[[#This Row],[BKK]]&amp;TRIM(RIGHT(SUBSTITUTE(TRIM(Table1824[[#Headers],[Uraian aaaaa]])," ",REPT(" ",255)),255)),'Un nOTA'!$D$4:$J$1004,3,FALSE),"")</f>
        <v/>
      </c>
      <c r="X36" s="32" t="str">
        <f>IFERROR(VLOOKUP(Table1824[[#This Row],[BKK]]&amp;TRIM(RIGHT(SUBSTITUTE(TRIM(Table1824[[#Headers],[Uraian aaaaaa]])," ",REPT(" ",255)),255)),'Un nOTA'!$D$4:$J$1004,3,FALSE),"")</f>
        <v/>
      </c>
      <c r="Y36" s="32" t="str">
        <f>IFERROR(VLOOKUP(Table1824[[#This Row],[BKK]]&amp;TRIM(RIGHT(SUBSTITUTE(TRIM(Table1824[[#Headers],[Uraian aaaaaaa]])," ",REPT(" ",255)),255)),'Un nOTA'!$D$4:$J$1004,3,FALSE),"")</f>
        <v/>
      </c>
      <c r="Z36" s="32" t="str">
        <f>IFERROR(VLOOKUP(Table1824[[#This Row],[BKK]]&amp;TRIM(RIGHT(SUBSTITUTE(TRIM(Table1824[[#Headers],[Uraian aaaaaaaa]])," ",REPT(" ",255)),255)),'Un nOTA'!$D$4:$J$1004,3,FALSE),"")</f>
        <v/>
      </c>
      <c r="AA36" s="32" t="str">
        <f>IFERROR(VLOOKUP(Table1824[[#This Row],[BKK]]&amp;TRIM(RIGHT(SUBSTITUTE(TRIM(Table1824[[#Headers],[Uraian aaaaaaaaa]])," ",REPT(" ",255)),255)),'Un nOTA'!$D$4:$J$1004,3,FALSE),"")</f>
        <v/>
      </c>
      <c r="AB36" s="32" t="str">
        <f>IFERROR(VLOOKUP(Table1824[[#This Row],[BKK]]&amp;TRIM(RIGHT(SUBSTITUTE(TRIM(Table1824[[#Headers],[Uraian aaaaaaaaaa]])," ",REPT(" ",255)),255)),'Un nOTA'!$D$4:$J$1004,3,FALSE),"")</f>
        <v/>
      </c>
      <c r="AC36" s="32" t="str">
        <f>IFERROR(VLOOKUP(Table1824[[#This Row],[BKK]]&amp;TRIM(RIGHT(SUBSTITUTE(TRIM(Table1824[[#Headers],[Uraian aaaaaaaaaaa]])," ",REPT(" ",255)),255)),'Un nOTA'!$D$4:$J$1004,3,FALSE),"")</f>
        <v/>
      </c>
      <c r="AD36" s="32" t="str">
        <f>IFERROR(VLOOKUP(Table1824[[#This Row],[BKK]]&amp;TRIM(RIGHT(SUBSTITUTE(TRIM(Table1824[[#Headers],[Uraian aaaaaaaaaaaa]])," ",REPT(" ",255)),255)),'Un nOTA'!$D$4:$J$1004,3,FALSE),"")</f>
        <v/>
      </c>
      <c r="AE36" s="8" t="str">
        <f>IFERROR(VLOOKUP(Table1824[[#This Row],[BKK]],'Un nOTA'!$D$4:$J$1004,4,FALSE),"")</f>
        <v/>
      </c>
      <c r="AF36" s="8" t="str">
        <f>IFERROR(VLOOKUP(Table1824[[#This Row],[BKK]]&amp;TRIM(RIGHT(SUBSTITUTE(TRIM(Table1824[[#Headers],[Uraian a]])," ",REPT(" ",255)),255)),'Un nOTA'!$D$4:$J$1004,4,FALSE),"")</f>
        <v/>
      </c>
      <c r="AG36" s="8" t="str">
        <f>IFERROR(VLOOKUP(Table1824[[#This Row],[BKK]]&amp;TRIM(RIGHT(SUBSTITUTE(TRIM(Table1824[[#Headers],[Uraian aa]])," ",REPT(" ",255)),255)),'Un nOTA'!$D$4:$J$1004,4,FALSE),"")</f>
        <v/>
      </c>
      <c r="AH36" s="8" t="str">
        <f>IFERROR(VLOOKUP(Table1824[[#This Row],[BKK]]&amp;TRIM(RIGHT(SUBSTITUTE(TRIM(Table1824[[#Headers],[Uraian aaa]])," ",REPT(" ",255)),255)),'Un nOTA'!$D$4:$J$1004,4,FALSE),"")</f>
        <v/>
      </c>
      <c r="AI36" s="8" t="str">
        <f>IFERROR(VLOOKUP(Table1824[[#This Row],[BKK]]&amp;TRIM(RIGHT(SUBSTITUTE(TRIM(Table1824[[#Headers],[Uraian aaaa]])," ",REPT(" ",255)),255)),'Un nOTA'!$D$4:$J$1004,4,FALSE),"")</f>
        <v/>
      </c>
      <c r="AJ36" s="8" t="str">
        <f>IFERROR(VLOOKUP(Table1824[[#This Row],[BKK]]&amp;TRIM(RIGHT(SUBSTITUTE(TRIM(Table1824[[#Headers],[Uraian aaaaa]])," ",REPT(" ",255)),255)),'Un nOTA'!$D$4:$J$1004,4,FALSE),"")</f>
        <v/>
      </c>
      <c r="AK36" s="8" t="str">
        <f>IFERROR(VLOOKUP(Table1824[[#This Row],[BKK]]&amp;TRIM(RIGHT(SUBSTITUTE(TRIM(Table1824[[#Headers],[Uraian aaaaaa]])," ",REPT(" ",255)),255)),'Un nOTA'!$D$4:$J$1004,4,FALSE),"")</f>
        <v/>
      </c>
      <c r="AL36" s="8" t="str">
        <f>IFERROR(VLOOKUP(Table1824[[#This Row],[BKK]]&amp;TRIM(RIGHT(SUBSTITUTE(TRIM(Table1824[[#Headers],[Uraian aaaaaaa]])," ",REPT(" ",255)),255)),'Un nOTA'!$D$4:$J$1004,4,FALSE),"")</f>
        <v/>
      </c>
      <c r="AM36" s="8" t="str">
        <f>IFERROR(VLOOKUP(Table1824[[#This Row],[BKK]]&amp;TRIM(RIGHT(SUBSTITUTE(TRIM(Table1824[[#Headers],[Uraian aaaaaaaa]])," ",REPT(" ",255)),255)),'Un nOTA'!$D$4:$J$1004,4,FALSE),"")</f>
        <v/>
      </c>
      <c r="AN36" s="8" t="str">
        <f>IFERROR(VLOOKUP(Table1824[[#This Row],[BKK]]&amp;TRIM(RIGHT(SUBSTITUTE(TRIM(Table1824[[#Headers],[Uraian aaaaaaaaa]])," ",REPT(" ",255)),255)),'Un nOTA'!$D$4:$J$1004,4,FALSE),"")</f>
        <v/>
      </c>
      <c r="AO36" s="8" t="str">
        <f>IFERROR(VLOOKUP(Table1824[[#This Row],[BKK]]&amp;TRIM(RIGHT(SUBSTITUTE(TRIM(Table1824[[#Headers],[Uraian aaaaaaaaaa]])," ",REPT(" ",255)),255)),'Un nOTA'!$D$4:$J$1004,4,FALSE),"")</f>
        <v/>
      </c>
      <c r="AP36" s="8" t="str">
        <f>IFERROR(VLOOKUP(Table1824[[#This Row],[BKK]]&amp;TRIM(RIGHT(SUBSTITUTE(TRIM(Table1824[[#Headers],[Uraian aaaaaaaaaaa]])," ",REPT(" ",255)),255)),'Un nOTA'!$D$4:$J$1004,4,FALSE),"")</f>
        <v/>
      </c>
      <c r="AQ36" s="8" t="str">
        <f>IFERROR(VLOOKUP(Table1824[[#This Row],[BKK]]&amp;TRIM(RIGHT(SUBSTITUTE(TRIM(Table1824[[#Headers],[Uraian aaaaaaaaaaaa]])," ",REPT(" ",255)),255)),'Un nOTA'!$D$4:$J$1004,4,FALSE),"")</f>
        <v/>
      </c>
      <c r="AR36" s="8" t="str">
        <f>IFERROR((IFERROR(VLOOKUP(Table1824[[#This Row],[BKK]],'Un nOTA'!$D$4:$J$1004,5,FALSE),""))*(10/11),"")</f>
        <v/>
      </c>
      <c r="AS36" s="8" t="str">
        <f>IFERROR((IFERROR(VLOOKUP(Table1824[[#This Row],[BKK]]&amp;TRIM(RIGHT(SUBSTITUTE(TRIM(Table1824[[#Headers],[Uraian a]])," ",REPT(" ",255)),255)),'Un nOTA'!$D$4:$J$1004,5,FALSE),"")*(10/11)),"")</f>
        <v/>
      </c>
      <c r="AT36" s="8" t="str">
        <f>IFERROR((IFERROR(VLOOKUP(Table1824[[#This Row],[BKK]]&amp;TRIM(RIGHT(SUBSTITUTE(TRIM(Table1824[[#Headers],[Uraian aa]])," ",REPT(" ",255)),255)),'Un nOTA'!$D$4:$J$1004,5,FALSE),"")*(10/11)),"")</f>
        <v/>
      </c>
      <c r="AU36" s="8" t="str">
        <f>IFERROR((IFERROR(VLOOKUP(Table1824[[#This Row],[BKK]]&amp;TRIM(RIGHT(SUBSTITUTE(TRIM(Table1824[[#Headers],[Uraian aaa]])," ",REPT(" ",255)),255)),'Un nOTA'!$D$4:$J$1004,5,FALSE),"")*(10/11)),"")</f>
        <v/>
      </c>
      <c r="AV36" s="8" t="str">
        <f>IFERROR((IFERROR(VLOOKUP(Table1824[[#This Row],[BKK]]&amp;TRIM(RIGHT(SUBSTITUTE(TRIM(Table1824[[#Headers],[Uraian aaaa]])," ",REPT(" ",255)),255)),'Un nOTA'!$D$4:$J$1004,5,FALSE),"")*(10/11)),"")</f>
        <v/>
      </c>
      <c r="AW36" s="8" t="str">
        <f>IFERROR((IFERROR(VLOOKUP(Table1824[[#This Row],[BKK]]&amp;TRIM(RIGHT(SUBSTITUTE(TRIM(Table1824[[#Headers],[Uraian aaaaa]])," ",REPT(" ",255)),255)),'Un nOTA'!$D$4:$J$1004,5,FALSE),"")*(10/11)),"")</f>
        <v/>
      </c>
      <c r="AX36" s="8" t="str">
        <f>IFERROR((IFERROR(VLOOKUP(Table1824[[#This Row],[BKK]]&amp;TRIM(RIGHT(SUBSTITUTE(TRIM(Table1824[[#Headers],[Uraian aaaaaa]])," ",REPT(" ",255)),255)),'Un nOTA'!$D$4:$J$1004,5,FALSE),"")*(10/11)),"")</f>
        <v/>
      </c>
      <c r="AY36" s="8" t="str">
        <f>IFERROR((IFERROR(VLOOKUP(Table1824[[#This Row],[BKK]]&amp;TRIM(RIGHT(SUBSTITUTE(TRIM(Table1824[[#Headers],[Uraian aaaaaaa]])," ",REPT(" ",255)),255)),'Un nOTA'!$D$4:$J$1004,5,FALSE),"")*(10/11)),"")</f>
        <v/>
      </c>
      <c r="AZ36" s="8" t="str">
        <f>IFERROR((IFERROR(VLOOKUP(Table1824[[#This Row],[BKK]]&amp;TRIM(RIGHT(SUBSTITUTE(TRIM(Table1824[[#Headers],[Uraian aaaaaaaa]])," ",REPT(" ",255)),255)),'Un nOTA'!$D$4:$J$1004,5,FALSE),"")*(10/11)),"")</f>
        <v/>
      </c>
      <c r="BA36" s="8" t="str">
        <f>IFERROR((IFERROR(VLOOKUP(Table1824[[#This Row],[BKK]]&amp;TRIM(RIGHT(SUBSTITUTE(TRIM(Table1824[[#Headers],[Uraian aaaaaaaaa]])," ",REPT(" ",255)),255)),'Un nOTA'!$D$4:$J$1004,5,FALSE),"")*(10/11)),"")</f>
        <v/>
      </c>
      <c r="BB36" s="8" t="str">
        <f>IFERROR((IFERROR(VLOOKUP(Table1824[[#This Row],[BKK]]&amp;TRIM(RIGHT(SUBSTITUTE(TRIM(Table1824[[#Headers],[Uraian aaaaaaaaaa]])," ",REPT(" ",255)),255)),'Un nOTA'!$D$4:$J$1004,5,FALSE),"")*(10/11)),"")</f>
        <v/>
      </c>
      <c r="BC36" s="8" t="str">
        <f>IFERROR((IFERROR(VLOOKUP(Table1824[[#This Row],[BKK]]&amp;TRIM(RIGHT(SUBSTITUTE(TRIM(Table1824[[#Headers],[Uraian aaaaaaaaaaa]])," ",REPT(" ",255)),255)),'Un nOTA'!$D$4:$J$1004,5,FALSE),"")*(10/11)),"")</f>
        <v/>
      </c>
      <c r="BD36" s="8" t="str">
        <f>IFERROR((IFERROR(VLOOKUP(Table1824[[#This Row],[BKK]]&amp;TRIM(RIGHT(SUBSTITUTE(TRIM(Table1824[[#Headers],[Uraian aaaaaaaaaaaa]])," ",REPT(" ",255)),255)),'Un nOTA'!$D$4:$J$1004,5,FALSE),"")*(10/11)),"")</f>
        <v/>
      </c>
      <c r="BE36" s="23" t="str">
        <f>IFERROR(ROUNDUP((Table1824[[#This Row],[Qty]]*Table1824[[#This Row],[Hrg St]]),0),"")</f>
        <v/>
      </c>
      <c r="BF36" s="8" t="str">
        <f>IFERROR(ROUNDUP((Table1824[[#This Row],[Qty2]]*Table1824[[#This Row],[Hrg St2]]),0),"")</f>
        <v/>
      </c>
      <c r="BG36" s="8" t="str">
        <f>IFERROR(ROUNDUP((Table1824[[#This Row],[Qty3]]*Table1824[[#This Row],[Hrg St3]]),0),"")</f>
        <v/>
      </c>
      <c r="BH36" s="8" t="str">
        <f>IFERROR(ROUNDUP((Table1824[[#This Row],[Qty4]]*Table1824[[#This Row],[Hrg St4]]),0),"")</f>
        <v/>
      </c>
      <c r="BI36" s="8" t="str">
        <f>IFERROR(ROUNDUP((Table1824[[#This Row],[Qty5]]*Table1824[[#This Row],[Hrg St5]]),0),"")</f>
        <v/>
      </c>
      <c r="BJ36" s="8" t="str">
        <f>IFERROR(ROUNDUP((Table1824[[#This Row],[Qty6]]*Table1824[[#This Row],[Hrg St6]]),0),"")</f>
        <v/>
      </c>
      <c r="BK36" s="8" t="str">
        <f>IFERROR(ROUNDUP((Table1824[[#This Row],[Qty7]]*Table1824[[#This Row],[Hrg St7]]),0),"")</f>
        <v/>
      </c>
      <c r="BL36" s="8" t="str">
        <f>IFERROR(ROUNDUP((Table1824[[#This Row],[Qty8]]*Table1824[[#This Row],[Hrg St8]]),0),"")</f>
        <v/>
      </c>
      <c r="BM36" s="8" t="str">
        <f>IFERROR(ROUNDUP((Table1824[[#This Row],[Qty9]]*Table1824[[#This Row],[Hrg St9]]),0),"")</f>
        <v/>
      </c>
      <c r="BN36" s="8" t="str">
        <f>IFERROR(ROUNDUP((Table1824[[#This Row],[Qty10]]*Table1824[[#This Row],[Hrg St10]]),0),"")</f>
        <v/>
      </c>
      <c r="BO36" s="8" t="str">
        <f>IFERROR(ROUNDUP((Table1824[[#This Row],[Qty11]]*Table1824[[#This Row],[Hrg St11]]),0),"")</f>
        <v/>
      </c>
      <c r="BP36" s="8" t="str">
        <f>IFERROR(ROUNDUP((Table1824[[#This Row],[Qty12]]*Table1824[[#This Row],[Hrg St12]]),0),"")</f>
        <v/>
      </c>
      <c r="BQ36" s="8" t="str">
        <f>IFERROR(ROUNDUP((Table1824[[#This Row],[Qty13]]*Table1824[[#This Row],[Hrg St13]]),0),"")</f>
        <v/>
      </c>
      <c r="BR36" s="23" t="str">
        <f>IF(Table1824[[#This Row],[BKK]]&gt;" ",IFERROR(ROUNDUP((SUM(Table1824[[#This Row],[Jml]:[Jml13]])),0)," ")," ")</f>
        <v xml:space="preserve"> </v>
      </c>
      <c r="BS36" s="23" t="str">
        <f>IF(Table1824[[#This Row],[BKK]]&gt;" ",ROUND((Table1824[[#This Row],[Total]]*0.1),0)," ")</f>
        <v xml:space="preserve"> </v>
      </c>
      <c r="BT36" s="23" t="str">
        <f>IF(Table1824[[#This Row],[BKK]]&gt;" ",(Table1824[[#This Row],[Total]]+Table1824[[#This Row],[PPN]])," ")</f>
        <v xml:space="preserve"> </v>
      </c>
      <c r="BU36" t="s">
        <v>454</v>
      </c>
      <c r="BV36" t="str">
        <f>IF(Table1824[[#This Row],[BKK]]&gt;" ",("INV/AK-MLG/2019/"&amp;'BKU 1'!$E$1&amp;"/"&amp;Table1824[[#This Row],[BKK]]&amp;"/"&amp;'BKU 1'!$E$1&amp;ROW())," ")</f>
        <v xml:space="preserve"> </v>
      </c>
      <c r="BW36" t="str">
        <f>IF(Table1824[[#This Row],[BKK]]&gt;" ",(TEXT(VLOOKUP(Table1824[[#This Row],[BKK]],COPY!$O$2:$U$1000,7,FALSE),"dd mmmm yyyy"))," ")</f>
        <v xml:space="preserve"> </v>
      </c>
      <c r="BX36" t="str">
        <f>IF(Table1824[[#This Row],[BKK]]&gt;" ",(TEXT((Table1824[[#This Row],[Tanggal Kirim]]+30),"dd mmmm yyyy"))," ")</f>
        <v xml:space="preserve"> </v>
      </c>
      <c r="BY36" t="str">
        <f>IF(Table1824[[#This Row],[BKK]]&gt;" ",'BKU 1'!$E$17," ")</f>
        <v xml:space="preserve"> </v>
      </c>
    </row>
    <row r="37" spans="1:77" hidden="1" x14ac:dyDescent="0.25">
      <c r="A37" t="str">
        <f>IFERROR((IF('Laporan ppn'!G6824&gt;0,VLOOKUP('Laporan ppn'!G6824,'Laporan ppn'!$E$10:$F$6785,2,FALSE),"")),"")</f>
        <v xml:space="preserve"> </v>
      </c>
      <c r="B37" t="str">
        <f>IF(Table1824[[#This Row],[BKK]]=" "," ",'BKU 1'!$D$25)</f>
        <v xml:space="preserve"> </v>
      </c>
      <c r="C37" t="str">
        <f>IF(Table1824[[#This Row],[BKK]]=" "," ",'BKU 1'!$D$26)</f>
        <v xml:space="preserve"> </v>
      </c>
      <c r="D37" t="str">
        <f>IF(Table1824[[#This Row],[BKK]]=" "," ",'BKU 1'!$I$25)</f>
        <v xml:space="preserve"> </v>
      </c>
      <c r="E37" t="str">
        <f>IFERROR(VLOOKUP(Table1824[[#This Row],[BKK]],'Un nOTA'!$D$4:$J$1004,2,FALSE),"")</f>
        <v/>
      </c>
      <c r="F37" t="str">
        <f>IFERROR(VLOOKUP(Table1824[[#This Row],[BKK]]&amp;TRIM(RIGHT(SUBSTITUTE(TRIM(Table1824[[#Headers],[Uraian a]])," ",REPT(" ",255)),255)),'Un nOTA'!$D$4:$J$1004,2,FALSE),"")</f>
        <v/>
      </c>
      <c r="G37" t="str">
        <f>IFERROR(VLOOKUP(Table1824[[#This Row],[BKK]]&amp;TRIM(RIGHT(SUBSTITUTE(TRIM(Table1824[[#Headers],[Uraian aa]])," ",REPT(" ",255)),255)),'Un nOTA'!$D$4:$J$1004,2,FALSE),"")</f>
        <v/>
      </c>
      <c r="H37" t="str">
        <f>IFERROR(VLOOKUP(Table1824[[#This Row],[BKK]]&amp;TRIM(RIGHT(SUBSTITUTE(TRIM(Table1824[[#Headers],[Uraian aaa]])," ",REPT(" ",255)),255)),'Un nOTA'!$D$4:$J$1004,2,FALSE),"")</f>
        <v/>
      </c>
      <c r="I37" t="str">
        <f>IFERROR(VLOOKUP(Table1824[[#This Row],[BKK]]&amp;TRIM(RIGHT(SUBSTITUTE(TRIM(Table1824[[#Headers],[Uraian aaaa]])," ",REPT(" ",255)),255)),'Un nOTA'!$D$4:$J$1004,2,FALSE),"")</f>
        <v/>
      </c>
      <c r="J37" t="str">
        <f>IFERROR(VLOOKUP(Table1824[[#This Row],[BKK]]&amp;TRIM(RIGHT(SUBSTITUTE(TRIM(Table1824[[#Headers],[Uraian aaaaa]])," ",REPT(" ",255)),255)),'Un nOTA'!$D$4:$J$1004,2,FALSE),"")</f>
        <v/>
      </c>
      <c r="K37" t="str">
        <f>IFERROR(VLOOKUP(Table1824[[#This Row],[BKK]]&amp;TRIM(RIGHT(SUBSTITUTE(TRIM(Table1824[[#Headers],[Uraian aaaaaa]])," ",REPT(" ",255)),255)),'Un nOTA'!$D$4:$J$1004,2,FALSE),"")</f>
        <v/>
      </c>
      <c r="L37" t="str">
        <f>IFERROR(VLOOKUP(Table1824[[#This Row],[BKK]]&amp;TRIM(RIGHT(SUBSTITUTE(TRIM(Table1824[[#Headers],[Uraian aaaaaaa]])," ",REPT(" ",255)),255)),'Un nOTA'!$D$4:$J$1004,2,FALSE),"")</f>
        <v/>
      </c>
      <c r="M37" t="str">
        <f>IFERROR(VLOOKUP(Table1824[[#This Row],[BKK]]&amp;TRIM(RIGHT(SUBSTITUTE(TRIM(Table1824[[#Headers],[Uraian aaaaaaaa]])," ",REPT(" ",255)),255)),'Un nOTA'!$D$4:$J$1004,2,FALSE),"")</f>
        <v/>
      </c>
      <c r="N37" t="str">
        <f>IFERROR(VLOOKUP(Table1824[[#This Row],[BKK]]&amp;TRIM(RIGHT(SUBSTITUTE(TRIM(Table1824[[#Headers],[Uraian aaaaaaaaa]])," ",REPT(" ",255)),255)),'Un nOTA'!$D$4:$J$1004,2,FALSE),"")</f>
        <v/>
      </c>
      <c r="O37" t="str">
        <f>IFERROR(VLOOKUP(Table1824[[#This Row],[BKK]]&amp;TRIM(RIGHT(SUBSTITUTE(TRIM(Table1824[[#Headers],[Uraian aaaaaaaaaa]])," ",REPT(" ",255)),255)),'Un nOTA'!$D$4:$J$1004,2,FALSE),"")</f>
        <v/>
      </c>
      <c r="P37" t="str">
        <f>IFERROR(VLOOKUP(Table1824[[#This Row],[BKK]]&amp;TRIM(RIGHT(SUBSTITUTE(TRIM(Table1824[[#Headers],[Uraian aaaaaaaaaaa]])," ",REPT(" ",255)),255)),'Un nOTA'!$D$4:$J$1004,2,FALSE),"")</f>
        <v/>
      </c>
      <c r="Q37" t="str">
        <f>IFERROR(VLOOKUP(Table1824[[#This Row],[BKK]]&amp;TRIM(RIGHT(SUBSTITUTE(TRIM(Table1824[[#Headers],[Uraian aaaaaaaaaaaa]])," ",REPT(" ",255)),255)),'Un nOTA'!$D$4:$J$1004,2,FALSE),"")</f>
        <v/>
      </c>
      <c r="R37" s="32" t="str">
        <f>IFERROR(VLOOKUP(Table1824[[#This Row],[BKK]],'Un nOTA'!$D$4:$J$1004,3,FALSE),"")</f>
        <v/>
      </c>
      <c r="S37" s="32" t="str">
        <f>IFERROR(VLOOKUP(Table1824[[#This Row],[BKK]]&amp;TRIM(RIGHT(SUBSTITUTE(TRIM(Table1824[[#Headers],[Uraian a]])," ",REPT(" ",255)),255)),'Un nOTA'!$D$4:$J$1004,3,FALSE),"")</f>
        <v/>
      </c>
      <c r="T37" s="32" t="str">
        <f>IFERROR(VLOOKUP(Table1824[[#This Row],[BKK]]&amp;TRIM(RIGHT(SUBSTITUTE(TRIM(Table1824[[#Headers],[Uraian aa]])," ",REPT(" ",255)),255)),'Un nOTA'!$D$4:$J$1004,3,FALSE),"")</f>
        <v/>
      </c>
      <c r="U37" s="32" t="str">
        <f>IFERROR(VLOOKUP(Table1824[[#This Row],[BKK]]&amp;TRIM(RIGHT(SUBSTITUTE(TRIM(Table1824[[#Headers],[Uraian aaa]])," ",REPT(" ",255)),255)),'Un nOTA'!$D$4:$J$1004,3,FALSE),"")</f>
        <v/>
      </c>
      <c r="V37" s="32" t="str">
        <f>IFERROR(VLOOKUP(Table1824[[#This Row],[BKK]]&amp;TRIM(RIGHT(SUBSTITUTE(TRIM(Table1824[[#Headers],[Uraian aaaa]])," ",REPT(" ",255)),255)),'Un nOTA'!$D$4:$J$1004,3,FALSE),"")</f>
        <v/>
      </c>
      <c r="W37" s="32" t="str">
        <f>IFERROR(VLOOKUP(Table1824[[#This Row],[BKK]]&amp;TRIM(RIGHT(SUBSTITUTE(TRIM(Table1824[[#Headers],[Uraian aaaaa]])," ",REPT(" ",255)),255)),'Un nOTA'!$D$4:$J$1004,3,FALSE),"")</f>
        <v/>
      </c>
      <c r="X37" s="32" t="str">
        <f>IFERROR(VLOOKUP(Table1824[[#This Row],[BKK]]&amp;TRIM(RIGHT(SUBSTITUTE(TRIM(Table1824[[#Headers],[Uraian aaaaaa]])," ",REPT(" ",255)),255)),'Un nOTA'!$D$4:$J$1004,3,FALSE),"")</f>
        <v/>
      </c>
      <c r="Y37" s="32" t="str">
        <f>IFERROR(VLOOKUP(Table1824[[#This Row],[BKK]]&amp;TRIM(RIGHT(SUBSTITUTE(TRIM(Table1824[[#Headers],[Uraian aaaaaaa]])," ",REPT(" ",255)),255)),'Un nOTA'!$D$4:$J$1004,3,FALSE),"")</f>
        <v/>
      </c>
      <c r="Z37" s="32" t="str">
        <f>IFERROR(VLOOKUP(Table1824[[#This Row],[BKK]]&amp;TRIM(RIGHT(SUBSTITUTE(TRIM(Table1824[[#Headers],[Uraian aaaaaaaa]])," ",REPT(" ",255)),255)),'Un nOTA'!$D$4:$J$1004,3,FALSE),"")</f>
        <v/>
      </c>
      <c r="AA37" s="32" t="str">
        <f>IFERROR(VLOOKUP(Table1824[[#This Row],[BKK]]&amp;TRIM(RIGHT(SUBSTITUTE(TRIM(Table1824[[#Headers],[Uraian aaaaaaaaa]])," ",REPT(" ",255)),255)),'Un nOTA'!$D$4:$J$1004,3,FALSE),"")</f>
        <v/>
      </c>
      <c r="AB37" s="32" t="str">
        <f>IFERROR(VLOOKUP(Table1824[[#This Row],[BKK]]&amp;TRIM(RIGHT(SUBSTITUTE(TRIM(Table1824[[#Headers],[Uraian aaaaaaaaaa]])," ",REPT(" ",255)),255)),'Un nOTA'!$D$4:$J$1004,3,FALSE),"")</f>
        <v/>
      </c>
      <c r="AC37" s="32" t="str">
        <f>IFERROR(VLOOKUP(Table1824[[#This Row],[BKK]]&amp;TRIM(RIGHT(SUBSTITUTE(TRIM(Table1824[[#Headers],[Uraian aaaaaaaaaaa]])," ",REPT(" ",255)),255)),'Un nOTA'!$D$4:$J$1004,3,FALSE),"")</f>
        <v/>
      </c>
      <c r="AD37" s="32" t="str">
        <f>IFERROR(VLOOKUP(Table1824[[#This Row],[BKK]]&amp;TRIM(RIGHT(SUBSTITUTE(TRIM(Table1824[[#Headers],[Uraian aaaaaaaaaaaa]])," ",REPT(" ",255)),255)),'Un nOTA'!$D$4:$J$1004,3,FALSE),"")</f>
        <v/>
      </c>
      <c r="AE37" s="8" t="str">
        <f>IFERROR(VLOOKUP(Table1824[[#This Row],[BKK]],'Un nOTA'!$D$4:$J$1004,4,FALSE),"")</f>
        <v/>
      </c>
      <c r="AF37" s="8" t="str">
        <f>IFERROR(VLOOKUP(Table1824[[#This Row],[BKK]]&amp;TRIM(RIGHT(SUBSTITUTE(TRIM(Table1824[[#Headers],[Uraian a]])," ",REPT(" ",255)),255)),'Un nOTA'!$D$4:$J$1004,4,FALSE),"")</f>
        <v/>
      </c>
      <c r="AG37" s="8" t="str">
        <f>IFERROR(VLOOKUP(Table1824[[#This Row],[BKK]]&amp;TRIM(RIGHT(SUBSTITUTE(TRIM(Table1824[[#Headers],[Uraian aa]])," ",REPT(" ",255)),255)),'Un nOTA'!$D$4:$J$1004,4,FALSE),"")</f>
        <v/>
      </c>
      <c r="AH37" s="8" t="str">
        <f>IFERROR(VLOOKUP(Table1824[[#This Row],[BKK]]&amp;TRIM(RIGHT(SUBSTITUTE(TRIM(Table1824[[#Headers],[Uraian aaa]])," ",REPT(" ",255)),255)),'Un nOTA'!$D$4:$J$1004,4,FALSE),"")</f>
        <v/>
      </c>
      <c r="AI37" s="8" t="str">
        <f>IFERROR(VLOOKUP(Table1824[[#This Row],[BKK]]&amp;TRIM(RIGHT(SUBSTITUTE(TRIM(Table1824[[#Headers],[Uraian aaaa]])," ",REPT(" ",255)),255)),'Un nOTA'!$D$4:$J$1004,4,FALSE),"")</f>
        <v/>
      </c>
      <c r="AJ37" s="8" t="str">
        <f>IFERROR(VLOOKUP(Table1824[[#This Row],[BKK]]&amp;TRIM(RIGHT(SUBSTITUTE(TRIM(Table1824[[#Headers],[Uraian aaaaa]])," ",REPT(" ",255)),255)),'Un nOTA'!$D$4:$J$1004,4,FALSE),"")</f>
        <v/>
      </c>
      <c r="AK37" s="8" t="str">
        <f>IFERROR(VLOOKUP(Table1824[[#This Row],[BKK]]&amp;TRIM(RIGHT(SUBSTITUTE(TRIM(Table1824[[#Headers],[Uraian aaaaaa]])," ",REPT(" ",255)),255)),'Un nOTA'!$D$4:$J$1004,4,FALSE),"")</f>
        <v/>
      </c>
      <c r="AL37" s="8" t="str">
        <f>IFERROR(VLOOKUP(Table1824[[#This Row],[BKK]]&amp;TRIM(RIGHT(SUBSTITUTE(TRIM(Table1824[[#Headers],[Uraian aaaaaaa]])," ",REPT(" ",255)),255)),'Un nOTA'!$D$4:$J$1004,4,FALSE),"")</f>
        <v/>
      </c>
      <c r="AM37" s="8" t="str">
        <f>IFERROR(VLOOKUP(Table1824[[#This Row],[BKK]]&amp;TRIM(RIGHT(SUBSTITUTE(TRIM(Table1824[[#Headers],[Uraian aaaaaaaa]])," ",REPT(" ",255)),255)),'Un nOTA'!$D$4:$J$1004,4,FALSE),"")</f>
        <v/>
      </c>
      <c r="AN37" s="8" t="str">
        <f>IFERROR(VLOOKUP(Table1824[[#This Row],[BKK]]&amp;TRIM(RIGHT(SUBSTITUTE(TRIM(Table1824[[#Headers],[Uraian aaaaaaaaa]])," ",REPT(" ",255)),255)),'Un nOTA'!$D$4:$J$1004,4,FALSE),"")</f>
        <v/>
      </c>
      <c r="AO37" s="8" t="str">
        <f>IFERROR(VLOOKUP(Table1824[[#This Row],[BKK]]&amp;TRIM(RIGHT(SUBSTITUTE(TRIM(Table1824[[#Headers],[Uraian aaaaaaaaaa]])," ",REPT(" ",255)),255)),'Un nOTA'!$D$4:$J$1004,4,FALSE),"")</f>
        <v/>
      </c>
      <c r="AP37" s="8" t="str">
        <f>IFERROR(VLOOKUP(Table1824[[#This Row],[BKK]]&amp;TRIM(RIGHT(SUBSTITUTE(TRIM(Table1824[[#Headers],[Uraian aaaaaaaaaaa]])," ",REPT(" ",255)),255)),'Un nOTA'!$D$4:$J$1004,4,FALSE),"")</f>
        <v/>
      </c>
      <c r="AQ37" s="8" t="str">
        <f>IFERROR(VLOOKUP(Table1824[[#This Row],[BKK]]&amp;TRIM(RIGHT(SUBSTITUTE(TRIM(Table1824[[#Headers],[Uraian aaaaaaaaaaaa]])," ",REPT(" ",255)),255)),'Un nOTA'!$D$4:$J$1004,4,FALSE),"")</f>
        <v/>
      </c>
      <c r="AR37" s="8" t="str">
        <f>IFERROR((IFERROR(VLOOKUP(Table1824[[#This Row],[BKK]],'Un nOTA'!$D$4:$J$1004,5,FALSE),""))*(10/11),"")</f>
        <v/>
      </c>
      <c r="AS37" s="8" t="str">
        <f>IFERROR((IFERROR(VLOOKUP(Table1824[[#This Row],[BKK]]&amp;TRIM(RIGHT(SUBSTITUTE(TRIM(Table1824[[#Headers],[Uraian a]])," ",REPT(" ",255)),255)),'Un nOTA'!$D$4:$J$1004,5,FALSE),"")*(10/11)),"")</f>
        <v/>
      </c>
      <c r="AT37" s="8" t="str">
        <f>IFERROR((IFERROR(VLOOKUP(Table1824[[#This Row],[BKK]]&amp;TRIM(RIGHT(SUBSTITUTE(TRIM(Table1824[[#Headers],[Uraian aa]])," ",REPT(" ",255)),255)),'Un nOTA'!$D$4:$J$1004,5,FALSE),"")*(10/11)),"")</f>
        <v/>
      </c>
      <c r="AU37" s="8" t="str">
        <f>IFERROR((IFERROR(VLOOKUP(Table1824[[#This Row],[BKK]]&amp;TRIM(RIGHT(SUBSTITUTE(TRIM(Table1824[[#Headers],[Uraian aaa]])," ",REPT(" ",255)),255)),'Un nOTA'!$D$4:$J$1004,5,FALSE),"")*(10/11)),"")</f>
        <v/>
      </c>
      <c r="AV37" s="8" t="str">
        <f>IFERROR((IFERROR(VLOOKUP(Table1824[[#This Row],[BKK]]&amp;TRIM(RIGHT(SUBSTITUTE(TRIM(Table1824[[#Headers],[Uraian aaaa]])," ",REPT(" ",255)),255)),'Un nOTA'!$D$4:$J$1004,5,FALSE),"")*(10/11)),"")</f>
        <v/>
      </c>
      <c r="AW37" s="8" t="str">
        <f>IFERROR((IFERROR(VLOOKUP(Table1824[[#This Row],[BKK]]&amp;TRIM(RIGHT(SUBSTITUTE(TRIM(Table1824[[#Headers],[Uraian aaaaa]])," ",REPT(" ",255)),255)),'Un nOTA'!$D$4:$J$1004,5,FALSE),"")*(10/11)),"")</f>
        <v/>
      </c>
      <c r="AX37" s="8" t="str">
        <f>IFERROR((IFERROR(VLOOKUP(Table1824[[#This Row],[BKK]]&amp;TRIM(RIGHT(SUBSTITUTE(TRIM(Table1824[[#Headers],[Uraian aaaaaa]])," ",REPT(" ",255)),255)),'Un nOTA'!$D$4:$J$1004,5,FALSE),"")*(10/11)),"")</f>
        <v/>
      </c>
      <c r="AY37" s="8" t="str">
        <f>IFERROR((IFERROR(VLOOKUP(Table1824[[#This Row],[BKK]]&amp;TRIM(RIGHT(SUBSTITUTE(TRIM(Table1824[[#Headers],[Uraian aaaaaaa]])," ",REPT(" ",255)),255)),'Un nOTA'!$D$4:$J$1004,5,FALSE),"")*(10/11)),"")</f>
        <v/>
      </c>
      <c r="AZ37" s="8" t="str">
        <f>IFERROR((IFERROR(VLOOKUP(Table1824[[#This Row],[BKK]]&amp;TRIM(RIGHT(SUBSTITUTE(TRIM(Table1824[[#Headers],[Uraian aaaaaaaa]])," ",REPT(" ",255)),255)),'Un nOTA'!$D$4:$J$1004,5,FALSE),"")*(10/11)),"")</f>
        <v/>
      </c>
      <c r="BA37" s="8" t="str">
        <f>IFERROR((IFERROR(VLOOKUP(Table1824[[#This Row],[BKK]]&amp;TRIM(RIGHT(SUBSTITUTE(TRIM(Table1824[[#Headers],[Uraian aaaaaaaaa]])," ",REPT(" ",255)),255)),'Un nOTA'!$D$4:$J$1004,5,FALSE),"")*(10/11)),"")</f>
        <v/>
      </c>
      <c r="BB37" s="8" t="str">
        <f>IFERROR((IFERROR(VLOOKUP(Table1824[[#This Row],[BKK]]&amp;TRIM(RIGHT(SUBSTITUTE(TRIM(Table1824[[#Headers],[Uraian aaaaaaaaaa]])," ",REPT(" ",255)),255)),'Un nOTA'!$D$4:$J$1004,5,FALSE),"")*(10/11)),"")</f>
        <v/>
      </c>
      <c r="BC37" s="8" t="str">
        <f>IFERROR((IFERROR(VLOOKUP(Table1824[[#This Row],[BKK]]&amp;TRIM(RIGHT(SUBSTITUTE(TRIM(Table1824[[#Headers],[Uraian aaaaaaaaaaa]])," ",REPT(" ",255)),255)),'Un nOTA'!$D$4:$J$1004,5,FALSE),"")*(10/11)),"")</f>
        <v/>
      </c>
      <c r="BD37" s="8" t="str">
        <f>IFERROR((IFERROR(VLOOKUP(Table1824[[#This Row],[BKK]]&amp;TRIM(RIGHT(SUBSTITUTE(TRIM(Table1824[[#Headers],[Uraian aaaaaaaaaaaa]])," ",REPT(" ",255)),255)),'Un nOTA'!$D$4:$J$1004,5,FALSE),"")*(10/11)),"")</f>
        <v/>
      </c>
      <c r="BE37" s="23" t="str">
        <f>IFERROR(ROUNDUP((Table1824[[#This Row],[Qty]]*Table1824[[#This Row],[Hrg St]]),0),"")</f>
        <v/>
      </c>
      <c r="BF37" s="8" t="str">
        <f>IFERROR(ROUNDUP((Table1824[[#This Row],[Qty2]]*Table1824[[#This Row],[Hrg St2]]),0),"")</f>
        <v/>
      </c>
      <c r="BG37" s="8" t="str">
        <f>IFERROR(ROUNDUP((Table1824[[#This Row],[Qty3]]*Table1824[[#This Row],[Hrg St3]]),0),"")</f>
        <v/>
      </c>
      <c r="BH37" s="8" t="str">
        <f>IFERROR(ROUNDUP((Table1824[[#This Row],[Qty4]]*Table1824[[#This Row],[Hrg St4]]),0),"")</f>
        <v/>
      </c>
      <c r="BI37" s="8" t="str">
        <f>IFERROR(ROUNDUP((Table1824[[#This Row],[Qty5]]*Table1824[[#This Row],[Hrg St5]]),0),"")</f>
        <v/>
      </c>
      <c r="BJ37" s="8" t="str">
        <f>IFERROR(ROUNDUP((Table1824[[#This Row],[Qty6]]*Table1824[[#This Row],[Hrg St6]]),0),"")</f>
        <v/>
      </c>
      <c r="BK37" s="8" t="str">
        <f>IFERROR(ROUNDUP((Table1824[[#This Row],[Qty7]]*Table1824[[#This Row],[Hrg St7]]),0),"")</f>
        <v/>
      </c>
      <c r="BL37" s="8" t="str">
        <f>IFERROR(ROUNDUP((Table1824[[#This Row],[Qty8]]*Table1824[[#This Row],[Hrg St8]]),0),"")</f>
        <v/>
      </c>
      <c r="BM37" s="8" t="str">
        <f>IFERROR(ROUNDUP((Table1824[[#This Row],[Qty9]]*Table1824[[#This Row],[Hrg St9]]),0),"")</f>
        <v/>
      </c>
      <c r="BN37" s="8" t="str">
        <f>IFERROR(ROUNDUP((Table1824[[#This Row],[Qty10]]*Table1824[[#This Row],[Hrg St10]]),0),"")</f>
        <v/>
      </c>
      <c r="BO37" s="8" t="str">
        <f>IFERROR(ROUNDUP((Table1824[[#This Row],[Qty11]]*Table1824[[#This Row],[Hrg St11]]),0),"")</f>
        <v/>
      </c>
      <c r="BP37" s="8" t="str">
        <f>IFERROR(ROUNDUP((Table1824[[#This Row],[Qty12]]*Table1824[[#This Row],[Hrg St12]]),0),"")</f>
        <v/>
      </c>
      <c r="BQ37" s="8" t="str">
        <f>IFERROR(ROUNDUP((Table1824[[#This Row],[Qty13]]*Table1824[[#This Row],[Hrg St13]]),0),"")</f>
        <v/>
      </c>
      <c r="BR37" s="23" t="str">
        <f>IF(Table1824[[#This Row],[BKK]]&gt;" ",IFERROR(ROUNDUP((SUM(Table1824[[#This Row],[Jml]:[Jml13]])),0)," ")," ")</f>
        <v xml:space="preserve"> </v>
      </c>
      <c r="BS37" s="23" t="str">
        <f>IF(Table1824[[#This Row],[BKK]]&gt;" ",ROUND((Table1824[[#This Row],[Total]]*0.1),0)," ")</f>
        <v xml:space="preserve"> </v>
      </c>
      <c r="BT37" s="23" t="str">
        <f>IF(Table1824[[#This Row],[BKK]]&gt;" ",(Table1824[[#This Row],[Total]]+Table1824[[#This Row],[PPN]])," ")</f>
        <v xml:space="preserve"> </v>
      </c>
      <c r="BU37" t="s">
        <v>454</v>
      </c>
      <c r="BV37" t="str">
        <f>IF(Table1824[[#This Row],[BKK]]&gt;" ",("INV/AK-MLG/2019/"&amp;'BKU 1'!$E$1&amp;"/"&amp;Table1824[[#This Row],[BKK]]&amp;"/"&amp;'BKU 1'!$E$1&amp;ROW())," ")</f>
        <v xml:space="preserve"> </v>
      </c>
      <c r="BW37" t="str">
        <f>IF(Table1824[[#This Row],[BKK]]&gt;" ",(TEXT(VLOOKUP(Table1824[[#This Row],[BKK]],COPY!$O$2:$U$1000,7,FALSE),"dd mmmm yyyy"))," ")</f>
        <v xml:space="preserve"> </v>
      </c>
      <c r="BX37" t="str">
        <f>IF(Table1824[[#This Row],[BKK]]&gt;" ",(TEXT((Table1824[[#This Row],[Tanggal Kirim]]+30),"dd mmmm yyyy"))," ")</f>
        <v xml:space="preserve"> </v>
      </c>
      <c r="BY37" t="str">
        <f>IF(Table1824[[#This Row],[BKK]]&gt;" ",'BKU 1'!$E$17," ")</f>
        <v xml:space="preserve"> </v>
      </c>
    </row>
    <row r="38" spans="1:77" hidden="1" x14ac:dyDescent="0.25">
      <c r="A38" t="str">
        <f>IFERROR((IF('Laporan ppn'!G6825&gt;0,VLOOKUP('Laporan ppn'!G6825,'Laporan ppn'!$E$10:$F$6785,2,FALSE),"")),"")</f>
        <v xml:space="preserve"> </v>
      </c>
      <c r="B38" t="str">
        <f>IF(Table1824[[#This Row],[BKK]]=" "," ",'BKU 1'!$D$25)</f>
        <v xml:space="preserve"> </v>
      </c>
      <c r="C38" t="str">
        <f>IF(Table1824[[#This Row],[BKK]]=" "," ",'BKU 1'!$D$26)</f>
        <v xml:space="preserve"> </v>
      </c>
      <c r="D38" t="str">
        <f>IF(Table1824[[#This Row],[BKK]]=" "," ",'BKU 1'!$I$25)</f>
        <v xml:space="preserve"> </v>
      </c>
      <c r="E38" t="str">
        <f>IFERROR(VLOOKUP(Table1824[[#This Row],[BKK]],'Un nOTA'!$D$4:$J$1004,2,FALSE),"")</f>
        <v/>
      </c>
      <c r="F38" t="str">
        <f>IFERROR(VLOOKUP(Table1824[[#This Row],[BKK]]&amp;TRIM(RIGHT(SUBSTITUTE(TRIM(Table1824[[#Headers],[Uraian a]])," ",REPT(" ",255)),255)),'Un nOTA'!$D$4:$J$1004,2,FALSE),"")</f>
        <v/>
      </c>
      <c r="G38" t="str">
        <f>IFERROR(VLOOKUP(Table1824[[#This Row],[BKK]]&amp;TRIM(RIGHT(SUBSTITUTE(TRIM(Table1824[[#Headers],[Uraian aa]])," ",REPT(" ",255)),255)),'Un nOTA'!$D$4:$J$1004,2,FALSE),"")</f>
        <v/>
      </c>
      <c r="H38" t="str">
        <f>IFERROR(VLOOKUP(Table1824[[#This Row],[BKK]]&amp;TRIM(RIGHT(SUBSTITUTE(TRIM(Table1824[[#Headers],[Uraian aaa]])," ",REPT(" ",255)),255)),'Un nOTA'!$D$4:$J$1004,2,FALSE),"")</f>
        <v/>
      </c>
      <c r="I38" t="str">
        <f>IFERROR(VLOOKUP(Table1824[[#This Row],[BKK]]&amp;TRIM(RIGHT(SUBSTITUTE(TRIM(Table1824[[#Headers],[Uraian aaaa]])," ",REPT(" ",255)),255)),'Un nOTA'!$D$4:$J$1004,2,FALSE),"")</f>
        <v/>
      </c>
      <c r="J38" t="str">
        <f>IFERROR(VLOOKUP(Table1824[[#This Row],[BKK]]&amp;TRIM(RIGHT(SUBSTITUTE(TRIM(Table1824[[#Headers],[Uraian aaaaa]])," ",REPT(" ",255)),255)),'Un nOTA'!$D$4:$J$1004,2,FALSE),"")</f>
        <v/>
      </c>
      <c r="K38" t="str">
        <f>IFERROR(VLOOKUP(Table1824[[#This Row],[BKK]]&amp;TRIM(RIGHT(SUBSTITUTE(TRIM(Table1824[[#Headers],[Uraian aaaaaa]])," ",REPT(" ",255)),255)),'Un nOTA'!$D$4:$J$1004,2,FALSE),"")</f>
        <v/>
      </c>
      <c r="L38" t="str">
        <f>IFERROR(VLOOKUP(Table1824[[#This Row],[BKK]]&amp;TRIM(RIGHT(SUBSTITUTE(TRIM(Table1824[[#Headers],[Uraian aaaaaaa]])," ",REPT(" ",255)),255)),'Un nOTA'!$D$4:$J$1004,2,FALSE),"")</f>
        <v/>
      </c>
      <c r="M38" t="str">
        <f>IFERROR(VLOOKUP(Table1824[[#This Row],[BKK]]&amp;TRIM(RIGHT(SUBSTITUTE(TRIM(Table1824[[#Headers],[Uraian aaaaaaaa]])," ",REPT(" ",255)),255)),'Un nOTA'!$D$4:$J$1004,2,FALSE),"")</f>
        <v/>
      </c>
      <c r="N38" t="str">
        <f>IFERROR(VLOOKUP(Table1824[[#This Row],[BKK]]&amp;TRIM(RIGHT(SUBSTITUTE(TRIM(Table1824[[#Headers],[Uraian aaaaaaaaa]])," ",REPT(" ",255)),255)),'Un nOTA'!$D$4:$J$1004,2,FALSE),"")</f>
        <v/>
      </c>
      <c r="O38" t="str">
        <f>IFERROR(VLOOKUP(Table1824[[#This Row],[BKK]]&amp;TRIM(RIGHT(SUBSTITUTE(TRIM(Table1824[[#Headers],[Uraian aaaaaaaaaa]])," ",REPT(" ",255)),255)),'Un nOTA'!$D$4:$J$1004,2,FALSE),"")</f>
        <v/>
      </c>
      <c r="P38" t="str">
        <f>IFERROR(VLOOKUP(Table1824[[#This Row],[BKK]]&amp;TRIM(RIGHT(SUBSTITUTE(TRIM(Table1824[[#Headers],[Uraian aaaaaaaaaaa]])," ",REPT(" ",255)),255)),'Un nOTA'!$D$4:$J$1004,2,FALSE),"")</f>
        <v/>
      </c>
      <c r="Q38" t="str">
        <f>IFERROR(VLOOKUP(Table1824[[#This Row],[BKK]]&amp;TRIM(RIGHT(SUBSTITUTE(TRIM(Table1824[[#Headers],[Uraian aaaaaaaaaaaa]])," ",REPT(" ",255)),255)),'Un nOTA'!$D$4:$J$1004,2,FALSE),"")</f>
        <v/>
      </c>
      <c r="R38" s="32" t="str">
        <f>IFERROR(VLOOKUP(Table1824[[#This Row],[BKK]],'Un nOTA'!$D$4:$J$1004,3,FALSE),"")</f>
        <v/>
      </c>
      <c r="S38" s="32" t="str">
        <f>IFERROR(VLOOKUP(Table1824[[#This Row],[BKK]]&amp;TRIM(RIGHT(SUBSTITUTE(TRIM(Table1824[[#Headers],[Uraian a]])," ",REPT(" ",255)),255)),'Un nOTA'!$D$4:$J$1004,3,FALSE),"")</f>
        <v/>
      </c>
      <c r="T38" s="32" t="str">
        <f>IFERROR(VLOOKUP(Table1824[[#This Row],[BKK]]&amp;TRIM(RIGHT(SUBSTITUTE(TRIM(Table1824[[#Headers],[Uraian aa]])," ",REPT(" ",255)),255)),'Un nOTA'!$D$4:$J$1004,3,FALSE),"")</f>
        <v/>
      </c>
      <c r="U38" s="32" t="str">
        <f>IFERROR(VLOOKUP(Table1824[[#This Row],[BKK]]&amp;TRIM(RIGHT(SUBSTITUTE(TRIM(Table1824[[#Headers],[Uraian aaa]])," ",REPT(" ",255)),255)),'Un nOTA'!$D$4:$J$1004,3,FALSE),"")</f>
        <v/>
      </c>
      <c r="V38" s="32" t="str">
        <f>IFERROR(VLOOKUP(Table1824[[#This Row],[BKK]]&amp;TRIM(RIGHT(SUBSTITUTE(TRIM(Table1824[[#Headers],[Uraian aaaa]])," ",REPT(" ",255)),255)),'Un nOTA'!$D$4:$J$1004,3,FALSE),"")</f>
        <v/>
      </c>
      <c r="W38" s="32" t="str">
        <f>IFERROR(VLOOKUP(Table1824[[#This Row],[BKK]]&amp;TRIM(RIGHT(SUBSTITUTE(TRIM(Table1824[[#Headers],[Uraian aaaaa]])," ",REPT(" ",255)),255)),'Un nOTA'!$D$4:$J$1004,3,FALSE),"")</f>
        <v/>
      </c>
      <c r="X38" s="32" t="str">
        <f>IFERROR(VLOOKUP(Table1824[[#This Row],[BKK]]&amp;TRIM(RIGHT(SUBSTITUTE(TRIM(Table1824[[#Headers],[Uraian aaaaaa]])," ",REPT(" ",255)),255)),'Un nOTA'!$D$4:$J$1004,3,FALSE),"")</f>
        <v/>
      </c>
      <c r="Y38" s="32" t="str">
        <f>IFERROR(VLOOKUP(Table1824[[#This Row],[BKK]]&amp;TRIM(RIGHT(SUBSTITUTE(TRIM(Table1824[[#Headers],[Uraian aaaaaaa]])," ",REPT(" ",255)),255)),'Un nOTA'!$D$4:$J$1004,3,FALSE),"")</f>
        <v/>
      </c>
      <c r="Z38" s="32" t="str">
        <f>IFERROR(VLOOKUP(Table1824[[#This Row],[BKK]]&amp;TRIM(RIGHT(SUBSTITUTE(TRIM(Table1824[[#Headers],[Uraian aaaaaaaa]])," ",REPT(" ",255)),255)),'Un nOTA'!$D$4:$J$1004,3,FALSE),"")</f>
        <v/>
      </c>
      <c r="AA38" s="32" t="str">
        <f>IFERROR(VLOOKUP(Table1824[[#This Row],[BKK]]&amp;TRIM(RIGHT(SUBSTITUTE(TRIM(Table1824[[#Headers],[Uraian aaaaaaaaa]])," ",REPT(" ",255)),255)),'Un nOTA'!$D$4:$J$1004,3,FALSE),"")</f>
        <v/>
      </c>
      <c r="AB38" s="32" t="str">
        <f>IFERROR(VLOOKUP(Table1824[[#This Row],[BKK]]&amp;TRIM(RIGHT(SUBSTITUTE(TRIM(Table1824[[#Headers],[Uraian aaaaaaaaaa]])," ",REPT(" ",255)),255)),'Un nOTA'!$D$4:$J$1004,3,FALSE),"")</f>
        <v/>
      </c>
      <c r="AC38" s="32" t="str">
        <f>IFERROR(VLOOKUP(Table1824[[#This Row],[BKK]]&amp;TRIM(RIGHT(SUBSTITUTE(TRIM(Table1824[[#Headers],[Uraian aaaaaaaaaaa]])," ",REPT(" ",255)),255)),'Un nOTA'!$D$4:$J$1004,3,FALSE),"")</f>
        <v/>
      </c>
      <c r="AD38" s="32" t="str">
        <f>IFERROR(VLOOKUP(Table1824[[#This Row],[BKK]]&amp;TRIM(RIGHT(SUBSTITUTE(TRIM(Table1824[[#Headers],[Uraian aaaaaaaaaaaa]])," ",REPT(" ",255)),255)),'Un nOTA'!$D$4:$J$1004,3,FALSE),"")</f>
        <v/>
      </c>
      <c r="AE38" s="8" t="str">
        <f>IFERROR(VLOOKUP(Table1824[[#This Row],[BKK]],'Un nOTA'!$D$4:$J$1004,4,FALSE),"")</f>
        <v/>
      </c>
      <c r="AF38" s="8" t="str">
        <f>IFERROR(VLOOKUP(Table1824[[#This Row],[BKK]]&amp;TRIM(RIGHT(SUBSTITUTE(TRIM(Table1824[[#Headers],[Uraian a]])," ",REPT(" ",255)),255)),'Un nOTA'!$D$4:$J$1004,4,FALSE),"")</f>
        <v/>
      </c>
      <c r="AG38" s="8" t="str">
        <f>IFERROR(VLOOKUP(Table1824[[#This Row],[BKK]]&amp;TRIM(RIGHT(SUBSTITUTE(TRIM(Table1824[[#Headers],[Uraian aa]])," ",REPT(" ",255)),255)),'Un nOTA'!$D$4:$J$1004,4,FALSE),"")</f>
        <v/>
      </c>
      <c r="AH38" s="8" t="str">
        <f>IFERROR(VLOOKUP(Table1824[[#This Row],[BKK]]&amp;TRIM(RIGHT(SUBSTITUTE(TRIM(Table1824[[#Headers],[Uraian aaa]])," ",REPT(" ",255)),255)),'Un nOTA'!$D$4:$J$1004,4,FALSE),"")</f>
        <v/>
      </c>
      <c r="AI38" s="8" t="str">
        <f>IFERROR(VLOOKUP(Table1824[[#This Row],[BKK]]&amp;TRIM(RIGHT(SUBSTITUTE(TRIM(Table1824[[#Headers],[Uraian aaaa]])," ",REPT(" ",255)),255)),'Un nOTA'!$D$4:$J$1004,4,FALSE),"")</f>
        <v/>
      </c>
      <c r="AJ38" s="8" t="str">
        <f>IFERROR(VLOOKUP(Table1824[[#This Row],[BKK]]&amp;TRIM(RIGHT(SUBSTITUTE(TRIM(Table1824[[#Headers],[Uraian aaaaa]])," ",REPT(" ",255)),255)),'Un nOTA'!$D$4:$J$1004,4,FALSE),"")</f>
        <v/>
      </c>
      <c r="AK38" s="8" t="str">
        <f>IFERROR(VLOOKUP(Table1824[[#This Row],[BKK]]&amp;TRIM(RIGHT(SUBSTITUTE(TRIM(Table1824[[#Headers],[Uraian aaaaaa]])," ",REPT(" ",255)),255)),'Un nOTA'!$D$4:$J$1004,4,FALSE),"")</f>
        <v/>
      </c>
      <c r="AL38" s="8" t="str">
        <f>IFERROR(VLOOKUP(Table1824[[#This Row],[BKK]]&amp;TRIM(RIGHT(SUBSTITUTE(TRIM(Table1824[[#Headers],[Uraian aaaaaaa]])," ",REPT(" ",255)),255)),'Un nOTA'!$D$4:$J$1004,4,FALSE),"")</f>
        <v/>
      </c>
      <c r="AM38" s="8" t="str">
        <f>IFERROR(VLOOKUP(Table1824[[#This Row],[BKK]]&amp;TRIM(RIGHT(SUBSTITUTE(TRIM(Table1824[[#Headers],[Uraian aaaaaaaa]])," ",REPT(" ",255)),255)),'Un nOTA'!$D$4:$J$1004,4,FALSE),"")</f>
        <v/>
      </c>
      <c r="AN38" s="8" t="str">
        <f>IFERROR(VLOOKUP(Table1824[[#This Row],[BKK]]&amp;TRIM(RIGHT(SUBSTITUTE(TRIM(Table1824[[#Headers],[Uraian aaaaaaaaa]])," ",REPT(" ",255)),255)),'Un nOTA'!$D$4:$J$1004,4,FALSE),"")</f>
        <v/>
      </c>
      <c r="AO38" s="8" t="str">
        <f>IFERROR(VLOOKUP(Table1824[[#This Row],[BKK]]&amp;TRIM(RIGHT(SUBSTITUTE(TRIM(Table1824[[#Headers],[Uraian aaaaaaaaaa]])," ",REPT(" ",255)),255)),'Un nOTA'!$D$4:$J$1004,4,FALSE),"")</f>
        <v/>
      </c>
      <c r="AP38" s="8" t="str">
        <f>IFERROR(VLOOKUP(Table1824[[#This Row],[BKK]]&amp;TRIM(RIGHT(SUBSTITUTE(TRIM(Table1824[[#Headers],[Uraian aaaaaaaaaaa]])," ",REPT(" ",255)),255)),'Un nOTA'!$D$4:$J$1004,4,FALSE),"")</f>
        <v/>
      </c>
      <c r="AQ38" s="8" t="str">
        <f>IFERROR(VLOOKUP(Table1824[[#This Row],[BKK]]&amp;TRIM(RIGHT(SUBSTITUTE(TRIM(Table1824[[#Headers],[Uraian aaaaaaaaaaaa]])," ",REPT(" ",255)),255)),'Un nOTA'!$D$4:$J$1004,4,FALSE),"")</f>
        <v/>
      </c>
      <c r="AR38" s="8" t="str">
        <f>IFERROR((IFERROR(VLOOKUP(Table1824[[#This Row],[BKK]],'Un nOTA'!$D$4:$J$1004,5,FALSE),""))*(10/11),"")</f>
        <v/>
      </c>
      <c r="AS38" s="8" t="str">
        <f>IFERROR((IFERROR(VLOOKUP(Table1824[[#This Row],[BKK]]&amp;TRIM(RIGHT(SUBSTITUTE(TRIM(Table1824[[#Headers],[Uraian a]])," ",REPT(" ",255)),255)),'Un nOTA'!$D$4:$J$1004,5,FALSE),"")*(10/11)),"")</f>
        <v/>
      </c>
      <c r="AT38" s="8" t="str">
        <f>IFERROR((IFERROR(VLOOKUP(Table1824[[#This Row],[BKK]]&amp;TRIM(RIGHT(SUBSTITUTE(TRIM(Table1824[[#Headers],[Uraian aa]])," ",REPT(" ",255)),255)),'Un nOTA'!$D$4:$J$1004,5,FALSE),"")*(10/11)),"")</f>
        <v/>
      </c>
      <c r="AU38" s="8" t="str">
        <f>IFERROR((IFERROR(VLOOKUP(Table1824[[#This Row],[BKK]]&amp;TRIM(RIGHT(SUBSTITUTE(TRIM(Table1824[[#Headers],[Uraian aaa]])," ",REPT(" ",255)),255)),'Un nOTA'!$D$4:$J$1004,5,FALSE),"")*(10/11)),"")</f>
        <v/>
      </c>
      <c r="AV38" s="8" t="str">
        <f>IFERROR((IFERROR(VLOOKUP(Table1824[[#This Row],[BKK]]&amp;TRIM(RIGHT(SUBSTITUTE(TRIM(Table1824[[#Headers],[Uraian aaaa]])," ",REPT(" ",255)),255)),'Un nOTA'!$D$4:$J$1004,5,FALSE),"")*(10/11)),"")</f>
        <v/>
      </c>
      <c r="AW38" s="8" t="str">
        <f>IFERROR((IFERROR(VLOOKUP(Table1824[[#This Row],[BKK]]&amp;TRIM(RIGHT(SUBSTITUTE(TRIM(Table1824[[#Headers],[Uraian aaaaa]])," ",REPT(" ",255)),255)),'Un nOTA'!$D$4:$J$1004,5,FALSE),"")*(10/11)),"")</f>
        <v/>
      </c>
      <c r="AX38" s="8" t="str">
        <f>IFERROR((IFERROR(VLOOKUP(Table1824[[#This Row],[BKK]]&amp;TRIM(RIGHT(SUBSTITUTE(TRIM(Table1824[[#Headers],[Uraian aaaaaa]])," ",REPT(" ",255)),255)),'Un nOTA'!$D$4:$J$1004,5,FALSE),"")*(10/11)),"")</f>
        <v/>
      </c>
      <c r="AY38" s="8" t="str">
        <f>IFERROR((IFERROR(VLOOKUP(Table1824[[#This Row],[BKK]]&amp;TRIM(RIGHT(SUBSTITUTE(TRIM(Table1824[[#Headers],[Uraian aaaaaaa]])," ",REPT(" ",255)),255)),'Un nOTA'!$D$4:$J$1004,5,FALSE),"")*(10/11)),"")</f>
        <v/>
      </c>
      <c r="AZ38" s="8" t="str">
        <f>IFERROR((IFERROR(VLOOKUP(Table1824[[#This Row],[BKK]]&amp;TRIM(RIGHT(SUBSTITUTE(TRIM(Table1824[[#Headers],[Uraian aaaaaaaa]])," ",REPT(" ",255)),255)),'Un nOTA'!$D$4:$J$1004,5,FALSE),"")*(10/11)),"")</f>
        <v/>
      </c>
      <c r="BA38" s="8" t="str">
        <f>IFERROR((IFERROR(VLOOKUP(Table1824[[#This Row],[BKK]]&amp;TRIM(RIGHT(SUBSTITUTE(TRIM(Table1824[[#Headers],[Uraian aaaaaaaaa]])," ",REPT(" ",255)),255)),'Un nOTA'!$D$4:$J$1004,5,FALSE),"")*(10/11)),"")</f>
        <v/>
      </c>
      <c r="BB38" s="8" t="str">
        <f>IFERROR((IFERROR(VLOOKUP(Table1824[[#This Row],[BKK]]&amp;TRIM(RIGHT(SUBSTITUTE(TRIM(Table1824[[#Headers],[Uraian aaaaaaaaaa]])," ",REPT(" ",255)),255)),'Un nOTA'!$D$4:$J$1004,5,FALSE),"")*(10/11)),"")</f>
        <v/>
      </c>
      <c r="BC38" s="8" t="str">
        <f>IFERROR((IFERROR(VLOOKUP(Table1824[[#This Row],[BKK]]&amp;TRIM(RIGHT(SUBSTITUTE(TRIM(Table1824[[#Headers],[Uraian aaaaaaaaaaa]])," ",REPT(" ",255)),255)),'Un nOTA'!$D$4:$J$1004,5,FALSE),"")*(10/11)),"")</f>
        <v/>
      </c>
      <c r="BD38" s="8" t="str">
        <f>IFERROR((IFERROR(VLOOKUP(Table1824[[#This Row],[BKK]]&amp;TRIM(RIGHT(SUBSTITUTE(TRIM(Table1824[[#Headers],[Uraian aaaaaaaaaaaa]])," ",REPT(" ",255)),255)),'Un nOTA'!$D$4:$J$1004,5,FALSE),"")*(10/11)),"")</f>
        <v/>
      </c>
      <c r="BE38" s="23" t="str">
        <f>IFERROR(ROUNDUP((Table1824[[#This Row],[Qty]]*Table1824[[#This Row],[Hrg St]]),0),"")</f>
        <v/>
      </c>
      <c r="BF38" s="8" t="str">
        <f>IFERROR(ROUNDUP((Table1824[[#This Row],[Qty2]]*Table1824[[#This Row],[Hrg St2]]),0),"")</f>
        <v/>
      </c>
      <c r="BG38" s="8" t="str">
        <f>IFERROR(ROUNDUP((Table1824[[#This Row],[Qty3]]*Table1824[[#This Row],[Hrg St3]]),0),"")</f>
        <v/>
      </c>
      <c r="BH38" s="8" t="str">
        <f>IFERROR(ROUNDUP((Table1824[[#This Row],[Qty4]]*Table1824[[#This Row],[Hrg St4]]),0),"")</f>
        <v/>
      </c>
      <c r="BI38" s="8" t="str">
        <f>IFERROR(ROUNDUP((Table1824[[#This Row],[Qty5]]*Table1824[[#This Row],[Hrg St5]]),0),"")</f>
        <v/>
      </c>
      <c r="BJ38" s="8" t="str">
        <f>IFERROR(ROUNDUP((Table1824[[#This Row],[Qty6]]*Table1824[[#This Row],[Hrg St6]]),0),"")</f>
        <v/>
      </c>
      <c r="BK38" s="8" t="str">
        <f>IFERROR(ROUNDUP((Table1824[[#This Row],[Qty7]]*Table1824[[#This Row],[Hrg St7]]),0),"")</f>
        <v/>
      </c>
      <c r="BL38" s="8" t="str">
        <f>IFERROR(ROUNDUP((Table1824[[#This Row],[Qty8]]*Table1824[[#This Row],[Hrg St8]]),0),"")</f>
        <v/>
      </c>
      <c r="BM38" s="8" t="str">
        <f>IFERROR(ROUNDUP((Table1824[[#This Row],[Qty9]]*Table1824[[#This Row],[Hrg St9]]),0),"")</f>
        <v/>
      </c>
      <c r="BN38" s="8" t="str">
        <f>IFERROR(ROUNDUP((Table1824[[#This Row],[Qty10]]*Table1824[[#This Row],[Hrg St10]]),0),"")</f>
        <v/>
      </c>
      <c r="BO38" s="8" t="str">
        <f>IFERROR(ROUNDUP((Table1824[[#This Row],[Qty11]]*Table1824[[#This Row],[Hrg St11]]),0),"")</f>
        <v/>
      </c>
      <c r="BP38" s="8" t="str">
        <f>IFERROR(ROUNDUP((Table1824[[#This Row],[Qty12]]*Table1824[[#This Row],[Hrg St12]]),0),"")</f>
        <v/>
      </c>
      <c r="BQ38" s="8" t="str">
        <f>IFERROR(ROUNDUP((Table1824[[#This Row],[Qty13]]*Table1824[[#This Row],[Hrg St13]]),0),"")</f>
        <v/>
      </c>
      <c r="BR38" s="23" t="str">
        <f>IF(Table1824[[#This Row],[BKK]]&gt;" ",IFERROR(ROUNDUP((SUM(Table1824[[#This Row],[Jml]:[Jml13]])),0)," ")," ")</f>
        <v xml:space="preserve"> </v>
      </c>
      <c r="BS38" s="23" t="str">
        <f>IF(Table1824[[#This Row],[BKK]]&gt;" ",ROUND((Table1824[[#This Row],[Total]]*0.1),0)," ")</f>
        <v xml:space="preserve"> </v>
      </c>
      <c r="BT38" s="23" t="str">
        <f>IF(Table1824[[#This Row],[BKK]]&gt;" ",(Table1824[[#This Row],[Total]]+Table1824[[#This Row],[PPN]])," ")</f>
        <v xml:space="preserve"> </v>
      </c>
      <c r="BU38" t="s">
        <v>454</v>
      </c>
      <c r="BV38" t="str">
        <f>IF(Table1824[[#This Row],[BKK]]&gt;" ",("INV/AK-MLG/2019/"&amp;'BKU 1'!$E$1&amp;"/"&amp;Table1824[[#This Row],[BKK]]&amp;"/"&amp;'BKU 1'!$E$1&amp;ROW())," ")</f>
        <v xml:space="preserve"> </v>
      </c>
      <c r="BW38" t="str">
        <f>IF(Table1824[[#This Row],[BKK]]&gt;" ",(TEXT(VLOOKUP(Table1824[[#This Row],[BKK]],COPY!$O$2:$U$1000,7,FALSE),"dd mmmm yyyy"))," ")</f>
        <v xml:space="preserve"> </v>
      </c>
      <c r="BX38" t="str">
        <f>IF(Table1824[[#This Row],[BKK]]&gt;" ",(TEXT((Table1824[[#This Row],[Tanggal Kirim]]+30),"dd mmmm yyyy"))," ")</f>
        <v xml:space="preserve"> </v>
      </c>
      <c r="BY38" t="str">
        <f>IF(Table1824[[#This Row],[BKK]]&gt;" ",'BKU 1'!$E$17," ")</f>
        <v xml:space="preserve"> </v>
      </c>
    </row>
    <row r="39" spans="1:77" hidden="1" x14ac:dyDescent="0.25">
      <c r="A39" t="str">
        <f>IFERROR((IF('Laporan ppn'!G6826&gt;0,VLOOKUP('Laporan ppn'!G6826,'Laporan ppn'!$E$10:$F$6785,2,FALSE),"")),"")</f>
        <v xml:space="preserve"> </v>
      </c>
      <c r="B39" t="str">
        <f>IF(Table1824[[#This Row],[BKK]]=" "," ",'BKU 1'!$D$25)</f>
        <v xml:space="preserve"> </v>
      </c>
      <c r="C39" t="str">
        <f>IF(Table1824[[#This Row],[BKK]]=" "," ",'BKU 1'!$D$26)</f>
        <v xml:space="preserve"> </v>
      </c>
      <c r="D39" t="str">
        <f>IF(Table1824[[#This Row],[BKK]]=" "," ",'BKU 1'!$I$25)</f>
        <v xml:space="preserve"> </v>
      </c>
      <c r="E39" t="str">
        <f>IFERROR(VLOOKUP(Table1824[[#This Row],[BKK]],'Un nOTA'!$D$4:$J$1004,2,FALSE),"")</f>
        <v/>
      </c>
      <c r="F39" t="str">
        <f>IFERROR(VLOOKUP(Table1824[[#This Row],[BKK]]&amp;TRIM(RIGHT(SUBSTITUTE(TRIM(Table1824[[#Headers],[Uraian a]])," ",REPT(" ",255)),255)),'Un nOTA'!$D$4:$J$1004,2,FALSE),"")</f>
        <v/>
      </c>
      <c r="G39" t="str">
        <f>IFERROR(VLOOKUP(Table1824[[#This Row],[BKK]]&amp;TRIM(RIGHT(SUBSTITUTE(TRIM(Table1824[[#Headers],[Uraian aa]])," ",REPT(" ",255)),255)),'Un nOTA'!$D$4:$J$1004,2,FALSE),"")</f>
        <v/>
      </c>
      <c r="H39" t="str">
        <f>IFERROR(VLOOKUP(Table1824[[#This Row],[BKK]]&amp;TRIM(RIGHT(SUBSTITUTE(TRIM(Table1824[[#Headers],[Uraian aaa]])," ",REPT(" ",255)),255)),'Un nOTA'!$D$4:$J$1004,2,FALSE),"")</f>
        <v/>
      </c>
      <c r="I39" t="str">
        <f>IFERROR(VLOOKUP(Table1824[[#This Row],[BKK]]&amp;TRIM(RIGHT(SUBSTITUTE(TRIM(Table1824[[#Headers],[Uraian aaaa]])," ",REPT(" ",255)),255)),'Un nOTA'!$D$4:$J$1004,2,FALSE),"")</f>
        <v/>
      </c>
      <c r="J39" t="str">
        <f>IFERROR(VLOOKUP(Table1824[[#This Row],[BKK]]&amp;TRIM(RIGHT(SUBSTITUTE(TRIM(Table1824[[#Headers],[Uraian aaaaa]])," ",REPT(" ",255)),255)),'Un nOTA'!$D$4:$J$1004,2,FALSE),"")</f>
        <v/>
      </c>
      <c r="K39" t="str">
        <f>IFERROR(VLOOKUP(Table1824[[#This Row],[BKK]]&amp;TRIM(RIGHT(SUBSTITUTE(TRIM(Table1824[[#Headers],[Uraian aaaaaa]])," ",REPT(" ",255)),255)),'Un nOTA'!$D$4:$J$1004,2,FALSE),"")</f>
        <v/>
      </c>
      <c r="L39" t="str">
        <f>IFERROR(VLOOKUP(Table1824[[#This Row],[BKK]]&amp;TRIM(RIGHT(SUBSTITUTE(TRIM(Table1824[[#Headers],[Uraian aaaaaaa]])," ",REPT(" ",255)),255)),'Un nOTA'!$D$4:$J$1004,2,FALSE),"")</f>
        <v/>
      </c>
      <c r="M39" t="str">
        <f>IFERROR(VLOOKUP(Table1824[[#This Row],[BKK]]&amp;TRIM(RIGHT(SUBSTITUTE(TRIM(Table1824[[#Headers],[Uraian aaaaaaaa]])," ",REPT(" ",255)),255)),'Un nOTA'!$D$4:$J$1004,2,FALSE),"")</f>
        <v/>
      </c>
      <c r="N39" t="str">
        <f>IFERROR(VLOOKUP(Table1824[[#This Row],[BKK]]&amp;TRIM(RIGHT(SUBSTITUTE(TRIM(Table1824[[#Headers],[Uraian aaaaaaaaa]])," ",REPT(" ",255)),255)),'Un nOTA'!$D$4:$J$1004,2,FALSE),"")</f>
        <v/>
      </c>
      <c r="O39" t="str">
        <f>IFERROR(VLOOKUP(Table1824[[#This Row],[BKK]]&amp;TRIM(RIGHT(SUBSTITUTE(TRIM(Table1824[[#Headers],[Uraian aaaaaaaaaa]])," ",REPT(" ",255)),255)),'Un nOTA'!$D$4:$J$1004,2,FALSE),"")</f>
        <v/>
      </c>
      <c r="P39" t="str">
        <f>IFERROR(VLOOKUP(Table1824[[#This Row],[BKK]]&amp;TRIM(RIGHT(SUBSTITUTE(TRIM(Table1824[[#Headers],[Uraian aaaaaaaaaaa]])," ",REPT(" ",255)),255)),'Un nOTA'!$D$4:$J$1004,2,FALSE),"")</f>
        <v/>
      </c>
      <c r="Q39" t="str">
        <f>IFERROR(VLOOKUP(Table1824[[#This Row],[BKK]]&amp;TRIM(RIGHT(SUBSTITUTE(TRIM(Table1824[[#Headers],[Uraian aaaaaaaaaaaa]])," ",REPT(" ",255)),255)),'Un nOTA'!$D$4:$J$1004,2,FALSE),"")</f>
        <v/>
      </c>
      <c r="R39" s="32" t="str">
        <f>IFERROR(VLOOKUP(Table1824[[#This Row],[BKK]],'Un nOTA'!$D$4:$J$1004,3,FALSE),"")</f>
        <v/>
      </c>
      <c r="S39" s="32" t="str">
        <f>IFERROR(VLOOKUP(Table1824[[#This Row],[BKK]]&amp;TRIM(RIGHT(SUBSTITUTE(TRIM(Table1824[[#Headers],[Uraian a]])," ",REPT(" ",255)),255)),'Un nOTA'!$D$4:$J$1004,3,FALSE),"")</f>
        <v/>
      </c>
      <c r="T39" s="32" t="str">
        <f>IFERROR(VLOOKUP(Table1824[[#This Row],[BKK]]&amp;TRIM(RIGHT(SUBSTITUTE(TRIM(Table1824[[#Headers],[Uraian aa]])," ",REPT(" ",255)),255)),'Un nOTA'!$D$4:$J$1004,3,FALSE),"")</f>
        <v/>
      </c>
      <c r="U39" s="32" t="str">
        <f>IFERROR(VLOOKUP(Table1824[[#This Row],[BKK]]&amp;TRIM(RIGHT(SUBSTITUTE(TRIM(Table1824[[#Headers],[Uraian aaa]])," ",REPT(" ",255)),255)),'Un nOTA'!$D$4:$J$1004,3,FALSE),"")</f>
        <v/>
      </c>
      <c r="V39" s="32" t="str">
        <f>IFERROR(VLOOKUP(Table1824[[#This Row],[BKK]]&amp;TRIM(RIGHT(SUBSTITUTE(TRIM(Table1824[[#Headers],[Uraian aaaa]])," ",REPT(" ",255)),255)),'Un nOTA'!$D$4:$J$1004,3,FALSE),"")</f>
        <v/>
      </c>
      <c r="W39" s="32" t="str">
        <f>IFERROR(VLOOKUP(Table1824[[#This Row],[BKK]]&amp;TRIM(RIGHT(SUBSTITUTE(TRIM(Table1824[[#Headers],[Uraian aaaaa]])," ",REPT(" ",255)),255)),'Un nOTA'!$D$4:$J$1004,3,FALSE),"")</f>
        <v/>
      </c>
      <c r="X39" s="32" t="str">
        <f>IFERROR(VLOOKUP(Table1824[[#This Row],[BKK]]&amp;TRIM(RIGHT(SUBSTITUTE(TRIM(Table1824[[#Headers],[Uraian aaaaaa]])," ",REPT(" ",255)),255)),'Un nOTA'!$D$4:$J$1004,3,FALSE),"")</f>
        <v/>
      </c>
      <c r="Y39" s="32" t="str">
        <f>IFERROR(VLOOKUP(Table1824[[#This Row],[BKK]]&amp;TRIM(RIGHT(SUBSTITUTE(TRIM(Table1824[[#Headers],[Uraian aaaaaaa]])," ",REPT(" ",255)),255)),'Un nOTA'!$D$4:$J$1004,3,FALSE),"")</f>
        <v/>
      </c>
      <c r="Z39" s="32" t="str">
        <f>IFERROR(VLOOKUP(Table1824[[#This Row],[BKK]]&amp;TRIM(RIGHT(SUBSTITUTE(TRIM(Table1824[[#Headers],[Uraian aaaaaaaa]])," ",REPT(" ",255)),255)),'Un nOTA'!$D$4:$J$1004,3,FALSE),"")</f>
        <v/>
      </c>
      <c r="AA39" s="32" t="str">
        <f>IFERROR(VLOOKUP(Table1824[[#This Row],[BKK]]&amp;TRIM(RIGHT(SUBSTITUTE(TRIM(Table1824[[#Headers],[Uraian aaaaaaaaa]])," ",REPT(" ",255)),255)),'Un nOTA'!$D$4:$J$1004,3,FALSE),"")</f>
        <v/>
      </c>
      <c r="AB39" s="32" t="str">
        <f>IFERROR(VLOOKUP(Table1824[[#This Row],[BKK]]&amp;TRIM(RIGHT(SUBSTITUTE(TRIM(Table1824[[#Headers],[Uraian aaaaaaaaaa]])," ",REPT(" ",255)),255)),'Un nOTA'!$D$4:$J$1004,3,FALSE),"")</f>
        <v/>
      </c>
      <c r="AC39" s="32" t="str">
        <f>IFERROR(VLOOKUP(Table1824[[#This Row],[BKK]]&amp;TRIM(RIGHT(SUBSTITUTE(TRIM(Table1824[[#Headers],[Uraian aaaaaaaaaaa]])," ",REPT(" ",255)),255)),'Un nOTA'!$D$4:$J$1004,3,FALSE),"")</f>
        <v/>
      </c>
      <c r="AD39" s="32" t="str">
        <f>IFERROR(VLOOKUP(Table1824[[#This Row],[BKK]]&amp;TRIM(RIGHT(SUBSTITUTE(TRIM(Table1824[[#Headers],[Uraian aaaaaaaaaaaa]])," ",REPT(" ",255)),255)),'Un nOTA'!$D$4:$J$1004,3,FALSE),"")</f>
        <v/>
      </c>
      <c r="AE39" s="8" t="str">
        <f>IFERROR(VLOOKUP(Table1824[[#This Row],[BKK]],'Un nOTA'!$D$4:$J$1004,4,FALSE),"")</f>
        <v/>
      </c>
      <c r="AF39" s="8" t="str">
        <f>IFERROR(VLOOKUP(Table1824[[#This Row],[BKK]]&amp;TRIM(RIGHT(SUBSTITUTE(TRIM(Table1824[[#Headers],[Uraian a]])," ",REPT(" ",255)),255)),'Un nOTA'!$D$4:$J$1004,4,FALSE),"")</f>
        <v/>
      </c>
      <c r="AG39" s="8" t="str">
        <f>IFERROR(VLOOKUP(Table1824[[#This Row],[BKK]]&amp;TRIM(RIGHT(SUBSTITUTE(TRIM(Table1824[[#Headers],[Uraian aa]])," ",REPT(" ",255)),255)),'Un nOTA'!$D$4:$J$1004,4,FALSE),"")</f>
        <v/>
      </c>
      <c r="AH39" s="8" t="str">
        <f>IFERROR(VLOOKUP(Table1824[[#This Row],[BKK]]&amp;TRIM(RIGHT(SUBSTITUTE(TRIM(Table1824[[#Headers],[Uraian aaa]])," ",REPT(" ",255)),255)),'Un nOTA'!$D$4:$J$1004,4,FALSE),"")</f>
        <v/>
      </c>
      <c r="AI39" s="8" t="str">
        <f>IFERROR(VLOOKUP(Table1824[[#This Row],[BKK]]&amp;TRIM(RIGHT(SUBSTITUTE(TRIM(Table1824[[#Headers],[Uraian aaaa]])," ",REPT(" ",255)),255)),'Un nOTA'!$D$4:$J$1004,4,FALSE),"")</f>
        <v/>
      </c>
      <c r="AJ39" s="8" t="str">
        <f>IFERROR(VLOOKUP(Table1824[[#This Row],[BKK]]&amp;TRIM(RIGHT(SUBSTITUTE(TRIM(Table1824[[#Headers],[Uraian aaaaa]])," ",REPT(" ",255)),255)),'Un nOTA'!$D$4:$J$1004,4,FALSE),"")</f>
        <v/>
      </c>
      <c r="AK39" s="8" t="str">
        <f>IFERROR(VLOOKUP(Table1824[[#This Row],[BKK]]&amp;TRIM(RIGHT(SUBSTITUTE(TRIM(Table1824[[#Headers],[Uraian aaaaaa]])," ",REPT(" ",255)),255)),'Un nOTA'!$D$4:$J$1004,4,FALSE),"")</f>
        <v/>
      </c>
      <c r="AL39" s="8" t="str">
        <f>IFERROR(VLOOKUP(Table1824[[#This Row],[BKK]]&amp;TRIM(RIGHT(SUBSTITUTE(TRIM(Table1824[[#Headers],[Uraian aaaaaaa]])," ",REPT(" ",255)),255)),'Un nOTA'!$D$4:$J$1004,4,FALSE),"")</f>
        <v/>
      </c>
      <c r="AM39" s="8" t="str">
        <f>IFERROR(VLOOKUP(Table1824[[#This Row],[BKK]]&amp;TRIM(RIGHT(SUBSTITUTE(TRIM(Table1824[[#Headers],[Uraian aaaaaaaa]])," ",REPT(" ",255)),255)),'Un nOTA'!$D$4:$J$1004,4,FALSE),"")</f>
        <v/>
      </c>
      <c r="AN39" s="8" t="str">
        <f>IFERROR(VLOOKUP(Table1824[[#This Row],[BKK]]&amp;TRIM(RIGHT(SUBSTITUTE(TRIM(Table1824[[#Headers],[Uraian aaaaaaaaa]])," ",REPT(" ",255)),255)),'Un nOTA'!$D$4:$J$1004,4,FALSE),"")</f>
        <v/>
      </c>
      <c r="AO39" s="8" t="str">
        <f>IFERROR(VLOOKUP(Table1824[[#This Row],[BKK]]&amp;TRIM(RIGHT(SUBSTITUTE(TRIM(Table1824[[#Headers],[Uraian aaaaaaaaaa]])," ",REPT(" ",255)),255)),'Un nOTA'!$D$4:$J$1004,4,FALSE),"")</f>
        <v/>
      </c>
      <c r="AP39" s="8" t="str">
        <f>IFERROR(VLOOKUP(Table1824[[#This Row],[BKK]]&amp;TRIM(RIGHT(SUBSTITUTE(TRIM(Table1824[[#Headers],[Uraian aaaaaaaaaaa]])," ",REPT(" ",255)),255)),'Un nOTA'!$D$4:$J$1004,4,FALSE),"")</f>
        <v/>
      </c>
      <c r="AQ39" s="8" t="str">
        <f>IFERROR(VLOOKUP(Table1824[[#This Row],[BKK]]&amp;TRIM(RIGHT(SUBSTITUTE(TRIM(Table1824[[#Headers],[Uraian aaaaaaaaaaaa]])," ",REPT(" ",255)),255)),'Un nOTA'!$D$4:$J$1004,4,FALSE),"")</f>
        <v/>
      </c>
      <c r="AR39" s="8" t="str">
        <f>IFERROR((IFERROR(VLOOKUP(Table1824[[#This Row],[BKK]],'Un nOTA'!$D$4:$J$1004,5,FALSE),""))*(10/11),"")</f>
        <v/>
      </c>
      <c r="AS39" s="8" t="str">
        <f>IFERROR((IFERROR(VLOOKUP(Table1824[[#This Row],[BKK]]&amp;TRIM(RIGHT(SUBSTITUTE(TRIM(Table1824[[#Headers],[Uraian a]])," ",REPT(" ",255)),255)),'Un nOTA'!$D$4:$J$1004,5,FALSE),"")*(10/11)),"")</f>
        <v/>
      </c>
      <c r="AT39" s="8" t="str">
        <f>IFERROR((IFERROR(VLOOKUP(Table1824[[#This Row],[BKK]]&amp;TRIM(RIGHT(SUBSTITUTE(TRIM(Table1824[[#Headers],[Uraian aa]])," ",REPT(" ",255)),255)),'Un nOTA'!$D$4:$J$1004,5,FALSE),"")*(10/11)),"")</f>
        <v/>
      </c>
      <c r="AU39" s="8" t="str">
        <f>IFERROR((IFERROR(VLOOKUP(Table1824[[#This Row],[BKK]]&amp;TRIM(RIGHT(SUBSTITUTE(TRIM(Table1824[[#Headers],[Uraian aaa]])," ",REPT(" ",255)),255)),'Un nOTA'!$D$4:$J$1004,5,FALSE),"")*(10/11)),"")</f>
        <v/>
      </c>
      <c r="AV39" s="8" t="str">
        <f>IFERROR((IFERROR(VLOOKUP(Table1824[[#This Row],[BKK]]&amp;TRIM(RIGHT(SUBSTITUTE(TRIM(Table1824[[#Headers],[Uraian aaaa]])," ",REPT(" ",255)),255)),'Un nOTA'!$D$4:$J$1004,5,FALSE),"")*(10/11)),"")</f>
        <v/>
      </c>
      <c r="AW39" s="8" t="str">
        <f>IFERROR((IFERROR(VLOOKUP(Table1824[[#This Row],[BKK]]&amp;TRIM(RIGHT(SUBSTITUTE(TRIM(Table1824[[#Headers],[Uraian aaaaa]])," ",REPT(" ",255)),255)),'Un nOTA'!$D$4:$J$1004,5,FALSE),"")*(10/11)),"")</f>
        <v/>
      </c>
      <c r="AX39" s="8" t="str">
        <f>IFERROR((IFERROR(VLOOKUP(Table1824[[#This Row],[BKK]]&amp;TRIM(RIGHT(SUBSTITUTE(TRIM(Table1824[[#Headers],[Uraian aaaaaa]])," ",REPT(" ",255)),255)),'Un nOTA'!$D$4:$J$1004,5,FALSE),"")*(10/11)),"")</f>
        <v/>
      </c>
      <c r="AY39" s="8" t="str">
        <f>IFERROR((IFERROR(VLOOKUP(Table1824[[#This Row],[BKK]]&amp;TRIM(RIGHT(SUBSTITUTE(TRIM(Table1824[[#Headers],[Uraian aaaaaaa]])," ",REPT(" ",255)),255)),'Un nOTA'!$D$4:$J$1004,5,FALSE),"")*(10/11)),"")</f>
        <v/>
      </c>
      <c r="AZ39" s="8" t="str">
        <f>IFERROR((IFERROR(VLOOKUP(Table1824[[#This Row],[BKK]]&amp;TRIM(RIGHT(SUBSTITUTE(TRIM(Table1824[[#Headers],[Uraian aaaaaaaa]])," ",REPT(" ",255)),255)),'Un nOTA'!$D$4:$J$1004,5,FALSE),"")*(10/11)),"")</f>
        <v/>
      </c>
      <c r="BA39" s="8" t="str">
        <f>IFERROR((IFERROR(VLOOKUP(Table1824[[#This Row],[BKK]]&amp;TRIM(RIGHT(SUBSTITUTE(TRIM(Table1824[[#Headers],[Uraian aaaaaaaaa]])," ",REPT(" ",255)),255)),'Un nOTA'!$D$4:$J$1004,5,FALSE),"")*(10/11)),"")</f>
        <v/>
      </c>
      <c r="BB39" s="8" t="str">
        <f>IFERROR((IFERROR(VLOOKUP(Table1824[[#This Row],[BKK]]&amp;TRIM(RIGHT(SUBSTITUTE(TRIM(Table1824[[#Headers],[Uraian aaaaaaaaaa]])," ",REPT(" ",255)),255)),'Un nOTA'!$D$4:$J$1004,5,FALSE),"")*(10/11)),"")</f>
        <v/>
      </c>
      <c r="BC39" s="8" t="str">
        <f>IFERROR((IFERROR(VLOOKUP(Table1824[[#This Row],[BKK]]&amp;TRIM(RIGHT(SUBSTITUTE(TRIM(Table1824[[#Headers],[Uraian aaaaaaaaaaa]])," ",REPT(" ",255)),255)),'Un nOTA'!$D$4:$J$1004,5,FALSE),"")*(10/11)),"")</f>
        <v/>
      </c>
      <c r="BD39" s="8" t="str">
        <f>IFERROR((IFERROR(VLOOKUP(Table1824[[#This Row],[BKK]]&amp;TRIM(RIGHT(SUBSTITUTE(TRIM(Table1824[[#Headers],[Uraian aaaaaaaaaaaa]])," ",REPT(" ",255)),255)),'Un nOTA'!$D$4:$J$1004,5,FALSE),"")*(10/11)),"")</f>
        <v/>
      </c>
      <c r="BE39" s="23" t="str">
        <f>IFERROR(ROUNDUP((Table1824[[#This Row],[Qty]]*Table1824[[#This Row],[Hrg St]]),0),"")</f>
        <v/>
      </c>
      <c r="BF39" s="8" t="str">
        <f>IFERROR(ROUNDUP((Table1824[[#This Row],[Qty2]]*Table1824[[#This Row],[Hrg St2]]),0),"")</f>
        <v/>
      </c>
      <c r="BG39" s="8" t="str">
        <f>IFERROR(ROUNDUP((Table1824[[#This Row],[Qty3]]*Table1824[[#This Row],[Hrg St3]]),0),"")</f>
        <v/>
      </c>
      <c r="BH39" s="8" t="str">
        <f>IFERROR(ROUNDUP((Table1824[[#This Row],[Qty4]]*Table1824[[#This Row],[Hrg St4]]),0),"")</f>
        <v/>
      </c>
      <c r="BI39" s="8" t="str">
        <f>IFERROR(ROUNDUP((Table1824[[#This Row],[Qty5]]*Table1824[[#This Row],[Hrg St5]]),0),"")</f>
        <v/>
      </c>
      <c r="BJ39" s="8" t="str">
        <f>IFERROR(ROUNDUP((Table1824[[#This Row],[Qty6]]*Table1824[[#This Row],[Hrg St6]]),0),"")</f>
        <v/>
      </c>
      <c r="BK39" s="8" t="str">
        <f>IFERROR(ROUNDUP((Table1824[[#This Row],[Qty7]]*Table1824[[#This Row],[Hrg St7]]),0),"")</f>
        <v/>
      </c>
      <c r="BL39" s="8" t="str">
        <f>IFERROR(ROUNDUP((Table1824[[#This Row],[Qty8]]*Table1824[[#This Row],[Hrg St8]]),0),"")</f>
        <v/>
      </c>
      <c r="BM39" s="8" t="str">
        <f>IFERROR(ROUNDUP((Table1824[[#This Row],[Qty9]]*Table1824[[#This Row],[Hrg St9]]),0),"")</f>
        <v/>
      </c>
      <c r="BN39" s="8" t="str">
        <f>IFERROR(ROUNDUP((Table1824[[#This Row],[Qty10]]*Table1824[[#This Row],[Hrg St10]]),0),"")</f>
        <v/>
      </c>
      <c r="BO39" s="8" t="str">
        <f>IFERROR(ROUNDUP((Table1824[[#This Row],[Qty11]]*Table1824[[#This Row],[Hrg St11]]),0),"")</f>
        <v/>
      </c>
      <c r="BP39" s="8" t="str">
        <f>IFERROR(ROUNDUP((Table1824[[#This Row],[Qty12]]*Table1824[[#This Row],[Hrg St12]]),0),"")</f>
        <v/>
      </c>
      <c r="BQ39" s="8" t="str">
        <f>IFERROR(ROUNDUP((Table1824[[#This Row],[Qty13]]*Table1824[[#This Row],[Hrg St13]]),0),"")</f>
        <v/>
      </c>
      <c r="BR39" s="23" t="str">
        <f>IF(Table1824[[#This Row],[BKK]]&gt;" ",IFERROR(ROUNDUP((SUM(Table1824[[#This Row],[Jml]:[Jml13]])),0)," ")," ")</f>
        <v xml:space="preserve"> </v>
      </c>
      <c r="BS39" s="23" t="str">
        <f>IF(Table1824[[#This Row],[BKK]]&gt;" ",ROUND((Table1824[[#This Row],[Total]]*0.1),0)," ")</f>
        <v xml:space="preserve"> </v>
      </c>
      <c r="BT39" s="23" t="str">
        <f>IF(Table1824[[#This Row],[BKK]]&gt;" ",(Table1824[[#This Row],[Total]]+Table1824[[#This Row],[PPN]])," ")</f>
        <v xml:space="preserve"> </v>
      </c>
      <c r="BU39" t="s">
        <v>454</v>
      </c>
      <c r="BV39" t="str">
        <f>IF(Table1824[[#This Row],[BKK]]&gt;" ",("INV/AK-MLG/2019/"&amp;'BKU 1'!$E$1&amp;"/"&amp;Table1824[[#This Row],[BKK]]&amp;"/"&amp;'BKU 1'!$E$1&amp;ROW())," ")</f>
        <v xml:space="preserve"> </v>
      </c>
      <c r="BW39" t="str">
        <f>IF(Table1824[[#This Row],[BKK]]&gt;" ",(TEXT(VLOOKUP(Table1824[[#This Row],[BKK]],COPY!$O$2:$U$1000,7,FALSE),"dd mmmm yyyy"))," ")</f>
        <v xml:space="preserve"> </v>
      </c>
      <c r="BX39" t="str">
        <f>IF(Table1824[[#This Row],[BKK]]&gt;" ",(TEXT((Table1824[[#This Row],[Tanggal Kirim]]+30),"dd mmmm yyyy"))," ")</f>
        <v xml:space="preserve"> </v>
      </c>
      <c r="BY39" t="str">
        <f>IF(Table1824[[#This Row],[BKK]]&gt;" ",'BKU 1'!$E$17," ")</f>
        <v xml:space="preserve"> </v>
      </c>
    </row>
    <row r="40" spans="1:77" hidden="1" x14ac:dyDescent="0.25">
      <c r="A40" t="str">
        <f>IFERROR((IF('Laporan ppn'!G6827&gt;0,VLOOKUP('Laporan ppn'!G6827,'Laporan ppn'!$E$10:$F$6785,2,FALSE),"")),"")</f>
        <v xml:space="preserve"> </v>
      </c>
      <c r="B40" t="str">
        <f>IF(Table1824[[#This Row],[BKK]]=" "," ",'BKU 1'!$D$25)</f>
        <v xml:space="preserve"> </v>
      </c>
      <c r="C40" t="str">
        <f>IF(Table1824[[#This Row],[BKK]]=" "," ",'BKU 1'!$D$26)</f>
        <v xml:space="preserve"> </v>
      </c>
      <c r="D40" t="str">
        <f>IF(Table1824[[#This Row],[BKK]]=" "," ",'BKU 1'!$I$25)</f>
        <v xml:space="preserve"> </v>
      </c>
      <c r="E40" t="str">
        <f>IFERROR(VLOOKUP(Table1824[[#This Row],[BKK]],'Un nOTA'!$D$4:$J$1004,2,FALSE),"")</f>
        <v/>
      </c>
      <c r="F40" t="str">
        <f>IFERROR(VLOOKUP(Table1824[[#This Row],[BKK]]&amp;TRIM(RIGHT(SUBSTITUTE(TRIM(Table1824[[#Headers],[Uraian a]])," ",REPT(" ",255)),255)),'Un nOTA'!$D$4:$J$1004,2,FALSE),"")</f>
        <v/>
      </c>
      <c r="G40" t="str">
        <f>IFERROR(VLOOKUP(Table1824[[#This Row],[BKK]]&amp;TRIM(RIGHT(SUBSTITUTE(TRIM(Table1824[[#Headers],[Uraian aa]])," ",REPT(" ",255)),255)),'Un nOTA'!$D$4:$J$1004,2,FALSE),"")</f>
        <v/>
      </c>
      <c r="H40" t="str">
        <f>IFERROR(VLOOKUP(Table1824[[#This Row],[BKK]]&amp;TRIM(RIGHT(SUBSTITUTE(TRIM(Table1824[[#Headers],[Uraian aaa]])," ",REPT(" ",255)),255)),'Un nOTA'!$D$4:$J$1004,2,FALSE),"")</f>
        <v/>
      </c>
      <c r="I40" t="str">
        <f>IFERROR(VLOOKUP(Table1824[[#This Row],[BKK]]&amp;TRIM(RIGHT(SUBSTITUTE(TRIM(Table1824[[#Headers],[Uraian aaaa]])," ",REPT(" ",255)),255)),'Un nOTA'!$D$4:$J$1004,2,FALSE),"")</f>
        <v/>
      </c>
      <c r="J40" t="str">
        <f>IFERROR(VLOOKUP(Table1824[[#This Row],[BKK]]&amp;TRIM(RIGHT(SUBSTITUTE(TRIM(Table1824[[#Headers],[Uraian aaaaa]])," ",REPT(" ",255)),255)),'Un nOTA'!$D$4:$J$1004,2,FALSE),"")</f>
        <v/>
      </c>
      <c r="K40" t="str">
        <f>IFERROR(VLOOKUP(Table1824[[#This Row],[BKK]]&amp;TRIM(RIGHT(SUBSTITUTE(TRIM(Table1824[[#Headers],[Uraian aaaaaa]])," ",REPT(" ",255)),255)),'Un nOTA'!$D$4:$J$1004,2,FALSE),"")</f>
        <v/>
      </c>
      <c r="L40" t="str">
        <f>IFERROR(VLOOKUP(Table1824[[#This Row],[BKK]]&amp;TRIM(RIGHT(SUBSTITUTE(TRIM(Table1824[[#Headers],[Uraian aaaaaaa]])," ",REPT(" ",255)),255)),'Un nOTA'!$D$4:$J$1004,2,FALSE),"")</f>
        <v/>
      </c>
      <c r="M40" t="str">
        <f>IFERROR(VLOOKUP(Table1824[[#This Row],[BKK]]&amp;TRIM(RIGHT(SUBSTITUTE(TRIM(Table1824[[#Headers],[Uraian aaaaaaaa]])," ",REPT(" ",255)),255)),'Un nOTA'!$D$4:$J$1004,2,FALSE),"")</f>
        <v/>
      </c>
      <c r="N40" t="str">
        <f>IFERROR(VLOOKUP(Table1824[[#This Row],[BKK]]&amp;TRIM(RIGHT(SUBSTITUTE(TRIM(Table1824[[#Headers],[Uraian aaaaaaaaa]])," ",REPT(" ",255)),255)),'Un nOTA'!$D$4:$J$1004,2,FALSE),"")</f>
        <v/>
      </c>
      <c r="O40" t="str">
        <f>IFERROR(VLOOKUP(Table1824[[#This Row],[BKK]]&amp;TRIM(RIGHT(SUBSTITUTE(TRIM(Table1824[[#Headers],[Uraian aaaaaaaaaa]])," ",REPT(" ",255)),255)),'Un nOTA'!$D$4:$J$1004,2,FALSE),"")</f>
        <v/>
      </c>
      <c r="P40" t="str">
        <f>IFERROR(VLOOKUP(Table1824[[#This Row],[BKK]]&amp;TRIM(RIGHT(SUBSTITUTE(TRIM(Table1824[[#Headers],[Uraian aaaaaaaaaaa]])," ",REPT(" ",255)),255)),'Un nOTA'!$D$4:$J$1004,2,FALSE),"")</f>
        <v/>
      </c>
      <c r="Q40" t="str">
        <f>IFERROR(VLOOKUP(Table1824[[#This Row],[BKK]]&amp;TRIM(RIGHT(SUBSTITUTE(TRIM(Table1824[[#Headers],[Uraian aaaaaaaaaaaa]])," ",REPT(" ",255)),255)),'Un nOTA'!$D$4:$J$1004,2,FALSE),"")</f>
        <v/>
      </c>
      <c r="R40" s="32" t="str">
        <f>IFERROR(VLOOKUP(Table1824[[#This Row],[BKK]],'Un nOTA'!$D$4:$J$1004,3,FALSE),"")</f>
        <v/>
      </c>
      <c r="S40" s="32" t="str">
        <f>IFERROR(VLOOKUP(Table1824[[#This Row],[BKK]]&amp;TRIM(RIGHT(SUBSTITUTE(TRIM(Table1824[[#Headers],[Uraian a]])," ",REPT(" ",255)),255)),'Un nOTA'!$D$4:$J$1004,3,FALSE),"")</f>
        <v/>
      </c>
      <c r="T40" s="32" t="str">
        <f>IFERROR(VLOOKUP(Table1824[[#This Row],[BKK]]&amp;TRIM(RIGHT(SUBSTITUTE(TRIM(Table1824[[#Headers],[Uraian aa]])," ",REPT(" ",255)),255)),'Un nOTA'!$D$4:$J$1004,3,FALSE),"")</f>
        <v/>
      </c>
      <c r="U40" s="32" t="str">
        <f>IFERROR(VLOOKUP(Table1824[[#This Row],[BKK]]&amp;TRIM(RIGHT(SUBSTITUTE(TRIM(Table1824[[#Headers],[Uraian aaa]])," ",REPT(" ",255)),255)),'Un nOTA'!$D$4:$J$1004,3,FALSE),"")</f>
        <v/>
      </c>
      <c r="V40" s="32" t="str">
        <f>IFERROR(VLOOKUP(Table1824[[#This Row],[BKK]]&amp;TRIM(RIGHT(SUBSTITUTE(TRIM(Table1824[[#Headers],[Uraian aaaa]])," ",REPT(" ",255)),255)),'Un nOTA'!$D$4:$J$1004,3,FALSE),"")</f>
        <v/>
      </c>
      <c r="W40" s="32" t="str">
        <f>IFERROR(VLOOKUP(Table1824[[#This Row],[BKK]]&amp;TRIM(RIGHT(SUBSTITUTE(TRIM(Table1824[[#Headers],[Uraian aaaaa]])," ",REPT(" ",255)),255)),'Un nOTA'!$D$4:$J$1004,3,FALSE),"")</f>
        <v/>
      </c>
      <c r="X40" s="32" t="str">
        <f>IFERROR(VLOOKUP(Table1824[[#This Row],[BKK]]&amp;TRIM(RIGHT(SUBSTITUTE(TRIM(Table1824[[#Headers],[Uraian aaaaaa]])," ",REPT(" ",255)),255)),'Un nOTA'!$D$4:$J$1004,3,FALSE),"")</f>
        <v/>
      </c>
      <c r="Y40" s="32" t="str">
        <f>IFERROR(VLOOKUP(Table1824[[#This Row],[BKK]]&amp;TRIM(RIGHT(SUBSTITUTE(TRIM(Table1824[[#Headers],[Uraian aaaaaaa]])," ",REPT(" ",255)),255)),'Un nOTA'!$D$4:$J$1004,3,FALSE),"")</f>
        <v/>
      </c>
      <c r="Z40" s="32" t="str">
        <f>IFERROR(VLOOKUP(Table1824[[#This Row],[BKK]]&amp;TRIM(RIGHT(SUBSTITUTE(TRIM(Table1824[[#Headers],[Uraian aaaaaaaa]])," ",REPT(" ",255)),255)),'Un nOTA'!$D$4:$J$1004,3,FALSE),"")</f>
        <v/>
      </c>
      <c r="AA40" s="32" t="str">
        <f>IFERROR(VLOOKUP(Table1824[[#This Row],[BKK]]&amp;TRIM(RIGHT(SUBSTITUTE(TRIM(Table1824[[#Headers],[Uraian aaaaaaaaa]])," ",REPT(" ",255)),255)),'Un nOTA'!$D$4:$J$1004,3,FALSE),"")</f>
        <v/>
      </c>
      <c r="AB40" s="32" t="str">
        <f>IFERROR(VLOOKUP(Table1824[[#This Row],[BKK]]&amp;TRIM(RIGHT(SUBSTITUTE(TRIM(Table1824[[#Headers],[Uraian aaaaaaaaaa]])," ",REPT(" ",255)),255)),'Un nOTA'!$D$4:$J$1004,3,FALSE),"")</f>
        <v/>
      </c>
      <c r="AC40" s="32" t="str">
        <f>IFERROR(VLOOKUP(Table1824[[#This Row],[BKK]]&amp;TRIM(RIGHT(SUBSTITUTE(TRIM(Table1824[[#Headers],[Uraian aaaaaaaaaaa]])," ",REPT(" ",255)),255)),'Un nOTA'!$D$4:$J$1004,3,FALSE),"")</f>
        <v/>
      </c>
      <c r="AD40" s="32" t="str">
        <f>IFERROR(VLOOKUP(Table1824[[#This Row],[BKK]]&amp;TRIM(RIGHT(SUBSTITUTE(TRIM(Table1824[[#Headers],[Uraian aaaaaaaaaaaa]])," ",REPT(" ",255)),255)),'Un nOTA'!$D$4:$J$1004,3,FALSE),"")</f>
        <v/>
      </c>
      <c r="AE40" s="8" t="str">
        <f>IFERROR(VLOOKUP(Table1824[[#This Row],[BKK]],'Un nOTA'!$D$4:$J$1004,4,FALSE),"")</f>
        <v/>
      </c>
      <c r="AF40" s="8" t="str">
        <f>IFERROR(VLOOKUP(Table1824[[#This Row],[BKK]]&amp;TRIM(RIGHT(SUBSTITUTE(TRIM(Table1824[[#Headers],[Uraian a]])," ",REPT(" ",255)),255)),'Un nOTA'!$D$4:$J$1004,4,FALSE),"")</f>
        <v/>
      </c>
      <c r="AG40" s="8" t="str">
        <f>IFERROR(VLOOKUP(Table1824[[#This Row],[BKK]]&amp;TRIM(RIGHT(SUBSTITUTE(TRIM(Table1824[[#Headers],[Uraian aa]])," ",REPT(" ",255)),255)),'Un nOTA'!$D$4:$J$1004,4,FALSE),"")</f>
        <v/>
      </c>
      <c r="AH40" s="8" t="str">
        <f>IFERROR(VLOOKUP(Table1824[[#This Row],[BKK]]&amp;TRIM(RIGHT(SUBSTITUTE(TRIM(Table1824[[#Headers],[Uraian aaa]])," ",REPT(" ",255)),255)),'Un nOTA'!$D$4:$J$1004,4,FALSE),"")</f>
        <v/>
      </c>
      <c r="AI40" s="8" t="str">
        <f>IFERROR(VLOOKUP(Table1824[[#This Row],[BKK]]&amp;TRIM(RIGHT(SUBSTITUTE(TRIM(Table1824[[#Headers],[Uraian aaaa]])," ",REPT(" ",255)),255)),'Un nOTA'!$D$4:$J$1004,4,FALSE),"")</f>
        <v/>
      </c>
      <c r="AJ40" s="8" t="str">
        <f>IFERROR(VLOOKUP(Table1824[[#This Row],[BKK]]&amp;TRIM(RIGHT(SUBSTITUTE(TRIM(Table1824[[#Headers],[Uraian aaaaa]])," ",REPT(" ",255)),255)),'Un nOTA'!$D$4:$J$1004,4,FALSE),"")</f>
        <v/>
      </c>
      <c r="AK40" s="8" t="str">
        <f>IFERROR(VLOOKUP(Table1824[[#This Row],[BKK]]&amp;TRIM(RIGHT(SUBSTITUTE(TRIM(Table1824[[#Headers],[Uraian aaaaaa]])," ",REPT(" ",255)),255)),'Un nOTA'!$D$4:$J$1004,4,FALSE),"")</f>
        <v/>
      </c>
      <c r="AL40" s="8" t="str">
        <f>IFERROR(VLOOKUP(Table1824[[#This Row],[BKK]]&amp;TRIM(RIGHT(SUBSTITUTE(TRIM(Table1824[[#Headers],[Uraian aaaaaaa]])," ",REPT(" ",255)),255)),'Un nOTA'!$D$4:$J$1004,4,FALSE),"")</f>
        <v/>
      </c>
      <c r="AM40" s="8" t="str">
        <f>IFERROR(VLOOKUP(Table1824[[#This Row],[BKK]]&amp;TRIM(RIGHT(SUBSTITUTE(TRIM(Table1824[[#Headers],[Uraian aaaaaaaa]])," ",REPT(" ",255)),255)),'Un nOTA'!$D$4:$J$1004,4,FALSE),"")</f>
        <v/>
      </c>
      <c r="AN40" s="8" t="str">
        <f>IFERROR(VLOOKUP(Table1824[[#This Row],[BKK]]&amp;TRIM(RIGHT(SUBSTITUTE(TRIM(Table1824[[#Headers],[Uraian aaaaaaaaa]])," ",REPT(" ",255)),255)),'Un nOTA'!$D$4:$J$1004,4,FALSE),"")</f>
        <v/>
      </c>
      <c r="AO40" s="8" t="str">
        <f>IFERROR(VLOOKUP(Table1824[[#This Row],[BKK]]&amp;TRIM(RIGHT(SUBSTITUTE(TRIM(Table1824[[#Headers],[Uraian aaaaaaaaaa]])," ",REPT(" ",255)),255)),'Un nOTA'!$D$4:$J$1004,4,FALSE),"")</f>
        <v/>
      </c>
      <c r="AP40" s="8" t="str">
        <f>IFERROR(VLOOKUP(Table1824[[#This Row],[BKK]]&amp;TRIM(RIGHT(SUBSTITUTE(TRIM(Table1824[[#Headers],[Uraian aaaaaaaaaaa]])," ",REPT(" ",255)),255)),'Un nOTA'!$D$4:$J$1004,4,FALSE),"")</f>
        <v/>
      </c>
      <c r="AQ40" s="8" t="str">
        <f>IFERROR(VLOOKUP(Table1824[[#This Row],[BKK]]&amp;TRIM(RIGHT(SUBSTITUTE(TRIM(Table1824[[#Headers],[Uraian aaaaaaaaaaaa]])," ",REPT(" ",255)),255)),'Un nOTA'!$D$4:$J$1004,4,FALSE),"")</f>
        <v/>
      </c>
      <c r="AR40" s="8" t="str">
        <f>IFERROR((IFERROR(VLOOKUP(Table1824[[#This Row],[BKK]],'Un nOTA'!$D$4:$J$1004,5,FALSE),""))*(10/11),"")</f>
        <v/>
      </c>
      <c r="AS40" s="8" t="str">
        <f>IFERROR((IFERROR(VLOOKUP(Table1824[[#This Row],[BKK]]&amp;TRIM(RIGHT(SUBSTITUTE(TRIM(Table1824[[#Headers],[Uraian a]])," ",REPT(" ",255)),255)),'Un nOTA'!$D$4:$J$1004,5,FALSE),"")*(10/11)),"")</f>
        <v/>
      </c>
      <c r="AT40" s="8" t="str">
        <f>IFERROR((IFERROR(VLOOKUP(Table1824[[#This Row],[BKK]]&amp;TRIM(RIGHT(SUBSTITUTE(TRIM(Table1824[[#Headers],[Uraian aa]])," ",REPT(" ",255)),255)),'Un nOTA'!$D$4:$J$1004,5,FALSE),"")*(10/11)),"")</f>
        <v/>
      </c>
      <c r="AU40" s="8" t="str">
        <f>IFERROR((IFERROR(VLOOKUP(Table1824[[#This Row],[BKK]]&amp;TRIM(RIGHT(SUBSTITUTE(TRIM(Table1824[[#Headers],[Uraian aaa]])," ",REPT(" ",255)),255)),'Un nOTA'!$D$4:$J$1004,5,FALSE),"")*(10/11)),"")</f>
        <v/>
      </c>
      <c r="AV40" s="8" t="str">
        <f>IFERROR((IFERROR(VLOOKUP(Table1824[[#This Row],[BKK]]&amp;TRIM(RIGHT(SUBSTITUTE(TRIM(Table1824[[#Headers],[Uraian aaaa]])," ",REPT(" ",255)),255)),'Un nOTA'!$D$4:$J$1004,5,FALSE),"")*(10/11)),"")</f>
        <v/>
      </c>
      <c r="AW40" s="8" t="str">
        <f>IFERROR((IFERROR(VLOOKUP(Table1824[[#This Row],[BKK]]&amp;TRIM(RIGHT(SUBSTITUTE(TRIM(Table1824[[#Headers],[Uraian aaaaa]])," ",REPT(" ",255)),255)),'Un nOTA'!$D$4:$J$1004,5,FALSE),"")*(10/11)),"")</f>
        <v/>
      </c>
      <c r="AX40" s="8" t="str">
        <f>IFERROR((IFERROR(VLOOKUP(Table1824[[#This Row],[BKK]]&amp;TRIM(RIGHT(SUBSTITUTE(TRIM(Table1824[[#Headers],[Uraian aaaaaa]])," ",REPT(" ",255)),255)),'Un nOTA'!$D$4:$J$1004,5,FALSE),"")*(10/11)),"")</f>
        <v/>
      </c>
      <c r="AY40" s="8" t="str">
        <f>IFERROR((IFERROR(VLOOKUP(Table1824[[#This Row],[BKK]]&amp;TRIM(RIGHT(SUBSTITUTE(TRIM(Table1824[[#Headers],[Uraian aaaaaaa]])," ",REPT(" ",255)),255)),'Un nOTA'!$D$4:$J$1004,5,FALSE),"")*(10/11)),"")</f>
        <v/>
      </c>
      <c r="AZ40" s="8" t="str">
        <f>IFERROR((IFERROR(VLOOKUP(Table1824[[#This Row],[BKK]]&amp;TRIM(RIGHT(SUBSTITUTE(TRIM(Table1824[[#Headers],[Uraian aaaaaaaa]])," ",REPT(" ",255)),255)),'Un nOTA'!$D$4:$J$1004,5,FALSE),"")*(10/11)),"")</f>
        <v/>
      </c>
      <c r="BA40" s="8" t="str">
        <f>IFERROR((IFERROR(VLOOKUP(Table1824[[#This Row],[BKK]]&amp;TRIM(RIGHT(SUBSTITUTE(TRIM(Table1824[[#Headers],[Uraian aaaaaaaaa]])," ",REPT(" ",255)),255)),'Un nOTA'!$D$4:$J$1004,5,FALSE),"")*(10/11)),"")</f>
        <v/>
      </c>
      <c r="BB40" s="8" t="str">
        <f>IFERROR((IFERROR(VLOOKUP(Table1824[[#This Row],[BKK]]&amp;TRIM(RIGHT(SUBSTITUTE(TRIM(Table1824[[#Headers],[Uraian aaaaaaaaaa]])," ",REPT(" ",255)),255)),'Un nOTA'!$D$4:$J$1004,5,FALSE),"")*(10/11)),"")</f>
        <v/>
      </c>
      <c r="BC40" s="8" t="str">
        <f>IFERROR((IFERROR(VLOOKUP(Table1824[[#This Row],[BKK]]&amp;TRIM(RIGHT(SUBSTITUTE(TRIM(Table1824[[#Headers],[Uraian aaaaaaaaaaa]])," ",REPT(" ",255)),255)),'Un nOTA'!$D$4:$J$1004,5,FALSE),"")*(10/11)),"")</f>
        <v/>
      </c>
      <c r="BD40" s="8" t="str">
        <f>IFERROR((IFERROR(VLOOKUP(Table1824[[#This Row],[BKK]]&amp;TRIM(RIGHT(SUBSTITUTE(TRIM(Table1824[[#Headers],[Uraian aaaaaaaaaaaa]])," ",REPT(" ",255)),255)),'Un nOTA'!$D$4:$J$1004,5,FALSE),"")*(10/11)),"")</f>
        <v/>
      </c>
      <c r="BE40" s="23" t="str">
        <f>IFERROR(ROUNDUP((Table1824[[#This Row],[Qty]]*Table1824[[#This Row],[Hrg St]]),0),"")</f>
        <v/>
      </c>
      <c r="BF40" s="8" t="str">
        <f>IFERROR(ROUNDUP((Table1824[[#This Row],[Qty2]]*Table1824[[#This Row],[Hrg St2]]),0),"")</f>
        <v/>
      </c>
      <c r="BG40" s="8" t="str">
        <f>IFERROR(ROUNDUP((Table1824[[#This Row],[Qty3]]*Table1824[[#This Row],[Hrg St3]]),0),"")</f>
        <v/>
      </c>
      <c r="BH40" s="8" t="str">
        <f>IFERROR(ROUNDUP((Table1824[[#This Row],[Qty4]]*Table1824[[#This Row],[Hrg St4]]),0),"")</f>
        <v/>
      </c>
      <c r="BI40" s="8" t="str">
        <f>IFERROR(ROUNDUP((Table1824[[#This Row],[Qty5]]*Table1824[[#This Row],[Hrg St5]]),0),"")</f>
        <v/>
      </c>
      <c r="BJ40" s="8" t="str">
        <f>IFERROR(ROUNDUP((Table1824[[#This Row],[Qty6]]*Table1824[[#This Row],[Hrg St6]]),0),"")</f>
        <v/>
      </c>
      <c r="BK40" s="8" t="str">
        <f>IFERROR(ROUNDUP((Table1824[[#This Row],[Qty7]]*Table1824[[#This Row],[Hrg St7]]),0),"")</f>
        <v/>
      </c>
      <c r="BL40" s="8" t="str">
        <f>IFERROR(ROUNDUP((Table1824[[#This Row],[Qty8]]*Table1824[[#This Row],[Hrg St8]]),0),"")</f>
        <v/>
      </c>
      <c r="BM40" s="8" t="str">
        <f>IFERROR(ROUNDUP((Table1824[[#This Row],[Qty9]]*Table1824[[#This Row],[Hrg St9]]),0),"")</f>
        <v/>
      </c>
      <c r="BN40" s="8" t="str">
        <f>IFERROR(ROUNDUP((Table1824[[#This Row],[Qty10]]*Table1824[[#This Row],[Hrg St10]]),0),"")</f>
        <v/>
      </c>
      <c r="BO40" s="8" t="str">
        <f>IFERROR(ROUNDUP((Table1824[[#This Row],[Qty11]]*Table1824[[#This Row],[Hrg St11]]),0),"")</f>
        <v/>
      </c>
      <c r="BP40" s="8" t="str">
        <f>IFERROR(ROUNDUP((Table1824[[#This Row],[Qty12]]*Table1824[[#This Row],[Hrg St12]]),0),"")</f>
        <v/>
      </c>
      <c r="BQ40" s="8" t="str">
        <f>IFERROR(ROUNDUP((Table1824[[#This Row],[Qty13]]*Table1824[[#This Row],[Hrg St13]]),0),"")</f>
        <v/>
      </c>
      <c r="BR40" s="23" t="str">
        <f>IF(Table1824[[#This Row],[BKK]]&gt;" ",IFERROR(ROUNDUP((SUM(Table1824[[#This Row],[Jml]:[Jml13]])),0)," ")," ")</f>
        <v xml:space="preserve"> </v>
      </c>
      <c r="BS40" s="23" t="str">
        <f>IF(Table1824[[#This Row],[BKK]]&gt;" ",ROUND((Table1824[[#This Row],[Total]]*0.1),0)," ")</f>
        <v xml:space="preserve"> </v>
      </c>
      <c r="BT40" s="23" t="str">
        <f>IF(Table1824[[#This Row],[BKK]]&gt;" ",(Table1824[[#This Row],[Total]]+Table1824[[#This Row],[PPN]])," ")</f>
        <v xml:space="preserve"> </v>
      </c>
      <c r="BU40" t="s">
        <v>454</v>
      </c>
      <c r="BV40" t="str">
        <f>IF(Table1824[[#This Row],[BKK]]&gt;" ",("INV/AK-MLG/2019/"&amp;'BKU 1'!$E$1&amp;"/"&amp;Table1824[[#This Row],[BKK]]&amp;"/"&amp;'BKU 1'!$E$1&amp;ROW())," ")</f>
        <v xml:space="preserve"> </v>
      </c>
      <c r="BW40" t="str">
        <f>IF(Table1824[[#This Row],[BKK]]&gt;" ",(TEXT(VLOOKUP(Table1824[[#This Row],[BKK]],COPY!$O$2:$U$1000,7,FALSE),"dd mmmm yyyy"))," ")</f>
        <v xml:space="preserve"> </v>
      </c>
      <c r="BX40" t="str">
        <f>IF(Table1824[[#This Row],[BKK]]&gt;" ",(TEXT((Table1824[[#This Row],[Tanggal Kirim]]+30),"dd mmmm yyyy"))," ")</f>
        <v xml:space="preserve"> </v>
      </c>
      <c r="BY40" t="str">
        <f>IF(Table1824[[#This Row],[BKK]]&gt;" ",'BKU 1'!$E$17," ")</f>
        <v xml:space="preserve"> </v>
      </c>
    </row>
    <row r="41" spans="1:77" hidden="1" x14ac:dyDescent="0.25">
      <c r="A41" t="str">
        <f>IFERROR((IF('Laporan ppn'!G6828&gt;0,VLOOKUP('Laporan ppn'!G6828,'Laporan ppn'!$E$10:$F$6785,2,FALSE),"")),"")</f>
        <v xml:space="preserve"> </v>
      </c>
      <c r="B41" t="str">
        <f>IF(Table1824[[#This Row],[BKK]]=" "," ",'BKU 1'!$D$25)</f>
        <v xml:space="preserve"> </v>
      </c>
      <c r="C41" t="str">
        <f>IF(Table1824[[#This Row],[BKK]]=" "," ",'BKU 1'!$D$26)</f>
        <v xml:space="preserve"> </v>
      </c>
      <c r="D41" t="str">
        <f>IF(Table1824[[#This Row],[BKK]]=" "," ",'BKU 1'!$I$25)</f>
        <v xml:space="preserve"> </v>
      </c>
      <c r="E41" t="str">
        <f>IFERROR(VLOOKUP(Table1824[[#This Row],[BKK]],'Un nOTA'!$D$4:$J$1004,2,FALSE),"")</f>
        <v/>
      </c>
      <c r="F41" t="str">
        <f>IFERROR(VLOOKUP(Table1824[[#This Row],[BKK]]&amp;TRIM(RIGHT(SUBSTITUTE(TRIM(Table1824[[#Headers],[Uraian a]])," ",REPT(" ",255)),255)),'Un nOTA'!$D$4:$J$1004,2,FALSE),"")</f>
        <v/>
      </c>
      <c r="G41" t="str">
        <f>IFERROR(VLOOKUP(Table1824[[#This Row],[BKK]]&amp;TRIM(RIGHT(SUBSTITUTE(TRIM(Table1824[[#Headers],[Uraian aa]])," ",REPT(" ",255)),255)),'Un nOTA'!$D$4:$J$1004,2,FALSE),"")</f>
        <v/>
      </c>
      <c r="H41" t="str">
        <f>IFERROR(VLOOKUP(Table1824[[#This Row],[BKK]]&amp;TRIM(RIGHT(SUBSTITUTE(TRIM(Table1824[[#Headers],[Uraian aaa]])," ",REPT(" ",255)),255)),'Un nOTA'!$D$4:$J$1004,2,FALSE),"")</f>
        <v/>
      </c>
      <c r="I41" t="str">
        <f>IFERROR(VLOOKUP(Table1824[[#This Row],[BKK]]&amp;TRIM(RIGHT(SUBSTITUTE(TRIM(Table1824[[#Headers],[Uraian aaaa]])," ",REPT(" ",255)),255)),'Un nOTA'!$D$4:$J$1004,2,FALSE),"")</f>
        <v/>
      </c>
      <c r="J41" t="str">
        <f>IFERROR(VLOOKUP(Table1824[[#This Row],[BKK]]&amp;TRIM(RIGHT(SUBSTITUTE(TRIM(Table1824[[#Headers],[Uraian aaaaa]])," ",REPT(" ",255)),255)),'Un nOTA'!$D$4:$J$1004,2,FALSE),"")</f>
        <v/>
      </c>
      <c r="K41" t="str">
        <f>IFERROR(VLOOKUP(Table1824[[#This Row],[BKK]]&amp;TRIM(RIGHT(SUBSTITUTE(TRIM(Table1824[[#Headers],[Uraian aaaaaa]])," ",REPT(" ",255)),255)),'Un nOTA'!$D$4:$J$1004,2,FALSE),"")</f>
        <v/>
      </c>
      <c r="L41" t="str">
        <f>IFERROR(VLOOKUP(Table1824[[#This Row],[BKK]]&amp;TRIM(RIGHT(SUBSTITUTE(TRIM(Table1824[[#Headers],[Uraian aaaaaaa]])," ",REPT(" ",255)),255)),'Un nOTA'!$D$4:$J$1004,2,FALSE),"")</f>
        <v/>
      </c>
      <c r="M41" t="str">
        <f>IFERROR(VLOOKUP(Table1824[[#This Row],[BKK]]&amp;TRIM(RIGHT(SUBSTITUTE(TRIM(Table1824[[#Headers],[Uraian aaaaaaaa]])," ",REPT(" ",255)),255)),'Un nOTA'!$D$4:$J$1004,2,FALSE),"")</f>
        <v/>
      </c>
      <c r="N41" t="str">
        <f>IFERROR(VLOOKUP(Table1824[[#This Row],[BKK]]&amp;TRIM(RIGHT(SUBSTITUTE(TRIM(Table1824[[#Headers],[Uraian aaaaaaaaa]])," ",REPT(" ",255)),255)),'Un nOTA'!$D$4:$J$1004,2,FALSE),"")</f>
        <v/>
      </c>
      <c r="O41" t="str">
        <f>IFERROR(VLOOKUP(Table1824[[#This Row],[BKK]]&amp;TRIM(RIGHT(SUBSTITUTE(TRIM(Table1824[[#Headers],[Uraian aaaaaaaaaa]])," ",REPT(" ",255)),255)),'Un nOTA'!$D$4:$J$1004,2,FALSE),"")</f>
        <v/>
      </c>
      <c r="P41" t="str">
        <f>IFERROR(VLOOKUP(Table1824[[#This Row],[BKK]]&amp;TRIM(RIGHT(SUBSTITUTE(TRIM(Table1824[[#Headers],[Uraian aaaaaaaaaaa]])," ",REPT(" ",255)),255)),'Un nOTA'!$D$4:$J$1004,2,FALSE),"")</f>
        <v/>
      </c>
      <c r="Q41" t="str">
        <f>IFERROR(VLOOKUP(Table1824[[#This Row],[BKK]]&amp;TRIM(RIGHT(SUBSTITUTE(TRIM(Table1824[[#Headers],[Uraian aaaaaaaaaaaa]])," ",REPT(" ",255)),255)),'Un nOTA'!$D$4:$J$1004,2,FALSE),"")</f>
        <v/>
      </c>
      <c r="R41" s="32" t="str">
        <f>IFERROR(VLOOKUP(Table1824[[#This Row],[BKK]],'Un nOTA'!$D$4:$J$1004,3,FALSE),"")</f>
        <v/>
      </c>
      <c r="S41" s="32" t="str">
        <f>IFERROR(VLOOKUP(Table1824[[#This Row],[BKK]]&amp;TRIM(RIGHT(SUBSTITUTE(TRIM(Table1824[[#Headers],[Uraian a]])," ",REPT(" ",255)),255)),'Un nOTA'!$D$4:$J$1004,3,FALSE),"")</f>
        <v/>
      </c>
      <c r="T41" s="32" t="str">
        <f>IFERROR(VLOOKUP(Table1824[[#This Row],[BKK]]&amp;TRIM(RIGHT(SUBSTITUTE(TRIM(Table1824[[#Headers],[Uraian aa]])," ",REPT(" ",255)),255)),'Un nOTA'!$D$4:$J$1004,3,FALSE),"")</f>
        <v/>
      </c>
      <c r="U41" s="32" t="str">
        <f>IFERROR(VLOOKUP(Table1824[[#This Row],[BKK]]&amp;TRIM(RIGHT(SUBSTITUTE(TRIM(Table1824[[#Headers],[Uraian aaa]])," ",REPT(" ",255)),255)),'Un nOTA'!$D$4:$J$1004,3,FALSE),"")</f>
        <v/>
      </c>
      <c r="V41" s="32" t="str">
        <f>IFERROR(VLOOKUP(Table1824[[#This Row],[BKK]]&amp;TRIM(RIGHT(SUBSTITUTE(TRIM(Table1824[[#Headers],[Uraian aaaa]])," ",REPT(" ",255)),255)),'Un nOTA'!$D$4:$J$1004,3,FALSE),"")</f>
        <v/>
      </c>
      <c r="W41" s="32" t="str">
        <f>IFERROR(VLOOKUP(Table1824[[#This Row],[BKK]]&amp;TRIM(RIGHT(SUBSTITUTE(TRIM(Table1824[[#Headers],[Uraian aaaaa]])," ",REPT(" ",255)),255)),'Un nOTA'!$D$4:$J$1004,3,FALSE),"")</f>
        <v/>
      </c>
      <c r="X41" s="32" t="str">
        <f>IFERROR(VLOOKUP(Table1824[[#This Row],[BKK]]&amp;TRIM(RIGHT(SUBSTITUTE(TRIM(Table1824[[#Headers],[Uraian aaaaaa]])," ",REPT(" ",255)),255)),'Un nOTA'!$D$4:$J$1004,3,FALSE),"")</f>
        <v/>
      </c>
      <c r="Y41" s="32" t="str">
        <f>IFERROR(VLOOKUP(Table1824[[#This Row],[BKK]]&amp;TRIM(RIGHT(SUBSTITUTE(TRIM(Table1824[[#Headers],[Uraian aaaaaaa]])," ",REPT(" ",255)),255)),'Un nOTA'!$D$4:$J$1004,3,FALSE),"")</f>
        <v/>
      </c>
      <c r="Z41" s="32" t="str">
        <f>IFERROR(VLOOKUP(Table1824[[#This Row],[BKK]]&amp;TRIM(RIGHT(SUBSTITUTE(TRIM(Table1824[[#Headers],[Uraian aaaaaaaa]])," ",REPT(" ",255)),255)),'Un nOTA'!$D$4:$J$1004,3,FALSE),"")</f>
        <v/>
      </c>
      <c r="AA41" s="32" t="str">
        <f>IFERROR(VLOOKUP(Table1824[[#This Row],[BKK]]&amp;TRIM(RIGHT(SUBSTITUTE(TRIM(Table1824[[#Headers],[Uraian aaaaaaaaa]])," ",REPT(" ",255)),255)),'Un nOTA'!$D$4:$J$1004,3,FALSE),"")</f>
        <v/>
      </c>
      <c r="AB41" s="32" t="str">
        <f>IFERROR(VLOOKUP(Table1824[[#This Row],[BKK]]&amp;TRIM(RIGHT(SUBSTITUTE(TRIM(Table1824[[#Headers],[Uraian aaaaaaaaaa]])," ",REPT(" ",255)),255)),'Un nOTA'!$D$4:$J$1004,3,FALSE),"")</f>
        <v/>
      </c>
      <c r="AC41" s="32" t="str">
        <f>IFERROR(VLOOKUP(Table1824[[#This Row],[BKK]]&amp;TRIM(RIGHT(SUBSTITUTE(TRIM(Table1824[[#Headers],[Uraian aaaaaaaaaaa]])," ",REPT(" ",255)),255)),'Un nOTA'!$D$4:$J$1004,3,FALSE),"")</f>
        <v/>
      </c>
      <c r="AD41" s="32" t="str">
        <f>IFERROR(VLOOKUP(Table1824[[#This Row],[BKK]]&amp;TRIM(RIGHT(SUBSTITUTE(TRIM(Table1824[[#Headers],[Uraian aaaaaaaaaaaa]])," ",REPT(" ",255)),255)),'Un nOTA'!$D$4:$J$1004,3,FALSE),"")</f>
        <v/>
      </c>
      <c r="AE41" s="8" t="str">
        <f>IFERROR(VLOOKUP(Table1824[[#This Row],[BKK]],'Un nOTA'!$D$4:$J$1004,4,FALSE),"")</f>
        <v/>
      </c>
      <c r="AF41" s="8" t="str">
        <f>IFERROR(VLOOKUP(Table1824[[#This Row],[BKK]]&amp;TRIM(RIGHT(SUBSTITUTE(TRIM(Table1824[[#Headers],[Uraian a]])," ",REPT(" ",255)),255)),'Un nOTA'!$D$4:$J$1004,4,FALSE),"")</f>
        <v/>
      </c>
      <c r="AG41" s="8" t="str">
        <f>IFERROR(VLOOKUP(Table1824[[#This Row],[BKK]]&amp;TRIM(RIGHT(SUBSTITUTE(TRIM(Table1824[[#Headers],[Uraian aa]])," ",REPT(" ",255)),255)),'Un nOTA'!$D$4:$J$1004,4,FALSE),"")</f>
        <v/>
      </c>
      <c r="AH41" s="8" t="str">
        <f>IFERROR(VLOOKUP(Table1824[[#This Row],[BKK]]&amp;TRIM(RIGHT(SUBSTITUTE(TRIM(Table1824[[#Headers],[Uraian aaa]])," ",REPT(" ",255)),255)),'Un nOTA'!$D$4:$J$1004,4,FALSE),"")</f>
        <v/>
      </c>
      <c r="AI41" s="8" t="str">
        <f>IFERROR(VLOOKUP(Table1824[[#This Row],[BKK]]&amp;TRIM(RIGHT(SUBSTITUTE(TRIM(Table1824[[#Headers],[Uraian aaaa]])," ",REPT(" ",255)),255)),'Un nOTA'!$D$4:$J$1004,4,FALSE),"")</f>
        <v/>
      </c>
      <c r="AJ41" s="8" t="str">
        <f>IFERROR(VLOOKUP(Table1824[[#This Row],[BKK]]&amp;TRIM(RIGHT(SUBSTITUTE(TRIM(Table1824[[#Headers],[Uraian aaaaa]])," ",REPT(" ",255)),255)),'Un nOTA'!$D$4:$J$1004,4,FALSE),"")</f>
        <v/>
      </c>
      <c r="AK41" s="8" t="str">
        <f>IFERROR(VLOOKUP(Table1824[[#This Row],[BKK]]&amp;TRIM(RIGHT(SUBSTITUTE(TRIM(Table1824[[#Headers],[Uraian aaaaaa]])," ",REPT(" ",255)),255)),'Un nOTA'!$D$4:$J$1004,4,FALSE),"")</f>
        <v/>
      </c>
      <c r="AL41" s="8" t="str">
        <f>IFERROR(VLOOKUP(Table1824[[#This Row],[BKK]]&amp;TRIM(RIGHT(SUBSTITUTE(TRIM(Table1824[[#Headers],[Uraian aaaaaaa]])," ",REPT(" ",255)),255)),'Un nOTA'!$D$4:$J$1004,4,FALSE),"")</f>
        <v/>
      </c>
      <c r="AM41" s="8" t="str">
        <f>IFERROR(VLOOKUP(Table1824[[#This Row],[BKK]]&amp;TRIM(RIGHT(SUBSTITUTE(TRIM(Table1824[[#Headers],[Uraian aaaaaaaa]])," ",REPT(" ",255)),255)),'Un nOTA'!$D$4:$J$1004,4,FALSE),"")</f>
        <v/>
      </c>
      <c r="AN41" s="8" t="str">
        <f>IFERROR(VLOOKUP(Table1824[[#This Row],[BKK]]&amp;TRIM(RIGHT(SUBSTITUTE(TRIM(Table1824[[#Headers],[Uraian aaaaaaaaa]])," ",REPT(" ",255)),255)),'Un nOTA'!$D$4:$J$1004,4,FALSE),"")</f>
        <v/>
      </c>
      <c r="AO41" s="8" t="str">
        <f>IFERROR(VLOOKUP(Table1824[[#This Row],[BKK]]&amp;TRIM(RIGHT(SUBSTITUTE(TRIM(Table1824[[#Headers],[Uraian aaaaaaaaaa]])," ",REPT(" ",255)),255)),'Un nOTA'!$D$4:$J$1004,4,FALSE),"")</f>
        <v/>
      </c>
      <c r="AP41" s="8" t="str">
        <f>IFERROR(VLOOKUP(Table1824[[#This Row],[BKK]]&amp;TRIM(RIGHT(SUBSTITUTE(TRIM(Table1824[[#Headers],[Uraian aaaaaaaaaaa]])," ",REPT(" ",255)),255)),'Un nOTA'!$D$4:$J$1004,4,FALSE),"")</f>
        <v/>
      </c>
      <c r="AQ41" s="8" t="str">
        <f>IFERROR(VLOOKUP(Table1824[[#This Row],[BKK]]&amp;TRIM(RIGHT(SUBSTITUTE(TRIM(Table1824[[#Headers],[Uraian aaaaaaaaaaaa]])," ",REPT(" ",255)),255)),'Un nOTA'!$D$4:$J$1004,4,FALSE),"")</f>
        <v/>
      </c>
      <c r="AR41" s="8" t="str">
        <f>IFERROR((IFERROR(VLOOKUP(Table1824[[#This Row],[BKK]],'Un nOTA'!$D$4:$J$1004,5,FALSE),""))*(10/11),"")</f>
        <v/>
      </c>
      <c r="AS41" s="8" t="str">
        <f>IFERROR((IFERROR(VLOOKUP(Table1824[[#This Row],[BKK]]&amp;TRIM(RIGHT(SUBSTITUTE(TRIM(Table1824[[#Headers],[Uraian a]])," ",REPT(" ",255)),255)),'Un nOTA'!$D$4:$J$1004,5,FALSE),"")*(10/11)),"")</f>
        <v/>
      </c>
      <c r="AT41" s="8" t="str">
        <f>IFERROR((IFERROR(VLOOKUP(Table1824[[#This Row],[BKK]]&amp;TRIM(RIGHT(SUBSTITUTE(TRIM(Table1824[[#Headers],[Uraian aa]])," ",REPT(" ",255)),255)),'Un nOTA'!$D$4:$J$1004,5,FALSE),"")*(10/11)),"")</f>
        <v/>
      </c>
      <c r="AU41" s="8" t="str">
        <f>IFERROR((IFERROR(VLOOKUP(Table1824[[#This Row],[BKK]]&amp;TRIM(RIGHT(SUBSTITUTE(TRIM(Table1824[[#Headers],[Uraian aaa]])," ",REPT(" ",255)),255)),'Un nOTA'!$D$4:$J$1004,5,FALSE),"")*(10/11)),"")</f>
        <v/>
      </c>
      <c r="AV41" s="8" t="str">
        <f>IFERROR((IFERROR(VLOOKUP(Table1824[[#This Row],[BKK]]&amp;TRIM(RIGHT(SUBSTITUTE(TRIM(Table1824[[#Headers],[Uraian aaaa]])," ",REPT(" ",255)),255)),'Un nOTA'!$D$4:$J$1004,5,FALSE),"")*(10/11)),"")</f>
        <v/>
      </c>
      <c r="AW41" s="8" t="str">
        <f>IFERROR((IFERROR(VLOOKUP(Table1824[[#This Row],[BKK]]&amp;TRIM(RIGHT(SUBSTITUTE(TRIM(Table1824[[#Headers],[Uraian aaaaa]])," ",REPT(" ",255)),255)),'Un nOTA'!$D$4:$J$1004,5,FALSE),"")*(10/11)),"")</f>
        <v/>
      </c>
      <c r="AX41" s="8" t="str">
        <f>IFERROR((IFERROR(VLOOKUP(Table1824[[#This Row],[BKK]]&amp;TRIM(RIGHT(SUBSTITUTE(TRIM(Table1824[[#Headers],[Uraian aaaaaa]])," ",REPT(" ",255)),255)),'Un nOTA'!$D$4:$J$1004,5,FALSE),"")*(10/11)),"")</f>
        <v/>
      </c>
      <c r="AY41" s="8" t="str">
        <f>IFERROR((IFERROR(VLOOKUP(Table1824[[#This Row],[BKK]]&amp;TRIM(RIGHT(SUBSTITUTE(TRIM(Table1824[[#Headers],[Uraian aaaaaaa]])," ",REPT(" ",255)),255)),'Un nOTA'!$D$4:$J$1004,5,FALSE),"")*(10/11)),"")</f>
        <v/>
      </c>
      <c r="AZ41" s="8" t="str">
        <f>IFERROR((IFERROR(VLOOKUP(Table1824[[#This Row],[BKK]]&amp;TRIM(RIGHT(SUBSTITUTE(TRIM(Table1824[[#Headers],[Uraian aaaaaaaa]])," ",REPT(" ",255)),255)),'Un nOTA'!$D$4:$J$1004,5,FALSE),"")*(10/11)),"")</f>
        <v/>
      </c>
      <c r="BA41" s="8" t="str">
        <f>IFERROR((IFERROR(VLOOKUP(Table1824[[#This Row],[BKK]]&amp;TRIM(RIGHT(SUBSTITUTE(TRIM(Table1824[[#Headers],[Uraian aaaaaaaaa]])," ",REPT(" ",255)),255)),'Un nOTA'!$D$4:$J$1004,5,FALSE),"")*(10/11)),"")</f>
        <v/>
      </c>
      <c r="BB41" s="8" t="str">
        <f>IFERROR((IFERROR(VLOOKUP(Table1824[[#This Row],[BKK]]&amp;TRIM(RIGHT(SUBSTITUTE(TRIM(Table1824[[#Headers],[Uraian aaaaaaaaaa]])," ",REPT(" ",255)),255)),'Un nOTA'!$D$4:$J$1004,5,FALSE),"")*(10/11)),"")</f>
        <v/>
      </c>
      <c r="BC41" s="8" t="str">
        <f>IFERROR((IFERROR(VLOOKUP(Table1824[[#This Row],[BKK]]&amp;TRIM(RIGHT(SUBSTITUTE(TRIM(Table1824[[#Headers],[Uraian aaaaaaaaaaa]])," ",REPT(" ",255)),255)),'Un nOTA'!$D$4:$J$1004,5,FALSE),"")*(10/11)),"")</f>
        <v/>
      </c>
      <c r="BD41" s="8" t="str">
        <f>IFERROR((IFERROR(VLOOKUP(Table1824[[#This Row],[BKK]]&amp;TRIM(RIGHT(SUBSTITUTE(TRIM(Table1824[[#Headers],[Uraian aaaaaaaaaaaa]])," ",REPT(" ",255)),255)),'Un nOTA'!$D$4:$J$1004,5,FALSE),"")*(10/11)),"")</f>
        <v/>
      </c>
      <c r="BE41" s="23" t="str">
        <f>IFERROR(ROUNDUP((Table1824[[#This Row],[Qty]]*Table1824[[#This Row],[Hrg St]]),0),"")</f>
        <v/>
      </c>
      <c r="BF41" s="8" t="str">
        <f>IFERROR(ROUNDUP((Table1824[[#This Row],[Qty2]]*Table1824[[#This Row],[Hrg St2]]),0),"")</f>
        <v/>
      </c>
      <c r="BG41" s="8" t="str">
        <f>IFERROR(ROUNDUP((Table1824[[#This Row],[Qty3]]*Table1824[[#This Row],[Hrg St3]]),0),"")</f>
        <v/>
      </c>
      <c r="BH41" s="8" t="str">
        <f>IFERROR(ROUNDUP((Table1824[[#This Row],[Qty4]]*Table1824[[#This Row],[Hrg St4]]),0),"")</f>
        <v/>
      </c>
      <c r="BI41" s="8" t="str">
        <f>IFERROR(ROUNDUP((Table1824[[#This Row],[Qty5]]*Table1824[[#This Row],[Hrg St5]]),0),"")</f>
        <v/>
      </c>
      <c r="BJ41" s="8" t="str">
        <f>IFERROR(ROUNDUP((Table1824[[#This Row],[Qty6]]*Table1824[[#This Row],[Hrg St6]]),0),"")</f>
        <v/>
      </c>
      <c r="BK41" s="8" t="str">
        <f>IFERROR(ROUNDUP((Table1824[[#This Row],[Qty7]]*Table1824[[#This Row],[Hrg St7]]),0),"")</f>
        <v/>
      </c>
      <c r="BL41" s="8" t="str">
        <f>IFERROR(ROUNDUP((Table1824[[#This Row],[Qty8]]*Table1824[[#This Row],[Hrg St8]]),0),"")</f>
        <v/>
      </c>
      <c r="BM41" s="8" t="str">
        <f>IFERROR(ROUNDUP((Table1824[[#This Row],[Qty9]]*Table1824[[#This Row],[Hrg St9]]),0),"")</f>
        <v/>
      </c>
      <c r="BN41" s="8" t="str">
        <f>IFERROR(ROUNDUP((Table1824[[#This Row],[Qty10]]*Table1824[[#This Row],[Hrg St10]]),0),"")</f>
        <v/>
      </c>
      <c r="BO41" s="8" t="str">
        <f>IFERROR(ROUNDUP((Table1824[[#This Row],[Qty11]]*Table1824[[#This Row],[Hrg St11]]),0),"")</f>
        <v/>
      </c>
      <c r="BP41" s="8" t="str">
        <f>IFERROR(ROUNDUP((Table1824[[#This Row],[Qty12]]*Table1824[[#This Row],[Hrg St12]]),0),"")</f>
        <v/>
      </c>
      <c r="BQ41" s="8" t="str">
        <f>IFERROR(ROUNDUP((Table1824[[#This Row],[Qty13]]*Table1824[[#This Row],[Hrg St13]]),0),"")</f>
        <v/>
      </c>
      <c r="BR41" s="23" t="str">
        <f>IF(Table1824[[#This Row],[BKK]]&gt;" ",IFERROR(ROUNDUP((SUM(Table1824[[#This Row],[Jml]:[Jml13]])),0)," ")," ")</f>
        <v xml:space="preserve"> </v>
      </c>
      <c r="BS41" s="23" t="str">
        <f>IF(Table1824[[#This Row],[BKK]]&gt;" ",ROUND((Table1824[[#This Row],[Total]]*0.1),0)," ")</f>
        <v xml:space="preserve"> </v>
      </c>
      <c r="BT41" s="23" t="str">
        <f>IF(Table1824[[#This Row],[BKK]]&gt;" ",(Table1824[[#This Row],[Total]]+Table1824[[#This Row],[PPN]])," ")</f>
        <v xml:space="preserve"> </v>
      </c>
      <c r="BU41" t="s">
        <v>454</v>
      </c>
      <c r="BV41" t="str">
        <f>IF(Table1824[[#This Row],[BKK]]&gt;" ",("INV/AK-MLG/2019/"&amp;'BKU 1'!$E$1&amp;"/"&amp;Table1824[[#This Row],[BKK]]&amp;"/"&amp;'BKU 1'!$E$1&amp;ROW())," ")</f>
        <v xml:space="preserve"> </v>
      </c>
      <c r="BW41" t="str">
        <f>IF(Table1824[[#This Row],[BKK]]&gt;" ",(TEXT(VLOOKUP(Table1824[[#This Row],[BKK]],COPY!$O$2:$U$1000,7,FALSE),"dd mmmm yyyy"))," ")</f>
        <v xml:space="preserve"> </v>
      </c>
      <c r="BX41" t="str">
        <f>IF(Table1824[[#This Row],[BKK]]&gt;" ",(TEXT((Table1824[[#This Row],[Tanggal Kirim]]+30),"dd mmmm yyyy"))," ")</f>
        <v xml:space="preserve"> </v>
      </c>
      <c r="BY41" t="str">
        <f>IF(Table1824[[#This Row],[BKK]]&gt;" ",'BKU 1'!$E$17," ")</f>
        <v xml:space="preserve"> </v>
      </c>
    </row>
    <row r="42" spans="1:77" hidden="1" x14ac:dyDescent="0.25">
      <c r="A42" t="str">
        <f>IFERROR((IF('Laporan ppn'!G6829&gt;0,VLOOKUP('Laporan ppn'!G6829,'Laporan ppn'!$E$10:$F$6785,2,FALSE),"")),"")</f>
        <v xml:space="preserve"> </v>
      </c>
      <c r="B42" t="str">
        <f>IF(Table1824[[#This Row],[BKK]]=" "," ",'BKU 1'!$D$25)</f>
        <v xml:space="preserve"> </v>
      </c>
      <c r="C42" t="str">
        <f>IF(Table1824[[#This Row],[BKK]]=" "," ",'BKU 1'!$D$26)</f>
        <v xml:space="preserve"> </v>
      </c>
      <c r="D42" t="str">
        <f>IF(Table1824[[#This Row],[BKK]]=" "," ",'BKU 1'!$I$25)</f>
        <v xml:space="preserve"> </v>
      </c>
      <c r="E42" t="str">
        <f>IFERROR(VLOOKUP(Table1824[[#This Row],[BKK]],'Un nOTA'!$D$4:$J$1004,2,FALSE),"")</f>
        <v/>
      </c>
      <c r="F42" t="str">
        <f>IFERROR(VLOOKUP(Table1824[[#This Row],[BKK]]&amp;TRIM(RIGHT(SUBSTITUTE(TRIM(Table1824[[#Headers],[Uraian a]])," ",REPT(" ",255)),255)),'Un nOTA'!$D$4:$J$1004,2,FALSE),"")</f>
        <v/>
      </c>
      <c r="G42" t="str">
        <f>IFERROR(VLOOKUP(Table1824[[#This Row],[BKK]]&amp;TRIM(RIGHT(SUBSTITUTE(TRIM(Table1824[[#Headers],[Uraian aa]])," ",REPT(" ",255)),255)),'Un nOTA'!$D$4:$J$1004,2,FALSE),"")</f>
        <v/>
      </c>
      <c r="H42" t="str">
        <f>IFERROR(VLOOKUP(Table1824[[#This Row],[BKK]]&amp;TRIM(RIGHT(SUBSTITUTE(TRIM(Table1824[[#Headers],[Uraian aaa]])," ",REPT(" ",255)),255)),'Un nOTA'!$D$4:$J$1004,2,FALSE),"")</f>
        <v/>
      </c>
      <c r="I42" t="str">
        <f>IFERROR(VLOOKUP(Table1824[[#This Row],[BKK]]&amp;TRIM(RIGHT(SUBSTITUTE(TRIM(Table1824[[#Headers],[Uraian aaaa]])," ",REPT(" ",255)),255)),'Un nOTA'!$D$4:$J$1004,2,FALSE),"")</f>
        <v/>
      </c>
      <c r="J42" t="str">
        <f>IFERROR(VLOOKUP(Table1824[[#This Row],[BKK]]&amp;TRIM(RIGHT(SUBSTITUTE(TRIM(Table1824[[#Headers],[Uraian aaaaa]])," ",REPT(" ",255)),255)),'Un nOTA'!$D$4:$J$1004,2,FALSE),"")</f>
        <v/>
      </c>
      <c r="K42" t="str">
        <f>IFERROR(VLOOKUP(Table1824[[#This Row],[BKK]]&amp;TRIM(RIGHT(SUBSTITUTE(TRIM(Table1824[[#Headers],[Uraian aaaaaa]])," ",REPT(" ",255)),255)),'Un nOTA'!$D$4:$J$1004,2,FALSE),"")</f>
        <v/>
      </c>
      <c r="L42" t="str">
        <f>IFERROR(VLOOKUP(Table1824[[#This Row],[BKK]]&amp;TRIM(RIGHT(SUBSTITUTE(TRIM(Table1824[[#Headers],[Uraian aaaaaaa]])," ",REPT(" ",255)),255)),'Un nOTA'!$D$4:$J$1004,2,FALSE),"")</f>
        <v/>
      </c>
      <c r="M42" t="str">
        <f>IFERROR(VLOOKUP(Table1824[[#This Row],[BKK]]&amp;TRIM(RIGHT(SUBSTITUTE(TRIM(Table1824[[#Headers],[Uraian aaaaaaaa]])," ",REPT(" ",255)),255)),'Un nOTA'!$D$4:$J$1004,2,FALSE),"")</f>
        <v/>
      </c>
      <c r="N42" t="str">
        <f>IFERROR(VLOOKUP(Table1824[[#This Row],[BKK]]&amp;TRIM(RIGHT(SUBSTITUTE(TRIM(Table1824[[#Headers],[Uraian aaaaaaaaa]])," ",REPT(" ",255)),255)),'Un nOTA'!$D$4:$J$1004,2,FALSE),"")</f>
        <v/>
      </c>
      <c r="O42" t="str">
        <f>IFERROR(VLOOKUP(Table1824[[#This Row],[BKK]]&amp;TRIM(RIGHT(SUBSTITUTE(TRIM(Table1824[[#Headers],[Uraian aaaaaaaaaa]])," ",REPT(" ",255)),255)),'Un nOTA'!$D$4:$J$1004,2,FALSE),"")</f>
        <v/>
      </c>
      <c r="P42" t="str">
        <f>IFERROR(VLOOKUP(Table1824[[#This Row],[BKK]]&amp;TRIM(RIGHT(SUBSTITUTE(TRIM(Table1824[[#Headers],[Uraian aaaaaaaaaaa]])," ",REPT(" ",255)),255)),'Un nOTA'!$D$4:$J$1004,2,FALSE),"")</f>
        <v/>
      </c>
      <c r="Q42" t="str">
        <f>IFERROR(VLOOKUP(Table1824[[#This Row],[BKK]]&amp;TRIM(RIGHT(SUBSTITUTE(TRIM(Table1824[[#Headers],[Uraian aaaaaaaaaaaa]])," ",REPT(" ",255)),255)),'Un nOTA'!$D$4:$J$1004,2,FALSE),"")</f>
        <v/>
      </c>
      <c r="R42" s="32" t="str">
        <f>IFERROR(VLOOKUP(Table1824[[#This Row],[BKK]],'Un nOTA'!$D$4:$J$1004,3,FALSE),"")</f>
        <v/>
      </c>
      <c r="S42" s="32" t="str">
        <f>IFERROR(VLOOKUP(Table1824[[#This Row],[BKK]]&amp;TRIM(RIGHT(SUBSTITUTE(TRIM(Table1824[[#Headers],[Uraian a]])," ",REPT(" ",255)),255)),'Un nOTA'!$D$4:$J$1004,3,FALSE),"")</f>
        <v/>
      </c>
      <c r="T42" s="32" t="str">
        <f>IFERROR(VLOOKUP(Table1824[[#This Row],[BKK]]&amp;TRIM(RIGHT(SUBSTITUTE(TRIM(Table1824[[#Headers],[Uraian aa]])," ",REPT(" ",255)),255)),'Un nOTA'!$D$4:$J$1004,3,FALSE),"")</f>
        <v/>
      </c>
      <c r="U42" s="32" t="str">
        <f>IFERROR(VLOOKUP(Table1824[[#This Row],[BKK]]&amp;TRIM(RIGHT(SUBSTITUTE(TRIM(Table1824[[#Headers],[Uraian aaa]])," ",REPT(" ",255)),255)),'Un nOTA'!$D$4:$J$1004,3,FALSE),"")</f>
        <v/>
      </c>
      <c r="V42" s="32" t="str">
        <f>IFERROR(VLOOKUP(Table1824[[#This Row],[BKK]]&amp;TRIM(RIGHT(SUBSTITUTE(TRIM(Table1824[[#Headers],[Uraian aaaa]])," ",REPT(" ",255)),255)),'Un nOTA'!$D$4:$J$1004,3,FALSE),"")</f>
        <v/>
      </c>
      <c r="W42" s="32" t="str">
        <f>IFERROR(VLOOKUP(Table1824[[#This Row],[BKK]]&amp;TRIM(RIGHT(SUBSTITUTE(TRIM(Table1824[[#Headers],[Uraian aaaaa]])," ",REPT(" ",255)),255)),'Un nOTA'!$D$4:$J$1004,3,FALSE),"")</f>
        <v/>
      </c>
      <c r="X42" s="32" t="str">
        <f>IFERROR(VLOOKUP(Table1824[[#This Row],[BKK]]&amp;TRIM(RIGHT(SUBSTITUTE(TRIM(Table1824[[#Headers],[Uraian aaaaaa]])," ",REPT(" ",255)),255)),'Un nOTA'!$D$4:$J$1004,3,FALSE),"")</f>
        <v/>
      </c>
      <c r="Y42" s="32" t="str">
        <f>IFERROR(VLOOKUP(Table1824[[#This Row],[BKK]]&amp;TRIM(RIGHT(SUBSTITUTE(TRIM(Table1824[[#Headers],[Uraian aaaaaaa]])," ",REPT(" ",255)),255)),'Un nOTA'!$D$4:$J$1004,3,FALSE),"")</f>
        <v/>
      </c>
      <c r="Z42" s="32" t="str">
        <f>IFERROR(VLOOKUP(Table1824[[#This Row],[BKK]]&amp;TRIM(RIGHT(SUBSTITUTE(TRIM(Table1824[[#Headers],[Uraian aaaaaaaa]])," ",REPT(" ",255)),255)),'Un nOTA'!$D$4:$J$1004,3,FALSE),"")</f>
        <v/>
      </c>
      <c r="AA42" s="32" t="str">
        <f>IFERROR(VLOOKUP(Table1824[[#This Row],[BKK]]&amp;TRIM(RIGHT(SUBSTITUTE(TRIM(Table1824[[#Headers],[Uraian aaaaaaaaa]])," ",REPT(" ",255)),255)),'Un nOTA'!$D$4:$J$1004,3,FALSE),"")</f>
        <v/>
      </c>
      <c r="AB42" s="32" t="str">
        <f>IFERROR(VLOOKUP(Table1824[[#This Row],[BKK]]&amp;TRIM(RIGHT(SUBSTITUTE(TRIM(Table1824[[#Headers],[Uraian aaaaaaaaaa]])," ",REPT(" ",255)),255)),'Un nOTA'!$D$4:$J$1004,3,FALSE),"")</f>
        <v/>
      </c>
      <c r="AC42" s="32" t="str">
        <f>IFERROR(VLOOKUP(Table1824[[#This Row],[BKK]]&amp;TRIM(RIGHT(SUBSTITUTE(TRIM(Table1824[[#Headers],[Uraian aaaaaaaaaaa]])," ",REPT(" ",255)),255)),'Un nOTA'!$D$4:$J$1004,3,FALSE),"")</f>
        <v/>
      </c>
      <c r="AD42" s="32" t="str">
        <f>IFERROR(VLOOKUP(Table1824[[#This Row],[BKK]]&amp;TRIM(RIGHT(SUBSTITUTE(TRIM(Table1824[[#Headers],[Uraian aaaaaaaaaaaa]])," ",REPT(" ",255)),255)),'Un nOTA'!$D$4:$J$1004,3,FALSE),"")</f>
        <v/>
      </c>
      <c r="AE42" s="8" t="str">
        <f>IFERROR(VLOOKUP(Table1824[[#This Row],[BKK]],'Un nOTA'!$D$4:$J$1004,4,FALSE),"")</f>
        <v/>
      </c>
      <c r="AF42" s="8" t="str">
        <f>IFERROR(VLOOKUP(Table1824[[#This Row],[BKK]]&amp;TRIM(RIGHT(SUBSTITUTE(TRIM(Table1824[[#Headers],[Uraian a]])," ",REPT(" ",255)),255)),'Un nOTA'!$D$4:$J$1004,4,FALSE),"")</f>
        <v/>
      </c>
      <c r="AG42" s="8" t="str">
        <f>IFERROR(VLOOKUP(Table1824[[#This Row],[BKK]]&amp;TRIM(RIGHT(SUBSTITUTE(TRIM(Table1824[[#Headers],[Uraian aa]])," ",REPT(" ",255)),255)),'Un nOTA'!$D$4:$J$1004,4,FALSE),"")</f>
        <v/>
      </c>
      <c r="AH42" s="8" t="str">
        <f>IFERROR(VLOOKUP(Table1824[[#This Row],[BKK]]&amp;TRIM(RIGHT(SUBSTITUTE(TRIM(Table1824[[#Headers],[Uraian aaa]])," ",REPT(" ",255)),255)),'Un nOTA'!$D$4:$J$1004,4,FALSE),"")</f>
        <v/>
      </c>
      <c r="AI42" s="8" t="str">
        <f>IFERROR(VLOOKUP(Table1824[[#This Row],[BKK]]&amp;TRIM(RIGHT(SUBSTITUTE(TRIM(Table1824[[#Headers],[Uraian aaaa]])," ",REPT(" ",255)),255)),'Un nOTA'!$D$4:$J$1004,4,FALSE),"")</f>
        <v/>
      </c>
      <c r="AJ42" s="8" t="str">
        <f>IFERROR(VLOOKUP(Table1824[[#This Row],[BKK]]&amp;TRIM(RIGHT(SUBSTITUTE(TRIM(Table1824[[#Headers],[Uraian aaaaa]])," ",REPT(" ",255)),255)),'Un nOTA'!$D$4:$J$1004,4,FALSE),"")</f>
        <v/>
      </c>
      <c r="AK42" s="8" t="str">
        <f>IFERROR(VLOOKUP(Table1824[[#This Row],[BKK]]&amp;TRIM(RIGHT(SUBSTITUTE(TRIM(Table1824[[#Headers],[Uraian aaaaaa]])," ",REPT(" ",255)),255)),'Un nOTA'!$D$4:$J$1004,4,FALSE),"")</f>
        <v/>
      </c>
      <c r="AL42" s="8" t="str">
        <f>IFERROR(VLOOKUP(Table1824[[#This Row],[BKK]]&amp;TRIM(RIGHT(SUBSTITUTE(TRIM(Table1824[[#Headers],[Uraian aaaaaaa]])," ",REPT(" ",255)),255)),'Un nOTA'!$D$4:$J$1004,4,FALSE),"")</f>
        <v/>
      </c>
      <c r="AM42" s="8" t="str">
        <f>IFERROR(VLOOKUP(Table1824[[#This Row],[BKK]]&amp;TRIM(RIGHT(SUBSTITUTE(TRIM(Table1824[[#Headers],[Uraian aaaaaaaa]])," ",REPT(" ",255)),255)),'Un nOTA'!$D$4:$J$1004,4,FALSE),"")</f>
        <v/>
      </c>
      <c r="AN42" s="8" t="str">
        <f>IFERROR(VLOOKUP(Table1824[[#This Row],[BKK]]&amp;TRIM(RIGHT(SUBSTITUTE(TRIM(Table1824[[#Headers],[Uraian aaaaaaaaa]])," ",REPT(" ",255)),255)),'Un nOTA'!$D$4:$J$1004,4,FALSE),"")</f>
        <v/>
      </c>
      <c r="AO42" s="8" t="str">
        <f>IFERROR(VLOOKUP(Table1824[[#This Row],[BKK]]&amp;TRIM(RIGHT(SUBSTITUTE(TRIM(Table1824[[#Headers],[Uraian aaaaaaaaaa]])," ",REPT(" ",255)),255)),'Un nOTA'!$D$4:$J$1004,4,FALSE),"")</f>
        <v/>
      </c>
      <c r="AP42" s="8" t="str">
        <f>IFERROR(VLOOKUP(Table1824[[#This Row],[BKK]]&amp;TRIM(RIGHT(SUBSTITUTE(TRIM(Table1824[[#Headers],[Uraian aaaaaaaaaaa]])," ",REPT(" ",255)),255)),'Un nOTA'!$D$4:$J$1004,4,FALSE),"")</f>
        <v/>
      </c>
      <c r="AQ42" s="8" t="str">
        <f>IFERROR(VLOOKUP(Table1824[[#This Row],[BKK]]&amp;TRIM(RIGHT(SUBSTITUTE(TRIM(Table1824[[#Headers],[Uraian aaaaaaaaaaaa]])," ",REPT(" ",255)),255)),'Un nOTA'!$D$4:$J$1004,4,FALSE),"")</f>
        <v/>
      </c>
      <c r="AR42" s="8" t="str">
        <f>IFERROR((IFERROR(VLOOKUP(Table1824[[#This Row],[BKK]],'Un nOTA'!$D$4:$J$1004,5,FALSE),""))*(10/11),"")</f>
        <v/>
      </c>
      <c r="AS42" s="8" t="str">
        <f>IFERROR((IFERROR(VLOOKUP(Table1824[[#This Row],[BKK]]&amp;TRIM(RIGHT(SUBSTITUTE(TRIM(Table1824[[#Headers],[Uraian a]])," ",REPT(" ",255)),255)),'Un nOTA'!$D$4:$J$1004,5,FALSE),"")*(10/11)),"")</f>
        <v/>
      </c>
      <c r="AT42" s="8" t="str">
        <f>IFERROR((IFERROR(VLOOKUP(Table1824[[#This Row],[BKK]]&amp;TRIM(RIGHT(SUBSTITUTE(TRIM(Table1824[[#Headers],[Uraian aa]])," ",REPT(" ",255)),255)),'Un nOTA'!$D$4:$J$1004,5,FALSE),"")*(10/11)),"")</f>
        <v/>
      </c>
      <c r="AU42" s="8" t="str">
        <f>IFERROR((IFERROR(VLOOKUP(Table1824[[#This Row],[BKK]]&amp;TRIM(RIGHT(SUBSTITUTE(TRIM(Table1824[[#Headers],[Uraian aaa]])," ",REPT(" ",255)),255)),'Un nOTA'!$D$4:$J$1004,5,FALSE),"")*(10/11)),"")</f>
        <v/>
      </c>
      <c r="AV42" s="8" t="str">
        <f>IFERROR((IFERROR(VLOOKUP(Table1824[[#This Row],[BKK]]&amp;TRIM(RIGHT(SUBSTITUTE(TRIM(Table1824[[#Headers],[Uraian aaaa]])," ",REPT(" ",255)),255)),'Un nOTA'!$D$4:$J$1004,5,FALSE),"")*(10/11)),"")</f>
        <v/>
      </c>
      <c r="AW42" s="8" t="str">
        <f>IFERROR((IFERROR(VLOOKUP(Table1824[[#This Row],[BKK]]&amp;TRIM(RIGHT(SUBSTITUTE(TRIM(Table1824[[#Headers],[Uraian aaaaa]])," ",REPT(" ",255)),255)),'Un nOTA'!$D$4:$J$1004,5,FALSE),"")*(10/11)),"")</f>
        <v/>
      </c>
      <c r="AX42" s="8" t="str">
        <f>IFERROR((IFERROR(VLOOKUP(Table1824[[#This Row],[BKK]]&amp;TRIM(RIGHT(SUBSTITUTE(TRIM(Table1824[[#Headers],[Uraian aaaaaa]])," ",REPT(" ",255)),255)),'Un nOTA'!$D$4:$J$1004,5,FALSE),"")*(10/11)),"")</f>
        <v/>
      </c>
      <c r="AY42" s="8" t="str">
        <f>IFERROR((IFERROR(VLOOKUP(Table1824[[#This Row],[BKK]]&amp;TRIM(RIGHT(SUBSTITUTE(TRIM(Table1824[[#Headers],[Uraian aaaaaaa]])," ",REPT(" ",255)),255)),'Un nOTA'!$D$4:$J$1004,5,FALSE),"")*(10/11)),"")</f>
        <v/>
      </c>
      <c r="AZ42" s="8" t="str">
        <f>IFERROR((IFERROR(VLOOKUP(Table1824[[#This Row],[BKK]]&amp;TRIM(RIGHT(SUBSTITUTE(TRIM(Table1824[[#Headers],[Uraian aaaaaaaa]])," ",REPT(" ",255)),255)),'Un nOTA'!$D$4:$J$1004,5,FALSE),"")*(10/11)),"")</f>
        <v/>
      </c>
      <c r="BA42" s="8" t="str">
        <f>IFERROR((IFERROR(VLOOKUP(Table1824[[#This Row],[BKK]]&amp;TRIM(RIGHT(SUBSTITUTE(TRIM(Table1824[[#Headers],[Uraian aaaaaaaaa]])," ",REPT(" ",255)),255)),'Un nOTA'!$D$4:$J$1004,5,FALSE),"")*(10/11)),"")</f>
        <v/>
      </c>
      <c r="BB42" s="8" t="str">
        <f>IFERROR((IFERROR(VLOOKUP(Table1824[[#This Row],[BKK]]&amp;TRIM(RIGHT(SUBSTITUTE(TRIM(Table1824[[#Headers],[Uraian aaaaaaaaaa]])," ",REPT(" ",255)),255)),'Un nOTA'!$D$4:$J$1004,5,FALSE),"")*(10/11)),"")</f>
        <v/>
      </c>
      <c r="BC42" s="8" t="str">
        <f>IFERROR((IFERROR(VLOOKUP(Table1824[[#This Row],[BKK]]&amp;TRIM(RIGHT(SUBSTITUTE(TRIM(Table1824[[#Headers],[Uraian aaaaaaaaaaa]])," ",REPT(" ",255)),255)),'Un nOTA'!$D$4:$J$1004,5,FALSE),"")*(10/11)),"")</f>
        <v/>
      </c>
      <c r="BD42" s="8" t="str">
        <f>IFERROR((IFERROR(VLOOKUP(Table1824[[#This Row],[BKK]]&amp;TRIM(RIGHT(SUBSTITUTE(TRIM(Table1824[[#Headers],[Uraian aaaaaaaaaaaa]])," ",REPT(" ",255)),255)),'Un nOTA'!$D$4:$J$1004,5,FALSE),"")*(10/11)),"")</f>
        <v/>
      </c>
      <c r="BE42" s="23" t="str">
        <f>IFERROR(ROUNDUP((Table1824[[#This Row],[Qty]]*Table1824[[#This Row],[Hrg St]]),0),"")</f>
        <v/>
      </c>
      <c r="BF42" s="8" t="str">
        <f>IFERROR(ROUNDUP((Table1824[[#This Row],[Qty2]]*Table1824[[#This Row],[Hrg St2]]),0),"")</f>
        <v/>
      </c>
      <c r="BG42" s="8" t="str">
        <f>IFERROR(ROUNDUP((Table1824[[#This Row],[Qty3]]*Table1824[[#This Row],[Hrg St3]]),0),"")</f>
        <v/>
      </c>
      <c r="BH42" s="8" t="str">
        <f>IFERROR(ROUNDUP((Table1824[[#This Row],[Qty4]]*Table1824[[#This Row],[Hrg St4]]),0),"")</f>
        <v/>
      </c>
      <c r="BI42" s="8" t="str">
        <f>IFERROR(ROUNDUP((Table1824[[#This Row],[Qty5]]*Table1824[[#This Row],[Hrg St5]]),0),"")</f>
        <v/>
      </c>
      <c r="BJ42" s="8" t="str">
        <f>IFERROR(ROUNDUP((Table1824[[#This Row],[Qty6]]*Table1824[[#This Row],[Hrg St6]]),0),"")</f>
        <v/>
      </c>
      <c r="BK42" s="8" t="str">
        <f>IFERROR(ROUNDUP((Table1824[[#This Row],[Qty7]]*Table1824[[#This Row],[Hrg St7]]),0),"")</f>
        <v/>
      </c>
      <c r="BL42" s="8" t="str">
        <f>IFERROR(ROUNDUP((Table1824[[#This Row],[Qty8]]*Table1824[[#This Row],[Hrg St8]]),0),"")</f>
        <v/>
      </c>
      <c r="BM42" s="8" t="str">
        <f>IFERROR(ROUNDUP((Table1824[[#This Row],[Qty9]]*Table1824[[#This Row],[Hrg St9]]),0),"")</f>
        <v/>
      </c>
      <c r="BN42" s="8" t="str">
        <f>IFERROR(ROUNDUP((Table1824[[#This Row],[Qty10]]*Table1824[[#This Row],[Hrg St10]]),0),"")</f>
        <v/>
      </c>
      <c r="BO42" s="8" t="str">
        <f>IFERROR(ROUNDUP((Table1824[[#This Row],[Qty11]]*Table1824[[#This Row],[Hrg St11]]),0),"")</f>
        <v/>
      </c>
      <c r="BP42" s="8" t="str">
        <f>IFERROR(ROUNDUP((Table1824[[#This Row],[Qty12]]*Table1824[[#This Row],[Hrg St12]]),0),"")</f>
        <v/>
      </c>
      <c r="BQ42" s="8" t="str">
        <f>IFERROR(ROUNDUP((Table1824[[#This Row],[Qty13]]*Table1824[[#This Row],[Hrg St13]]),0),"")</f>
        <v/>
      </c>
      <c r="BR42" s="23" t="str">
        <f>IF(Table1824[[#This Row],[BKK]]&gt;" ",IFERROR(ROUNDUP((SUM(Table1824[[#This Row],[Jml]:[Jml13]])),0)," ")," ")</f>
        <v xml:space="preserve"> </v>
      </c>
      <c r="BS42" s="23" t="str">
        <f>IF(Table1824[[#This Row],[BKK]]&gt;" ",ROUND((Table1824[[#This Row],[Total]]*0.1),0)," ")</f>
        <v xml:space="preserve"> </v>
      </c>
      <c r="BT42" s="23" t="str">
        <f>IF(Table1824[[#This Row],[BKK]]&gt;" ",(Table1824[[#This Row],[Total]]+Table1824[[#This Row],[PPN]])," ")</f>
        <v xml:space="preserve"> </v>
      </c>
      <c r="BU42" t="s">
        <v>454</v>
      </c>
      <c r="BV42" t="str">
        <f>IF(Table1824[[#This Row],[BKK]]&gt;" ",("INV/AK-MLG/2019/"&amp;'BKU 1'!$E$1&amp;"/"&amp;Table1824[[#This Row],[BKK]]&amp;"/"&amp;'BKU 1'!$E$1&amp;ROW())," ")</f>
        <v xml:space="preserve"> </v>
      </c>
      <c r="BW42" t="str">
        <f>IF(Table1824[[#This Row],[BKK]]&gt;" ",(TEXT(VLOOKUP(Table1824[[#This Row],[BKK]],COPY!$O$2:$U$1000,7,FALSE),"dd mmmm yyyy"))," ")</f>
        <v xml:space="preserve"> </v>
      </c>
      <c r="BX42" t="str">
        <f>IF(Table1824[[#This Row],[BKK]]&gt;" ",(TEXT((Table1824[[#This Row],[Tanggal Kirim]]+30),"dd mmmm yyyy"))," ")</f>
        <v xml:space="preserve"> </v>
      </c>
      <c r="BY42" t="str">
        <f>IF(Table1824[[#This Row],[BKK]]&gt;" ",'BKU 1'!$E$17," ")</f>
        <v xml:space="preserve"> </v>
      </c>
    </row>
    <row r="43" spans="1:77" hidden="1" x14ac:dyDescent="0.25">
      <c r="A43" t="str">
        <f>IFERROR((IF('Laporan ppn'!G6830&gt;0,VLOOKUP('Laporan ppn'!G6830,'Laporan ppn'!$E$10:$F$6785,2,FALSE),"")),"")</f>
        <v xml:space="preserve"> </v>
      </c>
      <c r="B43" t="str">
        <f>IF(Table1824[[#This Row],[BKK]]=" "," ",'BKU 1'!$D$25)</f>
        <v xml:space="preserve"> </v>
      </c>
      <c r="C43" t="str">
        <f>IF(Table1824[[#This Row],[BKK]]=" "," ",'BKU 1'!$D$26)</f>
        <v xml:space="preserve"> </v>
      </c>
      <c r="D43" t="str">
        <f>IF(Table1824[[#This Row],[BKK]]=" "," ",'BKU 1'!$I$25)</f>
        <v xml:space="preserve"> </v>
      </c>
      <c r="E43" t="str">
        <f>IFERROR(VLOOKUP(Table1824[[#This Row],[BKK]],'Un nOTA'!$D$4:$J$1004,2,FALSE),"")</f>
        <v/>
      </c>
      <c r="F43" t="str">
        <f>IFERROR(VLOOKUP(Table1824[[#This Row],[BKK]]&amp;TRIM(RIGHT(SUBSTITUTE(TRIM(Table1824[[#Headers],[Uraian a]])," ",REPT(" ",255)),255)),'Un nOTA'!$D$4:$J$1004,2,FALSE),"")</f>
        <v/>
      </c>
      <c r="G43" t="str">
        <f>IFERROR(VLOOKUP(Table1824[[#This Row],[BKK]]&amp;TRIM(RIGHT(SUBSTITUTE(TRIM(Table1824[[#Headers],[Uraian aa]])," ",REPT(" ",255)),255)),'Un nOTA'!$D$4:$J$1004,2,FALSE),"")</f>
        <v/>
      </c>
      <c r="H43" t="str">
        <f>IFERROR(VLOOKUP(Table1824[[#This Row],[BKK]]&amp;TRIM(RIGHT(SUBSTITUTE(TRIM(Table1824[[#Headers],[Uraian aaa]])," ",REPT(" ",255)),255)),'Un nOTA'!$D$4:$J$1004,2,FALSE),"")</f>
        <v/>
      </c>
      <c r="I43" t="str">
        <f>IFERROR(VLOOKUP(Table1824[[#This Row],[BKK]]&amp;TRIM(RIGHT(SUBSTITUTE(TRIM(Table1824[[#Headers],[Uraian aaaa]])," ",REPT(" ",255)),255)),'Un nOTA'!$D$4:$J$1004,2,FALSE),"")</f>
        <v/>
      </c>
      <c r="J43" t="str">
        <f>IFERROR(VLOOKUP(Table1824[[#This Row],[BKK]]&amp;TRIM(RIGHT(SUBSTITUTE(TRIM(Table1824[[#Headers],[Uraian aaaaa]])," ",REPT(" ",255)),255)),'Un nOTA'!$D$4:$J$1004,2,FALSE),"")</f>
        <v/>
      </c>
      <c r="K43" t="str">
        <f>IFERROR(VLOOKUP(Table1824[[#This Row],[BKK]]&amp;TRIM(RIGHT(SUBSTITUTE(TRIM(Table1824[[#Headers],[Uraian aaaaaa]])," ",REPT(" ",255)),255)),'Un nOTA'!$D$4:$J$1004,2,FALSE),"")</f>
        <v/>
      </c>
      <c r="L43" t="str">
        <f>IFERROR(VLOOKUP(Table1824[[#This Row],[BKK]]&amp;TRIM(RIGHT(SUBSTITUTE(TRIM(Table1824[[#Headers],[Uraian aaaaaaa]])," ",REPT(" ",255)),255)),'Un nOTA'!$D$4:$J$1004,2,FALSE),"")</f>
        <v/>
      </c>
      <c r="M43" t="str">
        <f>IFERROR(VLOOKUP(Table1824[[#This Row],[BKK]]&amp;TRIM(RIGHT(SUBSTITUTE(TRIM(Table1824[[#Headers],[Uraian aaaaaaaa]])," ",REPT(" ",255)),255)),'Un nOTA'!$D$4:$J$1004,2,FALSE),"")</f>
        <v/>
      </c>
      <c r="N43" t="str">
        <f>IFERROR(VLOOKUP(Table1824[[#This Row],[BKK]]&amp;TRIM(RIGHT(SUBSTITUTE(TRIM(Table1824[[#Headers],[Uraian aaaaaaaaa]])," ",REPT(" ",255)),255)),'Un nOTA'!$D$4:$J$1004,2,FALSE),"")</f>
        <v/>
      </c>
      <c r="O43" t="str">
        <f>IFERROR(VLOOKUP(Table1824[[#This Row],[BKK]]&amp;TRIM(RIGHT(SUBSTITUTE(TRIM(Table1824[[#Headers],[Uraian aaaaaaaaaa]])," ",REPT(" ",255)),255)),'Un nOTA'!$D$4:$J$1004,2,FALSE),"")</f>
        <v/>
      </c>
      <c r="P43" t="str">
        <f>IFERROR(VLOOKUP(Table1824[[#This Row],[BKK]]&amp;TRIM(RIGHT(SUBSTITUTE(TRIM(Table1824[[#Headers],[Uraian aaaaaaaaaaa]])," ",REPT(" ",255)),255)),'Un nOTA'!$D$4:$J$1004,2,FALSE),"")</f>
        <v/>
      </c>
      <c r="Q43" t="str">
        <f>IFERROR(VLOOKUP(Table1824[[#This Row],[BKK]]&amp;TRIM(RIGHT(SUBSTITUTE(TRIM(Table1824[[#Headers],[Uraian aaaaaaaaaaaa]])," ",REPT(" ",255)),255)),'Un nOTA'!$D$4:$J$1004,2,FALSE),"")</f>
        <v/>
      </c>
      <c r="R43" s="32" t="str">
        <f>IFERROR(VLOOKUP(Table1824[[#This Row],[BKK]],'Un nOTA'!$D$4:$J$1004,3,FALSE),"")</f>
        <v/>
      </c>
      <c r="S43" s="32" t="str">
        <f>IFERROR(VLOOKUP(Table1824[[#This Row],[BKK]]&amp;TRIM(RIGHT(SUBSTITUTE(TRIM(Table1824[[#Headers],[Uraian a]])," ",REPT(" ",255)),255)),'Un nOTA'!$D$4:$J$1004,3,FALSE),"")</f>
        <v/>
      </c>
      <c r="T43" s="32" t="str">
        <f>IFERROR(VLOOKUP(Table1824[[#This Row],[BKK]]&amp;TRIM(RIGHT(SUBSTITUTE(TRIM(Table1824[[#Headers],[Uraian aa]])," ",REPT(" ",255)),255)),'Un nOTA'!$D$4:$J$1004,3,FALSE),"")</f>
        <v/>
      </c>
      <c r="U43" s="32" t="str">
        <f>IFERROR(VLOOKUP(Table1824[[#This Row],[BKK]]&amp;TRIM(RIGHT(SUBSTITUTE(TRIM(Table1824[[#Headers],[Uraian aaa]])," ",REPT(" ",255)),255)),'Un nOTA'!$D$4:$J$1004,3,FALSE),"")</f>
        <v/>
      </c>
      <c r="V43" s="32" t="str">
        <f>IFERROR(VLOOKUP(Table1824[[#This Row],[BKK]]&amp;TRIM(RIGHT(SUBSTITUTE(TRIM(Table1824[[#Headers],[Uraian aaaa]])," ",REPT(" ",255)),255)),'Un nOTA'!$D$4:$J$1004,3,FALSE),"")</f>
        <v/>
      </c>
      <c r="W43" s="32" t="str">
        <f>IFERROR(VLOOKUP(Table1824[[#This Row],[BKK]]&amp;TRIM(RIGHT(SUBSTITUTE(TRIM(Table1824[[#Headers],[Uraian aaaaa]])," ",REPT(" ",255)),255)),'Un nOTA'!$D$4:$J$1004,3,FALSE),"")</f>
        <v/>
      </c>
      <c r="X43" s="32" t="str">
        <f>IFERROR(VLOOKUP(Table1824[[#This Row],[BKK]]&amp;TRIM(RIGHT(SUBSTITUTE(TRIM(Table1824[[#Headers],[Uraian aaaaaa]])," ",REPT(" ",255)),255)),'Un nOTA'!$D$4:$J$1004,3,FALSE),"")</f>
        <v/>
      </c>
      <c r="Y43" s="32" t="str">
        <f>IFERROR(VLOOKUP(Table1824[[#This Row],[BKK]]&amp;TRIM(RIGHT(SUBSTITUTE(TRIM(Table1824[[#Headers],[Uraian aaaaaaa]])," ",REPT(" ",255)),255)),'Un nOTA'!$D$4:$J$1004,3,FALSE),"")</f>
        <v/>
      </c>
      <c r="Z43" s="32" t="str">
        <f>IFERROR(VLOOKUP(Table1824[[#This Row],[BKK]]&amp;TRIM(RIGHT(SUBSTITUTE(TRIM(Table1824[[#Headers],[Uraian aaaaaaaa]])," ",REPT(" ",255)),255)),'Un nOTA'!$D$4:$J$1004,3,FALSE),"")</f>
        <v/>
      </c>
      <c r="AA43" s="32" t="str">
        <f>IFERROR(VLOOKUP(Table1824[[#This Row],[BKK]]&amp;TRIM(RIGHT(SUBSTITUTE(TRIM(Table1824[[#Headers],[Uraian aaaaaaaaa]])," ",REPT(" ",255)),255)),'Un nOTA'!$D$4:$J$1004,3,FALSE),"")</f>
        <v/>
      </c>
      <c r="AB43" s="32" t="str">
        <f>IFERROR(VLOOKUP(Table1824[[#This Row],[BKK]]&amp;TRIM(RIGHT(SUBSTITUTE(TRIM(Table1824[[#Headers],[Uraian aaaaaaaaaa]])," ",REPT(" ",255)),255)),'Un nOTA'!$D$4:$J$1004,3,FALSE),"")</f>
        <v/>
      </c>
      <c r="AC43" s="32" t="str">
        <f>IFERROR(VLOOKUP(Table1824[[#This Row],[BKK]]&amp;TRIM(RIGHT(SUBSTITUTE(TRIM(Table1824[[#Headers],[Uraian aaaaaaaaaaa]])," ",REPT(" ",255)),255)),'Un nOTA'!$D$4:$J$1004,3,FALSE),"")</f>
        <v/>
      </c>
      <c r="AD43" s="32" t="str">
        <f>IFERROR(VLOOKUP(Table1824[[#This Row],[BKK]]&amp;TRIM(RIGHT(SUBSTITUTE(TRIM(Table1824[[#Headers],[Uraian aaaaaaaaaaaa]])," ",REPT(" ",255)),255)),'Un nOTA'!$D$4:$J$1004,3,FALSE),"")</f>
        <v/>
      </c>
      <c r="AE43" s="8" t="str">
        <f>IFERROR(VLOOKUP(Table1824[[#This Row],[BKK]],'Un nOTA'!$D$4:$J$1004,4,FALSE),"")</f>
        <v/>
      </c>
      <c r="AF43" s="8" t="str">
        <f>IFERROR(VLOOKUP(Table1824[[#This Row],[BKK]]&amp;TRIM(RIGHT(SUBSTITUTE(TRIM(Table1824[[#Headers],[Uraian a]])," ",REPT(" ",255)),255)),'Un nOTA'!$D$4:$J$1004,4,FALSE),"")</f>
        <v/>
      </c>
      <c r="AG43" s="8" t="str">
        <f>IFERROR(VLOOKUP(Table1824[[#This Row],[BKK]]&amp;TRIM(RIGHT(SUBSTITUTE(TRIM(Table1824[[#Headers],[Uraian aa]])," ",REPT(" ",255)),255)),'Un nOTA'!$D$4:$J$1004,4,FALSE),"")</f>
        <v/>
      </c>
      <c r="AH43" s="8" t="str">
        <f>IFERROR(VLOOKUP(Table1824[[#This Row],[BKK]]&amp;TRIM(RIGHT(SUBSTITUTE(TRIM(Table1824[[#Headers],[Uraian aaa]])," ",REPT(" ",255)),255)),'Un nOTA'!$D$4:$J$1004,4,FALSE),"")</f>
        <v/>
      </c>
      <c r="AI43" s="8" t="str">
        <f>IFERROR(VLOOKUP(Table1824[[#This Row],[BKK]]&amp;TRIM(RIGHT(SUBSTITUTE(TRIM(Table1824[[#Headers],[Uraian aaaa]])," ",REPT(" ",255)),255)),'Un nOTA'!$D$4:$J$1004,4,FALSE),"")</f>
        <v/>
      </c>
      <c r="AJ43" s="8" t="str">
        <f>IFERROR(VLOOKUP(Table1824[[#This Row],[BKK]]&amp;TRIM(RIGHT(SUBSTITUTE(TRIM(Table1824[[#Headers],[Uraian aaaaa]])," ",REPT(" ",255)),255)),'Un nOTA'!$D$4:$J$1004,4,FALSE),"")</f>
        <v/>
      </c>
      <c r="AK43" s="8" t="str">
        <f>IFERROR(VLOOKUP(Table1824[[#This Row],[BKK]]&amp;TRIM(RIGHT(SUBSTITUTE(TRIM(Table1824[[#Headers],[Uraian aaaaaa]])," ",REPT(" ",255)),255)),'Un nOTA'!$D$4:$J$1004,4,FALSE),"")</f>
        <v/>
      </c>
      <c r="AL43" s="8" t="str">
        <f>IFERROR(VLOOKUP(Table1824[[#This Row],[BKK]]&amp;TRIM(RIGHT(SUBSTITUTE(TRIM(Table1824[[#Headers],[Uraian aaaaaaa]])," ",REPT(" ",255)),255)),'Un nOTA'!$D$4:$J$1004,4,FALSE),"")</f>
        <v/>
      </c>
      <c r="AM43" s="8" t="str">
        <f>IFERROR(VLOOKUP(Table1824[[#This Row],[BKK]]&amp;TRIM(RIGHT(SUBSTITUTE(TRIM(Table1824[[#Headers],[Uraian aaaaaaaa]])," ",REPT(" ",255)),255)),'Un nOTA'!$D$4:$J$1004,4,FALSE),"")</f>
        <v/>
      </c>
      <c r="AN43" s="8" t="str">
        <f>IFERROR(VLOOKUP(Table1824[[#This Row],[BKK]]&amp;TRIM(RIGHT(SUBSTITUTE(TRIM(Table1824[[#Headers],[Uraian aaaaaaaaa]])," ",REPT(" ",255)),255)),'Un nOTA'!$D$4:$J$1004,4,FALSE),"")</f>
        <v/>
      </c>
      <c r="AO43" s="8" t="str">
        <f>IFERROR(VLOOKUP(Table1824[[#This Row],[BKK]]&amp;TRIM(RIGHT(SUBSTITUTE(TRIM(Table1824[[#Headers],[Uraian aaaaaaaaaa]])," ",REPT(" ",255)),255)),'Un nOTA'!$D$4:$J$1004,4,FALSE),"")</f>
        <v/>
      </c>
      <c r="AP43" s="8" t="str">
        <f>IFERROR(VLOOKUP(Table1824[[#This Row],[BKK]]&amp;TRIM(RIGHT(SUBSTITUTE(TRIM(Table1824[[#Headers],[Uraian aaaaaaaaaaa]])," ",REPT(" ",255)),255)),'Un nOTA'!$D$4:$J$1004,4,FALSE),"")</f>
        <v/>
      </c>
      <c r="AQ43" s="8" t="str">
        <f>IFERROR(VLOOKUP(Table1824[[#This Row],[BKK]]&amp;TRIM(RIGHT(SUBSTITUTE(TRIM(Table1824[[#Headers],[Uraian aaaaaaaaaaaa]])," ",REPT(" ",255)),255)),'Un nOTA'!$D$4:$J$1004,4,FALSE),"")</f>
        <v/>
      </c>
      <c r="AR43" s="8" t="str">
        <f>IFERROR((IFERROR(VLOOKUP(Table1824[[#This Row],[BKK]],'Un nOTA'!$D$4:$J$1004,5,FALSE),""))*(10/11),"")</f>
        <v/>
      </c>
      <c r="AS43" s="8" t="str">
        <f>IFERROR((IFERROR(VLOOKUP(Table1824[[#This Row],[BKK]]&amp;TRIM(RIGHT(SUBSTITUTE(TRIM(Table1824[[#Headers],[Uraian a]])," ",REPT(" ",255)),255)),'Un nOTA'!$D$4:$J$1004,5,FALSE),"")*(10/11)),"")</f>
        <v/>
      </c>
      <c r="AT43" s="8" t="str">
        <f>IFERROR((IFERROR(VLOOKUP(Table1824[[#This Row],[BKK]]&amp;TRIM(RIGHT(SUBSTITUTE(TRIM(Table1824[[#Headers],[Uraian aa]])," ",REPT(" ",255)),255)),'Un nOTA'!$D$4:$J$1004,5,FALSE),"")*(10/11)),"")</f>
        <v/>
      </c>
      <c r="AU43" s="8" t="str">
        <f>IFERROR((IFERROR(VLOOKUP(Table1824[[#This Row],[BKK]]&amp;TRIM(RIGHT(SUBSTITUTE(TRIM(Table1824[[#Headers],[Uraian aaa]])," ",REPT(" ",255)),255)),'Un nOTA'!$D$4:$J$1004,5,FALSE),"")*(10/11)),"")</f>
        <v/>
      </c>
      <c r="AV43" s="8" t="str">
        <f>IFERROR((IFERROR(VLOOKUP(Table1824[[#This Row],[BKK]]&amp;TRIM(RIGHT(SUBSTITUTE(TRIM(Table1824[[#Headers],[Uraian aaaa]])," ",REPT(" ",255)),255)),'Un nOTA'!$D$4:$J$1004,5,FALSE),"")*(10/11)),"")</f>
        <v/>
      </c>
      <c r="AW43" s="8" t="str">
        <f>IFERROR((IFERROR(VLOOKUP(Table1824[[#This Row],[BKK]]&amp;TRIM(RIGHT(SUBSTITUTE(TRIM(Table1824[[#Headers],[Uraian aaaaa]])," ",REPT(" ",255)),255)),'Un nOTA'!$D$4:$J$1004,5,FALSE),"")*(10/11)),"")</f>
        <v/>
      </c>
      <c r="AX43" s="8" t="str">
        <f>IFERROR((IFERROR(VLOOKUP(Table1824[[#This Row],[BKK]]&amp;TRIM(RIGHT(SUBSTITUTE(TRIM(Table1824[[#Headers],[Uraian aaaaaa]])," ",REPT(" ",255)),255)),'Un nOTA'!$D$4:$J$1004,5,FALSE),"")*(10/11)),"")</f>
        <v/>
      </c>
      <c r="AY43" s="8" t="str">
        <f>IFERROR((IFERROR(VLOOKUP(Table1824[[#This Row],[BKK]]&amp;TRIM(RIGHT(SUBSTITUTE(TRIM(Table1824[[#Headers],[Uraian aaaaaaa]])," ",REPT(" ",255)),255)),'Un nOTA'!$D$4:$J$1004,5,FALSE),"")*(10/11)),"")</f>
        <v/>
      </c>
      <c r="AZ43" s="8" t="str">
        <f>IFERROR((IFERROR(VLOOKUP(Table1824[[#This Row],[BKK]]&amp;TRIM(RIGHT(SUBSTITUTE(TRIM(Table1824[[#Headers],[Uraian aaaaaaaa]])," ",REPT(" ",255)),255)),'Un nOTA'!$D$4:$J$1004,5,FALSE),"")*(10/11)),"")</f>
        <v/>
      </c>
      <c r="BA43" s="8" t="str">
        <f>IFERROR((IFERROR(VLOOKUP(Table1824[[#This Row],[BKK]]&amp;TRIM(RIGHT(SUBSTITUTE(TRIM(Table1824[[#Headers],[Uraian aaaaaaaaa]])," ",REPT(" ",255)),255)),'Un nOTA'!$D$4:$J$1004,5,FALSE),"")*(10/11)),"")</f>
        <v/>
      </c>
      <c r="BB43" s="8" t="str">
        <f>IFERROR((IFERROR(VLOOKUP(Table1824[[#This Row],[BKK]]&amp;TRIM(RIGHT(SUBSTITUTE(TRIM(Table1824[[#Headers],[Uraian aaaaaaaaaa]])," ",REPT(" ",255)),255)),'Un nOTA'!$D$4:$J$1004,5,FALSE),"")*(10/11)),"")</f>
        <v/>
      </c>
      <c r="BC43" s="8" t="str">
        <f>IFERROR((IFERROR(VLOOKUP(Table1824[[#This Row],[BKK]]&amp;TRIM(RIGHT(SUBSTITUTE(TRIM(Table1824[[#Headers],[Uraian aaaaaaaaaaa]])," ",REPT(" ",255)),255)),'Un nOTA'!$D$4:$J$1004,5,FALSE),"")*(10/11)),"")</f>
        <v/>
      </c>
      <c r="BD43" s="8" t="str">
        <f>IFERROR((IFERROR(VLOOKUP(Table1824[[#This Row],[BKK]]&amp;TRIM(RIGHT(SUBSTITUTE(TRIM(Table1824[[#Headers],[Uraian aaaaaaaaaaaa]])," ",REPT(" ",255)),255)),'Un nOTA'!$D$4:$J$1004,5,FALSE),"")*(10/11)),"")</f>
        <v/>
      </c>
      <c r="BE43" s="23" t="str">
        <f>IFERROR(ROUNDUP((Table1824[[#This Row],[Qty]]*Table1824[[#This Row],[Hrg St]]),0),"")</f>
        <v/>
      </c>
      <c r="BF43" s="8" t="str">
        <f>IFERROR(ROUNDUP((Table1824[[#This Row],[Qty2]]*Table1824[[#This Row],[Hrg St2]]),0),"")</f>
        <v/>
      </c>
      <c r="BG43" s="8" t="str">
        <f>IFERROR(ROUNDUP((Table1824[[#This Row],[Qty3]]*Table1824[[#This Row],[Hrg St3]]),0),"")</f>
        <v/>
      </c>
      <c r="BH43" s="8" t="str">
        <f>IFERROR(ROUNDUP((Table1824[[#This Row],[Qty4]]*Table1824[[#This Row],[Hrg St4]]),0),"")</f>
        <v/>
      </c>
      <c r="BI43" s="8" t="str">
        <f>IFERROR(ROUNDUP((Table1824[[#This Row],[Qty5]]*Table1824[[#This Row],[Hrg St5]]),0),"")</f>
        <v/>
      </c>
      <c r="BJ43" s="8" t="str">
        <f>IFERROR(ROUNDUP((Table1824[[#This Row],[Qty6]]*Table1824[[#This Row],[Hrg St6]]),0),"")</f>
        <v/>
      </c>
      <c r="BK43" s="8" t="str">
        <f>IFERROR(ROUNDUP((Table1824[[#This Row],[Qty7]]*Table1824[[#This Row],[Hrg St7]]),0),"")</f>
        <v/>
      </c>
      <c r="BL43" s="8" t="str">
        <f>IFERROR(ROUNDUP((Table1824[[#This Row],[Qty8]]*Table1824[[#This Row],[Hrg St8]]),0),"")</f>
        <v/>
      </c>
      <c r="BM43" s="8" t="str">
        <f>IFERROR(ROUNDUP((Table1824[[#This Row],[Qty9]]*Table1824[[#This Row],[Hrg St9]]),0),"")</f>
        <v/>
      </c>
      <c r="BN43" s="8" t="str">
        <f>IFERROR(ROUNDUP((Table1824[[#This Row],[Qty10]]*Table1824[[#This Row],[Hrg St10]]),0),"")</f>
        <v/>
      </c>
      <c r="BO43" s="8" t="str">
        <f>IFERROR(ROUNDUP((Table1824[[#This Row],[Qty11]]*Table1824[[#This Row],[Hrg St11]]),0),"")</f>
        <v/>
      </c>
      <c r="BP43" s="8" t="str">
        <f>IFERROR(ROUNDUP((Table1824[[#This Row],[Qty12]]*Table1824[[#This Row],[Hrg St12]]),0),"")</f>
        <v/>
      </c>
      <c r="BQ43" s="8" t="str">
        <f>IFERROR(ROUNDUP((Table1824[[#This Row],[Qty13]]*Table1824[[#This Row],[Hrg St13]]),0),"")</f>
        <v/>
      </c>
      <c r="BR43" s="23" t="str">
        <f>IF(Table1824[[#This Row],[BKK]]&gt;" ",IFERROR(ROUNDUP((SUM(Table1824[[#This Row],[Jml]:[Jml13]])),0)," ")," ")</f>
        <v xml:space="preserve"> </v>
      </c>
      <c r="BS43" s="23" t="str">
        <f>IF(Table1824[[#This Row],[BKK]]&gt;" ",ROUND((Table1824[[#This Row],[Total]]*0.1),0)," ")</f>
        <v xml:space="preserve"> </v>
      </c>
      <c r="BT43" s="23" t="str">
        <f>IF(Table1824[[#This Row],[BKK]]&gt;" ",(Table1824[[#This Row],[Total]]+Table1824[[#This Row],[PPN]])," ")</f>
        <v xml:space="preserve"> </v>
      </c>
      <c r="BU43" t="s">
        <v>454</v>
      </c>
      <c r="BV43" t="str">
        <f>IF(Table1824[[#This Row],[BKK]]&gt;" ",("INV/AK-MLG/2019/"&amp;'BKU 1'!$E$1&amp;"/"&amp;Table1824[[#This Row],[BKK]]&amp;"/"&amp;'BKU 1'!$E$1&amp;ROW())," ")</f>
        <v xml:space="preserve"> </v>
      </c>
      <c r="BW43" t="str">
        <f>IF(Table1824[[#This Row],[BKK]]&gt;" ",(TEXT(VLOOKUP(Table1824[[#This Row],[BKK]],COPY!$O$2:$U$1000,7,FALSE),"dd mmmm yyyy"))," ")</f>
        <v xml:space="preserve"> </v>
      </c>
      <c r="BX43" t="str">
        <f>IF(Table1824[[#This Row],[BKK]]&gt;" ",(TEXT((Table1824[[#This Row],[Tanggal Kirim]]+30),"dd mmmm yyyy"))," ")</f>
        <v xml:space="preserve"> </v>
      </c>
      <c r="BY43" t="str">
        <f>IF(Table1824[[#This Row],[BKK]]&gt;" ",'BKU 1'!$E$17," ")</f>
        <v xml:space="preserve"> </v>
      </c>
    </row>
    <row r="44" spans="1:77" hidden="1" x14ac:dyDescent="0.25">
      <c r="A44" t="str">
        <f>IFERROR((IF('Laporan ppn'!G6831&gt;0,VLOOKUP('Laporan ppn'!G6831,'Laporan ppn'!$E$10:$F$6785,2,FALSE),"")),"")</f>
        <v xml:space="preserve"> </v>
      </c>
      <c r="B44" t="str">
        <f>IF(Table1824[[#This Row],[BKK]]=" "," ",'BKU 1'!$D$25)</f>
        <v xml:space="preserve"> </v>
      </c>
      <c r="C44" t="str">
        <f>IF(Table1824[[#This Row],[BKK]]=" "," ",'BKU 1'!$D$26)</f>
        <v xml:space="preserve"> </v>
      </c>
      <c r="D44" t="str">
        <f>IF(Table1824[[#This Row],[BKK]]=" "," ",'BKU 1'!$I$25)</f>
        <v xml:space="preserve"> </v>
      </c>
      <c r="E44" t="str">
        <f>IFERROR(VLOOKUP(Table1824[[#This Row],[BKK]],'Un nOTA'!$D$4:$J$1004,2,FALSE),"")</f>
        <v/>
      </c>
      <c r="F44" t="str">
        <f>IFERROR(VLOOKUP(Table1824[[#This Row],[BKK]]&amp;TRIM(RIGHT(SUBSTITUTE(TRIM(Table1824[[#Headers],[Uraian a]])," ",REPT(" ",255)),255)),'Un nOTA'!$D$4:$J$1004,2,FALSE),"")</f>
        <v/>
      </c>
      <c r="G44" t="str">
        <f>IFERROR(VLOOKUP(Table1824[[#This Row],[BKK]]&amp;TRIM(RIGHT(SUBSTITUTE(TRIM(Table1824[[#Headers],[Uraian aa]])," ",REPT(" ",255)),255)),'Un nOTA'!$D$4:$J$1004,2,FALSE),"")</f>
        <v/>
      </c>
      <c r="H44" t="str">
        <f>IFERROR(VLOOKUP(Table1824[[#This Row],[BKK]]&amp;TRIM(RIGHT(SUBSTITUTE(TRIM(Table1824[[#Headers],[Uraian aaa]])," ",REPT(" ",255)),255)),'Un nOTA'!$D$4:$J$1004,2,FALSE),"")</f>
        <v/>
      </c>
      <c r="I44" t="str">
        <f>IFERROR(VLOOKUP(Table1824[[#This Row],[BKK]]&amp;TRIM(RIGHT(SUBSTITUTE(TRIM(Table1824[[#Headers],[Uraian aaaa]])," ",REPT(" ",255)),255)),'Un nOTA'!$D$4:$J$1004,2,FALSE),"")</f>
        <v/>
      </c>
      <c r="J44" t="str">
        <f>IFERROR(VLOOKUP(Table1824[[#This Row],[BKK]]&amp;TRIM(RIGHT(SUBSTITUTE(TRIM(Table1824[[#Headers],[Uraian aaaaa]])," ",REPT(" ",255)),255)),'Un nOTA'!$D$4:$J$1004,2,FALSE),"")</f>
        <v/>
      </c>
      <c r="K44" t="str">
        <f>IFERROR(VLOOKUP(Table1824[[#This Row],[BKK]]&amp;TRIM(RIGHT(SUBSTITUTE(TRIM(Table1824[[#Headers],[Uraian aaaaaa]])," ",REPT(" ",255)),255)),'Un nOTA'!$D$4:$J$1004,2,FALSE),"")</f>
        <v/>
      </c>
      <c r="L44" t="str">
        <f>IFERROR(VLOOKUP(Table1824[[#This Row],[BKK]]&amp;TRIM(RIGHT(SUBSTITUTE(TRIM(Table1824[[#Headers],[Uraian aaaaaaa]])," ",REPT(" ",255)),255)),'Un nOTA'!$D$4:$J$1004,2,FALSE),"")</f>
        <v/>
      </c>
      <c r="M44" t="str">
        <f>IFERROR(VLOOKUP(Table1824[[#This Row],[BKK]]&amp;TRIM(RIGHT(SUBSTITUTE(TRIM(Table1824[[#Headers],[Uraian aaaaaaaa]])," ",REPT(" ",255)),255)),'Un nOTA'!$D$4:$J$1004,2,FALSE),"")</f>
        <v/>
      </c>
      <c r="N44" t="str">
        <f>IFERROR(VLOOKUP(Table1824[[#This Row],[BKK]]&amp;TRIM(RIGHT(SUBSTITUTE(TRIM(Table1824[[#Headers],[Uraian aaaaaaaaa]])," ",REPT(" ",255)),255)),'Un nOTA'!$D$4:$J$1004,2,FALSE),"")</f>
        <v/>
      </c>
      <c r="O44" t="str">
        <f>IFERROR(VLOOKUP(Table1824[[#This Row],[BKK]]&amp;TRIM(RIGHT(SUBSTITUTE(TRIM(Table1824[[#Headers],[Uraian aaaaaaaaaa]])," ",REPT(" ",255)),255)),'Un nOTA'!$D$4:$J$1004,2,FALSE),"")</f>
        <v/>
      </c>
      <c r="P44" t="str">
        <f>IFERROR(VLOOKUP(Table1824[[#This Row],[BKK]]&amp;TRIM(RIGHT(SUBSTITUTE(TRIM(Table1824[[#Headers],[Uraian aaaaaaaaaaa]])," ",REPT(" ",255)),255)),'Un nOTA'!$D$4:$J$1004,2,FALSE),"")</f>
        <v/>
      </c>
      <c r="Q44" t="str">
        <f>IFERROR(VLOOKUP(Table1824[[#This Row],[BKK]]&amp;TRIM(RIGHT(SUBSTITUTE(TRIM(Table1824[[#Headers],[Uraian aaaaaaaaaaaa]])," ",REPT(" ",255)),255)),'Un nOTA'!$D$4:$J$1004,2,FALSE),"")</f>
        <v/>
      </c>
      <c r="R44" s="32" t="str">
        <f>IFERROR(VLOOKUP(Table1824[[#This Row],[BKK]],'Un nOTA'!$D$4:$J$1004,3,FALSE),"")</f>
        <v/>
      </c>
      <c r="S44" s="32" t="str">
        <f>IFERROR(VLOOKUP(Table1824[[#This Row],[BKK]]&amp;TRIM(RIGHT(SUBSTITUTE(TRIM(Table1824[[#Headers],[Uraian a]])," ",REPT(" ",255)),255)),'Un nOTA'!$D$4:$J$1004,3,FALSE),"")</f>
        <v/>
      </c>
      <c r="T44" s="32" t="str">
        <f>IFERROR(VLOOKUP(Table1824[[#This Row],[BKK]]&amp;TRIM(RIGHT(SUBSTITUTE(TRIM(Table1824[[#Headers],[Uraian aa]])," ",REPT(" ",255)),255)),'Un nOTA'!$D$4:$J$1004,3,FALSE),"")</f>
        <v/>
      </c>
      <c r="U44" s="32" t="str">
        <f>IFERROR(VLOOKUP(Table1824[[#This Row],[BKK]]&amp;TRIM(RIGHT(SUBSTITUTE(TRIM(Table1824[[#Headers],[Uraian aaa]])," ",REPT(" ",255)),255)),'Un nOTA'!$D$4:$J$1004,3,FALSE),"")</f>
        <v/>
      </c>
      <c r="V44" s="32" t="str">
        <f>IFERROR(VLOOKUP(Table1824[[#This Row],[BKK]]&amp;TRIM(RIGHT(SUBSTITUTE(TRIM(Table1824[[#Headers],[Uraian aaaa]])," ",REPT(" ",255)),255)),'Un nOTA'!$D$4:$J$1004,3,FALSE),"")</f>
        <v/>
      </c>
      <c r="W44" s="32" t="str">
        <f>IFERROR(VLOOKUP(Table1824[[#This Row],[BKK]]&amp;TRIM(RIGHT(SUBSTITUTE(TRIM(Table1824[[#Headers],[Uraian aaaaa]])," ",REPT(" ",255)),255)),'Un nOTA'!$D$4:$J$1004,3,FALSE),"")</f>
        <v/>
      </c>
      <c r="X44" s="32" t="str">
        <f>IFERROR(VLOOKUP(Table1824[[#This Row],[BKK]]&amp;TRIM(RIGHT(SUBSTITUTE(TRIM(Table1824[[#Headers],[Uraian aaaaaa]])," ",REPT(" ",255)),255)),'Un nOTA'!$D$4:$J$1004,3,FALSE),"")</f>
        <v/>
      </c>
      <c r="Y44" s="32" t="str">
        <f>IFERROR(VLOOKUP(Table1824[[#This Row],[BKK]]&amp;TRIM(RIGHT(SUBSTITUTE(TRIM(Table1824[[#Headers],[Uraian aaaaaaa]])," ",REPT(" ",255)),255)),'Un nOTA'!$D$4:$J$1004,3,FALSE),"")</f>
        <v/>
      </c>
      <c r="Z44" s="32" t="str">
        <f>IFERROR(VLOOKUP(Table1824[[#This Row],[BKK]]&amp;TRIM(RIGHT(SUBSTITUTE(TRIM(Table1824[[#Headers],[Uraian aaaaaaaa]])," ",REPT(" ",255)),255)),'Un nOTA'!$D$4:$J$1004,3,FALSE),"")</f>
        <v/>
      </c>
      <c r="AA44" s="32" t="str">
        <f>IFERROR(VLOOKUP(Table1824[[#This Row],[BKK]]&amp;TRIM(RIGHT(SUBSTITUTE(TRIM(Table1824[[#Headers],[Uraian aaaaaaaaa]])," ",REPT(" ",255)),255)),'Un nOTA'!$D$4:$J$1004,3,FALSE),"")</f>
        <v/>
      </c>
      <c r="AB44" s="32" t="str">
        <f>IFERROR(VLOOKUP(Table1824[[#This Row],[BKK]]&amp;TRIM(RIGHT(SUBSTITUTE(TRIM(Table1824[[#Headers],[Uraian aaaaaaaaaa]])," ",REPT(" ",255)),255)),'Un nOTA'!$D$4:$J$1004,3,FALSE),"")</f>
        <v/>
      </c>
      <c r="AC44" s="32" t="str">
        <f>IFERROR(VLOOKUP(Table1824[[#This Row],[BKK]]&amp;TRIM(RIGHT(SUBSTITUTE(TRIM(Table1824[[#Headers],[Uraian aaaaaaaaaaa]])," ",REPT(" ",255)),255)),'Un nOTA'!$D$4:$J$1004,3,FALSE),"")</f>
        <v/>
      </c>
      <c r="AD44" s="32" t="str">
        <f>IFERROR(VLOOKUP(Table1824[[#This Row],[BKK]]&amp;TRIM(RIGHT(SUBSTITUTE(TRIM(Table1824[[#Headers],[Uraian aaaaaaaaaaaa]])," ",REPT(" ",255)),255)),'Un nOTA'!$D$4:$J$1004,3,FALSE),"")</f>
        <v/>
      </c>
      <c r="AE44" s="8" t="str">
        <f>IFERROR(VLOOKUP(Table1824[[#This Row],[BKK]],'Un nOTA'!$D$4:$J$1004,4,FALSE),"")</f>
        <v/>
      </c>
      <c r="AF44" s="8" t="str">
        <f>IFERROR(VLOOKUP(Table1824[[#This Row],[BKK]]&amp;TRIM(RIGHT(SUBSTITUTE(TRIM(Table1824[[#Headers],[Uraian a]])," ",REPT(" ",255)),255)),'Un nOTA'!$D$4:$J$1004,4,FALSE),"")</f>
        <v/>
      </c>
      <c r="AG44" s="8" t="str">
        <f>IFERROR(VLOOKUP(Table1824[[#This Row],[BKK]]&amp;TRIM(RIGHT(SUBSTITUTE(TRIM(Table1824[[#Headers],[Uraian aa]])," ",REPT(" ",255)),255)),'Un nOTA'!$D$4:$J$1004,4,FALSE),"")</f>
        <v/>
      </c>
      <c r="AH44" s="8" t="str">
        <f>IFERROR(VLOOKUP(Table1824[[#This Row],[BKK]]&amp;TRIM(RIGHT(SUBSTITUTE(TRIM(Table1824[[#Headers],[Uraian aaa]])," ",REPT(" ",255)),255)),'Un nOTA'!$D$4:$J$1004,4,FALSE),"")</f>
        <v/>
      </c>
      <c r="AI44" s="8" t="str">
        <f>IFERROR(VLOOKUP(Table1824[[#This Row],[BKK]]&amp;TRIM(RIGHT(SUBSTITUTE(TRIM(Table1824[[#Headers],[Uraian aaaa]])," ",REPT(" ",255)),255)),'Un nOTA'!$D$4:$J$1004,4,FALSE),"")</f>
        <v/>
      </c>
      <c r="AJ44" s="8" t="str">
        <f>IFERROR(VLOOKUP(Table1824[[#This Row],[BKK]]&amp;TRIM(RIGHT(SUBSTITUTE(TRIM(Table1824[[#Headers],[Uraian aaaaa]])," ",REPT(" ",255)),255)),'Un nOTA'!$D$4:$J$1004,4,FALSE),"")</f>
        <v/>
      </c>
      <c r="AK44" s="8" t="str">
        <f>IFERROR(VLOOKUP(Table1824[[#This Row],[BKK]]&amp;TRIM(RIGHT(SUBSTITUTE(TRIM(Table1824[[#Headers],[Uraian aaaaaa]])," ",REPT(" ",255)),255)),'Un nOTA'!$D$4:$J$1004,4,FALSE),"")</f>
        <v/>
      </c>
      <c r="AL44" s="8" t="str">
        <f>IFERROR(VLOOKUP(Table1824[[#This Row],[BKK]]&amp;TRIM(RIGHT(SUBSTITUTE(TRIM(Table1824[[#Headers],[Uraian aaaaaaa]])," ",REPT(" ",255)),255)),'Un nOTA'!$D$4:$J$1004,4,FALSE),"")</f>
        <v/>
      </c>
      <c r="AM44" s="8" t="str">
        <f>IFERROR(VLOOKUP(Table1824[[#This Row],[BKK]]&amp;TRIM(RIGHT(SUBSTITUTE(TRIM(Table1824[[#Headers],[Uraian aaaaaaaa]])," ",REPT(" ",255)),255)),'Un nOTA'!$D$4:$J$1004,4,FALSE),"")</f>
        <v/>
      </c>
      <c r="AN44" s="8" t="str">
        <f>IFERROR(VLOOKUP(Table1824[[#This Row],[BKK]]&amp;TRIM(RIGHT(SUBSTITUTE(TRIM(Table1824[[#Headers],[Uraian aaaaaaaaa]])," ",REPT(" ",255)),255)),'Un nOTA'!$D$4:$J$1004,4,FALSE),"")</f>
        <v/>
      </c>
      <c r="AO44" s="8" t="str">
        <f>IFERROR(VLOOKUP(Table1824[[#This Row],[BKK]]&amp;TRIM(RIGHT(SUBSTITUTE(TRIM(Table1824[[#Headers],[Uraian aaaaaaaaaa]])," ",REPT(" ",255)),255)),'Un nOTA'!$D$4:$J$1004,4,FALSE),"")</f>
        <v/>
      </c>
      <c r="AP44" s="8" t="str">
        <f>IFERROR(VLOOKUP(Table1824[[#This Row],[BKK]]&amp;TRIM(RIGHT(SUBSTITUTE(TRIM(Table1824[[#Headers],[Uraian aaaaaaaaaaa]])," ",REPT(" ",255)),255)),'Un nOTA'!$D$4:$J$1004,4,FALSE),"")</f>
        <v/>
      </c>
      <c r="AQ44" s="8" t="str">
        <f>IFERROR(VLOOKUP(Table1824[[#This Row],[BKK]]&amp;TRIM(RIGHT(SUBSTITUTE(TRIM(Table1824[[#Headers],[Uraian aaaaaaaaaaaa]])," ",REPT(" ",255)),255)),'Un nOTA'!$D$4:$J$1004,4,FALSE),"")</f>
        <v/>
      </c>
      <c r="AR44" s="8" t="str">
        <f>IFERROR((IFERROR(VLOOKUP(Table1824[[#This Row],[BKK]],'Un nOTA'!$D$4:$J$1004,5,FALSE),""))*(10/11),"")</f>
        <v/>
      </c>
      <c r="AS44" s="8" t="str">
        <f>IFERROR((IFERROR(VLOOKUP(Table1824[[#This Row],[BKK]]&amp;TRIM(RIGHT(SUBSTITUTE(TRIM(Table1824[[#Headers],[Uraian a]])," ",REPT(" ",255)),255)),'Un nOTA'!$D$4:$J$1004,5,FALSE),"")*(10/11)),"")</f>
        <v/>
      </c>
      <c r="AT44" s="8" t="str">
        <f>IFERROR((IFERROR(VLOOKUP(Table1824[[#This Row],[BKK]]&amp;TRIM(RIGHT(SUBSTITUTE(TRIM(Table1824[[#Headers],[Uraian aa]])," ",REPT(" ",255)),255)),'Un nOTA'!$D$4:$J$1004,5,FALSE),"")*(10/11)),"")</f>
        <v/>
      </c>
      <c r="AU44" s="8" t="str">
        <f>IFERROR((IFERROR(VLOOKUP(Table1824[[#This Row],[BKK]]&amp;TRIM(RIGHT(SUBSTITUTE(TRIM(Table1824[[#Headers],[Uraian aaa]])," ",REPT(" ",255)),255)),'Un nOTA'!$D$4:$J$1004,5,FALSE),"")*(10/11)),"")</f>
        <v/>
      </c>
      <c r="AV44" s="8" t="str">
        <f>IFERROR((IFERROR(VLOOKUP(Table1824[[#This Row],[BKK]]&amp;TRIM(RIGHT(SUBSTITUTE(TRIM(Table1824[[#Headers],[Uraian aaaa]])," ",REPT(" ",255)),255)),'Un nOTA'!$D$4:$J$1004,5,FALSE),"")*(10/11)),"")</f>
        <v/>
      </c>
      <c r="AW44" s="8" t="str">
        <f>IFERROR((IFERROR(VLOOKUP(Table1824[[#This Row],[BKK]]&amp;TRIM(RIGHT(SUBSTITUTE(TRIM(Table1824[[#Headers],[Uraian aaaaa]])," ",REPT(" ",255)),255)),'Un nOTA'!$D$4:$J$1004,5,FALSE),"")*(10/11)),"")</f>
        <v/>
      </c>
      <c r="AX44" s="8" t="str">
        <f>IFERROR((IFERROR(VLOOKUP(Table1824[[#This Row],[BKK]]&amp;TRIM(RIGHT(SUBSTITUTE(TRIM(Table1824[[#Headers],[Uraian aaaaaa]])," ",REPT(" ",255)),255)),'Un nOTA'!$D$4:$J$1004,5,FALSE),"")*(10/11)),"")</f>
        <v/>
      </c>
      <c r="AY44" s="8" t="str">
        <f>IFERROR((IFERROR(VLOOKUP(Table1824[[#This Row],[BKK]]&amp;TRIM(RIGHT(SUBSTITUTE(TRIM(Table1824[[#Headers],[Uraian aaaaaaa]])," ",REPT(" ",255)),255)),'Un nOTA'!$D$4:$J$1004,5,FALSE),"")*(10/11)),"")</f>
        <v/>
      </c>
      <c r="AZ44" s="8" t="str">
        <f>IFERROR((IFERROR(VLOOKUP(Table1824[[#This Row],[BKK]]&amp;TRIM(RIGHT(SUBSTITUTE(TRIM(Table1824[[#Headers],[Uraian aaaaaaaa]])," ",REPT(" ",255)),255)),'Un nOTA'!$D$4:$J$1004,5,FALSE),"")*(10/11)),"")</f>
        <v/>
      </c>
      <c r="BA44" s="8" t="str">
        <f>IFERROR((IFERROR(VLOOKUP(Table1824[[#This Row],[BKK]]&amp;TRIM(RIGHT(SUBSTITUTE(TRIM(Table1824[[#Headers],[Uraian aaaaaaaaa]])," ",REPT(" ",255)),255)),'Un nOTA'!$D$4:$J$1004,5,FALSE),"")*(10/11)),"")</f>
        <v/>
      </c>
      <c r="BB44" s="8" t="str">
        <f>IFERROR((IFERROR(VLOOKUP(Table1824[[#This Row],[BKK]]&amp;TRIM(RIGHT(SUBSTITUTE(TRIM(Table1824[[#Headers],[Uraian aaaaaaaaaa]])," ",REPT(" ",255)),255)),'Un nOTA'!$D$4:$J$1004,5,FALSE),"")*(10/11)),"")</f>
        <v/>
      </c>
      <c r="BC44" s="8" t="str">
        <f>IFERROR((IFERROR(VLOOKUP(Table1824[[#This Row],[BKK]]&amp;TRIM(RIGHT(SUBSTITUTE(TRIM(Table1824[[#Headers],[Uraian aaaaaaaaaaa]])," ",REPT(" ",255)),255)),'Un nOTA'!$D$4:$J$1004,5,FALSE),"")*(10/11)),"")</f>
        <v/>
      </c>
      <c r="BD44" s="8" t="str">
        <f>IFERROR((IFERROR(VLOOKUP(Table1824[[#This Row],[BKK]]&amp;TRIM(RIGHT(SUBSTITUTE(TRIM(Table1824[[#Headers],[Uraian aaaaaaaaaaaa]])," ",REPT(" ",255)),255)),'Un nOTA'!$D$4:$J$1004,5,FALSE),"")*(10/11)),"")</f>
        <v/>
      </c>
      <c r="BE44" s="23" t="str">
        <f>IFERROR(ROUNDUP((Table1824[[#This Row],[Qty]]*Table1824[[#This Row],[Hrg St]]),0),"")</f>
        <v/>
      </c>
      <c r="BF44" s="8" t="str">
        <f>IFERROR(ROUNDUP((Table1824[[#This Row],[Qty2]]*Table1824[[#This Row],[Hrg St2]]),0),"")</f>
        <v/>
      </c>
      <c r="BG44" s="8" t="str">
        <f>IFERROR(ROUNDUP((Table1824[[#This Row],[Qty3]]*Table1824[[#This Row],[Hrg St3]]),0),"")</f>
        <v/>
      </c>
      <c r="BH44" s="8" t="str">
        <f>IFERROR(ROUNDUP((Table1824[[#This Row],[Qty4]]*Table1824[[#This Row],[Hrg St4]]),0),"")</f>
        <v/>
      </c>
      <c r="BI44" s="8" t="str">
        <f>IFERROR(ROUNDUP((Table1824[[#This Row],[Qty5]]*Table1824[[#This Row],[Hrg St5]]),0),"")</f>
        <v/>
      </c>
      <c r="BJ44" s="8" t="str">
        <f>IFERROR(ROUNDUP((Table1824[[#This Row],[Qty6]]*Table1824[[#This Row],[Hrg St6]]),0),"")</f>
        <v/>
      </c>
      <c r="BK44" s="8" t="str">
        <f>IFERROR(ROUNDUP((Table1824[[#This Row],[Qty7]]*Table1824[[#This Row],[Hrg St7]]),0),"")</f>
        <v/>
      </c>
      <c r="BL44" s="8" t="str">
        <f>IFERROR(ROUNDUP((Table1824[[#This Row],[Qty8]]*Table1824[[#This Row],[Hrg St8]]),0),"")</f>
        <v/>
      </c>
      <c r="BM44" s="8" t="str">
        <f>IFERROR(ROUNDUP((Table1824[[#This Row],[Qty9]]*Table1824[[#This Row],[Hrg St9]]),0),"")</f>
        <v/>
      </c>
      <c r="BN44" s="8" t="str">
        <f>IFERROR(ROUNDUP((Table1824[[#This Row],[Qty10]]*Table1824[[#This Row],[Hrg St10]]),0),"")</f>
        <v/>
      </c>
      <c r="BO44" s="8" t="str">
        <f>IFERROR(ROUNDUP((Table1824[[#This Row],[Qty11]]*Table1824[[#This Row],[Hrg St11]]),0),"")</f>
        <v/>
      </c>
      <c r="BP44" s="8" t="str">
        <f>IFERROR(ROUNDUP((Table1824[[#This Row],[Qty12]]*Table1824[[#This Row],[Hrg St12]]),0),"")</f>
        <v/>
      </c>
      <c r="BQ44" s="8" t="str">
        <f>IFERROR(ROUNDUP((Table1824[[#This Row],[Qty13]]*Table1824[[#This Row],[Hrg St13]]),0),"")</f>
        <v/>
      </c>
      <c r="BR44" s="23" t="str">
        <f>IF(Table1824[[#This Row],[BKK]]&gt;" ",IFERROR(ROUNDUP((SUM(Table1824[[#This Row],[Jml]:[Jml13]])),0)," ")," ")</f>
        <v xml:space="preserve"> </v>
      </c>
      <c r="BS44" s="23" t="str">
        <f>IF(Table1824[[#This Row],[BKK]]&gt;" ",ROUND((Table1824[[#This Row],[Total]]*0.1),0)," ")</f>
        <v xml:space="preserve"> </v>
      </c>
      <c r="BT44" s="23" t="str">
        <f>IF(Table1824[[#This Row],[BKK]]&gt;" ",(Table1824[[#This Row],[Total]]+Table1824[[#This Row],[PPN]])," ")</f>
        <v xml:space="preserve"> </v>
      </c>
      <c r="BU44" t="s">
        <v>454</v>
      </c>
      <c r="BV44" t="str">
        <f>IF(Table1824[[#This Row],[BKK]]&gt;" ",("INV/AK-MLG/2019/"&amp;'BKU 1'!$E$1&amp;"/"&amp;Table1824[[#This Row],[BKK]]&amp;"/"&amp;'BKU 1'!$E$1&amp;ROW())," ")</f>
        <v xml:space="preserve"> </v>
      </c>
      <c r="BW44" t="str">
        <f>IF(Table1824[[#This Row],[BKK]]&gt;" ",(TEXT(VLOOKUP(Table1824[[#This Row],[BKK]],COPY!$O$2:$U$1000,7,FALSE),"dd mmmm yyyy"))," ")</f>
        <v xml:space="preserve"> </v>
      </c>
      <c r="BX44" t="str">
        <f>IF(Table1824[[#This Row],[BKK]]&gt;" ",(TEXT((Table1824[[#This Row],[Tanggal Kirim]]+30),"dd mmmm yyyy"))," ")</f>
        <v xml:space="preserve"> </v>
      </c>
      <c r="BY44" t="str">
        <f>IF(Table1824[[#This Row],[BKK]]&gt;" ",'BKU 1'!$E$17," ")</f>
        <v xml:space="preserve"> </v>
      </c>
    </row>
    <row r="45" spans="1:77" hidden="1" x14ac:dyDescent="0.25">
      <c r="A45" t="str">
        <f>IFERROR((IF('Laporan ppn'!G6832&gt;0,VLOOKUP('Laporan ppn'!G6832,'Laporan ppn'!$E$10:$F$6785,2,FALSE),"")),"")</f>
        <v xml:space="preserve"> </v>
      </c>
      <c r="B45" t="str">
        <f>IF(Table1824[[#This Row],[BKK]]=" "," ",'BKU 1'!$D$25)</f>
        <v xml:space="preserve"> </v>
      </c>
      <c r="C45" t="str">
        <f>IF(Table1824[[#This Row],[BKK]]=" "," ",'BKU 1'!$D$26)</f>
        <v xml:space="preserve"> </v>
      </c>
      <c r="D45" t="str">
        <f>IF(Table1824[[#This Row],[BKK]]=" "," ",'BKU 1'!$I$25)</f>
        <v xml:space="preserve"> </v>
      </c>
      <c r="E45" t="str">
        <f>IFERROR(VLOOKUP(Table1824[[#This Row],[BKK]],'Un nOTA'!$D$4:$J$1004,2,FALSE),"")</f>
        <v/>
      </c>
      <c r="F45" t="str">
        <f>IFERROR(VLOOKUP(Table1824[[#This Row],[BKK]]&amp;TRIM(RIGHT(SUBSTITUTE(TRIM(Table1824[[#Headers],[Uraian a]])," ",REPT(" ",255)),255)),'Un nOTA'!$D$4:$J$1004,2,FALSE),"")</f>
        <v/>
      </c>
      <c r="G45" t="str">
        <f>IFERROR(VLOOKUP(Table1824[[#This Row],[BKK]]&amp;TRIM(RIGHT(SUBSTITUTE(TRIM(Table1824[[#Headers],[Uraian aa]])," ",REPT(" ",255)),255)),'Un nOTA'!$D$4:$J$1004,2,FALSE),"")</f>
        <v/>
      </c>
      <c r="H45" t="str">
        <f>IFERROR(VLOOKUP(Table1824[[#This Row],[BKK]]&amp;TRIM(RIGHT(SUBSTITUTE(TRIM(Table1824[[#Headers],[Uraian aaa]])," ",REPT(" ",255)),255)),'Un nOTA'!$D$4:$J$1004,2,FALSE),"")</f>
        <v/>
      </c>
      <c r="I45" t="str">
        <f>IFERROR(VLOOKUP(Table1824[[#This Row],[BKK]]&amp;TRIM(RIGHT(SUBSTITUTE(TRIM(Table1824[[#Headers],[Uraian aaaa]])," ",REPT(" ",255)),255)),'Un nOTA'!$D$4:$J$1004,2,FALSE),"")</f>
        <v/>
      </c>
      <c r="J45" t="str">
        <f>IFERROR(VLOOKUP(Table1824[[#This Row],[BKK]]&amp;TRIM(RIGHT(SUBSTITUTE(TRIM(Table1824[[#Headers],[Uraian aaaaa]])," ",REPT(" ",255)),255)),'Un nOTA'!$D$4:$J$1004,2,FALSE),"")</f>
        <v/>
      </c>
      <c r="K45" t="str">
        <f>IFERROR(VLOOKUP(Table1824[[#This Row],[BKK]]&amp;TRIM(RIGHT(SUBSTITUTE(TRIM(Table1824[[#Headers],[Uraian aaaaaa]])," ",REPT(" ",255)),255)),'Un nOTA'!$D$4:$J$1004,2,FALSE),"")</f>
        <v/>
      </c>
      <c r="L45" t="str">
        <f>IFERROR(VLOOKUP(Table1824[[#This Row],[BKK]]&amp;TRIM(RIGHT(SUBSTITUTE(TRIM(Table1824[[#Headers],[Uraian aaaaaaa]])," ",REPT(" ",255)),255)),'Un nOTA'!$D$4:$J$1004,2,FALSE),"")</f>
        <v/>
      </c>
      <c r="M45" t="str">
        <f>IFERROR(VLOOKUP(Table1824[[#This Row],[BKK]]&amp;TRIM(RIGHT(SUBSTITUTE(TRIM(Table1824[[#Headers],[Uraian aaaaaaaa]])," ",REPT(" ",255)),255)),'Un nOTA'!$D$4:$J$1004,2,FALSE),"")</f>
        <v/>
      </c>
      <c r="N45" t="str">
        <f>IFERROR(VLOOKUP(Table1824[[#This Row],[BKK]]&amp;TRIM(RIGHT(SUBSTITUTE(TRIM(Table1824[[#Headers],[Uraian aaaaaaaaa]])," ",REPT(" ",255)),255)),'Un nOTA'!$D$4:$J$1004,2,FALSE),"")</f>
        <v/>
      </c>
      <c r="O45" t="str">
        <f>IFERROR(VLOOKUP(Table1824[[#This Row],[BKK]]&amp;TRIM(RIGHT(SUBSTITUTE(TRIM(Table1824[[#Headers],[Uraian aaaaaaaaaa]])," ",REPT(" ",255)),255)),'Un nOTA'!$D$4:$J$1004,2,FALSE),"")</f>
        <v/>
      </c>
      <c r="P45" t="str">
        <f>IFERROR(VLOOKUP(Table1824[[#This Row],[BKK]]&amp;TRIM(RIGHT(SUBSTITUTE(TRIM(Table1824[[#Headers],[Uraian aaaaaaaaaaa]])," ",REPT(" ",255)),255)),'Un nOTA'!$D$4:$J$1004,2,FALSE),"")</f>
        <v/>
      </c>
      <c r="Q45" t="str">
        <f>IFERROR(VLOOKUP(Table1824[[#This Row],[BKK]]&amp;TRIM(RIGHT(SUBSTITUTE(TRIM(Table1824[[#Headers],[Uraian aaaaaaaaaaaa]])," ",REPT(" ",255)),255)),'Un nOTA'!$D$4:$J$1004,2,FALSE),"")</f>
        <v/>
      </c>
      <c r="R45" s="32" t="str">
        <f>IFERROR(VLOOKUP(Table1824[[#This Row],[BKK]],'Un nOTA'!$D$4:$J$1004,3,FALSE),"")</f>
        <v/>
      </c>
      <c r="S45" s="32" t="str">
        <f>IFERROR(VLOOKUP(Table1824[[#This Row],[BKK]]&amp;TRIM(RIGHT(SUBSTITUTE(TRIM(Table1824[[#Headers],[Uraian a]])," ",REPT(" ",255)),255)),'Un nOTA'!$D$4:$J$1004,3,FALSE),"")</f>
        <v/>
      </c>
      <c r="T45" s="32" t="str">
        <f>IFERROR(VLOOKUP(Table1824[[#This Row],[BKK]]&amp;TRIM(RIGHT(SUBSTITUTE(TRIM(Table1824[[#Headers],[Uraian aa]])," ",REPT(" ",255)),255)),'Un nOTA'!$D$4:$J$1004,3,FALSE),"")</f>
        <v/>
      </c>
      <c r="U45" s="32" t="str">
        <f>IFERROR(VLOOKUP(Table1824[[#This Row],[BKK]]&amp;TRIM(RIGHT(SUBSTITUTE(TRIM(Table1824[[#Headers],[Uraian aaa]])," ",REPT(" ",255)),255)),'Un nOTA'!$D$4:$J$1004,3,FALSE),"")</f>
        <v/>
      </c>
      <c r="V45" s="32" t="str">
        <f>IFERROR(VLOOKUP(Table1824[[#This Row],[BKK]]&amp;TRIM(RIGHT(SUBSTITUTE(TRIM(Table1824[[#Headers],[Uraian aaaa]])," ",REPT(" ",255)),255)),'Un nOTA'!$D$4:$J$1004,3,FALSE),"")</f>
        <v/>
      </c>
      <c r="W45" s="32" t="str">
        <f>IFERROR(VLOOKUP(Table1824[[#This Row],[BKK]]&amp;TRIM(RIGHT(SUBSTITUTE(TRIM(Table1824[[#Headers],[Uraian aaaaa]])," ",REPT(" ",255)),255)),'Un nOTA'!$D$4:$J$1004,3,FALSE),"")</f>
        <v/>
      </c>
      <c r="X45" s="32" t="str">
        <f>IFERROR(VLOOKUP(Table1824[[#This Row],[BKK]]&amp;TRIM(RIGHT(SUBSTITUTE(TRIM(Table1824[[#Headers],[Uraian aaaaaa]])," ",REPT(" ",255)),255)),'Un nOTA'!$D$4:$J$1004,3,FALSE),"")</f>
        <v/>
      </c>
      <c r="Y45" s="32" t="str">
        <f>IFERROR(VLOOKUP(Table1824[[#This Row],[BKK]]&amp;TRIM(RIGHT(SUBSTITUTE(TRIM(Table1824[[#Headers],[Uraian aaaaaaa]])," ",REPT(" ",255)),255)),'Un nOTA'!$D$4:$J$1004,3,FALSE),"")</f>
        <v/>
      </c>
      <c r="Z45" s="32" t="str">
        <f>IFERROR(VLOOKUP(Table1824[[#This Row],[BKK]]&amp;TRIM(RIGHT(SUBSTITUTE(TRIM(Table1824[[#Headers],[Uraian aaaaaaaa]])," ",REPT(" ",255)),255)),'Un nOTA'!$D$4:$J$1004,3,FALSE),"")</f>
        <v/>
      </c>
      <c r="AA45" s="32" t="str">
        <f>IFERROR(VLOOKUP(Table1824[[#This Row],[BKK]]&amp;TRIM(RIGHT(SUBSTITUTE(TRIM(Table1824[[#Headers],[Uraian aaaaaaaaa]])," ",REPT(" ",255)),255)),'Un nOTA'!$D$4:$J$1004,3,FALSE),"")</f>
        <v/>
      </c>
      <c r="AB45" s="32" t="str">
        <f>IFERROR(VLOOKUP(Table1824[[#This Row],[BKK]]&amp;TRIM(RIGHT(SUBSTITUTE(TRIM(Table1824[[#Headers],[Uraian aaaaaaaaaa]])," ",REPT(" ",255)),255)),'Un nOTA'!$D$4:$J$1004,3,FALSE),"")</f>
        <v/>
      </c>
      <c r="AC45" s="32" t="str">
        <f>IFERROR(VLOOKUP(Table1824[[#This Row],[BKK]]&amp;TRIM(RIGHT(SUBSTITUTE(TRIM(Table1824[[#Headers],[Uraian aaaaaaaaaaa]])," ",REPT(" ",255)),255)),'Un nOTA'!$D$4:$J$1004,3,FALSE),"")</f>
        <v/>
      </c>
      <c r="AD45" s="32" t="str">
        <f>IFERROR(VLOOKUP(Table1824[[#This Row],[BKK]]&amp;TRIM(RIGHT(SUBSTITUTE(TRIM(Table1824[[#Headers],[Uraian aaaaaaaaaaaa]])," ",REPT(" ",255)),255)),'Un nOTA'!$D$4:$J$1004,3,FALSE),"")</f>
        <v/>
      </c>
      <c r="AE45" s="8" t="str">
        <f>IFERROR(VLOOKUP(Table1824[[#This Row],[BKK]],'Un nOTA'!$D$4:$J$1004,4,FALSE),"")</f>
        <v/>
      </c>
      <c r="AF45" s="8" t="str">
        <f>IFERROR(VLOOKUP(Table1824[[#This Row],[BKK]]&amp;TRIM(RIGHT(SUBSTITUTE(TRIM(Table1824[[#Headers],[Uraian a]])," ",REPT(" ",255)),255)),'Un nOTA'!$D$4:$J$1004,4,FALSE),"")</f>
        <v/>
      </c>
      <c r="AG45" s="8" t="str">
        <f>IFERROR(VLOOKUP(Table1824[[#This Row],[BKK]]&amp;TRIM(RIGHT(SUBSTITUTE(TRIM(Table1824[[#Headers],[Uraian aa]])," ",REPT(" ",255)),255)),'Un nOTA'!$D$4:$J$1004,4,FALSE),"")</f>
        <v/>
      </c>
      <c r="AH45" s="8" t="str">
        <f>IFERROR(VLOOKUP(Table1824[[#This Row],[BKK]]&amp;TRIM(RIGHT(SUBSTITUTE(TRIM(Table1824[[#Headers],[Uraian aaa]])," ",REPT(" ",255)),255)),'Un nOTA'!$D$4:$J$1004,4,FALSE),"")</f>
        <v/>
      </c>
      <c r="AI45" s="8" t="str">
        <f>IFERROR(VLOOKUP(Table1824[[#This Row],[BKK]]&amp;TRIM(RIGHT(SUBSTITUTE(TRIM(Table1824[[#Headers],[Uraian aaaa]])," ",REPT(" ",255)),255)),'Un nOTA'!$D$4:$J$1004,4,FALSE),"")</f>
        <v/>
      </c>
      <c r="AJ45" s="8" t="str">
        <f>IFERROR(VLOOKUP(Table1824[[#This Row],[BKK]]&amp;TRIM(RIGHT(SUBSTITUTE(TRIM(Table1824[[#Headers],[Uraian aaaaa]])," ",REPT(" ",255)),255)),'Un nOTA'!$D$4:$J$1004,4,FALSE),"")</f>
        <v/>
      </c>
      <c r="AK45" s="8" t="str">
        <f>IFERROR(VLOOKUP(Table1824[[#This Row],[BKK]]&amp;TRIM(RIGHT(SUBSTITUTE(TRIM(Table1824[[#Headers],[Uraian aaaaaa]])," ",REPT(" ",255)),255)),'Un nOTA'!$D$4:$J$1004,4,FALSE),"")</f>
        <v/>
      </c>
      <c r="AL45" s="8" t="str">
        <f>IFERROR(VLOOKUP(Table1824[[#This Row],[BKK]]&amp;TRIM(RIGHT(SUBSTITUTE(TRIM(Table1824[[#Headers],[Uraian aaaaaaa]])," ",REPT(" ",255)),255)),'Un nOTA'!$D$4:$J$1004,4,FALSE),"")</f>
        <v/>
      </c>
      <c r="AM45" s="8" t="str">
        <f>IFERROR(VLOOKUP(Table1824[[#This Row],[BKK]]&amp;TRIM(RIGHT(SUBSTITUTE(TRIM(Table1824[[#Headers],[Uraian aaaaaaaa]])," ",REPT(" ",255)),255)),'Un nOTA'!$D$4:$J$1004,4,FALSE),"")</f>
        <v/>
      </c>
      <c r="AN45" s="8" t="str">
        <f>IFERROR(VLOOKUP(Table1824[[#This Row],[BKK]]&amp;TRIM(RIGHT(SUBSTITUTE(TRIM(Table1824[[#Headers],[Uraian aaaaaaaaa]])," ",REPT(" ",255)),255)),'Un nOTA'!$D$4:$J$1004,4,FALSE),"")</f>
        <v/>
      </c>
      <c r="AO45" s="8" t="str">
        <f>IFERROR(VLOOKUP(Table1824[[#This Row],[BKK]]&amp;TRIM(RIGHT(SUBSTITUTE(TRIM(Table1824[[#Headers],[Uraian aaaaaaaaaa]])," ",REPT(" ",255)),255)),'Un nOTA'!$D$4:$J$1004,4,FALSE),"")</f>
        <v/>
      </c>
      <c r="AP45" s="8" t="str">
        <f>IFERROR(VLOOKUP(Table1824[[#This Row],[BKK]]&amp;TRIM(RIGHT(SUBSTITUTE(TRIM(Table1824[[#Headers],[Uraian aaaaaaaaaaa]])," ",REPT(" ",255)),255)),'Un nOTA'!$D$4:$J$1004,4,FALSE),"")</f>
        <v/>
      </c>
      <c r="AQ45" s="8" t="str">
        <f>IFERROR(VLOOKUP(Table1824[[#This Row],[BKK]]&amp;TRIM(RIGHT(SUBSTITUTE(TRIM(Table1824[[#Headers],[Uraian aaaaaaaaaaaa]])," ",REPT(" ",255)),255)),'Un nOTA'!$D$4:$J$1004,4,FALSE),"")</f>
        <v/>
      </c>
      <c r="AR45" s="8" t="str">
        <f>IFERROR((IFERROR(VLOOKUP(Table1824[[#This Row],[BKK]],'Un nOTA'!$D$4:$J$1004,5,FALSE),""))*(10/11),"")</f>
        <v/>
      </c>
      <c r="AS45" s="8" t="str">
        <f>IFERROR((IFERROR(VLOOKUP(Table1824[[#This Row],[BKK]]&amp;TRIM(RIGHT(SUBSTITUTE(TRIM(Table1824[[#Headers],[Uraian a]])," ",REPT(" ",255)),255)),'Un nOTA'!$D$4:$J$1004,5,FALSE),"")*(10/11)),"")</f>
        <v/>
      </c>
      <c r="AT45" s="8" t="str">
        <f>IFERROR((IFERROR(VLOOKUP(Table1824[[#This Row],[BKK]]&amp;TRIM(RIGHT(SUBSTITUTE(TRIM(Table1824[[#Headers],[Uraian aa]])," ",REPT(" ",255)),255)),'Un nOTA'!$D$4:$J$1004,5,FALSE),"")*(10/11)),"")</f>
        <v/>
      </c>
      <c r="AU45" s="8" t="str">
        <f>IFERROR((IFERROR(VLOOKUP(Table1824[[#This Row],[BKK]]&amp;TRIM(RIGHT(SUBSTITUTE(TRIM(Table1824[[#Headers],[Uraian aaa]])," ",REPT(" ",255)),255)),'Un nOTA'!$D$4:$J$1004,5,FALSE),"")*(10/11)),"")</f>
        <v/>
      </c>
      <c r="AV45" s="8" t="str">
        <f>IFERROR((IFERROR(VLOOKUP(Table1824[[#This Row],[BKK]]&amp;TRIM(RIGHT(SUBSTITUTE(TRIM(Table1824[[#Headers],[Uraian aaaa]])," ",REPT(" ",255)),255)),'Un nOTA'!$D$4:$J$1004,5,FALSE),"")*(10/11)),"")</f>
        <v/>
      </c>
      <c r="AW45" s="8" t="str">
        <f>IFERROR((IFERROR(VLOOKUP(Table1824[[#This Row],[BKK]]&amp;TRIM(RIGHT(SUBSTITUTE(TRIM(Table1824[[#Headers],[Uraian aaaaa]])," ",REPT(" ",255)),255)),'Un nOTA'!$D$4:$J$1004,5,FALSE),"")*(10/11)),"")</f>
        <v/>
      </c>
      <c r="AX45" s="8" t="str">
        <f>IFERROR((IFERROR(VLOOKUP(Table1824[[#This Row],[BKK]]&amp;TRIM(RIGHT(SUBSTITUTE(TRIM(Table1824[[#Headers],[Uraian aaaaaa]])," ",REPT(" ",255)),255)),'Un nOTA'!$D$4:$J$1004,5,FALSE),"")*(10/11)),"")</f>
        <v/>
      </c>
      <c r="AY45" s="8" t="str">
        <f>IFERROR((IFERROR(VLOOKUP(Table1824[[#This Row],[BKK]]&amp;TRIM(RIGHT(SUBSTITUTE(TRIM(Table1824[[#Headers],[Uraian aaaaaaa]])," ",REPT(" ",255)),255)),'Un nOTA'!$D$4:$J$1004,5,FALSE),"")*(10/11)),"")</f>
        <v/>
      </c>
      <c r="AZ45" s="8" t="str">
        <f>IFERROR((IFERROR(VLOOKUP(Table1824[[#This Row],[BKK]]&amp;TRIM(RIGHT(SUBSTITUTE(TRIM(Table1824[[#Headers],[Uraian aaaaaaaa]])," ",REPT(" ",255)),255)),'Un nOTA'!$D$4:$J$1004,5,FALSE),"")*(10/11)),"")</f>
        <v/>
      </c>
      <c r="BA45" s="8" t="str">
        <f>IFERROR((IFERROR(VLOOKUP(Table1824[[#This Row],[BKK]]&amp;TRIM(RIGHT(SUBSTITUTE(TRIM(Table1824[[#Headers],[Uraian aaaaaaaaa]])," ",REPT(" ",255)),255)),'Un nOTA'!$D$4:$J$1004,5,FALSE),"")*(10/11)),"")</f>
        <v/>
      </c>
      <c r="BB45" s="8" t="str">
        <f>IFERROR((IFERROR(VLOOKUP(Table1824[[#This Row],[BKK]]&amp;TRIM(RIGHT(SUBSTITUTE(TRIM(Table1824[[#Headers],[Uraian aaaaaaaaaa]])," ",REPT(" ",255)),255)),'Un nOTA'!$D$4:$J$1004,5,FALSE),"")*(10/11)),"")</f>
        <v/>
      </c>
      <c r="BC45" s="8" t="str">
        <f>IFERROR((IFERROR(VLOOKUP(Table1824[[#This Row],[BKK]]&amp;TRIM(RIGHT(SUBSTITUTE(TRIM(Table1824[[#Headers],[Uraian aaaaaaaaaaa]])," ",REPT(" ",255)),255)),'Un nOTA'!$D$4:$J$1004,5,FALSE),"")*(10/11)),"")</f>
        <v/>
      </c>
      <c r="BD45" s="8" t="str">
        <f>IFERROR((IFERROR(VLOOKUP(Table1824[[#This Row],[BKK]]&amp;TRIM(RIGHT(SUBSTITUTE(TRIM(Table1824[[#Headers],[Uraian aaaaaaaaaaaa]])," ",REPT(" ",255)),255)),'Un nOTA'!$D$4:$J$1004,5,FALSE),"")*(10/11)),"")</f>
        <v/>
      </c>
      <c r="BE45" s="23" t="str">
        <f>IFERROR(ROUNDUP((Table1824[[#This Row],[Qty]]*Table1824[[#This Row],[Hrg St]]),0),"")</f>
        <v/>
      </c>
      <c r="BF45" s="8" t="str">
        <f>IFERROR(ROUNDUP((Table1824[[#This Row],[Qty2]]*Table1824[[#This Row],[Hrg St2]]),0),"")</f>
        <v/>
      </c>
      <c r="BG45" s="8" t="str">
        <f>IFERROR(ROUNDUP((Table1824[[#This Row],[Qty3]]*Table1824[[#This Row],[Hrg St3]]),0),"")</f>
        <v/>
      </c>
      <c r="BH45" s="8" t="str">
        <f>IFERROR(ROUNDUP((Table1824[[#This Row],[Qty4]]*Table1824[[#This Row],[Hrg St4]]),0),"")</f>
        <v/>
      </c>
      <c r="BI45" s="8" t="str">
        <f>IFERROR(ROUNDUP((Table1824[[#This Row],[Qty5]]*Table1824[[#This Row],[Hrg St5]]),0),"")</f>
        <v/>
      </c>
      <c r="BJ45" s="8" t="str">
        <f>IFERROR(ROUNDUP((Table1824[[#This Row],[Qty6]]*Table1824[[#This Row],[Hrg St6]]),0),"")</f>
        <v/>
      </c>
      <c r="BK45" s="8" t="str">
        <f>IFERROR(ROUNDUP((Table1824[[#This Row],[Qty7]]*Table1824[[#This Row],[Hrg St7]]),0),"")</f>
        <v/>
      </c>
      <c r="BL45" s="8" t="str">
        <f>IFERROR(ROUNDUP((Table1824[[#This Row],[Qty8]]*Table1824[[#This Row],[Hrg St8]]),0),"")</f>
        <v/>
      </c>
      <c r="BM45" s="8" t="str">
        <f>IFERROR(ROUNDUP((Table1824[[#This Row],[Qty9]]*Table1824[[#This Row],[Hrg St9]]),0),"")</f>
        <v/>
      </c>
      <c r="BN45" s="8" t="str">
        <f>IFERROR(ROUNDUP((Table1824[[#This Row],[Qty10]]*Table1824[[#This Row],[Hrg St10]]),0),"")</f>
        <v/>
      </c>
      <c r="BO45" s="8" t="str">
        <f>IFERROR(ROUNDUP((Table1824[[#This Row],[Qty11]]*Table1824[[#This Row],[Hrg St11]]),0),"")</f>
        <v/>
      </c>
      <c r="BP45" s="8" t="str">
        <f>IFERROR(ROUNDUP((Table1824[[#This Row],[Qty12]]*Table1824[[#This Row],[Hrg St12]]),0),"")</f>
        <v/>
      </c>
      <c r="BQ45" s="8" t="str">
        <f>IFERROR(ROUNDUP((Table1824[[#This Row],[Qty13]]*Table1824[[#This Row],[Hrg St13]]),0),"")</f>
        <v/>
      </c>
      <c r="BR45" s="23" t="str">
        <f>IF(Table1824[[#This Row],[BKK]]&gt;" ",IFERROR(ROUNDUP((SUM(Table1824[[#This Row],[Jml]:[Jml13]])),0)," ")," ")</f>
        <v xml:space="preserve"> </v>
      </c>
      <c r="BS45" s="23" t="str">
        <f>IF(Table1824[[#This Row],[BKK]]&gt;" ",ROUND((Table1824[[#This Row],[Total]]*0.1),0)," ")</f>
        <v xml:space="preserve"> </v>
      </c>
      <c r="BT45" s="23" t="str">
        <f>IF(Table1824[[#This Row],[BKK]]&gt;" ",(Table1824[[#This Row],[Total]]+Table1824[[#This Row],[PPN]])," ")</f>
        <v xml:space="preserve"> </v>
      </c>
      <c r="BU45" t="s">
        <v>454</v>
      </c>
      <c r="BV45" t="str">
        <f>IF(Table1824[[#This Row],[BKK]]&gt;" ",("INV/AK-MLG/2019/"&amp;'BKU 1'!$E$1&amp;"/"&amp;Table1824[[#This Row],[BKK]]&amp;"/"&amp;'BKU 1'!$E$1&amp;ROW())," ")</f>
        <v xml:space="preserve"> </v>
      </c>
      <c r="BW45" t="str">
        <f>IF(Table1824[[#This Row],[BKK]]&gt;" ",(TEXT(VLOOKUP(Table1824[[#This Row],[BKK]],COPY!$O$2:$U$1000,7,FALSE),"dd mmmm yyyy"))," ")</f>
        <v xml:space="preserve"> </v>
      </c>
      <c r="BX45" t="str">
        <f>IF(Table1824[[#This Row],[BKK]]&gt;" ",(TEXT((Table1824[[#This Row],[Tanggal Kirim]]+30),"dd mmmm yyyy"))," ")</f>
        <v xml:space="preserve"> </v>
      </c>
      <c r="BY45" t="str">
        <f>IF(Table1824[[#This Row],[BKK]]&gt;" ",'BKU 1'!$E$17," ")</f>
        <v xml:space="preserve"> </v>
      </c>
    </row>
    <row r="46" spans="1:77" hidden="1" x14ac:dyDescent="0.25">
      <c r="A46" t="str">
        <f>IFERROR((IF('Laporan ppn'!G6833&gt;0,VLOOKUP('Laporan ppn'!G6833,'Laporan ppn'!$E$10:$F$6785,2,FALSE),"")),"")</f>
        <v xml:space="preserve"> </v>
      </c>
      <c r="B46" t="str">
        <f>IF(Table1824[[#This Row],[BKK]]=" "," ",'BKU 1'!$D$25)</f>
        <v xml:space="preserve"> </v>
      </c>
      <c r="C46" t="str">
        <f>IF(Table1824[[#This Row],[BKK]]=" "," ",'BKU 1'!$D$26)</f>
        <v xml:space="preserve"> </v>
      </c>
      <c r="D46" t="str">
        <f>IF(Table1824[[#This Row],[BKK]]=" "," ",'BKU 1'!$I$25)</f>
        <v xml:space="preserve"> </v>
      </c>
      <c r="E46" t="str">
        <f>IFERROR(VLOOKUP(Table1824[[#This Row],[BKK]],'Un nOTA'!$D$4:$J$1004,2,FALSE),"")</f>
        <v/>
      </c>
      <c r="F46" t="str">
        <f>IFERROR(VLOOKUP(Table1824[[#This Row],[BKK]]&amp;TRIM(RIGHT(SUBSTITUTE(TRIM(Table1824[[#Headers],[Uraian a]])," ",REPT(" ",255)),255)),'Un nOTA'!$D$4:$J$1004,2,FALSE),"")</f>
        <v/>
      </c>
      <c r="G46" t="str">
        <f>IFERROR(VLOOKUP(Table1824[[#This Row],[BKK]]&amp;TRIM(RIGHT(SUBSTITUTE(TRIM(Table1824[[#Headers],[Uraian aa]])," ",REPT(" ",255)),255)),'Un nOTA'!$D$4:$J$1004,2,FALSE),"")</f>
        <v/>
      </c>
      <c r="H46" t="str">
        <f>IFERROR(VLOOKUP(Table1824[[#This Row],[BKK]]&amp;TRIM(RIGHT(SUBSTITUTE(TRIM(Table1824[[#Headers],[Uraian aaa]])," ",REPT(" ",255)),255)),'Un nOTA'!$D$4:$J$1004,2,FALSE),"")</f>
        <v/>
      </c>
      <c r="I46" t="str">
        <f>IFERROR(VLOOKUP(Table1824[[#This Row],[BKK]]&amp;TRIM(RIGHT(SUBSTITUTE(TRIM(Table1824[[#Headers],[Uraian aaaa]])," ",REPT(" ",255)),255)),'Un nOTA'!$D$4:$J$1004,2,FALSE),"")</f>
        <v/>
      </c>
      <c r="J46" t="str">
        <f>IFERROR(VLOOKUP(Table1824[[#This Row],[BKK]]&amp;TRIM(RIGHT(SUBSTITUTE(TRIM(Table1824[[#Headers],[Uraian aaaaa]])," ",REPT(" ",255)),255)),'Un nOTA'!$D$4:$J$1004,2,FALSE),"")</f>
        <v/>
      </c>
      <c r="K46" t="str">
        <f>IFERROR(VLOOKUP(Table1824[[#This Row],[BKK]]&amp;TRIM(RIGHT(SUBSTITUTE(TRIM(Table1824[[#Headers],[Uraian aaaaaa]])," ",REPT(" ",255)),255)),'Un nOTA'!$D$4:$J$1004,2,FALSE),"")</f>
        <v/>
      </c>
      <c r="L46" t="str">
        <f>IFERROR(VLOOKUP(Table1824[[#This Row],[BKK]]&amp;TRIM(RIGHT(SUBSTITUTE(TRIM(Table1824[[#Headers],[Uraian aaaaaaa]])," ",REPT(" ",255)),255)),'Un nOTA'!$D$4:$J$1004,2,FALSE),"")</f>
        <v/>
      </c>
      <c r="M46" t="str">
        <f>IFERROR(VLOOKUP(Table1824[[#This Row],[BKK]]&amp;TRIM(RIGHT(SUBSTITUTE(TRIM(Table1824[[#Headers],[Uraian aaaaaaaa]])," ",REPT(" ",255)),255)),'Un nOTA'!$D$4:$J$1004,2,FALSE),"")</f>
        <v/>
      </c>
      <c r="N46" t="str">
        <f>IFERROR(VLOOKUP(Table1824[[#This Row],[BKK]]&amp;TRIM(RIGHT(SUBSTITUTE(TRIM(Table1824[[#Headers],[Uraian aaaaaaaaa]])," ",REPT(" ",255)),255)),'Un nOTA'!$D$4:$J$1004,2,FALSE),"")</f>
        <v/>
      </c>
      <c r="O46" t="str">
        <f>IFERROR(VLOOKUP(Table1824[[#This Row],[BKK]]&amp;TRIM(RIGHT(SUBSTITUTE(TRIM(Table1824[[#Headers],[Uraian aaaaaaaaaa]])," ",REPT(" ",255)),255)),'Un nOTA'!$D$4:$J$1004,2,FALSE),"")</f>
        <v/>
      </c>
      <c r="P46" t="str">
        <f>IFERROR(VLOOKUP(Table1824[[#This Row],[BKK]]&amp;TRIM(RIGHT(SUBSTITUTE(TRIM(Table1824[[#Headers],[Uraian aaaaaaaaaaa]])," ",REPT(" ",255)),255)),'Un nOTA'!$D$4:$J$1004,2,FALSE),"")</f>
        <v/>
      </c>
      <c r="Q46" t="str">
        <f>IFERROR(VLOOKUP(Table1824[[#This Row],[BKK]]&amp;TRIM(RIGHT(SUBSTITUTE(TRIM(Table1824[[#Headers],[Uraian aaaaaaaaaaaa]])," ",REPT(" ",255)),255)),'Un nOTA'!$D$4:$J$1004,2,FALSE),"")</f>
        <v/>
      </c>
      <c r="R46" s="32" t="str">
        <f>IFERROR(VLOOKUP(Table1824[[#This Row],[BKK]],'Un nOTA'!$D$4:$J$1004,3,FALSE),"")</f>
        <v/>
      </c>
      <c r="S46" s="32" t="str">
        <f>IFERROR(VLOOKUP(Table1824[[#This Row],[BKK]]&amp;TRIM(RIGHT(SUBSTITUTE(TRIM(Table1824[[#Headers],[Uraian a]])," ",REPT(" ",255)),255)),'Un nOTA'!$D$4:$J$1004,3,FALSE),"")</f>
        <v/>
      </c>
      <c r="T46" s="32" t="str">
        <f>IFERROR(VLOOKUP(Table1824[[#This Row],[BKK]]&amp;TRIM(RIGHT(SUBSTITUTE(TRIM(Table1824[[#Headers],[Uraian aa]])," ",REPT(" ",255)),255)),'Un nOTA'!$D$4:$J$1004,3,FALSE),"")</f>
        <v/>
      </c>
      <c r="U46" s="32" t="str">
        <f>IFERROR(VLOOKUP(Table1824[[#This Row],[BKK]]&amp;TRIM(RIGHT(SUBSTITUTE(TRIM(Table1824[[#Headers],[Uraian aaa]])," ",REPT(" ",255)),255)),'Un nOTA'!$D$4:$J$1004,3,FALSE),"")</f>
        <v/>
      </c>
      <c r="V46" s="32" t="str">
        <f>IFERROR(VLOOKUP(Table1824[[#This Row],[BKK]]&amp;TRIM(RIGHT(SUBSTITUTE(TRIM(Table1824[[#Headers],[Uraian aaaa]])," ",REPT(" ",255)),255)),'Un nOTA'!$D$4:$J$1004,3,FALSE),"")</f>
        <v/>
      </c>
      <c r="W46" s="32" t="str">
        <f>IFERROR(VLOOKUP(Table1824[[#This Row],[BKK]]&amp;TRIM(RIGHT(SUBSTITUTE(TRIM(Table1824[[#Headers],[Uraian aaaaa]])," ",REPT(" ",255)),255)),'Un nOTA'!$D$4:$J$1004,3,FALSE),"")</f>
        <v/>
      </c>
      <c r="X46" s="32" t="str">
        <f>IFERROR(VLOOKUP(Table1824[[#This Row],[BKK]]&amp;TRIM(RIGHT(SUBSTITUTE(TRIM(Table1824[[#Headers],[Uraian aaaaaa]])," ",REPT(" ",255)),255)),'Un nOTA'!$D$4:$J$1004,3,FALSE),"")</f>
        <v/>
      </c>
      <c r="Y46" s="32" t="str">
        <f>IFERROR(VLOOKUP(Table1824[[#This Row],[BKK]]&amp;TRIM(RIGHT(SUBSTITUTE(TRIM(Table1824[[#Headers],[Uraian aaaaaaa]])," ",REPT(" ",255)),255)),'Un nOTA'!$D$4:$J$1004,3,FALSE),"")</f>
        <v/>
      </c>
      <c r="Z46" s="32" t="str">
        <f>IFERROR(VLOOKUP(Table1824[[#This Row],[BKK]]&amp;TRIM(RIGHT(SUBSTITUTE(TRIM(Table1824[[#Headers],[Uraian aaaaaaaa]])," ",REPT(" ",255)),255)),'Un nOTA'!$D$4:$J$1004,3,FALSE),"")</f>
        <v/>
      </c>
      <c r="AA46" s="32" t="str">
        <f>IFERROR(VLOOKUP(Table1824[[#This Row],[BKK]]&amp;TRIM(RIGHT(SUBSTITUTE(TRIM(Table1824[[#Headers],[Uraian aaaaaaaaa]])," ",REPT(" ",255)),255)),'Un nOTA'!$D$4:$J$1004,3,FALSE),"")</f>
        <v/>
      </c>
      <c r="AB46" s="32" t="str">
        <f>IFERROR(VLOOKUP(Table1824[[#This Row],[BKK]]&amp;TRIM(RIGHT(SUBSTITUTE(TRIM(Table1824[[#Headers],[Uraian aaaaaaaaaa]])," ",REPT(" ",255)),255)),'Un nOTA'!$D$4:$J$1004,3,FALSE),"")</f>
        <v/>
      </c>
      <c r="AC46" s="32" t="str">
        <f>IFERROR(VLOOKUP(Table1824[[#This Row],[BKK]]&amp;TRIM(RIGHT(SUBSTITUTE(TRIM(Table1824[[#Headers],[Uraian aaaaaaaaaaa]])," ",REPT(" ",255)),255)),'Un nOTA'!$D$4:$J$1004,3,FALSE),"")</f>
        <v/>
      </c>
      <c r="AD46" s="32" t="str">
        <f>IFERROR(VLOOKUP(Table1824[[#This Row],[BKK]]&amp;TRIM(RIGHT(SUBSTITUTE(TRIM(Table1824[[#Headers],[Uraian aaaaaaaaaaaa]])," ",REPT(" ",255)),255)),'Un nOTA'!$D$4:$J$1004,3,FALSE),"")</f>
        <v/>
      </c>
      <c r="AE46" s="8" t="str">
        <f>IFERROR(VLOOKUP(Table1824[[#This Row],[BKK]],'Un nOTA'!$D$4:$J$1004,4,FALSE),"")</f>
        <v/>
      </c>
      <c r="AF46" s="8" t="str">
        <f>IFERROR(VLOOKUP(Table1824[[#This Row],[BKK]]&amp;TRIM(RIGHT(SUBSTITUTE(TRIM(Table1824[[#Headers],[Uraian a]])," ",REPT(" ",255)),255)),'Un nOTA'!$D$4:$J$1004,4,FALSE),"")</f>
        <v/>
      </c>
      <c r="AG46" s="8" t="str">
        <f>IFERROR(VLOOKUP(Table1824[[#This Row],[BKK]]&amp;TRIM(RIGHT(SUBSTITUTE(TRIM(Table1824[[#Headers],[Uraian aa]])," ",REPT(" ",255)),255)),'Un nOTA'!$D$4:$J$1004,4,FALSE),"")</f>
        <v/>
      </c>
      <c r="AH46" s="8" t="str">
        <f>IFERROR(VLOOKUP(Table1824[[#This Row],[BKK]]&amp;TRIM(RIGHT(SUBSTITUTE(TRIM(Table1824[[#Headers],[Uraian aaa]])," ",REPT(" ",255)),255)),'Un nOTA'!$D$4:$J$1004,4,FALSE),"")</f>
        <v/>
      </c>
      <c r="AI46" s="8" t="str">
        <f>IFERROR(VLOOKUP(Table1824[[#This Row],[BKK]]&amp;TRIM(RIGHT(SUBSTITUTE(TRIM(Table1824[[#Headers],[Uraian aaaa]])," ",REPT(" ",255)),255)),'Un nOTA'!$D$4:$J$1004,4,FALSE),"")</f>
        <v/>
      </c>
      <c r="AJ46" s="8" t="str">
        <f>IFERROR(VLOOKUP(Table1824[[#This Row],[BKK]]&amp;TRIM(RIGHT(SUBSTITUTE(TRIM(Table1824[[#Headers],[Uraian aaaaa]])," ",REPT(" ",255)),255)),'Un nOTA'!$D$4:$J$1004,4,FALSE),"")</f>
        <v/>
      </c>
      <c r="AK46" s="8" t="str">
        <f>IFERROR(VLOOKUP(Table1824[[#This Row],[BKK]]&amp;TRIM(RIGHT(SUBSTITUTE(TRIM(Table1824[[#Headers],[Uraian aaaaaa]])," ",REPT(" ",255)),255)),'Un nOTA'!$D$4:$J$1004,4,FALSE),"")</f>
        <v/>
      </c>
      <c r="AL46" s="8" t="str">
        <f>IFERROR(VLOOKUP(Table1824[[#This Row],[BKK]]&amp;TRIM(RIGHT(SUBSTITUTE(TRIM(Table1824[[#Headers],[Uraian aaaaaaa]])," ",REPT(" ",255)),255)),'Un nOTA'!$D$4:$J$1004,4,FALSE),"")</f>
        <v/>
      </c>
      <c r="AM46" s="8" t="str">
        <f>IFERROR(VLOOKUP(Table1824[[#This Row],[BKK]]&amp;TRIM(RIGHT(SUBSTITUTE(TRIM(Table1824[[#Headers],[Uraian aaaaaaaa]])," ",REPT(" ",255)),255)),'Un nOTA'!$D$4:$J$1004,4,FALSE),"")</f>
        <v/>
      </c>
      <c r="AN46" s="8" t="str">
        <f>IFERROR(VLOOKUP(Table1824[[#This Row],[BKK]]&amp;TRIM(RIGHT(SUBSTITUTE(TRIM(Table1824[[#Headers],[Uraian aaaaaaaaa]])," ",REPT(" ",255)),255)),'Un nOTA'!$D$4:$J$1004,4,FALSE),"")</f>
        <v/>
      </c>
      <c r="AO46" s="8" t="str">
        <f>IFERROR(VLOOKUP(Table1824[[#This Row],[BKK]]&amp;TRIM(RIGHT(SUBSTITUTE(TRIM(Table1824[[#Headers],[Uraian aaaaaaaaaa]])," ",REPT(" ",255)),255)),'Un nOTA'!$D$4:$J$1004,4,FALSE),"")</f>
        <v/>
      </c>
      <c r="AP46" s="8" t="str">
        <f>IFERROR(VLOOKUP(Table1824[[#This Row],[BKK]]&amp;TRIM(RIGHT(SUBSTITUTE(TRIM(Table1824[[#Headers],[Uraian aaaaaaaaaaa]])," ",REPT(" ",255)),255)),'Un nOTA'!$D$4:$J$1004,4,FALSE),"")</f>
        <v/>
      </c>
      <c r="AQ46" s="8" t="str">
        <f>IFERROR(VLOOKUP(Table1824[[#This Row],[BKK]]&amp;TRIM(RIGHT(SUBSTITUTE(TRIM(Table1824[[#Headers],[Uraian aaaaaaaaaaaa]])," ",REPT(" ",255)),255)),'Un nOTA'!$D$4:$J$1004,4,FALSE),"")</f>
        <v/>
      </c>
      <c r="AR46" s="8" t="str">
        <f>IFERROR((IFERROR(VLOOKUP(Table1824[[#This Row],[BKK]],'Un nOTA'!$D$4:$J$1004,5,FALSE),""))*(10/11),"")</f>
        <v/>
      </c>
      <c r="AS46" s="8" t="str">
        <f>IFERROR((IFERROR(VLOOKUP(Table1824[[#This Row],[BKK]]&amp;TRIM(RIGHT(SUBSTITUTE(TRIM(Table1824[[#Headers],[Uraian a]])," ",REPT(" ",255)),255)),'Un nOTA'!$D$4:$J$1004,5,FALSE),"")*(10/11)),"")</f>
        <v/>
      </c>
      <c r="AT46" s="8" t="str">
        <f>IFERROR((IFERROR(VLOOKUP(Table1824[[#This Row],[BKK]]&amp;TRIM(RIGHT(SUBSTITUTE(TRIM(Table1824[[#Headers],[Uraian aa]])," ",REPT(" ",255)),255)),'Un nOTA'!$D$4:$J$1004,5,FALSE),"")*(10/11)),"")</f>
        <v/>
      </c>
      <c r="AU46" s="8" t="str">
        <f>IFERROR((IFERROR(VLOOKUP(Table1824[[#This Row],[BKK]]&amp;TRIM(RIGHT(SUBSTITUTE(TRIM(Table1824[[#Headers],[Uraian aaa]])," ",REPT(" ",255)),255)),'Un nOTA'!$D$4:$J$1004,5,FALSE),"")*(10/11)),"")</f>
        <v/>
      </c>
      <c r="AV46" s="8" t="str">
        <f>IFERROR((IFERROR(VLOOKUP(Table1824[[#This Row],[BKK]]&amp;TRIM(RIGHT(SUBSTITUTE(TRIM(Table1824[[#Headers],[Uraian aaaa]])," ",REPT(" ",255)),255)),'Un nOTA'!$D$4:$J$1004,5,FALSE),"")*(10/11)),"")</f>
        <v/>
      </c>
      <c r="AW46" s="8" t="str">
        <f>IFERROR((IFERROR(VLOOKUP(Table1824[[#This Row],[BKK]]&amp;TRIM(RIGHT(SUBSTITUTE(TRIM(Table1824[[#Headers],[Uraian aaaaa]])," ",REPT(" ",255)),255)),'Un nOTA'!$D$4:$J$1004,5,FALSE),"")*(10/11)),"")</f>
        <v/>
      </c>
      <c r="AX46" s="8" t="str">
        <f>IFERROR((IFERROR(VLOOKUP(Table1824[[#This Row],[BKK]]&amp;TRIM(RIGHT(SUBSTITUTE(TRIM(Table1824[[#Headers],[Uraian aaaaaa]])," ",REPT(" ",255)),255)),'Un nOTA'!$D$4:$J$1004,5,FALSE),"")*(10/11)),"")</f>
        <v/>
      </c>
      <c r="AY46" s="8" t="str">
        <f>IFERROR((IFERROR(VLOOKUP(Table1824[[#This Row],[BKK]]&amp;TRIM(RIGHT(SUBSTITUTE(TRIM(Table1824[[#Headers],[Uraian aaaaaaa]])," ",REPT(" ",255)),255)),'Un nOTA'!$D$4:$J$1004,5,FALSE),"")*(10/11)),"")</f>
        <v/>
      </c>
      <c r="AZ46" s="8" t="str">
        <f>IFERROR((IFERROR(VLOOKUP(Table1824[[#This Row],[BKK]]&amp;TRIM(RIGHT(SUBSTITUTE(TRIM(Table1824[[#Headers],[Uraian aaaaaaaa]])," ",REPT(" ",255)),255)),'Un nOTA'!$D$4:$J$1004,5,FALSE),"")*(10/11)),"")</f>
        <v/>
      </c>
      <c r="BA46" s="8" t="str">
        <f>IFERROR((IFERROR(VLOOKUP(Table1824[[#This Row],[BKK]]&amp;TRIM(RIGHT(SUBSTITUTE(TRIM(Table1824[[#Headers],[Uraian aaaaaaaaa]])," ",REPT(" ",255)),255)),'Un nOTA'!$D$4:$J$1004,5,FALSE),"")*(10/11)),"")</f>
        <v/>
      </c>
      <c r="BB46" s="8" t="str">
        <f>IFERROR((IFERROR(VLOOKUP(Table1824[[#This Row],[BKK]]&amp;TRIM(RIGHT(SUBSTITUTE(TRIM(Table1824[[#Headers],[Uraian aaaaaaaaaa]])," ",REPT(" ",255)),255)),'Un nOTA'!$D$4:$J$1004,5,FALSE),"")*(10/11)),"")</f>
        <v/>
      </c>
      <c r="BC46" s="8" t="str">
        <f>IFERROR((IFERROR(VLOOKUP(Table1824[[#This Row],[BKK]]&amp;TRIM(RIGHT(SUBSTITUTE(TRIM(Table1824[[#Headers],[Uraian aaaaaaaaaaa]])," ",REPT(" ",255)),255)),'Un nOTA'!$D$4:$J$1004,5,FALSE),"")*(10/11)),"")</f>
        <v/>
      </c>
      <c r="BD46" s="8" t="str">
        <f>IFERROR((IFERROR(VLOOKUP(Table1824[[#This Row],[BKK]]&amp;TRIM(RIGHT(SUBSTITUTE(TRIM(Table1824[[#Headers],[Uraian aaaaaaaaaaaa]])," ",REPT(" ",255)),255)),'Un nOTA'!$D$4:$J$1004,5,FALSE),"")*(10/11)),"")</f>
        <v/>
      </c>
      <c r="BE46" s="23" t="str">
        <f>IFERROR(ROUNDUP((Table1824[[#This Row],[Qty]]*Table1824[[#This Row],[Hrg St]]),0),"")</f>
        <v/>
      </c>
      <c r="BF46" s="8" t="str">
        <f>IFERROR(ROUNDUP((Table1824[[#This Row],[Qty2]]*Table1824[[#This Row],[Hrg St2]]),0),"")</f>
        <v/>
      </c>
      <c r="BG46" s="8" t="str">
        <f>IFERROR(ROUNDUP((Table1824[[#This Row],[Qty3]]*Table1824[[#This Row],[Hrg St3]]),0),"")</f>
        <v/>
      </c>
      <c r="BH46" s="8" t="str">
        <f>IFERROR(ROUNDUP((Table1824[[#This Row],[Qty4]]*Table1824[[#This Row],[Hrg St4]]),0),"")</f>
        <v/>
      </c>
      <c r="BI46" s="8" t="str">
        <f>IFERROR(ROUNDUP((Table1824[[#This Row],[Qty5]]*Table1824[[#This Row],[Hrg St5]]),0),"")</f>
        <v/>
      </c>
      <c r="BJ46" s="8" t="str">
        <f>IFERROR(ROUNDUP((Table1824[[#This Row],[Qty6]]*Table1824[[#This Row],[Hrg St6]]),0),"")</f>
        <v/>
      </c>
      <c r="BK46" s="8" t="str">
        <f>IFERROR(ROUNDUP((Table1824[[#This Row],[Qty7]]*Table1824[[#This Row],[Hrg St7]]),0),"")</f>
        <v/>
      </c>
      <c r="BL46" s="8" t="str">
        <f>IFERROR(ROUNDUP((Table1824[[#This Row],[Qty8]]*Table1824[[#This Row],[Hrg St8]]),0),"")</f>
        <v/>
      </c>
      <c r="BM46" s="8" t="str">
        <f>IFERROR(ROUNDUP((Table1824[[#This Row],[Qty9]]*Table1824[[#This Row],[Hrg St9]]),0),"")</f>
        <v/>
      </c>
      <c r="BN46" s="8" t="str">
        <f>IFERROR(ROUNDUP((Table1824[[#This Row],[Qty10]]*Table1824[[#This Row],[Hrg St10]]),0),"")</f>
        <v/>
      </c>
      <c r="BO46" s="8" t="str">
        <f>IFERROR(ROUNDUP((Table1824[[#This Row],[Qty11]]*Table1824[[#This Row],[Hrg St11]]),0),"")</f>
        <v/>
      </c>
      <c r="BP46" s="8" t="str">
        <f>IFERROR(ROUNDUP((Table1824[[#This Row],[Qty12]]*Table1824[[#This Row],[Hrg St12]]),0),"")</f>
        <v/>
      </c>
      <c r="BQ46" s="8" t="str">
        <f>IFERROR(ROUNDUP((Table1824[[#This Row],[Qty13]]*Table1824[[#This Row],[Hrg St13]]),0),"")</f>
        <v/>
      </c>
      <c r="BR46" s="23" t="str">
        <f>IF(Table1824[[#This Row],[BKK]]&gt;" ",IFERROR(ROUNDUP((SUM(Table1824[[#This Row],[Jml]:[Jml13]])),0)," ")," ")</f>
        <v xml:space="preserve"> </v>
      </c>
      <c r="BS46" s="23" t="str">
        <f>IF(Table1824[[#This Row],[BKK]]&gt;" ",ROUND((Table1824[[#This Row],[Total]]*0.1),0)," ")</f>
        <v xml:space="preserve"> </v>
      </c>
      <c r="BT46" s="23" t="str">
        <f>IF(Table1824[[#This Row],[BKK]]&gt;" ",(Table1824[[#This Row],[Total]]+Table1824[[#This Row],[PPN]])," ")</f>
        <v xml:space="preserve"> </v>
      </c>
      <c r="BU46" t="s">
        <v>454</v>
      </c>
      <c r="BV46" t="str">
        <f>IF(Table1824[[#This Row],[BKK]]&gt;" ",("INV/AK-MLG/2019/"&amp;'BKU 1'!$E$1&amp;"/"&amp;Table1824[[#This Row],[BKK]]&amp;"/"&amp;'BKU 1'!$E$1&amp;ROW())," ")</f>
        <v xml:space="preserve"> </v>
      </c>
      <c r="BW46" t="str">
        <f>IF(Table1824[[#This Row],[BKK]]&gt;" ",(TEXT(VLOOKUP(Table1824[[#This Row],[BKK]],COPY!$O$2:$U$1000,7,FALSE),"dd mmmm yyyy"))," ")</f>
        <v xml:space="preserve"> </v>
      </c>
      <c r="BX46" t="str">
        <f>IF(Table1824[[#This Row],[BKK]]&gt;" ",(TEXT((Table1824[[#This Row],[Tanggal Kirim]]+30),"dd mmmm yyyy"))," ")</f>
        <v xml:space="preserve"> </v>
      </c>
      <c r="BY46" t="str">
        <f>IF(Table1824[[#This Row],[BKK]]&gt;" ",'BKU 1'!$E$17," ")</f>
        <v xml:space="preserve"> </v>
      </c>
    </row>
    <row r="47" spans="1:77" hidden="1" x14ac:dyDescent="0.25">
      <c r="A47" t="str">
        <f>IFERROR((IF('Laporan ppn'!G6834&gt;0,VLOOKUP('Laporan ppn'!G6834,'Laporan ppn'!$E$10:$F$6785,2,FALSE),"")),"")</f>
        <v xml:space="preserve"> </v>
      </c>
      <c r="B47" t="str">
        <f>IF(Table1824[[#This Row],[BKK]]=" "," ",'BKU 1'!$D$25)</f>
        <v xml:space="preserve"> </v>
      </c>
      <c r="C47" t="str">
        <f>IF(Table1824[[#This Row],[BKK]]=" "," ",'BKU 1'!$D$26)</f>
        <v xml:space="preserve"> </v>
      </c>
      <c r="D47" t="str">
        <f>IF(Table1824[[#This Row],[BKK]]=" "," ",'BKU 1'!$I$25)</f>
        <v xml:space="preserve"> </v>
      </c>
      <c r="E47" t="str">
        <f>IFERROR(VLOOKUP(Table1824[[#This Row],[BKK]],'Un nOTA'!$D$4:$J$1004,2,FALSE),"")</f>
        <v/>
      </c>
      <c r="F47" t="str">
        <f>IFERROR(VLOOKUP(Table1824[[#This Row],[BKK]]&amp;TRIM(RIGHT(SUBSTITUTE(TRIM(Table1824[[#Headers],[Uraian a]])," ",REPT(" ",255)),255)),'Un nOTA'!$D$4:$J$1004,2,FALSE),"")</f>
        <v/>
      </c>
      <c r="G47" t="str">
        <f>IFERROR(VLOOKUP(Table1824[[#This Row],[BKK]]&amp;TRIM(RIGHT(SUBSTITUTE(TRIM(Table1824[[#Headers],[Uraian aa]])," ",REPT(" ",255)),255)),'Un nOTA'!$D$4:$J$1004,2,FALSE),"")</f>
        <v/>
      </c>
      <c r="H47" t="str">
        <f>IFERROR(VLOOKUP(Table1824[[#This Row],[BKK]]&amp;TRIM(RIGHT(SUBSTITUTE(TRIM(Table1824[[#Headers],[Uraian aaa]])," ",REPT(" ",255)),255)),'Un nOTA'!$D$4:$J$1004,2,FALSE),"")</f>
        <v/>
      </c>
      <c r="I47" t="str">
        <f>IFERROR(VLOOKUP(Table1824[[#This Row],[BKK]]&amp;TRIM(RIGHT(SUBSTITUTE(TRIM(Table1824[[#Headers],[Uraian aaaa]])," ",REPT(" ",255)),255)),'Un nOTA'!$D$4:$J$1004,2,FALSE),"")</f>
        <v/>
      </c>
      <c r="J47" t="str">
        <f>IFERROR(VLOOKUP(Table1824[[#This Row],[BKK]]&amp;TRIM(RIGHT(SUBSTITUTE(TRIM(Table1824[[#Headers],[Uraian aaaaa]])," ",REPT(" ",255)),255)),'Un nOTA'!$D$4:$J$1004,2,FALSE),"")</f>
        <v/>
      </c>
      <c r="K47" t="str">
        <f>IFERROR(VLOOKUP(Table1824[[#This Row],[BKK]]&amp;TRIM(RIGHT(SUBSTITUTE(TRIM(Table1824[[#Headers],[Uraian aaaaaa]])," ",REPT(" ",255)),255)),'Un nOTA'!$D$4:$J$1004,2,FALSE),"")</f>
        <v/>
      </c>
      <c r="L47" t="str">
        <f>IFERROR(VLOOKUP(Table1824[[#This Row],[BKK]]&amp;TRIM(RIGHT(SUBSTITUTE(TRIM(Table1824[[#Headers],[Uraian aaaaaaa]])," ",REPT(" ",255)),255)),'Un nOTA'!$D$4:$J$1004,2,FALSE),"")</f>
        <v/>
      </c>
      <c r="M47" t="str">
        <f>IFERROR(VLOOKUP(Table1824[[#This Row],[BKK]]&amp;TRIM(RIGHT(SUBSTITUTE(TRIM(Table1824[[#Headers],[Uraian aaaaaaaa]])," ",REPT(" ",255)),255)),'Un nOTA'!$D$4:$J$1004,2,FALSE),"")</f>
        <v/>
      </c>
      <c r="N47" t="str">
        <f>IFERROR(VLOOKUP(Table1824[[#This Row],[BKK]]&amp;TRIM(RIGHT(SUBSTITUTE(TRIM(Table1824[[#Headers],[Uraian aaaaaaaaa]])," ",REPT(" ",255)),255)),'Un nOTA'!$D$4:$J$1004,2,FALSE),"")</f>
        <v/>
      </c>
      <c r="O47" t="str">
        <f>IFERROR(VLOOKUP(Table1824[[#This Row],[BKK]]&amp;TRIM(RIGHT(SUBSTITUTE(TRIM(Table1824[[#Headers],[Uraian aaaaaaaaaa]])," ",REPT(" ",255)),255)),'Un nOTA'!$D$4:$J$1004,2,FALSE),"")</f>
        <v/>
      </c>
      <c r="P47" t="str">
        <f>IFERROR(VLOOKUP(Table1824[[#This Row],[BKK]]&amp;TRIM(RIGHT(SUBSTITUTE(TRIM(Table1824[[#Headers],[Uraian aaaaaaaaaaa]])," ",REPT(" ",255)),255)),'Un nOTA'!$D$4:$J$1004,2,FALSE),"")</f>
        <v/>
      </c>
      <c r="Q47" t="str">
        <f>IFERROR(VLOOKUP(Table1824[[#This Row],[BKK]]&amp;TRIM(RIGHT(SUBSTITUTE(TRIM(Table1824[[#Headers],[Uraian aaaaaaaaaaaa]])," ",REPT(" ",255)),255)),'Un nOTA'!$D$4:$J$1004,2,FALSE),"")</f>
        <v/>
      </c>
      <c r="R47" s="32" t="str">
        <f>IFERROR(VLOOKUP(Table1824[[#This Row],[BKK]],'Un nOTA'!$D$4:$J$1004,3,FALSE),"")</f>
        <v/>
      </c>
      <c r="S47" s="32" t="str">
        <f>IFERROR(VLOOKUP(Table1824[[#This Row],[BKK]]&amp;TRIM(RIGHT(SUBSTITUTE(TRIM(Table1824[[#Headers],[Uraian a]])," ",REPT(" ",255)),255)),'Un nOTA'!$D$4:$J$1004,3,FALSE),"")</f>
        <v/>
      </c>
      <c r="T47" s="32" t="str">
        <f>IFERROR(VLOOKUP(Table1824[[#This Row],[BKK]]&amp;TRIM(RIGHT(SUBSTITUTE(TRIM(Table1824[[#Headers],[Uraian aa]])," ",REPT(" ",255)),255)),'Un nOTA'!$D$4:$J$1004,3,FALSE),"")</f>
        <v/>
      </c>
      <c r="U47" s="32" t="str">
        <f>IFERROR(VLOOKUP(Table1824[[#This Row],[BKK]]&amp;TRIM(RIGHT(SUBSTITUTE(TRIM(Table1824[[#Headers],[Uraian aaa]])," ",REPT(" ",255)),255)),'Un nOTA'!$D$4:$J$1004,3,FALSE),"")</f>
        <v/>
      </c>
      <c r="V47" s="32" t="str">
        <f>IFERROR(VLOOKUP(Table1824[[#This Row],[BKK]]&amp;TRIM(RIGHT(SUBSTITUTE(TRIM(Table1824[[#Headers],[Uraian aaaa]])," ",REPT(" ",255)),255)),'Un nOTA'!$D$4:$J$1004,3,FALSE),"")</f>
        <v/>
      </c>
      <c r="W47" s="32" t="str">
        <f>IFERROR(VLOOKUP(Table1824[[#This Row],[BKK]]&amp;TRIM(RIGHT(SUBSTITUTE(TRIM(Table1824[[#Headers],[Uraian aaaaa]])," ",REPT(" ",255)),255)),'Un nOTA'!$D$4:$J$1004,3,FALSE),"")</f>
        <v/>
      </c>
      <c r="X47" s="32" t="str">
        <f>IFERROR(VLOOKUP(Table1824[[#This Row],[BKK]]&amp;TRIM(RIGHT(SUBSTITUTE(TRIM(Table1824[[#Headers],[Uraian aaaaaa]])," ",REPT(" ",255)),255)),'Un nOTA'!$D$4:$J$1004,3,FALSE),"")</f>
        <v/>
      </c>
      <c r="Y47" s="32" t="str">
        <f>IFERROR(VLOOKUP(Table1824[[#This Row],[BKK]]&amp;TRIM(RIGHT(SUBSTITUTE(TRIM(Table1824[[#Headers],[Uraian aaaaaaa]])," ",REPT(" ",255)),255)),'Un nOTA'!$D$4:$J$1004,3,FALSE),"")</f>
        <v/>
      </c>
      <c r="Z47" s="32" t="str">
        <f>IFERROR(VLOOKUP(Table1824[[#This Row],[BKK]]&amp;TRIM(RIGHT(SUBSTITUTE(TRIM(Table1824[[#Headers],[Uraian aaaaaaaa]])," ",REPT(" ",255)),255)),'Un nOTA'!$D$4:$J$1004,3,FALSE),"")</f>
        <v/>
      </c>
      <c r="AA47" s="32" t="str">
        <f>IFERROR(VLOOKUP(Table1824[[#This Row],[BKK]]&amp;TRIM(RIGHT(SUBSTITUTE(TRIM(Table1824[[#Headers],[Uraian aaaaaaaaa]])," ",REPT(" ",255)),255)),'Un nOTA'!$D$4:$J$1004,3,FALSE),"")</f>
        <v/>
      </c>
      <c r="AB47" s="32" t="str">
        <f>IFERROR(VLOOKUP(Table1824[[#This Row],[BKK]]&amp;TRIM(RIGHT(SUBSTITUTE(TRIM(Table1824[[#Headers],[Uraian aaaaaaaaaa]])," ",REPT(" ",255)),255)),'Un nOTA'!$D$4:$J$1004,3,FALSE),"")</f>
        <v/>
      </c>
      <c r="AC47" s="32" t="str">
        <f>IFERROR(VLOOKUP(Table1824[[#This Row],[BKK]]&amp;TRIM(RIGHT(SUBSTITUTE(TRIM(Table1824[[#Headers],[Uraian aaaaaaaaaaa]])," ",REPT(" ",255)),255)),'Un nOTA'!$D$4:$J$1004,3,FALSE),"")</f>
        <v/>
      </c>
      <c r="AD47" s="32" t="str">
        <f>IFERROR(VLOOKUP(Table1824[[#This Row],[BKK]]&amp;TRIM(RIGHT(SUBSTITUTE(TRIM(Table1824[[#Headers],[Uraian aaaaaaaaaaaa]])," ",REPT(" ",255)),255)),'Un nOTA'!$D$4:$J$1004,3,FALSE),"")</f>
        <v/>
      </c>
      <c r="AE47" s="8" t="str">
        <f>IFERROR(VLOOKUP(Table1824[[#This Row],[BKK]],'Un nOTA'!$D$4:$J$1004,4,FALSE),"")</f>
        <v/>
      </c>
      <c r="AF47" s="8" t="str">
        <f>IFERROR(VLOOKUP(Table1824[[#This Row],[BKK]]&amp;TRIM(RIGHT(SUBSTITUTE(TRIM(Table1824[[#Headers],[Uraian a]])," ",REPT(" ",255)),255)),'Un nOTA'!$D$4:$J$1004,4,FALSE),"")</f>
        <v/>
      </c>
      <c r="AG47" s="8" t="str">
        <f>IFERROR(VLOOKUP(Table1824[[#This Row],[BKK]]&amp;TRIM(RIGHT(SUBSTITUTE(TRIM(Table1824[[#Headers],[Uraian aa]])," ",REPT(" ",255)),255)),'Un nOTA'!$D$4:$J$1004,4,FALSE),"")</f>
        <v/>
      </c>
      <c r="AH47" s="8" t="str">
        <f>IFERROR(VLOOKUP(Table1824[[#This Row],[BKK]]&amp;TRIM(RIGHT(SUBSTITUTE(TRIM(Table1824[[#Headers],[Uraian aaa]])," ",REPT(" ",255)),255)),'Un nOTA'!$D$4:$J$1004,4,FALSE),"")</f>
        <v/>
      </c>
      <c r="AI47" s="8" t="str">
        <f>IFERROR(VLOOKUP(Table1824[[#This Row],[BKK]]&amp;TRIM(RIGHT(SUBSTITUTE(TRIM(Table1824[[#Headers],[Uraian aaaa]])," ",REPT(" ",255)),255)),'Un nOTA'!$D$4:$J$1004,4,FALSE),"")</f>
        <v/>
      </c>
      <c r="AJ47" s="8" t="str">
        <f>IFERROR(VLOOKUP(Table1824[[#This Row],[BKK]]&amp;TRIM(RIGHT(SUBSTITUTE(TRIM(Table1824[[#Headers],[Uraian aaaaa]])," ",REPT(" ",255)),255)),'Un nOTA'!$D$4:$J$1004,4,FALSE),"")</f>
        <v/>
      </c>
      <c r="AK47" s="8" t="str">
        <f>IFERROR(VLOOKUP(Table1824[[#This Row],[BKK]]&amp;TRIM(RIGHT(SUBSTITUTE(TRIM(Table1824[[#Headers],[Uraian aaaaaa]])," ",REPT(" ",255)),255)),'Un nOTA'!$D$4:$J$1004,4,FALSE),"")</f>
        <v/>
      </c>
      <c r="AL47" s="8" t="str">
        <f>IFERROR(VLOOKUP(Table1824[[#This Row],[BKK]]&amp;TRIM(RIGHT(SUBSTITUTE(TRIM(Table1824[[#Headers],[Uraian aaaaaaa]])," ",REPT(" ",255)),255)),'Un nOTA'!$D$4:$J$1004,4,FALSE),"")</f>
        <v/>
      </c>
      <c r="AM47" s="8" t="str">
        <f>IFERROR(VLOOKUP(Table1824[[#This Row],[BKK]]&amp;TRIM(RIGHT(SUBSTITUTE(TRIM(Table1824[[#Headers],[Uraian aaaaaaaa]])," ",REPT(" ",255)),255)),'Un nOTA'!$D$4:$J$1004,4,FALSE),"")</f>
        <v/>
      </c>
      <c r="AN47" s="8" t="str">
        <f>IFERROR(VLOOKUP(Table1824[[#This Row],[BKK]]&amp;TRIM(RIGHT(SUBSTITUTE(TRIM(Table1824[[#Headers],[Uraian aaaaaaaaa]])," ",REPT(" ",255)),255)),'Un nOTA'!$D$4:$J$1004,4,FALSE),"")</f>
        <v/>
      </c>
      <c r="AO47" s="8" t="str">
        <f>IFERROR(VLOOKUP(Table1824[[#This Row],[BKK]]&amp;TRIM(RIGHT(SUBSTITUTE(TRIM(Table1824[[#Headers],[Uraian aaaaaaaaaa]])," ",REPT(" ",255)),255)),'Un nOTA'!$D$4:$J$1004,4,FALSE),"")</f>
        <v/>
      </c>
      <c r="AP47" s="8" t="str">
        <f>IFERROR(VLOOKUP(Table1824[[#This Row],[BKK]]&amp;TRIM(RIGHT(SUBSTITUTE(TRIM(Table1824[[#Headers],[Uraian aaaaaaaaaaa]])," ",REPT(" ",255)),255)),'Un nOTA'!$D$4:$J$1004,4,FALSE),"")</f>
        <v/>
      </c>
      <c r="AQ47" s="8" t="str">
        <f>IFERROR(VLOOKUP(Table1824[[#This Row],[BKK]]&amp;TRIM(RIGHT(SUBSTITUTE(TRIM(Table1824[[#Headers],[Uraian aaaaaaaaaaaa]])," ",REPT(" ",255)),255)),'Un nOTA'!$D$4:$J$1004,4,FALSE),"")</f>
        <v/>
      </c>
      <c r="AR47" s="8" t="str">
        <f>IFERROR((IFERROR(VLOOKUP(Table1824[[#This Row],[BKK]],'Un nOTA'!$D$4:$J$1004,5,FALSE),""))*(10/11),"")</f>
        <v/>
      </c>
      <c r="AS47" s="8" t="str">
        <f>IFERROR((IFERROR(VLOOKUP(Table1824[[#This Row],[BKK]]&amp;TRIM(RIGHT(SUBSTITUTE(TRIM(Table1824[[#Headers],[Uraian a]])," ",REPT(" ",255)),255)),'Un nOTA'!$D$4:$J$1004,5,FALSE),"")*(10/11)),"")</f>
        <v/>
      </c>
      <c r="AT47" s="8" t="str">
        <f>IFERROR((IFERROR(VLOOKUP(Table1824[[#This Row],[BKK]]&amp;TRIM(RIGHT(SUBSTITUTE(TRIM(Table1824[[#Headers],[Uraian aa]])," ",REPT(" ",255)),255)),'Un nOTA'!$D$4:$J$1004,5,FALSE),"")*(10/11)),"")</f>
        <v/>
      </c>
      <c r="AU47" s="8" t="str">
        <f>IFERROR((IFERROR(VLOOKUP(Table1824[[#This Row],[BKK]]&amp;TRIM(RIGHT(SUBSTITUTE(TRIM(Table1824[[#Headers],[Uraian aaa]])," ",REPT(" ",255)),255)),'Un nOTA'!$D$4:$J$1004,5,FALSE),"")*(10/11)),"")</f>
        <v/>
      </c>
      <c r="AV47" s="8" t="str">
        <f>IFERROR((IFERROR(VLOOKUP(Table1824[[#This Row],[BKK]]&amp;TRIM(RIGHT(SUBSTITUTE(TRIM(Table1824[[#Headers],[Uraian aaaa]])," ",REPT(" ",255)),255)),'Un nOTA'!$D$4:$J$1004,5,FALSE),"")*(10/11)),"")</f>
        <v/>
      </c>
      <c r="AW47" s="8" t="str">
        <f>IFERROR((IFERROR(VLOOKUP(Table1824[[#This Row],[BKK]]&amp;TRIM(RIGHT(SUBSTITUTE(TRIM(Table1824[[#Headers],[Uraian aaaaa]])," ",REPT(" ",255)),255)),'Un nOTA'!$D$4:$J$1004,5,FALSE),"")*(10/11)),"")</f>
        <v/>
      </c>
      <c r="AX47" s="8" t="str">
        <f>IFERROR((IFERROR(VLOOKUP(Table1824[[#This Row],[BKK]]&amp;TRIM(RIGHT(SUBSTITUTE(TRIM(Table1824[[#Headers],[Uraian aaaaaa]])," ",REPT(" ",255)),255)),'Un nOTA'!$D$4:$J$1004,5,FALSE),"")*(10/11)),"")</f>
        <v/>
      </c>
      <c r="AY47" s="8" t="str">
        <f>IFERROR((IFERROR(VLOOKUP(Table1824[[#This Row],[BKK]]&amp;TRIM(RIGHT(SUBSTITUTE(TRIM(Table1824[[#Headers],[Uraian aaaaaaa]])," ",REPT(" ",255)),255)),'Un nOTA'!$D$4:$J$1004,5,FALSE),"")*(10/11)),"")</f>
        <v/>
      </c>
      <c r="AZ47" s="8" t="str">
        <f>IFERROR((IFERROR(VLOOKUP(Table1824[[#This Row],[BKK]]&amp;TRIM(RIGHT(SUBSTITUTE(TRIM(Table1824[[#Headers],[Uraian aaaaaaaa]])," ",REPT(" ",255)),255)),'Un nOTA'!$D$4:$J$1004,5,FALSE),"")*(10/11)),"")</f>
        <v/>
      </c>
      <c r="BA47" s="8" t="str">
        <f>IFERROR((IFERROR(VLOOKUP(Table1824[[#This Row],[BKK]]&amp;TRIM(RIGHT(SUBSTITUTE(TRIM(Table1824[[#Headers],[Uraian aaaaaaaaa]])," ",REPT(" ",255)),255)),'Un nOTA'!$D$4:$J$1004,5,FALSE),"")*(10/11)),"")</f>
        <v/>
      </c>
      <c r="BB47" s="8" t="str">
        <f>IFERROR((IFERROR(VLOOKUP(Table1824[[#This Row],[BKK]]&amp;TRIM(RIGHT(SUBSTITUTE(TRIM(Table1824[[#Headers],[Uraian aaaaaaaaaa]])," ",REPT(" ",255)),255)),'Un nOTA'!$D$4:$J$1004,5,FALSE),"")*(10/11)),"")</f>
        <v/>
      </c>
      <c r="BC47" s="8" t="str">
        <f>IFERROR((IFERROR(VLOOKUP(Table1824[[#This Row],[BKK]]&amp;TRIM(RIGHT(SUBSTITUTE(TRIM(Table1824[[#Headers],[Uraian aaaaaaaaaaa]])," ",REPT(" ",255)),255)),'Un nOTA'!$D$4:$J$1004,5,FALSE),"")*(10/11)),"")</f>
        <v/>
      </c>
      <c r="BD47" s="8" t="str">
        <f>IFERROR((IFERROR(VLOOKUP(Table1824[[#This Row],[BKK]]&amp;TRIM(RIGHT(SUBSTITUTE(TRIM(Table1824[[#Headers],[Uraian aaaaaaaaaaaa]])," ",REPT(" ",255)),255)),'Un nOTA'!$D$4:$J$1004,5,FALSE),"")*(10/11)),"")</f>
        <v/>
      </c>
      <c r="BE47" s="23" t="str">
        <f>IFERROR(ROUNDUP((Table1824[[#This Row],[Qty]]*Table1824[[#This Row],[Hrg St]]),0),"")</f>
        <v/>
      </c>
      <c r="BF47" s="8" t="str">
        <f>IFERROR(ROUNDUP((Table1824[[#This Row],[Qty2]]*Table1824[[#This Row],[Hrg St2]]),0),"")</f>
        <v/>
      </c>
      <c r="BG47" s="8" t="str">
        <f>IFERROR(ROUNDUP((Table1824[[#This Row],[Qty3]]*Table1824[[#This Row],[Hrg St3]]),0),"")</f>
        <v/>
      </c>
      <c r="BH47" s="8" t="str">
        <f>IFERROR(ROUNDUP((Table1824[[#This Row],[Qty4]]*Table1824[[#This Row],[Hrg St4]]),0),"")</f>
        <v/>
      </c>
      <c r="BI47" s="8" t="str">
        <f>IFERROR(ROUNDUP((Table1824[[#This Row],[Qty5]]*Table1824[[#This Row],[Hrg St5]]),0),"")</f>
        <v/>
      </c>
      <c r="BJ47" s="8" t="str">
        <f>IFERROR(ROUNDUP((Table1824[[#This Row],[Qty6]]*Table1824[[#This Row],[Hrg St6]]),0),"")</f>
        <v/>
      </c>
      <c r="BK47" s="8" t="str">
        <f>IFERROR(ROUNDUP((Table1824[[#This Row],[Qty7]]*Table1824[[#This Row],[Hrg St7]]),0),"")</f>
        <v/>
      </c>
      <c r="BL47" s="8" t="str">
        <f>IFERROR(ROUNDUP((Table1824[[#This Row],[Qty8]]*Table1824[[#This Row],[Hrg St8]]),0),"")</f>
        <v/>
      </c>
      <c r="BM47" s="8" t="str">
        <f>IFERROR(ROUNDUP((Table1824[[#This Row],[Qty9]]*Table1824[[#This Row],[Hrg St9]]),0),"")</f>
        <v/>
      </c>
      <c r="BN47" s="8" t="str">
        <f>IFERROR(ROUNDUP((Table1824[[#This Row],[Qty10]]*Table1824[[#This Row],[Hrg St10]]),0),"")</f>
        <v/>
      </c>
      <c r="BO47" s="8" t="str">
        <f>IFERROR(ROUNDUP((Table1824[[#This Row],[Qty11]]*Table1824[[#This Row],[Hrg St11]]),0),"")</f>
        <v/>
      </c>
      <c r="BP47" s="8" t="str">
        <f>IFERROR(ROUNDUP((Table1824[[#This Row],[Qty12]]*Table1824[[#This Row],[Hrg St12]]),0),"")</f>
        <v/>
      </c>
      <c r="BQ47" s="8" t="str">
        <f>IFERROR(ROUNDUP((Table1824[[#This Row],[Qty13]]*Table1824[[#This Row],[Hrg St13]]),0),"")</f>
        <v/>
      </c>
      <c r="BR47" s="23" t="str">
        <f>IF(Table1824[[#This Row],[BKK]]&gt;" ",IFERROR(ROUNDUP((SUM(Table1824[[#This Row],[Jml]:[Jml13]])),0)," ")," ")</f>
        <v xml:space="preserve"> </v>
      </c>
      <c r="BS47" s="23" t="str">
        <f>IF(Table1824[[#This Row],[BKK]]&gt;" ",ROUND((Table1824[[#This Row],[Total]]*0.1),0)," ")</f>
        <v xml:space="preserve"> </v>
      </c>
      <c r="BT47" s="23" t="str">
        <f>IF(Table1824[[#This Row],[BKK]]&gt;" ",(Table1824[[#This Row],[Total]]+Table1824[[#This Row],[PPN]])," ")</f>
        <v xml:space="preserve"> </v>
      </c>
      <c r="BU47" t="s">
        <v>454</v>
      </c>
      <c r="BV47" t="str">
        <f>IF(Table1824[[#This Row],[BKK]]&gt;" ",("INV/AK-MLG/2019/"&amp;'BKU 1'!$E$1&amp;"/"&amp;Table1824[[#This Row],[BKK]]&amp;"/"&amp;'BKU 1'!$E$1&amp;ROW())," ")</f>
        <v xml:space="preserve"> </v>
      </c>
      <c r="BW47" t="str">
        <f>IF(Table1824[[#This Row],[BKK]]&gt;" ",(TEXT(VLOOKUP(Table1824[[#This Row],[BKK]],COPY!$O$2:$U$1000,7,FALSE),"dd mmmm yyyy"))," ")</f>
        <v xml:space="preserve"> </v>
      </c>
      <c r="BX47" t="str">
        <f>IF(Table1824[[#This Row],[BKK]]&gt;" ",(TEXT((Table1824[[#This Row],[Tanggal Kirim]]+30),"dd mmmm yyyy"))," ")</f>
        <v xml:space="preserve"> </v>
      </c>
      <c r="BY47" t="str">
        <f>IF(Table1824[[#This Row],[BKK]]&gt;" ",'BKU 1'!$E$17," ")</f>
        <v xml:space="preserve"> </v>
      </c>
    </row>
    <row r="48" spans="1:77" hidden="1" x14ac:dyDescent="0.25">
      <c r="A48" t="str">
        <f>IFERROR((IF('Laporan ppn'!G6835&gt;0,VLOOKUP('Laporan ppn'!G6835,'Laporan ppn'!$E$10:$F$6785,2,FALSE),"")),"")</f>
        <v xml:space="preserve"> </v>
      </c>
      <c r="B48" t="str">
        <f>IF(Table1824[[#This Row],[BKK]]=" "," ",'BKU 1'!$D$25)</f>
        <v xml:space="preserve"> </v>
      </c>
      <c r="C48" t="str">
        <f>IF(Table1824[[#This Row],[BKK]]=" "," ",'BKU 1'!$D$26)</f>
        <v xml:space="preserve"> </v>
      </c>
      <c r="D48" t="str">
        <f>IF(Table1824[[#This Row],[BKK]]=" "," ",'BKU 1'!$I$25)</f>
        <v xml:space="preserve"> </v>
      </c>
      <c r="E48" t="str">
        <f>IFERROR(VLOOKUP(Table1824[[#This Row],[BKK]],'Un nOTA'!$D$4:$J$1004,2,FALSE),"")</f>
        <v/>
      </c>
      <c r="F48" t="str">
        <f>IFERROR(VLOOKUP(Table1824[[#This Row],[BKK]]&amp;TRIM(RIGHT(SUBSTITUTE(TRIM(Table1824[[#Headers],[Uraian a]])," ",REPT(" ",255)),255)),'Un nOTA'!$D$4:$J$1004,2,FALSE),"")</f>
        <v/>
      </c>
      <c r="G48" t="str">
        <f>IFERROR(VLOOKUP(Table1824[[#This Row],[BKK]]&amp;TRIM(RIGHT(SUBSTITUTE(TRIM(Table1824[[#Headers],[Uraian aa]])," ",REPT(" ",255)),255)),'Un nOTA'!$D$4:$J$1004,2,FALSE),"")</f>
        <v/>
      </c>
      <c r="H48" t="str">
        <f>IFERROR(VLOOKUP(Table1824[[#This Row],[BKK]]&amp;TRIM(RIGHT(SUBSTITUTE(TRIM(Table1824[[#Headers],[Uraian aaa]])," ",REPT(" ",255)),255)),'Un nOTA'!$D$4:$J$1004,2,FALSE),"")</f>
        <v/>
      </c>
      <c r="I48" t="str">
        <f>IFERROR(VLOOKUP(Table1824[[#This Row],[BKK]]&amp;TRIM(RIGHT(SUBSTITUTE(TRIM(Table1824[[#Headers],[Uraian aaaa]])," ",REPT(" ",255)),255)),'Un nOTA'!$D$4:$J$1004,2,FALSE),"")</f>
        <v/>
      </c>
      <c r="J48" t="str">
        <f>IFERROR(VLOOKUP(Table1824[[#This Row],[BKK]]&amp;TRIM(RIGHT(SUBSTITUTE(TRIM(Table1824[[#Headers],[Uraian aaaaa]])," ",REPT(" ",255)),255)),'Un nOTA'!$D$4:$J$1004,2,FALSE),"")</f>
        <v/>
      </c>
      <c r="K48" t="str">
        <f>IFERROR(VLOOKUP(Table1824[[#This Row],[BKK]]&amp;TRIM(RIGHT(SUBSTITUTE(TRIM(Table1824[[#Headers],[Uraian aaaaaa]])," ",REPT(" ",255)),255)),'Un nOTA'!$D$4:$J$1004,2,FALSE),"")</f>
        <v/>
      </c>
      <c r="L48" t="str">
        <f>IFERROR(VLOOKUP(Table1824[[#This Row],[BKK]]&amp;TRIM(RIGHT(SUBSTITUTE(TRIM(Table1824[[#Headers],[Uraian aaaaaaa]])," ",REPT(" ",255)),255)),'Un nOTA'!$D$4:$J$1004,2,FALSE),"")</f>
        <v/>
      </c>
      <c r="M48" t="str">
        <f>IFERROR(VLOOKUP(Table1824[[#This Row],[BKK]]&amp;TRIM(RIGHT(SUBSTITUTE(TRIM(Table1824[[#Headers],[Uraian aaaaaaaa]])," ",REPT(" ",255)),255)),'Un nOTA'!$D$4:$J$1004,2,FALSE),"")</f>
        <v/>
      </c>
      <c r="N48" t="str">
        <f>IFERROR(VLOOKUP(Table1824[[#This Row],[BKK]]&amp;TRIM(RIGHT(SUBSTITUTE(TRIM(Table1824[[#Headers],[Uraian aaaaaaaaa]])," ",REPT(" ",255)),255)),'Un nOTA'!$D$4:$J$1004,2,FALSE),"")</f>
        <v/>
      </c>
      <c r="O48" t="str">
        <f>IFERROR(VLOOKUP(Table1824[[#This Row],[BKK]]&amp;TRIM(RIGHT(SUBSTITUTE(TRIM(Table1824[[#Headers],[Uraian aaaaaaaaaa]])," ",REPT(" ",255)),255)),'Un nOTA'!$D$4:$J$1004,2,FALSE),"")</f>
        <v/>
      </c>
      <c r="P48" t="str">
        <f>IFERROR(VLOOKUP(Table1824[[#This Row],[BKK]]&amp;TRIM(RIGHT(SUBSTITUTE(TRIM(Table1824[[#Headers],[Uraian aaaaaaaaaaa]])," ",REPT(" ",255)),255)),'Un nOTA'!$D$4:$J$1004,2,FALSE),"")</f>
        <v/>
      </c>
      <c r="Q48" t="str">
        <f>IFERROR(VLOOKUP(Table1824[[#This Row],[BKK]]&amp;TRIM(RIGHT(SUBSTITUTE(TRIM(Table1824[[#Headers],[Uraian aaaaaaaaaaaa]])," ",REPT(" ",255)),255)),'Un nOTA'!$D$4:$J$1004,2,FALSE),"")</f>
        <v/>
      </c>
      <c r="R48" s="32" t="str">
        <f>IFERROR(VLOOKUP(Table1824[[#This Row],[BKK]],'Un nOTA'!$D$4:$J$1004,3,FALSE),"")</f>
        <v/>
      </c>
      <c r="S48" s="32" t="str">
        <f>IFERROR(VLOOKUP(Table1824[[#This Row],[BKK]]&amp;TRIM(RIGHT(SUBSTITUTE(TRIM(Table1824[[#Headers],[Uraian a]])," ",REPT(" ",255)),255)),'Un nOTA'!$D$4:$J$1004,3,FALSE),"")</f>
        <v/>
      </c>
      <c r="T48" s="32" t="str">
        <f>IFERROR(VLOOKUP(Table1824[[#This Row],[BKK]]&amp;TRIM(RIGHT(SUBSTITUTE(TRIM(Table1824[[#Headers],[Uraian aa]])," ",REPT(" ",255)),255)),'Un nOTA'!$D$4:$J$1004,3,FALSE),"")</f>
        <v/>
      </c>
      <c r="U48" s="32" t="str">
        <f>IFERROR(VLOOKUP(Table1824[[#This Row],[BKK]]&amp;TRIM(RIGHT(SUBSTITUTE(TRIM(Table1824[[#Headers],[Uraian aaa]])," ",REPT(" ",255)),255)),'Un nOTA'!$D$4:$J$1004,3,FALSE),"")</f>
        <v/>
      </c>
      <c r="V48" s="32" t="str">
        <f>IFERROR(VLOOKUP(Table1824[[#This Row],[BKK]]&amp;TRIM(RIGHT(SUBSTITUTE(TRIM(Table1824[[#Headers],[Uraian aaaa]])," ",REPT(" ",255)),255)),'Un nOTA'!$D$4:$J$1004,3,FALSE),"")</f>
        <v/>
      </c>
      <c r="W48" s="32" t="str">
        <f>IFERROR(VLOOKUP(Table1824[[#This Row],[BKK]]&amp;TRIM(RIGHT(SUBSTITUTE(TRIM(Table1824[[#Headers],[Uraian aaaaa]])," ",REPT(" ",255)),255)),'Un nOTA'!$D$4:$J$1004,3,FALSE),"")</f>
        <v/>
      </c>
      <c r="X48" s="32" t="str">
        <f>IFERROR(VLOOKUP(Table1824[[#This Row],[BKK]]&amp;TRIM(RIGHT(SUBSTITUTE(TRIM(Table1824[[#Headers],[Uraian aaaaaa]])," ",REPT(" ",255)),255)),'Un nOTA'!$D$4:$J$1004,3,FALSE),"")</f>
        <v/>
      </c>
      <c r="Y48" s="32" t="str">
        <f>IFERROR(VLOOKUP(Table1824[[#This Row],[BKK]]&amp;TRIM(RIGHT(SUBSTITUTE(TRIM(Table1824[[#Headers],[Uraian aaaaaaa]])," ",REPT(" ",255)),255)),'Un nOTA'!$D$4:$J$1004,3,FALSE),"")</f>
        <v/>
      </c>
      <c r="Z48" s="32" t="str">
        <f>IFERROR(VLOOKUP(Table1824[[#This Row],[BKK]]&amp;TRIM(RIGHT(SUBSTITUTE(TRIM(Table1824[[#Headers],[Uraian aaaaaaaa]])," ",REPT(" ",255)),255)),'Un nOTA'!$D$4:$J$1004,3,FALSE),"")</f>
        <v/>
      </c>
      <c r="AA48" s="32" t="str">
        <f>IFERROR(VLOOKUP(Table1824[[#This Row],[BKK]]&amp;TRIM(RIGHT(SUBSTITUTE(TRIM(Table1824[[#Headers],[Uraian aaaaaaaaa]])," ",REPT(" ",255)),255)),'Un nOTA'!$D$4:$J$1004,3,FALSE),"")</f>
        <v/>
      </c>
      <c r="AB48" s="32" t="str">
        <f>IFERROR(VLOOKUP(Table1824[[#This Row],[BKK]]&amp;TRIM(RIGHT(SUBSTITUTE(TRIM(Table1824[[#Headers],[Uraian aaaaaaaaaa]])," ",REPT(" ",255)),255)),'Un nOTA'!$D$4:$J$1004,3,FALSE),"")</f>
        <v/>
      </c>
      <c r="AC48" s="32" t="str">
        <f>IFERROR(VLOOKUP(Table1824[[#This Row],[BKK]]&amp;TRIM(RIGHT(SUBSTITUTE(TRIM(Table1824[[#Headers],[Uraian aaaaaaaaaaa]])," ",REPT(" ",255)),255)),'Un nOTA'!$D$4:$J$1004,3,FALSE),"")</f>
        <v/>
      </c>
      <c r="AD48" s="32" t="str">
        <f>IFERROR(VLOOKUP(Table1824[[#This Row],[BKK]]&amp;TRIM(RIGHT(SUBSTITUTE(TRIM(Table1824[[#Headers],[Uraian aaaaaaaaaaaa]])," ",REPT(" ",255)),255)),'Un nOTA'!$D$4:$J$1004,3,FALSE),"")</f>
        <v/>
      </c>
      <c r="AE48" s="8" t="str">
        <f>IFERROR(VLOOKUP(Table1824[[#This Row],[BKK]],'Un nOTA'!$D$4:$J$1004,4,FALSE),"")</f>
        <v/>
      </c>
      <c r="AF48" s="8" t="str">
        <f>IFERROR(VLOOKUP(Table1824[[#This Row],[BKK]]&amp;TRIM(RIGHT(SUBSTITUTE(TRIM(Table1824[[#Headers],[Uraian a]])," ",REPT(" ",255)),255)),'Un nOTA'!$D$4:$J$1004,4,FALSE),"")</f>
        <v/>
      </c>
      <c r="AG48" s="8" t="str">
        <f>IFERROR(VLOOKUP(Table1824[[#This Row],[BKK]]&amp;TRIM(RIGHT(SUBSTITUTE(TRIM(Table1824[[#Headers],[Uraian aa]])," ",REPT(" ",255)),255)),'Un nOTA'!$D$4:$J$1004,4,FALSE),"")</f>
        <v/>
      </c>
      <c r="AH48" s="8" t="str">
        <f>IFERROR(VLOOKUP(Table1824[[#This Row],[BKK]]&amp;TRIM(RIGHT(SUBSTITUTE(TRIM(Table1824[[#Headers],[Uraian aaa]])," ",REPT(" ",255)),255)),'Un nOTA'!$D$4:$J$1004,4,FALSE),"")</f>
        <v/>
      </c>
      <c r="AI48" s="8" t="str">
        <f>IFERROR(VLOOKUP(Table1824[[#This Row],[BKK]]&amp;TRIM(RIGHT(SUBSTITUTE(TRIM(Table1824[[#Headers],[Uraian aaaa]])," ",REPT(" ",255)),255)),'Un nOTA'!$D$4:$J$1004,4,FALSE),"")</f>
        <v/>
      </c>
      <c r="AJ48" s="8" t="str">
        <f>IFERROR(VLOOKUP(Table1824[[#This Row],[BKK]]&amp;TRIM(RIGHT(SUBSTITUTE(TRIM(Table1824[[#Headers],[Uraian aaaaa]])," ",REPT(" ",255)),255)),'Un nOTA'!$D$4:$J$1004,4,FALSE),"")</f>
        <v/>
      </c>
      <c r="AK48" s="8" t="str">
        <f>IFERROR(VLOOKUP(Table1824[[#This Row],[BKK]]&amp;TRIM(RIGHT(SUBSTITUTE(TRIM(Table1824[[#Headers],[Uraian aaaaaa]])," ",REPT(" ",255)),255)),'Un nOTA'!$D$4:$J$1004,4,FALSE),"")</f>
        <v/>
      </c>
      <c r="AL48" s="8" t="str">
        <f>IFERROR(VLOOKUP(Table1824[[#This Row],[BKK]]&amp;TRIM(RIGHT(SUBSTITUTE(TRIM(Table1824[[#Headers],[Uraian aaaaaaa]])," ",REPT(" ",255)),255)),'Un nOTA'!$D$4:$J$1004,4,FALSE),"")</f>
        <v/>
      </c>
      <c r="AM48" s="8" t="str">
        <f>IFERROR(VLOOKUP(Table1824[[#This Row],[BKK]]&amp;TRIM(RIGHT(SUBSTITUTE(TRIM(Table1824[[#Headers],[Uraian aaaaaaaa]])," ",REPT(" ",255)),255)),'Un nOTA'!$D$4:$J$1004,4,FALSE),"")</f>
        <v/>
      </c>
      <c r="AN48" s="8" t="str">
        <f>IFERROR(VLOOKUP(Table1824[[#This Row],[BKK]]&amp;TRIM(RIGHT(SUBSTITUTE(TRIM(Table1824[[#Headers],[Uraian aaaaaaaaa]])," ",REPT(" ",255)),255)),'Un nOTA'!$D$4:$J$1004,4,FALSE),"")</f>
        <v/>
      </c>
      <c r="AO48" s="8" t="str">
        <f>IFERROR(VLOOKUP(Table1824[[#This Row],[BKK]]&amp;TRIM(RIGHT(SUBSTITUTE(TRIM(Table1824[[#Headers],[Uraian aaaaaaaaaa]])," ",REPT(" ",255)),255)),'Un nOTA'!$D$4:$J$1004,4,FALSE),"")</f>
        <v/>
      </c>
      <c r="AP48" s="8" t="str">
        <f>IFERROR(VLOOKUP(Table1824[[#This Row],[BKK]]&amp;TRIM(RIGHT(SUBSTITUTE(TRIM(Table1824[[#Headers],[Uraian aaaaaaaaaaa]])," ",REPT(" ",255)),255)),'Un nOTA'!$D$4:$J$1004,4,FALSE),"")</f>
        <v/>
      </c>
      <c r="AQ48" s="8" t="str">
        <f>IFERROR(VLOOKUP(Table1824[[#This Row],[BKK]]&amp;TRIM(RIGHT(SUBSTITUTE(TRIM(Table1824[[#Headers],[Uraian aaaaaaaaaaaa]])," ",REPT(" ",255)),255)),'Un nOTA'!$D$4:$J$1004,4,FALSE),"")</f>
        <v/>
      </c>
      <c r="AR48" s="8" t="str">
        <f>IFERROR((IFERROR(VLOOKUP(Table1824[[#This Row],[BKK]],'Un nOTA'!$D$4:$J$1004,5,FALSE),""))*(10/11),"")</f>
        <v/>
      </c>
      <c r="AS48" s="8" t="str">
        <f>IFERROR((IFERROR(VLOOKUP(Table1824[[#This Row],[BKK]]&amp;TRIM(RIGHT(SUBSTITUTE(TRIM(Table1824[[#Headers],[Uraian a]])," ",REPT(" ",255)),255)),'Un nOTA'!$D$4:$J$1004,5,FALSE),"")*(10/11)),"")</f>
        <v/>
      </c>
      <c r="AT48" s="8" t="str">
        <f>IFERROR((IFERROR(VLOOKUP(Table1824[[#This Row],[BKK]]&amp;TRIM(RIGHT(SUBSTITUTE(TRIM(Table1824[[#Headers],[Uraian aa]])," ",REPT(" ",255)),255)),'Un nOTA'!$D$4:$J$1004,5,FALSE),"")*(10/11)),"")</f>
        <v/>
      </c>
      <c r="AU48" s="8" t="str">
        <f>IFERROR((IFERROR(VLOOKUP(Table1824[[#This Row],[BKK]]&amp;TRIM(RIGHT(SUBSTITUTE(TRIM(Table1824[[#Headers],[Uraian aaa]])," ",REPT(" ",255)),255)),'Un nOTA'!$D$4:$J$1004,5,FALSE),"")*(10/11)),"")</f>
        <v/>
      </c>
      <c r="AV48" s="8" t="str">
        <f>IFERROR((IFERROR(VLOOKUP(Table1824[[#This Row],[BKK]]&amp;TRIM(RIGHT(SUBSTITUTE(TRIM(Table1824[[#Headers],[Uraian aaaa]])," ",REPT(" ",255)),255)),'Un nOTA'!$D$4:$J$1004,5,FALSE),"")*(10/11)),"")</f>
        <v/>
      </c>
      <c r="AW48" s="8" t="str">
        <f>IFERROR((IFERROR(VLOOKUP(Table1824[[#This Row],[BKK]]&amp;TRIM(RIGHT(SUBSTITUTE(TRIM(Table1824[[#Headers],[Uraian aaaaa]])," ",REPT(" ",255)),255)),'Un nOTA'!$D$4:$J$1004,5,FALSE),"")*(10/11)),"")</f>
        <v/>
      </c>
      <c r="AX48" s="8" t="str">
        <f>IFERROR((IFERROR(VLOOKUP(Table1824[[#This Row],[BKK]]&amp;TRIM(RIGHT(SUBSTITUTE(TRIM(Table1824[[#Headers],[Uraian aaaaaa]])," ",REPT(" ",255)),255)),'Un nOTA'!$D$4:$J$1004,5,FALSE),"")*(10/11)),"")</f>
        <v/>
      </c>
      <c r="AY48" s="8" t="str">
        <f>IFERROR((IFERROR(VLOOKUP(Table1824[[#This Row],[BKK]]&amp;TRIM(RIGHT(SUBSTITUTE(TRIM(Table1824[[#Headers],[Uraian aaaaaaa]])," ",REPT(" ",255)),255)),'Un nOTA'!$D$4:$J$1004,5,FALSE),"")*(10/11)),"")</f>
        <v/>
      </c>
      <c r="AZ48" s="8" t="str">
        <f>IFERROR((IFERROR(VLOOKUP(Table1824[[#This Row],[BKK]]&amp;TRIM(RIGHT(SUBSTITUTE(TRIM(Table1824[[#Headers],[Uraian aaaaaaaa]])," ",REPT(" ",255)),255)),'Un nOTA'!$D$4:$J$1004,5,FALSE),"")*(10/11)),"")</f>
        <v/>
      </c>
      <c r="BA48" s="8" t="str">
        <f>IFERROR((IFERROR(VLOOKUP(Table1824[[#This Row],[BKK]]&amp;TRIM(RIGHT(SUBSTITUTE(TRIM(Table1824[[#Headers],[Uraian aaaaaaaaa]])," ",REPT(" ",255)),255)),'Un nOTA'!$D$4:$J$1004,5,FALSE),"")*(10/11)),"")</f>
        <v/>
      </c>
      <c r="BB48" s="8" t="str">
        <f>IFERROR((IFERROR(VLOOKUP(Table1824[[#This Row],[BKK]]&amp;TRIM(RIGHT(SUBSTITUTE(TRIM(Table1824[[#Headers],[Uraian aaaaaaaaaa]])," ",REPT(" ",255)),255)),'Un nOTA'!$D$4:$J$1004,5,FALSE),"")*(10/11)),"")</f>
        <v/>
      </c>
      <c r="BC48" s="8" t="str">
        <f>IFERROR((IFERROR(VLOOKUP(Table1824[[#This Row],[BKK]]&amp;TRIM(RIGHT(SUBSTITUTE(TRIM(Table1824[[#Headers],[Uraian aaaaaaaaaaa]])," ",REPT(" ",255)),255)),'Un nOTA'!$D$4:$J$1004,5,FALSE),"")*(10/11)),"")</f>
        <v/>
      </c>
      <c r="BD48" s="8" t="str">
        <f>IFERROR((IFERROR(VLOOKUP(Table1824[[#This Row],[BKK]]&amp;TRIM(RIGHT(SUBSTITUTE(TRIM(Table1824[[#Headers],[Uraian aaaaaaaaaaaa]])," ",REPT(" ",255)),255)),'Un nOTA'!$D$4:$J$1004,5,FALSE),"")*(10/11)),"")</f>
        <v/>
      </c>
      <c r="BE48" s="23" t="str">
        <f>IFERROR(ROUNDUP((Table1824[[#This Row],[Qty]]*Table1824[[#This Row],[Hrg St]]),0),"")</f>
        <v/>
      </c>
      <c r="BF48" s="8" t="str">
        <f>IFERROR(ROUNDUP((Table1824[[#This Row],[Qty2]]*Table1824[[#This Row],[Hrg St2]]),0),"")</f>
        <v/>
      </c>
      <c r="BG48" s="8" t="str">
        <f>IFERROR(ROUNDUP((Table1824[[#This Row],[Qty3]]*Table1824[[#This Row],[Hrg St3]]),0),"")</f>
        <v/>
      </c>
      <c r="BH48" s="8" t="str">
        <f>IFERROR(ROUNDUP((Table1824[[#This Row],[Qty4]]*Table1824[[#This Row],[Hrg St4]]),0),"")</f>
        <v/>
      </c>
      <c r="BI48" s="8" t="str">
        <f>IFERROR(ROUNDUP((Table1824[[#This Row],[Qty5]]*Table1824[[#This Row],[Hrg St5]]),0),"")</f>
        <v/>
      </c>
      <c r="BJ48" s="8" t="str">
        <f>IFERROR(ROUNDUP((Table1824[[#This Row],[Qty6]]*Table1824[[#This Row],[Hrg St6]]),0),"")</f>
        <v/>
      </c>
      <c r="BK48" s="8" t="str">
        <f>IFERROR(ROUNDUP((Table1824[[#This Row],[Qty7]]*Table1824[[#This Row],[Hrg St7]]),0),"")</f>
        <v/>
      </c>
      <c r="BL48" s="8" t="str">
        <f>IFERROR(ROUNDUP((Table1824[[#This Row],[Qty8]]*Table1824[[#This Row],[Hrg St8]]),0),"")</f>
        <v/>
      </c>
      <c r="BM48" s="8" t="str">
        <f>IFERROR(ROUNDUP((Table1824[[#This Row],[Qty9]]*Table1824[[#This Row],[Hrg St9]]),0),"")</f>
        <v/>
      </c>
      <c r="BN48" s="8" t="str">
        <f>IFERROR(ROUNDUP((Table1824[[#This Row],[Qty10]]*Table1824[[#This Row],[Hrg St10]]),0),"")</f>
        <v/>
      </c>
      <c r="BO48" s="8" t="str">
        <f>IFERROR(ROUNDUP((Table1824[[#This Row],[Qty11]]*Table1824[[#This Row],[Hrg St11]]),0),"")</f>
        <v/>
      </c>
      <c r="BP48" s="8" t="str">
        <f>IFERROR(ROUNDUP((Table1824[[#This Row],[Qty12]]*Table1824[[#This Row],[Hrg St12]]),0),"")</f>
        <v/>
      </c>
      <c r="BQ48" s="8" t="str">
        <f>IFERROR(ROUNDUP((Table1824[[#This Row],[Qty13]]*Table1824[[#This Row],[Hrg St13]]),0),"")</f>
        <v/>
      </c>
      <c r="BR48" s="23" t="str">
        <f>IF(Table1824[[#This Row],[BKK]]&gt;" ",IFERROR(ROUNDUP((SUM(Table1824[[#This Row],[Jml]:[Jml13]])),0)," ")," ")</f>
        <v xml:space="preserve"> </v>
      </c>
      <c r="BS48" s="23" t="str">
        <f>IF(Table1824[[#This Row],[BKK]]&gt;" ",ROUND((Table1824[[#This Row],[Total]]*0.1),0)," ")</f>
        <v xml:space="preserve"> </v>
      </c>
      <c r="BT48" s="23" t="str">
        <f>IF(Table1824[[#This Row],[BKK]]&gt;" ",(Table1824[[#This Row],[Total]]+Table1824[[#This Row],[PPN]])," ")</f>
        <v xml:space="preserve"> </v>
      </c>
      <c r="BU48" t="s">
        <v>454</v>
      </c>
      <c r="BV48" t="str">
        <f>IF(Table1824[[#This Row],[BKK]]&gt;" ",("INV/AK-MLG/2019/"&amp;'BKU 1'!$E$1&amp;"/"&amp;Table1824[[#This Row],[BKK]]&amp;"/"&amp;'BKU 1'!$E$1&amp;ROW())," ")</f>
        <v xml:space="preserve"> </v>
      </c>
      <c r="BW48" t="str">
        <f>IF(Table1824[[#This Row],[BKK]]&gt;" ",(TEXT(VLOOKUP(Table1824[[#This Row],[BKK]],COPY!$O$2:$U$1000,7,FALSE),"dd mmmm yyyy"))," ")</f>
        <v xml:space="preserve"> </v>
      </c>
      <c r="BX48" t="str">
        <f>IF(Table1824[[#This Row],[BKK]]&gt;" ",(TEXT((Table1824[[#This Row],[Tanggal Kirim]]+30),"dd mmmm yyyy"))," ")</f>
        <v xml:space="preserve"> </v>
      </c>
      <c r="BY48" t="str">
        <f>IF(Table1824[[#This Row],[BKK]]&gt;" ",'BKU 1'!$E$17," ")</f>
        <v xml:space="preserve"> </v>
      </c>
    </row>
    <row r="49" spans="1:77" hidden="1" x14ac:dyDescent="0.25">
      <c r="A49" t="str">
        <f>IFERROR((IF('Laporan ppn'!G6836&gt;0,VLOOKUP('Laporan ppn'!G6836,'Laporan ppn'!$E$10:$F$6785,2,FALSE),"")),"")</f>
        <v xml:space="preserve"> </v>
      </c>
      <c r="B49" t="str">
        <f>IF(Table1824[[#This Row],[BKK]]=" "," ",'BKU 1'!$D$25)</f>
        <v xml:space="preserve"> </v>
      </c>
      <c r="C49" t="str">
        <f>IF(Table1824[[#This Row],[BKK]]=" "," ",'BKU 1'!$D$26)</f>
        <v xml:space="preserve"> </v>
      </c>
      <c r="D49" t="str">
        <f>IF(Table1824[[#This Row],[BKK]]=" "," ",'BKU 1'!$I$25)</f>
        <v xml:space="preserve"> </v>
      </c>
      <c r="E49" t="str">
        <f>IFERROR(VLOOKUP(Table1824[[#This Row],[BKK]],'Un nOTA'!$D$4:$J$1004,2,FALSE),"")</f>
        <v/>
      </c>
      <c r="F49" t="str">
        <f>IFERROR(VLOOKUP(Table1824[[#This Row],[BKK]]&amp;TRIM(RIGHT(SUBSTITUTE(TRIM(Table1824[[#Headers],[Uraian a]])," ",REPT(" ",255)),255)),'Un nOTA'!$D$4:$J$1004,2,FALSE),"")</f>
        <v/>
      </c>
      <c r="G49" t="str">
        <f>IFERROR(VLOOKUP(Table1824[[#This Row],[BKK]]&amp;TRIM(RIGHT(SUBSTITUTE(TRIM(Table1824[[#Headers],[Uraian aa]])," ",REPT(" ",255)),255)),'Un nOTA'!$D$4:$J$1004,2,FALSE),"")</f>
        <v/>
      </c>
      <c r="H49" t="str">
        <f>IFERROR(VLOOKUP(Table1824[[#This Row],[BKK]]&amp;TRIM(RIGHT(SUBSTITUTE(TRIM(Table1824[[#Headers],[Uraian aaa]])," ",REPT(" ",255)),255)),'Un nOTA'!$D$4:$J$1004,2,FALSE),"")</f>
        <v/>
      </c>
      <c r="I49" t="str">
        <f>IFERROR(VLOOKUP(Table1824[[#This Row],[BKK]]&amp;TRIM(RIGHT(SUBSTITUTE(TRIM(Table1824[[#Headers],[Uraian aaaa]])," ",REPT(" ",255)),255)),'Un nOTA'!$D$4:$J$1004,2,FALSE),"")</f>
        <v/>
      </c>
      <c r="J49" t="str">
        <f>IFERROR(VLOOKUP(Table1824[[#This Row],[BKK]]&amp;TRIM(RIGHT(SUBSTITUTE(TRIM(Table1824[[#Headers],[Uraian aaaaa]])," ",REPT(" ",255)),255)),'Un nOTA'!$D$4:$J$1004,2,FALSE),"")</f>
        <v/>
      </c>
      <c r="K49" t="str">
        <f>IFERROR(VLOOKUP(Table1824[[#This Row],[BKK]]&amp;TRIM(RIGHT(SUBSTITUTE(TRIM(Table1824[[#Headers],[Uraian aaaaaa]])," ",REPT(" ",255)),255)),'Un nOTA'!$D$4:$J$1004,2,FALSE),"")</f>
        <v/>
      </c>
      <c r="L49" t="str">
        <f>IFERROR(VLOOKUP(Table1824[[#This Row],[BKK]]&amp;TRIM(RIGHT(SUBSTITUTE(TRIM(Table1824[[#Headers],[Uraian aaaaaaa]])," ",REPT(" ",255)),255)),'Un nOTA'!$D$4:$J$1004,2,FALSE),"")</f>
        <v/>
      </c>
      <c r="M49" t="str">
        <f>IFERROR(VLOOKUP(Table1824[[#This Row],[BKK]]&amp;TRIM(RIGHT(SUBSTITUTE(TRIM(Table1824[[#Headers],[Uraian aaaaaaaa]])," ",REPT(" ",255)),255)),'Un nOTA'!$D$4:$J$1004,2,FALSE),"")</f>
        <v/>
      </c>
      <c r="N49" t="str">
        <f>IFERROR(VLOOKUP(Table1824[[#This Row],[BKK]]&amp;TRIM(RIGHT(SUBSTITUTE(TRIM(Table1824[[#Headers],[Uraian aaaaaaaaa]])," ",REPT(" ",255)),255)),'Un nOTA'!$D$4:$J$1004,2,FALSE),"")</f>
        <v/>
      </c>
      <c r="O49" t="str">
        <f>IFERROR(VLOOKUP(Table1824[[#This Row],[BKK]]&amp;TRIM(RIGHT(SUBSTITUTE(TRIM(Table1824[[#Headers],[Uraian aaaaaaaaaa]])," ",REPT(" ",255)),255)),'Un nOTA'!$D$4:$J$1004,2,FALSE),"")</f>
        <v/>
      </c>
      <c r="P49" t="str">
        <f>IFERROR(VLOOKUP(Table1824[[#This Row],[BKK]]&amp;TRIM(RIGHT(SUBSTITUTE(TRIM(Table1824[[#Headers],[Uraian aaaaaaaaaaa]])," ",REPT(" ",255)),255)),'Un nOTA'!$D$4:$J$1004,2,FALSE),"")</f>
        <v/>
      </c>
      <c r="Q49" t="str">
        <f>IFERROR(VLOOKUP(Table1824[[#This Row],[BKK]]&amp;TRIM(RIGHT(SUBSTITUTE(TRIM(Table1824[[#Headers],[Uraian aaaaaaaaaaaa]])," ",REPT(" ",255)),255)),'Un nOTA'!$D$4:$J$1004,2,FALSE),"")</f>
        <v/>
      </c>
      <c r="R49" s="32" t="str">
        <f>IFERROR(VLOOKUP(Table1824[[#This Row],[BKK]],'Un nOTA'!$D$4:$J$1004,3,FALSE),"")</f>
        <v/>
      </c>
      <c r="S49" s="32" t="str">
        <f>IFERROR(VLOOKUP(Table1824[[#This Row],[BKK]]&amp;TRIM(RIGHT(SUBSTITUTE(TRIM(Table1824[[#Headers],[Uraian a]])," ",REPT(" ",255)),255)),'Un nOTA'!$D$4:$J$1004,3,FALSE),"")</f>
        <v/>
      </c>
      <c r="T49" s="32" t="str">
        <f>IFERROR(VLOOKUP(Table1824[[#This Row],[BKK]]&amp;TRIM(RIGHT(SUBSTITUTE(TRIM(Table1824[[#Headers],[Uraian aa]])," ",REPT(" ",255)),255)),'Un nOTA'!$D$4:$J$1004,3,FALSE),"")</f>
        <v/>
      </c>
      <c r="U49" s="32" t="str">
        <f>IFERROR(VLOOKUP(Table1824[[#This Row],[BKK]]&amp;TRIM(RIGHT(SUBSTITUTE(TRIM(Table1824[[#Headers],[Uraian aaa]])," ",REPT(" ",255)),255)),'Un nOTA'!$D$4:$J$1004,3,FALSE),"")</f>
        <v/>
      </c>
      <c r="V49" s="32" t="str">
        <f>IFERROR(VLOOKUP(Table1824[[#This Row],[BKK]]&amp;TRIM(RIGHT(SUBSTITUTE(TRIM(Table1824[[#Headers],[Uraian aaaa]])," ",REPT(" ",255)),255)),'Un nOTA'!$D$4:$J$1004,3,FALSE),"")</f>
        <v/>
      </c>
      <c r="W49" s="32" t="str">
        <f>IFERROR(VLOOKUP(Table1824[[#This Row],[BKK]]&amp;TRIM(RIGHT(SUBSTITUTE(TRIM(Table1824[[#Headers],[Uraian aaaaa]])," ",REPT(" ",255)),255)),'Un nOTA'!$D$4:$J$1004,3,FALSE),"")</f>
        <v/>
      </c>
      <c r="X49" s="32" t="str">
        <f>IFERROR(VLOOKUP(Table1824[[#This Row],[BKK]]&amp;TRIM(RIGHT(SUBSTITUTE(TRIM(Table1824[[#Headers],[Uraian aaaaaa]])," ",REPT(" ",255)),255)),'Un nOTA'!$D$4:$J$1004,3,FALSE),"")</f>
        <v/>
      </c>
      <c r="Y49" s="32" t="str">
        <f>IFERROR(VLOOKUP(Table1824[[#This Row],[BKK]]&amp;TRIM(RIGHT(SUBSTITUTE(TRIM(Table1824[[#Headers],[Uraian aaaaaaa]])," ",REPT(" ",255)),255)),'Un nOTA'!$D$4:$J$1004,3,FALSE),"")</f>
        <v/>
      </c>
      <c r="Z49" s="32" t="str">
        <f>IFERROR(VLOOKUP(Table1824[[#This Row],[BKK]]&amp;TRIM(RIGHT(SUBSTITUTE(TRIM(Table1824[[#Headers],[Uraian aaaaaaaa]])," ",REPT(" ",255)),255)),'Un nOTA'!$D$4:$J$1004,3,FALSE),"")</f>
        <v/>
      </c>
      <c r="AA49" s="32" t="str">
        <f>IFERROR(VLOOKUP(Table1824[[#This Row],[BKK]]&amp;TRIM(RIGHT(SUBSTITUTE(TRIM(Table1824[[#Headers],[Uraian aaaaaaaaa]])," ",REPT(" ",255)),255)),'Un nOTA'!$D$4:$J$1004,3,FALSE),"")</f>
        <v/>
      </c>
      <c r="AB49" s="32" t="str">
        <f>IFERROR(VLOOKUP(Table1824[[#This Row],[BKK]]&amp;TRIM(RIGHT(SUBSTITUTE(TRIM(Table1824[[#Headers],[Uraian aaaaaaaaaa]])," ",REPT(" ",255)),255)),'Un nOTA'!$D$4:$J$1004,3,FALSE),"")</f>
        <v/>
      </c>
      <c r="AC49" s="32" t="str">
        <f>IFERROR(VLOOKUP(Table1824[[#This Row],[BKK]]&amp;TRIM(RIGHT(SUBSTITUTE(TRIM(Table1824[[#Headers],[Uraian aaaaaaaaaaa]])," ",REPT(" ",255)),255)),'Un nOTA'!$D$4:$J$1004,3,FALSE),"")</f>
        <v/>
      </c>
      <c r="AD49" s="32" t="str">
        <f>IFERROR(VLOOKUP(Table1824[[#This Row],[BKK]]&amp;TRIM(RIGHT(SUBSTITUTE(TRIM(Table1824[[#Headers],[Uraian aaaaaaaaaaaa]])," ",REPT(" ",255)),255)),'Un nOTA'!$D$4:$J$1004,3,FALSE),"")</f>
        <v/>
      </c>
      <c r="AE49" s="8" t="str">
        <f>IFERROR(VLOOKUP(Table1824[[#This Row],[BKK]],'Un nOTA'!$D$4:$J$1004,4,FALSE),"")</f>
        <v/>
      </c>
      <c r="AF49" s="8" t="str">
        <f>IFERROR(VLOOKUP(Table1824[[#This Row],[BKK]]&amp;TRIM(RIGHT(SUBSTITUTE(TRIM(Table1824[[#Headers],[Uraian a]])," ",REPT(" ",255)),255)),'Un nOTA'!$D$4:$J$1004,4,FALSE),"")</f>
        <v/>
      </c>
      <c r="AG49" s="8" t="str">
        <f>IFERROR(VLOOKUP(Table1824[[#This Row],[BKK]]&amp;TRIM(RIGHT(SUBSTITUTE(TRIM(Table1824[[#Headers],[Uraian aa]])," ",REPT(" ",255)),255)),'Un nOTA'!$D$4:$J$1004,4,FALSE),"")</f>
        <v/>
      </c>
      <c r="AH49" s="8" t="str">
        <f>IFERROR(VLOOKUP(Table1824[[#This Row],[BKK]]&amp;TRIM(RIGHT(SUBSTITUTE(TRIM(Table1824[[#Headers],[Uraian aaa]])," ",REPT(" ",255)),255)),'Un nOTA'!$D$4:$J$1004,4,FALSE),"")</f>
        <v/>
      </c>
      <c r="AI49" s="8" t="str">
        <f>IFERROR(VLOOKUP(Table1824[[#This Row],[BKK]]&amp;TRIM(RIGHT(SUBSTITUTE(TRIM(Table1824[[#Headers],[Uraian aaaa]])," ",REPT(" ",255)),255)),'Un nOTA'!$D$4:$J$1004,4,FALSE),"")</f>
        <v/>
      </c>
      <c r="AJ49" s="8" t="str">
        <f>IFERROR(VLOOKUP(Table1824[[#This Row],[BKK]]&amp;TRIM(RIGHT(SUBSTITUTE(TRIM(Table1824[[#Headers],[Uraian aaaaa]])," ",REPT(" ",255)),255)),'Un nOTA'!$D$4:$J$1004,4,FALSE),"")</f>
        <v/>
      </c>
      <c r="AK49" s="8" t="str">
        <f>IFERROR(VLOOKUP(Table1824[[#This Row],[BKK]]&amp;TRIM(RIGHT(SUBSTITUTE(TRIM(Table1824[[#Headers],[Uraian aaaaaa]])," ",REPT(" ",255)),255)),'Un nOTA'!$D$4:$J$1004,4,FALSE),"")</f>
        <v/>
      </c>
      <c r="AL49" s="8" t="str">
        <f>IFERROR(VLOOKUP(Table1824[[#This Row],[BKK]]&amp;TRIM(RIGHT(SUBSTITUTE(TRIM(Table1824[[#Headers],[Uraian aaaaaaa]])," ",REPT(" ",255)),255)),'Un nOTA'!$D$4:$J$1004,4,FALSE),"")</f>
        <v/>
      </c>
      <c r="AM49" s="8" t="str">
        <f>IFERROR(VLOOKUP(Table1824[[#This Row],[BKK]]&amp;TRIM(RIGHT(SUBSTITUTE(TRIM(Table1824[[#Headers],[Uraian aaaaaaaa]])," ",REPT(" ",255)),255)),'Un nOTA'!$D$4:$J$1004,4,FALSE),"")</f>
        <v/>
      </c>
      <c r="AN49" s="8" t="str">
        <f>IFERROR(VLOOKUP(Table1824[[#This Row],[BKK]]&amp;TRIM(RIGHT(SUBSTITUTE(TRIM(Table1824[[#Headers],[Uraian aaaaaaaaa]])," ",REPT(" ",255)),255)),'Un nOTA'!$D$4:$J$1004,4,FALSE),"")</f>
        <v/>
      </c>
      <c r="AO49" s="8" t="str">
        <f>IFERROR(VLOOKUP(Table1824[[#This Row],[BKK]]&amp;TRIM(RIGHT(SUBSTITUTE(TRIM(Table1824[[#Headers],[Uraian aaaaaaaaaa]])," ",REPT(" ",255)),255)),'Un nOTA'!$D$4:$J$1004,4,FALSE),"")</f>
        <v/>
      </c>
      <c r="AP49" s="8" t="str">
        <f>IFERROR(VLOOKUP(Table1824[[#This Row],[BKK]]&amp;TRIM(RIGHT(SUBSTITUTE(TRIM(Table1824[[#Headers],[Uraian aaaaaaaaaaa]])," ",REPT(" ",255)),255)),'Un nOTA'!$D$4:$J$1004,4,FALSE),"")</f>
        <v/>
      </c>
      <c r="AQ49" s="8" t="str">
        <f>IFERROR(VLOOKUP(Table1824[[#This Row],[BKK]]&amp;TRIM(RIGHT(SUBSTITUTE(TRIM(Table1824[[#Headers],[Uraian aaaaaaaaaaaa]])," ",REPT(" ",255)),255)),'Un nOTA'!$D$4:$J$1004,4,FALSE),"")</f>
        <v/>
      </c>
      <c r="AR49" s="8" t="str">
        <f>IFERROR((IFERROR(VLOOKUP(Table1824[[#This Row],[BKK]],'Un nOTA'!$D$4:$J$1004,5,FALSE),""))*(10/11),"")</f>
        <v/>
      </c>
      <c r="AS49" s="8" t="str">
        <f>IFERROR((IFERROR(VLOOKUP(Table1824[[#This Row],[BKK]]&amp;TRIM(RIGHT(SUBSTITUTE(TRIM(Table1824[[#Headers],[Uraian a]])," ",REPT(" ",255)),255)),'Un nOTA'!$D$4:$J$1004,5,FALSE),"")*(10/11)),"")</f>
        <v/>
      </c>
      <c r="AT49" s="8" t="str">
        <f>IFERROR((IFERROR(VLOOKUP(Table1824[[#This Row],[BKK]]&amp;TRIM(RIGHT(SUBSTITUTE(TRIM(Table1824[[#Headers],[Uraian aa]])," ",REPT(" ",255)),255)),'Un nOTA'!$D$4:$J$1004,5,FALSE),"")*(10/11)),"")</f>
        <v/>
      </c>
      <c r="AU49" s="8" t="str">
        <f>IFERROR((IFERROR(VLOOKUP(Table1824[[#This Row],[BKK]]&amp;TRIM(RIGHT(SUBSTITUTE(TRIM(Table1824[[#Headers],[Uraian aaa]])," ",REPT(" ",255)),255)),'Un nOTA'!$D$4:$J$1004,5,FALSE),"")*(10/11)),"")</f>
        <v/>
      </c>
      <c r="AV49" s="8" t="str">
        <f>IFERROR((IFERROR(VLOOKUP(Table1824[[#This Row],[BKK]]&amp;TRIM(RIGHT(SUBSTITUTE(TRIM(Table1824[[#Headers],[Uraian aaaa]])," ",REPT(" ",255)),255)),'Un nOTA'!$D$4:$J$1004,5,FALSE),"")*(10/11)),"")</f>
        <v/>
      </c>
      <c r="AW49" s="8" t="str">
        <f>IFERROR((IFERROR(VLOOKUP(Table1824[[#This Row],[BKK]]&amp;TRIM(RIGHT(SUBSTITUTE(TRIM(Table1824[[#Headers],[Uraian aaaaa]])," ",REPT(" ",255)),255)),'Un nOTA'!$D$4:$J$1004,5,FALSE),"")*(10/11)),"")</f>
        <v/>
      </c>
      <c r="AX49" s="8" t="str">
        <f>IFERROR((IFERROR(VLOOKUP(Table1824[[#This Row],[BKK]]&amp;TRIM(RIGHT(SUBSTITUTE(TRIM(Table1824[[#Headers],[Uraian aaaaaa]])," ",REPT(" ",255)),255)),'Un nOTA'!$D$4:$J$1004,5,FALSE),"")*(10/11)),"")</f>
        <v/>
      </c>
      <c r="AY49" s="8" t="str">
        <f>IFERROR((IFERROR(VLOOKUP(Table1824[[#This Row],[BKK]]&amp;TRIM(RIGHT(SUBSTITUTE(TRIM(Table1824[[#Headers],[Uraian aaaaaaa]])," ",REPT(" ",255)),255)),'Un nOTA'!$D$4:$J$1004,5,FALSE),"")*(10/11)),"")</f>
        <v/>
      </c>
      <c r="AZ49" s="8" t="str">
        <f>IFERROR((IFERROR(VLOOKUP(Table1824[[#This Row],[BKK]]&amp;TRIM(RIGHT(SUBSTITUTE(TRIM(Table1824[[#Headers],[Uraian aaaaaaaa]])," ",REPT(" ",255)),255)),'Un nOTA'!$D$4:$J$1004,5,FALSE),"")*(10/11)),"")</f>
        <v/>
      </c>
      <c r="BA49" s="8" t="str">
        <f>IFERROR((IFERROR(VLOOKUP(Table1824[[#This Row],[BKK]]&amp;TRIM(RIGHT(SUBSTITUTE(TRIM(Table1824[[#Headers],[Uraian aaaaaaaaa]])," ",REPT(" ",255)),255)),'Un nOTA'!$D$4:$J$1004,5,FALSE),"")*(10/11)),"")</f>
        <v/>
      </c>
      <c r="BB49" s="8" t="str">
        <f>IFERROR((IFERROR(VLOOKUP(Table1824[[#This Row],[BKK]]&amp;TRIM(RIGHT(SUBSTITUTE(TRIM(Table1824[[#Headers],[Uraian aaaaaaaaaa]])," ",REPT(" ",255)),255)),'Un nOTA'!$D$4:$J$1004,5,FALSE),"")*(10/11)),"")</f>
        <v/>
      </c>
      <c r="BC49" s="8" t="str">
        <f>IFERROR((IFERROR(VLOOKUP(Table1824[[#This Row],[BKK]]&amp;TRIM(RIGHT(SUBSTITUTE(TRIM(Table1824[[#Headers],[Uraian aaaaaaaaaaa]])," ",REPT(" ",255)),255)),'Un nOTA'!$D$4:$J$1004,5,FALSE),"")*(10/11)),"")</f>
        <v/>
      </c>
      <c r="BD49" s="8" t="str">
        <f>IFERROR((IFERROR(VLOOKUP(Table1824[[#This Row],[BKK]]&amp;TRIM(RIGHT(SUBSTITUTE(TRIM(Table1824[[#Headers],[Uraian aaaaaaaaaaaa]])," ",REPT(" ",255)),255)),'Un nOTA'!$D$4:$J$1004,5,FALSE),"")*(10/11)),"")</f>
        <v/>
      </c>
      <c r="BE49" s="23" t="str">
        <f>IFERROR(ROUNDUP((Table1824[[#This Row],[Qty]]*Table1824[[#This Row],[Hrg St]]),0),"")</f>
        <v/>
      </c>
      <c r="BF49" s="8" t="str">
        <f>IFERROR(ROUNDUP((Table1824[[#This Row],[Qty2]]*Table1824[[#This Row],[Hrg St2]]),0),"")</f>
        <v/>
      </c>
      <c r="BG49" s="8" t="str">
        <f>IFERROR(ROUNDUP((Table1824[[#This Row],[Qty3]]*Table1824[[#This Row],[Hrg St3]]),0),"")</f>
        <v/>
      </c>
      <c r="BH49" s="8" t="str">
        <f>IFERROR(ROUNDUP((Table1824[[#This Row],[Qty4]]*Table1824[[#This Row],[Hrg St4]]),0),"")</f>
        <v/>
      </c>
      <c r="BI49" s="8" t="str">
        <f>IFERROR(ROUNDUP((Table1824[[#This Row],[Qty5]]*Table1824[[#This Row],[Hrg St5]]),0),"")</f>
        <v/>
      </c>
      <c r="BJ49" s="8" t="str">
        <f>IFERROR(ROUNDUP((Table1824[[#This Row],[Qty6]]*Table1824[[#This Row],[Hrg St6]]),0),"")</f>
        <v/>
      </c>
      <c r="BK49" s="8" t="str">
        <f>IFERROR(ROUNDUP((Table1824[[#This Row],[Qty7]]*Table1824[[#This Row],[Hrg St7]]),0),"")</f>
        <v/>
      </c>
      <c r="BL49" s="8" t="str">
        <f>IFERROR(ROUNDUP((Table1824[[#This Row],[Qty8]]*Table1824[[#This Row],[Hrg St8]]),0),"")</f>
        <v/>
      </c>
      <c r="BM49" s="8" t="str">
        <f>IFERROR(ROUNDUP((Table1824[[#This Row],[Qty9]]*Table1824[[#This Row],[Hrg St9]]),0),"")</f>
        <v/>
      </c>
      <c r="BN49" s="8" t="str">
        <f>IFERROR(ROUNDUP((Table1824[[#This Row],[Qty10]]*Table1824[[#This Row],[Hrg St10]]),0),"")</f>
        <v/>
      </c>
      <c r="BO49" s="8" t="str">
        <f>IFERROR(ROUNDUP((Table1824[[#This Row],[Qty11]]*Table1824[[#This Row],[Hrg St11]]),0),"")</f>
        <v/>
      </c>
      <c r="BP49" s="8" t="str">
        <f>IFERROR(ROUNDUP((Table1824[[#This Row],[Qty12]]*Table1824[[#This Row],[Hrg St12]]),0),"")</f>
        <v/>
      </c>
      <c r="BQ49" s="8" t="str">
        <f>IFERROR(ROUNDUP((Table1824[[#This Row],[Qty13]]*Table1824[[#This Row],[Hrg St13]]),0),"")</f>
        <v/>
      </c>
      <c r="BR49" s="23" t="str">
        <f>IF(Table1824[[#This Row],[BKK]]&gt;" ",IFERROR(ROUNDUP((SUM(Table1824[[#This Row],[Jml]:[Jml13]])),0)," ")," ")</f>
        <v xml:space="preserve"> </v>
      </c>
      <c r="BS49" s="23" t="str">
        <f>IF(Table1824[[#This Row],[BKK]]&gt;" ",ROUND((Table1824[[#This Row],[Total]]*0.1),0)," ")</f>
        <v xml:space="preserve"> </v>
      </c>
      <c r="BT49" s="23" t="str">
        <f>IF(Table1824[[#This Row],[BKK]]&gt;" ",(Table1824[[#This Row],[Total]]+Table1824[[#This Row],[PPN]])," ")</f>
        <v xml:space="preserve"> </v>
      </c>
      <c r="BU49" t="s">
        <v>454</v>
      </c>
      <c r="BV49" t="str">
        <f>IF(Table1824[[#This Row],[BKK]]&gt;" ",("INV/AK-MLG/2019/"&amp;'BKU 1'!$E$1&amp;"/"&amp;Table1824[[#This Row],[BKK]]&amp;"/"&amp;'BKU 1'!$E$1&amp;ROW())," ")</f>
        <v xml:space="preserve"> </v>
      </c>
      <c r="BW49" t="str">
        <f>IF(Table1824[[#This Row],[BKK]]&gt;" ",(TEXT(VLOOKUP(Table1824[[#This Row],[BKK]],COPY!$O$2:$U$1000,7,FALSE),"dd mmmm yyyy"))," ")</f>
        <v xml:space="preserve"> </v>
      </c>
      <c r="BX49" t="str">
        <f>IF(Table1824[[#This Row],[BKK]]&gt;" ",(TEXT((Table1824[[#This Row],[Tanggal Kirim]]+30),"dd mmmm yyyy"))," ")</f>
        <v xml:space="preserve"> </v>
      </c>
      <c r="BY49" t="str">
        <f>IF(Table1824[[#This Row],[BKK]]&gt;" ",'BKU 1'!$E$17," ")</f>
        <v xml:space="preserve"> </v>
      </c>
    </row>
    <row r="50" spans="1:77" hidden="1" x14ac:dyDescent="0.25">
      <c r="A50" t="str">
        <f>IFERROR((IF('Laporan ppn'!G6837&gt;0,VLOOKUP('Laporan ppn'!G6837,'Laporan ppn'!$E$10:$F$6785,2,FALSE),"")),"")</f>
        <v xml:space="preserve"> </v>
      </c>
      <c r="B50" t="str">
        <f>IF(Table1824[[#This Row],[BKK]]=" "," ",'BKU 1'!$D$25)</f>
        <v xml:space="preserve"> </v>
      </c>
      <c r="C50" t="str">
        <f>IF(Table1824[[#This Row],[BKK]]=" "," ",'BKU 1'!$D$26)</f>
        <v xml:space="preserve"> </v>
      </c>
      <c r="D50" t="str">
        <f>IF(Table1824[[#This Row],[BKK]]=" "," ",'BKU 1'!$I$25)</f>
        <v xml:space="preserve"> </v>
      </c>
      <c r="E50" t="str">
        <f>IFERROR(VLOOKUP(Table1824[[#This Row],[BKK]],'Un nOTA'!$D$4:$J$1004,2,FALSE),"")</f>
        <v/>
      </c>
      <c r="F50" t="str">
        <f>IFERROR(VLOOKUP(Table1824[[#This Row],[BKK]]&amp;TRIM(RIGHT(SUBSTITUTE(TRIM(Table1824[[#Headers],[Uraian a]])," ",REPT(" ",255)),255)),'Un nOTA'!$D$4:$J$1004,2,FALSE),"")</f>
        <v/>
      </c>
      <c r="G50" t="str">
        <f>IFERROR(VLOOKUP(Table1824[[#This Row],[BKK]]&amp;TRIM(RIGHT(SUBSTITUTE(TRIM(Table1824[[#Headers],[Uraian aa]])," ",REPT(" ",255)),255)),'Un nOTA'!$D$4:$J$1004,2,FALSE),"")</f>
        <v/>
      </c>
      <c r="H50" t="str">
        <f>IFERROR(VLOOKUP(Table1824[[#This Row],[BKK]]&amp;TRIM(RIGHT(SUBSTITUTE(TRIM(Table1824[[#Headers],[Uraian aaa]])," ",REPT(" ",255)),255)),'Un nOTA'!$D$4:$J$1004,2,FALSE),"")</f>
        <v/>
      </c>
      <c r="I50" t="str">
        <f>IFERROR(VLOOKUP(Table1824[[#This Row],[BKK]]&amp;TRIM(RIGHT(SUBSTITUTE(TRIM(Table1824[[#Headers],[Uraian aaaa]])," ",REPT(" ",255)),255)),'Un nOTA'!$D$4:$J$1004,2,FALSE),"")</f>
        <v/>
      </c>
      <c r="J50" t="str">
        <f>IFERROR(VLOOKUP(Table1824[[#This Row],[BKK]]&amp;TRIM(RIGHT(SUBSTITUTE(TRIM(Table1824[[#Headers],[Uraian aaaaa]])," ",REPT(" ",255)),255)),'Un nOTA'!$D$4:$J$1004,2,FALSE),"")</f>
        <v/>
      </c>
      <c r="K50" t="str">
        <f>IFERROR(VLOOKUP(Table1824[[#This Row],[BKK]]&amp;TRIM(RIGHT(SUBSTITUTE(TRIM(Table1824[[#Headers],[Uraian aaaaaa]])," ",REPT(" ",255)),255)),'Un nOTA'!$D$4:$J$1004,2,FALSE),"")</f>
        <v/>
      </c>
      <c r="L50" t="str">
        <f>IFERROR(VLOOKUP(Table1824[[#This Row],[BKK]]&amp;TRIM(RIGHT(SUBSTITUTE(TRIM(Table1824[[#Headers],[Uraian aaaaaaa]])," ",REPT(" ",255)),255)),'Un nOTA'!$D$4:$J$1004,2,FALSE),"")</f>
        <v/>
      </c>
      <c r="M50" t="str">
        <f>IFERROR(VLOOKUP(Table1824[[#This Row],[BKK]]&amp;TRIM(RIGHT(SUBSTITUTE(TRIM(Table1824[[#Headers],[Uraian aaaaaaaa]])," ",REPT(" ",255)),255)),'Un nOTA'!$D$4:$J$1004,2,FALSE),"")</f>
        <v/>
      </c>
      <c r="N50" t="str">
        <f>IFERROR(VLOOKUP(Table1824[[#This Row],[BKK]]&amp;TRIM(RIGHT(SUBSTITUTE(TRIM(Table1824[[#Headers],[Uraian aaaaaaaaa]])," ",REPT(" ",255)),255)),'Un nOTA'!$D$4:$J$1004,2,FALSE),"")</f>
        <v/>
      </c>
      <c r="O50" t="str">
        <f>IFERROR(VLOOKUP(Table1824[[#This Row],[BKK]]&amp;TRIM(RIGHT(SUBSTITUTE(TRIM(Table1824[[#Headers],[Uraian aaaaaaaaaa]])," ",REPT(" ",255)),255)),'Un nOTA'!$D$4:$J$1004,2,FALSE),"")</f>
        <v/>
      </c>
      <c r="P50" t="str">
        <f>IFERROR(VLOOKUP(Table1824[[#This Row],[BKK]]&amp;TRIM(RIGHT(SUBSTITUTE(TRIM(Table1824[[#Headers],[Uraian aaaaaaaaaaa]])," ",REPT(" ",255)),255)),'Un nOTA'!$D$4:$J$1004,2,FALSE),"")</f>
        <v/>
      </c>
      <c r="Q50" t="str">
        <f>IFERROR(VLOOKUP(Table1824[[#This Row],[BKK]]&amp;TRIM(RIGHT(SUBSTITUTE(TRIM(Table1824[[#Headers],[Uraian aaaaaaaaaaaa]])," ",REPT(" ",255)),255)),'Un nOTA'!$D$4:$J$1004,2,FALSE),"")</f>
        <v/>
      </c>
      <c r="R50" s="32" t="str">
        <f>IFERROR(VLOOKUP(Table1824[[#This Row],[BKK]],'Un nOTA'!$D$4:$J$1004,3,FALSE),"")</f>
        <v/>
      </c>
      <c r="S50" s="32" t="str">
        <f>IFERROR(VLOOKUP(Table1824[[#This Row],[BKK]]&amp;TRIM(RIGHT(SUBSTITUTE(TRIM(Table1824[[#Headers],[Uraian a]])," ",REPT(" ",255)),255)),'Un nOTA'!$D$4:$J$1004,3,FALSE),"")</f>
        <v/>
      </c>
      <c r="T50" s="32" t="str">
        <f>IFERROR(VLOOKUP(Table1824[[#This Row],[BKK]]&amp;TRIM(RIGHT(SUBSTITUTE(TRIM(Table1824[[#Headers],[Uraian aa]])," ",REPT(" ",255)),255)),'Un nOTA'!$D$4:$J$1004,3,FALSE),"")</f>
        <v/>
      </c>
      <c r="U50" s="32" t="str">
        <f>IFERROR(VLOOKUP(Table1824[[#This Row],[BKK]]&amp;TRIM(RIGHT(SUBSTITUTE(TRIM(Table1824[[#Headers],[Uraian aaa]])," ",REPT(" ",255)),255)),'Un nOTA'!$D$4:$J$1004,3,FALSE),"")</f>
        <v/>
      </c>
      <c r="V50" s="32" t="str">
        <f>IFERROR(VLOOKUP(Table1824[[#This Row],[BKK]]&amp;TRIM(RIGHT(SUBSTITUTE(TRIM(Table1824[[#Headers],[Uraian aaaa]])," ",REPT(" ",255)),255)),'Un nOTA'!$D$4:$J$1004,3,FALSE),"")</f>
        <v/>
      </c>
      <c r="W50" s="32" t="str">
        <f>IFERROR(VLOOKUP(Table1824[[#This Row],[BKK]]&amp;TRIM(RIGHT(SUBSTITUTE(TRIM(Table1824[[#Headers],[Uraian aaaaa]])," ",REPT(" ",255)),255)),'Un nOTA'!$D$4:$J$1004,3,FALSE),"")</f>
        <v/>
      </c>
      <c r="X50" s="32" t="str">
        <f>IFERROR(VLOOKUP(Table1824[[#This Row],[BKK]]&amp;TRIM(RIGHT(SUBSTITUTE(TRIM(Table1824[[#Headers],[Uraian aaaaaa]])," ",REPT(" ",255)),255)),'Un nOTA'!$D$4:$J$1004,3,FALSE),"")</f>
        <v/>
      </c>
      <c r="Y50" s="32" t="str">
        <f>IFERROR(VLOOKUP(Table1824[[#This Row],[BKK]]&amp;TRIM(RIGHT(SUBSTITUTE(TRIM(Table1824[[#Headers],[Uraian aaaaaaa]])," ",REPT(" ",255)),255)),'Un nOTA'!$D$4:$J$1004,3,FALSE),"")</f>
        <v/>
      </c>
      <c r="Z50" s="32" t="str">
        <f>IFERROR(VLOOKUP(Table1824[[#This Row],[BKK]]&amp;TRIM(RIGHT(SUBSTITUTE(TRIM(Table1824[[#Headers],[Uraian aaaaaaaa]])," ",REPT(" ",255)),255)),'Un nOTA'!$D$4:$J$1004,3,FALSE),"")</f>
        <v/>
      </c>
      <c r="AA50" s="32" t="str">
        <f>IFERROR(VLOOKUP(Table1824[[#This Row],[BKK]]&amp;TRIM(RIGHT(SUBSTITUTE(TRIM(Table1824[[#Headers],[Uraian aaaaaaaaa]])," ",REPT(" ",255)),255)),'Un nOTA'!$D$4:$J$1004,3,FALSE),"")</f>
        <v/>
      </c>
      <c r="AB50" s="32" t="str">
        <f>IFERROR(VLOOKUP(Table1824[[#This Row],[BKK]]&amp;TRIM(RIGHT(SUBSTITUTE(TRIM(Table1824[[#Headers],[Uraian aaaaaaaaaa]])," ",REPT(" ",255)),255)),'Un nOTA'!$D$4:$J$1004,3,FALSE),"")</f>
        <v/>
      </c>
      <c r="AC50" s="32" t="str">
        <f>IFERROR(VLOOKUP(Table1824[[#This Row],[BKK]]&amp;TRIM(RIGHT(SUBSTITUTE(TRIM(Table1824[[#Headers],[Uraian aaaaaaaaaaa]])," ",REPT(" ",255)),255)),'Un nOTA'!$D$4:$J$1004,3,FALSE),"")</f>
        <v/>
      </c>
      <c r="AD50" s="32" t="str">
        <f>IFERROR(VLOOKUP(Table1824[[#This Row],[BKK]]&amp;TRIM(RIGHT(SUBSTITUTE(TRIM(Table1824[[#Headers],[Uraian aaaaaaaaaaaa]])," ",REPT(" ",255)),255)),'Un nOTA'!$D$4:$J$1004,3,FALSE),"")</f>
        <v/>
      </c>
      <c r="AE50" s="8" t="str">
        <f>IFERROR(VLOOKUP(Table1824[[#This Row],[BKK]],'Un nOTA'!$D$4:$J$1004,4,FALSE),"")</f>
        <v/>
      </c>
      <c r="AF50" s="8" t="str">
        <f>IFERROR(VLOOKUP(Table1824[[#This Row],[BKK]]&amp;TRIM(RIGHT(SUBSTITUTE(TRIM(Table1824[[#Headers],[Uraian a]])," ",REPT(" ",255)),255)),'Un nOTA'!$D$4:$J$1004,4,FALSE),"")</f>
        <v/>
      </c>
      <c r="AG50" s="8" t="str">
        <f>IFERROR(VLOOKUP(Table1824[[#This Row],[BKK]]&amp;TRIM(RIGHT(SUBSTITUTE(TRIM(Table1824[[#Headers],[Uraian aa]])," ",REPT(" ",255)),255)),'Un nOTA'!$D$4:$J$1004,4,FALSE),"")</f>
        <v/>
      </c>
      <c r="AH50" s="8" t="str">
        <f>IFERROR(VLOOKUP(Table1824[[#This Row],[BKK]]&amp;TRIM(RIGHT(SUBSTITUTE(TRIM(Table1824[[#Headers],[Uraian aaa]])," ",REPT(" ",255)),255)),'Un nOTA'!$D$4:$J$1004,4,FALSE),"")</f>
        <v/>
      </c>
      <c r="AI50" s="8" t="str">
        <f>IFERROR(VLOOKUP(Table1824[[#This Row],[BKK]]&amp;TRIM(RIGHT(SUBSTITUTE(TRIM(Table1824[[#Headers],[Uraian aaaa]])," ",REPT(" ",255)),255)),'Un nOTA'!$D$4:$J$1004,4,FALSE),"")</f>
        <v/>
      </c>
      <c r="AJ50" s="8" t="str">
        <f>IFERROR(VLOOKUP(Table1824[[#This Row],[BKK]]&amp;TRIM(RIGHT(SUBSTITUTE(TRIM(Table1824[[#Headers],[Uraian aaaaa]])," ",REPT(" ",255)),255)),'Un nOTA'!$D$4:$J$1004,4,FALSE),"")</f>
        <v/>
      </c>
      <c r="AK50" s="8" t="str">
        <f>IFERROR(VLOOKUP(Table1824[[#This Row],[BKK]]&amp;TRIM(RIGHT(SUBSTITUTE(TRIM(Table1824[[#Headers],[Uraian aaaaaa]])," ",REPT(" ",255)),255)),'Un nOTA'!$D$4:$J$1004,4,FALSE),"")</f>
        <v/>
      </c>
      <c r="AL50" s="8" t="str">
        <f>IFERROR(VLOOKUP(Table1824[[#This Row],[BKK]]&amp;TRIM(RIGHT(SUBSTITUTE(TRIM(Table1824[[#Headers],[Uraian aaaaaaa]])," ",REPT(" ",255)),255)),'Un nOTA'!$D$4:$J$1004,4,FALSE),"")</f>
        <v/>
      </c>
      <c r="AM50" s="8" t="str">
        <f>IFERROR(VLOOKUP(Table1824[[#This Row],[BKK]]&amp;TRIM(RIGHT(SUBSTITUTE(TRIM(Table1824[[#Headers],[Uraian aaaaaaaa]])," ",REPT(" ",255)),255)),'Un nOTA'!$D$4:$J$1004,4,FALSE),"")</f>
        <v/>
      </c>
      <c r="AN50" s="8" t="str">
        <f>IFERROR(VLOOKUP(Table1824[[#This Row],[BKK]]&amp;TRIM(RIGHT(SUBSTITUTE(TRIM(Table1824[[#Headers],[Uraian aaaaaaaaa]])," ",REPT(" ",255)),255)),'Un nOTA'!$D$4:$J$1004,4,FALSE),"")</f>
        <v/>
      </c>
      <c r="AO50" s="8" t="str">
        <f>IFERROR(VLOOKUP(Table1824[[#This Row],[BKK]]&amp;TRIM(RIGHT(SUBSTITUTE(TRIM(Table1824[[#Headers],[Uraian aaaaaaaaaa]])," ",REPT(" ",255)),255)),'Un nOTA'!$D$4:$J$1004,4,FALSE),"")</f>
        <v/>
      </c>
      <c r="AP50" s="8" t="str">
        <f>IFERROR(VLOOKUP(Table1824[[#This Row],[BKK]]&amp;TRIM(RIGHT(SUBSTITUTE(TRIM(Table1824[[#Headers],[Uraian aaaaaaaaaaa]])," ",REPT(" ",255)),255)),'Un nOTA'!$D$4:$J$1004,4,FALSE),"")</f>
        <v/>
      </c>
      <c r="AQ50" s="8" t="str">
        <f>IFERROR(VLOOKUP(Table1824[[#This Row],[BKK]]&amp;TRIM(RIGHT(SUBSTITUTE(TRIM(Table1824[[#Headers],[Uraian aaaaaaaaaaaa]])," ",REPT(" ",255)),255)),'Un nOTA'!$D$4:$J$1004,4,FALSE),"")</f>
        <v/>
      </c>
      <c r="AR50" s="8" t="str">
        <f>IFERROR((IFERROR(VLOOKUP(Table1824[[#This Row],[BKK]],'Un nOTA'!$D$4:$J$1004,5,FALSE),""))*(10/11),"")</f>
        <v/>
      </c>
      <c r="AS50" s="8" t="str">
        <f>IFERROR((IFERROR(VLOOKUP(Table1824[[#This Row],[BKK]]&amp;TRIM(RIGHT(SUBSTITUTE(TRIM(Table1824[[#Headers],[Uraian a]])," ",REPT(" ",255)),255)),'Un nOTA'!$D$4:$J$1004,5,FALSE),"")*(10/11)),"")</f>
        <v/>
      </c>
      <c r="AT50" s="8" t="str">
        <f>IFERROR((IFERROR(VLOOKUP(Table1824[[#This Row],[BKK]]&amp;TRIM(RIGHT(SUBSTITUTE(TRIM(Table1824[[#Headers],[Uraian aa]])," ",REPT(" ",255)),255)),'Un nOTA'!$D$4:$J$1004,5,FALSE),"")*(10/11)),"")</f>
        <v/>
      </c>
      <c r="AU50" s="8" t="str">
        <f>IFERROR((IFERROR(VLOOKUP(Table1824[[#This Row],[BKK]]&amp;TRIM(RIGHT(SUBSTITUTE(TRIM(Table1824[[#Headers],[Uraian aaa]])," ",REPT(" ",255)),255)),'Un nOTA'!$D$4:$J$1004,5,FALSE),"")*(10/11)),"")</f>
        <v/>
      </c>
      <c r="AV50" s="8" t="str">
        <f>IFERROR((IFERROR(VLOOKUP(Table1824[[#This Row],[BKK]]&amp;TRIM(RIGHT(SUBSTITUTE(TRIM(Table1824[[#Headers],[Uraian aaaa]])," ",REPT(" ",255)),255)),'Un nOTA'!$D$4:$J$1004,5,FALSE),"")*(10/11)),"")</f>
        <v/>
      </c>
      <c r="AW50" s="8" t="str">
        <f>IFERROR((IFERROR(VLOOKUP(Table1824[[#This Row],[BKK]]&amp;TRIM(RIGHT(SUBSTITUTE(TRIM(Table1824[[#Headers],[Uraian aaaaa]])," ",REPT(" ",255)),255)),'Un nOTA'!$D$4:$J$1004,5,FALSE),"")*(10/11)),"")</f>
        <v/>
      </c>
      <c r="AX50" s="8" t="str">
        <f>IFERROR((IFERROR(VLOOKUP(Table1824[[#This Row],[BKK]]&amp;TRIM(RIGHT(SUBSTITUTE(TRIM(Table1824[[#Headers],[Uraian aaaaaa]])," ",REPT(" ",255)),255)),'Un nOTA'!$D$4:$J$1004,5,FALSE),"")*(10/11)),"")</f>
        <v/>
      </c>
      <c r="AY50" s="8" t="str">
        <f>IFERROR((IFERROR(VLOOKUP(Table1824[[#This Row],[BKK]]&amp;TRIM(RIGHT(SUBSTITUTE(TRIM(Table1824[[#Headers],[Uraian aaaaaaa]])," ",REPT(" ",255)),255)),'Un nOTA'!$D$4:$J$1004,5,FALSE),"")*(10/11)),"")</f>
        <v/>
      </c>
      <c r="AZ50" s="8" t="str">
        <f>IFERROR((IFERROR(VLOOKUP(Table1824[[#This Row],[BKK]]&amp;TRIM(RIGHT(SUBSTITUTE(TRIM(Table1824[[#Headers],[Uraian aaaaaaaa]])," ",REPT(" ",255)),255)),'Un nOTA'!$D$4:$J$1004,5,FALSE),"")*(10/11)),"")</f>
        <v/>
      </c>
      <c r="BA50" s="8" t="str">
        <f>IFERROR((IFERROR(VLOOKUP(Table1824[[#This Row],[BKK]]&amp;TRIM(RIGHT(SUBSTITUTE(TRIM(Table1824[[#Headers],[Uraian aaaaaaaaa]])," ",REPT(" ",255)),255)),'Un nOTA'!$D$4:$J$1004,5,FALSE),"")*(10/11)),"")</f>
        <v/>
      </c>
      <c r="BB50" s="8" t="str">
        <f>IFERROR((IFERROR(VLOOKUP(Table1824[[#This Row],[BKK]]&amp;TRIM(RIGHT(SUBSTITUTE(TRIM(Table1824[[#Headers],[Uraian aaaaaaaaaa]])," ",REPT(" ",255)),255)),'Un nOTA'!$D$4:$J$1004,5,FALSE),"")*(10/11)),"")</f>
        <v/>
      </c>
      <c r="BC50" s="8" t="str">
        <f>IFERROR((IFERROR(VLOOKUP(Table1824[[#This Row],[BKK]]&amp;TRIM(RIGHT(SUBSTITUTE(TRIM(Table1824[[#Headers],[Uraian aaaaaaaaaaa]])," ",REPT(" ",255)),255)),'Un nOTA'!$D$4:$J$1004,5,FALSE),"")*(10/11)),"")</f>
        <v/>
      </c>
      <c r="BD50" s="8" t="str">
        <f>IFERROR((IFERROR(VLOOKUP(Table1824[[#This Row],[BKK]]&amp;TRIM(RIGHT(SUBSTITUTE(TRIM(Table1824[[#Headers],[Uraian aaaaaaaaaaaa]])," ",REPT(" ",255)),255)),'Un nOTA'!$D$4:$J$1004,5,FALSE),"")*(10/11)),"")</f>
        <v/>
      </c>
      <c r="BE50" s="23" t="str">
        <f>IFERROR(ROUNDUP((Table1824[[#This Row],[Qty]]*Table1824[[#This Row],[Hrg St]]),0),"")</f>
        <v/>
      </c>
      <c r="BF50" s="8" t="str">
        <f>IFERROR(ROUNDUP((Table1824[[#This Row],[Qty2]]*Table1824[[#This Row],[Hrg St2]]),0),"")</f>
        <v/>
      </c>
      <c r="BG50" s="8" t="str">
        <f>IFERROR(ROUNDUP((Table1824[[#This Row],[Qty3]]*Table1824[[#This Row],[Hrg St3]]),0),"")</f>
        <v/>
      </c>
      <c r="BH50" s="8" t="str">
        <f>IFERROR(ROUNDUP((Table1824[[#This Row],[Qty4]]*Table1824[[#This Row],[Hrg St4]]),0),"")</f>
        <v/>
      </c>
      <c r="BI50" s="8" t="str">
        <f>IFERROR(ROUNDUP((Table1824[[#This Row],[Qty5]]*Table1824[[#This Row],[Hrg St5]]),0),"")</f>
        <v/>
      </c>
      <c r="BJ50" s="8" t="str">
        <f>IFERROR(ROUNDUP((Table1824[[#This Row],[Qty6]]*Table1824[[#This Row],[Hrg St6]]),0),"")</f>
        <v/>
      </c>
      <c r="BK50" s="8" t="str">
        <f>IFERROR(ROUNDUP((Table1824[[#This Row],[Qty7]]*Table1824[[#This Row],[Hrg St7]]),0),"")</f>
        <v/>
      </c>
      <c r="BL50" s="8" t="str">
        <f>IFERROR(ROUNDUP((Table1824[[#This Row],[Qty8]]*Table1824[[#This Row],[Hrg St8]]),0),"")</f>
        <v/>
      </c>
      <c r="BM50" s="8" t="str">
        <f>IFERROR(ROUNDUP((Table1824[[#This Row],[Qty9]]*Table1824[[#This Row],[Hrg St9]]),0),"")</f>
        <v/>
      </c>
      <c r="BN50" s="8" t="str">
        <f>IFERROR(ROUNDUP((Table1824[[#This Row],[Qty10]]*Table1824[[#This Row],[Hrg St10]]),0),"")</f>
        <v/>
      </c>
      <c r="BO50" s="8" t="str">
        <f>IFERROR(ROUNDUP((Table1824[[#This Row],[Qty11]]*Table1824[[#This Row],[Hrg St11]]),0),"")</f>
        <v/>
      </c>
      <c r="BP50" s="8" t="str">
        <f>IFERROR(ROUNDUP((Table1824[[#This Row],[Qty12]]*Table1824[[#This Row],[Hrg St12]]),0),"")</f>
        <v/>
      </c>
      <c r="BQ50" s="8" t="str">
        <f>IFERROR(ROUNDUP((Table1824[[#This Row],[Qty13]]*Table1824[[#This Row],[Hrg St13]]),0),"")</f>
        <v/>
      </c>
      <c r="BR50" s="23" t="str">
        <f>IF(Table1824[[#This Row],[BKK]]&gt;" ",IFERROR(ROUNDUP((SUM(Table1824[[#This Row],[Jml]:[Jml13]])),0)," ")," ")</f>
        <v xml:space="preserve"> </v>
      </c>
      <c r="BS50" s="23" t="str">
        <f>IF(Table1824[[#This Row],[BKK]]&gt;" ",ROUND((Table1824[[#This Row],[Total]]*0.1),0)," ")</f>
        <v xml:space="preserve"> </v>
      </c>
      <c r="BT50" s="23" t="str">
        <f>IF(Table1824[[#This Row],[BKK]]&gt;" ",(Table1824[[#This Row],[Total]]+Table1824[[#This Row],[PPN]])," ")</f>
        <v xml:space="preserve"> </v>
      </c>
      <c r="BU50" t="s">
        <v>454</v>
      </c>
      <c r="BV50" t="str">
        <f>IF(Table1824[[#This Row],[BKK]]&gt;" ",("INV/AK-MLG/2019/"&amp;'BKU 1'!$E$1&amp;"/"&amp;Table1824[[#This Row],[BKK]]&amp;"/"&amp;'BKU 1'!$E$1&amp;ROW())," ")</f>
        <v xml:space="preserve"> </v>
      </c>
      <c r="BW50" t="str">
        <f>IF(Table1824[[#This Row],[BKK]]&gt;" ",(TEXT(VLOOKUP(Table1824[[#This Row],[BKK]],COPY!$O$2:$U$1000,7,FALSE),"dd mmmm yyyy"))," ")</f>
        <v xml:space="preserve"> </v>
      </c>
      <c r="BX50" t="str">
        <f>IF(Table1824[[#This Row],[BKK]]&gt;" ",(TEXT((Table1824[[#This Row],[Tanggal Kirim]]+30),"dd mmmm yyyy"))," ")</f>
        <v xml:space="preserve"> </v>
      </c>
      <c r="BY50" t="str">
        <f>IF(Table1824[[#This Row],[BKK]]&gt;" ",'BKU 1'!$E$17," ")</f>
        <v xml:space="preserve"> 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V1004"/>
  <sheetViews>
    <sheetView view="pageBreakPreview" zoomScaleNormal="100" zoomScaleSheetLayoutView="100" workbookViewId="0">
      <selection activeCell="P11" sqref="P11"/>
    </sheetView>
  </sheetViews>
  <sheetFormatPr defaultColWidth="9.140625" defaultRowHeight="10.5" x14ac:dyDescent="0.15"/>
  <cols>
    <col min="1" max="1" width="5.42578125" style="81" customWidth="1"/>
    <col min="2" max="2" width="1.5703125" style="81" customWidth="1"/>
    <col min="3" max="3" width="12.42578125" style="82" bestFit="1" customWidth="1"/>
    <col min="4" max="4" width="0.28515625" style="81" hidden="1" customWidth="1"/>
    <col min="5" max="5" width="29.5703125" style="81" customWidth="1"/>
    <col min="6" max="6" width="7.5703125" style="81" customWidth="1"/>
    <col min="7" max="7" width="5" style="81" customWidth="1"/>
    <col min="8" max="8" width="10.5703125" style="81" customWidth="1"/>
    <col min="9" max="9" width="11.42578125" style="81" customWidth="1"/>
    <col min="10" max="10" width="11.28515625" style="81" customWidth="1"/>
    <col min="11" max="13" width="11.7109375" style="81" customWidth="1"/>
    <col min="14" max="14" width="31.140625" style="80" customWidth="1"/>
    <col min="15" max="20" width="9.140625" style="81"/>
    <col min="21" max="21" width="48.42578125" style="81" customWidth="1"/>
    <col min="22" max="16384" width="9.140625" style="81"/>
  </cols>
  <sheetData>
    <row r="1" spans="1:16" ht="24.75" customHeight="1" x14ac:dyDescent="0.15">
      <c r="A1" s="671" t="str">
        <f>'BKU 1'!D25&amp;" "&amp;'BKU 1'!G25&amp;" "&amp;'BKU 1'!I25&amp;" "&amp;'BKU 1'!D22</f>
        <v>SDN 1 SIDODADI Kecamatan NGANTANG PEMBANGUNAN TOILET BESERTA SANITASINYA</v>
      </c>
      <c r="B1" s="671"/>
      <c r="C1" s="671"/>
      <c r="D1" s="671"/>
      <c r="E1" s="671"/>
      <c r="F1" s="671"/>
      <c r="G1" s="671"/>
      <c r="H1" s="671"/>
      <c r="I1" s="671"/>
      <c r="J1" s="671"/>
      <c r="K1" s="671"/>
      <c r="L1" s="79"/>
      <c r="M1" s="79"/>
      <c r="P1" s="81">
        <f>IF(-$O$4+($O$4+ROW())&lt;=$O$4,-$O$4+($O$4+ROW()),"")</f>
        <v>1</v>
      </c>
    </row>
    <row r="2" spans="1:16" x14ac:dyDescent="0.15">
      <c r="P2" s="81">
        <f t="shared" ref="P2:P65" si="0">IF(-$O$4+($O$4+ROW())&lt;=$O$4,-$O$4+($O$4+ROW()),"")</f>
        <v>2</v>
      </c>
    </row>
    <row r="3" spans="1:16" s="79" customFormat="1" x14ac:dyDescent="0.15">
      <c r="A3" s="79" t="s">
        <v>335</v>
      </c>
      <c r="B3" s="79" t="s">
        <v>79</v>
      </c>
      <c r="C3" s="83" t="s">
        <v>396</v>
      </c>
      <c r="D3" s="79" t="s">
        <v>340</v>
      </c>
      <c r="E3" s="79" t="s">
        <v>336</v>
      </c>
      <c r="F3" s="79" t="s">
        <v>337</v>
      </c>
      <c r="G3" s="79" t="s">
        <v>339</v>
      </c>
      <c r="H3" s="79" t="s">
        <v>338</v>
      </c>
      <c r="I3" s="79" t="s">
        <v>40</v>
      </c>
      <c r="J3" s="79" t="s">
        <v>77</v>
      </c>
      <c r="K3" s="79" t="s">
        <v>341</v>
      </c>
      <c r="L3" s="79" t="s">
        <v>438</v>
      </c>
      <c r="M3" s="79" t="s">
        <v>439</v>
      </c>
      <c r="N3" s="79" t="s">
        <v>448</v>
      </c>
      <c r="P3" s="81">
        <f t="shared" si="0"/>
        <v>3</v>
      </c>
    </row>
    <row r="4" spans="1:16" x14ac:dyDescent="0.15">
      <c r="A4" s="81" t="str">
        <f>COPY!O2</f>
        <v>BKK.1</v>
      </c>
      <c r="B4" s="81">
        <f>COPY!C2</f>
        <v>1</v>
      </c>
      <c r="C4" s="82">
        <f>COPY!D2</f>
        <v>45901</v>
      </c>
      <c r="D4" s="81" t="str">
        <f>IF(Table13[[#This Row],[JUMLAH]]&gt;1,(IF(Table13[[#This Row],[CODE]]=" ",D3&amp;"a",IF(Table13[[#This Row],[CODE]]&gt;0,Table13[[#This Row],[CODE]],0))),"")</f>
        <v>BKK.1</v>
      </c>
      <c r="E4" s="81" t="str">
        <f>IF(COPY!G2&gt;0,COPY!G2,"")</f>
        <v>Banner Untuk Rapat</v>
      </c>
      <c r="F4" s="84">
        <f>IF(COPY!J2&gt;0,COPY!J2,"")</f>
        <v>16</v>
      </c>
      <c r="G4" s="85" t="str">
        <f>IF(COPY!H2&gt;0,COPY!H2,"")</f>
        <v>m</v>
      </c>
      <c r="H4" s="85">
        <f>IF(COPY!I2&gt;0,COPY!I2,"")</f>
        <v>17000</v>
      </c>
      <c r="I4" s="85">
        <f>IF(COPY!M2&gt;0,COPY!M2,"")</f>
        <v>272000</v>
      </c>
      <c r="J4" s="85">
        <f>IF(COPY!N2&gt;0,COPY!N2,"")</f>
        <v>1067000</v>
      </c>
      <c r="K4" s="86">
        <f>IF(N4=0,(IF(LEFT(Table13[[#This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Row],[URAIAN]],$U$194:$V$210,2,FALSE),""),""),0))))),N4)</f>
        <v>0</v>
      </c>
      <c r="L4" s="85" t="str">
        <f>IF(Table13[[#This Row],[Column2]]="KWITANSI",COUNTIF($K$4:K4,"KWITANSI")," ")</f>
        <v xml:space="preserve"> </v>
      </c>
      <c r="M4" s="85" t="str">
        <f>IF(Table13[[#This Row],[Column3]]=" "," ",Table13[[#This Row],[CODE]])</f>
        <v xml:space="preserve"> </v>
      </c>
      <c r="N4" s="368"/>
      <c r="O4" s="81">
        <f>MAX(Table13[Column3])</f>
        <v>10</v>
      </c>
      <c r="P4" s="81">
        <f t="shared" si="0"/>
        <v>4</v>
      </c>
    </row>
    <row r="5" spans="1:16" x14ac:dyDescent="0.15">
      <c r="A5" s="81" t="str">
        <f>COPY!O3</f>
        <v/>
      </c>
      <c r="B5" s="81">
        <f>COPY!C3</f>
        <v>1</v>
      </c>
      <c r="C5" s="82" t="str">
        <f>COPY!D3</f>
        <v/>
      </c>
      <c r="D5" s="81" t="str">
        <f>IF(Table13[[#This Row],[JUMLAH]]&gt;1,(IF(Table13[[#This Row],[CODE]]=" ",D4&amp;"a",IF(Table13[[#This Row],[CODE]]&gt;0,Table13[[#This Row],[CODE]],0))),"")</f>
        <v/>
      </c>
      <c r="E5" s="81" t="str">
        <f>IF(COPY!G3&gt;0,COPY!G3,"")</f>
        <v>Cetak A3 HVS 70 Grm</v>
      </c>
      <c r="F5" s="84">
        <f>IF(COPY!J3&gt;0,COPY!J3,"")</f>
        <v>26</v>
      </c>
      <c r="G5" s="85" t="str">
        <f>IF(COPY!H3&gt;0,COPY!H3,"")</f>
        <v>Lbr</v>
      </c>
      <c r="H5" s="85">
        <f>IF(COPY!I3&gt;0,COPY!I3,"")</f>
        <v>3500</v>
      </c>
      <c r="I5" s="85">
        <f>IF(COPY!M3&gt;0,COPY!M3,"")</f>
        <v>91000</v>
      </c>
      <c r="J5" s="85" t="str">
        <f>IF(COPY!N3&gt;0,COPY!N3,"")</f>
        <v/>
      </c>
      <c r="K5" s="86" t="str">
        <f>IF(N5=0,(IF(LEFT(Table13[[#This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Row],[URAIAN]],$U$194:$V$210,2,FALSE),""),""),0))))),N5)</f>
        <v/>
      </c>
      <c r="L5" s="85" t="str">
        <f>IF(Table13[[#This Row],[Column2]]="KWITANSI",COUNTIF($K$4:K5,"KWITANSI")," ")</f>
        <v xml:space="preserve"> </v>
      </c>
      <c r="M5" s="85" t="str">
        <f>IF(Table13[[#This Row],[Column3]]=" "," ",Table13[[#This Row],[CODE]])</f>
        <v xml:space="preserve"> </v>
      </c>
      <c r="N5" s="368"/>
      <c r="P5" s="81">
        <f t="shared" si="0"/>
        <v>5</v>
      </c>
    </row>
    <row r="6" spans="1:16" x14ac:dyDescent="0.15">
      <c r="A6" s="81" t="str">
        <f>COPY!O4</f>
        <v/>
      </c>
      <c r="B6" s="81">
        <f>COPY!C4</f>
        <v>1</v>
      </c>
      <c r="C6" s="82" t="str">
        <f>COPY!D4</f>
        <v/>
      </c>
      <c r="D6" s="81" t="str">
        <f>IF(Table13[[#This Row],[JUMLAH]]&gt;1,(IF(Table13[[#This Row],[CODE]]=" ",D5&amp;"a",IF(Table13[[#This Row],[CODE]]&gt;0,Table13[[#This Row],[CODE]],0))),"")</f>
        <v/>
      </c>
      <c r="E6" s="81" t="str">
        <f>IF(COPY!G4&gt;0,COPY!G4,"")</f>
        <v>Cetak Gambar A3 Ap 120 Grm</v>
      </c>
      <c r="F6" s="84">
        <f>IF(COPY!J4&gt;0,COPY!J4,"")</f>
        <v>26</v>
      </c>
      <c r="G6" s="85" t="str">
        <f>IF(COPY!H4&gt;0,COPY!H4,"")</f>
        <v>Lbr</v>
      </c>
      <c r="H6" s="85">
        <f>IF(COPY!I4&gt;0,COPY!I4,"")</f>
        <v>4000</v>
      </c>
      <c r="I6" s="85">
        <f>IF(COPY!M4&gt;0,COPY!M4,"")</f>
        <v>104000</v>
      </c>
      <c r="J6" s="85" t="str">
        <f>IF(COPY!N4&gt;0,COPY!N4,"")</f>
        <v/>
      </c>
      <c r="K6" s="86" t="str">
        <f>IF(N6=0,(IF(LEFT(Table13[[#This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Row],[URAIAN]],$U$194:$V$210,2,FALSE),""),""),0))))),N6)</f>
        <v/>
      </c>
      <c r="L6" s="85" t="str">
        <f>IF(Table13[[#This Row],[Column2]]="KWITANSI",COUNTIF($K$4:K6,"KWITANSI")," ")</f>
        <v xml:space="preserve"> </v>
      </c>
      <c r="M6" s="85" t="str">
        <f>IF(Table13[[#This Row],[Column3]]=" "," ",Table13[[#This Row],[CODE]])</f>
        <v xml:space="preserve"> </v>
      </c>
      <c r="N6" s="368"/>
      <c r="P6" s="81">
        <f t="shared" si="0"/>
        <v>6</v>
      </c>
    </row>
    <row r="7" spans="1:16" x14ac:dyDescent="0.15">
      <c r="A7" s="81" t="str">
        <f>COPY!O5</f>
        <v/>
      </c>
      <c r="B7" s="81">
        <f>COPY!C5</f>
        <v>1</v>
      </c>
      <c r="C7" s="82" t="str">
        <f>COPY!D5</f>
        <v/>
      </c>
      <c r="D7" s="81" t="str">
        <f>IF(Table13[[#This Row],[JUMLAH]]&gt;1,(IF(Table13[[#This Row],[CODE]]=" ",D6&amp;"a",IF(Table13[[#This Row],[CODE]]&gt;0,Table13[[#This Row],[CODE]],0))),"")</f>
        <v/>
      </c>
      <c r="E7" s="81" t="str">
        <f>IF(COPY!G5&gt;0,COPY!G5,"")</f>
        <v>Kosumsi Rapat Awal Pekerjaan</v>
      </c>
      <c r="F7" s="84">
        <f>IF(COPY!J5&gt;0,COPY!J5,"")</f>
        <v>10</v>
      </c>
      <c r="G7" s="85" t="str">
        <f>IF(COPY!H5&gt;0,COPY!H5,"")</f>
        <v>Bks</v>
      </c>
      <c r="H7" s="85">
        <f>IF(COPY!I5&gt;0,COPY!I5,"")</f>
        <v>30000</v>
      </c>
      <c r="I7" s="85">
        <f>IF(COPY!M5&gt;0,COPY!M5,"")</f>
        <v>300000</v>
      </c>
      <c r="J7" s="85" t="str">
        <f>IF(COPY!N5&gt;0,COPY!N5,"")</f>
        <v/>
      </c>
      <c r="K7" s="86" t="str">
        <f>IF(N7=0,(IF(LEFT(Table13[[#This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Row],[URAIAN]],$U$194:$V$210,2,FALSE),""),""),0))))),N7)</f>
        <v/>
      </c>
      <c r="L7" s="85" t="str">
        <f>IF(Table13[[#This Row],[Column2]]="KWITANSI",COUNTIF($K$4:K7,"KWITANSI")," ")</f>
        <v xml:space="preserve"> </v>
      </c>
      <c r="M7" s="85" t="str">
        <f>IF(Table13[[#This Row],[Column3]]=" "," ",Table13[[#This Row],[CODE]])</f>
        <v xml:space="preserve"> </v>
      </c>
      <c r="N7" s="368"/>
      <c r="P7" s="81">
        <f t="shared" si="0"/>
        <v>7</v>
      </c>
    </row>
    <row r="8" spans="1:16" x14ac:dyDescent="0.15">
      <c r="A8" s="81" t="str">
        <f>COPY!O6</f>
        <v/>
      </c>
      <c r="B8" s="81">
        <f>COPY!C6</f>
        <v>1</v>
      </c>
      <c r="C8" s="82" t="str">
        <f>COPY!D6</f>
        <v/>
      </c>
      <c r="D8" s="81" t="str">
        <f>IF(Table13[[#This Row],[JUMLAH]]&gt;1,(IF(Table13[[#This Row],[CODE]]=" ",D7&amp;"a",IF(Table13[[#This Row],[CODE]]&gt;0,Table13[[#This Row],[CODE]],0))),"")</f>
        <v/>
      </c>
      <c r="E8" s="81" t="str">
        <f>IF(COPY!G6&gt;0,COPY!G6,"")</f>
        <v>Biaya Perjalanan Rapat Ke dinas Pendidikan</v>
      </c>
      <c r="F8" s="84">
        <f>IF(COPY!J6&gt;0,COPY!J6,"")</f>
        <v>1</v>
      </c>
      <c r="G8" s="85" t="str">
        <f>IF(COPY!H6&gt;0,COPY!H6,"")</f>
        <v>Ls</v>
      </c>
      <c r="H8" s="85">
        <f>IF(COPY!I6&gt;0,COPY!I6,"")</f>
        <v>300000</v>
      </c>
      <c r="I8" s="85">
        <f>IF(COPY!M6&gt;0,COPY!M6,"")</f>
        <v>300000</v>
      </c>
      <c r="J8" s="85" t="str">
        <f>IF(COPY!N6&gt;0,COPY!N6,"")</f>
        <v/>
      </c>
      <c r="K8" s="86" t="str">
        <f>IF(N8=0,(IF(LEFT(Table13[[#This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Row],[URAIAN]],$U$194:$V$210,2,FALSE),""),""),0))))),N8)</f>
        <v/>
      </c>
      <c r="L8" s="85" t="str">
        <f>IF(Table13[[#This Row],[Column2]]="KWITANSI",COUNTIF($K$4:K8,"KWITANSI")," ")</f>
        <v xml:space="preserve"> </v>
      </c>
      <c r="M8" s="85" t="str">
        <f>IF(Table13[[#This Row],[Column3]]=" "," ",Table13[[#This Row],[CODE]])</f>
        <v xml:space="preserve"> </v>
      </c>
      <c r="N8" s="368"/>
      <c r="P8" s="81">
        <f t="shared" si="0"/>
        <v>8</v>
      </c>
    </row>
    <row r="9" spans="1:16" x14ac:dyDescent="0.15">
      <c r="A9" s="81" t="str">
        <f>COPY!O7</f>
        <v>BKK.2</v>
      </c>
      <c r="B9" s="81">
        <f>COPY!C7</f>
        <v>1</v>
      </c>
      <c r="C9" s="82">
        <f>COPY!D7</f>
        <v>45902</v>
      </c>
      <c r="D9" s="81" t="str">
        <f>IF(Table13[[#This Row],[JUMLAH]]&gt;1,(IF(Table13[[#This Row],[CODE]]=" ",D8&amp;"a",IF(Table13[[#This Row],[CODE]]&gt;0,Table13[[#This Row],[CODE]],0))),"")</f>
        <v>BKK.2</v>
      </c>
      <c r="E9" s="81" t="str">
        <f>IF(COPY!G7&gt;0,COPY!G7,"")</f>
        <v>Gancu   Doran</v>
      </c>
      <c r="F9" s="84">
        <f>IF(COPY!J7&gt;0,COPY!J7,"")</f>
        <v>2</v>
      </c>
      <c r="G9" s="85" t="str">
        <f>IF(COPY!H7&gt;0,COPY!H7,"")</f>
        <v>Pcs</v>
      </c>
      <c r="H9" s="85">
        <f>IF(COPY!I7&gt;0,COPY!I7,"")</f>
        <v>230000</v>
      </c>
      <c r="I9" s="85">
        <f>IF(COPY!M7&gt;0,COPY!M7,"")</f>
        <v>460000</v>
      </c>
      <c r="J9" s="85">
        <f>IF(COPY!N7&gt;0,COPY!N7,"")</f>
        <v>1686000</v>
      </c>
      <c r="K9" s="86">
        <f>IF(N9=0,(IF(LEFT(Table13[[#This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Row],[URAIAN]],$U$194:$V$210,2,FALSE),""),""),0))))),N9)</f>
        <v>0</v>
      </c>
      <c r="L9" s="85" t="str">
        <f>IF(Table13[[#This Row],[Column2]]="KWITANSI",COUNTIF($K$4:K9,"KWITANSI")," ")</f>
        <v xml:space="preserve"> </v>
      </c>
      <c r="M9" s="85" t="str">
        <f>IF(Table13[[#This Row],[Column3]]=" "," ",Table13[[#This Row],[CODE]])</f>
        <v xml:space="preserve"> </v>
      </c>
      <c r="N9" s="368"/>
      <c r="P9" s="81">
        <f t="shared" si="0"/>
        <v>9</v>
      </c>
    </row>
    <row r="10" spans="1:16" x14ac:dyDescent="0.15">
      <c r="A10" s="81" t="str">
        <f>COPY!O8</f>
        <v/>
      </c>
      <c r="B10" s="81">
        <f>COPY!C8</f>
        <v>1</v>
      </c>
      <c r="C10" s="82" t="str">
        <f>COPY!D8</f>
        <v/>
      </c>
      <c r="D10" s="81" t="str">
        <f>IF(Table13[[#This Row],[JUMLAH]]&gt;1,(IF(Table13[[#This Row],[CODE]]=" ",D9&amp;"a",IF(Table13[[#This Row],[CODE]]&gt;0,Table13[[#This Row],[CODE]],0))),"")</f>
        <v/>
      </c>
      <c r="E10" s="81" t="str">
        <f>IF(COPY!G8&gt;0,COPY!G8,"")</f>
        <v>Garuk Besar</v>
      </c>
      <c r="F10" s="84">
        <f>IF(COPY!J8&gt;0,COPY!J8,"")</f>
        <v>1</v>
      </c>
      <c r="G10" s="85" t="str">
        <f>IF(COPY!H8&gt;0,COPY!H8,"")</f>
        <v>Pcs</v>
      </c>
      <c r="H10" s="85">
        <f>IF(COPY!I8&gt;0,COPY!I8,"")</f>
        <v>25000</v>
      </c>
      <c r="I10" s="85">
        <f>IF(COPY!M8&gt;0,COPY!M8,"")</f>
        <v>25000</v>
      </c>
      <c r="J10" s="85" t="str">
        <f>IF(COPY!N8&gt;0,COPY!N8,"")</f>
        <v/>
      </c>
      <c r="K10" s="86" t="str">
        <f>IF(N10=0,(IF(LEFT(Table13[[#This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Row],[URAIAN]],$U$194:$V$210,2,FALSE),""),""),0))))),N10)</f>
        <v/>
      </c>
      <c r="L10" s="85" t="str">
        <f>IF(Table13[[#This Row],[Column2]]="KWITANSI",COUNTIF($K$4:K10,"KWITANSI")," ")</f>
        <v xml:space="preserve"> </v>
      </c>
      <c r="M10" s="85" t="str">
        <f>IF(Table13[[#This Row],[Column3]]=" "," ",Table13[[#This Row],[CODE]])</f>
        <v xml:space="preserve"> </v>
      </c>
      <c r="N10" s="368"/>
      <c r="P10" s="81">
        <f t="shared" si="0"/>
        <v>10</v>
      </c>
    </row>
    <row r="11" spans="1:16" x14ac:dyDescent="0.15">
      <c r="A11" s="81" t="str">
        <f>COPY!O9</f>
        <v/>
      </c>
      <c r="B11" s="81">
        <f>COPY!C9</f>
        <v>1</v>
      </c>
      <c r="C11" s="82" t="str">
        <f>COPY!D9</f>
        <v/>
      </c>
      <c r="D11" s="81" t="str">
        <f>IF(Table13[[#This Row],[JUMLAH]]&gt;1,(IF(Table13[[#This Row],[CODE]]=" ",D10&amp;"a",IF(Table13[[#This Row],[CODE]]&gt;0,Table13[[#This Row],[CODE]],0))),"")</f>
        <v/>
      </c>
      <c r="E11" s="81" t="str">
        <f>IF(COPY!G9&gt;0,COPY!G9,"")</f>
        <v>Meteran Biasa 7.5 M</v>
      </c>
      <c r="F11" s="84">
        <f>IF(COPY!J9&gt;0,COPY!J9,"")</f>
        <v>1</v>
      </c>
      <c r="G11" s="85" t="str">
        <f>IF(COPY!H9&gt;0,COPY!H9,"")</f>
        <v>Pcs</v>
      </c>
      <c r="H11" s="85">
        <f>IF(COPY!I9&gt;0,COPY!I9,"")</f>
        <v>20000</v>
      </c>
      <c r="I11" s="85">
        <f>IF(COPY!M9&gt;0,COPY!M9,"")</f>
        <v>20000</v>
      </c>
      <c r="J11" s="85" t="str">
        <f>IF(COPY!N9&gt;0,COPY!N9,"")</f>
        <v/>
      </c>
      <c r="K11" s="86" t="str">
        <f>IF(N11=0,(IF(LEFT(Table13[[#This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Row],[URAIAN]],$U$194:$V$210,2,FALSE),""),""),0))))),N11)</f>
        <v/>
      </c>
      <c r="L11" s="85" t="str">
        <f>IF(Table13[[#This Row],[Column2]]="KWITANSI",COUNTIF($K$4:K11,"KWITANSI")," ")</f>
        <v xml:space="preserve"> </v>
      </c>
      <c r="M11" s="85" t="str">
        <f>IF(Table13[[#This Row],[Column3]]=" "," ",Table13[[#This Row],[CODE]])</f>
        <v xml:space="preserve"> </v>
      </c>
      <c r="N11" s="368"/>
      <c r="P11" s="81" t="str">
        <f t="shared" si="0"/>
        <v/>
      </c>
    </row>
    <row r="12" spans="1:16" x14ac:dyDescent="0.15">
      <c r="A12" s="81" t="str">
        <f>COPY!O10</f>
        <v/>
      </c>
      <c r="B12" s="81">
        <f>COPY!C10</f>
        <v>1</v>
      </c>
      <c r="C12" s="82" t="str">
        <f>COPY!D10</f>
        <v/>
      </c>
      <c r="D12" s="81" t="str">
        <f>IF(Table13[[#This Row],[JUMLAH]]&gt;1,(IF(Table13[[#This Row],[CODE]]=" ",D11&amp;"a",IF(Table13[[#This Row],[CODE]]&gt;0,Table13[[#This Row],[CODE]],0))),"")</f>
        <v/>
      </c>
      <c r="E12" s="81" t="str">
        <f>IF(COPY!G10&gt;0,COPY!G10,"")</f>
        <v>Skrop Pasir Full Besi Crocodile</v>
      </c>
      <c r="F12" s="84">
        <f>IF(COPY!J10&gt;0,COPY!J10,"")</f>
        <v>2</v>
      </c>
      <c r="G12" s="85" t="str">
        <f>IF(COPY!H10&gt;0,COPY!H10,"")</f>
        <v>Pcs</v>
      </c>
      <c r="H12" s="85">
        <f>IF(COPY!I10&gt;0,COPY!I10,"")</f>
        <v>55000</v>
      </c>
      <c r="I12" s="85">
        <f>IF(COPY!M10&gt;0,COPY!M10,"")</f>
        <v>110000</v>
      </c>
      <c r="J12" s="85" t="str">
        <f>IF(COPY!N10&gt;0,COPY!N10,"")</f>
        <v/>
      </c>
      <c r="K12" s="86" t="str">
        <f>IF(N12=0,(IF(LEFT(Table13[[#This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Row],[URAIAN]],$U$194:$V$210,2,FALSE),""),""),0))))),N12)</f>
        <v/>
      </c>
      <c r="L12" s="85" t="str">
        <f>IF(Table13[[#This Row],[Column2]]="KWITANSI",COUNTIF($K$4:K12,"KWITANSI")," ")</f>
        <v xml:space="preserve"> </v>
      </c>
      <c r="M12" s="85" t="str">
        <f>IF(Table13[[#This Row],[Column3]]=" "," ",Table13[[#This Row],[CODE]])</f>
        <v xml:space="preserve"> </v>
      </c>
      <c r="N12" s="368"/>
      <c r="P12" s="81" t="str">
        <f t="shared" si="0"/>
        <v/>
      </c>
    </row>
    <row r="13" spans="1:16" x14ac:dyDescent="0.15">
      <c r="A13" s="81" t="str">
        <f>COPY!O11</f>
        <v/>
      </c>
      <c r="B13" s="81">
        <f>COPY!C11</f>
        <v>1</v>
      </c>
      <c r="C13" s="82" t="str">
        <f>COPY!D11</f>
        <v/>
      </c>
      <c r="D13" s="81" t="str">
        <f>IF(Table13[[#This Row],[JUMLAH]]&gt;1,(IF(Table13[[#This Row],[CODE]]=" ",D12&amp;"a",IF(Table13[[#This Row],[CODE]]&gt;0,Table13[[#This Row],[CODE]],0))),"")</f>
        <v/>
      </c>
      <c r="E13" s="81" t="str">
        <f>IF(COPY!G11&gt;0,COPY!G11,"")</f>
        <v>Benang Tampar Kuning</v>
      </c>
      <c r="F13" s="84">
        <f>IF(COPY!J11&gt;0,COPY!J11,"")</f>
        <v>3</v>
      </c>
      <c r="G13" s="85" t="str">
        <f>IF(COPY!H11&gt;0,COPY!H11,"")</f>
        <v>Pcs</v>
      </c>
      <c r="H13" s="85">
        <f>IF(COPY!I11&gt;0,COPY!I11,"")</f>
        <v>5000</v>
      </c>
      <c r="I13" s="85">
        <f>IF(COPY!M11&gt;0,COPY!M11,"")</f>
        <v>15000</v>
      </c>
      <c r="J13" s="85" t="str">
        <f>IF(COPY!N11&gt;0,COPY!N11,"")</f>
        <v/>
      </c>
      <c r="K13" s="86" t="str">
        <f>IF(N13=0,(IF(LEFT(Table13[[#This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Row],[URAIAN]],$U$194:$V$210,2,FALSE),""),""),0))))),N13)</f>
        <v/>
      </c>
      <c r="L13" s="85" t="str">
        <f>IF(Table13[[#This Row],[Column2]]="KWITANSI",COUNTIF($K$4:K13,"KWITANSI")," ")</f>
        <v xml:space="preserve"> </v>
      </c>
      <c r="M13" s="85" t="str">
        <f>IF(Table13[[#This Row],[Column3]]=" "," ",Table13[[#This Row],[CODE]])</f>
        <v xml:space="preserve"> </v>
      </c>
      <c r="N13" s="368"/>
      <c r="P13" s="81" t="str">
        <f t="shared" si="0"/>
        <v/>
      </c>
    </row>
    <row r="14" spans="1:16" x14ac:dyDescent="0.15">
      <c r="A14" s="81" t="str">
        <f>COPY!O12</f>
        <v/>
      </c>
      <c r="B14" s="81">
        <f>COPY!C12</f>
        <v>1</v>
      </c>
      <c r="C14" s="82" t="str">
        <f>COPY!D12</f>
        <v/>
      </c>
      <c r="D14" s="81" t="str">
        <f>IF(Table13[[#This Row],[JUMLAH]]&gt;1,(IF(Table13[[#This Row],[CODE]]=" ",D13&amp;"a",IF(Table13[[#This Row],[CODE]]&gt;0,Table13[[#This Row],[CODE]],0))),"")</f>
        <v/>
      </c>
      <c r="E14" s="81" t="str">
        <f>IF(COPY!G12&gt;0,COPY!G12,"")</f>
        <v>Paku 1 1/2</v>
      </c>
      <c r="F14" s="84">
        <f>IF(COPY!J12&gt;0,COPY!J12,"")</f>
        <v>1</v>
      </c>
      <c r="G14" s="85" t="str">
        <f>IF(COPY!H12&gt;0,COPY!H12,"")</f>
        <v>kg</v>
      </c>
      <c r="H14" s="85">
        <f>IF(COPY!I12&gt;0,COPY!I12,"")</f>
        <v>20000</v>
      </c>
      <c r="I14" s="85">
        <f>IF(COPY!M12&gt;0,COPY!M12,"")</f>
        <v>20000</v>
      </c>
      <c r="J14" s="85" t="str">
        <f>IF(COPY!N12&gt;0,COPY!N12,"")</f>
        <v/>
      </c>
      <c r="K14" s="86" t="str">
        <f>IF(N14=0,(IF(LEFT(Table13[[#This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Row],[URAIAN]],$U$194:$V$210,2,FALSE),""),""),0))))),N14)</f>
        <v/>
      </c>
      <c r="L14" s="85" t="str">
        <f>IF(Table13[[#This Row],[Column2]]="KWITANSI",COUNTIF($K$4:K14,"KWITANSI")," ")</f>
        <v xml:space="preserve"> </v>
      </c>
      <c r="M14" s="85" t="str">
        <f>IF(Table13[[#This Row],[Column3]]=" "," ",Table13[[#This Row],[CODE]])</f>
        <v xml:space="preserve"> </v>
      </c>
      <c r="N14" s="368"/>
      <c r="P14" s="81" t="str">
        <f t="shared" si="0"/>
        <v/>
      </c>
    </row>
    <row r="15" spans="1:16" x14ac:dyDescent="0.15">
      <c r="A15" s="81" t="str">
        <f>COPY!O13</f>
        <v/>
      </c>
      <c r="B15" s="81">
        <f>COPY!C13</f>
        <v>1</v>
      </c>
      <c r="C15" s="82" t="str">
        <f>COPY!D13</f>
        <v/>
      </c>
      <c r="D15" s="81" t="str">
        <f>IF(Table13[[#This Row],[JUMLAH]]&gt;1,(IF(Table13[[#This Row],[CODE]]=" ",D14&amp;"a",IF(Table13[[#This Row],[CODE]]&gt;0,Table13[[#This Row],[CODE]],0))),"")</f>
        <v/>
      </c>
      <c r="E15" s="81" t="str">
        <f>IF(COPY!G13&gt;0,COPY!G13,"")</f>
        <v>Paku 2</v>
      </c>
      <c r="F15" s="87">
        <f>IF(COPY!J13&gt;0,COPY!J13,"")</f>
        <v>2</v>
      </c>
      <c r="G15" s="85" t="str">
        <f>IF(COPY!H13&gt;0,COPY!H13,"")</f>
        <v>kg</v>
      </c>
      <c r="H15" s="85">
        <f>IF(COPY!I13&gt;0,COPY!I13,"")</f>
        <v>18000</v>
      </c>
      <c r="I15" s="85">
        <f>IF(COPY!M13&gt;0,COPY!M13,"")</f>
        <v>36000</v>
      </c>
      <c r="J15" s="85" t="str">
        <f>IF(COPY!N13&gt;0,COPY!N13,"")</f>
        <v/>
      </c>
      <c r="K15" s="86" t="str">
        <f>IF(N15=0,(IF(LEFT(Table13[[#This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Row],[URAIAN]],$U$194:$V$210,2,FALSE),""),""),0))))),N15)</f>
        <v/>
      </c>
      <c r="L15" s="85" t="str">
        <f>IF(Table13[[#This Row],[Column2]]="KWITANSI",COUNTIF($K$4:K15,"KWITANSI")," ")</f>
        <v xml:space="preserve"> </v>
      </c>
      <c r="M15" s="85" t="str">
        <f>IF(Table13[[#This Row],[Column3]]=" "," ",Table13[[#This Row],[CODE]])</f>
        <v xml:space="preserve"> </v>
      </c>
      <c r="N15" s="368"/>
      <c r="P15" s="81" t="str">
        <f t="shared" si="0"/>
        <v/>
      </c>
    </row>
    <row r="16" spans="1:16" x14ac:dyDescent="0.15">
      <c r="A16" s="81" t="str">
        <f>COPY!O14</f>
        <v/>
      </c>
      <c r="B16" s="81">
        <f>COPY!C14</f>
        <v>1</v>
      </c>
      <c r="C16" s="82" t="str">
        <f>COPY!D14</f>
        <v/>
      </c>
      <c r="D16" s="81" t="str">
        <f>IF(Table13[[#This Row],[JUMLAH]]&gt;1,(IF(Table13[[#This Row],[CODE]]=" ",D15&amp;"a",IF(Table13[[#This Row],[CODE]]&gt;0,Table13[[#This Row],[CODE]],0))),"")</f>
        <v/>
      </c>
      <c r="E16" s="81" t="str">
        <f>IF(COPY!G14&gt;0,COPY!G14,"")</f>
        <v>Kayu Usuk 4 X 6 - 4M</v>
      </c>
      <c r="F16" s="88">
        <f>IF(COPY!J14&gt;0,COPY!J14,"")</f>
        <v>2</v>
      </c>
      <c r="G16" s="85" t="str">
        <f>IF(COPY!H14&gt;0,COPY!H14,"")</f>
        <v>pak</v>
      </c>
      <c r="H16" s="85">
        <f>IF(COPY!I14&gt;0,COPY!I14,"")</f>
        <v>200000</v>
      </c>
      <c r="I16" s="85">
        <f>IF(COPY!M14&gt;0,COPY!M14,"")</f>
        <v>400000</v>
      </c>
      <c r="J16" s="85" t="str">
        <f>IF(COPY!N14&gt;0,COPY!N14,"")</f>
        <v/>
      </c>
      <c r="K16" s="86" t="str">
        <f>IF(N16=0,(IF(LEFT(Table13[[#This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Row],[URAIAN]],$U$194:$V$210,2,FALSE),""),""),0))))),N16)</f>
        <v/>
      </c>
      <c r="L16" s="85" t="str">
        <f>IF(Table13[[#This Row],[Column2]]="KWITANSI",COUNTIF($K$4:K16,"KWITANSI")," ")</f>
        <v xml:space="preserve"> </v>
      </c>
      <c r="M16" s="85" t="str">
        <f>IF(Table13[[#This Row],[Column3]]=" "," ",Table13[[#This Row],[CODE]])</f>
        <v xml:space="preserve"> </v>
      </c>
      <c r="N16" s="368"/>
      <c r="P16" s="81" t="str">
        <f t="shared" si="0"/>
        <v/>
      </c>
    </row>
    <row r="17" spans="1:16" x14ac:dyDescent="0.15">
      <c r="A17" s="81" t="str">
        <f>COPY!O15</f>
        <v/>
      </c>
      <c r="B17" s="81">
        <f>COPY!C15</f>
        <v>1</v>
      </c>
      <c r="C17" s="82" t="str">
        <f>COPY!D15</f>
        <v/>
      </c>
      <c r="D17" s="81" t="str">
        <f>IF(Table13[[#This Row],[JUMLAH]]&gt;1,(IF(Table13[[#This Row],[CODE]]=" ",D16&amp;"a",IF(Table13[[#This Row],[CODE]]&gt;0,Table13[[#This Row],[CODE]],0))),"")</f>
        <v/>
      </c>
      <c r="E17" s="81" t="str">
        <f>IF(COPY!G15&gt;0,COPY!G15,"")</f>
        <v>Kayu Usuk 4X6 Kembang Super</v>
      </c>
      <c r="F17" s="88">
        <f>IF(COPY!J15&gt;0,COPY!J15,"")</f>
        <v>2</v>
      </c>
      <c r="G17" s="85" t="str">
        <f>IF(COPY!H15&gt;0,COPY!H15,"")</f>
        <v>pak</v>
      </c>
      <c r="H17" s="85">
        <f>IF(COPY!I15&gt;0,COPY!I15,"")</f>
        <v>300000</v>
      </c>
      <c r="I17" s="85">
        <f>IF(COPY!M15&gt;0,COPY!M15,"")</f>
        <v>600000</v>
      </c>
      <c r="J17" s="85" t="str">
        <f>IF(COPY!N15&gt;0,COPY!N15,"")</f>
        <v/>
      </c>
      <c r="K17" s="86" t="str">
        <f>IF(N17=0,(IF(LEFT(Table13[[#This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Row],[URAIAN]],$U$194:$V$210,2,FALSE),""),""),0))))),N17)</f>
        <v/>
      </c>
      <c r="L17" s="85" t="str">
        <f>IF(Table13[[#This Row],[Column2]]="KWITANSI",COUNTIF($K$4:K17,"KWITANSI")," ")</f>
        <v xml:space="preserve"> </v>
      </c>
      <c r="M17" s="85" t="str">
        <f>IF(Table13[[#This Row],[Column3]]=" "," ",Table13[[#This Row],[CODE]])</f>
        <v xml:space="preserve"> </v>
      </c>
      <c r="N17" s="368"/>
      <c r="P17" s="81" t="str">
        <f t="shared" si="0"/>
        <v/>
      </c>
    </row>
    <row r="18" spans="1:16" x14ac:dyDescent="0.15">
      <c r="A18" s="81" t="str">
        <f>COPY!O16</f>
        <v>BKK.3</v>
      </c>
      <c r="B18" s="81">
        <f>COPY!C16</f>
        <v>1</v>
      </c>
      <c r="C18" s="82">
        <f>COPY!D16</f>
        <v>45902</v>
      </c>
      <c r="D18" s="81" t="str">
        <f>IF(Table13[[#This Row],[JUMLAH]]&gt;1,(IF(Table13[[#This Row],[CODE]]=" ",D17&amp;"a",IF(Table13[[#This Row],[CODE]]&gt;0,Table13[[#This Row],[CODE]],0))),"")</f>
        <v>BKK.3</v>
      </c>
      <c r="E18" s="81" t="str">
        <f>IF(COPY!G16&gt;0,COPY!G16,"")</f>
        <v>Kertas Sidu A4 70 grm</v>
      </c>
      <c r="F18" s="88">
        <f>IF(COPY!J16&gt;0,COPY!J16,"")</f>
        <v>1</v>
      </c>
      <c r="G18" s="85" t="str">
        <f>IF(COPY!H16&gt;0,COPY!H16,"")</f>
        <v>Rim</v>
      </c>
      <c r="H18" s="85">
        <f>IF(COPY!I16&gt;0,COPY!I16,"")</f>
        <v>50000</v>
      </c>
      <c r="I18" s="85">
        <f>IF(COPY!M16&gt;0,COPY!M16,"")</f>
        <v>50000</v>
      </c>
      <c r="J18" s="85">
        <f>IF(COPY!N16&gt;0,COPY!N16,"")</f>
        <v>401000</v>
      </c>
      <c r="K18" s="86">
        <f>IF(N18=0,(IF(LEFT(Table13[[#This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Row],[URAIAN]],$U$194:$V$210,2,FALSE),""),""),0))))),N18)</f>
        <v>0</v>
      </c>
      <c r="L18" s="85" t="str">
        <f>IF(Table13[[#This Row],[Column2]]="KWITANSI",COUNTIF($K$4:K18,"KWITANSI")," ")</f>
        <v xml:space="preserve"> </v>
      </c>
      <c r="M18" s="85" t="str">
        <f>IF(Table13[[#This Row],[Column3]]=" "," ",Table13[[#This Row],[CODE]])</f>
        <v xml:space="preserve"> </v>
      </c>
      <c r="N18" s="368"/>
      <c r="P18" s="81" t="str">
        <f t="shared" si="0"/>
        <v/>
      </c>
    </row>
    <row r="19" spans="1:16" x14ac:dyDescent="0.15">
      <c r="A19" s="81" t="str">
        <f>COPY!O17</f>
        <v/>
      </c>
      <c r="B19" s="81">
        <f>COPY!C17</f>
        <v>1</v>
      </c>
      <c r="C19" s="82" t="str">
        <f>COPY!D17</f>
        <v/>
      </c>
      <c r="D19" s="81" t="str">
        <f>IF(Table13[[#This Row],[JUMLAH]]&gt;1,(IF(Table13[[#This Row],[CODE]]=" ",D18&amp;"a",IF(Table13[[#This Row],[CODE]]&gt;0,Table13[[#This Row],[CODE]],0))),"")</f>
        <v/>
      </c>
      <c r="E19" s="81" t="str">
        <f>IF(COPY!G17&gt;0,COPY!G17,"")</f>
        <v>Kertas Sidu F4 70 grm</v>
      </c>
      <c r="F19" s="88">
        <f>IF(COPY!J17&gt;0,COPY!J17,"")</f>
        <v>1</v>
      </c>
      <c r="G19" s="85" t="str">
        <f>IF(COPY!H17&gt;0,COPY!H17,"")</f>
        <v>Rim</v>
      </c>
      <c r="H19" s="85">
        <f>IF(COPY!I17&gt;0,COPY!I17,"")</f>
        <v>58000</v>
      </c>
      <c r="I19" s="85">
        <f>IF(COPY!M17&gt;0,COPY!M17,"")</f>
        <v>58000</v>
      </c>
      <c r="J19" s="85" t="str">
        <f>IF(COPY!N17&gt;0,COPY!N17,"")</f>
        <v/>
      </c>
      <c r="K19" s="86" t="str">
        <f>IF(N19=0,(IF(LEFT(Table13[[#This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Row],[URAIAN]],$U$194:$V$210,2,FALSE),""),""),0))))),N19)</f>
        <v/>
      </c>
      <c r="L19" s="85" t="str">
        <f>IF(Table13[[#This Row],[Column2]]="KWITANSI",COUNTIF($K$4:K19,"KWITANSI")," ")</f>
        <v xml:space="preserve"> </v>
      </c>
      <c r="M19" s="85" t="str">
        <f>IF(Table13[[#This Row],[Column3]]=" "," ",Table13[[#This Row],[CODE]])</f>
        <v xml:space="preserve"> </v>
      </c>
      <c r="N19" s="368"/>
      <c r="P19" s="81" t="str">
        <f t="shared" si="0"/>
        <v/>
      </c>
    </row>
    <row r="20" spans="1:16" x14ac:dyDescent="0.15">
      <c r="A20" s="81" t="str">
        <f>COPY!O18</f>
        <v/>
      </c>
      <c r="B20" s="81">
        <f>COPY!C18</f>
        <v>1</v>
      </c>
      <c r="C20" s="82" t="str">
        <f>COPY!D18</f>
        <v/>
      </c>
      <c r="D20" s="81" t="str">
        <f>IF(Table13[[#This Row],[JUMLAH]]&gt;1,(IF(Table13[[#This Row],[CODE]]=" ",D19&amp;"a",IF(Table13[[#This Row],[CODE]]&gt;0,Table13[[#This Row],[CODE]],0))),"")</f>
        <v/>
      </c>
      <c r="E20" s="81" t="str">
        <f>IF(COPY!G18&gt;0,COPY!G18,"")</f>
        <v>Tinta Printer</v>
      </c>
      <c r="F20" s="88">
        <f>IF(COPY!J18&gt;0,COPY!J18,"")</f>
        <v>2</v>
      </c>
      <c r="G20" s="85" t="str">
        <f>IF(COPY!H18&gt;0,COPY!H18,"")</f>
        <v>Pcs</v>
      </c>
      <c r="H20" s="85">
        <f>IF(COPY!I18&gt;0,COPY!I18,"")</f>
        <v>100000</v>
      </c>
      <c r="I20" s="85">
        <f>IF(COPY!M18&gt;0,COPY!M18,"")</f>
        <v>200000</v>
      </c>
      <c r="J20" s="85" t="str">
        <f>IF(COPY!N18&gt;0,COPY!N18,"")</f>
        <v/>
      </c>
      <c r="K20" s="86" t="str">
        <f>IF(N20=0,(IF(LEFT(Table13[[#This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Row],[URAIAN]],$U$194:$V$210,2,FALSE),""),""),0))))),N20)</f>
        <v/>
      </c>
      <c r="L20" s="85" t="str">
        <f>IF(Table13[[#This Row],[Column2]]="KWITANSI",COUNTIF($K$4:K20,"KWITANSI")," ")</f>
        <v xml:space="preserve"> </v>
      </c>
      <c r="M20" s="85" t="str">
        <f>IF(Table13[[#This Row],[Column3]]=" "," ",Table13[[#This Row],[CODE]])</f>
        <v xml:space="preserve"> </v>
      </c>
      <c r="N20" s="368"/>
      <c r="P20" s="81" t="str">
        <f t="shared" si="0"/>
        <v/>
      </c>
    </row>
    <row r="21" spans="1:16" x14ac:dyDescent="0.15">
      <c r="A21" s="81" t="str">
        <f>COPY!O19</f>
        <v/>
      </c>
      <c r="B21" s="81">
        <f>COPY!C19</f>
        <v>1</v>
      </c>
      <c r="C21" s="82" t="str">
        <f>COPY!D19</f>
        <v/>
      </c>
      <c r="D21" s="81" t="str">
        <f>IF(Table13[[#This Row],[JUMLAH]]&gt;1,(IF(Table13[[#This Row],[CODE]]=" ",D20&amp;"a",IF(Table13[[#This Row],[CODE]]&gt;0,Table13[[#This Row],[CODE]],0))),"")</f>
        <v/>
      </c>
      <c r="E21" s="81" t="str">
        <f>IF(COPY!G19&gt;0,COPY!G19,"")</f>
        <v>Isolasi Bening</v>
      </c>
      <c r="F21" s="88">
        <f>IF(COPY!J19&gt;0,COPY!J19,"")</f>
        <v>2</v>
      </c>
      <c r="G21" s="85" t="str">
        <f>IF(COPY!H19&gt;0,COPY!H19,"")</f>
        <v>Pcs</v>
      </c>
      <c r="H21" s="85">
        <f>IF(COPY!I19&gt;0,COPY!I19,"")</f>
        <v>8000</v>
      </c>
      <c r="I21" s="85">
        <f>IF(COPY!M19&gt;0,COPY!M19,"")</f>
        <v>16000</v>
      </c>
      <c r="J21" s="85" t="str">
        <f>IF(COPY!N19&gt;0,COPY!N19,"")</f>
        <v/>
      </c>
      <c r="K21" s="86" t="str">
        <f>IF(N21=0,(IF(LEFT(Table13[[#This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Row],[URAIAN]],$U$194:$V$210,2,FALSE),""),""),0))))),N21)</f>
        <v/>
      </c>
      <c r="L21" s="85" t="str">
        <f>IF(Table13[[#This Row],[Column2]]="KWITANSI",COUNTIF($K$4:K21,"KWITANSI")," ")</f>
        <v xml:space="preserve"> </v>
      </c>
      <c r="M21" s="85" t="str">
        <f>IF(Table13[[#This Row],[Column3]]=" "," ",Table13[[#This Row],[CODE]])</f>
        <v xml:space="preserve"> </v>
      </c>
      <c r="N21" s="368"/>
      <c r="P21" s="81" t="str">
        <f t="shared" si="0"/>
        <v/>
      </c>
    </row>
    <row r="22" spans="1:16" x14ac:dyDescent="0.15">
      <c r="A22" s="81" t="str">
        <f>COPY!O20</f>
        <v/>
      </c>
      <c r="B22" s="81">
        <f>COPY!C20</f>
        <v>1</v>
      </c>
      <c r="C22" s="82" t="str">
        <f>COPY!D20</f>
        <v/>
      </c>
      <c r="D22" s="81" t="str">
        <f>IF(Table13[[#This Row],[JUMLAH]]&gt;1,(IF(Table13[[#This Row],[CODE]]=" ",D21&amp;"a",IF(Table13[[#This Row],[CODE]]&gt;0,Table13[[#This Row],[CODE]],0))),"")</f>
        <v/>
      </c>
      <c r="E22" s="81" t="str">
        <f>IF(COPY!G20&gt;0,COPY!G20,"")</f>
        <v>Lakban Tanggung</v>
      </c>
      <c r="F22" s="88">
        <f>IF(COPY!J20&gt;0,COPY!J20,"")</f>
        <v>2</v>
      </c>
      <c r="G22" s="85" t="str">
        <f>IF(COPY!H20&gt;0,COPY!H20,"")</f>
        <v>Pcs</v>
      </c>
      <c r="H22" s="85">
        <f>IF(COPY!I20&gt;0,COPY!I20,"")</f>
        <v>14000</v>
      </c>
      <c r="I22" s="85">
        <f>IF(COPY!M20&gt;0,COPY!M20,"")</f>
        <v>28000</v>
      </c>
      <c r="J22" s="85" t="str">
        <f>IF(COPY!N20&gt;0,COPY!N20,"")</f>
        <v/>
      </c>
      <c r="K22" s="86" t="str">
        <f>IF(N22=0,(IF(LEFT(Table13[[#This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Row],[URAIAN]],$U$194:$V$210,2,FALSE),""),""),0))))),N22)</f>
        <v/>
      </c>
      <c r="L22" s="85" t="str">
        <f>IF(Table13[[#This Row],[Column2]]="KWITANSI",COUNTIF($K$4:K22,"KWITANSI")," ")</f>
        <v xml:space="preserve"> </v>
      </c>
      <c r="M22" s="85" t="str">
        <f>IF(Table13[[#This Row],[Column3]]=" "," ",Table13[[#This Row],[CODE]])</f>
        <v xml:space="preserve"> </v>
      </c>
      <c r="N22" s="368"/>
      <c r="P22" s="81" t="str">
        <f t="shared" si="0"/>
        <v/>
      </c>
    </row>
    <row r="23" spans="1:16" x14ac:dyDescent="0.15">
      <c r="A23" s="81" t="str">
        <f>COPY!O21</f>
        <v/>
      </c>
      <c r="B23" s="81">
        <f>COPY!C21</f>
        <v>1</v>
      </c>
      <c r="C23" s="82" t="str">
        <f>COPY!D21</f>
        <v/>
      </c>
      <c r="D23" s="81" t="str">
        <f>IF(Table13[[#This Row],[JUMLAH]]&gt;1,(IF(Table13[[#This Row],[CODE]]=" ",D22&amp;"a",IF(Table13[[#This Row],[CODE]]&gt;0,Table13[[#This Row],[CODE]],0))),"")</f>
        <v/>
      </c>
      <c r="E23" s="81" t="str">
        <f>IF(COPY!G21&gt;0,COPY!G21,"")</f>
        <v>Tinta stempel</v>
      </c>
      <c r="F23" s="88">
        <f>IF(COPY!J21&gt;0,COPY!J21,"")</f>
        <v>2</v>
      </c>
      <c r="G23" s="85" t="str">
        <f>IF(COPY!H21&gt;0,COPY!H21,"")</f>
        <v>Pcs</v>
      </c>
      <c r="H23" s="85">
        <f>IF(COPY!I21&gt;0,COPY!I21,"")</f>
        <v>18000</v>
      </c>
      <c r="I23" s="85">
        <f>IF(COPY!M21&gt;0,COPY!M21,"")</f>
        <v>36000</v>
      </c>
      <c r="J23" s="85" t="str">
        <f>IF(COPY!N21&gt;0,COPY!N21,"")</f>
        <v/>
      </c>
      <c r="K23" s="86" t="str">
        <f>IF(N23=0,(IF(LEFT(Table13[[#This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Row],[URAIAN]],$U$194:$V$210,2,FALSE),""),""),0))))),N23)</f>
        <v/>
      </c>
      <c r="L23" s="85" t="str">
        <f>IF(Table13[[#This Row],[Column2]]="KWITANSI",COUNTIF($K$4:K23,"KWITANSI")," ")</f>
        <v xml:space="preserve"> </v>
      </c>
      <c r="M23" s="85" t="str">
        <f>IF(Table13[[#This Row],[Column3]]=" "," ",Table13[[#This Row],[CODE]])</f>
        <v xml:space="preserve"> </v>
      </c>
      <c r="N23" s="368"/>
      <c r="P23" s="81" t="str">
        <f t="shared" si="0"/>
        <v/>
      </c>
    </row>
    <row r="24" spans="1:16" x14ac:dyDescent="0.15">
      <c r="A24" s="81" t="str">
        <f>COPY!O22</f>
        <v/>
      </c>
      <c r="B24" s="81">
        <f>COPY!C22</f>
        <v>1</v>
      </c>
      <c r="C24" s="82" t="str">
        <f>COPY!D22</f>
        <v/>
      </c>
      <c r="D24" s="81" t="str">
        <f>IF(Table13[[#This Row],[JUMLAH]]&gt;1,(IF(Table13[[#This Row],[CODE]]=" ",D23&amp;"a",IF(Table13[[#This Row],[CODE]]&gt;0,Table13[[#This Row],[CODE]],0))),"")</f>
        <v/>
      </c>
      <c r="E24" s="81" t="str">
        <f>IF(COPY!G22&gt;0,COPY!G22,"")</f>
        <v>Double tipe</v>
      </c>
      <c r="F24" s="88">
        <f>IF(COPY!J22&gt;0,COPY!J22,"")</f>
        <v>2</v>
      </c>
      <c r="G24" s="85" t="str">
        <f>IF(COPY!H22&gt;0,COPY!H22,"")</f>
        <v>Pcs</v>
      </c>
      <c r="H24" s="85">
        <f>IF(COPY!I22&gt;0,COPY!I22,"")</f>
        <v>4000</v>
      </c>
      <c r="I24" s="85">
        <f>IF(COPY!M22&gt;0,COPY!M22,"")</f>
        <v>8000</v>
      </c>
      <c r="J24" s="85" t="str">
        <f>IF(COPY!N22&gt;0,COPY!N22,"")</f>
        <v/>
      </c>
      <c r="K24" s="86" t="str">
        <f>IF(N24=0,(IF(LEFT(Table13[[#This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Row],[URAIAN]],$U$194:$V$210,2,FALSE),""),""),0))))),N24)</f>
        <v/>
      </c>
      <c r="L24" s="85" t="str">
        <f>IF(Table13[[#This Row],[Column2]]="KWITANSI",COUNTIF($K$4:K24,"KWITANSI")," ")</f>
        <v xml:space="preserve"> </v>
      </c>
      <c r="M24" s="85" t="str">
        <f>IF(Table13[[#This Row],[Column3]]=" "," ",Table13[[#This Row],[CODE]])</f>
        <v xml:space="preserve"> </v>
      </c>
      <c r="N24" s="368"/>
      <c r="P24" s="81" t="str">
        <f t="shared" si="0"/>
        <v/>
      </c>
    </row>
    <row r="25" spans="1:16" x14ac:dyDescent="0.15">
      <c r="A25" s="81" t="str">
        <f>COPY!O23</f>
        <v/>
      </c>
      <c r="B25" s="81">
        <f>COPY!C23</f>
        <v>1</v>
      </c>
      <c r="C25" s="82" t="str">
        <f>COPY!D23</f>
        <v/>
      </c>
      <c r="D25" s="81" t="str">
        <f>IF(Table13[[#This Row],[JUMLAH]]&gt;1,(IF(Table13[[#This Row],[CODE]]=" ",D24&amp;"a",IF(Table13[[#This Row],[CODE]]&gt;0,Table13[[#This Row],[CODE]],0))),"")</f>
        <v/>
      </c>
      <c r="E25" s="81" t="str">
        <f>IF(COPY!G23&gt;0,COPY!G23,"")</f>
        <v>Spidol Besar</v>
      </c>
      <c r="F25" s="88">
        <f>IF(COPY!J23&gt;0,COPY!J23,"")</f>
        <v>1</v>
      </c>
      <c r="G25" s="85" t="str">
        <f>IF(COPY!H23&gt;0,COPY!H23,"")</f>
        <v>Pcs</v>
      </c>
      <c r="H25" s="85">
        <f>IF(COPY!I23&gt;0,COPY!I23,"")</f>
        <v>5000</v>
      </c>
      <c r="I25" s="85">
        <f>IF(COPY!M23&gt;0,COPY!M23,"")</f>
        <v>5000</v>
      </c>
      <c r="J25" s="85" t="str">
        <f>IF(COPY!N23&gt;0,COPY!N23,"")</f>
        <v/>
      </c>
      <c r="K25" s="86" t="str">
        <f>IF(N25=0,(IF(LEFT(Table13[[#This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Row],[URAIAN]],$U$194:$V$210,2,FALSE),""),""),0))))),N25)</f>
        <v/>
      </c>
      <c r="L25" s="85" t="str">
        <f>IF(Table13[[#This Row],[Column2]]="KWITANSI",COUNTIF($K$4:K25,"KWITANSI")," ")</f>
        <v xml:space="preserve"> </v>
      </c>
      <c r="M25" s="85" t="str">
        <f>IF(Table13[[#This Row],[Column3]]=" "," ",Table13[[#This Row],[CODE]])</f>
        <v xml:space="preserve"> </v>
      </c>
      <c r="N25" s="368"/>
      <c r="P25" s="81" t="str">
        <f t="shared" si="0"/>
        <v/>
      </c>
    </row>
    <row r="26" spans="1:16" x14ac:dyDescent="0.15">
      <c r="A26" s="81" t="str">
        <f>COPY!O24</f>
        <v>BKK.4</v>
      </c>
      <c r="B26" s="81">
        <f>COPY!C24</f>
        <v>1</v>
      </c>
      <c r="C26" s="82">
        <f>COPY!D24</f>
        <v>45903</v>
      </c>
      <c r="D26" s="81" t="str">
        <f>IF(Table13[[#This Row],[JUMLAH]]&gt;1,(IF(Table13[[#This Row],[CODE]]=" ",D25&amp;"a",IF(Table13[[#This Row],[CODE]]&gt;0,Table13[[#This Row],[CODE]],0))),"")</f>
        <v>BKK.4</v>
      </c>
      <c r="E26" s="81" t="str">
        <f>IF(COPY!G24&gt;0,COPY!G24,"")</f>
        <v>Linggis Ulir 19</v>
      </c>
      <c r="F26" s="88">
        <f>IF(COPY!J24&gt;0,COPY!J24,"")</f>
        <v>1</v>
      </c>
      <c r="G26" s="85" t="str">
        <f>IF(COPY!H24&gt;0,COPY!H24,"")</f>
        <v>Pcs</v>
      </c>
      <c r="H26" s="85">
        <f>IF(COPY!I24&gt;0,COPY!I24,"")</f>
        <v>40000</v>
      </c>
      <c r="I26" s="85">
        <f>IF(COPY!M24&gt;0,COPY!M24,"")</f>
        <v>40000</v>
      </c>
      <c r="J26" s="85">
        <f>IF(COPY!N24&gt;0,COPY!N24,"")</f>
        <v>1307000</v>
      </c>
      <c r="K26" s="86">
        <f>IF(N26=0,(IF(LEFT(Table13[[#This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Row],[URAIAN]],$U$194:$V$210,2,FALSE),""),""),0))))),N26)</f>
        <v>0</v>
      </c>
      <c r="L26" s="85" t="str">
        <f>IF(Table13[[#This Row],[Column2]]="KWITANSI",COUNTIF($K$4:K26,"KWITANSI")," ")</f>
        <v xml:space="preserve"> </v>
      </c>
      <c r="M26" s="85" t="str">
        <f>IF(Table13[[#This Row],[Column3]]=" "," ",Table13[[#This Row],[CODE]])</f>
        <v xml:space="preserve"> </v>
      </c>
      <c r="N26" s="368"/>
      <c r="P26" s="81" t="str">
        <f t="shared" si="0"/>
        <v/>
      </c>
    </row>
    <row r="27" spans="1:16" x14ac:dyDescent="0.15">
      <c r="A27" s="81" t="str">
        <f>COPY!O25</f>
        <v/>
      </c>
      <c r="B27" s="81">
        <f>COPY!C25</f>
        <v>1</v>
      </c>
      <c r="C27" s="82" t="str">
        <f>COPY!D25</f>
        <v/>
      </c>
      <c r="D27" s="81" t="str">
        <f>IF(Table13[[#This Row],[JUMLAH]]&gt;1,(IF(Table13[[#This Row],[CODE]]=" ",D26&amp;"a",IF(Table13[[#This Row],[CODE]]&gt;0,Table13[[#This Row],[CODE]],0))),"")</f>
        <v/>
      </c>
      <c r="E27" s="81" t="str">
        <f>IF(COPY!G25&gt;0,COPY!G25,"")</f>
        <v>Pleser 6-8</v>
      </c>
      <c r="F27" s="88">
        <f>IF(COPY!J25&gt;0,COPY!J25,"")</f>
        <v>1</v>
      </c>
      <c r="G27" s="85" t="str">
        <f>IF(COPY!H25&gt;0,COPY!H25,"")</f>
        <v>Pcs</v>
      </c>
      <c r="H27" s="85">
        <f>IF(COPY!I25&gt;0,COPY!I25,"")</f>
        <v>20000</v>
      </c>
      <c r="I27" s="85">
        <f>IF(COPY!M25&gt;0,COPY!M25,"")</f>
        <v>20000</v>
      </c>
      <c r="J27" s="85" t="str">
        <f>IF(COPY!N25&gt;0,COPY!N25,"")</f>
        <v/>
      </c>
      <c r="K27" s="86" t="str">
        <f>IF(N27=0,(IF(LEFT(Table13[[#This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Row],[URAIAN]],$U$194:$V$210,2,FALSE),""),""),0))))),N27)</f>
        <v/>
      </c>
      <c r="L27" s="85" t="str">
        <f>IF(Table13[[#This Row],[Column2]]="KWITANSI",COUNTIF($K$4:K27,"KWITANSI")," ")</f>
        <v xml:space="preserve"> </v>
      </c>
      <c r="M27" s="85" t="str">
        <f>IF(Table13[[#This Row],[Column3]]=" "," ",Table13[[#This Row],[CODE]])</f>
        <v xml:space="preserve"> </v>
      </c>
      <c r="N27" s="368"/>
      <c r="P27" s="81" t="str">
        <f t="shared" si="0"/>
        <v/>
      </c>
    </row>
    <row r="28" spans="1:16" x14ac:dyDescent="0.15">
      <c r="A28" s="81" t="str">
        <f>COPY!O26</f>
        <v/>
      </c>
      <c r="B28" s="81">
        <f>COPY!C26</f>
        <v>1</v>
      </c>
      <c r="C28" s="82" t="str">
        <f>COPY!D26</f>
        <v/>
      </c>
      <c r="D28" s="81" t="str">
        <f>IF(Table13[[#This Row],[JUMLAH]]&gt;1,(IF(Table13[[#This Row],[CODE]]=" ",D27&amp;"a",IF(Table13[[#This Row],[CODE]]&gt;0,Table13[[#This Row],[CODE]],0))),"")</f>
        <v/>
      </c>
      <c r="E28" s="81" t="str">
        <f>IF(COPY!G26&gt;0,COPY!G26,"")</f>
        <v>Pleser 8-10</v>
      </c>
      <c r="F28" s="88">
        <f>IF(COPY!J26&gt;0,COPY!J26,"")</f>
        <v>1</v>
      </c>
      <c r="G28" s="85" t="str">
        <f>IF(COPY!H26&gt;0,COPY!H26,"")</f>
        <v>Pcs</v>
      </c>
      <c r="H28" s="85">
        <f>IF(COPY!I26&gt;0,COPY!I26,"")</f>
        <v>21000</v>
      </c>
      <c r="I28" s="85">
        <f>IF(COPY!M26&gt;0,COPY!M26,"")</f>
        <v>21000</v>
      </c>
      <c r="J28" s="85" t="str">
        <f>IF(COPY!N26&gt;0,COPY!N26,"")</f>
        <v/>
      </c>
      <c r="K28" s="86" t="str">
        <f>IF(N28=0,(IF(LEFT(Table13[[#This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Row],[URAIAN]],$U$194:$V$210,2,FALSE),""),""),0))))),N28)</f>
        <v/>
      </c>
      <c r="L28" s="85" t="str">
        <f>IF(Table13[[#This Row],[Column2]]="KWITANSI",COUNTIF($K$4:K28,"KWITANSI")," ")</f>
        <v xml:space="preserve"> </v>
      </c>
      <c r="M28" s="85" t="str">
        <f>IF(Table13[[#This Row],[Column3]]=" "," ",Table13[[#This Row],[CODE]])</f>
        <v xml:space="preserve"> </v>
      </c>
      <c r="N28" s="368"/>
      <c r="P28" s="81" t="str">
        <f t="shared" si="0"/>
        <v/>
      </c>
    </row>
    <row r="29" spans="1:16" x14ac:dyDescent="0.15">
      <c r="A29" s="81" t="str">
        <f>COPY!O27</f>
        <v/>
      </c>
      <c r="B29" s="81">
        <f>COPY!C27</f>
        <v>1</v>
      </c>
      <c r="C29" s="82" t="str">
        <f>COPY!D27</f>
        <v/>
      </c>
      <c r="D29" s="81" t="str">
        <f>IF(Table13[[#This Row],[JUMLAH]]&gt;1,(IF(Table13[[#This Row],[CODE]]=" ",D28&amp;"a",IF(Table13[[#This Row],[CODE]]&gt;0,Table13[[#This Row],[CODE]],0))),"")</f>
        <v/>
      </c>
      <c r="E29" s="81" t="str">
        <f>IF(COPY!G27&gt;0,COPY!G27,"")</f>
        <v>Kaleng Adiva</v>
      </c>
      <c r="F29" s="88">
        <f>IF(COPY!J27&gt;0,COPY!J27,"")</f>
        <v>6</v>
      </c>
      <c r="G29" s="85" t="str">
        <f>IF(COPY!H27&gt;0,COPY!H27,"")</f>
        <v>Pcs</v>
      </c>
      <c r="H29" s="85">
        <f>IF(COPY!I27&gt;0,COPY!I27,"")</f>
        <v>10000</v>
      </c>
      <c r="I29" s="85">
        <f>IF(COPY!M27&gt;0,COPY!M27,"")</f>
        <v>60000</v>
      </c>
      <c r="J29" s="85" t="str">
        <f>IF(COPY!N27&gt;0,COPY!N27,"")</f>
        <v/>
      </c>
      <c r="K29" s="86" t="str">
        <f>IF(N29=0,(IF(LEFT(Table13[[#This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Row],[URAIAN]],$U$194:$V$210,2,FALSE),""),""),0))))),N29)</f>
        <v/>
      </c>
      <c r="L29" s="85" t="str">
        <f>IF(Table13[[#This Row],[Column2]]="KWITANSI",COUNTIF($K$4:K29,"KWITANSI")," ")</f>
        <v xml:space="preserve"> </v>
      </c>
      <c r="M29" s="85" t="str">
        <f>IF(Table13[[#This Row],[Column3]]=" "," ",Table13[[#This Row],[CODE]])</f>
        <v xml:space="preserve"> </v>
      </c>
      <c r="N29" s="368"/>
      <c r="P29" s="81" t="str">
        <f t="shared" si="0"/>
        <v/>
      </c>
    </row>
    <row r="30" spans="1:16" x14ac:dyDescent="0.15">
      <c r="A30" s="81" t="str">
        <f>COPY!O28</f>
        <v/>
      </c>
      <c r="B30" s="81">
        <f>COPY!C28</f>
        <v>1</v>
      </c>
      <c r="C30" s="82" t="str">
        <f>COPY!D28</f>
        <v/>
      </c>
      <c r="D30" s="81" t="str">
        <f>IF(Table13[[#This Row],[JUMLAH]]&gt;1,(IF(Table13[[#This Row],[CODE]]=" ",D29&amp;"a",IF(Table13[[#This Row],[CODE]]&gt;0,Table13[[#This Row],[CODE]],0))),"")</f>
        <v/>
      </c>
      <c r="E30" s="81" t="str">
        <f>IF(COPY!G28&gt;0,COPY!G28,"")</f>
        <v>Terpal A5 6X8</v>
      </c>
      <c r="F30" s="88">
        <f>IF(COPY!J28&gt;0,COPY!J28,"")</f>
        <v>1</v>
      </c>
      <c r="G30" s="85" t="str">
        <f>IF(COPY!H28&gt;0,COPY!H28,"")</f>
        <v>Pcs</v>
      </c>
      <c r="H30" s="85">
        <f>IF(COPY!I28&gt;0,COPY!I28,"")</f>
        <v>336000</v>
      </c>
      <c r="I30" s="85">
        <f>IF(COPY!M28&gt;0,COPY!M28,"")</f>
        <v>336000</v>
      </c>
      <c r="J30" s="85" t="str">
        <f>IF(COPY!N28&gt;0,COPY!N28,"")</f>
        <v/>
      </c>
      <c r="K30" s="86" t="str">
        <f>IF(N30=0,(IF(LEFT(Table13[[#This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Row],[URAIAN]],$U$194:$V$210,2,FALSE),""),""),0))))),N30)</f>
        <v/>
      </c>
      <c r="L30" s="85" t="str">
        <f>IF(Table13[[#This Row],[Column2]]="KWITANSI",COUNTIF($K$4:K30,"KWITANSI")," ")</f>
        <v xml:space="preserve"> </v>
      </c>
      <c r="M30" s="85" t="str">
        <f>IF(Table13[[#This Row],[Column3]]=" "," ",Table13[[#This Row],[CODE]])</f>
        <v xml:space="preserve"> </v>
      </c>
      <c r="N30" s="368"/>
      <c r="P30" s="81" t="str">
        <f t="shared" si="0"/>
        <v/>
      </c>
    </row>
    <row r="31" spans="1:16" x14ac:dyDescent="0.15">
      <c r="A31" s="81" t="str">
        <f>COPY!O29</f>
        <v/>
      </c>
      <c r="B31" s="81">
        <f>COPY!C29</f>
        <v>1</v>
      </c>
      <c r="C31" s="82" t="str">
        <f>COPY!D29</f>
        <v/>
      </c>
      <c r="D31" s="81" t="str">
        <f>IF(Table13[[#This Row],[JUMLAH]]&gt;1,(IF(Table13[[#This Row],[CODE]]=" ",D30&amp;"a",IF(Table13[[#This Row],[CODE]]&gt;0,Table13[[#This Row],[CODE]],0))),"")</f>
        <v/>
      </c>
      <c r="E31" s="81" t="str">
        <f>IF(COPY!G29&gt;0,COPY!G29,"")</f>
        <v>Kayu Usuk 3 X 5</v>
      </c>
      <c r="F31" s="88">
        <f>IF(COPY!J29&gt;0,COPY!J29,"")</f>
        <v>5</v>
      </c>
      <c r="G31" s="85" t="str">
        <f>IF(COPY!H29&gt;0,COPY!H29,"")</f>
        <v>Ljr</v>
      </c>
      <c r="H31" s="85">
        <f>IF(COPY!I29&gt;0,COPY!I29,"")</f>
        <v>20000</v>
      </c>
      <c r="I31" s="85">
        <f>IF(COPY!M29&gt;0,COPY!M29,"")</f>
        <v>100000</v>
      </c>
      <c r="J31" s="85" t="str">
        <f>IF(COPY!N29&gt;0,COPY!N29,"")</f>
        <v/>
      </c>
      <c r="K31" s="86" t="str">
        <f>IF(N31=0,(IF(LEFT(Table13[[#This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Row],[URAIAN]],$U$194:$V$210,2,FALSE),""),""),0))))),N31)</f>
        <v/>
      </c>
      <c r="L31" s="85" t="str">
        <f>IF(Table13[[#This Row],[Column2]]="KWITANSI",COUNTIF($K$4:K31,"KWITANSI")," ")</f>
        <v xml:space="preserve"> </v>
      </c>
      <c r="M31" s="85" t="str">
        <f>IF(Table13[[#This Row],[Column3]]=" "," ",Table13[[#This Row],[CODE]])</f>
        <v xml:space="preserve"> </v>
      </c>
      <c r="N31" s="368"/>
      <c r="P31" s="81" t="str">
        <f t="shared" si="0"/>
        <v/>
      </c>
    </row>
    <row r="32" spans="1:16" x14ac:dyDescent="0.15">
      <c r="A32" s="81" t="str">
        <f>COPY!O30</f>
        <v/>
      </c>
      <c r="B32" s="81">
        <f>COPY!C30</f>
        <v>1</v>
      </c>
      <c r="C32" s="82" t="str">
        <f>COPY!D30</f>
        <v/>
      </c>
      <c r="D32" s="81" t="str">
        <f>IF(Table13[[#This Row],[JUMLAH]]&gt;1,(IF(Table13[[#This Row],[CODE]]=" ",D31&amp;"a",IF(Table13[[#This Row],[CODE]]&gt;0,Table13[[#This Row],[CODE]],0))),"")</f>
        <v/>
      </c>
      <c r="E32" s="81" t="str">
        <f>IF(COPY!G30&gt;0,COPY!G30,"")</f>
        <v>Papan Sengon</v>
      </c>
      <c r="F32" s="88">
        <f>IF(COPY!J30&gt;0,COPY!J30,"")</f>
        <v>20</v>
      </c>
      <c r="G32" s="85" t="str">
        <f>IF(COPY!H30&gt;0,COPY!H30,"")</f>
        <v>Ljr</v>
      </c>
      <c r="H32" s="85">
        <f>IF(COPY!I30&gt;0,COPY!I30,"")</f>
        <v>25000</v>
      </c>
      <c r="I32" s="85">
        <f>IF(COPY!M30&gt;0,COPY!M30,"")</f>
        <v>500000</v>
      </c>
      <c r="J32" s="85" t="str">
        <f>IF(COPY!N30&gt;0,COPY!N30,"")</f>
        <v/>
      </c>
      <c r="K32" s="86" t="str">
        <f>IF(N32=0,(IF(LEFT(Table13[[#This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Row],[URAIAN]],$U$194:$V$210,2,FALSE),""),""),0))))),N32)</f>
        <v/>
      </c>
      <c r="L32" s="85" t="str">
        <f>IF(Table13[[#This Row],[Column2]]="KWITANSI",COUNTIF($K$4:K32,"KWITANSI")," ")</f>
        <v xml:space="preserve"> </v>
      </c>
      <c r="M32" s="85" t="str">
        <f>IF(Table13[[#This Row],[Column3]]=" "," ",Table13[[#This Row],[CODE]])</f>
        <v xml:space="preserve"> </v>
      </c>
      <c r="N32" s="368"/>
      <c r="P32" s="81" t="str">
        <f t="shared" si="0"/>
        <v/>
      </c>
    </row>
    <row r="33" spans="1:16" x14ac:dyDescent="0.15">
      <c r="A33" s="81" t="str">
        <f>COPY!O31</f>
        <v/>
      </c>
      <c r="B33" s="81">
        <f>COPY!C31</f>
        <v>1</v>
      </c>
      <c r="C33" s="82" t="str">
        <f>COPY!D31</f>
        <v/>
      </c>
      <c r="D33" s="81" t="str">
        <f>IF(Table13[[#This Row],[JUMLAH]]&gt;1,(IF(Table13[[#This Row],[CODE]]=" ",D32&amp;"a",IF(Table13[[#This Row],[CODE]]&gt;0,Table13[[#This Row],[CODE]],0))),"")</f>
        <v/>
      </c>
      <c r="E33" s="81" t="str">
        <f>IF(COPY!G31&gt;0,COPY!G31,"")</f>
        <v>Pasir Biasa L300</v>
      </c>
      <c r="F33" s="88">
        <f>IF(COPY!J31&gt;0,COPY!J31,"")</f>
        <v>1</v>
      </c>
      <c r="G33" s="85" t="str">
        <f>IF(COPY!H31&gt;0,COPY!H31,"")</f>
        <v>Pik Up</v>
      </c>
      <c r="H33" s="85">
        <f>IF(COPY!I31&gt;0,COPY!I31,"")</f>
        <v>230000</v>
      </c>
      <c r="I33" s="85">
        <f>IF(COPY!M31&gt;0,COPY!M31,"")</f>
        <v>230000</v>
      </c>
      <c r="J33" s="85" t="str">
        <f>IF(COPY!N31&gt;0,COPY!N31,"")</f>
        <v/>
      </c>
      <c r="K33" s="86" t="str">
        <f>IF(N33=0,(IF(LEFT(Table13[[#This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Row],[URAIAN]],$U$194:$V$210,2,FALSE),""),""),0))))),N33)</f>
        <v/>
      </c>
      <c r="L33" s="85" t="str">
        <f>IF(Table13[[#This Row],[Column2]]="KWITANSI",COUNTIF($K$4:K33,"KWITANSI")," ")</f>
        <v xml:space="preserve"> </v>
      </c>
      <c r="M33" s="85" t="str">
        <f>IF(Table13[[#This Row],[Column3]]=" "," ",Table13[[#This Row],[CODE]])</f>
        <v xml:space="preserve"> </v>
      </c>
      <c r="N33" s="368"/>
      <c r="P33" s="81" t="str">
        <f t="shared" si="0"/>
        <v/>
      </c>
    </row>
    <row r="34" spans="1:16" x14ac:dyDescent="0.15">
      <c r="A34" s="81" t="str">
        <f>COPY!O32</f>
        <v>BKK.5</v>
      </c>
      <c r="B34" s="81">
        <f>COPY!C32</f>
        <v>1</v>
      </c>
      <c r="C34" s="82">
        <f>COPY!D32</f>
        <v>45903</v>
      </c>
      <c r="D34" s="81" t="str">
        <f>IF(Table13[[#This Row],[JUMLAH]]&gt;1,(IF(Table13[[#This Row],[CODE]]=" ",D33&amp;"a",IF(Table13[[#This Row],[CODE]]&gt;0,Table13[[#This Row],[CODE]],0))),"")</f>
        <v>BKK.5</v>
      </c>
      <c r="E34" s="81" t="str">
        <f>IF(COPY!G32&gt;0,COPY!G32,"")</f>
        <v>Pembuatan Papan Pengumuman</v>
      </c>
      <c r="F34" s="88">
        <f>IF(COPY!J32&gt;0,COPY!J32,"")</f>
        <v>1</v>
      </c>
      <c r="G34" s="85" t="str">
        <f>IF(COPY!H32&gt;0,COPY!H32,"")</f>
        <v>Ls</v>
      </c>
      <c r="H34" s="85">
        <f>IF(COPY!I32&gt;0,COPY!I32,"")</f>
        <v>300000</v>
      </c>
      <c r="I34" s="85">
        <f>IF(COPY!M32&gt;0,COPY!M32,"")</f>
        <v>300000</v>
      </c>
      <c r="J34" s="85">
        <f>IF(COPY!N32&gt;0,COPY!N32,"")</f>
        <v>300000</v>
      </c>
      <c r="K34" s="86">
        <f>IF(N34=0,(IF(LEFT(Table13[[#This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Row],[URAIAN]],$U$194:$V$210,2,FALSE),""),""),0))))),N34)</f>
        <v>0</v>
      </c>
      <c r="L34" s="85" t="str">
        <f>IF(Table13[[#This Row],[Column2]]="KWITANSI",COUNTIF($K$4:K34,"KWITANSI")," ")</f>
        <v xml:space="preserve"> </v>
      </c>
      <c r="M34" s="85" t="str">
        <f>IF(Table13[[#This Row],[Column3]]=" "," ",Table13[[#This Row],[CODE]])</f>
        <v xml:space="preserve"> </v>
      </c>
      <c r="N34" s="368"/>
      <c r="P34" s="81" t="str">
        <f t="shared" si="0"/>
        <v/>
      </c>
    </row>
    <row r="35" spans="1:16" x14ac:dyDescent="0.15">
      <c r="A35" s="81" t="str">
        <f>COPY!O33</f>
        <v>BKK.6</v>
      </c>
      <c r="B35" s="81">
        <f>COPY!C33</f>
        <v>1</v>
      </c>
      <c r="C35" s="82">
        <f>COPY!D33</f>
        <v>45904</v>
      </c>
      <c r="D35" s="81" t="str">
        <f>IF(Table13[[#This Row],[JUMLAH]]&gt;1,(IF(Table13[[#This Row],[CODE]]=" ",D34&amp;"a",IF(Table13[[#This Row],[CODE]]&gt;0,Table13[[#This Row],[CODE]],0))),"")</f>
        <v>BKK.6</v>
      </c>
      <c r="E35" s="81" t="str">
        <f>IF(COPY!G33&gt;0,COPY!G33,"")</f>
        <v>Usuk Super 3 M</v>
      </c>
      <c r="F35" s="88">
        <f>IF(COPY!J33&gt;0,COPY!J33,"")</f>
        <v>10</v>
      </c>
      <c r="G35" s="85" t="str">
        <f>IF(COPY!H33&gt;0,COPY!H33,"")</f>
        <v>Ljr</v>
      </c>
      <c r="H35" s="85">
        <f>IF(COPY!I33&gt;0,COPY!I33,"")</f>
        <v>35000</v>
      </c>
      <c r="I35" s="85">
        <f>IF(COPY!M33&gt;0,COPY!M33,"")</f>
        <v>350000</v>
      </c>
      <c r="J35" s="85">
        <f>IF(COPY!N33&gt;0,COPY!N33,"")</f>
        <v>1281000</v>
      </c>
      <c r="K35" s="86">
        <f>IF(N35=0,(IF(LEFT(Table13[[#This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Row],[URAIAN]],$U$194:$V$210,2,FALSE),""),""),0))))),N35)</f>
        <v>0</v>
      </c>
      <c r="L35" s="85" t="str">
        <f>IF(Table13[[#This Row],[Column2]]="KWITANSI",COUNTIF($K$4:K35,"KWITANSI")," ")</f>
        <v xml:space="preserve"> </v>
      </c>
      <c r="M35" s="85" t="str">
        <f>IF(Table13[[#This Row],[Column3]]=" "," ",Table13[[#This Row],[CODE]])</f>
        <v xml:space="preserve"> </v>
      </c>
      <c r="N35" s="368"/>
      <c r="P35" s="81" t="str">
        <f t="shared" si="0"/>
        <v/>
      </c>
    </row>
    <row r="36" spans="1:16" x14ac:dyDescent="0.15">
      <c r="A36" s="81" t="str">
        <f>COPY!O34</f>
        <v/>
      </c>
      <c r="B36" s="81">
        <f>COPY!C34</f>
        <v>1</v>
      </c>
      <c r="C36" s="82" t="str">
        <f>COPY!D34</f>
        <v/>
      </c>
      <c r="D36" s="81" t="str">
        <f>IF(Table13[[#This Row],[JUMLAH]]&gt;1,(IF(Table13[[#This Row],[CODE]]=" ",D35&amp;"a",IF(Table13[[#This Row],[CODE]]&gt;0,Table13[[#This Row],[CODE]],0))),"")</f>
        <v/>
      </c>
      <c r="E36" s="81" t="str">
        <f>IF(COPY!G34&gt;0,COPY!G34,"")</f>
        <v>Pasir Cor L300</v>
      </c>
      <c r="F36" s="88">
        <f>IF(COPY!J34&gt;0,COPY!J34,"")</f>
        <v>1</v>
      </c>
      <c r="G36" s="85" t="str">
        <f>IF(COPY!H34&gt;0,COPY!H34,"")</f>
        <v>Pik Up</v>
      </c>
      <c r="H36" s="85">
        <f>IF(COPY!I34&gt;0,COPY!I34,"")</f>
        <v>335000</v>
      </c>
      <c r="I36" s="85">
        <f>IF(COPY!M34&gt;0,COPY!M34,"")</f>
        <v>335000</v>
      </c>
      <c r="J36" s="85" t="str">
        <f>IF(COPY!N34&gt;0,COPY!N34,"")</f>
        <v/>
      </c>
      <c r="K36" s="86" t="str">
        <f>IF(N36=0,(IF(LEFT(Table13[[#This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Row],[URAIAN]],$U$194:$V$210,2,FALSE),""),""),0))))),N36)</f>
        <v/>
      </c>
      <c r="L36" s="85" t="str">
        <f>IF(Table13[[#This Row],[Column2]]="KWITANSI",COUNTIF($K$4:K36,"KWITANSI")," ")</f>
        <v xml:space="preserve"> </v>
      </c>
      <c r="M36" s="85" t="str">
        <f>IF(Table13[[#This Row],[Column3]]=" "," ",Table13[[#This Row],[CODE]])</f>
        <v xml:space="preserve"> </v>
      </c>
      <c r="N36" s="368"/>
      <c r="P36" s="81" t="str">
        <f t="shared" si="0"/>
        <v/>
      </c>
    </row>
    <row r="37" spans="1:16" x14ac:dyDescent="0.15">
      <c r="A37" s="81" t="str">
        <f>COPY!O35</f>
        <v/>
      </c>
      <c r="B37" s="81">
        <f>COPY!C35</f>
        <v>1</v>
      </c>
      <c r="C37" s="82" t="str">
        <f>COPY!D35</f>
        <v/>
      </c>
      <c r="D37" s="81" t="str">
        <f>IF(Table13[[#This Row],[JUMLAH]]&gt;1,(IF(Table13[[#This Row],[CODE]]=" ",D36&amp;"a",IF(Table13[[#This Row],[CODE]]&gt;0,Table13[[#This Row],[CODE]],0))),"")</f>
        <v/>
      </c>
      <c r="E37" s="81" t="str">
        <f>IF(COPY!G35&gt;0,COPY!G35,"")</f>
        <v>Koral L300</v>
      </c>
      <c r="F37" s="88">
        <f>IF(COPY!J35&gt;0,COPY!J35,"")</f>
        <v>1</v>
      </c>
      <c r="G37" s="85" t="str">
        <f>IF(COPY!H35&gt;0,COPY!H35,"")</f>
        <v>Pik Up</v>
      </c>
      <c r="H37" s="85">
        <f>IF(COPY!I35&gt;0,COPY!I35,"")</f>
        <v>350000</v>
      </c>
      <c r="I37" s="85">
        <f>IF(COPY!M35&gt;0,COPY!M35,"")</f>
        <v>350000</v>
      </c>
      <c r="J37" s="85" t="str">
        <f>IF(COPY!N35&gt;0,COPY!N35,"")</f>
        <v/>
      </c>
      <c r="K37" s="86" t="str">
        <f>IF(N37=0,(IF(LEFT(Table13[[#This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Row],[URAIAN]],$U$194:$V$210,2,FALSE),""),""),0))))),N37)</f>
        <v/>
      </c>
      <c r="L37" s="85" t="str">
        <f>IF(Table13[[#This Row],[Column2]]="KWITANSI",COUNTIF($K$4:K37,"KWITANSI")," ")</f>
        <v xml:space="preserve"> </v>
      </c>
      <c r="M37" s="85" t="str">
        <f>IF(Table13[[#This Row],[Column3]]=" "," ",Table13[[#This Row],[CODE]])</f>
        <v xml:space="preserve"> </v>
      </c>
      <c r="N37" s="368"/>
      <c r="P37" s="81" t="str">
        <f t="shared" si="0"/>
        <v/>
      </c>
    </row>
    <row r="38" spans="1:16" x14ac:dyDescent="0.15">
      <c r="A38" s="81" t="str">
        <f>COPY!O36</f>
        <v/>
      </c>
      <c r="B38" s="81">
        <f>COPY!C36</f>
        <v>1</v>
      </c>
      <c r="C38" s="82" t="str">
        <f>COPY!D36</f>
        <v/>
      </c>
      <c r="D38" s="81" t="str">
        <f>IF(Table13[[#This Row],[JUMLAH]]&gt;1,(IF(Table13[[#This Row],[CODE]]=" ",D37&amp;"a",IF(Table13[[#This Row],[CODE]]&gt;0,Table13[[#This Row],[CODE]],0))),"")</f>
        <v/>
      </c>
      <c r="E38" s="81" t="str">
        <f>IF(COPY!G36&gt;0,COPY!G36,"")</f>
        <v>Wd Potong Bosch</v>
      </c>
      <c r="F38" s="88">
        <f>IF(COPY!J36&gt;0,COPY!J36,"")</f>
        <v>4</v>
      </c>
      <c r="G38" s="85" t="str">
        <f>IF(COPY!H36&gt;0,COPY!H36,"")</f>
        <v>Pcs</v>
      </c>
      <c r="H38" s="85">
        <f>IF(COPY!I36&gt;0,COPY!I36,"")</f>
        <v>3500</v>
      </c>
      <c r="I38" s="85">
        <f>IF(COPY!M36&gt;0,COPY!M36,"")</f>
        <v>14000</v>
      </c>
      <c r="J38" s="85" t="str">
        <f>IF(COPY!N36&gt;0,COPY!N36,"")</f>
        <v/>
      </c>
      <c r="K38" s="86" t="str">
        <f>IF(N38=0,(IF(LEFT(Table13[[#This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Row],[URAIAN]],$U$194:$V$210,2,FALSE),""),""),0))))),N38)</f>
        <v/>
      </c>
      <c r="L38" s="85" t="str">
        <f>IF(Table13[[#This Row],[Column2]]="KWITANSI",COUNTIF($K$4:K38,"KWITANSI")," ")</f>
        <v xml:space="preserve"> </v>
      </c>
      <c r="M38" s="85" t="str">
        <f>IF(Table13[[#This Row],[Column3]]=" "," ",Table13[[#This Row],[CODE]])</f>
        <v xml:space="preserve"> </v>
      </c>
      <c r="N38" s="368"/>
      <c r="P38" s="81" t="str">
        <f t="shared" si="0"/>
        <v/>
      </c>
    </row>
    <row r="39" spans="1:16" x14ac:dyDescent="0.15">
      <c r="A39" s="81" t="str">
        <f>COPY!O37</f>
        <v/>
      </c>
      <c r="B39" s="81">
        <f>COPY!C37</f>
        <v>1</v>
      </c>
      <c r="C39" s="82" t="str">
        <f>COPY!D37</f>
        <v/>
      </c>
      <c r="D39" s="81" t="str">
        <f>IF(Table13[[#This Row],[JUMLAH]]&gt;1,(IF(Table13[[#This Row],[CODE]]=" ",D38&amp;"a",IF(Table13[[#This Row],[CODE]]&gt;0,Table13[[#This Row],[CODE]],0))),"")</f>
        <v/>
      </c>
      <c r="E39" s="81" t="str">
        <f>IF(COPY!G37&gt;0,COPY!G37,"")</f>
        <v>Semen Gresik 40Kg</v>
      </c>
      <c r="F39" s="88">
        <f>IF(COPY!J37&gt;0,COPY!J37,"")</f>
        <v>4</v>
      </c>
      <c r="G39" s="85" t="str">
        <f>IF(COPY!H37&gt;0,COPY!H37,"")</f>
        <v>Sak</v>
      </c>
      <c r="H39" s="85">
        <f>IF(COPY!I37&gt;0,COPY!I37,"")</f>
        <v>58000</v>
      </c>
      <c r="I39" s="85">
        <f>IF(COPY!M37&gt;0,COPY!M37,"")</f>
        <v>232000</v>
      </c>
      <c r="J39" s="85" t="str">
        <f>IF(COPY!N37&gt;0,COPY!N37,"")</f>
        <v/>
      </c>
      <c r="K39" s="86" t="str">
        <f>IF(N39=0,(IF(LEFT(Table13[[#This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Row],[URAIAN]],$U$194:$V$210,2,FALSE),""),""),0))))),N39)</f>
        <v/>
      </c>
      <c r="L39" s="85" t="str">
        <f>IF(Table13[[#This Row],[Column2]]="KWITANSI",COUNTIF($K$4:K39,"KWITANSI")," ")</f>
        <v xml:space="preserve"> </v>
      </c>
      <c r="M39" s="85" t="str">
        <f>IF(Table13[[#This Row],[Column3]]=" "," ",Table13[[#This Row],[CODE]])</f>
        <v xml:space="preserve"> </v>
      </c>
      <c r="N39" s="368"/>
      <c r="P39" s="81" t="str">
        <f t="shared" si="0"/>
        <v/>
      </c>
    </row>
    <row r="40" spans="1:16" x14ac:dyDescent="0.15">
      <c r="A40" s="81" t="str">
        <f>COPY!O38</f>
        <v>BKK.7</v>
      </c>
      <c r="B40" s="81">
        <f>COPY!C38</f>
        <v>1</v>
      </c>
      <c r="C40" s="82">
        <f>COPY!D38</f>
        <v>45905</v>
      </c>
      <c r="D40" s="81" t="str">
        <f>IF(Table13[[#This Row],[JUMLAH]]&gt;1,(IF(Table13[[#This Row],[CODE]]=" ",D39&amp;"a",IF(Table13[[#This Row],[CODE]]&gt;0,Table13[[#This Row],[CODE]],0))),"")</f>
        <v>BKK.7</v>
      </c>
      <c r="E40" s="81" t="str">
        <f>IF(COPY!G38&gt;0,COPY!G38,"")</f>
        <v>Semen 3 Roda</v>
      </c>
      <c r="F40" s="88">
        <f>IF(COPY!J38&gt;0,COPY!J38,"")</f>
        <v>15</v>
      </c>
      <c r="G40" s="85" t="str">
        <f>IF(COPY!H38&gt;0,COPY!H38,"")</f>
        <v>Sak</v>
      </c>
      <c r="H40" s="85">
        <f>IF(COPY!I38&gt;0,COPY!I38,"")</f>
        <v>52000</v>
      </c>
      <c r="I40" s="85">
        <f>IF(COPY!M38&gt;0,COPY!M38,"")</f>
        <v>780000</v>
      </c>
      <c r="J40" s="85">
        <f>IF(COPY!N38&gt;0,COPY!N38,"")</f>
        <v>780000</v>
      </c>
      <c r="K40" s="86">
        <f>IF(N40=0,(IF(LEFT(Table13[[#This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Row],[URAIAN]],$U$194:$V$210,2,FALSE),""),""),0))))),N40)</f>
        <v>0</v>
      </c>
      <c r="L40" s="85" t="str">
        <f>IF(Table13[[#This Row],[Column2]]="KWITANSI",COUNTIF($K$4:K40,"KWITANSI")," ")</f>
        <v xml:space="preserve"> </v>
      </c>
      <c r="M40" s="85" t="str">
        <f>IF(Table13[[#This Row],[Column3]]=" "," ",Table13[[#This Row],[CODE]])</f>
        <v xml:space="preserve"> </v>
      </c>
      <c r="N40" s="368"/>
      <c r="P40" s="81" t="str">
        <f t="shared" si="0"/>
        <v/>
      </c>
    </row>
    <row r="41" spans="1:16" x14ac:dyDescent="0.15">
      <c r="A41" s="81" t="str">
        <f>COPY!O39</f>
        <v>BKK.8</v>
      </c>
      <c r="B41" s="81">
        <f>COPY!C39</f>
        <v>1</v>
      </c>
      <c r="C41" s="82">
        <f>COPY!D39</f>
        <v>45905</v>
      </c>
      <c r="D41" s="81" t="str">
        <f>IF(Table13[[#This Row],[JUMLAH]]&gt;1,(IF(Table13[[#This Row],[CODE]]=" ",D40&amp;"a",IF(Table13[[#This Row],[CODE]]&gt;0,Table13[[#This Row],[CODE]],0))),"")</f>
        <v>BKK.8</v>
      </c>
      <c r="E41" s="81" t="str">
        <f>IF(COPY!G39&gt;0,COPY!G39,"")</f>
        <v>Bayar Dana Perencanaan</v>
      </c>
      <c r="F41" s="88">
        <f>IF(COPY!J39&gt;0,COPY!J39,"")</f>
        <v>1</v>
      </c>
      <c r="G41" s="85" t="str">
        <f>IF(COPY!H39&gt;0,COPY!H39,"")</f>
        <v/>
      </c>
      <c r="H41" s="85">
        <f>IF(COPY!I39&gt;0,COPY!I39,"")</f>
        <v>2761410</v>
      </c>
      <c r="I41" s="85">
        <f>IF(COPY!M39&gt;0,COPY!M39,"")</f>
        <v>2761410</v>
      </c>
      <c r="J41" s="85">
        <f>IF(COPY!N39&gt;0,COPY!N39,"")</f>
        <v>2761410</v>
      </c>
      <c r="K41" s="86" t="str">
        <f>IF(N41=0,(IF(LEFT(Table13[[#This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Row],[URAIAN]],$U$194:$V$210,2,FALSE),""),""),0))))),N41)</f>
        <v>KWITANSI</v>
      </c>
      <c r="L41" s="85">
        <f>IF(Table13[[#This Row],[Column2]]="KWITANSI",COUNTIF($K$4:K41,"KWITANSI")," ")</f>
        <v>1</v>
      </c>
      <c r="M41" s="85" t="str">
        <f>IF(Table13[[#This Row],[Column3]]=" "," ",Table13[[#This Row],[CODE]])</f>
        <v>BKK.8</v>
      </c>
      <c r="N41" s="368"/>
      <c r="P41" s="81" t="str">
        <f t="shared" si="0"/>
        <v/>
      </c>
    </row>
    <row r="42" spans="1:16" x14ac:dyDescent="0.15">
      <c r="A42" s="81" t="str">
        <f>COPY!O40</f>
        <v>BKK.9</v>
      </c>
      <c r="B42" s="81">
        <f>COPY!C40</f>
        <v>1</v>
      </c>
      <c r="C42" s="82">
        <f>COPY!D40</f>
        <v>45906</v>
      </c>
      <c r="D42" s="81" t="str">
        <f>IF(Table13[[#This Row],[JUMLAH]]&gt;1,(IF(Table13[[#This Row],[CODE]]=" ",D41&amp;"a",IF(Table13[[#This Row],[CODE]]&gt;0,Table13[[#This Row],[CODE]],0))),"")</f>
        <v>BKK.9</v>
      </c>
      <c r="E42" s="81" t="str">
        <f>IF(COPY!G40&gt;0,COPY!G40,"")</f>
        <v>Pembayaran Pekerja Minggu Ke 1</v>
      </c>
      <c r="F42" s="88">
        <f>IF(COPY!J40&gt;0,COPY!J40,"")</f>
        <v>1</v>
      </c>
      <c r="G42" s="85" t="str">
        <f>IF(COPY!H40&gt;0,COPY!H40,"")</f>
        <v/>
      </c>
      <c r="H42" s="85">
        <f>IF(COPY!I40&gt;0,COPY!I40,"")</f>
        <v>1</v>
      </c>
      <c r="I42" s="85">
        <f>IF(COPY!M40&gt;0,COPY!M40,"")</f>
        <v>5110000</v>
      </c>
      <c r="J42" s="85">
        <f>IF(COPY!N40&gt;0,COPY!N40,"")</f>
        <v>5110000</v>
      </c>
      <c r="K42" s="86" t="str">
        <f>IF(N42=0,(IF(LEFT(Table13[[#This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Row],[URAIAN]],$U$194:$V$210,2,FALSE),""),""),0))))),N42)</f>
        <v>KWITANSI</v>
      </c>
      <c r="L42" s="85">
        <f>IF(Table13[[#This Row],[Column2]]="KWITANSI",COUNTIF($K$4:K42,"KWITANSI")," ")</f>
        <v>2</v>
      </c>
      <c r="M42" s="85" t="str">
        <f>IF(Table13[[#This Row],[Column3]]=" "," ",Table13[[#This Row],[CODE]])</f>
        <v>BKK.9</v>
      </c>
      <c r="N42" s="368"/>
      <c r="P42" s="81" t="str">
        <f t="shared" si="0"/>
        <v/>
      </c>
    </row>
    <row r="43" spans="1:16" x14ac:dyDescent="0.15">
      <c r="A43" s="81" t="str">
        <f>COPY!O41</f>
        <v>BKK.10</v>
      </c>
      <c r="B43" s="81">
        <f>COPY!C41</f>
        <v>1</v>
      </c>
      <c r="C43" s="82">
        <f>COPY!D41</f>
        <v>45908</v>
      </c>
      <c r="D43" s="81" t="str">
        <f>IF(Table13[[#This Row],[JUMLAH]]&gt;1,(IF(Table13[[#This Row],[CODE]]=" ",D42&amp;"a",IF(Table13[[#This Row],[CODE]]&gt;0,Table13[[#This Row],[CODE]],0))),"")</f>
        <v>BKK.10</v>
      </c>
      <c r="E43" s="81" t="str">
        <f>IF(COPY!G41&gt;0,COPY!G41,"")</f>
        <v>Garuk Besar</v>
      </c>
      <c r="F43" s="88">
        <f>IF(COPY!J41&gt;0,COPY!J41,"")</f>
        <v>2</v>
      </c>
      <c r="G43" s="85" t="str">
        <f>IF(COPY!H41&gt;0,COPY!H41,"")</f>
        <v>Pcs</v>
      </c>
      <c r="H43" s="85">
        <f>IF(COPY!I41&gt;0,COPY!I41,"")</f>
        <v>25000</v>
      </c>
      <c r="I43" s="85">
        <f>IF(COPY!M41&gt;0,COPY!M41,"")</f>
        <v>50000</v>
      </c>
      <c r="J43" s="85">
        <f>IF(COPY!N41&gt;0,COPY!N41,"")</f>
        <v>1284000</v>
      </c>
      <c r="K43" s="86">
        <f>IF(N43=0,(IF(LEFT(Table13[[#This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Row],[URAIAN]],$U$194:$V$210,2,FALSE),""),""),0))))),N43)</f>
        <v>0</v>
      </c>
      <c r="L43" s="85" t="str">
        <f>IF(Table13[[#This Row],[Column2]]="KWITANSI",COUNTIF($K$4:K43,"KWITANSI")," ")</f>
        <v xml:space="preserve"> </v>
      </c>
      <c r="M43" s="85" t="str">
        <f>IF(Table13[[#This Row],[Column3]]=" "," ",Table13[[#This Row],[CODE]])</f>
        <v xml:space="preserve"> </v>
      </c>
      <c r="N43" s="368"/>
      <c r="P43" s="81" t="str">
        <f t="shared" si="0"/>
        <v/>
      </c>
    </row>
    <row r="44" spans="1:16" x14ac:dyDescent="0.15">
      <c r="A44" s="81" t="str">
        <f>COPY!O42</f>
        <v/>
      </c>
      <c r="B44" s="81">
        <f>COPY!C42</f>
        <v>1</v>
      </c>
      <c r="C44" s="82" t="str">
        <f>COPY!D42</f>
        <v/>
      </c>
      <c r="D44" s="81" t="str">
        <f>IF(Table13[[#This Row],[JUMLAH]]&gt;1,(IF(Table13[[#This Row],[CODE]]=" ",D43&amp;"a",IF(Table13[[#This Row],[CODE]]&gt;0,Table13[[#This Row],[CODE]],0))),"")</f>
        <v/>
      </c>
      <c r="E44" s="81" t="str">
        <f>IF(COPY!G42&gt;0,COPY!G42,"")</f>
        <v>Kaleng Adiva</v>
      </c>
      <c r="F44" s="88">
        <f>IF(COPY!J42&gt;0,COPY!J42,"")</f>
        <v>6</v>
      </c>
      <c r="G44" s="85" t="str">
        <f>IF(COPY!H42&gt;0,COPY!H42,"")</f>
        <v>Pcs</v>
      </c>
      <c r="H44" s="85">
        <f>IF(COPY!I42&gt;0,COPY!I42,"")</f>
        <v>10000</v>
      </c>
      <c r="I44" s="85">
        <f>IF(COPY!M42&gt;0,COPY!M42,"")</f>
        <v>60000</v>
      </c>
      <c r="J44" s="85" t="str">
        <f>IF(COPY!N42&gt;0,COPY!N42,"")</f>
        <v/>
      </c>
      <c r="K44" s="86" t="str">
        <f>IF(N44=0,(IF(LEFT(Table13[[#This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Row],[URAIAN]],$U$194:$V$210,2,FALSE),""),""),0))))),N44)</f>
        <v/>
      </c>
      <c r="L44" s="85" t="str">
        <f>IF(Table13[[#This Row],[Column2]]="KWITANSI",COUNTIF($K$4:K44,"KWITANSI")," ")</f>
        <v xml:space="preserve"> </v>
      </c>
      <c r="M44" s="85" t="str">
        <f>IF(Table13[[#This Row],[Column3]]=" "," ",Table13[[#This Row],[CODE]])</f>
        <v xml:space="preserve"> </v>
      </c>
      <c r="N44" s="368"/>
      <c r="P44" s="81" t="str">
        <f t="shared" si="0"/>
        <v/>
      </c>
    </row>
    <row r="45" spans="1:16" x14ac:dyDescent="0.15">
      <c r="A45" s="81" t="str">
        <f>COPY!O43</f>
        <v/>
      </c>
      <c r="B45" s="81">
        <f>COPY!C43</f>
        <v>1</v>
      </c>
      <c r="C45" s="82" t="str">
        <f>COPY!D43</f>
        <v/>
      </c>
      <c r="D45" s="81" t="str">
        <f>IF(Table13[[#This Row],[JUMLAH]]&gt;1,(IF(Table13[[#This Row],[CODE]]=" ",D44&amp;"a",IF(Table13[[#This Row],[CODE]]&gt;0,Table13[[#This Row],[CODE]],0))),"")</f>
        <v/>
      </c>
      <c r="E45" s="81" t="str">
        <f>IF(COPY!G43&gt;0,COPY!G43,"")</f>
        <v>Bambu</v>
      </c>
      <c r="F45" s="88">
        <f>IF(COPY!J43&gt;0,COPY!J43,"")</f>
        <v>20</v>
      </c>
      <c r="G45" s="85" t="str">
        <f>IF(COPY!H43&gt;0,COPY!H43,"")</f>
        <v>Ljr</v>
      </c>
      <c r="H45" s="85">
        <f>IF(COPY!I43&gt;0,COPY!I43,"")</f>
        <v>25000</v>
      </c>
      <c r="I45" s="85">
        <f>IF(COPY!M43&gt;0,COPY!M43,"")</f>
        <v>500000</v>
      </c>
      <c r="J45" s="85" t="str">
        <f>IF(COPY!N43&gt;0,COPY!N43,"")</f>
        <v/>
      </c>
      <c r="K45" s="86" t="str">
        <f>IF(N45=0,(IF(LEFT(Table13[[#This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Row],[URAIAN]],$U$194:$V$210,2,FALSE),""),""),0))))),N45)</f>
        <v/>
      </c>
      <c r="L45" s="85" t="str">
        <f>IF(Table13[[#This Row],[Column2]]="KWITANSI",COUNTIF($K$4:K45,"KWITANSI")," ")</f>
        <v xml:space="preserve"> </v>
      </c>
      <c r="M45" s="85" t="str">
        <f>IF(Table13[[#This Row],[Column3]]=" "," ",Table13[[#This Row],[CODE]])</f>
        <v xml:space="preserve"> </v>
      </c>
      <c r="N45" s="368"/>
      <c r="P45" s="81" t="str">
        <f t="shared" si="0"/>
        <v/>
      </c>
    </row>
    <row r="46" spans="1:16" x14ac:dyDescent="0.15">
      <c r="A46" s="81" t="str">
        <f>COPY!O44</f>
        <v/>
      </c>
      <c r="B46" s="81">
        <f>COPY!C44</f>
        <v>1</v>
      </c>
      <c r="C46" s="82" t="str">
        <f>COPY!D44</f>
        <v/>
      </c>
      <c r="D46" s="81" t="str">
        <f>IF(Table13[[#This Row],[JUMLAH]]&gt;1,(IF(Table13[[#This Row],[CODE]]=" ",D45&amp;"a",IF(Table13[[#This Row],[CODE]]&gt;0,Table13[[#This Row],[CODE]],0))),"")</f>
        <v/>
      </c>
      <c r="E46" s="81" t="str">
        <f>IF(COPY!G44&gt;0,COPY!G44,"")</f>
        <v>Paku 1 1/2</v>
      </c>
      <c r="F46" s="88">
        <f>IF(COPY!J44&gt;0,COPY!J44,"")</f>
        <v>4</v>
      </c>
      <c r="G46" s="85" t="str">
        <f>IF(COPY!H44&gt;0,COPY!H44,"")</f>
        <v>kg</v>
      </c>
      <c r="H46" s="85">
        <f>IF(COPY!I44&gt;0,COPY!I44,"")</f>
        <v>20000</v>
      </c>
      <c r="I46" s="85">
        <f>IF(COPY!M44&gt;0,COPY!M44,"")</f>
        <v>80000</v>
      </c>
      <c r="J46" s="85" t="str">
        <f>IF(COPY!N44&gt;0,COPY!N44,"")</f>
        <v/>
      </c>
      <c r="K46" s="86" t="str">
        <f>IF(N46=0,(IF(LEFT(Table13[[#This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Row],[URAIAN]],$U$194:$V$210,2,FALSE),""),""),0))))),N46)</f>
        <v/>
      </c>
      <c r="L46" s="85" t="str">
        <f>IF(Table13[[#This Row],[Column2]]="KWITANSI",COUNTIF($K$4:K46,"KWITANSI")," ")</f>
        <v xml:space="preserve"> </v>
      </c>
      <c r="M46" s="85" t="str">
        <f>IF(Table13[[#This Row],[Column3]]=" "," ",Table13[[#This Row],[CODE]])</f>
        <v xml:space="preserve"> </v>
      </c>
      <c r="N46" s="368"/>
      <c r="P46" s="81" t="str">
        <f t="shared" si="0"/>
        <v/>
      </c>
    </row>
    <row r="47" spans="1:16" x14ac:dyDescent="0.15">
      <c r="A47" s="81" t="str">
        <f>COPY!O45</f>
        <v/>
      </c>
      <c r="B47" s="81">
        <f>COPY!C45</f>
        <v>1</v>
      </c>
      <c r="C47" s="82" t="str">
        <f>COPY!D45</f>
        <v/>
      </c>
      <c r="D47" s="81" t="str">
        <f>IF(Table13[[#This Row],[JUMLAH]]&gt;1,(IF(Table13[[#This Row],[CODE]]=" ",D46&amp;"a",IF(Table13[[#This Row],[CODE]]&gt;0,Table13[[#This Row],[CODE]],0))),"")</f>
        <v/>
      </c>
      <c r="E47" s="81" t="str">
        <f>IF(COPY!G45&gt;0,COPY!G45,"")</f>
        <v>Pasir Biasa L300</v>
      </c>
      <c r="F47" s="88">
        <f>IF(COPY!J45&gt;0,COPY!J45,"")</f>
        <v>1</v>
      </c>
      <c r="G47" s="85" t="str">
        <f>IF(COPY!H45&gt;0,COPY!H45,"")</f>
        <v>Pik Up</v>
      </c>
      <c r="H47" s="85">
        <f>IF(COPY!I45&gt;0,COPY!I45,"")</f>
        <v>230000</v>
      </c>
      <c r="I47" s="85">
        <f>IF(COPY!M45&gt;0,COPY!M45,"")</f>
        <v>230000</v>
      </c>
      <c r="J47" s="85" t="str">
        <f>IF(COPY!N45&gt;0,COPY!N45,"")</f>
        <v/>
      </c>
      <c r="K47" s="86" t="str">
        <f>IF(N47=0,(IF(LEFT(Table13[[#This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Row],[URAIAN]],$U$194:$V$210,2,FALSE),""),""),0))))),N47)</f>
        <v/>
      </c>
      <c r="L47" s="85" t="str">
        <f>IF(Table13[[#This Row],[Column2]]="KWITANSI",COUNTIF($K$4:K47,"KWITANSI")," ")</f>
        <v xml:space="preserve"> </v>
      </c>
      <c r="M47" s="85" t="str">
        <f>IF(Table13[[#This Row],[Column3]]=" "," ",Table13[[#This Row],[CODE]])</f>
        <v xml:space="preserve"> </v>
      </c>
      <c r="N47" s="368"/>
      <c r="P47" s="81" t="str">
        <f t="shared" si="0"/>
        <v/>
      </c>
    </row>
    <row r="48" spans="1:16" x14ac:dyDescent="0.15">
      <c r="A48" s="81" t="str">
        <f>COPY!O46</f>
        <v/>
      </c>
      <c r="B48" s="81">
        <f>COPY!C46</f>
        <v>1</v>
      </c>
      <c r="C48" s="82" t="str">
        <f>COPY!D46</f>
        <v/>
      </c>
      <c r="D48" s="81" t="str">
        <f>IF(Table13[[#This Row],[JUMLAH]]&gt;1,(IF(Table13[[#This Row],[CODE]]=" ",D47&amp;"a",IF(Table13[[#This Row],[CODE]]&gt;0,Table13[[#This Row],[CODE]],0))),"")</f>
        <v/>
      </c>
      <c r="E48" s="81" t="str">
        <f>IF(COPY!G46&gt;0,COPY!G46,"")</f>
        <v>Semen 3 Roda</v>
      </c>
      <c r="F48" s="88">
        <f>IF(COPY!J46&gt;0,COPY!J46,"")</f>
        <v>7</v>
      </c>
      <c r="G48" s="85" t="str">
        <f>IF(COPY!H46&gt;0,COPY!H46,"")</f>
        <v>Sak</v>
      </c>
      <c r="H48" s="85">
        <f>IF(COPY!I46&gt;0,COPY!I46,"")</f>
        <v>52000</v>
      </c>
      <c r="I48" s="85">
        <f>IF(COPY!M46&gt;0,COPY!M46,"")</f>
        <v>364000</v>
      </c>
      <c r="J48" s="85" t="str">
        <f>IF(COPY!N46&gt;0,COPY!N46,"")</f>
        <v/>
      </c>
      <c r="K48" s="86" t="str">
        <f>IF(N48=0,(IF(LEFT(Table13[[#This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Row],[URAIAN]],$U$194:$V$210,2,FALSE),""),""),0))))),N48)</f>
        <v/>
      </c>
      <c r="L48" s="85" t="str">
        <f>IF(Table13[[#This Row],[Column2]]="KWITANSI",COUNTIF($K$4:K48,"KWITANSI")," ")</f>
        <v xml:space="preserve"> </v>
      </c>
      <c r="M48" s="85" t="str">
        <f>IF(Table13[[#This Row],[Column3]]=" "," ",Table13[[#This Row],[CODE]])</f>
        <v xml:space="preserve"> </v>
      </c>
      <c r="N48" s="368"/>
      <c r="P48" s="81" t="str">
        <f t="shared" si="0"/>
        <v/>
      </c>
    </row>
    <row r="49" spans="1:16" x14ac:dyDescent="0.15">
      <c r="A49" s="81" t="str">
        <f>COPY!O47</f>
        <v>BKK.11</v>
      </c>
      <c r="B49" s="81">
        <f>COPY!C47</f>
        <v>1</v>
      </c>
      <c r="C49" s="82">
        <f>COPY!D47</f>
        <v>45909</v>
      </c>
      <c r="D49" s="81" t="str">
        <f>IF(Table13[[#This Row],[JUMLAH]]&gt;1,(IF(Table13[[#This Row],[CODE]]=" ",D48&amp;"a",IF(Table13[[#This Row],[CODE]]&gt;0,Table13[[#This Row],[CODE]],0))),"")</f>
        <v>BKK.11</v>
      </c>
      <c r="E49" s="81" t="str">
        <f>IF(COPY!G47&gt;0,COPY!G47,"")</f>
        <v>Koral L300</v>
      </c>
      <c r="F49" s="88">
        <f>IF(COPY!J47&gt;0,COPY!J47,"")</f>
        <v>1</v>
      </c>
      <c r="G49" s="85" t="str">
        <f>IF(COPY!H47&gt;0,COPY!H47,"")</f>
        <v>Pik Up</v>
      </c>
      <c r="H49" s="85">
        <f>IF(COPY!I47&gt;0,COPY!I47,"")</f>
        <v>350000</v>
      </c>
      <c r="I49" s="85">
        <f>IF(COPY!M47&gt;0,COPY!M47,"")</f>
        <v>350000</v>
      </c>
      <c r="J49" s="85">
        <f>IF(COPY!N47&gt;0,COPY!N47,"")</f>
        <v>1818000</v>
      </c>
      <c r="K49" s="86">
        <f>IF(N49=0,(IF(LEFT(Table13[[#This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Row],[URAIAN]],$U$194:$V$210,2,FALSE),""),""),0))))),N49)</f>
        <v>0</v>
      </c>
      <c r="L49" s="85" t="str">
        <f>IF(Table13[[#This Row],[Column2]]="KWITANSI",COUNTIF($K$4:K49,"KWITANSI")," ")</f>
        <v xml:space="preserve"> </v>
      </c>
      <c r="M49" s="85" t="str">
        <f>IF(Table13[[#This Row],[Column3]]=" "," ",Table13[[#This Row],[CODE]])</f>
        <v xml:space="preserve"> </v>
      </c>
      <c r="N49" s="368"/>
      <c r="P49" s="81" t="str">
        <f t="shared" si="0"/>
        <v/>
      </c>
    </row>
    <row r="50" spans="1:16" x14ac:dyDescent="0.15">
      <c r="A50" s="81" t="str">
        <f>COPY!O48</f>
        <v/>
      </c>
      <c r="B50" s="81">
        <f>COPY!C48</f>
        <v>1</v>
      </c>
      <c r="C50" s="82" t="str">
        <f>COPY!D48</f>
        <v/>
      </c>
      <c r="D50" s="81" t="str">
        <f>IF(Table13[[#This Row],[JUMLAH]]&gt;1,(IF(Table13[[#This Row],[CODE]]=" ",D49&amp;"a",IF(Table13[[#This Row],[CODE]]&gt;0,Table13[[#This Row],[CODE]],0))),"")</f>
        <v/>
      </c>
      <c r="E50" s="81" t="str">
        <f>IF(COPY!G48&gt;0,COPY!G48,"")</f>
        <v>Bendrat Spq</v>
      </c>
      <c r="F50" s="88">
        <f>IF(COPY!J48&gt;0,COPY!J48,"")</f>
        <v>5</v>
      </c>
      <c r="G50" s="85" t="str">
        <f>IF(COPY!H48&gt;0,COPY!H48,"")</f>
        <v>kg</v>
      </c>
      <c r="H50" s="85">
        <f>IF(COPY!I48&gt;0,COPY!I48,"")</f>
        <v>22000</v>
      </c>
      <c r="I50" s="85">
        <f>IF(COPY!M48&gt;0,COPY!M48,"")</f>
        <v>110000</v>
      </c>
      <c r="J50" s="85" t="str">
        <f>IF(COPY!N48&gt;0,COPY!N48,"")</f>
        <v/>
      </c>
      <c r="K50" s="86" t="str">
        <f>IF(N50=0,(IF(LEFT(Table13[[#This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Row],[URAIAN]],$U$194:$V$210,2,FALSE),""),""),0))))),N50)</f>
        <v/>
      </c>
      <c r="L50" s="85" t="str">
        <f>IF(Table13[[#This Row],[Column2]]="KWITANSI",COUNTIF($K$4:K50,"KWITANSI")," ")</f>
        <v xml:space="preserve"> </v>
      </c>
      <c r="M50" s="85" t="str">
        <f>IF(Table13[[#This Row],[Column3]]=" "," ",Table13[[#This Row],[CODE]])</f>
        <v xml:space="preserve"> </v>
      </c>
      <c r="N50" s="368"/>
      <c r="P50" s="81" t="str">
        <f t="shared" si="0"/>
        <v/>
      </c>
    </row>
    <row r="51" spans="1:16" x14ac:dyDescent="0.15">
      <c r="A51" s="81" t="str">
        <f>COPY!O49</f>
        <v/>
      </c>
      <c r="B51" s="81">
        <f>COPY!C49</f>
        <v>1</v>
      </c>
      <c r="C51" s="82" t="str">
        <f>COPY!D49</f>
        <v/>
      </c>
      <c r="D51" s="81" t="str">
        <f>IF(Table13[[#This Row],[JUMLAH]]&gt;1,(IF(Table13[[#This Row],[CODE]]=" ",D50&amp;"a",IF(Table13[[#This Row],[CODE]]&gt;0,Table13[[#This Row],[CODE]],0))),"")</f>
        <v/>
      </c>
      <c r="E51" s="81" t="str">
        <f>IF(COPY!G49&gt;0,COPY!G49,"")</f>
        <v>Besi 8.0 Sni</v>
      </c>
      <c r="F51" s="88">
        <f>IF(COPY!J49&gt;0,COPY!J49,"")</f>
        <v>20</v>
      </c>
      <c r="G51" s="85" t="str">
        <f>IF(COPY!H49&gt;0,COPY!H49,"")</f>
        <v>Ljr</v>
      </c>
      <c r="H51" s="85">
        <f>IF(COPY!I49&gt;0,COPY!I49,"")</f>
        <v>46000</v>
      </c>
      <c r="I51" s="85">
        <f>IF(COPY!M49&gt;0,COPY!M49,"")</f>
        <v>920000</v>
      </c>
      <c r="J51" s="85" t="str">
        <f>IF(COPY!N49&gt;0,COPY!N49,"")</f>
        <v/>
      </c>
      <c r="K51" s="86" t="str">
        <f>IF(N51=0,(IF(LEFT(Table13[[#This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Row],[URAIAN]],$U$194:$V$210,2,FALSE),""),""),0))))),N51)</f>
        <v/>
      </c>
      <c r="L51" s="85" t="str">
        <f>IF(Table13[[#This Row],[Column2]]="KWITANSI",COUNTIF($K$4:K51,"KWITANSI")," ")</f>
        <v xml:space="preserve"> </v>
      </c>
      <c r="M51" s="85" t="str">
        <f>IF(Table13[[#This Row],[Column3]]=" "," ",Table13[[#This Row],[CODE]])</f>
        <v xml:space="preserve"> </v>
      </c>
      <c r="N51" s="368"/>
      <c r="P51" s="81" t="str">
        <f t="shared" si="0"/>
        <v/>
      </c>
    </row>
    <row r="52" spans="1:16" x14ac:dyDescent="0.15">
      <c r="A52" s="81" t="str">
        <f>COPY!O50</f>
        <v/>
      </c>
      <c r="B52" s="81">
        <f>COPY!C50</f>
        <v>1</v>
      </c>
      <c r="C52" s="82" t="str">
        <f>COPY!D50</f>
        <v/>
      </c>
      <c r="D52" s="81" t="str">
        <f>IF(Table13[[#This Row],[JUMLAH]]&gt;1,(IF(Table13[[#This Row],[CODE]]=" ",D51&amp;"a",IF(Table13[[#This Row],[CODE]]&gt;0,Table13[[#This Row],[CODE]],0))),"")</f>
        <v/>
      </c>
      <c r="E52" s="81" t="str">
        <f>IF(COPY!G50&gt;0,COPY!G50,"")</f>
        <v>Besi Sni 10.0</v>
      </c>
      <c r="F52" s="88">
        <f>IF(COPY!J50&gt;0,COPY!J50,"")</f>
        <v>6</v>
      </c>
      <c r="G52" s="85" t="str">
        <f>IF(COPY!H50&gt;0,COPY!H50,"")</f>
        <v>Ljr</v>
      </c>
      <c r="H52" s="85">
        <f>IF(COPY!I50&gt;0,COPY!I50,"")</f>
        <v>73000</v>
      </c>
      <c r="I52" s="85">
        <f>IF(COPY!M50&gt;0,COPY!M50,"")</f>
        <v>438000</v>
      </c>
      <c r="J52" s="85" t="str">
        <f>IF(COPY!N50&gt;0,COPY!N50,"")</f>
        <v/>
      </c>
      <c r="K52" s="86" t="str">
        <f>IF(N52=0,(IF(LEFT(Table13[[#This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Row],[URAIAN]],$U$194:$V$210,2,FALSE),""),""),0))))),N52)</f>
        <v/>
      </c>
      <c r="L52" s="85" t="str">
        <f>IF(Table13[[#This Row],[Column2]]="KWITANSI",COUNTIF($K$4:K52,"KWITANSI")," ")</f>
        <v xml:space="preserve"> </v>
      </c>
      <c r="M52" s="85" t="str">
        <f>IF(Table13[[#This Row],[Column3]]=" "," ",Table13[[#This Row],[CODE]])</f>
        <v xml:space="preserve"> </v>
      </c>
      <c r="N52" s="368"/>
      <c r="P52" s="81" t="str">
        <f t="shared" si="0"/>
        <v/>
      </c>
    </row>
    <row r="53" spans="1:16" x14ac:dyDescent="0.15">
      <c r="A53" s="81" t="str">
        <f>COPY!O51</f>
        <v>BKK.12</v>
      </c>
      <c r="B53" s="81">
        <f>COPY!C51</f>
        <v>1</v>
      </c>
      <c r="C53" s="82">
        <f>COPY!D51</f>
        <v>45910</v>
      </c>
      <c r="D53" s="81" t="str">
        <f>IF(Table13[[#This Row],[JUMLAH]]&gt;1,(IF(Table13[[#This Row],[CODE]]=" ",D52&amp;"a",IF(Table13[[#This Row],[CODE]]&gt;0,Table13[[#This Row],[CODE]],0))),"")</f>
        <v>BKK.12</v>
      </c>
      <c r="E53" s="81" t="str">
        <f>IF(COPY!G51&gt;0,COPY!G51,"")</f>
        <v>Besi Sni 10.0</v>
      </c>
      <c r="F53" s="88">
        <f>IF(COPY!J51&gt;0,COPY!J51,"")</f>
        <v>10</v>
      </c>
      <c r="G53" s="85" t="str">
        <f>IF(COPY!H51&gt;0,COPY!H51,"")</f>
        <v>Ljr</v>
      </c>
      <c r="H53" s="85">
        <f>IF(COPY!I51&gt;0,COPY!I51,"")</f>
        <v>73000</v>
      </c>
      <c r="I53" s="85">
        <f>IF(COPY!M51&gt;0,COPY!M51,"")</f>
        <v>730000</v>
      </c>
      <c r="J53" s="85">
        <f>IF(COPY!N51&gt;0,COPY!N51,"")</f>
        <v>1510000</v>
      </c>
      <c r="K53" s="86">
        <f>IF(N53=0,(IF(LEFT(Table13[[#This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Row],[URAIAN]],$U$194:$V$210,2,FALSE),""),""),0))))),N53)</f>
        <v>0</v>
      </c>
      <c r="L53" s="85" t="str">
        <f>IF(Table13[[#This Row],[Column2]]="KWITANSI",COUNTIF($K$4:K53,"KWITANSI")," ")</f>
        <v xml:space="preserve"> </v>
      </c>
      <c r="M53" s="85" t="str">
        <f>IF(Table13[[#This Row],[Column3]]=" "," ",Table13[[#This Row],[CODE]])</f>
        <v xml:space="preserve"> </v>
      </c>
      <c r="N53" s="368"/>
      <c r="P53" s="81" t="str">
        <f t="shared" si="0"/>
        <v/>
      </c>
    </row>
    <row r="54" spans="1:16" x14ac:dyDescent="0.15">
      <c r="A54" s="81" t="str">
        <f>COPY!O52</f>
        <v/>
      </c>
      <c r="B54" s="81">
        <f>COPY!C52</f>
        <v>1</v>
      </c>
      <c r="C54" s="82" t="str">
        <f>COPY!D52</f>
        <v/>
      </c>
      <c r="D54" s="81" t="str">
        <f>IF(Table13[[#This Row],[JUMLAH]]&gt;1,(IF(Table13[[#This Row],[CODE]]=" ",D53&amp;"a",IF(Table13[[#This Row],[CODE]]&gt;0,Table13[[#This Row],[CODE]],0))),"")</f>
        <v/>
      </c>
      <c r="E54" s="81" t="str">
        <f>IF(COPY!G52&gt;0,COPY!G52,"")</f>
        <v>Semen 3 Roda</v>
      </c>
      <c r="F54" s="88">
        <f>IF(COPY!J52&gt;0,COPY!J52,"")</f>
        <v>15</v>
      </c>
      <c r="G54" s="85" t="str">
        <f>IF(COPY!H52&gt;0,COPY!H52,"")</f>
        <v>Sak</v>
      </c>
      <c r="H54" s="85">
        <f>IF(COPY!I52&gt;0,COPY!I52,"")</f>
        <v>52000</v>
      </c>
      <c r="I54" s="85">
        <f>IF(COPY!M52&gt;0,COPY!M52,"")</f>
        <v>780000</v>
      </c>
      <c r="J54" s="85" t="str">
        <f>IF(COPY!N52&gt;0,COPY!N52,"")</f>
        <v/>
      </c>
      <c r="K54" s="86" t="str">
        <f>IF(N54=0,(IF(LEFT(Table13[[#This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Row],[URAIAN]],$U$194:$V$210,2,FALSE),""),""),0))))),N54)</f>
        <v/>
      </c>
      <c r="L54" s="85" t="str">
        <f>IF(Table13[[#This Row],[Column2]]="KWITANSI",COUNTIF($K$4:K54,"KWITANSI")," ")</f>
        <v xml:space="preserve"> </v>
      </c>
      <c r="M54" s="85" t="str">
        <f>IF(Table13[[#This Row],[Column3]]=" "," ",Table13[[#This Row],[CODE]])</f>
        <v xml:space="preserve"> </v>
      </c>
      <c r="N54" s="368"/>
      <c r="P54" s="81" t="str">
        <f t="shared" si="0"/>
        <v/>
      </c>
    </row>
    <row r="55" spans="1:16" x14ac:dyDescent="0.15">
      <c r="A55" s="81" t="str">
        <f>COPY!O53</f>
        <v>BKK.13</v>
      </c>
      <c r="B55" s="81">
        <f>COPY!C53</f>
        <v>1</v>
      </c>
      <c r="C55" s="82">
        <f>COPY!D53</f>
        <v>45911</v>
      </c>
      <c r="D55" s="81" t="str">
        <f>IF(Table13[[#This Row],[JUMLAH]]&gt;1,(IF(Table13[[#This Row],[CODE]]=" ",D54&amp;"a",IF(Table13[[#This Row],[CODE]]&gt;0,Table13[[#This Row],[CODE]],0))),"")</f>
        <v>BKK.13</v>
      </c>
      <c r="E55" s="81" t="str">
        <f>IF(COPY!G53&gt;0,COPY!G53,"")</f>
        <v>Koral L300</v>
      </c>
      <c r="F55" s="88">
        <f>IF(COPY!J53&gt;0,COPY!J53,"")</f>
        <v>1</v>
      </c>
      <c r="G55" s="85" t="str">
        <f>IF(COPY!H53&gt;0,COPY!H53,"")</f>
        <v>Pik Up</v>
      </c>
      <c r="H55" s="85">
        <f>IF(COPY!I53&gt;0,COPY!I53,"")</f>
        <v>350000</v>
      </c>
      <c r="I55" s="85">
        <f>IF(COPY!M53&gt;0,COPY!M53,"")</f>
        <v>350000</v>
      </c>
      <c r="J55" s="85">
        <f>IF(COPY!N53&gt;0,COPY!N53,"")</f>
        <v>1940000</v>
      </c>
      <c r="K55" s="86">
        <f>IF(N55=0,(IF(LEFT(Table13[[#This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Row],[URAIAN]],$U$194:$V$210,2,FALSE),""),""),0))))),N55)</f>
        <v>0</v>
      </c>
      <c r="L55" s="85" t="str">
        <f>IF(Table13[[#This Row],[Column2]]="KWITANSI",COUNTIF($K$4:K55,"KWITANSI")," ")</f>
        <v xml:space="preserve"> </v>
      </c>
      <c r="M55" s="85" t="str">
        <f>IF(Table13[[#This Row],[Column3]]=" "," ",Table13[[#This Row],[CODE]])</f>
        <v xml:space="preserve"> </v>
      </c>
      <c r="N55" s="368"/>
      <c r="P55" s="81" t="str">
        <f t="shared" si="0"/>
        <v/>
      </c>
    </row>
    <row r="56" spans="1:16" x14ac:dyDescent="0.15">
      <c r="A56" s="81" t="str">
        <f>COPY!O54</f>
        <v/>
      </c>
      <c r="B56" s="81">
        <f>COPY!C54</f>
        <v>1</v>
      </c>
      <c r="C56" s="82" t="str">
        <f>COPY!D54</f>
        <v/>
      </c>
      <c r="D56" s="81" t="str">
        <f>IF(Table13[[#This Row],[JUMLAH]]&gt;1,(IF(Table13[[#This Row],[CODE]]=" ",D55&amp;"a",IF(Table13[[#This Row],[CODE]]&gt;0,Table13[[#This Row],[CODE]],0))),"")</f>
        <v/>
      </c>
      <c r="E56" s="81" t="str">
        <f>IF(COPY!G54&gt;0,COPY!G54,"")</f>
        <v>Bendrat Spq</v>
      </c>
      <c r="F56" s="88">
        <f>IF(COPY!J54&gt;0,COPY!J54,"")</f>
        <v>5</v>
      </c>
      <c r="G56" s="85" t="str">
        <f>IF(COPY!H54&gt;0,COPY!H54,"")</f>
        <v>kg</v>
      </c>
      <c r="H56" s="85">
        <f>IF(COPY!I54&gt;0,COPY!I54,"")</f>
        <v>22000</v>
      </c>
      <c r="I56" s="85">
        <f>IF(COPY!M54&gt;0,COPY!M54,"")</f>
        <v>110000</v>
      </c>
      <c r="J56" s="85" t="str">
        <f>IF(COPY!N54&gt;0,COPY!N54,"")</f>
        <v/>
      </c>
      <c r="K56" s="86" t="str">
        <f>IF(N56=0,(IF(LEFT(Table13[[#This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Row],[URAIAN]],$U$194:$V$210,2,FALSE),""),""),0))))),N56)</f>
        <v/>
      </c>
      <c r="L56" s="85" t="str">
        <f>IF(Table13[[#This Row],[Column2]]="KWITANSI",COUNTIF($K$4:K56,"KWITANSI")," ")</f>
        <v xml:space="preserve"> </v>
      </c>
      <c r="M56" s="85" t="str">
        <f>IF(Table13[[#This Row],[Column3]]=" "," ",Table13[[#This Row],[CODE]])</f>
        <v xml:space="preserve"> </v>
      </c>
      <c r="N56" s="368"/>
      <c r="P56" s="81" t="str">
        <f t="shared" si="0"/>
        <v/>
      </c>
    </row>
    <row r="57" spans="1:16" x14ac:dyDescent="0.15">
      <c r="A57" s="81" t="str">
        <f>COPY!O55</f>
        <v/>
      </c>
      <c r="B57" s="81">
        <f>COPY!C55</f>
        <v>1</v>
      </c>
      <c r="C57" s="82" t="str">
        <f>COPY!D55</f>
        <v/>
      </c>
      <c r="D57" s="81" t="str">
        <f>IF(Table13[[#This Row],[JUMLAH]]&gt;1,(IF(Table13[[#This Row],[CODE]]=" ",D56&amp;"a",IF(Table13[[#This Row],[CODE]]&gt;0,Table13[[#This Row],[CODE]],0))),"")</f>
        <v/>
      </c>
      <c r="E57" s="81" t="str">
        <f>IF(COPY!G55&gt;0,COPY!G55,"")</f>
        <v>Besi 6.0 Sni</v>
      </c>
      <c r="F57" s="88">
        <f>IF(COPY!J55&gt;0,COPY!J55,"")</f>
        <v>20</v>
      </c>
      <c r="G57" s="85" t="str">
        <f>IF(COPY!H55&gt;0,COPY!H55,"")</f>
        <v>Ljr</v>
      </c>
      <c r="H57" s="85">
        <f>IF(COPY!I55&gt;0,COPY!I55,"")</f>
        <v>28000</v>
      </c>
      <c r="I57" s="85">
        <f>IF(COPY!M55&gt;0,COPY!M55,"")</f>
        <v>560000</v>
      </c>
      <c r="J57" s="85" t="str">
        <f>IF(COPY!N55&gt;0,COPY!N55,"")</f>
        <v/>
      </c>
      <c r="K57" s="86" t="str">
        <f>IF(N57=0,(IF(LEFT(Table13[[#This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Row],[URAIAN]],$U$194:$V$210,2,FALSE),""),""),0))))),N57)</f>
        <v/>
      </c>
      <c r="L57" s="85" t="str">
        <f>IF(Table13[[#This Row],[Column2]]="KWITANSI",COUNTIF($K$4:K57,"KWITANSI")," ")</f>
        <v xml:space="preserve"> </v>
      </c>
      <c r="M57" s="85" t="str">
        <f>IF(Table13[[#This Row],[Column3]]=" "," ",Table13[[#This Row],[CODE]])</f>
        <v xml:space="preserve"> </v>
      </c>
      <c r="N57" s="368"/>
      <c r="P57" s="81" t="str">
        <f t="shared" si="0"/>
        <v/>
      </c>
    </row>
    <row r="58" spans="1:16" x14ac:dyDescent="0.15">
      <c r="A58" s="81" t="str">
        <f>COPY!O56</f>
        <v/>
      </c>
      <c r="B58" s="81">
        <f>COPY!C56</f>
        <v>1</v>
      </c>
      <c r="C58" s="82" t="str">
        <f>COPY!D56</f>
        <v/>
      </c>
      <c r="D58" s="81" t="str">
        <f>IF(Table13[[#This Row],[JUMLAH]]&gt;1,(IF(Table13[[#This Row],[CODE]]=" ",D57&amp;"a",IF(Table13[[#This Row],[CODE]]&gt;0,Table13[[#This Row],[CODE]],0))),"")</f>
        <v/>
      </c>
      <c r="E58" s="81" t="str">
        <f>IF(COPY!G56&gt;0,COPY!G56,"")</f>
        <v>Besi 8.0 Sni</v>
      </c>
      <c r="F58" s="88">
        <f>IF(COPY!J56&gt;0,COPY!J56,"")</f>
        <v>20</v>
      </c>
      <c r="G58" s="85" t="str">
        <f>IF(COPY!H56&gt;0,COPY!H56,"")</f>
        <v>Ljr</v>
      </c>
      <c r="H58" s="85">
        <f>IF(COPY!I56&gt;0,COPY!I56,"")</f>
        <v>46000</v>
      </c>
      <c r="I58" s="85">
        <f>IF(COPY!M56&gt;0,COPY!M56,"")</f>
        <v>920000</v>
      </c>
      <c r="J58" s="85" t="str">
        <f>IF(COPY!N56&gt;0,COPY!N56,"")</f>
        <v/>
      </c>
      <c r="K58" s="86" t="str">
        <f>IF(N58=0,(IF(LEFT(Table13[[#This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Row],[URAIAN]],$U$194:$V$210,2,FALSE),""),""),0))))),N58)</f>
        <v/>
      </c>
      <c r="L58" s="85" t="str">
        <f>IF(Table13[[#This Row],[Column2]]="KWITANSI",COUNTIF($K$4:K58,"KWITANSI")," ")</f>
        <v xml:space="preserve"> </v>
      </c>
      <c r="M58" s="85" t="str">
        <f>IF(Table13[[#This Row],[Column3]]=" "," ",Table13[[#This Row],[CODE]])</f>
        <v xml:space="preserve"> </v>
      </c>
      <c r="N58" s="368"/>
      <c r="P58" s="81" t="str">
        <f t="shared" si="0"/>
        <v/>
      </c>
    </row>
    <row r="59" spans="1:16" x14ac:dyDescent="0.15">
      <c r="A59" s="81" t="str">
        <f>COPY!O57</f>
        <v>BKK.14</v>
      </c>
      <c r="B59" s="81">
        <f>COPY!C57</f>
        <v>1</v>
      </c>
      <c r="C59" s="82">
        <f>COPY!D57</f>
        <v>45912</v>
      </c>
      <c r="D59" s="81" t="str">
        <f>IF(Table13[[#This Row],[JUMLAH]]&gt;1,(IF(Table13[[#This Row],[CODE]]=" ",D58&amp;"a",IF(Table13[[#This Row],[CODE]]&gt;0,Table13[[#This Row],[CODE]],0))),"")</f>
        <v>BKK.14</v>
      </c>
      <c r="E59" s="81" t="str">
        <f>IF(COPY!G57&gt;0,COPY!G57,"")</f>
        <v>Kosumsi Rapat Dengan Komite</v>
      </c>
      <c r="F59" s="88">
        <f>IF(COPY!J57&gt;0,COPY!J57,"")</f>
        <v>14</v>
      </c>
      <c r="G59" s="85" t="str">
        <f>IF(COPY!H57&gt;0,COPY!H57,"")</f>
        <v>Bks</v>
      </c>
      <c r="H59" s="85">
        <f>IF(COPY!I57&gt;0,COPY!I57,"")</f>
        <v>30000</v>
      </c>
      <c r="I59" s="85">
        <f>IF(COPY!M57&gt;0,COPY!M57,"")</f>
        <v>420000</v>
      </c>
      <c r="J59" s="85">
        <f>IF(COPY!N57&gt;0,COPY!N57,"")</f>
        <v>420000</v>
      </c>
      <c r="K59" s="86">
        <f>IF(N59=0,(IF(LEFT(Table13[[#This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Row],[URAIAN]],$U$194:$V$210,2,FALSE),""),""),0))))),N59)</f>
        <v>0</v>
      </c>
      <c r="L59" s="85" t="str">
        <f>IF(Table13[[#This Row],[Column2]]="KWITANSI",COUNTIF($K$4:K59,"KWITANSI")," ")</f>
        <v xml:space="preserve"> </v>
      </c>
      <c r="M59" s="85" t="str">
        <f>IF(Table13[[#This Row],[Column3]]=" "," ",Table13[[#This Row],[CODE]])</f>
        <v xml:space="preserve"> </v>
      </c>
      <c r="N59" s="368"/>
      <c r="P59" s="81" t="str">
        <f t="shared" si="0"/>
        <v/>
      </c>
    </row>
    <row r="60" spans="1:16" x14ac:dyDescent="0.15">
      <c r="A60" s="81" t="str">
        <f>COPY!O58</f>
        <v>BKK.15</v>
      </c>
      <c r="B60" s="81">
        <f>COPY!C58</f>
        <v>1</v>
      </c>
      <c r="C60" s="82">
        <f>COPY!D58</f>
        <v>45913</v>
      </c>
      <c r="D60" s="81" t="str">
        <f>IF(Table13[[#This Row],[JUMLAH]]&gt;1,(IF(Table13[[#This Row],[CODE]]=" ",D59&amp;"a",IF(Table13[[#This Row],[CODE]]&gt;0,Table13[[#This Row],[CODE]],0))),"")</f>
        <v>BKK.15</v>
      </c>
      <c r="E60" s="81" t="str">
        <f>IF(COPY!G58&gt;0,COPY!G58,"")</f>
        <v>Besi 8.0 Sni</v>
      </c>
      <c r="F60" s="88">
        <f>IF(COPY!J58&gt;0,COPY!J58,"")</f>
        <v>15</v>
      </c>
      <c r="G60" s="85" t="str">
        <f>IF(COPY!H58&gt;0,COPY!H58,"")</f>
        <v>Ljr</v>
      </c>
      <c r="H60" s="85">
        <f>IF(COPY!I58&gt;0,COPY!I58,"")</f>
        <v>46000</v>
      </c>
      <c r="I60" s="85">
        <f>IF(COPY!M58&gt;0,COPY!M58,"")</f>
        <v>690000</v>
      </c>
      <c r="J60" s="85">
        <f>IF(COPY!N58&gt;0,COPY!N58,"")</f>
        <v>1931000</v>
      </c>
      <c r="K60" s="86">
        <f>IF(N60=0,(IF(LEFT(Table13[[#This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Row],[URAIAN]],$U$194:$V$210,2,FALSE),""),""),0))))),N60)</f>
        <v>0</v>
      </c>
      <c r="L60" s="85" t="str">
        <f>IF(Table13[[#This Row],[Column2]]="KWITANSI",COUNTIF($K$4:K60,"KWITANSI")," ")</f>
        <v xml:space="preserve"> </v>
      </c>
      <c r="M60" s="85" t="str">
        <f>IF(Table13[[#This Row],[Column3]]=" "," ",Table13[[#This Row],[CODE]])</f>
        <v xml:space="preserve"> </v>
      </c>
      <c r="N60" s="368"/>
      <c r="P60" s="81" t="str">
        <f t="shared" si="0"/>
        <v/>
      </c>
    </row>
    <row r="61" spans="1:16" x14ac:dyDescent="0.15">
      <c r="A61" s="81" t="str">
        <f>COPY!O59</f>
        <v/>
      </c>
      <c r="B61" s="81">
        <f>COPY!C59</f>
        <v>1</v>
      </c>
      <c r="C61" s="82" t="str">
        <f>COPY!D59</f>
        <v/>
      </c>
      <c r="D61" s="81" t="str">
        <f>IF(Table13[[#This Row],[JUMLAH]]&gt;1,(IF(Table13[[#This Row],[CODE]]=" ",D60&amp;"a",IF(Table13[[#This Row],[CODE]]&gt;0,Table13[[#This Row],[CODE]],0))),"")</f>
        <v/>
      </c>
      <c r="E61" s="81" t="str">
        <f>IF(COPY!G59&gt;0,COPY!G59,"")</f>
        <v>Besi Sni 10.0</v>
      </c>
      <c r="F61" s="88">
        <f>IF(COPY!J59&gt;0,COPY!J59,"")</f>
        <v>17</v>
      </c>
      <c r="G61" s="85" t="str">
        <f>IF(COPY!H59&gt;0,COPY!H59,"")</f>
        <v>Ljr</v>
      </c>
      <c r="H61" s="85">
        <f>IF(COPY!I59&gt;0,COPY!I59,"")</f>
        <v>73000</v>
      </c>
      <c r="I61" s="85">
        <f>IF(COPY!M59&gt;0,COPY!M59,"")</f>
        <v>1241000</v>
      </c>
      <c r="J61" s="85" t="str">
        <f>IF(COPY!N59&gt;0,COPY!N59,"")</f>
        <v/>
      </c>
      <c r="K61" s="86" t="str">
        <f>IF(N61=0,(IF(LEFT(Table13[[#This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Row],[URAIAN]],$U$194:$V$210,2,FALSE),""),""),0))))),N61)</f>
        <v/>
      </c>
      <c r="L61" s="85" t="str">
        <f>IF(Table13[[#This Row],[Column2]]="KWITANSI",COUNTIF($K$4:K61,"KWITANSI")," ")</f>
        <v xml:space="preserve"> </v>
      </c>
      <c r="M61" s="85" t="str">
        <f>IF(Table13[[#This Row],[Column3]]=" "," ",Table13[[#This Row],[CODE]])</f>
        <v xml:space="preserve"> </v>
      </c>
      <c r="N61" s="368"/>
      <c r="P61" s="81" t="str">
        <f t="shared" si="0"/>
        <v/>
      </c>
    </row>
    <row r="62" spans="1:16" x14ac:dyDescent="0.15">
      <c r="A62" s="81" t="str">
        <f>COPY!O60</f>
        <v>BKK.16</v>
      </c>
      <c r="B62" s="81">
        <f>COPY!C60</f>
        <v>1</v>
      </c>
      <c r="C62" s="82">
        <f>COPY!D60</f>
        <v>45913</v>
      </c>
      <c r="D62" s="81" t="str">
        <f>IF(Table13[[#This Row],[JUMLAH]]&gt;1,(IF(Table13[[#This Row],[CODE]]=" ",D61&amp;"a",IF(Table13[[#This Row],[CODE]]&gt;0,Table13[[#This Row],[CODE]],0))),"")</f>
        <v>BKK.16</v>
      </c>
      <c r="E62" s="81" t="str">
        <f>IF(COPY!G60&gt;0,COPY!G60,"")</f>
        <v>Pembayaran Pekerja Minggu Ke 2</v>
      </c>
      <c r="F62" s="88">
        <f>IF(COPY!J60&gt;0,COPY!J60,"")</f>
        <v>1</v>
      </c>
      <c r="G62" s="85" t="str">
        <f>IF(COPY!H60&gt;0,COPY!H60,"")</f>
        <v/>
      </c>
      <c r="H62" s="85">
        <f>IF(COPY!I60&gt;0,COPY!I60,"")</f>
        <v>1</v>
      </c>
      <c r="I62" s="85">
        <f>IF(COPY!M60&gt;0,COPY!M60,"")</f>
        <v>5350000</v>
      </c>
      <c r="J62" s="85">
        <f>IF(COPY!N60&gt;0,COPY!N60,"")</f>
        <v>5350000</v>
      </c>
      <c r="K62" s="86" t="str">
        <f>IF(N62=0,(IF(LEFT(Table13[[#This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Row],[URAIAN]],$U$194:$V$210,2,FALSE),""),""),0))))),N62)</f>
        <v>KWITANSI</v>
      </c>
      <c r="L62" s="85">
        <f>IF(Table13[[#This Row],[Column2]]="KWITANSI",COUNTIF($K$4:K62,"KWITANSI")," ")</f>
        <v>3</v>
      </c>
      <c r="M62" s="85" t="str">
        <f>IF(Table13[[#This Row],[Column3]]=" "," ",Table13[[#This Row],[CODE]])</f>
        <v>BKK.16</v>
      </c>
      <c r="N62" s="368"/>
      <c r="P62" s="81" t="str">
        <f t="shared" si="0"/>
        <v/>
      </c>
    </row>
    <row r="63" spans="1:16" x14ac:dyDescent="0.15">
      <c r="A63" s="81" t="str">
        <f>COPY!O61</f>
        <v>BKK.17</v>
      </c>
      <c r="B63" s="81">
        <f>COPY!C61</f>
        <v>1</v>
      </c>
      <c r="C63" s="82">
        <f>COPY!D61</f>
        <v>45916</v>
      </c>
      <c r="D63" s="81" t="str">
        <f>IF(Table13[[#This Row],[JUMLAH]]&gt;1,(IF(Table13[[#This Row],[CODE]]=" ",D62&amp;"a",IF(Table13[[#This Row],[CODE]]&gt;0,Table13[[#This Row],[CODE]],0))),"")</f>
        <v>BKK.17</v>
      </c>
      <c r="E63" s="81" t="str">
        <f>IF(COPY!G61&gt;0,COPY!G61,"")</f>
        <v>Paku 1 1/2</v>
      </c>
      <c r="F63" s="88">
        <f>IF(COPY!J61&gt;0,COPY!J61,"")</f>
        <v>2</v>
      </c>
      <c r="G63" s="85" t="str">
        <f>IF(COPY!H61&gt;0,COPY!H61,"")</f>
        <v>kg</v>
      </c>
      <c r="H63" s="85">
        <f>IF(COPY!I61&gt;0,COPY!I61,"")</f>
        <v>20000</v>
      </c>
      <c r="I63" s="85">
        <f>IF(COPY!M61&gt;0,COPY!M61,"")</f>
        <v>40000</v>
      </c>
      <c r="J63" s="85">
        <f>IF(COPY!N61&gt;0,COPY!N61,"")</f>
        <v>1919000</v>
      </c>
      <c r="K63" s="86">
        <f>IF(N63=0,(IF(LEFT(Table13[[#This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Row],[URAIAN]],$U$194:$V$210,2,FALSE),""),""),0))))),N63)</f>
        <v>0</v>
      </c>
      <c r="L63" s="85" t="str">
        <f>IF(Table13[[#This Row],[Column2]]="KWITANSI",COUNTIF($K$4:K63,"KWITANSI")," ")</f>
        <v xml:space="preserve"> </v>
      </c>
      <c r="M63" s="85" t="str">
        <f>IF(Table13[[#This Row],[Column3]]=" "," ",Table13[[#This Row],[CODE]])</f>
        <v xml:space="preserve"> </v>
      </c>
      <c r="N63" s="368"/>
      <c r="P63" s="81" t="str">
        <f t="shared" si="0"/>
        <v/>
      </c>
    </row>
    <row r="64" spans="1:16" x14ac:dyDescent="0.15">
      <c r="A64" s="81" t="str">
        <f>COPY!O62</f>
        <v/>
      </c>
      <c r="B64" s="81">
        <f>COPY!C62</f>
        <v>1</v>
      </c>
      <c r="C64" s="82" t="str">
        <f>COPY!D62</f>
        <v/>
      </c>
      <c r="D64" s="81" t="str">
        <f>IF(Table13[[#This Row],[JUMLAH]]&gt;1,(IF(Table13[[#This Row],[CODE]]=" ",D63&amp;"a",IF(Table13[[#This Row],[CODE]]&gt;0,Table13[[#This Row],[CODE]],0))),"")</f>
        <v/>
      </c>
      <c r="E64" s="81" t="str">
        <f>IF(COPY!G62&gt;0,COPY!G62,"")</f>
        <v>Paku 2</v>
      </c>
      <c r="F64" s="88">
        <f>IF(COPY!J62&gt;0,COPY!J62,"")</f>
        <v>2</v>
      </c>
      <c r="G64" s="85" t="str">
        <f>IF(COPY!H62&gt;0,COPY!H62,"")</f>
        <v>kg</v>
      </c>
      <c r="H64" s="85">
        <f>IF(COPY!I62&gt;0,COPY!I62,"")</f>
        <v>18000</v>
      </c>
      <c r="I64" s="85">
        <f>IF(COPY!M62&gt;0,COPY!M62,"")</f>
        <v>36000</v>
      </c>
      <c r="J64" s="85" t="str">
        <f>IF(COPY!N62&gt;0,COPY!N62,"")</f>
        <v/>
      </c>
      <c r="K64" s="86" t="str">
        <f>IF(N64=0,(IF(LEFT(Table13[[#This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Row],[URAIAN]],$U$194:$V$210,2,FALSE),""),""),0))))),N64)</f>
        <v/>
      </c>
      <c r="L64" s="85" t="str">
        <f>IF(Table13[[#This Row],[Column2]]="KWITANSI",COUNTIF($K$4:K64,"KWITANSI")," ")</f>
        <v xml:space="preserve"> </v>
      </c>
      <c r="M64" s="85" t="str">
        <f>IF(Table13[[#This Row],[Column3]]=" "," ",Table13[[#This Row],[CODE]])</f>
        <v xml:space="preserve"> </v>
      </c>
      <c r="N64" s="368"/>
      <c r="P64" s="81" t="str">
        <f t="shared" si="0"/>
        <v/>
      </c>
    </row>
    <row r="65" spans="1:16" x14ac:dyDescent="0.15">
      <c r="A65" s="81" t="str">
        <f>COPY!O63</f>
        <v/>
      </c>
      <c r="B65" s="81">
        <f>COPY!C63</f>
        <v>1</v>
      </c>
      <c r="C65" s="82" t="str">
        <f>COPY!D63</f>
        <v/>
      </c>
      <c r="D65" s="81" t="str">
        <f>IF(Table13[[#This Row],[JUMLAH]]&gt;1,(IF(Table13[[#This Row],[CODE]]=" ",D64&amp;"a",IF(Table13[[#This Row],[CODE]]&gt;0,Table13[[#This Row],[CODE]],0))),"")</f>
        <v/>
      </c>
      <c r="E65" s="81" t="str">
        <f>IF(COPY!G63&gt;0,COPY!G63,"")</f>
        <v>Kayu 3 X 5</v>
      </c>
      <c r="F65" s="88">
        <f>IF(COPY!J63&gt;0,COPY!J63,"")</f>
        <v>6</v>
      </c>
      <c r="G65" s="85" t="str">
        <f>IF(COPY!H63&gt;0,COPY!H63,"")</f>
        <v>Ljr</v>
      </c>
      <c r="H65" s="85">
        <f>IF(COPY!I63&gt;0,COPY!I63,"")</f>
        <v>135000</v>
      </c>
      <c r="I65" s="85">
        <f>IF(COPY!M63&gt;0,COPY!M63,"")</f>
        <v>810000</v>
      </c>
      <c r="J65" s="85" t="str">
        <f>IF(COPY!N63&gt;0,COPY!N63,"")</f>
        <v/>
      </c>
      <c r="K65" s="86" t="str">
        <f>IF(N65=0,(IF(LEFT(Table13[[#This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Row],[URAIAN]],$U$194:$V$210,2,FALSE),""),""),0))))),N65)</f>
        <v/>
      </c>
      <c r="L65" s="85" t="str">
        <f>IF(Table13[[#This Row],[Column2]]="KWITANSI",COUNTIF($K$4:K65,"KWITANSI")," ")</f>
        <v xml:space="preserve"> </v>
      </c>
      <c r="M65" s="85" t="str">
        <f>IF(Table13[[#This Row],[Column3]]=" "," ",Table13[[#This Row],[CODE]])</f>
        <v xml:space="preserve"> </v>
      </c>
      <c r="N65" s="368"/>
      <c r="P65" s="81" t="str">
        <f t="shared" si="0"/>
        <v/>
      </c>
    </row>
    <row r="66" spans="1:16" x14ac:dyDescent="0.15">
      <c r="A66" s="81" t="str">
        <f>COPY!O64</f>
        <v/>
      </c>
      <c r="B66" s="81">
        <f>COPY!C64</f>
        <v>1</v>
      </c>
      <c r="C66" s="82" t="str">
        <f>COPY!D64</f>
        <v/>
      </c>
      <c r="D66" s="81" t="str">
        <f>IF(Table13[[#This Row],[JUMLAH]]&gt;1,(IF(Table13[[#This Row],[CODE]]=" ",D65&amp;"a",IF(Table13[[#This Row],[CODE]]&gt;0,Table13[[#This Row],[CODE]],0))),"")</f>
        <v/>
      </c>
      <c r="E66" s="81" t="str">
        <f>IF(COPY!G64&gt;0,COPY!G64,"")</f>
        <v>Pasir Cor L300</v>
      </c>
      <c r="F66" s="88">
        <f>IF(COPY!J64&gt;0,COPY!J64,"")</f>
        <v>1</v>
      </c>
      <c r="G66" s="85" t="str">
        <f>IF(COPY!H64&gt;0,COPY!H64,"")</f>
        <v>Pik Up</v>
      </c>
      <c r="H66" s="85">
        <f>IF(COPY!I64&gt;0,COPY!I64,"")</f>
        <v>335000</v>
      </c>
      <c r="I66" s="85">
        <f>IF(COPY!M64&gt;0,COPY!M64,"")</f>
        <v>335000</v>
      </c>
      <c r="J66" s="85" t="str">
        <f>IF(COPY!N64&gt;0,COPY!N64,"")</f>
        <v/>
      </c>
      <c r="K66" s="86" t="str">
        <f>IF(N66=0,(IF(LEFT(Table13[[#This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Row],[URAIAN]],$U$194:$V$210,2,FALSE),""),""),0))))),N66)</f>
        <v/>
      </c>
      <c r="L66" s="85" t="str">
        <f>IF(Table13[[#This Row],[Column2]]="KWITANSI",COUNTIF($K$4:K66,"KWITANSI")," ")</f>
        <v xml:space="preserve"> </v>
      </c>
      <c r="M66" s="85" t="str">
        <f>IF(Table13[[#This Row],[Column3]]=" "," ",Table13[[#This Row],[CODE]])</f>
        <v xml:space="preserve"> </v>
      </c>
      <c r="N66" s="368"/>
      <c r="P66" s="81" t="str">
        <f t="shared" ref="P66:P129" si="1">IF(-$O$4+($O$4+ROW())&lt;=$O$4,-$O$4+($O$4+ROW()),"")</f>
        <v/>
      </c>
    </row>
    <row r="67" spans="1:16" x14ac:dyDescent="0.15">
      <c r="A67" s="81" t="str">
        <f>COPY!O65</f>
        <v/>
      </c>
      <c r="B67" s="81">
        <f>COPY!C65</f>
        <v>1</v>
      </c>
      <c r="C67" s="82" t="str">
        <f>COPY!D65</f>
        <v/>
      </c>
      <c r="D67" s="81" t="str">
        <f>IF(Table13[[#This Row],[JUMLAH]]&gt;1,(IF(Table13[[#This Row],[CODE]]=" ",D66&amp;"a",IF(Table13[[#This Row],[CODE]]&gt;0,Table13[[#This Row],[CODE]],0))),"")</f>
        <v/>
      </c>
      <c r="E67" s="81" t="str">
        <f>IF(COPY!G65&gt;0,COPY!G65,"")</f>
        <v>Koral L300</v>
      </c>
      <c r="F67" s="88">
        <f>IF(COPY!J65&gt;0,COPY!J65,"")</f>
        <v>1</v>
      </c>
      <c r="G67" s="85" t="str">
        <f>IF(COPY!H65&gt;0,COPY!H65,"")</f>
        <v>Pik Up</v>
      </c>
      <c r="H67" s="85">
        <f>IF(COPY!I65&gt;0,COPY!I65,"")</f>
        <v>350000</v>
      </c>
      <c r="I67" s="85">
        <f>IF(COPY!M65&gt;0,COPY!M65,"")</f>
        <v>350000</v>
      </c>
      <c r="J67" s="85" t="str">
        <f>IF(COPY!N65&gt;0,COPY!N65,"")</f>
        <v/>
      </c>
      <c r="K67" s="86" t="str">
        <f>IF(N67=0,(IF(LEFT(Table13[[#This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Row],[URAIAN]],$U$194:$V$210,2,FALSE),""),""),0))))),N67)</f>
        <v/>
      </c>
      <c r="L67" s="85" t="str">
        <f>IF(Table13[[#This Row],[Column2]]="KWITANSI",COUNTIF($K$4:K67,"KWITANSI")," ")</f>
        <v xml:space="preserve"> </v>
      </c>
      <c r="M67" s="85" t="str">
        <f>IF(Table13[[#This Row],[Column3]]=" "," ",Table13[[#This Row],[CODE]])</f>
        <v xml:space="preserve"> </v>
      </c>
      <c r="N67" s="368"/>
      <c r="P67" s="81" t="str">
        <f t="shared" si="1"/>
        <v/>
      </c>
    </row>
    <row r="68" spans="1:16" x14ac:dyDescent="0.15">
      <c r="A68" s="81" t="str">
        <f>COPY!O66</f>
        <v/>
      </c>
      <c r="B68" s="81">
        <f>COPY!C66</f>
        <v>1</v>
      </c>
      <c r="C68" s="82" t="str">
        <f>COPY!D66</f>
        <v/>
      </c>
      <c r="D68" s="81" t="str">
        <f>IF(Table13[[#This Row],[JUMLAH]]&gt;1,(IF(Table13[[#This Row],[CODE]]=" ",D67&amp;"a",IF(Table13[[#This Row],[CODE]]&gt;0,Table13[[#This Row],[CODE]],0))),"")</f>
        <v/>
      </c>
      <c r="E68" s="81" t="str">
        <f>IF(COPY!G66&gt;0,COPY!G66,"")</f>
        <v>Semen Gresik 40Kg</v>
      </c>
      <c r="F68" s="88">
        <f>IF(COPY!J66&gt;0,COPY!J66,"")</f>
        <v>6</v>
      </c>
      <c r="G68" s="85" t="str">
        <f>IF(COPY!H66&gt;0,COPY!H66,"")</f>
        <v>Sak</v>
      </c>
      <c r="H68" s="85">
        <f>IF(COPY!I66&gt;0,COPY!I66,"")</f>
        <v>58000</v>
      </c>
      <c r="I68" s="85">
        <f>IF(COPY!M66&gt;0,COPY!M66,"")</f>
        <v>348000</v>
      </c>
      <c r="J68" s="85" t="str">
        <f>IF(COPY!N66&gt;0,COPY!N66,"")</f>
        <v/>
      </c>
      <c r="K68" s="86" t="str">
        <f>IF(N68=0,(IF(LEFT(Table13[[#This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Row],[URAIAN]],$U$194:$V$210,2,FALSE),""),""),0))))),N68)</f>
        <v/>
      </c>
      <c r="L68" s="85" t="str">
        <f>IF(Table13[[#This Row],[Column2]]="KWITANSI",COUNTIF($K$4:K68,"KWITANSI")," ")</f>
        <v xml:space="preserve"> </v>
      </c>
      <c r="M68" s="85" t="str">
        <f>IF(Table13[[#This Row],[Column3]]=" "," ",Table13[[#This Row],[CODE]])</f>
        <v xml:space="preserve"> </v>
      </c>
      <c r="N68" s="368"/>
      <c r="P68" s="81" t="str">
        <f t="shared" si="1"/>
        <v/>
      </c>
    </row>
    <row r="69" spans="1:16" x14ac:dyDescent="0.15">
      <c r="A69" s="81" t="str">
        <f>COPY!O67</f>
        <v>BKK.18</v>
      </c>
      <c r="B69" s="81">
        <f>COPY!C67</f>
        <v>1</v>
      </c>
      <c r="C69" s="82">
        <f>COPY!D67</f>
        <v>45917</v>
      </c>
      <c r="D69" s="81" t="str">
        <f>IF(Table13[[#This Row],[JUMLAH]]&gt;1,(IF(Table13[[#This Row],[CODE]]=" ",D68&amp;"a",IF(Table13[[#This Row],[CODE]]&gt;0,Table13[[#This Row],[CODE]],0))),"")</f>
        <v>BKK.18</v>
      </c>
      <c r="E69" s="81" t="str">
        <f>IF(COPY!G67&gt;0,COPY!G67,"")</f>
        <v>Besi Sni 10.0</v>
      </c>
      <c r="F69" s="88">
        <f>IF(COPY!J67&gt;0,COPY!J67,"")</f>
        <v>15</v>
      </c>
      <c r="G69" s="85" t="str">
        <f>IF(COPY!H67&gt;0,COPY!H67,"")</f>
        <v>Ljr</v>
      </c>
      <c r="H69" s="85">
        <f>IF(COPY!I67&gt;0,COPY!I67,"")</f>
        <v>73000</v>
      </c>
      <c r="I69" s="85">
        <f>IF(COPY!M67&gt;0,COPY!M67,"")</f>
        <v>1095000</v>
      </c>
      <c r="J69" s="85">
        <f>IF(COPY!N67&gt;0,COPY!N67,"")</f>
        <v>1902000</v>
      </c>
      <c r="K69" s="86">
        <f>IF(N69=0,(IF(LEFT(Table13[[#This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Row],[URAIAN]],$U$194:$V$210,2,FALSE),""),""),0))))),N69)</f>
        <v>0</v>
      </c>
      <c r="L69" s="85" t="str">
        <f>IF(Table13[[#This Row],[Column2]]="KWITANSI",COUNTIF($K$4:K69,"KWITANSI")," ")</f>
        <v xml:space="preserve"> </v>
      </c>
      <c r="M69" s="85" t="str">
        <f>IF(Table13[[#This Row],[Column3]]=" "," ",Table13[[#This Row],[CODE]])</f>
        <v xml:space="preserve"> </v>
      </c>
      <c r="N69" s="368"/>
      <c r="P69" s="81" t="str">
        <f t="shared" si="1"/>
        <v/>
      </c>
    </row>
    <row r="70" spans="1:16" x14ac:dyDescent="0.15">
      <c r="A70" s="81" t="str">
        <f>COPY!O68</f>
        <v/>
      </c>
      <c r="B70" s="81">
        <f>COPY!C68</f>
        <v>1</v>
      </c>
      <c r="C70" s="82" t="str">
        <f>COPY!D68</f>
        <v/>
      </c>
      <c r="D70" s="81" t="str">
        <f>IF(Table13[[#This Row],[JUMLAH]]&gt;1,(IF(Table13[[#This Row],[CODE]]=" ",D69&amp;"a",IF(Table13[[#This Row],[CODE]]&gt;0,Table13[[#This Row],[CODE]],0))),"")</f>
        <v/>
      </c>
      <c r="E70" s="81" t="str">
        <f>IF(COPY!G68&gt;0,COPY!G68,"")</f>
        <v>Semen Gresik 40Kg</v>
      </c>
      <c r="F70" s="88">
        <f>IF(COPY!J68&gt;0,COPY!J68,"")</f>
        <v>4</v>
      </c>
      <c r="G70" s="85" t="str">
        <f>IF(COPY!H68&gt;0,COPY!H68,"")</f>
        <v>Sak</v>
      </c>
      <c r="H70" s="85">
        <f>IF(COPY!I68&gt;0,COPY!I68,"")</f>
        <v>58000</v>
      </c>
      <c r="I70" s="85">
        <f>IF(COPY!M68&gt;0,COPY!M68,"")</f>
        <v>232000</v>
      </c>
      <c r="J70" s="85" t="str">
        <f>IF(COPY!N68&gt;0,COPY!N68,"")</f>
        <v/>
      </c>
      <c r="K70" s="86" t="str">
        <f>IF(N70=0,(IF(LEFT(Table13[[#This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Row],[URAIAN]],$U$194:$V$210,2,FALSE),""),""),0))))),N70)</f>
        <v/>
      </c>
      <c r="L70" s="85" t="str">
        <f>IF(Table13[[#This Row],[Column2]]="KWITANSI",COUNTIF($K$4:K70,"KWITANSI")," ")</f>
        <v xml:space="preserve"> </v>
      </c>
      <c r="M70" s="85" t="str">
        <f>IF(Table13[[#This Row],[Column3]]=" "," ",Table13[[#This Row],[CODE]])</f>
        <v xml:space="preserve"> </v>
      </c>
      <c r="N70" s="368"/>
      <c r="P70" s="81" t="str">
        <f t="shared" si="1"/>
        <v/>
      </c>
    </row>
    <row r="71" spans="1:16" x14ac:dyDescent="0.15">
      <c r="A71" s="81" t="str">
        <f>COPY!O69</f>
        <v/>
      </c>
      <c r="B71" s="81">
        <f>COPY!C69</f>
        <v>1</v>
      </c>
      <c r="C71" s="82" t="str">
        <f>COPY!D69</f>
        <v/>
      </c>
      <c r="D71" s="81" t="str">
        <f>IF(Table13[[#This Row],[JUMLAH]]&gt;1,(IF(Table13[[#This Row],[CODE]]=" ",D70&amp;"a",IF(Table13[[#This Row],[CODE]]&gt;0,Table13[[#This Row],[CODE]],0))),"")</f>
        <v/>
      </c>
      <c r="E71" s="81" t="str">
        <f>IF(COPY!G69&gt;0,COPY!G69,"")</f>
        <v>Pipa Pvc Rucika D 3"</v>
      </c>
      <c r="F71" s="88">
        <f>IF(COPY!J69&gt;0,COPY!J69,"")</f>
        <v>5</v>
      </c>
      <c r="G71" s="85" t="str">
        <f>IF(COPY!H69&gt;0,COPY!H69,"")</f>
        <v>Ljr</v>
      </c>
      <c r="H71" s="85">
        <f>IF(COPY!I69&gt;0,COPY!I69,"")</f>
        <v>115000</v>
      </c>
      <c r="I71" s="85">
        <f>IF(COPY!M69&gt;0,COPY!M69,"")</f>
        <v>575000</v>
      </c>
      <c r="J71" s="85" t="str">
        <f>IF(COPY!N69&gt;0,COPY!N69,"")</f>
        <v/>
      </c>
      <c r="K71" s="86" t="str">
        <f>IF(N71=0,(IF(LEFT(Table13[[#This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Row],[URAIAN]],$U$194:$V$210,2,FALSE),""),""),0))))),N71)</f>
        <v/>
      </c>
      <c r="L71" s="85" t="str">
        <f>IF(Table13[[#This Row],[Column2]]="KWITANSI",COUNTIF($K$4:K71,"KWITANSI")," ")</f>
        <v xml:space="preserve"> </v>
      </c>
      <c r="M71" s="85" t="str">
        <f>IF(Table13[[#This Row],[Column3]]=" "," ",Table13[[#This Row],[CODE]])</f>
        <v xml:space="preserve"> </v>
      </c>
      <c r="N71" s="368"/>
      <c r="P71" s="81" t="str">
        <f t="shared" si="1"/>
        <v/>
      </c>
    </row>
    <row r="72" spans="1:16" x14ac:dyDescent="0.15">
      <c r="A72" s="81" t="str">
        <f>COPY!O70</f>
        <v>BKK.19</v>
      </c>
      <c r="B72" s="81">
        <f>COPY!C70</f>
        <v>1</v>
      </c>
      <c r="C72" s="82">
        <f>COPY!D70</f>
        <v>45918</v>
      </c>
      <c r="D72" s="81" t="str">
        <f>IF(Table13[[#This Row],[JUMLAH]]&gt;1,(IF(Table13[[#This Row],[CODE]]=" ",D71&amp;"a",IF(Table13[[#This Row],[CODE]]&gt;0,Table13[[#This Row],[CODE]],0))),"")</f>
        <v>BKK.19</v>
      </c>
      <c r="E72" s="81" t="str">
        <f>IF(COPY!G70&gt;0,COPY!G70,"")</f>
        <v>Bendrat Spq</v>
      </c>
      <c r="F72" s="88">
        <f>IF(COPY!J70&gt;0,COPY!J70,"")</f>
        <v>4</v>
      </c>
      <c r="G72" s="85" t="str">
        <f>IF(COPY!H70&gt;0,COPY!H70,"")</f>
        <v>kg</v>
      </c>
      <c r="H72" s="85">
        <f>IF(COPY!I70&gt;0,COPY!I70,"")</f>
        <v>22000</v>
      </c>
      <c r="I72" s="85">
        <f>IF(COPY!M70&gt;0,COPY!M70,"")</f>
        <v>88000</v>
      </c>
      <c r="J72" s="85">
        <f>IF(COPY!N70&gt;0,COPY!N70,"")</f>
        <v>1563000</v>
      </c>
      <c r="K72" s="86">
        <f>IF(N72=0,(IF(LEFT(Table13[[#This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Row],[URAIAN]],$U$194:$V$210,2,FALSE),""),""),0))))),N72)</f>
        <v>0</v>
      </c>
      <c r="L72" s="85" t="str">
        <f>IF(Table13[[#This Row],[Column2]]="KWITANSI",COUNTIF($K$4:K72,"KWITANSI")," ")</f>
        <v xml:space="preserve"> </v>
      </c>
      <c r="M72" s="85" t="str">
        <f>IF(Table13[[#This Row],[Column3]]=" "," ",Table13[[#This Row],[CODE]])</f>
        <v xml:space="preserve"> </v>
      </c>
      <c r="N72" s="368"/>
      <c r="P72" s="81" t="str">
        <f t="shared" si="1"/>
        <v/>
      </c>
    </row>
    <row r="73" spans="1:16" x14ac:dyDescent="0.15">
      <c r="A73" s="81" t="str">
        <f>COPY!O71</f>
        <v/>
      </c>
      <c r="B73" s="81">
        <f>COPY!C71</f>
        <v>1</v>
      </c>
      <c r="C73" s="82" t="str">
        <f>COPY!D71</f>
        <v/>
      </c>
      <c r="D73" s="81" t="str">
        <f>IF(Table13[[#This Row],[JUMLAH]]&gt;1,(IF(Table13[[#This Row],[CODE]]=" ",D72&amp;"a",IF(Table13[[#This Row],[CODE]]&gt;0,Table13[[#This Row],[CODE]],0))),"")</f>
        <v/>
      </c>
      <c r="E73" s="81" t="str">
        <f>IF(COPY!G71&gt;0,COPY!G71,"")</f>
        <v>Besi 6.0 Sni</v>
      </c>
      <c r="F73" s="88">
        <f>IF(COPY!J71&gt;0,COPY!J71,"")</f>
        <v>10</v>
      </c>
      <c r="G73" s="85" t="str">
        <f>IF(COPY!H71&gt;0,COPY!H71,"")</f>
        <v>Ljr</v>
      </c>
      <c r="H73" s="85">
        <f>IF(COPY!I71&gt;0,COPY!I71,"")</f>
        <v>28000</v>
      </c>
      <c r="I73" s="85">
        <f>IF(COPY!M71&gt;0,COPY!M71,"")</f>
        <v>280000</v>
      </c>
      <c r="J73" s="85" t="str">
        <f>IF(COPY!N71&gt;0,COPY!N71,"")</f>
        <v/>
      </c>
      <c r="K73" s="86" t="str">
        <f>IF(N73=0,(IF(LEFT(Table13[[#This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Row],[URAIAN]],$U$194:$V$210,2,FALSE),""),""),0))))),N73)</f>
        <v/>
      </c>
      <c r="L73" s="85" t="str">
        <f>IF(Table13[[#This Row],[Column2]]="KWITANSI",COUNTIF($K$4:K73,"KWITANSI")," ")</f>
        <v xml:space="preserve"> </v>
      </c>
      <c r="M73" s="85" t="str">
        <f>IF(Table13[[#This Row],[Column3]]=" "," ",Table13[[#This Row],[CODE]])</f>
        <v xml:space="preserve"> </v>
      </c>
      <c r="N73" s="368"/>
      <c r="P73" s="81" t="str">
        <f t="shared" si="1"/>
        <v/>
      </c>
    </row>
    <row r="74" spans="1:16" x14ac:dyDescent="0.15">
      <c r="A74" s="81" t="str">
        <f>COPY!O72</f>
        <v/>
      </c>
      <c r="B74" s="81">
        <f>COPY!C72</f>
        <v>1</v>
      </c>
      <c r="C74" s="82" t="str">
        <f>COPY!D72</f>
        <v/>
      </c>
      <c r="D74" s="81" t="str">
        <f>IF(Table13[[#This Row],[JUMLAH]]&gt;1,(IF(Table13[[#This Row],[CODE]]=" ",D73&amp;"a",IF(Table13[[#This Row],[CODE]]&gt;0,Table13[[#This Row],[CODE]],0))),"")</f>
        <v/>
      </c>
      <c r="E74" s="81" t="str">
        <f>IF(COPY!G72&gt;0,COPY!G72,"")</f>
        <v>Besi 8.0 Sni</v>
      </c>
      <c r="F74" s="88">
        <f>IF(COPY!J72&gt;0,COPY!J72,"")</f>
        <v>5</v>
      </c>
      <c r="G74" s="85" t="str">
        <f>IF(COPY!H72&gt;0,COPY!H72,"")</f>
        <v>Ljr</v>
      </c>
      <c r="H74" s="85">
        <f>IF(COPY!I72&gt;0,COPY!I72,"")</f>
        <v>46000</v>
      </c>
      <c r="I74" s="85">
        <f>IF(COPY!M72&gt;0,COPY!M72,"")</f>
        <v>230000</v>
      </c>
      <c r="J74" s="85" t="str">
        <f>IF(COPY!N72&gt;0,COPY!N72,"")</f>
        <v/>
      </c>
      <c r="K74" s="86" t="str">
        <f>IF(N74=0,(IF(LEFT(Table13[[#This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Row],[URAIAN]],$U$194:$V$210,2,FALSE),""),""),0))))),N74)</f>
        <v/>
      </c>
      <c r="L74" s="85" t="str">
        <f>IF(Table13[[#This Row],[Column2]]="KWITANSI",COUNTIF($K$4:K74,"KWITANSI")," ")</f>
        <v xml:space="preserve"> </v>
      </c>
      <c r="M74" s="85" t="str">
        <f>IF(Table13[[#This Row],[Column3]]=" "," ",Table13[[#This Row],[CODE]])</f>
        <v xml:space="preserve"> </v>
      </c>
      <c r="N74" s="368"/>
      <c r="P74" s="81" t="str">
        <f t="shared" si="1"/>
        <v/>
      </c>
    </row>
    <row r="75" spans="1:16" x14ac:dyDescent="0.15">
      <c r="A75" s="81" t="str">
        <f>COPY!O73</f>
        <v/>
      </c>
      <c r="B75" s="81">
        <f>COPY!C73</f>
        <v>1</v>
      </c>
      <c r="C75" s="82" t="str">
        <f>COPY!D73</f>
        <v/>
      </c>
      <c r="D75" s="81" t="str">
        <f>IF(Table13[[#This Row],[JUMLAH]]&gt;1,(IF(Table13[[#This Row],[CODE]]=" ",D74&amp;"a",IF(Table13[[#This Row],[CODE]]&gt;0,Table13[[#This Row],[CODE]],0))),"")</f>
        <v/>
      </c>
      <c r="E75" s="81" t="str">
        <f>IF(COPY!G73&gt;0,COPY!G73,"")</f>
        <v>Pipa Pvc Rucika D 2 1/2"</v>
      </c>
      <c r="F75" s="88">
        <f>IF(COPY!J73&gt;0,COPY!J73,"")</f>
        <v>5</v>
      </c>
      <c r="G75" s="85" t="str">
        <f>IF(COPY!H73&gt;0,COPY!H73,"")</f>
        <v>Ljr</v>
      </c>
      <c r="H75" s="85">
        <f>IF(COPY!I73&gt;0,COPY!I73,"")</f>
        <v>78000</v>
      </c>
      <c r="I75" s="85">
        <f>IF(COPY!M73&gt;0,COPY!M73,"")</f>
        <v>390000</v>
      </c>
      <c r="J75" s="85" t="str">
        <f>IF(COPY!N73&gt;0,COPY!N73,"")</f>
        <v/>
      </c>
      <c r="K75" s="86" t="str">
        <f>IF(N75=0,(IF(LEFT(Table13[[#This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Row],[URAIAN]],$U$194:$V$210,2,FALSE),""),""),0))))),N75)</f>
        <v/>
      </c>
      <c r="L75" s="85" t="str">
        <f>IF(Table13[[#This Row],[Column2]]="KWITANSI",COUNTIF($K$4:K75,"KWITANSI")," ")</f>
        <v xml:space="preserve"> </v>
      </c>
      <c r="M75" s="85" t="str">
        <f>IF(Table13[[#This Row],[Column3]]=" "," ",Table13[[#This Row],[CODE]])</f>
        <v xml:space="preserve"> </v>
      </c>
      <c r="N75" s="368"/>
      <c r="P75" s="81" t="str">
        <f t="shared" si="1"/>
        <v/>
      </c>
    </row>
    <row r="76" spans="1:16" x14ac:dyDescent="0.15">
      <c r="A76" s="81" t="str">
        <f>COPY!O74</f>
        <v/>
      </c>
      <c r="B76" s="81">
        <f>COPY!C74</f>
        <v>1</v>
      </c>
      <c r="C76" s="82" t="str">
        <f>COPY!D74</f>
        <v/>
      </c>
      <c r="D76" s="81" t="str">
        <f>IF(Table13[[#This Row],[JUMLAH]]&gt;1,(IF(Table13[[#This Row],[CODE]]=" ",D75&amp;"a",IF(Table13[[#This Row],[CODE]]&gt;0,Table13[[#This Row],[CODE]],0))),"")</f>
        <v/>
      </c>
      <c r="E76" s="81" t="str">
        <f>IF(COPY!G74&gt;0,COPY!G74,"")</f>
        <v>Pipa Pvc Rucika D 3"</v>
      </c>
      <c r="F76" s="88">
        <f>IF(COPY!J74&gt;0,COPY!J74,"")</f>
        <v>5</v>
      </c>
      <c r="G76" s="85" t="str">
        <f>IF(COPY!H74&gt;0,COPY!H74,"")</f>
        <v>Ljr</v>
      </c>
      <c r="H76" s="85">
        <f>IF(COPY!I74&gt;0,COPY!I74,"")</f>
        <v>115000</v>
      </c>
      <c r="I76" s="85">
        <f>IF(COPY!M74&gt;0,COPY!M74,"")</f>
        <v>575000</v>
      </c>
      <c r="J76" s="85" t="str">
        <f>IF(COPY!N74&gt;0,COPY!N74,"")</f>
        <v/>
      </c>
      <c r="K76" s="86" t="str">
        <f>IF(N76=0,(IF(LEFT(Table13[[#This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Row],[URAIAN]],$U$194:$V$210,2,FALSE),""),""),0))))),N76)</f>
        <v/>
      </c>
      <c r="L76" s="85" t="str">
        <f>IF(Table13[[#This Row],[Column2]]="KWITANSI",COUNTIF($K$4:K76,"KWITANSI")," ")</f>
        <v xml:space="preserve"> </v>
      </c>
      <c r="M76" s="85" t="str">
        <f>IF(Table13[[#This Row],[Column3]]=" "," ",Table13[[#This Row],[CODE]])</f>
        <v xml:space="preserve"> </v>
      </c>
      <c r="N76" s="368"/>
      <c r="P76" s="81" t="str">
        <f t="shared" si="1"/>
        <v/>
      </c>
    </row>
    <row r="77" spans="1:16" x14ac:dyDescent="0.15">
      <c r="A77" s="81" t="str">
        <f>COPY!O75</f>
        <v>BKK.20</v>
      </c>
      <c r="B77" s="81">
        <f>COPY!C75</f>
        <v>1</v>
      </c>
      <c r="C77" s="82">
        <f>COPY!D75</f>
        <v>45919</v>
      </c>
      <c r="D77" s="81" t="str">
        <f>IF(Table13[[#This Row],[JUMLAH]]&gt;1,(IF(Table13[[#This Row],[CODE]]=" ",D76&amp;"a",IF(Table13[[#This Row],[CODE]]&gt;0,Table13[[#This Row],[CODE]],0))),"")</f>
        <v>BKK.20</v>
      </c>
      <c r="E77" s="81" t="str">
        <f>IF(COPY!G75&gt;0,COPY!G75,"")</f>
        <v>Besi Sni 10.0</v>
      </c>
      <c r="F77" s="88">
        <f>IF(COPY!J75&gt;0,COPY!J75,"")</f>
        <v>10</v>
      </c>
      <c r="G77" s="85" t="str">
        <f>IF(COPY!H75&gt;0,COPY!H75,"")</f>
        <v>Ljr</v>
      </c>
      <c r="H77" s="85">
        <f>IF(COPY!I75&gt;0,COPY!I75,"")</f>
        <v>73000</v>
      </c>
      <c r="I77" s="85">
        <f>IF(COPY!M75&gt;0,COPY!M75,"")</f>
        <v>730000</v>
      </c>
      <c r="J77" s="85">
        <f>IF(COPY!N75&gt;0,COPY!N75,"")</f>
        <v>1581000</v>
      </c>
      <c r="K77" s="86">
        <f>IF(N77=0,(IF(LEFT(Table13[[#This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Row],[URAIAN]],$U$194:$V$210,2,FALSE),""),""),0))))),N77)</f>
        <v>0</v>
      </c>
      <c r="L77" s="85" t="str">
        <f>IF(Table13[[#This Row],[Column2]]="KWITANSI",COUNTIF($K$4:K77,"KWITANSI")," ")</f>
        <v xml:space="preserve"> </v>
      </c>
      <c r="M77" s="85" t="str">
        <f>IF(Table13[[#This Row],[Column3]]=" "," ",Table13[[#This Row],[CODE]])</f>
        <v xml:space="preserve"> </v>
      </c>
      <c r="N77" s="368"/>
      <c r="P77" s="81" t="str">
        <f t="shared" si="1"/>
        <v/>
      </c>
    </row>
    <row r="78" spans="1:16" x14ac:dyDescent="0.15">
      <c r="A78" s="81" t="str">
        <f>COPY!O76</f>
        <v/>
      </c>
      <c r="B78" s="81">
        <f>COPY!C76</f>
        <v>1</v>
      </c>
      <c r="C78" s="82" t="str">
        <f>COPY!D76</f>
        <v/>
      </c>
      <c r="D78" s="81" t="str">
        <f>IF(Table13[[#This Row],[JUMLAH]]&gt;1,(IF(Table13[[#This Row],[CODE]]=" ",D77&amp;"a",IF(Table13[[#This Row],[CODE]]&gt;0,Table13[[#This Row],[CODE]],0))),"")</f>
        <v/>
      </c>
      <c r="E78" s="81" t="str">
        <f>IF(COPY!G76&gt;0,COPY!G76,"")</f>
        <v>Semen Gresik 40Kg</v>
      </c>
      <c r="F78" s="88">
        <f>IF(COPY!J76&gt;0,COPY!J76,"")</f>
        <v>6</v>
      </c>
      <c r="G78" s="85" t="str">
        <f>IF(COPY!H76&gt;0,COPY!H76,"")</f>
        <v>Sak</v>
      </c>
      <c r="H78" s="85">
        <f>IF(COPY!I76&gt;0,COPY!I76,"")</f>
        <v>58000</v>
      </c>
      <c r="I78" s="85">
        <f>IF(COPY!M76&gt;0,COPY!M76,"")</f>
        <v>348000</v>
      </c>
      <c r="J78" s="85" t="str">
        <f>IF(COPY!N76&gt;0,COPY!N76,"")</f>
        <v/>
      </c>
      <c r="K78" s="86" t="str">
        <f>IF(N78=0,(IF(LEFT(Table13[[#This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Row],[URAIAN]],$U$194:$V$210,2,FALSE),""),""),0))))),N78)</f>
        <v/>
      </c>
      <c r="L78" s="85" t="str">
        <f>IF(Table13[[#This Row],[Column2]]="KWITANSI",COUNTIF($K$4:K78,"KWITANSI")," ")</f>
        <v xml:space="preserve"> </v>
      </c>
      <c r="M78" s="85" t="str">
        <f>IF(Table13[[#This Row],[Column3]]=" "," ",Table13[[#This Row],[CODE]])</f>
        <v xml:space="preserve"> </v>
      </c>
      <c r="N78" s="368"/>
      <c r="P78" s="81" t="str">
        <f t="shared" si="1"/>
        <v/>
      </c>
    </row>
    <row r="79" spans="1:16" x14ac:dyDescent="0.15">
      <c r="A79" s="81" t="str">
        <f>COPY!O77</f>
        <v/>
      </c>
      <c r="B79" s="81">
        <f>COPY!C77</f>
        <v>1</v>
      </c>
      <c r="C79" s="82" t="str">
        <f>COPY!D77</f>
        <v/>
      </c>
      <c r="D79" s="81" t="str">
        <f>IF(Table13[[#This Row],[JUMLAH]]&gt;1,(IF(Table13[[#This Row],[CODE]]=" ",D78&amp;"a",IF(Table13[[#This Row],[CODE]]&gt;0,Table13[[#This Row],[CODE]],0))),"")</f>
        <v/>
      </c>
      <c r="E79" s="81" t="str">
        <f>IF(COPY!G77&gt;0,COPY!G77,"")</f>
        <v>Pipa Pvc Rucika D 3"</v>
      </c>
      <c r="F79" s="88">
        <f>IF(COPY!J77&gt;0,COPY!J77,"")</f>
        <v>3</v>
      </c>
      <c r="G79" s="85" t="str">
        <f>IF(COPY!H77&gt;0,COPY!H77,"")</f>
        <v>Ljr</v>
      </c>
      <c r="H79" s="85">
        <f>IF(COPY!I77&gt;0,COPY!I77,"")</f>
        <v>115000</v>
      </c>
      <c r="I79" s="85">
        <f>IF(COPY!M77&gt;0,COPY!M77,"")</f>
        <v>345000</v>
      </c>
      <c r="J79" s="85" t="str">
        <f>IF(COPY!N77&gt;0,COPY!N77,"")</f>
        <v/>
      </c>
      <c r="K79" s="86" t="str">
        <f>IF(N79=0,(IF(LEFT(Table13[[#This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Row],[URAIAN]],$U$194:$V$210,2,FALSE),""),""),0))))),N79)</f>
        <v/>
      </c>
      <c r="L79" s="85" t="str">
        <f>IF(Table13[[#This Row],[Column2]]="KWITANSI",COUNTIF($K$4:K79,"KWITANSI")," ")</f>
        <v xml:space="preserve"> </v>
      </c>
      <c r="M79" s="85" t="str">
        <f>IF(Table13[[#This Row],[Column3]]=" "," ",Table13[[#This Row],[CODE]])</f>
        <v xml:space="preserve"> </v>
      </c>
      <c r="N79" s="368"/>
      <c r="P79" s="81" t="str">
        <f t="shared" si="1"/>
        <v/>
      </c>
    </row>
    <row r="80" spans="1:16" x14ac:dyDescent="0.15">
      <c r="A80" s="81" t="str">
        <f>COPY!O78</f>
        <v/>
      </c>
      <c r="B80" s="81">
        <f>COPY!C78</f>
        <v>1</v>
      </c>
      <c r="C80" s="82" t="str">
        <f>COPY!D78</f>
        <v/>
      </c>
      <c r="D80" s="81" t="str">
        <f>IF(Table13[[#This Row],[JUMLAH]]&gt;1,(IF(Table13[[#This Row],[CODE]]=" ",D79&amp;"a",IF(Table13[[#This Row],[CODE]]&gt;0,Table13[[#This Row],[CODE]],0))),"")</f>
        <v/>
      </c>
      <c r="E80" s="81" t="str">
        <f>IF(COPY!G78&gt;0,COPY!G78,"")</f>
        <v>Pipa Pvc Rucika D 4"</v>
      </c>
      <c r="F80" s="88">
        <f>IF(COPY!J78&gt;0,COPY!J78,"")</f>
        <v>1</v>
      </c>
      <c r="G80" s="85" t="str">
        <f>IF(COPY!H78&gt;0,COPY!H78,"")</f>
        <v>Ljr</v>
      </c>
      <c r="H80" s="85">
        <f>IF(COPY!I78&gt;0,COPY!I78,"")</f>
        <v>158000</v>
      </c>
      <c r="I80" s="85">
        <f>IF(COPY!M78&gt;0,COPY!M78,"")</f>
        <v>158000</v>
      </c>
      <c r="J80" s="85" t="str">
        <f>IF(COPY!N78&gt;0,COPY!N78,"")</f>
        <v/>
      </c>
      <c r="K80" s="86" t="str">
        <f>IF(N80=0,(IF(LEFT(Table13[[#This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Row],[URAIAN]],$U$194:$V$210,2,FALSE),""),""),0))))),N80)</f>
        <v/>
      </c>
      <c r="L80" s="85" t="str">
        <f>IF(Table13[[#This Row],[Column2]]="KWITANSI",COUNTIF($K$4:K80,"KWITANSI")," ")</f>
        <v xml:space="preserve"> </v>
      </c>
      <c r="M80" s="85" t="str">
        <f>IF(Table13[[#This Row],[Column3]]=" "," ",Table13[[#This Row],[CODE]])</f>
        <v xml:space="preserve"> </v>
      </c>
      <c r="N80" s="368"/>
      <c r="P80" s="81" t="str">
        <f t="shared" si="1"/>
        <v/>
      </c>
    </row>
    <row r="81" spans="1:16" x14ac:dyDescent="0.15">
      <c r="A81" s="81" t="str">
        <f>COPY!O79</f>
        <v>BKK.21</v>
      </c>
      <c r="B81" s="81">
        <f>COPY!C79</f>
        <v>1</v>
      </c>
      <c r="C81" s="82">
        <f>COPY!D79</f>
        <v>45920</v>
      </c>
      <c r="D81" s="81" t="str">
        <f>IF(Table13[[#This Row],[JUMLAH]]&gt;1,(IF(Table13[[#This Row],[CODE]]=" ",D80&amp;"a",IF(Table13[[#This Row],[CODE]]&gt;0,Table13[[#This Row],[CODE]],0))),"")</f>
        <v>BKK.21</v>
      </c>
      <c r="E81" s="81" t="str">
        <f>IF(COPY!G79&gt;0,COPY!G79,"")</f>
        <v>Semen Gresik 40Kg</v>
      </c>
      <c r="F81" s="88">
        <f>IF(COPY!J79&gt;0,COPY!J79,"")</f>
        <v>30</v>
      </c>
      <c r="G81" s="85" t="str">
        <f>IF(COPY!H79&gt;0,COPY!H79,"")</f>
        <v>Sak</v>
      </c>
      <c r="H81" s="85">
        <f>IF(COPY!I79&gt;0,COPY!I79,"")</f>
        <v>58000</v>
      </c>
      <c r="I81" s="85">
        <f>IF(COPY!M79&gt;0,COPY!M79,"")</f>
        <v>1740000</v>
      </c>
      <c r="J81" s="85">
        <f>IF(COPY!N79&gt;0,COPY!N79,"")</f>
        <v>1740000</v>
      </c>
      <c r="K81" s="86">
        <f>IF(N81=0,(IF(LEFT(Table13[[#This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Row],[URAIAN]],$U$194:$V$210,2,FALSE),""),""),0))))),N81)</f>
        <v>0</v>
      </c>
      <c r="L81" s="85" t="str">
        <f>IF(Table13[[#This Row],[Column2]]="KWITANSI",COUNTIF($K$4:K81,"KWITANSI")," ")</f>
        <v xml:space="preserve"> </v>
      </c>
      <c r="M81" s="85" t="str">
        <f>IF(Table13[[#This Row],[Column3]]=" "," ",Table13[[#This Row],[CODE]])</f>
        <v xml:space="preserve"> </v>
      </c>
      <c r="N81" s="368"/>
      <c r="P81" s="81" t="str">
        <f t="shared" si="1"/>
        <v/>
      </c>
    </row>
    <row r="82" spans="1:16" x14ac:dyDescent="0.15">
      <c r="A82" s="81" t="str">
        <f>COPY!O80</f>
        <v>BKK.22</v>
      </c>
      <c r="B82" s="81">
        <f>COPY!C80</f>
        <v>1</v>
      </c>
      <c r="C82" s="82">
        <f>COPY!D80</f>
        <v>45920</v>
      </c>
      <c r="D82" s="81" t="str">
        <f>IF(Table13[[#This Row],[JUMLAH]]&gt;1,(IF(Table13[[#This Row],[CODE]]=" ",D81&amp;"a",IF(Table13[[#This Row],[CODE]]&gt;0,Table13[[#This Row],[CODE]],0))),"")</f>
        <v>BKK.22</v>
      </c>
      <c r="E82" s="81" t="str">
        <f>IF(COPY!G80&gt;0,COPY!G80,"")</f>
        <v>Pembayaran Pekerja Minggu Ke 3</v>
      </c>
      <c r="F82" s="88">
        <f>IF(COPY!J80&gt;0,COPY!J80,"")</f>
        <v>1</v>
      </c>
      <c r="G82" s="85" t="str">
        <f>IF(COPY!H80&gt;0,COPY!H80,"")</f>
        <v/>
      </c>
      <c r="H82" s="85">
        <f>IF(COPY!I80&gt;0,COPY!I80,"")</f>
        <v>1</v>
      </c>
      <c r="I82" s="85">
        <f>IF(COPY!M80&gt;0,COPY!M80,"")</f>
        <v>5580000</v>
      </c>
      <c r="J82" s="85">
        <f>IF(COPY!N80&gt;0,COPY!N80,"")</f>
        <v>5580000</v>
      </c>
      <c r="K82" s="86" t="str">
        <f>IF(N82=0,(IF(LEFT(Table13[[#This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Row],[URAIAN]],$U$194:$V$210,2,FALSE),""),""),0))))),N82)</f>
        <v>KWITANSI</v>
      </c>
      <c r="L82" s="85">
        <f>IF(Table13[[#This Row],[Column2]]="KWITANSI",COUNTIF($K$4:K82,"KWITANSI")," ")</f>
        <v>4</v>
      </c>
      <c r="M82" s="85" t="str">
        <f>IF(Table13[[#This Row],[Column3]]=" "," ",Table13[[#This Row],[CODE]])</f>
        <v>BKK.22</v>
      </c>
      <c r="N82" s="368"/>
      <c r="P82" s="81" t="str">
        <f t="shared" si="1"/>
        <v/>
      </c>
    </row>
    <row r="83" spans="1:16" x14ac:dyDescent="0.15">
      <c r="A83" s="81" t="str">
        <f>COPY!O81</f>
        <v>BKK.23</v>
      </c>
      <c r="B83" s="81">
        <f>COPY!C81</f>
        <v>1</v>
      </c>
      <c r="C83" s="82">
        <f>COPY!D81</f>
        <v>45922</v>
      </c>
      <c r="D83" s="81" t="str">
        <f>IF(Table13[[#This Row],[JUMLAH]]&gt;1,(IF(Table13[[#This Row],[CODE]]=" ",D82&amp;"a",IF(Table13[[#This Row],[CODE]]&gt;0,Table13[[#This Row],[CODE]],0))),"")</f>
        <v>BKK.23</v>
      </c>
      <c r="E83" s="81" t="str">
        <f>IF(COPY!G81&gt;0,COPY!G81,"")</f>
        <v>Triplek 9Mm</v>
      </c>
      <c r="F83" s="88">
        <f>IF(COPY!J81&gt;0,COPY!J81,"")</f>
        <v>6</v>
      </c>
      <c r="G83" s="85" t="str">
        <f>IF(COPY!H81&gt;0,COPY!H81,"")</f>
        <v>Lbr</v>
      </c>
      <c r="H83" s="85">
        <f>IF(COPY!I81&gt;0,COPY!I81,"")</f>
        <v>93000</v>
      </c>
      <c r="I83" s="85">
        <f>IF(COPY!M81&gt;0,COPY!M81,"")</f>
        <v>558000</v>
      </c>
      <c r="J83" s="85">
        <f>IF(COPY!N81&gt;0,COPY!N81,"")</f>
        <v>1924000</v>
      </c>
      <c r="K83" s="86">
        <f>IF(N83=0,(IF(LEFT(Table13[[#This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Row],[URAIAN]],$U$194:$V$210,2,FALSE),""),""),0))))),N83)</f>
        <v>0</v>
      </c>
      <c r="L83" s="85" t="str">
        <f>IF(Table13[[#This Row],[Column2]]="KWITANSI",COUNTIF($K$4:K83,"KWITANSI")," ")</f>
        <v xml:space="preserve"> </v>
      </c>
      <c r="M83" s="85" t="str">
        <f>IF(Table13[[#This Row],[Column3]]=" "," ",Table13[[#This Row],[CODE]])</f>
        <v xml:space="preserve"> </v>
      </c>
      <c r="N83" s="368"/>
      <c r="P83" s="81" t="str">
        <f t="shared" si="1"/>
        <v/>
      </c>
    </row>
    <row r="84" spans="1:16" x14ac:dyDescent="0.15">
      <c r="A84" s="81" t="str">
        <f>COPY!O82</f>
        <v/>
      </c>
      <c r="B84" s="81">
        <f>COPY!C82</f>
        <v>1</v>
      </c>
      <c r="C84" s="82" t="str">
        <f>COPY!D82</f>
        <v/>
      </c>
      <c r="D84" s="81" t="str">
        <f>IF(Table13[[#This Row],[JUMLAH]]&gt;1,(IF(Table13[[#This Row],[CODE]]=" ",D83&amp;"a",IF(Table13[[#This Row],[CODE]]&gt;0,Table13[[#This Row],[CODE]],0))),"")</f>
        <v/>
      </c>
      <c r="E84" s="81" t="str">
        <f>IF(COPY!G82&gt;0,COPY!G82,"")</f>
        <v>Pasir Cor L300</v>
      </c>
      <c r="F84" s="88">
        <f>IF(COPY!J82&gt;0,COPY!J82,"")</f>
        <v>2</v>
      </c>
      <c r="G84" s="85" t="str">
        <f>IF(COPY!H82&gt;0,COPY!H82,"")</f>
        <v>Pik Up</v>
      </c>
      <c r="H84" s="85">
        <f>IF(COPY!I82&gt;0,COPY!I82,"")</f>
        <v>335000</v>
      </c>
      <c r="I84" s="85">
        <f>IF(COPY!M82&gt;0,COPY!M82,"")</f>
        <v>670000</v>
      </c>
      <c r="J84" s="85" t="str">
        <f>IF(COPY!N82&gt;0,COPY!N82,"")</f>
        <v/>
      </c>
      <c r="K84" s="86" t="str">
        <f>IF(N84=0,(IF(LEFT(Table13[[#This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Row],[URAIAN]],$U$194:$V$210,2,FALSE),""),""),0))))),N84)</f>
        <v/>
      </c>
      <c r="L84" s="85" t="str">
        <f>IF(Table13[[#This Row],[Column2]]="KWITANSI",COUNTIF($K$4:K84,"KWITANSI")," ")</f>
        <v xml:space="preserve"> </v>
      </c>
      <c r="M84" s="85" t="str">
        <f>IF(Table13[[#This Row],[Column3]]=" "," ",Table13[[#This Row],[CODE]])</f>
        <v xml:space="preserve"> </v>
      </c>
      <c r="N84" s="368"/>
      <c r="P84" s="81" t="str">
        <f t="shared" si="1"/>
        <v/>
      </c>
    </row>
    <row r="85" spans="1:16" x14ac:dyDescent="0.15">
      <c r="A85" s="81" t="str">
        <f>COPY!O83</f>
        <v/>
      </c>
      <c r="B85" s="81">
        <f>COPY!C83</f>
        <v>1</v>
      </c>
      <c r="C85" s="82" t="str">
        <f>COPY!D83</f>
        <v/>
      </c>
      <c r="D85" s="81" t="str">
        <f>IF(Table13[[#This Row],[JUMLAH]]&gt;1,(IF(Table13[[#This Row],[CODE]]=" ",D84&amp;"a",IF(Table13[[#This Row],[CODE]]&gt;0,Table13[[#This Row],[CODE]],0))),"")</f>
        <v/>
      </c>
      <c r="E85" s="81" t="str">
        <f>IF(COPY!G83&gt;0,COPY!G83,"")</f>
        <v>Besi 6.0 Sni</v>
      </c>
      <c r="F85" s="88">
        <f>IF(COPY!J83&gt;0,COPY!J83,"")</f>
        <v>10</v>
      </c>
      <c r="G85" s="85" t="str">
        <f>IF(COPY!H83&gt;0,COPY!H83,"")</f>
        <v>Ljr</v>
      </c>
      <c r="H85" s="85">
        <f>IF(COPY!I83&gt;0,COPY!I83,"")</f>
        <v>28000</v>
      </c>
      <c r="I85" s="85">
        <f>IF(COPY!M83&gt;0,COPY!M83,"")</f>
        <v>280000</v>
      </c>
      <c r="J85" s="85" t="str">
        <f>IF(COPY!N83&gt;0,COPY!N83,"")</f>
        <v/>
      </c>
      <c r="K85" s="86" t="str">
        <f>IF(N85=0,(IF(LEFT(Table13[[#This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Row],[URAIAN]],$U$194:$V$210,2,FALSE),""),""),0))))),N85)</f>
        <v/>
      </c>
      <c r="L85" s="85" t="str">
        <f>IF(Table13[[#This Row],[Column2]]="KWITANSI",COUNTIF($K$4:K85,"KWITANSI")," ")</f>
        <v xml:space="preserve"> </v>
      </c>
      <c r="M85" s="85" t="str">
        <f>IF(Table13[[#This Row],[Column3]]=" "," ",Table13[[#This Row],[CODE]])</f>
        <v xml:space="preserve"> </v>
      </c>
      <c r="N85" s="368"/>
      <c r="P85" s="81" t="str">
        <f t="shared" si="1"/>
        <v/>
      </c>
    </row>
    <row r="86" spans="1:16" x14ac:dyDescent="0.15">
      <c r="A86" s="81" t="str">
        <f>COPY!O84</f>
        <v/>
      </c>
      <c r="B86" s="81">
        <f>COPY!C84</f>
        <v>1</v>
      </c>
      <c r="C86" s="82" t="str">
        <f>COPY!D84</f>
        <v/>
      </c>
      <c r="D86" s="81" t="str">
        <f>IF(Table13[[#This Row],[JUMLAH]]&gt;1,(IF(Table13[[#This Row],[CODE]]=" ",D85&amp;"a",IF(Table13[[#This Row],[CODE]]&gt;0,Table13[[#This Row],[CODE]],0))),"")</f>
        <v/>
      </c>
      <c r="E86" s="81" t="str">
        <f>IF(COPY!G84&gt;0,COPY!G84,"")</f>
        <v>Semen 3 Roda</v>
      </c>
      <c r="F86" s="88">
        <f>IF(COPY!J84&gt;0,COPY!J84,"")</f>
        <v>8</v>
      </c>
      <c r="G86" s="85" t="str">
        <f>IF(COPY!H84&gt;0,COPY!H84,"")</f>
        <v>Sak</v>
      </c>
      <c r="H86" s="85">
        <f>IF(COPY!I84&gt;0,COPY!I84,"")</f>
        <v>52000</v>
      </c>
      <c r="I86" s="85">
        <f>IF(COPY!M84&gt;0,COPY!M84,"")</f>
        <v>416000</v>
      </c>
      <c r="J86" s="85" t="str">
        <f>IF(COPY!N84&gt;0,COPY!N84,"")</f>
        <v/>
      </c>
      <c r="K86" s="86" t="str">
        <f>IF(N86=0,(IF(LEFT(Table13[[#This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Row],[URAIAN]],$U$194:$V$210,2,FALSE),""),""),0))))),N86)</f>
        <v/>
      </c>
      <c r="L86" s="85" t="str">
        <f>IF(Table13[[#This Row],[Column2]]="KWITANSI",COUNTIF($K$4:K86,"KWITANSI")," ")</f>
        <v xml:space="preserve"> </v>
      </c>
      <c r="M86" s="85" t="str">
        <f>IF(Table13[[#This Row],[Column3]]=" "," ",Table13[[#This Row],[CODE]])</f>
        <v xml:space="preserve"> </v>
      </c>
      <c r="N86" s="368"/>
      <c r="P86" s="81" t="str">
        <f t="shared" si="1"/>
        <v/>
      </c>
    </row>
    <row r="87" spans="1:16" x14ac:dyDescent="0.15">
      <c r="A87" s="81" t="str">
        <f>COPY!O85</f>
        <v>BKK.24</v>
      </c>
      <c r="B87" s="81">
        <f>COPY!C85</f>
        <v>1</v>
      </c>
      <c r="C87" s="82">
        <f>COPY!D85</f>
        <v>45923</v>
      </c>
      <c r="D87" s="81" t="str">
        <f>IF(Table13[[#This Row],[JUMLAH]]&gt;1,(IF(Table13[[#This Row],[CODE]]=" ",D86&amp;"a",IF(Table13[[#This Row],[CODE]]&gt;0,Table13[[#This Row],[CODE]],0))),"")</f>
        <v>BKK.24</v>
      </c>
      <c r="E87" s="81" t="str">
        <f>IF(COPY!G85&gt;0,COPY!G85,"")</f>
        <v>Bata Merah Super</v>
      </c>
      <c r="F87" s="88">
        <f>IF(COPY!J85&gt;0,COPY!J85,"")</f>
        <v>1000</v>
      </c>
      <c r="G87" s="85" t="str">
        <f>IF(COPY!H85&gt;0,COPY!H85,"")</f>
        <v>Bji</v>
      </c>
      <c r="H87" s="85">
        <f>IF(COPY!I85&gt;0,COPY!I85,"")</f>
        <v>550</v>
      </c>
      <c r="I87" s="85">
        <f>IF(COPY!M85&gt;0,COPY!M85,"")</f>
        <v>550000</v>
      </c>
      <c r="J87" s="85">
        <f>IF(COPY!N85&gt;0,COPY!N85,"")</f>
        <v>1950000</v>
      </c>
      <c r="K87" s="86">
        <f>IF(N87=0,(IF(LEFT(Table13[[#This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Row],[URAIAN]],$U$194:$V$210,2,FALSE),""),""),0))))),N87)</f>
        <v>0</v>
      </c>
      <c r="L87" s="85" t="str">
        <f>IF(Table13[[#This Row],[Column2]]="KWITANSI",COUNTIF($K$4:K87,"KWITANSI")," ")</f>
        <v xml:space="preserve"> </v>
      </c>
      <c r="M87" s="85" t="str">
        <f>IF(Table13[[#This Row],[Column3]]=" "," ",Table13[[#This Row],[CODE]])</f>
        <v xml:space="preserve"> </v>
      </c>
      <c r="N87" s="368"/>
      <c r="P87" s="81" t="str">
        <f t="shared" si="1"/>
        <v/>
      </c>
    </row>
    <row r="88" spans="1:16" x14ac:dyDescent="0.15">
      <c r="A88" s="81" t="str">
        <f>COPY!O86</f>
        <v/>
      </c>
      <c r="B88" s="81">
        <f>COPY!C86</f>
        <v>1</v>
      </c>
      <c r="C88" s="82" t="str">
        <f>COPY!D86</f>
        <v/>
      </c>
      <c r="D88" s="81" t="str">
        <f>IF(Table13[[#This Row],[JUMLAH]]&gt;1,(IF(Table13[[#This Row],[CODE]]=" ",D87&amp;"a",IF(Table13[[#This Row],[CODE]]&gt;0,Table13[[#This Row],[CODE]],0))),"")</f>
        <v/>
      </c>
      <c r="E88" s="81" t="str">
        <f>IF(COPY!G86&gt;0,COPY!G86,"")</f>
        <v>Bata Ringan Vocon 10 Cm</v>
      </c>
      <c r="F88" s="88">
        <f>IF(COPY!J86&gt;0,COPY!J86,"")</f>
        <v>2</v>
      </c>
      <c r="G88" s="85" t="str">
        <f>IF(COPY!H86&gt;0,COPY!H86,"")</f>
        <v>m3</v>
      </c>
      <c r="H88" s="85">
        <f>IF(COPY!I86&gt;0,COPY!I86,"")</f>
        <v>560000</v>
      </c>
      <c r="I88" s="85">
        <f>IF(COPY!M86&gt;0,COPY!M86,"")</f>
        <v>1120000</v>
      </c>
      <c r="J88" s="85" t="str">
        <f>IF(COPY!N86&gt;0,COPY!N86,"")</f>
        <v/>
      </c>
      <c r="K88" s="86" t="str">
        <f>IF(N88=0,(IF(LEFT(Table13[[#This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Row],[URAIAN]],$U$194:$V$210,2,FALSE),""),""),0))))),N88)</f>
        <v/>
      </c>
      <c r="L88" s="85" t="str">
        <f>IF(Table13[[#This Row],[Column2]]="KWITANSI",COUNTIF($K$4:K88,"KWITANSI")," ")</f>
        <v xml:space="preserve"> </v>
      </c>
      <c r="M88" s="85" t="str">
        <f>IF(Table13[[#This Row],[Column3]]=" "," ",Table13[[#This Row],[CODE]])</f>
        <v xml:space="preserve"> </v>
      </c>
      <c r="N88" s="368"/>
      <c r="P88" s="81" t="str">
        <f t="shared" si="1"/>
        <v/>
      </c>
    </row>
    <row r="89" spans="1:16" x14ac:dyDescent="0.15">
      <c r="A89" s="81" t="str">
        <f>COPY!O87</f>
        <v/>
      </c>
      <c r="B89" s="81">
        <f>COPY!C87</f>
        <v>1</v>
      </c>
      <c r="C89" s="82" t="str">
        <f>COPY!D87</f>
        <v/>
      </c>
      <c r="D89" s="81" t="str">
        <f>IF(Table13[[#This Row],[JUMLAH]]&gt;1,(IF(Table13[[#This Row],[CODE]]=" ",D88&amp;"a",IF(Table13[[#This Row],[CODE]]&gt;0,Table13[[#This Row],[CODE]],0))),"")</f>
        <v/>
      </c>
      <c r="E89" s="81" t="str">
        <f>IF(COPY!G87&gt;0,COPY!G87,"")</f>
        <v>Drymix Perekat Bata Ringan</v>
      </c>
      <c r="F89" s="88">
        <f>IF(COPY!J87&gt;0,COPY!J87,"")</f>
        <v>4</v>
      </c>
      <c r="G89" s="85" t="str">
        <f>IF(COPY!H87&gt;0,COPY!H87,"")</f>
        <v>Sak</v>
      </c>
      <c r="H89" s="85">
        <f>IF(COPY!I87&gt;0,COPY!I87,"")</f>
        <v>70000</v>
      </c>
      <c r="I89" s="85">
        <f>IF(COPY!M87&gt;0,COPY!M87,"")</f>
        <v>280000</v>
      </c>
      <c r="J89" s="85" t="str">
        <f>IF(COPY!N87&gt;0,COPY!N87,"")</f>
        <v/>
      </c>
      <c r="K89" s="86" t="str">
        <f>IF(N89=0,(IF(LEFT(Table13[[#This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Row],[URAIAN]],$U$194:$V$210,2,FALSE),""),""),0))))),N89)</f>
        <v/>
      </c>
      <c r="L89" s="85" t="str">
        <f>IF(Table13[[#This Row],[Column2]]="KWITANSI",COUNTIF($K$4:K89,"KWITANSI")," ")</f>
        <v xml:space="preserve"> </v>
      </c>
      <c r="M89" s="85" t="str">
        <f>IF(Table13[[#This Row],[Column3]]=" "," ",Table13[[#This Row],[CODE]])</f>
        <v xml:space="preserve"> </v>
      </c>
      <c r="N89" s="368"/>
      <c r="P89" s="81" t="str">
        <f t="shared" si="1"/>
        <v/>
      </c>
    </row>
    <row r="90" spans="1:16" x14ac:dyDescent="0.15">
      <c r="A90" s="81" t="str">
        <f>COPY!O88</f>
        <v>BKK.25</v>
      </c>
      <c r="B90" s="81">
        <f>COPY!C88</f>
        <v>1</v>
      </c>
      <c r="C90" s="82">
        <f>COPY!D88</f>
        <v>45924</v>
      </c>
      <c r="D90" s="81" t="str">
        <f>IF(Table13[[#This Row],[JUMLAH]]&gt;1,(IF(Table13[[#This Row],[CODE]]=" ",D89&amp;"a",IF(Table13[[#This Row],[CODE]]&gt;0,Table13[[#This Row],[CODE]],0))),"")</f>
        <v>BKK.25</v>
      </c>
      <c r="E90" s="81" t="str">
        <f>IF(COPY!G88&gt;0,COPY!G88,"")</f>
        <v>Bata Ringan Vocon 10 Cm</v>
      </c>
      <c r="F90" s="88">
        <f>IF(COPY!J88&gt;0,COPY!J88,"")</f>
        <v>2</v>
      </c>
      <c r="G90" s="85" t="str">
        <f>IF(COPY!H88&gt;0,COPY!H88,"")</f>
        <v>m3</v>
      </c>
      <c r="H90" s="85">
        <f>IF(COPY!I88&gt;0,COPY!I88,"")</f>
        <v>560000</v>
      </c>
      <c r="I90" s="85">
        <f>IF(COPY!M88&gt;0,COPY!M88,"")</f>
        <v>1120000</v>
      </c>
      <c r="J90" s="85">
        <f>IF(COPY!N88&gt;0,COPY!N88,"")</f>
        <v>1400000</v>
      </c>
      <c r="K90" s="86">
        <f>IF(N90=0,(IF(LEFT(Table13[[#This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Row],[URAIAN]],$U$194:$V$210,2,FALSE),""),""),0))))),N90)</f>
        <v>0</v>
      </c>
      <c r="L90" s="85" t="str">
        <f>IF(Table13[[#This Row],[Column2]]="KWITANSI",COUNTIF($K$4:K90,"KWITANSI")," ")</f>
        <v xml:space="preserve"> </v>
      </c>
      <c r="M90" s="85" t="str">
        <f>IF(Table13[[#This Row],[Column3]]=" "," ",Table13[[#This Row],[CODE]])</f>
        <v xml:space="preserve"> </v>
      </c>
      <c r="N90" s="368"/>
      <c r="P90" s="81" t="str">
        <f t="shared" si="1"/>
        <v/>
      </c>
    </row>
    <row r="91" spans="1:16" x14ac:dyDescent="0.15">
      <c r="A91" s="81" t="str">
        <f>COPY!O89</f>
        <v/>
      </c>
      <c r="B91" s="81">
        <f>COPY!C89</f>
        <v>1</v>
      </c>
      <c r="C91" s="82" t="str">
        <f>COPY!D89</f>
        <v/>
      </c>
      <c r="D91" s="81" t="str">
        <f>IF(Table13[[#This Row],[JUMLAH]]&gt;1,(IF(Table13[[#This Row],[CODE]]=" ",D90&amp;"a",IF(Table13[[#This Row],[CODE]]&gt;0,Table13[[#This Row],[CODE]],0))),"")</f>
        <v/>
      </c>
      <c r="E91" s="81" t="str">
        <f>IF(COPY!G89&gt;0,COPY!G89,"")</f>
        <v>Drymix Perekat Bata Ringan</v>
      </c>
      <c r="F91" s="88">
        <f>IF(COPY!J89&gt;0,COPY!J89,"")</f>
        <v>4</v>
      </c>
      <c r="G91" s="85" t="str">
        <f>IF(COPY!H89&gt;0,COPY!H89,"")</f>
        <v>Sak</v>
      </c>
      <c r="H91" s="85">
        <f>IF(COPY!I89&gt;0,COPY!I89,"")</f>
        <v>70000</v>
      </c>
      <c r="I91" s="85">
        <f>IF(COPY!M89&gt;0,COPY!M89,"")</f>
        <v>280000</v>
      </c>
      <c r="J91" s="85" t="str">
        <f>IF(COPY!N89&gt;0,COPY!N89,"")</f>
        <v/>
      </c>
      <c r="K91" s="86" t="str">
        <f>IF(N91=0,(IF(LEFT(Table13[[#This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Row],[URAIAN]],$U$194:$V$210,2,FALSE),""),""),0))))),N91)</f>
        <v/>
      </c>
      <c r="L91" s="85" t="str">
        <f>IF(Table13[[#This Row],[Column2]]="KWITANSI",COUNTIF($K$4:K91,"KWITANSI")," ")</f>
        <v xml:space="preserve"> </v>
      </c>
      <c r="M91" s="85" t="str">
        <f>IF(Table13[[#This Row],[Column3]]=" "," ",Table13[[#This Row],[CODE]])</f>
        <v xml:space="preserve"> </v>
      </c>
      <c r="N91" s="368"/>
      <c r="P91" s="81" t="str">
        <f t="shared" si="1"/>
        <v/>
      </c>
    </row>
    <row r="92" spans="1:16" x14ac:dyDescent="0.15">
      <c r="A92" s="81" t="str">
        <f>COPY!O90</f>
        <v>BKK.26</v>
      </c>
      <c r="B92" s="81">
        <f>COPY!C90</f>
        <v>1</v>
      </c>
      <c r="C92" s="82">
        <f>COPY!D90</f>
        <v>45925</v>
      </c>
      <c r="D92" s="81" t="str">
        <f>IF(Table13[[#This Row],[JUMLAH]]&gt;1,(IF(Table13[[#This Row],[CODE]]=" ",D91&amp;"a",IF(Table13[[#This Row],[CODE]]&gt;0,Table13[[#This Row],[CODE]],0))),"")</f>
        <v>BKK.26</v>
      </c>
      <c r="E92" s="81" t="str">
        <f>IF(COPY!G90&gt;0,COPY!G90,"")</f>
        <v>Pasir Biasa L300</v>
      </c>
      <c r="F92" s="88">
        <f>IF(COPY!J90&gt;0,COPY!J90,"")</f>
        <v>2</v>
      </c>
      <c r="G92" s="85" t="str">
        <f>IF(COPY!H90&gt;0,COPY!H90,"")</f>
        <v>Pik Up</v>
      </c>
      <c r="H92" s="85">
        <f>IF(COPY!I90&gt;0,COPY!I90,"")</f>
        <v>230000</v>
      </c>
      <c r="I92" s="85">
        <f>IF(COPY!M90&gt;0,COPY!M90,"")</f>
        <v>460000</v>
      </c>
      <c r="J92" s="85">
        <f>IF(COPY!N90&gt;0,COPY!N90,"")</f>
        <v>1827000</v>
      </c>
      <c r="K92" s="86">
        <f>IF(N92=0,(IF(LEFT(Table13[[#This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Row],[URAIAN]],$U$194:$V$210,2,FALSE),""),""),0))))),N92)</f>
        <v>0</v>
      </c>
      <c r="L92" s="85" t="str">
        <f>IF(Table13[[#This Row],[Column2]]="KWITANSI",COUNTIF($K$4:K92,"KWITANSI")," ")</f>
        <v xml:space="preserve"> </v>
      </c>
      <c r="M92" s="85" t="str">
        <f>IF(Table13[[#This Row],[Column3]]=" "," ",Table13[[#This Row],[CODE]])</f>
        <v xml:space="preserve"> </v>
      </c>
      <c r="N92" s="368"/>
      <c r="P92" s="81" t="str">
        <f t="shared" si="1"/>
        <v/>
      </c>
    </row>
    <row r="93" spans="1:16" x14ac:dyDescent="0.15">
      <c r="A93" s="81" t="str">
        <f>COPY!O91</f>
        <v/>
      </c>
      <c r="B93" s="81">
        <f>COPY!C91</f>
        <v>1</v>
      </c>
      <c r="C93" s="82" t="str">
        <f>COPY!D91</f>
        <v/>
      </c>
      <c r="D93" s="81" t="str">
        <f>IF(Table13[[#This Row],[JUMLAH]]&gt;1,(IF(Table13[[#This Row],[CODE]]=" ",D92&amp;"a",IF(Table13[[#This Row],[CODE]]&gt;0,Table13[[#This Row],[CODE]],0))),"")</f>
        <v/>
      </c>
      <c r="E93" s="81" t="str">
        <f>IF(COPY!G91&gt;0,COPY!G91,"")</f>
        <v>Wd Potong Bosch</v>
      </c>
      <c r="F93" s="88">
        <f>IF(COPY!J91&gt;0,COPY!J91,"")</f>
        <v>6</v>
      </c>
      <c r="G93" s="85" t="str">
        <f>IF(COPY!H91&gt;0,COPY!H91,"")</f>
        <v>Pcs</v>
      </c>
      <c r="H93" s="85">
        <f>IF(COPY!I91&gt;0,COPY!I91,"")</f>
        <v>3500</v>
      </c>
      <c r="I93" s="85">
        <f>IF(COPY!M91&gt;0,COPY!M91,"")</f>
        <v>21000</v>
      </c>
      <c r="J93" s="85" t="str">
        <f>IF(COPY!N91&gt;0,COPY!N91,"")</f>
        <v/>
      </c>
      <c r="K93" s="86" t="str">
        <f>IF(N93=0,(IF(LEFT(Table13[[#This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Row],[URAIAN]],$U$194:$V$210,2,FALSE),""),""),0))))),N93)</f>
        <v/>
      </c>
      <c r="L93" s="85" t="str">
        <f>IF(Table13[[#This Row],[Column2]]="KWITANSI",COUNTIF($K$4:K93,"KWITANSI")," ")</f>
        <v xml:space="preserve"> </v>
      </c>
      <c r="M93" s="85" t="str">
        <f>IF(Table13[[#This Row],[Column3]]=" "," ",Table13[[#This Row],[CODE]])</f>
        <v xml:space="preserve"> </v>
      </c>
      <c r="N93" s="368"/>
      <c r="P93" s="81" t="str">
        <f t="shared" si="1"/>
        <v/>
      </c>
    </row>
    <row r="94" spans="1:16" x14ac:dyDescent="0.15">
      <c r="A94" s="81" t="str">
        <f>COPY!O92</f>
        <v/>
      </c>
      <c r="B94" s="81">
        <f>COPY!C92</f>
        <v>1</v>
      </c>
      <c r="C94" s="82" t="str">
        <f>COPY!D92</f>
        <v/>
      </c>
      <c r="D94" s="81" t="str">
        <f>IF(Table13[[#This Row],[JUMLAH]]&gt;1,(IF(Table13[[#This Row],[CODE]]=" ",D93&amp;"a",IF(Table13[[#This Row],[CODE]]&gt;0,Table13[[#This Row],[CODE]],0))),"")</f>
        <v/>
      </c>
      <c r="E94" s="81" t="str">
        <f>IF(COPY!G92&gt;0,COPY!G92,"")</f>
        <v>Bendrat Spq</v>
      </c>
      <c r="F94" s="88">
        <f>IF(COPY!J92&gt;0,COPY!J92,"")</f>
        <v>5</v>
      </c>
      <c r="G94" s="85" t="str">
        <f>IF(COPY!H92&gt;0,COPY!H92,"")</f>
        <v>kg</v>
      </c>
      <c r="H94" s="85">
        <f>IF(COPY!I92&gt;0,COPY!I92,"")</f>
        <v>22000</v>
      </c>
      <c r="I94" s="85">
        <f>IF(COPY!M92&gt;0,COPY!M92,"")</f>
        <v>110000</v>
      </c>
      <c r="J94" s="85" t="str">
        <f>IF(COPY!N92&gt;0,COPY!N92,"")</f>
        <v/>
      </c>
      <c r="K94" s="86" t="str">
        <f>IF(N94=0,(IF(LEFT(Table13[[#This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Row],[URAIAN]],$U$194:$V$210,2,FALSE),""),""),0))))),N94)</f>
        <v/>
      </c>
      <c r="L94" s="85" t="str">
        <f>IF(Table13[[#This Row],[Column2]]="KWITANSI",COUNTIF($K$4:K94,"KWITANSI")," ")</f>
        <v xml:space="preserve"> </v>
      </c>
      <c r="M94" s="85" t="str">
        <f>IF(Table13[[#This Row],[Column3]]=" "," ",Table13[[#This Row],[CODE]])</f>
        <v xml:space="preserve"> </v>
      </c>
      <c r="N94" s="368"/>
      <c r="P94" s="81" t="str">
        <f t="shared" si="1"/>
        <v/>
      </c>
    </row>
    <row r="95" spans="1:16" x14ac:dyDescent="0.15">
      <c r="A95" s="81" t="str">
        <f>COPY!O93</f>
        <v/>
      </c>
      <c r="B95" s="81">
        <f>COPY!C93</f>
        <v>1</v>
      </c>
      <c r="C95" s="82" t="str">
        <f>COPY!D93</f>
        <v/>
      </c>
      <c r="D95" s="81" t="str">
        <f>IF(Table13[[#This Row],[JUMLAH]]&gt;1,(IF(Table13[[#This Row],[CODE]]=" ",D94&amp;"a",IF(Table13[[#This Row],[CODE]]&gt;0,Table13[[#This Row],[CODE]],0))),"")</f>
        <v/>
      </c>
      <c r="E95" s="81" t="str">
        <f>IF(COPY!G93&gt;0,COPY!G93,"")</f>
        <v>Besi 6.0 Sni</v>
      </c>
      <c r="F95" s="88">
        <f>IF(COPY!J93&gt;0,COPY!J93,"")</f>
        <v>10</v>
      </c>
      <c r="G95" s="85" t="str">
        <f>IF(COPY!H93&gt;0,COPY!H93,"")</f>
        <v>Ljr</v>
      </c>
      <c r="H95" s="85">
        <f>IF(COPY!I93&gt;0,COPY!I93,"")</f>
        <v>28000</v>
      </c>
      <c r="I95" s="85">
        <f>IF(COPY!M93&gt;0,COPY!M93,"")</f>
        <v>280000</v>
      </c>
      <c r="J95" s="85" t="str">
        <f>IF(COPY!N93&gt;0,COPY!N93,"")</f>
        <v/>
      </c>
      <c r="K95" s="86" t="str">
        <f>IF(N95=0,(IF(LEFT(Table13[[#This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Row],[URAIAN]],$U$194:$V$210,2,FALSE),""),""),0))))),N95)</f>
        <v/>
      </c>
      <c r="L95" s="85" t="str">
        <f>IF(Table13[[#This Row],[Column2]]="KWITANSI",COUNTIF($K$4:K95,"KWITANSI")," ")</f>
        <v xml:space="preserve"> </v>
      </c>
      <c r="M95" s="85" t="str">
        <f>IF(Table13[[#This Row],[Column3]]=" "," ",Table13[[#This Row],[CODE]])</f>
        <v xml:space="preserve"> </v>
      </c>
      <c r="N95" s="368"/>
      <c r="P95" s="81" t="str">
        <f t="shared" si="1"/>
        <v/>
      </c>
    </row>
    <row r="96" spans="1:16" x14ac:dyDescent="0.15">
      <c r="A96" s="81" t="str">
        <f>COPY!O94</f>
        <v/>
      </c>
      <c r="B96" s="81">
        <f>COPY!C94</f>
        <v>1</v>
      </c>
      <c r="C96" s="82" t="str">
        <f>COPY!D94</f>
        <v/>
      </c>
      <c r="D96" s="81" t="str">
        <f>IF(Table13[[#This Row],[JUMLAH]]&gt;1,(IF(Table13[[#This Row],[CODE]]=" ",D95&amp;"a",IF(Table13[[#This Row],[CODE]]&gt;0,Table13[[#This Row],[CODE]],0))),"")</f>
        <v/>
      </c>
      <c r="E96" s="81" t="str">
        <f>IF(COPY!G94&gt;0,COPY!G94,"")</f>
        <v>Besi 8.0 Sni</v>
      </c>
      <c r="F96" s="88">
        <f>IF(COPY!J94&gt;0,COPY!J94,"")</f>
        <v>14</v>
      </c>
      <c r="G96" s="85" t="str">
        <f>IF(COPY!H94&gt;0,COPY!H94,"")</f>
        <v>Ljr</v>
      </c>
      <c r="H96" s="85">
        <f>IF(COPY!I94&gt;0,COPY!I94,"")</f>
        <v>46000</v>
      </c>
      <c r="I96" s="85">
        <f>IF(COPY!M94&gt;0,COPY!M94,"")</f>
        <v>644000</v>
      </c>
      <c r="J96" s="85" t="str">
        <f>IF(COPY!N94&gt;0,COPY!N94,"")</f>
        <v/>
      </c>
      <c r="K96" s="86" t="str">
        <f>IF(N96=0,(IF(LEFT(Table13[[#This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Row],[URAIAN]],$U$194:$V$210,2,FALSE),""),""),0))))),N96)</f>
        <v/>
      </c>
      <c r="L96" s="85" t="str">
        <f>IF(Table13[[#This Row],[Column2]]="KWITANSI",COUNTIF($K$4:K96,"KWITANSI")," ")</f>
        <v xml:space="preserve"> </v>
      </c>
      <c r="M96" s="85" t="str">
        <f>IF(Table13[[#This Row],[Column3]]=" "," ",Table13[[#This Row],[CODE]])</f>
        <v xml:space="preserve"> </v>
      </c>
      <c r="N96" s="368"/>
      <c r="P96" s="81" t="str">
        <f t="shared" si="1"/>
        <v/>
      </c>
    </row>
    <row r="97" spans="1:16" x14ac:dyDescent="0.15">
      <c r="A97" s="81" t="str">
        <f>COPY!O95</f>
        <v/>
      </c>
      <c r="B97" s="81">
        <f>COPY!C95</f>
        <v>1</v>
      </c>
      <c r="C97" s="82" t="str">
        <f>COPY!D95</f>
        <v/>
      </c>
      <c r="D97" s="81" t="str">
        <f>IF(Table13[[#This Row],[JUMLAH]]&gt;1,(IF(Table13[[#This Row],[CODE]]=" ",D96&amp;"a",IF(Table13[[#This Row],[CODE]]&gt;0,Table13[[#This Row],[CODE]],0))),"")</f>
        <v/>
      </c>
      <c r="E97" s="81" t="str">
        <f>IF(COPY!G95&gt;0,COPY!G95,"")</f>
        <v>Semen 3 Roda</v>
      </c>
      <c r="F97" s="88">
        <f>IF(COPY!J95&gt;0,COPY!J95,"")</f>
        <v>6</v>
      </c>
      <c r="G97" s="85" t="str">
        <f>IF(COPY!H95&gt;0,COPY!H95,"")</f>
        <v>Sak</v>
      </c>
      <c r="H97" s="85">
        <f>IF(COPY!I95&gt;0,COPY!I95,"")</f>
        <v>52000</v>
      </c>
      <c r="I97" s="85">
        <f>IF(COPY!M95&gt;0,COPY!M95,"")</f>
        <v>312000</v>
      </c>
      <c r="J97" s="85" t="str">
        <f>IF(COPY!N95&gt;0,COPY!N95,"")</f>
        <v/>
      </c>
      <c r="K97" s="86" t="str">
        <f>IF(N97=0,(IF(LEFT(Table13[[#This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Row],[URAIAN]],$U$194:$V$210,2,FALSE),""),""),0))))),N97)</f>
        <v/>
      </c>
      <c r="L97" s="85" t="str">
        <f>IF(Table13[[#This Row],[Column2]]="KWITANSI",COUNTIF($K$4:K97,"KWITANSI")," ")</f>
        <v xml:space="preserve"> </v>
      </c>
      <c r="M97" s="85" t="str">
        <f>IF(Table13[[#This Row],[Column3]]=" "," ",Table13[[#This Row],[CODE]])</f>
        <v xml:space="preserve"> </v>
      </c>
      <c r="N97" s="368"/>
      <c r="P97" s="81" t="str">
        <f t="shared" si="1"/>
        <v/>
      </c>
    </row>
    <row r="98" spans="1:16" x14ac:dyDescent="0.15">
      <c r="A98" s="81" t="str">
        <f>COPY!O96</f>
        <v>BKK.27</v>
      </c>
      <c r="B98" s="81">
        <f>COPY!C96</f>
        <v>1</v>
      </c>
      <c r="C98" s="82">
        <f>COPY!D96</f>
        <v>45926</v>
      </c>
      <c r="D98" s="81" t="str">
        <f>IF(Table13[[#This Row],[JUMLAH]]&gt;1,(IF(Table13[[#This Row],[CODE]]=" ",D97&amp;"a",IF(Table13[[#This Row],[CODE]]&gt;0,Table13[[#This Row],[CODE]],0))),"")</f>
        <v>BKK.27</v>
      </c>
      <c r="E98" s="81" t="str">
        <f>IF(COPY!G96&gt;0,COPY!G96,"")</f>
        <v>Bata Merah Super</v>
      </c>
      <c r="F98" s="88">
        <f>IF(COPY!J96&gt;0,COPY!J96,"")</f>
        <v>500</v>
      </c>
      <c r="G98" s="85" t="str">
        <f>IF(COPY!H96&gt;0,COPY!H96,"")</f>
        <v>Bji</v>
      </c>
      <c r="H98" s="85">
        <f>IF(COPY!I96&gt;0,COPY!I96,"")</f>
        <v>550</v>
      </c>
      <c r="I98" s="85">
        <f>IF(COPY!M96&gt;0,COPY!M96,"")</f>
        <v>275000</v>
      </c>
      <c r="J98" s="85">
        <f>IF(COPY!N96&gt;0,COPY!N96,"")</f>
        <v>1955000</v>
      </c>
      <c r="K98" s="86">
        <f>IF(N98=0,(IF(LEFT(Table13[[#This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Row],[URAIAN]],$U$194:$V$210,2,FALSE),""),""),0))))),N98)</f>
        <v>0</v>
      </c>
      <c r="L98" s="85" t="str">
        <f>IF(Table13[[#This Row],[Column2]]="KWITANSI",COUNTIF($K$4:K98,"KWITANSI")," ")</f>
        <v xml:space="preserve"> </v>
      </c>
      <c r="M98" s="85" t="str">
        <f>IF(Table13[[#This Row],[Column3]]=" "," ",Table13[[#This Row],[CODE]])</f>
        <v xml:space="preserve"> </v>
      </c>
      <c r="N98" s="368"/>
      <c r="P98" s="81" t="str">
        <f t="shared" si="1"/>
        <v/>
      </c>
    </row>
    <row r="99" spans="1:16" x14ac:dyDescent="0.15">
      <c r="A99" s="81" t="str">
        <f>COPY!O97</f>
        <v/>
      </c>
      <c r="B99" s="81">
        <f>COPY!C97</f>
        <v>1</v>
      </c>
      <c r="C99" s="82" t="str">
        <f>COPY!D97</f>
        <v/>
      </c>
      <c r="D99" s="81" t="str">
        <f>IF(Table13[[#This Row],[JUMLAH]]&gt;1,(IF(Table13[[#This Row],[CODE]]=" ",D98&amp;"a",IF(Table13[[#This Row],[CODE]]&gt;0,Table13[[#This Row],[CODE]],0))),"")</f>
        <v/>
      </c>
      <c r="E99" s="81" t="str">
        <f>IF(COPY!G97&gt;0,COPY!G97,"")</f>
        <v>Bata Ringan Vocon 10 Cm</v>
      </c>
      <c r="F99" s="88">
        <f>IF(COPY!J97&gt;0,COPY!J97,"")</f>
        <v>3</v>
      </c>
      <c r="G99" s="85" t="str">
        <f>IF(COPY!H97&gt;0,COPY!H97,"")</f>
        <v>m3</v>
      </c>
      <c r="H99" s="85">
        <f>IF(COPY!I97&gt;0,COPY!I97,"")</f>
        <v>560000</v>
      </c>
      <c r="I99" s="85">
        <f>IF(COPY!M97&gt;0,COPY!M97,"")</f>
        <v>1680000</v>
      </c>
      <c r="J99" s="85" t="str">
        <f>IF(COPY!N97&gt;0,COPY!N97,"")</f>
        <v/>
      </c>
      <c r="K99" s="86" t="str">
        <f>IF(N99=0,(IF(LEFT(Table13[[#This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Row],[URAIAN]],$U$194:$V$210,2,FALSE),""),""),0))))),N99)</f>
        <v/>
      </c>
      <c r="L99" s="85" t="str">
        <f>IF(Table13[[#This Row],[Column2]]="KWITANSI",COUNTIF($K$4:K99,"KWITANSI")," ")</f>
        <v xml:space="preserve"> </v>
      </c>
      <c r="M99" s="85" t="str">
        <f>IF(Table13[[#This Row],[Column3]]=" "," ",Table13[[#This Row],[CODE]])</f>
        <v xml:space="preserve"> </v>
      </c>
      <c r="N99" s="368"/>
      <c r="P99" s="81" t="str">
        <f t="shared" si="1"/>
        <v/>
      </c>
    </row>
    <row r="100" spans="1:16" x14ac:dyDescent="0.15">
      <c r="A100" s="81" t="str">
        <f>COPY!O98</f>
        <v>BKK.28</v>
      </c>
      <c r="B100" s="81">
        <f>COPY!C98</f>
        <v>1</v>
      </c>
      <c r="C100" s="82">
        <f>COPY!D98</f>
        <v>45927</v>
      </c>
      <c r="D100" s="81" t="str">
        <f>IF(Table13[[#This Row],[JUMLAH]]&gt;1,(IF(Table13[[#This Row],[CODE]]=" ",D99&amp;"a",IF(Table13[[#This Row],[CODE]]&gt;0,Table13[[#This Row],[CODE]],0))),"")</f>
        <v>BKK.28</v>
      </c>
      <c r="E100" s="81" t="str">
        <f>IF(COPY!G98&gt;0,COPY!G98,"")</f>
        <v>Pasir Biasa L300</v>
      </c>
      <c r="F100" s="88">
        <f>IF(COPY!J98&gt;0,COPY!J98,"")</f>
        <v>1</v>
      </c>
      <c r="G100" s="85" t="str">
        <f>IF(COPY!H98&gt;0,COPY!H98,"")</f>
        <v>Pik Up</v>
      </c>
      <c r="H100" s="85">
        <f>IF(COPY!I98&gt;0,COPY!I98,"")</f>
        <v>230000</v>
      </c>
      <c r="I100" s="85">
        <f>IF(COPY!M98&gt;0,COPY!M98,"")</f>
        <v>230000</v>
      </c>
      <c r="J100" s="85">
        <f>IF(COPY!N98&gt;0,COPY!N98,"")</f>
        <v>1658000</v>
      </c>
      <c r="K100" s="86">
        <f>IF(N100=0,(IF(LEFT(Table13[[#This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Row],[URAIAN]],$U$194:$V$210,2,FALSE),""),""),0))))),N100)</f>
        <v>0</v>
      </c>
      <c r="L100" s="85" t="str">
        <f>IF(Table13[[#This Row],[Column2]]="KWITANSI",COUNTIF($K$4:K100,"KWITANSI")," ")</f>
        <v xml:space="preserve"> </v>
      </c>
      <c r="M100" s="85" t="str">
        <f>IF(Table13[[#This Row],[Column3]]=" "," ",Table13[[#This Row],[CODE]])</f>
        <v xml:space="preserve"> </v>
      </c>
      <c r="N100" s="368"/>
      <c r="P100" s="81" t="str">
        <f t="shared" si="1"/>
        <v/>
      </c>
    </row>
    <row r="101" spans="1:16" x14ac:dyDescent="0.15">
      <c r="A101" s="81" t="str">
        <f>COPY!O99</f>
        <v/>
      </c>
      <c r="B101" s="81">
        <f>COPY!C99</f>
        <v>1</v>
      </c>
      <c r="C101" s="82" t="str">
        <f>COPY!D99</f>
        <v/>
      </c>
      <c r="D101" s="81" t="str">
        <f>IF(Table13[[#This Row],[JUMLAH]]&gt;1,(IF(Table13[[#This Row],[CODE]]=" ",D100&amp;"a",IF(Table13[[#This Row],[CODE]]&gt;0,Table13[[#This Row],[CODE]],0))),"")</f>
        <v/>
      </c>
      <c r="E101" s="81" t="str">
        <f>IF(COPY!G99&gt;0,COPY!G99,"")</f>
        <v>Koral L300</v>
      </c>
      <c r="F101" s="88">
        <f>IF(COPY!J99&gt;0,COPY!J99,"")</f>
        <v>3</v>
      </c>
      <c r="G101" s="85" t="str">
        <f>IF(COPY!H99&gt;0,COPY!H99,"")</f>
        <v>Pik Up</v>
      </c>
      <c r="H101" s="85">
        <f>IF(COPY!I99&gt;0,COPY!I99,"")</f>
        <v>350000</v>
      </c>
      <c r="I101" s="85">
        <f>IF(COPY!M99&gt;0,COPY!M99,"")</f>
        <v>1050000</v>
      </c>
      <c r="J101" s="85" t="str">
        <f>IF(COPY!N99&gt;0,COPY!N99,"")</f>
        <v/>
      </c>
      <c r="K101" s="86" t="str">
        <f>IF(N101=0,(IF(LEFT(Table13[[#This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Row],[URAIAN]],$U$194:$V$210,2,FALSE),""),""),0))))),N101)</f>
        <v/>
      </c>
      <c r="L101" s="85" t="str">
        <f>IF(Table13[[#This Row],[Column2]]="KWITANSI",COUNTIF($K$4:K101,"KWITANSI")," ")</f>
        <v xml:space="preserve"> </v>
      </c>
      <c r="M101" s="85" t="str">
        <f>IF(Table13[[#This Row],[Column3]]=" "," ",Table13[[#This Row],[CODE]])</f>
        <v xml:space="preserve"> </v>
      </c>
      <c r="N101" s="368"/>
      <c r="P101" s="81" t="str">
        <f t="shared" si="1"/>
        <v/>
      </c>
    </row>
    <row r="102" spans="1:16" x14ac:dyDescent="0.15">
      <c r="A102" s="81" t="str">
        <f>COPY!O100</f>
        <v/>
      </c>
      <c r="B102" s="81">
        <f>COPY!C100</f>
        <v>1</v>
      </c>
      <c r="C102" s="82" t="str">
        <f>COPY!D100</f>
        <v/>
      </c>
      <c r="D102" s="81" t="str">
        <f>IF(Table13[[#This Row],[JUMLAH]]&gt;1,(IF(Table13[[#This Row],[CODE]]=" ",D101&amp;"a",IF(Table13[[#This Row],[CODE]]&gt;0,Table13[[#This Row],[CODE]],0))),"")</f>
        <v/>
      </c>
      <c r="E102" s="81" t="str">
        <f>IF(COPY!G100&gt;0,COPY!G100,"")</f>
        <v>Bendrat Spq</v>
      </c>
      <c r="F102" s="88">
        <f>IF(COPY!J100&gt;0,COPY!J100,"")</f>
        <v>4</v>
      </c>
      <c r="G102" s="85" t="str">
        <f>IF(COPY!H100&gt;0,COPY!H100,"")</f>
        <v>kg</v>
      </c>
      <c r="H102" s="85">
        <f>IF(COPY!I100&gt;0,COPY!I100,"")</f>
        <v>22000</v>
      </c>
      <c r="I102" s="85">
        <f>IF(COPY!M100&gt;0,COPY!M100,"")</f>
        <v>88000</v>
      </c>
      <c r="J102" s="85" t="str">
        <f>IF(COPY!N100&gt;0,COPY!N100,"")</f>
        <v/>
      </c>
      <c r="K102" s="86" t="str">
        <f>IF(N102=0,(IF(LEFT(Table13[[#This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Row],[URAIAN]],$U$194:$V$210,2,FALSE),""),""),0))))),N102)</f>
        <v/>
      </c>
      <c r="L102" s="85" t="str">
        <f>IF(Table13[[#This Row],[Column2]]="KWITANSI",COUNTIF($K$4:K102,"KWITANSI")," ")</f>
        <v xml:space="preserve"> </v>
      </c>
      <c r="M102" s="85" t="str">
        <f>IF(Table13[[#This Row],[Column3]]=" "," ",Table13[[#This Row],[CODE]])</f>
        <v xml:space="preserve"> </v>
      </c>
      <c r="N102" s="368"/>
      <c r="P102" s="81" t="str">
        <f t="shared" si="1"/>
        <v/>
      </c>
    </row>
    <row r="103" spans="1:16" x14ac:dyDescent="0.15">
      <c r="A103" s="81" t="str">
        <f>COPY!O101</f>
        <v/>
      </c>
      <c r="B103" s="81">
        <f>COPY!C101</f>
        <v>1</v>
      </c>
      <c r="C103" s="82" t="str">
        <f>COPY!D101</f>
        <v/>
      </c>
      <c r="D103" s="81" t="str">
        <f>IF(Table13[[#This Row],[JUMLAH]]&gt;1,(IF(Table13[[#This Row],[CODE]]=" ",D102&amp;"a",IF(Table13[[#This Row],[CODE]]&gt;0,Table13[[#This Row],[CODE]],0))),"")</f>
        <v/>
      </c>
      <c r="E103" s="81" t="str">
        <f>IF(COPY!G101&gt;0,COPY!G101,"")</f>
        <v>Semen Gresik 40Kg</v>
      </c>
      <c r="F103" s="88">
        <f>IF(COPY!J101&gt;0,COPY!J101,"")</f>
        <v>5</v>
      </c>
      <c r="G103" s="85" t="str">
        <f>IF(COPY!H101&gt;0,COPY!H101,"")</f>
        <v>Sak</v>
      </c>
      <c r="H103" s="85">
        <f>IF(COPY!I101&gt;0,COPY!I101,"")</f>
        <v>58000</v>
      </c>
      <c r="I103" s="85">
        <f>IF(COPY!M101&gt;0,COPY!M101,"")</f>
        <v>290000</v>
      </c>
      <c r="J103" s="85" t="str">
        <f>IF(COPY!N101&gt;0,COPY!N101,"")</f>
        <v/>
      </c>
      <c r="K103" s="86" t="str">
        <f>IF(N103=0,(IF(LEFT(Table13[[#This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Row],[URAIAN]],$U$194:$V$210,2,FALSE),""),""),0))))),N103)</f>
        <v/>
      </c>
      <c r="L103" s="85" t="str">
        <f>IF(Table13[[#This Row],[Column2]]="KWITANSI",COUNTIF($K$4:K103,"KWITANSI")," ")</f>
        <v xml:space="preserve"> </v>
      </c>
      <c r="M103" s="85" t="str">
        <f>IF(Table13[[#This Row],[Column3]]=" "," ",Table13[[#This Row],[CODE]])</f>
        <v xml:space="preserve"> </v>
      </c>
      <c r="N103" s="368"/>
      <c r="P103" s="81" t="str">
        <f t="shared" si="1"/>
        <v/>
      </c>
    </row>
    <row r="104" spans="1:16" x14ac:dyDescent="0.15">
      <c r="A104" s="81" t="str">
        <f>COPY!O102</f>
        <v>BKK.29</v>
      </c>
      <c r="B104" s="81">
        <f>COPY!C102</f>
        <v>1</v>
      </c>
      <c r="C104" s="82">
        <f>COPY!D102</f>
        <v>45927</v>
      </c>
      <c r="D104" s="81" t="str">
        <f>IF(Table13[[#This Row],[JUMLAH]]&gt;1,(IF(Table13[[#This Row],[CODE]]=" ",D103&amp;"a",IF(Table13[[#This Row],[CODE]]&gt;0,Table13[[#This Row],[CODE]],0))),"")</f>
        <v>BKK.29</v>
      </c>
      <c r="E104" s="81" t="str">
        <f>IF(COPY!G102&gt;0,COPY!G102,"")</f>
        <v>Pembayaran Pekerja Minggu Ke 4</v>
      </c>
      <c r="F104" s="88">
        <f>IF(COPY!J102&gt;0,COPY!J102,"")</f>
        <v>1</v>
      </c>
      <c r="G104" s="85" t="str">
        <f>IF(COPY!H102&gt;0,COPY!H102,"")</f>
        <v/>
      </c>
      <c r="H104" s="85">
        <f>IF(COPY!I102&gt;0,COPY!I102,"")</f>
        <v>1</v>
      </c>
      <c r="I104" s="85">
        <f>IF(COPY!M102&gt;0,COPY!M102,"")</f>
        <v>6035000</v>
      </c>
      <c r="J104" s="85">
        <f>IF(COPY!N102&gt;0,COPY!N102,"")</f>
        <v>6035000</v>
      </c>
      <c r="K104" s="86" t="str">
        <f>IF(N104=0,(IF(LEFT(Table13[[#This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Row],[URAIAN]],$U$194:$V$210,2,FALSE),""),""),0))))),N104)</f>
        <v>KWITANSI</v>
      </c>
      <c r="L104" s="85">
        <f>IF(Table13[[#This Row],[Column2]]="KWITANSI",COUNTIF($K$4:K104,"KWITANSI")," ")</f>
        <v>5</v>
      </c>
      <c r="M104" s="85" t="str">
        <f>IF(Table13[[#This Row],[Column3]]=" "," ",Table13[[#This Row],[CODE]])</f>
        <v>BKK.29</v>
      </c>
      <c r="N104" s="368"/>
      <c r="P104" s="81" t="str">
        <f t="shared" si="1"/>
        <v/>
      </c>
    </row>
    <row r="105" spans="1:16" x14ac:dyDescent="0.15">
      <c r="A105" s="81" t="str">
        <f>COPY!O103</f>
        <v>BKK.30</v>
      </c>
      <c r="B105" s="81">
        <f>COPY!C103</f>
        <v>1</v>
      </c>
      <c r="C105" s="82">
        <f>COPY!D103</f>
        <v>45929</v>
      </c>
      <c r="D105" s="81" t="str">
        <f>IF(Table13[[#This Row],[JUMLAH]]&gt;1,(IF(Table13[[#This Row],[CODE]]=" ",D104&amp;"a",IF(Table13[[#This Row],[CODE]]&gt;0,Table13[[#This Row],[CODE]],0))),"")</f>
        <v>BKK.30</v>
      </c>
      <c r="E105" s="81" t="str">
        <f>IF(COPY!G103&gt;0,COPY!G103,"")</f>
        <v>Lem Ruglue 400 Gr</v>
      </c>
      <c r="F105" s="88">
        <f>IF(COPY!J103&gt;0,COPY!J103,"")</f>
        <v>1</v>
      </c>
      <c r="G105" s="85" t="str">
        <f>IF(COPY!H103&gt;0,COPY!H103,"")</f>
        <v>Pcs</v>
      </c>
      <c r="H105" s="85">
        <f>IF(COPY!I103&gt;0,COPY!I103,"")</f>
        <v>55000</v>
      </c>
      <c r="I105" s="85">
        <f>IF(COPY!M103&gt;0,COPY!M103,"")</f>
        <v>55000</v>
      </c>
      <c r="J105" s="85">
        <f>IF(COPY!N103&gt;0,COPY!N103,"")</f>
        <v>1947000</v>
      </c>
      <c r="K105" s="86">
        <f>IF(N105=0,(IF(LEFT(Table13[[#This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Row],[URAIAN]],$U$194:$V$210,2,FALSE),""),""),0))))),N105)</f>
        <v>0</v>
      </c>
      <c r="L105" s="85" t="str">
        <f>IF(Table13[[#This Row],[Column2]]="KWITANSI",COUNTIF($K$4:K105,"KWITANSI")," ")</f>
        <v xml:space="preserve"> </v>
      </c>
      <c r="M105" s="85" t="str">
        <f>IF(Table13[[#This Row],[Column3]]=" "," ",Table13[[#This Row],[CODE]])</f>
        <v xml:space="preserve"> </v>
      </c>
      <c r="N105" s="368"/>
      <c r="P105" s="81" t="str">
        <f t="shared" si="1"/>
        <v/>
      </c>
    </row>
    <row r="106" spans="1:16" x14ac:dyDescent="0.15">
      <c r="A106" s="81" t="str">
        <f>COPY!O104</f>
        <v/>
      </c>
      <c r="B106" s="81">
        <f>COPY!C104</f>
        <v>1</v>
      </c>
      <c r="C106" s="82" t="str">
        <f>COPY!D104</f>
        <v/>
      </c>
      <c r="D106" s="81" t="str">
        <f>IF(Table13[[#This Row],[JUMLAH]]&gt;1,(IF(Table13[[#This Row],[CODE]]=" ",D105&amp;"a",IF(Table13[[#This Row],[CODE]]&gt;0,Table13[[#This Row],[CODE]],0))),"")</f>
        <v/>
      </c>
      <c r="E106" s="81" t="str">
        <f>IF(COPY!G104&gt;0,COPY!G104,"")</f>
        <v>Tba Onda</v>
      </c>
      <c r="F106" s="88">
        <f>IF(COPY!J104&gt;0,COPY!J104,"")</f>
        <v>4</v>
      </c>
      <c r="G106" s="85" t="str">
        <f>IF(COPY!H104&gt;0,COPY!H104,"")</f>
        <v>Pcs</v>
      </c>
      <c r="H106" s="85">
        <f>IF(COPY!I104&gt;0,COPY!I104,"")</f>
        <v>5000</v>
      </c>
      <c r="I106" s="85">
        <f>IF(COPY!M104&gt;0,COPY!M104,"")</f>
        <v>20000</v>
      </c>
      <c r="J106" s="85" t="str">
        <f>IF(COPY!N104&gt;0,COPY!N104,"")</f>
        <v/>
      </c>
      <c r="K106" s="86" t="str">
        <f>IF(N106=0,(IF(LEFT(Table13[[#This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Row],[URAIAN]],$U$194:$V$210,2,FALSE),""),""),0))))),N106)</f>
        <v/>
      </c>
      <c r="L106" s="85" t="str">
        <f>IF(Table13[[#This Row],[Column2]]="KWITANSI",COUNTIF($K$4:K106,"KWITANSI")," ")</f>
        <v xml:space="preserve"> </v>
      </c>
      <c r="M106" s="85" t="str">
        <f>IF(Table13[[#This Row],[Column3]]=" "," ",Table13[[#This Row],[CODE]])</f>
        <v xml:space="preserve"> </v>
      </c>
      <c r="N106" s="368"/>
      <c r="P106" s="81" t="str">
        <f t="shared" si="1"/>
        <v/>
      </c>
    </row>
    <row r="107" spans="1:16" x14ac:dyDescent="0.15">
      <c r="A107" s="81" t="str">
        <f>COPY!O105</f>
        <v/>
      </c>
      <c r="B107" s="81">
        <f>COPY!C105</f>
        <v>1</v>
      </c>
      <c r="C107" s="82" t="str">
        <f>COPY!D105</f>
        <v/>
      </c>
      <c r="D107" s="81" t="str">
        <f>IF(Table13[[#This Row],[JUMLAH]]&gt;1,(IF(Table13[[#This Row],[CODE]]=" ",D106&amp;"a",IF(Table13[[#This Row],[CODE]]&gt;0,Table13[[#This Row],[CODE]],0))),"")</f>
        <v/>
      </c>
      <c r="E107" s="81" t="str">
        <f>IF(COPY!G105&gt;0,COPY!G105,"")</f>
        <v>Tee Drat Dalam Kuningan 3/4" Rck</v>
      </c>
      <c r="F107" s="88">
        <f>IF(COPY!J105&gt;0,COPY!J105,"")</f>
        <v>8</v>
      </c>
      <c r="G107" s="85" t="str">
        <f>IF(COPY!H105&gt;0,COPY!H105,"")</f>
        <v>Pcs</v>
      </c>
      <c r="H107" s="85">
        <f>IF(COPY!I105&gt;0,COPY!I105,"")</f>
        <v>25000</v>
      </c>
      <c r="I107" s="85">
        <f>IF(COPY!M105&gt;0,COPY!M105,"")</f>
        <v>200000</v>
      </c>
      <c r="J107" s="85" t="str">
        <f>IF(COPY!N105&gt;0,COPY!N105,"")</f>
        <v/>
      </c>
      <c r="K107" s="86" t="str">
        <f>IF(N107=0,(IF(LEFT(Table13[[#This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Row],[URAIAN]],$U$194:$V$210,2,FALSE),""),""),0))))),N107)</f>
        <v/>
      </c>
      <c r="L107" s="85" t="str">
        <f>IF(Table13[[#This Row],[Column2]]="KWITANSI",COUNTIF($K$4:K107,"KWITANSI")," ")</f>
        <v xml:space="preserve"> </v>
      </c>
      <c r="M107" s="85" t="str">
        <f>IF(Table13[[#This Row],[Column3]]=" "," ",Table13[[#This Row],[CODE]])</f>
        <v xml:space="preserve"> </v>
      </c>
      <c r="N107" s="368"/>
      <c r="P107" s="81" t="str">
        <f t="shared" si="1"/>
        <v/>
      </c>
    </row>
    <row r="108" spans="1:16" x14ac:dyDescent="0.15">
      <c r="A108" s="81" t="str">
        <f>COPY!O106</f>
        <v/>
      </c>
      <c r="B108" s="81">
        <f>COPY!C106</f>
        <v>1</v>
      </c>
      <c r="C108" s="82" t="str">
        <f>COPY!D106</f>
        <v/>
      </c>
      <c r="D108" s="81" t="str">
        <f>IF(Table13[[#This Row],[JUMLAH]]&gt;1,(IF(Table13[[#This Row],[CODE]]=" ",D107&amp;"a",IF(Table13[[#This Row],[CODE]]&gt;0,Table13[[#This Row],[CODE]],0))),"")</f>
        <v/>
      </c>
      <c r="E108" s="81" t="str">
        <f>IF(COPY!G106&gt;0,COPY!G106,"")</f>
        <v>Pipa Maspion Abu Aw 3/4"</v>
      </c>
      <c r="F108" s="88">
        <f>IF(COPY!J106&gt;0,COPY!J106,"")</f>
        <v>10</v>
      </c>
      <c r="G108" s="85" t="str">
        <f>IF(COPY!H106&gt;0,COPY!H106,"")</f>
        <v>Ljr</v>
      </c>
      <c r="H108" s="85">
        <f>IF(COPY!I106&gt;0,COPY!I106,"")</f>
        <v>36000</v>
      </c>
      <c r="I108" s="85">
        <f>IF(COPY!M106&gt;0,COPY!M106,"")</f>
        <v>360000</v>
      </c>
      <c r="J108" s="85" t="str">
        <f>IF(COPY!N106&gt;0,COPY!N106,"")</f>
        <v/>
      </c>
      <c r="K108" s="86" t="str">
        <f>IF(N108=0,(IF(LEFT(Table13[[#This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Row],[URAIAN]],$U$194:$V$210,2,FALSE),""),""),0))))),N108)</f>
        <v/>
      </c>
      <c r="L108" s="85" t="str">
        <f>IF(Table13[[#This Row],[Column2]]="KWITANSI",COUNTIF($K$4:K108,"KWITANSI")," ")</f>
        <v xml:space="preserve"> </v>
      </c>
      <c r="M108" s="85" t="str">
        <f>IF(Table13[[#This Row],[Column3]]=" "," ",Table13[[#This Row],[CODE]])</f>
        <v xml:space="preserve"> </v>
      </c>
      <c r="N108" s="368"/>
      <c r="P108" s="81" t="str">
        <f t="shared" si="1"/>
        <v/>
      </c>
    </row>
    <row r="109" spans="1:16" x14ac:dyDescent="0.15">
      <c r="A109" s="81" t="str">
        <f>COPY!O107</f>
        <v/>
      </c>
      <c r="B109" s="81">
        <f>COPY!C107</f>
        <v>1</v>
      </c>
      <c r="C109" s="82" t="str">
        <f>COPY!D107</f>
        <v/>
      </c>
      <c r="D109" s="81" t="str">
        <f>IF(Table13[[#This Row],[JUMLAH]]&gt;1,(IF(Table13[[#This Row],[CODE]]=" ",D108&amp;"a",IF(Table13[[#This Row],[CODE]]&gt;0,Table13[[#This Row],[CODE]],0))),"")</f>
        <v/>
      </c>
      <c r="E109" s="81" t="str">
        <f>IF(COPY!G107&gt;0,COPY!G107,"")</f>
        <v>Socket Aw 3/4 Rck</v>
      </c>
      <c r="F109" s="88">
        <f>IF(COPY!J107&gt;0,COPY!J107,"")</f>
        <v>8</v>
      </c>
      <c r="G109" s="85" t="str">
        <f>IF(COPY!H107&gt;0,COPY!H107,"")</f>
        <v>Pcs</v>
      </c>
      <c r="H109" s="85">
        <f>IF(COPY!I107&gt;0,COPY!I107,"")</f>
        <v>4000</v>
      </c>
      <c r="I109" s="85">
        <f>IF(COPY!M107&gt;0,COPY!M107,"")</f>
        <v>32000</v>
      </c>
      <c r="J109" s="85" t="str">
        <f>IF(COPY!N107&gt;0,COPY!N107,"")</f>
        <v/>
      </c>
      <c r="K109" s="86" t="str">
        <f>IF(N109=0,(IF(LEFT(Table13[[#This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Row],[URAIAN]],$U$194:$V$210,2,FALSE),""),""),0))))),N109)</f>
        <v/>
      </c>
      <c r="L109" s="85" t="str">
        <f>IF(Table13[[#This Row],[Column2]]="KWITANSI",COUNTIF($K$4:K109,"KWITANSI")," ")</f>
        <v xml:space="preserve"> </v>
      </c>
      <c r="M109" s="85" t="str">
        <f>IF(Table13[[#This Row],[Column3]]=" "," ",Table13[[#This Row],[CODE]])</f>
        <v xml:space="preserve"> </v>
      </c>
      <c r="N109" s="368"/>
      <c r="P109" s="81" t="str">
        <f t="shared" si="1"/>
        <v/>
      </c>
    </row>
    <row r="110" spans="1:16" x14ac:dyDescent="0.15">
      <c r="A110" s="81" t="str">
        <f>COPY!O108</f>
        <v/>
      </c>
      <c r="B110" s="81">
        <f>COPY!C108</f>
        <v>1</v>
      </c>
      <c r="C110" s="82" t="str">
        <f>COPY!D108</f>
        <v/>
      </c>
      <c r="D110" s="81" t="str">
        <f>IF(Table13[[#This Row],[JUMLAH]]&gt;1,(IF(Table13[[#This Row],[CODE]]=" ",D109&amp;"a",IF(Table13[[#This Row],[CODE]]&gt;0,Table13[[#This Row],[CODE]],0))),"")</f>
        <v/>
      </c>
      <c r="E110" s="81" t="str">
        <f>IF(COPY!G108&gt;0,COPY!G108,"")</f>
        <v>Knee Aw 3" Rck</v>
      </c>
      <c r="F110" s="88">
        <f>IF(COPY!J108&gt;0,COPY!J108,"")</f>
        <v>4</v>
      </c>
      <c r="G110" s="85" t="str">
        <f>IF(COPY!H108&gt;0,COPY!H108,"")</f>
        <v>Pcs</v>
      </c>
      <c r="H110" s="85">
        <f>IF(COPY!I108&gt;0,COPY!I108,"")</f>
        <v>20000</v>
      </c>
      <c r="I110" s="85">
        <f>IF(COPY!M108&gt;0,COPY!M108,"")</f>
        <v>80000</v>
      </c>
      <c r="J110" s="85" t="str">
        <f>IF(COPY!N108&gt;0,COPY!N108,"")</f>
        <v/>
      </c>
      <c r="K110" s="86" t="str">
        <f>IF(N110=0,(IF(LEFT(Table13[[#This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Row],[URAIAN]],$U$194:$V$210,2,FALSE),""),""),0))))),N110)</f>
        <v/>
      </c>
      <c r="L110" s="85" t="str">
        <f>IF(Table13[[#This Row],[Column2]]="KWITANSI",COUNTIF($K$4:K110,"KWITANSI")," ")</f>
        <v xml:space="preserve"> </v>
      </c>
      <c r="M110" s="85" t="str">
        <f>IF(Table13[[#This Row],[Column3]]=" "," ",Table13[[#This Row],[CODE]])</f>
        <v xml:space="preserve"> </v>
      </c>
      <c r="N110" s="368"/>
      <c r="P110" s="81" t="str">
        <f t="shared" si="1"/>
        <v/>
      </c>
    </row>
    <row r="111" spans="1:16" x14ac:dyDescent="0.15">
      <c r="A111" s="81" t="str">
        <f>COPY!O109</f>
        <v/>
      </c>
      <c r="B111" s="81">
        <f>COPY!C109</f>
        <v>1</v>
      </c>
      <c r="C111" s="82" t="str">
        <f>COPY!D109</f>
        <v/>
      </c>
      <c r="D111" s="81" t="str">
        <f>IF(Table13[[#This Row],[JUMLAH]]&gt;1,(IF(Table13[[#This Row],[CODE]]=" ",D110&amp;"a",IF(Table13[[#This Row],[CODE]]&gt;0,Table13[[#This Row],[CODE]],0))),"")</f>
        <v/>
      </c>
      <c r="E111" s="81" t="str">
        <f>IF(COPY!G109&gt;0,COPY!G109,"")</f>
        <v>Babon list</v>
      </c>
      <c r="F111" s="88">
        <f>IF(COPY!J109&gt;0,COPY!J109,"")</f>
        <v>8</v>
      </c>
      <c r="G111" s="85" t="str">
        <f>IF(COPY!H109&gt;0,COPY!H109,"")</f>
        <v>Bji</v>
      </c>
      <c r="H111" s="85">
        <f>IF(COPY!I109&gt;0,COPY!I109,"")</f>
        <v>150000</v>
      </c>
      <c r="I111" s="85">
        <f>IF(COPY!M109&gt;0,COPY!M109,"")</f>
        <v>1200000</v>
      </c>
      <c r="J111" s="85" t="str">
        <f>IF(COPY!N109&gt;0,COPY!N109,"")</f>
        <v/>
      </c>
      <c r="K111" s="86" t="str">
        <f>IF(N111=0,(IF(LEFT(Table13[[#This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Row],[URAIAN]],$U$194:$V$210,2,FALSE),""),""),0))))),N111)</f>
        <v/>
      </c>
      <c r="L111" s="85" t="str">
        <f>IF(Table13[[#This Row],[Column2]]="KWITANSI",COUNTIF($K$4:K111,"KWITANSI")," ")</f>
        <v xml:space="preserve"> </v>
      </c>
      <c r="M111" s="85" t="str">
        <f>IF(Table13[[#This Row],[Column3]]=" "," ",Table13[[#This Row],[CODE]])</f>
        <v xml:space="preserve"> </v>
      </c>
      <c r="N111" s="368"/>
      <c r="P111" s="81" t="str">
        <f t="shared" si="1"/>
        <v/>
      </c>
    </row>
    <row r="112" spans="1:16" x14ac:dyDescent="0.15">
      <c r="A112" s="81" t="str">
        <f>COPY!O110</f>
        <v>BKK.31</v>
      </c>
      <c r="B112" s="81">
        <f>COPY!C110</f>
        <v>1</v>
      </c>
      <c r="C112" s="82">
        <f>COPY!D110</f>
        <v>45930</v>
      </c>
      <c r="D112" s="81" t="str">
        <f>IF(Table13[[#This Row],[JUMLAH]]&gt;1,(IF(Table13[[#This Row],[CODE]]=" ",D111&amp;"a",IF(Table13[[#This Row],[CODE]]&gt;0,Table13[[#This Row],[CODE]],0))),"")</f>
        <v>BKK.31</v>
      </c>
      <c r="E112" s="81" t="str">
        <f>IF(COPY!G110&gt;0,COPY!G110,"")</f>
        <v>Kosumsi Rapat Peninjauan 50%</v>
      </c>
      <c r="F112" s="88">
        <f>IF(COPY!J110&gt;0,COPY!J110,"")</f>
        <v>15</v>
      </c>
      <c r="G112" s="85" t="str">
        <f>IF(COPY!H110&gt;0,COPY!H110,"")</f>
        <v>Bks</v>
      </c>
      <c r="H112" s="85">
        <f>IF(COPY!I110&gt;0,COPY!I110,"")</f>
        <v>30000</v>
      </c>
      <c r="I112" s="85">
        <f>IF(COPY!M110&gt;0,COPY!M110,"")</f>
        <v>450000</v>
      </c>
      <c r="J112" s="85">
        <f>IF(COPY!N110&gt;0,COPY!N110,"")</f>
        <v>450000</v>
      </c>
      <c r="K112" s="86">
        <f>IF(N112=0,(IF(LEFT(Table13[[#This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Row],[URAIAN]],$U$194:$V$210,2,FALSE),""),""),0))))),N112)</f>
        <v>0</v>
      </c>
      <c r="L112" s="85" t="str">
        <f>IF(Table13[[#This Row],[Column2]]="KWITANSI",COUNTIF($K$4:K112,"KWITANSI")," ")</f>
        <v xml:space="preserve"> </v>
      </c>
      <c r="M112" s="85" t="str">
        <f>IF(Table13[[#This Row],[Column3]]=" "," ",Table13[[#This Row],[CODE]])</f>
        <v xml:space="preserve"> </v>
      </c>
      <c r="N112" s="368"/>
      <c r="P112" s="81" t="str">
        <f t="shared" si="1"/>
        <v/>
      </c>
    </row>
    <row r="113" spans="1:16" x14ac:dyDescent="0.15">
      <c r="A113" s="81" t="str">
        <f>COPY!O111</f>
        <v>BKK.32</v>
      </c>
      <c r="B113" s="81">
        <f>COPY!C111</f>
        <v>2</v>
      </c>
      <c r="C113" s="82">
        <f>COPY!D111</f>
        <v>45931</v>
      </c>
      <c r="D113" s="81" t="str">
        <f>IF(Table13[[#This Row],[JUMLAH]]&gt;1,(IF(Table13[[#This Row],[CODE]]=" ",D112&amp;"a",IF(Table13[[#This Row],[CODE]]&gt;0,Table13[[#This Row],[CODE]],0))),"")</f>
        <v>BKK.32</v>
      </c>
      <c r="E113" s="81" t="str">
        <f>IF(COPY!G111&gt;0,COPY!G111,"")</f>
        <v>Pasir Cor L300</v>
      </c>
      <c r="F113" s="88">
        <f>IF(COPY!J111&gt;0,COPY!J111,"")</f>
        <v>2</v>
      </c>
      <c r="G113" s="85" t="str">
        <f>IF(COPY!H111&gt;0,COPY!H111,"")</f>
        <v>Pik Up</v>
      </c>
      <c r="H113" s="85">
        <f>IF(COPY!I111&gt;0,COPY!I111,"")</f>
        <v>335000</v>
      </c>
      <c r="I113" s="85">
        <f>IF(COPY!M111&gt;0,COPY!M111,"")</f>
        <v>670000</v>
      </c>
      <c r="J113" s="85">
        <f>IF(COPY!N111&gt;0,COPY!N111,"")</f>
        <v>1650000</v>
      </c>
      <c r="K113" s="86">
        <f>IF(N113=0,(IF(LEFT(Table13[[#This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Row],[URAIAN]],$U$194:$V$210,2,FALSE),""),""),0))))),N113)</f>
        <v>0</v>
      </c>
      <c r="L113" s="85" t="str">
        <f>IF(Table13[[#This Row],[Column2]]="KWITANSI",COUNTIF($K$4:K113,"KWITANSI")," ")</f>
        <v xml:space="preserve"> </v>
      </c>
      <c r="M113" s="85" t="str">
        <f>IF(Table13[[#This Row],[Column3]]=" "," ",Table13[[#This Row],[CODE]])</f>
        <v xml:space="preserve"> </v>
      </c>
      <c r="N113" s="368"/>
      <c r="P113" s="81" t="str">
        <f t="shared" si="1"/>
        <v/>
      </c>
    </row>
    <row r="114" spans="1:16" x14ac:dyDescent="0.15">
      <c r="A114" s="81" t="str">
        <f>COPY!O112</f>
        <v/>
      </c>
      <c r="B114" s="81">
        <f>COPY!C112</f>
        <v>2</v>
      </c>
      <c r="C114" s="82" t="str">
        <f>COPY!D112</f>
        <v/>
      </c>
      <c r="D114" s="81" t="str">
        <f>IF(Table13[[#This Row],[JUMLAH]]&gt;1,(IF(Table13[[#This Row],[CODE]]=" ",D113&amp;"a",IF(Table13[[#This Row],[CODE]]&gt;0,Table13[[#This Row],[CODE]],0))),"")</f>
        <v/>
      </c>
      <c r="E114" s="81" t="str">
        <f>IF(COPY!G112&gt;0,COPY!G112,"")</f>
        <v>Pasir Biasa L300</v>
      </c>
      <c r="F114" s="88">
        <f>IF(COPY!J112&gt;0,COPY!J112,"")</f>
        <v>2</v>
      </c>
      <c r="G114" s="85" t="str">
        <f>IF(COPY!H112&gt;0,COPY!H112,"")</f>
        <v>Pik Up</v>
      </c>
      <c r="H114" s="85">
        <f>IF(COPY!I112&gt;0,COPY!I112,"")</f>
        <v>230000</v>
      </c>
      <c r="I114" s="85">
        <f>IF(COPY!M112&gt;0,COPY!M112,"")</f>
        <v>460000</v>
      </c>
      <c r="J114" s="85" t="str">
        <f>IF(COPY!N112&gt;0,COPY!N112,"")</f>
        <v/>
      </c>
      <c r="K114" s="86" t="str">
        <f>IF(N114=0,(IF(LEFT(Table13[[#This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Row],[URAIAN]],$U$194:$V$210,2,FALSE),""),""),0))))),N114)</f>
        <v/>
      </c>
      <c r="L114" s="85" t="str">
        <f>IF(Table13[[#This Row],[Column2]]="KWITANSI",COUNTIF($K$4:K114,"KWITANSI")," ")</f>
        <v xml:space="preserve"> </v>
      </c>
      <c r="M114" s="85" t="str">
        <f>IF(Table13[[#This Row],[Column3]]=" "," ",Table13[[#This Row],[CODE]])</f>
        <v xml:space="preserve"> </v>
      </c>
      <c r="N114" s="368"/>
      <c r="P114" s="81" t="str">
        <f t="shared" si="1"/>
        <v/>
      </c>
    </row>
    <row r="115" spans="1:16" x14ac:dyDescent="0.15">
      <c r="A115" s="81" t="str">
        <f>COPY!O113</f>
        <v/>
      </c>
      <c r="B115" s="81">
        <f>COPY!C113</f>
        <v>2</v>
      </c>
      <c r="C115" s="82" t="str">
        <f>COPY!D113</f>
        <v/>
      </c>
      <c r="D115" s="81" t="str">
        <f>IF(Table13[[#This Row],[JUMLAH]]&gt;1,(IF(Table13[[#This Row],[CODE]]=" ",D114&amp;"a",IF(Table13[[#This Row],[CODE]]&gt;0,Table13[[#This Row],[CODE]],0))),"")</f>
        <v/>
      </c>
      <c r="E115" s="81" t="str">
        <f>IF(COPY!G113&gt;0,COPY!G113,"")</f>
        <v>Semen 3 Roda</v>
      </c>
      <c r="F115" s="88">
        <f>IF(COPY!J113&gt;0,COPY!J113,"")</f>
        <v>10</v>
      </c>
      <c r="G115" s="85" t="str">
        <f>IF(COPY!H113&gt;0,COPY!H113,"")</f>
        <v>Sak</v>
      </c>
      <c r="H115" s="85">
        <f>IF(COPY!I113&gt;0,COPY!I113,"")</f>
        <v>52000</v>
      </c>
      <c r="I115" s="85">
        <f>IF(COPY!M113&gt;0,COPY!M113,"")</f>
        <v>520000</v>
      </c>
      <c r="J115" s="85" t="str">
        <f>IF(COPY!N113&gt;0,COPY!N113,"")</f>
        <v/>
      </c>
      <c r="K115" s="86" t="str">
        <f>IF(N115=0,(IF(LEFT(Table13[[#This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Row],[URAIAN]],$U$194:$V$210,2,FALSE),""),""),0))))),N115)</f>
        <v/>
      </c>
      <c r="L115" s="85" t="str">
        <f>IF(Table13[[#This Row],[Column2]]="KWITANSI",COUNTIF($K$4:K115,"KWITANSI")," ")</f>
        <v xml:space="preserve"> </v>
      </c>
      <c r="M115" s="85" t="str">
        <f>IF(Table13[[#This Row],[Column3]]=" "," ",Table13[[#This Row],[CODE]])</f>
        <v xml:space="preserve"> </v>
      </c>
      <c r="N115" s="368"/>
      <c r="P115" s="81" t="str">
        <f t="shared" si="1"/>
        <v/>
      </c>
    </row>
    <row r="116" spans="1:16" x14ac:dyDescent="0.15">
      <c r="A116" s="81" t="str">
        <f>COPY!O114</f>
        <v>BKK.33</v>
      </c>
      <c r="B116" s="81">
        <f>COPY!C114</f>
        <v>2</v>
      </c>
      <c r="C116" s="82">
        <f>COPY!D114</f>
        <v>45933</v>
      </c>
      <c r="D116" s="81" t="str">
        <f>IF(Table13[[#This Row],[JUMLAH]]&gt;1,(IF(Table13[[#This Row],[CODE]]=" ",D115&amp;"a",IF(Table13[[#This Row],[CODE]]&gt;0,Table13[[#This Row],[CODE]],0))),"")</f>
        <v>BKK.33</v>
      </c>
      <c r="E116" s="81" t="str">
        <f>IF(COPY!G114&gt;0,COPY!G114,"")</f>
        <v>Pasir Cor L300</v>
      </c>
      <c r="F116" s="88">
        <f>IF(COPY!J114&gt;0,COPY!J114,"")</f>
        <v>1</v>
      </c>
      <c r="G116" s="85" t="str">
        <f>IF(COPY!H114&gt;0,COPY!H114,"")</f>
        <v>Pik Up</v>
      </c>
      <c r="H116" s="85">
        <f>IF(COPY!I114&gt;0,COPY!I114,"")</f>
        <v>335000</v>
      </c>
      <c r="I116" s="85">
        <f>IF(COPY!M114&gt;0,COPY!M114,"")</f>
        <v>335000</v>
      </c>
      <c r="J116" s="85">
        <f>IF(COPY!N114&gt;0,COPY!N114,"")</f>
        <v>625000</v>
      </c>
      <c r="K116" s="86">
        <f>IF(N116=0,(IF(LEFT(Table13[[#This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Row],[URAIAN]],$U$194:$V$210,2,FALSE),""),""),0))))),N116)</f>
        <v>0</v>
      </c>
      <c r="L116" s="85" t="str">
        <f>IF(Table13[[#This Row],[Column2]]="KWITANSI",COUNTIF($K$4:K116,"KWITANSI")," ")</f>
        <v xml:space="preserve"> </v>
      </c>
      <c r="M116" s="85" t="str">
        <f>IF(Table13[[#This Row],[Column3]]=" "," ",Table13[[#This Row],[CODE]])</f>
        <v xml:space="preserve"> </v>
      </c>
      <c r="N116" s="368"/>
      <c r="P116" s="81" t="str">
        <f t="shared" si="1"/>
        <v/>
      </c>
    </row>
    <row r="117" spans="1:16" x14ac:dyDescent="0.15">
      <c r="A117" s="81" t="str">
        <f>COPY!O115</f>
        <v/>
      </c>
      <c r="B117" s="81">
        <f>COPY!C115</f>
        <v>2</v>
      </c>
      <c r="C117" s="82" t="str">
        <f>COPY!D115</f>
        <v/>
      </c>
      <c r="D117" s="81" t="str">
        <f>IF(Table13[[#This Row],[JUMLAH]]&gt;1,(IF(Table13[[#This Row],[CODE]]=" ",D116&amp;"a",IF(Table13[[#This Row],[CODE]]&gt;0,Table13[[#This Row],[CODE]],0))),"")</f>
        <v/>
      </c>
      <c r="E117" s="81" t="str">
        <f>IF(COPY!G115&gt;0,COPY!G115,"")</f>
        <v>Semen Gresik 40Kg</v>
      </c>
      <c r="F117" s="88">
        <f>IF(COPY!J115&gt;0,COPY!J115,"")</f>
        <v>5</v>
      </c>
      <c r="G117" s="85" t="str">
        <f>IF(COPY!H115&gt;0,COPY!H115,"")</f>
        <v>Sak</v>
      </c>
      <c r="H117" s="85">
        <f>IF(COPY!I115&gt;0,COPY!I115,"")</f>
        <v>58000</v>
      </c>
      <c r="I117" s="85">
        <f>IF(COPY!M115&gt;0,COPY!M115,"")</f>
        <v>290000</v>
      </c>
      <c r="J117" s="85" t="str">
        <f>IF(COPY!N115&gt;0,COPY!N115,"")</f>
        <v/>
      </c>
      <c r="K117" s="86" t="str">
        <f>IF(N117=0,(IF(LEFT(Table13[[#This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Row],[URAIAN]],$U$194:$V$210,2,FALSE),""),""),0))))),N117)</f>
        <v/>
      </c>
      <c r="L117" s="85" t="str">
        <f>IF(Table13[[#This Row],[Column2]]="KWITANSI",COUNTIF($K$4:K117,"KWITANSI")," ")</f>
        <v xml:space="preserve"> </v>
      </c>
      <c r="M117" s="85" t="str">
        <f>IF(Table13[[#This Row],[Column3]]=" "," ",Table13[[#This Row],[CODE]])</f>
        <v xml:space="preserve"> </v>
      </c>
      <c r="N117" s="368"/>
      <c r="P117" s="81" t="str">
        <f t="shared" si="1"/>
        <v/>
      </c>
    </row>
    <row r="118" spans="1:16" x14ac:dyDescent="0.15">
      <c r="A118" s="81" t="str">
        <f>COPY!O116</f>
        <v>BKK.34</v>
      </c>
      <c r="B118" s="81">
        <f>COPY!C116</f>
        <v>2</v>
      </c>
      <c r="C118" s="82">
        <f>COPY!D116</f>
        <v>45934</v>
      </c>
      <c r="D118" s="81" t="str">
        <f>IF(Table13[[#This Row],[JUMLAH]]&gt;1,(IF(Table13[[#This Row],[CODE]]=" ",D117&amp;"a",IF(Table13[[#This Row],[CODE]]&gt;0,Table13[[#This Row],[CODE]],0))),"")</f>
        <v>BKK.34</v>
      </c>
      <c r="E118" s="81" t="str">
        <f>IF(COPY!G116&gt;0,COPY!G116,"")</f>
        <v>Pembayaran Pekerja Minggu Ke 5</v>
      </c>
      <c r="F118" s="88">
        <f>IF(COPY!J116&gt;0,COPY!J116,"")</f>
        <v>1</v>
      </c>
      <c r="G118" s="85" t="str">
        <f>IF(COPY!H116&gt;0,COPY!H116,"")</f>
        <v/>
      </c>
      <c r="H118" s="85">
        <f>IF(COPY!I116&gt;0,COPY!I116,"")</f>
        <v>1</v>
      </c>
      <c r="I118" s="85">
        <f>IF(COPY!M116&gt;0,COPY!M116,"")</f>
        <v>5225000</v>
      </c>
      <c r="J118" s="85">
        <f>IF(COPY!N116&gt;0,COPY!N116,"")</f>
        <v>5225000</v>
      </c>
      <c r="K118" s="86" t="str">
        <f>IF(N118=0,(IF(LEFT(Table13[[#This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Row],[URAIAN]],$U$194:$V$210,2,FALSE),""),""),0))))),N118)</f>
        <v>KWITANSI</v>
      </c>
      <c r="L118" s="85">
        <f>IF(Table13[[#This Row],[Column2]]="KWITANSI",COUNTIF($K$4:K118,"KWITANSI")," ")</f>
        <v>6</v>
      </c>
      <c r="M118" s="85" t="str">
        <f>IF(Table13[[#This Row],[Column3]]=" "," ",Table13[[#This Row],[CODE]])</f>
        <v>BKK.34</v>
      </c>
      <c r="N118" s="368"/>
      <c r="P118" s="81" t="str">
        <f t="shared" si="1"/>
        <v/>
      </c>
    </row>
    <row r="119" spans="1:16" x14ac:dyDescent="0.15">
      <c r="A119" s="81" t="str">
        <f>COPY!O117</f>
        <v>BKK.35</v>
      </c>
      <c r="B119" s="81">
        <f>COPY!C117</f>
        <v>2</v>
      </c>
      <c r="C119" s="82">
        <f>COPY!D117</f>
        <v>45936</v>
      </c>
      <c r="D119" s="81" t="str">
        <f>IF(Table13[[#This Row],[JUMLAH]]&gt;1,(IF(Table13[[#This Row],[CODE]]=" ",D118&amp;"a",IF(Table13[[#This Row],[CODE]]&gt;0,Table13[[#This Row],[CODE]],0))),"")</f>
        <v>BKK.35</v>
      </c>
      <c r="E119" s="81" t="str">
        <f>IF(COPY!G117&gt;0,COPY!G117,"")</f>
        <v>Pasir Cor L300</v>
      </c>
      <c r="F119" s="88">
        <f>IF(COPY!J117&gt;0,COPY!J117,"")</f>
        <v>3</v>
      </c>
      <c r="G119" s="85" t="str">
        <f>IF(COPY!H117&gt;0,COPY!H117,"")</f>
        <v>Pik Up</v>
      </c>
      <c r="H119" s="85">
        <f>IF(COPY!I117&gt;0,COPY!I117,"")</f>
        <v>335000</v>
      </c>
      <c r="I119" s="85">
        <f>IF(COPY!M117&gt;0,COPY!M117,"")</f>
        <v>1005000</v>
      </c>
      <c r="J119" s="85">
        <f>IF(COPY!N117&gt;0,COPY!N117,"")</f>
        <v>2663000</v>
      </c>
      <c r="K119" s="86" t="str">
        <f>IF(N119=0,(IF(LEFT(Table13[[#This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Row],[URAIAN]],$U$194:$V$210,2,FALSE),""),""),0))))),N119)</f>
        <v/>
      </c>
      <c r="L119" s="85" t="str">
        <f>IF(Table13[[#This Row],[Column2]]="KWITANSI",COUNTIF($K$4:K119,"KWITANSI")," ")</f>
        <v xml:space="preserve"> </v>
      </c>
      <c r="M119" s="85" t="str">
        <f>IF(Table13[[#This Row],[Column3]]=" "," ",Table13[[#This Row],[CODE]])</f>
        <v xml:space="preserve"> </v>
      </c>
      <c r="N119" s="368"/>
      <c r="P119" s="81" t="str">
        <f t="shared" si="1"/>
        <v/>
      </c>
    </row>
    <row r="120" spans="1:16" x14ac:dyDescent="0.15">
      <c r="A120" s="81" t="str">
        <f>COPY!O118</f>
        <v/>
      </c>
      <c r="B120" s="81">
        <f>COPY!C118</f>
        <v>2</v>
      </c>
      <c r="C120" s="82" t="str">
        <f>COPY!D118</f>
        <v/>
      </c>
      <c r="D120" s="81" t="str">
        <f>IF(Table13[[#This Row],[JUMLAH]]&gt;1,(IF(Table13[[#This Row],[CODE]]=" ",D119&amp;"a",IF(Table13[[#This Row],[CODE]]&gt;0,Table13[[#This Row],[CODE]],0))),"")</f>
        <v/>
      </c>
      <c r="E120" s="81" t="str">
        <f>IF(COPY!G118&gt;0,COPY!G118,"")</f>
        <v>Semen Gresik 40Kg</v>
      </c>
      <c r="F120" s="88">
        <f>IF(COPY!J118&gt;0,COPY!J118,"")</f>
        <v>5</v>
      </c>
      <c r="G120" s="85" t="str">
        <f>IF(COPY!H118&gt;0,COPY!H118,"")</f>
        <v>Sak</v>
      </c>
      <c r="H120" s="85">
        <f>IF(COPY!I118&gt;0,COPY!I118,"")</f>
        <v>58000</v>
      </c>
      <c r="I120" s="85">
        <f>IF(COPY!M118&gt;0,COPY!M118,"")</f>
        <v>290000</v>
      </c>
      <c r="J120" s="85" t="str">
        <f>IF(COPY!N118&gt;0,COPY!N118,"")</f>
        <v/>
      </c>
      <c r="K120" s="86" t="str">
        <f>IF(N120=0,(IF(LEFT(Table13[[#This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Row],[URAIAN]],$U$194:$V$210,2,FALSE),""),""),0))))),N120)</f>
        <v/>
      </c>
      <c r="L120" s="85" t="str">
        <f>IF(Table13[[#This Row],[Column2]]="KWITANSI",COUNTIF($K$4:K120,"KWITANSI")," ")</f>
        <v xml:space="preserve"> </v>
      </c>
      <c r="M120" s="85" t="str">
        <f>IF(Table13[[#This Row],[Column3]]=" "," ",Table13[[#This Row],[CODE]])</f>
        <v xml:space="preserve"> </v>
      </c>
      <c r="N120" s="368"/>
      <c r="P120" s="81" t="str">
        <f t="shared" si="1"/>
        <v/>
      </c>
    </row>
    <row r="121" spans="1:16" x14ac:dyDescent="0.15">
      <c r="A121" s="81" t="str">
        <f>COPY!O119</f>
        <v/>
      </c>
      <c r="B121" s="81">
        <f>COPY!C119</f>
        <v>2</v>
      </c>
      <c r="C121" s="82" t="str">
        <f>COPY!D119</f>
        <v/>
      </c>
      <c r="D121" s="81" t="str">
        <f>IF(Table13[[#This Row],[JUMLAH]]&gt;1,(IF(Table13[[#This Row],[CODE]]=" ",D120&amp;"a",IF(Table13[[#This Row],[CODE]]&gt;0,Table13[[#This Row],[CODE]],0))),"")</f>
        <v/>
      </c>
      <c r="E121" s="81" t="str">
        <f>IF(COPY!G119&gt;0,COPY!G119,"")</f>
        <v>Lampu Philips Led Bulb 8W</v>
      </c>
      <c r="F121" s="88">
        <f>IF(COPY!J119&gt;0,COPY!J119,"")</f>
        <v>8</v>
      </c>
      <c r="G121" s="85" t="str">
        <f>IF(COPY!H119&gt;0,COPY!H119,"")</f>
        <v>Pcs</v>
      </c>
      <c r="H121" s="85">
        <f>IF(COPY!I119&gt;0,COPY!I119,"")</f>
        <v>42000</v>
      </c>
      <c r="I121" s="85">
        <f>IF(COPY!M119&gt;0,COPY!M119,"")</f>
        <v>336000</v>
      </c>
      <c r="J121" s="85" t="str">
        <f>IF(COPY!N119&gt;0,COPY!N119,"")</f>
        <v/>
      </c>
      <c r="K121" s="86" t="str">
        <f>IF(N121=0,(IF(LEFT(Table13[[#This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Row],[URAIAN]],$U$194:$V$210,2,FALSE),""),""),0))))),N121)</f>
        <v/>
      </c>
      <c r="L121" s="85" t="str">
        <f>IF(Table13[[#This Row],[Column2]]="KWITANSI",COUNTIF($K$4:K121,"KWITANSI")," ")</f>
        <v xml:space="preserve"> </v>
      </c>
      <c r="M121" s="85" t="str">
        <f>IF(Table13[[#This Row],[Column3]]=" "," ",Table13[[#This Row],[CODE]])</f>
        <v xml:space="preserve"> </v>
      </c>
      <c r="N121" s="368"/>
      <c r="P121" s="81" t="str">
        <f t="shared" si="1"/>
        <v/>
      </c>
    </row>
    <row r="122" spans="1:16" x14ac:dyDescent="0.15">
      <c r="A122" s="81" t="str">
        <f>COPY!O120</f>
        <v/>
      </c>
      <c r="B122" s="81">
        <f>COPY!C120</f>
        <v>2</v>
      </c>
      <c r="C122" s="82" t="str">
        <f>COPY!D120</f>
        <v/>
      </c>
      <c r="D122" s="81" t="str">
        <f>IF(Table13[[#This Row],[JUMLAH]]&gt;1,(IF(Table13[[#This Row],[CODE]]=" ",D121&amp;"a",IF(Table13[[#This Row],[CODE]]&gt;0,Table13[[#This Row],[CODE]],0))),"")</f>
        <v/>
      </c>
      <c r="E122" s="81" t="str">
        <f>IF(COPY!G120&gt;0,COPY!G120,"")</f>
        <v>Broco Saklar Seri Ib 6622U</v>
      </c>
      <c r="F122" s="88">
        <f>IF(COPY!J120&gt;0,COPY!J120,"")</f>
        <v>4</v>
      </c>
      <c r="G122" s="85" t="str">
        <f>IF(COPY!H120&gt;0,COPY!H120,"")</f>
        <v>Pcs</v>
      </c>
      <c r="H122" s="85">
        <f>IF(COPY!I120&gt;0,COPY!I120,"")</f>
        <v>20000</v>
      </c>
      <c r="I122" s="85">
        <f>IF(COPY!M120&gt;0,COPY!M120,"")</f>
        <v>80000</v>
      </c>
      <c r="J122" s="85" t="str">
        <f>IF(COPY!N120&gt;0,COPY!N120,"")</f>
        <v/>
      </c>
      <c r="K122" s="86" t="str">
        <f>IF(N122=0,(IF(LEFT(Table13[[#This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Row],[URAIAN]],$U$194:$V$210,2,FALSE),""),""),0))))),N122)</f>
        <v/>
      </c>
      <c r="L122" s="85" t="str">
        <f>IF(Table13[[#This Row],[Column2]]="KWITANSI",COUNTIF($K$4:K122,"KWITANSI")," ")</f>
        <v xml:space="preserve"> </v>
      </c>
      <c r="M122" s="85" t="str">
        <f>IF(Table13[[#This Row],[Column3]]=" "," ",Table13[[#This Row],[CODE]])</f>
        <v xml:space="preserve"> </v>
      </c>
      <c r="N122" s="368"/>
      <c r="P122" s="81" t="str">
        <f t="shared" si="1"/>
        <v/>
      </c>
    </row>
    <row r="123" spans="1:16" x14ac:dyDescent="0.15">
      <c r="A123" s="81" t="str">
        <f>COPY!O121</f>
        <v/>
      </c>
      <c r="B123" s="81">
        <f>COPY!C121</f>
        <v>2</v>
      </c>
      <c r="C123" s="82" t="str">
        <f>COPY!D121</f>
        <v/>
      </c>
      <c r="D123" s="81" t="str">
        <f>IF(Table13[[#This Row],[JUMLAH]]&gt;1,(IF(Table13[[#This Row],[CODE]]=" ",D122&amp;"a",IF(Table13[[#This Row],[CODE]]&gt;0,Table13[[#This Row],[CODE]],0))),"")</f>
        <v/>
      </c>
      <c r="E123" s="81" t="str">
        <f>IF(COPY!G121&gt;0,COPY!G121,"")</f>
        <v>Fitting Plafon Kotak New Broco 1210</v>
      </c>
      <c r="F123" s="88">
        <f>IF(COPY!J121&gt;0,COPY!J121,"")</f>
        <v>8</v>
      </c>
      <c r="G123" s="85" t="str">
        <f>IF(COPY!H121&gt;0,COPY!H121,"")</f>
        <v>Pcs</v>
      </c>
      <c r="H123" s="85">
        <f>IF(COPY!I121&gt;0,COPY!I121,"")</f>
        <v>15000</v>
      </c>
      <c r="I123" s="85">
        <f>IF(COPY!M121&gt;0,COPY!M121,"")</f>
        <v>120000</v>
      </c>
      <c r="J123" s="85" t="str">
        <f>IF(COPY!N121&gt;0,COPY!N121,"")</f>
        <v/>
      </c>
      <c r="K123" s="86" t="str">
        <f>IF(N123=0,(IF(LEFT(Table13[[#This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Row],[URAIAN]],$U$194:$V$210,2,FALSE),""),""),0))))),N123)</f>
        <v/>
      </c>
      <c r="L123" s="85" t="str">
        <f>IF(Table13[[#This Row],[Column2]]="KWITANSI",COUNTIF($K$4:K123,"KWITANSI")," ")</f>
        <v xml:space="preserve"> </v>
      </c>
      <c r="M123" s="85" t="str">
        <f>IF(Table13[[#This Row],[Column3]]=" "," ",Table13[[#This Row],[CODE]])</f>
        <v xml:space="preserve"> </v>
      </c>
      <c r="N123" s="368"/>
      <c r="P123" s="81" t="str">
        <f t="shared" si="1"/>
        <v/>
      </c>
    </row>
    <row r="124" spans="1:16" x14ac:dyDescent="0.15">
      <c r="A124" s="81" t="str">
        <f>COPY!O122</f>
        <v/>
      </c>
      <c r="B124" s="81">
        <f>COPY!C122</f>
        <v>2</v>
      </c>
      <c r="C124" s="82" t="str">
        <f>COPY!D122</f>
        <v/>
      </c>
      <c r="D124" s="81" t="str">
        <f>IF(Table13[[#This Row],[JUMLAH]]&gt;1,(IF(Table13[[#This Row],[CODE]]=" ",D123&amp;"a",IF(Table13[[#This Row],[CODE]]&gt;0,Table13[[#This Row],[CODE]],0))),"")</f>
        <v/>
      </c>
      <c r="E124" s="81" t="str">
        <f>IF(COPY!G122&gt;0,COPY!G122,"")</f>
        <v>Pipa Listrik Nisso</v>
      </c>
      <c r="F124" s="88">
        <f>IF(COPY!J122&gt;0,COPY!J122,"")</f>
        <v>10</v>
      </c>
      <c r="G124" s="85" t="str">
        <f>IF(COPY!H122&gt;0,COPY!H122,"")</f>
        <v>Ljr</v>
      </c>
      <c r="H124" s="85">
        <f>IF(COPY!I122&gt;0,COPY!I122,"")</f>
        <v>10000</v>
      </c>
      <c r="I124" s="85">
        <f>IF(COPY!M122&gt;0,COPY!M122,"")</f>
        <v>100000</v>
      </c>
      <c r="J124" s="85" t="str">
        <f>IF(COPY!N122&gt;0,COPY!N122,"")</f>
        <v/>
      </c>
      <c r="K124" s="86" t="str">
        <f>IF(N124=0,(IF(LEFT(Table13[[#This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Row],[URAIAN]],$U$194:$V$210,2,FALSE),""),""),0))))),N124)</f>
        <v/>
      </c>
      <c r="L124" s="85" t="str">
        <f>IF(Table13[[#This Row],[Column2]]="KWITANSI",COUNTIF($K$4:K124,"KWITANSI")," ")</f>
        <v xml:space="preserve"> </v>
      </c>
      <c r="M124" s="85" t="str">
        <f>IF(Table13[[#This Row],[Column3]]=" "," ",Table13[[#This Row],[CODE]])</f>
        <v xml:space="preserve"> </v>
      </c>
      <c r="N124" s="368"/>
      <c r="P124" s="81" t="str">
        <f t="shared" si="1"/>
        <v/>
      </c>
    </row>
    <row r="125" spans="1:16" x14ac:dyDescent="0.15">
      <c r="A125" s="81" t="str">
        <f>COPY!O123</f>
        <v/>
      </c>
      <c r="B125" s="81">
        <f>COPY!C123</f>
        <v>2</v>
      </c>
      <c r="C125" s="82" t="str">
        <f>COPY!D123</f>
        <v/>
      </c>
      <c r="D125" s="81" t="str">
        <f>IF(Table13[[#This Row],[JUMLAH]]&gt;1,(IF(Table13[[#This Row],[CODE]]=" ",D124&amp;"a",IF(Table13[[#This Row],[CODE]]&gt;0,Table13[[#This Row],[CODE]],0))),"")</f>
        <v/>
      </c>
      <c r="E125" s="81" t="str">
        <f>IF(COPY!G123&gt;0,COPY!G123,"")</f>
        <v>Supreme 2 X 0.75 Nymhy</v>
      </c>
      <c r="F125" s="88">
        <f>IF(COPY!J123&gt;0,COPY!J123,"")</f>
        <v>30</v>
      </c>
      <c r="G125" s="85" t="str">
        <f>IF(COPY!H123&gt;0,COPY!H123,"")</f>
        <v>Pcs</v>
      </c>
      <c r="H125" s="85">
        <f>IF(COPY!I123&gt;0,COPY!I123,"")</f>
        <v>9000</v>
      </c>
      <c r="I125" s="85">
        <f>IF(COPY!M123&gt;0,COPY!M123,"")</f>
        <v>270000</v>
      </c>
      <c r="J125" s="85" t="str">
        <f>IF(COPY!N123&gt;0,COPY!N123,"")</f>
        <v/>
      </c>
      <c r="K125" s="86" t="str">
        <f>IF(N125=0,(IF(LEFT(Table13[[#This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Row],[URAIAN]],$U$194:$V$210,2,FALSE),""),""),0))))),N125)</f>
        <v/>
      </c>
      <c r="L125" s="85" t="str">
        <f>IF(Table13[[#This Row],[Column2]]="KWITANSI",COUNTIF($K$4:K125,"KWITANSI")," ")</f>
        <v xml:space="preserve"> </v>
      </c>
      <c r="M125" s="85" t="str">
        <f>IF(Table13[[#This Row],[Column3]]=" "," ",Table13[[#This Row],[CODE]])</f>
        <v xml:space="preserve"> </v>
      </c>
      <c r="N125" s="368"/>
      <c r="P125" s="81" t="str">
        <f t="shared" si="1"/>
        <v/>
      </c>
    </row>
    <row r="126" spans="1:16" x14ac:dyDescent="0.15">
      <c r="A126" s="81" t="str">
        <f>COPY!O124</f>
        <v/>
      </c>
      <c r="B126" s="81">
        <f>COPY!C124</f>
        <v>2</v>
      </c>
      <c r="C126" s="82" t="str">
        <f>COPY!D124</f>
        <v/>
      </c>
      <c r="D126" s="81" t="str">
        <f>IF(Table13[[#This Row],[JUMLAH]]&gt;1,(IF(Table13[[#This Row],[CODE]]=" ",D125&amp;"a",IF(Table13[[#This Row],[CODE]]&gt;0,Table13[[#This Row],[CODE]],0))),"")</f>
        <v/>
      </c>
      <c r="E126" s="81" t="str">
        <f>IF(COPY!G124&gt;0,COPY!G124,"")</f>
        <v>Spiral Listrik</v>
      </c>
      <c r="F126" s="88">
        <f>IF(COPY!J124&gt;0,COPY!J124,"")</f>
        <v>4</v>
      </c>
      <c r="G126" s="85" t="str">
        <f>IF(COPY!H124&gt;0,COPY!H124,"")</f>
        <v>m</v>
      </c>
      <c r="H126" s="85">
        <f>IF(COPY!I124&gt;0,COPY!I124,"")</f>
        <v>5000</v>
      </c>
      <c r="I126" s="85">
        <f>IF(COPY!M124&gt;0,COPY!M124,"")</f>
        <v>20000</v>
      </c>
      <c r="J126" s="85" t="str">
        <f>IF(COPY!N124&gt;0,COPY!N124,"")</f>
        <v/>
      </c>
      <c r="K126" s="86" t="str">
        <f>IF(N126=0,(IF(LEFT(Table13[[#This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Row],[URAIAN]],$U$194:$V$210,2,FALSE),""),""),0))))),N126)</f>
        <v/>
      </c>
      <c r="L126" s="85" t="str">
        <f>IF(Table13[[#This Row],[Column2]]="KWITANSI",COUNTIF($K$4:K126,"KWITANSI")," ")</f>
        <v xml:space="preserve"> </v>
      </c>
      <c r="M126" s="85" t="str">
        <f>IF(Table13[[#This Row],[Column3]]=" "," ",Table13[[#This Row],[CODE]])</f>
        <v xml:space="preserve"> </v>
      </c>
      <c r="N126" s="368"/>
      <c r="P126" s="81" t="str">
        <f t="shared" si="1"/>
        <v/>
      </c>
    </row>
    <row r="127" spans="1:16" x14ac:dyDescent="0.15">
      <c r="A127" s="81" t="str">
        <f>COPY!O125</f>
        <v/>
      </c>
      <c r="B127" s="81">
        <f>COPY!C125</f>
        <v>2</v>
      </c>
      <c r="C127" s="82" t="str">
        <f>COPY!D125</f>
        <v/>
      </c>
      <c r="D127" s="81" t="str">
        <f>IF(Table13[[#This Row],[JUMLAH]]&gt;1,(IF(Table13[[#This Row],[CODE]]=" ",D126&amp;"a",IF(Table13[[#This Row],[CODE]]&gt;0,Table13[[#This Row],[CODE]],0))),"")</f>
        <v/>
      </c>
      <c r="E127" s="81" t="str">
        <f>IF(COPY!G125&gt;0,COPY!G125,"")</f>
        <v>Isolasi Kabel National</v>
      </c>
      <c r="F127" s="88">
        <f>IF(COPY!J125&gt;0,COPY!J125,"")</f>
        <v>2</v>
      </c>
      <c r="G127" s="85" t="str">
        <f>IF(COPY!H125&gt;0,COPY!H125,"")</f>
        <v>Pcs</v>
      </c>
      <c r="H127" s="85">
        <f>IF(COPY!I125&gt;0,COPY!I125,"")</f>
        <v>10000</v>
      </c>
      <c r="I127" s="85">
        <f>IF(COPY!M125&gt;0,COPY!M125,"")</f>
        <v>20000</v>
      </c>
      <c r="J127" s="85" t="str">
        <f>IF(COPY!N125&gt;0,COPY!N125,"")</f>
        <v/>
      </c>
      <c r="K127" s="86" t="str">
        <f>IF(N127=0,(IF(LEFT(Table13[[#This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Row],[URAIAN]],$U$194:$V$210,2,FALSE),""),""),0))))),N127)</f>
        <v/>
      </c>
      <c r="L127" s="85" t="str">
        <f>IF(Table13[[#This Row],[Column2]]="KWITANSI",COUNTIF($K$4:K127,"KWITANSI")," ")</f>
        <v xml:space="preserve"> </v>
      </c>
      <c r="M127" s="85" t="str">
        <f>IF(Table13[[#This Row],[Column3]]=" "," ",Table13[[#This Row],[CODE]])</f>
        <v xml:space="preserve"> </v>
      </c>
      <c r="N127" s="368"/>
      <c r="P127" s="81" t="str">
        <f t="shared" si="1"/>
        <v/>
      </c>
    </row>
    <row r="128" spans="1:16" x14ac:dyDescent="0.15">
      <c r="A128" s="81" t="str">
        <f>COPY!O126</f>
        <v/>
      </c>
      <c r="B128" s="81">
        <f>COPY!C126</f>
        <v>2</v>
      </c>
      <c r="C128" s="82" t="str">
        <f>COPY!D126</f>
        <v/>
      </c>
      <c r="D128" s="81" t="str">
        <f>IF(Table13[[#This Row],[JUMLAH]]&gt;1,(IF(Table13[[#This Row],[CODE]]=" ",D127&amp;"a",IF(Table13[[#This Row],[CODE]]&gt;0,Table13[[#This Row],[CODE]],0))),"")</f>
        <v/>
      </c>
      <c r="E128" s="81" t="str">
        <f>IF(COPY!G126&gt;0,COPY!G126,"")</f>
        <v>Kabel Nyy 2 X 1.5</v>
      </c>
      <c r="F128" s="88">
        <f>IF(COPY!J126&gt;0,COPY!J126,"")</f>
        <v>1</v>
      </c>
      <c r="G128" s="85" t="str">
        <f>IF(COPY!H126&gt;0,COPY!H126,"")</f>
        <v>Roll</v>
      </c>
      <c r="H128" s="85">
        <f>IF(COPY!I126&gt;0,COPY!I126,"")</f>
        <v>405000</v>
      </c>
      <c r="I128" s="85">
        <f>IF(COPY!M126&gt;0,COPY!M126,"")</f>
        <v>405000</v>
      </c>
      <c r="J128" s="85" t="str">
        <f>IF(COPY!N126&gt;0,COPY!N126,"")</f>
        <v/>
      </c>
      <c r="K128" s="86" t="str">
        <f>IF(N128=0,(IF(LEFT(Table13[[#This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Row],[URAIAN]],$U$194:$V$210,2,FALSE),""),""),0))))),N128)</f>
        <v/>
      </c>
      <c r="L128" s="85" t="str">
        <f>IF(Table13[[#This Row],[Column2]]="KWITANSI",COUNTIF($K$4:K128,"KWITANSI")," ")</f>
        <v xml:space="preserve"> </v>
      </c>
      <c r="M128" s="85" t="str">
        <f>IF(Table13[[#This Row],[Column3]]=" "," ",Table13[[#This Row],[CODE]])</f>
        <v xml:space="preserve"> </v>
      </c>
      <c r="N128" s="368"/>
      <c r="P128" s="81" t="str">
        <f t="shared" si="1"/>
        <v/>
      </c>
    </row>
    <row r="129" spans="1:16" x14ac:dyDescent="0.15">
      <c r="A129" s="81" t="str">
        <f>COPY!O127</f>
        <v/>
      </c>
      <c r="B129" s="81">
        <f>COPY!C127</f>
        <v>2</v>
      </c>
      <c r="C129" s="82" t="str">
        <f>COPY!D127</f>
        <v/>
      </c>
      <c r="D129" s="81" t="str">
        <f>IF(Table13[[#This Row],[JUMLAH]]&gt;1,(IF(Table13[[#This Row],[CODE]]=" ",D128&amp;"a",IF(Table13[[#This Row],[CODE]]&gt;0,Table13[[#This Row],[CODE]],0))),"")</f>
        <v/>
      </c>
      <c r="E129" s="81" t="str">
        <f>IF(COPY!G127&gt;0,COPY!G127,"")</f>
        <v>Kabel Tis Besar</v>
      </c>
      <c r="F129" s="88">
        <f>IF(COPY!J127&gt;0,COPY!J127,"")</f>
        <v>1</v>
      </c>
      <c r="G129" s="85" t="str">
        <f>IF(COPY!H127&gt;0,COPY!H127,"")</f>
        <v>pak</v>
      </c>
      <c r="H129" s="85">
        <f>IF(COPY!I127&gt;0,COPY!I127,"")</f>
        <v>17000</v>
      </c>
      <c r="I129" s="85">
        <f>IF(COPY!M127&gt;0,COPY!M127,"")</f>
        <v>17000</v>
      </c>
      <c r="J129" s="85" t="str">
        <f>IF(COPY!N127&gt;0,COPY!N127,"")</f>
        <v/>
      </c>
      <c r="K129" s="86" t="str">
        <f>IF(N129=0,(IF(LEFT(Table13[[#This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Row],[URAIAN]],$U$194:$V$210,2,FALSE),""),""),0))))),N129)</f>
        <v/>
      </c>
      <c r="L129" s="85" t="str">
        <f>IF(Table13[[#This Row],[Column2]]="KWITANSI",COUNTIF($K$4:K129,"KWITANSI")," ")</f>
        <v xml:space="preserve"> </v>
      </c>
      <c r="M129" s="85" t="str">
        <f>IF(Table13[[#This Row],[Column3]]=" "," ",Table13[[#This Row],[CODE]])</f>
        <v xml:space="preserve"> </v>
      </c>
      <c r="N129" s="368"/>
      <c r="P129" s="81" t="str">
        <f t="shared" si="1"/>
        <v/>
      </c>
    </row>
    <row r="130" spans="1:16" x14ac:dyDescent="0.15">
      <c r="A130" s="81" t="str">
        <f>COPY!O128</f>
        <v>BKK.36</v>
      </c>
      <c r="B130" s="81">
        <f>COPY!C128</f>
        <v>2</v>
      </c>
      <c r="C130" s="82">
        <f>COPY!D128</f>
        <v>45937</v>
      </c>
      <c r="D130" s="81" t="str">
        <f>IF(Table13[[#This Row],[JUMLAH]]&gt;1,(IF(Table13[[#This Row],[CODE]]=" ",D129&amp;"a",IF(Table13[[#This Row],[CODE]]&gt;0,Table13[[#This Row],[CODE]],0))),"")</f>
        <v>BKK.36</v>
      </c>
      <c r="E130" s="81" t="str">
        <f>IF(COPY!G128&gt;0,COPY!G128,"")</f>
        <v>Keramik 25X25 Everst Platinum</v>
      </c>
      <c r="F130" s="88">
        <f>IF(COPY!J128&gt;0,COPY!J128,"")</f>
        <v>15</v>
      </c>
      <c r="G130" s="85" t="str">
        <f>IF(COPY!H128&gt;0,COPY!H128,"")</f>
        <v>Dus</v>
      </c>
      <c r="H130" s="85">
        <f>IF(COPY!I128&gt;0,COPY!I128,"")</f>
        <v>65000</v>
      </c>
      <c r="I130" s="85">
        <f>IF(COPY!M128&gt;0,COPY!M128,"")</f>
        <v>975000</v>
      </c>
      <c r="J130" s="85">
        <f>IF(COPY!N128&gt;0,COPY!N128,"")</f>
        <v>1725000</v>
      </c>
      <c r="K130" s="86">
        <f>IF(N130=0,(IF(LEFT(Table13[[#This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Row],[URAIAN]],$U$194:$V$210,2,FALSE),""),""),0))))),N130)</f>
        <v>0</v>
      </c>
      <c r="L130" s="85" t="str">
        <f>IF(Table13[[#This Row],[Column2]]="KWITANSI",COUNTIF($K$4:K130,"KWITANSI")," ")</f>
        <v xml:space="preserve"> </v>
      </c>
      <c r="M130" s="85" t="str">
        <f>IF(Table13[[#This Row],[Column3]]=" "," ",Table13[[#This Row],[CODE]])</f>
        <v xml:space="preserve"> </v>
      </c>
      <c r="N130" s="368"/>
      <c r="P130" s="81" t="str">
        <f t="shared" ref="P130:P193" si="2">IF(-$O$4+($O$4+ROW())&lt;=$O$4,-$O$4+($O$4+ROW()),"")</f>
        <v/>
      </c>
    </row>
    <row r="131" spans="1:16" x14ac:dyDescent="0.15">
      <c r="A131" s="81" t="str">
        <f>COPY!O129</f>
        <v/>
      </c>
      <c r="B131" s="81">
        <f>COPY!C129</f>
        <v>2</v>
      </c>
      <c r="C131" s="82" t="str">
        <f>COPY!D129</f>
        <v/>
      </c>
      <c r="D131" s="81" t="str">
        <f>IF(Table13[[#This Row],[JUMLAH]]&gt;1,(IF(Table13[[#This Row],[CODE]]=" ",D130&amp;"a",IF(Table13[[#This Row],[CODE]]&gt;0,Table13[[#This Row],[CODE]],0))),"")</f>
        <v/>
      </c>
      <c r="E131" s="81" t="str">
        <f>IF(COPY!G129&gt;0,COPY!G129,"")</f>
        <v>Keramik Dinding 25 X 40 Novana Perla</v>
      </c>
      <c r="F131" s="88">
        <f>IF(COPY!J129&gt;0,COPY!J129,"")</f>
        <v>10</v>
      </c>
      <c r="G131" s="85" t="str">
        <f>IF(COPY!H129&gt;0,COPY!H129,"")</f>
        <v>Dus</v>
      </c>
      <c r="H131" s="85">
        <f>IF(COPY!I129&gt;0,COPY!I129,"")</f>
        <v>75000</v>
      </c>
      <c r="I131" s="85">
        <f>IF(COPY!M129&gt;0,COPY!M129,"")</f>
        <v>750000</v>
      </c>
      <c r="J131" s="85" t="str">
        <f>IF(COPY!N129&gt;0,COPY!N129,"")</f>
        <v/>
      </c>
      <c r="K131" s="86" t="str">
        <f>IF(N131=0,(IF(LEFT(Table13[[#This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Row],[URAIAN]],$U$194:$V$210,2,FALSE),""),""),0))))),N131)</f>
        <v/>
      </c>
      <c r="L131" s="85" t="str">
        <f>IF(Table13[[#This Row],[Column2]]="KWITANSI",COUNTIF($K$4:K131,"KWITANSI")," ")</f>
        <v xml:space="preserve"> </v>
      </c>
      <c r="M131" s="85" t="str">
        <f>IF(Table13[[#This Row],[Column3]]=" "," ",Table13[[#This Row],[CODE]])</f>
        <v xml:space="preserve"> </v>
      </c>
      <c r="N131" s="368"/>
      <c r="P131" s="81" t="str">
        <f t="shared" si="2"/>
        <v/>
      </c>
    </row>
    <row r="132" spans="1:16" x14ac:dyDescent="0.15">
      <c r="A132" s="81" t="str">
        <f>COPY!O130</f>
        <v>BKK.37</v>
      </c>
      <c r="B132" s="81">
        <f>COPY!C130</f>
        <v>2</v>
      </c>
      <c r="C132" s="82">
        <f>COPY!D130</f>
        <v>45938</v>
      </c>
      <c r="D132" s="81" t="str">
        <f>IF(Table13[[#This Row],[JUMLAH]]&gt;1,(IF(Table13[[#This Row],[CODE]]=" ",D131&amp;"a",IF(Table13[[#This Row],[CODE]]&gt;0,Table13[[#This Row],[CODE]],0))),"")</f>
        <v>BKK.37</v>
      </c>
      <c r="E132" s="81" t="str">
        <f>IF(COPY!G130&gt;0,COPY!G130,"")</f>
        <v>Pasir Cor L300</v>
      </c>
      <c r="F132" s="88">
        <f>IF(COPY!J130&gt;0,COPY!J130,"")</f>
        <v>1</v>
      </c>
      <c r="G132" s="85" t="str">
        <f>IF(COPY!H130&gt;0,COPY!H130,"")</f>
        <v>Pik Up</v>
      </c>
      <c r="H132" s="85">
        <f>IF(COPY!I130&gt;0,COPY!I130,"")</f>
        <v>335000</v>
      </c>
      <c r="I132" s="85">
        <f>IF(COPY!M130&gt;0,COPY!M130,"")</f>
        <v>335000</v>
      </c>
      <c r="J132" s="85">
        <f>IF(COPY!N130&gt;0,COPY!N130,"")</f>
        <v>2760000</v>
      </c>
      <c r="K132" s="86" t="str">
        <f>IF(N132=0,(IF(LEFT(Table13[[#This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Row],[URAIAN]],$U$194:$V$210,2,FALSE),""),""),0))))),N132)</f>
        <v/>
      </c>
      <c r="L132" s="85" t="str">
        <f>IF(Table13[[#This Row],[Column2]]="KWITANSI",COUNTIF($K$4:K132,"KWITANSI")," ")</f>
        <v xml:space="preserve"> </v>
      </c>
      <c r="M132" s="85" t="str">
        <f>IF(Table13[[#This Row],[Column3]]=" "," ",Table13[[#This Row],[CODE]])</f>
        <v xml:space="preserve"> </v>
      </c>
      <c r="N132" s="368"/>
      <c r="P132" s="81" t="str">
        <f t="shared" si="2"/>
        <v/>
      </c>
    </row>
    <row r="133" spans="1:16" x14ac:dyDescent="0.15">
      <c r="A133" s="81" t="str">
        <f>COPY!O131</f>
        <v/>
      </c>
      <c r="B133" s="81">
        <f>COPY!C131</f>
        <v>2</v>
      </c>
      <c r="C133" s="82" t="str">
        <f>COPY!D131</f>
        <v/>
      </c>
      <c r="D133" s="81" t="str">
        <f>IF(Table13[[#This Row],[JUMLAH]]&gt;1,(IF(Table13[[#This Row],[CODE]]=" ",D132&amp;"a",IF(Table13[[#This Row],[CODE]]&gt;0,Table13[[#This Row],[CODE]],0))),"")</f>
        <v/>
      </c>
      <c r="E133" s="81" t="str">
        <f>IF(COPY!G131&gt;0,COPY!G131,"")</f>
        <v>Bata Merah Super</v>
      </c>
      <c r="F133" s="88">
        <f>IF(COPY!J131&gt;0,COPY!J131,"")</f>
        <v>1000</v>
      </c>
      <c r="G133" s="85" t="str">
        <f>IF(COPY!H131&gt;0,COPY!H131,"")</f>
        <v>Bji</v>
      </c>
      <c r="H133" s="85">
        <f>IF(COPY!I131&gt;0,COPY!I131,"")</f>
        <v>550</v>
      </c>
      <c r="I133" s="85">
        <f>IF(COPY!M131&gt;0,COPY!M131,"")</f>
        <v>550000</v>
      </c>
      <c r="J133" s="85" t="str">
        <f>IF(COPY!N131&gt;0,COPY!N131,"")</f>
        <v/>
      </c>
      <c r="K133" s="86" t="str">
        <f>IF(N133=0,(IF(LEFT(Table13[[#This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Row],[URAIAN]],$U$194:$V$210,2,FALSE),""),""),0))))),N133)</f>
        <v/>
      </c>
      <c r="L133" s="85" t="str">
        <f>IF(Table13[[#This Row],[Column2]]="KWITANSI",COUNTIF($K$4:K133,"KWITANSI")," ")</f>
        <v xml:space="preserve"> </v>
      </c>
      <c r="M133" s="85" t="str">
        <f>IF(Table13[[#This Row],[Column3]]=" "," ",Table13[[#This Row],[CODE]])</f>
        <v xml:space="preserve"> </v>
      </c>
      <c r="N133" s="368"/>
      <c r="P133" s="81" t="str">
        <f t="shared" si="2"/>
        <v/>
      </c>
    </row>
    <row r="134" spans="1:16" x14ac:dyDescent="0.15">
      <c r="A134" s="81" t="str">
        <f>COPY!O132</f>
        <v/>
      </c>
      <c r="B134" s="81">
        <f>COPY!C132</f>
        <v>2</v>
      </c>
      <c r="C134" s="82" t="str">
        <f>COPY!D132</f>
        <v/>
      </c>
      <c r="D134" s="81" t="str">
        <f>IF(Table13[[#This Row],[JUMLAH]]&gt;1,(IF(Table13[[#This Row],[CODE]]=" ",D133&amp;"a",IF(Table13[[#This Row],[CODE]]&gt;0,Table13[[#This Row],[CODE]],0))),"")</f>
        <v/>
      </c>
      <c r="E134" s="81" t="str">
        <f>IF(COPY!G132&gt;0,COPY!G132,"")</f>
        <v>Keramik Dinding 25 X 40 Novana Perla</v>
      </c>
      <c r="F134" s="88">
        <f>IF(COPY!J132&gt;0,COPY!J132,"")</f>
        <v>25</v>
      </c>
      <c r="G134" s="85" t="str">
        <f>IF(COPY!H132&gt;0,COPY!H132,"")</f>
        <v>Dus</v>
      </c>
      <c r="H134" s="85">
        <f>IF(COPY!I132&gt;0,COPY!I132,"")</f>
        <v>75000</v>
      </c>
      <c r="I134" s="85">
        <f>IF(COPY!M132&gt;0,COPY!M132,"")</f>
        <v>1875000</v>
      </c>
      <c r="J134" s="85" t="str">
        <f>IF(COPY!N132&gt;0,COPY!N132,"")</f>
        <v/>
      </c>
      <c r="K134" s="86" t="str">
        <f>IF(N134=0,(IF(LEFT(Table13[[#This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Row],[URAIAN]],$U$194:$V$210,2,FALSE),""),""),0))))),N134)</f>
        <v/>
      </c>
      <c r="L134" s="85" t="str">
        <f>IF(Table13[[#This Row],[Column2]]="KWITANSI",COUNTIF($K$4:K134,"KWITANSI")," ")</f>
        <v xml:space="preserve"> </v>
      </c>
      <c r="M134" s="85" t="str">
        <f>IF(Table13[[#This Row],[Column3]]=" "," ",Table13[[#This Row],[CODE]])</f>
        <v xml:space="preserve"> </v>
      </c>
      <c r="N134" s="368"/>
      <c r="P134" s="81" t="str">
        <f t="shared" si="2"/>
        <v/>
      </c>
    </row>
    <row r="135" spans="1:16" x14ac:dyDescent="0.15">
      <c r="A135" s="81" t="str">
        <f>COPY!O133</f>
        <v>BKK.38</v>
      </c>
      <c r="B135" s="81">
        <f>COPY!C133</f>
        <v>2</v>
      </c>
      <c r="C135" s="82">
        <f>COPY!D133</f>
        <v>45939</v>
      </c>
      <c r="D135" s="81" t="str">
        <f>IF(Table13[[#This Row],[JUMLAH]]&gt;1,(IF(Table13[[#This Row],[CODE]]=" ",D134&amp;"a",IF(Table13[[#This Row],[CODE]]&gt;0,Table13[[#This Row],[CODE]],0))),"")</f>
        <v>BKK.38</v>
      </c>
      <c r="E135" s="81" t="str">
        <f>IF(COPY!G133&gt;0,COPY!G133,"")</f>
        <v>Pasir Cor L300</v>
      </c>
      <c r="F135" s="88">
        <f>IF(COPY!J133&gt;0,COPY!J133,"")</f>
        <v>2</v>
      </c>
      <c r="G135" s="85" t="str">
        <f>IF(COPY!H133&gt;0,COPY!H133,"")</f>
        <v>Pik Up</v>
      </c>
      <c r="H135" s="85">
        <f>IF(COPY!I133&gt;0,COPY!I133,"")</f>
        <v>335000</v>
      </c>
      <c r="I135" s="85">
        <f>IF(COPY!M133&gt;0,COPY!M133,"")</f>
        <v>670000</v>
      </c>
      <c r="J135" s="85">
        <f>IF(COPY!N133&gt;0,COPY!N133,"")</f>
        <v>960000</v>
      </c>
      <c r="K135" s="86">
        <f>IF(N135=0,(IF(LEFT(Table13[[#This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Row],[URAIAN]],$U$194:$V$210,2,FALSE),""),""),0))))),N135)</f>
        <v>0</v>
      </c>
      <c r="L135" s="85" t="str">
        <f>IF(Table13[[#This Row],[Column2]]="KWITANSI",COUNTIF($K$4:K135,"KWITANSI")," ")</f>
        <v xml:space="preserve"> </v>
      </c>
      <c r="M135" s="85" t="str">
        <f>IF(Table13[[#This Row],[Column3]]=" "," ",Table13[[#This Row],[CODE]])</f>
        <v xml:space="preserve"> </v>
      </c>
      <c r="N135" s="368"/>
      <c r="P135" s="81" t="str">
        <f t="shared" si="2"/>
        <v/>
      </c>
    </row>
    <row r="136" spans="1:16" x14ac:dyDescent="0.15">
      <c r="A136" s="81" t="str">
        <f>COPY!O134</f>
        <v/>
      </c>
      <c r="B136" s="81">
        <f>COPY!C134</f>
        <v>2</v>
      </c>
      <c r="C136" s="82" t="str">
        <f>COPY!D134</f>
        <v/>
      </c>
      <c r="D136" s="81" t="str">
        <f>IF(Table13[[#This Row],[JUMLAH]]&gt;1,(IF(Table13[[#This Row],[CODE]]=" ",D135&amp;"a",IF(Table13[[#This Row],[CODE]]&gt;0,Table13[[#This Row],[CODE]],0))),"")</f>
        <v/>
      </c>
      <c r="E136" s="81" t="str">
        <f>IF(COPY!G134&gt;0,COPY!G134,"")</f>
        <v>Semen Gresik 40Kg</v>
      </c>
      <c r="F136" s="88">
        <f>IF(COPY!J134&gt;0,COPY!J134,"")</f>
        <v>5</v>
      </c>
      <c r="G136" s="85" t="str">
        <f>IF(COPY!H134&gt;0,COPY!H134,"")</f>
        <v>Sak</v>
      </c>
      <c r="H136" s="85">
        <f>IF(COPY!I134&gt;0,COPY!I134,"")</f>
        <v>58000</v>
      </c>
      <c r="I136" s="85">
        <f>IF(COPY!M134&gt;0,COPY!M134,"")</f>
        <v>290000</v>
      </c>
      <c r="J136" s="85" t="str">
        <f>IF(COPY!N134&gt;0,COPY!N134,"")</f>
        <v/>
      </c>
      <c r="K136" s="86" t="str">
        <f>IF(N136=0,(IF(LEFT(Table13[[#This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Row],[URAIAN]],$U$194:$V$210,2,FALSE),""),""),0))))),N136)</f>
        <v/>
      </c>
      <c r="L136" s="85" t="str">
        <f>IF(Table13[[#This Row],[Column2]]="KWITANSI",COUNTIF($K$4:K136,"KWITANSI")," ")</f>
        <v xml:space="preserve"> </v>
      </c>
      <c r="M136" s="85" t="str">
        <f>IF(Table13[[#This Row],[Column3]]=" "," ",Table13[[#This Row],[CODE]])</f>
        <v xml:space="preserve"> </v>
      </c>
      <c r="N136" s="368"/>
      <c r="P136" s="81" t="str">
        <f t="shared" si="2"/>
        <v/>
      </c>
    </row>
    <row r="137" spans="1:16" x14ac:dyDescent="0.15">
      <c r="A137" s="81" t="str">
        <f>COPY!O135</f>
        <v>BKK.39</v>
      </c>
      <c r="B137" s="81">
        <f>COPY!C135</f>
        <v>2</v>
      </c>
      <c r="C137" s="82">
        <f>COPY!D135</f>
        <v>45940</v>
      </c>
      <c r="D137" s="81" t="str">
        <f>IF(Table13[[#This Row],[JUMLAH]]&gt;1,(IF(Table13[[#This Row],[CODE]]=" ",D136&amp;"a",IF(Table13[[#This Row],[CODE]]&gt;0,Table13[[#This Row],[CODE]],0))),"")</f>
        <v>BKK.39</v>
      </c>
      <c r="E137" s="81" t="str">
        <f>IF(COPY!G135&gt;0,COPY!G135,"")</f>
        <v>Kosumsi Rapat Peninjauan 75%</v>
      </c>
      <c r="F137" s="88">
        <f>IF(COPY!J135&gt;0,COPY!J135,"")</f>
        <v>14</v>
      </c>
      <c r="G137" s="85" t="str">
        <f>IF(COPY!H135&gt;0,COPY!H135,"")</f>
        <v>Bks</v>
      </c>
      <c r="H137" s="85">
        <f>IF(COPY!I135&gt;0,COPY!I135,"")</f>
        <v>30000</v>
      </c>
      <c r="I137" s="85">
        <f>IF(COPY!M135&gt;0,COPY!M135,"")</f>
        <v>420000</v>
      </c>
      <c r="J137" s="85">
        <f>IF(COPY!N135&gt;0,COPY!N135,"")</f>
        <v>420000</v>
      </c>
      <c r="K137" s="86">
        <f>IF(N137=0,(IF(LEFT(Table13[[#This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Row],[URAIAN]],$U$194:$V$210,2,FALSE),""),""),0))))),N137)</f>
        <v>0</v>
      </c>
      <c r="L137" s="85" t="str">
        <f>IF(Table13[[#This Row],[Column2]]="KWITANSI",COUNTIF($K$4:K137,"KWITANSI")," ")</f>
        <v xml:space="preserve"> </v>
      </c>
      <c r="M137" s="85" t="str">
        <f>IF(Table13[[#This Row],[Column3]]=" "," ",Table13[[#This Row],[CODE]])</f>
        <v xml:space="preserve"> </v>
      </c>
      <c r="N137" s="368"/>
      <c r="P137" s="81" t="str">
        <f t="shared" si="2"/>
        <v/>
      </c>
    </row>
    <row r="138" spans="1:16" x14ac:dyDescent="0.15">
      <c r="A138" s="81" t="str">
        <f>COPY!O136</f>
        <v>BKK.40</v>
      </c>
      <c r="B138" s="81">
        <f>COPY!C136</f>
        <v>2</v>
      </c>
      <c r="C138" s="82">
        <f>COPY!D136</f>
        <v>45941</v>
      </c>
      <c r="D138" s="81" t="str">
        <f>IF(Table13[[#This Row],[JUMLAH]]&gt;1,(IF(Table13[[#This Row],[CODE]]=" ",D137&amp;"a",IF(Table13[[#This Row],[CODE]]&gt;0,Table13[[#This Row],[CODE]],0))),"")</f>
        <v>BKK.40</v>
      </c>
      <c r="E138" s="81" t="str">
        <f>IF(COPY!G136&gt;0,COPY!G136,"")</f>
        <v>Pasir Biasa L300</v>
      </c>
      <c r="F138" s="88">
        <f>IF(COPY!J136&gt;0,COPY!J136,"")</f>
        <v>2</v>
      </c>
      <c r="G138" s="85" t="str">
        <f>IF(COPY!H136&gt;0,COPY!H136,"")</f>
        <v>Pik Up</v>
      </c>
      <c r="H138" s="85">
        <f>IF(COPY!I136&gt;0,COPY!I136,"")</f>
        <v>230000</v>
      </c>
      <c r="I138" s="85">
        <f>IF(COPY!M136&gt;0,COPY!M136,"")</f>
        <v>460000</v>
      </c>
      <c r="J138" s="85">
        <f>IF(COPY!N136&gt;0,COPY!N136,"")</f>
        <v>1950000</v>
      </c>
      <c r="K138" s="86">
        <f>IF(N138=0,(IF(LEFT(Table13[[#This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Row],[URAIAN]],$U$194:$V$210,2,FALSE),""),""),0))))),N138)</f>
        <v>0</v>
      </c>
      <c r="L138" s="85" t="str">
        <f>IF(Table13[[#This Row],[Column2]]="KWITANSI",COUNTIF($K$4:K138,"KWITANSI")," ")</f>
        <v xml:space="preserve"> </v>
      </c>
      <c r="M138" s="85" t="str">
        <f>IF(Table13[[#This Row],[Column3]]=" "," ",Table13[[#This Row],[CODE]])</f>
        <v xml:space="preserve"> </v>
      </c>
      <c r="N138" s="368"/>
      <c r="P138" s="81" t="str">
        <f t="shared" si="2"/>
        <v/>
      </c>
    </row>
    <row r="139" spans="1:16" x14ac:dyDescent="0.15">
      <c r="A139" s="81" t="str">
        <f>COPY!O137</f>
        <v/>
      </c>
      <c r="B139" s="81">
        <f>COPY!C137</f>
        <v>2</v>
      </c>
      <c r="C139" s="82" t="str">
        <f>COPY!D137</f>
        <v/>
      </c>
      <c r="D139" s="81" t="str">
        <f>IF(Table13[[#This Row],[JUMLAH]]&gt;1,(IF(Table13[[#This Row],[CODE]]=" ",D138&amp;"a",IF(Table13[[#This Row],[CODE]]&gt;0,Table13[[#This Row],[CODE]],0))),"")</f>
        <v/>
      </c>
      <c r="E139" s="81" t="str">
        <f>IF(COPY!G137&gt;0,COPY!G137,"")</f>
        <v>Koral L300</v>
      </c>
      <c r="F139" s="88">
        <f>IF(COPY!J137&gt;0,COPY!J137,"")</f>
        <v>1</v>
      </c>
      <c r="G139" s="85" t="str">
        <f>IF(COPY!H137&gt;0,COPY!H137,"")</f>
        <v>Pik Up</v>
      </c>
      <c r="H139" s="85">
        <f>IF(COPY!I137&gt;0,COPY!I137,"")</f>
        <v>350000</v>
      </c>
      <c r="I139" s="85">
        <f>IF(COPY!M137&gt;0,COPY!M137,"")</f>
        <v>350000</v>
      </c>
      <c r="J139" s="85" t="str">
        <f>IF(COPY!N137&gt;0,COPY!N137,"")</f>
        <v/>
      </c>
      <c r="K139" s="86" t="str">
        <f>IF(N139=0,(IF(LEFT(Table13[[#This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Row],[URAIAN]],$U$194:$V$210,2,FALSE),""),""),0))))),N139)</f>
        <v/>
      </c>
      <c r="L139" s="85" t="str">
        <f>IF(Table13[[#This Row],[Column2]]="KWITANSI",COUNTIF($K$4:K139,"KWITANSI")," ")</f>
        <v xml:space="preserve"> </v>
      </c>
      <c r="M139" s="85" t="str">
        <f>IF(Table13[[#This Row],[Column3]]=" "," ",Table13[[#This Row],[CODE]])</f>
        <v xml:space="preserve"> </v>
      </c>
      <c r="N139" s="368"/>
      <c r="P139" s="81" t="str">
        <f t="shared" si="2"/>
        <v/>
      </c>
    </row>
    <row r="140" spans="1:16" x14ac:dyDescent="0.15">
      <c r="A140" s="81" t="str">
        <f>COPY!O138</f>
        <v/>
      </c>
      <c r="B140" s="81">
        <f>COPY!C138</f>
        <v>2</v>
      </c>
      <c r="C140" s="82" t="str">
        <f>COPY!D138</f>
        <v/>
      </c>
      <c r="D140" s="81" t="str">
        <f>IF(Table13[[#This Row],[JUMLAH]]&gt;1,(IF(Table13[[#This Row],[CODE]]=" ",D139&amp;"a",IF(Table13[[#This Row],[CODE]]&gt;0,Table13[[#This Row],[CODE]],0))),"")</f>
        <v/>
      </c>
      <c r="E140" s="81" t="str">
        <f>IF(COPY!G138&gt;0,COPY!G138,"")</f>
        <v>Semen 3 Roda</v>
      </c>
      <c r="F140" s="88">
        <f>IF(COPY!J138&gt;0,COPY!J138,"")</f>
        <v>15</v>
      </c>
      <c r="G140" s="85" t="str">
        <f>IF(COPY!H138&gt;0,COPY!H138,"")</f>
        <v>Sak</v>
      </c>
      <c r="H140" s="85">
        <f>IF(COPY!I138&gt;0,COPY!I138,"")</f>
        <v>52000</v>
      </c>
      <c r="I140" s="85">
        <f>IF(COPY!M138&gt;0,COPY!M138,"")</f>
        <v>780000</v>
      </c>
      <c r="J140" s="85" t="str">
        <f>IF(COPY!N138&gt;0,COPY!N138,"")</f>
        <v/>
      </c>
      <c r="K140" s="86" t="str">
        <f>IF(N140=0,(IF(LEFT(Table13[[#This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Row],[URAIAN]],$U$194:$V$210,2,FALSE),""),""),0))))),N140)</f>
        <v/>
      </c>
      <c r="L140" s="85" t="str">
        <f>IF(Table13[[#This Row],[Column2]]="KWITANSI",COUNTIF($K$4:K140,"KWITANSI")," ")</f>
        <v xml:space="preserve"> </v>
      </c>
      <c r="M140" s="85" t="str">
        <f>IF(Table13[[#This Row],[Column3]]=" "," ",Table13[[#This Row],[CODE]])</f>
        <v xml:space="preserve"> </v>
      </c>
      <c r="N140" s="368"/>
      <c r="P140" s="81" t="str">
        <f t="shared" si="2"/>
        <v/>
      </c>
    </row>
    <row r="141" spans="1:16" x14ac:dyDescent="0.15">
      <c r="A141" s="81" t="str">
        <f>COPY!O139</f>
        <v/>
      </c>
      <c r="B141" s="81">
        <f>COPY!C139</f>
        <v>2</v>
      </c>
      <c r="C141" s="82" t="str">
        <f>COPY!D139</f>
        <v/>
      </c>
      <c r="D141" s="81" t="str">
        <f>IF(Table13[[#This Row],[JUMLAH]]&gt;1,(IF(Table13[[#This Row],[CODE]]=" ",D140&amp;"a",IF(Table13[[#This Row],[CODE]]&gt;0,Table13[[#This Row],[CODE]],0))),"")</f>
        <v/>
      </c>
      <c r="E141" s="81" t="str">
        <f>IF(COPY!G139&gt;0,COPY!G139,"")</f>
        <v>Avour Lantai PVC</v>
      </c>
      <c r="F141" s="88">
        <f>IF(COPY!J139&gt;0,COPY!J139,"")</f>
        <v>8</v>
      </c>
      <c r="G141" s="85" t="str">
        <f>IF(COPY!H139&gt;0,COPY!H139,"")</f>
        <v>Pcs</v>
      </c>
      <c r="H141" s="85">
        <f>IF(COPY!I139&gt;0,COPY!I139,"")</f>
        <v>45000</v>
      </c>
      <c r="I141" s="85">
        <f>IF(COPY!M139&gt;0,COPY!M139,"")</f>
        <v>360000</v>
      </c>
      <c r="J141" s="85" t="str">
        <f>IF(COPY!N139&gt;0,COPY!N139,"")</f>
        <v/>
      </c>
      <c r="K141" s="86" t="str">
        <f>IF(N141=0,(IF(LEFT(Table13[[#This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Row],[URAIAN]],$U$194:$V$210,2,FALSE),""),""),0))))),N141)</f>
        <v/>
      </c>
      <c r="L141" s="85" t="str">
        <f>IF(Table13[[#This Row],[Column2]]="KWITANSI",COUNTIF($K$4:K141,"KWITANSI")," ")</f>
        <v xml:space="preserve"> </v>
      </c>
      <c r="M141" s="85" t="str">
        <f>IF(Table13[[#This Row],[Column3]]=" "," ",Table13[[#This Row],[CODE]])</f>
        <v xml:space="preserve"> </v>
      </c>
      <c r="N141" s="368"/>
      <c r="P141" s="81" t="str">
        <f t="shared" si="2"/>
        <v/>
      </c>
    </row>
    <row r="142" spans="1:16" x14ac:dyDescent="0.15">
      <c r="A142" s="81" t="str">
        <f>COPY!O140</f>
        <v>BKK.41</v>
      </c>
      <c r="B142" s="81">
        <f>COPY!C140</f>
        <v>2</v>
      </c>
      <c r="C142" s="82">
        <f>COPY!D140</f>
        <v>45941</v>
      </c>
      <c r="D142" s="81" t="str">
        <f>IF(Table13[[#This Row],[JUMLAH]]&gt;1,(IF(Table13[[#This Row],[CODE]]=" ",D141&amp;"a",IF(Table13[[#This Row],[CODE]]&gt;0,Table13[[#This Row],[CODE]],0))),"")</f>
        <v>BKK.41</v>
      </c>
      <c r="E142" s="81" t="str">
        <f>IF(COPY!G140&gt;0,COPY!G140,"")</f>
        <v>Pembayaran Pekerja Minggu Ke 6</v>
      </c>
      <c r="F142" s="88">
        <f>IF(COPY!J140&gt;0,COPY!J140,"")</f>
        <v>1</v>
      </c>
      <c r="G142" s="85" t="str">
        <f>IF(COPY!H140&gt;0,COPY!H140,"")</f>
        <v/>
      </c>
      <c r="H142" s="85">
        <f>IF(COPY!I140&gt;0,COPY!I140,"")</f>
        <v>1</v>
      </c>
      <c r="I142" s="85">
        <f>IF(COPY!M140&gt;0,COPY!M140,"")</f>
        <v>5350000</v>
      </c>
      <c r="J142" s="85">
        <f>IF(COPY!N140&gt;0,COPY!N140,"")</f>
        <v>5350000</v>
      </c>
      <c r="K142" s="86" t="str">
        <f>IF(N142=0,(IF(LEFT(Table13[[#This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Row],[URAIAN]],$U$194:$V$210,2,FALSE),""),""),0))))),N142)</f>
        <v>KWITANSI</v>
      </c>
      <c r="L142" s="85">
        <f>IF(Table13[[#This Row],[Column2]]="KWITANSI",COUNTIF($K$4:K142,"KWITANSI")," ")</f>
        <v>7</v>
      </c>
      <c r="M142" s="85" t="str">
        <f>IF(Table13[[#This Row],[Column3]]=" "," ",Table13[[#This Row],[CODE]])</f>
        <v>BKK.41</v>
      </c>
      <c r="N142" s="368"/>
      <c r="P142" s="81" t="str">
        <f t="shared" si="2"/>
        <v/>
      </c>
    </row>
    <row r="143" spans="1:16" x14ac:dyDescent="0.15">
      <c r="A143" s="81" t="str">
        <f>COPY!O141</f>
        <v>BKK.42</v>
      </c>
      <c r="B143" s="81">
        <f>COPY!C141</f>
        <v>2</v>
      </c>
      <c r="C143" s="82">
        <f>COPY!D141</f>
        <v>45943</v>
      </c>
      <c r="D143" s="81" t="str">
        <f>IF(Table13[[#This Row],[JUMLAH]]&gt;1,(IF(Table13[[#This Row],[CODE]]=" ",D142&amp;"a",IF(Table13[[#This Row],[CODE]]&gt;0,Table13[[#This Row],[CODE]],0))),"")</f>
        <v>BKK.42</v>
      </c>
      <c r="E143" s="81" t="str">
        <f>IF(COPY!G141&gt;0,COPY!G141,"")</f>
        <v>Pasir Cor L300</v>
      </c>
      <c r="F143" s="88">
        <f>IF(COPY!J141&gt;0,COPY!J141,"")</f>
        <v>1</v>
      </c>
      <c r="G143" s="85" t="str">
        <f>IF(COPY!H141&gt;0,COPY!H141,"")</f>
        <v>Pik Up</v>
      </c>
      <c r="H143" s="85">
        <f>IF(COPY!I141&gt;0,COPY!I141,"")</f>
        <v>335000</v>
      </c>
      <c r="I143" s="85">
        <f>IF(COPY!M141&gt;0,COPY!M141,"")</f>
        <v>335000</v>
      </c>
      <c r="J143" s="85">
        <f>IF(COPY!N141&gt;0,COPY!N141,"")</f>
        <v>1965000</v>
      </c>
      <c r="K143" s="86">
        <f>IF(N143=0,(IF(LEFT(Table13[[#This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Row],[URAIAN]],$U$194:$V$210,2,FALSE),""),""),0))))),N143)</f>
        <v>0</v>
      </c>
      <c r="L143" s="85" t="str">
        <f>IF(Table13[[#This Row],[Column2]]="KWITANSI",COUNTIF($K$4:K143,"KWITANSI")," ")</f>
        <v xml:space="preserve"> </v>
      </c>
      <c r="M143" s="85" t="str">
        <f>IF(Table13[[#This Row],[Column3]]=" "," ",Table13[[#This Row],[CODE]])</f>
        <v xml:space="preserve"> </v>
      </c>
      <c r="N143" s="368"/>
      <c r="P143" s="81" t="str">
        <f t="shared" si="2"/>
        <v/>
      </c>
    </row>
    <row r="144" spans="1:16" x14ac:dyDescent="0.15">
      <c r="A144" s="81" t="str">
        <f>COPY!O142</f>
        <v/>
      </c>
      <c r="B144" s="81">
        <f>COPY!C142</f>
        <v>2</v>
      </c>
      <c r="C144" s="82" t="str">
        <f>COPY!D142</f>
        <v/>
      </c>
      <c r="D144" s="81" t="str">
        <f>IF(Table13[[#This Row],[JUMLAH]]&gt;1,(IF(Table13[[#This Row],[CODE]]=" ",D143&amp;"a",IF(Table13[[#This Row],[CODE]]&gt;0,Table13[[#This Row],[CODE]],0))),"")</f>
        <v/>
      </c>
      <c r="E144" s="81" t="str">
        <f>IF(COPY!G142&gt;0,COPY!G142,"")</f>
        <v>Pasir Biasa L300</v>
      </c>
      <c r="F144" s="88">
        <f>IF(COPY!J142&gt;0,COPY!J142,"")</f>
        <v>1</v>
      </c>
      <c r="G144" s="85" t="str">
        <f>IF(COPY!H142&gt;0,COPY!H142,"")</f>
        <v>Pik Up</v>
      </c>
      <c r="H144" s="85">
        <f>IF(COPY!I142&gt;0,COPY!I142,"")</f>
        <v>230000</v>
      </c>
      <c r="I144" s="85">
        <f>IF(COPY!M142&gt;0,COPY!M142,"")</f>
        <v>230000</v>
      </c>
      <c r="J144" s="85" t="str">
        <f>IF(COPY!N142&gt;0,COPY!N142,"")</f>
        <v/>
      </c>
      <c r="K144" s="86" t="str">
        <f>IF(N144=0,(IF(LEFT(Table13[[#This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Row],[URAIAN]],$U$194:$V$210,2,FALSE),""),""),0))))),N144)</f>
        <v/>
      </c>
      <c r="L144" s="85" t="str">
        <f>IF(Table13[[#This Row],[Column2]]="KWITANSI",COUNTIF($K$4:K144,"KWITANSI")," ")</f>
        <v xml:space="preserve"> </v>
      </c>
      <c r="M144" s="85" t="str">
        <f>IF(Table13[[#This Row],[Column3]]=" "," ",Table13[[#This Row],[CODE]])</f>
        <v xml:space="preserve"> </v>
      </c>
      <c r="N144" s="368"/>
      <c r="P144" s="81" t="str">
        <f t="shared" si="2"/>
        <v/>
      </c>
    </row>
    <row r="145" spans="1:16" x14ac:dyDescent="0.15">
      <c r="A145" s="81" t="str">
        <f>COPY!O143</f>
        <v/>
      </c>
      <c r="B145" s="81">
        <f>COPY!C143</f>
        <v>2</v>
      </c>
      <c r="C145" s="82" t="str">
        <f>COPY!D143</f>
        <v/>
      </c>
      <c r="D145" s="81" t="str">
        <f>IF(Table13[[#This Row],[JUMLAH]]&gt;1,(IF(Table13[[#This Row],[CODE]]=" ",D144&amp;"a",IF(Table13[[#This Row],[CODE]]&gt;0,Table13[[#This Row],[CODE]],0))),"")</f>
        <v/>
      </c>
      <c r="E145" s="81" t="str">
        <f>IF(COPY!G143&gt;0,COPY!G143,"")</f>
        <v>Koral L300</v>
      </c>
      <c r="F145" s="88">
        <f>IF(COPY!J143&gt;0,COPY!J143,"")</f>
        <v>1</v>
      </c>
      <c r="G145" s="85" t="str">
        <f>IF(COPY!H143&gt;0,COPY!H143,"")</f>
        <v>Pik Up</v>
      </c>
      <c r="H145" s="85">
        <f>IF(COPY!I143&gt;0,COPY!I143,"")</f>
        <v>350000</v>
      </c>
      <c r="I145" s="85">
        <f>IF(COPY!M143&gt;0,COPY!M143,"")</f>
        <v>350000</v>
      </c>
      <c r="J145" s="85" t="str">
        <f>IF(COPY!N143&gt;0,COPY!N143,"")</f>
        <v/>
      </c>
      <c r="K145" s="86" t="str">
        <f>IF(N145=0,(IF(LEFT(Table13[[#This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Row],[URAIAN]],$U$194:$V$210,2,FALSE),""),""),0))))),N145)</f>
        <v/>
      </c>
      <c r="L145" s="85" t="str">
        <f>IF(Table13[[#This Row],[Column2]]="KWITANSI",COUNTIF($K$4:K145,"KWITANSI")," ")</f>
        <v xml:space="preserve"> </v>
      </c>
      <c r="M145" s="85" t="str">
        <f>IF(Table13[[#This Row],[Column3]]=" "," ",Table13[[#This Row],[CODE]])</f>
        <v xml:space="preserve"> </v>
      </c>
      <c r="N145" s="368"/>
      <c r="P145" s="81" t="str">
        <f t="shared" si="2"/>
        <v/>
      </c>
    </row>
    <row r="146" spans="1:16" x14ac:dyDescent="0.15">
      <c r="A146" s="81" t="str">
        <f>COPY!O144</f>
        <v/>
      </c>
      <c r="B146" s="81">
        <f>COPY!C144</f>
        <v>2</v>
      </c>
      <c r="C146" s="82" t="str">
        <f>COPY!D144</f>
        <v/>
      </c>
      <c r="D146" s="81" t="str">
        <f>IF(Table13[[#This Row],[JUMLAH]]&gt;1,(IF(Table13[[#This Row],[CODE]]=" ",D145&amp;"a",IF(Table13[[#This Row],[CODE]]&gt;0,Table13[[#This Row],[CODE]],0))),"")</f>
        <v/>
      </c>
      <c r="E146" s="81" t="str">
        <f>IF(COPY!G144&gt;0,COPY!G144,"")</f>
        <v>Keramik Kia 30X30</v>
      </c>
      <c r="F146" s="88">
        <f>IF(COPY!J144&gt;0,COPY!J144,"")</f>
        <v>15</v>
      </c>
      <c r="G146" s="85" t="str">
        <f>IF(COPY!H144&gt;0,COPY!H144,"")</f>
        <v>Dus</v>
      </c>
      <c r="H146" s="85">
        <f>IF(COPY!I144&gt;0,COPY!I144,"")</f>
        <v>70000</v>
      </c>
      <c r="I146" s="85">
        <f>IF(COPY!M144&gt;0,COPY!M144,"")</f>
        <v>1050000</v>
      </c>
      <c r="J146" s="85" t="str">
        <f>IF(COPY!N144&gt;0,COPY!N144,"")</f>
        <v/>
      </c>
      <c r="K146" s="86" t="str">
        <f>IF(N146=0,(IF(LEFT(Table13[[#This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Row],[URAIAN]],$U$194:$V$210,2,FALSE),""),""),0))))),N146)</f>
        <v/>
      </c>
      <c r="L146" s="85" t="str">
        <f>IF(Table13[[#This Row],[Column2]]="KWITANSI",COUNTIF($K$4:K146,"KWITANSI")," ")</f>
        <v xml:space="preserve"> </v>
      </c>
      <c r="M146" s="85" t="str">
        <f>IF(Table13[[#This Row],[Column3]]=" "," ",Table13[[#This Row],[CODE]])</f>
        <v xml:space="preserve"> </v>
      </c>
      <c r="N146" s="368"/>
      <c r="P146" s="81" t="str">
        <f t="shared" si="2"/>
        <v/>
      </c>
    </row>
    <row r="147" spans="1:16" x14ac:dyDescent="0.15">
      <c r="A147" s="81" t="str">
        <f>COPY!O145</f>
        <v>BKK.43</v>
      </c>
      <c r="B147" s="81">
        <f>COPY!C145</f>
        <v>2</v>
      </c>
      <c r="C147" s="82">
        <f>COPY!D145</f>
        <v>45944</v>
      </c>
      <c r="D147" s="81" t="str">
        <f>IF(Table13[[#This Row],[JUMLAH]]&gt;1,(IF(Table13[[#This Row],[CODE]]=" ",D146&amp;"a",IF(Table13[[#This Row],[CODE]]&gt;0,Table13[[#This Row],[CODE]],0))),"")</f>
        <v>BKK.43</v>
      </c>
      <c r="E147" s="81" t="str">
        <f>IF(COPY!G145&gt;0,COPY!G145,"")</f>
        <v>Semen Gresik 40Kg</v>
      </c>
      <c r="F147" s="88">
        <f>IF(COPY!J145&gt;0,COPY!J145,"")</f>
        <v>2</v>
      </c>
      <c r="G147" s="85" t="str">
        <f>IF(COPY!H145&gt;0,COPY!H145,"")</f>
        <v>Sak</v>
      </c>
      <c r="H147" s="85">
        <f>IF(COPY!I145&gt;0,COPY!I145,"")</f>
        <v>58000</v>
      </c>
      <c r="I147" s="85">
        <f>IF(COPY!M145&gt;0,COPY!M145,"")</f>
        <v>116000</v>
      </c>
      <c r="J147" s="85">
        <f>IF(COPY!N145&gt;0,COPY!N145,"")</f>
        <v>1004000</v>
      </c>
      <c r="K147" s="86">
        <f>IF(N147=0,(IF(LEFT(Table13[[#This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Row],[URAIAN]],$U$194:$V$210,2,FALSE),""),""),0))))),N147)</f>
        <v>0</v>
      </c>
      <c r="L147" s="85" t="str">
        <f>IF(Table13[[#This Row],[Column2]]="KWITANSI",COUNTIF($K$4:K147,"KWITANSI")," ")</f>
        <v xml:space="preserve"> </v>
      </c>
      <c r="M147" s="85" t="str">
        <f>IF(Table13[[#This Row],[Column3]]=" "," ",Table13[[#This Row],[CODE]])</f>
        <v xml:space="preserve"> </v>
      </c>
      <c r="N147" s="368"/>
      <c r="P147" s="81" t="str">
        <f t="shared" si="2"/>
        <v/>
      </c>
    </row>
    <row r="148" spans="1:16" x14ac:dyDescent="0.15">
      <c r="A148" s="81" t="str">
        <f>COPY!O146</f>
        <v/>
      </c>
      <c r="B148" s="81">
        <f>COPY!C146</f>
        <v>2</v>
      </c>
      <c r="C148" s="82" t="str">
        <f>COPY!D146</f>
        <v/>
      </c>
      <c r="D148" s="81" t="str">
        <f>IF(Table13[[#This Row],[JUMLAH]]&gt;1,(IF(Table13[[#This Row],[CODE]]=" ",D147&amp;"a",IF(Table13[[#This Row],[CODE]]&gt;0,Table13[[#This Row],[CODE]],0))),"")</f>
        <v/>
      </c>
      <c r="E148" s="81" t="str">
        <f>IF(COPY!G146&gt;0,COPY!G146,"")</f>
        <v>Kalsium Omya No. 6</v>
      </c>
      <c r="F148" s="88">
        <f>IF(COPY!J146&gt;0,COPY!J146,"")</f>
        <v>2</v>
      </c>
      <c r="G148" s="85" t="str">
        <f>IF(COPY!H146&gt;0,COPY!H146,"")</f>
        <v>sak</v>
      </c>
      <c r="H148" s="85">
        <f>IF(COPY!I146&gt;0,COPY!I146,"")</f>
        <v>44000</v>
      </c>
      <c r="I148" s="85">
        <f>IF(COPY!M146&gt;0,COPY!M146,"")</f>
        <v>88000</v>
      </c>
      <c r="J148" s="85" t="str">
        <f>IF(COPY!N146&gt;0,COPY!N146,"")</f>
        <v/>
      </c>
      <c r="K148" s="86" t="str">
        <f>IF(N148=0,(IF(LEFT(Table13[[#This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Row],[URAIAN]],$U$194:$V$210,2,FALSE),""),""),0))))),N148)</f>
        <v/>
      </c>
      <c r="L148" s="85" t="str">
        <f>IF(Table13[[#This Row],[Column2]]="KWITANSI",COUNTIF($K$4:K148,"KWITANSI")," ")</f>
        <v xml:space="preserve"> </v>
      </c>
      <c r="M148" s="85" t="str">
        <f>IF(Table13[[#This Row],[Column3]]=" "," ",Table13[[#This Row],[CODE]])</f>
        <v xml:space="preserve"> </v>
      </c>
      <c r="N148" s="368"/>
      <c r="P148" s="81" t="str">
        <f t="shared" si="2"/>
        <v/>
      </c>
    </row>
    <row r="149" spans="1:16" x14ac:dyDescent="0.15">
      <c r="A149" s="81" t="str">
        <f>COPY!O147</f>
        <v/>
      </c>
      <c r="B149" s="81">
        <f>COPY!C147</f>
        <v>2</v>
      </c>
      <c r="C149" s="82" t="str">
        <f>COPY!D147</f>
        <v/>
      </c>
      <c r="D149" s="81" t="str">
        <f>IF(Table13[[#This Row],[JUMLAH]]&gt;1,(IF(Table13[[#This Row],[CODE]]=" ",D148&amp;"a",IF(Table13[[#This Row],[CODE]]&gt;0,Table13[[#This Row],[CODE]],0))),"")</f>
        <v/>
      </c>
      <c r="E149" s="81" t="str">
        <f>IF(COPY!G147&gt;0,COPY!G147,"")</f>
        <v>Lem Rajawali Putih</v>
      </c>
      <c r="F149" s="88">
        <f>IF(COPY!J147&gt;0,COPY!J147,"")</f>
        <v>40</v>
      </c>
      <c r="G149" s="85" t="str">
        <f>IF(COPY!H147&gt;0,COPY!H147,"")</f>
        <v>Pcs</v>
      </c>
      <c r="H149" s="85">
        <f>IF(COPY!I147&gt;0,COPY!I147,"")</f>
        <v>20000</v>
      </c>
      <c r="I149" s="85">
        <f>IF(COPY!M147&gt;0,COPY!M147,"")</f>
        <v>800000</v>
      </c>
      <c r="J149" s="85" t="str">
        <f>IF(COPY!N147&gt;0,COPY!N147,"")</f>
        <v/>
      </c>
      <c r="K149" s="86" t="str">
        <f>IF(N149=0,(IF(LEFT(Table13[[#This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Row],[URAIAN]],$U$194:$V$210,2,FALSE),""),""),0))))),N149)</f>
        <v/>
      </c>
      <c r="L149" s="85" t="str">
        <f>IF(Table13[[#This Row],[Column2]]="KWITANSI",COUNTIF($K$4:K149,"KWITANSI")," ")</f>
        <v xml:space="preserve"> </v>
      </c>
      <c r="M149" s="85" t="str">
        <f>IF(Table13[[#This Row],[Column3]]=" "," ",Table13[[#This Row],[CODE]])</f>
        <v xml:space="preserve"> </v>
      </c>
      <c r="N149" s="368"/>
      <c r="P149" s="81" t="str">
        <f t="shared" si="2"/>
        <v/>
      </c>
    </row>
    <row r="150" spans="1:16" x14ac:dyDescent="0.15">
      <c r="A150" s="81" t="str">
        <f>COPY!O148</f>
        <v>BKK.44</v>
      </c>
      <c r="B150" s="81">
        <f>COPY!C148</f>
        <v>2</v>
      </c>
      <c r="C150" s="82">
        <f>COPY!D148</f>
        <v>45945</v>
      </c>
      <c r="D150" s="81" t="str">
        <f>IF(Table13[[#This Row],[JUMLAH]]&gt;1,(IF(Table13[[#This Row],[CODE]]=" ",D149&amp;"a",IF(Table13[[#This Row],[CODE]]&gt;0,Table13[[#This Row],[CODE]],0))),"")</f>
        <v>BKK.44</v>
      </c>
      <c r="E150" s="81" t="str">
        <f>IF(COPY!G148&gt;0,COPY!G148,"")</f>
        <v>Kain Lap</v>
      </c>
      <c r="F150" s="88">
        <f>IF(COPY!J148&gt;0,COPY!J148,"")</f>
        <v>10</v>
      </c>
      <c r="G150" s="85" t="str">
        <f>IF(COPY!H148&gt;0,COPY!H148,"")</f>
        <v>Bji</v>
      </c>
      <c r="H150" s="85">
        <f>IF(COPY!I148&gt;0,COPY!I148,"")</f>
        <v>14000</v>
      </c>
      <c r="I150" s="85">
        <f>IF(COPY!M148&gt;0,COPY!M148,"")</f>
        <v>140000</v>
      </c>
      <c r="J150" s="85">
        <f>IF(COPY!N148&gt;0,COPY!N148,"")</f>
        <v>1805000</v>
      </c>
      <c r="K150" s="86">
        <f>IF(N150=0,(IF(LEFT(Table13[[#This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Row],[URAIAN]],$U$194:$V$210,2,FALSE),""),""),0))))),N150)</f>
        <v>0</v>
      </c>
      <c r="L150" s="85" t="str">
        <f>IF(Table13[[#This Row],[Column2]]="KWITANSI",COUNTIF($K$4:K150,"KWITANSI")," ")</f>
        <v xml:space="preserve"> </v>
      </c>
      <c r="M150" s="85" t="str">
        <f>IF(Table13[[#This Row],[Column3]]=" "," ",Table13[[#This Row],[CODE]])</f>
        <v xml:space="preserve"> </v>
      </c>
      <c r="N150" s="368"/>
      <c r="P150" s="81" t="str">
        <f t="shared" si="2"/>
        <v/>
      </c>
    </row>
    <row r="151" spans="1:16" x14ac:dyDescent="0.15">
      <c r="A151" s="81" t="str">
        <f>COPY!O149</f>
        <v/>
      </c>
      <c r="B151" s="81">
        <f>COPY!C149</f>
        <v>2</v>
      </c>
      <c r="C151" s="82" t="str">
        <f>COPY!D149</f>
        <v/>
      </c>
      <c r="D151" s="81" t="str">
        <f>IF(Table13[[#This Row],[JUMLAH]]&gt;1,(IF(Table13[[#This Row],[CODE]]=" ",D150&amp;"a",IF(Table13[[#This Row],[CODE]]&gt;0,Table13[[#This Row],[CODE]],0))),"")</f>
        <v/>
      </c>
      <c r="E151" s="81" t="str">
        <f>IF(COPY!G149&gt;0,COPY!G149,"")</f>
        <v>Hcl</v>
      </c>
      <c r="F151" s="88">
        <f>IF(COPY!J149&gt;0,COPY!J149,"")</f>
        <v>4</v>
      </c>
      <c r="G151" s="85" t="str">
        <f>IF(COPY!H149&gt;0,COPY!H149,"")</f>
        <v>ltr</v>
      </c>
      <c r="H151" s="85">
        <f>IF(COPY!I149&gt;0,COPY!I149,"")</f>
        <v>10000</v>
      </c>
      <c r="I151" s="85">
        <f>IF(COPY!M149&gt;0,COPY!M149,"")</f>
        <v>40000</v>
      </c>
      <c r="J151" s="85" t="str">
        <f>IF(COPY!N149&gt;0,COPY!N149,"")</f>
        <v/>
      </c>
      <c r="K151" s="86" t="str">
        <f>IF(N151=0,(IF(LEFT(Table13[[#This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Row],[URAIAN]],$U$194:$V$210,2,FALSE),""),""),0))))),N151)</f>
        <v/>
      </c>
      <c r="L151" s="85" t="str">
        <f>IF(Table13[[#This Row],[Column2]]="KWITANSI",COUNTIF($K$4:K151,"KWITANSI")," ")</f>
        <v xml:space="preserve"> </v>
      </c>
      <c r="M151" s="85" t="str">
        <f>IF(Table13[[#This Row],[Column3]]=" "," ",Table13[[#This Row],[CODE]])</f>
        <v xml:space="preserve"> </v>
      </c>
      <c r="N151" s="368"/>
      <c r="P151" s="81" t="str">
        <f t="shared" si="2"/>
        <v/>
      </c>
    </row>
    <row r="152" spans="1:16" x14ac:dyDescent="0.15">
      <c r="A152" s="81" t="str">
        <f>COPY!O150</f>
        <v/>
      </c>
      <c r="B152" s="81">
        <f>COPY!C150</f>
        <v>2</v>
      </c>
      <c r="C152" s="82" t="str">
        <f>COPY!D150</f>
        <v/>
      </c>
      <c r="D152" s="81" t="str">
        <f>IF(Table13[[#This Row],[JUMLAH]]&gt;1,(IF(Table13[[#This Row],[CODE]]=" ",D151&amp;"a",IF(Table13[[#This Row],[CODE]]&gt;0,Table13[[#This Row],[CODE]],0))),"")</f>
        <v/>
      </c>
      <c r="E152" s="81" t="str">
        <f>IF(COPY!G150&gt;0,COPY!G150,"")</f>
        <v>Paragon Putih Eml 20Kg</v>
      </c>
      <c r="F152" s="88">
        <f>IF(COPY!J150&gt;0,COPY!J150,"")</f>
        <v>1</v>
      </c>
      <c r="G152" s="85" t="str">
        <f>IF(COPY!H150&gt;0,COPY!H150,"")</f>
        <v>Pail</v>
      </c>
      <c r="H152" s="85">
        <f>IF(COPY!I150&gt;0,COPY!I150,"")</f>
        <v>500000</v>
      </c>
      <c r="I152" s="85">
        <f>IF(COPY!M150&gt;0,COPY!M150,"")</f>
        <v>500000</v>
      </c>
      <c r="J152" s="85" t="str">
        <f>IF(COPY!N150&gt;0,COPY!N150,"")</f>
        <v/>
      </c>
      <c r="K152" s="86" t="str">
        <f>IF(N152=0,(IF(LEFT(Table13[[#This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Row],[URAIAN]],$U$194:$V$210,2,FALSE),""),""),0))))),N152)</f>
        <v/>
      </c>
      <c r="L152" s="85" t="str">
        <f>IF(Table13[[#This Row],[Column2]]="KWITANSI",COUNTIF($K$4:K152,"KWITANSI")," ")</f>
        <v xml:space="preserve"> </v>
      </c>
      <c r="M152" s="85" t="str">
        <f>IF(Table13[[#This Row],[Column3]]=" "," ",Table13[[#This Row],[CODE]])</f>
        <v xml:space="preserve"> </v>
      </c>
      <c r="N152" s="368"/>
      <c r="P152" s="81" t="str">
        <f t="shared" si="2"/>
        <v/>
      </c>
    </row>
    <row r="153" spans="1:16" x14ac:dyDescent="0.15">
      <c r="A153" s="81" t="str">
        <f>COPY!O151</f>
        <v/>
      </c>
      <c r="B153" s="81">
        <f>COPY!C151</f>
        <v>2</v>
      </c>
      <c r="C153" s="82" t="str">
        <f>COPY!D151</f>
        <v/>
      </c>
      <c r="D153" s="81" t="str">
        <f>IF(Table13[[#This Row],[JUMLAH]]&gt;1,(IF(Table13[[#This Row],[CODE]]=" ",D152&amp;"a",IF(Table13[[#This Row],[CODE]]&gt;0,Table13[[#This Row],[CODE]],0))),"")</f>
        <v/>
      </c>
      <c r="E153" s="81" t="str">
        <f>IF(COPY!G151&gt;0,COPY!G151,"")</f>
        <v>Cat No Drop Hijau</v>
      </c>
      <c r="F153" s="88">
        <f>IF(COPY!J151&gt;0,COPY!J151,"")</f>
        <v>1</v>
      </c>
      <c r="G153" s="85" t="str">
        <f>IF(COPY!H151&gt;0,COPY!H151,"")</f>
        <v>Pail</v>
      </c>
      <c r="H153" s="85">
        <f>IF(COPY!I151&gt;0,COPY!I151,"")</f>
        <v>1125000</v>
      </c>
      <c r="I153" s="85">
        <f>IF(COPY!M151&gt;0,COPY!M151,"")</f>
        <v>1125000</v>
      </c>
      <c r="J153" s="85" t="str">
        <f>IF(COPY!N151&gt;0,COPY!N151,"")</f>
        <v/>
      </c>
      <c r="K153" s="86" t="str">
        <f>IF(N153=0,(IF(LEFT(Table13[[#This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Row],[URAIAN]],$U$194:$V$210,2,FALSE),""),""),0))))),N153)</f>
        <v/>
      </c>
      <c r="L153" s="85" t="str">
        <f>IF(Table13[[#This Row],[Column2]]="KWITANSI",COUNTIF($K$4:K153,"KWITANSI")," ")</f>
        <v xml:space="preserve"> </v>
      </c>
      <c r="M153" s="85" t="str">
        <f>IF(Table13[[#This Row],[Column3]]=" "," ",Table13[[#This Row],[CODE]])</f>
        <v xml:space="preserve"> </v>
      </c>
      <c r="N153" s="368"/>
      <c r="P153" s="81" t="str">
        <f t="shared" si="2"/>
        <v/>
      </c>
    </row>
    <row r="154" spans="1:16" x14ac:dyDescent="0.15">
      <c r="A154" s="81" t="str">
        <f>COPY!O152</f>
        <v>BKK.45</v>
      </c>
      <c r="B154" s="81">
        <f>COPY!C152</f>
        <v>2</v>
      </c>
      <c r="C154" s="82">
        <f>COPY!D152</f>
        <v>45946</v>
      </c>
      <c r="D154" s="81" t="str">
        <f>IF(Table13[[#This Row],[JUMLAH]]&gt;1,(IF(Table13[[#This Row],[CODE]]=" ",D153&amp;"a",IF(Table13[[#This Row],[CODE]]&gt;0,Table13[[#This Row],[CODE]],0))),"")</f>
        <v>BKK.45</v>
      </c>
      <c r="E154" s="81" t="str">
        <f>IF(COPY!G152&gt;0,COPY!G152,"")</f>
        <v>Semen 3 Roda</v>
      </c>
      <c r="F154" s="88">
        <f>IF(COPY!J152&gt;0,COPY!J152,"")</f>
        <v>10</v>
      </c>
      <c r="G154" s="85" t="str">
        <f>IF(COPY!H152&gt;0,COPY!H152,"")</f>
        <v>Sak</v>
      </c>
      <c r="H154" s="85">
        <f>IF(COPY!I152&gt;0,COPY!I152,"")</f>
        <v>52000</v>
      </c>
      <c r="I154" s="85">
        <f>IF(COPY!M152&gt;0,COPY!M152,"")</f>
        <v>520000</v>
      </c>
      <c r="J154" s="85">
        <f>IF(COPY!N152&gt;0,COPY!N152,"")</f>
        <v>1836000</v>
      </c>
      <c r="K154" s="86">
        <f>IF(N154=0,(IF(LEFT(Table13[[#This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Row],[URAIAN]],$U$194:$V$210,2,FALSE),""),""),0))))),N154)</f>
        <v>0</v>
      </c>
      <c r="L154" s="85" t="str">
        <f>IF(Table13[[#This Row],[Column2]]="KWITANSI",COUNTIF($K$4:K154,"KWITANSI")," ")</f>
        <v xml:space="preserve"> </v>
      </c>
      <c r="M154" s="85" t="str">
        <f>IF(Table13[[#This Row],[Column3]]=" "," ",Table13[[#This Row],[CODE]])</f>
        <v xml:space="preserve"> </v>
      </c>
      <c r="N154" s="368"/>
      <c r="P154" s="81" t="str">
        <f t="shared" si="2"/>
        <v/>
      </c>
    </row>
    <row r="155" spans="1:16" x14ac:dyDescent="0.15">
      <c r="A155" s="81" t="str">
        <f>COPY!O153</f>
        <v/>
      </c>
      <c r="B155" s="81">
        <f>COPY!C153</f>
        <v>2</v>
      </c>
      <c r="C155" s="82" t="str">
        <f>COPY!D153</f>
        <v/>
      </c>
      <c r="D155" s="81" t="str">
        <f>IF(Table13[[#This Row],[JUMLAH]]&gt;1,(IF(Table13[[#This Row],[CODE]]=" ",D154&amp;"a",IF(Table13[[#This Row],[CODE]]&gt;0,Table13[[#This Row],[CODE]],0))),"")</f>
        <v/>
      </c>
      <c r="E155" s="81" t="str">
        <f>IF(COPY!G153&gt;0,COPY!G153,"")</f>
        <v>Lem Rajawali Putih</v>
      </c>
      <c r="F155" s="88">
        <f>IF(COPY!J153&gt;0,COPY!J153,"")</f>
        <v>48</v>
      </c>
      <c r="G155" s="85" t="str">
        <f>IF(COPY!H153&gt;0,COPY!H153,"")</f>
        <v>Pcs</v>
      </c>
      <c r="H155" s="85">
        <f>IF(COPY!I153&gt;0,COPY!I153,"")</f>
        <v>20000</v>
      </c>
      <c r="I155" s="85">
        <f>IF(COPY!M153&gt;0,COPY!M153,"")</f>
        <v>960000</v>
      </c>
      <c r="J155" s="85" t="str">
        <f>IF(COPY!N153&gt;0,COPY!N153,"")</f>
        <v/>
      </c>
      <c r="K155" s="86" t="str">
        <f>IF(N155=0,(IF(LEFT(Table13[[#This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Row],[URAIAN]],$U$194:$V$210,2,FALSE),""),""),0))))),N155)</f>
        <v/>
      </c>
      <c r="L155" s="85" t="str">
        <f>IF(Table13[[#This Row],[Column2]]="KWITANSI",COUNTIF($K$4:K155,"KWITANSI")," ")</f>
        <v xml:space="preserve"> </v>
      </c>
      <c r="M155" s="85" t="str">
        <f>IF(Table13[[#This Row],[Column3]]=" "," ",Table13[[#This Row],[CODE]])</f>
        <v xml:space="preserve"> </v>
      </c>
      <c r="N155" s="368"/>
      <c r="P155" s="81" t="str">
        <f t="shared" si="2"/>
        <v/>
      </c>
    </row>
    <row r="156" spans="1:16" x14ac:dyDescent="0.15">
      <c r="A156" s="81" t="str">
        <f>COPY!O154</f>
        <v/>
      </c>
      <c r="B156" s="81">
        <f>COPY!C154</f>
        <v>2</v>
      </c>
      <c r="C156" s="82" t="str">
        <f>COPY!D154</f>
        <v/>
      </c>
      <c r="D156" s="81" t="str">
        <f>IF(Table13[[#This Row],[JUMLAH]]&gt;1,(IF(Table13[[#This Row],[CODE]]=" ",D155&amp;"a",IF(Table13[[#This Row],[CODE]]&gt;0,Table13[[#This Row],[CODE]],0))),"")</f>
        <v/>
      </c>
      <c r="E156" s="81" t="str">
        <f>IF(COPY!G154&gt;0,COPY!G154,"")</f>
        <v>Kuas Nippon 5"</v>
      </c>
      <c r="F156" s="88">
        <f>IF(COPY!J154&gt;0,COPY!J154,"")</f>
        <v>4</v>
      </c>
      <c r="G156" s="85" t="str">
        <f>IF(COPY!H154&gt;0,COPY!H154,"")</f>
        <v>Pcs</v>
      </c>
      <c r="H156" s="85">
        <f>IF(COPY!I154&gt;0,COPY!I154,"")</f>
        <v>23000</v>
      </c>
      <c r="I156" s="85">
        <f>IF(COPY!M154&gt;0,COPY!M154,"")</f>
        <v>92000</v>
      </c>
      <c r="J156" s="85" t="str">
        <f>IF(COPY!N154&gt;0,COPY!N154,"")</f>
        <v/>
      </c>
      <c r="K156" s="86" t="str">
        <f>IF(N156=0,(IF(LEFT(Table13[[#This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Row],[URAIAN]],$U$194:$V$210,2,FALSE),""),""),0))))),N156)</f>
        <v/>
      </c>
      <c r="L156" s="85" t="str">
        <f>IF(Table13[[#This Row],[Column2]]="KWITANSI",COUNTIF($K$4:K156,"KWITANSI")," ")</f>
        <v xml:space="preserve"> </v>
      </c>
      <c r="M156" s="85" t="str">
        <f>IF(Table13[[#This Row],[Column3]]=" "," ",Table13[[#This Row],[CODE]])</f>
        <v xml:space="preserve"> </v>
      </c>
      <c r="N156" s="368"/>
      <c r="P156" s="81" t="str">
        <f t="shared" si="2"/>
        <v/>
      </c>
    </row>
    <row r="157" spans="1:16" x14ac:dyDescent="0.15">
      <c r="A157" s="81" t="str">
        <f>COPY!O155</f>
        <v/>
      </c>
      <c r="B157" s="81">
        <f>COPY!C155</f>
        <v>2</v>
      </c>
      <c r="C157" s="82" t="str">
        <f>COPY!D155</f>
        <v/>
      </c>
      <c r="D157" s="81" t="str">
        <f>IF(Table13[[#This Row],[JUMLAH]]&gt;1,(IF(Table13[[#This Row],[CODE]]=" ",D156&amp;"a",IF(Table13[[#This Row],[CODE]]&gt;0,Table13[[#This Row],[CODE]],0))),"")</f>
        <v/>
      </c>
      <c r="E157" s="81" t="str">
        <f>IF(COPY!G155&gt;0,COPY!G155,"")</f>
        <v>Kuas Nippon 6"</v>
      </c>
      <c r="F157" s="88">
        <f>IF(COPY!J155&gt;0,COPY!J155,"")</f>
        <v>2</v>
      </c>
      <c r="G157" s="85" t="str">
        <f>IF(COPY!H155&gt;0,COPY!H155,"")</f>
        <v>Pcs</v>
      </c>
      <c r="H157" s="85">
        <f>IF(COPY!I155&gt;0,COPY!I155,"")</f>
        <v>28000</v>
      </c>
      <c r="I157" s="85">
        <f>IF(COPY!M155&gt;0,COPY!M155,"")</f>
        <v>56000</v>
      </c>
      <c r="J157" s="85" t="str">
        <f>IF(COPY!N155&gt;0,COPY!N155,"")</f>
        <v/>
      </c>
      <c r="K157" s="86" t="str">
        <f>IF(N157=0,(IF(LEFT(Table13[[#This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Row],[URAIAN]],$U$194:$V$210,2,FALSE),""),""),0))))),N157)</f>
        <v/>
      </c>
      <c r="L157" s="85" t="str">
        <f>IF(Table13[[#This Row],[Column2]]="KWITANSI",COUNTIF($K$4:K157,"KWITANSI")," ")</f>
        <v xml:space="preserve"> </v>
      </c>
      <c r="M157" s="85" t="str">
        <f>IF(Table13[[#This Row],[Column3]]=" "," ",Table13[[#This Row],[CODE]])</f>
        <v xml:space="preserve"> </v>
      </c>
      <c r="N157" s="368"/>
      <c r="P157" s="81" t="str">
        <f t="shared" si="2"/>
        <v/>
      </c>
    </row>
    <row r="158" spans="1:16" x14ac:dyDescent="0.15">
      <c r="A158" s="81" t="str">
        <f>COPY!O156</f>
        <v/>
      </c>
      <c r="B158" s="81">
        <f>COPY!C156</f>
        <v>2</v>
      </c>
      <c r="C158" s="82" t="str">
        <f>COPY!D156</f>
        <v/>
      </c>
      <c r="D158" s="81" t="str">
        <f>IF(Table13[[#This Row],[JUMLAH]]&gt;1,(IF(Table13[[#This Row],[CODE]]=" ",D157&amp;"a",IF(Table13[[#This Row],[CODE]]&gt;0,Table13[[#This Row],[CODE]],0))),"")</f>
        <v/>
      </c>
      <c r="E158" s="81" t="str">
        <f>IF(COPY!G156&gt;0,COPY!G156,"")</f>
        <v>Amplas No 100</v>
      </c>
      <c r="F158" s="88">
        <f>IF(COPY!J156&gt;0,COPY!J156,"")</f>
        <v>10</v>
      </c>
      <c r="G158" s="85" t="str">
        <f>IF(COPY!H156&gt;0,COPY!H156,"")</f>
        <v>m</v>
      </c>
      <c r="H158" s="85">
        <f>IF(COPY!I156&gt;0,COPY!I156,"")</f>
        <v>8000</v>
      </c>
      <c r="I158" s="85">
        <f>IF(COPY!M156&gt;0,COPY!M156,"")</f>
        <v>80000</v>
      </c>
      <c r="J158" s="85" t="str">
        <f>IF(COPY!N156&gt;0,COPY!N156,"")</f>
        <v/>
      </c>
      <c r="K158" s="86" t="str">
        <f>IF(N158=0,(IF(LEFT(Table13[[#This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Row],[URAIAN]],$U$194:$V$210,2,FALSE),""),""),0))))),N158)</f>
        <v/>
      </c>
      <c r="L158" s="85" t="str">
        <f>IF(Table13[[#This Row],[Column2]]="KWITANSI",COUNTIF($K$4:K158,"KWITANSI")," ")</f>
        <v xml:space="preserve"> </v>
      </c>
      <c r="M158" s="85" t="str">
        <f>IF(Table13[[#This Row],[Column3]]=" "," ",Table13[[#This Row],[CODE]])</f>
        <v xml:space="preserve"> </v>
      </c>
      <c r="N158" s="368"/>
      <c r="P158" s="81" t="str">
        <f t="shared" si="2"/>
        <v/>
      </c>
    </row>
    <row r="159" spans="1:16" x14ac:dyDescent="0.15">
      <c r="A159" s="81" t="str">
        <f>COPY!O157</f>
        <v/>
      </c>
      <c r="B159" s="81">
        <f>COPY!C157</f>
        <v>2</v>
      </c>
      <c r="C159" s="82" t="str">
        <f>COPY!D157</f>
        <v/>
      </c>
      <c r="D159" s="81" t="str">
        <f>IF(Table13[[#This Row],[JUMLAH]]&gt;1,(IF(Table13[[#This Row],[CODE]]=" ",D158&amp;"a",IF(Table13[[#This Row],[CODE]]&gt;0,Table13[[#This Row],[CODE]],0))),"")</f>
        <v/>
      </c>
      <c r="E159" s="81" t="str">
        <f>IF(COPY!G157&gt;0,COPY!G157,"")</f>
        <v>Amplas No 240</v>
      </c>
      <c r="F159" s="88">
        <f>IF(COPY!J157&gt;0,COPY!J157,"")</f>
        <v>10</v>
      </c>
      <c r="G159" s="85" t="str">
        <f>IF(COPY!H157&gt;0,COPY!H157,"")</f>
        <v>m</v>
      </c>
      <c r="H159" s="85">
        <f>IF(COPY!I157&gt;0,COPY!I157,"")</f>
        <v>8000</v>
      </c>
      <c r="I159" s="85">
        <f>IF(COPY!M157&gt;0,COPY!M157,"")</f>
        <v>80000</v>
      </c>
      <c r="J159" s="85" t="str">
        <f>IF(COPY!N157&gt;0,COPY!N157,"")</f>
        <v/>
      </c>
      <c r="K159" s="86" t="str">
        <f>IF(N159=0,(IF(LEFT(Table13[[#This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Row],[URAIAN]],$U$194:$V$210,2,FALSE),""),""),0))))),N159)</f>
        <v/>
      </c>
      <c r="L159" s="85" t="str">
        <f>IF(Table13[[#This Row],[Column2]]="KWITANSI",COUNTIF($K$4:K159,"KWITANSI")," ")</f>
        <v xml:space="preserve"> </v>
      </c>
      <c r="M159" s="85" t="str">
        <f>IF(Table13[[#This Row],[Column3]]=" "," ",Table13[[#This Row],[CODE]])</f>
        <v xml:space="preserve"> </v>
      </c>
      <c r="N159" s="368"/>
      <c r="P159" s="81" t="str">
        <f t="shared" si="2"/>
        <v/>
      </c>
    </row>
    <row r="160" spans="1:16" x14ac:dyDescent="0.15">
      <c r="A160" s="81" t="str">
        <f>COPY!O158</f>
        <v/>
      </c>
      <c r="B160" s="81">
        <f>COPY!C158</f>
        <v>2</v>
      </c>
      <c r="C160" s="82" t="str">
        <f>COPY!D158</f>
        <v/>
      </c>
      <c r="D160" s="81" t="str">
        <f>IF(Table13[[#This Row],[JUMLAH]]&gt;1,(IF(Table13[[#This Row],[CODE]]=" ",D159&amp;"a",IF(Table13[[#This Row],[CODE]]&gt;0,Table13[[#This Row],[CODE]],0))),"")</f>
        <v/>
      </c>
      <c r="E160" s="81" t="str">
        <f>IF(COPY!G158&gt;0,COPY!G158,"")</f>
        <v>Serabut No Drop</v>
      </c>
      <c r="F160" s="88">
        <f>IF(COPY!J158&gt;0,COPY!J158,"")</f>
        <v>3</v>
      </c>
      <c r="G160" s="85" t="str">
        <f>IF(COPY!H158&gt;0,COPY!H158,"")</f>
        <v>Pak</v>
      </c>
      <c r="H160" s="85">
        <f>IF(COPY!I158&gt;0,COPY!I158,"")</f>
        <v>16000</v>
      </c>
      <c r="I160" s="85">
        <f>IF(COPY!M158&gt;0,COPY!M158,"")</f>
        <v>48000</v>
      </c>
      <c r="J160" s="85" t="str">
        <f>IF(COPY!N158&gt;0,COPY!N158,"")</f>
        <v/>
      </c>
      <c r="K160" s="86" t="str">
        <f>IF(N160=0,(IF(LEFT(Table13[[#This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Row],[URAIAN]],$U$194:$V$210,2,FALSE),""),""),0))))),N160)</f>
        <v/>
      </c>
      <c r="L160" s="85" t="str">
        <f>IF(Table13[[#This Row],[Column2]]="KWITANSI",COUNTIF($K$4:K160,"KWITANSI")," ")</f>
        <v xml:space="preserve"> </v>
      </c>
      <c r="M160" s="85" t="str">
        <f>IF(Table13[[#This Row],[Column3]]=" "," ",Table13[[#This Row],[CODE]])</f>
        <v xml:space="preserve"> </v>
      </c>
      <c r="N160" s="368"/>
      <c r="P160" s="81" t="str">
        <f t="shared" si="2"/>
        <v/>
      </c>
    </row>
    <row r="161" spans="1:16" x14ac:dyDescent="0.15">
      <c r="A161" s="81" t="str">
        <f>COPY!O159</f>
        <v>BKK.46</v>
      </c>
      <c r="B161" s="81">
        <f>COPY!C159</f>
        <v>2</v>
      </c>
      <c r="C161" s="82">
        <f>COPY!D159</f>
        <v>45947</v>
      </c>
      <c r="D161" s="81" t="str">
        <f>IF(Table13[[#This Row],[JUMLAH]]&gt;1,(IF(Table13[[#This Row],[CODE]]=" ",D160&amp;"a",IF(Table13[[#This Row],[CODE]]&gt;0,Table13[[#This Row],[CODE]],0))),"")</f>
        <v>BKK.46</v>
      </c>
      <c r="E161" s="81" t="str">
        <f>IF(COPY!G159&gt;0,COPY!G159,"")</f>
        <v>Cat Catylac Int Lime 45120</v>
      </c>
      <c r="F161" s="88">
        <f>IF(COPY!J159&gt;0,COPY!J159,"")</f>
        <v>1</v>
      </c>
      <c r="G161" s="85" t="str">
        <f>IF(COPY!H159&gt;0,COPY!H159,"")</f>
        <v>Gln</v>
      </c>
      <c r="H161" s="85">
        <f>IF(COPY!I159&gt;0,COPY!I159,"")</f>
        <v>565000</v>
      </c>
      <c r="I161" s="85">
        <f>IF(COPY!M159&gt;0,COPY!M159,"")</f>
        <v>565000</v>
      </c>
      <c r="J161" s="85">
        <f>IF(COPY!N159&gt;0,COPY!N159,"")</f>
        <v>565000</v>
      </c>
      <c r="K161" s="86">
        <f>IF(N161=0,(IF(LEFT(Table13[[#This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Row],[URAIAN]],$U$194:$V$210,2,FALSE),""),""),0))))),N161)</f>
        <v>0</v>
      </c>
      <c r="L161" s="85" t="str">
        <f>IF(Table13[[#This Row],[Column2]]="KWITANSI",COUNTIF($K$4:K161,"KWITANSI")," ")</f>
        <v xml:space="preserve"> </v>
      </c>
      <c r="M161" s="85" t="str">
        <f>IF(Table13[[#This Row],[Column3]]=" "," ",Table13[[#This Row],[CODE]])</f>
        <v xml:space="preserve"> </v>
      </c>
      <c r="N161" s="368"/>
      <c r="P161" s="81" t="str">
        <f t="shared" si="2"/>
        <v/>
      </c>
    </row>
    <row r="162" spans="1:16" x14ac:dyDescent="0.15">
      <c r="A162" s="81" t="str">
        <f>COPY!O160</f>
        <v>BKK.47</v>
      </c>
      <c r="B162" s="81">
        <f>COPY!C160</f>
        <v>2</v>
      </c>
      <c r="C162" s="82">
        <f>COPY!D160</f>
        <v>45948</v>
      </c>
      <c r="D162" s="81" t="str">
        <f>IF(Table13[[#This Row],[JUMLAH]]&gt;1,(IF(Table13[[#This Row],[CODE]]=" ",D161&amp;"a",IF(Table13[[#This Row],[CODE]]&gt;0,Table13[[#This Row],[CODE]],0))),"")</f>
        <v>BKK.47</v>
      </c>
      <c r="E162" s="81" t="str">
        <f>IF(COPY!G160&gt;0,COPY!G160,"")</f>
        <v>Closet Duduk Komplit Volk</v>
      </c>
      <c r="F162" s="88">
        <f>IF(COPY!J160&gt;0,COPY!J160,"")</f>
        <v>2</v>
      </c>
      <c r="G162" s="85" t="str">
        <f>IF(COPY!H160&gt;0,COPY!H160,"")</f>
        <v>Unit</v>
      </c>
      <c r="H162" s="85">
        <f>IF(COPY!I160&gt;0,COPY!I160,"")</f>
        <v>1100000</v>
      </c>
      <c r="I162" s="85">
        <f>IF(COPY!M160&gt;0,COPY!M160,"")</f>
        <v>2200000</v>
      </c>
      <c r="J162" s="85">
        <f>IF(COPY!N160&gt;0,COPY!N160,"")</f>
        <v>2200000</v>
      </c>
      <c r="K162" s="86" t="str">
        <f>IF(N162=0,(IF(LEFT(Table13[[#This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Row],[URAIAN]],$U$194:$V$210,2,FALSE),""),""),0))))),N162)</f>
        <v/>
      </c>
      <c r="L162" s="85" t="str">
        <f>IF(Table13[[#This Row],[Column2]]="KWITANSI",COUNTIF($K$4:K162,"KWITANSI")," ")</f>
        <v xml:space="preserve"> </v>
      </c>
      <c r="M162" s="85" t="str">
        <f>IF(Table13[[#This Row],[Column3]]=" "," ",Table13[[#This Row],[CODE]])</f>
        <v xml:space="preserve"> </v>
      </c>
      <c r="N162" s="368"/>
      <c r="P162" s="81" t="str">
        <f t="shared" si="2"/>
        <v/>
      </c>
    </row>
    <row r="163" spans="1:16" x14ac:dyDescent="0.15">
      <c r="A163" s="81" t="str">
        <f>COPY!O161</f>
        <v>BKK.48</v>
      </c>
      <c r="B163" s="81">
        <f>COPY!C161</f>
        <v>2</v>
      </c>
      <c r="C163" s="82">
        <f>COPY!D161</f>
        <v>45948</v>
      </c>
      <c r="D163" s="81" t="str">
        <f>IF(Table13[[#This Row],[JUMLAH]]&gt;1,(IF(Table13[[#This Row],[CODE]]=" ",D162&amp;"a",IF(Table13[[#This Row],[CODE]]&gt;0,Table13[[#This Row],[CODE]],0))),"")</f>
        <v>BKK.48</v>
      </c>
      <c r="E163" s="81" t="str">
        <f>IF(COPY!G161&gt;0,COPY!G161,"")</f>
        <v>Pembayaran Pekerja Minggu Ke 7</v>
      </c>
      <c r="F163" s="88">
        <f>IF(COPY!J161&gt;0,COPY!J161,"")</f>
        <v>1</v>
      </c>
      <c r="G163" s="85" t="str">
        <f>IF(COPY!H161&gt;0,COPY!H161,"")</f>
        <v/>
      </c>
      <c r="H163" s="85">
        <f>IF(COPY!I161&gt;0,COPY!I161,"")</f>
        <v>1</v>
      </c>
      <c r="I163" s="85">
        <f>IF(COPY!M161&gt;0,COPY!M161,"")</f>
        <v>5110000</v>
      </c>
      <c r="J163" s="85">
        <f>IF(COPY!N161&gt;0,COPY!N161,"")</f>
        <v>5110000</v>
      </c>
      <c r="K163" s="86" t="str">
        <f>IF(N163=0,(IF(LEFT(Table13[[#This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Row],[URAIAN]],$U$194:$V$210,2,FALSE),""),""),0))))),N163)</f>
        <v>KWITANSI</v>
      </c>
      <c r="L163" s="85">
        <f>IF(Table13[[#This Row],[Column2]]="KWITANSI",COUNTIF($K$4:K163,"KWITANSI")," ")</f>
        <v>8</v>
      </c>
      <c r="M163" s="85" t="str">
        <f>IF(Table13[[#This Row],[Column3]]=" "," ",Table13[[#This Row],[CODE]])</f>
        <v>BKK.48</v>
      </c>
      <c r="N163" s="368"/>
      <c r="P163" s="81" t="str">
        <f t="shared" si="2"/>
        <v/>
      </c>
    </row>
    <row r="164" spans="1:16" x14ac:dyDescent="0.15">
      <c r="A164" s="81" t="str">
        <f>COPY!O162</f>
        <v>BKK.49</v>
      </c>
      <c r="B164" s="81">
        <f>COPY!C162</f>
        <v>2</v>
      </c>
      <c r="C164" s="82">
        <f>COPY!D162</f>
        <v>45950</v>
      </c>
      <c r="D164" s="81" t="str">
        <f>IF(Table13[[#This Row],[JUMLAH]]&gt;1,(IF(Table13[[#This Row],[CODE]]=" ",D163&amp;"a",IF(Table13[[#This Row],[CODE]]&gt;0,Table13[[#This Row],[CODE]],0))),"")</f>
        <v>BKK.49</v>
      </c>
      <c r="E164" s="81" t="str">
        <f>IF(COPY!G162&gt;0,COPY!G162,"")</f>
        <v>Tiang Engsel Pintu Lipat 8cm Alumunium</v>
      </c>
      <c r="F164" s="88">
        <f>IF(COPY!J162&gt;0,COPY!J162,"")</f>
        <v>2</v>
      </c>
      <c r="G164" s="85" t="str">
        <f>IF(COPY!H162&gt;0,COPY!H162,"")</f>
        <v>Ljr</v>
      </c>
      <c r="H164" s="85">
        <f>IF(COPY!I162&gt;0,COPY!I162,"")</f>
        <v>375000</v>
      </c>
      <c r="I164" s="85">
        <f>IF(COPY!M162&gt;0,COPY!M162,"")</f>
        <v>750000</v>
      </c>
      <c r="J164" s="85">
        <f>IF(COPY!N162&gt;0,COPY!N162,"")</f>
        <v>1550000</v>
      </c>
      <c r="K164" s="86">
        <f>IF(N164=0,(IF(LEFT(Table13[[#This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Row],[URAIAN]],$U$194:$V$210,2,FALSE),""),""),0))))),N164)</f>
        <v>0</v>
      </c>
      <c r="L164" s="85" t="str">
        <f>IF(Table13[[#This Row],[Column2]]="KWITANSI",COUNTIF($K$4:K164,"KWITANSI")," ")</f>
        <v xml:space="preserve"> </v>
      </c>
      <c r="M164" s="85" t="str">
        <f>IF(Table13[[#This Row],[Column3]]=" "," ",Table13[[#This Row],[CODE]])</f>
        <v xml:space="preserve"> </v>
      </c>
      <c r="N164" s="368"/>
      <c r="P164" s="81" t="str">
        <f t="shared" si="2"/>
        <v/>
      </c>
    </row>
    <row r="165" spans="1:16" x14ac:dyDescent="0.15">
      <c r="A165" s="81" t="str">
        <f>COPY!O163</f>
        <v/>
      </c>
      <c r="B165" s="81">
        <f>COPY!C163</f>
        <v>2</v>
      </c>
      <c r="C165" s="82" t="str">
        <f>COPY!D163</f>
        <v/>
      </c>
      <c r="D165" s="81" t="str">
        <f>IF(Table13[[#This Row],[JUMLAH]]&gt;1,(IF(Table13[[#This Row],[CODE]]=" ",D164&amp;"a",IF(Table13[[#This Row],[CODE]]&gt;0,Table13[[#This Row],[CODE]],0))),"")</f>
        <v/>
      </c>
      <c r="E165" s="81" t="str">
        <f>IF(COPY!G163&gt;0,COPY!G163,"")</f>
        <v>Alumunium Profil C 3"</v>
      </c>
      <c r="F165" s="88">
        <f>IF(COPY!J163&gt;0,COPY!J163,"")</f>
        <v>4</v>
      </c>
      <c r="G165" s="85" t="str">
        <f>IF(COPY!H163&gt;0,COPY!H163,"")</f>
        <v>Ljr</v>
      </c>
      <c r="H165" s="85">
        <f>IF(COPY!I163&gt;0,COPY!I163,"")</f>
        <v>200000</v>
      </c>
      <c r="I165" s="85">
        <f>IF(COPY!M163&gt;0,COPY!M163,"")</f>
        <v>800000</v>
      </c>
      <c r="J165" s="85" t="str">
        <f>IF(COPY!N163&gt;0,COPY!N163,"")</f>
        <v/>
      </c>
      <c r="K165" s="86" t="str">
        <f>IF(N165=0,(IF(LEFT(Table13[[#This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Row],[URAIAN]],$U$194:$V$210,2,FALSE),""),""),0))))),N165)</f>
        <v/>
      </c>
      <c r="L165" s="85" t="str">
        <f>IF(Table13[[#This Row],[Column2]]="KWITANSI",COUNTIF($K$4:K165,"KWITANSI")," ")</f>
        <v xml:space="preserve"> </v>
      </c>
      <c r="M165" s="85" t="str">
        <f>IF(Table13[[#This Row],[Column3]]=" "," ",Table13[[#This Row],[CODE]])</f>
        <v xml:space="preserve"> </v>
      </c>
      <c r="N165" s="368"/>
      <c r="P165" s="81" t="str">
        <f t="shared" si="2"/>
        <v/>
      </c>
    </row>
    <row r="166" spans="1:16" x14ac:dyDescent="0.15">
      <c r="A166" s="81" t="str">
        <f>COPY!O164</f>
        <v>BKK.50</v>
      </c>
      <c r="B166" s="81">
        <f>COPY!C164</f>
        <v>2</v>
      </c>
      <c r="C166" s="82">
        <f>COPY!D164</f>
        <v>45951</v>
      </c>
      <c r="D166" s="81" t="str">
        <f>IF(Table13[[#This Row],[JUMLAH]]&gt;1,(IF(Table13[[#This Row],[CODE]]=" ",D165&amp;"a",IF(Table13[[#This Row],[CODE]]&gt;0,Table13[[#This Row],[CODE]],0))),"")</f>
        <v>BKK.50</v>
      </c>
      <c r="E166" s="81" t="str">
        <f>IF(COPY!G164&gt;0,COPY!G164,"")</f>
        <v>Stang Silent Plat</v>
      </c>
      <c r="F166" s="88">
        <f>IF(COPY!J164&gt;0,COPY!J164,"")</f>
        <v>1</v>
      </c>
      <c r="G166" s="85" t="str">
        <f>IF(COPY!H164&gt;0,COPY!H164,"")</f>
        <v>Pcs</v>
      </c>
      <c r="H166" s="85">
        <f>IF(COPY!I164&gt;0,COPY!I164,"")</f>
        <v>30000</v>
      </c>
      <c r="I166" s="85">
        <f>IF(COPY!M164&gt;0,COPY!M164,"")</f>
        <v>30000</v>
      </c>
      <c r="J166" s="85">
        <f>IF(COPY!N164&gt;0,COPY!N164,"")</f>
        <v>1682000</v>
      </c>
      <c r="K166" s="86">
        <f>IF(N166=0,(IF(LEFT(Table13[[#This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Row],[URAIAN]],$U$194:$V$210,2,FALSE),""),""),0))))),N166)</f>
        <v>0</v>
      </c>
      <c r="L166" s="85" t="str">
        <f>IF(Table13[[#This Row],[Column2]]="KWITANSI",COUNTIF($K$4:K166,"KWITANSI")," ")</f>
        <v xml:space="preserve"> </v>
      </c>
      <c r="M166" s="85" t="str">
        <f>IF(Table13[[#This Row],[Column3]]=" "," ",Table13[[#This Row],[CODE]])</f>
        <v xml:space="preserve"> </v>
      </c>
      <c r="N166" s="368"/>
      <c r="P166" s="81" t="str">
        <f t="shared" si="2"/>
        <v/>
      </c>
    </row>
    <row r="167" spans="1:16" x14ac:dyDescent="0.15">
      <c r="A167" s="81" t="str">
        <f>COPY!O165</f>
        <v/>
      </c>
      <c r="B167" s="81">
        <f>COPY!C165</f>
        <v>2</v>
      </c>
      <c r="C167" s="82" t="str">
        <f>COPY!D165</f>
        <v/>
      </c>
      <c r="D167" s="81" t="str">
        <f>IF(Table13[[#This Row],[JUMLAH]]&gt;1,(IF(Table13[[#This Row],[CODE]]=" ",D166&amp;"a",IF(Table13[[#This Row],[CODE]]&gt;0,Table13[[#This Row],[CODE]],0))),"")</f>
        <v/>
      </c>
      <c r="E167" s="81" t="str">
        <f>IF(COPY!G165&gt;0,COPY!G165,"")</f>
        <v>Spigot Indal</v>
      </c>
      <c r="F167" s="88">
        <f>IF(COPY!J165&gt;0,COPY!J165,"")</f>
        <v>2</v>
      </c>
      <c r="G167" s="85" t="str">
        <f>IF(COPY!H165&gt;0,COPY!H165,"")</f>
        <v>Ljr</v>
      </c>
      <c r="H167" s="85">
        <f>IF(COPY!I165&gt;0,COPY!I165,"")</f>
        <v>76000</v>
      </c>
      <c r="I167" s="85">
        <f>IF(COPY!M165&gt;0,COPY!M165,"")</f>
        <v>152000</v>
      </c>
      <c r="J167" s="85" t="str">
        <f>IF(COPY!N165&gt;0,COPY!N165,"")</f>
        <v/>
      </c>
      <c r="K167" s="86" t="str">
        <f>IF(N167=0,(IF(LEFT(Table13[[#This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Row],[URAIAN]],$U$194:$V$210,2,FALSE),""),""),0))))),N167)</f>
        <v/>
      </c>
      <c r="L167" s="85" t="str">
        <f>IF(Table13[[#This Row],[Column2]]="KWITANSI",COUNTIF($K$4:K167,"KWITANSI")," ")</f>
        <v xml:space="preserve"> </v>
      </c>
      <c r="M167" s="85" t="str">
        <f>IF(Table13[[#This Row],[Column3]]=" "," ",Table13[[#This Row],[CODE]])</f>
        <v xml:space="preserve"> </v>
      </c>
      <c r="N167" s="368"/>
      <c r="P167" s="81" t="str">
        <f t="shared" si="2"/>
        <v/>
      </c>
    </row>
    <row r="168" spans="1:16" x14ac:dyDescent="0.15">
      <c r="A168" s="81" t="str">
        <f>COPY!O166</f>
        <v/>
      </c>
      <c r="B168" s="81">
        <f>COPY!C166</f>
        <v>2</v>
      </c>
      <c r="C168" s="82" t="str">
        <f>COPY!D166</f>
        <v/>
      </c>
      <c r="D168" s="81" t="str">
        <f>IF(Table13[[#This Row],[JUMLAH]]&gt;1,(IF(Table13[[#This Row],[CODE]]=" ",D167&amp;"a",IF(Table13[[#This Row],[CODE]]&gt;0,Table13[[#This Row],[CODE]],0))),"")</f>
        <v/>
      </c>
      <c r="E168" s="81" t="str">
        <f>IF(COPY!G166&gt;0,COPY!G166,"")</f>
        <v>Tiang Engsel Pintu Lipat 8cm Alumunium</v>
      </c>
      <c r="F168" s="88">
        <f>IF(COPY!J166&gt;0,COPY!J166,"")</f>
        <v>4</v>
      </c>
      <c r="G168" s="85" t="str">
        <f>IF(COPY!H166&gt;0,COPY!H166,"")</f>
        <v>Ljr</v>
      </c>
      <c r="H168" s="85">
        <f>IF(COPY!I166&gt;0,COPY!I166,"")</f>
        <v>375000</v>
      </c>
      <c r="I168" s="85">
        <f>IF(COPY!M166&gt;0,COPY!M166,"")</f>
        <v>1500000</v>
      </c>
      <c r="J168" s="85" t="str">
        <f>IF(COPY!N166&gt;0,COPY!N166,"")</f>
        <v/>
      </c>
      <c r="K168" s="86" t="str">
        <f>IF(N168=0,(IF(LEFT(Table13[[#This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Row],[URAIAN]],$U$194:$V$210,2,FALSE),""),""),0))))),N168)</f>
        <v/>
      </c>
      <c r="L168" s="85" t="str">
        <f>IF(Table13[[#This Row],[Column2]]="KWITANSI",COUNTIF($K$4:K168,"KWITANSI")," ")</f>
        <v xml:space="preserve"> </v>
      </c>
      <c r="M168" s="85" t="str">
        <f>IF(Table13[[#This Row],[Column3]]=" "," ",Table13[[#This Row],[CODE]])</f>
        <v xml:space="preserve"> </v>
      </c>
      <c r="N168" s="368"/>
      <c r="P168" s="81" t="str">
        <f t="shared" si="2"/>
        <v/>
      </c>
    </row>
    <row r="169" spans="1:16" x14ac:dyDescent="0.15">
      <c r="A169" s="81" t="str">
        <f>COPY!O167</f>
        <v>BKK.51</v>
      </c>
      <c r="B169" s="81">
        <f>COPY!C167</f>
        <v>2</v>
      </c>
      <c r="C169" s="82">
        <f>COPY!D167</f>
        <v>45952</v>
      </c>
      <c r="D169" s="81" t="str">
        <f>IF(Table13[[#This Row],[JUMLAH]]&gt;1,(IF(Table13[[#This Row],[CODE]]=" ",D168&amp;"a",IF(Table13[[#This Row],[CODE]]&gt;0,Table13[[#This Row],[CODE]],0))),"")</f>
        <v>BKK.51</v>
      </c>
      <c r="E169" s="81" t="str">
        <f>IF(COPY!G167&gt;0,COPY!G167,"")</f>
        <v>Alumunium Profil C 3"</v>
      </c>
      <c r="F169" s="88">
        <f>IF(COPY!J167&gt;0,COPY!J167,"")</f>
        <v>2</v>
      </c>
      <c r="G169" s="85" t="str">
        <f>IF(COPY!H167&gt;0,COPY!H167,"")</f>
        <v>Ljr</v>
      </c>
      <c r="H169" s="85">
        <f>IF(COPY!I167&gt;0,COPY!I167,"")</f>
        <v>200000</v>
      </c>
      <c r="I169" s="85">
        <f>IF(COPY!M167&gt;0,COPY!M167,"")</f>
        <v>400000</v>
      </c>
      <c r="J169" s="85">
        <f>IF(COPY!N167&gt;0,COPY!N167,"")</f>
        <v>1680000</v>
      </c>
      <c r="K169" s="86">
        <f>IF(N169=0,(IF(LEFT(Table13[[#This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Row],[URAIAN]],$U$194:$V$210,2,FALSE),""),""),0))))),N169)</f>
        <v>0</v>
      </c>
      <c r="L169" s="85" t="str">
        <f>IF(Table13[[#This Row],[Column2]]="KWITANSI",COUNTIF($K$4:K169,"KWITANSI")," ")</f>
        <v xml:space="preserve"> </v>
      </c>
      <c r="M169" s="85" t="str">
        <f>IF(Table13[[#This Row],[Column3]]=" "," ",Table13[[#This Row],[CODE]])</f>
        <v xml:space="preserve"> </v>
      </c>
      <c r="N169" s="368"/>
      <c r="P169" s="81" t="str">
        <f t="shared" si="2"/>
        <v/>
      </c>
    </row>
    <row r="170" spans="1:16" x14ac:dyDescent="0.15">
      <c r="A170" s="81" t="str">
        <f>COPY!O168</f>
        <v/>
      </c>
      <c r="B170" s="81">
        <f>COPY!C168</f>
        <v>2</v>
      </c>
      <c r="C170" s="82" t="str">
        <f>COPY!D168</f>
        <v/>
      </c>
      <c r="D170" s="81" t="str">
        <f>IF(Table13[[#This Row],[JUMLAH]]&gt;1,(IF(Table13[[#This Row],[CODE]]=" ",D169&amp;"a",IF(Table13[[#This Row],[CODE]]&gt;0,Table13[[#This Row],[CODE]],0))),"")</f>
        <v/>
      </c>
      <c r="E170" s="81" t="str">
        <f>IF(COPY!G168&gt;0,COPY!G168,"")</f>
        <v>ACP motif</v>
      </c>
      <c r="F170" s="88">
        <f>IF(COPY!J168&gt;0,COPY!J168,"")</f>
        <v>4</v>
      </c>
      <c r="G170" s="85" t="str">
        <f>IF(COPY!H168&gt;0,COPY!H168,"")</f>
        <v>Lbr</v>
      </c>
      <c r="H170" s="85">
        <f>IF(COPY!I168&gt;0,COPY!I168,"")</f>
        <v>250000</v>
      </c>
      <c r="I170" s="85">
        <f>IF(COPY!M168&gt;0,COPY!M168,"")</f>
        <v>1000000</v>
      </c>
      <c r="J170" s="85" t="str">
        <f>IF(COPY!N168&gt;0,COPY!N168,"")</f>
        <v/>
      </c>
      <c r="K170" s="86" t="str">
        <f>IF(N170=0,(IF(LEFT(Table13[[#This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Row],[URAIAN]],$U$194:$V$210,2,FALSE),""),""),0))))),N170)</f>
        <v/>
      </c>
      <c r="L170" s="85" t="str">
        <f>IF(Table13[[#This Row],[Column2]]="KWITANSI",COUNTIF($K$4:K170,"KWITANSI")," ")</f>
        <v xml:space="preserve"> </v>
      </c>
      <c r="M170" s="85" t="str">
        <f>IF(Table13[[#This Row],[Column3]]=" "," ",Table13[[#This Row],[CODE]])</f>
        <v xml:space="preserve"> </v>
      </c>
      <c r="N170" s="368"/>
      <c r="P170" s="81" t="str">
        <f t="shared" si="2"/>
        <v/>
      </c>
    </row>
    <row r="171" spans="1:16" x14ac:dyDescent="0.15">
      <c r="A171" s="81" t="str">
        <f>COPY!O169</f>
        <v/>
      </c>
      <c r="B171" s="81">
        <f>COPY!C169</f>
        <v>2</v>
      </c>
      <c r="C171" s="82" t="str">
        <f>COPY!D169</f>
        <v/>
      </c>
      <c r="D171" s="81" t="str">
        <f>IF(Table13[[#This Row],[JUMLAH]]&gt;1,(IF(Table13[[#This Row],[CODE]]=" ",D170&amp;"a",IF(Table13[[#This Row],[CODE]]&gt;0,Table13[[#This Row],[CODE]],0))),"")</f>
        <v/>
      </c>
      <c r="E171" s="81" t="str">
        <f>IF(COPY!G169&gt;0,COPY!G169,"")</f>
        <v>Hollow Kadalan</v>
      </c>
      <c r="F171" s="88">
        <f>IF(COPY!J169&gt;0,COPY!J169,"")</f>
        <v>4</v>
      </c>
      <c r="G171" s="85" t="str">
        <f>IF(COPY!H169&gt;0,COPY!H169,"")</f>
        <v>Ljr</v>
      </c>
      <c r="H171" s="85">
        <f>IF(COPY!I169&gt;0,COPY!I169,"")</f>
        <v>70000</v>
      </c>
      <c r="I171" s="85">
        <f>IF(COPY!M169&gt;0,COPY!M169,"")</f>
        <v>280000</v>
      </c>
      <c r="J171" s="85" t="str">
        <f>IF(COPY!N169&gt;0,COPY!N169,"")</f>
        <v/>
      </c>
      <c r="K171" s="86" t="str">
        <f>IF(N171=0,(IF(LEFT(Table13[[#This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Row],[URAIAN]],$U$194:$V$210,2,FALSE),""),""),0))))),N171)</f>
        <v/>
      </c>
      <c r="L171" s="85" t="str">
        <f>IF(Table13[[#This Row],[Column2]]="KWITANSI",COUNTIF($K$4:K171,"KWITANSI")," ")</f>
        <v xml:space="preserve"> </v>
      </c>
      <c r="M171" s="85" t="str">
        <f>IF(Table13[[#This Row],[Column3]]=" "," ",Table13[[#This Row],[CODE]])</f>
        <v xml:space="preserve"> </v>
      </c>
      <c r="N171" s="368"/>
      <c r="P171" s="81" t="str">
        <f t="shared" si="2"/>
        <v/>
      </c>
    </row>
    <row r="172" spans="1:16" x14ac:dyDescent="0.15">
      <c r="A172" s="81" t="str">
        <f>COPY!O170</f>
        <v>BKK.52</v>
      </c>
      <c r="B172" s="81">
        <f>COPY!C170</f>
        <v>2</v>
      </c>
      <c r="C172" s="82">
        <f>COPY!D170</f>
        <v>45953</v>
      </c>
      <c r="D172" s="81" t="str">
        <f>IF(Table13[[#This Row],[JUMLAH]]&gt;1,(IF(Table13[[#This Row],[CODE]]=" ",D171&amp;"a",IF(Table13[[#This Row],[CODE]]&gt;0,Table13[[#This Row],[CODE]],0))),"")</f>
        <v>BKK.52</v>
      </c>
      <c r="E172" s="81" t="str">
        <f>IF(COPY!G170&gt;0,COPY!G170,"")</f>
        <v>Cat Catylac Int Lime 45120</v>
      </c>
      <c r="F172" s="88">
        <f>IF(COPY!J170&gt;0,COPY!J170,"")</f>
        <v>1</v>
      </c>
      <c r="G172" s="85" t="str">
        <f>IF(COPY!H170&gt;0,COPY!H170,"")</f>
        <v>Gln</v>
      </c>
      <c r="H172" s="85">
        <f>IF(COPY!I170&gt;0,COPY!I170,"")</f>
        <v>565000</v>
      </c>
      <c r="I172" s="85">
        <f>IF(COPY!M170&gt;0,COPY!M170,"")</f>
        <v>565000</v>
      </c>
      <c r="J172" s="85">
        <f>IF(COPY!N170&gt;0,COPY!N170,"")</f>
        <v>1326000</v>
      </c>
      <c r="K172" s="86">
        <f>IF(N172=0,(IF(LEFT(Table13[[#This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Row],[URAIAN]],$U$194:$V$210,2,FALSE),""),""),0))))),N172)</f>
        <v>0</v>
      </c>
      <c r="L172" s="85" t="str">
        <f>IF(Table13[[#This Row],[Column2]]="KWITANSI",COUNTIF($K$4:K172,"KWITANSI")," ")</f>
        <v xml:space="preserve"> </v>
      </c>
      <c r="M172" s="85" t="str">
        <f>IF(Table13[[#This Row],[Column3]]=" "," ",Table13[[#This Row],[CODE]])</f>
        <v xml:space="preserve"> </v>
      </c>
      <c r="N172" s="368"/>
      <c r="P172" s="81" t="str">
        <f t="shared" si="2"/>
        <v/>
      </c>
    </row>
    <row r="173" spans="1:16" x14ac:dyDescent="0.15">
      <c r="A173" s="81" t="str">
        <f>COPY!O171</f>
        <v/>
      </c>
      <c r="B173" s="81">
        <f>COPY!C171</f>
        <v>2</v>
      </c>
      <c r="C173" s="82" t="str">
        <f>COPY!D171</f>
        <v/>
      </c>
      <c r="D173" s="81" t="str">
        <f>IF(Table13[[#This Row],[JUMLAH]]&gt;1,(IF(Table13[[#This Row],[CODE]]=" ",D172&amp;"a",IF(Table13[[#This Row],[CODE]]&gt;0,Table13[[#This Row],[CODE]],0))),"")</f>
        <v/>
      </c>
      <c r="E173" s="81" t="str">
        <f>IF(COPY!G171&gt;0,COPY!G171,"")</f>
        <v>Handle Kotak Natural</v>
      </c>
      <c r="F173" s="88">
        <f>IF(COPY!J171&gt;0,COPY!J171,"")</f>
        <v>5</v>
      </c>
      <c r="G173" s="85" t="str">
        <f>IF(COPY!H171&gt;0,COPY!H171,"")</f>
        <v>Set</v>
      </c>
      <c r="H173" s="85">
        <f>IF(COPY!I171&gt;0,COPY!I171,"")</f>
        <v>60000</v>
      </c>
      <c r="I173" s="85">
        <f>IF(COPY!M171&gt;0,COPY!M171,"")</f>
        <v>300000</v>
      </c>
      <c r="J173" s="85" t="str">
        <f>IF(COPY!N171&gt;0,COPY!N171,"")</f>
        <v/>
      </c>
      <c r="K173" s="86" t="str">
        <f>IF(N173=0,(IF(LEFT(Table13[[#This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Row],[URAIAN]],$U$194:$V$210,2,FALSE),""),""),0))))),N173)</f>
        <v/>
      </c>
      <c r="L173" s="85" t="str">
        <f>IF(Table13[[#This Row],[Column2]]="KWITANSI",COUNTIF($K$4:K173,"KWITANSI")," ")</f>
        <v xml:space="preserve"> </v>
      </c>
      <c r="M173" s="85" t="str">
        <f>IF(Table13[[#This Row],[Column3]]=" "," ",Table13[[#This Row],[CODE]])</f>
        <v xml:space="preserve"> </v>
      </c>
      <c r="N173" s="368"/>
      <c r="P173" s="81" t="str">
        <f t="shared" si="2"/>
        <v/>
      </c>
    </row>
    <row r="174" spans="1:16" x14ac:dyDescent="0.15">
      <c r="A174" s="81" t="str">
        <f>COPY!O172</f>
        <v/>
      </c>
      <c r="B174" s="81">
        <f>COPY!C172</f>
        <v>2</v>
      </c>
      <c r="C174" s="82" t="str">
        <f>COPY!D172</f>
        <v/>
      </c>
      <c r="D174" s="81" t="str">
        <f>IF(Table13[[#This Row],[JUMLAH]]&gt;1,(IF(Table13[[#This Row],[CODE]]=" ",D173&amp;"a",IF(Table13[[#This Row],[CODE]]&gt;0,Table13[[#This Row],[CODE]],0))),"")</f>
        <v/>
      </c>
      <c r="E174" s="81" t="str">
        <f>IF(COPY!G172&gt;0,COPY!G172,"")</f>
        <v>Engsel Tebal  4"</v>
      </c>
      <c r="F174" s="88">
        <f>IF(COPY!J172&gt;0,COPY!J172,"")</f>
        <v>5</v>
      </c>
      <c r="G174" s="85" t="str">
        <f>IF(COPY!H172&gt;0,COPY!H172,"")</f>
        <v>Set</v>
      </c>
      <c r="H174" s="85">
        <f>IF(COPY!I172&gt;0,COPY!I172,"")</f>
        <v>20000</v>
      </c>
      <c r="I174" s="85">
        <f>IF(COPY!M172&gt;0,COPY!M172,"")</f>
        <v>100000</v>
      </c>
      <c r="J174" s="85" t="str">
        <f>IF(COPY!N172&gt;0,COPY!N172,"")</f>
        <v/>
      </c>
      <c r="K174" s="86" t="str">
        <f>IF(N174=0,(IF(LEFT(Table13[[#This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Row],[URAIAN]],$U$194:$V$210,2,FALSE),""),""),0))))),N174)</f>
        <v/>
      </c>
      <c r="L174" s="85" t="str">
        <f>IF(Table13[[#This Row],[Column2]]="KWITANSI",COUNTIF($K$4:K174,"KWITANSI")," ")</f>
        <v xml:space="preserve"> </v>
      </c>
      <c r="M174" s="85" t="str">
        <f>IF(Table13[[#This Row],[Column3]]=" "," ",Table13[[#This Row],[CODE]])</f>
        <v xml:space="preserve"> </v>
      </c>
      <c r="N174" s="368"/>
      <c r="P174" s="81" t="str">
        <f t="shared" si="2"/>
        <v/>
      </c>
    </row>
    <row r="175" spans="1:16" x14ac:dyDescent="0.15">
      <c r="A175" s="81" t="str">
        <f>COPY!O173</f>
        <v/>
      </c>
      <c r="B175" s="81">
        <f>COPY!C173</f>
        <v>2</v>
      </c>
      <c r="C175" s="82" t="str">
        <f>COPY!D173</f>
        <v/>
      </c>
      <c r="D175" s="81" t="str">
        <f>IF(Table13[[#This Row],[JUMLAH]]&gt;1,(IF(Table13[[#This Row],[CODE]]=" ",D174&amp;"a",IF(Table13[[#This Row],[CODE]]&gt;0,Table13[[#This Row],[CODE]],0))),"")</f>
        <v/>
      </c>
      <c r="E175" s="81" t="str">
        <f>IF(COPY!G173&gt;0,COPY!G173,"")</f>
        <v>Fisher S10</v>
      </c>
      <c r="F175" s="88">
        <f>IF(COPY!J173&gt;0,COPY!J173,"")</f>
        <v>1</v>
      </c>
      <c r="G175" s="85" t="str">
        <f>IF(COPY!H173&gt;0,COPY!H173,"")</f>
        <v>Pak</v>
      </c>
      <c r="H175" s="85">
        <f>IF(COPY!I173&gt;0,COPY!I173,"")</f>
        <v>11000</v>
      </c>
      <c r="I175" s="85">
        <f>IF(COPY!M173&gt;0,COPY!M173,"")</f>
        <v>11000</v>
      </c>
      <c r="J175" s="85" t="str">
        <f>IF(COPY!N173&gt;0,COPY!N173,"")</f>
        <v/>
      </c>
      <c r="K175" s="86" t="str">
        <f>IF(N175=0,(IF(LEFT(Table13[[#This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Row],[URAIAN]],$U$194:$V$210,2,FALSE),""),""),0))))),N175)</f>
        <v/>
      </c>
      <c r="L175" s="85" t="str">
        <f>IF(Table13[[#This Row],[Column2]]="KWITANSI",COUNTIF($K$4:K175,"KWITANSI")," ")</f>
        <v xml:space="preserve"> </v>
      </c>
      <c r="M175" s="85" t="str">
        <f>IF(Table13[[#This Row],[Column3]]=" "," ",Table13[[#This Row],[CODE]])</f>
        <v xml:space="preserve"> </v>
      </c>
      <c r="N175" s="368"/>
      <c r="P175" s="81" t="str">
        <f t="shared" si="2"/>
        <v/>
      </c>
    </row>
    <row r="176" spans="1:16" x14ac:dyDescent="0.15">
      <c r="A176" s="81" t="str">
        <f>COPY!O174</f>
        <v/>
      </c>
      <c r="B176" s="81">
        <f>COPY!C174</f>
        <v>2</v>
      </c>
      <c r="C176" s="82" t="str">
        <f>COPY!D174</f>
        <v/>
      </c>
      <c r="D176" s="81" t="str">
        <f>IF(Table13[[#This Row],[JUMLAH]]&gt;1,(IF(Table13[[#This Row],[CODE]]=" ",D175&amp;"a",IF(Table13[[#This Row],[CODE]]&gt;0,Table13[[#This Row],[CODE]],0))),"")</f>
        <v/>
      </c>
      <c r="E176" s="81" t="str">
        <f>IF(COPY!G174&gt;0,COPY!G174,"")</f>
        <v>Silen Clear Netral</v>
      </c>
      <c r="F176" s="88">
        <f>IF(COPY!J174&gt;0,COPY!J174,"")</f>
        <v>10</v>
      </c>
      <c r="G176" s="85" t="str">
        <f>IF(COPY!H174&gt;0,COPY!H174,"")</f>
        <v>Pcs</v>
      </c>
      <c r="H176" s="85">
        <f>IF(COPY!I174&gt;0,COPY!I174,"")</f>
        <v>35000</v>
      </c>
      <c r="I176" s="85">
        <f>IF(COPY!M174&gt;0,COPY!M174,"")</f>
        <v>350000</v>
      </c>
      <c r="J176" s="85" t="str">
        <f>IF(COPY!N174&gt;0,COPY!N174,"")</f>
        <v/>
      </c>
      <c r="K176" s="86" t="str">
        <f>IF(N176=0,(IF(LEFT(Table13[[#This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Row],[URAIAN]],$U$194:$V$210,2,FALSE),""),""),0))))),N176)</f>
        <v/>
      </c>
      <c r="L176" s="85" t="str">
        <f>IF(Table13[[#This Row],[Column2]]="KWITANSI",COUNTIF($K$4:K176,"KWITANSI")," ")</f>
        <v xml:space="preserve"> </v>
      </c>
      <c r="M176" s="85" t="str">
        <f>IF(Table13[[#This Row],[Column3]]=" "," ",Table13[[#This Row],[CODE]])</f>
        <v xml:space="preserve"> </v>
      </c>
      <c r="N176" s="368"/>
      <c r="P176" s="81" t="str">
        <f t="shared" si="2"/>
        <v/>
      </c>
    </row>
    <row r="177" spans="1:16" x14ac:dyDescent="0.15">
      <c r="A177" s="81" t="str">
        <f>COPY!O175</f>
        <v>BKK.53</v>
      </c>
      <c r="B177" s="81">
        <f>COPY!C175</f>
        <v>2</v>
      </c>
      <c r="C177" s="82">
        <f>COPY!D175</f>
        <v>45954</v>
      </c>
      <c r="D177" s="81" t="str">
        <f>IF(Table13[[#This Row],[JUMLAH]]&gt;1,(IF(Table13[[#This Row],[CODE]]=" ",D176&amp;"a",IF(Table13[[#This Row],[CODE]]&gt;0,Table13[[#This Row],[CODE]],0))),"")</f>
        <v>BKK.53</v>
      </c>
      <c r="E177" s="81" t="str">
        <f>IF(COPY!G175&gt;0,COPY!G175,"")</f>
        <v>Urinoir Komplit Volk</v>
      </c>
      <c r="F177" s="88">
        <f>IF(COPY!J175&gt;0,COPY!J175,"")</f>
        <v>2</v>
      </c>
      <c r="G177" s="85" t="str">
        <f>IF(COPY!H175&gt;0,COPY!H175,"")</f>
        <v>Unit</v>
      </c>
      <c r="H177" s="85">
        <f>IF(COPY!I175&gt;0,COPY!I175,"")</f>
        <v>750000</v>
      </c>
      <c r="I177" s="85">
        <f>IF(COPY!M175&gt;0,COPY!M175,"")</f>
        <v>1500000</v>
      </c>
      <c r="J177" s="85">
        <f>IF(COPY!N175&gt;0,COPY!N175,"")</f>
        <v>2070000</v>
      </c>
      <c r="K177" s="86" t="str">
        <f>IF(N177=0,(IF(LEFT(Table13[[#This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Row],[URAIAN]],$U$194:$V$210,2,FALSE),""),""),0))))),N177)</f>
        <v/>
      </c>
      <c r="L177" s="85" t="str">
        <f>IF(Table13[[#This Row],[Column2]]="KWITANSI",COUNTIF($K$4:K177,"KWITANSI")," ")</f>
        <v xml:space="preserve"> </v>
      </c>
      <c r="M177" s="85" t="str">
        <f>IF(Table13[[#This Row],[Column3]]=" "," ",Table13[[#This Row],[CODE]])</f>
        <v xml:space="preserve"> </v>
      </c>
      <c r="N177" s="368"/>
      <c r="P177" s="81" t="str">
        <f t="shared" si="2"/>
        <v/>
      </c>
    </row>
    <row r="178" spans="1:16" x14ac:dyDescent="0.15">
      <c r="A178" s="81" t="str">
        <f>COPY!O176</f>
        <v/>
      </c>
      <c r="B178" s="81">
        <f>COPY!C176</f>
        <v>2</v>
      </c>
      <c r="C178" s="82" t="str">
        <f>COPY!D176</f>
        <v/>
      </c>
      <c r="D178" s="81" t="str">
        <f>IF(Table13[[#This Row],[JUMLAH]]&gt;1,(IF(Table13[[#This Row],[CODE]]=" ",D177&amp;"a",IF(Table13[[#This Row],[CODE]]&gt;0,Table13[[#This Row],[CODE]],0))),"")</f>
        <v/>
      </c>
      <c r="E178" s="81" t="str">
        <f>IF(COPY!G176&gt;0,COPY!G176,"")</f>
        <v>Tandon Air Penyu 320L Biru</v>
      </c>
      <c r="F178" s="88">
        <f>IF(COPY!J176&gt;0,COPY!J176,"")</f>
        <v>1</v>
      </c>
      <c r="G178" s="85" t="str">
        <f>IF(COPY!H176&gt;0,COPY!H176,"")</f>
        <v>Unit</v>
      </c>
      <c r="H178" s="85">
        <f>IF(COPY!I176&gt;0,COPY!I176,"")</f>
        <v>570000</v>
      </c>
      <c r="I178" s="85">
        <f>IF(COPY!M176&gt;0,COPY!M176,"")</f>
        <v>570000</v>
      </c>
      <c r="J178" s="85" t="str">
        <f>IF(COPY!N176&gt;0,COPY!N176,"")</f>
        <v/>
      </c>
      <c r="K178" s="86" t="str">
        <f>IF(N178=0,(IF(LEFT(Table13[[#This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Row],[URAIAN]],$U$194:$V$210,2,FALSE),""),""),0))))),N178)</f>
        <v/>
      </c>
      <c r="L178" s="85" t="str">
        <f>IF(Table13[[#This Row],[Column2]]="KWITANSI",COUNTIF($K$4:K178,"KWITANSI")," ")</f>
        <v xml:space="preserve"> </v>
      </c>
      <c r="M178" s="85" t="str">
        <f>IF(Table13[[#This Row],[Column3]]=" "," ",Table13[[#This Row],[CODE]])</f>
        <v xml:space="preserve"> </v>
      </c>
      <c r="N178" s="368"/>
      <c r="P178" s="81" t="str">
        <f t="shared" si="2"/>
        <v/>
      </c>
    </row>
    <row r="179" spans="1:16" x14ac:dyDescent="0.15">
      <c r="A179" s="81" t="str">
        <f>COPY!O177</f>
        <v>BKK.54</v>
      </c>
      <c r="B179" s="81">
        <f>COPY!C177</f>
        <v>2</v>
      </c>
      <c r="C179" s="82">
        <f>COPY!D177</f>
        <v>45955</v>
      </c>
      <c r="D179" s="81" t="str">
        <f>IF(Table13[[#This Row],[JUMLAH]]&gt;1,(IF(Table13[[#This Row],[CODE]]=" ",D178&amp;"a",IF(Table13[[#This Row],[CODE]]&gt;0,Table13[[#This Row],[CODE]],0))),"")</f>
        <v>BKK.54</v>
      </c>
      <c r="E179" s="81" t="str">
        <f>IF(COPY!G177&gt;0,COPY!G177,"")</f>
        <v>Kran Alinco 1/2" Kuningan</v>
      </c>
      <c r="F179" s="88">
        <f>IF(COPY!J177&gt;0,COPY!J177,"")</f>
        <v>6</v>
      </c>
      <c r="G179" s="85" t="str">
        <f>IF(COPY!H177&gt;0,COPY!H177,"")</f>
        <v>Pcs</v>
      </c>
      <c r="H179" s="85">
        <f>IF(COPY!I177&gt;0,COPY!I177,"")</f>
        <v>60000</v>
      </c>
      <c r="I179" s="85">
        <f>IF(COPY!M177&gt;0,COPY!M177,"")</f>
        <v>360000</v>
      </c>
      <c r="J179" s="85">
        <f>IF(COPY!N177&gt;0,COPY!N177,"")</f>
        <v>2235000</v>
      </c>
      <c r="K179" s="86" t="str">
        <f>IF(N179=0,(IF(LEFT(Table13[[#This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Row],[URAIAN]],$U$194:$V$210,2,FALSE),""),""),0))))),N179)</f>
        <v/>
      </c>
      <c r="L179" s="85" t="str">
        <f>IF(Table13[[#This Row],[Column2]]="KWITANSI",COUNTIF($K$4:K179,"KWITANSI")," ")</f>
        <v xml:space="preserve"> </v>
      </c>
      <c r="M179" s="85" t="str">
        <f>IF(Table13[[#This Row],[Column3]]=" "," ",Table13[[#This Row],[CODE]])</f>
        <v xml:space="preserve"> </v>
      </c>
      <c r="N179" s="368"/>
      <c r="P179" s="81" t="str">
        <f t="shared" si="2"/>
        <v/>
      </c>
    </row>
    <row r="180" spans="1:16" x14ac:dyDescent="0.15">
      <c r="A180" s="81" t="str">
        <f>COPY!O178</f>
        <v/>
      </c>
      <c r="B180" s="81">
        <f>COPY!C178</f>
        <v>2</v>
      </c>
      <c r="C180" s="82" t="str">
        <f>COPY!D178</f>
        <v/>
      </c>
      <c r="D180" s="81" t="str">
        <f>IF(Table13[[#This Row],[JUMLAH]]&gt;1,(IF(Table13[[#This Row],[CODE]]=" ",D179&amp;"a",IF(Table13[[#This Row],[CODE]]&gt;0,Table13[[#This Row],[CODE]],0))),"")</f>
        <v/>
      </c>
      <c r="E180" s="81" t="str">
        <f>IF(COPY!G178&gt;0,COPY!G178,"")</f>
        <v>Tba Imokito 12Mm X 10Mm</v>
      </c>
      <c r="F180" s="88">
        <f>IF(COPY!J178&gt;0,COPY!J178,"")</f>
        <v>5</v>
      </c>
      <c r="G180" s="85" t="str">
        <f>IF(COPY!H178&gt;0,COPY!H178,"")</f>
        <v>Pcs</v>
      </c>
      <c r="H180" s="85">
        <f>IF(COPY!I178&gt;0,COPY!I178,"")</f>
        <v>4000</v>
      </c>
      <c r="I180" s="85">
        <f>IF(COPY!M178&gt;0,COPY!M178,"")</f>
        <v>20000</v>
      </c>
      <c r="J180" s="85" t="str">
        <f>IF(COPY!N178&gt;0,COPY!N178,"")</f>
        <v/>
      </c>
      <c r="K180" s="86" t="str">
        <f>IF(N180=0,(IF(LEFT(Table13[[#This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Row],[URAIAN]],$U$194:$V$210,2,FALSE),""),""),0))))),N180)</f>
        <v/>
      </c>
      <c r="L180" s="85" t="str">
        <f>IF(Table13[[#This Row],[Column2]]="KWITANSI",COUNTIF($K$4:K180,"KWITANSI")," ")</f>
        <v xml:space="preserve"> </v>
      </c>
      <c r="M180" s="85" t="str">
        <f>IF(Table13[[#This Row],[Column3]]=" "," ",Table13[[#This Row],[CODE]])</f>
        <v xml:space="preserve"> </v>
      </c>
      <c r="N180" s="368"/>
      <c r="P180" s="81" t="str">
        <f t="shared" si="2"/>
        <v/>
      </c>
    </row>
    <row r="181" spans="1:16" x14ac:dyDescent="0.15">
      <c r="A181" s="81" t="str">
        <f>COPY!O179</f>
        <v/>
      </c>
      <c r="B181" s="81">
        <f>COPY!C179</f>
        <v>2</v>
      </c>
      <c r="C181" s="82" t="str">
        <f>COPY!D179</f>
        <v/>
      </c>
      <c r="D181" s="81" t="str">
        <f>IF(Table13[[#This Row],[JUMLAH]]&gt;1,(IF(Table13[[#This Row],[CODE]]=" ",D180&amp;"a",IF(Table13[[#This Row],[CODE]]&gt;0,Table13[[#This Row],[CODE]],0))),"")</f>
        <v/>
      </c>
      <c r="E181" s="81" t="str">
        <f>IF(COPY!G179&gt;0,COPY!G179,"")</f>
        <v>Kloset Ivory Emerald</v>
      </c>
      <c r="F181" s="88">
        <f>IF(COPY!J179&gt;0,COPY!J179,"")</f>
        <v>3</v>
      </c>
      <c r="G181" s="85" t="str">
        <f>IF(COPY!H179&gt;0,COPY!H179,"")</f>
        <v>Pcs</v>
      </c>
      <c r="H181" s="85">
        <f>IF(COPY!I179&gt;0,COPY!I179,"")</f>
        <v>185000</v>
      </c>
      <c r="I181" s="85">
        <f>IF(COPY!M179&gt;0,COPY!M179,"")</f>
        <v>555000</v>
      </c>
      <c r="J181" s="85" t="str">
        <f>IF(COPY!N179&gt;0,COPY!N179,"")</f>
        <v/>
      </c>
      <c r="K181" s="86" t="str">
        <f>IF(N181=0,(IF(LEFT(Table13[[#This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Row],[URAIAN]],$U$194:$V$210,2,FALSE),""),""),0))))),N181)</f>
        <v/>
      </c>
      <c r="L181" s="85" t="str">
        <f>IF(Table13[[#This Row],[Column2]]="KWITANSI",COUNTIF($K$4:K181,"KWITANSI")," ")</f>
        <v xml:space="preserve"> </v>
      </c>
      <c r="M181" s="85" t="str">
        <f>IF(Table13[[#This Row],[Column3]]=" "," ",Table13[[#This Row],[CODE]])</f>
        <v xml:space="preserve"> </v>
      </c>
      <c r="N181" s="368"/>
      <c r="P181" s="81" t="str">
        <f t="shared" si="2"/>
        <v/>
      </c>
    </row>
    <row r="182" spans="1:16" x14ac:dyDescent="0.15">
      <c r="A182" s="81" t="str">
        <f>COPY!O180</f>
        <v/>
      </c>
      <c r="B182" s="81">
        <f>COPY!C180</f>
        <v>2</v>
      </c>
      <c r="C182" s="82" t="str">
        <f>COPY!D180</f>
        <v/>
      </c>
      <c r="D182" s="81" t="str">
        <f>IF(Table13[[#This Row],[JUMLAH]]&gt;1,(IF(Table13[[#This Row],[CODE]]=" ",D181&amp;"a",IF(Table13[[#This Row],[CODE]]&gt;0,Table13[[#This Row],[CODE]],0))),"")</f>
        <v/>
      </c>
      <c r="E182" s="81" t="str">
        <f>IF(COPY!G180&gt;0,COPY!G180,"")</f>
        <v>Wastafel Komplit Volk</v>
      </c>
      <c r="F182" s="88">
        <f>IF(COPY!J180&gt;0,COPY!J180,"")</f>
        <v>2</v>
      </c>
      <c r="G182" s="85" t="str">
        <f>IF(COPY!H180&gt;0,COPY!H180,"")</f>
        <v>Unit</v>
      </c>
      <c r="H182" s="85">
        <f>IF(COPY!I180&gt;0,COPY!I180,"")</f>
        <v>650000</v>
      </c>
      <c r="I182" s="85">
        <f>IF(COPY!M180&gt;0,COPY!M180,"")</f>
        <v>1300000</v>
      </c>
      <c r="J182" s="85" t="str">
        <f>IF(COPY!N180&gt;0,COPY!N180,"")</f>
        <v/>
      </c>
      <c r="K182" s="86" t="str">
        <f>IF(N182=0,(IF(LEFT(Table13[[#This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Row],[URAIAN]],$U$194:$V$210,2,FALSE),""),""),0))))),N182)</f>
        <v/>
      </c>
      <c r="L182" s="85" t="str">
        <f>IF(Table13[[#This Row],[Column2]]="KWITANSI",COUNTIF($K$4:K182,"KWITANSI")," ")</f>
        <v xml:space="preserve"> </v>
      </c>
      <c r="M182" s="85" t="str">
        <f>IF(Table13[[#This Row],[Column3]]=" "," ",Table13[[#This Row],[CODE]])</f>
        <v xml:space="preserve"> </v>
      </c>
      <c r="N182" s="368"/>
      <c r="P182" s="81" t="str">
        <f t="shared" si="2"/>
        <v/>
      </c>
    </row>
    <row r="183" spans="1:16" x14ac:dyDescent="0.15">
      <c r="A183" s="81" t="str">
        <f>COPY!O181</f>
        <v>BKK.55</v>
      </c>
      <c r="B183" s="81">
        <f>COPY!C181</f>
        <v>2</v>
      </c>
      <c r="C183" s="82">
        <f>COPY!D181</f>
        <v>45955</v>
      </c>
      <c r="D183" s="81" t="str">
        <f>IF(Table13[[#This Row],[JUMLAH]]&gt;1,(IF(Table13[[#This Row],[CODE]]=" ",D182&amp;"a",IF(Table13[[#This Row],[CODE]]&gt;0,Table13[[#This Row],[CODE]],0))),"")</f>
        <v>BKK.55</v>
      </c>
      <c r="E183" s="81" t="str">
        <f>IF(COPY!G181&gt;0,COPY!G181,"")</f>
        <v>Pembayaran Pekerja Minggu Ke 8</v>
      </c>
      <c r="F183" s="88">
        <f>IF(COPY!J181&gt;0,COPY!J181,"")</f>
        <v>1</v>
      </c>
      <c r="G183" s="85" t="str">
        <f>IF(COPY!H181&gt;0,COPY!H181,"")</f>
        <v/>
      </c>
      <c r="H183" s="85">
        <f>IF(COPY!I181&gt;0,COPY!I181,"")</f>
        <v>1</v>
      </c>
      <c r="I183" s="85">
        <f>IF(COPY!M181&gt;0,COPY!M181,"")</f>
        <v>4265000</v>
      </c>
      <c r="J183" s="85">
        <f>IF(COPY!N181&gt;0,COPY!N181,"")</f>
        <v>4265000</v>
      </c>
      <c r="K183" s="86" t="str">
        <f>IF(N183=0,(IF(LEFT(Table13[[#This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Row],[URAIAN]],$U$194:$V$210,2,FALSE),""),""),0))))),N183)</f>
        <v>KWITANSI</v>
      </c>
      <c r="L183" s="85">
        <f>IF(Table13[[#This Row],[Column2]]="KWITANSI",COUNTIF($K$4:K183,"KWITANSI")," ")</f>
        <v>9</v>
      </c>
      <c r="M183" s="85" t="str">
        <f>IF(Table13[[#This Row],[Column3]]=" "," ",Table13[[#This Row],[CODE]])</f>
        <v>BKK.55</v>
      </c>
      <c r="N183" s="368"/>
      <c r="P183" s="81" t="str">
        <f t="shared" si="2"/>
        <v/>
      </c>
    </row>
    <row r="184" spans="1:16" x14ac:dyDescent="0.15">
      <c r="A184" s="81" t="str">
        <f>COPY!O182</f>
        <v>BKK.56</v>
      </c>
      <c r="B184" s="81">
        <f>COPY!C182</f>
        <v>2</v>
      </c>
      <c r="C184" s="82">
        <f>COPY!D182</f>
        <v>45961</v>
      </c>
      <c r="D184" s="81" t="str">
        <f>IF(Table13[[#This Row],[JUMLAH]]&gt;1,(IF(Table13[[#This Row],[CODE]]=" ",D183&amp;"a",IF(Table13[[#This Row],[CODE]]&gt;0,Table13[[#This Row],[CODE]],0))),"")</f>
        <v>BKK.56</v>
      </c>
      <c r="E184" s="81" t="str">
        <f>IF(COPY!G182&gt;0,COPY!G182,"")</f>
        <v>Kosumsi Rapat Peninjauan 100%</v>
      </c>
      <c r="F184" s="88">
        <f>IF(COPY!J182&gt;0,COPY!J182,"")</f>
        <v>15</v>
      </c>
      <c r="G184" s="85" t="str">
        <f>IF(COPY!H182&gt;0,COPY!H182,"")</f>
        <v>Bks</v>
      </c>
      <c r="H184" s="85">
        <f>IF(COPY!I182&gt;0,COPY!I182,"")</f>
        <v>30000</v>
      </c>
      <c r="I184" s="85">
        <f>IF(COPY!M182&gt;0,COPY!M182,"")</f>
        <v>450000</v>
      </c>
      <c r="J184" s="85">
        <f>IF(COPY!N182&gt;0,COPY!N182,"")</f>
        <v>1010000</v>
      </c>
      <c r="K184" s="86">
        <f>IF(N184=0,(IF(LEFT(Table13[[#This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Row],[URAIAN]],$U$194:$V$210,2,FALSE),""),""),0))))),N184)</f>
        <v>0</v>
      </c>
      <c r="L184" s="85" t="str">
        <f>IF(Table13[[#This Row],[Column2]]="KWITANSI",COUNTIF($K$4:K184,"KWITANSI")," ")</f>
        <v xml:space="preserve"> </v>
      </c>
      <c r="M184" s="85" t="str">
        <f>IF(Table13[[#This Row],[Column3]]=" "," ",Table13[[#This Row],[CODE]])</f>
        <v xml:space="preserve"> </v>
      </c>
      <c r="N184" s="368"/>
      <c r="P184" s="81" t="str">
        <f t="shared" si="2"/>
        <v/>
      </c>
    </row>
    <row r="185" spans="1:16" x14ac:dyDescent="0.15">
      <c r="A185" s="81" t="str">
        <f>COPY!O183</f>
        <v/>
      </c>
      <c r="B185" s="81">
        <f>COPY!C183</f>
        <v>2</v>
      </c>
      <c r="C185" s="82" t="str">
        <f>COPY!D183</f>
        <v/>
      </c>
      <c r="D185" s="81" t="str">
        <f>IF(Table13[[#This Row],[JUMLAH]]&gt;1,(IF(Table13[[#This Row],[CODE]]=" ",D184&amp;"a",IF(Table13[[#This Row],[CODE]]&gt;0,Table13[[#This Row],[CODE]],0))),"")</f>
        <v/>
      </c>
      <c r="E185" s="81" t="str">
        <f>IF(COPY!G183&gt;0,COPY!G183,"")</f>
        <v>Kertas Sidu A4 70 grm</v>
      </c>
      <c r="F185" s="88">
        <f>IF(COPY!J183&gt;0,COPY!J183,"")</f>
        <v>2</v>
      </c>
      <c r="G185" s="85" t="str">
        <f>IF(COPY!H183&gt;0,COPY!H183,"")</f>
        <v>Rim</v>
      </c>
      <c r="H185" s="85">
        <f>IF(COPY!I183&gt;0,COPY!I183,"")</f>
        <v>50000</v>
      </c>
      <c r="I185" s="85">
        <f>IF(COPY!M183&gt;0,COPY!M183,"")</f>
        <v>100000</v>
      </c>
      <c r="J185" s="85" t="str">
        <f>IF(COPY!N183&gt;0,COPY!N183,"")</f>
        <v/>
      </c>
      <c r="K185" s="86" t="str">
        <f>IF(N185=0,(IF(LEFT(Table13[[#This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Row],[URAIAN]],$U$194:$V$210,2,FALSE),""),""),0))))),N185)</f>
        <v/>
      </c>
      <c r="L185" s="85" t="str">
        <f>IF(Table13[[#This Row],[Column2]]="KWITANSI",COUNTIF($K$4:K185,"KWITANSI")," ")</f>
        <v xml:space="preserve"> </v>
      </c>
      <c r="M185" s="85" t="str">
        <f>IF(Table13[[#This Row],[Column3]]=" "," ",Table13[[#This Row],[CODE]])</f>
        <v xml:space="preserve"> </v>
      </c>
      <c r="N185" s="368"/>
      <c r="P185" s="81" t="str">
        <f t="shared" si="2"/>
        <v/>
      </c>
    </row>
    <row r="186" spans="1:16" x14ac:dyDescent="0.15">
      <c r="A186" s="81" t="str">
        <f>COPY!O184</f>
        <v/>
      </c>
      <c r="B186" s="81">
        <f>COPY!C184</f>
        <v>2</v>
      </c>
      <c r="C186" s="82" t="str">
        <f>COPY!D184</f>
        <v/>
      </c>
      <c r="D186" s="81" t="str">
        <f>IF(Table13[[#This Row],[JUMLAH]]&gt;1,(IF(Table13[[#This Row],[CODE]]=" ",D185&amp;"a",IF(Table13[[#This Row],[CODE]]&gt;0,Table13[[#This Row],[CODE]],0))),"")</f>
        <v/>
      </c>
      <c r="E186" s="81" t="str">
        <f>IF(COPY!G184&gt;0,COPY!G184,"")</f>
        <v>Tinta Printer</v>
      </c>
      <c r="F186" s="88">
        <f>IF(COPY!J184&gt;0,COPY!J184,"")</f>
        <v>1</v>
      </c>
      <c r="G186" s="85" t="str">
        <f>IF(COPY!H184&gt;0,COPY!H184,"")</f>
        <v>Pcs</v>
      </c>
      <c r="H186" s="85">
        <f>IF(COPY!I184&gt;0,COPY!I184,"")</f>
        <v>100000</v>
      </c>
      <c r="I186" s="85">
        <f>IF(COPY!M184&gt;0,COPY!M184,"")</f>
        <v>100000</v>
      </c>
      <c r="J186" s="85" t="str">
        <f>IF(COPY!N184&gt;0,COPY!N184,"")</f>
        <v/>
      </c>
      <c r="K186" s="86" t="str">
        <f>IF(N186=0,(IF(LEFT(Table13[[#This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Row],[URAIAN]],$U$194:$V$210,2,FALSE),""),""),0))))),N186)</f>
        <v/>
      </c>
      <c r="L186" s="85" t="str">
        <f>IF(Table13[[#This Row],[Column2]]="KWITANSI",COUNTIF($K$4:K186,"KWITANSI")," ")</f>
        <v xml:space="preserve"> </v>
      </c>
      <c r="M186" s="85" t="str">
        <f>IF(Table13[[#This Row],[Column3]]=" "," ",Table13[[#This Row],[CODE]])</f>
        <v xml:space="preserve"> </v>
      </c>
      <c r="N186" s="368"/>
      <c r="P186" s="81" t="str">
        <f t="shared" si="2"/>
        <v/>
      </c>
    </row>
    <row r="187" spans="1:16" x14ac:dyDescent="0.15">
      <c r="A187" s="81" t="str">
        <f>COPY!O185</f>
        <v/>
      </c>
      <c r="B187" s="81">
        <f>COPY!C185</f>
        <v>2</v>
      </c>
      <c r="C187" s="82" t="str">
        <f>COPY!D185</f>
        <v/>
      </c>
      <c r="D187" s="81" t="str">
        <f>IF(Table13[[#This Row],[JUMLAH]]&gt;1,(IF(Table13[[#This Row],[CODE]]=" ",D186&amp;"a",IF(Table13[[#This Row],[CODE]]&gt;0,Table13[[#This Row],[CODE]],0))),"")</f>
        <v/>
      </c>
      <c r="E187" s="81" t="str">
        <f>IF(COPY!G185&gt;0,COPY!G185,"")</f>
        <v>Materai 10000</v>
      </c>
      <c r="F187" s="88">
        <f>IF(COPY!J185&gt;0,COPY!J185,"")</f>
        <v>10</v>
      </c>
      <c r="G187" s="85" t="str">
        <f>IF(COPY!H185&gt;0,COPY!H185,"")</f>
        <v>Pcs</v>
      </c>
      <c r="H187" s="85">
        <f>IF(COPY!I185&gt;0,COPY!I185,"")</f>
        <v>12000</v>
      </c>
      <c r="I187" s="85">
        <f>IF(COPY!M185&gt;0,COPY!M185,"")</f>
        <v>120000</v>
      </c>
      <c r="J187" s="85" t="str">
        <f>IF(COPY!N185&gt;0,COPY!N185,"")</f>
        <v/>
      </c>
      <c r="K187" s="86" t="str">
        <f>IF(N187=0,(IF(LEFT(Table13[[#This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Row],[URAIAN]],$U$194:$V$210,2,FALSE),""),""),0))))),N187)</f>
        <v/>
      </c>
      <c r="L187" s="85" t="str">
        <f>IF(Table13[[#This Row],[Column2]]="KWITANSI",COUNTIF($K$4:K187,"KWITANSI")," ")</f>
        <v xml:space="preserve"> </v>
      </c>
      <c r="M187" s="85" t="str">
        <f>IF(Table13[[#This Row],[Column3]]=" "," ",Table13[[#This Row],[CODE]])</f>
        <v xml:space="preserve"> </v>
      </c>
      <c r="N187" s="368"/>
      <c r="P187" s="81" t="str">
        <f t="shared" si="2"/>
        <v/>
      </c>
    </row>
    <row r="188" spans="1:16" x14ac:dyDescent="0.15">
      <c r="A188" s="81" t="str">
        <f>COPY!O186</f>
        <v/>
      </c>
      <c r="B188" s="81">
        <f>COPY!C186</f>
        <v>2</v>
      </c>
      <c r="C188" s="82" t="str">
        <f>COPY!D186</f>
        <v/>
      </c>
      <c r="D188" s="81" t="str">
        <f>IF(Table13[[#This Row],[JUMLAH]]&gt;1,(IF(Table13[[#This Row],[CODE]]=" ",D187&amp;"a",IF(Table13[[#This Row],[CODE]]&gt;0,Table13[[#This Row],[CODE]],0))),"")</f>
        <v/>
      </c>
      <c r="E188" s="81" t="str">
        <f>IF(COPY!G186&gt;0,COPY!G186,"")</f>
        <v>Foto Copy</v>
      </c>
      <c r="F188" s="88">
        <f>IF(COPY!J186&gt;0,COPY!J186,"")</f>
        <v>2</v>
      </c>
      <c r="G188" s="85" t="str">
        <f>IF(COPY!H186&gt;0,COPY!H186,"")</f>
        <v>Buku</v>
      </c>
      <c r="H188" s="85">
        <f>IF(COPY!I186&gt;0,COPY!I186,"")</f>
        <v>50000</v>
      </c>
      <c r="I188" s="85">
        <f>IF(COPY!M186&gt;0,COPY!M186,"")</f>
        <v>100000</v>
      </c>
      <c r="J188" s="85" t="str">
        <f>IF(COPY!N186&gt;0,COPY!N186,"")</f>
        <v/>
      </c>
      <c r="K188" s="86" t="str">
        <f>IF(N188=0,(IF(LEFT(Table13[[#This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Row],[URAIAN]],$U$194:$V$210,2,FALSE),""),""),0))))),N188)</f>
        <v/>
      </c>
      <c r="L188" s="85" t="str">
        <f>IF(Table13[[#This Row],[Column2]]="KWITANSI",COUNTIF($K$4:K188,"KWITANSI")," ")</f>
        <v xml:space="preserve"> </v>
      </c>
      <c r="M188" s="85" t="str">
        <f>IF(Table13[[#This Row],[Column3]]=" "," ",Table13[[#This Row],[CODE]])</f>
        <v xml:space="preserve"> </v>
      </c>
      <c r="N188" s="368"/>
      <c r="P188" s="81" t="str">
        <f t="shared" si="2"/>
        <v/>
      </c>
    </row>
    <row r="189" spans="1:16" x14ac:dyDescent="0.15">
      <c r="A189" s="81" t="str">
        <f>COPY!O187</f>
        <v/>
      </c>
      <c r="B189" s="81">
        <f>COPY!C187</f>
        <v>2</v>
      </c>
      <c r="C189" s="82" t="str">
        <f>COPY!D187</f>
        <v/>
      </c>
      <c r="D189" s="81" t="str">
        <f>IF(Table13[[#This Row],[JUMLAH]]&gt;1,(IF(Table13[[#This Row],[CODE]]=" ",D188&amp;"a",IF(Table13[[#This Row],[CODE]]&gt;0,Table13[[#This Row],[CODE]],0))),"")</f>
        <v/>
      </c>
      <c r="E189" s="81" t="str">
        <f>IF(COPY!G187&gt;0,COPY!G187,"")</f>
        <v>Biaya Perjalanan Lain</v>
      </c>
      <c r="F189" s="88">
        <f>IF(COPY!J187&gt;0,COPY!J187,"")</f>
        <v>1</v>
      </c>
      <c r="G189" s="85" t="str">
        <f>IF(COPY!H187&gt;0,COPY!H187,"")</f>
        <v>Ls</v>
      </c>
      <c r="H189" s="85">
        <f>IF(COPY!I187&gt;0,COPY!I187,"")</f>
        <v>140000</v>
      </c>
      <c r="I189" s="85">
        <f>IF(COPY!M187&gt;0,COPY!M187,"")</f>
        <v>140000</v>
      </c>
      <c r="J189" s="85" t="str">
        <f>IF(COPY!N187&gt;0,COPY!N187,"")</f>
        <v/>
      </c>
      <c r="K189" s="86" t="str">
        <f>IF(N189=0,(IF(LEFT(Table13[[#This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Row],[URAIAN]],$U$194:$V$210,2,FALSE),""),""),0))))),N189)</f>
        <v/>
      </c>
      <c r="L189" s="85" t="str">
        <f>IF(Table13[[#This Row],[Column2]]="KWITANSI",COUNTIF($K$4:K189,"KWITANSI")," ")</f>
        <v xml:space="preserve"> </v>
      </c>
      <c r="M189" s="85" t="str">
        <f>IF(Table13[[#This Row],[Column3]]=" "," ",Table13[[#This Row],[CODE]])</f>
        <v xml:space="preserve"> </v>
      </c>
      <c r="N189" s="368"/>
      <c r="P189" s="81" t="str">
        <f t="shared" si="2"/>
        <v/>
      </c>
    </row>
    <row r="190" spans="1:16" x14ac:dyDescent="0.15">
      <c r="A190" s="81" t="str">
        <f>COPY!O188</f>
        <v>BKK.57</v>
      </c>
      <c r="B190" s="81">
        <f>COPY!C188</f>
        <v>2</v>
      </c>
      <c r="C190" s="82">
        <f>COPY!D188</f>
        <v>45961</v>
      </c>
      <c r="D190" s="81" t="str">
        <f>IF(Table13[[#This Row],[JUMLAH]]&gt;1,(IF(Table13[[#This Row],[CODE]]=" ",D189&amp;"a",IF(Table13[[#This Row],[CODE]]&gt;0,Table13[[#This Row],[CODE]],0))),"")</f>
        <v>BKK.57</v>
      </c>
      <c r="E190" s="81" t="str">
        <f>IF(COPY!G188&gt;0,COPY!G188,"")</f>
        <v>Bayar Dana Pengawasan</v>
      </c>
      <c r="F190" s="88">
        <f>IF(COPY!J188&gt;0,COPY!J188,"")</f>
        <v>1</v>
      </c>
      <c r="G190" s="85" t="str">
        <f>IF(COPY!H188&gt;0,COPY!H188,"")</f>
        <v/>
      </c>
      <c r="H190" s="85">
        <f>IF(COPY!I188&gt;0,COPY!I188,"")</f>
        <v>3404630</v>
      </c>
      <c r="I190" s="85">
        <f>IF(COPY!M188&gt;0,COPY!M188,"")</f>
        <v>3404630</v>
      </c>
      <c r="J190" s="85">
        <f>IF(COPY!N188&gt;0,COPY!N188,"")</f>
        <v>3404630</v>
      </c>
      <c r="K190" s="86" t="str">
        <f>IF(N190=0,(IF(LEFT(Table13[[#This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Row],[URAIAN]],$U$194:$V$210,2,FALSE),""),""),0))))),N190)</f>
        <v>KWITANSI</v>
      </c>
      <c r="L190" s="85">
        <f>IF(Table13[[#This Row],[Column2]]="KWITANSI",COUNTIF($K$4:K190,"KWITANSI")," ")</f>
        <v>10</v>
      </c>
      <c r="M190" s="85" t="str">
        <f>IF(Table13[[#This Row],[Column3]]=" "," ",Table13[[#This Row],[CODE]])</f>
        <v>BKK.57</v>
      </c>
      <c r="N190" s="368"/>
      <c r="P190" s="81" t="str">
        <f t="shared" si="2"/>
        <v/>
      </c>
    </row>
    <row r="191" spans="1:16" hidden="1" x14ac:dyDescent="0.15">
      <c r="A191" s="81" t="str">
        <f>COPY!O189</f>
        <v/>
      </c>
      <c r="B191" s="81" t="str">
        <f>COPY!C189</f>
        <v/>
      </c>
      <c r="C191" s="82" t="str">
        <f>COPY!D189</f>
        <v/>
      </c>
      <c r="D191" s="81" t="str">
        <f>IF(Table13[[#This Row],[JUMLAH]]&gt;1,(IF(Table13[[#This Row],[CODE]]=" ",D190&amp;"a",IF(Table13[[#This Row],[CODE]]&gt;0,Table13[[#This Row],[CODE]],0))),"")</f>
        <v/>
      </c>
      <c r="E191" s="81" t="str">
        <f>IF(COPY!G189&gt;0,COPY!G189,"")</f>
        <v/>
      </c>
      <c r="F191" s="88" t="str">
        <f>IF(COPY!J189&gt;0,COPY!J189,"")</f>
        <v/>
      </c>
      <c r="G191" s="85" t="str">
        <f>IF(COPY!H189&gt;0,COPY!H189,"")</f>
        <v/>
      </c>
      <c r="H191" s="85" t="str">
        <f>IF(COPY!I189&gt;0,COPY!I189,"")</f>
        <v/>
      </c>
      <c r="I191" s="85" t="str">
        <f>IF(COPY!M189&gt;0,COPY!M189,"")</f>
        <v/>
      </c>
      <c r="J191" s="85" t="str">
        <f>IF(COPY!N189&gt;0,COPY!N189,"")</f>
        <v/>
      </c>
      <c r="K191" s="86" t="str">
        <f>IF(N191=0,(IF(LEFT(Table13[[#This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Row],[URAIAN]],$U$194:$V$210,2,FALSE),""),""),0))))),N191)</f>
        <v/>
      </c>
      <c r="L191" s="85" t="str">
        <f>IF(Table13[[#This Row],[Column2]]="KWITANSI",COUNTIF($K$4:K191,"KWITANSI")," ")</f>
        <v xml:space="preserve"> </v>
      </c>
      <c r="M191" s="85" t="str">
        <f>IF(Table13[[#This Row],[Column3]]=" "," ",Table13[[#This Row],[CODE]])</f>
        <v xml:space="preserve"> </v>
      </c>
      <c r="N191" s="368"/>
      <c r="P191" s="81" t="str">
        <f t="shared" si="2"/>
        <v/>
      </c>
    </row>
    <row r="192" spans="1:16" hidden="1" x14ac:dyDescent="0.15">
      <c r="A192" s="81" t="str">
        <f>COPY!O190</f>
        <v/>
      </c>
      <c r="B192" s="81" t="str">
        <f>COPY!C190</f>
        <v/>
      </c>
      <c r="C192" s="82" t="str">
        <f>COPY!D190</f>
        <v/>
      </c>
      <c r="D192" s="81" t="str">
        <f>IF(Table13[[#This Row],[JUMLAH]]&gt;1,(IF(Table13[[#This Row],[CODE]]=" ",D191&amp;"a",IF(Table13[[#This Row],[CODE]]&gt;0,Table13[[#This Row],[CODE]],0))),"")</f>
        <v/>
      </c>
      <c r="E192" s="81" t="str">
        <f>IF(COPY!G190&gt;0,COPY!G190,"")</f>
        <v/>
      </c>
      <c r="F192" s="88" t="str">
        <f>IF(COPY!J190&gt;0,COPY!J190,"")</f>
        <v/>
      </c>
      <c r="G192" s="85" t="str">
        <f>IF(COPY!H190&gt;0,COPY!H190,"")</f>
        <v/>
      </c>
      <c r="H192" s="85" t="str">
        <f>IF(COPY!I190&gt;0,COPY!I190,"")</f>
        <v/>
      </c>
      <c r="I192" s="85" t="str">
        <f>IF(COPY!M190&gt;0,COPY!M190,"")</f>
        <v/>
      </c>
      <c r="J192" s="85" t="str">
        <f>IF(COPY!N190&gt;0,COPY!N190,"")</f>
        <v/>
      </c>
      <c r="K192" s="86" t="str">
        <f>IF(N192=0,(IF(LEFT(Table13[[#This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Row],[URAIAN]],$U$194:$V$210,2,FALSE),""),""),0))))),N192)</f>
        <v/>
      </c>
      <c r="L192" s="85" t="str">
        <f>IF(Table13[[#This Row],[Column2]]="KWITANSI",COUNTIF($K$4:K192,"KWITANSI")," ")</f>
        <v xml:space="preserve"> </v>
      </c>
      <c r="M192" s="85" t="str">
        <f>IF(Table13[[#This Row],[Column3]]=" "," ",Table13[[#This Row],[CODE]])</f>
        <v xml:space="preserve"> </v>
      </c>
      <c r="N192" s="368"/>
      <c r="P192" s="81" t="str">
        <f t="shared" si="2"/>
        <v/>
      </c>
    </row>
    <row r="193" spans="1:22" hidden="1" x14ac:dyDescent="0.15">
      <c r="A193" s="81" t="str">
        <f>COPY!O191</f>
        <v/>
      </c>
      <c r="B193" s="81" t="str">
        <f>COPY!C191</f>
        <v/>
      </c>
      <c r="C193" s="82" t="str">
        <f>COPY!D191</f>
        <v/>
      </c>
      <c r="D193" s="81" t="str">
        <f>IF(Table13[[#This Row],[JUMLAH]]&gt;1,(IF(Table13[[#This Row],[CODE]]=" ",D192&amp;"a",IF(Table13[[#This Row],[CODE]]&gt;0,Table13[[#This Row],[CODE]],0))),"")</f>
        <v/>
      </c>
      <c r="E193" s="81" t="str">
        <f>IF(COPY!G191&gt;0,COPY!G191,"")</f>
        <v/>
      </c>
      <c r="F193" s="88" t="str">
        <f>IF(COPY!J191&gt;0,COPY!J191,"")</f>
        <v/>
      </c>
      <c r="G193" s="85" t="str">
        <f>IF(COPY!H191&gt;0,COPY!H191,"")</f>
        <v/>
      </c>
      <c r="H193" s="85" t="str">
        <f>IF(COPY!I191&gt;0,COPY!I191,"")</f>
        <v/>
      </c>
      <c r="I193" s="85" t="str">
        <f>IF(COPY!M191&gt;0,COPY!M191,"")</f>
        <v/>
      </c>
      <c r="J193" s="85" t="str">
        <f>IF(COPY!N191&gt;0,COPY!N191,"")</f>
        <v/>
      </c>
      <c r="K193" s="86" t="str">
        <f>IF(N193=0,(IF(LEFT(Table13[[#This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Row],[URAIAN]],$U$194:$V$210,2,FALSE),""),""),0))))),N193)</f>
        <v/>
      </c>
      <c r="L193" s="85" t="str">
        <f>IF(Table13[[#This Row],[Column2]]="KWITANSI",COUNTIF($K$4:K193,"KWITANSI")," ")</f>
        <v xml:space="preserve"> </v>
      </c>
      <c r="M193" s="85" t="str">
        <f>IF(Table13[[#This Row],[Column3]]=" "," ",Table13[[#This Row],[CODE]])</f>
        <v xml:space="preserve"> </v>
      </c>
      <c r="N193" s="368"/>
      <c r="P193" s="81" t="str">
        <f t="shared" si="2"/>
        <v/>
      </c>
    </row>
    <row r="194" spans="1:22" hidden="1" x14ac:dyDescent="0.15">
      <c r="A194" s="81" t="str">
        <f>COPY!O192</f>
        <v/>
      </c>
      <c r="B194" s="81" t="str">
        <f>COPY!C192</f>
        <v/>
      </c>
      <c r="C194" s="82" t="str">
        <f>COPY!D192</f>
        <v/>
      </c>
      <c r="D194" s="81" t="str">
        <f>IF(Table13[[#This Row],[JUMLAH]]&gt;1,(IF(Table13[[#This Row],[CODE]]=" ",D193&amp;"a",IF(Table13[[#This Row],[CODE]]&gt;0,Table13[[#This Row],[CODE]],0))),"")</f>
        <v/>
      </c>
      <c r="E194" s="81" t="str">
        <f>IF(COPY!G192&gt;0,COPY!G192,"")</f>
        <v/>
      </c>
      <c r="F194" s="88" t="str">
        <f>IF(COPY!J192&gt;0,COPY!J192,"")</f>
        <v/>
      </c>
      <c r="G194" s="85" t="str">
        <f>IF(COPY!H192&gt;0,COPY!H192,"")</f>
        <v/>
      </c>
      <c r="H194" s="85" t="str">
        <f>IF(COPY!I192&gt;0,COPY!I192,"")</f>
        <v/>
      </c>
      <c r="I194" s="85" t="str">
        <f>IF(COPY!M192&gt;0,COPY!M192,"")</f>
        <v/>
      </c>
      <c r="J194" s="85" t="str">
        <f>IF(COPY!N192&gt;0,COPY!N192,"")</f>
        <v/>
      </c>
      <c r="K194" s="86" t="str">
        <f>IF(N194=0,(IF(LEFT(Table13[[#This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Row],[URAIAN]],$U$194:$V$210,2,FALSE),""),""),0))))),N194)</f>
        <v/>
      </c>
      <c r="L194" s="85" t="str">
        <f>IF(Table13[[#This Row],[Column2]]="KWITANSI",COUNTIF($K$4:K194,"KWITANSI")," ")</f>
        <v xml:space="preserve"> </v>
      </c>
      <c r="M194" s="85" t="str">
        <f>IF(Table13[[#This Row],[Column3]]=" "," ",Table13[[#This Row],[CODE]])</f>
        <v xml:space="preserve"> </v>
      </c>
      <c r="N194" s="368"/>
      <c r="P194" s="81" t="str">
        <f t="shared" ref="P194:P257" si="3">IF(-$O$4+($O$4+ROW())&lt;=$O$4,-$O$4+($O$4+ROW()),"")</f>
        <v/>
      </c>
      <c r="U194" s="81" t="s">
        <v>342</v>
      </c>
      <c r="V194" s="81" t="s">
        <v>465</v>
      </c>
    </row>
    <row r="195" spans="1:22" hidden="1" x14ac:dyDescent="0.15">
      <c r="A195" s="81" t="str">
        <f>COPY!O193</f>
        <v/>
      </c>
      <c r="B195" s="81" t="str">
        <f>COPY!C193</f>
        <v/>
      </c>
      <c r="C195" s="82" t="str">
        <f>COPY!D193</f>
        <v/>
      </c>
      <c r="D195" s="81" t="str">
        <f>IF(Table13[[#This Row],[JUMLAH]]&gt;1,(IF(Table13[[#This Row],[CODE]]=" ",D194&amp;"a",IF(Table13[[#This Row],[CODE]]&gt;0,Table13[[#This Row],[CODE]],0))),"")</f>
        <v/>
      </c>
      <c r="E195" s="81" t="str">
        <f>IF(COPY!G193&gt;0,COPY!G193,"")</f>
        <v/>
      </c>
      <c r="F195" s="88" t="str">
        <f>IF(COPY!J193&gt;0,COPY!J193,"")</f>
        <v/>
      </c>
      <c r="G195" s="85" t="str">
        <f>IF(COPY!H193&gt;0,COPY!H193,"")</f>
        <v/>
      </c>
      <c r="H195" s="85" t="str">
        <f>IF(COPY!I193&gt;0,COPY!I193,"")</f>
        <v/>
      </c>
      <c r="I195" s="85" t="str">
        <f>IF(COPY!M193&gt;0,COPY!M193,"")</f>
        <v/>
      </c>
      <c r="J195" s="85" t="str">
        <f>IF(COPY!N193&gt;0,COPY!N193,"")</f>
        <v/>
      </c>
      <c r="K195" s="86" t="str">
        <f>IF(N195=0,(IF(LEFT(Table13[[#This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Row],[URAIAN]],$U$194:$V$210,2,FALSE),""),""),0))))),N195)</f>
        <v/>
      </c>
      <c r="L195" s="85" t="str">
        <f>IF(Table13[[#This Row],[Column2]]="KWITANSI",COUNTIF($K$4:K195,"KWITANSI")," ")</f>
        <v xml:space="preserve"> </v>
      </c>
      <c r="M195" s="85" t="str">
        <f>IF(Table13[[#This Row],[Column3]]=" "," ",Table13[[#This Row],[CODE]])</f>
        <v xml:space="preserve"> </v>
      </c>
      <c r="N195" s="368"/>
      <c r="P195" s="81" t="str">
        <f t="shared" si="3"/>
        <v/>
      </c>
      <c r="U195" s="81" t="s">
        <v>489</v>
      </c>
      <c r="V195" s="81" t="s">
        <v>465</v>
      </c>
    </row>
    <row r="196" spans="1:22" hidden="1" x14ac:dyDescent="0.15">
      <c r="A196" s="81" t="str">
        <f>COPY!O194</f>
        <v/>
      </c>
      <c r="B196" s="81" t="str">
        <f>COPY!C194</f>
        <v/>
      </c>
      <c r="C196" s="82" t="str">
        <f>COPY!D194</f>
        <v/>
      </c>
      <c r="D196" s="81" t="str">
        <f>IF(Table13[[#This Row],[JUMLAH]]&gt;1,(IF(Table13[[#This Row],[CODE]]=" ",D195&amp;"a",IF(Table13[[#This Row],[CODE]]&gt;0,Table13[[#This Row],[CODE]],0))),"")</f>
        <v/>
      </c>
      <c r="E196" s="81" t="str">
        <f>IF(COPY!G194&gt;0,COPY!G194,"")</f>
        <v/>
      </c>
      <c r="F196" s="88" t="str">
        <f>IF(COPY!J194&gt;0,COPY!J194,"")</f>
        <v/>
      </c>
      <c r="G196" s="85" t="str">
        <f>IF(COPY!H194&gt;0,COPY!H194,"")</f>
        <v/>
      </c>
      <c r="H196" s="85" t="str">
        <f>IF(COPY!I194&gt;0,COPY!I194,"")</f>
        <v/>
      </c>
      <c r="I196" s="85" t="str">
        <f>IF(COPY!M194&gt;0,COPY!M194,"")</f>
        <v/>
      </c>
      <c r="J196" s="85" t="str">
        <f>IF(COPY!N194&gt;0,COPY!N194,"")</f>
        <v/>
      </c>
      <c r="K196" s="86" t="str">
        <f>IF(N196=0,(IF(LEFT(Table13[[#This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Row],[URAIAN]],$U$194:$V$210,2,FALSE),""),""),0))))),N196)</f>
        <v/>
      </c>
      <c r="L196" s="85" t="str">
        <f>IF(Table13[[#This Row],[Column2]]="KWITANSI",COUNTIF($K$4:K196,"KWITANSI")," ")</f>
        <v xml:space="preserve"> </v>
      </c>
      <c r="M196" s="85" t="str">
        <f>IF(Table13[[#This Row],[Column3]]=" "," ",Table13[[#This Row],[CODE]])</f>
        <v xml:space="preserve"> </v>
      </c>
      <c r="N196" s="368"/>
      <c r="P196" s="81" t="str">
        <f t="shared" si="3"/>
        <v/>
      </c>
      <c r="U196" s="81" t="s">
        <v>490</v>
      </c>
      <c r="V196" s="81" t="s">
        <v>465</v>
      </c>
    </row>
    <row r="197" spans="1:22" hidden="1" x14ac:dyDescent="0.15">
      <c r="A197" s="81" t="str">
        <f>COPY!O195</f>
        <v/>
      </c>
      <c r="B197" s="81" t="str">
        <f>COPY!C195</f>
        <v/>
      </c>
      <c r="C197" s="82" t="str">
        <f>COPY!D195</f>
        <v/>
      </c>
      <c r="D197" s="81" t="str">
        <f>IF(Table13[[#This Row],[JUMLAH]]&gt;1,(IF(Table13[[#This Row],[CODE]]=" ",D196&amp;"a",IF(Table13[[#This Row],[CODE]]&gt;0,Table13[[#This Row],[CODE]],0))),"")</f>
        <v/>
      </c>
      <c r="E197" s="81" t="str">
        <f>IF(COPY!G195&gt;0,COPY!G195,"")</f>
        <v/>
      </c>
      <c r="F197" s="88" t="str">
        <f>IF(COPY!J195&gt;0,COPY!J195,"")</f>
        <v/>
      </c>
      <c r="G197" s="85" t="str">
        <f>IF(COPY!H195&gt;0,COPY!H195,"")</f>
        <v/>
      </c>
      <c r="H197" s="85" t="str">
        <f>IF(COPY!I195&gt;0,COPY!I195,"")</f>
        <v/>
      </c>
      <c r="I197" s="85" t="str">
        <f>IF(COPY!M195&gt;0,COPY!M195,"")</f>
        <v/>
      </c>
      <c r="J197" s="85" t="str">
        <f>IF(COPY!N195&gt;0,COPY!N195,"")</f>
        <v/>
      </c>
      <c r="K197" s="86" t="str">
        <f>IF(N197=0,(IF(LEFT(Table13[[#This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Row],[URAIAN]],$U$194:$V$210,2,FALSE),""),""),0))))),N197)</f>
        <v/>
      </c>
      <c r="L197" s="85" t="str">
        <f>IF(Table13[[#This Row],[Column2]]="KWITANSI",COUNTIF($K$4:K197,"KWITANSI")," ")</f>
        <v xml:space="preserve"> </v>
      </c>
      <c r="M197" s="85" t="str">
        <f>IF(Table13[[#This Row],[Column3]]=" "," ",Table13[[#This Row],[CODE]])</f>
        <v xml:space="preserve"> </v>
      </c>
      <c r="N197" s="368"/>
      <c r="P197" s="81" t="str">
        <f t="shared" si="3"/>
        <v/>
      </c>
      <c r="U197" s="81" t="s">
        <v>344</v>
      </c>
      <c r="V197" s="81" t="s">
        <v>465</v>
      </c>
    </row>
    <row r="198" spans="1:22" hidden="1" x14ac:dyDescent="0.15">
      <c r="A198" s="81" t="str">
        <f>COPY!O196</f>
        <v/>
      </c>
      <c r="B198" s="81" t="str">
        <f>COPY!C196</f>
        <v/>
      </c>
      <c r="C198" s="82" t="str">
        <f>COPY!D196</f>
        <v/>
      </c>
      <c r="D198" s="81" t="str">
        <f>IF(Table13[[#This Row],[JUMLAH]]&gt;1,(IF(Table13[[#This Row],[CODE]]=" ",D197&amp;"a",IF(Table13[[#This Row],[CODE]]&gt;0,Table13[[#This Row],[CODE]],0))),"")</f>
        <v/>
      </c>
      <c r="E198" s="81" t="str">
        <f>IF(COPY!G196&gt;0,COPY!G196,"")</f>
        <v/>
      </c>
      <c r="F198" s="88" t="str">
        <f>IF(COPY!J196&gt;0,COPY!J196,"")</f>
        <v/>
      </c>
      <c r="G198" s="85" t="str">
        <f>IF(COPY!H196&gt;0,COPY!H196,"")</f>
        <v/>
      </c>
      <c r="H198" s="85" t="str">
        <f>IF(COPY!I196&gt;0,COPY!I196,"")</f>
        <v/>
      </c>
      <c r="I198" s="85" t="str">
        <f>IF(COPY!M196&gt;0,COPY!M196,"")</f>
        <v/>
      </c>
      <c r="J198" s="85" t="str">
        <f>IF(COPY!N196&gt;0,COPY!N196,"")</f>
        <v/>
      </c>
      <c r="K198" s="86" t="str">
        <f>IF(N198=0,(IF(LEFT(Table13[[#This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Row],[URAIAN]],$U$194:$V$210,2,FALSE),""),""),0))))),N198)</f>
        <v/>
      </c>
      <c r="L198" s="85" t="str">
        <f>IF(Table13[[#This Row],[Column2]]="KWITANSI",COUNTIF($K$4:K198,"KWITANSI")," ")</f>
        <v xml:space="preserve"> </v>
      </c>
      <c r="M198" s="85" t="str">
        <f>IF(Table13[[#This Row],[Column3]]=" "," ",Table13[[#This Row],[CODE]])</f>
        <v xml:space="preserve"> </v>
      </c>
      <c r="N198" s="368"/>
      <c r="P198" s="81" t="str">
        <f t="shared" si="3"/>
        <v/>
      </c>
      <c r="U198" s="81" t="s">
        <v>466</v>
      </c>
      <c r="V198" s="81" t="s">
        <v>465</v>
      </c>
    </row>
    <row r="199" spans="1:22" hidden="1" x14ac:dyDescent="0.15">
      <c r="A199" s="81" t="str">
        <f>COPY!O197</f>
        <v/>
      </c>
      <c r="B199" s="81" t="str">
        <f>COPY!C197</f>
        <v/>
      </c>
      <c r="C199" s="82" t="str">
        <f>COPY!D197</f>
        <v/>
      </c>
      <c r="D199" s="81" t="str">
        <f>IF(Table13[[#This Row],[JUMLAH]]&gt;1,(IF(Table13[[#This Row],[CODE]]=" ",D198&amp;"a",IF(Table13[[#This Row],[CODE]]&gt;0,Table13[[#This Row],[CODE]],0))),"")</f>
        <v/>
      </c>
      <c r="E199" s="81" t="str">
        <f>IF(COPY!G197&gt;0,COPY!G197,"")</f>
        <v/>
      </c>
      <c r="F199" s="88" t="str">
        <f>IF(COPY!J197&gt;0,COPY!J197,"")</f>
        <v/>
      </c>
      <c r="G199" s="85" t="str">
        <f>IF(COPY!H197&gt;0,COPY!H197,"")</f>
        <v/>
      </c>
      <c r="H199" s="85" t="str">
        <f>IF(COPY!I197&gt;0,COPY!I197,"")</f>
        <v/>
      </c>
      <c r="I199" s="85" t="str">
        <f>IF(COPY!M197&gt;0,COPY!M197,"")</f>
        <v/>
      </c>
      <c r="J199" s="85" t="str">
        <f>IF(COPY!N197&gt;0,COPY!N197,"")</f>
        <v/>
      </c>
      <c r="K199" s="86" t="str">
        <f>IF(N199=0,(IF(LEFT(Table13[[#This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Row],[URAIAN]],$U$194:$V$210,2,FALSE),""),""),0))))),N199)</f>
        <v/>
      </c>
      <c r="L199" s="85" t="str">
        <f>IF(Table13[[#This Row],[Column2]]="KWITANSI",COUNTIF($K$4:K199,"KWITANSI")," ")</f>
        <v xml:space="preserve"> </v>
      </c>
      <c r="M199" s="85" t="str">
        <f>IF(Table13[[#This Row],[Column3]]=" "," ",Table13[[#This Row],[CODE]])</f>
        <v xml:space="preserve"> </v>
      </c>
      <c r="N199" s="368"/>
      <c r="P199" s="81" t="str">
        <f t="shared" si="3"/>
        <v/>
      </c>
      <c r="U199" s="81" t="s">
        <v>345</v>
      </c>
      <c r="V199" s="81" t="s">
        <v>465</v>
      </c>
    </row>
    <row r="200" spans="1:22" hidden="1" x14ac:dyDescent="0.15">
      <c r="A200" s="81" t="str">
        <f>COPY!O198</f>
        <v/>
      </c>
      <c r="B200" s="81" t="str">
        <f>COPY!C198</f>
        <v/>
      </c>
      <c r="C200" s="82" t="str">
        <f>COPY!D198</f>
        <v/>
      </c>
      <c r="D200" s="81" t="str">
        <f>IF(Table13[[#This Row],[JUMLAH]]&gt;1,(IF(Table13[[#This Row],[CODE]]=" ",D199&amp;"a",IF(Table13[[#This Row],[CODE]]&gt;0,Table13[[#This Row],[CODE]],0))),"")</f>
        <v/>
      </c>
      <c r="E200" s="81" t="str">
        <f>IF(COPY!G198&gt;0,COPY!G198,"")</f>
        <v/>
      </c>
      <c r="F200" s="88" t="str">
        <f>IF(COPY!J198&gt;0,COPY!J198,"")</f>
        <v/>
      </c>
      <c r="G200" s="85" t="str">
        <f>IF(COPY!H198&gt;0,COPY!H198,"")</f>
        <v/>
      </c>
      <c r="H200" s="85" t="str">
        <f>IF(COPY!I198&gt;0,COPY!I198,"")</f>
        <v/>
      </c>
      <c r="I200" s="85" t="str">
        <f>IF(COPY!M198&gt;0,COPY!M198,"")</f>
        <v/>
      </c>
      <c r="J200" s="85" t="str">
        <f>IF(COPY!N198&gt;0,COPY!N198,"")</f>
        <v/>
      </c>
      <c r="K200" s="86" t="str">
        <f>IF(N200=0,(IF(LEFT(Table13[[#This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Row],[URAIAN]],$U$194:$V$210,2,FALSE),""),""),0))))),N200)</f>
        <v/>
      </c>
      <c r="L200" s="85" t="str">
        <f>IF(Table13[[#This Row],[Column2]]="KWITANSI",COUNTIF($K$4:K200,"KWITANSI")," ")</f>
        <v xml:space="preserve"> </v>
      </c>
      <c r="M200" s="85" t="str">
        <f>IF(Table13[[#This Row],[Column3]]=" "," ",Table13[[#This Row],[CODE]])</f>
        <v xml:space="preserve"> </v>
      </c>
      <c r="N200" s="368"/>
      <c r="P200" s="81" t="str">
        <f t="shared" si="3"/>
        <v/>
      </c>
      <c r="U200" s="81" t="s">
        <v>343</v>
      </c>
      <c r="V200" s="81" t="s">
        <v>465</v>
      </c>
    </row>
    <row r="201" spans="1:22" hidden="1" x14ac:dyDescent="0.15">
      <c r="A201" s="81" t="str">
        <f>COPY!O199</f>
        <v/>
      </c>
      <c r="B201" s="81" t="str">
        <f>COPY!C199</f>
        <v/>
      </c>
      <c r="C201" s="82" t="str">
        <f>COPY!D199</f>
        <v/>
      </c>
      <c r="D201" s="81" t="str">
        <f>IF(Table13[[#This Row],[JUMLAH]]&gt;1,(IF(Table13[[#This Row],[CODE]]=" ",D200&amp;"a",IF(Table13[[#This Row],[CODE]]&gt;0,Table13[[#This Row],[CODE]],0))),"")</f>
        <v/>
      </c>
      <c r="E201" s="81" t="str">
        <f>IF(COPY!G199&gt;0,COPY!G199,"")</f>
        <v/>
      </c>
      <c r="F201" s="88" t="str">
        <f>IF(COPY!J199&gt;0,COPY!J199,"")</f>
        <v/>
      </c>
      <c r="G201" s="85" t="str">
        <f>IF(COPY!H199&gt;0,COPY!H199,"")</f>
        <v/>
      </c>
      <c r="H201" s="85" t="str">
        <f>IF(COPY!I199&gt;0,COPY!I199,"")</f>
        <v/>
      </c>
      <c r="I201" s="85" t="str">
        <f>IF(COPY!M199&gt;0,COPY!M199,"")</f>
        <v/>
      </c>
      <c r="J201" s="85" t="str">
        <f>IF(COPY!N199&gt;0,COPY!N199,"")</f>
        <v/>
      </c>
      <c r="K201" s="86" t="str">
        <f>IF(N201=0,(IF(LEFT(Table13[[#This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Row],[URAIAN]],$U$194:$V$210,2,FALSE),""),""),0))))),N201)</f>
        <v/>
      </c>
      <c r="L201" s="85" t="str">
        <f>IF(Table13[[#This Row],[Column2]]="KWITANSI",COUNTIF($K$4:K201,"KWITANSI")," ")</f>
        <v xml:space="preserve"> </v>
      </c>
      <c r="M201" s="85" t="str">
        <f>IF(Table13[[#This Row],[Column3]]=" "," ",Table13[[#This Row],[CODE]])</f>
        <v xml:space="preserve"> </v>
      </c>
      <c r="N201" s="368"/>
      <c r="P201" s="81" t="str">
        <f t="shared" si="3"/>
        <v/>
      </c>
      <c r="Q201" s="81">
        <f>IF(LEFT(A198,3)="BKK",1,0)</f>
        <v>0</v>
      </c>
      <c r="U201" s="81" t="s">
        <v>345</v>
      </c>
      <c r="V201" s="81" t="s">
        <v>465</v>
      </c>
    </row>
    <row r="202" spans="1:22" hidden="1" x14ac:dyDescent="0.15">
      <c r="A202" s="81" t="str">
        <f>COPY!O200</f>
        <v/>
      </c>
      <c r="B202" s="81" t="str">
        <f>COPY!C200</f>
        <v/>
      </c>
      <c r="C202" s="82" t="str">
        <f>COPY!D200</f>
        <v/>
      </c>
      <c r="D202" s="81" t="str">
        <f>IF(Table13[[#This Row],[JUMLAH]]&gt;1,(IF(Table13[[#This Row],[CODE]]=" ",D201&amp;"a",IF(Table13[[#This Row],[CODE]]&gt;0,Table13[[#This Row],[CODE]],0))),"")</f>
        <v/>
      </c>
      <c r="E202" s="81" t="str">
        <f>IF(COPY!G200&gt;0,COPY!G200,"")</f>
        <v/>
      </c>
      <c r="F202" s="88" t="str">
        <f>IF(COPY!J200&gt;0,COPY!J200,"")</f>
        <v/>
      </c>
      <c r="G202" s="85" t="str">
        <f>IF(COPY!H200&gt;0,COPY!H200,"")</f>
        <v/>
      </c>
      <c r="H202" s="85" t="str">
        <f>IF(COPY!I200&gt;0,COPY!I200,"")</f>
        <v/>
      </c>
      <c r="I202" s="85" t="str">
        <f>IF(COPY!M200&gt;0,COPY!M200,"")</f>
        <v/>
      </c>
      <c r="J202" s="85" t="str">
        <f>IF(COPY!N200&gt;0,COPY!N200,"")</f>
        <v/>
      </c>
      <c r="K202" s="86" t="str">
        <f>IF(N202=0,(IF(LEFT(Table13[[#This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Row],[URAIAN]],$U$194:$V$210,2,FALSE),""),""),0))))),N202)</f>
        <v/>
      </c>
      <c r="L202" s="85" t="str">
        <f>IF(Table13[[#This Row],[Column2]]="KWITANSI",COUNTIF($K$4:K202,"KWITANSI")," ")</f>
        <v xml:space="preserve"> </v>
      </c>
      <c r="M202" s="85" t="str">
        <f>IF(Table13[[#This Row],[Column3]]=" "," ",Table13[[#This Row],[CODE]])</f>
        <v xml:space="preserve"> </v>
      </c>
      <c r="N202" s="368"/>
      <c r="P202" s="81" t="str">
        <f t="shared" si="3"/>
        <v/>
      </c>
      <c r="U202" s="81" t="s">
        <v>466</v>
      </c>
      <c r="V202" s="81" t="s">
        <v>465</v>
      </c>
    </row>
    <row r="203" spans="1:22" hidden="1" x14ac:dyDescent="0.15">
      <c r="A203" s="81" t="str">
        <f>COPY!O201</f>
        <v/>
      </c>
      <c r="B203" s="81" t="str">
        <f>COPY!C201</f>
        <v/>
      </c>
      <c r="C203" s="82" t="str">
        <f>COPY!D201</f>
        <v/>
      </c>
      <c r="D203" s="81" t="str">
        <f>IF(Table13[[#This Row],[JUMLAH]]&gt;1,(IF(Table13[[#This Row],[CODE]]=" ",D202&amp;"a",IF(Table13[[#This Row],[CODE]]&gt;0,Table13[[#This Row],[CODE]],0))),"")</f>
        <v/>
      </c>
      <c r="E203" s="81" t="str">
        <f>IF(COPY!G201&gt;0,COPY!G201,"")</f>
        <v/>
      </c>
      <c r="F203" s="88" t="str">
        <f>IF(COPY!J201&gt;0,COPY!J201,"")</f>
        <v/>
      </c>
      <c r="G203" s="85" t="str">
        <f>IF(COPY!H201&gt;0,COPY!H201,"")</f>
        <v/>
      </c>
      <c r="H203" s="85" t="str">
        <f>IF(COPY!I201&gt;0,COPY!I201,"")</f>
        <v/>
      </c>
      <c r="I203" s="85" t="str">
        <f>IF(COPY!M201&gt;0,COPY!M201,"")</f>
        <v/>
      </c>
      <c r="J203" s="85" t="str">
        <f>IF(COPY!N201&gt;0,COPY!N201,"")</f>
        <v/>
      </c>
      <c r="K203" s="86" t="str">
        <f>IF(N203=0,(IF(LEFT(Table13[[#This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Row],[URAIAN]],$U$194:$V$210,2,FALSE),""),""),0))))),N203)</f>
        <v/>
      </c>
      <c r="L203" s="85" t="str">
        <f>IF(Table13[[#This Row],[Column2]]="KWITANSI",COUNTIF($K$4:K203,"KWITANSI")," ")</f>
        <v xml:space="preserve"> </v>
      </c>
      <c r="M203" s="85" t="str">
        <f>IF(Table13[[#This Row],[Column3]]=" "," ",Table13[[#This Row],[CODE]])</f>
        <v xml:space="preserve"> </v>
      </c>
      <c r="N203" s="368"/>
      <c r="P203" s="81" t="str">
        <f t="shared" si="3"/>
        <v/>
      </c>
      <c r="U203" s="81" t="s">
        <v>397</v>
      </c>
    </row>
    <row r="204" spans="1:22" hidden="1" x14ac:dyDescent="0.15">
      <c r="A204" s="81" t="str">
        <f>COPY!O202</f>
        <v/>
      </c>
      <c r="B204" s="81" t="str">
        <f>COPY!C202</f>
        <v/>
      </c>
      <c r="C204" s="82" t="str">
        <f>COPY!D202</f>
        <v/>
      </c>
      <c r="D204" s="81" t="str">
        <f>IF(Table13[[#This Row],[JUMLAH]]&gt;1,(IF(Table13[[#This Row],[CODE]]=" ",D203&amp;"a",IF(Table13[[#This Row],[CODE]]&gt;0,Table13[[#This Row],[CODE]],0))),"")</f>
        <v/>
      </c>
      <c r="E204" s="81" t="str">
        <f>IF(COPY!G202&gt;0,COPY!G202,"")</f>
        <v/>
      </c>
      <c r="F204" s="88" t="str">
        <f>IF(COPY!J202&gt;0,COPY!J202,"")</f>
        <v/>
      </c>
      <c r="G204" s="85" t="str">
        <f>IF(COPY!H202&gt;0,COPY!H202,"")</f>
        <v/>
      </c>
      <c r="H204" s="85" t="str">
        <f>IF(COPY!I202&gt;0,COPY!I202,"")</f>
        <v/>
      </c>
      <c r="I204" s="85" t="str">
        <f>IF(COPY!M202&gt;0,COPY!M202,"")</f>
        <v/>
      </c>
      <c r="J204" s="85" t="str">
        <f>IF(COPY!N202&gt;0,COPY!N202,"")</f>
        <v/>
      </c>
      <c r="K204" s="86" t="str">
        <f>IF(N204=0,(IF(LEFT(Table13[[#This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Row],[URAIAN]],$U$194:$V$210,2,FALSE),""),""),0))))),N204)</f>
        <v/>
      </c>
      <c r="L204" s="85" t="str">
        <f>IF(Table13[[#This Row],[Column2]]="KWITANSI",COUNTIF($K$4:K204,"KWITANSI")," ")</f>
        <v xml:space="preserve"> </v>
      </c>
      <c r="M204" s="85" t="str">
        <f>IF(Table13[[#This Row],[Column3]]=" "," ",Table13[[#This Row],[CODE]])</f>
        <v xml:space="preserve"> </v>
      </c>
      <c r="N204" s="368"/>
      <c r="P204" s="81" t="str">
        <f t="shared" si="3"/>
        <v/>
      </c>
    </row>
    <row r="205" spans="1:22" hidden="1" x14ac:dyDescent="0.15">
      <c r="A205" s="81" t="str">
        <f>COPY!O203</f>
        <v/>
      </c>
      <c r="B205" s="81" t="str">
        <f>COPY!C203</f>
        <v/>
      </c>
      <c r="C205" s="82" t="str">
        <f>COPY!D203</f>
        <v/>
      </c>
      <c r="D205" s="81" t="str">
        <f>IF(Table13[[#This Row],[JUMLAH]]&gt;1,(IF(Table13[[#This Row],[CODE]]=" ",D204&amp;"a",IF(Table13[[#This Row],[CODE]]&gt;0,Table13[[#This Row],[CODE]],0))),"")</f>
        <v/>
      </c>
      <c r="E205" s="81" t="str">
        <f>IF(COPY!G203&gt;0,COPY!G203,"")</f>
        <v/>
      </c>
      <c r="F205" s="88" t="str">
        <f>IF(COPY!J203&gt;0,COPY!J203,"")</f>
        <v/>
      </c>
      <c r="G205" s="85" t="str">
        <f>IF(COPY!H203&gt;0,COPY!H203,"")</f>
        <v/>
      </c>
      <c r="H205" s="85" t="str">
        <f>IF(COPY!I203&gt;0,COPY!I203,"")</f>
        <v/>
      </c>
      <c r="I205" s="85" t="str">
        <f>IF(COPY!M203&gt;0,COPY!M203,"")</f>
        <v/>
      </c>
      <c r="J205" s="85" t="str">
        <f>IF(COPY!N203&gt;0,COPY!N203,"")</f>
        <v/>
      </c>
      <c r="K205" s="86" t="str">
        <f>IF(N205=0,(IF(LEFT(Table13[[#This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Row],[URAIAN]],$U$194:$V$210,2,FALSE),""),""),0))))),N205)</f>
        <v/>
      </c>
      <c r="L205" s="85" t="str">
        <f>IF(Table13[[#This Row],[Column2]]="KWITANSI",COUNTIF($K$4:K205,"KWITANSI")," ")</f>
        <v xml:space="preserve"> </v>
      </c>
      <c r="M205" s="85" t="str">
        <f>IF(Table13[[#This Row],[Column3]]=" "," ",Table13[[#This Row],[CODE]])</f>
        <v xml:space="preserve"> </v>
      </c>
      <c r="N205" s="368"/>
      <c r="P205" s="81" t="str">
        <f t="shared" si="3"/>
        <v/>
      </c>
    </row>
    <row r="206" spans="1:22" hidden="1" x14ac:dyDescent="0.15">
      <c r="A206" s="81" t="str">
        <f>COPY!O204</f>
        <v/>
      </c>
      <c r="B206" s="81" t="str">
        <f>COPY!C204</f>
        <v/>
      </c>
      <c r="C206" s="82" t="str">
        <f>COPY!D204</f>
        <v/>
      </c>
      <c r="D206" s="81" t="str">
        <f>IF(Table13[[#This Row],[JUMLAH]]&gt;1,(IF(Table13[[#This Row],[CODE]]=" ",D205&amp;"a",IF(Table13[[#This Row],[CODE]]&gt;0,Table13[[#This Row],[CODE]],0))),"")</f>
        <v/>
      </c>
      <c r="E206" s="81" t="str">
        <f>IF(COPY!G204&gt;0,COPY!G204,"")</f>
        <v/>
      </c>
      <c r="F206" s="88" t="str">
        <f>IF(COPY!J204&gt;0,COPY!J204,"")</f>
        <v/>
      </c>
      <c r="G206" s="85" t="str">
        <f>IF(COPY!H204&gt;0,COPY!H204,"")</f>
        <v/>
      </c>
      <c r="H206" s="85" t="str">
        <f>IF(COPY!I204&gt;0,COPY!I204,"")</f>
        <v/>
      </c>
      <c r="I206" s="85" t="str">
        <f>IF(COPY!M204&gt;0,COPY!M204,"")</f>
        <v/>
      </c>
      <c r="J206" s="85" t="str">
        <f>IF(COPY!N204&gt;0,COPY!N204,"")</f>
        <v/>
      </c>
      <c r="K206" s="86" t="str">
        <f>IF(N206=0,(IF(LEFT(Table13[[#This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Row],[URAIAN]],$U$194:$V$210,2,FALSE),""),""),0))))),N206)</f>
        <v/>
      </c>
      <c r="L206" s="85" t="str">
        <f>IF(Table13[[#This Row],[Column2]]="KWITANSI",COUNTIF($K$4:K206,"KWITANSI")," ")</f>
        <v xml:space="preserve"> </v>
      </c>
      <c r="M206" s="85" t="str">
        <f>IF(Table13[[#This Row],[Column3]]=" "," ",Table13[[#This Row],[CODE]])</f>
        <v xml:space="preserve"> </v>
      </c>
      <c r="N206" s="368"/>
      <c r="P206" s="81" t="str">
        <f t="shared" si="3"/>
        <v/>
      </c>
    </row>
    <row r="207" spans="1:22" hidden="1" x14ac:dyDescent="0.15">
      <c r="A207" s="81" t="str">
        <f>COPY!O205</f>
        <v/>
      </c>
      <c r="B207" s="81" t="str">
        <f>COPY!C205</f>
        <v/>
      </c>
      <c r="C207" s="82" t="str">
        <f>COPY!D205</f>
        <v/>
      </c>
      <c r="D207" s="81" t="str">
        <f>IF(Table13[[#This Row],[JUMLAH]]&gt;1,(IF(Table13[[#This Row],[CODE]]=" ",D206&amp;"a",IF(Table13[[#This Row],[CODE]]&gt;0,Table13[[#This Row],[CODE]],0))),"")</f>
        <v/>
      </c>
      <c r="E207" s="81" t="str">
        <f>IF(COPY!G205&gt;0,COPY!G205,"")</f>
        <v/>
      </c>
      <c r="F207" s="88" t="str">
        <f>IF(COPY!J205&gt;0,COPY!J205,"")</f>
        <v/>
      </c>
      <c r="G207" s="85" t="str">
        <f>IF(COPY!H205&gt;0,COPY!H205,"")</f>
        <v/>
      </c>
      <c r="H207" s="85" t="str">
        <f>IF(COPY!I205&gt;0,COPY!I205,"")</f>
        <v/>
      </c>
      <c r="I207" s="85" t="str">
        <f>IF(COPY!M205&gt;0,COPY!M205,"")</f>
        <v/>
      </c>
      <c r="J207" s="85" t="str">
        <f>IF(COPY!N205&gt;0,COPY!N205,"")</f>
        <v/>
      </c>
      <c r="K207" s="86" t="str">
        <f>IF(N207=0,(IF(LEFT(Table13[[#This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Row],[URAIAN]],$U$194:$V$210,2,FALSE),""),""),0))))),N207)</f>
        <v/>
      </c>
      <c r="L207" s="85" t="str">
        <f>IF(Table13[[#This Row],[Column2]]="KWITANSI",COUNTIF($K$4:K207,"KWITANSI")," ")</f>
        <v xml:space="preserve"> </v>
      </c>
      <c r="M207" s="85" t="str">
        <f>IF(Table13[[#This Row],[Column3]]=" "," ",Table13[[#This Row],[CODE]])</f>
        <v xml:space="preserve"> </v>
      </c>
      <c r="N207" s="368"/>
      <c r="P207" s="81" t="str">
        <f t="shared" si="3"/>
        <v/>
      </c>
    </row>
    <row r="208" spans="1:22" hidden="1" x14ac:dyDescent="0.15">
      <c r="A208" s="81" t="str">
        <f>COPY!O206</f>
        <v/>
      </c>
      <c r="B208" s="81" t="str">
        <f>COPY!C206</f>
        <v/>
      </c>
      <c r="C208" s="82" t="str">
        <f>COPY!D206</f>
        <v/>
      </c>
      <c r="D208" s="81" t="str">
        <f>IF(Table13[[#This Row],[JUMLAH]]&gt;1,(IF(Table13[[#This Row],[CODE]]=" ",D207&amp;"a",IF(Table13[[#This Row],[CODE]]&gt;0,Table13[[#This Row],[CODE]],0))),"")</f>
        <v/>
      </c>
      <c r="E208" s="81" t="str">
        <f>IF(COPY!G206&gt;0,COPY!G206,"")</f>
        <v/>
      </c>
      <c r="F208" s="88" t="str">
        <f>IF(COPY!J206&gt;0,COPY!J206,"")</f>
        <v/>
      </c>
      <c r="G208" s="85" t="str">
        <f>IF(COPY!H206&gt;0,COPY!H206,"")</f>
        <v/>
      </c>
      <c r="H208" s="85" t="str">
        <f>IF(COPY!I206&gt;0,COPY!I206,"")</f>
        <v/>
      </c>
      <c r="I208" s="85" t="str">
        <f>IF(COPY!M206&gt;0,COPY!M206,"")</f>
        <v/>
      </c>
      <c r="J208" s="85" t="str">
        <f>IF(COPY!N206&gt;0,COPY!N206,"")</f>
        <v/>
      </c>
      <c r="K208" s="86" t="str">
        <f>IF(N208=0,(IF(LEFT(Table13[[#This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Row],[URAIAN]],$U$194:$V$210,2,FALSE),""),""),0))))),N208)</f>
        <v/>
      </c>
      <c r="L208" s="85" t="str">
        <f>IF(Table13[[#This Row],[Column2]]="KWITANSI",COUNTIF($K$4:K208,"KWITANSI")," ")</f>
        <v xml:space="preserve"> </v>
      </c>
      <c r="M208" s="85" t="str">
        <f>IF(Table13[[#This Row],[Column3]]=" "," ",Table13[[#This Row],[CODE]])</f>
        <v xml:space="preserve"> </v>
      </c>
      <c r="N208" s="368"/>
      <c r="P208" s="81" t="str">
        <f t="shared" si="3"/>
        <v/>
      </c>
    </row>
    <row r="209" spans="1:16" hidden="1" x14ac:dyDescent="0.15">
      <c r="A209" s="81" t="str">
        <f>COPY!O207</f>
        <v/>
      </c>
      <c r="B209" s="81" t="str">
        <f>COPY!C207</f>
        <v/>
      </c>
      <c r="C209" s="82" t="str">
        <f>COPY!D207</f>
        <v/>
      </c>
      <c r="D209" s="81" t="str">
        <f>IF(Table13[[#This Row],[JUMLAH]]&gt;1,(IF(Table13[[#This Row],[CODE]]=" ",D208&amp;"a",IF(Table13[[#This Row],[CODE]]&gt;0,Table13[[#This Row],[CODE]],0))),"")</f>
        <v/>
      </c>
      <c r="E209" s="81" t="str">
        <f>IF(COPY!G207&gt;0,COPY!G207,"")</f>
        <v/>
      </c>
      <c r="F209" s="88" t="str">
        <f>IF(COPY!J207&gt;0,COPY!J207,"")</f>
        <v/>
      </c>
      <c r="G209" s="85" t="str">
        <f>IF(COPY!H207&gt;0,COPY!H207,"")</f>
        <v/>
      </c>
      <c r="H209" s="85" t="str">
        <f>IF(COPY!I207&gt;0,COPY!I207,"")</f>
        <v/>
      </c>
      <c r="I209" s="85" t="str">
        <f>IF(COPY!M207&gt;0,COPY!M207,"")</f>
        <v/>
      </c>
      <c r="J209" s="85" t="str">
        <f>IF(COPY!N207&gt;0,COPY!N207,"")</f>
        <v/>
      </c>
      <c r="K209" s="86" t="str">
        <f>IF(N209=0,(IF(LEFT(Table13[[#This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Row],[URAIAN]],$U$194:$V$210,2,FALSE),""),""),0))))),N209)</f>
        <v/>
      </c>
      <c r="L209" s="85" t="str">
        <f>IF(Table13[[#This Row],[Column2]]="KWITANSI",COUNTIF($K$4:K209,"KWITANSI")," ")</f>
        <v xml:space="preserve"> </v>
      </c>
      <c r="M209" s="85" t="str">
        <f>IF(Table13[[#This Row],[Column3]]=" "," ",Table13[[#This Row],[CODE]])</f>
        <v xml:space="preserve"> </v>
      </c>
      <c r="N209" s="368"/>
      <c r="P209" s="81" t="str">
        <f t="shared" si="3"/>
        <v/>
      </c>
    </row>
    <row r="210" spans="1:16" hidden="1" x14ac:dyDescent="0.15">
      <c r="A210" s="81" t="str">
        <f>COPY!O208</f>
        <v/>
      </c>
      <c r="B210" s="81" t="str">
        <f>COPY!C208</f>
        <v/>
      </c>
      <c r="C210" s="82" t="str">
        <f>COPY!D208</f>
        <v/>
      </c>
      <c r="D210" s="81" t="str">
        <f>IF(Table13[[#This Row],[JUMLAH]]&gt;1,(IF(Table13[[#This Row],[CODE]]=" ",D209&amp;"a",IF(Table13[[#This Row],[CODE]]&gt;0,Table13[[#This Row],[CODE]],0))),"")</f>
        <v/>
      </c>
      <c r="E210" s="81" t="str">
        <f>IF(COPY!G208&gt;0,COPY!G208,"")</f>
        <v/>
      </c>
      <c r="F210" s="88" t="str">
        <f>IF(COPY!J208&gt;0,COPY!J208,"")</f>
        <v/>
      </c>
      <c r="G210" s="85" t="str">
        <f>IF(COPY!H208&gt;0,COPY!H208,"")</f>
        <v/>
      </c>
      <c r="H210" s="85" t="str">
        <f>IF(COPY!I208&gt;0,COPY!I208,"")</f>
        <v/>
      </c>
      <c r="I210" s="85" t="str">
        <f>IF(COPY!M208&gt;0,COPY!M208,"")</f>
        <v/>
      </c>
      <c r="J210" s="85" t="str">
        <f>IF(COPY!N208&gt;0,COPY!N208,"")</f>
        <v/>
      </c>
      <c r="K210" s="86" t="str">
        <f>IF(N210=0,(IF(LEFT(Table13[[#This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Row],[URAIAN]],$U$194:$V$210,2,FALSE),""),""),0))))),N210)</f>
        <v/>
      </c>
      <c r="L210" s="85" t="str">
        <f>IF(Table13[[#This Row],[Column2]]="KWITANSI",COUNTIF($K$4:K210,"KWITANSI")," ")</f>
        <v xml:space="preserve"> </v>
      </c>
      <c r="M210" s="85" t="str">
        <f>IF(Table13[[#This Row],[Column3]]=" "," ",Table13[[#This Row],[CODE]])</f>
        <v xml:space="preserve"> </v>
      </c>
      <c r="N210" s="368"/>
      <c r="P210" s="81" t="str">
        <f t="shared" si="3"/>
        <v/>
      </c>
    </row>
    <row r="211" spans="1:16" hidden="1" x14ac:dyDescent="0.15">
      <c r="A211" s="81" t="str">
        <f>COPY!O209</f>
        <v/>
      </c>
      <c r="B211" s="81" t="str">
        <f>COPY!C209</f>
        <v/>
      </c>
      <c r="C211" s="82" t="str">
        <f>COPY!D209</f>
        <v/>
      </c>
      <c r="D211" s="81" t="str">
        <f>IF(Table13[[#This Row],[JUMLAH]]&gt;1,(IF(Table13[[#This Row],[CODE]]=" ",D210&amp;"a",IF(Table13[[#This Row],[CODE]]&gt;0,Table13[[#This Row],[CODE]],0))),"")</f>
        <v/>
      </c>
      <c r="E211" s="81" t="str">
        <f>IF(COPY!G209&gt;0,COPY!G209,"")</f>
        <v/>
      </c>
      <c r="F211" s="88" t="str">
        <f>IF(COPY!J209&gt;0,COPY!J209,"")</f>
        <v/>
      </c>
      <c r="G211" s="85" t="str">
        <f>IF(COPY!H209&gt;0,COPY!H209,"")</f>
        <v/>
      </c>
      <c r="H211" s="85" t="str">
        <f>IF(COPY!I209&gt;0,COPY!I209,"")</f>
        <v/>
      </c>
      <c r="I211" s="85" t="str">
        <f>IF(COPY!M209&gt;0,COPY!M209,"")</f>
        <v/>
      </c>
      <c r="J211" s="85" t="str">
        <f>IF(COPY!N209&gt;0,COPY!N209,"")</f>
        <v/>
      </c>
      <c r="K211" s="86" t="str">
        <f>IF(N211=0,(IF(LEFT(Table13[[#This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Row],[URAIAN]],$U$194:$V$210,2,FALSE),""),""),0))))),N211)</f>
        <v/>
      </c>
      <c r="L211" s="85" t="str">
        <f>IF(Table13[[#This Row],[Column2]]="KWITANSI",COUNTIF($K$4:K211,"KWITANSI")," ")</f>
        <v xml:space="preserve"> </v>
      </c>
      <c r="M211" s="85" t="str">
        <f>IF(Table13[[#This Row],[Column3]]=" "," ",Table13[[#This Row],[CODE]])</f>
        <v xml:space="preserve"> </v>
      </c>
      <c r="N211" s="368"/>
      <c r="P211" s="81" t="str">
        <f t="shared" si="3"/>
        <v/>
      </c>
    </row>
    <row r="212" spans="1:16" hidden="1" x14ac:dyDescent="0.15">
      <c r="A212" s="81" t="str">
        <f>COPY!O210</f>
        <v/>
      </c>
      <c r="B212" s="81" t="str">
        <f>COPY!C210</f>
        <v/>
      </c>
      <c r="C212" s="82" t="str">
        <f>COPY!D210</f>
        <v/>
      </c>
      <c r="D212" s="81" t="str">
        <f>IF(Table13[[#This Row],[JUMLAH]]&gt;1,(IF(Table13[[#This Row],[CODE]]=" ",D211&amp;"a",IF(Table13[[#This Row],[CODE]]&gt;0,Table13[[#This Row],[CODE]],0))),"")</f>
        <v/>
      </c>
      <c r="E212" s="81" t="str">
        <f>IF(COPY!G210&gt;0,COPY!G210,"")</f>
        <v/>
      </c>
      <c r="F212" s="88" t="str">
        <f>IF(COPY!J210&gt;0,COPY!J210,"")</f>
        <v/>
      </c>
      <c r="G212" s="85" t="str">
        <f>IF(COPY!H210&gt;0,COPY!H210,"")</f>
        <v/>
      </c>
      <c r="H212" s="85" t="str">
        <f>IF(COPY!I210&gt;0,COPY!I210,"")</f>
        <v/>
      </c>
      <c r="I212" s="85" t="str">
        <f>IF(COPY!M210&gt;0,COPY!M210,"")</f>
        <v/>
      </c>
      <c r="J212" s="85" t="str">
        <f>IF(COPY!N210&gt;0,COPY!N210,"")</f>
        <v/>
      </c>
      <c r="K212" s="86" t="str">
        <f>IF(N212=0,(IF(LEFT(Table13[[#This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Row],[URAIAN]],$U$194:$V$210,2,FALSE),""),""),0))))),N212)</f>
        <v/>
      </c>
      <c r="L212" s="85" t="str">
        <f>IF(Table13[[#This Row],[Column2]]="KWITANSI",COUNTIF($K$4:K212,"KWITANSI")," ")</f>
        <v xml:space="preserve"> </v>
      </c>
      <c r="M212" s="85" t="str">
        <f>IF(Table13[[#This Row],[Column3]]=" "," ",Table13[[#This Row],[CODE]])</f>
        <v xml:space="preserve"> </v>
      </c>
      <c r="N212" s="368"/>
      <c r="P212" s="81" t="str">
        <f t="shared" si="3"/>
        <v/>
      </c>
    </row>
    <row r="213" spans="1:16" hidden="1" x14ac:dyDescent="0.15">
      <c r="A213" s="81" t="str">
        <f>COPY!O211</f>
        <v/>
      </c>
      <c r="B213" s="81" t="str">
        <f>COPY!C211</f>
        <v/>
      </c>
      <c r="C213" s="82" t="str">
        <f>COPY!D211</f>
        <v/>
      </c>
      <c r="D213" s="81" t="str">
        <f>IF(Table13[[#This Row],[JUMLAH]]&gt;1,(IF(Table13[[#This Row],[CODE]]=" ",D212&amp;"a",IF(Table13[[#This Row],[CODE]]&gt;0,Table13[[#This Row],[CODE]],0))),"")</f>
        <v/>
      </c>
      <c r="E213" s="81" t="str">
        <f>IF(COPY!G211&gt;0,COPY!G211,"")</f>
        <v/>
      </c>
      <c r="F213" s="88" t="str">
        <f>IF(COPY!J211&gt;0,COPY!J211,"")</f>
        <v/>
      </c>
      <c r="G213" s="85" t="str">
        <f>IF(COPY!H211&gt;0,COPY!H211,"")</f>
        <v/>
      </c>
      <c r="H213" s="85" t="str">
        <f>IF(COPY!I211&gt;0,COPY!I211,"")</f>
        <v/>
      </c>
      <c r="I213" s="85" t="str">
        <f>IF(COPY!M211&gt;0,COPY!M211,"")</f>
        <v/>
      </c>
      <c r="J213" s="85" t="str">
        <f>IF(COPY!N211&gt;0,COPY!N211,"")</f>
        <v/>
      </c>
      <c r="K213" s="86" t="str">
        <f>IF(N213=0,(IF(LEFT(Table13[[#This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Row],[URAIAN]],$U$194:$V$210,2,FALSE),""),""),0))))),N213)</f>
        <v/>
      </c>
      <c r="L213" s="85" t="str">
        <f>IF(Table13[[#This Row],[Column2]]="KWITANSI",COUNTIF($K$4:K213,"KWITANSI")," ")</f>
        <v xml:space="preserve"> </v>
      </c>
      <c r="M213" s="85" t="str">
        <f>IF(Table13[[#This Row],[Column3]]=" "," ",Table13[[#This Row],[CODE]])</f>
        <v xml:space="preserve"> </v>
      </c>
      <c r="N213" s="368"/>
      <c r="P213" s="81" t="str">
        <f t="shared" si="3"/>
        <v/>
      </c>
    </row>
    <row r="214" spans="1:16" hidden="1" x14ac:dyDescent="0.15">
      <c r="A214" s="81" t="str">
        <f>COPY!O212</f>
        <v/>
      </c>
      <c r="B214" s="81" t="str">
        <f>COPY!C212</f>
        <v/>
      </c>
      <c r="C214" s="82" t="str">
        <f>COPY!D212</f>
        <v/>
      </c>
      <c r="D214" s="81" t="str">
        <f>IF(Table13[[#This Row],[JUMLAH]]&gt;1,(IF(Table13[[#This Row],[CODE]]=" ",D213&amp;"a",IF(Table13[[#This Row],[CODE]]&gt;0,Table13[[#This Row],[CODE]],0))),"")</f>
        <v/>
      </c>
      <c r="E214" s="81" t="str">
        <f>IF(COPY!G212&gt;0,COPY!G212,"")</f>
        <v/>
      </c>
      <c r="F214" s="88" t="str">
        <f>IF(COPY!J212&gt;0,COPY!J212,"")</f>
        <v/>
      </c>
      <c r="G214" s="85" t="str">
        <f>IF(COPY!H212&gt;0,COPY!H212,"")</f>
        <v/>
      </c>
      <c r="H214" s="85" t="str">
        <f>IF(COPY!I212&gt;0,COPY!I212,"")</f>
        <v/>
      </c>
      <c r="I214" s="85" t="str">
        <f>IF(COPY!M212&gt;0,COPY!M212,"")</f>
        <v/>
      </c>
      <c r="J214" s="85" t="str">
        <f>IF(COPY!N212&gt;0,COPY!N212,"")</f>
        <v/>
      </c>
      <c r="K214" s="86" t="str">
        <f>IF(N214=0,(IF(LEFT(Table13[[#This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Row],[URAIAN]],$U$194:$V$210,2,FALSE),""),""),0))))),N214)</f>
        <v/>
      </c>
      <c r="L214" s="85" t="str">
        <f>IF(Table13[[#This Row],[Column2]]="KWITANSI",COUNTIF($K$4:K214,"KWITANSI")," ")</f>
        <v xml:space="preserve"> </v>
      </c>
      <c r="M214" s="85" t="str">
        <f>IF(Table13[[#This Row],[Column3]]=" "," ",Table13[[#This Row],[CODE]])</f>
        <v xml:space="preserve"> </v>
      </c>
      <c r="N214" s="368"/>
      <c r="P214" s="81" t="str">
        <f t="shared" si="3"/>
        <v/>
      </c>
    </row>
    <row r="215" spans="1:16" hidden="1" x14ac:dyDescent="0.15">
      <c r="A215" s="81" t="str">
        <f>COPY!O213</f>
        <v/>
      </c>
      <c r="B215" s="81" t="str">
        <f>COPY!C213</f>
        <v/>
      </c>
      <c r="C215" s="82" t="str">
        <f>COPY!D213</f>
        <v/>
      </c>
      <c r="D215" s="81" t="str">
        <f>IF(Table13[[#This Row],[JUMLAH]]&gt;1,(IF(Table13[[#This Row],[CODE]]=" ",D214&amp;"a",IF(Table13[[#This Row],[CODE]]&gt;0,Table13[[#This Row],[CODE]],0))),"")</f>
        <v/>
      </c>
      <c r="E215" s="81" t="str">
        <f>IF(COPY!G213&gt;0,COPY!G213,"")</f>
        <v/>
      </c>
      <c r="F215" s="88" t="str">
        <f>IF(COPY!J213&gt;0,COPY!J213,"")</f>
        <v/>
      </c>
      <c r="G215" s="85" t="str">
        <f>IF(COPY!H213&gt;0,COPY!H213,"")</f>
        <v/>
      </c>
      <c r="H215" s="85" t="str">
        <f>IF(COPY!I213&gt;0,COPY!I213,"")</f>
        <v/>
      </c>
      <c r="I215" s="85" t="str">
        <f>IF(COPY!M213&gt;0,COPY!M213,"")</f>
        <v/>
      </c>
      <c r="J215" s="85" t="str">
        <f>IF(COPY!N213&gt;0,COPY!N213,"")</f>
        <v/>
      </c>
      <c r="K215" s="86" t="str">
        <f>IF(N215=0,(IF(LEFT(Table13[[#This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Row],[URAIAN]],$U$194:$V$210,2,FALSE),""),""),0))))),N215)</f>
        <v/>
      </c>
      <c r="L215" s="85" t="str">
        <f>IF(Table13[[#This Row],[Column2]]="KWITANSI",COUNTIF($K$4:K215,"KWITANSI")," ")</f>
        <v xml:space="preserve"> </v>
      </c>
      <c r="M215" s="85" t="str">
        <f>IF(Table13[[#This Row],[Column3]]=" "," ",Table13[[#This Row],[CODE]])</f>
        <v xml:space="preserve"> </v>
      </c>
      <c r="N215" s="368"/>
      <c r="P215" s="81" t="str">
        <f t="shared" si="3"/>
        <v/>
      </c>
    </row>
    <row r="216" spans="1:16" hidden="1" x14ac:dyDescent="0.15">
      <c r="A216" s="81" t="str">
        <f>COPY!O214</f>
        <v/>
      </c>
      <c r="B216" s="81" t="str">
        <f>COPY!C214</f>
        <v/>
      </c>
      <c r="C216" s="82" t="str">
        <f>COPY!D214</f>
        <v/>
      </c>
      <c r="D216" s="81" t="str">
        <f>IF(Table13[[#This Row],[JUMLAH]]&gt;1,(IF(Table13[[#This Row],[CODE]]=" ",D215&amp;"a",IF(Table13[[#This Row],[CODE]]&gt;0,Table13[[#This Row],[CODE]],0))),"")</f>
        <v/>
      </c>
      <c r="E216" s="81" t="str">
        <f>IF(COPY!G214&gt;0,COPY!G214,"")</f>
        <v/>
      </c>
      <c r="F216" s="88" t="str">
        <f>IF(COPY!J214&gt;0,COPY!J214,"")</f>
        <v/>
      </c>
      <c r="G216" s="85" t="str">
        <f>IF(COPY!H214&gt;0,COPY!H214,"")</f>
        <v/>
      </c>
      <c r="H216" s="85" t="str">
        <f>IF(COPY!I214&gt;0,COPY!I214,"")</f>
        <v/>
      </c>
      <c r="I216" s="85" t="str">
        <f>IF(COPY!M214&gt;0,COPY!M214,"")</f>
        <v/>
      </c>
      <c r="J216" s="85" t="str">
        <f>IF(COPY!N214&gt;0,COPY!N214,"")</f>
        <v/>
      </c>
      <c r="K216" s="86" t="str">
        <f>IF(N216=0,(IF(LEFT(Table13[[#This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Row],[URAIAN]],$U$194:$V$210,2,FALSE),""),""),0))))),N216)</f>
        <v/>
      </c>
      <c r="L216" s="85" t="str">
        <f>IF(Table13[[#This Row],[Column2]]="KWITANSI",COUNTIF($K$4:K216,"KWITANSI")," ")</f>
        <v xml:space="preserve"> </v>
      </c>
      <c r="M216" s="85" t="str">
        <f>IF(Table13[[#This Row],[Column3]]=" "," ",Table13[[#This Row],[CODE]])</f>
        <v xml:space="preserve"> </v>
      </c>
      <c r="N216" s="368"/>
      <c r="P216" s="81" t="str">
        <f t="shared" si="3"/>
        <v/>
      </c>
    </row>
    <row r="217" spans="1:16" hidden="1" x14ac:dyDescent="0.15">
      <c r="A217" s="81" t="str">
        <f>COPY!O215</f>
        <v/>
      </c>
      <c r="B217" s="81" t="str">
        <f>COPY!C215</f>
        <v/>
      </c>
      <c r="C217" s="82" t="str">
        <f>COPY!D215</f>
        <v/>
      </c>
      <c r="D217" s="81" t="str">
        <f>IF(Table13[[#This Row],[JUMLAH]]&gt;1,(IF(Table13[[#This Row],[CODE]]=" ",D216&amp;"a",IF(Table13[[#This Row],[CODE]]&gt;0,Table13[[#This Row],[CODE]],0))),"")</f>
        <v/>
      </c>
      <c r="E217" s="81" t="str">
        <f>IF(COPY!G215&gt;0,COPY!G215,"")</f>
        <v/>
      </c>
      <c r="F217" s="88" t="str">
        <f>IF(COPY!J215&gt;0,COPY!J215,"")</f>
        <v/>
      </c>
      <c r="G217" s="85" t="str">
        <f>IF(COPY!H215&gt;0,COPY!H215,"")</f>
        <v/>
      </c>
      <c r="H217" s="85" t="str">
        <f>IF(COPY!I215&gt;0,COPY!I215,"")</f>
        <v/>
      </c>
      <c r="I217" s="85" t="str">
        <f>IF(COPY!M215&gt;0,COPY!M215,"")</f>
        <v/>
      </c>
      <c r="J217" s="85" t="str">
        <f>IF(COPY!N215&gt;0,COPY!N215,"")</f>
        <v/>
      </c>
      <c r="K217" s="86" t="str">
        <f>IF(N217=0,(IF(LEFT(Table13[[#This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Row],[URAIAN]],$U$194:$V$210,2,FALSE),""),""),0))))),N217)</f>
        <v/>
      </c>
      <c r="L217" s="85" t="str">
        <f>IF(Table13[[#This Row],[Column2]]="KWITANSI",COUNTIF($K$4:K217,"KWITANSI")," ")</f>
        <v xml:space="preserve"> </v>
      </c>
      <c r="M217" s="85" t="str">
        <f>IF(Table13[[#This Row],[Column3]]=" "," ",Table13[[#This Row],[CODE]])</f>
        <v xml:space="preserve"> </v>
      </c>
      <c r="N217" s="368"/>
      <c r="P217" s="81" t="str">
        <f t="shared" si="3"/>
        <v/>
      </c>
    </row>
    <row r="218" spans="1:16" hidden="1" x14ac:dyDescent="0.15">
      <c r="A218" s="81" t="str">
        <f>COPY!O216</f>
        <v/>
      </c>
      <c r="B218" s="81" t="str">
        <f>COPY!C216</f>
        <v/>
      </c>
      <c r="C218" s="82" t="str">
        <f>COPY!D216</f>
        <v/>
      </c>
      <c r="D218" s="81" t="str">
        <f>IF(Table13[[#This Row],[JUMLAH]]&gt;1,(IF(Table13[[#This Row],[CODE]]=" ",D217&amp;"a",IF(Table13[[#This Row],[CODE]]&gt;0,Table13[[#This Row],[CODE]],0))),"")</f>
        <v/>
      </c>
      <c r="E218" s="81" t="str">
        <f>IF(COPY!G216&gt;0,COPY!G216,"")</f>
        <v/>
      </c>
      <c r="F218" s="88" t="str">
        <f>IF(COPY!J216&gt;0,COPY!J216,"")</f>
        <v/>
      </c>
      <c r="G218" s="85" t="str">
        <f>IF(COPY!H216&gt;0,COPY!H216,"")</f>
        <v/>
      </c>
      <c r="H218" s="85" t="str">
        <f>IF(COPY!I216&gt;0,COPY!I216,"")</f>
        <v/>
      </c>
      <c r="I218" s="85" t="str">
        <f>IF(COPY!M216&gt;0,COPY!M216,"")</f>
        <v/>
      </c>
      <c r="J218" s="85" t="str">
        <f>IF(COPY!N216&gt;0,COPY!N216,"")</f>
        <v/>
      </c>
      <c r="K218" s="86" t="str">
        <f>IF(N218=0,(IF(LEFT(Table13[[#This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Row],[URAIAN]],$U$194:$V$210,2,FALSE),""),""),0))))),N218)</f>
        <v/>
      </c>
      <c r="L218" s="85" t="str">
        <f>IF(Table13[[#This Row],[Column2]]="KWITANSI",COUNTIF($K$4:K218,"KWITANSI")," ")</f>
        <v xml:space="preserve"> </v>
      </c>
      <c r="M218" s="85" t="str">
        <f>IF(Table13[[#This Row],[Column3]]=" "," ",Table13[[#This Row],[CODE]])</f>
        <v xml:space="preserve"> </v>
      </c>
      <c r="N218" s="368"/>
      <c r="P218" s="81" t="str">
        <f t="shared" si="3"/>
        <v/>
      </c>
    </row>
    <row r="219" spans="1:16" hidden="1" x14ac:dyDescent="0.15">
      <c r="A219" s="81" t="str">
        <f>COPY!O217</f>
        <v/>
      </c>
      <c r="B219" s="81" t="str">
        <f>COPY!C217</f>
        <v/>
      </c>
      <c r="C219" s="82" t="str">
        <f>COPY!D217</f>
        <v/>
      </c>
      <c r="D219" s="81" t="str">
        <f>IF(Table13[[#This Row],[JUMLAH]]&gt;1,(IF(Table13[[#This Row],[CODE]]=" ",D218&amp;"a",IF(Table13[[#This Row],[CODE]]&gt;0,Table13[[#This Row],[CODE]],0))),"")</f>
        <v/>
      </c>
      <c r="E219" s="81" t="str">
        <f>IF(COPY!G217&gt;0,COPY!G217,"")</f>
        <v/>
      </c>
      <c r="F219" s="88" t="str">
        <f>IF(COPY!J217&gt;0,COPY!J217,"")</f>
        <v/>
      </c>
      <c r="G219" s="85" t="str">
        <f>IF(COPY!H217&gt;0,COPY!H217,"")</f>
        <v/>
      </c>
      <c r="H219" s="85" t="str">
        <f>IF(COPY!I217&gt;0,COPY!I217,"")</f>
        <v/>
      </c>
      <c r="I219" s="85" t="str">
        <f>IF(COPY!M217&gt;0,COPY!M217,"")</f>
        <v/>
      </c>
      <c r="J219" s="85" t="str">
        <f>IF(COPY!N217&gt;0,COPY!N217,"")</f>
        <v/>
      </c>
      <c r="K219" s="86" t="str">
        <f>IF(N219=0,(IF(LEFT(Table13[[#This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Row],[URAIAN]],$U$194:$V$210,2,FALSE),""),""),0))))),N219)</f>
        <v/>
      </c>
      <c r="L219" s="85" t="str">
        <f>IF(Table13[[#This Row],[Column2]]="KWITANSI",COUNTIF($K$4:K219,"KWITANSI")," ")</f>
        <v xml:space="preserve"> </v>
      </c>
      <c r="M219" s="85" t="str">
        <f>IF(Table13[[#This Row],[Column3]]=" "," ",Table13[[#This Row],[CODE]])</f>
        <v xml:space="preserve"> </v>
      </c>
      <c r="N219" s="368"/>
      <c r="P219" s="81" t="str">
        <f t="shared" si="3"/>
        <v/>
      </c>
    </row>
    <row r="220" spans="1:16" hidden="1" x14ac:dyDescent="0.15">
      <c r="A220" s="81" t="str">
        <f>COPY!O218</f>
        <v/>
      </c>
      <c r="B220" s="81" t="str">
        <f>COPY!C218</f>
        <v/>
      </c>
      <c r="C220" s="82" t="str">
        <f>COPY!D218</f>
        <v/>
      </c>
      <c r="D220" s="81" t="str">
        <f>IF(Table13[[#This Row],[JUMLAH]]&gt;1,(IF(Table13[[#This Row],[CODE]]=" ",D219&amp;"a",IF(Table13[[#This Row],[CODE]]&gt;0,Table13[[#This Row],[CODE]],0))),"")</f>
        <v/>
      </c>
      <c r="E220" s="81" t="str">
        <f>IF(COPY!G218&gt;0,COPY!G218,"")</f>
        <v/>
      </c>
      <c r="F220" s="88" t="str">
        <f>IF(COPY!J218&gt;0,COPY!J218,"")</f>
        <v/>
      </c>
      <c r="G220" s="85" t="str">
        <f>IF(COPY!H218&gt;0,COPY!H218,"")</f>
        <v/>
      </c>
      <c r="H220" s="85" t="str">
        <f>IF(COPY!I218&gt;0,COPY!I218,"")</f>
        <v/>
      </c>
      <c r="I220" s="85" t="str">
        <f>IF(COPY!M218&gt;0,COPY!M218,"")</f>
        <v/>
      </c>
      <c r="J220" s="85" t="str">
        <f>IF(COPY!N218&gt;0,COPY!N218,"")</f>
        <v/>
      </c>
      <c r="K220" s="86" t="str">
        <f>IF(N220=0,(IF(LEFT(Table13[[#This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Row],[URAIAN]],$U$194:$V$210,2,FALSE),""),""),0))))),N220)</f>
        <v/>
      </c>
      <c r="L220" s="85" t="str">
        <f>IF(Table13[[#This Row],[Column2]]="KWITANSI",COUNTIF($K$4:K220,"KWITANSI")," ")</f>
        <v xml:space="preserve"> </v>
      </c>
      <c r="M220" s="85" t="str">
        <f>IF(Table13[[#This Row],[Column3]]=" "," ",Table13[[#This Row],[CODE]])</f>
        <v xml:space="preserve"> </v>
      </c>
      <c r="N220" s="368"/>
      <c r="P220" s="81" t="str">
        <f t="shared" si="3"/>
        <v/>
      </c>
    </row>
    <row r="221" spans="1:16" hidden="1" x14ac:dyDescent="0.15">
      <c r="A221" s="81" t="str">
        <f>COPY!O219</f>
        <v/>
      </c>
      <c r="B221" s="81" t="str">
        <f>COPY!C219</f>
        <v/>
      </c>
      <c r="C221" s="82" t="str">
        <f>COPY!D219</f>
        <v/>
      </c>
      <c r="D221" s="81" t="str">
        <f>IF(Table13[[#This Row],[JUMLAH]]&gt;1,(IF(Table13[[#This Row],[CODE]]=" ",D220&amp;"a",IF(Table13[[#This Row],[CODE]]&gt;0,Table13[[#This Row],[CODE]],0))),"")</f>
        <v/>
      </c>
      <c r="E221" s="81" t="str">
        <f>IF(COPY!G219&gt;0,COPY!G219,"")</f>
        <v/>
      </c>
      <c r="F221" s="88" t="str">
        <f>IF(COPY!J219&gt;0,COPY!J219,"")</f>
        <v/>
      </c>
      <c r="G221" s="85" t="str">
        <f>IF(COPY!H219&gt;0,COPY!H219,"")</f>
        <v/>
      </c>
      <c r="H221" s="85" t="str">
        <f>IF(COPY!I219&gt;0,COPY!I219,"")</f>
        <v/>
      </c>
      <c r="I221" s="85" t="str">
        <f>IF(COPY!M219&gt;0,COPY!M219,"")</f>
        <v/>
      </c>
      <c r="J221" s="85" t="str">
        <f>IF(COPY!N219&gt;0,COPY!N219,"")</f>
        <v/>
      </c>
      <c r="K221" s="86" t="str">
        <f>IF(N221=0,(IF(LEFT(Table13[[#This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Row],[URAIAN]],$U$194:$V$210,2,FALSE),""),""),0))))),N221)</f>
        <v/>
      </c>
      <c r="L221" s="85" t="str">
        <f>IF(Table13[[#This Row],[Column2]]="KWITANSI",COUNTIF($K$4:K221,"KWITANSI")," ")</f>
        <v xml:space="preserve"> </v>
      </c>
      <c r="M221" s="85" t="str">
        <f>IF(Table13[[#This Row],[Column3]]=" "," ",Table13[[#This Row],[CODE]])</f>
        <v xml:space="preserve"> </v>
      </c>
      <c r="N221" s="368"/>
      <c r="P221" s="81" t="str">
        <f t="shared" si="3"/>
        <v/>
      </c>
    </row>
    <row r="222" spans="1:16" hidden="1" x14ac:dyDescent="0.15">
      <c r="A222" s="81" t="str">
        <f>COPY!O220</f>
        <v/>
      </c>
      <c r="B222" s="81" t="str">
        <f>COPY!C220</f>
        <v/>
      </c>
      <c r="C222" s="82" t="str">
        <f>COPY!D220</f>
        <v/>
      </c>
      <c r="D222" s="81" t="str">
        <f>IF(Table13[[#This Row],[JUMLAH]]&gt;1,(IF(Table13[[#This Row],[CODE]]=" ",D221&amp;"a",IF(Table13[[#This Row],[CODE]]&gt;0,Table13[[#This Row],[CODE]],0))),"")</f>
        <v/>
      </c>
      <c r="E222" s="81" t="str">
        <f>IF(COPY!G220&gt;0,COPY!G220,"")</f>
        <v/>
      </c>
      <c r="F222" s="88" t="str">
        <f>IF(COPY!J220&gt;0,COPY!J220,"")</f>
        <v/>
      </c>
      <c r="G222" s="85" t="str">
        <f>IF(COPY!H220&gt;0,COPY!H220,"")</f>
        <v/>
      </c>
      <c r="H222" s="85" t="str">
        <f>IF(COPY!I220&gt;0,COPY!I220,"")</f>
        <v/>
      </c>
      <c r="I222" s="85" t="str">
        <f>IF(COPY!M220&gt;0,COPY!M220,"")</f>
        <v/>
      </c>
      <c r="J222" s="85" t="str">
        <f>IF(COPY!N220&gt;0,COPY!N220,"")</f>
        <v/>
      </c>
      <c r="K222" s="86" t="str">
        <f>IF(N222=0,(IF(LEFT(Table13[[#This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Row],[URAIAN]],$U$194:$V$210,2,FALSE),""),""),0))))),N222)</f>
        <v/>
      </c>
      <c r="L222" s="85" t="str">
        <f>IF(Table13[[#This Row],[Column2]]="KWITANSI",COUNTIF($K$4:K222,"KWITANSI")," ")</f>
        <v xml:space="preserve"> </v>
      </c>
      <c r="M222" s="85" t="str">
        <f>IF(Table13[[#This Row],[Column3]]=" "," ",Table13[[#This Row],[CODE]])</f>
        <v xml:space="preserve"> </v>
      </c>
      <c r="N222" s="368"/>
      <c r="P222" s="81" t="str">
        <f t="shared" si="3"/>
        <v/>
      </c>
    </row>
    <row r="223" spans="1:16" hidden="1" x14ac:dyDescent="0.15">
      <c r="A223" s="81" t="str">
        <f>COPY!O221</f>
        <v/>
      </c>
      <c r="B223" s="81" t="str">
        <f>COPY!C221</f>
        <v/>
      </c>
      <c r="C223" s="82" t="str">
        <f>COPY!D221</f>
        <v/>
      </c>
      <c r="D223" s="81" t="str">
        <f>IF(Table13[[#This Row],[JUMLAH]]&gt;1,(IF(Table13[[#This Row],[CODE]]=" ",D222&amp;"a",IF(Table13[[#This Row],[CODE]]&gt;0,Table13[[#This Row],[CODE]],0))),"")</f>
        <v/>
      </c>
      <c r="E223" s="81" t="str">
        <f>IF(COPY!G221&gt;0,COPY!G221,"")</f>
        <v/>
      </c>
      <c r="F223" s="88" t="str">
        <f>IF(COPY!J221&gt;0,COPY!J221,"")</f>
        <v/>
      </c>
      <c r="G223" s="85" t="str">
        <f>IF(COPY!H221&gt;0,COPY!H221,"")</f>
        <v/>
      </c>
      <c r="H223" s="85" t="str">
        <f>IF(COPY!I221&gt;0,COPY!I221,"")</f>
        <v/>
      </c>
      <c r="I223" s="85" t="str">
        <f>IF(COPY!M221&gt;0,COPY!M221,"")</f>
        <v/>
      </c>
      <c r="J223" s="85" t="str">
        <f>IF(COPY!N221&gt;0,COPY!N221,"")</f>
        <v/>
      </c>
      <c r="K223" s="86" t="str">
        <f>IF(N223=0,(IF(LEFT(Table13[[#This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Row],[URAIAN]],$U$194:$V$210,2,FALSE),""),""),0))))),N223)</f>
        <v/>
      </c>
      <c r="L223" s="85" t="str">
        <f>IF(Table13[[#This Row],[Column2]]="KWITANSI",COUNTIF($K$4:K223,"KWITANSI")," ")</f>
        <v xml:space="preserve"> </v>
      </c>
      <c r="M223" s="85" t="str">
        <f>IF(Table13[[#This Row],[Column3]]=" "," ",Table13[[#This Row],[CODE]])</f>
        <v xml:space="preserve"> </v>
      </c>
      <c r="N223" s="368"/>
      <c r="P223" s="81" t="str">
        <f t="shared" si="3"/>
        <v/>
      </c>
    </row>
    <row r="224" spans="1:16" hidden="1" x14ac:dyDescent="0.15">
      <c r="A224" s="81" t="str">
        <f>COPY!O222</f>
        <v/>
      </c>
      <c r="B224" s="81" t="str">
        <f>COPY!C222</f>
        <v/>
      </c>
      <c r="C224" s="82" t="str">
        <f>COPY!D222</f>
        <v/>
      </c>
      <c r="D224" s="81" t="str">
        <f>IF(Table13[[#This Row],[JUMLAH]]&gt;1,(IF(Table13[[#This Row],[CODE]]=" ",D223&amp;"a",IF(Table13[[#This Row],[CODE]]&gt;0,Table13[[#This Row],[CODE]],0))),"")</f>
        <v/>
      </c>
      <c r="E224" s="81" t="str">
        <f>IF(COPY!G222&gt;0,COPY!G222,"")</f>
        <v/>
      </c>
      <c r="F224" s="88" t="str">
        <f>IF(COPY!J222&gt;0,COPY!J222,"")</f>
        <v/>
      </c>
      <c r="G224" s="85" t="str">
        <f>IF(COPY!H222&gt;0,COPY!H222,"")</f>
        <v/>
      </c>
      <c r="H224" s="85" t="str">
        <f>IF(COPY!I222&gt;0,COPY!I222,"")</f>
        <v/>
      </c>
      <c r="I224" s="85" t="str">
        <f>IF(COPY!M222&gt;0,COPY!M222,"")</f>
        <v/>
      </c>
      <c r="J224" s="85" t="str">
        <f>IF(COPY!N222&gt;0,COPY!N222,"")</f>
        <v/>
      </c>
      <c r="K224" s="86" t="str">
        <f>IF(N224=0,(IF(LEFT(Table13[[#This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Row],[URAIAN]],$U$194:$V$210,2,FALSE),""),""),0))))),N224)</f>
        <v/>
      </c>
      <c r="L224" s="85" t="str">
        <f>IF(Table13[[#This Row],[Column2]]="KWITANSI",COUNTIF($K$4:K224,"KWITANSI")," ")</f>
        <v xml:space="preserve"> </v>
      </c>
      <c r="M224" s="85" t="str">
        <f>IF(Table13[[#This Row],[Column3]]=" "," ",Table13[[#This Row],[CODE]])</f>
        <v xml:space="preserve"> </v>
      </c>
      <c r="N224" s="368"/>
      <c r="P224" s="81" t="str">
        <f t="shared" si="3"/>
        <v/>
      </c>
    </row>
    <row r="225" spans="1:16" hidden="1" x14ac:dyDescent="0.15">
      <c r="A225" s="81" t="str">
        <f>COPY!O223</f>
        <v/>
      </c>
      <c r="B225" s="81" t="str">
        <f>COPY!C223</f>
        <v/>
      </c>
      <c r="C225" s="82" t="str">
        <f>COPY!D223</f>
        <v/>
      </c>
      <c r="D225" s="81" t="str">
        <f>IF(Table13[[#This Row],[JUMLAH]]&gt;1,(IF(Table13[[#This Row],[CODE]]=" ",D224&amp;"a",IF(Table13[[#This Row],[CODE]]&gt;0,Table13[[#This Row],[CODE]],0))),"")</f>
        <v/>
      </c>
      <c r="E225" s="81" t="str">
        <f>IF(COPY!G223&gt;0,COPY!G223,"")</f>
        <v/>
      </c>
      <c r="F225" s="88" t="str">
        <f>IF(COPY!J223&gt;0,COPY!J223,"")</f>
        <v/>
      </c>
      <c r="G225" s="85" t="str">
        <f>IF(COPY!H223&gt;0,COPY!H223,"")</f>
        <v/>
      </c>
      <c r="H225" s="85" t="str">
        <f>IF(COPY!I223&gt;0,COPY!I223,"")</f>
        <v/>
      </c>
      <c r="I225" s="85" t="str">
        <f>IF(COPY!M223&gt;0,COPY!M223,"")</f>
        <v/>
      </c>
      <c r="J225" s="85" t="str">
        <f>IF(COPY!N223&gt;0,COPY!N223,"")</f>
        <v/>
      </c>
      <c r="K225" s="86" t="str">
        <f>IF(N225=0,(IF(LEFT(Table13[[#This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Row],[URAIAN]],$U$194:$V$210,2,FALSE),""),""),0))))),N225)</f>
        <v/>
      </c>
      <c r="L225" s="85" t="str">
        <f>IF(Table13[[#This Row],[Column2]]="KWITANSI",COUNTIF($K$4:K225,"KWITANSI")," ")</f>
        <v xml:space="preserve"> </v>
      </c>
      <c r="M225" s="85" t="str">
        <f>IF(Table13[[#This Row],[Column3]]=" "," ",Table13[[#This Row],[CODE]])</f>
        <v xml:space="preserve"> </v>
      </c>
      <c r="N225" s="368"/>
      <c r="P225" s="81" t="str">
        <f t="shared" si="3"/>
        <v/>
      </c>
    </row>
    <row r="226" spans="1:16" hidden="1" x14ac:dyDescent="0.15">
      <c r="A226" s="81" t="str">
        <f>COPY!O224</f>
        <v/>
      </c>
      <c r="B226" s="81" t="str">
        <f>COPY!C224</f>
        <v/>
      </c>
      <c r="C226" s="82" t="str">
        <f>COPY!D224</f>
        <v/>
      </c>
      <c r="D226" s="81" t="str">
        <f>IF(Table13[[#This Row],[JUMLAH]]&gt;1,(IF(Table13[[#This Row],[CODE]]=" ",D225&amp;"a",IF(Table13[[#This Row],[CODE]]&gt;0,Table13[[#This Row],[CODE]],0))),"")</f>
        <v/>
      </c>
      <c r="E226" s="81" t="str">
        <f>IF(COPY!G224&gt;0,COPY!G224,"")</f>
        <v/>
      </c>
      <c r="F226" s="88" t="str">
        <f>IF(COPY!J224&gt;0,COPY!J224,"")</f>
        <v/>
      </c>
      <c r="G226" s="85" t="str">
        <f>IF(COPY!H224&gt;0,COPY!H224,"")</f>
        <v/>
      </c>
      <c r="H226" s="85" t="str">
        <f>IF(COPY!I224&gt;0,COPY!I224,"")</f>
        <v/>
      </c>
      <c r="I226" s="85" t="str">
        <f>IF(COPY!M224&gt;0,COPY!M224,"")</f>
        <v/>
      </c>
      <c r="J226" s="85" t="str">
        <f>IF(COPY!N224&gt;0,COPY!N224,"")</f>
        <v/>
      </c>
      <c r="K226" s="86" t="str">
        <f>IF(N226=0,(IF(LEFT(Table13[[#This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Row],[URAIAN]],$U$194:$V$210,2,FALSE),""),""),0))))),N226)</f>
        <v/>
      </c>
      <c r="L226" s="85" t="str">
        <f>IF(Table13[[#This Row],[Column2]]="KWITANSI",COUNTIF($K$4:K226,"KWITANSI")," ")</f>
        <v xml:space="preserve"> </v>
      </c>
      <c r="M226" s="85" t="str">
        <f>IF(Table13[[#This Row],[Column3]]=" "," ",Table13[[#This Row],[CODE]])</f>
        <v xml:space="preserve"> </v>
      </c>
      <c r="N226" s="368"/>
      <c r="P226" s="81" t="str">
        <f t="shared" si="3"/>
        <v/>
      </c>
    </row>
    <row r="227" spans="1:16" hidden="1" x14ac:dyDescent="0.15">
      <c r="A227" s="81" t="str">
        <f>COPY!O225</f>
        <v/>
      </c>
      <c r="B227" s="81" t="str">
        <f>COPY!C225</f>
        <v/>
      </c>
      <c r="C227" s="82" t="str">
        <f>COPY!D225</f>
        <v/>
      </c>
      <c r="D227" s="81" t="str">
        <f>IF(Table13[[#This Row],[JUMLAH]]&gt;1,(IF(Table13[[#This Row],[CODE]]=" ",D226&amp;"a",IF(Table13[[#This Row],[CODE]]&gt;0,Table13[[#This Row],[CODE]],0))),"")</f>
        <v/>
      </c>
      <c r="E227" s="81" t="str">
        <f>IF(COPY!G225&gt;0,COPY!G225,"")</f>
        <v/>
      </c>
      <c r="F227" s="88" t="str">
        <f>IF(COPY!J225&gt;0,COPY!J225,"")</f>
        <v/>
      </c>
      <c r="G227" s="85" t="str">
        <f>IF(COPY!H225&gt;0,COPY!H225,"")</f>
        <v/>
      </c>
      <c r="H227" s="85" t="str">
        <f>IF(COPY!I225&gt;0,COPY!I225,"")</f>
        <v/>
      </c>
      <c r="I227" s="85" t="str">
        <f>IF(COPY!M225&gt;0,COPY!M225,"")</f>
        <v/>
      </c>
      <c r="J227" s="85" t="str">
        <f>IF(COPY!N225&gt;0,COPY!N225,"")</f>
        <v/>
      </c>
      <c r="K227" s="86" t="str">
        <f>IF(N227=0,(IF(LEFT(Table13[[#This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Row],[URAIAN]],$U$194:$V$210,2,FALSE),""),""),0))))),N227)</f>
        <v/>
      </c>
      <c r="L227" s="85" t="str">
        <f>IF(Table13[[#This Row],[Column2]]="KWITANSI",COUNTIF($K$4:K227,"KWITANSI")," ")</f>
        <v xml:space="preserve"> </v>
      </c>
      <c r="M227" s="85" t="str">
        <f>IF(Table13[[#This Row],[Column3]]=" "," ",Table13[[#This Row],[CODE]])</f>
        <v xml:space="preserve"> </v>
      </c>
      <c r="N227" s="368"/>
      <c r="P227" s="81" t="str">
        <f t="shared" si="3"/>
        <v/>
      </c>
    </row>
    <row r="228" spans="1:16" hidden="1" x14ac:dyDescent="0.15">
      <c r="A228" s="81" t="str">
        <f>COPY!O226</f>
        <v/>
      </c>
      <c r="B228" s="81" t="str">
        <f>COPY!C226</f>
        <v/>
      </c>
      <c r="C228" s="82" t="str">
        <f>COPY!D226</f>
        <v/>
      </c>
      <c r="D228" s="81" t="str">
        <f>IF(Table13[[#This Row],[JUMLAH]]&gt;1,(IF(Table13[[#This Row],[CODE]]=" ",D227&amp;"a",IF(Table13[[#This Row],[CODE]]&gt;0,Table13[[#This Row],[CODE]],0))),"")</f>
        <v/>
      </c>
      <c r="E228" s="81" t="str">
        <f>IF(COPY!G226&gt;0,COPY!G226,"")</f>
        <v/>
      </c>
      <c r="F228" s="88" t="str">
        <f>IF(COPY!J226&gt;0,COPY!J226,"")</f>
        <v/>
      </c>
      <c r="G228" s="85" t="str">
        <f>IF(COPY!H226&gt;0,COPY!H226,"")</f>
        <v/>
      </c>
      <c r="H228" s="85" t="str">
        <f>IF(COPY!I226&gt;0,COPY!I226,"")</f>
        <v/>
      </c>
      <c r="I228" s="85" t="str">
        <f>IF(COPY!M226&gt;0,COPY!M226,"")</f>
        <v/>
      </c>
      <c r="J228" s="85" t="str">
        <f>IF(COPY!N226&gt;0,COPY!N226,"")</f>
        <v/>
      </c>
      <c r="K228" s="86" t="str">
        <f>IF(N228=0,(IF(LEFT(Table13[[#This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Row],[URAIAN]],$U$194:$V$210,2,FALSE),""),""),0))))),N228)</f>
        <v/>
      </c>
      <c r="L228" s="85" t="str">
        <f>IF(Table13[[#This Row],[Column2]]="KWITANSI",COUNTIF($K$4:K228,"KWITANSI")," ")</f>
        <v xml:space="preserve"> </v>
      </c>
      <c r="M228" s="85" t="str">
        <f>IF(Table13[[#This Row],[Column3]]=" "," ",Table13[[#This Row],[CODE]])</f>
        <v xml:space="preserve"> </v>
      </c>
      <c r="N228" s="368"/>
      <c r="P228" s="81" t="str">
        <f t="shared" si="3"/>
        <v/>
      </c>
    </row>
    <row r="229" spans="1:16" hidden="1" x14ac:dyDescent="0.15">
      <c r="A229" s="81" t="str">
        <f>COPY!O227</f>
        <v/>
      </c>
      <c r="B229" s="81" t="str">
        <f>COPY!C227</f>
        <v/>
      </c>
      <c r="C229" s="82" t="str">
        <f>COPY!D227</f>
        <v/>
      </c>
      <c r="D229" s="81" t="str">
        <f>IF(Table13[[#This Row],[JUMLAH]]&gt;1,(IF(Table13[[#This Row],[CODE]]=" ",D228&amp;"a",IF(Table13[[#This Row],[CODE]]&gt;0,Table13[[#This Row],[CODE]],0))),"")</f>
        <v/>
      </c>
      <c r="E229" s="81" t="str">
        <f>IF(COPY!G227&gt;0,COPY!G227,"")</f>
        <v/>
      </c>
      <c r="F229" s="88" t="str">
        <f>IF(COPY!J227&gt;0,COPY!J227,"")</f>
        <v/>
      </c>
      <c r="G229" s="85" t="str">
        <f>IF(COPY!H227&gt;0,COPY!H227,"")</f>
        <v/>
      </c>
      <c r="H229" s="85" t="str">
        <f>IF(COPY!I227&gt;0,COPY!I227,"")</f>
        <v/>
      </c>
      <c r="I229" s="85" t="str">
        <f>IF(COPY!M227&gt;0,COPY!M227,"")</f>
        <v/>
      </c>
      <c r="J229" s="85" t="str">
        <f>IF(COPY!N227&gt;0,COPY!N227,"")</f>
        <v/>
      </c>
      <c r="K229" s="86" t="str">
        <f>IF(N229=0,(IF(LEFT(Table13[[#This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Row],[URAIAN]],$U$194:$V$210,2,FALSE),""),""),0))))),N229)</f>
        <v/>
      </c>
      <c r="L229" s="85" t="str">
        <f>IF(Table13[[#This Row],[Column2]]="KWITANSI",COUNTIF($K$4:K229,"KWITANSI")," ")</f>
        <v xml:space="preserve"> </v>
      </c>
      <c r="M229" s="85" t="str">
        <f>IF(Table13[[#This Row],[Column3]]=" "," ",Table13[[#This Row],[CODE]])</f>
        <v xml:space="preserve"> </v>
      </c>
      <c r="N229" s="368"/>
      <c r="P229" s="81" t="str">
        <f t="shared" si="3"/>
        <v/>
      </c>
    </row>
    <row r="230" spans="1:16" hidden="1" x14ac:dyDescent="0.15">
      <c r="A230" s="81" t="str">
        <f>COPY!O228</f>
        <v/>
      </c>
      <c r="B230" s="81" t="str">
        <f>COPY!C228</f>
        <v/>
      </c>
      <c r="C230" s="82" t="str">
        <f>COPY!D228</f>
        <v/>
      </c>
      <c r="D230" s="81" t="str">
        <f>IF(Table13[[#This Row],[JUMLAH]]&gt;1,(IF(Table13[[#This Row],[CODE]]=" ",D229&amp;"a",IF(Table13[[#This Row],[CODE]]&gt;0,Table13[[#This Row],[CODE]],0))),"")</f>
        <v/>
      </c>
      <c r="E230" s="81" t="str">
        <f>IF(COPY!G228&gt;0,COPY!G228,"")</f>
        <v/>
      </c>
      <c r="F230" s="88" t="str">
        <f>IF(COPY!J228&gt;0,COPY!J228,"")</f>
        <v/>
      </c>
      <c r="G230" s="85" t="str">
        <f>IF(COPY!H228&gt;0,COPY!H228,"")</f>
        <v/>
      </c>
      <c r="H230" s="85" t="str">
        <f>IF(COPY!I228&gt;0,COPY!I228,"")</f>
        <v/>
      </c>
      <c r="I230" s="85" t="str">
        <f>IF(COPY!M228&gt;0,COPY!M228,"")</f>
        <v/>
      </c>
      <c r="J230" s="85" t="str">
        <f>IF(COPY!N228&gt;0,COPY!N228,"")</f>
        <v/>
      </c>
      <c r="K230" s="86" t="str">
        <f>IF(N230=0,(IF(LEFT(Table13[[#This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Row],[URAIAN]],$U$194:$V$210,2,FALSE),""),""),0))))),N230)</f>
        <v/>
      </c>
      <c r="L230" s="85" t="str">
        <f>IF(Table13[[#This Row],[Column2]]="KWITANSI",COUNTIF($K$4:K230,"KWITANSI")," ")</f>
        <v xml:space="preserve"> </v>
      </c>
      <c r="M230" s="85" t="str">
        <f>IF(Table13[[#This Row],[Column3]]=" "," ",Table13[[#This Row],[CODE]])</f>
        <v xml:space="preserve"> </v>
      </c>
      <c r="N230" s="368"/>
      <c r="P230" s="81" t="str">
        <f t="shared" si="3"/>
        <v/>
      </c>
    </row>
    <row r="231" spans="1:16" hidden="1" x14ac:dyDescent="0.15">
      <c r="A231" s="81" t="str">
        <f>COPY!O229</f>
        <v/>
      </c>
      <c r="B231" s="81" t="str">
        <f>COPY!C229</f>
        <v/>
      </c>
      <c r="C231" s="82" t="str">
        <f>COPY!D229</f>
        <v/>
      </c>
      <c r="D231" s="81" t="str">
        <f>IF(Table13[[#This Row],[JUMLAH]]&gt;1,(IF(Table13[[#This Row],[CODE]]=" ",D230&amp;"a",IF(Table13[[#This Row],[CODE]]&gt;0,Table13[[#This Row],[CODE]],0))),"")</f>
        <v/>
      </c>
      <c r="E231" s="81" t="str">
        <f>IF(COPY!G229&gt;0,COPY!G229,"")</f>
        <v/>
      </c>
      <c r="F231" s="88" t="str">
        <f>IF(COPY!J229&gt;0,COPY!J229,"")</f>
        <v/>
      </c>
      <c r="G231" s="85" t="str">
        <f>IF(COPY!H229&gt;0,COPY!H229,"")</f>
        <v/>
      </c>
      <c r="H231" s="85" t="str">
        <f>IF(COPY!I229&gt;0,COPY!I229,"")</f>
        <v/>
      </c>
      <c r="I231" s="85" t="str">
        <f>IF(COPY!M229&gt;0,COPY!M229,"")</f>
        <v/>
      </c>
      <c r="J231" s="85" t="str">
        <f>IF(COPY!N229&gt;0,COPY!N229,"")</f>
        <v/>
      </c>
      <c r="K231" s="86" t="str">
        <f>IF(N231=0,(IF(LEFT(Table13[[#This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Row],[URAIAN]],$U$194:$V$210,2,FALSE),""),""),0))))),N231)</f>
        <v/>
      </c>
      <c r="L231" s="85" t="str">
        <f>IF(Table13[[#This Row],[Column2]]="KWITANSI",COUNTIF($K$4:K231,"KWITANSI")," ")</f>
        <v xml:space="preserve"> </v>
      </c>
      <c r="M231" s="85" t="str">
        <f>IF(Table13[[#This Row],[Column3]]=" "," ",Table13[[#This Row],[CODE]])</f>
        <v xml:space="preserve"> </v>
      </c>
      <c r="N231" s="368"/>
      <c r="P231" s="81" t="str">
        <f t="shared" si="3"/>
        <v/>
      </c>
    </row>
    <row r="232" spans="1:16" hidden="1" x14ac:dyDescent="0.15">
      <c r="A232" s="81" t="str">
        <f>COPY!O230</f>
        <v/>
      </c>
      <c r="B232" s="81" t="str">
        <f>COPY!C230</f>
        <v/>
      </c>
      <c r="C232" s="82" t="str">
        <f>COPY!D230</f>
        <v/>
      </c>
      <c r="D232" s="81" t="str">
        <f>IF(Table13[[#This Row],[JUMLAH]]&gt;1,(IF(Table13[[#This Row],[CODE]]=" ",D231&amp;"a",IF(Table13[[#This Row],[CODE]]&gt;0,Table13[[#This Row],[CODE]],0))),"")</f>
        <v/>
      </c>
      <c r="E232" s="81" t="str">
        <f>IF(COPY!G230&gt;0,COPY!G230,"")</f>
        <v/>
      </c>
      <c r="F232" s="88" t="str">
        <f>IF(COPY!J230&gt;0,COPY!J230,"")</f>
        <v/>
      </c>
      <c r="G232" s="85" t="str">
        <f>IF(COPY!H230&gt;0,COPY!H230,"")</f>
        <v/>
      </c>
      <c r="H232" s="85" t="str">
        <f>IF(COPY!I230&gt;0,COPY!I230,"")</f>
        <v/>
      </c>
      <c r="I232" s="85" t="str">
        <f>IF(COPY!M230&gt;0,COPY!M230,"")</f>
        <v/>
      </c>
      <c r="J232" s="85" t="str">
        <f>IF(COPY!N230&gt;0,COPY!N230,"")</f>
        <v/>
      </c>
      <c r="K232" s="86" t="str">
        <f>IF(N232=0,(IF(LEFT(Table13[[#This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Row],[URAIAN]],$U$194:$V$210,2,FALSE),""),""),0))))),N232)</f>
        <v/>
      </c>
      <c r="L232" s="85" t="str">
        <f>IF(Table13[[#This Row],[Column2]]="KWITANSI",COUNTIF($K$4:K232,"KWITANSI")," ")</f>
        <v xml:space="preserve"> </v>
      </c>
      <c r="M232" s="85" t="str">
        <f>IF(Table13[[#This Row],[Column3]]=" "," ",Table13[[#This Row],[CODE]])</f>
        <v xml:space="preserve"> </v>
      </c>
      <c r="N232" s="368"/>
      <c r="P232" s="81" t="str">
        <f t="shared" si="3"/>
        <v/>
      </c>
    </row>
    <row r="233" spans="1:16" hidden="1" x14ac:dyDescent="0.15">
      <c r="A233" s="81" t="str">
        <f>COPY!O231</f>
        <v/>
      </c>
      <c r="B233" s="81" t="str">
        <f>COPY!C231</f>
        <v/>
      </c>
      <c r="C233" s="82" t="str">
        <f>COPY!D231</f>
        <v/>
      </c>
      <c r="D233" s="81" t="str">
        <f>IF(Table13[[#This Row],[JUMLAH]]&gt;1,(IF(Table13[[#This Row],[CODE]]=" ",D232&amp;"a",IF(Table13[[#This Row],[CODE]]&gt;0,Table13[[#This Row],[CODE]],0))),"")</f>
        <v/>
      </c>
      <c r="E233" s="81" t="str">
        <f>IF(COPY!G231&gt;0,COPY!G231,"")</f>
        <v/>
      </c>
      <c r="F233" s="88" t="str">
        <f>IF(COPY!J231&gt;0,COPY!J231,"")</f>
        <v/>
      </c>
      <c r="G233" s="85" t="str">
        <f>IF(COPY!H231&gt;0,COPY!H231,"")</f>
        <v/>
      </c>
      <c r="H233" s="85" t="str">
        <f>IF(COPY!I231&gt;0,COPY!I231,"")</f>
        <v/>
      </c>
      <c r="I233" s="85" t="str">
        <f>IF(COPY!M231&gt;0,COPY!M231,"")</f>
        <v/>
      </c>
      <c r="J233" s="85" t="str">
        <f>IF(COPY!N231&gt;0,COPY!N231,"")</f>
        <v/>
      </c>
      <c r="K233" s="86" t="str">
        <f>IF(N233=0,(IF(LEFT(Table13[[#This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Row],[URAIAN]],$U$194:$V$210,2,FALSE),""),""),0))))),N233)</f>
        <v/>
      </c>
      <c r="L233" s="85" t="str">
        <f>IF(Table13[[#This Row],[Column2]]="KWITANSI",COUNTIF($K$4:K233,"KWITANSI")," ")</f>
        <v xml:space="preserve"> </v>
      </c>
      <c r="M233" s="85" t="str">
        <f>IF(Table13[[#This Row],[Column3]]=" "," ",Table13[[#This Row],[CODE]])</f>
        <v xml:space="preserve"> </v>
      </c>
      <c r="N233" s="368"/>
      <c r="P233" s="81" t="str">
        <f t="shared" si="3"/>
        <v/>
      </c>
    </row>
    <row r="234" spans="1:16" hidden="1" x14ac:dyDescent="0.15">
      <c r="A234" s="81" t="str">
        <f>COPY!O232</f>
        <v/>
      </c>
      <c r="B234" s="81" t="str">
        <f>COPY!C232</f>
        <v/>
      </c>
      <c r="C234" s="82" t="str">
        <f>COPY!D232</f>
        <v/>
      </c>
      <c r="D234" s="81" t="str">
        <f>IF(Table13[[#This Row],[JUMLAH]]&gt;1,(IF(Table13[[#This Row],[CODE]]=" ",D233&amp;"a",IF(Table13[[#This Row],[CODE]]&gt;0,Table13[[#This Row],[CODE]],0))),"")</f>
        <v/>
      </c>
      <c r="E234" s="81" t="str">
        <f>IF(COPY!G232&gt;0,COPY!G232,"")</f>
        <v/>
      </c>
      <c r="F234" s="88" t="str">
        <f>IF(COPY!J232&gt;0,COPY!J232,"")</f>
        <v/>
      </c>
      <c r="G234" s="85" t="str">
        <f>IF(COPY!H232&gt;0,COPY!H232,"")</f>
        <v/>
      </c>
      <c r="H234" s="85" t="str">
        <f>IF(COPY!I232&gt;0,COPY!I232,"")</f>
        <v/>
      </c>
      <c r="I234" s="85" t="str">
        <f>IF(COPY!M232&gt;0,COPY!M232,"")</f>
        <v/>
      </c>
      <c r="J234" s="85" t="str">
        <f>IF(COPY!N232&gt;0,COPY!N232,"")</f>
        <v/>
      </c>
      <c r="K234" s="86" t="str">
        <f>IF(N234=0,(IF(LEFT(Table13[[#This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Row],[URAIAN]],$U$194:$V$210,2,FALSE),""),""),0))))),N234)</f>
        <v/>
      </c>
      <c r="L234" s="85" t="str">
        <f>IF(Table13[[#This Row],[Column2]]="KWITANSI",COUNTIF($K$4:K234,"KWITANSI")," ")</f>
        <v xml:space="preserve"> </v>
      </c>
      <c r="M234" s="85" t="str">
        <f>IF(Table13[[#This Row],[Column3]]=" "," ",Table13[[#This Row],[CODE]])</f>
        <v xml:space="preserve"> </v>
      </c>
      <c r="N234" s="368"/>
      <c r="P234" s="81" t="str">
        <f t="shared" si="3"/>
        <v/>
      </c>
    </row>
    <row r="235" spans="1:16" hidden="1" x14ac:dyDescent="0.15">
      <c r="A235" s="81" t="str">
        <f>COPY!O233</f>
        <v/>
      </c>
      <c r="B235" s="81" t="str">
        <f>COPY!C233</f>
        <v/>
      </c>
      <c r="C235" s="82" t="str">
        <f>COPY!D233</f>
        <v/>
      </c>
      <c r="D235" s="81" t="str">
        <f>IF(Table13[[#This Row],[JUMLAH]]&gt;1,(IF(Table13[[#This Row],[CODE]]=" ",D234&amp;"a",IF(Table13[[#This Row],[CODE]]&gt;0,Table13[[#This Row],[CODE]],0))),"")</f>
        <v/>
      </c>
      <c r="E235" s="81" t="str">
        <f>IF(COPY!G233&gt;0,COPY!G233,"")</f>
        <v/>
      </c>
      <c r="F235" s="88" t="str">
        <f>IF(COPY!J233&gt;0,COPY!J233,"")</f>
        <v/>
      </c>
      <c r="G235" s="85" t="str">
        <f>IF(COPY!H233&gt;0,COPY!H233,"")</f>
        <v/>
      </c>
      <c r="H235" s="85" t="str">
        <f>IF(COPY!I233&gt;0,COPY!I233,"")</f>
        <v/>
      </c>
      <c r="I235" s="85" t="str">
        <f>IF(COPY!M233&gt;0,COPY!M233,"")</f>
        <v/>
      </c>
      <c r="J235" s="85" t="str">
        <f>IF(COPY!N233&gt;0,COPY!N233,"")</f>
        <v/>
      </c>
      <c r="K235" s="86" t="str">
        <f>IF(N235=0,(IF(LEFT(Table13[[#This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Row],[URAIAN]],$U$194:$V$210,2,FALSE),""),""),0))))),N235)</f>
        <v/>
      </c>
      <c r="L235" s="85" t="str">
        <f>IF(Table13[[#This Row],[Column2]]="KWITANSI",COUNTIF($K$4:K235,"KWITANSI")," ")</f>
        <v xml:space="preserve"> </v>
      </c>
      <c r="M235" s="85" t="str">
        <f>IF(Table13[[#This Row],[Column3]]=" "," ",Table13[[#This Row],[CODE]])</f>
        <v xml:space="preserve"> </v>
      </c>
      <c r="N235" s="368"/>
      <c r="P235" s="81" t="str">
        <f t="shared" si="3"/>
        <v/>
      </c>
    </row>
    <row r="236" spans="1:16" hidden="1" x14ac:dyDescent="0.15">
      <c r="A236" s="81" t="str">
        <f>COPY!O234</f>
        <v/>
      </c>
      <c r="B236" s="81" t="str">
        <f>COPY!C234</f>
        <v/>
      </c>
      <c r="C236" s="82" t="str">
        <f>COPY!D234</f>
        <v/>
      </c>
      <c r="D236" s="81" t="str">
        <f>IF(Table13[[#This Row],[JUMLAH]]&gt;1,(IF(Table13[[#This Row],[CODE]]=" ",D235&amp;"a",IF(Table13[[#This Row],[CODE]]&gt;0,Table13[[#This Row],[CODE]],0))),"")</f>
        <v/>
      </c>
      <c r="E236" s="81" t="str">
        <f>IF(COPY!G234&gt;0,COPY!G234,"")</f>
        <v/>
      </c>
      <c r="F236" s="88" t="str">
        <f>IF(COPY!J234&gt;0,COPY!J234,"")</f>
        <v/>
      </c>
      <c r="G236" s="85" t="str">
        <f>IF(COPY!H234&gt;0,COPY!H234,"")</f>
        <v/>
      </c>
      <c r="H236" s="85" t="str">
        <f>IF(COPY!I234&gt;0,COPY!I234,"")</f>
        <v/>
      </c>
      <c r="I236" s="85" t="str">
        <f>IF(COPY!M234&gt;0,COPY!M234,"")</f>
        <v/>
      </c>
      <c r="J236" s="85" t="str">
        <f>IF(COPY!N234&gt;0,COPY!N234,"")</f>
        <v/>
      </c>
      <c r="K236" s="86" t="str">
        <f>IF(N236=0,(IF(LEFT(Table13[[#This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Row],[URAIAN]],$U$194:$V$210,2,FALSE),""),""),0))))),N236)</f>
        <v/>
      </c>
      <c r="L236" s="85" t="str">
        <f>IF(Table13[[#This Row],[Column2]]="KWITANSI",COUNTIF($K$4:K236,"KWITANSI")," ")</f>
        <v xml:space="preserve"> </v>
      </c>
      <c r="M236" s="85" t="str">
        <f>IF(Table13[[#This Row],[Column3]]=" "," ",Table13[[#This Row],[CODE]])</f>
        <v xml:space="preserve"> </v>
      </c>
      <c r="N236" s="368"/>
      <c r="P236" s="81" t="str">
        <f t="shared" si="3"/>
        <v/>
      </c>
    </row>
    <row r="237" spans="1:16" hidden="1" x14ac:dyDescent="0.15">
      <c r="A237" s="81" t="str">
        <f>COPY!O235</f>
        <v/>
      </c>
      <c r="B237" s="81" t="str">
        <f>COPY!C235</f>
        <v/>
      </c>
      <c r="C237" s="82" t="str">
        <f>COPY!D235</f>
        <v/>
      </c>
      <c r="D237" s="81" t="str">
        <f>IF(Table13[[#This Row],[JUMLAH]]&gt;1,(IF(Table13[[#This Row],[CODE]]=" ",D236&amp;"a",IF(Table13[[#This Row],[CODE]]&gt;0,Table13[[#This Row],[CODE]],0))),"")</f>
        <v/>
      </c>
      <c r="E237" s="81" t="str">
        <f>IF(COPY!G235&gt;0,COPY!G235,"")</f>
        <v/>
      </c>
      <c r="F237" s="88" t="str">
        <f>IF(COPY!J235&gt;0,COPY!J235,"")</f>
        <v/>
      </c>
      <c r="G237" s="85" t="str">
        <f>IF(COPY!H235&gt;0,COPY!H235,"")</f>
        <v/>
      </c>
      <c r="H237" s="85" t="str">
        <f>IF(COPY!I235&gt;0,COPY!I235,"")</f>
        <v/>
      </c>
      <c r="I237" s="85" t="str">
        <f>IF(COPY!M235&gt;0,COPY!M235,"")</f>
        <v/>
      </c>
      <c r="J237" s="85" t="str">
        <f>IF(COPY!N235&gt;0,COPY!N235,"")</f>
        <v/>
      </c>
      <c r="K237" s="86" t="str">
        <f>IF(N237=0,(IF(LEFT(Table13[[#This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Row],[URAIAN]],$U$194:$V$210,2,FALSE),""),""),0))))),N237)</f>
        <v/>
      </c>
      <c r="L237" s="85" t="str">
        <f>IF(Table13[[#This Row],[Column2]]="KWITANSI",COUNTIF($K$4:K237,"KWITANSI")," ")</f>
        <v xml:space="preserve"> </v>
      </c>
      <c r="M237" s="85" t="str">
        <f>IF(Table13[[#This Row],[Column3]]=" "," ",Table13[[#This Row],[CODE]])</f>
        <v xml:space="preserve"> </v>
      </c>
      <c r="N237" s="368"/>
      <c r="P237" s="81" t="str">
        <f t="shared" si="3"/>
        <v/>
      </c>
    </row>
    <row r="238" spans="1:16" hidden="1" x14ac:dyDescent="0.15">
      <c r="A238" s="81" t="str">
        <f>COPY!O236</f>
        <v/>
      </c>
      <c r="B238" s="81" t="str">
        <f>COPY!C236</f>
        <v/>
      </c>
      <c r="C238" s="82" t="str">
        <f>COPY!D236</f>
        <v/>
      </c>
      <c r="D238" s="81" t="str">
        <f>IF(Table13[[#This Row],[JUMLAH]]&gt;1,(IF(Table13[[#This Row],[CODE]]=" ",D237&amp;"a",IF(Table13[[#This Row],[CODE]]&gt;0,Table13[[#This Row],[CODE]],0))),"")</f>
        <v/>
      </c>
      <c r="E238" s="81" t="str">
        <f>IF(COPY!G236&gt;0,COPY!G236,"")</f>
        <v/>
      </c>
      <c r="F238" s="88" t="str">
        <f>IF(COPY!J236&gt;0,COPY!J236,"")</f>
        <v/>
      </c>
      <c r="G238" s="85" t="str">
        <f>IF(COPY!H236&gt;0,COPY!H236,"")</f>
        <v/>
      </c>
      <c r="H238" s="85" t="str">
        <f>IF(COPY!I236&gt;0,COPY!I236,"")</f>
        <v/>
      </c>
      <c r="I238" s="85" t="str">
        <f>IF(COPY!M236&gt;0,COPY!M236,"")</f>
        <v/>
      </c>
      <c r="J238" s="85" t="str">
        <f>IF(COPY!N236&gt;0,COPY!N236,"")</f>
        <v/>
      </c>
      <c r="K238" s="86" t="str">
        <f>IF(N238=0,(IF(LEFT(Table13[[#This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Row],[URAIAN]],$U$194:$V$210,2,FALSE),""),""),0))))),N238)</f>
        <v/>
      </c>
      <c r="L238" s="85" t="str">
        <f>IF(Table13[[#This Row],[Column2]]="KWITANSI",COUNTIF($K$4:K238,"KWITANSI")," ")</f>
        <v xml:space="preserve"> </v>
      </c>
      <c r="M238" s="85" t="str">
        <f>IF(Table13[[#This Row],[Column3]]=" "," ",Table13[[#This Row],[CODE]])</f>
        <v xml:space="preserve"> </v>
      </c>
      <c r="N238" s="368"/>
      <c r="P238" s="81" t="str">
        <f t="shared" si="3"/>
        <v/>
      </c>
    </row>
    <row r="239" spans="1:16" hidden="1" x14ac:dyDescent="0.15">
      <c r="A239" s="81" t="str">
        <f>COPY!O237</f>
        <v/>
      </c>
      <c r="B239" s="81" t="str">
        <f>COPY!C237</f>
        <v/>
      </c>
      <c r="C239" s="82" t="str">
        <f>COPY!D237</f>
        <v/>
      </c>
      <c r="D239" s="81" t="str">
        <f>IF(Table13[[#This Row],[JUMLAH]]&gt;1,(IF(Table13[[#This Row],[CODE]]=" ",D238&amp;"a",IF(Table13[[#This Row],[CODE]]&gt;0,Table13[[#This Row],[CODE]],0))),"")</f>
        <v/>
      </c>
      <c r="E239" s="81" t="str">
        <f>IF(COPY!G237&gt;0,COPY!G237,"")</f>
        <v/>
      </c>
      <c r="F239" s="88" t="str">
        <f>IF(COPY!J237&gt;0,COPY!J237,"")</f>
        <v/>
      </c>
      <c r="G239" s="85" t="str">
        <f>IF(COPY!H237&gt;0,COPY!H237,"")</f>
        <v/>
      </c>
      <c r="H239" s="85" t="str">
        <f>IF(COPY!I237&gt;0,COPY!I237,"")</f>
        <v/>
      </c>
      <c r="I239" s="85" t="str">
        <f>IF(COPY!M237&gt;0,COPY!M237,"")</f>
        <v/>
      </c>
      <c r="J239" s="85" t="str">
        <f>IF(COPY!N237&gt;0,COPY!N237,"")</f>
        <v/>
      </c>
      <c r="K239" s="86" t="str">
        <f>IF(N239=0,(IF(LEFT(Table13[[#This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Row],[URAIAN]],$U$194:$V$210,2,FALSE),""),""),0))))),N239)</f>
        <v/>
      </c>
      <c r="L239" s="85" t="str">
        <f>IF(Table13[[#This Row],[Column2]]="KWITANSI",COUNTIF($K$4:K239,"KWITANSI")," ")</f>
        <v xml:space="preserve"> </v>
      </c>
      <c r="M239" s="85" t="str">
        <f>IF(Table13[[#This Row],[Column3]]=" "," ",Table13[[#This Row],[CODE]])</f>
        <v xml:space="preserve"> </v>
      </c>
      <c r="N239" s="368"/>
      <c r="P239" s="81" t="str">
        <f t="shared" si="3"/>
        <v/>
      </c>
    </row>
    <row r="240" spans="1:16" hidden="1" x14ac:dyDescent="0.15">
      <c r="A240" s="81" t="str">
        <f>COPY!O238</f>
        <v/>
      </c>
      <c r="B240" s="81" t="str">
        <f>COPY!C238</f>
        <v/>
      </c>
      <c r="C240" s="82" t="str">
        <f>COPY!D238</f>
        <v/>
      </c>
      <c r="D240" s="81" t="str">
        <f>IF(Table13[[#This Row],[JUMLAH]]&gt;1,(IF(Table13[[#This Row],[CODE]]=" ",D239&amp;"a",IF(Table13[[#This Row],[CODE]]&gt;0,Table13[[#This Row],[CODE]],0))),"")</f>
        <v/>
      </c>
      <c r="E240" s="81" t="str">
        <f>IF(COPY!G238&gt;0,COPY!G238,"")</f>
        <v/>
      </c>
      <c r="F240" s="88" t="str">
        <f>IF(COPY!J238&gt;0,COPY!J238,"")</f>
        <v/>
      </c>
      <c r="G240" s="85" t="str">
        <f>IF(COPY!H238&gt;0,COPY!H238,"")</f>
        <v/>
      </c>
      <c r="H240" s="85" t="str">
        <f>IF(COPY!I238&gt;0,COPY!I238,"")</f>
        <v/>
      </c>
      <c r="I240" s="85" t="str">
        <f>IF(COPY!M238&gt;0,COPY!M238,"")</f>
        <v/>
      </c>
      <c r="J240" s="85" t="str">
        <f>IF(COPY!N238&gt;0,COPY!N238,"")</f>
        <v/>
      </c>
      <c r="K240" s="86" t="str">
        <f>IF(N240=0,(IF(LEFT(Table13[[#This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Row],[URAIAN]],$U$194:$V$210,2,FALSE),""),""),0))))),N240)</f>
        <v/>
      </c>
      <c r="L240" s="85" t="str">
        <f>IF(Table13[[#This Row],[Column2]]="KWITANSI",COUNTIF($K$4:K240,"KWITANSI")," ")</f>
        <v xml:space="preserve"> </v>
      </c>
      <c r="M240" s="85" t="str">
        <f>IF(Table13[[#This Row],[Column3]]=" "," ",Table13[[#This Row],[CODE]])</f>
        <v xml:space="preserve"> </v>
      </c>
      <c r="N240" s="368"/>
      <c r="P240" s="81" t="str">
        <f t="shared" si="3"/>
        <v/>
      </c>
    </row>
    <row r="241" spans="1:16" hidden="1" x14ac:dyDescent="0.15">
      <c r="A241" s="81" t="str">
        <f>COPY!O239</f>
        <v/>
      </c>
      <c r="B241" s="81" t="str">
        <f>COPY!C239</f>
        <v/>
      </c>
      <c r="C241" s="82" t="str">
        <f>COPY!D239</f>
        <v/>
      </c>
      <c r="D241" s="81" t="str">
        <f>IF(Table13[[#This Row],[JUMLAH]]&gt;1,(IF(Table13[[#This Row],[CODE]]=" ",D240&amp;"a",IF(Table13[[#This Row],[CODE]]&gt;0,Table13[[#This Row],[CODE]],0))),"")</f>
        <v/>
      </c>
      <c r="E241" s="81" t="str">
        <f>IF(COPY!G239&gt;0,COPY!G239,"")</f>
        <v/>
      </c>
      <c r="F241" s="88" t="str">
        <f>IF(COPY!J239&gt;0,COPY!J239,"")</f>
        <v/>
      </c>
      <c r="G241" s="85" t="str">
        <f>IF(COPY!H239&gt;0,COPY!H239,"")</f>
        <v/>
      </c>
      <c r="H241" s="85" t="str">
        <f>IF(COPY!I239&gt;0,COPY!I239,"")</f>
        <v/>
      </c>
      <c r="I241" s="85" t="str">
        <f>IF(COPY!M239&gt;0,COPY!M239,"")</f>
        <v/>
      </c>
      <c r="J241" s="85" t="str">
        <f>IF(COPY!N239&gt;0,COPY!N239,"")</f>
        <v/>
      </c>
      <c r="K241" s="86" t="str">
        <f>IF(N241=0,(IF(LEFT(Table13[[#This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Row],[URAIAN]],$U$194:$V$210,2,FALSE),""),""),0))))),N241)</f>
        <v/>
      </c>
      <c r="L241" s="85" t="str">
        <f>IF(Table13[[#This Row],[Column2]]="KWITANSI",COUNTIF($K$4:K241,"KWITANSI")," ")</f>
        <v xml:space="preserve"> </v>
      </c>
      <c r="M241" s="85" t="str">
        <f>IF(Table13[[#This Row],[Column3]]=" "," ",Table13[[#This Row],[CODE]])</f>
        <v xml:space="preserve"> </v>
      </c>
      <c r="N241" s="368"/>
      <c r="P241" s="81" t="str">
        <f t="shared" si="3"/>
        <v/>
      </c>
    </row>
    <row r="242" spans="1:16" hidden="1" x14ac:dyDescent="0.15">
      <c r="A242" s="81" t="str">
        <f>COPY!O240</f>
        <v/>
      </c>
      <c r="B242" s="81" t="str">
        <f>COPY!C240</f>
        <v/>
      </c>
      <c r="C242" s="82" t="str">
        <f>COPY!D240</f>
        <v/>
      </c>
      <c r="D242" s="81" t="str">
        <f>IF(Table13[[#This Row],[JUMLAH]]&gt;1,(IF(Table13[[#This Row],[CODE]]=" ",D241&amp;"a",IF(Table13[[#This Row],[CODE]]&gt;0,Table13[[#This Row],[CODE]],0))),"")</f>
        <v/>
      </c>
      <c r="E242" s="81" t="str">
        <f>IF(COPY!G240&gt;0,COPY!G240,"")</f>
        <v/>
      </c>
      <c r="F242" s="88" t="str">
        <f>IF(COPY!J240&gt;0,COPY!J240,"")</f>
        <v/>
      </c>
      <c r="G242" s="85" t="str">
        <f>IF(COPY!H240&gt;0,COPY!H240,"")</f>
        <v/>
      </c>
      <c r="H242" s="85" t="str">
        <f>IF(COPY!I240&gt;0,COPY!I240,"")</f>
        <v/>
      </c>
      <c r="I242" s="85" t="str">
        <f>IF(COPY!M240&gt;0,COPY!M240,"")</f>
        <v/>
      </c>
      <c r="J242" s="85" t="str">
        <f>IF(COPY!N240&gt;0,COPY!N240,"")</f>
        <v/>
      </c>
      <c r="K242" s="86" t="str">
        <f>IF(N242=0,(IF(LEFT(Table13[[#This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Row],[URAIAN]],$U$194:$V$210,2,FALSE),""),""),0))))),N242)</f>
        <v/>
      </c>
      <c r="L242" s="85" t="str">
        <f>IF(Table13[[#This Row],[Column2]]="KWITANSI",COUNTIF($K$4:K242,"KWITANSI")," ")</f>
        <v xml:space="preserve"> </v>
      </c>
      <c r="M242" s="85" t="str">
        <f>IF(Table13[[#This Row],[Column3]]=" "," ",Table13[[#This Row],[CODE]])</f>
        <v xml:space="preserve"> </v>
      </c>
      <c r="N242" s="368"/>
      <c r="P242" s="81" t="str">
        <f t="shared" si="3"/>
        <v/>
      </c>
    </row>
    <row r="243" spans="1:16" hidden="1" x14ac:dyDescent="0.15">
      <c r="A243" s="81" t="str">
        <f>COPY!O241</f>
        <v/>
      </c>
      <c r="B243" s="81" t="str">
        <f>COPY!C241</f>
        <v/>
      </c>
      <c r="C243" s="82" t="str">
        <f>COPY!D241</f>
        <v/>
      </c>
      <c r="D243" s="81" t="str">
        <f>IF(Table13[[#This Row],[JUMLAH]]&gt;1,(IF(Table13[[#This Row],[CODE]]=" ",D242&amp;"a",IF(Table13[[#This Row],[CODE]]&gt;0,Table13[[#This Row],[CODE]],0))),"")</f>
        <v/>
      </c>
      <c r="E243" s="81" t="str">
        <f>IF(COPY!G241&gt;0,COPY!G241,"")</f>
        <v/>
      </c>
      <c r="F243" s="88" t="str">
        <f>IF(COPY!J241&gt;0,COPY!J241,"")</f>
        <v/>
      </c>
      <c r="G243" s="85" t="str">
        <f>IF(COPY!H241&gt;0,COPY!H241,"")</f>
        <v/>
      </c>
      <c r="H243" s="85" t="str">
        <f>IF(COPY!I241&gt;0,COPY!I241,"")</f>
        <v/>
      </c>
      <c r="I243" s="85" t="str">
        <f>IF(COPY!M241&gt;0,COPY!M241,"")</f>
        <v/>
      </c>
      <c r="J243" s="85" t="str">
        <f>IF(COPY!N241&gt;0,COPY!N241,"")</f>
        <v/>
      </c>
      <c r="K243" s="86" t="str">
        <f>IF(N243=0,(IF(LEFT(Table13[[#This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Row],[URAIAN]],$U$194:$V$210,2,FALSE),""),""),0))))),N243)</f>
        <v/>
      </c>
      <c r="L243" s="85" t="str">
        <f>IF(Table13[[#This Row],[Column2]]="KWITANSI",COUNTIF($K$4:K243,"KWITANSI")," ")</f>
        <v xml:space="preserve"> </v>
      </c>
      <c r="M243" s="85" t="str">
        <f>IF(Table13[[#This Row],[Column3]]=" "," ",Table13[[#This Row],[CODE]])</f>
        <v xml:space="preserve"> </v>
      </c>
      <c r="N243" s="368"/>
      <c r="P243" s="81" t="str">
        <f t="shared" si="3"/>
        <v/>
      </c>
    </row>
    <row r="244" spans="1:16" hidden="1" x14ac:dyDescent="0.15">
      <c r="A244" s="81" t="str">
        <f>COPY!O242</f>
        <v/>
      </c>
      <c r="B244" s="81" t="str">
        <f>COPY!C242</f>
        <v/>
      </c>
      <c r="C244" s="82" t="str">
        <f>COPY!D242</f>
        <v/>
      </c>
      <c r="D244" s="81" t="str">
        <f>IF(Table13[[#This Row],[JUMLAH]]&gt;1,(IF(Table13[[#This Row],[CODE]]=" ",D243&amp;"a",IF(Table13[[#This Row],[CODE]]&gt;0,Table13[[#This Row],[CODE]],0))),"")</f>
        <v/>
      </c>
      <c r="E244" s="81" t="str">
        <f>IF(COPY!G242&gt;0,COPY!G242,"")</f>
        <v/>
      </c>
      <c r="F244" s="88" t="str">
        <f>IF(COPY!J242&gt;0,COPY!J242,"")</f>
        <v/>
      </c>
      <c r="G244" s="85" t="str">
        <f>IF(COPY!H242&gt;0,COPY!H242,"")</f>
        <v/>
      </c>
      <c r="H244" s="85" t="str">
        <f>IF(COPY!I242&gt;0,COPY!I242,"")</f>
        <v/>
      </c>
      <c r="I244" s="85" t="str">
        <f>IF(COPY!M242&gt;0,COPY!M242,"")</f>
        <v/>
      </c>
      <c r="J244" s="85" t="str">
        <f>IF(COPY!N242&gt;0,COPY!N242,"")</f>
        <v/>
      </c>
      <c r="K244" s="86" t="str">
        <f>IF(N244=0,(IF(LEFT(Table13[[#This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Row],[URAIAN]],$U$194:$V$210,2,FALSE),""),""),0))))),N244)</f>
        <v/>
      </c>
      <c r="L244" s="85" t="str">
        <f>IF(Table13[[#This Row],[Column2]]="KWITANSI",COUNTIF($K$4:K244,"KWITANSI")," ")</f>
        <v xml:space="preserve"> </v>
      </c>
      <c r="M244" s="85" t="str">
        <f>IF(Table13[[#This Row],[Column3]]=" "," ",Table13[[#This Row],[CODE]])</f>
        <v xml:space="preserve"> </v>
      </c>
      <c r="N244" s="368"/>
      <c r="P244" s="81" t="str">
        <f t="shared" si="3"/>
        <v/>
      </c>
    </row>
    <row r="245" spans="1:16" hidden="1" x14ac:dyDescent="0.15">
      <c r="A245" s="81" t="str">
        <f>COPY!O243</f>
        <v/>
      </c>
      <c r="B245" s="81" t="str">
        <f>COPY!C243</f>
        <v/>
      </c>
      <c r="C245" s="82" t="str">
        <f>COPY!D243</f>
        <v/>
      </c>
      <c r="D245" s="81" t="str">
        <f>IF(Table13[[#This Row],[JUMLAH]]&gt;1,(IF(Table13[[#This Row],[CODE]]=" ",D244&amp;"a",IF(Table13[[#This Row],[CODE]]&gt;0,Table13[[#This Row],[CODE]],0))),"")</f>
        <v/>
      </c>
      <c r="E245" s="81" t="str">
        <f>IF(COPY!G243&gt;0,COPY!G243,"")</f>
        <v/>
      </c>
      <c r="F245" s="88" t="str">
        <f>IF(COPY!J243&gt;0,COPY!J243,"")</f>
        <v/>
      </c>
      <c r="G245" s="85" t="str">
        <f>IF(COPY!H243&gt;0,COPY!H243,"")</f>
        <v/>
      </c>
      <c r="H245" s="85" t="str">
        <f>IF(COPY!I243&gt;0,COPY!I243,"")</f>
        <v/>
      </c>
      <c r="I245" s="85" t="str">
        <f>IF(COPY!M243&gt;0,COPY!M243,"")</f>
        <v/>
      </c>
      <c r="J245" s="85" t="str">
        <f>IF(COPY!N243&gt;0,COPY!N243,"")</f>
        <v/>
      </c>
      <c r="K245" s="86" t="str">
        <f>IF(N245=0,(IF(LEFT(Table13[[#This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Row],[URAIAN]],$U$194:$V$210,2,FALSE),""),""),0))))),N245)</f>
        <v/>
      </c>
      <c r="L245" s="85" t="str">
        <f>IF(Table13[[#This Row],[Column2]]="KWITANSI",COUNTIF($K$4:K245,"KWITANSI")," ")</f>
        <v xml:space="preserve"> </v>
      </c>
      <c r="M245" s="85" t="str">
        <f>IF(Table13[[#This Row],[Column3]]=" "," ",Table13[[#This Row],[CODE]])</f>
        <v xml:space="preserve"> </v>
      </c>
      <c r="N245" s="368"/>
      <c r="P245" s="81" t="str">
        <f t="shared" si="3"/>
        <v/>
      </c>
    </row>
    <row r="246" spans="1:16" hidden="1" x14ac:dyDescent="0.15">
      <c r="A246" s="81" t="str">
        <f>COPY!O244</f>
        <v/>
      </c>
      <c r="B246" s="81" t="str">
        <f>COPY!C244</f>
        <v/>
      </c>
      <c r="C246" s="82" t="str">
        <f>COPY!D244</f>
        <v/>
      </c>
      <c r="D246" s="81" t="str">
        <f>IF(Table13[[#This Row],[JUMLAH]]&gt;1,(IF(Table13[[#This Row],[CODE]]=" ",D245&amp;"a",IF(Table13[[#This Row],[CODE]]&gt;0,Table13[[#This Row],[CODE]],0))),"")</f>
        <v/>
      </c>
      <c r="E246" s="81" t="str">
        <f>IF(COPY!G244&gt;0,COPY!G244,"")</f>
        <v/>
      </c>
      <c r="F246" s="88" t="str">
        <f>IF(COPY!J244&gt;0,COPY!J244,"")</f>
        <v/>
      </c>
      <c r="G246" s="85" t="str">
        <f>IF(COPY!H244&gt;0,COPY!H244,"")</f>
        <v/>
      </c>
      <c r="H246" s="85" t="str">
        <f>IF(COPY!I244&gt;0,COPY!I244,"")</f>
        <v/>
      </c>
      <c r="I246" s="85" t="str">
        <f>IF(COPY!M244&gt;0,COPY!M244,"")</f>
        <v/>
      </c>
      <c r="J246" s="85" t="str">
        <f>IF(COPY!N244&gt;0,COPY!N244,"")</f>
        <v/>
      </c>
      <c r="K246" s="86" t="str">
        <f>IF(N246=0,(IF(LEFT(Table13[[#This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Row],[URAIAN]],$U$194:$V$210,2,FALSE),""),""),0))))),N246)</f>
        <v/>
      </c>
      <c r="L246" s="85" t="str">
        <f>IF(Table13[[#This Row],[Column2]]="KWITANSI",COUNTIF($K$4:K246,"KWITANSI")," ")</f>
        <v xml:space="preserve"> </v>
      </c>
      <c r="M246" s="85" t="str">
        <f>IF(Table13[[#This Row],[Column3]]=" "," ",Table13[[#This Row],[CODE]])</f>
        <v xml:space="preserve"> </v>
      </c>
      <c r="N246" s="368"/>
      <c r="P246" s="81" t="str">
        <f t="shared" si="3"/>
        <v/>
      </c>
    </row>
    <row r="247" spans="1:16" hidden="1" x14ac:dyDescent="0.15">
      <c r="A247" s="81" t="str">
        <f>COPY!O245</f>
        <v/>
      </c>
      <c r="B247" s="81" t="str">
        <f>COPY!C245</f>
        <v/>
      </c>
      <c r="C247" s="82" t="str">
        <f>COPY!D245</f>
        <v/>
      </c>
      <c r="D247" s="81" t="str">
        <f>IF(Table13[[#This Row],[JUMLAH]]&gt;1,(IF(Table13[[#This Row],[CODE]]=" ",D246&amp;"a",IF(Table13[[#This Row],[CODE]]&gt;0,Table13[[#This Row],[CODE]],0))),"")</f>
        <v/>
      </c>
      <c r="E247" s="81" t="str">
        <f>IF(COPY!G245&gt;0,COPY!G245,"")</f>
        <v/>
      </c>
      <c r="F247" s="88" t="str">
        <f>IF(COPY!J245&gt;0,COPY!J245,"")</f>
        <v/>
      </c>
      <c r="G247" s="85" t="str">
        <f>IF(COPY!H245&gt;0,COPY!H245,"")</f>
        <v/>
      </c>
      <c r="H247" s="85" t="str">
        <f>IF(COPY!I245&gt;0,COPY!I245,"")</f>
        <v/>
      </c>
      <c r="I247" s="85" t="str">
        <f>IF(COPY!M245&gt;0,COPY!M245,"")</f>
        <v/>
      </c>
      <c r="J247" s="85" t="str">
        <f>IF(COPY!N245&gt;0,COPY!N245,"")</f>
        <v/>
      </c>
      <c r="K247" s="86" t="str">
        <f>IF(N247=0,(IF(LEFT(Table13[[#This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Row],[URAIAN]],$U$194:$V$210,2,FALSE),""),""),0))))),N247)</f>
        <v/>
      </c>
      <c r="L247" s="85" t="str">
        <f>IF(Table13[[#This Row],[Column2]]="KWITANSI",COUNTIF($K$4:K247,"KWITANSI")," ")</f>
        <v xml:space="preserve"> </v>
      </c>
      <c r="M247" s="85" t="str">
        <f>IF(Table13[[#This Row],[Column3]]=" "," ",Table13[[#This Row],[CODE]])</f>
        <v xml:space="preserve"> </v>
      </c>
      <c r="N247" s="368"/>
      <c r="P247" s="81" t="str">
        <f t="shared" si="3"/>
        <v/>
      </c>
    </row>
    <row r="248" spans="1:16" hidden="1" x14ac:dyDescent="0.15">
      <c r="A248" s="81" t="str">
        <f>COPY!O246</f>
        <v/>
      </c>
      <c r="B248" s="81" t="str">
        <f>COPY!C246</f>
        <v/>
      </c>
      <c r="C248" s="82" t="str">
        <f>COPY!D246</f>
        <v/>
      </c>
      <c r="D248" s="81" t="str">
        <f>IF(Table13[[#This Row],[JUMLAH]]&gt;1,(IF(Table13[[#This Row],[CODE]]=" ",D247&amp;"a",IF(Table13[[#This Row],[CODE]]&gt;0,Table13[[#This Row],[CODE]],0))),"")</f>
        <v/>
      </c>
      <c r="E248" s="81" t="str">
        <f>IF(COPY!G246&gt;0,COPY!G246,"")</f>
        <v/>
      </c>
      <c r="F248" s="88" t="str">
        <f>IF(COPY!J246&gt;0,COPY!J246,"")</f>
        <v/>
      </c>
      <c r="G248" s="85" t="str">
        <f>IF(COPY!H246&gt;0,COPY!H246,"")</f>
        <v/>
      </c>
      <c r="H248" s="85" t="str">
        <f>IF(COPY!I246&gt;0,COPY!I246,"")</f>
        <v/>
      </c>
      <c r="I248" s="85" t="str">
        <f>IF(COPY!M246&gt;0,COPY!M246,"")</f>
        <v/>
      </c>
      <c r="J248" s="85" t="str">
        <f>IF(COPY!N246&gt;0,COPY!N246,"")</f>
        <v/>
      </c>
      <c r="K248" s="86" t="str">
        <f>IF(N248=0,(IF(LEFT(Table13[[#This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Row],[URAIAN]],$U$194:$V$210,2,FALSE),""),""),0))))),N248)</f>
        <v/>
      </c>
      <c r="L248" s="85" t="str">
        <f>IF(Table13[[#This Row],[Column2]]="KWITANSI",COUNTIF($K$4:K248,"KWITANSI")," ")</f>
        <v xml:space="preserve"> </v>
      </c>
      <c r="M248" s="85" t="str">
        <f>IF(Table13[[#This Row],[Column3]]=" "," ",Table13[[#This Row],[CODE]])</f>
        <v xml:space="preserve"> </v>
      </c>
      <c r="N248" s="368"/>
      <c r="P248" s="81" t="str">
        <f t="shared" si="3"/>
        <v/>
      </c>
    </row>
    <row r="249" spans="1:16" hidden="1" x14ac:dyDescent="0.15">
      <c r="A249" s="81" t="str">
        <f>COPY!O247</f>
        <v/>
      </c>
      <c r="B249" s="81" t="str">
        <f>COPY!C247</f>
        <v/>
      </c>
      <c r="C249" s="82" t="str">
        <f>COPY!D247</f>
        <v/>
      </c>
      <c r="D249" s="81" t="str">
        <f>IF(Table13[[#This Row],[JUMLAH]]&gt;1,(IF(Table13[[#This Row],[CODE]]=" ",D248&amp;"a",IF(Table13[[#This Row],[CODE]]&gt;0,Table13[[#This Row],[CODE]],0))),"")</f>
        <v/>
      </c>
      <c r="E249" s="81" t="str">
        <f>IF(COPY!G247&gt;0,COPY!G247,"")</f>
        <v/>
      </c>
      <c r="F249" s="88" t="str">
        <f>IF(COPY!J247&gt;0,COPY!J247,"")</f>
        <v/>
      </c>
      <c r="G249" s="85" t="str">
        <f>IF(COPY!H247&gt;0,COPY!H247,"")</f>
        <v/>
      </c>
      <c r="H249" s="85" t="str">
        <f>IF(COPY!I247&gt;0,COPY!I247,"")</f>
        <v/>
      </c>
      <c r="I249" s="85" t="str">
        <f>IF(COPY!M247&gt;0,COPY!M247,"")</f>
        <v/>
      </c>
      <c r="J249" s="85" t="str">
        <f>IF(COPY!N247&gt;0,COPY!N247,"")</f>
        <v/>
      </c>
      <c r="K249" s="86" t="str">
        <f>IF(N249=0,(IF(LEFT(Table13[[#This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Row],[URAIAN]],$U$194:$V$210,2,FALSE),""),""),0))))),N249)</f>
        <v/>
      </c>
      <c r="L249" s="85" t="str">
        <f>IF(Table13[[#This Row],[Column2]]="KWITANSI",COUNTIF($K$4:K249,"KWITANSI")," ")</f>
        <v xml:space="preserve"> </v>
      </c>
      <c r="M249" s="85" t="str">
        <f>IF(Table13[[#This Row],[Column3]]=" "," ",Table13[[#This Row],[CODE]])</f>
        <v xml:space="preserve"> </v>
      </c>
      <c r="N249" s="368"/>
      <c r="P249" s="81" t="str">
        <f t="shared" si="3"/>
        <v/>
      </c>
    </row>
    <row r="250" spans="1:16" hidden="1" x14ac:dyDescent="0.15">
      <c r="A250" s="81" t="str">
        <f>COPY!O248</f>
        <v/>
      </c>
      <c r="B250" s="81" t="str">
        <f>COPY!C248</f>
        <v/>
      </c>
      <c r="C250" s="82" t="str">
        <f>COPY!D248</f>
        <v/>
      </c>
      <c r="D250" s="81" t="str">
        <f>IF(Table13[[#This Row],[JUMLAH]]&gt;1,(IF(Table13[[#This Row],[CODE]]=" ",D249&amp;"a",IF(Table13[[#This Row],[CODE]]&gt;0,Table13[[#This Row],[CODE]],0))),"")</f>
        <v/>
      </c>
      <c r="E250" s="81" t="str">
        <f>IF(COPY!G248&gt;0,COPY!G248,"")</f>
        <v/>
      </c>
      <c r="F250" s="88" t="str">
        <f>IF(COPY!J248&gt;0,COPY!J248,"")</f>
        <v/>
      </c>
      <c r="G250" s="85" t="str">
        <f>IF(COPY!H248&gt;0,COPY!H248,"")</f>
        <v/>
      </c>
      <c r="H250" s="85" t="str">
        <f>IF(COPY!I248&gt;0,COPY!I248,"")</f>
        <v/>
      </c>
      <c r="I250" s="85" t="str">
        <f>IF(COPY!M248&gt;0,COPY!M248,"")</f>
        <v/>
      </c>
      <c r="J250" s="85" t="str">
        <f>IF(COPY!N248&gt;0,COPY!N248,"")</f>
        <v/>
      </c>
      <c r="K250" s="86" t="str">
        <f>IF(N250=0,(IF(LEFT(Table13[[#This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Row],[URAIAN]],$U$194:$V$210,2,FALSE),""),""),0))))),N250)</f>
        <v/>
      </c>
      <c r="L250" s="85" t="str">
        <f>IF(Table13[[#This Row],[Column2]]="KWITANSI",COUNTIF($K$4:K250,"KWITANSI")," ")</f>
        <v xml:space="preserve"> </v>
      </c>
      <c r="M250" s="85" t="str">
        <f>IF(Table13[[#This Row],[Column3]]=" "," ",Table13[[#This Row],[CODE]])</f>
        <v xml:space="preserve"> </v>
      </c>
      <c r="N250" s="368"/>
      <c r="P250" s="81" t="str">
        <f t="shared" si="3"/>
        <v/>
      </c>
    </row>
    <row r="251" spans="1:16" hidden="1" x14ac:dyDescent="0.15">
      <c r="A251" s="81" t="str">
        <f>COPY!O249</f>
        <v/>
      </c>
      <c r="B251" s="81" t="str">
        <f>COPY!C249</f>
        <v/>
      </c>
      <c r="C251" s="82" t="str">
        <f>COPY!D249</f>
        <v/>
      </c>
      <c r="D251" s="81" t="str">
        <f>IF(Table13[[#This Row],[JUMLAH]]&gt;1,(IF(Table13[[#This Row],[CODE]]=" ",D250&amp;"a",IF(Table13[[#This Row],[CODE]]&gt;0,Table13[[#This Row],[CODE]],0))),"")</f>
        <v/>
      </c>
      <c r="E251" s="81" t="str">
        <f>IF(COPY!G249&gt;0,COPY!G249,"")</f>
        <v/>
      </c>
      <c r="F251" s="88" t="str">
        <f>IF(COPY!J249&gt;0,COPY!J249,"")</f>
        <v/>
      </c>
      <c r="G251" s="85" t="str">
        <f>IF(COPY!H249&gt;0,COPY!H249,"")</f>
        <v/>
      </c>
      <c r="H251" s="85" t="str">
        <f>IF(COPY!I249&gt;0,COPY!I249,"")</f>
        <v/>
      </c>
      <c r="I251" s="85" t="str">
        <f>IF(COPY!M249&gt;0,COPY!M249,"")</f>
        <v/>
      </c>
      <c r="J251" s="85" t="str">
        <f>IF(COPY!N249&gt;0,COPY!N249,"")</f>
        <v/>
      </c>
      <c r="K251" s="86" t="str">
        <f>IF(N251=0,(IF(LEFT(Table13[[#This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Row],[URAIAN]],$U$194:$V$210,2,FALSE),""),""),0))))),N251)</f>
        <v/>
      </c>
      <c r="L251" s="85" t="str">
        <f>IF(Table13[[#This Row],[Column2]]="KWITANSI",COUNTIF($K$4:K251,"KWITANSI")," ")</f>
        <v xml:space="preserve"> </v>
      </c>
      <c r="M251" s="85" t="str">
        <f>IF(Table13[[#This Row],[Column3]]=" "," ",Table13[[#This Row],[CODE]])</f>
        <v xml:space="preserve"> </v>
      </c>
      <c r="N251" s="368"/>
      <c r="P251" s="81" t="str">
        <f t="shared" si="3"/>
        <v/>
      </c>
    </row>
    <row r="252" spans="1:16" hidden="1" x14ac:dyDescent="0.15">
      <c r="A252" s="81" t="str">
        <f>COPY!O250</f>
        <v/>
      </c>
      <c r="B252" s="81" t="str">
        <f>COPY!C250</f>
        <v/>
      </c>
      <c r="C252" s="82" t="str">
        <f>COPY!D250</f>
        <v/>
      </c>
      <c r="D252" s="81" t="str">
        <f>IF(Table13[[#This Row],[JUMLAH]]&gt;1,(IF(Table13[[#This Row],[CODE]]=" ",D251&amp;"a",IF(Table13[[#This Row],[CODE]]&gt;0,Table13[[#This Row],[CODE]],0))),"")</f>
        <v/>
      </c>
      <c r="E252" s="81" t="str">
        <f>IF(COPY!G250&gt;0,COPY!G250,"")</f>
        <v/>
      </c>
      <c r="F252" s="88" t="str">
        <f>IF(COPY!J250&gt;0,COPY!J250,"")</f>
        <v/>
      </c>
      <c r="G252" s="85" t="str">
        <f>IF(COPY!H250&gt;0,COPY!H250,"")</f>
        <v/>
      </c>
      <c r="H252" s="85" t="str">
        <f>IF(COPY!I250&gt;0,COPY!I250,"")</f>
        <v/>
      </c>
      <c r="I252" s="85" t="str">
        <f>IF(COPY!M250&gt;0,COPY!M250,"")</f>
        <v/>
      </c>
      <c r="J252" s="85" t="str">
        <f>IF(COPY!N250&gt;0,COPY!N250,"")</f>
        <v/>
      </c>
      <c r="K252" s="86" t="str">
        <f>IF(N252=0,(IF(LEFT(Table13[[#This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Row],[URAIAN]],$U$194:$V$210,2,FALSE),""),""),0))))),N252)</f>
        <v/>
      </c>
      <c r="L252" s="85" t="str">
        <f>IF(Table13[[#This Row],[Column2]]="KWITANSI",COUNTIF($K$4:K252,"KWITANSI")," ")</f>
        <v xml:space="preserve"> </v>
      </c>
      <c r="M252" s="85" t="str">
        <f>IF(Table13[[#This Row],[Column3]]=" "," ",Table13[[#This Row],[CODE]])</f>
        <v xml:space="preserve"> </v>
      </c>
      <c r="N252" s="368"/>
      <c r="P252" s="81" t="str">
        <f t="shared" si="3"/>
        <v/>
      </c>
    </row>
    <row r="253" spans="1:16" hidden="1" x14ac:dyDescent="0.15">
      <c r="A253" s="81" t="str">
        <f>COPY!O251</f>
        <v/>
      </c>
      <c r="B253" s="81" t="str">
        <f>COPY!C251</f>
        <v/>
      </c>
      <c r="C253" s="82" t="str">
        <f>COPY!D251</f>
        <v/>
      </c>
      <c r="D253" s="81" t="str">
        <f>IF(Table13[[#This Row],[JUMLAH]]&gt;1,(IF(Table13[[#This Row],[CODE]]=" ",D252&amp;"a",IF(Table13[[#This Row],[CODE]]&gt;0,Table13[[#This Row],[CODE]],0))),"")</f>
        <v/>
      </c>
      <c r="E253" s="81" t="str">
        <f>IF(COPY!G251&gt;0,COPY!G251,"")</f>
        <v/>
      </c>
      <c r="F253" s="88" t="str">
        <f>IF(COPY!J251&gt;0,COPY!J251,"")</f>
        <v/>
      </c>
      <c r="G253" s="85" t="str">
        <f>IF(COPY!H251&gt;0,COPY!H251,"")</f>
        <v/>
      </c>
      <c r="H253" s="85" t="str">
        <f>IF(COPY!I251&gt;0,COPY!I251,"")</f>
        <v/>
      </c>
      <c r="I253" s="85" t="str">
        <f>IF(COPY!M251&gt;0,COPY!M251,"")</f>
        <v/>
      </c>
      <c r="J253" s="85" t="str">
        <f>IF(COPY!N251&gt;0,COPY!N251,"")</f>
        <v/>
      </c>
      <c r="K253" s="86" t="str">
        <f>IF(N253=0,(IF(LEFT(Table13[[#This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Row],[URAIAN]],$U$194:$V$210,2,FALSE),""),""),0))))),N253)</f>
        <v/>
      </c>
      <c r="L253" s="85" t="str">
        <f>IF(Table13[[#This Row],[Column2]]="KWITANSI",COUNTIF($K$4:K253,"KWITANSI")," ")</f>
        <v xml:space="preserve"> </v>
      </c>
      <c r="M253" s="85" t="str">
        <f>IF(Table13[[#This Row],[Column3]]=" "," ",Table13[[#This Row],[CODE]])</f>
        <v xml:space="preserve"> </v>
      </c>
      <c r="N253" s="368"/>
      <c r="P253" s="81" t="str">
        <f t="shared" si="3"/>
        <v/>
      </c>
    </row>
    <row r="254" spans="1:16" hidden="1" x14ac:dyDescent="0.15">
      <c r="A254" s="81" t="str">
        <f>COPY!O252</f>
        <v/>
      </c>
      <c r="B254" s="81" t="str">
        <f>COPY!C252</f>
        <v/>
      </c>
      <c r="C254" s="82" t="str">
        <f>COPY!D252</f>
        <v/>
      </c>
      <c r="D254" s="81" t="str">
        <f>IF(Table13[[#This Row],[JUMLAH]]&gt;1,(IF(Table13[[#This Row],[CODE]]=" ",D253&amp;"a",IF(Table13[[#This Row],[CODE]]&gt;0,Table13[[#This Row],[CODE]],0))),"")</f>
        <v/>
      </c>
      <c r="E254" s="81" t="str">
        <f>IF(COPY!G252&gt;0,COPY!G252,"")</f>
        <v/>
      </c>
      <c r="F254" s="88" t="str">
        <f>IF(COPY!J252&gt;0,COPY!J252,"")</f>
        <v/>
      </c>
      <c r="G254" s="85" t="str">
        <f>IF(COPY!H252&gt;0,COPY!H252,"")</f>
        <v/>
      </c>
      <c r="H254" s="85" t="str">
        <f>IF(COPY!I252&gt;0,COPY!I252,"")</f>
        <v/>
      </c>
      <c r="I254" s="85" t="str">
        <f>IF(COPY!M252&gt;0,COPY!M252,"")</f>
        <v/>
      </c>
      <c r="J254" s="85" t="str">
        <f>IF(COPY!N252&gt;0,COPY!N252,"")</f>
        <v/>
      </c>
      <c r="K254" s="86" t="str">
        <f>IF(N254=0,(IF(LEFT(Table13[[#This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Row],[URAIAN]],$U$194:$V$210,2,FALSE),""),""),0))))),N254)</f>
        <v/>
      </c>
      <c r="L254" s="85" t="str">
        <f>IF(Table13[[#This Row],[Column2]]="KWITANSI",COUNTIF($K$4:K254,"KWITANSI")," ")</f>
        <v xml:space="preserve"> </v>
      </c>
      <c r="M254" s="85" t="str">
        <f>IF(Table13[[#This Row],[Column3]]=" "," ",Table13[[#This Row],[CODE]])</f>
        <v xml:space="preserve"> </v>
      </c>
      <c r="N254" s="368"/>
      <c r="P254" s="81" t="str">
        <f t="shared" si="3"/>
        <v/>
      </c>
    </row>
    <row r="255" spans="1:16" hidden="1" x14ac:dyDescent="0.15">
      <c r="A255" s="81" t="str">
        <f>COPY!O253</f>
        <v/>
      </c>
      <c r="B255" s="81" t="str">
        <f>COPY!C253</f>
        <v/>
      </c>
      <c r="C255" s="82" t="str">
        <f>COPY!D253</f>
        <v/>
      </c>
      <c r="D255" s="81" t="str">
        <f>IF(Table13[[#This Row],[JUMLAH]]&gt;1,(IF(Table13[[#This Row],[CODE]]=" ",D254&amp;"a",IF(Table13[[#This Row],[CODE]]&gt;0,Table13[[#This Row],[CODE]],0))),"")</f>
        <v/>
      </c>
      <c r="E255" s="81" t="str">
        <f>IF(COPY!G253&gt;0,COPY!G253,"")</f>
        <v/>
      </c>
      <c r="F255" s="88" t="str">
        <f>IF(COPY!J253&gt;0,COPY!J253,"")</f>
        <v/>
      </c>
      <c r="G255" s="85" t="str">
        <f>IF(COPY!H253&gt;0,COPY!H253,"")</f>
        <v/>
      </c>
      <c r="H255" s="85" t="str">
        <f>IF(COPY!I253&gt;0,COPY!I253,"")</f>
        <v/>
      </c>
      <c r="I255" s="85" t="str">
        <f>IF(COPY!M253&gt;0,COPY!M253,"")</f>
        <v/>
      </c>
      <c r="J255" s="85" t="str">
        <f>IF(COPY!N253&gt;0,COPY!N253,"")</f>
        <v/>
      </c>
      <c r="K255" s="86" t="str">
        <f>IF(N255=0,(IF(LEFT(Table13[[#This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Row],[URAIAN]],$U$194:$V$210,2,FALSE),""),""),0))))),N255)</f>
        <v/>
      </c>
      <c r="L255" s="85" t="str">
        <f>IF(Table13[[#This Row],[Column2]]="KWITANSI",COUNTIF($K$4:K255,"KWITANSI")," ")</f>
        <v xml:space="preserve"> </v>
      </c>
      <c r="M255" s="85" t="str">
        <f>IF(Table13[[#This Row],[Column3]]=" "," ",Table13[[#This Row],[CODE]])</f>
        <v xml:space="preserve"> </v>
      </c>
      <c r="N255" s="368"/>
      <c r="P255" s="81" t="str">
        <f t="shared" si="3"/>
        <v/>
      </c>
    </row>
    <row r="256" spans="1:16" hidden="1" x14ac:dyDescent="0.15">
      <c r="A256" s="81" t="str">
        <f>COPY!O254</f>
        <v/>
      </c>
      <c r="B256" s="81" t="str">
        <f>COPY!C254</f>
        <v/>
      </c>
      <c r="C256" s="82" t="str">
        <f>COPY!D254</f>
        <v/>
      </c>
      <c r="D256" s="81" t="str">
        <f>IF(Table13[[#This Row],[JUMLAH]]&gt;1,(IF(Table13[[#This Row],[CODE]]=" ",D255&amp;"a",IF(Table13[[#This Row],[CODE]]&gt;0,Table13[[#This Row],[CODE]],0))),"")</f>
        <v/>
      </c>
      <c r="E256" s="81" t="str">
        <f>IF(COPY!G254&gt;0,COPY!G254,"")</f>
        <v/>
      </c>
      <c r="F256" s="88" t="str">
        <f>IF(COPY!J254&gt;0,COPY!J254,"")</f>
        <v/>
      </c>
      <c r="G256" s="85" t="str">
        <f>IF(COPY!H254&gt;0,COPY!H254,"")</f>
        <v/>
      </c>
      <c r="H256" s="85" t="str">
        <f>IF(COPY!I254&gt;0,COPY!I254,"")</f>
        <v/>
      </c>
      <c r="I256" s="85" t="str">
        <f>IF(COPY!M254&gt;0,COPY!M254,"")</f>
        <v/>
      </c>
      <c r="J256" s="85" t="str">
        <f>IF(COPY!N254&gt;0,COPY!N254,"")</f>
        <v/>
      </c>
      <c r="K256" s="86" t="str">
        <f>IF(N256=0,(IF(LEFT(Table13[[#This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Row],[URAIAN]],$U$194:$V$210,2,FALSE),""),""),0))))),N256)</f>
        <v/>
      </c>
      <c r="L256" s="85" t="str">
        <f>IF(Table13[[#This Row],[Column2]]="KWITANSI",COUNTIF($K$4:K256,"KWITANSI")," ")</f>
        <v xml:space="preserve"> </v>
      </c>
      <c r="M256" s="85" t="str">
        <f>IF(Table13[[#This Row],[Column3]]=" "," ",Table13[[#This Row],[CODE]])</f>
        <v xml:space="preserve"> </v>
      </c>
      <c r="N256" s="368"/>
      <c r="P256" s="81" t="str">
        <f t="shared" si="3"/>
        <v/>
      </c>
    </row>
    <row r="257" spans="1:16" hidden="1" x14ac:dyDescent="0.15">
      <c r="A257" s="81" t="str">
        <f>COPY!O255</f>
        <v/>
      </c>
      <c r="B257" s="81" t="str">
        <f>COPY!C255</f>
        <v/>
      </c>
      <c r="C257" s="82" t="str">
        <f>COPY!D255</f>
        <v/>
      </c>
      <c r="D257" s="81" t="str">
        <f>IF(Table13[[#This Row],[JUMLAH]]&gt;1,(IF(Table13[[#This Row],[CODE]]=" ",D256&amp;"a",IF(Table13[[#This Row],[CODE]]&gt;0,Table13[[#This Row],[CODE]],0))),"")</f>
        <v/>
      </c>
      <c r="E257" s="81" t="str">
        <f>IF(COPY!G255&gt;0,COPY!G255,"")</f>
        <v/>
      </c>
      <c r="F257" s="88" t="str">
        <f>IF(COPY!J255&gt;0,COPY!J255,"")</f>
        <v/>
      </c>
      <c r="G257" s="85" t="str">
        <f>IF(COPY!H255&gt;0,COPY!H255,"")</f>
        <v/>
      </c>
      <c r="H257" s="85" t="str">
        <f>IF(COPY!I255&gt;0,COPY!I255,"")</f>
        <v/>
      </c>
      <c r="I257" s="85" t="str">
        <f>IF(COPY!M255&gt;0,COPY!M255,"")</f>
        <v/>
      </c>
      <c r="J257" s="85" t="str">
        <f>IF(COPY!N255&gt;0,COPY!N255,"")</f>
        <v/>
      </c>
      <c r="K257" s="86" t="str">
        <f>IF(N257=0,(IF(LEFT(Table13[[#This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Row],[URAIAN]],$U$194:$V$210,2,FALSE),""),""),0))))),N257)</f>
        <v/>
      </c>
      <c r="L257" s="85" t="str">
        <f>IF(Table13[[#This Row],[Column2]]="KWITANSI",COUNTIF($K$4:K257,"KWITANSI")," ")</f>
        <v xml:space="preserve"> </v>
      </c>
      <c r="M257" s="85" t="str">
        <f>IF(Table13[[#This Row],[Column3]]=" "," ",Table13[[#This Row],[CODE]])</f>
        <v xml:space="preserve"> </v>
      </c>
      <c r="N257" s="368"/>
      <c r="P257" s="81" t="str">
        <f t="shared" si="3"/>
        <v/>
      </c>
    </row>
    <row r="258" spans="1:16" hidden="1" x14ac:dyDescent="0.15">
      <c r="A258" s="81" t="str">
        <f>COPY!O256</f>
        <v/>
      </c>
      <c r="B258" s="81" t="str">
        <f>COPY!C256</f>
        <v/>
      </c>
      <c r="C258" s="82" t="str">
        <f>COPY!D256</f>
        <v/>
      </c>
      <c r="D258" s="81" t="str">
        <f>IF(Table13[[#This Row],[JUMLAH]]&gt;1,(IF(Table13[[#This Row],[CODE]]=" ",D257&amp;"a",IF(Table13[[#This Row],[CODE]]&gt;0,Table13[[#This Row],[CODE]],0))),"")</f>
        <v/>
      </c>
      <c r="E258" s="81" t="str">
        <f>IF(COPY!G256&gt;0,COPY!G256,"")</f>
        <v/>
      </c>
      <c r="F258" s="88" t="str">
        <f>IF(COPY!J256&gt;0,COPY!J256,"")</f>
        <v/>
      </c>
      <c r="G258" s="85" t="str">
        <f>IF(COPY!H256&gt;0,COPY!H256,"")</f>
        <v/>
      </c>
      <c r="H258" s="85" t="str">
        <f>IF(COPY!I256&gt;0,COPY!I256,"")</f>
        <v/>
      </c>
      <c r="I258" s="85" t="str">
        <f>IF(COPY!M256&gt;0,COPY!M256,"")</f>
        <v/>
      </c>
      <c r="J258" s="85" t="str">
        <f>IF(COPY!N256&gt;0,COPY!N256,"")</f>
        <v/>
      </c>
      <c r="K258" s="86" t="str">
        <f>IF(N258=0,(IF(LEFT(Table13[[#This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Row],[URAIAN]],$U$194:$V$210,2,FALSE),""),""),0))))),N258)</f>
        <v/>
      </c>
      <c r="L258" s="85" t="str">
        <f>IF(Table13[[#This Row],[Column2]]="KWITANSI",COUNTIF($K$4:K258,"KWITANSI")," ")</f>
        <v xml:space="preserve"> </v>
      </c>
      <c r="M258" s="85" t="str">
        <f>IF(Table13[[#This Row],[Column3]]=" "," ",Table13[[#This Row],[CODE]])</f>
        <v xml:space="preserve"> </v>
      </c>
      <c r="N258" s="368"/>
      <c r="P258" s="81" t="str">
        <f t="shared" ref="P258:P321" si="4">IF(-$O$4+($O$4+ROW())&lt;=$O$4,-$O$4+($O$4+ROW()),"")</f>
        <v/>
      </c>
    </row>
    <row r="259" spans="1:16" hidden="1" x14ac:dyDescent="0.15">
      <c r="A259" s="81" t="str">
        <f>COPY!O257</f>
        <v/>
      </c>
      <c r="B259" s="81" t="str">
        <f>COPY!C257</f>
        <v/>
      </c>
      <c r="C259" s="82" t="str">
        <f>COPY!D257</f>
        <v/>
      </c>
      <c r="D259" s="81" t="str">
        <f>IF(Table13[[#This Row],[JUMLAH]]&gt;1,(IF(Table13[[#This Row],[CODE]]=" ",D258&amp;"a",IF(Table13[[#This Row],[CODE]]&gt;0,Table13[[#This Row],[CODE]],0))),"")</f>
        <v/>
      </c>
      <c r="E259" s="81" t="str">
        <f>IF(COPY!G257&gt;0,COPY!G257,"")</f>
        <v/>
      </c>
      <c r="F259" s="88" t="str">
        <f>IF(COPY!J257&gt;0,COPY!J257,"")</f>
        <v/>
      </c>
      <c r="G259" s="85" t="str">
        <f>IF(COPY!H257&gt;0,COPY!H257,"")</f>
        <v/>
      </c>
      <c r="H259" s="85" t="str">
        <f>IF(COPY!I257&gt;0,COPY!I257,"")</f>
        <v/>
      </c>
      <c r="I259" s="85" t="str">
        <f>IF(COPY!M257&gt;0,COPY!M257,"")</f>
        <v/>
      </c>
      <c r="J259" s="85" t="str">
        <f>IF(COPY!N257&gt;0,COPY!N257,"")</f>
        <v/>
      </c>
      <c r="K259" s="86" t="str">
        <f>IF(N259=0,(IF(LEFT(Table13[[#This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Row],[URAIAN]],$U$194:$V$210,2,FALSE),""),""),0))))),N259)</f>
        <v/>
      </c>
      <c r="L259" s="85" t="str">
        <f>IF(Table13[[#This Row],[Column2]]="KWITANSI",COUNTIF($K$4:K259,"KWITANSI")," ")</f>
        <v xml:space="preserve"> </v>
      </c>
      <c r="M259" s="85" t="str">
        <f>IF(Table13[[#This Row],[Column3]]=" "," ",Table13[[#This Row],[CODE]])</f>
        <v xml:space="preserve"> </v>
      </c>
      <c r="N259" s="368"/>
      <c r="P259" s="81" t="str">
        <f t="shared" si="4"/>
        <v/>
      </c>
    </row>
    <row r="260" spans="1:16" hidden="1" x14ac:dyDescent="0.15">
      <c r="A260" s="81" t="str">
        <f>COPY!O258</f>
        <v/>
      </c>
      <c r="B260" s="81" t="str">
        <f>COPY!C258</f>
        <v/>
      </c>
      <c r="C260" s="82" t="str">
        <f>COPY!D258</f>
        <v/>
      </c>
      <c r="D260" s="81" t="str">
        <f>IF(Table13[[#This Row],[JUMLAH]]&gt;1,(IF(Table13[[#This Row],[CODE]]=" ",D259&amp;"a",IF(Table13[[#This Row],[CODE]]&gt;0,Table13[[#This Row],[CODE]],0))),"")</f>
        <v/>
      </c>
      <c r="E260" s="81" t="str">
        <f>IF(COPY!G258&gt;0,COPY!G258,"")</f>
        <v/>
      </c>
      <c r="F260" s="88" t="str">
        <f>IF(COPY!J258&gt;0,COPY!J258,"")</f>
        <v/>
      </c>
      <c r="G260" s="85" t="str">
        <f>IF(COPY!H258&gt;0,COPY!H258,"")</f>
        <v/>
      </c>
      <c r="H260" s="85" t="str">
        <f>IF(COPY!I258&gt;0,COPY!I258,"")</f>
        <v/>
      </c>
      <c r="I260" s="85" t="str">
        <f>IF(COPY!M258&gt;0,COPY!M258,"")</f>
        <v/>
      </c>
      <c r="J260" s="85" t="str">
        <f>IF(COPY!N258&gt;0,COPY!N258,"")</f>
        <v/>
      </c>
      <c r="K260" s="86" t="str">
        <f>IF(N260=0,(IF(LEFT(Table13[[#This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Row],[URAIAN]],$U$194:$V$210,2,FALSE),""),""),0))))),N260)</f>
        <v/>
      </c>
      <c r="L260" s="85" t="str">
        <f>IF(Table13[[#This Row],[Column2]]="KWITANSI",COUNTIF($K$4:K260,"KWITANSI")," ")</f>
        <v xml:space="preserve"> </v>
      </c>
      <c r="M260" s="85" t="str">
        <f>IF(Table13[[#This Row],[Column3]]=" "," ",Table13[[#This Row],[CODE]])</f>
        <v xml:space="preserve"> </v>
      </c>
      <c r="N260" s="368"/>
      <c r="P260" s="81" t="str">
        <f t="shared" si="4"/>
        <v/>
      </c>
    </row>
    <row r="261" spans="1:16" hidden="1" x14ac:dyDescent="0.15">
      <c r="A261" s="81" t="str">
        <f>COPY!O259</f>
        <v/>
      </c>
      <c r="B261" s="81" t="str">
        <f>COPY!C259</f>
        <v/>
      </c>
      <c r="C261" s="82" t="str">
        <f>COPY!D259</f>
        <v/>
      </c>
      <c r="D261" s="81" t="str">
        <f>IF(Table13[[#This Row],[JUMLAH]]&gt;1,(IF(Table13[[#This Row],[CODE]]=" ",D260&amp;"a",IF(Table13[[#This Row],[CODE]]&gt;0,Table13[[#This Row],[CODE]],0))),"")</f>
        <v/>
      </c>
      <c r="E261" s="81" t="str">
        <f>IF(COPY!G259&gt;0,COPY!G259,"")</f>
        <v/>
      </c>
      <c r="F261" s="88" t="str">
        <f>IF(COPY!J259&gt;0,COPY!J259,"")</f>
        <v/>
      </c>
      <c r="G261" s="85" t="str">
        <f>IF(COPY!H259&gt;0,COPY!H259,"")</f>
        <v/>
      </c>
      <c r="H261" s="85" t="str">
        <f>IF(COPY!I259&gt;0,COPY!I259,"")</f>
        <v/>
      </c>
      <c r="I261" s="85" t="str">
        <f>IF(COPY!M259&gt;0,COPY!M259,"")</f>
        <v/>
      </c>
      <c r="J261" s="85" t="str">
        <f>IF(COPY!N259&gt;0,COPY!N259,"")</f>
        <v/>
      </c>
      <c r="K261" s="86" t="str">
        <f>IF(N261=0,(IF(LEFT(Table13[[#This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Row],[URAIAN]],$U$194:$V$210,2,FALSE),""),""),0))))),N261)</f>
        <v/>
      </c>
      <c r="L261" s="85" t="str">
        <f>IF(Table13[[#This Row],[Column2]]="KWITANSI",COUNTIF($K$4:K261,"KWITANSI")," ")</f>
        <v xml:space="preserve"> </v>
      </c>
      <c r="M261" s="85" t="str">
        <f>IF(Table13[[#This Row],[Column3]]=" "," ",Table13[[#This Row],[CODE]])</f>
        <v xml:space="preserve"> </v>
      </c>
      <c r="N261" s="368"/>
      <c r="P261" s="81" t="str">
        <f t="shared" si="4"/>
        <v/>
      </c>
    </row>
    <row r="262" spans="1:16" hidden="1" x14ac:dyDescent="0.15">
      <c r="A262" s="81" t="str">
        <f>COPY!O260</f>
        <v/>
      </c>
      <c r="B262" s="81" t="str">
        <f>COPY!C260</f>
        <v/>
      </c>
      <c r="C262" s="82" t="str">
        <f>COPY!D260</f>
        <v/>
      </c>
      <c r="D262" s="81" t="str">
        <f>IF(Table13[[#This Row],[JUMLAH]]&gt;1,(IF(Table13[[#This Row],[CODE]]=" ",D261&amp;"a",IF(Table13[[#This Row],[CODE]]&gt;0,Table13[[#This Row],[CODE]],0))),"")</f>
        <v/>
      </c>
      <c r="E262" s="81" t="str">
        <f>IF(COPY!G260&gt;0,COPY!G260,"")</f>
        <v/>
      </c>
      <c r="F262" s="88" t="str">
        <f>IF(COPY!J260&gt;0,COPY!J260,"")</f>
        <v/>
      </c>
      <c r="G262" s="85" t="str">
        <f>IF(COPY!H260&gt;0,COPY!H260,"")</f>
        <v/>
      </c>
      <c r="H262" s="85" t="str">
        <f>IF(COPY!I260&gt;0,COPY!I260,"")</f>
        <v/>
      </c>
      <c r="I262" s="85" t="str">
        <f>IF(COPY!M260&gt;0,COPY!M260,"")</f>
        <v/>
      </c>
      <c r="J262" s="85" t="str">
        <f>IF(COPY!N260&gt;0,COPY!N260,"")</f>
        <v/>
      </c>
      <c r="K262" s="86" t="str">
        <f>IF(N262=0,(IF(LEFT(Table13[[#This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Row],[URAIAN]],$U$194:$V$210,2,FALSE),""),""),0))))),N262)</f>
        <v/>
      </c>
      <c r="L262" s="85" t="str">
        <f>IF(Table13[[#This Row],[Column2]]="KWITANSI",COUNTIF($K$4:K262,"KWITANSI")," ")</f>
        <v xml:space="preserve"> </v>
      </c>
      <c r="M262" s="85" t="str">
        <f>IF(Table13[[#This Row],[Column3]]=" "," ",Table13[[#This Row],[CODE]])</f>
        <v xml:space="preserve"> </v>
      </c>
      <c r="N262" s="368"/>
      <c r="P262" s="81" t="str">
        <f t="shared" si="4"/>
        <v/>
      </c>
    </row>
    <row r="263" spans="1:16" hidden="1" x14ac:dyDescent="0.15">
      <c r="A263" s="81" t="str">
        <f>COPY!O261</f>
        <v/>
      </c>
      <c r="B263" s="81" t="str">
        <f>COPY!C261</f>
        <v/>
      </c>
      <c r="C263" s="82" t="str">
        <f>COPY!D261</f>
        <v/>
      </c>
      <c r="D263" s="81" t="str">
        <f>IF(Table13[[#This Row],[JUMLAH]]&gt;1,(IF(Table13[[#This Row],[CODE]]=" ",D262&amp;"a",IF(Table13[[#This Row],[CODE]]&gt;0,Table13[[#This Row],[CODE]],0))),"")</f>
        <v/>
      </c>
      <c r="E263" s="81" t="str">
        <f>IF(COPY!G261&gt;0,COPY!G261,"")</f>
        <v/>
      </c>
      <c r="F263" s="88" t="str">
        <f>IF(COPY!J261&gt;0,COPY!J261,"")</f>
        <v/>
      </c>
      <c r="G263" s="85" t="str">
        <f>IF(COPY!H261&gt;0,COPY!H261,"")</f>
        <v/>
      </c>
      <c r="H263" s="85" t="str">
        <f>IF(COPY!I261&gt;0,COPY!I261,"")</f>
        <v/>
      </c>
      <c r="I263" s="85" t="str">
        <f>IF(COPY!M261&gt;0,COPY!M261,"")</f>
        <v/>
      </c>
      <c r="J263" s="85" t="str">
        <f>IF(COPY!N261&gt;0,COPY!N261,"")</f>
        <v/>
      </c>
      <c r="K263" s="86" t="str">
        <f>IF(N263=0,(IF(LEFT(Table13[[#This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Row],[URAIAN]],$U$194:$V$210,2,FALSE),""),""),0))))),N263)</f>
        <v/>
      </c>
      <c r="L263" s="85" t="str">
        <f>IF(Table13[[#This Row],[Column2]]="KWITANSI",COUNTIF($K$4:K263,"KWITANSI")," ")</f>
        <v xml:space="preserve"> </v>
      </c>
      <c r="M263" s="85" t="str">
        <f>IF(Table13[[#This Row],[Column3]]=" "," ",Table13[[#This Row],[CODE]])</f>
        <v xml:space="preserve"> </v>
      </c>
      <c r="N263" s="368"/>
      <c r="P263" s="81" t="str">
        <f t="shared" si="4"/>
        <v/>
      </c>
    </row>
    <row r="264" spans="1:16" hidden="1" x14ac:dyDescent="0.15">
      <c r="A264" s="81" t="str">
        <f>COPY!O262</f>
        <v/>
      </c>
      <c r="B264" s="81" t="str">
        <f>COPY!C262</f>
        <v/>
      </c>
      <c r="C264" s="82" t="str">
        <f>COPY!D262</f>
        <v/>
      </c>
      <c r="D264" s="81" t="str">
        <f>IF(Table13[[#This Row],[JUMLAH]]&gt;1,(IF(Table13[[#This Row],[CODE]]=" ",D263&amp;"a",IF(Table13[[#This Row],[CODE]]&gt;0,Table13[[#This Row],[CODE]],0))),"")</f>
        <v/>
      </c>
      <c r="E264" s="81" t="str">
        <f>IF(COPY!G262&gt;0,COPY!G262,"")</f>
        <v/>
      </c>
      <c r="F264" s="88" t="str">
        <f>IF(COPY!J262&gt;0,COPY!J262,"")</f>
        <v/>
      </c>
      <c r="G264" s="85" t="str">
        <f>IF(COPY!H262&gt;0,COPY!H262,"")</f>
        <v/>
      </c>
      <c r="H264" s="85" t="str">
        <f>IF(COPY!I262&gt;0,COPY!I262,"")</f>
        <v/>
      </c>
      <c r="I264" s="85" t="str">
        <f>IF(COPY!M262&gt;0,COPY!M262,"")</f>
        <v/>
      </c>
      <c r="J264" s="85" t="str">
        <f>IF(COPY!N262&gt;0,COPY!N262,"")</f>
        <v/>
      </c>
      <c r="K264" s="86" t="str">
        <f>IF(N264=0,(IF(LEFT(Table13[[#This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Row],[URAIAN]],$U$194:$V$210,2,FALSE),""),""),0))))),N264)</f>
        <v/>
      </c>
      <c r="L264" s="85" t="str">
        <f>IF(Table13[[#This Row],[Column2]]="KWITANSI",COUNTIF($K$4:K264,"KWITANSI")," ")</f>
        <v xml:space="preserve"> </v>
      </c>
      <c r="M264" s="85" t="str">
        <f>IF(Table13[[#This Row],[Column3]]=" "," ",Table13[[#This Row],[CODE]])</f>
        <v xml:space="preserve"> </v>
      </c>
      <c r="N264" s="368"/>
      <c r="P264" s="81" t="str">
        <f t="shared" si="4"/>
        <v/>
      </c>
    </row>
    <row r="265" spans="1:16" hidden="1" x14ac:dyDescent="0.15">
      <c r="A265" s="81" t="str">
        <f>COPY!O263</f>
        <v/>
      </c>
      <c r="B265" s="81" t="str">
        <f>COPY!C263</f>
        <v/>
      </c>
      <c r="C265" s="82" t="str">
        <f>COPY!D263</f>
        <v/>
      </c>
      <c r="D265" s="81" t="str">
        <f>IF(Table13[[#This Row],[JUMLAH]]&gt;1,(IF(Table13[[#This Row],[CODE]]=" ",D264&amp;"a",IF(Table13[[#This Row],[CODE]]&gt;0,Table13[[#This Row],[CODE]],0))),"")</f>
        <v/>
      </c>
      <c r="E265" s="81" t="str">
        <f>IF(COPY!G263&gt;0,COPY!G263,"")</f>
        <v/>
      </c>
      <c r="F265" s="88" t="str">
        <f>IF(COPY!J263&gt;0,COPY!J263,"")</f>
        <v/>
      </c>
      <c r="G265" s="85" t="str">
        <f>IF(COPY!H263&gt;0,COPY!H263,"")</f>
        <v/>
      </c>
      <c r="H265" s="85" t="str">
        <f>IF(COPY!I263&gt;0,COPY!I263,"")</f>
        <v/>
      </c>
      <c r="I265" s="85" t="str">
        <f>IF(COPY!M263&gt;0,COPY!M263,"")</f>
        <v/>
      </c>
      <c r="J265" s="85" t="str">
        <f>IF(COPY!N263&gt;0,COPY!N263,"")</f>
        <v/>
      </c>
      <c r="K265" s="86" t="str">
        <f>IF(N265=0,(IF(LEFT(Table13[[#This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Row],[URAIAN]],$U$194:$V$210,2,FALSE),""),""),0))))),N265)</f>
        <v/>
      </c>
      <c r="L265" s="85" t="str">
        <f>IF(Table13[[#This Row],[Column2]]="KWITANSI",COUNTIF($K$4:K265,"KWITANSI")," ")</f>
        <v xml:space="preserve"> </v>
      </c>
      <c r="M265" s="85" t="str">
        <f>IF(Table13[[#This Row],[Column3]]=" "," ",Table13[[#This Row],[CODE]])</f>
        <v xml:space="preserve"> </v>
      </c>
      <c r="N265" s="368"/>
      <c r="P265" s="81" t="str">
        <f t="shared" si="4"/>
        <v/>
      </c>
    </row>
    <row r="266" spans="1:16" hidden="1" x14ac:dyDescent="0.15">
      <c r="A266" s="81" t="str">
        <f>COPY!O264</f>
        <v/>
      </c>
      <c r="B266" s="81" t="str">
        <f>COPY!C264</f>
        <v/>
      </c>
      <c r="C266" s="82" t="str">
        <f>COPY!D264</f>
        <v/>
      </c>
      <c r="D266" s="81" t="str">
        <f>IF(Table13[[#This Row],[JUMLAH]]&gt;1,(IF(Table13[[#This Row],[CODE]]=" ",D265&amp;"a",IF(Table13[[#This Row],[CODE]]&gt;0,Table13[[#This Row],[CODE]],0))),"")</f>
        <v/>
      </c>
      <c r="E266" s="81" t="str">
        <f>IF(COPY!G264&gt;0,COPY!G264,"")</f>
        <v/>
      </c>
      <c r="F266" s="88" t="str">
        <f>IF(COPY!J264&gt;0,COPY!J264,"")</f>
        <v/>
      </c>
      <c r="G266" s="85" t="str">
        <f>IF(COPY!H264&gt;0,COPY!H264,"")</f>
        <v/>
      </c>
      <c r="H266" s="85" t="str">
        <f>IF(COPY!I264&gt;0,COPY!I264,"")</f>
        <v/>
      </c>
      <c r="I266" s="85" t="str">
        <f>IF(COPY!M264&gt;0,COPY!M264,"")</f>
        <v/>
      </c>
      <c r="J266" s="85" t="str">
        <f>IF(COPY!N264&gt;0,COPY!N264,"")</f>
        <v/>
      </c>
      <c r="K266" s="86" t="str">
        <f>IF(N266=0,(IF(LEFT(Table13[[#This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Row],[URAIAN]],$U$194:$V$210,2,FALSE),""),""),0))))),N266)</f>
        <v/>
      </c>
      <c r="L266" s="85" t="str">
        <f>IF(Table13[[#This Row],[Column2]]="KWITANSI",COUNTIF($K$4:K266,"KWITANSI")," ")</f>
        <v xml:space="preserve"> </v>
      </c>
      <c r="M266" s="85" t="str">
        <f>IF(Table13[[#This Row],[Column3]]=" "," ",Table13[[#This Row],[CODE]])</f>
        <v xml:space="preserve"> </v>
      </c>
      <c r="N266" s="368"/>
      <c r="P266" s="81" t="str">
        <f t="shared" si="4"/>
        <v/>
      </c>
    </row>
    <row r="267" spans="1:16" hidden="1" x14ac:dyDescent="0.15">
      <c r="A267" s="81" t="str">
        <f>COPY!O265</f>
        <v/>
      </c>
      <c r="B267" s="81" t="str">
        <f>COPY!C265</f>
        <v/>
      </c>
      <c r="C267" s="82" t="str">
        <f>COPY!D265</f>
        <v/>
      </c>
      <c r="D267" s="81" t="str">
        <f>IF(Table13[[#This Row],[JUMLAH]]&gt;1,(IF(Table13[[#This Row],[CODE]]=" ",D266&amp;"a",IF(Table13[[#This Row],[CODE]]&gt;0,Table13[[#This Row],[CODE]],0))),"")</f>
        <v/>
      </c>
      <c r="E267" s="81" t="str">
        <f>IF(COPY!G265&gt;0,COPY!G265,"")</f>
        <v/>
      </c>
      <c r="F267" s="88" t="str">
        <f>IF(COPY!J265&gt;0,COPY!J265,"")</f>
        <v/>
      </c>
      <c r="G267" s="85" t="str">
        <f>IF(COPY!H265&gt;0,COPY!H265,"")</f>
        <v/>
      </c>
      <c r="H267" s="85" t="str">
        <f>IF(COPY!I265&gt;0,COPY!I265,"")</f>
        <v/>
      </c>
      <c r="I267" s="85" t="str">
        <f>IF(COPY!M265&gt;0,COPY!M265,"")</f>
        <v/>
      </c>
      <c r="J267" s="85" t="str">
        <f>IF(COPY!N265&gt;0,COPY!N265,"")</f>
        <v/>
      </c>
      <c r="K267" s="86" t="str">
        <f>IF(N267=0,(IF(LEFT(Table13[[#This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Row],[URAIAN]],$U$194:$V$210,2,FALSE),""),""),0))))),N267)</f>
        <v/>
      </c>
      <c r="L267" s="85" t="str">
        <f>IF(Table13[[#This Row],[Column2]]="KWITANSI",COUNTIF($K$4:K267,"KWITANSI")," ")</f>
        <v xml:space="preserve"> </v>
      </c>
      <c r="M267" s="85" t="str">
        <f>IF(Table13[[#This Row],[Column3]]=" "," ",Table13[[#This Row],[CODE]])</f>
        <v xml:space="preserve"> </v>
      </c>
      <c r="N267" s="368"/>
      <c r="P267" s="81" t="str">
        <f t="shared" si="4"/>
        <v/>
      </c>
    </row>
    <row r="268" spans="1:16" hidden="1" x14ac:dyDescent="0.15">
      <c r="A268" s="81" t="str">
        <f>COPY!O266</f>
        <v/>
      </c>
      <c r="B268" s="81" t="str">
        <f>COPY!C266</f>
        <v/>
      </c>
      <c r="C268" s="82" t="str">
        <f>COPY!D266</f>
        <v/>
      </c>
      <c r="D268" s="81" t="str">
        <f>IF(Table13[[#This Row],[JUMLAH]]&gt;1,(IF(Table13[[#This Row],[CODE]]=" ",D267&amp;"a",IF(Table13[[#This Row],[CODE]]&gt;0,Table13[[#This Row],[CODE]],0))),"")</f>
        <v/>
      </c>
      <c r="E268" s="81" t="str">
        <f>IF(COPY!G266&gt;0,COPY!G266,"")</f>
        <v/>
      </c>
      <c r="F268" s="88" t="str">
        <f>IF(COPY!J266&gt;0,COPY!J266,"")</f>
        <v/>
      </c>
      <c r="G268" s="85" t="str">
        <f>IF(COPY!H266&gt;0,COPY!H266,"")</f>
        <v/>
      </c>
      <c r="H268" s="85" t="str">
        <f>IF(COPY!I266&gt;0,COPY!I266,"")</f>
        <v/>
      </c>
      <c r="I268" s="85" t="str">
        <f>IF(COPY!M266&gt;0,COPY!M266,"")</f>
        <v/>
      </c>
      <c r="J268" s="85" t="str">
        <f>IF(COPY!N266&gt;0,COPY!N266,"")</f>
        <v/>
      </c>
      <c r="K268" s="86" t="str">
        <f>IF(N268=0,(IF(LEFT(Table13[[#This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Row],[URAIAN]],$U$194:$V$210,2,FALSE),""),""),0))))),N268)</f>
        <v/>
      </c>
      <c r="L268" s="85" t="str">
        <f>IF(Table13[[#This Row],[Column2]]="KWITANSI",COUNTIF($K$4:K268,"KWITANSI")," ")</f>
        <v xml:space="preserve"> </v>
      </c>
      <c r="M268" s="85" t="str">
        <f>IF(Table13[[#This Row],[Column3]]=" "," ",Table13[[#This Row],[CODE]])</f>
        <v xml:space="preserve"> </v>
      </c>
      <c r="N268" s="368"/>
      <c r="P268" s="81" t="str">
        <f t="shared" si="4"/>
        <v/>
      </c>
    </row>
    <row r="269" spans="1:16" hidden="1" x14ac:dyDescent="0.15">
      <c r="A269" s="81" t="str">
        <f>COPY!O267</f>
        <v/>
      </c>
      <c r="B269" s="81" t="str">
        <f>COPY!C267</f>
        <v/>
      </c>
      <c r="C269" s="82" t="str">
        <f>COPY!D267</f>
        <v/>
      </c>
      <c r="D269" s="81" t="str">
        <f>IF(Table13[[#This Row],[JUMLAH]]&gt;1,(IF(Table13[[#This Row],[CODE]]=" ",D268&amp;"a",IF(Table13[[#This Row],[CODE]]&gt;0,Table13[[#This Row],[CODE]],0))),"")</f>
        <v/>
      </c>
      <c r="E269" s="81" t="str">
        <f>IF(COPY!G267&gt;0,COPY!G267,"")</f>
        <v/>
      </c>
      <c r="F269" s="88" t="str">
        <f>IF(COPY!J267&gt;0,COPY!J267,"")</f>
        <v/>
      </c>
      <c r="G269" s="85" t="str">
        <f>IF(COPY!H267&gt;0,COPY!H267,"")</f>
        <v/>
      </c>
      <c r="H269" s="85" t="str">
        <f>IF(COPY!I267&gt;0,COPY!I267,"")</f>
        <v/>
      </c>
      <c r="I269" s="85" t="str">
        <f>IF(COPY!M267&gt;0,COPY!M267,"")</f>
        <v/>
      </c>
      <c r="J269" s="85" t="str">
        <f>IF(COPY!N267&gt;0,COPY!N267,"")</f>
        <v/>
      </c>
      <c r="K269" s="86" t="str">
        <f>IF(N269=0,(IF(LEFT(Table13[[#This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Row],[URAIAN]],$U$194:$V$210,2,FALSE),""),""),0))))),N269)</f>
        <v/>
      </c>
      <c r="L269" s="85" t="str">
        <f>IF(Table13[[#This Row],[Column2]]="KWITANSI",COUNTIF($K$4:K269,"KWITANSI")," ")</f>
        <v xml:space="preserve"> </v>
      </c>
      <c r="M269" s="85" t="str">
        <f>IF(Table13[[#This Row],[Column3]]=" "," ",Table13[[#This Row],[CODE]])</f>
        <v xml:space="preserve"> </v>
      </c>
      <c r="N269" s="368"/>
      <c r="P269" s="81" t="str">
        <f t="shared" si="4"/>
        <v/>
      </c>
    </row>
    <row r="270" spans="1:16" hidden="1" x14ac:dyDescent="0.15">
      <c r="A270" s="81" t="str">
        <f>COPY!O268</f>
        <v/>
      </c>
      <c r="B270" s="81" t="str">
        <f>COPY!C268</f>
        <v/>
      </c>
      <c r="C270" s="82" t="str">
        <f>COPY!D268</f>
        <v/>
      </c>
      <c r="D270" s="81" t="str">
        <f>IF(Table13[[#This Row],[JUMLAH]]&gt;1,(IF(Table13[[#This Row],[CODE]]=" ",D269&amp;"a",IF(Table13[[#This Row],[CODE]]&gt;0,Table13[[#This Row],[CODE]],0))),"")</f>
        <v/>
      </c>
      <c r="E270" s="81" t="str">
        <f>IF(COPY!G268&gt;0,COPY!G268,"")</f>
        <v/>
      </c>
      <c r="F270" s="88" t="str">
        <f>IF(COPY!J268&gt;0,COPY!J268,"")</f>
        <v/>
      </c>
      <c r="G270" s="85" t="str">
        <f>IF(COPY!H268&gt;0,COPY!H268,"")</f>
        <v/>
      </c>
      <c r="H270" s="85" t="str">
        <f>IF(COPY!I268&gt;0,COPY!I268,"")</f>
        <v/>
      </c>
      <c r="I270" s="85" t="str">
        <f>IF(COPY!M268&gt;0,COPY!M268,"")</f>
        <v/>
      </c>
      <c r="J270" s="85" t="str">
        <f>IF(COPY!N268&gt;0,COPY!N268,"")</f>
        <v/>
      </c>
      <c r="K270" s="86" t="str">
        <f>IF(N270=0,(IF(LEFT(Table13[[#This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Row],[URAIAN]],$U$194:$V$210,2,FALSE),""),""),0))))),N270)</f>
        <v/>
      </c>
      <c r="L270" s="85" t="str">
        <f>IF(Table13[[#This Row],[Column2]]="KWITANSI",COUNTIF($K$4:K270,"KWITANSI")," ")</f>
        <v xml:space="preserve"> </v>
      </c>
      <c r="M270" s="85" t="str">
        <f>IF(Table13[[#This Row],[Column3]]=" "," ",Table13[[#This Row],[CODE]])</f>
        <v xml:space="preserve"> </v>
      </c>
      <c r="N270" s="368"/>
      <c r="P270" s="81" t="str">
        <f t="shared" si="4"/>
        <v/>
      </c>
    </row>
    <row r="271" spans="1:16" hidden="1" x14ac:dyDescent="0.15">
      <c r="A271" s="81" t="str">
        <f>COPY!O269</f>
        <v/>
      </c>
      <c r="B271" s="81" t="str">
        <f>COPY!C269</f>
        <v/>
      </c>
      <c r="C271" s="82" t="str">
        <f>COPY!D269</f>
        <v/>
      </c>
      <c r="D271" s="81" t="str">
        <f>IF(Table13[[#This Row],[JUMLAH]]&gt;1,(IF(Table13[[#This Row],[CODE]]=" ",D270&amp;"a",IF(Table13[[#This Row],[CODE]]&gt;0,Table13[[#This Row],[CODE]],0))),"")</f>
        <v/>
      </c>
      <c r="E271" s="81" t="str">
        <f>IF(COPY!G269&gt;0,COPY!G269,"")</f>
        <v/>
      </c>
      <c r="F271" s="88" t="str">
        <f>IF(COPY!J269&gt;0,COPY!J269,"")</f>
        <v/>
      </c>
      <c r="G271" s="85" t="str">
        <f>IF(COPY!H269&gt;0,COPY!H269,"")</f>
        <v/>
      </c>
      <c r="H271" s="85" t="str">
        <f>IF(COPY!I269&gt;0,COPY!I269,"")</f>
        <v/>
      </c>
      <c r="I271" s="85" t="str">
        <f>IF(COPY!M269&gt;0,COPY!M269,"")</f>
        <v/>
      </c>
      <c r="J271" s="85" t="str">
        <f>IF(COPY!N269&gt;0,COPY!N269,"")</f>
        <v/>
      </c>
      <c r="K271" s="86" t="str">
        <f>IF(N271=0,(IF(LEFT(Table13[[#This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Row],[URAIAN]],$U$194:$V$210,2,FALSE),""),""),0))))),N271)</f>
        <v/>
      </c>
      <c r="L271" s="85" t="str">
        <f>IF(Table13[[#This Row],[Column2]]="KWITANSI",COUNTIF($K$4:K271,"KWITANSI")," ")</f>
        <v xml:space="preserve"> </v>
      </c>
      <c r="M271" s="85" t="str">
        <f>IF(Table13[[#This Row],[Column3]]=" "," ",Table13[[#This Row],[CODE]])</f>
        <v xml:space="preserve"> </v>
      </c>
      <c r="N271" s="368"/>
      <c r="P271" s="81" t="str">
        <f t="shared" si="4"/>
        <v/>
      </c>
    </row>
    <row r="272" spans="1:16" hidden="1" x14ac:dyDescent="0.15">
      <c r="A272" s="81" t="str">
        <f>COPY!O270</f>
        <v/>
      </c>
      <c r="B272" s="81" t="str">
        <f>COPY!C270</f>
        <v/>
      </c>
      <c r="C272" s="82" t="str">
        <f>COPY!D270</f>
        <v/>
      </c>
      <c r="D272" s="81" t="str">
        <f>IF(Table13[[#This Row],[JUMLAH]]&gt;1,(IF(Table13[[#This Row],[CODE]]=" ",D271&amp;"a",IF(Table13[[#This Row],[CODE]]&gt;0,Table13[[#This Row],[CODE]],0))),"")</f>
        <v/>
      </c>
      <c r="E272" s="81" t="str">
        <f>IF(COPY!G270&gt;0,COPY!G270,"")</f>
        <v/>
      </c>
      <c r="F272" s="88" t="str">
        <f>IF(COPY!J270&gt;0,COPY!J270,"")</f>
        <v/>
      </c>
      <c r="G272" s="85" t="str">
        <f>IF(COPY!H270&gt;0,COPY!H270,"")</f>
        <v/>
      </c>
      <c r="H272" s="85" t="str">
        <f>IF(COPY!I270&gt;0,COPY!I270,"")</f>
        <v/>
      </c>
      <c r="I272" s="85" t="str">
        <f>IF(COPY!M270&gt;0,COPY!M270,"")</f>
        <v/>
      </c>
      <c r="J272" s="85" t="str">
        <f>IF(COPY!N270&gt;0,COPY!N270,"")</f>
        <v/>
      </c>
      <c r="K272" s="86" t="str">
        <f>IF(N272=0,(IF(LEFT(Table13[[#This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Row],[URAIAN]],$U$194:$V$210,2,FALSE),""),""),0))))),N272)</f>
        <v/>
      </c>
      <c r="L272" s="85" t="str">
        <f>IF(Table13[[#This Row],[Column2]]="KWITANSI",COUNTIF($K$4:K272,"KWITANSI")," ")</f>
        <v xml:space="preserve"> </v>
      </c>
      <c r="M272" s="85" t="str">
        <f>IF(Table13[[#This Row],[Column3]]=" "," ",Table13[[#This Row],[CODE]])</f>
        <v xml:space="preserve"> </v>
      </c>
      <c r="N272" s="368"/>
      <c r="P272" s="81" t="str">
        <f t="shared" si="4"/>
        <v/>
      </c>
    </row>
    <row r="273" spans="1:16" hidden="1" x14ac:dyDescent="0.15">
      <c r="A273" s="81" t="str">
        <f>COPY!O271</f>
        <v/>
      </c>
      <c r="B273" s="81" t="str">
        <f>COPY!C271</f>
        <v/>
      </c>
      <c r="C273" s="82" t="str">
        <f>COPY!D271</f>
        <v/>
      </c>
      <c r="D273" s="81" t="str">
        <f>IF(Table13[[#This Row],[JUMLAH]]&gt;1,(IF(Table13[[#This Row],[CODE]]=" ",D272&amp;"a",IF(Table13[[#This Row],[CODE]]&gt;0,Table13[[#This Row],[CODE]],0))),"")</f>
        <v/>
      </c>
      <c r="E273" s="81" t="str">
        <f>IF(COPY!G271&gt;0,COPY!G271,"")</f>
        <v/>
      </c>
      <c r="F273" s="88" t="str">
        <f>IF(COPY!J271&gt;0,COPY!J271,"")</f>
        <v/>
      </c>
      <c r="G273" s="85" t="str">
        <f>IF(COPY!H271&gt;0,COPY!H271,"")</f>
        <v/>
      </c>
      <c r="H273" s="85" t="str">
        <f>IF(COPY!I271&gt;0,COPY!I271,"")</f>
        <v/>
      </c>
      <c r="I273" s="85" t="str">
        <f>IF(COPY!M271&gt;0,COPY!M271,"")</f>
        <v/>
      </c>
      <c r="J273" s="85" t="str">
        <f>IF(COPY!N271&gt;0,COPY!N271,"")</f>
        <v/>
      </c>
      <c r="K273" s="86" t="str">
        <f>IF(N273=0,(IF(LEFT(Table13[[#This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Row],[URAIAN]],$U$194:$V$210,2,FALSE),""),""),0))))),N273)</f>
        <v/>
      </c>
      <c r="L273" s="85" t="str">
        <f>IF(Table13[[#This Row],[Column2]]="KWITANSI",COUNTIF($K$4:K273,"KWITANSI")," ")</f>
        <v xml:space="preserve"> </v>
      </c>
      <c r="M273" s="85" t="str">
        <f>IF(Table13[[#This Row],[Column3]]=" "," ",Table13[[#This Row],[CODE]])</f>
        <v xml:space="preserve"> </v>
      </c>
      <c r="N273" s="368"/>
      <c r="P273" s="81" t="str">
        <f t="shared" si="4"/>
        <v/>
      </c>
    </row>
    <row r="274" spans="1:16" hidden="1" x14ac:dyDescent="0.15">
      <c r="A274" s="81" t="str">
        <f>COPY!O272</f>
        <v/>
      </c>
      <c r="B274" s="81" t="str">
        <f>COPY!C272</f>
        <v/>
      </c>
      <c r="C274" s="82" t="str">
        <f>COPY!D272</f>
        <v/>
      </c>
      <c r="D274" s="81" t="str">
        <f>IF(Table13[[#This Row],[JUMLAH]]&gt;1,(IF(Table13[[#This Row],[CODE]]=" ",D273&amp;"a",IF(Table13[[#This Row],[CODE]]&gt;0,Table13[[#This Row],[CODE]],0))),"")</f>
        <v/>
      </c>
      <c r="E274" s="81" t="str">
        <f>IF(COPY!G272&gt;0,COPY!G272,"")</f>
        <v/>
      </c>
      <c r="F274" s="88" t="str">
        <f>IF(COPY!J272&gt;0,COPY!J272,"")</f>
        <v/>
      </c>
      <c r="G274" s="85" t="str">
        <f>IF(COPY!H272&gt;0,COPY!H272,"")</f>
        <v/>
      </c>
      <c r="H274" s="85" t="str">
        <f>IF(COPY!I272&gt;0,COPY!I272,"")</f>
        <v/>
      </c>
      <c r="I274" s="85" t="str">
        <f>IF(COPY!M272&gt;0,COPY!M272,"")</f>
        <v/>
      </c>
      <c r="J274" s="85" t="str">
        <f>IF(COPY!N272&gt;0,COPY!N272,"")</f>
        <v/>
      </c>
      <c r="K274" s="86" t="str">
        <f>IF(N274=0,(IF(LEFT(Table13[[#This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Row],[URAIAN]],$U$194:$V$210,2,FALSE),""),""),0))))),N274)</f>
        <v/>
      </c>
      <c r="L274" s="85" t="str">
        <f>IF(Table13[[#This Row],[Column2]]="KWITANSI",COUNTIF($K$4:K274,"KWITANSI")," ")</f>
        <v xml:space="preserve"> </v>
      </c>
      <c r="M274" s="85" t="str">
        <f>IF(Table13[[#This Row],[Column3]]=" "," ",Table13[[#This Row],[CODE]])</f>
        <v xml:space="preserve"> </v>
      </c>
      <c r="N274" s="368"/>
      <c r="P274" s="81" t="str">
        <f t="shared" si="4"/>
        <v/>
      </c>
    </row>
    <row r="275" spans="1:16" hidden="1" x14ac:dyDescent="0.15">
      <c r="A275" s="81" t="str">
        <f>COPY!O273</f>
        <v/>
      </c>
      <c r="B275" s="81" t="str">
        <f>COPY!C273</f>
        <v/>
      </c>
      <c r="C275" s="82" t="str">
        <f>COPY!D273</f>
        <v/>
      </c>
      <c r="D275" s="81" t="str">
        <f>IF(Table13[[#This Row],[JUMLAH]]&gt;1,(IF(Table13[[#This Row],[CODE]]=" ",D274&amp;"a",IF(Table13[[#This Row],[CODE]]&gt;0,Table13[[#This Row],[CODE]],0))),"")</f>
        <v/>
      </c>
      <c r="E275" s="81" t="str">
        <f>IF(COPY!G273&gt;0,COPY!G273,"")</f>
        <v/>
      </c>
      <c r="F275" s="88" t="str">
        <f>IF(COPY!J273&gt;0,COPY!J273,"")</f>
        <v/>
      </c>
      <c r="G275" s="85" t="str">
        <f>IF(COPY!H273&gt;0,COPY!H273,"")</f>
        <v/>
      </c>
      <c r="H275" s="85" t="str">
        <f>IF(COPY!I273&gt;0,COPY!I273,"")</f>
        <v/>
      </c>
      <c r="I275" s="85" t="str">
        <f>IF(COPY!M273&gt;0,COPY!M273,"")</f>
        <v/>
      </c>
      <c r="J275" s="85" t="str">
        <f>IF(COPY!N273&gt;0,COPY!N273,"")</f>
        <v/>
      </c>
      <c r="K275" s="86" t="str">
        <f>IF(N275=0,(IF(LEFT(Table13[[#This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Row],[URAIAN]],$U$194:$V$210,2,FALSE),""),""),0))))),N275)</f>
        <v/>
      </c>
      <c r="L275" s="85" t="str">
        <f>IF(Table13[[#This Row],[Column2]]="KWITANSI",COUNTIF($K$4:K275,"KWITANSI")," ")</f>
        <v xml:space="preserve"> </v>
      </c>
      <c r="M275" s="85" t="str">
        <f>IF(Table13[[#This Row],[Column3]]=" "," ",Table13[[#This Row],[CODE]])</f>
        <v xml:space="preserve"> </v>
      </c>
      <c r="N275" s="368"/>
      <c r="P275" s="81" t="str">
        <f t="shared" si="4"/>
        <v/>
      </c>
    </row>
    <row r="276" spans="1:16" hidden="1" x14ac:dyDescent="0.15">
      <c r="A276" s="81" t="str">
        <f>COPY!O274</f>
        <v/>
      </c>
      <c r="B276" s="81" t="str">
        <f>COPY!C274</f>
        <v/>
      </c>
      <c r="C276" s="82" t="str">
        <f>COPY!D274</f>
        <v/>
      </c>
      <c r="D276" s="81" t="str">
        <f>IF(Table13[[#This Row],[JUMLAH]]&gt;1,(IF(Table13[[#This Row],[CODE]]=" ",D275&amp;"a",IF(Table13[[#This Row],[CODE]]&gt;0,Table13[[#This Row],[CODE]],0))),"")</f>
        <v/>
      </c>
      <c r="E276" s="81" t="str">
        <f>IF(COPY!G274&gt;0,COPY!G274,"")</f>
        <v/>
      </c>
      <c r="F276" s="88" t="str">
        <f>IF(COPY!J274&gt;0,COPY!J274,"")</f>
        <v/>
      </c>
      <c r="G276" s="85" t="str">
        <f>IF(COPY!H274&gt;0,COPY!H274,"")</f>
        <v/>
      </c>
      <c r="H276" s="85" t="str">
        <f>IF(COPY!I274&gt;0,COPY!I274,"")</f>
        <v/>
      </c>
      <c r="I276" s="85" t="str">
        <f>IF(COPY!M274&gt;0,COPY!M274,"")</f>
        <v/>
      </c>
      <c r="J276" s="85" t="str">
        <f>IF(COPY!N274&gt;0,COPY!N274,"")</f>
        <v/>
      </c>
      <c r="K276" s="86" t="str">
        <f>IF(N276=0,(IF(LEFT(Table13[[#This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Row],[URAIAN]],$U$194:$V$210,2,FALSE),""),""),0))))),N276)</f>
        <v/>
      </c>
      <c r="L276" s="85" t="str">
        <f>IF(Table13[[#This Row],[Column2]]="KWITANSI",COUNTIF($K$4:K276,"KWITANSI")," ")</f>
        <v xml:space="preserve"> </v>
      </c>
      <c r="M276" s="85" t="str">
        <f>IF(Table13[[#This Row],[Column3]]=" "," ",Table13[[#This Row],[CODE]])</f>
        <v xml:space="preserve"> </v>
      </c>
      <c r="N276" s="368"/>
      <c r="P276" s="81" t="str">
        <f t="shared" si="4"/>
        <v/>
      </c>
    </row>
    <row r="277" spans="1:16" hidden="1" x14ac:dyDescent="0.15">
      <c r="A277" s="81" t="str">
        <f>COPY!O275</f>
        <v/>
      </c>
      <c r="B277" s="81" t="str">
        <f>COPY!C275</f>
        <v/>
      </c>
      <c r="C277" s="82" t="str">
        <f>COPY!D275</f>
        <v/>
      </c>
      <c r="D277" s="81" t="str">
        <f>IF(Table13[[#This Row],[JUMLAH]]&gt;1,(IF(Table13[[#This Row],[CODE]]=" ",D276&amp;"a",IF(Table13[[#This Row],[CODE]]&gt;0,Table13[[#This Row],[CODE]],0))),"")</f>
        <v/>
      </c>
      <c r="E277" s="81" t="str">
        <f>IF(COPY!G275&gt;0,COPY!G275,"")</f>
        <v/>
      </c>
      <c r="F277" s="88" t="str">
        <f>IF(COPY!J275&gt;0,COPY!J275,"")</f>
        <v/>
      </c>
      <c r="G277" s="85" t="str">
        <f>IF(COPY!H275&gt;0,COPY!H275,"")</f>
        <v/>
      </c>
      <c r="H277" s="85" t="str">
        <f>IF(COPY!I275&gt;0,COPY!I275,"")</f>
        <v/>
      </c>
      <c r="I277" s="85" t="str">
        <f>IF(COPY!M275&gt;0,COPY!M275,"")</f>
        <v/>
      </c>
      <c r="J277" s="85" t="str">
        <f>IF(COPY!N275&gt;0,COPY!N275,"")</f>
        <v/>
      </c>
      <c r="K277" s="86" t="str">
        <f>IF(N277=0,(IF(LEFT(Table13[[#This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Row],[URAIAN]],$U$194:$V$210,2,FALSE),""),""),0))))),N277)</f>
        <v/>
      </c>
      <c r="L277" s="85" t="str">
        <f>IF(Table13[[#This Row],[Column2]]="KWITANSI",COUNTIF($K$4:K277,"KWITANSI")," ")</f>
        <v xml:space="preserve"> </v>
      </c>
      <c r="M277" s="85" t="str">
        <f>IF(Table13[[#This Row],[Column3]]=" "," ",Table13[[#This Row],[CODE]])</f>
        <v xml:space="preserve"> </v>
      </c>
      <c r="N277" s="368"/>
      <c r="P277" s="81" t="str">
        <f t="shared" si="4"/>
        <v/>
      </c>
    </row>
    <row r="278" spans="1:16" hidden="1" x14ac:dyDescent="0.15">
      <c r="A278" s="81" t="str">
        <f>COPY!O276</f>
        <v/>
      </c>
      <c r="B278" s="81" t="str">
        <f>COPY!C276</f>
        <v/>
      </c>
      <c r="C278" s="82" t="str">
        <f>COPY!D276</f>
        <v/>
      </c>
      <c r="D278" s="81" t="str">
        <f>IF(Table13[[#This Row],[JUMLAH]]&gt;1,(IF(Table13[[#This Row],[CODE]]=" ",D277&amp;"a",IF(Table13[[#This Row],[CODE]]&gt;0,Table13[[#This Row],[CODE]],0))),"")</f>
        <v/>
      </c>
      <c r="E278" s="81" t="str">
        <f>IF(COPY!G276&gt;0,COPY!G276,"")</f>
        <v/>
      </c>
      <c r="F278" s="88" t="str">
        <f>IF(COPY!J276&gt;0,COPY!J276,"")</f>
        <v/>
      </c>
      <c r="G278" s="85" t="str">
        <f>IF(COPY!H276&gt;0,COPY!H276,"")</f>
        <v/>
      </c>
      <c r="H278" s="85" t="str">
        <f>IF(COPY!I276&gt;0,COPY!I276,"")</f>
        <v/>
      </c>
      <c r="I278" s="85" t="str">
        <f>IF(COPY!M276&gt;0,COPY!M276,"")</f>
        <v/>
      </c>
      <c r="J278" s="85" t="str">
        <f>IF(COPY!N276&gt;0,COPY!N276,"")</f>
        <v/>
      </c>
      <c r="K278" s="86" t="str">
        <f>IF(N278=0,(IF(LEFT(Table13[[#This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Row],[URAIAN]],$U$194:$V$210,2,FALSE),""),""),0))))),N278)</f>
        <v/>
      </c>
      <c r="L278" s="85" t="str">
        <f>IF(Table13[[#This Row],[Column2]]="KWITANSI",COUNTIF($K$4:K278,"KWITANSI")," ")</f>
        <v xml:space="preserve"> </v>
      </c>
      <c r="M278" s="85" t="str">
        <f>IF(Table13[[#This Row],[Column3]]=" "," ",Table13[[#This Row],[CODE]])</f>
        <v xml:space="preserve"> </v>
      </c>
      <c r="N278" s="368"/>
      <c r="P278" s="81" t="str">
        <f t="shared" si="4"/>
        <v/>
      </c>
    </row>
    <row r="279" spans="1:16" hidden="1" x14ac:dyDescent="0.15">
      <c r="A279" s="81" t="str">
        <f>COPY!O277</f>
        <v/>
      </c>
      <c r="B279" s="81" t="str">
        <f>COPY!C277</f>
        <v/>
      </c>
      <c r="C279" s="82" t="str">
        <f>COPY!D277</f>
        <v/>
      </c>
      <c r="D279" s="81" t="str">
        <f>IF(Table13[[#This Row],[JUMLAH]]&gt;1,(IF(Table13[[#This Row],[CODE]]=" ",D278&amp;"a",IF(Table13[[#This Row],[CODE]]&gt;0,Table13[[#This Row],[CODE]],0))),"")</f>
        <v/>
      </c>
      <c r="E279" s="81" t="str">
        <f>IF(COPY!G277&gt;0,COPY!G277,"")</f>
        <v/>
      </c>
      <c r="F279" s="88" t="str">
        <f>IF(COPY!J277&gt;0,COPY!J277,"")</f>
        <v/>
      </c>
      <c r="G279" s="85" t="str">
        <f>IF(COPY!H277&gt;0,COPY!H277,"")</f>
        <v/>
      </c>
      <c r="H279" s="85" t="str">
        <f>IF(COPY!I277&gt;0,COPY!I277,"")</f>
        <v/>
      </c>
      <c r="I279" s="85" t="str">
        <f>IF(COPY!M277&gt;0,COPY!M277,"")</f>
        <v/>
      </c>
      <c r="J279" s="85" t="str">
        <f>IF(COPY!N277&gt;0,COPY!N277,"")</f>
        <v/>
      </c>
      <c r="K279" s="86" t="str">
        <f>IF(N279=0,(IF(LEFT(Table13[[#This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Row],[URAIAN]],$U$194:$V$210,2,FALSE),""),""),0))))),N279)</f>
        <v/>
      </c>
      <c r="L279" s="85" t="str">
        <f>IF(Table13[[#This Row],[Column2]]="KWITANSI",COUNTIF($K$4:K279,"KWITANSI")," ")</f>
        <v xml:space="preserve"> </v>
      </c>
      <c r="M279" s="85" t="str">
        <f>IF(Table13[[#This Row],[Column3]]=" "," ",Table13[[#This Row],[CODE]])</f>
        <v xml:space="preserve"> </v>
      </c>
      <c r="N279" s="368"/>
      <c r="P279" s="81" t="str">
        <f t="shared" si="4"/>
        <v/>
      </c>
    </row>
    <row r="280" spans="1:16" hidden="1" x14ac:dyDescent="0.15">
      <c r="A280" s="81" t="str">
        <f>COPY!O278</f>
        <v/>
      </c>
      <c r="B280" s="81" t="str">
        <f>COPY!C278</f>
        <v/>
      </c>
      <c r="C280" s="82" t="str">
        <f>COPY!D278</f>
        <v/>
      </c>
      <c r="D280" s="81" t="str">
        <f>IF(Table13[[#This Row],[JUMLAH]]&gt;1,(IF(Table13[[#This Row],[CODE]]=" ",D279&amp;"a",IF(Table13[[#This Row],[CODE]]&gt;0,Table13[[#This Row],[CODE]],0))),"")</f>
        <v/>
      </c>
      <c r="E280" s="81" t="str">
        <f>IF(COPY!G278&gt;0,COPY!G278,"")</f>
        <v/>
      </c>
      <c r="F280" s="88" t="str">
        <f>IF(COPY!J278&gt;0,COPY!J278,"")</f>
        <v/>
      </c>
      <c r="G280" s="85" t="str">
        <f>IF(COPY!H278&gt;0,COPY!H278,"")</f>
        <v/>
      </c>
      <c r="H280" s="85" t="str">
        <f>IF(COPY!I278&gt;0,COPY!I278,"")</f>
        <v/>
      </c>
      <c r="I280" s="85" t="str">
        <f>IF(COPY!M278&gt;0,COPY!M278,"")</f>
        <v/>
      </c>
      <c r="J280" s="85" t="str">
        <f>IF(COPY!N278&gt;0,COPY!N278,"")</f>
        <v/>
      </c>
      <c r="K280" s="86" t="str">
        <f>IF(N280=0,(IF(LEFT(Table13[[#This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Row],[URAIAN]],$U$194:$V$210,2,FALSE),""),""),0))))),N280)</f>
        <v/>
      </c>
      <c r="L280" s="85" t="str">
        <f>IF(Table13[[#This Row],[Column2]]="KWITANSI",COUNTIF($K$4:K280,"KWITANSI")," ")</f>
        <v xml:space="preserve"> </v>
      </c>
      <c r="M280" s="85" t="str">
        <f>IF(Table13[[#This Row],[Column3]]=" "," ",Table13[[#This Row],[CODE]])</f>
        <v xml:space="preserve"> </v>
      </c>
      <c r="N280" s="368"/>
      <c r="P280" s="81" t="str">
        <f t="shared" si="4"/>
        <v/>
      </c>
    </row>
    <row r="281" spans="1:16" hidden="1" x14ac:dyDescent="0.15">
      <c r="A281" s="81" t="str">
        <f>COPY!O279</f>
        <v/>
      </c>
      <c r="B281" s="81" t="str">
        <f>COPY!C279</f>
        <v/>
      </c>
      <c r="C281" s="82" t="str">
        <f>COPY!D279</f>
        <v/>
      </c>
      <c r="D281" s="81" t="str">
        <f>IF(Table13[[#This Row],[JUMLAH]]&gt;1,(IF(Table13[[#This Row],[CODE]]=" ",D280&amp;"a",IF(Table13[[#This Row],[CODE]]&gt;0,Table13[[#This Row],[CODE]],0))),"")</f>
        <v/>
      </c>
      <c r="E281" s="81" t="str">
        <f>IF(COPY!G279&gt;0,COPY!G279,"")</f>
        <v/>
      </c>
      <c r="F281" s="88" t="str">
        <f>IF(COPY!J279&gt;0,COPY!J279,"")</f>
        <v/>
      </c>
      <c r="G281" s="85" t="str">
        <f>IF(COPY!H279&gt;0,COPY!H279,"")</f>
        <v/>
      </c>
      <c r="H281" s="85" t="str">
        <f>IF(COPY!I279&gt;0,COPY!I279,"")</f>
        <v/>
      </c>
      <c r="I281" s="85" t="str">
        <f>IF(COPY!M279&gt;0,COPY!M279,"")</f>
        <v/>
      </c>
      <c r="J281" s="85" t="str">
        <f>IF(COPY!N279&gt;0,COPY!N279,"")</f>
        <v/>
      </c>
      <c r="K281" s="86" t="str">
        <f>IF(N281=0,(IF(LEFT(Table13[[#This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Row],[URAIAN]],$U$194:$V$210,2,FALSE),""),""),0))))),N281)</f>
        <v/>
      </c>
      <c r="L281" s="85" t="str">
        <f>IF(Table13[[#This Row],[Column2]]="KWITANSI",COUNTIF($K$4:K281,"KWITANSI")," ")</f>
        <v xml:space="preserve"> </v>
      </c>
      <c r="M281" s="85" t="str">
        <f>IF(Table13[[#This Row],[Column3]]=" "," ",Table13[[#This Row],[CODE]])</f>
        <v xml:space="preserve"> </v>
      </c>
      <c r="N281" s="368"/>
      <c r="P281" s="81" t="str">
        <f t="shared" si="4"/>
        <v/>
      </c>
    </row>
    <row r="282" spans="1:16" hidden="1" x14ac:dyDescent="0.15">
      <c r="A282" s="81" t="str">
        <f>COPY!O280</f>
        <v/>
      </c>
      <c r="B282" s="81" t="str">
        <f>COPY!C280</f>
        <v/>
      </c>
      <c r="C282" s="82" t="str">
        <f>COPY!D280</f>
        <v/>
      </c>
      <c r="D282" s="81" t="str">
        <f>IF(Table13[[#This Row],[JUMLAH]]&gt;1,(IF(Table13[[#This Row],[CODE]]=" ",D281&amp;"a",IF(Table13[[#This Row],[CODE]]&gt;0,Table13[[#This Row],[CODE]],0))),"")</f>
        <v/>
      </c>
      <c r="E282" s="81" t="str">
        <f>IF(COPY!G280&gt;0,COPY!G280,"")</f>
        <v/>
      </c>
      <c r="F282" s="88" t="str">
        <f>IF(COPY!J280&gt;0,COPY!J280,"")</f>
        <v/>
      </c>
      <c r="G282" s="85" t="str">
        <f>IF(COPY!H280&gt;0,COPY!H280,"")</f>
        <v/>
      </c>
      <c r="H282" s="85" t="str">
        <f>IF(COPY!I280&gt;0,COPY!I280,"")</f>
        <v/>
      </c>
      <c r="I282" s="85" t="str">
        <f>IF(COPY!M280&gt;0,COPY!M280,"")</f>
        <v/>
      </c>
      <c r="J282" s="85" t="str">
        <f>IF(COPY!N280&gt;0,COPY!N280,"")</f>
        <v/>
      </c>
      <c r="K282" s="86" t="str">
        <f>IF(N282=0,(IF(LEFT(Table13[[#This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Row],[URAIAN]],$U$194:$V$210,2,FALSE),""),""),0))))),N282)</f>
        <v/>
      </c>
      <c r="L282" s="85" t="str">
        <f>IF(Table13[[#This Row],[Column2]]="KWITANSI",COUNTIF($K$4:K282,"KWITANSI")," ")</f>
        <v xml:space="preserve"> </v>
      </c>
      <c r="M282" s="85" t="str">
        <f>IF(Table13[[#This Row],[Column3]]=" "," ",Table13[[#This Row],[CODE]])</f>
        <v xml:space="preserve"> </v>
      </c>
      <c r="N282" s="368"/>
      <c r="P282" s="81" t="str">
        <f t="shared" si="4"/>
        <v/>
      </c>
    </row>
    <row r="283" spans="1:16" hidden="1" x14ac:dyDescent="0.15">
      <c r="A283" s="81" t="str">
        <f>COPY!O281</f>
        <v/>
      </c>
      <c r="B283" s="81" t="str">
        <f>COPY!C281</f>
        <v/>
      </c>
      <c r="C283" s="82" t="str">
        <f>COPY!D281</f>
        <v/>
      </c>
      <c r="D283" s="81" t="str">
        <f>IF(Table13[[#This Row],[JUMLAH]]&gt;1,(IF(Table13[[#This Row],[CODE]]=" ",D282&amp;"a",IF(Table13[[#This Row],[CODE]]&gt;0,Table13[[#This Row],[CODE]],0))),"")</f>
        <v/>
      </c>
      <c r="E283" s="81" t="str">
        <f>IF(COPY!G281&gt;0,COPY!G281,"")</f>
        <v/>
      </c>
      <c r="F283" s="88" t="str">
        <f>IF(COPY!J281&gt;0,COPY!J281,"")</f>
        <v/>
      </c>
      <c r="G283" s="85" t="str">
        <f>IF(COPY!H281&gt;0,COPY!H281,"")</f>
        <v/>
      </c>
      <c r="H283" s="85" t="str">
        <f>IF(COPY!I281&gt;0,COPY!I281,"")</f>
        <v/>
      </c>
      <c r="I283" s="85" t="str">
        <f>IF(COPY!M281&gt;0,COPY!M281,"")</f>
        <v/>
      </c>
      <c r="J283" s="85" t="str">
        <f>IF(COPY!N281&gt;0,COPY!N281,"")</f>
        <v/>
      </c>
      <c r="K283" s="86" t="str">
        <f>IF(N283=0,(IF(LEFT(Table13[[#This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Row],[URAIAN]],$U$194:$V$210,2,FALSE),""),""),0))))),N283)</f>
        <v/>
      </c>
      <c r="L283" s="85" t="str">
        <f>IF(Table13[[#This Row],[Column2]]="KWITANSI",COUNTIF($K$4:K283,"KWITANSI")," ")</f>
        <v xml:space="preserve"> </v>
      </c>
      <c r="M283" s="85" t="str">
        <f>IF(Table13[[#This Row],[Column3]]=" "," ",Table13[[#This Row],[CODE]])</f>
        <v xml:space="preserve"> </v>
      </c>
      <c r="N283" s="368"/>
      <c r="P283" s="81" t="str">
        <f t="shared" si="4"/>
        <v/>
      </c>
    </row>
    <row r="284" spans="1:16" hidden="1" x14ac:dyDescent="0.15">
      <c r="A284" s="81" t="str">
        <f>COPY!O282</f>
        <v/>
      </c>
      <c r="B284" s="81" t="str">
        <f>COPY!C282</f>
        <v/>
      </c>
      <c r="C284" s="82" t="str">
        <f>COPY!D282</f>
        <v/>
      </c>
      <c r="D284" s="81" t="str">
        <f>IF(Table13[[#This Row],[JUMLAH]]&gt;1,(IF(Table13[[#This Row],[CODE]]=" ",D283&amp;"a",IF(Table13[[#This Row],[CODE]]&gt;0,Table13[[#This Row],[CODE]],0))),"")</f>
        <v/>
      </c>
      <c r="E284" s="81" t="str">
        <f>IF(COPY!G282&gt;0,COPY!G282,"")</f>
        <v/>
      </c>
      <c r="F284" s="88" t="str">
        <f>IF(COPY!J282&gt;0,COPY!J282,"")</f>
        <v/>
      </c>
      <c r="G284" s="85" t="str">
        <f>IF(COPY!H282&gt;0,COPY!H282,"")</f>
        <v/>
      </c>
      <c r="H284" s="85" t="str">
        <f>IF(COPY!I282&gt;0,COPY!I282,"")</f>
        <v/>
      </c>
      <c r="I284" s="85" t="str">
        <f>IF(COPY!M282&gt;0,COPY!M282,"")</f>
        <v/>
      </c>
      <c r="J284" s="85" t="str">
        <f>IF(COPY!N282&gt;0,COPY!N282,"")</f>
        <v/>
      </c>
      <c r="K284" s="86" t="str">
        <f>IF(N284=0,(IF(LEFT(Table13[[#This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Row],[URAIAN]],$U$194:$V$210,2,FALSE),""),""),0))))),N284)</f>
        <v/>
      </c>
      <c r="L284" s="85" t="str">
        <f>IF(Table13[[#This Row],[Column2]]="KWITANSI",COUNTIF($K$4:K284,"KWITANSI")," ")</f>
        <v xml:space="preserve"> </v>
      </c>
      <c r="M284" s="85" t="str">
        <f>IF(Table13[[#This Row],[Column3]]=" "," ",Table13[[#This Row],[CODE]])</f>
        <v xml:space="preserve"> </v>
      </c>
      <c r="N284" s="368"/>
      <c r="P284" s="81" t="str">
        <f t="shared" si="4"/>
        <v/>
      </c>
    </row>
    <row r="285" spans="1:16" hidden="1" x14ac:dyDescent="0.15">
      <c r="A285" s="81" t="str">
        <f>COPY!O283</f>
        <v/>
      </c>
      <c r="B285" s="81" t="str">
        <f>COPY!C283</f>
        <v/>
      </c>
      <c r="C285" s="82" t="str">
        <f>COPY!D283</f>
        <v/>
      </c>
      <c r="D285" s="81" t="str">
        <f>IF(Table13[[#This Row],[JUMLAH]]&gt;1,(IF(Table13[[#This Row],[CODE]]=" ",D284&amp;"a",IF(Table13[[#This Row],[CODE]]&gt;0,Table13[[#This Row],[CODE]],0))),"")</f>
        <v/>
      </c>
      <c r="E285" s="81" t="str">
        <f>IF(COPY!G283&gt;0,COPY!G283,"")</f>
        <v/>
      </c>
      <c r="F285" s="88" t="str">
        <f>IF(COPY!J283&gt;0,COPY!J283,"")</f>
        <v/>
      </c>
      <c r="G285" s="85" t="str">
        <f>IF(COPY!H283&gt;0,COPY!H283,"")</f>
        <v/>
      </c>
      <c r="H285" s="85" t="str">
        <f>IF(COPY!I283&gt;0,COPY!I283,"")</f>
        <v/>
      </c>
      <c r="I285" s="85" t="str">
        <f>IF(COPY!M283&gt;0,COPY!M283,"")</f>
        <v/>
      </c>
      <c r="J285" s="85" t="str">
        <f>IF(COPY!N283&gt;0,COPY!N283,"")</f>
        <v/>
      </c>
      <c r="K285" s="86" t="str">
        <f>IF(N285=0,(IF(LEFT(Table13[[#This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Row],[URAIAN]],$U$194:$V$210,2,FALSE),""),""),0))))),N285)</f>
        <v/>
      </c>
      <c r="L285" s="85" t="str">
        <f>IF(Table13[[#This Row],[Column2]]="KWITANSI",COUNTIF($K$4:K285,"KWITANSI")," ")</f>
        <v xml:space="preserve"> </v>
      </c>
      <c r="M285" s="85" t="str">
        <f>IF(Table13[[#This Row],[Column3]]=" "," ",Table13[[#This Row],[CODE]])</f>
        <v xml:space="preserve"> </v>
      </c>
      <c r="N285" s="368"/>
      <c r="P285" s="81" t="str">
        <f t="shared" si="4"/>
        <v/>
      </c>
    </row>
    <row r="286" spans="1:16" hidden="1" x14ac:dyDescent="0.15">
      <c r="A286" s="81" t="str">
        <f>COPY!O284</f>
        <v/>
      </c>
      <c r="B286" s="81" t="str">
        <f>COPY!C284</f>
        <v/>
      </c>
      <c r="C286" s="82" t="str">
        <f>COPY!D284</f>
        <v/>
      </c>
      <c r="D286" s="81" t="str">
        <f>IF(Table13[[#This Row],[JUMLAH]]&gt;1,(IF(Table13[[#This Row],[CODE]]=" ",D285&amp;"a",IF(Table13[[#This Row],[CODE]]&gt;0,Table13[[#This Row],[CODE]],0))),"")</f>
        <v/>
      </c>
      <c r="E286" s="81" t="str">
        <f>IF(COPY!G284&gt;0,COPY!G284,"")</f>
        <v/>
      </c>
      <c r="F286" s="88" t="str">
        <f>IF(COPY!J284&gt;0,COPY!J284,"")</f>
        <v/>
      </c>
      <c r="G286" s="85" t="str">
        <f>IF(COPY!H284&gt;0,COPY!H284,"")</f>
        <v/>
      </c>
      <c r="H286" s="85" t="str">
        <f>IF(COPY!I284&gt;0,COPY!I284,"")</f>
        <v/>
      </c>
      <c r="I286" s="85" t="str">
        <f>IF(COPY!M284&gt;0,COPY!M284,"")</f>
        <v/>
      </c>
      <c r="J286" s="85" t="str">
        <f>IF(COPY!N284&gt;0,COPY!N284,"")</f>
        <v/>
      </c>
      <c r="K286" s="86" t="str">
        <f>IF(N286=0,(IF(LEFT(Table13[[#This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Row],[URAIAN]],$U$194:$V$210,2,FALSE),""),""),0))))),N286)</f>
        <v/>
      </c>
      <c r="L286" s="85" t="str">
        <f>IF(Table13[[#This Row],[Column2]]="KWITANSI",COUNTIF($K$4:K286,"KWITANSI")," ")</f>
        <v xml:space="preserve"> </v>
      </c>
      <c r="M286" s="85" t="str">
        <f>IF(Table13[[#This Row],[Column3]]=" "," ",Table13[[#This Row],[CODE]])</f>
        <v xml:space="preserve"> </v>
      </c>
      <c r="N286" s="368"/>
      <c r="P286" s="81" t="str">
        <f t="shared" si="4"/>
        <v/>
      </c>
    </row>
    <row r="287" spans="1:16" hidden="1" x14ac:dyDescent="0.15">
      <c r="A287" s="81" t="str">
        <f>COPY!O285</f>
        <v/>
      </c>
      <c r="B287" s="81" t="str">
        <f>COPY!C285</f>
        <v/>
      </c>
      <c r="C287" s="82" t="str">
        <f>COPY!D285</f>
        <v/>
      </c>
      <c r="D287" s="81" t="str">
        <f>IF(Table13[[#This Row],[JUMLAH]]&gt;1,(IF(Table13[[#This Row],[CODE]]=" ",D286&amp;"a",IF(Table13[[#This Row],[CODE]]&gt;0,Table13[[#This Row],[CODE]],0))),"")</f>
        <v/>
      </c>
      <c r="E287" s="81" t="str">
        <f>IF(COPY!G285&gt;0,COPY!G285,"")</f>
        <v/>
      </c>
      <c r="F287" s="88" t="str">
        <f>IF(COPY!J285&gt;0,COPY!J285,"")</f>
        <v/>
      </c>
      <c r="G287" s="85" t="str">
        <f>IF(COPY!H285&gt;0,COPY!H285,"")</f>
        <v/>
      </c>
      <c r="H287" s="85" t="str">
        <f>IF(COPY!I285&gt;0,COPY!I285,"")</f>
        <v/>
      </c>
      <c r="I287" s="85" t="str">
        <f>IF(COPY!M285&gt;0,COPY!M285,"")</f>
        <v/>
      </c>
      <c r="J287" s="85" t="str">
        <f>IF(COPY!N285&gt;0,COPY!N285,"")</f>
        <v/>
      </c>
      <c r="K287" s="86" t="str">
        <f>IF(N287=0,(IF(LEFT(Table13[[#This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Row],[URAIAN]],$U$194:$V$210,2,FALSE),""),""),0))))),N287)</f>
        <v/>
      </c>
      <c r="L287" s="85" t="str">
        <f>IF(Table13[[#This Row],[Column2]]="KWITANSI",COUNTIF($K$4:K287,"KWITANSI")," ")</f>
        <v xml:space="preserve"> </v>
      </c>
      <c r="M287" s="85" t="str">
        <f>IF(Table13[[#This Row],[Column3]]=" "," ",Table13[[#This Row],[CODE]])</f>
        <v xml:space="preserve"> </v>
      </c>
      <c r="N287" s="368"/>
      <c r="P287" s="81" t="str">
        <f t="shared" si="4"/>
        <v/>
      </c>
    </row>
    <row r="288" spans="1:16" hidden="1" x14ac:dyDescent="0.15">
      <c r="A288" s="81" t="str">
        <f>COPY!O286</f>
        <v/>
      </c>
      <c r="B288" s="81" t="str">
        <f>COPY!C286</f>
        <v/>
      </c>
      <c r="C288" s="82" t="str">
        <f>COPY!D286</f>
        <v/>
      </c>
      <c r="D288" s="81" t="str">
        <f>IF(Table13[[#This Row],[JUMLAH]]&gt;1,(IF(Table13[[#This Row],[CODE]]=" ",D287&amp;"a",IF(Table13[[#This Row],[CODE]]&gt;0,Table13[[#This Row],[CODE]],0))),"")</f>
        <v/>
      </c>
      <c r="E288" s="81" t="str">
        <f>IF(COPY!G286&gt;0,COPY!G286,"")</f>
        <v/>
      </c>
      <c r="F288" s="88" t="str">
        <f>IF(COPY!J286&gt;0,COPY!J286,"")</f>
        <v/>
      </c>
      <c r="G288" s="85" t="str">
        <f>IF(COPY!H286&gt;0,COPY!H286,"")</f>
        <v/>
      </c>
      <c r="H288" s="85" t="str">
        <f>IF(COPY!I286&gt;0,COPY!I286,"")</f>
        <v/>
      </c>
      <c r="I288" s="85" t="str">
        <f>IF(COPY!M286&gt;0,COPY!M286,"")</f>
        <v/>
      </c>
      <c r="J288" s="85" t="str">
        <f>IF(COPY!N286&gt;0,COPY!N286,"")</f>
        <v/>
      </c>
      <c r="K288" s="86" t="str">
        <f>IF(N288=0,(IF(LEFT(Table13[[#This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Row],[URAIAN]],$U$194:$V$210,2,FALSE),""),""),0))))),N288)</f>
        <v/>
      </c>
      <c r="L288" s="85" t="str">
        <f>IF(Table13[[#This Row],[Column2]]="KWITANSI",COUNTIF($K$4:K288,"KWITANSI")," ")</f>
        <v xml:space="preserve"> </v>
      </c>
      <c r="M288" s="85" t="str">
        <f>IF(Table13[[#This Row],[Column3]]=" "," ",Table13[[#This Row],[CODE]])</f>
        <v xml:space="preserve"> </v>
      </c>
      <c r="N288" s="368"/>
      <c r="P288" s="81" t="str">
        <f t="shared" si="4"/>
        <v/>
      </c>
    </row>
    <row r="289" spans="1:16" hidden="1" x14ac:dyDescent="0.15">
      <c r="A289" s="81" t="str">
        <f>COPY!O287</f>
        <v/>
      </c>
      <c r="B289" s="81" t="str">
        <f>COPY!C287</f>
        <v/>
      </c>
      <c r="C289" s="82" t="str">
        <f>COPY!D287</f>
        <v/>
      </c>
      <c r="D289" s="81" t="str">
        <f>IF(Table13[[#This Row],[JUMLAH]]&gt;1,(IF(Table13[[#This Row],[CODE]]=" ",D288&amp;"a",IF(Table13[[#This Row],[CODE]]&gt;0,Table13[[#This Row],[CODE]],0))),"")</f>
        <v/>
      </c>
      <c r="E289" s="81" t="str">
        <f>IF(COPY!G287&gt;0,COPY!G287,"")</f>
        <v/>
      </c>
      <c r="F289" s="88" t="str">
        <f>IF(COPY!J287&gt;0,COPY!J287,"")</f>
        <v/>
      </c>
      <c r="G289" s="85" t="str">
        <f>IF(COPY!H287&gt;0,COPY!H287,"")</f>
        <v/>
      </c>
      <c r="H289" s="85" t="str">
        <f>IF(COPY!I287&gt;0,COPY!I287,"")</f>
        <v/>
      </c>
      <c r="I289" s="85" t="str">
        <f>IF(COPY!M287&gt;0,COPY!M287,"")</f>
        <v/>
      </c>
      <c r="J289" s="85" t="str">
        <f>IF(COPY!N287&gt;0,COPY!N287,"")</f>
        <v/>
      </c>
      <c r="K289" s="86" t="str">
        <f>IF(N289=0,(IF(LEFT(Table13[[#This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Row],[URAIAN]],$U$194:$V$210,2,FALSE),""),""),0))))),N289)</f>
        <v/>
      </c>
      <c r="L289" s="85" t="str">
        <f>IF(Table13[[#This Row],[Column2]]="KWITANSI",COUNTIF($K$4:K289,"KWITANSI")," ")</f>
        <v xml:space="preserve"> </v>
      </c>
      <c r="M289" s="85" t="str">
        <f>IF(Table13[[#This Row],[Column3]]=" "," ",Table13[[#This Row],[CODE]])</f>
        <v xml:space="preserve"> </v>
      </c>
      <c r="N289" s="368"/>
      <c r="P289" s="81" t="str">
        <f t="shared" si="4"/>
        <v/>
      </c>
    </row>
    <row r="290" spans="1:16" hidden="1" x14ac:dyDescent="0.15">
      <c r="A290" s="81" t="str">
        <f>COPY!O288</f>
        <v/>
      </c>
      <c r="B290" s="81" t="str">
        <f>COPY!C288</f>
        <v/>
      </c>
      <c r="C290" s="82" t="str">
        <f>COPY!D288</f>
        <v/>
      </c>
      <c r="D290" s="81" t="str">
        <f>IF(Table13[[#This Row],[JUMLAH]]&gt;1,(IF(Table13[[#This Row],[CODE]]=" ",D289&amp;"a",IF(Table13[[#This Row],[CODE]]&gt;0,Table13[[#This Row],[CODE]],0))),"")</f>
        <v/>
      </c>
      <c r="E290" s="81" t="str">
        <f>IF(COPY!G288&gt;0,COPY!G288,"")</f>
        <v/>
      </c>
      <c r="F290" s="88" t="str">
        <f>IF(COPY!J288&gt;0,COPY!J288,"")</f>
        <v/>
      </c>
      <c r="G290" s="85" t="str">
        <f>IF(COPY!H288&gt;0,COPY!H288,"")</f>
        <v/>
      </c>
      <c r="H290" s="85" t="str">
        <f>IF(COPY!I288&gt;0,COPY!I288,"")</f>
        <v/>
      </c>
      <c r="I290" s="85" t="str">
        <f>IF(COPY!M288&gt;0,COPY!M288,"")</f>
        <v/>
      </c>
      <c r="J290" s="85" t="str">
        <f>IF(COPY!N288&gt;0,COPY!N288,"")</f>
        <v/>
      </c>
      <c r="K290" s="86" t="str">
        <f>IF(N290=0,(IF(LEFT(Table13[[#This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Row],[URAIAN]],$U$194:$V$210,2,FALSE),""),""),0))))),N290)</f>
        <v/>
      </c>
      <c r="L290" s="85" t="str">
        <f>IF(Table13[[#This Row],[Column2]]="KWITANSI",COUNTIF($K$4:K290,"KWITANSI")," ")</f>
        <v xml:space="preserve"> </v>
      </c>
      <c r="M290" s="85" t="str">
        <f>IF(Table13[[#This Row],[Column3]]=" "," ",Table13[[#This Row],[CODE]])</f>
        <v xml:space="preserve"> </v>
      </c>
      <c r="N290" s="368"/>
      <c r="P290" s="81" t="str">
        <f t="shared" si="4"/>
        <v/>
      </c>
    </row>
    <row r="291" spans="1:16" hidden="1" x14ac:dyDescent="0.15">
      <c r="A291" s="81" t="str">
        <f>COPY!O289</f>
        <v/>
      </c>
      <c r="B291" s="81" t="str">
        <f>COPY!C289</f>
        <v/>
      </c>
      <c r="C291" s="82" t="str">
        <f>COPY!D289</f>
        <v/>
      </c>
      <c r="D291" s="81" t="str">
        <f>IF(Table13[[#This Row],[JUMLAH]]&gt;1,(IF(Table13[[#This Row],[CODE]]=" ",D290&amp;"a",IF(Table13[[#This Row],[CODE]]&gt;0,Table13[[#This Row],[CODE]],0))),"")</f>
        <v/>
      </c>
      <c r="E291" s="81" t="str">
        <f>IF(COPY!G289&gt;0,COPY!G289,"")</f>
        <v/>
      </c>
      <c r="F291" s="88" t="str">
        <f>IF(COPY!J289&gt;0,COPY!J289,"")</f>
        <v/>
      </c>
      <c r="G291" s="85" t="str">
        <f>IF(COPY!H289&gt;0,COPY!H289,"")</f>
        <v/>
      </c>
      <c r="H291" s="85" t="str">
        <f>IF(COPY!I289&gt;0,COPY!I289,"")</f>
        <v/>
      </c>
      <c r="I291" s="85" t="str">
        <f>IF(COPY!M289&gt;0,COPY!M289,"")</f>
        <v/>
      </c>
      <c r="J291" s="85" t="str">
        <f>IF(COPY!N289&gt;0,COPY!N289,"")</f>
        <v/>
      </c>
      <c r="K291" s="86" t="str">
        <f>IF(N291=0,(IF(LEFT(Table13[[#This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Row],[URAIAN]],$U$194:$V$210,2,FALSE),""),""),0))))),N291)</f>
        <v/>
      </c>
      <c r="L291" s="85" t="str">
        <f>IF(Table13[[#This Row],[Column2]]="KWITANSI",COUNTIF($K$4:K291,"KWITANSI")," ")</f>
        <v xml:space="preserve"> </v>
      </c>
      <c r="M291" s="85" t="str">
        <f>IF(Table13[[#This Row],[Column3]]=" "," ",Table13[[#This Row],[CODE]])</f>
        <v xml:space="preserve"> </v>
      </c>
      <c r="N291" s="368"/>
      <c r="P291" s="81" t="str">
        <f t="shared" si="4"/>
        <v/>
      </c>
    </row>
    <row r="292" spans="1:16" hidden="1" x14ac:dyDescent="0.15">
      <c r="A292" s="81" t="str">
        <f>COPY!O290</f>
        <v/>
      </c>
      <c r="B292" s="81" t="str">
        <f>COPY!C290</f>
        <v/>
      </c>
      <c r="C292" s="82" t="str">
        <f>COPY!D290</f>
        <v/>
      </c>
      <c r="D292" s="81" t="str">
        <f>IF(Table13[[#This Row],[JUMLAH]]&gt;1,(IF(Table13[[#This Row],[CODE]]=" ",D291&amp;"a",IF(Table13[[#This Row],[CODE]]&gt;0,Table13[[#This Row],[CODE]],0))),"")</f>
        <v/>
      </c>
      <c r="E292" s="81" t="str">
        <f>IF(COPY!G290&gt;0,COPY!G290,"")</f>
        <v/>
      </c>
      <c r="F292" s="88" t="str">
        <f>IF(COPY!J290&gt;0,COPY!J290,"")</f>
        <v/>
      </c>
      <c r="G292" s="85" t="str">
        <f>IF(COPY!H290&gt;0,COPY!H290,"")</f>
        <v/>
      </c>
      <c r="H292" s="85" t="str">
        <f>IF(COPY!I290&gt;0,COPY!I290,"")</f>
        <v/>
      </c>
      <c r="I292" s="85" t="str">
        <f>IF(COPY!M290&gt;0,COPY!M290,"")</f>
        <v/>
      </c>
      <c r="J292" s="85" t="str">
        <f>IF(COPY!N290&gt;0,COPY!N290,"")</f>
        <v/>
      </c>
      <c r="K292" s="86" t="str">
        <f>IF(N292=0,(IF(LEFT(Table13[[#This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Row],[URAIAN]],$U$194:$V$210,2,FALSE),""),""),0))))),N292)</f>
        <v/>
      </c>
      <c r="L292" s="85" t="str">
        <f>IF(Table13[[#This Row],[Column2]]="KWITANSI",COUNTIF($K$4:K292,"KWITANSI")," ")</f>
        <v xml:space="preserve"> </v>
      </c>
      <c r="M292" s="85" t="str">
        <f>IF(Table13[[#This Row],[Column3]]=" "," ",Table13[[#This Row],[CODE]])</f>
        <v xml:space="preserve"> </v>
      </c>
      <c r="N292" s="368"/>
      <c r="P292" s="81" t="str">
        <f t="shared" si="4"/>
        <v/>
      </c>
    </row>
    <row r="293" spans="1:16" hidden="1" x14ac:dyDescent="0.15">
      <c r="A293" s="81" t="str">
        <f>COPY!O291</f>
        <v/>
      </c>
      <c r="B293" s="81" t="str">
        <f>COPY!C291</f>
        <v/>
      </c>
      <c r="C293" s="82" t="str">
        <f>COPY!D291</f>
        <v/>
      </c>
      <c r="D293" s="81" t="str">
        <f>IF(Table13[[#This Row],[JUMLAH]]&gt;1,(IF(Table13[[#This Row],[CODE]]=" ",D292&amp;"a",IF(Table13[[#This Row],[CODE]]&gt;0,Table13[[#This Row],[CODE]],0))),"")</f>
        <v/>
      </c>
      <c r="E293" s="81" t="str">
        <f>IF(COPY!G291&gt;0,COPY!G291,"")</f>
        <v/>
      </c>
      <c r="F293" s="88" t="str">
        <f>IF(COPY!J291&gt;0,COPY!J291,"")</f>
        <v/>
      </c>
      <c r="G293" s="85" t="str">
        <f>IF(COPY!H291&gt;0,COPY!H291,"")</f>
        <v/>
      </c>
      <c r="H293" s="85" t="str">
        <f>IF(COPY!I291&gt;0,COPY!I291,"")</f>
        <v/>
      </c>
      <c r="I293" s="85" t="str">
        <f>IF(COPY!M291&gt;0,COPY!M291,"")</f>
        <v/>
      </c>
      <c r="J293" s="85" t="str">
        <f>IF(COPY!N291&gt;0,COPY!N291,"")</f>
        <v/>
      </c>
      <c r="K293" s="86" t="str">
        <f>IF(N293=0,(IF(LEFT(Table13[[#This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Row],[URAIAN]],$U$194:$V$210,2,FALSE),""),""),0))))),N293)</f>
        <v/>
      </c>
      <c r="L293" s="85" t="str">
        <f>IF(Table13[[#This Row],[Column2]]="KWITANSI",COUNTIF($K$4:K293,"KWITANSI")," ")</f>
        <v xml:space="preserve"> </v>
      </c>
      <c r="M293" s="85" t="str">
        <f>IF(Table13[[#This Row],[Column3]]=" "," ",Table13[[#This Row],[CODE]])</f>
        <v xml:space="preserve"> </v>
      </c>
      <c r="N293" s="368"/>
      <c r="P293" s="81" t="str">
        <f t="shared" si="4"/>
        <v/>
      </c>
    </row>
    <row r="294" spans="1:16" hidden="1" x14ac:dyDescent="0.15">
      <c r="A294" s="81" t="str">
        <f>COPY!O292</f>
        <v/>
      </c>
      <c r="B294" s="81" t="str">
        <f>COPY!C292</f>
        <v/>
      </c>
      <c r="C294" s="82" t="str">
        <f>COPY!D292</f>
        <v/>
      </c>
      <c r="D294" s="81" t="str">
        <f>IF(Table13[[#This Row],[JUMLAH]]&gt;1,(IF(Table13[[#This Row],[CODE]]=" ",D293&amp;"a",IF(Table13[[#This Row],[CODE]]&gt;0,Table13[[#This Row],[CODE]],0))),"")</f>
        <v/>
      </c>
      <c r="E294" s="81" t="str">
        <f>IF(COPY!G292&gt;0,COPY!G292,"")</f>
        <v/>
      </c>
      <c r="F294" s="88" t="str">
        <f>IF(COPY!J292&gt;0,COPY!J292,"")</f>
        <v/>
      </c>
      <c r="G294" s="85" t="str">
        <f>IF(COPY!H292&gt;0,COPY!H292,"")</f>
        <v/>
      </c>
      <c r="H294" s="85" t="str">
        <f>IF(COPY!I292&gt;0,COPY!I292,"")</f>
        <v/>
      </c>
      <c r="I294" s="85" t="str">
        <f>IF(COPY!M292&gt;0,COPY!M292,"")</f>
        <v/>
      </c>
      <c r="J294" s="85" t="str">
        <f>IF(COPY!N292&gt;0,COPY!N292,"")</f>
        <v/>
      </c>
      <c r="K294" s="86" t="str">
        <f>IF(N294=0,(IF(LEFT(Table13[[#This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Row],[URAIAN]],$U$194:$V$210,2,FALSE),""),""),0))))),N294)</f>
        <v/>
      </c>
      <c r="L294" s="85" t="str">
        <f>IF(Table13[[#This Row],[Column2]]="KWITANSI",COUNTIF($K$4:K294,"KWITANSI")," ")</f>
        <v xml:space="preserve"> </v>
      </c>
      <c r="M294" s="85" t="str">
        <f>IF(Table13[[#This Row],[Column3]]=" "," ",Table13[[#This Row],[CODE]])</f>
        <v xml:space="preserve"> </v>
      </c>
      <c r="N294" s="368"/>
      <c r="P294" s="81" t="str">
        <f t="shared" si="4"/>
        <v/>
      </c>
    </row>
    <row r="295" spans="1:16" hidden="1" x14ac:dyDescent="0.15">
      <c r="A295" s="81" t="str">
        <f>COPY!O293</f>
        <v/>
      </c>
      <c r="B295" s="81" t="str">
        <f>COPY!C293</f>
        <v/>
      </c>
      <c r="C295" s="82" t="str">
        <f>COPY!D293</f>
        <v/>
      </c>
      <c r="D295" s="81" t="str">
        <f>IF(Table13[[#This Row],[JUMLAH]]&gt;1,(IF(Table13[[#This Row],[CODE]]=" ",D294&amp;"a",IF(Table13[[#This Row],[CODE]]&gt;0,Table13[[#This Row],[CODE]],0))),"")</f>
        <v/>
      </c>
      <c r="E295" s="81" t="str">
        <f>IF(COPY!G293&gt;0,COPY!G293,"")</f>
        <v/>
      </c>
      <c r="F295" s="88" t="str">
        <f>IF(COPY!J293&gt;0,COPY!J293,"")</f>
        <v/>
      </c>
      <c r="G295" s="85" t="str">
        <f>IF(COPY!H293&gt;0,COPY!H293,"")</f>
        <v/>
      </c>
      <c r="H295" s="85" t="str">
        <f>IF(COPY!I293&gt;0,COPY!I293,"")</f>
        <v/>
      </c>
      <c r="I295" s="85" t="str">
        <f>IF(COPY!M293&gt;0,COPY!M293,"")</f>
        <v/>
      </c>
      <c r="J295" s="85" t="str">
        <f>IF(COPY!N293&gt;0,COPY!N293,"")</f>
        <v/>
      </c>
      <c r="K295" s="86" t="str">
        <f>IF(N295=0,(IF(LEFT(Table13[[#This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Row],[URAIAN]],$U$194:$V$210,2,FALSE),""),""),0))))),N295)</f>
        <v/>
      </c>
      <c r="L295" s="85" t="str">
        <f>IF(Table13[[#This Row],[Column2]]="KWITANSI",COUNTIF($K$4:K295,"KWITANSI")," ")</f>
        <v xml:space="preserve"> </v>
      </c>
      <c r="M295" s="85" t="str">
        <f>IF(Table13[[#This Row],[Column3]]=" "," ",Table13[[#This Row],[CODE]])</f>
        <v xml:space="preserve"> </v>
      </c>
      <c r="N295" s="368"/>
      <c r="P295" s="81" t="str">
        <f t="shared" si="4"/>
        <v/>
      </c>
    </row>
    <row r="296" spans="1:16" hidden="1" x14ac:dyDescent="0.15">
      <c r="A296" s="81" t="str">
        <f>COPY!O294</f>
        <v/>
      </c>
      <c r="B296" s="81" t="str">
        <f>COPY!C294</f>
        <v/>
      </c>
      <c r="C296" s="82" t="str">
        <f>COPY!D294</f>
        <v/>
      </c>
      <c r="D296" s="81" t="str">
        <f>IF(Table13[[#This Row],[JUMLAH]]&gt;1,(IF(Table13[[#This Row],[CODE]]=" ",D295&amp;"a",IF(Table13[[#This Row],[CODE]]&gt;0,Table13[[#This Row],[CODE]],0))),"")</f>
        <v/>
      </c>
      <c r="E296" s="81" t="str">
        <f>IF(COPY!G294&gt;0,COPY!G294,"")</f>
        <v/>
      </c>
      <c r="F296" s="88" t="str">
        <f>IF(COPY!J294&gt;0,COPY!J294,"")</f>
        <v/>
      </c>
      <c r="G296" s="85" t="str">
        <f>IF(COPY!H294&gt;0,COPY!H294,"")</f>
        <v/>
      </c>
      <c r="H296" s="85" t="str">
        <f>IF(COPY!I294&gt;0,COPY!I294,"")</f>
        <v/>
      </c>
      <c r="I296" s="85" t="str">
        <f>IF(COPY!M294&gt;0,COPY!M294,"")</f>
        <v/>
      </c>
      <c r="J296" s="85" t="str">
        <f>IF(COPY!N294&gt;0,COPY!N294,"")</f>
        <v/>
      </c>
      <c r="K296" s="86" t="str">
        <f>IF(N296=0,(IF(LEFT(Table13[[#This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Row],[URAIAN]],$U$194:$V$210,2,FALSE),""),""),0))))),N296)</f>
        <v/>
      </c>
      <c r="L296" s="85" t="str">
        <f>IF(Table13[[#This Row],[Column2]]="KWITANSI",COUNTIF($K$4:K296,"KWITANSI")," ")</f>
        <v xml:space="preserve"> </v>
      </c>
      <c r="M296" s="85" t="str">
        <f>IF(Table13[[#This Row],[Column3]]=" "," ",Table13[[#This Row],[CODE]])</f>
        <v xml:space="preserve"> </v>
      </c>
      <c r="N296" s="368"/>
      <c r="P296" s="81" t="str">
        <f t="shared" si="4"/>
        <v/>
      </c>
    </row>
    <row r="297" spans="1:16" hidden="1" x14ac:dyDescent="0.15">
      <c r="A297" s="81" t="str">
        <f>COPY!O295</f>
        <v/>
      </c>
      <c r="B297" s="81" t="str">
        <f>COPY!C295</f>
        <v/>
      </c>
      <c r="C297" s="82" t="str">
        <f>COPY!D295</f>
        <v/>
      </c>
      <c r="D297" s="81" t="str">
        <f>IF(Table13[[#This Row],[JUMLAH]]&gt;1,(IF(Table13[[#This Row],[CODE]]=" ",D296&amp;"a",IF(Table13[[#This Row],[CODE]]&gt;0,Table13[[#This Row],[CODE]],0))),"")</f>
        <v/>
      </c>
      <c r="E297" s="81" t="str">
        <f>IF(COPY!G295&gt;0,COPY!G295,"")</f>
        <v/>
      </c>
      <c r="F297" s="88" t="str">
        <f>IF(COPY!J295&gt;0,COPY!J295,"")</f>
        <v/>
      </c>
      <c r="G297" s="85" t="str">
        <f>IF(COPY!H295&gt;0,COPY!H295,"")</f>
        <v/>
      </c>
      <c r="H297" s="85" t="str">
        <f>IF(COPY!I295&gt;0,COPY!I295,"")</f>
        <v/>
      </c>
      <c r="I297" s="85" t="str">
        <f>IF(COPY!M295&gt;0,COPY!M295,"")</f>
        <v/>
      </c>
      <c r="J297" s="85" t="str">
        <f>IF(COPY!N295&gt;0,COPY!N295,"")</f>
        <v/>
      </c>
      <c r="K297" s="86" t="str">
        <f>IF(N297=0,(IF(LEFT(Table13[[#This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Row],[URAIAN]],$U$194:$V$210,2,FALSE),""),""),0))))),N297)</f>
        <v/>
      </c>
      <c r="L297" s="85" t="str">
        <f>IF(Table13[[#This Row],[Column2]]="KWITANSI",COUNTIF($K$4:K297,"KWITANSI")," ")</f>
        <v xml:space="preserve"> </v>
      </c>
      <c r="M297" s="85" t="str">
        <f>IF(Table13[[#This Row],[Column3]]=" "," ",Table13[[#This Row],[CODE]])</f>
        <v xml:space="preserve"> </v>
      </c>
      <c r="N297" s="368"/>
      <c r="P297" s="81" t="str">
        <f t="shared" si="4"/>
        <v/>
      </c>
    </row>
    <row r="298" spans="1:16" hidden="1" x14ac:dyDescent="0.15">
      <c r="A298" s="81" t="str">
        <f>COPY!O296</f>
        <v/>
      </c>
      <c r="B298" s="81" t="str">
        <f>COPY!C296</f>
        <v/>
      </c>
      <c r="C298" s="82" t="str">
        <f>COPY!D296</f>
        <v/>
      </c>
      <c r="D298" s="81" t="str">
        <f>IF(Table13[[#This Row],[JUMLAH]]&gt;1,(IF(Table13[[#This Row],[CODE]]=" ",D297&amp;"a",IF(Table13[[#This Row],[CODE]]&gt;0,Table13[[#This Row],[CODE]],0))),"")</f>
        <v/>
      </c>
      <c r="E298" s="81" t="str">
        <f>IF(COPY!G296&gt;0,COPY!G296,"")</f>
        <v/>
      </c>
      <c r="F298" s="88" t="str">
        <f>IF(COPY!J296&gt;0,COPY!J296,"")</f>
        <v/>
      </c>
      <c r="G298" s="85" t="str">
        <f>IF(COPY!H296&gt;0,COPY!H296,"")</f>
        <v/>
      </c>
      <c r="H298" s="85" t="str">
        <f>IF(COPY!I296&gt;0,COPY!I296,"")</f>
        <v/>
      </c>
      <c r="I298" s="85" t="str">
        <f>IF(COPY!M296&gt;0,COPY!M296,"")</f>
        <v/>
      </c>
      <c r="J298" s="85" t="str">
        <f>IF(COPY!N296&gt;0,COPY!N296,"")</f>
        <v/>
      </c>
      <c r="K298" s="86" t="str">
        <f>IF(N298=0,(IF(LEFT(Table13[[#This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Row],[URAIAN]],$U$194:$V$210,2,FALSE),""),""),0))))),N298)</f>
        <v/>
      </c>
      <c r="L298" s="85" t="str">
        <f>IF(Table13[[#This Row],[Column2]]="KWITANSI",COUNTIF($K$4:K298,"KWITANSI")," ")</f>
        <v xml:space="preserve"> </v>
      </c>
      <c r="M298" s="85" t="str">
        <f>IF(Table13[[#This Row],[Column3]]=" "," ",Table13[[#This Row],[CODE]])</f>
        <v xml:space="preserve"> </v>
      </c>
      <c r="N298" s="368"/>
      <c r="P298" s="81" t="str">
        <f t="shared" si="4"/>
        <v/>
      </c>
    </row>
    <row r="299" spans="1:16" hidden="1" x14ac:dyDescent="0.15">
      <c r="A299" s="81" t="str">
        <f>COPY!O297</f>
        <v/>
      </c>
      <c r="B299" s="81" t="str">
        <f>COPY!C297</f>
        <v/>
      </c>
      <c r="C299" s="82" t="str">
        <f>COPY!D297</f>
        <v/>
      </c>
      <c r="D299" s="81" t="str">
        <f>IF(Table13[[#This Row],[JUMLAH]]&gt;1,(IF(Table13[[#This Row],[CODE]]=" ",D298&amp;"a",IF(Table13[[#This Row],[CODE]]&gt;0,Table13[[#This Row],[CODE]],0))),"")</f>
        <v/>
      </c>
      <c r="E299" s="81" t="str">
        <f>IF(COPY!G297&gt;0,COPY!G297,"")</f>
        <v/>
      </c>
      <c r="F299" s="88" t="str">
        <f>IF(COPY!J297&gt;0,COPY!J297,"")</f>
        <v/>
      </c>
      <c r="G299" s="85" t="str">
        <f>IF(COPY!H297&gt;0,COPY!H297,"")</f>
        <v/>
      </c>
      <c r="H299" s="85" t="str">
        <f>IF(COPY!I297&gt;0,COPY!I297,"")</f>
        <v/>
      </c>
      <c r="I299" s="85" t="str">
        <f>IF(COPY!M297&gt;0,COPY!M297,"")</f>
        <v/>
      </c>
      <c r="J299" s="85" t="str">
        <f>IF(COPY!N297&gt;0,COPY!N297,"")</f>
        <v/>
      </c>
      <c r="K299" s="86" t="str">
        <f>IF(N299=0,(IF(LEFT(Table13[[#This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Row],[URAIAN]],$U$194:$V$210,2,FALSE),""),""),0))))),N299)</f>
        <v/>
      </c>
      <c r="L299" s="85" t="str">
        <f>IF(Table13[[#This Row],[Column2]]="KWITANSI",COUNTIF($K$4:K299,"KWITANSI")," ")</f>
        <v xml:space="preserve"> </v>
      </c>
      <c r="M299" s="85" t="str">
        <f>IF(Table13[[#This Row],[Column3]]=" "," ",Table13[[#This Row],[CODE]])</f>
        <v xml:space="preserve"> </v>
      </c>
      <c r="N299" s="368"/>
      <c r="P299" s="81" t="str">
        <f t="shared" si="4"/>
        <v/>
      </c>
    </row>
    <row r="300" spans="1:16" hidden="1" x14ac:dyDescent="0.15">
      <c r="A300" s="81" t="str">
        <f>COPY!O298</f>
        <v/>
      </c>
      <c r="B300" s="81" t="str">
        <f>COPY!C298</f>
        <v/>
      </c>
      <c r="C300" s="82" t="str">
        <f>COPY!D298</f>
        <v/>
      </c>
      <c r="D300" s="81" t="str">
        <f>IF(Table13[[#This Row],[JUMLAH]]&gt;1,(IF(Table13[[#This Row],[CODE]]=" ",D299&amp;"a",IF(Table13[[#This Row],[CODE]]&gt;0,Table13[[#This Row],[CODE]],0))),"")</f>
        <v/>
      </c>
      <c r="E300" s="81" t="str">
        <f>IF(COPY!G298&gt;0,COPY!G298,"")</f>
        <v/>
      </c>
      <c r="F300" s="88" t="str">
        <f>IF(COPY!J298&gt;0,COPY!J298,"")</f>
        <v/>
      </c>
      <c r="G300" s="85" t="str">
        <f>IF(COPY!H298&gt;0,COPY!H298,"")</f>
        <v/>
      </c>
      <c r="H300" s="85" t="str">
        <f>IF(COPY!I298&gt;0,COPY!I298,"")</f>
        <v/>
      </c>
      <c r="I300" s="85" t="str">
        <f>IF(COPY!M298&gt;0,COPY!M298,"")</f>
        <v/>
      </c>
      <c r="J300" s="85" t="str">
        <f>IF(COPY!N298&gt;0,COPY!N298,"")</f>
        <v/>
      </c>
      <c r="K300" s="86" t="str">
        <f>IF(N300=0,(IF(LEFT(Table13[[#This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Row],[URAIAN]],$U$194:$V$210,2,FALSE),""),""),0))))),N300)</f>
        <v/>
      </c>
      <c r="L300" s="85" t="str">
        <f>IF(Table13[[#This Row],[Column2]]="KWITANSI",COUNTIF($K$4:K300,"KWITANSI")," ")</f>
        <v xml:space="preserve"> </v>
      </c>
      <c r="M300" s="85" t="str">
        <f>IF(Table13[[#This Row],[Column3]]=" "," ",Table13[[#This Row],[CODE]])</f>
        <v xml:space="preserve"> </v>
      </c>
      <c r="N300" s="368"/>
      <c r="P300" s="81" t="str">
        <f t="shared" si="4"/>
        <v/>
      </c>
    </row>
    <row r="301" spans="1:16" hidden="1" x14ac:dyDescent="0.15">
      <c r="A301" s="81" t="str">
        <f>COPY!O299</f>
        <v/>
      </c>
      <c r="B301" s="81" t="str">
        <f>COPY!C299</f>
        <v/>
      </c>
      <c r="C301" s="82" t="str">
        <f>COPY!D299</f>
        <v/>
      </c>
      <c r="D301" s="81" t="str">
        <f>IF(Table13[[#This Row],[JUMLAH]]&gt;1,(IF(Table13[[#This Row],[CODE]]=" ",D300&amp;"a",IF(Table13[[#This Row],[CODE]]&gt;0,Table13[[#This Row],[CODE]],0))),"")</f>
        <v/>
      </c>
      <c r="E301" s="81" t="str">
        <f>IF(COPY!G299&gt;0,COPY!G299,"")</f>
        <v/>
      </c>
      <c r="F301" s="88" t="str">
        <f>IF(COPY!J299&gt;0,COPY!J299,"")</f>
        <v/>
      </c>
      <c r="G301" s="85" t="str">
        <f>IF(COPY!H299&gt;0,COPY!H299,"")</f>
        <v/>
      </c>
      <c r="H301" s="85" t="str">
        <f>IF(COPY!I299&gt;0,COPY!I299,"")</f>
        <v/>
      </c>
      <c r="I301" s="85" t="str">
        <f>IF(COPY!M299&gt;0,COPY!M299,"")</f>
        <v/>
      </c>
      <c r="J301" s="85" t="str">
        <f>IF(COPY!N299&gt;0,COPY!N299,"")</f>
        <v/>
      </c>
      <c r="K301" s="86" t="str">
        <f>IF(N301=0,(IF(LEFT(Table13[[#This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Row],[URAIAN]],$U$194:$V$210,2,FALSE),""),""),0))))),N301)</f>
        <v/>
      </c>
      <c r="L301" s="85" t="str">
        <f>IF(Table13[[#This Row],[Column2]]="KWITANSI",COUNTIF($K$4:K301,"KWITANSI")," ")</f>
        <v xml:space="preserve"> </v>
      </c>
      <c r="M301" s="85" t="str">
        <f>IF(Table13[[#This Row],[Column3]]=" "," ",Table13[[#This Row],[CODE]])</f>
        <v xml:space="preserve"> </v>
      </c>
      <c r="N301" s="368"/>
      <c r="P301" s="81" t="str">
        <f t="shared" si="4"/>
        <v/>
      </c>
    </row>
    <row r="302" spans="1:16" hidden="1" x14ac:dyDescent="0.15">
      <c r="A302" s="81" t="str">
        <f>COPY!O300</f>
        <v/>
      </c>
      <c r="B302" s="81" t="str">
        <f>COPY!C300</f>
        <v/>
      </c>
      <c r="C302" s="82" t="str">
        <f>COPY!D300</f>
        <v/>
      </c>
      <c r="D302" s="81" t="str">
        <f>IF(Table13[[#This Row],[JUMLAH]]&gt;1,(IF(Table13[[#This Row],[CODE]]=" ",D301&amp;"a",IF(Table13[[#This Row],[CODE]]&gt;0,Table13[[#This Row],[CODE]],0))),"")</f>
        <v/>
      </c>
      <c r="E302" s="81" t="str">
        <f>IF(COPY!G300&gt;0,COPY!G300,"")</f>
        <v/>
      </c>
      <c r="F302" s="88" t="str">
        <f>IF(COPY!J300&gt;0,COPY!J300,"")</f>
        <v/>
      </c>
      <c r="G302" s="85" t="str">
        <f>IF(COPY!H300&gt;0,COPY!H300,"")</f>
        <v/>
      </c>
      <c r="H302" s="85" t="str">
        <f>IF(COPY!I300&gt;0,COPY!I300,"")</f>
        <v/>
      </c>
      <c r="I302" s="85" t="str">
        <f>IF(COPY!M300&gt;0,COPY!M300,"")</f>
        <v/>
      </c>
      <c r="J302" s="85" t="str">
        <f>IF(COPY!N300&gt;0,COPY!N300,"")</f>
        <v/>
      </c>
      <c r="K302" s="86" t="str">
        <f>IF(N302=0,(IF(LEFT(Table13[[#This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Row],[URAIAN]],$U$194:$V$210,2,FALSE),""),""),0))))),N302)</f>
        <v/>
      </c>
      <c r="L302" s="85" t="str">
        <f>IF(Table13[[#This Row],[Column2]]="KWITANSI",COUNTIF($K$4:K302,"KWITANSI")," ")</f>
        <v xml:space="preserve"> </v>
      </c>
      <c r="M302" s="85" t="str">
        <f>IF(Table13[[#This Row],[Column3]]=" "," ",Table13[[#This Row],[CODE]])</f>
        <v xml:space="preserve"> </v>
      </c>
      <c r="N302" s="368"/>
      <c r="P302" s="81" t="str">
        <f t="shared" si="4"/>
        <v/>
      </c>
    </row>
    <row r="303" spans="1:16" hidden="1" x14ac:dyDescent="0.15">
      <c r="A303" s="81" t="str">
        <f>COPY!O301</f>
        <v/>
      </c>
      <c r="B303" s="81" t="str">
        <f>COPY!C301</f>
        <v/>
      </c>
      <c r="C303" s="82" t="str">
        <f>COPY!D301</f>
        <v/>
      </c>
      <c r="D303" s="81" t="str">
        <f>IF(Table13[[#This Row],[JUMLAH]]&gt;1,(IF(Table13[[#This Row],[CODE]]=" ",D302&amp;"a",IF(Table13[[#This Row],[CODE]]&gt;0,Table13[[#This Row],[CODE]],0))),"")</f>
        <v/>
      </c>
      <c r="E303" s="81" t="str">
        <f>IF(COPY!G301&gt;0,COPY!G301,"")</f>
        <v/>
      </c>
      <c r="F303" s="88" t="str">
        <f>IF(COPY!J301&gt;0,COPY!J301,"")</f>
        <v/>
      </c>
      <c r="G303" s="85" t="str">
        <f>IF(COPY!H301&gt;0,COPY!H301,"")</f>
        <v/>
      </c>
      <c r="H303" s="85" t="str">
        <f>IF(COPY!I301&gt;0,COPY!I301,"")</f>
        <v/>
      </c>
      <c r="I303" s="85" t="str">
        <f>IF(COPY!M301&gt;0,COPY!M301,"")</f>
        <v/>
      </c>
      <c r="J303" s="85" t="str">
        <f>IF(COPY!N301&gt;0,COPY!N301,"")</f>
        <v/>
      </c>
      <c r="K303" s="86" t="str">
        <f>IF(N303=0,(IF(LEFT(Table13[[#This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Row],[URAIAN]],$U$194:$V$210,2,FALSE),""),""),0))))),N303)</f>
        <v/>
      </c>
      <c r="L303" s="85" t="str">
        <f>IF(Table13[[#This Row],[Column2]]="KWITANSI",COUNTIF($K$4:K303,"KWITANSI")," ")</f>
        <v xml:space="preserve"> </v>
      </c>
      <c r="M303" s="85" t="str">
        <f>IF(Table13[[#This Row],[Column3]]=" "," ",Table13[[#This Row],[CODE]])</f>
        <v xml:space="preserve"> </v>
      </c>
      <c r="N303" s="368"/>
      <c r="P303" s="81" t="str">
        <f t="shared" si="4"/>
        <v/>
      </c>
    </row>
    <row r="304" spans="1:16" hidden="1" x14ac:dyDescent="0.15">
      <c r="A304" s="81" t="str">
        <f>COPY!O302</f>
        <v/>
      </c>
      <c r="B304" s="81" t="str">
        <f>COPY!C302</f>
        <v/>
      </c>
      <c r="C304" s="82" t="str">
        <f>COPY!D302</f>
        <v/>
      </c>
      <c r="D304" s="81" t="str">
        <f>IF(Table13[[#This Row],[JUMLAH]]&gt;1,(IF(Table13[[#This Row],[CODE]]=" ",D303&amp;"a",IF(Table13[[#This Row],[CODE]]&gt;0,Table13[[#This Row],[CODE]],0))),"")</f>
        <v/>
      </c>
      <c r="E304" s="81" t="str">
        <f>IF(COPY!G302&gt;0,COPY!G302,"")</f>
        <v/>
      </c>
      <c r="F304" s="88" t="str">
        <f>IF(COPY!J302&gt;0,COPY!J302,"")</f>
        <v/>
      </c>
      <c r="G304" s="85" t="str">
        <f>IF(COPY!H302&gt;0,COPY!H302,"")</f>
        <v/>
      </c>
      <c r="H304" s="85" t="str">
        <f>IF(COPY!I302&gt;0,COPY!I302,"")</f>
        <v/>
      </c>
      <c r="I304" s="85" t="str">
        <f>IF(COPY!M302&gt;0,COPY!M302,"")</f>
        <v/>
      </c>
      <c r="J304" s="85" t="str">
        <f>IF(COPY!N302&gt;0,COPY!N302,"")</f>
        <v/>
      </c>
      <c r="K304" s="86" t="str">
        <f>IF(N304=0,(IF(LEFT(Table13[[#This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Row],[URAIAN]],$U$194:$V$210,2,FALSE),""),""),0))))),N304)</f>
        <v/>
      </c>
      <c r="L304" s="85" t="str">
        <f>IF(Table13[[#This Row],[Column2]]="KWITANSI",COUNTIF($K$4:K304,"KWITANSI")," ")</f>
        <v xml:space="preserve"> </v>
      </c>
      <c r="M304" s="85" t="str">
        <f>IF(Table13[[#This Row],[Column3]]=" "," ",Table13[[#This Row],[CODE]])</f>
        <v xml:space="preserve"> </v>
      </c>
      <c r="N304" s="368"/>
      <c r="P304" s="81" t="str">
        <f t="shared" si="4"/>
        <v/>
      </c>
    </row>
    <row r="305" spans="1:16" hidden="1" x14ac:dyDescent="0.15">
      <c r="A305" s="81" t="str">
        <f>COPY!O303</f>
        <v/>
      </c>
      <c r="B305" s="81" t="str">
        <f>COPY!C303</f>
        <v/>
      </c>
      <c r="C305" s="82" t="str">
        <f>COPY!D303</f>
        <v/>
      </c>
      <c r="D305" s="81" t="str">
        <f>IF(Table13[[#This Row],[JUMLAH]]&gt;1,(IF(Table13[[#This Row],[CODE]]=" ",D304&amp;"a",IF(Table13[[#This Row],[CODE]]&gt;0,Table13[[#This Row],[CODE]],0))),"")</f>
        <v/>
      </c>
      <c r="E305" s="81" t="str">
        <f>IF(COPY!G303&gt;0,COPY!G303,"")</f>
        <v/>
      </c>
      <c r="F305" s="88" t="str">
        <f>IF(COPY!J303&gt;0,COPY!J303,"")</f>
        <v/>
      </c>
      <c r="G305" s="85" t="str">
        <f>IF(COPY!H303&gt;0,COPY!H303,"")</f>
        <v/>
      </c>
      <c r="H305" s="85" t="str">
        <f>IF(COPY!I303&gt;0,COPY!I303,"")</f>
        <v/>
      </c>
      <c r="I305" s="85" t="str">
        <f>IF(COPY!M303&gt;0,COPY!M303,"")</f>
        <v/>
      </c>
      <c r="J305" s="85" t="str">
        <f>IF(COPY!N303&gt;0,COPY!N303,"")</f>
        <v/>
      </c>
      <c r="K305" s="86" t="str">
        <f>IF(N305=0,(IF(LEFT(Table13[[#This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Row],[URAIAN]],$U$194:$V$210,2,FALSE),""),""),0))))),N305)</f>
        <v/>
      </c>
      <c r="L305" s="85" t="str">
        <f>IF(Table13[[#This Row],[Column2]]="KWITANSI",COUNTIF($K$4:K305,"KWITANSI")," ")</f>
        <v xml:space="preserve"> </v>
      </c>
      <c r="M305" s="85" t="str">
        <f>IF(Table13[[#This Row],[Column3]]=" "," ",Table13[[#This Row],[CODE]])</f>
        <v xml:space="preserve"> </v>
      </c>
      <c r="N305" s="368"/>
      <c r="P305" s="81" t="str">
        <f t="shared" si="4"/>
        <v/>
      </c>
    </row>
    <row r="306" spans="1:16" hidden="1" x14ac:dyDescent="0.15">
      <c r="A306" s="81" t="str">
        <f>COPY!O304</f>
        <v/>
      </c>
      <c r="B306" s="81" t="str">
        <f>COPY!C304</f>
        <v/>
      </c>
      <c r="C306" s="82" t="str">
        <f>COPY!D304</f>
        <v/>
      </c>
      <c r="D306" s="81" t="str">
        <f>IF(Table13[[#This Row],[JUMLAH]]&gt;1,(IF(Table13[[#This Row],[CODE]]=" ",D305&amp;"a",IF(Table13[[#This Row],[CODE]]&gt;0,Table13[[#This Row],[CODE]],0))),"")</f>
        <v/>
      </c>
      <c r="E306" s="81" t="str">
        <f>IF(COPY!G304&gt;0,COPY!G304,"")</f>
        <v/>
      </c>
      <c r="F306" s="88" t="str">
        <f>IF(COPY!J304&gt;0,COPY!J304,"")</f>
        <v/>
      </c>
      <c r="G306" s="85" t="str">
        <f>IF(COPY!H304&gt;0,COPY!H304,"")</f>
        <v/>
      </c>
      <c r="H306" s="85" t="str">
        <f>IF(COPY!I304&gt;0,COPY!I304,"")</f>
        <v/>
      </c>
      <c r="I306" s="85" t="str">
        <f>IF(COPY!M304&gt;0,COPY!M304,"")</f>
        <v/>
      </c>
      <c r="J306" s="85" t="str">
        <f>IF(COPY!N304&gt;0,COPY!N304,"")</f>
        <v/>
      </c>
      <c r="K306" s="86" t="str">
        <f>IF(N306=0,(IF(LEFT(Table13[[#This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Row],[URAIAN]],$U$194:$V$210,2,FALSE),""),""),0))))),N306)</f>
        <v/>
      </c>
      <c r="L306" s="85" t="str">
        <f>IF(Table13[[#This Row],[Column2]]="KWITANSI",COUNTIF($K$4:K306,"KWITANSI")," ")</f>
        <v xml:space="preserve"> </v>
      </c>
      <c r="M306" s="85" t="str">
        <f>IF(Table13[[#This Row],[Column3]]=" "," ",Table13[[#This Row],[CODE]])</f>
        <v xml:space="preserve"> </v>
      </c>
      <c r="N306" s="368"/>
      <c r="P306" s="81" t="str">
        <f t="shared" si="4"/>
        <v/>
      </c>
    </row>
    <row r="307" spans="1:16" hidden="1" x14ac:dyDescent="0.15">
      <c r="A307" s="81" t="str">
        <f>COPY!O305</f>
        <v/>
      </c>
      <c r="B307" s="81" t="str">
        <f>COPY!C305</f>
        <v/>
      </c>
      <c r="C307" s="82" t="str">
        <f>COPY!D305</f>
        <v/>
      </c>
      <c r="D307" s="81" t="str">
        <f>IF(Table13[[#This Row],[JUMLAH]]&gt;1,(IF(Table13[[#This Row],[CODE]]=" ",D306&amp;"a",IF(Table13[[#This Row],[CODE]]&gt;0,Table13[[#This Row],[CODE]],0))),"")</f>
        <v/>
      </c>
      <c r="E307" s="81" t="str">
        <f>IF(COPY!G305&gt;0,COPY!G305,"")</f>
        <v/>
      </c>
      <c r="F307" s="88" t="str">
        <f>IF(COPY!J305&gt;0,COPY!J305,"")</f>
        <v/>
      </c>
      <c r="G307" s="85" t="str">
        <f>IF(COPY!H305&gt;0,COPY!H305,"")</f>
        <v/>
      </c>
      <c r="H307" s="85" t="str">
        <f>IF(COPY!I305&gt;0,COPY!I305,"")</f>
        <v/>
      </c>
      <c r="I307" s="85" t="str">
        <f>IF(COPY!M305&gt;0,COPY!M305,"")</f>
        <v/>
      </c>
      <c r="J307" s="85" t="str">
        <f>IF(COPY!N305&gt;0,COPY!N305,"")</f>
        <v/>
      </c>
      <c r="K307" s="86" t="str">
        <f>IF(N307=0,(IF(LEFT(Table13[[#This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Row],[URAIAN]],$U$194:$V$210,2,FALSE),""),""),0))))),N307)</f>
        <v/>
      </c>
      <c r="L307" s="85" t="str">
        <f>IF(Table13[[#This Row],[Column2]]="KWITANSI",COUNTIF($K$4:K307,"KWITANSI")," ")</f>
        <v xml:space="preserve"> </v>
      </c>
      <c r="M307" s="85" t="str">
        <f>IF(Table13[[#This Row],[Column3]]=" "," ",Table13[[#This Row],[CODE]])</f>
        <v xml:space="preserve"> </v>
      </c>
      <c r="N307" s="368"/>
      <c r="P307" s="81" t="str">
        <f t="shared" si="4"/>
        <v/>
      </c>
    </row>
    <row r="308" spans="1:16" hidden="1" x14ac:dyDescent="0.15">
      <c r="A308" s="81" t="str">
        <f>COPY!O306</f>
        <v/>
      </c>
      <c r="B308" s="81" t="str">
        <f>COPY!C306</f>
        <v/>
      </c>
      <c r="C308" s="82" t="str">
        <f>COPY!D306</f>
        <v/>
      </c>
      <c r="D308" s="81" t="str">
        <f>IF(Table13[[#This Row],[JUMLAH]]&gt;1,(IF(Table13[[#This Row],[CODE]]=" ",D307&amp;"a",IF(Table13[[#This Row],[CODE]]&gt;0,Table13[[#This Row],[CODE]],0))),"")</f>
        <v/>
      </c>
      <c r="E308" s="81" t="str">
        <f>IF(COPY!G306&gt;0,COPY!G306,"")</f>
        <v/>
      </c>
      <c r="F308" s="88" t="str">
        <f>IF(COPY!J306&gt;0,COPY!J306,"")</f>
        <v/>
      </c>
      <c r="G308" s="85" t="str">
        <f>IF(COPY!H306&gt;0,COPY!H306,"")</f>
        <v/>
      </c>
      <c r="H308" s="85" t="str">
        <f>IF(COPY!I306&gt;0,COPY!I306,"")</f>
        <v/>
      </c>
      <c r="I308" s="85" t="str">
        <f>IF(COPY!M306&gt;0,COPY!M306,"")</f>
        <v/>
      </c>
      <c r="J308" s="85" t="str">
        <f>IF(COPY!N306&gt;0,COPY!N306,"")</f>
        <v/>
      </c>
      <c r="K308" s="86" t="str">
        <f>IF(N308=0,(IF(LEFT(Table13[[#This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Row],[URAIAN]],$U$194:$V$210,2,FALSE),""),""),0))))),N308)</f>
        <v/>
      </c>
      <c r="L308" s="85" t="str">
        <f>IF(Table13[[#This Row],[Column2]]="KWITANSI",COUNTIF($K$4:K308,"KWITANSI")," ")</f>
        <v xml:space="preserve"> </v>
      </c>
      <c r="M308" s="85" t="str">
        <f>IF(Table13[[#This Row],[Column3]]=" "," ",Table13[[#This Row],[CODE]])</f>
        <v xml:space="preserve"> </v>
      </c>
      <c r="N308" s="368"/>
      <c r="P308" s="81" t="str">
        <f t="shared" si="4"/>
        <v/>
      </c>
    </row>
    <row r="309" spans="1:16" hidden="1" x14ac:dyDescent="0.15">
      <c r="A309" s="81" t="str">
        <f>COPY!O307</f>
        <v/>
      </c>
      <c r="B309" s="81" t="str">
        <f>COPY!C307</f>
        <v/>
      </c>
      <c r="C309" s="82" t="str">
        <f>COPY!D307</f>
        <v/>
      </c>
      <c r="D309" s="81" t="str">
        <f>IF(Table13[[#This Row],[JUMLAH]]&gt;1,(IF(Table13[[#This Row],[CODE]]=" ",D308&amp;"a",IF(Table13[[#This Row],[CODE]]&gt;0,Table13[[#This Row],[CODE]],0))),"")</f>
        <v/>
      </c>
      <c r="E309" s="81" t="str">
        <f>IF(COPY!G307&gt;0,COPY!G307,"")</f>
        <v/>
      </c>
      <c r="F309" s="88" t="str">
        <f>IF(COPY!J307&gt;0,COPY!J307,"")</f>
        <v/>
      </c>
      <c r="G309" s="85" t="str">
        <f>IF(COPY!H307&gt;0,COPY!H307,"")</f>
        <v/>
      </c>
      <c r="H309" s="85" t="str">
        <f>IF(COPY!I307&gt;0,COPY!I307,"")</f>
        <v/>
      </c>
      <c r="I309" s="85" t="str">
        <f>IF(COPY!M307&gt;0,COPY!M307,"")</f>
        <v/>
      </c>
      <c r="J309" s="85" t="str">
        <f>IF(COPY!N307&gt;0,COPY!N307,"")</f>
        <v/>
      </c>
      <c r="K309" s="86" t="str">
        <f>IF(N309=0,(IF(LEFT(Table13[[#This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Row],[URAIAN]],$U$194:$V$210,2,FALSE),""),""),0))))),N309)</f>
        <v/>
      </c>
      <c r="L309" s="85" t="str">
        <f>IF(Table13[[#This Row],[Column2]]="KWITANSI",COUNTIF($K$4:K309,"KWITANSI")," ")</f>
        <v xml:space="preserve"> </v>
      </c>
      <c r="M309" s="85" t="str">
        <f>IF(Table13[[#This Row],[Column3]]=" "," ",Table13[[#This Row],[CODE]])</f>
        <v xml:space="preserve"> </v>
      </c>
      <c r="N309" s="368"/>
      <c r="P309" s="81" t="str">
        <f t="shared" si="4"/>
        <v/>
      </c>
    </row>
    <row r="310" spans="1:16" hidden="1" x14ac:dyDescent="0.15">
      <c r="A310" s="81" t="str">
        <f>COPY!O308</f>
        <v/>
      </c>
      <c r="B310" s="81" t="str">
        <f>COPY!C308</f>
        <v/>
      </c>
      <c r="C310" s="82" t="str">
        <f>COPY!D308</f>
        <v/>
      </c>
      <c r="D310" s="81" t="str">
        <f>IF(Table13[[#This Row],[JUMLAH]]&gt;1,(IF(Table13[[#This Row],[CODE]]=" ",D309&amp;"a",IF(Table13[[#This Row],[CODE]]&gt;0,Table13[[#This Row],[CODE]],0))),"")</f>
        <v/>
      </c>
      <c r="E310" s="81" t="str">
        <f>IF(COPY!G308&gt;0,COPY!G308,"")</f>
        <v/>
      </c>
      <c r="F310" s="88" t="str">
        <f>IF(COPY!J308&gt;0,COPY!J308,"")</f>
        <v/>
      </c>
      <c r="G310" s="85" t="str">
        <f>IF(COPY!H308&gt;0,COPY!H308,"")</f>
        <v/>
      </c>
      <c r="H310" s="85" t="str">
        <f>IF(COPY!I308&gt;0,COPY!I308,"")</f>
        <v/>
      </c>
      <c r="I310" s="85" t="str">
        <f>IF(COPY!M308&gt;0,COPY!M308,"")</f>
        <v/>
      </c>
      <c r="J310" s="85" t="str">
        <f>IF(COPY!N308&gt;0,COPY!N308,"")</f>
        <v/>
      </c>
      <c r="K310" s="86" t="str">
        <f>IF(N310=0,(IF(LEFT(Table13[[#This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Row],[URAIAN]],$U$194:$V$210,2,FALSE),""),""),0))))),N310)</f>
        <v/>
      </c>
      <c r="L310" s="85" t="str">
        <f>IF(Table13[[#This Row],[Column2]]="KWITANSI",COUNTIF($K$4:K310,"KWITANSI")," ")</f>
        <v xml:space="preserve"> </v>
      </c>
      <c r="M310" s="85" t="str">
        <f>IF(Table13[[#This Row],[Column3]]=" "," ",Table13[[#This Row],[CODE]])</f>
        <v xml:space="preserve"> </v>
      </c>
      <c r="N310" s="368"/>
      <c r="P310" s="81" t="str">
        <f t="shared" si="4"/>
        <v/>
      </c>
    </row>
    <row r="311" spans="1:16" hidden="1" x14ac:dyDescent="0.15">
      <c r="A311" s="81" t="str">
        <f>COPY!O309</f>
        <v/>
      </c>
      <c r="B311" s="81" t="str">
        <f>COPY!C309</f>
        <v/>
      </c>
      <c r="C311" s="82" t="str">
        <f>COPY!D309</f>
        <v/>
      </c>
      <c r="D311" s="81" t="str">
        <f>IF(Table13[[#This Row],[JUMLAH]]&gt;1,(IF(Table13[[#This Row],[CODE]]=" ",D310&amp;"a",IF(Table13[[#This Row],[CODE]]&gt;0,Table13[[#This Row],[CODE]],0))),"")</f>
        <v/>
      </c>
      <c r="E311" s="81" t="str">
        <f>IF(COPY!G309&gt;0,COPY!G309,"")</f>
        <v/>
      </c>
      <c r="F311" s="88" t="str">
        <f>IF(COPY!J309&gt;0,COPY!J309,"")</f>
        <v/>
      </c>
      <c r="G311" s="85" t="str">
        <f>IF(COPY!H309&gt;0,COPY!H309,"")</f>
        <v/>
      </c>
      <c r="H311" s="85" t="str">
        <f>IF(COPY!I309&gt;0,COPY!I309,"")</f>
        <v/>
      </c>
      <c r="I311" s="85" t="str">
        <f>IF(COPY!M309&gt;0,COPY!M309,"")</f>
        <v/>
      </c>
      <c r="J311" s="85" t="str">
        <f>IF(COPY!N309&gt;0,COPY!N309,"")</f>
        <v/>
      </c>
      <c r="K311" s="86" t="str">
        <f>IF(N311=0,(IF(LEFT(Table13[[#This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Row],[URAIAN]],$U$194:$V$210,2,FALSE),""),""),0))))),N311)</f>
        <v/>
      </c>
      <c r="L311" s="85" t="str">
        <f>IF(Table13[[#This Row],[Column2]]="KWITANSI",COUNTIF($K$4:K311,"KWITANSI")," ")</f>
        <v xml:space="preserve"> </v>
      </c>
      <c r="M311" s="85" t="str">
        <f>IF(Table13[[#This Row],[Column3]]=" "," ",Table13[[#This Row],[CODE]])</f>
        <v xml:space="preserve"> </v>
      </c>
      <c r="N311" s="368"/>
      <c r="P311" s="81" t="str">
        <f t="shared" si="4"/>
        <v/>
      </c>
    </row>
    <row r="312" spans="1:16" hidden="1" x14ac:dyDescent="0.15">
      <c r="A312" s="81" t="str">
        <f>COPY!O310</f>
        <v/>
      </c>
      <c r="B312" s="81" t="str">
        <f>COPY!C310</f>
        <v/>
      </c>
      <c r="C312" s="82" t="str">
        <f>COPY!D310</f>
        <v/>
      </c>
      <c r="D312" s="81" t="str">
        <f>IF(Table13[[#This Row],[JUMLAH]]&gt;1,(IF(Table13[[#This Row],[CODE]]=" ",D311&amp;"a",IF(Table13[[#This Row],[CODE]]&gt;0,Table13[[#This Row],[CODE]],0))),"")</f>
        <v/>
      </c>
      <c r="E312" s="81" t="str">
        <f>IF(COPY!G310&gt;0,COPY!G310,"")</f>
        <v/>
      </c>
      <c r="F312" s="88" t="str">
        <f>IF(COPY!J310&gt;0,COPY!J310,"")</f>
        <v/>
      </c>
      <c r="G312" s="85" t="str">
        <f>IF(COPY!H310&gt;0,COPY!H310,"")</f>
        <v/>
      </c>
      <c r="H312" s="85" t="str">
        <f>IF(COPY!I310&gt;0,COPY!I310,"")</f>
        <v/>
      </c>
      <c r="I312" s="85" t="str">
        <f>IF(COPY!M310&gt;0,COPY!M310,"")</f>
        <v/>
      </c>
      <c r="J312" s="85" t="str">
        <f>IF(COPY!N310&gt;0,COPY!N310,"")</f>
        <v/>
      </c>
      <c r="K312" s="86" t="str">
        <f>IF(N312=0,(IF(LEFT(Table13[[#This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Row],[URAIAN]],$U$194:$V$210,2,FALSE),""),""),0))))),N312)</f>
        <v/>
      </c>
      <c r="L312" s="85" t="str">
        <f>IF(Table13[[#This Row],[Column2]]="KWITANSI",COUNTIF($K$4:K312,"KWITANSI")," ")</f>
        <v xml:space="preserve"> </v>
      </c>
      <c r="M312" s="85" t="str">
        <f>IF(Table13[[#This Row],[Column3]]=" "," ",Table13[[#This Row],[CODE]])</f>
        <v xml:space="preserve"> </v>
      </c>
      <c r="N312" s="368"/>
      <c r="P312" s="81" t="str">
        <f t="shared" si="4"/>
        <v/>
      </c>
    </row>
    <row r="313" spans="1:16" hidden="1" x14ac:dyDescent="0.15">
      <c r="A313" s="81" t="str">
        <f>COPY!O311</f>
        <v/>
      </c>
      <c r="B313" s="81" t="str">
        <f>COPY!C311</f>
        <v/>
      </c>
      <c r="C313" s="82" t="str">
        <f>COPY!D311</f>
        <v/>
      </c>
      <c r="D313" s="81" t="str">
        <f>IF(Table13[[#This Row],[JUMLAH]]&gt;1,(IF(Table13[[#This Row],[CODE]]=" ",D312&amp;"a",IF(Table13[[#This Row],[CODE]]&gt;0,Table13[[#This Row],[CODE]],0))),"")</f>
        <v/>
      </c>
      <c r="E313" s="81" t="str">
        <f>IF(COPY!G311&gt;0,COPY!G311,"")</f>
        <v/>
      </c>
      <c r="F313" s="88" t="str">
        <f>IF(COPY!J311&gt;0,COPY!J311,"")</f>
        <v/>
      </c>
      <c r="G313" s="85" t="str">
        <f>IF(COPY!H311&gt;0,COPY!H311,"")</f>
        <v/>
      </c>
      <c r="H313" s="85" t="str">
        <f>IF(COPY!I311&gt;0,COPY!I311,"")</f>
        <v/>
      </c>
      <c r="I313" s="85" t="str">
        <f>IF(COPY!M311&gt;0,COPY!M311,"")</f>
        <v/>
      </c>
      <c r="J313" s="85" t="str">
        <f>IF(COPY!N311&gt;0,COPY!N311,"")</f>
        <v/>
      </c>
      <c r="K313" s="86" t="str">
        <f>IF(N313=0,(IF(LEFT(Table13[[#This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Row],[URAIAN]],$U$194:$V$210,2,FALSE),""),""),0))))),N313)</f>
        <v/>
      </c>
      <c r="L313" s="85" t="str">
        <f>IF(Table13[[#This Row],[Column2]]="KWITANSI",COUNTIF($K$4:K313,"KWITANSI")," ")</f>
        <v xml:space="preserve"> </v>
      </c>
      <c r="M313" s="85" t="str">
        <f>IF(Table13[[#This Row],[Column3]]=" "," ",Table13[[#This Row],[CODE]])</f>
        <v xml:space="preserve"> </v>
      </c>
      <c r="N313" s="368"/>
      <c r="P313" s="81" t="str">
        <f t="shared" si="4"/>
        <v/>
      </c>
    </row>
    <row r="314" spans="1:16" hidden="1" x14ac:dyDescent="0.15">
      <c r="A314" s="81" t="str">
        <f>COPY!O312</f>
        <v/>
      </c>
      <c r="B314" s="81" t="str">
        <f>COPY!C312</f>
        <v/>
      </c>
      <c r="C314" s="82" t="str">
        <f>COPY!D312</f>
        <v/>
      </c>
      <c r="D314" s="81" t="str">
        <f>IF(Table13[[#This Row],[JUMLAH]]&gt;1,(IF(Table13[[#This Row],[CODE]]=" ",D313&amp;"a",IF(Table13[[#This Row],[CODE]]&gt;0,Table13[[#This Row],[CODE]],0))),"")</f>
        <v/>
      </c>
      <c r="E314" s="81" t="str">
        <f>IF(COPY!G312&gt;0,COPY!G312,"")</f>
        <v/>
      </c>
      <c r="F314" s="88" t="str">
        <f>IF(COPY!J312&gt;0,COPY!J312,"")</f>
        <v/>
      </c>
      <c r="G314" s="85" t="str">
        <f>IF(COPY!H312&gt;0,COPY!H312,"")</f>
        <v/>
      </c>
      <c r="H314" s="85" t="str">
        <f>IF(COPY!I312&gt;0,COPY!I312,"")</f>
        <v/>
      </c>
      <c r="I314" s="85" t="str">
        <f>IF(COPY!M312&gt;0,COPY!M312,"")</f>
        <v/>
      </c>
      <c r="J314" s="85" t="str">
        <f>IF(COPY!N312&gt;0,COPY!N312,"")</f>
        <v/>
      </c>
      <c r="K314" s="86" t="str">
        <f>IF(N314=0,(IF(LEFT(Table13[[#This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Row],[URAIAN]],$U$194:$V$210,2,FALSE),""),""),0))))),N314)</f>
        <v/>
      </c>
      <c r="L314" s="85" t="str">
        <f>IF(Table13[[#This Row],[Column2]]="KWITANSI",COUNTIF($K$4:K314,"KWITANSI")," ")</f>
        <v xml:space="preserve"> </v>
      </c>
      <c r="M314" s="85" t="str">
        <f>IF(Table13[[#This Row],[Column3]]=" "," ",Table13[[#This Row],[CODE]])</f>
        <v xml:space="preserve"> </v>
      </c>
      <c r="N314" s="368"/>
      <c r="P314" s="81" t="str">
        <f t="shared" si="4"/>
        <v/>
      </c>
    </row>
    <row r="315" spans="1:16" hidden="1" x14ac:dyDescent="0.15">
      <c r="A315" s="81" t="str">
        <f>COPY!O313</f>
        <v/>
      </c>
      <c r="B315" s="81" t="str">
        <f>COPY!C313</f>
        <v/>
      </c>
      <c r="C315" s="82" t="str">
        <f>COPY!D313</f>
        <v/>
      </c>
      <c r="D315" s="81" t="str">
        <f>IF(Table13[[#This Row],[JUMLAH]]&gt;1,(IF(Table13[[#This Row],[CODE]]=" ",D314&amp;"a",IF(Table13[[#This Row],[CODE]]&gt;0,Table13[[#This Row],[CODE]],0))),"")</f>
        <v/>
      </c>
      <c r="E315" s="81" t="str">
        <f>IF(COPY!G313&gt;0,COPY!G313,"")</f>
        <v/>
      </c>
      <c r="F315" s="88" t="str">
        <f>IF(COPY!J313&gt;0,COPY!J313,"")</f>
        <v/>
      </c>
      <c r="G315" s="85" t="str">
        <f>IF(COPY!H313&gt;0,COPY!H313,"")</f>
        <v/>
      </c>
      <c r="H315" s="85" t="str">
        <f>IF(COPY!I313&gt;0,COPY!I313,"")</f>
        <v/>
      </c>
      <c r="I315" s="85" t="str">
        <f>IF(COPY!M313&gt;0,COPY!M313,"")</f>
        <v/>
      </c>
      <c r="J315" s="85" t="str">
        <f>IF(COPY!N313&gt;0,COPY!N313,"")</f>
        <v/>
      </c>
      <c r="K315" s="86" t="str">
        <f>IF(N315=0,(IF(LEFT(Table13[[#This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Row],[URAIAN]],$U$194:$V$210,2,FALSE),""),""),0))))),N315)</f>
        <v/>
      </c>
      <c r="L315" s="85" t="str">
        <f>IF(Table13[[#This Row],[Column2]]="KWITANSI",COUNTIF($K$4:K315,"KWITANSI")," ")</f>
        <v xml:space="preserve"> </v>
      </c>
      <c r="M315" s="85" t="str">
        <f>IF(Table13[[#This Row],[Column3]]=" "," ",Table13[[#This Row],[CODE]])</f>
        <v xml:space="preserve"> </v>
      </c>
      <c r="N315" s="368"/>
      <c r="P315" s="81" t="str">
        <f t="shared" si="4"/>
        <v/>
      </c>
    </row>
    <row r="316" spans="1:16" hidden="1" x14ac:dyDescent="0.15">
      <c r="A316" s="81" t="str">
        <f>COPY!O314</f>
        <v/>
      </c>
      <c r="B316" s="81" t="str">
        <f>COPY!C314</f>
        <v/>
      </c>
      <c r="C316" s="82" t="str">
        <f>COPY!D314</f>
        <v/>
      </c>
      <c r="D316" s="81" t="str">
        <f>IF(Table13[[#This Row],[JUMLAH]]&gt;1,(IF(Table13[[#This Row],[CODE]]=" ",D315&amp;"a",IF(Table13[[#This Row],[CODE]]&gt;0,Table13[[#This Row],[CODE]],0))),"")</f>
        <v/>
      </c>
      <c r="E316" s="81" t="str">
        <f>IF(COPY!G314&gt;0,COPY!G314,"")</f>
        <v/>
      </c>
      <c r="F316" s="88" t="str">
        <f>IF(COPY!J314&gt;0,COPY!J314,"")</f>
        <v/>
      </c>
      <c r="G316" s="85" t="str">
        <f>IF(COPY!H314&gt;0,COPY!H314,"")</f>
        <v/>
      </c>
      <c r="H316" s="85" t="str">
        <f>IF(COPY!I314&gt;0,COPY!I314,"")</f>
        <v/>
      </c>
      <c r="I316" s="85" t="str">
        <f>IF(COPY!M314&gt;0,COPY!M314,"")</f>
        <v/>
      </c>
      <c r="J316" s="85" t="str">
        <f>IF(COPY!N314&gt;0,COPY!N314,"")</f>
        <v/>
      </c>
      <c r="K316" s="86" t="str">
        <f>IF(N316=0,(IF(LEFT(Table13[[#This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Row],[URAIAN]],$U$194:$V$210,2,FALSE),""),""),0))))),N316)</f>
        <v/>
      </c>
      <c r="L316" s="85" t="str">
        <f>IF(Table13[[#This Row],[Column2]]="KWITANSI",COUNTIF($K$4:K316,"KWITANSI")," ")</f>
        <v xml:space="preserve"> </v>
      </c>
      <c r="M316" s="85" t="str">
        <f>IF(Table13[[#This Row],[Column3]]=" "," ",Table13[[#This Row],[CODE]])</f>
        <v xml:space="preserve"> </v>
      </c>
      <c r="N316" s="368"/>
      <c r="P316" s="81" t="str">
        <f t="shared" si="4"/>
        <v/>
      </c>
    </row>
    <row r="317" spans="1:16" hidden="1" x14ac:dyDescent="0.15">
      <c r="A317" s="81" t="str">
        <f>COPY!O315</f>
        <v/>
      </c>
      <c r="B317" s="81" t="str">
        <f>COPY!C315</f>
        <v/>
      </c>
      <c r="C317" s="82" t="str">
        <f>COPY!D315</f>
        <v/>
      </c>
      <c r="D317" s="81" t="str">
        <f>IF(Table13[[#This Row],[JUMLAH]]&gt;1,(IF(Table13[[#This Row],[CODE]]=" ",D316&amp;"a",IF(Table13[[#This Row],[CODE]]&gt;0,Table13[[#This Row],[CODE]],0))),"")</f>
        <v/>
      </c>
      <c r="E317" s="81" t="str">
        <f>IF(COPY!G315&gt;0,COPY!G315,"")</f>
        <v/>
      </c>
      <c r="F317" s="88" t="str">
        <f>IF(COPY!J315&gt;0,COPY!J315,"")</f>
        <v/>
      </c>
      <c r="G317" s="85" t="str">
        <f>IF(COPY!H315&gt;0,COPY!H315,"")</f>
        <v/>
      </c>
      <c r="H317" s="85" t="str">
        <f>IF(COPY!I315&gt;0,COPY!I315,"")</f>
        <v/>
      </c>
      <c r="I317" s="85" t="str">
        <f>IF(COPY!M315&gt;0,COPY!M315,"")</f>
        <v/>
      </c>
      <c r="J317" s="85" t="str">
        <f>IF(COPY!N315&gt;0,COPY!N315,"")</f>
        <v/>
      </c>
      <c r="K317" s="86" t="str">
        <f>IF(N317=0,(IF(LEFT(Table13[[#This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Row],[URAIAN]],$U$194:$V$210,2,FALSE),""),""),0))))),N317)</f>
        <v/>
      </c>
      <c r="L317" s="85" t="str">
        <f>IF(Table13[[#This Row],[Column2]]="KWITANSI",COUNTIF($K$4:K317,"KWITANSI")," ")</f>
        <v xml:space="preserve"> </v>
      </c>
      <c r="M317" s="85" t="str">
        <f>IF(Table13[[#This Row],[Column3]]=" "," ",Table13[[#This Row],[CODE]])</f>
        <v xml:space="preserve"> </v>
      </c>
      <c r="N317" s="368"/>
      <c r="P317" s="81" t="str">
        <f t="shared" si="4"/>
        <v/>
      </c>
    </row>
    <row r="318" spans="1:16" hidden="1" x14ac:dyDescent="0.15">
      <c r="A318" s="81" t="str">
        <f>COPY!O316</f>
        <v/>
      </c>
      <c r="B318" s="81" t="str">
        <f>COPY!C316</f>
        <v/>
      </c>
      <c r="C318" s="82" t="str">
        <f>COPY!D316</f>
        <v/>
      </c>
      <c r="D318" s="81" t="str">
        <f>IF(Table13[[#This Row],[JUMLAH]]&gt;1,(IF(Table13[[#This Row],[CODE]]=" ",D317&amp;"a",IF(Table13[[#This Row],[CODE]]&gt;0,Table13[[#This Row],[CODE]],0))),"")</f>
        <v/>
      </c>
      <c r="E318" s="81" t="str">
        <f>IF(COPY!G316&gt;0,COPY!G316,"")</f>
        <v/>
      </c>
      <c r="F318" s="88" t="str">
        <f>IF(COPY!J316&gt;0,COPY!J316,"")</f>
        <v/>
      </c>
      <c r="G318" s="85" t="str">
        <f>IF(COPY!H316&gt;0,COPY!H316,"")</f>
        <v/>
      </c>
      <c r="H318" s="85" t="str">
        <f>IF(COPY!I316&gt;0,COPY!I316,"")</f>
        <v/>
      </c>
      <c r="I318" s="85" t="str">
        <f>IF(COPY!M316&gt;0,COPY!M316,"")</f>
        <v/>
      </c>
      <c r="J318" s="85" t="str">
        <f>IF(COPY!N316&gt;0,COPY!N316,"")</f>
        <v/>
      </c>
      <c r="K318" s="86" t="str">
        <f>IF(N318=0,(IF(LEFT(Table13[[#This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Row],[URAIAN]],$U$194:$V$210,2,FALSE),""),""),0))))),N318)</f>
        <v/>
      </c>
      <c r="L318" s="85" t="str">
        <f>IF(Table13[[#This Row],[Column2]]="KWITANSI",COUNTIF($K$4:K318,"KWITANSI")," ")</f>
        <v xml:space="preserve"> </v>
      </c>
      <c r="M318" s="85" t="str">
        <f>IF(Table13[[#This Row],[Column3]]=" "," ",Table13[[#This Row],[CODE]])</f>
        <v xml:space="preserve"> </v>
      </c>
      <c r="N318" s="368"/>
      <c r="P318" s="81" t="str">
        <f t="shared" si="4"/>
        <v/>
      </c>
    </row>
    <row r="319" spans="1:16" hidden="1" x14ac:dyDescent="0.15">
      <c r="A319" s="81" t="str">
        <f>COPY!O317</f>
        <v/>
      </c>
      <c r="B319" s="81" t="str">
        <f>COPY!C317</f>
        <v/>
      </c>
      <c r="C319" s="82" t="str">
        <f>COPY!D317</f>
        <v/>
      </c>
      <c r="D319" s="81" t="str">
        <f>IF(Table13[[#This Row],[JUMLAH]]&gt;1,(IF(Table13[[#This Row],[CODE]]=" ",D318&amp;"a",IF(Table13[[#This Row],[CODE]]&gt;0,Table13[[#This Row],[CODE]],0))),"")</f>
        <v/>
      </c>
      <c r="E319" s="81" t="str">
        <f>IF(COPY!G317&gt;0,COPY!G317,"")</f>
        <v/>
      </c>
      <c r="F319" s="88" t="str">
        <f>IF(COPY!J317&gt;0,COPY!J317,"")</f>
        <v/>
      </c>
      <c r="G319" s="85" t="str">
        <f>IF(COPY!H317&gt;0,COPY!H317,"")</f>
        <v/>
      </c>
      <c r="H319" s="85" t="str">
        <f>IF(COPY!I317&gt;0,COPY!I317,"")</f>
        <v/>
      </c>
      <c r="I319" s="85" t="str">
        <f>IF(COPY!M317&gt;0,COPY!M317,"")</f>
        <v/>
      </c>
      <c r="J319" s="85" t="str">
        <f>IF(COPY!N317&gt;0,COPY!N317,"")</f>
        <v/>
      </c>
      <c r="K319" s="86" t="str">
        <f>IF(N319=0,(IF(LEFT(Table13[[#This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Row],[URAIAN]],$U$194:$V$210,2,FALSE),""),""),0))))),N319)</f>
        <v/>
      </c>
      <c r="L319" s="85" t="str">
        <f>IF(Table13[[#This Row],[Column2]]="KWITANSI",COUNTIF($K$4:K319,"KWITANSI")," ")</f>
        <v xml:space="preserve"> </v>
      </c>
      <c r="M319" s="85" t="str">
        <f>IF(Table13[[#This Row],[Column3]]=" "," ",Table13[[#This Row],[CODE]])</f>
        <v xml:space="preserve"> </v>
      </c>
      <c r="N319" s="368"/>
      <c r="P319" s="81" t="str">
        <f t="shared" si="4"/>
        <v/>
      </c>
    </row>
    <row r="320" spans="1:16" hidden="1" x14ac:dyDescent="0.15">
      <c r="A320" s="81" t="str">
        <f>COPY!O318</f>
        <v/>
      </c>
      <c r="B320" s="81" t="str">
        <f>COPY!C318</f>
        <v/>
      </c>
      <c r="C320" s="82" t="str">
        <f>COPY!D318</f>
        <v/>
      </c>
      <c r="D320" s="81" t="str">
        <f>IF(Table13[[#This Row],[JUMLAH]]&gt;1,(IF(Table13[[#This Row],[CODE]]=" ",D319&amp;"a",IF(Table13[[#This Row],[CODE]]&gt;0,Table13[[#This Row],[CODE]],0))),"")</f>
        <v/>
      </c>
      <c r="E320" s="81" t="str">
        <f>IF(COPY!G318&gt;0,COPY!G318,"")</f>
        <v/>
      </c>
      <c r="F320" s="88" t="str">
        <f>IF(COPY!J318&gt;0,COPY!J318,"")</f>
        <v/>
      </c>
      <c r="G320" s="85" t="str">
        <f>IF(COPY!H318&gt;0,COPY!H318,"")</f>
        <v/>
      </c>
      <c r="H320" s="85" t="str">
        <f>IF(COPY!I318&gt;0,COPY!I318,"")</f>
        <v/>
      </c>
      <c r="I320" s="85" t="str">
        <f>IF(COPY!M318&gt;0,COPY!M318,"")</f>
        <v/>
      </c>
      <c r="J320" s="85" t="str">
        <f>IF(COPY!N318&gt;0,COPY!N318,"")</f>
        <v/>
      </c>
      <c r="K320" s="86" t="str">
        <f>IF(N320=0,(IF(LEFT(Table13[[#This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Row],[URAIAN]],$U$194:$V$210,2,FALSE),""),""),0))))),N320)</f>
        <v/>
      </c>
      <c r="L320" s="85" t="str">
        <f>IF(Table13[[#This Row],[Column2]]="KWITANSI",COUNTIF($K$4:K320,"KWITANSI")," ")</f>
        <v xml:space="preserve"> </v>
      </c>
      <c r="M320" s="85" t="str">
        <f>IF(Table13[[#This Row],[Column3]]=" "," ",Table13[[#This Row],[CODE]])</f>
        <v xml:space="preserve"> </v>
      </c>
      <c r="N320" s="368"/>
      <c r="P320" s="81" t="str">
        <f t="shared" si="4"/>
        <v/>
      </c>
    </row>
    <row r="321" spans="1:16" hidden="1" x14ac:dyDescent="0.15">
      <c r="A321" s="81" t="str">
        <f>COPY!O319</f>
        <v/>
      </c>
      <c r="B321" s="81" t="str">
        <f>COPY!C319</f>
        <v/>
      </c>
      <c r="C321" s="82" t="str">
        <f>COPY!D319</f>
        <v/>
      </c>
      <c r="D321" s="81" t="str">
        <f>IF(Table13[[#This Row],[JUMLAH]]&gt;1,(IF(Table13[[#This Row],[CODE]]=" ",D320&amp;"a",IF(Table13[[#This Row],[CODE]]&gt;0,Table13[[#This Row],[CODE]],0))),"")</f>
        <v/>
      </c>
      <c r="E321" s="81" t="str">
        <f>IF(COPY!G319&gt;0,COPY!G319,"")</f>
        <v/>
      </c>
      <c r="F321" s="88" t="str">
        <f>IF(COPY!J319&gt;0,COPY!J319,"")</f>
        <v/>
      </c>
      <c r="G321" s="85" t="str">
        <f>IF(COPY!H319&gt;0,COPY!H319,"")</f>
        <v/>
      </c>
      <c r="H321" s="85" t="str">
        <f>IF(COPY!I319&gt;0,COPY!I319,"")</f>
        <v/>
      </c>
      <c r="I321" s="85" t="str">
        <f>IF(COPY!M319&gt;0,COPY!M319,"")</f>
        <v/>
      </c>
      <c r="J321" s="85" t="str">
        <f>IF(COPY!N319&gt;0,COPY!N319,"")</f>
        <v/>
      </c>
      <c r="K321" s="86" t="str">
        <f>IF(N321=0,(IF(LEFT(Table13[[#This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Row],[URAIAN]],$U$194:$V$210,2,FALSE),""),""),0))))),N321)</f>
        <v/>
      </c>
      <c r="L321" s="85" t="str">
        <f>IF(Table13[[#This Row],[Column2]]="KWITANSI",COUNTIF($K$4:K321,"KWITANSI")," ")</f>
        <v xml:space="preserve"> </v>
      </c>
      <c r="M321" s="85" t="str">
        <f>IF(Table13[[#This Row],[Column3]]=" "," ",Table13[[#This Row],[CODE]])</f>
        <v xml:space="preserve"> </v>
      </c>
      <c r="N321" s="368"/>
      <c r="P321" s="81" t="str">
        <f t="shared" si="4"/>
        <v/>
      </c>
    </row>
    <row r="322" spans="1:16" hidden="1" x14ac:dyDescent="0.15">
      <c r="A322" s="81" t="str">
        <f>COPY!O320</f>
        <v/>
      </c>
      <c r="B322" s="81" t="str">
        <f>COPY!C320</f>
        <v/>
      </c>
      <c r="C322" s="82" t="str">
        <f>COPY!D320</f>
        <v/>
      </c>
      <c r="D322" s="81" t="str">
        <f>IF(Table13[[#This Row],[JUMLAH]]&gt;1,(IF(Table13[[#This Row],[CODE]]=" ",D321&amp;"a",IF(Table13[[#This Row],[CODE]]&gt;0,Table13[[#This Row],[CODE]],0))),"")</f>
        <v/>
      </c>
      <c r="E322" s="81" t="str">
        <f>IF(COPY!G320&gt;0,COPY!G320,"")</f>
        <v/>
      </c>
      <c r="F322" s="88" t="str">
        <f>IF(COPY!J320&gt;0,COPY!J320,"")</f>
        <v/>
      </c>
      <c r="G322" s="85" t="str">
        <f>IF(COPY!H320&gt;0,COPY!H320,"")</f>
        <v/>
      </c>
      <c r="H322" s="85" t="str">
        <f>IF(COPY!I320&gt;0,COPY!I320,"")</f>
        <v/>
      </c>
      <c r="I322" s="85" t="str">
        <f>IF(COPY!M320&gt;0,COPY!M320,"")</f>
        <v/>
      </c>
      <c r="J322" s="85" t="str">
        <f>IF(COPY!N320&gt;0,COPY!N320,"")</f>
        <v/>
      </c>
      <c r="K322" s="86" t="str">
        <f>IF(N322=0,(IF(LEFT(Table13[[#This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Row],[URAIAN]],$U$194:$V$210,2,FALSE),""),""),0))))),N322)</f>
        <v/>
      </c>
      <c r="L322" s="85" t="str">
        <f>IF(Table13[[#This Row],[Column2]]="KWITANSI",COUNTIF($K$4:K322,"KWITANSI")," ")</f>
        <v xml:space="preserve"> </v>
      </c>
      <c r="M322" s="85" t="str">
        <f>IF(Table13[[#This Row],[Column3]]=" "," ",Table13[[#This Row],[CODE]])</f>
        <v xml:space="preserve"> </v>
      </c>
      <c r="N322" s="368"/>
      <c r="P322" s="81" t="str">
        <f t="shared" ref="P322:P385" si="5">IF(-$O$4+($O$4+ROW())&lt;=$O$4,-$O$4+($O$4+ROW()),"")</f>
        <v/>
      </c>
    </row>
    <row r="323" spans="1:16" hidden="1" x14ac:dyDescent="0.15">
      <c r="A323" s="81" t="str">
        <f>COPY!O321</f>
        <v/>
      </c>
      <c r="B323" s="81" t="str">
        <f>COPY!C321</f>
        <v/>
      </c>
      <c r="C323" s="82" t="str">
        <f>COPY!D321</f>
        <v/>
      </c>
      <c r="D323" s="81" t="str">
        <f>IF(Table13[[#This Row],[JUMLAH]]&gt;1,(IF(Table13[[#This Row],[CODE]]=" ",D322&amp;"a",IF(Table13[[#This Row],[CODE]]&gt;0,Table13[[#This Row],[CODE]],0))),"")</f>
        <v/>
      </c>
      <c r="E323" s="81" t="str">
        <f>IF(COPY!G321&gt;0,COPY!G321,"")</f>
        <v/>
      </c>
      <c r="F323" s="88" t="str">
        <f>IF(COPY!J321&gt;0,COPY!J321,"")</f>
        <v/>
      </c>
      <c r="G323" s="85" t="str">
        <f>IF(COPY!H321&gt;0,COPY!H321,"")</f>
        <v/>
      </c>
      <c r="H323" s="85" t="str">
        <f>IF(COPY!I321&gt;0,COPY!I321,"")</f>
        <v/>
      </c>
      <c r="I323" s="85" t="str">
        <f>IF(COPY!M321&gt;0,COPY!M321,"")</f>
        <v/>
      </c>
      <c r="J323" s="85" t="str">
        <f>IF(COPY!N321&gt;0,COPY!N321,"")</f>
        <v/>
      </c>
      <c r="K323" s="86" t="str">
        <f>IF(N323=0,(IF(LEFT(Table13[[#This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Row],[URAIAN]],$U$194:$V$210,2,FALSE),""),""),0))))),N323)</f>
        <v/>
      </c>
      <c r="L323" s="85" t="str">
        <f>IF(Table13[[#This Row],[Column2]]="KWITANSI",COUNTIF($K$4:K323,"KWITANSI")," ")</f>
        <v xml:space="preserve"> </v>
      </c>
      <c r="M323" s="85" t="str">
        <f>IF(Table13[[#This Row],[Column3]]=" "," ",Table13[[#This Row],[CODE]])</f>
        <v xml:space="preserve"> </v>
      </c>
      <c r="N323" s="368"/>
      <c r="P323" s="81" t="str">
        <f t="shared" si="5"/>
        <v/>
      </c>
    </row>
    <row r="324" spans="1:16" hidden="1" x14ac:dyDescent="0.15">
      <c r="A324" s="81" t="str">
        <f>COPY!O322</f>
        <v/>
      </c>
      <c r="B324" s="81" t="str">
        <f>COPY!C322</f>
        <v/>
      </c>
      <c r="C324" s="82" t="str">
        <f>COPY!D322</f>
        <v/>
      </c>
      <c r="D324" s="81" t="str">
        <f>IF(Table13[[#This Row],[JUMLAH]]&gt;1,(IF(Table13[[#This Row],[CODE]]=" ",D323&amp;"a",IF(Table13[[#This Row],[CODE]]&gt;0,Table13[[#This Row],[CODE]],0))),"")</f>
        <v/>
      </c>
      <c r="E324" s="81" t="str">
        <f>IF(COPY!G322&gt;0,COPY!G322,"")</f>
        <v/>
      </c>
      <c r="F324" s="88" t="str">
        <f>IF(COPY!J322&gt;0,COPY!J322,"")</f>
        <v/>
      </c>
      <c r="G324" s="85" t="str">
        <f>IF(COPY!H322&gt;0,COPY!H322,"")</f>
        <v/>
      </c>
      <c r="H324" s="85" t="str">
        <f>IF(COPY!I322&gt;0,COPY!I322,"")</f>
        <v/>
      </c>
      <c r="I324" s="85" t="str">
        <f>IF(COPY!M322&gt;0,COPY!M322,"")</f>
        <v/>
      </c>
      <c r="J324" s="85" t="str">
        <f>IF(COPY!N322&gt;0,COPY!N322,"")</f>
        <v/>
      </c>
      <c r="K324" s="86" t="str">
        <f>IF(N324=0,(IF(LEFT(Table13[[#This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Row],[URAIAN]],$U$194:$V$210,2,FALSE),""),""),0))))),N324)</f>
        <v/>
      </c>
      <c r="L324" s="85" t="str">
        <f>IF(Table13[[#This Row],[Column2]]="KWITANSI",COUNTIF($K$4:K324,"KWITANSI")," ")</f>
        <v xml:space="preserve"> </v>
      </c>
      <c r="M324" s="85" t="str">
        <f>IF(Table13[[#This Row],[Column3]]=" "," ",Table13[[#This Row],[CODE]])</f>
        <v xml:space="preserve"> </v>
      </c>
      <c r="N324" s="368"/>
      <c r="P324" s="81" t="str">
        <f t="shared" si="5"/>
        <v/>
      </c>
    </row>
    <row r="325" spans="1:16" hidden="1" x14ac:dyDescent="0.15">
      <c r="A325" s="81" t="str">
        <f>COPY!O323</f>
        <v/>
      </c>
      <c r="B325" s="81" t="str">
        <f>COPY!C323</f>
        <v/>
      </c>
      <c r="C325" s="82" t="str">
        <f>COPY!D323</f>
        <v/>
      </c>
      <c r="D325" s="81" t="str">
        <f>IF(Table13[[#This Row],[JUMLAH]]&gt;1,(IF(Table13[[#This Row],[CODE]]=" ",D324&amp;"a",IF(Table13[[#This Row],[CODE]]&gt;0,Table13[[#This Row],[CODE]],0))),"")</f>
        <v/>
      </c>
      <c r="E325" s="81" t="str">
        <f>IF(COPY!G323&gt;0,COPY!G323,"")</f>
        <v/>
      </c>
      <c r="F325" s="88" t="str">
        <f>IF(COPY!J323&gt;0,COPY!J323,"")</f>
        <v/>
      </c>
      <c r="G325" s="85" t="str">
        <f>IF(COPY!H323&gt;0,COPY!H323,"")</f>
        <v/>
      </c>
      <c r="H325" s="85" t="str">
        <f>IF(COPY!I323&gt;0,COPY!I323,"")</f>
        <v/>
      </c>
      <c r="I325" s="85" t="str">
        <f>IF(COPY!M323&gt;0,COPY!M323,"")</f>
        <v/>
      </c>
      <c r="J325" s="85" t="str">
        <f>IF(COPY!N323&gt;0,COPY!N323,"")</f>
        <v/>
      </c>
      <c r="K325" s="86" t="str">
        <f>IF(N325=0,(IF(LEFT(Table13[[#This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Row],[URAIAN]],$U$194:$V$210,2,FALSE),""),""),0))))),N325)</f>
        <v/>
      </c>
      <c r="L325" s="85" t="str">
        <f>IF(Table13[[#This Row],[Column2]]="KWITANSI",COUNTIF($K$4:K325,"KWITANSI")," ")</f>
        <v xml:space="preserve"> </v>
      </c>
      <c r="M325" s="85" t="str">
        <f>IF(Table13[[#This Row],[Column3]]=" "," ",Table13[[#This Row],[CODE]])</f>
        <v xml:space="preserve"> </v>
      </c>
      <c r="N325" s="368"/>
      <c r="P325" s="81" t="str">
        <f t="shared" si="5"/>
        <v/>
      </c>
    </row>
    <row r="326" spans="1:16" hidden="1" x14ac:dyDescent="0.15">
      <c r="A326" s="81" t="str">
        <f>COPY!O324</f>
        <v/>
      </c>
      <c r="B326" s="81" t="str">
        <f>COPY!C324</f>
        <v/>
      </c>
      <c r="C326" s="82" t="str">
        <f>COPY!D324</f>
        <v/>
      </c>
      <c r="D326" s="81" t="str">
        <f>IF(Table13[[#This Row],[JUMLAH]]&gt;1,(IF(Table13[[#This Row],[CODE]]=" ",D325&amp;"a",IF(Table13[[#This Row],[CODE]]&gt;0,Table13[[#This Row],[CODE]],0))),"")</f>
        <v/>
      </c>
      <c r="E326" s="81" t="str">
        <f>IF(COPY!G324&gt;0,COPY!G324,"")</f>
        <v/>
      </c>
      <c r="F326" s="88" t="str">
        <f>IF(COPY!J324&gt;0,COPY!J324,"")</f>
        <v/>
      </c>
      <c r="G326" s="85" t="str">
        <f>IF(COPY!H324&gt;0,COPY!H324,"")</f>
        <v/>
      </c>
      <c r="H326" s="85" t="str">
        <f>IF(COPY!I324&gt;0,COPY!I324,"")</f>
        <v/>
      </c>
      <c r="I326" s="85" t="str">
        <f>IF(COPY!M324&gt;0,COPY!M324,"")</f>
        <v/>
      </c>
      <c r="J326" s="85" t="str">
        <f>IF(COPY!N324&gt;0,COPY!N324,"")</f>
        <v/>
      </c>
      <c r="K326" s="86" t="str">
        <f>IF(N326=0,(IF(LEFT(Table13[[#This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Row],[URAIAN]],$U$194:$V$210,2,FALSE),""),""),0))))),N326)</f>
        <v/>
      </c>
      <c r="L326" s="85" t="str">
        <f>IF(Table13[[#This Row],[Column2]]="KWITANSI",COUNTIF($K$4:K326,"KWITANSI")," ")</f>
        <v xml:space="preserve"> </v>
      </c>
      <c r="M326" s="85" t="str">
        <f>IF(Table13[[#This Row],[Column3]]=" "," ",Table13[[#This Row],[CODE]])</f>
        <v xml:space="preserve"> </v>
      </c>
      <c r="N326" s="368"/>
      <c r="P326" s="81" t="str">
        <f t="shared" si="5"/>
        <v/>
      </c>
    </row>
    <row r="327" spans="1:16" hidden="1" x14ac:dyDescent="0.15">
      <c r="A327" s="81" t="str">
        <f>COPY!O325</f>
        <v/>
      </c>
      <c r="B327" s="81" t="str">
        <f>COPY!C325</f>
        <v/>
      </c>
      <c r="C327" s="82" t="str">
        <f>COPY!D325</f>
        <v/>
      </c>
      <c r="D327" s="81" t="str">
        <f>IF(Table13[[#This Row],[JUMLAH]]&gt;1,(IF(Table13[[#This Row],[CODE]]=" ",D326&amp;"a",IF(Table13[[#This Row],[CODE]]&gt;0,Table13[[#This Row],[CODE]],0))),"")</f>
        <v/>
      </c>
      <c r="E327" s="81" t="str">
        <f>IF(COPY!G325&gt;0,COPY!G325,"")</f>
        <v/>
      </c>
      <c r="F327" s="88" t="str">
        <f>IF(COPY!J325&gt;0,COPY!J325,"")</f>
        <v/>
      </c>
      <c r="G327" s="85" t="str">
        <f>IF(COPY!H325&gt;0,COPY!H325,"")</f>
        <v/>
      </c>
      <c r="H327" s="85" t="str">
        <f>IF(COPY!I325&gt;0,COPY!I325,"")</f>
        <v/>
      </c>
      <c r="I327" s="85" t="str">
        <f>IF(COPY!M325&gt;0,COPY!M325,"")</f>
        <v/>
      </c>
      <c r="J327" s="85" t="str">
        <f>IF(COPY!N325&gt;0,COPY!N325,"")</f>
        <v/>
      </c>
      <c r="K327" s="86" t="str">
        <f>IF(N327=0,(IF(LEFT(Table13[[#This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Row],[URAIAN]],$U$194:$V$210,2,FALSE),""),""),0))))),N327)</f>
        <v/>
      </c>
      <c r="L327" s="85" t="str">
        <f>IF(Table13[[#This Row],[Column2]]="KWITANSI",COUNTIF($K$4:K327,"KWITANSI")," ")</f>
        <v xml:space="preserve"> </v>
      </c>
      <c r="M327" s="85" t="str">
        <f>IF(Table13[[#This Row],[Column3]]=" "," ",Table13[[#This Row],[CODE]])</f>
        <v xml:space="preserve"> </v>
      </c>
      <c r="N327" s="368"/>
      <c r="P327" s="81" t="str">
        <f t="shared" si="5"/>
        <v/>
      </c>
    </row>
    <row r="328" spans="1:16" hidden="1" x14ac:dyDescent="0.15">
      <c r="A328" s="81" t="str">
        <f>COPY!O326</f>
        <v/>
      </c>
      <c r="B328" s="81" t="str">
        <f>COPY!C326</f>
        <v/>
      </c>
      <c r="C328" s="82" t="str">
        <f>COPY!D326</f>
        <v/>
      </c>
      <c r="D328" s="81" t="str">
        <f>IF(Table13[[#This Row],[JUMLAH]]&gt;1,(IF(Table13[[#This Row],[CODE]]=" ",D327&amp;"a",IF(Table13[[#This Row],[CODE]]&gt;0,Table13[[#This Row],[CODE]],0))),"")</f>
        <v/>
      </c>
      <c r="E328" s="81" t="str">
        <f>IF(COPY!G326&gt;0,COPY!G326,"")</f>
        <v/>
      </c>
      <c r="F328" s="88" t="str">
        <f>IF(COPY!J326&gt;0,COPY!J326,"")</f>
        <v/>
      </c>
      <c r="G328" s="85" t="str">
        <f>IF(COPY!H326&gt;0,COPY!H326,"")</f>
        <v/>
      </c>
      <c r="H328" s="85" t="str">
        <f>IF(COPY!I326&gt;0,COPY!I326,"")</f>
        <v/>
      </c>
      <c r="I328" s="85" t="str">
        <f>IF(COPY!M326&gt;0,COPY!M326,"")</f>
        <v/>
      </c>
      <c r="J328" s="85" t="str">
        <f>IF(COPY!N326&gt;0,COPY!N326,"")</f>
        <v/>
      </c>
      <c r="K328" s="86" t="str">
        <f>IF(N328=0,(IF(LEFT(Table13[[#This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Row],[URAIAN]],$U$194:$V$210,2,FALSE),""),""),0))))),N328)</f>
        <v/>
      </c>
      <c r="L328" s="85" t="str">
        <f>IF(Table13[[#This Row],[Column2]]="KWITANSI",COUNTIF($K$4:K328,"KWITANSI")," ")</f>
        <v xml:space="preserve"> </v>
      </c>
      <c r="M328" s="85" t="str">
        <f>IF(Table13[[#This Row],[Column3]]=" "," ",Table13[[#This Row],[CODE]])</f>
        <v xml:space="preserve"> </v>
      </c>
      <c r="N328" s="368"/>
      <c r="P328" s="81" t="str">
        <f t="shared" si="5"/>
        <v/>
      </c>
    </row>
    <row r="329" spans="1:16" hidden="1" x14ac:dyDescent="0.15">
      <c r="A329" s="81" t="str">
        <f>COPY!O327</f>
        <v/>
      </c>
      <c r="B329" s="81" t="str">
        <f>COPY!C327</f>
        <v/>
      </c>
      <c r="C329" s="82" t="str">
        <f>COPY!D327</f>
        <v/>
      </c>
      <c r="D329" s="81" t="str">
        <f>IF(Table13[[#This Row],[JUMLAH]]&gt;1,(IF(Table13[[#This Row],[CODE]]=" ",D328&amp;"a",IF(Table13[[#This Row],[CODE]]&gt;0,Table13[[#This Row],[CODE]],0))),"")</f>
        <v/>
      </c>
      <c r="E329" s="81" t="str">
        <f>IF(COPY!G327&gt;0,COPY!G327,"")</f>
        <v/>
      </c>
      <c r="F329" s="88" t="str">
        <f>IF(COPY!J327&gt;0,COPY!J327,"")</f>
        <v/>
      </c>
      <c r="G329" s="85" t="str">
        <f>IF(COPY!H327&gt;0,COPY!H327,"")</f>
        <v/>
      </c>
      <c r="H329" s="85" t="str">
        <f>IF(COPY!I327&gt;0,COPY!I327,"")</f>
        <v/>
      </c>
      <c r="I329" s="85" t="str">
        <f>IF(COPY!M327&gt;0,COPY!M327,"")</f>
        <v/>
      </c>
      <c r="J329" s="85" t="str">
        <f>IF(COPY!N327&gt;0,COPY!N327,"")</f>
        <v/>
      </c>
      <c r="K329" s="86" t="str">
        <f>IF(N329=0,(IF(LEFT(Table13[[#This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Row],[URAIAN]],$U$194:$V$210,2,FALSE),""),""),0))))),N329)</f>
        <v/>
      </c>
      <c r="L329" s="85" t="str">
        <f>IF(Table13[[#This Row],[Column2]]="KWITANSI",COUNTIF($K$4:K329,"KWITANSI")," ")</f>
        <v xml:space="preserve"> </v>
      </c>
      <c r="M329" s="85" t="str">
        <f>IF(Table13[[#This Row],[Column3]]=" "," ",Table13[[#This Row],[CODE]])</f>
        <v xml:space="preserve"> </v>
      </c>
      <c r="N329" s="368"/>
      <c r="P329" s="81" t="str">
        <f t="shared" si="5"/>
        <v/>
      </c>
    </row>
    <row r="330" spans="1:16" hidden="1" x14ac:dyDescent="0.15">
      <c r="A330" s="81" t="str">
        <f>COPY!O328</f>
        <v/>
      </c>
      <c r="B330" s="81" t="str">
        <f>COPY!C328</f>
        <v/>
      </c>
      <c r="C330" s="82" t="str">
        <f>COPY!D328</f>
        <v/>
      </c>
      <c r="D330" s="81" t="str">
        <f>IF(Table13[[#This Row],[JUMLAH]]&gt;1,(IF(Table13[[#This Row],[CODE]]=" ",D329&amp;"a",IF(Table13[[#This Row],[CODE]]&gt;0,Table13[[#This Row],[CODE]],0))),"")</f>
        <v/>
      </c>
      <c r="E330" s="81" t="str">
        <f>IF(COPY!G328&gt;0,COPY!G328,"")</f>
        <v/>
      </c>
      <c r="F330" s="88" t="str">
        <f>IF(COPY!J328&gt;0,COPY!J328,"")</f>
        <v/>
      </c>
      <c r="G330" s="85" t="str">
        <f>IF(COPY!H328&gt;0,COPY!H328,"")</f>
        <v/>
      </c>
      <c r="H330" s="85" t="str">
        <f>IF(COPY!I328&gt;0,COPY!I328,"")</f>
        <v/>
      </c>
      <c r="I330" s="85" t="str">
        <f>IF(COPY!M328&gt;0,COPY!M328,"")</f>
        <v/>
      </c>
      <c r="J330" s="85" t="str">
        <f>IF(COPY!N328&gt;0,COPY!N328,"")</f>
        <v/>
      </c>
      <c r="K330" s="86" t="str">
        <f>IF(N330=0,(IF(LEFT(Table13[[#This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Row],[URAIAN]],$U$194:$V$210,2,FALSE),""),""),0))))),N330)</f>
        <v/>
      </c>
      <c r="L330" s="85" t="str">
        <f>IF(Table13[[#This Row],[Column2]]="KWITANSI",COUNTIF($K$4:K330,"KWITANSI")," ")</f>
        <v xml:space="preserve"> </v>
      </c>
      <c r="M330" s="85" t="str">
        <f>IF(Table13[[#This Row],[Column3]]=" "," ",Table13[[#This Row],[CODE]])</f>
        <v xml:space="preserve"> </v>
      </c>
      <c r="N330" s="368"/>
      <c r="P330" s="81" t="str">
        <f t="shared" si="5"/>
        <v/>
      </c>
    </row>
    <row r="331" spans="1:16" hidden="1" x14ac:dyDescent="0.15">
      <c r="A331" s="81" t="str">
        <f>COPY!O329</f>
        <v/>
      </c>
      <c r="B331" s="81" t="str">
        <f>COPY!C329</f>
        <v/>
      </c>
      <c r="C331" s="82" t="str">
        <f>COPY!D329</f>
        <v/>
      </c>
      <c r="D331" s="81" t="str">
        <f>IF(Table13[[#This Row],[JUMLAH]]&gt;1,(IF(Table13[[#This Row],[CODE]]=" ",D330&amp;"a",IF(Table13[[#This Row],[CODE]]&gt;0,Table13[[#This Row],[CODE]],0))),"")</f>
        <v/>
      </c>
      <c r="E331" s="81" t="str">
        <f>IF(COPY!G329&gt;0,COPY!G329,"")</f>
        <v/>
      </c>
      <c r="F331" s="88" t="str">
        <f>IF(COPY!J329&gt;0,COPY!J329,"")</f>
        <v/>
      </c>
      <c r="G331" s="85" t="str">
        <f>IF(COPY!H329&gt;0,COPY!H329,"")</f>
        <v/>
      </c>
      <c r="H331" s="85" t="str">
        <f>IF(COPY!I329&gt;0,COPY!I329,"")</f>
        <v/>
      </c>
      <c r="I331" s="85" t="str">
        <f>IF(COPY!M329&gt;0,COPY!M329,"")</f>
        <v/>
      </c>
      <c r="J331" s="85" t="str">
        <f>IF(COPY!N329&gt;0,COPY!N329,"")</f>
        <v/>
      </c>
      <c r="K331" s="86" t="str">
        <f>IF(N331=0,(IF(LEFT(Table13[[#This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Row],[URAIAN]],$U$194:$V$210,2,FALSE),""),""),0))))),N331)</f>
        <v/>
      </c>
      <c r="L331" s="85" t="str">
        <f>IF(Table13[[#This Row],[Column2]]="KWITANSI",COUNTIF($K$4:K331,"KWITANSI")," ")</f>
        <v xml:space="preserve"> </v>
      </c>
      <c r="M331" s="85" t="str">
        <f>IF(Table13[[#This Row],[Column3]]=" "," ",Table13[[#This Row],[CODE]])</f>
        <v xml:space="preserve"> </v>
      </c>
      <c r="N331" s="368"/>
      <c r="P331" s="81" t="str">
        <f t="shared" si="5"/>
        <v/>
      </c>
    </row>
    <row r="332" spans="1:16" hidden="1" x14ac:dyDescent="0.15">
      <c r="A332" s="81" t="str">
        <f>COPY!O330</f>
        <v/>
      </c>
      <c r="B332" s="81" t="str">
        <f>COPY!C330</f>
        <v/>
      </c>
      <c r="C332" s="82" t="str">
        <f>COPY!D330</f>
        <v/>
      </c>
      <c r="D332" s="81" t="str">
        <f>IF(Table13[[#This Row],[JUMLAH]]&gt;1,(IF(Table13[[#This Row],[CODE]]=" ",D331&amp;"a",IF(Table13[[#This Row],[CODE]]&gt;0,Table13[[#This Row],[CODE]],0))),"")</f>
        <v/>
      </c>
      <c r="E332" s="81" t="str">
        <f>IF(COPY!G330&gt;0,COPY!G330,"")</f>
        <v/>
      </c>
      <c r="F332" s="88" t="str">
        <f>IF(COPY!J330&gt;0,COPY!J330,"")</f>
        <v/>
      </c>
      <c r="G332" s="85" t="str">
        <f>IF(COPY!H330&gt;0,COPY!H330,"")</f>
        <v/>
      </c>
      <c r="H332" s="85" t="str">
        <f>IF(COPY!I330&gt;0,COPY!I330,"")</f>
        <v/>
      </c>
      <c r="I332" s="85" t="str">
        <f>IF(COPY!M330&gt;0,COPY!M330,"")</f>
        <v/>
      </c>
      <c r="J332" s="85" t="str">
        <f>IF(COPY!N330&gt;0,COPY!N330,"")</f>
        <v/>
      </c>
      <c r="K332" s="86" t="str">
        <f>IF(N332=0,(IF(LEFT(Table13[[#This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Row],[URAIAN]],$U$194:$V$210,2,FALSE),""),""),0))))),N332)</f>
        <v/>
      </c>
      <c r="L332" s="85" t="str">
        <f>IF(Table13[[#This Row],[Column2]]="KWITANSI",COUNTIF($K$4:K332,"KWITANSI")," ")</f>
        <v xml:space="preserve"> </v>
      </c>
      <c r="M332" s="85" t="str">
        <f>IF(Table13[[#This Row],[Column3]]=" "," ",Table13[[#This Row],[CODE]])</f>
        <v xml:space="preserve"> </v>
      </c>
      <c r="N332" s="368"/>
      <c r="P332" s="81" t="str">
        <f t="shared" si="5"/>
        <v/>
      </c>
    </row>
    <row r="333" spans="1:16" hidden="1" x14ac:dyDescent="0.15">
      <c r="A333" s="81" t="str">
        <f>COPY!O331</f>
        <v/>
      </c>
      <c r="B333" s="81" t="str">
        <f>COPY!C331</f>
        <v/>
      </c>
      <c r="C333" s="82" t="str">
        <f>COPY!D331</f>
        <v/>
      </c>
      <c r="D333" s="81" t="str">
        <f>IF(Table13[[#This Row],[JUMLAH]]&gt;1,(IF(Table13[[#This Row],[CODE]]=" ",D332&amp;"a",IF(Table13[[#This Row],[CODE]]&gt;0,Table13[[#This Row],[CODE]],0))),"")</f>
        <v/>
      </c>
      <c r="E333" s="81" t="str">
        <f>IF(COPY!G331&gt;0,COPY!G331,"")</f>
        <v/>
      </c>
      <c r="F333" s="88" t="str">
        <f>IF(COPY!J331&gt;0,COPY!J331,"")</f>
        <v/>
      </c>
      <c r="G333" s="85" t="str">
        <f>IF(COPY!H331&gt;0,COPY!H331,"")</f>
        <v/>
      </c>
      <c r="H333" s="85" t="str">
        <f>IF(COPY!I331&gt;0,COPY!I331,"")</f>
        <v/>
      </c>
      <c r="I333" s="85" t="str">
        <f>IF(COPY!M331&gt;0,COPY!M331,"")</f>
        <v/>
      </c>
      <c r="J333" s="85" t="str">
        <f>IF(COPY!N331&gt;0,COPY!N331,"")</f>
        <v/>
      </c>
      <c r="K333" s="86" t="str">
        <f>IF(N333=0,(IF(LEFT(Table13[[#This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Row],[URAIAN]],$U$194:$V$210,2,FALSE),""),""),0))))),N333)</f>
        <v/>
      </c>
      <c r="L333" s="85" t="str">
        <f>IF(Table13[[#This Row],[Column2]]="KWITANSI",COUNTIF($K$4:K333,"KWITANSI")," ")</f>
        <v xml:space="preserve"> </v>
      </c>
      <c r="M333" s="85" t="str">
        <f>IF(Table13[[#This Row],[Column3]]=" "," ",Table13[[#This Row],[CODE]])</f>
        <v xml:space="preserve"> </v>
      </c>
      <c r="N333" s="368"/>
      <c r="P333" s="81" t="str">
        <f t="shared" si="5"/>
        <v/>
      </c>
    </row>
    <row r="334" spans="1:16" hidden="1" x14ac:dyDescent="0.15">
      <c r="A334" s="81" t="str">
        <f>COPY!O332</f>
        <v/>
      </c>
      <c r="B334" s="81" t="str">
        <f>COPY!C332</f>
        <v/>
      </c>
      <c r="C334" s="82" t="str">
        <f>COPY!D332</f>
        <v/>
      </c>
      <c r="D334" s="81" t="str">
        <f>IF(Table13[[#This Row],[JUMLAH]]&gt;1,(IF(Table13[[#This Row],[CODE]]=" ",D333&amp;"a",IF(Table13[[#This Row],[CODE]]&gt;0,Table13[[#This Row],[CODE]],0))),"")</f>
        <v/>
      </c>
      <c r="E334" s="81" t="str">
        <f>IF(COPY!G332&gt;0,COPY!G332,"")</f>
        <v/>
      </c>
      <c r="F334" s="88" t="str">
        <f>IF(COPY!J332&gt;0,COPY!J332,"")</f>
        <v/>
      </c>
      <c r="G334" s="85" t="str">
        <f>IF(COPY!H332&gt;0,COPY!H332,"")</f>
        <v/>
      </c>
      <c r="H334" s="85" t="str">
        <f>IF(COPY!I332&gt;0,COPY!I332,"")</f>
        <v/>
      </c>
      <c r="I334" s="85" t="str">
        <f>IF(COPY!M332&gt;0,COPY!M332,"")</f>
        <v/>
      </c>
      <c r="J334" s="85" t="str">
        <f>IF(COPY!N332&gt;0,COPY!N332,"")</f>
        <v/>
      </c>
      <c r="K334" s="86" t="str">
        <f>IF(N334=0,(IF(LEFT(Table13[[#This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Row],[URAIAN]],$U$194:$V$210,2,FALSE),""),""),0))))),N334)</f>
        <v/>
      </c>
      <c r="L334" s="85" t="str">
        <f>IF(Table13[[#This Row],[Column2]]="KWITANSI",COUNTIF($K$4:K334,"KWITANSI")," ")</f>
        <v xml:space="preserve"> </v>
      </c>
      <c r="M334" s="85" t="str">
        <f>IF(Table13[[#This Row],[Column3]]=" "," ",Table13[[#This Row],[CODE]])</f>
        <v xml:space="preserve"> </v>
      </c>
      <c r="N334" s="368"/>
      <c r="P334" s="81" t="str">
        <f t="shared" si="5"/>
        <v/>
      </c>
    </row>
    <row r="335" spans="1:16" hidden="1" x14ac:dyDescent="0.15">
      <c r="A335" s="81" t="str">
        <f>COPY!O333</f>
        <v/>
      </c>
      <c r="B335" s="81" t="str">
        <f>COPY!C333</f>
        <v/>
      </c>
      <c r="C335" s="82" t="str">
        <f>COPY!D333</f>
        <v/>
      </c>
      <c r="D335" s="81" t="str">
        <f>IF(Table13[[#This Row],[JUMLAH]]&gt;1,(IF(Table13[[#This Row],[CODE]]=" ",D334&amp;"a",IF(Table13[[#This Row],[CODE]]&gt;0,Table13[[#This Row],[CODE]],0))),"")</f>
        <v/>
      </c>
      <c r="E335" s="81" t="str">
        <f>IF(COPY!G333&gt;0,COPY!G333,"")</f>
        <v/>
      </c>
      <c r="F335" s="88" t="str">
        <f>IF(COPY!J333&gt;0,COPY!J333,"")</f>
        <v/>
      </c>
      <c r="G335" s="85" t="str">
        <f>IF(COPY!H333&gt;0,COPY!H333,"")</f>
        <v/>
      </c>
      <c r="H335" s="85" t="str">
        <f>IF(COPY!I333&gt;0,COPY!I333,"")</f>
        <v/>
      </c>
      <c r="I335" s="85" t="str">
        <f>IF(COPY!M333&gt;0,COPY!M333,"")</f>
        <v/>
      </c>
      <c r="J335" s="85" t="str">
        <f>IF(COPY!N333&gt;0,COPY!N333,"")</f>
        <v/>
      </c>
      <c r="K335" s="86" t="str">
        <f>IF(N335=0,(IF(LEFT(Table13[[#This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Row],[URAIAN]],$U$194:$V$210,2,FALSE),""),""),0))))),N335)</f>
        <v/>
      </c>
      <c r="L335" s="85" t="str">
        <f>IF(Table13[[#This Row],[Column2]]="KWITANSI",COUNTIF($K$4:K335,"KWITANSI")," ")</f>
        <v xml:space="preserve"> </v>
      </c>
      <c r="M335" s="85" t="str">
        <f>IF(Table13[[#This Row],[Column3]]=" "," ",Table13[[#This Row],[CODE]])</f>
        <v xml:space="preserve"> </v>
      </c>
      <c r="N335" s="368"/>
      <c r="P335" s="81" t="str">
        <f t="shared" si="5"/>
        <v/>
      </c>
    </row>
    <row r="336" spans="1:16" hidden="1" x14ac:dyDescent="0.15">
      <c r="A336" s="81" t="str">
        <f>COPY!O334</f>
        <v/>
      </c>
      <c r="B336" s="81" t="str">
        <f>COPY!C334</f>
        <v/>
      </c>
      <c r="C336" s="82" t="str">
        <f>COPY!D334</f>
        <v/>
      </c>
      <c r="D336" s="81" t="str">
        <f>IF(Table13[[#This Row],[JUMLAH]]&gt;1,(IF(Table13[[#This Row],[CODE]]=" ",D335&amp;"a",IF(Table13[[#This Row],[CODE]]&gt;0,Table13[[#This Row],[CODE]],0))),"")</f>
        <v/>
      </c>
      <c r="E336" s="81" t="str">
        <f>IF(COPY!G334&gt;0,COPY!G334,"")</f>
        <v/>
      </c>
      <c r="F336" s="88" t="str">
        <f>IF(COPY!J334&gt;0,COPY!J334,"")</f>
        <v/>
      </c>
      <c r="G336" s="85" t="str">
        <f>IF(COPY!H334&gt;0,COPY!H334,"")</f>
        <v/>
      </c>
      <c r="H336" s="85" t="str">
        <f>IF(COPY!I334&gt;0,COPY!I334,"")</f>
        <v/>
      </c>
      <c r="I336" s="85" t="str">
        <f>IF(COPY!M334&gt;0,COPY!M334,"")</f>
        <v/>
      </c>
      <c r="J336" s="85" t="str">
        <f>IF(COPY!N334&gt;0,COPY!N334,"")</f>
        <v/>
      </c>
      <c r="K336" s="86" t="str">
        <f>IF(N336=0,(IF(LEFT(Table13[[#This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Row],[URAIAN]],$U$194:$V$210,2,FALSE),""),""),0))))),N336)</f>
        <v/>
      </c>
      <c r="L336" s="85" t="str">
        <f>IF(Table13[[#This Row],[Column2]]="KWITANSI",COUNTIF($K$4:K336,"KWITANSI")," ")</f>
        <v xml:space="preserve"> </v>
      </c>
      <c r="M336" s="85" t="str">
        <f>IF(Table13[[#This Row],[Column3]]=" "," ",Table13[[#This Row],[CODE]])</f>
        <v xml:space="preserve"> </v>
      </c>
      <c r="N336" s="368"/>
      <c r="P336" s="81" t="str">
        <f t="shared" si="5"/>
        <v/>
      </c>
    </row>
    <row r="337" spans="1:16" hidden="1" x14ac:dyDescent="0.15">
      <c r="A337" s="81" t="str">
        <f>COPY!O335</f>
        <v/>
      </c>
      <c r="B337" s="81" t="str">
        <f>COPY!C335</f>
        <v/>
      </c>
      <c r="C337" s="82" t="str">
        <f>COPY!D335</f>
        <v/>
      </c>
      <c r="D337" s="81" t="str">
        <f>IF(Table13[[#This Row],[JUMLAH]]&gt;1,(IF(Table13[[#This Row],[CODE]]=" ",D336&amp;"a",IF(Table13[[#This Row],[CODE]]&gt;0,Table13[[#This Row],[CODE]],0))),"")</f>
        <v/>
      </c>
      <c r="E337" s="81" t="str">
        <f>IF(COPY!G335&gt;0,COPY!G335,"")</f>
        <v/>
      </c>
      <c r="F337" s="88" t="str">
        <f>IF(COPY!J335&gt;0,COPY!J335,"")</f>
        <v/>
      </c>
      <c r="G337" s="85" t="str">
        <f>IF(COPY!H335&gt;0,COPY!H335,"")</f>
        <v/>
      </c>
      <c r="H337" s="85" t="str">
        <f>IF(COPY!I335&gt;0,COPY!I335,"")</f>
        <v/>
      </c>
      <c r="I337" s="85" t="str">
        <f>IF(COPY!M335&gt;0,COPY!M335,"")</f>
        <v/>
      </c>
      <c r="J337" s="85" t="str">
        <f>IF(COPY!N335&gt;0,COPY!N335,"")</f>
        <v/>
      </c>
      <c r="K337" s="86" t="str">
        <f>IF(N337=0,(IF(LEFT(Table13[[#This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Row],[URAIAN]],$U$194:$V$210,2,FALSE),""),""),0))))),N337)</f>
        <v/>
      </c>
      <c r="L337" s="85" t="str">
        <f>IF(Table13[[#This Row],[Column2]]="KWITANSI",COUNTIF($K$4:K337,"KWITANSI")," ")</f>
        <v xml:space="preserve"> </v>
      </c>
      <c r="M337" s="85" t="str">
        <f>IF(Table13[[#This Row],[Column3]]=" "," ",Table13[[#This Row],[CODE]])</f>
        <v xml:space="preserve"> </v>
      </c>
      <c r="N337" s="368"/>
      <c r="P337" s="81" t="str">
        <f t="shared" si="5"/>
        <v/>
      </c>
    </row>
    <row r="338" spans="1:16" hidden="1" x14ac:dyDescent="0.15">
      <c r="A338" s="81" t="str">
        <f>COPY!O336</f>
        <v/>
      </c>
      <c r="B338" s="81" t="str">
        <f>COPY!C336</f>
        <v/>
      </c>
      <c r="C338" s="82" t="str">
        <f>COPY!D336</f>
        <v/>
      </c>
      <c r="D338" s="81" t="str">
        <f>IF(Table13[[#This Row],[JUMLAH]]&gt;1,(IF(Table13[[#This Row],[CODE]]=" ",D337&amp;"a",IF(Table13[[#This Row],[CODE]]&gt;0,Table13[[#This Row],[CODE]],0))),"")</f>
        <v/>
      </c>
      <c r="E338" s="81" t="str">
        <f>IF(COPY!G336&gt;0,COPY!G336,"")</f>
        <v/>
      </c>
      <c r="F338" s="88" t="str">
        <f>IF(COPY!J336&gt;0,COPY!J336,"")</f>
        <v/>
      </c>
      <c r="G338" s="85" t="str">
        <f>IF(COPY!H336&gt;0,COPY!H336,"")</f>
        <v/>
      </c>
      <c r="H338" s="85" t="str">
        <f>IF(COPY!I336&gt;0,COPY!I336,"")</f>
        <v/>
      </c>
      <c r="I338" s="85" t="str">
        <f>IF(COPY!M336&gt;0,COPY!M336,"")</f>
        <v/>
      </c>
      <c r="J338" s="85" t="str">
        <f>IF(COPY!N336&gt;0,COPY!N336,"")</f>
        <v/>
      </c>
      <c r="K338" s="86" t="str">
        <f>IF(N338=0,(IF(LEFT(Table13[[#This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Row],[URAIAN]],$U$194:$V$210,2,FALSE),""),""),0))))),N338)</f>
        <v/>
      </c>
      <c r="L338" s="85" t="str">
        <f>IF(Table13[[#This Row],[Column2]]="KWITANSI",COUNTIF($K$4:K338,"KWITANSI")," ")</f>
        <v xml:space="preserve"> </v>
      </c>
      <c r="M338" s="85" t="str">
        <f>IF(Table13[[#This Row],[Column3]]=" "," ",Table13[[#This Row],[CODE]])</f>
        <v xml:space="preserve"> </v>
      </c>
      <c r="N338" s="368"/>
      <c r="P338" s="81" t="str">
        <f t="shared" si="5"/>
        <v/>
      </c>
    </row>
    <row r="339" spans="1:16" hidden="1" x14ac:dyDescent="0.15">
      <c r="A339" s="81" t="str">
        <f>COPY!O337</f>
        <v/>
      </c>
      <c r="B339" s="81" t="str">
        <f>COPY!C337</f>
        <v/>
      </c>
      <c r="C339" s="82" t="str">
        <f>COPY!D337</f>
        <v/>
      </c>
      <c r="D339" s="81" t="str">
        <f>IF(Table13[[#This Row],[JUMLAH]]&gt;1,(IF(Table13[[#This Row],[CODE]]=" ",D338&amp;"a",IF(Table13[[#This Row],[CODE]]&gt;0,Table13[[#This Row],[CODE]],0))),"")</f>
        <v/>
      </c>
      <c r="E339" s="81" t="str">
        <f>IF(COPY!G337&gt;0,COPY!G337,"")</f>
        <v/>
      </c>
      <c r="F339" s="88" t="str">
        <f>IF(COPY!J337&gt;0,COPY!J337,"")</f>
        <v/>
      </c>
      <c r="G339" s="85" t="str">
        <f>IF(COPY!H337&gt;0,COPY!H337,"")</f>
        <v/>
      </c>
      <c r="H339" s="85" t="str">
        <f>IF(COPY!I337&gt;0,COPY!I337,"")</f>
        <v/>
      </c>
      <c r="I339" s="85" t="str">
        <f>IF(COPY!M337&gt;0,COPY!M337,"")</f>
        <v/>
      </c>
      <c r="J339" s="85" t="str">
        <f>IF(COPY!N337&gt;0,COPY!N337,"")</f>
        <v/>
      </c>
      <c r="K339" s="86" t="str">
        <f>IF(N339=0,(IF(LEFT(Table13[[#This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Row],[URAIAN]],$U$194:$V$210,2,FALSE),""),""),0))))),N339)</f>
        <v/>
      </c>
      <c r="L339" s="85" t="str">
        <f>IF(Table13[[#This Row],[Column2]]="KWITANSI",COUNTIF($K$4:K339,"KWITANSI")," ")</f>
        <v xml:space="preserve"> </v>
      </c>
      <c r="M339" s="85" t="str">
        <f>IF(Table13[[#This Row],[Column3]]=" "," ",Table13[[#This Row],[CODE]])</f>
        <v xml:space="preserve"> </v>
      </c>
      <c r="N339" s="368"/>
      <c r="P339" s="81" t="str">
        <f t="shared" si="5"/>
        <v/>
      </c>
    </row>
    <row r="340" spans="1:16" hidden="1" x14ac:dyDescent="0.15">
      <c r="A340" s="81" t="str">
        <f>COPY!O338</f>
        <v/>
      </c>
      <c r="B340" s="81" t="str">
        <f>COPY!C338</f>
        <v/>
      </c>
      <c r="C340" s="82" t="str">
        <f>COPY!D338</f>
        <v/>
      </c>
      <c r="D340" s="81" t="str">
        <f>IF(Table13[[#This Row],[JUMLAH]]&gt;1,(IF(Table13[[#This Row],[CODE]]=" ",D339&amp;"a",IF(Table13[[#This Row],[CODE]]&gt;0,Table13[[#This Row],[CODE]],0))),"")</f>
        <v/>
      </c>
      <c r="E340" s="81" t="str">
        <f>IF(COPY!G338&gt;0,COPY!G338,"")</f>
        <v/>
      </c>
      <c r="F340" s="88" t="str">
        <f>IF(COPY!J338&gt;0,COPY!J338,"")</f>
        <v/>
      </c>
      <c r="G340" s="85" t="str">
        <f>IF(COPY!H338&gt;0,COPY!H338,"")</f>
        <v/>
      </c>
      <c r="H340" s="85" t="str">
        <f>IF(COPY!I338&gt;0,COPY!I338,"")</f>
        <v/>
      </c>
      <c r="I340" s="85" t="str">
        <f>IF(COPY!M338&gt;0,COPY!M338,"")</f>
        <v/>
      </c>
      <c r="J340" s="85" t="str">
        <f>IF(COPY!N338&gt;0,COPY!N338,"")</f>
        <v/>
      </c>
      <c r="K340" s="86" t="str">
        <f>IF(N340=0,(IF(LEFT(Table13[[#This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Row],[URAIAN]],$U$194:$V$210,2,FALSE),""),""),0))))),N340)</f>
        <v/>
      </c>
      <c r="L340" s="85" t="str">
        <f>IF(Table13[[#This Row],[Column2]]="KWITANSI",COUNTIF($K$4:K340,"KWITANSI")," ")</f>
        <v xml:space="preserve"> </v>
      </c>
      <c r="M340" s="85" t="str">
        <f>IF(Table13[[#This Row],[Column3]]=" "," ",Table13[[#This Row],[CODE]])</f>
        <v xml:space="preserve"> </v>
      </c>
      <c r="N340" s="368"/>
      <c r="P340" s="81" t="str">
        <f t="shared" si="5"/>
        <v/>
      </c>
    </row>
    <row r="341" spans="1:16" hidden="1" x14ac:dyDescent="0.15">
      <c r="A341" s="81" t="str">
        <f>COPY!O339</f>
        <v/>
      </c>
      <c r="B341" s="81" t="str">
        <f>COPY!C339</f>
        <v/>
      </c>
      <c r="C341" s="82" t="str">
        <f>COPY!D339</f>
        <v/>
      </c>
      <c r="D341" s="81" t="str">
        <f>IF(Table13[[#This Row],[JUMLAH]]&gt;1,(IF(Table13[[#This Row],[CODE]]=" ",D340&amp;"a",IF(Table13[[#This Row],[CODE]]&gt;0,Table13[[#This Row],[CODE]],0))),"")</f>
        <v/>
      </c>
      <c r="E341" s="81" t="str">
        <f>IF(COPY!G339&gt;0,COPY!G339,"")</f>
        <v/>
      </c>
      <c r="F341" s="88" t="str">
        <f>IF(COPY!J339&gt;0,COPY!J339,"")</f>
        <v/>
      </c>
      <c r="G341" s="85" t="str">
        <f>IF(COPY!H339&gt;0,COPY!H339,"")</f>
        <v/>
      </c>
      <c r="H341" s="85" t="str">
        <f>IF(COPY!I339&gt;0,COPY!I339,"")</f>
        <v/>
      </c>
      <c r="I341" s="85" t="str">
        <f>IF(COPY!M339&gt;0,COPY!M339,"")</f>
        <v/>
      </c>
      <c r="J341" s="85" t="str">
        <f>IF(COPY!N339&gt;0,COPY!N339,"")</f>
        <v/>
      </c>
      <c r="K341" s="86" t="str">
        <f>IF(N341=0,(IF(LEFT(Table13[[#This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Row],[URAIAN]],$U$194:$V$210,2,FALSE),""),""),0))))),N341)</f>
        <v/>
      </c>
      <c r="L341" s="85" t="str">
        <f>IF(Table13[[#This Row],[Column2]]="KWITANSI",COUNTIF($K$4:K341,"KWITANSI")," ")</f>
        <v xml:space="preserve"> </v>
      </c>
      <c r="M341" s="85" t="str">
        <f>IF(Table13[[#This Row],[Column3]]=" "," ",Table13[[#This Row],[CODE]])</f>
        <v xml:space="preserve"> </v>
      </c>
      <c r="N341" s="368"/>
      <c r="P341" s="81" t="str">
        <f t="shared" si="5"/>
        <v/>
      </c>
    </row>
    <row r="342" spans="1:16" hidden="1" x14ac:dyDescent="0.15">
      <c r="A342" s="81" t="str">
        <f>COPY!O340</f>
        <v/>
      </c>
      <c r="B342" s="81" t="str">
        <f>COPY!C340</f>
        <v/>
      </c>
      <c r="C342" s="82" t="str">
        <f>COPY!D340</f>
        <v/>
      </c>
      <c r="D342" s="81" t="str">
        <f>IF(Table13[[#This Row],[JUMLAH]]&gt;1,(IF(Table13[[#This Row],[CODE]]=" ",D341&amp;"a",IF(Table13[[#This Row],[CODE]]&gt;0,Table13[[#This Row],[CODE]],0))),"")</f>
        <v/>
      </c>
      <c r="E342" s="81" t="str">
        <f>IF(COPY!G340&gt;0,COPY!G340,"")</f>
        <v/>
      </c>
      <c r="F342" s="88" t="str">
        <f>IF(COPY!J340&gt;0,COPY!J340,"")</f>
        <v/>
      </c>
      <c r="G342" s="85" t="str">
        <f>IF(COPY!H340&gt;0,COPY!H340,"")</f>
        <v/>
      </c>
      <c r="H342" s="85" t="str">
        <f>IF(COPY!I340&gt;0,COPY!I340,"")</f>
        <v/>
      </c>
      <c r="I342" s="85" t="str">
        <f>IF(COPY!M340&gt;0,COPY!M340,"")</f>
        <v/>
      </c>
      <c r="J342" s="85" t="str">
        <f>IF(COPY!N340&gt;0,COPY!N340,"")</f>
        <v/>
      </c>
      <c r="K342" s="86" t="str">
        <f>IF(N342=0,(IF(LEFT(Table13[[#This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Row],[URAIAN]],$U$194:$V$210,2,FALSE),""),""),0))))),N342)</f>
        <v/>
      </c>
      <c r="L342" s="85" t="str">
        <f>IF(Table13[[#This Row],[Column2]]="KWITANSI",COUNTIF($K$4:K342,"KWITANSI")," ")</f>
        <v xml:space="preserve"> </v>
      </c>
      <c r="M342" s="85" t="str">
        <f>IF(Table13[[#This Row],[Column3]]=" "," ",Table13[[#This Row],[CODE]])</f>
        <v xml:space="preserve"> </v>
      </c>
      <c r="N342" s="368"/>
      <c r="P342" s="81" t="str">
        <f t="shared" si="5"/>
        <v/>
      </c>
    </row>
    <row r="343" spans="1:16" hidden="1" x14ac:dyDescent="0.15">
      <c r="A343" s="81" t="str">
        <f>COPY!O341</f>
        <v/>
      </c>
      <c r="B343" s="81" t="str">
        <f>COPY!C341</f>
        <v/>
      </c>
      <c r="C343" s="82" t="str">
        <f>COPY!D341</f>
        <v/>
      </c>
      <c r="D343" s="81" t="str">
        <f>IF(Table13[[#This Row],[JUMLAH]]&gt;1,(IF(Table13[[#This Row],[CODE]]=" ",D342&amp;"a",IF(Table13[[#This Row],[CODE]]&gt;0,Table13[[#This Row],[CODE]],0))),"")</f>
        <v/>
      </c>
      <c r="E343" s="81" t="str">
        <f>IF(COPY!G341&gt;0,COPY!G341,"")</f>
        <v/>
      </c>
      <c r="F343" s="88" t="str">
        <f>IF(COPY!J341&gt;0,COPY!J341,"")</f>
        <v/>
      </c>
      <c r="G343" s="85" t="str">
        <f>IF(COPY!H341&gt;0,COPY!H341,"")</f>
        <v/>
      </c>
      <c r="H343" s="85" t="str">
        <f>IF(COPY!I341&gt;0,COPY!I341,"")</f>
        <v/>
      </c>
      <c r="I343" s="85" t="str">
        <f>IF(COPY!M341&gt;0,COPY!M341,"")</f>
        <v/>
      </c>
      <c r="J343" s="85" t="str">
        <f>IF(COPY!N341&gt;0,COPY!N341,"")</f>
        <v/>
      </c>
      <c r="K343" s="86" t="str">
        <f>IF(N343=0,(IF(LEFT(Table13[[#This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Row],[URAIAN]],$U$194:$V$210,2,FALSE),""),""),0))))),N343)</f>
        <v/>
      </c>
      <c r="L343" s="85" t="str">
        <f>IF(Table13[[#This Row],[Column2]]="KWITANSI",COUNTIF($K$4:K343,"KWITANSI")," ")</f>
        <v xml:space="preserve"> </v>
      </c>
      <c r="M343" s="85" t="str">
        <f>IF(Table13[[#This Row],[Column3]]=" "," ",Table13[[#This Row],[CODE]])</f>
        <v xml:space="preserve"> </v>
      </c>
      <c r="N343" s="368"/>
      <c r="P343" s="81" t="str">
        <f t="shared" si="5"/>
        <v/>
      </c>
    </row>
    <row r="344" spans="1:16" hidden="1" x14ac:dyDescent="0.15">
      <c r="A344" s="81" t="str">
        <f>COPY!O342</f>
        <v/>
      </c>
      <c r="B344" s="81" t="str">
        <f>COPY!C342</f>
        <v/>
      </c>
      <c r="C344" s="82" t="str">
        <f>COPY!D342</f>
        <v/>
      </c>
      <c r="D344" s="81" t="str">
        <f>IF(Table13[[#This Row],[JUMLAH]]&gt;1,(IF(Table13[[#This Row],[CODE]]=" ",D343&amp;"a",IF(Table13[[#This Row],[CODE]]&gt;0,Table13[[#This Row],[CODE]],0))),"")</f>
        <v/>
      </c>
      <c r="E344" s="81" t="str">
        <f>IF(COPY!G342&gt;0,COPY!G342,"")</f>
        <v/>
      </c>
      <c r="F344" s="88" t="str">
        <f>IF(COPY!J342&gt;0,COPY!J342,"")</f>
        <v/>
      </c>
      <c r="G344" s="85" t="str">
        <f>IF(COPY!H342&gt;0,COPY!H342,"")</f>
        <v/>
      </c>
      <c r="H344" s="85" t="str">
        <f>IF(COPY!I342&gt;0,COPY!I342,"")</f>
        <v/>
      </c>
      <c r="I344" s="85" t="str">
        <f>IF(COPY!M342&gt;0,COPY!M342,"")</f>
        <v/>
      </c>
      <c r="J344" s="85" t="str">
        <f>IF(COPY!N342&gt;0,COPY!N342,"")</f>
        <v/>
      </c>
      <c r="K344" s="86" t="str">
        <f>IF(N344=0,(IF(LEFT(Table13[[#This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Row],[URAIAN]],$U$194:$V$210,2,FALSE),""),""),0))))),N344)</f>
        <v/>
      </c>
      <c r="L344" s="85" t="str">
        <f>IF(Table13[[#This Row],[Column2]]="KWITANSI",COUNTIF($K$4:K344,"KWITANSI")," ")</f>
        <v xml:space="preserve"> </v>
      </c>
      <c r="M344" s="85" t="str">
        <f>IF(Table13[[#This Row],[Column3]]=" "," ",Table13[[#This Row],[CODE]])</f>
        <v xml:space="preserve"> </v>
      </c>
      <c r="N344" s="368"/>
      <c r="P344" s="81" t="str">
        <f t="shared" si="5"/>
        <v/>
      </c>
    </row>
    <row r="345" spans="1:16" hidden="1" x14ac:dyDescent="0.15">
      <c r="A345" s="81" t="str">
        <f>COPY!O343</f>
        <v/>
      </c>
      <c r="B345" s="81" t="str">
        <f>COPY!C343</f>
        <v/>
      </c>
      <c r="C345" s="82" t="str">
        <f>COPY!D343</f>
        <v/>
      </c>
      <c r="D345" s="81" t="str">
        <f>IF(Table13[[#This Row],[JUMLAH]]&gt;1,(IF(Table13[[#This Row],[CODE]]=" ",D344&amp;"a",IF(Table13[[#This Row],[CODE]]&gt;0,Table13[[#This Row],[CODE]],0))),"")</f>
        <v/>
      </c>
      <c r="E345" s="81" t="str">
        <f>IF(COPY!G343&gt;0,COPY!G343,"")</f>
        <v/>
      </c>
      <c r="F345" s="88" t="str">
        <f>IF(COPY!J343&gt;0,COPY!J343,"")</f>
        <v/>
      </c>
      <c r="G345" s="85" t="str">
        <f>IF(COPY!H343&gt;0,COPY!H343,"")</f>
        <v/>
      </c>
      <c r="H345" s="85" t="str">
        <f>IF(COPY!I343&gt;0,COPY!I343,"")</f>
        <v/>
      </c>
      <c r="I345" s="85" t="str">
        <f>IF(COPY!M343&gt;0,COPY!M343,"")</f>
        <v/>
      </c>
      <c r="J345" s="85" t="str">
        <f>IF(COPY!N343&gt;0,COPY!N343,"")</f>
        <v/>
      </c>
      <c r="K345" s="86" t="str">
        <f>IF(N345=0,(IF(LEFT(Table13[[#This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Row],[URAIAN]],$U$194:$V$210,2,FALSE),""),""),0))))),N345)</f>
        <v/>
      </c>
      <c r="L345" s="85" t="str">
        <f>IF(Table13[[#This Row],[Column2]]="KWITANSI",COUNTIF($K$4:K345,"KWITANSI")," ")</f>
        <v xml:space="preserve"> </v>
      </c>
      <c r="M345" s="85" t="str">
        <f>IF(Table13[[#This Row],[Column3]]=" "," ",Table13[[#This Row],[CODE]])</f>
        <v xml:space="preserve"> </v>
      </c>
      <c r="N345" s="368"/>
      <c r="P345" s="81" t="str">
        <f t="shared" si="5"/>
        <v/>
      </c>
    </row>
    <row r="346" spans="1:16" hidden="1" x14ac:dyDescent="0.15">
      <c r="A346" s="81" t="str">
        <f>COPY!O344</f>
        <v/>
      </c>
      <c r="B346" s="81" t="str">
        <f>COPY!C344</f>
        <v/>
      </c>
      <c r="C346" s="82" t="str">
        <f>COPY!D344</f>
        <v/>
      </c>
      <c r="D346" s="81" t="str">
        <f>IF(Table13[[#This Row],[JUMLAH]]&gt;1,(IF(Table13[[#This Row],[CODE]]=" ",D345&amp;"a",IF(Table13[[#This Row],[CODE]]&gt;0,Table13[[#This Row],[CODE]],0))),"")</f>
        <v/>
      </c>
      <c r="E346" s="81" t="str">
        <f>IF(COPY!G344&gt;0,COPY!G344,"")</f>
        <v/>
      </c>
      <c r="F346" s="88" t="str">
        <f>IF(COPY!J344&gt;0,COPY!J344,"")</f>
        <v/>
      </c>
      <c r="G346" s="85" t="str">
        <f>IF(COPY!H344&gt;0,COPY!H344,"")</f>
        <v/>
      </c>
      <c r="H346" s="85" t="str">
        <f>IF(COPY!I344&gt;0,COPY!I344,"")</f>
        <v/>
      </c>
      <c r="I346" s="85" t="str">
        <f>IF(COPY!M344&gt;0,COPY!M344,"")</f>
        <v/>
      </c>
      <c r="J346" s="85" t="str">
        <f>IF(COPY!N344&gt;0,COPY!N344,"")</f>
        <v/>
      </c>
      <c r="K346" s="86" t="str">
        <f>IF(N346=0,(IF(LEFT(Table13[[#This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Row],[URAIAN]],$U$194:$V$210,2,FALSE),""),""),0))))),N346)</f>
        <v/>
      </c>
      <c r="L346" s="85" t="str">
        <f>IF(Table13[[#This Row],[Column2]]="KWITANSI",COUNTIF($K$4:K346,"KWITANSI")," ")</f>
        <v xml:space="preserve"> </v>
      </c>
      <c r="M346" s="85" t="str">
        <f>IF(Table13[[#This Row],[Column3]]=" "," ",Table13[[#This Row],[CODE]])</f>
        <v xml:space="preserve"> </v>
      </c>
      <c r="N346" s="368"/>
      <c r="P346" s="81" t="str">
        <f t="shared" si="5"/>
        <v/>
      </c>
    </row>
    <row r="347" spans="1:16" hidden="1" x14ac:dyDescent="0.15">
      <c r="A347" s="81" t="str">
        <f>COPY!O345</f>
        <v/>
      </c>
      <c r="B347" s="81" t="str">
        <f>COPY!C345</f>
        <v/>
      </c>
      <c r="C347" s="82" t="str">
        <f>COPY!D345</f>
        <v/>
      </c>
      <c r="D347" s="81" t="str">
        <f>IF(Table13[[#This Row],[JUMLAH]]&gt;1,(IF(Table13[[#This Row],[CODE]]=" ",D346&amp;"a",IF(Table13[[#This Row],[CODE]]&gt;0,Table13[[#This Row],[CODE]],0))),"")</f>
        <v/>
      </c>
      <c r="E347" s="81" t="str">
        <f>IF(COPY!G345&gt;0,COPY!G345,"")</f>
        <v/>
      </c>
      <c r="F347" s="88" t="str">
        <f>IF(COPY!J345&gt;0,COPY!J345,"")</f>
        <v/>
      </c>
      <c r="G347" s="85" t="str">
        <f>IF(COPY!H345&gt;0,COPY!H345,"")</f>
        <v/>
      </c>
      <c r="H347" s="85" t="str">
        <f>IF(COPY!I345&gt;0,COPY!I345,"")</f>
        <v/>
      </c>
      <c r="I347" s="85" t="str">
        <f>IF(COPY!M345&gt;0,COPY!M345,"")</f>
        <v/>
      </c>
      <c r="J347" s="85" t="str">
        <f>IF(COPY!N345&gt;0,COPY!N345,"")</f>
        <v/>
      </c>
      <c r="K347" s="86" t="str">
        <f>IF(N347=0,(IF(LEFT(Table13[[#This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Row],[URAIAN]],$U$194:$V$210,2,FALSE),""),""),0))))),N347)</f>
        <v/>
      </c>
      <c r="L347" s="85" t="str">
        <f>IF(Table13[[#This Row],[Column2]]="KWITANSI",COUNTIF($K$4:K347,"KWITANSI")," ")</f>
        <v xml:space="preserve"> </v>
      </c>
      <c r="M347" s="85" t="str">
        <f>IF(Table13[[#This Row],[Column3]]=" "," ",Table13[[#This Row],[CODE]])</f>
        <v xml:space="preserve"> </v>
      </c>
      <c r="N347" s="368"/>
      <c r="P347" s="81" t="str">
        <f t="shared" si="5"/>
        <v/>
      </c>
    </row>
    <row r="348" spans="1:16" hidden="1" x14ac:dyDescent="0.15">
      <c r="A348" s="81" t="str">
        <f>COPY!O346</f>
        <v/>
      </c>
      <c r="B348" s="81" t="str">
        <f>COPY!C346</f>
        <v/>
      </c>
      <c r="C348" s="82" t="str">
        <f>COPY!D346</f>
        <v/>
      </c>
      <c r="D348" s="81" t="str">
        <f>IF(Table13[[#This Row],[JUMLAH]]&gt;1,(IF(Table13[[#This Row],[CODE]]=" ",D347&amp;"a",IF(Table13[[#This Row],[CODE]]&gt;0,Table13[[#This Row],[CODE]],0))),"")</f>
        <v/>
      </c>
      <c r="E348" s="81" t="str">
        <f>IF(COPY!G346&gt;0,COPY!G346,"")</f>
        <v/>
      </c>
      <c r="F348" s="88" t="str">
        <f>IF(COPY!J346&gt;0,COPY!J346,"")</f>
        <v/>
      </c>
      <c r="G348" s="85" t="str">
        <f>IF(COPY!H346&gt;0,COPY!H346,"")</f>
        <v/>
      </c>
      <c r="H348" s="85" t="str">
        <f>IF(COPY!I346&gt;0,COPY!I346,"")</f>
        <v/>
      </c>
      <c r="I348" s="85" t="str">
        <f>IF(COPY!M346&gt;0,COPY!M346,"")</f>
        <v/>
      </c>
      <c r="J348" s="85" t="str">
        <f>IF(COPY!N346&gt;0,COPY!N346,"")</f>
        <v/>
      </c>
      <c r="K348" s="86" t="str">
        <f>IF(N348=0,(IF(LEFT(Table13[[#This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Row],[URAIAN]],$U$194:$V$210,2,FALSE),""),""),0))))),N348)</f>
        <v/>
      </c>
      <c r="L348" s="85" t="str">
        <f>IF(Table13[[#This Row],[Column2]]="KWITANSI",COUNTIF($K$4:K348,"KWITANSI")," ")</f>
        <v xml:space="preserve"> </v>
      </c>
      <c r="M348" s="85" t="str">
        <f>IF(Table13[[#This Row],[Column3]]=" "," ",Table13[[#This Row],[CODE]])</f>
        <v xml:space="preserve"> </v>
      </c>
      <c r="N348" s="368"/>
      <c r="P348" s="81" t="str">
        <f t="shared" si="5"/>
        <v/>
      </c>
    </row>
    <row r="349" spans="1:16" hidden="1" x14ac:dyDescent="0.15">
      <c r="A349" s="81" t="str">
        <f>COPY!O347</f>
        <v/>
      </c>
      <c r="B349" s="81" t="str">
        <f>COPY!C347</f>
        <v/>
      </c>
      <c r="C349" s="82" t="str">
        <f>COPY!D347</f>
        <v/>
      </c>
      <c r="D349" s="81" t="str">
        <f>IF(Table13[[#This Row],[JUMLAH]]&gt;1,(IF(Table13[[#This Row],[CODE]]=" ",D348&amp;"a",IF(Table13[[#This Row],[CODE]]&gt;0,Table13[[#This Row],[CODE]],0))),"")</f>
        <v/>
      </c>
      <c r="E349" s="81" t="str">
        <f>IF(COPY!G347&gt;0,COPY!G347,"")</f>
        <v/>
      </c>
      <c r="F349" s="88" t="str">
        <f>IF(COPY!J347&gt;0,COPY!J347,"")</f>
        <v/>
      </c>
      <c r="G349" s="85" t="str">
        <f>IF(COPY!H347&gt;0,COPY!H347,"")</f>
        <v/>
      </c>
      <c r="H349" s="85" t="str">
        <f>IF(COPY!I347&gt;0,COPY!I347,"")</f>
        <v/>
      </c>
      <c r="I349" s="85" t="str">
        <f>IF(COPY!M347&gt;0,COPY!M347,"")</f>
        <v/>
      </c>
      <c r="J349" s="85" t="str">
        <f>IF(COPY!N347&gt;0,COPY!N347,"")</f>
        <v/>
      </c>
      <c r="K349" s="86" t="str">
        <f>IF(N349=0,(IF(LEFT(Table13[[#This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Row],[URAIAN]],$U$194:$V$210,2,FALSE),""),""),0))))),N349)</f>
        <v/>
      </c>
      <c r="L349" s="85" t="str">
        <f>IF(Table13[[#This Row],[Column2]]="KWITANSI",COUNTIF($K$4:K349,"KWITANSI")," ")</f>
        <v xml:space="preserve"> </v>
      </c>
      <c r="M349" s="85" t="str">
        <f>IF(Table13[[#This Row],[Column3]]=" "," ",Table13[[#This Row],[CODE]])</f>
        <v xml:space="preserve"> </v>
      </c>
      <c r="N349" s="368"/>
      <c r="P349" s="81" t="str">
        <f t="shared" si="5"/>
        <v/>
      </c>
    </row>
    <row r="350" spans="1:16" hidden="1" x14ac:dyDescent="0.15">
      <c r="A350" s="81" t="str">
        <f>COPY!O348</f>
        <v/>
      </c>
      <c r="B350" s="81" t="str">
        <f>COPY!C348</f>
        <v/>
      </c>
      <c r="C350" s="82" t="str">
        <f>COPY!D348</f>
        <v/>
      </c>
      <c r="D350" s="81" t="str">
        <f>IF(Table13[[#This Row],[JUMLAH]]&gt;1,(IF(Table13[[#This Row],[CODE]]=" ",D349&amp;"a",IF(Table13[[#This Row],[CODE]]&gt;0,Table13[[#This Row],[CODE]],0))),"")</f>
        <v/>
      </c>
      <c r="E350" s="81" t="str">
        <f>IF(COPY!G348&gt;0,COPY!G348,"")</f>
        <v/>
      </c>
      <c r="F350" s="88" t="str">
        <f>IF(COPY!J348&gt;0,COPY!J348,"")</f>
        <v/>
      </c>
      <c r="G350" s="85" t="str">
        <f>IF(COPY!H348&gt;0,COPY!H348,"")</f>
        <v/>
      </c>
      <c r="H350" s="85" t="str">
        <f>IF(COPY!I348&gt;0,COPY!I348,"")</f>
        <v/>
      </c>
      <c r="I350" s="85" t="str">
        <f>IF(COPY!M348&gt;0,COPY!M348,"")</f>
        <v/>
      </c>
      <c r="J350" s="85" t="str">
        <f>IF(COPY!N348&gt;0,COPY!N348,"")</f>
        <v/>
      </c>
      <c r="K350" s="86" t="str">
        <f>IF(N350=0,(IF(LEFT(Table13[[#This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Row],[URAIAN]],$U$194:$V$210,2,FALSE),""),""),0))))),N350)</f>
        <v/>
      </c>
      <c r="L350" s="85" t="str">
        <f>IF(Table13[[#This Row],[Column2]]="KWITANSI",COUNTIF($K$4:K350,"KWITANSI")," ")</f>
        <v xml:space="preserve"> </v>
      </c>
      <c r="M350" s="85" t="str">
        <f>IF(Table13[[#This Row],[Column3]]=" "," ",Table13[[#This Row],[CODE]])</f>
        <v xml:space="preserve"> </v>
      </c>
      <c r="N350" s="368"/>
      <c r="P350" s="81" t="str">
        <f t="shared" si="5"/>
        <v/>
      </c>
    </row>
    <row r="351" spans="1:16" hidden="1" x14ac:dyDescent="0.15">
      <c r="A351" s="81" t="str">
        <f>COPY!O349</f>
        <v/>
      </c>
      <c r="B351" s="81" t="str">
        <f>COPY!C349</f>
        <v/>
      </c>
      <c r="C351" s="82" t="str">
        <f>COPY!D349</f>
        <v/>
      </c>
      <c r="D351" s="81" t="str">
        <f>IF(Table13[[#This Row],[JUMLAH]]&gt;1,(IF(Table13[[#This Row],[CODE]]=" ",D350&amp;"a",IF(Table13[[#This Row],[CODE]]&gt;0,Table13[[#This Row],[CODE]],0))),"")</f>
        <v/>
      </c>
      <c r="E351" s="81" t="str">
        <f>IF(COPY!G349&gt;0,COPY!G349,"")</f>
        <v/>
      </c>
      <c r="F351" s="88" t="str">
        <f>IF(COPY!J349&gt;0,COPY!J349,"")</f>
        <v/>
      </c>
      <c r="G351" s="85" t="str">
        <f>IF(COPY!H349&gt;0,COPY!H349,"")</f>
        <v/>
      </c>
      <c r="H351" s="85" t="str">
        <f>IF(COPY!I349&gt;0,COPY!I349,"")</f>
        <v/>
      </c>
      <c r="I351" s="85" t="str">
        <f>IF(COPY!M349&gt;0,COPY!M349,"")</f>
        <v/>
      </c>
      <c r="J351" s="85" t="str">
        <f>IF(COPY!N349&gt;0,COPY!N349,"")</f>
        <v/>
      </c>
      <c r="K351" s="86" t="str">
        <f>IF(N351=0,(IF(LEFT(Table13[[#This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Row],[URAIAN]],$U$194:$V$210,2,FALSE),""),""),0))))),N351)</f>
        <v/>
      </c>
      <c r="L351" s="85" t="str">
        <f>IF(Table13[[#This Row],[Column2]]="KWITANSI",COUNTIF($K$4:K351,"KWITANSI")," ")</f>
        <v xml:space="preserve"> </v>
      </c>
      <c r="M351" s="85" t="str">
        <f>IF(Table13[[#This Row],[Column3]]=" "," ",Table13[[#This Row],[CODE]])</f>
        <v xml:space="preserve"> </v>
      </c>
      <c r="N351" s="368"/>
      <c r="P351" s="81" t="str">
        <f t="shared" si="5"/>
        <v/>
      </c>
    </row>
    <row r="352" spans="1:16" hidden="1" x14ac:dyDescent="0.15">
      <c r="A352" s="81" t="str">
        <f>COPY!O350</f>
        <v/>
      </c>
      <c r="B352" s="81" t="str">
        <f>COPY!C350</f>
        <v/>
      </c>
      <c r="C352" s="82" t="str">
        <f>COPY!D350</f>
        <v/>
      </c>
      <c r="D352" s="81" t="str">
        <f>IF(Table13[[#This Row],[JUMLAH]]&gt;1,(IF(Table13[[#This Row],[CODE]]=" ",D351&amp;"a",IF(Table13[[#This Row],[CODE]]&gt;0,Table13[[#This Row],[CODE]],0))),"")</f>
        <v/>
      </c>
      <c r="E352" s="81" t="str">
        <f>IF(COPY!G350&gt;0,COPY!G350,"")</f>
        <v/>
      </c>
      <c r="F352" s="88" t="str">
        <f>IF(COPY!J350&gt;0,COPY!J350,"")</f>
        <v/>
      </c>
      <c r="G352" s="85" t="str">
        <f>IF(COPY!H350&gt;0,COPY!H350,"")</f>
        <v/>
      </c>
      <c r="H352" s="85" t="str">
        <f>IF(COPY!I350&gt;0,COPY!I350,"")</f>
        <v/>
      </c>
      <c r="I352" s="85" t="str">
        <f>IF(COPY!M350&gt;0,COPY!M350,"")</f>
        <v/>
      </c>
      <c r="J352" s="85" t="str">
        <f>IF(COPY!N350&gt;0,COPY!N350,"")</f>
        <v/>
      </c>
      <c r="K352" s="86" t="str">
        <f>IF(N352=0,(IF(LEFT(Table13[[#This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Row],[URAIAN]],$U$194:$V$210,2,FALSE),""),""),0))))),N352)</f>
        <v/>
      </c>
      <c r="L352" s="85" t="str">
        <f>IF(Table13[[#This Row],[Column2]]="KWITANSI",COUNTIF($K$4:K352,"KWITANSI")," ")</f>
        <v xml:space="preserve"> </v>
      </c>
      <c r="M352" s="85" t="str">
        <f>IF(Table13[[#This Row],[Column3]]=" "," ",Table13[[#This Row],[CODE]])</f>
        <v xml:space="preserve"> </v>
      </c>
      <c r="N352" s="368"/>
      <c r="P352" s="81" t="str">
        <f t="shared" si="5"/>
        <v/>
      </c>
    </row>
    <row r="353" spans="1:16" hidden="1" x14ac:dyDescent="0.15">
      <c r="A353" s="81" t="str">
        <f>COPY!O351</f>
        <v/>
      </c>
      <c r="B353" s="81" t="str">
        <f>COPY!C351</f>
        <v/>
      </c>
      <c r="C353" s="82" t="str">
        <f>COPY!D351</f>
        <v/>
      </c>
      <c r="D353" s="81" t="str">
        <f>IF(Table13[[#This Row],[JUMLAH]]&gt;1,(IF(Table13[[#This Row],[CODE]]=" ",D352&amp;"a",IF(Table13[[#This Row],[CODE]]&gt;0,Table13[[#This Row],[CODE]],0))),"")</f>
        <v/>
      </c>
      <c r="E353" s="81" t="str">
        <f>IF(COPY!G351&gt;0,COPY!G351,"")</f>
        <v/>
      </c>
      <c r="F353" s="88" t="str">
        <f>IF(COPY!J351&gt;0,COPY!J351,"")</f>
        <v/>
      </c>
      <c r="G353" s="85" t="str">
        <f>IF(COPY!H351&gt;0,COPY!H351,"")</f>
        <v/>
      </c>
      <c r="H353" s="85" t="str">
        <f>IF(COPY!I351&gt;0,COPY!I351,"")</f>
        <v/>
      </c>
      <c r="I353" s="85" t="str">
        <f>IF(COPY!M351&gt;0,COPY!M351,"")</f>
        <v/>
      </c>
      <c r="J353" s="85" t="str">
        <f>IF(COPY!N351&gt;0,COPY!N351,"")</f>
        <v/>
      </c>
      <c r="K353" s="86" t="str">
        <f>IF(N353=0,(IF(LEFT(Table13[[#This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Row],[URAIAN]],$U$194:$V$210,2,FALSE),""),""),0))))),N353)</f>
        <v/>
      </c>
      <c r="L353" s="85" t="str">
        <f>IF(Table13[[#This Row],[Column2]]="KWITANSI",COUNTIF($K$4:K353,"KWITANSI")," ")</f>
        <v xml:space="preserve"> </v>
      </c>
      <c r="M353" s="85" t="str">
        <f>IF(Table13[[#This Row],[Column3]]=" "," ",Table13[[#This Row],[CODE]])</f>
        <v xml:space="preserve"> </v>
      </c>
      <c r="N353" s="368"/>
      <c r="P353" s="81" t="str">
        <f t="shared" si="5"/>
        <v/>
      </c>
    </row>
    <row r="354" spans="1:16" hidden="1" x14ac:dyDescent="0.15">
      <c r="A354" s="81" t="str">
        <f>COPY!O352</f>
        <v/>
      </c>
      <c r="B354" s="81" t="str">
        <f>COPY!C352</f>
        <v/>
      </c>
      <c r="C354" s="82" t="str">
        <f>COPY!D352</f>
        <v/>
      </c>
      <c r="D354" s="81" t="str">
        <f>IF(Table13[[#This Row],[JUMLAH]]&gt;1,(IF(Table13[[#This Row],[CODE]]=" ",D353&amp;"a",IF(Table13[[#This Row],[CODE]]&gt;0,Table13[[#This Row],[CODE]],0))),"")</f>
        <v/>
      </c>
      <c r="E354" s="81" t="str">
        <f>IF(COPY!G352&gt;0,COPY!G352,"")</f>
        <v/>
      </c>
      <c r="F354" s="88" t="str">
        <f>IF(COPY!J352&gt;0,COPY!J352,"")</f>
        <v/>
      </c>
      <c r="G354" s="85" t="str">
        <f>IF(COPY!H352&gt;0,COPY!H352,"")</f>
        <v/>
      </c>
      <c r="H354" s="85" t="str">
        <f>IF(COPY!I352&gt;0,COPY!I352,"")</f>
        <v/>
      </c>
      <c r="I354" s="85" t="str">
        <f>IF(COPY!M352&gt;0,COPY!M352,"")</f>
        <v/>
      </c>
      <c r="J354" s="85" t="str">
        <f>IF(COPY!N352&gt;0,COPY!N352,"")</f>
        <v/>
      </c>
      <c r="K354" s="86" t="str">
        <f>IF(N354=0,(IF(LEFT(Table13[[#This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Row],[URAIAN]],$U$194:$V$210,2,FALSE),""),""),0))))),N354)</f>
        <v/>
      </c>
      <c r="L354" s="85" t="str">
        <f>IF(Table13[[#This Row],[Column2]]="KWITANSI",COUNTIF($K$4:K354,"KWITANSI")," ")</f>
        <v xml:space="preserve"> </v>
      </c>
      <c r="M354" s="85" t="str">
        <f>IF(Table13[[#This Row],[Column3]]=" "," ",Table13[[#This Row],[CODE]])</f>
        <v xml:space="preserve"> </v>
      </c>
      <c r="N354" s="368"/>
      <c r="P354" s="81" t="str">
        <f t="shared" si="5"/>
        <v/>
      </c>
    </row>
    <row r="355" spans="1:16" hidden="1" x14ac:dyDescent="0.15">
      <c r="A355" s="81" t="str">
        <f>COPY!O353</f>
        <v/>
      </c>
      <c r="B355" s="81" t="str">
        <f>COPY!C353</f>
        <v/>
      </c>
      <c r="C355" s="82" t="str">
        <f>COPY!D353</f>
        <v/>
      </c>
      <c r="D355" s="81" t="str">
        <f>IF(Table13[[#This Row],[JUMLAH]]&gt;1,(IF(Table13[[#This Row],[CODE]]=" ",D354&amp;"a",IF(Table13[[#This Row],[CODE]]&gt;0,Table13[[#This Row],[CODE]],0))),"")</f>
        <v/>
      </c>
      <c r="E355" s="81" t="str">
        <f>IF(COPY!G353&gt;0,COPY!G353,"")</f>
        <v/>
      </c>
      <c r="F355" s="88" t="str">
        <f>IF(COPY!J353&gt;0,COPY!J353,"")</f>
        <v/>
      </c>
      <c r="G355" s="85" t="str">
        <f>IF(COPY!H353&gt;0,COPY!H353,"")</f>
        <v/>
      </c>
      <c r="H355" s="85" t="str">
        <f>IF(COPY!I353&gt;0,COPY!I353,"")</f>
        <v/>
      </c>
      <c r="I355" s="85" t="str">
        <f>IF(COPY!M353&gt;0,COPY!M353,"")</f>
        <v/>
      </c>
      <c r="J355" s="85" t="str">
        <f>IF(COPY!N353&gt;0,COPY!N353,"")</f>
        <v/>
      </c>
      <c r="K355" s="86" t="str">
        <f>IF(N355=0,(IF(LEFT(Table13[[#This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Row],[URAIAN]],$U$194:$V$210,2,FALSE),""),""),0))))),N355)</f>
        <v/>
      </c>
      <c r="L355" s="85" t="str">
        <f>IF(Table13[[#This Row],[Column2]]="KWITANSI",COUNTIF($K$4:K355,"KWITANSI")," ")</f>
        <v xml:space="preserve"> </v>
      </c>
      <c r="M355" s="85" t="str">
        <f>IF(Table13[[#This Row],[Column3]]=" "," ",Table13[[#This Row],[CODE]])</f>
        <v xml:space="preserve"> </v>
      </c>
      <c r="N355" s="368"/>
      <c r="P355" s="81" t="str">
        <f t="shared" si="5"/>
        <v/>
      </c>
    </row>
    <row r="356" spans="1:16" hidden="1" x14ac:dyDescent="0.15">
      <c r="A356" s="81" t="str">
        <f>COPY!O354</f>
        <v/>
      </c>
      <c r="B356" s="81" t="str">
        <f>COPY!C354</f>
        <v/>
      </c>
      <c r="C356" s="82" t="str">
        <f>COPY!D354</f>
        <v/>
      </c>
      <c r="D356" s="81" t="str">
        <f>IF(Table13[[#This Row],[JUMLAH]]&gt;1,(IF(Table13[[#This Row],[CODE]]=" ",D355&amp;"a",IF(Table13[[#This Row],[CODE]]&gt;0,Table13[[#This Row],[CODE]],0))),"")</f>
        <v/>
      </c>
      <c r="E356" s="81" t="str">
        <f>IF(COPY!G354&gt;0,COPY!G354,"")</f>
        <v/>
      </c>
      <c r="F356" s="88" t="str">
        <f>IF(COPY!J354&gt;0,COPY!J354,"")</f>
        <v/>
      </c>
      <c r="G356" s="85" t="str">
        <f>IF(COPY!H354&gt;0,COPY!H354,"")</f>
        <v/>
      </c>
      <c r="H356" s="85" t="str">
        <f>IF(COPY!I354&gt;0,COPY!I354,"")</f>
        <v/>
      </c>
      <c r="I356" s="85" t="str">
        <f>IF(COPY!M354&gt;0,COPY!M354,"")</f>
        <v/>
      </c>
      <c r="J356" s="85" t="str">
        <f>IF(COPY!N354&gt;0,COPY!N354,"")</f>
        <v/>
      </c>
      <c r="K356" s="86" t="str">
        <f>IF(N356=0,(IF(LEFT(Table13[[#This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Row],[URAIAN]],$U$194:$V$210,2,FALSE),""),""),0))))),N356)</f>
        <v/>
      </c>
      <c r="L356" s="85" t="str">
        <f>IF(Table13[[#This Row],[Column2]]="KWITANSI",COUNTIF($K$4:K356,"KWITANSI")," ")</f>
        <v xml:space="preserve"> </v>
      </c>
      <c r="M356" s="85" t="str">
        <f>IF(Table13[[#This Row],[Column3]]=" "," ",Table13[[#This Row],[CODE]])</f>
        <v xml:space="preserve"> </v>
      </c>
      <c r="N356" s="368"/>
      <c r="P356" s="81" t="str">
        <f t="shared" si="5"/>
        <v/>
      </c>
    </row>
    <row r="357" spans="1:16" hidden="1" x14ac:dyDescent="0.15">
      <c r="A357" s="81" t="str">
        <f>COPY!O355</f>
        <v/>
      </c>
      <c r="B357" s="81" t="str">
        <f>COPY!C355</f>
        <v/>
      </c>
      <c r="C357" s="82" t="str">
        <f>COPY!D355</f>
        <v/>
      </c>
      <c r="D357" s="81" t="str">
        <f>IF(Table13[[#This Row],[JUMLAH]]&gt;1,(IF(Table13[[#This Row],[CODE]]=" ",D356&amp;"a",IF(Table13[[#This Row],[CODE]]&gt;0,Table13[[#This Row],[CODE]],0))),"")</f>
        <v/>
      </c>
      <c r="E357" s="81" t="str">
        <f>IF(COPY!G355&gt;0,COPY!G355,"")</f>
        <v/>
      </c>
      <c r="F357" s="88" t="str">
        <f>IF(COPY!J355&gt;0,COPY!J355,"")</f>
        <v/>
      </c>
      <c r="G357" s="85" t="str">
        <f>IF(COPY!H355&gt;0,COPY!H355,"")</f>
        <v/>
      </c>
      <c r="H357" s="85" t="str">
        <f>IF(COPY!I355&gt;0,COPY!I355,"")</f>
        <v/>
      </c>
      <c r="I357" s="85" t="str">
        <f>IF(COPY!M355&gt;0,COPY!M355,"")</f>
        <v/>
      </c>
      <c r="J357" s="85" t="str">
        <f>IF(COPY!N355&gt;0,COPY!N355,"")</f>
        <v/>
      </c>
      <c r="K357" s="86" t="str">
        <f>IF(N357=0,(IF(LEFT(Table13[[#This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Row],[URAIAN]],$U$194:$V$210,2,FALSE),""),""),0))))),N357)</f>
        <v/>
      </c>
      <c r="L357" s="85" t="str">
        <f>IF(Table13[[#This Row],[Column2]]="KWITANSI",COUNTIF($K$4:K357,"KWITANSI")," ")</f>
        <v xml:space="preserve"> </v>
      </c>
      <c r="M357" s="85" t="str">
        <f>IF(Table13[[#This Row],[Column3]]=" "," ",Table13[[#This Row],[CODE]])</f>
        <v xml:space="preserve"> </v>
      </c>
      <c r="N357" s="368"/>
      <c r="P357" s="81" t="str">
        <f t="shared" si="5"/>
        <v/>
      </c>
    </row>
    <row r="358" spans="1:16" hidden="1" x14ac:dyDescent="0.15">
      <c r="A358" s="81" t="str">
        <f>COPY!O356</f>
        <v/>
      </c>
      <c r="B358" s="81" t="str">
        <f>COPY!C356</f>
        <v/>
      </c>
      <c r="C358" s="82" t="str">
        <f>COPY!D356</f>
        <v/>
      </c>
      <c r="D358" s="81" t="str">
        <f>IF(Table13[[#This Row],[JUMLAH]]&gt;1,(IF(Table13[[#This Row],[CODE]]=" ",D357&amp;"a",IF(Table13[[#This Row],[CODE]]&gt;0,Table13[[#This Row],[CODE]],0))),"")</f>
        <v/>
      </c>
      <c r="E358" s="81" t="str">
        <f>IF(COPY!G356&gt;0,COPY!G356,"")</f>
        <v/>
      </c>
      <c r="F358" s="88" t="str">
        <f>IF(COPY!J356&gt;0,COPY!J356,"")</f>
        <v/>
      </c>
      <c r="G358" s="85" t="str">
        <f>IF(COPY!H356&gt;0,COPY!H356,"")</f>
        <v/>
      </c>
      <c r="H358" s="85" t="str">
        <f>IF(COPY!I356&gt;0,COPY!I356,"")</f>
        <v/>
      </c>
      <c r="I358" s="85" t="str">
        <f>IF(COPY!M356&gt;0,COPY!M356,"")</f>
        <v/>
      </c>
      <c r="J358" s="85" t="str">
        <f>IF(COPY!N356&gt;0,COPY!N356,"")</f>
        <v/>
      </c>
      <c r="K358" s="86" t="str">
        <f>IF(N358=0,(IF(LEFT(Table13[[#This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Row],[URAIAN]],$U$194:$V$210,2,FALSE),""),""),0))))),N358)</f>
        <v/>
      </c>
      <c r="L358" s="85" t="str">
        <f>IF(Table13[[#This Row],[Column2]]="KWITANSI",COUNTIF($K$4:K358,"KWITANSI")," ")</f>
        <v xml:space="preserve"> </v>
      </c>
      <c r="M358" s="85" t="str">
        <f>IF(Table13[[#This Row],[Column3]]=" "," ",Table13[[#This Row],[CODE]])</f>
        <v xml:space="preserve"> </v>
      </c>
      <c r="N358" s="368"/>
      <c r="P358" s="81" t="str">
        <f t="shared" si="5"/>
        <v/>
      </c>
    </row>
    <row r="359" spans="1:16" hidden="1" x14ac:dyDescent="0.15">
      <c r="A359" s="81" t="str">
        <f>COPY!O357</f>
        <v/>
      </c>
      <c r="B359" s="81" t="str">
        <f>COPY!C357</f>
        <v/>
      </c>
      <c r="C359" s="82" t="str">
        <f>COPY!D357</f>
        <v/>
      </c>
      <c r="D359" s="81" t="str">
        <f>IF(Table13[[#This Row],[JUMLAH]]&gt;1,(IF(Table13[[#This Row],[CODE]]=" ",D358&amp;"a",IF(Table13[[#This Row],[CODE]]&gt;0,Table13[[#This Row],[CODE]],0))),"")</f>
        <v/>
      </c>
      <c r="E359" s="81" t="str">
        <f>IF(COPY!G357&gt;0,COPY!G357,"")</f>
        <v/>
      </c>
      <c r="F359" s="88" t="str">
        <f>IF(COPY!J357&gt;0,COPY!J357,"")</f>
        <v/>
      </c>
      <c r="G359" s="85" t="str">
        <f>IF(COPY!H357&gt;0,COPY!H357,"")</f>
        <v/>
      </c>
      <c r="H359" s="85" t="str">
        <f>IF(COPY!I357&gt;0,COPY!I357,"")</f>
        <v/>
      </c>
      <c r="I359" s="85" t="str">
        <f>IF(COPY!M357&gt;0,COPY!M357,"")</f>
        <v/>
      </c>
      <c r="J359" s="85" t="str">
        <f>IF(COPY!N357&gt;0,COPY!N357,"")</f>
        <v/>
      </c>
      <c r="K359" s="86" t="str">
        <f>IF(N359=0,(IF(LEFT(Table13[[#This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Row],[URAIAN]],$U$194:$V$210,2,FALSE),""),""),0))))),N359)</f>
        <v/>
      </c>
      <c r="L359" s="85" t="str">
        <f>IF(Table13[[#This Row],[Column2]]="KWITANSI",COUNTIF($K$4:K359,"KWITANSI")," ")</f>
        <v xml:space="preserve"> </v>
      </c>
      <c r="M359" s="85" t="str">
        <f>IF(Table13[[#This Row],[Column3]]=" "," ",Table13[[#This Row],[CODE]])</f>
        <v xml:space="preserve"> </v>
      </c>
      <c r="N359" s="368"/>
      <c r="P359" s="81" t="str">
        <f t="shared" si="5"/>
        <v/>
      </c>
    </row>
    <row r="360" spans="1:16" hidden="1" x14ac:dyDescent="0.15">
      <c r="A360" s="81" t="str">
        <f>COPY!O358</f>
        <v/>
      </c>
      <c r="B360" s="81" t="str">
        <f>COPY!C358</f>
        <v/>
      </c>
      <c r="C360" s="82" t="str">
        <f>COPY!D358</f>
        <v/>
      </c>
      <c r="D360" s="81" t="str">
        <f>IF(Table13[[#This Row],[JUMLAH]]&gt;1,(IF(Table13[[#This Row],[CODE]]=" ",D359&amp;"a",IF(Table13[[#This Row],[CODE]]&gt;0,Table13[[#This Row],[CODE]],0))),"")</f>
        <v/>
      </c>
      <c r="E360" s="81" t="str">
        <f>IF(COPY!G358&gt;0,COPY!G358,"")</f>
        <v/>
      </c>
      <c r="F360" s="88" t="str">
        <f>IF(COPY!J358&gt;0,COPY!J358,"")</f>
        <v/>
      </c>
      <c r="G360" s="85" t="str">
        <f>IF(COPY!H358&gt;0,COPY!H358,"")</f>
        <v/>
      </c>
      <c r="H360" s="85" t="str">
        <f>IF(COPY!I358&gt;0,COPY!I358,"")</f>
        <v/>
      </c>
      <c r="I360" s="85" t="str">
        <f>IF(COPY!M358&gt;0,COPY!M358,"")</f>
        <v/>
      </c>
      <c r="J360" s="85" t="str">
        <f>IF(COPY!N358&gt;0,COPY!N358,"")</f>
        <v/>
      </c>
      <c r="K360" s="86" t="str">
        <f>IF(N360=0,(IF(LEFT(Table13[[#This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Row],[URAIAN]],$U$194:$V$210,2,FALSE),""),""),0))))),N360)</f>
        <v/>
      </c>
      <c r="L360" s="85" t="str">
        <f>IF(Table13[[#This Row],[Column2]]="KWITANSI",COUNTIF($K$4:K360,"KWITANSI")," ")</f>
        <v xml:space="preserve"> </v>
      </c>
      <c r="M360" s="85" t="str">
        <f>IF(Table13[[#This Row],[Column3]]=" "," ",Table13[[#This Row],[CODE]])</f>
        <v xml:space="preserve"> </v>
      </c>
      <c r="N360" s="368"/>
      <c r="P360" s="81" t="str">
        <f t="shared" si="5"/>
        <v/>
      </c>
    </row>
    <row r="361" spans="1:16" hidden="1" x14ac:dyDescent="0.15">
      <c r="A361" s="81" t="str">
        <f>COPY!O359</f>
        <v/>
      </c>
      <c r="B361" s="81" t="str">
        <f>COPY!C359</f>
        <v/>
      </c>
      <c r="C361" s="82" t="str">
        <f>COPY!D359</f>
        <v/>
      </c>
      <c r="D361" s="81" t="str">
        <f>IF(Table13[[#This Row],[JUMLAH]]&gt;1,(IF(Table13[[#This Row],[CODE]]=" ",D360&amp;"a",IF(Table13[[#This Row],[CODE]]&gt;0,Table13[[#This Row],[CODE]],0))),"")</f>
        <v/>
      </c>
      <c r="E361" s="81" t="str">
        <f>IF(COPY!G359&gt;0,COPY!G359,"")</f>
        <v/>
      </c>
      <c r="F361" s="88" t="str">
        <f>IF(COPY!J359&gt;0,COPY!J359,"")</f>
        <v/>
      </c>
      <c r="G361" s="85" t="str">
        <f>IF(COPY!H359&gt;0,COPY!H359,"")</f>
        <v/>
      </c>
      <c r="H361" s="85" t="str">
        <f>IF(COPY!I359&gt;0,COPY!I359,"")</f>
        <v/>
      </c>
      <c r="I361" s="85" t="str">
        <f>IF(COPY!M359&gt;0,COPY!M359,"")</f>
        <v/>
      </c>
      <c r="J361" s="85" t="str">
        <f>IF(COPY!N359&gt;0,COPY!N359,"")</f>
        <v/>
      </c>
      <c r="K361" s="86" t="str">
        <f>IF(N361=0,(IF(LEFT(Table13[[#This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Row],[URAIAN]],$U$194:$V$210,2,FALSE),""),""),0))))),N361)</f>
        <v/>
      </c>
      <c r="L361" s="85" t="str">
        <f>IF(Table13[[#This Row],[Column2]]="KWITANSI",COUNTIF($K$4:K361,"KWITANSI")," ")</f>
        <v xml:space="preserve"> </v>
      </c>
      <c r="M361" s="85" t="str">
        <f>IF(Table13[[#This Row],[Column3]]=" "," ",Table13[[#This Row],[CODE]])</f>
        <v xml:space="preserve"> </v>
      </c>
      <c r="N361" s="368"/>
      <c r="P361" s="81" t="str">
        <f t="shared" si="5"/>
        <v/>
      </c>
    </row>
    <row r="362" spans="1:16" hidden="1" x14ac:dyDescent="0.15">
      <c r="A362" s="81" t="str">
        <f>COPY!O360</f>
        <v/>
      </c>
      <c r="B362" s="81" t="str">
        <f>COPY!C360</f>
        <v/>
      </c>
      <c r="C362" s="82" t="str">
        <f>COPY!D360</f>
        <v/>
      </c>
      <c r="D362" s="81" t="str">
        <f>IF(Table13[[#This Row],[JUMLAH]]&gt;1,(IF(Table13[[#This Row],[CODE]]=" ",D361&amp;"a",IF(Table13[[#This Row],[CODE]]&gt;0,Table13[[#This Row],[CODE]],0))),"")</f>
        <v/>
      </c>
      <c r="E362" s="81" t="str">
        <f>IF(COPY!G360&gt;0,COPY!G360,"")</f>
        <v/>
      </c>
      <c r="F362" s="88" t="str">
        <f>IF(COPY!J360&gt;0,COPY!J360,"")</f>
        <v/>
      </c>
      <c r="G362" s="85" t="str">
        <f>IF(COPY!H360&gt;0,COPY!H360,"")</f>
        <v/>
      </c>
      <c r="H362" s="85" t="str">
        <f>IF(COPY!I360&gt;0,COPY!I360,"")</f>
        <v/>
      </c>
      <c r="I362" s="85" t="str">
        <f>IF(COPY!M360&gt;0,COPY!M360,"")</f>
        <v/>
      </c>
      <c r="J362" s="85" t="str">
        <f>IF(COPY!N360&gt;0,COPY!N360,"")</f>
        <v/>
      </c>
      <c r="K362" s="86" t="str">
        <f>IF(N362=0,(IF(LEFT(Table13[[#This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Row],[URAIAN]],$U$194:$V$210,2,FALSE),""),""),0))))),N362)</f>
        <v/>
      </c>
      <c r="L362" s="85" t="str">
        <f>IF(Table13[[#This Row],[Column2]]="KWITANSI",COUNTIF($K$4:K362,"KWITANSI")," ")</f>
        <v xml:space="preserve"> </v>
      </c>
      <c r="M362" s="85" t="str">
        <f>IF(Table13[[#This Row],[Column3]]=" "," ",Table13[[#This Row],[CODE]])</f>
        <v xml:space="preserve"> </v>
      </c>
      <c r="N362" s="368"/>
      <c r="P362" s="81" t="str">
        <f t="shared" si="5"/>
        <v/>
      </c>
    </row>
    <row r="363" spans="1:16" hidden="1" x14ac:dyDescent="0.15">
      <c r="A363" s="81" t="str">
        <f>COPY!O361</f>
        <v/>
      </c>
      <c r="B363" s="81" t="str">
        <f>COPY!C361</f>
        <v/>
      </c>
      <c r="C363" s="82" t="str">
        <f>COPY!D361</f>
        <v/>
      </c>
      <c r="D363" s="81" t="str">
        <f>IF(Table13[[#This Row],[JUMLAH]]&gt;1,(IF(Table13[[#This Row],[CODE]]=" ",D362&amp;"a",IF(Table13[[#This Row],[CODE]]&gt;0,Table13[[#This Row],[CODE]],0))),"")</f>
        <v/>
      </c>
      <c r="E363" s="81" t="str">
        <f>IF(COPY!G361&gt;0,COPY!G361,"")</f>
        <v/>
      </c>
      <c r="F363" s="88" t="str">
        <f>IF(COPY!J361&gt;0,COPY!J361,"")</f>
        <v/>
      </c>
      <c r="G363" s="85" t="str">
        <f>IF(COPY!H361&gt;0,COPY!H361,"")</f>
        <v/>
      </c>
      <c r="H363" s="85" t="str">
        <f>IF(COPY!I361&gt;0,COPY!I361,"")</f>
        <v/>
      </c>
      <c r="I363" s="85" t="str">
        <f>IF(COPY!M361&gt;0,COPY!M361,"")</f>
        <v/>
      </c>
      <c r="J363" s="85" t="str">
        <f>IF(COPY!N361&gt;0,COPY!N361,"")</f>
        <v/>
      </c>
      <c r="K363" s="86" t="str">
        <f>IF(N363=0,(IF(LEFT(Table13[[#This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Row],[URAIAN]],$U$194:$V$210,2,FALSE),""),""),0))))),N363)</f>
        <v/>
      </c>
      <c r="L363" s="85" t="str">
        <f>IF(Table13[[#This Row],[Column2]]="KWITANSI",COUNTIF($K$4:K363,"KWITANSI")," ")</f>
        <v xml:space="preserve"> </v>
      </c>
      <c r="M363" s="85" t="str">
        <f>IF(Table13[[#This Row],[Column3]]=" "," ",Table13[[#This Row],[CODE]])</f>
        <v xml:space="preserve"> </v>
      </c>
      <c r="N363" s="368"/>
      <c r="P363" s="81" t="str">
        <f t="shared" si="5"/>
        <v/>
      </c>
    </row>
    <row r="364" spans="1:16" hidden="1" x14ac:dyDescent="0.15">
      <c r="A364" s="81" t="str">
        <f>COPY!O362</f>
        <v/>
      </c>
      <c r="B364" s="81" t="str">
        <f>COPY!C362</f>
        <v/>
      </c>
      <c r="C364" s="82" t="str">
        <f>COPY!D362</f>
        <v/>
      </c>
      <c r="D364" s="81" t="str">
        <f>IF(Table13[[#This Row],[JUMLAH]]&gt;1,(IF(Table13[[#This Row],[CODE]]=" ",D363&amp;"a",IF(Table13[[#This Row],[CODE]]&gt;0,Table13[[#This Row],[CODE]],0))),"")</f>
        <v/>
      </c>
      <c r="E364" s="81" t="str">
        <f>IF(COPY!G362&gt;0,COPY!G362,"")</f>
        <v/>
      </c>
      <c r="F364" s="88" t="str">
        <f>IF(COPY!J362&gt;0,COPY!J362,"")</f>
        <v/>
      </c>
      <c r="G364" s="85" t="str">
        <f>IF(COPY!H362&gt;0,COPY!H362,"")</f>
        <v/>
      </c>
      <c r="H364" s="85" t="str">
        <f>IF(COPY!I362&gt;0,COPY!I362,"")</f>
        <v/>
      </c>
      <c r="I364" s="85" t="str">
        <f>IF(COPY!M362&gt;0,COPY!M362,"")</f>
        <v/>
      </c>
      <c r="J364" s="85" t="str">
        <f>IF(COPY!N362&gt;0,COPY!N362,"")</f>
        <v/>
      </c>
      <c r="K364" s="86" t="str">
        <f>IF(N364=0,(IF(LEFT(Table13[[#This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Row],[URAIAN]],$U$194:$V$210,2,FALSE),""),""),0))))),N364)</f>
        <v/>
      </c>
      <c r="L364" s="85" t="str">
        <f>IF(Table13[[#This Row],[Column2]]="KWITANSI",COUNTIF($K$4:K364,"KWITANSI")," ")</f>
        <v xml:space="preserve"> </v>
      </c>
      <c r="M364" s="85" t="str">
        <f>IF(Table13[[#This Row],[Column3]]=" "," ",Table13[[#This Row],[CODE]])</f>
        <v xml:space="preserve"> </v>
      </c>
      <c r="N364" s="368"/>
      <c r="P364" s="81" t="str">
        <f t="shared" si="5"/>
        <v/>
      </c>
    </row>
    <row r="365" spans="1:16" hidden="1" x14ac:dyDescent="0.15">
      <c r="A365" s="81" t="str">
        <f>COPY!O363</f>
        <v/>
      </c>
      <c r="B365" s="81" t="str">
        <f>COPY!C363</f>
        <v/>
      </c>
      <c r="C365" s="82" t="str">
        <f>COPY!D363</f>
        <v/>
      </c>
      <c r="D365" s="81" t="str">
        <f>IF(Table13[[#This Row],[JUMLAH]]&gt;1,(IF(Table13[[#This Row],[CODE]]=" ",D364&amp;"a",IF(Table13[[#This Row],[CODE]]&gt;0,Table13[[#This Row],[CODE]],0))),"")</f>
        <v/>
      </c>
      <c r="E365" s="81" t="str">
        <f>IF(COPY!G363&gt;0,COPY!G363,"")</f>
        <v/>
      </c>
      <c r="F365" s="88" t="str">
        <f>IF(COPY!J363&gt;0,COPY!J363,"")</f>
        <v/>
      </c>
      <c r="G365" s="85" t="str">
        <f>IF(COPY!H363&gt;0,COPY!H363,"")</f>
        <v/>
      </c>
      <c r="H365" s="85" t="str">
        <f>IF(COPY!I363&gt;0,COPY!I363,"")</f>
        <v/>
      </c>
      <c r="I365" s="85" t="str">
        <f>IF(COPY!M363&gt;0,COPY!M363,"")</f>
        <v/>
      </c>
      <c r="J365" s="85" t="str">
        <f>IF(COPY!N363&gt;0,COPY!N363,"")</f>
        <v/>
      </c>
      <c r="K365" s="86" t="str">
        <f>IF(N365=0,(IF(LEFT(Table13[[#This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Row],[URAIAN]],$U$194:$V$210,2,FALSE),""),""),0))))),N365)</f>
        <v/>
      </c>
      <c r="L365" s="85" t="str">
        <f>IF(Table13[[#This Row],[Column2]]="KWITANSI",COUNTIF($K$4:K365,"KWITANSI")," ")</f>
        <v xml:space="preserve"> </v>
      </c>
      <c r="M365" s="85" t="str">
        <f>IF(Table13[[#This Row],[Column3]]=" "," ",Table13[[#This Row],[CODE]])</f>
        <v xml:space="preserve"> </v>
      </c>
      <c r="N365" s="368"/>
      <c r="P365" s="81" t="str">
        <f t="shared" si="5"/>
        <v/>
      </c>
    </row>
    <row r="366" spans="1:16" hidden="1" x14ac:dyDescent="0.15">
      <c r="A366" s="81" t="str">
        <f>COPY!O364</f>
        <v/>
      </c>
      <c r="B366" s="81" t="str">
        <f>COPY!C364</f>
        <v/>
      </c>
      <c r="C366" s="82" t="str">
        <f>COPY!D364</f>
        <v/>
      </c>
      <c r="D366" s="81" t="str">
        <f>IF(Table13[[#This Row],[JUMLAH]]&gt;1,(IF(Table13[[#This Row],[CODE]]=" ",D365&amp;"a",IF(Table13[[#This Row],[CODE]]&gt;0,Table13[[#This Row],[CODE]],0))),"")</f>
        <v/>
      </c>
      <c r="E366" s="81" t="str">
        <f>IF(COPY!G364&gt;0,COPY!G364,"")</f>
        <v/>
      </c>
      <c r="F366" s="88" t="str">
        <f>IF(COPY!J364&gt;0,COPY!J364,"")</f>
        <v/>
      </c>
      <c r="G366" s="85" t="str">
        <f>IF(COPY!H364&gt;0,COPY!H364,"")</f>
        <v/>
      </c>
      <c r="H366" s="85" t="str">
        <f>IF(COPY!I364&gt;0,COPY!I364,"")</f>
        <v/>
      </c>
      <c r="I366" s="85" t="str">
        <f>IF(COPY!M364&gt;0,COPY!M364,"")</f>
        <v/>
      </c>
      <c r="J366" s="85" t="str">
        <f>IF(COPY!N364&gt;0,COPY!N364,"")</f>
        <v/>
      </c>
      <c r="K366" s="86" t="str">
        <f>IF(N366=0,(IF(LEFT(Table13[[#This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Row],[URAIAN]],$U$194:$V$210,2,FALSE),""),""),0))))),N366)</f>
        <v/>
      </c>
      <c r="L366" s="85" t="str">
        <f>IF(Table13[[#This Row],[Column2]]="KWITANSI",COUNTIF($K$4:K366,"KWITANSI")," ")</f>
        <v xml:space="preserve"> </v>
      </c>
      <c r="M366" s="85" t="str">
        <f>IF(Table13[[#This Row],[Column3]]=" "," ",Table13[[#This Row],[CODE]])</f>
        <v xml:space="preserve"> </v>
      </c>
      <c r="N366" s="368"/>
      <c r="P366" s="81" t="str">
        <f t="shared" si="5"/>
        <v/>
      </c>
    </row>
    <row r="367" spans="1:16" hidden="1" x14ac:dyDescent="0.15">
      <c r="A367" s="81" t="str">
        <f>COPY!O365</f>
        <v/>
      </c>
      <c r="B367" s="81" t="str">
        <f>COPY!C365</f>
        <v/>
      </c>
      <c r="C367" s="82" t="str">
        <f>COPY!D365</f>
        <v/>
      </c>
      <c r="D367" s="81" t="str">
        <f>IF(Table13[[#This Row],[JUMLAH]]&gt;1,(IF(Table13[[#This Row],[CODE]]=" ",D366&amp;"a",IF(Table13[[#This Row],[CODE]]&gt;0,Table13[[#This Row],[CODE]],0))),"")</f>
        <v/>
      </c>
      <c r="E367" s="81" t="str">
        <f>IF(COPY!G365&gt;0,COPY!G365,"")</f>
        <v/>
      </c>
      <c r="F367" s="88" t="str">
        <f>IF(COPY!J365&gt;0,COPY!J365,"")</f>
        <v/>
      </c>
      <c r="G367" s="85" t="str">
        <f>IF(COPY!H365&gt;0,COPY!H365,"")</f>
        <v/>
      </c>
      <c r="H367" s="85" t="str">
        <f>IF(COPY!I365&gt;0,COPY!I365,"")</f>
        <v/>
      </c>
      <c r="I367" s="85" t="str">
        <f>IF(COPY!M365&gt;0,COPY!M365,"")</f>
        <v/>
      </c>
      <c r="J367" s="85" t="str">
        <f>IF(COPY!N365&gt;0,COPY!N365,"")</f>
        <v/>
      </c>
      <c r="K367" s="86" t="str">
        <f>IF(N367=0,(IF(LEFT(Table13[[#This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Row],[URAIAN]],$U$194:$V$210,2,FALSE),""),""),0))))),N367)</f>
        <v/>
      </c>
      <c r="L367" s="85" t="str">
        <f>IF(Table13[[#This Row],[Column2]]="KWITANSI",COUNTIF($K$4:K367,"KWITANSI")," ")</f>
        <v xml:space="preserve"> </v>
      </c>
      <c r="M367" s="85" t="str">
        <f>IF(Table13[[#This Row],[Column3]]=" "," ",Table13[[#This Row],[CODE]])</f>
        <v xml:space="preserve"> </v>
      </c>
      <c r="N367" s="368"/>
      <c r="P367" s="81" t="str">
        <f t="shared" si="5"/>
        <v/>
      </c>
    </row>
    <row r="368" spans="1:16" hidden="1" x14ac:dyDescent="0.15">
      <c r="A368" s="81" t="str">
        <f>COPY!O366</f>
        <v/>
      </c>
      <c r="B368" s="81" t="str">
        <f>COPY!C366</f>
        <v/>
      </c>
      <c r="C368" s="82" t="str">
        <f>COPY!D366</f>
        <v/>
      </c>
      <c r="D368" s="81" t="str">
        <f>IF(Table13[[#This Row],[JUMLAH]]&gt;1,(IF(Table13[[#This Row],[CODE]]=" ",D367&amp;"a",IF(Table13[[#This Row],[CODE]]&gt;0,Table13[[#This Row],[CODE]],0))),"")</f>
        <v/>
      </c>
      <c r="E368" s="81" t="str">
        <f>IF(COPY!G366&gt;0,COPY!G366,"")</f>
        <v/>
      </c>
      <c r="F368" s="88" t="str">
        <f>IF(COPY!J366&gt;0,COPY!J366,"")</f>
        <v/>
      </c>
      <c r="G368" s="85" t="str">
        <f>IF(COPY!H366&gt;0,COPY!H366,"")</f>
        <v/>
      </c>
      <c r="H368" s="85" t="str">
        <f>IF(COPY!I366&gt;0,COPY!I366,"")</f>
        <v/>
      </c>
      <c r="I368" s="85" t="str">
        <f>IF(COPY!M366&gt;0,COPY!M366,"")</f>
        <v/>
      </c>
      <c r="J368" s="85" t="str">
        <f>IF(COPY!N366&gt;0,COPY!N366,"")</f>
        <v/>
      </c>
      <c r="K368" s="86" t="str">
        <f>IF(N368=0,(IF(LEFT(Table13[[#This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Row],[URAIAN]],$U$194:$V$210,2,FALSE),""),""),0))))),N368)</f>
        <v/>
      </c>
      <c r="L368" s="85" t="str">
        <f>IF(Table13[[#This Row],[Column2]]="KWITANSI",COUNTIF($K$4:K368,"KWITANSI")," ")</f>
        <v xml:space="preserve"> </v>
      </c>
      <c r="M368" s="85" t="str">
        <f>IF(Table13[[#This Row],[Column3]]=" "," ",Table13[[#This Row],[CODE]])</f>
        <v xml:space="preserve"> </v>
      </c>
      <c r="N368" s="368"/>
      <c r="P368" s="81" t="str">
        <f t="shared" si="5"/>
        <v/>
      </c>
    </row>
    <row r="369" spans="1:16" hidden="1" x14ac:dyDescent="0.15">
      <c r="A369" s="81" t="str">
        <f>COPY!O367</f>
        <v/>
      </c>
      <c r="B369" s="81" t="str">
        <f>COPY!C367</f>
        <v/>
      </c>
      <c r="C369" s="82" t="str">
        <f>COPY!D367</f>
        <v/>
      </c>
      <c r="D369" s="81" t="str">
        <f>IF(Table13[[#This Row],[JUMLAH]]&gt;1,(IF(Table13[[#This Row],[CODE]]=" ",D368&amp;"a",IF(Table13[[#This Row],[CODE]]&gt;0,Table13[[#This Row],[CODE]],0))),"")</f>
        <v/>
      </c>
      <c r="E369" s="81" t="str">
        <f>IF(COPY!G367&gt;0,COPY!G367,"")</f>
        <v/>
      </c>
      <c r="F369" s="88" t="str">
        <f>IF(COPY!J367&gt;0,COPY!J367,"")</f>
        <v/>
      </c>
      <c r="G369" s="85" t="str">
        <f>IF(COPY!H367&gt;0,COPY!H367,"")</f>
        <v/>
      </c>
      <c r="H369" s="85" t="str">
        <f>IF(COPY!I367&gt;0,COPY!I367,"")</f>
        <v/>
      </c>
      <c r="I369" s="85" t="str">
        <f>IF(COPY!M367&gt;0,COPY!M367,"")</f>
        <v/>
      </c>
      <c r="J369" s="85" t="str">
        <f>IF(COPY!N367&gt;0,COPY!N367,"")</f>
        <v/>
      </c>
      <c r="K369" s="86" t="str">
        <f>IF(N369=0,(IF(LEFT(Table13[[#This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Row],[URAIAN]],$U$194:$V$210,2,FALSE),""),""),0))))),N369)</f>
        <v/>
      </c>
      <c r="L369" s="85" t="str">
        <f>IF(Table13[[#This Row],[Column2]]="KWITANSI",COUNTIF($K$4:K369,"KWITANSI")," ")</f>
        <v xml:space="preserve"> </v>
      </c>
      <c r="M369" s="85" t="str">
        <f>IF(Table13[[#This Row],[Column3]]=" "," ",Table13[[#This Row],[CODE]])</f>
        <v xml:space="preserve"> </v>
      </c>
      <c r="N369" s="368"/>
      <c r="P369" s="81" t="str">
        <f t="shared" si="5"/>
        <v/>
      </c>
    </row>
    <row r="370" spans="1:16" hidden="1" x14ac:dyDescent="0.15">
      <c r="A370" s="81" t="str">
        <f>COPY!O368</f>
        <v/>
      </c>
      <c r="B370" s="81" t="str">
        <f>COPY!C368</f>
        <v/>
      </c>
      <c r="C370" s="82" t="str">
        <f>COPY!D368</f>
        <v/>
      </c>
      <c r="D370" s="81" t="str">
        <f>IF(Table13[[#This Row],[JUMLAH]]&gt;1,(IF(Table13[[#This Row],[CODE]]=" ",D369&amp;"a",IF(Table13[[#This Row],[CODE]]&gt;0,Table13[[#This Row],[CODE]],0))),"")</f>
        <v/>
      </c>
      <c r="E370" s="81" t="str">
        <f>IF(COPY!G368&gt;0,COPY!G368,"")</f>
        <v/>
      </c>
      <c r="F370" s="88" t="str">
        <f>IF(COPY!J368&gt;0,COPY!J368,"")</f>
        <v/>
      </c>
      <c r="G370" s="85" t="str">
        <f>IF(COPY!H368&gt;0,COPY!H368,"")</f>
        <v/>
      </c>
      <c r="H370" s="85" t="str">
        <f>IF(COPY!I368&gt;0,COPY!I368,"")</f>
        <v/>
      </c>
      <c r="I370" s="85" t="str">
        <f>IF(COPY!M368&gt;0,COPY!M368,"")</f>
        <v/>
      </c>
      <c r="J370" s="85" t="str">
        <f>IF(COPY!N368&gt;0,COPY!N368,"")</f>
        <v/>
      </c>
      <c r="K370" s="86" t="str">
        <f>IF(N370=0,(IF(LEFT(Table13[[#This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Row],[URAIAN]],$U$194:$V$210,2,FALSE),""),""),0))))),N370)</f>
        <v/>
      </c>
      <c r="L370" s="85" t="str">
        <f>IF(Table13[[#This Row],[Column2]]="KWITANSI",COUNTIF($K$4:K370,"KWITANSI")," ")</f>
        <v xml:space="preserve"> </v>
      </c>
      <c r="M370" s="85" t="str">
        <f>IF(Table13[[#This Row],[Column3]]=" "," ",Table13[[#This Row],[CODE]])</f>
        <v xml:space="preserve"> </v>
      </c>
      <c r="N370" s="368"/>
      <c r="P370" s="81" t="str">
        <f t="shared" si="5"/>
        <v/>
      </c>
    </row>
    <row r="371" spans="1:16" hidden="1" x14ac:dyDescent="0.15">
      <c r="A371" s="81" t="str">
        <f>COPY!O369</f>
        <v/>
      </c>
      <c r="B371" s="81" t="str">
        <f>COPY!C369</f>
        <v/>
      </c>
      <c r="C371" s="82" t="str">
        <f>COPY!D369</f>
        <v/>
      </c>
      <c r="D371" s="81" t="str">
        <f>IF(Table13[[#This Row],[JUMLAH]]&gt;1,(IF(Table13[[#This Row],[CODE]]=" ",D370&amp;"a",IF(Table13[[#This Row],[CODE]]&gt;0,Table13[[#This Row],[CODE]],0))),"")</f>
        <v/>
      </c>
      <c r="E371" s="81" t="str">
        <f>IF(COPY!G369&gt;0,COPY!G369,"")</f>
        <v/>
      </c>
      <c r="F371" s="88" t="str">
        <f>IF(COPY!J369&gt;0,COPY!J369,"")</f>
        <v/>
      </c>
      <c r="G371" s="85" t="str">
        <f>IF(COPY!H369&gt;0,COPY!H369,"")</f>
        <v/>
      </c>
      <c r="H371" s="85" t="str">
        <f>IF(COPY!I369&gt;0,COPY!I369,"")</f>
        <v/>
      </c>
      <c r="I371" s="85" t="str">
        <f>IF(COPY!M369&gt;0,COPY!M369,"")</f>
        <v/>
      </c>
      <c r="J371" s="85" t="str">
        <f>IF(COPY!N369&gt;0,COPY!N369,"")</f>
        <v/>
      </c>
      <c r="K371" s="86" t="str">
        <f>IF(N371=0,(IF(LEFT(Table13[[#This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Row],[URAIAN]],$U$194:$V$210,2,FALSE),""),""),0))))),N371)</f>
        <v/>
      </c>
      <c r="L371" s="85" t="str">
        <f>IF(Table13[[#This Row],[Column2]]="KWITANSI",COUNTIF($K$4:K371,"KWITANSI")," ")</f>
        <v xml:space="preserve"> </v>
      </c>
      <c r="M371" s="85" t="str">
        <f>IF(Table13[[#This Row],[Column3]]=" "," ",Table13[[#This Row],[CODE]])</f>
        <v xml:space="preserve"> </v>
      </c>
      <c r="N371" s="368"/>
      <c r="P371" s="81" t="str">
        <f t="shared" si="5"/>
        <v/>
      </c>
    </row>
    <row r="372" spans="1:16" hidden="1" x14ac:dyDescent="0.15">
      <c r="A372" s="81" t="str">
        <f>COPY!O370</f>
        <v/>
      </c>
      <c r="B372" s="81" t="str">
        <f>COPY!C370</f>
        <v/>
      </c>
      <c r="C372" s="82" t="str">
        <f>COPY!D370</f>
        <v/>
      </c>
      <c r="D372" s="81" t="str">
        <f>IF(Table13[[#This Row],[JUMLAH]]&gt;1,(IF(Table13[[#This Row],[CODE]]=" ",D371&amp;"a",IF(Table13[[#This Row],[CODE]]&gt;0,Table13[[#This Row],[CODE]],0))),"")</f>
        <v/>
      </c>
      <c r="E372" s="81" t="str">
        <f>IF(COPY!G370&gt;0,COPY!G370,"")</f>
        <v/>
      </c>
      <c r="F372" s="88" t="str">
        <f>IF(COPY!J370&gt;0,COPY!J370,"")</f>
        <v/>
      </c>
      <c r="G372" s="85" t="str">
        <f>IF(COPY!H370&gt;0,COPY!H370,"")</f>
        <v/>
      </c>
      <c r="H372" s="85" t="str">
        <f>IF(COPY!I370&gt;0,COPY!I370,"")</f>
        <v/>
      </c>
      <c r="I372" s="85" t="str">
        <f>IF(COPY!M370&gt;0,COPY!M370,"")</f>
        <v/>
      </c>
      <c r="J372" s="85" t="str">
        <f>IF(COPY!N370&gt;0,COPY!N370,"")</f>
        <v/>
      </c>
      <c r="K372" s="86" t="str">
        <f>IF(N372=0,(IF(LEFT(Table13[[#This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Row],[URAIAN]],$U$194:$V$210,2,FALSE),""),""),0))))),N372)</f>
        <v/>
      </c>
      <c r="L372" s="85" t="str">
        <f>IF(Table13[[#This Row],[Column2]]="KWITANSI",COUNTIF($K$4:K372,"KWITANSI")," ")</f>
        <v xml:space="preserve"> </v>
      </c>
      <c r="M372" s="85" t="str">
        <f>IF(Table13[[#This Row],[Column3]]=" "," ",Table13[[#This Row],[CODE]])</f>
        <v xml:space="preserve"> </v>
      </c>
      <c r="N372" s="368"/>
      <c r="P372" s="81" t="str">
        <f t="shared" si="5"/>
        <v/>
      </c>
    </row>
    <row r="373" spans="1:16" hidden="1" x14ac:dyDescent="0.15">
      <c r="A373" s="81" t="str">
        <f>COPY!O371</f>
        <v/>
      </c>
      <c r="B373" s="81" t="str">
        <f>COPY!C371</f>
        <v/>
      </c>
      <c r="C373" s="82" t="str">
        <f>COPY!D371</f>
        <v/>
      </c>
      <c r="D373" s="81" t="str">
        <f>IF(Table13[[#This Row],[JUMLAH]]&gt;1,(IF(Table13[[#This Row],[CODE]]=" ",D372&amp;"a",IF(Table13[[#This Row],[CODE]]&gt;0,Table13[[#This Row],[CODE]],0))),"")</f>
        <v/>
      </c>
      <c r="E373" s="81" t="str">
        <f>IF(COPY!G371&gt;0,COPY!G371,"")</f>
        <v/>
      </c>
      <c r="F373" s="88" t="str">
        <f>IF(COPY!J371&gt;0,COPY!J371,"")</f>
        <v/>
      </c>
      <c r="G373" s="85" t="str">
        <f>IF(COPY!H371&gt;0,COPY!H371,"")</f>
        <v/>
      </c>
      <c r="H373" s="85" t="str">
        <f>IF(COPY!I371&gt;0,COPY!I371,"")</f>
        <v/>
      </c>
      <c r="I373" s="85" t="str">
        <f>IF(COPY!M371&gt;0,COPY!M371,"")</f>
        <v/>
      </c>
      <c r="J373" s="85" t="str">
        <f>IF(COPY!N371&gt;0,COPY!N371,"")</f>
        <v/>
      </c>
      <c r="K373" s="86" t="str">
        <f>IF(N373=0,(IF(LEFT(Table13[[#This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Row],[URAIAN]],$U$194:$V$210,2,FALSE),""),""),0))))),N373)</f>
        <v/>
      </c>
      <c r="L373" s="85" t="str">
        <f>IF(Table13[[#This Row],[Column2]]="KWITANSI",COUNTIF($K$4:K373,"KWITANSI")," ")</f>
        <v xml:space="preserve"> </v>
      </c>
      <c r="M373" s="85" t="str">
        <f>IF(Table13[[#This Row],[Column3]]=" "," ",Table13[[#This Row],[CODE]])</f>
        <v xml:space="preserve"> </v>
      </c>
      <c r="N373" s="368"/>
      <c r="P373" s="81" t="str">
        <f t="shared" si="5"/>
        <v/>
      </c>
    </row>
    <row r="374" spans="1:16" hidden="1" x14ac:dyDescent="0.15">
      <c r="A374" s="81" t="str">
        <f>COPY!O372</f>
        <v/>
      </c>
      <c r="B374" s="81" t="str">
        <f>COPY!C372</f>
        <v/>
      </c>
      <c r="C374" s="82" t="str">
        <f>COPY!D372</f>
        <v/>
      </c>
      <c r="D374" s="81" t="str">
        <f>IF(Table13[[#This Row],[JUMLAH]]&gt;1,(IF(Table13[[#This Row],[CODE]]=" ",D373&amp;"a",IF(Table13[[#This Row],[CODE]]&gt;0,Table13[[#This Row],[CODE]],0))),"")</f>
        <v/>
      </c>
      <c r="E374" s="81" t="str">
        <f>IF(COPY!G372&gt;0,COPY!G372,"")</f>
        <v/>
      </c>
      <c r="F374" s="88" t="str">
        <f>IF(COPY!J372&gt;0,COPY!J372,"")</f>
        <v/>
      </c>
      <c r="G374" s="85" t="str">
        <f>IF(COPY!H372&gt;0,COPY!H372,"")</f>
        <v/>
      </c>
      <c r="H374" s="85" t="str">
        <f>IF(COPY!I372&gt;0,COPY!I372,"")</f>
        <v/>
      </c>
      <c r="I374" s="85" t="str">
        <f>IF(COPY!M372&gt;0,COPY!M372,"")</f>
        <v/>
      </c>
      <c r="J374" s="85" t="str">
        <f>IF(COPY!N372&gt;0,COPY!N372,"")</f>
        <v/>
      </c>
      <c r="K374" s="86" t="str">
        <f>IF(N374=0,(IF(LEFT(Table13[[#This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Row],[URAIAN]],$U$194:$V$210,2,FALSE),""),""),0))))),N374)</f>
        <v/>
      </c>
      <c r="L374" s="85" t="str">
        <f>IF(Table13[[#This Row],[Column2]]="KWITANSI",COUNTIF($K$4:K374,"KWITANSI")," ")</f>
        <v xml:space="preserve"> </v>
      </c>
      <c r="M374" s="85" t="str">
        <f>IF(Table13[[#This Row],[Column3]]=" "," ",Table13[[#This Row],[CODE]])</f>
        <v xml:space="preserve"> </v>
      </c>
      <c r="N374" s="368"/>
      <c r="P374" s="81" t="str">
        <f t="shared" si="5"/>
        <v/>
      </c>
    </row>
    <row r="375" spans="1:16" hidden="1" x14ac:dyDescent="0.15">
      <c r="A375" s="81" t="str">
        <f>COPY!O373</f>
        <v/>
      </c>
      <c r="B375" s="81" t="str">
        <f>COPY!C373</f>
        <v/>
      </c>
      <c r="C375" s="82" t="str">
        <f>COPY!D373</f>
        <v/>
      </c>
      <c r="D375" s="81" t="str">
        <f>IF(Table13[[#This Row],[JUMLAH]]&gt;1,(IF(Table13[[#This Row],[CODE]]=" ",D374&amp;"a",IF(Table13[[#This Row],[CODE]]&gt;0,Table13[[#This Row],[CODE]],0))),"")</f>
        <v/>
      </c>
      <c r="E375" s="81" t="str">
        <f>IF(COPY!G373&gt;0,COPY!G373,"")</f>
        <v/>
      </c>
      <c r="F375" s="88" t="str">
        <f>IF(COPY!J373&gt;0,COPY!J373,"")</f>
        <v/>
      </c>
      <c r="G375" s="85" t="str">
        <f>IF(COPY!H373&gt;0,COPY!H373,"")</f>
        <v/>
      </c>
      <c r="H375" s="85" t="str">
        <f>IF(COPY!I373&gt;0,COPY!I373,"")</f>
        <v/>
      </c>
      <c r="I375" s="85" t="str">
        <f>IF(COPY!M373&gt;0,COPY!M373,"")</f>
        <v/>
      </c>
      <c r="J375" s="85" t="str">
        <f>IF(COPY!N373&gt;0,COPY!N373,"")</f>
        <v/>
      </c>
      <c r="K375" s="86" t="str">
        <f>IF(N375=0,(IF(LEFT(Table13[[#This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Row],[URAIAN]],$U$194:$V$210,2,FALSE),""),""),0))))),N375)</f>
        <v/>
      </c>
      <c r="L375" s="85" t="str">
        <f>IF(Table13[[#This Row],[Column2]]="KWITANSI",COUNTIF($K$4:K375,"KWITANSI")," ")</f>
        <v xml:space="preserve"> </v>
      </c>
      <c r="M375" s="85" t="str">
        <f>IF(Table13[[#This Row],[Column3]]=" "," ",Table13[[#This Row],[CODE]])</f>
        <v xml:space="preserve"> </v>
      </c>
      <c r="N375" s="368"/>
      <c r="P375" s="81" t="str">
        <f t="shared" si="5"/>
        <v/>
      </c>
    </row>
    <row r="376" spans="1:16" hidden="1" x14ac:dyDescent="0.15">
      <c r="A376" s="81" t="str">
        <f>COPY!O374</f>
        <v/>
      </c>
      <c r="B376" s="81" t="str">
        <f>COPY!C374</f>
        <v/>
      </c>
      <c r="C376" s="82" t="str">
        <f>COPY!D374</f>
        <v/>
      </c>
      <c r="D376" s="81" t="str">
        <f>IF(Table13[[#This Row],[JUMLAH]]&gt;1,(IF(Table13[[#This Row],[CODE]]=" ",D375&amp;"a",IF(Table13[[#This Row],[CODE]]&gt;0,Table13[[#This Row],[CODE]],0))),"")</f>
        <v/>
      </c>
      <c r="E376" s="81" t="str">
        <f>IF(COPY!G374&gt;0,COPY!G374,"")</f>
        <v/>
      </c>
      <c r="F376" s="88" t="str">
        <f>IF(COPY!J374&gt;0,COPY!J374,"")</f>
        <v/>
      </c>
      <c r="G376" s="85" t="str">
        <f>IF(COPY!H374&gt;0,COPY!H374,"")</f>
        <v/>
      </c>
      <c r="H376" s="85" t="str">
        <f>IF(COPY!I374&gt;0,COPY!I374,"")</f>
        <v/>
      </c>
      <c r="I376" s="85" t="str">
        <f>IF(COPY!M374&gt;0,COPY!M374,"")</f>
        <v/>
      </c>
      <c r="J376" s="85" t="str">
        <f>IF(COPY!N374&gt;0,COPY!N374,"")</f>
        <v/>
      </c>
      <c r="K376" s="86" t="str">
        <f>IF(N376=0,(IF(LEFT(Table13[[#This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Row],[URAIAN]],$U$194:$V$210,2,FALSE),""),""),0))))),N376)</f>
        <v/>
      </c>
      <c r="L376" s="85" t="str">
        <f>IF(Table13[[#This Row],[Column2]]="KWITANSI",COUNTIF($K$4:K376,"KWITANSI")," ")</f>
        <v xml:space="preserve"> </v>
      </c>
      <c r="M376" s="85" t="str">
        <f>IF(Table13[[#This Row],[Column3]]=" "," ",Table13[[#This Row],[CODE]])</f>
        <v xml:space="preserve"> </v>
      </c>
      <c r="N376" s="368"/>
      <c r="P376" s="81" t="str">
        <f t="shared" si="5"/>
        <v/>
      </c>
    </row>
    <row r="377" spans="1:16" hidden="1" x14ac:dyDescent="0.15">
      <c r="A377" s="81" t="str">
        <f>COPY!O375</f>
        <v/>
      </c>
      <c r="B377" s="81" t="str">
        <f>COPY!C375</f>
        <v/>
      </c>
      <c r="C377" s="82" t="str">
        <f>COPY!D375</f>
        <v/>
      </c>
      <c r="D377" s="81" t="str">
        <f>IF(Table13[[#This Row],[JUMLAH]]&gt;1,(IF(Table13[[#This Row],[CODE]]=" ",D376&amp;"a",IF(Table13[[#This Row],[CODE]]&gt;0,Table13[[#This Row],[CODE]],0))),"")</f>
        <v/>
      </c>
      <c r="E377" s="81" t="str">
        <f>IF(COPY!G375&gt;0,COPY!G375,"")</f>
        <v/>
      </c>
      <c r="F377" s="88" t="str">
        <f>IF(COPY!J375&gt;0,COPY!J375,"")</f>
        <v/>
      </c>
      <c r="G377" s="85" t="str">
        <f>IF(COPY!H375&gt;0,COPY!H375,"")</f>
        <v/>
      </c>
      <c r="H377" s="85" t="str">
        <f>IF(COPY!I375&gt;0,COPY!I375,"")</f>
        <v/>
      </c>
      <c r="I377" s="85" t="str">
        <f>IF(COPY!M375&gt;0,COPY!M375,"")</f>
        <v/>
      </c>
      <c r="J377" s="85" t="str">
        <f>IF(COPY!N375&gt;0,COPY!N375,"")</f>
        <v/>
      </c>
      <c r="K377" s="86" t="str">
        <f>IF(N377=0,(IF(LEFT(Table13[[#This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Row],[URAIAN]],$U$194:$V$210,2,FALSE),""),""),0))))),N377)</f>
        <v/>
      </c>
      <c r="L377" s="85" t="str">
        <f>IF(Table13[[#This Row],[Column2]]="KWITANSI",COUNTIF($K$4:K377,"KWITANSI")," ")</f>
        <v xml:space="preserve"> </v>
      </c>
      <c r="M377" s="85" t="str">
        <f>IF(Table13[[#This Row],[Column3]]=" "," ",Table13[[#This Row],[CODE]])</f>
        <v xml:space="preserve"> </v>
      </c>
      <c r="N377" s="368"/>
      <c r="P377" s="81" t="str">
        <f t="shared" si="5"/>
        <v/>
      </c>
    </row>
    <row r="378" spans="1:16" hidden="1" x14ac:dyDescent="0.15">
      <c r="A378" s="81" t="str">
        <f>COPY!O376</f>
        <v/>
      </c>
      <c r="B378" s="81" t="str">
        <f>COPY!C376</f>
        <v/>
      </c>
      <c r="C378" s="82" t="str">
        <f>COPY!D376</f>
        <v/>
      </c>
      <c r="D378" s="81" t="str">
        <f>IF(Table13[[#This Row],[JUMLAH]]&gt;1,(IF(Table13[[#This Row],[CODE]]=" ",D377&amp;"a",IF(Table13[[#This Row],[CODE]]&gt;0,Table13[[#This Row],[CODE]],0))),"")</f>
        <v/>
      </c>
      <c r="E378" s="81" t="str">
        <f>IF(COPY!G376&gt;0,COPY!G376,"")</f>
        <v/>
      </c>
      <c r="F378" s="88" t="str">
        <f>IF(COPY!J376&gt;0,COPY!J376,"")</f>
        <v/>
      </c>
      <c r="G378" s="85" t="str">
        <f>IF(COPY!H376&gt;0,COPY!H376,"")</f>
        <v/>
      </c>
      <c r="H378" s="85" t="str">
        <f>IF(COPY!I376&gt;0,COPY!I376,"")</f>
        <v/>
      </c>
      <c r="I378" s="85" t="str">
        <f>IF(COPY!M376&gt;0,COPY!M376,"")</f>
        <v/>
      </c>
      <c r="J378" s="85" t="str">
        <f>IF(COPY!N376&gt;0,COPY!N376,"")</f>
        <v/>
      </c>
      <c r="K378" s="86" t="str">
        <f>IF(N378=0,(IF(LEFT(Table13[[#This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Row],[URAIAN]],$U$194:$V$210,2,FALSE),""),""),0))))),N378)</f>
        <v/>
      </c>
      <c r="L378" s="85" t="str">
        <f>IF(Table13[[#This Row],[Column2]]="KWITANSI",COUNTIF($K$4:K378,"KWITANSI")," ")</f>
        <v xml:space="preserve"> </v>
      </c>
      <c r="M378" s="85" t="str">
        <f>IF(Table13[[#This Row],[Column3]]=" "," ",Table13[[#This Row],[CODE]])</f>
        <v xml:space="preserve"> </v>
      </c>
      <c r="N378" s="368"/>
      <c r="P378" s="81" t="str">
        <f t="shared" si="5"/>
        <v/>
      </c>
    </row>
    <row r="379" spans="1:16" hidden="1" x14ac:dyDescent="0.15">
      <c r="A379" s="81" t="str">
        <f>COPY!O377</f>
        <v/>
      </c>
      <c r="B379" s="81" t="str">
        <f>COPY!C377</f>
        <v/>
      </c>
      <c r="C379" s="82" t="str">
        <f>COPY!D377</f>
        <v/>
      </c>
      <c r="D379" s="81" t="str">
        <f>IF(Table13[[#This Row],[JUMLAH]]&gt;1,(IF(Table13[[#This Row],[CODE]]=" ",D378&amp;"a",IF(Table13[[#This Row],[CODE]]&gt;0,Table13[[#This Row],[CODE]],0))),"")</f>
        <v/>
      </c>
      <c r="E379" s="81" t="str">
        <f>IF(COPY!G377&gt;0,COPY!G377,"")</f>
        <v/>
      </c>
      <c r="F379" s="88" t="str">
        <f>IF(COPY!J377&gt;0,COPY!J377,"")</f>
        <v/>
      </c>
      <c r="G379" s="85" t="str">
        <f>IF(COPY!H377&gt;0,COPY!H377,"")</f>
        <v/>
      </c>
      <c r="H379" s="85" t="str">
        <f>IF(COPY!I377&gt;0,COPY!I377,"")</f>
        <v/>
      </c>
      <c r="I379" s="85" t="str">
        <f>IF(COPY!M377&gt;0,COPY!M377,"")</f>
        <v/>
      </c>
      <c r="J379" s="85" t="str">
        <f>IF(COPY!N377&gt;0,COPY!N377,"")</f>
        <v/>
      </c>
      <c r="K379" s="86" t="str">
        <f>IF(N379=0,(IF(LEFT(Table13[[#This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Row],[URAIAN]],$U$194:$V$210,2,FALSE),""),""),0))))),N379)</f>
        <v/>
      </c>
      <c r="L379" s="85" t="str">
        <f>IF(Table13[[#This Row],[Column2]]="KWITANSI",COUNTIF($K$4:K379,"KWITANSI")," ")</f>
        <v xml:space="preserve"> </v>
      </c>
      <c r="M379" s="85" t="str">
        <f>IF(Table13[[#This Row],[Column3]]=" "," ",Table13[[#This Row],[CODE]])</f>
        <v xml:space="preserve"> </v>
      </c>
      <c r="N379" s="368"/>
      <c r="P379" s="81" t="str">
        <f t="shared" si="5"/>
        <v/>
      </c>
    </row>
    <row r="380" spans="1:16" hidden="1" x14ac:dyDescent="0.15">
      <c r="A380" s="81" t="str">
        <f>COPY!O378</f>
        <v/>
      </c>
      <c r="B380" s="81" t="str">
        <f>COPY!C378</f>
        <v/>
      </c>
      <c r="C380" s="82" t="str">
        <f>COPY!D378</f>
        <v/>
      </c>
      <c r="D380" s="81" t="str">
        <f>IF(Table13[[#This Row],[JUMLAH]]&gt;1,(IF(Table13[[#This Row],[CODE]]=" ",D379&amp;"a",IF(Table13[[#This Row],[CODE]]&gt;0,Table13[[#This Row],[CODE]],0))),"")</f>
        <v/>
      </c>
      <c r="E380" s="81" t="str">
        <f>IF(COPY!G378&gt;0,COPY!G378,"")</f>
        <v/>
      </c>
      <c r="F380" s="88" t="str">
        <f>IF(COPY!J378&gt;0,COPY!J378,"")</f>
        <v/>
      </c>
      <c r="G380" s="85" t="str">
        <f>IF(COPY!H378&gt;0,COPY!H378,"")</f>
        <v/>
      </c>
      <c r="H380" s="85" t="str">
        <f>IF(COPY!I378&gt;0,COPY!I378,"")</f>
        <v/>
      </c>
      <c r="I380" s="85" t="str">
        <f>IF(COPY!M378&gt;0,COPY!M378,"")</f>
        <v/>
      </c>
      <c r="J380" s="85" t="str">
        <f>IF(COPY!N378&gt;0,COPY!N378,"")</f>
        <v/>
      </c>
      <c r="K380" s="86" t="str">
        <f>IF(N380=0,(IF(LEFT(Table13[[#This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Row],[URAIAN]],$U$194:$V$210,2,FALSE),""),""),0))))),N380)</f>
        <v/>
      </c>
      <c r="L380" s="85" t="str">
        <f>IF(Table13[[#This Row],[Column2]]="KWITANSI",COUNTIF($K$4:K380,"KWITANSI")," ")</f>
        <v xml:space="preserve"> </v>
      </c>
      <c r="M380" s="85" t="str">
        <f>IF(Table13[[#This Row],[Column3]]=" "," ",Table13[[#This Row],[CODE]])</f>
        <v xml:space="preserve"> </v>
      </c>
      <c r="N380" s="368"/>
      <c r="P380" s="81" t="str">
        <f t="shared" si="5"/>
        <v/>
      </c>
    </row>
    <row r="381" spans="1:16" hidden="1" x14ac:dyDescent="0.15">
      <c r="A381" s="81" t="str">
        <f>COPY!O379</f>
        <v/>
      </c>
      <c r="B381" s="81" t="str">
        <f>COPY!C379</f>
        <v/>
      </c>
      <c r="C381" s="82" t="str">
        <f>COPY!D379</f>
        <v/>
      </c>
      <c r="D381" s="81" t="str">
        <f>IF(Table13[[#This Row],[JUMLAH]]&gt;1,(IF(Table13[[#This Row],[CODE]]=" ",D380&amp;"a",IF(Table13[[#This Row],[CODE]]&gt;0,Table13[[#This Row],[CODE]],0))),"")</f>
        <v/>
      </c>
      <c r="E381" s="81" t="str">
        <f>IF(COPY!G379&gt;0,COPY!G379,"")</f>
        <v/>
      </c>
      <c r="F381" s="88" t="str">
        <f>IF(COPY!J379&gt;0,COPY!J379,"")</f>
        <v/>
      </c>
      <c r="G381" s="85" t="str">
        <f>IF(COPY!H379&gt;0,COPY!H379,"")</f>
        <v/>
      </c>
      <c r="H381" s="85" t="str">
        <f>IF(COPY!I379&gt;0,COPY!I379,"")</f>
        <v/>
      </c>
      <c r="I381" s="85" t="str">
        <f>IF(COPY!M379&gt;0,COPY!M379,"")</f>
        <v/>
      </c>
      <c r="J381" s="85" t="str">
        <f>IF(COPY!N379&gt;0,COPY!N379,"")</f>
        <v/>
      </c>
      <c r="K381" s="86" t="str">
        <f>IF(N381=0,(IF(LEFT(Table13[[#This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Row],[URAIAN]],$U$194:$V$210,2,FALSE),""),""),0))))),N381)</f>
        <v/>
      </c>
      <c r="L381" s="85" t="str">
        <f>IF(Table13[[#This Row],[Column2]]="KWITANSI",COUNTIF($K$4:K381,"KWITANSI")," ")</f>
        <v xml:space="preserve"> </v>
      </c>
      <c r="M381" s="85" t="str">
        <f>IF(Table13[[#This Row],[Column3]]=" "," ",Table13[[#This Row],[CODE]])</f>
        <v xml:space="preserve"> </v>
      </c>
      <c r="N381" s="368"/>
      <c r="P381" s="81" t="str">
        <f t="shared" si="5"/>
        <v/>
      </c>
    </row>
    <row r="382" spans="1:16" hidden="1" x14ac:dyDescent="0.15">
      <c r="A382" s="81" t="str">
        <f>COPY!O380</f>
        <v/>
      </c>
      <c r="B382" s="81" t="str">
        <f>COPY!C380</f>
        <v/>
      </c>
      <c r="C382" s="82" t="str">
        <f>COPY!D380</f>
        <v/>
      </c>
      <c r="D382" s="81" t="str">
        <f>IF(Table13[[#This Row],[JUMLAH]]&gt;1,(IF(Table13[[#This Row],[CODE]]=" ",D381&amp;"a",IF(Table13[[#This Row],[CODE]]&gt;0,Table13[[#This Row],[CODE]],0))),"")</f>
        <v/>
      </c>
      <c r="E382" s="81" t="str">
        <f>IF(COPY!G380&gt;0,COPY!G380,"")</f>
        <v/>
      </c>
      <c r="F382" s="88" t="str">
        <f>IF(COPY!J380&gt;0,COPY!J380,"")</f>
        <v/>
      </c>
      <c r="G382" s="85" t="str">
        <f>IF(COPY!H380&gt;0,COPY!H380,"")</f>
        <v/>
      </c>
      <c r="H382" s="85" t="str">
        <f>IF(COPY!I380&gt;0,COPY!I380,"")</f>
        <v/>
      </c>
      <c r="I382" s="85" t="str">
        <f>IF(COPY!M380&gt;0,COPY!M380,"")</f>
        <v/>
      </c>
      <c r="J382" s="85" t="str">
        <f>IF(COPY!N380&gt;0,COPY!N380,"")</f>
        <v/>
      </c>
      <c r="K382" s="86" t="str">
        <f>IF(N382=0,(IF(LEFT(Table13[[#This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Row],[URAIAN]],$U$194:$V$210,2,FALSE),""),""),0))))),N382)</f>
        <v/>
      </c>
      <c r="L382" s="85" t="str">
        <f>IF(Table13[[#This Row],[Column2]]="KWITANSI",COUNTIF($K$4:K382,"KWITANSI")," ")</f>
        <v xml:space="preserve"> </v>
      </c>
      <c r="M382" s="85" t="str">
        <f>IF(Table13[[#This Row],[Column3]]=" "," ",Table13[[#This Row],[CODE]])</f>
        <v xml:space="preserve"> </v>
      </c>
      <c r="N382" s="368"/>
      <c r="P382" s="81" t="str">
        <f t="shared" si="5"/>
        <v/>
      </c>
    </row>
    <row r="383" spans="1:16" hidden="1" x14ac:dyDescent="0.15">
      <c r="A383" s="81" t="str">
        <f>COPY!O381</f>
        <v/>
      </c>
      <c r="B383" s="81" t="str">
        <f>COPY!C381</f>
        <v/>
      </c>
      <c r="C383" s="82" t="str">
        <f>COPY!D381</f>
        <v/>
      </c>
      <c r="D383" s="81" t="str">
        <f>IF(Table13[[#This Row],[JUMLAH]]&gt;1,(IF(Table13[[#This Row],[CODE]]=" ",D382&amp;"a",IF(Table13[[#This Row],[CODE]]&gt;0,Table13[[#This Row],[CODE]],0))),"")</f>
        <v/>
      </c>
      <c r="E383" s="81" t="str">
        <f>IF(COPY!G381&gt;0,COPY!G381,"")</f>
        <v/>
      </c>
      <c r="F383" s="88" t="str">
        <f>IF(COPY!J381&gt;0,COPY!J381,"")</f>
        <v/>
      </c>
      <c r="G383" s="85" t="str">
        <f>IF(COPY!H381&gt;0,COPY!H381,"")</f>
        <v/>
      </c>
      <c r="H383" s="85" t="str">
        <f>IF(COPY!I381&gt;0,COPY!I381,"")</f>
        <v/>
      </c>
      <c r="I383" s="85" t="str">
        <f>IF(COPY!M381&gt;0,COPY!M381,"")</f>
        <v/>
      </c>
      <c r="J383" s="85" t="str">
        <f>IF(COPY!N381&gt;0,COPY!N381,"")</f>
        <v/>
      </c>
      <c r="K383" s="86" t="str">
        <f>IF(N383=0,(IF(LEFT(Table13[[#This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Row],[URAIAN]],$U$194:$V$210,2,FALSE),""),""),0))))),N383)</f>
        <v/>
      </c>
      <c r="L383" s="85" t="str">
        <f>IF(Table13[[#This Row],[Column2]]="KWITANSI",COUNTIF($K$4:K383,"KWITANSI")," ")</f>
        <v xml:space="preserve"> </v>
      </c>
      <c r="M383" s="85" t="str">
        <f>IF(Table13[[#This Row],[Column3]]=" "," ",Table13[[#This Row],[CODE]])</f>
        <v xml:space="preserve"> </v>
      </c>
      <c r="N383" s="368"/>
      <c r="P383" s="81" t="str">
        <f t="shared" si="5"/>
        <v/>
      </c>
    </row>
    <row r="384" spans="1:16" hidden="1" x14ac:dyDescent="0.15">
      <c r="A384" s="81" t="str">
        <f>COPY!O382</f>
        <v/>
      </c>
      <c r="B384" s="81" t="str">
        <f>COPY!C382</f>
        <v/>
      </c>
      <c r="C384" s="82" t="str">
        <f>COPY!D382</f>
        <v/>
      </c>
      <c r="D384" s="81" t="str">
        <f>IF(Table13[[#This Row],[JUMLAH]]&gt;1,(IF(Table13[[#This Row],[CODE]]=" ",D383&amp;"a",IF(Table13[[#This Row],[CODE]]&gt;0,Table13[[#This Row],[CODE]],0))),"")</f>
        <v/>
      </c>
      <c r="E384" s="81" t="str">
        <f>IF(COPY!G382&gt;0,COPY!G382,"")</f>
        <v/>
      </c>
      <c r="F384" s="88" t="str">
        <f>IF(COPY!J382&gt;0,COPY!J382,"")</f>
        <v/>
      </c>
      <c r="G384" s="85" t="str">
        <f>IF(COPY!H382&gt;0,COPY!H382,"")</f>
        <v/>
      </c>
      <c r="H384" s="85" t="str">
        <f>IF(COPY!I382&gt;0,COPY!I382,"")</f>
        <v/>
      </c>
      <c r="I384" s="85" t="str">
        <f>IF(COPY!M382&gt;0,COPY!M382,"")</f>
        <v/>
      </c>
      <c r="J384" s="85" t="str">
        <f>IF(COPY!N382&gt;0,COPY!N382,"")</f>
        <v/>
      </c>
      <c r="K384" s="86" t="str">
        <f>IF(N384=0,(IF(LEFT(Table13[[#This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Row],[URAIAN]],$U$194:$V$210,2,FALSE),""),""),0))))),N384)</f>
        <v/>
      </c>
      <c r="L384" s="85" t="str">
        <f>IF(Table13[[#This Row],[Column2]]="KWITANSI",COUNTIF($K$4:K384,"KWITANSI")," ")</f>
        <v xml:space="preserve"> </v>
      </c>
      <c r="M384" s="85" t="str">
        <f>IF(Table13[[#This Row],[Column3]]=" "," ",Table13[[#This Row],[CODE]])</f>
        <v xml:space="preserve"> </v>
      </c>
      <c r="N384" s="368"/>
      <c r="P384" s="81" t="str">
        <f t="shared" si="5"/>
        <v/>
      </c>
    </row>
    <row r="385" spans="1:16" hidden="1" x14ac:dyDescent="0.15">
      <c r="A385" s="81" t="str">
        <f>COPY!O383</f>
        <v/>
      </c>
      <c r="B385" s="81" t="str">
        <f>COPY!C383</f>
        <v/>
      </c>
      <c r="C385" s="82" t="str">
        <f>COPY!D383</f>
        <v/>
      </c>
      <c r="D385" s="81" t="str">
        <f>IF(Table13[[#This Row],[JUMLAH]]&gt;1,(IF(Table13[[#This Row],[CODE]]=" ",D384&amp;"a",IF(Table13[[#This Row],[CODE]]&gt;0,Table13[[#This Row],[CODE]],0))),"")</f>
        <v/>
      </c>
      <c r="E385" s="81" t="str">
        <f>IF(COPY!G383&gt;0,COPY!G383,"")</f>
        <v/>
      </c>
      <c r="F385" s="88" t="str">
        <f>IF(COPY!J383&gt;0,COPY!J383,"")</f>
        <v/>
      </c>
      <c r="G385" s="85" t="str">
        <f>IF(COPY!H383&gt;0,COPY!H383,"")</f>
        <v/>
      </c>
      <c r="H385" s="85" t="str">
        <f>IF(COPY!I383&gt;0,COPY!I383,"")</f>
        <v/>
      </c>
      <c r="I385" s="85" t="str">
        <f>IF(COPY!M383&gt;0,COPY!M383,"")</f>
        <v/>
      </c>
      <c r="J385" s="85" t="str">
        <f>IF(COPY!N383&gt;0,COPY!N383,"")</f>
        <v/>
      </c>
      <c r="K385" s="86" t="str">
        <f>IF(N385=0,(IF(LEFT(Table13[[#This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Row],[URAIAN]],$U$194:$V$210,2,FALSE),""),""),0))))),N385)</f>
        <v/>
      </c>
      <c r="L385" s="85" t="str">
        <f>IF(Table13[[#This Row],[Column2]]="KWITANSI",COUNTIF($K$4:K385,"KWITANSI")," ")</f>
        <v xml:space="preserve"> </v>
      </c>
      <c r="M385" s="85" t="str">
        <f>IF(Table13[[#This Row],[Column3]]=" "," ",Table13[[#This Row],[CODE]])</f>
        <v xml:space="preserve"> </v>
      </c>
      <c r="N385" s="368"/>
      <c r="P385" s="81" t="str">
        <f t="shared" si="5"/>
        <v/>
      </c>
    </row>
    <row r="386" spans="1:16" hidden="1" x14ac:dyDescent="0.15">
      <c r="A386" s="81" t="str">
        <f>COPY!O384</f>
        <v/>
      </c>
      <c r="B386" s="81" t="str">
        <f>COPY!C384</f>
        <v/>
      </c>
      <c r="C386" s="82" t="str">
        <f>COPY!D384</f>
        <v/>
      </c>
      <c r="D386" s="81" t="str">
        <f>IF(Table13[[#This Row],[JUMLAH]]&gt;1,(IF(Table13[[#This Row],[CODE]]=" ",D385&amp;"a",IF(Table13[[#This Row],[CODE]]&gt;0,Table13[[#This Row],[CODE]],0))),"")</f>
        <v/>
      </c>
      <c r="E386" s="81" t="str">
        <f>IF(COPY!G384&gt;0,COPY!G384,"")</f>
        <v/>
      </c>
      <c r="F386" s="88" t="str">
        <f>IF(COPY!J384&gt;0,COPY!J384,"")</f>
        <v/>
      </c>
      <c r="G386" s="85" t="str">
        <f>IF(COPY!H384&gt;0,COPY!H384,"")</f>
        <v/>
      </c>
      <c r="H386" s="85" t="str">
        <f>IF(COPY!I384&gt;0,COPY!I384,"")</f>
        <v/>
      </c>
      <c r="I386" s="85" t="str">
        <f>IF(COPY!M384&gt;0,COPY!M384,"")</f>
        <v/>
      </c>
      <c r="J386" s="85" t="str">
        <f>IF(COPY!N384&gt;0,COPY!N384,"")</f>
        <v/>
      </c>
      <c r="K386" s="86" t="str">
        <f>IF(N386=0,(IF(LEFT(Table13[[#This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Row],[URAIAN]],$U$194:$V$210,2,FALSE),""),""),0))))),N386)</f>
        <v/>
      </c>
      <c r="L386" s="85" t="str">
        <f>IF(Table13[[#This Row],[Column2]]="KWITANSI",COUNTIF($K$4:K386,"KWITANSI")," ")</f>
        <v xml:space="preserve"> </v>
      </c>
      <c r="M386" s="85" t="str">
        <f>IF(Table13[[#This Row],[Column3]]=" "," ",Table13[[#This Row],[CODE]])</f>
        <v xml:space="preserve"> </v>
      </c>
      <c r="N386" s="368"/>
      <c r="P386" s="81" t="str">
        <f t="shared" ref="P386:P449" si="6">IF(-$O$4+($O$4+ROW())&lt;=$O$4,-$O$4+($O$4+ROW()),"")</f>
        <v/>
      </c>
    </row>
    <row r="387" spans="1:16" hidden="1" x14ac:dyDescent="0.15">
      <c r="A387" s="81" t="str">
        <f>COPY!O385</f>
        <v/>
      </c>
      <c r="B387" s="81" t="str">
        <f>COPY!C385</f>
        <v/>
      </c>
      <c r="C387" s="82" t="str">
        <f>COPY!D385</f>
        <v/>
      </c>
      <c r="D387" s="81" t="str">
        <f>IF(Table13[[#This Row],[JUMLAH]]&gt;1,(IF(Table13[[#This Row],[CODE]]=" ",D386&amp;"a",IF(Table13[[#This Row],[CODE]]&gt;0,Table13[[#This Row],[CODE]],0))),"")</f>
        <v/>
      </c>
      <c r="E387" s="81" t="str">
        <f>IF(COPY!G385&gt;0,COPY!G385,"")</f>
        <v/>
      </c>
      <c r="F387" s="88" t="str">
        <f>IF(COPY!J385&gt;0,COPY!J385,"")</f>
        <v/>
      </c>
      <c r="G387" s="85" t="str">
        <f>IF(COPY!H385&gt;0,COPY!H385,"")</f>
        <v/>
      </c>
      <c r="H387" s="85" t="str">
        <f>IF(COPY!I385&gt;0,COPY!I385,"")</f>
        <v/>
      </c>
      <c r="I387" s="85" t="str">
        <f>IF(COPY!M385&gt;0,COPY!M385,"")</f>
        <v/>
      </c>
      <c r="J387" s="85" t="str">
        <f>IF(COPY!N385&gt;0,COPY!N385,"")</f>
        <v/>
      </c>
      <c r="K387" s="86" t="str">
        <f>IF(N387=0,(IF(LEFT(Table13[[#This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Row],[URAIAN]],$U$194:$V$210,2,FALSE),""),""),0))))),N387)</f>
        <v/>
      </c>
      <c r="L387" s="85" t="str">
        <f>IF(Table13[[#This Row],[Column2]]="KWITANSI",COUNTIF($K$4:K387,"KWITANSI")," ")</f>
        <v xml:space="preserve"> </v>
      </c>
      <c r="M387" s="85" t="str">
        <f>IF(Table13[[#This Row],[Column3]]=" "," ",Table13[[#This Row],[CODE]])</f>
        <v xml:space="preserve"> </v>
      </c>
      <c r="N387" s="368"/>
      <c r="P387" s="81" t="str">
        <f t="shared" si="6"/>
        <v/>
      </c>
    </row>
    <row r="388" spans="1:16" hidden="1" x14ac:dyDescent="0.15">
      <c r="A388" s="81" t="str">
        <f>COPY!O386</f>
        <v/>
      </c>
      <c r="B388" s="81" t="str">
        <f>COPY!C386</f>
        <v/>
      </c>
      <c r="C388" s="82" t="str">
        <f>COPY!D386</f>
        <v/>
      </c>
      <c r="D388" s="81" t="str">
        <f>IF(Table13[[#This Row],[JUMLAH]]&gt;1,(IF(Table13[[#This Row],[CODE]]=" ",D387&amp;"a",IF(Table13[[#This Row],[CODE]]&gt;0,Table13[[#This Row],[CODE]],0))),"")</f>
        <v/>
      </c>
      <c r="E388" s="81" t="str">
        <f>IF(COPY!G386&gt;0,COPY!G386,"")</f>
        <v/>
      </c>
      <c r="F388" s="88" t="str">
        <f>IF(COPY!J386&gt;0,COPY!J386,"")</f>
        <v/>
      </c>
      <c r="G388" s="85" t="str">
        <f>IF(COPY!H386&gt;0,COPY!H386,"")</f>
        <v/>
      </c>
      <c r="H388" s="85" t="str">
        <f>IF(COPY!I386&gt;0,COPY!I386,"")</f>
        <v/>
      </c>
      <c r="I388" s="85" t="str">
        <f>IF(COPY!M386&gt;0,COPY!M386,"")</f>
        <v/>
      </c>
      <c r="J388" s="85" t="str">
        <f>IF(COPY!N386&gt;0,COPY!N386,"")</f>
        <v/>
      </c>
      <c r="K388" s="86" t="str">
        <f>IF(N388=0,(IF(LEFT(Table13[[#This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Row],[URAIAN]],$U$194:$V$210,2,FALSE),""),""),0))))),N388)</f>
        <v/>
      </c>
      <c r="L388" s="85" t="str">
        <f>IF(Table13[[#This Row],[Column2]]="KWITANSI",COUNTIF($K$4:K388,"KWITANSI")," ")</f>
        <v xml:space="preserve"> </v>
      </c>
      <c r="M388" s="85" t="str">
        <f>IF(Table13[[#This Row],[Column3]]=" "," ",Table13[[#This Row],[CODE]])</f>
        <v xml:space="preserve"> </v>
      </c>
      <c r="N388" s="368"/>
      <c r="P388" s="81" t="str">
        <f t="shared" si="6"/>
        <v/>
      </c>
    </row>
    <row r="389" spans="1:16" hidden="1" x14ac:dyDescent="0.15">
      <c r="A389" s="81" t="str">
        <f>COPY!O387</f>
        <v/>
      </c>
      <c r="B389" s="81" t="str">
        <f>COPY!C387</f>
        <v/>
      </c>
      <c r="C389" s="82" t="str">
        <f>COPY!D387</f>
        <v/>
      </c>
      <c r="D389" s="81" t="str">
        <f>IF(Table13[[#This Row],[JUMLAH]]&gt;1,(IF(Table13[[#This Row],[CODE]]=" ",D388&amp;"a",IF(Table13[[#This Row],[CODE]]&gt;0,Table13[[#This Row],[CODE]],0))),"")</f>
        <v/>
      </c>
      <c r="E389" s="81" t="str">
        <f>IF(COPY!G387&gt;0,COPY!G387,"")</f>
        <v/>
      </c>
      <c r="F389" s="88" t="str">
        <f>IF(COPY!J387&gt;0,COPY!J387,"")</f>
        <v/>
      </c>
      <c r="G389" s="85" t="str">
        <f>IF(COPY!H387&gt;0,COPY!H387,"")</f>
        <v/>
      </c>
      <c r="H389" s="85" t="str">
        <f>IF(COPY!I387&gt;0,COPY!I387,"")</f>
        <v/>
      </c>
      <c r="I389" s="85" t="str">
        <f>IF(COPY!M387&gt;0,COPY!M387,"")</f>
        <v/>
      </c>
      <c r="J389" s="85" t="str">
        <f>IF(COPY!N387&gt;0,COPY!N387,"")</f>
        <v/>
      </c>
      <c r="K389" s="86" t="str">
        <f>IF(N389=0,(IF(LEFT(Table13[[#This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Row],[URAIAN]],$U$194:$V$210,2,FALSE),""),""),0))))),N389)</f>
        <v/>
      </c>
      <c r="L389" s="85" t="str">
        <f>IF(Table13[[#This Row],[Column2]]="KWITANSI",COUNTIF($K$4:K389,"KWITANSI")," ")</f>
        <v xml:space="preserve"> </v>
      </c>
      <c r="M389" s="85" t="str">
        <f>IF(Table13[[#This Row],[Column3]]=" "," ",Table13[[#This Row],[CODE]])</f>
        <v xml:space="preserve"> </v>
      </c>
      <c r="N389" s="368"/>
      <c r="P389" s="81" t="str">
        <f t="shared" si="6"/>
        <v/>
      </c>
    </row>
    <row r="390" spans="1:16" hidden="1" x14ac:dyDescent="0.15">
      <c r="A390" s="81" t="str">
        <f>COPY!O388</f>
        <v/>
      </c>
      <c r="B390" s="81" t="str">
        <f>COPY!C388</f>
        <v/>
      </c>
      <c r="C390" s="82" t="str">
        <f>COPY!D388</f>
        <v/>
      </c>
      <c r="D390" s="81" t="str">
        <f>IF(Table13[[#This Row],[JUMLAH]]&gt;1,(IF(Table13[[#This Row],[CODE]]=" ",D389&amp;"a",IF(Table13[[#This Row],[CODE]]&gt;0,Table13[[#This Row],[CODE]],0))),"")</f>
        <v/>
      </c>
      <c r="E390" s="81" t="str">
        <f>IF(COPY!G388&gt;0,COPY!G388,"")</f>
        <v/>
      </c>
      <c r="F390" s="88" t="str">
        <f>IF(COPY!J388&gt;0,COPY!J388,"")</f>
        <v/>
      </c>
      <c r="G390" s="85" t="str">
        <f>IF(COPY!H388&gt;0,COPY!H388,"")</f>
        <v/>
      </c>
      <c r="H390" s="85" t="str">
        <f>IF(COPY!I388&gt;0,COPY!I388,"")</f>
        <v/>
      </c>
      <c r="I390" s="85" t="str">
        <f>IF(COPY!M388&gt;0,COPY!M388,"")</f>
        <v/>
      </c>
      <c r="J390" s="85" t="str">
        <f>IF(COPY!N388&gt;0,COPY!N388,"")</f>
        <v/>
      </c>
      <c r="K390" s="86" t="str">
        <f>IF(N390=0,(IF(LEFT(Table13[[#This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Row],[URAIAN]],$U$194:$V$210,2,FALSE),""),""),0))))),N390)</f>
        <v/>
      </c>
      <c r="L390" s="85" t="str">
        <f>IF(Table13[[#This Row],[Column2]]="KWITANSI",COUNTIF($K$4:K390,"KWITANSI")," ")</f>
        <v xml:space="preserve"> </v>
      </c>
      <c r="M390" s="85" t="str">
        <f>IF(Table13[[#This Row],[Column3]]=" "," ",Table13[[#This Row],[CODE]])</f>
        <v xml:space="preserve"> </v>
      </c>
      <c r="N390" s="368"/>
      <c r="P390" s="81" t="str">
        <f t="shared" si="6"/>
        <v/>
      </c>
    </row>
    <row r="391" spans="1:16" hidden="1" x14ac:dyDescent="0.15">
      <c r="A391" s="81" t="str">
        <f>COPY!O389</f>
        <v/>
      </c>
      <c r="B391" s="81" t="str">
        <f>COPY!C389</f>
        <v/>
      </c>
      <c r="C391" s="82" t="str">
        <f>COPY!D389</f>
        <v/>
      </c>
      <c r="D391" s="81" t="str">
        <f>IF(Table13[[#This Row],[JUMLAH]]&gt;1,(IF(Table13[[#This Row],[CODE]]=" ",D390&amp;"a",IF(Table13[[#This Row],[CODE]]&gt;0,Table13[[#This Row],[CODE]],0))),"")</f>
        <v/>
      </c>
      <c r="E391" s="81" t="str">
        <f>IF(COPY!G389&gt;0,COPY!G389,"")</f>
        <v/>
      </c>
      <c r="F391" s="88" t="str">
        <f>IF(COPY!J389&gt;0,COPY!J389,"")</f>
        <v/>
      </c>
      <c r="G391" s="85" t="str">
        <f>IF(COPY!H389&gt;0,COPY!H389,"")</f>
        <v/>
      </c>
      <c r="H391" s="85" t="str">
        <f>IF(COPY!I389&gt;0,COPY!I389,"")</f>
        <v/>
      </c>
      <c r="I391" s="85" t="str">
        <f>IF(COPY!M389&gt;0,COPY!M389,"")</f>
        <v/>
      </c>
      <c r="J391" s="85" t="str">
        <f>IF(COPY!N389&gt;0,COPY!N389,"")</f>
        <v/>
      </c>
      <c r="K391" s="86" t="str">
        <f>IF(N391=0,(IF(LEFT(Table13[[#This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Row],[URAIAN]],$U$194:$V$210,2,FALSE),""),""),0))))),N391)</f>
        <v/>
      </c>
      <c r="L391" s="85" t="str">
        <f>IF(Table13[[#This Row],[Column2]]="KWITANSI",COUNTIF($K$4:K391,"KWITANSI")," ")</f>
        <v xml:space="preserve"> </v>
      </c>
      <c r="M391" s="85" t="str">
        <f>IF(Table13[[#This Row],[Column3]]=" "," ",Table13[[#This Row],[CODE]])</f>
        <v xml:space="preserve"> </v>
      </c>
      <c r="N391" s="368"/>
      <c r="P391" s="81" t="str">
        <f t="shared" si="6"/>
        <v/>
      </c>
    </row>
    <row r="392" spans="1:16" hidden="1" x14ac:dyDescent="0.15">
      <c r="A392" s="81" t="str">
        <f>COPY!O390</f>
        <v/>
      </c>
      <c r="B392" s="81" t="str">
        <f>COPY!C390</f>
        <v/>
      </c>
      <c r="C392" s="82" t="str">
        <f>COPY!D390</f>
        <v/>
      </c>
      <c r="D392" s="81" t="str">
        <f>IF(Table13[[#This Row],[JUMLAH]]&gt;1,(IF(Table13[[#This Row],[CODE]]=" ",D391&amp;"a",IF(Table13[[#This Row],[CODE]]&gt;0,Table13[[#This Row],[CODE]],0))),"")</f>
        <v/>
      </c>
      <c r="E392" s="81" t="str">
        <f>IF(COPY!G390&gt;0,COPY!G390,"")</f>
        <v/>
      </c>
      <c r="F392" s="88" t="str">
        <f>IF(COPY!J390&gt;0,COPY!J390,"")</f>
        <v/>
      </c>
      <c r="G392" s="85" t="str">
        <f>IF(COPY!H390&gt;0,COPY!H390,"")</f>
        <v/>
      </c>
      <c r="H392" s="85" t="str">
        <f>IF(COPY!I390&gt;0,COPY!I390,"")</f>
        <v/>
      </c>
      <c r="I392" s="85" t="str">
        <f>IF(COPY!M390&gt;0,COPY!M390,"")</f>
        <v/>
      </c>
      <c r="J392" s="85" t="str">
        <f>IF(COPY!N390&gt;0,COPY!N390,"")</f>
        <v/>
      </c>
      <c r="K392" s="86" t="str">
        <f>IF(N392=0,(IF(LEFT(Table13[[#This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Row],[URAIAN]],$U$194:$V$210,2,FALSE),""),""),0))))),N392)</f>
        <v/>
      </c>
      <c r="L392" s="85" t="str">
        <f>IF(Table13[[#This Row],[Column2]]="KWITANSI",COUNTIF($K$4:K392,"KWITANSI")," ")</f>
        <v xml:space="preserve"> </v>
      </c>
      <c r="M392" s="85" t="str">
        <f>IF(Table13[[#This Row],[Column3]]=" "," ",Table13[[#This Row],[CODE]])</f>
        <v xml:space="preserve"> </v>
      </c>
      <c r="N392" s="368"/>
      <c r="P392" s="81" t="str">
        <f t="shared" si="6"/>
        <v/>
      </c>
    </row>
    <row r="393" spans="1:16" hidden="1" x14ac:dyDescent="0.15">
      <c r="A393" s="81" t="str">
        <f>COPY!O391</f>
        <v/>
      </c>
      <c r="B393" s="81" t="str">
        <f>COPY!C391</f>
        <v/>
      </c>
      <c r="C393" s="82" t="str">
        <f>COPY!D391</f>
        <v/>
      </c>
      <c r="D393" s="81" t="str">
        <f>IF(Table13[[#This Row],[JUMLAH]]&gt;1,(IF(Table13[[#This Row],[CODE]]=" ",D392&amp;"a",IF(Table13[[#This Row],[CODE]]&gt;0,Table13[[#This Row],[CODE]],0))),"")</f>
        <v/>
      </c>
      <c r="E393" s="81" t="str">
        <f>IF(COPY!G391&gt;0,COPY!G391,"")</f>
        <v/>
      </c>
      <c r="F393" s="88" t="str">
        <f>IF(COPY!J391&gt;0,COPY!J391,"")</f>
        <v/>
      </c>
      <c r="G393" s="85" t="str">
        <f>IF(COPY!H391&gt;0,COPY!H391,"")</f>
        <v/>
      </c>
      <c r="H393" s="85" t="str">
        <f>IF(COPY!I391&gt;0,COPY!I391,"")</f>
        <v/>
      </c>
      <c r="I393" s="85" t="str">
        <f>IF(COPY!M391&gt;0,COPY!M391,"")</f>
        <v/>
      </c>
      <c r="J393" s="85" t="str">
        <f>IF(COPY!N391&gt;0,COPY!N391,"")</f>
        <v/>
      </c>
      <c r="K393" s="86" t="str">
        <f>IF(N393=0,(IF(LEFT(Table13[[#This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Row],[URAIAN]],$U$194:$V$210,2,FALSE),""),""),0))))),N393)</f>
        <v/>
      </c>
      <c r="L393" s="85" t="str">
        <f>IF(Table13[[#This Row],[Column2]]="KWITANSI",COUNTIF($K$4:K393,"KWITANSI")," ")</f>
        <v xml:space="preserve"> </v>
      </c>
      <c r="M393" s="85" t="str">
        <f>IF(Table13[[#This Row],[Column3]]=" "," ",Table13[[#This Row],[CODE]])</f>
        <v xml:space="preserve"> </v>
      </c>
      <c r="N393" s="368"/>
      <c r="P393" s="81" t="str">
        <f t="shared" si="6"/>
        <v/>
      </c>
    </row>
    <row r="394" spans="1:16" hidden="1" x14ac:dyDescent="0.15">
      <c r="A394" s="81" t="str">
        <f>COPY!O392</f>
        <v/>
      </c>
      <c r="B394" s="81" t="str">
        <f>COPY!C392</f>
        <v/>
      </c>
      <c r="C394" s="82" t="str">
        <f>COPY!D392</f>
        <v/>
      </c>
      <c r="D394" s="81" t="str">
        <f>IF(Table13[[#This Row],[JUMLAH]]&gt;1,(IF(Table13[[#This Row],[CODE]]=" ",D393&amp;"a",IF(Table13[[#This Row],[CODE]]&gt;0,Table13[[#This Row],[CODE]],0))),"")</f>
        <v/>
      </c>
      <c r="E394" s="81" t="str">
        <f>IF(COPY!G392&gt;0,COPY!G392,"")</f>
        <v/>
      </c>
      <c r="F394" s="88" t="str">
        <f>IF(COPY!J392&gt;0,COPY!J392,"")</f>
        <v/>
      </c>
      <c r="G394" s="85" t="str">
        <f>IF(COPY!H392&gt;0,COPY!H392,"")</f>
        <v/>
      </c>
      <c r="H394" s="85" t="str">
        <f>IF(COPY!I392&gt;0,COPY!I392,"")</f>
        <v/>
      </c>
      <c r="I394" s="85" t="str">
        <f>IF(COPY!M392&gt;0,COPY!M392,"")</f>
        <v/>
      </c>
      <c r="J394" s="85" t="str">
        <f>IF(COPY!N392&gt;0,COPY!N392,"")</f>
        <v/>
      </c>
      <c r="K394" s="86" t="str">
        <f>IF(N394=0,(IF(LEFT(Table13[[#This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Row],[URAIAN]],$U$194:$V$210,2,FALSE),""),""),0))))),N394)</f>
        <v/>
      </c>
      <c r="L394" s="85" t="str">
        <f>IF(Table13[[#This Row],[Column2]]="KWITANSI",COUNTIF($K$4:K394,"KWITANSI")," ")</f>
        <v xml:space="preserve"> </v>
      </c>
      <c r="M394" s="85" t="str">
        <f>IF(Table13[[#This Row],[Column3]]=" "," ",Table13[[#This Row],[CODE]])</f>
        <v xml:space="preserve"> </v>
      </c>
      <c r="N394" s="368"/>
      <c r="P394" s="81" t="str">
        <f t="shared" si="6"/>
        <v/>
      </c>
    </row>
    <row r="395" spans="1:16" hidden="1" x14ac:dyDescent="0.15">
      <c r="A395" s="81" t="str">
        <f>COPY!O393</f>
        <v/>
      </c>
      <c r="B395" s="81" t="str">
        <f>COPY!C393</f>
        <v/>
      </c>
      <c r="C395" s="82" t="str">
        <f>COPY!D393</f>
        <v/>
      </c>
      <c r="D395" s="81" t="str">
        <f>IF(Table13[[#This Row],[JUMLAH]]&gt;1,(IF(Table13[[#This Row],[CODE]]=" ",D394&amp;"a",IF(Table13[[#This Row],[CODE]]&gt;0,Table13[[#This Row],[CODE]],0))),"")</f>
        <v/>
      </c>
      <c r="E395" s="81" t="str">
        <f>IF(COPY!G393&gt;0,COPY!G393,"")</f>
        <v/>
      </c>
      <c r="F395" s="88" t="str">
        <f>IF(COPY!J393&gt;0,COPY!J393,"")</f>
        <v/>
      </c>
      <c r="G395" s="85" t="str">
        <f>IF(COPY!H393&gt;0,COPY!H393,"")</f>
        <v/>
      </c>
      <c r="H395" s="85" t="str">
        <f>IF(COPY!I393&gt;0,COPY!I393,"")</f>
        <v/>
      </c>
      <c r="I395" s="85" t="str">
        <f>IF(COPY!M393&gt;0,COPY!M393,"")</f>
        <v/>
      </c>
      <c r="J395" s="85" t="str">
        <f>IF(COPY!N393&gt;0,COPY!N393,"")</f>
        <v/>
      </c>
      <c r="K395" s="86" t="str">
        <f>IF(N395=0,(IF(LEFT(Table13[[#This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Row],[URAIAN]],$U$194:$V$210,2,FALSE),""),""),0))))),N395)</f>
        <v/>
      </c>
      <c r="L395" s="85" t="str">
        <f>IF(Table13[[#This Row],[Column2]]="KWITANSI",COUNTIF($K$4:K395,"KWITANSI")," ")</f>
        <v xml:space="preserve"> </v>
      </c>
      <c r="M395" s="85" t="str">
        <f>IF(Table13[[#This Row],[Column3]]=" "," ",Table13[[#This Row],[CODE]])</f>
        <v xml:space="preserve"> </v>
      </c>
      <c r="N395" s="368"/>
      <c r="P395" s="81" t="str">
        <f t="shared" si="6"/>
        <v/>
      </c>
    </row>
    <row r="396" spans="1:16" hidden="1" x14ac:dyDescent="0.15">
      <c r="A396" s="81" t="str">
        <f>COPY!O394</f>
        <v/>
      </c>
      <c r="B396" s="81" t="str">
        <f>COPY!C394</f>
        <v/>
      </c>
      <c r="C396" s="82" t="str">
        <f>COPY!D394</f>
        <v/>
      </c>
      <c r="D396" s="81" t="str">
        <f>IF(Table13[[#This Row],[JUMLAH]]&gt;1,(IF(Table13[[#This Row],[CODE]]=" ",D395&amp;"a",IF(Table13[[#This Row],[CODE]]&gt;0,Table13[[#This Row],[CODE]],0))),"")</f>
        <v/>
      </c>
      <c r="E396" s="81" t="str">
        <f>IF(COPY!G394&gt;0,COPY!G394,"")</f>
        <v/>
      </c>
      <c r="F396" s="88" t="str">
        <f>IF(COPY!J394&gt;0,COPY!J394,"")</f>
        <v/>
      </c>
      <c r="G396" s="85" t="str">
        <f>IF(COPY!H394&gt;0,COPY!H394,"")</f>
        <v/>
      </c>
      <c r="H396" s="85" t="str">
        <f>IF(COPY!I394&gt;0,COPY!I394,"")</f>
        <v/>
      </c>
      <c r="I396" s="85" t="str">
        <f>IF(COPY!M394&gt;0,COPY!M394,"")</f>
        <v/>
      </c>
      <c r="J396" s="85" t="str">
        <f>IF(COPY!N394&gt;0,COPY!N394,"")</f>
        <v/>
      </c>
      <c r="K396" s="86" t="str">
        <f>IF(N396=0,(IF(LEFT(Table13[[#This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Row],[URAIAN]],$U$194:$V$210,2,FALSE),""),""),0))))),N396)</f>
        <v/>
      </c>
      <c r="L396" s="85" t="str">
        <f>IF(Table13[[#This Row],[Column2]]="KWITANSI",COUNTIF($K$4:K396,"KWITANSI")," ")</f>
        <v xml:space="preserve"> </v>
      </c>
      <c r="M396" s="85" t="str">
        <f>IF(Table13[[#This Row],[Column3]]=" "," ",Table13[[#This Row],[CODE]])</f>
        <v xml:space="preserve"> </v>
      </c>
      <c r="N396" s="368"/>
      <c r="P396" s="81" t="str">
        <f t="shared" si="6"/>
        <v/>
      </c>
    </row>
    <row r="397" spans="1:16" hidden="1" x14ac:dyDescent="0.15">
      <c r="A397" s="81" t="str">
        <f>COPY!O395</f>
        <v/>
      </c>
      <c r="B397" s="81" t="str">
        <f>COPY!C395</f>
        <v/>
      </c>
      <c r="C397" s="82" t="str">
        <f>COPY!D395</f>
        <v/>
      </c>
      <c r="D397" s="81" t="str">
        <f>IF(Table13[[#This Row],[JUMLAH]]&gt;1,(IF(Table13[[#This Row],[CODE]]=" ",D396&amp;"a",IF(Table13[[#This Row],[CODE]]&gt;0,Table13[[#This Row],[CODE]],0))),"")</f>
        <v/>
      </c>
      <c r="E397" s="81" t="str">
        <f>IF(COPY!G395&gt;0,COPY!G395,"")</f>
        <v/>
      </c>
      <c r="F397" s="88" t="str">
        <f>IF(COPY!J395&gt;0,COPY!J395,"")</f>
        <v/>
      </c>
      <c r="G397" s="85" t="str">
        <f>IF(COPY!H395&gt;0,COPY!H395,"")</f>
        <v/>
      </c>
      <c r="H397" s="85" t="str">
        <f>IF(COPY!I395&gt;0,COPY!I395,"")</f>
        <v/>
      </c>
      <c r="I397" s="85" t="str">
        <f>IF(COPY!M395&gt;0,COPY!M395,"")</f>
        <v/>
      </c>
      <c r="J397" s="85" t="str">
        <f>IF(COPY!N395&gt;0,COPY!N395,"")</f>
        <v/>
      </c>
      <c r="K397" s="86" t="str">
        <f>IF(N397=0,(IF(LEFT(Table13[[#This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Row],[URAIAN]],$U$194:$V$210,2,FALSE),""),""),0))))),N397)</f>
        <v/>
      </c>
      <c r="L397" s="85" t="str">
        <f>IF(Table13[[#This Row],[Column2]]="KWITANSI",COUNTIF($K$4:K397,"KWITANSI")," ")</f>
        <v xml:space="preserve"> </v>
      </c>
      <c r="M397" s="85" t="str">
        <f>IF(Table13[[#This Row],[Column3]]=" "," ",Table13[[#This Row],[CODE]])</f>
        <v xml:space="preserve"> </v>
      </c>
      <c r="N397" s="368"/>
      <c r="P397" s="81" t="str">
        <f t="shared" si="6"/>
        <v/>
      </c>
    </row>
    <row r="398" spans="1:16" hidden="1" x14ac:dyDescent="0.15">
      <c r="A398" s="81" t="str">
        <f>COPY!O396</f>
        <v/>
      </c>
      <c r="B398" s="81" t="str">
        <f>COPY!C396</f>
        <v/>
      </c>
      <c r="C398" s="82" t="str">
        <f>COPY!D396</f>
        <v/>
      </c>
      <c r="D398" s="81" t="str">
        <f>IF(Table13[[#This Row],[JUMLAH]]&gt;1,(IF(Table13[[#This Row],[CODE]]=" ",D397&amp;"a",IF(Table13[[#This Row],[CODE]]&gt;0,Table13[[#This Row],[CODE]],0))),"")</f>
        <v/>
      </c>
      <c r="E398" s="81" t="str">
        <f>IF(COPY!G396&gt;0,COPY!G396,"")</f>
        <v/>
      </c>
      <c r="F398" s="88" t="str">
        <f>IF(COPY!J396&gt;0,COPY!J396,"")</f>
        <v/>
      </c>
      <c r="G398" s="85" t="str">
        <f>IF(COPY!H396&gt;0,COPY!H396,"")</f>
        <v/>
      </c>
      <c r="H398" s="85" t="str">
        <f>IF(COPY!I396&gt;0,COPY!I396,"")</f>
        <v/>
      </c>
      <c r="I398" s="85" t="str">
        <f>IF(COPY!M396&gt;0,COPY!M396,"")</f>
        <v/>
      </c>
      <c r="J398" s="85" t="str">
        <f>IF(COPY!N396&gt;0,COPY!N396,"")</f>
        <v/>
      </c>
      <c r="K398" s="86" t="str">
        <f>IF(N398=0,(IF(LEFT(Table13[[#This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Row],[URAIAN]],$U$194:$V$210,2,FALSE),""),""),0))))),N398)</f>
        <v/>
      </c>
      <c r="L398" s="85" t="str">
        <f>IF(Table13[[#This Row],[Column2]]="KWITANSI",COUNTIF($K$4:K398,"KWITANSI")," ")</f>
        <v xml:space="preserve"> </v>
      </c>
      <c r="M398" s="85" t="str">
        <f>IF(Table13[[#This Row],[Column3]]=" "," ",Table13[[#This Row],[CODE]])</f>
        <v xml:space="preserve"> </v>
      </c>
      <c r="N398" s="368"/>
      <c r="P398" s="81" t="str">
        <f t="shared" si="6"/>
        <v/>
      </c>
    </row>
    <row r="399" spans="1:16" hidden="1" x14ac:dyDescent="0.15">
      <c r="A399" s="81" t="str">
        <f>COPY!O397</f>
        <v/>
      </c>
      <c r="B399" s="81" t="str">
        <f>COPY!C397</f>
        <v/>
      </c>
      <c r="C399" s="82" t="str">
        <f>COPY!D397</f>
        <v/>
      </c>
      <c r="D399" s="81" t="str">
        <f>IF(Table13[[#This Row],[JUMLAH]]&gt;1,(IF(Table13[[#This Row],[CODE]]=" ",D398&amp;"a",IF(Table13[[#This Row],[CODE]]&gt;0,Table13[[#This Row],[CODE]],0))),"")</f>
        <v/>
      </c>
      <c r="E399" s="81" t="str">
        <f>IF(COPY!G397&gt;0,COPY!G397,"")</f>
        <v/>
      </c>
      <c r="F399" s="88" t="str">
        <f>IF(COPY!J397&gt;0,COPY!J397,"")</f>
        <v/>
      </c>
      <c r="G399" s="85" t="str">
        <f>IF(COPY!H397&gt;0,COPY!H397,"")</f>
        <v/>
      </c>
      <c r="H399" s="85" t="str">
        <f>IF(COPY!I397&gt;0,COPY!I397,"")</f>
        <v/>
      </c>
      <c r="I399" s="85" t="str">
        <f>IF(COPY!M397&gt;0,COPY!M397,"")</f>
        <v/>
      </c>
      <c r="J399" s="85" t="str">
        <f>IF(COPY!N397&gt;0,COPY!N397,"")</f>
        <v/>
      </c>
      <c r="K399" s="86" t="str">
        <f>IF(N399=0,(IF(LEFT(Table13[[#This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Row],[URAIAN]],$U$194:$V$210,2,FALSE),""),""),0))))),N399)</f>
        <v/>
      </c>
      <c r="L399" s="85" t="str">
        <f>IF(Table13[[#This Row],[Column2]]="KWITANSI",COUNTIF($K$4:K399,"KWITANSI")," ")</f>
        <v xml:space="preserve"> </v>
      </c>
      <c r="M399" s="85" t="str">
        <f>IF(Table13[[#This Row],[Column3]]=" "," ",Table13[[#This Row],[CODE]])</f>
        <v xml:space="preserve"> </v>
      </c>
      <c r="N399" s="368"/>
      <c r="P399" s="81" t="str">
        <f t="shared" si="6"/>
        <v/>
      </c>
    </row>
    <row r="400" spans="1:16" hidden="1" x14ac:dyDescent="0.15">
      <c r="A400" s="81" t="str">
        <f>COPY!O398</f>
        <v/>
      </c>
      <c r="B400" s="81" t="str">
        <f>COPY!C398</f>
        <v/>
      </c>
      <c r="C400" s="82" t="str">
        <f>COPY!D398</f>
        <v/>
      </c>
      <c r="D400" s="81" t="str">
        <f>IF(Table13[[#This Row],[JUMLAH]]&gt;1,(IF(Table13[[#This Row],[CODE]]=" ",D399&amp;"a",IF(Table13[[#This Row],[CODE]]&gt;0,Table13[[#This Row],[CODE]],0))),"")</f>
        <v/>
      </c>
      <c r="E400" s="81" t="str">
        <f>IF(COPY!G398&gt;0,COPY!G398,"")</f>
        <v/>
      </c>
      <c r="F400" s="88" t="str">
        <f>IF(COPY!J398&gt;0,COPY!J398,"")</f>
        <v/>
      </c>
      <c r="G400" s="85" t="str">
        <f>IF(COPY!H398&gt;0,COPY!H398,"")</f>
        <v/>
      </c>
      <c r="H400" s="85" t="str">
        <f>IF(COPY!I398&gt;0,COPY!I398,"")</f>
        <v/>
      </c>
      <c r="I400" s="85" t="str">
        <f>IF(COPY!M398&gt;0,COPY!M398,"")</f>
        <v/>
      </c>
      <c r="J400" s="85" t="str">
        <f>IF(COPY!N398&gt;0,COPY!N398,"")</f>
        <v/>
      </c>
      <c r="K400" s="86" t="str">
        <f>IF(N400=0,(IF(LEFT(Table13[[#This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Row],[URAIAN]],$U$194:$V$210,2,FALSE),""),""),0))))),N400)</f>
        <v/>
      </c>
      <c r="L400" s="85" t="str">
        <f>IF(Table13[[#This Row],[Column2]]="KWITANSI",COUNTIF($K$4:K400,"KWITANSI")," ")</f>
        <v xml:space="preserve"> </v>
      </c>
      <c r="M400" s="85" t="str">
        <f>IF(Table13[[#This Row],[Column3]]=" "," ",Table13[[#This Row],[CODE]])</f>
        <v xml:space="preserve"> </v>
      </c>
      <c r="N400" s="368"/>
      <c r="P400" s="81" t="str">
        <f t="shared" si="6"/>
        <v/>
      </c>
    </row>
    <row r="401" spans="1:16" hidden="1" x14ac:dyDescent="0.15">
      <c r="A401" s="81" t="str">
        <f>COPY!O399</f>
        <v/>
      </c>
      <c r="B401" s="81" t="str">
        <f>COPY!C399</f>
        <v/>
      </c>
      <c r="C401" s="82" t="str">
        <f>COPY!D399</f>
        <v/>
      </c>
      <c r="D401" s="81" t="str">
        <f>IF(Table13[[#This Row],[JUMLAH]]&gt;1,(IF(Table13[[#This Row],[CODE]]=" ",D400&amp;"a",IF(Table13[[#This Row],[CODE]]&gt;0,Table13[[#This Row],[CODE]],0))),"")</f>
        <v/>
      </c>
      <c r="E401" s="81" t="str">
        <f>IF(COPY!G399&gt;0,COPY!G399,"")</f>
        <v/>
      </c>
      <c r="F401" s="88" t="str">
        <f>IF(COPY!J399&gt;0,COPY!J399,"")</f>
        <v/>
      </c>
      <c r="G401" s="85" t="str">
        <f>IF(COPY!H399&gt;0,COPY!H399,"")</f>
        <v/>
      </c>
      <c r="H401" s="85" t="str">
        <f>IF(COPY!I399&gt;0,COPY!I399,"")</f>
        <v/>
      </c>
      <c r="I401" s="85" t="str">
        <f>IF(COPY!M399&gt;0,COPY!M399,"")</f>
        <v/>
      </c>
      <c r="J401" s="85" t="str">
        <f>IF(COPY!N399&gt;0,COPY!N399,"")</f>
        <v/>
      </c>
      <c r="K401" s="86" t="str">
        <f>IF(N401=0,(IF(LEFT(Table13[[#This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Row],[URAIAN]],$U$194:$V$210,2,FALSE),""),""),0))))),N401)</f>
        <v/>
      </c>
      <c r="L401" s="85" t="str">
        <f>IF(Table13[[#This Row],[Column2]]="KWITANSI",COUNTIF($K$4:K401,"KWITANSI")," ")</f>
        <v xml:space="preserve"> </v>
      </c>
      <c r="M401" s="85" t="str">
        <f>IF(Table13[[#This Row],[Column3]]=" "," ",Table13[[#This Row],[CODE]])</f>
        <v xml:space="preserve"> </v>
      </c>
      <c r="N401" s="368"/>
      <c r="P401" s="81" t="str">
        <f t="shared" si="6"/>
        <v/>
      </c>
    </row>
    <row r="402" spans="1:16" hidden="1" x14ac:dyDescent="0.15">
      <c r="A402" s="81" t="str">
        <f>COPY!O400</f>
        <v/>
      </c>
      <c r="B402" s="81" t="str">
        <f>COPY!C400</f>
        <v/>
      </c>
      <c r="C402" s="82" t="str">
        <f>COPY!D400</f>
        <v/>
      </c>
      <c r="D402" s="81" t="str">
        <f>IF(Table13[[#This Row],[JUMLAH]]&gt;1,(IF(Table13[[#This Row],[CODE]]=" ",D401&amp;"a",IF(Table13[[#This Row],[CODE]]&gt;0,Table13[[#This Row],[CODE]],0))),"")</f>
        <v/>
      </c>
      <c r="E402" s="81" t="str">
        <f>IF(COPY!G400&gt;0,COPY!G400,"")</f>
        <v/>
      </c>
      <c r="F402" s="88" t="str">
        <f>IF(COPY!J400&gt;0,COPY!J400,"")</f>
        <v/>
      </c>
      <c r="G402" s="85" t="str">
        <f>IF(COPY!H400&gt;0,COPY!H400,"")</f>
        <v/>
      </c>
      <c r="H402" s="85" t="str">
        <f>IF(COPY!I400&gt;0,COPY!I400,"")</f>
        <v/>
      </c>
      <c r="I402" s="85" t="str">
        <f>IF(COPY!M400&gt;0,COPY!M400,"")</f>
        <v/>
      </c>
      <c r="J402" s="85" t="str">
        <f>IF(COPY!N400&gt;0,COPY!N400,"")</f>
        <v/>
      </c>
      <c r="K402" s="86" t="str">
        <f>IF(N402=0,(IF(LEFT(Table13[[#This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Row],[URAIAN]],$U$194:$V$210,2,FALSE),""),""),0))))),N402)</f>
        <v/>
      </c>
      <c r="L402" s="85" t="str">
        <f>IF(Table13[[#This Row],[Column2]]="KWITANSI",COUNTIF($K$4:K402,"KWITANSI")," ")</f>
        <v xml:space="preserve"> </v>
      </c>
      <c r="M402" s="85" t="str">
        <f>IF(Table13[[#This Row],[Column3]]=" "," ",Table13[[#This Row],[CODE]])</f>
        <v xml:space="preserve"> </v>
      </c>
      <c r="N402" s="368"/>
      <c r="P402" s="81" t="str">
        <f t="shared" si="6"/>
        <v/>
      </c>
    </row>
    <row r="403" spans="1:16" hidden="1" x14ac:dyDescent="0.15">
      <c r="A403" s="81" t="str">
        <f>COPY!O401</f>
        <v/>
      </c>
      <c r="B403" s="81" t="str">
        <f>COPY!C401</f>
        <v/>
      </c>
      <c r="C403" s="82" t="str">
        <f>COPY!D401</f>
        <v/>
      </c>
      <c r="D403" s="81" t="str">
        <f>IF(Table13[[#This Row],[JUMLAH]]&gt;1,(IF(Table13[[#This Row],[CODE]]=" ",D402&amp;"a",IF(Table13[[#This Row],[CODE]]&gt;0,Table13[[#This Row],[CODE]],0))),"")</f>
        <v/>
      </c>
      <c r="E403" s="81" t="str">
        <f>IF(COPY!G401&gt;0,COPY!G401,"")</f>
        <v/>
      </c>
      <c r="F403" s="88" t="str">
        <f>IF(COPY!J401&gt;0,COPY!J401,"")</f>
        <v/>
      </c>
      <c r="G403" s="85" t="str">
        <f>IF(COPY!H401&gt;0,COPY!H401,"")</f>
        <v/>
      </c>
      <c r="H403" s="85" t="str">
        <f>IF(COPY!I401&gt;0,COPY!I401,"")</f>
        <v/>
      </c>
      <c r="I403" s="85" t="str">
        <f>IF(COPY!M401&gt;0,COPY!M401,"")</f>
        <v/>
      </c>
      <c r="J403" s="85" t="str">
        <f>IF(COPY!N401&gt;0,COPY!N401,"")</f>
        <v/>
      </c>
      <c r="K403" s="86" t="str">
        <f>IF(N403=0,(IF(LEFT(Table13[[#This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Row],[URAIAN]],$U$194:$V$210,2,FALSE),""),""),0))))),N403)</f>
        <v/>
      </c>
      <c r="L403" s="85" t="str">
        <f>IF(Table13[[#This Row],[Column2]]="KWITANSI",COUNTIF($K$4:K403,"KWITANSI")," ")</f>
        <v xml:space="preserve"> </v>
      </c>
      <c r="M403" s="85" t="str">
        <f>IF(Table13[[#This Row],[Column3]]=" "," ",Table13[[#This Row],[CODE]])</f>
        <v xml:space="preserve"> </v>
      </c>
      <c r="N403" s="368"/>
      <c r="P403" s="81" t="str">
        <f t="shared" si="6"/>
        <v/>
      </c>
    </row>
    <row r="404" spans="1:16" hidden="1" x14ac:dyDescent="0.15">
      <c r="A404" s="81" t="str">
        <f>COPY!O402</f>
        <v/>
      </c>
      <c r="B404" s="81" t="str">
        <f>COPY!C402</f>
        <v/>
      </c>
      <c r="C404" s="82" t="str">
        <f>COPY!D402</f>
        <v/>
      </c>
      <c r="D404" s="81" t="str">
        <f>IF(Table13[[#This Row],[JUMLAH]]&gt;1,(IF(Table13[[#This Row],[CODE]]=" ",D403&amp;"a",IF(Table13[[#This Row],[CODE]]&gt;0,Table13[[#This Row],[CODE]],0))),"")</f>
        <v/>
      </c>
      <c r="E404" s="81" t="str">
        <f>IF(COPY!G402&gt;0,COPY!G402,"")</f>
        <v/>
      </c>
      <c r="F404" s="88" t="str">
        <f>IF(COPY!J402&gt;0,COPY!J402,"")</f>
        <v/>
      </c>
      <c r="G404" s="85" t="str">
        <f>IF(COPY!H402&gt;0,COPY!H402,"")</f>
        <v/>
      </c>
      <c r="H404" s="85" t="str">
        <f>IF(COPY!I402&gt;0,COPY!I402,"")</f>
        <v/>
      </c>
      <c r="I404" s="85" t="str">
        <f>IF(COPY!M402&gt;0,COPY!M402,"")</f>
        <v/>
      </c>
      <c r="J404" s="85" t="str">
        <f>IF(COPY!N402&gt;0,COPY!N402,"")</f>
        <v/>
      </c>
      <c r="K404" s="86" t="str">
        <f>IF(N404=0,(IF(LEFT(Table13[[#This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Row],[URAIAN]],$U$194:$V$210,2,FALSE),""),""),0))))),N404)</f>
        <v/>
      </c>
      <c r="L404" s="85" t="str">
        <f>IF(Table13[[#This Row],[Column2]]="KWITANSI",COUNTIF($K$4:K404,"KWITANSI")," ")</f>
        <v xml:space="preserve"> </v>
      </c>
      <c r="M404" s="85" t="str">
        <f>IF(Table13[[#This Row],[Column3]]=" "," ",Table13[[#This Row],[CODE]])</f>
        <v xml:space="preserve"> </v>
      </c>
      <c r="N404" s="368"/>
      <c r="P404" s="81" t="str">
        <f t="shared" si="6"/>
        <v/>
      </c>
    </row>
    <row r="405" spans="1:16" hidden="1" x14ac:dyDescent="0.15">
      <c r="A405" s="81" t="str">
        <f>COPY!O403</f>
        <v/>
      </c>
      <c r="B405" s="81" t="str">
        <f>COPY!C403</f>
        <v/>
      </c>
      <c r="C405" s="82" t="str">
        <f>COPY!D403</f>
        <v/>
      </c>
      <c r="D405" s="81" t="str">
        <f>IF(Table13[[#This Row],[JUMLAH]]&gt;1,(IF(Table13[[#This Row],[CODE]]=" ",D404&amp;"a",IF(Table13[[#This Row],[CODE]]&gt;0,Table13[[#This Row],[CODE]],0))),"")</f>
        <v/>
      </c>
      <c r="E405" s="81" t="str">
        <f>IF(COPY!G403&gt;0,COPY!G403,"")</f>
        <v/>
      </c>
      <c r="F405" s="88" t="str">
        <f>IF(COPY!J403&gt;0,COPY!J403,"")</f>
        <v/>
      </c>
      <c r="G405" s="85" t="str">
        <f>IF(COPY!H403&gt;0,COPY!H403,"")</f>
        <v/>
      </c>
      <c r="H405" s="85" t="str">
        <f>IF(COPY!I403&gt;0,COPY!I403,"")</f>
        <v/>
      </c>
      <c r="I405" s="85" t="str">
        <f>IF(COPY!M403&gt;0,COPY!M403,"")</f>
        <v/>
      </c>
      <c r="J405" s="85" t="str">
        <f>IF(COPY!N403&gt;0,COPY!N403,"")</f>
        <v/>
      </c>
      <c r="K405" s="86" t="str">
        <f>IF(N405=0,(IF(LEFT(Table13[[#This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Row],[URAIAN]],$U$194:$V$210,2,FALSE),""),""),0))))),N405)</f>
        <v/>
      </c>
      <c r="L405" s="85" t="str">
        <f>IF(Table13[[#This Row],[Column2]]="KWITANSI",COUNTIF($K$4:K405,"KWITANSI")," ")</f>
        <v xml:space="preserve"> </v>
      </c>
      <c r="M405" s="85" t="str">
        <f>IF(Table13[[#This Row],[Column3]]=" "," ",Table13[[#This Row],[CODE]])</f>
        <v xml:space="preserve"> </v>
      </c>
      <c r="N405" s="368"/>
      <c r="P405" s="81" t="str">
        <f t="shared" si="6"/>
        <v/>
      </c>
    </row>
    <row r="406" spans="1:16" hidden="1" x14ac:dyDescent="0.15">
      <c r="A406" s="81" t="str">
        <f>COPY!O404</f>
        <v/>
      </c>
      <c r="B406" s="81" t="str">
        <f>COPY!C404</f>
        <v/>
      </c>
      <c r="C406" s="82" t="str">
        <f>COPY!D404</f>
        <v/>
      </c>
      <c r="D406" s="81" t="str">
        <f>IF(Table13[[#This Row],[JUMLAH]]&gt;1,(IF(Table13[[#This Row],[CODE]]=" ",D405&amp;"a",IF(Table13[[#This Row],[CODE]]&gt;0,Table13[[#This Row],[CODE]],0))),"")</f>
        <v/>
      </c>
      <c r="E406" s="81" t="str">
        <f>IF(COPY!G404&gt;0,COPY!G404,"")</f>
        <v/>
      </c>
      <c r="F406" s="88" t="str">
        <f>IF(COPY!J404&gt;0,COPY!J404,"")</f>
        <v/>
      </c>
      <c r="G406" s="85" t="str">
        <f>IF(COPY!H404&gt;0,COPY!H404,"")</f>
        <v/>
      </c>
      <c r="H406" s="85" t="str">
        <f>IF(COPY!I404&gt;0,COPY!I404,"")</f>
        <v/>
      </c>
      <c r="I406" s="85" t="str">
        <f>IF(COPY!M404&gt;0,COPY!M404,"")</f>
        <v/>
      </c>
      <c r="J406" s="85" t="str">
        <f>IF(COPY!N404&gt;0,COPY!N404,"")</f>
        <v/>
      </c>
      <c r="K406" s="86" t="str">
        <f>IF(N406=0,(IF(LEFT(Table13[[#This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Row],[URAIAN]],$U$194:$V$210,2,FALSE),""),""),0))))),N406)</f>
        <v/>
      </c>
      <c r="L406" s="85" t="str">
        <f>IF(Table13[[#This Row],[Column2]]="KWITANSI",COUNTIF($K$4:K406,"KWITANSI")," ")</f>
        <v xml:space="preserve"> </v>
      </c>
      <c r="M406" s="85" t="str">
        <f>IF(Table13[[#This Row],[Column3]]=" "," ",Table13[[#This Row],[CODE]])</f>
        <v xml:space="preserve"> </v>
      </c>
      <c r="N406" s="368"/>
      <c r="P406" s="81" t="str">
        <f t="shared" si="6"/>
        <v/>
      </c>
    </row>
    <row r="407" spans="1:16" hidden="1" x14ac:dyDescent="0.15">
      <c r="A407" s="81" t="str">
        <f>COPY!O405</f>
        <v/>
      </c>
      <c r="B407" s="81" t="str">
        <f>COPY!C405</f>
        <v/>
      </c>
      <c r="C407" s="82" t="str">
        <f>COPY!D405</f>
        <v/>
      </c>
      <c r="D407" s="81" t="str">
        <f>IF(Table13[[#This Row],[JUMLAH]]&gt;1,(IF(Table13[[#This Row],[CODE]]=" ",D406&amp;"a",IF(Table13[[#This Row],[CODE]]&gt;0,Table13[[#This Row],[CODE]],0))),"")</f>
        <v/>
      </c>
      <c r="E407" s="81" t="str">
        <f>IF(COPY!G405&gt;0,COPY!G405,"")</f>
        <v/>
      </c>
      <c r="F407" s="88" t="str">
        <f>IF(COPY!J405&gt;0,COPY!J405,"")</f>
        <v/>
      </c>
      <c r="G407" s="85" t="str">
        <f>IF(COPY!H405&gt;0,COPY!H405,"")</f>
        <v/>
      </c>
      <c r="H407" s="85" t="str">
        <f>IF(COPY!I405&gt;0,COPY!I405,"")</f>
        <v/>
      </c>
      <c r="I407" s="85" t="str">
        <f>IF(COPY!M405&gt;0,COPY!M405,"")</f>
        <v/>
      </c>
      <c r="J407" s="85" t="str">
        <f>IF(COPY!N405&gt;0,COPY!N405,"")</f>
        <v/>
      </c>
      <c r="K407" s="86" t="str">
        <f>IF(N407=0,(IF(LEFT(Table13[[#This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Row],[URAIAN]],$U$194:$V$210,2,FALSE),""),""),0))))),N407)</f>
        <v/>
      </c>
      <c r="L407" s="85" t="str">
        <f>IF(Table13[[#This Row],[Column2]]="KWITANSI",COUNTIF($K$4:K407,"KWITANSI")," ")</f>
        <v xml:space="preserve"> </v>
      </c>
      <c r="M407" s="85" t="str">
        <f>IF(Table13[[#This Row],[Column3]]=" "," ",Table13[[#This Row],[CODE]])</f>
        <v xml:space="preserve"> </v>
      </c>
      <c r="N407" s="368"/>
      <c r="P407" s="81" t="str">
        <f t="shared" si="6"/>
        <v/>
      </c>
    </row>
    <row r="408" spans="1:16" hidden="1" x14ac:dyDescent="0.15">
      <c r="A408" s="81" t="str">
        <f>COPY!O406</f>
        <v/>
      </c>
      <c r="B408" s="81" t="str">
        <f>COPY!C406</f>
        <v/>
      </c>
      <c r="C408" s="82" t="str">
        <f>COPY!D406</f>
        <v/>
      </c>
      <c r="D408" s="81" t="str">
        <f>IF(Table13[[#This Row],[JUMLAH]]&gt;1,(IF(Table13[[#This Row],[CODE]]=" ",D407&amp;"a",IF(Table13[[#This Row],[CODE]]&gt;0,Table13[[#This Row],[CODE]],0))),"")</f>
        <v/>
      </c>
      <c r="E408" s="81" t="str">
        <f>IF(COPY!G406&gt;0,COPY!G406,"")</f>
        <v/>
      </c>
      <c r="F408" s="88" t="str">
        <f>IF(COPY!J406&gt;0,COPY!J406,"")</f>
        <v/>
      </c>
      <c r="G408" s="85" t="str">
        <f>IF(COPY!H406&gt;0,COPY!H406,"")</f>
        <v/>
      </c>
      <c r="H408" s="85" t="str">
        <f>IF(COPY!I406&gt;0,COPY!I406,"")</f>
        <v/>
      </c>
      <c r="I408" s="85" t="str">
        <f>IF(COPY!M406&gt;0,COPY!M406,"")</f>
        <v/>
      </c>
      <c r="J408" s="85" t="str">
        <f>IF(COPY!N406&gt;0,COPY!N406,"")</f>
        <v/>
      </c>
      <c r="K408" s="86" t="str">
        <f>IF(N408=0,(IF(LEFT(Table13[[#This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Row],[URAIAN]],$U$194:$V$210,2,FALSE),""),""),0))))),N408)</f>
        <v/>
      </c>
      <c r="L408" s="85" t="str">
        <f>IF(Table13[[#This Row],[Column2]]="KWITANSI",COUNTIF($K$4:K408,"KWITANSI")," ")</f>
        <v xml:space="preserve"> </v>
      </c>
      <c r="M408" s="85" t="str">
        <f>IF(Table13[[#This Row],[Column3]]=" "," ",Table13[[#This Row],[CODE]])</f>
        <v xml:space="preserve"> </v>
      </c>
      <c r="N408" s="368"/>
      <c r="P408" s="81" t="str">
        <f t="shared" si="6"/>
        <v/>
      </c>
    </row>
    <row r="409" spans="1:16" hidden="1" x14ac:dyDescent="0.15">
      <c r="A409" s="81" t="str">
        <f>COPY!O407</f>
        <v/>
      </c>
      <c r="B409" s="81" t="str">
        <f>COPY!C407</f>
        <v/>
      </c>
      <c r="C409" s="82" t="str">
        <f>COPY!D407</f>
        <v/>
      </c>
      <c r="D409" s="81" t="str">
        <f>IF(Table13[[#This Row],[JUMLAH]]&gt;1,(IF(Table13[[#This Row],[CODE]]=" ",D408&amp;"a",IF(Table13[[#This Row],[CODE]]&gt;0,Table13[[#This Row],[CODE]],0))),"")</f>
        <v/>
      </c>
      <c r="E409" s="81" t="str">
        <f>IF(COPY!G407&gt;0,COPY!G407,"")</f>
        <v/>
      </c>
      <c r="F409" s="88" t="str">
        <f>IF(COPY!J407&gt;0,COPY!J407,"")</f>
        <v/>
      </c>
      <c r="G409" s="85" t="str">
        <f>IF(COPY!H407&gt;0,COPY!H407,"")</f>
        <v/>
      </c>
      <c r="H409" s="85" t="str">
        <f>IF(COPY!I407&gt;0,COPY!I407,"")</f>
        <v/>
      </c>
      <c r="I409" s="85" t="str">
        <f>IF(COPY!M407&gt;0,COPY!M407,"")</f>
        <v/>
      </c>
      <c r="J409" s="85" t="str">
        <f>IF(COPY!N407&gt;0,COPY!N407,"")</f>
        <v/>
      </c>
      <c r="K409" s="86" t="str">
        <f>IF(N409=0,(IF(LEFT(Table13[[#This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Row],[URAIAN]],$U$194:$V$210,2,FALSE),""),""),0))))),N409)</f>
        <v/>
      </c>
      <c r="L409" s="85" t="str">
        <f>IF(Table13[[#This Row],[Column2]]="KWITANSI",COUNTIF($K$4:K409,"KWITANSI")," ")</f>
        <v xml:space="preserve"> </v>
      </c>
      <c r="M409" s="85" t="str">
        <f>IF(Table13[[#This Row],[Column3]]=" "," ",Table13[[#This Row],[CODE]])</f>
        <v xml:space="preserve"> </v>
      </c>
      <c r="N409" s="368"/>
      <c r="P409" s="81" t="str">
        <f t="shared" si="6"/>
        <v/>
      </c>
    </row>
    <row r="410" spans="1:16" hidden="1" x14ac:dyDescent="0.15">
      <c r="A410" s="81" t="str">
        <f>COPY!O408</f>
        <v/>
      </c>
      <c r="B410" s="81" t="str">
        <f>COPY!C408</f>
        <v/>
      </c>
      <c r="C410" s="82" t="str">
        <f>COPY!D408</f>
        <v/>
      </c>
      <c r="D410" s="81" t="str">
        <f>IF(Table13[[#This Row],[JUMLAH]]&gt;1,(IF(Table13[[#This Row],[CODE]]=" ",D409&amp;"a",IF(Table13[[#This Row],[CODE]]&gt;0,Table13[[#This Row],[CODE]],0))),"")</f>
        <v/>
      </c>
      <c r="E410" s="81" t="str">
        <f>IF(COPY!G408&gt;0,COPY!G408,"")</f>
        <v/>
      </c>
      <c r="F410" s="88" t="str">
        <f>IF(COPY!J408&gt;0,COPY!J408,"")</f>
        <v/>
      </c>
      <c r="G410" s="85" t="str">
        <f>IF(COPY!H408&gt;0,COPY!H408,"")</f>
        <v/>
      </c>
      <c r="H410" s="85" t="str">
        <f>IF(COPY!I408&gt;0,COPY!I408,"")</f>
        <v/>
      </c>
      <c r="I410" s="85" t="str">
        <f>IF(COPY!M408&gt;0,COPY!M408,"")</f>
        <v/>
      </c>
      <c r="J410" s="85" t="str">
        <f>IF(COPY!N408&gt;0,COPY!N408,"")</f>
        <v/>
      </c>
      <c r="K410" s="86" t="str">
        <f>IF(N410=0,(IF(LEFT(Table13[[#This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Row],[URAIAN]],$U$194:$V$210,2,FALSE),""),""),0))))),N410)</f>
        <v/>
      </c>
      <c r="L410" s="85" t="str">
        <f>IF(Table13[[#This Row],[Column2]]="KWITANSI",COUNTIF($K$4:K410,"KWITANSI")," ")</f>
        <v xml:space="preserve"> </v>
      </c>
      <c r="M410" s="85" t="str">
        <f>IF(Table13[[#This Row],[Column3]]=" "," ",Table13[[#This Row],[CODE]])</f>
        <v xml:space="preserve"> </v>
      </c>
      <c r="N410" s="368"/>
      <c r="P410" s="81" t="str">
        <f t="shared" si="6"/>
        <v/>
      </c>
    </row>
    <row r="411" spans="1:16" hidden="1" x14ac:dyDescent="0.15">
      <c r="A411" s="81" t="str">
        <f>COPY!O409</f>
        <v/>
      </c>
      <c r="B411" s="81" t="str">
        <f>COPY!C409</f>
        <v/>
      </c>
      <c r="C411" s="82" t="str">
        <f>COPY!D409</f>
        <v/>
      </c>
      <c r="D411" s="81" t="str">
        <f>IF(Table13[[#This Row],[JUMLAH]]&gt;1,(IF(Table13[[#This Row],[CODE]]=" ",D410&amp;"a",IF(Table13[[#This Row],[CODE]]&gt;0,Table13[[#This Row],[CODE]],0))),"")</f>
        <v/>
      </c>
      <c r="E411" s="81" t="str">
        <f>IF(COPY!G409&gt;0,COPY!G409,"")</f>
        <v/>
      </c>
      <c r="F411" s="88" t="str">
        <f>IF(COPY!J409&gt;0,COPY!J409,"")</f>
        <v/>
      </c>
      <c r="G411" s="85" t="str">
        <f>IF(COPY!H409&gt;0,COPY!H409,"")</f>
        <v/>
      </c>
      <c r="H411" s="85" t="str">
        <f>IF(COPY!I409&gt;0,COPY!I409,"")</f>
        <v/>
      </c>
      <c r="I411" s="85" t="str">
        <f>IF(COPY!M409&gt;0,COPY!M409,"")</f>
        <v/>
      </c>
      <c r="J411" s="85" t="str">
        <f>IF(COPY!N409&gt;0,COPY!N409,"")</f>
        <v/>
      </c>
      <c r="K411" s="86" t="str">
        <f>IF(N411=0,(IF(LEFT(Table13[[#This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Row],[URAIAN]],$U$194:$V$210,2,FALSE),""),""),0))))),N411)</f>
        <v/>
      </c>
      <c r="L411" s="85" t="str">
        <f>IF(Table13[[#This Row],[Column2]]="KWITANSI",COUNTIF($K$4:K411,"KWITANSI")," ")</f>
        <v xml:space="preserve"> </v>
      </c>
      <c r="M411" s="85" t="str">
        <f>IF(Table13[[#This Row],[Column3]]=" "," ",Table13[[#This Row],[CODE]])</f>
        <v xml:space="preserve"> </v>
      </c>
      <c r="N411" s="368"/>
      <c r="P411" s="81" t="str">
        <f t="shared" si="6"/>
        <v/>
      </c>
    </row>
    <row r="412" spans="1:16" hidden="1" x14ac:dyDescent="0.15">
      <c r="A412" s="81" t="str">
        <f>COPY!O410</f>
        <v/>
      </c>
      <c r="B412" s="81" t="str">
        <f>COPY!C410</f>
        <v/>
      </c>
      <c r="C412" s="82" t="str">
        <f>COPY!D410</f>
        <v/>
      </c>
      <c r="D412" s="81" t="str">
        <f>IF(Table13[[#This Row],[JUMLAH]]&gt;1,(IF(Table13[[#This Row],[CODE]]=" ",D411&amp;"a",IF(Table13[[#This Row],[CODE]]&gt;0,Table13[[#This Row],[CODE]],0))),"")</f>
        <v/>
      </c>
      <c r="E412" s="81" t="str">
        <f>IF(COPY!G410&gt;0,COPY!G410,"")</f>
        <v/>
      </c>
      <c r="F412" s="88" t="str">
        <f>IF(COPY!J410&gt;0,COPY!J410,"")</f>
        <v/>
      </c>
      <c r="G412" s="85" t="str">
        <f>IF(COPY!H410&gt;0,COPY!H410,"")</f>
        <v/>
      </c>
      <c r="H412" s="85" t="str">
        <f>IF(COPY!I410&gt;0,COPY!I410,"")</f>
        <v/>
      </c>
      <c r="I412" s="85" t="str">
        <f>IF(COPY!M410&gt;0,COPY!M410,"")</f>
        <v/>
      </c>
      <c r="J412" s="85" t="str">
        <f>IF(COPY!N410&gt;0,COPY!N410,"")</f>
        <v/>
      </c>
      <c r="K412" s="86" t="str">
        <f>IF(N412=0,(IF(LEFT(Table13[[#This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Row],[URAIAN]],$U$194:$V$210,2,FALSE),""),""),0))))),N412)</f>
        <v/>
      </c>
      <c r="L412" s="85" t="str">
        <f>IF(Table13[[#This Row],[Column2]]="KWITANSI",COUNTIF($K$4:K412,"KWITANSI")," ")</f>
        <v xml:space="preserve"> </v>
      </c>
      <c r="M412" s="85" t="str">
        <f>IF(Table13[[#This Row],[Column3]]=" "," ",Table13[[#This Row],[CODE]])</f>
        <v xml:space="preserve"> </v>
      </c>
      <c r="N412" s="368"/>
      <c r="P412" s="81" t="str">
        <f t="shared" si="6"/>
        <v/>
      </c>
    </row>
    <row r="413" spans="1:16" hidden="1" x14ac:dyDescent="0.15">
      <c r="A413" s="81" t="str">
        <f>COPY!O411</f>
        <v/>
      </c>
      <c r="B413" s="81" t="str">
        <f>COPY!C411</f>
        <v/>
      </c>
      <c r="C413" s="82" t="str">
        <f>COPY!D411</f>
        <v/>
      </c>
      <c r="D413" s="81" t="str">
        <f>IF(Table13[[#This Row],[JUMLAH]]&gt;1,(IF(Table13[[#This Row],[CODE]]=" ",D412&amp;"a",IF(Table13[[#This Row],[CODE]]&gt;0,Table13[[#This Row],[CODE]],0))),"")</f>
        <v/>
      </c>
      <c r="E413" s="81" t="str">
        <f>IF(COPY!G411&gt;0,COPY!G411,"")</f>
        <v/>
      </c>
      <c r="F413" s="88" t="str">
        <f>IF(COPY!J411&gt;0,COPY!J411,"")</f>
        <v/>
      </c>
      <c r="G413" s="85" t="str">
        <f>IF(COPY!H411&gt;0,COPY!H411,"")</f>
        <v/>
      </c>
      <c r="H413" s="85" t="str">
        <f>IF(COPY!I411&gt;0,COPY!I411,"")</f>
        <v/>
      </c>
      <c r="I413" s="85" t="str">
        <f>IF(COPY!M411&gt;0,COPY!M411,"")</f>
        <v/>
      </c>
      <c r="J413" s="85" t="str">
        <f>IF(COPY!N411&gt;0,COPY!N411,"")</f>
        <v/>
      </c>
      <c r="K413" s="86" t="str">
        <f>IF(N413=0,(IF(LEFT(Table13[[#This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Row],[URAIAN]],$U$194:$V$210,2,FALSE),""),""),0))))),N413)</f>
        <v/>
      </c>
      <c r="L413" s="85" t="str">
        <f>IF(Table13[[#This Row],[Column2]]="KWITANSI",COUNTIF($K$4:K413,"KWITANSI")," ")</f>
        <v xml:space="preserve"> </v>
      </c>
      <c r="M413" s="85" t="str">
        <f>IF(Table13[[#This Row],[Column3]]=" "," ",Table13[[#This Row],[CODE]])</f>
        <v xml:space="preserve"> </v>
      </c>
      <c r="N413" s="368"/>
      <c r="P413" s="81" t="str">
        <f t="shared" si="6"/>
        <v/>
      </c>
    </row>
    <row r="414" spans="1:16" hidden="1" x14ac:dyDescent="0.15">
      <c r="A414" s="81" t="str">
        <f>COPY!O412</f>
        <v/>
      </c>
      <c r="B414" s="81" t="str">
        <f>COPY!C412</f>
        <v/>
      </c>
      <c r="C414" s="82" t="str">
        <f>COPY!D412</f>
        <v/>
      </c>
      <c r="D414" s="81" t="str">
        <f>IF(Table13[[#This Row],[JUMLAH]]&gt;1,(IF(Table13[[#This Row],[CODE]]=" ",D413&amp;"a",IF(Table13[[#This Row],[CODE]]&gt;0,Table13[[#This Row],[CODE]],0))),"")</f>
        <v/>
      </c>
      <c r="E414" s="81" t="str">
        <f>IF(COPY!G412&gt;0,COPY!G412,"")</f>
        <v/>
      </c>
      <c r="F414" s="88" t="str">
        <f>IF(COPY!J412&gt;0,COPY!J412,"")</f>
        <v/>
      </c>
      <c r="G414" s="85" t="str">
        <f>IF(COPY!H412&gt;0,COPY!H412,"")</f>
        <v/>
      </c>
      <c r="H414" s="85" t="str">
        <f>IF(COPY!I412&gt;0,COPY!I412,"")</f>
        <v/>
      </c>
      <c r="I414" s="85" t="str">
        <f>IF(COPY!M412&gt;0,COPY!M412,"")</f>
        <v/>
      </c>
      <c r="J414" s="85" t="str">
        <f>IF(COPY!N412&gt;0,COPY!N412,"")</f>
        <v/>
      </c>
      <c r="K414" s="86" t="str">
        <f>IF(N414=0,(IF(LEFT(Table13[[#This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Row],[URAIAN]],$U$194:$V$210,2,FALSE),""),""),0))))),N414)</f>
        <v/>
      </c>
      <c r="L414" s="85" t="str">
        <f>IF(Table13[[#This Row],[Column2]]="KWITANSI",COUNTIF($K$4:K414,"KWITANSI")," ")</f>
        <v xml:space="preserve"> </v>
      </c>
      <c r="M414" s="85" t="str">
        <f>IF(Table13[[#This Row],[Column3]]=" "," ",Table13[[#This Row],[CODE]])</f>
        <v xml:space="preserve"> </v>
      </c>
      <c r="N414" s="368"/>
      <c r="P414" s="81" t="str">
        <f t="shared" si="6"/>
        <v/>
      </c>
    </row>
    <row r="415" spans="1:16" hidden="1" x14ac:dyDescent="0.15">
      <c r="A415" s="81" t="str">
        <f>COPY!O413</f>
        <v/>
      </c>
      <c r="B415" s="81" t="str">
        <f>COPY!C413</f>
        <v/>
      </c>
      <c r="C415" s="82" t="str">
        <f>COPY!D413</f>
        <v/>
      </c>
      <c r="D415" s="81" t="str">
        <f>IF(Table13[[#This Row],[JUMLAH]]&gt;1,(IF(Table13[[#This Row],[CODE]]=" ",D414&amp;"a",IF(Table13[[#This Row],[CODE]]&gt;0,Table13[[#This Row],[CODE]],0))),"")</f>
        <v/>
      </c>
      <c r="E415" s="81" t="str">
        <f>IF(COPY!G413&gt;0,COPY!G413,"")</f>
        <v/>
      </c>
      <c r="F415" s="88" t="str">
        <f>IF(COPY!J413&gt;0,COPY!J413,"")</f>
        <v/>
      </c>
      <c r="G415" s="85" t="str">
        <f>IF(COPY!H413&gt;0,COPY!H413,"")</f>
        <v/>
      </c>
      <c r="H415" s="85" t="str">
        <f>IF(COPY!I413&gt;0,COPY!I413,"")</f>
        <v/>
      </c>
      <c r="I415" s="85" t="str">
        <f>IF(COPY!M413&gt;0,COPY!M413,"")</f>
        <v/>
      </c>
      <c r="J415" s="85" t="str">
        <f>IF(COPY!N413&gt;0,COPY!N413,"")</f>
        <v/>
      </c>
      <c r="K415" s="86" t="str">
        <f>IF(N415=0,(IF(LEFT(Table13[[#This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Row],[URAIAN]],$U$194:$V$210,2,FALSE),""),""),0))))),N415)</f>
        <v/>
      </c>
      <c r="L415" s="85" t="str">
        <f>IF(Table13[[#This Row],[Column2]]="KWITANSI",COUNTIF($K$4:K415,"KWITANSI")," ")</f>
        <v xml:space="preserve"> </v>
      </c>
      <c r="M415" s="85" t="str">
        <f>IF(Table13[[#This Row],[Column3]]=" "," ",Table13[[#This Row],[CODE]])</f>
        <v xml:space="preserve"> </v>
      </c>
      <c r="N415" s="368"/>
      <c r="P415" s="81" t="str">
        <f t="shared" si="6"/>
        <v/>
      </c>
    </row>
    <row r="416" spans="1:16" hidden="1" x14ac:dyDescent="0.15">
      <c r="A416" s="81" t="str">
        <f>COPY!O414</f>
        <v/>
      </c>
      <c r="B416" s="81" t="str">
        <f>COPY!C414</f>
        <v/>
      </c>
      <c r="C416" s="82" t="str">
        <f>COPY!D414</f>
        <v/>
      </c>
      <c r="D416" s="81" t="str">
        <f>IF(Table13[[#This Row],[JUMLAH]]&gt;1,(IF(Table13[[#This Row],[CODE]]=" ",D415&amp;"a",IF(Table13[[#This Row],[CODE]]&gt;0,Table13[[#This Row],[CODE]],0))),"")</f>
        <v/>
      </c>
      <c r="E416" s="81" t="str">
        <f>IF(COPY!G414&gt;0,COPY!G414,"")</f>
        <v/>
      </c>
      <c r="F416" s="88" t="str">
        <f>IF(COPY!J414&gt;0,COPY!J414,"")</f>
        <v/>
      </c>
      <c r="G416" s="85" t="str">
        <f>IF(COPY!H414&gt;0,COPY!H414,"")</f>
        <v/>
      </c>
      <c r="H416" s="85" t="str">
        <f>IF(COPY!I414&gt;0,COPY!I414,"")</f>
        <v/>
      </c>
      <c r="I416" s="85" t="str">
        <f>IF(COPY!M414&gt;0,COPY!M414,"")</f>
        <v/>
      </c>
      <c r="J416" s="85" t="str">
        <f>IF(COPY!N414&gt;0,COPY!N414,"")</f>
        <v/>
      </c>
      <c r="K416" s="86" t="str">
        <f>IF(N416=0,(IF(LEFT(Table13[[#This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Row],[URAIAN]],$U$194:$V$210,2,FALSE),""),""),0))))),N416)</f>
        <v/>
      </c>
      <c r="L416" s="85" t="str">
        <f>IF(Table13[[#This Row],[Column2]]="KWITANSI",COUNTIF($K$4:K416,"KWITANSI")," ")</f>
        <v xml:space="preserve"> </v>
      </c>
      <c r="M416" s="85" t="str">
        <f>IF(Table13[[#This Row],[Column3]]=" "," ",Table13[[#This Row],[CODE]])</f>
        <v xml:space="preserve"> </v>
      </c>
      <c r="N416" s="368"/>
      <c r="P416" s="81" t="str">
        <f t="shared" si="6"/>
        <v/>
      </c>
    </row>
    <row r="417" spans="1:16" hidden="1" x14ac:dyDescent="0.15">
      <c r="A417" s="81" t="str">
        <f>COPY!O415</f>
        <v/>
      </c>
      <c r="B417" s="81" t="str">
        <f>COPY!C415</f>
        <v/>
      </c>
      <c r="C417" s="82" t="str">
        <f>COPY!D415</f>
        <v/>
      </c>
      <c r="D417" s="81" t="str">
        <f>IF(Table13[[#This Row],[JUMLAH]]&gt;1,(IF(Table13[[#This Row],[CODE]]=" ",D416&amp;"a",IF(Table13[[#This Row],[CODE]]&gt;0,Table13[[#This Row],[CODE]],0))),"")</f>
        <v/>
      </c>
      <c r="E417" s="81" t="str">
        <f>IF(COPY!G415&gt;0,COPY!G415,"")</f>
        <v/>
      </c>
      <c r="F417" s="88" t="str">
        <f>IF(COPY!J415&gt;0,COPY!J415,"")</f>
        <v/>
      </c>
      <c r="G417" s="85" t="str">
        <f>IF(COPY!H415&gt;0,COPY!H415,"")</f>
        <v/>
      </c>
      <c r="H417" s="85" t="str">
        <f>IF(COPY!I415&gt;0,COPY!I415,"")</f>
        <v/>
      </c>
      <c r="I417" s="85" t="str">
        <f>IF(COPY!M415&gt;0,COPY!M415,"")</f>
        <v/>
      </c>
      <c r="J417" s="85" t="str">
        <f>IF(COPY!N415&gt;0,COPY!N415,"")</f>
        <v/>
      </c>
      <c r="K417" s="86" t="str">
        <f>IF(N417=0,(IF(LEFT(Table13[[#This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Row],[URAIAN]],$U$194:$V$210,2,FALSE),""),""),0))))),N417)</f>
        <v/>
      </c>
      <c r="L417" s="85" t="str">
        <f>IF(Table13[[#This Row],[Column2]]="KWITANSI",COUNTIF($K$4:K417,"KWITANSI")," ")</f>
        <v xml:space="preserve"> </v>
      </c>
      <c r="M417" s="85" t="str">
        <f>IF(Table13[[#This Row],[Column3]]=" "," ",Table13[[#This Row],[CODE]])</f>
        <v xml:space="preserve"> </v>
      </c>
      <c r="N417" s="368"/>
      <c r="P417" s="81" t="str">
        <f t="shared" si="6"/>
        <v/>
      </c>
    </row>
    <row r="418" spans="1:16" hidden="1" x14ac:dyDescent="0.15">
      <c r="A418" s="81" t="str">
        <f>COPY!O416</f>
        <v/>
      </c>
      <c r="B418" s="81" t="str">
        <f>COPY!C416</f>
        <v/>
      </c>
      <c r="C418" s="82" t="str">
        <f>COPY!D416</f>
        <v/>
      </c>
      <c r="D418" s="81" t="str">
        <f>IF(Table13[[#This Row],[JUMLAH]]&gt;1,(IF(Table13[[#This Row],[CODE]]=" ",D417&amp;"a",IF(Table13[[#This Row],[CODE]]&gt;0,Table13[[#This Row],[CODE]],0))),"")</f>
        <v/>
      </c>
      <c r="E418" s="81" t="str">
        <f>IF(COPY!G416&gt;0,COPY!G416,"")</f>
        <v/>
      </c>
      <c r="F418" s="88" t="str">
        <f>IF(COPY!J416&gt;0,COPY!J416,"")</f>
        <v/>
      </c>
      <c r="G418" s="85" t="str">
        <f>IF(COPY!H416&gt;0,COPY!H416,"")</f>
        <v/>
      </c>
      <c r="H418" s="85" t="str">
        <f>IF(COPY!I416&gt;0,COPY!I416,"")</f>
        <v/>
      </c>
      <c r="I418" s="85" t="str">
        <f>IF(COPY!M416&gt;0,COPY!M416,"")</f>
        <v/>
      </c>
      <c r="J418" s="85" t="str">
        <f>IF(COPY!N416&gt;0,COPY!N416,"")</f>
        <v/>
      </c>
      <c r="K418" s="86" t="str">
        <f>IF(N418=0,(IF(LEFT(Table13[[#This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Row],[URAIAN]],$U$194:$V$210,2,FALSE),""),""),0))))),N418)</f>
        <v/>
      </c>
      <c r="L418" s="85" t="str">
        <f>IF(Table13[[#This Row],[Column2]]="KWITANSI",COUNTIF($K$4:K418,"KWITANSI")," ")</f>
        <v xml:space="preserve"> </v>
      </c>
      <c r="M418" s="85" t="str">
        <f>IF(Table13[[#This Row],[Column3]]=" "," ",Table13[[#This Row],[CODE]])</f>
        <v xml:space="preserve"> </v>
      </c>
      <c r="N418" s="368"/>
      <c r="P418" s="81" t="str">
        <f t="shared" si="6"/>
        <v/>
      </c>
    </row>
    <row r="419" spans="1:16" hidden="1" x14ac:dyDescent="0.15">
      <c r="A419" s="81" t="str">
        <f>COPY!O417</f>
        <v/>
      </c>
      <c r="B419" s="81" t="str">
        <f>COPY!C417</f>
        <v/>
      </c>
      <c r="C419" s="82" t="str">
        <f>COPY!D417</f>
        <v/>
      </c>
      <c r="D419" s="81" t="str">
        <f>IF(Table13[[#This Row],[JUMLAH]]&gt;1,(IF(Table13[[#This Row],[CODE]]=" ",D418&amp;"a",IF(Table13[[#This Row],[CODE]]&gt;0,Table13[[#This Row],[CODE]],0))),"")</f>
        <v/>
      </c>
      <c r="E419" s="81" t="str">
        <f>IF(COPY!G417&gt;0,COPY!G417,"")</f>
        <v/>
      </c>
      <c r="F419" s="88" t="str">
        <f>IF(COPY!J417&gt;0,COPY!J417,"")</f>
        <v/>
      </c>
      <c r="G419" s="85" t="str">
        <f>IF(COPY!H417&gt;0,COPY!H417,"")</f>
        <v/>
      </c>
      <c r="H419" s="85" t="str">
        <f>IF(COPY!I417&gt;0,COPY!I417,"")</f>
        <v/>
      </c>
      <c r="I419" s="85" t="str">
        <f>IF(COPY!M417&gt;0,COPY!M417,"")</f>
        <v/>
      </c>
      <c r="J419" s="85" t="str">
        <f>IF(COPY!N417&gt;0,COPY!N417,"")</f>
        <v/>
      </c>
      <c r="K419" s="86" t="str">
        <f>IF(N419=0,(IF(LEFT(Table13[[#This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Row],[URAIAN]],$U$194:$V$210,2,FALSE),""),""),0))))),N419)</f>
        <v/>
      </c>
      <c r="L419" s="85" t="str">
        <f>IF(Table13[[#This Row],[Column2]]="KWITANSI",COUNTIF($K$4:K419,"KWITANSI")," ")</f>
        <v xml:space="preserve"> </v>
      </c>
      <c r="M419" s="85" t="str">
        <f>IF(Table13[[#This Row],[Column3]]=" "," ",Table13[[#This Row],[CODE]])</f>
        <v xml:space="preserve"> </v>
      </c>
      <c r="N419" s="368"/>
      <c r="P419" s="81" t="str">
        <f t="shared" si="6"/>
        <v/>
      </c>
    </row>
    <row r="420" spans="1:16" hidden="1" x14ac:dyDescent="0.15">
      <c r="A420" s="81" t="str">
        <f>COPY!O418</f>
        <v/>
      </c>
      <c r="B420" s="81" t="str">
        <f>COPY!C418</f>
        <v/>
      </c>
      <c r="C420" s="82" t="str">
        <f>COPY!D418</f>
        <v/>
      </c>
      <c r="D420" s="81" t="str">
        <f>IF(Table13[[#This Row],[JUMLAH]]&gt;1,(IF(Table13[[#This Row],[CODE]]=" ",D419&amp;"a",IF(Table13[[#This Row],[CODE]]&gt;0,Table13[[#This Row],[CODE]],0))),"")</f>
        <v/>
      </c>
      <c r="E420" s="81" t="str">
        <f>IF(COPY!G418&gt;0,COPY!G418,"")</f>
        <v/>
      </c>
      <c r="F420" s="88" t="str">
        <f>IF(COPY!J418&gt;0,COPY!J418,"")</f>
        <v/>
      </c>
      <c r="G420" s="85" t="str">
        <f>IF(COPY!H418&gt;0,COPY!H418,"")</f>
        <v/>
      </c>
      <c r="H420" s="85" t="str">
        <f>IF(COPY!I418&gt;0,COPY!I418,"")</f>
        <v/>
      </c>
      <c r="I420" s="85" t="str">
        <f>IF(COPY!M418&gt;0,COPY!M418,"")</f>
        <v/>
      </c>
      <c r="J420" s="85" t="str">
        <f>IF(COPY!N418&gt;0,COPY!N418,"")</f>
        <v/>
      </c>
      <c r="K420" s="86" t="str">
        <f>IF(N420=0,(IF(LEFT(Table13[[#This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Row],[URAIAN]],$U$194:$V$210,2,FALSE),""),""),0))))),N420)</f>
        <v/>
      </c>
      <c r="L420" s="85" t="str">
        <f>IF(Table13[[#This Row],[Column2]]="KWITANSI",COUNTIF($K$4:K420,"KWITANSI")," ")</f>
        <v xml:space="preserve"> </v>
      </c>
      <c r="M420" s="85" t="str">
        <f>IF(Table13[[#This Row],[Column3]]=" "," ",Table13[[#This Row],[CODE]])</f>
        <v xml:space="preserve"> </v>
      </c>
      <c r="N420" s="368"/>
      <c r="P420" s="81" t="str">
        <f t="shared" si="6"/>
        <v/>
      </c>
    </row>
    <row r="421" spans="1:16" hidden="1" x14ac:dyDescent="0.15">
      <c r="A421" s="81" t="str">
        <f>COPY!O419</f>
        <v/>
      </c>
      <c r="B421" s="81" t="str">
        <f>COPY!C419</f>
        <v/>
      </c>
      <c r="C421" s="82" t="str">
        <f>COPY!D419</f>
        <v/>
      </c>
      <c r="D421" s="81" t="str">
        <f>IF(Table13[[#This Row],[JUMLAH]]&gt;1,(IF(Table13[[#This Row],[CODE]]=" ",D420&amp;"a",IF(Table13[[#This Row],[CODE]]&gt;0,Table13[[#This Row],[CODE]],0))),"")</f>
        <v/>
      </c>
      <c r="E421" s="81" t="str">
        <f>IF(COPY!G419&gt;0,COPY!G419,"")</f>
        <v/>
      </c>
      <c r="F421" s="88" t="str">
        <f>IF(COPY!J419&gt;0,COPY!J419,"")</f>
        <v/>
      </c>
      <c r="G421" s="85" t="str">
        <f>IF(COPY!H419&gt;0,COPY!H419,"")</f>
        <v/>
      </c>
      <c r="H421" s="85" t="str">
        <f>IF(COPY!I419&gt;0,COPY!I419,"")</f>
        <v/>
      </c>
      <c r="I421" s="85" t="str">
        <f>IF(COPY!M419&gt;0,COPY!M419,"")</f>
        <v/>
      </c>
      <c r="J421" s="85" t="str">
        <f>IF(COPY!N419&gt;0,COPY!N419,"")</f>
        <v/>
      </c>
      <c r="K421" s="86" t="str">
        <f>IF(N421=0,(IF(LEFT(Table13[[#This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Row],[URAIAN]],$U$194:$V$210,2,FALSE),""),""),0))))),N421)</f>
        <v/>
      </c>
      <c r="L421" s="85" t="str">
        <f>IF(Table13[[#This Row],[Column2]]="KWITANSI",COUNTIF($K$4:K421,"KWITANSI")," ")</f>
        <v xml:space="preserve"> </v>
      </c>
      <c r="M421" s="85" t="str">
        <f>IF(Table13[[#This Row],[Column3]]=" "," ",Table13[[#This Row],[CODE]])</f>
        <v xml:space="preserve"> </v>
      </c>
      <c r="N421" s="368"/>
      <c r="P421" s="81" t="str">
        <f t="shared" si="6"/>
        <v/>
      </c>
    </row>
    <row r="422" spans="1:16" hidden="1" x14ac:dyDescent="0.15">
      <c r="A422" s="81" t="str">
        <f>COPY!O420</f>
        <v/>
      </c>
      <c r="B422" s="81" t="str">
        <f>COPY!C420</f>
        <v/>
      </c>
      <c r="C422" s="82" t="str">
        <f>COPY!D420</f>
        <v/>
      </c>
      <c r="D422" s="81" t="str">
        <f>IF(Table13[[#This Row],[JUMLAH]]&gt;1,(IF(Table13[[#This Row],[CODE]]=" ",D421&amp;"a",IF(Table13[[#This Row],[CODE]]&gt;0,Table13[[#This Row],[CODE]],0))),"")</f>
        <v/>
      </c>
      <c r="E422" s="81" t="str">
        <f>IF(COPY!G420&gt;0,COPY!G420,"")</f>
        <v/>
      </c>
      <c r="F422" s="88" t="str">
        <f>IF(COPY!J420&gt;0,COPY!J420,"")</f>
        <v/>
      </c>
      <c r="G422" s="85" t="str">
        <f>IF(COPY!H420&gt;0,COPY!H420,"")</f>
        <v/>
      </c>
      <c r="H422" s="85" t="str">
        <f>IF(COPY!I420&gt;0,COPY!I420,"")</f>
        <v/>
      </c>
      <c r="I422" s="85" t="str">
        <f>IF(COPY!M420&gt;0,COPY!M420,"")</f>
        <v/>
      </c>
      <c r="J422" s="85" t="str">
        <f>IF(COPY!N420&gt;0,COPY!N420,"")</f>
        <v/>
      </c>
      <c r="K422" s="86" t="str">
        <f>IF(N422=0,(IF(LEFT(Table13[[#This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Row],[URAIAN]],$U$194:$V$210,2,FALSE),""),""),0))))),N422)</f>
        <v/>
      </c>
      <c r="L422" s="85" t="str">
        <f>IF(Table13[[#This Row],[Column2]]="KWITANSI",COUNTIF($K$4:K422,"KWITANSI")," ")</f>
        <v xml:space="preserve"> </v>
      </c>
      <c r="M422" s="85" t="str">
        <f>IF(Table13[[#This Row],[Column3]]=" "," ",Table13[[#This Row],[CODE]])</f>
        <v xml:space="preserve"> </v>
      </c>
      <c r="N422" s="368"/>
      <c r="P422" s="81" t="str">
        <f t="shared" si="6"/>
        <v/>
      </c>
    </row>
    <row r="423" spans="1:16" hidden="1" x14ac:dyDescent="0.15">
      <c r="A423" s="81" t="str">
        <f>COPY!O421</f>
        <v/>
      </c>
      <c r="B423" s="81" t="str">
        <f>COPY!C421</f>
        <v/>
      </c>
      <c r="C423" s="82" t="str">
        <f>COPY!D421</f>
        <v/>
      </c>
      <c r="D423" s="81" t="str">
        <f>IF(Table13[[#This Row],[JUMLAH]]&gt;1,(IF(Table13[[#This Row],[CODE]]=" ",D422&amp;"a",IF(Table13[[#This Row],[CODE]]&gt;0,Table13[[#This Row],[CODE]],0))),"")</f>
        <v/>
      </c>
      <c r="E423" s="81" t="str">
        <f>IF(COPY!G421&gt;0,COPY!G421,"")</f>
        <v/>
      </c>
      <c r="F423" s="88" t="str">
        <f>IF(COPY!J421&gt;0,COPY!J421,"")</f>
        <v/>
      </c>
      <c r="G423" s="85" t="str">
        <f>IF(COPY!H421&gt;0,COPY!H421,"")</f>
        <v/>
      </c>
      <c r="H423" s="85" t="str">
        <f>IF(COPY!I421&gt;0,COPY!I421,"")</f>
        <v/>
      </c>
      <c r="I423" s="85" t="str">
        <f>IF(COPY!M421&gt;0,COPY!M421,"")</f>
        <v/>
      </c>
      <c r="J423" s="85" t="str">
        <f>IF(COPY!N421&gt;0,COPY!N421,"")</f>
        <v/>
      </c>
      <c r="K423" s="86" t="str">
        <f>IF(N423=0,(IF(LEFT(Table13[[#This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Row],[URAIAN]],$U$194:$V$210,2,FALSE),""),""),0))))),N423)</f>
        <v/>
      </c>
      <c r="L423" s="85" t="str">
        <f>IF(Table13[[#This Row],[Column2]]="KWITANSI",COUNTIF($K$4:K423,"KWITANSI")," ")</f>
        <v xml:space="preserve"> </v>
      </c>
      <c r="M423" s="85" t="str">
        <f>IF(Table13[[#This Row],[Column3]]=" "," ",Table13[[#This Row],[CODE]])</f>
        <v xml:space="preserve"> </v>
      </c>
      <c r="N423" s="368"/>
      <c r="P423" s="81" t="str">
        <f t="shared" si="6"/>
        <v/>
      </c>
    </row>
    <row r="424" spans="1:16" hidden="1" x14ac:dyDescent="0.15">
      <c r="A424" s="81" t="str">
        <f>COPY!O422</f>
        <v/>
      </c>
      <c r="B424" s="81" t="str">
        <f>COPY!C422</f>
        <v/>
      </c>
      <c r="C424" s="82" t="str">
        <f>COPY!D422</f>
        <v/>
      </c>
      <c r="D424" s="81" t="str">
        <f>IF(Table13[[#This Row],[JUMLAH]]&gt;1,(IF(Table13[[#This Row],[CODE]]=" ",D423&amp;"a",IF(Table13[[#This Row],[CODE]]&gt;0,Table13[[#This Row],[CODE]],0))),"")</f>
        <v/>
      </c>
      <c r="E424" s="81" t="str">
        <f>IF(COPY!G422&gt;0,COPY!G422,"")</f>
        <v/>
      </c>
      <c r="F424" s="88" t="str">
        <f>IF(COPY!J422&gt;0,COPY!J422,"")</f>
        <v/>
      </c>
      <c r="G424" s="85" t="str">
        <f>IF(COPY!H422&gt;0,COPY!H422,"")</f>
        <v/>
      </c>
      <c r="H424" s="85" t="str">
        <f>IF(COPY!I422&gt;0,COPY!I422,"")</f>
        <v/>
      </c>
      <c r="I424" s="85" t="str">
        <f>IF(COPY!M422&gt;0,COPY!M422,"")</f>
        <v/>
      </c>
      <c r="J424" s="85" t="str">
        <f>IF(COPY!N422&gt;0,COPY!N422,"")</f>
        <v/>
      </c>
      <c r="K424" s="86" t="str">
        <f>IF(N424=0,(IF(LEFT(Table13[[#This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Row],[URAIAN]],$U$194:$V$210,2,FALSE),""),""),0))))),N424)</f>
        <v/>
      </c>
      <c r="L424" s="85" t="str">
        <f>IF(Table13[[#This Row],[Column2]]="KWITANSI",COUNTIF($K$4:K424,"KWITANSI")," ")</f>
        <v xml:space="preserve"> </v>
      </c>
      <c r="M424" s="85" t="str">
        <f>IF(Table13[[#This Row],[Column3]]=" "," ",Table13[[#This Row],[CODE]])</f>
        <v xml:space="preserve"> </v>
      </c>
      <c r="N424" s="368"/>
      <c r="P424" s="81" t="str">
        <f t="shared" si="6"/>
        <v/>
      </c>
    </row>
    <row r="425" spans="1:16" hidden="1" x14ac:dyDescent="0.15">
      <c r="A425" s="81" t="str">
        <f>COPY!O423</f>
        <v/>
      </c>
      <c r="B425" s="81" t="str">
        <f>COPY!C423</f>
        <v/>
      </c>
      <c r="C425" s="82" t="str">
        <f>COPY!D423</f>
        <v/>
      </c>
      <c r="D425" s="81" t="str">
        <f>IF(Table13[[#This Row],[JUMLAH]]&gt;1,(IF(Table13[[#This Row],[CODE]]=" ",D424&amp;"a",IF(Table13[[#This Row],[CODE]]&gt;0,Table13[[#This Row],[CODE]],0))),"")</f>
        <v/>
      </c>
      <c r="E425" s="81" t="str">
        <f>IF(COPY!G423&gt;0,COPY!G423,"")</f>
        <v/>
      </c>
      <c r="F425" s="88" t="str">
        <f>IF(COPY!J423&gt;0,COPY!J423,"")</f>
        <v/>
      </c>
      <c r="G425" s="85" t="str">
        <f>IF(COPY!H423&gt;0,COPY!H423,"")</f>
        <v/>
      </c>
      <c r="H425" s="85" t="str">
        <f>IF(COPY!I423&gt;0,COPY!I423,"")</f>
        <v/>
      </c>
      <c r="I425" s="85" t="str">
        <f>IF(COPY!M423&gt;0,COPY!M423,"")</f>
        <v/>
      </c>
      <c r="J425" s="85" t="str">
        <f>IF(COPY!N423&gt;0,COPY!N423,"")</f>
        <v/>
      </c>
      <c r="K425" s="86" t="str">
        <f>IF(N425=0,(IF(LEFT(Table13[[#This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Row],[URAIAN]],$U$194:$V$210,2,FALSE),""),""),0))))),N425)</f>
        <v/>
      </c>
      <c r="L425" s="85" t="str">
        <f>IF(Table13[[#This Row],[Column2]]="KWITANSI",COUNTIF($K$4:K425,"KWITANSI")," ")</f>
        <v xml:space="preserve"> </v>
      </c>
      <c r="M425" s="85" t="str">
        <f>IF(Table13[[#This Row],[Column3]]=" "," ",Table13[[#This Row],[CODE]])</f>
        <v xml:space="preserve"> </v>
      </c>
      <c r="N425" s="368"/>
      <c r="P425" s="81" t="str">
        <f t="shared" si="6"/>
        <v/>
      </c>
    </row>
    <row r="426" spans="1:16" hidden="1" x14ac:dyDescent="0.15">
      <c r="A426" s="81" t="str">
        <f>COPY!O424</f>
        <v/>
      </c>
      <c r="B426" s="81" t="str">
        <f>COPY!C424</f>
        <v/>
      </c>
      <c r="C426" s="82" t="str">
        <f>COPY!D424</f>
        <v/>
      </c>
      <c r="D426" s="81" t="str">
        <f>IF(Table13[[#This Row],[JUMLAH]]&gt;1,(IF(Table13[[#This Row],[CODE]]=" ",D425&amp;"a",IF(Table13[[#This Row],[CODE]]&gt;0,Table13[[#This Row],[CODE]],0))),"")</f>
        <v/>
      </c>
      <c r="E426" s="81" t="str">
        <f>IF(COPY!G424&gt;0,COPY!G424,"")</f>
        <v/>
      </c>
      <c r="F426" s="88" t="str">
        <f>IF(COPY!J424&gt;0,COPY!J424,"")</f>
        <v/>
      </c>
      <c r="G426" s="85" t="str">
        <f>IF(COPY!H424&gt;0,COPY!H424,"")</f>
        <v/>
      </c>
      <c r="H426" s="85" t="str">
        <f>IF(COPY!I424&gt;0,COPY!I424,"")</f>
        <v/>
      </c>
      <c r="I426" s="85" t="str">
        <f>IF(COPY!M424&gt;0,COPY!M424,"")</f>
        <v/>
      </c>
      <c r="J426" s="85" t="str">
        <f>IF(COPY!N424&gt;0,COPY!N424,"")</f>
        <v/>
      </c>
      <c r="K426" s="86" t="str">
        <f>IF(N426=0,(IF(LEFT(Table13[[#This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Row],[URAIAN]],$U$194:$V$210,2,FALSE),""),""),0))))),N426)</f>
        <v/>
      </c>
      <c r="L426" s="85" t="str">
        <f>IF(Table13[[#This Row],[Column2]]="KWITANSI",COUNTIF($K$4:K426,"KWITANSI")," ")</f>
        <v xml:space="preserve"> </v>
      </c>
      <c r="M426" s="85" t="str">
        <f>IF(Table13[[#This Row],[Column3]]=" "," ",Table13[[#This Row],[CODE]])</f>
        <v xml:space="preserve"> </v>
      </c>
      <c r="N426" s="368"/>
      <c r="P426" s="81" t="str">
        <f t="shared" si="6"/>
        <v/>
      </c>
    </row>
    <row r="427" spans="1:16" hidden="1" x14ac:dyDescent="0.15">
      <c r="A427" s="81" t="str">
        <f>COPY!O425</f>
        <v/>
      </c>
      <c r="B427" s="81" t="str">
        <f>COPY!C425</f>
        <v/>
      </c>
      <c r="C427" s="82" t="str">
        <f>COPY!D425</f>
        <v/>
      </c>
      <c r="D427" s="81" t="str">
        <f>IF(Table13[[#This Row],[JUMLAH]]&gt;1,(IF(Table13[[#This Row],[CODE]]=" ",D426&amp;"a",IF(Table13[[#This Row],[CODE]]&gt;0,Table13[[#This Row],[CODE]],0))),"")</f>
        <v/>
      </c>
      <c r="E427" s="81" t="str">
        <f>IF(COPY!G425&gt;0,COPY!G425,"")</f>
        <v/>
      </c>
      <c r="F427" s="88" t="str">
        <f>IF(COPY!J425&gt;0,COPY!J425,"")</f>
        <v/>
      </c>
      <c r="G427" s="85" t="str">
        <f>IF(COPY!H425&gt;0,COPY!H425,"")</f>
        <v/>
      </c>
      <c r="H427" s="85" t="str">
        <f>IF(COPY!I425&gt;0,COPY!I425,"")</f>
        <v/>
      </c>
      <c r="I427" s="85" t="str">
        <f>IF(COPY!M425&gt;0,COPY!M425,"")</f>
        <v/>
      </c>
      <c r="J427" s="85" t="str">
        <f>IF(COPY!N425&gt;0,COPY!N425,"")</f>
        <v/>
      </c>
      <c r="K427" s="86" t="str">
        <f>IF(N427=0,(IF(LEFT(Table13[[#This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Row],[URAIAN]],$U$194:$V$210,2,FALSE),""),""),0))))),N427)</f>
        <v/>
      </c>
      <c r="L427" s="85" t="str">
        <f>IF(Table13[[#This Row],[Column2]]="KWITANSI",COUNTIF($K$4:K427,"KWITANSI")," ")</f>
        <v xml:space="preserve"> </v>
      </c>
      <c r="M427" s="85" t="str">
        <f>IF(Table13[[#This Row],[Column3]]=" "," ",Table13[[#This Row],[CODE]])</f>
        <v xml:space="preserve"> </v>
      </c>
      <c r="N427" s="368"/>
      <c r="P427" s="81" t="str">
        <f t="shared" si="6"/>
        <v/>
      </c>
    </row>
    <row r="428" spans="1:16" hidden="1" x14ac:dyDescent="0.15">
      <c r="A428" s="81" t="str">
        <f>COPY!O426</f>
        <v/>
      </c>
      <c r="B428" s="81" t="str">
        <f>COPY!C426</f>
        <v/>
      </c>
      <c r="C428" s="82" t="str">
        <f>COPY!D426</f>
        <v/>
      </c>
      <c r="D428" s="81" t="str">
        <f>IF(Table13[[#This Row],[JUMLAH]]&gt;1,(IF(Table13[[#This Row],[CODE]]=" ",D427&amp;"a",IF(Table13[[#This Row],[CODE]]&gt;0,Table13[[#This Row],[CODE]],0))),"")</f>
        <v/>
      </c>
      <c r="E428" s="81" t="str">
        <f>IF(COPY!G426&gt;0,COPY!G426,"")</f>
        <v/>
      </c>
      <c r="F428" s="88" t="str">
        <f>IF(COPY!J426&gt;0,COPY!J426,"")</f>
        <v/>
      </c>
      <c r="G428" s="85" t="str">
        <f>IF(COPY!H426&gt;0,COPY!H426,"")</f>
        <v/>
      </c>
      <c r="H428" s="85" t="str">
        <f>IF(COPY!I426&gt;0,COPY!I426,"")</f>
        <v/>
      </c>
      <c r="I428" s="85" t="str">
        <f>IF(COPY!M426&gt;0,COPY!M426,"")</f>
        <v/>
      </c>
      <c r="J428" s="85" t="str">
        <f>IF(COPY!N426&gt;0,COPY!N426,"")</f>
        <v/>
      </c>
      <c r="K428" s="86" t="str">
        <f>IF(N428=0,(IF(LEFT(Table13[[#This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Row],[URAIAN]],$U$194:$V$210,2,FALSE),""),""),0))))),N428)</f>
        <v/>
      </c>
      <c r="L428" s="85" t="str">
        <f>IF(Table13[[#This Row],[Column2]]="KWITANSI",COUNTIF($K$4:K428,"KWITANSI")," ")</f>
        <v xml:space="preserve"> </v>
      </c>
      <c r="M428" s="85" t="str">
        <f>IF(Table13[[#This Row],[Column3]]=" "," ",Table13[[#This Row],[CODE]])</f>
        <v xml:space="preserve"> </v>
      </c>
      <c r="N428" s="368"/>
      <c r="P428" s="81" t="str">
        <f t="shared" si="6"/>
        <v/>
      </c>
    </row>
    <row r="429" spans="1:16" hidden="1" x14ac:dyDescent="0.15">
      <c r="A429" s="81" t="str">
        <f>COPY!O427</f>
        <v/>
      </c>
      <c r="B429" s="81" t="str">
        <f>COPY!C427</f>
        <v/>
      </c>
      <c r="C429" s="82" t="str">
        <f>COPY!D427</f>
        <v/>
      </c>
      <c r="D429" s="81" t="str">
        <f>IF(Table13[[#This Row],[JUMLAH]]&gt;1,(IF(Table13[[#This Row],[CODE]]=" ",D428&amp;"a",IF(Table13[[#This Row],[CODE]]&gt;0,Table13[[#This Row],[CODE]],0))),"")</f>
        <v/>
      </c>
      <c r="E429" s="81" t="str">
        <f>IF(COPY!G427&gt;0,COPY!G427,"")</f>
        <v/>
      </c>
      <c r="F429" s="88" t="str">
        <f>IF(COPY!J427&gt;0,COPY!J427,"")</f>
        <v/>
      </c>
      <c r="G429" s="85" t="str">
        <f>IF(COPY!H427&gt;0,COPY!H427,"")</f>
        <v/>
      </c>
      <c r="H429" s="85" t="str">
        <f>IF(COPY!I427&gt;0,COPY!I427,"")</f>
        <v/>
      </c>
      <c r="I429" s="85" t="str">
        <f>IF(COPY!M427&gt;0,COPY!M427,"")</f>
        <v/>
      </c>
      <c r="J429" s="85" t="str">
        <f>IF(COPY!N427&gt;0,COPY!N427,"")</f>
        <v/>
      </c>
      <c r="K429" s="86" t="str">
        <f>IF(N429=0,(IF(LEFT(Table13[[#This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Row],[URAIAN]],$U$194:$V$210,2,FALSE),""),""),0))))),N429)</f>
        <v/>
      </c>
      <c r="L429" s="85" t="str">
        <f>IF(Table13[[#This Row],[Column2]]="KWITANSI",COUNTIF($K$4:K429,"KWITANSI")," ")</f>
        <v xml:space="preserve"> </v>
      </c>
      <c r="M429" s="85" t="str">
        <f>IF(Table13[[#This Row],[Column3]]=" "," ",Table13[[#This Row],[CODE]])</f>
        <v xml:space="preserve"> </v>
      </c>
      <c r="N429" s="368"/>
      <c r="P429" s="81" t="str">
        <f t="shared" si="6"/>
        <v/>
      </c>
    </row>
    <row r="430" spans="1:16" hidden="1" x14ac:dyDescent="0.15">
      <c r="A430" s="81" t="str">
        <f>COPY!O428</f>
        <v/>
      </c>
      <c r="B430" s="81" t="str">
        <f>COPY!C428</f>
        <v/>
      </c>
      <c r="C430" s="82" t="str">
        <f>COPY!D428</f>
        <v/>
      </c>
      <c r="D430" s="81" t="str">
        <f>IF(Table13[[#This Row],[JUMLAH]]&gt;1,(IF(Table13[[#This Row],[CODE]]=" ",D429&amp;"a",IF(Table13[[#This Row],[CODE]]&gt;0,Table13[[#This Row],[CODE]],0))),"")</f>
        <v/>
      </c>
      <c r="E430" s="81" t="str">
        <f>IF(COPY!G428&gt;0,COPY!G428,"")</f>
        <v/>
      </c>
      <c r="F430" s="88" t="str">
        <f>IF(COPY!J428&gt;0,COPY!J428,"")</f>
        <v/>
      </c>
      <c r="G430" s="85" t="str">
        <f>IF(COPY!H428&gt;0,COPY!H428,"")</f>
        <v/>
      </c>
      <c r="H430" s="85" t="str">
        <f>IF(COPY!I428&gt;0,COPY!I428,"")</f>
        <v/>
      </c>
      <c r="I430" s="85" t="str">
        <f>IF(COPY!M428&gt;0,COPY!M428,"")</f>
        <v/>
      </c>
      <c r="J430" s="85" t="str">
        <f>IF(COPY!N428&gt;0,COPY!N428,"")</f>
        <v/>
      </c>
      <c r="K430" s="86" t="str">
        <f>IF(N430=0,(IF(LEFT(Table13[[#This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Row],[URAIAN]],$U$194:$V$210,2,FALSE),""),""),0))))),N430)</f>
        <v/>
      </c>
      <c r="L430" s="85" t="str">
        <f>IF(Table13[[#This Row],[Column2]]="KWITANSI",COUNTIF($K$4:K430,"KWITANSI")," ")</f>
        <v xml:space="preserve"> </v>
      </c>
      <c r="M430" s="85" t="str">
        <f>IF(Table13[[#This Row],[Column3]]=" "," ",Table13[[#This Row],[CODE]])</f>
        <v xml:space="preserve"> </v>
      </c>
      <c r="N430" s="368"/>
      <c r="P430" s="81" t="str">
        <f t="shared" si="6"/>
        <v/>
      </c>
    </row>
    <row r="431" spans="1:16" hidden="1" x14ac:dyDescent="0.15">
      <c r="A431" s="81" t="str">
        <f>COPY!O429</f>
        <v/>
      </c>
      <c r="B431" s="81" t="str">
        <f>COPY!C429</f>
        <v/>
      </c>
      <c r="C431" s="82" t="str">
        <f>COPY!D429</f>
        <v/>
      </c>
      <c r="D431" s="81" t="str">
        <f>IF(Table13[[#This Row],[JUMLAH]]&gt;1,(IF(Table13[[#This Row],[CODE]]=" ",D430&amp;"a",IF(Table13[[#This Row],[CODE]]&gt;0,Table13[[#This Row],[CODE]],0))),"")</f>
        <v/>
      </c>
      <c r="E431" s="81" t="str">
        <f>IF(COPY!G429&gt;0,COPY!G429,"")</f>
        <v/>
      </c>
      <c r="F431" s="88" t="str">
        <f>IF(COPY!J429&gt;0,COPY!J429,"")</f>
        <v/>
      </c>
      <c r="G431" s="85" t="str">
        <f>IF(COPY!H429&gt;0,COPY!H429,"")</f>
        <v/>
      </c>
      <c r="H431" s="85" t="str">
        <f>IF(COPY!I429&gt;0,COPY!I429,"")</f>
        <v/>
      </c>
      <c r="I431" s="85" t="str">
        <f>IF(COPY!M429&gt;0,COPY!M429,"")</f>
        <v/>
      </c>
      <c r="J431" s="85" t="str">
        <f>IF(COPY!N429&gt;0,COPY!N429,"")</f>
        <v/>
      </c>
      <c r="K431" s="86" t="str">
        <f>IF(N431=0,(IF(LEFT(Table13[[#This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Row],[URAIAN]],$U$194:$V$210,2,FALSE),""),""),0))))),N431)</f>
        <v/>
      </c>
      <c r="L431" s="85" t="str">
        <f>IF(Table13[[#This Row],[Column2]]="KWITANSI",COUNTIF($K$4:K431,"KWITANSI")," ")</f>
        <v xml:space="preserve"> </v>
      </c>
      <c r="M431" s="85" t="str">
        <f>IF(Table13[[#This Row],[Column3]]=" "," ",Table13[[#This Row],[CODE]])</f>
        <v xml:space="preserve"> </v>
      </c>
      <c r="N431" s="368"/>
      <c r="P431" s="81" t="str">
        <f t="shared" si="6"/>
        <v/>
      </c>
    </row>
    <row r="432" spans="1:16" hidden="1" x14ac:dyDescent="0.15">
      <c r="A432" s="81" t="str">
        <f>COPY!O430</f>
        <v/>
      </c>
      <c r="B432" s="81" t="str">
        <f>COPY!C430</f>
        <v/>
      </c>
      <c r="C432" s="82" t="str">
        <f>COPY!D430</f>
        <v/>
      </c>
      <c r="D432" s="81" t="str">
        <f>IF(Table13[[#This Row],[JUMLAH]]&gt;1,(IF(Table13[[#This Row],[CODE]]=" ",D431&amp;"a",IF(Table13[[#This Row],[CODE]]&gt;0,Table13[[#This Row],[CODE]],0))),"")</f>
        <v/>
      </c>
      <c r="E432" s="81" t="str">
        <f>IF(COPY!G430&gt;0,COPY!G430,"")</f>
        <v/>
      </c>
      <c r="F432" s="88" t="str">
        <f>IF(COPY!J430&gt;0,COPY!J430,"")</f>
        <v/>
      </c>
      <c r="G432" s="85" t="str">
        <f>IF(COPY!H430&gt;0,COPY!H430,"")</f>
        <v/>
      </c>
      <c r="H432" s="85" t="str">
        <f>IF(COPY!I430&gt;0,COPY!I430,"")</f>
        <v/>
      </c>
      <c r="I432" s="85" t="str">
        <f>IF(COPY!M430&gt;0,COPY!M430,"")</f>
        <v/>
      </c>
      <c r="J432" s="85" t="str">
        <f>IF(COPY!N430&gt;0,COPY!N430,"")</f>
        <v/>
      </c>
      <c r="K432" s="86" t="str">
        <f>IF(N432=0,(IF(LEFT(Table13[[#This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Row],[URAIAN]],$U$194:$V$210,2,FALSE),""),""),0))))),N432)</f>
        <v/>
      </c>
      <c r="L432" s="85" t="str">
        <f>IF(Table13[[#This Row],[Column2]]="KWITANSI",COUNTIF($K$4:K432,"KWITANSI")," ")</f>
        <v xml:space="preserve"> </v>
      </c>
      <c r="M432" s="85" t="str">
        <f>IF(Table13[[#This Row],[Column3]]=" "," ",Table13[[#This Row],[CODE]])</f>
        <v xml:space="preserve"> </v>
      </c>
      <c r="N432" s="368"/>
      <c r="P432" s="81" t="str">
        <f t="shared" si="6"/>
        <v/>
      </c>
    </row>
    <row r="433" spans="1:16" hidden="1" x14ac:dyDescent="0.15">
      <c r="A433" s="81" t="str">
        <f>COPY!O431</f>
        <v/>
      </c>
      <c r="B433" s="81" t="str">
        <f>COPY!C431</f>
        <v/>
      </c>
      <c r="C433" s="82" t="str">
        <f>COPY!D431</f>
        <v/>
      </c>
      <c r="D433" s="81" t="str">
        <f>IF(Table13[[#This Row],[JUMLAH]]&gt;1,(IF(Table13[[#This Row],[CODE]]=" ",D432&amp;"a",IF(Table13[[#This Row],[CODE]]&gt;0,Table13[[#This Row],[CODE]],0))),"")</f>
        <v/>
      </c>
      <c r="E433" s="81" t="str">
        <f>IF(COPY!G431&gt;0,COPY!G431,"")</f>
        <v/>
      </c>
      <c r="F433" s="88" t="str">
        <f>IF(COPY!J431&gt;0,COPY!J431,"")</f>
        <v/>
      </c>
      <c r="G433" s="85" t="str">
        <f>IF(COPY!H431&gt;0,COPY!H431,"")</f>
        <v/>
      </c>
      <c r="H433" s="85" t="str">
        <f>IF(COPY!I431&gt;0,COPY!I431,"")</f>
        <v/>
      </c>
      <c r="I433" s="85" t="str">
        <f>IF(COPY!M431&gt;0,COPY!M431,"")</f>
        <v/>
      </c>
      <c r="J433" s="85" t="str">
        <f>IF(COPY!N431&gt;0,COPY!N431,"")</f>
        <v/>
      </c>
      <c r="K433" s="86" t="str">
        <f>IF(N433=0,(IF(LEFT(Table13[[#This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Row],[URAIAN]],$U$194:$V$210,2,FALSE),""),""),0))))),N433)</f>
        <v/>
      </c>
      <c r="L433" s="85" t="str">
        <f>IF(Table13[[#This Row],[Column2]]="KWITANSI",COUNTIF($K$4:K433,"KWITANSI")," ")</f>
        <v xml:space="preserve"> </v>
      </c>
      <c r="M433" s="85" t="str">
        <f>IF(Table13[[#This Row],[Column3]]=" "," ",Table13[[#This Row],[CODE]])</f>
        <v xml:space="preserve"> </v>
      </c>
      <c r="N433" s="368"/>
      <c r="P433" s="81" t="str">
        <f t="shared" si="6"/>
        <v/>
      </c>
    </row>
    <row r="434" spans="1:16" hidden="1" x14ac:dyDescent="0.15">
      <c r="A434" s="81" t="str">
        <f>COPY!O432</f>
        <v/>
      </c>
      <c r="B434" s="81" t="str">
        <f>COPY!C432</f>
        <v/>
      </c>
      <c r="C434" s="82" t="str">
        <f>COPY!D432</f>
        <v/>
      </c>
      <c r="D434" s="81" t="str">
        <f>IF(Table13[[#This Row],[JUMLAH]]&gt;1,(IF(Table13[[#This Row],[CODE]]=" ",D433&amp;"a",IF(Table13[[#This Row],[CODE]]&gt;0,Table13[[#This Row],[CODE]],0))),"")</f>
        <v/>
      </c>
      <c r="E434" s="81" t="str">
        <f>IF(COPY!G432&gt;0,COPY!G432,"")</f>
        <v/>
      </c>
      <c r="F434" s="88" t="str">
        <f>IF(COPY!J432&gt;0,COPY!J432,"")</f>
        <v/>
      </c>
      <c r="G434" s="85" t="str">
        <f>IF(COPY!H432&gt;0,COPY!H432,"")</f>
        <v/>
      </c>
      <c r="H434" s="85" t="str">
        <f>IF(COPY!I432&gt;0,COPY!I432,"")</f>
        <v/>
      </c>
      <c r="I434" s="85" t="str">
        <f>IF(COPY!M432&gt;0,COPY!M432,"")</f>
        <v/>
      </c>
      <c r="J434" s="85" t="str">
        <f>IF(COPY!N432&gt;0,COPY!N432,"")</f>
        <v/>
      </c>
      <c r="K434" s="86" t="str">
        <f>IF(N434=0,(IF(LEFT(Table13[[#This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Row],[URAIAN]],$U$194:$V$210,2,FALSE),""),""),0))))),N434)</f>
        <v/>
      </c>
      <c r="L434" s="85" t="str">
        <f>IF(Table13[[#This Row],[Column2]]="KWITANSI",COUNTIF($K$4:K434,"KWITANSI")," ")</f>
        <v xml:space="preserve"> </v>
      </c>
      <c r="M434" s="85" t="str">
        <f>IF(Table13[[#This Row],[Column3]]=" "," ",Table13[[#This Row],[CODE]])</f>
        <v xml:space="preserve"> </v>
      </c>
      <c r="N434" s="368"/>
      <c r="P434" s="81" t="str">
        <f t="shared" si="6"/>
        <v/>
      </c>
    </row>
    <row r="435" spans="1:16" hidden="1" x14ac:dyDescent="0.15">
      <c r="A435" s="81" t="str">
        <f>COPY!O433</f>
        <v/>
      </c>
      <c r="B435" s="81" t="str">
        <f>COPY!C433</f>
        <v/>
      </c>
      <c r="C435" s="82" t="str">
        <f>COPY!D433</f>
        <v/>
      </c>
      <c r="D435" s="81" t="str">
        <f>IF(Table13[[#This Row],[JUMLAH]]&gt;1,(IF(Table13[[#This Row],[CODE]]=" ",D434&amp;"a",IF(Table13[[#This Row],[CODE]]&gt;0,Table13[[#This Row],[CODE]],0))),"")</f>
        <v/>
      </c>
      <c r="E435" s="81" t="str">
        <f>IF(COPY!G433&gt;0,COPY!G433,"")</f>
        <v/>
      </c>
      <c r="F435" s="88" t="str">
        <f>IF(COPY!J433&gt;0,COPY!J433,"")</f>
        <v/>
      </c>
      <c r="G435" s="85" t="str">
        <f>IF(COPY!H433&gt;0,COPY!H433,"")</f>
        <v/>
      </c>
      <c r="H435" s="85" t="str">
        <f>IF(COPY!I433&gt;0,COPY!I433,"")</f>
        <v/>
      </c>
      <c r="I435" s="85" t="str">
        <f>IF(COPY!M433&gt;0,COPY!M433,"")</f>
        <v/>
      </c>
      <c r="J435" s="85" t="str">
        <f>IF(COPY!N433&gt;0,COPY!N433,"")</f>
        <v/>
      </c>
      <c r="K435" s="86" t="str">
        <f>IF(N435=0,(IF(LEFT(Table13[[#This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Row],[URAIAN]],$U$194:$V$210,2,FALSE),""),""),0))))),N435)</f>
        <v/>
      </c>
      <c r="L435" s="85" t="str">
        <f>IF(Table13[[#This Row],[Column2]]="KWITANSI",COUNTIF($K$4:K435,"KWITANSI")," ")</f>
        <v xml:space="preserve"> </v>
      </c>
      <c r="M435" s="85" t="str">
        <f>IF(Table13[[#This Row],[Column3]]=" "," ",Table13[[#This Row],[CODE]])</f>
        <v xml:space="preserve"> </v>
      </c>
      <c r="N435" s="368"/>
      <c r="P435" s="81" t="str">
        <f t="shared" si="6"/>
        <v/>
      </c>
    </row>
    <row r="436" spans="1:16" hidden="1" x14ac:dyDescent="0.15">
      <c r="A436" s="81" t="str">
        <f>COPY!O434</f>
        <v/>
      </c>
      <c r="B436" s="81" t="str">
        <f>COPY!C434</f>
        <v/>
      </c>
      <c r="C436" s="82" t="str">
        <f>COPY!D434</f>
        <v/>
      </c>
      <c r="D436" s="81" t="str">
        <f>IF(Table13[[#This Row],[JUMLAH]]&gt;1,(IF(Table13[[#This Row],[CODE]]=" ",D435&amp;"a",IF(Table13[[#This Row],[CODE]]&gt;0,Table13[[#This Row],[CODE]],0))),"")</f>
        <v/>
      </c>
      <c r="E436" s="81" t="str">
        <f>IF(COPY!G434&gt;0,COPY!G434,"")</f>
        <v/>
      </c>
      <c r="F436" s="88" t="str">
        <f>IF(COPY!J434&gt;0,COPY!J434,"")</f>
        <v/>
      </c>
      <c r="G436" s="85" t="str">
        <f>IF(COPY!H434&gt;0,COPY!H434,"")</f>
        <v/>
      </c>
      <c r="H436" s="85" t="str">
        <f>IF(COPY!I434&gt;0,COPY!I434,"")</f>
        <v/>
      </c>
      <c r="I436" s="85" t="str">
        <f>IF(COPY!M434&gt;0,COPY!M434,"")</f>
        <v/>
      </c>
      <c r="J436" s="85" t="str">
        <f>IF(COPY!N434&gt;0,COPY!N434,"")</f>
        <v/>
      </c>
      <c r="K436" s="86" t="str">
        <f>IF(N436=0,(IF(LEFT(Table13[[#This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Row],[URAIAN]],$U$194:$V$210,2,FALSE),""),""),0))))),N436)</f>
        <v/>
      </c>
      <c r="L436" s="85" t="str">
        <f>IF(Table13[[#This Row],[Column2]]="KWITANSI",COUNTIF($K$4:K436,"KWITANSI")," ")</f>
        <v xml:space="preserve"> </v>
      </c>
      <c r="M436" s="85" t="str">
        <f>IF(Table13[[#This Row],[Column3]]=" "," ",Table13[[#This Row],[CODE]])</f>
        <v xml:space="preserve"> </v>
      </c>
      <c r="N436" s="368"/>
      <c r="P436" s="81" t="str">
        <f t="shared" si="6"/>
        <v/>
      </c>
    </row>
    <row r="437" spans="1:16" hidden="1" x14ac:dyDescent="0.15">
      <c r="A437" s="81" t="str">
        <f>COPY!O435</f>
        <v/>
      </c>
      <c r="B437" s="81" t="str">
        <f>COPY!C435</f>
        <v/>
      </c>
      <c r="C437" s="82" t="str">
        <f>COPY!D435</f>
        <v/>
      </c>
      <c r="D437" s="81" t="str">
        <f>IF(Table13[[#This Row],[JUMLAH]]&gt;1,(IF(Table13[[#This Row],[CODE]]=" ",D436&amp;"a",IF(Table13[[#This Row],[CODE]]&gt;0,Table13[[#This Row],[CODE]],0))),"")</f>
        <v/>
      </c>
      <c r="E437" s="81" t="str">
        <f>IF(COPY!G435&gt;0,COPY!G435,"")</f>
        <v/>
      </c>
      <c r="F437" s="88" t="str">
        <f>IF(COPY!J435&gt;0,COPY!J435,"")</f>
        <v/>
      </c>
      <c r="G437" s="85" t="str">
        <f>IF(COPY!H435&gt;0,COPY!H435,"")</f>
        <v/>
      </c>
      <c r="H437" s="85" t="str">
        <f>IF(COPY!I435&gt;0,COPY!I435,"")</f>
        <v/>
      </c>
      <c r="I437" s="85" t="str">
        <f>IF(COPY!M435&gt;0,COPY!M435,"")</f>
        <v/>
      </c>
      <c r="J437" s="85" t="str">
        <f>IF(COPY!N435&gt;0,COPY!N435,"")</f>
        <v/>
      </c>
      <c r="K437" s="86" t="str">
        <f>IF(N437=0,(IF(LEFT(Table13[[#This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Row],[URAIAN]],$U$194:$V$210,2,FALSE),""),""),0))))),N437)</f>
        <v/>
      </c>
      <c r="L437" s="85" t="str">
        <f>IF(Table13[[#This Row],[Column2]]="KWITANSI",COUNTIF($K$4:K437,"KWITANSI")," ")</f>
        <v xml:space="preserve"> </v>
      </c>
      <c r="M437" s="85" t="str">
        <f>IF(Table13[[#This Row],[Column3]]=" "," ",Table13[[#This Row],[CODE]])</f>
        <v xml:space="preserve"> </v>
      </c>
      <c r="N437" s="368"/>
      <c r="P437" s="81" t="str">
        <f t="shared" si="6"/>
        <v/>
      </c>
    </row>
    <row r="438" spans="1:16" hidden="1" x14ac:dyDescent="0.15">
      <c r="A438" s="81" t="str">
        <f>COPY!O436</f>
        <v/>
      </c>
      <c r="B438" s="81" t="str">
        <f>COPY!C436</f>
        <v/>
      </c>
      <c r="C438" s="82" t="str">
        <f>COPY!D436</f>
        <v/>
      </c>
      <c r="D438" s="81" t="str">
        <f>IF(Table13[[#This Row],[JUMLAH]]&gt;1,(IF(Table13[[#This Row],[CODE]]=" ",D437&amp;"a",IF(Table13[[#This Row],[CODE]]&gt;0,Table13[[#This Row],[CODE]],0))),"")</f>
        <v/>
      </c>
      <c r="E438" s="81" t="str">
        <f>IF(COPY!G436&gt;0,COPY!G436,"")</f>
        <v/>
      </c>
      <c r="F438" s="88" t="str">
        <f>IF(COPY!J436&gt;0,COPY!J436,"")</f>
        <v/>
      </c>
      <c r="G438" s="85" t="str">
        <f>IF(COPY!H436&gt;0,COPY!H436,"")</f>
        <v/>
      </c>
      <c r="H438" s="85" t="str">
        <f>IF(COPY!I436&gt;0,COPY!I436,"")</f>
        <v/>
      </c>
      <c r="I438" s="85" t="str">
        <f>IF(COPY!M436&gt;0,COPY!M436,"")</f>
        <v/>
      </c>
      <c r="J438" s="85" t="str">
        <f>IF(COPY!N436&gt;0,COPY!N436,"")</f>
        <v/>
      </c>
      <c r="K438" s="86" t="str">
        <f>IF(N438=0,(IF(LEFT(Table13[[#This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Row],[URAIAN]],$U$194:$V$210,2,FALSE),""),""),0))))),N438)</f>
        <v/>
      </c>
      <c r="L438" s="85" t="str">
        <f>IF(Table13[[#This Row],[Column2]]="KWITANSI",COUNTIF($K$4:K438,"KWITANSI")," ")</f>
        <v xml:space="preserve"> </v>
      </c>
      <c r="M438" s="85" t="str">
        <f>IF(Table13[[#This Row],[Column3]]=" "," ",Table13[[#This Row],[CODE]])</f>
        <v xml:space="preserve"> </v>
      </c>
      <c r="N438" s="368"/>
      <c r="P438" s="81" t="str">
        <f t="shared" si="6"/>
        <v/>
      </c>
    </row>
    <row r="439" spans="1:16" hidden="1" x14ac:dyDescent="0.15">
      <c r="A439" s="81" t="str">
        <f>COPY!O437</f>
        <v/>
      </c>
      <c r="B439" s="81" t="str">
        <f>COPY!C437</f>
        <v/>
      </c>
      <c r="C439" s="82" t="str">
        <f>COPY!D437</f>
        <v/>
      </c>
      <c r="D439" s="81" t="str">
        <f>IF(Table13[[#This Row],[JUMLAH]]&gt;1,(IF(Table13[[#This Row],[CODE]]=" ",D438&amp;"a",IF(Table13[[#This Row],[CODE]]&gt;0,Table13[[#This Row],[CODE]],0))),"")</f>
        <v/>
      </c>
      <c r="E439" s="81" t="str">
        <f>IF(COPY!G437&gt;0,COPY!G437,"")</f>
        <v/>
      </c>
      <c r="F439" s="88" t="str">
        <f>IF(COPY!J437&gt;0,COPY!J437,"")</f>
        <v/>
      </c>
      <c r="G439" s="85" t="str">
        <f>IF(COPY!H437&gt;0,COPY!H437,"")</f>
        <v/>
      </c>
      <c r="H439" s="85" t="str">
        <f>IF(COPY!I437&gt;0,COPY!I437,"")</f>
        <v/>
      </c>
      <c r="I439" s="85" t="str">
        <f>IF(COPY!M437&gt;0,COPY!M437,"")</f>
        <v/>
      </c>
      <c r="J439" s="85" t="str">
        <f>IF(COPY!N437&gt;0,COPY!N437,"")</f>
        <v/>
      </c>
      <c r="K439" s="86" t="str">
        <f>IF(N439=0,(IF(LEFT(Table13[[#This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Row],[URAIAN]],$U$194:$V$210,2,FALSE),""),""),0))))),N439)</f>
        <v/>
      </c>
      <c r="L439" s="85" t="str">
        <f>IF(Table13[[#This Row],[Column2]]="KWITANSI",COUNTIF($K$4:K439,"KWITANSI")," ")</f>
        <v xml:space="preserve"> </v>
      </c>
      <c r="M439" s="85" t="str">
        <f>IF(Table13[[#This Row],[Column3]]=" "," ",Table13[[#This Row],[CODE]])</f>
        <v xml:space="preserve"> </v>
      </c>
      <c r="N439" s="368"/>
      <c r="P439" s="81" t="str">
        <f t="shared" si="6"/>
        <v/>
      </c>
    </row>
    <row r="440" spans="1:16" hidden="1" x14ac:dyDescent="0.15">
      <c r="A440" s="81" t="str">
        <f>COPY!O438</f>
        <v/>
      </c>
      <c r="B440" s="81" t="str">
        <f>COPY!C438</f>
        <v/>
      </c>
      <c r="C440" s="82" t="str">
        <f>COPY!D438</f>
        <v/>
      </c>
      <c r="D440" s="81" t="str">
        <f>IF(Table13[[#This Row],[JUMLAH]]&gt;1,(IF(Table13[[#This Row],[CODE]]=" ",D439&amp;"a",IF(Table13[[#This Row],[CODE]]&gt;0,Table13[[#This Row],[CODE]],0))),"")</f>
        <v/>
      </c>
      <c r="E440" s="81" t="str">
        <f>IF(COPY!G438&gt;0,COPY!G438,"")</f>
        <v/>
      </c>
      <c r="F440" s="88" t="str">
        <f>IF(COPY!J438&gt;0,COPY!J438,"")</f>
        <v/>
      </c>
      <c r="G440" s="85" t="str">
        <f>IF(COPY!H438&gt;0,COPY!H438,"")</f>
        <v/>
      </c>
      <c r="H440" s="85" t="str">
        <f>IF(COPY!I438&gt;0,COPY!I438,"")</f>
        <v/>
      </c>
      <c r="I440" s="85" t="str">
        <f>IF(COPY!M438&gt;0,COPY!M438,"")</f>
        <v/>
      </c>
      <c r="J440" s="85" t="str">
        <f>IF(COPY!N438&gt;0,COPY!N438,"")</f>
        <v/>
      </c>
      <c r="K440" s="86" t="str">
        <f>IF(N440=0,(IF(LEFT(Table13[[#This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Row],[URAIAN]],$U$194:$V$210,2,FALSE),""),""),0))))),N440)</f>
        <v/>
      </c>
      <c r="L440" s="85" t="str">
        <f>IF(Table13[[#This Row],[Column2]]="KWITANSI",COUNTIF($K$4:K440,"KWITANSI")," ")</f>
        <v xml:space="preserve"> </v>
      </c>
      <c r="M440" s="85" t="str">
        <f>IF(Table13[[#This Row],[Column3]]=" "," ",Table13[[#This Row],[CODE]])</f>
        <v xml:space="preserve"> </v>
      </c>
      <c r="N440" s="368"/>
      <c r="P440" s="81" t="str">
        <f t="shared" si="6"/>
        <v/>
      </c>
    </row>
    <row r="441" spans="1:16" hidden="1" x14ac:dyDescent="0.15">
      <c r="A441" s="81" t="str">
        <f>COPY!O439</f>
        <v/>
      </c>
      <c r="B441" s="81" t="str">
        <f>COPY!C439</f>
        <v/>
      </c>
      <c r="C441" s="82" t="str">
        <f>COPY!D439</f>
        <v/>
      </c>
      <c r="D441" s="81" t="str">
        <f>IF(Table13[[#This Row],[JUMLAH]]&gt;1,(IF(Table13[[#This Row],[CODE]]=" ",D440&amp;"a",IF(Table13[[#This Row],[CODE]]&gt;0,Table13[[#This Row],[CODE]],0))),"")</f>
        <v/>
      </c>
      <c r="E441" s="81" t="str">
        <f>IF(COPY!G439&gt;0,COPY!G439,"")</f>
        <v/>
      </c>
      <c r="F441" s="88" t="str">
        <f>IF(COPY!J439&gt;0,COPY!J439,"")</f>
        <v/>
      </c>
      <c r="G441" s="85" t="str">
        <f>IF(COPY!H439&gt;0,COPY!H439,"")</f>
        <v/>
      </c>
      <c r="H441" s="85" t="str">
        <f>IF(COPY!I439&gt;0,COPY!I439,"")</f>
        <v/>
      </c>
      <c r="I441" s="85" t="str">
        <f>IF(COPY!M439&gt;0,COPY!M439,"")</f>
        <v/>
      </c>
      <c r="J441" s="85" t="str">
        <f>IF(COPY!N439&gt;0,COPY!N439,"")</f>
        <v/>
      </c>
      <c r="K441" s="86" t="str">
        <f>IF(N441=0,(IF(LEFT(Table13[[#This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Row],[URAIAN]],$U$194:$V$210,2,FALSE),""),""),0))))),N441)</f>
        <v/>
      </c>
      <c r="L441" s="85" t="str">
        <f>IF(Table13[[#This Row],[Column2]]="KWITANSI",COUNTIF($K$4:K441,"KWITANSI")," ")</f>
        <v xml:space="preserve"> </v>
      </c>
      <c r="M441" s="85" t="str">
        <f>IF(Table13[[#This Row],[Column3]]=" "," ",Table13[[#This Row],[CODE]])</f>
        <v xml:space="preserve"> </v>
      </c>
      <c r="N441" s="368"/>
      <c r="P441" s="81" t="str">
        <f t="shared" si="6"/>
        <v/>
      </c>
    </row>
    <row r="442" spans="1:16" hidden="1" x14ac:dyDescent="0.15">
      <c r="A442" s="81" t="str">
        <f>COPY!O440</f>
        <v/>
      </c>
      <c r="B442" s="81" t="str">
        <f>COPY!C440</f>
        <v/>
      </c>
      <c r="C442" s="82" t="str">
        <f>COPY!D440</f>
        <v/>
      </c>
      <c r="D442" s="81" t="str">
        <f>IF(Table13[[#This Row],[JUMLAH]]&gt;1,(IF(Table13[[#This Row],[CODE]]=" ",D441&amp;"a",IF(Table13[[#This Row],[CODE]]&gt;0,Table13[[#This Row],[CODE]],0))),"")</f>
        <v/>
      </c>
      <c r="E442" s="81" t="str">
        <f>IF(COPY!G440&gt;0,COPY!G440,"")</f>
        <v/>
      </c>
      <c r="F442" s="88" t="str">
        <f>IF(COPY!J440&gt;0,COPY!J440,"")</f>
        <v/>
      </c>
      <c r="G442" s="85" t="str">
        <f>IF(COPY!H440&gt;0,COPY!H440,"")</f>
        <v/>
      </c>
      <c r="H442" s="85" t="str">
        <f>IF(COPY!I440&gt;0,COPY!I440,"")</f>
        <v/>
      </c>
      <c r="I442" s="85" t="str">
        <f>IF(COPY!M440&gt;0,COPY!M440,"")</f>
        <v/>
      </c>
      <c r="J442" s="85" t="str">
        <f>IF(COPY!N440&gt;0,COPY!N440,"")</f>
        <v/>
      </c>
      <c r="K442" s="86" t="str">
        <f>IF(N442=0,(IF(LEFT(Table13[[#This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Row],[URAIAN]],$U$194:$V$210,2,FALSE),""),""),0))))),N442)</f>
        <v/>
      </c>
      <c r="L442" s="85" t="str">
        <f>IF(Table13[[#This Row],[Column2]]="KWITANSI",COUNTIF($K$4:K442,"KWITANSI")," ")</f>
        <v xml:space="preserve"> </v>
      </c>
      <c r="M442" s="85" t="str">
        <f>IF(Table13[[#This Row],[Column3]]=" "," ",Table13[[#This Row],[CODE]])</f>
        <v xml:space="preserve"> </v>
      </c>
      <c r="N442" s="368"/>
      <c r="P442" s="81" t="str">
        <f t="shared" si="6"/>
        <v/>
      </c>
    </row>
    <row r="443" spans="1:16" hidden="1" x14ac:dyDescent="0.15">
      <c r="A443" s="81" t="str">
        <f>COPY!O441</f>
        <v/>
      </c>
      <c r="B443" s="81" t="str">
        <f>COPY!C441</f>
        <v/>
      </c>
      <c r="C443" s="82" t="str">
        <f>COPY!D441</f>
        <v/>
      </c>
      <c r="D443" s="81" t="str">
        <f>IF(Table13[[#This Row],[JUMLAH]]&gt;1,(IF(Table13[[#This Row],[CODE]]=" ",D442&amp;"a",IF(Table13[[#This Row],[CODE]]&gt;0,Table13[[#This Row],[CODE]],0))),"")</f>
        <v/>
      </c>
      <c r="E443" s="81" t="str">
        <f>IF(COPY!G441&gt;0,COPY!G441,"")</f>
        <v/>
      </c>
      <c r="F443" s="88" t="str">
        <f>IF(COPY!J441&gt;0,COPY!J441,"")</f>
        <v/>
      </c>
      <c r="G443" s="85" t="str">
        <f>IF(COPY!H441&gt;0,COPY!H441,"")</f>
        <v/>
      </c>
      <c r="H443" s="85" t="str">
        <f>IF(COPY!I441&gt;0,COPY!I441,"")</f>
        <v/>
      </c>
      <c r="I443" s="85" t="str">
        <f>IF(COPY!M441&gt;0,COPY!M441,"")</f>
        <v/>
      </c>
      <c r="J443" s="85" t="str">
        <f>IF(COPY!N441&gt;0,COPY!N441,"")</f>
        <v/>
      </c>
      <c r="K443" s="86" t="str">
        <f>IF(N443=0,(IF(LEFT(Table13[[#This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Row],[URAIAN]],$U$194:$V$210,2,FALSE),""),""),0))))),N443)</f>
        <v/>
      </c>
      <c r="L443" s="85" t="str">
        <f>IF(Table13[[#This Row],[Column2]]="KWITANSI",COUNTIF($K$4:K443,"KWITANSI")," ")</f>
        <v xml:space="preserve"> </v>
      </c>
      <c r="M443" s="85" t="str">
        <f>IF(Table13[[#This Row],[Column3]]=" "," ",Table13[[#This Row],[CODE]])</f>
        <v xml:space="preserve"> </v>
      </c>
      <c r="N443" s="368"/>
      <c r="P443" s="81" t="str">
        <f t="shared" si="6"/>
        <v/>
      </c>
    </row>
    <row r="444" spans="1:16" hidden="1" x14ac:dyDescent="0.15">
      <c r="A444" s="81" t="str">
        <f>COPY!O442</f>
        <v/>
      </c>
      <c r="B444" s="81" t="str">
        <f>COPY!C442</f>
        <v/>
      </c>
      <c r="C444" s="82" t="str">
        <f>COPY!D442</f>
        <v/>
      </c>
      <c r="D444" s="81" t="str">
        <f>IF(Table13[[#This Row],[JUMLAH]]&gt;1,(IF(Table13[[#This Row],[CODE]]=" ",D443&amp;"a",IF(Table13[[#This Row],[CODE]]&gt;0,Table13[[#This Row],[CODE]],0))),"")</f>
        <v/>
      </c>
      <c r="E444" s="81" t="str">
        <f>IF(COPY!G442&gt;0,COPY!G442,"")</f>
        <v/>
      </c>
      <c r="F444" s="88" t="str">
        <f>IF(COPY!J442&gt;0,COPY!J442,"")</f>
        <v/>
      </c>
      <c r="G444" s="85" t="str">
        <f>IF(COPY!H442&gt;0,COPY!H442,"")</f>
        <v/>
      </c>
      <c r="H444" s="85" t="str">
        <f>IF(COPY!I442&gt;0,COPY!I442,"")</f>
        <v/>
      </c>
      <c r="I444" s="85" t="str">
        <f>IF(COPY!M442&gt;0,COPY!M442,"")</f>
        <v/>
      </c>
      <c r="J444" s="85" t="str">
        <f>IF(COPY!N442&gt;0,COPY!N442,"")</f>
        <v/>
      </c>
      <c r="K444" s="86" t="str">
        <f>IF(N444=0,(IF(LEFT(Table13[[#This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Row],[URAIAN]],$U$194:$V$210,2,FALSE),""),""),0))))),N444)</f>
        <v/>
      </c>
      <c r="L444" s="85" t="str">
        <f>IF(Table13[[#This Row],[Column2]]="KWITANSI",COUNTIF($K$4:K444,"KWITANSI")," ")</f>
        <v xml:space="preserve"> </v>
      </c>
      <c r="M444" s="85" t="str">
        <f>IF(Table13[[#This Row],[Column3]]=" "," ",Table13[[#This Row],[CODE]])</f>
        <v xml:space="preserve"> </v>
      </c>
      <c r="N444" s="368"/>
      <c r="P444" s="81" t="str">
        <f t="shared" si="6"/>
        <v/>
      </c>
    </row>
    <row r="445" spans="1:16" hidden="1" x14ac:dyDescent="0.15">
      <c r="A445" s="81" t="str">
        <f>COPY!O443</f>
        <v/>
      </c>
      <c r="B445" s="81" t="str">
        <f>COPY!C443</f>
        <v/>
      </c>
      <c r="C445" s="82" t="str">
        <f>COPY!D443</f>
        <v/>
      </c>
      <c r="D445" s="81" t="str">
        <f>IF(Table13[[#This Row],[JUMLAH]]&gt;1,(IF(Table13[[#This Row],[CODE]]=" ",D444&amp;"a",IF(Table13[[#This Row],[CODE]]&gt;0,Table13[[#This Row],[CODE]],0))),"")</f>
        <v/>
      </c>
      <c r="E445" s="81" t="str">
        <f>IF(COPY!G443&gt;0,COPY!G443,"")</f>
        <v/>
      </c>
      <c r="F445" s="88" t="str">
        <f>IF(COPY!J443&gt;0,COPY!J443,"")</f>
        <v/>
      </c>
      <c r="G445" s="85" t="str">
        <f>IF(COPY!H443&gt;0,COPY!H443,"")</f>
        <v/>
      </c>
      <c r="H445" s="85" t="str">
        <f>IF(COPY!I443&gt;0,COPY!I443,"")</f>
        <v/>
      </c>
      <c r="I445" s="85" t="str">
        <f>IF(COPY!M443&gt;0,COPY!M443,"")</f>
        <v/>
      </c>
      <c r="J445" s="85" t="str">
        <f>IF(COPY!N443&gt;0,COPY!N443,"")</f>
        <v/>
      </c>
      <c r="K445" s="86" t="str">
        <f>IF(N445=0,(IF(LEFT(Table13[[#This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Row],[URAIAN]],$U$194:$V$210,2,FALSE),""),""),0))))),N445)</f>
        <v/>
      </c>
      <c r="L445" s="85" t="str">
        <f>IF(Table13[[#This Row],[Column2]]="KWITANSI",COUNTIF($K$4:K445,"KWITANSI")," ")</f>
        <v xml:space="preserve"> </v>
      </c>
      <c r="M445" s="85" t="str">
        <f>IF(Table13[[#This Row],[Column3]]=" "," ",Table13[[#This Row],[CODE]])</f>
        <v xml:space="preserve"> </v>
      </c>
      <c r="N445" s="368"/>
      <c r="P445" s="81" t="str">
        <f t="shared" si="6"/>
        <v/>
      </c>
    </row>
    <row r="446" spans="1:16" hidden="1" x14ac:dyDescent="0.15">
      <c r="A446" s="81" t="str">
        <f>COPY!O444</f>
        <v/>
      </c>
      <c r="B446" s="81" t="str">
        <f>COPY!C444</f>
        <v/>
      </c>
      <c r="C446" s="82" t="str">
        <f>COPY!D444</f>
        <v/>
      </c>
      <c r="D446" s="81" t="str">
        <f>IF(Table13[[#This Row],[JUMLAH]]&gt;1,(IF(Table13[[#This Row],[CODE]]=" ",D445&amp;"a",IF(Table13[[#This Row],[CODE]]&gt;0,Table13[[#This Row],[CODE]],0))),"")</f>
        <v/>
      </c>
      <c r="E446" s="81" t="str">
        <f>IF(COPY!G444&gt;0,COPY!G444,"")</f>
        <v/>
      </c>
      <c r="F446" s="88" t="str">
        <f>IF(COPY!J444&gt;0,COPY!J444,"")</f>
        <v/>
      </c>
      <c r="G446" s="85" t="str">
        <f>IF(COPY!H444&gt;0,COPY!H444,"")</f>
        <v/>
      </c>
      <c r="H446" s="85" t="str">
        <f>IF(COPY!I444&gt;0,COPY!I444,"")</f>
        <v/>
      </c>
      <c r="I446" s="85" t="str">
        <f>IF(COPY!M444&gt;0,COPY!M444,"")</f>
        <v/>
      </c>
      <c r="J446" s="85" t="str">
        <f>IF(COPY!N444&gt;0,COPY!N444,"")</f>
        <v/>
      </c>
      <c r="K446" s="86" t="str">
        <f>IF(N446=0,(IF(LEFT(Table13[[#This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Row],[URAIAN]],$U$194:$V$210,2,FALSE),""),""),0))))),N446)</f>
        <v/>
      </c>
      <c r="L446" s="85" t="str">
        <f>IF(Table13[[#This Row],[Column2]]="KWITANSI",COUNTIF($K$4:K446,"KWITANSI")," ")</f>
        <v xml:space="preserve"> </v>
      </c>
      <c r="M446" s="85" t="str">
        <f>IF(Table13[[#This Row],[Column3]]=" "," ",Table13[[#This Row],[CODE]])</f>
        <v xml:space="preserve"> </v>
      </c>
      <c r="N446" s="368"/>
      <c r="P446" s="81" t="str">
        <f t="shared" si="6"/>
        <v/>
      </c>
    </row>
    <row r="447" spans="1:16" hidden="1" x14ac:dyDescent="0.15">
      <c r="A447" s="81" t="str">
        <f>COPY!O445</f>
        <v/>
      </c>
      <c r="B447" s="81" t="str">
        <f>COPY!C445</f>
        <v/>
      </c>
      <c r="C447" s="82" t="str">
        <f>COPY!D445</f>
        <v/>
      </c>
      <c r="D447" s="81" t="str">
        <f>IF(Table13[[#This Row],[JUMLAH]]&gt;1,(IF(Table13[[#This Row],[CODE]]=" ",D446&amp;"a",IF(Table13[[#This Row],[CODE]]&gt;0,Table13[[#This Row],[CODE]],0))),"")</f>
        <v/>
      </c>
      <c r="E447" s="81" t="str">
        <f>IF(COPY!G445&gt;0,COPY!G445,"")</f>
        <v/>
      </c>
      <c r="F447" s="88" t="str">
        <f>IF(COPY!J445&gt;0,COPY!J445,"")</f>
        <v/>
      </c>
      <c r="G447" s="85" t="str">
        <f>IF(COPY!H445&gt;0,COPY!H445,"")</f>
        <v/>
      </c>
      <c r="H447" s="85" t="str">
        <f>IF(COPY!I445&gt;0,COPY!I445,"")</f>
        <v/>
      </c>
      <c r="I447" s="85" t="str">
        <f>IF(COPY!M445&gt;0,COPY!M445,"")</f>
        <v/>
      </c>
      <c r="J447" s="85" t="str">
        <f>IF(COPY!N445&gt;0,COPY!N445,"")</f>
        <v/>
      </c>
      <c r="K447" s="86" t="str">
        <f>IF(N447=0,(IF(LEFT(Table13[[#This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Row],[URAIAN]],$U$194:$V$210,2,FALSE),""),""),0))))),N447)</f>
        <v/>
      </c>
      <c r="L447" s="85" t="str">
        <f>IF(Table13[[#This Row],[Column2]]="KWITANSI",COUNTIF($K$4:K447,"KWITANSI")," ")</f>
        <v xml:space="preserve"> </v>
      </c>
      <c r="M447" s="85" t="str">
        <f>IF(Table13[[#This Row],[Column3]]=" "," ",Table13[[#This Row],[CODE]])</f>
        <v xml:space="preserve"> </v>
      </c>
      <c r="N447" s="368"/>
      <c r="P447" s="81" t="str">
        <f t="shared" si="6"/>
        <v/>
      </c>
    </row>
    <row r="448" spans="1:16" hidden="1" x14ac:dyDescent="0.15">
      <c r="A448" s="81" t="str">
        <f>COPY!O446</f>
        <v/>
      </c>
      <c r="B448" s="81" t="str">
        <f>COPY!C446</f>
        <v/>
      </c>
      <c r="C448" s="82" t="str">
        <f>COPY!D446</f>
        <v/>
      </c>
      <c r="D448" s="81" t="str">
        <f>IF(Table13[[#This Row],[JUMLAH]]&gt;1,(IF(Table13[[#This Row],[CODE]]=" ",D447&amp;"a",IF(Table13[[#This Row],[CODE]]&gt;0,Table13[[#This Row],[CODE]],0))),"")</f>
        <v/>
      </c>
      <c r="E448" s="81" t="str">
        <f>IF(COPY!G446&gt;0,COPY!G446,"")</f>
        <v/>
      </c>
      <c r="F448" s="88" t="str">
        <f>IF(COPY!J446&gt;0,COPY!J446,"")</f>
        <v/>
      </c>
      <c r="G448" s="85" t="str">
        <f>IF(COPY!H446&gt;0,COPY!H446,"")</f>
        <v/>
      </c>
      <c r="H448" s="85" t="str">
        <f>IF(COPY!I446&gt;0,COPY!I446,"")</f>
        <v/>
      </c>
      <c r="I448" s="85" t="str">
        <f>IF(COPY!M446&gt;0,COPY!M446,"")</f>
        <v/>
      </c>
      <c r="J448" s="85" t="str">
        <f>IF(COPY!N446&gt;0,COPY!N446,"")</f>
        <v/>
      </c>
      <c r="K448" s="86" t="str">
        <f>IF(N448=0,(IF(LEFT(Table13[[#This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Row],[URAIAN]],$U$194:$V$210,2,FALSE),""),""),0))))),N448)</f>
        <v/>
      </c>
      <c r="L448" s="85" t="str">
        <f>IF(Table13[[#This Row],[Column2]]="KWITANSI",COUNTIF($K$4:K448,"KWITANSI")," ")</f>
        <v xml:space="preserve"> </v>
      </c>
      <c r="M448" s="85" t="str">
        <f>IF(Table13[[#This Row],[Column3]]=" "," ",Table13[[#This Row],[CODE]])</f>
        <v xml:space="preserve"> </v>
      </c>
      <c r="N448" s="368"/>
      <c r="P448" s="81" t="str">
        <f t="shared" si="6"/>
        <v/>
      </c>
    </row>
    <row r="449" spans="1:16" hidden="1" x14ac:dyDescent="0.15">
      <c r="A449" s="81" t="str">
        <f>COPY!O447</f>
        <v/>
      </c>
      <c r="B449" s="81" t="str">
        <f>COPY!C447</f>
        <v/>
      </c>
      <c r="C449" s="82" t="str">
        <f>COPY!D447</f>
        <v/>
      </c>
      <c r="D449" s="81" t="str">
        <f>IF(Table13[[#This Row],[JUMLAH]]&gt;1,(IF(Table13[[#This Row],[CODE]]=" ",D448&amp;"a",IF(Table13[[#This Row],[CODE]]&gt;0,Table13[[#This Row],[CODE]],0))),"")</f>
        <v/>
      </c>
      <c r="E449" s="81" t="str">
        <f>IF(COPY!G447&gt;0,COPY!G447,"")</f>
        <v/>
      </c>
      <c r="F449" s="88" t="str">
        <f>IF(COPY!J447&gt;0,COPY!J447,"")</f>
        <v/>
      </c>
      <c r="G449" s="85" t="str">
        <f>IF(COPY!H447&gt;0,COPY!H447,"")</f>
        <v/>
      </c>
      <c r="H449" s="85" t="str">
        <f>IF(COPY!I447&gt;0,COPY!I447,"")</f>
        <v/>
      </c>
      <c r="I449" s="85" t="str">
        <f>IF(COPY!M447&gt;0,COPY!M447,"")</f>
        <v/>
      </c>
      <c r="J449" s="85" t="str">
        <f>IF(COPY!N447&gt;0,COPY!N447,"")</f>
        <v/>
      </c>
      <c r="K449" s="86" t="str">
        <f>IF(N449=0,(IF(LEFT(Table13[[#This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Row],[URAIAN]],$U$194:$V$210,2,FALSE),""),""),0))))),N449)</f>
        <v/>
      </c>
      <c r="L449" s="85" t="str">
        <f>IF(Table13[[#This Row],[Column2]]="KWITANSI",COUNTIF($K$4:K449,"KWITANSI")," ")</f>
        <v xml:space="preserve"> </v>
      </c>
      <c r="M449" s="85" t="str">
        <f>IF(Table13[[#This Row],[Column3]]=" "," ",Table13[[#This Row],[CODE]])</f>
        <v xml:space="preserve"> </v>
      </c>
      <c r="N449" s="368"/>
      <c r="P449" s="81" t="str">
        <f t="shared" si="6"/>
        <v/>
      </c>
    </row>
    <row r="450" spans="1:16" hidden="1" x14ac:dyDescent="0.15">
      <c r="A450" s="81" t="str">
        <f>COPY!O448</f>
        <v/>
      </c>
      <c r="B450" s="81" t="str">
        <f>COPY!C448</f>
        <v/>
      </c>
      <c r="C450" s="82" t="str">
        <f>COPY!D448</f>
        <v/>
      </c>
      <c r="D450" s="81" t="str">
        <f>IF(Table13[[#This Row],[JUMLAH]]&gt;1,(IF(Table13[[#This Row],[CODE]]=" ",D449&amp;"a",IF(Table13[[#This Row],[CODE]]&gt;0,Table13[[#This Row],[CODE]],0))),"")</f>
        <v/>
      </c>
      <c r="E450" s="81" t="str">
        <f>IF(COPY!G448&gt;0,COPY!G448,"")</f>
        <v/>
      </c>
      <c r="F450" s="88" t="str">
        <f>IF(COPY!J448&gt;0,COPY!J448,"")</f>
        <v/>
      </c>
      <c r="G450" s="85" t="str">
        <f>IF(COPY!H448&gt;0,COPY!H448,"")</f>
        <v/>
      </c>
      <c r="H450" s="85" t="str">
        <f>IF(COPY!I448&gt;0,COPY!I448,"")</f>
        <v/>
      </c>
      <c r="I450" s="85" t="str">
        <f>IF(COPY!M448&gt;0,COPY!M448,"")</f>
        <v/>
      </c>
      <c r="J450" s="85" t="str">
        <f>IF(COPY!N448&gt;0,COPY!N448,"")</f>
        <v/>
      </c>
      <c r="K450" s="86" t="str">
        <f>IF(N450=0,(IF(LEFT(Table13[[#This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Row],[URAIAN]],$U$194:$V$210,2,FALSE),""),""),0))))),N450)</f>
        <v/>
      </c>
      <c r="L450" s="85" t="str">
        <f>IF(Table13[[#This Row],[Column2]]="KWITANSI",COUNTIF($K$4:K450,"KWITANSI")," ")</f>
        <v xml:space="preserve"> </v>
      </c>
      <c r="M450" s="85" t="str">
        <f>IF(Table13[[#This Row],[Column3]]=" "," ",Table13[[#This Row],[CODE]])</f>
        <v xml:space="preserve"> </v>
      </c>
      <c r="N450" s="368"/>
      <c r="P450" s="81" t="str">
        <f t="shared" ref="P450:P513" si="7">IF(-$O$4+($O$4+ROW())&lt;=$O$4,-$O$4+($O$4+ROW()),"")</f>
        <v/>
      </c>
    </row>
    <row r="451" spans="1:16" hidden="1" x14ac:dyDescent="0.15">
      <c r="A451" s="81" t="str">
        <f>COPY!O449</f>
        <v/>
      </c>
      <c r="B451" s="81" t="str">
        <f>COPY!C449</f>
        <v/>
      </c>
      <c r="C451" s="82" t="str">
        <f>COPY!D449</f>
        <v/>
      </c>
      <c r="D451" s="81" t="str">
        <f>IF(Table13[[#This Row],[JUMLAH]]&gt;1,(IF(Table13[[#This Row],[CODE]]=" ",D450&amp;"a",IF(Table13[[#This Row],[CODE]]&gt;0,Table13[[#This Row],[CODE]],0))),"")</f>
        <v/>
      </c>
      <c r="E451" s="81" t="str">
        <f>IF(COPY!G449&gt;0,COPY!G449,"")</f>
        <v/>
      </c>
      <c r="F451" s="88" t="str">
        <f>IF(COPY!J449&gt;0,COPY!J449,"")</f>
        <v/>
      </c>
      <c r="G451" s="85" t="str">
        <f>IF(COPY!H449&gt;0,COPY!H449,"")</f>
        <v/>
      </c>
      <c r="H451" s="85" t="str">
        <f>IF(COPY!I449&gt;0,COPY!I449,"")</f>
        <v/>
      </c>
      <c r="I451" s="85" t="str">
        <f>IF(COPY!M449&gt;0,COPY!M449,"")</f>
        <v/>
      </c>
      <c r="J451" s="85" t="str">
        <f>IF(COPY!N449&gt;0,COPY!N449,"")</f>
        <v/>
      </c>
      <c r="K451" s="86" t="str">
        <f>IF(N451=0,(IF(LEFT(Table13[[#This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Row],[URAIAN]],$U$194:$V$210,2,FALSE),""),""),0))))),N451)</f>
        <v/>
      </c>
      <c r="L451" s="85" t="str">
        <f>IF(Table13[[#This Row],[Column2]]="KWITANSI",COUNTIF($K$4:K451,"KWITANSI")," ")</f>
        <v xml:space="preserve"> </v>
      </c>
      <c r="M451" s="85" t="str">
        <f>IF(Table13[[#This Row],[Column3]]=" "," ",Table13[[#This Row],[CODE]])</f>
        <v xml:space="preserve"> </v>
      </c>
      <c r="N451" s="368"/>
      <c r="P451" s="81" t="str">
        <f t="shared" si="7"/>
        <v/>
      </c>
    </row>
    <row r="452" spans="1:16" hidden="1" x14ac:dyDescent="0.15">
      <c r="A452" s="81" t="str">
        <f>COPY!O450</f>
        <v/>
      </c>
      <c r="B452" s="81" t="str">
        <f>COPY!C450</f>
        <v/>
      </c>
      <c r="C452" s="82" t="str">
        <f>COPY!D450</f>
        <v/>
      </c>
      <c r="D452" s="81" t="str">
        <f>IF(Table13[[#This Row],[JUMLAH]]&gt;1,(IF(Table13[[#This Row],[CODE]]=" ",D451&amp;"a",IF(Table13[[#This Row],[CODE]]&gt;0,Table13[[#This Row],[CODE]],0))),"")</f>
        <v/>
      </c>
      <c r="E452" s="81" t="str">
        <f>IF(COPY!G450&gt;0,COPY!G450,"")</f>
        <v/>
      </c>
      <c r="F452" s="88" t="str">
        <f>IF(COPY!J450&gt;0,COPY!J450,"")</f>
        <v/>
      </c>
      <c r="G452" s="85" t="str">
        <f>IF(COPY!H450&gt;0,COPY!H450,"")</f>
        <v/>
      </c>
      <c r="H452" s="85" t="str">
        <f>IF(COPY!I450&gt;0,COPY!I450,"")</f>
        <v/>
      </c>
      <c r="I452" s="85" t="str">
        <f>IF(COPY!M450&gt;0,COPY!M450,"")</f>
        <v/>
      </c>
      <c r="J452" s="85" t="str">
        <f>IF(COPY!N450&gt;0,COPY!N450,"")</f>
        <v/>
      </c>
      <c r="K452" s="86" t="str">
        <f>IF(N452=0,(IF(LEFT(Table13[[#This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Row],[URAIAN]],$U$194:$V$210,2,FALSE),""),""),0))))),N452)</f>
        <v/>
      </c>
      <c r="L452" s="85" t="str">
        <f>IF(Table13[[#This Row],[Column2]]="KWITANSI",COUNTIF($K$4:K452,"KWITANSI")," ")</f>
        <v xml:space="preserve"> </v>
      </c>
      <c r="M452" s="85" t="str">
        <f>IF(Table13[[#This Row],[Column3]]=" "," ",Table13[[#This Row],[CODE]])</f>
        <v xml:space="preserve"> </v>
      </c>
      <c r="N452" s="368"/>
      <c r="P452" s="81" t="str">
        <f t="shared" si="7"/>
        <v/>
      </c>
    </row>
    <row r="453" spans="1:16" hidden="1" x14ac:dyDescent="0.15">
      <c r="A453" s="81" t="str">
        <f>COPY!O451</f>
        <v/>
      </c>
      <c r="B453" s="81" t="str">
        <f>COPY!C451</f>
        <v/>
      </c>
      <c r="C453" s="82" t="str">
        <f>COPY!D451</f>
        <v/>
      </c>
      <c r="D453" s="81" t="str">
        <f>IF(Table13[[#This Row],[JUMLAH]]&gt;1,(IF(Table13[[#This Row],[CODE]]=" ",D452&amp;"a",IF(Table13[[#This Row],[CODE]]&gt;0,Table13[[#This Row],[CODE]],0))),"")</f>
        <v/>
      </c>
      <c r="E453" s="81" t="str">
        <f>IF(COPY!G451&gt;0,COPY!G451,"")</f>
        <v/>
      </c>
      <c r="F453" s="88" t="str">
        <f>IF(COPY!J451&gt;0,COPY!J451,"")</f>
        <v/>
      </c>
      <c r="G453" s="85" t="str">
        <f>IF(COPY!H451&gt;0,COPY!H451,"")</f>
        <v/>
      </c>
      <c r="H453" s="85" t="str">
        <f>IF(COPY!I451&gt;0,COPY!I451,"")</f>
        <v/>
      </c>
      <c r="I453" s="85" t="str">
        <f>IF(COPY!M451&gt;0,COPY!M451,"")</f>
        <v/>
      </c>
      <c r="J453" s="85" t="str">
        <f>IF(COPY!N451&gt;0,COPY!N451,"")</f>
        <v/>
      </c>
      <c r="K453" s="86" t="str">
        <f>IF(N453=0,(IF(LEFT(Table13[[#This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Row],[URAIAN]],$U$194:$V$210,2,FALSE),""),""),0))))),N453)</f>
        <v/>
      </c>
      <c r="L453" s="85" t="str">
        <f>IF(Table13[[#This Row],[Column2]]="KWITANSI",COUNTIF($K$4:K453,"KWITANSI")," ")</f>
        <v xml:space="preserve"> </v>
      </c>
      <c r="M453" s="85" t="str">
        <f>IF(Table13[[#This Row],[Column3]]=" "," ",Table13[[#This Row],[CODE]])</f>
        <v xml:space="preserve"> </v>
      </c>
      <c r="N453" s="368"/>
      <c r="P453" s="81" t="str">
        <f t="shared" si="7"/>
        <v/>
      </c>
    </row>
    <row r="454" spans="1:16" hidden="1" x14ac:dyDescent="0.15">
      <c r="A454" s="81" t="str">
        <f>COPY!O452</f>
        <v/>
      </c>
      <c r="B454" s="81" t="str">
        <f>COPY!C452</f>
        <v/>
      </c>
      <c r="C454" s="82" t="str">
        <f>COPY!D452</f>
        <v/>
      </c>
      <c r="D454" s="81" t="str">
        <f>IF(Table13[[#This Row],[JUMLAH]]&gt;1,(IF(Table13[[#This Row],[CODE]]=" ",D453&amp;"a",IF(Table13[[#This Row],[CODE]]&gt;0,Table13[[#This Row],[CODE]],0))),"")</f>
        <v/>
      </c>
      <c r="E454" s="81" t="str">
        <f>IF(COPY!G452&gt;0,COPY!G452,"")</f>
        <v/>
      </c>
      <c r="F454" s="88" t="str">
        <f>IF(COPY!J452&gt;0,COPY!J452,"")</f>
        <v/>
      </c>
      <c r="G454" s="85" t="str">
        <f>IF(COPY!H452&gt;0,COPY!H452,"")</f>
        <v/>
      </c>
      <c r="H454" s="85" t="str">
        <f>IF(COPY!I452&gt;0,COPY!I452,"")</f>
        <v/>
      </c>
      <c r="I454" s="85" t="str">
        <f>IF(COPY!M452&gt;0,COPY!M452,"")</f>
        <v/>
      </c>
      <c r="J454" s="85" t="str">
        <f>IF(COPY!N452&gt;0,COPY!N452,"")</f>
        <v/>
      </c>
      <c r="K454" s="86" t="str">
        <f>IF(N454=0,(IF(LEFT(Table13[[#This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Row],[URAIAN]],$U$194:$V$210,2,FALSE),""),""),0))))),N454)</f>
        <v/>
      </c>
      <c r="L454" s="85" t="str">
        <f>IF(Table13[[#This Row],[Column2]]="KWITANSI",COUNTIF($K$4:K454,"KWITANSI")," ")</f>
        <v xml:space="preserve"> </v>
      </c>
      <c r="M454" s="85" t="str">
        <f>IF(Table13[[#This Row],[Column3]]=" "," ",Table13[[#This Row],[CODE]])</f>
        <v xml:space="preserve"> </v>
      </c>
      <c r="N454" s="368"/>
      <c r="P454" s="81" t="str">
        <f t="shared" si="7"/>
        <v/>
      </c>
    </row>
    <row r="455" spans="1:16" hidden="1" x14ac:dyDescent="0.15">
      <c r="A455" s="81" t="str">
        <f>COPY!O453</f>
        <v/>
      </c>
      <c r="B455" s="81" t="str">
        <f>COPY!C453</f>
        <v/>
      </c>
      <c r="C455" s="82" t="str">
        <f>COPY!D453</f>
        <v/>
      </c>
      <c r="D455" s="81" t="str">
        <f>IF(Table13[[#This Row],[JUMLAH]]&gt;1,(IF(Table13[[#This Row],[CODE]]=" ",D454&amp;"a",IF(Table13[[#This Row],[CODE]]&gt;0,Table13[[#This Row],[CODE]],0))),"")</f>
        <v/>
      </c>
      <c r="E455" s="81" t="str">
        <f>IF(COPY!G453&gt;0,COPY!G453,"")</f>
        <v/>
      </c>
      <c r="F455" s="88" t="str">
        <f>IF(COPY!J453&gt;0,COPY!J453,"")</f>
        <v/>
      </c>
      <c r="G455" s="85" t="str">
        <f>IF(COPY!H453&gt;0,COPY!H453,"")</f>
        <v/>
      </c>
      <c r="H455" s="85" t="str">
        <f>IF(COPY!I453&gt;0,COPY!I453,"")</f>
        <v/>
      </c>
      <c r="I455" s="85" t="str">
        <f>IF(COPY!M453&gt;0,COPY!M453,"")</f>
        <v/>
      </c>
      <c r="J455" s="85" t="str">
        <f>IF(COPY!N453&gt;0,COPY!N453,"")</f>
        <v/>
      </c>
      <c r="K455" s="86" t="str">
        <f>IF(N455=0,(IF(LEFT(Table13[[#This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Row],[URAIAN]],$U$194:$V$210,2,FALSE),""),""),0))))),N455)</f>
        <v/>
      </c>
      <c r="L455" s="85" t="str">
        <f>IF(Table13[[#This Row],[Column2]]="KWITANSI",COUNTIF($K$4:K455,"KWITANSI")," ")</f>
        <v xml:space="preserve"> </v>
      </c>
      <c r="M455" s="85" t="str">
        <f>IF(Table13[[#This Row],[Column3]]=" "," ",Table13[[#This Row],[CODE]])</f>
        <v xml:space="preserve"> </v>
      </c>
      <c r="N455" s="368"/>
      <c r="P455" s="81" t="str">
        <f t="shared" si="7"/>
        <v/>
      </c>
    </row>
    <row r="456" spans="1:16" hidden="1" x14ac:dyDescent="0.15">
      <c r="A456" s="81" t="str">
        <f>COPY!O454</f>
        <v/>
      </c>
      <c r="B456" s="81" t="str">
        <f>COPY!C454</f>
        <v/>
      </c>
      <c r="C456" s="82" t="str">
        <f>COPY!D454</f>
        <v/>
      </c>
      <c r="D456" s="81" t="str">
        <f>IF(Table13[[#This Row],[JUMLAH]]&gt;1,(IF(Table13[[#This Row],[CODE]]=" ",D455&amp;"a",IF(Table13[[#This Row],[CODE]]&gt;0,Table13[[#This Row],[CODE]],0))),"")</f>
        <v/>
      </c>
      <c r="E456" s="81" t="str">
        <f>IF(COPY!G454&gt;0,COPY!G454,"")</f>
        <v/>
      </c>
      <c r="F456" s="88" t="str">
        <f>IF(COPY!J454&gt;0,COPY!J454,"")</f>
        <v/>
      </c>
      <c r="G456" s="85" t="str">
        <f>IF(COPY!H454&gt;0,COPY!H454,"")</f>
        <v/>
      </c>
      <c r="H456" s="85" t="str">
        <f>IF(COPY!I454&gt;0,COPY!I454,"")</f>
        <v/>
      </c>
      <c r="I456" s="85" t="str">
        <f>IF(COPY!M454&gt;0,COPY!M454,"")</f>
        <v/>
      </c>
      <c r="J456" s="85" t="str">
        <f>IF(COPY!N454&gt;0,COPY!N454,"")</f>
        <v/>
      </c>
      <c r="K456" s="86" t="str">
        <f>IF(N456=0,(IF(LEFT(Table13[[#This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Row],[URAIAN]],$U$194:$V$210,2,FALSE),""),""),0))))),N456)</f>
        <v/>
      </c>
      <c r="L456" s="85" t="str">
        <f>IF(Table13[[#This Row],[Column2]]="KWITANSI",COUNTIF($K$4:K456,"KWITANSI")," ")</f>
        <v xml:space="preserve"> </v>
      </c>
      <c r="M456" s="85" t="str">
        <f>IF(Table13[[#This Row],[Column3]]=" "," ",Table13[[#This Row],[CODE]])</f>
        <v xml:space="preserve"> </v>
      </c>
      <c r="N456" s="368"/>
      <c r="P456" s="81" t="str">
        <f t="shared" si="7"/>
        <v/>
      </c>
    </row>
    <row r="457" spans="1:16" hidden="1" x14ac:dyDescent="0.15">
      <c r="A457" s="81" t="str">
        <f>COPY!O455</f>
        <v/>
      </c>
      <c r="B457" s="81" t="str">
        <f>COPY!C455</f>
        <v/>
      </c>
      <c r="C457" s="82" t="str">
        <f>COPY!D455</f>
        <v/>
      </c>
      <c r="D457" s="81" t="str">
        <f>IF(Table13[[#This Row],[JUMLAH]]&gt;1,(IF(Table13[[#This Row],[CODE]]=" ",D456&amp;"a",IF(Table13[[#This Row],[CODE]]&gt;0,Table13[[#This Row],[CODE]],0))),"")</f>
        <v/>
      </c>
      <c r="E457" s="81" t="str">
        <f>IF(COPY!G455&gt;0,COPY!G455,"")</f>
        <v/>
      </c>
      <c r="F457" s="88" t="str">
        <f>IF(COPY!J455&gt;0,COPY!J455,"")</f>
        <v/>
      </c>
      <c r="G457" s="85" t="str">
        <f>IF(COPY!H455&gt;0,COPY!H455,"")</f>
        <v/>
      </c>
      <c r="H457" s="85" t="str">
        <f>IF(COPY!I455&gt;0,COPY!I455,"")</f>
        <v/>
      </c>
      <c r="I457" s="85" t="str">
        <f>IF(COPY!M455&gt;0,COPY!M455,"")</f>
        <v/>
      </c>
      <c r="J457" s="85" t="str">
        <f>IF(COPY!N455&gt;0,COPY!N455,"")</f>
        <v/>
      </c>
      <c r="K457" s="86" t="str">
        <f>IF(N457=0,(IF(LEFT(Table13[[#This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Row],[URAIAN]],$U$194:$V$210,2,FALSE),""),""),0))))),N457)</f>
        <v/>
      </c>
      <c r="L457" s="85" t="str">
        <f>IF(Table13[[#This Row],[Column2]]="KWITANSI",COUNTIF($K$4:K457,"KWITANSI")," ")</f>
        <v xml:space="preserve"> </v>
      </c>
      <c r="M457" s="85" t="str">
        <f>IF(Table13[[#This Row],[Column3]]=" "," ",Table13[[#This Row],[CODE]])</f>
        <v xml:space="preserve"> </v>
      </c>
      <c r="N457" s="368"/>
      <c r="P457" s="81" t="str">
        <f t="shared" si="7"/>
        <v/>
      </c>
    </row>
    <row r="458" spans="1:16" hidden="1" x14ac:dyDescent="0.15">
      <c r="A458" s="81" t="str">
        <f>COPY!O456</f>
        <v/>
      </c>
      <c r="B458" s="81" t="str">
        <f>COPY!C456</f>
        <v/>
      </c>
      <c r="C458" s="82" t="str">
        <f>COPY!D456</f>
        <v/>
      </c>
      <c r="D458" s="81" t="str">
        <f>IF(Table13[[#This Row],[JUMLAH]]&gt;1,(IF(Table13[[#This Row],[CODE]]=" ",D457&amp;"a",IF(Table13[[#This Row],[CODE]]&gt;0,Table13[[#This Row],[CODE]],0))),"")</f>
        <v/>
      </c>
      <c r="E458" s="81" t="str">
        <f>IF(COPY!G456&gt;0,COPY!G456,"")</f>
        <v/>
      </c>
      <c r="F458" s="88" t="str">
        <f>IF(COPY!J456&gt;0,COPY!J456,"")</f>
        <v/>
      </c>
      <c r="G458" s="85" t="str">
        <f>IF(COPY!H456&gt;0,COPY!H456,"")</f>
        <v/>
      </c>
      <c r="H458" s="85" t="str">
        <f>IF(COPY!I456&gt;0,COPY!I456,"")</f>
        <v/>
      </c>
      <c r="I458" s="85" t="str">
        <f>IF(COPY!M456&gt;0,COPY!M456,"")</f>
        <v/>
      </c>
      <c r="J458" s="85" t="str">
        <f>IF(COPY!N456&gt;0,COPY!N456,"")</f>
        <v/>
      </c>
      <c r="K458" s="86" t="str">
        <f>IF(N458=0,(IF(LEFT(Table13[[#This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Row],[URAIAN]],$U$194:$V$210,2,FALSE),""),""),0))))),N458)</f>
        <v/>
      </c>
      <c r="L458" s="85" t="str">
        <f>IF(Table13[[#This Row],[Column2]]="KWITANSI",COUNTIF($K$4:K458,"KWITANSI")," ")</f>
        <v xml:space="preserve"> </v>
      </c>
      <c r="M458" s="85" t="str">
        <f>IF(Table13[[#This Row],[Column3]]=" "," ",Table13[[#This Row],[CODE]])</f>
        <v xml:space="preserve"> </v>
      </c>
      <c r="N458" s="368"/>
      <c r="P458" s="81" t="str">
        <f t="shared" si="7"/>
        <v/>
      </c>
    </row>
    <row r="459" spans="1:16" hidden="1" x14ac:dyDescent="0.15">
      <c r="A459" s="81" t="str">
        <f>COPY!O457</f>
        <v/>
      </c>
      <c r="B459" s="81" t="str">
        <f>COPY!C457</f>
        <v/>
      </c>
      <c r="C459" s="82" t="str">
        <f>COPY!D457</f>
        <v/>
      </c>
      <c r="D459" s="81" t="str">
        <f>IF(Table13[[#This Row],[JUMLAH]]&gt;1,(IF(Table13[[#This Row],[CODE]]=" ",D458&amp;"a",IF(Table13[[#This Row],[CODE]]&gt;0,Table13[[#This Row],[CODE]],0))),"")</f>
        <v/>
      </c>
      <c r="E459" s="81" t="str">
        <f>IF(COPY!G457&gt;0,COPY!G457,"")</f>
        <v/>
      </c>
      <c r="F459" s="88" t="str">
        <f>IF(COPY!J457&gt;0,COPY!J457,"")</f>
        <v/>
      </c>
      <c r="G459" s="85" t="str">
        <f>IF(COPY!H457&gt;0,COPY!H457,"")</f>
        <v/>
      </c>
      <c r="H459" s="85" t="str">
        <f>IF(COPY!I457&gt;0,COPY!I457,"")</f>
        <v/>
      </c>
      <c r="I459" s="85" t="str">
        <f>IF(COPY!M457&gt;0,COPY!M457,"")</f>
        <v/>
      </c>
      <c r="J459" s="85" t="str">
        <f>IF(COPY!N457&gt;0,COPY!N457,"")</f>
        <v/>
      </c>
      <c r="K459" s="86" t="str">
        <f>IF(N459=0,(IF(LEFT(Table13[[#This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Row],[URAIAN]],$U$194:$V$210,2,FALSE),""),""),0))))),N459)</f>
        <v/>
      </c>
      <c r="L459" s="85" t="str">
        <f>IF(Table13[[#This Row],[Column2]]="KWITANSI",COUNTIF($K$4:K459,"KWITANSI")," ")</f>
        <v xml:space="preserve"> </v>
      </c>
      <c r="M459" s="85" t="str">
        <f>IF(Table13[[#This Row],[Column3]]=" "," ",Table13[[#This Row],[CODE]])</f>
        <v xml:space="preserve"> </v>
      </c>
      <c r="N459" s="368"/>
      <c r="P459" s="81" t="str">
        <f t="shared" si="7"/>
        <v/>
      </c>
    </row>
    <row r="460" spans="1:16" hidden="1" x14ac:dyDescent="0.15">
      <c r="A460" s="81" t="str">
        <f>COPY!O458</f>
        <v/>
      </c>
      <c r="B460" s="81" t="str">
        <f>COPY!C458</f>
        <v/>
      </c>
      <c r="C460" s="82" t="str">
        <f>COPY!D458</f>
        <v/>
      </c>
      <c r="D460" s="81" t="str">
        <f>IF(Table13[[#This Row],[JUMLAH]]&gt;1,(IF(Table13[[#This Row],[CODE]]=" ",D459&amp;"a",IF(Table13[[#This Row],[CODE]]&gt;0,Table13[[#This Row],[CODE]],0))),"")</f>
        <v/>
      </c>
      <c r="E460" s="81" t="str">
        <f>IF(COPY!G458&gt;0,COPY!G458,"")</f>
        <v/>
      </c>
      <c r="F460" s="88" t="str">
        <f>IF(COPY!J458&gt;0,COPY!J458,"")</f>
        <v/>
      </c>
      <c r="G460" s="85" t="str">
        <f>IF(COPY!H458&gt;0,COPY!H458,"")</f>
        <v/>
      </c>
      <c r="H460" s="85" t="str">
        <f>IF(COPY!I458&gt;0,COPY!I458,"")</f>
        <v/>
      </c>
      <c r="I460" s="85" t="str">
        <f>IF(COPY!M458&gt;0,COPY!M458,"")</f>
        <v/>
      </c>
      <c r="J460" s="85" t="str">
        <f>IF(COPY!N458&gt;0,COPY!N458,"")</f>
        <v/>
      </c>
      <c r="K460" s="86" t="str">
        <f>IF(N460=0,(IF(LEFT(Table13[[#This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Row],[URAIAN]],$U$194:$V$210,2,FALSE),""),""),0))))),N460)</f>
        <v/>
      </c>
      <c r="L460" s="85" t="str">
        <f>IF(Table13[[#This Row],[Column2]]="KWITANSI",COUNTIF($K$4:K460,"KWITANSI")," ")</f>
        <v xml:space="preserve"> </v>
      </c>
      <c r="M460" s="85" t="str">
        <f>IF(Table13[[#This Row],[Column3]]=" "," ",Table13[[#This Row],[CODE]])</f>
        <v xml:space="preserve"> </v>
      </c>
      <c r="N460" s="368"/>
      <c r="P460" s="81" t="str">
        <f t="shared" si="7"/>
        <v/>
      </c>
    </row>
    <row r="461" spans="1:16" hidden="1" x14ac:dyDescent="0.15">
      <c r="A461" s="81" t="str">
        <f>COPY!O459</f>
        <v/>
      </c>
      <c r="B461" s="81" t="str">
        <f>COPY!C459</f>
        <v/>
      </c>
      <c r="C461" s="82" t="str">
        <f>COPY!D459</f>
        <v/>
      </c>
      <c r="D461" s="81" t="str">
        <f>IF(Table13[[#This Row],[JUMLAH]]&gt;1,(IF(Table13[[#This Row],[CODE]]=" ",D460&amp;"a",IF(Table13[[#This Row],[CODE]]&gt;0,Table13[[#This Row],[CODE]],0))),"")</f>
        <v/>
      </c>
      <c r="E461" s="81" t="str">
        <f>IF(COPY!G459&gt;0,COPY!G459,"")</f>
        <v/>
      </c>
      <c r="F461" s="88" t="str">
        <f>IF(COPY!J459&gt;0,COPY!J459,"")</f>
        <v/>
      </c>
      <c r="G461" s="85" t="str">
        <f>IF(COPY!H459&gt;0,COPY!H459,"")</f>
        <v/>
      </c>
      <c r="H461" s="85" t="str">
        <f>IF(COPY!I459&gt;0,COPY!I459,"")</f>
        <v/>
      </c>
      <c r="I461" s="85" t="str">
        <f>IF(COPY!M459&gt;0,COPY!M459,"")</f>
        <v/>
      </c>
      <c r="J461" s="85" t="str">
        <f>IF(COPY!N459&gt;0,COPY!N459,"")</f>
        <v/>
      </c>
      <c r="K461" s="86" t="str">
        <f>IF(N461=0,(IF(LEFT(Table13[[#This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Row],[URAIAN]],$U$194:$V$210,2,FALSE),""),""),0))))),N461)</f>
        <v/>
      </c>
      <c r="L461" s="85" t="str">
        <f>IF(Table13[[#This Row],[Column2]]="KWITANSI",COUNTIF($K$4:K461,"KWITANSI")," ")</f>
        <v xml:space="preserve"> </v>
      </c>
      <c r="M461" s="85" t="str">
        <f>IF(Table13[[#This Row],[Column3]]=" "," ",Table13[[#This Row],[CODE]])</f>
        <v xml:space="preserve"> </v>
      </c>
      <c r="N461" s="368"/>
      <c r="P461" s="81" t="str">
        <f t="shared" si="7"/>
        <v/>
      </c>
    </row>
    <row r="462" spans="1:16" hidden="1" x14ac:dyDescent="0.15">
      <c r="A462" s="81" t="str">
        <f>COPY!O460</f>
        <v/>
      </c>
      <c r="B462" s="81" t="str">
        <f>COPY!C460</f>
        <v/>
      </c>
      <c r="C462" s="82" t="str">
        <f>COPY!D460</f>
        <v/>
      </c>
      <c r="D462" s="81" t="str">
        <f>IF(Table13[[#This Row],[JUMLAH]]&gt;1,(IF(Table13[[#This Row],[CODE]]=" ",D461&amp;"a",IF(Table13[[#This Row],[CODE]]&gt;0,Table13[[#This Row],[CODE]],0))),"")</f>
        <v/>
      </c>
      <c r="E462" s="81" t="str">
        <f>IF(COPY!G460&gt;0,COPY!G460,"")</f>
        <v/>
      </c>
      <c r="F462" s="88" t="str">
        <f>IF(COPY!J460&gt;0,COPY!J460,"")</f>
        <v/>
      </c>
      <c r="G462" s="85" t="str">
        <f>IF(COPY!H460&gt;0,COPY!H460,"")</f>
        <v/>
      </c>
      <c r="H462" s="85" t="str">
        <f>IF(COPY!I460&gt;0,COPY!I460,"")</f>
        <v/>
      </c>
      <c r="I462" s="85" t="str">
        <f>IF(COPY!M460&gt;0,COPY!M460,"")</f>
        <v/>
      </c>
      <c r="J462" s="85" t="str">
        <f>IF(COPY!N460&gt;0,COPY!N460,"")</f>
        <v/>
      </c>
      <c r="K462" s="86" t="str">
        <f>IF(N462=0,(IF(LEFT(Table13[[#This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Row],[URAIAN]],$U$194:$V$210,2,FALSE),""),""),0))))),N462)</f>
        <v/>
      </c>
      <c r="L462" s="85" t="str">
        <f>IF(Table13[[#This Row],[Column2]]="KWITANSI",COUNTIF($K$4:K462,"KWITANSI")," ")</f>
        <v xml:space="preserve"> </v>
      </c>
      <c r="M462" s="85" t="str">
        <f>IF(Table13[[#This Row],[Column3]]=" "," ",Table13[[#This Row],[CODE]])</f>
        <v xml:space="preserve"> </v>
      </c>
      <c r="N462" s="368"/>
      <c r="P462" s="81" t="str">
        <f t="shared" si="7"/>
        <v/>
      </c>
    </row>
    <row r="463" spans="1:16" hidden="1" x14ac:dyDescent="0.15">
      <c r="A463" s="81" t="str">
        <f>COPY!O461</f>
        <v/>
      </c>
      <c r="B463" s="81" t="str">
        <f>COPY!C461</f>
        <v/>
      </c>
      <c r="C463" s="82" t="str">
        <f>COPY!D461</f>
        <v/>
      </c>
      <c r="D463" s="81" t="str">
        <f>IF(Table13[[#This Row],[JUMLAH]]&gt;1,(IF(Table13[[#This Row],[CODE]]=" ",D462&amp;"a",IF(Table13[[#This Row],[CODE]]&gt;0,Table13[[#This Row],[CODE]],0))),"")</f>
        <v/>
      </c>
      <c r="E463" s="81" t="str">
        <f>IF(COPY!G461&gt;0,COPY!G461,"")</f>
        <v/>
      </c>
      <c r="F463" s="88" t="str">
        <f>IF(COPY!J461&gt;0,COPY!J461,"")</f>
        <v/>
      </c>
      <c r="G463" s="85" t="str">
        <f>IF(COPY!H461&gt;0,COPY!H461,"")</f>
        <v/>
      </c>
      <c r="H463" s="85" t="str">
        <f>IF(COPY!I461&gt;0,COPY!I461,"")</f>
        <v/>
      </c>
      <c r="I463" s="85" t="str">
        <f>IF(COPY!M461&gt;0,COPY!M461,"")</f>
        <v/>
      </c>
      <c r="J463" s="85" t="str">
        <f>IF(COPY!N461&gt;0,COPY!N461,"")</f>
        <v/>
      </c>
      <c r="K463" s="86" t="str">
        <f>IF(N463=0,(IF(LEFT(Table13[[#This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Row],[URAIAN]],$U$194:$V$210,2,FALSE),""),""),0))))),N463)</f>
        <v/>
      </c>
      <c r="L463" s="85" t="str">
        <f>IF(Table13[[#This Row],[Column2]]="KWITANSI",COUNTIF($K$4:K463,"KWITANSI")," ")</f>
        <v xml:space="preserve"> </v>
      </c>
      <c r="M463" s="85" t="str">
        <f>IF(Table13[[#This Row],[Column3]]=" "," ",Table13[[#This Row],[CODE]])</f>
        <v xml:space="preserve"> </v>
      </c>
      <c r="N463" s="368"/>
      <c r="P463" s="81" t="str">
        <f t="shared" si="7"/>
        <v/>
      </c>
    </row>
    <row r="464" spans="1:16" hidden="1" x14ac:dyDescent="0.15">
      <c r="A464" s="81" t="str">
        <f>COPY!O462</f>
        <v/>
      </c>
      <c r="B464" s="81" t="str">
        <f>COPY!C462</f>
        <v/>
      </c>
      <c r="C464" s="82" t="str">
        <f>COPY!D462</f>
        <v/>
      </c>
      <c r="D464" s="81" t="str">
        <f>IF(Table13[[#This Row],[JUMLAH]]&gt;1,(IF(Table13[[#This Row],[CODE]]=" ",D463&amp;"a",IF(Table13[[#This Row],[CODE]]&gt;0,Table13[[#This Row],[CODE]],0))),"")</f>
        <v/>
      </c>
      <c r="E464" s="81" t="str">
        <f>IF(COPY!G462&gt;0,COPY!G462,"")</f>
        <v/>
      </c>
      <c r="F464" s="88" t="str">
        <f>IF(COPY!J462&gt;0,COPY!J462,"")</f>
        <v/>
      </c>
      <c r="G464" s="85" t="str">
        <f>IF(COPY!H462&gt;0,COPY!H462,"")</f>
        <v/>
      </c>
      <c r="H464" s="85" t="str">
        <f>IF(COPY!I462&gt;0,COPY!I462,"")</f>
        <v/>
      </c>
      <c r="I464" s="85" t="str">
        <f>IF(COPY!M462&gt;0,COPY!M462,"")</f>
        <v/>
      </c>
      <c r="J464" s="85" t="str">
        <f>IF(COPY!N462&gt;0,COPY!N462,"")</f>
        <v/>
      </c>
      <c r="K464" s="86" t="str">
        <f>IF(N464=0,(IF(LEFT(Table13[[#This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Row],[URAIAN]],$U$194:$V$210,2,FALSE),""),""),0))))),N464)</f>
        <v/>
      </c>
      <c r="L464" s="85" t="str">
        <f>IF(Table13[[#This Row],[Column2]]="KWITANSI",COUNTIF($K$4:K464,"KWITANSI")," ")</f>
        <v xml:space="preserve"> </v>
      </c>
      <c r="M464" s="85" t="str">
        <f>IF(Table13[[#This Row],[Column3]]=" "," ",Table13[[#This Row],[CODE]])</f>
        <v xml:space="preserve"> </v>
      </c>
      <c r="N464" s="368"/>
      <c r="P464" s="81" t="str">
        <f t="shared" si="7"/>
        <v/>
      </c>
    </row>
    <row r="465" spans="1:16" hidden="1" x14ac:dyDescent="0.15">
      <c r="A465" s="81" t="str">
        <f>COPY!O463</f>
        <v/>
      </c>
      <c r="B465" s="81" t="str">
        <f>COPY!C463</f>
        <v/>
      </c>
      <c r="C465" s="82" t="str">
        <f>COPY!D463</f>
        <v/>
      </c>
      <c r="D465" s="81" t="str">
        <f>IF(Table13[[#This Row],[JUMLAH]]&gt;1,(IF(Table13[[#This Row],[CODE]]=" ",D464&amp;"a",IF(Table13[[#This Row],[CODE]]&gt;0,Table13[[#This Row],[CODE]],0))),"")</f>
        <v/>
      </c>
      <c r="E465" s="81" t="str">
        <f>IF(COPY!G463&gt;0,COPY!G463,"")</f>
        <v/>
      </c>
      <c r="F465" s="88" t="str">
        <f>IF(COPY!J463&gt;0,COPY!J463,"")</f>
        <v/>
      </c>
      <c r="G465" s="85" t="str">
        <f>IF(COPY!H463&gt;0,COPY!H463,"")</f>
        <v/>
      </c>
      <c r="H465" s="85" t="str">
        <f>IF(COPY!I463&gt;0,COPY!I463,"")</f>
        <v/>
      </c>
      <c r="I465" s="85" t="str">
        <f>IF(COPY!M463&gt;0,COPY!M463,"")</f>
        <v/>
      </c>
      <c r="J465" s="85" t="str">
        <f>IF(COPY!N463&gt;0,COPY!N463,"")</f>
        <v/>
      </c>
      <c r="K465" s="86" t="str">
        <f>IF(N465=0,(IF(LEFT(Table13[[#This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Row],[URAIAN]],$U$194:$V$210,2,FALSE),""),""),0))))),N465)</f>
        <v/>
      </c>
      <c r="L465" s="85" t="str">
        <f>IF(Table13[[#This Row],[Column2]]="KWITANSI",COUNTIF($K$4:K465,"KWITANSI")," ")</f>
        <v xml:space="preserve"> </v>
      </c>
      <c r="M465" s="85" t="str">
        <f>IF(Table13[[#This Row],[Column3]]=" "," ",Table13[[#This Row],[CODE]])</f>
        <v xml:space="preserve"> </v>
      </c>
      <c r="N465" s="368"/>
      <c r="P465" s="81" t="str">
        <f t="shared" si="7"/>
        <v/>
      </c>
    </row>
    <row r="466" spans="1:16" hidden="1" x14ac:dyDescent="0.15">
      <c r="A466" s="81" t="str">
        <f>COPY!O464</f>
        <v/>
      </c>
      <c r="B466" s="81" t="str">
        <f>COPY!C464</f>
        <v/>
      </c>
      <c r="C466" s="82" t="str">
        <f>COPY!D464</f>
        <v/>
      </c>
      <c r="D466" s="81" t="str">
        <f>IF(Table13[[#This Row],[JUMLAH]]&gt;1,(IF(Table13[[#This Row],[CODE]]=" ",D465&amp;"a",IF(Table13[[#This Row],[CODE]]&gt;0,Table13[[#This Row],[CODE]],0))),"")</f>
        <v/>
      </c>
      <c r="E466" s="81" t="str">
        <f>IF(COPY!G464&gt;0,COPY!G464,"")</f>
        <v/>
      </c>
      <c r="F466" s="88" t="str">
        <f>IF(COPY!J464&gt;0,COPY!J464,"")</f>
        <v/>
      </c>
      <c r="G466" s="85" t="str">
        <f>IF(COPY!H464&gt;0,COPY!H464,"")</f>
        <v/>
      </c>
      <c r="H466" s="85" t="str">
        <f>IF(COPY!I464&gt;0,COPY!I464,"")</f>
        <v/>
      </c>
      <c r="I466" s="85" t="str">
        <f>IF(COPY!M464&gt;0,COPY!M464,"")</f>
        <v/>
      </c>
      <c r="J466" s="85" t="str">
        <f>IF(COPY!N464&gt;0,COPY!N464,"")</f>
        <v/>
      </c>
      <c r="K466" s="86" t="str">
        <f>IF(N466=0,(IF(LEFT(Table13[[#This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Row],[URAIAN]],$U$194:$V$210,2,FALSE),""),""),0))))),N466)</f>
        <v/>
      </c>
      <c r="L466" s="85" t="str">
        <f>IF(Table13[[#This Row],[Column2]]="KWITANSI",COUNTIF($K$4:K466,"KWITANSI")," ")</f>
        <v xml:space="preserve"> </v>
      </c>
      <c r="M466" s="85" t="str">
        <f>IF(Table13[[#This Row],[Column3]]=" "," ",Table13[[#This Row],[CODE]])</f>
        <v xml:space="preserve"> </v>
      </c>
      <c r="N466" s="368"/>
      <c r="P466" s="81" t="str">
        <f t="shared" si="7"/>
        <v/>
      </c>
    </row>
    <row r="467" spans="1:16" hidden="1" x14ac:dyDescent="0.15">
      <c r="A467" s="81" t="str">
        <f>COPY!O465</f>
        <v/>
      </c>
      <c r="B467" s="81" t="str">
        <f>COPY!C465</f>
        <v/>
      </c>
      <c r="C467" s="82" t="str">
        <f>COPY!D465</f>
        <v/>
      </c>
      <c r="D467" s="81" t="str">
        <f>IF(Table13[[#This Row],[JUMLAH]]&gt;1,(IF(Table13[[#This Row],[CODE]]=" ",D466&amp;"a",IF(Table13[[#This Row],[CODE]]&gt;0,Table13[[#This Row],[CODE]],0))),"")</f>
        <v/>
      </c>
      <c r="E467" s="81" t="str">
        <f>IF(COPY!G465&gt;0,COPY!G465,"")</f>
        <v/>
      </c>
      <c r="F467" s="88" t="str">
        <f>IF(COPY!J465&gt;0,COPY!J465,"")</f>
        <v/>
      </c>
      <c r="G467" s="85" t="str">
        <f>IF(COPY!H465&gt;0,COPY!H465,"")</f>
        <v/>
      </c>
      <c r="H467" s="85" t="str">
        <f>IF(COPY!I465&gt;0,COPY!I465,"")</f>
        <v/>
      </c>
      <c r="I467" s="85" t="str">
        <f>IF(COPY!M465&gt;0,COPY!M465,"")</f>
        <v/>
      </c>
      <c r="J467" s="85" t="str">
        <f>IF(COPY!N465&gt;0,COPY!N465,"")</f>
        <v/>
      </c>
      <c r="K467" s="86" t="str">
        <f>IF(N467=0,(IF(LEFT(Table13[[#This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Row],[URAIAN]],$U$194:$V$210,2,FALSE),""),""),0))))),N467)</f>
        <v/>
      </c>
      <c r="L467" s="85" t="str">
        <f>IF(Table13[[#This Row],[Column2]]="KWITANSI",COUNTIF($K$4:K467,"KWITANSI")," ")</f>
        <v xml:space="preserve"> </v>
      </c>
      <c r="M467" s="85" t="str">
        <f>IF(Table13[[#This Row],[Column3]]=" "," ",Table13[[#This Row],[CODE]])</f>
        <v xml:space="preserve"> </v>
      </c>
      <c r="N467" s="368"/>
      <c r="P467" s="81" t="str">
        <f t="shared" si="7"/>
        <v/>
      </c>
    </row>
    <row r="468" spans="1:16" hidden="1" x14ac:dyDescent="0.15">
      <c r="A468" s="81" t="str">
        <f>COPY!O466</f>
        <v/>
      </c>
      <c r="B468" s="81" t="str">
        <f>COPY!C466</f>
        <v/>
      </c>
      <c r="C468" s="82" t="str">
        <f>COPY!D466</f>
        <v/>
      </c>
      <c r="D468" s="81" t="str">
        <f>IF(Table13[[#This Row],[JUMLAH]]&gt;1,(IF(Table13[[#This Row],[CODE]]=" ",D467&amp;"a",IF(Table13[[#This Row],[CODE]]&gt;0,Table13[[#This Row],[CODE]],0))),"")</f>
        <v/>
      </c>
      <c r="E468" s="81" t="str">
        <f>IF(COPY!G466&gt;0,COPY!G466,"")</f>
        <v/>
      </c>
      <c r="F468" s="88" t="str">
        <f>IF(COPY!J466&gt;0,COPY!J466,"")</f>
        <v/>
      </c>
      <c r="G468" s="85" t="str">
        <f>IF(COPY!H466&gt;0,COPY!H466,"")</f>
        <v/>
      </c>
      <c r="H468" s="85" t="str">
        <f>IF(COPY!I466&gt;0,COPY!I466,"")</f>
        <v/>
      </c>
      <c r="I468" s="85" t="str">
        <f>IF(COPY!M466&gt;0,COPY!M466,"")</f>
        <v/>
      </c>
      <c r="J468" s="85" t="str">
        <f>IF(COPY!N466&gt;0,COPY!N466,"")</f>
        <v/>
      </c>
      <c r="K468" s="86" t="str">
        <f>IF(N468=0,(IF(LEFT(Table13[[#This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Row],[URAIAN]],$U$194:$V$210,2,FALSE),""),""),0))))),N468)</f>
        <v/>
      </c>
      <c r="L468" s="85" t="str">
        <f>IF(Table13[[#This Row],[Column2]]="KWITANSI",COUNTIF($K$4:K468,"KWITANSI")," ")</f>
        <v xml:space="preserve"> </v>
      </c>
      <c r="M468" s="85" t="str">
        <f>IF(Table13[[#This Row],[Column3]]=" "," ",Table13[[#This Row],[CODE]])</f>
        <v xml:space="preserve"> </v>
      </c>
      <c r="N468" s="368"/>
      <c r="P468" s="81" t="str">
        <f t="shared" si="7"/>
        <v/>
      </c>
    </row>
    <row r="469" spans="1:16" hidden="1" x14ac:dyDescent="0.15">
      <c r="A469" s="81" t="str">
        <f>COPY!O467</f>
        <v/>
      </c>
      <c r="B469" s="81" t="str">
        <f>COPY!C467</f>
        <v/>
      </c>
      <c r="C469" s="82" t="str">
        <f>COPY!D467</f>
        <v/>
      </c>
      <c r="D469" s="81" t="str">
        <f>IF(Table13[[#This Row],[JUMLAH]]&gt;1,(IF(Table13[[#This Row],[CODE]]=" ",D468&amp;"a",IF(Table13[[#This Row],[CODE]]&gt;0,Table13[[#This Row],[CODE]],0))),"")</f>
        <v/>
      </c>
      <c r="E469" s="81" t="str">
        <f>IF(COPY!G467&gt;0,COPY!G467,"")</f>
        <v/>
      </c>
      <c r="F469" s="88" t="str">
        <f>IF(COPY!J467&gt;0,COPY!J467,"")</f>
        <v/>
      </c>
      <c r="G469" s="85" t="str">
        <f>IF(COPY!H467&gt;0,COPY!H467,"")</f>
        <v/>
      </c>
      <c r="H469" s="85" t="str">
        <f>IF(COPY!I467&gt;0,COPY!I467,"")</f>
        <v/>
      </c>
      <c r="I469" s="85" t="str">
        <f>IF(COPY!M467&gt;0,COPY!M467,"")</f>
        <v/>
      </c>
      <c r="J469" s="85" t="str">
        <f>IF(COPY!N467&gt;0,COPY!N467,"")</f>
        <v/>
      </c>
      <c r="K469" s="86" t="str">
        <f>IF(N469=0,(IF(LEFT(Table13[[#This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Row],[URAIAN]],$U$194:$V$210,2,FALSE),""),""),0))))),N469)</f>
        <v/>
      </c>
      <c r="L469" s="85" t="str">
        <f>IF(Table13[[#This Row],[Column2]]="KWITANSI",COUNTIF($K$4:K469,"KWITANSI")," ")</f>
        <v xml:space="preserve"> </v>
      </c>
      <c r="M469" s="85" t="str">
        <f>IF(Table13[[#This Row],[Column3]]=" "," ",Table13[[#This Row],[CODE]])</f>
        <v xml:space="preserve"> </v>
      </c>
      <c r="N469" s="368"/>
      <c r="P469" s="81" t="str">
        <f t="shared" si="7"/>
        <v/>
      </c>
    </row>
    <row r="470" spans="1:16" hidden="1" x14ac:dyDescent="0.15">
      <c r="A470" s="81" t="str">
        <f>COPY!O468</f>
        <v/>
      </c>
      <c r="B470" s="81" t="str">
        <f>COPY!C468</f>
        <v/>
      </c>
      <c r="C470" s="82" t="str">
        <f>COPY!D468</f>
        <v/>
      </c>
      <c r="D470" s="81" t="str">
        <f>IF(Table13[[#This Row],[JUMLAH]]&gt;1,(IF(Table13[[#This Row],[CODE]]=" ",D469&amp;"a",IF(Table13[[#This Row],[CODE]]&gt;0,Table13[[#This Row],[CODE]],0))),"")</f>
        <v/>
      </c>
      <c r="E470" s="81" t="str">
        <f>IF(COPY!G468&gt;0,COPY!G468,"")</f>
        <v/>
      </c>
      <c r="F470" s="88" t="str">
        <f>IF(COPY!J468&gt;0,COPY!J468,"")</f>
        <v/>
      </c>
      <c r="G470" s="85" t="str">
        <f>IF(COPY!H468&gt;0,COPY!H468,"")</f>
        <v/>
      </c>
      <c r="H470" s="85" t="str">
        <f>IF(COPY!I468&gt;0,COPY!I468,"")</f>
        <v/>
      </c>
      <c r="I470" s="85" t="str">
        <f>IF(COPY!M468&gt;0,COPY!M468,"")</f>
        <v/>
      </c>
      <c r="J470" s="85" t="str">
        <f>IF(COPY!N468&gt;0,COPY!N468,"")</f>
        <v/>
      </c>
      <c r="K470" s="86" t="str">
        <f>IF(N470=0,(IF(LEFT(Table13[[#This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Row],[URAIAN]],$U$194:$V$210,2,FALSE),""),""),0))))),N470)</f>
        <v/>
      </c>
      <c r="L470" s="85" t="str">
        <f>IF(Table13[[#This Row],[Column2]]="KWITANSI",COUNTIF($K$4:K470,"KWITANSI")," ")</f>
        <v xml:space="preserve"> </v>
      </c>
      <c r="M470" s="85" t="str">
        <f>IF(Table13[[#This Row],[Column3]]=" "," ",Table13[[#This Row],[CODE]])</f>
        <v xml:space="preserve"> </v>
      </c>
      <c r="N470" s="368"/>
      <c r="P470" s="81" t="str">
        <f t="shared" si="7"/>
        <v/>
      </c>
    </row>
    <row r="471" spans="1:16" hidden="1" x14ac:dyDescent="0.15">
      <c r="A471" s="81" t="str">
        <f>COPY!O469</f>
        <v/>
      </c>
      <c r="B471" s="81" t="str">
        <f>COPY!C469</f>
        <v/>
      </c>
      <c r="C471" s="82" t="str">
        <f>COPY!D469</f>
        <v/>
      </c>
      <c r="D471" s="81" t="str">
        <f>IF(Table13[[#This Row],[JUMLAH]]&gt;1,(IF(Table13[[#This Row],[CODE]]=" ",D470&amp;"a",IF(Table13[[#This Row],[CODE]]&gt;0,Table13[[#This Row],[CODE]],0))),"")</f>
        <v/>
      </c>
      <c r="E471" s="81" t="str">
        <f>IF(COPY!G469&gt;0,COPY!G469,"")</f>
        <v/>
      </c>
      <c r="F471" s="88" t="str">
        <f>IF(COPY!J469&gt;0,COPY!J469,"")</f>
        <v/>
      </c>
      <c r="G471" s="85" t="str">
        <f>IF(COPY!H469&gt;0,COPY!H469,"")</f>
        <v/>
      </c>
      <c r="H471" s="85" t="str">
        <f>IF(COPY!I469&gt;0,COPY!I469,"")</f>
        <v/>
      </c>
      <c r="I471" s="85" t="str">
        <f>IF(COPY!M469&gt;0,COPY!M469,"")</f>
        <v/>
      </c>
      <c r="J471" s="85" t="str">
        <f>IF(COPY!N469&gt;0,COPY!N469,"")</f>
        <v/>
      </c>
      <c r="K471" s="86" t="str">
        <f>IF(N471=0,(IF(LEFT(Table13[[#This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Row],[URAIAN]],$U$194:$V$210,2,FALSE),""),""),0))))),N471)</f>
        <v/>
      </c>
      <c r="L471" s="85" t="str">
        <f>IF(Table13[[#This Row],[Column2]]="KWITANSI",COUNTIF($K$4:K471,"KWITANSI")," ")</f>
        <v xml:space="preserve"> </v>
      </c>
      <c r="M471" s="85" t="str">
        <f>IF(Table13[[#This Row],[Column3]]=" "," ",Table13[[#This Row],[CODE]])</f>
        <v xml:space="preserve"> </v>
      </c>
      <c r="N471" s="368"/>
      <c r="P471" s="81" t="str">
        <f t="shared" si="7"/>
        <v/>
      </c>
    </row>
    <row r="472" spans="1:16" hidden="1" x14ac:dyDescent="0.15">
      <c r="A472" s="81" t="str">
        <f>COPY!O470</f>
        <v/>
      </c>
      <c r="B472" s="81" t="str">
        <f>COPY!C470</f>
        <v/>
      </c>
      <c r="C472" s="82" t="str">
        <f>COPY!D470</f>
        <v/>
      </c>
      <c r="D472" s="81" t="str">
        <f>IF(Table13[[#This Row],[JUMLAH]]&gt;1,(IF(Table13[[#This Row],[CODE]]=" ",D471&amp;"a",IF(Table13[[#This Row],[CODE]]&gt;0,Table13[[#This Row],[CODE]],0))),"")</f>
        <v/>
      </c>
      <c r="E472" s="81" t="str">
        <f>IF(COPY!G470&gt;0,COPY!G470,"")</f>
        <v/>
      </c>
      <c r="F472" s="88" t="str">
        <f>IF(COPY!J470&gt;0,COPY!J470,"")</f>
        <v/>
      </c>
      <c r="G472" s="85" t="str">
        <f>IF(COPY!H470&gt;0,COPY!H470,"")</f>
        <v/>
      </c>
      <c r="H472" s="85" t="str">
        <f>IF(COPY!I470&gt;0,COPY!I470,"")</f>
        <v/>
      </c>
      <c r="I472" s="85" t="str">
        <f>IF(COPY!M470&gt;0,COPY!M470,"")</f>
        <v/>
      </c>
      <c r="J472" s="85" t="str">
        <f>IF(COPY!N470&gt;0,COPY!N470,"")</f>
        <v/>
      </c>
      <c r="K472" s="86" t="str">
        <f>IF(N472=0,(IF(LEFT(Table13[[#This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Row],[URAIAN]],$U$194:$V$210,2,FALSE),""),""),0))))),N472)</f>
        <v/>
      </c>
      <c r="L472" s="85" t="str">
        <f>IF(Table13[[#This Row],[Column2]]="KWITANSI",COUNTIF($K$4:K472,"KWITANSI")," ")</f>
        <v xml:space="preserve"> </v>
      </c>
      <c r="M472" s="85" t="str">
        <f>IF(Table13[[#This Row],[Column3]]=" "," ",Table13[[#This Row],[CODE]])</f>
        <v xml:space="preserve"> </v>
      </c>
      <c r="N472" s="368"/>
      <c r="P472" s="81" t="str">
        <f t="shared" si="7"/>
        <v/>
      </c>
    </row>
    <row r="473" spans="1:16" hidden="1" x14ac:dyDescent="0.15">
      <c r="A473" s="81" t="str">
        <f>COPY!O471</f>
        <v/>
      </c>
      <c r="B473" s="81" t="str">
        <f>COPY!C471</f>
        <v/>
      </c>
      <c r="C473" s="82" t="str">
        <f>COPY!D471</f>
        <v/>
      </c>
      <c r="D473" s="81" t="str">
        <f>IF(Table13[[#This Row],[JUMLAH]]&gt;1,(IF(Table13[[#This Row],[CODE]]=" ",D472&amp;"a",IF(Table13[[#This Row],[CODE]]&gt;0,Table13[[#This Row],[CODE]],0))),"")</f>
        <v/>
      </c>
      <c r="E473" s="81" t="str">
        <f>IF(COPY!G471&gt;0,COPY!G471,"")</f>
        <v/>
      </c>
      <c r="F473" s="88" t="str">
        <f>IF(COPY!J471&gt;0,COPY!J471,"")</f>
        <v/>
      </c>
      <c r="G473" s="85" t="str">
        <f>IF(COPY!H471&gt;0,COPY!H471,"")</f>
        <v/>
      </c>
      <c r="H473" s="85" t="str">
        <f>IF(COPY!I471&gt;0,COPY!I471,"")</f>
        <v/>
      </c>
      <c r="I473" s="85" t="str">
        <f>IF(COPY!M471&gt;0,COPY!M471,"")</f>
        <v/>
      </c>
      <c r="J473" s="85" t="str">
        <f>IF(COPY!N471&gt;0,COPY!N471,"")</f>
        <v/>
      </c>
      <c r="K473" s="86" t="str">
        <f>IF(N473=0,(IF(LEFT(Table13[[#This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Row],[URAIAN]],$U$194:$V$210,2,FALSE),""),""),0))))),N473)</f>
        <v/>
      </c>
      <c r="L473" s="85" t="str">
        <f>IF(Table13[[#This Row],[Column2]]="KWITANSI",COUNTIF($K$4:K473,"KWITANSI")," ")</f>
        <v xml:space="preserve"> </v>
      </c>
      <c r="M473" s="85" t="str">
        <f>IF(Table13[[#This Row],[Column3]]=" "," ",Table13[[#This Row],[CODE]])</f>
        <v xml:space="preserve"> </v>
      </c>
      <c r="N473" s="368"/>
      <c r="P473" s="81" t="str">
        <f t="shared" si="7"/>
        <v/>
      </c>
    </row>
    <row r="474" spans="1:16" hidden="1" x14ac:dyDescent="0.15">
      <c r="A474" s="81" t="str">
        <f>COPY!O472</f>
        <v/>
      </c>
      <c r="B474" s="81" t="str">
        <f>COPY!C472</f>
        <v/>
      </c>
      <c r="C474" s="82" t="str">
        <f>COPY!D472</f>
        <v/>
      </c>
      <c r="D474" s="81" t="str">
        <f>IF(Table13[[#This Row],[JUMLAH]]&gt;1,(IF(Table13[[#This Row],[CODE]]=" ",D473&amp;"a",IF(Table13[[#This Row],[CODE]]&gt;0,Table13[[#This Row],[CODE]],0))),"")</f>
        <v/>
      </c>
      <c r="E474" s="81" t="str">
        <f>IF(COPY!G472&gt;0,COPY!G472,"")</f>
        <v/>
      </c>
      <c r="F474" s="88" t="str">
        <f>IF(COPY!J472&gt;0,COPY!J472,"")</f>
        <v/>
      </c>
      <c r="G474" s="85" t="str">
        <f>IF(COPY!H472&gt;0,COPY!H472,"")</f>
        <v/>
      </c>
      <c r="H474" s="85" t="str">
        <f>IF(COPY!I472&gt;0,COPY!I472,"")</f>
        <v/>
      </c>
      <c r="I474" s="85" t="str">
        <f>IF(COPY!M472&gt;0,COPY!M472,"")</f>
        <v/>
      </c>
      <c r="J474" s="85" t="str">
        <f>IF(COPY!N472&gt;0,COPY!N472,"")</f>
        <v/>
      </c>
      <c r="K474" s="86" t="str">
        <f>IF(N474=0,(IF(LEFT(Table13[[#This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Row],[URAIAN]],$U$194:$V$210,2,FALSE),""),""),0))))),N474)</f>
        <v/>
      </c>
      <c r="L474" s="85" t="str">
        <f>IF(Table13[[#This Row],[Column2]]="KWITANSI",COUNTIF($K$4:K474,"KWITANSI")," ")</f>
        <v xml:space="preserve"> </v>
      </c>
      <c r="M474" s="85" t="str">
        <f>IF(Table13[[#This Row],[Column3]]=" "," ",Table13[[#This Row],[CODE]])</f>
        <v xml:space="preserve"> </v>
      </c>
      <c r="N474" s="368"/>
      <c r="P474" s="81" t="str">
        <f t="shared" si="7"/>
        <v/>
      </c>
    </row>
    <row r="475" spans="1:16" hidden="1" x14ac:dyDescent="0.15">
      <c r="A475" s="81" t="str">
        <f>COPY!O473</f>
        <v/>
      </c>
      <c r="B475" s="81" t="str">
        <f>COPY!C473</f>
        <v/>
      </c>
      <c r="C475" s="82" t="str">
        <f>COPY!D473</f>
        <v/>
      </c>
      <c r="D475" s="81" t="str">
        <f>IF(Table13[[#This Row],[JUMLAH]]&gt;1,(IF(Table13[[#This Row],[CODE]]=" ",D474&amp;"a",IF(Table13[[#This Row],[CODE]]&gt;0,Table13[[#This Row],[CODE]],0))),"")</f>
        <v/>
      </c>
      <c r="E475" s="81" t="str">
        <f>IF(COPY!G473&gt;0,COPY!G473,"")</f>
        <v/>
      </c>
      <c r="F475" s="88" t="str">
        <f>IF(COPY!J473&gt;0,COPY!J473,"")</f>
        <v/>
      </c>
      <c r="G475" s="85" t="str">
        <f>IF(COPY!H473&gt;0,COPY!H473,"")</f>
        <v/>
      </c>
      <c r="H475" s="85" t="str">
        <f>IF(COPY!I473&gt;0,COPY!I473,"")</f>
        <v/>
      </c>
      <c r="I475" s="85" t="str">
        <f>IF(COPY!M473&gt;0,COPY!M473,"")</f>
        <v/>
      </c>
      <c r="J475" s="85" t="str">
        <f>IF(COPY!N473&gt;0,COPY!N473,"")</f>
        <v/>
      </c>
      <c r="K475" s="86" t="str">
        <f>IF(N475=0,(IF(LEFT(Table13[[#This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Row],[URAIAN]],$U$194:$V$210,2,FALSE),""),""),0))))),N475)</f>
        <v/>
      </c>
      <c r="L475" s="85" t="str">
        <f>IF(Table13[[#This Row],[Column2]]="KWITANSI",COUNTIF($K$4:K475,"KWITANSI")," ")</f>
        <v xml:space="preserve"> </v>
      </c>
      <c r="M475" s="85" t="str">
        <f>IF(Table13[[#This Row],[Column3]]=" "," ",Table13[[#This Row],[CODE]])</f>
        <v xml:space="preserve"> </v>
      </c>
      <c r="N475" s="368"/>
      <c r="P475" s="81" t="str">
        <f t="shared" si="7"/>
        <v/>
      </c>
    </row>
    <row r="476" spans="1:16" hidden="1" x14ac:dyDescent="0.15">
      <c r="A476" s="81" t="str">
        <f>COPY!O474</f>
        <v/>
      </c>
      <c r="B476" s="81" t="str">
        <f>COPY!C474</f>
        <v/>
      </c>
      <c r="C476" s="82" t="str">
        <f>COPY!D474</f>
        <v/>
      </c>
      <c r="D476" s="81" t="str">
        <f>IF(Table13[[#This Row],[JUMLAH]]&gt;1,(IF(Table13[[#This Row],[CODE]]=" ",D475&amp;"a",IF(Table13[[#This Row],[CODE]]&gt;0,Table13[[#This Row],[CODE]],0))),"")</f>
        <v/>
      </c>
      <c r="E476" s="81" t="str">
        <f>IF(COPY!G474&gt;0,COPY!G474,"")</f>
        <v/>
      </c>
      <c r="F476" s="88" t="str">
        <f>IF(COPY!J474&gt;0,COPY!J474,"")</f>
        <v/>
      </c>
      <c r="G476" s="85" t="str">
        <f>IF(COPY!H474&gt;0,COPY!H474,"")</f>
        <v/>
      </c>
      <c r="H476" s="85" t="str">
        <f>IF(COPY!I474&gt;0,COPY!I474,"")</f>
        <v/>
      </c>
      <c r="I476" s="85" t="str">
        <f>IF(COPY!M474&gt;0,COPY!M474,"")</f>
        <v/>
      </c>
      <c r="J476" s="85" t="str">
        <f>IF(COPY!N474&gt;0,COPY!N474,"")</f>
        <v/>
      </c>
      <c r="K476" s="86" t="str">
        <f>IF(N476=0,(IF(LEFT(Table13[[#This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Row],[URAIAN]],$U$194:$V$210,2,FALSE),""),""),0))))),N476)</f>
        <v/>
      </c>
      <c r="L476" s="85" t="str">
        <f>IF(Table13[[#This Row],[Column2]]="KWITANSI",COUNTIF($K$4:K476,"KWITANSI")," ")</f>
        <v xml:space="preserve"> </v>
      </c>
      <c r="M476" s="85" t="str">
        <f>IF(Table13[[#This Row],[Column3]]=" "," ",Table13[[#This Row],[CODE]])</f>
        <v xml:space="preserve"> </v>
      </c>
      <c r="N476" s="368"/>
      <c r="P476" s="81" t="str">
        <f t="shared" si="7"/>
        <v/>
      </c>
    </row>
    <row r="477" spans="1:16" hidden="1" x14ac:dyDescent="0.15">
      <c r="A477" s="81" t="str">
        <f>COPY!O475</f>
        <v/>
      </c>
      <c r="B477" s="81" t="str">
        <f>COPY!C475</f>
        <v/>
      </c>
      <c r="C477" s="82" t="str">
        <f>COPY!D475</f>
        <v/>
      </c>
      <c r="D477" s="81" t="str">
        <f>IF(Table13[[#This Row],[JUMLAH]]&gt;1,(IF(Table13[[#This Row],[CODE]]=" ",D476&amp;"a",IF(Table13[[#This Row],[CODE]]&gt;0,Table13[[#This Row],[CODE]],0))),"")</f>
        <v/>
      </c>
      <c r="E477" s="81" t="str">
        <f>IF(COPY!G475&gt;0,COPY!G475,"")</f>
        <v/>
      </c>
      <c r="F477" s="88" t="str">
        <f>IF(COPY!J475&gt;0,COPY!J475,"")</f>
        <v/>
      </c>
      <c r="G477" s="85" t="str">
        <f>IF(COPY!H475&gt;0,COPY!H475,"")</f>
        <v/>
      </c>
      <c r="H477" s="85" t="str">
        <f>IF(COPY!I475&gt;0,COPY!I475,"")</f>
        <v/>
      </c>
      <c r="I477" s="85" t="str">
        <f>IF(COPY!M475&gt;0,COPY!M475,"")</f>
        <v/>
      </c>
      <c r="J477" s="85" t="str">
        <f>IF(COPY!N475&gt;0,COPY!N475,"")</f>
        <v/>
      </c>
      <c r="K477" s="86" t="str">
        <f>IF(N477=0,(IF(LEFT(Table13[[#This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Row],[URAIAN]],$U$194:$V$210,2,FALSE),""),""),0))))),N477)</f>
        <v/>
      </c>
      <c r="L477" s="85" t="str">
        <f>IF(Table13[[#This Row],[Column2]]="KWITANSI",COUNTIF($K$4:K477,"KWITANSI")," ")</f>
        <v xml:space="preserve"> </v>
      </c>
      <c r="M477" s="85" t="str">
        <f>IF(Table13[[#This Row],[Column3]]=" "," ",Table13[[#This Row],[CODE]])</f>
        <v xml:space="preserve"> </v>
      </c>
      <c r="N477" s="368"/>
      <c r="P477" s="81" t="str">
        <f t="shared" si="7"/>
        <v/>
      </c>
    </row>
    <row r="478" spans="1:16" hidden="1" x14ac:dyDescent="0.15">
      <c r="A478" s="81" t="str">
        <f>COPY!O476</f>
        <v/>
      </c>
      <c r="B478" s="81" t="str">
        <f>COPY!C476</f>
        <v/>
      </c>
      <c r="C478" s="82" t="str">
        <f>COPY!D476</f>
        <v/>
      </c>
      <c r="D478" s="81" t="str">
        <f>IF(Table13[[#This Row],[JUMLAH]]&gt;1,(IF(Table13[[#This Row],[CODE]]=" ",D477&amp;"a",IF(Table13[[#This Row],[CODE]]&gt;0,Table13[[#This Row],[CODE]],0))),"")</f>
        <v/>
      </c>
      <c r="E478" s="81" t="str">
        <f>IF(COPY!G476&gt;0,COPY!G476,"")</f>
        <v/>
      </c>
      <c r="F478" s="88" t="str">
        <f>IF(COPY!J476&gt;0,COPY!J476,"")</f>
        <v/>
      </c>
      <c r="G478" s="85" t="str">
        <f>IF(COPY!H476&gt;0,COPY!H476,"")</f>
        <v/>
      </c>
      <c r="H478" s="85" t="str">
        <f>IF(COPY!I476&gt;0,COPY!I476,"")</f>
        <v/>
      </c>
      <c r="I478" s="85" t="str">
        <f>IF(COPY!M476&gt;0,COPY!M476,"")</f>
        <v/>
      </c>
      <c r="J478" s="85" t="str">
        <f>IF(COPY!N476&gt;0,COPY!N476,"")</f>
        <v/>
      </c>
      <c r="K478" s="86" t="str">
        <f>IF(N478=0,(IF(LEFT(Table13[[#This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Row],[URAIAN]],$U$194:$V$210,2,FALSE),""),""),0))))),N478)</f>
        <v/>
      </c>
      <c r="L478" s="85" t="str">
        <f>IF(Table13[[#This Row],[Column2]]="KWITANSI",COUNTIF($K$4:K478,"KWITANSI")," ")</f>
        <v xml:space="preserve"> </v>
      </c>
      <c r="M478" s="85" t="str">
        <f>IF(Table13[[#This Row],[Column3]]=" "," ",Table13[[#This Row],[CODE]])</f>
        <v xml:space="preserve"> </v>
      </c>
      <c r="N478" s="368"/>
      <c r="P478" s="81" t="str">
        <f t="shared" si="7"/>
        <v/>
      </c>
    </row>
    <row r="479" spans="1:16" hidden="1" x14ac:dyDescent="0.15">
      <c r="A479" s="81" t="str">
        <f>COPY!O477</f>
        <v/>
      </c>
      <c r="B479" s="81" t="str">
        <f>COPY!C477</f>
        <v/>
      </c>
      <c r="C479" s="82" t="str">
        <f>COPY!D477</f>
        <v/>
      </c>
      <c r="D479" s="81" t="str">
        <f>IF(Table13[[#This Row],[JUMLAH]]&gt;1,(IF(Table13[[#This Row],[CODE]]=" ",D478&amp;"a",IF(Table13[[#This Row],[CODE]]&gt;0,Table13[[#This Row],[CODE]],0))),"")</f>
        <v/>
      </c>
      <c r="E479" s="81" t="str">
        <f>IF(COPY!G477&gt;0,COPY!G477,"")</f>
        <v/>
      </c>
      <c r="F479" s="88" t="str">
        <f>IF(COPY!J477&gt;0,COPY!J477,"")</f>
        <v/>
      </c>
      <c r="G479" s="85" t="str">
        <f>IF(COPY!H477&gt;0,COPY!H477,"")</f>
        <v/>
      </c>
      <c r="H479" s="85" t="str">
        <f>IF(COPY!I477&gt;0,COPY!I477,"")</f>
        <v/>
      </c>
      <c r="I479" s="85" t="str">
        <f>IF(COPY!M477&gt;0,COPY!M477,"")</f>
        <v/>
      </c>
      <c r="J479" s="85" t="str">
        <f>IF(COPY!N477&gt;0,COPY!N477,"")</f>
        <v/>
      </c>
      <c r="K479" s="86" t="str">
        <f>IF(N479=0,(IF(LEFT(Table13[[#This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Row],[URAIAN]],$U$194:$V$210,2,FALSE),""),""),0))))),N479)</f>
        <v/>
      </c>
      <c r="L479" s="85" t="str">
        <f>IF(Table13[[#This Row],[Column2]]="KWITANSI",COUNTIF($K$4:K479,"KWITANSI")," ")</f>
        <v xml:space="preserve"> </v>
      </c>
      <c r="M479" s="85" t="str">
        <f>IF(Table13[[#This Row],[Column3]]=" "," ",Table13[[#This Row],[CODE]])</f>
        <v xml:space="preserve"> </v>
      </c>
      <c r="N479" s="368"/>
      <c r="P479" s="81" t="str">
        <f t="shared" si="7"/>
        <v/>
      </c>
    </row>
    <row r="480" spans="1:16" hidden="1" x14ac:dyDescent="0.15">
      <c r="A480" s="81" t="str">
        <f>COPY!O478</f>
        <v/>
      </c>
      <c r="B480" s="81" t="str">
        <f>COPY!C478</f>
        <v/>
      </c>
      <c r="C480" s="82" t="str">
        <f>COPY!D478</f>
        <v/>
      </c>
      <c r="D480" s="81" t="str">
        <f>IF(Table13[[#This Row],[JUMLAH]]&gt;1,(IF(Table13[[#This Row],[CODE]]=" ",D479&amp;"a",IF(Table13[[#This Row],[CODE]]&gt;0,Table13[[#This Row],[CODE]],0))),"")</f>
        <v/>
      </c>
      <c r="E480" s="81" t="str">
        <f>IF(COPY!G478&gt;0,COPY!G478,"")</f>
        <v/>
      </c>
      <c r="F480" s="88" t="str">
        <f>IF(COPY!J478&gt;0,COPY!J478,"")</f>
        <v/>
      </c>
      <c r="G480" s="85" t="str">
        <f>IF(COPY!H478&gt;0,COPY!H478,"")</f>
        <v/>
      </c>
      <c r="H480" s="85" t="str">
        <f>IF(COPY!I478&gt;0,COPY!I478,"")</f>
        <v/>
      </c>
      <c r="I480" s="85" t="str">
        <f>IF(COPY!M478&gt;0,COPY!M478,"")</f>
        <v/>
      </c>
      <c r="J480" s="85" t="str">
        <f>IF(COPY!N478&gt;0,COPY!N478,"")</f>
        <v/>
      </c>
      <c r="K480" s="86" t="str">
        <f>IF(N480=0,(IF(LEFT(Table13[[#This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Row],[URAIAN]],$U$194:$V$210,2,FALSE),""),""),0))))),N480)</f>
        <v/>
      </c>
      <c r="L480" s="85" t="str">
        <f>IF(Table13[[#This Row],[Column2]]="KWITANSI",COUNTIF($K$4:K480,"KWITANSI")," ")</f>
        <v xml:space="preserve"> </v>
      </c>
      <c r="M480" s="85" t="str">
        <f>IF(Table13[[#This Row],[Column3]]=" "," ",Table13[[#This Row],[CODE]])</f>
        <v xml:space="preserve"> </v>
      </c>
      <c r="N480" s="368"/>
      <c r="P480" s="81" t="str">
        <f t="shared" si="7"/>
        <v/>
      </c>
    </row>
    <row r="481" spans="1:16" hidden="1" x14ac:dyDescent="0.15">
      <c r="A481" s="81" t="str">
        <f>COPY!O479</f>
        <v/>
      </c>
      <c r="B481" s="81" t="str">
        <f>COPY!C479</f>
        <v/>
      </c>
      <c r="C481" s="82" t="str">
        <f>COPY!D479</f>
        <v/>
      </c>
      <c r="D481" s="81" t="str">
        <f>IF(Table13[[#This Row],[JUMLAH]]&gt;1,(IF(Table13[[#This Row],[CODE]]=" ",D480&amp;"a",IF(Table13[[#This Row],[CODE]]&gt;0,Table13[[#This Row],[CODE]],0))),"")</f>
        <v/>
      </c>
      <c r="E481" s="81" t="str">
        <f>IF(COPY!G479&gt;0,COPY!G479,"")</f>
        <v/>
      </c>
      <c r="F481" s="88" t="str">
        <f>IF(COPY!J479&gt;0,COPY!J479,"")</f>
        <v/>
      </c>
      <c r="G481" s="85" t="str">
        <f>IF(COPY!H479&gt;0,COPY!H479,"")</f>
        <v/>
      </c>
      <c r="H481" s="85" t="str">
        <f>IF(COPY!I479&gt;0,COPY!I479,"")</f>
        <v/>
      </c>
      <c r="I481" s="85" t="str">
        <f>IF(COPY!M479&gt;0,COPY!M479,"")</f>
        <v/>
      </c>
      <c r="J481" s="85" t="str">
        <f>IF(COPY!N479&gt;0,COPY!N479,"")</f>
        <v/>
      </c>
      <c r="K481" s="86" t="str">
        <f>IF(N481=0,(IF(LEFT(Table13[[#This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Row],[URAIAN]],$U$194:$V$210,2,FALSE),""),""),0))))),N481)</f>
        <v/>
      </c>
      <c r="L481" s="85" t="str">
        <f>IF(Table13[[#This Row],[Column2]]="KWITANSI",COUNTIF($K$4:K481,"KWITANSI")," ")</f>
        <v xml:space="preserve"> </v>
      </c>
      <c r="M481" s="85" t="str">
        <f>IF(Table13[[#This Row],[Column3]]=" "," ",Table13[[#This Row],[CODE]])</f>
        <v xml:space="preserve"> </v>
      </c>
      <c r="N481" s="368"/>
      <c r="P481" s="81" t="str">
        <f t="shared" si="7"/>
        <v/>
      </c>
    </row>
    <row r="482" spans="1:16" hidden="1" x14ac:dyDescent="0.15">
      <c r="A482" s="81" t="str">
        <f>COPY!O480</f>
        <v/>
      </c>
      <c r="B482" s="81" t="str">
        <f>COPY!C480</f>
        <v/>
      </c>
      <c r="C482" s="82" t="str">
        <f>COPY!D480</f>
        <v/>
      </c>
      <c r="D482" s="81" t="str">
        <f>IF(Table13[[#This Row],[JUMLAH]]&gt;1,(IF(Table13[[#This Row],[CODE]]=" ",D481&amp;"a",IF(Table13[[#This Row],[CODE]]&gt;0,Table13[[#This Row],[CODE]],0))),"")</f>
        <v/>
      </c>
      <c r="E482" s="81" t="str">
        <f>IF(COPY!G480&gt;0,COPY!G480,"")</f>
        <v/>
      </c>
      <c r="F482" s="88" t="str">
        <f>IF(COPY!J480&gt;0,COPY!J480,"")</f>
        <v/>
      </c>
      <c r="G482" s="85" t="str">
        <f>IF(COPY!H480&gt;0,COPY!H480,"")</f>
        <v/>
      </c>
      <c r="H482" s="85" t="str">
        <f>IF(COPY!I480&gt;0,COPY!I480,"")</f>
        <v/>
      </c>
      <c r="I482" s="85" t="str">
        <f>IF(COPY!M480&gt;0,COPY!M480,"")</f>
        <v/>
      </c>
      <c r="J482" s="85" t="str">
        <f>IF(COPY!N480&gt;0,COPY!N480,"")</f>
        <v/>
      </c>
      <c r="K482" s="86" t="str">
        <f>IF(N482=0,(IF(LEFT(Table13[[#This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Row],[URAIAN]],$U$194:$V$210,2,FALSE),""),""),0))))),N482)</f>
        <v/>
      </c>
      <c r="L482" s="85" t="str">
        <f>IF(Table13[[#This Row],[Column2]]="KWITANSI",COUNTIF($K$4:K482,"KWITANSI")," ")</f>
        <v xml:space="preserve"> </v>
      </c>
      <c r="M482" s="85" t="str">
        <f>IF(Table13[[#This Row],[Column3]]=" "," ",Table13[[#This Row],[CODE]])</f>
        <v xml:space="preserve"> </v>
      </c>
      <c r="N482" s="368"/>
      <c r="P482" s="81" t="str">
        <f t="shared" si="7"/>
        <v/>
      </c>
    </row>
    <row r="483" spans="1:16" hidden="1" x14ac:dyDescent="0.15">
      <c r="A483" s="81" t="str">
        <f>COPY!O481</f>
        <v/>
      </c>
      <c r="B483" s="81" t="str">
        <f>COPY!C481</f>
        <v/>
      </c>
      <c r="C483" s="82" t="str">
        <f>COPY!D481</f>
        <v/>
      </c>
      <c r="D483" s="81" t="str">
        <f>IF(Table13[[#This Row],[JUMLAH]]&gt;1,(IF(Table13[[#This Row],[CODE]]=" ",D482&amp;"a",IF(Table13[[#This Row],[CODE]]&gt;0,Table13[[#This Row],[CODE]],0))),"")</f>
        <v/>
      </c>
      <c r="E483" s="81" t="str">
        <f>IF(COPY!G481&gt;0,COPY!G481,"")</f>
        <v/>
      </c>
      <c r="F483" s="88" t="str">
        <f>IF(COPY!J481&gt;0,COPY!J481,"")</f>
        <v/>
      </c>
      <c r="G483" s="85" t="str">
        <f>IF(COPY!H481&gt;0,COPY!H481,"")</f>
        <v/>
      </c>
      <c r="H483" s="85" t="str">
        <f>IF(COPY!I481&gt;0,COPY!I481,"")</f>
        <v/>
      </c>
      <c r="I483" s="85" t="str">
        <f>IF(COPY!M481&gt;0,COPY!M481,"")</f>
        <v/>
      </c>
      <c r="J483" s="85" t="str">
        <f>IF(COPY!N481&gt;0,COPY!N481,"")</f>
        <v/>
      </c>
      <c r="K483" s="86" t="str">
        <f>IF(N483=0,(IF(LEFT(Table13[[#This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Row],[URAIAN]],$U$194:$V$210,2,FALSE),""),""),0))))),N483)</f>
        <v/>
      </c>
      <c r="L483" s="85" t="str">
        <f>IF(Table13[[#This Row],[Column2]]="KWITANSI",COUNTIF($K$4:K483,"KWITANSI")," ")</f>
        <v xml:space="preserve"> </v>
      </c>
      <c r="M483" s="85" t="str">
        <f>IF(Table13[[#This Row],[Column3]]=" "," ",Table13[[#This Row],[CODE]])</f>
        <v xml:space="preserve"> </v>
      </c>
      <c r="N483" s="368"/>
      <c r="P483" s="81" t="str">
        <f t="shared" si="7"/>
        <v/>
      </c>
    </row>
    <row r="484" spans="1:16" hidden="1" x14ac:dyDescent="0.15">
      <c r="A484" s="81" t="str">
        <f>COPY!O482</f>
        <v/>
      </c>
      <c r="B484" s="81" t="str">
        <f>COPY!C482</f>
        <v/>
      </c>
      <c r="C484" s="82" t="str">
        <f>COPY!D482</f>
        <v/>
      </c>
      <c r="D484" s="81" t="str">
        <f>IF(Table13[[#This Row],[JUMLAH]]&gt;1,(IF(Table13[[#This Row],[CODE]]=" ",D483&amp;"a",IF(Table13[[#This Row],[CODE]]&gt;0,Table13[[#This Row],[CODE]],0))),"")</f>
        <v/>
      </c>
      <c r="E484" s="81" t="str">
        <f>IF(COPY!G482&gt;0,COPY!G482,"")</f>
        <v/>
      </c>
      <c r="F484" s="88" t="str">
        <f>IF(COPY!J482&gt;0,COPY!J482,"")</f>
        <v/>
      </c>
      <c r="G484" s="85" t="str">
        <f>IF(COPY!H482&gt;0,COPY!H482,"")</f>
        <v/>
      </c>
      <c r="H484" s="85" t="str">
        <f>IF(COPY!I482&gt;0,COPY!I482,"")</f>
        <v/>
      </c>
      <c r="I484" s="85" t="str">
        <f>IF(COPY!M482&gt;0,COPY!M482,"")</f>
        <v/>
      </c>
      <c r="J484" s="85" t="str">
        <f>IF(COPY!N482&gt;0,COPY!N482,"")</f>
        <v/>
      </c>
      <c r="K484" s="86" t="str">
        <f>IF(N484=0,(IF(LEFT(Table13[[#This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Row],[URAIAN]],$U$194:$V$210,2,FALSE),""),""),0))))),N484)</f>
        <v/>
      </c>
      <c r="L484" s="85" t="str">
        <f>IF(Table13[[#This Row],[Column2]]="KWITANSI",COUNTIF($K$4:K484,"KWITANSI")," ")</f>
        <v xml:space="preserve"> </v>
      </c>
      <c r="M484" s="85" t="str">
        <f>IF(Table13[[#This Row],[Column3]]=" "," ",Table13[[#This Row],[CODE]])</f>
        <v xml:space="preserve"> </v>
      </c>
      <c r="N484" s="368"/>
      <c r="P484" s="81" t="str">
        <f t="shared" si="7"/>
        <v/>
      </c>
    </row>
    <row r="485" spans="1:16" hidden="1" x14ac:dyDescent="0.15">
      <c r="A485" s="81" t="str">
        <f>COPY!O483</f>
        <v/>
      </c>
      <c r="B485" s="81" t="str">
        <f>COPY!C483</f>
        <v/>
      </c>
      <c r="C485" s="82" t="str">
        <f>COPY!D483</f>
        <v/>
      </c>
      <c r="D485" s="81" t="str">
        <f>IF(Table13[[#This Row],[JUMLAH]]&gt;1,(IF(Table13[[#This Row],[CODE]]=" ",D484&amp;"a",IF(Table13[[#This Row],[CODE]]&gt;0,Table13[[#This Row],[CODE]],0))),"")</f>
        <v/>
      </c>
      <c r="E485" s="81" t="str">
        <f>IF(COPY!G483&gt;0,COPY!G483,"")</f>
        <v/>
      </c>
      <c r="F485" s="88" t="str">
        <f>IF(COPY!J483&gt;0,COPY!J483,"")</f>
        <v/>
      </c>
      <c r="G485" s="85" t="str">
        <f>IF(COPY!H483&gt;0,COPY!H483,"")</f>
        <v/>
      </c>
      <c r="H485" s="85" t="str">
        <f>IF(COPY!I483&gt;0,COPY!I483,"")</f>
        <v/>
      </c>
      <c r="I485" s="85" t="str">
        <f>IF(COPY!M483&gt;0,COPY!M483,"")</f>
        <v/>
      </c>
      <c r="J485" s="85" t="str">
        <f>IF(COPY!N483&gt;0,COPY!N483,"")</f>
        <v/>
      </c>
      <c r="K485" s="86" t="str">
        <f>IF(N485=0,(IF(LEFT(Table13[[#This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Row],[URAIAN]],$U$194:$V$210,2,FALSE),""),""),0))))),N485)</f>
        <v/>
      </c>
      <c r="L485" s="85" t="str">
        <f>IF(Table13[[#This Row],[Column2]]="KWITANSI",COUNTIF($K$4:K485,"KWITANSI")," ")</f>
        <v xml:space="preserve"> </v>
      </c>
      <c r="M485" s="85" t="str">
        <f>IF(Table13[[#This Row],[Column3]]=" "," ",Table13[[#This Row],[CODE]])</f>
        <v xml:space="preserve"> </v>
      </c>
      <c r="N485" s="368"/>
      <c r="P485" s="81" t="str">
        <f t="shared" si="7"/>
        <v/>
      </c>
    </row>
    <row r="486" spans="1:16" hidden="1" x14ac:dyDescent="0.15">
      <c r="A486" s="81" t="str">
        <f>COPY!O484</f>
        <v/>
      </c>
      <c r="B486" s="81" t="str">
        <f>COPY!C484</f>
        <v/>
      </c>
      <c r="C486" s="82" t="str">
        <f>COPY!D484</f>
        <v/>
      </c>
      <c r="D486" s="81" t="str">
        <f>IF(Table13[[#This Row],[JUMLAH]]&gt;1,(IF(Table13[[#This Row],[CODE]]=" ",D485&amp;"a",IF(Table13[[#This Row],[CODE]]&gt;0,Table13[[#This Row],[CODE]],0))),"")</f>
        <v/>
      </c>
      <c r="E486" s="81" t="str">
        <f>IF(COPY!G484&gt;0,COPY!G484,"")</f>
        <v/>
      </c>
      <c r="F486" s="88" t="str">
        <f>IF(COPY!J484&gt;0,COPY!J484,"")</f>
        <v/>
      </c>
      <c r="G486" s="85" t="str">
        <f>IF(COPY!H484&gt;0,COPY!H484,"")</f>
        <v/>
      </c>
      <c r="H486" s="85" t="str">
        <f>IF(COPY!I484&gt;0,COPY!I484,"")</f>
        <v/>
      </c>
      <c r="I486" s="85" t="str">
        <f>IF(COPY!M484&gt;0,COPY!M484,"")</f>
        <v/>
      </c>
      <c r="J486" s="85" t="str">
        <f>IF(COPY!N484&gt;0,COPY!N484,"")</f>
        <v/>
      </c>
      <c r="K486" s="86" t="str">
        <f>IF(N486=0,(IF(LEFT(Table13[[#This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Row],[URAIAN]],$U$194:$V$210,2,FALSE),""),""),0))))),N486)</f>
        <v/>
      </c>
      <c r="L486" s="85" t="str">
        <f>IF(Table13[[#This Row],[Column2]]="KWITANSI",COUNTIF($K$4:K486,"KWITANSI")," ")</f>
        <v xml:space="preserve"> </v>
      </c>
      <c r="M486" s="85" t="str">
        <f>IF(Table13[[#This Row],[Column3]]=" "," ",Table13[[#This Row],[CODE]])</f>
        <v xml:space="preserve"> </v>
      </c>
      <c r="N486" s="368"/>
      <c r="P486" s="81" t="str">
        <f t="shared" si="7"/>
        <v/>
      </c>
    </row>
    <row r="487" spans="1:16" hidden="1" x14ac:dyDescent="0.15">
      <c r="A487" s="81" t="str">
        <f>COPY!O485</f>
        <v/>
      </c>
      <c r="B487" s="81" t="str">
        <f>COPY!C485</f>
        <v/>
      </c>
      <c r="C487" s="82" t="str">
        <f>COPY!D485</f>
        <v/>
      </c>
      <c r="D487" s="81" t="str">
        <f>IF(Table13[[#This Row],[JUMLAH]]&gt;1,(IF(Table13[[#This Row],[CODE]]=" ",D486&amp;"a",IF(Table13[[#This Row],[CODE]]&gt;0,Table13[[#This Row],[CODE]],0))),"")</f>
        <v/>
      </c>
      <c r="E487" s="81" t="str">
        <f>IF(COPY!G485&gt;0,COPY!G485,"")</f>
        <v/>
      </c>
      <c r="F487" s="88" t="str">
        <f>IF(COPY!J485&gt;0,COPY!J485,"")</f>
        <v/>
      </c>
      <c r="G487" s="85" t="str">
        <f>IF(COPY!H485&gt;0,COPY!H485,"")</f>
        <v/>
      </c>
      <c r="H487" s="85" t="str">
        <f>IF(COPY!I485&gt;0,COPY!I485,"")</f>
        <v/>
      </c>
      <c r="I487" s="85" t="str">
        <f>IF(COPY!M485&gt;0,COPY!M485,"")</f>
        <v/>
      </c>
      <c r="J487" s="85" t="str">
        <f>IF(COPY!N485&gt;0,COPY!N485,"")</f>
        <v/>
      </c>
      <c r="K487" s="86" t="str">
        <f>IF(N487=0,(IF(LEFT(Table13[[#This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Row],[URAIAN]],$U$194:$V$210,2,FALSE),""),""),0))))),N487)</f>
        <v/>
      </c>
      <c r="L487" s="85" t="str">
        <f>IF(Table13[[#This Row],[Column2]]="KWITANSI",COUNTIF($K$4:K487,"KWITANSI")," ")</f>
        <v xml:space="preserve"> </v>
      </c>
      <c r="M487" s="85" t="str">
        <f>IF(Table13[[#This Row],[Column3]]=" "," ",Table13[[#This Row],[CODE]])</f>
        <v xml:space="preserve"> </v>
      </c>
      <c r="N487" s="368"/>
      <c r="P487" s="81" t="str">
        <f t="shared" si="7"/>
        <v/>
      </c>
    </row>
    <row r="488" spans="1:16" hidden="1" x14ac:dyDescent="0.15">
      <c r="A488" s="81" t="str">
        <f>COPY!O486</f>
        <v/>
      </c>
      <c r="B488" s="81" t="str">
        <f>COPY!C486</f>
        <v/>
      </c>
      <c r="C488" s="82" t="str">
        <f>COPY!D486</f>
        <v/>
      </c>
      <c r="D488" s="81" t="str">
        <f>IF(Table13[[#This Row],[JUMLAH]]&gt;1,(IF(Table13[[#This Row],[CODE]]=" ",D487&amp;"a",IF(Table13[[#This Row],[CODE]]&gt;0,Table13[[#This Row],[CODE]],0))),"")</f>
        <v/>
      </c>
      <c r="E488" s="81" t="str">
        <f>IF(COPY!G486&gt;0,COPY!G486,"")</f>
        <v/>
      </c>
      <c r="F488" s="88" t="str">
        <f>IF(COPY!J486&gt;0,COPY!J486,"")</f>
        <v/>
      </c>
      <c r="G488" s="85" t="str">
        <f>IF(COPY!H486&gt;0,COPY!H486,"")</f>
        <v/>
      </c>
      <c r="H488" s="85" t="str">
        <f>IF(COPY!I486&gt;0,COPY!I486,"")</f>
        <v/>
      </c>
      <c r="I488" s="85" t="str">
        <f>IF(COPY!M486&gt;0,COPY!M486,"")</f>
        <v/>
      </c>
      <c r="J488" s="85" t="str">
        <f>IF(COPY!N486&gt;0,COPY!N486,"")</f>
        <v/>
      </c>
      <c r="K488" s="86" t="str">
        <f>IF(N488=0,(IF(LEFT(Table13[[#This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Row],[URAIAN]],$U$194:$V$210,2,FALSE),""),""),0))))),N488)</f>
        <v/>
      </c>
      <c r="L488" s="85" t="str">
        <f>IF(Table13[[#This Row],[Column2]]="KWITANSI",COUNTIF($K$4:K488,"KWITANSI")," ")</f>
        <v xml:space="preserve"> </v>
      </c>
      <c r="M488" s="85" t="str">
        <f>IF(Table13[[#This Row],[Column3]]=" "," ",Table13[[#This Row],[CODE]])</f>
        <v xml:space="preserve"> </v>
      </c>
      <c r="N488" s="368"/>
      <c r="P488" s="81" t="str">
        <f t="shared" si="7"/>
        <v/>
      </c>
    </row>
    <row r="489" spans="1:16" hidden="1" x14ac:dyDescent="0.15">
      <c r="A489" s="81" t="str">
        <f>COPY!O487</f>
        <v/>
      </c>
      <c r="B489" s="81" t="str">
        <f>COPY!C487</f>
        <v/>
      </c>
      <c r="C489" s="82" t="str">
        <f>COPY!D487</f>
        <v/>
      </c>
      <c r="D489" s="81" t="str">
        <f>IF(Table13[[#This Row],[JUMLAH]]&gt;1,(IF(Table13[[#This Row],[CODE]]=" ",D488&amp;"a",IF(Table13[[#This Row],[CODE]]&gt;0,Table13[[#This Row],[CODE]],0))),"")</f>
        <v/>
      </c>
      <c r="E489" s="81" t="str">
        <f>IF(COPY!G487&gt;0,COPY!G487,"")</f>
        <v/>
      </c>
      <c r="F489" s="88" t="str">
        <f>IF(COPY!J487&gt;0,COPY!J487,"")</f>
        <v/>
      </c>
      <c r="G489" s="85" t="str">
        <f>IF(COPY!H487&gt;0,COPY!H487,"")</f>
        <v/>
      </c>
      <c r="H489" s="85" t="str">
        <f>IF(COPY!I487&gt;0,COPY!I487,"")</f>
        <v/>
      </c>
      <c r="I489" s="85" t="str">
        <f>IF(COPY!M487&gt;0,COPY!M487,"")</f>
        <v/>
      </c>
      <c r="J489" s="85" t="str">
        <f>IF(COPY!N487&gt;0,COPY!N487,"")</f>
        <v/>
      </c>
      <c r="K489" s="86" t="str">
        <f>IF(N489=0,(IF(LEFT(Table13[[#This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Row],[URAIAN]],$U$194:$V$210,2,FALSE),""),""),0))))),N489)</f>
        <v/>
      </c>
      <c r="L489" s="85" t="str">
        <f>IF(Table13[[#This Row],[Column2]]="KWITANSI",COUNTIF($K$4:K489,"KWITANSI")," ")</f>
        <v xml:space="preserve"> </v>
      </c>
      <c r="M489" s="85" t="str">
        <f>IF(Table13[[#This Row],[Column3]]=" "," ",Table13[[#This Row],[CODE]])</f>
        <v xml:space="preserve"> </v>
      </c>
      <c r="N489" s="368"/>
      <c r="P489" s="81" t="str">
        <f t="shared" si="7"/>
        <v/>
      </c>
    </row>
    <row r="490" spans="1:16" hidden="1" x14ac:dyDescent="0.15">
      <c r="A490" s="81" t="str">
        <f>COPY!O488</f>
        <v/>
      </c>
      <c r="B490" s="81" t="str">
        <f>COPY!C488</f>
        <v/>
      </c>
      <c r="C490" s="82" t="str">
        <f>COPY!D488</f>
        <v/>
      </c>
      <c r="D490" s="81" t="str">
        <f>IF(Table13[[#This Row],[JUMLAH]]&gt;1,(IF(Table13[[#This Row],[CODE]]=" ",D489&amp;"a",IF(Table13[[#This Row],[CODE]]&gt;0,Table13[[#This Row],[CODE]],0))),"")</f>
        <v/>
      </c>
      <c r="E490" s="81" t="str">
        <f>IF(COPY!G488&gt;0,COPY!G488,"")</f>
        <v/>
      </c>
      <c r="F490" s="88" t="str">
        <f>IF(COPY!J488&gt;0,COPY!J488,"")</f>
        <v/>
      </c>
      <c r="G490" s="85" t="str">
        <f>IF(COPY!H488&gt;0,COPY!H488,"")</f>
        <v/>
      </c>
      <c r="H490" s="85" t="str">
        <f>IF(COPY!I488&gt;0,COPY!I488,"")</f>
        <v/>
      </c>
      <c r="I490" s="85" t="str">
        <f>IF(COPY!M488&gt;0,COPY!M488,"")</f>
        <v/>
      </c>
      <c r="J490" s="85" t="str">
        <f>IF(COPY!N488&gt;0,COPY!N488,"")</f>
        <v/>
      </c>
      <c r="K490" s="86" t="str">
        <f>IF(N490=0,(IF(LEFT(Table13[[#This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Row],[URAIAN]],$U$194:$V$210,2,FALSE),""),""),0))))),N490)</f>
        <v/>
      </c>
      <c r="L490" s="85" t="str">
        <f>IF(Table13[[#This Row],[Column2]]="KWITANSI",COUNTIF($K$4:K490,"KWITANSI")," ")</f>
        <v xml:space="preserve"> </v>
      </c>
      <c r="M490" s="85" t="str">
        <f>IF(Table13[[#This Row],[Column3]]=" "," ",Table13[[#This Row],[CODE]])</f>
        <v xml:space="preserve"> </v>
      </c>
      <c r="N490" s="368"/>
      <c r="P490" s="81" t="str">
        <f t="shared" si="7"/>
        <v/>
      </c>
    </row>
    <row r="491" spans="1:16" hidden="1" x14ac:dyDescent="0.15">
      <c r="A491" s="81" t="str">
        <f>COPY!O489</f>
        <v/>
      </c>
      <c r="B491" s="81" t="str">
        <f>COPY!C489</f>
        <v/>
      </c>
      <c r="C491" s="82" t="str">
        <f>COPY!D489</f>
        <v/>
      </c>
      <c r="D491" s="81" t="str">
        <f>IF(Table13[[#This Row],[JUMLAH]]&gt;1,(IF(Table13[[#This Row],[CODE]]=" ",D490&amp;"a",IF(Table13[[#This Row],[CODE]]&gt;0,Table13[[#This Row],[CODE]],0))),"")</f>
        <v/>
      </c>
      <c r="E491" s="81" t="str">
        <f>IF(COPY!G489&gt;0,COPY!G489,"")</f>
        <v/>
      </c>
      <c r="F491" s="88" t="str">
        <f>IF(COPY!J489&gt;0,COPY!J489,"")</f>
        <v/>
      </c>
      <c r="G491" s="85" t="str">
        <f>IF(COPY!H489&gt;0,COPY!H489,"")</f>
        <v/>
      </c>
      <c r="H491" s="85" t="str">
        <f>IF(COPY!I489&gt;0,COPY!I489,"")</f>
        <v/>
      </c>
      <c r="I491" s="85" t="str">
        <f>IF(COPY!M489&gt;0,COPY!M489,"")</f>
        <v/>
      </c>
      <c r="J491" s="85" t="str">
        <f>IF(COPY!N489&gt;0,COPY!N489,"")</f>
        <v/>
      </c>
      <c r="K491" s="86" t="str">
        <f>IF(N491=0,(IF(LEFT(Table13[[#This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Row],[URAIAN]],$U$194:$V$210,2,FALSE),""),""),0))))),N491)</f>
        <v/>
      </c>
      <c r="L491" s="85" t="str">
        <f>IF(Table13[[#This Row],[Column2]]="KWITANSI",COUNTIF($K$4:K491,"KWITANSI")," ")</f>
        <v xml:space="preserve"> </v>
      </c>
      <c r="M491" s="85" t="str">
        <f>IF(Table13[[#This Row],[Column3]]=" "," ",Table13[[#This Row],[CODE]])</f>
        <v xml:space="preserve"> </v>
      </c>
      <c r="N491" s="368"/>
      <c r="P491" s="81" t="str">
        <f t="shared" si="7"/>
        <v/>
      </c>
    </row>
    <row r="492" spans="1:16" hidden="1" x14ac:dyDescent="0.15">
      <c r="A492" s="81" t="str">
        <f>COPY!O490</f>
        <v/>
      </c>
      <c r="B492" s="81" t="str">
        <f>COPY!C490</f>
        <v/>
      </c>
      <c r="C492" s="82" t="str">
        <f>COPY!D490</f>
        <v/>
      </c>
      <c r="D492" s="81" t="str">
        <f>IF(Table13[[#This Row],[JUMLAH]]&gt;1,(IF(Table13[[#This Row],[CODE]]=" ",D491&amp;"a",IF(Table13[[#This Row],[CODE]]&gt;0,Table13[[#This Row],[CODE]],0))),"")</f>
        <v/>
      </c>
      <c r="E492" s="81" t="str">
        <f>IF(COPY!G490&gt;0,COPY!G490,"")</f>
        <v/>
      </c>
      <c r="F492" s="88" t="str">
        <f>IF(COPY!J490&gt;0,COPY!J490,"")</f>
        <v/>
      </c>
      <c r="G492" s="85" t="str">
        <f>IF(COPY!H490&gt;0,COPY!H490,"")</f>
        <v/>
      </c>
      <c r="H492" s="85" t="str">
        <f>IF(COPY!I490&gt;0,COPY!I490,"")</f>
        <v/>
      </c>
      <c r="I492" s="85" t="str">
        <f>IF(COPY!M490&gt;0,COPY!M490,"")</f>
        <v/>
      </c>
      <c r="J492" s="85" t="str">
        <f>IF(COPY!N490&gt;0,COPY!N490,"")</f>
        <v/>
      </c>
      <c r="K492" s="86" t="str">
        <f>IF(N492=0,(IF(LEFT(Table13[[#This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Row],[URAIAN]],$U$194:$V$210,2,FALSE),""),""),0))))),N492)</f>
        <v/>
      </c>
      <c r="L492" s="85" t="str">
        <f>IF(Table13[[#This Row],[Column2]]="KWITANSI",COUNTIF($K$4:K492,"KWITANSI")," ")</f>
        <v xml:space="preserve"> </v>
      </c>
      <c r="M492" s="85" t="str">
        <f>IF(Table13[[#This Row],[Column3]]=" "," ",Table13[[#This Row],[CODE]])</f>
        <v xml:space="preserve"> </v>
      </c>
      <c r="N492" s="368"/>
      <c r="P492" s="81" t="str">
        <f t="shared" si="7"/>
        <v/>
      </c>
    </row>
    <row r="493" spans="1:16" hidden="1" x14ac:dyDescent="0.15">
      <c r="A493" s="81" t="str">
        <f>COPY!O491</f>
        <v/>
      </c>
      <c r="B493" s="81" t="str">
        <f>COPY!C491</f>
        <v/>
      </c>
      <c r="C493" s="82" t="str">
        <f>COPY!D491</f>
        <v/>
      </c>
      <c r="D493" s="81" t="str">
        <f>IF(Table13[[#This Row],[JUMLAH]]&gt;1,(IF(Table13[[#This Row],[CODE]]=" ",D492&amp;"a",IF(Table13[[#This Row],[CODE]]&gt;0,Table13[[#This Row],[CODE]],0))),"")</f>
        <v/>
      </c>
      <c r="E493" s="81" t="str">
        <f>IF(COPY!G491&gt;0,COPY!G491,"")</f>
        <v/>
      </c>
      <c r="F493" s="88" t="str">
        <f>IF(COPY!J491&gt;0,COPY!J491,"")</f>
        <v/>
      </c>
      <c r="G493" s="85" t="str">
        <f>IF(COPY!H491&gt;0,COPY!H491,"")</f>
        <v/>
      </c>
      <c r="H493" s="85" t="str">
        <f>IF(COPY!I491&gt;0,COPY!I491,"")</f>
        <v/>
      </c>
      <c r="I493" s="85" t="str">
        <f>IF(COPY!M491&gt;0,COPY!M491,"")</f>
        <v/>
      </c>
      <c r="J493" s="85" t="str">
        <f>IF(COPY!N491&gt;0,COPY!N491,"")</f>
        <v/>
      </c>
      <c r="K493" s="86" t="str">
        <f>IF(N493=0,(IF(LEFT(Table13[[#This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Row],[URAIAN]],$U$194:$V$210,2,FALSE),""),""),0))))),N493)</f>
        <v/>
      </c>
      <c r="L493" s="85" t="str">
        <f>IF(Table13[[#This Row],[Column2]]="KWITANSI",COUNTIF($K$4:K493,"KWITANSI")," ")</f>
        <v xml:space="preserve"> </v>
      </c>
      <c r="M493" s="85" t="str">
        <f>IF(Table13[[#This Row],[Column3]]=" "," ",Table13[[#This Row],[CODE]])</f>
        <v xml:space="preserve"> </v>
      </c>
      <c r="N493" s="368"/>
      <c r="P493" s="81" t="str">
        <f t="shared" si="7"/>
        <v/>
      </c>
    </row>
    <row r="494" spans="1:16" hidden="1" x14ac:dyDescent="0.15">
      <c r="A494" s="81" t="str">
        <f>COPY!O492</f>
        <v/>
      </c>
      <c r="B494" s="81" t="str">
        <f>COPY!C492</f>
        <v/>
      </c>
      <c r="C494" s="82" t="str">
        <f>COPY!D492</f>
        <v/>
      </c>
      <c r="D494" s="81" t="str">
        <f>IF(Table13[[#This Row],[JUMLAH]]&gt;1,(IF(Table13[[#This Row],[CODE]]=" ",D493&amp;"a",IF(Table13[[#This Row],[CODE]]&gt;0,Table13[[#This Row],[CODE]],0))),"")</f>
        <v/>
      </c>
      <c r="E494" s="81" t="str">
        <f>IF(COPY!G492&gt;0,COPY!G492,"")</f>
        <v/>
      </c>
      <c r="F494" s="88" t="str">
        <f>IF(COPY!J492&gt;0,COPY!J492,"")</f>
        <v/>
      </c>
      <c r="G494" s="85" t="str">
        <f>IF(COPY!H492&gt;0,COPY!H492,"")</f>
        <v/>
      </c>
      <c r="H494" s="85" t="str">
        <f>IF(COPY!I492&gt;0,COPY!I492,"")</f>
        <v/>
      </c>
      <c r="I494" s="85" t="str">
        <f>IF(COPY!M492&gt;0,COPY!M492,"")</f>
        <v/>
      </c>
      <c r="J494" s="85" t="str">
        <f>IF(COPY!N492&gt;0,COPY!N492,"")</f>
        <v/>
      </c>
      <c r="K494" s="86" t="str">
        <f>IF(N494=0,(IF(LEFT(Table13[[#This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Row],[URAIAN]],$U$194:$V$210,2,FALSE),""),""),0))))),N494)</f>
        <v/>
      </c>
      <c r="L494" s="85" t="str">
        <f>IF(Table13[[#This Row],[Column2]]="KWITANSI",COUNTIF($K$4:K494,"KWITANSI")," ")</f>
        <v xml:space="preserve"> </v>
      </c>
      <c r="M494" s="85" t="str">
        <f>IF(Table13[[#This Row],[Column3]]=" "," ",Table13[[#This Row],[CODE]])</f>
        <v xml:space="preserve"> </v>
      </c>
      <c r="N494" s="368"/>
      <c r="P494" s="81" t="str">
        <f t="shared" si="7"/>
        <v/>
      </c>
    </row>
    <row r="495" spans="1:16" hidden="1" x14ac:dyDescent="0.15">
      <c r="A495" s="81" t="str">
        <f>COPY!O493</f>
        <v/>
      </c>
      <c r="B495" s="81" t="str">
        <f>COPY!C493</f>
        <v/>
      </c>
      <c r="C495" s="82" t="str">
        <f>COPY!D493</f>
        <v/>
      </c>
      <c r="D495" s="81" t="str">
        <f>IF(Table13[[#This Row],[JUMLAH]]&gt;1,(IF(Table13[[#This Row],[CODE]]=" ",D494&amp;"a",IF(Table13[[#This Row],[CODE]]&gt;0,Table13[[#This Row],[CODE]],0))),"")</f>
        <v/>
      </c>
      <c r="E495" s="81" t="str">
        <f>IF(COPY!G493&gt;0,COPY!G493,"")</f>
        <v/>
      </c>
      <c r="F495" s="88" t="str">
        <f>IF(COPY!J493&gt;0,COPY!J493,"")</f>
        <v/>
      </c>
      <c r="G495" s="85" t="str">
        <f>IF(COPY!H493&gt;0,COPY!H493,"")</f>
        <v/>
      </c>
      <c r="H495" s="85" t="str">
        <f>IF(COPY!I493&gt;0,COPY!I493,"")</f>
        <v/>
      </c>
      <c r="I495" s="85" t="str">
        <f>IF(COPY!M493&gt;0,COPY!M493,"")</f>
        <v/>
      </c>
      <c r="J495" s="85" t="str">
        <f>IF(COPY!N493&gt;0,COPY!N493,"")</f>
        <v/>
      </c>
      <c r="K495" s="86" t="str">
        <f>IF(N495=0,(IF(LEFT(Table13[[#This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Row],[URAIAN]],$U$194:$V$210,2,FALSE),""),""),0))))),N495)</f>
        <v/>
      </c>
      <c r="L495" s="85" t="str">
        <f>IF(Table13[[#This Row],[Column2]]="KWITANSI",COUNTIF($K$4:K495,"KWITANSI")," ")</f>
        <v xml:space="preserve"> </v>
      </c>
      <c r="M495" s="85" t="str">
        <f>IF(Table13[[#This Row],[Column3]]=" "," ",Table13[[#This Row],[CODE]])</f>
        <v xml:space="preserve"> </v>
      </c>
      <c r="N495" s="368"/>
      <c r="P495" s="81" t="str">
        <f t="shared" si="7"/>
        <v/>
      </c>
    </row>
    <row r="496" spans="1:16" hidden="1" x14ac:dyDescent="0.15">
      <c r="A496" s="81" t="str">
        <f>COPY!O494</f>
        <v/>
      </c>
      <c r="B496" s="81" t="str">
        <f>COPY!C494</f>
        <v/>
      </c>
      <c r="C496" s="82" t="str">
        <f>COPY!D494</f>
        <v/>
      </c>
      <c r="D496" s="81" t="str">
        <f>IF(Table13[[#This Row],[JUMLAH]]&gt;1,(IF(Table13[[#This Row],[CODE]]=" ",D495&amp;"a",IF(Table13[[#This Row],[CODE]]&gt;0,Table13[[#This Row],[CODE]],0))),"")</f>
        <v/>
      </c>
      <c r="E496" s="81" t="str">
        <f>IF(COPY!G494&gt;0,COPY!G494,"")</f>
        <v/>
      </c>
      <c r="F496" s="88" t="str">
        <f>IF(COPY!J494&gt;0,COPY!J494,"")</f>
        <v/>
      </c>
      <c r="G496" s="85" t="str">
        <f>IF(COPY!H494&gt;0,COPY!H494,"")</f>
        <v/>
      </c>
      <c r="H496" s="85" t="str">
        <f>IF(COPY!I494&gt;0,COPY!I494,"")</f>
        <v/>
      </c>
      <c r="I496" s="85" t="str">
        <f>IF(COPY!M494&gt;0,COPY!M494,"")</f>
        <v/>
      </c>
      <c r="J496" s="85" t="str">
        <f>IF(COPY!N494&gt;0,COPY!N494,"")</f>
        <v/>
      </c>
      <c r="K496" s="86" t="str">
        <f>IF(N496=0,(IF(LEFT(Table13[[#This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Row],[URAIAN]],$U$194:$V$210,2,FALSE),""),""),0))))),N496)</f>
        <v/>
      </c>
      <c r="L496" s="85" t="str">
        <f>IF(Table13[[#This Row],[Column2]]="KWITANSI",COUNTIF($K$4:K496,"KWITANSI")," ")</f>
        <v xml:space="preserve"> </v>
      </c>
      <c r="M496" s="85" t="str">
        <f>IF(Table13[[#This Row],[Column3]]=" "," ",Table13[[#This Row],[CODE]])</f>
        <v xml:space="preserve"> </v>
      </c>
      <c r="N496" s="368"/>
      <c r="P496" s="81" t="str">
        <f t="shared" si="7"/>
        <v/>
      </c>
    </row>
    <row r="497" spans="1:16" hidden="1" x14ac:dyDescent="0.15">
      <c r="A497" s="81" t="str">
        <f>COPY!O495</f>
        <v/>
      </c>
      <c r="B497" s="81" t="str">
        <f>COPY!C495</f>
        <v/>
      </c>
      <c r="C497" s="82" t="str">
        <f>COPY!D495</f>
        <v/>
      </c>
      <c r="D497" s="81" t="str">
        <f>IF(Table13[[#This Row],[JUMLAH]]&gt;1,(IF(Table13[[#This Row],[CODE]]=" ",D496&amp;"a",IF(Table13[[#This Row],[CODE]]&gt;0,Table13[[#This Row],[CODE]],0))),"")</f>
        <v/>
      </c>
      <c r="E497" s="81" t="str">
        <f>IF(COPY!G495&gt;0,COPY!G495,"")</f>
        <v/>
      </c>
      <c r="F497" s="88" t="str">
        <f>IF(COPY!J495&gt;0,COPY!J495,"")</f>
        <v/>
      </c>
      <c r="G497" s="85" t="str">
        <f>IF(COPY!H495&gt;0,COPY!H495,"")</f>
        <v/>
      </c>
      <c r="H497" s="85" t="str">
        <f>IF(COPY!I495&gt;0,COPY!I495,"")</f>
        <v/>
      </c>
      <c r="I497" s="85" t="str">
        <f>IF(COPY!M495&gt;0,COPY!M495,"")</f>
        <v/>
      </c>
      <c r="J497" s="85" t="str">
        <f>IF(COPY!N495&gt;0,COPY!N495,"")</f>
        <v/>
      </c>
      <c r="K497" s="86" t="str">
        <f>IF(N497=0,(IF(LEFT(Table13[[#This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Row],[URAIAN]],$U$194:$V$210,2,FALSE),""),""),0))))),N497)</f>
        <v/>
      </c>
      <c r="L497" s="85" t="str">
        <f>IF(Table13[[#This Row],[Column2]]="KWITANSI",COUNTIF($K$4:K497,"KWITANSI")," ")</f>
        <v xml:space="preserve"> </v>
      </c>
      <c r="M497" s="85" t="str">
        <f>IF(Table13[[#This Row],[Column3]]=" "," ",Table13[[#This Row],[CODE]])</f>
        <v xml:space="preserve"> </v>
      </c>
      <c r="N497" s="368"/>
      <c r="P497" s="81" t="str">
        <f t="shared" si="7"/>
        <v/>
      </c>
    </row>
    <row r="498" spans="1:16" hidden="1" x14ac:dyDescent="0.15">
      <c r="A498" s="81" t="str">
        <f>COPY!O496</f>
        <v/>
      </c>
      <c r="B498" s="81" t="str">
        <f>COPY!C496</f>
        <v/>
      </c>
      <c r="C498" s="82" t="str">
        <f>COPY!D496</f>
        <v/>
      </c>
      <c r="D498" s="81" t="str">
        <f>IF(Table13[[#This Row],[JUMLAH]]&gt;1,(IF(Table13[[#This Row],[CODE]]=" ",D497&amp;"a",IF(Table13[[#This Row],[CODE]]&gt;0,Table13[[#This Row],[CODE]],0))),"")</f>
        <v/>
      </c>
      <c r="E498" s="81" t="str">
        <f>IF(COPY!G496&gt;0,COPY!G496,"")</f>
        <v/>
      </c>
      <c r="F498" s="88" t="str">
        <f>IF(COPY!J496&gt;0,COPY!J496,"")</f>
        <v/>
      </c>
      <c r="G498" s="85" t="str">
        <f>IF(COPY!H496&gt;0,COPY!H496,"")</f>
        <v/>
      </c>
      <c r="H498" s="85" t="str">
        <f>IF(COPY!I496&gt;0,COPY!I496,"")</f>
        <v/>
      </c>
      <c r="I498" s="85" t="str">
        <f>IF(COPY!M496&gt;0,COPY!M496,"")</f>
        <v/>
      </c>
      <c r="J498" s="85" t="str">
        <f>IF(COPY!N496&gt;0,COPY!N496,"")</f>
        <v/>
      </c>
      <c r="K498" s="86" t="str">
        <f>IF(N498=0,(IF(LEFT(Table13[[#This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Row],[URAIAN]],$U$194:$V$210,2,FALSE),""),""),0))))),N498)</f>
        <v/>
      </c>
      <c r="L498" s="85" t="str">
        <f>IF(Table13[[#This Row],[Column2]]="KWITANSI",COUNTIF($K$4:K498,"KWITANSI")," ")</f>
        <v xml:space="preserve"> </v>
      </c>
      <c r="M498" s="85" t="str">
        <f>IF(Table13[[#This Row],[Column3]]=" "," ",Table13[[#This Row],[CODE]])</f>
        <v xml:space="preserve"> </v>
      </c>
      <c r="N498" s="368"/>
      <c r="P498" s="81" t="str">
        <f t="shared" si="7"/>
        <v/>
      </c>
    </row>
    <row r="499" spans="1:16" hidden="1" x14ac:dyDescent="0.15">
      <c r="A499" s="81" t="str">
        <f>COPY!O497</f>
        <v/>
      </c>
      <c r="B499" s="81" t="str">
        <f>COPY!C497</f>
        <v/>
      </c>
      <c r="C499" s="82" t="str">
        <f>COPY!D497</f>
        <v/>
      </c>
      <c r="D499" s="81" t="str">
        <f>IF(Table13[[#This Row],[JUMLAH]]&gt;1,(IF(Table13[[#This Row],[CODE]]=" ",D498&amp;"a",IF(Table13[[#This Row],[CODE]]&gt;0,Table13[[#This Row],[CODE]],0))),"")</f>
        <v/>
      </c>
      <c r="E499" s="81" t="str">
        <f>IF(COPY!G497&gt;0,COPY!G497,"")</f>
        <v/>
      </c>
      <c r="F499" s="88" t="str">
        <f>IF(COPY!J497&gt;0,COPY!J497,"")</f>
        <v/>
      </c>
      <c r="G499" s="85" t="str">
        <f>IF(COPY!H497&gt;0,COPY!H497,"")</f>
        <v/>
      </c>
      <c r="H499" s="85" t="str">
        <f>IF(COPY!I497&gt;0,COPY!I497,"")</f>
        <v/>
      </c>
      <c r="I499" s="85" t="str">
        <f>IF(COPY!M497&gt;0,COPY!M497,"")</f>
        <v/>
      </c>
      <c r="J499" s="85" t="str">
        <f>IF(COPY!N497&gt;0,COPY!N497,"")</f>
        <v/>
      </c>
      <c r="K499" s="86" t="str">
        <f>IF(N499=0,(IF(LEFT(Table13[[#This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Row],[URAIAN]],$U$194:$V$210,2,FALSE),""),""),0))))),N499)</f>
        <v/>
      </c>
      <c r="L499" s="85" t="str">
        <f>IF(Table13[[#This Row],[Column2]]="KWITANSI",COUNTIF($K$4:K499,"KWITANSI")," ")</f>
        <v xml:space="preserve"> </v>
      </c>
      <c r="M499" s="85" t="str">
        <f>IF(Table13[[#This Row],[Column3]]=" "," ",Table13[[#This Row],[CODE]])</f>
        <v xml:space="preserve"> </v>
      </c>
      <c r="N499" s="368"/>
      <c r="P499" s="81" t="str">
        <f t="shared" si="7"/>
        <v/>
      </c>
    </row>
    <row r="500" spans="1:16" hidden="1" x14ac:dyDescent="0.15">
      <c r="A500" s="81" t="str">
        <f>COPY!O498</f>
        <v/>
      </c>
      <c r="B500" s="81" t="str">
        <f>COPY!C498</f>
        <v/>
      </c>
      <c r="C500" s="82" t="str">
        <f>COPY!D498</f>
        <v/>
      </c>
      <c r="D500" s="81" t="str">
        <f>IF(Table13[[#This Row],[JUMLAH]]&gt;1,(IF(Table13[[#This Row],[CODE]]=" ",D499&amp;"a",IF(Table13[[#This Row],[CODE]]&gt;0,Table13[[#This Row],[CODE]],0))),"")</f>
        <v/>
      </c>
      <c r="E500" s="81" t="str">
        <f>IF(COPY!G498&gt;0,COPY!G498,"")</f>
        <v/>
      </c>
      <c r="F500" s="88" t="str">
        <f>IF(COPY!J498&gt;0,COPY!J498,"")</f>
        <v/>
      </c>
      <c r="G500" s="85" t="str">
        <f>IF(COPY!H498&gt;0,COPY!H498,"")</f>
        <v/>
      </c>
      <c r="H500" s="85" t="str">
        <f>IF(COPY!I498&gt;0,COPY!I498,"")</f>
        <v/>
      </c>
      <c r="I500" s="85" t="str">
        <f>IF(COPY!M498&gt;0,COPY!M498,"")</f>
        <v/>
      </c>
      <c r="J500" s="85" t="str">
        <f>IF(COPY!N498&gt;0,COPY!N498,"")</f>
        <v/>
      </c>
      <c r="K500" s="86" t="str">
        <f>IF(N500=0,(IF(LEFT(Table13[[#This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Row],[URAIAN]],$U$194:$V$210,2,FALSE),""),""),0))))),N500)</f>
        <v/>
      </c>
      <c r="L500" s="85" t="str">
        <f>IF(Table13[[#This Row],[Column2]]="KWITANSI",COUNTIF($K$4:K500,"KWITANSI")," ")</f>
        <v xml:space="preserve"> </v>
      </c>
      <c r="M500" s="85" t="str">
        <f>IF(Table13[[#This Row],[Column3]]=" "," ",Table13[[#This Row],[CODE]])</f>
        <v xml:space="preserve"> </v>
      </c>
      <c r="N500" s="368"/>
      <c r="P500" s="81" t="str">
        <f t="shared" si="7"/>
        <v/>
      </c>
    </row>
    <row r="501" spans="1:16" hidden="1" x14ac:dyDescent="0.15">
      <c r="A501" s="81" t="str">
        <f>COPY!O499</f>
        <v/>
      </c>
      <c r="B501" s="81" t="str">
        <f>COPY!C499</f>
        <v/>
      </c>
      <c r="C501" s="82" t="str">
        <f>COPY!D499</f>
        <v/>
      </c>
      <c r="D501" s="81" t="str">
        <f>IF(Table13[[#This Row],[JUMLAH]]&gt;1,(IF(Table13[[#This Row],[CODE]]=" ",D500&amp;"a",IF(Table13[[#This Row],[CODE]]&gt;0,Table13[[#This Row],[CODE]],0))),"")</f>
        <v/>
      </c>
      <c r="E501" s="81" t="str">
        <f>IF(COPY!G499&gt;0,COPY!G499,"")</f>
        <v/>
      </c>
      <c r="F501" s="88" t="str">
        <f>IF(COPY!J499&gt;0,COPY!J499,"")</f>
        <v/>
      </c>
      <c r="G501" s="85" t="str">
        <f>IF(COPY!H499&gt;0,COPY!H499,"")</f>
        <v/>
      </c>
      <c r="H501" s="85" t="str">
        <f>IF(COPY!I499&gt;0,COPY!I499,"")</f>
        <v/>
      </c>
      <c r="I501" s="85" t="str">
        <f>IF(COPY!M499&gt;0,COPY!M499,"")</f>
        <v/>
      </c>
      <c r="J501" s="85" t="str">
        <f>IF(COPY!N499&gt;0,COPY!N499,"")</f>
        <v/>
      </c>
      <c r="K501" s="86" t="str">
        <f>IF(N501=0,(IF(LEFT(Table13[[#This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Row],[URAIAN]],$U$194:$V$210,2,FALSE),""),""),0))))),N501)</f>
        <v/>
      </c>
      <c r="L501" s="85" t="str">
        <f>IF(Table13[[#This Row],[Column2]]="KWITANSI",COUNTIF($K$4:K501,"KWITANSI")," ")</f>
        <v xml:space="preserve"> </v>
      </c>
      <c r="M501" s="85" t="str">
        <f>IF(Table13[[#This Row],[Column3]]=" "," ",Table13[[#This Row],[CODE]])</f>
        <v xml:space="preserve"> </v>
      </c>
      <c r="N501" s="368"/>
      <c r="P501" s="81" t="str">
        <f t="shared" si="7"/>
        <v/>
      </c>
    </row>
    <row r="502" spans="1:16" hidden="1" x14ac:dyDescent="0.15">
      <c r="A502" s="81" t="str">
        <f>COPY!O500</f>
        <v/>
      </c>
      <c r="B502" s="81" t="str">
        <f>COPY!C500</f>
        <v/>
      </c>
      <c r="C502" s="82" t="str">
        <f>COPY!D500</f>
        <v/>
      </c>
      <c r="D502" s="81" t="str">
        <f>IF(Table13[[#This Row],[JUMLAH]]&gt;1,(IF(Table13[[#This Row],[CODE]]=" ",D501&amp;"a",IF(Table13[[#This Row],[CODE]]&gt;0,Table13[[#This Row],[CODE]],0))),"")</f>
        <v/>
      </c>
      <c r="E502" s="81" t="str">
        <f>IF(COPY!G500&gt;0,COPY!G500,"")</f>
        <v/>
      </c>
      <c r="F502" s="88" t="str">
        <f>IF(COPY!J500&gt;0,COPY!J500,"")</f>
        <v/>
      </c>
      <c r="G502" s="85" t="str">
        <f>IF(COPY!H500&gt;0,COPY!H500,"")</f>
        <v/>
      </c>
      <c r="H502" s="85" t="str">
        <f>IF(COPY!I500&gt;0,COPY!I500,"")</f>
        <v/>
      </c>
      <c r="I502" s="85" t="str">
        <f>IF(COPY!M500&gt;0,COPY!M500,"")</f>
        <v/>
      </c>
      <c r="J502" s="85" t="str">
        <f>IF(COPY!N500&gt;0,COPY!N500,"")</f>
        <v/>
      </c>
      <c r="K502" s="86" t="str">
        <f>IF(N502=0,(IF(LEFT(Table13[[#This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Row],[URAIAN]],$U$194:$V$210,2,FALSE),""),""),0))))),N502)</f>
        <v/>
      </c>
      <c r="L502" s="85" t="str">
        <f>IF(Table13[[#This Row],[Column2]]="KWITANSI",COUNTIF($K$4:K502,"KWITANSI")," ")</f>
        <v xml:space="preserve"> </v>
      </c>
      <c r="M502" s="85" t="str">
        <f>IF(Table13[[#This Row],[Column3]]=" "," ",Table13[[#This Row],[CODE]])</f>
        <v xml:space="preserve"> </v>
      </c>
      <c r="N502" s="368"/>
      <c r="P502" s="81" t="str">
        <f t="shared" si="7"/>
        <v/>
      </c>
    </row>
    <row r="503" spans="1:16" hidden="1" x14ac:dyDescent="0.15">
      <c r="A503" s="81" t="str">
        <f>COPY!O501</f>
        <v/>
      </c>
      <c r="B503" s="81" t="str">
        <f>COPY!C501</f>
        <v/>
      </c>
      <c r="C503" s="82" t="str">
        <f>COPY!D501</f>
        <v/>
      </c>
      <c r="D503" s="81" t="str">
        <f>IF(Table13[[#This Row],[JUMLAH]]&gt;1,(IF(Table13[[#This Row],[CODE]]=" ",D502&amp;"a",IF(Table13[[#This Row],[CODE]]&gt;0,Table13[[#This Row],[CODE]],0))),"")</f>
        <v/>
      </c>
      <c r="E503" s="81" t="str">
        <f>IF(COPY!G501&gt;0,COPY!G501,"")</f>
        <v/>
      </c>
      <c r="F503" s="88" t="str">
        <f>IF(COPY!J501&gt;0,COPY!J501,"")</f>
        <v/>
      </c>
      <c r="G503" s="85" t="str">
        <f>IF(COPY!H501&gt;0,COPY!H501,"")</f>
        <v/>
      </c>
      <c r="H503" s="85" t="str">
        <f>IF(COPY!I501&gt;0,COPY!I501,"")</f>
        <v/>
      </c>
      <c r="I503" s="85" t="str">
        <f>IF(COPY!M501&gt;0,COPY!M501,"")</f>
        <v/>
      </c>
      <c r="J503" s="85" t="str">
        <f>IF(COPY!N501&gt;0,COPY!N501,"")</f>
        <v/>
      </c>
      <c r="K503" s="86" t="str">
        <f>IF(N503=0,(IF(LEFT(Table13[[#This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Row],[URAIAN]],$U$194:$V$210,2,FALSE),""),""),0))))),N503)</f>
        <v/>
      </c>
      <c r="L503" s="85" t="str">
        <f>IF(Table13[[#This Row],[Column2]]="KWITANSI",COUNTIF($K$4:K503,"KWITANSI")," ")</f>
        <v xml:space="preserve"> </v>
      </c>
      <c r="M503" s="85" t="str">
        <f>IF(Table13[[#This Row],[Column3]]=" "," ",Table13[[#This Row],[CODE]])</f>
        <v xml:space="preserve"> </v>
      </c>
      <c r="N503" s="368"/>
      <c r="P503" s="81" t="str">
        <f t="shared" si="7"/>
        <v/>
      </c>
    </row>
    <row r="504" spans="1:16" hidden="1" x14ac:dyDescent="0.15">
      <c r="A504" s="81" t="str">
        <f>COPY!O502</f>
        <v/>
      </c>
      <c r="B504" s="81" t="str">
        <f>COPY!C502</f>
        <v/>
      </c>
      <c r="C504" s="82" t="str">
        <f>COPY!D502</f>
        <v/>
      </c>
      <c r="D504" s="81" t="str">
        <f>IF(Table13[[#This Row],[JUMLAH]]&gt;1,(IF(Table13[[#This Row],[CODE]]=" ",D503&amp;"a",IF(Table13[[#This Row],[CODE]]&gt;0,Table13[[#This Row],[CODE]],0))),"")</f>
        <v/>
      </c>
      <c r="E504" s="81" t="str">
        <f>IF(COPY!G502&gt;0,COPY!G502,"")</f>
        <v/>
      </c>
      <c r="F504" s="88" t="str">
        <f>IF(COPY!J502&gt;0,COPY!J502,"")</f>
        <v/>
      </c>
      <c r="G504" s="85" t="str">
        <f>IF(COPY!H502&gt;0,COPY!H502,"")</f>
        <v/>
      </c>
      <c r="H504" s="85" t="str">
        <f>IF(COPY!I502&gt;0,COPY!I502,"")</f>
        <v/>
      </c>
      <c r="I504" s="85" t="str">
        <f>IF(COPY!M502&gt;0,COPY!M502,"")</f>
        <v/>
      </c>
      <c r="J504" s="85" t="str">
        <f>IF(COPY!N502&gt;0,COPY!N502,"")</f>
        <v/>
      </c>
      <c r="K504" s="86" t="str">
        <f>IF(N504=0,(IF(LEFT(Table13[[#This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Row],[URAIAN]],$U$194:$V$210,2,FALSE),""),""),0))))),N504)</f>
        <v/>
      </c>
      <c r="L504" s="85" t="str">
        <f>IF(Table13[[#This Row],[Column2]]="KWITANSI",COUNTIF($K$4:K504,"KWITANSI")," ")</f>
        <v xml:space="preserve"> </v>
      </c>
      <c r="M504" s="85" t="str">
        <f>IF(Table13[[#This Row],[Column3]]=" "," ",Table13[[#This Row],[CODE]])</f>
        <v xml:space="preserve"> </v>
      </c>
      <c r="N504" s="368"/>
      <c r="P504" s="81" t="str">
        <f t="shared" si="7"/>
        <v/>
      </c>
    </row>
    <row r="505" spans="1:16" hidden="1" x14ac:dyDescent="0.15">
      <c r="A505" s="81" t="str">
        <f>COPY!O503</f>
        <v/>
      </c>
      <c r="B505" s="81" t="str">
        <f>COPY!C503</f>
        <v/>
      </c>
      <c r="C505" s="82" t="str">
        <f>COPY!D503</f>
        <v/>
      </c>
      <c r="D505" s="81" t="str">
        <f>IF(Table13[[#This Row],[JUMLAH]]&gt;1,(IF(Table13[[#This Row],[CODE]]=" ",D504&amp;"a",IF(Table13[[#This Row],[CODE]]&gt;0,Table13[[#This Row],[CODE]],0))),"")</f>
        <v/>
      </c>
      <c r="E505" s="81" t="str">
        <f>IF(COPY!G503&gt;0,COPY!G503,"")</f>
        <v/>
      </c>
      <c r="F505" s="88" t="str">
        <f>IF(COPY!J503&gt;0,COPY!J503,"")</f>
        <v/>
      </c>
      <c r="G505" s="85" t="str">
        <f>IF(COPY!H503&gt;0,COPY!H503,"")</f>
        <v/>
      </c>
      <c r="H505" s="85" t="str">
        <f>IF(COPY!I503&gt;0,COPY!I503,"")</f>
        <v/>
      </c>
      <c r="I505" s="85" t="str">
        <f>IF(COPY!M503&gt;0,COPY!M503,"")</f>
        <v/>
      </c>
      <c r="J505" s="85" t="str">
        <f>IF(COPY!N503&gt;0,COPY!N503,"")</f>
        <v/>
      </c>
      <c r="K505" s="86" t="str">
        <f>IF(N505=0,(IF(LEFT(Table13[[#This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Row],[URAIAN]],$U$194:$V$210,2,FALSE),""),""),0))))),N505)</f>
        <v/>
      </c>
      <c r="L505" s="85" t="str">
        <f>IF(Table13[[#This Row],[Column2]]="KWITANSI",COUNTIF($K$4:K505,"KWITANSI")," ")</f>
        <v xml:space="preserve"> </v>
      </c>
      <c r="M505" s="85" t="str">
        <f>IF(Table13[[#This Row],[Column3]]=" "," ",Table13[[#This Row],[CODE]])</f>
        <v xml:space="preserve"> </v>
      </c>
      <c r="N505" s="368"/>
      <c r="P505" s="81" t="str">
        <f t="shared" si="7"/>
        <v/>
      </c>
    </row>
    <row r="506" spans="1:16" hidden="1" x14ac:dyDescent="0.15">
      <c r="A506" s="81" t="str">
        <f>COPY!O504</f>
        <v/>
      </c>
      <c r="B506" s="81" t="str">
        <f>COPY!C504</f>
        <v/>
      </c>
      <c r="C506" s="82" t="str">
        <f>COPY!D504</f>
        <v/>
      </c>
      <c r="D506" s="81" t="str">
        <f>IF(Table13[[#This Row],[JUMLAH]]&gt;1,(IF(Table13[[#This Row],[CODE]]=" ",D505&amp;"a",IF(Table13[[#This Row],[CODE]]&gt;0,Table13[[#This Row],[CODE]],0))),"")</f>
        <v/>
      </c>
      <c r="E506" s="81" t="str">
        <f>IF(COPY!G504&gt;0,COPY!G504,"")</f>
        <v/>
      </c>
      <c r="F506" s="88" t="str">
        <f>IF(COPY!J504&gt;0,COPY!J504,"")</f>
        <v/>
      </c>
      <c r="G506" s="85" t="str">
        <f>IF(COPY!H504&gt;0,COPY!H504,"")</f>
        <v/>
      </c>
      <c r="H506" s="85" t="str">
        <f>IF(COPY!I504&gt;0,COPY!I504,"")</f>
        <v/>
      </c>
      <c r="I506" s="85" t="str">
        <f>IF(COPY!M504&gt;0,COPY!M504,"")</f>
        <v/>
      </c>
      <c r="J506" s="85" t="str">
        <f>IF(COPY!N504&gt;0,COPY!N504,"")</f>
        <v/>
      </c>
      <c r="K506" s="86" t="str">
        <f>IF(N506=0,(IF(LEFT(Table13[[#This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Row],[URAIAN]],$U$194:$V$210,2,FALSE),""),""),0))))),N506)</f>
        <v/>
      </c>
      <c r="L506" s="85" t="str">
        <f>IF(Table13[[#This Row],[Column2]]="KWITANSI",COUNTIF($K$4:K506,"KWITANSI")," ")</f>
        <v xml:space="preserve"> </v>
      </c>
      <c r="M506" s="85" t="str">
        <f>IF(Table13[[#This Row],[Column3]]=" "," ",Table13[[#This Row],[CODE]])</f>
        <v xml:space="preserve"> </v>
      </c>
      <c r="N506" s="368"/>
      <c r="P506" s="81" t="str">
        <f t="shared" si="7"/>
        <v/>
      </c>
    </row>
    <row r="507" spans="1:16" hidden="1" x14ac:dyDescent="0.15">
      <c r="A507" s="81" t="str">
        <f>COPY!O505</f>
        <v/>
      </c>
      <c r="B507" s="81" t="str">
        <f>COPY!C505</f>
        <v/>
      </c>
      <c r="C507" s="82" t="str">
        <f>COPY!D505</f>
        <v/>
      </c>
      <c r="D507" s="81" t="str">
        <f>IF(Table13[[#This Row],[JUMLAH]]&gt;1,(IF(Table13[[#This Row],[CODE]]=" ",D506&amp;"a",IF(Table13[[#This Row],[CODE]]&gt;0,Table13[[#This Row],[CODE]],0))),"")</f>
        <v/>
      </c>
      <c r="E507" s="81" t="str">
        <f>IF(COPY!G505&gt;0,COPY!G505,"")</f>
        <v/>
      </c>
      <c r="F507" s="88" t="str">
        <f>IF(COPY!J505&gt;0,COPY!J505,"")</f>
        <v/>
      </c>
      <c r="G507" s="85" t="str">
        <f>IF(COPY!H505&gt;0,COPY!H505,"")</f>
        <v/>
      </c>
      <c r="H507" s="85" t="str">
        <f>IF(COPY!I505&gt;0,COPY!I505,"")</f>
        <v/>
      </c>
      <c r="I507" s="85" t="str">
        <f>IF(COPY!M505&gt;0,COPY!M505,"")</f>
        <v/>
      </c>
      <c r="J507" s="85" t="str">
        <f>IF(COPY!N505&gt;0,COPY!N505,"")</f>
        <v/>
      </c>
      <c r="K507" s="86" t="str">
        <f>IF(N507=0,(IF(LEFT(Table13[[#This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Row],[URAIAN]],$U$194:$V$210,2,FALSE),""),""),0))))),N507)</f>
        <v/>
      </c>
      <c r="L507" s="85" t="str">
        <f>IF(Table13[[#This Row],[Column2]]="KWITANSI",COUNTIF($K$4:K507,"KWITANSI")," ")</f>
        <v xml:space="preserve"> </v>
      </c>
      <c r="M507" s="85" t="str">
        <f>IF(Table13[[#This Row],[Column3]]=" "," ",Table13[[#This Row],[CODE]])</f>
        <v xml:space="preserve"> </v>
      </c>
      <c r="N507" s="368"/>
      <c r="P507" s="81" t="str">
        <f t="shared" si="7"/>
        <v/>
      </c>
    </row>
    <row r="508" spans="1:16" hidden="1" x14ac:dyDescent="0.15">
      <c r="A508" s="81" t="str">
        <f>COPY!O506</f>
        <v/>
      </c>
      <c r="B508" s="81" t="str">
        <f>COPY!C506</f>
        <v/>
      </c>
      <c r="C508" s="82" t="str">
        <f>COPY!D506</f>
        <v/>
      </c>
      <c r="D508" s="81" t="str">
        <f>IF(Table13[[#This Row],[JUMLAH]]&gt;1,(IF(Table13[[#This Row],[CODE]]=" ",D507&amp;"a",IF(Table13[[#This Row],[CODE]]&gt;0,Table13[[#This Row],[CODE]],0))),"")</f>
        <v/>
      </c>
      <c r="E508" s="81" t="str">
        <f>IF(COPY!G506&gt;0,COPY!G506,"")</f>
        <v/>
      </c>
      <c r="F508" s="88" t="str">
        <f>IF(COPY!J506&gt;0,COPY!J506,"")</f>
        <v/>
      </c>
      <c r="G508" s="85" t="str">
        <f>IF(COPY!H506&gt;0,COPY!H506,"")</f>
        <v/>
      </c>
      <c r="H508" s="85" t="str">
        <f>IF(COPY!I506&gt;0,COPY!I506,"")</f>
        <v/>
      </c>
      <c r="I508" s="85" t="str">
        <f>IF(COPY!M506&gt;0,COPY!M506,"")</f>
        <v/>
      </c>
      <c r="J508" s="85" t="str">
        <f>IF(COPY!N506&gt;0,COPY!N506,"")</f>
        <v/>
      </c>
      <c r="K508" s="86" t="str">
        <f>IF(N508=0,(IF(LEFT(Table13[[#This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Row],[URAIAN]],$U$194:$V$210,2,FALSE),""),""),0))))),N508)</f>
        <v/>
      </c>
      <c r="L508" s="85" t="str">
        <f>IF(Table13[[#This Row],[Column2]]="KWITANSI",COUNTIF($K$4:K508,"KWITANSI")," ")</f>
        <v xml:space="preserve"> </v>
      </c>
      <c r="M508" s="85" t="str">
        <f>IF(Table13[[#This Row],[Column3]]=" "," ",Table13[[#This Row],[CODE]])</f>
        <v xml:space="preserve"> </v>
      </c>
      <c r="N508" s="368"/>
      <c r="P508" s="81" t="str">
        <f t="shared" si="7"/>
        <v/>
      </c>
    </row>
    <row r="509" spans="1:16" hidden="1" x14ac:dyDescent="0.15">
      <c r="A509" s="81" t="str">
        <f>COPY!O507</f>
        <v/>
      </c>
      <c r="B509" s="81" t="str">
        <f>COPY!C507</f>
        <v/>
      </c>
      <c r="C509" s="82" t="str">
        <f>COPY!D507</f>
        <v/>
      </c>
      <c r="D509" s="81" t="str">
        <f>IF(Table13[[#This Row],[JUMLAH]]&gt;1,(IF(Table13[[#This Row],[CODE]]=" ",D508&amp;"a",IF(Table13[[#This Row],[CODE]]&gt;0,Table13[[#This Row],[CODE]],0))),"")</f>
        <v/>
      </c>
      <c r="E509" s="81" t="str">
        <f>IF(COPY!G507&gt;0,COPY!G507,"")</f>
        <v/>
      </c>
      <c r="F509" s="88" t="str">
        <f>IF(COPY!J507&gt;0,COPY!J507,"")</f>
        <v/>
      </c>
      <c r="G509" s="85" t="str">
        <f>IF(COPY!H507&gt;0,COPY!H507,"")</f>
        <v/>
      </c>
      <c r="H509" s="85" t="str">
        <f>IF(COPY!I507&gt;0,COPY!I507,"")</f>
        <v/>
      </c>
      <c r="I509" s="85" t="str">
        <f>IF(COPY!M507&gt;0,COPY!M507,"")</f>
        <v/>
      </c>
      <c r="J509" s="85" t="str">
        <f>IF(COPY!N507&gt;0,COPY!N507,"")</f>
        <v/>
      </c>
      <c r="K509" s="86" t="str">
        <f>IF(N509=0,(IF(LEFT(Table13[[#This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Row],[URAIAN]],$U$194:$V$210,2,FALSE),""),""),0))))),N509)</f>
        <v/>
      </c>
      <c r="L509" s="85" t="str">
        <f>IF(Table13[[#This Row],[Column2]]="KWITANSI",COUNTIF($K$4:K509,"KWITANSI")," ")</f>
        <v xml:space="preserve"> </v>
      </c>
      <c r="M509" s="85" t="str">
        <f>IF(Table13[[#This Row],[Column3]]=" "," ",Table13[[#This Row],[CODE]])</f>
        <v xml:space="preserve"> </v>
      </c>
      <c r="N509" s="368"/>
      <c r="P509" s="81" t="str">
        <f t="shared" si="7"/>
        <v/>
      </c>
    </row>
    <row r="510" spans="1:16" hidden="1" x14ac:dyDescent="0.15">
      <c r="A510" s="81" t="str">
        <f>COPY!O508</f>
        <v/>
      </c>
      <c r="B510" s="81" t="str">
        <f>COPY!C508</f>
        <v/>
      </c>
      <c r="C510" s="82" t="str">
        <f>COPY!D508</f>
        <v/>
      </c>
      <c r="D510" s="81" t="str">
        <f>IF(Table13[[#This Row],[JUMLAH]]&gt;1,(IF(Table13[[#This Row],[CODE]]=" ",D509&amp;"a",IF(Table13[[#This Row],[CODE]]&gt;0,Table13[[#This Row],[CODE]],0))),"")</f>
        <v/>
      </c>
      <c r="E510" s="81" t="str">
        <f>IF(COPY!G508&gt;0,COPY!G508,"")</f>
        <v/>
      </c>
      <c r="F510" s="88" t="str">
        <f>IF(COPY!J508&gt;0,COPY!J508,"")</f>
        <v/>
      </c>
      <c r="G510" s="85" t="str">
        <f>IF(COPY!H508&gt;0,COPY!H508,"")</f>
        <v/>
      </c>
      <c r="H510" s="85" t="str">
        <f>IF(COPY!I508&gt;0,COPY!I508,"")</f>
        <v/>
      </c>
      <c r="I510" s="85" t="str">
        <f>IF(COPY!M508&gt;0,COPY!M508,"")</f>
        <v/>
      </c>
      <c r="J510" s="85" t="str">
        <f>IF(COPY!N508&gt;0,COPY!N508,"")</f>
        <v/>
      </c>
      <c r="K510" s="86" t="str">
        <f>IF(N510=0,(IF(LEFT(Table13[[#This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Row],[URAIAN]],$U$194:$V$210,2,FALSE),""),""),0))))),N510)</f>
        <v/>
      </c>
      <c r="L510" s="85" t="str">
        <f>IF(Table13[[#This Row],[Column2]]="KWITANSI",COUNTIF($K$4:K510,"KWITANSI")," ")</f>
        <v xml:space="preserve"> </v>
      </c>
      <c r="M510" s="85" t="str">
        <f>IF(Table13[[#This Row],[Column3]]=" "," ",Table13[[#This Row],[CODE]])</f>
        <v xml:space="preserve"> </v>
      </c>
      <c r="N510" s="368"/>
      <c r="P510" s="81" t="str">
        <f t="shared" si="7"/>
        <v/>
      </c>
    </row>
    <row r="511" spans="1:16" hidden="1" x14ac:dyDescent="0.15">
      <c r="A511" s="81" t="str">
        <f>COPY!O509</f>
        <v/>
      </c>
      <c r="B511" s="81" t="str">
        <f>COPY!C509</f>
        <v/>
      </c>
      <c r="C511" s="82" t="str">
        <f>COPY!D509</f>
        <v/>
      </c>
      <c r="D511" s="81" t="str">
        <f>IF(Table13[[#This Row],[JUMLAH]]&gt;1,(IF(Table13[[#This Row],[CODE]]=" ",D510&amp;"a",IF(Table13[[#This Row],[CODE]]&gt;0,Table13[[#This Row],[CODE]],0))),"")</f>
        <v/>
      </c>
      <c r="E511" s="81" t="str">
        <f>IF(COPY!G509&gt;0,COPY!G509,"")</f>
        <v/>
      </c>
      <c r="F511" s="88" t="str">
        <f>IF(COPY!J509&gt;0,COPY!J509,"")</f>
        <v/>
      </c>
      <c r="G511" s="85" t="str">
        <f>IF(COPY!H509&gt;0,COPY!H509,"")</f>
        <v/>
      </c>
      <c r="H511" s="85" t="str">
        <f>IF(COPY!I509&gt;0,COPY!I509,"")</f>
        <v/>
      </c>
      <c r="I511" s="85" t="str">
        <f>IF(COPY!M509&gt;0,COPY!M509,"")</f>
        <v/>
      </c>
      <c r="J511" s="85" t="str">
        <f>IF(COPY!N509&gt;0,COPY!N509,"")</f>
        <v/>
      </c>
      <c r="K511" s="86" t="str">
        <f>IF(N511=0,(IF(LEFT(Table13[[#This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Row],[URAIAN]],$U$194:$V$210,2,FALSE),""),""),0))))),N511)</f>
        <v/>
      </c>
      <c r="L511" s="85" t="str">
        <f>IF(Table13[[#This Row],[Column2]]="KWITANSI",COUNTIF($K$4:K511,"KWITANSI")," ")</f>
        <v xml:space="preserve"> </v>
      </c>
      <c r="M511" s="85" t="str">
        <f>IF(Table13[[#This Row],[Column3]]=" "," ",Table13[[#This Row],[CODE]])</f>
        <v xml:space="preserve"> </v>
      </c>
      <c r="N511" s="368"/>
      <c r="P511" s="81" t="str">
        <f t="shared" si="7"/>
        <v/>
      </c>
    </row>
    <row r="512" spans="1:16" hidden="1" x14ac:dyDescent="0.15">
      <c r="A512" s="81" t="str">
        <f>COPY!O510</f>
        <v/>
      </c>
      <c r="B512" s="81" t="str">
        <f>COPY!C510</f>
        <v/>
      </c>
      <c r="C512" s="82" t="str">
        <f>COPY!D510</f>
        <v/>
      </c>
      <c r="D512" s="81" t="str">
        <f>IF(Table13[[#This Row],[JUMLAH]]&gt;1,(IF(Table13[[#This Row],[CODE]]=" ",D511&amp;"a",IF(Table13[[#This Row],[CODE]]&gt;0,Table13[[#This Row],[CODE]],0))),"")</f>
        <v/>
      </c>
      <c r="E512" s="81" t="str">
        <f>IF(COPY!G510&gt;0,COPY!G510,"")</f>
        <v/>
      </c>
      <c r="F512" s="88" t="str">
        <f>IF(COPY!J510&gt;0,COPY!J510,"")</f>
        <v/>
      </c>
      <c r="G512" s="85" t="str">
        <f>IF(COPY!H510&gt;0,COPY!H510,"")</f>
        <v/>
      </c>
      <c r="H512" s="85" t="str">
        <f>IF(COPY!I510&gt;0,COPY!I510,"")</f>
        <v/>
      </c>
      <c r="I512" s="85" t="str">
        <f>IF(COPY!M510&gt;0,COPY!M510,"")</f>
        <v/>
      </c>
      <c r="J512" s="85" t="str">
        <f>IF(COPY!N510&gt;0,COPY!N510,"")</f>
        <v/>
      </c>
      <c r="K512" s="86" t="str">
        <f>IF(N512=0,(IF(LEFT(Table13[[#This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Row],[URAIAN]],$U$194:$V$210,2,FALSE),""),""),0))))),N512)</f>
        <v/>
      </c>
      <c r="L512" s="85" t="str">
        <f>IF(Table13[[#This Row],[Column2]]="KWITANSI",COUNTIF($K$4:K512,"KWITANSI")," ")</f>
        <v xml:space="preserve"> </v>
      </c>
      <c r="M512" s="85" t="str">
        <f>IF(Table13[[#This Row],[Column3]]=" "," ",Table13[[#This Row],[CODE]])</f>
        <v xml:space="preserve"> </v>
      </c>
      <c r="N512" s="368"/>
      <c r="P512" s="81" t="str">
        <f t="shared" si="7"/>
        <v/>
      </c>
    </row>
    <row r="513" spans="1:16" hidden="1" x14ac:dyDescent="0.15">
      <c r="A513" s="81" t="str">
        <f>COPY!O511</f>
        <v/>
      </c>
      <c r="B513" s="81" t="str">
        <f>COPY!C511</f>
        <v/>
      </c>
      <c r="C513" s="82" t="str">
        <f>COPY!D511</f>
        <v/>
      </c>
      <c r="D513" s="81" t="str">
        <f>IF(Table13[[#This Row],[JUMLAH]]&gt;1,(IF(Table13[[#This Row],[CODE]]=" ",D512&amp;"a",IF(Table13[[#This Row],[CODE]]&gt;0,Table13[[#This Row],[CODE]],0))),"")</f>
        <v/>
      </c>
      <c r="E513" s="81" t="str">
        <f>IF(COPY!G511&gt;0,COPY!G511,"")</f>
        <v/>
      </c>
      <c r="F513" s="88" t="str">
        <f>IF(COPY!J511&gt;0,COPY!J511,"")</f>
        <v/>
      </c>
      <c r="G513" s="85" t="str">
        <f>IF(COPY!H511&gt;0,COPY!H511,"")</f>
        <v/>
      </c>
      <c r="H513" s="85" t="str">
        <f>IF(COPY!I511&gt;0,COPY!I511,"")</f>
        <v/>
      </c>
      <c r="I513" s="85" t="str">
        <f>IF(COPY!M511&gt;0,COPY!M511,"")</f>
        <v/>
      </c>
      <c r="J513" s="85" t="str">
        <f>IF(COPY!N511&gt;0,COPY!N511,"")</f>
        <v/>
      </c>
      <c r="K513" s="86" t="str">
        <f>IF(N513=0,(IF(LEFT(Table13[[#This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Row],[URAIAN]],$U$194:$V$210,2,FALSE),""),""),0))))),N513)</f>
        <v/>
      </c>
      <c r="L513" s="85" t="str">
        <f>IF(Table13[[#This Row],[Column2]]="KWITANSI",COUNTIF($K$4:K513,"KWITANSI")," ")</f>
        <v xml:space="preserve"> </v>
      </c>
      <c r="M513" s="85" t="str">
        <f>IF(Table13[[#This Row],[Column3]]=" "," ",Table13[[#This Row],[CODE]])</f>
        <v xml:space="preserve"> </v>
      </c>
      <c r="N513" s="368"/>
      <c r="P513" s="81" t="str">
        <f t="shared" si="7"/>
        <v/>
      </c>
    </row>
    <row r="514" spans="1:16" hidden="1" x14ac:dyDescent="0.15">
      <c r="A514" s="81" t="str">
        <f>COPY!O512</f>
        <v/>
      </c>
      <c r="B514" s="81" t="str">
        <f>COPY!C512</f>
        <v/>
      </c>
      <c r="C514" s="82" t="str">
        <f>COPY!D512</f>
        <v/>
      </c>
      <c r="D514" s="81" t="str">
        <f>IF(Table13[[#This Row],[JUMLAH]]&gt;1,(IF(Table13[[#This Row],[CODE]]=" ",D513&amp;"a",IF(Table13[[#This Row],[CODE]]&gt;0,Table13[[#This Row],[CODE]],0))),"")</f>
        <v/>
      </c>
      <c r="E514" s="81" t="str">
        <f>IF(COPY!G512&gt;0,COPY!G512,"")</f>
        <v/>
      </c>
      <c r="F514" s="88" t="str">
        <f>IF(COPY!J512&gt;0,COPY!J512,"")</f>
        <v/>
      </c>
      <c r="G514" s="85" t="str">
        <f>IF(COPY!H512&gt;0,COPY!H512,"")</f>
        <v/>
      </c>
      <c r="H514" s="85" t="str">
        <f>IF(COPY!I512&gt;0,COPY!I512,"")</f>
        <v/>
      </c>
      <c r="I514" s="85" t="str">
        <f>IF(COPY!M512&gt;0,COPY!M512,"")</f>
        <v/>
      </c>
      <c r="J514" s="85" t="str">
        <f>IF(COPY!N512&gt;0,COPY!N512,"")</f>
        <v/>
      </c>
      <c r="K514" s="86" t="str">
        <f>IF(N514=0,(IF(LEFT(Table13[[#This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Row],[URAIAN]],$U$194:$V$210,2,FALSE),""),""),0))))),N514)</f>
        <v/>
      </c>
      <c r="L514" s="85" t="str">
        <f>IF(Table13[[#This Row],[Column2]]="KWITANSI",COUNTIF($K$4:K514,"KWITANSI")," ")</f>
        <v xml:space="preserve"> </v>
      </c>
      <c r="M514" s="85" t="str">
        <f>IF(Table13[[#This Row],[Column3]]=" "," ",Table13[[#This Row],[CODE]])</f>
        <v xml:space="preserve"> </v>
      </c>
      <c r="N514" s="368"/>
      <c r="P514" s="81" t="str">
        <f t="shared" ref="P514:P577" si="8">IF(-$O$4+($O$4+ROW())&lt;=$O$4,-$O$4+($O$4+ROW()),"")</f>
        <v/>
      </c>
    </row>
    <row r="515" spans="1:16" hidden="1" x14ac:dyDescent="0.15">
      <c r="A515" s="81" t="str">
        <f>COPY!O513</f>
        <v/>
      </c>
      <c r="B515" s="81" t="str">
        <f>COPY!C513</f>
        <v/>
      </c>
      <c r="C515" s="82" t="str">
        <f>COPY!D513</f>
        <v/>
      </c>
      <c r="D515" s="81" t="str">
        <f>IF(Table13[[#This Row],[JUMLAH]]&gt;1,(IF(Table13[[#This Row],[CODE]]=" ",D514&amp;"a",IF(Table13[[#This Row],[CODE]]&gt;0,Table13[[#This Row],[CODE]],0))),"")</f>
        <v/>
      </c>
      <c r="E515" s="81" t="str">
        <f>IF(COPY!G513&gt;0,COPY!G513,"")</f>
        <v/>
      </c>
      <c r="F515" s="88" t="str">
        <f>IF(COPY!J513&gt;0,COPY!J513,"")</f>
        <v/>
      </c>
      <c r="G515" s="85" t="str">
        <f>IF(COPY!H513&gt;0,COPY!H513,"")</f>
        <v/>
      </c>
      <c r="H515" s="85" t="str">
        <f>IF(COPY!I513&gt;0,COPY!I513,"")</f>
        <v/>
      </c>
      <c r="I515" s="85" t="str">
        <f>IF(COPY!M513&gt;0,COPY!M513,"")</f>
        <v/>
      </c>
      <c r="J515" s="85" t="str">
        <f>IF(COPY!N513&gt;0,COPY!N513,"")</f>
        <v/>
      </c>
      <c r="K515" s="86" t="str">
        <f>IF(N515=0,(IF(LEFT(Table13[[#This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Row],[URAIAN]],$U$194:$V$210,2,FALSE),""),""),0))))),N515)</f>
        <v/>
      </c>
      <c r="L515" s="85" t="str">
        <f>IF(Table13[[#This Row],[Column2]]="KWITANSI",COUNTIF($K$4:K515,"KWITANSI")," ")</f>
        <v xml:space="preserve"> </v>
      </c>
      <c r="M515" s="85" t="str">
        <f>IF(Table13[[#This Row],[Column3]]=" "," ",Table13[[#This Row],[CODE]])</f>
        <v xml:space="preserve"> </v>
      </c>
      <c r="N515" s="368"/>
      <c r="P515" s="81" t="str">
        <f t="shared" si="8"/>
        <v/>
      </c>
    </row>
    <row r="516" spans="1:16" hidden="1" x14ac:dyDescent="0.15">
      <c r="A516" s="81" t="str">
        <f>COPY!O514</f>
        <v/>
      </c>
      <c r="B516" s="81" t="str">
        <f>COPY!C514</f>
        <v/>
      </c>
      <c r="C516" s="82" t="str">
        <f>COPY!D514</f>
        <v/>
      </c>
      <c r="D516" s="81" t="str">
        <f>IF(Table13[[#This Row],[JUMLAH]]&gt;1,(IF(Table13[[#This Row],[CODE]]=" ",D515&amp;"a",IF(Table13[[#This Row],[CODE]]&gt;0,Table13[[#This Row],[CODE]],0))),"")</f>
        <v/>
      </c>
      <c r="E516" s="81" t="str">
        <f>IF(COPY!G514&gt;0,COPY!G514,"")</f>
        <v/>
      </c>
      <c r="F516" s="88" t="str">
        <f>IF(COPY!J514&gt;0,COPY!J514,"")</f>
        <v/>
      </c>
      <c r="G516" s="85" t="str">
        <f>IF(COPY!H514&gt;0,COPY!H514,"")</f>
        <v/>
      </c>
      <c r="H516" s="85" t="str">
        <f>IF(COPY!I514&gt;0,COPY!I514,"")</f>
        <v/>
      </c>
      <c r="I516" s="85" t="str">
        <f>IF(COPY!M514&gt;0,COPY!M514,"")</f>
        <v/>
      </c>
      <c r="J516" s="85" t="str">
        <f>IF(COPY!N514&gt;0,COPY!N514,"")</f>
        <v/>
      </c>
      <c r="K516" s="86" t="str">
        <f>IF(N516=0,(IF(LEFT(Table13[[#This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Row],[URAIAN]],$U$194:$V$210,2,FALSE),""),""),0))))),N516)</f>
        <v/>
      </c>
      <c r="L516" s="85" t="str">
        <f>IF(Table13[[#This Row],[Column2]]="KWITANSI",COUNTIF($K$4:K516,"KWITANSI")," ")</f>
        <v xml:space="preserve"> </v>
      </c>
      <c r="M516" s="85" t="str">
        <f>IF(Table13[[#This Row],[Column3]]=" "," ",Table13[[#This Row],[CODE]])</f>
        <v xml:space="preserve"> </v>
      </c>
      <c r="N516" s="368"/>
      <c r="P516" s="81" t="str">
        <f t="shared" si="8"/>
        <v/>
      </c>
    </row>
    <row r="517" spans="1:16" hidden="1" x14ac:dyDescent="0.15">
      <c r="A517" s="81" t="str">
        <f>COPY!O515</f>
        <v/>
      </c>
      <c r="B517" s="81" t="str">
        <f>COPY!C515</f>
        <v/>
      </c>
      <c r="C517" s="82" t="str">
        <f>COPY!D515</f>
        <v/>
      </c>
      <c r="D517" s="81" t="str">
        <f>IF(Table13[[#This Row],[JUMLAH]]&gt;1,(IF(Table13[[#This Row],[CODE]]=" ",D516&amp;"a",IF(Table13[[#This Row],[CODE]]&gt;0,Table13[[#This Row],[CODE]],0))),"")</f>
        <v/>
      </c>
      <c r="E517" s="81" t="str">
        <f>IF(COPY!G515&gt;0,COPY!G515,"")</f>
        <v/>
      </c>
      <c r="F517" s="88" t="str">
        <f>IF(COPY!J515&gt;0,COPY!J515,"")</f>
        <v/>
      </c>
      <c r="G517" s="85" t="str">
        <f>IF(COPY!H515&gt;0,COPY!H515,"")</f>
        <v/>
      </c>
      <c r="H517" s="85" t="str">
        <f>IF(COPY!I515&gt;0,COPY!I515,"")</f>
        <v/>
      </c>
      <c r="I517" s="85" t="str">
        <f>IF(COPY!M515&gt;0,COPY!M515,"")</f>
        <v/>
      </c>
      <c r="J517" s="85" t="str">
        <f>IF(COPY!N515&gt;0,COPY!N515,"")</f>
        <v/>
      </c>
      <c r="K517" s="86" t="str">
        <f>IF(N517=0,(IF(LEFT(Table13[[#This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Row],[URAIAN]],$U$194:$V$210,2,FALSE),""),""),0))))),N517)</f>
        <v/>
      </c>
      <c r="L517" s="85" t="str">
        <f>IF(Table13[[#This Row],[Column2]]="KWITANSI",COUNTIF($K$4:K517,"KWITANSI")," ")</f>
        <v xml:space="preserve"> </v>
      </c>
      <c r="M517" s="85" t="str">
        <f>IF(Table13[[#This Row],[Column3]]=" "," ",Table13[[#This Row],[CODE]])</f>
        <v xml:space="preserve"> </v>
      </c>
      <c r="N517" s="368"/>
      <c r="P517" s="81" t="str">
        <f t="shared" si="8"/>
        <v/>
      </c>
    </row>
    <row r="518" spans="1:16" hidden="1" x14ac:dyDescent="0.15">
      <c r="A518" s="81" t="str">
        <f>COPY!O516</f>
        <v/>
      </c>
      <c r="B518" s="81" t="str">
        <f>COPY!C516</f>
        <v/>
      </c>
      <c r="C518" s="82" t="str">
        <f>COPY!D516</f>
        <v/>
      </c>
      <c r="D518" s="81" t="str">
        <f>IF(Table13[[#This Row],[JUMLAH]]&gt;1,(IF(Table13[[#This Row],[CODE]]=" ",D517&amp;"a",IF(Table13[[#This Row],[CODE]]&gt;0,Table13[[#This Row],[CODE]],0))),"")</f>
        <v/>
      </c>
      <c r="E518" s="81" t="str">
        <f>IF(COPY!G516&gt;0,COPY!G516,"")</f>
        <v/>
      </c>
      <c r="F518" s="88" t="str">
        <f>IF(COPY!J516&gt;0,COPY!J516,"")</f>
        <v/>
      </c>
      <c r="G518" s="85" t="str">
        <f>IF(COPY!H516&gt;0,COPY!H516,"")</f>
        <v/>
      </c>
      <c r="H518" s="85" t="str">
        <f>IF(COPY!I516&gt;0,COPY!I516,"")</f>
        <v/>
      </c>
      <c r="I518" s="85" t="str">
        <f>IF(COPY!M516&gt;0,COPY!M516,"")</f>
        <v/>
      </c>
      <c r="J518" s="85" t="str">
        <f>IF(COPY!N516&gt;0,COPY!N516,"")</f>
        <v/>
      </c>
      <c r="K518" s="86" t="str">
        <f>IF(N518=0,(IF(LEFT(Table13[[#This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Row],[URAIAN]],$U$194:$V$210,2,FALSE),""),""),0))))),N518)</f>
        <v/>
      </c>
      <c r="L518" s="85" t="str">
        <f>IF(Table13[[#This Row],[Column2]]="KWITANSI",COUNTIF($K$4:K518,"KWITANSI")," ")</f>
        <v xml:space="preserve"> </v>
      </c>
      <c r="M518" s="85" t="str">
        <f>IF(Table13[[#This Row],[Column3]]=" "," ",Table13[[#This Row],[CODE]])</f>
        <v xml:space="preserve"> </v>
      </c>
      <c r="N518" s="368"/>
      <c r="P518" s="81" t="str">
        <f t="shared" si="8"/>
        <v/>
      </c>
    </row>
    <row r="519" spans="1:16" hidden="1" x14ac:dyDescent="0.15">
      <c r="A519" s="81" t="str">
        <f>COPY!O517</f>
        <v/>
      </c>
      <c r="B519" s="81" t="str">
        <f>COPY!C517</f>
        <v/>
      </c>
      <c r="C519" s="82" t="str">
        <f>COPY!D517</f>
        <v/>
      </c>
      <c r="D519" s="81" t="str">
        <f>IF(Table13[[#This Row],[JUMLAH]]&gt;1,(IF(Table13[[#This Row],[CODE]]=" ",D518&amp;"a",IF(Table13[[#This Row],[CODE]]&gt;0,Table13[[#This Row],[CODE]],0))),"")</f>
        <v/>
      </c>
      <c r="E519" s="81" t="str">
        <f>IF(COPY!G517&gt;0,COPY!G517,"")</f>
        <v/>
      </c>
      <c r="F519" s="88" t="str">
        <f>IF(COPY!J517&gt;0,COPY!J517,"")</f>
        <v/>
      </c>
      <c r="G519" s="85" t="str">
        <f>IF(COPY!H517&gt;0,COPY!H517,"")</f>
        <v/>
      </c>
      <c r="H519" s="85" t="str">
        <f>IF(COPY!I517&gt;0,COPY!I517,"")</f>
        <v/>
      </c>
      <c r="I519" s="85" t="str">
        <f>IF(COPY!M517&gt;0,COPY!M517,"")</f>
        <v/>
      </c>
      <c r="J519" s="85" t="str">
        <f>IF(COPY!N517&gt;0,COPY!N517,"")</f>
        <v/>
      </c>
      <c r="K519" s="86" t="str">
        <f>IF(N519=0,(IF(LEFT(Table13[[#This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Row],[URAIAN]],$U$194:$V$210,2,FALSE),""),""),0))))),N519)</f>
        <v/>
      </c>
      <c r="L519" s="85" t="str">
        <f>IF(Table13[[#This Row],[Column2]]="KWITANSI",COUNTIF($K$4:K519,"KWITANSI")," ")</f>
        <v xml:space="preserve"> </v>
      </c>
      <c r="M519" s="85" t="str">
        <f>IF(Table13[[#This Row],[Column3]]=" "," ",Table13[[#This Row],[CODE]])</f>
        <v xml:space="preserve"> </v>
      </c>
      <c r="N519" s="368"/>
      <c r="P519" s="81" t="str">
        <f t="shared" si="8"/>
        <v/>
      </c>
    </row>
    <row r="520" spans="1:16" hidden="1" x14ac:dyDescent="0.15">
      <c r="A520" s="81" t="str">
        <f>COPY!O518</f>
        <v/>
      </c>
      <c r="B520" s="81" t="str">
        <f>COPY!C518</f>
        <v/>
      </c>
      <c r="C520" s="82" t="str">
        <f>COPY!D518</f>
        <v/>
      </c>
      <c r="D520" s="81" t="str">
        <f>IF(Table13[[#This Row],[JUMLAH]]&gt;1,(IF(Table13[[#This Row],[CODE]]=" ",D519&amp;"a",IF(Table13[[#This Row],[CODE]]&gt;0,Table13[[#This Row],[CODE]],0))),"")</f>
        <v/>
      </c>
      <c r="E520" s="81" t="str">
        <f>IF(COPY!G518&gt;0,COPY!G518,"")</f>
        <v/>
      </c>
      <c r="F520" s="88" t="str">
        <f>IF(COPY!J518&gt;0,COPY!J518,"")</f>
        <v/>
      </c>
      <c r="G520" s="85" t="str">
        <f>IF(COPY!H518&gt;0,COPY!H518,"")</f>
        <v/>
      </c>
      <c r="H520" s="85" t="str">
        <f>IF(COPY!I518&gt;0,COPY!I518,"")</f>
        <v/>
      </c>
      <c r="I520" s="85" t="str">
        <f>IF(COPY!M518&gt;0,COPY!M518,"")</f>
        <v/>
      </c>
      <c r="J520" s="85" t="str">
        <f>IF(COPY!N518&gt;0,COPY!N518,"")</f>
        <v/>
      </c>
      <c r="K520" s="86" t="str">
        <f>IF(N520=0,(IF(LEFT(Table13[[#This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Row],[URAIAN]],$U$194:$V$210,2,FALSE),""),""),0))))),N520)</f>
        <v/>
      </c>
      <c r="L520" s="85" t="str">
        <f>IF(Table13[[#This Row],[Column2]]="KWITANSI",COUNTIF($K$4:K520,"KWITANSI")," ")</f>
        <v xml:space="preserve"> </v>
      </c>
      <c r="M520" s="85" t="str">
        <f>IF(Table13[[#This Row],[Column3]]=" "," ",Table13[[#This Row],[CODE]])</f>
        <v xml:space="preserve"> </v>
      </c>
      <c r="N520" s="368"/>
      <c r="P520" s="81" t="str">
        <f t="shared" si="8"/>
        <v/>
      </c>
    </row>
    <row r="521" spans="1:16" hidden="1" x14ac:dyDescent="0.15">
      <c r="A521" s="81" t="str">
        <f>COPY!O519</f>
        <v/>
      </c>
      <c r="B521" s="81" t="str">
        <f>COPY!C519</f>
        <v/>
      </c>
      <c r="C521" s="82" t="str">
        <f>COPY!D519</f>
        <v/>
      </c>
      <c r="D521" s="81" t="str">
        <f>IF(Table13[[#This Row],[JUMLAH]]&gt;1,(IF(Table13[[#This Row],[CODE]]=" ",D520&amp;"a",IF(Table13[[#This Row],[CODE]]&gt;0,Table13[[#This Row],[CODE]],0))),"")</f>
        <v/>
      </c>
      <c r="E521" s="81" t="str">
        <f>IF(COPY!G519&gt;0,COPY!G519,"")</f>
        <v/>
      </c>
      <c r="F521" s="88" t="str">
        <f>IF(COPY!J519&gt;0,COPY!J519,"")</f>
        <v/>
      </c>
      <c r="G521" s="85" t="str">
        <f>IF(COPY!H519&gt;0,COPY!H519,"")</f>
        <v/>
      </c>
      <c r="H521" s="85" t="str">
        <f>IF(COPY!I519&gt;0,COPY!I519,"")</f>
        <v/>
      </c>
      <c r="I521" s="85" t="str">
        <f>IF(COPY!M519&gt;0,COPY!M519,"")</f>
        <v/>
      </c>
      <c r="J521" s="85" t="str">
        <f>IF(COPY!N519&gt;0,COPY!N519,"")</f>
        <v/>
      </c>
      <c r="K521" s="86" t="str">
        <f>IF(N521=0,(IF(LEFT(Table13[[#This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Row],[URAIAN]],$U$194:$V$210,2,FALSE),""),""),0))))),N521)</f>
        <v/>
      </c>
      <c r="L521" s="85" t="str">
        <f>IF(Table13[[#This Row],[Column2]]="KWITANSI",COUNTIF($K$4:K521,"KWITANSI")," ")</f>
        <v xml:space="preserve"> </v>
      </c>
      <c r="M521" s="85" t="str">
        <f>IF(Table13[[#This Row],[Column3]]=" "," ",Table13[[#This Row],[CODE]])</f>
        <v xml:space="preserve"> </v>
      </c>
      <c r="N521" s="368"/>
      <c r="P521" s="81" t="str">
        <f t="shared" si="8"/>
        <v/>
      </c>
    </row>
    <row r="522" spans="1:16" hidden="1" x14ac:dyDescent="0.15">
      <c r="A522" s="81" t="str">
        <f>COPY!O520</f>
        <v/>
      </c>
      <c r="B522" s="81" t="str">
        <f>COPY!C520</f>
        <v/>
      </c>
      <c r="C522" s="82" t="str">
        <f>COPY!D520</f>
        <v/>
      </c>
      <c r="D522" s="81" t="str">
        <f>IF(Table13[[#This Row],[JUMLAH]]&gt;1,(IF(Table13[[#This Row],[CODE]]=" ",D521&amp;"a",IF(Table13[[#This Row],[CODE]]&gt;0,Table13[[#This Row],[CODE]],0))),"")</f>
        <v/>
      </c>
      <c r="E522" s="81" t="str">
        <f>IF(COPY!G520&gt;0,COPY!G520,"")</f>
        <v/>
      </c>
      <c r="F522" s="88" t="str">
        <f>IF(COPY!J520&gt;0,COPY!J520,"")</f>
        <v/>
      </c>
      <c r="G522" s="85" t="str">
        <f>IF(COPY!H520&gt;0,COPY!H520,"")</f>
        <v/>
      </c>
      <c r="H522" s="85" t="str">
        <f>IF(COPY!I520&gt;0,COPY!I520,"")</f>
        <v/>
      </c>
      <c r="I522" s="85" t="str">
        <f>IF(COPY!M520&gt;0,COPY!M520,"")</f>
        <v/>
      </c>
      <c r="J522" s="85" t="str">
        <f>IF(COPY!N520&gt;0,COPY!N520,"")</f>
        <v/>
      </c>
      <c r="K522" s="86" t="str">
        <f>IF(N522=0,(IF(LEFT(Table13[[#This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Row],[URAIAN]],$U$194:$V$210,2,FALSE),""),""),0))))),N522)</f>
        <v/>
      </c>
      <c r="L522" s="85" t="str">
        <f>IF(Table13[[#This Row],[Column2]]="KWITANSI",COUNTIF($K$4:K522,"KWITANSI")," ")</f>
        <v xml:space="preserve"> </v>
      </c>
      <c r="M522" s="85" t="str">
        <f>IF(Table13[[#This Row],[Column3]]=" "," ",Table13[[#This Row],[CODE]])</f>
        <v xml:space="preserve"> </v>
      </c>
      <c r="N522" s="368"/>
      <c r="P522" s="81" t="str">
        <f t="shared" si="8"/>
        <v/>
      </c>
    </row>
    <row r="523" spans="1:16" hidden="1" x14ac:dyDescent="0.15">
      <c r="A523" s="81" t="str">
        <f>COPY!O521</f>
        <v/>
      </c>
      <c r="B523" s="81" t="str">
        <f>COPY!C521</f>
        <v/>
      </c>
      <c r="C523" s="82" t="str">
        <f>COPY!D521</f>
        <v/>
      </c>
      <c r="D523" s="81" t="str">
        <f>IF(Table13[[#This Row],[JUMLAH]]&gt;1,(IF(Table13[[#This Row],[CODE]]=" ",D522&amp;"a",IF(Table13[[#This Row],[CODE]]&gt;0,Table13[[#This Row],[CODE]],0))),"")</f>
        <v/>
      </c>
      <c r="E523" s="81" t="str">
        <f>IF(COPY!G521&gt;0,COPY!G521,"")</f>
        <v/>
      </c>
      <c r="F523" s="88" t="str">
        <f>IF(COPY!J521&gt;0,COPY!J521,"")</f>
        <v/>
      </c>
      <c r="G523" s="85" t="str">
        <f>IF(COPY!H521&gt;0,COPY!H521,"")</f>
        <v/>
      </c>
      <c r="H523" s="85" t="str">
        <f>IF(COPY!I521&gt;0,COPY!I521,"")</f>
        <v/>
      </c>
      <c r="I523" s="85" t="str">
        <f>IF(COPY!M521&gt;0,COPY!M521,"")</f>
        <v/>
      </c>
      <c r="J523" s="85" t="str">
        <f>IF(COPY!N521&gt;0,COPY!N521,"")</f>
        <v/>
      </c>
      <c r="K523" s="86" t="str">
        <f>IF(N523=0,(IF(LEFT(Table13[[#This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Row],[URAIAN]],$U$194:$V$210,2,FALSE),""),""),0))))),N523)</f>
        <v/>
      </c>
      <c r="L523" s="85" t="str">
        <f>IF(Table13[[#This Row],[Column2]]="KWITANSI",COUNTIF($K$4:K523,"KWITANSI")," ")</f>
        <v xml:space="preserve"> </v>
      </c>
      <c r="M523" s="85" t="str">
        <f>IF(Table13[[#This Row],[Column3]]=" "," ",Table13[[#This Row],[CODE]])</f>
        <v xml:space="preserve"> </v>
      </c>
      <c r="N523" s="368"/>
      <c r="P523" s="81" t="str">
        <f t="shared" si="8"/>
        <v/>
      </c>
    </row>
    <row r="524" spans="1:16" hidden="1" x14ac:dyDescent="0.15">
      <c r="A524" s="81" t="str">
        <f>COPY!O522</f>
        <v/>
      </c>
      <c r="B524" s="81" t="str">
        <f>COPY!C522</f>
        <v/>
      </c>
      <c r="C524" s="82" t="str">
        <f>COPY!D522</f>
        <v/>
      </c>
      <c r="D524" s="81" t="str">
        <f>IF(Table13[[#This Row],[JUMLAH]]&gt;1,(IF(Table13[[#This Row],[CODE]]=" ",D523&amp;"a",IF(Table13[[#This Row],[CODE]]&gt;0,Table13[[#This Row],[CODE]],0))),"")</f>
        <v/>
      </c>
      <c r="E524" s="81" t="str">
        <f>IF(COPY!G522&gt;0,COPY!G522,"")</f>
        <v/>
      </c>
      <c r="F524" s="88" t="str">
        <f>IF(COPY!J522&gt;0,COPY!J522,"")</f>
        <v/>
      </c>
      <c r="G524" s="85" t="str">
        <f>IF(COPY!H522&gt;0,COPY!H522,"")</f>
        <v/>
      </c>
      <c r="H524" s="85" t="str">
        <f>IF(COPY!I522&gt;0,COPY!I522,"")</f>
        <v/>
      </c>
      <c r="I524" s="85" t="str">
        <f>IF(COPY!M522&gt;0,COPY!M522,"")</f>
        <v/>
      </c>
      <c r="J524" s="85" t="str">
        <f>IF(COPY!N522&gt;0,COPY!N522,"")</f>
        <v/>
      </c>
      <c r="K524" s="86" t="str">
        <f>IF(N524=0,(IF(LEFT(Table13[[#This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Row],[URAIAN]],$U$194:$V$210,2,FALSE),""),""),0))))),N524)</f>
        <v/>
      </c>
      <c r="L524" s="85" t="str">
        <f>IF(Table13[[#This Row],[Column2]]="KWITANSI",COUNTIF($K$4:K524,"KWITANSI")," ")</f>
        <v xml:space="preserve"> </v>
      </c>
      <c r="M524" s="85" t="str">
        <f>IF(Table13[[#This Row],[Column3]]=" "," ",Table13[[#This Row],[CODE]])</f>
        <v xml:space="preserve"> </v>
      </c>
      <c r="N524" s="368"/>
      <c r="P524" s="81" t="str">
        <f t="shared" si="8"/>
        <v/>
      </c>
    </row>
    <row r="525" spans="1:16" hidden="1" x14ac:dyDescent="0.15">
      <c r="A525" s="81" t="str">
        <f>COPY!O523</f>
        <v/>
      </c>
      <c r="B525" s="81" t="str">
        <f>COPY!C523</f>
        <v/>
      </c>
      <c r="C525" s="82" t="str">
        <f>COPY!D523</f>
        <v/>
      </c>
      <c r="D525" s="81" t="str">
        <f>IF(Table13[[#This Row],[JUMLAH]]&gt;1,(IF(Table13[[#This Row],[CODE]]=" ",D524&amp;"a",IF(Table13[[#This Row],[CODE]]&gt;0,Table13[[#This Row],[CODE]],0))),"")</f>
        <v/>
      </c>
      <c r="E525" s="81" t="str">
        <f>IF(COPY!G523&gt;0,COPY!G523,"")</f>
        <v/>
      </c>
      <c r="F525" s="88" t="str">
        <f>IF(COPY!J523&gt;0,COPY!J523,"")</f>
        <v/>
      </c>
      <c r="G525" s="85" t="str">
        <f>IF(COPY!H523&gt;0,COPY!H523,"")</f>
        <v/>
      </c>
      <c r="H525" s="85" t="str">
        <f>IF(COPY!I523&gt;0,COPY!I523,"")</f>
        <v/>
      </c>
      <c r="I525" s="85" t="str">
        <f>IF(COPY!M523&gt;0,COPY!M523,"")</f>
        <v/>
      </c>
      <c r="J525" s="85" t="str">
        <f>IF(COPY!N523&gt;0,COPY!N523,"")</f>
        <v/>
      </c>
      <c r="K525" s="86" t="str">
        <f>IF(N525=0,(IF(LEFT(Table13[[#This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Row],[URAIAN]],$U$194:$V$210,2,FALSE),""),""),0))))),N525)</f>
        <v/>
      </c>
      <c r="L525" s="85" t="str">
        <f>IF(Table13[[#This Row],[Column2]]="KWITANSI",COUNTIF($K$4:K525,"KWITANSI")," ")</f>
        <v xml:space="preserve"> </v>
      </c>
      <c r="M525" s="85" t="str">
        <f>IF(Table13[[#This Row],[Column3]]=" "," ",Table13[[#This Row],[CODE]])</f>
        <v xml:space="preserve"> </v>
      </c>
      <c r="N525" s="368"/>
      <c r="P525" s="81" t="str">
        <f t="shared" si="8"/>
        <v/>
      </c>
    </row>
    <row r="526" spans="1:16" hidden="1" x14ac:dyDescent="0.15">
      <c r="A526" s="81" t="str">
        <f>COPY!O524</f>
        <v/>
      </c>
      <c r="B526" s="81" t="str">
        <f>COPY!C524</f>
        <v/>
      </c>
      <c r="C526" s="82" t="str">
        <f>COPY!D524</f>
        <v/>
      </c>
      <c r="D526" s="81" t="str">
        <f>IF(Table13[[#This Row],[JUMLAH]]&gt;1,(IF(Table13[[#This Row],[CODE]]=" ",D525&amp;"a",IF(Table13[[#This Row],[CODE]]&gt;0,Table13[[#This Row],[CODE]],0))),"")</f>
        <v/>
      </c>
      <c r="E526" s="81" t="str">
        <f>IF(COPY!G524&gt;0,COPY!G524,"")</f>
        <v/>
      </c>
      <c r="F526" s="88" t="str">
        <f>IF(COPY!J524&gt;0,COPY!J524,"")</f>
        <v/>
      </c>
      <c r="G526" s="85" t="str">
        <f>IF(COPY!H524&gt;0,COPY!H524,"")</f>
        <v/>
      </c>
      <c r="H526" s="85" t="str">
        <f>IF(COPY!I524&gt;0,COPY!I524,"")</f>
        <v/>
      </c>
      <c r="I526" s="85" t="str">
        <f>IF(COPY!M524&gt;0,COPY!M524,"")</f>
        <v/>
      </c>
      <c r="J526" s="85" t="str">
        <f>IF(COPY!N524&gt;0,COPY!N524,"")</f>
        <v/>
      </c>
      <c r="K526" s="86" t="str">
        <f>IF(N526=0,(IF(LEFT(Table13[[#This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Row],[URAIAN]],$U$194:$V$210,2,FALSE),""),""),0))))),N526)</f>
        <v/>
      </c>
      <c r="L526" s="85" t="str">
        <f>IF(Table13[[#This Row],[Column2]]="KWITANSI",COUNTIF($K$4:K526,"KWITANSI")," ")</f>
        <v xml:space="preserve"> </v>
      </c>
      <c r="M526" s="85" t="str">
        <f>IF(Table13[[#This Row],[Column3]]=" "," ",Table13[[#This Row],[CODE]])</f>
        <v xml:space="preserve"> </v>
      </c>
      <c r="N526" s="368"/>
      <c r="P526" s="81" t="str">
        <f t="shared" si="8"/>
        <v/>
      </c>
    </row>
    <row r="527" spans="1:16" hidden="1" x14ac:dyDescent="0.15">
      <c r="A527" s="81" t="str">
        <f>COPY!O525</f>
        <v/>
      </c>
      <c r="B527" s="81" t="str">
        <f>COPY!C525</f>
        <v/>
      </c>
      <c r="C527" s="82" t="str">
        <f>COPY!D525</f>
        <v/>
      </c>
      <c r="D527" s="81" t="str">
        <f>IF(Table13[[#This Row],[JUMLAH]]&gt;1,(IF(Table13[[#This Row],[CODE]]=" ",D526&amp;"a",IF(Table13[[#This Row],[CODE]]&gt;0,Table13[[#This Row],[CODE]],0))),"")</f>
        <v/>
      </c>
      <c r="E527" s="81" t="str">
        <f>IF(COPY!G525&gt;0,COPY!G525,"")</f>
        <v/>
      </c>
      <c r="F527" s="88" t="str">
        <f>IF(COPY!J525&gt;0,COPY!J525,"")</f>
        <v/>
      </c>
      <c r="G527" s="85" t="str">
        <f>IF(COPY!H525&gt;0,COPY!H525,"")</f>
        <v/>
      </c>
      <c r="H527" s="85" t="str">
        <f>IF(COPY!I525&gt;0,COPY!I525,"")</f>
        <v/>
      </c>
      <c r="I527" s="85" t="str">
        <f>IF(COPY!M525&gt;0,COPY!M525,"")</f>
        <v/>
      </c>
      <c r="J527" s="85" t="str">
        <f>IF(COPY!N525&gt;0,COPY!N525,"")</f>
        <v/>
      </c>
      <c r="K527" s="86" t="str">
        <f>IF(N527=0,(IF(LEFT(Table13[[#This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Row],[URAIAN]],$U$194:$V$210,2,FALSE),""),""),0))))),N527)</f>
        <v/>
      </c>
      <c r="L527" s="85" t="str">
        <f>IF(Table13[[#This Row],[Column2]]="KWITANSI",COUNTIF($K$4:K527,"KWITANSI")," ")</f>
        <v xml:space="preserve"> </v>
      </c>
      <c r="M527" s="85" t="str">
        <f>IF(Table13[[#This Row],[Column3]]=" "," ",Table13[[#This Row],[CODE]])</f>
        <v xml:space="preserve"> </v>
      </c>
      <c r="N527" s="368"/>
      <c r="P527" s="81" t="str">
        <f t="shared" si="8"/>
        <v/>
      </c>
    </row>
    <row r="528" spans="1:16" hidden="1" x14ac:dyDescent="0.15">
      <c r="A528" s="81" t="str">
        <f>COPY!O526</f>
        <v/>
      </c>
      <c r="B528" s="81" t="str">
        <f>COPY!C526</f>
        <v/>
      </c>
      <c r="C528" s="82" t="str">
        <f>COPY!D526</f>
        <v/>
      </c>
      <c r="D528" s="81" t="str">
        <f>IF(Table13[[#This Row],[JUMLAH]]&gt;1,(IF(Table13[[#This Row],[CODE]]=" ",D527&amp;"a",IF(Table13[[#This Row],[CODE]]&gt;0,Table13[[#This Row],[CODE]],0))),"")</f>
        <v/>
      </c>
      <c r="E528" s="81" t="str">
        <f>IF(COPY!G526&gt;0,COPY!G526,"")</f>
        <v/>
      </c>
      <c r="F528" s="88" t="str">
        <f>IF(COPY!J526&gt;0,COPY!J526,"")</f>
        <v/>
      </c>
      <c r="G528" s="85" t="str">
        <f>IF(COPY!H526&gt;0,COPY!H526,"")</f>
        <v/>
      </c>
      <c r="H528" s="85" t="str">
        <f>IF(COPY!I526&gt;0,COPY!I526,"")</f>
        <v/>
      </c>
      <c r="I528" s="85" t="str">
        <f>IF(COPY!M526&gt;0,COPY!M526,"")</f>
        <v/>
      </c>
      <c r="J528" s="85" t="str">
        <f>IF(COPY!N526&gt;0,COPY!N526,"")</f>
        <v/>
      </c>
      <c r="K528" s="86" t="str">
        <f>IF(N528=0,(IF(LEFT(Table13[[#This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Row],[URAIAN]],$U$194:$V$210,2,FALSE),""),""),0))))),N528)</f>
        <v/>
      </c>
      <c r="L528" s="85" t="str">
        <f>IF(Table13[[#This Row],[Column2]]="KWITANSI",COUNTIF($K$4:K528,"KWITANSI")," ")</f>
        <v xml:space="preserve"> </v>
      </c>
      <c r="M528" s="85" t="str">
        <f>IF(Table13[[#This Row],[Column3]]=" "," ",Table13[[#This Row],[CODE]])</f>
        <v xml:space="preserve"> </v>
      </c>
      <c r="N528" s="368"/>
      <c r="P528" s="81" t="str">
        <f t="shared" si="8"/>
        <v/>
      </c>
    </row>
    <row r="529" spans="1:16" hidden="1" x14ac:dyDescent="0.15">
      <c r="A529" s="81" t="str">
        <f>COPY!O527</f>
        <v/>
      </c>
      <c r="B529" s="81" t="str">
        <f>COPY!C527</f>
        <v/>
      </c>
      <c r="C529" s="82" t="str">
        <f>COPY!D527</f>
        <v/>
      </c>
      <c r="D529" s="81" t="str">
        <f>IF(Table13[[#This Row],[JUMLAH]]&gt;1,(IF(Table13[[#This Row],[CODE]]=" ",D528&amp;"a",IF(Table13[[#This Row],[CODE]]&gt;0,Table13[[#This Row],[CODE]],0))),"")</f>
        <v/>
      </c>
      <c r="E529" s="81" t="str">
        <f>IF(COPY!G527&gt;0,COPY!G527,"")</f>
        <v/>
      </c>
      <c r="F529" s="88" t="str">
        <f>IF(COPY!J527&gt;0,COPY!J527,"")</f>
        <v/>
      </c>
      <c r="G529" s="85" t="str">
        <f>IF(COPY!H527&gt;0,COPY!H527,"")</f>
        <v/>
      </c>
      <c r="H529" s="85" t="str">
        <f>IF(COPY!I527&gt;0,COPY!I527,"")</f>
        <v/>
      </c>
      <c r="I529" s="85" t="str">
        <f>IF(COPY!M527&gt;0,COPY!M527,"")</f>
        <v/>
      </c>
      <c r="J529" s="85" t="str">
        <f>IF(COPY!N527&gt;0,COPY!N527,"")</f>
        <v/>
      </c>
      <c r="K529" s="86" t="str">
        <f>IF(N529=0,(IF(LEFT(Table13[[#This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Row],[URAIAN]],$U$194:$V$210,2,FALSE),""),""),0))))),N529)</f>
        <v/>
      </c>
      <c r="L529" s="85" t="str">
        <f>IF(Table13[[#This Row],[Column2]]="KWITANSI",COUNTIF($K$4:K529,"KWITANSI")," ")</f>
        <v xml:space="preserve"> </v>
      </c>
      <c r="M529" s="85" t="str">
        <f>IF(Table13[[#This Row],[Column3]]=" "," ",Table13[[#This Row],[CODE]])</f>
        <v xml:space="preserve"> </v>
      </c>
      <c r="N529" s="368"/>
      <c r="P529" s="81" t="str">
        <f t="shared" si="8"/>
        <v/>
      </c>
    </row>
    <row r="530" spans="1:16" hidden="1" x14ac:dyDescent="0.15">
      <c r="A530" s="81" t="str">
        <f>COPY!O528</f>
        <v/>
      </c>
      <c r="B530" s="81" t="str">
        <f>COPY!C528</f>
        <v/>
      </c>
      <c r="C530" s="82" t="str">
        <f>COPY!D528</f>
        <v/>
      </c>
      <c r="D530" s="81" t="str">
        <f>IF(Table13[[#This Row],[JUMLAH]]&gt;1,(IF(Table13[[#This Row],[CODE]]=" ",D529&amp;"a",IF(Table13[[#This Row],[CODE]]&gt;0,Table13[[#This Row],[CODE]],0))),"")</f>
        <v/>
      </c>
      <c r="E530" s="81" t="str">
        <f>IF(COPY!G528&gt;0,COPY!G528,"")</f>
        <v/>
      </c>
      <c r="F530" s="88" t="str">
        <f>IF(COPY!J528&gt;0,COPY!J528,"")</f>
        <v/>
      </c>
      <c r="G530" s="85" t="str">
        <f>IF(COPY!H528&gt;0,COPY!H528,"")</f>
        <v/>
      </c>
      <c r="H530" s="85" t="str">
        <f>IF(COPY!I528&gt;0,COPY!I528,"")</f>
        <v/>
      </c>
      <c r="I530" s="85" t="str">
        <f>IF(COPY!M528&gt;0,COPY!M528,"")</f>
        <v/>
      </c>
      <c r="J530" s="85" t="str">
        <f>IF(COPY!N528&gt;0,COPY!N528,"")</f>
        <v/>
      </c>
      <c r="K530" s="86" t="str">
        <f>IF(N530=0,(IF(LEFT(Table13[[#This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Row],[URAIAN]],$U$194:$V$210,2,FALSE),""),""),0))))),N530)</f>
        <v/>
      </c>
      <c r="L530" s="85" t="str">
        <f>IF(Table13[[#This Row],[Column2]]="KWITANSI",COUNTIF($K$4:K530,"KWITANSI")," ")</f>
        <v xml:space="preserve"> </v>
      </c>
      <c r="M530" s="85" t="str">
        <f>IF(Table13[[#This Row],[Column3]]=" "," ",Table13[[#This Row],[CODE]])</f>
        <v xml:space="preserve"> </v>
      </c>
      <c r="N530" s="368"/>
      <c r="P530" s="81" t="str">
        <f t="shared" si="8"/>
        <v/>
      </c>
    </row>
    <row r="531" spans="1:16" hidden="1" x14ac:dyDescent="0.15">
      <c r="A531" s="81" t="str">
        <f>COPY!O529</f>
        <v/>
      </c>
      <c r="B531" s="81" t="str">
        <f>COPY!C529</f>
        <v/>
      </c>
      <c r="C531" s="82" t="str">
        <f>COPY!D529</f>
        <v/>
      </c>
      <c r="D531" s="81" t="str">
        <f>IF(Table13[[#This Row],[JUMLAH]]&gt;1,(IF(Table13[[#This Row],[CODE]]=" ",D530&amp;"a",IF(Table13[[#This Row],[CODE]]&gt;0,Table13[[#This Row],[CODE]],0))),"")</f>
        <v/>
      </c>
      <c r="E531" s="81" t="str">
        <f>IF(COPY!G529&gt;0,COPY!G529,"")</f>
        <v/>
      </c>
      <c r="F531" s="88" t="str">
        <f>IF(COPY!J529&gt;0,COPY!J529,"")</f>
        <v/>
      </c>
      <c r="G531" s="85" t="str">
        <f>IF(COPY!H529&gt;0,COPY!H529,"")</f>
        <v/>
      </c>
      <c r="H531" s="85" t="str">
        <f>IF(COPY!I529&gt;0,COPY!I529,"")</f>
        <v/>
      </c>
      <c r="I531" s="85" t="str">
        <f>IF(COPY!M529&gt;0,COPY!M529,"")</f>
        <v/>
      </c>
      <c r="J531" s="85" t="str">
        <f>IF(COPY!N529&gt;0,COPY!N529,"")</f>
        <v/>
      </c>
      <c r="K531" s="86" t="str">
        <f>IF(N531=0,(IF(LEFT(Table13[[#This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Row],[URAIAN]],$U$194:$V$210,2,FALSE),""),""),0))))),N531)</f>
        <v/>
      </c>
      <c r="L531" s="85" t="str">
        <f>IF(Table13[[#This Row],[Column2]]="KWITANSI",COUNTIF($K$4:K531,"KWITANSI")," ")</f>
        <v xml:space="preserve"> </v>
      </c>
      <c r="M531" s="85" t="str">
        <f>IF(Table13[[#This Row],[Column3]]=" "," ",Table13[[#This Row],[CODE]])</f>
        <v xml:space="preserve"> </v>
      </c>
      <c r="N531" s="368"/>
      <c r="P531" s="81" t="str">
        <f t="shared" si="8"/>
        <v/>
      </c>
    </row>
    <row r="532" spans="1:16" hidden="1" x14ac:dyDescent="0.15">
      <c r="A532" s="81" t="str">
        <f>COPY!O530</f>
        <v/>
      </c>
      <c r="B532" s="81" t="str">
        <f>COPY!C530</f>
        <v/>
      </c>
      <c r="C532" s="82" t="str">
        <f>COPY!D530</f>
        <v/>
      </c>
      <c r="D532" s="81" t="str">
        <f>IF(Table13[[#This Row],[JUMLAH]]&gt;1,(IF(Table13[[#This Row],[CODE]]=" ",D531&amp;"a",IF(Table13[[#This Row],[CODE]]&gt;0,Table13[[#This Row],[CODE]],0))),"")</f>
        <v/>
      </c>
      <c r="E532" s="81" t="str">
        <f>IF(COPY!G530&gt;0,COPY!G530,"")</f>
        <v/>
      </c>
      <c r="F532" s="88" t="str">
        <f>IF(COPY!J530&gt;0,COPY!J530,"")</f>
        <v/>
      </c>
      <c r="G532" s="85" t="str">
        <f>IF(COPY!H530&gt;0,COPY!H530,"")</f>
        <v/>
      </c>
      <c r="H532" s="85" t="str">
        <f>IF(COPY!I530&gt;0,COPY!I530,"")</f>
        <v/>
      </c>
      <c r="I532" s="85" t="str">
        <f>IF(COPY!M530&gt;0,COPY!M530,"")</f>
        <v/>
      </c>
      <c r="J532" s="85" t="str">
        <f>IF(COPY!N530&gt;0,COPY!N530,"")</f>
        <v/>
      </c>
      <c r="K532" s="86" t="str">
        <f>IF(N532=0,(IF(LEFT(Table13[[#This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Row],[URAIAN]],$U$194:$V$210,2,FALSE),""),""),0))))),N532)</f>
        <v/>
      </c>
      <c r="L532" s="85" t="str">
        <f>IF(Table13[[#This Row],[Column2]]="KWITANSI",COUNTIF($K$4:K532,"KWITANSI")," ")</f>
        <v xml:space="preserve"> </v>
      </c>
      <c r="M532" s="85" t="str">
        <f>IF(Table13[[#This Row],[Column3]]=" "," ",Table13[[#This Row],[CODE]])</f>
        <v xml:space="preserve"> </v>
      </c>
      <c r="N532" s="368"/>
      <c r="P532" s="81" t="str">
        <f t="shared" si="8"/>
        <v/>
      </c>
    </row>
    <row r="533" spans="1:16" hidden="1" x14ac:dyDescent="0.15">
      <c r="A533" s="81" t="str">
        <f>COPY!O531</f>
        <v/>
      </c>
      <c r="B533" s="81" t="str">
        <f>COPY!C531</f>
        <v/>
      </c>
      <c r="C533" s="82" t="str">
        <f>COPY!D531</f>
        <v/>
      </c>
      <c r="D533" s="81" t="str">
        <f>IF(Table13[[#This Row],[JUMLAH]]&gt;1,(IF(Table13[[#This Row],[CODE]]=" ",D532&amp;"a",IF(Table13[[#This Row],[CODE]]&gt;0,Table13[[#This Row],[CODE]],0))),"")</f>
        <v/>
      </c>
      <c r="E533" s="81" t="str">
        <f>IF(COPY!G531&gt;0,COPY!G531,"")</f>
        <v/>
      </c>
      <c r="F533" s="88" t="str">
        <f>IF(COPY!J531&gt;0,COPY!J531,"")</f>
        <v/>
      </c>
      <c r="G533" s="85" t="str">
        <f>IF(COPY!H531&gt;0,COPY!H531,"")</f>
        <v/>
      </c>
      <c r="H533" s="85" t="str">
        <f>IF(COPY!I531&gt;0,COPY!I531,"")</f>
        <v/>
      </c>
      <c r="I533" s="85" t="str">
        <f>IF(COPY!M531&gt;0,COPY!M531,"")</f>
        <v/>
      </c>
      <c r="J533" s="85" t="str">
        <f>IF(COPY!N531&gt;0,COPY!N531,"")</f>
        <v/>
      </c>
      <c r="K533" s="86" t="str">
        <f>IF(N533=0,(IF(LEFT(Table13[[#This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Row],[URAIAN]],$U$194:$V$210,2,FALSE),""),""),0))))),N533)</f>
        <v/>
      </c>
      <c r="L533" s="85" t="str">
        <f>IF(Table13[[#This Row],[Column2]]="KWITANSI",COUNTIF($K$4:K533,"KWITANSI")," ")</f>
        <v xml:space="preserve"> </v>
      </c>
      <c r="M533" s="85" t="str">
        <f>IF(Table13[[#This Row],[Column3]]=" "," ",Table13[[#This Row],[CODE]])</f>
        <v xml:space="preserve"> </v>
      </c>
      <c r="N533" s="368"/>
      <c r="P533" s="81" t="str">
        <f t="shared" si="8"/>
        <v/>
      </c>
    </row>
    <row r="534" spans="1:16" hidden="1" x14ac:dyDescent="0.15">
      <c r="A534" s="81" t="str">
        <f>COPY!O532</f>
        <v/>
      </c>
      <c r="B534" s="81" t="str">
        <f>COPY!C532</f>
        <v/>
      </c>
      <c r="C534" s="82" t="str">
        <f>COPY!D532</f>
        <v/>
      </c>
      <c r="D534" s="81" t="str">
        <f>IF(Table13[[#This Row],[JUMLAH]]&gt;1,(IF(Table13[[#This Row],[CODE]]=" ",D533&amp;"a",IF(Table13[[#This Row],[CODE]]&gt;0,Table13[[#This Row],[CODE]],0))),"")</f>
        <v/>
      </c>
      <c r="E534" s="81" t="str">
        <f>IF(COPY!G532&gt;0,COPY!G532,"")</f>
        <v/>
      </c>
      <c r="F534" s="88" t="str">
        <f>IF(COPY!J532&gt;0,COPY!J532,"")</f>
        <v/>
      </c>
      <c r="G534" s="85" t="str">
        <f>IF(COPY!H532&gt;0,COPY!H532,"")</f>
        <v/>
      </c>
      <c r="H534" s="85" t="str">
        <f>IF(COPY!I532&gt;0,COPY!I532,"")</f>
        <v/>
      </c>
      <c r="I534" s="85" t="str">
        <f>IF(COPY!M532&gt;0,COPY!M532,"")</f>
        <v/>
      </c>
      <c r="J534" s="85" t="str">
        <f>IF(COPY!N532&gt;0,COPY!N532,"")</f>
        <v/>
      </c>
      <c r="K534" s="86" t="str">
        <f>IF(N534=0,(IF(LEFT(Table13[[#This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Row],[URAIAN]],$U$194:$V$210,2,FALSE),""),""),0))))),N534)</f>
        <v/>
      </c>
      <c r="L534" s="85" t="str">
        <f>IF(Table13[[#This Row],[Column2]]="KWITANSI",COUNTIF($K$4:K534,"KWITANSI")," ")</f>
        <v xml:space="preserve"> </v>
      </c>
      <c r="M534" s="85" t="str">
        <f>IF(Table13[[#This Row],[Column3]]=" "," ",Table13[[#This Row],[CODE]])</f>
        <v xml:space="preserve"> </v>
      </c>
      <c r="N534" s="368"/>
      <c r="P534" s="81" t="str">
        <f t="shared" si="8"/>
        <v/>
      </c>
    </row>
    <row r="535" spans="1:16" hidden="1" x14ac:dyDescent="0.15">
      <c r="A535" s="81" t="str">
        <f>COPY!O533</f>
        <v/>
      </c>
      <c r="B535" s="81" t="str">
        <f>COPY!C533</f>
        <v/>
      </c>
      <c r="C535" s="82" t="str">
        <f>COPY!D533</f>
        <v/>
      </c>
      <c r="D535" s="81" t="str">
        <f>IF(Table13[[#This Row],[JUMLAH]]&gt;1,(IF(Table13[[#This Row],[CODE]]=" ",D534&amp;"a",IF(Table13[[#This Row],[CODE]]&gt;0,Table13[[#This Row],[CODE]],0))),"")</f>
        <v/>
      </c>
      <c r="E535" s="81" t="str">
        <f>IF(COPY!G533&gt;0,COPY!G533,"")</f>
        <v/>
      </c>
      <c r="F535" s="88" t="str">
        <f>IF(COPY!J533&gt;0,COPY!J533,"")</f>
        <v/>
      </c>
      <c r="G535" s="85" t="str">
        <f>IF(COPY!H533&gt;0,COPY!H533,"")</f>
        <v/>
      </c>
      <c r="H535" s="85" t="str">
        <f>IF(COPY!I533&gt;0,COPY!I533,"")</f>
        <v/>
      </c>
      <c r="I535" s="85" t="str">
        <f>IF(COPY!M533&gt;0,COPY!M533,"")</f>
        <v/>
      </c>
      <c r="J535" s="85" t="str">
        <f>IF(COPY!N533&gt;0,COPY!N533,"")</f>
        <v/>
      </c>
      <c r="K535" s="86" t="str">
        <f>IF(N535=0,(IF(LEFT(Table13[[#This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Row],[URAIAN]],$U$194:$V$210,2,FALSE),""),""),0))))),N535)</f>
        <v/>
      </c>
      <c r="L535" s="85" t="str">
        <f>IF(Table13[[#This Row],[Column2]]="KWITANSI",COUNTIF($K$4:K535,"KWITANSI")," ")</f>
        <v xml:space="preserve"> </v>
      </c>
      <c r="M535" s="85" t="str">
        <f>IF(Table13[[#This Row],[Column3]]=" "," ",Table13[[#This Row],[CODE]])</f>
        <v xml:space="preserve"> </v>
      </c>
      <c r="N535" s="368"/>
      <c r="P535" s="81" t="str">
        <f t="shared" si="8"/>
        <v/>
      </c>
    </row>
    <row r="536" spans="1:16" hidden="1" x14ac:dyDescent="0.15">
      <c r="A536" s="81" t="str">
        <f>COPY!O534</f>
        <v/>
      </c>
      <c r="B536" s="81" t="str">
        <f>COPY!C534</f>
        <v/>
      </c>
      <c r="C536" s="82" t="str">
        <f>COPY!D534</f>
        <v/>
      </c>
      <c r="D536" s="81" t="str">
        <f>IF(Table13[[#This Row],[JUMLAH]]&gt;1,(IF(Table13[[#This Row],[CODE]]=" ",D535&amp;"a",IF(Table13[[#This Row],[CODE]]&gt;0,Table13[[#This Row],[CODE]],0))),"")</f>
        <v/>
      </c>
      <c r="E536" s="81" t="str">
        <f>IF(COPY!G534&gt;0,COPY!G534,"")</f>
        <v/>
      </c>
      <c r="F536" s="88" t="str">
        <f>IF(COPY!J534&gt;0,COPY!J534,"")</f>
        <v/>
      </c>
      <c r="G536" s="85" t="str">
        <f>IF(COPY!H534&gt;0,COPY!H534,"")</f>
        <v/>
      </c>
      <c r="H536" s="85" t="str">
        <f>IF(COPY!I534&gt;0,COPY!I534,"")</f>
        <v/>
      </c>
      <c r="I536" s="85" t="str">
        <f>IF(COPY!M534&gt;0,COPY!M534,"")</f>
        <v/>
      </c>
      <c r="J536" s="85" t="str">
        <f>IF(COPY!N534&gt;0,COPY!N534,"")</f>
        <v/>
      </c>
      <c r="K536" s="86" t="str">
        <f>IF(N536=0,(IF(LEFT(Table13[[#This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Row],[URAIAN]],$U$194:$V$210,2,FALSE),""),""),0))))),N536)</f>
        <v/>
      </c>
      <c r="L536" s="85" t="str">
        <f>IF(Table13[[#This Row],[Column2]]="KWITANSI",COUNTIF($K$4:K536,"KWITANSI")," ")</f>
        <v xml:space="preserve"> </v>
      </c>
      <c r="M536" s="85" t="str">
        <f>IF(Table13[[#This Row],[Column3]]=" "," ",Table13[[#This Row],[CODE]])</f>
        <v xml:space="preserve"> </v>
      </c>
      <c r="N536" s="368"/>
      <c r="P536" s="81" t="str">
        <f t="shared" si="8"/>
        <v/>
      </c>
    </row>
    <row r="537" spans="1:16" hidden="1" x14ac:dyDescent="0.15">
      <c r="A537" s="81" t="str">
        <f>COPY!O535</f>
        <v/>
      </c>
      <c r="B537" s="81" t="str">
        <f>COPY!C535</f>
        <v/>
      </c>
      <c r="C537" s="82" t="str">
        <f>COPY!D535</f>
        <v/>
      </c>
      <c r="D537" s="81" t="str">
        <f>IF(Table13[[#This Row],[JUMLAH]]&gt;1,(IF(Table13[[#This Row],[CODE]]=" ",D536&amp;"a",IF(Table13[[#This Row],[CODE]]&gt;0,Table13[[#This Row],[CODE]],0))),"")</f>
        <v/>
      </c>
      <c r="E537" s="81" t="str">
        <f>IF(COPY!G535&gt;0,COPY!G535,"")</f>
        <v/>
      </c>
      <c r="F537" s="88" t="str">
        <f>IF(COPY!J535&gt;0,COPY!J535,"")</f>
        <v/>
      </c>
      <c r="G537" s="85" t="str">
        <f>IF(COPY!H535&gt;0,COPY!H535,"")</f>
        <v/>
      </c>
      <c r="H537" s="85" t="str">
        <f>IF(COPY!I535&gt;0,COPY!I535,"")</f>
        <v/>
      </c>
      <c r="I537" s="85" t="str">
        <f>IF(COPY!M535&gt;0,COPY!M535,"")</f>
        <v/>
      </c>
      <c r="J537" s="85" t="str">
        <f>IF(COPY!N535&gt;0,COPY!N535,"")</f>
        <v/>
      </c>
      <c r="K537" s="86" t="str">
        <f>IF(N537=0,(IF(LEFT(Table13[[#This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Row],[URAIAN]],$U$194:$V$210,2,FALSE),""),""),0))))),N537)</f>
        <v/>
      </c>
      <c r="L537" s="85" t="str">
        <f>IF(Table13[[#This Row],[Column2]]="KWITANSI",COUNTIF($K$4:K537,"KWITANSI")," ")</f>
        <v xml:space="preserve"> </v>
      </c>
      <c r="M537" s="85" t="str">
        <f>IF(Table13[[#This Row],[Column3]]=" "," ",Table13[[#This Row],[CODE]])</f>
        <v xml:space="preserve"> </v>
      </c>
      <c r="N537" s="368"/>
      <c r="P537" s="81" t="str">
        <f t="shared" si="8"/>
        <v/>
      </c>
    </row>
    <row r="538" spans="1:16" hidden="1" x14ac:dyDescent="0.15">
      <c r="A538" s="81" t="str">
        <f>COPY!O536</f>
        <v/>
      </c>
      <c r="B538" s="81" t="str">
        <f>COPY!C536</f>
        <v/>
      </c>
      <c r="C538" s="82" t="str">
        <f>COPY!D536</f>
        <v/>
      </c>
      <c r="D538" s="81" t="str">
        <f>IF(Table13[[#This Row],[JUMLAH]]&gt;1,(IF(Table13[[#This Row],[CODE]]=" ",D537&amp;"a",IF(Table13[[#This Row],[CODE]]&gt;0,Table13[[#This Row],[CODE]],0))),"")</f>
        <v/>
      </c>
      <c r="E538" s="81" t="str">
        <f>IF(COPY!G536&gt;0,COPY!G536,"")</f>
        <v/>
      </c>
      <c r="F538" s="88" t="str">
        <f>IF(COPY!J536&gt;0,COPY!J536,"")</f>
        <v/>
      </c>
      <c r="G538" s="85" t="str">
        <f>IF(COPY!H536&gt;0,COPY!H536,"")</f>
        <v/>
      </c>
      <c r="H538" s="85" t="str">
        <f>IF(COPY!I536&gt;0,COPY!I536,"")</f>
        <v/>
      </c>
      <c r="I538" s="85" t="str">
        <f>IF(COPY!M536&gt;0,COPY!M536,"")</f>
        <v/>
      </c>
      <c r="J538" s="85" t="str">
        <f>IF(COPY!N536&gt;0,COPY!N536,"")</f>
        <v/>
      </c>
      <c r="K538" s="86" t="str">
        <f>IF(N538=0,(IF(LEFT(Table13[[#This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Row],[URAIAN]],$U$194:$V$210,2,FALSE),""),""),0))))),N538)</f>
        <v/>
      </c>
      <c r="L538" s="85" t="str">
        <f>IF(Table13[[#This Row],[Column2]]="KWITANSI",COUNTIF($K$4:K538,"KWITANSI")," ")</f>
        <v xml:space="preserve"> </v>
      </c>
      <c r="M538" s="85" t="str">
        <f>IF(Table13[[#This Row],[Column3]]=" "," ",Table13[[#This Row],[CODE]])</f>
        <v xml:space="preserve"> </v>
      </c>
      <c r="N538" s="368"/>
      <c r="P538" s="81" t="str">
        <f t="shared" si="8"/>
        <v/>
      </c>
    </row>
    <row r="539" spans="1:16" hidden="1" x14ac:dyDescent="0.15">
      <c r="A539" s="81" t="str">
        <f>COPY!O537</f>
        <v/>
      </c>
      <c r="B539" s="81" t="str">
        <f>COPY!C537</f>
        <v/>
      </c>
      <c r="C539" s="82" t="str">
        <f>COPY!D537</f>
        <v/>
      </c>
      <c r="D539" s="81" t="str">
        <f>IF(Table13[[#This Row],[JUMLAH]]&gt;1,(IF(Table13[[#This Row],[CODE]]=" ",D538&amp;"a",IF(Table13[[#This Row],[CODE]]&gt;0,Table13[[#This Row],[CODE]],0))),"")</f>
        <v/>
      </c>
      <c r="E539" s="81" t="str">
        <f>IF(COPY!G537&gt;0,COPY!G537,"")</f>
        <v/>
      </c>
      <c r="F539" s="88" t="str">
        <f>IF(COPY!J537&gt;0,COPY!J537,"")</f>
        <v/>
      </c>
      <c r="G539" s="85" t="str">
        <f>IF(COPY!H537&gt;0,COPY!H537,"")</f>
        <v/>
      </c>
      <c r="H539" s="85" t="str">
        <f>IF(COPY!I537&gt;0,COPY!I537,"")</f>
        <v/>
      </c>
      <c r="I539" s="85" t="str">
        <f>IF(COPY!M537&gt;0,COPY!M537,"")</f>
        <v/>
      </c>
      <c r="J539" s="85" t="str">
        <f>IF(COPY!N537&gt;0,COPY!N537,"")</f>
        <v/>
      </c>
      <c r="K539" s="86" t="str">
        <f>IF(N539=0,(IF(LEFT(Table13[[#This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Row],[URAIAN]],$U$194:$V$210,2,FALSE),""),""),0))))),N539)</f>
        <v/>
      </c>
      <c r="L539" s="85" t="str">
        <f>IF(Table13[[#This Row],[Column2]]="KWITANSI",COUNTIF($K$4:K539,"KWITANSI")," ")</f>
        <v xml:space="preserve"> </v>
      </c>
      <c r="M539" s="85" t="str">
        <f>IF(Table13[[#This Row],[Column3]]=" "," ",Table13[[#This Row],[CODE]])</f>
        <v xml:space="preserve"> </v>
      </c>
      <c r="N539" s="368"/>
      <c r="P539" s="81" t="str">
        <f t="shared" si="8"/>
        <v/>
      </c>
    </row>
    <row r="540" spans="1:16" hidden="1" x14ac:dyDescent="0.15">
      <c r="A540" s="81" t="str">
        <f>COPY!O538</f>
        <v/>
      </c>
      <c r="B540" s="81" t="str">
        <f>COPY!C538</f>
        <v/>
      </c>
      <c r="C540" s="82" t="str">
        <f>COPY!D538</f>
        <v/>
      </c>
      <c r="D540" s="81" t="str">
        <f>IF(Table13[[#This Row],[JUMLAH]]&gt;1,(IF(Table13[[#This Row],[CODE]]=" ",D539&amp;"a",IF(Table13[[#This Row],[CODE]]&gt;0,Table13[[#This Row],[CODE]],0))),"")</f>
        <v/>
      </c>
      <c r="E540" s="81" t="str">
        <f>IF(COPY!G538&gt;0,COPY!G538,"")</f>
        <v/>
      </c>
      <c r="F540" s="88" t="str">
        <f>IF(COPY!J538&gt;0,COPY!J538,"")</f>
        <v/>
      </c>
      <c r="G540" s="85" t="str">
        <f>IF(COPY!H538&gt;0,COPY!H538,"")</f>
        <v/>
      </c>
      <c r="H540" s="85" t="str">
        <f>IF(COPY!I538&gt;0,COPY!I538,"")</f>
        <v/>
      </c>
      <c r="I540" s="85" t="str">
        <f>IF(COPY!M538&gt;0,COPY!M538,"")</f>
        <v/>
      </c>
      <c r="J540" s="85" t="str">
        <f>IF(COPY!N538&gt;0,COPY!N538,"")</f>
        <v/>
      </c>
      <c r="K540" s="86" t="str">
        <f>IF(N540=0,(IF(LEFT(Table13[[#This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Row],[URAIAN]],$U$194:$V$210,2,FALSE),""),""),0))))),N540)</f>
        <v/>
      </c>
      <c r="L540" s="85" t="str">
        <f>IF(Table13[[#This Row],[Column2]]="KWITANSI",COUNTIF($K$4:K540,"KWITANSI")," ")</f>
        <v xml:space="preserve"> </v>
      </c>
      <c r="M540" s="85" t="str">
        <f>IF(Table13[[#This Row],[Column3]]=" "," ",Table13[[#This Row],[CODE]])</f>
        <v xml:space="preserve"> </v>
      </c>
      <c r="N540" s="368"/>
      <c r="P540" s="81" t="str">
        <f t="shared" si="8"/>
        <v/>
      </c>
    </row>
    <row r="541" spans="1:16" hidden="1" x14ac:dyDescent="0.15">
      <c r="A541" s="81" t="str">
        <f>COPY!O539</f>
        <v/>
      </c>
      <c r="B541" s="81" t="str">
        <f>COPY!C539</f>
        <v/>
      </c>
      <c r="C541" s="82" t="str">
        <f>COPY!D539</f>
        <v/>
      </c>
      <c r="D541" s="81" t="str">
        <f>IF(Table13[[#This Row],[JUMLAH]]&gt;1,(IF(Table13[[#This Row],[CODE]]=" ",D540&amp;"a",IF(Table13[[#This Row],[CODE]]&gt;0,Table13[[#This Row],[CODE]],0))),"")</f>
        <v/>
      </c>
      <c r="E541" s="81" t="str">
        <f>IF(COPY!G539&gt;0,COPY!G539,"")</f>
        <v/>
      </c>
      <c r="F541" s="88" t="str">
        <f>IF(COPY!J539&gt;0,COPY!J539,"")</f>
        <v/>
      </c>
      <c r="G541" s="85" t="str">
        <f>IF(COPY!H539&gt;0,COPY!H539,"")</f>
        <v/>
      </c>
      <c r="H541" s="85" t="str">
        <f>IF(COPY!I539&gt;0,COPY!I539,"")</f>
        <v/>
      </c>
      <c r="I541" s="85" t="str">
        <f>IF(COPY!M539&gt;0,COPY!M539,"")</f>
        <v/>
      </c>
      <c r="J541" s="85" t="str">
        <f>IF(COPY!N539&gt;0,COPY!N539,"")</f>
        <v/>
      </c>
      <c r="K541" s="86" t="str">
        <f>IF(N541=0,(IF(LEFT(Table13[[#This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Row],[URAIAN]],$U$194:$V$210,2,FALSE),""),""),0))))),N541)</f>
        <v/>
      </c>
      <c r="L541" s="85" t="str">
        <f>IF(Table13[[#This Row],[Column2]]="KWITANSI",COUNTIF($K$4:K541,"KWITANSI")," ")</f>
        <v xml:space="preserve"> </v>
      </c>
      <c r="M541" s="85" t="str">
        <f>IF(Table13[[#This Row],[Column3]]=" "," ",Table13[[#This Row],[CODE]])</f>
        <v xml:space="preserve"> </v>
      </c>
      <c r="N541" s="368"/>
      <c r="P541" s="81" t="str">
        <f t="shared" si="8"/>
        <v/>
      </c>
    </row>
    <row r="542" spans="1:16" hidden="1" x14ac:dyDescent="0.15">
      <c r="A542" s="81" t="str">
        <f>COPY!O540</f>
        <v/>
      </c>
      <c r="B542" s="81" t="str">
        <f>COPY!C540</f>
        <v/>
      </c>
      <c r="C542" s="82" t="str">
        <f>COPY!D540</f>
        <v/>
      </c>
      <c r="D542" s="81" t="str">
        <f>IF(Table13[[#This Row],[JUMLAH]]&gt;1,(IF(Table13[[#This Row],[CODE]]=" ",D541&amp;"a",IF(Table13[[#This Row],[CODE]]&gt;0,Table13[[#This Row],[CODE]],0))),"")</f>
        <v/>
      </c>
      <c r="E542" s="81" t="str">
        <f>IF(COPY!G540&gt;0,COPY!G540,"")</f>
        <v/>
      </c>
      <c r="F542" s="88" t="str">
        <f>IF(COPY!J540&gt;0,COPY!J540,"")</f>
        <v/>
      </c>
      <c r="G542" s="85" t="str">
        <f>IF(COPY!H540&gt;0,COPY!H540,"")</f>
        <v/>
      </c>
      <c r="H542" s="85" t="str">
        <f>IF(COPY!I540&gt;0,COPY!I540,"")</f>
        <v/>
      </c>
      <c r="I542" s="85" t="str">
        <f>IF(COPY!M540&gt;0,COPY!M540,"")</f>
        <v/>
      </c>
      <c r="J542" s="85" t="str">
        <f>IF(COPY!N540&gt;0,COPY!N540,"")</f>
        <v/>
      </c>
      <c r="K542" s="86" t="str">
        <f>IF(N542=0,(IF(LEFT(Table13[[#This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Row],[URAIAN]],$U$194:$V$210,2,FALSE),""),""),0))))),N542)</f>
        <v/>
      </c>
      <c r="L542" s="85" t="str">
        <f>IF(Table13[[#This Row],[Column2]]="KWITANSI",COUNTIF($K$4:K542,"KWITANSI")," ")</f>
        <v xml:space="preserve"> </v>
      </c>
      <c r="M542" s="85" t="str">
        <f>IF(Table13[[#This Row],[Column3]]=" "," ",Table13[[#This Row],[CODE]])</f>
        <v xml:space="preserve"> </v>
      </c>
      <c r="N542" s="368"/>
      <c r="P542" s="81" t="str">
        <f t="shared" si="8"/>
        <v/>
      </c>
    </row>
    <row r="543" spans="1:16" hidden="1" x14ac:dyDescent="0.15">
      <c r="A543" s="81" t="str">
        <f>COPY!O541</f>
        <v/>
      </c>
      <c r="B543" s="81" t="str">
        <f>COPY!C541</f>
        <v/>
      </c>
      <c r="C543" s="82" t="str">
        <f>COPY!D541</f>
        <v/>
      </c>
      <c r="D543" s="81" t="str">
        <f>IF(Table13[[#This Row],[JUMLAH]]&gt;1,(IF(Table13[[#This Row],[CODE]]=" ",D542&amp;"a",IF(Table13[[#This Row],[CODE]]&gt;0,Table13[[#This Row],[CODE]],0))),"")</f>
        <v/>
      </c>
      <c r="E543" s="81" t="str">
        <f>IF(COPY!G541&gt;0,COPY!G541,"")</f>
        <v/>
      </c>
      <c r="F543" s="88" t="str">
        <f>IF(COPY!J541&gt;0,COPY!J541,"")</f>
        <v/>
      </c>
      <c r="G543" s="85" t="str">
        <f>IF(COPY!H541&gt;0,COPY!H541,"")</f>
        <v/>
      </c>
      <c r="H543" s="85" t="str">
        <f>IF(COPY!I541&gt;0,COPY!I541,"")</f>
        <v/>
      </c>
      <c r="I543" s="85" t="str">
        <f>IF(COPY!M541&gt;0,COPY!M541,"")</f>
        <v/>
      </c>
      <c r="J543" s="85" t="str">
        <f>IF(COPY!N541&gt;0,COPY!N541,"")</f>
        <v/>
      </c>
      <c r="K543" s="86" t="str">
        <f>IF(N543=0,(IF(LEFT(Table13[[#This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Row],[URAIAN]],$U$194:$V$210,2,FALSE),""),""),0))))),N543)</f>
        <v/>
      </c>
      <c r="L543" s="85" t="str">
        <f>IF(Table13[[#This Row],[Column2]]="KWITANSI",COUNTIF($K$4:K543,"KWITANSI")," ")</f>
        <v xml:space="preserve"> </v>
      </c>
      <c r="M543" s="85" t="str">
        <f>IF(Table13[[#This Row],[Column3]]=" "," ",Table13[[#This Row],[CODE]])</f>
        <v xml:space="preserve"> </v>
      </c>
      <c r="N543" s="368"/>
      <c r="P543" s="81" t="str">
        <f t="shared" si="8"/>
        <v/>
      </c>
    </row>
    <row r="544" spans="1:16" hidden="1" x14ac:dyDescent="0.15">
      <c r="A544" s="81" t="str">
        <f>COPY!O542</f>
        <v/>
      </c>
      <c r="B544" s="81" t="str">
        <f>COPY!C542</f>
        <v/>
      </c>
      <c r="C544" s="82" t="str">
        <f>COPY!D542</f>
        <v/>
      </c>
      <c r="D544" s="81" t="str">
        <f>IF(Table13[[#This Row],[JUMLAH]]&gt;1,(IF(Table13[[#This Row],[CODE]]=" ",D543&amp;"a",IF(Table13[[#This Row],[CODE]]&gt;0,Table13[[#This Row],[CODE]],0))),"")</f>
        <v/>
      </c>
      <c r="E544" s="81" t="str">
        <f>IF(COPY!G542&gt;0,COPY!G542,"")</f>
        <v/>
      </c>
      <c r="F544" s="88" t="str">
        <f>IF(COPY!J542&gt;0,COPY!J542,"")</f>
        <v/>
      </c>
      <c r="G544" s="85" t="str">
        <f>IF(COPY!H542&gt;0,COPY!H542,"")</f>
        <v/>
      </c>
      <c r="H544" s="85" t="str">
        <f>IF(COPY!I542&gt;0,COPY!I542,"")</f>
        <v/>
      </c>
      <c r="I544" s="85" t="str">
        <f>IF(COPY!M542&gt;0,COPY!M542,"")</f>
        <v/>
      </c>
      <c r="J544" s="85" t="str">
        <f>IF(COPY!N542&gt;0,COPY!N542,"")</f>
        <v/>
      </c>
      <c r="K544" s="86" t="str">
        <f>IF(N544=0,(IF(LEFT(Table13[[#This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Row],[URAIAN]],$U$194:$V$210,2,FALSE),""),""),0))))),N544)</f>
        <v/>
      </c>
      <c r="L544" s="85" t="str">
        <f>IF(Table13[[#This Row],[Column2]]="KWITANSI",COUNTIF($K$4:K544,"KWITANSI")," ")</f>
        <v xml:space="preserve"> </v>
      </c>
      <c r="M544" s="85" t="str">
        <f>IF(Table13[[#This Row],[Column3]]=" "," ",Table13[[#This Row],[CODE]])</f>
        <v xml:space="preserve"> </v>
      </c>
      <c r="N544" s="368"/>
      <c r="P544" s="81" t="str">
        <f t="shared" si="8"/>
        <v/>
      </c>
    </row>
    <row r="545" spans="1:16" hidden="1" x14ac:dyDescent="0.15">
      <c r="A545" s="81" t="str">
        <f>COPY!O543</f>
        <v/>
      </c>
      <c r="B545" s="81" t="str">
        <f>COPY!C543</f>
        <v/>
      </c>
      <c r="C545" s="82" t="str">
        <f>COPY!D543</f>
        <v/>
      </c>
      <c r="D545" s="81" t="str">
        <f>IF(Table13[[#This Row],[JUMLAH]]&gt;1,(IF(Table13[[#This Row],[CODE]]=" ",D544&amp;"a",IF(Table13[[#This Row],[CODE]]&gt;0,Table13[[#This Row],[CODE]],0))),"")</f>
        <v/>
      </c>
      <c r="E545" s="81" t="str">
        <f>IF(COPY!G543&gt;0,COPY!G543,"")</f>
        <v/>
      </c>
      <c r="F545" s="88" t="str">
        <f>IF(COPY!J543&gt;0,COPY!J543,"")</f>
        <v/>
      </c>
      <c r="G545" s="85" t="str">
        <f>IF(COPY!H543&gt;0,COPY!H543,"")</f>
        <v/>
      </c>
      <c r="H545" s="85" t="str">
        <f>IF(COPY!I543&gt;0,COPY!I543,"")</f>
        <v/>
      </c>
      <c r="I545" s="85" t="str">
        <f>IF(COPY!M543&gt;0,COPY!M543,"")</f>
        <v/>
      </c>
      <c r="J545" s="85" t="str">
        <f>IF(COPY!N543&gt;0,COPY!N543,"")</f>
        <v/>
      </c>
      <c r="K545" s="86" t="str">
        <f>IF(N545=0,(IF(LEFT(Table13[[#This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Row],[URAIAN]],$U$194:$V$210,2,FALSE),""),""),0))))),N545)</f>
        <v/>
      </c>
      <c r="L545" s="85" t="str">
        <f>IF(Table13[[#This Row],[Column2]]="KWITANSI",COUNTIF($K$4:K545,"KWITANSI")," ")</f>
        <v xml:space="preserve"> </v>
      </c>
      <c r="M545" s="85" t="str">
        <f>IF(Table13[[#This Row],[Column3]]=" "," ",Table13[[#This Row],[CODE]])</f>
        <v xml:space="preserve"> </v>
      </c>
      <c r="N545" s="368"/>
      <c r="P545" s="81" t="str">
        <f t="shared" si="8"/>
        <v/>
      </c>
    </row>
    <row r="546" spans="1:16" hidden="1" x14ac:dyDescent="0.15">
      <c r="A546" s="81" t="str">
        <f>COPY!O544</f>
        <v/>
      </c>
      <c r="B546" s="81" t="str">
        <f>COPY!C544</f>
        <v/>
      </c>
      <c r="C546" s="82" t="str">
        <f>COPY!D544</f>
        <v/>
      </c>
      <c r="D546" s="81" t="str">
        <f>IF(Table13[[#This Row],[JUMLAH]]&gt;1,(IF(Table13[[#This Row],[CODE]]=" ",D545&amp;"a",IF(Table13[[#This Row],[CODE]]&gt;0,Table13[[#This Row],[CODE]],0))),"")</f>
        <v/>
      </c>
      <c r="E546" s="81" t="str">
        <f>IF(COPY!G544&gt;0,COPY!G544,"")</f>
        <v/>
      </c>
      <c r="F546" s="88" t="str">
        <f>IF(COPY!J544&gt;0,COPY!J544,"")</f>
        <v/>
      </c>
      <c r="G546" s="85" t="str">
        <f>IF(COPY!H544&gt;0,COPY!H544,"")</f>
        <v/>
      </c>
      <c r="H546" s="85" t="str">
        <f>IF(COPY!I544&gt;0,COPY!I544,"")</f>
        <v/>
      </c>
      <c r="I546" s="85" t="str">
        <f>IF(COPY!M544&gt;0,COPY!M544,"")</f>
        <v/>
      </c>
      <c r="J546" s="85" t="str">
        <f>IF(COPY!N544&gt;0,COPY!N544,"")</f>
        <v/>
      </c>
      <c r="K546" s="86" t="str">
        <f>IF(N546=0,(IF(LEFT(Table13[[#This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Row],[URAIAN]],$U$194:$V$210,2,FALSE),""),""),0))))),N546)</f>
        <v/>
      </c>
      <c r="L546" s="85" t="str">
        <f>IF(Table13[[#This Row],[Column2]]="KWITANSI",COUNTIF($K$4:K546,"KWITANSI")," ")</f>
        <v xml:space="preserve"> </v>
      </c>
      <c r="M546" s="85" t="str">
        <f>IF(Table13[[#This Row],[Column3]]=" "," ",Table13[[#This Row],[CODE]])</f>
        <v xml:space="preserve"> </v>
      </c>
      <c r="N546" s="368"/>
      <c r="P546" s="81" t="str">
        <f t="shared" si="8"/>
        <v/>
      </c>
    </row>
    <row r="547" spans="1:16" hidden="1" x14ac:dyDescent="0.15">
      <c r="A547" s="81" t="str">
        <f>COPY!O545</f>
        <v/>
      </c>
      <c r="B547" s="81" t="str">
        <f>COPY!C545</f>
        <v/>
      </c>
      <c r="C547" s="82" t="str">
        <f>COPY!D545</f>
        <v/>
      </c>
      <c r="D547" s="81" t="str">
        <f>IF(Table13[[#This Row],[JUMLAH]]&gt;1,(IF(Table13[[#This Row],[CODE]]=" ",D546&amp;"a",IF(Table13[[#This Row],[CODE]]&gt;0,Table13[[#This Row],[CODE]],0))),"")</f>
        <v/>
      </c>
      <c r="E547" s="81" t="str">
        <f>IF(COPY!G545&gt;0,COPY!G545,"")</f>
        <v/>
      </c>
      <c r="F547" s="88" t="str">
        <f>IF(COPY!J545&gt;0,COPY!J545,"")</f>
        <v/>
      </c>
      <c r="G547" s="85" t="str">
        <f>IF(COPY!H545&gt;0,COPY!H545,"")</f>
        <v/>
      </c>
      <c r="H547" s="85" t="str">
        <f>IF(COPY!I545&gt;0,COPY!I545,"")</f>
        <v/>
      </c>
      <c r="I547" s="85" t="str">
        <f>IF(COPY!M545&gt;0,COPY!M545,"")</f>
        <v/>
      </c>
      <c r="J547" s="85" t="str">
        <f>IF(COPY!N545&gt;0,COPY!N545,"")</f>
        <v/>
      </c>
      <c r="K547" s="86" t="str">
        <f>IF(N547=0,(IF(LEFT(Table13[[#This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Row],[URAIAN]],$U$194:$V$210,2,FALSE),""),""),0))))),N547)</f>
        <v/>
      </c>
      <c r="L547" s="85" t="str">
        <f>IF(Table13[[#This Row],[Column2]]="KWITANSI",COUNTIF($K$4:K547,"KWITANSI")," ")</f>
        <v xml:space="preserve"> </v>
      </c>
      <c r="M547" s="85" t="str">
        <f>IF(Table13[[#This Row],[Column3]]=" "," ",Table13[[#This Row],[CODE]])</f>
        <v xml:space="preserve"> </v>
      </c>
      <c r="N547" s="368"/>
      <c r="P547" s="81" t="str">
        <f t="shared" si="8"/>
        <v/>
      </c>
    </row>
    <row r="548" spans="1:16" hidden="1" x14ac:dyDescent="0.15">
      <c r="A548" s="81" t="str">
        <f>COPY!O546</f>
        <v/>
      </c>
      <c r="B548" s="81" t="str">
        <f>COPY!C546</f>
        <v/>
      </c>
      <c r="C548" s="82" t="str">
        <f>COPY!D546</f>
        <v/>
      </c>
      <c r="D548" s="81" t="str">
        <f>IF(Table13[[#This Row],[JUMLAH]]&gt;1,(IF(Table13[[#This Row],[CODE]]=" ",D547&amp;"a",IF(Table13[[#This Row],[CODE]]&gt;0,Table13[[#This Row],[CODE]],0))),"")</f>
        <v/>
      </c>
      <c r="E548" s="81" t="str">
        <f>IF(COPY!G546&gt;0,COPY!G546,"")</f>
        <v/>
      </c>
      <c r="F548" s="88" t="str">
        <f>IF(COPY!J546&gt;0,COPY!J546,"")</f>
        <v/>
      </c>
      <c r="G548" s="85" t="str">
        <f>IF(COPY!H546&gt;0,COPY!H546,"")</f>
        <v/>
      </c>
      <c r="H548" s="85" t="str">
        <f>IF(COPY!I546&gt;0,COPY!I546,"")</f>
        <v/>
      </c>
      <c r="I548" s="85" t="str">
        <f>IF(COPY!M546&gt;0,COPY!M546,"")</f>
        <v/>
      </c>
      <c r="J548" s="85" t="str">
        <f>IF(COPY!N546&gt;0,COPY!N546,"")</f>
        <v/>
      </c>
      <c r="K548" s="86" t="str">
        <f>IF(N548=0,(IF(LEFT(Table13[[#This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Row],[URAIAN]],$U$194:$V$210,2,FALSE),""),""),0))))),N548)</f>
        <v/>
      </c>
      <c r="L548" s="85" t="str">
        <f>IF(Table13[[#This Row],[Column2]]="KWITANSI",COUNTIF($K$4:K548,"KWITANSI")," ")</f>
        <v xml:space="preserve"> </v>
      </c>
      <c r="M548" s="85" t="str">
        <f>IF(Table13[[#This Row],[Column3]]=" "," ",Table13[[#This Row],[CODE]])</f>
        <v xml:space="preserve"> </v>
      </c>
      <c r="N548" s="368"/>
      <c r="P548" s="81" t="str">
        <f t="shared" si="8"/>
        <v/>
      </c>
    </row>
    <row r="549" spans="1:16" hidden="1" x14ac:dyDescent="0.15">
      <c r="A549" s="81" t="str">
        <f>COPY!O547</f>
        <v/>
      </c>
      <c r="B549" s="81" t="str">
        <f>COPY!C547</f>
        <v/>
      </c>
      <c r="C549" s="82" t="str">
        <f>COPY!D547</f>
        <v/>
      </c>
      <c r="D549" s="81" t="str">
        <f>IF(Table13[[#This Row],[JUMLAH]]&gt;1,(IF(Table13[[#This Row],[CODE]]=" ",D548&amp;"a",IF(Table13[[#This Row],[CODE]]&gt;0,Table13[[#This Row],[CODE]],0))),"")</f>
        <v/>
      </c>
      <c r="E549" s="81" t="str">
        <f>IF(COPY!G547&gt;0,COPY!G547,"")</f>
        <v/>
      </c>
      <c r="F549" s="88" t="str">
        <f>IF(COPY!J547&gt;0,COPY!J547,"")</f>
        <v/>
      </c>
      <c r="G549" s="85" t="str">
        <f>IF(COPY!H547&gt;0,COPY!H547,"")</f>
        <v/>
      </c>
      <c r="H549" s="85" t="str">
        <f>IF(COPY!I547&gt;0,COPY!I547,"")</f>
        <v/>
      </c>
      <c r="I549" s="85" t="str">
        <f>IF(COPY!M547&gt;0,COPY!M547,"")</f>
        <v/>
      </c>
      <c r="J549" s="85" t="str">
        <f>IF(COPY!N547&gt;0,COPY!N547,"")</f>
        <v/>
      </c>
      <c r="K549" s="86" t="str">
        <f>IF(N549=0,(IF(LEFT(Table13[[#This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Row],[URAIAN]],$U$194:$V$210,2,FALSE),""),""),0))))),N549)</f>
        <v/>
      </c>
      <c r="L549" s="85" t="str">
        <f>IF(Table13[[#This Row],[Column2]]="KWITANSI",COUNTIF($K$4:K549,"KWITANSI")," ")</f>
        <v xml:space="preserve"> </v>
      </c>
      <c r="M549" s="85" t="str">
        <f>IF(Table13[[#This Row],[Column3]]=" "," ",Table13[[#This Row],[CODE]])</f>
        <v xml:space="preserve"> </v>
      </c>
      <c r="N549" s="368"/>
      <c r="P549" s="81" t="str">
        <f t="shared" si="8"/>
        <v/>
      </c>
    </row>
    <row r="550" spans="1:16" hidden="1" x14ac:dyDescent="0.15">
      <c r="A550" s="81" t="str">
        <f>COPY!O548</f>
        <v/>
      </c>
      <c r="B550" s="81" t="str">
        <f>COPY!C548</f>
        <v/>
      </c>
      <c r="C550" s="82" t="str">
        <f>COPY!D548</f>
        <v/>
      </c>
      <c r="D550" s="81" t="str">
        <f>IF(Table13[[#This Row],[JUMLAH]]&gt;1,(IF(Table13[[#This Row],[CODE]]=" ",D549&amp;"a",IF(Table13[[#This Row],[CODE]]&gt;0,Table13[[#This Row],[CODE]],0))),"")</f>
        <v/>
      </c>
      <c r="E550" s="81" t="str">
        <f>IF(COPY!G548&gt;0,COPY!G548,"")</f>
        <v/>
      </c>
      <c r="F550" s="88" t="str">
        <f>IF(COPY!J548&gt;0,COPY!J548,"")</f>
        <v/>
      </c>
      <c r="G550" s="85" t="str">
        <f>IF(COPY!H548&gt;0,COPY!H548,"")</f>
        <v/>
      </c>
      <c r="H550" s="85" t="str">
        <f>IF(COPY!I548&gt;0,COPY!I548,"")</f>
        <v/>
      </c>
      <c r="I550" s="85" t="str">
        <f>IF(COPY!M548&gt;0,COPY!M548,"")</f>
        <v/>
      </c>
      <c r="J550" s="85" t="str">
        <f>IF(COPY!N548&gt;0,COPY!N548,"")</f>
        <v/>
      </c>
      <c r="K550" s="86" t="str">
        <f>IF(N550=0,(IF(LEFT(Table13[[#This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Row],[URAIAN]],$U$194:$V$210,2,FALSE),""),""),0))))),N550)</f>
        <v/>
      </c>
      <c r="L550" s="85" t="str">
        <f>IF(Table13[[#This Row],[Column2]]="KWITANSI",COUNTIF($K$4:K550,"KWITANSI")," ")</f>
        <v xml:space="preserve"> </v>
      </c>
      <c r="M550" s="85" t="str">
        <f>IF(Table13[[#This Row],[Column3]]=" "," ",Table13[[#This Row],[CODE]])</f>
        <v xml:space="preserve"> </v>
      </c>
      <c r="N550" s="368"/>
      <c r="P550" s="81" t="str">
        <f t="shared" si="8"/>
        <v/>
      </c>
    </row>
    <row r="551" spans="1:16" hidden="1" x14ac:dyDescent="0.15">
      <c r="A551" s="81" t="str">
        <f>COPY!O549</f>
        <v/>
      </c>
      <c r="B551" s="81" t="str">
        <f>COPY!C549</f>
        <v/>
      </c>
      <c r="C551" s="82" t="str">
        <f>COPY!D549</f>
        <v/>
      </c>
      <c r="D551" s="81" t="str">
        <f>IF(Table13[[#This Row],[JUMLAH]]&gt;1,(IF(Table13[[#This Row],[CODE]]=" ",D550&amp;"a",IF(Table13[[#This Row],[CODE]]&gt;0,Table13[[#This Row],[CODE]],0))),"")</f>
        <v/>
      </c>
      <c r="E551" s="81" t="str">
        <f>IF(COPY!G549&gt;0,COPY!G549,"")</f>
        <v/>
      </c>
      <c r="F551" s="88" t="str">
        <f>IF(COPY!J549&gt;0,COPY!J549,"")</f>
        <v/>
      </c>
      <c r="G551" s="85" t="str">
        <f>IF(COPY!H549&gt;0,COPY!H549,"")</f>
        <v/>
      </c>
      <c r="H551" s="85" t="str">
        <f>IF(COPY!I549&gt;0,COPY!I549,"")</f>
        <v/>
      </c>
      <c r="I551" s="85" t="str">
        <f>IF(COPY!M549&gt;0,COPY!M549,"")</f>
        <v/>
      </c>
      <c r="J551" s="85" t="str">
        <f>IF(COPY!N549&gt;0,COPY!N549,"")</f>
        <v/>
      </c>
      <c r="K551" s="86" t="str">
        <f>IF(N551=0,(IF(LEFT(Table13[[#This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Row],[URAIAN]],$U$194:$V$210,2,FALSE),""),""),0))))),N551)</f>
        <v/>
      </c>
      <c r="L551" s="85" t="str">
        <f>IF(Table13[[#This Row],[Column2]]="KWITANSI",COUNTIF($K$4:K551,"KWITANSI")," ")</f>
        <v xml:space="preserve"> </v>
      </c>
      <c r="M551" s="85" t="str">
        <f>IF(Table13[[#This Row],[Column3]]=" "," ",Table13[[#This Row],[CODE]])</f>
        <v xml:space="preserve"> </v>
      </c>
      <c r="N551" s="368"/>
      <c r="P551" s="81" t="str">
        <f t="shared" si="8"/>
        <v/>
      </c>
    </row>
    <row r="552" spans="1:16" hidden="1" x14ac:dyDescent="0.15">
      <c r="A552" s="81" t="str">
        <f>COPY!O550</f>
        <v/>
      </c>
      <c r="B552" s="81" t="str">
        <f>COPY!C550</f>
        <v/>
      </c>
      <c r="C552" s="82" t="str">
        <f>COPY!D550</f>
        <v/>
      </c>
      <c r="D552" s="81" t="str">
        <f>IF(Table13[[#This Row],[JUMLAH]]&gt;1,(IF(Table13[[#This Row],[CODE]]=" ",D551&amp;"a",IF(Table13[[#This Row],[CODE]]&gt;0,Table13[[#This Row],[CODE]],0))),"")</f>
        <v/>
      </c>
      <c r="E552" s="81" t="str">
        <f>IF(COPY!G550&gt;0,COPY!G550,"")</f>
        <v/>
      </c>
      <c r="F552" s="88" t="str">
        <f>IF(COPY!J550&gt;0,COPY!J550,"")</f>
        <v/>
      </c>
      <c r="G552" s="85" t="str">
        <f>IF(COPY!H550&gt;0,COPY!H550,"")</f>
        <v/>
      </c>
      <c r="H552" s="85" t="str">
        <f>IF(COPY!I550&gt;0,COPY!I550,"")</f>
        <v/>
      </c>
      <c r="I552" s="85" t="str">
        <f>IF(COPY!M550&gt;0,COPY!M550,"")</f>
        <v/>
      </c>
      <c r="J552" s="85" t="str">
        <f>IF(COPY!N550&gt;0,COPY!N550,"")</f>
        <v/>
      </c>
      <c r="K552" s="86" t="str">
        <f>IF(N552=0,(IF(LEFT(Table13[[#This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Row],[URAIAN]],$U$194:$V$210,2,FALSE),""),""),0))))),N552)</f>
        <v/>
      </c>
      <c r="L552" s="85" t="str">
        <f>IF(Table13[[#This Row],[Column2]]="KWITANSI",COUNTIF($K$4:K552,"KWITANSI")," ")</f>
        <v xml:space="preserve"> </v>
      </c>
      <c r="M552" s="85" t="str">
        <f>IF(Table13[[#This Row],[Column3]]=" "," ",Table13[[#This Row],[CODE]])</f>
        <v xml:space="preserve"> </v>
      </c>
      <c r="N552" s="368"/>
      <c r="P552" s="81" t="str">
        <f t="shared" si="8"/>
        <v/>
      </c>
    </row>
    <row r="553" spans="1:16" hidden="1" x14ac:dyDescent="0.15">
      <c r="A553" s="81" t="str">
        <f>COPY!O551</f>
        <v/>
      </c>
      <c r="B553" s="81" t="str">
        <f>COPY!C551</f>
        <v/>
      </c>
      <c r="C553" s="82" t="str">
        <f>COPY!D551</f>
        <v/>
      </c>
      <c r="D553" s="81" t="str">
        <f>IF(Table13[[#This Row],[JUMLAH]]&gt;1,(IF(Table13[[#This Row],[CODE]]=" ",D552&amp;"a",IF(Table13[[#This Row],[CODE]]&gt;0,Table13[[#This Row],[CODE]],0))),"")</f>
        <v/>
      </c>
      <c r="E553" s="81" t="str">
        <f>IF(COPY!G551&gt;0,COPY!G551,"")</f>
        <v/>
      </c>
      <c r="F553" s="88" t="str">
        <f>IF(COPY!J551&gt;0,COPY!J551,"")</f>
        <v/>
      </c>
      <c r="G553" s="85" t="str">
        <f>IF(COPY!H551&gt;0,COPY!H551,"")</f>
        <v/>
      </c>
      <c r="H553" s="85" t="str">
        <f>IF(COPY!I551&gt;0,COPY!I551,"")</f>
        <v/>
      </c>
      <c r="I553" s="85" t="str">
        <f>IF(COPY!M551&gt;0,COPY!M551,"")</f>
        <v/>
      </c>
      <c r="J553" s="85" t="str">
        <f>IF(COPY!N551&gt;0,COPY!N551,"")</f>
        <v/>
      </c>
      <c r="K553" s="86" t="str">
        <f>IF(N553=0,(IF(LEFT(Table13[[#This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Row],[URAIAN]],$U$194:$V$210,2,FALSE),""),""),0))))),N553)</f>
        <v/>
      </c>
      <c r="L553" s="85" t="str">
        <f>IF(Table13[[#This Row],[Column2]]="KWITANSI",COUNTIF($K$4:K553,"KWITANSI")," ")</f>
        <v xml:space="preserve"> </v>
      </c>
      <c r="M553" s="85" t="str">
        <f>IF(Table13[[#This Row],[Column3]]=" "," ",Table13[[#This Row],[CODE]])</f>
        <v xml:space="preserve"> </v>
      </c>
      <c r="N553" s="368"/>
      <c r="P553" s="81" t="str">
        <f t="shared" si="8"/>
        <v/>
      </c>
    </row>
    <row r="554" spans="1:16" hidden="1" x14ac:dyDescent="0.15">
      <c r="A554" s="81" t="str">
        <f>COPY!O552</f>
        <v/>
      </c>
      <c r="B554" s="81" t="str">
        <f>COPY!C552</f>
        <v/>
      </c>
      <c r="C554" s="82" t="str">
        <f>COPY!D552</f>
        <v/>
      </c>
      <c r="D554" s="81" t="str">
        <f>IF(Table13[[#This Row],[JUMLAH]]&gt;1,(IF(Table13[[#This Row],[CODE]]=" ",D553&amp;"a",IF(Table13[[#This Row],[CODE]]&gt;0,Table13[[#This Row],[CODE]],0))),"")</f>
        <v/>
      </c>
      <c r="E554" s="81" t="str">
        <f>IF(COPY!G552&gt;0,COPY!G552,"")</f>
        <v/>
      </c>
      <c r="F554" s="88" t="str">
        <f>IF(COPY!J552&gt;0,COPY!J552,"")</f>
        <v/>
      </c>
      <c r="G554" s="85" t="str">
        <f>IF(COPY!H552&gt;0,COPY!H552,"")</f>
        <v/>
      </c>
      <c r="H554" s="85" t="str">
        <f>IF(COPY!I552&gt;0,COPY!I552,"")</f>
        <v/>
      </c>
      <c r="I554" s="85" t="str">
        <f>IF(COPY!M552&gt;0,COPY!M552,"")</f>
        <v/>
      </c>
      <c r="J554" s="85" t="str">
        <f>IF(COPY!N552&gt;0,COPY!N552,"")</f>
        <v/>
      </c>
      <c r="K554" s="86" t="str">
        <f>IF(N554=0,(IF(LEFT(Table13[[#This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Row],[URAIAN]],$U$194:$V$210,2,FALSE),""),""),0))))),N554)</f>
        <v/>
      </c>
      <c r="L554" s="85" t="str">
        <f>IF(Table13[[#This Row],[Column2]]="KWITANSI",COUNTIF($K$4:K554,"KWITANSI")," ")</f>
        <v xml:space="preserve"> </v>
      </c>
      <c r="M554" s="85" t="str">
        <f>IF(Table13[[#This Row],[Column3]]=" "," ",Table13[[#This Row],[CODE]])</f>
        <v xml:space="preserve"> </v>
      </c>
      <c r="N554" s="368"/>
      <c r="P554" s="81" t="str">
        <f t="shared" si="8"/>
        <v/>
      </c>
    </row>
    <row r="555" spans="1:16" hidden="1" x14ac:dyDescent="0.15">
      <c r="A555" s="81" t="str">
        <f>COPY!O553</f>
        <v/>
      </c>
      <c r="B555" s="81" t="str">
        <f>COPY!C553</f>
        <v/>
      </c>
      <c r="C555" s="82" t="str">
        <f>COPY!D553</f>
        <v/>
      </c>
      <c r="D555" s="81" t="str">
        <f>IF(Table13[[#This Row],[JUMLAH]]&gt;1,(IF(Table13[[#This Row],[CODE]]=" ",D554&amp;"a",IF(Table13[[#This Row],[CODE]]&gt;0,Table13[[#This Row],[CODE]],0))),"")</f>
        <v/>
      </c>
      <c r="E555" s="81" t="str">
        <f>IF(COPY!G553&gt;0,COPY!G553,"")</f>
        <v/>
      </c>
      <c r="F555" s="88" t="str">
        <f>IF(COPY!J553&gt;0,COPY!J553,"")</f>
        <v/>
      </c>
      <c r="G555" s="85" t="str">
        <f>IF(COPY!H553&gt;0,COPY!H553,"")</f>
        <v/>
      </c>
      <c r="H555" s="85" t="str">
        <f>IF(COPY!I553&gt;0,COPY!I553,"")</f>
        <v/>
      </c>
      <c r="I555" s="85" t="str">
        <f>IF(COPY!M553&gt;0,COPY!M553,"")</f>
        <v/>
      </c>
      <c r="J555" s="85" t="str">
        <f>IF(COPY!N553&gt;0,COPY!N553,"")</f>
        <v/>
      </c>
      <c r="K555" s="86" t="str">
        <f>IF(N555=0,(IF(LEFT(Table13[[#This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Row],[URAIAN]],$U$194:$V$210,2,FALSE),""),""),0))))),N555)</f>
        <v/>
      </c>
      <c r="L555" s="85" t="str">
        <f>IF(Table13[[#This Row],[Column2]]="KWITANSI",COUNTIF($K$4:K555,"KWITANSI")," ")</f>
        <v xml:space="preserve"> </v>
      </c>
      <c r="M555" s="85" t="str">
        <f>IF(Table13[[#This Row],[Column3]]=" "," ",Table13[[#This Row],[CODE]])</f>
        <v xml:space="preserve"> </v>
      </c>
      <c r="N555" s="368"/>
      <c r="P555" s="81" t="str">
        <f t="shared" si="8"/>
        <v/>
      </c>
    </row>
    <row r="556" spans="1:16" hidden="1" x14ac:dyDescent="0.15">
      <c r="A556" s="81" t="str">
        <f>COPY!O554</f>
        <v/>
      </c>
      <c r="B556" s="81" t="str">
        <f>COPY!C554</f>
        <v/>
      </c>
      <c r="C556" s="82" t="str">
        <f>COPY!D554</f>
        <v/>
      </c>
      <c r="D556" s="81" t="str">
        <f>IF(Table13[[#This Row],[JUMLAH]]&gt;1,(IF(Table13[[#This Row],[CODE]]=" ",D555&amp;"a",IF(Table13[[#This Row],[CODE]]&gt;0,Table13[[#This Row],[CODE]],0))),"")</f>
        <v/>
      </c>
      <c r="E556" s="81" t="str">
        <f>IF(COPY!G554&gt;0,COPY!G554,"")</f>
        <v/>
      </c>
      <c r="F556" s="88" t="str">
        <f>IF(COPY!J554&gt;0,COPY!J554,"")</f>
        <v/>
      </c>
      <c r="G556" s="85" t="str">
        <f>IF(COPY!H554&gt;0,COPY!H554,"")</f>
        <v/>
      </c>
      <c r="H556" s="85" t="str">
        <f>IF(COPY!I554&gt;0,COPY!I554,"")</f>
        <v/>
      </c>
      <c r="I556" s="85" t="str">
        <f>IF(COPY!M554&gt;0,COPY!M554,"")</f>
        <v/>
      </c>
      <c r="J556" s="85" t="str">
        <f>IF(COPY!N554&gt;0,COPY!N554,"")</f>
        <v/>
      </c>
      <c r="K556" s="86" t="str">
        <f>IF(N556=0,(IF(LEFT(Table13[[#This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Row],[URAIAN]],$U$194:$V$210,2,FALSE),""),""),0))))),N556)</f>
        <v/>
      </c>
      <c r="L556" s="85" t="str">
        <f>IF(Table13[[#This Row],[Column2]]="KWITANSI",COUNTIF($K$4:K556,"KWITANSI")," ")</f>
        <v xml:space="preserve"> </v>
      </c>
      <c r="M556" s="85" t="str">
        <f>IF(Table13[[#This Row],[Column3]]=" "," ",Table13[[#This Row],[CODE]])</f>
        <v xml:space="preserve"> </v>
      </c>
      <c r="N556" s="368"/>
      <c r="P556" s="81" t="str">
        <f t="shared" si="8"/>
        <v/>
      </c>
    </row>
    <row r="557" spans="1:16" hidden="1" x14ac:dyDescent="0.15">
      <c r="A557" s="81" t="str">
        <f>COPY!O555</f>
        <v/>
      </c>
      <c r="B557" s="81" t="str">
        <f>COPY!C555</f>
        <v/>
      </c>
      <c r="C557" s="82" t="str">
        <f>COPY!D555</f>
        <v/>
      </c>
      <c r="D557" s="81" t="str">
        <f>IF(Table13[[#This Row],[JUMLAH]]&gt;1,(IF(Table13[[#This Row],[CODE]]=" ",D556&amp;"a",IF(Table13[[#This Row],[CODE]]&gt;0,Table13[[#This Row],[CODE]],0))),"")</f>
        <v/>
      </c>
      <c r="E557" s="81" t="str">
        <f>IF(COPY!G555&gt;0,COPY!G555,"")</f>
        <v/>
      </c>
      <c r="F557" s="88" t="str">
        <f>IF(COPY!J555&gt;0,COPY!J555,"")</f>
        <v/>
      </c>
      <c r="G557" s="85" t="str">
        <f>IF(COPY!H555&gt;0,COPY!H555,"")</f>
        <v/>
      </c>
      <c r="H557" s="85" t="str">
        <f>IF(COPY!I555&gt;0,COPY!I555,"")</f>
        <v/>
      </c>
      <c r="I557" s="85" t="str">
        <f>IF(COPY!M555&gt;0,COPY!M555,"")</f>
        <v/>
      </c>
      <c r="J557" s="85" t="str">
        <f>IF(COPY!N555&gt;0,COPY!N555,"")</f>
        <v/>
      </c>
      <c r="K557" s="86" t="str">
        <f>IF(N557=0,(IF(LEFT(Table13[[#This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Row],[URAIAN]],$U$194:$V$210,2,FALSE),""),""),0))))),N557)</f>
        <v/>
      </c>
      <c r="L557" s="85" t="str">
        <f>IF(Table13[[#This Row],[Column2]]="KWITANSI",COUNTIF($K$4:K557,"KWITANSI")," ")</f>
        <v xml:space="preserve"> </v>
      </c>
      <c r="M557" s="85" t="str">
        <f>IF(Table13[[#This Row],[Column3]]=" "," ",Table13[[#This Row],[CODE]])</f>
        <v xml:space="preserve"> </v>
      </c>
      <c r="N557" s="368"/>
      <c r="P557" s="81" t="str">
        <f t="shared" si="8"/>
        <v/>
      </c>
    </row>
    <row r="558" spans="1:16" hidden="1" x14ac:dyDescent="0.15">
      <c r="A558" s="81" t="str">
        <f>COPY!O556</f>
        <v/>
      </c>
      <c r="B558" s="81" t="str">
        <f>COPY!C556</f>
        <v/>
      </c>
      <c r="C558" s="82" t="str">
        <f>COPY!D556</f>
        <v/>
      </c>
      <c r="D558" s="81" t="str">
        <f>IF(Table13[[#This Row],[JUMLAH]]&gt;1,(IF(Table13[[#This Row],[CODE]]=" ",D557&amp;"a",IF(Table13[[#This Row],[CODE]]&gt;0,Table13[[#This Row],[CODE]],0))),"")</f>
        <v/>
      </c>
      <c r="E558" s="81" t="str">
        <f>IF(COPY!G556&gt;0,COPY!G556,"")</f>
        <v/>
      </c>
      <c r="F558" s="88" t="str">
        <f>IF(COPY!J556&gt;0,COPY!J556,"")</f>
        <v/>
      </c>
      <c r="G558" s="85" t="str">
        <f>IF(COPY!H556&gt;0,COPY!H556,"")</f>
        <v/>
      </c>
      <c r="H558" s="85" t="str">
        <f>IF(COPY!I556&gt;0,COPY!I556,"")</f>
        <v/>
      </c>
      <c r="I558" s="85" t="str">
        <f>IF(COPY!M556&gt;0,COPY!M556,"")</f>
        <v/>
      </c>
      <c r="J558" s="85" t="str">
        <f>IF(COPY!N556&gt;0,COPY!N556,"")</f>
        <v/>
      </c>
      <c r="K558" s="86" t="str">
        <f>IF(N558=0,(IF(LEFT(Table13[[#This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Row],[URAIAN]],$U$194:$V$210,2,FALSE),""),""),0))))),N558)</f>
        <v/>
      </c>
      <c r="L558" s="85" t="str">
        <f>IF(Table13[[#This Row],[Column2]]="KWITANSI",COUNTIF($K$4:K558,"KWITANSI")," ")</f>
        <v xml:space="preserve"> </v>
      </c>
      <c r="M558" s="85" t="str">
        <f>IF(Table13[[#This Row],[Column3]]=" "," ",Table13[[#This Row],[CODE]])</f>
        <v xml:space="preserve"> </v>
      </c>
      <c r="N558" s="368"/>
      <c r="P558" s="81" t="str">
        <f t="shared" si="8"/>
        <v/>
      </c>
    </row>
    <row r="559" spans="1:16" hidden="1" x14ac:dyDescent="0.15">
      <c r="A559" s="81" t="str">
        <f>COPY!O557</f>
        <v/>
      </c>
      <c r="B559" s="81" t="str">
        <f>COPY!C557</f>
        <v/>
      </c>
      <c r="C559" s="82" t="str">
        <f>COPY!D557</f>
        <v/>
      </c>
      <c r="D559" s="81" t="str">
        <f>IF(Table13[[#This Row],[JUMLAH]]&gt;1,(IF(Table13[[#This Row],[CODE]]=" ",D558&amp;"a",IF(Table13[[#This Row],[CODE]]&gt;0,Table13[[#This Row],[CODE]],0))),"")</f>
        <v/>
      </c>
      <c r="E559" s="81" t="str">
        <f>IF(COPY!G557&gt;0,COPY!G557,"")</f>
        <v/>
      </c>
      <c r="F559" s="88" t="str">
        <f>IF(COPY!J557&gt;0,COPY!J557,"")</f>
        <v/>
      </c>
      <c r="G559" s="85" t="str">
        <f>IF(COPY!H557&gt;0,COPY!H557,"")</f>
        <v/>
      </c>
      <c r="H559" s="85" t="str">
        <f>IF(COPY!I557&gt;0,COPY!I557,"")</f>
        <v/>
      </c>
      <c r="I559" s="85" t="str">
        <f>IF(COPY!M557&gt;0,COPY!M557,"")</f>
        <v/>
      </c>
      <c r="J559" s="85" t="str">
        <f>IF(COPY!N557&gt;0,COPY!N557,"")</f>
        <v/>
      </c>
      <c r="K559" s="86" t="str">
        <f>IF(N559=0,(IF(LEFT(Table13[[#This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Row],[URAIAN]],$U$194:$V$210,2,FALSE),""),""),0))))),N559)</f>
        <v/>
      </c>
      <c r="L559" s="85" t="str">
        <f>IF(Table13[[#This Row],[Column2]]="KWITANSI",COUNTIF($K$4:K559,"KWITANSI")," ")</f>
        <v xml:space="preserve"> </v>
      </c>
      <c r="M559" s="85" t="str">
        <f>IF(Table13[[#This Row],[Column3]]=" "," ",Table13[[#This Row],[CODE]])</f>
        <v xml:space="preserve"> </v>
      </c>
      <c r="N559" s="368"/>
      <c r="P559" s="81" t="str">
        <f t="shared" si="8"/>
        <v/>
      </c>
    </row>
    <row r="560" spans="1:16" hidden="1" x14ac:dyDescent="0.15">
      <c r="A560" s="81" t="str">
        <f>COPY!O558</f>
        <v/>
      </c>
      <c r="B560" s="81" t="str">
        <f>COPY!C558</f>
        <v/>
      </c>
      <c r="C560" s="82" t="str">
        <f>COPY!D558</f>
        <v/>
      </c>
      <c r="D560" s="81" t="str">
        <f>IF(Table13[[#This Row],[JUMLAH]]&gt;1,(IF(Table13[[#This Row],[CODE]]=" ",D559&amp;"a",IF(Table13[[#This Row],[CODE]]&gt;0,Table13[[#This Row],[CODE]],0))),"")</f>
        <v/>
      </c>
      <c r="E560" s="81" t="str">
        <f>IF(COPY!G558&gt;0,COPY!G558,"")</f>
        <v/>
      </c>
      <c r="F560" s="88" t="str">
        <f>IF(COPY!J558&gt;0,COPY!J558,"")</f>
        <v/>
      </c>
      <c r="G560" s="85" t="str">
        <f>IF(COPY!H558&gt;0,COPY!H558,"")</f>
        <v/>
      </c>
      <c r="H560" s="85" t="str">
        <f>IF(COPY!I558&gt;0,COPY!I558,"")</f>
        <v/>
      </c>
      <c r="I560" s="85" t="str">
        <f>IF(COPY!M558&gt;0,COPY!M558,"")</f>
        <v/>
      </c>
      <c r="J560" s="85" t="str">
        <f>IF(COPY!N558&gt;0,COPY!N558,"")</f>
        <v/>
      </c>
      <c r="K560" s="86" t="str">
        <f>IF(N560=0,(IF(LEFT(Table13[[#This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Row],[URAIAN]],$U$194:$V$210,2,FALSE),""),""),0))))),N560)</f>
        <v/>
      </c>
      <c r="L560" s="85" t="str">
        <f>IF(Table13[[#This Row],[Column2]]="KWITANSI",COUNTIF($K$4:K560,"KWITANSI")," ")</f>
        <v xml:space="preserve"> </v>
      </c>
      <c r="M560" s="85" t="str">
        <f>IF(Table13[[#This Row],[Column3]]=" "," ",Table13[[#This Row],[CODE]])</f>
        <v xml:space="preserve"> </v>
      </c>
      <c r="N560" s="368"/>
      <c r="P560" s="81" t="str">
        <f t="shared" si="8"/>
        <v/>
      </c>
    </row>
    <row r="561" spans="1:16" hidden="1" x14ac:dyDescent="0.15">
      <c r="A561" s="81" t="str">
        <f>COPY!O559</f>
        <v/>
      </c>
      <c r="B561" s="81" t="str">
        <f>COPY!C559</f>
        <v/>
      </c>
      <c r="C561" s="82" t="str">
        <f>COPY!D559</f>
        <v/>
      </c>
      <c r="D561" s="81" t="str">
        <f>IF(Table13[[#This Row],[JUMLAH]]&gt;1,(IF(Table13[[#This Row],[CODE]]=" ",D560&amp;"a",IF(Table13[[#This Row],[CODE]]&gt;0,Table13[[#This Row],[CODE]],0))),"")</f>
        <v/>
      </c>
      <c r="E561" s="81" t="str">
        <f>IF(COPY!G559&gt;0,COPY!G559,"")</f>
        <v/>
      </c>
      <c r="F561" s="88" t="str">
        <f>IF(COPY!J559&gt;0,COPY!J559,"")</f>
        <v/>
      </c>
      <c r="G561" s="85" t="str">
        <f>IF(COPY!H559&gt;0,COPY!H559,"")</f>
        <v/>
      </c>
      <c r="H561" s="85" t="str">
        <f>IF(COPY!I559&gt;0,COPY!I559,"")</f>
        <v/>
      </c>
      <c r="I561" s="85" t="str">
        <f>IF(COPY!M559&gt;0,COPY!M559,"")</f>
        <v/>
      </c>
      <c r="J561" s="85" t="str">
        <f>IF(COPY!N559&gt;0,COPY!N559,"")</f>
        <v/>
      </c>
      <c r="K561" s="86" t="str">
        <f>IF(N561=0,(IF(LEFT(Table13[[#This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Row],[URAIAN]],$U$194:$V$210,2,FALSE),""),""),0))))),N561)</f>
        <v/>
      </c>
      <c r="L561" s="85" t="str">
        <f>IF(Table13[[#This Row],[Column2]]="KWITANSI",COUNTIF($K$4:K561,"KWITANSI")," ")</f>
        <v xml:space="preserve"> </v>
      </c>
      <c r="M561" s="85" t="str">
        <f>IF(Table13[[#This Row],[Column3]]=" "," ",Table13[[#This Row],[CODE]])</f>
        <v xml:space="preserve"> </v>
      </c>
      <c r="N561" s="368"/>
      <c r="P561" s="81" t="str">
        <f t="shared" si="8"/>
        <v/>
      </c>
    </row>
    <row r="562" spans="1:16" hidden="1" x14ac:dyDescent="0.15">
      <c r="A562" s="81" t="str">
        <f>COPY!O560</f>
        <v/>
      </c>
      <c r="B562" s="81" t="str">
        <f>COPY!C560</f>
        <v/>
      </c>
      <c r="C562" s="82" t="str">
        <f>COPY!D560</f>
        <v/>
      </c>
      <c r="D562" s="81" t="str">
        <f>IF(Table13[[#This Row],[JUMLAH]]&gt;1,(IF(Table13[[#This Row],[CODE]]=" ",D561&amp;"a",IF(Table13[[#This Row],[CODE]]&gt;0,Table13[[#This Row],[CODE]],0))),"")</f>
        <v/>
      </c>
      <c r="E562" s="81" t="str">
        <f>IF(COPY!G560&gt;0,COPY!G560,"")</f>
        <v/>
      </c>
      <c r="F562" s="88" t="str">
        <f>IF(COPY!J560&gt;0,COPY!J560,"")</f>
        <v/>
      </c>
      <c r="G562" s="85" t="str">
        <f>IF(COPY!H560&gt;0,COPY!H560,"")</f>
        <v/>
      </c>
      <c r="H562" s="85" t="str">
        <f>IF(COPY!I560&gt;0,COPY!I560,"")</f>
        <v/>
      </c>
      <c r="I562" s="85" t="str">
        <f>IF(COPY!M560&gt;0,COPY!M560,"")</f>
        <v/>
      </c>
      <c r="J562" s="85" t="str">
        <f>IF(COPY!N560&gt;0,COPY!N560,"")</f>
        <v/>
      </c>
      <c r="K562" s="86" t="str">
        <f>IF(N562=0,(IF(LEFT(Table13[[#This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Row],[URAIAN]],$U$194:$V$210,2,FALSE),""),""),0))))),N562)</f>
        <v/>
      </c>
      <c r="L562" s="85" t="str">
        <f>IF(Table13[[#This Row],[Column2]]="KWITANSI",COUNTIF($K$4:K562,"KWITANSI")," ")</f>
        <v xml:space="preserve"> </v>
      </c>
      <c r="M562" s="85" t="str">
        <f>IF(Table13[[#This Row],[Column3]]=" "," ",Table13[[#This Row],[CODE]])</f>
        <v xml:space="preserve"> </v>
      </c>
      <c r="N562" s="368"/>
      <c r="P562" s="81" t="str">
        <f t="shared" si="8"/>
        <v/>
      </c>
    </row>
    <row r="563" spans="1:16" hidden="1" x14ac:dyDescent="0.15">
      <c r="A563" s="81" t="str">
        <f>COPY!O561</f>
        <v/>
      </c>
      <c r="B563" s="81" t="str">
        <f>COPY!C561</f>
        <v/>
      </c>
      <c r="C563" s="82" t="str">
        <f>COPY!D561</f>
        <v/>
      </c>
      <c r="D563" s="81" t="str">
        <f>IF(Table13[[#This Row],[JUMLAH]]&gt;1,(IF(Table13[[#This Row],[CODE]]=" ",D562&amp;"a",IF(Table13[[#This Row],[CODE]]&gt;0,Table13[[#This Row],[CODE]],0))),"")</f>
        <v/>
      </c>
      <c r="E563" s="81" t="str">
        <f>IF(COPY!G561&gt;0,COPY!G561,"")</f>
        <v/>
      </c>
      <c r="F563" s="88" t="str">
        <f>IF(COPY!J561&gt;0,COPY!J561,"")</f>
        <v/>
      </c>
      <c r="G563" s="85" t="str">
        <f>IF(COPY!H561&gt;0,COPY!H561,"")</f>
        <v/>
      </c>
      <c r="H563" s="85" t="str">
        <f>IF(COPY!I561&gt;0,COPY!I561,"")</f>
        <v/>
      </c>
      <c r="I563" s="85" t="str">
        <f>IF(COPY!M561&gt;0,COPY!M561,"")</f>
        <v/>
      </c>
      <c r="J563" s="85" t="str">
        <f>IF(COPY!N561&gt;0,COPY!N561,"")</f>
        <v/>
      </c>
      <c r="K563" s="86" t="str">
        <f>IF(N563=0,(IF(LEFT(Table13[[#This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Row],[URAIAN]],$U$194:$V$210,2,FALSE),""),""),0))))),N563)</f>
        <v/>
      </c>
      <c r="L563" s="85" t="str">
        <f>IF(Table13[[#This Row],[Column2]]="KWITANSI",COUNTIF($K$4:K563,"KWITANSI")," ")</f>
        <v xml:space="preserve"> </v>
      </c>
      <c r="M563" s="85" t="str">
        <f>IF(Table13[[#This Row],[Column3]]=" "," ",Table13[[#This Row],[CODE]])</f>
        <v xml:space="preserve"> </v>
      </c>
      <c r="N563" s="368"/>
      <c r="P563" s="81" t="str">
        <f t="shared" si="8"/>
        <v/>
      </c>
    </row>
    <row r="564" spans="1:16" hidden="1" x14ac:dyDescent="0.15">
      <c r="A564" s="81" t="str">
        <f>COPY!O562</f>
        <v/>
      </c>
      <c r="B564" s="81" t="str">
        <f>COPY!C562</f>
        <v/>
      </c>
      <c r="C564" s="82" t="str">
        <f>COPY!D562</f>
        <v/>
      </c>
      <c r="D564" s="81" t="str">
        <f>IF(Table13[[#This Row],[JUMLAH]]&gt;1,(IF(Table13[[#This Row],[CODE]]=" ",D563&amp;"a",IF(Table13[[#This Row],[CODE]]&gt;0,Table13[[#This Row],[CODE]],0))),"")</f>
        <v/>
      </c>
      <c r="E564" s="81" t="str">
        <f>IF(COPY!G562&gt;0,COPY!G562,"")</f>
        <v/>
      </c>
      <c r="F564" s="88" t="str">
        <f>IF(COPY!J562&gt;0,COPY!J562,"")</f>
        <v/>
      </c>
      <c r="G564" s="85" t="str">
        <f>IF(COPY!H562&gt;0,COPY!H562,"")</f>
        <v/>
      </c>
      <c r="H564" s="85" t="str">
        <f>IF(COPY!I562&gt;0,COPY!I562,"")</f>
        <v/>
      </c>
      <c r="I564" s="85" t="str">
        <f>IF(COPY!M562&gt;0,COPY!M562,"")</f>
        <v/>
      </c>
      <c r="J564" s="85" t="str">
        <f>IF(COPY!N562&gt;0,COPY!N562,"")</f>
        <v/>
      </c>
      <c r="K564" s="86" t="str">
        <f>IF(N564=0,(IF(LEFT(Table13[[#This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Row],[URAIAN]],$U$194:$V$210,2,FALSE),""),""),0))))),N564)</f>
        <v/>
      </c>
      <c r="L564" s="85" t="str">
        <f>IF(Table13[[#This Row],[Column2]]="KWITANSI",COUNTIF($K$4:K564,"KWITANSI")," ")</f>
        <v xml:space="preserve"> </v>
      </c>
      <c r="M564" s="85" t="str">
        <f>IF(Table13[[#This Row],[Column3]]=" "," ",Table13[[#This Row],[CODE]])</f>
        <v xml:space="preserve"> </v>
      </c>
      <c r="N564" s="368"/>
      <c r="P564" s="81" t="str">
        <f t="shared" si="8"/>
        <v/>
      </c>
    </row>
    <row r="565" spans="1:16" hidden="1" x14ac:dyDescent="0.15">
      <c r="A565" s="81" t="str">
        <f>COPY!O563</f>
        <v/>
      </c>
      <c r="B565" s="81" t="str">
        <f>COPY!C563</f>
        <v/>
      </c>
      <c r="C565" s="82" t="str">
        <f>COPY!D563</f>
        <v/>
      </c>
      <c r="D565" s="81" t="str">
        <f>IF(Table13[[#This Row],[JUMLAH]]&gt;1,(IF(Table13[[#This Row],[CODE]]=" ",D564&amp;"a",IF(Table13[[#This Row],[CODE]]&gt;0,Table13[[#This Row],[CODE]],0))),"")</f>
        <v/>
      </c>
      <c r="E565" s="81" t="str">
        <f>IF(COPY!G563&gt;0,COPY!G563,"")</f>
        <v/>
      </c>
      <c r="F565" s="88" t="str">
        <f>IF(COPY!J563&gt;0,COPY!J563,"")</f>
        <v/>
      </c>
      <c r="G565" s="85" t="str">
        <f>IF(COPY!H563&gt;0,COPY!H563,"")</f>
        <v/>
      </c>
      <c r="H565" s="85" t="str">
        <f>IF(COPY!I563&gt;0,COPY!I563,"")</f>
        <v/>
      </c>
      <c r="I565" s="85" t="str">
        <f>IF(COPY!M563&gt;0,COPY!M563,"")</f>
        <v/>
      </c>
      <c r="J565" s="85" t="str">
        <f>IF(COPY!N563&gt;0,COPY!N563,"")</f>
        <v/>
      </c>
      <c r="K565" s="86" t="str">
        <f>IF(N565=0,(IF(LEFT(Table13[[#This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Row],[URAIAN]],$U$194:$V$210,2,FALSE),""),""),0))))),N565)</f>
        <v/>
      </c>
      <c r="L565" s="85" t="str">
        <f>IF(Table13[[#This Row],[Column2]]="KWITANSI",COUNTIF($K$4:K565,"KWITANSI")," ")</f>
        <v xml:space="preserve"> </v>
      </c>
      <c r="M565" s="85" t="str">
        <f>IF(Table13[[#This Row],[Column3]]=" "," ",Table13[[#This Row],[CODE]])</f>
        <v xml:space="preserve"> </v>
      </c>
      <c r="N565" s="368"/>
      <c r="P565" s="81" t="str">
        <f t="shared" si="8"/>
        <v/>
      </c>
    </row>
    <row r="566" spans="1:16" hidden="1" x14ac:dyDescent="0.15">
      <c r="A566" s="81" t="str">
        <f>COPY!O564</f>
        <v/>
      </c>
      <c r="B566" s="81" t="str">
        <f>COPY!C564</f>
        <v/>
      </c>
      <c r="C566" s="82" t="str">
        <f>COPY!D564</f>
        <v/>
      </c>
      <c r="D566" s="81" t="str">
        <f>IF(Table13[[#This Row],[JUMLAH]]&gt;1,(IF(Table13[[#This Row],[CODE]]=" ",D565&amp;"a",IF(Table13[[#This Row],[CODE]]&gt;0,Table13[[#This Row],[CODE]],0))),"")</f>
        <v/>
      </c>
      <c r="E566" s="81" t="str">
        <f>IF(COPY!G564&gt;0,COPY!G564,"")</f>
        <v/>
      </c>
      <c r="F566" s="88" t="str">
        <f>IF(COPY!J564&gt;0,COPY!J564,"")</f>
        <v/>
      </c>
      <c r="G566" s="85" t="str">
        <f>IF(COPY!H564&gt;0,COPY!H564,"")</f>
        <v/>
      </c>
      <c r="H566" s="85" t="str">
        <f>IF(COPY!I564&gt;0,COPY!I564,"")</f>
        <v/>
      </c>
      <c r="I566" s="85" t="str">
        <f>IF(COPY!M564&gt;0,COPY!M564,"")</f>
        <v/>
      </c>
      <c r="J566" s="85" t="str">
        <f>IF(COPY!N564&gt;0,COPY!N564,"")</f>
        <v/>
      </c>
      <c r="K566" s="86" t="str">
        <f>IF(N566=0,(IF(LEFT(Table13[[#This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Row],[URAIAN]],$U$194:$V$210,2,FALSE),""),""),0))))),N566)</f>
        <v/>
      </c>
      <c r="L566" s="85" t="str">
        <f>IF(Table13[[#This Row],[Column2]]="KWITANSI",COUNTIF($K$4:K566,"KWITANSI")," ")</f>
        <v xml:space="preserve"> </v>
      </c>
      <c r="M566" s="85" t="str">
        <f>IF(Table13[[#This Row],[Column3]]=" "," ",Table13[[#This Row],[CODE]])</f>
        <v xml:space="preserve"> </v>
      </c>
      <c r="N566" s="368"/>
      <c r="P566" s="81" t="str">
        <f t="shared" si="8"/>
        <v/>
      </c>
    </row>
    <row r="567" spans="1:16" hidden="1" x14ac:dyDescent="0.15">
      <c r="A567" s="81" t="str">
        <f>COPY!O565</f>
        <v/>
      </c>
      <c r="B567" s="81" t="str">
        <f>COPY!C565</f>
        <v/>
      </c>
      <c r="C567" s="82" t="str">
        <f>COPY!D565</f>
        <v/>
      </c>
      <c r="D567" s="81" t="str">
        <f>IF(Table13[[#This Row],[JUMLAH]]&gt;1,(IF(Table13[[#This Row],[CODE]]=" ",D566&amp;"a",IF(Table13[[#This Row],[CODE]]&gt;0,Table13[[#This Row],[CODE]],0))),"")</f>
        <v/>
      </c>
      <c r="E567" s="81" t="str">
        <f>IF(COPY!G565&gt;0,COPY!G565,"")</f>
        <v/>
      </c>
      <c r="F567" s="88" t="str">
        <f>IF(COPY!J565&gt;0,COPY!J565,"")</f>
        <v/>
      </c>
      <c r="G567" s="85" t="str">
        <f>IF(COPY!H565&gt;0,COPY!H565,"")</f>
        <v/>
      </c>
      <c r="H567" s="85" t="str">
        <f>IF(COPY!I565&gt;0,COPY!I565,"")</f>
        <v/>
      </c>
      <c r="I567" s="85" t="str">
        <f>IF(COPY!M565&gt;0,COPY!M565,"")</f>
        <v/>
      </c>
      <c r="J567" s="85" t="str">
        <f>IF(COPY!N565&gt;0,COPY!N565,"")</f>
        <v/>
      </c>
      <c r="K567" s="86" t="str">
        <f>IF(N567=0,(IF(LEFT(Table13[[#This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Row],[URAIAN]],$U$194:$V$210,2,FALSE),""),""),0))))),N567)</f>
        <v/>
      </c>
      <c r="L567" s="85" t="str">
        <f>IF(Table13[[#This Row],[Column2]]="KWITANSI",COUNTIF($K$4:K567,"KWITANSI")," ")</f>
        <v xml:space="preserve"> </v>
      </c>
      <c r="M567" s="85" t="str">
        <f>IF(Table13[[#This Row],[Column3]]=" "," ",Table13[[#This Row],[CODE]])</f>
        <v xml:space="preserve"> </v>
      </c>
      <c r="N567" s="368"/>
      <c r="P567" s="81" t="str">
        <f t="shared" si="8"/>
        <v/>
      </c>
    </row>
    <row r="568" spans="1:16" hidden="1" x14ac:dyDescent="0.15">
      <c r="A568" s="81" t="str">
        <f>COPY!O566</f>
        <v/>
      </c>
      <c r="B568" s="81" t="str">
        <f>COPY!C566</f>
        <v/>
      </c>
      <c r="C568" s="82" t="str">
        <f>COPY!D566</f>
        <v/>
      </c>
      <c r="D568" s="81" t="str">
        <f>IF(Table13[[#This Row],[JUMLAH]]&gt;1,(IF(Table13[[#This Row],[CODE]]=" ",D567&amp;"a",IF(Table13[[#This Row],[CODE]]&gt;0,Table13[[#This Row],[CODE]],0))),"")</f>
        <v/>
      </c>
      <c r="E568" s="81" t="str">
        <f>IF(COPY!G566&gt;0,COPY!G566,"")</f>
        <v/>
      </c>
      <c r="F568" s="88" t="str">
        <f>IF(COPY!J566&gt;0,COPY!J566,"")</f>
        <v/>
      </c>
      <c r="G568" s="85" t="str">
        <f>IF(COPY!H566&gt;0,COPY!H566,"")</f>
        <v/>
      </c>
      <c r="H568" s="85" t="str">
        <f>IF(COPY!I566&gt;0,COPY!I566,"")</f>
        <v/>
      </c>
      <c r="I568" s="85" t="str">
        <f>IF(COPY!M566&gt;0,COPY!M566,"")</f>
        <v/>
      </c>
      <c r="J568" s="85" t="str">
        <f>IF(COPY!N566&gt;0,COPY!N566,"")</f>
        <v/>
      </c>
      <c r="K568" s="86" t="str">
        <f>IF(N568=0,(IF(LEFT(Table13[[#This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Row],[URAIAN]],$U$194:$V$210,2,FALSE),""),""),0))))),N568)</f>
        <v/>
      </c>
      <c r="L568" s="85" t="str">
        <f>IF(Table13[[#This Row],[Column2]]="KWITANSI",COUNTIF($K$4:K568,"KWITANSI")," ")</f>
        <v xml:space="preserve"> </v>
      </c>
      <c r="M568" s="85" t="str">
        <f>IF(Table13[[#This Row],[Column3]]=" "," ",Table13[[#This Row],[CODE]])</f>
        <v xml:space="preserve"> </v>
      </c>
      <c r="N568" s="368"/>
      <c r="P568" s="81" t="str">
        <f t="shared" si="8"/>
        <v/>
      </c>
    </row>
    <row r="569" spans="1:16" hidden="1" x14ac:dyDescent="0.15">
      <c r="A569" s="81" t="str">
        <f>COPY!O567</f>
        <v/>
      </c>
      <c r="B569" s="81" t="str">
        <f>COPY!C567</f>
        <v/>
      </c>
      <c r="C569" s="82" t="str">
        <f>COPY!D567</f>
        <v/>
      </c>
      <c r="D569" s="81" t="str">
        <f>IF(Table13[[#This Row],[JUMLAH]]&gt;1,(IF(Table13[[#This Row],[CODE]]=" ",D568&amp;"a",IF(Table13[[#This Row],[CODE]]&gt;0,Table13[[#This Row],[CODE]],0))),"")</f>
        <v/>
      </c>
      <c r="E569" s="81" t="str">
        <f>IF(COPY!G567&gt;0,COPY!G567,"")</f>
        <v/>
      </c>
      <c r="F569" s="88" t="str">
        <f>IF(COPY!J567&gt;0,COPY!J567,"")</f>
        <v/>
      </c>
      <c r="G569" s="85" t="str">
        <f>IF(COPY!H567&gt;0,COPY!H567,"")</f>
        <v/>
      </c>
      <c r="H569" s="85" t="str">
        <f>IF(COPY!I567&gt;0,COPY!I567,"")</f>
        <v/>
      </c>
      <c r="I569" s="85" t="str">
        <f>IF(COPY!M567&gt;0,COPY!M567,"")</f>
        <v/>
      </c>
      <c r="J569" s="85" t="str">
        <f>IF(COPY!N567&gt;0,COPY!N567,"")</f>
        <v/>
      </c>
      <c r="K569" s="86" t="str">
        <f>IF(N569=0,(IF(LEFT(Table13[[#This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Row],[URAIAN]],$U$194:$V$210,2,FALSE),""),""),0))))),N569)</f>
        <v/>
      </c>
      <c r="L569" s="85" t="str">
        <f>IF(Table13[[#This Row],[Column2]]="KWITANSI",COUNTIF($K$4:K569,"KWITANSI")," ")</f>
        <v xml:space="preserve"> </v>
      </c>
      <c r="M569" s="85" t="str">
        <f>IF(Table13[[#This Row],[Column3]]=" "," ",Table13[[#This Row],[CODE]])</f>
        <v xml:space="preserve"> </v>
      </c>
      <c r="N569" s="368"/>
      <c r="P569" s="81" t="str">
        <f t="shared" si="8"/>
        <v/>
      </c>
    </row>
    <row r="570" spans="1:16" hidden="1" x14ac:dyDescent="0.15">
      <c r="A570" s="81" t="str">
        <f>COPY!O568</f>
        <v/>
      </c>
      <c r="B570" s="81" t="str">
        <f>COPY!C568</f>
        <v/>
      </c>
      <c r="C570" s="82" t="str">
        <f>COPY!D568</f>
        <v/>
      </c>
      <c r="D570" s="81" t="str">
        <f>IF(Table13[[#This Row],[JUMLAH]]&gt;1,(IF(Table13[[#This Row],[CODE]]=" ",D569&amp;"a",IF(Table13[[#This Row],[CODE]]&gt;0,Table13[[#This Row],[CODE]],0))),"")</f>
        <v/>
      </c>
      <c r="E570" s="81" t="str">
        <f>IF(COPY!G568&gt;0,COPY!G568,"")</f>
        <v/>
      </c>
      <c r="F570" s="88" t="str">
        <f>IF(COPY!J568&gt;0,COPY!J568,"")</f>
        <v/>
      </c>
      <c r="G570" s="85" t="str">
        <f>IF(COPY!H568&gt;0,COPY!H568,"")</f>
        <v/>
      </c>
      <c r="H570" s="85" t="str">
        <f>IF(COPY!I568&gt;0,COPY!I568,"")</f>
        <v/>
      </c>
      <c r="I570" s="85" t="str">
        <f>IF(COPY!M568&gt;0,COPY!M568,"")</f>
        <v/>
      </c>
      <c r="J570" s="85" t="str">
        <f>IF(COPY!N568&gt;0,COPY!N568,"")</f>
        <v/>
      </c>
      <c r="K570" s="86" t="str">
        <f>IF(N570=0,(IF(LEFT(Table13[[#This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Row],[URAIAN]],$U$194:$V$210,2,FALSE),""),""),0))))),N570)</f>
        <v/>
      </c>
      <c r="L570" s="85" t="str">
        <f>IF(Table13[[#This Row],[Column2]]="KWITANSI",COUNTIF($K$4:K570,"KWITANSI")," ")</f>
        <v xml:space="preserve"> </v>
      </c>
      <c r="M570" s="85" t="str">
        <f>IF(Table13[[#This Row],[Column3]]=" "," ",Table13[[#This Row],[CODE]])</f>
        <v xml:space="preserve"> </v>
      </c>
      <c r="N570" s="368"/>
      <c r="P570" s="81" t="str">
        <f t="shared" si="8"/>
        <v/>
      </c>
    </row>
    <row r="571" spans="1:16" hidden="1" x14ac:dyDescent="0.15">
      <c r="A571" s="81" t="str">
        <f>COPY!O569</f>
        <v/>
      </c>
      <c r="B571" s="81" t="str">
        <f>COPY!C569</f>
        <v/>
      </c>
      <c r="C571" s="82" t="str">
        <f>COPY!D569</f>
        <v/>
      </c>
      <c r="D571" s="81" t="str">
        <f>IF(Table13[[#This Row],[JUMLAH]]&gt;1,(IF(Table13[[#This Row],[CODE]]=" ",D570&amp;"a",IF(Table13[[#This Row],[CODE]]&gt;0,Table13[[#This Row],[CODE]],0))),"")</f>
        <v/>
      </c>
      <c r="E571" s="81" t="str">
        <f>IF(COPY!G569&gt;0,COPY!G569,"")</f>
        <v/>
      </c>
      <c r="F571" s="88" t="str">
        <f>IF(COPY!J569&gt;0,COPY!J569,"")</f>
        <v/>
      </c>
      <c r="G571" s="85" t="str">
        <f>IF(COPY!H569&gt;0,COPY!H569,"")</f>
        <v/>
      </c>
      <c r="H571" s="85" t="str">
        <f>IF(COPY!I569&gt;0,COPY!I569,"")</f>
        <v/>
      </c>
      <c r="I571" s="85" t="str">
        <f>IF(COPY!M569&gt;0,COPY!M569,"")</f>
        <v/>
      </c>
      <c r="J571" s="85" t="str">
        <f>IF(COPY!N569&gt;0,COPY!N569,"")</f>
        <v/>
      </c>
      <c r="K571" s="86" t="str">
        <f>IF(N571=0,(IF(LEFT(Table13[[#This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Row],[URAIAN]],$U$194:$V$210,2,FALSE),""),""),0))))),N571)</f>
        <v/>
      </c>
      <c r="L571" s="85" t="str">
        <f>IF(Table13[[#This Row],[Column2]]="KWITANSI",COUNTIF($K$4:K571,"KWITANSI")," ")</f>
        <v xml:space="preserve"> </v>
      </c>
      <c r="M571" s="85" t="str">
        <f>IF(Table13[[#This Row],[Column3]]=" "," ",Table13[[#This Row],[CODE]])</f>
        <v xml:space="preserve"> </v>
      </c>
      <c r="N571" s="368"/>
      <c r="P571" s="81" t="str">
        <f t="shared" si="8"/>
        <v/>
      </c>
    </row>
    <row r="572" spans="1:16" hidden="1" x14ac:dyDescent="0.15">
      <c r="A572" s="81" t="str">
        <f>COPY!O570</f>
        <v/>
      </c>
      <c r="B572" s="81" t="str">
        <f>COPY!C570</f>
        <v/>
      </c>
      <c r="C572" s="82" t="str">
        <f>COPY!D570</f>
        <v/>
      </c>
      <c r="D572" s="81" t="str">
        <f>IF(Table13[[#This Row],[JUMLAH]]&gt;1,(IF(Table13[[#This Row],[CODE]]=" ",D571&amp;"a",IF(Table13[[#This Row],[CODE]]&gt;0,Table13[[#This Row],[CODE]],0))),"")</f>
        <v/>
      </c>
      <c r="E572" s="81" t="str">
        <f>IF(COPY!G570&gt;0,COPY!G570,"")</f>
        <v/>
      </c>
      <c r="F572" s="88" t="str">
        <f>IF(COPY!J570&gt;0,COPY!J570,"")</f>
        <v/>
      </c>
      <c r="G572" s="85" t="str">
        <f>IF(COPY!H570&gt;0,COPY!H570,"")</f>
        <v/>
      </c>
      <c r="H572" s="85" t="str">
        <f>IF(COPY!I570&gt;0,COPY!I570,"")</f>
        <v/>
      </c>
      <c r="I572" s="85" t="str">
        <f>IF(COPY!M570&gt;0,COPY!M570,"")</f>
        <v/>
      </c>
      <c r="J572" s="85" t="str">
        <f>IF(COPY!N570&gt;0,COPY!N570,"")</f>
        <v/>
      </c>
      <c r="K572" s="86" t="str">
        <f>IF(N572=0,(IF(LEFT(Table13[[#This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Row],[URAIAN]],$U$194:$V$210,2,FALSE),""),""),0))))),N572)</f>
        <v/>
      </c>
      <c r="L572" s="85" t="str">
        <f>IF(Table13[[#This Row],[Column2]]="KWITANSI",COUNTIF($K$4:K572,"KWITANSI")," ")</f>
        <v xml:space="preserve"> </v>
      </c>
      <c r="M572" s="85" t="str">
        <f>IF(Table13[[#This Row],[Column3]]=" "," ",Table13[[#This Row],[CODE]])</f>
        <v xml:space="preserve"> </v>
      </c>
      <c r="N572" s="368"/>
      <c r="P572" s="81" t="str">
        <f t="shared" si="8"/>
        <v/>
      </c>
    </row>
    <row r="573" spans="1:16" hidden="1" x14ac:dyDescent="0.15">
      <c r="A573" s="81" t="str">
        <f>COPY!O571</f>
        <v/>
      </c>
      <c r="B573" s="81" t="str">
        <f>COPY!C571</f>
        <v/>
      </c>
      <c r="C573" s="82" t="str">
        <f>COPY!D571</f>
        <v/>
      </c>
      <c r="D573" s="81" t="str">
        <f>IF(Table13[[#This Row],[JUMLAH]]&gt;1,(IF(Table13[[#This Row],[CODE]]=" ",D572&amp;"a",IF(Table13[[#This Row],[CODE]]&gt;0,Table13[[#This Row],[CODE]],0))),"")</f>
        <v/>
      </c>
      <c r="E573" s="81" t="str">
        <f>IF(COPY!G571&gt;0,COPY!G571,"")</f>
        <v/>
      </c>
      <c r="F573" s="88" t="str">
        <f>IF(COPY!J571&gt;0,COPY!J571,"")</f>
        <v/>
      </c>
      <c r="G573" s="85" t="str">
        <f>IF(COPY!H571&gt;0,COPY!H571,"")</f>
        <v/>
      </c>
      <c r="H573" s="85" t="str">
        <f>IF(COPY!I571&gt;0,COPY!I571,"")</f>
        <v/>
      </c>
      <c r="I573" s="85" t="str">
        <f>IF(COPY!M571&gt;0,COPY!M571,"")</f>
        <v/>
      </c>
      <c r="J573" s="85" t="str">
        <f>IF(COPY!N571&gt;0,COPY!N571,"")</f>
        <v/>
      </c>
      <c r="K573" s="86" t="str">
        <f>IF(N573=0,(IF(LEFT(Table13[[#This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Row],[URAIAN]],$U$194:$V$210,2,FALSE),""),""),0))))),N573)</f>
        <v/>
      </c>
      <c r="L573" s="85" t="str">
        <f>IF(Table13[[#This Row],[Column2]]="KWITANSI",COUNTIF($K$4:K573,"KWITANSI")," ")</f>
        <v xml:space="preserve"> </v>
      </c>
      <c r="M573" s="85" t="str">
        <f>IF(Table13[[#This Row],[Column3]]=" "," ",Table13[[#This Row],[CODE]])</f>
        <v xml:space="preserve"> </v>
      </c>
      <c r="N573" s="368"/>
      <c r="P573" s="81" t="str">
        <f t="shared" si="8"/>
        <v/>
      </c>
    </row>
    <row r="574" spans="1:16" hidden="1" x14ac:dyDescent="0.15">
      <c r="A574" s="81" t="str">
        <f>COPY!O572</f>
        <v/>
      </c>
      <c r="B574" s="81" t="str">
        <f>COPY!C572</f>
        <v/>
      </c>
      <c r="C574" s="82" t="str">
        <f>COPY!D572</f>
        <v/>
      </c>
      <c r="D574" s="81" t="str">
        <f>IF(Table13[[#This Row],[JUMLAH]]&gt;1,(IF(Table13[[#This Row],[CODE]]=" ",D573&amp;"a",IF(Table13[[#This Row],[CODE]]&gt;0,Table13[[#This Row],[CODE]],0))),"")</f>
        <v/>
      </c>
      <c r="E574" s="81" t="str">
        <f>IF(COPY!G572&gt;0,COPY!G572,"")</f>
        <v/>
      </c>
      <c r="F574" s="88" t="str">
        <f>IF(COPY!J572&gt;0,COPY!J572,"")</f>
        <v/>
      </c>
      <c r="G574" s="85" t="str">
        <f>IF(COPY!H572&gt;0,COPY!H572,"")</f>
        <v/>
      </c>
      <c r="H574" s="85" t="str">
        <f>IF(COPY!I572&gt;0,COPY!I572,"")</f>
        <v/>
      </c>
      <c r="I574" s="85" t="str">
        <f>IF(COPY!M572&gt;0,COPY!M572,"")</f>
        <v/>
      </c>
      <c r="J574" s="85" t="str">
        <f>IF(COPY!N572&gt;0,COPY!N572,"")</f>
        <v/>
      </c>
      <c r="K574" s="86" t="str">
        <f>IF(N574=0,(IF(LEFT(Table13[[#This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Row],[URAIAN]],$U$194:$V$210,2,FALSE),""),""),0))))),N574)</f>
        <v/>
      </c>
      <c r="L574" s="85" t="str">
        <f>IF(Table13[[#This Row],[Column2]]="KWITANSI",COUNTIF($K$4:K574,"KWITANSI")," ")</f>
        <v xml:space="preserve"> </v>
      </c>
      <c r="M574" s="85" t="str">
        <f>IF(Table13[[#This Row],[Column3]]=" "," ",Table13[[#This Row],[CODE]])</f>
        <v xml:space="preserve"> </v>
      </c>
      <c r="N574" s="368"/>
      <c r="P574" s="81" t="str">
        <f t="shared" si="8"/>
        <v/>
      </c>
    </row>
    <row r="575" spans="1:16" hidden="1" x14ac:dyDescent="0.15">
      <c r="A575" s="81" t="str">
        <f>COPY!O573</f>
        <v/>
      </c>
      <c r="B575" s="81" t="str">
        <f>COPY!C573</f>
        <v/>
      </c>
      <c r="C575" s="82" t="str">
        <f>COPY!D573</f>
        <v/>
      </c>
      <c r="D575" s="81" t="str">
        <f>IF(Table13[[#This Row],[JUMLAH]]&gt;1,(IF(Table13[[#This Row],[CODE]]=" ",D574&amp;"a",IF(Table13[[#This Row],[CODE]]&gt;0,Table13[[#This Row],[CODE]],0))),"")</f>
        <v/>
      </c>
      <c r="E575" s="81" t="str">
        <f>IF(COPY!G573&gt;0,COPY!G573,"")</f>
        <v/>
      </c>
      <c r="F575" s="88" t="str">
        <f>IF(COPY!J573&gt;0,COPY!J573,"")</f>
        <v/>
      </c>
      <c r="G575" s="85" t="str">
        <f>IF(COPY!H573&gt;0,COPY!H573,"")</f>
        <v/>
      </c>
      <c r="H575" s="85" t="str">
        <f>IF(COPY!I573&gt;0,COPY!I573,"")</f>
        <v/>
      </c>
      <c r="I575" s="85" t="str">
        <f>IF(COPY!M573&gt;0,COPY!M573,"")</f>
        <v/>
      </c>
      <c r="J575" s="85" t="str">
        <f>IF(COPY!N573&gt;0,COPY!N573,"")</f>
        <v/>
      </c>
      <c r="K575" s="86" t="str">
        <f>IF(N575=0,(IF(LEFT(Table13[[#This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Row],[URAIAN]],$U$194:$V$210,2,FALSE),""),""),0))))),N575)</f>
        <v/>
      </c>
      <c r="L575" s="85" t="str">
        <f>IF(Table13[[#This Row],[Column2]]="KWITANSI",COUNTIF($K$4:K575,"KWITANSI")," ")</f>
        <v xml:space="preserve"> </v>
      </c>
      <c r="M575" s="85" t="str">
        <f>IF(Table13[[#This Row],[Column3]]=" "," ",Table13[[#This Row],[CODE]])</f>
        <v xml:space="preserve"> </v>
      </c>
      <c r="N575" s="368"/>
      <c r="P575" s="81" t="str">
        <f t="shared" si="8"/>
        <v/>
      </c>
    </row>
    <row r="576" spans="1:16" hidden="1" x14ac:dyDescent="0.15">
      <c r="A576" s="81" t="str">
        <f>COPY!O574</f>
        <v/>
      </c>
      <c r="B576" s="81" t="str">
        <f>COPY!C574</f>
        <v/>
      </c>
      <c r="C576" s="82" t="str">
        <f>COPY!D574</f>
        <v/>
      </c>
      <c r="D576" s="81" t="str">
        <f>IF(Table13[[#This Row],[JUMLAH]]&gt;1,(IF(Table13[[#This Row],[CODE]]=" ",D575&amp;"a",IF(Table13[[#This Row],[CODE]]&gt;0,Table13[[#This Row],[CODE]],0))),"")</f>
        <v/>
      </c>
      <c r="E576" s="81" t="str">
        <f>IF(COPY!G574&gt;0,COPY!G574,"")</f>
        <v/>
      </c>
      <c r="F576" s="88" t="str">
        <f>IF(COPY!J574&gt;0,COPY!J574,"")</f>
        <v/>
      </c>
      <c r="G576" s="85" t="str">
        <f>IF(COPY!H574&gt;0,COPY!H574,"")</f>
        <v/>
      </c>
      <c r="H576" s="85" t="str">
        <f>IF(COPY!I574&gt;0,COPY!I574,"")</f>
        <v/>
      </c>
      <c r="I576" s="85" t="str">
        <f>IF(COPY!M574&gt;0,COPY!M574,"")</f>
        <v/>
      </c>
      <c r="J576" s="85" t="str">
        <f>IF(COPY!N574&gt;0,COPY!N574,"")</f>
        <v/>
      </c>
      <c r="K576" s="86" t="str">
        <f>IF(N576=0,(IF(LEFT(Table13[[#This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Row],[URAIAN]],$U$194:$V$210,2,FALSE),""),""),0))))),N576)</f>
        <v/>
      </c>
      <c r="L576" s="85" t="str">
        <f>IF(Table13[[#This Row],[Column2]]="KWITANSI",COUNTIF($K$4:K576,"KWITANSI")," ")</f>
        <v xml:space="preserve"> </v>
      </c>
      <c r="M576" s="85" t="str">
        <f>IF(Table13[[#This Row],[Column3]]=" "," ",Table13[[#This Row],[CODE]])</f>
        <v xml:space="preserve"> </v>
      </c>
      <c r="N576" s="368"/>
      <c r="P576" s="81" t="str">
        <f t="shared" si="8"/>
        <v/>
      </c>
    </row>
    <row r="577" spans="1:16" hidden="1" x14ac:dyDescent="0.15">
      <c r="A577" s="81" t="str">
        <f>COPY!O575</f>
        <v/>
      </c>
      <c r="B577" s="81" t="str">
        <f>COPY!C575</f>
        <v/>
      </c>
      <c r="C577" s="82" t="str">
        <f>COPY!D575</f>
        <v/>
      </c>
      <c r="D577" s="81" t="str">
        <f>IF(Table13[[#This Row],[JUMLAH]]&gt;1,(IF(Table13[[#This Row],[CODE]]=" ",D576&amp;"a",IF(Table13[[#This Row],[CODE]]&gt;0,Table13[[#This Row],[CODE]],0))),"")</f>
        <v/>
      </c>
      <c r="E577" s="81" t="str">
        <f>IF(COPY!G575&gt;0,COPY!G575,"")</f>
        <v/>
      </c>
      <c r="F577" s="88" t="str">
        <f>IF(COPY!J575&gt;0,COPY!J575,"")</f>
        <v/>
      </c>
      <c r="G577" s="85" t="str">
        <f>IF(COPY!H575&gt;0,COPY!H575,"")</f>
        <v/>
      </c>
      <c r="H577" s="85" t="str">
        <f>IF(COPY!I575&gt;0,COPY!I575,"")</f>
        <v/>
      </c>
      <c r="I577" s="85" t="str">
        <f>IF(COPY!M575&gt;0,COPY!M575,"")</f>
        <v/>
      </c>
      <c r="J577" s="85" t="str">
        <f>IF(COPY!N575&gt;0,COPY!N575,"")</f>
        <v/>
      </c>
      <c r="K577" s="86" t="str">
        <f>IF(N577=0,(IF(LEFT(Table13[[#This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Row],[URAIAN]],$U$194:$V$210,2,FALSE),""),""),0))))),N577)</f>
        <v/>
      </c>
      <c r="L577" s="85" t="str">
        <f>IF(Table13[[#This Row],[Column2]]="KWITANSI",COUNTIF($K$4:K577,"KWITANSI")," ")</f>
        <v xml:space="preserve"> </v>
      </c>
      <c r="M577" s="85" t="str">
        <f>IF(Table13[[#This Row],[Column3]]=" "," ",Table13[[#This Row],[CODE]])</f>
        <v xml:space="preserve"> </v>
      </c>
      <c r="N577" s="368"/>
      <c r="P577" s="81" t="str">
        <f t="shared" si="8"/>
        <v/>
      </c>
    </row>
    <row r="578" spans="1:16" hidden="1" x14ac:dyDescent="0.15">
      <c r="A578" s="81" t="str">
        <f>COPY!O576</f>
        <v/>
      </c>
      <c r="B578" s="81" t="str">
        <f>COPY!C576</f>
        <v/>
      </c>
      <c r="C578" s="82" t="str">
        <f>COPY!D576</f>
        <v/>
      </c>
      <c r="D578" s="81" t="str">
        <f>IF(Table13[[#This Row],[JUMLAH]]&gt;1,(IF(Table13[[#This Row],[CODE]]=" ",D577&amp;"a",IF(Table13[[#This Row],[CODE]]&gt;0,Table13[[#This Row],[CODE]],0))),"")</f>
        <v/>
      </c>
      <c r="E578" s="81" t="str">
        <f>IF(COPY!G576&gt;0,COPY!G576,"")</f>
        <v/>
      </c>
      <c r="F578" s="88" t="str">
        <f>IF(COPY!J576&gt;0,COPY!J576,"")</f>
        <v/>
      </c>
      <c r="G578" s="85" t="str">
        <f>IF(COPY!H576&gt;0,COPY!H576,"")</f>
        <v/>
      </c>
      <c r="H578" s="85" t="str">
        <f>IF(COPY!I576&gt;0,COPY!I576,"")</f>
        <v/>
      </c>
      <c r="I578" s="85" t="str">
        <f>IF(COPY!M576&gt;0,COPY!M576,"")</f>
        <v/>
      </c>
      <c r="J578" s="85" t="str">
        <f>IF(COPY!N576&gt;0,COPY!N576,"")</f>
        <v/>
      </c>
      <c r="K578" s="86" t="str">
        <f>IF(N578=0,(IF(LEFT(Table13[[#This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Row],[URAIAN]],$U$194:$V$210,2,FALSE),""),""),0))))),N578)</f>
        <v/>
      </c>
      <c r="L578" s="85" t="str">
        <f>IF(Table13[[#This Row],[Column2]]="KWITANSI",COUNTIF($K$4:K578,"KWITANSI")," ")</f>
        <v xml:space="preserve"> </v>
      </c>
      <c r="M578" s="85" t="str">
        <f>IF(Table13[[#This Row],[Column3]]=" "," ",Table13[[#This Row],[CODE]])</f>
        <v xml:space="preserve"> </v>
      </c>
      <c r="N578" s="368"/>
      <c r="P578" s="81" t="str">
        <f t="shared" ref="P578:P641" si="9">IF(-$O$4+($O$4+ROW())&lt;=$O$4,-$O$4+($O$4+ROW()),"")</f>
        <v/>
      </c>
    </row>
    <row r="579" spans="1:16" hidden="1" x14ac:dyDescent="0.15">
      <c r="A579" s="81" t="str">
        <f>COPY!O577</f>
        <v/>
      </c>
      <c r="B579" s="81" t="str">
        <f>COPY!C577</f>
        <v/>
      </c>
      <c r="C579" s="82" t="str">
        <f>COPY!D577</f>
        <v/>
      </c>
      <c r="D579" s="81" t="str">
        <f>IF(Table13[[#This Row],[JUMLAH]]&gt;1,(IF(Table13[[#This Row],[CODE]]=" ",D578&amp;"a",IF(Table13[[#This Row],[CODE]]&gt;0,Table13[[#This Row],[CODE]],0))),"")</f>
        <v/>
      </c>
      <c r="E579" s="81" t="str">
        <f>IF(COPY!G577&gt;0,COPY!G577,"")</f>
        <v/>
      </c>
      <c r="F579" s="88" t="str">
        <f>IF(COPY!J577&gt;0,COPY!J577,"")</f>
        <v/>
      </c>
      <c r="G579" s="85" t="str">
        <f>IF(COPY!H577&gt;0,COPY!H577,"")</f>
        <v/>
      </c>
      <c r="H579" s="85" t="str">
        <f>IF(COPY!I577&gt;0,COPY!I577,"")</f>
        <v/>
      </c>
      <c r="I579" s="85" t="str">
        <f>IF(COPY!M577&gt;0,COPY!M577,"")</f>
        <v/>
      </c>
      <c r="J579" s="85" t="str">
        <f>IF(COPY!N577&gt;0,COPY!N577,"")</f>
        <v/>
      </c>
      <c r="K579" s="86" t="str">
        <f>IF(N579=0,(IF(LEFT(Table13[[#This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Row],[URAIAN]],$U$194:$V$210,2,FALSE),""),""),0))))),N579)</f>
        <v/>
      </c>
      <c r="L579" s="85" t="str">
        <f>IF(Table13[[#This Row],[Column2]]="KWITANSI",COUNTIF($K$4:K579,"KWITANSI")," ")</f>
        <v xml:space="preserve"> </v>
      </c>
      <c r="M579" s="85" t="str">
        <f>IF(Table13[[#This Row],[Column3]]=" "," ",Table13[[#This Row],[CODE]])</f>
        <v xml:space="preserve"> </v>
      </c>
      <c r="N579" s="368"/>
      <c r="P579" s="81" t="str">
        <f t="shared" si="9"/>
        <v/>
      </c>
    </row>
    <row r="580" spans="1:16" hidden="1" x14ac:dyDescent="0.15">
      <c r="A580" s="81" t="str">
        <f>COPY!O578</f>
        <v/>
      </c>
      <c r="B580" s="81" t="str">
        <f>COPY!C578</f>
        <v/>
      </c>
      <c r="C580" s="82" t="str">
        <f>COPY!D578</f>
        <v/>
      </c>
      <c r="D580" s="81" t="str">
        <f>IF(Table13[[#This Row],[JUMLAH]]&gt;1,(IF(Table13[[#This Row],[CODE]]=" ",D579&amp;"a",IF(Table13[[#This Row],[CODE]]&gt;0,Table13[[#This Row],[CODE]],0))),"")</f>
        <v/>
      </c>
      <c r="E580" s="81" t="str">
        <f>IF(COPY!G578&gt;0,COPY!G578,"")</f>
        <v/>
      </c>
      <c r="F580" s="88" t="str">
        <f>IF(COPY!J578&gt;0,COPY!J578,"")</f>
        <v/>
      </c>
      <c r="G580" s="85" t="str">
        <f>IF(COPY!H578&gt;0,COPY!H578,"")</f>
        <v/>
      </c>
      <c r="H580" s="85" t="str">
        <f>IF(COPY!I578&gt;0,COPY!I578,"")</f>
        <v/>
      </c>
      <c r="I580" s="85" t="str">
        <f>IF(COPY!M578&gt;0,COPY!M578,"")</f>
        <v/>
      </c>
      <c r="J580" s="85" t="str">
        <f>IF(COPY!N578&gt;0,COPY!N578,"")</f>
        <v/>
      </c>
      <c r="K580" s="86" t="str">
        <f>IF(N580=0,(IF(LEFT(Table13[[#This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Row],[URAIAN]],$U$194:$V$210,2,FALSE),""),""),0))))),N580)</f>
        <v/>
      </c>
      <c r="L580" s="85" t="str">
        <f>IF(Table13[[#This Row],[Column2]]="KWITANSI",COUNTIF($K$4:K580,"KWITANSI")," ")</f>
        <v xml:space="preserve"> </v>
      </c>
      <c r="M580" s="85" t="str">
        <f>IF(Table13[[#This Row],[Column3]]=" "," ",Table13[[#This Row],[CODE]])</f>
        <v xml:space="preserve"> </v>
      </c>
      <c r="N580" s="368"/>
      <c r="P580" s="81" t="str">
        <f t="shared" si="9"/>
        <v/>
      </c>
    </row>
    <row r="581" spans="1:16" hidden="1" x14ac:dyDescent="0.15">
      <c r="A581" s="81" t="str">
        <f>COPY!O579</f>
        <v/>
      </c>
      <c r="B581" s="81" t="str">
        <f>COPY!C579</f>
        <v/>
      </c>
      <c r="C581" s="82" t="str">
        <f>COPY!D579</f>
        <v/>
      </c>
      <c r="D581" s="81" t="str">
        <f>IF(Table13[[#This Row],[JUMLAH]]&gt;1,(IF(Table13[[#This Row],[CODE]]=" ",D580&amp;"a",IF(Table13[[#This Row],[CODE]]&gt;0,Table13[[#This Row],[CODE]],0))),"")</f>
        <v/>
      </c>
      <c r="E581" s="81" t="str">
        <f>IF(COPY!G579&gt;0,COPY!G579,"")</f>
        <v/>
      </c>
      <c r="F581" s="88" t="str">
        <f>IF(COPY!J579&gt;0,COPY!J579,"")</f>
        <v/>
      </c>
      <c r="G581" s="85" t="str">
        <f>IF(COPY!H579&gt;0,COPY!H579,"")</f>
        <v/>
      </c>
      <c r="H581" s="85" t="str">
        <f>IF(COPY!I579&gt;0,COPY!I579,"")</f>
        <v/>
      </c>
      <c r="I581" s="85" t="str">
        <f>IF(COPY!M579&gt;0,COPY!M579,"")</f>
        <v/>
      </c>
      <c r="J581" s="85" t="str">
        <f>IF(COPY!N579&gt;0,COPY!N579,"")</f>
        <v/>
      </c>
      <c r="K581" s="86" t="str">
        <f>IF(N581=0,(IF(LEFT(Table13[[#This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Row],[URAIAN]],$U$194:$V$210,2,FALSE),""),""),0))))),N581)</f>
        <v/>
      </c>
      <c r="L581" s="85" t="str">
        <f>IF(Table13[[#This Row],[Column2]]="KWITANSI",COUNTIF($K$4:K581,"KWITANSI")," ")</f>
        <v xml:space="preserve"> </v>
      </c>
      <c r="M581" s="85" t="str">
        <f>IF(Table13[[#This Row],[Column3]]=" "," ",Table13[[#This Row],[CODE]])</f>
        <v xml:space="preserve"> </v>
      </c>
      <c r="N581" s="368"/>
      <c r="P581" s="81" t="str">
        <f t="shared" si="9"/>
        <v/>
      </c>
    </row>
    <row r="582" spans="1:16" hidden="1" x14ac:dyDescent="0.15">
      <c r="A582" s="81" t="str">
        <f>COPY!O580</f>
        <v/>
      </c>
      <c r="B582" s="81" t="str">
        <f>COPY!C580</f>
        <v/>
      </c>
      <c r="C582" s="82" t="str">
        <f>COPY!D580</f>
        <v/>
      </c>
      <c r="D582" s="81" t="str">
        <f>IF(Table13[[#This Row],[JUMLAH]]&gt;1,(IF(Table13[[#This Row],[CODE]]=" ",D581&amp;"a",IF(Table13[[#This Row],[CODE]]&gt;0,Table13[[#This Row],[CODE]],0))),"")</f>
        <v/>
      </c>
      <c r="E582" s="81" t="str">
        <f>IF(COPY!G580&gt;0,COPY!G580,"")</f>
        <v/>
      </c>
      <c r="F582" s="88" t="str">
        <f>IF(COPY!J580&gt;0,COPY!J580,"")</f>
        <v/>
      </c>
      <c r="G582" s="85" t="str">
        <f>IF(COPY!H580&gt;0,COPY!H580,"")</f>
        <v/>
      </c>
      <c r="H582" s="85" t="str">
        <f>IF(COPY!I580&gt;0,COPY!I580,"")</f>
        <v/>
      </c>
      <c r="I582" s="85" t="str">
        <f>IF(COPY!M580&gt;0,COPY!M580,"")</f>
        <v/>
      </c>
      <c r="J582" s="85" t="str">
        <f>IF(COPY!N580&gt;0,COPY!N580,"")</f>
        <v/>
      </c>
      <c r="K582" s="86" t="str">
        <f>IF(N582=0,(IF(LEFT(Table13[[#This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Row],[URAIAN]],$U$194:$V$210,2,FALSE),""),""),0))))),N582)</f>
        <v/>
      </c>
      <c r="L582" s="85" t="str">
        <f>IF(Table13[[#This Row],[Column2]]="KWITANSI",COUNTIF($K$4:K582,"KWITANSI")," ")</f>
        <v xml:space="preserve"> </v>
      </c>
      <c r="M582" s="85" t="str">
        <f>IF(Table13[[#This Row],[Column3]]=" "," ",Table13[[#This Row],[CODE]])</f>
        <v xml:space="preserve"> </v>
      </c>
      <c r="N582" s="368"/>
      <c r="P582" s="81" t="str">
        <f t="shared" si="9"/>
        <v/>
      </c>
    </row>
    <row r="583" spans="1:16" hidden="1" x14ac:dyDescent="0.15">
      <c r="A583" s="81" t="str">
        <f>COPY!O581</f>
        <v/>
      </c>
      <c r="B583" s="81" t="str">
        <f>COPY!C581</f>
        <v/>
      </c>
      <c r="C583" s="82" t="str">
        <f>COPY!D581</f>
        <v/>
      </c>
      <c r="D583" s="81" t="str">
        <f>IF(Table13[[#This Row],[JUMLAH]]&gt;1,(IF(Table13[[#This Row],[CODE]]=" ",D582&amp;"a",IF(Table13[[#This Row],[CODE]]&gt;0,Table13[[#This Row],[CODE]],0))),"")</f>
        <v/>
      </c>
      <c r="E583" s="81" t="str">
        <f>IF(COPY!G581&gt;0,COPY!G581,"")</f>
        <v/>
      </c>
      <c r="F583" s="88" t="str">
        <f>IF(COPY!J581&gt;0,COPY!J581,"")</f>
        <v/>
      </c>
      <c r="G583" s="85" t="str">
        <f>IF(COPY!H581&gt;0,COPY!H581,"")</f>
        <v/>
      </c>
      <c r="H583" s="85" t="str">
        <f>IF(COPY!I581&gt;0,COPY!I581,"")</f>
        <v/>
      </c>
      <c r="I583" s="85" t="str">
        <f>IF(COPY!M581&gt;0,COPY!M581,"")</f>
        <v/>
      </c>
      <c r="J583" s="85" t="str">
        <f>IF(COPY!N581&gt;0,COPY!N581,"")</f>
        <v/>
      </c>
      <c r="K583" s="86" t="str">
        <f>IF(N583=0,(IF(LEFT(Table13[[#This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Row],[URAIAN]],$U$194:$V$210,2,FALSE),""),""),0))))),N583)</f>
        <v/>
      </c>
      <c r="L583" s="85" t="str">
        <f>IF(Table13[[#This Row],[Column2]]="KWITANSI",COUNTIF($K$4:K583,"KWITANSI")," ")</f>
        <v xml:space="preserve"> </v>
      </c>
      <c r="M583" s="85" t="str">
        <f>IF(Table13[[#This Row],[Column3]]=" "," ",Table13[[#This Row],[CODE]])</f>
        <v xml:space="preserve"> </v>
      </c>
      <c r="N583" s="368"/>
      <c r="P583" s="81" t="str">
        <f t="shared" si="9"/>
        <v/>
      </c>
    </row>
    <row r="584" spans="1:16" hidden="1" x14ac:dyDescent="0.15">
      <c r="A584" s="81" t="str">
        <f>COPY!O582</f>
        <v/>
      </c>
      <c r="B584" s="81" t="str">
        <f>COPY!C582</f>
        <v/>
      </c>
      <c r="C584" s="82" t="str">
        <f>COPY!D582</f>
        <v/>
      </c>
      <c r="D584" s="81" t="str">
        <f>IF(Table13[[#This Row],[JUMLAH]]&gt;1,(IF(Table13[[#This Row],[CODE]]=" ",D583&amp;"a",IF(Table13[[#This Row],[CODE]]&gt;0,Table13[[#This Row],[CODE]],0))),"")</f>
        <v/>
      </c>
      <c r="E584" s="81" t="str">
        <f>IF(COPY!G582&gt;0,COPY!G582,"")</f>
        <v/>
      </c>
      <c r="F584" s="88" t="str">
        <f>IF(COPY!J582&gt;0,COPY!J582,"")</f>
        <v/>
      </c>
      <c r="G584" s="85" t="str">
        <f>IF(COPY!H582&gt;0,COPY!H582,"")</f>
        <v/>
      </c>
      <c r="H584" s="85" t="str">
        <f>IF(COPY!I582&gt;0,COPY!I582,"")</f>
        <v/>
      </c>
      <c r="I584" s="85" t="str">
        <f>IF(COPY!M582&gt;0,COPY!M582,"")</f>
        <v/>
      </c>
      <c r="J584" s="85" t="str">
        <f>IF(COPY!N582&gt;0,COPY!N582,"")</f>
        <v/>
      </c>
      <c r="K584" s="86" t="str">
        <f>IF(N584=0,(IF(LEFT(Table13[[#This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Row],[URAIAN]],$U$194:$V$210,2,FALSE),""),""),0))))),N584)</f>
        <v/>
      </c>
      <c r="L584" s="85" t="str">
        <f>IF(Table13[[#This Row],[Column2]]="KWITANSI",COUNTIF($K$4:K584,"KWITANSI")," ")</f>
        <v xml:space="preserve"> </v>
      </c>
      <c r="M584" s="85" t="str">
        <f>IF(Table13[[#This Row],[Column3]]=" "," ",Table13[[#This Row],[CODE]])</f>
        <v xml:space="preserve"> </v>
      </c>
      <c r="N584" s="368"/>
      <c r="P584" s="81" t="str">
        <f t="shared" si="9"/>
        <v/>
      </c>
    </row>
    <row r="585" spans="1:16" hidden="1" x14ac:dyDescent="0.15">
      <c r="A585" s="81" t="str">
        <f>COPY!O583</f>
        <v/>
      </c>
      <c r="B585" s="81" t="str">
        <f>COPY!C583</f>
        <v/>
      </c>
      <c r="C585" s="82" t="str">
        <f>COPY!D583</f>
        <v/>
      </c>
      <c r="D585" s="81" t="str">
        <f>IF(Table13[[#This Row],[JUMLAH]]&gt;1,(IF(Table13[[#This Row],[CODE]]=" ",D584&amp;"a",IF(Table13[[#This Row],[CODE]]&gt;0,Table13[[#This Row],[CODE]],0))),"")</f>
        <v/>
      </c>
      <c r="E585" s="81" t="str">
        <f>IF(COPY!G583&gt;0,COPY!G583,"")</f>
        <v/>
      </c>
      <c r="F585" s="88" t="str">
        <f>IF(COPY!J583&gt;0,COPY!J583,"")</f>
        <v/>
      </c>
      <c r="G585" s="85" t="str">
        <f>IF(COPY!H583&gt;0,COPY!H583,"")</f>
        <v/>
      </c>
      <c r="H585" s="85" t="str">
        <f>IF(COPY!I583&gt;0,COPY!I583,"")</f>
        <v/>
      </c>
      <c r="I585" s="85" t="str">
        <f>IF(COPY!M583&gt;0,COPY!M583,"")</f>
        <v/>
      </c>
      <c r="J585" s="85" t="str">
        <f>IF(COPY!N583&gt;0,COPY!N583,"")</f>
        <v/>
      </c>
      <c r="K585" s="86" t="str">
        <f>IF(N585=0,(IF(LEFT(Table13[[#This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Row],[URAIAN]],$U$194:$V$210,2,FALSE),""),""),0))))),N585)</f>
        <v/>
      </c>
      <c r="L585" s="85" t="str">
        <f>IF(Table13[[#This Row],[Column2]]="KWITANSI",COUNTIF($K$4:K585,"KWITANSI")," ")</f>
        <v xml:space="preserve"> </v>
      </c>
      <c r="M585" s="85" t="str">
        <f>IF(Table13[[#This Row],[Column3]]=" "," ",Table13[[#This Row],[CODE]])</f>
        <v xml:space="preserve"> </v>
      </c>
      <c r="N585" s="368"/>
      <c r="P585" s="81" t="str">
        <f t="shared" si="9"/>
        <v/>
      </c>
    </row>
    <row r="586" spans="1:16" hidden="1" x14ac:dyDescent="0.15">
      <c r="A586" s="81" t="str">
        <f>COPY!O584</f>
        <v/>
      </c>
      <c r="B586" s="81" t="str">
        <f>COPY!C584</f>
        <v/>
      </c>
      <c r="C586" s="82" t="str">
        <f>COPY!D584</f>
        <v/>
      </c>
      <c r="D586" s="81" t="str">
        <f>IF(Table13[[#This Row],[JUMLAH]]&gt;1,(IF(Table13[[#This Row],[CODE]]=" ",D585&amp;"a",IF(Table13[[#This Row],[CODE]]&gt;0,Table13[[#This Row],[CODE]],0))),"")</f>
        <v/>
      </c>
      <c r="E586" s="81" t="str">
        <f>IF(COPY!G584&gt;0,COPY!G584,"")</f>
        <v/>
      </c>
      <c r="F586" s="88" t="str">
        <f>IF(COPY!J584&gt;0,COPY!J584,"")</f>
        <v/>
      </c>
      <c r="G586" s="85" t="str">
        <f>IF(COPY!H584&gt;0,COPY!H584,"")</f>
        <v/>
      </c>
      <c r="H586" s="85" t="str">
        <f>IF(COPY!I584&gt;0,COPY!I584,"")</f>
        <v/>
      </c>
      <c r="I586" s="85" t="str">
        <f>IF(COPY!M584&gt;0,COPY!M584,"")</f>
        <v/>
      </c>
      <c r="J586" s="85" t="str">
        <f>IF(COPY!N584&gt;0,COPY!N584,"")</f>
        <v/>
      </c>
      <c r="K586" s="86" t="str">
        <f>IF(N586=0,(IF(LEFT(Table13[[#This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Row],[URAIAN]],$U$194:$V$210,2,FALSE),""),""),0))))),N586)</f>
        <v/>
      </c>
      <c r="L586" s="85" t="str">
        <f>IF(Table13[[#This Row],[Column2]]="KWITANSI",COUNTIF($K$4:K586,"KWITANSI")," ")</f>
        <v xml:space="preserve"> </v>
      </c>
      <c r="M586" s="85" t="str">
        <f>IF(Table13[[#This Row],[Column3]]=" "," ",Table13[[#This Row],[CODE]])</f>
        <v xml:space="preserve"> </v>
      </c>
      <c r="N586" s="368"/>
      <c r="P586" s="81" t="str">
        <f t="shared" si="9"/>
        <v/>
      </c>
    </row>
    <row r="587" spans="1:16" hidden="1" x14ac:dyDescent="0.15">
      <c r="A587" s="81" t="str">
        <f>COPY!O585</f>
        <v/>
      </c>
      <c r="B587" s="81" t="str">
        <f>COPY!C585</f>
        <v/>
      </c>
      <c r="C587" s="82" t="str">
        <f>COPY!D585</f>
        <v/>
      </c>
      <c r="D587" s="81" t="str">
        <f>IF(Table13[[#This Row],[JUMLAH]]&gt;1,(IF(Table13[[#This Row],[CODE]]=" ",D586&amp;"a",IF(Table13[[#This Row],[CODE]]&gt;0,Table13[[#This Row],[CODE]],0))),"")</f>
        <v/>
      </c>
      <c r="E587" s="81" t="str">
        <f>IF(COPY!G585&gt;0,COPY!G585,"")</f>
        <v/>
      </c>
      <c r="F587" s="88" t="str">
        <f>IF(COPY!J585&gt;0,COPY!J585,"")</f>
        <v/>
      </c>
      <c r="G587" s="85" t="str">
        <f>IF(COPY!H585&gt;0,COPY!H585,"")</f>
        <v/>
      </c>
      <c r="H587" s="85" t="str">
        <f>IF(COPY!I585&gt;0,COPY!I585,"")</f>
        <v/>
      </c>
      <c r="I587" s="85" t="str">
        <f>IF(COPY!M585&gt;0,COPY!M585,"")</f>
        <v/>
      </c>
      <c r="J587" s="85" t="str">
        <f>IF(COPY!N585&gt;0,COPY!N585,"")</f>
        <v/>
      </c>
      <c r="K587" s="86" t="str">
        <f>IF(N587=0,(IF(LEFT(Table13[[#This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Row],[URAIAN]],$U$194:$V$210,2,FALSE),""),""),0))))),N587)</f>
        <v/>
      </c>
      <c r="L587" s="85" t="str">
        <f>IF(Table13[[#This Row],[Column2]]="KWITANSI",COUNTIF($K$4:K587,"KWITANSI")," ")</f>
        <v xml:space="preserve"> </v>
      </c>
      <c r="M587" s="85" t="str">
        <f>IF(Table13[[#This Row],[Column3]]=" "," ",Table13[[#This Row],[CODE]])</f>
        <v xml:space="preserve"> </v>
      </c>
      <c r="N587" s="368"/>
      <c r="P587" s="81" t="str">
        <f t="shared" si="9"/>
        <v/>
      </c>
    </row>
    <row r="588" spans="1:16" hidden="1" x14ac:dyDescent="0.15">
      <c r="A588" s="81" t="str">
        <f>COPY!O586</f>
        <v/>
      </c>
      <c r="B588" s="81" t="str">
        <f>COPY!C586</f>
        <v/>
      </c>
      <c r="C588" s="82" t="str">
        <f>COPY!D586</f>
        <v/>
      </c>
      <c r="D588" s="81" t="str">
        <f>IF(Table13[[#This Row],[JUMLAH]]&gt;1,(IF(Table13[[#This Row],[CODE]]=" ",D587&amp;"a",IF(Table13[[#This Row],[CODE]]&gt;0,Table13[[#This Row],[CODE]],0))),"")</f>
        <v/>
      </c>
      <c r="E588" s="81" t="str">
        <f>IF(COPY!G586&gt;0,COPY!G586,"")</f>
        <v/>
      </c>
      <c r="F588" s="88" t="str">
        <f>IF(COPY!J586&gt;0,COPY!J586,"")</f>
        <v/>
      </c>
      <c r="G588" s="85" t="str">
        <f>IF(COPY!H586&gt;0,COPY!H586,"")</f>
        <v/>
      </c>
      <c r="H588" s="85" t="str">
        <f>IF(COPY!I586&gt;0,COPY!I586,"")</f>
        <v/>
      </c>
      <c r="I588" s="85" t="str">
        <f>IF(COPY!M586&gt;0,COPY!M586,"")</f>
        <v/>
      </c>
      <c r="J588" s="85" t="str">
        <f>IF(COPY!N586&gt;0,COPY!N586,"")</f>
        <v/>
      </c>
      <c r="K588" s="86" t="str">
        <f>IF(N588=0,(IF(LEFT(Table13[[#This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Row],[URAIAN]],$U$194:$V$210,2,FALSE),""),""),0))))),N588)</f>
        <v/>
      </c>
      <c r="L588" s="85" t="str">
        <f>IF(Table13[[#This Row],[Column2]]="KWITANSI",COUNTIF($K$4:K588,"KWITANSI")," ")</f>
        <v xml:space="preserve"> </v>
      </c>
      <c r="M588" s="85" t="str">
        <f>IF(Table13[[#This Row],[Column3]]=" "," ",Table13[[#This Row],[CODE]])</f>
        <v xml:space="preserve"> </v>
      </c>
      <c r="N588" s="368"/>
      <c r="P588" s="81" t="str">
        <f t="shared" si="9"/>
        <v/>
      </c>
    </row>
    <row r="589" spans="1:16" hidden="1" x14ac:dyDescent="0.15">
      <c r="A589" s="81" t="str">
        <f>COPY!O587</f>
        <v/>
      </c>
      <c r="B589" s="81" t="str">
        <f>COPY!C587</f>
        <v/>
      </c>
      <c r="C589" s="82" t="str">
        <f>COPY!D587</f>
        <v/>
      </c>
      <c r="D589" s="81" t="str">
        <f>IF(Table13[[#This Row],[JUMLAH]]&gt;1,(IF(Table13[[#This Row],[CODE]]=" ",D588&amp;"a",IF(Table13[[#This Row],[CODE]]&gt;0,Table13[[#This Row],[CODE]],0))),"")</f>
        <v/>
      </c>
      <c r="E589" s="81" t="str">
        <f>IF(COPY!G587&gt;0,COPY!G587,"")</f>
        <v/>
      </c>
      <c r="F589" s="88" t="str">
        <f>IF(COPY!J587&gt;0,COPY!J587,"")</f>
        <v/>
      </c>
      <c r="G589" s="85" t="str">
        <f>IF(COPY!H587&gt;0,COPY!H587,"")</f>
        <v/>
      </c>
      <c r="H589" s="85" t="str">
        <f>IF(COPY!I587&gt;0,COPY!I587,"")</f>
        <v/>
      </c>
      <c r="I589" s="85" t="str">
        <f>IF(COPY!M587&gt;0,COPY!M587,"")</f>
        <v/>
      </c>
      <c r="J589" s="85" t="str">
        <f>IF(COPY!N587&gt;0,COPY!N587,"")</f>
        <v/>
      </c>
      <c r="K589" s="86" t="str">
        <f>IF(N589=0,(IF(LEFT(Table13[[#This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Row],[URAIAN]],$U$194:$V$210,2,FALSE),""),""),0))))),N589)</f>
        <v/>
      </c>
      <c r="L589" s="85" t="str">
        <f>IF(Table13[[#This Row],[Column2]]="KWITANSI",COUNTIF($K$4:K589,"KWITANSI")," ")</f>
        <v xml:space="preserve"> </v>
      </c>
      <c r="M589" s="85" t="str">
        <f>IF(Table13[[#This Row],[Column3]]=" "," ",Table13[[#This Row],[CODE]])</f>
        <v xml:space="preserve"> </v>
      </c>
      <c r="N589" s="368"/>
      <c r="P589" s="81" t="str">
        <f t="shared" si="9"/>
        <v/>
      </c>
    </row>
    <row r="590" spans="1:16" hidden="1" x14ac:dyDescent="0.15">
      <c r="A590" s="81" t="str">
        <f>COPY!O588</f>
        <v/>
      </c>
      <c r="B590" s="81" t="str">
        <f>COPY!C588</f>
        <v/>
      </c>
      <c r="C590" s="82" t="str">
        <f>COPY!D588</f>
        <v/>
      </c>
      <c r="D590" s="81" t="str">
        <f>IF(Table13[[#This Row],[JUMLAH]]&gt;1,(IF(Table13[[#This Row],[CODE]]=" ",D589&amp;"a",IF(Table13[[#This Row],[CODE]]&gt;0,Table13[[#This Row],[CODE]],0))),"")</f>
        <v/>
      </c>
      <c r="E590" s="81" t="str">
        <f>IF(COPY!G588&gt;0,COPY!G588,"")</f>
        <v/>
      </c>
      <c r="F590" s="88" t="str">
        <f>IF(COPY!J588&gt;0,COPY!J588,"")</f>
        <v/>
      </c>
      <c r="G590" s="85" t="str">
        <f>IF(COPY!H588&gt;0,COPY!H588,"")</f>
        <v/>
      </c>
      <c r="H590" s="85" t="str">
        <f>IF(COPY!I588&gt;0,COPY!I588,"")</f>
        <v/>
      </c>
      <c r="I590" s="85" t="str">
        <f>IF(COPY!M588&gt;0,COPY!M588,"")</f>
        <v/>
      </c>
      <c r="J590" s="85" t="str">
        <f>IF(COPY!N588&gt;0,COPY!N588,"")</f>
        <v/>
      </c>
      <c r="K590" s="86" t="str">
        <f>IF(N590=0,(IF(LEFT(Table13[[#This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Row],[URAIAN]],$U$194:$V$210,2,FALSE),""),""),0))))),N590)</f>
        <v/>
      </c>
      <c r="L590" s="85" t="str">
        <f>IF(Table13[[#This Row],[Column2]]="KWITANSI",COUNTIF($K$4:K590,"KWITANSI")," ")</f>
        <v xml:space="preserve"> </v>
      </c>
      <c r="M590" s="85" t="str">
        <f>IF(Table13[[#This Row],[Column3]]=" "," ",Table13[[#This Row],[CODE]])</f>
        <v xml:space="preserve"> </v>
      </c>
      <c r="N590" s="368"/>
      <c r="P590" s="81" t="str">
        <f t="shared" si="9"/>
        <v/>
      </c>
    </row>
    <row r="591" spans="1:16" hidden="1" x14ac:dyDescent="0.15">
      <c r="A591" s="81" t="str">
        <f>COPY!O589</f>
        <v/>
      </c>
      <c r="B591" s="81" t="str">
        <f>COPY!C589</f>
        <v/>
      </c>
      <c r="C591" s="82" t="str">
        <f>COPY!D589</f>
        <v/>
      </c>
      <c r="D591" s="81" t="str">
        <f>IF(Table13[[#This Row],[JUMLAH]]&gt;1,(IF(Table13[[#This Row],[CODE]]=" ",D590&amp;"a",IF(Table13[[#This Row],[CODE]]&gt;0,Table13[[#This Row],[CODE]],0))),"")</f>
        <v/>
      </c>
      <c r="E591" s="81" t="str">
        <f>IF(COPY!G589&gt;0,COPY!G589,"")</f>
        <v/>
      </c>
      <c r="F591" s="88" t="str">
        <f>IF(COPY!J589&gt;0,COPY!J589,"")</f>
        <v/>
      </c>
      <c r="G591" s="85" t="str">
        <f>IF(COPY!H589&gt;0,COPY!H589,"")</f>
        <v/>
      </c>
      <c r="H591" s="85" t="str">
        <f>IF(COPY!I589&gt;0,COPY!I589,"")</f>
        <v/>
      </c>
      <c r="I591" s="85" t="str">
        <f>IF(COPY!M589&gt;0,COPY!M589,"")</f>
        <v/>
      </c>
      <c r="J591" s="85" t="str">
        <f>IF(COPY!N589&gt;0,COPY!N589,"")</f>
        <v/>
      </c>
      <c r="K591" s="86" t="str">
        <f>IF(N591=0,(IF(LEFT(Table13[[#This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Row],[URAIAN]],$U$194:$V$210,2,FALSE),""),""),0))))),N591)</f>
        <v/>
      </c>
      <c r="L591" s="85" t="str">
        <f>IF(Table13[[#This Row],[Column2]]="KWITANSI",COUNTIF($K$4:K591,"KWITANSI")," ")</f>
        <v xml:space="preserve"> </v>
      </c>
      <c r="M591" s="85" t="str">
        <f>IF(Table13[[#This Row],[Column3]]=" "," ",Table13[[#This Row],[CODE]])</f>
        <v xml:space="preserve"> </v>
      </c>
      <c r="N591" s="368"/>
      <c r="P591" s="81" t="str">
        <f t="shared" si="9"/>
        <v/>
      </c>
    </row>
    <row r="592" spans="1:16" hidden="1" x14ac:dyDescent="0.15">
      <c r="A592" s="81" t="str">
        <f>COPY!O590</f>
        <v/>
      </c>
      <c r="B592" s="81" t="str">
        <f>COPY!C590</f>
        <v/>
      </c>
      <c r="C592" s="82" t="str">
        <f>COPY!D590</f>
        <v/>
      </c>
      <c r="D592" s="81" t="str">
        <f>IF(Table13[[#This Row],[JUMLAH]]&gt;1,(IF(Table13[[#This Row],[CODE]]=" ",D591&amp;"a",IF(Table13[[#This Row],[CODE]]&gt;0,Table13[[#This Row],[CODE]],0))),"")</f>
        <v/>
      </c>
      <c r="E592" s="81" t="str">
        <f>IF(COPY!G590&gt;0,COPY!G590,"")</f>
        <v/>
      </c>
      <c r="F592" s="88" t="str">
        <f>IF(COPY!J590&gt;0,COPY!J590,"")</f>
        <v/>
      </c>
      <c r="G592" s="85" t="str">
        <f>IF(COPY!H590&gt;0,COPY!H590,"")</f>
        <v/>
      </c>
      <c r="H592" s="85" t="str">
        <f>IF(COPY!I590&gt;0,COPY!I590,"")</f>
        <v/>
      </c>
      <c r="I592" s="85" t="str">
        <f>IF(COPY!M590&gt;0,COPY!M590,"")</f>
        <v/>
      </c>
      <c r="J592" s="85" t="str">
        <f>IF(COPY!N590&gt;0,COPY!N590,"")</f>
        <v/>
      </c>
      <c r="K592" s="86" t="str">
        <f>IF(N592=0,(IF(LEFT(Table13[[#This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Row],[URAIAN]],$U$194:$V$210,2,FALSE),""),""),0))))),N592)</f>
        <v/>
      </c>
      <c r="L592" s="85" t="str">
        <f>IF(Table13[[#This Row],[Column2]]="KWITANSI",COUNTIF($K$4:K592,"KWITANSI")," ")</f>
        <v xml:space="preserve"> </v>
      </c>
      <c r="M592" s="85" t="str">
        <f>IF(Table13[[#This Row],[Column3]]=" "," ",Table13[[#This Row],[CODE]])</f>
        <v xml:space="preserve"> </v>
      </c>
      <c r="N592" s="368"/>
      <c r="P592" s="81" t="str">
        <f t="shared" si="9"/>
        <v/>
      </c>
    </row>
    <row r="593" spans="1:16" hidden="1" x14ac:dyDescent="0.15">
      <c r="A593" s="81" t="str">
        <f>COPY!O591</f>
        <v/>
      </c>
      <c r="B593" s="81" t="str">
        <f>COPY!C591</f>
        <v/>
      </c>
      <c r="C593" s="82" t="str">
        <f>COPY!D591</f>
        <v/>
      </c>
      <c r="D593" s="81" t="str">
        <f>IF(Table13[[#This Row],[JUMLAH]]&gt;1,(IF(Table13[[#This Row],[CODE]]=" ",D592&amp;"a",IF(Table13[[#This Row],[CODE]]&gt;0,Table13[[#This Row],[CODE]],0))),"")</f>
        <v/>
      </c>
      <c r="E593" s="81" t="str">
        <f>IF(COPY!G591&gt;0,COPY!G591,"")</f>
        <v/>
      </c>
      <c r="F593" s="88" t="str">
        <f>IF(COPY!J591&gt;0,COPY!J591,"")</f>
        <v/>
      </c>
      <c r="G593" s="85" t="str">
        <f>IF(COPY!H591&gt;0,COPY!H591,"")</f>
        <v/>
      </c>
      <c r="H593" s="85" t="str">
        <f>IF(COPY!I591&gt;0,COPY!I591,"")</f>
        <v/>
      </c>
      <c r="I593" s="85" t="str">
        <f>IF(COPY!M591&gt;0,COPY!M591,"")</f>
        <v/>
      </c>
      <c r="J593" s="85" t="str">
        <f>IF(COPY!N591&gt;0,COPY!N591,"")</f>
        <v/>
      </c>
      <c r="K593" s="86" t="str">
        <f>IF(N593=0,(IF(LEFT(Table13[[#This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Row],[URAIAN]],$U$194:$V$210,2,FALSE),""),""),0))))),N593)</f>
        <v/>
      </c>
      <c r="L593" s="85" t="str">
        <f>IF(Table13[[#This Row],[Column2]]="KWITANSI",COUNTIF($K$4:K593,"KWITANSI")," ")</f>
        <v xml:space="preserve"> </v>
      </c>
      <c r="M593" s="85" t="str">
        <f>IF(Table13[[#This Row],[Column3]]=" "," ",Table13[[#This Row],[CODE]])</f>
        <v xml:space="preserve"> </v>
      </c>
      <c r="N593" s="368"/>
      <c r="P593" s="81" t="str">
        <f t="shared" si="9"/>
        <v/>
      </c>
    </row>
    <row r="594" spans="1:16" hidden="1" x14ac:dyDescent="0.15">
      <c r="A594" s="81" t="str">
        <f>COPY!O592</f>
        <v/>
      </c>
      <c r="B594" s="81" t="str">
        <f>COPY!C592</f>
        <v/>
      </c>
      <c r="C594" s="82" t="str">
        <f>COPY!D592</f>
        <v/>
      </c>
      <c r="D594" s="81" t="str">
        <f>IF(Table13[[#This Row],[JUMLAH]]&gt;1,(IF(Table13[[#This Row],[CODE]]=" ",D593&amp;"a",IF(Table13[[#This Row],[CODE]]&gt;0,Table13[[#This Row],[CODE]],0))),"")</f>
        <v/>
      </c>
      <c r="E594" s="81" t="str">
        <f>IF(COPY!G592&gt;0,COPY!G592,"")</f>
        <v/>
      </c>
      <c r="F594" s="88" t="str">
        <f>IF(COPY!J592&gt;0,COPY!J592,"")</f>
        <v/>
      </c>
      <c r="G594" s="85" t="str">
        <f>IF(COPY!H592&gt;0,COPY!H592,"")</f>
        <v/>
      </c>
      <c r="H594" s="85" t="str">
        <f>IF(COPY!I592&gt;0,COPY!I592,"")</f>
        <v/>
      </c>
      <c r="I594" s="85" t="str">
        <f>IF(COPY!M592&gt;0,COPY!M592,"")</f>
        <v/>
      </c>
      <c r="J594" s="85" t="str">
        <f>IF(COPY!N592&gt;0,COPY!N592,"")</f>
        <v/>
      </c>
      <c r="K594" s="86" t="str">
        <f>IF(N594=0,(IF(LEFT(Table13[[#This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Row],[URAIAN]],$U$194:$V$210,2,FALSE),""),""),0))))),N594)</f>
        <v/>
      </c>
      <c r="L594" s="85" t="str">
        <f>IF(Table13[[#This Row],[Column2]]="KWITANSI",COUNTIF($K$4:K594,"KWITANSI")," ")</f>
        <v xml:space="preserve"> </v>
      </c>
      <c r="M594" s="85" t="str">
        <f>IF(Table13[[#This Row],[Column3]]=" "," ",Table13[[#This Row],[CODE]])</f>
        <v xml:space="preserve"> </v>
      </c>
      <c r="N594" s="368"/>
      <c r="P594" s="81" t="str">
        <f t="shared" si="9"/>
        <v/>
      </c>
    </row>
    <row r="595" spans="1:16" hidden="1" x14ac:dyDescent="0.15">
      <c r="A595" s="81" t="str">
        <f>COPY!O593</f>
        <v/>
      </c>
      <c r="B595" s="81" t="str">
        <f>COPY!C593</f>
        <v/>
      </c>
      <c r="C595" s="82" t="str">
        <f>COPY!D593</f>
        <v/>
      </c>
      <c r="D595" s="81" t="str">
        <f>IF(Table13[[#This Row],[JUMLAH]]&gt;1,(IF(Table13[[#This Row],[CODE]]=" ",D594&amp;"a",IF(Table13[[#This Row],[CODE]]&gt;0,Table13[[#This Row],[CODE]],0))),"")</f>
        <v/>
      </c>
      <c r="E595" s="81" t="str">
        <f>IF(COPY!G593&gt;0,COPY!G593,"")</f>
        <v/>
      </c>
      <c r="F595" s="88" t="str">
        <f>IF(COPY!J593&gt;0,COPY!J593,"")</f>
        <v/>
      </c>
      <c r="G595" s="85" t="str">
        <f>IF(COPY!H593&gt;0,COPY!H593,"")</f>
        <v/>
      </c>
      <c r="H595" s="85" t="str">
        <f>IF(COPY!I593&gt;0,COPY!I593,"")</f>
        <v/>
      </c>
      <c r="I595" s="85" t="str">
        <f>IF(COPY!M593&gt;0,COPY!M593,"")</f>
        <v/>
      </c>
      <c r="J595" s="85" t="str">
        <f>IF(COPY!N593&gt;0,COPY!N593,"")</f>
        <v/>
      </c>
      <c r="K595" s="86" t="str">
        <f>IF(N595=0,(IF(LEFT(Table13[[#This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Row],[URAIAN]],$U$194:$V$210,2,FALSE),""),""),0))))),N595)</f>
        <v/>
      </c>
      <c r="L595" s="85" t="str">
        <f>IF(Table13[[#This Row],[Column2]]="KWITANSI",COUNTIF($K$4:K595,"KWITANSI")," ")</f>
        <v xml:space="preserve"> </v>
      </c>
      <c r="M595" s="85" t="str">
        <f>IF(Table13[[#This Row],[Column3]]=" "," ",Table13[[#This Row],[CODE]])</f>
        <v xml:space="preserve"> </v>
      </c>
      <c r="N595" s="368"/>
      <c r="P595" s="81" t="str">
        <f t="shared" si="9"/>
        <v/>
      </c>
    </row>
    <row r="596" spans="1:16" hidden="1" x14ac:dyDescent="0.15">
      <c r="A596" s="81" t="str">
        <f>COPY!O594</f>
        <v/>
      </c>
      <c r="B596" s="81" t="str">
        <f>COPY!C594</f>
        <v/>
      </c>
      <c r="C596" s="82" t="str">
        <f>COPY!D594</f>
        <v/>
      </c>
      <c r="D596" s="81" t="str">
        <f>IF(Table13[[#This Row],[JUMLAH]]&gt;1,(IF(Table13[[#This Row],[CODE]]=" ",D595&amp;"a",IF(Table13[[#This Row],[CODE]]&gt;0,Table13[[#This Row],[CODE]],0))),"")</f>
        <v/>
      </c>
      <c r="E596" s="81" t="str">
        <f>IF(COPY!G594&gt;0,COPY!G594,"")</f>
        <v/>
      </c>
      <c r="F596" s="88" t="str">
        <f>IF(COPY!J594&gt;0,COPY!J594,"")</f>
        <v/>
      </c>
      <c r="G596" s="85" t="str">
        <f>IF(COPY!H594&gt;0,COPY!H594,"")</f>
        <v/>
      </c>
      <c r="H596" s="85" t="str">
        <f>IF(COPY!I594&gt;0,COPY!I594,"")</f>
        <v/>
      </c>
      <c r="I596" s="85" t="str">
        <f>IF(COPY!M594&gt;0,COPY!M594,"")</f>
        <v/>
      </c>
      <c r="J596" s="85" t="str">
        <f>IF(COPY!N594&gt;0,COPY!N594,"")</f>
        <v/>
      </c>
      <c r="K596" s="86" t="str">
        <f>IF(N596=0,(IF(LEFT(Table13[[#This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Row],[URAIAN]],$U$194:$V$210,2,FALSE),""),""),0))))),N596)</f>
        <v/>
      </c>
      <c r="L596" s="85" t="str">
        <f>IF(Table13[[#This Row],[Column2]]="KWITANSI",COUNTIF($K$4:K596,"KWITANSI")," ")</f>
        <v xml:space="preserve"> </v>
      </c>
      <c r="M596" s="85" t="str">
        <f>IF(Table13[[#This Row],[Column3]]=" "," ",Table13[[#This Row],[CODE]])</f>
        <v xml:space="preserve"> </v>
      </c>
      <c r="N596" s="368"/>
      <c r="P596" s="81" t="str">
        <f t="shared" si="9"/>
        <v/>
      </c>
    </row>
    <row r="597" spans="1:16" hidden="1" x14ac:dyDescent="0.15">
      <c r="A597" s="81" t="str">
        <f>COPY!O595</f>
        <v/>
      </c>
      <c r="B597" s="81" t="str">
        <f>COPY!C595</f>
        <v/>
      </c>
      <c r="C597" s="82" t="str">
        <f>COPY!D595</f>
        <v/>
      </c>
      <c r="D597" s="81" t="str">
        <f>IF(Table13[[#This Row],[JUMLAH]]&gt;1,(IF(Table13[[#This Row],[CODE]]=" ",D596&amp;"a",IF(Table13[[#This Row],[CODE]]&gt;0,Table13[[#This Row],[CODE]],0))),"")</f>
        <v/>
      </c>
      <c r="E597" s="81" t="str">
        <f>IF(COPY!G595&gt;0,COPY!G595,"")</f>
        <v/>
      </c>
      <c r="F597" s="88" t="str">
        <f>IF(COPY!J595&gt;0,COPY!J595,"")</f>
        <v/>
      </c>
      <c r="G597" s="85" t="str">
        <f>IF(COPY!H595&gt;0,COPY!H595,"")</f>
        <v/>
      </c>
      <c r="H597" s="85" t="str">
        <f>IF(COPY!I595&gt;0,COPY!I595,"")</f>
        <v/>
      </c>
      <c r="I597" s="85" t="str">
        <f>IF(COPY!M595&gt;0,COPY!M595,"")</f>
        <v/>
      </c>
      <c r="J597" s="85" t="str">
        <f>IF(COPY!N595&gt;0,COPY!N595,"")</f>
        <v/>
      </c>
      <c r="K597" s="86" t="str">
        <f>IF(N597=0,(IF(LEFT(Table13[[#This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Row],[URAIAN]],$U$194:$V$210,2,FALSE),""),""),0))))),N597)</f>
        <v/>
      </c>
      <c r="L597" s="85" t="str">
        <f>IF(Table13[[#This Row],[Column2]]="KWITANSI",COUNTIF($K$4:K597,"KWITANSI")," ")</f>
        <v xml:space="preserve"> </v>
      </c>
      <c r="M597" s="85" t="str">
        <f>IF(Table13[[#This Row],[Column3]]=" "," ",Table13[[#This Row],[CODE]])</f>
        <v xml:space="preserve"> </v>
      </c>
      <c r="N597" s="368"/>
      <c r="P597" s="81" t="str">
        <f t="shared" si="9"/>
        <v/>
      </c>
    </row>
    <row r="598" spans="1:16" hidden="1" x14ac:dyDescent="0.15">
      <c r="A598" s="81" t="str">
        <f>COPY!O596</f>
        <v/>
      </c>
      <c r="B598" s="81" t="str">
        <f>COPY!C596</f>
        <v/>
      </c>
      <c r="C598" s="82" t="str">
        <f>COPY!D596</f>
        <v/>
      </c>
      <c r="D598" s="81" t="str">
        <f>IF(Table13[[#This Row],[JUMLAH]]&gt;1,(IF(Table13[[#This Row],[CODE]]=" ",D597&amp;"a",IF(Table13[[#This Row],[CODE]]&gt;0,Table13[[#This Row],[CODE]],0))),"")</f>
        <v/>
      </c>
      <c r="E598" s="81" t="str">
        <f>IF(COPY!G596&gt;0,COPY!G596,"")</f>
        <v/>
      </c>
      <c r="F598" s="88" t="str">
        <f>IF(COPY!J596&gt;0,COPY!J596,"")</f>
        <v/>
      </c>
      <c r="G598" s="85" t="str">
        <f>IF(COPY!H596&gt;0,COPY!H596,"")</f>
        <v/>
      </c>
      <c r="H598" s="85" t="str">
        <f>IF(COPY!I596&gt;0,COPY!I596,"")</f>
        <v/>
      </c>
      <c r="I598" s="85" t="str">
        <f>IF(COPY!M596&gt;0,COPY!M596,"")</f>
        <v/>
      </c>
      <c r="J598" s="85" t="str">
        <f>IF(COPY!N596&gt;0,COPY!N596,"")</f>
        <v/>
      </c>
      <c r="K598" s="86" t="str">
        <f>IF(N598=0,(IF(LEFT(Table13[[#This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Row],[URAIAN]],$U$194:$V$210,2,FALSE),""),""),0))))),N598)</f>
        <v/>
      </c>
      <c r="L598" s="85" t="str">
        <f>IF(Table13[[#This Row],[Column2]]="KWITANSI",COUNTIF($K$4:K598,"KWITANSI")," ")</f>
        <v xml:space="preserve"> </v>
      </c>
      <c r="M598" s="85" t="str">
        <f>IF(Table13[[#This Row],[Column3]]=" "," ",Table13[[#This Row],[CODE]])</f>
        <v xml:space="preserve"> </v>
      </c>
      <c r="N598" s="368"/>
      <c r="P598" s="81" t="str">
        <f t="shared" si="9"/>
        <v/>
      </c>
    </row>
    <row r="599" spans="1:16" hidden="1" x14ac:dyDescent="0.15">
      <c r="A599" s="81" t="str">
        <f>COPY!O597</f>
        <v/>
      </c>
      <c r="B599" s="81" t="str">
        <f>COPY!C597</f>
        <v/>
      </c>
      <c r="C599" s="82" t="str">
        <f>COPY!D597</f>
        <v/>
      </c>
      <c r="D599" s="81" t="str">
        <f>IF(Table13[[#This Row],[JUMLAH]]&gt;1,(IF(Table13[[#This Row],[CODE]]=" ",D598&amp;"a",IF(Table13[[#This Row],[CODE]]&gt;0,Table13[[#This Row],[CODE]],0))),"")</f>
        <v/>
      </c>
      <c r="E599" s="81" t="str">
        <f>IF(COPY!G597&gt;0,COPY!G597,"")</f>
        <v/>
      </c>
      <c r="F599" s="88" t="str">
        <f>IF(COPY!J597&gt;0,COPY!J597,"")</f>
        <v/>
      </c>
      <c r="G599" s="85" t="str">
        <f>IF(COPY!H597&gt;0,COPY!H597,"")</f>
        <v/>
      </c>
      <c r="H599" s="85" t="str">
        <f>IF(COPY!I597&gt;0,COPY!I597,"")</f>
        <v/>
      </c>
      <c r="I599" s="85" t="str">
        <f>IF(COPY!M597&gt;0,COPY!M597,"")</f>
        <v/>
      </c>
      <c r="J599" s="85" t="str">
        <f>IF(COPY!N597&gt;0,COPY!N597,"")</f>
        <v/>
      </c>
      <c r="K599" s="86" t="str">
        <f>IF(N599=0,(IF(LEFT(Table13[[#This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Row],[URAIAN]],$U$194:$V$210,2,FALSE),""),""),0))))),N599)</f>
        <v/>
      </c>
      <c r="L599" s="85" t="str">
        <f>IF(Table13[[#This Row],[Column2]]="KWITANSI",COUNTIF($K$4:K599,"KWITANSI")," ")</f>
        <v xml:space="preserve"> </v>
      </c>
      <c r="M599" s="85" t="str">
        <f>IF(Table13[[#This Row],[Column3]]=" "," ",Table13[[#This Row],[CODE]])</f>
        <v xml:space="preserve"> </v>
      </c>
      <c r="N599" s="368"/>
      <c r="P599" s="81" t="str">
        <f t="shared" si="9"/>
        <v/>
      </c>
    </row>
    <row r="600" spans="1:16" hidden="1" x14ac:dyDescent="0.15">
      <c r="A600" s="81" t="str">
        <f>COPY!O598</f>
        <v/>
      </c>
      <c r="B600" s="81" t="str">
        <f>COPY!C598</f>
        <v/>
      </c>
      <c r="C600" s="82" t="str">
        <f>COPY!D598</f>
        <v/>
      </c>
      <c r="D600" s="81" t="str">
        <f>IF(Table13[[#This Row],[JUMLAH]]&gt;1,(IF(Table13[[#This Row],[CODE]]=" ",D599&amp;"a",IF(Table13[[#This Row],[CODE]]&gt;0,Table13[[#This Row],[CODE]],0))),"")</f>
        <v/>
      </c>
      <c r="E600" s="81" t="str">
        <f>IF(COPY!G598&gt;0,COPY!G598,"")</f>
        <v/>
      </c>
      <c r="F600" s="88" t="str">
        <f>IF(COPY!J598&gt;0,COPY!J598,"")</f>
        <v/>
      </c>
      <c r="G600" s="85" t="str">
        <f>IF(COPY!H598&gt;0,COPY!H598,"")</f>
        <v/>
      </c>
      <c r="H600" s="85" t="str">
        <f>IF(COPY!I598&gt;0,COPY!I598,"")</f>
        <v/>
      </c>
      <c r="I600" s="85" t="str">
        <f>IF(COPY!M598&gt;0,COPY!M598,"")</f>
        <v/>
      </c>
      <c r="J600" s="85" t="str">
        <f>IF(COPY!N598&gt;0,COPY!N598,"")</f>
        <v/>
      </c>
      <c r="K600" s="86" t="str">
        <f>IF(N600=0,(IF(LEFT(Table13[[#This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Row],[URAIAN]],$U$194:$V$210,2,FALSE),""),""),0))))),N600)</f>
        <v/>
      </c>
      <c r="L600" s="85" t="str">
        <f>IF(Table13[[#This Row],[Column2]]="KWITANSI",COUNTIF($K$4:K600,"KWITANSI")," ")</f>
        <v xml:space="preserve"> </v>
      </c>
      <c r="M600" s="85" t="str">
        <f>IF(Table13[[#This Row],[Column3]]=" "," ",Table13[[#This Row],[CODE]])</f>
        <v xml:space="preserve"> </v>
      </c>
      <c r="N600" s="368"/>
      <c r="P600" s="81" t="str">
        <f t="shared" si="9"/>
        <v/>
      </c>
    </row>
    <row r="601" spans="1:16" hidden="1" x14ac:dyDescent="0.15">
      <c r="A601" s="81" t="str">
        <f>COPY!O599</f>
        <v/>
      </c>
      <c r="B601" s="81" t="str">
        <f>COPY!C599</f>
        <v/>
      </c>
      <c r="C601" s="82" t="str">
        <f>COPY!D599</f>
        <v/>
      </c>
      <c r="D601" s="81" t="str">
        <f>IF(Table13[[#This Row],[JUMLAH]]&gt;1,(IF(Table13[[#This Row],[CODE]]=" ",D600&amp;"a",IF(Table13[[#This Row],[CODE]]&gt;0,Table13[[#This Row],[CODE]],0))),"")</f>
        <v/>
      </c>
      <c r="E601" s="81" t="str">
        <f>IF(COPY!G599&gt;0,COPY!G599,"")</f>
        <v/>
      </c>
      <c r="F601" s="88" t="str">
        <f>IF(COPY!J599&gt;0,COPY!J599,"")</f>
        <v/>
      </c>
      <c r="G601" s="85" t="str">
        <f>IF(COPY!H599&gt;0,COPY!H599,"")</f>
        <v/>
      </c>
      <c r="H601" s="85" t="str">
        <f>IF(COPY!I599&gt;0,COPY!I599,"")</f>
        <v/>
      </c>
      <c r="I601" s="85" t="str">
        <f>IF(COPY!M599&gt;0,COPY!M599,"")</f>
        <v/>
      </c>
      <c r="J601" s="85" t="str">
        <f>IF(COPY!N599&gt;0,COPY!N599,"")</f>
        <v/>
      </c>
      <c r="K601" s="86" t="str">
        <f>IF(N601=0,(IF(LEFT(Table13[[#This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Row],[URAIAN]],$U$194:$V$210,2,FALSE),""),""),0))))),N601)</f>
        <v/>
      </c>
      <c r="L601" s="85" t="str">
        <f>IF(Table13[[#This Row],[Column2]]="KWITANSI",COUNTIF($K$4:K601,"KWITANSI")," ")</f>
        <v xml:space="preserve"> </v>
      </c>
      <c r="M601" s="85" t="str">
        <f>IF(Table13[[#This Row],[Column3]]=" "," ",Table13[[#This Row],[CODE]])</f>
        <v xml:space="preserve"> </v>
      </c>
      <c r="N601" s="368"/>
      <c r="P601" s="81" t="str">
        <f t="shared" si="9"/>
        <v/>
      </c>
    </row>
    <row r="602" spans="1:16" hidden="1" x14ac:dyDescent="0.15">
      <c r="A602" s="81" t="str">
        <f>COPY!O600</f>
        <v/>
      </c>
      <c r="B602" s="81" t="str">
        <f>COPY!C600</f>
        <v/>
      </c>
      <c r="C602" s="82" t="str">
        <f>COPY!D600</f>
        <v/>
      </c>
      <c r="D602" s="81" t="str">
        <f>IF(Table13[[#This Row],[JUMLAH]]&gt;1,(IF(Table13[[#This Row],[CODE]]=" ",D601&amp;"a",IF(Table13[[#This Row],[CODE]]&gt;0,Table13[[#This Row],[CODE]],0))),"")</f>
        <v/>
      </c>
      <c r="E602" s="81" t="str">
        <f>IF(COPY!G600&gt;0,COPY!G600,"")</f>
        <v/>
      </c>
      <c r="F602" s="88" t="str">
        <f>IF(COPY!J600&gt;0,COPY!J600,"")</f>
        <v/>
      </c>
      <c r="G602" s="85" t="str">
        <f>IF(COPY!H600&gt;0,COPY!H600,"")</f>
        <v/>
      </c>
      <c r="H602" s="85" t="str">
        <f>IF(COPY!I600&gt;0,COPY!I600,"")</f>
        <v/>
      </c>
      <c r="I602" s="85" t="str">
        <f>IF(COPY!M600&gt;0,COPY!M600,"")</f>
        <v/>
      </c>
      <c r="J602" s="85" t="str">
        <f>IF(COPY!N600&gt;0,COPY!N600,"")</f>
        <v/>
      </c>
      <c r="K602" s="86" t="str">
        <f>IF(N602=0,(IF(LEFT(Table13[[#This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Row],[URAIAN]],$U$194:$V$210,2,FALSE),""),""),0))))),N602)</f>
        <v/>
      </c>
      <c r="L602" s="85" t="str">
        <f>IF(Table13[[#This Row],[Column2]]="KWITANSI",COUNTIF($K$4:K602,"KWITANSI")," ")</f>
        <v xml:space="preserve"> </v>
      </c>
      <c r="M602" s="85" t="str">
        <f>IF(Table13[[#This Row],[Column3]]=" "," ",Table13[[#This Row],[CODE]])</f>
        <v xml:space="preserve"> </v>
      </c>
      <c r="N602" s="368"/>
      <c r="P602" s="81" t="str">
        <f t="shared" si="9"/>
        <v/>
      </c>
    </row>
    <row r="603" spans="1:16" hidden="1" x14ac:dyDescent="0.15">
      <c r="A603" s="81" t="str">
        <f>COPY!O601</f>
        <v/>
      </c>
      <c r="B603" s="81" t="str">
        <f>COPY!C601</f>
        <v/>
      </c>
      <c r="C603" s="82" t="str">
        <f>COPY!D601</f>
        <v/>
      </c>
      <c r="D603" s="81" t="str">
        <f>IF(Table13[[#This Row],[JUMLAH]]&gt;1,(IF(Table13[[#This Row],[CODE]]=" ",D602&amp;"a",IF(Table13[[#This Row],[CODE]]&gt;0,Table13[[#This Row],[CODE]],0))),"")</f>
        <v/>
      </c>
      <c r="E603" s="81" t="str">
        <f>IF(COPY!G601&gt;0,COPY!G601,"")</f>
        <v/>
      </c>
      <c r="F603" s="88" t="str">
        <f>IF(COPY!J601&gt;0,COPY!J601,"")</f>
        <v/>
      </c>
      <c r="G603" s="85" t="str">
        <f>IF(COPY!H601&gt;0,COPY!H601,"")</f>
        <v/>
      </c>
      <c r="H603" s="85" t="str">
        <f>IF(COPY!I601&gt;0,COPY!I601,"")</f>
        <v/>
      </c>
      <c r="I603" s="85" t="str">
        <f>IF(COPY!M601&gt;0,COPY!M601,"")</f>
        <v/>
      </c>
      <c r="J603" s="85" t="str">
        <f>IF(COPY!N601&gt;0,COPY!N601,"")</f>
        <v/>
      </c>
      <c r="K603" s="86" t="str">
        <f>IF(N603=0,(IF(LEFT(Table13[[#This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Row],[URAIAN]],$U$194:$V$210,2,FALSE),""),""),0))))),N603)</f>
        <v/>
      </c>
      <c r="L603" s="85" t="str">
        <f>IF(Table13[[#This Row],[Column2]]="KWITANSI",COUNTIF($K$4:K603,"KWITANSI")," ")</f>
        <v xml:space="preserve"> </v>
      </c>
      <c r="M603" s="85" t="str">
        <f>IF(Table13[[#This Row],[Column3]]=" "," ",Table13[[#This Row],[CODE]])</f>
        <v xml:space="preserve"> </v>
      </c>
      <c r="N603" s="368"/>
      <c r="P603" s="81" t="str">
        <f t="shared" si="9"/>
        <v/>
      </c>
    </row>
    <row r="604" spans="1:16" hidden="1" x14ac:dyDescent="0.15">
      <c r="A604" s="81" t="str">
        <f>COPY!O602</f>
        <v/>
      </c>
      <c r="B604" s="81" t="str">
        <f>COPY!C602</f>
        <v/>
      </c>
      <c r="C604" s="82" t="str">
        <f>COPY!D602</f>
        <v/>
      </c>
      <c r="D604" s="81" t="str">
        <f>IF(Table13[[#This Row],[JUMLAH]]&gt;1,(IF(Table13[[#This Row],[CODE]]=" ",D603&amp;"a",IF(Table13[[#This Row],[CODE]]&gt;0,Table13[[#This Row],[CODE]],0))),"")</f>
        <v/>
      </c>
      <c r="E604" s="81" t="str">
        <f>IF(COPY!G602&gt;0,COPY!G602,"")</f>
        <v/>
      </c>
      <c r="F604" s="88" t="str">
        <f>IF(COPY!J602&gt;0,COPY!J602,"")</f>
        <v/>
      </c>
      <c r="G604" s="85" t="str">
        <f>IF(COPY!H602&gt;0,COPY!H602,"")</f>
        <v/>
      </c>
      <c r="H604" s="85" t="str">
        <f>IF(COPY!I602&gt;0,COPY!I602,"")</f>
        <v/>
      </c>
      <c r="I604" s="85" t="str">
        <f>IF(COPY!M602&gt;0,COPY!M602,"")</f>
        <v/>
      </c>
      <c r="J604" s="85" t="str">
        <f>IF(COPY!N602&gt;0,COPY!N602,"")</f>
        <v/>
      </c>
      <c r="K604" s="86" t="str">
        <f>IF(N604=0,(IF(LEFT(Table13[[#This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Row],[URAIAN]],$U$194:$V$210,2,FALSE),""),""),0))))),N604)</f>
        <v/>
      </c>
      <c r="L604" s="85" t="str">
        <f>IF(Table13[[#This Row],[Column2]]="KWITANSI",COUNTIF($K$4:K604,"KWITANSI")," ")</f>
        <v xml:space="preserve"> </v>
      </c>
      <c r="M604" s="85" t="str">
        <f>IF(Table13[[#This Row],[Column3]]=" "," ",Table13[[#This Row],[CODE]])</f>
        <v xml:space="preserve"> </v>
      </c>
      <c r="N604" s="368"/>
      <c r="P604" s="81" t="str">
        <f t="shared" si="9"/>
        <v/>
      </c>
    </row>
    <row r="605" spans="1:16" hidden="1" x14ac:dyDescent="0.15">
      <c r="A605" s="81" t="str">
        <f>COPY!O603</f>
        <v/>
      </c>
      <c r="B605" s="81" t="str">
        <f>COPY!C603</f>
        <v/>
      </c>
      <c r="C605" s="82" t="str">
        <f>COPY!D603</f>
        <v/>
      </c>
      <c r="D605" s="81" t="str">
        <f>IF(Table13[[#This Row],[JUMLAH]]&gt;1,(IF(Table13[[#This Row],[CODE]]=" ",D604&amp;"a",IF(Table13[[#This Row],[CODE]]&gt;0,Table13[[#This Row],[CODE]],0))),"")</f>
        <v/>
      </c>
      <c r="E605" s="81" t="str">
        <f>IF(COPY!G603&gt;0,COPY!G603,"")</f>
        <v/>
      </c>
      <c r="F605" s="88" t="str">
        <f>IF(COPY!J603&gt;0,COPY!J603,"")</f>
        <v/>
      </c>
      <c r="G605" s="85" t="str">
        <f>IF(COPY!H603&gt;0,COPY!H603,"")</f>
        <v/>
      </c>
      <c r="H605" s="85" t="str">
        <f>IF(COPY!I603&gt;0,COPY!I603,"")</f>
        <v/>
      </c>
      <c r="I605" s="85" t="str">
        <f>IF(COPY!M603&gt;0,COPY!M603,"")</f>
        <v/>
      </c>
      <c r="J605" s="85" t="str">
        <f>IF(COPY!N603&gt;0,COPY!N603,"")</f>
        <v/>
      </c>
      <c r="K605" s="86" t="str">
        <f>IF(N605=0,(IF(LEFT(Table13[[#This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Row],[URAIAN]],$U$194:$V$210,2,FALSE),""),""),0))))),N605)</f>
        <v/>
      </c>
      <c r="L605" s="85" t="str">
        <f>IF(Table13[[#This Row],[Column2]]="KWITANSI",COUNTIF($K$4:K605,"KWITANSI")," ")</f>
        <v xml:space="preserve"> </v>
      </c>
      <c r="M605" s="85" t="str">
        <f>IF(Table13[[#This Row],[Column3]]=" "," ",Table13[[#This Row],[CODE]])</f>
        <v xml:space="preserve"> </v>
      </c>
      <c r="N605" s="368"/>
      <c r="P605" s="81" t="str">
        <f t="shared" si="9"/>
        <v/>
      </c>
    </row>
    <row r="606" spans="1:16" hidden="1" x14ac:dyDescent="0.15">
      <c r="A606" s="81" t="str">
        <f>COPY!O604</f>
        <v/>
      </c>
      <c r="B606" s="81" t="str">
        <f>COPY!C604</f>
        <v/>
      </c>
      <c r="C606" s="82" t="str">
        <f>COPY!D604</f>
        <v/>
      </c>
      <c r="D606" s="81" t="str">
        <f>IF(Table13[[#This Row],[JUMLAH]]&gt;1,(IF(Table13[[#This Row],[CODE]]=" ",D605&amp;"a",IF(Table13[[#This Row],[CODE]]&gt;0,Table13[[#This Row],[CODE]],0))),"")</f>
        <v/>
      </c>
      <c r="E606" s="81" t="str">
        <f>IF(COPY!G604&gt;0,COPY!G604,"")</f>
        <v/>
      </c>
      <c r="F606" s="88" t="str">
        <f>IF(COPY!J604&gt;0,COPY!J604,"")</f>
        <v/>
      </c>
      <c r="G606" s="85" t="str">
        <f>IF(COPY!H604&gt;0,COPY!H604,"")</f>
        <v/>
      </c>
      <c r="H606" s="85" t="str">
        <f>IF(COPY!I604&gt;0,COPY!I604,"")</f>
        <v/>
      </c>
      <c r="I606" s="85" t="str">
        <f>IF(COPY!M604&gt;0,COPY!M604,"")</f>
        <v/>
      </c>
      <c r="J606" s="85" t="str">
        <f>IF(COPY!N604&gt;0,COPY!N604,"")</f>
        <v/>
      </c>
      <c r="K606" s="86" t="str">
        <f>IF(N606=0,(IF(LEFT(Table13[[#This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Row],[URAIAN]],$U$194:$V$210,2,FALSE),""),""),0))))),N606)</f>
        <v/>
      </c>
      <c r="L606" s="85" t="str">
        <f>IF(Table13[[#This Row],[Column2]]="KWITANSI",COUNTIF($K$4:K606,"KWITANSI")," ")</f>
        <v xml:space="preserve"> </v>
      </c>
      <c r="M606" s="85" t="str">
        <f>IF(Table13[[#This Row],[Column3]]=" "," ",Table13[[#This Row],[CODE]])</f>
        <v xml:space="preserve"> </v>
      </c>
      <c r="N606" s="368"/>
      <c r="P606" s="81" t="str">
        <f t="shared" si="9"/>
        <v/>
      </c>
    </row>
    <row r="607" spans="1:16" hidden="1" x14ac:dyDescent="0.15">
      <c r="A607" s="81" t="str">
        <f>COPY!O605</f>
        <v/>
      </c>
      <c r="B607" s="81" t="str">
        <f>COPY!C605</f>
        <v/>
      </c>
      <c r="C607" s="82" t="str">
        <f>COPY!D605</f>
        <v/>
      </c>
      <c r="D607" s="81" t="str">
        <f>IF(Table13[[#This Row],[JUMLAH]]&gt;1,(IF(Table13[[#This Row],[CODE]]=" ",D606&amp;"a",IF(Table13[[#This Row],[CODE]]&gt;0,Table13[[#This Row],[CODE]],0))),"")</f>
        <v/>
      </c>
      <c r="E607" s="81" t="str">
        <f>IF(COPY!G605&gt;0,COPY!G605,"")</f>
        <v/>
      </c>
      <c r="F607" s="88" t="str">
        <f>IF(COPY!J605&gt;0,COPY!J605,"")</f>
        <v/>
      </c>
      <c r="G607" s="85" t="str">
        <f>IF(COPY!H605&gt;0,COPY!H605,"")</f>
        <v/>
      </c>
      <c r="H607" s="85" t="str">
        <f>IF(COPY!I605&gt;0,COPY!I605,"")</f>
        <v/>
      </c>
      <c r="I607" s="85" t="str">
        <f>IF(COPY!M605&gt;0,COPY!M605,"")</f>
        <v/>
      </c>
      <c r="J607" s="85" t="str">
        <f>IF(COPY!N605&gt;0,COPY!N605,"")</f>
        <v/>
      </c>
      <c r="K607" s="86" t="str">
        <f>IF(N607=0,(IF(LEFT(Table13[[#This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Row],[URAIAN]],$U$194:$V$210,2,FALSE),""),""),0))))),N607)</f>
        <v/>
      </c>
      <c r="L607" s="85" t="str">
        <f>IF(Table13[[#This Row],[Column2]]="KWITANSI",COUNTIF($K$4:K607,"KWITANSI")," ")</f>
        <v xml:space="preserve"> </v>
      </c>
      <c r="M607" s="85" t="str">
        <f>IF(Table13[[#This Row],[Column3]]=" "," ",Table13[[#This Row],[CODE]])</f>
        <v xml:space="preserve"> </v>
      </c>
      <c r="N607" s="368"/>
      <c r="P607" s="81" t="str">
        <f t="shared" si="9"/>
        <v/>
      </c>
    </row>
    <row r="608" spans="1:16" hidden="1" x14ac:dyDescent="0.15">
      <c r="A608" s="81" t="str">
        <f>COPY!O606</f>
        <v/>
      </c>
      <c r="B608" s="81" t="str">
        <f>COPY!C606</f>
        <v/>
      </c>
      <c r="C608" s="82" t="str">
        <f>COPY!D606</f>
        <v/>
      </c>
      <c r="D608" s="81" t="str">
        <f>IF(Table13[[#This Row],[JUMLAH]]&gt;1,(IF(Table13[[#This Row],[CODE]]=" ",D607&amp;"a",IF(Table13[[#This Row],[CODE]]&gt;0,Table13[[#This Row],[CODE]],0))),"")</f>
        <v/>
      </c>
      <c r="E608" s="81" t="str">
        <f>IF(COPY!G606&gt;0,COPY!G606,"")</f>
        <v/>
      </c>
      <c r="F608" s="88" t="str">
        <f>IF(COPY!J606&gt;0,COPY!J606,"")</f>
        <v/>
      </c>
      <c r="G608" s="85" t="str">
        <f>IF(COPY!H606&gt;0,COPY!H606,"")</f>
        <v/>
      </c>
      <c r="H608" s="85" t="str">
        <f>IF(COPY!I606&gt;0,COPY!I606,"")</f>
        <v/>
      </c>
      <c r="I608" s="85" t="str">
        <f>IF(COPY!M606&gt;0,COPY!M606,"")</f>
        <v/>
      </c>
      <c r="J608" s="85" t="str">
        <f>IF(COPY!N606&gt;0,COPY!N606,"")</f>
        <v/>
      </c>
      <c r="K608" s="86" t="str">
        <f>IF(N608=0,(IF(LEFT(Table13[[#This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Row],[URAIAN]],$U$194:$V$210,2,FALSE),""),""),0))))),N608)</f>
        <v/>
      </c>
      <c r="L608" s="85" t="str">
        <f>IF(Table13[[#This Row],[Column2]]="KWITANSI",COUNTIF($K$4:K608,"KWITANSI")," ")</f>
        <v xml:space="preserve"> </v>
      </c>
      <c r="M608" s="85" t="str">
        <f>IF(Table13[[#This Row],[Column3]]=" "," ",Table13[[#This Row],[CODE]])</f>
        <v xml:space="preserve"> </v>
      </c>
      <c r="N608" s="368"/>
      <c r="P608" s="81" t="str">
        <f t="shared" si="9"/>
        <v/>
      </c>
    </row>
    <row r="609" spans="1:16" hidden="1" x14ac:dyDescent="0.15">
      <c r="A609" s="81" t="str">
        <f>COPY!O607</f>
        <v/>
      </c>
      <c r="B609" s="81" t="str">
        <f>COPY!C607</f>
        <v/>
      </c>
      <c r="C609" s="82" t="str">
        <f>COPY!D607</f>
        <v/>
      </c>
      <c r="D609" s="81" t="str">
        <f>IF(Table13[[#This Row],[JUMLAH]]&gt;1,(IF(Table13[[#This Row],[CODE]]=" ",D608&amp;"a",IF(Table13[[#This Row],[CODE]]&gt;0,Table13[[#This Row],[CODE]],0))),"")</f>
        <v/>
      </c>
      <c r="E609" s="81" t="str">
        <f>IF(COPY!G607&gt;0,COPY!G607,"")</f>
        <v/>
      </c>
      <c r="F609" s="88" t="str">
        <f>IF(COPY!J607&gt;0,COPY!J607,"")</f>
        <v/>
      </c>
      <c r="G609" s="85" t="str">
        <f>IF(COPY!H607&gt;0,COPY!H607,"")</f>
        <v/>
      </c>
      <c r="H609" s="85" t="str">
        <f>IF(COPY!I607&gt;0,COPY!I607,"")</f>
        <v/>
      </c>
      <c r="I609" s="85" t="str">
        <f>IF(COPY!M607&gt;0,COPY!M607,"")</f>
        <v/>
      </c>
      <c r="J609" s="85" t="str">
        <f>IF(COPY!N607&gt;0,COPY!N607,"")</f>
        <v/>
      </c>
      <c r="K609" s="86" t="str">
        <f>IF(N609=0,(IF(LEFT(Table13[[#This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Row],[URAIAN]],$U$194:$V$210,2,FALSE),""),""),0))))),N609)</f>
        <v/>
      </c>
      <c r="L609" s="85" t="str">
        <f>IF(Table13[[#This Row],[Column2]]="KWITANSI",COUNTIF($K$4:K609,"KWITANSI")," ")</f>
        <v xml:space="preserve"> </v>
      </c>
      <c r="M609" s="85" t="str">
        <f>IF(Table13[[#This Row],[Column3]]=" "," ",Table13[[#This Row],[CODE]])</f>
        <v xml:space="preserve"> </v>
      </c>
      <c r="N609" s="368"/>
      <c r="P609" s="81" t="str">
        <f t="shared" si="9"/>
        <v/>
      </c>
    </row>
    <row r="610" spans="1:16" hidden="1" x14ac:dyDescent="0.15">
      <c r="A610" s="81" t="str">
        <f>COPY!O608</f>
        <v/>
      </c>
      <c r="B610" s="81" t="str">
        <f>COPY!C608</f>
        <v/>
      </c>
      <c r="C610" s="82" t="str">
        <f>COPY!D608</f>
        <v/>
      </c>
      <c r="D610" s="81" t="str">
        <f>IF(Table13[[#This Row],[JUMLAH]]&gt;1,(IF(Table13[[#This Row],[CODE]]=" ",D609&amp;"a",IF(Table13[[#This Row],[CODE]]&gt;0,Table13[[#This Row],[CODE]],0))),"")</f>
        <v/>
      </c>
      <c r="E610" s="81" t="str">
        <f>IF(COPY!G608&gt;0,COPY!G608,"")</f>
        <v/>
      </c>
      <c r="F610" s="88" t="str">
        <f>IF(COPY!J608&gt;0,COPY!J608,"")</f>
        <v/>
      </c>
      <c r="G610" s="85" t="str">
        <f>IF(COPY!H608&gt;0,COPY!H608,"")</f>
        <v/>
      </c>
      <c r="H610" s="85" t="str">
        <f>IF(COPY!I608&gt;0,COPY!I608,"")</f>
        <v/>
      </c>
      <c r="I610" s="85" t="str">
        <f>IF(COPY!M608&gt;0,COPY!M608,"")</f>
        <v/>
      </c>
      <c r="J610" s="85" t="str">
        <f>IF(COPY!N608&gt;0,COPY!N608,"")</f>
        <v/>
      </c>
      <c r="K610" s="86" t="str">
        <f>IF(N610=0,(IF(LEFT(Table13[[#This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Row],[URAIAN]],$U$194:$V$210,2,FALSE),""),""),0))))),N610)</f>
        <v/>
      </c>
      <c r="L610" s="85" t="str">
        <f>IF(Table13[[#This Row],[Column2]]="KWITANSI",COUNTIF($K$4:K610,"KWITANSI")," ")</f>
        <v xml:space="preserve"> </v>
      </c>
      <c r="M610" s="85" t="str">
        <f>IF(Table13[[#This Row],[Column3]]=" "," ",Table13[[#This Row],[CODE]])</f>
        <v xml:space="preserve"> </v>
      </c>
      <c r="N610" s="368"/>
      <c r="P610" s="81" t="str">
        <f t="shared" si="9"/>
        <v/>
      </c>
    </row>
    <row r="611" spans="1:16" hidden="1" x14ac:dyDescent="0.15">
      <c r="A611" s="81" t="str">
        <f>COPY!O609</f>
        <v/>
      </c>
      <c r="B611" s="81" t="str">
        <f>COPY!C609</f>
        <v/>
      </c>
      <c r="C611" s="82" t="str">
        <f>COPY!D609</f>
        <v/>
      </c>
      <c r="D611" s="81" t="str">
        <f>IF(Table13[[#This Row],[JUMLAH]]&gt;1,(IF(Table13[[#This Row],[CODE]]=" ",D610&amp;"a",IF(Table13[[#This Row],[CODE]]&gt;0,Table13[[#This Row],[CODE]],0))),"")</f>
        <v/>
      </c>
      <c r="E611" s="81" t="str">
        <f>IF(COPY!G609&gt;0,COPY!G609,"")</f>
        <v/>
      </c>
      <c r="F611" s="88" t="str">
        <f>IF(COPY!J609&gt;0,COPY!J609,"")</f>
        <v/>
      </c>
      <c r="G611" s="85" t="str">
        <f>IF(COPY!H609&gt;0,COPY!H609,"")</f>
        <v/>
      </c>
      <c r="H611" s="85" t="str">
        <f>IF(COPY!I609&gt;0,COPY!I609,"")</f>
        <v/>
      </c>
      <c r="I611" s="85" t="str">
        <f>IF(COPY!M609&gt;0,COPY!M609,"")</f>
        <v/>
      </c>
      <c r="J611" s="85" t="str">
        <f>IF(COPY!N609&gt;0,COPY!N609,"")</f>
        <v/>
      </c>
      <c r="K611" s="86" t="str">
        <f>IF(N611=0,(IF(LEFT(Table13[[#This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Row],[URAIAN]],$U$194:$V$210,2,FALSE),""),""),0))))),N611)</f>
        <v/>
      </c>
      <c r="L611" s="85" t="str">
        <f>IF(Table13[[#This Row],[Column2]]="KWITANSI",COUNTIF($K$4:K611,"KWITANSI")," ")</f>
        <v xml:space="preserve"> </v>
      </c>
      <c r="M611" s="85" t="str">
        <f>IF(Table13[[#This Row],[Column3]]=" "," ",Table13[[#This Row],[CODE]])</f>
        <v xml:space="preserve"> </v>
      </c>
      <c r="N611" s="368"/>
      <c r="P611" s="81" t="str">
        <f t="shared" si="9"/>
        <v/>
      </c>
    </row>
    <row r="612" spans="1:16" hidden="1" x14ac:dyDescent="0.15">
      <c r="A612" s="81" t="str">
        <f>COPY!O610</f>
        <v/>
      </c>
      <c r="B612" s="81" t="str">
        <f>COPY!C610</f>
        <v/>
      </c>
      <c r="C612" s="82" t="str">
        <f>COPY!D610</f>
        <v/>
      </c>
      <c r="D612" s="81" t="str">
        <f>IF(Table13[[#This Row],[JUMLAH]]&gt;1,(IF(Table13[[#This Row],[CODE]]=" ",D611&amp;"a",IF(Table13[[#This Row],[CODE]]&gt;0,Table13[[#This Row],[CODE]],0))),"")</f>
        <v/>
      </c>
      <c r="E612" s="81" t="str">
        <f>IF(COPY!G610&gt;0,COPY!G610,"")</f>
        <v/>
      </c>
      <c r="F612" s="88" t="str">
        <f>IF(COPY!J610&gt;0,COPY!J610,"")</f>
        <v/>
      </c>
      <c r="G612" s="85" t="str">
        <f>IF(COPY!H610&gt;0,COPY!H610,"")</f>
        <v/>
      </c>
      <c r="H612" s="85" t="str">
        <f>IF(COPY!I610&gt;0,COPY!I610,"")</f>
        <v/>
      </c>
      <c r="I612" s="85" t="str">
        <f>IF(COPY!M610&gt;0,COPY!M610,"")</f>
        <v/>
      </c>
      <c r="J612" s="85" t="str">
        <f>IF(COPY!N610&gt;0,COPY!N610,"")</f>
        <v/>
      </c>
      <c r="K612" s="86" t="str">
        <f>IF(N612=0,(IF(LEFT(Table13[[#This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Row],[URAIAN]],$U$194:$V$210,2,FALSE),""),""),0))))),N612)</f>
        <v/>
      </c>
      <c r="L612" s="85" t="str">
        <f>IF(Table13[[#This Row],[Column2]]="KWITANSI",COUNTIF($K$4:K612,"KWITANSI")," ")</f>
        <v xml:space="preserve"> </v>
      </c>
      <c r="M612" s="85" t="str">
        <f>IF(Table13[[#This Row],[Column3]]=" "," ",Table13[[#This Row],[CODE]])</f>
        <v xml:space="preserve"> </v>
      </c>
      <c r="N612" s="368"/>
      <c r="P612" s="81" t="str">
        <f t="shared" si="9"/>
        <v/>
      </c>
    </row>
    <row r="613" spans="1:16" hidden="1" x14ac:dyDescent="0.15">
      <c r="A613" s="81" t="str">
        <f>COPY!O611</f>
        <v/>
      </c>
      <c r="B613" s="81" t="str">
        <f>COPY!C611</f>
        <v/>
      </c>
      <c r="C613" s="82" t="str">
        <f>COPY!D611</f>
        <v/>
      </c>
      <c r="D613" s="81" t="str">
        <f>IF(Table13[[#This Row],[JUMLAH]]&gt;1,(IF(Table13[[#This Row],[CODE]]=" ",D612&amp;"a",IF(Table13[[#This Row],[CODE]]&gt;0,Table13[[#This Row],[CODE]],0))),"")</f>
        <v/>
      </c>
      <c r="E613" s="81" t="str">
        <f>IF(COPY!G611&gt;0,COPY!G611,"")</f>
        <v/>
      </c>
      <c r="F613" s="88" t="str">
        <f>IF(COPY!J611&gt;0,COPY!J611,"")</f>
        <v/>
      </c>
      <c r="G613" s="85" t="str">
        <f>IF(COPY!H611&gt;0,COPY!H611,"")</f>
        <v/>
      </c>
      <c r="H613" s="85" t="str">
        <f>IF(COPY!I611&gt;0,COPY!I611,"")</f>
        <v/>
      </c>
      <c r="I613" s="85" t="str">
        <f>IF(COPY!M611&gt;0,COPY!M611,"")</f>
        <v/>
      </c>
      <c r="J613" s="85" t="str">
        <f>IF(COPY!N611&gt;0,COPY!N611,"")</f>
        <v/>
      </c>
      <c r="K613" s="86" t="str">
        <f>IF(N613=0,(IF(LEFT(Table13[[#This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Row],[URAIAN]],$U$194:$V$210,2,FALSE),""),""),0))))),N613)</f>
        <v/>
      </c>
      <c r="L613" s="85" t="str">
        <f>IF(Table13[[#This Row],[Column2]]="KWITANSI",COUNTIF($K$4:K613,"KWITANSI")," ")</f>
        <v xml:space="preserve"> </v>
      </c>
      <c r="M613" s="85" t="str">
        <f>IF(Table13[[#This Row],[Column3]]=" "," ",Table13[[#This Row],[CODE]])</f>
        <v xml:space="preserve"> </v>
      </c>
      <c r="N613" s="368"/>
      <c r="P613" s="81" t="str">
        <f t="shared" si="9"/>
        <v/>
      </c>
    </row>
    <row r="614" spans="1:16" hidden="1" x14ac:dyDescent="0.15">
      <c r="A614" s="81" t="str">
        <f>COPY!O612</f>
        <v/>
      </c>
      <c r="B614" s="81" t="str">
        <f>COPY!C612</f>
        <v/>
      </c>
      <c r="C614" s="82" t="str">
        <f>COPY!D612</f>
        <v/>
      </c>
      <c r="D614" s="81" t="str">
        <f>IF(Table13[[#This Row],[JUMLAH]]&gt;1,(IF(Table13[[#This Row],[CODE]]=" ",D613&amp;"a",IF(Table13[[#This Row],[CODE]]&gt;0,Table13[[#This Row],[CODE]],0))),"")</f>
        <v/>
      </c>
      <c r="E614" s="81" t="str">
        <f>IF(COPY!G612&gt;0,COPY!G612,"")</f>
        <v/>
      </c>
      <c r="F614" s="88" t="str">
        <f>IF(COPY!J612&gt;0,COPY!J612,"")</f>
        <v/>
      </c>
      <c r="G614" s="85" t="str">
        <f>IF(COPY!H612&gt;0,COPY!H612,"")</f>
        <v/>
      </c>
      <c r="H614" s="85" t="str">
        <f>IF(COPY!I612&gt;0,COPY!I612,"")</f>
        <v/>
      </c>
      <c r="I614" s="85" t="str">
        <f>IF(COPY!M612&gt;0,COPY!M612,"")</f>
        <v/>
      </c>
      <c r="J614" s="85" t="str">
        <f>IF(COPY!N612&gt;0,COPY!N612,"")</f>
        <v/>
      </c>
      <c r="K614" s="86" t="str">
        <f>IF(N614=0,(IF(LEFT(Table13[[#This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Row],[URAIAN]],$U$194:$V$210,2,FALSE),""),""),0))))),N614)</f>
        <v/>
      </c>
      <c r="L614" s="85" t="str">
        <f>IF(Table13[[#This Row],[Column2]]="KWITANSI",COUNTIF($K$4:K614,"KWITANSI")," ")</f>
        <v xml:space="preserve"> </v>
      </c>
      <c r="M614" s="85" t="str">
        <f>IF(Table13[[#This Row],[Column3]]=" "," ",Table13[[#This Row],[CODE]])</f>
        <v xml:space="preserve"> </v>
      </c>
      <c r="N614" s="368"/>
      <c r="P614" s="81" t="str">
        <f t="shared" si="9"/>
        <v/>
      </c>
    </row>
    <row r="615" spans="1:16" hidden="1" x14ac:dyDescent="0.15">
      <c r="A615" s="81" t="str">
        <f>COPY!O613</f>
        <v/>
      </c>
      <c r="B615" s="81" t="str">
        <f>COPY!C613</f>
        <v/>
      </c>
      <c r="C615" s="82" t="str">
        <f>COPY!D613</f>
        <v/>
      </c>
      <c r="D615" s="81" t="str">
        <f>IF(Table13[[#This Row],[JUMLAH]]&gt;1,(IF(Table13[[#This Row],[CODE]]=" ",D614&amp;"a",IF(Table13[[#This Row],[CODE]]&gt;0,Table13[[#This Row],[CODE]],0))),"")</f>
        <v/>
      </c>
      <c r="E615" s="81" t="str">
        <f>IF(COPY!G613&gt;0,COPY!G613,"")</f>
        <v/>
      </c>
      <c r="F615" s="88" t="str">
        <f>IF(COPY!J613&gt;0,COPY!J613,"")</f>
        <v/>
      </c>
      <c r="G615" s="85" t="str">
        <f>IF(COPY!H613&gt;0,COPY!H613,"")</f>
        <v/>
      </c>
      <c r="H615" s="85" t="str">
        <f>IF(COPY!I613&gt;0,COPY!I613,"")</f>
        <v/>
      </c>
      <c r="I615" s="85" t="str">
        <f>IF(COPY!M613&gt;0,COPY!M613,"")</f>
        <v/>
      </c>
      <c r="J615" s="85" t="str">
        <f>IF(COPY!N613&gt;0,COPY!N613,"")</f>
        <v/>
      </c>
      <c r="K615" s="86" t="str">
        <f>IF(N615=0,(IF(LEFT(Table13[[#This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Row],[URAIAN]],$U$194:$V$210,2,FALSE),""),""),0))))),N615)</f>
        <v/>
      </c>
      <c r="L615" s="85" t="str">
        <f>IF(Table13[[#This Row],[Column2]]="KWITANSI",COUNTIF($K$4:K615,"KWITANSI")," ")</f>
        <v xml:space="preserve"> </v>
      </c>
      <c r="M615" s="85" t="str">
        <f>IF(Table13[[#This Row],[Column3]]=" "," ",Table13[[#This Row],[CODE]])</f>
        <v xml:space="preserve"> </v>
      </c>
      <c r="N615" s="368"/>
      <c r="P615" s="81" t="str">
        <f t="shared" si="9"/>
        <v/>
      </c>
    </row>
    <row r="616" spans="1:16" hidden="1" x14ac:dyDescent="0.15">
      <c r="A616" s="81" t="str">
        <f>COPY!O614</f>
        <v/>
      </c>
      <c r="B616" s="81" t="str">
        <f>COPY!C614</f>
        <v/>
      </c>
      <c r="C616" s="82" t="str">
        <f>COPY!D614</f>
        <v/>
      </c>
      <c r="D616" s="81" t="str">
        <f>IF(Table13[[#This Row],[JUMLAH]]&gt;1,(IF(Table13[[#This Row],[CODE]]=" ",D615&amp;"a",IF(Table13[[#This Row],[CODE]]&gt;0,Table13[[#This Row],[CODE]],0))),"")</f>
        <v/>
      </c>
      <c r="E616" s="81" t="str">
        <f>IF(COPY!G614&gt;0,COPY!G614,"")</f>
        <v/>
      </c>
      <c r="F616" s="88" t="str">
        <f>IF(COPY!J614&gt;0,COPY!J614,"")</f>
        <v/>
      </c>
      <c r="G616" s="85" t="str">
        <f>IF(COPY!H614&gt;0,COPY!H614,"")</f>
        <v/>
      </c>
      <c r="H616" s="85" t="str">
        <f>IF(COPY!I614&gt;0,COPY!I614,"")</f>
        <v/>
      </c>
      <c r="I616" s="85" t="str">
        <f>IF(COPY!M614&gt;0,COPY!M614,"")</f>
        <v/>
      </c>
      <c r="J616" s="85" t="str">
        <f>IF(COPY!N614&gt;0,COPY!N614,"")</f>
        <v/>
      </c>
      <c r="K616" s="86" t="str">
        <f>IF(N616=0,(IF(LEFT(Table13[[#This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Row],[URAIAN]],$U$194:$V$210,2,FALSE),""),""),0))))),N616)</f>
        <v/>
      </c>
      <c r="L616" s="85" t="str">
        <f>IF(Table13[[#This Row],[Column2]]="KWITANSI",COUNTIF($K$4:K616,"KWITANSI")," ")</f>
        <v xml:space="preserve"> </v>
      </c>
      <c r="M616" s="85" t="str">
        <f>IF(Table13[[#This Row],[Column3]]=" "," ",Table13[[#This Row],[CODE]])</f>
        <v xml:space="preserve"> </v>
      </c>
      <c r="N616" s="368"/>
      <c r="P616" s="81" t="str">
        <f t="shared" si="9"/>
        <v/>
      </c>
    </row>
    <row r="617" spans="1:16" hidden="1" x14ac:dyDescent="0.15">
      <c r="A617" s="81" t="str">
        <f>COPY!O615</f>
        <v/>
      </c>
      <c r="B617" s="81" t="str">
        <f>COPY!C615</f>
        <v/>
      </c>
      <c r="C617" s="82" t="str">
        <f>COPY!D615</f>
        <v/>
      </c>
      <c r="D617" s="81" t="str">
        <f>IF(Table13[[#This Row],[JUMLAH]]&gt;1,(IF(Table13[[#This Row],[CODE]]=" ",D616&amp;"a",IF(Table13[[#This Row],[CODE]]&gt;0,Table13[[#This Row],[CODE]],0))),"")</f>
        <v/>
      </c>
      <c r="E617" s="81" t="str">
        <f>IF(COPY!G615&gt;0,COPY!G615,"")</f>
        <v/>
      </c>
      <c r="F617" s="88" t="str">
        <f>IF(COPY!J615&gt;0,COPY!J615,"")</f>
        <v/>
      </c>
      <c r="G617" s="85" t="str">
        <f>IF(COPY!H615&gt;0,COPY!H615,"")</f>
        <v/>
      </c>
      <c r="H617" s="85" t="str">
        <f>IF(COPY!I615&gt;0,COPY!I615,"")</f>
        <v/>
      </c>
      <c r="I617" s="85" t="str">
        <f>IF(COPY!M615&gt;0,COPY!M615,"")</f>
        <v/>
      </c>
      <c r="J617" s="85" t="str">
        <f>IF(COPY!N615&gt;0,COPY!N615,"")</f>
        <v/>
      </c>
      <c r="K617" s="86" t="str">
        <f>IF(N617=0,(IF(LEFT(Table13[[#This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Row],[URAIAN]],$U$194:$V$210,2,FALSE),""),""),0))))),N617)</f>
        <v/>
      </c>
      <c r="L617" s="85" t="str">
        <f>IF(Table13[[#This Row],[Column2]]="KWITANSI",COUNTIF($K$4:K617,"KWITANSI")," ")</f>
        <v xml:space="preserve"> </v>
      </c>
      <c r="M617" s="85" t="str">
        <f>IF(Table13[[#This Row],[Column3]]=" "," ",Table13[[#This Row],[CODE]])</f>
        <v xml:space="preserve"> </v>
      </c>
      <c r="N617" s="368"/>
      <c r="P617" s="81" t="str">
        <f t="shared" si="9"/>
        <v/>
      </c>
    </row>
    <row r="618" spans="1:16" hidden="1" x14ac:dyDescent="0.15">
      <c r="A618" s="81" t="str">
        <f>COPY!O616</f>
        <v/>
      </c>
      <c r="B618" s="81" t="str">
        <f>COPY!C616</f>
        <v/>
      </c>
      <c r="C618" s="82" t="str">
        <f>COPY!D616</f>
        <v/>
      </c>
      <c r="D618" s="81" t="str">
        <f>IF(Table13[[#This Row],[JUMLAH]]&gt;1,(IF(Table13[[#This Row],[CODE]]=" ",D617&amp;"a",IF(Table13[[#This Row],[CODE]]&gt;0,Table13[[#This Row],[CODE]],0))),"")</f>
        <v/>
      </c>
      <c r="E618" s="81" t="str">
        <f>IF(COPY!G616&gt;0,COPY!G616,"")</f>
        <v/>
      </c>
      <c r="F618" s="88" t="str">
        <f>IF(COPY!J616&gt;0,COPY!J616,"")</f>
        <v/>
      </c>
      <c r="G618" s="85" t="str">
        <f>IF(COPY!H616&gt;0,COPY!H616,"")</f>
        <v/>
      </c>
      <c r="H618" s="85" t="str">
        <f>IF(COPY!I616&gt;0,COPY!I616,"")</f>
        <v/>
      </c>
      <c r="I618" s="85" t="str">
        <f>IF(COPY!M616&gt;0,COPY!M616,"")</f>
        <v/>
      </c>
      <c r="J618" s="85" t="str">
        <f>IF(COPY!N616&gt;0,COPY!N616,"")</f>
        <v/>
      </c>
      <c r="K618" s="86" t="str">
        <f>IF(N618=0,(IF(LEFT(Table13[[#This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Row],[URAIAN]],$U$194:$V$210,2,FALSE),""),""),0))))),N618)</f>
        <v/>
      </c>
      <c r="L618" s="85" t="str">
        <f>IF(Table13[[#This Row],[Column2]]="KWITANSI",COUNTIF($K$4:K618,"KWITANSI")," ")</f>
        <v xml:space="preserve"> </v>
      </c>
      <c r="M618" s="85" t="str">
        <f>IF(Table13[[#This Row],[Column3]]=" "," ",Table13[[#This Row],[CODE]])</f>
        <v xml:space="preserve"> </v>
      </c>
      <c r="N618" s="368"/>
      <c r="P618" s="81" t="str">
        <f t="shared" si="9"/>
        <v/>
      </c>
    </row>
    <row r="619" spans="1:16" hidden="1" x14ac:dyDescent="0.15">
      <c r="A619" s="81" t="str">
        <f>COPY!O617</f>
        <v/>
      </c>
      <c r="B619" s="81" t="str">
        <f>COPY!C617</f>
        <v/>
      </c>
      <c r="C619" s="82" t="str">
        <f>COPY!D617</f>
        <v/>
      </c>
      <c r="D619" s="81" t="str">
        <f>IF(Table13[[#This Row],[JUMLAH]]&gt;1,(IF(Table13[[#This Row],[CODE]]=" ",D618&amp;"a",IF(Table13[[#This Row],[CODE]]&gt;0,Table13[[#This Row],[CODE]],0))),"")</f>
        <v/>
      </c>
      <c r="E619" s="81" t="str">
        <f>IF(COPY!G617&gt;0,COPY!G617,"")</f>
        <v/>
      </c>
      <c r="F619" s="88" t="str">
        <f>IF(COPY!J617&gt;0,COPY!J617,"")</f>
        <v/>
      </c>
      <c r="G619" s="85" t="str">
        <f>IF(COPY!H617&gt;0,COPY!H617,"")</f>
        <v/>
      </c>
      <c r="H619" s="85" t="str">
        <f>IF(COPY!I617&gt;0,COPY!I617,"")</f>
        <v/>
      </c>
      <c r="I619" s="85" t="str">
        <f>IF(COPY!M617&gt;0,COPY!M617,"")</f>
        <v/>
      </c>
      <c r="J619" s="85" t="str">
        <f>IF(COPY!N617&gt;0,COPY!N617,"")</f>
        <v/>
      </c>
      <c r="K619" s="86" t="str">
        <f>IF(N619=0,(IF(LEFT(Table13[[#This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Row],[URAIAN]],$U$194:$V$210,2,FALSE),""),""),0))))),N619)</f>
        <v/>
      </c>
      <c r="L619" s="85" t="str">
        <f>IF(Table13[[#This Row],[Column2]]="KWITANSI",COUNTIF($K$4:K619,"KWITANSI")," ")</f>
        <v xml:space="preserve"> </v>
      </c>
      <c r="M619" s="85" t="str">
        <f>IF(Table13[[#This Row],[Column3]]=" "," ",Table13[[#This Row],[CODE]])</f>
        <v xml:space="preserve"> </v>
      </c>
      <c r="N619" s="368"/>
      <c r="P619" s="81" t="str">
        <f t="shared" si="9"/>
        <v/>
      </c>
    </row>
    <row r="620" spans="1:16" hidden="1" x14ac:dyDescent="0.15">
      <c r="A620" s="81" t="str">
        <f>COPY!O618</f>
        <v/>
      </c>
      <c r="B620" s="81" t="str">
        <f>COPY!C618</f>
        <v/>
      </c>
      <c r="C620" s="82" t="str">
        <f>COPY!D618</f>
        <v/>
      </c>
      <c r="D620" s="81" t="str">
        <f>IF(Table13[[#This Row],[JUMLAH]]&gt;1,(IF(Table13[[#This Row],[CODE]]=" ",D619&amp;"a",IF(Table13[[#This Row],[CODE]]&gt;0,Table13[[#This Row],[CODE]],0))),"")</f>
        <v/>
      </c>
      <c r="E620" s="81" t="str">
        <f>IF(COPY!G618&gt;0,COPY!G618,"")</f>
        <v/>
      </c>
      <c r="F620" s="88" t="str">
        <f>IF(COPY!J618&gt;0,COPY!J618,"")</f>
        <v/>
      </c>
      <c r="G620" s="85" t="str">
        <f>IF(COPY!H618&gt;0,COPY!H618,"")</f>
        <v/>
      </c>
      <c r="H620" s="85" t="str">
        <f>IF(COPY!I618&gt;0,COPY!I618,"")</f>
        <v/>
      </c>
      <c r="I620" s="85" t="str">
        <f>IF(COPY!M618&gt;0,COPY!M618,"")</f>
        <v/>
      </c>
      <c r="J620" s="85" t="str">
        <f>IF(COPY!N618&gt;0,COPY!N618,"")</f>
        <v/>
      </c>
      <c r="K620" s="86" t="str">
        <f>IF(N620=0,(IF(LEFT(Table13[[#This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Row],[URAIAN]],$U$194:$V$210,2,FALSE),""),""),0))))),N620)</f>
        <v/>
      </c>
      <c r="L620" s="85" t="str">
        <f>IF(Table13[[#This Row],[Column2]]="KWITANSI",COUNTIF($K$4:K620,"KWITANSI")," ")</f>
        <v xml:space="preserve"> </v>
      </c>
      <c r="M620" s="85" t="str">
        <f>IF(Table13[[#This Row],[Column3]]=" "," ",Table13[[#This Row],[CODE]])</f>
        <v xml:space="preserve"> </v>
      </c>
      <c r="N620" s="368"/>
      <c r="P620" s="81" t="str">
        <f t="shared" si="9"/>
        <v/>
      </c>
    </row>
    <row r="621" spans="1:16" hidden="1" x14ac:dyDescent="0.15">
      <c r="A621" s="81" t="str">
        <f>COPY!O619</f>
        <v/>
      </c>
      <c r="B621" s="81" t="str">
        <f>COPY!C619</f>
        <v/>
      </c>
      <c r="C621" s="82" t="str">
        <f>COPY!D619</f>
        <v/>
      </c>
      <c r="D621" s="81" t="str">
        <f>IF(Table13[[#This Row],[JUMLAH]]&gt;1,(IF(Table13[[#This Row],[CODE]]=" ",D620&amp;"a",IF(Table13[[#This Row],[CODE]]&gt;0,Table13[[#This Row],[CODE]],0))),"")</f>
        <v/>
      </c>
      <c r="E621" s="81" t="str">
        <f>IF(COPY!G619&gt;0,COPY!G619,"")</f>
        <v/>
      </c>
      <c r="F621" s="88" t="str">
        <f>IF(COPY!J619&gt;0,COPY!J619,"")</f>
        <v/>
      </c>
      <c r="G621" s="85" t="str">
        <f>IF(COPY!H619&gt;0,COPY!H619,"")</f>
        <v/>
      </c>
      <c r="H621" s="85" t="str">
        <f>IF(COPY!I619&gt;0,COPY!I619,"")</f>
        <v/>
      </c>
      <c r="I621" s="85" t="str">
        <f>IF(COPY!M619&gt;0,COPY!M619,"")</f>
        <v/>
      </c>
      <c r="J621" s="85" t="str">
        <f>IF(COPY!N619&gt;0,COPY!N619,"")</f>
        <v/>
      </c>
      <c r="K621" s="86" t="str">
        <f>IF(N621=0,(IF(LEFT(Table13[[#This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Row],[URAIAN]],$U$194:$V$210,2,FALSE),""),""),0))))),N621)</f>
        <v/>
      </c>
      <c r="L621" s="85" t="str">
        <f>IF(Table13[[#This Row],[Column2]]="KWITANSI",COUNTIF($K$4:K621,"KWITANSI")," ")</f>
        <v xml:space="preserve"> </v>
      </c>
      <c r="M621" s="85" t="str">
        <f>IF(Table13[[#This Row],[Column3]]=" "," ",Table13[[#This Row],[CODE]])</f>
        <v xml:space="preserve"> </v>
      </c>
      <c r="N621" s="368"/>
      <c r="P621" s="81" t="str">
        <f t="shared" si="9"/>
        <v/>
      </c>
    </row>
    <row r="622" spans="1:16" hidden="1" x14ac:dyDescent="0.15">
      <c r="A622" s="81" t="str">
        <f>COPY!O620</f>
        <v/>
      </c>
      <c r="B622" s="81" t="str">
        <f>COPY!C620</f>
        <v/>
      </c>
      <c r="C622" s="82" t="str">
        <f>COPY!D620</f>
        <v/>
      </c>
      <c r="D622" s="81" t="str">
        <f>IF(Table13[[#This Row],[JUMLAH]]&gt;1,(IF(Table13[[#This Row],[CODE]]=" ",D621&amp;"a",IF(Table13[[#This Row],[CODE]]&gt;0,Table13[[#This Row],[CODE]],0))),"")</f>
        <v/>
      </c>
      <c r="E622" s="81" t="str">
        <f>IF(COPY!G620&gt;0,COPY!G620,"")</f>
        <v/>
      </c>
      <c r="F622" s="88" t="str">
        <f>IF(COPY!J620&gt;0,COPY!J620,"")</f>
        <v/>
      </c>
      <c r="G622" s="85" t="str">
        <f>IF(COPY!H620&gt;0,COPY!H620,"")</f>
        <v/>
      </c>
      <c r="H622" s="85" t="str">
        <f>IF(COPY!I620&gt;0,COPY!I620,"")</f>
        <v/>
      </c>
      <c r="I622" s="85" t="str">
        <f>IF(COPY!M620&gt;0,COPY!M620,"")</f>
        <v/>
      </c>
      <c r="J622" s="85" t="str">
        <f>IF(COPY!N620&gt;0,COPY!N620,"")</f>
        <v/>
      </c>
      <c r="K622" s="86" t="str">
        <f>IF(N622=0,(IF(LEFT(Table13[[#This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Row],[URAIAN]],$U$194:$V$210,2,FALSE),""),""),0))))),N622)</f>
        <v/>
      </c>
      <c r="L622" s="85" t="str">
        <f>IF(Table13[[#This Row],[Column2]]="KWITANSI",COUNTIF($K$4:K622,"KWITANSI")," ")</f>
        <v xml:space="preserve"> </v>
      </c>
      <c r="M622" s="85" t="str">
        <f>IF(Table13[[#This Row],[Column3]]=" "," ",Table13[[#This Row],[CODE]])</f>
        <v xml:space="preserve"> </v>
      </c>
      <c r="N622" s="368"/>
      <c r="P622" s="81" t="str">
        <f t="shared" si="9"/>
        <v/>
      </c>
    </row>
    <row r="623" spans="1:16" hidden="1" x14ac:dyDescent="0.15">
      <c r="A623" s="81" t="str">
        <f>COPY!O621</f>
        <v/>
      </c>
      <c r="B623" s="81" t="str">
        <f>COPY!C621</f>
        <v/>
      </c>
      <c r="C623" s="82" t="str">
        <f>COPY!D621</f>
        <v/>
      </c>
      <c r="D623" s="81" t="str">
        <f>IF(Table13[[#This Row],[JUMLAH]]&gt;1,(IF(Table13[[#This Row],[CODE]]=" ",D622&amp;"a",IF(Table13[[#This Row],[CODE]]&gt;0,Table13[[#This Row],[CODE]],0))),"")</f>
        <v/>
      </c>
      <c r="E623" s="81" t="str">
        <f>IF(COPY!G621&gt;0,COPY!G621,"")</f>
        <v/>
      </c>
      <c r="F623" s="88" t="str">
        <f>IF(COPY!J621&gt;0,COPY!J621,"")</f>
        <v/>
      </c>
      <c r="G623" s="85" t="str">
        <f>IF(COPY!H621&gt;0,COPY!H621,"")</f>
        <v/>
      </c>
      <c r="H623" s="85" t="str">
        <f>IF(COPY!I621&gt;0,COPY!I621,"")</f>
        <v/>
      </c>
      <c r="I623" s="85" t="str">
        <f>IF(COPY!M621&gt;0,COPY!M621,"")</f>
        <v/>
      </c>
      <c r="J623" s="85" t="str">
        <f>IF(COPY!N621&gt;0,COPY!N621,"")</f>
        <v/>
      </c>
      <c r="K623" s="86" t="str">
        <f>IF(N623=0,(IF(LEFT(Table13[[#This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Row],[URAIAN]],$U$194:$V$210,2,FALSE),""),""),0))))),N623)</f>
        <v/>
      </c>
      <c r="L623" s="85" t="str">
        <f>IF(Table13[[#This Row],[Column2]]="KWITANSI",COUNTIF($K$4:K623,"KWITANSI")," ")</f>
        <v xml:space="preserve"> </v>
      </c>
      <c r="M623" s="85" t="str">
        <f>IF(Table13[[#This Row],[Column3]]=" "," ",Table13[[#This Row],[CODE]])</f>
        <v xml:space="preserve"> </v>
      </c>
      <c r="N623" s="368"/>
      <c r="P623" s="81" t="str">
        <f t="shared" si="9"/>
        <v/>
      </c>
    </row>
    <row r="624" spans="1:16" hidden="1" x14ac:dyDescent="0.15">
      <c r="A624" s="81" t="str">
        <f>COPY!O622</f>
        <v/>
      </c>
      <c r="B624" s="81" t="str">
        <f>COPY!C622</f>
        <v/>
      </c>
      <c r="C624" s="82" t="str">
        <f>COPY!D622</f>
        <v/>
      </c>
      <c r="D624" s="81" t="str">
        <f>IF(Table13[[#This Row],[JUMLAH]]&gt;1,(IF(Table13[[#This Row],[CODE]]=" ",D623&amp;"a",IF(Table13[[#This Row],[CODE]]&gt;0,Table13[[#This Row],[CODE]],0))),"")</f>
        <v/>
      </c>
      <c r="E624" s="81" t="str">
        <f>IF(COPY!G622&gt;0,COPY!G622,"")</f>
        <v/>
      </c>
      <c r="F624" s="88" t="str">
        <f>IF(COPY!J622&gt;0,COPY!J622,"")</f>
        <v/>
      </c>
      <c r="G624" s="85" t="str">
        <f>IF(COPY!H622&gt;0,COPY!H622,"")</f>
        <v/>
      </c>
      <c r="H624" s="85" t="str">
        <f>IF(COPY!I622&gt;0,COPY!I622,"")</f>
        <v/>
      </c>
      <c r="I624" s="85" t="str">
        <f>IF(COPY!M622&gt;0,COPY!M622,"")</f>
        <v/>
      </c>
      <c r="J624" s="85" t="str">
        <f>IF(COPY!N622&gt;0,COPY!N622,"")</f>
        <v/>
      </c>
      <c r="K624" s="86" t="str">
        <f>IF(N624=0,(IF(LEFT(Table13[[#This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Row],[URAIAN]],$U$194:$V$210,2,FALSE),""),""),0))))),N624)</f>
        <v/>
      </c>
      <c r="L624" s="85" t="str">
        <f>IF(Table13[[#This Row],[Column2]]="KWITANSI",COUNTIF($K$4:K624,"KWITANSI")," ")</f>
        <v xml:space="preserve"> </v>
      </c>
      <c r="M624" s="85" t="str">
        <f>IF(Table13[[#This Row],[Column3]]=" "," ",Table13[[#This Row],[CODE]])</f>
        <v xml:space="preserve"> </v>
      </c>
      <c r="N624" s="368"/>
      <c r="P624" s="81" t="str">
        <f t="shared" si="9"/>
        <v/>
      </c>
    </row>
    <row r="625" spans="1:16" hidden="1" x14ac:dyDescent="0.15">
      <c r="A625" s="81" t="str">
        <f>COPY!O623</f>
        <v/>
      </c>
      <c r="B625" s="81" t="str">
        <f>COPY!C623</f>
        <v/>
      </c>
      <c r="C625" s="82" t="str">
        <f>COPY!D623</f>
        <v/>
      </c>
      <c r="D625" s="81" t="str">
        <f>IF(Table13[[#This Row],[JUMLAH]]&gt;1,(IF(Table13[[#This Row],[CODE]]=" ",D624&amp;"a",IF(Table13[[#This Row],[CODE]]&gt;0,Table13[[#This Row],[CODE]],0))),"")</f>
        <v/>
      </c>
      <c r="E625" s="81" t="str">
        <f>IF(COPY!G623&gt;0,COPY!G623,"")</f>
        <v/>
      </c>
      <c r="F625" s="88" t="str">
        <f>IF(COPY!J623&gt;0,COPY!J623,"")</f>
        <v/>
      </c>
      <c r="G625" s="85" t="str">
        <f>IF(COPY!H623&gt;0,COPY!H623,"")</f>
        <v/>
      </c>
      <c r="H625" s="85" t="str">
        <f>IF(COPY!I623&gt;0,COPY!I623,"")</f>
        <v/>
      </c>
      <c r="I625" s="85" t="str">
        <f>IF(COPY!M623&gt;0,COPY!M623,"")</f>
        <v/>
      </c>
      <c r="J625" s="85" t="str">
        <f>IF(COPY!N623&gt;0,COPY!N623,"")</f>
        <v/>
      </c>
      <c r="K625" s="86" t="str">
        <f>IF(N625=0,(IF(LEFT(Table13[[#This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Row],[URAIAN]],$U$194:$V$210,2,FALSE),""),""),0))))),N625)</f>
        <v/>
      </c>
      <c r="L625" s="85" t="str">
        <f>IF(Table13[[#This Row],[Column2]]="KWITANSI",COUNTIF($K$4:K625,"KWITANSI")," ")</f>
        <v xml:space="preserve"> </v>
      </c>
      <c r="M625" s="85" t="str">
        <f>IF(Table13[[#This Row],[Column3]]=" "," ",Table13[[#This Row],[CODE]])</f>
        <v xml:space="preserve"> </v>
      </c>
      <c r="N625" s="368"/>
      <c r="P625" s="81" t="str">
        <f t="shared" si="9"/>
        <v/>
      </c>
    </row>
    <row r="626" spans="1:16" hidden="1" x14ac:dyDescent="0.15">
      <c r="A626" s="81" t="str">
        <f>COPY!O624</f>
        <v/>
      </c>
      <c r="B626" s="81" t="str">
        <f>COPY!C624</f>
        <v/>
      </c>
      <c r="C626" s="82" t="str">
        <f>COPY!D624</f>
        <v/>
      </c>
      <c r="D626" s="81" t="str">
        <f>IF(Table13[[#This Row],[JUMLAH]]&gt;1,(IF(Table13[[#This Row],[CODE]]=" ",D625&amp;"a",IF(Table13[[#This Row],[CODE]]&gt;0,Table13[[#This Row],[CODE]],0))),"")</f>
        <v/>
      </c>
      <c r="E626" s="81" t="str">
        <f>IF(COPY!G624&gt;0,COPY!G624,"")</f>
        <v/>
      </c>
      <c r="F626" s="88" t="str">
        <f>IF(COPY!J624&gt;0,COPY!J624,"")</f>
        <v/>
      </c>
      <c r="G626" s="85" t="str">
        <f>IF(COPY!H624&gt;0,COPY!H624,"")</f>
        <v/>
      </c>
      <c r="H626" s="85" t="str">
        <f>IF(COPY!I624&gt;0,COPY!I624,"")</f>
        <v/>
      </c>
      <c r="I626" s="85" t="str">
        <f>IF(COPY!M624&gt;0,COPY!M624,"")</f>
        <v/>
      </c>
      <c r="J626" s="85" t="str">
        <f>IF(COPY!N624&gt;0,COPY!N624,"")</f>
        <v/>
      </c>
      <c r="K626" s="86" t="str">
        <f>IF(N626=0,(IF(LEFT(Table13[[#This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Row],[URAIAN]],$U$194:$V$210,2,FALSE),""),""),0))))),N626)</f>
        <v/>
      </c>
      <c r="L626" s="85" t="str">
        <f>IF(Table13[[#This Row],[Column2]]="KWITANSI",COUNTIF($K$4:K626,"KWITANSI")," ")</f>
        <v xml:space="preserve"> </v>
      </c>
      <c r="M626" s="85" t="str">
        <f>IF(Table13[[#This Row],[Column3]]=" "," ",Table13[[#This Row],[CODE]])</f>
        <v xml:space="preserve"> </v>
      </c>
      <c r="N626" s="368"/>
      <c r="P626" s="81" t="str">
        <f t="shared" si="9"/>
        <v/>
      </c>
    </row>
    <row r="627" spans="1:16" hidden="1" x14ac:dyDescent="0.15">
      <c r="A627" s="81" t="str">
        <f>COPY!O625</f>
        <v/>
      </c>
      <c r="B627" s="81" t="str">
        <f>COPY!C625</f>
        <v/>
      </c>
      <c r="C627" s="82" t="str">
        <f>COPY!D625</f>
        <v/>
      </c>
      <c r="D627" s="81" t="str">
        <f>IF(Table13[[#This Row],[JUMLAH]]&gt;1,(IF(Table13[[#This Row],[CODE]]=" ",D626&amp;"a",IF(Table13[[#This Row],[CODE]]&gt;0,Table13[[#This Row],[CODE]],0))),"")</f>
        <v/>
      </c>
      <c r="E627" s="81" t="str">
        <f>IF(COPY!G625&gt;0,COPY!G625,"")</f>
        <v/>
      </c>
      <c r="F627" s="88" t="str">
        <f>IF(COPY!J625&gt;0,COPY!J625,"")</f>
        <v/>
      </c>
      <c r="G627" s="85" t="str">
        <f>IF(COPY!H625&gt;0,COPY!H625,"")</f>
        <v/>
      </c>
      <c r="H627" s="85" t="str">
        <f>IF(COPY!I625&gt;0,COPY!I625,"")</f>
        <v/>
      </c>
      <c r="I627" s="85" t="str">
        <f>IF(COPY!M625&gt;0,COPY!M625,"")</f>
        <v/>
      </c>
      <c r="J627" s="85" t="str">
        <f>IF(COPY!N625&gt;0,COPY!N625,"")</f>
        <v/>
      </c>
      <c r="K627" s="86" t="str">
        <f>IF(N627=0,(IF(LEFT(Table13[[#This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Row],[URAIAN]],$U$194:$V$210,2,FALSE),""),""),0))))),N627)</f>
        <v/>
      </c>
      <c r="L627" s="85" t="str">
        <f>IF(Table13[[#This Row],[Column2]]="KWITANSI",COUNTIF($K$4:K627,"KWITANSI")," ")</f>
        <v xml:space="preserve"> </v>
      </c>
      <c r="M627" s="85" t="str">
        <f>IF(Table13[[#This Row],[Column3]]=" "," ",Table13[[#This Row],[CODE]])</f>
        <v xml:space="preserve"> </v>
      </c>
      <c r="N627" s="368"/>
      <c r="P627" s="81" t="str">
        <f t="shared" si="9"/>
        <v/>
      </c>
    </row>
    <row r="628" spans="1:16" hidden="1" x14ac:dyDescent="0.15">
      <c r="A628" s="81" t="str">
        <f>COPY!O626</f>
        <v/>
      </c>
      <c r="B628" s="81" t="str">
        <f>COPY!C626</f>
        <v/>
      </c>
      <c r="C628" s="82" t="str">
        <f>COPY!D626</f>
        <v/>
      </c>
      <c r="D628" s="81" t="str">
        <f>IF(Table13[[#This Row],[JUMLAH]]&gt;1,(IF(Table13[[#This Row],[CODE]]=" ",D627&amp;"a",IF(Table13[[#This Row],[CODE]]&gt;0,Table13[[#This Row],[CODE]],0))),"")</f>
        <v/>
      </c>
      <c r="E628" s="81" t="str">
        <f>IF(COPY!G626&gt;0,COPY!G626,"")</f>
        <v/>
      </c>
      <c r="F628" s="88" t="str">
        <f>IF(COPY!J626&gt;0,COPY!J626,"")</f>
        <v/>
      </c>
      <c r="G628" s="85" t="str">
        <f>IF(COPY!H626&gt;0,COPY!H626,"")</f>
        <v/>
      </c>
      <c r="H628" s="85" t="str">
        <f>IF(COPY!I626&gt;0,COPY!I626,"")</f>
        <v/>
      </c>
      <c r="I628" s="85" t="str">
        <f>IF(COPY!M626&gt;0,COPY!M626,"")</f>
        <v/>
      </c>
      <c r="J628" s="85" t="str">
        <f>IF(COPY!N626&gt;0,COPY!N626,"")</f>
        <v/>
      </c>
      <c r="K628" s="86" t="str">
        <f>IF(N628=0,(IF(LEFT(Table13[[#This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Row],[URAIAN]],$U$194:$V$210,2,FALSE),""),""),0))))),N628)</f>
        <v/>
      </c>
      <c r="L628" s="85" t="str">
        <f>IF(Table13[[#This Row],[Column2]]="KWITANSI",COUNTIF($K$4:K628,"KWITANSI")," ")</f>
        <v xml:space="preserve"> </v>
      </c>
      <c r="M628" s="85" t="str">
        <f>IF(Table13[[#This Row],[Column3]]=" "," ",Table13[[#This Row],[CODE]])</f>
        <v xml:space="preserve"> </v>
      </c>
      <c r="N628" s="368"/>
      <c r="P628" s="81" t="str">
        <f t="shared" si="9"/>
        <v/>
      </c>
    </row>
    <row r="629" spans="1:16" hidden="1" x14ac:dyDescent="0.15">
      <c r="A629" s="81" t="str">
        <f>COPY!O627</f>
        <v/>
      </c>
      <c r="B629" s="81" t="str">
        <f>COPY!C627</f>
        <v/>
      </c>
      <c r="C629" s="82" t="str">
        <f>COPY!D627</f>
        <v/>
      </c>
      <c r="D629" s="81" t="str">
        <f>IF(Table13[[#This Row],[JUMLAH]]&gt;1,(IF(Table13[[#This Row],[CODE]]=" ",D628&amp;"a",IF(Table13[[#This Row],[CODE]]&gt;0,Table13[[#This Row],[CODE]],0))),"")</f>
        <v/>
      </c>
      <c r="E629" s="81" t="str">
        <f>IF(COPY!G627&gt;0,COPY!G627,"")</f>
        <v/>
      </c>
      <c r="F629" s="88" t="str">
        <f>IF(COPY!J627&gt;0,COPY!J627,"")</f>
        <v/>
      </c>
      <c r="G629" s="85" t="str">
        <f>IF(COPY!H627&gt;0,COPY!H627,"")</f>
        <v/>
      </c>
      <c r="H629" s="85" t="str">
        <f>IF(COPY!I627&gt;0,COPY!I627,"")</f>
        <v/>
      </c>
      <c r="I629" s="85" t="str">
        <f>IF(COPY!M627&gt;0,COPY!M627,"")</f>
        <v/>
      </c>
      <c r="J629" s="85" t="str">
        <f>IF(COPY!N627&gt;0,COPY!N627,"")</f>
        <v/>
      </c>
      <c r="K629" s="86" t="str">
        <f>IF(N629=0,(IF(LEFT(Table13[[#This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Row],[URAIAN]],$U$194:$V$210,2,FALSE),""),""),0))))),N629)</f>
        <v/>
      </c>
      <c r="L629" s="85" t="str">
        <f>IF(Table13[[#This Row],[Column2]]="KWITANSI",COUNTIF($K$4:K629,"KWITANSI")," ")</f>
        <v xml:space="preserve"> </v>
      </c>
      <c r="M629" s="85" t="str">
        <f>IF(Table13[[#This Row],[Column3]]=" "," ",Table13[[#This Row],[CODE]])</f>
        <v xml:space="preserve"> </v>
      </c>
      <c r="N629" s="368"/>
      <c r="P629" s="81" t="str">
        <f t="shared" si="9"/>
        <v/>
      </c>
    </row>
    <row r="630" spans="1:16" hidden="1" x14ac:dyDescent="0.15">
      <c r="A630" s="81" t="str">
        <f>COPY!O628</f>
        <v/>
      </c>
      <c r="B630" s="81" t="str">
        <f>COPY!C628</f>
        <v/>
      </c>
      <c r="C630" s="82" t="str">
        <f>COPY!D628</f>
        <v/>
      </c>
      <c r="D630" s="81" t="str">
        <f>IF(Table13[[#This Row],[JUMLAH]]&gt;1,(IF(Table13[[#This Row],[CODE]]=" ",D629&amp;"a",IF(Table13[[#This Row],[CODE]]&gt;0,Table13[[#This Row],[CODE]],0))),"")</f>
        <v/>
      </c>
      <c r="E630" s="81" t="str">
        <f>IF(COPY!G628&gt;0,COPY!G628,"")</f>
        <v/>
      </c>
      <c r="F630" s="88" t="str">
        <f>IF(COPY!J628&gt;0,COPY!J628,"")</f>
        <v/>
      </c>
      <c r="G630" s="85" t="str">
        <f>IF(COPY!H628&gt;0,COPY!H628,"")</f>
        <v/>
      </c>
      <c r="H630" s="85" t="str">
        <f>IF(COPY!I628&gt;0,COPY!I628,"")</f>
        <v/>
      </c>
      <c r="I630" s="85" t="str">
        <f>IF(COPY!M628&gt;0,COPY!M628,"")</f>
        <v/>
      </c>
      <c r="J630" s="85" t="str">
        <f>IF(COPY!N628&gt;0,COPY!N628,"")</f>
        <v/>
      </c>
      <c r="K630" s="86" t="str">
        <f>IF(N630=0,(IF(LEFT(Table13[[#This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Row],[URAIAN]],$U$194:$V$210,2,FALSE),""),""),0))))),N630)</f>
        <v/>
      </c>
      <c r="L630" s="85" t="str">
        <f>IF(Table13[[#This Row],[Column2]]="KWITANSI",COUNTIF($K$4:K630,"KWITANSI")," ")</f>
        <v xml:space="preserve"> </v>
      </c>
      <c r="M630" s="85" t="str">
        <f>IF(Table13[[#This Row],[Column3]]=" "," ",Table13[[#This Row],[CODE]])</f>
        <v xml:space="preserve"> </v>
      </c>
      <c r="N630" s="368"/>
      <c r="P630" s="81" t="str">
        <f t="shared" si="9"/>
        <v/>
      </c>
    </row>
    <row r="631" spans="1:16" hidden="1" x14ac:dyDescent="0.15">
      <c r="A631" s="81" t="str">
        <f>COPY!O629</f>
        <v/>
      </c>
      <c r="B631" s="81" t="str">
        <f>COPY!C629</f>
        <v/>
      </c>
      <c r="C631" s="82" t="str">
        <f>COPY!D629</f>
        <v/>
      </c>
      <c r="D631" s="81" t="str">
        <f>IF(Table13[[#This Row],[JUMLAH]]&gt;1,(IF(Table13[[#This Row],[CODE]]=" ",D630&amp;"a",IF(Table13[[#This Row],[CODE]]&gt;0,Table13[[#This Row],[CODE]],0))),"")</f>
        <v/>
      </c>
      <c r="E631" s="81" t="str">
        <f>IF(COPY!G629&gt;0,COPY!G629,"")</f>
        <v/>
      </c>
      <c r="F631" s="88" t="str">
        <f>IF(COPY!J629&gt;0,COPY!J629,"")</f>
        <v/>
      </c>
      <c r="G631" s="85" t="str">
        <f>IF(COPY!H629&gt;0,COPY!H629,"")</f>
        <v/>
      </c>
      <c r="H631" s="85" t="str">
        <f>IF(COPY!I629&gt;0,COPY!I629,"")</f>
        <v/>
      </c>
      <c r="I631" s="85" t="str">
        <f>IF(COPY!M629&gt;0,COPY!M629,"")</f>
        <v/>
      </c>
      <c r="J631" s="85" t="str">
        <f>IF(COPY!N629&gt;0,COPY!N629,"")</f>
        <v/>
      </c>
      <c r="K631" s="86" t="str">
        <f>IF(N631=0,(IF(LEFT(Table13[[#This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Row],[URAIAN]],$U$194:$V$210,2,FALSE),""),""),0))))),N631)</f>
        <v/>
      </c>
      <c r="L631" s="85" t="str">
        <f>IF(Table13[[#This Row],[Column2]]="KWITANSI",COUNTIF($K$4:K631,"KWITANSI")," ")</f>
        <v xml:space="preserve"> </v>
      </c>
      <c r="M631" s="85" t="str">
        <f>IF(Table13[[#This Row],[Column3]]=" "," ",Table13[[#This Row],[CODE]])</f>
        <v xml:space="preserve"> </v>
      </c>
      <c r="N631" s="368"/>
      <c r="P631" s="81" t="str">
        <f t="shared" si="9"/>
        <v/>
      </c>
    </row>
    <row r="632" spans="1:16" hidden="1" x14ac:dyDescent="0.15">
      <c r="A632" s="81" t="str">
        <f>COPY!O630</f>
        <v/>
      </c>
      <c r="B632" s="81" t="str">
        <f>COPY!C630</f>
        <v/>
      </c>
      <c r="C632" s="82" t="str">
        <f>COPY!D630</f>
        <v/>
      </c>
      <c r="D632" s="81" t="str">
        <f>IF(Table13[[#This Row],[JUMLAH]]&gt;1,(IF(Table13[[#This Row],[CODE]]=" ",D631&amp;"a",IF(Table13[[#This Row],[CODE]]&gt;0,Table13[[#This Row],[CODE]],0))),"")</f>
        <v/>
      </c>
      <c r="E632" s="81" t="str">
        <f>IF(COPY!G630&gt;0,COPY!G630,"")</f>
        <v/>
      </c>
      <c r="F632" s="88" t="str">
        <f>IF(COPY!J630&gt;0,COPY!J630,"")</f>
        <v/>
      </c>
      <c r="G632" s="85" t="str">
        <f>IF(COPY!H630&gt;0,COPY!H630,"")</f>
        <v/>
      </c>
      <c r="H632" s="85" t="str">
        <f>IF(COPY!I630&gt;0,COPY!I630,"")</f>
        <v/>
      </c>
      <c r="I632" s="85" t="str">
        <f>IF(COPY!M630&gt;0,COPY!M630,"")</f>
        <v/>
      </c>
      <c r="J632" s="85" t="str">
        <f>IF(COPY!N630&gt;0,COPY!N630,"")</f>
        <v/>
      </c>
      <c r="K632" s="86" t="str">
        <f>IF(N632=0,(IF(LEFT(Table13[[#This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Row],[URAIAN]],$U$194:$V$210,2,FALSE),""),""),0))))),N632)</f>
        <v/>
      </c>
      <c r="L632" s="85" t="str">
        <f>IF(Table13[[#This Row],[Column2]]="KWITANSI",COUNTIF($K$4:K632,"KWITANSI")," ")</f>
        <v xml:space="preserve"> </v>
      </c>
      <c r="M632" s="85" t="str">
        <f>IF(Table13[[#This Row],[Column3]]=" "," ",Table13[[#This Row],[CODE]])</f>
        <v xml:space="preserve"> </v>
      </c>
      <c r="N632" s="368"/>
      <c r="P632" s="81" t="str">
        <f t="shared" si="9"/>
        <v/>
      </c>
    </row>
    <row r="633" spans="1:16" hidden="1" x14ac:dyDescent="0.15">
      <c r="A633" s="81" t="str">
        <f>COPY!O631</f>
        <v/>
      </c>
      <c r="B633" s="81" t="str">
        <f>COPY!C631</f>
        <v/>
      </c>
      <c r="C633" s="82" t="str">
        <f>COPY!D631</f>
        <v/>
      </c>
      <c r="D633" s="81" t="str">
        <f>IF(Table13[[#This Row],[JUMLAH]]&gt;1,(IF(Table13[[#This Row],[CODE]]=" ",D632&amp;"a",IF(Table13[[#This Row],[CODE]]&gt;0,Table13[[#This Row],[CODE]],0))),"")</f>
        <v/>
      </c>
      <c r="E633" s="81" t="str">
        <f>IF(COPY!G631&gt;0,COPY!G631,"")</f>
        <v/>
      </c>
      <c r="F633" s="88" t="str">
        <f>IF(COPY!J631&gt;0,COPY!J631,"")</f>
        <v/>
      </c>
      <c r="G633" s="85" t="str">
        <f>IF(COPY!H631&gt;0,COPY!H631,"")</f>
        <v/>
      </c>
      <c r="H633" s="85" t="str">
        <f>IF(COPY!I631&gt;0,COPY!I631,"")</f>
        <v/>
      </c>
      <c r="I633" s="85" t="str">
        <f>IF(COPY!M631&gt;0,COPY!M631,"")</f>
        <v/>
      </c>
      <c r="J633" s="85" t="str">
        <f>IF(COPY!N631&gt;0,COPY!N631,"")</f>
        <v/>
      </c>
      <c r="K633" s="86" t="str">
        <f>IF(N633=0,(IF(LEFT(Table13[[#This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Row],[URAIAN]],$U$194:$V$210,2,FALSE),""),""),0))))),N633)</f>
        <v/>
      </c>
      <c r="L633" s="85" t="str">
        <f>IF(Table13[[#This Row],[Column2]]="KWITANSI",COUNTIF($K$4:K633,"KWITANSI")," ")</f>
        <v xml:space="preserve"> </v>
      </c>
      <c r="M633" s="85" t="str">
        <f>IF(Table13[[#This Row],[Column3]]=" "," ",Table13[[#This Row],[CODE]])</f>
        <v xml:space="preserve"> </v>
      </c>
      <c r="N633" s="368"/>
      <c r="P633" s="81" t="str">
        <f t="shared" si="9"/>
        <v/>
      </c>
    </row>
    <row r="634" spans="1:16" hidden="1" x14ac:dyDescent="0.15">
      <c r="A634" s="81" t="str">
        <f>COPY!O632</f>
        <v/>
      </c>
      <c r="B634" s="81" t="str">
        <f>COPY!C632</f>
        <v/>
      </c>
      <c r="C634" s="82" t="str">
        <f>COPY!D632</f>
        <v/>
      </c>
      <c r="D634" s="81" t="str">
        <f>IF(Table13[[#This Row],[JUMLAH]]&gt;1,(IF(Table13[[#This Row],[CODE]]=" ",D633&amp;"a",IF(Table13[[#This Row],[CODE]]&gt;0,Table13[[#This Row],[CODE]],0))),"")</f>
        <v/>
      </c>
      <c r="E634" s="81" t="str">
        <f>IF(COPY!G632&gt;0,COPY!G632,"")</f>
        <v/>
      </c>
      <c r="F634" s="88" t="str">
        <f>IF(COPY!J632&gt;0,COPY!J632,"")</f>
        <v/>
      </c>
      <c r="G634" s="85" t="str">
        <f>IF(COPY!H632&gt;0,COPY!H632,"")</f>
        <v/>
      </c>
      <c r="H634" s="85" t="str">
        <f>IF(COPY!I632&gt;0,COPY!I632,"")</f>
        <v/>
      </c>
      <c r="I634" s="85" t="str">
        <f>IF(COPY!M632&gt;0,COPY!M632,"")</f>
        <v/>
      </c>
      <c r="J634" s="85" t="str">
        <f>IF(COPY!N632&gt;0,COPY!N632,"")</f>
        <v/>
      </c>
      <c r="K634" s="86" t="str">
        <f>IF(N634=0,(IF(LEFT(Table13[[#This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Row],[URAIAN]],$U$194:$V$210,2,FALSE),""),""),0))))),N634)</f>
        <v/>
      </c>
      <c r="L634" s="85" t="str">
        <f>IF(Table13[[#This Row],[Column2]]="KWITANSI",COUNTIF($K$4:K634,"KWITANSI")," ")</f>
        <v xml:space="preserve"> </v>
      </c>
      <c r="M634" s="85" t="str">
        <f>IF(Table13[[#This Row],[Column3]]=" "," ",Table13[[#This Row],[CODE]])</f>
        <v xml:space="preserve"> </v>
      </c>
      <c r="N634" s="368"/>
      <c r="P634" s="81" t="str">
        <f t="shared" si="9"/>
        <v/>
      </c>
    </row>
    <row r="635" spans="1:16" hidden="1" x14ac:dyDescent="0.15">
      <c r="A635" s="81" t="str">
        <f>COPY!O633</f>
        <v/>
      </c>
      <c r="B635" s="81" t="str">
        <f>COPY!C633</f>
        <v/>
      </c>
      <c r="C635" s="82" t="str">
        <f>COPY!D633</f>
        <v/>
      </c>
      <c r="D635" s="81" t="str">
        <f>IF(Table13[[#This Row],[JUMLAH]]&gt;1,(IF(Table13[[#This Row],[CODE]]=" ",D634&amp;"a",IF(Table13[[#This Row],[CODE]]&gt;0,Table13[[#This Row],[CODE]],0))),"")</f>
        <v/>
      </c>
      <c r="E635" s="81" t="str">
        <f>IF(COPY!G633&gt;0,COPY!G633,"")</f>
        <v/>
      </c>
      <c r="F635" s="88" t="str">
        <f>IF(COPY!J633&gt;0,COPY!J633,"")</f>
        <v/>
      </c>
      <c r="G635" s="85" t="str">
        <f>IF(COPY!H633&gt;0,COPY!H633,"")</f>
        <v/>
      </c>
      <c r="H635" s="85" t="str">
        <f>IF(COPY!I633&gt;0,COPY!I633,"")</f>
        <v/>
      </c>
      <c r="I635" s="85" t="str">
        <f>IF(COPY!M633&gt;0,COPY!M633,"")</f>
        <v/>
      </c>
      <c r="J635" s="85" t="str">
        <f>IF(COPY!N633&gt;0,COPY!N633,"")</f>
        <v/>
      </c>
      <c r="K635" s="86" t="str">
        <f>IF(N635=0,(IF(LEFT(Table13[[#This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Row],[URAIAN]],$U$194:$V$210,2,FALSE),""),""),0))))),N635)</f>
        <v/>
      </c>
      <c r="L635" s="85" t="str">
        <f>IF(Table13[[#This Row],[Column2]]="KWITANSI",COUNTIF($K$4:K635,"KWITANSI")," ")</f>
        <v xml:space="preserve"> </v>
      </c>
      <c r="M635" s="85" t="str">
        <f>IF(Table13[[#This Row],[Column3]]=" "," ",Table13[[#This Row],[CODE]])</f>
        <v xml:space="preserve"> </v>
      </c>
      <c r="N635" s="368"/>
      <c r="P635" s="81" t="str">
        <f t="shared" si="9"/>
        <v/>
      </c>
    </row>
    <row r="636" spans="1:16" hidden="1" x14ac:dyDescent="0.15">
      <c r="A636" s="81" t="str">
        <f>COPY!O634</f>
        <v/>
      </c>
      <c r="B636" s="81" t="str">
        <f>COPY!C634</f>
        <v/>
      </c>
      <c r="C636" s="82" t="str">
        <f>COPY!D634</f>
        <v/>
      </c>
      <c r="D636" s="81" t="str">
        <f>IF(Table13[[#This Row],[JUMLAH]]&gt;1,(IF(Table13[[#This Row],[CODE]]=" ",D635&amp;"a",IF(Table13[[#This Row],[CODE]]&gt;0,Table13[[#This Row],[CODE]],0))),"")</f>
        <v/>
      </c>
      <c r="E636" s="81" t="str">
        <f>IF(COPY!G634&gt;0,COPY!G634,"")</f>
        <v/>
      </c>
      <c r="F636" s="88" t="str">
        <f>IF(COPY!J634&gt;0,COPY!J634,"")</f>
        <v/>
      </c>
      <c r="G636" s="85" t="str">
        <f>IF(COPY!H634&gt;0,COPY!H634,"")</f>
        <v/>
      </c>
      <c r="H636" s="85" t="str">
        <f>IF(COPY!I634&gt;0,COPY!I634,"")</f>
        <v/>
      </c>
      <c r="I636" s="85" t="str">
        <f>IF(COPY!M634&gt;0,COPY!M634,"")</f>
        <v/>
      </c>
      <c r="J636" s="85" t="str">
        <f>IF(COPY!N634&gt;0,COPY!N634,"")</f>
        <v/>
      </c>
      <c r="K636" s="86" t="str">
        <f>IF(N636=0,(IF(LEFT(Table13[[#This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Row],[URAIAN]],$U$194:$V$210,2,FALSE),""),""),0))))),N636)</f>
        <v/>
      </c>
      <c r="L636" s="85" t="str">
        <f>IF(Table13[[#This Row],[Column2]]="KWITANSI",COUNTIF($K$4:K636,"KWITANSI")," ")</f>
        <v xml:space="preserve"> </v>
      </c>
      <c r="M636" s="85" t="str">
        <f>IF(Table13[[#This Row],[Column3]]=" "," ",Table13[[#This Row],[CODE]])</f>
        <v xml:space="preserve"> </v>
      </c>
      <c r="N636" s="368"/>
      <c r="P636" s="81" t="str">
        <f t="shared" si="9"/>
        <v/>
      </c>
    </row>
    <row r="637" spans="1:16" hidden="1" x14ac:dyDescent="0.15">
      <c r="A637" s="81" t="str">
        <f>COPY!O635</f>
        <v/>
      </c>
      <c r="B637" s="81" t="str">
        <f>COPY!C635</f>
        <v/>
      </c>
      <c r="C637" s="82" t="str">
        <f>COPY!D635</f>
        <v/>
      </c>
      <c r="D637" s="81" t="str">
        <f>IF(Table13[[#This Row],[JUMLAH]]&gt;1,(IF(Table13[[#This Row],[CODE]]=" ",D636&amp;"a",IF(Table13[[#This Row],[CODE]]&gt;0,Table13[[#This Row],[CODE]],0))),"")</f>
        <v/>
      </c>
      <c r="E637" s="81" t="str">
        <f>IF(COPY!G635&gt;0,COPY!G635,"")</f>
        <v/>
      </c>
      <c r="F637" s="88" t="str">
        <f>IF(COPY!J635&gt;0,COPY!J635,"")</f>
        <v/>
      </c>
      <c r="G637" s="85" t="str">
        <f>IF(COPY!H635&gt;0,COPY!H635,"")</f>
        <v/>
      </c>
      <c r="H637" s="85" t="str">
        <f>IF(COPY!I635&gt;0,COPY!I635,"")</f>
        <v/>
      </c>
      <c r="I637" s="85" t="str">
        <f>IF(COPY!M635&gt;0,COPY!M635,"")</f>
        <v/>
      </c>
      <c r="J637" s="85" t="str">
        <f>IF(COPY!N635&gt;0,COPY!N635,"")</f>
        <v/>
      </c>
      <c r="K637" s="86" t="str">
        <f>IF(N637=0,(IF(LEFT(Table13[[#This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Row],[URAIAN]],$U$194:$V$210,2,FALSE),""),""),0))))),N637)</f>
        <v/>
      </c>
      <c r="L637" s="85" t="str">
        <f>IF(Table13[[#This Row],[Column2]]="KWITANSI",COUNTIF($K$4:K637,"KWITANSI")," ")</f>
        <v xml:space="preserve"> </v>
      </c>
      <c r="M637" s="85" t="str">
        <f>IF(Table13[[#This Row],[Column3]]=" "," ",Table13[[#This Row],[CODE]])</f>
        <v xml:space="preserve"> </v>
      </c>
      <c r="N637" s="368"/>
      <c r="P637" s="81" t="str">
        <f t="shared" si="9"/>
        <v/>
      </c>
    </row>
    <row r="638" spans="1:16" hidden="1" x14ac:dyDescent="0.15">
      <c r="A638" s="81" t="str">
        <f>COPY!O636</f>
        <v/>
      </c>
      <c r="B638" s="81" t="str">
        <f>COPY!C636</f>
        <v/>
      </c>
      <c r="C638" s="82" t="str">
        <f>COPY!D636</f>
        <v/>
      </c>
      <c r="D638" s="81" t="str">
        <f>IF(Table13[[#This Row],[JUMLAH]]&gt;1,(IF(Table13[[#This Row],[CODE]]=" ",D637&amp;"a",IF(Table13[[#This Row],[CODE]]&gt;0,Table13[[#This Row],[CODE]],0))),"")</f>
        <v/>
      </c>
      <c r="E638" s="81" t="str">
        <f>IF(COPY!G636&gt;0,COPY!G636,"")</f>
        <v/>
      </c>
      <c r="F638" s="88" t="str">
        <f>IF(COPY!J636&gt;0,COPY!J636,"")</f>
        <v/>
      </c>
      <c r="G638" s="85" t="str">
        <f>IF(COPY!H636&gt;0,COPY!H636,"")</f>
        <v/>
      </c>
      <c r="H638" s="85" t="str">
        <f>IF(COPY!I636&gt;0,COPY!I636,"")</f>
        <v/>
      </c>
      <c r="I638" s="85" t="str">
        <f>IF(COPY!M636&gt;0,COPY!M636,"")</f>
        <v/>
      </c>
      <c r="J638" s="85" t="str">
        <f>IF(COPY!N636&gt;0,COPY!N636,"")</f>
        <v/>
      </c>
      <c r="K638" s="86" t="str">
        <f>IF(N638=0,(IF(LEFT(Table13[[#This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Row],[URAIAN]],$U$194:$V$210,2,FALSE),""),""),0))))),N638)</f>
        <v/>
      </c>
      <c r="L638" s="85" t="str">
        <f>IF(Table13[[#This Row],[Column2]]="KWITANSI",COUNTIF($K$4:K638,"KWITANSI")," ")</f>
        <v xml:space="preserve"> </v>
      </c>
      <c r="M638" s="85" t="str">
        <f>IF(Table13[[#This Row],[Column3]]=" "," ",Table13[[#This Row],[CODE]])</f>
        <v xml:space="preserve"> </v>
      </c>
      <c r="N638" s="368"/>
      <c r="P638" s="81" t="str">
        <f t="shared" si="9"/>
        <v/>
      </c>
    </row>
    <row r="639" spans="1:16" hidden="1" x14ac:dyDescent="0.15">
      <c r="A639" s="81" t="str">
        <f>COPY!O637</f>
        <v/>
      </c>
      <c r="B639" s="81" t="str">
        <f>COPY!C637</f>
        <v/>
      </c>
      <c r="C639" s="82" t="str">
        <f>COPY!D637</f>
        <v/>
      </c>
      <c r="D639" s="81" t="str">
        <f>IF(Table13[[#This Row],[JUMLAH]]&gt;1,(IF(Table13[[#This Row],[CODE]]=" ",D638&amp;"a",IF(Table13[[#This Row],[CODE]]&gt;0,Table13[[#This Row],[CODE]],0))),"")</f>
        <v/>
      </c>
      <c r="E639" s="81" t="str">
        <f>IF(COPY!G637&gt;0,COPY!G637,"")</f>
        <v/>
      </c>
      <c r="F639" s="88" t="str">
        <f>IF(COPY!J637&gt;0,COPY!J637,"")</f>
        <v/>
      </c>
      <c r="G639" s="85" t="str">
        <f>IF(COPY!H637&gt;0,COPY!H637,"")</f>
        <v/>
      </c>
      <c r="H639" s="85" t="str">
        <f>IF(COPY!I637&gt;0,COPY!I637,"")</f>
        <v/>
      </c>
      <c r="I639" s="85" t="str">
        <f>IF(COPY!M637&gt;0,COPY!M637,"")</f>
        <v/>
      </c>
      <c r="J639" s="85" t="str">
        <f>IF(COPY!N637&gt;0,COPY!N637,"")</f>
        <v/>
      </c>
      <c r="K639" s="86" t="str">
        <f>IF(N639=0,(IF(LEFT(Table13[[#This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Row],[URAIAN]],$U$194:$V$210,2,FALSE),""),""),0))))),N639)</f>
        <v/>
      </c>
      <c r="L639" s="85" t="str">
        <f>IF(Table13[[#This Row],[Column2]]="KWITANSI",COUNTIF($K$4:K639,"KWITANSI")," ")</f>
        <v xml:space="preserve"> </v>
      </c>
      <c r="M639" s="85" t="str">
        <f>IF(Table13[[#This Row],[Column3]]=" "," ",Table13[[#This Row],[CODE]])</f>
        <v xml:space="preserve"> </v>
      </c>
      <c r="N639" s="368"/>
      <c r="P639" s="81" t="str">
        <f t="shared" si="9"/>
        <v/>
      </c>
    </row>
    <row r="640" spans="1:16" hidden="1" x14ac:dyDescent="0.15">
      <c r="A640" s="81" t="str">
        <f>COPY!O638</f>
        <v/>
      </c>
      <c r="B640" s="81" t="str">
        <f>COPY!C638</f>
        <v/>
      </c>
      <c r="C640" s="82" t="str">
        <f>COPY!D638</f>
        <v/>
      </c>
      <c r="D640" s="81" t="str">
        <f>IF(Table13[[#This Row],[JUMLAH]]&gt;1,(IF(Table13[[#This Row],[CODE]]=" ",D639&amp;"a",IF(Table13[[#This Row],[CODE]]&gt;0,Table13[[#This Row],[CODE]],0))),"")</f>
        <v/>
      </c>
      <c r="E640" s="81" t="str">
        <f>IF(COPY!G638&gt;0,COPY!G638,"")</f>
        <v/>
      </c>
      <c r="F640" s="88" t="str">
        <f>IF(COPY!J638&gt;0,COPY!J638,"")</f>
        <v/>
      </c>
      <c r="G640" s="85" t="str">
        <f>IF(COPY!H638&gt;0,COPY!H638,"")</f>
        <v/>
      </c>
      <c r="H640" s="85" t="str">
        <f>IF(COPY!I638&gt;0,COPY!I638,"")</f>
        <v/>
      </c>
      <c r="I640" s="85" t="str">
        <f>IF(COPY!M638&gt;0,COPY!M638,"")</f>
        <v/>
      </c>
      <c r="J640" s="85" t="str">
        <f>IF(COPY!N638&gt;0,COPY!N638,"")</f>
        <v/>
      </c>
      <c r="K640" s="86" t="str">
        <f>IF(N640=0,(IF(LEFT(Table13[[#This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Row],[URAIAN]],$U$194:$V$210,2,FALSE),""),""),0))))),N640)</f>
        <v/>
      </c>
      <c r="L640" s="85" t="str">
        <f>IF(Table13[[#This Row],[Column2]]="KWITANSI",COUNTIF($K$4:K640,"KWITANSI")," ")</f>
        <v xml:space="preserve"> </v>
      </c>
      <c r="M640" s="85" t="str">
        <f>IF(Table13[[#This Row],[Column3]]=" "," ",Table13[[#This Row],[CODE]])</f>
        <v xml:space="preserve"> </v>
      </c>
      <c r="N640" s="368"/>
      <c r="P640" s="81" t="str">
        <f t="shared" si="9"/>
        <v/>
      </c>
    </row>
    <row r="641" spans="1:16" hidden="1" x14ac:dyDescent="0.15">
      <c r="A641" s="81" t="str">
        <f>COPY!O639</f>
        <v/>
      </c>
      <c r="B641" s="81" t="str">
        <f>COPY!C639</f>
        <v/>
      </c>
      <c r="C641" s="82" t="str">
        <f>COPY!D639</f>
        <v/>
      </c>
      <c r="D641" s="81" t="str">
        <f>IF(Table13[[#This Row],[JUMLAH]]&gt;1,(IF(Table13[[#This Row],[CODE]]=" ",D640&amp;"a",IF(Table13[[#This Row],[CODE]]&gt;0,Table13[[#This Row],[CODE]],0))),"")</f>
        <v/>
      </c>
      <c r="E641" s="81" t="str">
        <f>IF(COPY!G639&gt;0,COPY!G639,"")</f>
        <v/>
      </c>
      <c r="F641" s="88" t="str">
        <f>IF(COPY!J639&gt;0,COPY!J639,"")</f>
        <v/>
      </c>
      <c r="G641" s="85" t="str">
        <f>IF(COPY!H639&gt;0,COPY!H639,"")</f>
        <v/>
      </c>
      <c r="H641" s="85" t="str">
        <f>IF(COPY!I639&gt;0,COPY!I639,"")</f>
        <v/>
      </c>
      <c r="I641" s="85" t="str">
        <f>IF(COPY!M639&gt;0,COPY!M639,"")</f>
        <v/>
      </c>
      <c r="J641" s="85" t="str">
        <f>IF(COPY!N639&gt;0,COPY!N639,"")</f>
        <v/>
      </c>
      <c r="K641" s="86" t="str">
        <f>IF(N641=0,(IF(LEFT(Table13[[#This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Row],[URAIAN]],$U$194:$V$210,2,FALSE),""),""),0))))),N641)</f>
        <v/>
      </c>
      <c r="L641" s="85" t="str">
        <f>IF(Table13[[#This Row],[Column2]]="KWITANSI",COUNTIF($K$4:K641,"KWITANSI")," ")</f>
        <v xml:space="preserve"> </v>
      </c>
      <c r="M641" s="85" t="str">
        <f>IF(Table13[[#This Row],[Column3]]=" "," ",Table13[[#This Row],[CODE]])</f>
        <v xml:space="preserve"> </v>
      </c>
      <c r="N641" s="368"/>
      <c r="P641" s="81" t="str">
        <f t="shared" si="9"/>
        <v/>
      </c>
    </row>
    <row r="642" spans="1:16" hidden="1" x14ac:dyDescent="0.15">
      <c r="A642" s="81" t="str">
        <f>COPY!O640</f>
        <v/>
      </c>
      <c r="B642" s="81" t="str">
        <f>COPY!C640</f>
        <v/>
      </c>
      <c r="C642" s="82" t="str">
        <f>COPY!D640</f>
        <v/>
      </c>
      <c r="D642" s="81" t="str">
        <f>IF(Table13[[#This Row],[JUMLAH]]&gt;1,(IF(Table13[[#This Row],[CODE]]=" ",D641&amp;"a",IF(Table13[[#This Row],[CODE]]&gt;0,Table13[[#This Row],[CODE]],0))),"")</f>
        <v/>
      </c>
      <c r="E642" s="81" t="str">
        <f>IF(COPY!G640&gt;0,COPY!G640,"")</f>
        <v/>
      </c>
      <c r="F642" s="88" t="str">
        <f>IF(COPY!J640&gt;0,COPY!J640,"")</f>
        <v/>
      </c>
      <c r="G642" s="85" t="str">
        <f>IF(COPY!H640&gt;0,COPY!H640,"")</f>
        <v/>
      </c>
      <c r="H642" s="85" t="str">
        <f>IF(COPY!I640&gt;0,COPY!I640,"")</f>
        <v/>
      </c>
      <c r="I642" s="85" t="str">
        <f>IF(COPY!M640&gt;0,COPY!M640,"")</f>
        <v/>
      </c>
      <c r="J642" s="85" t="str">
        <f>IF(COPY!N640&gt;0,COPY!N640,"")</f>
        <v/>
      </c>
      <c r="K642" s="86" t="str">
        <f>IF(N642=0,(IF(LEFT(Table13[[#This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Row],[URAIAN]],$U$194:$V$210,2,FALSE),""),""),0))))),N642)</f>
        <v/>
      </c>
      <c r="L642" s="85" t="str">
        <f>IF(Table13[[#This Row],[Column2]]="KWITANSI",COUNTIF($K$4:K642,"KWITANSI")," ")</f>
        <v xml:space="preserve"> </v>
      </c>
      <c r="M642" s="85" t="str">
        <f>IF(Table13[[#This Row],[Column3]]=" "," ",Table13[[#This Row],[CODE]])</f>
        <v xml:space="preserve"> </v>
      </c>
      <c r="N642" s="368"/>
      <c r="P642" s="81" t="str">
        <f t="shared" ref="P642:P705" si="10">IF(-$O$4+($O$4+ROW())&lt;=$O$4,-$O$4+($O$4+ROW()),"")</f>
        <v/>
      </c>
    </row>
    <row r="643" spans="1:16" hidden="1" x14ac:dyDescent="0.15">
      <c r="A643" s="81" t="str">
        <f>COPY!O641</f>
        <v/>
      </c>
      <c r="B643" s="81" t="str">
        <f>COPY!C641</f>
        <v/>
      </c>
      <c r="C643" s="82" t="str">
        <f>COPY!D641</f>
        <v/>
      </c>
      <c r="D643" s="81" t="str">
        <f>IF(Table13[[#This Row],[JUMLAH]]&gt;1,(IF(Table13[[#This Row],[CODE]]=" ",D642&amp;"a",IF(Table13[[#This Row],[CODE]]&gt;0,Table13[[#This Row],[CODE]],0))),"")</f>
        <v/>
      </c>
      <c r="E643" s="81" t="str">
        <f>IF(COPY!G641&gt;0,COPY!G641,"")</f>
        <v/>
      </c>
      <c r="F643" s="88" t="str">
        <f>IF(COPY!J641&gt;0,COPY!J641,"")</f>
        <v/>
      </c>
      <c r="G643" s="85" t="str">
        <f>IF(COPY!H641&gt;0,COPY!H641,"")</f>
        <v/>
      </c>
      <c r="H643" s="85" t="str">
        <f>IF(COPY!I641&gt;0,COPY!I641,"")</f>
        <v/>
      </c>
      <c r="I643" s="85" t="str">
        <f>IF(COPY!M641&gt;0,COPY!M641,"")</f>
        <v/>
      </c>
      <c r="J643" s="85" t="str">
        <f>IF(COPY!N641&gt;0,COPY!N641,"")</f>
        <v/>
      </c>
      <c r="K643" s="86" t="str">
        <f>IF(N643=0,(IF(LEFT(Table13[[#This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Row],[URAIAN]],$U$194:$V$210,2,FALSE),""),""),0))))),N643)</f>
        <v/>
      </c>
      <c r="L643" s="85" t="str">
        <f>IF(Table13[[#This Row],[Column2]]="KWITANSI",COUNTIF($K$4:K643,"KWITANSI")," ")</f>
        <v xml:space="preserve"> </v>
      </c>
      <c r="M643" s="85" t="str">
        <f>IF(Table13[[#This Row],[Column3]]=" "," ",Table13[[#This Row],[CODE]])</f>
        <v xml:space="preserve"> </v>
      </c>
      <c r="N643" s="368"/>
      <c r="P643" s="81" t="str">
        <f t="shared" si="10"/>
        <v/>
      </c>
    </row>
    <row r="644" spans="1:16" hidden="1" x14ac:dyDescent="0.15">
      <c r="A644" s="81" t="str">
        <f>COPY!O642</f>
        <v/>
      </c>
      <c r="B644" s="81" t="str">
        <f>COPY!C642</f>
        <v/>
      </c>
      <c r="C644" s="82" t="str">
        <f>COPY!D642</f>
        <v/>
      </c>
      <c r="D644" s="81" t="str">
        <f>IF(Table13[[#This Row],[JUMLAH]]&gt;1,(IF(Table13[[#This Row],[CODE]]=" ",D643&amp;"a",IF(Table13[[#This Row],[CODE]]&gt;0,Table13[[#This Row],[CODE]],0))),"")</f>
        <v/>
      </c>
      <c r="E644" s="81" t="str">
        <f>IF(COPY!G642&gt;0,COPY!G642,"")</f>
        <v/>
      </c>
      <c r="F644" s="88" t="str">
        <f>IF(COPY!J642&gt;0,COPY!J642,"")</f>
        <v/>
      </c>
      <c r="G644" s="85" t="str">
        <f>IF(COPY!H642&gt;0,COPY!H642,"")</f>
        <v/>
      </c>
      <c r="H644" s="85" t="str">
        <f>IF(COPY!I642&gt;0,COPY!I642,"")</f>
        <v/>
      </c>
      <c r="I644" s="85" t="str">
        <f>IF(COPY!M642&gt;0,COPY!M642,"")</f>
        <v/>
      </c>
      <c r="J644" s="85" t="str">
        <f>IF(COPY!N642&gt;0,COPY!N642,"")</f>
        <v/>
      </c>
      <c r="K644" s="86" t="str">
        <f>IF(N644=0,(IF(LEFT(Table13[[#This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Row],[URAIAN]],$U$194:$V$210,2,FALSE),""),""),0))))),N644)</f>
        <v/>
      </c>
      <c r="L644" s="85" t="str">
        <f>IF(Table13[[#This Row],[Column2]]="KWITANSI",COUNTIF($K$4:K644,"KWITANSI")," ")</f>
        <v xml:space="preserve"> </v>
      </c>
      <c r="M644" s="85" t="str">
        <f>IF(Table13[[#This Row],[Column3]]=" "," ",Table13[[#This Row],[CODE]])</f>
        <v xml:space="preserve"> </v>
      </c>
      <c r="N644" s="368"/>
      <c r="P644" s="81" t="str">
        <f t="shared" si="10"/>
        <v/>
      </c>
    </row>
    <row r="645" spans="1:16" hidden="1" x14ac:dyDescent="0.15">
      <c r="A645" s="81" t="str">
        <f>COPY!O643</f>
        <v/>
      </c>
      <c r="B645" s="81" t="str">
        <f>COPY!C643</f>
        <v/>
      </c>
      <c r="C645" s="82" t="str">
        <f>COPY!D643</f>
        <v/>
      </c>
      <c r="D645" s="81" t="str">
        <f>IF(Table13[[#This Row],[JUMLAH]]&gt;1,(IF(Table13[[#This Row],[CODE]]=" ",D644&amp;"a",IF(Table13[[#This Row],[CODE]]&gt;0,Table13[[#This Row],[CODE]],0))),"")</f>
        <v/>
      </c>
      <c r="E645" s="81" t="str">
        <f>IF(COPY!G643&gt;0,COPY!G643,"")</f>
        <v/>
      </c>
      <c r="F645" s="88" t="str">
        <f>IF(COPY!J643&gt;0,COPY!J643,"")</f>
        <v/>
      </c>
      <c r="G645" s="85" t="str">
        <f>IF(COPY!H643&gt;0,COPY!H643,"")</f>
        <v/>
      </c>
      <c r="H645" s="85" t="str">
        <f>IF(COPY!I643&gt;0,COPY!I643,"")</f>
        <v/>
      </c>
      <c r="I645" s="85" t="str">
        <f>IF(COPY!M643&gt;0,COPY!M643,"")</f>
        <v/>
      </c>
      <c r="J645" s="85" t="str">
        <f>IF(COPY!N643&gt;0,COPY!N643,"")</f>
        <v/>
      </c>
      <c r="K645" s="86" t="str">
        <f>IF(N645=0,(IF(LEFT(Table13[[#This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Row],[URAIAN]],$U$194:$V$210,2,FALSE),""),""),0))))),N645)</f>
        <v/>
      </c>
      <c r="L645" s="85" t="str">
        <f>IF(Table13[[#This Row],[Column2]]="KWITANSI",COUNTIF($K$4:K645,"KWITANSI")," ")</f>
        <v xml:space="preserve"> </v>
      </c>
      <c r="M645" s="85" t="str">
        <f>IF(Table13[[#This Row],[Column3]]=" "," ",Table13[[#This Row],[CODE]])</f>
        <v xml:space="preserve"> </v>
      </c>
      <c r="N645" s="368"/>
      <c r="P645" s="81" t="str">
        <f t="shared" si="10"/>
        <v/>
      </c>
    </row>
    <row r="646" spans="1:16" hidden="1" x14ac:dyDescent="0.15">
      <c r="A646" s="81" t="str">
        <f>COPY!O644</f>
        <v/>
      </c>
      <c r="B646" s="81" t="str">
        <f>COPY!C644</f>
        <v/>
      </c>
      <c r="C646" s="82" t="str">
        <f>COPY!D644</f>
        <v/>
      </c>
      <c r="D646" s="81" t="str">
        <f>IF(Table13[[#This Row],[JUMLAH]]&gt;1,(IF(Table13[[#This Row],[CODE]]=" ",D645&amp;"a",IF(Table13[[#This Row],[CODE]]&gt;0,Table13[[#This Row],[CODE]],0))),"")</f>
        <v/>
      </c>
      <c r="E646" s="81" t="str">
        <f>IF(COPY!G644&gt;0,COPY!G644,"")</f>
        <v/>
      </c>
      <c r="F646" s="88" t="str">
        <f>IF(COPY!J644&gt;0,COPY!J644,"")</f>
        <v/>
      </c>
      <c r="G646" s="85" t="str">
        <f>IF(COPY!H644&gt;0,COPY!H644,"")</f>
        <v/>
      </c>
      <c r="H646" s="85" t="str">
        <f>IF(COPY!I644&gt;0,COPY!I644,"")</f>
        <v/>
      </c>
      <c r="I646" s="85" t="str">
        <f>IF(COPY!M644&gt;0,COPY!M644,"")</f>
        <v/>
      </c>
      <c r="J646" s="85" t="str">
        <f>IF(COPY!N644&gt;0,COPY!N644,"")</f>
        <v/>
      </c>
      <c r="K646" s="86" t="str">
        <f>IF(N646=0,(IF(LEFT(Table13[[#This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Row],[URAIAN]],$U$194:$V$210,2,FALSE),""),""),0))))),N646)</f>
        <v/>
      </c>
      <c r="L646" s="85" t="str">
        <f>IF(Table13[[#This Row],[Column2]]="KWITANSI",COUNTIF($K$4:K646,"KWITANSI")," ")</f>
        <v xml:space="preserve"> </v>
      </c>
      <c r="M646" s="85" t="str">
        <f>IF(Table13[[#This Row],[Column3]]=" "," ",Table13[[#This Row],[CODE]])</f>
        <v xml:space="preserve"> </v>
      </c>
      <c r="N646" s="368"/>
      <c r="P646" s="81" t="str">
        <f t="shared" si="10"/>
        <v/>
      </c>
    </row>
    <row r="647" spans="1:16" hidden="1" x14ac:dyDescent="0.15">
      <c r="A647" s="81" t="str">
        <f>COPY!O645</f>
        <v/>
      </c>
      <c r="B647" s="81" t="str">
        <f>COPY!C645</f>
        <v/>
      </c>
      <c r="C647" s="82" t="str">
        <f>COPY!D645</f>
        <v/>
      </c>
      <c r="D647" s="81" t="str">
        <f>IF(Table13[[#This Row],[JUMLAH]]&gt;1,(IF(Table13[[#This Row],[CODE]]=" ",D646&amp;"a",IF(Table13[[#This Row],[CODE]]&gt;0,Table13[[#This Row],[CODE]],0))),"")</f>
        <v/>
      </c>
      <c r="E647" s="81" t="str">
        <f>IF(COPY!G645&gt;0,COPY!G645,"")</f>
        <v/>
      </c>
      <c r="F647" s="88" t="str">
        <f>IF(COPY!J645&gt;0,COPY!J645,"")</f>
        <v/>
      </c>
      <c r="G647" s="85" t="str">
        <f>IF(COPY!H645&gt;0,COPY!H645,"")</f>
        <v/>
      </c>
      <c r="H647" s="85" t="str">
        <f>IF(COPY!I645&gt;0,COPY!I645,"")</f>
        <v/>
      </c>
      <c r="I647" s="85" t="str">
        <f>IF(COPY!M645&gt;0,COPY!M645,"")</f>
        <v/>
      </c>
      <c r="J647" s="85" t="str">
        <f>IF(COPY!N645&gt;0,COPY!N645,"")</f>
        <v/>
      </c>
      <c r="K647" s="86" t="str">
        <f>IF(N647=0,(IF(LEFT(Table13[[#This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Row],[URAIAN]],$U$194:$V$210,2,FALSE),""),""),0))))),N647)</f>
        <v/>
      </c>
      <c r="L647" s="85" t="str">
        <f>IF(Table13[[#This Row],[Column2]]="KWITANSI",COUNTIF($K$4:K647,"KWITANSI")," ")</f>
        <v xml:space="preserve"> </v>
      </c>
      <c r="M647" s="85" t="str">
        <f>IF(Table13[[#This Row],[Column3]]=" "," ",Table13[[#This Row],[CODE]])</f>
        <v xml:space="preserve"> </v>
      </c>
      <c r="N647" s="368"/>
      <c r="P647" s="81" t="str">
        <f t="shared" si="10"/>
        <v/>
      </c>
    </row>
    <row r="648" spans="1:16" hidden="1" x14ac:dyDescent="0.15">
      <c r="A648" s="81" t="str">
        <f>COPY!O646</f>
        <v/>
      </c>
      <c r="B648" s="81" t="str">
        <f>COPY!C646</f>
        <v/>
      </c>
      <c r="C648" s="82" t="str">
        <f>COPY!D646</f>
        <v/>
      </c>
      <c r="D648" s="81" t="str">
        <f>IF(Table13[[#This Row],[JUMLAH]]&gt;1,(IF(Table13[[#This Row],[CODE]]=" ",D647&amp;"a",IF(Table13[[#This Row],[CODE]]&gt;0,Table13[[#This Row],[CODE]],0))),"")</f>
        <v/>
      </c>
      <c r="E648" s="81" t="str">
        <f>IF(COPY!G646&gt;0,COPY!G646,"")</f>
        <v/>
      </c>
      <c r="F648" s="88" t="str">
        <f>IF(COPY!J646&gt;0,COPY!J646,"")</f>
        <v/>
      </c>
      <c r="G648" s="85" t="str">
        <f>IF(COPY!H646&gt;0,COPY!H646,"")</f>
        <v/>
      </c>
      <c r="H648" s="85" t="str">
        <f>IF(COPY!I646&gt;0,COPY!I646,"")</f>
        <v/>
      </c>
      <c r="I648" s="85" t="str">
        <f>IF(COPY!M646&gt;0,COPY!M646,"")</f>
        <v/>
      </c>
      <c r="J648" s="85" t="str">
        <f>IF(COPY!N646&gt;0,COPY!N646,"")</f>
        <v/>
      </c>
      <c r="K648" s="86" t="str">
        <f>IF(N648=0,(IF(LEFT(Table13[[#This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Row],[URAIAN]],$U$194:$V$210,2,FALSE),""),""),0))))),N648)</f>
        <v/>
      </c>
      <c r="L648" s="85" t="str">
        <f>IF(Table13[[#This Row],[Column2]]="KWITANSI",COUNTIF($K$4:K648,"KWITANSI")," ")</f>
        <v xml:space="preserve"> </v>
      </c>
      <c r="M648" s="85" t="str">
        <f>IF(Table13[[#This Row],[Column3]]=" "," ",Table13[[#This Row],[CODE]])</f>
        <v xml:space="preserve"> </v>
      </c>
      <c r="N648" s="368"/>
      <c r="P648" s="81" t="str">
        <f t="shared" si="10"/>
        <v/>
      </c>
    </row>
    <row r="649" spans="1:16" hidden="1" x14ac:dyDescent="0.15">
      <c r="A649" s="81" t="str">
        <f>COPY!O647</f>
        <v/>
      </c>
      <c r="B649" s="81" t="str">
        <f>COPY!C647</f>
        <v/>
      </c>
      <c r="C649" s="82" t="str">
        <f>COPY!D647</f>
        <v/>
      </c>
      <c r="D649" s="81" t="str">
        <f>IF(Table13[[#This Row],[JUMLAH]]&gt;1,(IF(Table13[[#This Row],[CODE]]=" ",D648&amp;"a",IF(Table13[[#This Row],[CODE]]&gt;0,Table13[[#This Row],[CODE]],0))),"")</f>
        <v/>
      </c>
      <c r="E649" s="81" t="str">
        <f>IF(COPY!G647&gt;0,COPY!G647,"")</f>
        <v/>
      </c>
      <c r="F649" s="88" t="str">
        <f>IF(COPY!J647&gt;0,COPY!J647,"")</f>
        <v/>
      </c>
      <c r="G649" s="85" t="str">
        <f>IF(COPY!H647&gt;0,COPY!H647,"")</f>
        <v/>
      </c>
      <c r="H649" s="85" t="str">
        <f>IF(COPY!I647&gt;0,COPY!I647,"")</f>
        <v/>
      </c>
      <c r="I649" s="85" t="str">
        <f>IF(COPY!M647&gt;0,COPY!M647,"")</f>
        <v/>
      </c>
      <c r="J649" s="85" t="str">
        <f>IF(COPY!N647&gt;0,COPY!N647,"")</f>
        <v/>
      </c>
      <c r="K649" s="86" t="str">
        <f>IF(N649=0,(IF(LEFT(Table13[[#This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Row],[URAIAN]],$U$194:$V$210,2,FALSE),""),""),0))))),N649)</f>
        <v/>
      </c>
      <c r="L649" s="85" t="str">
        <f>IF(Table13[[#This Row],[Column2]]="KWITANSI",COUNTIF($K$4:K649,"KWITANSI")," ")</f>
        <v xml:space="preserve"> </v>
      </c>
      <c r="M649" s="85" t="str">
        <f>IF(Table13[[#This Row],[Column3]]=" "," ",Table13[[#This Row],[CODE]])</f>
        <v xml:space="preserve"> </v>
      </c>
      <c r="N649" s="368"/>
      <c r="P649" s="81" t="str">
        <f t="shared" si="10"/>
        <v/>
      </c>
    </row>
    <row r="650" spans="1:16" hidden="1" x14ac:dyDescent="0.15">
      <c r="A650" s="81" t="str">
        <f>COPY!O648</f>
        <v/>
      </c>
      <c r="B650" s="81" t="str">
        <f>COPY!C648</f>
        <v/>
      </c>
      <c r="C650" s="82" t="str">
        <f>COPY!D648</f>
        <v/>
      </c>
      <c r="D650" s="81" t="str">
        <f>IF(Table13[[#This Row],[JUMLAH]]&gt;1,(IF(Table13[[#This Row],[CODE]]=" ",D649&amp;"a",IF(Table13[[#This Row],[CODE]]&gt;0,Table13[[#This Row],[CODE]],0))),"")</f>
        <v/>
      </c>
      <c r="E650" s="81" t="str">
        <f>IF(COPY!G648&gt;0,COPY!G648,"")</f>
        <v/>
      </c>
      <c r="F650" s="88" t="str">
        <f>IF(COPY!J648&gt;0,COPY!J648,"")</f>
        <v/>
      </c>
      <c r="G650" s="85" t="str">
        <f>IF(COPY!H648&gt;0,COPY!H648,"")</f>
        <v/>
      </c>
      <c r="H650" s="85" t="str">
        <f>IF(COPY!I648&gt;0,COPY!I648,"")</f>
        <v/>
      </c>
      <c r="I650" s="85" t="str">
        <f>IF(COPY!M648&gt;0,COPY!M648,"")</f>
        <v/>
      </c>
      <c r="J650" s="85" t="str">
        <f>IF(COPY!N648&gt;0,COPY!N648,"")</f>
        <v/>
      </c>
      <c r="K650" s="86" t="str">
        <f>IF(N650=0,(IF(LEFT(Table13[[#This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Row],[URAIAN]],$U$194:$V$210,2,FALSE),""),""),0))))),N650)</f>
        <v/>
      </c>
      <c r="L650" s="85" t="str">
        <f>IF(Table13[[#This Row],[Column2]]="KWITANSI",COUNTIF($K$4:K650,"KWITANSI")," ")</f>
        <v xml:space="preserve"> </v>
      </c>
      <c r="M650" s="85" t="str">
        <f>IF(Table13[[#This Row],[Column3]]=" "," ",Table13[[#This Row],[CODE]])</f>
        <v xml:space="preserve"> </v>
      </c>
      <c r="N650" s="368"/>
      <c r="P650" s="81" t="str">
        <f t="shared" si="10"/>
        <v/>
      </c>
    </row>
    <row r="651" spans="1:16" hidden="1" x14ac:dyDescent="0.15">
      <c r="A651" s="81" t="str">
        <f>COPY!O649</f>
        <v/>
      </c>
      <c r="B651" s="81" t="str">
        <f>COPY!C649</f>
        <v/>
      </c>
      <c r="C651" s="82" t="str">
        <f>COPY!D649</f>
        <v/>
      </c>
      <c r="D651" s="81" t="str">
        <f>IF(Table13[[#This Row],[JUMLAH]]&gt;1,(IF(Table13[[#This Row],[CODE]]=" ",D650&amp;"a",IF(Table13[[#This Row],[CODE]]&gt;0,Table13[[#This Row],[CODE]],0))),"")</f>
        <v/>
      </c>
      <c r="E651" s="81" t="str">
        <f>IF(COPY!G649&gt;0,COPY!G649,"")</f>
        <v/>
      </c>
      <c r="F651" s="88" t="str">
        <f>IF(COPY!J649&gt;0,COPY!J649,"")</f>
        <v/>
      </c>
      <c r="G651" s="85" t="str">
        <f>IF(COPY!H649&gt;0,COPY!H649,"")</f>
        <v/>
      </c>
      <c r="H651" s="85" t="str">
        <f>IF(COPY!I649&gt;0,COPY!I649,"")</f>
        <v/>
      </c>
      <c r="I651" s="85" t="str">
        <f>IF(COPY!M649&gt;0,COPY!M649,"")</f>
        <v/>
      </c>
      <c r="J651" s="85" t="str">
        <f>IF(COPY!N649&gt;0,COPY!N649,"")</f>
        <v/>
      </c>
      <c r="K651" s="86" t="str">
        <f>IF(N651=0,(IF(LEFT(Table13[[#This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Row],[URAIAN]],$U$194:$V$210,2,FALSE),""),""),0))))),N651)</f>
        <v/>
      </c>
      <c r="L651" s="85" t="str">
        <f>IF(Table13[[#This Row],[Column2]]="KWITANSI",COUNTIF($K$4:K651,"KWITANSI")," ")</f>
        <v xml:space="preserve"> </v>
      </c>
      <c r="M651" s="85" t="str">
        <f>IF(Table13[[#This Row],[Column3]]=" "," ",Table13[[#This Row],[CODE]])</f>
        <v xml:space="preserve"> </v>
      </c>
      <c r="N651" s="368"/>
      <c r="P651" s="81" t="str">
        <f t="shared" si="10"/>
        <v/>
      </c>
    </row>
    <row r="652" spans="1:16" hidden="1" x14ac:dyDescent="0.15">
      <c r="A652" s="81" t="str">
        <f>COPY!O650</f>
        <v/>
      </c>
      <c r="B652" s="81" t="str">
        <f>COPY!C650</f>
        <v/>
      </c>
      <c r="C652" s="82" t="str">
        <f>COPY!D650</f>
        <v/>
      </c>
      <c r="D652" s="81" t="str">
        <f>IF(Table13[[#This Row],[JUMLAH]]&gt;1,(IF(Table13[[#This Row],[CODE]]=" ",D651&amp;"a",IF(Table13[[#This Row],[CODE]]&gt;0,Table13[[#This Row],[CODE]],0))),"")</f>
        <v/>
      </c>
      <c r="E652" s="81" t="str">
        <f>IF(COPY!G650&gt;0,COPY!G650,"")</f>
        <v/>
      </c>
      <c r="F652" s="88" t="str">
        <f>IF(COPY!J650&gt;0,COPY!J650,"")</f>
        <v/>
      </c>
      <c r="G652" s="85" t="str">
        <f>IF(COPY!H650&gt;0,COPY!H650,"")</f>
        <v/>
      </c>
      <c r="H652" s="85" t="str">
        <f>IF(COPY!I650&gt;0,COPY!I650,"")</f>
        <v/>
      </c>
      <c r="I652" s="85" t="str">
        <f>IF(COPY!M650&gt;0,COPY!M650,"")</f>
        <v/>
      </c>
      <c r="J652" s="85" t="str">
        <f>IF(COPY!N650&gt;0,COPY!N650,"")</f>
        <v/>
      </c>
      <c r="K652" s="86" t="str">
        <f>IF(N652=0,(IF(LEFT(Table13[[#This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Row],[URAIAN]],$U$194:$V$210,2,FALSE),""),""),0))))),N652)</f>
        <v/>
      </c>
      <c r="L652" s="85" t="str">
        <f>IF(Table13[[#This Row],[Column2]]="KWITANSI",COUNTIF($K$4:K652,"KWITANSI")," ")</f>
        <v xml:space="preserve"> </v>
      </c>
      <c r="M652" s="85" t="str">
        <f>IF(Table13[[#This Row],[Column3]]=" "," ",Table13[[#This Row],[CODE]])</f>
        <v xml:space="preserve"> </v>
      </c>
      <c r="N652" s="368"/>
      <c r="P652" s="81" t="str">
        <f t="shared" si="10"/>
        <v/>
      </c>
    </row>
    <row r="653" spans="1:16" hidden="1" x14ac:dyDescent="0.15">
      <c r="A653" s="81" t="str">
        <f>COPY!O651</f>
        <v/>
      </c>
      <c r="B653" s="81" t="str">
        <f>COPY!C651</f>
        <v/>
      </c>
      <c r="C653" s="82" t="str">
        <f>COPY!D651</f>
        <v/>
      </c>
      <c r="D653" s="81" t="str">
        <f>IF(Table13[[#This Row],[JUMLAH]]&gt;1,(IF(Table13[[#This Row],[CODE]]=" ",D652&amp;"a",IF(Table13[[#This Row],[CODE]]&gt;0,Table13[[#This Row],[CODE]],0))),"")</f>
        <v/>
      </c>
      <c r="E653" s="81" t="str">
        <f>IF(COPY!G651&gt;0,COPY!G651,"")</f>
        <v/>
      </c>
      <c r="F653" s="88" t="str">
        <f>IF(COPY!J651&gt;0,COPY!J651,"")</f>
        <v/>
      </c>
      <c r="G653" s="85" t="str">
        <f>IF(COPY!H651&gt;0,COPY!H651,"")</f>
        <v/>
      </c>
      <c r="H653" s="85" t="str">
        <f>IF(COPY!I651&gt;0,COPY!I651,"")</f>
        <v/>
      </c>
      <c r="I653" s="85" t="str">
        <f>IF(COPY!M651&gt;0,COPY!M651,"")</f>
        <v/>
      </c>
      <c r="J653" s="85" t="str">
        <f>IF(COPY!N651&gt;0,COPY!N651,"")</f>
        <v/>
      </c>
      <c r="K653" s="86" t="str">
        <f>IF(N653=0,(IF(LEFT(Table13[[#This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Row],[URAIAN]],$U$194:$V$210,2,FALSE),""),""),0))))),N653)</f>
        <v/>
      </c>
      <c r="L653" s="85" t="str">
        <f>IF(Table13[[#This Row],[Column2]]="KWITANSI",COUNTIF($K$4:K653,"KWITANSI")," ")</f>
        <v xml:space="preserve"> </v>
      </c>
      <c r="M653" s="85" t="str">
        <f>IF(Table13[[#This Row],[Column3]]=" "," ",Table13[[#This Row],[CODE]])</f>
        <v xml:space="preserve"> </v>
      </c>
      <c r="N653" s="368"/>
      <c r="P653" s="81" t="str">
        <f t="shared" si="10"/>
        <v/>
      </c>
    </row>
    <row r="654" spans="1:16" hidden="1" x14ac:dyDescent="0.15">
      <c r="A654" s="81" t="str">
        <f>COPY!O652</f>
        <v/>
      </c>
      <c r="B654" s="81" t="str">
        <f>COPY!C652</f>
        <v/>
      </c>
      <c r="C654" s="82" t="str">
        <f>COPY!D652</f>
        <v/>
      </c>
      <c r="D654" s="81" t="str">
        <f>IF(Table13[[#This Row],[JUMLAH]]&gt;1,(IF(Table13[[#This Row],[CODE]]=" ",D653&amp;"a",IF(Table13[[#This Row],[CODE]]&gt;0,Table13[[#This Row],[CODE]],0))),"")</f>
        <v/>
      </c>
      <c r="E654" s="81" t="str">
        <f>IF(COPY!G652&gt;0,COPY!G652,"")</f>
        <v/>
      </c>
      <c r="F654" s="88" t="str">
        <f>IF(COPY!J652&gt;0,COPY!J652,"")</f>
        <v/>
      </c>
      <c r="G654" s="85" t="str">
        <f>IF(COPY!H652&gt;0,COPY!H652,"")</f>
        <v/>
      </c>
      <c r="H654" s="85" t="str">
        <f>IF(COPY!I652&gt;0,COPY!I652,"")</f>
        <v/>
      </c>
      <c r="I654" s="85" t="str">
        <f>IF(COPY!M652&gt;0,COPY!M652,"")</f>
        <v/>
      </c>
      <c r="J654" s="85" t="str">
        <f>IF(COPY!N652&gt;0,COPY!N652,"")</f>
        <v/>
      </c>
      <c r="K654" s="86" t="str">
        <f>IF(N654=0,(IF(LEFT(Table13[[#This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Row],[URAIAN]],$U$194:$V$210,2,FALSE),""),""),0))))),N654)</f>
        <v/>
      </c>
      <c r="L654" s="85" t="str">
        <f>IF(Table13[[#This Row],[Column2]]="KWITANSI",COUNTIF($K$4:K654,"KWITANSI")," ")</f>
        <v xml:space="preserve"> </v>
      </c>
      <c r="M654" s="85" t="str">
        <f>IF(Table13[[#This Row],[Column3]]=" "," ",Table13[[#This Row],[CODE]])</f>
        <v xml:space="preserve"> </v>
      </c>
      <c r="N654" s="368"/>
      <c r="P654" s="81" t="str">
        <f t="shared" si="10"/>
        <v/>
      </c>
    </row>
    <row r="655" spans="1:16" hidden="1" x14ac:dyDescent="0.15">
      <c r="A655" s="81" t="str">
        <f>COPY!O653</f>
        <v/>
      </c>
      <c r="B655" s="81" t="str">
        <f>COPY!C653</f>
        <v/>
      </c>
      <c r="C655" s="82" t="str">
        <f>COPY!D653</f>
        <v/>
      </c>
      <c r="D655" s="81" t="str">
        <f>IF(Table13[[#This Row],[JUMLAH]]&gt;1,(IF(Table13[[#This Row],[CODE]]=" ",D654&amp;"a",IF(Table13[[#This Row],[CODE]]&gt;0,Table13[[#This Row],[CODE]],0))),"")</f>
        <v/>
      </c>
      <c r="E655" s="81" t="str">
        <f>IF(COPY!G653&gt;0,COPY!G653,"")</f>
        <v/>
      </c>
      <c r="F655" s="88" t="str">
        <f>IF(COPY!J653&gt;0,COPY!J653,"")</f>
        <v/>
      </c>
      <c r="G655" s="85" t="str">
        <f>IF(COPY!H653&gt;0,COPY!H653,"")</f>
        <v/>
      </c>
      <c r="H655" s="85" t="str">
        <f>IF(COPY!I653&gt;0,COPY!I653,"")</f>
        <v/>
      </c>
      <c r="I655" s="85" t="str">
        <f>IF(COPY!M653&gt;0,COPY!M653,"")</f>
        <v/>
      </c>
      <c r="J655" s="85" t="str">
        <f>IF(COPY!N653&gt;0,COPY!N653,"")</f>
        <v/>
      </c>
      <c r="K655" s="86" t="str">
        <f>IF(N655=0,(IF(LEFT(Table13[[#This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Row],[URAIAN]],$U$194:$V$210,2,FALSE),""),""),0))))),N655)</f>
        <v/>
      </c>
      <c r="L655" s="85" t="str">
        <f>IF(Table13[[#This Row],[Column2]]="KWITANSI",COUNTIF($K$4:K655,"KWITANSI")," ")</f>
        <v xml:space="preserve"> </v>
      </c>
      <c r="M655" s="85" t="str">
        <f>IF(Table13[[#This Row],[Column3]]=" "," ",Table13[[#This Row],[CODE]])</f>
        <v xml:space="preserve"> </v>
      </c>
      <c r="N655" s="368"/>
      <c r="P655" s="81" t="str">
        <f t="shared" si="10"/>
        <v/>
      </c>
    </row>
    <row r="656" spans="1:16" hidden="1" x14ac:dyDescent="0.15">
      <c r="A656" s="81" t="str">
        <f>COPY!O654</f>
        <v/>
      </c>
      <c r="B656" s="81" t="str">
        <f>COPY!C654</f>
        <v/>
      </c>
      <c r="C656" s="82" t="str">
        <f>COPY!D654</f>
        <v/>
      </c>
      <c r="D656" s="81" t="str">
        <f>IF(Table13[[#This Row],[JUMLAH]]&gt;1,(IF(Table13[[#This Row],[CODE]]=" ",D655&amp;"a",IF(Table13[[#This Row],[CODE]]&gt;0,Table13[[#This Row],[CODE]],0))),"")</f>
        <v/>
      </c>
      <c r="E656" s="81" t="str">
        <f>IF(COPY!G654&gt;0,COPY!G654,"")</f>
        <v/>
      </c>
      <c r="F656" s="88" t="str">
        <f>IF(COPY!J654&gt;0,COPY!J654,"")</f>
        <v/>
      </c>
      <c r="G656" s="85" t="str">
        <f>IF(COPY!H654&gt;0,COPY!H654,"")</f>
        <v/>
      </c>
      <c r="H656" s="85" t="str">
        <f>IF(COPY!I654&gt;0,COPY!I654,"")</f>
        <v/>
      </c>
      <c r="I656" s="85" t="str">
        <f>IF(COPY!M654&gt;0,COPY!M654,"")</f>
        <v/>
      </c>
      <c r="J656" s="85" t="str">
        <f>IF(COPY!N654&gt;0,COPY!N654,"")</f>
        <v/>
      </c>
      <c r="K656" s="86" t="str">
        <f>IF(N656=0,(IF(LEFT(Table13[[#This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Row],[URAIAN]],$U$194:$V$210,2,FALSE),""),""),0))))),N656)</f>
        <v/>
      </c>
      <c r="L656" s="85" t="str">
        <f>IF(Table13[[#This Row],[Column2]]="KWITANSI",COUNTIF($K$4:K656,"KWITANSI")," ")</f>
        <v xml:space="preserve"> </v>
      </c>
      <c r="M656" s="85" t="str">
        <f>IF(Table13[[#This Row],[Column3]]=" "," ",Table13[[#This Row],[CODE]])</f>
        <v xml:space="preserve"> </v>
      </c>
      <c r="N656" s="368"/>
      <c r="P656" s="81" t="str">
        <f t="shared" si="10"/>
        <v/>
      </c>
    </row>
    <row r="657" spans="1:16" hidden="1" x14ac:dyDescent="0.15">
      <c r="A657" s="81" t="str">
        <f>COPY!O655</f>
        <v/>
      </c>
      <c r="B657" s="81" t="str">
        <f>COPY!C655</f>
        <v/>
      </c>
      <c r="C657" s="82" t="str">
        <f>COPY!D655</f>
        <v/>
      </c>
      <c r="D657" s="81" t="str">
        <f>IF(Table13[[#This Row],[JUMLAH]]&gt;1,(IF(Table13[[#This Row],[CODE]]=" ",D656&amp;"a",IF(Table13[[#This Row],[CODE]]&gt;0,Table13[[#This Row],[CODE]],0))),"")</f>
        <v/>
      </c>
      <c r="E657" s="81" t="str">
        <f>IF(COPY!G655&gt;0,COPY!G655,"")</f>
        <v/>
      </c>
      <c r="F657" s="88" t="str">
        <f>IF(COPY!J655&gt;0,COPY!J655,"")</f>
        <v/>
      </c>
      <c r="G657" s="85" t="str">
        <f>IF(COPY!H655&gt;0,COPY!H655,"")</f>
        <v/>
      </c>
      <c r="H657" s="85" t="str">
        <f>IF(COPY!I655&gt;0,COPY!I655,"")</f>
        <v/>
      </c>
      <c r="I657" s="85" t="str">
        <f>IF(COPY!M655&gt;0,COPY!M655,"")</f>
        <v/>
      </c>
      <c r="J657" s="85" t="str">
        <f>IF(COPY!N655&gt;0,COPY!N655,"")</f>
        <v/>
      </c>
      <c r="K657" s="86" t="str">
        <f>IF(N657=0,(IF(LEFT(Table13[[#This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Row],[URAIAN]],$U$194:$V$210,2,FALSE),""),""),0))))),N657)</f>
        <v/>
      </c>
      <c r="L657" s="85" t="str">
        <f>IF(Table13[[#This Row],[Column2]]="KWITANSI",COUNTIF($K$4:K657,"KWITANSI")," ")</f>
        <v xml:space="preserve"> </v>
      </c>
      <c r="M657" s="85" t="str">
        <f>IF(Table13[[#This Row],[Column3]]=" "," ",Table13[[#This Row],[CODE]])</f>
        <v xml:space="preserve"> </v>
      </c>
      <c r="N657" s="368"/>
      <c r="P657" s="81" t="str">
        <f t="shared" si="10"/>
        <v/>
      </c>
    </row>
    <row r="658" spans="1:16" hidden="1" x14ac:dyDescent="0.15">
      <c r="A658" s="81" t="str">
        <f>COPY!O656</f>
        <v/>
      </c>
      <c r="B658" s="81" t="str">
        <f>COPY!C656</f>
        <v/>
      </c>
      <c r="C658" s="82" t="str">
        <f>COPY!D656</f>
        <v/>
      </c>
      <c r="D658" s="81" t="str">
        <f>IF(Table13[[#This Row],[JUMLAH]]&gt;1,(IF(Table13[[#This Row],[CODE]]=" ",D657&amp;"a",IF(Table13[[#This Row],[CODE]]&gt;0,Table13[[#This Row],[CODE]],0))),"")</f>
        <v/>
      </c>
      <c r="E658" s="81" t="str">
        <f>IF(COPY!G656&gt;0,COPY!G656,"")</f>
        <v/>
      </c>
      <c r="F658" s="88" t="str">
        <f>IF(COPY!J656&gt;0,COPY!J656,"")</f>
        <v/>
      </c>
      <c r="G658" s="85" t="str">
        <f>IF(COPY!H656&gt;0,COPY!H656,"")</f>
        <v/>
      </c>
      <c r="H658" s="85" t="str">
        <f>IF(COPY!I656&gt;0,COPY!I656,"")</f>
        <v/>
      </c>
      <c r="I658" s="85" t="str">
        <f>IF(COPY!M656&gt;0,COPY!M656,"")</f>
        <v/>
      </c>
      <c r="J658" s="85" t="str">
        <f>IF(COPY!N656&gt;0,COPY!N656,"")</f>
        <v/>
      </c>
      <c r="K658" s="86" t="str">
        <f>IF(N658=0,(IF(LEFT(Table13[[#This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Row],[URAIAN]],$U$194:$V$210,2,FALSE),""),""),0))))),N658)</f>
        <v/>
      </c>
      <c r="L658" s="85" t="str">
        <f>IF(Table13[[#This Row],[Column2]]="KWITANSI",COUNTIF($K$4:K658,"KWITANSI")," ")</f>
        <v xml:space="preserve"> </v>
      </c>
      <c r="M658" s="85" t="str">
        <f>IF(Table13[[#This Row],[Column3]]=" "," ",Table13[[#This Row],[CODE]])</f>
        <v xml:space="preserve"> </v>
      </c>
      <c r="N658" s="368"/>
      <c r="P658" s="81" t="str">
        <f t="shared" si="10"/>
        <v/>
      </c>
    </row>
    <row r="659" spans="1:16" hidden="1" x14ac:dyDescent="0.15">
      <c r="A659" s="81" t="str">
        <f>COPY!O657</f>
        <v/>
      </c>
      <c r="B659" s="81" t="str">
        <f>COPY!C657</f>
        <v/>
      </c>
      <c r="C659" s="82" t="str">
        <f>COPY!D657</f>
        <v/>
      </c>
      <c r="D659" s="81" t="str">
        <f>IF(Table13[[#This Row],[JUMLAH]]&gt;1,(IF(Table13[[#This Row],[CODE]]=" ",D658&amp;"a",IF(Table13[[#This Row],[CODE]]&gt;0,Table13[[#This Row],[CODE]],0))),"")</f>
        <v/>
      </c>
      <c r="E659" s="81" t="str">
        <f>IF(COPY!G657&gt;0,COPY!G657,"")</f>
        <v/>
      </c>
      <c r="F659" s="88" t="str">
        <f>IF(COPY!J657&gt;0,COPY!J657,"")</f>
        <v/>
      </c>
      <c r="G659" s="85" t="str">
        <f>IF(COPY!H657&gt;0,COPY!H657,"")</f>
        <v/>
      </c>
      <c r="H659" s="85" t="str">
        <f>IF(COPY!I657&gt;0,COPY!I657,"")</f>
        <v/>
      </c>
      <c r="I659" s="85" t="str">
        <f>IF(COPY!M657&gt;0,COPY!M657,"")</f>
        <v/>
      </c>
      <c r="J659" s="85" t="str">
        <f>IF(COPY!N657&gt;0,COPY!N657,"")</f>
        <v/>
      </c>
      <c r="K659" s="86" t="str">
        <f>IF(N659=0,(IF(LEFT(Table13[[#This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Row],[URAIAN]],$U$194:$V$210,2,FALSE),""),""),0))))),N659)</f>
        <v/>
      </c>
      <c r="L659" s="85" t="str">
        <f>IF(Table13[[#This Row],[Column2]]="KWITANSI",COUNTIF($K$4:K659,"KWITANSI")," ")</f>
        <v xml:space="preserve"> </v>
      </c>
      <c r="M659" s="85" t="str">
        <f>IF(Table13[[#This Row],[Column3]]=" "," ",Table13[[#This Row],[CODE]])</f>
        <v xml:space="preserve"> </v>
      </c>
      <c r="N659" s="368"/>
      <c r="P659" s="81" t="str">
        <f t="shared" si="10"/>
        <v/>
      </c>
    </row>
    <row r="660" spans="1:16" hidden="1" x14ac:dyDescent="0.15">
      <c r="A660" s="81" t="str">
        <f>COPY!O658</f>
        <v/>
      </c>
      <c r="B660" s="81" t="str">
        <f>COPY!C658</f>
        <v/>
      </c>
      <c r="C660" s="82" t="str">
        <f>COPY!D658</f>
        <v/>
      </c>
      <c r="D660" s="81" t="str">
        <f>IF(Table13[[#This Row],[JUMLAH]]&gt;1,(IF(Table13[[#This Row],[CODE]]=" ",D659&amp;"a",IF(Table13[[#This Row],[CODE]]&gt;0,Table13[[#This Row],[CODE]],0))),"")</f>
        <v/>
      </c>
      <c r="E660" s="81" t="str">
        <f>IF(COPY!G658&gt;0,COPY!G658,"")</f>
        <v/>
      </c>
      <c r="F660" s="88" t="str">
        <f>IF(COPY!J658&gt;0,COPY!J658,"")</f>
        <v/>
      </c>
      <c r="G660" s="85" t="str">
        <f>IF(COPY!H658&gt;0,COPY!H658,"")</f>
        <v/>
      </c>
      <c r="H660" s="85" t="str">
        <f>IF(COPY!I658&gt;0,COPY!I658,"")</f>
        <v/>
      </c>
      <c r="I660" s="85" t="str">
        <f>IF(COPY!M658&gt;0,COPY!M658,"")</f>
        <v/>
      </c>
      <c r="J660" s="85" t="str">
        <f>IF(COPY!N658&gt;0,COPY!N658,"")</f>
        <v/>
      </c>
      <c r="K660" s="86" t="str">
        <f>IF(N660=0,(IF(LEFT(Table13[[#This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Row],[URAIAN]],$U$194:$V$210,2,FALSE),""),""),0))))),N660)</f>
        <v/>
      </c>
      <c r="L660" s="85" t="str">
        <f>IF(Table13[[#This Row],[Column2]]="KWITANSI",COUNTIF($K$4:K660,"KWITANSI")," ")</f>
        <v xml:space="preserve"> </v>
      </c>
      <c r="M660" s="85" t="str">
        <f>IF(Table13[[#This Row],[Column3]]=" "," ",Table13[[#This Row],[CODE]])</f>
        <v xml:space="preserve"> </v>
      </c>
      <c r="N660" s="368"/>
      <c r="P660" s="81" t="str">
        <f t="shared" si="10"/>
        <v/>
      </c>
    </row>
    <row r="661" spans="1:16" hidden="1" x14ac:dyDescent="0.15">
      <c r="A661" s="81" t="str">
        <f>COPY!O659</f>
        <v/>
      </c>
      <c r="B661" s="81" t="str">
        <f>COPY!C659</f>
        <v/>
      </c>
      <c r="C661" s="82" t="str">
        <f>COPY!D659</f>
        <v/>
      </c>
      <c r="D661" s="81" t="str">
        <f>IF(Table13[[#This Row],[JUMLAH]]&gt;1,(IF(Table13[[#This Row],[CODE]]=" ",D660&amp;"a",IF(Table13[[#This Row],[CODE]]&gt;0,Table13[[#This Row],[CODE]],0))),"")</f>
        <v/>
      </c>
      <c r="E661" s="81" t="str">
        <f>IF(COPY!G659&gt;0,COPY!G659,"")</f>
        <v/>
      </c>
      <c r="F661" s="88" t="str">
        <f>IF(COPY!J659&gt;0,COPY!J659,"")</f>
        <v/>
      </c>
      <c r="G661" s="85" t="str">
        <f>IF(COPY!H659&gt;0,COPY!H659,"")</f>
        <v/>
      </c>
      <c r="H661" s="85" t="str">
        <f>IF(COPY!I659&gt;0,COPY!I659,"")</f>
        <v/>
      </c>
      <c r="I661" s="85" t="str">
        <f>IF(COPY!M659&gt;0,COPY!M659,"")</f>
        <v/>
      </c>
      <c r="J661" s="85" t="str">
        <f>IF(COPY!N659&gt;0,COPY!N659,"")</f>
        <v/>
      </c>
      <c r="K661" s="86" t="str">
        <f>IF(N661=0,(IF(LEFT(Table13[[#This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Row],[URAIAN]],$U$194:$V$210,2,FALSE),""),""),0))))),N661)</f>
        <v/>
      </c>
      <c r="L661" s="85" t="str">
        <f>IF(Table13[[#This Row],[Column2]]="KWITANSI",COUNTIF($K$4:K661,"KWITANSI")," ")</f>
        <v xml:space="preserve"> </v>
      </c>
      <c r="M661" s="85" t="str">
        <f>IF(Table13[[#This Row],[Column3]]=" "," ",Table13[[#This Row],[CODE]])</f>
        <v xml:space="preserve"> </v>
      </c>
      <c r="N661" s="368"/>
      <c r="P661" s="81" t="str">
        <f t="shared" si="10"/>
        <v/>
      </c>
    </row>
    <row r="662" spans="1:16" hidden="1" x14ac:dyDescent="0.15">
      <c r="A662" s="81" t="str">
        <f>COPY!O660</f>
        <v/>
      </c>
      <c r="B662" s="81" t="str">
        <f>COPY!C660</f>
        <v/>
      </c>
      <c r="C662" s="82" t="str">
        <f>COPY!D660</f>
        <v/>
      </c>
      <c r="D662" s="81" t="str">
        <f>IF(Table13[[#This Row],[JUMLAH]]&gt;1,(IF(Table13[[#This Row],[CODE]]=" ",D661&amp;"a",IF(Table13[[#This Row],[CODE]]&gt;0,Table13[[#This Row],[CODE]],0))),"")</f>
        <v/>
      </c>
      <c r="E662" s="81" t="str">
        <f>IF(COPY!G660&gt;0,COPY!G660,"")</f>
        <v/>
      </c>
      <c r="F662" s="88" t="str">
        <f>IF(COPY!J660&gt;0,COPY!J660,"")</f>
        <v/>
      </c>
      <c r="G662" s="85" t="str">
        <f>IF(COPY!H660&gt;0,COPY!H660,"")</f>
        <v/>
      </c>
      <c r="H662" s="85" t="str">
        <f>IF(COPY!I660&gt;0,COPY!I660,"")</f>
        <v/>
      </c>
      <c r="I662" s="85" t="str">
        <f>IF(COPY!M660&gt;0,COPY!M660,"")</f>
        <v/>
      </c>
      <c r="J662" s="85" t="str">
        <f>IF(COPY!N660&gt;0,COPY!N660,"")</f>
        <v/>
      </c>
      <c r="K662" s="86" t="str">
        <f>IF(N662=0,(IF(LEFT(Table13[[#This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Row],[URAIAN]],$U$194:$V$210,2,FALSE),""),""),0))))),N662)</f>
        <v/>
      </c>
      <c r="L662" s="85" t="str">
        <f>IF(Table13[[#This Row],[Column2]]="KWITANSI",COUNTIF($K$4:K662,"KWITANSI")," ")</f>
        <v xml:space="preserve"> </v>
      </c>
      <c r="M662" s="85" t="str">
        <f>IF(Table13[[#This Row],[Column3]]=" "," ",Table13[[#This Row],[CODE]])</f>
        <v xml:space="preserve"> </v>
      </c>
      <c r="N662" s="368"/>
      <c r="P662" s="81" t="str">
        <f t="shared" si="10"/>
        <v/>
      </c>
    </row>
    <row r="663" spans="1:16" hidden="1" x14ac:dyDescent="0.15">
      <c r="A663" s="81" t="str">
        <f>COPY!O661</f>
        <v/>
      </c>
      <c r="B663" s="81" t="str">
        <f>COPY!C661</f>
        <v/>
      </c>
      <c r="C663" s="82" t="str">
        <f>COPY!D661</f>
        <v/>
      </c>
      <c r="D663" s="81" t="str">
        <f>IF(Table13[[#This Row],[JUMLAH]]&gt;1,(IF(Table13[[#This Row],[CODE]]=" ",D662&amp;"a",IF(Table13[[#This Row],[CODE]]&gt;0,Table13[[#This Row],[CODE]],0))),"")</f>
        <v/>
      </c>
      <c r="E663" s="81" t="str">
        <f>IF(COPY!G661&gt;0,COPY!G661,"")</f>
        <v/>
      </c>
      <c r="F663" s="88" t="str">
        <f>IF(COPY!J661&gt;0,COPY!J661,"")</f>
        <v/>
      </c>
      <c r="G663" s="85" t="str">
        <f>IF(COPY!H661&gt;0,COPY!H661,"")</f>
        <v/>
      </c>
      <c r="H663" s="85" t="str">
        <f>IF(COPY!I661&gt;0,COPY!I661,"")</f>
        <v/>
      </c>
      <c r="I663" s="85" t="str">
        <f>IF(COPY!M661&gt;0,COPY!M661,"")</f>
        <v/>
      </c>
      <c r="J663" s="85" t="str">
        <f>IF(COPY!N661&gt;0,COPY!N661,"")</f>
        <v/>
      </c>
      <c r="K663" s="86" t="str">
        <f>IF(N663=0,(IF(LEFT(Table13[[#This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Row],[URAIAN]],$U$194:$V$210,2,FALSE),""),""),0))))),N663)</f>
        <v/>
      </c>
      <c r="L663" s="85" t="str">
        <f>IF(Table13[[#This Row],[Column2]]="KWITANSI",COUNTIF($K$4:K663,"KWITANSI")," ")</f>
        <v xml:space="preserve"> </v>
      </c>
      <c r="M663" s="85" t="str">
        <f>IF(Table13[[#This Row],[Column3]]=" "," ",Table13[[#This Row],[CODE]])</f>
        <v xml:space="preserve"> </v>
      </c>
      <c r="N663" s="368"/>
      <c r="P663" s="81" t="str">
        <f t="shared" si="10"/>
        <v/>
      </c>
    </row>
    <row r="664" spans="1:16" hidden="1" x14ac:dyDescent="0.15">
      <c r="A664" s="81" t="str">
        <f>COPY!O662</f>
        <v/>
      </c>
      <c r="B664" s="81" t="str">
        <f>COPY!C662</f>
        <v/>
      </c>
      <c r="C664" s="82" t="str">
        <f>COPY!D662</f>
        <v/>
      </c>
      <c r="D664" s="81" t="str">
        <f>IF(Table13[[#This Row],[JUMLAH]]&gt;1,(IF(Table13[[#This Row],[CODE]]=" ",D663&amp;"a",IF(Table13[[#This Row],[CODE]]&gt;0,Table13[[#This Row],[CODE]],0))),"")</f>
        <v/>
      </c>
      <c r="E664" s="81" t="str">
        <f>IF(COPY!G662&gt;0,COPY!G662,"")</f>
        <v/>
      </c>
      <c r="F664" s="88" t="str">
        <f>IF(COPY!J662&gt;0,COPY!J662,"")</f>
        <v/>
      </c>
      <c r="G664" s="85" t="str">
        <f>IF(COPY!H662&gt;0,COPY!H662,"")</f>
        <v/>
      </c>
      <c r="H664" s="85" t="str">
        <f>IF(COPY!I662&gt;0,COPY!I662,"")</f>
        <v/>
      </c>
      <c r="I664" s="85" t="str">
        <f>IF(COPY!M662&gt;0,COPY!M662,"")</f>
        <v/>
      </c>
      <c r="J664" s="85" t="str">
        <f>IF(COPY!N662&gt;0,COPY!N662,"")</f>
        <v/>
      </c>
      <c r="K664" s="86" t="str">
        <f>IF(N664=0,(IF(LEFT(Table13[[#This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Row],[URAIAN]],$U$194:$V$210,2,FALSE),""),""),0))))),N664)</f>
        <v/>
      </c>
      <c r="L664" s="85" t="str">
        <f>IF(Table13[[#This Row],[Column2]]="KWITANSI",COUNTIF($K$4:K664,"KWITANSI")," ")</f>
        <v xml:space="preserve"> </v>
      </c>
      <c r="M664" s="85" t="str">
        <f>IF(Table13[[#This Row],[Column3]]=" "," ",Table13[[#This Row],[CODE]])</f>
        <v xml:space="preserve"> </v>
      </c>
      <c r="N664" s="368"/>
      <c r="P664" s="81" t="str">
        <f t="shared" si="10"/>
        <v/>
      </c>
    </row>
    <row r="665" spans="1:16" hidden="1" x14ac:dyDescent="0.15">
      <c r="A665" s="81" t="str">
        <f>COPY!O663</f>
        <v/>
      </c>
      <c r="B665" s="81" t="str">
        <f>COPY!C663</f>
        <v/>
      </c>
      <c r="C665" s="82" t="str">
        <f>COPY!D663</f>
        <v/>
      </c>
      <c r="D665" s="81" t="str">
        <f>IF(Table13[[#This Row],[JUMLAH]]&gt;1,(IF(Table13[[#This Row],[CODE]]=" ",D664&amp;"a",IF(Table13[[#This Row],[CODE]]&gt;0,Table13[[#This Row],[CODE]],0))),"")</f>
        <v/>
      </c>
      <c r="E665" s="81" t="str">
        <f>IF(COPY!G663&gt;0,COPY!G663,"")</f>
        <v/>
      </c>
      <c r="F665" s="88" t="str">
        <f>IF(COPY!J663&gt;0,COPY!J663,"")</f>
        <v/>
      </c>
      <c r="G665" s="85" t="str">
        <f>IF(COPY!H663&gt;0,COPY!H663,"")</f>
        <v/>
      </c>
      <c r="H665" s="85" t="str">
        <f>IF(COPY!I663&gt;0,COPY!I663,"")</f>
        <v/>
      </c>
      <c r="I665" s="85" t="str">
        <f>IF(COPY!M663&gt;0,COPY!M663,"")</f>
        <v/>
      </c>
      <c r="J665" s="85" t="str">
        <f>IF(COPY!N663&gt;0,COPY!N663,"")</f>
        <v/>
      </c>
      <c r="K665" s="86" t="str">
        <f>IF(N665=0,(IF(LEFT(Table13[[#This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Row],[URAIAN]],$U$194:$V$210,2,FALSE),""),""),0))))),N665)</f>
        <v/>
      </c>
      <c r="L665" s="85" t="str">
        <f>IF(Table13[[#This Row],[Column2]]="KWITANSI",COUNTIF($K$4:K665,"KWITANSI")," ")</f>
        <v xml:space="preserve"> </v>
      </c>
      <c r="M665" s="85" t="str">
        <f>IF(Table13[[#This Row],[Column3]]=" "," ",Table13[[#This Row],[CODE]])</f>
        <v xml:space="preserve"> </v>
      </c>
      <c r="N665" s="368"/>
      <c r="P665" s="81" t="str">
        <f t="shared" si="10"/>
        <v/>
      </c>
    </row>
    <row r="666" spans="1:16" hidden="1" x14ac:dyDescent="0.15">
      <c r="A666" s="81" t="str">
        <f>COPY!O664</f>
        <v/>
      </c>
      <c r="B666" s="81" t="str">
        <f>COPY!C664</f>
        <v/>
      </c>
      <c r="C666" s="82" t="str">
        <f>COPY!D664</f>
        <v/>
      </c>
      <c r="D666" s="81" t="str">
        <f>IF(Table13[[#This Row],[JUMLAH]]&gt;1,(IF(Table13[[#This Row],[CODE]]=" ",D665&amp;"a",IF(Table13[[#This Row],[CODE]]&gt;0,Table13[[#This Row],[CODE]],0))),"")</f>
        <v/>
      </c>
      <c r="E666" s="81" t="str">
        <f>IF(COPY!G664&gt;0,COPY!G664,"")</f>
        <v/>
      </c>
      <c r="F666" s="88" t="str">
        <f>IF(COPY!J664&gt;0,COPY!J664,"")</f>
        <v/>
      </c>
      <c r="G666" s="85" t="str">
        <f>IF(COPY!H664&gt;0,COPY!H664,"")</f>
        <v/>
      </c>
      <c r="H666" s="85" t="str">
        <f>IF(COPY!I664&gt;0,COPY!I664,"")</f>
        <v/>
      </c>
      <c r="I666" s="85" t="str">
        <f>IF(COPY!M664&gt;0,COPY!M664,"")</f>
        <v/>
      </c>
      <c r="J666" s="85" t="str">
        <f>IF(COPY!N664&gt;0,COPY!N664,"")</f>
        <v/>
      </c>
      <c r="K666" s="86" t="str">
        <f>IF(N666=0,(IF(LEFT(Table13[[#This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Row],[URAIAN]],$U$194:$V$210,2,FALSE),""),""),0))))),N666)</f>
        <v/>
      </c>
      <c r="L666" s="85" t="str">
        <f>IF(Table13[[#This Row],[Column2]]="KWITANSI",COUNTIF($K$4:K666,"KWITANSI")," ")</f>
        <v xml:space="preserve"> </v>
      </c>
      <c r="M666" s="85" t="str">
        <f>IF(Table13[[#This Row],[Column3]]=" "," ",Table13[[#This Row],[CODE]])</f>
        <v xml:space="preserve"> </v>
      </c>
      <c r="N666" s="368"/>
      <c r="P666" s="81" t="str">
        <f t="shared" si="10"/>
        <v/>
      </c>
    </row>
    <row r="667" spans="1:16" hidden="1" x14ac:dyDescent="0.15">
      <c r="A667" s="81" t="str">
        <f>COPY!O665</f>
        <v/>
      </c>
      <c r="B667" s="81" t="str">
        <f>COPY!C665</f>
        <v/>
      </c>
      <c r="C667" s="82" t="str">
        <f>COPY!D665</f>
        <v/>
      </c>
      <c r="D667" s="81" t="str">
        <f>IF(Table13[[#This Row],[JUMLAH]]&gt;1,(IF(Table13[[#This Row],[CODE]]=" ",D666&amp;"a",IF(Table13[[#This Row],[CODE]]&gt;0,Table13[[#This Row],[CODE]],0))),"")</f>
        <v/>
      </c>
      <c r="E667" s="81" t="str">
        <f>IF(COPY!G665&gt;0,COPY!G665,"")</f>
        <v/>
      </c>
      <c r="F667" s="88" t="str">
        <f>IF(COPY!J665&gt;0,COPY!J665,"")</f>
        <v/>
      </c>
      <c r="G667" s="85" t="str">
        <f>IF(COPY!H665&gt;0,COPY!H665,"")</f>
        <v/>
      </c>
      <c r="H667" s="85" t="str">
        <f>IF(COPY!I665&gt;0,COPY!I665,"")</f>
        <v/>
      </c>
      <c r="I667" s="85" t="str">
        <f>IF(COPY!M665&gt;0,COPY!M665,"")</f>
        <v/>
      </c>
      <c r="J667" s="85" t="str">
        <f>IF(COPY!N665&gt;0,COPY!N665,"")</f>
        <v/>
      </c>
      <c r="K667" s="86" t="str">
        <f>IF(N667=0,(IF(LEFT(Table13[[#This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Row],[URAIAN]],$U$194:$V$210,2,FALSE),""),""),0))))),N667)</f>
        <v/>
      </c>
      <c r="L667" s="85" t="str">
        <f>IF(Table13[[#This Row],[Column2]]="KWITANSI",COUNTIF($K$4:K667,"KWITANSI")," ")</f>
        <v xml:space="preserve"> </v>
      </c>
      <c r="M667" s="85" t="str">
        <f>IF(Table13[[#This Row],[Column3]]=" "," ",Table13[[#This Row],[CODE]])</f>
        <v xml:space="preserve"> </v>
      </c>
      <c r="N667" s="368"/>
      <c r="P667" s="81" t="str">
        <f t="shared" si="10"/>
        <v/>
      </c>
    </row>
    <row r="668" spans="1:16" hidden="1" x14ac:dyDescent="0.15">
      <c r="A668" s="81" t="str">
        <f>COPY!O666</f>
        <v/>
      </c>
      <c r="B668" s="81" t="str">
        <f>COPY!C666</f>
        <v/>
      </c>
      <c r="C668" s="82" t="str">
        <f>COPY!D666</f>
        <v/>
      </c>
      <c r="D668" s="81" t="str">
        <f>IF(Table13[[#This Row],[JUMLAH]]&gt;1,(IF(Table13[[#This Row],[CODE]]=" ",D667&amp;"a",IF(Table13[[#This Row],[CODE]]&gt;0,Table13[[#This Row],[CODE]],0))),"")</f>
        <v/>
      </c>
      <c r="E668" s="81" t="str">
        <f>IF(COPY!G666&gt;0,COPY!G666,"")</f>
        <v/>
      </c>
      <c r="F668" s="88" t="str">
        <f>IF(COPY!J666&gt;0,COPY!J666,"")</f>
        <v/>
      </c>
      <c r="G668" s="85" t="str">
        <f>IF(COPY!H666&gt;0,COPY!H666,"")</f>
        <v/>
      </c>
      <c r="H668" s="85" t="str">
        <f>IF(COPY!I666&gt;0,COPY!I666,"")</f>
        <v/>
      </c>
      <c r="I668" s="85" t="str">
        <f>IF(COPY!M666&gt;0,COPY!M666,"")</f>
        <v/>
      </c>
      <c r="J668" s="85" t="str">
        <f>IF(COPY!N666&gt;0,COPY!N666,"")</f>
        <v/>
      </c>
      <c r="K668" s="86" t="str">
        <f>IF(N668=0,(IF(LEFT(Table13[[#This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Row],[URAIAN]],$U$194:$V$210,2,FALSE),""),""),0))))),N668)</f>
        <v/>
      </c>
      <c r="L668" s="85" t="str">
        <f>IF(Table13[[#This Row],[Column2]]="KWITANSI",COUNTIF($K$4:K668,"KWITANSI")," ")</f>
        <v xml:space="preserve"> </v>
      </c>
      <c r="M668" s="85" t="str">
        <f>IF(Table13[[#This Row],[Column3]]=" "," ",Table13[[#This Row],[CODE]])</f>
        <v xml:space="preserve"> </v>
      </c>
      <c r="N668" s="368"/>
      <c r="P668" s="81" t="str">
        <f t="shared" si="10"/>
        <v/>
      </c>
    </row>
    <row r="669" spans="1:16" hidden="1" x14ac:dyDescent="0.15">
      <c r="A669" s="81" t="str">
        <f>COPY!O667</f>
        <v/>
      </c>
      <c r="B669" s="81" t="str">
        <f>COPY!C667</f>
        <v/>
      </c>
      <c r="C669" s="82" t="str">
        <f>COPY!D667</f>
        <v/>
      </c>
      <c r="D669" s="81" t="str">
        <f>IF(Table13[[#This Row],[JUMLAH]]&gt;1,(IF(Table13[[#This Row],[CODE]]=" ",D668&amp;"a",IF(Table13[[#This Row],[CODE]]&gt;0,Table13[[#This Row],[CODE]],0))),"")</f>
        <v/>
      </c>
      <c r="E669" s="81" t="str">
        <f>IF(COPY!G667&gt;0,COPY!G667,"")</f>
        <v/>
      </c>
      <c r="F669" s="88" t="str">
        <f>IF(COPY!J667&gt;0,COPY!J667,"")</f>
        <v/>
      </c>
      <c r="G669" s="85" t="str">
        <f>IF(COPY!H667&gt;0,COPY!H667,"")</f>
        <v/>
      </c>
      <c r="H669" s="85" t="str">
        <f>IF(COPY!I667&gt;0,COPY!I667,"")</f>
        <v/>
      </c>
      <c r="I669" s="85" t="str">
        <f>IF(COPY!M667&gt;0,COPY!M667,"")</f>
        <v/>
      </c>
      <c r="J669" s="85" t="str">
        <f>IF(COPY!N667&gt;0,COPY!N667,"")</f>
        <v/>
      </c>
      <c r="K669" s="86" t="str">
        <f>IF(N669=0,(IF(LEFT(Table13[[#This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Row],[URAIAN]],$U$194:$V$210,2,FALSE),""),""),0))))),N669)</f>
        <v/>
      </c>
      <c r="L669" s="85" t="str">
        <f>IF(Table13[[#This Row],[Column2]]="KWITANSI",COUNTIF($K$4:K669,"KWITANSI")," ")</f>
        <v xml:space="preserve"> </v>
      </c>
      <c r="M669" s="85" t="str">
        <f>IF(Table13[[#This Row],[Column3]]=" "," ",Table13[[#This Row],[CODE]])</f>
        <v xml:space="preserve"> </v>
      </c>
      <c r="N669" s="368"/>
      <c r="P669" s="81" t="str">
        <f t="shared" si="10"/>
        <v/>
      </c>
    </row>
    <row r="670" spans="1:16" hidden="1" x14ac:dyDescent="0.15">
      <c r="A670" s="81" t="str">
        <f>COPY!O668</f>
        <v/>
      </c>
      <c r="B670" s="81" t="str">
        <f>COPY!C668</f>
        <v/>
      </c>
      <c r="C670" s="82" t="str">
        <f>COPY!D668</f>
        <v/>
      </c>
      <c r="D670" s="81" t="str">
        <f>IF(Table13[[#This Row],[JUMLAH]]&gt;1,(IF(Table13[[#This Row],[CODE]]=" ",D669&amp;"a",IF(Table13[[#This Row],[CODE]]&gt;0,Table13[[#This Row],[CODE]],0))),"")</f>
        <v/>
      </c>
      <c r="E670" s="81" t="str">
        <f>IF(COPY!G668&gt;0,COPY!G668,"")</f>
        <v/>
      </c>
      <c r="F670" s="88" t="str">
        <f>IF(COPY!J668&gt;0,COPY!J668,"")</f>
        <v/>
      </c>
      <c r="G670" s="85" t="str">
        <f>IF(COPY!H668&gt;0,COPY!H668,"")</f>
        <v/>
      </c>
      <c r="H670" s="85" t="str">
        <f>IF(COPY!I668&gt;0,COPY!I668,"")</f>
        <v/>
      </c>
      <c r="I670" s="85" t="str">
        <f>IF(COPY!M668&gt;0,COPY!M668,"")</f>
        <v/>
      </c>
      <c r="J670" s="85" t="str">
        <f>IF(COPY!N668&gt;0,COPY!N668,"")</f>
        <v/>
      </c>
      <c r="K670" s="86" t="str">
        <f>IF(N670=0,(IF(LEFT(Table13[[#This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Row],[URAIAN]],$U$194:$V$210,2,FALSE),""),""),0))))),N670)</f>
        <v/>
      </c>
      <c r="L670" s="85" t="str">
        <f>IF(Table13[[#This Row],[Column2]]="KWITANSI",COUNTIF($K$4:K670,"KWITANSI")," ")</f>
        <v xml:space="preserve"> </v>
      </c>
      <c r="M670" s="85" t="str">
        <f>IF(Table13[[#This Row],[Column3]]=" "," ",Table13[[#This Row],[CODE]])</f>
        <v xml:space="preserve"> </v>
      </c>
      <c r="N670" s="368"/>
      <c r="P670" s="81" t="str">
        <f t="shared" si="10"/>
        <v/>
      </c>
    </row>
    <row r="671" spans="1:16" hidden="1" x14ac:dyDescent="0.15">
      <c r="A671" s="81" t="str">
        <f>COPY!O669</f>
        <v/>
      </c>
      <c r="B671" s="81" t="str">
        <f>COPY!C669</f>
        <v/>
      </c>
      <c r="C671" s="82" t="str">
        <f>COPY!D669</f>
        <v/>
      </c>
      <c r="D671" s="81" t="str">
        <f>IF(Table13[[#This Row],[JUMLAH]]&gt;1,(IF(Table13[[#This Row],[CODE]]=" ",D670&amp;"a",IF(Table13[[#This Row],[CODE]]&gt;0,Table13[[#This Row],[CODE]],0))),"")</f>
        <v/>
      </c>
      <c r="E671" s="81" t="str">
        <f>IF(COPY!G669&gt;0,COPY!G669,"")</f>
        <v/>
      </c>
      <c r="F671" s="88" t="str">
        <f>IF(COPY!J669&gt;0,COPY!J669,"")</f>
        <v/>
      </c>
      <c r="G671" s="85" t="str">
        <f>IF(COPY!H669&gt;0,COPY!H669,"")</f>
        <v/>
      </c>
      <c r="H671" s="85" t="str">
        <f>IF(COPY!I669&gt;0,COPY!I669,"")</f>
        <v/>
      </c>
      <c r="I671" s="85" t="str">
        <f>IF(COPY!M669&gt;0,COPY!M669,"")</f>
        <v/>
      </c>
      <c r="J671" s="85" t="str">
        <f>IF(COPY!N669&gt;0,COPY!N669,"")</f>
        <v/>
      </c>
      <c r="K671" s="86" t="str">
        <f>IF(N671=0,(IF(LEFT(Table13[[#This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Row],[URAIAN]],$U$194:$V$210,2,FALSE),""),""),0))))),N671)</f>
        <v/>
      </c>
      <c r="L671" s="85" t="str">
        <f>IF(Table13[[#This Row],[Column2]]="KWITANSI",COUNTIF($K$4:K671,"KWITANSI")," ")</f>
        <v xml:space="preserve"> </v>
      </c>
      <c r="M671" s="85" t="str">
        <f>IF(Table13[[#This Row],[Column3]]=" "," ",Table13[[#This Row],[CODE]])</f>
        <v xml:space="preserve"> </v>
      </c>
      <c r="N671" s="368"/>
      <c r="P671" s="81" t="str">
        <f t="shared" si="10"/>
        <v/>
      </c>
    </row>
    <row r="672" spans="1:16" hidden="1" x14ac:dyDescent="0.15">
      <c r="A672" s="81" t="str">
        <f>COPY!O670</f>
        <v/>
      </c>
      <c r="B672" s="81" t="str">
        <f>COPY!C670</f>
        <v/>
      </c>
      <c r="C672" s="82" t="str">
        <f>COPY!D670</f>
        <v/>
      </c>
      <c r="D672" s="81" t="str">
        <f>IF(Table13[[#This Row],[JUMLAH]]&gt;1,(IF(Table13[[#This Row],[CODE]]=" ",D671&amp;"a",IF(Table13[[#This Row],[CODE]]&gt;0,Table13[[#This Row],[CODE]],0))),"")</f>
        <v/>
      </c>
      <c r="E672" s="81" t="str">
        <f>IF(COPY!G670&gt;0,COPY!G670,"")</f>
        <v/>
      </c>
      <c r="F672" s="88" t="str">
        <f>IF(COPY!J670&gt;0,COPY!J670,"")</f>
        <v/>
      </c>
      <c r="G672" s="85" t="str">
        <f>IF(COPY!H670&gt;0,COPY!H670,"")</f>
        <v/>
      </c>
      <c r="H672" s="85" t="str">
        <f>IF(COPY!I670&gt;0,COPY!I670,"")</f>
        <v/>
      </c>
      <c r="I672" s="85" t="str">
        <f>IF(COPY!M670&gt;0,COPY!M670,"")</f>
        <v/>
      </c>
      <c r="J672" s="85" t="str">
        <f>IF(COPY!N670&gt;0,COPY!N670,"")</f>
        <v/>
      </c>
      <c r="K672" s="86" t="str">
        <f>IF(N672=0,(IF(LEFT(Table13[[#This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Row],[URAIAN]],$U$194:$V$210,2,FALSE),""),""),0))))),N672)</f>
        <v/>
      </c>
      <c r="L672" s="85" t="str">
        <f>IF(Table13[[#This Row],[Column2]]="KWITANSI",COUNTIF($K$4:K672,"KWITANSI")," ")</f>
        <v xml:space="preserve"> </v>
      </c>
      <c r="M672" s="85" t="str">
        <f>IF(Table13[[#This Row],[Column3]]=" "," ",Table13[[#This Row],[CODE]])</f>
        <v xml:space="preserve"> </v>
      </c>
      <c r="N672" s="368"/>
      <c r="P672" s="81" t="str">
        <f t="shared" si="10"/>
        <v/>
      </c>
    </row>
    <row r="673" spans="1:16" hidden="1" x14ac:dyDescent="0.15">
      <c r="A673" s="81" t="str">
        <f>COPY!O671</f>
        <v/>
      </c>
      <c r="B673" s="81" t="str">
        <f>COPY!C671</f>
        <v/>
      </c>
      <c r="C673" s="82" t="str">
        <f>COPY!D671</f>
        <v/>
      </c>
      <c r="D673" s="81" t="str">
        <f>IF(Table13[[#This Row],[JUMLAH]]&gt;1,(IF(Table13[[#This Row],[CODE]]=" ",D672&amp;"a",IF(Table13[[#This Row],[CODE]]&gt;0,Table13[[#This Row],[CODE]],0))),"")</f>
        <v/>
      </c>
      <c r="E673" s="81" t="str">
        <f>IF(COPY!G671&gt;0,COPY!G671,"")</f>
        <v/>
      </c>
      <c r="F673" s="88" t="str">
        <f>IF(COPY!J671&gt;0,COPY!J671,"")</f>
        <v/>
      </c>
      <c r="G673" s="85" t="str">
        <f>IF(COPY!H671&gt;0,COPY!H671,"")</f>
        <v/>
      </c>
      <c r="H673" s="85" t="str">
        <f>IF(COPY!I671&gt;0,COPY!I671,"")</f>
        <v/>
      </c>
      <c r="I673" s="85" t="str">
        <f>IF(COPY!M671&gt;0,COPY!M671,"")</f>
        <v/>
      </c>
      <c r="J673" s="85" t="str">
        <f>IF(COPY!N671&gt;0,COPY!N671,"")</f>
        <v/>
      </c>
      <c r="K673" s="86" t="str">
        <f>IF(N673=0,(IF(LEFT(Table13[[#This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Row],[URAIAN]],$U$194:$V$210,2,FALSE),""),""),0))))),N673)</f>
        <v/>
      </c>
      <c r="L673" s="85" t="str">
        <f>IF(Table13[[#This Row],[Column2]]="KWITANSI",COUNTIF($K$4:K673,"KWITANSI")," ")</f>
        <v xml:space="preserve"> </v>
      </c>
      <c r="M673" s="85" t="str">
        <f>IF(Table13[[#This Row],[Column3]]=" "," ",Table13[[#This Row],[CODE]])</f>
        <v xml:space="preserve"> </v>
      </c>
      <c r="N673" s="368"/>
      <c r="P673" s="81" t="str">
        <f t="shared" si="10"/>
        <v/>
      </c>
    </row>
    <row r="674" spans="1:16" hidden="1" x14ac:dyDescent="0.15">
      <c r="A674" s="81" t="str">
        <f>COPY!O672</f>
        <v/>
      </c>
      <c r="B674" s="81" t="str">
        <f>COPY!C672</f>
        <v/>
      </c>
      <c r="C674" s="82" t="str">
        <f>COPY!D672</f>
        <v/>
      </c>
      <c r="D674" s="81" t="str">
        <f>IF(Table13[[#This Row],[JUMLAH]]&gt;1,(IF(Table13[[#This Row],[CODE]]=" ",D673&amp;"a",IF(Table13[[#This Row],[CODE]]&gt;0,Table13[[#This Row],[CODE]],0))),"")</f>
        <v/>
      </c>
      <c r="E674" s="81" t="str">
        <f>IF(COPY!G672&gt;0,COPY!G672,"")</f>
        <v/>
      </c>
      <c r="F674" s="88" t="str">
        <f>IF(COPY!J672&gt;0,COPY!J672,"")</f>
        <v/>
      </c>
      <c r="G674" s="85" t="str">
        <f>IF(COPY!H672&gt;0,COPY!H672,"")</f>
        <v/>
      </c>
      <c r="H674" s="85" t="str">
        <f>IF(COPY!I672&gt;0,COPY!I672,"")</f>
        <v/>
      </c>
      <c r="I674" s="85" t="str">
        <f>IF(COPY!M672&gt;0,COPY!M672,"")</f>
        <v/>
      </c>
      <c r="J674" s="85" t="str">
        <f>IF(COPY!N672&gt;0,COPY!N672,"")</f>
        <v/>
      </c>
      <c r="K674" s="86" t="str">
        <f>IF(N674=0,(IF(LEFT(Table13[[#This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Row],[URAIAN]],$U$194:$V$210,2,FALSE),""),""),0))))),N674)</f>
        <v/>
      </c>
      <c r="L674" s="85" t="str">
        <f>IF(Table13[[#This Row],[Column2]]="KWITANSI",COUNTIF($K$4:K674,"KWITANSI")," ")</f>
        <v xml:space="preserve"> </v>
      </c>
      <c r="M674" s="85" t="str">
        <f>IF(Table13[[#This Row],[Column3]]=" "," ",Table13[[#This Row],[CODE]])</f>
        <v xml:space="preserve"> </v>
      </c>
      <c r="N674" s="368"/>
      <c r="P674" s="81" t="str">
        <f t="shared" si="10"/>
        <v/>
      </c>
    </row>
    <row r="675" spans="1:16" hidden="1" x14ac:dyDescent="0.15">
      <c r="A675" s="81" t="str">
        <f>COPY!O673</f>
        <v/>
      </c>
      <c r="B675" s="81" t="str">
        <f>COPY!C673</f>
        <v/>
      </c>
      <c r="C675" s="82" t="str">
        <f>COPY!D673</f>
        <v/>
      </c>
      <c r="D675" s="81" t="str">
        <f>IF(Table13[[#This Row],[JUMLAH]]&gt;1,(IF(Table13[[#This Row],[CODE]]=" ",D674&amp;"a",IF(Table13[[#This Row],[CODE]]&gt;0,Table13[[#This Row],[CODE]],0))),"")</f>
        <v/>
      </c>
      <c r="E675" s="81" t="str">
        <f>IF(COPY!G673&gt;0,COPY!G673,"")</f>
        <v/>
      </c>
      <c r="F675" s="88" t="str">
        <f>IF(COPY!J673&gt;0,COPY!J673,"")</f>
        <v/>
      </c>
      <c r="G675" s="85" t="str">
        <f>IF(COPY!H673&gt;0,COPY!H673,"")</f>
        <v/>
      </c>
      <c r="H675" s="85" t="str">
        <f>IF(COPY!I673&gt;0,COPY!I673,"")</f>
        <v/>
      </c>
      <c r="I675" s="85" t="str">
        <f>IF(COPY!M673&gt;0,COPY!M673,"")</f>
        <v/>
      </c>
      <c r="J675" s="85" t="str">
        <f>IF(COPY!N673&gt;0,COPY!N673,"")</f>
        <v/>
      </c>
      <c r="K675" s="86" t="str">
        <f>IF(N675=0,(IF(LEFT(Table13[[#This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Row],[URAIAN]],$U$194:$V$210,2,FALSE),""),""),0))))),N675)</f>
        <v/>
      </c>
      <c r="L675" s="85" t="str">
        <f>IF(Table13[[#This Row],[Column2]]="KWITANSI",COUNTIF($K$4:K675,"KWITANSI")," ")</f>
        <v xml:space="preserve"> </v>
      </c>
      <c r="M675" s="85" t="str">
        <f>IF(Table13[[#This Row],[Column3]]=" "," ",Table13[[#This Row],[CODE]])</f>
        <v xml:space="preserve"> </v>
      </c>
      <c r="N675" s="368"/>
      <c r="P675" s="81" t="str">
        <f t="shared" si="10"/>
        <v/>
      </c>
    </row>
    <row r="676" spans="1:16" hidden="1" x14ac:dyDescent="0.15">
      <c r="A676" s="81" t="str">
        <f>COPY!O674</f>
        <v/>
      </c>
      <c r="B676" s="81" t="str">
        <f>COPY!C674</f>
        <v/>
      </c>
      <c r="C676" s="82" t="str">
        <f>COPY!D674</f>
        <v/>
      </c>
      <c r="D676" s="81" t="str">
        <f>IF(Table13[[#This Row],[JUMLAH]]&gt;1,(IF(Table13[[#This Row],[CODE]]=" ",D675&amp;"a",IF(Table13[[#This Row],[CODE]]&gt;0,Table13[[#This Row],[CODE]],0))),"")</f>
        <v/>
      </c>
      <c r="E676" s="81" t="str">
        <f>IF(COPY!G674&gt;0,COPY!G674,"")</f>
        <v/>
      </c>
      <c r="F676" s="88" t="str">
        <f>IF(COPY!J674&gt;0,COPY!J674,"")</f>
        <v/>
      </c>
      <c r="G676" s="85" t="str">
        <f>IF(COPY!H674&gt;0,COPY!H674,"")</f>
        <v/>
      </c>
      <c r="H676" s="85" t="str">
        <f>IF(COPY!I674&gt;0,COPY!I674,"")</f>
        <v/>
      </c>
      <c r="I676" s="85" t="str">
        <f>IF(COPY!M674&gt;0,COPY!M674,"")</f>
        <v/>
      </c>
      <c r="J676" s="85" t="str">
        <f>IF(COPY!N674&gt;0,COPY!N674,"")</f>
        <v/>
      </c>
      <c r="K676" s="86" t="str">
        <f>IF(N676=0,(IF(LEFT(Table13[[#This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Row],[URAIAN]],$U$194:$V$210,2,FALSE),""),""),0))))),N676)</f>
        <v/>
      </c>
      <c r="L676" s="85" t="str">
        <f>IF(Table13[[#This Row],[Column2]]="KWITANSI",COUNTIF($K$4:K676,"KWITANSI")," ")</f>
        <v xml:space="preserve"> </v>
      </c>
      <c r="M676" s="85" t="str">
        <f>IF(Table13[[#This Row],[Column3]]=" "," ",Table13[[#This Row],[CODE]])</f>
        <v xml:space="preserve"> </v>
      </c>
      <c r="N676" s="368"/>
      <c r="P676" s="81" t="str">
        <f t="shared" si="10"/>
        <v/>
      </c>
    </row>
    <row r="677" spans="1:16" hidden="1" x14ac:dyDescent="0.15">
      <c r="A677" s="81" t="str">
        <f>COPY!O675</f>
        <v/>
      </c>
      <c r="B677" s="81" t="str">
        <f>COPY!C675</f>
        <v/>
      </c>
      <c r="C677" s="82" t="str">
        <f>COPY!D675</f>
        <v/>
      </c>
      <c r="D677" s="81" t="str">
        <f>IF(Table13[[#This Row],[JUMLAH]]&gt;1,(IF(Table13[[#This Row],[CODE]]=" ",D676&amp;"a",IF(Table13[[#This Row],[CODE]]&gt;0,Table13[[#This Row],[CODE]],0))),"")</f>
        <v/>
      </c>
      <c r="E677" s="81" t="str">
        <f>IF(COPY!G675&gt;0,COPY!G675,"")</f>
        <v/>
      </c>
      <c r="F677" s="88" t="str">
        <f>IF(COPY!J675&gt;0,COPY!J675,"")</f>
        <v/>
      </c>
      <c r="G677" s="85" t="str">
        <f>IF(COPY!H675&gt;0,COPY!H675,"")</f>
        <v/>
      </c>
      <c r="H677" s="85" t="str">
        <f>IF(COPY!I675&gt;0,COPY!I675,"")</f>
        <v/>
      </c>
      <c r="I677" s="85" t="str">
        <f>IF(COPY!M675&gt;0,COPY!M675,"")</f>
        <v/>
      </c>
      <c r="J677" s="85" t="str">
        <f>IF(COPY!N675&gt;0,COPY!N675,"")</f>
        <v/>
      </c>
      <c r="K677" s="86" t="str">
        <f>IF(N677=0,(IF(LEFT(Table13[[#This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Row],[URAIAN]],$U$194:$V$210,2,FALSE),""),""),0))))),N677)</f>
        <v/>
      </c>
      <c r="L677" s="85" t="str">
        <f>IF(Table13[[#This Row],[Column2]]="KWITANSI",COUNTIF($K$4:K677,"KWITANSI")," ")</f>
        <v xml:space="preserve"> </v>
      </c>
      <c r="M677" s="85" t="str">
        <f>IF(Table13[[#This Row],[Column3]]=" "," ",Table13[[#This Row],[CODE]])</f>
        <v xml:space="preserve"> </v>
      </c>
      <c r="N677" s="368"/>
      <c r="P677" s="81" t="str">
        <f t="shared" si="10"/>
        <v/>
      </c>
    </row>
    <row r="678" spans="1:16" hidden="1" x14ac:dyDescent="0.15">
      <c r="A678" s="81" t="str">
        <f>COPY!O676</f>
        <v/>
      </c>
      <c r="B678" s="81" t="str">
        <f>COPY!C676</f>
        <v/>
      </c>
      <c r="C678" s="82" t="str">
        <f>COPY!D676</f>
        <v/>
      </c>
      <c r="D678" s="81" t="str">
        <f>IF(Table13[[#This Row],[JUMLAH]]&gt;1,(IF(Table13[[#This Row],[CODE]]=" ",D677&amp;"a",IF(Table13[[#This Row],[CODE]]&gt;0,Table13[[#This Row],[CODE]],0))),"")</f>
        <v/>
      </c>
      <c r="E678" s="81" t="str">
        <f>IF(COPY!G676&gt;0,COPY!G676,"")</f>
        <v/>
      </c>
      <c r="F678" s="88" t="str">
        <f>IF(COPY!J676&gt;0,COPY!J676,"")</f>
        <v/>
      </c>
      <c r="G678" s="85" t="str">
        <f>IF(COPY!H676&gt;0,COPY!H676,"")</f>
        <v/>
      </c>
      <c r="H678" s="85" t="str">
        <f>IF(COPY!I676&gt;0,COPY!I676,"")</f>
        <v/>
      </c>
      <c r="I678" s="85" t="str">
        <f>IF(COPY!M676&gt;0,COPY!M676,"")</f>
        <v/>
      </c>
      <c r="J678" s="85" t="str">
        <f>IF(COPY!N676&gt;0,COPY!N676,"")</f>
        <v/>
      </c>
      <c r="K678" s="86" t="str">
        <f>IF(N678=0,(IF(LEFT(Table13[[#This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Row],[URAIAN]],$U$194:$V$210,2,FALSE),""),""),0))))),N678)</f>
        <v/>
      </c>
      <c r="L678" s="85" t="str">
        <f>IF(Table13[[#This Row],[Column2]]="KWITANSI",COUNTIF($K$4:K678,"KWITANSI")," ")</f>
        <v xml:space="preserve"> </v>
      </c>
      <c r="M678" s="85" t="str">
        <f>IF(Table13[[#This Row],[Column3]]=" "," ",Table13[[#This Row],[CODE]])</f>
        <v xml:space="preserve"> </v>
      </c>
      <c r="N678" s="368"/>
      <c r="P678" s="81" t="str">
        <f t="shared" si="10"/>
        <v/>
      </c>
    </row>
    <row r="679" spans="1:16" hidden="1" x14ac:dyDescent="0.15">
      <c r="A679" s="81" t="str">
        <f>COPY!O677</f>
        <v/>
      </c>
      <c r="B679" s="81" t="str">
        <f>COPY!C677</f>
        <v/>
      </c>
      <c r="C679" s="82" t="str">
        <f>COPY!D677</f>
        <v/>
      </c>
      <c r="D679" s="81" t="str">
        <f>IF(Table13[[#This Row],[JUMLAH]]&gt;1,(IF(Table13[[#This Row],[CODE]]=" ",D678&amp;"a",IF(Table13[[#This Row],[CODE]]&gt;0,Table13[[#This Row],[CODE]],0))),"")</f>
        <v/>
      </c>
      <c r="E679" s="81" t="str">
        <f>IF(COPY!G677&gt;0,COPY!G677,"")</f>
        <v/>
      </c>
      <c r="F679" s="88" t="str">
        <f>IF(COPY!J677&gt;0,COPY!J677,"")</f>
        <v/>
      </c>
      <c r="G679" s="85" t="str">
        <f>IF(COPY!H677&gt;0,COPY!H677,"")</f>
        <v/>
      </c>
      <c r="H679" s="85" t="str">
        <f>IF(COPY!I677&gt;0,COPY!I677,"")</f>
        <v/>
      </c>
      <c r="I679" s="85" t="str">
        <f>IF(COPY!M677&gt;0,COPY!M677,"")</f>
        <v/>
      </c>
      <c r="J679" s="85" t="str">
        <f>IF(COPY!N677&gt;0,COPY!N677,"")</f>
        <v/>
      </c>
      <c r="K679" s="86" t="str">
        <f>IF(N679=0,(IF(LEFT(Table13[[#This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Row],[URAIAN]],$U$194:$V$210,2,FALSE),""),""),0))))),N679)</f>
        <v/>
      </c>
      <c r="L679" s="85" t="str">
        <f>IF(Table13[[#This Row],[Column2]]="KWITANSI",COUNTIF($K$4:K679,"KWITANSI")," ")</f>
        <v xml:space="preserve"> </v>
      </c>
      <c r="M679" s="85" t="str">
        <f>IF(Table13[[#This Row],[Column3]]=" "," ",Table13[[#This Row],[CODE]])</f>
        <v xml:space="preserve"> </v>
      </c>
      <c r="N679" s="368"/>
      <c r="P679" s="81" t="str">
        <f t="shared" si="10"/>
        <v/>
      </c>
    </row>
    <row r="680" spans="1:16" hidden="1" x14ac:dyDescent="0.15">
      <c r="A680" s="81" t="str">
        <f>COPY!O678</f>
        <v/>
      </c>
      <c r="B680" s="81" t="str">
        <f>COPY!C678</f>
        <v/>
      </c>
      <c r="C680" s="82" t="str">
        <f>COPY!D678</f>
        <v/>
      </c>
      <c r="D680" s="81" t="str">
        <f>IF(Table13[[#This Row],[JUMLAH]]&gt;1,(IF(Table13[[#This Row],[CODE]]=" ",D679&amp;"a",IF(Table13[[#This Row],[CODE]]&gt;0,Table13[[#This Row],[CODE]],0))),"")</f>
        <v/>
      </c>
      <c r="E680" s="81" t="str">
        <f>IF(COPY!G678&gt;0,COPY!G678,"")</f>
        <v/>
      </c>
      <c r="F680" s="88" t="str">
        <f>IF(COPY!J678&gt;0,COPY!J678,"")</f>
        <v/>
      </c>
      <c r="G680" s="85" t="str">
        <f>IF(COPY!H678&gt;0,COPY!H678,"")</f>
        <v/>
      </c>
      <c r="H680" s="85" t="str">
        <f>IF(COPY!I678&gt;0,COPY!I678,"")</f>
        <v/>
      </c>
      <c r="I680" s="85" t="str">
        <f>IF(COPY!M678&gt;0,COPY!M678,"")</f>
        <v/>
      </c>
      <c r="J680" s="85" t="str">
        <f>IF(COPY!N678&gt;0,COPY!N678,"")</f>
        <v/>
      </c>
      <c r="K680" s="86" t="str">
        <f>IF(N680=0,(IF(LEFT(Table13[[#This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Row],[URAIAN]],$U$194:$V$210,2,FALSE),""),""),0))))),N680)</f>
        <v/>
      </c>
      <c r="L680" s="85" t="str">
        <f>IF(Table13[[#This Row],[Column2]]="KWITANSI",COUNTIF($K$4:K680,"KWITANSI")," ")</f>
        <v xml:space="preserve"> </v>
      </c>
      <c r="M680" s="85" t="str">
        <f>IF(Table13[[#This Row],[Column3]]=" "," ",Table13[[#This Row],[CODE]])</f>
        <v xml:space="preserve"> </v>
      </c>
      <c r="N680" s="368"/>
      <c r="P680" s="81" t="str">
        <f t="shared" si="10"/>
        <v/>
      </c>
    </row>
    <row r="681" spans="1:16" hidden="1" x14ac:dyDescent="0.15">
      <c r="A681" s="81" t="str">
        <f>COPY!O679</f>
        <v/>
      </c>
      <c r="B681" s="81" t="str">
        <f>COPY!C679</f>
        <v/>
      </c>
      <c r="C681" s="82" t="str">
        <f>COPY!D679</f>
        <v/>
      </c>
      <c r="D681" s="81" t="str">
        <f>IF(Table13[[#This Row],[JUMLAH]]&gt;1,(IF(Table13[[#This Row],[CODE]]=" ",D680&amp;"a",IF(Table13[[#This Row],[CODE]]&gt;0,Table13[[#This Row],[CODE]],0))),"")</f>
        <v/>
      </c>
      <c r="E681" s="81" t="str">
        <f>IF(COPY!G679&gt;0,COPY!G679,"")</f>
        <v/>
      </c>
      <c r="F681" s="88" t="str">
        <f>IF(COPY!J679&gt;0,COPY!J679,"")</f>
        <v/>
      </c>
      <c r="G681" s="85" t="str">
        <f>IF(COPY!H679&gt;0,COPY!H679,"")</f>
        <v/>
      </c>
      <c r="H681" s="85" t="str">
        <f>IF(COPY!I679&gt;0,COPY!I679,"")</f>
        <v/>
      </c>
      <c r="I681" s="85" t="str">
        <f>IF(COPY!M679&gt;0,COPY!M679,"")</f>
        <v/>
      </c>
      <c r="J681" s="85" t="str">
        <f>IF(COPY!N679&gt;0,COPY!N679,"")</f>
        <v/>
      </c>
      <c r="K681" s="86" t="str">
        <f>IF(N681=0,(IF(LEFT(Table13[[#This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Row],[URAIAN]],$U$194:$V$210,2,FALSE),""),""),0))))),N681)</f>
        <v/>
      </c>
      <c r="L681" s="85" t="str">
        <f>IF(Table13[[#This Row],[Column2]]="KWITANSI",COUNTIF($K$4:K681,"KWITANSI")," ")</f>
        <v xml:space="preserve"> </v>
      </c>
      <c r="M681" s="85" t="str">
        <f>IF(Table13[[#This Row],[Column3]]=" "," ",Table13[[#This Row],[CODE]])</f>
        <v xml:space="preserve"> </v>
      </c>
      <c r="N681" s="368"/>
      <c r="P681" s="81" t="str">
        <f t="shared" si="10"/>
        <v/>
      </c>
    </row>
    <row r="682" spans="1:16" hidden="1" x14ac:dyDescent="0.15">
      <c r="A682" s="81" t="str">
        <f>COPY!O680</f>
        <v/>
      </c>
      <c r="B682" s="81" t="str">
        <f>COPY!C680</f>
        <v/>
      </c>
      <c r="C682" s="82" t="str">
        <f>COPY!D680</f>
        <v/>
      </c>
      <c r="D682" s="81" t="str">
        <f>IF(Table13[[#This Row],[JUMLAH]]&gt;1,(IF(Table13[[#This Row],[CODE]]=" ",D681&amp;"a",IF(Table13[[#This Row],[CODE]]&gt;0,Table13[[#This Row],[CODE]],0))),"")</f>
        <v/>
      </c>
      <c r="E682" s="81" t="str">
        <f>IF(COPY!G680&gt;0,COPY!G680,"")</f>
        <v/>
      </c>
      <c r="F682" s="88" t="str">
        <f>IF(COPY!J680&gt;0,COPY!J680,"")</f>
        <v/>
      </c>
      <c r="G682" s="85" t="str">
        <f>IF(COPY!H680&gt;0,COPY!H680,"")</f>
        <v/>
      </c>
      <c r="H682" s="85" t="str">
        <f>IF(COPY!I680&gt;0,COPY!I680,"")</f>
        <v/>
      </c>
      <c r="I682" s="85" t="str">
        <f>IF(COPY!M680&gt;0,COPY!M680,"")</f>
        <v/>
      </c>
      <c r="J682" s="85" t="str">
        <f>IF(COPY!N680&gt;0,COPY!N680,"")</f>
        <v/>
      </c>
      <c r="K682" s="86" t="str">
        <f>IF(N682=0,(IF(LEFT(Table13[[#This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Row],[URAIAN]],$U$194:$V$210,2,FALSE),""),""),0))))),N682)</f>
        <v/>
      </c>
      <c r="L682" s="85" t="str">
        <f>IF(Table13[[#This Row],[Column2]]="KWITANSI",COUNTIF($K$4:K682,"KWITANSI")," ")</f>
        <v xml:space="preserve"> </v>
      </c>
      <c r="M682" s="85" t="str">
        <f>IF(Table13[[#This Row],[Column3]]=" "," ",Table13[[#This Row],[CODE]])</f>
        <v xml:space="preserve"> </v>
      </c>
      <c r="N682" s="368"/>
      <c r="P682" s="81" t="str">
        <f t="shared" si="10"/>
        <v/>
      </c>
    </row>
    <row r="683" spans="1:16" hidden="1" x14ac:dyDescent="0.15">
      <c r="A683" s="81" t="str">
        <f>COPY!O681</f>
        <v/>
      </c>
      <c r="B683" s="81" t="str">
        <f>COPY!C681</f>
        <v/>
      </c>
      <c r="C683" s="82" t="str">
        <f>COPY!D681</f>
        <v/>
      </c>
      <c r="D683" s="81" t="str">
        <f>IF(Table13[[#This Row],[JUMLAH]]&gt;1,(IF(Table13[[#This Row],[CODE]]=" ",D682&amp;"a",IF(Table13[[#This Row],[CODE]]&gt;0,Table13[[#This Row],[CODE]],0))),"")</f>
        <v/>
      </c>
      <c r="E683" s="81" t="str">
        <f>IF(COPY!G681&gt;0,COPY!G681,"")</f>
        <v/>
      </c>
      <c r="F683" s="88" t="str">
        <f>IF(COPY!J681&gt;0,COPY!J681,"")</f>
        <v/>
      </c>
      <c r="G683" s="85" t="str">
        <f>IF(COPY!H681&gt;0,COPY!H681,"")</f>
        <v/>
      </c>
      <c r="H683" s="85" t="str">
        <f>IF(COPY!I681&gt;0,COPY!I681,"")</f>
        <v/>
      </c>
      <c r="I683" s="85" t="str">
        <f>IF(COPY!M681&gt;0,COPY!M681,"")</f>
        <v/>
      </c>
      <c r="J683" s="85" t="str">
        <f>IF(COPY!N681&gt;0,COPY!N681,"")</f>
        <v/>
      </c>
      <c r="K683" s="86" t="str">
        <f>IF(N683=0,(IF(LEFT(Table13[[#This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Row],[URAIAN]],$U$194:$V$210,2,FALSE),""),""),0))))),N683)</f>
        <v/>
      </c>
      <c r="L683" s="85" t="str">
        <f>IF(Table13[[#This Row],[Column2]]="KWITANSI",COUNTIF($K$4:K683,"KWITANSI")," ")</f>
        <v xml:space="preserve"> </v>
      </c>
      <c r="M683" s="85" t="str">
        <f>IF(Table13[[#This Row],[Column3]]=" "," ",Table13[[#This Row],[CODE]])</f>
        <v xml:space="preserve"> </v>
      </c>
      <c r="N683" s="368"/>
      <c r="P683" s="81" t="str">
        <f t="shared" si="10"/>
        <v/>
      </c>
    </row>
    <row r="684" spans="1:16" hidden="1" x14ac:dyDescent="0.15">
      <c r="A684" s="81" t="str">
        <f>COPY!O682</f>
        <v/>
      </c>
      <c r="B684" s="81" t="str">
        <f>COPY!C682</f>
        <v/>
      </c>
      <c r="C684" s="82" t="str">
        <f>COPY!D682</f>
        <v/>
      </c>
      <c r="D684" s="81" t="str">
        <f>IF(Table13[[#This Row],[JUMLAH]]&gt;1,(IF(Table13[[#This Row],[CODE]]=" ",D683&amp;"a",IF(Table13[[#This Row],[CODE]]&gt;0,Table13[[#This Row],[CODE]],0))),"")</f>
        <v/>
      </c>
      <c r="E684" s="81" t="str">
        <f>IF(COPY!G682&gt;0,COPY!G682,"")</f>
        <v/>
      </c>
      <c r="F684" s="88" t="str">
        <f>IF(COPY!J682&gt;0,COPY!J682,"")</f>
        <v/>
      </c>
      <c r="G684" s="85" t="str">
        <f>IF(COPY!H682&gt;0,COPY!H682,"")</f>
        <v/>
      </c>
      <c r="H684" s="85" t="str">
        <f>IF(COPY!I682&gt;0,COPY!I682,"")</f>
        <v/>
      </c>
      <c r="I684" s="85" t="str">
        <f>IF(COPY!M682&gt;0,COPY!M682,"")</f>
        <v/>
      </c>
      <c r="J684" s="85" t="str">
        <f>IF(COPY!N682&gt;0,COPY!N682,"")</f>
        <v/>
      </c>
      <c r="K684" s="86" t="str">
        <f>IF(N684=0,(IF(LEFT(Table13[[#This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Row],[URAIAN]],$U$194:$V$210,2,FALSE),""),""),0))))),N684)</f>
        <v/>
      </c>
      <c r="L684" s="85" t="str">
        <f>IF(Table13[[#This Row],[Column2]]="KWITANSI",COUNTIF($K$4:K684,"KWITANSI")," ")</f>
        <v xml:space="preserve"> </v>
      </c>
      <c r="M684" s="85" t="str">
        <f>IF(Table13[[#This Row],[Column3]]=" "," ",Table13[[#This Row],[CODE]])</f>
        <v xml:space="preserve"> </v>
      </c>
      <c r="N684" s="368"/>
      <c r="P684" s="81" t="str">
        <f t="shared" si="10"/>
        <v/>
      </c>
    </row>
    <row r="685" spans="1:16" hidden="1" x14ac:dyDescent="0.15">
      <c r="A685" s="81" t="str">
        <f>COPY!O683</f>
        <v/>
      </c>
      <c r="B685" s="81" t="str">
        <f>COPY!C683</f>
        <v/>
      </c>
      <c r="C685" s="82" t="str">
        <f>COPY!D683</f>
        <v/>
      </c>
      <c r="D685" s="81" t="str">
        <f>IF(Table13[[#This Row],[JUMLAH]]&gt;1,(IF(Table13[[#This Row],[CODE]]=" ",D684&amp;"a",IF(Table13[[#This Row],[CODE]]&gt;0,Table13[[#This Row],[CODE]],0))),"")</f>
        <v/>
      </c>
      <c r="E685" s="81" t="str">
        <f>IF(COPY!G683&gt;0,COPY!G683,"")</f>
        <v/>
      </c>
      <c r="F685" s="88" t="str">
        <f>IF(COPY!J683&gt;0,COPY!J683,"")</f>
        <v/>
      </c>
      <c r="G685" s="85" t="str">
        <f>IF(COPY!H683&gt;0,COPY!H683,"")</f>
        <v/>
      </c>
      <c r="H685" s="85" t="str">
        <f>IF(COPY!I683&gt;0,COPY!I683,"")</f>
        <v/>
      </c>
      <c r="I685" s="85" t="str">
        <f>IF(COPY!M683&gt;0,COPY!M683,"")</f>
        <v/>
      </c>
      <c r="J685" s="85" t="str">
        <f>IF(COPY!N683&gt;0,COPY!N683,"")</f>
        <v/>
      </c>
      <c r="K685" s="86" t="str">
        <f>IF(N685=0,(IF(LEFT(Table13[[#This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Row],[URAIAN]],$U$194:$V$210,2,FALSE),""),""),0))))),N685)</f>
        <v/>
      </c>
      <c r="L685" s="85" t="str">
        <f>IF(Table13[[#This Row],[Column2]]="KWITANSI",COUNTIF($K$4:K685,"KWITANSI")," ")</f>
        <v xml:space="preserve"> </v>
      </c>
      <c r="M685" s="85" t="str">
        <f>IF(Table13[[#This Row],[Column3]]=" "," ",Table13[[#This Row],[CODE]])</f>
        <v xml:space="preserve"> </v>
      </c>
      <c r="N685" s="368"/>
      <c r="P685" s="81" t="str">
        <f t="shared" si="10"/>
        <v/>
      </c>
    </row>
    <row r="686" spans="1:16" hidden="1" x14ac:dyDescent="0.15">
      <c r="A686" s="81" t="str">
        <f>COPY!O684</f>
        <v/>
      </c>
      <c r="B686" s="81" t="str">
        <f>COPY!C684</f>
        <v/>
      </c>
      <c r="C686" s="82" t="str">
        <f>COPY!D684</f>
        <v/>
      </c>
      <c r="D686" s="81" t="str">
        <f>IF(Table13[[#This Row],[JUMLAH]]&gt;1,(IF(Table13[[#This Row],[CODE]]=" ",D685&amp;"a",IF(Table13[[#This Row],[CODE]]&gt;0,Table13[[#This Row],[CODE]],0))),"")</f>
        <v/>
      </c>
      <c r="E686" s="81" t="str">
        <f>IF(COPY!G684&gt;0,COPY!G684,"")</f>
        <v/>
      </c>
      <c r="F686" s="88" t="str">
        <f>IF(COPY!J684&gt;0,COPY!J684,"")</f>
        <v/>
      </c>
      <c r="G686" s="85" t="str">
        <f>IF(COPY!H684&gt;0,COPY!H684,"")</f>
        <v/>
      </c>
      <c r="H686" s="85" t="str">
        <f>IF(COPY!I684&gt;0,COPY!I684,"")</f>
        <v/>
      </c>
      <c r="I686" s="85" t="str">
        <f>IF(COPY!M684&gt;0,COPY!M684,"")</f>
        <v/>
      </c>
      <c r="J686" s="85" t="str">
        <f>IF(COPY!N684&gt;0,COPY!N684,"")</f>
        <v/>
      </c>
      <c r="K686" s="86" t="str">
        <f>IF(N686=0,(IF(LEFT(Table13[[#This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Row],[URAIAN]],$U$194:$V$210,2,FALSE),""),""),0))))),N686)</f>
        <v/>
      </c>
      <c r="L686" s="85" t="str">
        <f>IF(Table13[[#This Row],[Column2]]="KWITANSI",COUNTIF($K$4:K686,"KWITANSI")," ")</f>
        <v xml:space="preserve"> </v>
      </c>
      <c r="M686" s="85" t="str">
        <f>IF(Table13[[#This Row],[Column3]]=" "," ",Table13[[#This Row],[CODE]])</f>
        <v xml:space="preserve"> </v>
      </c>
      <c r="N686" s="368"/>
      <c r="P686" s="81" t="str">
        <f t="shared" si="10"/>
        <v/>
      </c>
    </row>
    <row r="687" spans="1:16" hidden="1" x14ac:dyDescent="0.15">
      <c r="A687" s="81" t="str">
        <f>COPY!O685</f>
        <v/>
      </c>
      <c r="B687" s="81" t="str">
        <f>COPY!C685</f>
        <v/>
      </c>
      <c r="C687" s="82" t="str">
        <f>COPY!D685</f>
        <v/>
      </c>
      <c r="D687" s="81" t="str">
        <f>IF(Table13[[#This Row],[JUMLAH]]&gt;1,(IF(Table13[[#This Row],[CODE]]=" ",D686&amp;"a",IF(Table13[[#This Row],[CODE]]&gt;0,Table13[[#This Row],[CODE]],0))),"")</f>
        <v/>
      </c>
      <c r="E687" s="81" t="str">
        <f>IF(COPY!G685&gt;0,COPY!G685,"")</f>
        <v/>
      </c>
      <c r="F687" s="88" t="str">
        <f>IF(COPY!J685&gt;0,COPY!J685,"")</f>
        <v/>
      </c>
      <c r="G687" s="85" t="str">
        <f>IF(COPY!H685&gt;0,COPY!H685,"")</f>
        <v/>
      </c>
      <c r="H687" s="85" t="str">
        <f>IF(COPY!I685&gt;0,COPY!I685,"")</f>
        <v/>
      </c>
      <c r="I687" s="85" t="str">
        <f>IF(COPY!M685&gt;0,COPY!M685,"")</f>
        <v/>
      </c>
      <c r="J687" s="85" t="str">
        <f>IF(COPY!N685&gt;0,COPY!N685,"")</f>
        <v/>
      </c>
      <c r="K687" s="86" t="str">
        <f>IF(N687=0,(IF(LEFT(Table13[[#This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Row],[URAIAN]],$U$194:$V$210,2,FALSE),""),""),0))))),N687)</f>
        <v/>
      </c>
      <c r="L687" s="85" t="str">
        <f>IF(Table13[[#This Row],[Column2]]="KWITANSI",COUNTIF($K$4:K687,"KWITANSI")," ")</f>
        <v xml:space="preserve"> </v>
      </c>
      <c r="M687" s="85" t="str">
        <f>IF(Table13[[#This Row],[Column3]]=" "," ",Table13[[#This Row],[CODE]])</f>
        <v xml:space="preserve"> </v>
      </c>
      <c r="N687" s="368"/>
      <c r="P687" s="81" t="str">
        <f t="shared" si="10"/>
        <v/>
      </c>
    </row>
    <row r="688" spans="1:16" hidden="1" x14ac:dyDescent="0.15">
      <c r="A688" s="81" t="str">
        <f>COPY!O686</f>
        <v/>
      </c>
      <c r="B688" s="81" t="str">
        <f>COPY!C686</f>
        <v/>
      </c>
      <c r="C688" s="82" t="str">
        <f>COPY!D686</f>
        <v/>
      </c>
      <c r="D688" s="81" t="str">
        <f>IF(Table13[[#This Row],[JUMLAH]]&gt;1,(IF(Table13[[#This Row],[CODE]]=" ",D687&amp;"a",IF(Table13[[#This Row],[CODE]]&gt;0,Table13[[#This Row],[CODE]],0))),"")</f>
        <v/>
      </c>
      <c r="E688" s="81" t="str">
        <f>IF(COPY!G686&gt;0,COPY!G686,"")</f>
        <v/>
      </c>
      <c r="F688" s="88" t="str">
        <f>IF(COPY!J686&gt;0,COPY!J686,"")</f>
        <v/>
      </c>
      <c r="G688" s="85" t="str">
        <f>IF(COPY!H686&gt;0,COPY!H686,"")</f>
        <v/>
      </c>
      <c r="H688" s="85" t="str">
        <f>IF(COPY!I686&gt;0,COPY!I686,"")</f>
        <v/>
      </c>
      <c r="I688" s="85" t="str">
        <f>IF(COPY!M686&gt;0,COPY!M686,"")</f>
        <v/>
      </c>
      <c r="J688" s="85" t="str">
        <f>IF(COPY!N686&gt;0,COPY!N686,"")</f>
        <v/>
      </c>
      <c r="K688" s="86" t="str">
        <f>IF(N688=0,(IF(LEFT(Table13[[#This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Row],[URAIAN]],$U$194:$V$210,2,FALSE),""),""),0))))),N688)</f>
        <v/>
      </c>
      <c r="L688" s="85" t="str">
        <f>IF(Table13[[#This Row],[Column2]]="KWITANSI",COUNTIF($K$4:K688,"KWITANSI")," ")</f>
        <v xml:space="preserve"> </v>
      </c>
      <c r="M688" s="85" t="str">
        <f>IF(Table13[[#This Row],[Column3]]=" "," ",Table13[[#This Row],[CODE]])</f>
        <v xml:space="preserve"> </v>
      </c>
      <c r="N688" s="368"/>
      <c r="P688" s="81" t="str">
        <f t="shared" si="10"/>
        <v/>
      </c>
    </row>
    <row r="689" spans="1:16" hidden="1" x14ac:dyDescent="0.15">
      <c r="A689" s="81" t="str">
        <f>COPY!O687</f>
        <v/>
      </c>
      <c r="B689" s="81" t="str">
        <f>COPY!C687</f>
        <v/>
      </c>
      <c r="C689" s="82" t="str">
        <f>COPY!D687</f>
        <v/>
      </c>
      <c r="D689" s="81" t="str">
        <f>IF(Table13[[#This Row],[JUMLAH]]&gt;1,(IF(Table13[[#This Row],[CODE]]=" ",D688&amp;"a",IF(Table13[[#This Row],[CODE]]&gt;0,Table13[[#This Row],[CODE]],0))),"")</f>
        <v/>
      </c>
      <c r="E689" s="81" t="str">
        <f>IF(COPY!G687&gt;0,COPY!G687,"")</f>
        <v/>
      </c>
      <c r="F689" s="88" t="str">
        <f>IF(COPY!J687&gt;0,COPY!J687,"")</f>
        <v/>
      </c>
      <c r="G689" s="85" t="str">
        <f>IF(COPY!H687&gt;0,COPY!H687,"")</f>
        <v/>
      </c>
      <c r="H689" s="85" t="str">
        <f>IF(COPY!I687&gt;0,COPY!I687,"")</f>
        <v/>
      </c>
      <c r="I689" s="85" t="str">
        <f>IF(COPY!M687&gt;0,COPY!M687,"")</f>
        <v/>
      </c>
      <c r="J689" s="85" t="str">
        <f>IF(COPY!N687&gt;0,COPY!N687,"")</f>
        <v/>
      </c>
      <c r="K689" s="86" t="str">
        <f>IF(N689=0,(IF(LEFT(Table13[[#This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Row],[URAIAN]],$U$194:$V$210,2,FALSE),""),""),0))))),N689)</f>
        <v/>
      </c>
      <c r="L689" s="85" t="str">
        <f>IF(Table13[[#This Row],[Column2]]="KWITANSI",COUNTIF($K$4:K689,"KWITANSI")," ")</f>
        <v xml:space="preserve"> </v>
      </c>
      <c r="M689" s="85" t="str">
        <f>IF(Table13[[#This Row],[Column3]]=" "," ",Table13[[#This Row],[CODE]])</f>
        <v xml:space="preserve"> </v>
      </c>
      <c r="N689" s="368"/>
      <c r="P689" s="81" t="str">
        <f t="shared" si="10"/>
        <v/>
      </c>
    </row>
    <row r="690" spans="1:16" hidden="1" x14ac:dyDescent="0.15">
      <c r="A690" s="81" t="str">
        <f>COPY!O688</f>
        <v/>
      </c>
      <c r="B690" s="81" t="str">
        <f>COPY!C688</f>
        <v/>
      </c>
      <c r="C690" s="82" t="str">
        <f>COPY!D688</f>
        <v/>
      </c>
      <c r="D690" s="81" t="str">
        <f>IF(Table13[[#This Row],[JUMLAH]]&gt;1,(IF(Table13[[#This Row],[CODE]]=" ",D689&amp;"a",IF(Table13[[#This Row],[CODE]]&gt;0,Table13[[#This Row],[CODE]],0))),"")</f>
        <v/>
      </c>
      <c r="E690" s="81" t="str">
        <f>IF(COPY!G688&gt;0,COPY!G688,"")</f>
        <v/>
      </c>
      <c r="F690" s="88" t="str">
        <f>IF(COPY!J688&gt;0,COPY!J688,"")</f>
        <v/>
      </c>
      <c r="G690" s="85" t="str">
        <f>IF(COPY!H688&gt;0,COPY!H688,"")</f>
        <v/>
      </c>
      <c r="H690" s="85" t="str">
        <f>IF(COPY!I688&gt;0,COPY!I688,"")</f>
        <v/>
      </c>
      <c r="I690" s="85" t="str">
        <f>IF(COPY!M688&gt;0,COPY!M688,"")</f>
        <v/>
      </c>
      <c r="J690" s="85" t="str">
        <f>IF(COPY!N688&gt;0,COPY!N688,"")</f>
        <v/>
      </c>
      <c r="K690" s="86" t="str">
        <f>IF(N690=0,(IF(LEFT(Table13[[#This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Row],[URAIAN]],$U$194:$V$210,2,FALSE),""),""),0))))),N690)</f>
        <v/>
      </c>
      <c r="L690" s="85" t="str">
        <f>IF(Table13[[#This Row],[Column2]]="KWITANSI",COUNTIF($K$4:K690,"KWITANSI")," ")</f>
        <v xml:space="preserve"> </v>
      </c>
      <c r="M690" s="85" t="str">
        <f>IF(Table13[[#This Row],[Column3]]=" "," ",Table13[[#This Row],[CODE]])</f>
        <v xml:space="preserve"> </v>
      </c>
      <c r="N690" s="368"/>
      <c r="P690" s="81" t="str">
        <f t="shared" si="10"/>
        <v/>
      </c>
    </row>
    <row r="691" spans="1:16" hidden="1" x14ac:dyDescent="0.15">
      <c r="A691" s="81" t="str">
        <f>COPY!O689</f>
        <v/>
      </c>
      <c r="B691" s="81" t="str">
        <f>COPY!C689</f>
        <v/>
      </c>
      <c r="C691" s="82" t="str">
        <f>COPY!D689</f>
        <v/>
      </c>
      <c r="D691" s="81" t="str">
        <f>IF(Table13[[#This Row],[JUMLAH]]&gt;1,(IF(Table13[[#This Row],[CODE]]=" ",D690&amp;"a",IF(Table13[[#This Row],[CODE]]&gt;0,Table13[[#This Row],[CODE]],0))),"")</f>
        <v/>
      </c>
      <c r="E691" s="81" t="str">
        <f>IF(COPY!G689&gt;0,COPY!G689,"")</f>
        <v/>
      </c>
      <c r="F691" s="88" t="str">
        <f>IF(COPY!J689&gt;0,COPY!J689,"")</f>
        <v/>
      </c>
      <c r="G691" s="85" t="str">
        <f>IF(COPY!H689&gt;0,COPY!H689,"")</f>
        <v/>
      </c>
      <c r="H691" s="85" t="str">
        <f>IF(COPY!I689&gt;0,COPY!I689,"")</f>
        <v/>
      </c>
      <c r="I691" s="85" t="str">
        <f>IF(COPY!M689&gt;0,COPY!M689,"")</f>
        <v/>
      </c>
      <c r="J691" s="85" t="str">
        <f>IF(COPY!N689&gt;0,COPY!N689,"")</f>
        <v/>
      </c>
      <c r="K691" s="86" t="str">
        <f>IF(N691=0,(IF(LEFT(Table13[[#This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Row],[URAIAN]],$U$194:$V$210,2,FALSE),""),""),0))))),N691)</f>
        <v/>
      </c>
      <c r="L691" s="85" t="str">
        <f>IF(Table13[[#This Row],[Column2]]="KWITANSI",COUNTIF($K$4:K691,"KWITANSI")," ")</f>
        <v xml:space="preserve"> </v>
      </c>
      <c r="M691" s="85" t="str">
        <f>IF(Table13[[#This Row],[Column3]]=" "," ",Table13[[#This Row],[CODE]])</f>
        <v xml:space="preserve"> </v>
      </c>
      <c r="N691" s="368"/>
      <c r="P691" s="81" t="str">
        <f t="shared" si="10"/>
        <v/>
      </c>
    </row>
    <row r="692" spans="1:16" hidden="1" x14ac:dyDescent="0.15">
      <c r="A692" s="81" t="str">
        <f>COPY!O690</f>
        <v/>
      </c>
      <c r="B692" s="81" t="str">
        <f>COPY!C690</f>
        <v/>
      </c>
      <c r="C692" s="82" t="str">
        <f>COPY!D690</f>
        <v/>
      </c>
      <c r="D692" s="81" t="str">
        <f>IF(Table13[[#This Row],[JUMLAH]]&gt;1,(IF(Table13[[#This Row],[CODE]]=" ",D691&amp;"a",IF(Table13[[#This Row],[CODE]]&gt;0,Table13[[#This Row],[CODE]],0))),"")</f>
        <v/>
      </c>
      <c r="E692" s="81" t="str">
        <f>IF(COPY!G690&gt;0,COPY!G690,"")</f>
        <v/>
      </c>
      <c r="F692" s="88" t="str">
        <f>IF(COPY!J690&gt;0,COPY!J690,"")</f>
        <v/>
      </c>
      <c r="G692" s="85" t="str">
        <f>IF(COPY!H690&gt;0,COPY!H690,"")</f>
        <v/>
      </c>
      <c r="H692" s="85" t="str">
        <f>IF(COPY!I690&gt;0,COPY!I690,"")</f>
        <v/>
      </c>
      <c r="I692" s="85" t="str">
        <f>IF(COPY!M690&gt;0,COPY!M690,"")</f>
        <v/>
      </c>
      <c r="J692" s="85" t="str">
        <f>IF(COPY!N690&gt;0,COPY!N690,"")</f>
        <v/>
      </c>
      <c r="K692" s="86" t="str">
        <f>IF(N692=0,(IF(LEFT(Table13[[#This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Row],[URAIAN]],$U$194:$V$210,2,FALSE),""),""),0))))),N692)</f>
        <v/>
      </c>
      <c r="L692" s="85" t="str">
        <f>IF(Table13[[#This Row],[Column2]]="KWITANSI",COUNTIF($K$4:K692,"KWITANSI")," ")</f>
        <v xml:space="preserve"> </v>
      </c>
      <c r="M692" s="85" t="str">
        <f>IF(Table13[[#This Row],[Column3]]=" "," ",Table13[[#This Row],[CODE]])</f>
        <v xml:space="preserve"> </v>
      </c>
      <c r="N692" s="368"/>
      <c r="P692" s="81" t="str">
        <f t="shared" si="10"/>
        <v/>
      </c>
    </row>
    <row r="693" spans="1:16" hidden="1" x14ac:dyDescent="0.15">
      <c r="A693" s="81" t="str">
        <f>COPY!O691</f>
        <v/>
      </c>
      <c r="B693" s="81" t="str">
        <f>COPY!C691</f>
        <v/>
      </c>
      <c r="C693" s="82" t="str">
        <f>COPY!D691</f>
        <v/>
      </c>
      <c r="D693" s="81" t="str">
        <f>IF(Table13[[#This Row],[JUMLAH]]&gt;1,(IF(Table13[[#This Row],[CODE]]=" ",D692&amp;"a",IF(Table13[[#This Row],[CODE]]&gt;0,Table13[[#This Row],[CODE]],0))),"")</f>
        <v/>
      </c>
      <c r="E693" s="81" t="str">
        <f>IF(COPY!G691&gt;0,COPY!G691,"")</f>
        <v/>
      </c>
      <c r="F693" s="88" t="str">
        <f>IF(COPY!J691&gt;0,COPY!J691,"")</f>
        <v/>
      </c>
      <c r="G693" s="85" t="str">
        <f>IF(COPY!H691&gt;0,COPY!H691,"")</f>
        <v/>
      </c>
      <c r="H693" s="85" t="str">
        <f>IF(COPY!I691&gt;0,COPY!I691,"")</f>
        <v/>
      </c>
      <c r="I693" s="85" t="str">
        <f>IF(COPY!M691&gt;0,COPY!M691,"")</f>
        <v/>
      </c>
      <c r="J693" s="85" t="str">
        <f>IF(COPY!N691&gt;0,COPY!N691,"")</f>
        <v/>
      </c>
      <c r="K693" s="86" t="str">
        <f>IF(N693=0,(IF(LEFT(Table13[[#This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Row],[URAIAN]],$U$194:$V$210,2,FALSE),""),""),0))))),N693)</f>
        <v/>
      </c>
      <c r="L693" s="85" t="str">
        <f>IF(Table13[[#This Row],[Column2]]="KWITANSI",COUNTIF($K$4:K693,"KWITANSI")," ")</f>
        <v xml:space="preserve"> </v>
      </c>
      <c r="M693" s="85" t="str">
        <f>IF(Table13[[#This Row],[Column3]]=" "," ",Table13[[#This Row],[CODE]])</f>
        <v xml:space="preserve"> </v>
      </c>
      <c r="N693" s="368"/>
      <c r="P693" s="81" t="str">
        <f t="shared" si="10"/>
        <v/>
      </c>
    </row>
    <row r="694" spans="1:16" hidden="1" x14ac:dyDescent="0.15">
      <c r="A694" s="81" t="str">
        <f>COPY!O692</f>
        <v/>
      </c>
      <c r="B694" s="81" t="str">
        <f>COPY!C692</f>
        <v/>
      </c>
      <c r="C694" s="82" t="str">
        <f>COPY!D692</f>
        <v/>
      </c>
      <c r="D694" s="81" t="str">
        <f>IF(Table13[[#This Row],[JUMLAH]]&gt;1,(IF(Table13[[#This Row],[CODE]]=" ",D693&amp;"a",IF(Table13[[#This Row],[CODE]]&gt;0,Table13[[#This Row],[CODE]],0))),"")</f>
        <v/>
      </c>
      <c r="E694" s="81" t="str">
        <f>IF(COPY!G692&gt;0,COPY!G692,"")</f>
        <v/>
      </c>
      <c r="F694" s="88" t="str">
        <f>IF(COPY!J692&gt;0,COPY!J692,"")</f>
        <v/>
      </c>
      <c r="G694" s="85" t="str">
        <f>IF(COPY!H692&gt;0,COPY!H692,"")</f>
        <v/>
      </c>
      <c r="H694" s="85" t="str">
        <f>IF(COPY!I692&gt;0,COPY!I692,"")</f>
        <v/>
      </c>
      <c r="I694" s="85" t="str">
        <f>IF(COPY!M692&gt;0,COPY!M692,"")</f>
        <v/>
      </c>
      <c r="J694" s="85" t="str">
        <f>IF(COPY!N692&gt;0,COPY!N692,"")</f>
        <v/>
      </c>
      <c r="K694" s="86" t="str">
        <f>IF(N694=0,(IF(LEFT(Table13[[#This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Row],[URAIAN]],$U$194:$V$210,2,FALSE),""),""),0))))),N694)</f>
        <v/>
      </c>
      <c r="L694" s="85" t="str">
        <f>IF(Table13[[#This Row],[Column2]]="KWITANSI",COUNTIF($K$4:K694,"KWITANSI")," ")</f>
        <v xml:space="preserve"> </v>
      </c>
      <c r="M694" s="85" t="str">
        <f>IF(Table13[[#This Row],[Column3]]=" "," ",Table13[[#This Row],[CODE]])</f>
        <v xml:space="preserve"> </v>
      </c>
      <c r="N694" s="368"/>
      <c r="P694" s="81" t="str">
        <f t="shared" si="10"/>
        <v/>
      </c>
    </row>
    <row r="695" spans="1:16" hidden="1" x14ac:dyDescent="0.15">
      <c r="A695" s="81" t="str">
        <f>COPY!O693</f>
        <v/>
      </c>
      <c r="B695" s="81" t="str">
        <f>COPY!C693</f>
        <v/>
      </c>
      <c r="C695" s="82" t="str">
        <f>COPY!D693</f>
        <v/>
      </c>
      <c r="D695" s="81" t="str">
        <f>IF(Table13[[#This Row],[JUMLAH]]&gt;1,(IF(Table13[[#This Row],[CODE]]=" ",D694&amp;"a",IF(Table13[[#This Row],[CODE]]&gt;0,Table13[[#This Row],[CODE]],0))),"")</f>
        <v/>
      </c>
      <c r="E695" s="81" t="str">
        <f>IF(COPY!G693&gt;0,COPY!G693,"")</f>
        <v/>
      </c>
      <c r="F695" s="88" t="str">
        <f>IF(COPY!J693&gt;0,COPY!J693,"")</f>
        <v/>
      </c>
      <c r="G695" s="85" t="str">
        <f>IF(COPY!H693&gt;0,COPY!H693,"")</f>
        <v/>
      </c>
      <c r="H695" s="85" t="str">
        <f>IF(COPY!I693&gt;0,COPY!I693,"")</f>
        <v/>
      </c>
      <c r="I695" s="85" t="str">
        <f>IF(COPY!M693&gt;0,COPY!M693,"")</f>
        <v/>
      </c>
      <c r="J695" s="85" t="str">
        <f>IF(COPY!N693&gt;0,COPY!N693,"")</f>
        <v/>
      </c>
      <c r="K695" s="86" t="str">
        <f>IF(N695=0,(IF(LEFT(Table13[[#This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Row],[URAIAN]],$U$194:$V$210,2,FALSE),""),""),0))))),N695)</f>
        <v/>
      </c>
      <c r="L695" s="85" t="str">
        <f>IF(Table13[[#This Row],[Column2]]="KWITANSI",COUNTIF($K$4:K695,"KWITANSI")," ")</f>
        <v xml:space="preserve"> </v>
      </c>
      <c r="M695" s="85" t="str">
        <f>IF(Table13[[#This Row],[Column3]]=" "," ",Table13[[#This Row],[CODE]])</f>
        <v xml:space="preserve"> </v>
      </c>
      <c r="N695" s="368"/>
      <c r="P695" s="81" t="str">
        <f t="shared" si="10"/>
        <v/>
      </c>
    </row>
    <row r="696" spans="1:16" hidden="1" x14ac:dyDescent="0.15">
      <c r="A696" s="81" t="str">
        <f>COPY!O694</f>
        <v/>
      </c>
      <c r="B696" s="81" t="str">
        <f>COPY!C694</f>
        <v/>
      </c>
      <c r="C696" s="82" t="str">
        <f>COPY!D694</f>
        <v/>
      </c>
      <c r="D696" s="81" t="str">
        <f>IF(Table13[[#This Row],[JUMLAH]]&gt;1,(IF(Table13[[#This Row],[CODE]]=" ",D695&amp;"a",IF(Table13[[#This Row],[CODE]]&gt;0,Table13[[#This Row],[CODE]],0))),"")</f>
        <v/>
      </c>
      <c r="E696" s="81" t="str">
        <f>IF(COPY!G694&gt;0,COPY!G694,"")</f>
        <v/>
      </c>
      <c r="F696" s="88" t="str">
        <f>IF(COPY!J694&gt;0,COPY!J694,"")</f>
        <v/>
      </c>
      <c r="G696" s="85" t="str">
        <f>IF(COPY!H694&gt;0,COPY!H694,"")</f>
        <v/>
      </c>
      <c r="H696" s="85" t="str">
        <f>IF(COPY!I694&gt;0,COPY!I694,"")</f>
        <v/>
      </c>
      <c r="I696" s="85" t="str">
        <f>IF(COPY!M694&gt;0,COPY!M694,"")</f>
        <v/>
      </c>
      <c r="J696" s="85" t="str">
        <f>IF(COPY!N694&gt;0,COPY!N694,"")</f>
        <v/>
      </c>
      <c r="K696" s="86" t="str">
        <f>IF(N696=0,(IF(LEFT(Table13[[#This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Row],[URAIAN]],$U$194:$V$210,2,FALSE),""),""),0))))),N696)</f>
        <v/>
      </c>
      <c r="L696" s="85" t="str">
        <f>IF(Table13[[#This Row],[Column2]]="KWITANSI",COUNTIF($K$4:K696,"KWITANSI")," ")</f>
        <v xml:space="preserve"> </v>
      </c>
      <c r="M696" s="85" t="str">
        <f>IF(Table13[[#This Row],[Column3]]=" "," ",Table13[[#This Row],[CODE]])</f>
        <v xml:space="preserve"> </v>
      </c>
      <c r="N696" s="368"/>
      <c r="P696" s="81" t="str">
        <f t="shared" si="10"/>
        <v/>
      </c>
    </row>
    <row r="697" spans="1:16" hidden="1" x14ac:dyDescent="0.15">
      <c r="A697" s="81" t="str">
        <f>COPY!O695</f>
        <v/>
      </c>
      <c r="B697" s="81" t="str">
        <f>COPY!C695</f>
        <v/>
      </c>
      <c r="C697" s="82" t="str">
        <f>COPY!D695</f>
        <v/>
      </c>
      <c r="D697" s="81" t="str">
        <f>IF(Table13[[#This Row],[JUMLAH]]&gt;1,(IF(Table13[[#This Row],[CODE]]=" ",D696&amp;"a",IF(Table13[[#This Row],[CODE]]&gt;0,Table13[[#This Row],[CODE]],0))),"")</f>
        <v/>
      </c>
      <c r="E697" s="81" t="str">
        <f>IF(COPY!G695&gt;0,COPY!G695,"")</f>
        <v/>
      </c>
      <c r="F697" s="88" t="str">
        <f>IF(COPY!J695&gt;0,COPY!J695,"")</f>
        <v/>
      </c>
      <c r="G697" s="85" t="str">
        <f>IF(COPY!H695&gt;0,COPY!H695,"")</f>
        <v/>
      </c>
      <c r="H697" s="85" t="str">
        <f>IF(COPY!I695&gt;0,COPY!I695,"")</f>
        <v/>
      </c>
      <c r="I697" s="85" t="str">
        <f>IF(COPY!M695&gt;0,COPY!M695,"")</f>
        <v/>
      </c>
      <c r="J697" s="85" t="str">
        <f>IF(COPY!N695&gt;0,COPY!N695,"")</f>
        <v/>
      </c>
      <c r="K697" s="86" t="str">
        <f>IF(N697=0,(IF(LEFT(Table13[[#This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Row],[URAIAN]],$U$194:$V$210,2,FALSE),""),""),0))))),N697)</f>
        <v/>
      </c>
      <c r="L697" s="85" t="str">
        <f>IF(Table13[[#This Row],[Column2]]="KWITANSI",COUNTIF($K$4:K697,"KWITANSI")," ")</f>
        <v xml:space="preserve"> </v>
      </c>
      <c r="M697" s="85" t="str">
        <f>IF(Table13[[#This Row],[Column3]]=" "," ",Table13[[#This Row],[CODE]])</f>
        <v xml:space="preserve"> </v>
      </c>
      <c r="N697" s="368"/>
      <c r="P697" s="81" t="str">
        <f t="shared" si="10"/>
        <v/>
      </c>
    </row>
    <row r="698" spans="1:16" hidden="1" x14ac:dyDescent="0.15">
      <c r="A698" s="81" t="str">
        <f>COPY!O696</f>
        <v/>
      </c>
      <c r="B698" s="81" t="str">
        <f>COPY!C696</f>
        <v/>
      </c>
      <c r="C698" s="82" t="str">
        <f>COPY!D696</f>
        <v/>
      </c>
      <c r="D698" s="81" t="str">
        <f>IF(Table13[[#This Row],[JUMLAH]]&gt;1,(IF(Table13[[#This Row],[CODE]]=" ",D697&amp;"a",IF(Table13[[#This Row],[CODE]]&gt;0,Table13[[#This Row],[CODE]],0))),"")</f>
        <v/>
      </c>
      <c r="E698" s="81" t="str">
        <f>IF(COPY!G696&gt;0,COPY!G696,"")</f>
        <v/>
      </c>
      <c r="F698" s="88" t="str">
        <f>IF(COPY!J696&gt;0,COPY!J696,"")</f>
        <v/>
      </c>
      <c r="G698" s="85" t="str">
        <f>IF(COPY!H696&gt;0,COPY!H696,"")</f>
        <v/>
      </c>
      <c r="H698" s="85" t="str">
        <f>IF(COPY!I696&gt;0,COPY!I696,"")</f>
        <v/>
      </c>
      <c r="I698" s="85" t="str">
        <f>IF(COPY!M696&gt;0,COPY!M696,"")</f>
        <v/>
      </c>
      <c r="J698" s="85" t="str">
        <f>IF(COPY!N696&gt;0,COPY!N696,"")</f>
        <v/>
      </c>
      <c r="K698" s="86" t="str">
        <f>IF(N698=0,(IF(LEFT(Table13[[#This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Row],[URAIAN]],$U$194:$V$210,2,FALSE),""),""),0))))),N698)</f>
        <v/>
      </c>
      <c r="L698" s="85" t="str">
        <f>IF(Table13[[#This Row],[Column2]]="KWITANSI",COUNTIF($K$4:K698,"KWITANSI")," ")</f>
        <v xml:space="preserve"> </v>
      </c>
      <c r="M698" s="85" t="str">
        <f>IF(Table13[[#This Row],[Column3]]=" "," ",Table13[[#This Row],[CODE]])</f>
        <v xml:space="preserve"> </v>
      </c>
      <c r="N698" s="368"/>
      <c r="P698" s="81" t="str">
        <f t="shared" si="10"/>
        <v/>
      </c>
    </row>
    <row r="699" spans="1:16" hidden="1" x14ac:dyDescent="0.15">
      <c r="A699" s="81" t="str">
        <f>COPY!O697</f>
        <v/>
      </c>
      <c r="B699" s="81" t="str">
        <f>COPY!C697</f>
        <v/>
      </c>
      <c r="C699" s="82" t="str">
        <f>COPY!D697</f>
        <v/>
      </c>
      <c r="D699" s="81" t="str">
        <f>IF(Table13[[#This Row],[JUMLAH]]&gt;1,(IF(Table13[[#This Row],[CODE]]=" ",D698&amp;"a",IF(Table13[[#This Row],[CODE]]&gt;0,Table13[[#This Row],[CODE]],0))),"")</f>
        <v/>
      </c>
      <c r="E699" s="81" t="str">
        <f>IF(COPY!G697&gt;0,COPY!G697,"")</f>
        <v/>
      </c>
      <c r="F699" s="88" t="str">
        <f>IF(COPY!J697&gt;0,COPY!J697,"")</f>
        <v/>
      </c>
      <c r="G699" s="85" t="str">
        <f>IF(COPY!H697&gt;0,COPY!H697,"")</f>
        <v/>
      </c>
      <c r="H699" s="85" t="str">
        <f>IF(COPY!I697&gt;0,COPY!I697,"")</f>
        <v/>
      </c>
      <c r="I699" s="85" t="str">
        <f>IF(COPY!M697&gt;0,COPY!M697,"")</f>
        <v/>
      </c>
      <c r="J699" s="85" t="str">
        <f>IF(COPY!N697&gt;0,COPY!N697,"")</f>
        <v/>
      </c>
      <c r="K699" s="86" t="str">
        <f>IF(N699=0,(IF(LEFT(Table13[[#This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Row],[URAIAN]],$U$194:$V$210,2,FALSE),""),""),0))))),N699)</f>
        <v/>
      </c>
      <c r="L699" s="85" t="str">
        <f>IF(Table13[[#This Row],[Column2]]="KWITANSI",COUNTIF($K$4:K699,"KWITANSI")," ")</f>
        <v xml:space="preserve"> </v>
      </c>
      <c r="M699" s="85" t="str">
        <f>IF(Table13[[#This Row],[Column3]]=" "," ",Table13[[#This Row],[CODE]])</f>
        <v xml:space="preserve"> </v>
      </c>
      <c r="N699" s="368"/>
      <c r="P699" s="81" t="str">
        <f t="shared" si="10"/>
        <v/>
      </c>
    </row>
    <row r="700" spans="1:16" hidden="1" x14ac:dyDescent="0.15">
      <c r="A700" s="81" t="str">
        <f>COPY!O698</f>
        <v/>
      </c>
      <c r="B700" s="81" t="str">
        <f>COPY!C698</f>
        <v/>
      </c>
      <c r="C700" s="82" t="str">
        <f>COPY!D698</f>
        <v/>
      </c>
      <c r="D700" s="81" t="str">
        <f>IF(Table13[[#This Row],[JUMLAH]]&gt;1,(IF(Table13[[#This Row],[CODE]]=" ",D699&amp;"a",IF(Table13[[#This Row],[CODE]]&gt;0,Table13[[#This Row],[CODE]],0))),"")</f>
        <v/>
      </c>
      <c r="E700" s="81" t="str">
        <f>IF(COPY!G698&gt;0,COPY!G698,"")</f>
        <v/>
      </c>
      <c r="F700" s="88" t="str">
        <f>IF(COPY!J698&gt;0,COPY!J698,"")</f>
        <v/>
      </c>
      <c r="G700" s="85" t="str">
        <f>IF(COPY!H698&gt;0,COPY!H698,"")</f>
        <v/>
      </c>
      <c r="H700" s="85" t="str">
        <f>IF(COPY!I698&gt;0,COPY!I698,"")</f>
        <v/>
      </c>
      <c r="I700" s="85" t="str">
        <f>IF(COPY!M698&gt;0,COPY!M698,"")</f>
        <v/>
      </c>
      <c r="J700" s="85" t="str">
        <f>IF(COPY!N698&gt;0,COPY!N698,"")</f>
        <v/>
      </c>
      <c r="K700" s="86" t="str">
        <f>IF(N700=0,(IF(LEFT(Table13[[#This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Row],[URAIAN]],$U$194:$V$210,2,FALSE),""),""),0))))),N700)</f>
        <v/>
      </c>
      <c r="L700" s="85" t="str">
        <f>IF(Table13[[#This Row],[Column2]]="KWITANSI",COUNTIF($K$4:K700,"KWITANSI")," ")</f>
        <v xml:space="preserve"> </v>
      </c>
      <c r="M700" s="85" t="str">
        <f>IF(Table13[[#This Row],[Column3]]=" "," ",Table13[[#This Row],[CODE]])</f>
        <v xml:space="preserve"> </v>
      </c>
      <c r="N700" s="368"/>
      <c r="P700" s="81" t="str">
        <f t="shared" si="10"/>
        <v/>
      </c>
    </row>
    <row r="701" spans="1:16" hidden="1" x14ac:dyDescent="0.15">
      <c r="A701" s="81" t="str">
        <f>COPY!O699</f>
        <v/>
      </c>
      <c r="B701" s="81" t="str">
        <f>COPY!C699</f>
        <v/>
      </c>
      <c r="C701" s="82" t="str">
        <f>COPY!D699</f>
        <v/>
      </c>
      <c r="D701" s="81" t="str">
        <f>IF(Table13[[#This Row],[JUMLAH]]&gt;1,(IF(Table13[[#This Row],[CODE]]=" ",D700&amp;"a",IF(Table13[[#This Row],[CODE]]&gt;0,Table13[[#This Row],[CODE]],0))),"")</f>
        <v/>
      </c>
      <c r="E701" s="81" t="str">
        <f>IF(COPY!G699&gt;0,COPY!G699,"")</f>
        <v/>
      </c>
      <c r="F701" s="88" t="str">
        <f>IF(COPY!J699&gt;0,COPY!J699,"")</f>
        <v/>
      </c>
      <c r="G701" s="85" t="str">
        <f>IF(COPY!H699&gt;0,COPY!H699,"")</f>
        <v/>
      </c>
      <c r="H701" s="85" t="str">
        <f>IF(COPY!I699&gt;0,COPY!I699,"")</f>
        <v/>
      </c>
      <c r="I701" s="85" t="str">
        <f>IF(COPY!M699&gt;0,COPY!M699,"")</f>
        <v/>
      </c>
      <c r="J701" s="85" t="str">
        <f>IF(COPY!N699&gt;0,COPY!N699,"")</f>
        <v/>
      </c>
      <c r="K701" s="86" t="str">
        <f>IF(N701=0,(IF(LEFT(Table13[[#This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Row],[URAIAN]],$U$194:$V$210,2,FALSE),""),""),0))))),N701)</f>
        <v/>
      </c>
      <c r="L701" s="85" t="str">
        <f>IF(Table13[[#This Row],[Column2]]="KWITANSI",COUNTIF($K$4:K701,"KWITANSI")," ")</f>
        <v xml:space="preserve"> </v>
      </c>
      <c r="M701" s="85" t="str">
        <f>IF(Table13[[#This Row],[Column3]]=" "," ",Table13[[#This Row],[CODE]])</f>
        <v xml:space="preserve"> </v>
      </c>
      <c r="N701" s="368"/>
      <c r="P701" s="81" t="str">
        <f t="shared" si="10"/>
        <v/>
      </c>
    </row>
    <row r="702" spans="1:16" hidden="1" x14ac:dyDescent="0.15">
      <c r="A702" s="81" t="str">
        <f>COPY!O700</f>
        <v/>
      </c>
      <c r="B702" s="81" t="str">
        <f>COPY!C700</f>
        <v/>
      </c>
      <c r="C702" s="82" t="str">
        <f>COPY!D700</f>
        <v/>
      </c>
      <c r="D702" s="81" t="str">
        <f>IF(Table13[[#This Row],[JUMLAH]]&gt;1,(IF(Table13[[#This Row],[CODE]]=" ",D701&amp;"a",IF(Table13[[#This Row],[CODE]]&gt;0,Table13[[#This Row],[CODE]],0))),"")</f>
        <v/>
      </c>
      <c r="E702" s="81" t="str">
        <f>IF(COPY!G700&gt;0,COPY!G700,"")</f>
        <v/>
      </c>
      <c r="F702" s="88" t="str">
        <f>IF(COPY!J700&gt;0,COPY!J700,"")</f>
        <v/>
      </c>
      <c r="G702" s="85" t="str">
        <f>IF(COPY!H700&gt;0,COPY!H700,"")</f>
        <v/>
      </c>
      <c r="H702" s="85" t="str">
        <f>IF(COPY!I700&gt;0,COPY!I700,"")</f>
        <v/>
      </c>
      <c r="I702" s="85" t="str">
        <f>IF(COPY!M700&gt;0,COPY!M700,"")</f>
        <v/>
      </c>
      <c r="J702" s="85" t="str">
        <f>IF(COPY!N700&gt;0,COPY!N700,"")</f>
        <v/>
      </c>
      <c r="K702" s="86" t="str">
        <f>IF(N702=0,(IF(LEFT(Table13[[#This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Row],[URAIAN]],$U$194:$V$210,2,FALSE),""),""),0))))),N702)</f>
        <v/>
      </c>
      <c r="L702" s="85" t="str">
        <f>IF(Table13[[#This Row],[Column2]]="KWITANSI",COUNTIF($K$4:K702,"KWITANSI")," ")</f>
        <v xml:space="preserve"> </v>
      </c>
      <c r="M702" s="85" t="str">
        <f>IF(Table13[[#This Row],[Column3]]=" "," ",Table13[[#This Row],[CODE]])</f>
        <v xml:space="preserve"> </v>
      </c>
      <c r="N702" s="368"/>
      <c r="P702" s="81" t="str">
        <f t="shared" si="10"/>
        <v/>
      </c>
    </row>
    <row r="703" spans="1:16" hidden="1" x14ac:dyDescent="0.15">
      <c r="A703" s="81" t="str">
        <f>COPY!O701</f>
        <v/>
      </c>
      <c r="B703" s="81" t="str">
        <f>COPY!C701</f>
        <v/>
      </c>
      <c r="C703" s="82" t="str">
        <f>COPY!D701</f>
        <v/>
      </c>
      <c r="D703" s="81" t="str">
        <f>IF(Table13[[#This Row],[JUMLAH]]&gt;1,(IF(Table13[[#This Row],[CODE]]=" ",D702&amp;"a",IF(Table13[[#This Row],[CODE]]&gt;0,Table13[[#This Row],[CODE]],0))),"")</f>
        <v/>
      </c>
      <c r="E703" s="81" t="str">
        <f>IF(COPY!G701&gt;0,COPY!G701,"")</f>
        <v/>
      </c>
      <c r="F703" s="88" t="str">
        <f>IF(COPY!J701&gt;0,COPY!J701,"")</f>
        <v/>
      </c>
      <c r="G703" s="85" t="str">
        <f>IF(COPY!H701&gt;0,COPY!H701,"")</f>
        <v/>
      </c>
      <c r="H703" s="85" t="str">
        <f>IF(COPY!I701&gt;0,COPY!I701,"")</f>
        <v/>
      </c>
      <c r="I703" s="85" t="str">
        <f>IF(COPY!M701&gt;0,COPY!M701,"")</f>
        <v/>
      </c>
      <c r="J703" s="85" t="str">
        <f>IF(COPY!N701&gt;0,COPY!N701,"")</f>
        <v/>
      </c>
      <c r="K703" s="86" t="str">
        <f>IF(N703=0,(IF(LEFT(Table13[[#This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Row],[URAIAN]],$U$194:$V$210,2,FALSE),""),""),0))))),N703)</f>
        <v/>
      </c>
      <c r="L703" s="85" t="str">
        <f>IF(Table13[[#This Row],[Column2]]="KWITANSI",COUNTIF($K$4:K703,"KWITANSI")," ")</f>
        <v xml:space="preserve"> </v>
      </c>
      <c r="M703" s="85" t="str">
        <f>IF(Table13[[#This Row],[Column3]]=" "," ",Table13[[#This Row],[CODE]])</f>
        <v xml:space="preserve"> </v>
      </c>
      <c r="N703" s="368"/>
      <c r="P703" s="81" t="str">
        <f t="shared" si="10"/>
        <v/>
      </c>
    </row>
    <row r="704" spans="1:16" hidden="1" x14ac:dyDescent="0.15">
      <c r="A704" s="81" t="str">
        <f>COPY!O702</f>
        <v/>
      </c>
      <c r="B704" s="81" t="str">
        <f>COPY!C702</f>
        <v/>
      </c>
      <c r="C704" s="82" t="str">
        <f>COPY!D702</f>
        <v/>
      </c>
      <c r="D704" s="81" t="str">
        <f>IF(Table13[[#This Row],[JUMLAH]]&gt;1,(IF(Table13[[#This Row],[CODE]]=" ",D703&amp;"a",IF(Table13[[#This Row],[CODE]]&gt;0,Table13[[#This Row],[CODE]],0))),"")</f>
        <v/>
      </c>
      <c r="E704" s="81" t="str">
        <f>IF(COPY!G702&gt;0,COPY!G702,"")</f>
        <v/>
      </c>
      <c r="F704" s="88" t="str">
        <f>IF(COPY!J702&gt;0,COPY!J702,"")</f>
        <v/>
      </c>
      <c r="G704" s="85" t="str">
        <f>IF(COPY!H702&gt;0,COPY!H702,"")</f>
        <v/>
      </c>
      <c r="H704" s="85" t="str">
        <f>IF(COPY!I702&gt;0,COPY!I702,"")</f>
        <v/>
      </c>
      <c r="I704" s="85" t="str">
        <f>IF(COPY!M702&gt;0,COPY!M702,"")</f>
        <v/>
      </c>
      <c r="J704" s="85" t="str">
        <f>IF(COPY!N702&gt;0,COPY!N702,"")</f>
        <v/>
      </c>
      <c r="K704" s="86" t="str">
        <f>IF(N704=0,(IF(LEFT(Table13[[#This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Row],[URAIAN]],$U$194:$V$210,2,FALSE),""),""),0))))),N704)</f>
        <v/>
      </c>
      <c r="L704" s="85" t="str">
        <f>IF(Table13[[#This Row],[Column2]]="KWITANSI",COUNTIF($K$4:K704,"KWITANSI")," ")</f>
        <v xml:space="preserve"> </v>
      </c>
      <c r="M704" s="85" t="str">
        <f>IF(Table13[[#This Row],[Column3]]=" "," ",Table13[[#This Row],[CODE]])</f>
        <v xml:space="preserve"> </v>
      </c>
      <c r="N704" s="368"/>
      <c r="P704" s="81" t="str">
        <f t="shared" si="10"/>
        <v/>
      </c>
    </row>
    <row r="705" spans="1:16" hidden="1" x14ac:dyDescent="0.15">
      <c r="A705" s="81" t="str">
        <f>COPY!O703</f>
        <v/>
      </c>
      <c r="B705" s="81" t="str">
        <f>COPY!C703</f>
        <v/>
      </c>
      <c r="C705" s="82" t="str">
        <f>COPY!D703</f>
        <v/>
      </c>
      <c r="D705" s="81" t="str">
        <f>IF(Table13[[#This Row],[JUMLAH]]&gt;1,(IF(Table13[[#This Row],[CODE]]=" ",D704&amp;"a",IF(Table13[[#This Row],[CODE]]&gt;0,Table13[[#This Row],[CODE]],0))),"")</f>
        <v/>
      </c>
      <c r="E705" s="81" t="str">
        <f>IF(COPY!G703&gt;0,COPY!G703,"")</f>
        <v/>
      </c>
      <c r="F705" s="88" t="str">
        <f>IF(COPY!J703&gt;0,COPY!J703,"")</f>
        <v/>
      </c>
      <c r="G705" s="85" t="str">
        <f>IF(COPY!H703&gt;0,COPY!H703,"")</f>
        <v/>
      </c>
      <c r="H705" s="85" t="str">
        <f>IF(COPY!I703&gt;0,COPY!I703,"")</f>
        <v/>
      </c>
      <c r="I705" s="85" t="str">
        <f>IF(COPY!M703&gt;0,COPY!M703,"")</f>
        <v/>
      </c>
      <c r="J705" s="85" t="str">
        <f>IF(COPY!N703&gt;0,COPY!N703,"")</f>
        <v/>
      </c>
      <c r="K705" s="86" t="str">
        <f>IF(N705=0,(IF(LEFT(Table13[[#This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Row],[URAIAN]],$U$194:$V$210,2,FALSE),""),""),0))))),N705)</f>
        <v/>
      </c>
      <c r="L705" s="85" t="str">
        <f>IF(Table13[[#This Row],[Column2]]="KWITANSI",COUNTIF($K$4:K705,"KWITANSI")," ")</f>
        <v xml:space="preserve"> </v>
      </c>
      <c r="M705" s="85" t="str">
        <f>IF(Table13[[#This Row],[Column3]]=" "," ",Table13[[#This Row],[CODE]])</f>
        <v xml:space="preserve"> </v>
      </c>
      <c r="N705" s="368"/>
      <c r="P705" s="81" t="str">
        <f t="shared" si="10"/>
        <v/>
      </c>
    </row>
    <row r="706" spans="1:16" hidden="1" x14ac:dyDescent="0.15">
      <c r="A706" s="81" t="str">
        <f>COPY!O704</f>
        <v/>
      </c>
      <c r="B706" s="81" t="str">
        <f>COPY!C704</f>
        <v/>
      </c>
      <c r="C706" s="82" t="str">
        <f>COPY!D704</f>
        <v/>
      </c>
      <c r="D706" s="81" t="str">
        <f>IF(Table13[[#This Row],[JUMLAH]]&gt;1,(IF(Table13[[#This Row],[CODE]]=" ",D705&amp;"a",IF(Table13[[#This Row],[CODE]]&gt;0,Table13[[#This Row],[CODE]],0))),"")</f>
        <v/>
      </c>
      <c r="E706" s="81" t="str">
        <f>IF(COPY!G704&gt;0,COPY!G704,"")</f>
        <v/>
      </c>
      <c r="F706" s="88" t="str">
        <f>IF(COPY!J704&gt;0,COPY!J704,"")</f>
        <v/>
      </c>
      <c r="G706" s="85" t="str">
        <f>IF(COPY!H704&gt;0,COPY!H704,"")</f>
        <v/>
      </c>
      <c r="H706" s="85" t="str">
        <f>IF(COPY!I704&gt;0,COPY!I704,"")</f>
        <v/>
      </c>
      <c r="I706" s="85" t="str">
        <f>IF(COPY!M704&gt;0,COPY!M704,"")</f>
        <v/>
      </c>
      <c r="J706" s="85" t="str">
        <f>IF(COPY!N704&gt;0,COPY!N704,"")</f>
        <v/>
      </c>
      <c r="K706" s="86" t="str">
        <f>IF(N706=0,(IF(LEFT(Table13[[#This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Row],[URAIAN]],$U$194:$V$210,2,FALSE),""),""),0))))),N706)</f>
        <v/>
      </c>
      <c r="L706" s="85" t="str">
        <f>IF(Table13[[#This Row],[Column2]]="KWITANSI",COUNTIF($K$4:K706,"KWITANSI")," ")</f>
        <v xml:space="preserve"> </v>
      </c>
      <c r="M706" s="85" t="str">
        <f>IF(Table13[[#This Row],[Column3]]=" "," ",Table13[[#This Row],[CODE]])</f>
        <v xml:space="preserve"> </v>
      </c>
      <c r="N706" s="368"/>
      <c r="P706" s="81" t="str">
        <f t="shared" ref="P706:P769" si="11">IF(-$O$4+($O$4+ROW())&lt;=$O$4,-$O$4+($O$4+ROW()),"")</f>
        <v/>
      </c>
    </row>
    <row r="707" spans="1:16" hidden="1" x14ac:dyDescent="0.15">
      <c r="A707" s="81" t="str">
        <f>COPY!O705</f>
        <v/>
      </c>
      <c r="B707" s="81" t="str">
        <f>COPY!C705</f>
        <v/>
      </c>
      <c r="C707" s="82" t="str">
        <f>COPY!D705</f>
        <v/>
      </c>
      <c r="D707" s="81" t="str">
        <f>IF(Table13[[#This Row],[JUMLAH]]&gt;1,(IF(Table13[[#This Row],[CODE]]=" ",D706&amp;"a",IF(Table13[[#This Row],[CODE]]&gt;0,Table13[[#This Row],[CODE]],0))),"")</f>
        <v/>
      </c>
      <c r="E707" s="81" t="str">
        <f>IF(COPY!G705&gt;0,COPY!G705,"")</f>
        <v/>
      </c>
      <c r="F707" s="88" t="str">
        <f>IF(COPY!J705&gt;0,COPY!J705,"")</f>
        <v/>
      </c>
      <c r="G707" s="85" t="str">
        <f>IF(COPY!H705&gt;0,COPY!H705,"")</f>
        <v/>
      </c>
      <c r="H707" s="85" t="str">
        <f>IF(COPY!I705&gt;0,COPY!I705,"")</f>
        <v/>
      </c>
      <c r="I707" s="85" t="str">
        <f>IF(COPY!M705&gt;0,COPY!M705,"")</f>
        <v/>
      </c>
      <c r="J707" s="85" t="str">
        <f>IF(COPY!N705&gt;0,COPY!N705,"")</f>
        <v/>
      </c>
      <c r="K707" s="86" t="str">
        <f>IF(N707=0,(IF(LEFT(Table13[[#This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Row],[URAIAN]],$U$194:$V$210,2,FALSE),""),""),0))))),N707)</f>
        <v/>
      </c>
      <c r="L707" s="85" t="str">
        <f>IF(Table13[[#This Row],[Column2]]="KWITANSI",COUNTIF($K$4:K707,"KWITANSI")," ")</f>
        <v xml:space="preserve"> </v>
      </c>
      <c r="M707" s="85" t="str">
        <f>IF(Table13[[#This Row],[Column3]]=" "," ",Table13[[#This Row],[CODE]])</f>
        <v xml:space="preserve"> </v>
      </c>
      <c r="N707" s="368"/>
      <c r="P707" s="81" t="str">
        <f t="shared" si="11"/>
        <v/>
      </c>
    </row>
    <row r="708" spans="1:16" hidden="1" x14ac:dyDescent="0.15">
      <c r="A708" s="81" t="str">
        <f>COPY!O706</f>
        <v/>
      </c>
      <c r="B708" s="81" t="str">
        <f>COPY!C706</f>
        <v/>
      </c>
      <c r="C708" s="82" t="str">
        <f>COPY!D706</f>
        <v/>
      </c>
      <c r="D708" s="81" t="str">
        <f>IF(Table13[[#This Row],[JUMLAH]]&gt;1,(IF(Table13[[#This Row],[CODE]]=" ",D707&amp;"a",IF(Table13[[#This Row],[CODE]]&gt;0,Table13[[#This Row],[CODE]],0))),"")</f>
        <v/>
      </c>
      <c r="E708" s="81" t="str">
        <f>IF(COPY!G706&gt;0,COPY!G706,"")</f>
        <v/>
      </c>
      <c r="F708" s="88" t="str">
        <f>IF(COPY!J706&gt;0,COPY!J706,"")</f>
        <v/>
      </c>
      <c r="G708" s="85" t="str">
        <f>IF(COPY!H706&gt;0,COPY!H706,"")</f>
        <v/>
      </c>
      <c r="H708" s="85" t="str">
        <f>IF(COPY!I706&gt;0,COPY!I706,"")</f>
        <v/>
      </c>
      <c r="I708" s="85" t="str">
        <f>IF(COPY!M706&gt;0,COPY!M706,"")</f>
        <v/>
      </c>
      <c r="J708" s="85" t="str">
        <f>IF(COPY!N706&gt;0,COPY!N706,"")</f>
        <v/>
      </c>
      <c r="K708" s="86" t="str">
        <f>IF(N708=0,(IF(LEFT(Table13[[#This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Row],[URAIAN]],$U$194:$V$210,2,FALSE),""),""),0))))),N708)</f>
        <v/>
      </c>
      <c r="L708" s="85" t="str">
        <f>IF(Table13[[#This Row],[Column2]]="KWITANSI",COUNTIF($K$4:K708,"KWITANSI")," ")</f>
        <v xml:space="preserve"> </v>
      </c>
      <c r="M708" s="85" t="str">
        <f>IF(Table13[[#This Row],[Column3]]=" "," ",Table13[[#This Row],[CODE]])</f>
        <v xml:space="preserve"> </v>
      </c>
      <c r="N708" s="368"/>
      <c r="P708" s="81" t="str">
        <f t="shared" si="11"/>
        <v/>
      </c>
    </row>
    <row r="709" spans="1:16" hidden="1" x14ac:dyDescent="0.15">
      <c r="A709" s="81" t="str">
        <f>COPY!O707</f>
        <v/>
      </c>
      <c r="B709" s="81" t="str">
        <f>COPY!C707</f>
        <v/>
      </c>
      <c r="C709" s="82" t="str">
        <f>COPY!D707</f>
        <v/>
      </c>
      <c r="D709" s="81" t="str">
        <f>IF(Table13[[#This Row],[JUMLAH]]&gt;1,(IF(Table13[[#This Row],[CODE]]=" ",D708&amp;"a",IF(Table13[[#This Row],[CODE]]&gt;0,Table13[[#This Row],[CODE]],0))),"")</f>
        <v/>
      </c>
      <c r="E709" s="81" t="str">
        <f>IF(COPY!G707&gt;0,COPY!G707,"")</f>
        <v/>
      </c>
      <c r="F709" s="88" t="str">
        <f>IF(COPY!J707&gt;0,COPY!J707,"")</f>
        <v/>
      </c>
      <c r="G709" s="85" t="str">
        <f>IF(COPY!H707&gt;0,COPY!H707,"")</f>
        <v/>
      </c>
      <c r="H709" s="85" t="str">
        <f>IF(COPY!I707&gt;0,COPY!I707,"")</f>
        <v/>
      </c>
      <c r="I709" s="85" t="str">
        <f>IF(COPY!M707&gt;0,COPY!M707,"")</f>
        <v/>
      </c>
      <c r="J709" s="85" t="str">
        <f>IF(COPY!N707&gt;0,COPY!N707,"")</f>
        <v/>
      </c>
      <c r="K709" s="86" t="str">
        <f>IF(N709=0,(IF(LEFT(Table13[[#This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Row],[URAIAN]],$U$194:$V$210,2,FALSE),""),""),0))))),N709)</f>
        <v/>
      </c>
      <c r="L709" s="85" t="str">
        <f>IF(Table13[[#This Row],[Column2]]="KWITANSI",COUNTIF($K$4:K709,"KWITANSI")," ")</f>
        <v xml:space="preserve"> </v>
      </c>
      <c r="M709" s="85" t="str">
        <f>IF(Table13[[#This Row],[Column3]]=" "," ",Table13[[#This Row],[CODE]])</f>
        <v xml:space="preserve"> </v>
      </c>
      <c r="N709" s="368"/>
      <c r="P709" s="81" t="str">
        <f t="shared" si="11"/>
        <v/>
      </c>
    </row>
    <row r="710" spans="1:16" hidden="1" x14ac:dyDescent="0.15">
      <c r="A710" s="81" t="str">
        <f>COPY!O708</f>
        <v/>
      </c>
      <c r="B710" s="81" t="str">
        <f>COPY!C708</f>
        <v/>
      </c>
      <c r="C710" s="82" t="str">
        <f>COPY!D708</f>
        <v/>
      </c>
      <c r="D710" s="81" t="str">
        <f>IF(Table13[[#This Row],[JUMLAH]]&gt;1,(IF(Table13[[#This Row],[CODE]]=" ",D709&amp;"a",IF(Table13[[#This Row],[CODE]]&gt;0,Table13[[#This Row],[CODE]],0))),"")</f>
        <v/>
      </c>
      <c r="E710" s="81" t="str">
        <f>IF(COPY!G708&gt;0,COPY!G708,"")</f>
        <v/>
      </c>
      <c r="F710" s="88" t="str">
        <f>IF(COPY!J708&gt;0,COPY!J708,"")</f>
        <v/>
      </c>
      <c r="G710" s="85" t="str">
        <f>IF(COPY!H708&gt;0,COPY!H708,"")</f>
        <v/>
      </c>
      <c r="H710" s="85" t="str">
        <f>IF(COPY!I708&gt;0,COPY!I708,"")</f>
        <v/>
      </c>
      <c r="I710" s="85" t="str">
        <f>IF(COPY!M708&gt;0,COPY!M708,"")</f>
        <v/>
      </c>
      <c r="J710" s="85" t="str">
        <f>IF(COPY!N708&gt;0,COPY!N708,"")</f>
        <v/>
      </c>
      <c r="K710" s="86" t="str">
        <f>IF(N710=0,(IF(LEFT(Table13[[#This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Row],[URAIAN]],$U$194:$V$210,2,FALSE),""),""),0))))),N710)</f>
        <v/>
      </c>
      <c r="L710" s="85" t="str">
        <f>IF(Table13[[#This Row],[Column2]]="KWITANSI",COUNTIF($K$4:K710,"KWITANSI")," ")</f>
        <v xml:space="preserve"> </v>
      </c>
      <c r="M710" s="85" t="str">
        <f>IF(Table13[[#This Row],[Column3]]=" "," ",Table13[[#This Row],[CODE]])</f>
        <v xml:space="preserve"> </v>
      </c>
      <c r="N710" s="368"/>
      <c r="P710" s="81" t="str">
        <f t="shared" si="11"/>
        <v/>
      </c>
    </row>
    <row r="711" spans="1:16" hidden="1" x14ac:dyDescent="0.15">
      <c r="A711" s="81" t="str">
        <f>COPY!O709</f>
        <v/>
      </c>
      <c r="B711" s="81" t="str">
        <f>COPY!C709</f>
        <v/>
      </c>
      <c r="C711" s="82" t="str">
        <f>COPY!D709</f>
        <v/>
      </c>
      <c r="D711" s="81" t="str">
        <f>IF(Table13[[#This Row],[JUMLAH]]&gt;1,(IF(Table13[[#This Row],[CODE]]=" ",D710&amp;"a",IF(Table13[[#This Row],[CODE]]&gt;0,Table13[[#This Row],[CODE]],0))),"")</f>
        <v/>
      </c>
      <c r="E711" s="81" t="str">
        <f>IF(COPY!G709&gt;0,COPY!G709,"")</f>
        <v/>
      </c>
      <c r="F711" s="88" t="str">
        <f>IF(COPY!J709&gt;0,COPY!J709,"")</f>
        <v/>
      </c>
      <c r="G711" s="85" t="str">
        <f>IF(COPY!H709&gt;0,COPY!H709,"")</f>
        <v/>
      </c>
      <c r="H711" s="85" t="str">
        <f>IF(COPY!I709&gt;0,COPY!I709,"")</f>
        <v/>
      </c>
      <c r="I711" s="85" t="str">
        <f>IF(COPY!M709&gt;0,COPY!M709,"")</f>
        <v/>
      </c>
      <c r="J711" s="85" t="str">
        <f>IF(COPY!N709&gt;0,COPY!N709,"")</f>
        <v/>
      </c>
      <c r="K711" s="86" t="str">
        <f>IF(N711=0,(IF(LEFT(Table13[[#This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Row],[URAIAN]],$U$194:$V$210,2,FALSE),""),""),0))))),N711)</f>
        <v/>
      </c>
      <c r="L711" s="85" t="str">
        <f>IF(Table13[[#This Row],[Column2]]="KWITANSI",COUNTIF($K$4:K711,"KWITANSI")," ")</f>
        <v xml:space="preserve"> </v>
      </c>
      <c r="M711" s="85" t="str">
        <f>IF(Table13[[#This Row],[Column3]]=" "," ",Table13[[#This Row],[CODE]])</f>
        <v xml:space="preserve"> </v>
      </c>
      <c r="N711" s="368"/>
      <c r="P711" s="81" t="str">
        <f t="shared" si="11"/>
        <v/>
      </c>
    </row>
    <row r="712" spans="1:16" hidden="1" x14ac:dyDescent="0.15">
      <c r="A712" s="81" t="str">
        <f>COPY!O710</f>
        <v/>
      </c>
      <c r="B712" s="81" t="str">
        <f>COPY!C710</f>
        <v/>
      </c>
      <c r="C712" s="82" t="str">
        <f>COPY!D710</f>
        <v/>
      </c>
      <c r="D712" s="81" t="str">
        <f>IF(Table13[[#This Row],[JUMLAH]]&gt;1,(IF(Table13[[#This Row],[CODE]]=" ",D711&amp;"a",IF(Table13[[#This Row],[CODE]]&gt;0,Table13[[#This Row],[CODE]],0))),"")</f>
        <v/>
      </c>
      <c r="E712" s="81" t="str">
        <f>IF(COPY!G710&gt;0,COPY!G710,"")</f>
        <v/>
      </c>
      <c r="F712" s="88" t="str">
        <f>IF(COPY!J710&gt;0,COPY!J710,"")</f>
        <v/>
      </c>
      <c r="G712" s="85" t="str">
        <f>IF(COPY!H710&gt;0,COPY!H710,"")</f>
        <v/>
      </c>
      <c r="H712" s="85" t="str">
        <f>IF(COPY!I710&gt;0,COPY!I710,"")</f>
        <v/>
      </c>
      <c r="I712" s="85" t="str">
        <f>IF(COPY!M710&gt;0,COPY!M710,"")</f>
        <v/>
      </c>
      <c r="J712" s="85" t="str">
        <f>IF(COPY!N710&gt;0,COPY!N710,"")</f>
        <v/>
      </c>
      <c r="K712" s="86" t="str">
        <f>IF(N712=0,(IF(LEFT(Table13[[#This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Row],[URAIAN]],$U$194:$V$210,2,FALSE),""),""),0))))),N712)</f>
        <v/>
      </c>
      <c r="L712" s="85" t="str">
        <f>IF(Table13[[#This Row],[Column2]]="KWITANSI",COUNTIF($K$4:K712,"KWITANSI")," ")</f>
        <v xml:space="preserve"> </v>
      </c>
      <c r="M712" s="85" t="str">
        <f>IF(Table13[[#This Row],[Column3]]=" "," ",Table13[[#This Row],[CODE]])</f>
        <v xml:space="preserve"> </v>
      </c>
      <c r="N712" s="368"/>
      <c r="P712" s="81" t="str">
        <f t="shared" si="11"/>
        <v/>
      </c>
    </row>
    <row r="713" spans="1:16" hidden="1" x14ac:dyDescent="0.15">
      <c r="A713" s="81" t="str">
        <f>COPY!O711</f>
        <v/>
      </c>
      <c r="B713" s="81" t="str">
        <f>COPY!C711</f>
        <v/>
      </c>
      <c r="C713" s="82" t="str">
        <f>COPY!D711</f>
        <v/>
      </c>
      <c r="D713" s="81" t="str">
        <f>IF(Table13[[#This Row],[JUMLAH]]&gt;1,(IF(Table13[[#This Row],[CODE]]=" ",D712&amp;"a",IF(Table13[[#This Row],[CODE]]&gt;0,Table13[[#This Row],[CODE]],0))),"")</f>
        <v/>
      </c>
      <c r="E713" s="81" t="str">
        <f>IF(COPY!G711&gt;0,COPY!G711,"")</f>
        <v/>
      </c>
      <c r="F713" s="88" t="str">
        <f>IF(COPY!J711&gt;0,COPY!J711,"")</f>
        <v/>
      </c>
      <c r="G713" s="85" t="str">
        <f>IF(COPY!H711&gt;0,COPY!H711,"")</f>
        <v/>
      </c>
      <c r="H713" s="85" t="str">
        <f>IF(COPY!I711&gt;0,COPY!I711,"")</f>
        <v/>
      </c>
      <c r="I713" s="85" t="str">
        <f>IF(COPY!M711&gt;0,COPY!M711,"")</f>
        <v/>
      </c>
      <c r="J713" s="85" t="str">
        <f>IF(COPY!N711&gt;0,COPY!N711,"")</f>
        <v/>
      </c>
      <c r="K713" s="86" t="str">
        <f>IF(N713=0,(IF(LEFT(Table13[[#This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Row],[URAIAN]],$U$194:$V$210,2,FALSE),""),""),0))))),N713)</f>
        <v/>
      </c>
      <c r="L713" s="85" t="str">
        <f>IF(Table13[[#This Row],[Column2]]="KWITANSI",COUNTIF($K$4:K713,"KWITANSI")," ")</f>
        <v xml:space="preserve"> </v>
      </c>
      <c r="M713" s="85" t="str">
        <f>IF(Table13[[#This Row],[Column3]]=" "," ",Table13[[#This Row],[CODE]])</f>
        <v xml:space="preserve"> </v>
      </c>
      <c r="N713" s="368"/>
      <c r="P713" s="81" t="str">
        <f t="shared" si="11"/>
        <v/>
      </c>
    </row>
    <row r="714" spans="1:16" hidden="1" x14ac:dyDescent="0.15">
      <c r="A714" s="81" t="str">
        <f>COPY!O712</f>
        <v/>
      </c>
      <c r="B714" s="81" t="str">
        <f>COPY!C712</f>
        <v/>
      </c>
      <c r="C714" s="82" t="str">
        <f>COPY!D712</f>
        <v/>
      </c>
      <c r="D714" s="81" t="str">
        <f>IF(Table13[[#This Row],[JUMLAH]]&gt;1,(IF(Table13[[#This Row],[CODE]]=" ",D713&amp;"a",IF(Table13[[#This Row],[CODE]]&gt;0,Table13[[#This Row],[CODE]],0))),"")</f>
        <v/>
      </c>
      <c r="E714" s="81" t="str">
        <f>IF(COPY!G712&gt;0,COPY!G712,"")</f>
        <v/>
      </c>
      <c r="F714" s="88" t="str">
        <f>IF(COPY!J712&gt;0,COPY!J712,"")</f>
        <v/>
      </c>
      <c r="G714" s="85" t="str">
        <f>IF(COPY!H712&gt;0,COPY!H712,"")</f>
        <v/>
      </c>
      <c r="H714" s="85" t="str">
        <f>IF(COPY!I712&gt;0,COPY!I712,"")</f>
        <v/>
      </c>
      <c r="I714" s="85" t="str">
        <f>IF(COPY!M712&gt;0,COPY!M712,"")</f>
        <v/>
      </c>
      <c r="J714" s="85" t="str">
        <f>IF(COPY!N712&gt;0,COPY!N712,"")</f>
        <v/>
      </c>
      <c r="K714" s="86" t="str">
        <f>IF(N714=0,(IF(LEFT(Table13[[#This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Row],[URAIAN]],$U$194:$V$210,2,FALSE),""),""),0))))),N714)</f>
        <v/>
      </c>
      <c r="L714" s="85" t="str">
        <f>IF(Table13[[#This Row],[Column2]]="KWITANSI",COUNTIF($K$4:K714,"KWITANSI")," ")</f>
        <v xml:space="preserve"> </v>
      </c>
      <c r="M714" s="85" t="str">
        <f>IF(Table13[[#This Row],[Column3]]=" "," ",Table13[[#This Row],[CODE]])</f>
        <v xml:space="preserve"> </v>
      </c>
      <c r="N714" s="368"/>
      <c r="P714" s="81" t="str">
        <f t="shared" si="11"/>
        <v/>
      </c>
    </row>
    <row r="715" spans="1:16" hidden="1" x14ac:dyDescent="0.15">
      <c r="A715" s="81" t="str">
        <f>COPY!O713</f>
        <v/>
      </c>
      <c r="B715" s="81" t="str">
        <f>COPY!C713</f>
        <v/>
      </c>
      <c r="C715" s="82" t="str">
        <f>COPY!D713</f>
        <v/>
      </c>
      <c r="D715" s="81" t="str">
        <f>IF(Table13[[#This Row],[JUMLAH]]&gt;1,(IF(Table13[[#This Row],[CODE]]=" ",D714&amp;"a",IF(Table13[[#This Row],[CODE]]&gt;0,Table13[[#This Row],[CODE]],0))),"")</f>
        <v/>
      </c>
      <c r="E715" s="81" t="str">
        <f>IF(COPY!G713&gt;0,COPY!G713,"")</f>
        <v/>
      </c>
      <c r="F715" s="88" t="str">
        <f>IF(COPY!J713&gt;0,COPY!J713,"")</f>
        <v/>
      </c>
      <c r="G715" s="85" t="str">
        <f>IF(COPY!H713&gt;0,COPY!H713,"")</f>
        <v/>
      </c>
      <c r="H715" s="85" t="str">
        <f>IF(COPY!I713&gt;0,COPY!I713,"")</f>
        <v/>
      </c>
      <c r="I715" s="85" t="str">
        <f>IF(COPY!M713&gt;0,COPY!M713,"")</f>
        <v/>
      </c>
      <c r="J715" s="85" t="str">
        <f>IF(COPY!N713&gt;0,COPY!N713,"")</f>
        <v/>
      </c>
      <c r="K715" s="86" t="str">
        <f>IF(N715=0,(IF(LEFT(Table13[[#This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Row],[URAIAN]],$U$194:$V$210,2,FALSE),""),""),0))))),N715)</f>
        <v/>
      </c>
      <c r="L715" s="85" t="str">
        <f>IF(Table13[[#This Row],[Column2]]="KWITANSI",COUNTIF($K$4:K715,"KWITANSI")," ")</f>
        <v xml:space="preserve"> </v>
      </c>
      <c r="M715" s="85" t="str">
        <f>IF(Table13[[#This Row],[Column3]]=" "," ",Table13[[#This Row],[CODE]])</f>
        <v xml:space="preserve"> </v>
      </c>
      <c r="N715" s="368"/>
      <c r="P715" s="81" t="str">
        <f t="shared" si="11"/>
        <v/>
      </c>
    </row>
    <row r="716" spans="1:16" hidden="1" x14ac:dyDescent="0.15">
      <c r="A716" s="81" t="str">
        <f>COPY!O714</f>
        <v/>
      </c>
      <c r="B716" s="81" t="str">
        <f>COPY!C714</f>
        <v/>
      </c>
      <c r="C716" s="82" t="str">
        <f>COPY!D714</f>
        <v/>
      </c>
      <c r="D716" s="81" t="str">
        <f>IF(Table13[[#This Row],[JUMLAH]]&gt;1,(IF(Table13[[#This Row],[CODE]]=" ",D715&amp;"a",IF(Table13[[#This Row],[CODE]]&gt;0,Table13[[#This Row],[CODE]],0))),"")</f>
        <v/>
      </c>
      <c r="E716" s="81" t="str">
        <f>IF(COPY!G714&gt;0,COPY!G714,"")</f>
        <v/>
      </c>
      <c r="F716" s="88" t="str">
        <f>IF(COPY!J714&gt;0,COPY!J714,"")</f>
        <v/>
      </c>
      <c r="G716" s="85" t="str">
        <f>IF(COPY!H714&gt;0,COPY!H714,"")</f>
        <v/>
      </c>
      <c r="H716" s="85" t="str">
        <f>IF(COPY!I714&gt;0,COPY!I714,"")</f>
        <v/>
      </c>
      <c r="I716" s="85" t="str">
        <f>IF(COPY!M714&gt;0,COPY!M714,"")</f>
        <v/>
      </c>
      <c r="J716" s="85" t="str">
        <f>IF(COPY!N714&gt;0,COPY!N714,"")</f>
        <v/>
      </c>
      <c r="K716" s="86" t="str">
        <f>IF(N716=0,(IF(LEFT(Table13[[#This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Row],[URAIAN]],$U$194:$V$210,2,FALSE),""),""),0))))),N716)</f>
        <v/>
      </c>
      <c r="L716" s="85" t="str">
        <f>IF(Table13[[#This Row],[Column2]]="KWITANSI",COUNTIF($K$4:K716,"KWITANSI")," ")</f>
        <v xml:space="preserve"> </v>
      </c>
      <c r="M716" s="85" t="str">
        <f>IF(Table13[[#This Row],[Column3]]=" "," ",Table13[[#This Row],[CODE]])</f>
        <v xml:space="preserve"> </v>
      </c>
      <c r="N716" s="368"/>
      <c r="P716" s="81" t="str">
        <f t="shared" si="11"/>
        <v/>
      </c>
    </row>
    <row r="717" spans="1:16" hidden="1" x14ac:dyDescent="0.15">
      <c r="A717" s="81" t="str">
        <f>COPY!O715</f>
        <v/>
      </c>
      <c r="B717" s="81" t="str">
        <f>COPY!C715</f>
        <v/>
      </c>
      <c r="C717" s="82" t="str">
        <f>COPY!D715</f>
        <v/>
      </c>
      <c r="D717" s="81" t="str">
        <f>IF(Table13[[#This Row],[JUMLAH]]&gt;1,(IF(Table13[[#This Row],[CODE]]=" ",D716&amp;"a",IF(Table13[[#This Row],[CODE]]&gt;0,Table13[[#This Row],[CODE]],0))),"")</f>
        <v/>
      </c>
      <c r="E717" s="81" t="str">
        <f>IF(COPY!G715&gt;0,COPY!G715,"")</f>
        <v/>
      </c>
      <c r="F717" s="88" t="str">
        <f>IF(COPY!J715&gt;0,COPY!J715,"")</f>
        <v/>
      </c>
      <c r="G717" s="85" t="str">
        <f>IF(COPY!H715&gt;0,COPY!H715,"")</f>
        <v/>
      </c>
      <c r="H717" s="85" t="str">
        <f>IF(COPY!I715&gt;0,COPY!I715,"")</f>
        <v/>
      </c>
      <c r="I717" s="85" t="str">
        <f>IF(COPY!M715&gt;0,COPY!M715,"")</f>
        <v/>
      </c>
      <c r="J717" s="85" t="str">
        <f>IF(COPY!N715&gt;0,COPY!N715,"")</f>
        <v/>
      </c>
      <c r="K717" s="86" t="str">
        <f>IF(N717=0,(IF(LEFT(Table13[[#This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Row],[URAIAN]],$U$194:$V$210,2,FALSE),""),""),0))))),N717)</f>
        <v/>
      </c>
      <c r="L717" s="85" t="str">
        <f>IF(Table13[[#This Row],[Column2]]="KWITANSI",COUNTIF($K$4:K717,"KWITANSI")," ")</f>
        <v xml:space="preserve"> </v>
      </c>
      <c r="M717" s="85" t="str">
        <f>IF(Table13[[#This Row],[Column3]]=" "," ",Table13[[#This Row],[CODE]])</f>
        <v xml:space="preserve"> </v>
      </c>
      <c r="N717" s="368"/>
      <c r="P717" s="81" t="str">
        <f t="shared" si="11"/>
        <v/>
      </c>
    </row>
    <row r="718" spans="1:16" hidden="1" x14ac:dyDescent="0.15">
      <c r="A718" s="81" t="str">
        <f>COPY!O716</f>
        <v/>
      </c>
      <c r="B718" s="81" t="str">
        <f>COPY!C716</f>
        <v/>
      </c>
      <c r="C718" s="82" t="str">
        <f>COPY!D716</f>
        <v/>
      </c>
      <c r="D718" s="81" t="str">
        <f>IF(Table13[[#This Row],[JUMLAH]]&gt;1,(IF(Table13[[#This Row],[CODE]]=" ",D717&amp;"a",IF(Table13[[#This Row],[CODE]]&gt;0,Table13[[#This Row],[CODE]],0))),"")</f>
        <v/>
      </c>
      <c r="E718" s="81" t="str">
        <f>IF(COPY!G716&gt;0,COPY!G716,"")</f>
        <v/>
      </c>
      <c r="F718" s="88" t="str">
        <f>IF(COPY!J716&gt;0,COPY!J716,"")</f>
        <v/>
      </c>
      <c r="G718" s="85" t="str">
        <f>IF(COPY!H716&gt;0,COPY!H716,"")</f>
        <v/>
      </c>
      <c r="H718" s="85" t="str">
        <f>IF(COPY!I716&gt;0,COPY!I716,"")</f>
        <v/>
      </c>
      <c r="I718" s="85" t="str">
        <f>IF(COPY!M716&gt;0,COPY!M716,"")</f>
        <v/>
      </c>
      <c r="J718" s="85" t="str">
        <f>IF(COPY!N716&gt;0,COPY!N716,"")</f>
        <v/>
      </c>
      <c r="K718" s="86" t="str">
        <f>IF(N718=0,(IF(LEFT(Table13[[#This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Row],[URAIAN]],$U$194:$V$210,2,FALSE),""),""),0))))),N718)</f>
        <v/>
      </c>
      <c r="L718" s="85" t="str">
        <f>IF(Table13[[#This Row],[Column2]]="KWITANSI",COUNTIF($K$4:K718,"KWITANSI")," ")</f>
        <v xml:space="preserve"> </v>
      </c>
      <c r="M718" s="85" t="str">
        <f>IF(Table13[[#This Row],[Column3]]=" "," ",Table13[[#This Row],[CODE]])</f>
        <v xml:space="preserve"> </v>
      </c>
      <c r="N718" s="368"/>
      <c r="P718" s="81" t="str">
        <f t="shared" si="11"/>
        <v/>
      </c>
    </row>
    <row r="719" spans="1:16" hidden="1" x14ac:dyDescent="0.15">
      <c r="A719" s="81" t="str">
        <f>COPY!O717</f>
        <v/>
      </c>
      <c r="B719" s="81" t="str">
        <f>COPY!C717</f>
        <v/>
      </c>
      <c r="C719" s="82" t="str">
        <f>COPY!D717</f>
        <v/>
      </c>
      <c r="D719" s="81" t="str">
        <f>IF(Table13[[#This Row],[JUMLAH]]&gt;1,(IF(Table13[[#This Row],[CODE]]=" ",D718&amp;"a",IF(Table13[[#This Row],[CODE]]&gt;0,Table13[[#This Row],[CODE]],0))),"")</f>
        <v/>
      </c>
      <c r="E719" s="81" t="str">
        <f>IF(COPY!G717&gt;0,COPY!G717,"")</f>
        <v/>
      </c>
      <c r="F719" s="88" t="str">
        <f>IF(COPY!J717&gt;0,COPY!J717,"")</f>
        <v/>
      </c>
      <c r="G719" s="85" t="str">
        <f>IF(COPY!H717&gt;0,COPY!H717,"")</f>
        <v/>
      </c>
      <c r="H719" s="85" t="str">
        <f>IF(COPY!I717&gt;0,COPY!I717,"")</f>
        <v/>
      </c>
      <c r="I719" s="85" t="str">
        <f>IF(COPY!M717&gt;0,COPY!M717,"")</f>
        <v/>
      </c>
      <c r="J719" s="85" t="str">
        <f>IF(COPY!N717&gt;0,COPY!N717,"")</f>
        <v/>
      </c>
      <c r="K719" s="86" t="str">
        <f>IF(N719=0,(IF(LEFT(Table13[[#This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Row],[URAIAN]],$U$194:$V$210,2,FALSE),""),""),0))))),N719)</f>
        <v/>
      </c>
      <c r="L719" s="85" t="str">
        <f>IF(Table13[[#This Row],[Column2]]="KWITANSI",COUNTIF($K$4:K719,"KWITANSI")," ")</f>
        <v xml:space="preserve"> </v>
      </c>
      <c r="M719" s="85" t="str">
        <f>IF(Table13[[#This Row],[Column3]]=" "," ",Table13[[#This Row],[CODE]])</f>
        <v xml:space="preserve"> </v>
      </c>
      <c r="N719" s="368"/>
      <c r="P719" s="81" t="str">
        <f t="shared" si="11"/>
        <v/>
      </c>
    </row>
    <row r="720" spans="1:16" hidden="1" x14ac:dyDescent="0.15">
      <c r="A720" s="81" t="str">
        <f>COPY!O718</f>
        <v/>
      </c>
      <c r="B720" s="81" t="str">
        <f>COPY!C718</f>
        <v/>
      </c>
      <c r="C720" s="82" t="str">
        <f>COPY!D718</f>
        <v/>
      </c>
      <c r="D720" s="81" t="str">
        <f>IF(Table13[[#This Row],[JUMLAH]]&gt;1,(IF(Table13[[#This Row],[CODE]]=" ",D719&amp;"a",IF(Table13[[#This Row],[CODE]]&gt;0,Table13[[#This Row],[CODE]],0))),"")</f>
        <v/>
      </c>
      <c r="E720" s="81" t="str">
        <f>IF(COPY!G718&gt;0,COPY!G718,"")</f>
        <v/>
      </c>
      <c r="F720" s="88" t="str">
        <f>IF(COPY!J718&gt;0,COPY!J718,"")</f>
        <v/>
      </c>
      <c r="G720" s="85" t="str">
        <f>IF(COPY!H718&gt;0,COPY!H718,"")</f>
        <v/>
      </c>
      <c r="H720" s="85" t="str">
        <f>IF(COPY!I718&gt;0,COPY!I718,"")</f>
        <v/>
      </c>
      <c r="I720" s="85" t="str">
        <f>IF(COPY!M718&gt;0,COPY!M718,"")</f>
        <v/>
      </c>
      <c r="J720" s="85" t="str">
        <f>IF(COPY!N718&gt;0,COPY!N718,"")</f>
        <v/>
      </c>
      <c r="K720" s="86" t="str">
        <f>IF(N720=0,(IF(LEFT(Table13[[#This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Row],[URAIAN]],$U$194:$V$210,2,FALSE),""),""),0))))),N720)</f>
        <v/>
      </c>
      <c r="L720" s="85" t="str">
        <f>IF(Table13[[#This Row],[Column2]]="KWITANSI",COUNTIF($K$4:K720,"KWITANSI")," ")</f>
        <v xml:space="preserve"> </v>
      </c>
      <c r="M720" s="85" t="str">
        <f>IF(Table13[[#This Row],[Column3]]=" "," ",Table13[[#This Row],[CODE]])</f>
        <v xml:space="preserve"> </v>
      </c>
      <c r="N720" s="368"/>
      <c r="P720" s="81" t="str">
        <f t="shared" si="11"/>
        <v/>
      </c>
    </row>
    <row r="721" spans="1:16" hidden="1" x14ac:dyDescent="0.15">
      <c r="A721" s="81" t="str">
        <f>COPY!O719</f>
        <v/>
      </c>
      <c r="B721" s="81" t="str">
        <f>COPY!C719</f>
        <v/>
      </c>
      <c r="C721" s="82" t="str">
        <f>COPY!D719</f>
        <v/>
      </c>
      <c r="D721" s="81" t="str">
        <f>IF(Table13[[#This Row],[JUMLAH]]&gt;1,(IF(Table13[[#This Row],[CODE]]=" ",D720&amp;"a",IF(Table13[[#This Row],[CODE]]&gt;0,Table13[[#This Row],[CODE]],0))),"")</f>
        <v/>
      </c>
      <c r="E721" s="81" t="str">
        <f>IF(COPY!G719&gt;0,COPY!G719,"")</f>
        <v/>
      </c>
      <c r="F721" s="88" t="str">
        <f>IF(COPY!J719&gt;0,COPY!J719,"")</f>
        <v/>
      </c>
      <c r="G721" s="85" t="str">
        <f>IF(COPY!H719&gt;0,COPY!H719,"")</f>
        <v/>
      </c>
      <c r="H721" s="85" t="str">
        <f>IF(COPY!I719&gt;0,COPY!I719,"")</f>
        <v/>
      </c>
      <c r="I721" s="85" t="str">
        <f>IF(COPY!M719&gt;0,COPY!M719,"")</f>
        <v/>
      </c>
      <c r="J721" s="85" t="str">
        <f>IF(COPY!N719&gt;0,COPY!N719,"")</f>
        <v/>
      </c>
      <c r="K721" s="86" t="str">
        <f>IF(N721=0,(IF(LEFT(Table13[[#This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Row],[URAIAN]],$U$194:$V$210,2,FALSE),""),""),0))))),N721)</f>
        <v/>
      </c>
      <c r="L721" s="85" t="str">
        <f>IF(Table13[[#This Row],[Column2]]="KWITANSI",COUNTIF($K$4:K721,"KWITANSI")," ")</f>
        <v xml:space="preserve"> </v>
      </c>
      <c r="M721" s="85" t="str">
        <f>IF(Table13[[#This Row],[Column3]]=" "," ",Table13[[#This Row],[CODE]])</f>
        <v xml:space="preserve"> </v>
      </c>
      <c r="N721" s="368"/>
      <c r="P721" s="81" t="str">
        <f t="shared" si="11"/>
        <v/>
      </c>
    </row>
    <row r="722" spans="1:16" hidden="1" x14ac:dyDescent="0.15">
      <c r="A722" s="81" t="str">
        <f>COPY!O720</f>
        <v/>
      </c>
      <c r="B722" s="81" t="str">
        <f>COPY!C720</f>
        <v/>
      </c>
      <c r="C722" s="82" t="str">
        <f>COPY!D720</f>
        <v/>
      </c>
      <c r="D722" s="81" t="str">
        <f>IF(Table13[[#This Row],[JUMLAH]]&gt;1,(IF(Table13[[#This Row],[CODE]]=" ",D721&amp;"a",IF(Table13[[#This Row],[CODE]]&gt;0,Table13[[#This Row],[CODE]],0))),"")</f>
        <v/>
      </c>
      <c r="E722" s="81" t="str">
        <f>IF(COPY!G720&gt;0,COPY!G720,"")</f>
        <v/>
      </c>
      <c r="F722" s="88" t="str">
        <f>IF(COPY!J720&gt;0,COPY!J720,"")</f>
        <v/>
      </c>
      <c r="G722" s="85" t="str">
        <f>IF(COPY!H720&gt;0,COPY!H720,"")</f>
        <v/>
      </c>
      <c r="H722" s="85" t="str">
        <f>IF(COPY!I720&gt;0,COPY!I720,"")</f>
        <v/>
      </c>
      <c r="I722" s="85" t="str">
        <f>IF(COPY!M720&gt;0,COPY!M720,"")</f>
        <v/>
      </c>
      <c r="J722" s="85" t="str">
        <f>IF(COPY!N720&gt;0,COPY!N720,"")</f>
        <v/>
      </c>
      <c r="K722" s="86" t="str">
        <f>IF(N722=0,(IF(LEFT(Table13[[#This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Row],[URAIAN]],$U$194:$V$210,2,FALSE),""),""),0))))),N722)</f>
        <v/>
      </c>
      <c r="L722" s="85" t="str">
        <f>IF(Table13[[#This Row],[Column2]]="KWITANSI",COUNTIF($K$4:K722,"KWITANSI")," ")</f>
        <v xml:space="preserve"> </v>
      </c>
      <c r="M722" s="85" t="str">
        <f>IF(Table13[[#This Row],[Column3]]=" "," ",Table13[[#This Row],[CODE]])</f>
        <v xml:space="preserve"> </v>
      </c>
      <c r="N722" s="368"/>
      <c r="P722" s="81" t="str">
        <f t="shared" si="11"/>
        <v/>
      </c>
    </row>
    <row r="723" spans="1:16" hidden="1" x14ac:dyDescent="0.15">
      <c r="A723" s="81" t="str">
        <f>COPY!O721</f>
        <v/>
      </c>
      <c r="B723" s="81" t="str">
        <f>COPY!C721</f>
        <v/>
      </c>
      <c r="C723" s="82" t="str">
        <f>COPY!D721</f>
        <v/>
      </c>
      <c r="D723" s="81" t="str">
        <f>IF(Table13[[#This Row],[JUMLAH]]&gt;1,(IF(Table13[[#This Row],[CODE]]=" ",D722&amp;"a",IF(Table13[[#This Row],[CODE]]&gt;0,Table13[[#This Row],[CODE]],0))),"")</f>
        <v/>
      </c>
      <c r="E723" s="81" t="str">
        <f>IF(COPY!G721&gt;0,COPY!G721,"")</f>
        <v/>
      </c>
      <c r="F723" s="88" t="str">
        <f>IF(COPY!J721&gt;0,COPY!J721,"")</f>
        <v/>
      </c>
      <c r="G723" s="85" t="str">
        <f>IF(COPY!H721&gt;0,COPY!H721,"")</f>
        <v/>
      </c>
      <c r="H723" s="85" t="str">
        <f>IF(COPY!I721&gt;0,COPY!I721,"")</f>
        <v/>
      </c>
      <c r="I723" s="85" t="str">
        <f>IF(COPY!M721&gt;0,COPY!M721,"")</f>
        <v/>
      </c>
      <c r="J723" s="85" t="str">
        <f>IF(COPY!N721&gt;0,COPY!N721,"")</f>
        <v/>
      </c>
      <c r="K723" s="86" t="str">
        <f>IF(N723=0,(IF(LEFT(Table13[[#This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Row],[URAIAN]],$U$194:$V$210,2,FALSE),""),""),0))))),N723)</f>
        <v/>
      </c>
      <c r="L723" s="85" t="str">
        <f>IF(Table13[[#This Row],[Column2]]="KWITANSI",COUNTIF($K$4:K723,"KWITANSI")," ")</f>
        <v xml:space="preserve"> </v>
      </c>
      <c r="M723" s="85" t="str">
        <f>IF(Table13[[#This Row],[Column3]]=" "," ",Table13[[#This Row],[CODE]])</f>
        <v xml:space="preserve"> </v>
      </c>
      <c r="N723" s="368"/>
      <c r="P723" s="81" t="str">
        <f t="shared" si="11"/>
        <v/>
      </c>
    </row>
    <row r="724" spans="1:16" hidden="1" x14ac:dyDescent="0.15">
      <c r="A724" s="81" t="str">
        <f>COPY!O722</f>
        <v/>
      </c>
      <c r="B724" s="81" t="str">
        <f>COPY!C722</f>
        <v/>
      </c>
      <c r="C724" s="82" t="str">
        <f>COPY!D722</f>
        <v/>
      </c>
      <c r="D724" s="81" t="str">
        <f>IF(Table13[[#This Row],[JUMLAH]]&gt;1,(IF(Table13[[#This Row],[CODE]]=" ",D723&amp;"a",IF(Table13[[#This Row],[CODE]]&gt;0,Table13[[#This Row],[CODE]],0))),"")</f>
        <v/>
      </c>
      <c r="E724" s="81" t="str">
        <f>IF(COPY!G722&gt;0,COPY!G722,"")</f>
        <v/>
      </c>
      <c r="F724" s="88" t="str">
        <f>IF(COPY!J722&gt;0,COPY!J722,"")</f>
        <v/>
      </c>
      <c r="G724" s="85" t="str">
        <f>IF(COPY!H722&gt;0,COPY!H722,"")</f>
        <v/>
      </c>
      <c r="H724" s="85" t="str">
        <f>IF(COPY!I722&gt;0,COPY!I722,"")</f>
        <v/>
      </c>
      <c r="I724" s="85" t="str">
        <f>IF(COPY!M722&gt;0,COPY!M722,"")</f>
        <v/>
      </c>
      <c r="J724" s="85" t="str">
        <f>IF(COPY!N722&gt;0,COPY!N722,"")</f>
        <v/>
      </c>
      <c r="K724" s="86" t="str">
        <f>IF(N724=0,(IF(LEFT(Table13[[#This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Row],[URAIAN]],$U$194:$V$210,2,FALSE),""),""),0))))),N724)</f>
        <v/>
      </c>
      <c r="L724" s="85" t="str">
        <f>IF(Table13[[#This Row],[Column2]]="KWITANSI",COUNTIF($K$4:K724,"KWITANSI")," ")</f>
        <v xml:space="preserve"> </v>
      </c>
      <c r="M724" s="85" t="str">
        <f>IF(Table13[[#This Row],[Column3]]=" "," ",Table13[[#This Row],[CODE]])</f>
        <v xml:space="preserve"> </v>
      </c>
      <c r="N724" s="368"/>
      <c r="P724" s="81" t="str">
        <f t="shared" si="11"/>
        <v/>
      </c>
    </row>
    <row r="725" spans="1:16" hidden="1" x14ac:dyDescent="0.15">
      <c r="A725" s="81" t="str">
        <f>COPY!O723</f>
        <v/>
      </c>
      <c r="B725" s="81" t="str">
        <f>COPY!C723</f>
        <v/>
      </c>
      <c r="C725" s="82" t="str">
        <f>COPY!D723</f>
        <v/>
      </c>
      <c r="D725" s="81" t="str">
        <f>IF(Table13[[#This Row],[JUMLAH]]&gt;1,(IF(Table13[[#This Row],[CODE]]=" ",D724&amp;"a",IF(Table13[[#This Row],[CODE]]&gt;0,Table13[[#This Row],[CODE]],0))),"")</f>
        <v/>
      </c>
      <c r="E725" s="81" t="str">
        <f>IF(COPY!G723&gt;0,COPY!G723,"")</f>
        <v/>
      </c>
      <c r="F725" s="88" t="str">
        <f>IF(COPY!J723&gt;0,COPY!J723,"")</f>
        <v/>
      </c>
      <c r="G725" s="85" t="str">
        <f>IF(COPY!H723&gt;0,COPY!H723,"")</f>
        <v/>
      </c>
      <c r="H725" s="85" t="str">
        <f>IF(COPY!I723&gt;0,COPY!I723,"")</f>
        <v/>
      </c>
      <c r="I725" s="85" t="str">
        <f>IF(COPY!M723&gt;0,COPY!M723,"")</f>
        <v/>
      </c>
      <c r="J725" s="85" t="str">
        <f>IF(COPY!N723&gt;0,COPY!N723,"")</f>
        <v/>
      </c>
      <c r="K725" s="86" t="str">
        <f>IF(N725=0,(IF(LEFT(Table13[[#This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Row],[URAIAN]],$U$194:$V$210,2,FALSE),""),""),0))))),N725)</f>
        <v/>
      </c>
      <c r="L725" s="85" t="str">
        <f>IF(Table13[[#This Row],[Column2]]="KWITANSI",COUNTIF($K$4:K725,"KWITANSI")," ")</f>
        <v xml:space="preserve"> </v>
      </c>
      <c r="M725" s="85" t="str">
        <f>IF(Table13[[#This Row],[Column3]]=" "," ",Table13[[#This Row],[CODE]])</f>
        <v xml:space="preserve"> </v>
      </c>
      <c r="N725" s="368"/>
      <c r="P725" s="81" t="str">
        <f t="shared" si="11"/>
        <v/>
      </c>
    </row>
    <row r="726" spans="1:16" hidden="1" x14ac:dyDescent="0.15">
      <c r="A726" s="81" t="str">
        <f>COPY!O724</f>
        <v/>
      </c>
      <c r="B726" s="81" t="str">
        <f>COPY!C724</f>
        <v/>
      </c>
      <c r="C726" s="82" t="str">
        <f>COPY!D724</f>
        <v/>
      </c>
      <c r="D726" s="81" t="str">
        <f>IF(Table13[[#This Row],[JUMLAH]]&gt;1,(IF(Table13[[#This Row],[CODE]]=" ",D725&amp;"a",IF(Table13[[#This Row],[CODE]]&gt;0,Table13[[#This Row],[CODE]],0))),"")</f>
        <v/>
      </c>
      <c r="E726" s="81" t="str">
        <f>IF(COPY!G724&gt;0,COPY!G724,"")</f>
        <v/>
      </c>
      <c r="F726" s="88" t="str">
        <f>IF(COPY!J724&gt;0,COPY!J724,"")</f>
        <v/>
      </c>
      <c r="G726" s="85" t="str">
        <f>IF(COPY!H724&gt;0,COPY!H724,"")</f>
        <v/>
      </c>
      <c r="H726" s="85" t="str">
        <f>IF(COPY!I724&gt;0,COPY!I724,"")</f>
        <v/>
      </c>
      <c r="I726" s="85" t="str">
        <f>IF(COPY!M724&gt;0,COPY!M724,"")</f>
        <v/>
      </c>
      <c r="J726" s="85" t="str">
        <f>IF(COPY!N724&gt;0,COPY!N724,"")</f>
        <v/>
      </c>
      <c r="K726" s="86" t="str">
        <f>IF(N726=0,(IF(LEFT(Table13[[#This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Row],[URAIAN]],$U$194:$V$210,2,FALSE),""),""),0))))),N726)</f>
        <v/>
      </c>
      <c r="L726" s="85" t="str">
        <f>IF(Table13[[#This Row],[Column2]]="KWITANSI",COUNTIF($K$4:K726,"KWITANSI")," ")</f>
        <v xml:space="preserve"> </v>
      </c>
      <c r="M726" s="85" t="str">
        <f>IF(Table13[[#This Row],[Column3]]=" "," ",Table13[[#This Row],[CODE]])</f>
        <v xml:space="preserve"> </v>
      </c>
      <c r="N726" s="368"/>
      <c r="P726" s="81" t="str">
        <f t="shared" si="11"/>
        <v/>
      </c>
    </row>
    <row r="727" spans="1:16" hidden="1" x14ac:dyDescent="0.15">
      <c r="A727" s="81" t="str">
        <f>COPY!O725</f>
        <v/>
      </c>
      <c r="B727" s="81" t="str">
        <f>COPY!C725</f>
        <v/>
      </c>
      <c r="C727" s="82" t="str">
        <f>COPY!D725</f>
        <v/>
      </c>
      <c r="D727" s="81" t="str">
        <f>IF(Table13[[#This Row],[JUMLAH]]&gt;1,(IF(Table13[[#This Row],[CODE]]=" ",D726&amp;"a",IF(Table13[[#This Row],[CODE]]&gt;0,Table13[[#This Row],[CODE]],0))),"")</f>
        <v/>
      </c>
      <c r="E727" s="81" t="str">
        <f>IF(COPY!G725&gt;0,COPY!G725,"")</f>
        <v/>
      </c>
      <c r="F727" s="88" t="str">
        <f>IF(COPY!J725&gt;0,COPY!J725,"")</f>
        <v/>
      </c>
      <c r="G727" s="85" t="str">
        <f>IF(COPY!H725&gt;0,COPY!H725,"")</f>
        <v/>
      </c>
      <c r="H727" s="85" t="str">
        <f>IF(COPY!I725&gt;0,COPY!I725,"")</f>
        <v/>
      </c>
      <c r="I727" s="85" t="str">
        <f>IF(COPY!M725&gt;0,COPY!M725,"")</f>
        <v/>
      </c>
      <c r="J727" s="85" t="str">
        <f>IF(COPY!N725&gt;0,COPY!N725,"")</f>
        <v/>
      </c>
      <c r="K727" s="86" t="str">
        <f>IF(N727=0,(IF(LEFT(Table13[[#This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Row],[URAIAN]],$U$194:$V$210,2,FALSE),""),""),0))))),N727)</f>
        <v/>
      </c>
      <c r="L727" s="85" t="str">
        <f>IF(Table13[[#This Row],[Column2]]="KWITANSI",COUNTIF($K$4:K727,"KWITANSI")," ")</f>
        <v xml:space="preserve"> </v>
      </c>
      <c r="M727" s="85" t="str">
        <f>IF(Table13[[#This Row],[Column3]]=" "," ",Table13[[#This Row],[CODE]])</f>
        <v xml:space="preserve"> </v>
      </c>
      <c r="N727" s="368"/>
      <c r="P727" s="81" t="str">
        <f t="shared" si="11"/>
        <v/>
      </c>
    </row>
    <row r="728" spans="1:16" hidden="1" x14ac:dyDescent="0.15">
      <c r="A728" s="81" t="str">
        <f>COPY!O726</f>
        <v/>
      </c>
      <c r="B728" s="81" t="str">
        <f>COPY!C726</f>
        <v/>
      </c>
      <c r="C728" s="82" t="str">
        <f>COPY!D726</f>
        <v/>
      </c>
      <c r="D728" s="81" t="str">
        <f>IF(Table13[[#This Row],[JUMLAH]]&gt;1,(IF(Table13[[#This Row],[CODE]]=" ",D727&amp;"a",IF(Table13[[#This Row],[CODE]]&gt;0,Table13[[#This Row],[CODE]],0))),"")</f>
        <v/>
      </c>
      <c r="E728" s="81" t="str">
        <f>IF(COPY!G726&gt;0,COPY!G726,"")</f>
        <v/>
      </c>
      <c r="F728" s="88" t="str">
        <f>IF(COPY!J726&gt;0,COPY!J726,"")</f>
        <v/>
      </c>
      <c r="G728" s="85" t="str">
        <f>IF(COPY!H726&gt;0,COPY!H726,"")</f>
        <v/>
      </c>
      <c r="H728" s="85" t="str">
        <f>IF(COPY!I726&gt;0,COPY!I726,"")</f>
        <v/>
      </c>
      <c r="I728" s="85" t="str">
        <f>IF(COPY!M726&gt;0,COPY!M726,"")</f>
        <v/>
      </c>
      <c r="J728" s="85" t="str">
        <f>IF(COPY!N726&gt;0,COPY!N726,"")</f>
        <v/>
      </c>
      <c r="K728" s="86" t="str">
        <f>IF(N728=0,(IF(LEFT(Table13[[#This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Row],[URAIAN]],$U$194:$V$210,2,FALSE),""),""),0))))),N728)</f>
        <v/>
      </c>
      <c r="L728" s="85" t="str">
        <f>IF(Table13[[#This Row],[Column2]]="KWITANSI",COUNTIF($K$4:K728,"KWITANSI")," ")</f>
        <v xml:space="preserve"> </v>
      </c>
      <c r="M728" s="85" t="str">
        <f>IF(Table13[[#This Row],[Column3]]=" "," ",Table13[[#This Row],[CODE]])</f>
        <v xml:space="preserve"> </v>
      </c>
      <c r="N728" s="368"/>
      <c r="P728" s="81" t="str">
        <f t="shared" si="11"/>
        <v/>
      </c>
    </row>
    <row r="729" spans="1:16" hidden="1" x14ac:dyDescent="0.15">
      <c r="A729" s="81" t="str">
        <f>COPY!O727</f>
        <v/>
      </c>
      <c r="B729" s="81" t="str">
        <f>COPY!C727</f>
        <v/>
      </c>
      <c r="C729" s="82" t="str">
        <f>COPY!D727</f>
        <v/>
      </c>
      <c r="D729" s="81" t="str">
        <f>IF(Table13[[#This Row],[JUMLAH]]&gt;1,(IF(Table13[[#This Row],[CODE]]=" ",D728&amp;"a",IF(Table13[[#This Row],[CODE]]&gt;0,Table13[[#This Row],[CODE]],0))),"")</f>
        <v/>
      </c>
      <c r="E729" s="81" t="str">
        <f>IF(COPY!G727&gt;0,COPY!G727,"")</f>
        <v/>
      </c>
      <c r="F729" s="88" t="str">
        <f>IF(COPY!J727&gt;0,COPY!J727,"")</f>
        <v/>
      </c>
      <c r="G729" s="85" t="str">
        <f>IF(COPY!H727&gt;0,COPY!H727,"")</f>
        <v/>
      </c>
      <c r="H729" s="85" t="str">
        <f>IF(COPY!I727&gt;0,COPY!I727,"")</f>
        <v/>
      </c>
      <c r="I729" s="85" t="str">
        <f>IF(COPY!M727&gt;0,COPY!M727,"")</f>
        <v/>
      </c>
      <c r="J729" s="85" t="str">
        <f>IF(COPY!N727&gt;0,COPY!N727,"")</f>
        <v/>
      </c>
      <c r="K729" s="86" t="str">
        <f>IF(N729=0,(IF(LEFT(Table13[[#This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Row],[URAIAN]],$U$194:$V$210,2,FALSE),""),""),0))))),N729)</f>
        <v/>
      </c>
      <c r="L729" s="85" t="str">
        <f>IF(Table13[[#This Row],[Column2]]="KWITANSI",COUNTIF($K$4:K729,"KWITANSI")," ")</f>
        <v xml:space="preserve"> </v>
      </c>
      <c r="M729" s="85" t="str">
        <f>IF(Table13[[#This Row],[Column3]]=" "," ",Table13[[#This Row],[CODE]])</f>
        <v xml:space="preserve"> </v>
      </c>
      <c r="N729" s="368"/>
      <c r="P729" s="81" t="str">
        <f t="shared" si="11"/>
        <v/>
      </c>
    </row>
    <row r="730" spans="1:16" hidden="1" x14ac:dyDescent="0.15">
      <c r="A730" s="81" t="str">
        <f>COPY!O728</f>
        <v/>
      </c>
      <c r="B730" s="81" t="str">
        <f>COPY!C728</f>
        <v/>
      </c>
      <c r="C730" s="82" t="str">
        <f>COPY!D728</f>
        <v/>
      </c>
      <c r="D730" s="81" t="str">
        <f>IF(Table13[[#This Row],[JUMLAH]]&gt;1,(IF(Table13[[#This Row],[CODE]]=" ",D729&amp;"a",IF(Table13[[#This Row],[CODE]]&gt;0,Table13[[#This Row],[CODE]],0))),"")</f>
        <v/>
      </c>
      <c r="E730" s="81" t="str">
        <f>IF(COPY!G728&gt;0,COPY!G728,"")</f>
        <v/>
      </c>
      <c r="F730" s="88" t="str">
        <f>IF(COPY!J728&gt;0,COPY!J728,"")</f>
        <v/>
      </c>
      <c r="G730" s="85" t="str">
        <f>IF(COPY!H728&gt;0,COPY!H728,"")</f>
        <v/>
      </c>
      <c r="H730" s="85" t="str">
        <f>IF(COPY!I728&gt;0,COPY!I728,"")</f>
        <v/>
      </c>
      <c r="I730" s="85" t="str">
        <f>IF(COPY!M728&gt;0,COPY!M728,"")</f>
        <v/>
      </c>
      <c r="J730" s="85" t="str">
        <f>IF(COPY!N728&gt;0,COPY!N728,"")</f>
        <v/>
      </c>
      <c r="K730" s="86" t="str">
        <f>IF(N730=0,(IF(LEFT(Table13[[#This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Row],[URAIAN]],$U$194:$V$210,2,FALSE),""),""),0))))),N730)</f>
        <v/>
      </c>
      <c r="L730" s="85" t="str">
        <f>IF(Table13[[#This Row],[Column2]]="KWITANSI",COUNTIF($K$4:K730,"KWITANSI")," ")</f>
        <v xml:space="preserve"> </v>
      </c>
      <c r="M730" s="85" t="str">
        <f>IF(Table13[[#This Row],[Column3]]=" "," ",Table13[[#This Row],[CODE]])</f>
        <v xml:space="preserve"> </v>
      </c>
      <c r="N730" s="368"/>
      <c r="P730" s="81" t="str">
        <f t="shared" si="11"/>
        <v/>
      </c>
    </row>
    <row r="731" spans="1:16" hidden="1" x14ac:dyDescent="0.15">
      <c r="A731" s="81" t="str">
        <f>COPY!O729</f>
        <v/>
      </c>
      <c r="B731" s="81" t="str">
        <f>COPY!C729</f>
        <v/>
      </c>
      <c r="C731" s="82" t="str">
        <f>COPY!D729</f>
        <v/>
      </c>
      <c r="D731" s="81" t="str">
        <f>IF(Table13[[#This Row],[JUMLAH]]&gt;1,(IF(Table13[[#This Row],[CODE]]=" ",D730&amp;"a",IF(Table13[[#This Row],[CODE]]&gt;0,Table13[[#This Row],[CODE]],0))),"")</f>
        <v/>
      </c>
      <c r="E731" s="81" t="str">
        <f>IF(COPY!G729&gt;0,COPY!G729,"")</f>
        <v/>
      </c>
      <c r="F731" s="88" t="str">
        <f>IF(COPY!J729&gt;0,COPY!J729,"")</f>
        <v/>
      </c>
      <c r="G731" s="85" t="str">
        <f>IF(COPY!H729&gt;0,COPY!H729,"")</f>
        <v/>
      </c>
      <c r="H731" s="85" t="str">
        <f>IF(COPY!I729&gt;0,COPY!I729,"")</f>
        <v/>
      </c>
      <c r="I731" s="85" t="str">
        <f>IF(COPY!M729&gt;0,COPY!M729,"")</f>
        <v/>
      </c>
      <c r="J731" s="85" t="str">
        <f>IF(COPY!N729&gt;0,COPY!N729,"")</f>
        <v/>
      </c>
      <c r="K731" s="86" t="str">
        <f>IF(N731=0,(IF(LEFT(Table13[[#This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Row],[URAIAN]],$U$194:$V$210,2,FALSE),""),""),0))))),N731)</f>
        <v/>
      </c>
      <c r="L731" s="85" t="str">
        <f>IF(Table13[[#This Row],[Column2]]="KWITANSI",COUNTIF($K$4:K731,"KWITANSI")," ")</f>
        <v xml:space="preserve"> </v>
      </c>
      <c r="M731" s="85" t="str">
        <f>IF(Table13[[#This Row],[Column3]]=" "," ",Table13[[#This Row],[CODE]])</f>
        <v xml:space="preserve"> </v>
      </c>
      <c r="N731" s="368"/>
      <c r="P731" s="81" t="str">
        <f t="shared" si="11"/>
        <v/>
      </c>
    </row>
    <row r="732" spans="1:16" hidden="1" x14ac:dyDescent="0.15">
      <c r="A732" s="81" t="str">
        <f>COPY!O730</f>
        <v/>
      </c>
      <c r="B732" s="81" t="str">
        <f>COPY!C730</f>
        <v/>
      </c>
      <c r="C732" s="82" t="str">
        <f>COPY!D730</f>
        <v/>
      </c>
      <c r="D732" s="81" t="str">
        <f>IF(Table13[[#This Row],[JUMLAH]]&gt;1,(IF(Table13[[#This Row],[CODE]]=" ",D731&amp;"a",IF(Table13[[#This Row],[CODE]]&gt;0,Table13[[#This Row],[CODE]],0))),"")</f>
        <v/>
      </c>
      <c r="E732" s="81" t="str">
        <f>IF(COPY!G730&gt;0,COPY!G730,"")</f>
        <v/>
      </c>
      <c r="F732" s="88" t="str">
        <f>IF(COPY!J730&gt;0,COPY!J730,"")</f>
        <v/>
      </c>
      <c r="G732" s="85" t="str">
        <f>IF(COPY!H730&gt;0,COPY!H730,"")</f>
        <v/>
      </c>
      <c r="H732" s="85" t="str">
        <f>IF(COPY!I730&gt;0,COPY!I730,"")</f>
        <v/>
      </c>
      <c r="I732" s="85" t="str">
        <f>IF(COPY!M730&gt;0,COPY!M730,"")</f>
        <v/>
      </c>
      <c r="J732" s="85" t="str">
        <f>IF(COPY!N730&gt;0,COPY!N730,"")</f>
        <v/>
      </c>
      <c r="K732" s="86" t="str">
        <f>IF(N732=0,(IF(LEFT(Table13[[#This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Row],[URAIAN]],$U$194:$V$210,2,FALSE),""),""),0))))),N732)</f>
        <v/>
      </c>
      <c r="L732" s="85" t="str">
        <f>IF(Table13[[#This Row],[Column2]]="KWITANSI",COUNTIF($K$4:K732,"KWITANSI")," ")</f>
        <v xml:space="preserve"> </v>
      </c>
      <c r="M732" s="85" t="str">
        <f>IF(Table13[[#This Row],[Column3]]=" "," ",Table13[[#This Row],[CODE]])</f>
        <v xml:space="preserve"> </v>
      </c>
      <c r="N732" s="368"/>
      <c r="P732" s="81" t="str">
        <f t="shared" si="11"/>
        <v/>
      </c>
    </row>
    <row r="733" spans="1:16" hidden="1" x14ac:dyDescent="0.15">
      <c r="A733" s="81" t="str">
        <f>COPY!O731</f>
        <v/>
      </c>
      <c r="B733" s="81" t="str">
        <f>COPY!C731</f>
        <v/>
      </c>
      <c r="C733" s="82" t="str">
        <f>COPY!D731</f>
        <v/>
      </c>
      <c r="D733" s="81" t="str">
        <f>IF(Table13[[#This Row],[JUMLAH]]&gt;1,(IF(Table13[[#This Row],[CODE]]=" ",D732&amp;"a",IF(Table13[[#This Row],[CODE]]&gt;0,Table13[[#This Row],[CODE]],0))),"")</f>
        <v/>
      </c>
      <c r="E733" s="81" t="str">
        <f>IF(COPY!G731&gt;0,COPY!G731,"")</f>
        <v/>
      </c>
      <c r="F733" s="88" t="str">
        <f>IF(COPY!J731&gt;0,COPY!J731,"")</f>
        <v/>
      </c>
      <c r="G733" s="85" t="str">
        <f>IF(COPY!H731&gt;0,COPY!H731,"")</f>
        <v/>
      </c>
      <c r="H733" s="85" t="str">
        <f>IF(COPY!I731&gt;0,COPY!I731,"")</f>
        <v/>
      </c>
      <c r="I733" s="85" t="str">
        <f>IF(COPY!M731&gt;0,COPY!M731,"")</f>
        <v/>
      </c>
      <c r="J733" s="85" t="str">
        <f>IF(COPY!N731&gt;0,COPY!N731,"")</f>
        <v/>
      </c>
      <c r="K733" s="86" t="str">
        <f>IF(N733=0,(IF(LEFT(Table13[[#This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Row],[URAIAN]],$U$194:$V$210,2,FALSE),""),""),0))))),N733)</f>
        <v/>
      </c>
      <c r="L733" s="85" t="str">
        <f>IF(Table13[[#This Row],[Column2]]="KWITANSI",COUNTIF($K$4:K733,"KWITANSI")," ")</f>
        <v xml:space="preserve"> </v>
      </c>
      <c r="M733" s="85" t="str">
        <f>IF(Table13[[#This Row],[Column3]]=" "," ",Table13[[#This Row],[CODE]])</f>
        <v xml:space="preserve"> </v>
      </c>
      <c r="N733" s="368"/>
      <c r="P733" s="81" t="str">
        <f t="shared" si="11"/>
        <v/>
      </c>
    </row>
    <row r="734" spans="1:16" hidden="1" x14ac:dyDescent="0.15">
      <c r="A734" s="81" t="str">
        <f>COPY!O732</f>
        <v/>
      </c>
      <c r="B734" s="81" t="str">
        <f>COPY!C732</f>
        <v/>
      </c>
      <c r="C734" s="82" t="str">
        <f>COPY!D732</f>
        <v/>
      </c>
      <c r="D734" s="81" t="str">
        <f>IF(Table13[[#This Row],[JUMLAH]]&gt;1,(IF(Table13[[#This Row],[CODE]]=" ",D733&amp;"a",IF(Table13[[#This Row],[CODE]]&gt;0,Table13[[#This Row],[CODE]],0))),"")</f>
        <v/>
      </c>
      <c r="E734" s="81" t="str">
        <f>IF(COPY!G732&gt;0,COPY!G732,"")</f>
        <v/>
      </c>
      <c r="F734" s="88" t="str">
        <f>IF(COPY!J732&gt;0,COPY!J732,"")</f>
        <v/>
      </c>
      <c r="G734" s="85" t="str">
        <f>IF(COPY!H732&gt;0,COPY!H732,"")</f>
        <v/>
      </c>
      <c r="H734" s="85" t="str">
        <f>IF(COPY!I732&gt;0,COPY!I732,"")</f>
        <v/>
      </c>
      <c r="I734" s="85" t="str">
        <f>IF(COPY!M732&gt;0,COPY!M732,"")</f>
        <v/>
      </c>
      <c r="J734" s="85" t="str">
        <f>IF(COPY!N732&gt;0,COPY!N732,"")</f>
        <v/>
      </c>
      <c r="K734" s="86" t="str">
        <f>IF(N734=0,(IF(LEFT(Table13[[#This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Row],[URAIAN]],$U$194:$V$210,2,FALSE),""),""),0))))),N734)</f>
        <v/>
      </c>
      <c r="L734" s="85" t="str">
        <f>IF(Table13[[#This Row],[Column2]]="KWITANSI",COUNTIF($K$4:K734,"KWITANSI")," ")</f>
        <v xml:space="preserve"> </v>
      </c>
      <c r="M734" s="85" t="str">
        <f>IF(Table13[[#This Row],[Column3]]=" "," ",Table13[[#This Row],[CODE]])</f>
        <v xml:space="preserve"> </v>
      </c>
      <c r="N734" s="368"/>
      <c r="P734" s="81" t="str">
        <f t="shared" si="11"/>
        <v/>
      </c>
    </row>
    <row r="735" spans="1:16" hidden="1" x14ac:dyDescent="0.15">
      <c r="A735" s="81" t="str">
        <f>COPY!O733</f>
        <v/>
      </c>
      <c r="B735" s="81" t="str">
        <f>COPY!C733</f>
        <v/>
      </c>
      <c r="C735" s="82" t="str">
        <f>COPY!D733</f>
        <v/>
      </c>
      <c r="D735" s="81" t="str">
        <f>IF(Table13[[#This Row],[JUMLAH]]&gt;1,(IF(Table13[[#This Row],[CODE]]=" ",D734&amp;"a",IF(Table13[[#This Row],[CODE]]&gt;0,Table13[[#This Row],[CODE]],0))),"")</f>
        <v/>
      </c>
      <c r="E735" s="81" t="str">
        <f>IF(COPY!G733&gt;0,COPY!G733,"")</f>
        <v/>
      </c>
      <c r="F735" s="88" t="str">
        <f>IF(COPY!J733&gt;0,COPY!J733,"")</f>
        <v/>
      </c>
      <c r="G735" s="85" t="str">
        <f>IF(COPY!H733&gt;0,COPY!H733,"")</f>
        <v/>
      </c>
      <c r="H735" s="85" t="str">
        <f>IF(COPY!I733&gt;0,COPY!I733,"")</f>
        <v/>
      </c>
      <c r="I735" s="85" t="str">
        <f>IF(COPY!M733&gt;0,COPY!M733,"")</f>
        <v/>
      </c>
      <c r="J735" s="85" t="str">
        <f>IF(COPY!N733&gt;0,COPY!N733,"")</f>
        <v/>
      </c>
      <c r="K735" s="86" t="str">
        <f>IF(N735=0,(IF(LEFT(Table13[[#This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Row],[URAIAN]],$U$194:$V$210,2,FALSE),""),""),0))))),N735)</f>
        <v/>
      </c>
      <c r="L735" s="85" t="str">
        <f>IF(Table13[[#This Row],[Column2]]="KWITANSI",COUNTIF($K$4:K735,"KWITANSI")," ")</f>
        <v xml:space="preserve"> </v>
      </c>
      <c r="M735" s="85" t="str">
        <f>IF(Table13[[#This Row],[Column3]]=" "," ",Table13[[#This Row],[CODE]])</f>
        <v xml:space="preserve"> </v>
      </c>
      <c r="N735" s="368"/>
      <c r="P735" s="81" t="str">
        <f t="shared" si="11"/>
        <v/>
      </c>
    </row>
    <row r="736" spans="1:16" hidden="1" x14ac:dyDescent="0.15">
      <c r="A736" s="81" t="str">
        <f>COPY!O734</f>
        <v/>
      </c>
      <c r="B736" s="81" t="str">
        <f>COPY!C734</f>
        <v/>
      </c>
      <c r="C736" s="82" t="str">
        <f>COPY!D734</f>
        <v/>
      </c>
      <c r="D736" s="81" t="str">
        <f>IF(Table13[[#This Row],[JUMLAH]]&gt;1,(IF(Table13[[#This Row],[CODE]]=" ",D735&amp;"a",IF(Table13[[#This Row],[CODE]]&gt;0,Table13[[#This Row],[CODE]],0))),"")</f>
        <v/>
      </c>
      <c r="E736" s="81" t="str">
        <f>IF(COPY!G734&gt;0,COPY!G734,"")</f>
        <v/>
      </c>
      <c r="F736" s="88" t="str">
        <f>IF(COPY!J734&gt;0,COPY!J734,"")</f>
        <v/>
      </c>
      <c r="G736" s="85" t="str">
        <f>IF(COPY!H734&gt;0,COPY!H734,"")</f>
        <v/>
      </c>
      <c r="H736" s="85" t="str">
        <f>IF(COPY!I734&gt;0,COPY!I734,"")</f>
        <v/>
      </c>
      <c r="I736" s="85" t="str">
        <f>IF(COPY!M734&gt;0,COPY!M734,"")</f>
        <v/>
      </c>
      <c r="J736" s="85" t="str">
        <f>IF(COPY!N734&gt;0,COPY!N734,"")</f>
        <v/>
      </c>
      <c r="K736" s="86" t="str">
        <f>IF(N736=0,(IF(LEFT(Table13[[#This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Row],[URAIAN]],$U$194:$V$210,2,FALSE),""),""),0))))),N736)</f>
        <v/>
      </c>
      <c r="L736" s="85" t="str">
        <f>IF(Table13[[#This Row],[Column2]]="KWITANSI",COUNTIF($K$4:K736,"KWITANSI")," ")</f>
        <v xml:space="preserve"> </v>
      </c>
      <c r="M736" s="85" t="str">
        <f>IF(Table13[[#This Row],[Column3]]=" "," ",Table13[[#This Row],[CODE]])</f>
        <v xml:space="preserve"> </v>
      </c>
      <c r="N736" s="368"/>
      <c r="P736" s="81" t="str">
        <f t="shared" si="11"/>
        <v/>
      </c>
    </row>
    <row r="737" spans="1:16" hidden="1" x14ac:dyDescent="0.15">
      <c r="A737" s="81" t="str">
        <f>COPY!O735</f>
        <v/>
      </c>
      <c r="B737" s="81" t="str">
        <f>COPY!C735</f>
        <v/>
      </c>
      <c r="C737" s="82" t="str">
        <f>COPY!D735</f>
        <v/>
      </c>
      <c r="D737" s="81" t="str">
        <f>IF(Table13[[#This Row],[JUMLAH]]&gt;1,(IF(Table13[[#This Row],[CODE]]=" ",D736&amp;"a",IF(Table13[[#This Row],[CODE]]&gt;0,Table13[[#This Row],[CODE]],0))),"")</f>
        <v/>
      </c>
      <c r="E737" s="81" t="str">
        <f>IF(COPY!G735&gt;0,COPY!G735,"")</f>
        <v/>
      </c>
      <c r="F737" s="88" t="str">
        <f>IF(COPY!J735&gt;0,COPY!J735,"")</f>
        <v/>
      </c>
      <c r="G737" s="85" t="str">
        <f>IF(COPY!H735&gt;0,COPY!H735,"")</f>
        <v/>
      </c>
      <c r="H737" s="85" t="str">
        <f>IF(COPY!I735&gt;0,COPY!I735,"")</f>
        <v/>
      </c>
      <c r="I737" s="85" t="str">
        <f>IF(COPY!M735&gt;0,COPY!M735,"")</f>
        <v/>
      </c>
      <c r="J737" s="85" t="str">
        <f>IF(COPY!N735&gt;0,COPY!N735,"")</f>
        <v/>
      </c>
      <c r="K737" s="86" t="str">
        <f>IF(N737=0,(IF(LEFT(Table13[[#This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Row],[URAIAN]],$U$194:$V$210,2,FALSE),""),""),0))))),N737)</f>
        <v/>
      </c>
      <c r="L737" s="85" t="str">
        <f>IF(Table13[[#This Row],[Column2]]="KWITANSI",COUNTIF($K$4:K737,"KWITANSI")," ")</f>
        <v xml:space="preserve"> </v>
      </c>
      <c r="M737" s="85" t="str">
        <f>IF(Table13[[#This Row],[Column3]]=" "," ",Table13[[#This Row],[CODE]])</f>
        <v xml:space="preserve"> </v>
      </c>
      <c r="N737" s="368"/>
      <c r="P737" s="81" t="str">
        <f t="shared" si="11"/>
        <v/>
      </c>
    </row>
    <row r="738" spans="1:16" hidden="1" x14ac:dyDescent="0.15">
      <c r="A738" s="81" t="str">
        <f>COPY!O736</f>
        <v/>
      </c>
      <c r="B738" s="81" t="str">
        <f>COPY!C736</f>
        <v/>
      </c>
      <c r="C738" s="82" t="str">
        <f>COPY!D736</f>
        <v/>
      </c>
      <c r="D738" s="81" t="str">
        <f>IF(Table13[[#This Row],[JUMLAH]]&gt;1,(IF(Table13[[#This Row],[CODE]]=" ",D737&amp;"a",IF(Table13[[#This Row],[CODE]]&gt;0,Table13[[#This Row],[CODE]],0))),"")</f>
        <v/>
      </c>
      <c r="E738" s="81" t="str">
        <f>IF(COPY!G736&gt;0,COPY!G736,"")</f>
        <v/>
      </c>
      <c r="F738" s="88" t="str">
        <f>IF(COPY!J736&gt;0,COPY!J736,"")</f>
        <v/>
      </c>
      <c r="G738" s="85" t="str">
        <f>IF(COPY!H736&gt;0,COPY!H736,"")</f>
        <v/>
      </c>
      <c r="H738" s="85" t="str">
        <f>IF(COPY!I736&gt;0,COPY!I736,"")</f>
        <v/>
      </c>
      <c r="I738" s="85" t="str">
        <f>IF(COPY!M736&gt;0,COPY!M736,"")</f>
        <v/>
      </c>
      <c r="J738" s="85" t="str">
        <f>IF(COPY!N736&gt;0,COPY!N736,"")</f>
        <v/>
      </c>
      <c r="K738" s="86" t="str">
        <f>IF(N738=0,(IF(LEFT(Table13[[#This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Row],[URAIAN]],$U$194:$V$210,2,FALSE),""),""),0))))),N738)</f>
        <v/>
      </c>
      <c r="L738" s="85" t="str">
        <f>IF(Table13[[#This Row],[Column2]]="KWITANSI",COUNTIF($K$4:K738,"KWITANSI")," ")</f>
        <v xml:space="preserve"> </v>
      </c>
      <c r="M738" s="85" t="str">
        <f>IF(Table13[[#This Row],[Column3]]=" "," ",Table13[[#This Row],[CODE]])</f>
        <v xml:space="preserve"> </v>
      </c>
      <c r="N738" s="368"/>
      <c r="P738" s="81" t="str">
        <f t="shared" si="11"/>
        <v/>
      </c>
    </row>
    <row r="739" spans="1:16" hidden="1" x14ac:dyDescent="0.15">
      <c r="A739" s="81" t="str">
        <f>COPY!O737</f>
        <v/>
      </c>
      <c r="B739" s="81" t="str">
        <f>COPY!C737</f>
        <v/>
      </c>
      <c r="C739" s="82" t="str">
        <f>COPY!D737</f>
        <v/>
      </c>
      <c r="D739" s="81" t="str">
        <f>IF(Table13[[#This Row],[JUMLAH]]&gt;1,(IF(Table13[[#This Row],[CODE]]=" ",D738&amp;"a",IF(Table13[[#This Row],[CODE]]&gt;0,Table13[[#This Row],[CODE]],0))),"")</f>
        <v/>
      </c>
      <c r="E739" s="81" t="str">
        <f>IF(COPY!G737&gt;0,COPY!G737,"")</f>
        <v/>
      </c>
      <c r="F739" s="88" t="str">
        <f>IF(COPY!J737&gt;0,COPY!J737,"")</f>
        <v/>
      </c>
      <c r="G739" s="85" t="str">
        <f>IF(COPY!H737&gt;0,COPY!H737,"")</f>
        <v/>
      </c>
      <c r="H739" s="85" t="str">
        <f>IF(COPY!I737&gt;0,COPY!I737,"")</f>
        <v/>
      </c>
      <c r="I739" s="85" t="str">
        <f>IF(COPY!M737&gt;0,COPY!M737,"")</f>
        <v/>
      </c>
      <c r="J739" s="85" t="str">
        <f>IF(COPY!N737&gt;0,COPY!N737,"")</f>
        <v/>
      </c>
      <c r="K739" s="86" t="str">
        <f>IF(N739=0,(IF(LEFT(Table13[[#This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Row],[URAIAN]],$U$194:$V$210,2,FALSE),""),""),0))))),N739)</f>
        <v/>
      </c>
      <c r="L739" s="85" t="str">
        <f>IF(Table13[[#This Row],[Column2]]="KWITANSI",COUNTIF($K$4:K739,"KWITANSI")," ")</f>
        <v xml:space="preserve"> </v>
      </c>
      <c r="M739" s="85" t="str">
        <f>IF(Table13[[#This Row],[Column3]]=" "," ",Table13[[#This Row],[CODE]])</f>
        <v xml:space="preserve"> </v>
      </c>
      <c r="N739" s="368"/>
      <c r="P739" s="81" t="str">
        <f t="shared" si="11"/>
        <v/>
      </c>
    </row>
    <row r="740" spans="1:16" hidden="1" x14ac:dyDescent="0.15">
      <c r="A740" s="81" t="str">
        <f>COPY!O738</f>
        <v/>
      </c>
      <c r="B740" s="81" t="str">
        <f>COPY!C738</f>
        <v/>
      </c>
      <c r="C740" s="82" t="str">
        <f>COPY!D738</f>
        <v/>
      </c>
      <c r="D740" s="81" t="str">
        <f>IF(Table13[[#This Row],[JUMLAH]]&gt;1,(IF(Table13[[#This Row],[CODE]]=" ",D739&amp;"a",IF(Table13[[#This Row],[CODE]]&gt;0,Table13[[#This Row],[CODE]],0))),"")</f>
        <v/>
      </c>
      <c r="E740" s="81" t="str">
        <f>IF(COPY!G738&gt;0,COPY!G738,"")</f>
        <v/>
      </c>
      <c r="F740" s="88" t="str">
        <f>IF(COPY!J738&gt;0,COPY!J738,"")</f>
        <v/>
      </c>
      <c r="G740" s="85" t="str">
        <f>IF(COPY!H738&gt;0,COPY!H738,"")</f>
        <v/>
      </c>
      <c r="H740" s="85" t="str">
        <f>IF(COPY!I738&gt;0,COPY!I738,"")</f>
        <v/>
      </c>
      <c r="I740" s="85" t="str">
        <f>IF(COPY!M738&gt;0,COPY!M738,"")</f>
        <v/>
      </c>
      <c r="J740" s="85" t="str">
        <f>IF(COPY!N738&gt;0,COPY!N738,"")</f>
        <v/>
      </c>
      <c r="K740" s="86" t="str">
        <f>IF(N740=0,(IF(LEFT(Table13[[#This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Row],[URAIAN]],$U$194:$V$210,2,FALSE),""),""),0))))),N740)</f>
        <v/>
      </c>
      <c r="L740" s="85" t="str">
        <f>IF(Table13[[#This Row],[Column2]]="KWITANSI",COUNTIF($K$4:K740,"KWITANSI")," ")</f>
        <v xml:space="preserve"> </v>
      </c>
      <c r="M740" s="85" t="str">
        <f>IF(Table13[[#This Row],[Column3]]=" "," ",Table13[[#This Row],[CODE]])</f>
        <v xml:space="preserve"> </v>
      </c>
      <c r="N740" s="368"/>
      <c r="P740" s="81" t="str">
        <f t="shared" si="11"/>
        <v/>
      </c>
    </row>
    <row r="741" spans="1:16" hidden="1" x14ac:dyDescent="0.15">
      <c r="A741" s="81" t="str">
        <f>COPY!O739</f>
        <v/>
      </c>
      <c r="B741" s="81" t="str">
        <f>COPY!C739</f>
        <v/>
      </c>
      <c r="C741" s="82" t="str">
        <f>COPY!D739</f>
        <v/>
      </c>
      <c r="D741" s="81" t="str">
        <f>IF(Table13[[#This Row],[JUMLAH]]&gt;1,(IF(Table13[[#This Row],[CODE]]=" ",D740&amp;"a",IF(Table13[[#This Row],[CODE]]&gt;0,Table13[[#This Row],[CODE]],0))),"")</f>
        <v/>
      </c>
      <c r="E741" s="81" t="str">
        <f>IF(COPY!G739&gt;0,COPY!G739,"")</f>
        <v/>
      </c>
      <c r="F741" s="88" t="str">
        <f>IF(COPY!J739&gt;0,COPY!J739,"")</f>
        <v/>
      </c>
      <c r="G741" s="85" t="str">
        <f>IF(COPY!H739&gt;0,COPY!H739,"")</f>
        <v/>
      </c>
      <c r="H741" s="85" t="str">
        <f>IF(COPY!I739&gt;0,COPY!I739,"")</f>
        <v/>
      </c>
      <c r="I741" s="85" t="str">
        <f>IF(COPY!M739&gt;0,COPY!M739,"")</f>
        <v/>
      </c>
      <c r="J741" s="85" t="str">
        <f>IF(COPY!N739&gt;0,COPY!N739,"")</f>
        <v/>
      </c>
      <c r="K741" s="86" t="str">
        <f>IF(N741=0,(IF(LEFT(Table13[[#This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Row],[URAIAN]],$U$194:$V$210,2,FALSE),""),""),0))))),N741)</f>
        <v/>
      </c>
      <c r="L741" s="85" t="str">
        <f>IF(Table13[[#This Row],[Column2]]="KWITANSI",COUNTIF($K$4:K741,"KWITANSI")," ")</f>
        <v xml:space="preserve"> </v>
      </c>
      <c r="M741" s="85" t="str">
        <f>IF(Table13[[#This Row],[Column3]]=" "," ",Table13[[#This Row],[CODE]])</f>
        <v xml:space="preserve"> </v>
      </c>
      <c r="N741" s="368"/>
      <c r="P741" s="81" t="str">
        <f t="shared" si="11"/>
        <v/>
      </c>
    </row>
    <row r="742" spans="1:16" hidden="1" x14ac:dyDescent="0.15">
      <c r="A742" s="81" t="str">
        <f>COPY!O740</f>
        <v/>
      </c>
      <c r="B742" s="81" t="str">
        <f>COPY!C740</f>
        <v/>
      </c>
      <c r="C742" s="82" t="str">
        <f>COPY!D740</f>
        <v/>
      </c>
      <c r="D742" s="81" t="str">
        <f>IF(Table13[[#This Row],[JUMLAH]]&gt;1,(IF(Table13[[#This Row],[CODE]]=" ",D741&amp;"a",IF(Table13[[#This Row],[CODE]]&gt;0,Table13[[#This Row],[CODE]],0))),"")</f>
        <v/>
      </c>
      <c r="E742" s="81" t="str">
        <f>IF(COPY!G740&gt;0,COPY!G740,"")</f>
        <v/>
      </c>
      <c r="F742" s="88" t="str">
        <f>IF(COPY!J740&gt;0,COPY!J740,"")</f>
        <v/>
      </c>
      <c r="G742" s="85" t="str">
        <f>IF(COPY!H740&gt;0,COPY!H740,"")</f>
        <v/>
      </c>
      <c r="H742" s="85" t="str">
        <f>IF(COPY!I740&gt;0,COPY!I740,"")</f>
        <v/>
      </c>
      <c r="I742" s="85" t="str">
        <f>IF(COPY!M740&gt;0,COPY!M740,"")</f>
        <v/>
      </c>
      <c r="J742" s="85" t="str">
        <f>IF(COPY!N740&gt;0,COPY!N740,"")</f>
        <v/>
      </c>
      <c r="K742" s="86" t="str">
        <f>IF(N742=0,(IF(LEFT(Table13[[#This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Row],[URAIAN]],$U$194:$V$210,2,FALSE),""),""),0))))),N742)</f>
        <v/>
      </c>
      <c r="L742" s="85" t="str">
        <f>IF(Table13[[#This Row],[Column2]]="KWITANSI",COUNTIF($K$4:K742,"KWITANSI")," ")</f>
        <v xml:space="preserve"> </v>
      </c>
      <c r="M742" s="85" t="str">
        <f>IF(Table13[[#This Row],[Column3]]=" "," ",Table13[[#This Row],[CODE]])</f>
        <v xml:space="preserve"> </v>
      </c>
      <c r="N742" s="368"/>
      <c r="P742" s="81" t="str">
        <f t="shared" si="11"/>
        <v/>
      </c>
    </row>
    <row r="743" spans="1:16" hidden="1" x14ac:dyDescent="0.15">
      <c r="A743" s="81" t="str">
        <f>COPY!O741</f>
        <v/>
      </c>
      <c r="B743" s="81" t="str">
        <f>COPY!C741</f>
        <v/>
      </c>
      <c r="C743" s="82" t="str">
        <f>COPY!D741</f>
        <v/>
      </c>
      <c r="D743" s="81" t="str">
        <f>IF(Table13[[#This Row],[JUMLAH]]&gt;1,(IF(Table13[[#This Row],[CODE]]=" ",D742&amp;"a",IF(Table13[[#This Row],[CODE]]&gt;0,Table13[[#This Row],[CODE]],0))),"")</f>
        <v/>
      </c>
      <c r="E743" s="81" t="str">
        <f>IF(COPY!G741&gt;0,COPY!G741,"")</f>
        <v/>
      </c>
      <c r="F743" s="88" t="str">
        <f>IF(COPY!J741&gt;0,COPY!J741,"")</f>
        <v/>
      </c>
      <c r="G743" s="85" t="str">
        <f>IF(COPY!H741&gt;0,COPY!H741,"")</f>
        <v/>
      </c>
      <c r="H743" s="85" t="str">
        <f>IF(COPY!I741&gt;0,COPY!I741,"")</f>
        <v/>
      </c>
      <c r="I743" s="85" t="str">
        <f>IF(COPY!M741&gt;0,COPY!M741,"")</f>
        <v/>
      </c>
      <c r="J743" s="85" t="str">
        <f>IF(COPY!N741&gt;0,COPY!N741,"")</f>
        <v/>
      </c>
      <c r="K743" s="86" t="str">
        <f>IF(N743=0,(IF(LEFT(Table13[[#This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Row],[URAIAN]],$U$194:$V$210,2,FALSE),""),""),0))))),N743)</f>
        <v/>
      </c>
      <c r="L743" s="85" t="str">
        <f>IF(Table13[[#This Row],[Column2]]="KWITANSI",COUNTIF($K$4:K743,"KWITANSI")," ")</f>
        <v xml:space="preserve"> </v>
      </c>
      <c r="M743" s="85" t="str">
        <f>IF(Table13[[#This Row],[Column3]]=" "," ",Table13[[#This Row],[CODE]])</f>
        <v xml:space="preserve"> </v>
      </c>
      <c r="N743" s="368"/>
      <c r="P743" s="81" t="str">
        <f t="shared" si="11"/>
        <v/>
      </c>
    </row>
    <row r="744" spans="1:16" hidden="1" x14ac:dyDescent="0.15">
      <c r="A744" s="81" t="str">
        <f>COPY!O742</f>
        <v/>
      </c>
      <c r="B744" s="81" t="str">
        <f>COPY!C742</f>
        <v/>
      </c>
      <c r="C744" s="82" t="str">
        <f>COPY!D742</f>
        <v/>
      </c>
      <c r="D744" s="81" t="str">
        <f>IF(Table13[[#This Row],[JUMLAH]]&gt;1,(IF(Table13[[#This Row],[CODE]]=" ",D743&amp;"a",IF(Table13[[#This Row],[CODE]]&gt;0,Table13[[#This Row],[CODE]],0))),"")</f>
        <v/>
      </c>
      <c r="E744" s="81" t="str">
        <f>IF(COPY!G742&gt;0,COPY!G742,"")</f>
        <v/>
      </c>
      <c r="F744" s="88" t="str">
        <f>IF(COPY!J742&gt;0,COPY!J742,"")</f>
        <v/>
      </c>
      <c r="G744" s="85" t="str">
        <f>IF(COPY!H742&gt;0,COPY!H742,"")</f>
        <v/>
      </c>
      <c r="H744" s="85" t="str">
        <f>IF(COPY!I742&gt;0,COPY!I742,"")</f>
        <v/>
      </c>
      <c r="I744" s="85" t="str">
        <f>IF(COPY!M742&gt;0,COPY!M742,"")</f>
        <v/>
      </c>
      <c r="J744" s="85" t="str">
        <f>IF(COPY!N742&gt;0,COPY!N742,"")</f>
        <v/>
      </c>
      <c r="K744" s="86" t="str">
        <f>IF(N744=0,(IF(LEFT(Table13[[#This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Row],[URAIAN]],$U$194:$V$210,2,FALSE),""),""),0))))),N744)</f>
        <v/>
      </c>
      <c r="L744" s="85" t="str">
        <f>IF(Table13[[#This Row],[Column2]]="KWITANSI",COUNTIF($K$4:K744,"KWITANSI")," ")</f>
        <v xml:space="preserve"> </v>
      </c>
      <c r="M744" s="85" t="str">
        <f>IF(Table13[[#This Row],[Column3]]=" "," ",Table13[[#This Row],[CODE]])</f>
        <v xml:space="preserve"> </v>
      </c>
      <c r="N744" s="368"/>
      <c r="P744" s="81" t="str">
        <f t="shared" si="11"/>
        <v/>
      </c>
    </row>
    <row r="745" spans="1:16" hidden="1" x14ac:dyDescent="0.15">
      <c r="A745" s="81" t="str">
        <f>COPY!O743</f>
        <v/>
      </c>
      <c r="B745" s="81" t="str">
        <f>COPY!C743</f>
        <v/>
      </c>
      <c r="C745" s="82" t="str">
        <f>COPY!D743</f>
        <v/>
      </c>
      <c r="D745" s="81" t="str">
        <f>IF(Table13[[#This Row],[JUMLAH]]&gt;1,(IF(Table13[[#This Row],[CODE]]=" ",D744&amp;"a",IF(Table13[[#This Row],[CODE]]&gt;0,Table13[[#This Row],[CODE]],0))),"")</f>
        <v/>
      </c>
      <c r="E745" s="81" t="str">
        <f>IF(COPY!G743&gt;0,COPY!G743,"")</f>
        <v/>
      </c>
      <c r="F745" s="88" t="str">
        <f>IF(COPY!J743&gt;0,COPY!J743,"")</f>
        <v/>
      </c>
      <c r="G745" s="85" t="str">
        <f>IF(COPY!H743&gt;0,COPY!H743,"")</f>
        <v/>
      </c>
      <c r="H745" s="85" t="str">
        <f>IF(COPY!I743&gt;0,COPY!I743,"")</f>
        <v/>
      </c>
      <c r="I745" s="85" t="str">
        <f>IF(COPY!M743&gt;0,COPY!M743,"")</f>
        <v/>
      </c>
      <c r="J745" s="85" t="str">
        <f>IF(COPY!N743&gt;0,COPY!N743,"")</f>
        <v/>
      </c>
      <c r="K745" s="86" t="str">
        <f>IF(N745=0,(IF(LEFT(Table13[[#This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Row],[URAIAN]],$U$194:$V$210,2,FALSE),""),""),0))))),N745)</f>
        <v/>
      </c>
      <c r="L745" s="85" t="str">
        <f>IF(Table13[[#This Row],[Column2]]="KWITANSI",COUNTIF($K$4:K745,"KWITANSI")," ")</f>
        <v xml:space="preserve"> </v>
      </c>
      <c r="M745" s="85" t="str">
        <f>IF(Table13[[#This Row],[Column3]]=" "," ",Table13[[#This Row],[CODE]])</f>
        <v xml:space="preserve"> </v>
      </c>
      <c r="N745" s="368"/>
      <c r="P745" s="81" t="str">
        <f t="shared" si="11"/>
        <v/>
      </c>
    </row>
    <row r="746" spans="1:16" hidden="1" x14ac:dyDescent="0.15">
      <c r="A746" s="81" t="str">
        <f>COPY!O744</f>
        <v/>
      </c>
      <c r="B746" s="81" t="str">
        <f>COPY!C744</f>
        <v/>
      </c>
      <c r="C746" s="82" t="str">
        <f>COPY!D744</f>
        <v/>
      </c>
      <c r="D746" s="81" t="str">
        <f>IF(Table13[[#This Row],[JUMLAH]]&gt;1,(IF(Table13[[#This Row],[CODE]]=" ",D745&amp;"a",IF(Table13[[#This Row],[CODE]]&gt;0,Table13[[#This Row],[CODE]],0))),"")</f>
        <v/>
      </c>
      <c r="E746" s="81" t="str">
        <f>IF(COPY!G744&gt;0,COPY!G744,"")</f>
        <v/>
      </c>
      <c r="F746" s="88" t="str">
        <f>IF(COPY!J744&gt;0,COPY!J744,"")</f>
        <v/>
      </c>
      <c r="G746" s="85" t="str">
        <f>IF(COPY!H744&gt;0,COPY!H744,"")</f>
        <v/>
      </c>
      <c r="H746" s="85" t="str">
        <f>IF(COPY!I744&gt;0,COPY!I744,"")</f>
        <v/>
      </c>
      <c r="I746" s="85" t="str">
        <f>IF(COPY!M744&gt;0,COPY!M744,"")</f>
        <v/>
      </c>
      <c r="J746" s="85" t="str">
        <f>IF(COPY!N744&gt;0,COPY!N744,"")</f>
        <v/>
      </c>
      <c r="K746" s="86" t="str">
        <f>IF(N746=0,(IF(LEFT(Table13[[#This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Row],[URAIAN]],$U$194:$V$210,2,FALSE),""),""),0))))),N746)</f>
        <v/>
      </c>
      <c r="L746" s="85" t="str">
        <f>IF(Table13[[#This Row],[Column2]]="KWITANSI",COUNTIF($K$4:K746,"KWITANSI")," ")</f>
        <v xml:space="preserve"> </v>
      </c>
      <c r="M746" s="85" t="str">
        <f>IF(Table13[[#This Row],[Column3]]=" "," ",Table13[[#This Row],[CODE]])</f>
        <v xml:space="preserve"> </v>
      </c>
      <c r="N746" s="368"/>
      <c r="P746" s="81" t="str">
        <f t="shared" si="11"/>
        <v/>
      </c>
    </row>
    <row r="747" spans="1:16" hidden="1" x14ac:dyDescent="0.15">
      <c r="A747" s="81" t="str">
        <f>COPY!O745</f>
        <v/>
      </c>
      <c r="B747" s="81" t="str">
        <f>COPY!C745</f>
        <v/>
      </c>
      <c r="C747" s="82" t="str">
        <f>COPY!D745</f>
        <v/>
      </c>
      <c r="D747" s="81" t="str">
        <f>IF(Table13[[#This Row],[JUMLAH]]&gt;1,(IF(Table13[[#This Row],[CODE]]=" ",D746&amp;"a",IF(Table13[[#This Row],[CODE]]&gt;0,Table13[[#This Row],[CODE]],0))),"")</f>
        <v/>
      </c>
      <c r="E747" s="81" t="str">
        <f>IF(COPY!G745&gt;0,COPY!G745,"")</f>
        <v/>
      </c>
      <c r="F747" s="88" t="str">
        <f>IF(COPY!J745&gt;0,COPY!J745,"")</f>
        <v/>
      </c>
      <c r="G747" s="85" t="str">
        <f>IF(COPY!H745&gt;0,COPY!H745,"")</f>
        <v/>
      </c>
      <c r="H747" s="85" t="str">
        <f>IF(COPY!I745&gt;0,COPY!I745,"")</f>
        <v/>
      </c>
      <c r="I747" s="85" t="str">
        <f>IF(COPY!M745&gt;0,COPY!M745,"")</f>
        <v/>
      </c>
      <c r="J747" s="85" t="str">
        <f>IF(COPY!N745&gt;0,COPY!N745,"")</f>
        <v/>
      </c>
      <c r="K747" s="86" t="str">
        <f>IF(N747=0,(IF(LEFT(Table13[[#This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Row],[URAIAN]],$U$194:$V$210,2,FALSE),""),""),0))))),N747)</f>
        <v/>
      </c>
      <c r="L747" s="85" t="str">
        <f>IF(Table13[[#This Row],[Column2]]="KWITANSI",COUNTIF($K$4:K747,"KWITANSI")," ")</f>
        <v xml:space="preserve"> </v>
      </c>
      <c r="M747" s="85" t="str">
        <f>IF(Table13[[#This Row],[Column3]]=" "," ",Table13[[#This Row],[CODE]])</f>
        <v xml:space="preserve"> </v>
      </c>
      <c r="N747" s="368"/>
      <c r="P747" s="81" t="str">
        <f t="shared" si="11"/>
        <v/>
      </c>
    </row>
    <row r="748" spans="1:16" hidden="1" x14ac:dyDescent="0.15">
      <c r="A748" s="81" t="str">
        <f>COPY!O746</f>
        <v/>
      </c>
      <c r="B748" s="81" t="str">
        <f>COPY!C746</f>
        <v/>
      </c>
      <c r="C748" s="82" t="str">
        <f>COPY!D746</f>
        <v/>
      </c>
      <c r="D748" s="81" t="str">
        <f>IF(Table13[[#This Row],[JUMLAH]]&gt;1,(IF(Table13[[#This Row],[CODE]]=" ",D747&amp;"a",IF(Table13[[#This Row],[CODE]]&gt;0,Table13[[#This Row],[CODE]],0))),"")</f>
        <v/>
      </c>
      <c r="E748" s="81" t="str">
        <f>IF(COPY!G746&gt;0,COPY!G746,"")</f>
        <v/>
      </c>
      <c r="F748" s="88" t="str">
        <f>IF(COPY!J746&gt;0,COPY!J746,"")</f>
        <v/>
      </c>
      <c r="G748" s="85" t="str">
        <f>IF(COPY!H746&gt;0,COPY!H746,"")</f>
        <v/>
      </c>
      <c r="H748" s="85" t="str">
        <f>IF(COPY!I746&gt;0,COPY!I746,"")</f>
        <v/>
      </c>
      <c r="I748" s="85" t="str">
        <f>IF(COPY!M746&gt;0,COPY!M746,"")</f>
        <v/>
      </c>
      <c r="J748" s="85" t="str">
        <f>IF(COPY!N746&gt;0,COPY!N746,"")</f>
        <v/>
      </c>
      <c r="K748" s="86" t="str">
        <f>IF(N748=0,(IF(LEFT(Table13[[#This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Row],[URAIAN]],$U$194:$V$210,2,FALSE),""),""),0))))),N748)</f>
        <v/>
      </c>
      <c r="L748" s="85" t="str">
        <f>IF(Table13[[#This Row],[Column2]]="KWITANSI",COUNTIF($K$4:K748,"KWITANSI")," ")</f>
        <v xml:space="preserve"> </v>
      </c>
      <c r="M748" s="85" t="str">
        <f>IF(Table13[[#This Row],[Column3]]=" "," ",Table13[[#This Row],[CODE]])</f>
        <v xml:space="preserve"> </v>
      </c>
      <c r="N748" s="368"/>
      <c r="P748" s="81" t="str">
        <f t="shared" si="11"/>
        <v/>
      </c>
    </row>
    <row r="749" spans="1:16" hidden="1" x14ac:dyDescent="0.15">
      <c r="A749" s="81" t="str">
        <f>COPY!O747</f>
        <v/>
      </c>
      <c r="B749" s="81" t="str">
        <f>COPY!C747</f>
        <v/>
      </c>
      <c r="C749" s="82" t="str">
        <f>COPY!D747</f>
        <v/>
      </c>
      <c r="D749" s="81" t="str">
        <f>IF(Table13[[#This Row],[JUMLAH]]&gt;1,(IF(Table13[[#This Row],[CODE]]=" ",D748&amp;"a",IF(Table13[[#This Row],[CODE]]&gt;0,Table13[[#This Row],[CODE]],0))),"")</f>
        <v/>
      </c>
      <c r="E749" s="81" t="str">
        <f>IF(COPY!G747&gt;0,COPY!G747,"")</f>
        <v/>
      </c>
      <c r="F749" s="88" t="str">
        <f>IF(COPY!J747&gt;0,COPY!J747,"")</f>
        <v/>
      </c>
      <c r="G749" s="85" t="str">
        <f>IF(COPY!H747&gt;0,COPY!H747,"")</f>
        <v/>
      </c>
      <c r="H749" s="85" t="str">
        <f>IF(COPY!I747&gt;0,COPY!I747,"")</f>
        <v/>
      </c>
      <c r="I749" s="85" t="str">
        <f>IF(COPY!M747&gt;0,COPY!M747,"")</f>
        <v/>
      </c>
      <c r="J749" s="85" t="str">
        <f>IF(COPY!N747&gt;0,COPY!N747,"")</f>
        <v/>
      </c>
      <c r="K749" s="86" t="str">
        <f>IF(N749=0,(IF(LEFT(Table13[[#This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Row],[URAIAN]],$U$194:$V$210,2,FALSE),""),""),0))))),N749)</f>
        <v/>
      </c>
      <c r="L749" s="85" t="str">
        <f>IF(Table13[[#This Row],[Column2]]="KWITANSI",COUNTIF($K$4:K749,"KWITANSI")," ")</f>
        <v xml:space="preserve"> </v>
      </c>
      <c r="M749" s="85" t="str">
        <f>IF(Table13[[#This Row],[Column3]]=" "," ",Table13[[#This Row],[CODE]])</f>
        <v xml:space="preserve"> </v>
      </c>
      <c r="N749" s="368"/>
      <c r="P749" s="81" t="str">
        <f t="shared" si="11"/>
        <v/>
      </c>
    </row>
    <row r="750" spans="1:16" hidden="1" x14ac:dyDescent="0.15">
      <c r="A750" s="81" t="str">
        <f>COPY!O748</f>
        <v/>
      </c>
      <c r="B750" s="81" t="str">
        <f>COPY!C748</f>
        <v/>
      </c>
      <c r="C750" s="82" t="str">
        <f>COPY!D748</f>
        <v/>
      </c>
      <c r="D750" s="81" t="str">
        <f>IF(Table13[[#This Row],[JUMLAH]]&gt;1,(IF(Table13[[#This Row],[CODE]]=" ",D749&amp;"a",IF(Table13[[#This Row],[CODE]]&gt;0,Table13[[#This Row],[CODE]],0))),"")</f>
        <v/>
      </c>
      <c r="E750" s="81" t="str">
        <f>IF(COPY!G748&gt;0,COPY!G748,"")</f>
        <v/>
      </c>
      <c r="F750" s="88" t="str">
        <f>IF(COPY!J748&gt;0,COPY!J748,"")</f>
        <v/>
      </c>
      <c r="G750" s="85" t="str">
        <f>IF(COPY!H748&gt;0,COPY!H748,"")</f>
        <v/>
      </c>
      <c r="H750" s="85" t="str">
        <f>IF(COPY!I748&gt;0,COPY!I748,"")</f>
        <v/>
      </c>
      <c r="I750" s="85" t="str">
        <f>IF(COPY!M748&gt;0,COPY!M748,"")</f>
        <v/>
      </c>
      <c r="J750" s="85" t="str">
        <f>IF(COPY!N748&gt;0,COPY!N748,"")</f>
        <v/>
      </c>
      <c r="K750" s="86" t="str">
        <f>IF(N750=0,(IF(LEFT(Table13[[#This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Row],[URAIAN]],$U$194:$V$210,2,FALSE),""),""),0))))),N750)</f>
        <v/>
      </c>
      <c r="L750" s="85" t="str">
        <f>IF(Table13[[#This Row],[Column2]]="KWITANSI",COUNTIF($K$4:K750,"KWITANSI")," ")</f>
        <v xml:space="preserve"> </v>
      </c>
      <c r="M750" s="85" t="str">
        <f>IF(Table13[[#This Row],[Column3]]=" "," ",Table13[[#This Row],[CODE]])</f>
        <v xml:space="preserve"> </v>
      </c>
      <c r="N750" s="368"/>
      <c r="P750" s="81" t="str">
        <f t="shared" si="11"/>
        <v/>
      </c>
    </row>
    <row r="751" spans="1:16" hidden="1" x14ac:dyDescent="0.15">
      <c r="A751" s="81" t="str">
        <f>COPY!O749</f>
        <v/>
      </c>
      <c r="B751" s="81" t="str">
        <f>COPY!C749</f>
        <v/>
      </c>
      <c r="C751" s="82" t="str">
        <f>COPY!D749</f>
        <v/>
      </c>
      <c r="D751" s="81" t="str">
        <f>IF(Table13[[#This Row],[JUMLAH]]&gt;1,(IF(Table13[[#This Row],[CODE]]=" ",D750&amp;"a",IF(Table13[[#This Row],[CODE]]&gt;0,Table13[[#This Row],[CODE]],0))),"")</f>
        <v/>
      </c>
      <c r="E751" s="81" t="str">
        <f>IF(COPY!G749&gt;0,COPY!G749,"")</f>
        <v/>
      </c>
      <c r="F751" s="88" t="str">
        <f>IF(COPY!J749&gt;0,COPY!J749,"")</f>
        <v/>
      </c>
      <c r="G751" s="85" t="str">
        <f>IF(COPY!H749&gt;0,COPY!H749,"")</f>
        <v/>
      </c>
      <c r="H751" s="85" t="str">
        <f>IF(COPY!I749&gt;0,COPY!I749,"")</f>
        <v/>
      </c>
      <c r="I751" s="85" t="str">
        <f>IF(COPY!M749&gt;0,COPY!M749,"")</f>
        <v/>
      </c>
      <c r="J751" s="85" t="str">
        <f>IF(COPY!N749&gt;0,COPY!N749,"")</f>
        <v/>
      </c>
      <c r="K751" s="86" t="str">
        <f>IF(N751=0,(IF(LEFT(Table13[[#This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Row],[URAIAN]],$U$194:$V$210,2,FALSE),""),""),0))))),N751)</f>
        <v/>
      </c>
      <c r="L751" s="85" t="str">
        <f>IF(Table13[[#This Row],[Column2]]="KWITANSI",COUNTIF($K$4:K751,"KWITANSI")," ")</f>
        <v xml:space="preserve"> </v>
      </c>
      <c r="M751" s="85" t="str">
        <f>IF(Table13[[#This Row],[Column3]]=" "," ",Table13[[#This Row],[CODE]])</f>
        <v xml:space="preserve"> </v>
      </c>
      <c r="N751" s="368"/>
      <c r="P751" s="81" t="str">
        <f t="shared" si="11"/>
        <v/>
      </c>
    </row>
    <row r="752" spans="1:16" hidden="1" x14ac:dyDescent="0.15">
      <c r="A752" s="81" t="str">
        <f>COPY!O750</f>
        <v/>
      </c>
      <c r="B752" s="81" t="str">
        <f>COPY!C750</f>
        <v/>
      </c>
      <c r="C752" s="82" t="str">
        <f>COPY!D750</f>
        <v/>
      </c>
      <c r="D752" s="81" t="str">
        <f>IF(Table13[[#This Row],[JUMLAH]]&gt;1,(IF(Table13[[#This Row],[CODE]]=" ",D751&amp;"a",IF(Table13[[#This Row],[CODE]]&gt;0,Table13[[#This Row],[CODE]],0))),"")</f>
        <v/>
      </c>
      <c r="E752" s="81" t="str">
        <f>IF(COPY!G750&gt;0,COPY!G750,"")</f>
        <v/>
      </c>
      <c r="F752" s="88" t="str">
        <f>IF(COPY!J750&gt;0,COPY!J750,"")</f>
        <v/>
      </c>
      <c r="G752" s="85" t="str">
        <f>IF(COPY!H750&gt;0,COPY!H750,"")</f>
        <v/>
      </c>
      <c r="H752" s="85" t="str">
        <f>IF(COPY!I750&gt;0,COPY!I750,"")</f>
        <v/>
      </c>
      <c r="I752" s="85" t="str">
        <f>IF(COPY!M750&gt;0,COPY!M750,"")</f>
        <v/>
      </c>
      <c r="J752" s="85" t="str">
        <f>IF(COPY!N750&gt;0,COPY!N750,"")</f>
        <v/>
      </c>
      <c r="K752" s="86" t="str">
        <f>IF(N752=0,(IF(LEFT(Table13[[#This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Row],[URAIAN]],$U$194:$V$210,2,FALSE),""),""),0))))),N752)</f>
        <v/>
      </c>
      <c r="L752" s="85" t="str">
        <f>IF(Table13[[#This Row],[Column2]]="KWITANSI",COUNTIF($K$4:K752,"KWITANSI")," ")</f>
        <v xml:space="preserve"> </v>
      </c>
      <c r="M752" s="85" t="str">
        <f>IF(Table13[[#This Row],[Column3]]=" "," ",Table13[[#This Row],[CODE]])</f>
        <v xml:space="preserve"> </v>
      </c>
      <c r="N752" s="368"/>
      <c r="P752" s="81" t="str">
        <f t="shared" si="11"/>
        <v/>
      </c>
    </row>
    <row r="753" spans="1:16" hidden="1" x14ac:dyDescent="0.15">
      <c r="A753" s="81" t="str">
        <f>COPY!O751</f>
        <v/>
      </c>
      <c r="B753" s="81" t="str">
        <f>COPY!C751</f>
        <v/>
      </c>
      <c r="C753" s="82" t="str">
        <f>COPY!D751</f>
        <v/>
      </c>
      <c r="D753" s="81" t="str">
        <f>IF(Table13[[#This Row],[JUMLAH]]&gt;1,(IF(Table13[[#This Row],[CODE]]=" ",D752&amp;"a",IF(Table13[[#This Row],[CODE]]&gt;0,Table13[[#This Row],[CODE]],0))),"")</f>
        <v/>
      </c>
      <c r="E753" s="81" t="str">
        <f>IF(COPY!G751&gt;0,COPY!G751,"")</f>
        <v/>
      </c>
      <c r="F753" s="88" t="str">
        <f>IF(COPY!J751&gt;0,COPY!J751,"")</f>
        <v/>
      </c>
      <c r="G753" s="85" t="str">
        <f>IF(COPY!H751&gt;0,COPY!H751,"")</f>
        <v/>
      </c>
      <c r="H753" s="85" t="str">
        <f>IF(COPY!I751&gt;0,COPY!I751,"")</f>
        <v/>
      </c>
      <c r="I753" s="85" t="str">
        <f>IF(COPY!M751&gt;0,COPY!M751,"")</f>
        <v/>
      </c>
      <c r="J753" s="85" t="str">
        <f>IF(COPY!N751&gt;0,COPY!N751,"")</f>
        <v/>
      </c>
      <c r="K753" s="86" t="str">
        <f>IF(N753=0,(IF(LEFT(Table13[[#This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Row],[URAIAN]],$U$194:$V$210,2,FALSE),""),""),0))))),N753)</f>
        <v/>
      </c>
      <c r="L753" s="85" t="str">
        <f>IF(Table13[[#This Row],[Column2]]="KWITANSI",COUNTIF($K$4:K753,"KWITANSI")," ")</f>
        <v xml:space="preserve"> </v>
      </c>
      <c r="M753" s="85" t="str">
        <f>IF(Table13[[#This Row],[Column3]]=" "," ",Table13[[#This Row],[CODE]])</f>
        <v xml:space="preserve"> </v>
      </c>
      <c r="N753" s="368"/>
      <c r="P753" s="81" t="str">
        <f t="shared" si="11"/>
        <v/>
      </c>
    </row>
    <row r="754" spans="1:16" hidden="1" x14ac:dyDescent="0.15">
      <c r="A754" s="81" t="str">
        <f>COPY!O752</f>
        <v/>
      </c>
      <c r="B754" s="81" t="str">
        <f>COPY!C752</f>
        <v/>
      </c>
      <c r="C754" s="82" t="str">
        <f>COPY!D752</f>
        <v/>
      </c>
      <c r="D754" s="81" t="str">
        <f>IF(Table13[[#This Row],[JUMLAH]]&gt;1,(IF(Table13[[#This Row],[CODE]]=" ",D753&amp;"a",IF(Table13[[#This Row],[CODE]]&gt;0,Table13[[#This Row],[CODE]],0))),"")</f>
        <v/>
      </c>
      <c r="E754" s="81" t="str">
        <f>IF(COPY!G752&gt;0,COPY!G752,"")</f>
        <v/>
      </c>
      <c r="F754" s="88" t="str">
        <f>IF(COPY!J752&gt;0,COPY!J752,"")</f>
        <v/>
      </c>
      <c r="G754" s="85" t="str">
        <f>IF(COPY!H752&gt;0,COPY!H752,"")</f>
        <v/>
      </c>
      <c r="H754" s="85" t="str">
        <f>IF(COPY!I752&gt;0,COPY!I752,"")</f>
        <v/>
      </c>
      <c r="I754" s="85" t="str">
        <f>IF(COPY!M752&gt;0,COPY!M752,"")</f>
        <v/>
      </c>
      <c r="J754" s="85" t="str">
        <f>IF(COPY!N752&gt;0,COPY!N752,"")</f>
        <v/>
      </c>
      <c r="K754" s="86" t="str">
        <f>IF(N754=0,(IF(LEFT(Table13[[#This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Row],[URAIAN]],$U$194:$V$210,2,FALSE),""),""),0))))),N754)</f>
        <v/>
      </c>
      <c r="L754" s="85" t="str">
        <f>IF(Table13[[#This Row],[Column2]]="KWITANSI",COUNTIF($K$4:K754,"KWITANSI")," ")</f>
        <v xml:space="preserve"> </v>
      </c>
      <c r="M754" s="85" t="str">
        <f>IF(Table13[[#This Row],[Column3]]=" "," ",Table13[[#This Row],[CODE]])</f>
        <v xml:space="preserve"> </v>
      </c>
      <c r="N754" s="368"/>
      <c r="P754" s="81" t="str">
        <f t="shared" si="11"/>
        <v/>
      </c>
    </row>
    <row r="755" spans="1:16" hidden="1" x14ac:dyDescent="0.15">
      <c r="A755" s="81" t="str">
        <f>COPY!O753</f>
        <v/>
      </c>
      <c r="B755" s="81" t="str">
        <f>COPY!C753</f>
        <v/>
      </c>
      <c r="C755" s="82" t="str">
        <f>COPY!D753</f>
        <v/>
      </c>
      <c r="D755" s="81" t="str">
        <f>IF(Table13[[#This Row],[JUMLAH]]&gt;1,(IF(Table13[[#This Row],[CODE]]=" ",D754&amp;"a",IF(Table13[[#This Row],[CODE]]&gt;0,Table13[[#This Row],[CODE]],0))),"")</f>
        <v/>
      </c>
      <c r="E755" s="81" t="str">
        <f>IF(COPY!G753&gt;0,COPY!G753,"")</f>
        <v/>
      </c>
      <c r="F755" s="88" t="str">
        <f>IF(COPY!J753&gt;0,COPY!J753,"")</f>
        <v/>
      </c>
      <c r="G755" s="85" t="str">
        <f>IF(COPY!H753&gt;0,COPY!H753,"")</f>
        <v/>
      </c>
      <c r="H755" s="85" t="str">
        <f>IF(COPY!I753&gt;0,COPY!I753,"")</f>
        <v/>
      </c>
      <c r="I755" s="85" t="str">
        <f>IF(COPY!M753&gt;0,COPY!M753,"")</f>
        <v/>
      </c>
      <c r="J755" s="85" t="str">
        <f>IF(COPY!N753&gt;0,COPY!N753,"")</f>
        <v/>
      </c>
      <c r="K755" s="86" t="str">
        <f>IF(N755=0,(IF(LEFT(Table13[[#This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Row],[URAIAN]],$U$194:$V$210,2,FALSE),""),""),0))))),N755)</f>
        <v/>
      </c>
      <c r="L755" s="85" t="str">
        <f>IF(Table13[[#This Row],[Column2]]="KWITANSI",COUNTIF($K$4:K755,"KWITANSI")," ")</f>
        <v xml:space="preserve"> </v>
      </c>
      <c r="M755" s="85" t="str">
        <f>IF(Table13[[#This Row],[Column3]]=" "," ",Table13[[#This Row],[CODE]])</f>
        <v xml:space="preserve"> </v>
      </c>
      <c r="N755" s="368"/>
      <c r="P755" s="81" t="str">
        <f t="shared" si="11"/>
        <v/>
      </c>
    </row>
    <row r="756" spans="1:16" hidden="1" x14ac:dyDescent="0.15">
      <c r="A756" s="81" t="str">
        <f>COPY!O754</f>
        <v/>
      </c>
      <c r="B756" s="81" t="str">
        <f>COPY!C754</f>
        <v/>
      </c>
      <c r="C756" s="82" t="str">
        <f>COPY!D754</f>
        <v/>
      </c>
      <c r="D756" s="81" t="str">
        <f>IF(Table13[[#This Row],[JUMLAH]]&gt;1,(IF(Table13[[#This Row],[CODE]]=" ",D755&amp;"a",IF(Table13[[#This Row],[CODE]]&gt;0,Table13[[#This Row],[CODE]],0))),"")</f>
        <v/>
      </c>
      <c r="E756" s="81" t="str">
        <f>IF(COPY!G754&gt;0,COPY!G754,"")</f>
        <v/>
      </c>
      <c r="F756" s="88" t="str">
        <f>IF(COPY!J754&gt;0,COPY!J754,"")</f>
        <v/>
      </c>
      <c r="G756" s="85" t="str">
        <f>IF(COPY!H754&gt;0,COPY!H754,"")</f>
        <v/>
      </c>
      <c r="H756" s="85" t="str">
        <f>IF(COPY!I754&gt;0,COPY!I754,"")</f>
        <v/>
      </c>
      <c r="I756" s="85" t="str">
        <f>IF(COPY!M754&gt;0,COPY!M754,"")</f>
        <v/>
      </c>
      <c r="J756" s="85" t="str">
        <f>IF(COPY!N754&gt;0,COPY!N754,"")</f>
        <v/>
      </c>
      <c r="K756" s="86" t="str">
        <f>IF(N756=0,(IF(LEFT(Table13[[#This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Row],[URAIAN]],$U$194:$V$210,2,FALSE),""),""),0))))),N756)</f>
        <v/>
      </c>
      <c r="L756" s="85" t="str">
        <f>IF(Table13[[#This Row],[Column2]]="KWITANSI",COUNTIF($K$4:K756,"KWITANSI")," ")</f>
        <v xml:space="preserve"> </v>
      </c>
      <c r="M756" s="85" t="str">
        <f>IF(Table13[[#This Row],[Column3]]=" "," ",Table13[[#This Row],[CODE]])</f>
        <v xml:space="preserve"> </v>
      </c>
      <c r="N756" s="368"/>
      <c r="P756" s="81" t="str">
        <f t="shared" si="11"/>
        <v/>
      </c>
    </row>
    <row r="757" spans="1:16" hidden="1" x14ac:dyDescent="0.15">
      <c r="A757" s="81" t="str">
        <f>COPY!O755</f>
        <v/>
      </c>
      <c r="B757" s="81" t="str">
        <f>COPY!C755</f>
        <v/>
      </c>
      <c r="C757" s="82" t="str">
        <f>COPY!D755</f>
        <v/>
      </c>
      <c r="D757" s="81" t="str">
        <f>IF(Table13[[#This Row],[JUMLAH]]&gt;1,(IF(Table13[[#This Row],[CODE]]=" ",D756&amp;"a",IF(Table13[[#This Row],[CODE]]&gt;0,Table13[[#This Row],[CODE]],0))),"")</f>
        <v/>
      </c>
      <c r="E757" s="81" t="str">
        <f>IF(COPY!G755&gt;0,COPY!G755,"")</f>
        <v/>
      </c>
      <c r="F757" s="88" t="str">
        <f>IF(COPY!J755&gt;0,COPY!J755,"")</f>
        <v/>
      </c>
      <c r="G757" s="85" t="str">
        <f>IF(COPY!H755&gt;0,COPY!H755,"")</f>
        <v/>
      </c>
      <c r="H757" s="85" t="str">
        <f>IF(COPY!I755&gt;0,COPY!I755,"")</f>
        <v/>
      </c>
      <c r="I757" s="85" t="str">
        <f>IF(COPY!M755&gt;0,COPY!M755,"")</f>
        <v/>
      </c>
      <c r="J757" s="85" t="str">
        <f>IF(COPY!N755&gt;0,COPY!N755,"")</f>
        <v/>
      </c>
      <c r="K757" s="86" t="str">
        <f>IF(N757=0,(IF(LEFT(Table13[[#This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Row],[URAIAN]],$U$194:$V$210,2,FALSE),""),""),0))))),N757)</f>
        <v/>
      </c>
      <c r="L757" s="85" t="str">
        <f>IF(Table13[[#This Row],[Column2]]="KWITANSI",COUNTIF($K$4:K757,"KWITANSI")," ")</f>
        <v xml:space="preserve"> </v>
      </c>
      <c r="M757" s="85" t="str">
        <f>IF(Table13[[#This Row],[Column3]]=" "," ",Table13[[#This Row],[CODE]])</f>
        <v xml:space="preserve"> </v>
      </c>
      <c r="N757" s="368"/>
      <c r="P757" s="81" t="str">
        <f t="shared" si="11"/>
        <v/>
      </c>
    </row>
    <row r="758" spans="1:16" hidden="1" x14ac:dyDescent="0.15">
      <c r="A758" s="81" t="str">
        <f>COPY!O756</f>
        <v/>
      </c>
      <c r="B758" s="81" t="str">
        <f>COPY!C756</f>
        <v/>
      </c>
      <c r="C758" s="82" t="str">
        <f>COPY!D756</f>
        <v/>
      </c>
      <c r="D758" s="81" t="str">
        <f>IF(Table13[[#This Row],[JUMLAH]]&gt;1,(IF(Table13[[#This Row],[CODE]]=" ",D757&amp;"a",IF(Table13[[#This Row],[CODE]]&gt;0,Table13[[#This Row],[CODE]],0))),"")</f>
        <v/>
      </c>
      <c r="E758" s="81" t="str">
        <f>IF(COPY!G756&gt;0,COPY!G756,"")</f>
        <v/>
      </c>
      <c r="F758" s="88" t="str">
        <f>IF(COPY!J756&gt;0,COPY!J756,"")</f>
        <v/>
      </c>
      <c r="G758" s="85" t="str">
        <f>IF(COPY!H756&gt;0,COPY!H756,"")</f>
        <v/>
      </c>
      <c r="H758" s="85" t="str">
        <f>IF(COPY!I756&gt;0,COPY!I756,"")</f>
        <v/>
      </c>
      <c r="I758" s="85" t="str">
        <f>IF(COPY!M756&gt;0,COPY!M756,"")</f>
        <v/>
      </c>
      <c r="J758" s="85" t="str">
        <f>IF(COPY!N756&gt;0,COPY!N756,"")</f>
        <v/>
      </c>
      <c r="K758" s="86" t="str">
        <f>IF(N758=0,(IF(LEFT(Table13[[#This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Row],[URAIAN]],$U$194:$V$210,2,FALSE),""),""),0))))),N758)</f>
        <v/>
      </c>
      <c r="L758" s="85" t="str">
        <f>IF(Table13[[#This Row],[Column2]]="KWITANSI",COUNTIF($K$4:K758,"KWITANSI")," ")</f>
        <v xml:space="preserve"> </v>
      </c>
      <c r="M758" s="85" t="str">
        <f>IF(Table13[[#This Row],[Column3]]=" "," ",Table13[[#This Row],[CODE]])</f>
        <v xml:space="preserve"> </v>
      </c>
      <c r="N758" s="368"/>
      <c r="P758" s="81" t="str">
        <f t="shared" si="11"/>
        <v/>
      </c>
    </row>
    <row r="759" spans="1:16" hidden="1" x14ac:dyDescent="0.15">
      <c r="A759" s="81" t="str">
        <f>COPY!O757</f>
        <v/>
      </c>
      <c r="B759" s="81" t="str">
        <f>COPY!C757</f>
        <v/>
      </c>
      <c r="C759" s="82" t="str">
        <f>COPY!D757</f>
        <v/>
      </c>
      <c r="D759" s="81" t="str">
        <f>IF(Table13[[#This Row],[JUMLAH]]&gt;1,(IF(Table13[[#This Row],[CODE]]=" ",D758&amp;"a",IF(Table13[[#This Row],[CODE]]&gt;0,Table13[[#This Row],[CODE]],0))),"")</f>
        <v/>
      </c>
      <c r="E759" s="81" t="str">
        <f>IF(COPY!G757&gt;0,COPY!G757,"")</f>
        <v/>
      </c>
      <c r="F759" s="88" t="str">
        <f>IF(COPY!J757&gt;0,COPY!J757,"")</f>
        <v/>
      </c>
      <c r="G759" s="85" t="str">
        <f>IF(COPY!H757&gt;0,COPY!H757,"")</f>
        <v/>
      </c>
      <c r="H759" s="85" t="str">
        <f>IF(COPY!I757&gt;0,COPY!I757,"")</f>
        <v/>
      </c>
      <c r="I759" s="85" t="str">
        <f>IF(COPY!M757&gt;0,COPY!M757,"")</f>
        <v/>
      </c>
      <c r="J759" s="85" t="str">
        <f>IF(COPY!N757&gt;0,COPY!N757,"")</f>
        <v/>
      </c>
      <c r="K759" s="86" t="str">
        <f>IF(N759=0,(IF(LEFT(Table13[[#This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Row],[URAIAN]],$U$194:$V$210,2,FALSE),""),""),0))))),N759)</f>
        <v/>
      </c>
      <c r="L759" s="85" t="str">
        <f>IF(Table13[[#This Row],[Column2]]="KWITANSI",COUNTIF($K$4:K759,"KWITANSI")," ")</f>
        <v xml:space="preserve"> </v>
      </c>
      <c r="M759" s="85" t="str">
        <f>IF(Table13[[#This Row],[Column3]]=" "," ",Table13[[#This Row],[CODE]])</f>
        <v xml:space="preserve"> </v>
      </c>
      <c r="N759" s="368"/>
      <c r="P759" s="81" t="str">
        <f t="shared" si="11"/>
        <v/>
      </c>
    </row>
    <row r="760" spans="1:16" hidden="1" x14ac:dyDescent="0.15">
      <c r="A760" s="81" t="str">
        <f>COPY!O758</f>
        <v/>
      </c>
      <c r="B760" s="81" t="str">
        <f>COPY!C758</f>
        <v/>
      </c>
      <c r="C760" s="82" t="str">
        <f>COPY!D758</f>
        <v/>
      </c>
      <c r="D760" s="81" t="str">
        <f>IF(Table13[[#This Row],[JUMLAH]]&gt;1,(IF(Table13[[#This Row],[CODE]]=" ",D759&amp;"a",IF(Table13[[#This Row],[CODE]]&gt;0,Table13[[#This Row],[CODE]],0))),"")</f>
        <v/>
      </c>
      <c r="E760" s="81" t="str">
        <f>IF(COPY!G758&gt;0,COPY!G758,"")</f>
        <v/>
      </c>
      <c r="F760" s="88" t="str">
        <f>IF(COPY!J758&gt;0,COPY!J758,"")</f>
        <v/>
      </c>
      <c r="G760" s="85" t="str">
        <f>IF(COPY!H758&gt;0,COPY!H758,"")</f>
        <v/>
      </c>
      <c r="H760" s="85" t="str">
        <f>IF(COPY!I758&gt;0,COPY!I758,"")</f>
        <v/>
      </c>
      <c r="I760" s="85" t="str">
        <f>IF(COPY!M758&gt;0,COPY!M758,"")</f>
        <v/>
      </c>
      <c r="J760" s="85" t="str">
        <f>IF(COPY!N758&gt;0,COPY!N758,"")</f>
        <v/>
      </c>
      <c r="K760" s="86" t="str">
        <f>IF(N760=0,(IF(LEFT(Table13[[#This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Row],[URAIAN]],$U$194:$V$210,2,FALSE),""),""),0))))),N760)</f>
        <v/>
      </c>
      <c r="L760" s="85" t="str">
        <f>IF(Table13[[#This Row],[Column2]]="KWITANSI",COUNTIF($K$4:K760,"KWITANSI")," ")</f>
        <v xml:space="preserve"> </v>
      </c>
      <c r="M760" s="85" t="str">
        <f>IF(Table13[[#This Row],[Column3]]=" "," ",Table13[[#This Row],[CODE]])</f>
        <v xml:space="preserve"> </v>
      </c>
      <c r="N760" s="368"/>
      <c r="P760" s="81" t="str">
        <f t="shared" si="11"/>
        <v/>
      </c>
    </row>
    <row r="761" spans="1:16" hidden="1" x14ac:dyDescent="0.15">
      <c r="A761" s="81" t="str">
        <f>COPY!O759</f>
        <v/>
      </c>
      <c r="B761" s="81" t="str">
        <f>COPY!C759</f>
        <v/>
      </c>
      <c r="C761" s="82" t="str">
        <f>COPY!D759</f>
        <v/>
      </c>
      <c r="D761" s="81" t="str">
        <f>IF(Table13[[#This Row],[JUMLAH]]&gt;1,(IF(Table13[[#This Row],[CODE]]=" ",D760&amp;"a",IF(Table13[[#This Row],[CODE]]&gt;0,Table13[[#This Row],[CODE]],0))),"")</f>
        <v/>
      </c>
      <c r="E761" s="81" t="str">
        <f>IF(COPY!G759&gt;0,COPY!G759,"")</f>
        <v/>
      </c>
      <c r="F761" s="88" t="str">
        <f>IF(COPY!J759&gt;0,COPY!J759,"")</f>
        <v/>
      </c>
      <c r="G761" s="85" t="str">
        <f>IF(COPY!H759&gt;0,COPY!H759,"")</f>
        <v/>
      </c>
      <c r="H761" s="85" t="str">
        <f>IF(COPY!I759&gt;0,COPY!I759,"")</f>
        <v/>
      </c>
      <c r="I761" s="85" t="str">
        <f>IF(COPY!M759&gt;0,COPY!M759,"")</f>
        <v/>
      </c>
      <c r="J761" s="85" t="str">
        <f>IF(COPY!N759&gt;0,COPY!N759,"")</f>
        <v/>
      </c>
      <c r="K761" s="86" t="str">
        <f>IF(N761=0,(IF(LEFT(Table13[[#This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Row],[URAIAN]],$U$194:$V$210,2,FALSE),""),""),0))))),N761)</f>
        <v/>
      </c>
      <c r="L761" s="85" t="str">
        <f>IF(Table13[[#This Row],[Column2]]="KWITANSI",COUNTIF($K$4:K761,"KWITANSI")," ")</f>
        <v xml:space="preserve"> </v>
      </c>
      <c r="M761" s="85" t="str">
        <f>IF(Table13[[#This Row],[Column3]]=" "," ",Table13[[#This Row],[CODE]])</f>
        <v xml:space="preserve"> </v>
      </c>
      <c r="N761" s="368"/>
      <c r="P761" s="81" t="str">
        <f t="shared" si="11"/>
        <v/>
      </c>
    </row>
    <row r="762" spans="1:16" hidden="1" x14ac:dyDescent="0.15">
      <c r="A762" s="81" t="str">
        <f>COPY!O760</f>
        <v/>
      </c>
      <c r="B762" s="81" t="str">
        <f>COPY!C760</f>
        <v/>
      </c>
      <c r="C762" s="82" t="str">
        <f>COPY!D760</f>
        <v/>
      </c>
      <c r="D762" s="81" t="str">
        <f>IF(Table13[[#This Row],[JUMLAH]]&gt;1,(IF(Table13[[#This Row],[CODE]]=" ",D761&amp;"a",IF(Table13[[#This Row],[CODE]]&gt;0,Table13[[#This Row],[CODE]],0))),"")</f>
        <v/>
      </c>
      <c r="E762" s="81" t="str">
        <f>IF(COPY!G760&gt;0,COPY!G760,"")</f>
        <v/>
      </c>
      <c r="F762" s="88" t="str">
        <f>IF(COPY!J760&gt;0,COPY!J760,"")</f>
        <v/>
      </c>
      <c r="G762" s="85" t="str">
        <f>IF(COPY!H760&gt;0,COPY!H760,"")</f>
        <v/>
      </c>
      <c r="H762" s="85" t="str">
        <f>IF(COPY!I760&gt;0,COPY!I760,"")</f>
        <v/>
      </c>
      <c r="I762" s="85" t="str">
        <f>IF(COPY!M760&gt;0,COPY!M760,"")</f>
        <v/>
      </c>
      <c r="J762" s="85" t="str">
        <f>IF(COPY!N760&gt;0,COPY!N760,"")</f>
        <v/>
      </c>
      <c r="K762" s="86" t="str">
        <f>IF(N762=0,(IF(LEFT(Table13[[#This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Row],[URAIAN]],$U$194:$V$210,2,FALSE),""),""),0))))),N762)</f>
        <v/>
      </c>
      <c r="L762" s="85" t="str">
        <f>IF(Table13[[#This Row],[Column2]]="KWITANSI",COUNTIF($K$4:K762,"KWITANSI")," ")</f>
        <v xml:space="preserve"> </v>
      </c>
      <c r="M762" s="85" t="str">
        <f>IF(Table13[[#This Row],[Column3]]=" "," ",Table13[[#This Row],[CODE]])</f>
        <v xml:space="preserve"> </v>
      </c>
      <c r="N762" s="368"/>
      <c r="P762" s="81" t="str">
        <f t="shared" si="11"/>
        <v/>
      </c>
    </row>
    <row r="763" spans="1:16" hidden="1" x14ac:dyDescent="0.15">
      <c r="A763" s="81" t="str">
        <f>COPY!O761</f>
        <v/>
      </c>
      <c r="B763" s="81" t="str">
        <f>COPY!C761</f>
        <v/>
      </c>
      <c r="C763" s="82" t="str">
        <f>COPY!D761</f>
        <v/>
      </c>
      <c r="D763" s="81" t="str">
        <f>IF(Table13[[#This Row],[JUMLAH]]&gt;1,(IF(Table13[[#This Row],[CODE]]=" ",D762&amp;"a",IF(Table13[[#This Row],[CODE]]&gt;0,Table13[[#This Row],[CODE]],0))),"")</f>
        <v/>
      </c>
      <c r="E763" s="81" t="str">
        <f>IF(COPY!G761&gt;0,COPY!G761,"")</f>
        <v/>
      </c>
      <c r="F763" s="88" t="str">
        <f>IF(COPY!J761&gt;0,COPY!J761,"")</f>
        <v/>
      </c>
      <c r="G763" s="85" t="str">
        <f>IF(COPY!H761&gt;0,COPY!H761,"")</f>
        <v/>
      </c>
      <c r="H763" s="85" t="str">
        <f>IF(COPY!I761&gt;0,COPY!I761,"")</f>
        <v/>
      </c>
      <c r="I763" s="85" t="str">
        <f>IF(COPY!M761&gt;0,COPY!M761,"")</f>
        <v/>
      </c>
      <c r="J763" s="85" t="str">
        <f>IF(COPY!N761&gt;0,COPY!N761,"")</f>
        <v/>
      </c>
      <c r="K763" s="86" t="str">
        <f>IF(N763=0,(IF(LEFT(Table13[[#This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Row],[URAIAN]],$U$194:$V$210,2,FALSE),""),""),0))))),N763)</f>
        <v/>
      </c>
      <c r="L763" s="85" t="str">
        <f>IF(Table13[[#This Row],[Column2]]="KWITANSI",COUNTIF($K$4:K763,"KWITANSI")," ")</f>
        <v xml:space="preserve"> </v>
      </c>
      <c r="M763" s="85" t="str">
        <f>IF(Table13[[#This Row],[Column3]]=" "," ",Table13[[#This Row],[CODE]])</f>
        <v xml:space="preserve"> </v>
      </c>
      <c r="N763" s="368"/>
      <c r="P763" s="81" t="str">
        <f t="shared" si="11"/>
        <v/>
      </c>
    </row>
    <row r="764" spans="1:16" hidden="1" x14ac:dyDescent="0.15">
      <c r="A764" s="81" t="str">
        <f>COPY!O762</f>
        <v/>
      </c>
      <c r="B764" s="81" t="str">
        <f>COPY!C762</f>
        <v/>
      </c>
      <c r="C764" s="82" t="str">
        <f>COPY!D762</f>
        <v/>
      </c>
      <c r="D764" s="81" t="str">
        <f>IF(Table13[[#This Row],[JUMLAH]]&gt;1,(IF(Table13[[#This Row],[CODE]]=" ",D763&amp;"a",IF(Table13[[#This Row],[CODE]]&gt;0,Table13[[#This Row],[CODE]],0))),"")</f>
        <v/>
      </c>
      <c r="E764" s="81" t="str">
        <f>IF(COPY!G762&gt;0,COPY!G762,"")</f>
        <v/>
      </c>
      <c r="F764" s="88" t="str">
        <f>IF(COPY!J762&gt;0,COPY!J762,"")</f>
        <v/>
      </c>
      <c r="G764" s="85" t="str">
        <f>IF(COPY!H762&gt;0,COPY!H762,"")</f>
        <v/>
      </c>
      <c r="H764" s="85" t="str">
        <f>IF(COPY!I762&gt;0,COPY!I762,"")</f>
        <v/>
      </c>
      <c r="I764" s="85" t="str">
        <f>IF(COPY!M762&gt;0,COPY!M762,"")</f>
        <v/>
      </c>
      <c r="J764" s="85" t="str">
        <f>IF(COPY!N762&gt;0,COPY!N762,"")</f>
        <v/>
      </c>
      <c r="K764" s="86" t="str">
        <f>IF(N764=0,(IF(LEFT(Table13[[#This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Row],[URAIAN]],$U$194:$V$210,2,FALSE),""),""),0))))),N764)</f>
        <v/>
      </c>
      <c r="L764" s="85" t="str">
        <f>IF(Table13[[#This Row],[Column2]]="KWITANSI",COUNTIF($K$4:K764,"KWITANSI")," ")</f>
        <v xml:space="preserve"> </v>
      </c>
      <c r="M764" s="85" t="str">
        <f>IF(Table13[[#This Row],[Column3]]=" "," ",Table13[[#This Row],[CODE]])</f>
        <v xml:space="preserve"> </v>
      </c>
      <c r="N764" s="368"/>
      <c r="P764" s="81" t="str">
        <f t="shared" si="11"/>
        <v/>
      </c>
    </row>
    <row r="765" spans="1:16" hidden="1" x14ac:dyDescent="0.15">
      <c r="A765" s="81" t="str">
        <f>COPY!O763</f>
        <v/>
      </c>
      <c r="B765" s="81" t="str">
        <f>COPY!C763</f>
        <v/>
      </c>
      <c r="C765" s="82" t="str">
        <f>COPY!D763</f>
        <v/>
      </c>
      <c r="D765" s="81" t="str">
        <f>IF(Table13[[#This Row],[JUMLAH]]&gt;1,(IF(Table13[[#This Row],[CODE]]=" ",D764&amp;"a",IF(Table13[[#This Row],[CODE]]&gt;0,Table13[[#This Row],[CODE]],0))),"")</f>
        <v/>
      </c>
      <c r="E765" s="81" t="str">
        <f>IF(COPY!G763&gt;0,COPY!G763,"")</f>
        <v/>
      </c>
      <c r="F765" s="88" t="str">
        <f>IF(COPY!J763&gt;0,COPY!J763,"")</f>
        <v/>
      </c>
      <c r="G765" s="85" t="str">
        <f>IF(COPY!H763&gt;0,COPY!H763,"")</f>
        <v/>
      </c>
      <c r="H765" s="85" t="str">
        <f>IF(COPY!I763&gt;0,COPY!I763,"")</f>
        <v/>
      </c>
      <c r="I765" s="85" t="str">
        <f>IF(COPY!M763&gt;0,COPY!M763,"")</f>
        <v/>
      </c>
      <c r="J765" s="85" t="str">
        <f>IF(COPY!N763&gt;0,COPY!N763,"")</f>
        <v/>
      </c>
      <c r="K765" s="86" t="str">
        <f>IF(N765=0,(IF(LEFT(Table13[[#This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Row],[URAIAN]],$U$194:$V$210,2,FALSE),""),""),0))))),N765)</f>
        <v/>
      </c>
      <c r="L765" s="85" t="str">
        <f>IF(Table13[[#This Row],[Column2]]="KWITANSI",COUNTIF($K$4:K765,"KWITANSI")," ")</f>
        <v xml:space="preserve"> </v>
      </c>
      <c r="M765" s="85" t="str">
        <f>IF(Table13[[#This Row],[Column3]]=" "," ",Table13[[#This Row],[CODE]])</f>
        <v xml:space="preserve"> </v>
      </c>
      <c r="N765" s="368"/>
      <c r="P765" s="81" t="str">
        <f t="shared" si="11"/>
        <v/>
      </c>
    </row>
    <row r="766" spans="1:16" hidden="1" x14ac:dyDescent="0.15">
      <c r="A766" s="81" t="str">
        <f>COPY!O764</f>
        <v/>
      </c>
      <c r="B766" s="81" t="str">
        <f>COPY!C764</f>
        <v/>
      </c>
      <c r="C766" s="82" t="str">
        <f>COPY!D764</f>
        <v/>
      </c>
      <c r="D766" s="81" t="str">
        <f>IF(Table13[[#This Row],[JUMLAH]]&gt;1,(IF(Table13[[#This Row],[CODE]]=" ",D765&amp;"a",IF(Table13[[#This Row],[CODE]]&gt;0,Table13[[#This Row],[CODE]],0))),"")</f>
        <v/>
      </c>
      <c r="E766" s="81" t="str">
        <f>IF(COPY!G764&gt;0,COPY!G764,"")</f>
        <v/>
      </c>
      <c r="F766" s="88" t="str">
        <f>IF(COPY!J764&gt;0,COPY!J764,"")</f>
        <v/>
      </c>
      <c r="G766" s="85" t="str">
        <f>IF(COPY!H764&gt;0,COPY!H764,"")</f>
        <v/>
      </c>
      <c r="H766" s="85" t="str">
        <f>IF(COPY!I764&gt;0,COPY!I764,"")</f>
        <v/>
      </c>
      <c r="I766" s="85" t="str">
        <f>IF(COPY!M764&gt;0,COPY!M764,"")</f>
        <v/>
      </c>
      <c r="J766" s="85" t="str">
        <f>IF(COPY!N764&gt;0,COPY!N764,"")</f>
        <v/>
      </c>
      <c r="K766" s="86" t="str">
        <f>IF(N766=0,(IF(LEFT(Table13[[#This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Row],[URAIAN]],$U$194:$V$210,2,FALSE),""),""),0))))),N766)</f>
        <v/>
      </c>
      <c r="L766" s="85" t="str">
        <f>IF(Table13[[#This Row],[Column2]]="KWITANSI",COUNTIF($K$4:K766,"KWITANSI")," ")</f>
        <v xml:space="preserve"> </v>
      </c>
      <c r="M766" s="85" t="str">
        <f>IF(Table13[[#This Row],[Column3]]=" "," ",Table13[[#This Row],[CODE]])</f>
        <v xml:space="preserve"> </v>
      </c>
      <c r="N766" s="368"/>
      <c r="P766" s="81" t="str">
        <f t="shared" si="11"/>
        <v/>
      </c>
    </row>
    <row r="767" spans="1:16" hidden="1" x14ac:dyDescent="0.15">
      <c r="A767" s="81" t="str">
        <f>COPY!O765</f>
        <v/>
      </c>
      <c r="B767" s="81" t="str">
        <f>COPY!C765</f>
        <v/>
      </c>
      <c r="C767" s="82" t="str">
        <f>COPY!D765</f>
        <v/>
      </c>
      <c r="D767" s="81" t="str">
        <f>IF(Table13[[#This Row],[JUMLAH]]&gt;1,(IF(Table13[[#This Row],[CODE]]=" ",D766&amp;"a",IF(Table13[[#This Row],[CODE]]&gt;0,Table13[[#This Row],[CODE]],0))),"")</f>
        <v/>
      </c>
      <c r="E767" s="81" t="str">
        <f>IF(COPY!G765&gt;0,COPY!G765,"")</f>
        <v/>
      </c>
      <c r="F767" s="88" t="str">
        <f>IF(COPY!J765&gt;0,COPY!J765,"")</f>
        <v/>
      </c>
      <c r="G767" s="85" t="str">
        <f>IF(COPY!H765&gt;0,COPY!H765,"")</f>
        <v/>
      </c>
      <c r="H767" s="85" t="str">
        <f>IF(COPY!I765&gt;0,COPY!I765,"")</f>
        <v/>
      </c>
      <c r="I767" s="85" t="str">
        <f>IF(COPY!M765&gt;0,COPY!M765,"")</f>
        <v/>
      </c>
      <c r="J767" s="85" t="str">
        <f>IF(COPY!N765&gt;0,COPY!N765,"")</f>
        <v/>
      </c>
      <c r="K767" s="86" t="str">
        <f>IF(N767=0,(IF(LEFT(Table13[[#This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Row],[URAIAN]],$U$194:$V$210,2,FALSE),""),""),0))))),N767)</f>
        <v/>
      </c>
      <c r="L767" s="85" t="str">
        <f>IF(Table13[[#This Row],[Column2]]="KWITANSI",COUNTIF($K$4:K767,"KWITANSI")," ")</f>
        <v xml:space="preserve"> </v>
      </c>
      <c r="M767" s="85" t="str">
        <f>IF(Table13[[#This Row],[Column3]]=" "," ",Table13[[#This Row],[CODE]])</f>
        <v xml:space="preserve"> </v>
      </c>
      <c r="N767" s="368"/>
      <c r="P767" s="81" t="str">
        <f t="shared" si="11"/>
        <v/>
      </c>
    </row>
    <row r="768" spans="1:16" hidden="1" x14ac:dyDescent="0.15">
      <c r="A768" s="81" t="str">
        <f>COPY!O766</f>
        <v/>
      </c>
      <c r="B768" s="81" t="str">
        <f>COPY!C766</f>
        <v/>
      </c>
      <c r="C768" s="82" t="str">
        <f>COPY!D766</f>
        <v/>
      </c>
      <c r="D768" s="81" t="str">
        <f>IF(Table13[[#This Row],[JUMLAH]]&gt;1,(IF(Table13[[#This Row],[CODE]]=" ",D767&amp;"a",IF(Table13[[#This Row],[CODE]]&gt;0,Table13[[#This Row],[CODE]],0))),"")</f>
        <v/>
      </c>
      <c r="E768" s="81" t="str">
        <f>IF(COPY!G766&gt;0,COPY!G766,"")</f>
        <v/>
      </c>
      <c r="F768" s="88" t="str">
        <f>IF(COPY!J766&gt;0,COPY!J766,"")</f>
        <v/>
      </c>
      <c r="G768" s="85" t="str">
        <f>IF(COPY!H766&gt;0,COPY!H766,"")</f>
        <v/>
      </c>
      <c r="H768" s="85" t="str">
        <f>IF(COPY!I766&gt;0,COPY!I766,"")</f>
        <v/>
      </c>
      <c r="I768" s="85" t="str">
        <f>IF(COPY!M766&gt;0,COPY!M766,"")</f>
        <v/>
      </c>
      <c r="J768" s="85" t="str">
        <f>IF(COPY!N766&gt;0,COPY!N766,"")</f>
        <v/>
      </c>
      <c r="K768" s="86" t="str">
        <f>IF(N768=0,(IF(LEFT(Table13[[#This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Row],[URAIAN]],$U$194:$V$210,2,FALSE),""),""),0))))),N768)</f>
        <v/>
      </c>
      <c r="L768" s="85" t="str">
        <f>IF(Table13[[#This Row],[Column2]]="KWITANSI",COUNTIF($K$4:K768,"KWITANSI")," ")</f>
        <v xml:space="preserve"> </v>
      </c>
      <c r="M768" s="85" t="str">
        <f>IF(Table13[[#This Row],[Column3]]=" "," ",Table13[[#This Row],[CODE]])</f>
        <v xml:space="preserve"> </v>
      </c>
      <c r="N768" s="368"/>
      <c r="P768" s="81" t="str">
        <f t="shared" si="11"/>
        <v/>
      </c>
    </row>
    <row r="769" spans="1:16" hidden="1" x14ac:dyDescent="0.15">
      <c r="A769" s="81" t="str">
        <f>COPY!O767</f>
        <v/>
      </c>
      <c r="B769" s="81" t="str">
        <f>COPY!C767</f>
        <v/>
      </c>
      <c r="C769" s="82" t="str">
        <f>COPY!D767</f>
        <v/>
      </c>
      <c r="D769" s="81" t="str">
        <f>IF(Table13[[#This Row],[JUMLAH]]&gt;1,(IF(Table13[[#This Row],[CODE]]=" ",D768&amp;"a",IF(Table13[[#This Row],[CODE]]&gt;0,Table13[[#This Row],[CODE]],0))),"")</f>
        <v/>
      </c>
      <c r="E769" s="81" t="str">
        <f>IF(COPY!G767&gt;0,COPY!G767,"")</f>
        <v/>
      </c>
      <c r="F769" s="88" t="str">
        <f>IF(COPY!J767&gt;0,COPY!J767,"")</f>
        <v/>
      </c>
      <c r="G769" s="85" t="str">
        <f>IF(COPY!H767&gt;0,COPY!H767,"")</f>
        <v/>
      </c>
      <c r="H769" s="85" t="str">
        <f>IF(COPY!I767&gt;0,COPY!I767,"")</f>
        <v/>
      </c>
      <c r="I769" s="85" t="str">
        <f>IF(COPY!M767&gt;0,COPY!M767,"")</f>
        <v/>
      </c>
      <c r="J769" s="85" t="str">
        <f>IF(COPY!N767&gt;0,COPY!N767,"")</f>
        <v/>
      </c>
      <c r="K769" s="86" t="str">
        <f>IF(N769=0,(IF(LEFT(Table13[[#This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Row],[URAIAN]],$U$194:$V$210,2,FALSE),""),""),0))))),N769)</f>
        <v/>
      </c>
      <c r="L769" s="85" t="str">
        <f>IF(Table13[[#This Row],[Column2]]="KWITANSI",COUNTIF($K$4:K769,"KWITANSI")," ")</f>
        <v xml:space="preserve"> </v>
      </c>
      <c r="M769" s="85" t="str">
        <f>IF(Table13[[#This Row],[Column3]]=" "," ",Table13[[#This Row],[CODE]])</f>
        <v xml:space="preserve"> </v>
      </c>
      <c r="N769" s="368"/>
      <c r="P769" s="81" t="str">
        <f t="shared" si="11"/>
        <v/>
      </c>
    </row>
    <row r="770" spans="1:16" hidden="1" x14ac:dyDescent="0.15">
      <c r="A770" s="81" t="str">
        <f>COPY!O768</f>
        <v/>
      </c>
      <c r="B770" s="81" t="str">
        <f>COPY!C768</f>
        <v/>
      </c>
      <c r="C770" s="82" t="str">
        <f>COPY!D768</f>
        <v/>
      </c>
      <c r="D770" s="81" t="str">
        <f>IF(Table13[[#This Row],[JUMLAH]]&gt;1,(IF(Table13[[#This Row],[CODE]]=" ",D769&amp;"a",IF(Table13[[#This Row],[CODE]]&gt;0,Table13[[#This Row],[CODE]],0))),"")</f>
        <v/>
      </c>
      <c r="E770" s="81" t="str">
        <f>IF(COPY!G768&gt;0,COPY!G768,"")</f>
        <v/>
      </c>
      <c r="F770" s="88" t="str">
        <f>IF(COPY!J768&gt;0,COPY!J768,"")</f>
        <v/>
      </c>
      <c r="G770" s="85" t="str">
        <f>IF(COPY!H768&gt;0,COPY!H768,"")</f>
        <v/>
      </c>
      <c r="H770" s="85" t="str">
        <f>IF(COPY!I768&gt;0,COPY!I768,"")</f>
        <v/>
      </c>
      <c r="I770" s="85" t="str">
        <f>IF(COPY!M768&gt;0,COPY!M768,"")</f>
        <v/>
      </c>
      <c r="J770" s="85" t="str">
        <f>IF(COPY!N768&gt;0,COPY!N768,"")</f>
        <v/>
      </c>
      <c r="K770" s="86" t="str">
        <f>IF(N770=0,(IF(LEFT(Table13[[#This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Row],[URAIAN]],$U$194:$V$210,2,FALSE),""),""),0))))),N770)</f>
        <v/>
      </c>
      <c r="L770" s="85" t="str">
        <f>IF(Table13[[#This Row],[Column2]]="KWITANSI",COUNTIF($K$4:K770,"KWITANSI")," ")</f>
        <v xml:space="preserve"> </v>
      </c>
      <c r="M770" s="85" t="str">
        <f>IF(Table13[[#This Row],[Column3]]=" "," ",Table13[[#This Row],[CODE]])</f>
        <v xml:space="preserve"> </v>
      </c>
      <c r="N770" s="368"/>
      <c r="P770" s="81" t="str">
        <f t="shared" ref="P770:P833" si="12">IF(-$O$4+($O$4+ROW())&lt;=$O$4,-$O$4+($O$4+ROW()),"")</f>
        <v/>
      </c>
    </row>
    <row r="771" spans="1:16" hidden="1" x14ac:dyDescent="0.15">
      <c r="A771" s="81" t="str">
        <f>COPY!O769</f>
        <v/>
      </c>
      <c r="B771" s="81" t="str">
        <f>COPY!C769</f>
        <v/>
      </c>
      <c r="C771" s="82" t="str">
        <f>COPY!D769</f>
        <v/>
      </c>
      <c r="D771" s="81" t="str">
        <f>IF(Table13[[#This Row],[JUMLAH]]&gt;1,(IF(Table13[[#This Row],[CODE]]=" ",D770&amp;"a",IF(Table13[[#This Row],[CODE]]&gt;0,Table13[[#This Row],[CODE]],0))),"")</f>
        <v/>
      </c>
      <c r="E771" s="81" t="str">
        <f>IF(COPY!G769&gt;0,COPY!G769,"")</f>
        <v/>
      </c>
      <c r="F771" s="88" t="str">
        <f>IF(COPY!J769&gt;0,COPY!J769,"")</f>
        <v/>
      </c>
      <c r="G771" s="85" t="str">
        <f>IF(COPY!H769&gt;0,COPY!H769,"")</f>
        <v/>
      </c>
      <c r="H771" s="85" t="str">
        <f>IF(COPY!I769&gt;0,COPY!I769,"")</f>
        <v/>
      </c>
      <c r="I771" s="85" t="str">
        <f>IF(COPY!M769&gt;0,COPY!M769,"")</f>
        <v/>
      </c>
      <c r="J771" s="85" t="str">
        <f>IF(COPY!N769&gt;0,COPY!N769,"")</f>
        <v/>
      </c>
      <c r="K771" s="86" t="str">
        <f>IF(N771=0,(IF(LEFT(Table13[[#This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Row],[URAIAN]],$U$194:$V$210,2,FALSE),""),""),0))))),N771)</f>
        <v/>
      </c>
      <c r="L771" s="85" t="str">
        <f>IF(Table13[[#This Row],[Column2]]="KWITANSI",COUNTIF($K$4:K771,"KWITANSI")," ")</f>
        <v xml:space="preserve"> </v>
      </c>
      <c r="M771" s="85" t="str">
        <f>IF(Table13[[#This Row],[Column3]]=" "," ",Table13[[#This Row],[CODE]])</f>
        <v xml:space="preserve"> </v>
      </c>
      <c r="N771" s="368"/>
      <c r="P771" s="81" t="str">
        <f t="shared" si="12"/>
        <v/>
      </c>
    </row>
    <row r="772" spans="1:16" hidden="1" x14ac:dyDescent="0.15">
      <c r="A772" s="81" t="str">
        <f>COPY!O770</f>
        <v/>
      </c>
      <c r="B772" s="81" t="str">
        <f>COPY!C770</f>
        <v/>
      </c>
      <c r="C772" s="82" t="str">
        <f>COPY!D770</f>
        <v/>
      </c>
      <c r="D772" s="81" t="str">
        <f>IF(Table13[[#This Row],[JUMLAH]]&gt;1,(IF(Table13[[#This Row],[CODE]]=" ",D771&amp;"a",IF(Table13[[#This Row],[CODE]]&gt;0,Table13[[#This Row],[CODE]],0))),"")</f>
        <v/>
      </c>
      <c r="E772" s="81" t="str">
        <f>IF(COPY!G770&gt;0,COPY!G770,"")</f>
        <v/>
      </c>
      <c r="F772" s="88" t="str">
        <f>IF(COPY!J770&gt;0,COPY!J770,"")</f>
        <v/>
      </c>
      <c r="G772" s="85" t="str">
        <f>IF(COPY!H770&gt;0,COPY!H770,"")</f>
        <v/>
      </c>
      <c r="H772" s="85" t="str">
        <f>IF(COPY!I770&gt;0,COPY!I770,"")</f>
        <v/>
      </c>
      <c r="I772" s="85" t="str">
        <f>IF(COPY!M770&gt;0,COPY!M770,"")</f>
        <v/>
      </c>
      <c r="J772" s="85" t="str">
        <f>IF(COPY!N770&gt;0,COPY!N770,"")</f>
        <v/>
      </c>
      <c r="K772" s="86" t="str">
        <f>IF(N772=0,(IF(LEFT(Table13[[#This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Row],[URAIAN]],$U$194:$V$210,2,FALSE),""),""),0))))),N772)</f>
        <v/>
      </c>
      <c r="L772" s="85" t="str">
        <f>IF(Table13[[#This Row],[Column2]]="KWITANSI",COUNTIF($K$4:K772,"KWITANSI")," ")</f>
        <v xml:space="preserve"> </v>
      </c>
      <c r="M772" s="85" t="str">
        <f>IF(Table13[[#This Row],[Column3]]=" "," ",Table13[[#This Row],[CODE]])</f>
        <v xml:space="preserve"> </v>
      </c>
      <c r="N772" s="368"/>
      <c r="P772" s="81" t="str">
        <f t="shared" si="12"/>
        <v/>
      </c>
    </row>
    <row r="773" spans="1:16" hidden="1" x14ac:dyDescent="0.15">
      <c r="A773" s="81" t="str">
        <f>COPY!O771</f>
        <v/>
      </c>
      <c r="B773" s="81" t="str">
        <f>COPY!C771</f>
        <v/>
      </c>
      <c r="C773" s="82" t="str">
        <f>COPY!D771</f>
        <v/>
      </c>
      <c r="D773" s="81" t="str">
        <f>IF(Table13[[#This Row],[JUMLAH]]&gt;1,(IF(Table13[[#This Row],[CODE]]=" ",D772&amp;"a",IF(Table13[[#This Row],[CODE]]&gt;0,Table13[[#This Row],[CODE]],0))),"")</f>
        <v/>
      </c>
      <c r="E773" s="81" t="str">
        <f>IF(COPY!G771&gt;0,COPY!G771,"")</f>
        <v/>
      </c>
      <c r="F773" s="88" t="str">
        <f>IF(COPY!J771&gt;0,COPY!J771,"")</f>
        <v/>
      </c>
      <c r="G773" s="85" t="str">
        <f>IF(COPY!H771&gt;0,COPY!H771,"")</f>
        <v/>
      </c>
      <c r="H773" s="85" t="str">
        <f>IF(COPY!I771&gt;0,COPY!I771,"")</f>
        <v/>
      </c>
      <c r="I773" s="85" t="str">
        <f>IF(COPY!M771&gt;0,COPY!M771,"")</f>
        <v/>
      </c>
      <c r="J773" s="85" t="str">
        <f>IF(COPY!N771&gt;0,COPY!N771,"")</f>
        <v/>
      </c>
      <c r="K773" s="86" t="str">
        <f>IF(N773=0,(IF(LEFT(Table13[[#This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Row],[URAIAN]],$U$194:$V$210,2,FALSE),""),""),0))))),N773)</f>
        <v/>
      </c>
      <c r="L773" s="85" t="str">
        <f>IF(Table13[[#This Row],[Column2]]="KWITANSI",COUNTIF($K$4:K773,"KWITANSI")," ")</f>
        <v xml:space="preserve"> </v>
      </c>
      <c r="M773" s="85" t="str">
        <f>IF(Table13[[#This Row],[Column3]]=" "," ",Table13[[#This Row],[CODE]])</f>
        <v xml:space="preserve"> </v>
      </c>
      <c r="N773" s="368"/>
      <c r="P773" s="81" t="str">
        <f t="shared" si="12"/>
        <v/>
      </c>
    </row>
    <row r="774" spans="1:16" hidden="1" x14ac:dyDescent="0.15">
      <c r="A774" s="81" t="str">
        <f>COPY!O772</f>
        <v/>
      </c>
      <c r="B774" s="81" t="str">
        <f>COPY!C772</f>
        <v/>
      </c>
      <c r="C774" s="82" t="str">
        <f>COPY!D772</f>
        <v/>
      </c>
      <c r="D774" s="81" t="str">
        <f>IF(Table13[[#This Row],[JUMLAH]]&gt;1,(IF(Table13[[#This Row],[CODE]]=" ",D773&amp;"a",IF(Table13[[#This Row],[CODE]]&gt;0,Table13[[#This Row],[CODE]],0))),"")</f>
        <v/>
      </c>
      <c r="E774" s="81" t="str">
        <f>IF(COPY!G772&gt;0,COPY!G772,"")</f>
        <v/>
      </c>
      <c r="F774" s="88" t="str">
        <f>IF(COPY!J772&gt;0,COPY!J772,"")</f>
        <v/>
      </c>
      <c r="G774" s="85" t="str">
        <f>IF(COPY!H772&gt;0,COPY!H772,"")</f>
        <v/>
      </c>
      <c r="H774" s="85" t="str">
        <f>IF(COPY!I772&gt;0,COPY!I772,"")</f>
        <v/>
      </c>
      <c r="I774" s="85" t="str">
        <f>IF(COPY!M772&gt;0,COPY!M772,"")</f>
        <v/>
      </c>
      <c r="J774" s="85" t="str">
        <f>IF(COPY!N772&gt;0,COPY!N772,"")</f>
        <v/>
      </c>
      <c r="K774" s="86" t="str">
        <f>IF(N774=0,(IF(LEFT(Table13[[#This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Row],[URAIAN]],$U$194:$V$210,2,FALSE),""),""),0))))),N774)</f>
        <v/>
      </c>
      <c r="L774" s="85" t="str">
        <f>IF(Table13[[#This Row],[Column2]]="KWITANSI",COUNTIF($K$4:K774,"KWITANSI")," ")</f>
        <v xml:space="preserve"> </v>
      </c>
      <c r="M774" s="85" t="str">
        <f>IF(Table13[[#This Row],[Column3]]=" "," ",Table13[[#This Row],[CODE]])</f>
        <v xml:space="preserve"> </v>
      </c>
      <c r="N774" s="368"/>
      <c r="P774" s="81" t="str">
        <f t="shared" si="12"/>
        <v/>
      </c>
    </row>
    <row r="775" spans="1:16" hidden="1" x14ac:dyDescent="0.15">
      <c r="A775" s="81" t="str">
        <f>COPY!O773</f>
        <v/>
      </c>
      <c r="B775" s="81" t="str">
        <f>COPY!C773</f>
        <v/>
      </c>
      <c r="C775" s="82" t="str">
        <f>COPY!D773</f>
        <v/>
      </c>
      <c r="D775" s="81" t="str">
        <f>IF(Table13[[#This Row],[JUMLAH]]&gt;1,(IF(Table13[[#This Row],[CODE]]=" ",D774&amp;"a",IF(Table13[[#This Row],[CODE]]&gt;0,Table13[[#This Row],[CODE]],0))),"")</f>
        <v/>
      </c>
      <c r="E775" s="81" t="str">
        <f>IF(COPY!G773&gt;0,COPY!G773,"")</f>
        <v/>
      </c>
      <c r="F775" s="88" t="str">
        <f>IF(COPY!J773&gt;0,COPY!J773,"")</f>
        <v/>
      </c>
      <c r="G775" s="85" t="str">
        <f>IF(COPY!H773&gt;0,COPY!H773,"")</f>
        <v/>
      </c>
      <c r="H775" s="85" t="str">
        <f>IF(COPY!I773&gt;0,COPY!I773,"")</f>
        <v/>
      </c>
      <c r="I775" s="85" t="str">
        <f>IF(COPY!M773&gt;0,COPY!M773,"")</f>
        <v/>
      </c>
      <c r="J775" s="85" t="str">
        <f>IF(COPY!N773&gt;0,COPY!N773,"")</f>
        <v/>
      </c>
      <c r="K775" s="86" t="str">
        <f>IF(N775=0,(IF(LEFT(Table13[[#This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Row],[URAIAN]],$U$194:$V$210,2,FALSE),""),""),0))))),N775)</f>
        <v/>
      </c>
      <c r="L775" s="85" t="str">
        <f>IF(Table13[[#This Row],[Column2]]="KWITANSI",COUNTIF($K$4:K775,"KWITANSI")," ")</f>
        <v xml:space="preserve"> </v>
      </c>
      <c r="M775" s="85" t="str">
        <f>IF(Table13[[#This Row],[Column3]]=" "," ",Table13[[#This Row],[CODE]])</f>
        <v xml:space="preserve"> </v>
      </c>
      <c r="N775" s="368"/>
      <c r="P775" s="81" t="str">
        <f t="shared" si="12"/>
        <v/>
      </c>
    </row>
    <row r="776" spans="1:16" hidden="1" x14ac:dyDescent="0.15">
      <c r="A776" s="81" t="str">
        <f>COPY!O774</f>
        <v/>
      </c>
      <c r="B776" s="81" t="str">
        <f>COPY!C774</f>
        <v/>
      </c>
      <c r="C776" s="82" t="str">
        <f>COPY!D774</f>
        <v/>
      </c>
      <c r="D776" s="81" t="str">
        <f>IF(Table13[[#This Row],[JUMLAH]]&gt;1,(IF(Table13[[#This Row],[CODE]]=" ",D775&amp;"a",IF(Table13[[#This Row],[CODE]]&gt;0,Table13[[#This Row],[CODE]],0))),"")</f>
        <v/>
      </c>
      <c r="E776" s="81" t="str">
        <f>IF(COPY!G774&gt;0,COPY!G774,"")</f>
        <v/>
      </c>
      <c r="F776" s="88" t="str">
        <f>IF(COPY!J774&gt;0,COPY!J774,"")</f>
        <v/>
      </c>
      <c r="G776" s="85" t="str">
        <f>IF(COPY!H774&gt;0,COPY!H774,"")</f>
        <v/>
      </c>
      <c r="H776" s="85" t="str">
        <f>IF(COPY!I774&gt;0,COPY!I774,"")</f>
        <v/>
      </c>
      <c r="I776" s="85" t="str">
        <f>IF(COPY!M774&gt;0,COPY!M774,"")</f>
        <v/>
      </c>
      <c r="J776" s="85" t="str">
        <f>IF(COPY!N774&gt;0,COPY!N774,"")</f>
        <v/>
      </c>
      <c r="K776" s="86" t="str">
        <f>IF(N776=0,(IF(LEFT(Table13[[#This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Row],[URAIAN]],$U$194:$V$210,2,FALSE),""),""),0))))),N776)</f>
        <v/>
      </c>
      <c r="L776" s="85" t="str">
        <f>IF(Table13[[#This Row],[Column2]]="KWITANSI",COUNTIF($K$4:K776,"KWITANSI")," ")</f>
        <v xml:space="preserve"> </v>
      </c>
      <c r="M776" s="85" t="str">
        <f>IF(Table13[[#This Row],[Column3]]=" "," ",Table13[[#This Row],[CODE]])</f>
        <v xml:space="preserve"> </v>
      </c>
      <c r="N776" s="368"/>
      <c r="P776" s="81" t="str">
        <f t="shared" si="12"/>
        <v/>
      </c>
    </row>
    <row r="777" spans="1:16" hidden="1" x14ac:dyDescent="0.15">
      <c r="A777" s="81" t="str">
        <f>COPY!O775</f>
        <v/>
      </c>
      <c r="B777" s="81" t="str">
        <f>COPY!C775</f>
        <v/>
      </c>
      <c r="C777" s="82" t="str">
        <f>COPY!D775</f>
        <v/>
      </c>
      <c r="D777" s="81" t="str">
        <f>IF(Table13[[#This Row],[JUMLAH]]&gt;1,(IF(Table13[[#This Row],[CODE]]=" ",D776&amp;"a",IF(Table13[[#This Row],[CODE]]&gt;0,Table13[[#This Row],[CODE]],0))),"")</f>
        <v/>
      </c>
      <c r="E777" s="81" t="str">
        <f>IF(COPY!G775&gt;0,COPY!G775,"")</f>
        <v/>
      </c>
      <c r="F777" s="88" t="str">
        <f>IF(COPY!J775&gt;0,COPY!J775,"")</f>
        <v/>
      </c>
      <c r="G777" s="85" t="str">
        <f>IF(COPY!H775&gt;0,COPY!H775,"")</f>
        <v/>
      </c>
      <c r="H777" s="85" t="str">
        <f>IF(COPY!I775&gt;0,COPY!I775,"")</f>
        <v/>
      </c>
      <c r="I777" s="85" t="str">
        <f>IF(COPY!M775&gt;0,COPY!M775,"")</f>
        <v/>
      </c>
      <c r="J777" s="85" t="str">
        <f>IF(COPY!N775&gt;0,COPY!N775,"")</f>
        <v/>
      </c>
      <c r="K777" s="86" t="str">
        <f>IF(N777=0,(IF(LEFT(Table13[[#This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Row],[URAIAN]],$U$194:$V$210,2,FALSE),""),""),0))))),N777)</f>
        <v/>
      </c>
      <c r="L777" s="85" t="str">
        <f>IF(Table13[[#This Row],[Column2]]="KWITANSI",COUNTIF($K$4:K777,"KWITANSI")," ")</f>
        <v xml:space="preserve"> </v>
      </c>
      <c r="M777" s="85" t="str">
        <f>IF(Table13[[#This Row],[Column3]]=" "," ",Table13[[#This Row],[CODE]])</f>
        <v xml:space="preserve"> </v>
      </c>
      <c r="N777" s="368"/>
      <c r="P777" s="81" t="str">
        <f t="shared" si="12"/>
        <v/>
      </c>
    </row>
    <row r="778" spans="1:16" hidden="1" x14ac:dyDescent="0.15">
      <c r="A778" s="81" t="str">
        <f>COPY!O776</f>
        <v/>
      </c>
      <c r="B778" s="81" t="str">
        <f>COPY!C776</f>
        <v/>
      </c>
      <c r="C778" s="82" t="str">
        <f>COPY!D776</f>
        <v/>
      </c>
      <c r="D778" s="81" t="str">
        <f>IF(Table13[[#This Row],[JUMLAH]]&gt;1,(IF(Table13[[#This Row],[CODE]]=" ",D777&amp;"a",IF(Table13[[#This Row],[CODE]]&gt;0,Table13[[#This Row],[CODE]],0))),"")</f>
        <v/>
      </c>
      <c r="E778" s="81" t="str">
        <f>IF(COPY!G776&gt;0,COPY!G776,"")</f>
        <v/>
      </c>
      <c r="F778" s="88" t="str">
        <f>IF(COPY!J776&gt;0,COPY!J776,"")</f>
        <v/>
      </c>
      <c r="G778" s="85" t="str">
        <f>IF(COPY!H776&gt;0,COPY!H776,"")</f>
        <v/>
      </c>
      <c r="H778" s="85" t="str">
        <f>IF(COPY!I776&gt;0,COPY!I776,"")</f>
        <v/>
      </c>
      <c r="I778" s="85" t="str">
        <f>IF(COPY!M776&gt;0,COPY!M776,"")</f>
        <v/>
      </c>
      <c r="J778" s="85" t="str">
        <f>IF(COPY!N776&gt;0,COPY!N776,"")</f>
        <v/>
      </c>
      <c r="K778" s="86" t="str">
        <f>IF(N778=0,(IF(LEFT(Table13[[#This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Row],[URAIAN]],$U$194:$V$210,2,FALSE),""),""),0))))),N778)</f>
        <v/>
      </c>
      <c r="L778" s="85" t="str">
        <f>IF(Table13[[#This Row],[Column2]]="KWITANSI",COUNTIF($K$4:K778,"KWITANSI")," ")</f>
        <v xml:space="preserve"> </v>
      </c>
      <c r="M778" s="85" t="str">
        <f>IF(Table13[[#This Row],[Column3]]=" "," ",Table13[[#This Row],[CODE]])</f>
        <v xml:space="preserve"> </v>
      </c>
      <c r="N778" s="368"/>
      <c r="P778" s="81" t="str">
        <f t="shared" si="12"/>
        <v/>
      </c>
    </row>
    <row r="779" spans="1:16" hidden="1" x14ac:dyDescent="0.15">
      <c r="A779" s="81" t="str">
        <f>COPY!O777</f>
        <v/>
      </c>
      <c r="B779" s="81" t="str">
        <f>COPY!C777</f>
        <v/>
      </c>
      <c r="C779" s="82" t="str">
        <f>COPY!D777</f>
        <v/>
      </c>
      <c r="D779" s="81" t="str">
        <f>IF(Table13[[#This Row],[JUMLAH]]&gt;1,(IF(Table13[[#This Row],[CODE]]=" ",D778&amp;"a",IF(Table13[[#This Row],[CODE]]&gt;0,Table13[[#This Row],[CODE]],0))),"")</f>
        <v/>
      </c>
      <c r="E779" s="81" t="str">
        <f>IF(COPY!G777&gt;0,COPY!G777,"")</f>
        <v/>
      </c>
      <c r="F779" s="88" t="str">
        <f>IF(COPY!J777&gt;0,COPY!J777,"")</f>
        <v/>
      </c>
      <c r="G779" s="85" t="str">
        <f>IF(COPY!H777&gt;0,COPY!H777,"")</f>
        <v/>
      </c>
      <c r="H779" s="85" t="str">
        <f>IF(COPY!I777&gt;0,COPY!I777,"")</f>
        <v/>
      </c>
      <c r="I779" s="85" t="str">
        <f>IF(COPY!M777&gt;0,COPY!M777,"")</f>
        <v/>
      </c>
      <c r="J779" s="85" t="str">
        <f>IF(COPY!N777&gt;0,COPY!N777,"")</f>
        <v/>
      </c>
      <c r="K779" s="86" t="str">
        <f>IF(N779=0,(IF(LEFT(Table13[[#This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Row],[URAIAN]],$U$194:$V$210,2,FALSE),""),""),0))))),N779)</f>
        <v/>
      </c>
      <c r="L779" s="85" t="str">
        <f>IF(Table13[[#This Row],[Column2]]="KWITANSI",COUNTIF($K$4:K779,"KWITANSI")," ")</f>
        <v xml:space="preserve"> </v>
      </c>
      <c r="M779" s="85" t="str">
        <f>IF(Table13[[#This Row],[Column3]]=" "," ",Table13[[#This Row],[CODE]])</f>
        <v xml:space="preserve"> </v>
      </c>
      <c r="N779" s="368"/>
      <c r="P779" s="81" t="str">
        <f t="shared" si="12"/>
        <v/>
      </c>
    </row>
    <row r="780" spans="1:16" hidden="1" x14ac:dyDescent="0.15">
      <c r="A780" s="81" t="str">
        <f>COPY!O778</f>
        <v/>
      </c>
      <c r="B780" s="81" t="str">
        <f>COPY!C778</f>
        <v/>
      </c>
      <c r="C780" s="82" t="str">
        <f>COPY!D778</f>
        <v/>
      </c>
      <c r="D780" s="81" t="str">
        <f>IF(Table13[[#This Row],[JUMLAH]]&gt;1,(IF(Table13[[#This Row],[CODE]]=" ",D779&amp;"a",IF(Table13[[#This Row],[CODE]]&gt;0,Table13[[#This Row],[CODE]],0))),"")</f>
        <v/>
      </c>
      <c r="E780" s="81" t="str">
        <f>IF(COPY!G778&gt;0,COPY!G778,"")</f>
        <v/>
      </c>
      <c r="F780" s="88" t="str">
        <f>IF(COPY!J778&gt;0,COPY!J778,"")</f>
        <v/>
      </c>
      <c r="G780" s="85" t="str">
        <f>IF(COPY!H778&gt;0,COPY!H778,"")</f>
        <v/>
      </c>
      <c r="H780" s="85" t="str">
        <f>IF(COPY!I778&gt;0,COPY!I778,"")</f>
        <v/>
      </c>
      <c r="I780" s="85" t="str">
        <f>IF(COPY!M778&gt;0,COPY!M778,"")</f>
        <v/>
      </c>
      <c r="J780" s="85" t="str">
        <f>IF(COPY!N778&gt;0,COPY!N778,"")</f>
        <v/>
      </c>
      <c r="K780" s="86" t="str">
        <f>IF(N780=0,(IF(LEFT(Table13[[#This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Row],[URAIAN]],$U$194:$V$210,2,FALSE),""),""),0))))),N780)</f>
        <v/>
      </c>
      <c r="L780" s="85" t="str">
        <f>IF(Table13[[#This Row],[Column2]]="KWITANSI",COUNTIF($K$4:K780,"KWITANSI")," ")</f>
        <v xml:space="preserve"> </v>
      </c>
      <c r="M780" s="85" t="str">
        <f>IF(Table13[[#This Row],[Column3]]=" "," ",Table13[[#This Row],[CODE]])</f>
        <v xml:space="preserve"> </v>
      </c>
      <c r="N780" s="368"/>
      <c r="P780" s="81" t="str">
        <f t="shared" si="12"/>
        <v/>
      </c>
    </row>
    <row r="781" spans="1:16" hidden="1" x14ac:dyDescent="0.15">
      <c r="A781" s="81" t="str">
        <f>COPY!O779</f>
        <v/>
      </c>
      <c r="B781" s="81" t="str">
        <f>COPY!C779</f>
        <v/>
      </c>
      <c r="C781" s="82" t="str">
        <f>COPY!D779</f>
        <v/>
      </c>
      <c r="D781" s="81" t="str">
        <f>IF(Table13[[#This Row],[JUMLAH]]&gt;1,(IF(Table13[[#This Row],[CODE]]=" ",D780&amp;"a",IF(Table13[[#This Row],[CODE]]&gt;0,Table13[[#This Row],[CODE]],0))),"")</f>
        <v/>
      </c>
      <c r="E781" s="81" t="str">
        <f>IF(COPY!G779&gt;0,COPY!G779,"")</f>
        <v/>
      </c>
      <c r="F781" s="88" t="str">
        <f>IF(COPY!J779&gt;0,COPY!J779,"")</f>
        <v/>
      </c>
      <c r="G781" s="85" t="str">
        <f>IF(COPY!H779&gt;0,COPY!H779,"")</f>
        <v/>
      </c>
      <c r="H781" s="85" t="str">
        <f>IF(COPY!I779&gt;0,COPY!I779,"")</f>
        <v/>
      </c>
      <c r="I781" s="85" t="str">
        <f>IF(COPY!M779&gt;0,COPY!M779,"")</f>
        <v/>
      </c>
      <c r="J781" s="85" t="str">
        <f>IF(COPY!N779&gt;0,COPY!N779,"")</f>
        <v/>
      </c>
      <c r="K781" s="86" t="str">
        <f>IF(N781=0,(IF(LEFT(Table13[[#This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Row],[URAIAN]],$U$194:$V$210,2,FALSE),""),""),0))))),N781)</f>
        <v/>
      </c>
      <c r="L781" s="85" t="str">
        <f>IF(Table13[[#This Row],[Column2]]="KWITANSI",COUNTIF($K$4:K781,"KWITANSI")," ")</f>
        <v xml:space="preserve"> </v>
      </c>
      <c r="M781" s="85" t="str">
        <f>IF(Table13[[#This Row],[Column3]]=" "," ",Table13[[#This Row],[CODE]])</f>
        <v xml:space="preserve"> </v>
      </c>
      <c r="N781" s="368"/>
      <c r="P781" s="81" t="str">
        <f t="shared" si="12"/>
        <v/>
      </c>
    </row>
    <row r="782" spans="1:16" hidden="1" x14ac:dyDescent="0.15">
      <c r="A782" s="81" t="str">
        <f>COPY!O780</f>
        <v/>
      </c>
      <c r="B782" s="81" t="str">
        <f>COPY!C780</f>
        <v/>
      </c>
      <c r="C782" s="82" t="str">
        <f>COPY!D780</f>
        <v/>
      </c>
      <c r="D782" s="81" t="str">
        <f>IF(Table13[[#This Row],[JUMLAH]]&gt;1,(IF(Table13[[#This Row],[CODE]]=" ",D781&amp;"a",IF(Table13[[#This Row],[CODE]]&gt;0,Table13[[#This Row],[CODE]],0))),"")</f>
        <v/>
      </c>
      <c r="E782" s="81" t="str">
        <f>IF(COPY!G780&gt;0,COPY!G780,"")</f>
        <v/>
      </c>
      <c r="F782" s="88" t="str">
        <f>IF(COPY!J780&gt;0,COPY!J780,"")</f>
        <v/>
      </c>
      <c r="G782" s="85" t="str">
        <f>IF(COPY!H780&gt;0,COPY!H780,"")</f>
        <v/>
      </c>
      <c r="H782" s="85" t="str">
        <f>IF(COPY!I780&gt;0,COPY!I780,"")</f>
        <v/>
      </c>
      <c r="I782" s="85" t="str">
        <f>IF(COPY!M780&gt;0,COPY!M780,"")</f>
        <v/>
      </c>
      <c r="J782" s="85" t="str">
        <f>IF(COPY!N780&gt;0,COPY!N780,"")</f>
        <v/>
      </c>
      <c r="K782" s="86" t="str">
        <f>IF(N782=0,(IF(LEFT(Table13[[#This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Row],[URAIAN]],$U$194:$V$210,2,FALSE),""),""),0))))),N782)</f>
        <v/>
      </c>
      <c r="L782" s="85" t="str">
        <f>IF(Table13[[#This Row],[Column2]]="KWITANSI",COUNTIF($K$4:K782,"KWITANSI")," ")</f>
        <v xml:space="preserve"> </v>
      </c>
      <c r="M782" s="85" t="str">
        <f>IF(Table13[[#This Row],[Column3]]=" "," ",Table13[[#This Row],[CODE]])</f>
        <v xml:space="preserve"> </v>
      </c>
      <c r="N782" s="368"/>
      <c r="P782" s="81" t="str">
        <f t="shared" si="12"/>
        <v/>
      </c>
    </row>
    <row r="783" spans="1:16" hidden="1" x14ac:dyDescent="0.15">
      <c r="A783" s="81" t="str">
        <f>COPY!O781</f>
        <v/>
      </c>
      <c r="B783" s="81" t="str">
        <f>COPY!C781</f>
        <v/>
      </c>
      <c r="C783" s="82" t="str">
        <f>COPY!D781</f>
        <v/>
      </c>
      <c r="D783" s="81" t="str">
        <f>IF(Table13[[#This Row],[JUMLAH]]&gt;1,(IF(Table13[[#This Row],[CODE]]=" ",D782&amp;"a",IF(Table13[[#This Row],[CODE]]&gt;0,Table13[[#This Row],[CODE]],0))),"")</f>
        <v/>
      </c>
      <c r="E783" s="81" t="str">
        <f>IF(COPY!G781&gt;0,COPY!G781,"")</f>
        <v/>
      </c>
      <c r="F783" s="88" t="str">
        <f>IF(COPY!J781&gt;0,COPY!J781,"")</f>
        <v/>
      </c>
      <c r="G783" s="85" t="str">
        <f>IF(COPY!H781&gt;0,COPY!H781,"")</f>
        <v/>
      </c>
      <c r="H783" s="85" t="str">
        <f>IF(COPY!I781&gt;0,COPY!I781,"")</f>
        <v/>
      </c>
      <c r="I783" s="85" t="str">
        <f>IF(COPY!M781&gt;0,COPY!M781,"")</f>
        <v/>
      </c>
      <c r="J783" s="85" t="str">
        <f>IF(COPY!N781&gt;0,COPY!N781,"")</f>
        <v/>
      </c>
      <c r="K783" s="86" t="str">
        <f>IF(N783=0,(IF(LEFT(Table13[[#This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Row],[URAIAN]],$U$194:$V$210,2,FALSE),""),""),0))))),N783)</f>
        <v/>
      </c>
      <c r="L783" s="85" t="str">
        <f>IF(Table13[[#This Row],[Column2]]="KWITANSI",COUNTIF($K$4:K783,"KWITANSI")," ")</f>
        <v xml:space="preserve"> </v>
      </c>
      <c r="M783" s="85" t="str">
        <f>IF(Table13[[#This Row],[Column3]]=" "," ",Table13[[#This Row],[CODE]])</f>
        <v xml:space="preserve"> </v>
      </c>
      <c r="N783" s="368"/>
      <c r="P783" s="81" t="str">
        <f t="shared" si="12"/>
        <v/>
      </c>
    </row>
    <row r="784" spans="1:16" hidden="1" x14ac:dyDescent="0.15">
      <c r="A784" s="81" t="str">
        <f>COPY!O782</f>
        <v/>
      </c>
      <c r="B784" s="81" t="str">
        <f>COPY!C782</f>
        <v/>
      </c>
      <c r="C784" s="82" t="str">
        <f>COPY!D782</f>
        <v/>
      </c>
      <c r="D784" s="81" t="str">
        <f>IF(Table13[[#This Row],[JUMLAH]]&gt;1,(IF(Table13[[#This Row],[CODE]]=" ",D783&amp;"a",IF(Table13[[#This Row],[CODE]]&gt;0,Table13[[#This Row],[CODE]],0))),"")</f>
        <v/>
      </c>
      <c r="E784" s="81" t="str">
        <f>IF(COPY!G782&gt;0,COPY!G782,"")</f>
        <v/>
      </c>
      <c r="F784" s="88" t="str">
        <f>IF(COPY!J782&gt;0,COPY!J782,"")</f>
        <v/>
      </c>
      <c r="G784" s="85" t="str">
        <f>IF(COPY!H782&gt;0,COPY!H782,"")</f>
        <v/>
      </c>
      <c r="H784" s="85" t="str">
        <f>IF(COPY!I782&gt;0,COPY!I782,"")</f>
        <v/>
      </c>
      <c r="I784" s="85" t="str">
        <f>IF(COPY!M782&gt;0,COPY!M782,"")</f>
        <v/>
      </c>
      <c r="J784" s="85" t="str">
        <f>IF(COPY!N782&gt;0,COPY!N782,"")</f>
        <v/>
      </c>
      <c r="K784" s="86" t="str">
        <f>IF(N784=0,(IF(LEFT(Table13[[#This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Row],[URAIAN]],$U$194:$V$210,2,FALSE),""),""),0))))),N784)</f>
        <v/>
      </c>
      <c r="L784" s="85" t="str">
        <f>IF(Table13[[#This Row],[Column2]]="KWITANSI",COUNTIF($K$4:K784,"KWITANSI")," ")</f>
        <v xml:space="preserve"> </v>
      </c>
      <c r="M784" s="85" t="str">
        <f>IF(Table13[[#This Row],[Column3]]=" "," ",Table13[[#This Row],[CODE]])</f>
        <v xml:space="preserve"> </v>
      </c>
      <c r="N784" s="368"/>
      <c r="P784" s="81" t="str">
        <f t="shared" si="12"/>
        <v/>
      </c>
    </row>
    <row r="785" spans="1:16" hidden="1" x14ac:dyDescent="0.15">
      <c r="A785" s="81" t="str">
        <f>COPY!O783</f>
        <v/>
      </c>
      <c r="B785" s="81" t="str">
        <f>COPY!C783</f>
        <v/>
      </c>
      <c r="C785" s="82" t="str">
        <f>COPY!D783</f>
        <v/>
      </c>
      <c r="D785" s="81" t="str">
        <f>IF(Table13[[#This Row],[JUMLAH]]&gt;1,(IF(Table13[[#This Row],[CODE]]=" ",D784&amp;"a",IF(Table13[[#This Row],[CODE]]&gt;0,Table13[[#This Row],[CODE]],0))),"")</f>
        <v/>
      </c>
      <c r="E785" s="81" t="str">
        <f>IF(COPY!G783&gt;0,COPY!G783,"")</f>
        <v/>
      </c>
      <c r="F785" s="88" t="str">
        <f>IF(COPY!J783&gt;0,COPY!J783,"")</f>
        <v/>
      </c>
      <c r="G785" s="85" t="str">
        <f>IF(COPY!H783&gt;0,COPY!H783,"")</f>
        <v/>
      </c>
      <c r="H785" s="85" t="str">
        <f>IF(COPY!I783&gt;0,COPY!I783,"")</f>
        <v/>
      </c>
      <c r="I785" s="85" t="str">
        <f>IF(COPY!M783&gt;0,COPY!M783,"")</f>
        <v/>
      </c>
      <c r="J785" s="85" t="str">
        <f>IF(COPY!N783&gt;0,COPY!N783,"")</f>
        <v/>
      </c>
      <c r="K785" s="86" t="str">
        <f>IF(N785=0,(IF(LEFT(Table13[[#This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Row],[URAIAN]],$U$194:$V$210,2,FALSE),""),""),0))))),N785)</f>
        <v/>
      </c>
      <c r="L785" s="85" t="str">
        <f>IF(Table13[[#This Row],[Column2]]="KWITANSI",COUNTIF($K$4:K785,"KWITANSI")," ")</f>
        <v xml:space="preserve"> </v>
      </c>
      <c r="M785" s="85" t="str">
        <f>IF(Table13[[#This Row],[Column3]]=" "," ",Table13[[#This Row],[CODE]])</f>
        <v xml:space="preserve"> </v>
      </c>
      <c r="N785" s="368"/>
      <c r="P785" s="81" t="str">
        <f t="shared" si="12"/>
        <v/>
      </c>
    </row>
    <row r="786" spans="1:16" hidden="1" x14ac:dyDescent="0.15">
      <c r="A786" s="81" t="str">
        <f>COPY!O784</f>
        <v/>
      </c>
      <c r="B786" s="81" t="str">
        <f>COPY!C784</f>
        <v/>
      </c>
      <c r="C786" s="82" t="str">
        <f>COPY!D784</f>
        <v/>
      </c>
      <c r="D786" s="81" t="str">
        <f>IF(Table13[[#This Row],[JUMLAH]]&gt;1,(IF(Table13[[#This Row],[CODE]]=" ",D785&amp;"a",IF(Table13[[#This Row],[CODE]]&gt;0,Table13[[#This Row],[CODE]],0))),"")</f>
        <v/>
      </c>
      <c r="E786" s="81" t="str">
        <f>IF(COPY!G784&gt;0,COPY!G784,"")</f>
        <v/>
      </c>
      <c r="F786" s="88" t="str">
        <f>IF(COPY!J784&gt;0,COPY!J784,"")</f>
        <v/>
      </c>
      <c r="G786" s="85" t="str">
        <f>IF(COPY!H784&gt;0,COPY!H784,"")</f>
        <v/>
      </c>
      <c r="H786" s="85" t="str">
        <f>IF(COPY!I784&gt;0,COPY!I784,"")</f>
        <v/>
      </c>
      <c r="I786" s="85" t="str">
        <f>IF(COPY!M784&gt;0,COPY!M784,"")</f>
        <v/>
      </c>
      <c r="J786" s="85" t="str">
        <f>IF(COPY!N784&gt;0,COPY!N784,"")</f>
        <v/>
      </c>
      <c r="K786" s="86" t="str">
        <f>IF(N786=0,(IF(LEFT(Table13[[#This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Row],[URAIAN]],$U$194:$V$210,2,FALSE),""),""),0))))),N786)</f>
        <v/>
      </c>
      <c r="L786" s="85" t="str">
        <f>IF(Table13[[#This Row],[Column2]]="KWITANSI",COUNTIF($K$4:K786,"KWITANSI")," ")</f>
        <v xml:space="preserve"> </v>
      </c>
      <c r="M786" s="85" t="str">
        <f>IF(Table13[[#This Row],[Column3]]=" "," ",Table13[[#This Row],[CODE]])</f>
        <v xml:space="preserve"> </v>
      </c>
      <c r="N786" s="368"/>
      <c r="P786" s="81" t="str">
        <f t="shared" si="12"/>
        <v/>
      </c>
    </row>
    <row r="787" spans="1:16" hidden="1" x14ac:dyDescent="0.15">
      <c r="A787" s="81" t="str">
        <f>COPY!O785</f>
        <v/>
      </c>
      <c r="B787" s="81" t="str">
        <f>COPY!C785</f>
        <v/>
      </c>
      <c r="C787" s="82" t="str">
        <f>COPY!D785</f>
        <v/>
      </c>
      <c r="D787" s="81" t="str">
        <f>IF(Table13[[#This Row],[JUMLAH]]&gt;1,(IF(Table13[[#This Row],[CODE]]=" ",D786&amp;"a",IF(Table13[[#This Row],[CODE]]&gt;0,Table13[[#This Row],[CODE]],0))),"")</f>
        <v/>
      </c>
      <c r="E787" s="81" t="str">
        <f>IF(COPY!G785&gt;0,COPY!G785,"")</f>
        <v/>
      </c>
      <c r="F787" s="88" t="str">
        <f>IF(COPY!J785&gt;0,COPY!J785,"")</f>
        <v/>
      </c>
      <c r="G787" s="85" t="str">
        <f>IF(COPY!H785&gt;0,COPY!H785,"")</f>
        <v/>
      </c>
      <c r="H787" s="85" t="str">
        <f>IF(COPY!I785&gt;0,COPY!I785,"")</f>
        <v/>
      </c>
      <c r="I787" s="85" t="str">
        <f>IF(COPY!M785&gt;0,COPY!M785,"")</f>
        <v/>
      </c>
      <c r="J787" s="85" t="str">
        <f>IF(COPY!N785&gt;0,COPY!N785,"")</f>
        <v/>
      </c>
      <c r="K787" s="86" t="str">
        <f>IF(N787=0,(IF(LEFT(Table13[[#This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Row],[URAIAN]],$U$194:$V$210,2,FALSE),""),""),0))))),N787)</f>
        <v/>
      </c>
      <c r="L787" s="85" t="str">
        <f>IF(Table13[[#This Row],[Column2]]="KWITANSI",COUNTIF($K$4:K787,"KWITANSI")," ")</f>
        <v xml:space="preserve"> </v>
      </c>
      <c r="M787" s="85" t="str">
        <f>IF(Table13[[#This Row],[Column3]]=" "," ",Table13[[#This Row],[CODE]])</f>
        <v xml:space="preserve"> </v>
      </c>
      <c r="N787" s="368"/>
      <c r="P787" s="81" t="str">
        <f t="shared" si="12"/>
        <v/>
      </c>
    </row>
    <row r="788" spans="1:16" hidden="1" x14ac:dyDescent="0.15">
      <c r="A788" s="81" t="str">
        <f>COPY!O786</f>
        <v/>
      </c>
      <c r="B788" s="81" t="str">
        <f>COPY!C786</f>
        <v/>
      </c>
      <c r="C788" s="82" t="str">
        <f>COPY!D786</f>
        <v/>
      </c>
      <c r="D788" s="81" t="str">
        <f>IF(Table13[[#This Row],[JUMLAH]]&gt;1,(IF(Table13[[#This Row],[CODE]]=" ",D787&amp;"a",IF(Table13[[#This Row],[CODE]]&gt;0,Table13[[#This Row],[CODE]],0))),"")</f>
        <v/>
      </c>
      <c r="E788" s="81" t="str">
        <f>IF(COPY!G786&gt;0,COPY!G786,"")</f>
        <v/>
      </c>
      <c r="F788" s="88" t="str">
        <f>IF(COPY!J786&gt;0,COPY!J786,"")</f>
        <v/>
      </c>
      <c r="G788" s="85" t="str">
        <f>IF(COPY!H786&gt;0,COPY!H786,"")</f>
        <v/>
      </c>
      <c r="H788" s="85" t="str">
        <f>IF(COPY!I786&gt;0,COPY!I786,"")</f>
        <v/>
      </c>
      <c r="I788" s="85" t="str">
        <f>IF(COPY!M786&gt;0,COPY!M786,"")</f>
        <v/>
      </c>
      <c r="J788" s="85" t="str">
        <f>IF(COPY!N786&gt;0,COPY!N786,"")</f>
        <v/>
      </c>
      <c r="K788" s="86" t="str">
        <f>IF(N788=0,(IF(LEFT(Table13[[#This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Row],[URAIAN]],$U$194:$V$210,2,FALSE),""),""),0))))),N788)</f>
        <v/>
      </c>
      <c r="L788" s="85" t="str">
        <f>IF(Table13[[#This Row],[Column2]]="KWITANSI",COUNTIF($K$4:K788,"KWITANSI")," ")</f>
        <v xml:space="preserve"> </v>
      </c>
      <c r="M788" s="85" t="str">
        <f>IF(Table13[[#This Row],[Column3]]=" "," ",Table13[[#This Row],[CODE]])</f>
        <v xml:space="preserve"> </v>
      </c>
      <c r="N788" s="368"/>
      <c r="P788" s="81" t="str">
        <f t="shared" si="12"/>
        <v/>
      </c>
    </row>
    <row r="789" spans="1:16" hidden="1" x14ac:dyDescent="0.15">
      <c r="A789" s="81" t="str">
        <f>COPY!O787</f>
        <v/>
      </c>
      <c r="B789" s="81" t="str">
        <f>COPY!C787</f>
        <v/>
      </c>
      <c r="C789" s="82" t="str">
        <f>COPY!D787</f>
        <v/>
      </c>
      <c r="D789" s="81" t="str">
        <f>IF(Table13[[#This Row],[JUMLAH]]&gt;1,(IF(Table13[[#This Row],[CODE]]=" ",D788&amp;"a",IF(Table13[[#This Row],[CODE]]&gt;0,Table13[[#This Row],[CODE]],0))),"")</f>
        <v/>
      </c>
      <c r="E789" s="81" t="str">
        <f>IF(COPY!G787&gt;0,COPY!G787,"")</f>
        <v/>
      </c>
      <c r="F789" s="88" t="str">
        <f>IF(COPY!J787&gt;0,COPY!J787,"")</f>
        <v/>
      </c>
      <c r="G789" s="85" t="str">
        <f>IF(COPY!H787&gt;0,COPY!H787,"")</f>
        <v/>
      </c>
      <c r="H789" s="85" t="str">
        <f>IF(COPY!I787&gt;0,COPY!I787,"")</f>
        <v/>
      </c>
      <c r="I789" s="85" t="str">
        <f>IF(COPY!M787&gt;0,COPY!M787,"")</f>
        <v/>
      </c>
      <c r="J789" s="85" t="str">
        <f>IF(COPY!N787&gt;0,COPY!N787,"")</f>
        <v/>
      </c>
      <c r="K789" s="86" t="str">
        <f>IF(N789=0,(IF(LEFT(Table13[[#This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Row],[URAIAN]],$U$194:$V$210,2,FALSE),""),""),0))))),N789)</f>
        <v/>
      </c>
      <c r="L789" s="85" t="str">
        <f>IF(Table13[[#This Row],[Column2]]="KWITANSI",COUNTIF($K$4:K789,"KWITANSI")," ")</f>
        <v xml:space="preserve"> </v>
      </c>
      <c r="M789" s="85" t="str">
        <f>IF(Table13[[#This Row],[Column3]]=" "," ",Table13[[#This Row],[CODE]])</f>
        <v xml:space="preserve"> </v>
      </c>
      <c r="N789" s="368"/>
      <c r="P789" s="81" t="str">
        <f t="shared" si="12"/>
        <v/>
      </c>
    </row>
    <row r="790" spans="1:16" hidden="1" x14ac:dyDescent="0.15">
      <c r="A790" s="81" t="str">
        <f>COPY!O788</f>
        <v/>
      </c>
      <c r="B790" s="81" t="str">
        <f>COPY!C788</f>
        <v/>
      </c>
      <c r="C790" s="82" t="str">
        <f>COPY!D788</f>
        <v/>
      </c>
      <c r="D790" s="81" t="str">
        <f>IF(Table13[[#This Row],[JUMLAH]]&gt;1,(IF(Table13[[#This Row],[CODE]]=" ",D789&amp;"a",IF(Table13[[#This Row],[CODE]]&gt;0,Table13[[#This Row],[CODE]],0))),"")</f>
        <v/>
      </c>
      <c r="E790" s="81" t="str">
        <f>IF(COPY!G788&gt;0,COPY!G788,"")</f>
        <v/>
      </c>
      <c r="F790" s="88" t="str">
        <f>IF(COPY!J788&gt;0,COPY!J788,"")</f>
        <v/>
      </c>
      <c r="G790" s="85" t="str">
        <f>IF(COPY!H788&gt;0,COPY!H788,"")</f>
        <v/>
      </c>
      <c r="H790" s="85" t="str">
        <f>IF(COPY!I788&gt;0,COPY!I788,"")</f>
        <v/>
      </c>
      <c r="I790" s="85" t="str">
        <f>IF(COPY!M788&gt;0,COPY!M788,"")</f>
        <v/>
      </c>
      <c r="J790" s="85" t="str">
        <f>IF(COPY!N788&gt;0,COPY!N788,"")</f>
        <v/>
      </c>
      <c r="K790" s="86" t="str">
        <f>IF(N790=0,(IF(LEFT(Table13[[#This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Row],[URAIAN]],$U$194:$V$210,2,FALSE),""),""),0))))),N790)</f>
        <v/>
      </c>
      <c r="L790" s="85" t="str">
        <f>IF(Table13[[#This Row],[Column2]]="KWITANSI",COUNTIF($K$4:K790,"KWITANSI")," ")</f>
        <v xml:space="preserve"> </v>
      </c>
      <c r="M790" s="85" t="str">
        <f>IF(Table13[[#This Row],[Column3]]=" "," ",Table13[[#This Row],[CODE]])</f>
        <v xml:space="preserve"> </v>
      </c>
      <c r="N790" s="368"/>
      <c r="P790" s="81" t="str">
        <f t="shared" si="12"/>
        <v/>
      </c>
    </row>
    <row r="791" spans="1:16" hidden="1" x14ac:dyDescent="0.15">
      <c r="A791" s="81" t="str">
        <f>COPY!O789</f>
        <v/>
      </c>
      <c r="B791" s="81" t="str">
        <f>COPY!C789</f>
        <v/>
      </c>
      <c r="C791" s="82" t="str">
        <f>COPY!D789</f>
        <v/>
      </c>
      <c r="D791" s="81" t="str">
        <f>IF(Table13[[#This Row],[JUMLAH]]&gt;1,(IF(Table13[[#This Row],[CODE]]=" ",D790&amp;"a",IF(Table13[[#This Row],[CODE]]&gt;0,Table13[[#This Row],[CODE]],0))),"")</f>
        <v/>
      </c>
      <c r="E791" s="81" t="str">
        <f>IF(COPY!G789&gt;0,COPY!G789,"")</f>
        <v/>
      </c>
      <c r="F791" s="88" t="str">
        <f>IF(COPY!J789&gt;0,COPY!J789,"")</f>
        <v/>
      </c>
      <c r="G791" s="85" t="str">
        <f>IF(COPY!H789&gt;0,COPY!H789,"")</f>
        <v/>
      </c>
      <c r="H791" s="85" t="str">
        <f>IF(COPY!I789&gt;0,COPY!I789,"")</f>
        <v/>
      </c>
      <c r="I791" s="85" t="str">
        <f>IF(COPY!M789&gt;0,COPY!M789,"")</f>
        <v/>
      </c>
      <c r="J791" s="85" t="str">
        <f>IF(COPY!N789&gt;0,COPY!N789,"")</f>
        <v/>
      </c>
      <c r="K791" s="86" t="str">
        <f>IF(N791=0,(IF(LEFT(Table13[[#This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Row],[URAIAN]],$U$194:$V$210,2,FALSE),""),""),0))))),N791)</f>
        <v/>
      </c>
      <c r="L791" s="85" t="str">
        <f>IF(Table13[[#This Row],[Column2]]="KWITANSI",COUNTIF($K$4:K791,"KWITANSI")," ")</f>
        <v xml:space="preserve"> </v>
      </c>
      <c r="M791" s="85" t="str">
        <f>IF(Table13[[#This Row],[Column3]]=" "," ",Table13[[#This Row],[CODE]])</f>
        <v xml:space="preserve"> </v>
      </c>
      <c r="N791" s="368"/>
      <c r="P791" s="81" t="str">
        <f t="shared" si="12"/>
        <v/>
      </c>
    </row>
    <row r="792" spans="1:16" hidden="1" x14ac:dyDescent="0.15">
      <c r="A792" s="81" t="str">
        <f>COPY!O790</f>
        <v/>
      </c>
      <c r="B792" s="81" t="str">
        <f>COPY!C790</f>
        <v/>
      </c>
      <c r="C792" s="82" t="str">
        <f>COPY!D790</f>
        <v/>
      </c>
      <c r="D792" s="81" t="str">
        <f>IF(Table13[[#This Row],[JUMLAH]]&gt;1,(IF(Table13[[#This Row],[CODE]]=" ",D791&amp;"a",IF(Table13[[#This Row],[CODE]]&gt;0,Table13[[#This Row],[CODE]],0))),"")</f>
        <v/>
      </c>
      <c r="E792" s="81" t="str">
        <f>IF(COPY!G790&gt;0,COPY!G790,"")</f>
        <v/>
      </c>
      <c r="F792" s="88" t="str">
        <f>IF(COPY!J790&gt;0,COPY!J790,"")</f>
        <v/>
      </c>
      <c r="G792" s="85" t="str">
        <f>IF(COPY!H790&gt;0,COPY!H790,"")</f>
        <v/>
      </c>
      <c r="H792" s="85" t="str">
        <f>IF(COPY!I790&gt;0,COPY!I790,"")</f>
        <v/>
      </c>
      <c r="I792" s="85" t="str">
        <f>IF(COPY!M790&gt;0,COPY!M790,"")</f>
        <v/>
      </c>
      <c r="J792" s="85" t="str">
        <f>IF(COPY!N790&gt;0,COPY!N790,"")</f>
        <v/>
      </c>
      <c r="K792" s="86" t="str">
        <f>IF(N792=0,(IF(LEFT(Table13[[#This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Row],[URAIAN]],$U$194:$V$210,2,FALSE),""),""),0))))),N792)</f>
        <v/>
      </c>
      <c r="L792" s="85" t="str">
        <f>IF(Table13[[#This Row],[Column2]]="KWITANSI",COUNTIF($K$4:K792,"KWITANSI")," ")</f>
        <v xml:space="preserve"> </v>
      </c>
      <c r="M792" s="85" t="str">
        <f>IF(Table13[[#This Row],[Column3]]=" "," ",Table13[[#This Row],[CODE]])</f>
        <v xml:space="preserve"> </v>
      </c>
      <c r="N792" s="368"/>
      <c r="P792" s="81" t="str">
        <f t="shared" si="12"/>
        <v/>
      </c>
    </row>
    <row r="793" spans="1:16" hidden="1" x14ac:dyDescent="0.15">
      <c r="A793" s="81" t="str">
        <f>COPY!O791</f>
        <v/>
      </c>
      <c r="B793" s="81" t="str">
        <f>COPY!C791</f>
        <v/>
      </c>
      <c r="C793" s="82" t="str">
        <f>COPY!D791</f>
        <v/>
      </c>
      <c r="D793" s="81" t="str">
        <f>IF(Table13[[#This Row],[JUMLAH]]&gt;1,(IF(Table13[[#This Row],[CODE]]=" ",D792&amp;"a",IF(Table13[[#This Row],[CODE]]&gt;0,Table13[[#This Row],[CODE]],0))),"")</f>
        <v/>
      </c>
      <c r="E793" s="81" t="str">
        <f>IF(COPY!G791&gt;0,COPY!G791,"")</f>
        <v/>
      </c>
      <c r="F793" s="88" t="str">
        <f>IF(COPY!J791&gt;0,COPY!J791,"")</f>
        <v/>
      </c>
      <c r="G793" s="85" t="str">
        <f>IF(COPY!H791&gt;0,COPY!H791,"")</f>
        <v/>
      </c>
      <c r="H793" s="85" t="str">
        <f>IF(COPY!I791&gt;0,COPY!I791,"")</f>
        <v/>
      </c>
      <c r="I793" s="85" t="str">
        <f>IF(COPY!M791&gt;0,COPY!M791,"")</f>
        <v/>
      </c>
      <c r="J793" s="85" t="str">
        <f>IF(COPY!N791&gt;0,COPY!N791,"")</f>
        <v/>
      </c>
      <c r="K793" s="86" t="str">
        <f>IF(N793=0,(IF(LEFT(Table13[[#This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Row],[URAIAN]],$U$194:$V$210,2,FALSE),""),""),0))))),N793)</f>
        <v/>
      </c>
      <c r="L793" s="85" t="str">
        <f>IF(Table13[[#This Row],[Column2]]="KWITANSI",COUNTIF($K$4:K793,"KWITANSI")," ")</f>
        <v xml:space="preserve"> </v>
      </c>
      <c r="M793" s="85" t="str">
        <f>IF(Table13[[#This Row],[Column3]]=" "," ",Table13[[#This Row],[CODE]])</f>
        <v xml:space="preserve"> </v>
      </c>
      <c r="N793" s="368"/>
      <c r="P793" s="81" t="str">
        <f t="shared" si="12"/>
        <v/>
      </c>
    </row>
    <row r="794" spans="1:16" hidden="1" x14ac:dyDescent="0.15">
      <c r="A794" s="81" t="str">
        <f>COPY!O792</f>
        <v/>
      </c>
      <c r="B794" s="81" t="str">
        <f>COPY!C792</f>
        <v/>
      </c>
      <c r="C794" s="82" t="str">
        <f>COPY!D792</f>
        <v/>
      </c>
      <c r="D794" s="81" t="str">
        <f>IF(Table13[[#This Row],[JUMLAH]]&gt;1,(IF(Table13[[#This Row],[CODE]]=" ",D793&amp;"a",IF(Table13[[#This Row],[CODE]]&gt;0,Table13[[#This Row],[CODE]],0))),"")</f>
        <v/>
      </c>
      <c r="E794" s="81" t="str">
        <f>IF(COPY!G792&gt;0,COPY!G792,"")</f>
        <v/>
      </c>
      <c r="F794" s="88" t="str">
        <f>IF(COPY!J792&gt;0,COPY!J792,"")</f>
        <v/>
      </c>
      <c r="G794" s="85" t="str">
        <f>IF(COPY!H792&gt;0,COPY!H792,"")</f>
        <v/>
      </c>
      <c r="H794" s="85" t="str">
        <f>IF(COPY!I792&gt;0,COPY!I792,"")</f>
        <v/>
      </c>
      <c r="I794" s="85" t="str">
        <f>IF(COPY!M792&gt;0,COPY!M792,"")</f>
        <v/>
      </c>
      <c r="J794" s="85" t="str">
        <f>IF(COPY!N792&gt;0,COPY!N792,"")</f>
        <v/>
      </c>
      <c r="K794" s="86" t="str">
        <f>IF(N794=0,(IF(LEFT(Table13[[#This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Row],[URAIAN]],$U$194:$V$210,2,FALSE),""),""),0))))),N794)</f>
        <v/>
      </c>
      <c r="L794" s="85" t="str">
        <f>IF(Table13[[#This Row],[Column2]]="KWITANSI",COUNTIF($K$4:K794,"KWITANSI")," ")</f>
        <v xml:space="preserve"> </v>
      </c>
      <c r="M794" s="85" t="str">
        <f>IF(Table13[[#This Row],[Column3]]=" "," ",Table13[[#This Row],[CODE]])</f>
        <v xml:space="preserve"> </v>
      </c>
      <c r="N794" s="368"/>
      <c r="P794" s="81" t="str">
        <f t="shared" si="12"/>
        <v/>
      </c>
    </row>
    <row r="795" spans="1:16" hidden="1" x14ac:dyDescent="0.15">
      <c r="A795" s="81" t="str">
        <f>COPY!O793</f>
        <v/>
      </c>
      <c r="B795" s="81" t="str">
        <f>COPY!C793</f>
        <v/>
      </c>
      <c r="C795" s="82" t="str">
        <f>COPY!D793</f>
        <v/>
      </c>
      <c r="D795" s="81" t="str">
        <f>IF(Table13[[#This Row],[JUMLAH]]&gt;1,(IF(Table13[[#This Row],[CODE]]=" ",D794&amp;"a",IF(Table13[[#This Row],[CODE]]&gt;0,Table13[[#This Row],[CODE]],0))),"")</f>
        <v/>
      </c>
      <c r="E795" s="81" t="str">
        <f>IF(COPY!G793&gt;0,COPY!G793,"")</f>
        <v/>
      </c>
      <c r="F795" s="88" t="str">
        <f>IF(COPY!J793&gt;0,COPY!J793,"")</f>
        <v/>
      </c>
      <c r="G795" s="85" t="str">
        <f>IF(COPY!H793&gt;0,COPY!H793,"")</f>
        <v/>
      </c>
      <c r="H795" s="85" t="str">
        <f>IF(COPY!I793&gt;0,COPY!I793,"")</f>
        <v/>
      </c>
      <c r="I795" s="85" t="str">
        <f>IF(COPY!M793&gt;0,COPY!M793,"")</f>
        <v/>
      </c>
      <c r="J795" s="85" t="str">
        <f>IF(COPY!N793&gt;0,COPY!N793,"")</f>
        <v/>
      </c>
      <c r="K795" s="86" t="str">
        <f>IF(N795=0,(IF(LEFT(Table13[[#This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Row],[URAIAN]],$U$194:$V$210,2,FALSE),""),""),0))))),N795)</f>
        <v/>
      </c>
      <c r="L795" s="85" t="str">
        <f>IF(Table13[[#This Row],[Column2]]="KWITANSI",COUNTIF($K$4:K795,"KWITANSI")," ")</f>
        <v xml:space="preserve"> </v>
      </c>
      <c r="M795" s="85" t="str">
        <f>IF(Table13[[#This Row],[Column3]]=" "," ",Table13[[#This Row],[CODE]])</f>
        <v xml:space="preserve"> </v>
      </c>
      <c r="N795" s="368"/>
      <c r="P795" s="81" t="str">
        <f t="shared" si="12"/>
        <v/>
      </c>
    </row>
    <row r="796" spans="1:16" hidden="1" x14ac:dyDescent="0.15">
      <c r="A796" s="81" t="str">
        <f>COPY!O794</f>
        <v/>
      </c>
      <c r="B796" s="81" t="str">
        <f>COPY!C794</f>
        <v/>
      </c>
      <c r="C796" s="82" t="str">
        <f>COPY!D794</f>
        <v/>
      </c>
      <c r="D796" s="81" t="str">
        <f>IF(Table13[[#This Row],[JUMLAH]]&gt;1,(IF(Table13[[#This Row],[CODE]]=" ",D795&amp;"a",IF(Table13[[#This Row],[CODE]]&gt;0,Table13[[#This Row],[CODE]],0))),"")</f>
        <v/>
      </c>
      <c r="E796" s="81" t="str">
        <f>IF(COPY!G794&gt;0,COPY!G794,"")</f>
        <v/>
      </c>
      <c r="F796" s="88" t="str">
        <f>IF(COPY!J794&gt;0,COPY!J794,"")</f>
        <v/>
      </c>
      <c r="G796" s="85" t="str">
        <f>IF(COPY!H794&gt;0,COPY!H794,"")</f>
        <v/>
      </c>
      <c r="H796" s="85" t="str">
        <f>IF(COPY!I794&gt;0,COPY!I794,"")</f>
        <v/>
      </c>
      <c r="I796" s="85" t="str">
        <f>IF(COPY!M794&gt;0,COPY!M794,"")</f>
        <v/>
      </c>
      <c r="J796" s="85" t="str">
        <f>IF(COPY!N794&gt;0,COPY!N794,"")</f>
        <v/>
      </c>
      <c r="K796" s="86" t="str">
        <f>IF(N796=0,(IF(LEFT(Table13[[#This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Row],[URAIAN]],$U$194:$V$210,2,FALSE),""),""),0))))),N796)</f>
        <v/>
      </c>
      <c r="L796" s="85" t="str">
        <f>IF(Table13[[#This Row],[Column2]]="KWITANSI",COUNTIF($K$4:K796,"KWITANSI")," ")</f>
        <v xml:space="preserve"> </v>
      </c>
      <c r="M796" s="85" t="str">
        <f>IF(Table13[[#This Row],[Column3]]=" "," ",Table13[[#This Row],[CODE]])</f>
        <v xml:space="preserve"> </v>
      </c>
      <c r="N796" s="368"/>
      <c r="P796" s="81" t="str">
        <f t="shared" si="12"/>
        <v/>
      </c>
    </row>
    <row r="797" spans="1:16" hidden="1" x14ac:dyDescent="0.15">
      <c r="A797" s="81" t="str">
        <f>COPY!O795</f>
        <v/>
      </c>
      <c r="B797" s="81" t="str">
        <f>COPY!C795</f>
        <v/>
      </c>
      <c r="C797" s="82" t="str">
        <f>COPY!D795</f>
        <v/>
      </c>
      <c r="D797" s="81" t="str">
        <f>IF(Table13[[#This Row],[JUMLAH]]&gt;1,(IF(Table13[[#This Row],[CODE]]=" ",D796&amp;"a",IF(Table13[[#This Row],[CODE]]&gt;0,Table13[[#This Row],[CODE]],0))),"")</f>
        <v/>
      </c>
      <c r="E797" s="81" t="str">
        <f>IF(COPY!G795&gt;0,COPY!G795,"")</f>
        <v/>
      </c>
      <c r="F797" s="88" t="str">
        <f>IF(COPY!J795&gt;0,COPY!J795,"")</f>
        <v/>
      </c>
      <c r="G797" s="85" t="str">
        <f>IF(COPY!H795&gt;0,COPY!H795,"")</f>
        <v/>
      </c>
      <c r="H797" s="85" t="str">
        <f>IF(COPY!I795&gt;0,COPY!I795,"")</f>
        <v/>
      </c>
      <c r="I797" s="85" t="str">
        <f>IF(COPY!M795&gt;0,COPY!M795,"")</f>
        <v/>
      </c>
      <c r="J797" s="85" t="str">
        <f>IF(COPY!N795&gt;0,COPY!N795,"")</f>
        <v/>
      </c>
      <c r="K797" s="86" t="str">
        <f>IF(N797=0,(IF(LEFT(Table13[[#This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Row],[URAIAN]],$U$194:$V$210,2,FALSE),""),""),0))))),N797)</f>
        <v/>
      </c>
      <c r="L797" s="85" t="str">
        <f>IF(Table13[[#This Row],[Column2]]="KWITANSI",COUNTIF($K$4:K797,"KWITANSI")," ")</f>
        <v xml:space="preserve"> </v>
      </c>
      <c r="M797" s="85" t="str">
        <f>IF(Table13[[#This Row],[Column3]]=" "," ",Table13[[#This Row],[CODE]])</f>
        <v xml:space="preserve"> </v>
      </c>
      <c r="N797" s="368"/>
      <c r="P797" s="81" t="str">
        <f t="shared" si="12"/>
        <v/>
      </c>
    </row>
    <row r="798" spans="1:16" hidden="1" x14ac:dyDescent="0.15">
      <c r="A798" s="81" t="str">
        <f>COPY!O796</f>
        <v/>
      </c>
      <c r="B798" s="81" t="str">
        <f>COPY!C796</f>
        <v/>
      </c>
      <c r="C798" s="82" t="str">
        <f>COPY!D796</f>
        <v/>
      </c>
      <c r="D798" s="81" t="str">
        <f>IF(Table13[[#This Row],[JUMLAH]]&gt;1,(IF(Table13[[#This Row],[CODE]]=" ",D797&amp;"a",IF(Table13[[#This Row],[CODE]]&gt;0,Table13[[#This Row],[CODE]],0))),"")</f>
        <v/>
      </c>
      <c r="E798" s="81" t="str">
        <f>IF(COPY!G796&gt;0,COPY!G796,"")</f>
        <v/>
      </c>
      <c r="F798" s="88" t="str">
        <f>IF(COPY!J796&gt;0,COPY!J796,"")</f>
        <v/>
      </c>
      <c r="G798" s="85" t="str">
        <f>IF(COPY!H796&gt;0,COPY!H796,"")</f>
        <v/>
      </c>
      <c r="H798" s="85" t="str">
        <f>IF(COPY!I796&gt;0,COPY!I796,"")</f>
        <v/>
      </c>
      <c r="I798" s="85" t="str">
        <f>IF(COPY!M796&gt;0,COPY!M796,"")</f>
        <v/>
      </c>
      <c r="J798" s="85" t="str">
        <f>IF(COPY!N796&gt;0,COPY!N796,"")</f>
        <v/>
      </c>
      <c r="K798" s="86" t="str">
        <f>IF(N798=0,(IF(LEFT(Table13[[#This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Row],[URAIAN]],$U$194:$V$210,2,FALSE),""),""),0))))),N798)</f>
        <v/>
      </c>
      <c r="L798" s="85" t="str">
        <f>IF(Table13[[#This Row],[Column2]]="KWITANSI",COUNTIF($K$4:K798,"KWITANSI")," ")</f>
        <v xml:space="preserve"> </v>
      </c>
      <c r="M798" s="85" t="str">
        <f>IF(Table13[[#This Row],[Column3]]=" "," ",Table13[[#This Row],[CODE]])</f>
        <v xml:space="preserve"> </v>
      </c>
      <c r="N798" s="368"/>
      <c r="P798" s="81" t="str">
        <f t="shared" si="12"/>
        <v/>
      </c>
    </row>
    <row r="799" spans="1:16" hidden="1" x14ac:dyDescent="0.15">
      <c r="A799" s="81" t="str">
        <f>COPY!O797</f>
        <v/>
      </c>
      <c r="B799" s="81" t="str">
        <f>COPY!C797</f>
        <v/>
      </c>
      <c r="C799" s="82" t="str">
        <f>COPY!D797</f>
        <v/>
      </c>
      <c r="D799" s="81" t="str">
        <f>IF(Table13[[#This Row],[JUMLAH]]&gt;1,(IF(Table13[[#This Row],[CODE]]=" ",D798&amp;"a",IF(Table13[[#This Row],[CODE]]&gt;0,Table13[[#This Row],[CODE]],0))),"")</f>
        <v/>
      </c>
      <c r="E799" s="81" t="str">
        <f>IF(COPY!G797&gt;0,COPY!G797,"")</f>
        <v/>
      </c>
      <c r="F799" s="88" t="str">
        <f>IF(COPY!J797&gt;0,COPY!J797,"")</f>
        <v/>
      </c>
      <c r="G799" s="85" t="str">
        <f>IF(COPY!H797&gt;0,COPY!H797,"")</f>
        <v/>
      </c>
      <c r="H799" s="85" t="str">
        <f>IF(COPY!I797&gt;0,COPY!I797,"")</f>
        <v/>
      </c>
      <c r="I799" s="85" t="str">
        <f>IF(COPY!M797&gt;0,COPY!M797,"")</f>
        <v/>
      </c>
      <c r="J799" s="85" t="str">
        <f>IF(COPY!N797&gt;0,COPY!N797,"")</f>
        <v/>
      </c>
      <c r="K799" s="86" t="str">
        <f>IF(N799=0,(IF(LEFT(Table13[[#This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Row],[URAIAN]],$U$194:$V$210,2,FALSE),""),""),0))))),N799)</f>
        <v/>
      </c>
      <c r="L799" s="85" t="str">
        <f>IF(Table13[[#This Row],[Column2]]="KWITANSI",COUNTIF($K$4:K799,"KWITANSI")," ")</f>
        <v xml:space="preserve"> </v>
      </c>
      <c r="M799" s="85" t="str">
        <f>IF(Table13[[#This Row],[Column3]]=" "," ",Table13[[#This Row],[CODE]])</f>
        <v xml:space="preserve"> </v>
      </c>
      <c r="N799" s="368"/>
      <c r="P799" s="81" t="str">
        <f t="shared" si="12"/>
        <v/>
      </c>
    </row>
    <row r="800" spans="1:16" hidden="1" x14ac:dyDescent="0.15">
      <c r="A800" s="81" t="str">
        <f>COPY!O798</f>
        <v/>
      </c>
      <c r="B800" s="81" t="str">
        <f>COPY!C798</f>
        <v/>
      </c>
      <c r="C800" s="82" t="str">
        <f>COPY!D798</f>
        <v/>
      </c>
      <c r="D800" s="81" t="str">
        <f>IF(Table13[[#This Row],[JUMLAH]]&gt;1,(IF(Table13[[#This Row],[CODE]]=" ",D799&amp;"a",IF(Table13[[#This Row],[CODE]]&gt;0,Table13[[#This Row],[CODE]],0))),"")</f>
        <v/>
      </c>
      <c r="E800" s="81" t="str">
        <f>IF(COPY!G798&gt;0,COPY!G798,"")</f>
        <v/>
      </c>
      <c r="F800" s="88" t="str">
        <f>IF(COPY!J798&gt;0,COPY!J798,"")</f>
        <v/>
      </c>
      <c r="G800" s="85" t="str">
        <f>IF(COPY!H798&gt;0,COPY!H798,"")</f>
        <v/>
      </c>
      <c r="H800" s="85" t="str">
        <f>IF(COPY!I798&gt;0,COPY!I798,"")</f>
        <v/>
      </c>
      <c r="I800" s="85" t="str">
        <f>IF(COPY!M798&gt;0,COPY!M798,"")</f>
        <v/>
      </c>
      <c r="J800" s="85" t="str">
        <f>IF(COPY!N798&gt;0,COPY!N798,"")</f>
        <v/>
      </c>
      <c r="K800" s="86" t="str">
        <f>IF(N800=0,(IF(LEFT(Table13[[#This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Row],[URAIAN]],$U$194:$V$210,2,FALSE),""),""),0))))),N800)</f>
        <v/>
      </c>
      <c r="L800" s="85" t="str">
        <f>IF(Table13[[#This Row],[Column2]]="KWITANSI",COUNTIF($K$4:K800,"KWITANSI")," ")</f>
        <v xml:space="preserve"> </v>
      </c>
      <c r="M800" s="85" t="str">
        <f>IF(Table13[[#This Row],[Column3]]=" "," ",Table13[[#This Row],[CODE]])</f>
        <v xml:space="preserve"> </v>
      </c>
      <c r="N800" s="368"/>
      <c r="P800" s="81" t="str">
        <f t="shared" si="12"/>
        <v/>
      </c>
    </row>
    <row r="801" spans="1:16" hidden="1" x14ac:dyDescent="0.15">
      <c r="A801" s="81" t="str">
        <f>COPY!O799</f>
        <v/>
      </c>
      <c r="B801" s="81" t="str">
        <f>COPY!C799</f>
        <v/>
      </c>
      <c r="C801" s="82" t="str">
        <f>COPY!D799</f>
        <v/>
      </c>
      <c r="D801" s="81" t="str">
        <f>IF(Table13[[#This Row],[JUMLAH]]&gt;1,(IF(Table13[[#This Row],[CODE]]=" ",D800&amp;"a",IF(Table13[[#This Row],[CODE]]&gt;0,Table13[[#This Row],[CODE]],0))),"")</f>
        <v/>
      </c>
      <c r="E801" s="81" t="str">
        <f>IF(COPY!G799&gt;0,COPY!G799,"")</f>
        <v/>
      </c>
      <c r="F801" s="88" t="str">
        <f>IF(COPY!J799&gt;0,COPY!J799,"")</f>
        <v/>
      </c>
      <c r="G801" s="85" t="str">
        <f>IF(COPY!H799&gt;0,COPY!H799,"")</f>
        <v/>
      </c>
      <c r="H801" s="85" t="str">
        <f>IF(COPY!I799&gt;0,COPY!I799,"")</f>
        <v/>
      </c>
      <c r="I801" s="85" t="str">
        <f>IF(COPY!M799&gt;0,COPY!M799,"")</f>
        <v/>
      </c>
      <c r="J801" s="85" t="str">
        <f>IF(COPY!N799&gt;0,COPY!N799,"")</f>
        <v/>
      </c>
      <c r="K801" s="86" t="str">
        <f>IF(N801=0,(IF(LEFT(Table13[[#This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Row],[URAIAN]],$U$194:$V$210,2,FALSE),""),""),0))))),N801)</f>
        <v/>
      </c>
      <c r="L801" s="85" t="str">
        <f>IF(Table13[[#This Row],[Column2]]="KWITANSI",COUNTIF($K$4:K801,"KWITANSI")," ")</f>
        <v xml:space="preserve"> </v>
      </c>
      <c r="M801" s="85" t="str">
        <f>IF(Table13[[#This Row],[Column3]]=" "," ",Table13[[#This Row],[CODE]])</f>
        <v xml:space="preserve"> </v>
      </c>
      <c r="N801" s="368"/>
      <c r="P801" s="81" t="str">
        <f t="shared" si="12"/>
        <v/>
      </c>
    </row>
    <row r="802" spans="1:16" hidden="1" x14ac:dyDescent="0.15">
      <c r="A802" s="81" t="str">
        <f>COPY!O800</f>
        <v/>
      </c>
      <c r="B802" s="81" t="str">
        <f>COPY!C800</f>
        <v/>
      </c>
      <c r="C802" s="82" t="str">
        <f>COPY!D800</f>
        <v/>
      </c>
      <c r="D802" s="81" t="str">
        <f>IF(Table13[[#This Row],[JUMLAH]]&gt;1,(IF(Table13[[#This Row],[CODE]]=" ",D801&amp;"a",IF(Table13[[#This Row],[CODE]]&gt;0,Table13[[#This Row],[CODE]],0))),"")</f>
        <v/>
      </c>
      <c r="E802" s="81" t="str">
        <f>IF(COPY!G800&gt;0,COPY!G800,"")</f>
        <v/>
      </c>
      <c r="F802" s="88" t="str">
        <f>IF(COPY!J800&gt;0,COPY!J800,"")</f>
        <v/>
      </c>
      <c r="G802" s="85" t="str">
        <f>IF(COPY!H800&gt;0,COPY!H800,"")</f>
        <v/>
      </c>
      <c r="H802" s="85" t="str">
        <f>IF(COPY!I800&gt;0,COPY!I800,"")</f>
        <v/>
      </c>
      <c r="I802" s="85" t="str">
        <f>IF(COPY!M800&gt;0,COPY!M800,"")</f>
        <v/>
      </c>
      <c r="J802" s="85" t="str">
        <f>IF(COPY!N800&gt;0,COPY!N800,"")</f>
        <v/>
      </c>
      <c r="K802" s="86" t="str">
        <f>IF(N802=0,(IF(LEFT(Table13[[#This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Row],[URAIAN]],$U$194:$V$210,2,FALSE),""),""),0))))),N802)</f>
        <v/>
      </c>
      <c r="L802" s="85" t="str">
        <f>IF(Table13[[#This Row],[Column2]]="KWITANSI",COUNTIF($K$4:K802,"KWITANSI")," ")</f>
        <v xml:space="preserve"> </v>
      </c>
      <c r="M802" s="85" t="str">
        <f>IF(Table13[[#This Row],[Column3]]=" "," ",Table13[[#This Row],[CODE]])</f>
        <v xml:space="preserve"> </v>
      </c>
      <c r="N802" s="368"/>
      <c r="P802" s="81" t="str">
        <f t="shared" si="12"/>
        <v/>
      </c>
    </row>
    <row r="803" spans="1:16" hidden="1" x14ac:dyDescent="0.15">
      <c r="A803" s="81" t="str">
        <f>COPY!O801</f>
        <v/>
      </c>
      <c r="B803" s="81" t="str">
        <f>COPY!C801</f>
        <v/>
      </c>
      <c r="C803" s="82" t="str">
        <f>COPY!D801</f>
        <v/>
      </c>
      <c r="D803" s="81" t="str">
        <f>IF(Table13[[#This Row],[JUMLAH]]&gt;1,(IF(Table13[[#This Row],[CODE]]=" ",D802&amp;"a",IF(Table13[[#This Row],[CODE]]&gt;0,Table13[[#This Row],[CODE]],0))),"")</f>
        <v/>
      </c>
      <c r="E803" s="81" t="str">
        <f>IF(COPY!G801&gt;0,COPY!G801,"")</f>
        <v/>
      </c>
      <c r="F803" s="88" t="str">
        <f>IF(COPY!J801&gt;0,COPY!J801,"")</f>
        <v/>
      </c>
      <c r="G803" s="85" t="str">
        <f>IF(COPY!H801&gt;0,COPY!H801,"")</f>
        <v/>
      </c>
      <c r="H803" s="85" t="str">
        <f>IF(COPY!I801&gt;0,COPY!I801,"")</f>
        <v/>
      </c>
      <c r="I803" s="85" t="str">
        <f>IF(COPY!M801&gt;0,COPY!M801,"")</f>
        <v/>
      </c>
      <c r="J803" s="85" t="str">
        <f>IF(COPY!N801&gt;0,COPY!N801,"")</f>
        <v/>
      </c>
      <c r="K803" s="86" t="str">
        <f>IF(N803=0,(IF(LEFT(Table13[[#This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Row],[URAIAN]],$U$194:$V$210,2,FALSE),""),""),0))))),N803)</f>
        <v/>
      </c>
      <c r="L803" s="85" t="str">
        <f>IF(Table13[[#This Row],[Column2]]="KWITANSI",COUNTIF($K$4:K803,"KWITANSI")," ")</f>
        <v xml:space="preserve"> </v>
      </c>
      <c r="M803" s="85" t="str">
        <f>IF(Table13[[#This Row],[Column3]]=" "," ",Table13[[#This Row],[CODE]])</f>
        <v xml:space="preserve"> </v>
      </c>
      <c r="N803" s="368"/>
      <c r="P803" s="81" t="str">
        <f t="shared" si="12"/>
        <v/>
      </c>
    </row>
    <row r="804" spans="1:16" hidden="1" x14ac:dyDescent="0.15">
      <c r="A804" s="81" t="str">
        <f>COPY!O802</f>
        <v/>
      </c>
      <c r="B804" s="81" t="str">
        <f>COPY!C802</f>
        <v/>
      </c>
      <c r="C804" s="82" t="str">
        <f>COPY!D802</f>
        <v/>
      </c>
      <c r="D804" s="81" t="str">
        <f>IF(Table13[[#This Row],[JUMLAH]]&gt;1,(IF(Table13[[#This Row],[CODE]]=" ",D803&amp;"a",IF(Table13[[#This Row],[CODE]]&gt;0,Table13[[#This Row],[CODE]],0))),"")</f>
        <v/>
      </c>
      <c r="E804" s="81" t="str">
        <f>IF(COPY!G802&gt;0,COPY!G802,"")</f>
        <v/>
      </c>
      <c r="F804" s="88" t="str">
        <f>IF(COPY!J802&gt;0,COPY!J802,"")</f>
        <v/>
      </c>
      <c r="G804" s="85" t="str">
        <f>IF(COPY!H802&gt;0,COPY!H802,"")</f>
        <v/>
      </c>
      <c r="H804" s="85" t="str">
        <f>IF(COPY!I802&gt;0,COPY!I802,"")</f>
        <v/>
      </c>
      <c r="I804" s="85" t="str">
        <f>IF(COPY!M802&gt;0,COPY!M802,"")</f>
        <v/>
      </c>
      <c r="J804" s="85" t="str">
        <f>IF(COPY!N802&gt;0,COPY!N802,"")</f>
        <v/>
      </c>
      <c r="K804" s="86" t="str">
        <f>IF(N804=0,(IF(LEFT(Table13[[#This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Row],[URAIAN]],$U$194:$V$210,2,FALSE),""),""),0))))),N804)</f>
        <v/>
      </c>
      <c r="L804" s="85" t="str">
        <f>IF(Table13[[#This Row],[Column2]]="KWITANSI",COUNTIF($K$4:K804,"KWITANSI")," ")</f>
        <v xml:space="preserve"> </v>
      </c>
      <c r="M804" s="85" t="str">
        <f>IF(Table13[[#This Row],[Column3]]=" "," ",Table13[[#This Row],[CODE]])</f>
        <v xml:space="preserve"> </v>
      </c>
      <c r="N804" s="368"/>
      <c r="P804" s="81" t="str">
        <f t="shared" si="12"/>
        <v/>
      </c>
    </row>
    <row r="805" spans="1:16" hidden="1" x14ac:dyDescent="0.15">
      <c r="A805" s="81" t="str">
        <f>COPY!O803</f>
        <v/>
      </c>
      <c r="B805" s="81" t="str">
        <f>COPY!C803</f>
        <v/>
      </c>
      <c r="C805" s="82" t="str">
        <f>COPY!D803</f>
        <v/>
      </c>
      <c r="D805" s="81" t="str">
        <f>IF(Table13[[#This Row],[JUMLAH]]&gt;1,(IF(Table13[[#This Row],[CODE]]=" ",D804&amp;"a",IF(Table13[[#This Row],[CODE]]&gt;0,Table13[[#This Row],[CODE]],0))),"")</f>
        <v/>
      </c>
      <c r="E805" s="81" t="str">
        <f>IF(COPY!G803&gt;0,COPY!G803,"")</f>
        <v/>
      </c>
      <c r="F805" s="88" t="str">
        <f>IF(COPY!J803&gt;0,COPY!J803,"")</f>
        <v/>
      </c>
      <c r="G805" s="85" t="str">
        <f>IF(COPY!H803&gt;0,COPY!H803,"")</f>
        <v/>
      </c>
      <c r="H805" s="85" t="str">
        <f>IF(COPY!I803&gt;0,COPY!I803,"")</f>
        <v/>
      </c>
      <c r="I805" s="85" t="str">
        <f>IF(COPY!M803&gt;0,COPY!M803,"")</f>
        <v/>
      </c>
      <c r="J805" s="85" t="str">
        <f>IF(COPY!N803&gt;0,COPY!N803,"")</f>
        <v/>
      </c>
      <c r="K805" s="86" t="str">
        <f>IF(N805=0,(IF(LEFT(Table13[[#This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Row],[URAIAN]],$U$194:$V$210,2,FALSE),""),""),0))))),N805)</f>
        <v/>
      </c>
      <c r="L805" s="85" t="str">
        <f>IF(Table13[[#This Row],[Column2]]="KWITANSI",COUNTIF($K$4:K805,"KWITANSI")," ")</f>
        <v xml:space="preserve"> </v>
      </c>
      <c r="M805" s="85" t="str">
        <f>IF(Table13[[#This Row],[Column3]]=" "," ",Table13[[#This Row],[CODE]])</f>
        <v xml:space="preserve"> </v>
      </c>
      <c r="N805" s="368"/>
      <c r="P805" s="81" t="str">
        <f t="shared" si="12"/>
        <v/>
      </c>
    </row>
    <row r="806" spans="1:16" hidden="1" x14ac:dyDescent="0.15">
      <c r="A806" s="81" t="str">
        <f>COPY!O804</f>
        <v/>
      </c>
      <c r="B806" s="81" t="str">
        <f>COPY!C804</f>
        <v/>
      </c>
      <c r="C806" s="82" t="str">
        <f>COPY!D804</f>
        <v/>
      </c>
      <c r="D806" s="81" t="str">
        <f>IF(Table13[[#This Row],[JUMLAH]]&gt;1,(IF(Table13[[#This Row],[CODE]]=" ",D805&amp;"a",IF(Table13[[#This Row],[CODE]]&gt;0,Table13[[#This Row],[CODE]],0))),"")</f>
        <v/>
      </c>
      <c r="E806" s="81" t="str">
        <f>IF(COPY!G804&gt;0,COPY!G804,"")</f>
        <v/>
      </c>
      <c r="F806" s="88" t="str">
        <f>IF(COPY!J804&gt;0,COPY!J804,"")</f>
        <v/>
      </c>
      <c r="G806" s="85" t="str">
        <f>IF(COPY!H804&gt;0,COPY!H804,"")</f>
        <v/>
      </c>
      <c r="H806" s="85" t="str">
        <f>IF(COPY!I804&gt;0,COPY!I804,"")</f>
        <v/>
      </c>
      <c r="I806" s="85" t="str">
        <f>IF(COPY!M804&gt;0,COPY!M804,"")</f>
        <v/>
      </c>
      <c r="J806" s="85" t="str">
        <f>IF(COPY!N804&gt;0,COPY!N804,"")</f>
        <v/>
      </c>
      <c r="K806" s="86" t="str">
        <f>IF(N806=0,(IF(LEFT(Table13[[#This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Row],[URAIAN]],$U$194:$V$210,2,FALSE),""),""),0))))),N806)</f>
        <v/>
      </c>
      <c r="L806" s="85" t="str">
        <f>IF(Table13[[#This Row],[Column2]]="KWITANSI",COUNTIF($K$4:K806,"KWITANSI")," ")</f>
        <v xml:space="preserve"> </v>
      </c>
      <c r="M806" s="85" t="str">
        <f>IF(Table13[[#This Row],[Column3]]=" "," ",Table13[[#This Row],[CODE]])</f>
        <v xml:space="preserve"> </v>
      </c>
      <c r="N806" s="368"/>
      <c r="P806" s="81" t="str">
        <f t="shared" si="12"/>
        <v/>
      </c>
    </row>
    <row r="807" spans="1:16" hidden="1" x14ac:dyDescent="0.15">
      <c r="A807" s="81" t="str">
        <f>COPY!O805</f>
        <v/>
      </c>
      <c r="B807" s="81" t="str">
        <f>COPY!C805</f>
        <v/>
      </c>
      <c r="C807" s="82" t="str">
        <f>COPY!D805</f>
        <v/>
      </c>
      <c r="D807" s="81" t="str">
        <f>IF(Table13[[#This Row],[JUMLAH]]&gt;1,(IF(Table13[[#This Row],[CODE]]=" ",D806&amp;"a",IF(Table13[[#This Row],[CODE]]&gt;0,Table13[[#This Row],[CODE]],0))),"")</f>
        <v/>
      </c>
      <c r="E807" s="81" t="str">
        <f>IF(COPY!G805&gt;0,COPY!G805,"")</f>
        <v/>
      </c>
      <c r="F807" s="88" t="str">
        <f>IF(COPY!J805&gt;0,COPY!J805,"")</f>
        <v/>
      </c>
      <c r="G807" s="85" t="str">
        <f>IF(COPY!H805&gt;0,COPY!H805,"")</f>
        <v/>
      </c>
      <c r="H807" s="85" t="str">
        <f>IF(COPY!I805&gt;0,COPY!I805,"")</f>
        <v/>
      </c>
      <c r="I807" s="85" t="str">
        <f>IF(COPY!M805&gt;0,COPY!M805,"")</f>
        <v/>
      </c>
      <c r="J807" s="85" t="str">
        <f>IF(COPY!N805&gt;0,COPY!N805,"")</f>
        <v/>
      </c>
      <c r="K807" s="86" t="str">
        <f>IF(N807=0,(IF(LEFT(Table13[[#This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Row],[URAIAN]],$U$194:$V$210,2,FALSE),""),""),0))))),N807)</f>
        <v/>
      </c>
      <c r="L807" s="85" t="str">
        <f>IF(Table13[[#This Row],[Column2]]="KWITANSI",COUNTIF($K$4:K807,"KWITANSI")," ")</f>
        <v xml:space="preserve"> </v>
      </c>
      <c r="M807" s="85" t="str">
        <f>IF(Table13[[#This Row],[Column3]]=" "," ",Table13[[#This Row],[CODE]])</f>
        <v xml:space="preserve"> </v>
      </c>
      <c r="N807" s="368"/>
      <c r="P807" s="81" t="str">
        <f t="shared" si="12"/>
        <v/>
      </c>
    </row>
    <row r="808" spans="1:16" hidden="1" x14ac:dyDescent="0.15">
      <c r="A808" s="81" t="str">
        <f>COPY!O806</f>
        <v/>
      </c>
      <c r="B808" s="81" t="str">
        <f>COPY!C806</f>
        <v/>
      </c>
      <c r="C808" s="82" t="str">
        <f>COPY!D806</f>
        <v/>
      </c>
      <c r="D808" s="81" t="str">
        <f>IF(Table13[[#This Row],[JUMLAH]]&gt;1,(IF(Table13[[#This Row],[CODE]]=" ",D807&amp;"a",IF(Table13[[#This Row],[CODE]]&gt;0,Table13[[#This Row],[CODE]],0))),"")</f>
        <v/>
      </c>
      <c r="E808" s="81" t="str">
        <f>IF(COPY!G806&gt;0,COPY!G806,"")</f>
        <v/>
      </c>
      <c r="F808" s="88" t="str">
        <f>IF(COPY!J806&gt;0,COPY!J806,"")</f>
        <v/>
      </c>
      <c r="G808" s="85" t="str">
        <f>IF(COPY!H806&gt;0,COPY!H806,"")</f>
        <v/>
      </c>
      <c r="H808" s="85" t="str">
        <f>IF(COPY!I806&gt;0,COPY!I806,"")</f>
        <v/>
      </c>
      <c r="I808" s="85" t="str">
        <f>IF(COPY!M806&gt;0,COPY!M806,"")</f>
        <v/>
      </c>
      <c r="J808" s="85" t="str">
        <f>IF(COPY!N806&gt;0,COPY!N806,"")</f>
        <v/>
      </c>
      <c r="K808" s="86" t="str">
        <f>IF(N808=0,(IF(LEFT(Table13[[#This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Row],[URAIAN]],$U$194:$V$210,2,FALSE),""),""),0))))),N808)</f>
        <v/>
      </c>
      <c r="L808" s="85" t="str">
        <f>IF(Table13[[#This Row],[Column2]]="KWITANSI",COUNTIF($K$4:K808,"KWITANSI")," ")</f>
        <v xml:space="preserve"> </v>
      </c>
      <c r="M808" s="85" t="str">
        <f>IF(Table13[[#This Row],[Column3]]=" "," ",Table13[[#This Row],[CODE]])</f>
        <v xml:space="preserve"> </v>
      </c>
      <c r="N808" s="368"/>
      <c r="P808" s="81" t="str">
        <f t="shared" si="12"/>
        <v/>
      </c>
    </row>
    <row r="809" spans="1:16" hidden="1" x14ac:dyDescent="0.15">
      <c r="A809" s="81" t="str">
        <f>COPY!O807</f>
        <v/>
      </c>
      <c r="B809" s="81" t="str">
        <f>COPY!C807</f>
        <v/>
      </c>
      <c r="C809" s="82" t="str">
        <f>COPY!D807</f>
        <v/>
      </c>
      <c r="D809" s="81" t="str">
        <f>IF(Table13[[#This Row],[JUMLAH]]&gt;1,(IF(Table13[[#This Row],[CODE]]=" ",D808&amp;"a",IF(Table13[[#This Row],[CODE]]&gt;0,Table13[[#This Row],[CODE]],0))),"")</f>
        <v/>
      </c>
      <c r="E809" s="81" t="str">
        <f>IF(COPY!G807&gt;0,COPY!G807,"")</f>
        <v/>
      </c>
      <c r="F809" s="88" t="str">
        <f>IF(COPY!J807&gt;0,COPY!J807,"")</f>
        <v/>
      </c>
      <c r="G809" s="85" t="str">
        <f>IF(COPY!H807&gt;0,COPY!H807,"")</f>
        <v/>
      </c>
      <c r="H809" s="85" t="str">
        <f>IF(COPY!I807&gt;0,COPY!I807,"")</f>
        <v/>
      </c>
      <c r="I809" s="85" t="str">
        <f>IF(COPY!M807&gt;0,COPY!M807,"")</f>
        <v/>
      </c>
      <c r="J809" s="85" t="str">
        <f>IF(COPY!N807&gt;0,COPY!N807,"")</f>
        <v/>
      </c>
      <c r="K809" s="86" t="str">
        <f>IF(N809=0,(IF(LEFT(Table13[[#This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Row],[URAIAN]],$U$194:$V$210,2,FALSE),""),""),0))))),N809)</f>
        <v/>
      </c>
      <c r="L809" s="85" t="str">
        <f>IF(Table13[[#This Row],[Column2]]="KWITANSI",COUNTIF($K$4:K809,"KWITANSI")," ")</f>
        <v xml:space="preserve"> </v>
      </c>
      <c r="M809" s="85" t="str">
        <f>IF(Table13[[#This Row],[Column3]]=" "," ",Table13[[#This Row],[CODE]])</f>
        <v xml:space="preserve"> </v>
      </c>
      <c r="N809" s="368"/>
      <c r="P809" s="81" t="str">
        <f t="shared" si="12"/>
        <v/>
      </c>
    </row>
    <row r="810" spans="1:16" hidden="1" x14ac:dyDescent="0.15">
      <c r="A810" s="81" t="str">
        <f>COPY!O808</f>
        <v/>
      </c>
      <c r="B810" s="81" t="str">
        <f>COPY!C808</f>
        <v/>
      </c>
      <c r="C810" s="82" t="str">
        <f>COPY!D808</f>
        <v/>
      </c>
      <c r="D810" s="81" t="str">
        <f>IF(Table13[[#This Row],[JUMLAH]]&gt;1,(IF(Table13[[#This Row],[CODE]]=" ",D809&amp;"a",IF(Table13[[#This Row],[CODE]]&gt;0,Table13[[#This Row],[CODE]],0))),"")</f>
        <v/>
      </c>
      <c r="E810" s="81" t="str">
        <f>IF(COPY!G808&gt;0,COPY!G808,"")</f>
        <v/>
      </c>
      <c r="F810" s="88" t="str">
        <f>IF(COPY!J808&gt;0,COPY!J808,"")</f>
        <v/>
      </c>
      <c r="G810" s="85" t="str">
        <f>IF(COPY!H808&gt;0,COPY!H808,"")</f>
        <v/>
      </c>
      <c r="H810" s="85" t="str">
        <f>IF(COPY!I808&gt;0,COPY!I808,"")</f>
        <v/>
      </c>
      <c r="I810" s="85" t="str">
        <f>IF(COPY!M808&gt;0,COPY!M808,"")</f>
        <v/>
      </c>
      <c r="J810" s="85" t="str">
        <f>IF(COPY!N808&gt;0,COPY!N808,"")</f>
        <v/>
      </c>
      <c r="K810" s="86" t="str">
        <f>IF(N810=0,(IF(LEFT(Table13[[#This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Row],[URAIAN]],$U$194:$V$210,2,FALSE),""),""),0))))),N810)</f>
        <v/>
      </c>
      <c r="L810" s="85" t="str">
        <f>IF(Table13[[#This Row],[Column2]]="KWITANSI",COUNTIF($K$4:K810,"KWITANSI")," ")</f>
        <v xml:space="preserve"> </v>
      </c>
      <c r="M810" s="85" t="str">
        <f>IF(Table13[[#This Row],[Column3]]=" "," ",Table13[[#This Row],[CODE]])</f>
        <v xml:space="preserve"> </v>
      </c>
      <c r="N810" s="368"/>
      <c r="P810" s="81" t="str">
        <f t="shared" si="12"/>
        <v/>
      </c>
    </row>
    <row r="811" spans="1:16" hidden="1" x14ac:dyDescent="0.15">
      <c r="A811" s="81" t="str">
        <f>COPY!O809</f>
        <v/>
      </c>
      <c r="B811" s="81" t="str">
        <f>COPY!C809</f>
        <v/>
      </c>
      <c r="C811" s="82" t="str">
        <f>COPY!D809</f>
        <v/>
      </c>
      <c r="D811" s="81" t="str">
        <f>IF(Table13[[#This Row],[JUMLAH]]&gt;1,(IF(Table13[[#This Row],[CODE]]=" ",D810&amp;"a",IF(Table13[[#This Row],[CODE]]&gt;0,Table13[[#This Row],[CODE]],0))),"")</f>
        <v/>
      </c>
      <c r="E811" s="81" t="str">
        <f>IF(COPY!G809&gt;0,COPY!G809,"")</f>
        <v/>
      </c>
      <c r="F811" s="88" t="str">
        <f>IF(COPY!J809&gt;0,COPY!J809,"")</f>
        <v/>
      </c>
      <c r="G811" s="85" t="str">
        <f>IF(COPY!H809&gt;0,COPY!H809,"")</f>
        <v/>
      </c>
      <c r="H811" s="85" t="str">
        <f>IF(COPY!I809&gt;0,COPY!I809,"")</f>
        <v/>
      </c>
      <c r="I811" s="85" t="str">
        <f>IF(COPY!M809&gt;0,COPY!M809,"")</f>
        <v/>
      </c>
      <c r="J811" s="85" t="str">
        <f>IF(COPY!N809&gt;0,COPY!N809,"")</f>
        <v/>
      </c>
      <c r="K811" s="86" t="str">
        <f>IF(N811=0,(IF(LEFT(Table13[[#This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Row],[URAIAN]],$U$194:$V$210,2,FALSE),""),""),0))))),N811)</f>
        <v/>
      </c>
      <c r="L811" s="85" t="str">
        <f>IF(Table13[[#This Row],[Column2]]="KWITANSI",COUNTIF($K$4:K811,"KWITANSI")," ")</f>
        <v xml:space="preserve"> </v>
      </c>
      <c r="M811" s="85" t="str">
        <f>IF(Table13[[#This Row],[Column3]]=" "," ",Table13[[#This Row],[CODE]])</f>
        <v xml:space="preserve"> </v>
      </c>
      <c r="N811" s="368"/>
      <c r="P811" s="81" t="str">
        <f t="shared" si="12"/>
        <v/>
      </c>
    </row>
    <row r="812" spans="1:16" hidden="1" x14ac:dyDescent="0.15">
      <c r="A812" s="81" t="str">
        <f>COPY!O810</f>
        <v/>
      </c>
      <c r="B812" s="81" t="str">
        <f>COPY!C810</f>
        <v/>
      </c>
      <c r="C812" s="82" t="str">
        <f>COPY!D810</f>
        <v/>
      </c>
      <c r="D812" s="81" t="str">
        <f>IF(Table13[[#This Row],[JUMLAH]]&gt;1,(IF(Table13[[#This Row],[CODE]]=" ",D811&amp;"a",IF(Table13[[#This Row],[CODE]]&gt;0,Table13[[#This Row],[CODE]],0))),"")</f>
        <v/>
      </c>
      <c r="E812" s="81" t="str">
        <f>IF(COPY!G810&gt;0,COPY!G810,"")</f>
        <v/>
      </c>
      <c r="F812" s="88" t="str">
        <f>IF(COPY!J810&gt;0,COPY!J810,"")</f>
        <v/>
      </c>
      <c r="G812" s="85" t="str">
        <f>IF(COPY!H810&gt;0,COPY!H810,"")</f>
        <v/>
      </c>
      <c r="H812" s="85" t="str">
        <f>IF(COPY!I810&gt;0,COPY!I810,"")</f>
        <v/>
      </c>
      <c r="I812" s="85" t="str">
        <f>IF(COPY!M810&gt;0,COPY!M810,"")</f>
        <v/>
      </c>
      <c r="J812" s="85" t="str">
        <f>IF(COPY!N810&gt;0,COPY!N810,"")</f>
        <v/>
      </c>
      <c r="K812" s="86" t="str">
        <f>IF(N812=0,(IF(LEFT(Table13[[#This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Row],[URAIAN]],$U$194:$V$210,2,FALSE),""),""),0))))),N812)</f>
        <v/>
      </c>
      <c r="L812" s="85" t="str">
        <f>IF(Table13[[#This Row],[Column2]]="KWITANSI",COUNTIF($K$4:K812,"KWITANSI")," ")</f>
        <v xml:space="preserve"> </v>
      </c>
      <c r="M812" s="85" t="str">
        <f>IF(Table13[[#This Row],[Column3]]=" "," ",Table13[[#This Row],[CODE]])</f>
        <v xml:space="preserve"> </v>
      </c>
      <c r="N812" s="368"/>
      <c r="P812" s="81" t="str">
        <f t="shared" si="12"/>
        <v/>
      </c>
    </row>
    <row r="813" spans="1:16" hidden="1" x14ac:dyDescent="0.15">
      <c r="A813" s="81" t="str">
        <f>COPY!O811</f>
        <v/>
      </c>
      <c r="B813" s="81" t="str">
        <f>COPY!C811</f>
        <v/>
      </c>
      <c r="C813" s="82" t="str">
        <f>COPY!D811</f>
        <v/>
      </c>
      <c r="D813" s="81" t="str">
        <f>IF(Table13[[#This Row],[JUMLAH]]&gt;1,(IF(Table13[[#This Row],[CODE]]=" ",D812&amp;"a",IF(Table13[[#This Row],[CODE]]&gt;0,Table13[[#This Row],[CODE]],0))),"")</f>
        <v/>
      </c>
      <c r="E813" s="81" t="str">
        <f>IF(COPY!G811&gt;0,COPY!G811,"")</f>
        <v/>
      </c>
      <c r="F813" s="88" t="str">
        <f>IF(COPY!J811&gt;0,COPY!J811,"")</f>
        <v/>
      </c>
      <c r="G813" s="85" t="str">
        <f>IF(COPY!H811&gt;0,COPY!H811,"")</f>
        <v/>
      </c>
      <c r="H813" s="85" t="str">
        <f>IF(COPY!I811&gt;0,COPY!I811,"")</f>
        <v/>
      </c>
      <c r="I813" s="85" t="str">
        <f>IF(COPY!M811&gt;0,COPY!M811,"")</f>
        <v/>
      </c>
      <c r="J813" s="85" t="str">
        <f>IF(COPY!N811&gt;0,COPY!N811,"")</f>
        <v/>
      </c>
      <c r="K813" s="86" t="str">
        <f>IF(N813=0,(IF(LEFT(Table13[[#This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Row],[URAIAN]],$U$194:$V$210,2,FALSE),""),""),0))))),N813)</f>
        <v/>
      </c>
      <c r="L813" s="85" t="str">
        <f>IF(Table13[[#This Row],[Column2]]="KWITANSI",COUNTIF($K$4:K813,"KWITANSI")," ")</f>
        <v xml:space="preserve"> </v>
      </c>
      <c r="M813" s="85" t="str">
        <f>IF(Table13[[#This Row],[Column3]]=" "," ",Table13[[#This Row],[CODE]])</f>
        <v xml:space="preserve"> </v>
      </c>
      <c r="N813" s="368"/>
      <c r="P813" s="81" t="str">
        <f t="shared" si="12"/>
        <v/>
      </c>
    </row>
    <row r="814" spans="1:16" hidden="1" x14ac:dyDescent="0.15">
      <c r="A814" s="81" t="str">
        <f>COPY!O812</f>
        <v/>
      </c>
      <c r="B814" s="81" t="str">
        <f>COPY!C812</f>
        <v/>
      </c>
      <c r="C814" s="82" t="str">
        <f>COPY!D812</f>
        <v/>
      </c>
      <c r="D814" s="81" t="str">
        <f>IF(Table13[[#This Row],[JUMLAH]]&gt;1,(IF(Table13[[#This Row],[CODE]]=" ",D813&amp;"a",IF(Table13[[#This Row],[CODE]]&gt;0,Table13[[#This Row],[CODE]],0))),"")</f>
        <v/>
      </c>
      <c r="E814" s="81" t="str">
        <f>IF(COPY!G812&gt;0,COPY!G812,"")</f>
        <v/>
      </c>
      <c r="F814" s="88" t="str">
        <f>IF(COPY!J812&gt;0,COPY!J812,"")</f>
        <v/>
      </c>
      <c r="G814" s="85" t="str">
        <f>IF(COPY!H812&gt;0,COPY!H812,"")</f>
        <v/>
      </c>
      <c r="H814" s="85" t="str">
        <f>IF(COPY!I812&gt;0,COPY!I812,"")</f>
        <v/>
      </c>
      <c r="I814" s="85" t="str">
        <f>IF(COPY!M812&gt;0,COPY!M812,"")</f>
        <v/>
      </c>
      <c r="J814" s="85" t="str">
        <f>IF(COPY!N812&gt;0,COPY!N812,"")</f>
        <v/>
      </c>
      <c r="K814" s="86" t="str">
        <f>IF(N814=0,(IF(LEFT(Table13[[#This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Row],[URAIAN]],$U$194:$V$210,2,FALSE),""),""),0))))),N814)</f>
        <v/>
      </c>
      <c r="L814" s="85" t="str">
        <f>IF(Table13[[#This Row],[Column2]]="KWITANSI",COUNTIF($K$4:K814,"KWITANSI")," ")</f>
        <v xml:space="preserve"> </v>
      </c>
      <c r="M814" s="85" t="str">
        <f>IF(Table13[[#This Row],[Column3]]=" "," ",Table13[[#This Row],[CODE]])</f>
        <v xml:space="preserve"> </v>
      </c>
      <c r="N814" s="368"/>
      <c r="P814" s="81" t="str">
        <f t="shared" si="12"/>
        <v/>
      </c>
    </row>
    <row r="815" spans="1:16" hidden="1" x14ac:dyDescent="0.15">
      <c r="A815" s="81" t="str">
        <f>COPY!O813</f>
        <v/>
      </c>
      <c r="B815" s="81" t="str">
        <f>COPY!C813</f>
        <v/>
      </c>
      <c r="C815" s="82" t="str">
        <f>COPY!D813</f>
        <v/>
      </c>
      <c r="D815" s="81" t="str">
        <f>IF(Table13[[#This Row],[JUMLAH]]&gt;1,(IF(Table13[[#This Row],[CODE]]=" ",D814&amp;"a",IF(Table13[[#This Row],[CODE]]&gt;0,Table13[[#This Row],[CODE]],0))),"")</f>
        <v/>
      </c>
      <c r="E815" s="81" t="str">
        <f>IF(COPY!G813&gt;0,COPY!G813,"")</f>
        <v/>
      </c>
      <c r="F815" s="88" t="str">
        <f>IF(COPY!J813&gt;0,COPY!J813,"")</f>
        <v/>
      </c>
      <c r="G815" s="85" t="str">
        <f>IF(COPY!H813&gt;0,COPY!H813,"")</f>
        <v/>
      </c>
      <c r="H815" s="85" t="str">
        <f>IF(COPY!I813&gt;0,COPY!I813,"")</f>
        <v/>
      </c>
      <c r="I815" s="85" t="str">
        <f>IF(COPY!M813&gt;0,COPY!M813,"")</f>
        <v/>
      </c>
      <c r="J815" s="85" t="str">
        <f>IF(COPY!N813&gt;0,COPY!N813,"")</f>
        <v/>
      </c>
      <c r="K815" s="86" t="str">
        <f>IF(N815=0,(IF(LEFT(Table13[[#This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Row],[URAIAN]],$U$194:$V$210,2,FALSE),""),""),0))))),N815)</f>
        <v/>
      </c>
      <c r="L815" s="85" t="str">
        <f>IF(Table13[[#This Row],[Column2]]="KWITANSI",COUNTIF($K$4:K815,"KWITANSI")," ")</f>
        <v xml:space="preserve"> </v>
      </c>
      <c r="M815" s="85" t="str">
        <f>IF(Table13[[#This Row],[Column3]]=" "," ",Table13[[#This Row],[CODE]])</f>
        <v xml:space="preserve"> </v>
      </c>
      <c r="N815" s="368"/>
      <c r="P815" s="81" t="str">
        <f t="shared" si="12"/>
        <v/>
      </c>
    </row>
    <row r="816" spans="1:16" hidden="1" x14ac:dyDescent="0.15">
      <c r="A816" s="81" t="str">
        <f>COPY!O814</f>
        <v/>
      </c>
      <c r="B816" s="81" t="str">
        <f>COPY!C814</f>
        <v/>
      </c>
      <c r="C816" s="82" t="str">
        <f>COPY!D814</f>
        <v/>
      </c>
      <c r="D816" s="81" t="str">
        <f>IF(Table13[[#This Row],[JUMLAH]]&gt;1,(IF(Table13[[#This Row],[CODE]]=" ",D815&amp;"a",IF(Table13[[#This Row],[CODE]]&gt;0,Table13[[#This Row],[CODE]],0))),"")</f>
        <v/>
      </c>
      <c r="E816" s="81" t="str">
        <f>IF(COPY!G814&gt;0,COPY!G814,"")</f>
        <v/>
      </c>
      <c r="F816" s="88" t="str">
        <f>IF(COPY!J814&gt;0,COPY!J814,"")</f>
        <v/>
      </c>
      <c r="G816" s="85" t="str">
        <f>IF(COPY!H814&gt;0,COPY!H814,"")</f>
        <v/>
      </c>
      <c r="H816" s="85" t="str">
        <f>IF(COPY!I814&gt;0,COPY!I814,"")</f>
        <v/>
      </c>
      <c r="I816" s="85" t="str">
        <f>IF(COPY!M814&gt;0,COPY!M814,"")</f>
        <v/>
      </c>
      <c r="J816" s="85" t="str">
        <f>IF(COPY!N814&gt;0,COPY!N814,"")</f>
        <v/>
      </c>
      <c r="K816" s="86" t="str">
        <f>IF(N816=0,(IF(LEFT(Table13[[#This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Row],[URAIAN]],$U$194:$V$210,2,FALSE),""),""),0))))),N816)</f>
        <v/>
      </c>
      <c r="L816" s="85" t="str">
        <f>IF(Table13[[#This Row],[Column2]]="KWITANSI",COUNTIF($K$4:K816,"KWITANSI")," ")</f>
        <v xml:space="preserve"> </v>
      </c>
      <c r="M816" s="85" t="str">
        <f>IF(Table13[[#This Row],[Column3]]=" "," ",Table13[[#This Row],[CODE]])</f>
        <v xml:space="preserve"> </v>
      </c>
      <c r="N816" s="368"/>
      <c r="P816" s="81" t="str">
        <f t="shared" si="12"/>
        <v/>
      </c>
    </row>
    <row r="817" spans="1:16" hidden="1" x14ac:dyDescent="0.15">
      <c r="A817" s="81" t="str">
        <f>COPY!O815</f>
        <v/>
      </c>
      <c r="B817" s="81" t="str">
        <f>COPY!C815</f>
        <v/>
      </c>
      <c r="C817" s="82" t="str">
        <f>COPY!D815</f>
        <v/>
      </c>
      <c r="D817" s="81" t="str">
        <f>IF(Table13[[#This Row],[JUMLAH]]&gt;1,(IF(Table13[[#This Row],[CODE]]=" ",D816&amp;"a",IF(Table13[[#This Row],[CODE]]&gt;0,Table13[[#This Row],[CODE]],0))),"")</f>
        <v/>
      </c>
      <c r="E817" s="81" t="str">
        <f>IF(COPY!G815&gt;0,COPY!G815,"")</f>
        <v/>
      </c>
      <c r="F817" s="88" t="str">
        <f>IF(COPY!J815&gt;0,COPY!J815,"")</f>
        <v/>
      </c>
      <c r="G817" s="85" t="str">
        <f>IF(COPY!H815&gt;0,COPY!H815,"")</f>
        <v/>
      </c>
      <c r="H817" s="85" t="str">
        <f>IF(COPY!I815&gt;0,COPY!I815,"")</f>
        <v/>
      </c>
      <c r="I817" s="85" t="str">
        <f>IF(COPY!M815&gt;0,COPY!M815,"")</f>
        <v/>
      </c>
      <c r="J817" s="85" t="str">
        <f>IF(COPY!N815&gt;0,COPY!N815,"")</f>
        <v/>
      </c>
      <c r="K817" s="86" t="str">
        <f>IF(N817=0,(IF(LEFT(Table13[[#This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Row],[URAIAN]],$U$194:$V$210,2,FALSE),""),""),0))))),N817)</f>
        <v/>
      </c>
      <c r="L817" s="85" t="str">
        <f>IF(Table13[[#This Row],[Column2]]="KWITANSI",COUNTIF($K$4:K817,"KWITANSI")," ")</f>
        <v xml:space="preserve"> </v>
      </c>
      <c r="M817" s="85" t="str">
        <f>IF(Table13[[#This Row],[Column3]]=" "," ",Table13[[#This Row],[CODE]])</f>
        <v xml:space="preserve"> </v>
      </c>
      <c r="N817" s="368"/>
      <c r="P817" s="81" t="str">
        <f t="shared" si="12"/>
        <v/>
      </c>
    </row>
    <row r="818" spans="1:16" hidden="1" x14ac:dyDescent="0.15">
      <c r="A818" s="81" t="str">
        <f>COPY!O816</f>
        <v/>
      </c>
      <c r="B818" s="81" t="str">
        <f>COPY!C816</f>
        <v/>
      </c>
      <c r="C818" s="82" t="str">
        <f>COPY!D816</f>
        <v/>
      </c>
      <c r="D818" s="81" t="str">
        <f>IF(Table13[[#This Row],[JUMLAH]]&gt;1,(IF(Table13[[#This Row],[CODE]]=" ",D817&amp;"a",IF(Table13[[#This Row],[CODE]]&gt;0,Table13[[#This Row],[CODE]],0))),"")</f>
        <v/>
      </c>
      <c r="E818" s="81" t="str">
        <f>IF(COPY!G816&gt;0,COPY!G816,"")</f>
        <v/>
      </c>
      <c r="F818" s="88" t="str">
        <f>IF(COPY!J816&gt;0,COPY!J816,"")</f>
        <v/>
      </c>
      <c r="G818" s="85" t="str">
        <f>IF(COPY!H816&gt;0,COPY!H816,"")</f>
        <v/>
      </c>
      <c r="H818" s="85" t="str">
        <f>IF(COPY!I816&gt;0,COPY!I816,"")</f>
        <v/>
      </c>
      <c r="I818" s="85" t="str">
        <f>IF(COPY!M816&gt;0,COPY!M816,"")</f>
        <v/>
      </c>
      <c r="J818" s="85" t="str">
        <f>IF(COPY!N816&gt;0,COPY!N816,"")</f>
        <v/>
      </c>
      <c r="K818" s="86" t="str">
        <f>IF(N818=0,(IF(LEFT(Table13[[#This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Row],[URAIAN]],$U$194:$V$210,2,FALSE),""),""),0))))),N818)</f>
        <v/>
      </c>
      <c r="L818" s="85" t="str">
        <f>IF(Table13[[#This Row],[Column2]]="KWITANSI",COUNTIF($K$4:K818,"KWITANSI")," ")</f>
        <v xml:space="preserve"> </v>
      </c>
      <c r="M818" s="85" t="str">
        <f>IF(Table13[[#This Row],[Column3]]=" "," ",Table13[[#This Row],[CODE]])</f>
        <v xml:space="preserve"> </v>
      </c>
      <c r="N818" s="368"/>
      <c r="P818" s="81" t="str">
        <f t="shared" si="12"/>
        <v/>
      </c>
    </row>
    <row r="819" spans="1:16" hidden="1" x14ac:dyDescent="0.15">
      <c r="A819" s="81" t="str">
        <f>COPY!O817</f>
        <v/>
      </c>
      <c r="B819" s="81" t="str">
        <f>COPY!C817</f>
        <v/>
      </c>
      <c r="C819" s="82" t="str">
        <f>COPY!D817</f>
        <v/>
      </c>
      <c r="D819" s="81" t="str">
        <f>IF(Table13[[#This Row],[JUMLAH]]&gt;1,(IF(Table13[[#This Row],[CODE]]=" ",D818&amp;"a",IF(Table13[[#This Row],[CODE]]&gt;0,Table13[[#This Row],[CODE]],0))),"")</f>
        <v/>
      </c>
      <c r="E819" s="81" t="str">
        <f>IF(COPY!G817&gt;0,COPY!G817,"")</f>
        <v/>
      </c>
      <c r="F819" s="88" t="str">
        <f>IF(COPY!J817&gt;0,COPY!J817,"")</f>
        <v/>
      </c>
      <c r="G819" s="85" t="str">
        <f>IF(COPY!H817&gt;0,COPY!H817,"")</f>
        <v/>
      </c>
      <c r="H819" s="85" t="str">
        <f>IF(COPY!I817&gt;0,COPY!I817,"")</f>
        <v/>
      </c>
      <c r="I819" s="85" t="str">
        <f>IF(COPY!M817&gt;0,COPY!M817,"")</f>
        <v/>
      </c>
      <c r="J819" s="85" t="str">
        <f>IF(COPY!N817&gt;0,COPY!N817,"")</f>
        <v/>
      </c>
      <c r="K819" s="86" t="str">
        <f>IF(N819=0,(IF(LEFT(Table13[[#This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Row],[URAIAN]],$U$194:$V$210,2,FALSE),""),""),0))))),N819)</f>
        <v/>
      </c>
      <c r="L819" s="85" t="str">
        <f>IF(Table13[[#This Row],[Column2]]="KWITANSI",COUNTIF($K$4:K819,"KWITANSI")," ")</f>
        <v xml:space="preserve"> </v>
      </c>
      <c r="M819" s="85" t="str">
        <f>IF(Table13[[#This Row],[Column3]]=" "," ",Table13[[#This Row],[CODE]])</f>
        <v xml:space="preserve"> </v>
      </c>
      <c r="N819" s="368"/>
      <c r="P819" s="81" t="str">
        <f t="shared" si="12"/>
        <v/>
      </c>
    </row>
    <row r="820" spans="1:16" hidden="1" x14ac:dyDescent="0.15">
      <c r="A820" s="81" t="str">
        <f>COPY!O818</f>
        <v/>
      </c>
      <c r="B820" s="81" t="str">
        <f>COPY!C818</f>
        <v/>
      </c>
      <c r="C820" s="82" t="str">
        <f>COPY!D818</f>
        <v/>
      </c>
      <c r="D820" s="81" t="str">
        <f>IF(Table13[[#This Row],[JUMLAH]]&gt;1,(IF(Table13[[#This Row],[CODE]]=" ",D819&amp;"a",IF(Table13[[#This Row],[CODE]]&gt;0,Table13[[#This Row],[CODE]],0))),"")</f>
        <v/>
      </c>
      <c r="E820" s="81" t="str">
        <f>IF(COPY!G818&gt;0,COPY!G818,"")</f>
        <v/>
      </c>
      <c r="F820" s="88" t="str">
        <f>IF(COPY!J818&gt;0,COPY!J818,"")</f>
        <v/>
      </c>
      <c r="G820" s="85" t="str">
        <f>IF(COPY!H818&gt;0,COPY!H818,"")</f>
        <v/>
      </c>
      <c r="H820" s="85" t="str">
        <f>IF(COPY!I818&gt;0,COPY!I818,"")</f>
        <v/>
      </c>
      <c r="I820" s="85" t="str">
        <f>IF(COPY!M818&gt;0,COPY!M818,"")</f>
        <v/>
      </c>
      <c r="J820" s="85" t="str">
        <f>IF(COPY!N818&gt;0,COPY!N818,"")</f>
        <v/>
      </c>
      <c r="K820" s="86" t="str">
        <f>IF(N820=0,(IF(LEFT(Table13[[#This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Row],[URAIAN]],$U$194:$V$210,2,FALSE),""),""),0))))),N820)</f>
        <v/>
      </c>
      <c r="L820" s="85" t="str">
        <f>IF(Table13[[#This Row],[Column2]]="KWITANSI",COUNTIF($K$4:K820,"KWITANSI")," ")</f>
        <v xml:space="preserve"> </v>
      </c>
      <c r="M820" s="85" t="str">
        <f>IF(Table13[[#This Row],[Column3]]=" "," ",Table13[[#This Row],[CODE]])</f>
        <v xml:space="preserve"> </v>
      </c>
      <c r="N820" s="368"/>
      <c r="P820" s="81" t="str">
        <f t="shared" si="12"/>
        <v/>
      </c>
    </row>
    <row r="821" spans="1:16" hidden="1" x14ac:dyDescent="0.15">
      <c r="A821" s="81" t="str">
        <f>COPY!O819</f>
        <v/>
      </c>
      <c r="B821" s="81" t="str">
        <f>COPY!C819</f>
        <v/>
      </c>
      <c r="C821" s="82" t="str">
        <f>COPY!D819</f>
        <v/>
      </c>
      <c r="D821" s="81" t="str">
        <f>IF(Table13[[#This Row],[JUMLAH]]&gt;1,(IF(Table13[[#This Row],[CODE]]=" ",D820&amp;"a",IF(Table13[[#This Row],[CODE]]&gt;0,Table13[[#This Row],[CODE]],0))),"")</f>
        <v/>
      </c>
      <c r="E821" s="81" t="str">
        <f>IF(COPY!G819&gt;0,COPY!G819,"")</f>
        <v/>
      </c>
      <c r="F821" s="88" t="str">
        <f>IF(COPY!J819&gt;0,COPY!J819,"")</f>
        <v/>
      </c>
      <c r="G821" s="85" t="str">
        <f>IF(COPY!H819&gt;0,COPY!H819,"")</f>
        <v/>
      </c>
      <c r="H821" s="85" t="str">
        <f>IF(COPY!I819&gt;0,COPY!I819,"")</f>
        <v/>
      </c>
      <c r="I821" s="85" t="str">
        <f>IF(COPY!M819&gt;0,COPY!M819,"")</f>
        <v/>
      </c>
      <c r="J821" s="85" t="str">
        <f>IF(COPY!N819&gt;0,COPY!N819,"")</f>
        <v/>
      </c>
      <c r="K821" s="86" t="str">
        <f>IF(N821=0,(IF(LEFT(Table13[[#This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Row],[URAIAN]],$U$194:$V$210,2,FALSE),""),""),0))))),N821)</f>
        <v/>
      </c>
      <c r="L821" s="85" t="str">
        <f>IF(Table13[[#This Row],[Column2]]="KWITANSI",COUNTIF($K$4:K821,"KWITANSI")," ")</f>
        <v xml:space="preserve"> </v>
      </c>
      <c r="M821" s="85" t="str">
        <f>IF(Table13[[#This Row],[Column3]]=" "," ",Table13[[#This Row],[CODE]])</f>
        <v xml:space="preserve"> </v>
      </c>
      <c r="N821" s="368"/>
      <c r="P821" s="81" t="str">
        <f t="shared" si="12"/>
        <v/>
      </c>
    </row>
    <row r="822" spans="1:16" hidden="1" x14ac:dyDescent="0.15">
      <c r="A822" s="81" t="str">
        <f>COPY!O820</f>
        <v/>
      </c>
      <c r="B822" s="81" t="str">
        <f>COPY!C820</f>
        <v/>
      </c>
      <c r="C822" s="82" t="str">
        <f>COPY!D820</f>
        <v/>
      </c>
      <c r="D822" s="81" t="str">
        <f>IF(Table13[[#This Row],[JUMLAH]]&gt;1,(IF(Table13[[#This Row],[CODE]]=" ",D821&amp;"a",IF(Table13[[#This Row],[CODE]]&gt;0,Table13[[#This Row],[CODE]],0))),"")</f>
        <v/>
      </c>
      <c r="E822" s="81" t="str">
        <f>IF(COPY!G820&gt;0,COPY!G820,"")</f>
        <v/>
      </c>
      <c r="F822" s="88" t="str">
        <f>IF(COPY!J820&gt;0,COPY!J820,"")</f>
        <v/>
      </c>
      <c r="G822" s="85" t="str">
        <f>IF(COPY!H820&gt;0,COPY!H820,"")</f>
        <v/>
      </c>
      <c r="H822" s="85" t="str">
        <f>IF(COPY!I820&gt;0,COPY!I820,"")</f>
        <v/>
      </c>
      <c r="I822" s="85" t="str">
        <f>IF(COPY!M820&gt;0,COPY!M820,"")</f>
        <v/>
      </c>
      <c r="J822" s="85" t="str">
        <f>IF(COPY!N820&gt;0,COPY!N820,"")</f>
        <v/>
      </c>
      <c r="K822" s="86" t="str">
        <f>IF(N822=0,(IF(LEFT(Table13[[#This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Row],[URAIAN]],$U$194:$V$210,2,FALSE),""),""),0))))),N822)</f>
        <v/>
      </c>
      <c r="L822" s="85" t="str">
        <f>IF(Table13[[#This Row],[Column2]]="KWITANSI",COUNTIF($K$4:K822,"KWITANSI")," ")</f>
        <v xml:space="preserve"> </v>
      </c>
      <c r="M822" s="85" t="str">
        <f>IF(Table13[[#This Row],[Column3]]=" "," ",Table13[[#This Row],[CODE]])</f>
        <v xml:space="preserve"> </v>
      </c>
      <c r="N822" s="368"/>
      <c r="P822" s="81" t="str">
        <f t="shared" si="12"/>
        <v/>
      </c>
    </row>
    <row r="823" spans="1:16" hidden="1" x14ac:dyDescent="0.15">
      <c r="A823" s="81" t="str">
        <f>COPY!O821</f>
        <v/>
      </c>
      <c r="B823" s="81" t="str">
        <f>COPY!C821</f>
        <v/>
      </c>
      <c r="C823" s="82" t="str">
        <f>COPY!D821</f>
        <v/>
      </c>
      <c r="D823" s="81" t="str">
        <f>IF(Table13[[#This Row],[JUMLAH]]&gt;1,(IF(Table13[[#This Row],[CODE]]=" ",D822&amp;"a",IF(Table13[[#This Row],[CODE]]&gt;0,Table13[[#This Row],[CODE]],0))),"")</f>
        <v/>
      </c>
      <c r="E823" s="81" t="str">
        <f>IF(COPY!G821&gt;0,COPY!G821,"")</f>
        <v/>
      </c>
      <c r="F823" s="88" t="str">
        <f>IF(COPY!J821&gt;0,COPY!J821,"")</f>
        <v/>
      </c>
      <c r="G823" s="85" t="str">
        <f>IF(COPY!H821&gt;0,COPY!H821,"")</f>
        <v/>
      </c>
      <c r="H823" s="85" t="str">
        <f>IF(COPY!I821&gt;0,COPY!I821,"")</f>
        <v/>
      </c>
      <c r="I823" s="85" t="str">
        <f>IF(COPY!M821&gt;0,COPY!M821,"")</f>
        <v/>
      </c>
      <c r="J823" s="85" t="str">
        <f>IF(COPY!N821&gt;0,COPY!N821,"")</f>
        <v/>
      </c>
      <c r="K823" s="86" t="str">
        <f>IF(N823=0,(IF(LEFT(Table13[[#This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Row],[URAIAN]],$U$194:$V$210,2,FALSE),""),""),0))))),N823)</f>
        <v/>
      </c>
      <c r="L823" s="85" t="str">
        <f>IF(Table13[[#This Row],[Column2]]="KWITANSI",COUNTIF($K$4:K823,"KWITANSI")," ")</f>
        <v xml:space="preserve"> </v>
      </c>
      <c r="M823" s="85" t="str">
        <f>IF(Table13[[#This Row],[Column3]]=" "," ",Table13[[#This Row],[CODE]])</f>
        <v xml:space="preserve"> </v>
      </c>
      <c r="N823" s="368"/>
      <c r="P823" s="81" t="str">
        <f t="shared" si="12"/>
        <v/>
      </c>
    </row>
    <row r="824" spans="1:16" hidden="1" x14ac:dyDescent="0.15">
      <c r="A824" s="81" t="str">
        <f>COPY!O822</f>
        <v/>
      </c>
      <c r="B824" s="81" t="str">
        <f>COPY!C822</f>
        <v/>
      </c>
      <c r="C824" s="82" t="str">
        <f>COPY!D822</f>
        <v/>
      </c>
      <c r="D824" s="81" t="str">
        <f>IF(Table13[[#This Row],[JUMLAH]]&gt;1,(IF(Table13[[#This Row],[CODE]]=" ",D823&amp;"a",IF(Table13[[#This Row],[CODE]]&gt;0,Table13[[#This Row],[CODE]],0))),"")</f>
        <v/>
      </c>
      <c r="E824" s="81" t="str">
        <f>IF(COPY!G822&gt;0,COPY!G822,"")</f>
        <v/>
      </c>
      <c r="F824" s="88" t="str">
        <f>IF(COPY!J822&gt;0,COPY!J822,"")</f>
        <v/>
      </c>
      <c r="G824" s="85" t="str">
        <f>IF(COPY!H822&gt;0,COPY!H822,"")</f>
        <v/>
      </c>
      <c r="H824" s="85" t="str">
        <f>IF(COPY!I822&gt;0,COPY!I822,"")</f>
        <v/>
      </c>
      <c r="I824" s="85" t="str">
        <f>IF(COPY!M822&gt;0,COPY!M822,"")</f>
        <v/>
      </c>
      <c r="J824" s="85" t="str">
        <f>IF(COPY!N822&gt;0,COPY!N822,"")</f>
        <v/>
      </c>
      <c r="K824" s="86" t="str">
        <f>IF(N824=0,(IF(LEFT(Table13[[#This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Row],[URAIAN]],$U$194:$V$210,2,FALSE),""),""),0))))),N824)</f>
        <v/>
      </c>
      <c r="L824" s="85" t="str">
        <f>IF(Table13[[#This Row],[Column2]]="KWITANSI",COUNTIF($K$4:K824,"KWITANSI")," ")</f>
        <v xml:space="preserve"> </v>
      </c>
      <c r="M824" s="85" t="str">
        <f>IF(Table13[[#This Row],[Column3]]=" "," ",Table13[[#This Row],[CODE]])</f>
        <v xml:space="preserve"> </v>
      </c>
      <c r="N824" s="368"/>
      <c r="P824" s="81" t="str">
        <f t="shared" si="12"/>
        <v/>
      </c>
    </row>
    <row r="825" spans="1:16" hidden="1" x14ac:dyDescent="0.15">
      <c r="A825" s="81" t="str">
        <f>COPY!O823</f>
        <v/>
      </c>
      <c r="B825" s="81" t="str">
        <f>COPY!C823</f>
        <v/>
      </c>
      <c r="C825" s="82" t="str">
        <f>COPY!D823</f>
        <v/>
      </c>
      <c r="D825" s="81" t="str">
        <f>IF(Table13[[#This Row],[JUMLAH]]&gt;1,(IF(Table13[[#This Row],[CODE]]=" ",D824&amp;"a",IF(Table13[[#This Row],[CODE]]&gt;0,Table13[[#This Row],[CODE]],0))),"")</f>
        <v/>
      </c>
      <c r="E825" s="81" t="str">
        <f>IF(COPY!G823&gt;0,COPY!G823,"")</f>
        <v/>
      </c>
      <c r="F825" s="88" t="str">
        <f>IF(COPY!J823&gt;0,COPY!J823,"")</f>
        <v/>
      </c>
      <c r="G825" s="85" t="str">
        <f>IF(COPY!H823&gt;0,COPY!H823,"")</f>
        <v/>
      </c>
      <c r="H825" s="85" t="str">
        <f>IF(COPY!I823&gt;0,COPY!I823,"")</f>
        <v/>
      </c>
      <c r="I825" s="85" t="str">
        <f>IF(COPY!M823&gt;0,COPY!M823,"")</f>
        <v/>
      </c>
      <c r="J825" s="85" t="str">
        <f>IF(COPY!N823&gt;0,COPY!N823,"")</f>
        <v/>
      </c>
      <c r="K825" s="86" t="str">
        <f>IF(N825=0,(IF(LEFT(Table13[[#This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Row],[URAIAN]],$U$194:$V$210,2,FALSE),""),""),0))))),N825)</f>
        <v/>
      </c>
      <c r="L825" s="85" t="str">
        <f>IF(Table13[[#This Row],[Column2]]="KWITANSI",COUNTIF($K$4:K825,"KWITANSI")," ")</f>
        <v xml:space="preserve"> </v>
      </c>
      <c r="M825" s="85" t="str">
        <f>IF(Table13[[#This Row],[Column3]]=" "," ",Table13[[#This Row],[CODE]])</f>
        <v xml:space="preserve"> </v>
      </c>
      <c r="N825" s="368"/>
      <c r="P825" s="81" t="str">
        <f t="shared" si="12"/>
        <v/>
      </c>
    </row>
    <row r="826" spans="1:16" hidden="1" x14ac:dyDescent="0.15">
      <c r="A826" s="81" t="str">
        <f>COPY!O824</f>
        <v/>
      </c>
      <c r="B826" s="81" t="str">
        <f>COPY!C824</f>
        <v/>
      </c>
      <c r="C826" s="82" t="str">
        <f>COPY!D824</f>
        <v/>
      </c>
      <c r="D826" s="81" t="str">
        <f>IF(Table13[[#This Row],[JUMLAH]]&gt;1,(IF(Table13[[#This Row],[CODE]]=" ",D825&amp;"a",IF(Table13[[#This Row],[CODE]]&gt;0,Table13[[#This Row],[CODE]],0))),"")</f>
        <v/>
      </c>
      <c r="E826" s="81" t="str">
        <f>IF(COPY!G824&gt;0,COPY!G824,"")</f>
        <v/>
      </c>
      <c r="F826" s="88" t="str">
        <f>IF(COPY!J824&gt;0,COPY!J824,"")</f>
        <v/>
      </c>
      <c r="G826" s="85" t="str">
        <f>IF(COPY!H824&gt;0,COPY!H824,"")</f>
        <v/>
      </c>
      <c r="H826" s="85" t="str">
        <f>IF(COPY!I824&gt;0,COPY!I824,"")</f>
        <v/>
      </c>
      <c r="I826" s="85" t="str">
        <f>IF(COPY!M824&gt;0,COPY!M824,"")</f>
        <v/>
      </c>
      <c r="J826" s="85" t="str">
        <f>IF(COPY!N824&gt;0,COPY!N824,"")</f>
        <v/>
      </c>
      <c r="K826" s="86" t="str">
        <f>IF(N826=0,(IF(LEFT(Table13[[#This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Row],[URAIAN]],$U$194:$V$210,2,FALSE),""),""),0))))),N826)</f>
        <v/>
      </c>
      <c r="L826" s="85" t="str">
        <f>IF(Table13[[#This Row],[Column2]]="KWITANSI",COUNTIF($K$4:K826,"KWITANSI")," ")</f>
        <v xml:space="preserve"> </v>
      </c>
      <c r="M826" s="85" t="str">
        <f>IF(Table13[[#This Row],[Column3]]=" "," ",Table13[[#This Row],[CODE]])</f>
        <v xml:space="preserve"> </v>
      </c>
      <c r="N826" s="368"/>
      <c r="P826" s="81" t="str">
        <f t="shared" si="12"/>
        <v/>
      </c>
    </row>
    <row r="827" spans="1:16" hidden="1" x14ac:dyDescent="0.15">
      <c r="A827" s="81" t="str">
        <f>COPY!O825</f>
        <v/>
      </c>
      <c r="B827" s="81" t="str">
        <f>COPY!C825</f>
        <v/>
      </c>
      <c r="C827" s="82" t="str">
        <f>COPY!D825</f>
        <v/>
      </c>
      <c r="D827" s="81" t="str">
        <f>IF(Table13[[#This Row],[JUMLAH]]&gt;1,(IF(Table13[[#This Row],[CODE]]=" ",D826&amp;"a",IF(Table13[[#This Row],[CODE]]&gt;0,Table13[[#This Row],[CODE]],0))),"")</f>
        <v/>
      </c>
      <c r="E827" s="81" t="str">
        <f>IF(COPY!G825&gt;0,COPY!G825,"")</f>
        <v/>
      </c>
      <c r="F827" s="88" t="str">
        <f>IF(COPY!J825&gt;0,COPY!J825,"")</f>
        <v/>
      </c>
      <c r="G827" s="85" t="str">
        <f>IF(COPY!H825&gt;0,COPY!H825,"")</f>
        <v/>
      </c>
      <c r="H827" s="85" t="str">
        <f>IF(COPY!I825&gt;0,COPY!I825,"")</f>
        <v/>
      </c>
      <c r="I827" s="85" t="str">
        <f>IF(COPY!M825&gt;0,COPY!M825,"")</f>
        <v/>
      </c>
      <c r="J827" s="85" t="str">
        <f>IF(COPY!N825&gt;0,COPY!N825,"")</f>
        <v/>
      </c>
      <c r="K827" s="86" t="str">
        <f>IF(N827=0,(IF(LEFT(Table13[[#This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Row],[URAIAN]],$U$194:$V$210,2,FALSE),""),""),0))))),N827)</f>
        <v/>
      </c>
      <c r="L827" s="85" t="str">
        <f>IF(Table13[[#This Row],[Column2]]="KWITANSI",COUNTIF($K$4:K827,"KWITANSI")," ")</f>
        <v xml:space="preserve"> </v>
      </c>
      <c r="M827" s="85" t="str">
        <f>IF(Table13[[#This Row],[Column3]]=" "," ",Table13[[#This Row],[CODE]])</f>
        <v xml:space="preserve"> </v>
      </c>
      <c r="N827" s="368"/>
      <c r="P827" s="81" t="str">
        <f t="shared" si="12"/>
        <v/>
      </c>
    </row>
    <row r="828" spans="1:16" hidden="1" x14ac:dyDescent="0.15">
      <c r="A828" s="81" t="str">
        <f>COPY!O826</f>
        <v/>
      </c>
      <c r="B828" s="81" t="str">
        <f>COPY!C826</f>
        <v/>
      </c>
      <c r="C828" s="82" t="str">
        <f>COPY!D826</f>
        <v/>
      </c>
      <c r="D828" s="81" t="str">
        <f>IF(Table13[[#This Row],[JUMLAH]]&gt;1,(IF(Table13[[#This Row],[CODE]]=" ",D827&amp;"a",IF(Table13[[#This Row],[CODE]]&gt;0,Table13[[#This Row],[CODE]],0))),"")</f>
        <v/>
      </c>
      <c r="E828" s="81" t="str">
        <f>IF(COPY!G826&gt;0,COPY!G826,"")</f>
        <v/>
      </c>
      <c r="F828" s="88" t="str">
        <f>IF(COPY!J826&gt;0,COPY!J826,"")</f>
        <v/>
      </c>
      <c r="G828" s="85" t="str">
        <f>IF(COPY!H826&gt;0,COPY!H826,"")</f>
        <v/>
      </c>
      <c r="H828" s="85" t="str">
        <f>IF(COPY!I826&gt;0,COPY!I826,"")</f>
        <v/>
      </c>
      <c r="I828" s="85" t="str">
        <f>IF(COPY!M826&gt;0,COPY!M826,"")</f>
        <v/>
      </c>
      <c r="J828" s="85" t="str">
        <f>IF(COPY!N826&gt;0,COPY!N826,"")</f>
        <v/>
      </c>
      <c r="K828" s="86" t="str">
        <f>IF(N828=0,(IF(LEFT(Table13[[#This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Row],[URAIAN]],$U$194:$V$210,2,FALSE),""),""),0))))),N828)</f>
        <v/>
      </c>
      <c r="L828" s="85" t="str">
        <f>IF(Table13[[#This Row],[Column2]]="KWITANSI",COUNTIF($K$4:K828,"KWITANSI")," ")</f>
        <v xml:space="preserve"> </v>
      </c>
      <c r="M828" s="85" t="str">
        <f>IF(Table13[[#This Row],[Column3]]=" "," ",Table13[[#This Row],[CODE]])</f>
        <v xml:space="preserve"> </v>
      </c>
      <c r="N828" s="368"/>
      <c r="P828" s="81" t="str">
        <f t="shared" si="12"/>
        <v/>
      </c>
    </row>
    <row r="829" spans="1:16" hidden="1" x14ac:dyDescent="0.15">
      <c r="A829" s="81" t="str">
        <f>COPY!O827</f>
        <v/>
      </c>
      <c r="B829" s="81" t="str">
        <f>COPY!C827</f>
        <v/>
      </c>
      <c r="C829" s="82" t="str">
        <f>COPY!D827</f>
        <v/>
      </c>
      <c r="D829" s="81" t="str">
        <f>IF(Table13[[#This Row],[JUMLAH]]&gt;1,(IF(Table13[[#This Row],[CODE]]=" ",D828&amp;"a",IF(Table13[[#This Row],[CODE]]&gt;0,Table13[[#This Row],[CODE]],0))),"")</f>
        <v/>
      </c>
      <c r="E829" s="81" t="str">
        <f>IF(COPY!G827&gt;0,COPY!G827,"")</f>
        <v/>
      </c>
      <c r="F829" s="88" t="str">
        <f>IF(COPY!J827&gt;0,COPY!J827,"")</f>
        <v/>
      </c>
      <c r="G829" s="85" t="str">
        <f>IF(COPY!H827&gt;0,COPY!H827,"")</f>
        <v/>
      </c>
      <c r="H829" s="85" t="str">
        <f>IF(COPY!I827&gt;0,COPY!I827,"")</f>
        <v/>
      </c>
      <c r="I829" s="85" t="str">
        <f>IF(COPY!M827&gt;0,COPY!M827,"")</f>
        <v/>
      </c>
      <c r="J829" s="85" t="str">
        <f>IF(COPY!N827&gt;0,COPY!N827,"")</f>
        <v/>
      </c>
      <c r="K829" s="86" t="str">
        <f>IF(N829=0,(IF(LEFT(Table13[[#This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Row],[URAIAN]],$U$194:$V$210,2,FALSE),""),""),0))))),N829)</f>
        <v/>
      </c>
      <c r="L829" s="85" t="str">
        <f>IF(Table13[[#This Row],[Column2]]="KWITANSI",COUNTIF($K$4:K829,"KWITANSI")," ")</f>
        <v xml:space="preserve"> </v>
      </c>
      <c r="M829" s="85" t="str">
        <f>IF(Table13[[#This Row],[Column3]]=" "," ",Table13[[#This Row],[CODE]])</f>
        <v xml:space="preserve"> </v>
      </c>
      <c r="N829" s="368"/>
      <c r="P829" s="81" t="str">
        <f t="shared" si="12"/>
        <v/>
      </c>
    </row>
    <row r="830" spans="1:16" hidden="1" x14ac:dyDescent="0.15">
      <c r="A830" s="81" t="str">
        <f>COPY!O828</f>
        <v/>
      </c>
      <c r="B830" s="81" t="str">
        <f>COPY!C828</f>
        <v/>
      </c>
      <c r="C830" s="82" t="str">
        <f>COPY!D828</f>
        <v/>
      </c>
      <c r="D830" s="81" t="str">
        <f>IF(Table13[[#This Row],[JUMLAH]]&gt;1,(IF(Table13[[#This Row],[CODE]]=" ",D829&amp;"a",IF(Table13[[#This Row],[CODE]]&gt;0,Table13[[#This Row],[CODE]],0))),"")</f>
        <v/>
      </c>
      <c r="E830" s="81" t="str">
        <f>IF(COPY!G828&gt;0,COPY!G828,"")</f>
        <v/>
      </c>
      <c r="F830" s="88" t="str">
        <f>IF(COPY!J828&gt;0,COPY!J828,"")</f>
        <v/>
      </c>
      <c r="G830" s="85" t="str">
        <f>IF(COPY!H828&gt;0,COPY!H828,"")</f>
        <v/>
      </c>
      <c r="H830" s="85" t="str">
        <f>IF(COPY!I828&gt;0,COPY!I828,"")</f>
        <v/>
      </c>
      <c r="I830" s="85" t="str">
        <f>IF(COPY!M828&gt;0,COPY!M828,"")</f>
        <v/>
      </c>
      <c r="J830" s="85" t="str">
        <f>IF(COPY!N828&gt;0,COPY!N828,"")</f>
        <v/>
      </c>
      <c r="K830" s="86" t="str">
        <f>IF(N830=0,(IF(LEFT(Table13[[#This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Row],[URAIAN]],$U$194:$V$210,2,FALSE),""),""),0))))),N830)</f>
        <v/>
      </c>
      <c r="L830" s="85" t="str">
        <f>IF(Table13[[#This Row],[Column2]]="KWITANSI",COUNTIF($K$4:K830,"KWITANSI")," ")</f>
        <v xml:space="preserve"> </v>
      </c>
      <c r="M830" s="85" t="str">
        <f>IF(Table13[[#This Row],[Column3]]=" "," ",Table13[[#This Row],[CODE]])</f>
        <v xml:space="preserve"> </v>
      </c>
      <c r="N830" s="368"/>
      <c r="P830" s="81" t="str">
        <f t="shared" si="12"/>
        <v/>
      </c>
    </row>
    <row r="831" spans="1:16" hidden="1" x14ac:dyDescent="0.15">
      <c r="A831" s="81" t="str">
        <f>COPY!O829</f>
        <v/>
      </c>
      <c r="B831" s="81" t="str">
        <f>COPY!C829</f>
        <v/>
      </c>
      <c r="C831" s="82" t="str">
        <f>COPY!D829</f>
        <v/>
      </c>
      <c r="D831" s="81" t="str">
        <f>IF(Table13[[#This Row],[JUMLAH]]&gt;1,(IF(Table13[[#This Row],[CODE]]=" ",D830&amp;"a",IF(Table13[[#This Row],[CODE]]&gt;0,Table13[[#This Row],[CODE]],0))),"")</f>
        <v/>
      </c>
      <c r="E831" s="81" t="str">
        <f>IF(COPY!G829&gt;0,COPY!G829,"")</f>
        <v/>
      </c>
      <c r="F831" s="88" t="str">
        <f>IF(COPY!J829&gt;0,COPY!J829,"")</f>
        <v/>
      </c>
      <c r="G831" s="85" t="str">
        <f>IF(COPY!H829&gt;0,COPY!H829,"")</f>
        <v/>
      </c>
      <c r="H831" s="85" t="str">
        <f>IF(COPY!I829&gt;0,COPY!I829,"")</f>
        <v/>
      </c>
      <c r="I831" s="85" t="str">
        <f>IF(COPY!M829&gt;0,COPY!M829,"")</f>
        <v/>
      </c>
      <c r="J831" s="85" t="str">
        <f>IF(COPY!N829&gt;0,COPY!N829,"")</f>
        <v/>
      </c>
      <c r="K831" s="86" t="str">
        <f>IF(N831=0,(IF(LEFT(Table13[[#This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Row],[URAIAN]],$U$194:$V$210,2,FALSE),""),""),0))))),N831)</f>
        <v/>
      </c>
      <c r="L831" s="85" t="str">
        <f>IF(Table13[[#This Row],[Column2]]="KWITANSI",COUNTIF($K$4:K831,"KWITANSI")," ")</f>
        <v xml:space="preserve"> </v>
      </c>
      <c r="M831" s="85" t="str">
        <f>IF(Table13[[#This Row],[Column3]]=" "," ",Table13[[#This Row],[CODE]])</f>
        <v xml:space="preserve"> </v>
      </c>
      <c r="N831" s="368"/>
      <c r="P831" s="81" t="str">
        <f t="shared" si="12"/>
        <v/>
      </c>
    </row>
    <row r="832" spans="1:16" hidden="1" x14ac:dyDescent="0.15">
      <c r="A832" s="81" t="str">
        <f>COPY!O830</f>
        <v/>
      </c>
      <c r="B832" s="81" t="str">
        <f>COPY!C830</f>
        <v/>
      </c>
      <c r="C832" s="82" t="str">
        <f>COPY!D830</f>
        <v/>
      </c>
      <c r="D832" s="81" t="str">
        <f>IF(Table13[[#This Row],[JUMLAH]]&gt;1,(IF(Table13[[#This Row],[CODE]]=" ",D831&amp;"a",IF(Table13[[#This Row],[CODE]]&gt;0,Table13[[#This Row],[CODE]],0))),"")</f>
        <v/>
      </c>
      <c r="E832" s="81" t="str">
        <f>IF(COPY!G830&gt;0,COPY!G830,"")</f>
        <v/>
      </c>
      <c r="F832" s="88" t="str">
        <f>IF(COPY!J830&gt;0,COPY!J830,"")</f>
        <v/>
      </c>
      <c r="G832" s="85" t="str">
        <f>IF(COPY!H830&gt;0,COPY!H830,"")</f>
        <v/>
      </c>
      <c r="H832" s="85" t="str">
        <f>IF(COPY!I830&gt;0,COPY!I830,"")</f>
        <v/>
      </c>
      <c r="I832" s="85" t="str">
        <f>IF(COPY!M830&gt;0,COPY!M830,"")</f>
        <v/>
      </c>
      <c r="J832" s="85" t="str">
        <f>IF(COPY!N830&gt;0,COPY!N830,"")</f>
        <v/>
      </c>
      <c r="K832" s="86" t="str">
        <f>IF(N832=0,(IF(LEFT(Table13[[#This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Row],[URAIAN]],$U$194:$V$210,2,FALSE),""),""),0))))),N832)</f>
        <v/>
      </c>
      <c r="L832" s="85" t="str">
        <f>IF(Table13[[#This Row],[Column2]]="KWITANSI",COUNTIF($K$4:K832,"KWITANSI")," ")</f>
        <v xml:space="preserve"> </v>
      </c>
      <c r="M832" s="85" t="str">
        <f>IF(Table13[[#This Row],[Column3]]=" "," ",Table13[[#This Row],[CODE]])</f>
        <v xml:space="preserve"> </v>
      </c>
      <c r="N832" s="368"/>
      <c r="P832" s="81" t="str">
        <f t="shared" si="12"/>
        <v/>
      </c>
    </row>
    <row r="833" spans="1:16" hidden="1" x14ac:dyDescent="0.15">
      <c r="A833" s="81" t="str">
        <f>COPY!O831</f>
        <v/>
      </c>
      <c r="B833" s="81" t="str">
        <f>COPY!C831</f>
        <v/>
      </c>
      <c r="C833" s="82" t="str">
        <f>COPY!D831</f>
        <v/>
      </c>
      <c r="D833" s="81" t="str">
        <f>IF(Table13[[#This Row],[JUMLAH]]&gt;1,(IF(Table13[[#This Row],[CODE]]=" ",D832&amp;"a",IF(Table13[[#This Row],[CODE]]&gt;0,Table13[[#This Row],[CODE]],0))),"")</f>
        <v/>
      </c>
      <c r="E833" s="81" t="str">
        <f>IF(COPY!G831&gt;0,COPY!G831,"")</f>
        <v/>
      </c>
      <c r="F833" s="88" t="str">
        <f>IF(COPY!J831&gt;0,COPY!J831,"")</f>
        <v/>
      </c>
      <c r="G833" s="85" t="str">
        <f>IF(COPY!H831&gt;0,COPY!H831,"")</f>
        <v/>
      </c>
      <c r="H833" s="85" t="str">
        <f>IF(COPY!I831&gt;0,COPY!I831,"")</f>
        <v/>
      </c>
      <c r="I833" s="85" t="str">
        <f>IF(COPY!M831&gt;0,COPY!M831,"")</f>
        <v/>
      </c>
      <c r="J833" s="85" t="str">
        <f>IF(COPY!N831&gt;0,COPY!N831,"")</f>
        <v/>
      </c>
      <c r="K833" s="86" t="str">
        <f>IF(N833=0,(IF(LEFT(Table13[[#This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Row],[URAIAN]],$U$194:$V$210,2,FALSE),""),""),0))))),N833)</f>
        <v/>
      </c>
      <c r="L833" s="85" t="str">
        <f>IF(Table13[[#This Row],[Column2]]="KWITANSI",COUNTIF($K$4:K833,"KWITANSI")," ")</f>
        <v xml:space="preserve"> </v>
      </c>
      <c r="M833" s="85" t="str">
        <f>IF(Table13[[#This Row],[Column3]]=" "," ",Table13[[#This Row],[CODE]])</f>
        <v xml:space="preserve"> </v>
      </c>
      <c r="N833" s="368"/>
      <c r="P833" s="81" t="str">
        <f t="shared" si="12"/>
        <v/>
      </c>
    </row>
    <row r="834" spans="1:16" hidden="1" x14ac:dyDescent="0.15">
      <c r="A834" s="81" t="str">
        <f>COPY!O832</f>
        <v/>
      </c>
      <c r="B834" s="81" t="str">
        <f>COPY!C832</f>
        <v/>
      </c>
      <c r="C834" s="82" t="str">
        <f>COPY!D832</f>
        <v/>
      </c>
      <c r="D834" s="81" t="str">
        <f>IF(Table13[[#This Row],[JUMLAH]]&gt;1,(IF(Table13[[#This Row],[CODE]]=" ",D833&amp;"a",IF(Table13[[#This Row],[CODE]]&gt;0,Table13[[#This Row],[CODE]],0))),"")</f>
        <v/>
      </c>
      <c r="E834" s="81" t="str">
        <f>IF(COPY!G832&gt;0,COPY!G832,"")</f>
        <v/>
      </c>
      <c r="F834" s="88" t="str">
        <f>IF(COPY!J832&gt;0,COPY!J832,"")</f>
        <v/>
      </c>
      <c r="G834" s="85" t="str">
        <f>IF(COPY!H832&gt;0,COPY!H832,"")</f>
        <v/>
      </c>
      <c r="H834" s="85" t="str">
        <f>IF(COPY!I832&gt;0,COPY!I832,"")</f>
        <v/>
      </c>
      <c r="I834" s="85" t="str">
        <f>IF(COPY!M832&gt;0,COPY!M832,"")</f>
        <v/>
      </c>
      <c r="J834" s="85" t="str">
        <f>IF(COPY!N832&gt;0,COPY!N832,"")</f>
        <v/>
      </c>
      <c r="K834" s="86" t="str">
        <f>IF(N834=0,(IF(LEFT(Table13[[#This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Row],[URAIAN]],$U$194:$V$210,2,FALSE),""),""),0))))),N834)</f>
        <v/>
      </c>
      <c r="L834" s="85" t="str">
        <f>IF(Table13[[#This Row],[Column2]]="KWITANSI",COUNTIF($K$4:K834,"KWITANSI")," ")</f>
        <v xml:space="preserve"> </v>
      </c>
      <c r="M834" s="85" t="str">
        <f>IF(Table13[[#This Row],[Column3]]=" "," ",Table13[[#This Row],[CODE]])</f>
        <v xml:space="preserve"> </v>
      </c>
      <c r="N834" s="368"/>
      <c r="P834" s="81" t="str">
        <f t="shared" ref="P834:P897" si="13">IF(-$O$4+($O$4+ROW())&lt;=$O$4,-$O$4+($O$4+ROW()),"")</f>
        <v/>
      </c>
    </row>
    <row r="835" spans="1:16" hidden="1" x14ac:dyDescent="0.15">
      <c r="A835" s="81" t="str">
        <f>COPY!O833</f>
        <v/>
      </c>
      <c r="B835" s="81" t="str">
        <f>COPY!C833</f>
        <v/>
      </c>
      <c r="C835" s="82" t="str">
        <f>COPY!D833</f>
        <v/>
      </c>
      <c r="D835" s="81" t="str">
        <f>IF(Table13[[#This Row],[JUMLAH]]&gt;1,(IF(Table13[[#This Row],[CODE]]=" ",D834&amp;"a",IF(Table13[[#This Row],[CODE]]&gt;0,Table13[[#This Row],[CODE]],0))),"")</f>
        <v/>
      </c>
      <c r="E835" s="81" t="str">
        <f>IF(COPY!G833&gt;0,COPY!G833,"")</f>
        <v/>
      </c>
      <c r="F835" s="88" t="str">
        <f>IF(COPY!J833&gt;0,COPY!J833,"")</f>
        <v/>
      </c>
      <c r="G835" s="85" t="str">
        <f>IF(COPY!H833&gt;0,COPY!H833,"")</f>
        <v/>
      </c>
      <c r="H835" s="85" t="str">
        <f>IF(COPY!I833&gt;0,COPY!I833,"")</f>
        <v/>
      </c>
      <c r="I835" s="85" t="str">
        <f>IF(COPY!M833&gt;0,COPY!M833,"")</f>
        <v/>
      </c>
      <c r="J835" s="85" t="str">
        <f>IF(COPY!N833&gt;0,COPY!N833,"")</f>
        <v/>
      </c>
      <c r="K835" s="86" t="str">
        <f>IF(N835=0,(IF(LEFT(Table13[[#This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Row],[URAIAN]],$U$194:$V$210,2,FALSE),""),""),0))))),N835)</f>
        <v/>
      </c>
      <c r="L835" s="85" t="str">
        <f>IF(Table13[[#This Row],[Column2]]="KWITANSI",COUNTIF($K$4:K835,"KWITANSI")," ")</f>
        <v xml:space="preserve"> </v>
      </c>
      <c r="M835" s="85" t="str">
        <f>IF(Table13[[#This Row],[Column3]]=" "," ",Table13[[#This Row],[CODE]])</f>
        <v xml:space="preserve"> </v>
      </c>
      <c r="N835" s="368"/>
      <c r="P835" s="81" t="str">
        <f t="shared" si="13"/>
        <v/>
      </c>
    </row>
    <row r="836" spans="1:16" hidden="1" x14ac:dyDescent="0.15">
      <c r="A836" s="81" t="str">
        <f>COPY!O834</f>
        <v/>
      </c>
      <c r="B836" s="81" t="str">
        <f>COPY!C834</f>
        <v/>
      </c>
      <c r="C836" s="82" t="str">
        <f>COPY!D834</f>
        <v/>
      </c>
      <c r="D836" s="81" t="str">
        <f>IF(Table13[[#This Row],[JUMLAH]]&gt;1,(IF(Table13[[#This Row],[CODE]]=" ",D835&amp;"a",IF(Table13[[#This Row],[CODE]]&gt;0,Table13[[#This Row],[CODE]],0))),"")</f>
        <v/>
      </c>
      <c r="E836" s="81" t="str">
        <f>IF(COPY!G834&gt;0,COPY!G834,"")</f>
        <v/>
      </c>
      <c r="F836" s="88" t="str">
        <f>IF(COPY!J834&gt;0,COPY!J834,"")</f>
        <v/>
      </c>
      <c r="G836" s="85" t="str">
        <f>IF(COPY!H834&gt;0,COPY!H834,"")</f>
        <v/>
      </c>
      <c r="H836" s="85" t="str">
        <f>IF(COPY!I834&gt;0,COPY!I834,"")</f>
        <v/>
      </c>
      <c r="I836" s="85" t="str">
        <f>IF(COPY!M834&gt;0,COPY!M834,"")</f>
        <v/>
      </c>
      <c r="J836" s="85" t="str">
        <f>IF(COPY!N834&gt;0,COPY!N834,"")</f>
        <v/>
      </c>
      <c r="K836" s="86" t="str">
        <f>IF(N836=0,(IF(LEFT(Table13[[#This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Row],[URAIAN]],$U$194:$V$210,2,FALSE),""),""),0))))),N836)</f>
        <v/>
      </c>
      <c r="L836" s="85" t="str">
        <f>IF(Table13[[#This Row],[Column2]]="KWITANSI",COUNTIF($K$4:K836,"KWITANSI")," ")</f>
        <v xml:space="preserve"> </v>
      </c>
      <c r="M836" s="85" t="str">
        <f>IF(Table13[[#This Row],[Column3]]=" "," ",Table13[[#This Row],[CODE]])</f>
        <v xml:space="preserve"> </v>
      </c>
      <c r="N836" s="368"/>
      <c r="P836" s="81" t="str">
        <f t="shared" si="13"/>
        <v/>
      </c>
    </row>
    <row r="837" spans="1:16" hidden="1" x14ac:dyDescent="0.15">
      <c r="A837" s="81" t="str">
        <f>COPY!O835</f>
        <v/>
      </c>
      <c r="B837" s="81" t="str">
        <f>COPY!C835</f>
        <v/>
      </c>
      <c r="C837" s="82" t="str">
        <f>COPY!D835</f>
        <v/>
      </c>
      <c r="D837" s="81" t="str">
        <f>IF(Table13[[#This Row],[JUMLAH]]&gt;1,(IF(Table13[[#This Row],[CODE]]=" ",D836&amp;"a",IF(Table13[[#This Row],[CODE]]&gt;0,Table13[[#This Row],[CODE]],0))),"")</f>
        <v/>
      </c>
      <c r="E837" s="81" t="str">
        <f>IF(COPY!G835&gt;0,COPY!G835,"")</f>
        <v/>
      </c>
      <c r="F837" s="88" t="str">
        <f>IF(COPY!J835&gt;0,COPY!J835,"")</f>
        <v/>
      </c>
      <c r="G837" s="85" t="str">
        <f>IF(COPY!H835&gt;0,COPY!H835,"")</f>
        <v/>
      </c>
      <c r="H837" s="85" t="str">
        <f>IF(COPY!I835&gt;0,COPY!I835,"")</f>
        <v/>
      </c>
      <c r="I837" s="85" t="str">
        <f>IF(COPY!M835&gt;0,COPY!M835,"")</f>
        <v/>
      </c>
      <c r="J837" s="85" t="str">
        <f>IF(COPY!N835&gt;0,COPY!N835,"")</f>
        <v/>
      </c>
      <c r="K837" s="86" t="str">
        <f>IF(N837=0,(IF(LEFT(Table13[[#This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Row],[URAIAN]],$U$194:$V$210,2,FALSE),""),""),0))))),N837)</f>
        <v/>
      </c>
      <c r="L837" s="85" t="str">
        <f>IF(Table13[[#This Row],[Column2]]="KWITANSI",COUNTIF($K$4:K837,"KWITANSI")," ")</f>
        <v xml:space="preserve"> </v>
      </c>
      <c r="M837" s="85" t="str">
        <f>IF(Table13[[#This Row],[Column3]]=" "," ",Table13[[#This Row],[CODE]])</f>
        <v xml:space="preserve"> </v>
      </c>
      <c r="N837" s="368"/>
      <c r="P837" s="81" t="str">
        <f t="shared" si="13"/>
        <v/>
      </c>
    </row>
    <row r="838" spans="1:16" hidden="1" x14ac:dyDescent="0.15">
      <c r="A838" s="81" t="str">
        <f>COPY!O836</f>
        <v/>
      </c>
      <c r="B838" s="81" t="str">
        <f>COPY!C836</f>
        <v/>
      </c>
      <c r="C838" s="82" t="str">
        <f>COPY!D836</f>
        <v/>
      </c>
      <c r="D838" s="81" t="str">
        <f>IF(Table13[[#This Row],[JUMLAH]]&gt;1,(IF(Table13[[#This Row],[CODE]]=" ",D837&amp;"a",IF(Table13[[#This Row],[CODE]]&gt;0,Table13[[#This Row],[CODE]],0))),"")</f>
        <v/>
      </c>
      <c r="E838" s="81" t="str">
        <f>IF(COPY!G836&gt;0,COPY!G836,"")</f>
        <v/>
      </c>
      <c r="F838" s="88" t="str">
        <f>IF(COPY!J836&gt;0,COPY!J836,"")</f>
        <v/>
      </c>
      <c r="G838" s="85" t="str">
        <f>IF(COPY!H836&gt;0,COPY!H836,"")</f>
        <v/>
      </c>
      <c r="H838" s="85" t="str">
        <f>IF(COPY!I836&gt;0,COPY!I836,"")</f>
        <v/>
      </c>
      <c r="I838" s="85" t="str">
        <f>IF(COPY!M836&gt;0,COPY!M836,"")</f>
        <v/>
      </c>
      <c r="J838" s="85" t="str">
        <f>IF(COPY!N836&gt;0,COPY!N836,"")</f>
        <v/>
      </c>
      <c r="K838" s="86" t="str">
        <f>IF(N838=0,(IF(LEFT(Table13[[#This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Row],[URAIAN]],$U$194:$V$210,2,FALSE),""),""),0))))),N838)</f>
        <v/>
      </c>
      <c r="L838" s="85" t="str">
        <f>IF(Table13[[#This Row],[Column2]]="KWITANSI",COUNTIF($K$4:K838,"KWITANSI")," ")</f>
        <v xml:space="preserve"> </v>
      </c>
      <c r="M838" s="85" t="str">
        <f>IF(Table13[[#This Row],[Column3]]=" "," ",Table13[[#This Row],[CODE]])</f>
        <v xml:space="preserve"> </v>
      </c>
      <c r="N838" s="368"/>
      <c r="P838" s="81" t="str">
        <f t="shared" si="13"/>
        <v/>
      </c>
    </row>
    <row r="839" spans="1:16" hidden="1" x14ac:dyDescent="0.15">
      <c r="A839" s="81" t="str">
        <f>COPY!O837</f>
        <v/>
      </c>
      <c r="B839" s="81" t="str">
        <f>COPY!C837</f>
        <v/>
      </c>
      <c r="C839" s="82" t="str">
        <f>COPY!D837</f>
        <v/>
      </c>
      <c r="D839" s="81" t="str">
        <f>IF(Table13[[#This Row],[JUMLAH]]&gt;1,(IF(Table13[[#This Row],[CODE]]=" ",D838&amp;"a",IF(Table13[[#This Row],[CODE]]&gt;0,Table13[[#This Row],[CODE]],0))),"")</f>
        <v/>
      </c>
      <c r="E839" s="81" t="str">
        <f>IF(COPY!G837&gt;0,COPY!G837,"")</f>
        <v/>
      </c>
      <c r="F839" s="88" t="str">
        <f>IF(COPY!J837&gt;0,COPY!J837,"")</f>
        <v/>
      </c>
      <c r="G839" s="85" t="str">
        <f>IF(COPY!H837&gt;0,COPY!H837,"")</f>
        <v/>
      </c>
      <c r="H839" s="85" t="str">
        <f>IF(COPY!I837&gt;0,COPY!I837,"")</f>
        <v/>
      </c>
      <c r="I839" s="85" t="str">
        <f>IF(COPY!M837&gt;0,COPY!M837,"")</f>
        <v/>
      </c>
      <c r="J839" s="85" t="str">
        <f>IF(COPY!N837&gt;0,COPY!N837,"")</f>
        <v/>
      </c>
      <c r="K839" s="86" t="str">
        <f>IF(N839=0,(IF(LEFT(Table13[[#This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Row],[URAIAN]],$U$194:$V$210,2,FALSE),""),""),0))))),N839)</f>
        <v/>
      </c>
      <c r="L839" s="85" t="str">
        <f>IF(Table13[[#This Row],[Column2]]="KWITANSI",COUNTIF($K$4:K839,"KWITANSI")," ")</f>
        <v xml:space="preserve"> </v>
      </c>
      <c r="M839" s="85" t="str">
        <f>IF(Table13[[#This Row],[Column3]]=" "," ",Table13[[#This Row],[CODE]])</f>
        <v xml:space="preserve"> </v>
      </c>
      <c r="N839" s="368"/>
      <c r="P839" s="81" t="str">
        <f t="shared" si="13"/>
        <v/>
      </c>
    </row>
    <row r="840" spans="1:16" hidden="1" x14ac:dyDescent="0.15">
      <c r="A840" s="81" t="str">
        <f>COPY!O838</f>
        <v/>
      </c>
      <c r="B840" s="81" t="str">
        <f>COPY!C838</f>
        <v/>
      </c>
      <c r="C840" s="82" t="str">
        <f>COPY!D838</f>
        <v/>
      </c>
      <c r="D840" s="81" t="str">
        <f>IF(Table13[[#This Row],[JUMLAH]]&gt;1,(IF(Table13[[#This Row],[CODE]]=" ",D839&amp;"a",IF(Table13[[#This Row],[CODE]]&gt;0,Table13[[#This Row],[CODE]],0))),"")</f>
        <v/>
      </c>
      <c r="E840" s="81" t="str">
        <f>IF(COPY!G838&gt;0,COPY!G838,"")</f>
        <v/>
      </c>
      <c r="F840" s="88" t="str">
        <f>IF(COPY!J838&gt;0,COPY!J838,"")</f>
        <v/>
      </c>
      <c r="G840" s="85" t="str">
        <f>IF(COPY!H838&gt;0,COPY!H838,"")</f>
        <v/>
      </c>
      <c r="H840" s="85" t="str">
        <f>IF(COPY!I838&gt;0,COPY!I838,"")</f>
        <v/>
      </c>
      <c r="I840" s="85" t="str">
        <f>IF(COPY!M838&gt;0,COPY!M838,"")</f>
        <v/>
      </c>
      <c r="J840" s="85" t="str">
        <f>IF(COPY!N838&gt;0,COPY!N838,"")</f>
        <v/>
      </c>
      <c r="K840" s="86" t="str">
        <f>IF(N840=0,(IF(LEFT(Table13[[#This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Row],[URAIAN]],$U$194:$V$210,2,FALSE),""),""),0))))),N840)</f>
        <v/>
      </c>
      <c r="L840" s="85" t="str">
        <f>IF(Table13[[#This Row],[Column2]]="KWITANSI",COUNTIF($K$4:K840,"KWITANSI")," ")</f>
        <v xml:space="preserve"> </v>
      </c>
      <c r="M840" s="85" t="str">
        <f>IF(Table13[[#This Row],[Column3]]=" "," ",Table13[[#This Row],[CODE]])</f>
        <v xml:space="preserve"> </v>
      </c>
      <c r="N840" s="368"/>
      <c r="P840" s="81" t="str">
        <f t="shared" si="13"/>
        <v/>
      </c>
    </row>
    <row r="841" spans="1:16" hidden="1" x14ac:dyDescent="0.15">
      <c r="A841" s="81" t="str">
        <f>COPY!O839</f>
        <v/>
      </c>
      <c r="B841" s="81" t="str">
        <f>COPY!C839</f>
        <v/>
      </c>
      <c r="C841" s="82" t="str">
        <f>COPY!D839</f>
        <v/>
      </c>
      <c r="D841" s="81" t="str">
        <f>IF(Table13[[#This Row],[JUMLAH]]&gt;1,(IF(Table13[[#This Row],[CODE]]=" ",D840&amp;"a",IF(Table13[[#This Row],[CODE]]&gt;0,Table13[[#This Row],[CODE]],0))),"")</f>
        <v/>
      </c>
      <c r="E841" s="81" t="str">
        <f>IF(COPY!G839&gt;0,COPY!G839,"")</f>
        <v/>
      </c>
      <c r="F841" s="88" t="str">
        <f>IF(COPY!J839&gt;0,COPY!J839,"")</f>
        <v/>
      </c>
      <c r="G841" s="85" t="str">
        <f>IF(COPY!H839&gt;0,COPY!H839,"")</f>
        <v/>
      </c>
      <c r="H841" s="85" t="str">
        <f>IF(COPY!I839&gt;0,COPY!I839,"")</f>
        <v/>
      </c>
      <c r="I841" s="85" t="str">
        <f>IF(COPY!M839&gt;0,COPY!M839,"")</f>
        <v/>
      </c>
      <c r="J841" s="85" t="str">
        <f>IF(COPY!N839&gt;0,COPY!N839,"")</f>
        <v/>
      </c>
      <c r="K841" s="86" t="str">
        <f>IF(N841=0,(IF(LEFT(Table13[[#This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Row],[URAIAN]],$U$194:$V$210,2,FALSE),""),""),0))))),N841)</f>
        <v/>
      </c>
      <c r="L841" s="85" t="str">
        <f>IF(Table13[[#This Row],[Column2]]="KWITANSI",COUNTIF($K$4:K841,"KWITANSI")," ")</f>
        <v xml:space="preserve"> </v>
      </c>
      <c r="M841" s="85" t="str">
        <f>IF(Table13[[#This Row],[Column3]]=" "," ",Table13[[#This Row],[CODE]])</f>
        <v xml:space="preserve"> </v>
      </c>
      <c r="N841" s="368"/>
      <c r="P841" s="81" t="str">
        <f t="shared" si="13"/>
        <v/>
      </c>
    </row>
    <row r="842" spans="1:16" hidden="1" x14ac:dyDescent="0.15">
      <c r="A842" s="81" t="str">
        <f>COPY!O840</f>
        <v/>
      </c>
      <c r="B842" s="81" t="str">
        <f>COPY!C840</f>
        <v/>
      </c>
      <c r="C842" s="82" t="str">
        <f>COPY!D840</f>
        <v/>
      </c>
      <c r="D842" s="81" t="str">
        <f>IF(Table13[[#This Row],[JUMLAH]]&gt;1,(IF(Table13[[#This Row],[CODE]]=" ",D841&amp;"a",IF(Table13[[#This Row],[CODE]]&gt;0,Table13[[#This Row],[CODE]],0))),"")</f>
        <v/>
      </c>
      <c r="E842" s="81" t="str">
        <f>IF(COPY!G840&gt;0,COPY!G840,"")</f>
        <v/>
      </c>
      <c r="F842" s="88" t="str">
        <f>IF(COPY!J840&gt;0,COPY!J840,"")</f>
        <v/>
      </c>
      <c r="G842" s="85" t="str">
        <f>IF(COPY!H840&gt;0,COPY!H840,"")</f>
        <v/>
      </c>
      <c r="H842" s="85" t="str">
        <f>IF(COPY!I840&gt;0,COPY!I840,"")</f>
        <v/>
      </c>
      <c r="I842" s="85" t="str">
        <f>IF(COPY!M840&gt;0,COPY!M840,"")</f>
        <v/>
      </c>
      <c r="J842" s="85" t="str">
        <f>IF(COPY!N840&gt;0,COPY!N840,"")</f>
        <v/>
      </c>
      <c r="K842" s="86" t="str">
        <f>IF(N842=0,(IF(LEFT(Table13[[#This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Row],[URAIAN]],$U$194:$V$210,2,FALSE),""),""),0))))),N842)</f>
        <v/>
      </c>
      <c r="L842" s="85" t="str">
        <f>IF(Table13[[#This Row],[Column2]]="KWITANSI",COUNTIF($K$4:K842,"KWITANSI")," ")</f>
        <v xml:space="preserve"> </v>
      </c>
      <c r="M842" s="85" t="str">
        <f>IF(Table13[[#This Row],[Column3]]=" "," ",Table13[[#This Row],[CODE]])</f>
        <v xml:space="preserve"> </v>
      </c>
      <c r="N842" s="368"/>
      <c r="P842" s="81" t="str">
        <f t="shared" si="13"/>
        <v/>
      </c>
    </row>
    <row r="843" spans="1:16" hidden="1" x14ac:dyDescent="0.15">
      <c r="A843" s="81" t="str">
        <f>COPY!O841</f>
        <v/>
      </c>
      <c r="B843" s="81" t="str">
        <f>COPY!C841</f>
        <v/>
      </c>
      <c r="C843" s="82" t="str">
        <f>COPY!D841</f>
        <v/>
      </c>
      <c r="D843" s="81" t="str">
        <f>IF(Table13[[#This Row],[JUMLAH]]&gt;1,(IF(Table13[[#This Row],[CODE]]=" ",D842&amp;"a",IF(Table13[[#This Row],[CODE]]&gt;0,Table13[[#This Row],[CODE]],0))),"")</f>
        <v/>
      </c>
      <c r="E843" s="81" t="str">
        <f>IF(COPY!G841&gt;0,COPY!G841,"")</f>
        <v/>
      </c>
      <c r="F843" s="88" t="str">
        <f>IF(COPY!J841&gt;0,COPY!J841,"")</f>
        <v/>
      </c>
      <c r="G843" s="85" t="str">
        <f>IF(COPY!H841&gt;0,COPY!H841,"")</f>
        <v/>
      </c>
      <c r="H843" s="85" t="str">
        <f>IF(COPY!I841&gt;0,COPY!I841,"")</f>
        <v/>
      </c>
      <c r="I843" s="85" t="str">
        <f>IF(COPY!M841&gt;0,COPY!M841,"")</f>
        <v/>
      </c>
      <c r="J843" s="85" t="str">
        <f>IF(COPY!N841&gt;0,COPY!N841,"")</f>
        <v/>
      </c>
      <c r="K843" s="86" t="str">
        <f>IF(N843=0,(IF(LEFT(Table13[[#This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Row],[URAIAN]],$U$194:$V$210,2,FALSE),""),""),0))))),N843)</f>
        <v/>
      </c>
      <c r="L843" s="85" t="str">
        <f>IF(Table13[[#This Row],[Column2]]="KWITANSI",COUNTIF($K$4:K843,"KWITANSI")," ")</f>
        <v xml:space="preserve"> </v>
      </c>
      <c r="M843" s="85" t="str">
        <f>IF(Table13[[#This Row],[Column3]]=" "," ",Table13[[#This Row],[CODE]])</f>
        <v xml:space="preserve"> </v>
      </c>
      <c r="N843" s="368"/>
      <c r="P843" s="81" t="str">
        <f t="shared" si="13"/>
        <v/>
      </c>
    </row>
    <row r="844" spans="1:16" hidden="1" x14ac:dyDescent="0.15">
      <c r="A844" s="81" t="str">
        <f>COPY!O842</f>
        <v/>
      </c>
      <c r="B844" s="81" t="str">
        <f>COPY!C842</f>
        <v/>
      </c>
      <c r="C844" s="82" t="str">
        <f>COPY!D842</f>
        <v/>
      </c>
      <c r="D844" s="81" t="str">
        <f>IF(Table13[[#This Row],[JUMLAH]]&gt;1,(IF(Table13[[#This Row],[CODE]]=" ",D843&amp;"a",IF(Table13[[#This Row],[CODE]]&gt;0,Table13[[#This Row],[CODE]],0))),"")</f>
        <v/>
      </c>
      <c r="E844" s="81" t="str">
        <f>IF(COPY!G842&gt;0,COPY!G842,"")</f>
        <v/>
      </c>
      <c r="F844" s="88" t="str">
        <f>IF(COPY!J842&gt;0,COPY!J842,"")</f>
        <v/>
      </c>
      <c r="G844" s="85" t="str">
        <f>IF(COPY!H842&gt;0,COPY!H842,"")</f>
        <v/>
      </c>
      <c r="H844" s="85" t="str">
        <f>IF(COPY!I842&gt;0,COPY!I842,"")</f>
        <v/>
      </c>
      <c r="I844" s="85" t="str">
        <f>IF(COPY!M842&gt;0,COPY!M842,"")</f>
        <v/>
      </c>
      <c r="J844" s="85" t="str">
        <f>IF(COPY!N842&gt;0,COPY!N842,"")</f>
        <v/>
      </c>
      <c r="K844" s="86" t="str">
        <f>IF(N844=0,(IF(LEFT(Table13[[#This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Row],[URAIAN]],$U$194:$V$210,2,FALSE),""),""),0))))),N844)</f>
        <v/>
      </c>
      <c r="L844" s="85" t="str">
        <f>IF(Table13[[#This Row],[Column2]]="KWITANSI",COUNTIF($K$4:K844,"KWITANSI")," ")</f>
        <v xml:space="preserve"> </v>
      </c>
      <c r="M844" s="85" t="str">
        <f>IF(Table13[[#This Row],[Column3]]=" "," ",Table13[[#This Row],[CODE]])</f>
        <v xml:space="preserve"> </v>
      </c>
      <c r="N844" s="368"/>
      <c r="P844" s="81" t="str">
        <f t="shared" si="13"/>
        <v/>
      </c>
    </row>
    <row r="845" spans="1:16" hidden="1" x14ac:dyDescent="0.15">
      <c r="A845" s="81" t="str">
        <f>COPY!O843</f>
        <v/>
      </c>
      <c r="B845" s="81" t="str">
        <f>COPY!C843</f>
        <v/>
      </c>
      <c r="C845" s="82" t="str">
        <f>COPY!D843</f>
        <v/>
      </c>
      <c r="D845" s="81" t="str">
        <f>IF(Table13[[#This Row],[JUMLAH]]&gt;1,(IF(Table13[[#This Row],[CODE]]=" ",D844&amp;"a",IF(Table13[[#This Row],[CODE]]&gt;0,Table13[[#This Row],[CODE]],0))),"")</f>
        <v/>
      </c>
      <c r="E845" s="81" t="str">
        <f>IF(COPY!G843&gt;0,COPY!G843,"")</f>
        <v/>
      </c>
      <c r="F845" s="88" t="str">
        <f>IF(COPY!J843&gt;0,COPY!J843,"")</f>
        <v/>
      </c>
      <c r="G845" s="85" t="str">
        <f>IF(COPY!H843&gt;0,COPY!H843,"")</f>
        <v/>
      </c>
      <c r="H845" s="85" t="str">
        <f>IF(COPY!I843&gt;0,COPY!I843,"")</f>
        <v/>
      </c>
      <c r="I845" s="85" t="str">
        <f>IF(COPY!M843&gt;0,COPY!M843,"")</f>
        <v/>
      </c>
      <c r="J845" s="85" t="str">
        <f>IF(COPY!N843&gt;0,COPY!N843,"")</f>
        <v/>
      </c>
      <c r="K845" s="86" t="str">
        <f>IF(N845=0,(IF(LEFT(Table13[[#This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Row],[URAIAN]],$U$194:$V$210,2,FALSE),""),""),0))))),N845)</f>
        <v/>
      </c>
      <c r="L845" s="85" t="str">
        <f>IF(Table13[[#This Row],[Column2]]="KWITANSI",COUNTIF($K$4:K845,"KWITANSI")," ")</f>
        <v xml:space="preserve"> </v>
      </c>
      <c r="M845" s="85" t="str">
        <f>IF(Table13[[#This Row],[Column3]]=" "," ",Table13[[#This Row],[CODE]])</f>
        <v xml:space="preserve"> </v>
      </c>
      <c r="N845" s="368"/>
      <c r="P845" s="81" t="str">
        <f t="shared" si="13"/>
        <v/>
      </c>
    </row>
    <row r="846" spans="1:16" hidden="1" x14ac:dyDescent="0.15">
      <c r="A846" s="81" t="str">
        <f>COPY!O844</f>
        <v/>
      </c>
      <c r="B846" s="81" t="str">
        <f>COPY!C844</f>
        <v/>
      </c>
      <c r="C846" s="82" t="str">
        <f>COPY!D844</f>
        <v/>
      </c>
      <c r="D846" s="81" t="str">
        <f>IF(Table13[[#This Row],[JUMLAH]]&gt;1,(IF(Table13[[#This Row],[CODE]]=" ",D845&amp;"a",IF(Table13[[#This Row],[CODE]]&gt;0,Table13[[#This Row],[CODE]],0))),"")</f>
        <v/>
      </c>
      <c r="E846" s="81" t="str">
        <f>IF(COPY!G844&gt;0,COPY!G844,"")</f>
        <v/>
      </c>
      <c r="F846" s="88" t="str">
        <f>IF(COPY!J844&gt;0,COPY!J844,"")</f>
        <v/>
      </c>
      <c r="G846" s="85" t="str">
        <f>IF(COPY!H844&gt;0,COPY!H844,"")</f>
        <v/>
      </c>
      <c r="H846" s="85" t="str">
        <f>IF(COPY!I844&gt;0,COPY!I844,"")</f>
        <v/>
      </c>
      <c r="I846" s="85" t="str">
        <f>IF(COPY!M844&gt;0,COPY!M844,"")</f>
        <v/>
      </c>
      <c r="J846" s="85" t="str">
        <f>IF(COPY!N844&gt;0,COPY!N844,"")</f>
        <v/>
      </c>
      <c r="K846" s="86" t="str">
        <f>IF(N846=0,(IF(LEFT(Table13[[#This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Row],[URAIAN]],$U$194:$V$210,2,FALSE),""),""),0))))),N846)</f>
        <v/>
      </c>
      <c r="L846" s="85" t="str">
        <f>IF(Table13[[#This Row],[Column2]]="KWITANSI",COUNTIF($K$4:K846,"KWITANSI")," ")</f>
        <v xml:space="preserve"> </v>
      </c>
      <c r="M846" s="85" t="str">
        <f>IF(Table13[[#This Row],[Column3]]=" "," ",Table13[[#This Row],[CODE]])</f>
        <v xml:space="preserve"> </v>
      </c>
      <c r="N846" s="368"/>
      <c r="P846" s="81" t="str">
        <f t="shared" si="13"/>
        <v/>
      </c>
    </row>
    <row r="847" spans="1:16" hidden="1" x14ac:dyDescent="0.15">
      <c r="A847" s="81" t="str">
        <f>COPY!O845</f>
        <v/>
      </c>
      <c r="B847" s="81" t="str">
        <f>COPY!C845</f>
        <v/>
      </c>
      <c r="C847" s="82" t="str">
        <f>COPY!D845</f>
        <v/>
      </c>
      <c r="D847" s="81" t="str">
        <f>IF(Table13[[#This Row],[JUMLAH]]&gt;1,(IF(Table13[[#This Row],[CODE]]=" ",D846&amp;"a",IF(Table13[[#This Row],[CODE]]&gt;0,Table13[[#This Row],[CODE]],0))),"")</f>
        <v/>
      </c>
      <c r="E847" s="81" t="str">
        <f>IF(COPY!G845&gt;0,COPY!G845,"")</f>
        <v/>
      </c>
      <c r="F847" s="88" t="str">
        <f>IF(COPY!J845&gt;0,COPY!J845,"")</f>
        <v/>
      </c>
      <c r="G847" s="85" t="str">
        <f>IF(COPY!H845&gt;0,COPY!H845,"")</f>
        <v/>
      </c>
      <c r="H847" s="85" t="str">
        <f>IF(COPY!I845&gt;0,COPY!I845,"")</f>
        <v/>
      </c>
      <c r="I847" s="85" t="str">
        <f>IF(COPY!M845&gt;0,COPY!M845,"")</f>
        <v/>
      </c>
      <c r="J847" s="85" t="str">
        <f>IF(COPY!N845&gt;0,COPY!N845,"")</f>
        <v/>
      </c>
      <c r="K847" s="86" t="str">
        <f>IF(N847=0,(IF(LEFT(Table13[[#This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Row],[URAIAN]],$U$194:$V$210,2,FALSE),""),""),0))))),N847)</f>
        <v/>
      </c>
      <c r="L847" s="85" t="str">
        <f>IF(Table13[[#This Row],[Column2]]="KWITANSI",COUNTIF($K$4:K847,"KWITANSI")," ")</f>
        <v xml:space="preserve"> </v>
      </c>
      <c r="M847" s="85" t="str">
        <f>IF(Table13[[#This Row],[Column3]]=" "," ",Table13[[#This Row],[CODE]])</f>
        <v xml:space="preserve"> </v>
      </c>
      <c r="N847" s="368"/>
      <c r="P847" s="81" t="str">
        <f t="shared" si="13"/>
        <v/>
      </c>
    </row>
    <row r="848" spans="1:16" hidden="1" x14ac:dyDescent="0.15">
      <c r="A848" s="81" t="str">
        <f>COPY!O846</f>
        <v/>
      </c>
      <c r="B848" s="81" t="str">
        <f>COPY!C846</f>
        <v/>
      </c>
      <c r="C848" s="82" t="str">
        <f>COPY!D846</f>
        <v/>
      </c>
      <c r="D848" s="81" t="str">
        <f>IF(Table13[[#This Row],[JUMLAH]]&gt;1,(IF(Table13[[#This Row],[CODE]]=" ",D847&amp;"a",IF(Table13[[#This Row],[CODE]]&gt;0,Table13[[#This Row],[CODE]],0))),"")</f>
        <v/>
      </c>
      <c r="E848" s="81" t="str">
        <f>IF(COPY!G846&gt;0,COPY!G846,"")</f>
        <v/>
      </c>
      <c r="F848" s="88" t="str">
        <f>IF(COPY!J846&gt;0,COPY!J846,"")</f>
        <v/>
      </c>
      <c r="G848" s="85" t="str">
        <f>IF(COPY!H846&gt;0,COPY!H846,"")</f>
        <v/>
      </c>
      <c r="H848" s="85" t="str">
        <f>IF(COPY!I846&gt;0,COPY!I846,"")</f>
        <v/>
      </c>
      <c r="I848" s="85" t="str">
        <f>IF(COPY!M846&gt;0,COPY!M846,"")</f>
        <v/>
      </c>
      <c r="J848" s="85" t="str">
        <f>IF(COPY!N846&gt;0,COPY!N846,"")</f>
        <v/>
      </c>
      <c r="K848" s="86" t="str">
        <f>IF(N848=0,(IF(LEFT(Table13[[#This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Row],[URAIAN]],$U$194:$V$210,2,FALSE),""),""),0))))),N848)</f>
        <v/>
      </c>
      <c r="L848" s="85" t="str">
        <f>IF(Table13[[#This Row],[Column2]]="KWITANSI",COUNTIF($K$4:K848,"KWITANSI")," ")</f>
        <v xml:space="preserve"> </v>
      </c>
      <c r="M848" s="85" t="str">
        <f>IF(Table13[[#This Row],[Column3]]=" "," ",Table13[[#This Row],[CODE]])</f>
        <v xml:space="preserve"> </v>
      </c>
      <c r="N848" s="368"/>
      <c r="P848" s="81" t="str">
        <f t="shared" si="13"/>
        <v/>
      </c>
    </row>
    <row r="849" spans="1:16" hidden="1" x14ac:dyDescent="0.15">
      <c r="A849" s="81" t="str">
        <f>COPY!O847</f>
        <v/>
      </c>
      <c r="B849" s="81" t="str">
        <f>COPY!C847</f>
        <v/>
      </c>
      <c r="C849" s="82" t="str">
        <f>COPY!D847</f>
        <v/>
      </c>
      <c r="D849" s="81" t="str">
        <f>IF(Table13[[#This Row],[JUMLAH]]&gt;1,(IF(Table13[[#This Row],[CODE]]=" ",D848&amp;"a",IF(Table13[[#This Row],[CODE]]&gt;0,Table13[[#This Row],[CODE]],0))),"")</f>
        <v/>
      </c>
      <c r="E849" s="81" t="str">
        <f>IF(COPY!G847&gt;0,COPY!G847,"")</f>
        <v/>
      </c>
      <c r="F849" s="88" t="str">
        <f>IF(COPY!J847&gt;0,COPY!J847,"")</f>
        <v/>
      </c>
      <c r="G849" s="85" t="str">
        <f>IF(COPY!H847&gt;0,COPY!H847,"")</f>
        <v/>
      </c>
      <c r="H849" s="85" t="str">
        <f>IF(COPY!I847&gt;0,COPY!I847,"")</f>
        <v/>
      </c>
      <c r="I849" s="85" t="str">
        <f>IF(COPY!M847&gt;0,COPY!M847,"")</f>
        <v/>
      </c>
      <c r="J849" s="85" t="str">
        <f>IF(COPY!N847&gt;0,COPY!N847,"")</f>
        <v/>
      </c>
      <c r="K849" s="86" t="str">
        <f>IF(N849=0,(IF(LEFT(Table13[[#This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Row],[URAIAN]],$U$194:$V$210,2,FALSE),""),""),0))))),N849)</f>
        <v/>
      </c>
      <c r="L849" s="85" t="str">
        <f>IF(Table13[[#This Row],[Column2]]="KWITANSI",COUNTIF($K$4:K849,"KWITANSI")," ")</f>
        <v xml:space="preserve"> </v>
      </c>
      <c r="M849" s="85" t="str">
        <f>IF(Table13[[#This Row],[Column3]]=" "," ",Table13[[#This Row],[CODE]])</f>
        <v xml:space="preserve"> </v>
      </c>
      <c r="N849" s="368"/>
      <c r="P849" s="81" t="str">
        <f t="shared" si="13"/>
        <v/>
      </c>
    </row>
    <row r="850" spans="1:16" hidden="1" x14ac:dyDescent="0.15">
      <c r="A850" s="81" t="str">
        <f>COPY!O848</f>
        <v/>
      </c>
      <c r="B850" s="81" t="str">
        <f>COPY!C848</f>
        <v/>
      </c>
      <c r="C850" s="82" t="str">
        <f>COPY!D848</f>
        <v/>
      </c>
      <c r="D850" s="81" t="str">
        <f>IF(Table13[[#This Row],[JUMLAH]]&gt;1,(IF(Table13[[#This Row],[CODE]]=" ",D849&amp;"a",IF(Table13[[#This Row],[CODE]]&gt;0,Table13[[#This Row],[CODE]],0))),"")</f>
        <v/>
      </c>
      <c r="E850" s="81" t="str">
        <f>IF(COPY!G848&gt;0,COPY!G848,"")</f>
        <v/>
      </c>
      <c r="F850" s="88" t="str">
        <f>IF(COPY!J848&gt;0,COPY!J848,"")</f>
        <v/>
      </c>
      <c r="G850" s="85" t="str">
        <f>IF(COPY!H848&gt;0,COPY!H848,"")</f>
        <v/>
      </c>
      <c r="H850" s="85" t="str">
        <f>IF(COPY!I848&gt;0,COPY!I848,"")</f>
        <v/>
      </c>
      <c r="I850" s="85" t="str">
        <f>IF(COPY!M848&gt;0,COPY!M848,"")</f>
        <v/>
      </c>
      <c r="J850" s="85" t="str">
        <f>IF(COPY!N848&gt;0,COPY!N848,"")</f>
        <v/>
      </c>
      <c r="K850" s="86" t="str">
        <f>IF(N850=0,(IF(LEFT(Table13[[#This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Row],[URAIAN]],$U$194:$V$210,2,FALSE),""),""),0))))),N850)</f>
        <v/>
      </c>
      <c r="L850" s="85" t="str">
        <f>IF(Table13[[#This Row],[Column2]]="KWITANSI",COUNTIF($K$4:K850,"KWITANSI")," ")</f>
        <v xml:space="preserve"> </v>
      </c>
      <c r="M850" s="85" t="str">
        <f>IF(Table13[[#This Row],[Column3]]=" "," ",Table13[[#This Row],[CODE]])</f>
        <v xml:space="preserve"> </v>
      </c>
      <c r="N850" s="368"/>
      <c r="P850" s="81" t="str">
        <f t="shared" si="13"/>
        <v/>
      </c>
    </row>
    <row r="851" spans="1:16" hidden="1" x14ac:dyDescent="0.15">
      <c r="A851" s="81" t="str">
        <f>COPY!O849</f>
        <v/>
      </c>
      <c r="B851" s="81" t="str">
        <f>COPY!C849</f>
        <v/>
      </c>
      <c r="C851" s="82" t="str">
        <f>COPY!D849</f>
        <v/>
      </c>
      <c r="D851" s="81" t="str">
        <f>IF(Table13[[#This Row],[JUMLAH]]&gt;1,(IF(Table13[[#This Row],[CODE]]=" ",D850&amp;"a",IF(Table13[[#This Row],[CODE]]&gt;0,Table13[[#This Row],[CODE]],0))),"")</f>
        <v/>
      </c>
      <c r="E851" s="81" t="str">
        <f>IF(COPY!G849&gt;0,COPY!G849,"")</f>
        <v/>
      </c>
      <c r="F851" s="88" t="str">
        <f>IF(COPY!J849&gt;0,COPY!J849,"")</f>
        <v/>
      </c>
      <c r="G851" s="85" t="str">
        <f>IF(COPY!H849&gt;0,COPY!H849,"")</f>
        <v/>
      </c>
      <c r="H851" s="85" t="str">
        <f>IF(COPY!I849&gt;0,COPY!I849,"")</f>
        <v/>
      </c>
      <c r="I851" s="85" t="str">
        <f>IF(COPY!M849&gt;0,COPY!M849,"")</f>
        <v/>
      </c>
      <c r="J851" s="85" t="str">
        <f>IF(COPY!N849&gt;0,COPY!N849,"")</f>
        <v/>
      </c>
      <c r="K851" s="86" t="str">
        <f>IF(N851=0,(IF(LEFT(Table13[[#This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Row],[URAIAN]],$U$194:$V$210,2,FALSE),""),""),0))))),N851)</f>
        <v/>
      </c>
      <c r="L851" s="85" t="str">
        <f>IF(Table13[[#This Row],[Column2]]="KWITANSI",COUNTIF($K$4:K851,"KWITANSI")," ")</f>
        <v xml:space="preserve"> </v>
      </c>
      <c r="M851" s="85" t="str">
        <f>IF(Table13[[#This Row],[Column3]]=" "," ",Table13[[#This Row],[CODE]])</f>
        <v xml:space="preserve"> </v>
      </c>
      <c r="N851" s="368"/>
      <c r="P851" s="81" t="str">
        <f t="shared" si="13"/>
        <v/>
      </c>
    </row>
    <row r="852" spans="1:16" hidden="1" x14ac:dyDescent="0.15">
      <c r="A852" s="81" t="str">
        <f>COPY!O850</f>
        <v/>
      </c>
      <c r="B852" s="81" t="str">
        <f>COPY!C850</f>
        <v/>
      </c>
      <c r="C852" s="82" t="str">
        <f>COPY!D850</f>
        <v/>
      </c>
      <c r="D852" s="81" t="str">
        <f>IF(Table13[[#This Row],[JUMLAH]]&gt;1,(IF(Table13[[#This Row],[CODE]]=" ",D851&amp;"a",IF(Table13[[#This Row],[CODE]]&gt;0,Table13[[#This Row],[CODE]],0))),"")</f>
        <v/>
      </c>
      <c r="E852" s="81" t="str">
        <f>IF(COPY!G850&gt;0,COPY!G850,"")</f>
        <v/>
      </c>
      <c r="F852" s="88" t="str">
        <f>IF(COPY!J850&gt;0,COPY!J850,"")</f>
        <v/>
      </c>
      <c r="G852" s="85" t="str">
        <f>IF(COPY!H850&gt;0,COPY!H850,"")</f>
        <v/>
      </c>
      <c r="H852" s="85" t="str">
        <f>IF(COPY!I850&gt;0,COPY!I850,"")</f>
        <v/>
      </c>
      <c r="I852" s="85" t="str">
        <f>IF(COPY!M850&gt;0,COPY!M850,"")</f>
        <v/>
      </c>
      <c r="J852" s="85" t="str">
        <f>IF(COPY!N850&gt;0,COPY!N850,"")</f>
        <v/>
      </c>
      <c r="K852" s="86" t="str">
        <f>IF(N852=0,(IF(LEFT(Table13[[#This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Row],[URAIAN]],$U$194:$V$210,2,FALSE),""),""),0))))),N852)</f>
        <v/>
      </c>
      <c r="L852" s="85" t="str">
        <f>IF(Table13[[#This Row],[Column2]]="KWITANSI",COUNTIF($K$4:K852,"KWITANSI")," ")</f>
        <v xml:space="preserve"> </v>
      </c>
      <c r="M852" s="85" t="str">
        <f>IF(Table13[[#This Row],[Column3]]=" "," ",Table13[[#This Row],[CODE]])</f>
        <v xml:space="preserve"> </v>
      </c>
      <c r="N852" s="368"/>
      <c r="P852" s="81" t="str">
        <f t="shared" si="13"/>
        <v/>
      </c>
    </row>
    <row r="853" spans="1:16" hidden="1" x14ac:dyDescent="0.15">
      <c r="A853" s="81" t="str">
        <f>COPY!O851</f>
        <v/>
      </c>
      <c r="B853" s="81" t="str">
        <f>COPY!C851</f>
        <v/>
      </c>
      <c r="C853" s="82" t="str">
        <f>COPY!D851</f>
        <v/>
      </c>
      <c r="D853" s="81" t="str">
        <f>IF(Table13[[#This Row],[JUMLAH]]&gt;1,(IF(Table13[[#This Row],[CODE]]=" ",D852&amp;"a",IF(Table13[[#This Row],[CODE]]&gt;0,Table13[[#This Row],[CODE]],0))),"")</f>
        <v/>
      </c>
      <c r="E853" s="81" t="str">
        <f>IF(COPY!G851&gt;0,COPY!G851,"")</f>
        <v/>
      </c>
      <c r="F853" s="88" t="str">
        <f>IF(COPY!J851&gt;0,COPY!J851,"")</f>
        <v/>
      </c>
      <c r="G853" s="85" t="str">
        <f>IF(COPY!H851&gt;0,COPY!H851,"")</f>
        <v/>
      </c>
      <c r="H853" s="85" t="str">
        <f>IF(COPY!I851&gt;0,COPY!I851,"")</f>
        <v/>
      </c>
      <c r="I853" s="85" t="str">
        <f>IF(COPY!M851&gt;0,COPY!M851,"")</f>
        <v/>
      </c>
      <c r="J853" s="85" t="str">
        <f>IF(COPY!N851&gt;0,COPY!N851,"")</f>
        <v/>
      </c>
      <c r="K853" s="86" t="str">
        <f>IF(N853=0,(IF(LEFT(Table13[[#This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Row],[URAIAN]],$U$194:$V$210,2,FALSE),""),""),0))))),N853)</f>
        <v/>
      </c>
      <c r="L853" s="85" t="str">
        <f>IF(Table13[[#This Row],[Column2]]="KWITANSI",COUNTIF($K$4:K853,"KWITANSI")," ")</f>
        <v xml:space="preserve"> </v>
      </c>
      <c r="M853" s="85" t="str">
        <f>IF(Table13[[#This Row],[Column3]]=" "," ",Table13[[#This Row],[CODE]])</f>
        <v xml:space="preserve"> </v>
      </c>
      <c r="N853" s="368"/>
      <c r="P853" s="81" t="str">
        <f t="shared" si="13"/>
        <v/>
      </c>
    </row>
    <row r="854" spans="1:16" hidden="1" x14ac:dyDescent="0.15">
      <c r="A854" s="81" t="str">
        <f>COPY!O852</f>
        <v/>
      </c>
      <c r="B854" s="81" t="str">
        <f>COPY!C852</f>
        <v/>
      </c>
      <c r="C854" s="82" t="str">
        <f>COPY!D852</f>
        <v/>
      </c>
      <c r="D854" s="81" t="str">
        <f>IF(Table13[[#This Row],[JUMLAH]]&gt;1,(IF(Table13[[#This Row],[CODE]]=" ",D853&amp;"a",IF(Table13[[#This Row],[CODE]]&gt;0,Table13[[#This Row],[CODE]],0))),"")</f>
        <v/>
      </c>
      <c r="E854" s="81" t="str">
        <f>IF(COPY!G852&gt;0,COPY!G852,"")</f>
        <v/>
      </c>
      <c r="F854" s="88" t="str">
        <f>IF(COPY!J852&gt;0,COPY!J852,"")</f>
        <v/>
      </c>
      <c r="G854" s="85" t="str">
        <f>IF(COPY!H852&gt;0,COPY!H852,"")</f>
        <v/>
      </c>
      <c r="H854" s="85" t="str">
        <f>IF(COPY!I852&gt;0,COPY!I852,"")</f>
        <v/>
      </c>
      <c r="I854" s="85" t="str">
        <f>IF(COPY!M852&gt;0,COPY!M852,"")</f>
        <v/>
      </c>
      <c r="J854" s="85" t="str">
        <f>IF(COPY!N852&gt;0,COPY!N852,"")</f>
        <v/>
      </c>
      <c r="K854" s="86" t="str">
        <f>IF(N854=0,(IF(LEFT(Table13[[#This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Row],[URAIAN]],$U$194:$V$210,2,FALSE),""),""),0))))),N854)</f>
        <v/>
      </c>
      <c r="L854" s="85" t="str">
        <f>IF(Table13[[#This Row],[Column2]]="KWITANSI",COUNTIF($K$4:K854,"KWITANSI")," ")</f>
        <v xml:space="preserve"> </v>
      </c>
      <c r="M854" s="85" t="str">
        <f>IF(Table13[[#This Row],[Column3]]=" "," ",Table13[[#This Row],[CODE]])</f>
        <v xml:space="preserve"> </v>
      </c>
      <c r="N854" s="368"/>
      <c r="P854" s="81" t="str">
        <f t="shared" si="13"/>
        <v/>
      </c>
    </row>
    <row r="855" spans="1:16" hidden="1" x14ac:dyDescent="0.15">
      <c r="A855" s="81" t="str">
        <f>COPY!O853</f>
        <v/>
      </c>
      <c r="B855" s="81" t="str">
        <f>COPY!C853</f>
        <v/>
      </c>
      <c r="C855" s="82" t="str">
        <f>COPY!D853</f>
        <v/>
      </c>
      <c r="D855" s="81" t="str">
        <f>IF(Table13[[#This Row],[JUMLAH]]&gt;1,(IF(Table13[[#This Row],[CODE]]=" ",D854&amp;"a",IF(Table13[[#This Row],[CODE]]&gt;0,Table13[[#This Row],[CODE]],0))),"")</f>
        <v/>
      </c>
      <c r="E855" s="81" t="str">
        <f>IF(COPY!G853&gt;0,COPY!G853,"")</f>
        <v/>
      </c>
      <c r="F855" s="88" t="str">
        <f>IF(COPY!J853&gt;0,COPY!J853,"")</f>
        <v/>
      </c>
      <c r="G855" s="85" t="str">
        <f>IF(COPY!H853&gt;0,COPY!H853,"")</f>
        <v/>
      </c>
      <c r="H855" s="85" t="str">
        <f>IF(COPY!I853&gt;0,COPY!I853,"")</f>
        <v/>
      </c>
      <c r="I855" s="85" t="str">
        <f>IF(COPY!M853&gt;0,COPY!M853,"")</f>
        <v/>
      </c>
      <c r="J855" s="85" t="str">
        <f>IF(COPY!N853&gt;0,COPY!N853,"")</f>
        <v/>
      </c>
      <c r="K855" s="86" t="str">
        <f>IF(N855=0,(IF(LEFT(Table13[[#This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Row],[URAIAN]],$U$194:$V$210,2,FALSE),""),""),0))))),N855)</f>
        <v/>
      </c>
      <c r="L855" s="85" t="str">
        <f>IF(Table13[[#This Row],[Column2]]="KWITANSI",COUNTIF($K$4:K855,"KWITANSI")," ")</f>
        <v xml:space="preserve"> </v>
      </c>
      <c r="M855" s="85" t="str">
        <f>IF(Table13[[#This Row],[Column3]]=" "," ",Table13[[#This Row],[CODE]])</f>
        <v xml:space="preserve"> </v>
      </c>
      <c r="N855" s="368"/>
      <c r="P855" s="81" t="str">
        <f t="shared" si="13"/>
        <v/>
      </c>
    </row>
    <row r="856" spans="1:16" hidden="1" x14ac:dyDescent="0.15">
      <c r="A856" s="81" t="str">
        <f>COPY!O854</f>
        <v/>
      </c>
      <c r="B856" s="81" t="str">
        <f>COPY!C854</f>
        <v/>
      </c>
      <c r="C856" s="82" t="str">
        <f>COPY!D854</f>
        <v/>
      </c>
      <c r="D856" s="81" t="str">
        <f>IF(Table13[[#This Row],[JUMLAH]]&gt;1,(IF(Table13[[#This Row],[CODE]]=" ",D855&amp;"a",IF(Table13[[#This Row],[CODE]]&gt;0,Table13[[#This Row],[CODE]],0))),"")</f>
        <v/>
      </c>
      <c r="E856" s="81" t="str">
        <f>IF(COPY!G854&gt;0,COPY!G854,"")</f>
        <v/>
      </c>
      <c r="F856" s="88" t="str">
        <f>IF(COPY!J854&gt;0,COPY!J854,"")</f>
        <v/>
      </c>
      <c r="G856" s="85" t="str">
        <f>IF(COPY!H854&gt;0,COPY!H854,"")</f>
        <v/>
      </c>
      <c r="H856" s="85" t="str">
        <f>IF(COPY!I854&gt;0,COPY!I854,"")</f>
        <v/>
      </c>
      <c r="I856" s="85" t="str">
        <f>IF(COPY!M854&gt;0,COPY!M854,"")</f>
        <v/>
      </c>
      <c r="J856" s="85" t="str">
        <f>IF(COPY!N854&gt;0,COPY!N854,"")</f>
        <v/>
      </c>
      <c r="K856" s="86" t="str">
        <f>IF(N856=0,(IF(LEFT(Table13[[#This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Row],[URAIAN]],$U$194:$V$210,2,FALSE),""),""),0))))),N856)</f>
        <v/>
      </c>
      <c r="L856" s="85" t="str">
        <f>IF(Table13[[#This Row],[Column2]]="KWITANSI",COUNTIF($K$4:K856,"KWITANSI")," ")</f>
        <v xml:space="preserve"> </v>
      </c>
      <c r="M856" s="85" t="str">
        <f>IF(Table13[[#This Row],[Column3]]=" "," ",Table13[[#This Row],[CODE]])</f>
        <v xml:space="preserve"> </v>
      </c>
      <c r="N856" s="368"/>
      <c r="P856" s="81" t="str">
        <f t="shared" si="13"/>
        <v/>
      </c>
    </row>
    <row r="857" spans="1:16" hidden="1" x14ac:dyDescent="0.15">
      <c r="A857" s="81" t="str">
        <f>COPY!O855</f>
        <v/>
      </c>
      <c r="B857" s="81" t="str">
        <f>COPY!C855</f>
        <v/>
      </c>
      <c r="C857" s="82" t="str">
        <f>COPY!D855</f>
        <v/>
      </c>
      <c r="D857" s="81" t="str">
        <f>IF(Table13[[#This Row],[JUMLAH]]&gt;1,(IF(Table13[[#This Row],[CODE]]=" ",D856&amp;"a",IF(Table13[[#This Row],[CODE]]&gt;0,Table13[[#This Row],[CODE]],0))),"")</f>
        <v/>
      </c>
      <c r="E857" s="81" t="str">
        <f>IF(COPY!G855&gt;0,COPY!G855,"")</f>
        <v/>
      </c>
      <c r="F857" s="88" t="str">
        <f>IF(COPY!J855&gt;0,COPY!J855,"")</f>
        <v/>
      </c>
      <c r="G857" s="85" t="str">
        <f>IF(COPY!H855&gt;0,COPY!H855,"")</f>
        <v/>
      </c>
      <c r="H857" s="85" t="str">
        <f>IF(COPY!I855&gt;0,COPY!I855,"")</f>
        <v/>
      </c>
      <c r="I857" s="85" t="str">
        <f>IF(COPY!M855&gt;0,COPY!M855,"")</f>
        <v/>
      </c>
      <c r="J857" s="85" t="str">
        <f>IF(COPY!N855&gt;0,COPY!N855,"")</f>
        <v/>
      </c>
      <c r="K857" s="86" t="str">
        <f>IF(N857=0,(IF(LEFT(Table13[[#This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Row],[URAIAN]],$U$194:$V$210,2,FALSE),""),""),0))))),N857)</f>
        <v/>
      </c>
      <c r="L857" s="85" t="str">
        <f>IF(Table13[[#This Row],[Column2]]="KWITANSI",COUNTIF($K$4:K857,"KWITANSI")," ")</f>
        <v xml:space="preserve"> </v>
      </c>
      <c r="M857" s="85" t="str">
        <f>IF(Table13[[#This Row],[Column3]]=" "," ",Table13[[#This Row],[CODE]])</f>
        <v xml:space="preserve"> </v>
      </c>
      <c r="N857" s="368"/>
      <c r="P857" s="81" t="str">
        <f t="shared" si="13"/>
        <v/>
      </c>
    </row>
    <row r="858" spans="1:16" hidden="1" x14ac:dyDescent="0.15">
      <c r="A858" s="81" t="str">
        <f>COPY!O856</f>
        <v/>
      </c>
      <c r="B858" s="81" t="str">
        <f>COPY!C856</f>
        <v/>
      </c>
      <c r="C858" s="82" t="str">
        <f>COPY!D856</f>
        <v/>
      </c>
      <c r="D858" s="81" t="str">
        <f>IF(Table13[[#This Row],[JUMLAH]]&gt;1,(IF(Table13[[#This Row],[CODE]]=" ",D857&amp;"a",IF(Table13[[#This Row],[CODE]]&gt;0,Table13[[#This Row],[CODE]],0))),"")</f>
        <v/>
      </c>
      <c r="E858" s="81" t="str">
        <f>IF(COPY!G856&gt;0,COPY!G856,"")</f>
        <v/>
      </c>
      <c r="F858" s="88" t="str">
        <f>IF(COPY!J856&gt;0,COPY!J856,"")</f>
        <v/>
      </c>
      <c r="G858" s="85" t="str">
        <f>IF(COPY!H856&gt;0,COPY!H856,"")</f>
        <v/>
      </c>
      <c r="H858" s="85" t="str">
        <f>IF(COPY!I856&gt;0,COPY!I856,"")</f>
        <v/>
      </c>
      <c r="I858" s="85" t="str">
        <f>IF(COPY!M856&gt;0,COPY!M856,"")</f>
        <v/>
      </c>
      <c r="J858" s="85" t="str">
        <f>IF(COPY!N856&gt;0,COPY!N856,"")</f>
        <v/>
      </c>
      <c r="K858" s="86" t="str">
        <f>IF(N858=0,(IF(LEFT(Table13[[#This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Row],[URAIAN]],$U$194:$V$210,2,FALSE),""),""),0))))),N858)</f>
        <v/>
      </c>
      <c r="L858" s="85" t="str">
        <f>IF(Table13[[#This Row],[Column2]]="KWITANSI",COUNTIF($K$4:K858,"KWITANSI")," ")</f>
        <v xml:space="preserve"> </v>
      </c>
      <c r="M858" s="85" t="str">
        <f>IF(Table13[[#This Row],[Column3]]=" "," ",Table13[[#This Row],[CODE]])</f>
        <v xml:space="preserve"> </v>
      </c>
      <c r="N858" s="368"/>
      <c r="P858" s="81" t="str">
        <f t="shared" si="13"/>
        <v/>
      </c>
    </row>
    <row r="859" spans="1:16" hidden="1" x14ac:dyDescent="0.15">
      <c r="A859" s="81" t="str">
        <f>COPY!O857</f>
        <v/>
      </c>
      <c r="B859" s="81" t="str">
        <f>COPY!C857</f>
        <v/>
      </c>
      <c r="C859" s="82" t="str">
        <f>COPY!D857</f>
        <v/>
      </c>
      <c r="D859" s="81" t="str">
        <f>IF(Table13[[#This Row],[JUMLAH]]&gt;1,(IF(Table13[[#This Row],[CODE]]=" ",D858&amp;"a",IF(Table13[[#This Row],[CODE]]&gt;0,Table13[[#This Row],[CODE]],0))),"")</f>
        <v/>
      </c>
      <c r="E859" s="81" t="str">
        <f>IF(COPY!G857&gt;0,COPY!G857,"")</f>
        <v/>
      </c>
      <c r="F859" s="88" t="str">
        <f>IF(COPY!J857&gt;0,COPY!J857,"")</f>
        <v/>
      </c>
      <c r="G859" s="85" t="str">
        <f>IF(COPY!H857&gt;0,COPY!H857,"")</f>
        <v/>
      </c>
      <c r="H859" s="85" t="str">
        <f>IF(COPY!I857&gt;0,COPY!I857,"")</f>
        <v/>
      </c>
      <c r="I859" s="85" t="str">
        <f>IF(COPY!M857&gt;0,COPY!M857,"")</f>
        <v/>
      </c>
      <c r="J859" s="85" t="str">
        <f>IF(COPY!N857&gt;0,COPY!N857,"")</f>
        <v/>
      </c>
      <c r="K859" s="86" t="str">
        <f>IF(N859=0,(IF(LEFT(Table13[[#This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Row],[URAIAN]],$U$194:$V$210,2,FALSE),""),""),0))))),N859)</f>
        <v/>
      </c>
      <c r="L859" s="85" t="str">
        <f>IF(Table13[[#This Row],[Column2]]="KWITANSI",COUNTIF($K$4:K859,"KWITANSI")," ")</f>
        <v xml:space="preserve"> </v>
      </c>
      <c r="M859" s="85" t="str">
        <f>IF(Table13[[#This Row],[Column3]]=" "," ",Table13[[#This Row],[CODE]])</f>
        <v xml:space="preserve"> </v>
      </c>
      <c r="N859" s="368"/>
      <c r="P859" s="81" t="str">
        <f t="shared" si="13"/>
        <v/>
      </c>
    </row>
    <row r="860" spans="1:16" hidden="1" x14ac:dyDescent="0.15">
      <c r="A860" s="81" t="str">
        <f>COPY!O858</f>
        <v/>
      </c>
      <c r="B860" s="81" t="str">
        <f>COPY!C858</f>
        <v/>
      </c>
      <c r="C860" s="82" t="str">
        <f>COPY!D858</f>
        <v/>
      </c>
      <c r="D860" s="81" t="str">
        <f>IF(Table13[[#This Row],[JUMLAH]]&gt;1,(IF(Table13[[#This Row],[CODE]]=" ",D859&amp;"a",IF(Table13[[#This Row],[CODE]]&gt;0,Table13[[#This Row],[CODE]],0))),"")</f>
        <v/>
      </c>
      <c r="E860" s="81" t="str">
        <f>IF(COPY!G858&gt;0,COPY!G858,"")</f>
        <v/>
      </c>
      <c r="F860" s="88" t="str">
        <f>IF(COPY!J858&gt;0,COPY!J858,"")</f>
        <v/>
      </c>
      <c r="G860" s="85" t="str">
        <f>IF(COPY!H858&gt;0,COPY!H858,"")</f>
        <v/>
      </c>
      <c r="H860" s="85" t="str">
        <f>IF(COPY!I858&gt;0,COPY!I858,"")</f>
        <v/>
      </c>
      <c r="I860" s="85" t="str">
        <f>IF(COPY!M858&gt;0,COPY!M858,"")</f>
        <v/>
      </c>
      <c r="J860" s="85" t="str">
        <f>IF(COPY!N858&gt;0,COPY!N858,"")</f>
        <v/>
      </c>
      <c r="K860" s="86" t="str">
        <f>IF(N860=0,(IF(LEFT(Table13[[#This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Row],[URAIAN]],$U$194:$V$210,2,FALSE),""),""),0))))),N860)</f>
        <v/>
      </c>
      <c r="L860" s="85" t="str">
        <f>IF(Table13[[#This Row],[Column2]]="KWITANSI",COUNTIF($K$4:K860,"KWITANSI")," ")</f>
        <v xml:space="preserve"> </v>
      </c>
      <c r="M860" s="85" t="str">
        <f>IF(Table13[[#This Row],[Column3]]=" "," ",Table13[[#This Row],[CODE]])</f>
        <v xml:space="preserve"> </v>
      </c>
      <c r="N860" s="368"/>
      <c r="P860" s="81" t="str">
        <f t="shared" si="13"/>
        <v/>
      </c>
    </row>
    <row r="861" spans="1:16" hidden="1" x14ac:dyDescent="0.15">
      <c r="A861" s="81" t="str">
        <f>COPY!O859</f>
        <v/>
      </c>
      <c r="B861" s="81" t="str">
        <f>COPY!C859</f>
        <v/>
      </c>
      <c r="C861" s="82" t="str">
        <f>COPY!D859</f>
        <v/>
      </c>
      <c r="D861" s="81" t="str">
        <f>IF(Table13[[#This Row],[JUMLAH]]&gt;1,(IF(Table13[[#This Row],[CODE]]=" ",D860&amp;"a",IF(Table13[[#This Row],[CODE]]&gt;0,Table13[[#This Row],[CODE]],0))),"")</f>
        <v/>
      </c>
      <c r="E861" s="81" t="str">
        <f>IF(COPY!G859&gt;0,COPY!G859,"")</f>
        <v/>
      </c>
      <c r="F861" s="88" t="str">
        <f>IF(COPY!J859&gt;0,COPY!J859,"")</f>
        <v/>
      </c>
      <c r="G861" s="85" t="str">
        <f>IF(COPY!H859&gt;0,COPY!H859,"")</f>
        <v/>
      </c>
      <c r="H861" s="85" t="str">
        <f>IF(COPY!I859&gt;0,COPY!I859,"")</f>
        <v/>
      </c>
      <c r="I861" s="85" t="str">
        <f>IF(COPY!M859&gt;0,COPY!M859,"")</f>
        <v/>
      </c>
      <c r="J861" s="85" t="str">
        <f>IF(COPY!N859&gt;0,COPY!N859,"")</f>
        <v/>
      </c>
      <c r="K861" s="86" t="str">
        <f>IF(N861=0,(IF(LEFT(Table13[[#This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Row],[URAIAN]],$U$194:$V$210,2,FALSE),""),""),0))))),N861)</f>
        <v/>
      </c>
      <c r="L861" s="85" t="str">
        <f>IF(Table13[[#This Row],[Column2]]="KWITANSI",COUNTIF($K$4:K861,"KWITANSI")," ")</f>
        <v xml:space="preserve"> </v>
      </c>
      <c r="M861" s="85" t="str">
        <f>IF(Table13[[#This Row],[Column3]]=" "," ",Table13[[#This Row],[CODE]])</f>
        <v xml:space="preserve"> </v>
      </c>
      <c r="N861" s="368"/>
      <c r="P861" s="81" t="str">
        <f t="shared" si="13"/>
        <v/>
      </c>
    </row>
    <row r="862" spans="1:16" hidden="1" x14ac:dyDescent="0.15">
      <c r="A862" s="81" t="str">
        <f>COPY!O860</f>
        <v/>
      </c>
      <c r="B862" s="81" t="str">
        <f>COPY!C860</f>
        <v/>
      </c>
      <c r="C862" s="82" t="str">
        <f>COPY!D860</f>
        <v/>
      </c>
      <c r="D862" s="81" t="str">
        <f>IF(Table13[[#This Row],[JUMLAH]]&gt;1,(IF(Table13[[#This Row],[CODE]]=" ",D861&amp;"a",IF(Table13[[#This Row],[CODE]]&gt;0,Table13[[#This Row],[CODE]],0))),"")</f>
        <v/>
      </c>
      <c r="E862" s="81" t="str">
        <f>IF(COPY!G860&gt;0,COPY!G860,"")</f>
        <v/>
      </c>
      <c r="F862" s="88" t="str">
        <f>IF(COPY!J860&gt;0,COPY!J860,"")</f>
        <v/>
      </c>
      <c r="G862" s="85" t="str">
        <f>IF(COPY!H860&gt;0,COPY!H860,"")</f>
        <v/>
      </c>
      <c r="H862" s="85" t="str">
        <f>IF(COPY!I860&gt;0,COPY!I860,"")</f>
        <v/>
      </c>
      <c r="I862" s="85" t="str">
        <f>IF(COPY!M860&gt;0,COPY!M860,"")</f>
        <v/>
      </c>
      <c r="J862" s="85" t="str">
        <f>IF(COPY!N860&gt;0,COPY!N860,"")</f>
        <v/>
      </c>
      <c r="K862" s="86" t="str">
        <f>IF(N862=0,(IF(LEFT(Table13[[#This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Row],[URAIAN]],$U$194:$V$210,2,FALSE),""),""),0))))),N862)</f>
        <v/>
      </c>
      <c r="L862" s="85" t="str">
        <f>IF(Table13[[#This Row],[Column2]]="KWITANSI",COUNTIF($K$4:K862,"KWITANSI")," ")</f>
        <v xml:space="preserve"> </v>
      </c>
      <c r="M862" s="85" t="str">
        <f>IF(Table13[[#This Row],[Column3]]=" "," ",Table13[[#This Row],[CODE]])</f>
        <v xml:space="preserve"> </v>
      </c>
      <c r="N862" s="368"/>
      <c r="P862" s="81" t="str">
        <f t="shared" si="13"/>
        <v/>
      </c>
    </row>
    <row r="863" spans="1:16" hidden="1" x14ac:dyDescent="0.15">
      <c r="A863" s="81" t="str">
        <f>COPY!O861</f>
        <v/>
      </c>
      <c r="B863" s="81" t="str">
        <f>COPY!C861</f>
        <v/>
      </c>
      <c r="C863" s="82" t="str">
        <f>COPY!D861</f>
        <v/>
      </c>
      <c r="D863" s="81" t="str">
        <f>IF(Table13[[#This Row],[JUMLAH]]&gt;1,(IF(Table13[[#This Row],[CODE]]=" ",D862&amp;"a",IF(Table13[[#This Row],[CODE]]&gt;0,Table13[[#This Row],[CODE]],0))),"")</f>
        <v/>
      </c>
      <c r="E863" s="81" t="str">
        <f>IF(COPY!G861&gt;0,COPY!G861,"")</f>
        <v/>
      </c>
      <c r="F863" s="88" t="str">
        <f>IF(COPY!J861&gt;0,COPY!J861,"")</f>
        <v/>
      </c>
      <c r="G863" s="85" t="str">
        <f>IF(COPY!H861&gt;0,COPY!H861,"")</f>
        <v/>
      </c>
      <c r="H863" s="85" t="str">
        <f>IF(COPY!I861&gt;0,COPY!I861,"")</f>
        <v/>
      </c>
      <c r="I863" s="85" t="str">
        <f>IF(COPY!M861&gt;0,COPY!M861,"")</f>
        <v/>
      </c>
      <c r="J863" s="85" t="str">
        <f>IF(COPY!N861&gt;0,COPY!N861,"")</f>
        <v/>
      </c>
      <c r="K863" s="86" t="str">
        <f>IF(N863=0,(IF(LEFT(Table13[[#This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Row],[URAIAN]],$U$194:$V$210,2,FALSE),""),""),0))))),N863)</f>
        <v/>
      </c>
      <c r="L863" s="85" t="str">
        <f>IF(Table13[[#This Row],[Column2]]="KWITANSI",COUNTIF($K$4:K863,"KWITANSI")," ")</f>
        <v xml:space="preserve"> </v>
      </c>
      <c r="M863" s="85" t="str">
        <f>IF(Table13[[#This Row],[Column3]]=" "," ",Table13[[#This Row],[CODE]])</f>
        <v xml:space="preserve"> </v>
      </c>
      <c r="N863" s="368"/>
      <c r="P863" s="81" t="str">
        <f t="shared" si="13"/>
        <v/>
      </c>
    </row>
    <row r="864" spans="1:16" hidden="1" x14ac:dyDescent="0.15">
      <c r="A864" s="81" t="str">
        <f>COPY!O862</f>
        <v/>
      </c>
      <c r="B864" s="81" t="str">
        <f>COPY!C862</f>
        <v/>
      </c>
      <c r="C864" s="82" t="str">
        <f>COPY!D862</f>
        <v/>
      </c>
      <c r="D864" s="81" t="str">
        <f>IF(Table13[[#This Row],[JUMLAH]]&gt;1,(IF(Table13[[#This Row],[CODE]]=" ",D863&amp;"a",IF(Table13[[#This Row],[CODE]]&gt;0,Table13[[#This Row],[CODE]],0))),"")</f>
        <v/>
      </c>
      <c r="E864" s="81" t="str">
        <f>IF(COPY!G862&gt;0,COPY!G862,"")</f>
        <v/>
      </c>
      <c r="F864" s="88" t="str">
        <f>IF(COPY!J862&gt;0,COPY!J862,"")</f>
        <v/>
      </c>
      <c r="G864" s="85" t="str">
        <f>IF(COPY!H862&gt;0,COPY!H862,"")</f>
        <v/>
      </c>
      <c r="H864" s="85" t="str">
        <f>IF(COPY!I862&gt;0,COPY!I862,"")</f>
        <v/>
      </c>
      <c r="I864" s="85" t="str">
        <f>IF(COPY!M862&gt;0,COPY!M862,"")</f>
        <v/>
      </c>
      <c r="J864" s="85" t="str">
        <f>IF(COPY!N862&gt;0,COPY!N862,"")</f>
        <v/>
      </c>
      <c r="K864" s="86" t="str">
        <f>IF(N864=0,(IF(LEFT(Table13[[#This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Row],[URAIAN]],$U$194:$V$210,2,FALSE),""),""),0))))),N864)</f>
        <v/>
      </c>
      <c r="L864" s="85" t="str">
        <f>IF(Table13[[#This Row],[Column2]]="KWITANSI",COUNTIF($K$4:K864,"KWITANSI")," ")</f>
        <v xml:space="preserve"> </v>
      </c>
      <c r="M864" s="85" t="str">
        <f>IF(Table13[[#This Row],[Column3]]=" "," ",Table13[[#This Row],[CODE]])</f>
        <v xml:space="preserve"> </v>
      </c>
      <c r="N864" s="368"/>
      <c r="P864" s="81" t="str">
        <f t="shared" si="13"/>
        <v/>
      </c>
    </row>
    <row r="865" spans="1:16" hidden="1" x14ac:dyDescent="0.15">
      <c r="A865" s="81" t="str">
        <f>COPY!O863</f>
        <v/>
      </c>
      <c r="B865" s="81" t="str">
        <f>COPY!C863</f>
        <v/>
      </c>
      <c r="C865" s="82" t="str">
        <f>COPY!D863</f>
        <v/>
      </c>
      <c r="D865" s="81" t="str">
        <f>IF(Table13[[#This Row],[JUMLAH]]&gt;1,(IF(Table13[[#This Row],[CODE]]=" ",D864&amp;"a",IF(Table13[[#This Row],[CODE]]&gt;0,Table13[[#This Row],[CODE]],0))),"")</f>
        <v/>
      </c>
      <c r="E865" s="81" t="str">
        <f>IF(COPY!G863&gt;0,COPY!G863,"")</f>
        <v/>
      </c>
      <c r="F865" s="88" t="str">
        <f>IF(COPY!J863&gt;0,COPY!J863,"")</f>
        <v/>
      </c>
      <c r="G865" s="85" t="str">
        <f>IF(COPY!H863&gt;0,COPY!H863,"")</f>
        <v/>
      </c>
      <c r="H865" s="85" t="str">
        <f>IF(COPY!I863&gt;0,COPY!I863,"")</f>
        <v/>
      </c>
      <c r="I865" s="85" t="str">
        <f>IF(COPY!M863&gt;0,COPY!M863,"")</f>
        <v/>
      </c>
      <c r="J865" s="85" t="str">
        <f>IF(COPY!N863&gt;0,COPY!N863,"")</f>
        <v/>
      </c>
      <c r="K865" s="86" t="str">
        <f>IF(N865=0,(IF(LEFT(Table13[[#This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Row],[URAIAN]],$U$194:$V$210,2,FALSE),""),""),0))))),N865)</f>
        <v/>
      </c>
      <c r="L865" s="85" t="str">
        <f>IF(Table13[[#This Row],[Column2]]="KWITANSI",COUNTIF($K$4:K865,"KWITANSI")," ")</f>
        <v xml:space="preserve"> </v>
      </c>
      <c r="M865" s="85" t="str">
        <f>IF(Table13[[#This Row],[Column3]]=" "," ",Table13[[#This Row],[CODE]])</f>
        <v xml:space="preserve"> </v>
      </c>
      <c r="N865" s="368"/>
      <c r="P865" s="81" t="str">
        <f t="shared" si="13"/>
        <v/>
      </c>
    </row>
    <row r="866" spans="1:16" hidden="1" x14ac:dyDescent="0.15">
      <c r="A866" s="81" t="str">
        <f>COPY!O864</f>
        <v/>
      </c>
      <c r="B866" s="81" t="str">
        <f>COPY!C864</f>
        <v/>
      </c>
      <c r="C866" s="82" t="str">
        <f>COPY!D864</f>
        <v/>
      </c>
      <c r="D866" s="81" t="str">
        <f>IF(Table13[[#This Row],[JUMLAH]]&gt;1,(IF(Table13[[#This Row],[CODE]]=" ",D865&amp;"a",IF(Table13[[#This Row],[CODE]]&gt;0,Table13[[#This Row],[CODE]],0))),"")</f>
        <v/>
      </c>
      <c r="E866" s="81" t="str">
        <f>IF(COPY!G864&gt;0,COPY!G864,"")</f>
        <v/>
      </c>
      <c r="F866" s="88" t="str">
        <f>IF(COPY!J864&gt;0,COPY!J864,"")</f>
        <v/>
      </c>
      <c r="G866" s="85" t="str">
        <f>IF(COPY!H864&gt;0,COPY!H864,"")</f>
        <v/>
      </c>
      <c r="H866" s="85" t="str">
        <f>IF(COPY!I864&gt;0,COPY!I864,"")</f>
        <v/>
      </c>
      <c r="I866" s="85" t="str">
        <f>IF(COPY!M864&gt;0,COPY!M864,"")</f>
        <v/>
      </c>
      <c r="J866" s="85" t="str">
        <f>IF(COPY!N864&gt;0,COPY!N864,"")</f>
        <v/>
      </c>
      <c r="K866" s="86" t="str">
        <f>IF(N866=0,(IF(LEFT(Table13[[#This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Row],[URAIAN]],$U$194:$V$210,2,FALSE),""),""),0))))),N866)</f>
        <v/>
      </c>
      <c r="L866" s="85" t="str">
        <f>IF(Table13[[#This Row],[Column2]]="KWITANSI",COUNTIF($K$4:K866,"KWITANSI")," ")</f>
        <v xml:space="preserve"> </v>
      </c>
      <c r="M866" s="85" t="str">
        <f>IF(Table13[[#This Row],[Column3]]=" "," ",Table13[[#This Row],[CODE]])</f>
        <v xml:space="preserve"> </v>
      </c>
      <c r="N866" s="368"/>
      <c r="P866" s="81" t="str">
        <f t="shared" si="13"/>
        <v/>
      </c>
    </row>
    <row r="867" spans="1:16" hidden="1" x14ac:dyDescent="0.15">
      <c r="A867" s="81" t="str">
        <f>COPY!O865</f>
        <v/>
      </c>
      <c r="B867" s="81" t="str">
        <f>COPY!C865</f>
        <v/>
      </c>
      <c r="C867" s="82" t="str">
        <f>COPY!D865</f>
        <v/>
      </c>
      <c r="D867" s="81" t="str">
        <f>IF(Table13[[#This Row],[JUMLAH]]&gt;1,(IF(Table13[[#This Row],[CODE]]=" ",D866&amp;"a",IF(Table13[[#This Row],[CODE]]&gt;0,Table13[[#This Row],[CODE]],0))),"")</f>
        <v/>
      </c>
      <c r="E867" s="81" t="str">
        <f>IF(COPY!G865&gt;0,COPY!G865,"")</f>
        <v/>
      </c>
      <c r="F867" s="88" t="str">
        <f>IF(COPY!J865&gt;0,COPY!J865,"")</f>
        <v/>
      </c>
      <c r="G867" s="85" t="str">
        <f>IF(COPY!H865&gt;0,COPY!H865,"")</f>
        <v/>
      </c>
      <c r="H867" s="85" t="str">
        <f>IF(COPY!I865&gt;0,COPY!I865,"")</f>
        <v/>
      </c>
      <c r="I867" s="85" t="str">
        <f>IF(COPY!M865&gt;0,COPY!M865,"")</f>
        <v/>
      </c>
      <c r="J867" s="85" t="str">
        <f>IF(COPY!N865&gt;0,COPY!N865,"")</f>
        <v/>
      </c>
      <c r="K867" s="86" t="str">
        <f>IF(N867=0,(IF(LEFT(Table13[[#This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Row],[URAIAN]],$U$194:$V$210,2,FALSE),""),""),0))))),N867)</f>
        <v/>
      </c>
      <c r="L867" s="85" t="str">
        <f>IF(Table13[[#This Row],[Column2]]="KWITANSI",COUNTIF($K$4:K867,"KWITANSI")," ")</f>
        <v xml:space="preserve"> </v>
      </c>
      <c r="M867" s="85" t="str">
        <f>IF(Table13[[#This Row],[Column3]]=" "," ",Table13[[#This Row],[CODE]])</f>
        <v xml:space="preserve"> </v>
      </c>
      <c r="N867" s="368"/>
      <c r="P867" s="81" t="str">
        <f t="shared" si="13"/>
        <v/>
      </c>
    </row>
    <row r="868" spans="1:16" hidden="1" x14ac:dyDescent="0.15">
      <c r="A868" s="81" t="str">
        <f>COPY!O866</f>
        <v/>
      </c>
      <c r="B868" s="81" t="str">
        <f>COPY!C866</f>
        <v/>
      </c>
      <c r="C868" s="82" t="str">
        <f>COPY!D866</f>
        <v/>
      </c>
      <c r="D868" s="81" t="str">
        <f>IF(Table13[[#This Row],[JUMLAH]]&gt;1,(IF(Table13[[#This Row],[CODE]]=" ",D867&amp;"a",IF(Table13[[#This Row],[CODE]]&gt;0,Table13[[#This Row],[CODE]],0))),"")</f>
        <v/>
      </c>
      <c r="E868" s="81" t="str">
        <f>IF(COPY!G866&gt;0,COPY!G866,"")</f>
        <v/>
      </c>
      <c r="F868" s="88" t="str">
        <f>IF(COPY!J866&gt;0,COPY!J866,"")</f>
        <v/>
      </c>
      <c r="G868" s="85" t="str">
        <f>IF(COPY!H866&gt;0,COPY!H866,"")</f>
        <v/>
      </c>
      <c r="H868" s="85" t="str">
        <f>IF(COPY!I866&gt;0,COPY!I866,"")</f>
        <v/>
      </c>
      <c r="I868" s="85" t="str">
        <f>IF(COPY!M866&gt;0,COPY!M866,"")</f>
        <v/>
      </c>
      <c r="J868" s="85" t="str">
        <f>IF(COPY!N866&gt;0,COPY!N866,"")</f>
        <v/>
      </c>
      <c r="K868" s="86" t="str">
        <f>IF(N868=0,(IF(LEFT(Table13[[#This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Row],[URAIAN]],$U$194:$V$210,2,FALSE),""),""),0))))),N868)</f>
        <v/>
      </c>
      <c r="L868" s="85" t="str">
        <f>IF(Table13[[#This Row],[Column2]]="KWITANSI",COUNTIF($K$4:K868,"KWITANSI")," ")</f>
        <v xml:space="preserve"> </v>
      </c>
      <c r="M868" s="85" t="str">
        <f>IF(Table13[[#This Row],[Column3]]=" "," ",Table13[[#This Row],[CODE]])</f>
        <v xml:space="preserve"> </v>
      </c>
      <c r="N868" s="368"/>
      <c r="P868" s="81" t="str">
        <f t="shared" si="13"/>
        <v/>
      </c>
    </row>
    <row r="869" spans="1:16" hidden="1" x14ac:dyDescent="0.15">
      <c r="A869" s="81" t="str">
        <f>COPY!O867</f>
        <v/>
      </c>
      <c r="B869" s="81" t="str">
        <f>COPY!C867</f>
        <v/>
      </c>
      <c r="C869" s="82" t="str">
        <f>COPY!D867</f>
        <v/>
      </c>
      <c r="D869" s="81" t="str">
        <f>IF(Table13[[#This Row],[JUMLAH]]&gt;1,(IF(Table13[[#This Row],[CODE]]=" ",D868&amp;"a",IF(Table13[[#This Row],[CODE]]&gt;0,Table13[[#This Row],[CODE]],0))),"")</f>
        <v/>
      </c>
      <c r="E869" s="81" t="str">
        <f>IF(COPY!G867&gt;0,COPY!G867,"")</f>
        <v/>
      </c>
      <c r="F869" s="88" t="str">
        <f>IF(COPY!J867&gt;0,COPY!J867,"")</f>
        <v/>
      </c>
      <c r="G869" s="85" t="str">
        <f>IF(COPY!H867&gt;0,COPY!H867,"")</f>
        <v/>
      </c>
      <c r="H869" s="85" t="str">
        <f>IF(COPY!I867&gt;0,COPY!I867,"")</f>
        <v/>
      </c>
      <c r="I869" s="85" t="str">
        <f>IF(COPY!M867&gt;0,COPY!M867,"")</f>
        <v/>
      </c>
      <c r="J869" s="85" t="str">
        <f>IF(COPY!N867&gt;0,COPY!N867,"")</f>
        <v/>
      </c>
      <c r="K869" s="86" t="str">
        <f>IF(N869=0,(IF(LEFT(Table13[[#This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Row],[URAIAN]],$U$194:$V$210,2,FALSE),""),""),0))))),N869)</f>
        <v/>
      </c>
      <c r="L869" s="85" t="str">
        <f>IF(Table13[[#This Row],[Column2]]="KWITANSI",COUNTIF($K$4:K869,"KWITANSI")," ")</f>
        <v xml:space="preserve"> </v>
      </c>
      <c r="M869" s="85" t="str">
        <f>IF(Table13[[#This Row],[Column3]]=" "," ",Table13[[#This Row],[CODE]])</f>
        <v xml:space="preserve"> </v>
      </c>
      <c r="N869" s="368"/>
      <c r="P869" s="81" t="str">
        <f t="shared" si="13"/>
        <v/>
      </c>
    </row>
    <row r="870" spans="1:16" hidden="1" x14ac:dyDescent="0.15">
      <c r="A870" s="81" t="str">
        <f>COPY!O868</f>
        <v/>
      </c>
      <c r="B870" s="81" t="str">
        <f>COPY!C868</f>
        <v/>
      </c>
      <c r="C870" s="82" t="str">
        <f>COPY!D868</f>
        <v/>
      </c>
      <c r="D870" s="81" t="str">
        <f>IF(Table13[[#This Row],[JUMLAH]]&gt;1,(IF(Table13[[#This Row],[CODE]]=" ",D869&amp;"a",IF(Table13[[#This Row],[CODE]]&gt;0,Table13[[#This Row],[CODE]],0))),"")</f>
        <v/>
      </c>
      <c r="E870" s="81" t="str">
        <f>IF(COPY!G868&gt;0,COPY!G868,"")</f>
        <v/>
      </c>
      <c r="F870" s="88" t="str">
        <f>IF(COPY!J868&gt;0,COPY!J868,"")</f>
        <v/>
      </c>
      <c r="G870" s="85" t="str">
        <f>IF(COPY!H868&gt;0,COPY!H868,"")</f>
        <v/>
      </c>
      <c r="H870" s="85" t="str">
        <f>IF(COPY!I868&gt;0,COPY!I868,"")</f>
        <v/>
      </c>
      <c r="I870" s="85" t="str">
        <f>IF(COPY!M868&gt;0,COPY!M868,"")</f>
        <v/>
      </c>
      <c r="J870" s="85" t="str">
        <f>IF(COPY!N868&gt;0,COPY!N868,"")</f>
        <v/>
      </c>
      <c r="K870" s="86" t="str">
        <f>IF(N870=0,(IF(LEFT(Table13[[#This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Row],[URAIAN]],$U$194:$V$210,2,FALSE),""),""),0))))),N870)</f>
        <v/>
      </c>
      <c r="L870" s="85" t="str">
        <f>IF(Table13[[#This Row],[Column2]]="KWITANSI",COUNTIF($K$4:K870,"KWITANSI")," ")</f>
        <v xml:space="preserve"> </v>
      </c>
      <c r="M870" s="85" t="str">
        <f>IF(Table13[[#This Row],[Column3]]=" "," ",Table13[[#This Row],[CODE]])</f>
        <v xml:space="preserve"> </v>
      </c>
      <c r="N870" s="368"/>
      <c r="P870" s="81" t="str">
        <f t="shared" si="13"/>
        <v/>
      </c>
    </row>
    <row r="871" spans="1:16" hidden="1" x14ac:dyDescent="0.15">
      <c r="A871" s="81" t="str">
        <f>COPY!O869</f>
        <v/>
      </c>
      <c r="B871" s="81" t="str">
        <f>COPY!C869</f>
        <v/>
      </c>
      <c r="C871" s="82" t="str">
        <f>COPY!D869</f>
        <v/>
      </c>
      <c r="D871" s="81" t="str">
        <f>IF(Table13[[#This Row],[JUMLAH]]&gt;1,(IF(Table13[[#This Row],[CODE]]=" ",D870&amp;"a",IF(Table13[[#This Row],[CODE]]&gt;0,Table13[[#This Row],[CODE]],0))),"")</f>
        <v/>
      </c>
      <c r="E871" s="81" t="str">
        <f>IF(COPY!G869&gt;0,COPY!G869,"")</f>
        <v/>
      </c>
      <c r="F871" s="88" t="str">
        <f>IF(COPY!J869&gt;0,COPY!J869,"")</f>
        <v/>
      </c>
      <c r="G871" s="85" t="str">
        <f>IF(COPY!H869&gt;0,COPY!H869,"")</f>
        <v/>
      </c>
      <c r="H871" s="85" t="str">
        <f>IF(COPY!I869&gt;0,COPY!I869,"")</f>
        <v/>
      </c>
      <c r="I871" s="85" t="str">
        <f>IF(COPY!M869&gt;0,COPY!M869,"")</f>
        <v/>
      </c>
      <c r="J871" s="85" t="str">
        <f>IF(COPY!N869&gt;0,COPY!N869,"")</f>
        <v/>
      </c>
      <c r="K871" s="86" t="str">
        <f>IF(N871=0,(IF(LEFT(Table13[[#This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Row],[URAIAN]],$U$194:$V$210,2,FALSE),""),""),0))))),N871)</f>
        <v/>
      </c>
      <c r="L871" s="85" t="str">
        <f>IF(Table13[[#This Row],[Column2]]="KWITANSI",COUNTIF($K$4:K871,"KWITANSI")," ")</f>
        <v xml:space="preserve"> </v>
      </c>
      <c r="M871" s="85" t="str">
        <f>IF(Table13[[#This Row],[Column3]]=" "," ",Table13[[#This Row],[CODE]])</f>
        <v xml:space="preserve"> </v>
      </c>
      <c r="N871" s="368"/>
      <c r="P871" s="81" t="str">
        <f t="shared" si="13"/>
        <v/>
      </c>
    </row>
    <row r="872" spans="1:16" hidden="1" x14ac:dyDescent="0.15">
      <c r="A872" s="81" t="str">
        <f>COPY!O870</f>
        <v/>
      </c>
      <c r="B872" s="81" t="str">
        <f>COPY!C870</f>
        <v/>
      </c>
      <c r="C872" s="82" t="str">
        <f>COPY!D870</f>
        <v/>
      </c>
      <c r="D872" s="81" t="str">
        <f>IF(Table13[[#This Row],[JUMLAH]]&gt;1,(IF(Table13[[#This Row],[CODE]]=" ",D871&amp;"a",IF(Table13[[#This Row],[CODE]]&gt;0,Table13[[#This Row],[CODE]],0))),"")</f>
        <v/>
      </c>
      <c r="E872" s="81" t="str">
        <f>IF(COPY!G870&gt;0,COPY!G870,"")</f>
        <v/>
      </c>
      <c r="F872" s="88" t="str">
        <f>IF(COPY!J870&gt;0,COPY!J870,"")</f>
        <v/>
      </c>
      <c r="G872" s="85" t="str">
        <f>IF(COPY!H870&gt;0,COPY!H870,"")</f>
        <v/>
      </c>
      <c r="H872" s="85" t="str">
        <f>IF(COPY!I870&gt;0,COPY!I870,"")</f>
        <v/>
      </c>
      <c r="I872" s="85" t="str">
        <f>IF(COPY!M870&gt;0,COPY!M870,"")</f>
        <v/>
      </c>
      <c r="J872" s="85" t="str">
        <f>IF(COPY!N870&gt;0,COPY!N870,"")</f>
        <v/>
      </c>
      <c r="K872" s="86" t="str">
        <f>IF(N872=0,(IF(LEFT(Table13[[#This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Row],[URAIAN]],$U$194:$V$210,2,FALSE),""),""),0))))),N872)</f>
        <v/>
      </c>
      <c r="L872" s="85" t="str">
        <f>IF(Table13[[#This Row],[Column2]]="KWITANSI",COUNTIF($K$4:K872,"KWITANSI")," ")</f>
        <v xml:space="preserve"> </v>
      </c>
      <c r="M872" s="85" t="str">
        <f>IF(Table13[[#This Row],[Column3]]=" "," ",Table13[[#This Row],[CODE]])</f>
        <v xml:space="preserve"> </v>
      </c>
      <c r="N872" s="368"/>
      <c r="P872" s="81" t="str">
        <f t="shared" si="13"/>
        <v/>
      </c>
    </row>
    <row r="873" spans="1:16" hidden="1" x14ac:dyDescent="0.15">
      <c r="A873" s="81" t="str">
        <f>COPY!O871</f>
        <v/>
      </c>
      <c r="B873" s="81" t="str">
        <f>COPY!C871</f>
        <v/>
      </c>
      <c r="C873" s="82" t="str">
        <f>COPY!D871</f>
        <v/>
      </c>
      <c r="D873" s="81" t="str">
        <f>IF(Table13[[#This Row],[JUMLAH]]&gt;1,(IF(Table13[[#This Row],[CODE]]=" ",D872&amp;"a",IF(Table13[[#This Row],[CODE]]&gt;0,Table13[[#This Row],[CODE]],0))),"")</f>
        <v/>
      </c>
      <c r="E873" s="81" t="str">
        <f>IF(COPY!G871&gt;0,COPY!G871,"")</f>
        <v/>
      </c>
      <c r="F873" s="88" t="str">
        <f>IF(COPY!J871&gt;0,COPY!J871,"")</f>
        <v/>
      </c>
      <c r="G873" s="85" t="str">
        <f>IF(COPY!H871&gt;0,COPY!H871,"")</f>
        <v/>
      </c>
      <c r="H873" s="85" t="str">
        <f>IF(COPY!I871&gt;0,COPY!I871,"")</f>
        <v/>
      </c>
      <c r="I873" s="85" t="str">
        <f>IF(COPY!M871&gt;0,COPY!M871,"")</f>
        <v/>
      </c>
      <c r="J873" s="85" t="str">
        <f>IF(COPY!N871&gt;0,COPY!N871,"")</f>
        <v/>
      </c>
      <c r="K873" s="86" t="str">
        <f>IF(N873=0,(IF(LEFT(Table13[[#This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Row],[URAIAN]],$U$194:$V$210,2,FALSE),""),""),0))))),N873)</f>
        <v/>
      </c>
      <c r="L873" s="85" t="str">
        <f>IF(Table13[[#This Row],[Column2]]="KWITANSI",COUNTIF($K$4:K873,"KWITANSI")," ")</f>
        <v xml:space="preserve"> </v>
      </c>
      <c r="M873" s="85" t="str">
        <f>IF(Table13[[#This Row],[Column3]]=" "," ",Table13[[#This Row],[CODE]])</f>
        <v xml:space="preserve"> </v>
      </c>
      <c r="N873" s="368"/>
      <c r="P873" s="81" t="str">
        <f t="shared" si="13"/>
        <v/>
      </c>
    </row>
    <row r="874" spans="1:16" hidden="1" x14ac:dyDescent="0.15">
      <c r="A874" s="81" t="str">
        <f>COPY!O872</f>
        <v/>
      </c>
      <c r="B874" s="81" t="str">
        <f>COPY!C872</f>
        <v/>
      </c>
      <c r="C874" s="82" t="str">
        <f>COPY!D872</f>
        <v/>
      </c>
      <c r="D874" s="81" t="str">
        <f>IF(Table13[[#This Row],[JUMLAH]]&gt;1,(IF(Table13[[#This Row],[CODE]]=" ",D873&amp;"a",IF(Table13[[#This Row],[CODE]]&gt;0,Table13[[#This Row],[CODE]],0))),"")</f>
        <v/>
      </c>
      <c r="E874" s="81" t="str">
        <f>IF(COPY!G872&gt;0,COPY!G872,"")</f>
        <v/>
      </c>
      <c r="F874" s="88" t="str">
        <f>IF(COPY!J872&gt;0,COPY!J872,"")</f>
        <v/>
      </c>
      <c r="G874" s="85" t="str">
        <f>IF(COPY!H872&gt;0,COPY!H872,"")</f>
        <v/>
      </c>
      <c r="H874" s="85" t="str">
        <f>IF(COPY!I872&gt;0,COPY!I872,"")</f>
        <v/>
      </c>
      <c r="I874" s="85" t="str">
        <f>IF(COPY!M872&gt;0,COPY!M872,"")</f>
        <v/>
      </c>
      <c r="J874" s="85" t="str">
        <f>IF(COPY!N872&gt;0,COPY!N872,"")</f>
        <v/>
      </c>
      <c r="K874" s="86" t="str">
        <f>IF(N874=0,(IF(LEFT(Table13[[#This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Row],[URAIAN]],$U$194:$V$210,2,FALSE),""),""),0))))),N874)</f>
        <v/>
      </c>
      <c r="L874" s="85" t="str">
        <f>IF(Table13[[#This Row],[Column2]]="KWITANSI",COUNTIF($K$4:K874,"KWITANSI")," ")</f>
        <v xml:space="preserve"> </v>
      </c>
      <c r="M874" s="85" t="str">
        <f>IF(Table13[[#This Row],[Column3]]=" "," ",Table13[[#This Row],[CODE]])</f>
        <v xml:space="preserve"> </v>
      </c>
      <c r="N874" s="368"/>
      <c r="P874" s="81" t="str">
        <f t="shared" si="13"/>
        <v/>
      </c>
    </row>
    <row r="875" spans="1:16" hidden="1" x14ac:dyDescent="0.15">
      <c r="A875" s="81" t="str">
        <f>COPY!O873</f>
        <v/>
      </c>
      <c r="B875" s="81" t="str">
        <f>COPY!C873</f>
        <v/>
      </c>
      <c r="C875" s="82" t="str">
        <f>COPY!D873</f>
        <v/>
      </c>
      <c r="D875" s="81" t="str">
        <f>IF(Table13[[#This Row],[JUMLAH]]&gt;1,(IF(Table13[[#This Row],[CODE]]=" ",D874&amp;"a",IF(Table13[[#This Row],[CODE]]&gt;0,Table13[[#This Row],[CODE]],0))),"")</f>
        <v/>
      </c>
      <c r="E875" s="81" t="str">
        <f>IF(COPY!G873&gt;0,COPY!G873,"")</f>
        <v/>
      </c>
      <c r="F875" s="88" t="str">
        <f>IF(COPY!J873&gt;0,COPY!J873,"")</f>
        <v/>
      </c>
      <c r="G875" s="85" t="str">
        <f>IF(COPY!H873&gt;0,COPY!H873,"")</f>
        <v/>
      </c>
      <c r="H875" s="85" t="str">
        <f>IF(COPY!I873&gt;0,COPY!I873,"")</f>
        <v/>
      </c>
      <c r="I875" s="85" t="str">
        <f>IF(COPY!M873&gt;0,COPY!M873,"")</f>
        <v/>
      </c>
      <c r="J875" s="85" t="str">
        <f>IF(COPY!N873&gt;0,COPY!N873,"")</f>
        <v/>
      </c>
      <c r="K875" s="86" t="str">
        <f>IF(N875=0,(IF(LEFT(Table13[[#This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Row],[URAIAN]],$U$194:$V$210,2,FALSE),""),""),0))))),N875)</f>
        <v/>
      </c>
      <c r="L875" s="85" t="str">
        <f>IF(Table13[[#This Row],[Column2]]="KWITANSI",COUNTIF($K$4:K875,"KWITANSI")," ")</f>
        <v xml:space="preserve"> </v>
      </c>
      <c r="M875" s="85" t="str">
        <f>IF(Table13[[#This Row],[Column3]]=" "," ",Table13[[#This Row],[CODE]])</f>
        <v xml:space="preserve"> </v>
      </c>
      <c r="N875" s="368"/>
      <c r="P875" s="81" t="str">
        <f t="shared" si="13"/>
        <v/>
      </c>
    </row>
    <row r="876" spans="1:16" hidden="1" x14ac:dyDescent="0.15">
      <c r="A876" s="81" t="str">
        <f>COPY!O874</f>
        <v/>
      </c>
      <c r="B876" s="81" t="str">
        <f>COPY!C874</f>
        <v/>
      </c>
      <c r="C876" s="82" t="str">
        <f>COPY!D874</f>
        <v/>
      </c>
      <c r="D876" s="81" t="str">
        <f>IF(Table13[[#This Row],[JUMLAH]]&gt;1,(IF(Table13[[#This Row],[CODE]]=" ",D875&amp;"a",IF(Table13[[#This Row],[CODE]]&gt;0,Table13[[#This Row],[CODE]],0))),"")</f>
        <v/>
      </c>
      <c r="E876" s="81" t="str">
        <f>IF(COPY!G874&gt;0,COPY!G874,"")</f>
        <v/>
      </c>
      <c r="F876" s="88" t="str">
        <f>IF(COPY!J874&gt;0,COPY!J874,"")</f>
        <v/>
      </c>
      <c r="G876" s="85" t="str">
        <f>IF(COPY!H874&gt;0,COPY!H874,"")</f>
        <v/>
      </c>
      <c r="H876" s="85" t="str">
        <f>IF(COPY!I874&gt;0,COPY!I874,"")</f>
        <v/>
      </c>
      <c r="I876" s="85" t="str">
        <f>IF(COPY!M874&gt;0,COPY!M874,"")</f>
        <v/>
      </c>
      <c r="J876" s="85" t="str">
        <f>IF(COPY!N874&gt;0,COPY!N874,"")</f>
        <v/>
      </c>
      <c r="K876" s="86" t="str">
        <f>IF(N876=0,(IF(LEFT(Table13[[#This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Row],[URAIAN]],$U$194:$V$210,2,FALSE),""),""),0))))),N876)</f>
        <v/>
      </c>
      <c r="L876" s="85" t="str">
        <f>IF(Table13[[#This Row],[Column2]]="KWITANSI",COUNTIF($K$4:K876,"KWITANSI")," ")</f>
        <v xml:space="preserve"> </v>
      </c>
      <c r="M876" s="85" t="str">
        <f>IF(Table13[[#This Row],[Column3]]=" "," ",Table13[[#This Row],[CODE]])</f>
        <v xml:space="preserve"> </v>
      </c>
      <c r="N876" s="368"/>
      <c r="P876" s="81" t="str">
        <f t="shared" si="13"/>
        <v/>
      </c>
    </row>
    <row r="877" spans="1:16" hidden="1" x14ac:dyDescent="0.15">
      <c r="A877" s="81" t="str">
        <f>COPY!O875</f>
        <v/>
      </c>
      <c r="B877" s="81" t="str">
        <f>COPY!C875</f>
        <v/>
      </c>
      <c r="C877" s="82" t="str">
        <f>COPY!D875</f>
        <v/>
      </c>
      <c r="D877" s="81" t="str">
        <f>IF(Table13[[#This Row],[JUMLAH]]&gt;1,(IF(Table13[[#This Row],[CODE]]=" ",D876&amp;"a",IF(Table13[[#This Row],[CODE]]&gt;0,Table13[[#This Row],[CODE]],0))),"")</f>
        <v/>
      </c>
      <c r="E877" s="81" t="str">
        <f>IF(COPY!G875&gt;0,COPY!G875,"")</f>
        <v/>
      </c>
      <c r="F877" s="88" t="str">
        <f>IF(COPY!J875&gt;0,COPY!J875,"")</f>
        <v/>
      </c>
      <c r="G877" s="85" t="str">
        <f>IF(COPY!H875&gt;0,COPY!H875,"")</f>
        <v/>
      </c>
      <c r="H877" s="85" t="str">
        <f>IF(COPY!I875&gt;0,COPY!I875,"")</f>
        <v/>
      </c>
      <c r="I877" s="85" t="str">
        <f>IF(COPY!M875&gt;0,COPY!M875,"")</f>
        <v/>
      </c>
      <c r="J877" s="85" t="str">
        <f>IF(COPY!N875&gt;0,COPY!N875,"")</f>
        <v/>
      </c>
      <c r="K877" s="86" t="str">
        <f>IF(N877=0,(IF(LEFT(Table13[[#This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Row],[URAIAN]],$U$194:$V$210,2,FALSE),""),""),0))))),N877)</f>
        <v/>
      </c>
      <c r="L877" s="85" t="str">
        <f>IF(Table13[[#This Row],[Column2]]="KWITANSI",COUNTIF($K$4:K877,"KWITANSI")," ")</f>
        <v xml:space="preserve"> </v>
      </c>
      <c r="M877" s="85" t="str">
        <f>IF(Table13[[#This Row],[Column3]]=" "," ",Table13[[#This Row],[CODE]])</f>
        <v xml:space="preserve"> </v>
      </c>
      <c r="N877" s="368"/>
      <c r="P877" s="81" t="str">
        <f t="shared" si="13"/>
        <v/>
      </c>
    </row>
    <row r="878" spans="1:16" hidden="1" x14ac:dyDescent="0.15">
      <c r="A878" s="81" t="str">
        <f>COPY!O876</f>
        <v/>
      </c>
      <c r="B878" s="81" t="str">
        <f>COPY!C876</f>
        <v/>
      </c>
      <c r="C878" s="82" t="str">
        <f>COPY!D876</f>
        <v/>
      </c>
      <c r="D878" s="81" t="str">
        <f>IF(Table13[[#This Row],[JUMLAH]]&gt;1,(IF(Table13[[#This Row],[CODE]]=" ",D877&amp;"a",IF(Table13[[#This Row],[CODE]]&gt;0,Table13[[#This Row],[CODE]],0))),"")</f>
        <v/>
      </c>
      <c r="E878" s="81" t="str">
        <f>IF(COPY!G876&gt;0,COPY!G876,"")</f>
        <v/>
      </c>
      <c r="F878" s="88" t="str">
        <f>IF(COPY!J876&gt;0,COPY!J876,"")</f>
        <v/>
      </c>
      <c r="G878" s="85" t="str">
        <f>IF(COPY!H876&gt;0,COPY!H876,"")</f>
        <v/>
      </c>
      <c r="H878" s="85" t="str">
        <f>IF(COPY!I876&gt;0,COPY!I876,"")</f>
        <v/>
      </c>
      <c r="I878" s="85" t="str">
        <f>IF(COPY!M876&gt;0,COPY!M876,"")</f>
        <v/>
      </c>
      <c r="J878" s="85" t="str">
        <f>IF(COPY!N876&gt;0,COPY!N876,"")</f>
        <v/>
      </c>
      <c r="K878" s="86" t="str">
        <f>IF(N878=0,(IF(LEFT(Table13[[#This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Row],[URAIAN]],$U$194:$V$210,2,FALSE),""),""),0))))),N878)</f>
        <v/>
      </c>
      <c r="L878" s="85" t="str">
        <f>IF(Table13[[#This Row],[Column2]]="KWITANSI",COUNTIF($K$4:K878,"KWITANSI")," ")</f>
        <v xml:space="preserve"> </v>
      </c>
      <c r="M878" s="85" t="str">
        <f>IF(Table13[[#This Row],[Column3]]=" "," ",Table13[[#This Row],[CODE]])</f>
        <v xml:space="preserve"> </v>
      </c>
      <c r="N878" s="368"/>
      <c r="P878" s="81" t="str">
        <f t="shared" si="13"/>
        <v/>
      </c>
    </row>
    <row r="879" spans="1:16" hidden="1" x14ac:dyDescent="0.15">
      <c r="A879" s="81" t="str">
        <f>COPY!O877</f>
        <v/>
      </c>
      <c r="B879" s="81" t="str">
        <f>COPY!C877</f>
        <v/>
      </c>
      <c r="C879" s="82" t="str">
        <f>COPY!D877</f>
        <v/>
      </c>
      <c r="D879" s="81" t="str">
        <f>IF(Table13[[#This Row],[JUMLAH]]&gt;1,(IF(Table13[[#This Row],[CODE]]=" ",D878&amp;"a",IF(Table13[[#This Row],[CODE]]&gt;0,Table13[[#This Row],[CODE]],0))),"")</f>
        <v/>
      </c>
      <c r="E879" s="81" t="str">
        <f>IF(COPY!G877&gt;0,COPY!G877,"")</f>
        <v/>
      </c>
      <c r="F879" s="88" t="str">
        <f>IF(COPY!J877&gt;0,COPY!J877,"")</f>
        <v/>
      </c>
      <c r="G879" s="85" t="str">
        <f>IF(COPY!H877&gt;0,COPY!H877,"")</f>
        <v/>
      </c>
      <c r="H879" s="85" t="str">
        <f>IF(COPY!I877&gt;0,COPY!I877,"")</f>
        <v/>
      </c>
      <c r="I879" s="85" t="str">
        <f>IF(COPY!M877&gt;0,COPY!M877,"")</f>
        <v/>
      </c>
      <c r="J879" s="85" t="str">
        <f>IF(COPY!N877&gt;0,COPY!N877,"")</f>
        <v/>
      </c>
      <c r="K879" s="86" t="str">
        <f>IF(N879=0,(IF(LEFT(Table13[[#This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Row],[URAIAN]],$U$194:$V$210,2,FALSE),""),""),0))))),N879)</f>
        <v/>
      </c>
      <c r="L879" s="85" t="str">
        <f>IF(Table13[[#This Row],[Column2]]="KWITANSI",COUNTIF($K$4:K879,"KWITANSI")," ")</f>
        <v xml:space="preserve"> </v>
      </c>
      <c r="M879" s="85" t="str">
        <f>IF(Table13[[#This Row],[Column3]]=" "," ",Table13[[#This Row],[CODE]])</f>
        <v xml:space="preserve"> </v>
      </c>
      <c r="N879" s="368"/>
      <c r="P879" s="81" t="str">
        <f t="shared" si="13"/>
        <v/>
      </c>
    </row>
    <row r="880" spans="1:16" hidden="1" x14ac:dyDescent="0.15">
      <c r="A880" s="81" t="str">
        <f>COPY!O878</f>
        <v/>
      </c>
      <c r="B880" s="81" t="str">
        <f>COPY!C878</f>
        <v/>
      </c>
      <c r="C880" s="82" t="str">
        <f>COPY!D878</f>
        <v/>
      </c>
      <c r="D880" s="81" t="str">
        <f>IF(Table13[[#This Row],[JUMLAH]]&gt;1,(IF(Table13[[#This Row],[CODE]]=" ",D879&amp;"a",IF(Table13[[#This Row],[CODE]]&gt;0,Table13[[#This Row],[CODE]],0))),"")</f>
        <v/>
      </c>
      <c r="E880" s="81" t="str">
        <f>IF(COPY!G878&gt;0,COPY!G878,"")</f>
        <v/>
      </c>
      <c r="F880" s="88" t="str">
        <f>IF(COPY!J878&gt;0,COPY!J878,"")</f>
        <v/>
      </c>
      <c r="G880" s="85" t="str">
        <f>IF(COPY!H878&gt;0,COPY!H878,"")</f>
        <v/>
      </c>
      <c r="H880" s="85" t="str">
        <f>IF(COPY!I878&gt;0,COPY!I878,"")</f>
        <v/>
      </c>
      <c r="I880" s="85" t="str">
        <f>IF(COPY!M878&gt;0,COPY!M878,"")</f>
        <v/>
      </c>
      <c r="J880" s="85" t="str">
        <f>IF(COPY!N878&gt;0,COPY!N878,"")</f>
        <v/>
      </c>
      <c r="K880" s="86" t="str">
        <f>IF(N880=0,(IF(LEFT(Table13[[#This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Row],[URAIAN]],$U$194:$V$210,2,FALSE),""),""),0))))),N880)</f>
        <v/>
      </c>
      <c r="L880" s="85" t="str">
        <f>IF(Table13[[#This Row],[Column2]]="KWITANSI",COUNTIF($K$4:K880,"KWITANSI")," ")</f>
        <v xml:space="preserve"> </v>
      </c>
      <c r="M880" s="85" t="str">
        <f>IF(Table13[[#This Row],[Column3]]=" "," ",Table13[[#This Row],[CODE]])</f>
        <v xml:space="preserve"> </v>
      </c>
      <c r="N880" s="368"/>
      <c r="P880" s="81" t="str">
        <f t="shared" si="13"/>
        <v/>
      </c>
    </row>
    <row r="881" spans="1:16" hidden="1" x14ac:dyDescent="0.15">
      <c r="A881" s="81" t="str">
        <f>COPY!O879</f>
        <v/>
      </c>
      <c r="B881" s="81" t="str">
        <f>COPY!C879</f>
        <v/>
      </c>
      <c r="C881" s="82" t="str">
        <f>COPY!D879</f>
        <v/>
      </c>
      <c r="D881" s="81" t="str">
        <f>IF(Table13[[#This Row],[JUMLAH]]&gt;1,(IF(Table13[[#This Row],[CODE]]=" ",D880&amp;"a",IF(Table13[[#This Row],[CODE]]&gt;0,Table13[[#This Row],[CODE]],0))),"")</f>
        <v/>
      </c>
      <c r="E881" s="81" t="str">
        <f>IF(COPY!G879&gt;0,COPY!G879,"")</f>
        <v/>
      </c>
      <c r="F881" s="88" t="str">
        <f>IF(COPY!J879&gt;0,COPY!J879,"")</f>
        <v/>
      </c>
      <c r="G881" s="85" t="str">
        <f>IF(COPY!H879&gt;0,COPY!H879,"")</f>
        <v/>
      </c>
      <c r="H881" s="85" t="str">
        <f>IF(COPY!I879&gt;0,COPY!I879,"")</f>
        <v/>
      </c>
      <c r="I881" s="85" t="str">
        <f>IF(COPY!M879&gt;0,COPY!M879,"")</f>
        <v/>
      </c>
      <c r="J881" s="85" t="str">
        <f>IF(COPY!N879&gt;0,COPY!N879,"")</f>
        <v/>
      </c>
      <c r="K881" s="86" t="str">
        <f>IF(N881=0,(IF(LEFT(Table13[[#This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Row],[URAIAN]],$U$194:$V$210,2,FALSE),""),""),0))))),N881)</f>
        <v/>
      </c>
      <c r="L881" s="85" t="str">
        <f>IF(Table13[[#This Row],[Column2]]="KWITANSI",COUNTIF($K$4:K881,"KWITANSI")," ")</f>
        <v xml:space="preserve"> </v>
      </c>
      <c r="M881" s="85" t="str">
        <f>IF(Table13[[#This Row],[Column3]]=" "," ",Table13[[#This Row],[CODE]])</f>
        <v xml:space="preserve"> </v>
      </c>
      <c r="N881" s="368"/>
      <c r="P881" s="81" t="str">
        <f t="shared" si="13"/>
        <v/>
      </c>
    </row>
    <row r="882" spans="1:16" hidden="1" x14ac:dyDescent="0.15">
      <c r="A882" s="81" t="str">
        <f>COPY!O880</f>
        <v/>
      </c>
      <c r="B882" s="81" t="str">
        <f>COPY!C880</f>
        <v/>
      </c>
      <c r="C882" s="82" t="str">
        <f>COPY!D880</f>
        <v/>
      </c>
      <c r="D882" s="81" t="str">
        <f>IF(Table13[[#This Row],[JUMLAH]]&gt;1,(IF(Table13[[#This Row],[CODE]]=" ",D881&amp;"a",IF(Table13[[#This Row],[CODE]]&gt;0,Table13[[#This Row],[CODE]],0))),"")</f>
        <v/>
      </c>
      <c r="E882" s="81" t="str">
        <f>IF(COPY!G880&gt;0,COPY!G880,"")</f>
        <v/>
      </c>
      <c r="F882" s="88" t="str">
        <f>IF(COPY!J880&gt;0,COPY!J880,"")</f>
        <v/>
      </c>
      <c r="G882" s="85" t="str">
        <f>IF(COPY!H880&gt;0,COPY!H880,"")</f>
        <v/>
      </c>
      <c r="H882" s="85" t="str">
        <f>IF(COPY!I880&gt;0,COPY!I880,"")</f>
        <v/>
      </c>
      <c r="I882" s="85" t="str">
        <f>IF(COPY!M880&gt;0,COPY!M880,"")</f>
        <v/>
      </c>
      <c r="J882" s="85" t="str">
        <f>IF(COPY!N880&gt;0,COPY!N880,"")</f>
        <v/>
      </c>
      <c r="K882" s="86" t="str">
        <f>IF(N882=0,(IF(LEFT(Table13[[#This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Row],[URAIAN]],$U$194:$V$210,2,FALSE),""),""),0))))),N882)</f>
        <v/>
      </c>
      <c r="L882" s="85" t="str">
        <f>IF(Table13[[#This Row],[Column2]]="KWITANSI",COUNTIF($K$4:K882,"KWITANSI")," ")</f>
        <v xml:space="preserve"> </v>
      </c>
      <c r="M882" s="85" t="str">
        <f>IF(Table13[[#This Row],[Column3]]=" "," ",Table13[[#This Row],[CODE]])</f>
        <v xml:space="preserve"> </v>
      </c>
      <c r="N882" s="368"/>
      <c r="P882" s="81" t="str">
        <f t="shared" si="13"/>
        <v/>
      </c>
    </row>
    <row r="883" spans="1:16" hidden="1" x14ac:dyDescent="0.15">
      <c r="A883" s="81" t="str">
        <f>COPY!O881</f>
        <v/>
      </c>
      <c r="B883" s="81" t="str">
        <f>COPY!C881</f>
        <v/>
      </c>
      <c r="C883" s="82" t="str">
        <f>COPY!D881</f>
        <v/>
      </c>
      <c r="D883" s="81" t="str">
        <f>IF(Table13[[#This Row],[JUMLAH]]&gt;1,(IF(Table13[[#This Row],[CODE]]=" ",D882&amp;"a",IF(Table13[[#This Row],[CODE]]&gt;0,Table13[[#This Row],[CODE]],0))),"")</f>
        <v/>
      </c>
      <c r="E883" s="81" t="str">
        <f>IF(COPY!G881&gt;0,COPY!G881,"")</f>
        <v/>
      </c>
      <c r="F883" s="88" t="str">
        <f>IF(COPY!J881&gt;0,COPY!J881,"")</f>
        <v/>
      </c>
      <c r="G883" s="85" t="str">
        <f>IF(COPY!H881&gt;0,COPY!H881,"")</f>
        <v/>
      </c>
      <c r="H883" s="85" t="str">
        <f>IF(COPY!I881&gt;0,COPY!I881,"")</f>
        <v/>
      </c>
      <c r="I883" s="85" t="str">
        <f>IF(COPY!M881&gt;0,COPY!M881,"")</f>
        <v/>
      </c>
      <c r="J883" s="85" t="str">
        <f>IF(COPY!N881&gt;0,COPY!N881,"")</f>
        <v/>
      </c>
      <c r="K883" s="86" t="str">
        <f>IF(N883=0,(IF(LEFT(Table13[[#This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Row],[URAIAN]],$U$194:$V$210,2,FALSE),""),""),0))))),N883)</f>
        <v/>
      </c>
      <c r="L883" s="85" t="str">
        <f>IF(Table13[[#This Row],[Column2]]="KWITANSI",COUNTIF($K$4:K883,"KWITANSI")," ")</f>
        <v xml:space="preserve"> </v>
      </c>
      <c r="M883" s="85" t="str">
        <f>IF(Table13[[#This Row],[Column3]]=" "," ",Table13[[#This Row],[CODE]])</f>
        <v xml:space="preserve"> </v>
      </c>
      <c r="N883" s="368"/>
      <c r="P883" s="81" t="str">
        <f t="shared" si="13"/>
        <v/>
      </c>
    </row>
    <row r="884" spans="1:16" hidden="1" x14ac:dyDescent="0.15">
      <c r="A884" s="81" t="str">
        <f>COPY!O882</f>
        <v/>
      </c>
      <c r="B884" s="81" t="str">
        <f>COPY!C882</f>
        <v/>
      </c>
      <c r="C884" s="82" t="str">
        <f>COPY!D882</f>
        <v/>
      </c>
      <c r="D884" s="81" t="str">
        <f>IF(Table13[[#This Row],[JUMLAH]]&gt;1,(IF(Table13[[#This Row],[CODE]]=" ",D883&amp;"a",IF(Table13[[#This Row],[CODE]]&gt;0,Table13[[#This Row],[CODE]],0))),"")</f>
        <v/>
      </c>
      <c r="E884" s="81" t="str">
        <f>IF(COPY!G882&gt;0,COPY!G882,"")</f>
        <v/>
      </c>
      <c r="F884" s="88" t="str">
        <f>IF(COPY!J882&gt;0,COPY!J882,"")</f>
        <v/>
      </c>
      <c r="G884" s="85" t="str">
        <f>IF(COPY!H882&gt;0,COPY!H882,"")</f>
        <v/>
      </c>
      <c r="H884" s="85" t="str">
        <f>IF(COPY!I882&gt;0,COPY!I882,"")</f>
        <v/>
      </c>
      <c r="I884" s="85" t="str">
        <f>IF(COPY!M882&gt;0,COPY!M882,"")</f>
        <v/>
      </c>
      <c r="J884" s="85" t="str">
        <f>IF(COPY!N882&gt;0,COPY!N882,"")</f>
        <v/>
      </c>
      <c r="K884" s="86" t="str">
        <f>IF(N884=0,(IF(LEFT(Table13[[#This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Row],[URAIAN]],$U$194:$V$210,2,FALSE),""),""),0))))),N884)</f>
        <v/>
      </c>
      <c r="L884" s="85" t="str">
        <f>IF(Table13[[#This Row],[Column2]]="KWITANSI",COUNTIF($K$4:K884,"KWITANSI")," ")</f>
        <v xml:space="preserve"> </v>
      </c>
      <c r="M884" s="85" t="str">
        <f>IF(Table13[[#This Row],[Column3]]=" "," ",Table13[[#This Row],[CODE]])</f>
        <v xml:space="preserve"> </v>
      </c>
      <c r="N884" s="368"/>
      <c r="P884" s="81" t="str">
        <f t="shared" si="13"/>
        <v/>
      </c>
    </row>
    <row r="885" spans="1:16" hidden="1" x14ac:dyDescent="0.15">
      <c r="A885" s="81" t="str">
        <f>COPY!O883</f>
        <v/>
      </c>
      <c r="B885" s="81" t="str">
        <f>COPY!C883</f>
        <v/>
      </c>
      <c r="C885" s="82" t="str">
        <f>COPY!D883</f>
        <v/>
      </c>
      <c r="D885" s="81" t="str">
        <f>IF(Table13[[#This Row],[JUMLAH]]&gt;1,(IF(Table13[[#This Row],[CODE]]=" ",D884&amp;"a",IF(Table13[[#This Row],[CODE]]&gt;0,Table13[[#This Row],[CODE]],0))),"")</f>
        <v/>
      </c>
      <c r="E885" s="81" t="str">
        <f>IF(COPY!G883&gt;0,COPY!G883,"")</f>
        <v/>
      </c>
      <c r="F885" s="88" t="str">
        <f>IF(COPY!J883&gt;0,COPY!J883,"")</f>
        <v/>
      </c>
      <c r="G885" s="85" t="str">
        <f>IF(COPY!H883&gt;0,COPY!H883,"")</f>
        <v/>
      </c>
      <c r="H885" s="85" t="str">
        <f>IF(COPY!I883&gt;0,COPY!I883,"")</f>
        <v/>
      </c>
      <c r="I885" s="85" t="str">
        <f>IF(COPY!M883&gt;0,COPY!M883,"")</f>
        <v/>
      </c>
      <c r="J885" s="85" t="str">
        <f>IF(COPY!N883&gt;0,COPY!N883,"")</f>
        <v/>
      </c>
      <c r="K885" s="86" t="str">
        <f>IF(N885=0,(IF(LEFT(Table13[[#This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Row],[URAIAN]],$U$194:$V$210,2,FALSE),""),""),0))))),N885)</f>
        <v/>
      </c>
      <c r="L885" s="85" t="str">
        <f>IF(Table13[[#This Row],[Column2]]="KWITANSI",COUNTIF($K$4:K885,"KWITANSI")," ")</f>
        <v xml:space="preserve"> </v>
      </c>
      <c r="M885" s="85" t="str">
        <f>IF(Table13[[#This Row],[Column3]]=" "," ",Table13[[#This Row],[CODE]])</f>
        <v xml:space="preserve"> </v>
      </c>
      <c r="N885" s="368"/>
      <c r="P885" s="81" t="str">
        <f t="shared" si="13"/>
        <v/>
      </c>
    </row>
    <row r="886" spans="1:16" hidden="1" x14ac:dyDescent="0.15">
      <c r="A886" s="81" t="str">
        <f>COPY!O884</f>
        <v/>
      </c>
      <c r="B886" s="81" t="str">
        <f>COPY!C884</f>
        <v/>
      </c>
      <c r="C886" s="82" t="str">
        <f>COPY!D884</f>
        <v/>
      </c>
      <c r="D886" s="81" t="str">
        <f>IF(Table13[[#This Row],[JUMLAH]]&gt;1,(IF(Table13[[#This Row],[CODE]]=" ",D885&amp;"a",IF(Table13[[#This Row],[CODE]]&gt;0,Table13[[#This Row],[CODE]],0))),"")</f>
        <v/>
      </c>
      <c r="E886" s="81" t="str">
        <f>IF(COPY!G884&gt;0,COPY!G884,"")</f>
        <v/>
      </c>
      <c r="F886" s="88" t="str">
        <f>IF(COPY!J884&gt;0,COPY!J884,"")</f>
        <v/>
      </c>
      <c r="G886" s="85" t="str">
        <f>IF(COPY!H884&gt;0,COPY!H884,"")</f>
        <v/>
      </c>
      <c r="H886" s="85" t="str">
        <f>IF(COPY!I884&gt;0,COPY!I884,"")</f>
        <v/>
      </c>
      <c r="I886" s="85" t="str">
        <f>IF(COPY!M884&gt;0,COPY!M884,"")</f>
        <v/>
      </c>
      <c r="J886" s="85" t="str">
        <f>IF(COPY!N884&gt;0,COPY!N884,"")</f>
        <v/>
      </c>
      <c r="K886" s="86" t="str">
        <f>IF(N886=0,(IF(LEFT(Table13[[#This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Row],[URAIAN]],$U$194:$V$210,2,FALSE),""),""),0))))),N886)</f>
        <v/>
      </c>
      <c r="L886" s="85" t="str">
        <f>IF(Table13[[#This Row],[Column2]]="KWITANSI",COUNTIF($K$4:K886,"KWITANSI")," ")</f>
        <v xml:space="preserve"> </v>
      </c>
      <c r="M886" s="85" t="str">
        <f>IF(Table13[[#This Row],[Column3]]=" "," ",Table13[[#This Row],[CODE]])</f>
        <v xml:space="preserve"> </v>
      </c>
      <c r="N886" s="368"/>
      <c r="P886" s="81" t="str">
        <f t="shared" si="13"/>
        <v/>
      </c>
    </row>
    <row r="887" spans="1:16" hidden="1" x14ac:dyDescent="0.15">
      <c r="A887" s="81" t="str">
        <f>COPY!O885</f>
        <v/>
      </c>
      <c r="B887" s="81" t="str">
        <f>COPY!C885</f>
        <v/>
      </c>
      <c r="C887" s="82" t="str">
        <f>COPY!D885</f>
        <v/>
      </c>
      <c r="D887" s="81" t="str">
        <f>IF(Table13[[#This Row],[JUMLAH]]&gt;1,(IF(Table13[[#This Row],[CODE]]=" ",D886&amp;"a",IF(Table13[[#This Row],[CODE]]&gt;0,Table13[[#This Row],[CODE]],0))),"")</f>
        <v/>
      </c>
      <c r="E887" s="81" t="str">
        <f>IF(COPY!G885&gt;0,COPY!G885,"")</f>
        <v/>
      </c>
      <c r="F887" s="88" t="str">
        <f>IF(COPY!J885&gt;0,COPY!J885,"")</f>
        <v/>
      </c>
      <c r="G887" s="85" t="str">
        <f>IF(COPY!H885&gt;0,COPY!H885,"")</f>
        <v/>
      </c>
      <c r="H887" s="85" t="str">
        <f>IF(COPY!I885&gt;0,COPY!I885,"")</f>
        <v/>
      </c>
      <c r="I887" s="85" t="str">
        <f>IF(COPY!M885&gt;0,COPY!M885,"")</f>
        <v/>
      </c>
      <c r="J887" s="85" t="str">
        <f>IF(COPY!N885&gt;0,COPY!N885,"")</f>
        <v/>
      </c>
      <c r="K887" s="86" t="str">
        <f>IF(N887=0,(IF(LEFT(Table13[[#This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Row],[URAIAN]],$U$194:$V$210,2,FALSE),""),""),0))))),N887)</f>
        <v/>
      </c>
      <c r="L887" s="85" t="str">
        <f>IF(Table13[[#This Row],[Column2]]="KWITANSI",COUNTIF($K$4:K887,"KWITANSI")," ")</f>
        <v xml:space="preserve"> </v>
      </c>
      <c r="M887" s="85" t="str">
        <f>IF(Table13[[#This Row],[Column3]]=" "," ",Table13[[#This Row],[CODE]])</f>
        <v xml:space="preserve"> </v>
      </c>
      <c r="N887" s="368"/>
      <c r="P887" s="81" t="str">
        <f t="shared" si="13"/>
        <v/>
      </c>
    </row>
    <row r="888" spans="1:16" hidden="1" x14ac:dyDescent="0.15">
      <c r="A888" s="81" t="str">
        <f>COPY!O886</f>
        <v/>
      </c>
      <c r="B888" s="81" t="str">
        <f>COPY!C886</f>
        <v/>
      </c>
      <c r="C888" s="82" t="str">
        <f>COPY!D886</f>
        <v/>
      </c>
      <c r="D888" s="81" t="str">
        <f>IF(Table13[[#This Row],[JUMLAH]]&gt;1,(IF(Table13[[#This Row],[CODE]]=" ",D887&amp;"a",IF(Table13[[#This Row],[CODE]]&gt;0,Table13[[#This Row],[CODE]],0))),"")</f>
        <v/>
      </c>
      <c r="E888" s="81" t="str">
        <f>IF(COPY!G886&gt;0,COPY!G886,"")</f>
        <v/>
      </c>
      <c r="F888" s="88" t="str">
        <f>IF(COPY!J886&gt;0,COPY!J886,"")</f>
        <v/>
      </c>
      <c r="G888" s="85" t="str">
        <f>IF(COPY!H886&gt;0,COPY!H886,"")</f>
        <v/>
      </c>
      <c r="H888" s="85" t="str">
        <f>IF(COPY!I886&gt;0,COPY!I886,"")</f>
        <v/>
      </c>
      <c r="I888" s="85" t="str">
        <f>IF(COPY!M886&gt;0,COPY!M886,"")</f>
        <v/>
      </c>
      <c r="J888" s="85" t="str">
        <f>IF(COPY!N886&gt;0,COPY!N886,"")</f>
        <v/>
      </c>
      <c r="K888" s="86" t="str">
        <f>IF(N888=0,(IF(LEFT(Table13[[#This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Row],[URAIAN]],$U$194:$V$210,2,FALSE),""),""),0))))),N888)</f>
        <v/>
      </c>
      <c r="L888" s="85" t="str">
        <f>IF(Table13[[#This Row],[Column2]]="KWITANSI",COUNTIF($K$4:K888,"KWITANSI")," ")</f>
        <v xml:space="preserve"> </v>
      </c>
      <c r="M888" s="85" t="str">
        <f>IF(Table13[[#This Row],[Column3]]=" "," ",Table13[[#This Row],[CODE]])</f>
        <v xml:space="preserve"> </v>
      </c>
      <c r="N888" s="368"/>
      <c r="P888" s="81" t="str">
        <f t="shared" si="13"/>
        <v/>
      </c>
    </row>
    <row r="889" spans="1:16" hidden="1" x14ac:dyDescent="0.15">
      <c r="A889" s="81" t="str">
        <f>COPY!O887</f>
        <v/>
      </c>
      <c r="B889" s="81" t="str">
        <f>COPY!C887</f>
        <v/>
      </c>
      <c r="C889" s="82" t="str">
        <f>COPY!D887</f>
        <v/>
      </c>
      <c r="D889" s="81" t="str">
        <f>IF(Table13[[#This Row],[JUMLAH]]&gt;1,(IF(Table13[[#This Row],[CODE]]=" ",D888&amp;"a",IF(Table13[[#This Row],[CODE]]&gt;0,Table13[[#This Row],[CODE]],0))),"")</f>
        <v/>
      </c>
      <c r="E889" s="81" t="str">
        <f>IF(COPY!G887&gt;0,COPY!G887,"")</f>
        <v/>
      </c>
      <c r="F889" s="88" t="str">
        <f>IF(COPY!J887&gt;0,COPY!J887,"")</f>
        <v/>
      </c>
      <c r="G889" s="85" t="str">
        <f>IF(COPY!H887&gt;0,COPY!H887,"")</f>
        <v/>
      </c>
      <c r="H889" s="85" t="str">
        <f>IF(COPY!I887&gt;0,COPY!I887,"")</f>
        <v/>
      </c>
      <c r="I889" s="85" t="str">
        <f>IF(COPY!M887&gt;0,COPY!M887,"")</f>
        <v/>
      </c>
      <c r="J889" s="85" t="str">
        <f>IF(COPY!N887&gt;0,COPY!N887,"")</f>
        <v/>
      </c>
      <c r="K889" s="86" t="str">
        <f>IF(N889=0,(IF(LEFT(Table13[[#This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Row],[URAIAN]],$U$194:$V$210,2,FALSE),""),""),0))))),N889)</f>
        <v/>
      </c>
      <c r="L889" s="85" t="str">
        <f>IF(Table13[[#This Row],[Column2]]="KWITANSI",COUNTIF($K$4:K889,"KWITANSI")," ")</f>
        <v xml:space="preserve"> </v>
      </c>
      <c r="M889" s="85" t="str">
        <f>IF(Table13[[#This Row],[Column3]]=" "," ",Table13[[#This Row],[CODE]])</f>
        <v xml:space="preserve"> </v>
      </c>
      <c r="N889" s="368"/>
      <c r="P889" s="81" t="str">
        <f t="shared" si="13"/>
        <v/>
      </c>
    </row>
    <row r="890" spans="1:16" hidden="1" x14ac:dyDescent="0.15">
      <c r="A890" s="81" t="str">
        <f>COPY!O888</f>
        <v/>
      </c>
      <c r="B890" s="81" t="str">
        <f>COPY!C888</f>
        <v/>
      </c>
      <c r="C890" s="82" t="str">
        <f>COPY!D888</f>
        <v/>
      </c>
      <c r="D890" s="81" t="str">
        <f>IF(Table13[[#This Row],[JUMLAH]]&gt;1,(IF(Table13[[#This Row],[CODE]]=" ",D889&amp;"a",IF(Table13[[#This Row],[CODE]]&gt;0,Table13[[#This Row],[CODE]],0))),"")</f>
        <v/>
      </c>
      <c r="E890" s="81" t="str">
        <f>IF(COPY!G888&gt;0,COPY!G888,"")</f>
        <v/>
      </c>
      <c r="F890" s="88" t="str">
        <f>IF(COPY!J888&gt;0,COPY!J888,"")</f>
        <v/>
      </c>
      <c r="G890" s="85" t="str">
        <f>IF(COPY!H888&gt;0,COPY!H888,"")</f>
        <v/>
      </c>
      <c r="H890" s="85" t="str">
        <f>IF(COPY!I888&gt;0,COPY!I888,"")</f>
        <v/>
      </c>
      <c r="I890" s="85" t="str">
        <f>IF(COPY!M888&gt;0,COPY!M888,"")</f>
        <v/>
      </c>
      <c r="J890" s="85" t="str">
        <f>IF(COPY!N888&gt;0,COPY!N888,"")</f>
        <v/>
      </c>
      <c r="K890" s="86" t="str">
        <f>IF(N890=0,(IF(LEFT(Table13[[#This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Row],[URAIAN]],$U$194:$V$210,2,FALSE),""),""),0))))),N890)</f>
        <v/>
      </c>
      <c r="L890" s="85" t="str">
        <f>IF(Table13[[#This Row],[Column2]]="KWITANSI",COUNTIF($K$4:K890,"KWITANSI")," ")</f>
        <v xml:space="preserve"> </v>
      </c>
      <c r="M890" s="85" t="str">
        <f>IF(Table13[[#This Row],[Column3]]=" "," ",Table13[[#This Row],[CODE]])</f>
        <v xml:space="preserve"> </v>
      </c>
      <c r="N890" s="368"/>
      <c r="P890" s="81" t="str">
        <f t="shared" si="13"/>
        <v/>
      </c>
    </row>
    <row r="891" spans="1:16" hidden="1" x14ac:dyDescent="0.15">
      <c r="A891" s="81" t="str">
        <f>COPY!O889</f>
        <v/>
      </c>
      <c r="B891" s="81" t="str">
        <f>COPY!C889</f>
        <v/>
      </c>
      <c r="C891" s="82" t="str">
        <f>COPY!D889</f>
        <v/>
      </c>
      <c r="D891" s="81" t="str">
        <f>IF(Table13[[#This Row],[JUMLAH]]&gt;1,(IF(Table13[[#This Row],[CODE]]=" ",D890&amp;"a",IF(Table13[[#This Row],[CODE]]&gt;0,Table13[[#This Row],[CODE]],0))),"")</f>
        <v/>
      </c>
      <c r="E891" s="81" t="str">
        <f>IF(COPY!G889&gt;0,COPY!G889,"")</f>
        <v/>
      </c>
      <c r="F891" s="88" t="str">
        <f>IF(COPY!J889&gt;0,COPY!J889,"")</f>
        <v/>
      </c>
      <c r="G891" s="85" t="str">
        <f>IF(COPY!H889&gt;0,COPY!H889,"")</f>
        <v/>
      </c>
      <c r="H891" s="85" t="str">
        <f>IF(COPY!I889&gt;0,COPY!I889,"")</f>
        <v/>
      </c>
      <c r="I891" s="85" t="str">
        <f>IF(COPY!M889&gt;0,COPY!M889,"")</f>
        <v/>
      </c>
      <c r="J891" s="85" t="str">
        <f>IF(COPY!N889&gt;0,COPY!N889,"")</f>
        <v/>
      </c>
      <c r="K891" s="86" t="str">
        <f>IF(N891=0,(IF(LEFT(Table13[[#This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Row],[URAIAN]],$U$194:$V$210,2,FALSE),""),""),0))))),N891)</f>
        <v/>
      </c>
      <c r="L891" s="85" t="str">
        <f>IF(Table13[[#This Row],[Column2]]="KWITANSI",COUNTIF($K$4:K891,"KWITANSI")," ")</f>
        <v xml:space="preserve"> </v>
      </c>
      <c r="M891" s="85" t="str">
        <f>IF(Table13[[#This Row],[Column3]]=" "," ",Table13[[#This Row],[CODE]])</f>
        <v xml:space="preserve"> </v>
      </c>
      <c r="N891" s="368"/>
      <c r="P891" s="81" t="str">
        <f t="shared" si="13"/>
        <v/>
      </c>
    </row>
    <row r="892" spans="1:16" hidden="1" x14ac:dyDescent="0.15">
      <c r="A892" s="81" t="str">
        <f>COPY!O890</f>
        <v/>
      </c>
      <c r="B892" s="81" t="str">
        <f>COPY!C890</f>
        <v/>
      </c>
      <c r="C892" s="82" t="str">
        <f>COPY!D890</f>
        <v/>
      </c>
      <c r="D892" s="81" t="str">
        <f>IF(Table13[[#This Row],[JUMLAH]]&gt;1,(IF(Table13[[#This Row],[CODE]]=" ",D891&amp;"a",IF(Table13[[#This Row],[CODE]]&gt;0,Table13[[#This Row],[CODE]],0))),"")</f>
        <v/>
      </c>
      <c r="E892" s="81" t="str">
        <f>IF(COPY!G890&gt;0,COPY!G890,"")</f>
        <v/>
      </c>
      <c r="F892" s="88" t="str">
        <f>IF(COPY!J890&gt;0,COPY!J890,"")</f>
        <v/>
      </c>
      <c r="G892" s="85" t="str">
        <f>IF(COPY!H890&gt;0,COPY!H890,"")</f>
        <v/>
      </c>
      <c r="H892" s="85" t="str">
        <f>IF(COPY!I890&gt;0,COPY!I890,"")</f>
        <v/>
      </c>
      <c r="I892" s="85" t="str">
        <f>IF(COPY!M890&gt;0,COPY!M890,"")</f>
        <v/>
      </c>
      <c r="J892" s="85" t="str">
        <f>IF(COPY!N890&gt;0,COPY!N890,"")</f>
        <v/>
      </c>
      <c r="K892" s="86" t="str">
        <f>IF(N892=0,(IF(LEFT(Table13[[#This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Row],[URAIAN]],$U$194:$V$210,2,FALSE),""),""),0))))),N892)</f>
        <v/>
      </c>
      <c r="L892" s="85" t="str">
        <f>IF(Table13[[#This Row],[Column2]]="KWITANSI",COUNTIF($K$4:K892,"KWITANSI")," ")</f>
        <v xml:space="preserve"> </v>
      </c>
      <c r="M892" s="85" t="str">
        <f>IF(Table13[[#This Row],[Column3]]=" "," ",Table13[[#This Row],[CODE]])</f>
        <v xml:space="preserve"> </v>
      </c>
      <c r="N892" s="368"/>
      <c r="P892" s="81" t="str">
        <f t="shared" si="13"/>
        <v/>
      </c>
    </row>
    <row r="893" spans="1:16" hidden="1" x14ac:dyDescent="0.15">
      <c r="A893" s="81" t="str">
        <f>COPY!O891</f>
        <v/>
      </c>
      <c r="B893" s="81" t="str">
        <f>COPY!C891</f>
        <v/>
      </c>
      <c r="C893" s="82" t="str">
        <f>COPY!D891</f>
        <v/>
      </c>
      <c r="D893" s="81" t="str">
        <f>IF(Table13[[#This Row],[JUMLAH]]&gt;1,(IF(Table13[[#This Row],[CODE]]=" ",D892&amp;"a",IF(Table13[[#This Row],[CODE]]&gt;0,Table13[[#This Row],[CODE]],0))),"")</f>
        <v/>
      </c>
      <c r="E893" s="81" t="str">
        <f>IF(COPY!G891&gt;0,COPY!G891,"")</f>
        <v/>
      </c>
      <c r="F893" s="88" t="str">
        <f>IF(COPY!J891&gt;0,COPY!J891,"")</f>
        <v/>
      </c>
      <c r="G893" s="85" t="str">
        <f>IF(COPY!H891&gt;0,COPY!H891,"")</f>
        <v/>
      </c>
      <c r="H893" s="85" t="str">
        <f>IF(COPY!I891&gt;0,COPY!I891,"")</f>
        <v/>
      </c>
      <c r="I893" s="85" t="str">
        <f>IF(COPY!M891&gt;0,COPY!M891,"")</f>
        <v/>
      </c>
      <c r="J893" s="85" t="str">
        <f>IF(COPY!N891&gt;0,COPY!N891,"")</f>
        <v/>
      </c>
      <c r="K893" s="86" t="str">
        <f>IF(N893=0,(IF(LEFT(Table13[[#This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Row],[URAIAN]],$U$194:$V$210,2,FALSE),""),""),0))))),N893)</f>
        <v/>
      </c>
      <c r="L893" s="85" t="str">
        <f>IF(Table13[[#This Row],[Column2]]="KWITANSI",COUNTIF($K$4:K893,"KWITANSI")," ")</f>
        <v xml:space="preserve"> </v>
      </c>
      <c r="M893" s="85" t="str">
        <f>IF(Table13[[#This Row],[Column3]]=" "," ",Table13[[#This Row],[CODE]])</f>
        <v xml:space="preserve"> </v>
      </c>
      <c r="N893" s="368"/>
      <c r="P893" s="81" t="str">
        <f t="shared" si="13"/>
        <v/>
      </c>
    </row>
    <row r="894" spans="1:16" hidden="1" x14ac:dyDescent="0.15">
      <c r="A894" s="81" t="str">
        <f>COPY!O892</f>
        <v/>
      </c>
      <c r="B894" s="81" t="str">
        <f>COPY!C892</f>
        <v/>
      </c>
      <c r="C894" s="82" t="str">
        <f>COPY!D892</f>
        <v/>
      </c>
      <c r="D894" s="81" t="str">
        <f>IF(Table13[[#This Row],[JUMLAH]]&gt;1,(IF(Table13[[#This Row],[CODE]]=" ",D893&amp;"a",IF(Table13[[#This Row],[CODE]]&gt;0,Table13[[#This Row],[CODE]],0))),"")</f>
        <v/>
      </c>
      <c r="E894" s="81" t="str">
        <f>IF(COPY!G892&gt;0,COPY!G892,"")</f>
        <v/>
      </c>
      <c r="F894" s="88" t="str">
        <f>IF(COPY!J892&gt;0,COPY!J892,"")</f>
        <v/>
      </c>
      <c r="G894" s="85" t="str">
        <f>IF(COPY!H892&gt;0,COPY!H892,"")</f>
        <v/>
      </c>
      <c r="H894" s="85" t="str">
        <f>IF(COPY!I892&gt;0,COPY!I892,"")</f>
        <v/>
      </c>
      <c r="I894" s="85" t="str">
        <f>IF(COPY!M892&gt;0,COPY!M892,"")</f>
        <v/>
      </c>
      <c r="J894" s="85" t="str">
        <f>IF(COPY!N892&gt;0,COPY!N892,"")</f>
        <v/>
      </c>
      <c r="K894" s="86" t="str">
        <f>IF(N894=0,(IF(LEFT(Table13[[#This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Row],[URAIAN]],$U$194:$V$210,2,FALSE),""),""),0))))),N894)</f>
        <v/>
      </c>
      <c r="L894" s="85" t="str">
        <f>IF(Table13[[#This Row],[Column2]]="KWITANSI",COUNTIF($K$4:K894,"KWITANSI")," ")</f>
        <v xml:space="preserve"> </v>
      </c>
      <c r="M894" s="85" t="str">
        <f>IF(Table13[[#This Row],[Column3]]=" "," ",Table13[[#This Row],[CODE]])</f>
        <v xml:space="preserve"> </v>
      </c>
      <c r="N894" s="368"/>
      <c r="P894" s="81" t="str">
        <f t="shared" si="13"/>
        <v/>
      </c>
    </row>
    <row r="895" spans="1:16" hidden="1" x14ac:dyDescent="0.15">
      <c r="A895" s="81" t="str">
        <f>COPY!O893</f>
        <v/>
      </c>
      <c r="B895" s="81" t="str">
        <f>COPY!C893</f>
        <v/>
      </c>
      <c r="C895" s="82" t="str">
        <f>COPY!D893</f>
        <v/>
      </c>
      <c r="D895" s="81" t="str">
        <f>IF(Table13[[#This Row],[JUMLAH]]&gt;1,(IF(Table13[[#This Row],[CODE]]=" ",D894&amp;"a",IF(Table13[[#This Row],[CODE]]&gt;0,Table13[[#This Row],[CODE]],0))),"")</f>
        <v/>
      </c>
      <c r="E895" s="81" t="str">
        <f>IF(COPY!G893&gt;0,COPY!G893,"")</f>
        <v/>
      </c>
      <c r="F895" s="88" t="str">
        <f>IF(COPY!J893&gt;0,COPY!J893,"")</f>
        <v/>
      </c>
      <c r="G895" s="85" t="str">
        <f>IF(COPY!H893&gt;0,COPY!H893,"")</f>
        <v/>
      </c>
      <c r="H895" s="85" t="str">
        <f>IF(COPY!I893&gt;0,COPY!I893,"")</f>
        <v/>
      </c>
      <c r="I895" s="85" t="str">
        <f>IF(COPY!M893&gt;0,COPY!M893,"")</f>
        <v/>
      </c>
      <c r="J895" s="85" t="str">
        <f>IF(COPY!N893&gt;0,COPY!N893,"")</f>
        <v/>
      </c>
      <c r="K895" s="86" t="str">
        <f>IF(N895=0,(IF(LEFT(Table13[[#This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Row],[URAIAN]],$U$194:$V$210,2,FALSE),""),""),0))))),N895)</f>
        <v/>
      </c>
      <c r="L895" s="85" t="str">
        <f>IF(Table13[[#This Row],[Column2]]="KWITANSI",COUNTIF($K$4:K895,"KWITANSI")," ")</f>
        <v xml:space="preserve"> </v>
      </c>
      <c r="M895" s="85" t="str">
        <f>IF(Table13[[#This Row],[Column3]]=" "," ",Table13[[#This Row],[CODE]])</f>
        <v xml:space="preserve"> </v>
      </c>
      <c r="N895" s="368"/>
      <c r="P895" s="81" t="str">
        <f t="shared" si="13"/>
        <v/>
      </c>
    </row>
    <row r="896" spans="1:16" hidden="1" x14ac:dyDescent="0.15">
      <c r="A896" s="81" t="str">
        <f>COPY!O894</f>
        <v/>
      </c>
      <c r="B896" s="81" t="str">
        <f>COPY!C894</f>
        <v/>
      </c>
      <c r="C896" s="82" t="str">
        <f>COPY!D894</f>
        <v/>
      </c>
      <c r="D896" s="81" t="str">
        <f>IF(Table13[[#This Row],[JUMLAH]]&gt;1,(IF(Table13[[#This Row],[CODE]]=" ",D895&amp;"a",IF(Table13[[#This Row],[CODE]]&gt;0,Table13[[#This Row],[CODE]],0))),"")</f>
        <v/>
      </c>
      <c r="E896" s="81" t="str">
        <f>IF(COPY!G894&gt;0,COPY!G894,"")</f>
        <v/>
      </c>
      <c r="F896" s="88" t="str">
        <f>IF(COPY!J894&gt;0,COPY!J894,"")</f>
        <v/>
      </c>
      <c r="G896" s="85" t="str">
        <f>IF(COPY!H894&gt;0,COPY!H894,"")</f>
        <v/>
      </c>
      <c r="H896" s="85" t="str">
        <f>IF(COPY!I894&gt;0,COPY!I894,"")</f>
        <v/>
      </c>
      <c r="I896" s="85" t="str">
        <f>IF(COPY!M894&gt;0,COPY!M894,"")</f>
        <v/>
      </c>
      <c r="J896" s="85" t="str">
        <f>IF(COPY!N894&gt;0,COPY!N894,"")</f>
        <v/>
      </c>
      <c r="K896" s="86" t="str">
        <f>IF(N896=0,(IF(LEFT(Table13[[#This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Row],[URAIAN]],$U$194:$V$210,2,FALSE),""),""),0))))),N896)</f>
        <v/>
      </c>
      <c r="L896" s="85" t="str">
        <f>IF(Table13[[#This Row],[Column2]]="KWITANSI",COUNTIF($K$4:K896,"KWITANSI")," ")</f>
        <v xml:space="preserve"> </v>
      </c>
      <c r="M896" s="85" t="str">
        <f>IF(Table13[[#This Row],[Column3]]=" "," ",Table13[[#This Row],[CODE]])</f>
        <v xml:space="preserve"> </v>
      </c>
      <c r="N896" s="368"/>
      <c r="P896" s="81" t="str">
        <f t="shared" si="13"/>
        <v/>
      </c>
    </row>
    <row r="897" spans="1:16" hidden="1" x14ac:dyDescent="0.15">
      <c r="A897" s="81" t="str">
        <f>COPY!O895</f>
        <v/>
      </c>
      <c r="B897" s="81" t="str">
        <f>COPY!C895</f>
        <v/>
      </c>
      <c r="C897" s="82" t="str">
        <f>COPY!D895</f>
        <v/>
      </c>
      <c r="D897" s="81" t="str">
        <f>IF(Table13[[#This Row],[JUMLAH]]&gt;1,(IF(Table13[[#This Row],[CODE]]=" ",D896&amp;"a",IF(Table13[[#This Row],[CODE]]&gt;0,Table13[[#This Row],[CODE]],0))),"")</f>
        <v/>
      </c>
      <c r="E897" s="81" t="str">
        <f>IF(COPY!G895&gt;0,COPY!G895,"")</f>
        <v/>
      </c>
      <c r="F897" s="88" t="str">
        <f>IF(COPY!J895&gt;0,COPY!J895,"")</f>
        <v/>
      </c>
      <c r="G897" s="85" t="str">
        <f>IF(COPY!H895&gt;0,COPY!H895,"")</f>
        <v/>
      </c>
      <c r="H897" s="85" t="str">
        <f>IF(COPY!I895&gt;0,COPY!I895,"")</f>
        <v/>
      </c>
      <c r="I897" s="85" t="str">
        <f>IF(COPY!M895&gt;0,COPY!M895,"")</f>
        <v/>
      </c>
      <c r="J897" s="85" t="str">
        <f>IF(COPY!N895&gt;0,COPY!N895,"")</f>
        <v/>
      </c>
      <c r="K897" s="86" t="str">
        <f>IF(N897=0,(IF(LEFT(Table13[[#This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Row],[URAIAN]],$U$194:$V$210,2,FALSE),""),""),0))))),N897)</f>
        <v/>
      </c>
      <c r="L897" s="85" t="str">
        <f>IF(Table13[[#This Row],[Column2]]="KWITANSI",COUNTIF($K$4:K897,"KWITANSI")," ")</f>
        <v xml:space="preserve"> </v>
      </c>
      <c r="M897" s="85" t="str">
        <f>IF(Table13[[#This Row],[Column3]]=" "," ",Table13[[#This Row],[CODE]])</f>
        <v xml:space="preserve"> </v>
      </c>
      <c r="N897" s="368"/>
      <c r="P897" s="81" t="str">
        <f t="shared" si="13"/>
        <v/>
      </c>
    </row>
    <row r="898" spans="1:16" hidden="1" x14ac:dyDescent="0.15">
      <c r="A898" s="81" t="str">
        <f>COPY!O896</f>
        <v/>
      </c>
      <c r="B898" s="81" t="str">
        <f>COPY!C896</f>
        <v/>
      </c>
      <c r="C898" s="82" t="str">
        <f>COPY!D896</f>
        <v/>
      </c>
      <c r="D898" s="81" t="str">
        <f>IF(Table13[[#This Row],[JUMLAH]]&gt;1,(IF(Table13[[#This Row],[CODE]]=" ",D897&amp;"a",IF(Table13[[#This Row],[CODE]]&gt;0,Table13[[#This Row],[CODE]],0))),"")</f>
        <v/>
      </c>
      <c r="E898" s="81" t="str">
        <f>IF(COPY!G896&gt;0,COPY!G896,"")</f>
        <v/>
      </c>
      <c r="F898" s="88" t="str">
        <f>IF(COPY!J896&gt;0,COPY!J896,"")</f>
        <v/>
      </c>
      <c r="G898" s="85" t="str">
        <f>IF(COPY!H896&gt;0,COPY!H896,"")</f>
        <v/>
      </c>
      <c r="H898" s="85" t="str">
        <f>IF(COPY!I896&gt;0,COPY!I896,"")</f>
        <v/>
      </c>
      <c r="I898" s="85" t="str">
        <f>IF(COPY!M896&gt;0,COPY!M896,"")</f>
        <v/>
      </c>
      <c r="J898" s="85" t="str">
        <f>IF(COPY!N896&gt;0,COPY!N896,"")</f>
        <v/>
      </c>
      <c r="K898" s="86" t="str">
        <f>IF(N898=0,(IF(LEFT(Table13[[#This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Row],[URAIAN]],$U$194:$V$210,2,FALSE),""),""),0))))),N898)</f>
        <v/>
      </c>
      <c r="L898" s="85" t="str">
        <f>IF(Table13[[#This Row],[Column2]]="KWITANSI",COUNTIF($K$4:K898,"KWITANSI")," ")</f>
        <v xml:space="preserve"> </v>
      </c>
      <c r="M898" s="85" t="str">
        <f>IF(Table13[[#This Row],[Column3]]=" "," ",Table13[[#This Row],[CODE]])</f>
        <v xml:space="preserve"> </v>
      </c>
      <c r="N898" s="368"/>
      <c r="P898" s="81" t="str">
        <f t="shared" ref="P898:P961" si="14">IF(-$O$4+($O$4+ROW())&lt;=$O$4,-$O$4+($O$4+ROW()),"")</f>
        <v/>
      </c>
    </row>
    <row r="899" spans="1:16" hidden="1" x14ac:dyDescent="0.15">
      <c r="A899" s="81" t="str">
        <f>COPY!O897</f>
        <v/>
      </c>
      <c r="B899" s="81" t="str">
        <f>COPY!C897</f>
        <v/>
      </c>
      <c r="C899" s="82" t="str">
        <f>COPY!D897</f>
        <v/>
      </c>
      <c r="D899" s="81" t="str">
        <f>IF(Table13[[#This Row],[JUMLAH]]&gt;1,(IF(Table13[[#This Row],[CODE]]=" ",D898&amp;"a",IF(Table13[[#This Row],[CODE]]&gt;0,Table13[[#This Row],[CODE]],0))),"")</f>
        <v/>
      </c>
      <c r="E899" s="81" t="str">
        <f>IF(COPY!G897&gt;0,COPY!G897,"")</f>
        <v/>
      </c>
      <c r="F899" s="88" t="str">
        <f>IF(COPY!J897&gt;0,COPY!J897,"")</f>
        <v/>
      </c>
      <c r="G899" s="85" t="str">
        <f>IF(COPY!H897&gt;0,COPY!H897,"")</f>
        <v/>
      </c>
      <c r="H899" s="85" t="str">
        <f>IF(COPY!I897&gt;0,COPY!I897,"")</f>
        <v/>
      </c>
      <c r="I899" s="85" t="str">
        <f>IF(COPY!M897&gt;0,COPY!M897,"")</f>
        <v/>
      </c>
      <c r="J899" s="85" t="str">
        <f>IF(COPY!N897&gt;0,COPY!N897,"")</f>
        <v/>
      </c>
      <c r="K899" s="86" t="str">
        <f>IF(N899=0,(IF(LEFT(Table13[[#This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Row],[URAIAN]],$U$194:$V$210,2,FALSE),""),""),0))))),N899)</f>
        <v/>
      </c>
      <c r="L899" s="85" t="str">
        <f>IF(Table13[[#This Row],[Column2]]="KWITANSI",COUNTIF($K$4:K899,"KWITANSI")," ")</f>
        <v xml:space="preserve"> </v>
      </c>
      <c r="M899" s="85" t="str">
        <f>IF(Table13[[#This Row],[Column3]]=" "," ",Table13[[#This Row],[CODE]])</f>
        <v xml:space="preserve"> </v>
      </c>
      <c r="N899" s="368"/>
      <c r="P899" s="81" t="str">
        <f t="shared" si="14"/>
        <v/>
      </c>
    </row>
    <row r="900" spans="1:16" hidden="1" x14ac:dyDescent="0.15">
      <c r="A900" s="81" t="str">
        <f>COPY!O898</f>
        <v/>
      </c>
      <c r="B900" s="81" t="str">
        <f>COPY!C898</f>
        <v/>
      </c>
      <c r="C900" s="82" t="str">
        <f>COPY!D898</f>
        <v/>
      </c>
      <c r="D900" s="81" t="str">
        <f>IF(Table13[[#This Row],[JUMLAH]]&gt;1,(IF(Table13[[#This Row],[CODE]]=" ",D899&amp;"a",IF(Table13[[#This Row],[CODE]]&gt;0,Table13[[#This Row],[CODE]],0))),"")</f>
        <v/>
      </c>
      <c r="E900" s="81" t="str">
        <f>IF(COPY!G898&gt;0,COPY!G898,"")</f>
        <v/>
      </c>
      <c r="F900" s="88" t="str">
        <f>IF(COPY!J898&gt;0,COPY!J898,"")</f>
        <v/>
      </c>
      <c r="G900" s="85" t="str">
        <f>IF(COPY!H898&gt;0,COPY!H898,"")</f>
        <v/>
      </c>
      <c r="H900" s="85" t="str">
        <f>IF(COPY!I898&gt;0,COPY!I898,"")</f>
        <v/>
      </c>
      <c r="I900" s="85" t="str">
        <f>IF(COPY!M898&gt;0,COPY!M898,"")</f>
        <v/>
      </c>
      <c r="J900" s="85" t="str">
        <f>IF(COPY!N898&gt;0,COPY!N898,"")</f>
        <v/>
      </c>
      <c r="K900" s="86" t="str">
        <f>IF(N900=0,(IF(LEFT(Table13[[#This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Row],[URAIAN]],$U$194:$V$210,2,FALSE),""),""),0))))),N900)</f>
        <v/>
      </c>
      <c r="L900" s="85" t="str">
        <f>IF(Table13[[#This Row],[Column2]]="KWITANSI",COUNTIF($K$4:K900,"KWITANSI")," ")</f>
        <v xml:space="preserve"> </v>
      </c>
      <c r="M900" s="85" t="str">
        <f>IF(Table13[[#This Row],[Column3]]=" "," ",Table13[[#This Row],[CODE]])</f>
        <v xml:space="preserve"> </v>
      </c>
      <c r="N900" s="368"/>
      <c r="P900" s="81" t="str">
        <f t="shared" si="14"/>
        <v/>
      </c>
    </row>
    <row r="901" spans="1:16" hidden="1" x14ac:dyDescent="0.15">
      <c r="A901" s="81" t="str">
        <f>COPY!O899</f>
        <v/>
      </c>
      <c r="B901" s="81" t="str">
        <f>COPY!C899</f>
        <v/>
      </c>
      <c r="C901" s="82" t="str">
        <f>COPY!D899</f>
        <v/>
      </c>
      <c r="D901" s="81" t="str">
        <f>IF(Table13[[#This Row],[JUMLAH]]&gt;1,(IF(Table13[[#This Row],[CODE]]=" ",D900&amp;"a",IF(Table13[[#This Row],[CODE]]&gt;0,Table13[[#This Row],[CODE]],0))),"")</f>
        <v/>
      </c>
      <c r="E901" s="81" t="str">
        <f>IF(COPY!G899&gt;0,COPY!G899,"")</f>
        <v/>
      </c>
      <c r="F901" s="88" t="str">
        <f>IF(COPY!J899&gt;0,COPY!J899,"")</f>
        <v/>
      </c>
      <c r="G901" s="85" t="str">
        <f>IF(COPY!H899&gt;0,COPY!H899,"")</f>
        <v/>
      </c>
      <c r="H901" s="85" t="str">
        <f>IF(COPY!I899&gt;0,COPY!I899,"")</f>
        <v/>
      </c>
      <c r="I901" s="85" t="str">
        <f>IF(COPY!M899&gt;0,COPY!M899,"")</f>
        <v/>
      </c>
      <c r="J901" s="85" t="str">
        <f>IF(COPY!N899&gt;0,COPY!N899,"")</f>
        <v/>
      </c>
      <c r="K901" s="86" t="str">
        <f>IF(N901=0,(IF(LEFT(Table13[[#This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Row],[URAIAN]],$U$194:$V$210,2,FALSE),""),""),0))))),N901)</f>
        <v/>
      </c>
      <c r="L901" s="85" t="str">
        <f>IF(Table13[[#This Row],[Column2]]="KWITANSI",COUNTIF($K$4:K901,"KWITANSI")," ")</f>
        <v xml:space="preserve"> </v>
      </c>
      <c r="M901" s="85" t="str">
        <f>IF(Table13[[#This Row],[Column3]]=" "," ",Table13[[#This Row],[CODE]])</f>
        <v xml:space="preserve"> </v>
      </c>
      <c r="N901" s="368"/>
      <c r="P901" s="81" t="str">
        <f t="shared" si="14"/>
        <v/>
      </c>
    </row>
    <row r="902" spans="1:16" hidden="1" x14ac:dyDescent="0.15">
      <c r="A902" s="81" t="str">
        <f>COPY!O900</f>
        <v/>
      </c>
      <c r="B902" s="81" t="str">
        <f>COPY!C900</f>
        <v/>
      </c>
      <c r="C902" s="82" t="str">
        <f>COPY!D900</f>
        <v/>
      </c>
      <c r="D902" s="81" t="str">
        <f>IF(Table13[[#This Row],[JUMLAH]]&gt;1,(IF(Table13[[#This Row],[CODE]]=" ",D901&amp;"a",IF(Table13[[#This Row],[CODE]]&gt;0,Table13[[#This Row],[CODE]],0))),"")</f>
        <v/>
      </c>
      <c r="E902" s="81" t="str">
        <f>IF(COPY!G900&gt;0,COPY!G900,"")</f>
        <v/>
      </c>
      <c r="F902" s="88" t="str">
        <f>IF(COPY!J900&gt;0,COPY!J900,"")</f>
        <v/>
      </c>
      <c r="G902" s="85" t="str">
        <f>IF(COPY!H900&gt;0,COPY!H900,"")</f>
        <v/>
      </c>
      <c r="H902" s="85" t="str">
        <f>IF(COPY!I900&gt;0,COPY!I900,"")</f>
        <v/>
      </c>
      <c r="I902" s="85" t="str">
        <f>IF(COPY!M900&gt;0,COPY!M900,"")</f>
        <v/>
      </c>
      <c r="J902" s="85" t="str">
        <f>IF(COPY!N900&gt;0,COPY!N900,"")</f>
        <v/>
      </c>
      <c r="K902" s="86" t="str">
        <f>IF(N902=0,(IF(LEFT(Table13[[#This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Row],[URAIAN]],$U$194:$V$210,2,FALSE),""),""),0))))),N902)</f>
        <v/>
      </c>
      <c r="L902" s="85" t="str">
        <f>IF(Table13[[#This Row],[Column2]]="KWITANSI",COUNTIF($K$4:K902,"KWITANSI")," ")</f>
        <v xml:space="preserve"> </v>
      </c>
      <c r="M902" s="85" t="str">
        <f>IF(Table13[[#This Row],[Column3]]=" "," ",Table13[[#This Row],[CODE]])</f>
        <v xml:space="preserve"> </v>
      </c>
      <c r="N902" s="368"/>
      <c r="P902" s="81" t="str">
        <f t="shared" si="14"/>
        <v/>
      </c>
    </row>
    <row r="903" spans="1:16" hidden="1" x14ac:dyDescent="0.15">
      <c r="A903" s="81" t="str">
        <f>COPY!O901</f>
        <v/>
      </c>
      <c r="B903" s="81" t="str">
        <f>COPY!C901</f>
        <v/>
      </c>
      <c r="C903" s="82" t="str">
        <f>COPY!D901</f>
        <v/>
      </c>
      <c r="D903" s="81" t="str">
        <f>IF(Table13[[#This Row],[JUMLAH]]&gt;1,(IF(Table13[[#This Row],[CODE]]=" ",D902&amp;"a",IF(Table13[[#This Row],[CODE]]&gt;0,Table13[[#This Row],[CODE]],0))),"")</f>
        <v/>
      </c>
      <c r="E903" s="81" t="str">
        <f>IF(COPY!G901&gt;0,COPY!G901,"")</f>
        <v/>
      </c>
      <c r="F903" s="88" t="str">
        <f>IF(COPY!J901&gt;0,COPY!J901,"")</f>
        <v/>
      </c>
      <c r="G903" s="85" t="str">
        <f>IF(COPY!H901&gt;0,COPY!H901,"")</f>
        <v/>
      </c>
      <c r="H903" s="85" t="str">
        <f>IF(COPY!I901&gt;0,COPY!I901,"")</f>
        <v/>
      </c>
      <c r="I903" s="85" t="str">
        <f>IF(COPY!M901&gt;0,COPY!M901,"")</f>
        <v/>
      </c>
      <c r="J903" s="85" t="str">
        <f>IF(COPY!N901&gt;0,COPY!N901,"")</f>
        <v/>
      </c>
      <c r="K903" s="86" t="str">
        <f>IF(N903=0,(IF(LEFT(Table13[[#This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Row],[URAIAN]],$U$194:$V$210,2,FALSE),""),""),0))))),N903)</f>
        <v/>
      </c>
      <c r="L903" s="85" t="str">
        <f>IF(Table13[[#This Row],[Column2]]="KWITANSI",COUNTIF($K$4:K903,"KWITANSI")," ")</f>
        <v xml:space="preserve"> </v>
      </c>
      <c r="M903" s="85" t="str">
        <f>IF(Table13[[#This Row],[Column3]]=" "," ",Table13[[#This Row],[CODE]])</f>
        <v xml:space="preserve"> </v>
      </c>
      <c r="N903" s="368"/>
      <c r="P903" s="81" t="str">
        <f t="shared" si="14"/>
        <v/>
      </c>
    </row>
    <row r="904" spans="1:16" hidden="1" x14ac:dyDescent="0.15">
      <c r="A904" s="81" t="str">
        <f>COPY!O902</f>
        <v/>
      </c>
      <c r="B904" s="81" t="str">
        <f>COPY!C902</f>
        <v/>
      </c>
      <c r="C904" s="82" t="str">
        <f>COPY!D902</f>
        <v/>
      </c>
      <c r="D904" s="81" t="str">
        <f>IF(Table13[[#This Row],[JUMLAH]]&gt;1,(IF(Table13[[#This Row],[CODE]]=" ",D903&amp;"a",IF(Table13[[#This Row],[CODE]]&gt;0,Table13[[#This Row],[CODE]],0))),"")</f>
        <v/>
      </c>
      <c r="E904" s="81" t="str">
        <f>IF(COPY!G902&gt;0,COPY!G902,"")</f>
        <v/>
      </c>
      <c r="F904" s="88" t="str">
        <f>IF(COPY!J902&gt;0,COPY!J902,"")</f>
        <v/>
      </c>
      <c r="G904" s="85" t="str">
        <f>IF(COPY!H902&gt;0,COPY!H902,"")</f>
        <v/>
      </c>
      <c r="H904" s="85" t="str">
        <f>IF(COPY!I902&gt;0,COPY!I902,"")</f>
        <v/>
      </c>
      <c r="I904" s="85" t="str">
        <f>IF(COPY!M902&gt;0,COPY!M902,"")</f>
        <v/>
      </c>
      <c r="J904" s="85" t="str">
        <f>IF(COPY!N902&gt;0,COPY!N902,"")</f>
        <v/>
      </c>
      <c r="K904" s="86" t="str">
        <f>IF(N904=0,(IF(LEFT(Table13[[#This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Row],[URAIAN]],$U$194:$V$210,2,FALSE),""),""),0))))),N904)</f>
        <v/>
      </c>
      <c r="L904" s="85" t="str">
        <f>IF(Table13[[#This Row],[Column2]]="KWITANSI",COUNTIF($K$4:K904,"KWITANSI")," ")</f>
        <v xml:space="preserve"> </v>
      </c>
      <c r="M904" s="85" t="str">
        <f>IF(Table13[[#This Row],[Column3]]=" "," ",Table13[[#This Row],[CODE]])</f>
        <v xml:space="preserve"> </v>
      </c>
      <c r="N904" s="368"/>
      <c r="P904" s="81" t="str">
        <f t="shared" si="14"/>
        <v/>
      </c>
    </row>
    <row r="905" spans="1:16" hidden="1" x14ac:dyDescent="0.15">
      <c r="A905" s="81" t="str">
        <f>COPY!O903</f>
        <v/>
      </c>
      <c r="B905" s="81" t="str">
        <f>COPY!C903</f>
        <v/>
      </c>
      <c r="C905" s="82" t="str">
        <f>COPY!D903</f>
        <v/>
      </c>
      <c r="D905" s="81" t="str">
        <f>IF(Table13[[#This Row],[JUMLAH]]&gt;1,(IF(Table13[[#This Row],[CODE]]=" ",D904&amp;"a",IF(Table13[[#This Row],[CODE]]&gt;0,Table13[[#This Row],[CODE]],0))),"")</f>
        <v/>
      </c>
      <c r="E905" s="81" t="str">
        <f>IF(COPY!G903&gt;0,COPY!G903,"")</f>
        <v/>
      </c>
      <c r="F905" s="88" t="str">
        <f>IF(COPY!J903&gt;0,COPY!J903,"")</f>
        <v/>
      </c>
      <c r="G905" s="85" t="str">
        <f>IF(COPY!H903&gt;0,COPY!H903,"")</f>
        <v/>
      </c>
      <c r="H905" s="85" t="str">
        <f>IF(COPY!I903&gt;0,COPY!I903,"")</f>
        <v/>
      </c>
      <c r="I905" s="85" t="str">
        <f>IF(COPY!M903&gt;0,COPY!M903,"")</f>
        <v/>
      </c>
      <c r="J905" s="85" t="str">
        <f>IF(COPY!N903&gt;0,COPY!N903,"")</f>
        <v/>
      </c>
      <c r="K905" s="86" t="str">
        <f>IF(N905=0,(IF(LEFT(Table13[[#This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Row],[URAIAN]],$U$194:$V$210,2,FALSE),""),""),0))))),N905)</f>
        <v/>
      </c>
      <c r="L905" s="85" t="str">
        <f>IF(Table13[[#This Row],[Column2]]="KWITANSI",COUNTIF($K$4:K905,"KWITANSI")," ")</f>
        <v xml:space="preserve"> </v>
      </c>
      <c r="M905" s="85" t="str">
        <f>IF(Table13[[#This Row],[Column3]]=" "," ",Table13[[#This Row],[CODE]])</f>
        <v xml:space="preserve"> </v>
      </c>
      <c r="N905" s="368"/>
      <c r="P905" s="81" t="str">
        <f t="shared" si="14"/>
        <v/>
      </c>
    </row>
    <row r="906" spans="1:16" hidden="1" x14ac:dyDescent="0.15">
      <c r="A906" s="81" t="str">
        <f>COPY!O904</f>
        <v/>
      </c>
      <c r="B906" s="81" t="str">
        <f>COPY!C904</f>
        <v/>
      </c>
      <c r="C906" s="82" t="str">
        <f>COPY!D904</f>
        <v/>
      </c>
      <c r="D906" s="81" t="str">
        <f>IF(Table13[[#This Row],[JUMLAH]]&gt;1,(IF(Table13[[#This Row],[CODE]]=" ",D905&amp;"a",IF(Table13[[#This Row],[CODE]]&gt;0,Table13[[#This Row],[CODE]],0))),"")</f>
        <v/>
      </c>
      <c r="E906" s="81" t="str">
        <f>IF(COPY!G904&gt;0,COPY!G904,"")</f>
        <v/>
      </c>
      <c r="F906" s="88" t="str">
        <f>IF(COPY!J904&gt;0,COPY!J904,"")</f>
        <v/>
      </c>
      <c r="G906" s="85" t="str">
        <f>IF(COPY!H904&gt;0,COPY!H904,"")</f>
        <v/>
      </c>
      <c r="H906" s="85" t="str">
        <f>IF(COPY!I904&gt;0,COPY!I904,"")</f>
        <v/>
      </c>
      <c r="I906" s="85" t="str">
        <f>IF(COPY!M904&gt;0,COPY!M904,"")</f>
        <v/>
      </c>
      <c r="J906" s="85" t="str">
        <f>IF(COPY!N904&gt;0,COPY!N904,"")</f>
        <v/>
      </c>
      <c r="K906" s="86" t="str">
        <f>IF(N906=0,(IF(LEFT(Table13[[#This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Row],[URAIAN]],$U$194:$V$210,2,FALSE),""),""),0))))),N906)</f>
        <v/>
      </c>
      <c r="L906" s="85" t="str">
        <f>IF(Table13[[#This Row],[Column2]]="KWITANSI",COUNTIF($K$4:K906,"KWITANSI")," ")</f>
        <v xml:space="preserve"> </v>
      </c>
      <c r="M906" s="85" t="str">
        <f>IF(Table13[[#This Row],[Column3]]=" "," ",Table13[[#This Row],[CODE]])</f>
        <v xml:space="preserve"> </v>
      </c>
      <c r="N906" s="368"/>
      <c r="P906" s="81" t="str">
        <f t="shared" si="14"/>
        <v/>
      </c>
    </row>
    <row r="907" spans="1:16" hidden="1" x14ac:dyDescent="0.15">
      <c r="A907" s="81" t="str">
        <f>COPY!O905</f>
        <v/>
      </c>
      <c r="B907" s="81" t="str">
        <f>COPY!C905</f>
        <v/>
      </c>
      <c r="C907" s="82" t="str">
        <f>COPY!D905</f>
        <v/>
      </c>
      <c r="D907" s="81" t="str">
        <f>IF(Table13[[#This Row],[JUMLAH]]&gt;1,(IF(Table13[[#This Row],[CODE]]=" ",D906&amp;"a",IF(Table13[[#This Row],[CODE]]&gt;0,Table13[[#This Row],[CODE]],0))),"")</f>
        <v/>
      </c>
      <c r="E907" s="81" t="str">
        <f>IF(COPY!G905&gt;0,COPY!G905,"")</f>
        <v/>
      </c>
      <c r="F907" s="88" t="str">
        <f>IF(COPY!J905&gt;0,COPY!J905,"")</f>
        <v/>
      </c>
      <c r="G907" s="85" t="str">
        <f>IF(COPY!H905&gt;0,COPY!H905,"")</f>
        <v/>
      </c>
      <c r="H907" s="85" t="str">
        <f>IF(COPY!I905&gt;0,COPY!I905,"")</f>
        <v/>
      </c>
      <c r="I907" s="85" t="str">
        <f>IF(COPY!M905&gt;0,COPY!M905,"")</f>
        <v/>
      </c>
      <c r="J907" s="85" t="str">
        <f>IF(COPY!N905&gt;0,COPY!N905,"")</f>
        <v/>
      </c>
      <c r="K907" s="86" t="str">
        <f>IF(N907=0,(IF(LEFT(Table13[[#This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Row],[URAIAN]],$U$194:$V$210,2,FALSE),""),""),0))))),N907)</f>
        <v/>
      </c>
      <c r="L907" s="85" t="str">
        <f>IF(Table13[[#This Row],[Column2]]="KWITANSI",COUNTIF($K$4:K907,"KWITANSI")," ")</f>
        <v xml:space="preserve"> </v>
      </c>
      <c r="M907" s="85" t="str">
        <f>IF(Table13[[#This Row],[Column3]]=" "," ",Table13[[#This Row],[CODE]])</f>
        <v xml:space="preserve"> </v>
      </c>
      <c r="N907" s="368"/>
      <c r="P907" s="81" t="str">
        <f t="shared" si="14"/>
        <v/>
      </c>
    </row>
    <row r="908" spans="1:16" hidden="1" x14ac:dyDescent="0.15">
      <c r="A908" s="81" t="str">
        <f>COPY!O906</f>
        <v/>
      </c>
      <c r="B908" s="81" t="str">
        <f>COPY!C906</f>
        <v/>
      </c>
      <c r="C908" s="82" t="str">
        <f>COPY!D906</f>
        <v/>
      </c>
      <c r="D908" s="81" t="str">
        <f>IF(Table13[[#This Row],[JUMLAH]]&gt;1,(IF(Table13[[#This Row],[CODE]]=" ",D907&amp;"a",IF(Table13[[#This Row],[CODE]]&gt;0,Table13[[#This Row],[CODE]],0))),"")</f>
        <v/>
      </c>
      <c r="E908" s="81" t="str">
        <f>IF(COPY!G906&gt;0,COPY!G906,"")</f>
        <v/>
      </c>
      <c r="F908" s="88" t="str">
        <f>IF(COPY!J906&gt;0,COPY!J906,"")</f>
        <v/>
      </c>
      <c r="G908" s="85" t="str">
        <f>IF(COPY!H906&gt;0,COPY!H906,"")</f>
        <v/>
      </c>
      <c r="H908" s="85" t="str">
        <f>IF(COPY!I906&gt;0,COPY!I906,"")</f>
        <v/>
      </c>
      <c r="I908" s="85" t="str">
        <f>IF(COPY!M906&gt;0,COPY!M906,"")</f>
        <v/>
      </c>
      <c r="J908" s="85" t="str">
        <f>IF(COPY!N906&gt;0,COPY!N906,"")</f>
        <v/>
      </c>
      <c r="K908" s="86" t="str">
        <f>IF(N908=0,(IF(LEFT(Table13[[#This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Row],[URAIAN]],$U$194:$V$210,2,FALSE),""),""),0))))),N908)</f>
        <v/>
      </c>
      <c r="L908" s="85" t="str">
        <f>IF(Table13[[#This Row],[Column2]]="KWITANSI",COUNTIF($K$4:K908,"KWITANSI")," ")</f>
        <v xml:space="preserve"> </v>
      </c>
      <c r="M908" s="85" t="str">
        <f>IF(Table13[[#This Row],[Column3]]=" "," ",Table13[[#This Row],[CODE]])</f>
        <v xml:space="preserve"> </v>
      </c>
      <c r="N908" s="368"/>
      <c r="P908" s="81" t="str">
        <f t="shared" si="14"/>
        <v/>
      </c>
    </row>
    <row r="909" spans="1:16" hidden="1" x14ac:dyDescent="0.15">
      <c r="A909" s="81" t="str">
        <f>COPY!O907</f>
        <v/>
      </c>
      <c r="B909" s="81" t="str">
        <f>COPY!C907</f>
        <v/>
      </c>
      <c r="C909" s="82" t="str">
        <f>COPY!D907</f>
        <v/>
      </c>
      <c r="D909" s="81" t="str">
        <f>IF(Table13[[#This Row],[JUMLAH]]&gt;1,(IF(Table13[[#This Row],[CODE]]=" ",D908&amp;"a",IF(Table13[[#This Row],[CODE]]&gt;0,Table13[[#This Row],[CODE]],0))),"")</f>
        <v/>
      </c>
      <c r="E909" s="81" t="str">
        <f>IF(COPY!G907&gt;0,COPY!G907,"")</f>
        <v/>
      </c>
      <c r="F909" s="88" t="str">
        <f>IF(COPY!J907&gt;0,COPY!J907,"")</f>
        <v/>
      </c>
      <c r="G909" s="85" t="str">
        <f>IF(COPY!H907&gt;0,COPY!H907,"")</f>
        <v/>
      </c>
      <c r="H909" s="85" t="str">
        <f>IF(COPY!I907&gt;0,COPY!I907,"")</f>
        <v/>
      </c>
      <c r="I909" s="85" t="str">
        <f>IF(COPY!M907&gt;0,COPY!M907,"")</f>
        <v/>
      </c>
      <c r="J909" s="85" t="str">
        <f>IF(COPY!N907&gt;0,COPY!N907,"")</f>
        <v/>
      </c>
      <c r="K909" s="86" t="str">
        <f>IF(N909=0,(IF(LEFT(Table13[[#This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Row],[URAIAN]],$U$194:$V$210,2,FALSE),""),""),0))))),N909)</f>
        <v/>
      </c>
      <c r="L909" s="85" t="str">
        <f>IF(Table13[[#This Row],[Column2]]="KWITANSI",COUNTIF($K$4:K909,"KWITANSI")," ")</f>
        <v xml:space="preserve"> </v>
      </c>
      <c r="M909" s="85" t="str">
        <f>IF(Table13[[#This Row],[Column3]]=" "," ",Table13[[#This Row],[CODE]])</f>
        <v xml:space="preserve"> </v>
      </c>
      <c r="N909" s="368"/>
      <c r="P909" s="81" t="str">
        <f t="shared" si="14"/>
        <v/>
      </c>
    </row>
    <row r="910" spans="1:16" hidden="1" x14ac:dyDescent="0.15">
      <c r="A910" s="81" t="str">
        <f>COPY!O908</f>
        <v/>
      </c>
      <c r="B910" s="81" t="str">
        <f>COPY!C908</f>
        <v/>
      </c>
      <c r="C910" s="82" t="str">
        <f>COPY!D908</f>
        <v/>
      </c>
      <c r="D910" s="81" t="str">
        <f>IF(Table13[[#This Row],[JUMLAH]]&gt;1,(IF(Table13[[#This Row],[CODE]]=" ",D909&amp;"a",IF(Table13[[#This Row],[CODE]]&gt;0,Table13[[#This Row],[CODE]],0))),"")</f>
        <v/>
      </c>
      <c r="E910" s="81" t="str">
        <f>IF(COPY!G908&gt;0,COPY!G908,"")</f>
        <v/>
      </c>
      <c r="F910" s="88" t="str">
        <f>IF(COPY!J908&gt;0,COPY!J908,"")</f>
        <v/>
      </c>
      <c r="G910" s="85" t="str">
        <f>IF(COPY!H908&gt;0,COPY!H908,"")</f>
        <v/>
      </c>
      <c r="H910" s="85" t="str">
        <f>IF(COPY!I908&gt;0,COPY!I908,"")</f>
        <v/>
      </c>
      <c r="I910" s="85" t="str">
        <f>IF(COPY!M908&gt;0,COPY!M908,"")</f>
        <v/>
      </c>
      <c r="J910" s="85" t="str">
        <f>IF(COPY!N908&gt;0,COPY!N908,"")</f>
        <v/>
      </c>
      <c r="K910" s="86" t="str">
        <f>IF(N910=0,(IF(LEFT(Table13[[#This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Row],[URAIAN]],$U$194:$V$210,2,FALSE),""),""),0))))),N910)</f>
        <v/>
      </c>
      <c r="L910" s="85" t="str">
        <f>IF(Table13[[#This Row],[Column2]]="KWITANSI",COUNTIF($K$4:K910,"KWITANSI")," ")</f>
        <v xml:space="preserve"> </v>
      </c>
      <c r="M910" s="85" t="str">
        <f>IF(Table13[[#This Row],[Column3]]=" "," ",Table13[[#This Row],[CODE]])</f>
        <v xml:space="preserve"> </v>
      </c>
      <c r="N910" s="368"/>
      <c r="P910" s="81" t="str">
        <f t="shared" si="14"/>
        <v/>
      </c>
    </row>
    <row r="911" spans="1:16" hidden="1" x14ac:dyDescent="0.15">
      <c r="A911" s="81" t="str">
        <f>COPY!O909</f>
        <v/>
      </c>
      <c r="B911" s="81" t="str">
        <f>COPY!C909</f>
        <v/>
      </c>
      <c r="C911" s="82" t="str">
        <f>COPY!D909</f>
        <v/>
      </c>
      <c r="D911" s="81" t="str">
        <f>IF(Table13[[#This Row],[JUMLAH]]&gt;1,(IF(Table13[[#This Row],[CODE]]=" ",D910&amp;"a",IF(Table13[[#This Row],[CODE]]&gt;0,Table13[[#This Row],[CODE]],0))),"")</f>
        <v/>
      </c>
      <c r="E911" s="81" t="str">
        <f>IF(COPY!G909&gt;0,COPY!G909,"")</f>
        <v/>
      </c>
      <c r="F911" s="88" t="str">
        <f>IF(COPY!J909&gt;0,COPY!J909,"")</f>
        <v/>
      </c>
      <c r="G911" s="85" t="str">
        <f>IF(COPY!H909&gt;0,COPY!H909,"")</f>
        <v/>
      </c>
      <c r="H911" s="85" t="str">
        <f>IF(COPY!I909&gt;0,COPY!I909,"")</f>
        <v/>
      </c>
      <c r="I911" s="85" t="str">
        <f>IF(COPY!M909&gt;0,COPY!M909,"")</f>
        <v/>
      </c>
      <c r="J911" s="85" t="str">
        <f>IF(COPY!N909&gt;0,COPY!N909,"")</f>
        <v/>
      </c>
      <c r="K911" s="86" t="str">
        <f>IF(N911=0,(IF(LEFT(Table13[[#This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Row],[URAIAN]],$U$194:$V$210,2,FALSE),""),""),0))))),N911)</f>
        <v/>
      </c>
      <c r="L911" s="85" t="str">
        <f>IF(Table13[[#This Row],[Column2]]="KWITANSI",COUNTIF($K$4:K911,"KWITANSI")," ")</f>
        <v xml:space="preserve"> </v>
      </c>
      <c r="M911" s="85" t="str">
        <f>IF(Table13[[#This Row],[Column3]]=" "," ",Table13[[#This Row],[CODE]])</f>
        <v xml:space="preserve"> </v>
      </c>
      <c r="N911" s="368"/>
      <c r="P911" s="81" t="str">
        <f t="shared" si="14"/>
        <v/>
      </c>
    </row>
    <row r="912" spans="1:16" hidden="1" x14ac:dyDescent="0.15">
      <c r="A912" s="81" t="str">
        <f>COPY!O910</f>
        <v/>
      </c>
      <c r="B912" s="81" t="str">
        <f>COPY!C910</f>
        <v/>
      </c>
      <c r="C912" s="82" t="str">
        <f>COPY!D910</f>
        <v/>
      </c>
      <c r="D912" s="81" t="str">
        <f>IF(Table13[[#This Row],[JUMLAH]]&gt;1,(IF(Table13[[#This Row],[CODE]]=" ",D911&amp;"a",IF(Table13[[#This Row],[CODE]]&gt;0,Table13[[#This Row],[CODE]],0))),"")</f>
        <v/>
      </c>
      <c r="E912" s="81" t="str">
        <f>IF(COPY!G910&gt;0,COPY!G910,"")</f>
        <v/>
      </c>
      <c r="F912" s="88" t="str">
        <f>IF(COPY!J910&gt;0,COPY!J910,"")</f>
        <v/>
      </c>
      <c r="G912" s="85" t="str">
        <f>IF(COPY!H910&gt;0,COPY!H910,"")</f>
        <v/>
      </c>
      <c r="H912" s="85" t="str">
        <f>IF(COPY!I910&gt;0,COPY!I910,"")</f>
        <v/>
      </c>
      <c r="I912" s="85" t="str">
        <f>IF(COPY!M910&gt;0,COPY!M910,"")</f>
        <v/>
      </c>
      <c r="J912" s="85" t="str">
        <f>IF(COPY!N910&gt;0,COPY!N910,"")</f>
        <v/>
      </c>
      <c r="K912" s="86" t="str">
        <f>IF(N912=0,(IF(LEFT(Table13[[#This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Row],[URAIAN]],$U$194:$V$210,2,FALSE),""),""),0))))),N912)</f>
        <v/>
      </c>
      <c r="L912" s="85" t="str">
        <f>IF(Table13[[#This Row],[Column2]]="KWITANSI",COUNTIF($K$4:K912,"KWITANSI")," ")</f>
        <v xml:space="preserve"> </v>
      </c>
      <c r="M912" s="85" t="str">
        <f>IF(Table13[[#This Row],[Column3]]=" "," ",Table13[[#This Row],[CODE]])</f>
        <v xml:space="preserve"> </v>
      </c>
      <c r="N912" s="368"/>
      <c r="P912" s="81" t="str">
        <f t="shared" si="14"/>
        <v/>
      </c>
    </row>
    <row r="913" spans="1:16" hidden="1" x14ac:dyDescent="0.15">
      <c r="A913" s="81" t="str">
        <f>COPY!O911</f>
        <v/>
      </c>
      <c r="B913" s="81" t="str">
        <f>COPY!C911</f>
        <v/>
      </c>
      <c r="C913" s="82" t="str">
        <f>COPY!D911</f>
        <v/>
      </c>
      <c r="D913" s="81" t="str">
        <f>IF(Table13[[#This Row],[JUMLAH]]&gt;1,(IF(Table13[[#This Row],[CODE]]=" ",D912&amp;"a",IF(Table13[[#This Row],[CODE]]&gt;0,Table13[[#This Row],[CODE]],0))),"")</f>
        <v/>
      </c>
      <c r="E913" s="81" t="str">
        <f>IF(COPY!G911&gt;0,COPY!G911,"")</f>
        <v/>
      </c>
      <c r="F913" s="88" t="str">
        <f>IF(COPY!J911&gt;0,COPY!J911,"")</f>
        <v/>
      </c>
      <c r="G913" s="85" t="str">
        <f>IF(COPY!H911&gt;0,COPY!H911,"")</f>
        <v/>
      </c>
      <c r="H913" s="85" t="str">
        <f>IF(COPY!I911&gt;0,COPY!I911,"")</f>
        <v/>
      </c>
      <c r="I913" s="85" t="str">
        <f>IF(COPY!M911&gt;0,COPY!M911,"")</f>
        <v/>
      </c>
      <c r="J913" s="85" t="str">
        <f>IF(COPY!N911&gt;0,COPY!N911,"")</f>
        <v/>
      </c>
      <c r="K913" s="86" t="str">
        <f>IF(N913=0,(IF(LEFT(Table13[[#This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Row],[URAIAN]],$U$194:$V$210,2,FALSE),""),""),0))))),N913)</f>
        <v/>
      </c>
      <c r="L913" s="85" t="str">
        <f>IF(Table13[[#This Row],[Column2]]="KWITANSI",COUNTIF($K$4:K913,"KWITANSI")," ")</f>
        <v xml:space="preserve"> </v>
      </c>
      <c r="M913" s="85" t="str">
        <f>IF(Table13[[#This Row],[Column3]]=" "," ",Table13[[#This Row],[CODE]])</f>
        <v xml:space="preserve"> </v>
      </c>
      <c r="N913" s="368"/>
      <c r="P913" s="81" t="str">
        <f t="shared" si="14"/>
        <v/>
      </c>
    </row>
    <row r="914" spans="1:16" hidden="1" x14ac:dyDescent="0.15">
      <c r="A914" s="81" t="str">
        <f>COPY!O912</f>
        <v/>
      </c>
      <c r="B914" s="81" t="str">
        <f>COPY!C912</f>
        <v/>
      </c>
      <c r="C914" s="82" t="str">
        <f>COPY!D912</f>
        <v/>
      </c>
      <c r="D914" s="81" t="str">
        <f>IF(Table13[[#This Row],[JUMLAH]]&gt;1,(IF(Table13[[#This Row],[CODE]]=" ",D913&amp;"a",IF(Table13[[#This Row],[CODE]]&gt;0,Table13[[#This Row],[CODE]],0))),"")</f>
        <v/>
      </c>
      <c r="E914" s="81" t="str">
        <f>IF(COPY!G912&gt;0,COPY!G912,"")</f>
        <v/>
      </c>
      <c r="F914" s="88" t="str">
        <f>IF(COPY!J912&gt;0,COPY!J912,"")</f>
        <v/>
      </c>
      <c r="G914" s="85" t="str">
        <f>IF(COPY!H912&gt;0,COPY!H912,"")</f>
        <v/>
      </c>
      <c r="H914" s="85" t="str">
        <f>IF(COPY!I912&gt;0,COPY!I912,"")</f>
        <v/>
      </c>
      <c r="I914" s="85" t="str">
        <f>IF(COPY!M912&gt;0,COPY!M912,"")</f>
        <v/>
      </c>
      <c r="J914" s="85" t="str">
        <f>IF(COPY!N912&gt;0,COPY!N912,"")</f>
        <v/>
      </c>
      <c r="K914" s="86" t="str">
        <f>IF(N914=0,(IF(LEFT(Table13[[#This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Row],[URAIAN]],$U$194:$V$210,2,FALSE),""),""),0))))),N914)</f>
        <v/>
      </c>
      <c r="L914" s="85" t="str">
        <f>IF(Table13[[#This Row],[Column2]]="KWITANSI",COUNTIF($K$4:K914,"KWITANSI")," ")</f>
        <v xml:space="preserve"> </v>
      </c>
      <c r="M914" s="85" t="str">
        <f>IF(Table13[[#This Row],[Column3]]=" "," ",Table13[[#This Row],[CODE]])</f>
        <v xml:space="preserve"> </v>
      </c>
      <c r="N914" s="368"/>
      <c r="P914" s="81" t="str">
        <f t="shared" si="14"/>
        <v/>
      </c>
    </row>
    <row r="915" spans="1:16" hidden="1" x14ac:dyDescent="0.15">
      <c r="A915" s="81" t="str">
        <f>COPY!O913</f>
        <v/>
      </c>
      <c r="B915" s="81" t="str">
        <f>COPY!C913</f>
        <v/>
      </c>
      <c r="C915" s="82" t="str">
        <f>COPY!D913</f>
        <v/>
      </c>
      <c r="D915" s="81" t="str">
        <f>IF(Table13[[#This Row],[JUMLAH]]&gt;1,(IF(Table13[[#This Row],[CODE]]=" ",D914&amp;"a",IF(Table13[[#This Row],[CODE]]&gt;0,Table13[[#This Row],[CODE]],0))),"")</f>
        <v/>
      </c>
      <c r="E915" s="81" t="str">
        <f>IF(COPY!G913&gt;0,COPY!G913,"")</f>
        <v/>
      </c>
      <c r="F915" s="88" t="str">
        <f>IF(COPY!J913&gt;0,COPY!J913,"")</f>
        <v/>
      </c>
      <c r="G915" s="85" t="str">
        <f>IF(COPY!H913&gt;0,COPY!H913,"")</f>
        <v/>
      </c>
      <c r="H915" s="85" t="str">
        <f>IF(COPY!I913&gt;0,COPY!I913,"")</f>
        <v/>
      </c>
      <c r="I915" s="85" t="str">
        <f>IF(COPY!M913&gt;0,COPY!M913,"")</f>
        <v/>
      </c>
      <c r="J915" s="85" t="str">
        <f>IF(COPY!N913&gt;0,COPY!N913,"")</f>
        <v/>
      </c>
      <c r="K915" s="86" t="str">
        <f>IF(N915=0,(IF(LEFT(Table13[[#This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Row],[URAIAN]],$U$194:$V$210,2,FALSE),""),""),0))))),N915)</f>
        <v/>
      </c>
      <c r="L915" s="85" t="str">
        <f>IF(Table13[[#This Row],[Column2]]="KWITANSI",COUNTIF($K$4:K915,"KWITANSI")," ")</f>
        <v xml:space="preserve"> </v>
      </c>
      <c r="M915" s="85" t="str">
        <f>IF(Table13[[#This Row],[Column3]]=" "," ",Table13[[#This Row],[CODE]])</f>
        <v xml:space="preserve"> </v>
      </c>
      <c r="N915" s="368"/>
      <c r="P915" s="81" t="str">
        <f t="shared" si="14"/>
        <v/>
      </c>
    </row>
    <row r="916" spans="1:16" hidden="1" x14ac:dyDescent="0.15">
      <c r="A916" s="81" t="str">
        <f>COPY!O914</f>
        <v/>
      </c>
      <c r="B916" s="81" t="str">
        <f>COPY!C914</f>
        <v/>
      </c>
      <c r="C916" s="82" t="str">
        <f>COPY!D914</f>
        <v/>
      </c>
      <c r="D916" s="81" t="str">
        <f>IF(Table13[[#This Row],[JUMLAH]]&gt;1,(IF(Table13[[#This Row],[CODE]]=" ",D915&amp;"a",IF(Table13[[#This Row],[CODE]]&gt;0,Table13[[#This Row],[CODE]],0))),"")</f>
        <v/>
      </c>
      <c r="E916" s="81" t="str">
        <f>IF(COPY!G914&gt;0,COPY!G914,"")</f>
        <v/>
      </c>
      <c r="F916" s="88" t="str">
        <f>IF(COPY!J914&gt;0,COPY!J914,"")</f>
        <v/>
      </c>
      <c r="G916" s="85" t="str">
        <f>IF(COPY!H914&gt;0,COPY!H914,"")</f>
        <v/>
      </c>
      <c r="H916" s="85" t="str">
        <f>IF(COPY!I914&gt;0,COPY!I914,"")</f>
        <v/>
      </c>
      <c r="I916" s="85" t="str">
        <f>IF(COPY!M914&gt;0,COPY!M914,"")</f>
        <v/>
      </c>
      <c r="J916" s="85" t="str">
        <f>IF(COPY!N914&gt;0,COPY!N914,"")</f>
        <v/>
      </c>
      <c r="K916" s="86" t="str">
        <f>IF(N916=0,(IF(LEFT(Table13[[#This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Row],[URAIAN]],$U$194:$V$210,2,FALSE),""),""),0))))),N916)</f>
        <v/>
      </c>
      <c r="L916" s="85" t="str">
        <f>IF(Table13[[#This Row],[Column2]]="KWITANSI",COUNTIF($K$4:K916,"KWITANSI")," ")</f>
        <v xml:space="preserve"> </v>
      </c>
      <c r="M916" s="85" t="str">
        <f>IF(Table13[[#This Row],[Column3]]=" "," ",Table13[[#This Row],[CODE]])</f>
        <v xml:space="preserve"> </v>
      </c>
      <c r="N916" s="368"/>
      <c r="P916" s="81" t="str">
        <f t="shared" si="14"/>
        <v/>
      </c>
    </row>
    <row r="917" spans="1:16" hidden="1" x14ac:dyDescent="0.15">
      <c r="A917" s="81" t="str">
        <f>COPY!O915</f>
        <v/>
      </c>
      <c r="B917" s="81" t="str">
        <f>COPY!C915</f>
        <v/>
      </c>
      <c r="C917" s="82" t="str">
        <f>COPY!D915</f>
        <v/>
      </c>
      <c r="D917" s="81" t="str">
        <f>IF(Table13[[#This Row],[JUMLAH]]&gt;1,(IF(Table13[[#This Row],[CODE]]=" ",D916&amp;"a",IF(Table13[[#This Row],[CODE]]&gt;0,Table13[[#This Row],[CODE]],0))),"")</f>
        <v/>
      </c>
      <c r="E917" s="81" t="str">
        <f>IF(COPY!G915&gt;0,COPY!G915,"")</f>
        <v/>
      </c>
      <c r="F917" s="88" t="str">
        <f>IF(COPY!J915&gt;0,COPY!J915,"")</f>
        <v/>
      </c>
      <c r="G917" s="85" t="str">
        <f>IF(COPY!H915&gt;0,COPY!H915,"")</f>
        <v/>
      </c>
      <c r="H917" s="85" t="str">
        <f>IF(COPY!I915&gt;0,COPY!I915,"")</f>
        <v/>
      </c>
      <c r="I917" s="85" t="str">
        <f>IF(COPY!M915&gt;0,COPY!M915,"")</f>
        <v/>
      </c>
      <c r="J917" s="85" t="str">
        <f>IF(COPY!N915&gt;0,COPY!N915,"")</f>
        <v/>
      </c>
      <c r="K917" s="86" t="str">
        <f>IF(N917=0,(IF(LEFT(Table13[[#This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Row],[URAIAN]],$U$194:$V$210,2,FALSE),""),""),0))))),N917)</f>
        <v/>
      </c>
      <c r="L917" s="85" t="str">
        <f>IF(Table13[[#This Row],[Column2]]="KWITANSI",COUNTIF($K$4:K917,"KWITANSI")," ")</f>
        <v xml:space="preserve"> </v>
      </c>
      <c r="M917" s="85" t="str">
        <f>IF(Table13[[#This Row],[Column3]]=" "," ",Table13[[#This Row],[CODE]])</f>
        <v xml:space="preserve"> </v>
      </c>
      <c r="N917" s="368"/>
      <c r="P917" s="81" t="str">
        <f t="shared" si="14"/>
        <v/>
      </c>
    </row>
    <row r="918" spans="1:16" hidden="1" x14ac:dyDescent="0.15">
      <c r="A918" s="81" t="str">
        <f>COPY!O916</f>
        <v/>
      </c>
      <c r="B918" s="81" t="str">
        <f>COPY!C916</f>
        <v/>
      </c>
      <c r="C918" s="82" t="str">
        <f>COPY!D916</f>
        <v/>
      </c>
      <c r="D918" s="81" t="str">
        <f>IF(Table13[[#This Row],[JUMLAH]]&gt;1,(IF(Table13[[#This Row],[CODE]]=" ",D917&amp;"a",IF(Table13[[#This Row],[CODE]]&gt;0,Table13[[#This Row],[CODE]],0))),"")</f>
        <v/>
      </c>
      <c r="E918" s="81" t="str">
        <f>IF(COPY!G916&gt;0,COPY!G916,"")</f>
        <v/>
      </c>
      <c r="F918" s="88" t="str">
        <f>IF(COPY!J916&gt;0,COPY!J916,"")</f>
        <v/>
      </c>
      <c r="G918" s="85" t="str">
        <f>IF(COPY!H916&gt;0,COPY!H916,"")</f>
        <v/>
      </c>
      <c r="H918" s="85" t="str">
        <f>IF(COPY!I916&gt;0,COPY!I916,"")</f>
        <v/>
      </c>
      <c r="I918" s="85" t="str">
        <f>IF(COPY!M916&gt;0,COPY!M916,"")</f>
        <v/>
      </c>
      <c r="J918" s="85" t="str">
        <f>IF(COPY!N916&gt;0,COPY!N916,"")</f>
        <v/>
      </c>
      <c r="K918" s="86" t="str">
        <f>IF(N918=0,(IF(LEFT(Table13[[#This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Row],[URAIAN]],$U$194:$V$210,2,FALSE),""),""),0))))),N918)</f>
        <v/>
      </c>
      <c r="L918" s="85" t="str">
        <f>IF(Table13[[#This Row],[Column2]]="KWITANSI",COUNTIF($K$4:K918,"KWITANSI")," ")</f>
        <v xml:space="preserve"> </v>
      </c>
      <c r="M918" s="85" t="str">
        <f>IF(Table13[[#This Row],[Column3]]=" "," ",Table13[[#This Row],[CODE]])</f>
        <v xml:space="preserve"> </v>
      </c>
      <c r="N918" s="368"/>
      <c r="P918" s="81" t="str">
        <f t="shared" si="14"/>
        <v/>
      </c>
    </row>
    <row r="919" spans="1:16" hidden="1" x14ac:dyDescent="0.15">
      <c r="A919" s="81" t="str">
        <f>COPY!O917</f>
        <v/>
      </c>
      <c r="B919" s="81" t="str">
        <f>COPY!C917</f>
        <v/>
      </c>
      <c r="C919" s="82" t="str">
        <f>COPY!D917</f>
        <v/>
      </c>
      <c r="D919" s="81" t="str">
        <f>IF(Table13[[#This Row],[JUMLAH]]&gt;1,(IF(Table13[[#This Row],[CODE]]=" ",D918&amp;"a",IF(Table13[[#This Row],[CODE]]&gt;0,Table13[[#This Row],[CODE]],0))),"")</f>
        <v/>
      </c>
      <c r="E919" s="81" t="str">
        <f>IF(COPY!G917&gt;0,COPY!G917,"")</f>
        <v/>
      </c>
      <c r="F919" s="88" t="str">
        <f>IF(COPY!J917&gt;0,COPY!J917,"")</f>
        <v/>
      </c>
      <c r="G919" s="85" t="str">
        <f>IF(COPY!H917&gt;0,COPY!H917,"")</f>
        <v/>
      </c>
      <c r="H919" s="85" t="str">
        <f>IF(COPY!I917&gt;0,COPY!I917,"")</f>
        <v/>
      </c>
      <c r="I919" s="85" t="str">
        <f>IF(COPY!M917&gt;0,COPY!M917,"")</f>
        <v/>
      </c>
      <c r="J919" s="85" t="str">
        <f>IF(COPY!N917&gt;0,COPY!N917,"")</f>
        <v/>
      </c>
      <c r="K919" s="86" t="str">
        <f>IF(N919=0,(IF(LEFT(Table13[[#This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Row],[URAIAN]],$U$194:$V$210,2,FALSE),""),""),0))))),N919)</f>
        <v/>
      </c>
      <c r="L919" s="85" t="str">
        <f>IF(Table13[[#This Row],[Column2]]="KWITANSI",COUNTIF($K$4:K919,"KWITANSI")," ")</f>
        <v xml:space="preserve"> </v>
      </c>
      <c r="M919" s="85" t="str">
        <f>IF(Table13[[#This Row],[Column3]]=" "," ",Table13[[#This Row],[CODE]])</f>
        <v xml:space="preserve"> </v>
      </c>
      <c r="N919" s="368"/>
      <c r="P919" s="81" t="str">
        <f t="shared" si="14"/>
        <v/>
      </c>
    </row>
    <row r="920" spans="1:16" hidden="1" x14ac:dyDescent="0.15">
      <c r="A920" s="81" t="str">
        <f>COPY!O918</f>
        <v/>
      </c>
      <c r="B920" s="81" t="str">
        <f>COPY!C918</f>
        <v/>
      </c>
      <c r="C920" s="82" t="str">
        <f>COPY!D918</f>
        <v/>
      </c>
      <c r="D920" s="81" t="str">
        <f>IF(Table13[[#This Row],[JUMLAH]]&gt;1,(IF(Table13[[#This Row],[CODE]]=" ",D919&amp;"a",IF(Table13[[#This Row],[CODE]]&gt;0,Table13[[#This Row],[CODE]],0))),"")</f>
        <v/>
      </c>
      <c r="E920" s="81" t="str">
        <f>IF(COPY!G918&gt;0,COPY!G918,"")</f>
        <v/>
      </c>
      <c r="F920" s="88" t="str">
        <f>IF(COPY!J918&gt;0,COPY!J918,"")</f>
        <v/>
      </c>
      <c r="G920" s="85" t="str">
        <f>IF(COPY!H918&gt;0,COPY!H918,"")</f>
        <v/>
      </c>
      <c r="H920" s="85" t="str">
        <f>IF(COPY!I918&gt;0,COPY!I918,"")</f>
        <v/>
      </c>
      <c r="I920" s="85" t="str">
        <f>IF(COPY!M918&gt;0,COPY!M918,"")</f>
        <v/>
      </c>
      <c r="J920" s="85" t="str">
        <f>IF(COPY!N918&gt;0,COPY!N918,"")</f>
        <v/>
      </c>
      <c r="K920" s="86" t="str">
        <f>IF(N920=0,(IF(LEFT(Table13[[#This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Row],[URAIAN]],$U$194:$V$210,2,FALSE),""),""),0))))),N920)</f>
        <v/>
      </c>
      <c r="L920" s="85" t="str">
        <f>IF(Table13[[#This Row],[Column2]]="KWITANSI",COUNTIF($K$4:K920,"KWITANSI")," ")</f>
        <v xml:space="preserve"> </v>
      </c>
      <c r="M920" s="85" t="str">
        <f>IF(Table13[[#This Row],[Column3]]=" "," ",Table13[[#This Row],[CODE]])</f>
        <v xml:space="preserve"> </v>
      </c>
      <c r="N920" s="368"/>
      <c r="P920" s="81" t="str">
        <f t="shared" si="14"/>
        <v/>
      </c>
    </row>
    <row r="921" spans="1:16" hidden="1" x14ac:dyDescent="0.15">
      <c r="A921" s="81" t="str">
        <f>COPY!O919</f>
        <v/>
      </c>
      <c r="B921" s="81" t="str">
        <f>COPY!C919</f>
        <v/>
      </c>
      <c r="C921" s="82" t="str">
        <f>COPY!D919</f>
        <v/>
      </c>
      <c r="D921" s="81" t="str">
        <f>IF(Table13[[#This Row],[JUMLAH]]&gt;1,(IF(Table13[[#This Row],[CODE]]=" ",D920&amp;"a",IF(Table13[[#This Row],[CODE]]&gt;0,Table13[[#This Row],[CODE]],0))),"")</f>
        <v/>
      </c>
      <c r="E921" s="81" t="str">
        <f>IF(COPY!G919&gt;0,COPY!G919,"")</f>
        <v/>
      </c>
      <c r="F921" s="88" t="str">
        <f>IF(COPY!J919&gt;0,COPY!J919,"")</f>
        <v/>
      </c>
      <c r="G921" s="85" t="str">
        <f>IF(COPY!H919&gt;0,COPY!H919,"")</f>
        <v/>
      </c>
      <c r="H921" s="85" t="str">
        <f>IF(COPY!I919&gt;0,COPY!I919,"")</f>
        <v/>
      </c>
      <c r="I921" s="85" t="str">
        <f>IF(COPY!M919&gt;0,COPY!M919,"")</f>
        <v/>
      </c>
      <c r="J921" s="85" t="str">
        <f>IF(COPY!N919&gt;0,COPY!N919,"")</f>
        <v/>
      </c>
      <c r="K921" s="86" t="str">
        <f>IF(N921=0,(IF(LEFT(Table13[[#This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Row],[URAIAN]],$U$194:$V$210,2,FALSE),""),""),0))))),N921)</f>
        <v/>
      </c>
      <c r="L921" s="85" t="str">
        <f>IF(Table13[[#This Row],[Column2]]="KWITANSI",COUNTIF($K$4:K921,"KWITANSI")," ")</f>
        <v xml:space="preserve"> </v>
      </c>
      <c r="M921" s="85" t="str">
        <f>IF(Table13[[#This Row],[Column3]]=" "," ",Table13[[#This Row],[CODE]])</f>
        <v xml:space="preserve"> </v>
      </c>
      <c r="N921" s="368"/>
      <c r="P921" s="81" t="str">
        <f t="shared" si="14"/>
        <v/>
      </c>
    </row>
    <row r="922" spans="1:16" hidden="1" x14ac:dyDescent="0.15">
      <c r="A922" s="81" t="str">
        <f>COPY!O920</f>
        <v/>
      </c>
      <c r="B922" s="81" t="str">
        <f>COPY!C920</f>
        <v/>
      </c>
      <c r="C922" s="82" t="str">
        <f>COPY!D920</f>
        <v/>
      </c>
      <c r="D922" s="81" t="str">
        <f>IF(Table13[[#This Row],[JUMLAH]]&gt;1,(IF(Table13[[#This Row],[CODE]]=" ",D921&amp;"a",IF(Table13[[#This Row],[CODE]]&gt;0,Table13[[#This Row],[CODE]],0))),"")</f>
        <v/>
      </c>
      <c r="E922" s="81" t="str">
        <f>IF(COPY!G920&gt;0,COPY!G920,"")</f>
        <v/>
      </c>
      <c r="F922" s="88" t="str">
        <f>IF(COPY!J920&gt;0,COPY!J920,"")</f>
        <v/>
      </c>
      <c r="G922" s="85" t="str">
        <f>IF(COPY!H920&gt;0,COPY!H920,"")</f>
        <v/>
      </c>
      <c r="H922" s="85" t="str">
        <f>IF(COPY!I920&gt;0,COPY!I920,"")</f>
        <v/>
      </c>
      <c r="I922" s="85" t="str">
        <f>IF(COPY!M920&gt;0,COPY!M920,"")</f>
        <v/>
      </c>
      <c r="J922" s="85" t="str">
        <f>IF(COPY!N920&gt;0,COPY!N920,"")</f>
        <v/>
      </c>
      <c r="K922" s="86" t="str">
        <f>IF(N922=0,(IF(LEFT(Table13[[#This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Row],[URAIAN]],$U$194:$V$210,2,FALSE),""),""),0))))),N922)</f>
        <v/>
      </c>
      <c r="L922" s="85" t="str">
        <f>IF(Table13[[#This Row],[Column2]]="KWITANSI",COUNTIF($K$4:K922,"KWITANSI")," ")</f>
        <v xml:space="preserve"> </v>
      </c>
      <c r="M922" s="85" t="str">
        <f>IF(Table13[[#This Row],[Column3]]=" "," ",Table13[[#This Row],[CODE]])</f>
        <v xml:space="preserve"> </v>
      </c>
      <c r="N922" s="368"/>
      <c r="P922" s="81" t="str">
        <f t="shared" si="14"/>
        <v/>
      </c>
    </row>
    <row r="923" spans="1:16" hidden="1" x14ac:dyDescent="0.15">
      <c r="A923" s="81" t="str">
        <f>COPY!O921</f>
        <v/>
      </c>
      <c r="B923" s="81" t="str">
        <f>COPY!C921</f>
        <v/>
      </c>
      <c r="C923" s="82" t="str">
        <f>COPY!D921</f>
        <v/>
      </c>
      <c r="D923" s="81" t="str">
        <f>IF(Table13[[#This Row],[JUMLAH]]&gt;1,(IF(Table13[[#This Row],[CODE]]=" ",D922&amp;"a",IF(Table13[[#This Row],[CODE]]&gt;0,Table13[[#This Row],[CODE]],0))),"")</f>
        <v/>
      </c>
      <c r="E923" s="81" t="str">
        <f>IF(COPY!G921&gt;0,COPY!G921,"")</f>
        <v/>
      </c>
      <c r="F923" s="88" t="str">
        <f>IF(COPY!J921&gt;0,COPY!J921,"")</f>
        <v/>
      </c>
      <c r="G923" s="85" t="str">
        <f>IF(COPY!H921&gt;0,COPY!H921,"")</f>
        <v/>
      </c>
      <c r="H923" s="85" t="str">
        <f>IF(COPY!I921&gt;0,COPY!I921,"")</f>
        <v/>
      </c>
      <c r="I923" s="85" t="str">
        <f>IF(COPY!M921&gt;0,COPY!M921,"")</f>
        <v/>
      </c>
      <c r="J923" s="85" t="str">
        <f>IF(COPY!N921&gt;0,COPY!N921,"")</f>
        <v/>
      </c>
      <c r="K923" s="86" t="str">
        <f>IF(N923=0,(IF(LEFT(Table13[[#This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Row],[URAIAN]],$U$194:$V$210,2,FALSE),""),""),0))))),N923)</f>
        <v/>
      </c>
      <c r="L923" s="85" t="str">
        <f>IF(Table13[[#This Row],[Column2]]="KWITANSI",COUNTIF($K$4:K923,"KWITANSI")," ")</f>
        <v xml:space="preserve"> </v>
      </c>
      <c r="M923" s="85" t="str">
        <f>IF(Table13[[#This Row],[Column3]]=" "," ",Table13[[#This Row],[CODE]])</f>
        <v xml:space="preserve"> </v>
      </c>
      <c r="N923" s="368"/>
      <c r="P923" s="81" t="str">
        <f t="shared" si="14"/>
        <v/>
      </c>
    </row>
    <row r="924" spans="1:16" hidden="1" x14ac:dyDescent="0.15">
      <c r="A924" s="81" t="str">
        <f>COPY!O922</f>
        <v/>
      </c>
      <c r="B924" s="81" t="str">
        <f>COPY!C922</f>
        <v/>
      </c>
      <c r="C924" s="82" t="str">
        <f>COPY!D922</f>
        <v/>
      </c>
      <c r="D924" s="81" t="str">
        <f>IF(Table13[[#This Row],[JUMLAH]]&gt;1,(IF(Table13[[#This Row],[CODE]]=" ",D923&amp;"a",IF(Table13[[#This Row],[CODE]]&gt;0,Table13[[#This Row],[CODE]],0))),"")</f>
        <v/>
      </c>
      <c r="E924" s="81" t="str">
        <f>IF(COPY!G922&gt;0,COPY!G922,"")</f>
        <v/>
      </c>
      <c r="F924" s="88" t="str">
        <f>IF(COPY!J922&gt;0,COPY!J922,"")</f>
        <v/>
      </c>
      <c r="G924" s="85" t="str">
        <f>IF(COPY!H922&gt;0,COPY!H922,"")</f>
        <v/>
      </c>
      <c r="H924" s="85" t="str">
        <f>IF(COPY!I922&gt;0,COPY!I922,"")</f>
        <v/>
      </c>
      <c r="I924" s="85" t="str">
        <f>IF(COPY!M922&gt;0,COPY!M922,"")</f>
        <v/>
      </c>
      <c r="J924" s="85" t="str">
        <f>IF(COPY!N922&gt;0,COPY!N922,"")</f>
        <v/>
      </c>
      <c r="K924" s="86" t="str">
        <f>IF(N924=0,(IF(LEFT(Table13[[#This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Row],[URAIAN]],$U$194:$V$210,2,FALSE),""),""),0))))),N924)</f>
        <v/>
      </c>
      <c r="L924" s="85" t="str">
        <f>IF(Table13[[#This Row],[Column2]]="KWITANSI",COUNTIF($K$4:K924,"KWITANSI")," ")</f>
        <v xml:space="preserve"> </v>
      </c>
      <c r="M924" s="85" t="str">
        <f>IF(Table13[[#This Row],[Column3]]=" "," ",Table13[[#This Row],[CODE]])</f>
        <v xml:space="preserve"> </v>
      </c>
      <c r="N924" s="368"/>
      <c r="P924" s="81" t="str">
        <f t="shared" si="14"/>
        <v/>
      </c>
    </row>
    <row r="925" spans="1:16" hidden="1" x14ac:dyDescent="0.15">
      <c r="A925" s="81" t="str">
        <f>COPY!O923</f>
        <v/>
      </c>
      <c r="B925" s="81" t="str">
        <f>COPY!C923</f>
        <v/>
      </c>
      <c r="C925" s="82" t="str">
        <f>COPY!D923</f>
        <v/>
      </c>
      <c r="D925" s="81" t="str">
        <f>IF(Table13[[#This Row],[JUMLAH]]&gt;1,(IF(Table13[[#This Row],[CODE]]=" ",D924&amp;"a",IF(Table13[[#This Row],[CODE]]&gt;0,Table13[[#This Row],[CODE]],0))),"")</f>
        <v/>
      </c>
      <c r="E925" s="81" t="str">
        <f>IF(COPY!G923&gt;0,COPY!G923,"")</f>
        <v/>
      </c>
      <c r="F925" s="88" t="str">
        <f>IF(COPY!J923&gt;0,COPY!J923,"")</f>
        <v/>
      </c>
      <c r="G925" s="85" t="str">
        <f>IF(COPY!H923&gt;0,COPY!H923,"")</f>
        <v/>
      </c>
      <c r="H925" s="85" t="str">
        <f>IF(COPY!I923&gt;0,COPY!I923,"")</f>
        <v/>
      </c>
      <c r="I925" s="85" t="str">
        <f>IF(COPY!M923&gt;0,COPY!M923,"")</f>
        <v/>
      </c>
      <c r="J925" s="85" t="str">
        <f>IF(COPY!N923&gt;0,COPY!N923,"")</f>
        <v/>
      </c>
      <c r="K925" s="86" t="str">
        <f>IF(N925=0,(IF(LEFT(Table13[[#This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Row],[URAIAN]],$U$194:$V$210,2,FALSE),""),""),0))))),N925)</f>
        <v/>
      </c>
      <c r="L925" s="85" t="str">
        <f>IF(Table13[[#This Row],[Column2]]="KWITANSI",COUNTIF($K$4:K925,"KWITANSI")," ")</f>
        <v xml:space="preserve"> </v>
      </c>
      <c r="M925" s="85" t="str">
        <f>IF(Table13[[#This Row],[Column3]]=" "," ",Table13[[#This Row],[CODE]])</f>
        <v xml:space="preserve"> </v>
      </c>
      <c r="N925" s="368"/>
      <c r="P925" s="81" t="str">
        <f t="shared" si="14"/>
        <v/>
      </c>
    </row>
    <row r="926" spans="1:16" hidden="1" x14ac:dyDescent="0.15">
      <c r="A926" s="81" t="str">
        <f>COPY!O924</f>
        <v/>
      </c>
      <c r="B926" s="81" t="str">
        <f>COPY!C924</f>
        <v/>
      </c>
      <c r="C926" s="82" t="str">
        <f>COPY!D924</f>
        <v/>
      </c>
      <c r="D926" s="81" t="str">
        <f>IF(Table13[[#This Row],[JUMLAH]]&gt;1,(IF(Table13[[#This Row],[CODE]]=" ",D925&amp;"a",IF(Table13[[#This Row],[CODE]]&gt;0,Table13[[#This Row],[CODE]],0))),"")</f>
        <v/>
      </c>
      <c r="E926" s="81" t="str">
        <f>IF(COPY!G924&gt;0,COPY!G924,"")</f>
        <v/>
      </c>
      <c r="F926" s="88" t="str">
        <f>IF(COPY!J924&gt;0,COPY!J924,"")</f>
        <v/>
      </c>
      <c r="G926" s="85" t="str">
        <f>IF(COPY!H924&gt;0,COPY!H924,"")</f>
        <v/>
      </c>
      <c r="H926" s="85" t="str">
        <f>IF(COPY!I924&gt;0,COPY!I924,"")</f>
        <v/>
      </c>
      <c r="I926" s="85" t="str">
        <f>IF(COPY!M924&gt;0,COPY!M924,"")</f>
        <v/>
      </c>
      <c r="J926" s="85" t="str">
        <f>IF(COPY!N924&gt;0,COPY!N924,"")</f>
        <v/>
      </c>
      <c r="K926" s="86" t="str">
        <f>IF(N926=0,(IF(LEFT(Table13[[#This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Row],[URAIAN]],$U$194:$V$210,2,FALSE),""),""),0))))),N926)</f>
        <v/>
      </c>
      <c r="L926" s="85" t="str">
        <f>IF(Table13[[#This Row],[Column2]]="KWITANSI",COUNTIF($K$4:K926,"KWITANSI")," ")</f>
        <v xml:space="preserve"> </v>
      </c>
      <c r="M926" s="85" t="str">
        <f>IF(Table13[[#This Row],[Column3]]=" "," ",Table13[[#This Row],[CODE]])</f>
        <v xml:space="preserve"> </v>
      </c>
      <c r="N926" s="368"/>
      <c r="P926" s="81" t="str">
        <f t="shared" si="14"/>
        <v/>
      </c>
    </row>
    <row r="927" spans="1:16" hidden="1" x14ac:dyDescent="0.15">
      <c r="A927" s="81" t="str">
        <f>COPY!O925</f>
        <v/>
      </c>
      <c r="B927" s="81" t="str">
        <f>COPY!C925</f>
        <v/>
      </c>
      <c r="C927" s="82" t="str">
        <f>COPY!D925</f>
        <v/>
      </c>
      <c r="D927" s="81" t="str">
        <f>IF(Table13[[#This Row],[JUMLAH]]&gt;1,(IF(Table13[[#This Row],[CODE]]=" ",D926&amp;"a",IF(Table13[[#This Row],[CODE]]&gt;0,Table13[[#This Row],[CODE]],0))),"")</f>
        <v/>
      </c>
      <c r="E927" s="81" t="str">
        <f>IF(COPY!G925&gt;0,COPY!G925,"")</f>
        <v/>
      </c>
      <c r="F927" s="88" t="str">
        <f>IF(COPY!J925&gt;0,COPY!J925,"")</f>
        <v/>
      </c>
      <c r="G927" s="85" t="str">
        <f>IF(COPY!H925&gt;0,COPY!H925,"")</f>
        <v/>
      </c>
      <c r="H927" s="85" t="str">
        <f>IF(COPY!I925&gt;0,COPY!I925,"")</f>
        <v/>
      </c>
      <c r="I927" s="85" t="str">
        <f>IF(COPY!M925&gt;0,COPY!M925,"")</f>
        <v/>
      </c>
      <c r="J927" s="85" t="str">
        <f>IF(COPY!N925&gt;0,COPY!N925,"")</f>
        <v/>
      </c>
      <c r="K927" s="86" t="str">
        <f>IF(N927=0,(IF(LEFT(Table13[[#This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Row],[URAIAN]],$U$194:$V$210,2,FALSE),""),""),0))))),N927)</f>
        <v/>
      </c>
      <c r="L927" s="85" t="str">
        <f>IF(Table13[[#This Row],[Column2]]="KWITANSI",COUNTIF($K$4:K927,"KWITANSI")," ")</f>
        <v xml:space="preserve"> </v>
      </c>
      <c r="M927" s="85" t="str">
        <f>IF(Table13[[#This Row],[Column3]]=" "," ",Table13[[#This Row],[CODE]])</f>
        <v xml:space="preserve"> </v>
      </c>
      <c r="N927" s="368"/>
      <c r="P927" s="81" t="str">
        <f t="shared" si="14"/>
        <v/>
      </c>
    </row>
    <row r="928" spans="1:16" hidden="1" x14ac:dyDescent="0.15">
      <c r="A928" s="81" t="str">
        <f>COPY!O926</f>
        <v/>
      </c>
      <c r="B928" s="81" t="str">
        <f>COPY!C926</f>
        <v/>
      </c>
      <c r="C928" s="82" t="str">
        <f>COPY!D926</f>
        <v/>
      </c>
      <c r="D928" s="81" t="str">
        <f>IF(Table13[[#This Row],[JUMLAH]]&gt;1,(IF(Table13[[#This Row],[CODE]]=" ",D927&amp;"a",IF(Table13[[#This Row],[CODE]]&gt;0,Table13[[#This Row],[CODE]],0))),"")</f>
        <v/>
      </c>
      <c r="E928" s="81" t="str">
        <f>IF(COPY!G926&gt;0,COPY!G926,"")</f>
        <v/>
      </c>
      <c r="F928" s="88" t="str">
        <f>IF(COPY!J926&gt;0,COPY!J926,"")</f>
        <v/>
      </c>
      <c r="G928" s="85" t="str">
        <f>IF(COPY!H926&gt;0,COPY!H926,"")</f>
        <v/>
      </c>
      <c r="H928" s="85" t="str">
        <f>IF(COPY!I926&gt;0,COPY!I926,"")</f>
        <v/>
      </c>
      <c r="I928" s="85" t="str">
        <f>IF(COPY!M926&gt;0,COPY!M926,"")</f>
        <v/>
      </c>
      <c r="J928" s="85" t="str">
        <f>IF(COPY!N926&gt;0,COPY!N926,"")</f>
        <v/>
      </c>
      <c r="K928" s="86" t="str">
        <f>IF(N928=0,(IF(LEFT(Table13[[#This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Row],[URAIAN]],$U$194:$V$210,2,FALSE),""),""),0))))),N928)</f>
        <v/>
      </c>
      <c r="L928" s="85" t="str">
        <f>IF(Table13[[#This Row],[Column2]]="KWITANSI",COUNTIF($K$4:K928,"KWITANSI")," ")</f>
        <v xml:space="preserve"> </v>
      </c>
      <c r="M928" s="85" t="str">
        <f>IF(Table13[[#This Row],[Column3]]=" "," ",Table13[[#This Row],[CODE]])</f>
        <v xml:space="preserve"> </v>
      </c>
      <c r="N928" s="368"/>
      <c r="P928" s="81" t="str">
        <f t="shared" si="14"/>
        <v/>
      </c>
    </row>
    <row r="929" spans="1:16" hidden="1" x14ac:dyDescent="0.15">
      <c r="A929" s="81" t="str">
        <f>COPY!O927</f>
        <v/>
      </c>
      <c r="B929" s="81" t="str">
        <f>COPY!C927</f>
        <v/>
      </c>
      <c r="C929" s="82" t="str">
        <f>COPY!D927</f>
        <v/>
      </c>
      <c r="D929" s="81" t="str">
        <f>IF(Table13[[#This Row],[JUMLAH]]&gt;1,(IF(Table13[[#This Row],[CODE]]=" ",D928&amp;"a",IF(Table13[[#This Row],[CODE]]&gt;0,Table13[[#This Row],[CODE]],0))),"")</f>
        <v/>
      </c>
      <c r="E929" s="81" t="str">
        <f>IF(COPY!G927&gt;0,COPY!G927,"")</f>
        <v/>
      </c>
      <c r="F929" s="88" t="str">
        <f>IF(COPY!J927&gt;0,COPY!J927,"")</f>
        <v/>
      </c>
      <c r="G929" s="85" t="str">
        <f>IF(COPY!H927&gt;0,COPY!H927,"")</f>
        <v/>
      </c>
      <c r="H929" s="85" t="str">
        <f>IF(COPY!I927&gt;0,COPY!I927,"")</f>
        <v/>
      </c>
      <c r="I929" s="85" t="str">
        <f>IF(COPY!M927&gt;0,COPY!M927,"")</f>
        <v/>
      </c>
      <c r="J929" s="85" t="str">
        <f>IF(COPY!N927&gt;0,COPY!N927,"")</f>
        <v/>
      </c>
      <c r="K929" s="86" t="str">
        <f>IF(N929=0,(IF(LEFT(Table13[[#This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Row],[URAIAN]],$U$194:$V$210,2,FALSE),""),""),0))))),N929)</f>
        <v/>
      </c>
      <c r="L929" s="85" t="str">
        <f>IF(Table13[[#This Row],[Column2]]="KWITANSI",COUNTIF($K$4:K929,"KWITANSI")," ")</f>
        <v xml:space="preserve"> </v>
      </c>
      <c r="M929" s="85" t="str">
        <f>IF(Table13[[#This Row],[Column3]]=" "," ",Table13[[#This Row],[CODE]])</f>
        <v xml:space="preserve"> </v>
      </c>
      <c r="N929" s="368"/>
      <c r="P929" s="81" t="str">
        <f t="shared" si="14"/>
        <v/>
      </c>
    </row>
    <row r="930" spans="1:16" hidden="1" x14ac:dyDescent="0.15">
      <c r="A930" s="81" t="str">
        <f>COPY!O928</f>
        <v/>
      </c>
      <c r="B930" s="81" t="str">
        <f>COPY!C928</f>
        <v/>
      </c>
      <c r="C930" s="82" t="str">
        <f>COPY!D928</f>
        <v/>
      </c>
      <c r="D930" s="81" t="str">
        <f>IF(Table13[[#This Row],[JUMLAH]]&gt;1,(IF(Table13[[#This Row],[CODE]]=" ",D929&amp;"a",IF(Table13[[#This Row],[CODE]]&gt;0,Table13[[#This Row],[CODE]],0))),"")</f>
        <v/>
      </c>
      <c r="E930" s="81" t="str">
        <f>IF(COPY!G928&gt;0,COPY!G928,"")</f>
        <v/>
      </c>
      <c r="F930" s="88" t="str">
        <f>IF(COPY!J928&gt;0,COPY!J928,"")</f>
        <v/>
      </c>
      <c r="G930" s="85" t="str">
        <f>IF(COPY!H928&gt;0,COPY!H928,"")</f>
        <v/>
      </c>
      <c r="H930" s="85" t="str">
        <f>IF(COPY!I928&gt;0,COPY!I928,"")</f>
        <v/>
      </c>
      <c r="I930" s="85" t="str">
        <f>IF(COPY!M928&gt;0,COPY!M928,"")</f>
        <v/>
      </c>
      <c r="J930" s="85" t="str">
        <f>IF(COPY!N928&gt;0,COPY!N928,"")</f>
        <v/>
      </c>
      <c r="K930" s="86" t="str">
        <f>IF(N930=0,(IF(LEFT(Table13[[#This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Row],[URAIAN]],$U$194:$V$210,2,FALSE),""),""),0))))),N930)</f>
        <v/>
      </c>
      <c r="L930" s="85" t="str">
        <f>IF(Table13[[#This Row],[Column2]]="KWITANSI",COUNTIF($K$4:K930,"KWITANSI")," ")</f>
        <v xml:space="preserve"> </v>
      </c>
      <c r="M930" s="85" t="str">
        <f>IF(Table13[[#This Row],[Column3]]=" "," ",Table13[[#This Row],[CODE]])</f>
        <v xml:space="preserve"> </v>
      </c>
      <c r="N930" s="368"/>
      <c r="P930" s="81" t="str">
        <f t="shared" si="14"/>
        <v/>
      </c>
    </row>
    <row r="931" spans="1:16" hidden="1" x14ac:dyDescent="0.15">
      <c r="A931" s="81" t="str">
        <f>COPY!O929</f>
        <v/>
      </c>
      <c r="B931" s="81" t="str">
        <f>COPY!C929</f>
        <v/>
      </c>
      <c r="C931" s="82" t="str">
        <f>COPY!D929</f>
        <v/>
      </c>
      <c r="D931" s="81" t="str">
        <f>IF(Table13[[#This Row],[JUMLAH]]&gt;1,(IF(Table13[[#This Row],[CODE]]=" ",D930&amp;"a",IF(Table13[[#This Row],[CODE]]&gt;0,Table13[[#This Row],[CODE]],0))),"")</f>
        <v/>
      </c>
      <c r="E931" s="81" t="str">
        <f>IF(COPY!G929&gt;0,COPY!G929,"")</f>
        <v/>
      </c>
      <c r="F931" s="88" t="str">
        <f>IF(COPY!J929&gt;0,COPY!J929,"")</f>
        <v/>
      </c>
      <c r="G931" s="85" t="str">
        <f>IF(COPY!H929&gt;0,COPY!H929,"")</f>
        <v/>
      </c>
      <c r="H931" s="85" t="str">
        <f>IF(COPY!I929&gt;0,COPY!I929,"")</f>
        <v/>
      </c>
      <c r="I931" s="85" t="str">
        <f>IF(COPY!M929&gt;0,COPY!M929,"")</f>
        <v/>
      </c>
      <c r="J931" s="85" t="str">
        <f>IF(COPY!N929&gt;0,COPY!N929,"")</f>
        <v/>
      </c>
      <c r="K931" s="86" t="str">
        <f>IF(N931=0,(IF(LEFT(Table13[[#This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Row],[URAIAN]],$U$194:$V$210,2,FALSE),""),""),0))))),N931)</f>
        <v/>
      </c>
      <c r="L931" s="85" t="str">
        <f>IF(Table13[[#This Row],[Column2]]="KWITANSI",COUNTIF($K$4:K931,"KWITANSI")," ")</f>
        <v xml:space="preserve"> </v>
      </c>
      <c r="M931" s="85" t="str">
        <f>IF(Table13[[#This Row],[Column3]]=" "," ",Table13[[#This Row],[CODE]])</f>
        <v xml:space="preserve"> </v>
      </c>
      <c r="N931" s="368"/>
      <c r="P931" s="81" t="str">
        <f t="shared" si="14"/>
        <v/>
      </c>
    </row>
    <row r="932" spans="1:16" hidden="1" x14ac:dyDescent="0.15">
      <c r="A932" s="81" t="str">
        <f>COPY!O930</f>
        <v/>
      </c>
      <c r="B932" s="81" t="str">
        <f>COPY!C930</f>
        <v/>
      </c>
      <c r="C932" s="82" t="str">
        <f>COPY!D930</f>
        <v/>
      </c>
      <c r="D932" s="81" t="str">
        <f>IF(Table13[[#This Row],[JUMLAH]]&gt;1,(IF(Table13[[#This Row],[CODE]]=" ",D931&amp;"a",IF(Table13[[#This Row],[CODE]]&gt;0,Table13[[#This Row],[CODE]],0))),"")</f>
        <v/>
      </c>
      <c r="E932" s="81" t="str">
        <f>IF(COPY!G930&gt;0,COPY!G930,"")</f>
        <v/>
      </c>
      <c r="F932" s="88" t="str">
        <f>IF(COPY!J930&gt;0,COPY!J930,"")</f>
        <v/>
      </c>
      <c r="G932" s="85" t="str">
        <f>IF(COPY!H930&gt;0,COPY!H930,"")</f>
        <v/>
      </c>
      <c r="H932" s="85" t="str">
        <f>IF(COPY!I930&gt;0,COPY!I930,"")</f>
        <v/>
      </c>
      <c r="I932" s="85" t="str">
        <f>IF(COPY!M930&gt;0,COPY!M930,"")</f>
        <v/>
      </c>
      <c r="J932" s="85" t="str">
        <f>IF(COPY!N930&gt;0,COPY!N930,"")</f>
        <v/>
      </c>
      <c r="K932" s="86" t="str">
        <f>IF(N932=0,(IF(LEFT(Table13[[#This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Row],[URAIAN]],$U$194:$V$210,2,FALSE),""),""),0))))),N932)</f>
        <v/>
      </c>
      <c r="L932" s="85" t="str">
        <f>IF(Table13[[#This Row],[Column2]]="KWITANSI",COUNTIF($K$4:K932,"KWITANSI")," ")</f>
        <v xml:space="preserve"> </v>
      </c>
      <c r="M932" s="85" t="str">
        <f>IF(Table13[[#This Row],[Column3]]=" "," ",Table13[[#This Row],[CODE]])</f>
        <v xml:space="preserve"> </v>
      </c>
      <c r="N932" s="368"/>
      <c r="P932" s="81" t="str">
        <f t="shared" si="14"/>
        <v/>
      </c>
    </row>
    <row r="933" spans="1:16" hidden="1" x14ac:dyDescent="0.15">
      <c r="A933" s="81" t="str">
        <f>COPY!O931</f>
        <v/>
      </c>
      <c r="B933" s="81" t="str">
        <f>COPY!C931</f>
        <v/>
      </c>
      <c r="C933" s="82" t="str">
        <f>COPY!D931</f>
        <v/>
      </c>
      <c r="D933" s="81" t="str">
        <f>IF(Table13[[#This Row],[JUMLAH]]&gt;1,(IF(Table13[[#This Row],[CODE]]=" ",D932&amp;"a",IF(Table13[[#This Row],[CODE]]&gt;0,Table13[[#This Row],[CODE]],0))),"")</f>
        <v/>
      </c>
      <c r="E933" s="81" t="str">
        <f>IF(COPY!G931&gt;0,COPY!G931,"")</f>
        <v/>
      </c>
      <c r="F933" s="88" t="str">
        <f>IF(COPY!J931&gt;0,COPY!J931,"")</f>
        <v/>
      </c>
      <c r="G933" s="85" t="str">
        <f>IF(COPY!H931&gt;0,COPY!H931,"")</f>
        <v/>
      </c>
      <c r="H933" s="85" t="str">
        <f>IF(COPY!I931&gt;0,COPY!I931,"")</f>
        <v/>
      </c>
      <c r="I933" s="85" t="str">
        <f>IF(COPY!M931&gt;0,COPY!M931,"")</f>
        <v/>
      </c>
      <c r="J933" s="85" t="str">
        <f>IF(COPY!N931&gt;0,COPY!N931,"")</f>
        <v/>
      </c>
      <c r="K933" s="86" t="str">
        <f>IF(N933=0,(IF(LEFT(Table13[[#This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Row],[URAIAN]],$U$194:$V$210,2,FALSE),""),""),0))))),N933)</f>
        <v/>
      </c>
      <c r="L933" s="85" t="str">
        <f>IF(Table13[[#This Row],[Column2]]="KWITANSI",COUNTIF($K$4:K933,"KWITANSI")," ")</f>
        <v xml:space="preserve"> </v>
      </c>
      <c r="M933" s="85" t="str">
        <f>IF(Table13[[#This Row],[Column3]]=" "," ",Table13[[#This Row],[CODE]])</f>
        <v xml:space="preserve"> </v>
      </c>
      <c r="N933" s="368"/>
      <c r="P933" s="81" t="str">
        <f t="shared" si="14"/>
        <v/>
      </c>
    </row>
    <row r="934" spans="1:16" hidden="1" x14ac:dyDescent="0.15">
      <c r="A934" s="81" t="str">
        <f>COPY!O932</f>
        <v/>
      </c>
      <c r="B934" s="81" t="str">
        <f>COPY!C932</f>
        <v/>
      </c>
      <c r="C934" s="82" t="str">
        <f>COPY!D932</f>
        <v/>
      </c>
      <c r="D934" s="81" t="str">
        <f>IF(Table13[[#This Row],[JUMLAH]]&gt;1,(IF(Table13[[#This Row],[CODE]]=" ",D933&amp;"a",IF(Table13[[#This Row],[CODE]]&gt;0,Table13[[#This Row],[CODE]],0))),"")</f>
        <v/>
      </c>
      <c r="E934" s="81" t="str">
        <f>IF(COPY!G932&gt;0,COPY!G932,"")</f>
        <v/>
      </c>
      <c r="F934" s="88" t="str">
        <f>IF(COPY!J932&gt;0,COPY!J932,"")</f>
        <v/>
      </c>
      <c r="G934" s="85" t="str">
        <f>IF(COPY!H932&gt;0,COPY!H932,"")</f>
        <v/>
      </c>
      <c r="H934" s="85" t="str">
        <f>IF(COPY!I932&gt;0,COPY!I932,"")</f>
        <v/>
      </c>
      <c r="I934" s="85" t="str">
        <f>IF(COPY!M932&gt;0,COPY!M932,"")</f>
        <v/>
      </c>
      <c r="J934" s="85" t="str">
        <f>IF(COPY!N932&gt;0,COPY!N932,"")</f>
        <v/>
      </c>
      <c r="K934" s="86" t="str">
        <f>IF(N934=0,(IF(LEFT(Table13[[#This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Row],[URAIAN]],$U$194:$V$210,2,FALSE),""),""),0))))),N934)</f>
        <v/>
      </c>
      <c r="L934" s="85" t="str">
        <f>IF(Table13[[#This Row],[Column2]]="KWITANSI",COUNTIF($K$4:K934,"KWITANSI")," ")</f>
        <v xml:space="preserve"> </v>
      </c>
      <c r="M934" s="85" t="str">
        <f>IF(Table13[[#This Row],[Column3]]=" "," ",Table13[[#This Row],[CODE]])</f>
        <v xml:space="preserve"> </v>
      </c>
      <c r="N934" s="368"/>
      <c r="P934" s="81" t="str">
        <f t="shared" si="14"/>
        <v/>
      </c>
    </row>
    <row r="935" spans="1:16" hidden="1" x14ac:dyDescent="0.15">
      <c r="A935" s="81" t="str">
        <f>COPY!O933</f>
        <v/>
      </c>
      <c r="B935" s="81" t="str">
        <f>COPY!C933</f>
        <v/>
      </c>
      <c r="C935" s="82" t="str">
        <f>COPY!D933</f>
        <v/>
      </c>
      <c r="D935" s="81" t="str">
        <f>IF(Table13[[#This Row],[JUMLAH]]&gt;1,(IF(Table13[[#This Row],[CODE]]=" ",D934&amp;"a",IF(Table13[[#This Row],[CODE]]&gt;0,Table13[[#This Row],[CODE]],0))),"")</f>
        <v/>
      </c>
      <c r="E935" s="81" t="str">
        <f>IF(COPY!G933&gt;0,COPY!G933,"")</f>
        <v/>
      </c>
      <c r="F935" s="88" t="str">
        <f>IF(COPY!J933&gt;0,COPY!J933,"")</f>
        <v/>
      </c>
      <c r="G935" s="85" t="str">
        <f>IF(COPY!H933&gt;0,COPY!H933,"")</f>
        <v/>
      </c>
      <c r="H935" s="85" t="str">
        <f>IF(COPY!I933&gt;0,COPY!I933,"")</f>
        <v/>
      </c>
      <c r="I935" s="85" t="str">
        <f>IF(COPY!M933&gt;0,COPY!M933,"")</f>
        <v/>
      </c>
      <c r="J935" s="85" t="str">
        <f>IF(COPY!N933&gt;0,COPY!N933,"")</f>
        <v/>
      </c>
      <c r="K935" s="86" t="str">
        <f>IF(N935=0,(IF(LEFT(Table13[[#This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Row],[URAIAN]],$U$194:$V$210,2,FALSE),""),""),0))))),N935)</f>
        <v/>
      </c>
      <c r="L935" s="85" t="str">
        <f>IF(Table13[[#This Row],[Column2]]="KWITANSI",COUNTIF($K$4:K935,"KWITANSI")," ")</f>
        <v xml:space="preserve"> </v>
      </c>
      <c r="M935" s="85" t="str">
        <f>IF(Table13[[#This Row],[Column3]]=" "," ",Table13[[#This Row],[CODE]])</f>
        <v xml:space="preserve"> </v>
      </c>
      <c r="N935" s="368"/>
      <c r="P935" s="81" t="str">
        <f t="shared" si="14"/>
        <v/>
      </c>
    </row>
    <row r="936" spans="1:16" hidden="1" x14ac:dyDescent="0.15">
      <c r="A936" s="81" t="str">
        <f>COPY!O934</f>
        <v/>
      </c>
      <c r="B936" s="81" t="str">
        <f>COPY!C934</f>
        <v/>
      </c>
      <c r="C936" s="82" t="str">
        <f>COPY!D934</f>
        <v/>
      </c>
      <c r="D936" s="81" t="str">
        <f>IF(Table13[[#This Row],[JUMLAH]]&gt;1,(IF(Table13[[#This Row],[CODE]]=" ",D935&amp;"a",IF(Table13[[#This Row],[CODE]]&gt;0,Table13[[#This Row],[CODE]],0))),"")</f>
        <v/>
      </c>
      <c r="E936" s="81" t="str">
        <f>IF(COPY!G934&gt;0,COPY!G934,"")</f>
        <v/>
      </c>
      <c r="F936" s="88" t="str">
        <f>IF(COPY!J934&gt;0,COPY!J934,"")</f>
        <v/>
      </c>
      <c r="G936" s="85" t="str">
        <f>IF(COPY!H934&gt;0,COPY!H934,"")</f>
        <v/>
      </c>
      <c r="H936" s="85" t="str">
        <f>IF(COPY!I934&gt;0,COPY!I934,"")</f>
        <v/>
      </c>
      <c r="I936" s="85" t="str">
        <f>IF(COPY!M934&gt;0,COPY!M934,"")</f>
        <v/>
      </c>
      <c r="J936" s="85" t="str">
        <f>IF(COPY!N934&gt;0,COPY!N934,"")</f>
        <v/>
      </c>
      <c r="K936" s="86" t="str">
        <f>IF(N936=0,(IF(LEFT(Table13[[#This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Row],[URAIAN]],$U$194:$V$210,2,FALSE),""),""),0))))),N936)</f>
        <v/>
      </c>
      <c r="L936" s="85" t="str">
        <f>IF(Table13[[#This Row],[Column2]]="KWITANSI",COUNTIF($K$4:K936,"KWITANSI")," ")</f>
        <v xml:space="preserve"> </v>
      </c>
      <c r="M936" s="85" t="str">
        <f>IF(Table13[[#This Row],[Column3]]=" "," ",Table13[[#This Row],[CODE]])</f>
        <v xml:space="preserve"> </v>
      </c>
      <c r="N936" s="368"/>
      <c r="P936" s="81" t="str">
        <f t="shared" si="14"/>
        <v/>
      </c>
    </row>
    <row r="937" spans="1:16" hidden="1" x14ac:dyDescent="0.15">
      <c r="A937" s="81" t="str">
        <f>COPY!O935</f>
        <v/>
      </c>
      <c r="B937" s="81" t="str">
        <f>COPY!C935</f>
        <v/>
      </c>
      <c r="C937" s="82" t="str">
        <f>COPY!D935</f>
        <v/>
      </c>
      <c r="D937" s="81" t="str">
        <f>IF(Table13[[#This Row],[JUMLAH]]&gt;1,(IF(Table13[[#This Row],[CODE]]=" ",D936&amp;"a",IF(Table13[[#This Row],[CODE]]&gt;0,Table13[[#This Row],[CODE]],0))),"")</f>
        <v/>
      </c>
      <c r="E937" s="81" t="str">
        <f>IF(COPY!G935&gt;0,COPY!G935,"")</f>
        <v/>
      </c>
      <c r="F937" s="88" t="str">
        <f>IF(COPY!J935&gt;0,COPY!J935,"")</f>
        <v/>
      </c>
      <c r="G937" s="85" t="str">
        <f>IF(COPY!H935&gt;0,COPY!H935,"")</f>
        <v/>
      </c>
      <c r="H937" s="85" t="str">
        <f>IF(COPY!I935&gt;0,COPY!I935,"")</f>
        <v/>
      </c>
      <c r="I937" s="85" t="str">
        <f>IF(COPY!M935&gt;0,COPY!M935,"")</f>
        <v/>
      </c>
      <c r="J937" s="85" t="str">
        <f>IF(COPY!N935&gt;0,COPY!N935,"")</f>
        <v/>
      </c>
      <c r="K937" s="86" t="str">
        <f>IF(N937=0,(IF(LEFT(Table13[[#This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Row],[URAIAN]],$U$194:$V$210,2,FALSE),""),""),0))))),N937)</f>
        <v/>
      </c>
      <c r="L937" s="85" t="str">
        <f>IF(Table13[[#This Row],[Column2]]="KWITANSI",COUNTIF($K$4:K937,"KWITANSI")," ")</f>
        <v xml:space="preserve"> </v>
      </c>
      <c r="M937" s="85" t="str">
        <f>IF(Table13[[#This Row],[Column3]]=" "," ",Table13[[#This Row],[CODE]])</f>
        <v xml:space="preserve"> </v>
      </c>
      <c r="N937" s="368"/>
      <c r="P937" s="81" t="str">
        <f t="shared" si="14"/>
        <v/>
      </c>
    </row>
    <row r="938" spans="1:16" hidden="1" x14ac:dyDescent="0.15">
      <c r="A938" s="81" t="str">
        <f>COPY!O936</f>
        <v/>
      </c>
      <c r="B938" s="81" t="str">
        <f>COPY!C936</f>
        <v/>
      </c>
      <c r="C938" s="82" t="str">
        <f>COPY!D936</f>
        <v/>
      </c>
      <c r="D938" s="81" t="str">
        <f>IF(Table13[[#This Row],[JUMLAH]]&gt;1,(IF(Table13[[#This Row],[CODE]]=" ",D937&amp;"a",IF(Table13[[#This Row],[CODE]]&gt;0,Table13[[#This Row],[CODE]],0))),"")</f>
        <v/>
      </c>
      <c r="E938" s="81" t="str">
        <f>IF(COPY!G936&gt;0,COPY!G936,"")</f>
        <v/>
      </c>
      <c r="F938" s="88" t="str">
        <f>IF(COPY!J936&gt;0,COPY!J936,"")</f>
        <v/>
      </c>
      <c r="G938" s="85" t="str">
        <f>IF(COPY!H936&gt;0,COPY!H936,"")</f>
        <v/>
      </c>
      <c r="H938" s="85" t="str">
        <f>IF(COPY!I936&gt;0,COPY!I936,"")</f>
        <v/>
      </c>
      <c r="I938" s="85" t="str">
        <f>IF(COPY!M936&gt;0,COPY!M936,"")</f>
        <v/>
      </c>
      <c r="J938" s="85" t="str">
        <f>IF(COPY!N936&gt;0,COPY!N936,"")</f>
        <v/>
      </c>
      <c r="K938" s="86" t="str">
        <f>IF(N938=0,(IF(LEFT(Table13[[#This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Row],[URAIAN]],$U$194:$V$210,2,FALSE),""),""),0))))),N938)</f>
        <v/>
      </c>
      <c r="L938" s="85" t="str">
        <f>IF(Table13[[#This Row],[Column2]]="KWITANSI",COUNTIF($K$4:K938,"KWITANSI")," ")</f>
        <v xml:space="preserve"> </v>
      </c>
      <c r="M938" s="85" t="str">
        <f>IF(Table13[[#This Row],[Column3]]=" "," ",Table13[[#This Row],[CODE]])</f>
        <v xml:space="preserve"> </v>
      </c>
      <c r="N938" s="368"/>
      <c r="P938" s="81" t="str">
        <f t="shared" si="14"/>
        <v/>
      </c>
    </row>
    <row r="939" spans="1:16" hidden="1" x14ac:dyDescent="0.15">
      <c r="A939" s="81" t="str">
        <f>COPY!O937</f>
        <v/>
      </c>
      <c r="B939" s="81" t="str">
        <f>COPY!C937</f>
        <v/>
      </c>
      <c r="C939" s="82" t="str">
        <f>COPY!D937</f>
        <v/>
      </c>
      <c r="D939" s="81" t="str">
        <f>IF(Table13[[#This Row],[JUMLAH]]&gt;1,(IF(Table13[[#This Row],[CODE]]=" ",D938&amp;"a",IF(Table13[[#This Row],[CODE]]&gt;0,Table13[[#This Row],[CODE]],0))),"")</f>
        <v/>
      </c>
      <c r="E939" s="81" t="str">
        <f>IF(COPY!G937&gt;0,COPY!G937,"")</f>
        <v/>
      </c>
      <c r="F939" s="88" t="str">
        <f>IF(COPY!J937&gt;0,COPY!J937,"")</f>
        <v/>
      </c>
      <c r="G939" s="85" t="str">
        <f>IF(COPY!H937&gt;0,COPY!H937,"")</f>
        <v/>
      </c>
      <c r="H939" s="85" t="str">
        <f>IF(COPY!I937&gt;0,COPY!I937,"")</f>
        <v/>
      </c>
      <c r="I939" s="85" t="str">
        <f>IF(COPY!M937&gt;0,COPY!M937,"")</f>
        <v/>
      </c>
      <c r="J939" s="85" t="str">
        <f>IF(COPY!N937&gt;0,COPY!N937,"")</f>
        <v/>
      </c>
      <c r="K939" s="86" t="str">
        <f>IF(N939=0,(IF(LEFT(Table13[[#This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Row],[URAIAN]],$U$194:$V$210,2,FALSE),""),""),0))))),N939)</f>
        <v/>
      </c>
      <c r="L939" s="85" t="str">
        <f>IF(Table13[[#This Row],[Column2]]="KWITANSI",COUNTIF($K$4:K939,"KWITANSI")," ")</f>
        <v xml:space="preserve"> </v>
      </c>
      <c r="M939" s="85" t="str">
        <f>IF(Table13[[#This Row],[Column3]]=" "," ",Table13[[#This Row],[CODE]])</f>
        <v xml:space="preserve"> </v>
      </c>
      <c r="N939" s="368"/>
      <c r="P939" s="81" t="str">
        <f t="shared" si="14"/>
        <v/>
      </c>
    </row>
    <row r="940" spans="1:16" hidden="1" x14ac:dyDescent="0.15">
      <c r="A940" s="81" t="str">
        <f>COPY!O938</f>
        <v/>
      </c>
      <c r="B940" s="81" t="str">
        <f>COPY!C938</f>
        <v/>
      </c>
      <c r="C940" s="82" t="str">
        <f>COPY!D938</f>
        <v/>
      </c>
      <c r="D940" s="81" t="str">
        <f>IF(Table13[[#This Row],[JUMLAH]]&gt;1,(IF(Table13[[#This Row],[CODE]]=" ",D939&amp;"a",IF(Table13[[#This Row],[CODE]]&gt;0,Table13[[#This Row],[CODE]],0))),"")</f>
        <v/>
      </c>
      <c r="E940" s="81" t="str">
        <f>IF(COPY!G938&gt;0,COPY!G938,"")</f>
        <v/>
      </c>
      <c r="F940" s="88" t="str">
        <f>IF(COPY!J938&gt;0,COPY!J938,"")</f>
        <v/>
      </c>
      <c r="G940" s="85" t="str">
        <f>IF(COPY!H938&gt;0,COPY!H938,"")</f>
        <v/>
      </c>
      <c r="H940" s="85" t="str">
        <f>IF(COPY!I938&gt;0,COPY!I938,"")</f>
        <v/>
      </c>
      <c r="I940" s="85" t="str">
        <f>IF(COPY!M938&gt;0,COPY!M938,"")</f>
        <v/>
      </c>
      <c r="J940" s="85" t="str">
        <f>IF(COPY!N938&gt;0,COPY!N938,"")</f>
        <v/>
      </c>
      <c r="K940" s="86" t="str">
        <f>IF(N940=0,(IF(LEFT(Table13[[#This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Row],[URAIAN]],$U$194:$V$210,2,FALSE),""),""),0))))),N940)</f>
        <v/>
      </c>
      <c r="L940" s="85" t="str">
        <f>IF(Table13[[#This Row],[Column2]]="KWITANSI",COUNTIF($K$4:K940,"KWITANSI")," ")</f>
        <v xml:space="preserve"> </v>
      </c>
      <c r="M940" s="85" t="str">
        <f>IF(Table13[[#This Row],[Column3]]=" "," ",Table13[[#This Row],[CODE]])</f>
        <v xml:space="preserve"> </v>
      </c>
      <c r="N940" s="368"/>
      <c r="P940" s="81" t="str">
        <f t="shared" si="14"/>
        <v/>
      </c>
    </row>
    <row r="941" spans="1:16" hidden="1" x14ac:dyDescent="0.15">
      <c r="A941" s="81" t="str">
        <f>COPY!O939</f>
        <v/>
      </c>
      <c r="B941" s="81" t="str">
        <f>COPY!C939</f>
        <v/>
      </c>
      <c r="C941" s="82" t="str">
        <f>COPY!D939</f>
        <v/>
      </c>
      <c r="D941" s="81" t="str">
        <f>IF(Table13[[#This Row],[JUMLAH]]&gt;1,(IF(Table13[[#This Row],[CODE]]=" ",D940&amp;"a",IF(Table13[[#This Row],[CODE]]&gt;0,Table13[[#This Row],[CODE]],0))),"")</f>
        <v/>
      </c>
      <c r="E941" s="81" t="str">
        <f>IF(COPY!G939&gt;0,COPY!G939,"")</f>
        <v/>
      </c>
      <c r="F941" s="88" t="str">
        <f>IF(COPY!J939&gt;0,COPY!J939,"")</f>
        <v/>
      </c>
      <c r="G941" s="85" t="str">
        <f>IF(COPY!H939&gt;0,COPY!H939,"")</f>
        <v/>
      </c>
      <c r="H941" s="85" t="str">
        <f>IF(COPY!I939&gt;0,COPY!I939,"")</f>
        <v/>
      </c>
      <c r="I941" s="85" t="str">
        <f>IF(COPY!M939&gt;0,COPY!M939,"")</f>
        <v/>
      </c>
      <c r="J941" s="85" t="str">
        <f>IF(COPY!N939&gt;0,COPY!N939,"")</f>
        <v/>
      </c>
      <c r="K941" s="86" t="str">
        <f>IF(N941=0,(IF(LEFT(Table13[[#This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Row],[URAIAN]],$U$194:$V$210,2,FALSE),""),""),0))))),N941)</f>
        <v/>
      </c>
      <c r="L941" s="85" t="str">
        <f>IF(Table13[[#This Row],[Column2]]="KWITANSI",COUNTIF($K$4:K941,"KWITANSI")," ")</f>
        <v xml:space="preserve"> </v>
      </c>
      <c r="M941" s="85" t="str">
        <f>IF(Table13[[#This Row],[Column3]]=" "," ",Table13[[#This Row],[CODE]])</f>
        <v xml:space="preserve"> </v>
      </c>
      <c r="N941" s="368"/>
      <c r="P941" s="81" t="str">
        <f t="shared" si="14"/>
        <v/>
      </c>
    </row>
    <row r="942" spans="1:16" hidden="1" x14ac:dyDescent="0.15">
      <c r="A942" s="81" t="str">
        <f>COPY!O940</f>
        <v/>
      </c>
      <c r="B942" s="81" t="str">
        <f>COPY!C940</f>
        <v/>
      </c>
      <c r="C942" s="82" t="str">
        <f>COPY!D940</f>
        <v/>
      </c>
      <c r="D942" s="81" t="str">
        <f>IF(Table13[[#This Row],[JUMLAH]]&gt;1,(IF(Table13[[#This Row],[CODE]]=" ",D941&amp;"a",IF(Table13[[#This Row],[CODE]]&gt;0,Table13[[#This Row],[CODE]],0))),"")</f>
        <v/>
      </c>
      <c r="E942" s="81" t="str">
        <f>IF(COPY!G940&gt;0,COPY!G940,"")</f>
        <v/>
      </c>
      <c r="F942" s="88" t="str">
        <f>IF(COPY!J940&gt;0,COPY!J940,"")</f>
        <v/>
      </c>
      <c r="G942" s="85" t="str">
        <f>IF(COPY!H940&gt;0,COPY!H940,"")</f>
        <v/>
      </c>
      <c r="H942" s="85" t="str">
        <f>IF(COPY!I940&gt;0,COPY!I940,"")</f>
        <v/>
      </c>
      <c r="I942" s="85" t="str">
        <f>IF(COPY!M940&gt;0,COPY!M940,"")</f>
        <v/>
      </c>
      <c r="J942" s="85" t="str">
        <f>IF(COPY!N940&gt;0,COPY!N940,"")</f>
        <v/>
      </c>
      <c r="K942" s="86" t="str">
        <f>IF(N942=0,(IF(LEFT(Table13[[#This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Row],[URAIAN]],$U$194:$V$210,2,FALSE),""),""),0))))),N942)</f>
        <v/>
      </c>
      <c r="L942" s="85" t="str">
        <f>IF(Table13[[#This Row],[Column2]]="KWITANSI",COUNTIF($K$4:K942,"KWITANSI")," ")</f>
        <v xml:space="preserve"> </v>
      </c>
      <c r="M942" s="85" t="str">
        <f>IF(Table13[[#This Row],[Column3]]=" "," ",Table13[[#This Row],[CODE]])</f>
        <v xml:space="preserve"> </v>
      </c>
      <c r="N942" s="368"/>
      <c r="P942" s="81" t="str">
        <f t="shared" si="14"/>
        <v/>
      </c>
    </row>
    <row r="943" spans="1:16" hidden="1" x14ac:dyDescent="0.15">
      <c r="A943" s="81" t="str">
        <f>COPY!O941</f>
        <v/>
      </c>
      <c r="B943" s="81" t="str">
        <f>COPY!C941</f>
        <v/>
      </c>
      <c r="C943" s="82" t="str">
        <f>COPY!D941</f>
        <v/>
      </c>
      <c r="D943" s="81" t="str">
        <f>IF(Table13[[#This Row],[JUMLAH]]&gt;1,(IF(Table13[[#This Row],[CODE]]=" ",D942&amp;"a",IF(Table13[[#This Row],[CODE]]&gt;0,Table13[[#This Row],[CODE]],0))),"")</f>
        <v/>
      </c>
      <c r="E943" s="81" t="str">
        <f>IF(COPY!G941&gt;0,COPY!G941,"")</f>
        <v/>
      </c>
      <c r="F943" s="88" t="str">
        <f>IF(COPY!J941&gt;0,COPY!J941,"")</f>
        <v/>
      </c>
      <c r="G943" s="85" t="str">
        <f>IF(COPY!H941&gt;0,COPY!H941,"")</f>
        <v/>
      </c>
      <c r="H943" s="85" t="str">
        <f>IF(COPY!I941&gt;0,COPY!I941,"")</f>
        <v/>
      </c>
      <c r="I943" s="85" t="str">
        <f>IF(COPY!M941&gt;0,COPY!M941,"")</f>
        <v/>
      </c>
      <c r="J943" s="85" t="str">
        <f>IF(COPY!N941&gt;0,COPY!N941,"")</f>
        <v/>
      </c>
      <c r="K943" s="86" t="str">
        <f>IF(N943=0,(IF(LEFT(Table13[[#This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Row],[URAIAN]],$U$194:$V$210,2,FALSE),""),""),0))))),N943)</f>
        <v/>
      </c>
      <c r="L943" s="85" t="str">
        <f>IF(Table13[[#This Row],[Column2]]="KWITANSI",COUNTIF($K$4:K943,"KWITANSI")," ")</f>
        <v xml:space="preserve"> </v>
      </c>
      <c r="M943" s="85" t="str">
        <f>IF(Table13[[#This Row],[Column3]]=" "," ",Table13[[#This Row],[CODE]])</f>
        <v xml:space="preserve"> </v>
      </c>
      <c r="N943" s="368"/>
      <c r="P943" s="81" t="str">
        <f t="shared" si="14"/>
        <v/>
      </c>
    </row>
    <row r="944" spans="1:16" hidden="1" x14ac:dyDescent="0.15">
      <c r="A944" s="81" t="str">
        <f>COPY!O942</f>
        <v/>
      </c>
      <c r="B944" s="81" t="str">
        <f>COPY!C942</f>
        <v/>
      </c>
      <c r="C944" s="82" t="str">
        <f>COPY!D942</f>
        <v/>
      </c>
      <c r="D944" s="81" t="str">
        <f>IF(Table13[[#This Row],[JUMLAH]]&gt;1,(IF(Table13[[#This Row],[CODE]]=" ",D943&amp;"a",IF(Table13[[#This Row],[CODE]]&gt;0,Table13[[#This Row],[CODE]],0))),"")</f>
        <v/>
      </c>
      <c r="E944" s="81" t="str">
        <f>IF(COPY!G942&gt;0,COPY!G942,"")</f>
        <v/>
      </c>
      <c r="F944" s="88" t="str">
        <f>IF(COPY!J942&gt;0,COPY!J942,"")</f>
        <v/>
      </c>
      <c r="G944" s="85" t="str">
        <f>IF(COPY!H942&gt;0,COPY!H942,"")</f>
        <v/>
      </c>
      <c r="H944" s="85" t="str">
        <f>IF(COPY!I942&gt;0,COPY!I942,"")</f>
        <v/>
      </c>
      <c r="I944" s="85" t="str">
        <f>IF(COPY!M942&gt;0,COPY!M942,"")</f>
        <v/>
      </c>
      <c r="J944" s="85" t="str">
        <f>IF(COPY!N942&gt;0,COPY!N942,"")</f>
        <v/>
      </c>
      <c r="K944" s="86" t="str">
        <f>IF(N944=0,(IF(LEFT(Table13[[#This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Row],[URAIAN]],$U$194:$V$210,2,FALSE),""),""),0))))),N944)</f>
        <v/>
      </c>
      <c r="L944" s="85" t="str">
        <f>IF(Table13[[#This Row],[Column2]]="KWITANSI",COUNTIF($K$4:K944,"KWITANSI")," ")</f>
        <v xml:space="preserve"> </v>
      </c>
      <c r="M944" s="85" t="str">
        <f>IF(Table13[[#This Row],[Column3]]=" "," ",Table13[[#This Row],[CODE]])</f>
        <v xml:space="preserve"> </v>
      </c>
      <c r="N944" s="368"/>
      <c r="P944" s="81" t="str">
        <f t="shared" si="14"/>
        <v/>
      </c>
    </row>
    <row r="945" spans="1:16" hidden="1" x14ac:dyDescent="0.15">
      <c r="A945" s="81" t="str">
        <f>COPY!O943</f>
        <v/>
      </c>
      <c r="B945" s="81" t="str">
        <f>COPY!C943</f>
        <v/>
      </c>
      <c r="C945" s="82" t="str">
        <f>COPY!D943</f>
        <v/>
      </c>
      <c r="D945" s="81" t="str">
        <f>IF(Table13[[#This Row],[JUMLAH]]&gt;1,(IF(Table13[[#This Row],[CODE]]=" ",D944&amp;"a",IF(Table13[[#This Row],[CODE]]&gt;0,Table13[[#This Row],[CODE]],0))),"")</f>
        <v/>
      </c>
      <c r="E945" s="81" t="str">
        <f>IF(COPY!G943&gt;0,COPY!G943,"")</f>
        <v/>
      </c>
      <c r="F945" s="88" t="str">
        <f>IF(COPY!J943&gt;0,COPY!J943,"")</f>
        <v/>
      </c>
      <c r="G945" s="85" t="str">
        <f>IF(COPY!H943&gt;0,COPY!H943,"")</f>
        <v/>
      </c>
      <c r="H945" s="85" t="str">
        <f>IF(COPY!I943&gt;0,COPY!I943,"")</f>
        <v/>
      </c>
      <c r="I945" s="85" t="str">
        <f>IF(COPY!M943&gt;0,COPY!M943,"")</f>
        <v/>
      </c>
      <c r="J945" s="85" t="str">
        <f>IF(COPY!N943&gt;0,COPY!N943,"")</f>
        <v/>
      </c>
      <c r="K945" s="86" t="str">
        <f>IF(N945=0,(IF(LEFT(Table13[[#This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Row],[URAIAN]],$U$194:$V$210,2,FALSE),""),""),0))))),N945)</f>
        <v/>
      </c>
      <c r="L945" s="85" t="str">
        <f>IF(Table13[[#This Row],[Column2]]="KWITANSI",COUNTIF($K$4:K945,"KWITANSI")," ")</f>
        <v xml:space="preserve"> </v>
      </c>
      <c r="M945" s="85" t="str">
        <f>IF(Table13[[#This Row],[Column3]]=" "," ",Table13[[#This Row],[CODE]])</f>
        <v xml:space="preserve"> </v>
      </c>
      <c r="N945" s="368"/>
      <c r="P945" s="81" t="str">
        <f t="shared" si="14"/>
        <v/>
      </c>
    </row>
    <row r="946" spans="1:16" hidden="1" x14ac:dyDescent="0.15">
      <c r="A946" s="81" t="str">
        <f>COPY!O944</f>
        <v/>
      </c>
      <c r="B946" s="81" t="str">
        <f>COPY!C944</f>
        <v/>
      </c>
      <c r="C946" s="82" t="str">
        <f>COPY!D944</f>
        <v/>
      </c>
      <c r="D946" s="81" t="str">
        <f>IF(Table13[[#This Row],[JUMLAH]]&gt;1,(IF(Table13[[#This Row],[CODE]]=" ",D945&amp;"a",IF(Table13[[#This Row],[CODE]]&gt;0,Table13[[#This Row],[CODE]],0))),"")</f>
        <v/>
      </c>
      <c r="E946" s="81" t="str">
        <f>IF(COPY!G944&gt;0,COPY!G944,"")</f>
        <v/>
      </c>
      <c r="F946" s="88" t="str">
        <f>IF(COPY!J944&gt;0,COPY!J944,"")</f>
        <v/>
      </c>
      <c r="G946" s="85" t="str">
        <f>IF(COPY!H944&gt;0,COPY!H944,"")</f>
        <v/>
      </c>
      <c r="H946" s="85" t="str">
        <f>IF(COPY!I944&gt;0,COPY!I944,"")</f>
        <v/>
      </c>
      <c r="I946" s="85" t="str">
        <f>IF(COPY!M944&gt;0,COPY!M944,"")</f>
        <v/>
      </c>
      <c r="J946" s="85" t="str">
        <f>IF(COPY!N944&gt;0,COPY!N944,"")</f>
        <v/>
      </c>
      <c r="K946" s="86" t="str">
        <f>IF(N946=0,(IF(LEFT(Table13[[#This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Row],[URAIAN]],$U$194:$V$210,2,FALSE),""),""),0))))),N946)</f>
        <v/>
      </c>
      <c r="L946" s="85" t="str">
        <f>IF(Table13[[#This Row],[Column2]]="KWITANSI",COUNTIF($K$4:K946,"KWITANSI")," ")</f>
        <v xml:space="preserve"> </v>
      </c>
      <c r="M946" s="85" t="str">
        <f>IF(Table13[[#This Row],[Column3]]=" "," ",Table13[[#This Row],[CODE]])</f>
        <v xml:space="preserve"> </v>
      </c>
      <c r="N946" s="368"/>
      <c r="P946" s="81" t="str">
        <f t="shared" si="14"/>
        <v/>
      </c>
    </row>
    <row r="947" spans="1:16" hidden="1" x14ac:dyDescent="0.15">
      <c r="A947" s="81" t="str">
        <f>COPY!O945</f>
        <v/>
      </c>
      <c r="B947" s="81" t="str">
        <f>COPY!C945</f>
        <v/>
      </c>
      <c r="C947" s="82" t="str">
        <f>COPY!D945</f>
        <v/>
      </c>
      <c r="D947" s="81" t="str">
        <f>IF(Table13[[#This Row],[JUMLAH]]&gt;1,(IF(Table13[[#This Row],[CODE]]=" ",D946&amp;"a",IF(Table13[[#This Row],[CODE]]&gt;0,Table13[[#This Row],[CODE]],0))),"")</f>
        <v/>
      </c>
      <c r="E947" s="81" t="str">
        <f>IF(COPY!G945&gt;0,COPY!G945,"")</f>
        <v/>
      </c>
      <c r="F947" s="88" t="str">
        <f>IF(COPY!J945&gt;0,COPY!J945,"")</f>
        <v/>
      </c>
      <c r="G947" s="85" t="str">
        <f>IF(COPY!H945&gt;0,COPY!H945,"")</f>
        <v/>
      </c>
      <c r="H947" s="85" t="str">
        <f>IF(COPY!I945&gt;0,COPY!I945,"")</f>
        <v/>
      </c>
      <c r="I947" s="85" t="str">
        <f>IF(COPY!M945&gt;0,COPY!M945,"")</f>
        <v/>
      </c>
      <c r="J947" s="85" t="str">
        <f>IF(COPY!N945&gt;0,COPY!N945,"")</f>
        <v/>
      </c>
      <c r="K947" s="86" t="str">
        <f>IF(N947=0,(IF(LEFT(Table13[[#This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Row],[URAIAN]],$U$194:$V$210,2,FALSE),""),""),0))))),N947)</f>
        <v/>
      </c>
      <c r="L947" s="85" t="str">
        <f>IF(Table13[[#This Row],[Column2]]="KWITANSI",COUNTIF($K$4:K947,"KWITANSI")," ")</f>
        <v xml:space="preserve"> </v>
      </c>
      <c r="M947" s="85" t="str">
        <f>IF(Table13[[#This Row],[Column3]]=" "," ",Table13[[#This Row],[CODE]])</f>
        <v xml:space="preserve"> </v>
      </c>
      <c r="N947" s="368"/>
      <c r="P947" s="81" t="str">
        <f t="shared" si="14"/>
        <v/>
      </c>
    </row>
    <row r="948" spans="1:16" hidden="1" x14ac:dyDescent="0.15">
      <c r="A948" s="81" t="str">
        <f>COPY!O946</f>
        <v/>
      </c>
      <c r="B948" s="81" t="str">
        <f>COPY!C946</f>
        <v/>
      </c>
      <c r="C948" s="82" t="str">
        <f>COPY!D946</f>
        <v/>
      </c>
      <c r="D948" s="81" t="str">
        <f>IF(Table13[[#This Row],[JUMLAH]]&gt;1,(IF(Table13[[#This Row],[CODE]]=" ",D947&amp;"a",IF(Table13[[#This Row],[CODE]]&gt;0,Table13[[#This Row],[CODE]],0))),"")</f>
        <v/>
      </c>
      <c r="E948" s="81" t="str">
        <f>IF(COPY!G946&gt;0,COPY!G946,"")</f>
        <v/>
      </c>
      <c r="F948" s="88" t="str">
        <f>IF(COPY!J946&gt;0,COPY!J946,"")</f>
        <v/>
      </c>
      <c r="G948" s="85" t="str">
        <f>IF(COPY!H946&gt;0,COPY!H946,"")</f>
        <v/>
      </c>
      <c r="H948" s="85" t="str">
        <f>IF(COPY!I946&gt;0,COPY!I946,"")</f>
        <v/>
      </c>
      <c r="I948" s="85" t="str">
        <f>IF(COPY!M946&gt;0,COPY!M946,"")</f>
        <v/>
      </c>
      <c r="J948" s="85" t="str">
        <f>IF(COPY!N946&gt;0,COPY!N946,"")</f>
        <v/>
      </c>
      <c r="K948" s="86" t="str">
        <f>IF(N948=0,(IF(LEFT(Table13[[#This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Row],[URAIAN]],$U$194:$V$210,2,FALSE),""),""),0))))),N948)</f>
        <v/>
      </c>
      <c r="L948" s="85" t="str">
        <f>IF(Table13[[#This Row],[Column2]]="KWITANSI",COUNTIF($K$4:K948,"KWITANSI")," ")</f>
        <v xml:space="preserve"> </v>
      </c>
      <c r="M948" s="85" t="str">
        <f>IF(Table13[[#This Row],[Column3]]=" "," ",Table13[[#This Row],[CODE]])</f>
        <v xml:space="preserve"> </v>
      </c>
      <c r="N948" s="368"/>
      <c r="P948" s="81" t="str">
        <f t="shared" si="14"/>
        <v/>
      </c>
    </row>
    <row r="949" spans="1:16" hidden="1" x14ac:dyDescent="0.15">
      <c r="A949" s="81" t="str">
        <f>COPY!O947</f>
        <v/>
      </c>
      <c r="B949" s="81" t="str">
        <f>COPY!C947</f>
        <v/>
      </c>
      <c r="C949" s="82" t="str">
        <f>COPY!D947</f>
        <v/>
      </c>
      <c r="D949" s="81" t="str">
        <f>IF(Table13[[#This Row],[JUMLAH]]&gt;1,(IF(Table13[[#This Row],[CODE]]=" ",D948&amp;"a",IF(Table13[[#This Row],[CODE]]&gt;0,Table13[[#This Row],[CODE]],0))),"")</f>
        <v/>
      </c>
      <c r="E949" s="81" t="str">
        <f>IF(COPY!G947&gt;0,COPY!G947,"")</f>
        <v/>
      </c>
      <c r="F949" s="88" t="str">
        <f>IF(COPY!J947&gt;0,COPY!J947,"")</f>
        <v/>
      </c>
      <c r="G949" s="85" t="str">
        <f>IF(COPY!H947&gt;0,COPY!H947,"")</f>
        <v/>
      </c>
      <c r="H949" s="85" t="str">
        <f>IF(COPY!I947&gt;0,COPY!I947,"")</f>
        <v/>
      </c>
      <c r="I949" s="85" t="str">
        <f>IF(COPY!M947&gt;0,COPY!M947,"")</f>
        <v/>
      </c>
      <c r="J949" s="85" t="str">
        <f>IF(COPY!N947&gt;0,COPY!N947,"")</f>
        <v/>
      </c>
      <c r="K949" s="86" t="str">
        <f>IF(N949=0,(IF(LEFT(Table13[[#This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Row],[URAIAN]],$U$194:$V$210,2,FALSE),""),""),0))))),N949)</f>
        <v/>
      </c>
      <c r="L949" s="85" t="str">
        <f>IF(Table13[[#This Row],[Column2]]="KWITANSI",COUNTIF($K$4:K949,"KWITANSI")," ")</f>
        <v xml:space="preserve"> </v>
      </c>
      <c r="M949" s="85" t="str">
        <f>IF(Table13[[#This Row],[Column3]]=" "," ",Table13[[#This Row],[CODE]])</f>
        <v xml:space="preserve"> </v>
      </c>
      <c r="N949" s="368"/>
      <c r="P949" s="81" t="str">
        <f t="shared" si="14"/>
        <v/>
      </c>
    </row>
    <row r="950" spans="1:16" hidden="1" x14ac:dyDescent="0.15">
      <c r="A950" s="81" t="str">
        <f>COPY!O948</f>
        <v/>
      </c>
      <c r="B950" s="81" t="str">
        <f>COPY!C948</f>
        <v/>
      </c>
      <c r="C950" s="82" t="str">
        <f>COPY!D948</f>
        <v/>
      </c>
      <c r="D950" s="81" t="str">
        <f>IF(Table13[[#This Row],[JUMLAH]]&gt;1,(IF(Table13[[#This Row],[CODE]]=" ",D949&amp;"a",IF(Table13[[#This Row],[CODE]]&gt;0,Table13[[#This Row],[CODE]],0))),"")</f>
        <v/>
      </c>
      <c r="E950" s="81" t="str">
        <f>IF(COPY!G948&gt;0,COPY!G948,"")</f>
        <v/>
      </c>
      <c r="F950" s="88" t="str">
        <f>IF(COPY!J948&gt;0,COPY!J948,"")</f>
        <v/>
      </c>
      <c r="G950" s="85" t="str">
        <f>IF(COPY!H948&gt;0,COPY!H948,"")</f>
        <v/>
      </c>
      <c r="H950" s="85" t="str">
        <f>IF(COPY!I948&gt;0,COPY!I948,"")</f>
        <v/>
      </c>
      <c r="I950" s="85" t="str">
        <f>IF(COPY!M948&gt;0,COPY!M948,"")</f>
        <v/>
      </c>
      <c r="J950" s="85" t="str">
        <f>IF(COPY!N948&gt;0,COPY!N948,"")</f>
        <v/>
      </c>
      <c r="K950" s="86" t="str">
        <f>IF(N950=0,(IF(LEFT(Table13[[#This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Row],[URAIAN]],$U$194:$V$210,2,FALSE),""),""),0))))),N950)</f>
        <v/>
      </c>
      <c r="L950" s="85" t="str">
        <f>IF(Table13[[#This Row],[Column2]]="KWITANSI",COUNTIF($K$4:K950,"KWITANSI")," ")</f>
        <v xml:space="preserve"> </v>
      </c>
      <c r="M950" s="85" t="str">
        <f>IF(Table13[[#This Row],[Column3]]=" "," ",Table13[[#This Row],[CODE]])</f>
        <v xml:space="preserve"> </v>
      </c>
      <c r="N950" s="368"/>
      <c r="P950" s="81" t="str">
        <f t="shared" si="14"/>
        <v/>
      </c>
    </row>
    <row r="951" spans="1:16" hidden="1" x14ac:dyDescent="0.15">
      <c r="A951" s="81" t="str">
        <f>COPY!O949</f>
        <v/>
      </c>
      <c r="B951" s="81" t="str">
        <f>COPY!C949</f>
        <v/>
      </c>
      <c r="C951" s="82" t="str">
        <f>COPY!D949</f>
        <v/>
      </c>
      <c r="D951" s="81" t="str">
        <f>IF(Table13[[#This Row],[JUMLAH]]&gt;1,(IF(Table13[[#This Row],[CODE]]=" ",D950&amp;"a",IF(Table13[[#This Row],[CODE]]&gt;0,Table13[[#This Row],[CODE]],0))),"")</f>
        <v/>
      </c>
      <c r="E951" s="81" t="str">
        <f>IF(COPY!G949&gt;0,COPY!G949,"")</f>
        <v/>
      </c>
      <c r="F951" s="88" t="str">
        <f>IF(COPY!J949&gt;0,COPY!J949,"")</f>
        <v/>
      </c>
      <c r="G951" s="85" t="str">
        <f>IF(COPY!H949&gt;0,COPY!H949,"")</f>
        <v/>
      </c>
      <c r="H951" s="85" t="str">
        <f>IF(COPY!I949&gt;0,COPY!I949,"")</f>
        <v/>
      </c>
      <c r="I951" s="85" t="str">
        <f>IF(COPY!M949&gt;0,COPY!M949,"")</f>
        <v/>
      </c>
      <c r="J951" s="85" t="str">
        <f>IF(COPY!N949&gt;0,COPY!N949,"")</f>
        <v/>
      </c>
      <c r="K951" s="86" t="str">
        <f>IF(N951=0,(IF(LEFT(Table13[[#This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Row],[URAIAN]],$U$194:$V$210,2,FALSE),""),""),0))))),N951)</f>
        <v/>
      </c>
      <c r="L951" s="85" t="str">
        <f>IF(Table13[[#This Row],[Column2]]="KWITANSI",COUNTIF($K$4:K951,"KWITANSI")," ")</f>
        <v xml:space="preserve"> </v>
      </c>
      <c r="M951" s="85" t="str">
        <f>IF(Table13[[#This Row],[Column3]]=" "," ",Table13[[#This Row],[CODE]])</f>
        <v xml:space="preserve"> </v>
      </c>
      <c r="N951" s="368"/>
      <c r="P951" s="81" t="str">
        <f t="shared" si="14"/>
        <v/>
      </c>
    </row>
    <row r="952" spans="1:16" hidden="1" x14ac:dyDescent="0.15">
      <c r="A952" s="81" t="str">
        <f>COPY!O950</f>
        <v/>
      </c>
      <c r="B952" s="81" t="str">
        <f>COPY!C950</f>
        <v/>
      </c>
      <c r="C952" s="82" t="str">
        <f>COPY!D950</f>
        <v/>
      </c>
      <c r="D952" s="81" t="str">
        <f>IF(Table13[[#This Row],[JUMLAH]]&gt;1,(IF(Table13[[#This Row],[CODE]]=" ",D951&amp;"a",IF(Table13[[#This Row],[CODE]]&gt;0,Table13[[#This Row],[CODE]],0))),"")</f>
        <v/>
      </c>
      <c r="E952" s="81" t="str">
        <f>IF(COPY!G950&gt;0,COPY!G950,"")</f>
        <v/>
      </c>
      <c r="F952" s="88" t="str">
        <f>IF(COPY!J950&gt;0,COPY!J950,"")</f>
        <v/>
      </c>
      <c r="G952" s="85" t="str">
        <f>IF(COPY!H950&gt;0,COPY!H950,"")</f>
        <v/>
      </c>
      <c r="H952" s="85" t="str">
        <f>IF(COPY!I950&gt;0,COPY!I950,"")</f>
        <v/>
      </c>
      <c r="I952" s="85" t="str">
        <f>IF(COPY!M950&gt;0,COPY!M950,"")</f>
        <v/>
      </c>
      <c r="J952" s="85" t="str">
        <f>IF(COPY!N950&gt;0,COPY!N950,"")</f>
        <v/>
      </c>
      <c r="K952" s="86" t="str">
        <f>IF(N952=0,(IF(LEFT(Table13[[#This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Row],[URAIAN]],$U$194:$V$210,2,FALSE),""),""),0))))),N952)</f>
        <v/>
      </c>
      <c r="L952" s="85" t="str">
        <f>IF(Table13[[#This Row],[Column2]]="KWITANSI",COUNTIF($K$4:K952,"KWITANSI")," ")</f>
        <v xml:space="preserve"> </v>
      </c>
      <c r="M952" s="85" t="str">
        <f>IF(Table13[[#This Row],[Column3]]=" "," ",Table13[[#This Row],[CODE]])</f>
        <v xml:space="preserve"> </v>
      </c>
      <c r="N952" s="368"/>
      <c r="P952" s="81" t="str">
        <f t="shared" si="14"/>
        <v/>
      </c>
    </row>
    <row r="953" spans="1:16" hidden="1" x14ac:dyDescent="0.15">
      <c r="A953" s="81" t="str">
        <f>COPY!O951</f>
        <v/>
      </c>
      <c r="B953" s="81" t="str">
        <f>COPY!C951</f>
        <v/>
      </c>
      <c r="C953" s="82" t="str">
        <f>COPY!D951</f>
        <v/>
      </c>
      <c r="D953" s="81" t="str">
        <f>IF(Table13[[#This Row],[JUMLAH]]&gt;1,(IF(Table13[[#This Row],[CODE]]=" ",D952&amp;"a",IF(Table13[[#This Row],[CODE]]&gt;0,Table13[[#This Row],[CODE]],0))),"")</f>
        <v/>
      </c>
      <c r="E953" s="81" t="str">
        <f>IF(COPY!G951&gt;0,COPY!G951,"")</f>
        <v/>
      </c>
      <c r="F953" s="88" t="str">
        <f>IF(COPY!J951&gt;0,COPY!J951,"")</f>
        <v/>
      </c>
      <c r="G953" s="85" t="str">
        <f>IF(COPY!H951&gt;0,COPY!H951,"")</f>
        <v/>
      </c>
      <c r="H953" s="85" t="str">
        <f>IF(COPY!I951&gt;0,COPY!I951,"")</f>
        <v/>
      </c>
      <c r="I953" s="85" t="str">
        <f>IF(COPY!M951&gt;0,COPY!M951,"")</f>
        <v/>
      </c>
      <c r="J953" s="85" t="str">
        <f>IF(COPY!N951&gt;0,COPY!N951,"")</f>
        <v/>
      </c>
      <c r="K953" s="86" t="str">
        <f>IF(N953=0,(IF(LEFT(Table13[[#This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Row],[URAIAN]],$U$194:$V$210,2,FALSE),""),""),0))))),N953)</f>
        <v/>
      </c>
      <c r="L953" s="85" t="str">
        <f>IF(Table13[[#This Row],[Column2]]="KWITANSI",COUNTIF($K$4:K953,"KWITANSI")," ")</f>
        <v xml:space="preserve"> </v>
      </c>
      <c r="M953" s="85" t="str">
        <f>IF(Table13[[#This Row],[Column3]]=" "," ",Table13[[#This Row],[CODE]])</f>
        <v xml:space="preserve"> </v>
      </c>
      <c r="N953" s="368"/>
      <c r="P953" s="81" t="str">
        <f t="shared" si="14"/>
        <v/>
      </c>
    </row>
    <row r="954" spans="1:16" hidden="1" x14ac:dyDescent="0.15">
      <c r="A954" s="81" t="str">
        <f>COPY!O952</f>
        <v/>
      </c>
      <c r="B954" s="81" t="str">
        <f>COPY!C952</f>
        <v/>
      </c>
      <c r="C954" s="82" t="str">
        <f>COPY!D952</f>
        <v/>
      </c>
      <c r="D954" s="81" t="str">
        <f>IF(Table13[[#This Row],[JUMLAH]]&gt;1,(IF(Table13[[#This Row],[CODE]]=" ",D953&amp;"a",IF(Table13[[#This Row],[CODE]]&gt;0,Table13[[#This Row],[CODE]],0))),"")</f>
        <v/>
      </c>
      <c r="E954" s="81" t="str">
        <f>IF(COPY!G952&gt;0,COPY!G952,"")</f>
        <v/>
      </c>
      <c r="F954" s="88" t="str">
        <f>IF(COPY!J952&gt;0,COPY!J952,"")</f>
        <v/>
      </c>
      <c r="G954" s="85" t="str">
        <f>IF(COPY!H952&gt;0,COPY!H952,"")</f>
        <v/>
      </c>
      <c r="H954" s="85" t="str">
        <f>IF(COPY!I952&gt;0,COPY!I952,"")</f>
        <v/>
      </c>
      <c r="I954" s="85" t="str">
        <f>IF(COPY!M952&gt;0,COPY!M952,"")</f>
        <v/>
      </c>
      <c r="J954" s="85" t="str">
        <f>IF(COPY!N952&gt;0,COPY!N952,"")</f>
        <v/>
      </c>
      <c r="K954" s="86" t="str">
        <f>IF(N954=0,(IF(LEFT(Table13[[#This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Row],[URAIAN]],$U$194:$V$210,2,FALSE),""),""),0))))),N954)</f>
        <v/>
      </c>
      <c r="L954" s="85" t="str">
        <f>IF(Table13[[#This Row],[Column2]]="KWITANSI",COUNTIF($K$4:K954,"KWITANSI")," ")</f>
        <v xml:space="preserve"> </v>
      </c>
      <c r="M954" s="85" t="str">
        <f>IF(Table13[[#This Row],[Column3]]=" "," ",Table13[[#This Row],[CODE]])</f>
        <v xml:space="preserve"> </v>
      </c>
      <c r="N954" s="368"/>
      <c r="P954" s="81" t="str">
        <f t="shared" si="14"/>
        <v/>
      </c>
    </row>
    <row r="955" spans="1:16" hidden="1" x14ac:dyDescent="0.15">
      <c r="A955" s="81" t="str">
        <f>COPY!O953</f>
        <v/>
      </c>
      <c r="B955" s="81" t="str">
        <f>COPY!C953</f>
        <v/>
      </c>
      <c r="C955" s="82" t="str">
        <f>COPY!D953</f>
        <v/>
      </c>
      <c r="D955" s="81" t="str">
        <f>IF(Table13[[#This Row],[JUMLAH]]&gt;1,(IF(Table13[[#This Row],[CODE]]=" ",D954&amp;"a",IF(Table13[[#This Row],[CODE]]&gt;0,Table13[[#This Row],[CODE]],0))),"")</f>
        <v/>
      </c>
      <c r="E955" s="81" t="str">
        <f>IF(COPY!G953&gt;0,COPY!G953,"")</f>
        <v/>
      </c>
      <c r="F955" s="88" t="str">
        <f>IF(COPY!J953&gt;0,COPY!J953,"")</f>
        <v/>
      </c>
      <c r="G955" s="85" t="str">
        <f>IF(COPY!H953&gt;0,COPY!H953,"")</f>
        <v/>
      </c>
      <c r="H955" s="85" t="str">
        <f>IF(COPY!I953&gt;0,COPY!I953,"")</f>
        <v/>
      </c>
      <c r="I955" s="85" t="str">
        <f>IF(COPY!M953&gt;0,COPY!M953,"")</f>
        <v/>
      </c>
      <c r="J955" s="85" t="str">
        <f>IF(COPY!N953&gt;0,COPY!N953,"")</f>
        <v/>
      </c>
      <c r="K955" s="86" t="str">
        <f>IF(N955=0,(IF(LEFT(Table13[[#This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Row],[URAIAN]],$U$194:$V$210,2,FALSE),""),""),0))))),N955)</f>
        <v/>
      </c>
      <c r="L955" s="85" t="str">
        <f>IF(Table13[[#This Row],[Column2]]="KWITANSI",COUNTIF($K$4:K955,"KWITANSI")," ")</f>
        <v xml:space="preserve"> </v>
      </c>
      <c r="M955" s="85" t="str">
        <f>IF(Table13[[#This Row],[Column3]]=" "," ",Table13[[#This Row],[CODE]])</f>
        <v xml:space="preserve"> </v>
      </c>
      <c r="N955" s="368"/>
      <c r="P955" s="81" t="str">
        <f t="shared" si="14"/>
        <v/>
      </c>
    </row>
    <row r="956" spans="1:16" hidden="1" x14ac:dyDescent="0.15">
      <c r="A956" s="81" t="str">
        <f>COPY!O954</f>
        <v/>
      </c>
      <c r="B956" s="81" t="str">
        <f>COPY!C954</f>
        <v/>
      </c>
      <c r="C956" s="82" t="str">
        <f>COPY!D954</f>
        <v/>
      </c>
      <c r="D956" s="81" t="str">
        <f>IF(Table13[[#This Row],[JUMLAH]]&gt;1,(IF(Table13[[#This Row],[CODE]]=" ",D955&amp;"a",IF(Table13[[#This Row],[CODE]]&gt;0,Table13[[#This Row],[CODE]],0))),"")</f>
        <v/>
      </c>
      <c r="E956" s="81" t="str">
        <f>IF(COPY!G954&gt;0,COPY!G954,"")</f>
        <v/>
      </c>
      <c r="F956" s="88" t="str">
        <f>IF(COPY!J954&gt;0,COPY!J954,"")</f>
        <v/>
      </c>
      <c r="G956" s="85" t="str">
        <f>IF(COPY!H954&gt;0,COPY!H954,"")</f>
        <v/>
      </c>
      <c r="H956" s="85" t="str">
        <f>IF(COPY!I954&gt;0,COPY!I954,"")</f>
        <v/>
      </c>
      <c r="I956" s="85" t="str">
        <f>IF(COPY!M954&gt;0,COPY!M954,"")</f>
        <v/>
      </c>
      <c r="J956" s="85" t="str">
        <f>IF(COPY!N954&gt;0,COPY!N954,"")</f>
        <v/>
      </c>
      <c r="K956" s="86" t="str">
        <f>IF(N956=0,(IF(LEFT(Table13[[#This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Row],[URAIAN]],$U$194:$V$210,2,FALSE),""),""),0))))),N956)</f>
        <v/>
      </c>
      <c r="L956" s="85" t="str">
        <f>IF(Table13[[#This Row],[Column2]]="KWITANSI",COUNTIF($K$4:K956,"KWITANSI")," ")</f>
        <v xml:space="preserve"> </v>
      </c>
      <c r="M956" s="85" t="str">
        <f>IF(Table13[[#This Row],[Column3]]=" "," ",Table13[[#This Row],[CODE]])</f>
        <v xml:space="preserve"> </v>
      </c>
      <c r="N956" s="368"/>
      <c r="P956" s="81" t="str">
        <f t="shared" si="14"/>
        <v/>
      </c>
    </row>
    <row r="957" spans="1:16" hidden="1" x14ac:dyDescent="0.15">
      <c r="A957" s="81" t="str">
        <f>COPY!O955</f>
        <v/>
      </c>
      <c r="B957" s="81" t="str">
        <f>COPY!C955</f>
        <v/>
      </c>
      <c r="C957" s="82" t="str">
        <f>COPY!D955</f>
        <v/>
      </c>
      <c r="D957" s="81" t="str">
        <f>IF(Table13[[#This Row],[JUMLAH]]&gt;1,(IF(Table13[[#This Row],[CODE]]=" ",D956&amp;"a",IF(Table13[[#This Row],[CODE]]&gt;0,Table13[[#This Row],[CODE]],0))),"")</f>
        <v/>
      </c>
      <c r="E957" s="81" t="str">
        <f>IF(COPY!G955&gt;0,COPY!G955,"")</f>
        <v/>
      </c>
      <c r="F957" s="88" t="str">
        <f>IF(COPY!J955&gt;0,COPY!J955,"")</f>
        <v/>
      </c>
      <c r="G957" s="85" t="str">
        <f>IF(COPY!H955&gt;0,COPY!H955,"")</f>
        <v/>
      </c>
      <c r="H957" s="85" t="str">
        <f>IF(COPY!I955&gt;0,COPY!I955,"")</f>
        <v/>
      </c>
      <c r="I957" s="85" t="str">
        <f>IF(COPY!M955&gt;0,COPY!M955,"")</f>
        <v/>
      </c>
      <c r="J957" s="85" t="str">
        <f>IF(COPY!N955&gt;0,COPY!N955,"")</f>
        <v/>
      </c>
      <c r="K957" s="86" t="str">
        <f>IF(N957=0,(IF(LEFT(Table13[[#This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Row],[URAIAN]],$U$194:$V$210,2,FALSE),""),""),0))))),N957)</f>
        <v/>
      </c>
      <c r="L957" s="85" t="str">
        <f>IF(Table13[[#This Row],[Column2]]="KWITANSI",COUNTIF($K$4:K957,"KWITANSI")," ")</f>
        <v xml:space="preserve"> </v>
      </c>
      <c r="M957" s="85" t="str">
        <f>IF(Table13[[#This Row],[Column3]]=" "," ",Table13[[#This Row],[CODE]])</f>
        <v xml:space="preserve"> </v>
      </c>
      <c r="N957" s="368"/>
      <c r="P957" s="81" t="str">
        <f t="shared" si="14"/>
        <v/>
      </c>
    </row>
    <row r="958" spans="1:16" hidden="1" x14ac:dyDescent="0.15">
      <c r="A958" s="81" t="str">
        <f>COPY!O956</f>
        <v/>
      </c>
      <c r="B958" s="81" t="str">
        <f>COPY!C956</f>
        <v/>
      </c>
      <c r="C958" s="82" t="str">
        <f>COPY!D956</f>
        <v/>
      </c>
      <c r="D958" s="81" t="str">
        <f>IF(Table13[[#This Row],[JUMLAH]]&gt;1,(IF(Table13[[#This Row],[CODE]]=" ",D957&amp;"a",IF(Table13[[#This Row],[CODE]]&gt;0,Table13[[#This Row],[CODE]],0))),"")</f>
        <v/>
      </c>
      <c r="E958" s="81" t="str">
        <f>IF(COPY!G956&gt;0,COPY!G956,"")</f>
        <v/>
      </c>
      <c r="F958" s="88" t="str">
        <f>IF(COPY!J956&gt;0,COPY!J956,"")</f>
        <v/>
      </c>
      <c r="G958" s="85" t="str">
        <f>IF(COPY!H956&gt;0,COPY!H956,"")</f>
        <v/>
      </c>
      <c r="H958" s="85" t="str">
        <f>IF(COPY!I956&gt;0,COPY!I956,"")</f>
        <v/>
      </c>
      <c r="I958" s="85" t="str">
        <f>IF(COPY!M956&gt;0,COPY!M956,"")</f>
        <v/>
      </c>
      <c r="J958" s="85" t="str">
        <f>IF(COPY!N956&gt;0,COPY!N956,"")</f>
        <v/>
      </c>
      <c r="K958" s="86" t="str">
        <f>IF(N958=0,(IF(LEFT(Table13[[#This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Row],[URAIAN]],$U$194:$V$210,2,FALSE),""),""),0))))),N958)</f>
        <v/>
      </c>
      <c r="L958" s="85" t="str">
        <f>IF(Table13[[#This Row],[Column2]]="KWITANSI",COUNTIF($K$4:K958,"KWITANSI")," ")</f>
        <v xml:space="preserve"> </v>
      </c>
      <c r="M958" s="85" t="str">
        <f>IF(Table13[[#This Row],[Column3]]=" "," ",Table13[[#This Row],[CODE]])</f>
        <v xml:space="preserve"> </v>
      </c>
      <c r="N958" s="368"/>
      <c r="P958" s="81" t="str">
        <f t="shared" si="14"/>
        <v/>
      </c>
    </row>
    <row r="959" spans="1:16" hidden="1" x14ac:dyDescent="0.15">
      <c r="A959" s="81" t="str">
        <f>COPY!O957</f>
        <v/>
      </c>
      <c r="B959" s="81" t="str">
        <f>COPY!C957</f>
        <v/>
      </c>
      <c r="C959" s="82" t="str">
        <f>COPY!D957</f>
        <v/>
      </c>
      <c r="D959" s="81" t="str">
        <f>IF(Table13[[#This Row],[JUMLAH]]&gt;1,(IF(Table13[[#This Row],[CODE]]=" ",D958&amp;"a",IF(Table13[[#This Row],[CODE]]&gt;0,Table13[[#This Row],[CODE]],0))),"")</f>
        <v/>
      </c>
      <c r="E959" s="81" t="str">
        <f>IF(COPY!G957&gt;0,COPY!G957,"")</f>
        <v/>
      </c>
      <c r="F959" s="88" t="str">
        <f>IF(COPY!J957&gt;0,COPY!J957,"")</f>
        <v/>
      </c>
      <c r="G959" s="85" t="str">
        <f>IF(COPY!H957&gt;0,COPY!H957,"")</f>
        <v/>
      </c>
      <c r="H959" s="85" t="str">
        <f>IF(COPY!I957&gt;0,COPY!I957,"")</f>
        <v/>
      </c>
      <c r="I959" s="85" t="str">
        <f>IF(COPY!M957&gt;0,COPY!M957,"")</f>
        <v/>
      </c>
      <c r="J959" s="85" t="str">
        <f>IF(COPY!N957&gt;0,COPY!N957,"")</f>
        <v/>
      </c>
      <c r="K959" s="86" t="str">
        <f>IF(N959=0,(IF(LEFT(Table13[[#This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Row],[URAIAN]],$U$194:$V$210,2,FALSE),""),""),0))))),N959)</f>
        <v/>
      </c>
      <c r="L959" s="85" t="str">
        <f>IF(Table13[[#This Row],[Column2]]="KWITANSI",COUNTIF($K$4:K959,"KWITANSI")," ")</f>
        <v xml:space="preserve"> </v>
      </c>
      <c r="M959" s="85" t="str">
        <f>IF(Table13[[#This Row],[Column3]]=" "," ",Table13[[#This Row],[CODE]])</f>
        <v xml:space="preserve"> </v>
      </c>
      <c r="N959" s="368"/>
      <c r="P959" s="81" t="str">
        <f t="shared" si="14"/>
        <v/>
      </c>
    </row>
    <row r="960" spans="1:16" hidden="1" x14ac:dyDescent="0.15">
      <c r="A960" s="81" t="str">
        <f>COPY!O958</f>
        <v/>
      </c>
      <c r="B960" s="81" t="str">
        <f>COPY!C958</f>
        <v/>
      </c>
      <c r="C960" s="82" t="str">
        <f>COPY!D958</f>
        <v/>
      </c>
      <c r="D960" s="81" t="str">
        <f>IF(Table13[[#This Row],[JUMLAH]]&gt;1,(IF(Table13[[#This Row],[CODE]]=" ",D959&amp;"a",IF(Table13[[#This Row],[CODE]]&gt;0,Table13[[#This Row],[CODE]],0))),"")</f>
        <v/>
      </c>
      <c r="E960" s="81" t="str">
        <f>IF(COPY!G958&gt;0,COPY!G958,"")</f>
        <v/>
      </c>
      <c r="F960" s="88" t="str">
        <f>IF(COPY!J958&gt;0,COPY!J958,"")</f>
        <v/>
      </c>
      <c r="G960" s="85" t="str">
        <f>IF(COPY!H958&gt;0,COPY!H958,"")</f>
        <v/>
      </c>
      <c r="H960" s="85" t="str">
        <f>IF(COPY!I958&gt;0,COPY!I958,"")</f>
        <v/>
      </c>
      <c r="I960" s="85" t="str">
        <f>IF(COPY!M958&gt;0,COPY!M958,"")</f>
        <v/>
      </c>
      <c r="J960" s="85" t="str">
        <f>IF(COPY!N958&gt;0,COPY!N958,"")</f>
        <v/>
      </c>
      <c r="K960" s="86" t="str">
        <f>IF(N960=0,(IF(LEFT(Table13[[#This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Row],[URAIAN]],$U$194:$V$210,2,FALSE),""),""),0))))),N960)</f>
        <v/>
      </c>
      <c r="L960" s="85" t="str">
        <f>IF(Table13[[#This Row],[Column2]]="KWITANSI",COUNTIF($K$4:K960,"KWITANSI")," ")</f>
        <v xml:space="preserve"> </v>
      </c>
      <c r="M960" s="85" t="str">
        <f>IF(Table13[[#This Row],[Column3]]=" "," ",Table13[[#This Row],[CODE]])</f>
        <v xml:space="preserve"> </v>
      </c>
      <c r="N960" s="368"/>
      <c r="P960" s="81" t="str">
        <f t="shared" si="14"/>
        <v/>
      </c>
    </row>
    <row r="961" spans="1:16" hidden="1" x14ac:dyDescent="0.15">
      <c r="A961" s="81" t="str">
        <f>COPY!O959</f>
        <v/>
      </c>
      <c r="B961" s="81" t="str">
        <f>COPY!C959</f>
        <v/>
      </c>
      <c r="C961" s="82" t="str">
        <f>COPY!D959</f>
        <v/>
      </c>
      <c r="D961" s="81" t="str">
        <f>IF(Table13[[#This Row],[JUMLAH]]&gt;1,(IF(Table13[[#This Row],[CODE]]=" ",D960&amp;"a",IF(Table13[[#This Row],[CODE]]&gt;0,Table13[[#This Row],[CODE]],0))),"")</f>
        <v/>
      </c>
      <c r="E961" s="81" t="str">
        <f>IF(COPY!G959&gt;0,COPY!G959,"")</f>
        <v/>
      </c>
      <c r="F961" s="88" t="str">
        <f>IF(COPY!J959&gt;0,COPY!J959,"")</f>
        <v/>
      </c>
      <c r="G961" s="85" t="str">
        <f>IF(COPY!H959&gt;0,COPY!H959,"")</f>
        <v/>
      </c>
      <c r="H961" s="85" t="str">
        <f>IF(COPY!I959&gt;0,COPY!I959,"")</f>
        <v/>
      </c>
      <c r="I961" s="85" t="str">
        <f>IF(COPY!M959&gt;0,COPY!M959,"")</f>
        <v/>
      </c>
      <c r="J961" s="85" t="str">
        <f>IF(COPY!N959&gt;0,COPY!N959,"")</f>
        <v/>
      </c>
      <c r="K961" s="86" t="str">
        <f>IF(N961=0,(IF(LEFT(Table13[[#This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Row],[URAIAN]],$U$194:$V$210,2,FALSE),""),""),0))))),N961)</f>
        <v/>
      </c>
      <c r="L961" s="85" t="str">
        <f>IF(Table13[[#This Row],[Column2]]="KWITANSI",COUNTIF($K$4:K961,"KWITANSI")," ")</f>
        <v xml:space="preserve"> </v>
      </c>
      <c r="M961" s="85" t="str">
        <f>IF(Table13[[#This Row],[Column3]]=" "," ",Table13[[#This Row],[CODE]])</f>
        <v xml:space="preserve"> </v>
      </c>
      <c r="N961" s="368"/>
      <c r="P961" s="81" t="str">
        <f t="shared" si="14"/>
        <v/>
      </c>
    </row>
    <row r="962" spans="1:16" hidden="1" x14ac:dyDescent="0.15">
      <c r="A962" s="81" t="str">
        <f>COPY!O960</f>
        <v/>
      </c>
      <c r="B962" s="81" t="str">
        <f>COPY!C960</f>
        <v/>
      </c>
      <c r="C962" s="82" t="str">
        <f>COPY!D960</f>
        <v/>
      </c>
      <c r="D962" s="81" t="str">
        <f>IF(Table13[[#This Row],[JUMLAH]]&gt;1,(IF(Table13[[#This Row],[CODE]]=" ",D961&amp;"a",IF(Table13[[#This Row],[CODE]]&gt;0,Table13[[#This Row],[CODE]],0))),"")</f>
        <v/>
      </c>
      <c r="E962" s="81" t="str">
        <f>IF(COPY!G960&gt;0,COPY!G960,"")</f>
        <v/>
      </c>
      <c r="F962" s="88" t="str">
        <f>IF(COPY!J960&gt;0,COPY!J960,"")</f>
        <v/>
      </c>
      <c r="G962" s="85" t="str">
        <f>IF(COPY!H960&gt;0,COPY!H960,"")</f>
        <v/>
      </c>
      <c r="H962" s="85" t="str">
        <f>IF(COPY!I960&gt;0,COPY!I960,"")</f>
        <v/>
      </c>
      <c r="I962" s="85" t="str">
        <f>IF(COPY!M960&gt;0,COPY!M960,"")</f>
        <v/>
      </c>
      <c r="J962" s="85" t="str">
        <f>IF(COPY!N960&gt;0,COPY!N960,"")</f>
        <v/>
      </c>
      <c r="K962" s="86" t="str">
        <f>IF(N962=0,(IF(LEFT(Table13[[#This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Row],[URAIAN]],$U$194:$V$210,2,FALSE),""),""),0))))),N962)</f>
        <v/>
      </c>
      <c r="L962" s="85" t="str">
        <f>IF(Table13[[#This Row],[Column2]]="KWITANSI",COUNTIF($K$4:K962,"KWITANSI")," ")</f>
        <v xml:space="preserve"> </v>
      </c>
      <c r="M962" s="85" t="str">
        <f>IF(Table13[[#This Row],[Column3]]=" "," ",Table13[[#This Row],[CODE]])</f>
        <v xml:space="preserve"> </v>
      </c>
      <c r="N962" s="368"/>
      <c r="P962" s="81" t="str">
        <f t="shared" ref="P962:P1004" si="15">IF(-$O$4+($O$4+ROW())&lt;=$O$4,-$O$4+($O$4+ROW()),"")</f>
        <v/>
      </c>
    </row>
    <row r="963" spans="1:16" hidden="1" x14ac:dyDescent="0.15">
      <c r="A963" s="81" t="str">
        <f>COPY!O961</f>
        <v/>
      </c>
      <c r="B963" s="81" t="str">
        <f>COPY!C961</f>
        <v/>
      </c>
      <c r="C963" s="82" t="str">
        <f>COPY!D961</f>
        <v/>
      </c>
      <c r="D963" s="81" t="str">
        <f>IF(Table13[[#This Row],[JUMLAH]]&gt;1,(IF(Table13[[#This Row],[CODE]]=" ",D962&amp;"a",IF(Table13[[#This Row],[CODE]]&gt;0,Table13[[#This Row],[CODE]],0))),"")</f>
        <v/>
      </c>
      <c r="E963" s="81" t="str">
        <f>IF(COPY!G961&gt;0,COPY!G961,"")</f>
        <v/>
      </c>
      <c r="F963" s="88" t="str">
        <f>IF(COPY!J961&gt;0,COPY!J961,"")</f>
        <v/>
      </c>
      <c r="G963" s="85" t="str">
        <f>IF(COPY!H961&gt;0,COPY!H961,"")</f>
        <v/>
      </c>
      <c r="H963" s="85" t="str">
        <f>IF(COPY!I961&gt;0,COPY!I961,"")</f>
        <v/>
      </c>
      <c r="I963" s="85" t="str">
        <f>IF(COPY!M961&gt;0,COPY!M961,"")</f>
        <v/>
      </c>
      <c r="J963" s="85" t="str">
        <f>IF(COPY!N961&gt;0,COPY!N961,"")</f>
        <v/>
      </c>
      <c r="K963" s="86" t="str">
        <f>IF(N963=0,(IF(LEFT(Table13[[#This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Row],[URAIAN]],$U$194:$V$210,2,FALSE),""),""),0))))),N963)</f>
        <v/>
      </c>
      <c r="L963" s="85" t="str">
        <f>IF(Table13[[#This Row],[Column2]]="KWITANSI",COUNTIF($K$4:K963,"KWITANSI")," ")</f>
        <v xml:space="preserve"> </v>
      </c>
      <c r="M963" s="85" t="str">
        <f>IF(Table13[[#This Row],[Column3]]=" "," ",Table13[[#This Row],[CODE]])</f>
        <v xml:space="preserve"> </v>
      </c>
      <c r="N963" s="368"/>
      <c r="P963" s="81" t="str">
        <f t="shared" si="15"/>
        <v/>
      </c>
    </row>
    <row r="964" spans="1:16" hidden="1" x14ac:dyDescent="0.15">
      <c r="A964" s="81" t="str">
        <f>COPY!O962</f>
        <v/>
      </c>
      <c r="B964" s="81" t="str">
        <f>COPY!C962</f>
        <v/>
      </c>
      <c r="C964" s="82" t="str">
        <f>COPY!D962</f>
        <v/>
      </c>
      <c r="D964" s="81" t="str">
        <f>IF(Table13[[#This Row],[JUMLAH]]&gt;1,(IF(Table13[[#This Row],[CODE]]=" ",D963&amp;"a",IF(Table13[[#This Row],[CODE]]&gt;0,Table13[[#This Row],[CODE]],0))),"")</f>
        <v/>
      </c>
      <c r="E964" s="81" t="str">
        <f>IF(COPY!G962&gt;0,COPY!G962,"")</f>
        <v/>
      </c>
      <c r="F964" s="88" t="str">
        <f>IF(COPY!J962&gt;0,COPY!J962,"")</f>
        <v/>
      </c>
      <c r="G964" s="85" t="str">
        <f>IF(COPY!H962&gt;0,COPY!H962,"")</f>
        <v/>
      </c>
      <c r="H964" s="85" t="str">
        <f>IF(COPY!I962&gt;0,COPY!I962,"")</f>
        <v/>
      </c>
      <c r="I964" s="85" t="str">
        <f>IF(COPY!M962&gt;0,COPY!M962,"")</f>
        <v/>
      </c>
      <c r="J964" s="85" t="str">
        <f>IF(COPY!N962&gt;0,COPY!N962,"")</f>
        <v/>
      </c>
      <c r="K964" s="86" t="str">
        <f>IF(N964=0,(IF(LEFT(Table13[[#This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Row],[URAIAN]],$U$194:$V$210,2,FALSE),""),""),0))))),N964)</f>
        <v/>
      </c>
      <c r="L964" s="85" t="str">
        <f>IF(Table13[[#This Row],[Column2]]="KWITANSI",COUNTIF($K$4:K964,"KWITANSI")," ")</f>
        <v xml:space="preserve"> </v>
      </c>
      <c r="M964" s="85" t="str">
        <f>IF(Table13[[#This Row],[Column3]]=" "," ",Table13[[#This Row],[CODE]])</f>
        <v xml:space="preserve"> </v>
      </c>
      <c r="N964" s="368"/>
      <c r="P964" s="81" t="str">
        <f t="shared" si="15"/>
        <v/>
      </c>
    </row>
    <row r="965" spans="1:16" hidden="1" x14ac:dyDescent="0.15">
      <c r="A965" s="81" t="str">
        <f>COPY!O963</f>
        <v/>
      </c>
      <c r="B965" s="81" t="str">
        <f>COPY!C963</f>
        <v/>
      </c>
      <c r="C965" s="82" t="str">
        <f>COPY!D963</f>
        <v/>
      </c>
      <c r="D965" s="81" t="str">
        <f>IF(Table13[[#This Row],[JUMLAH]]&gt;1,(IF(Table13[[#This Row],[CODE]]=" ",D964&amp;"a",IF(Table13[[#This Row],[CODE]]&gt;0,Table13[[#This Row],[CODE]],0))),"")</f>
        <v/>
      </c>
      <c r="E965" s="81" t="str">
        <f>IF(COPY!G963&gt;0,COPY!G963,"")</f>
        <v/>
      </c>
      <c r="F965" s="88" t="str">
        <f>IF(COPY!J963&gt;0,COPY!J963,"")</f>
        <v/>
      </c>
      <c r="G965" s="85" t="str">
        <f>IF(COPY!H963&gt;0,COPY!H963,"")</f>
        <v/>
      </c>
      <c r="H965" s="85" t="str">
        <f>IF(COPY!I963&gt;0,COPY!I963,"")</f>
        <v/>
      </c>
      <c r="I965" s="85" t="str">
        <f>IF(COPY!M963&gt;0,COPY!M963,"")</f>
        <v/>
      </c>
      <c r="J965" s="85" t="str">
        <f>IF(COPY!N963&gt;0,COPY!N963,"")</f>
        <v/>
      </c>
      <c r="K965" s="86" t="str">
        <f>IF(N965=0,(IF(LEFT(Table13[[#This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Row],[URAIAN]],$U$194:$V$210,2,FALSE),""),""),0))))),N965)</f>
        <v/>
      </c>
      <c r="L965" s="85" t="str">
        <f>IF(Table13[[#This Row],[Column2]]="KWITANSI",COUNTIF($K$4:K965,"KWITANSI")," ")</f>
        <v xml:space="preserve"> </v>
      </c>
      <c r="M965" s="85" t="str">
        <f>IF(Table13[[#This Row],[Column3]]=" "," ",Table13[[#This Row],[CODE]])</f>
        <v xml:space="preserve"> </v>
      </c>
      <c r="N965" s="368"/>
      <c r="P965" s="81" t="str">
        <f t="shared" si="15"/>
        <v/>
      </c>
    </row>
    <row r="966" spans="1:16" hidden="1" x14ac:dyDescent="0.15">
      <c r="A966" s="81" t="str">
        <f>COPY!O964</f>
        <v/>
      </c>
      <c r="B966" s="81" t="str">
        <f>COPY!C964</f>
        <v/>
      </c>
      <c r="C966" s="82" t="str">
        <f>COPY!D964</f>
        <v/>
      </c>
      <c r="D966" s="81" t="str">
        <f>IF(Table13[[#This Row],[JUMLAH]]&gt;1,(IF(Table13[[#This Row],[CODE]]=" ",D965&amp;"a",IF(Table13[[#This Row],[CODE]]&gt;0,Table13[[#This Row],[CODE]],0))),"")</f>
        <v/>
      </c>
      <c r="E966" s="81" t="str">
        <f>IF(COPY!G964&gt;0,COPY!G964,"")</f>
        <v/>
      </c>
      <c r="F966" s="88" t="str">
        <f>IF(COPY!J964&gt;0,COPY!J964,"")</f>
        <v/>
      </c>
      <c r="G966" s="85" t="str">
        <f>IF(COPY!H964&gt;0,COPY!H964,"")</f>
        <v/>
      </c>
      <c r="H966" s="85" t="str">
        <f>IF(COPY!I964&gt;0,COPY!I964,"")</f>
        <v/>
      </c>
      <c r="I966" s="85" t="str">
        <f>IF(COPY!M964&gt;0,COPY!M964,"")</f>
        <v/>
      </c>
      <c r="J966" s="85" t="str">
        <f>IF(COPY!N964&gt;0,COPY!N964,"")</f>
        <v/>
      </c>
      <c r="K966" s="86" t="str">
        <f>IF(N966=0,(IF(LEFT(Table13[[#This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Row],[URAIAN]],$U$194:$V$210,2,FALSE),""),""),0))))),N966)</f>
        <v/>
      </c>
      <c r="L966" s="85" t="str">
        <f>IF(Table13[[#This Row],[Column2]]="KWITANSI",COUNTIF($K$4:K966,"KWITANSI")," ")</f>
        <v xml:space="preserve"> </v>
      </c>
      <c r="M966" s="85" t="str">
        <f>IF(Table13[[#This Row],[Column3]]=" "," ",Table13[[#This Row],[CODE]])</f>
        <v xml:space="preserve"> </v>
      </c>
      <c r="N966" s="368"/>
      <c r="P966" s="81" t="str">
        <f t="shared" si="15"/>
        <v/>
      </c>
    </row>
    <row r="967" spans="1:16" hidden="1" x14ac:dyDescent="0.15">
      <c r="A967" s="81" t="str">
        <f>COPY!O965</f>
        <v/>
      </c>
      <c r="B967" s="81" t="str">
        <f>COPY!C965</f>
        <v/>
      </c>
      <c r="C967" s="82" t="str">
        <f>COPY!D965</f>
        <v/>
      </c>
      <c r="D967" s="81" t="str">
        <f>IF(Table13[[#This Row],[JUMLAH]]&gt;1,(IF(Table13[[#This Row],[CODE]]=" ",D966&amp;"a",IF(Table13[[#This Row],[CODE]]&gt;0,Table13[[#This Row],[CODE]],0))),"")</f>
        <v/>
      </c>
      <c r="E967" s="81" t="str">
        <f>IF(COPY!G965&gt;0,COPY!G965,"")</f>
        <v/>
      </c>
      <c r="F967" s="88" t="str">
        <f>IF(COPY!J965&gt;0,COPY!J965,"")</f>
        <v/>
      </c>
      <c r="G967" s="85" t="str">
        <f>IF(COPY!H965&gt;0,COPY!H965,"")</f>
        <v/>
      </c>
      <c r="H967" s="85" t="str">
        <f>IF(COPY!I965&gt;0,COPY!I965,"")</f>
        <v/>
      </c>
      <c r="I967" s="85" t="str">
        <f>IF(COPY!M965&gt;0,COPY!M965,"")</f>
        <v/>
      </c>
      <c r="J967" s="85" t="str">
        <f>IF(COPY!N965&gt;0,COPY!N965,"")</f>
        <v/>
      </c>
      <c r="K967" s="86" t="str">
        <f>IF(N967=0,(IF(LEFT(Table13[[#This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Row],[URAIAN]],$U$194:$V$210,2,FALSE),""),""),0))))),N967)</f>
        <v/>
      </c>
      <c r="L967" s="85" t="str">
        <f>IF(Table13[[#This Row],[Column2]]="KWITANSI",COUNTIF($K$4:K967,"KWITANSI")," ")</f>
        <v xml:space="preserve"> </v>
      </c>
      <c r="M967" s="85" t="str">
        <f>IF(Table13[[#This Row],[Column3]]=" "," ",Table13[[#This Row],[CODE]])</f>
        <v xml:space="preserve"> </v>
      </c>
      <c r="N967" s="368"/>
      <c r="P967" s="81" t="str">
        <f t="shared" si="15"/>
        <v/>
      </c>
    </row>
    <row r="968" spans="1:16" hidden="1" x14ac:dyDescent="0.15">
      <c r="A968" s="81" t="str">
        <f>COPY!O966</f>
        <v/>
      </c>
      <c r="B968" s="81" t="str">
        <f>COPY!C966</f>
        <v/>
      </c>
      <c r="C968" s="82" t="str">
        <f>COPY!D966</f>
        <v/>
      </c>
      <c r="D968" s="81" t="str">
        <f>IF(Table13[[#This Row],[JUMLAH]]&gt;1,(IF(Table13[[#This Row],[CODE]]=" ",D967&amp;"a",IF(Table13[[#This Row],[CODE]]&gt;0,Table13[[#This Row],[CODE]],0))),"")</f>
        <v/>
      </c>
      <c r="E968" s="81" t="str">
        <f>IF(COPY!G966&gt;0,COPY!G966,"")</f>
        <v/>
      </c>
      <c r="F968" s="88" t="str">
        <f>IF(COPY!J966&gt;0,COPY!J966,"")</f>
        <v/>
      </c>
      <c r="G968" s="85" t="str">
        <f>IF(COPY!H966&gt;0,COPY!H966,"")</f>
        <v/>
      </c>
      <c r="H968" s="85" t="str">
        <f>IF(COPY!I966&gt;0,COPY!I966,"")</f>
        <v/>
      </c>
      <c r="I968" s="85" t="str">
        <f>IF(COPY!M966&gt;0,COPY!M966,"")</f>
        <v/>
      </c>
      <c r="J968" s="85" t="str">
        <f>IF(COPY!N966&gt;0,COPY!N966,"")</f>
        <v/>
      </c>
      <c r="K968" s="86" t="str">
        <f>IF(N968=0,(IF(LEFT(Table13[[#This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Row],[URAIAN]],$U$194:$V$210,2,FALSE),""),""),0))))),N968)</f>
        <v/>
      </c>
      <c r="L968" s="85" t="str">
        <f>IF(Table13[[#This Row],[Column2]]="KWITANSI",COUNTIF($K$4:K968,"KWITANSI")," ")</f>
        <v xml:space="preserve"> </v>
      </c>
      <c r="M968" s="85" t="str">
        <f>IF(Table13[[#This Row],[Column3]]=" "," ",Table13[[#This Row],[CODE]])</f>
        <v xml:space="preserve"> </v>
      </c>
      <c r="N968" s="368"/>
      <c r="P968" s="81" t="str">
        <f t="shared" si="15"/>
        <v/>
      </c>
    </row>
    <row r="969" spans="1:16" hidden="1" x14ac:dyDescent="0.15">
      <c r="A969" s="81" t="str">
        <f>COPY!O967</f>
        <v/>
      </c>
      <c r="B969" s="81" t="str">
        <f>COPY!C967</f>
        <v/>
      </c>
      <c r="C969" s="82" t="str">
        <f>COPY!D967</f>
        <v/>
      </c>
      <c r="D969" s="81" t="str">
        <f>IF(Table13[[#This Row],[JUMLAH]]&gt;1,(IF(Table13[[#This Row],[CODE]]=" ",D968&amp;"a",IF(Table13[[#This Row],[CODE]]&gt;0,Table13[[#This Row],[CODE]],0))),"")</f>
        <v/>
      </c>
      <c r="E969" s="81" t="str">
        <f>IF(COPY!G967&gt;0,COPY!G967,"")</f>
        <v/>
      </c>
      <c r="F969" s="88" t="str">
        <f>IF(COPY!J967&gt;0,COPY!J967,"")</f>
        <v/>
      </c>
      <c r="G969" s="85" t="str">
        <f>IF(COPY!H967&gt;0,COPY!H967,"")</f>
        <v/>
      </c>
      <c r="H969" s="85" t="str">
        <f>IF(COPY!I967&gt;0,COPY!I967,"")</f>
        <v/>
      </c>
      <c r="I969" s="85" t="str">
        <f>IF(COPY!M967&gt;0,COPY!M967,"")</f>
        <v/>
      </c>
      <c r="J969" s="85" t="str">
        <f>IF(COPY!N967&gt;0,COPY!N967,"")</f>
        <v/>
      </c>
      <c r="K969" s="86" t="str">
        <f>IF(N969=0,(IF(LEFT(Table13[[#This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Row],[URAIAN]],$U$194:$V$210,2,FALSE),""),""),0))))),N969)</f>
        <v/>
      </c>
      <c r="L969" s="85" t="str">
        <f>IF(Table13[[#This Row],[Column2]]="KWITANSI",COUNTIF($K$4:K969,"KWITANSI")," ")</f>
        <v xml:space="preserve"> </v>
      </c>
      <c r="M969" s="85" t="str">
        <f>IF(Table13[[#This Row],[Column3]]=" "," ",Table13[[#This Row],[CODE]])</f>
        <v xml:space="preserve"> </v>
      </c>
      <c r="N969" s="368"/>
      <c r="P969" s="81" t="str">
        <f t="shared" si="15"/>
        <v/>
      </c>
    </row>
    <row r="970" spans="1:16" hidden="1" x14ac:dyDescent="0.15">
      <c r="A970" s="81" t="str">
        <f>COPY!O968</f>
        <v/>
      </c>
      <c r="B970" s="81" t="str">
        <f>COPY!C968</f>
        <v/>
      </c>
      <c r="C970" s="82" t="str">
        <f>COPY!D968</f>
        <v/>
      </c>
      <c r="D970" s="81" t="str">
        <f>IF(Table13[[#This Row],[JUMLAH]]&gt;1,(IF(Table13[[#This Row],[CODE]]=" ",D969&amp;"a",IF(Table13[[#This Row],[CODE]]&gt;0,Table13[[#This Row],[CODE]],0))),"")</f>
        <v/>
      </c>
      <c r="E970" s="81" t="str">
        <f>IF(COPY!G968&gt;0,COPY!G968,"")</f>
        <v/>
      </c>
      <c r="F970" s="88" t="str">
        <f>IF(COPY!J968&gt;0,COPY!J968,"")</f>
        <v/>
      </c>
      <c r="G970" s="85" t="str">
        <f>IF(COPY!H968&gt;0,COPY!H968,"")</f>
        <v/>
      </c>
      <c r="H970" s="85" t="str">
        <f>IF(COPY!I968&gt;0,COPY!I968,"")</f>
        <v/>
      </c>
      <c r="I970" s="85" t="str">
        <f>IF(COPY!M968&gt;0,COPY!M968,"")</f>
        <v/>
      </c>
      <c r="J970" s="85" t="str">
        <f>IF(COPY!N968&gt;0,COPY!N968,"")</f>
        <v/>
      </c>
      <c r="K970" s="86" t="str">
        <f>IF(N970=0,(IF(LEFT(Table13[[#This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Row],[URAIAN]],$U$194:$V$210,2,FALSE),""),""),0))))),N970)</f>
        <v/>
      </c>
      <c r="L970" s="85" t="str">
        <f>IF(Table13[[#This Row],[Column2]]="KWITANSI",COUNTIF($K$4:K970,"KWITANSI")," ")</f>
        <v xml:space="preserve"> </v>
      </c>
      <c r="M970" s="85" t="str">
        <f>IF(Table13[[#This Row],[Column3]]=" "," ",Table13[[#This Row],[CODE]])</f>
        <v xml:space="preserve"> </v>
      </c>
      <c r="N970" s="368"/>
      <c r="P970" s="81" t="str">
        <f t="shared" si="15"/>
        <v/>
      </c>
    </row>
    <row r="971" spans="1:16" hidden="1" x14ac:dyDescent="0.15">
      <c r="A971" s="81" t="str">
        <f>COPY!O969</f>
        <v/>
      </c>
      <c r="B971" s="81" t="str">
        <f>COPY!C969</f>
        <v/>
      </c>
      <c r="C971" s="82" t="str">
        <f>COPY!D969</f>
        <v/>
      </c>
      <c r="D971" s="81" t="str">
        <f>IF(Table13[[#This Row],[JUMLAH]]&gt;1,(IF(Table13[[#This Row],[CODE]]=" ",D970&amp;"a",IF(Table13[[#This Row],[CODE]]&gt;0,Table13[[#This Row],[CODE]],0))),"")</f>
        <v/>
      </c>
      <c r="E971" s="81" t="str">
        <f>IF(COPY!G969&gt;0,COPY!G969,"")</f>
        <v/>
      </c>
      <c r="F971" s="88" t="str">
        <f>IF(COPY!J969&gt;0,COPY!J969,"")</f>
        <v/>
      </c>
      <c r="G971" s="85" t="str">
        <f>IF(COPY!H969&gt;0,COPY!H969,"")</f>
        <v/>
      </c>
      <c r="H971" s="85" t="str">
        <f>IF(COPY!I969&gt;0,COPY!I969,"")</f>
        <v/>
      </c>
      <c r="I971" s="85" t="str">
        <f>IF(COPY!M969&gt;0,COPY!M969,"")</f>
        <v/>
      </c>
      <c r="J971" s="85" t="str">
        <f>IF(COPY!N969&gt;0,COPY!N969,"")</f>
        <v/>
      </c>
      <c r="K971" s="86" t="str">
        <f>IF(N971=0,(IF(LEFT(Table13[[#This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Row],[URAIAN]],$U$194:$V$210,2,FALSE),""),""),0))))),N971)</f>
        <v/>
      </c>
      <c r="L971" s="85" t="str">
        <f>IF(Table13[[#This Row],[Column2]]="KWITANSI",COUNTIF($K$4:K971,"KWITANSI")," ")</f>
        <v xml:space="preserve"> </v>
      </c>
      <c r="M971" s="85" t="str">
        <f>IF(Table13[[#This Row],[Column3]]=" "," ",Table13[[#This Row],[CODE]])</f>
        <v xml:space="preserve"> </v>
      </c>
      <c r="N971" s="368"/>
      <c r="P971" s="81" t="str">
        <f t="shared" si="15"/>
        <v/>
      </c>
    </row>
    <row r="972" spans="1:16" hidden="1" x14ac:dyDescent="0.15">
      <c r="A972" s="81" t="str">
        <f>COPY!O970</f>
        <v/>
      </c>
      <c r="B972" s="81" t="str">
        <f>COPY!C970</f>
        <v/>
      </c>
      <c r="C972" s="82" t="str">
        <f>COPY!D970</f>
        <v/>
      </c>
      <c r="D972" s="81" t="str">
        <f>IF(Table13[[#This Row],[JUMLAH]]&gt;1,(IF(Table13[[#This Row],[CODE]]=" ",D971&amp;"a",IF(Table13[[#This Row],[CODE]]&gt;0,Table13[[#This Row],[CODE]],0))),"")</f>
        <v/>
      </c>
      <c r="E972" s="81" t="str">
        <f>IF(COPY!G970&gt;0,COPY!G970,"")</f>
        <v/>
      </c>
      <c r="F972" s="88" t="str">
        <f>IF(COPY!J970&gt;0,COPY!J970,"")</f>
        <v/>
      </c>
      <c r="G972" s="85" t="str">
        <f>IF(COPY!H970&gt;0,COPY!H970,"")</f>
        <v/>
      </c>
      <c r="H972" s="85" t="str">
        <f>IF(COPY!I970&gt;0,COPY!I970,"")</f>
        <v/>
      </c>
      <c r="I972" s="85" t="str">
        <f>IF(COPY!M970&gt;0,COPY!M970,"")</f>
        <v/>
      </c>
      <c r="J972" s="85" t="str">
        <f>IF(COPY!N970&gt;0,COPY!N970,"")</f>
        <v/>
      </c>
      <c r="K972" s="86" t="str">
        <f>IF(N972=0,(IF(LEFT(Table13[[#This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Row],[URAIAN]],$U$194:$V$210,2,FALSE),""),""),0))))),N972)</f>
        <v/>
      </c>
      <c r="L972" s="85" t="str">
        <f>IF(Table13[[#This Row],[Column2]]="KWITANSI",COUNTIF($K$4:K972,"KWITANSI")," ")</f>
        <v xml:space="preserve"> </v>
      </c>
      <c r="M972" s="85" t="str">
        <f>IF(Table13[[#This Row],[Column3]]=" "," ",Table13[[#This Row],[CODE]])</f>
        <v xml:space="preserve"> </v>
      </c>
      <c r="N972" s="368"/>
      <c r="P972" s="81" t="str">
        <f t="shared" si="15"/>
        <v/>
      </c>
    </row>
    <row r="973" spans="1:16" hidden="1" x14ac:dyDescent="0.15">
      <c r="A973" s="81" t="str">
        <f>COPY!O971</f>
        <v/>
      </c>
      <c r="B973" s="81" t="str">
        <f>COPY!C971</f>
        <v/>
      </c>
      <c r="C973" s="82" t="str">
        <f>COPY!D971</f>
        <v/>
      </c>
      <c r="D973" s="81" t="str">
        <f>IF(Table13[[#This Row],[JUMLAH]]&gt;1,(IF(Table13[[#This Row],[CODE]]=" ",D972&amp;"a",IF(Table13[[#This Row],[CODE]]&gt;0,Table13[[#This Row],[CODE]],0))),"")</f>
        <v/>
      </c>
      <c r="E973" s="81" t="str">
        <f>IF(COPY!G971&gt;0,COPY!G971,"")</f>
        <v/>
      </c>
      <c r="F973" s="88" t="str">
        <f>IF(COPY!J971&gt;0,COPY!J971,"")</f>
        <v/>
      </c>
      <c r="G973" s="85" t="str">
        <f>IF(COPY!H971&gt;0,COPY!H971,"")</f>
        <v/>
      </c>
      <c r="H973" s="85" t="str">
        <f>IF(COPY!I971&gt;0,COPY!I971,"")</f>
        <v/>
      </c>
      <c r="I973" s="85" t="str">
        <f>IF(COPY!M971&gt;0,COPY!M971,"")</f>
        <v/>
      </c>
      <c r="J973" s="85" t="str">
        <f>IF(COPY!N971&gt;0,COPY!N971,"")</f>
        <v/>
      </c>
      <c r="K973" s="86" t="str">
        <f>IF(N973=0,(IF(LEFT(Table13[[#This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Row],[URAIAN]],$U$194:$V$210,2,FALSE),""),""),0))))),N973)</f>
        <v/>
      </c>
      <c r="L973" s="85" t="str">
        <f>IF(Table13[[#This Row],[Column2]]="KWITANSI",COUNTIF($K$4:K973,"KWITANSI")," ")</f>
        <v xml:space="preserve"> </v>
      </c>
      <c r="M973" s="85" t="str">
        <f>IF(Table13[[#This Row],[Column3]]=" "," ",Table13[[#This Row],[CODE]])</f>
        <v xml:space="preserve"> </v>
      </c>
      <c r="N973" s="368"/>
      <c r="P973" s="81" t="str">
        <f t="shared" si="15"/>
        <v/>
      </c>
    </row>
    <row r="974" spans="1:16" hidden="1" x14ac:dyDescent="0.15">
      <c r="A974" s="81" t="str">
        <f>COPY!O972</f>
        <v/>
      </c>
      <c r="B974" s="81" t="str">
        <f>COPY!C972</f>
        <v/>
      </c>
      <c r="C974" s="82" t="str">
        <f>COPY!D972</f>
        <v/>
      </c>
      <c r="D974" s="81" t="str">
        <f>IF(Table13[[#This Row],[JUMLAH]]&gt;1,(IF(Table13[[#This Row],[CODE]]=" ",D973&amp;"a",IF(Table13[[#This Row],[CODE]]&gt;0,Table13[[#This Row],[CODE]],0))),"")</f>
        <v/>
      </c>
      <c r="E974" s="81" t="str">
        <f>IF(COPY!G972&gt;0,COPY!G972,"")</f>
        <v/>
      </c>
      <c r="F974" s="88" t="str">
        <f>IF(COPY!J972&gt;0,COPY!J972,"")</f>
        <v/>
      </c>
      <c r="G974" s="85" t="str">
        <f>IF(COPY!H972&gt;0,COPY!H972,"")</f>
        <v/>
      </c>
      <c r="H974" s="85" t="str">
        <f>IF(COPY!I972&gt;0,COPY!I972,"")</f>
        <v/>
      </c>
      <c r="I974" s="85" t="str">
        <f>IF(COPY!M972&gt;0,COPY!M972,"")</f>
        <v/>
      </c>
      <c r="J974" s="85" t="str">
        <f>IF(COPY!N972&gt;0,COPY!N972,"")</f>
        <v/>
      </c>
      <c r="K974" s="86" t="str">
        <f>IF(N974=0,(IF(LEFT(Table13[[#This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Row],[URAIAN]],$U$194:$V$210,2,FALSE),""),""),0))))),N974)</f>
        <v/>
      </c>
      <c r="L974" s="85" t="str">
        <f>IF(Table13[[#This Row],[Column2]]="KWITANSI",COUNTIF($K$4:K974,"KWITANSI")," ")</f>
        <v xml:space="preserve"> </v>
      </c>
      <c r="M974" s="85" t="str">
        <f>IF(Table13[[#This Row],[Column3]]=" "," ",Table13[[#This Row],[CODE]])</f>
        <v xml:space="preserve"> </v>
      </c>
      <c r="N974" s="368"/>
      <c r="P974" s="81" t="str">
        <f t="shared" si="15"/>
        <v/>
      </c>
    </row>
    <row r="975" spans="1:16" hidden="1" x14ac:dyDescent="0.15">
      <c r="A975" s="81" t="str">
        <f>COPY!O973</f>
        <v/>
      </c>
      <c r="B975" s="81" t="str">
        <f>COPY!C973</f>
        <v/>
      </c>
      <c r="C975" s="82" t="str">
        <f>COPY!D973</f>
        <v/>
      </c>
      <c r="D975" s="81" t="str">
        <f>IF(Table13[[#This Row],[JUMLAH]]&gt;1,(IF(Table13[[#This Row],[CODE]]=" ",D974&amp;"a",IF(Table13[[#This Row],[CODE]]&gt;0,Table13[[#This Row],[CODE]],0))),"")</f>
        <v/>
      </c>
      <c r="E975" s="81" t="str">
        <f>IF(COPY!G973&gt;0,COPY!G973,"")</f>
        <v/>
      </c>
      <c r="F975" s="88" t="str">
        <f>IF(COPY!J973&gt;0,COPY!J973,"")</f>
        <v/>
      </c>
      <c r="G975" s="85" t="str">
        <f>IF(COPY!H973&gt;0,COPY!H973,"")</f>
        <v/>
      </c>
      <c r="H975" s="85" t="str">
        <f>IF(COPY!I973&gt;0,COPY!I973,"")</f>
        <v/>
      </c>
      <c r="I975" s="85" t="str">
        <f>IF(COPY!M973&gt;0,COPY!M973,"")</f>
        <v/>
      </c>
      <c r="J975" s="85" t="str">
        <f>IF(COPY!N973&gt;0,COPY!N973,"")</f>
        <v/>
      </c>
      <c r="K975" s="86" t="str">
        <f>IF(N975=0,(IF(LEFT(Table13[[#This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Row],[URAIAN]],$U$194:$V$210,2,FALSE),""),""),0))))),N975)</f>
        <v/>
      </c>
      <c r="L975" s="85" t="str">
        <f>IF(Table13[[#This Row],[Column2]]="KWITANSI",COUNTIF($K$4:K975,"KWITANSI")," ")</f>
        <v xml:space="preserve"> </v>
      </c>
      <c r="M975" s="85" t="str">
        <f>IF(Table13[[#This Row],[Column3]]=" "," ",Table13[[#This Row],[CODE]])</f>
        <v xml:space="preserve"> </v>
      </c>
      <c r="N975" s="368"/>
      <c r="P975" s="81" t="str">
        <f t="shared" si="15"/>
        <v/>
      </c>
    </row>
    <row r="976" spans="1:16" hidden="1" x14ac:dyDescent="0.15">
      <c r="A976" s="81" t="str">
        <f>COPY!O974</f>
        <v/>
      </c>
      <c r="B976" s="81" t="str">
        <f>COPY!C974</f>
        <v/>
      </c>
      <c r="C976" s="82" t="str">
        <f>COPY!D974</f>
        <v/>
      </c>
      <c r="D976" s="81" t="str">
        <f>IF(Table13[[#This Row],[JUMLAH]]&gt;1,(IF(Table13[[#This Row],[CODE]]=" ",D975&amp;"a",IF(Table13[[#This Row],[CODE]]&gt;0,Table13[[#This Row],[CODE]],0))),"")</f>
        <v/>
      </c>
      <c r="E976" s="81" t="str">
        <f>IF(COPY!G974&gt;0,COPY!G974,"")</f>
        <v/>
      </c>
      <c r="F976" s="88" t="str">
        <f>IF(COPY!J974&gt;0,COPY!J974,"")</f>
        <v/>
      </c>
      <c r="G976" s="85" t="str">
        <f>IF(COPY!H974&gt;0,COPY!H974,"")</f>
        <v/>
      </c>
      <c r="H976" s="85" t="str">
        <f>IF(COPY!I974&gt;0,COPY!I974,"")</f>
        <v/>
      </c>
      <c r="I976" s="85" t="str">
        <f>IF(COPY!M974&gt;0,COPY!M974,"")</f>
        <v/>
      </c>
      <c r="J976" s="85" t="str">
        <f>IF(COPY!N974&gt;0,COPY!N974,"")</f>
        <v/>
      </c>
      <c r="K976" s="86" t="str">
        <f>IF(N976=0,(IF(LEFT(Table13[[#This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Row],[URAIAN]],$U$194:$V$210,2,FALSE),""),""),0))))),N976)</f>
        <v/>
      </c>
      <c r="L976" s="85" t="str">
        <f>IF(Table13[[#This Row],[Column2]]="KWITANSI",COUNTIF($K$4:K976,"KWITANSI")," ")</f>
        <v xml:space="preserve"> </v>
      </c>
      <c r="M976" s="85" t="str">
        <f>IF(Table13[[#This Row],[Column3]]=" "," ",Table13[[#This Row],[CODE]])</f>
        <v xml:space="preserve"> </v>
      </c>
      <c r="N976" s="368"/>
      <c r="P976" s="81" t="str">
        <f t="shared" si="15"/>
        <v/>
      </c>
    </row>
    <row r="977" spans="1:16" hidden="1" x14ac:dyDescent="0.15">
      <c r="A977" s="81" t="str">
        <f>COPY!O975</f>
        <v/>
      </c>
      <c r="B977" s="81" t="str">
        <f>COPY!C975</f>
        <v/>
      </c>
      <c r="C977" s="82" t="str">
        <f>COPY!D975</f>
        <v/>
      </c>
      <c r="D977" s="81" t="str">
        <f>IF(Table13[[#This Row],[JUMLAH]]&gt;1,(IF(Table13[[#This Row],[CODE]]=" ",D976&amp;"a",IF(Table13[[#This Row],[CODE]]&gt;0,Table13[[#This Row],[CODE]],0))),"")</f>
        <v/>
      </c>
      <c r="E977" s="81" t="str">
        <f>IF(COPY!G975&gt;0,COPY!G975,"")</f>
        <v/>
      </c>
      <c r="F977" s="88" t="str">
        <f>IF(COPY!J975&gt;0,COPY!J975,"")</f>
        <v/>
      </c>
      <c r="G977" s="85" t="str">
        <f>IF(COPY!H975&gt;0,COPY!H975,"")</f>
        <v/>
      </c>
      <c r="H977" s="85" t="str">
        <f>IF(COPY!I975&gt;0,COPY!I975,"")</f>
        <v/>
      </c>
      <c r="I977" s="85" t="str">
        <f>IF(COPY!M975&gt;0,COPY!M975,"")</f>
        <v/>
      </c>
      <c r="J977" s="85" t="str">
        <f>IF(COPY!N975&gt;0,COPY!N975,"")</f>
        <v/>
      </c>
      <c r="K977" s="86" t="str">
        <f>IF(N977=0,(IF(LEFT(Table13[[#This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Row],[URAIAN]],$U$194:$V$210,2,FALSE),""),""),0))))),N977)</f>
        <v/>
      </c>
      <c r="L977" s="85" t="str">
        <f>IF(Table13[[#This Row],[Column2]]="KWITANSI",COUNTIF($K$4:K977,"KWITANSI")," ")</f>
        <v xml:space="preserve"> </v>
      </c>
      <c r="M977" s="85" t="str">
        <f>IF(Table13[[#This Row],[Column3]]=" "," ",Table13[[#This Row],[CODE]])</f>
        <v xml:space="preserve"> </v>
      </c>
      <c r="N977" s="368"/>
      <c r="P977" s="81" t="str">
        <f t="shared" si="15"/>
        <v/>
      </c>
    </row>
    <row r="978" spans="1:16" hidden="1" x14ac:dyDescent="0.15">
      <c r="A978" s="81" t="str">
        <f>COPY!O976</f>
        <v/>
      </c>
      <c r="B978" s="81" t="str">
        <f>COPY!C976</f>
        <v/>
      </c>
      <c r="C978" s="82" t="str">
        <f>COPY!D976</f>
        <v/>
      </c>
      <c r="D978" s="81" t="str">
        <f>IF(Table13[[#This Row],[JUMLAH]]&gt;1,(IF(Table13[[#This Row],[CODE]]=" ",D977&amp;"a",IF(Table13[[#This Row],[CODE]]&gt;0,Table13[[#This Row],[CODE]],0))),"")</f>
        <v/>
      </c>
      <c r="E978" s="81" t="str">
        <f>IF(COPY!G976&gt;0,COPY!G976,"")</f>
        <v/>
      </c>
      <c r="F978" s="88" t="str">
        <f>IF(COPY!J976&gt;0,COPY!J976,"")</f>
        <v/>
      </c>
      <c r="G978" s="85" t="str">
        <f>IF(COPY!H976&gt;0,COPY!H976,"")</f>
        <v/>
      </c>
      <c r="H978" s="85" t="str">
        <f>IF(COPY!I976&gt;0,COPY!I976,"")</f>
        <v/>
      </c>
      <c r="I978" s="85" t="str">
        <f>IF(COPY!M976&gt;0,COPY!M976,"")</f>
        <v/>
      </c>
      <c r="J978" s="85" t="str">
        <f>IF(COPY!N976&gt;0,COPY!N976,"")</f>
        <v/>
      </c>
      <c r="K978" s="86" t="str">
        <f>IF(N978=0,(IF(LEFT(Table13[[#This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Row],[URAIAN]],$U$194:$V$210,2,FALSE),""),""),0))))),N978)</f>
        <v/>
      </c>
      <c r="L978" s="85" t="str">
        <f>IF(Table13[[#This Row],[Column2]]="KWITANSI",COUNTIF($K$4:K978,"KWITANSI")," ")</f>
        <v xml:space="preserve"> </v>
      </c>
      <c r="M978" s="85" t="str">
        <f>IF(Table13[[#This Row],[Column3]]=" "," ",Table13[[#This Row],[CODE]])</f>
        <v xml:space="preserve"> </v>
      </c>
      <c r="N978" s="368"/>
      <c r="P978" s="81" t="str">
        <f t="shared" si="15"/>
        <v/>
      </c>
    </row>
    <row r="979" spans="1:16" hidden="1" x14ac:dyDescent="0.15">
      <c r="A979" s="81" t="str">
        <f>COPY!O977</f>
        <v/>
      </c>
      <c r="B979" s="81" t="str">
        <f>COPY!C977</f>
        <v/>
      </c>
      <c r="C979" s="82" t="str">
        <f>COPY!D977</f>
        <v/>
      </c>
      <c r="D979" s="81" t="str">
        <f>IF(Table13[[#This Row],[JUMLAH]]&gt;1,(IF(Table13[[#This Row],[CODE]]=" ",D978&amp;"a",IF(Table13[[#This Row],[CODE]]&gt;0,Table13[[#This Row],[CODE]],0))),"")</f>
        <v/>
      </c>
      <c r="E979" s="81" t="str">
        <f>IF(COPY!G977&gt;0,COPY!G977,"")</f>
        <v/>
      </c>
      <c r="F979" s="88" t="str">
        <f>IF(COPY!J977&gt;0,COPY!J977,"")</f>
        <v/>
      </c>
      <c r="G979" s="85" t="str">
        <f>IF(COPY!H977&gt;0,COPY!H977,"")</f>
        <v/>
      </c>
      <c r="H979" s="85" t="str">
        <f>IF(COPY!I977&gt;0,COPY!I977,"")</f>
        <v/>
      </c>
      <c r="I979" s="85" t="str">
        <f>IF(COPY!M977&gt;0,COPY!M977,"")</f>
        <v/>
      </c>
      <c r="J979" s="85" t="str">
        <f>IF(COPY!N977&gt;0,COPY!N977,"")</f>
        <v/>
      </c>
      <c r="K979" s="86" t="str">
        <f>IF(N979=0,(IF(LEFT(Table13[[#This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Row],[URAIAN]],$U$194:$V$210,2,FALSE),""),""),0))))),N979)</f>
        <v/>
      </c>
      <c r="L979" s="85" t="str">
        <f>IF(Table13[[#This Row],[Column2]]="KWITANSI",COUNTIF($K$4:K979,"KWITANSI")," ")</f>
        <v xml:space="preserve"> </v>
      </c>
      <c r="M979" s="85" t="str">
        <f>IF(Table13[[#This Row],[Column3]]=" "," ",Table13[[#This Row],[CODE]])</f>
        <v xml:space="preserve"> </v>
      </c>
      <c r="N979" s="368"/>
      <c r="P979" s="81" t="str">
        <f t="shared" si="15"/>
        <v/>
      </c>
    </row>
    <row r="980" spans="1:16" hidden="1" x14ac:dyDescent="0.15">
      <c r="A980" s="81" t="str">
        <f>COPY!O978</f>
        <v/>
      </c>
      <c r="B980" s="81" t="str">
        <f>COPY!C978</f>
        <v/>
      </c>
      <c r="C980" s="82" t="str">
        <f>COPY!D978</f>
        <v/>
      </c>
      <c r="D980" s="81" t="str">
        <f>IF(Table13[[#This Row],[JUMLAH]]&gt;1,(IF(Table13[[#This Row],[CODE]]=" ",D979&amp;"a",IF(Table13[[#This Row],[CODE]]&gt;0,Table13[[#This Row],[CODE]],0))),"")</f>
        <v/>
      </c>
      <c r="E980" s="81" t="str">
        <f>IF(COPY!G978&gt;0,COPY!G978,"")</f>
        <v/>
      </c>
      <c r="F980" s="88" t="str">
        <f>IF(COPY!J978&gt;0,COPY!J978,"")</f>
        <v/>
      </c>
      <c r="G980" s="85" t="str">
        <f>IF(COPY!H978&gt;0,COPY!H978,"")</f>
        <v/>
      </c>
      <c r="H980" s="85" t="str">
        <f>IF(COPY!I978&gt;0,COPY!I978,"")</f>
        <v/>
      </c>
      <c r="I980" s="85" t="str">
        <f>IF(COPY!M978&gt;0,COPY!M978,"")</f>
        <v/>
      </c>
      <c r="J980" s="85" t="str">
        <f>IF(COPY!N978&gt;0,COPY!N978,"")</f>
        <v/>
      </c>
      <c r="K980" s="86" t="str">
        <f>IF(N980=0,(IF(LEFT(Table13[[#This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Row],[URAIAN]],$U$194:$V$210,2,FALSE),""),""),0))))),N980)</f>
        <v/>
      </c>
      <c r="L980" s="85" t="str">
        <f>IF(Table13[[#This Row],[Column2]]="KWITANSI",COUNTIF($K$4:K980,"KWITANSI")," ")</f>
        <v xml:space="preserve"> </v>
      </c>
      <c r="M980" s="85" t="str">
        <f>IF(Table13[[#This Row],[Column3]]=" "," ",Table13[[#This Row],[CODE]])</f>
        <v xml:space="preserve"> </v>
      </c>
      <c r="N980" s="368"/>
      <c r="P980" s="81" t="str">
        <f t="shared" si="15"/>
        <v/>
      </c>
    </row>
    <row r="981" spans="1:16" hidden="1" x14ac:dyDescent="0.15">
      <c r="A981" s="81" t="str">
        <f>COPY!O979</f>
        <v/>
      </c>
      <c r="B981" s="81" t="str">
        <f>COPY!C979</f>
        <v/>
      </c>
      <c r="C981" s="82" t="str">
        <f>COPY!D979</f>
        <v/>
      </c>
      <c r="D981" s="81" t="str">
        <f>IF(Table13[[#This Row],[JUMLAH]]&gt;1,(IF(Table13[[#This Row],[CODE]]=" ",D980&amp;"a",IF(Table13[[#This Row],[CODE]]&gt;0,Table13[[#This Row],[CODE]],0))),"")</f>
        <v/>
      </c>
      <c r="E981" s="81" t="str">
        <f>IF(COPY!G979&gt;0,COPY!G979,"")</f>
        <v/>
      </c>
      <c r="F981" s="88" t="str">
        <f>IF(COPY!J979&gt;0,COPY!J979,"")</f>
        <v/>
      </c>
      <c r="G981" s="85" t="str">
        <f>IF(COPY!H979&gt;0,COPY!H979,"")</f>
        <v/>
      </c>
      <c r="H981" s="85" t="str">
        <f>IF(COPY!I979&gt;0,COPY!I979,"")</f>
        <v/>
      </c>
      <c r="I981" s="85" t="str">
        <f>IF(COPY!M979&gt;0,COPY!M979,"")</f>
        <v/>
      </c>
      <c r="J981" s="85" t="str">
        <f>IF(COPY!N979&gt;0,COPY!N979,"")</f>
        <v/>
      </c>
      <c r="K981" s="86" t="str">
        <f>IF(N981=0,(IF(LEFT(Table13[[#This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Row],[URAIAN]],$U$194:$V$210,2,FALSE),""),""),0))))),N981)</f>
        <v/>
      </c>
      <c r="L981" s="85" t="str">
        <f>IF(Table13[[#This Row],[Column2]]="KWITANSI",COUNTIF($K$4:K981,"KWITANSI")," ")</f>
        <v xml:space="preserve"> </v>
      </c>
      <c r="M981" s="85" t="str">
        <f>IF(Table13[[#This Row],[Column3]]=" "," ",Table13[[#This Row],[CODE]])</f>
        <v xml:space="preserve"> </v>
      </c>
      <c r="N981" s="368"/>
      <c r="P981" s="81" t="str">
        <f t="shared" si="15"/>
        <v/>
      </c>
    </row>
    <row r="982" spans="1:16" hidden="1" x14ac:dyDescent="0.15">
      <c r="A982" s="81" t="str">
        <f>COPY!O980</f>
        <v/>
      </c>
      <c r="B982" s="81" t="str">
        <f>COPY!C980</f>
        <v/>
      </c>
      <c r="C982" s="82" t="str">
        <f>COPY!D980</f>
        <v/>
      </c>
      <c r="D982" s="81" t="str">
        <f>IF(Table13[[#This Row],[JUMLAH]]&gt;1,(IF(Table13[[#This Row],[CODE]]=" ",D981&amp;"a",IF(Table13[[#This Row],[CODE]]&gt;0,Table13[[#This Row],[CODE]],0))),"")</f>
        <v/>
      </c>
      <c r="E982" s="81" t="str">
        <f>IF(COPY!G980&gt;0,COPY!G980,"")</f>
        <v/>
      </c>
      <c r="F982" s="88" t="str">
        <f>IF(COPY!J980&gt;0,COPY!J980,"")</f>
        <v/>
      </c>
      <c r="G982" s="85" t="str">
        <f>IF(COPY!H980&gt;0,COPY!H980,"")</f>
        <v/>
      </c>
      <c r="H982" s="85" t="str">
        <f>IF(COPY!I980&gt;0,COPY!I980,"")</f>
        <v/>
      </c>
      <c r="I982" s="85" t="str">
        <f>IF(COPY!M980&gt;0,COPY!M980,"")</f>
        <v/>
      </c>
      <c r="J982" s="85" t="str">
        <f>IF(COPY!N980&gt;0,COPY!N980,"")</f>
        <v/>
      </c>
      <c r="K982" s="86" t="str">
        <f>IF(N982=0,(IF(LEFT(Table13[[#This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Row],[URAIAN]],$U$194:$V$210,2,FALSE),""),""),0))))),N982)</f>
        <v/>
      </c>
      <c r="L982" s="85" t="str">
        <f>IF(Table13[[#This Row],[Column2]]="KWITANSI",COUNTIF($K$4:K982,"KWITANSI")," ")</f>
        <v xml:space="preserve"> </v>
      </c>
      <c r="M982" s="85" t="str">
        <f>IF(Table13[[#This Row],[Column3]]=" "," ",Table13[[#This Row],[CODE]])</f>
        <v xml:space="preserve"> </v>
      </c>
      <c r="N982" s="368"/>
      <c r="P982" s="81" t="str">
        <f t="shared" si="15"/>
        <v/>
      </c>
    </row>
    <row r="983" spans="1:16" hidden="1" x14ac:dyDescent="0.15">
      <c r="A983" s="81" t="str">
        <f>COPY!O981</f>
        <v/>
      </c>
      <c r="B983" s="81" t="str">
        <f>COPY!C981</f>
        <v/>
      </c>
      <c r="C983" s="82" t="str">
        <f>COPY!D981</f>
        <v/>
      </c>
      <c r="D983" s="81" t="str">
        <f>IF(Table13[[#This Row],[JUMLAH]]&gt;1,(IF(Table13[[#This Row],[CODE]]=" ",D982&amp;"a",IF(Table13[[#This Row],[CODE]]&gt;0,Table13[[#This Row],[CODE]],0))),"")</f>
        <v/>
      </c>
      <c r="E983" s="81" t="str">
        <f>IF(COPY!G981&gt;0,COPY!G981,"")</f>
        <v/>
      </c>
      <c r="F983" s="88" t="str">
        <f>IF(COPY!J981&gt;0,COPY!J981,"")</f>
        <v/>
      </c>
      <c r="G983" s="85" t="str">
        <f>IF(COPY!H981&gt;0,COPY!H981,"")</f>
        <v/>
      </c>
      <c r="H983" s="85" t="str">
        <f>IF(COPY!I981&gt;0,COPY!I981,"")</f>
        <v/>
      </c>
      <c r="I983" s="85" t="str">
        <f>IF(COPY!M981&gt;0,COPY!M981,"")</f>
        <v/>
      </c>
      <c r="J983" s="85" t="str">
        <f>IF(COPY!N981&gt;0,COPY!N981,"")</f>
        <v/>
      </c>
      <c r="K983" s="86" t="str">
        <f>IF(N983=0,(IF(LEFT(Table13[[#This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Row],[URAIAN]],$U$194:$V$210,2,FALSE),""),""),0))))),N983)</f>
        <v/>
      </c>
      <c r="L983" s="85" t="str">
        <f>IF(Table13[[#This Row],[Column2]]="KWITANSI",COUNTIF($K$4:K983,"KWITANSI")," ")</f>
        <v xml:space="preserve"> </v>
      </c>
      <c r="M983" s="85" t="str">
        <f>IF(Table13[[#This Row],[Column3]]=" "," ",Table13[[#This Row],[CODE]])</f>
        <v xml:space="preserve"> </v>
      </c>
      <c r="N983" s="368"/>
      <c r="P983" s="81" t="str">
        <f t="shared" si="15"/>
        <v/>
      </c>
    </row>
    <row r="984" spans="1:16" hidden="1" x14ac:dyDescent="0.15">
      <c r="A984" s="81" t="str">
        <f>COPY!O982</f>
        <v/>
      </c>
      <c r="B984" s="81" t="str">
        <f>COPY!C982</f>
        <v/>
      </c>
      <c r="C984" s="82" t="str">
        <f>COPY!D982</f>
        <v/>
      </c>
      <c r="D984" s="81" t="str">
        <f>IF(Table13[[#This Row],[JUMLAH]]&gt;1,(IF(Table13[[#This Row],[CODE]]=" ",D983&amp;"a",IF(Table13[[#This Row],[CODE]]&gt;0,Table13[[#This Row],[CODE]],0))),"")</f>
        <v/>
      </c>
      <c r="E984" s="81" t="str">
        <f>IF(COPY!G982&gt;0,COPY!G982,"")</f>
        <v/>
      </c>
      <c r="F984" s="88" t="str">
        <f>IF(COPY!J982&gt;0,COPY!J982,"")</f>
        <v/>
      </c>
      <c r="G984" s="85" t="str">
        <f>IF(COPY!H982&gt;0,COPY!H982,"")</f>
        <v/>
      </c>
      <c r="H984" s="85" t="str">
        <f>IF(COPY!I982&gt;0,COPY!I982,"")</f>
        <v/>
      </c>
      <c r="I984" s="85" t="str">
        <f>IF(COPY!M982&gt;0,COPY!M982,"")</f>
        <v/>
      </c>
      <c r="J984" s="85" t="str">
        <f>IF(COPY!N982&gt;0,COPY!N982,"")</f>
        <v/>
      </c>
      <c r="K984" s="86" t="str">
        <f>IF(N984=0,(IF(LEFT(Table13[[#This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Row],[URAIAN]],$U$194:$V$210,2,FALSE),""),""),0))))),N984)</f>
        <v/>
      </c>
      <c r="L984" s="85" t="str">
        <f>IF(Table13[[#This Row],[Column2]]="KWITANSI",COUNTIF($K$4:K984,"KWITANSI")," ")</f>
        <v xml:space="preserve"> </v>
      </c>
      <c r="M984" s="85" t="str">
        <f>IF(Table13[[#This Row],[Column3]]=" "," ",Table13[[#This Row],[CODE]])</f>
        <v xml:space="preserve"> </v>
      </c>
      <c r="N984" s="368"/>
      <c r="P984" s="81" t="str">
        <f t="shared" si="15"/>
        <v/>
      </c>
    </row>
    <row r="985" spans="1:16" hidden="1" x14ac:dyDescent="0.15">
      <c r="A985" s="81" t="str">
        <f>COPY!O983</f>
        <v/>
      </c>
      <c r="B985" s="81" t="str">
        <f>COPY!C983</f>
        <v/>
      </c>
      <c r="C985" s="82" t="str">
        <f>COPY!D983</f>
        <v/>
      </c>
      <c r="D985" s="81" t="str">
        <f>IF(Table13[[#This Row],[JUMLAH]]&gt;1,(IF(Table13[[#This Row],[CODE]]=" ",D984&amp;"a",IF(Table13[[#This Row],[CODE]]&gt;0,Table13[[#This Row],[CODE]],0))),"")</f>
        <v/>
      </c>
      <c r="E985" s="81" t="str">
        <f>IF(COPY!G983&gt;0,COPY!G983,"")</f>
        <v/>
      </c>
      <c r="F985" s="88" t="str">
        <f>IF(COPY!J983&gt;0,COPY!J983,"")</f>
        <v/>
      </c>
      <c r="G985" s="85" t="str">
        <f>IF(COPY!H983&gt;0,COPY!H983,"")</f>
        <v/>
      </c>
      <c r="H985" s="85" t="str">
        <f>IF(COPY!I983&gt;0,COPY!I983,"")</f>
        <v/>
      </c>
      <c r="I985" s="85" t="str">
        <f>IF(COPY!M983&gt;0,COPY!M983,"")</f>
        <v/>
      </c>
      <c r="J985" s="85" t="str">
        <f>IF(COPY!N983&gt;0,COPY!N983,"")</f>
        <v/>
      </c>
      <c r="K985" s="86" t="str">
        <f>IF(N985=0,(IF(LEFT(Table13[[#This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Row],[URAIAN]],$U$194:$V$210,2,FALSE),""),""),0))))),N985)</f>
        <v/>
      </c>
      <c r="L985" s="85" t="str">
        <f>IF(Table13[[#This Row],[Column2]]="KWITANSI",COUNTIF($K$4:K985,"KWITANSI")," ")</f>
        <v xml:space="preserve"> </v>
      </c>
      <c r="M985" s="85" t="str">
        <f>IF(Table13[[#This Row],[Column3]]=" "," ",Table13[[#This Row],[CODE]])</f>
        <v xml:space="preserve"> </v>
      </c>
      <c r="N985" s="368"/>
      <c r="P985" s="81" t="str">
        <f t="shared" si="15"/>
        <v/>
      </c>
    </row>
    <row r="986" spans="1:16" hidden="1" x14ac:dyDescent="0.15">
      <c r="A986" s="81" t="str">
        <f>COPY!O984</f>
        <v/>
      </c>
      <c r="B986" s="81" t="str">
        <f>COPY!C984</f>
        <v/>
      </c>
      <c r="C986" s="82" t="str">
        <f>COPY!D984</f>
        <v/>
      </c>
      <c r="D986" s="81" t="str">
        <f>IF(Table13[[#This Row],[JUMLAH]]&gt;1,(IF(Table13[[#This Row],[CODE]]=" ",D985&amp;"a",IF(Table13[[#This Row],[CODE]]&gt;0,Table13[[#This Row],[CODE]],0))),"")</f>
        <v/>
      </c>
      <c r="E986" s="81" t="str">
        <f>IF(COPY!G984&gt;0,COPY!G984,"")</f>
        <v/>
      </c>
      <c r="F986" s="88" t="str">
        <f>IF(COPY!J984&gt;0,COPY!J984,"")</f>
        <v/>
      </c>
      <c r="G986" s="85" t="str">
        <f>IF(COPY!H984&gt;0,COPY!H984,"")</f>
        <v/>
      </c>
      <c r="H986" s="85" t="str">
        <f>IF(COPY!I984&gt;0,COPY!I984,"")</f>
        <v/>
      </c>
      <c r="I986" s="85" t="str">
        <f>IF(COPY!M984&gt;0,COPY!M984,"")</f>
        <v/>
      </c>
      <c r="J986" s="85" t="str">
        <f>IF(COPY!N984&gt;0,COPY!N984,"")</f>
        <v/>
      </c>
      <c r="K986" s="86" t="str">
        <f>IF(N986=0,(IF(LEFT(Table13[[#This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Row],[URAIAN]],$U$194:$V$210,2,FALSE),""),""),0))))),N986)</f>
        <v/>
      </c>
      <c r="L986" s="85" t="str">
        <f>IF(Table13[[#This Row],[Column2]]="KWITANSI",COUNTIF($K$4:K986,"KWITANSI")," ")</f>
        <v xml:space="preserve"> </v>
      </c>
      <c r="M986" s="85" t="str">
        <f>IF(Table13[[#This Row],[Column3]]=" "," ",Table13[[#This Row],[CODE]])</f>
        <v xml:space="preserve"> </v>
      </c>
      <c r="N986" s="368"/>
      <c r="P986" s="81" t="str">
        <f t="shared" si="15"/>
        <v/>
      </c>
    </row>
    <row r="987" spans="1:16" hidden="1" x14ac:dyDescent="0.15">
      <c r="A987" s="81" t="str">
        <f>COPY!O985</f>
        <v/>
      </c>
      <c r="B987" s="81" t="str">
        <f>COPY!C985</f>
        <v/>
      </c>
      <c r="C987" s="82" t="str">
        <f>COPY!D985</f>
        <v/>
      </c>
      <c r="D987" s="81" t="str">
        <f>IF(Table13[[#This Row],[JUMLAH]]&gt;1,(IF(Table13[[#This Row],[CODE]]=" ",D986&amp;"a",IF(Table13[[#This Row],[CODE]]&gt;0,Table13[[#This Row],[CODE]],0))),"")</f>
        <v/>
      </c>
      <c r="E987" s="81" t="str">
        <f>IF(COPY!G985&gt;0,COPY!G985,"")</f>
        <v/>
      </c>
      <c r="F987" s="88" t="str">
        <f>IF(COPY!J985&gt;0,COPY!J985,"")</f>
        <v/>
      </c>
      <c r="G987" s="85" t="str">
        <f>IF(COPY!H985&gt;0,COPY!H985,"")</f>
        <v/>
      </c>
      <c r="H987" s="85" t="str">
        <f>IF(COPY!I985&gt;0,COPY!I985,"")</f>
        <v/>
      </c>
      <c r="I987" s="85" t="str">
        <f>IF(COPY!M985&gt;0,COPY!M985,"")</f>
        <v/>
      </c>
      <c r="J987" s="85" t="str">
        <f>IF(COPY!N985&gt;0,COPY!N985,"")</f>
        <v/>
      </c>
      <c r="K987" s="86" t="str">
        <f>IF(N987=0,(IF(LEFT(Table13[[#This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Row],[URAIAN]],$U$194:$V$210,2,FALSE),""),""),0))))),N987)</f>
        <v/>
      </c>
      <c r="L987" s="85" t="str">
        <f>IF(Table13[[#This Row],[Column2]]="KWITANSI",COUNTIF($K$4:K987,"KWITANSI")," ")</f>
        <v xml:space="preserve"> </v>
      </c>
      <c r="M987" s="85" t="str">
        <f>IF(Table13[[#This Row],[Column3]]=" "," ",Table13[[#This Row],[CODE]])</f>
        <v xml:space="preserve"> </v>
      </c>
      <c r="N987" s="368"/>
      <c r="P987" s="81" t="str">
        <f t="shared" si="15"/>
        <v/>
      </c>
    </row>
    <row r="988" spans="1:16" hidden="1" x14ac:dyDescent="0.15">
      <c r="A988" s="81" t="str">
        <f>COPY!O986</f>
        <v/>
      </c>
      <c r="B988" s="81" t="str">
        <f>COPY!C986</f>
        <v/>
      </c>
      <c r="C988" s="82" t="str">
        <f>COPY!D986</f>
        <v/>
      </c>
      <c r="D988" s="81" t="str">
        <f>IF(Table13[[#This Row],[JUMLAH]]&gt;1,(IF(Table13[[#This Row],[CODE]]=" ",D987&amp;"a",IF(Table13[[#This Row],[CODE]]&gt;0,Table13[[#This Row],[CODE]],0))),"")</f>
        <v/>
      </c>
      <c r="E988" s="81" t="str">
        <f>IF(COPY!G986&gt;0,COPY!G986,"")</f>
        <v/>
      </c>
      <c r="F988" s="88" t="str">
        <f>IF(COPY!J986&gt;0,COPY!J986,"")</f>
        <v/>
      </c>
      <c r="G988" s="85" t="str">
        <f>IF(COPY!H986&gt;0,COPY!H986,"")</f>
        <v/>
      </c>
      <c r="H988" s="85" t="str">
        <f>IF(COPY!I986&gt;0,COPY!I986,"")</f>
        <v/>
      </c>
      <c r="I988" s="85" t="str">
        <f>IF(COPY!M986&gt;0,COPY!M986,"")</f>
        <v/>
      </c>
      <c r="J988" s="85" t="str">
        <f>IF(COPY!N986&gt;0,COPY!N986,"")</f>
        <v/>
      </c>
      <c r="K988" s="86" t="str">
        <f>IF(N988=0,(IF(LEFT(Table13[[#This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Row],[URAIAN]],$U$194:$V$210,2,FALSE),""),""),0))))),N988)</f>
        <v/>
      </c>
      <c r="L988" s="85" t="str">
        <f>IF(Table13[[#This Row],[Column2]]="KWITANSI",COUNTIF($K$4:K988,"KWITANSI")," ")</f>
        <v xml:space="preserve"> </v>
      </c>
      <c r="M988" s="85" t="str">
        <f>IF(Table13[[#This Row],[Column3]]=" "," ",Table13[[#This Row],[CODE]])</f>
        <v xml:space="preserve"> </v>
      </c>
      <c r="N988" s="368"/>
      <c r="P988" s="81" t="str">
        <f t="shared" si="15"/>
        <v/>
      </c>
    </row>
    <row r="989" spans="1:16" hidden="1" x14ac:dyDescent="0.15">
      <c r="A989" s="81" t="str">
        <f>COPY!O987</f>
        <v/>
      </c>
      <c r="B989" s="81" t="str">
        <f>COPY!C987</f>
        <v/>
      </c>
      <c r="C989" s="82" t="str">
        <f>COPY!D987</f>
        <v/>
      </c>
      <c r="D989" s="81" t="str">
        <f>IF(Table13[[#This Row],[JUMLAH]]&gt;1,(IF(Table13[[#This Row],[CODE]]=" ",D988&amp;"a",IF(Table13[[#This Row],[CODE]]&gt;0,Table13[[#This Row],[CODE]],0))),"")</f>
        <v/>
      </c>
      <c r="E989" s="81" t="str">
        <f>IF(COPY!G987&gt;0,COPY!G987,"")</f>
        <v/>
      </c>
      <c r="F989" s="88" t="str">
        <f>IF(COPY!J987&gt;0,COPY!J987,"")</f>
        <v/>
      </c>
      <c r="G989" s="85" t="str">
        <f>IF(COPY!H987&gt;0,COPY!H987,"")</f>
        <v/>
      </c>
      <c r="H989" s="85" t="str">
        <f>IF(COPY!I987&gt;0,COPY!I987,"")</f>
        <v/>
      </c>
      <c r="I989" s="85" t="str">
        <f>IF(COPY!M987&gt;0,COPY!M987,"")</f>
        <v/>
      </c>
      <c r="J989" s="85" t="str">
        <f>IF(COPY!N987&gt;0,COPY!N987,"")</f>
        <v/>
      </c>
      <c r="K989" s="86" t="str">
        <f>IF(N989=0,(IF(LEFT(Table13[[#This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Row],[URAIAN]],$U$194:$V$210,2,FALSE),""),""),0))))),N989)</f>
        <v/>
      </c>
      <c r="L989" s="85" t="str">
        <f>IF(Table13[[#This Row],[Column2]]="KWITANSI",COUNTIF($K$4:K989,"KWITANSI")," ")</f>
        <v xml:space="preserve"> </v>
      </c>
      <c r="M989" s="85" t="str">
        <f>IF(Table13[[#This Row],[Column3]]=" "," ",Table13[[#This Row],[CODE]])</f>
        <v xml:space="preserve"> </v>
      </c>
      <c r="N989" s="368"/>
      <c r="P989" s="81" t="str">
        <f t="shared" si="15"/>
        <v/>
      </c>
    </row>
    <row r="990" spans="1:16" hidden="1" x14ac:dyDescent="0.15">
      <c r="A990" s="81" t="str">
        <f>COPY!O988</f>
        <v/>
      </c>
      <c r="B990" s="81" t="str">
        <f>COPY!C988</f>
        <v/>
      </c>
      <c r="C990" s="82" t="str">
        <f>COPY!D988</f>
        <v/>
      </c>
      <c r="D990" s="81" t="str">
        <f>IF(Table13[[#This Row],[JUMLAH]]&gt;1,(IF(Table13[[#This Row],[CODE]]=" ",D989&amp;"a",IF(Table13[[#This Row],[CODE]]&gt;0,Table13[[#This Row],[CODE]],0))),"")</f>
        <v/>
      </c>
      <c r="E990" s="81" t="str">
        <f>IF(COPY!G988&gt;0,COPY!G988,"")</f>
        <v/>
      </c>
      <c r="F990" s="88" t="str">
        <f>IF(COPY!J988&gt;0,COPY!J988,"")</f>
        <v/>
      </c>
      <c r="G990" s="85" t="str">
        <f>IF(COPY!H988&gt;0,COPY!H988,"")</f>
        <v/>
      </c>
      <c r="H990" s="85" t="str">
        <f>IF(COPY!I988&gt;0,COPY!I988,"")</f>
        <v/>
      </c>
      <c r="I990" s="85" t="str">
        <f>IF(COPY!M988&gt;0,COPY!M988,"")</f>
        <v/>
      </c>
      <c r="J990" s="85" t="str">
        <f>IF(COPY!N988&gt;0,COPY!N988,"")</f>
        <v/>
      </c>
      <c r="K990" s="86" t="str">
        <f>IF(N990=0,(IF(LEFT(Table13[[#This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Row],[URAIAN]],$U$194:$V$210,2,FALSE),""),""),0))))),N990)</f>
        <v/>
      </c>
      <c r="L990" s="85" t="str">
        <f>IF(Table13[[#This Row],[Column2]]="KWITANSI",COUNTIF($K$4:K990,"KWITANSI")," ")</f>
        <v xml:space="preserve"> </v>
      </c>
      <c r="M990" s="85" t="str">
        <f>IF(Table13[[#This Row],[Column3]]=" "," ",Table13[[#This Row],[CODE]])</f>
        <v xml:space="preserve"> </v>
      </c>
      <c r="N990" s="368"/>
      <c r="P990" s="81" t="str">
        <f t="shared" si="15"/>
        <v/>
      </c>
    </row>
    <row r="991" spans="1:16" hidden="1" x14ac:dyDescent="0.15">
      <c r="A991" s="81" t="str">
        <f>COPY!O989</f>
        <v/>
      </c>
      <c r="B991" s="81" t="str">
        <f>COPY!C989</f>
        <v/>
      </c>
      <c r="C991" s="82" t="str">
        <f>COPY!D989</f>
        <v/>
      </c>
      <c r="D991" s="81" t="str">
        <f>IF(Table13[[#This Row],[JUMLAH]]&gt;1,(IF(Table13[[#This Row],[CODE]]=" ",D990&amp;"a",IF(Table13[[#This Row],[CODE]]&gt;0,Table13[[#This Row],[CODE]],0))),"")</f>
        <v/>
      </c>
      <c r="E991" s="81" t="str">
        <f>IF(COPY!G989&gt;0,COPY!G989,"")</f>
        <v/>
      </c>
      <c r="F991" s="88" t="str">
        <f>IF(COPY!J989&gt;0,COPY!J989,"")</f>
        <v/>
      </c>
      <c r="G991" s="85" t="str">
        <f>IF(COPY!H989&gt;0,COPY!H989,"")</f>
        <v/>
      </c>
      <c r="H991" s="85" t="str">
        <f>IF(COPY!I989&gt;0,COPY!I989,"")</f>
        <v/>
      </c>
      <c r="I991" s="85" t="str">
        <f>IF(COPY!M989&gt;0,COPY!M989,"")</f>
        <v/>
      </c>
      <c r="J991" s="85" t="str">
        <f>IF(COPY!N989&gt;0,COPY!N989,"")</f>
        <v/>
      </c>
      <c r="K991" s="86" t="str">
        <f>IF(N991=0,(IF(LEFT(Table13[[#This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Row],[URAIAN]],$U$194:$V$210,2,FALSE),""),""),0))))),N991)</f>
        <v/>
      </c>
      <c r="L991" s="85" t="str">
        <f>IF(Table13[[#This Row],[Column2]]="KWITANSI",COUNTIF($K$4:K991,"KWITANSI")," ")</f>
        <v xml:space="preserve"> </v>
      </c>
      <c r="M991" s="85" t="str">
        <f>IF(Table13[[#This Row],[Column3]]=" "," ",Table13[[#This Row],[CODE]])</f>
        <v xml:space="preserve"> </v>
      </c>
      <c r="N991" s="368"/>
      <c r="P991" s="81" t="str">
        <f t="shared" si="15"/>
        <v/>
      </c>
    </row>
    <row r="992" spans="1:16" hidden="1" x14ac:dyDescent="0.15">
      <c r="A992" s="81" t="str">
        <f>COPY!O990</f>
        <v/>
      </c>
      <c r="B992" s="81" t="str">
        <f>COPY!C990</f>
        <v/>
      </c>
      <c r="C992" s="82" t="str">
        <f>COPY!D990</f>
        <v/>
      </c>
      <c r="D992" s="81" t="str">
        <f>IF(Table13[[#This Row],[JUMLAH]]&gt;1,(IF(Table13[[#This Row],[CODE]]=" ",D991&amp;"a",IF(Table13[[#This Row],[CODE]]&gt;0,Table13[[#This Row],[CODE]],0))),"")</f>
        <v/>
      </c>
      <c r="E992" s="81" t="str">
        <f>IF(COPY!G990&gt;0,COPY!G990,"")</f>
        <v/>
      </c>
      <c r="F992" s="88" t="str">
        <f>IF(COPY!J990&gt;0,COPY!J990,"")</f>
        <v/>
      </c>
      <c r="G992" s="85" t="str">
        <f>IF(COPY!H990&gt;0,COPY!H990,"")</f>
        <v/>
      </c>
      <c r="H992" s="85" t="str">
        <f>IF(COPY!I990&gt;0,COPY!I990,"")</f>
        <v/>
      </c>
      <c r="I992" s="85" t="str">
        <f>IF(COPY!M990&gt;0,COPY!M990,"")</f>
        <v/>
      </c>
      <c r="J992" s="85" t="str">
        <f>IF(COPY!N990&gt;0,COPY!N990,"")</f>
        <v/>
      </c>
      <c r="K992" s="86" t="str">
        <f>IF(N992=0,(IF(LEFT(Table13[[#This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Row],[URAIAN]],$U$194:$V$210,2,FALSE),""),""),0))))),N992)</f>
        <v/>
      </c>
      <c r="L992" s="85" t="str">
        <f>IF(Table13[[#This Row],[Column2]]="KWITANSI",COUNTIF($K$4:K992,"KWITANSI")," ")</f>
        <v xml:space="preserve"> </v>
      </c>
      <c r="M992" s="85" t="str">
        <f>IF(Table13[[#This Row],[Column3]]=" "," ",Table13[[#This Row],[CODE]])</f>
        <v xml:space="preserve"> </v>
      </c>
      <c r="N992" s="368"/>
      <c r="P992" s="81" t="str">
        <f t="shared" si="15"/>
        <v/>
      </c>
    </row>
    <row r="993" spans="1:16" hidden="1" x14ac:dyDescent="0.15">
      <c r="A993" s="81" t="str">
        <f>COPY!O991</f>
        <v/>
      </c>
      <c r="B993" s="81" t="str">
        <f>COPY!C991</f>
        <v/>
      </c>
      <c r="C993" s="82" t="str">
        <f>COPY!D991</f>
        <v/>
      </c>
      <c r="D993" s="81" t="str">
        <f>IF(Table13[[#This Row],[JUMLAH]]&gt;1,(IF(Table13[[#This Row],[CODE]]=" ",D992&amp;"a",IF(Table13[[#This Row],[CODE]]&gt;0,Table13[[#This Row],[CODE]],0))),"")</f>
        <v/>
      </c>
      <c r="E993" s="81" t="str">
        <f>IF(COPY!G991&gt;0,COPY!G991,"")</f>
        <v/>
      </c>
      <c r="F993" s="88" t="str">
        <f>IF(COPY!J991&gt;0,COPY!J991,"")</f>
        <v/>
      </c>
      <c r="G993" s="85" t="str">
        <f>IF(COPY!H991&gt;0,COPY!H991,"")</f>
        <v/>
      </c>
      <c r="H993" s="85" t="str">
        <f>IF(COPY!I991&gt;0,COPY!I991,"")</f>
        <v/>
      </c>
      <c r="I993" s="85" t="str">
        <f>IF(COPY!M991&gt;0,COPY!M991,"")</f>
        <v/>
      </c>
      <c r="J993" s="85" t="str">
        <f>IF(COPY!N991&gt;0,COPY!N991,"")</f>
        <v/>
      </c>
      <c r="K993" s="86" t="str">
        <f>IF(N993=0,(IF(LEFT(Table13[[#This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Row],[URAIAN]],$U$194:$V$210,2,FALSE),""),""),0))))),N993)</f>
        <v/>
      </c>
      <c r="L993" s="85" t="str">
        <f>IF(Table13[[#This Row],[Column2]]="KWITANSI",COUNTIF($K$4:K993,"KWITANSI")," ")</f>
        <v xml:space="preserve"> </v>
      </c>
      <c r="M993" s="85" t="str">
        <f>IF(Table13[[#This Row],[Column3]]=" "," ",Table13[[#This Row],[CODE]])</f>
        <v xml:space="preserve"> </v>
      </c>
      <c r="N993" s="368"/>
      <c r="P993" s="81" t="str">
        <f t="shared" si="15"/>
        <v/>
      </c>
    </row>
    <row r="994" spans="1:16" hidden="1" x14ac:dyDescent="0.15">
      <c r="A994" s="81" t="str">
        <f>COPY!O992</f>
        <v/>
      </c>
      <c r="B994" s="81" t="str">
        <f>COPY!C992</f>
        <v/>
      </c>
      <c r="C994" s="82" t="str">
        <f>COPY!D992</f>
        <v/>
      </c>
      <c r="D994" s="81" t="str">
        <f>IF(Table13[[#This Row],[JUMLAH]]&gt;1,(IF(Table13[[#This Row],[CODE]]=" ",D993&amp;"a",IF(Table13[[#This Row],[CODE]]&gt;0,Table13[[#This Row],[CODE]],0))),"")</f>
        <v/>
      </c>
      <c r="E994" s="81" t="str">
        <f>IF(COPY!G992&gt;0,COPY!G992,"")</f>
        <v/>
      </c>
      <c r="F994" s="88" t="str">
        <f>IF(COPY!J992&gt;0,COPY!J992,"")</f>
        <v/>
      </c>
      <c r="G994" s="85" t="str">
        <f>IF(COPY!H992&gt;0,COPY!H992,"")</f>
        <v/>
      </c>
      <c r="H994" s="85" t="str">
        <f>IF(COPY!I992&gt;0,COPY!I992,"")</f>
        <v/>
      </c>
      <c r="I994" s="85" t="str">
        <f>IF(COPY!M992&gt;0,COPY!M992,"")</f>
        <v/>
      </c>
      <c r="J994" s="85" t="str">
        <f>IF(COPY!N992&gt;0,COPY!N992,"")</f>
        <v/>
      </c>
      <c r="K994" s="86" t="str">
        <f>IF(N994=0,(IF(LEFT(Table13[[#This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Row],[URAIAN]],$U$194:$V$210,2,FALSE),""),""),0))))),N994)</f>
        <v/>
      </c>
      <c r="L994" s="85" t="str">
        <f>IF(Table13[[#This Row],[Column2]]="KWITANSI",COUNTIF($K$4:K994,"KWITANSI")," ")</f>
        <v xml:space="preserve"> </v>
      </c>
      <c r="M994" s="85" t="str">
        <f>IF(Table13[[#This Row],[Column3]]=" "," ",Table13[[#This Row],[CODE]])</f>
        <v xml:space="preserve"> </v>
      </c>
      <c r="N994" s="368"/>
      <c r="P994" s="81" t="str">
        <f t="shared" si="15"/>
        <v/>
      </c>
    </row>
    <row r="995" spans="1:16" hidden="1" x14ac:dyDescent="0.15">
      <c r="A995" s="81" t="str">
        <f>COPY!O993</f>
        <v/>
      </c>
      <c r="B995" s="81" t="str">
        <f>COPY!C993</f>
        <v/>
      </c>
      <c r="C995" s="82" t="str">
        <f>COPY!D993</f>
        <v/>
      </c>
      <c r="D995" s="81" t="str">
        <f>IF(Table13[[#This Row],[JUMLAH]]&gt;1,(IF(Table13[[#This Row],[CODE]]=" ",D994&amp;"a",IF(Table13[[#This Row],[CODE]]&gt;0,Table13[[#This Row],[CODE]],0))),"")</f>
        <v/>
      </c>
      <c r="E995" s="81" t="str">
        <f>IF(COPY!G993&gt;0,COPY!G993,"")</f>
        <v/>
      </c>
      <c r="F995" s="88" t="str">
        <f>IF(COPY!J993&gt;0,COPY!J993,"")</f>
        <v/>
      </c>
      <c r="G995" s="85" t="str">
        <f>IF(COPY!H993&gt;0,COPY!H993,"")</f>
        <v/>
      </c>
      <c r="H995" s="85" t="str">
        <f>IF(COPY!I993&gt;0,COPY!I993,"")</f>
        <v/>
      </c>
      <c r="I995" s="85" t="str">
        <f>IF(COPY!M993&gt;0,COPY!M993,"")</f>
        <v/>
      </c>
      <c r="J995" s="85" t="str">
        <f>IF(COPY!N993&gt;0,COPY!N993,"")</f>
        <v/>
      </c>
      <c r="K995" s="86" t="str">
        <f>IF(N995=0,(IF(LEFT(Table13[[#This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Row],[URAIAN]],$U$194:$V$210,2,FALSE),""),""),0))))),N995)</f>
        <v/>
      </c>
      <c r="L995" s="85" t="str">
        <f>IF(Table13[[#This Row],[Column2]]="KWITANSI",COUNTIF($K$4:K995,"KWITANSI")," ")</f>
        <v xml:space="preserve"> </v>
      </c>
      <c r="M995" s="85" t="str">
        <f>IF(Table13[[#This Row],[Column3]]=" "," ",Table13[[#This Row],[CODE]])</f>
        <v xml:space="preserve"> </v>
      </c>
      <c r="N995" s="368"/>
      <c r="P995" s="81" t="str">
        <f t="shared" si="15"/>
        <v/>
      </c>
    </row>
    <row r="996" spans="1:16" hidden="1" x14ac:dyDescent="0.15">
      <c r="A996" s="81" t="str">
        <f>COPY!O994</f>
        <v/>
      </c>
      <c r="B996" s="81" t="str">
        <f>COPY!C994</f>
        <v/>
      </c>
      <c r="C996" s="82" t="str">
        <f>COPY!D994</f>
        <v/>
      </c>
      <c r="D996" s="81" t="str">
        <f>IF(Table13[[#This Row],[JUMLAH]]&gt;1,(IF(Table13[[#This Row],[CODE]]=" ",D995&amp;"a",IF(Table13[[#This Row],[CODE]]&gt;0,Table13[[#This Row],[CODE]],0))),"")</f>
        <v/>
      </c>
      <c r="E996" s="81" t="str">
        <f>IF(COPY!G994&gt;0,COPY!G994,"")</f>
        <v/>
      </c>
      <c r="F996" s="88" t="str">
        <f>IF(COPY!J994&gt;0,COPY!J994,"")</f>
        <v/>
      </c>
      <c r="G996" s="85" t="str">
        <f>IF(COPY!H994&gt;0,COPY!H994,"")</f>
        <v/>
      </c>
      <c r="H996" s="85" t="str">
        <f>IF(COPY!I994&gt;0,COPY!I994,"")</f>
        <v/>
      </c>
      <c r="I996" s="85" t="str">
        <f>IF(COPY!M994&gt;0,COPY!M994,"")</f>
        <v/>
      </c>
      <c r="J996" s="85" t="str">
        <f>IF(COPY!N994&gt;0,COPY!N994,"")</f>
        <v/>
      </c>
      <c r="K996" s="86" t="str">
        <f>IF(N996=0,(IF(LEFT(Table13[[#This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Row],[URAIAN]],$U$194:$V$210,2,FALSE),""),""),0))))),N996)</f>
        <v/>
      </c>
      <c r="L996" s="85" t="str">
        <f>IF(Table13[[#This Row],[Column2]]="KWITANSI",COUNTIF($K$4:K996,"KWITANSI")," ")</f>
        <v xml:space="preserve"> </v>
      </c>
      <c r="M996" s="85" t="str">
        <f>IF(Table13[[#This Row],[Column3]]=" "," ",Table13[[#This Row],[CODE]])</f>
        <v xml:space="preserve"> </v>
      </c>
      <c r="N996" s="368"/>
      <c r="P996" s="81" t="str">
        <f t="shared" si="15"/>
        <v/>
      </c>
    </row>
    <row r="997" spans="1:16" hidden="1" x14ac:dyDescent="0.15">
      <c r="A997" s="81" t="str">
        <f>COPY!O995</f>
        <v/>
      </c>
      <c r="B997" s="81" t="str">
        <f>COPY!C995</f>
        <v/>
      </c>
      <c r="C997" s="82" t="str">
        <f>COPY!D995</f>
        <v/>
      </c>
      <c r="D997" s="81" t="str">
        <f>IF(Table13[[#This Row],[JUMLAH]]&gt;1,(IF(Table13[[#This Row],[CODE]]=" ",D996&amp;"a",IF(Table13[[#This Row],[CODE]]&gt;0,Table13[[#This Row],[CODE]],0))),"")</f>
        <v/>
      </c>
      <c r="E997" s="81" t="str">
        <f>IF(COPY!G995&gt;0,COPY!G995,"")</f>
        <v/>
      </c>
      <c r="F997" s="88" t="str">
        <f>IF(COPY!J995&gt;0,COPY!J995,"")</f>
        <v/>
      </c>
      <c r="G997" s="85" t="str">
        <f>IF(COPY!H995&gt;0,COPY!H995,"")</f>
        <v/>
      </c>
      <c r="H997" s="85" t="str">
        <f>IF(COPY!I995&gt;0,COPY!I995,"")</f>
        <v/>
      </c>
      <c r="I997" s="85" t="str">
        <f>IF(COPY!M995&gt;0,COPY!M995,"")</f>
        <v/>
      </c>
      <c r="J997" s="85" t="str">
        <f>IF(COPY!N995&gt;0,COPY!N995,"")</f>
        <v/>
      </c>
      <c r="K997" s="86" t="str">
        <f>IF(N997=0,(IF(LEFT(Table13[[#This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Row],[URAIAN]],$U$194:$V$210,2,FALSE),""),""),0))))),N997)</f>
        <v/>
      </c>
      <c r="L997" s="85" t="str">
        <f>IF(Table13[[#This Row],[Column2]]="KWITANSI",COUNTIF($K$4:K997,"KWITANSI")," ")</f>
        <v xml:space="preserve"> </v>
      </c>
      <c r="M997" s="85" t="str">
        <f>IF(Table13[[#This Row],[Column3]]=" "," ",Table13[[#This Row],[CODE]])</f>
        <v xml:space="preserve"> </v>
      </c>
      <c r="N997" s="368"/>
      <c r="P997" s="81" t="str">
        <f t="shared" si="15"/>
        <v/>
      </c>
    </row>
    <row r="998" spans="1:16" hidden="1" x14ac:dyDescent="0.15">
      <c r="A998" s="81" t="str">
        <f>COPY!O996</f>
        <v/>
      </c>
      <c r="B998" s="81" t="str">
        <f>COPY!C996</f>
        <v/>
      </c>
      <c r="C998" s="82" t="str">
        <f>COPY!D996</f>
        <v/>
      </c>
      <c r="D998" s="81" t="str">
        <f>IF(Table13[[#This Row],[JUMLAH]]&gt;1,(IF(Table13[[#This Row],[CODE]]=" ",D997&amp;"a",IF(Table13[[#This Row],[CODE]]&gt;0,Table13[[#This Row],[CODE]],0))),"")</f>
        <v/>
      </c>
      <c r="E998" s="81" t="str">
        <f>IF(COPY!G996&gt;0,COPY!G996,"")</f>
        <v/>
      </c>
      <c r="F998" s="88" t="str">
        <f>IF(COPY!J996&gt;0,COPY!J996,"")</f>
        <v/>
      </c>
      <c r="G998" s="85" t="str">
        <f>IF(COPY!H996&gt;0,COPY!H996,"")</f>
        <v/>
      </c>
      <c r="H998" s="85" t="str">
        <f>IF(COPY!I996&gt;0,COPY!I996,"")</f>
        <v/>
      </c>
      <c r="I998" s="85" t="str">
        <f>IF(COPY!M996&gt;0,COPY!M996,"")</f>
        <v/>
      </c>
      <c r="J998" s="85" t="str">
        <f>IF(COPY!N996&gt;0,COPY!N996,"")</f>
        <v/>
      </c>
      <c r="K998" s="86" t="str">
        <f>IF(N998=0,(IF(LEFT(Table13[[#This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Row],[URAIAN]],$U$194:$V$210,2,FALSE),""),""),0))))),N998)</f>
        <v/>
      </c>
      <c r="L998" s="85" t="str">
        <f>IF(Table13[[#This Row],[Column2]]="KWITANSI",COUNTIF($K$4:K998,"KWITANSI")," ")</f>
        <v xml:space="preserve"> </v>
      </c>
      <c r="M998" s="85" t="str">
        <f>IF(Table13[[#This Row],[Column3]]=" "," ",Table13[[#This Row],[CODE]])</f>
        <v xml:space="preserve"> </v>
      </c>
      <c r="N998" s="368"/>
      <c r="P998" s="81" t="str">
        <f t="shared" si="15"/>
        <v/>
      </c>
    </row>
    <row r="999" spans="1:16" hidden="1" x14ac:dyDescent="0.15">
      <c r="A999" s="81" t="str">
        <f>COPY!O997</f>
        <v/>
      </c>
      <c r="B999" s="81" t="str">
        <f>COPY!C997</f>
        <v/>
      </c>
      <c r="C999" s="82" t="str">
        <f>COPY!D997</f>
        <v/>
      </c>
      <c r="D999" s="81" t="str">
        <f>IF(Table13[[#This Row],[JUMLAH]]&gt;1,(IF(Table13[[#This Row],[CODE]]=" ",D998&amp;"a",IF(Table13[[#This Row],[CODE]]&gt;0,Table13[[#This Row],[CODE]],0))),"")</f>
        <v/>
      </c>
      <c r="E999" s="81" t="str">
        <f>IF(COPY!G997&gt;0,COPY!G997,"")</f>
        <v/>
      </c>
      <c r="F999" s="88" t="str">
        <f>IF(COPY!J997&gt;0,COPY!J997,"")</f>
        <v/>
      </c>
      <c r="G999" s="85" t="str">
        <f>IF(COPY!H997&gt;0,COPY!H997,"")</f>
        <v/>
      </c>
      <c r="H999" s="85" t="str">
        <f>IF(COPY!I997&gt;0,COPY!I997,"")</f>
        <v/>
      </c>
      <c r="I999" s="85" t="str">
        <f>IF(COPY!M997&gt;0,COPY!M997,"")</f>
        <v/>
      </c>
      <c r="J999" s="85" t="str">
        <f>IF(COPY!N997&gt;0,COPY!N997,"")</f>
        <v/>
      </c>
      <c r="K999" s="86" t="str">
        <f>IF(N999=0,(IF(LEFT(Table13[[#This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Row],[URAIAN]],$U$194:$V$210,2,FALSE),""),""),0))))),N999)</f>
        <v/>
      </c>
      <c r="L999" s="85" t="str">
        <f>IF(Table13[[#This Row],[Column2]]="KWITANSI",COUNTIF($K$4:K999,"KWITANSI")," ")</f>
        <v xml:space="preserve"> </v>
      </c>
      <c r="M999" s="85" t="str">
        <f>IF(Table13[[#This Row],[Column3]]=" "," ",Table13[[#This Row],[CODE]])</f>
        <v xml:space="preserve"> </v>
      </c>
      <c r="N999" s="368"/>
      <c r="P999" s="81" t="str">
        <f t="shared" si="15"/>
        <v/>
      </c>
    </row>
    <row r="1000" spans="1:16" hidden="1" x14ac:dyDescent="0.15">
      <c r="A1000" s="81" t="str">
        <f>COPY!O998</f>
        <v/>
      </c>
      <c r="B1000" s="81" t="str">
        <f>COPY!C998</f>
        <v/>
      </c>
      <c r="C1000" s="82" t="str">
        <f>COPY!D998</f>
        <v/>
      </c>
      <c r="D1000" s="81" t="str">
        <f>IF(Table13[[#This Row],[JUMLAH]]&gt;1,(IF(Table13[[#This Row],[CODE]]=" ",D999&amp;"a",IF(Table13[[#This Row],[CODE]]&gt;0,Table13[[#This Row],[CODE]],0))),"")</f>
        <v/>
      </c>
      <c r="E1000" s="81" t="str">
        <f>IF(COPY!G998&gt;0,COPY!G998,"")</f>
        <v/>
      </c>
      <c r="F1000" s="88" t="str">
        <f>IF(COPY!J998&gt;0,COPY!J998,"")</f>
        <v/>
      </c>
      <c r="G1000" s="85" t="str">
        <f>IF(COPY!H998&gt;0,COPY!H998,"")</f>
        <v/>
      </c>
      <c r="H1000" s="85" t="str">
        <f>IF(COPY!I998&gt;0,COPY!I998,"")</f>
        <v/>
      </c>
      <c r="I1000" s="85" t="str">
        <f>IF(COPY!M998&gt;0,COPY!M998,"")</f>
        <v/>
      </c>
      <c r="J1000" s="85" t="str">
        <f>IF(COPY!N998&gt;0,COPY!N998,"")</f>
        <v/>
      </c>
      <c r="K1000" s="86" t="str">
        <f>IF(N1000=0,(IF(LEFT(Table13[[#This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Row],[URAIAN]],$U$194:$V$210,2,FALSE),""),""),0))))),N1000)</f>
        <v/>
      </c>
      <c r="L1000" s="85" t="str">
        <f>IF(Table13[[#This Row],[Column2]]="KWITANSI",COUNTIF($K$4:K1000,"KWITANSI")," ")</f>
        <v xml:space="preserve"> </v>
      </c>
      <c r="M1000" s="85" t="str">
        <f>IF(Table13[[#This Row],[Column3]]=" "," ",Table13[[#This Row],[CODE]])</f>
        <v xml:space="preserve"> </v>
      </c>
      <c r="N1000" s="368"/>
      <c r="P1000" s="81" t="str">
        <f t="shared" si="15"/>
        <v/>
      </c>
    </row>
    <row r="1001" spans="1:16" hidden="1" x14ac:dyDescent="0.15">
      <c r="A1001" s="81" t="str">
        <f>COPY!O999</f>
        <v/>
      </c>
      <c r="B1001" s="81" t="str">
        <f>COPY!C999</f>
        <v/>
      </c>
      <c r="C1001" s="82" t="str">
        <f>COPY!D999</f>
        <v/>
      </c>
      <c r="D1001" s="81" t="str">
        <f>IF(Table13[[#This Row],[JUMLAH]]&gt;1,(IF(Table13[[#This Row],[CODE]]=" ",D1000&amp;"a",IF(Table13[[#This Row],[CODE]]&gt;0,Table13[[#This Row],[CODE]],0))),"")</f>
        <v/>
      </c>
      <c r="E1001" s="81" t="str">
        <f>IF(COPY!G999&gt;0,COPY!G999,"")</f>
        <v/>
      </c>
      <c r="F1001" s="88" t="str">
        <f>IF(COPY!J999&gt;0,COPY!J999,"")</f>
        <v/>
      </c>
      <c r="G1001" s="85" t="str">
        <f>IF(COPY!H999&gt;0,COPY!H999,"")</f>
        <v/>
      </c>
      <c r="H1001" s="85" t="str">
        <f>IF(COPY!I999&gt;0,COPY!I999,"")</f>
        <v/>
      </c>
      <c r="I1001" s="85" t="str">
        <f>IF(COPY!M999&gt;0,COPY!M999,"")</f>
        <v/>
      </c>
      <c r="J1001" s="85" t="str">
        <f>IF(COPY!N999&gt;0,COPY!N999,"")</f>
        <v/>
      </c>
      <c r="K1001" s="86" t="str">
        <f>IF(N1001=0,(IF(LEFT(Table13[[#This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Row],[URAIAN]],$U$194:$V$210,2,FALSE),""),""),0))))),N1001)</f>
        <v/>
      </c>
      <c r="L1001" s="85" t="str">
        <f>IF(Table13[[#This Row],[Column2]]="KWITANSI",COUNTIF($K$4:K1001,"KWITANSI")," ")</f>
        <v xml:space="preserve"> </v>
      </c>
      <c r="M1001" s="85" t="str">
        <f>IF(Table13[[#This Row],[Column3]]=" "," ",Table13[[#This Row],[CODE]])</f>
        <v xml:space="preserve"> </v>
      </c>
      <c r="N1001" s="368"/>
      <c r="P1001" s="81" t="str">
        <f t="shared" si="15"/>
        <v/>
      </c>
    </row>
    <row r="1002" spans="1:16" hidden="1" x14ac:dyDescent="0.15">
      <c r="A1002" s="81" t="str">
        <f>COPY!O1000</f>
        <v/>
      </c>
      <c r="B1002" s="81" t="str">
        <f>COPY!C1000</f>
        <v/>
      </c>
      <c r="C1002" s="82" t="str">
        <f>COPY!D1000</f>
        <v/>
      </c>
      <c r="D1002" s="81" t="str">
        <f>IF(Table13[[#This Row],[JUMLAH]]&gt;1,(IF(Table13[[#This Row],[CODE]]=" ",D1001&amp;"a",IF(Table13[[#This Row],[CODE]]&gt;0,Table13[[#This Row],[CODE]],0))),"")</f>
        <v/>
      </c>
      <c r="E1002" s="81" t="str">
        <f>IF(COPY!G1000&gt;0,COPY!G1000,"")</f>
        <v/>
      </c>
      <c r="F1002" s="88" t="str">
        <f>IF(COPY!J1000&gt;0,COPY!J1000,"")</f>
        <v/>
      </c>
      <c r="G1002" s="85" t="str">
        <f>IF(COPY!H1000&gt;0,COPY!H1000,"")</f>
        <v/>
      </c>
      <c r="H1002" s="85" t="str">
        <f>IF(COPY!I1000&gt;0,COPY!I1000,"")</f>
        <v/>
      </c>
      <c r="I1002" s="85" t="str">
        <f>IF(COPY!M1000&gt;0,COPY!M1000,"")</f>
        <v/>
      </c>
      <c r="J1002" s="85" t="str">
        <f>IF(COPY!N1000&gt;0,COPY!N1000,"")</f>
        <v/>
      </c>
      <c r="K1002" s="86" t="str">
        <f>IF(N1002=0,(IF(LEFT(Table13[[#This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Row],[URAIAN]],$U$194:$V$210,2,FALSE),""),""),0))))),N1002)</f>
        <v/>
      </c>
      <c r="L1002" s="85" t="str">
        <f>IF(Table13[[#This Row],[Column2]]="KWITANSI",COUNTIF($K$4:K1002,"KWITANSI")," ")</f>
        <v xml:space="preserve"> </v>
      </c>
      <c r="M1002" s="85" t="str">
        <f>IF(Table13[[#This Row],[Column3]]=" "," ",Table13[[#This Row],[CODE]])</f>
        <v xml:space="preserve"> </v>
      </c>
      <c r="N1002" s="368"/>
      <c r="P1002" s="81" t="str">
        <f t="shared" si="15"/>
        <v/>
      </c>
    </row>
    <row r="1003" spans="1:16" hidden="1" x14ac:dyDescent="0.15">
      <c r="A1003" s="81">
        <f>COPY!O1001</f>
        <v>0</v>
      </c>
      <c r="B1003" s="81">
        <f>COPY!C1001</f>
        <v>0</v>
      </c>
      <c r="C1003" s="82">
        <f>COPY!D1001</f>
        <v>0</v>
      </c>
      <c r="D1003" s="81">
        <f>IF(Table13[[#This Row],[JUMLAH]]&gt;1,(IF(Table13[[#This Row],[CODE]]=" ",D1002&amp;"a",IF(Table13[[#This Row],[CODE]]&gt;0,Table13[[#This Row],[CODE]],0))),"")</f>
        <v>0</v>
      </c>
      <c r="E1003" s="81" t="str">
        <f>IF(COPY!G1001&gt;0,COPY!G1001,"")</f>
        <v/>
      </c>
      <c r="F1003" s="88" t="str">
        <f>IF(COPY!J1001&gt;0,COPY!J1001,"")</f>
        <v/>
      </c>
      <c r="G1003" s="85" t="str">
        <f>IF(COPY!H1001&gt;0,COPY!H1001,"")</f>
        <v/>
      </c>
      <c r="H1003" s="85" t="str">
        <f>IF(COPY!I1001&gt;0,COPY!I1001,"")</f>
        <v/>
      </c>
      <c r="I1003" s="85" t="str">
        <f>IF(COPY!M1001&gt;0,COPY!M1001,"")</f>
        <v/>
      </c>
      <c r="J1003" s="85" t="str">
        <f>IF(COPY!N1001&gt;0,COPY!N1001,"")</f>
        <v/>
      </c>
      <c r="K1003" s="86" t="str">
        <f>IF(N1003=0,(IF(LEFT(Table13[[#This Row],[URAIAN]],10)="Pembayaran","KWITANSI",IF(LEFT(Table13[[#This Row],[URAIAN]],5)="Bayar","KWITANSI",(IF(Table13[[#This Row],[TOTAL]]&gt;2000000,IF(LEFT(Table13[[#This Row],[CODE]],3)="BKK",IFERROR(VLOOKUP(Table13[[#This Row],[URAIAN]],$U$194:$V$210,2,FALSE),""),""),0))))),N1003)</f>
        <v/>
      </c>
      <c r="L1003" s="85" t="str">
        <f>IF(Table13[[#This Row],[Column2]]="KWITANSI",COUNTIF($K$4:K1003,"KWITANSI")," ")</f>
        <v xml:space="preserve"> </v>
      </c>
      <c r="M1003" s="85" t="str">
        <f>IF(Table13[[#This Row],[Column3]]=" "," ",Table13[[#This Row],[CODE]])</f>
        <v xml:space="preserve"> </v>
      </c>
      <c r="N1003" s="368"/>
      <c r="P1003" s="81" t="str">
        <f t="shared" si="15"/>
        <v/>
      </c>
    </row>
    <row r="1004" spans="1:16" x14ac:dyDescent="0.15">
      <c r="P1004" s="81" t="str">
        <f t="shared" si="15"/>
        <v/>
      </c>
    </row>
  </sheetData>
  <mergeCells count="1">
    <mergeCell ref="A1:K1"/>
  </mergeCells>
  <phoneticPr fontId="12" type="noConversion"/>
  <conditionalFormatting sqref="A1:A1048576">
    <cfRule type="containsText" dxfId="424" priority="2" operator="containsText" text="BKK">
      <formula>NOT(ISERROR(SEARCH("BKK",A1)))</formula>
    </cfRule>
  </conditionalFormatting>
  <pageMargins left="0.196850393700787" right="0.196850393700787" top="0.196850393700787" bottom="0.196850393700787" header="0.31496062992126" footer="0.31496062992126"/>
  <pageSetup paperSize="9" scale="94" fitToHeight="0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Z30"/>
  <sheetViews>
    <sheetView tabSelected="1" zoomScale="70" zoomScaleNormal="70" workbookViewId="0">
      <selection activeCell="H41" sqref="H41"/>
    </sheetView>
  </sheetViews>
  <sheetFormatPr defaultColWidth="9.140625" defaultRowHeight="14.25" x14ac:dyDescent="0.2"/>
  <cols>
    <col min="1" max="1" width="11" style="75" customWidth="1"/>
    <col min="2" max="2" width="15" style="76" bestFit="1" customWidth="1"/>
    <col min="3" max="3" width="49.28515625" style="75" bestFit="1" customWidth="1"/>
    <col min="4" max="4" width="32" style="75" bestFit="1" customWidth="1"/>
    <col min="5" max="5" width="48.85546875" style="75" bestFit="1" customWidth="1"/>
    <col min="6" max="7" width="39.140625" style="75" customWidth="1"/>
    <col min="8" max="8" width="16.42578125" style="75" customWidth="1"/>
    <col min="9" max="9" width="27" style="75" bestFit="1" customWidth="1"/>
    <col min="10" max="10" width="55.5703125" style="75" bestFit="1" customWidth="1"/>
    <col min="11" max="11" width="29.42578125" style="75" bestFit="1" customWidth="1"/>
    <col min="12" max="12" width="14.28515625" style="75" customWidth="1"/>
    <col min="13" max="26" width="14.7109375" style="75" customWidth="1"/>
    <col min="27" max="16384" width="9.140625" style="75"/>
  </cols>
  <sheetData>
    <row r="1" spans="1:26" x14ac:dyDescent="0.2">
      <c r="A1" s="75" t="s">
        <v>394</v>
      </c>
      <c r="B1" s="76" t="s">
        <v>390</v>
      </c>
      <c r="C1" s="75" t="s">
        <v>385</v>
      </c>
      <c r="D1" s="75" t="s">
        <v>391</v>
      </c>
      <c r="E1" s="75" t="s">
        <v>392</v>
      </c>
      <c r="F1" s="75" t="s">
        <v>340</v>
      </c>
      <c r="G1" s="75" t="s">
        <v>341</v>
      </c>
      <c r="H1" s="75" t="s">
        <v>398</v>
      </c>
      <c r="I1" s="75" t="s">
        <v>393</v>
      </c>
      <c r="J1" s="75" t="s">
        <v>395</v>
      </c>
      <c r="K1" s="75" t="s">
        <v>438</v>
      </c>
      <c r="L1" s="77" t="s">
        <v>440</v>
      </c>
      <c r="M1" s="75" t="s">
        <v>441</v>
      </c>
      <c r="N1" s="78" t="s">
        <v>442</v>
      </c>
      <c r="O1" s="78" t="s">
        <v>443</v>
      </c>
      <c r="P1" s="75" t="s">
        <v>439</v>
      </c>
      <c r="Q1" s="75" t="s">
        <v>444</v>
      </c>
      <c r="R1" s="75" t="s">
        <v>445</v>
      </c>
      <c r="S1" s="75" t="s">
        <v>446</v>
      </c>
      <c r="T1" s="75" t="s">
        <v>447</v>
      </c>
      <c r="U1" s="75" t="s">
        <v>448</v>
      </c>
      <c r="V1" s="75" t="s">
        <v>449</v>
      </c>
      <c r="W1" s="75" t="s">
        <v>450</v>
      </c>
      <c r="X1" s="75" t="s">
        <v>451</v>
      </c>
      <c r="Y1" s="75" t="s">
        <v>452</v>
      </c>
      <c r="Z1" s="75" t="s">
        <v>453</v>
      </c>
    </row>
    <row r="2" spans="1:26" ht="17.25" customHeight="1" x14ac:dyDescent="0.2">
      <c r="A2" s="75" t="str">
        <f>IFERROR((IF('Un nOTA'!P1&gt;0,VLOOKUP('Un nOTA'!P1,'Un nOTA'!$L$4:$M$1003,2,FALSE),"")),"")</f>
        <v>BKK.8</v>
      </c>
      <c r="B2" s="76">
        <f>IFERROR(VLOOKUP(Table19[[#This Row],[Bkk]],Table13[],10,FALSE)," ")</f>
        <v>2761410</v>
      </c>
      <c r="C2" s="75" t="str" cm="1">
        <f t="array" ref="C2">IFERROR(PROPER(Terbilang1(Table19[[#This Row],[Sejumlah]])&amp;" RUPIAH")," ")</f>
        <v>Dua Juta Tujuh Ratus Enam Puluh Satu Ribu Empat Ratus Sepuluh Rupiah</v>
      </c>
      <c r="D2" s="75" t="str">
        <f>IF(LEFT(Table19[[#This Row],[Column3]],5)="Pemba",Table19[[#This Row],[Column3]],IF(LEFT(Table19[[#This Row],[Column3]],5)="Bayar",Table19[[#This Row],[Column3]],IF(Table19[[#This Row],[Column3]]="","","Pembelian Material Alam")))</f>
        <v>Bayar Dana Perencanaan</v>
      </c>
      <c r="E2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>PEMBANGUNAN TOILET BESERTA SANITASINYA</v>
      </c>
      <c r="F2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" s="75" t="str">
        <f>IF(LEFT(D2,5)="Bayar",VLOOKUP(D2,'BKU 1'!$B$15:$E$16,4,FALSE),IF(LEFT(Table19[[#This Row],[Untuk]],10)="Pembayaran",'Absen (2)'!$C$12,""))</f>
        <v>NUR ROHMAN, ST.</v>
      </c>
      <c r="I2" s="75" t="str">
        <f>IF(LEFT(Table19[[#This Row],[Bkk]],3)="BKK",'BKU 1'!$I$25&amp;", "&amp;IFERROR(TEXT(VLOOKUP(Table19[[#This Row],[Bkk]],Table13[],3,FALSE),"dd mmmm yyyy")," ")," ")</f>
        <v>NGANTANG, 05 September 2025</v>
      </c>
      <c r="J2" s="75" t="str">
        <f>IF(LEFT(Table19[[#This Row],[Bkk]],3)="BKK",'BKU 1'!$D$25&amp;". KECAMATAN - "&amp;'BKU 1'!$I$25,"")</f>
        <v>SDN 1 SIDODADI. KECAMATAN - NGANTANG</v>
      </c>
      <c r="K2" s="75" t="str">
        <f>IF(Table19[[#This Row],[Bkk]]="","",VLOOKUP(Table19[[#This Row],[Bkk]],Table13[],5,FALSE))</f>
        <v>Bayar Dana Perencanaan</v>
      </c>
      <c r="L2" s="75" t="str">
        <f>IF(Table19[[#This Row],[Bkk]]="","",TEXT(VLOOKUP(Table19[[#This Row],[Bkk]],Table13[],6,FALSE)," #.##0,00 "))</f>
        <v xml:space="preserve"> 1,00 </v>
      </c>
      <c r="M2" s="75" t="str">
        <f>IF(Table19[[#This Row],[Bkk]]="","",VLOOKUP(Table19[[#This Row],[Bkk]],Table13[],7,FALSE))</f>
        <v/>
      </c>
      <c r="N2" s="75" t="str">
        <f>IF(Table19[[#This Row],[Bkk]]="","",TEXT(VLOOKUP(Table19[[#This Row],[Bkk]],Table13[],9,FALSE)," #.## "))</f>
        <v xml:space="preserve"> 2.761.410 </v>
      </c>
      <c r="O2" s="75" t="str">
        <f>IF(LEFT(Table19[[#This Row],[Untuk]],5)="Pembe",TEXT(VLOOKUP(Table19[[#This Row],[Bkk]],Table13[],9,FALSE)," #.## ")," ")</f>
        <v xml:space="preserve"> </v>
      </c>
      <c r="P2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" s="75" t="str">
        <f>IFERROR(VLOOKUP(Table19[[#This Row],[Bkk]]&amp;TRIM(RIGHT(SUBSTITUTE(TRIM(Table1824[[#Headers],[Uraian a]])," ",REPT(" ",255)),255)),'Un nOTA'!$D$4:$J$1004,4,FALSE)," ")</f>
        <v xml:space="preserve"> </v>
      </c>
      <c r="S2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" s="75" t="str">
        <f>IFERROR(VLOOKUP(Table19[[#This Row],[Bkk]]&amp;TRIM(RIGHT(SUBSTITUTE(TRIM(Table1824[[#Headers],[Uraian aa]])," ",REPT(" ",255)),255)),'Un nOTA'!$D$4:$J$1004,4,FALSE)," ")</f>
        <v xml:space="preserve"> </v>
      </c>
      <c r="X2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" s="75" t="str">
        <f>IF(LEFT(Table19[[#This Row],[Untuk]],5)="Pemba",VLOOKUP(Table19[[#This Row],[Untuk]],'Rekap Gaji'!$D$12:$L$25,8,FALSE),"")</f>
        <v/>
      </c>
    </row>
    <row r="3" spans="1:26" ht="17.25" customHeight="1" x14ac:dyDescent="0.2">
      <c r="A3" s="75" t="str">
        <f>IFERROR((IF('Un nOTA'!P2&gt;0,VLOOKUP('Un nOTA'!P2,'Un nOTA'!$L$4:$M$1003,2,FALSE),"")),"")</f>
        <v>BKK.9</v>
      </c>
      <c r="B3" s="76">
        <f>IFERROR(VLOOKUP(Table19[[#This Row],[Bkk]],Table13[],10,FALSE)," ")</f>
        <v>5110000</v>
      </c>
      <c r="C3" s="75" t="str" cm="1">
        <f t="array" ref="C3">IFERROR(PROPER(Terbilang1(Table19[[#This Row],[Sejumlah]])&amp;" RUPIAH")," ")</f>
        <v>Lima Juta Seratus Sepuluh Ribu Rupiah</v>
      </c>
      <c r="D3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1</v>
      </c>
      <c r="E3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01 September 2025  Sampai Dengan   06 September 2025</v>
      </c>
      <c r="F3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3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3" s="75" t="str">
        <f>IF(LEFT(D3,5)="Bayar",VLOOKUP(D3,'BKU 1'!$B$15:$E$16,4,FALSE),IF(LEFT(Table19[[#This Row],[Untuk]],10)="Pembayaran",'Absen (2)'!$C$12,""))</f>
        <v>KUSMAN H</v>
      </c>
      <c r="I3" s="75" t="str">
        <f>IF(LEFT(Table19[[#This Row],[Bkk]],3)="BKK",'BKU 1'!$I$25&amp;", "&amp;IFERROR(TEXT(VLOOKUP(Table19[[#This Row],[Bkk]],Table13[],3,FALSE),"dd mmmm yyyy")," ")," ")</f>
        <v>NGANTANG, 06 September 2025</v>
      </c>
      <c r="J3" s="75" t="str">
        <f>IF(LEFT(Table19[[#This Row],[Bkk]],3)="BKK",'BKU 1'!$D$25&amp;". KECAMATAN - "&amp;'BKU 1'!$I$25,"")</f>
        <v>SDN 1 SIDODADI. KECAMATAN - NGANTANG</v>
      </c>
      <c r="K3" s="75" t="str">
        <f>IF(Table19[[#This Row],[Bkk]]="","",VLOOKUP(Table19[[#This Row],[Bkk]],Table13[],5,FALSE))</f>
        <v>Pembayaran Pekerja Minggu Ke 1</v>
      </c>
      <c r="L3" s="75" t="str">
        <f>IF(Table19[[#This Row],[Bkk]]="","",TEXT(VLOOKUP(Table19[[#This Row],[Bkk]],Table13[],6,FALSE)," #.##0,00 "))</f>
        <v xml:space="preserve"> 1,00 </v>
      </c>
      <c r="M3" s="75" t="str">
        <f>IF(Table19[[#This Row],[Bkk]]="","",VLOOKUP(Table19[[#This Row],[Bkk]],Table13[],7,FALSE))</f>
        <v/>
      </c>
      <c r="N3" s="75" t="str">
        <f>IF(Table19[[#This Row],[Bkk]]="","",TEXT(VLOOKUP(Table19[[#This Row],[Bkk]],Table13[],9,FALSE)," #.## "))</f>
        <v xml:space="preserve"> 5.110.000 </v>
      </c>
      <c r="O3" s="75" t="str">
        <f>IF(LEFT(Table19[[#This Row],[Untuk]],5)="Pembe",TEXT(VLOOKUP(Table19[[#This Row],[Bkk]],Table13[],9,FALSE)," #.## ")," ")</f>
        <v xml:space="preserve"> </v>
      </c>
      <c r="P3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01 September 2025</v>
      </c>
      <c r="Q3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3" s="75" t="str">
        <f>IFERROR(VLOOKUP(Table19[[#This Row],[Bkk]]&amp;TRIM(RIGHT(SUBSTITUTE(TRIM(Table1824[[#Headers],[Uraian a]])," ",REPT(" ",255)),255)),'Un nOTA'!$D$4:$J$1004,4,FALSE)," ")</f>
        <v xml:space="preserve"> </v>
      </c>
      <c r="S3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3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3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3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3" s="75" t="str">
        <f>IFERROR(VLOOKUP(Table19[[#This Row],[Bkk]]&amp;TRIM(RIGHT(SUBSTITUTE(TRIM(Table1824[[#Headers],[Uraian aa]])," ",REPT(" ",255)),255)),'Un nOTA'!$D$4:$J$1004,4,FALSE)," ")</f>
        <v xml:space="preserve"> </v>
      </c>
      <c r="X3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3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3" s="75" t="str">
        <f>IF(LEFT(Table19[[#This Row],[Untuk]],5)="Pemba",VLOOKUP(Table19[[#This Row],[Untuk]],'Rekap Gaji'!$D$12:$L$25,8,FALSE),"")</f>
        <v xml:space="preserve"> 06 September 2025</v>
      </c>
    </row>
    <row r="4" spans="1:26" ht="17.25" customHeight="1" x14ac:dyDescent="0.2">
      <c r="A4" s="75" t="str">
        <f>IFERROR((IF('Un nOTA'!P3&gt;0,VLOOKUP('Un nOTA'!P3,'Un nOTA'!$L$4:$M$1003,2,FALSE),"")),"")</f>
        <v>BKK.16</v>
      </c>
      <c r="B4" s="76">
        <f>IFERROR(VLOOKUP(Table19[[#This Row],[Bkk]],Table13[],10,FALSE)," ")</f>
        <v>5350000</v>
      </c>
      <c r="C4" s="75" t="str" cm="1">
        <f t="array" ref="C4">IFERROR(PROPER(Terbilang1(Table19[[#This Row],[Sejumlah]])&amp;" RUPIAH")," ")</f>
        <v>Lima Juta Tiga Ratus Lima Puluh Ribu Rupiah</v>
      </c>
      <c r="D4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2</v>
      </c>
      <c r="E4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07 September 2025  Sampai Dengan   13 September 2025</v>
      </c>
      <c r="F4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4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4" s="75" t="str">
        <f>IF(LEFT(D4,5)="Bayar",VLOOKUP(D4,'BKU 1'!$B$15:$E$16,4,FALSE),IF(LEFT(Table19[[#This Row],[Untuk]],10)="Pembayaran",'Absen (2)'!$C$12,""))</f>
        <v>KUSMAN H</v>
      </c>
      <c r="I4" s="75" t="str">
        <f>IF(LEFT(Table19[[#This Row],[Bkk]],3)="BKK",'BKU 1'!$I$25&amp;", "&amp;IFERROR(TEXT(VLOOKUP(Table19[[#This Row],[Bkk]],Table13[],3,FALSE),"dd mmmm yyyy")," ")," ")</f>
        <v>NGANTANG, 13 September 2025</v>
      </c>
      <c r="J4" s="75" t="str">
        <f>IF(LEFT(Table19[[#This Row],[Bkk]],3)="BKK",'BKU 1'!$D$25&amp;". KECAMATAN - "&amp;'BKU 1'!$I$25,"")</f>
        <v>SDN 1 SIDODADI. KECAMATAN - NGANTANG</v>
      </c>
      <c r="K4" s="75" t="str">
        <f>IF(Table19[[#This Row],[Bkk]]="","",VLOOKUP(Table19[[#This Row],[Bkk]],Table13[],5,FALSE))</f>
        <v>Pembayaran Pekerja Minggu Ke 2</v>
      </c>
      <c r="L4" s="75" t="str">
        <f>IF(Table19[[#This Row],[Bkk]]="","",TEXT(VLOOKUP(Table19[[#This Row],[Bkk]],Table13[],6,FALSE)," #.##0,00 "))</f>
        <v xml:space="preserve"> 1,00 </v>
      </c>
      <c r="M4" s="75" t="str">
        <f>IF(Table19[[#This Row],[Bkk]]="","",VLOOKUP(Table19[[#This Row],[Bkk]],Table13[],7,FALSE))</f>
        <v/>
      </c>
      <c r="N4" s="75" t="str">
        <f>IF(Table19[[#This Row],[Bkk]]="","",TEXT(VLOOKUP(Table19[[#This Row],[Bkk]],Table13[],9,FALSE)," #.## "))</f>
        <v xml:space="preserve"> 5.350.000 </v>
      </c>
      <c r="O4" s="75" t="str">
        <f>IF(LEFT(Table19[[#This Row],[Untuk]],5)="Pembe",TEXT(VLOOKUP(Table19[[#This Row],[Bkk]],Table13[],9,FALSE)," #.## ")," ")</f>
        <v xml:space="preserve"> </v>
      </c>
      <c r="P4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07 September 2025</v>
      </c>
      <c r="Q4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4" s="75" t="str">
        <f>IFERROR(VLOOKUP(Table19[[#This Row],[Bkk]]&amp;TRIM(RIGHT(SUBSTITUTE(TRIM(Table1824[[#Headers],[Uraian a]])," ",REPT(" ",255)),255)),'Un nOTA'!$D$4:$J$1004,4,FALSE)," ")</f>
        <v xml:space="preserve"> </v>
      </c>
      <c r="S4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4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4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4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4" s="75" t="str">
        <f>IFERROR(VLOOKUP(Table19[[#This Row],[Bkk]]&amp;TRIM(RIGHT(SUBSTITUTE(TRIM(Table1824[[#Headers],[Uraian aa]])," ",REPT(" ",255)),255)),'Un nOTA'!$D$4:$J$1004,4,FALSE)," ")</f>
        <v xml:space="preserve"> </v>
      </c>
      <c r="X4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4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4" s="75" t="str">
        <f>IF(LEFT(Table19[[#This Row],[Untuk]],5)="Pemba",VLOOKUP(Table19[[#This Row],[Untuk]],'Rekap Gaji'!$D$12:$L$25,8,FALSE),"")</f>
        <v xml:space="preserve"> 13 September 2025</v>
      </c>
    </row>
    <row r="5" spans="1:26" ht="17.25" customHeight="1" x14ac:dyDescent="0.2">
      <c r="A5" s="75" t="str">
        <f>IFERROR((IF('Un nOTA'!P4&gt;0,VLOOKUP('Un nOTA'!P4,'Un nOTA'!$L$4:$M$1003,2,FALSE),"")),"")</f>
        <v>BKK.22</v>
      </c>
      <c r="B5" s="76">
        <f>IFERROR(VLOOKUP(Table19[[#This Row],[Bkk]],Table13[],10,FALSE)," ")</f>
        <v>5580000</v>
      </c>
      <c r="C5" s="75" t="str" cm="1">
        <f t="array" ref="C5">IFERROR(PROPER(Terbilang1(Table19[[#This Row],[Sejumlah]])&amp;" RUPIAH")," ")</f>
        <v>Lima Juta Lima Ratus Delapan Puluh Ribu Rupiah</v>
      </c>
      <c r="D5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3</v>
      </c>
      <c r="E5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14 September 2025  Sampai Dengan   20 September 2025</v>
      </c>
      <c r="F5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5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5" s="75" t="str">
        <f>IF(LEFT(D5,5)="Bayar",VLOOKUP(D5,'BKU 1'!$B$15:$E$16,4,FALSE),IF(LEFT(Table19[[#This Row],[Untuk]],10)="Pembayaran",'Absen (2)'!$C$12,""))</f>
        <v>KUSMAN H</v>
      </c>
      <c r="I5" s="75" t="str">
        <f>IF(LEFT(Table19[[#This Row],[Bkk]],3)="BKK",'BKU 1'!$I$25&amp;", "&amp;IFERROR(TEXT(VLOOKUP(Table19[[#This Row],[Bkk]],Table13[],3,FALSE),"dd mmmm yyyy")," ")," ")</f>
        <v>NGANTANG, 20 September 2025</v>
      </c>
      <c r="J5" s="75" t="str">
        <f>IF(LEFT(Table19[[#This Row],[Bkk]],3)="BKK",'BKU 1'!$D$25&amp;". KECAMATAN - "&amp;'BKU 1'!$I$25,"")</f>
        <v>SDN 1 SIDODADI. KECAMATAN - NGANTANG</v>
      </c>
      <c r="K5" s="75" t="str">
        <f>IF(Table19[[#This Row],[Bkk]]="","",VLOOKUP(Table19[[#This Row],[Bkk]],Table13[],5,FALSE))</f>
        <v>Pembayaran Pekerja Minggu Ke 3</v>
      </c>
      <c r="L5" s="75" t="str">
        <f>IF(Table19[[#This Row],[Bkk]]="","",TEXT(VLOOKUP(Table19[[#This Row],[Bkk]],Table13[],6,FALSE)," #.##0,00 "))</f>
        <v xml:space="preserve"> 1,00 </v>
      </c>
      <c r="M5" s="75" t="str">
        <f>IF(Table19[[#This Row],[Bkk]]="","",VLOOKUP(Table19[[#This Row],[Bkk]],Table13[],7,FALSE))</f>
        <v/>
      </c>
      <c r="N5" s="75" t="str">
        <f>IF(Table19[[#This Row],[Bkk]]="","",TEXT(VLOOKUP(Table19[[#This Row],[Bkk]],Table13[],9,FALSE)," #.## "))</f>
        <v xml:space="preserve"> 5.580.000 </v>
      </c>
      <c r="O5" s="75" t="str">
        <f>IF(LEFT(Table19[[#This Row],[Untuk]],5)="Pembe",TEXT(VLOOKUP(Table19[[#This Row],[Bkk]],Table13[],9,FALSE)," #.## ")," ")</f>
        <v xml:space="preserve"> </v>
      </c>
      <c r="P5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14 September 2025</v>
      </c>
      <c r="Q5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5" s="75" t="str">
        <f>IFERROR(VLOOKUP(Table19[[#This Row],[Bkk]]&amp;TRIM(RIGHT(SUBSTITUTE(TRIM(Table1824[[#Headers],[Uraian a]])," ",REPT(" ",255)),255)),'Un nOTA'!$D$4:$J$1004,4,FALSE)," ")</f>
        <v xml:space="preserve"> </v>
      </c>
      <c r="S5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5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5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5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5" s="75" t="str">
        <f>IFERROR(VLOOKUP(Table19[[#This Row],[Bkk]]&amp;TRIM(RIGHT(SUBSTITUTE(TRIM(Table1824[[#Headers],[Uraian aa]])," ",REPT(" ",255)),255)),'Un nOTA'!$D$4:$J$1004,4,FALSE)," ")</f>
        <v xml:space="preserve"> </v>
      </c>
      <c r="X5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5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5" s="75" t="str">
        <f>IF(LEFT(Table19[[#This Row],[Untuk]],5)="Pemba",VLOOKUP(Table19[[#This Row],[Untuk]],'Rekap Gaji'!$D$12:$L$25,8,FALSE),"")</f>
        <v xml:space="preserve"> 20 September 2025</v>
      </c>
    </row>
    <row r="6" spans="1:26" ht="17.25" customHeight="1" x14ac:dyDescent="0.2">
      <c r="A6" s="75" t="str">
        <f>IFERROR((IF('Un nOTA'!P5&gt;0,VLOOKUP('Un nOTA'!P5,'Un nOTA'!$L$4:$M$1003,2,FALSE),"")),"")</f>
        <v>BKK.29</v>
      </c>
      <c r="B6" s="76">
        <f>IFERROR(VLOOKUP(Table19[[#This Row],[Bkk]],Table13[],10,FALSE)," ")</f>
        <v>6035000</v>
      </c>
      <c r="C6" s="75" t="str" cm="1">
        <f t="array" ref="C6">IFERROR(PROPER(Terbilang1(Table19[[#This Row],[Sejumlah]])&amp;" RUPIAH")," ")</f>
        <v>Enam Juta Tiga Puluh Lima Ribu Rupiah</v>
      </c>
      <c r="D6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4</v>
      </c>
      <c r="E6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21 September 2025  Sampai Dengan   27 September 2025</v>
      </c>
      <c r="F6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6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6" s="75" t="str">
        <f>IF(LEFT(D6,5)="Bayar",VLOOKUP(D6,'BKU 1'!$B$15:$E$16,4,FALSE),IF(LEFT(Table19[[#This Row],[Untuk]],10)="Pembayaran",'Absen (2)'!$C$12,""))</f>
        <v>KUSMAN H</v>
      </c>
      <c r="I6" s="75" t="str">
        <f>IF(LEFT(Table19[[#This Row],[Bkk]],3)="BKK",'BKU 1'!$I$25&amp;", "&amp;IFERROR(TEXT(VLOOKUP(Table19[[#This Row],[Bkk]],Table13[],3,FALSE),"dd mmmm yyyy")," ")," ")</f>
        <v>NGANTANG, 27 September 2025</v>
      </c>
      <c r="J6" s="75" t="str">
        <f>IF(LEFT(Table19[[#This Row],[Bkk]],3)="BKK",'BKU 1'!$D$25&amp;". KECAMATAN - "&amp;'BKU 1'!$I$25,"")</f>
        <v>SDN 1 SIDODADI. KECAMATAN - NGANTANG</v>
      </c>
      <c r="K6" s="75" t="str">
        <f>IF(Table19[[#This Row],[Bkk]]="","",VLOOKUP(Table19[[#This Row],[Bkk]],Table13[],5,FALSE))</f>
        <v>Pembayaran Pekerja Minggu Ke 4</v>
      </c>
      <c r="L6" s="75" t="str">
        <f>IF(Table19[[#This Row],[Bkk]]="","",TEXT(VLOOKUP(Table19[[#This Row],[Bkk]],Table13[],6,FALSE)," #.##0,00 "))</f>
        <v xml:space="preserve"> 1,00 </v>
      </c>
      <c r="M6" s="75" t="str">
        <f>IF(Table19[[#This Row],[Bkk]]="","",VLOOKUP(Table19[[#This Row],[Bkk]],Table13[],7,FALSE))</f>
        <v/>
      </c>
      <c r="N6" s="75" t="str">
        <f>IF(Table19[[#This Row],[Bkk]]="","",TEXT(VLOOKUP(Table19[[#This Row],[Bkk]],Table13[],9,FALSE)," #.## "))</f>
        <v xml:space="preserve"> 6.035.000 </v>
      </c>
      <c r="O6" s="75" t="str">
        <f>IF(LEFT(Table19[[#This Row],[Untuk]],5)="Pembe",TEXT(VLOOKUP(Table19[[#This Row],[Bkk]],Table13[],9,FALSE)," #.## ")," ")</f>
        <v xml:space="preserve"> </v>
      </c>
      <c r="P6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21 September 2025</v>
      </c>
      <c r="Q6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6" s="75" t="str">
        <f>IFERROR(VLOOKUP(Table19[[#This Row],[Bkk]]&amp;TRIM(RIGHT(SUBSTITUTE(TRIM(Table1824[[#Headers],[Uraian a]])," ",REPT(" ",255)),255)),'Un nOTA'!$D$4:$J$1004,4,FALSE)," ")</f>
        <v xml:space="preserve"> </v>
      </c>
      <c r="S6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6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6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6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6" s="75" t="str">
        <f>IFERROR(VLOOKUP(Table19[[#This Row],[Bkk]]&amp;TRIM(RIGHT(SUBSTITUTE(TRIM(Table1824[[#Headers],[Uraian aa]])," ",REPT(" ",255)),255)),'Un nOTA'!$D$4:$J$1004,4,FALSE)," ")</f>
        <v xml:space="preserve"> </v>
      </c>
      <c r="X6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6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6" s="75" t="str">
        <f>IF(LEFT(Table19[[#This Row],[Untuk]],5)="Pemba",VLOOKUP(Table19[[#This Row],[Untuk]],'Rekap Gaji'!$D$12:$L$25,8,FALSE),"")</f>
        <v xml:space="preserve"> 27 September 2025</v>
      </c>
    </row>
    <row r="7" spans="1:26" ht="17.25" customHeight="1" x14ac:dyDescent="0.2">
      <c r="A7" s="75" t="str">
        <f>IFERROR((IF('Un nOTA'!P6&gt;0,VLOOKUP('Un nOTA'!P6,'Un nOTA'!$L$4:$M$1003,2,FALSE),"")),"")</f>
        <v>BKK.34</v>
      </c>
      <c r="B7" s="76">
        <f>IFERROR(VLOOKUP(Table19[[#This Row],[Bkk]],Table13[],10,FALSE)," ")</f>
        <v>5225000</v>
      </c>
      <c r="C7" s="75" t="str" cm="1">
        <f t="array" ref="C7">IFERROR(PROPER(Terbilang1(Table19[[#This Row],[Sejumlah]])&amp;" RUPIAH")," ")</f>
        <v>Lima Juta Dua Ratus Dua Puluh Lima Ribu Rupiah</v>
      </c>
      <c r="D7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5</v>
      </c>
      <c r="E7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28 September 2025  Sampai Dengan   04 Oktober 2025</v>
      </c>
      <c r="F7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7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7" s="75" t="str">
        <f>IF(LEFT(D7,5)="Bayar",VLOOKUP(D7,'BKU 1'!$B$15:$E$16,4,FALSE),IF(LEFT(Table19[[#This Row],[Untuk]],10)="Pembayaran",'Absen (2)'!$C$12,""))</f>
        <v>KUSMAN H</v>
      </c>
      <c r="I7" s="75" t="str">
        <f>IF(LEFT(Table19[[#This Row],[Bkk]],3)="BKK",'BKU 1'!$I$25&amp;", "&amp;IFERROR(TEXT(VLOOKUP(Table19[[#This Row],[Bkk]],Table13[],3,FALSE),"dd mmmm yyyy")," ")," ")</f>
        <v>NGANTANG, 04 Oktober 2025</v>
      </c>
      <c r="J7" s="75" t="str">
        <f>IF(LEFT(Table19[[#This Row],[Bkk]],3)="BKK",'BKU 1'!$D$25&amp;". KECAMATAN - "&amp;'BKU 1'!$I$25,"")</f>
        <v>SDN 1 SIDODADI. KECAMATAN - NGANTANG</v>
      </c>
      <c r="K7" s="75" t="str">
        <f>IF(Table19[[#This Row],[Bkk]]="","",VLOOKUP(Table19[[#This Row],[Bkk]],Table13[],5,FALSE))</f>
        <v>Pembayaran Pekerja Minggu Ke 5</v>
      </c>
      <c r="L7" s="75" t="str">
        <f>IF(Table19[[#This Row],[Bkk]]="","",TEXT(VLOOKUP(Table19[[#This Row],[Bkk]],Table13[],6,FALSE)," #.##0,00 "))</f>
        <v xml:space="preserve"> 1,00 </v>
      </c>
      <c r="M7" s="75" t="str">
        <f>IF(Table19[[#This Row],[Bkk]]="","",VLOOKUP(Table19[[#This Row],[Bkk]],Table13[],7,FALSE))</f>
        <v/>
      </c>
      <c r="N7" s="75" t="str">
        <f>IF(Table19[[#This Row],[Bkk]]="","",TEXT(VLOOKUP(Table19[[#This Row],[Bkk]],Table13[],9,FALSE)," #.## "))</f>
        <v xml:space="preserve"> 5.225.000 </v>
      </c>
      <c r="O7" s="75" t="str">
        <f>IF(LEFT(Table19[[#This Row],[Untuk]],5)="Pembe",TEXT(VLOOKUP(Table19[[#This Row],[Bkk]],Table13[],9,FALSE)," #.## ")," ")</f>
        <v xml:space="preserve"> </v>
      </c>
      <c r="P7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28 September 2025</v>
      </c>
      <c r="Q7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7" s="75" t="str">
        <f>IFERROR(VLOOKUP(Table19[[#This Row],[Bkk]]&amp;TRIM(RIGHT(SUBSTITUTE(TRIM(Table1824[[#Headers],[Uraian a]])," ",REPT(" ",255)),255)),'Un nOTA'!$D$4:$J$1004,4,FALSE)," ")</f>
        <v xml:space="preserve"> </v>
      </c>
      <c r="S7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7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7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7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7" s="75" t="str">
        <f>IFERROR(VLOOKUP(Table19[[#This Row],[Bkk]]&amp;TRIM(RIGHT(SUBSTITUTE(TRIM(Table1824[[#Headers],[Uraian aa]])," ",REPT(" ",255)),255)),'Un nOTA'!$D$4:$J$1004,4,FALSE)," ")</f>
        <v xml:space="preserve"> </v>
      </c>
      <c r="X7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7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7" s="75" t="str">
        <f>IF(LEFT(Table19[[#This Row],[Untuk]],5)="Pemba",VLOOKUP(Table19[[#This Row],[Untuk]],'Rekap Gaji'!$D$12:$L$25,8,FALSE),"")</f>
        <v xml:space="preserve"> 04 Oktober 2025</v>
      </c>
    </row>
    <row r="8" spans="1:26" ht="17.25" customHeight="1" x14ac:dyDescent="0.2">
      <c r="A8" s="75" t="str">
        <f>IFERROR((IF('Un nOTA'!P7&gt;0,VLOOKUP('Un nOTA'!P7,'Un nOTA'!$L$4:$M$1003,2,FALSE),"")),"")</f>
        <v>BKK.41</v>
      </c>
      <c r="B8" s="76">
        <f>IFERROR(VLOOKUP(Table19[[#This Row],[Bkk]],Table13[],10,FALSE)," ")</f>
        <v>5350000</v>
      </c>
      <c r="C8" s="75" t="str" cm="1">
        <f t="array" ref="C8">IFERROR(PROPER(Terbilang1(Table19[[#This Row],[Sejumlah]])&amp;" RUPIAH")," ")</f>
        <v>Lima Juta Tiga Ratus Lima Puluh Ribu Rupiah</v>
      </c>
      <c r="D8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6</v>
      </c>
      <c r="E8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05 Oktober 2025  Sampai Dengan   11 Oktober 2025</v>
      </c>
      <c r="F8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8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8" s="75" t="str">
        <f>IF(LEFT(D8,5)="Bayar",VLOOKUP(D8,'BKU 1'!$B$15:$E$16,4,FALSE),IF(LEFT(Table19[[#This Row],[Untuk]],10)="Pembayaran",'Absen (2)'!$C$12,""))</f>
        <v>KUSMAN H</v>
      </c>
      <c r="I8" s="75" t="str">
        <f>IF(LEFT(Table19[[#This Row],[Bkk]],3)="BKK",'BKU 1'!$I$25&amp;", "&amp;IFERROR(TEXT(VLOOKUP(Table19[[#This Row],[Bkk]],Table13[],3,FALSE),"dd mmmm yyyy")," ")," ")</f>
        <v>NGANTANG, 11 Oktober 2025</v>
      </c>
      <c r="J8" s="75" t="str">
        <f>IF(LEFT(Table19[[#This Row],[Bkk]],3)="BKK",'BKU 1'!$D$25&amp;". KECAMATAN - "&amp;'BKU 1'!$I$25,"")</f>
        <v>SDN 1 SIDODADI. KECAMATAN - NGANTANG</v>
      </c>
      <c r="K8" s="75" t="str">
        <f>IF(Table19[[#This Row],[Bkk]]="","",VLOOKUP(Table19[[#This Row],[Bkk]],Table13[],5,FALSE))</f>
        <v>Pembayaran Pekerja Minggu Ke 6</v>
      </c>
      <c r="L8" s="75" t="str">
        <f>IF(Table19[[#This Row],[Bkk]]="","",TEXT(VLOOKUP(Table19[[#This Row],[Bkk]],Table13[],6,FALSE)," #.##0,00 "))</f>
        <v xml:space="preserve"> 1,00 </v>
      </c>
      <c r="M8" s="75" t="str">
        <f>IF(Table19[[#This Row],[Bkk]]="","",VLOOKUP(Table19[[#This Row],[Bkk]],Table13[],7,FALSE))</f>
        <v/>
      </c>
      <c r="N8" s="75" t="str">
        <f>IF(Table19[[#This Row],[Bkk]]="","",TEXT(VLOOKUP(Table19[[#This Row],[Bkk]],Table13[],9,FALSE)," #.## "))</f>
        <v xml:space="preserve"> 5.350.000 </v>
      </c>
      <c r="O8" s="75" t="str">
        <f>IF(LEFT(Table19[[#This Row],[Untuk]],5)="Pembe",TEXT(VLOOKUP(Table19[[#This Row],[Bkk]],Table13[],9,FALSE)," #.## ")," ")</f>
        <v xml:space="preserve"> </v>
      </c>
      <c r="P8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05 Oktober 2025</v>
      </c>
      <c r="Q8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8" s="75" t="str">
        <f>IFERROR(VLOOKUP(Table19[[#This Row],[Bkk]]&amp;TRIM(RIGHT(SUBSTITUTE(TRIM(Table1824[[#Headers],[Uraian a]])," ",REPT(" ",255)),255)),'Un nOTA'!$D$4:$J$1004,4,FALSE)," ")</f>
        <v xml:space="preserve"> </v>
      </c>
      <c r="S8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8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8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8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8" s="75" t="str">
        <f>IFERROR(VLOOKUP(Table19[[#This Row],[Bkk]]&amp;TRIM(RIGHT(SUBSTITUTE(TRIM(Table1824[[#Headers],[Uraian aa]])," ",REPT(" ",255)),255)),'Un nOTA'!$D$4:$J$1004,4,FALSE)," ")</f>
        <v xml:space="preserve"> </v>
      </c>
      <c r="X8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8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8" s="75" t="str">
        <f>IF(LEFT(Table19[[#This Row],[Untuk]],5)="Pemba",VLOOKUP(Table19[[#This Row],[Untuk]],'Rekap Gaji'!$D$12:$L$25,8,FALSE),"")</f>
        <v xml:space="preserve"> 11 Oktober 2025</v>
      </c>
    </row>
    <row r="9" spans="1:26" ht="17.25" customHeight="1" x14ac:dyDescent="0.2">
      <c r="A9" s="75" t="str">
        <f>IFERROR((IF('Un nOTA'!P8&gt;0,VLOOKUP('Un nOTA'!P8,'Un nOTA'!$L$4:$M$1003,2,FALSE),"")),"")</f>
        <v>BKK.48</v>
      </c>
      <c r="B9" s="76">
        <f>IFERROR(VLOOKUP(Table19[[#This Row],[Bkk]],Table13[],10,FALSE)," ")</f>
        <v>5110000</v>
      </c>
      <c r="C9" s="75" t="str" cm="1">
        <f t="array" ref="C9">IFERROR(PROPER(Terbilang1(Table19[[#This Row],[Sejumlah]])&amp;" RUPIAH")," ")</f>
        <v>Lima Juta Seratus Sepuluh Ribu Rupiah</v>
      </c>
      <c r="D9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7</v>
      </c>
      <c r="E9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12 Oktober 2025  Sampai Dengan   18 Oktober 2025</v>
      </c>
      <c r="F9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9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9" s="75" t="str">
        <f>IF(LEFT(D9,5)="Bayar",VLOOKUP(D9,'BKU 1'!$B$15:$E$16,4,FALSE),IF(LEFT(Table19[[#This Row],[Untuk]],10)="Pembayaran",'Absen (2)'!$C$12,""))</f>
        <v>KUSMAN H</v>
      </c>
      <c r="I9" s="75" t="str">
        <f>IF(LEFT(Table19[[#This Row],[Bkk]],3)="BKK",'BKU 1'!$I$25&amp;", "&amp;IFERROR(TEXT(VLOOKUP(Table19[[#This Row],[Bkk]],Table13[],3,FALSE),"dd mmmm yyyy")," ")," ")</f>
        <v>NGANTANG, 18 Oktober 2025</v>
      </c>
      <c r="J9" s="75" t="str">
        <f>IF(LEFT(Table19[[#This Row],[Bkk]],3)="BKK",'BKU 1'!$D$25&amp;". KECAMATAN - "&amp;'BKU 1'!$I$25,"")</f>
        <v>SDN 1 SIDODADI. KECAMATAN - NGANTANG</v>
      </c>
      <c r="K9" s="75" t="str">
        <f>IF(Table19[[#This Row],[Bkk]]="","",VLOOKUP(Table19[[#This Row],[Bkk]],Table13[],5,FALSE))</f>
        <v>Pembayaran Pekerja Minggu Ke 7</v>
      </c>
      <c r="L9" s="75" t="str">
        <f>IF(Table19[[#This Row],[Bkk]]="","",TEXT(VLOOKUP(Table19[[#This Row],[Bkk]],Table13[],6,FALSE)," #.##0,00 "))</f>
        <v xml:space="preserve"> 1,00 </v>
      </c>
      <c r="M9" s="75" t="str">
        <f>IF(Table19[[#This Row],[Bkk]]="","",VLOOKUP(Table19[[#This Row],[Bkk]],Table13[],7,FALSE))</f>
        <v/>
      </c>
      <c r="N9" s="75" t="str">
        <f>IF(Table19[[#This Row],[Bkk]]="","",TEXT(VLOOKUP(Table19[[#This Row],[Bkk]],Table13[],9,FALSE)," #.## "))</f>
        <v xml:space="preserve"> 5.110.000 </v>
      </c>
      <c r="O9" s="75" t="str">
        <f>IF(LEFT(Table19[[#This Row],[Untuk]],5)="Pembe",TEXT(VLOOKUP(Table19[[#This Row],[Bkk]],Table13[],9,FALSE)," #.## ")," ")</f>
        <v xml:space="preserve"> </v>
      </c>
      <c r="P9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12 Oktober 2025</v>
      </c>
      <c r="Q9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9" s="75" t="str">
        <f>IFERROR(VLOOKUP(Table19[[#This Row],[Bkk]]&amp;TRIM(RIGHT(SUBSTITUTE(TRIM(Table1824[[#Headers],[Uraian a]])," ",REPT(" ",255)),255)),'Un nOTA'!$D$4:$J$1004,4,FALSE)," ")</f>
        <v xml:space="preserve"> </v>
      </c>
      <c r="S9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9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9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9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9" s="75" t="str">
        <f>IFERROR(VLOOKUP(Table19[[#This Row],[Bkk]]&amp;TRIM(RIGHT(SUBSTITUTE(TRIM(Table1824[[#Headers],[Uraian aa]])," ",REPT(" ",255)),255)),'Un nOTA'!$D$4:$J$1004,4,FALSE)," ")</f>
        <v xml:space="preserve"> </v>
      </c>
      <c r="X9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9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9" s="75" t="str">
        <f>IF(LEFT(Table19[[#This Row],[Untuk]],5)="Pemba",VLOOKUP(Table19[[#This Row],[Untuk]],'Rekap Gaji'!$D$12:$L$25,8,FALSE),"")</f>
        <v xml:space="preserve"> 18 Oktober 2025</v>
      </c>
    </row>
    <row r="10" spans="1:26" ht="17.25" customHeight="1" x14ac:dyDescent="0.2">
      <c r="A10" s="75" t="str">
        <f>IFERROR((IF('Un nOTA'!P9&gt;0,VLOOKUP('Un nOTA'!P9,'Un nOTA'!$L$4:$M$1003,2,FALSE),"")),"")</f>
        <v>BKK.55</v>
      </c>
      <c r="B10" s="76">
        <f>IFERROR(VLOOKUP(Table19[[#This Row],[Bkk]],Table13[],10,FALSE)," ")</f>
        <v>4265000</v>
      </c>
      <c r="C10" s="75" t="str" cm="1">
        <f t="array" ref="C10">IFERROR(PROPER(Terbilang1(Table19[[#This Row],[Sejumlah]])&amp;" RUPIAH")," ")</f>
        <v>Empat Juta Dua Ratus Enam Puluh Lima Ribu Rupiah</v>
      </c>
      <c r="D10" s="75" t="str">
        <f>IF(LEFT(Table19[[#This Row],[Column3]],5)="Pemba",Table19[[#This Row],[Column3]],IF(LEFT(Table19[[#This Row],[Column3]],5)="Bayar",Table19[[#This Row],[Column3]],IF(Table19[[#This Row],[Column3]]="","","Pembelian Material Alam")))</f>
        <v>Pembayaran Pekerja Minggu Ke 8</v>
      </c>
      <c r="E10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 xml:space="preserve"> 19 Oktober 2025  Sampai Dengan   25 Oktober 2025</v>
      </c>
      <c r="F10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0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0" s="75" t="str">
        <f>IF(LEFT(D10,5)="Bayar",VLOOKUP(D10,'BKU 1'!$B$15:$E$16,4,FALSE),IF(LEFT(Table19[[#This Row],[Untuk]],10)="Pembayaran",'Absen (2)'!$C$12,""))</f>
        <v>KUSMAN H</v>
      </c>
      <c r="I10" s="75" t="str">
        <f>IF(LEFT(Table19[[#This Row],[Bkk]],3)="BKK",'BKU 1'!$I$25&amp;", "&amp;IFERROR(TEXT(VLOOKUP(Table19[[#This Row],[Bkk]],Table13[],3,FALSE),"dd mmmm yyyy")," ")," ")</f>
        <v>NGANTANG, 25 Oktober 2025</v>
      </c>
      <c r="J10" s="75" t="str">
        <f>IF(LEFT(Table19[[#This Row],[Bkk]],3)="BKK",'BKU 1'!$D$25&amp;". KECAMATAN - "&amp;'BKU 1'!$I$25,"")</f>
        <v>SDN 1 SIDODADI. KECAMATAN - NGANTANG</v>
      </c>
      <c r="K10" s="75" t="str">
        <f>IF(Table19[[#This Row],[Bkk]]="","",VLOOKUP(Table19[[#This Row],[Bkk]],Table13[],5,FALSE))</f>
        <v>Pembayaran Pekerja Minggu Ke 8</v>
      </c>
      <c r="L10" s="75" t="str">
        <f>IF(Table19[[#This Row],[Bkk]]="","",TEXT(VLOOKUP(Table19[[#This Row],[Bkk]],Table13[],6,FALSE)," #.##0,00 "))</f>
        <v xml:space="preserve"> 1,00 </v>
      </c>
      <c r="M10" s="75" t="str">
        <f>IF(Table19[[#This Row],[Bkk]]="","",VLOOKUP(Table19[[#This Row],[Bkk]],Table13[],7,FALSE))</f>
        <v/>
      </c>
      <c r="N10" s="75" t="str">
        <f>IF(Table19[[#This Row],[Bkk]]="","",TEXT(VLOOKUP(Table19[[#This Row],[Bkk]],Table13[],9,FALSE)," #.## "))</f>
        <v xml:space="preserve"> 4.265.000 </v>
      </c>
      <c r="O10" s="75" t="str">
        <f>IF(LEFT(Table19[[#This Row],[Untuk]],5)="Pembe",TEXT(VLOOKUP(Table19[[#This Row],[Bkk]],Table13[],9,FALSE)," #.## ")," ")</f>
        <v xml:space="preserve"> </v>
      </c>
      <c r="P10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19 Oktober 2025</v>
      </c>
      <c r="Q10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0" s="75" t="str">
        <f>IFERROR(VLOOKUP(Table19[[#This Row],[Bkk]]&amp;TRIM(RIGHT(SUBSTITUTE(TRIM(Table1824[[#Headers],[Uraian a]])," ",REPT(" ",255)),255)),'Un nOTA'!$D$4:$J$1004,4,FALSE)," ")</f>
        <v xml:space="preserve"> </v>
      </c>
      <c r="S10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0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0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Sampai Dengan </v>
      </c>
      <c r="V10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0" s="75" t="str">
        <f>IFERROR(VLOOKUP(Table19[[#This Row],[Bkk]]&amp;TRIM(RIGHT(SUBSTITUTE(TRIM(Table1824[[#Headers],[Uraian aa]])," ",REPT(" ",255)),255)),'Un nOTA'!$D$4:$J$1004,4,FALSE)," ")</f>
        <v xml:space="preserve"> </v>
      </c>
      <c r="X10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0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0" s="75" t="str">
        <f>IF(LEFT(Table19[[#This Row],[Untuk]],5)="Pemba",VLOOKUP(Table19[[#This Row],[Untuk]],'Rekap Gaji'!$D$12:$L$25,8,FALSE),"")</f>
        <v xml:space="preserve"> 25 Oktober 2025</v>
      </c>
    </row>
    <row r="11" spans="1:26" ht="17.25" customHeight="1" x14ac:dyDescent="0.2">
      <c r="A11" s="75" t="str">
        <f>IFERROR((IF('Un nOTA'!P10&gt;0,VLOOKUP('Un nOTA'!P10,'Un nOTA'!$L$4:$M$1003,2,FALSE),"")),"")</f>
        <v>BKK.57</v>
      </c>
      <c r="B11" s="76">
        <f>IFERROR(VLOOKUP(Table19[[#This Row],[Bkk]],Table13[],10,FALSE)," ")</f>
        <v>3404630</v>
      </c>
      <c r="C11" s="75" t="str" cm="1">
        <f t="array" ref="C11">IFERROR(PROPER(Terbilang1(Table19[[#This Row],[Sejumlah]])&amp;" RUPIAH")," ")</f>
        <v>Tiga Juta Empat Ratus Empat Ribu Enam Ratus Tiga Puluh Rupiah</v>
      </c>
      <c r="D11" s="75" t="str">
        <f>IF(LEFT(Table19[[#This Row],[Column3]],5)="Pemba",Table19[[#This Row],[Column3]],IF(LEFT(Table19[[#This Row],[Column3]],5)="Bayar",Table19[[#This Row],[Column3]],IF(Table19[[#This Row],[Column3]]="","","Pembelian Material Alam")))</f>
        <v>Bayar Dana Pengawasan</v>
      </c>
      <c r="E11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>PEMBANGUNAN TOILET BESERTA SANITASINYA</v>
      </c>
      <c r="F11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1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1" s="75" t="str">
        <f>IF(LEFT(D11,5)="Bayar",VLOOKUP(D11,'BKU 1'!$B$15:$E$16,4,FALSE),IF(LEFT(Table19[[#This Row],[Untuk]],10)="Pembayaran",'Absen (2)'!$C$12,""))</f>
        <v>MUSYYAYIN, ST.</v>
      </c>
      <c r="I11" s="75" t="str">
        <f>IF(LEFT(Table19[[#This Row],[Bkk]],3)="BKK",'BKU 1'!$I$25&amp;", "&amp;IFERROR(TEXT(VLOOKUP(Table19[[#This Row],[Bkk]],Table13[],3,FALSE),"dd mmmm yyyy")," ")," ")</f>
        <v>NGANTANG, 31 Oktober 2025</v>
      </c>
      <c r="J11" s="75" t="str">
        <f>IF(LEFT(Table19[[#This Row],[Bkk]],3)="BKK",'BKU 1'!$D$25&amp;". KECAMATAN - "&amp;'BKU 1'!$I$25,"")</f>
        <v>SDN 1 SIDODADI. KECAMATAN - NGANTANG</v>
      </c>
      <c r="K11" s="75" t="str">
        <f>IF(Table19[[#This Row],[Bkk]]="","",VLOOKUP(Table19[[#This Row],[Bkk]],Table13[],5,FALSE))</f>
        <v>Bayar Dana Pengawasan</v>
      </c>
      <c r="L11" s="75" t="str">
        <f>IF(Table19[[#This Row],[Bkk]]="","",TEXT(VLOOKUP(Table19[[#This Row],[Bkk]],Table13[],6,FALSE)," #.##0,00 "))</f>
        <v xml:space="preserve"> 1,00 </v>
      </c>
      <c r="M11" s="75" t="str">
        <f>IF(Table19[[#This Row],[Bkk]]="","",VLOOKUP(Table19[[#This Row],[Bkk]],Table13[],7,FALSE))</f>
        <v/>
      </c>
      <c r="N11" s="75" t="str">
        <f>IF(Table19[[#This Row],[Bkk]]="","",TEXT(VLOOKUP(Table19[[#This Row],[Bkk]],Table13[],9,FALSE)," #.## "))</f>
        <v xml:space="preserve"> 3.404.630 </v>
      </c>
      <c r="O11" s="75" t="str">
        <f>IF(LEFT(Table19[[#This Row],[Untuk]],5)="Pembe",TEXT(VLOOKUP(Table19[[#This Row],[Bkk]],Table13[],9,FALSE)," #.## ")," ")</f>
        <v xml:space="preserve"> </v>
      </c>
      <c r="P11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1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1" s="75" t="str">
        <f>IFERROR(VLOOKUP(Table19[[#This Row],[Bkk]]&amp;TRIM(RIGHT(SUBSTITUTE(TRIM(Table1824[[#Headers],[Uraian a]])," ",REPT(" ",255)),255)),'Un nOTA'!$D$4:$J$1004,4,FALSE)," ")</f>
        <v xml:space="preserve"> </v>
      </c>
      <c r="S11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1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1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1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1" s="75" t="str">
        <f>IFERROR(VLOOKUP(Table19[[#This Row],[Bkk]]&amp;TRIM(RIGHT(SUBSTITUTE(TRIM(Table1824[[#Headers],[Uraian aa]])," ",REPT(" ",255)),255)),'Un nOTA'!$D$4:$J$1004,4,FALSE)," ")</f>
        <v xml:space="preserve"> </v>
      </c>
      <c r="X11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1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1" s="75" t="str">
        <f>IF(LEFT(Table19[[#This Row],[Untuk]],5)="Pemba",VLOOKUP(Table19[[#This Row],[Untuk]],'Rekap Gaji'!$D$12:$L$25,8,FALSE),"")</f>
        <v/>
      </c>
    </row>
    <row r="12" spans="1:26" ht="17.25" hidden="1" customHeight="1" x14ac:dyDescent="0.2">
      <c r="A12" s="75" t="str">
        <f>IFERROR((IF('Un nOTA'!P11&gt;0,VLOOKUP('Un nOTA'!P11,'Un nOTA'!$L$4:$M$1003,2,FALSE),"")),"")</f>
        <v/>
      </c>
      <c r="B12" s="76" t="str">
        <f>IFERROR(VLOOKUP(Table19[[#This Row],[Bkk]],Table13[],10,FALSE)," ")</f>
        <v/>
      </c>
      <c r="C12" s="75" t="str" cm="1">
        <f t="array" ref="C12">IFERROR(PROPER(Terbilang1(Table19[[#This Row],[Sejumlah]])&amp;" RUPIAH")," ")</f>
        <v xml:space="preserve"> </v>
      </c>
      <c r="D12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2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2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2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2" s="75" t="str">
        <f>IF(LEFT(D12,5)="Bayar",VLOOKUP(D12,'BKU 1'!$B$15:$E$16,4,FALSE),IF(LEFT(Table19[[#This Row],[Untuk]],10)="Pembayaran",'Absen (2)'!$C$12,""))</f>
        <v/>
      </c>
      <c r="I12" s="75" t="str">
        <f>IF(LEFT(Table19[[#This Row],[Bkk]],3)="BKK",'BKU 1'!$I$25&amp;", "&amp;IFERROR(TEXT(VLOOKUP(Table19[[#This Row],[Bkk]],Table13[],3,FALSE),"dd mmmm yyyy")," ")," ")</f>
        <v xml:space="preserve"> </v>
      </c>
      <c r="J12" s="75" t="str">
        <f>IF(LEFT(Table19[[#This Row],[Bkk]],3)="BKK",'BKU 1'!$D$25&amp;". KECAMATAN - "&amp;'BKU 1'!$I$25,"")</f>
        <v/>
      </c>
      <c r="K12" s="75" t="str">
        <f>IF(Table19[[#This Row],[Bkk]]="","",VLOOKUP(Table19[[#This Row],[Bkk]],Table13[],5,FALSE))</f>
        <v/>
      </c>
      <c r="L12" s="75" t="str">
        <f>IF(Table19[[#This Row],[Bkk]]="","",TEXT(VLOOKUP(Table19[[#This Row],[Bkk]],Table13[],6,FALSE)," #.##0,00 "))</f>
        <v/>
      </c>
      <c r="M12" s="75" t="str">
        <f>IF(Table19[[#This Row],[Bkk]]="","",VLOOKUP(Table19[[#This Row],[Bkk]],Table13[],7,FALSE))</f>
        <v/>
      </c>
      <c r="N12" s="75" t="str">
        <f>IF(Table19[[#This Row],[Bkk]]="","",TEXT(VLOOKUP(Table19[[#This Row],[Bkk]],Table13[],9,FALSE)," #.## "))</f>
        <v/>
      </c>
      <c r="O12" s="75" t="str">
        <f>IF(LEFT(Table19[[#This Row],[Untuk]],5)="Pembe",TEXT(VLOOKUP(Table19[[#This Row],[Bkk]],Table13[],9,FALSE)," #.## ")," ")</f>
        <v xml:space="preserve"> </v>
      </c>
      <c r="P12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2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2" s="75" t="str">
        <f>IFERROR(VLOOKUP(Table19[[#This Row],[Bkk]]&amp;TRIM(RIGHT(SUBSTITUTE(TRIM(Table1824[[#Headers],[Uraian a]])," ",REPT(" ",255)),255)),'Un nOTA'!$D$4:$J$1004,4,FALSE)," ")</f>
        <v xml:space="preserve"> </v>
      </c>
      <c r="S12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2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2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2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2" s="75" t="str">
        <f>IFERROR(VLOOKUP(Table19[[#This Row],[Bkk]]&amp;TRIM(RIGHT(SUBSTITUTE(TRIM(Table1824[[#Headers],[Uraian aa]])," ",REPT(" ",255)),255)),'Un nOTA'!$D$4:$J$1004,4,FALSE)," ")</f>
        <v xml:space="preserve"> </v>
      </c>
      <c r="X12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2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2" s="75" t="str">
        <f>IF(LEFT(Table19[[#This Row],[Untuk]],5)="Pemba",VLOOKUP(Table19[[#This Row],[Untuk]],'Rekap Gaji'!$D$12:$L$25,8,FALSE),"")</f>
        <v/>
      </c>
    </row>
    <row r="13" spans="1:26" ht="18.75" hidden="1" customHeight="1" x14ac:dyDescent="0.2">
      <c r="A13" s="75" t="str">
        <f>IFERROR((IF('Un nOTA'!P12&gt;0,VLOOKUP('Un nOTA'!P12,'Un nOTA'!$L$4:$M$1003,2,FALSE),"")),"")</f>
        <v/>
      </c>
      <c r="B13" s="76" t="str">
        <f>IFERROR(VLOOKUP(Table19[[#This Row],[Bkk]],Table13[],10,FALSE)," ")</f>
        <v/>
      </c>
      <c r="C13" s="75" t="str" cm="1">
        <f t="array" ref="C13">IFERROR(PROPER(Terbilang1(Table19[[#This Row],[Sejumlah]])&amp;" RUPIAH")," ")</f>
        <v xml:space="preserve"> </v>
      </c>
      <c r="D13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3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3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3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3" s="75" t="str">
        <f>IF(LEFT(D13,5)="Bayar",VLOOKUP(D13,'BKU 1'!$B$15:$E$16,4,FALSE),IF(LEFT(Table19[[#This Row],[Untuk]],10)="Pembayaran",'Absen (2)'!$C$12,""))</f>
        <v/>
      </c>
      <c r="I13" s="75" t="str">
        <f>IF(LEFT(Table19[[#This Row],[Bkk]],3)="BKK",'BKU 1'!$I$25&amp;", "&amp;IFERROR(TEXT(VLOOKUP(Table19[[#This Row],[Bkk]],Table13[],3,FALSE),"dd mmmm yyyy")," ")," ")</f>
        <v xml:space="preserve"> </v>
      </c>
      <c r="J13" s="75" t="str">
        <f>IF(LEFT(Table19[[#This Row],[Bkk]],3)="BKK",'BKU 1'!$D$25&amp;". KECAMATAN - "&amp;'BKU 1'!$I$25,"")</f>
        <v/>
      </c>
      <c r="K13" s="75" t="str">
        <f>IF(Table19[[#This Row],[Bkk]]="","",VLOOKUP(Table19[[#This Row],[Bkk]],Table13[],5,FALSE))</f>
        <v/>
      </c>
      <c r="L13" s="75" t="str">
        <f>IF(Table19[[#This Row],[Bkk]]="","",TEXT(VLOOKUP(Table19[[#This Row],[Bkk]],Table13[],6,FALSE)," #.##0,00 "))</f>
        <v/>
      </c>
      <c r="M13" s="75" t="str">
        <f>IF(Table19[[#This Row],[Bkk]]="","",VLOOKUP(Table19[[#This Row],[Bkk]],Table13[],7,FALSE))</f>
        <v/>
      </c>
      <c r="N13" s="75" t="str">
        <f>IF(Table19[[#This Row],[Bkk]]="","",TEXT(VLOOKUP(Table19[[#This Row],[Bkk]],Table13[],9,FALSE)," #.## "))</f>
        <v/>
      </c>
      <c r="O13" s="75" t="str">
        <f>IF(LEFT(Table19[[#This Row],[Untuk]],5)="Pembe",TEXT(VLOOKUP(Table19[[#This Row],[Bkk]],Table13[],9,FALSE)," #.## ")," ")</f>
        <v xml:space="preserve"> </v>
      </c>
      <c r="P13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3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3" s="75" t="str">
        <f>IFERROR(VLOOKUP(Table19[[#This Row],[Bkk]]&amp;TRIM(RIGHT(SUBSTITUTE(TRIM(Table1824[[#Headers],[Uraian a]])," ",REPT(" ",255)),255)),'Un nOTA'!$D$4:$J$1004,4,FALSE)," ")</f>
        <v xml:space="preserve"> </v>
      </c>
      <c r="S13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3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3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3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3" s="75" t="str">
        <f>IFERROR(VLOOKUP(Table19[[#This Row],[Bkk]]&amp;TRIM(RIGHT(SUBSTITUTE(TRIM(Table1824[[#Headers],[Uraian aa]])," ",REPT(" ",255)),255)),'Un nOTA'!$D$4:$J$1004,4,FALSE)," ")</f>
        <v xml:space="preserve"> </v>
      </c>
      <c r="X13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3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3" s="75" t="str">
        <f>IF(LEFT(Table19[[#This Row],[Untuk]],5)="Pemba",VLOOKUP(Table19[[#This Row],[Untuk]],'Rekap Gaji'!$D$12:$L$25,8,FALSE),"")</f>
        <v/>
      </c>
    </row>
    <row r="14" spans="1:26" ht="18.75" hidden="1" customHeight="1" x14ac:dyDescent="0.2">
      <c r="A14" s="75" t="str">
        <f>IFERROR((IF('Un nOTA'!P13&gt;0,VLOOKUP('Un nOTA'!P13,'Un nOTA'!$L$4:$M$1003,2,FALSE),"")),"")</f>
        <v/>
      </c>
      <c r="B14" s="76" t="str">
        <f>IFERROR(VLOOKUP(Table19[[#This Row],[Bkk]],Table13[],10,FALSE)," ")</f>
        <v/>
      </c>
      <c r="C14" s="75" t="str">
        <f t="array" ref="C14">IFERROR(PROPER(Terbilang1(Table19[[#This Row],[Sejumlah]])&amp;" RUPIAH")," ")</f>
        <v xml:space="preserve"> </v>
      </c>
      <c r="D14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4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4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4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4" s="75" t="str">
        <f>IF(LEFT(D14,5)="Bayar",VLOOKUP(D14,'BKU 1'!$B$15:$E$16,4,FALSE),IF(LEFT(Table19[[#This Row],[Untuk]],10)="Pembayaran",'Absen (2)'!$C$12,""))</f>
        <v/>
      </c>
      <c r="I14" s="75" t="str">
        <f>IF(LEFT(Table19[[#This Row],[Bkk]],3)="BKK",'BKU 1'!$I$25&amp;", "&amp;IFERROR(TEXT(VLOOKUP(Table19[[#This Row],[Bkk]],Table13[],3,FALSE),"dd mmmm yyyy")," ")," ")</f>
        <v xml:space="preserve"> </v>
      </c>
      <c r="J14" s="75" t="str">
        <f>IF(LEFT(Table19[[#This Row],[Bkk]],3)="BKK",'BKU 1'!$D$25&amp;". KECAMATAN - "&amp;'BKU 1'!$I$25,"")</f>
        <v/>
      </c>
      <c r="K14" s="75" t="str">
        <f>IF(Table19[[#This Row],[Bkk]]="","",VLOOKUP(Table19[[#This Row],[Bkk]],Table13[],5,FALSE))</f>
        <v/>
      </c>
      <c r="L14" s="75" t="str">
        <f>IF(Table19[[#This Row],[Bkk]]="","",TEXT(VLOOKUP(Table19[[#This Row],[Bkk]],Table13[],6,FALSE)," #.##0,00 "))</f>
        <v/>
      </c>
      <c r="M14" s="75" t="str">
        <f>IF(Table19[[#This Row],[Bkk]]="","",VLOOKUP(Table19[[#This Row],[Bkk]],Table13[],7,FALSE))</f>
        <v/>
      </c>
      <c r="N14" s="75" t="str">
        <f>IF(Table19[[#This Row],[Bkk]]="","",TEXT(VLOOKUP(Table19[[#This Row],[Bkk]],Table13[],9,FALSE)," #.## "))</f>
        <v/>
      </c>
      <c r="O14" s="75" t="str">
        <f>IF(LEFT(Table19[[#This Row],[Untuk]],5)="Pembe",TEXT(VLOOKUP(Table19[[#This Row],[Bkk]],Table13[],9,FALSE)," #.## ")," ")</f>
        <v xml:space="preserve"> </v>
      </c>
      <c r="P14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4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4" s="75" t="str">
        <f>IFERROR(VLOOKUP(Table19[[#This Row],[Bkk]]&amp;TRIM(RIGHT(SUBSTITUTE(TRIM(Table1824[[#Headers],[Uraian a]])," ",REPT(" ",255)),255)),'Un nOTA'!$D$4:$J$1004,4,FALSE)," ")</f>
        <v xml:space="preserve"> </v>
      </c>
      <c r="S14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4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4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4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4" s="75" t="str">
        <f>IFERROR(VLOOKUP(Table19[[#This Row],[Bkk]]&amp;TRIM(RIGHT(SUBSTITUTE(TRIM(Table1824[[#Headers],[Uraian aa]])," ",REPT(" ",255)),255)),'Un nOTA'!$D$4:$J$1004,4,FALSE)," ")</f>
        <v xml:space="preserve"> </v>
      </c>
      <c r="X14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4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4" s="75" t="str">
        <f>IF(LEFT(Table19[[#This Row],[Untuk]],5)="Pemba",VLOOKUP(Table19[[#This Row],[Untuk]],'Rekap Gaji'!$D$12:$L$25,8,FALSE),"")</f>
        <v/>
      </c>
    </row>
    <row r="15" spans="1:26" hidden="1" x14ac:dyDescent="0.2">
      <c r="A15" s="75" t="str">
        <f>IFERROR((IF('Un nOTA'!P14&gt;0,VLOOKUP('Un nOTA'!P14,'Un nOTA'!$L$4:$M$1003,2,FALSE),"")),"")</f>
        <v/>
      </c>
      <c r="B15" s="76" t="str">
        <f>IFERROR(VLOOKUP(Table19[[#This Row],[Bkk]],Table13[],10,FALSE)," ")</f>
        <v/>
      </c>
      <c r="C15" s="75" t="str">
        <f t="array" ref="C15">IFERROR(PROPER(Terbilang1(Table19[[#This Row],[Sejumlah]])&amp;" RUPIAH")," ")</f>
        <v xml:space="preserve"> </v>
      </c>
      <c r="D15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5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5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5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5" s="75" t="str">
        <f>IF(LEFT(D15,5)="Bayar",VLOOKUP(D15,'BKU 1'!$B$15:$E$16,4,FALSE),IF(LEFT(Table19[[#This Row],[Untuk]],10)="Pembayaran",'Absen (2)'!$C$12,""))</f>
        <v/>
      </c>
      <c r="I15" s="75" t="str">
        <f>IF(LEFT(Table19[[#This Row],[Bkk]],3)="BKK",'BKU 1'!$I$25&amp;", "&amp;IFERROR(TEXT(VLOOKUP(Table19[[#This Row],[Bkk]],Table13[],3,FALSE),"dd mmmm yyyy")," ")," ")</f>
        <v xml:space="preserve"> </v>
      </c>
      <c r="J15" s="75" t="str">
        <f>IF(LEFT(Table19[[#This Row],[Bkk]],3)="BKK",'BKU 1'!$D$25&amp;". KECAMATAN - "&amp;'BKU 1'!$I$25,"")</f>
        <v/>
      </c>
      <c r="K15" s="75" t="str">
        <f>IF(Table19[[#This Row],[Bkk]]="","",VLOOKUP(Table19[[#This Row],[Bkk]],Table13[],5,FALSE))</f>
        <v/>
      </c>
      <c r="L15" s="75" t="str">
        <f>IF(Table19[[#This Row],[Bkk]]="","",TEXT(VLOOKUP(Table19[[#This Row],[Bkk]],Table13[],6,FALSE)," #.##0,00 "))</f>
        <v/>
      </c>
      <c r="M15" s="75" t="str">
        <f>IF(Table19[[#This Row],[Bkk]]="","",VLOOKUP(Table19[[#This Row],[Bkk]],Table13[],7,FALSE))</f>
        <v/>
      </c>
      <c r="N15" s="75" t="str">
        <f>IF(Table19[[#This Row],[Bkk]]="","",TEXT(VLOOKUP(Table19[[#This Row],[Bkk]],Table13[],9,FALSE)," #.## "))</f>
        <v/>
      </c>
      <c r="O15" s="75" t="str">
        <f>IF(LEFT(Table19[[#This Row],[Untuk]],5)="Pembe",TEXT(VLOOKUP(Table19[[#This Row],[Bkk]],Table13[],9,FALSE)," #.## ")," ")</f>
        <v xml:space="preserve"> </v>
      </c>
      <c r="P15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5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5" s="75" t="str">
        <f>IFERROR(VLOOKUP(Table19[[#This Row],[Bkk]]&amp;TRIM(RIGHT(SUBSTITUTE(TRIM(Table1824[[#Headers],[Uraian a]])," ",REPT(" ",255)),255)),'Un nOTA'!$D$4:$J$1004,4,FALSE)," ")</f>
        <v xml:space="preserve"> </v>
      </c>
      <c r="S15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5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5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5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5" s="75" t="str">
        <f>IFERROR(VLOOKUP(Table19[[#This Row],[Bkk]]&amp;TRIM(RIGHT(SUBSTITUTE(TRIM(Table1824[[#Headers],[Uraian aa]])," ",REPT(" ",255)),255)),'Un nOTA'!$D$4:$J$1004,4,FALSE)," ")</f>
        <v xml:space="preserve"> </v>
      </c>
      <c r="X15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5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5" s="75" t="str">
        <f>IF(LEFT(Table19[[#This Row],[Untuk]],5)="Pemba",VLOOKUP(Table19[[#This Row],[Untuk]],'Rekap Gaji'!$D$12:$L$25,8,FALSE),"")</f>
        <v/>
      </c>
    </row>
    <row r="16" spans="1:26" hidden="1" x14ac:dyDescent="0.2">
      <c r="A16" s="75" t="str">
        <f>IFERROR((IF('Un nOTA'!P15&gt;0,VLOOKUP('Un nOTA'!P15,'Un nOTA'!$L$4:$M$1003,2,FALSE),"")),"")</f>
        <v/>
      </c>
      <c r="B16" s="76" t="str">
        <f>IFERROR(VLOOKUP(Table19[[#This Row],[Bkk]],Table13[],10,FALSE)," ")</f>
        <v/>
      </c>
      <c r="C16" s="75" t="str">
        <f t="array" ref="C16">IFERROR(PROPER(Terbilang1(Table19[[#This Row],[Sejumlah]])&amp;" RUPIAH")," ")</f>
        <v xml:space="preserve"> </v>
      </c>
      <c r="D16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6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6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6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6" s="75" t="str">
        <f>IF(LEFT(D16,5)="Bayar",VLOOKUP(D16,'BKU 1'!$B$15:$E$16,4,FALSE),IF(LEFT(Table19[[#This Row],[Untuk]],10)="Pembayaran",'Absen (2)'!$C$12,""))</f>
        <v/>
      </c>
      <c r="I16" s="75" t="str">
        <f>IF(LEFT(Table19[[#This Row],[Bkk]],3)="BKK",'BKU 1'!$I$25&amp;", "&amp;IFERROR(TEXT(VLOOKUP(Table19[[#This Row],[Bkk]],Table13[],3,FALSE),"dd mmmm yyyy")," ")," ")</f>
        <v xml:space="preserve"> </v>
      </c>
      <c r="J16" s="75" t="str">
        <f>IF(LEFT(Table19[[#This Row],[Bkk]],3)="BKK",'BKU 1'!$D$25&amp;". KECAMATAN - "&amp;'BKU 1'!$I$25,"")</f>
        <v/>
      </c>
      <c r="K16" s="75" t="str">
        <f>IF(Table19[[#This Row],[Bkk]]="","",VLOOKUP(Table19[[#This Row],[Bkk]],Table13[],5,FALSE))</f>
        <v/>
      </c>
      <c r="L16" s="75" t="str">
        <f>IF(Table19[[#This Row],[Bkk]]="","",TEXT(VLOOKUP(Table19[[#This Row],[Bkk]],Table13[],6,FALSE)," #.##0,00 "))</f>
        <v/>
      </c>
      <c r="M16" s="75" t="str">
        <f>IF(Table19[[#This Row],[Bkk]]="","",VLOOKUP(Table19[[#This Row],[Bkk]],Table13[],7,FALSE))</f>
        <v/>
      </c>
      <c r="N16" s="75" t="str">
        <f>IF(Table19[[#This Row],[Bkk]]="","",TEXT(VLOOKUP(Table19[[#This Row],[Bkk]],Table13[],9,FALSE)," #.## "))</f>
        <v/>
      </c>
      <c r="O16" s="75" t="str">
        <f>IF(LEFT(Table19[[#This Row],[Untuk]],5)="Pembe",TEXT(VLOOKUP(Table19[[#This Row],[Bkk]],Table13[],9,FALSE)," #.## ")," ")</f>
        <v xml:space="preserve"> </v>
      </c>
      <c r="P16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6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6" s="75" t="str">
        <f>IFERROR(VLOOKUP(Table19[[#This Row],[Bkk]]&amp;TRIM(RIGHT(SUBSTITUTE(TRIM(Table1824[[#Headers],[Uraian a]])," ",REPT(" ",255)),255)),'Un nOTA'!$D$4:$J$1004,4,FALSE)," ")</f>
        <v xml:space="preserve"> </v>
      </c>
      <c r="S16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6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6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6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6" s="75" t="str">
        <f>IFERROR(VLOOKUP(Table19[[#This Row],[Bkk]]&amp;TRIM(RIGHT(SUBSTITUTE(TRIM(Table1824[[#Headers],[Uraian aa]])," ",REPT(" ",255)),255)),'Un nOTA'!$D$4:$J$1004,4,FALSE)," ")</f>
        <v xml:space="preserve"> </v>
      </c>
      <c r="X16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6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6" s="75" t="str">
        <f>IF(LEFT(Table19[[#This Row],[Untuk]],5)="Pemba",VLOOKUP(Table19[[#This Row],[Untuk]],'Rekap Gaji'!$D$12:$L$25,8,FALSE),"")</f>
        <v/>
      </c>
    </row>
    <row r="17" spans="1:26" hidden="1" x14ac:dyDescent="0.2">
      <c r="A17" s="75" t="str">
        <f>IFERROR((IF('Un nOTA'!P16&gt;0,VLOOKUP('Un nOTA'!P16,'Un nOTA'!$L$4:$M$1003,2,FALSE),"")),"")</f>
        <v/>
      </c>
      <c r="B17" s="76" t="str">
        <f>IFERROR(VLOOKUP(Table19[[#This Row],[Bkk]],Table13[],10,FALSE)," ")</f>
        <v/>
      </c>
      <c r="C17" s="75" t="str">
        <f t="array" ref="C17">IFERROR(PROPER(Terbilang1(Table19[[#This Row],[Sejumlah]])&amp;" RUPIAH")," ")</f>
        <v xml:space="preserve"> </v>
      </c>
      <c r="D17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7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7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7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7" s="75" t="str">
        <f>IF(LEFT(D17,5)="Bayar",VLOOKUP(D17,'BKU 1'!$B$15:$E$16,4,FALSE),IF(LEFT(Table19[[#This Row],[Untuk]],10)="Pembayaran",'Absen (2)'!$C$12,""))</f>
        <v/>
      </c>
      <c r="I17" s="75" t="str">
        <f>IF(LEFT(Table19[[#This Row],[Bkk]],3)="BKK",'BKU 1'!$I$25&amp;", "&amp;IFERROR(TEXT(VLOOKUP(Table19[[#This Row],[Bkk]],Table13[],3,FALSE),"dd mmmm yyyy")," ")," ")</f>
        <v xml:space="preserve"> </v>
      </c>
      <c r="J17" s="75" t="str">
        <f>IF(LEFT(Table19[[#This Row],[Bkk]],3)="BKK",'BKU 1'!$D$25&amp;". KECAMATAN - "&amp;'BKU 1'!$I$25,"")</f>
        <v/>
      </c>
      <c r="K17" s="75" t="str">
        <f>IF(Table19[[#This Row],[Bkk]]="","",VLOOKUP(Table19[[#This Row],[Bkk]],Table13[],5,FALSE))</f>
        <v/>
      </c>
      <c r="L17" s="75" t="str">
        <f>IF(Table19[[#This Row],[Bkk]]="","",TEXT(VLOOKUP(Table19[[#This Row],[Bkk]],Table13[],6,FALSE)," #.##0,00 "))</f>
        <v/>
      </c>
      <c r="M17" s="75" t="str">
        <f>IF(Table19[[#This Row],[Bkk]]="","",VLOOKUP(Table19[[#This Row],[Bkk]],Table13[],7,FALSE))</f>
        <v/>
      </c>
      <c r="N17" s="75" t="str">
        <f>IF(Table19[[#This Row],[Bkk]]="","",TEXT(VLOOKUP(Table19[[#This Row],[Bkk]],Table13[],9,FALSE)," #.## "))</f>
        <v/>
      </c>
      <c r="O17" s="75" t="str">
        <f>IF(LEFT(Table19[[#This Row],[Untuk]],5)="Pembe",TEXT(VLOOKUP(Table19[[#This Row],[Bkk]],Table13[],9,FALSE)," #.## ")," ")</f>
        <v xml:space="preserve"> </v>
      </c>
      <c r="P17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7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7" s="75" t="str">
        <f>IFERROR(VLOOKUP(Table19[[#This Row],[Bkk]]&amp;TRIM(RIGHT(SUBSTITUTE(TRIM(Table1824[[#Headers],[Uraian a]])," ",REPT(" ",255)),255)),'Un nOTA'!$D$4:$J$1004,4,FALSE)," ")</f>
        <v xml:space="preserve"> </v>
      </c>
      <c r="S17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7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7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7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7" s="75" t="str">
        <f>IFERROR(VLOOKUP(Table19[[#This Row],[Bkk]]&amp;TRIM(RIGHT(SUBSTITUTE(TRIM(Table1824[[#Headers],[Uraian aa]])," ",REPT(" ",255)),255)),'Un nOTA'!$D$4:$J$1004,4,FALSE)," ")</f>
        <v xml:space="preserve"> </v>
      </c>
      <c r="X17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7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7" s="75" t="str">
        <f>IF(LEFT(Table19[[#This Row],[Untuk]],5)="Pemba",VLOOKUP(Table19[[#This Row],[Untuk]],'Rekap Gaji'!$D$12:$L$25,8,FALSE),"")</f>
        <v/>
      </c>
    </row>
    <row r="18" spans="1:26" hidden="1" x14ac:dyDescent="0.2">
      <c r="A18" s="75" t="str">
        <f>IFERROR((IF('Un nOTA'!P17&gt;0,VLOOKUP('Un nOTA'!P17,'Un nOTA'!$L$4:$M$1003,2,FALSE),"")),"")</f>
        <v/>
      </c>
      <c r="B18" s="76" t="str">
        <f>IFERROR(VLOOKUP(Table19[[#This Row],[Bkk]],Table13[],10,FALSE)," ")</f>
        <v/>
      </c>
      <c r="C18" s="75" t="str">
        <f t="array" ref="C18">IFERROR(PROPER(Terbilang1(Table19[[#This Row],[Sejumlah]])&amp;" RUPIAH")," ")</f>
        <v xml:space="preserve"> </v>
      </c>
      <c r="D18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8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8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8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8" s="75" t="str">
        <f>IF(LEFT(D18,5)="Bayar",VLOOKUP(D18,'BKU 1'!$B$15:$E$16,4,FALSE),IF(LEFT(Table19[[#This Row],[Untuk]],10)="Pembayaran",'Absen (2)'!$C$12,""))</f>
        <v/>
      </c>
      <c r="I18" s="75" t="str">
        <f>IF(LEFT(Table19[[#This Row],[Bkk]],3)="BKK",'BKU 1'!$I$25&amp;", "&amp;IFERROR(TEXT(VLOOKUP(Table19[[#This Row],[Bkk]],Table13[],3,FALSE),"dd mmmm yyyy")," ")," ")</f>
        <v xml:space="preserve"> </v>
      </c>
      <c r="J18" s="75" t="str">
        <f>IF(LEFT(Table19[[#This Row],[Bkk]],3)="BKK",'BKU 1'!$D$25&amp;". KECAMATAN - "&amp;'BKU 1'!$I$25,"")</f>
        <v/>
      </c>
      <c r="K18" s="75" t="str">
        <f>IF(Table19[[#This Row],[Bkk]]="","",VLOOKUP(Table19[[#This Row],[Bkk]],Table13[],5,FALSE))</f>
        <v/>
      </c>
      <c r="L18" s="75" t="str">
        <f>IF(Table19[[#This Row],[Bkk]]="","",TEXT(VLOOKUP(Table19[[#This Row],[Bkk]],Table13[],6,FALSE)," #.##0,00 "))</f>
        <v/>
      </c>
      <c r="M18" s="75" t="str">
        <f>IF(Table19[[#This Row],[Bkk]]="","",VLOOKUP(Table19[[#This Row],[Bkk]],Table13[],7,FALSE))</f>
        <v/>
      </c>
      <c r="N18" s="75" t="str">
        <f>IF(Table19[[#This Row],[Bkk]]="","",TEXT(VLOOKUP(Table19[[#This Row],[Bkk]],Table13[],9,FALSE)," #.## "))</f>
        <v/>
      </c>
      <c r="O18" s="75" t="str">
        <f>IF(LEFT(Table19[[#This Row],[Untuk]],5)="Pembe",TEXT(VLOOKUP(Table19[[#This Row],[Bkk]],Table13[],9,FALSE)," #.## ")," ")</f>
        <v xml:space="preserve"> </v>
      </c>
      <c r="P18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8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8" s="75" t="str">
        <f>IFERROR(VLOOKUP(Table19[[#This Row],[Bkk]]&amp;TRIM(RIGHT(SUBSTITUTE(TRIM(Table1824[[#Headers],[Uraian a]])," ",REPT(" ",255)),255)),'Un nOTA'!$D$4:$J$1004,4,FALSE)," ")</f>
        <v xml:space="preserve"> </v>
      </c>
      <c r="S18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8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8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8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8" s="75" t="str">
        <f>IFERROR(VLOOKUP(Table19[[#This Row],[Bkk]]&amp;TRIM(RIGHT(SUBSTITUTE(TRIM(Table1824[[#Headers],[Uraian aa]])," ",REPT(" ",255)),255)),'Un nOTA'!$D$4:$J$1004,4,FALSE)," ")</f>
        <v xml:space="preserve"> </v>
      </c>
      <c r="X18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8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8" s="75" t="str">
        <f>IF(LEFT(Table19[[#This Row],[Untuk]],5)="Pemba",VLOOKUP(Table19[[#This Row],[Untuk]],'Rekap Gaji'!$D$12:$L$25,8,FALSE),"")</f>
        <v/>
      </c>
    </row>
    <row r="19" spans="1:26" hidden="1" x14ac:dyDescent="0.2">
      <c r="A19" s="75" t="str">
        <f>IFERROR((IF('Un nOTA'!P18&gt;0,VLOOKUP('Un nOTA'!P18,'Un nOTA'!$L$4:$M$1003,2,FALSE),"")),"")</f>
        <v/>
      </c>
      <c r="B19" s="76" t="str">
        <f>IFERROR(VLOOKUP(Table19[[#This Row],[Bkk]],Table13[],10,FALSE)," ")</f>
        <v/>
      </c>
      <c r="C19" s="75" t="str">
        <f t="array" ref="C19">IFERROR(PROPER(Terbilang1(Table19[[#This Row],[Sejumlah]])&amp;" RUPIAH")," ")</f>
        <v xml:space="preserve"> </v>
      </c>
      <c r="D19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19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19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19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19" s="75" t="str">
        <f>IF(LEFT(D19,5)="Bayar",VLOOKUP(D19,'BKU 1'!$B$15:$E$16,4,FALSE),IF(LEFT(Table19[[#This Row],[Untuk]],10)="Pembayaran",'Absen (2)'!$C$12,""))</f>
        <v/>
      </c>
      <c r="I19" s="75" t="str">
        <f>IF(LEFT(Table19[[#This Row],[Bkk]],3)="BKK",'BKU 1'!$I$25&amp;", "&amp;IFERROR(TEXT(VLOOKUP(Table19[[#This Row],[Bkk]],Table13[],3,FALSE),"dd mmmm yyyy")," ")," ")</f>
        <v xml:space="preserve"> </v>
      </c>
      <c r="J19" s="75" t="str">
        <f>IF(LEFT(Table19[[#This Row],[Bkk]],3)="BKK",'BKU 1'!$D$25&amp;". KECAMATAN - "&amp;'BKU 1'!$I$25,"")</f>
        <v/>
      </c>
      <c r="K19" s="75" t="str">
        <f>IF(Table19[[#This Row],[Bkk]]="","",VLOOKUP(Table19[[#This Row],[Bkk]],Table13[],5,FALSE))</f>
        <v/>
      </c>
      <c r="L19" s="75" t="str">
        <f>IF(Table19[[#This Row],[Bkk]]="","",TEXT(VLOOKUP(Table19[[#This Row],[Bkk]],Table13[],6,FALSE)," #.##0,00 "))</f>
        <v/>
      </c>
      <c r="M19" s="75" t="str">
        <f>IF(Table19[[#This Row],[Bkk]]="","",VLOOKUP(Table19[[#This Row],[Bkk]],Table13[],7,FALSE))</f>
        <v/>
      </c>
      <c r="N19" s="75" t="str">
        <f>IF(Table19[[#This Row],[Bkk]]="","",TEXT(VLOOKUP(Table19[[#This Row],[Bkk]],Table13[],9,FALSE)," #.## "))</f>
        <v/>
      </c>
      <c r="O19" s="75" t="str">
        <f>IF(LEFT(Table19[[#This Row],[Untuk]],5)="Pembe",TEXT(VLOOKUP(Table19[[#This Row],[Bkk]],Table13[],9,FALSE)," #.## ")," ")</f>
        <v xml:space="preserve"> </v>
      </c>
      <c r="P19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19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19" s="75" t="str">
        <f>IFERROR(VLOOKUP(Table19[[#This Row],[Bkk]]&amp;TRIM(RIGHT(SUBSTITUTE(TRIM(Table1824[[#Headers],[Uraian a]])," ",REPT(" ",255)),255)),'Un nOTA'!$D$4:$J$1004,4,FALSE)," ")</f>
        <v xml:space="preserve"> </v>
      </c>
      <c r="S19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19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19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19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19" s="75" t="str">
        <f>IFERROR(VLOOKUP(Table19[[#This Row],[Bkk]]&amp;TRIM(RIGHT(SUBSTITUTE(TRIM(Table1824[[#Headers],[Uraian aa]])," ",REPT(" ",255)),255)),'Un nOTA'!$D$4:$J$1004,4,FALSE)," ")</f>
        <v xml:space="preserve"> </v>
      </c>
      <c r="X19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19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19" s="75" t="str">
        <f>IF(LEFT(Table19[[#This Row],[Untuk]],5)="Pemba",VLOOKUP(Table19[[#This Row],[Untuk]],'Rekap Gaji'!$D$12:$L$25,8,FALSE),"")</f>
        <v/>
      </c>
    </row>
    <row r="20" spans="1:26" hidden="1" x14ac:dyDescent="0.2">
      <c r="A20" s="75" t="str">
        <f>IFERROR((IF('Un nOTA'!P19&gt;0,VLOOKUP('Un nOTA'!P19,'Un nOTA'!$L$4:$M$1003,2,FALSE),"")),"")</f>
        <v/>
      </c>
      <c r="B20" s="76" t="str">
        <f>IFERROR(VLOOKUP(Table19[[#This Row],[Bkk]],Table13[],10,FALSE)," ")</f>
        <v/>
      </c>
      <c r="C20" s="75" t="str">
        <f t="array" ref="C20">IFERROR(PROPER(Terbilang1(Table19[[#This Row],[Sejumlah]])&amp;" RUPIAH")," ")</f>
        <v xml:space="preserve"> </v>
      </c>
      <c r="D20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0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0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0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0" s="75" t="str">
        <f>IF(LEFT(D20,5)="Bayar",VLOOKUP(D20,'BKU 1'!$B$15:$E$16,4,FALSE),IF(LEFT(Table19[[#This Row],[Untuk]],10)="Pembayaran",'Absen (2)'!$C$12,""))</f>
        <v/>
      </c>
      <c r="I20" s="75" t="str">
        <f>IF(LEFT(Table19[[#This Row],[Bkk]],3)="BKK",'BKU 1'!$I$25&amp;", "&amp;IFERROR(TEXT(VLOOKUP(Table19[[#This Row],[Bkk]],Table13[],3,FALSE),"dd mmmm yyyy")," ")," ")</f>
        <v xml:space="preserve"> </v>
      </c>
      <c r="J20" s="75" t="str">
        <f>IF(LEFT(Table19[[#This Row],[Bkk]],3)="BKK",'BKU 1'!$D$25&amp;". KECAMATAN - "&amp;'BKU 1'!$I$25,"")</f>
        <v/>
      </c>
      <c r="K20" s="75" t="str">
        <f>IF(Table19[[#This Row],[Bkk]]="","",VLOOKUP(Table19[[#This Row],[Bkk]],Table13[],5,FALSE))</f>
        <v/>
      </c>
      <c r="L20" s="75" t="str">
        <f>IF(Table19[[#This Row],[Bkk]]="","",TEXT(VLOOKUP(Table19[[#This Row],[Bkk]],Table13[],6,FALSE)," #.##0,00 "))</f>
        <v/>
      </c>
      <c r="M20" s="75" t="str">
        <f>IF(Table19[[#This Row],[Bkk]]="","",VLOOKUP(Table19[[#This Row],[Bkk]],Table13[],7,FALSE))</f>
        <v/>
      </c>
      <c r="N20" s="75" t="str">
        <f>IF(Table19[[#This Row],[Bkk]]="","",TEXT(VLOOKUP(Table19[[#This Row],[Bkk]],Table13[],9,FALSE)," #.## "))</f>
        <v/>
      </c>
      <c r="O20" s="75" t="str">
        <f>IF(LEFT(Table19[[#This Row],[Untuk]],5)="Pembe",TEXT(VLOOKUP(Table19[[#This Row],[Bkk]],Table13[],9,FALSE)," #.## ")," ")</f>
        <v xml:space="preserve"> </v>
      </c>
      <c r="P20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0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0" s="75" t="str">
        <f>IFERROR(VLOOKUP(Table19[[#This Row],[Bkk]]&amp;TRIM(RIGHT(SUBSTITUTE(TRIM(Table1824[[#Headers],[Uraian a]])," ",REPT(" ",255)),255)),'Un nOTA'!$D$4:$J$1004,4,FALSE)," ")</f>
        <v xml:space="preserve"> </v>
      </c>
      <c r="S20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0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0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0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0" s="75" t="str">
        <f>IFERROR(VLOOKUP(Table19[[#This Row],[Bkk]]&amp;TRIM(RIGHT(SUBSTITUTE(TRIM(Table1824[[#Headers],[Uraian aa]])," ",REPT(" ",255)),255)),'Un nOTA'!$D$4:$J$1004,4,FALSE)," ")</f>
        <v xml:space="preserve"> </v>
      </c>
      <c r="X20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0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0" s="75" t="str">
        <f>IF(LEFT(Table19[[#This Row],[Untuk]],5)="Pemba",VLOOKUP(Table19[[#This Row],[Untuk]],'Rekap Gaji'!$D$12:$L$25,8,FALSE),"")</f>
        <v/>
      </c>
    </row>
    <row r="21" spans="1:26" hidden="1" x14ac:dyDescent="0.2">
      <c r="A21" s="75" t="str">
        <f>IFERROR((IF('Un nOTA'!P20&gt;0,VLOOKUP('Un nOTA'!P20,'Un nOTA'!$L$4:$M$1003,2,FALSE),"")),"")</f>
        <v/>
      </c>
      <c r="B21" s="76" t="str">
        <f>IFERROR(VLOOKUP(Table19[[#This Row],[Bkk]],Table13[],10,FALSE)," ")</f>
        <v/>
      </c>
      <c r="C21" s="75" t="str">
        <f t="array" ref="C21">IFERROR(PROPER(Terbilang1(Table19[[#This Row],[Sejumlah]])&amp;" RUPIAH")," ")</f>
        <v xml:space="preserve"> </v>
      </c>
      <c r="D21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1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1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1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1" s="75" t="str">
        <f>IF(LEFT(D21,5)="Bayar",VLOOKUP(D21,'BKU 1'!$B$15:$E$16,4,FALSE),IF(LEFT(Table19[[#This Row],[Untuk]],10)="Pembayaran",'Absen (2)'!$C$12,""))</f>
        <v/>
      </c>
      <c r="I21" s="75" t="str">
        <f>IF(LEFT(Table19[[#This Row],[Bkk]],3)="BKK",'BKU 1'!$I$25&amp;", "&amp;IFERROR(TEXT(VLOOKUP(Table19[[#This Row],[Bkk]],Table13[],3,FALSE),"dd mmmm yyyy")," ")," ")</f>
        <v xml:space="preserve"> </v>
      </c>
      <c r="J21" s="75" t="str">
        <f>IF(LEFT(Table19[[#This Row],[Bkk]],3)="BKK",'BKU 1'!$D$25&amp;". KECAMATAN - "&amp;'BKU 1'!$I$25,"")</f>
        <v/>
      </c>
      <c r="K21" s="75" t="str">
        <f>IF(Table19[[#This Row],[Bkk]]="","",VLOOKUP(Table19[[#This Row],[Bkk]],Table13[],5,FALSE))</f>
        <v/>
      </c>
      <c r="L21" s="75" t="str">
        <f>IF(Table19[[#This Row],[Bkk]]="","",TEXT(VLOOKUP(Table19[[#This Row],[Bkk]],Table13[],6,FALSE)," #.##0,00 "))</f>
        <v/>
      </c>
      <c r="M21" s="75" t="str">
        <f>IF(Table19[[#This Row],[Bkk]]="","",VLOOKUP(Table19[[#This Row],[Bkk]],Table13[],7,FALSE))</f>
        <v/>
      </c>
      <c r="N21" s="75" t="str">
        <f>IF(Table19[[#This Row],[Bkk]]="","",TEXT(VLOOKUP(Table19[[#This Row],[Bkk]],Table13[],9,FALSE)," #.## "))</f>
        <v/>
      </c>
      <c r="O21" s="75" t="str">
        <f>IF(LEFT(Table19[[#This Row],[Untuk]],5)="Pembe",TEXT(VLOOKUP(Table19[[#This Row],[Bkk]],Table13[],9,FALSE)," #.## ")," ")</f>
        <v xml:space="preserve"> </v>
      </c>
      <c r="P21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1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1" s="75" t="str">
        <f>IFERROR(VLOOKUP(Table19[[#This Row],[Bkk]]&amp;TRIM(RIGHT(SUBSTITUTE(TRIM(Table1824[[#Headers],[Uraian a]])," ",REPT(" ",255)),255)),'Un nOTA'!$D$4:$J$1004,4,FALSE)," ")</f>
        <v xml:space="preserve"> </v>
      </c>
      <c r="S21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1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1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1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1" s="75" t="str">
        <f>IFERROR(VLOOKUP(Table19[[#This Row],[Bkk]]&amp;TRIM(RIGHT(SUBSTITUTE(TRIM(Table1824[[#Headers],[Uraian aa]])," ",REPT(" ",255)),255)),'Un nOTA'!$D$4:$J$1004,4,FALSE)," ")</f>
        <v xml:space="preserve"> </v>
      </c>
      <c r="X21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1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1" s="75" t="str">
        <f>IF(LEFT(Table19[[#This Row],[Untuk]],5)="Pemba",VLOOKUP(Table19[[#This Row],[Untuk]],'Rekap Gaji'!$D$12:$L$25,8,FALSE),"")</f>
        <v/>
      </c>
    </row>
    <row r="22" spans="1:26" hidden="1" x14ac:dyDescent="0.2">
      <c r="A22" s="75" t="str">
        <f>IFERROR((IF('Un nOTA'!P21&gt;0,VLOOKUP('Un nOTA'!P21,'Un nOTA'!$L$4:$M$1003,2,FALSE),"")),"")</f>
        <v/>
      </c>
      <c r="B22" s="76" t="str">
        <f>IFERROR(VLOOKUP(Table19[[#This Row],[Bkk]],Table13[],10,FALSE)," ")</f>
        <v/>
      </c>
      <c r="C22" s="75" t="str">
        <f t="array" ref="C22">IFERROR(PROPER(Terbilang1(Table19[[#This Row],[Sejumlah]])&amp;" RUPIAH")," ")</f>
        <v xml:space="preserve"> </v>
      </c>
      <c r="D22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2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2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2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2" s="75" t="str">
        <f>IF(LEFT(D22,5)="Bayar",VLOOKUP(D22,'BKU 1'!$B$15:$E$16,4,FALSE),IF(LEFT(Table19[[#This Row],[Untuk]],10)="Pembayaran",'Absen (2)'!$C$12,""))</f>
        <v/>
      </c>
      <c r="I22" s="75" t="str">
        <f>IF(LEFT(Table19[[#This Row],[Bkk]],3)="BKK",'BKU 1'!$I$25&amp;", "&amp;IFERROR(TEXT(VLOOKUP(Table19[[#This Row],[Bkk]],Table13[],3,FALSE),"dd mmmm yyyy")," ")," ")</f>
        <v xml:space="preserve"> </v>
      </c>
      <c r="J22" s="75" t="str">
        <f>IF(LEFT(Table19[[#This Row],[Bkk]],3)="BKK",'BKU 1'!$D$25&amp;". KECAMATAN - "&amp;'BKU 1'!$I$25,"")</f>
        <v/>
      </c>
      <c r="K22" s="75" t="str">
        <f>IF(Table19[[#This Row],[Bkk]]="","",VLOOKUP(Table19[[#This Row],[Bkk]],Table13[],5,FALSE))</f>
        <v/>
      </c>
      <c r="L22" s="75" t="str">
        <f>IF(Table19[[#This Row],[Bkk]]="","",TEXT(VLOOKUP(Table19[[#This Row],[Bkk]],Table13[],6,FALSE)," #.##0,00 "))</f>
        <v/>
      </c>
      <c r="M22" s="75" t="str">
        <f>IF(Table19[[#This Row],[Bkk]]="","",VLOOKUP(Table19[[#This Row],[Bkk]],Table13[],7,FALSE))</f>
        <v/>
      </c>
      <c r="N22" s="75" t="str">
        <f>IF(Table19[[#This Row],[Bkk]]="","",TEXT(VLOOKUP(Table19[[#This Row],[Bkk]],Table13[],9,FALSE)," #.## "))</f>
        <v/>
      </c>
      <c r="O22" s="75" t="str">
        <f>IF(LEFT(Table19[[#This Row],[Untuk]],5)="Pembe",TEXT(VLOOKUP(Table19[[#This Row],[Bkk]],Table13[],9,FALSE)," #.## ")," ")</f>
        <v xml:space="preserve"> </v>
      </c>
      <c r="P22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2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2" s="75" t="str">
        <f>IFERROR(VLOOKUP(Table19[[#This Row],[Bkk]]&amp;TRIM(RIGHT(SUBSTITUTE(TRIM(Table1824[[#Headers],[Uraian a]])," ",REPT(" ",255)),255)),'Un nOTA'!$D$4:$J$1004,4,FALSE)," ")</f>
        <v xml:space="preserve"> </v>
      </c>
      <c r="S22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2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2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2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2" s="75" t="str">
        <f>IFERROR(VLOOKUP(Table19[[#This Row],[Bkk]]&amp;TRIM(RIGHT(SUBSTITUTE(TRIM(Table1824[[#Headers],[Uraian aa]])," ",REPT(" ",255)),255)),'Un nOTA'!$D$4:$J$1004,4,FALSE)," ")</f>
        <v xml:space="preserve"> </v>
      </c>
      <c r="X22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2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2" s="75" t="str">
        <f>IF(LEFT(Table19[[#This Row],[Untuk]],5)="Pemba",VLOOKUP(Table19[[#This Row],[Untuk]],'Rekap Gaji'!$D$12:$L$25,8,FALSE),"")</f>
        <v/>
      </c>
    </row>
    <row r="23" spans="1:26" hidden="1" x14ac:dyDescent="0.2">
      <c r="A23" s="75" t="str">
        <f>IFERROR((IF('Un nOTA'!P22&gt;0,VLOOKUP('Un nOTA'!P22,'Un nOTA'!$L$4:$M$1003,2,FALSE),"")),"")</f>
        <v/>
      </c>
      <c r="B23" s="76" t="str">
        <f>IFERROR(VLOOKUP(Table19[[#This Row],[Bkk]],Table13[],10,FALSE)," ")</f>
        <v/>
      </c>
      <c r="C23" s="75" t="str">
        <f t="array" ref="C23">IFERROR(PROPER(Terbilang1(Table19[[#This Row],[Sejumlah]])&amp;" RUPIAH")," ")</f>
        <v xml:space="preserve"> </v>
      </c>
      <c r="D23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3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3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3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3" s="75" t="str">
        <f>IF(LEFT(D23,5)="Bayar",VLOOKUP(D23,'BKU 1'!$B$15:$E$16,4,FALSE),IF(LEFT(Table19[[#This Row],[Untuk]],10)="Pembayaran",'Absen (2)'!$C$12,""))</f>
        <v/>
      </c>
      <c r="I23" s="75" t="str">
        <f>IF(LEFT(Table19[[#This Row],[Bkk]],3)="BKK",'BKU 1'!$I$25&amp;", "&amp;IFERROR(TEXT(VLOOKUP(Table19[[#This Row],[Bkk]],Table13[],3,FALSE),"dd mmmm yyyy")," ")," ")</f>
        <v xml:space="preserve"> </v>
      </c>
      <c r="J23" s="75" t="str">
        <f>IF(LEFT(Table19[[#This Row],[Bkk]],3)="BKK",'BKU 1'!$D$25&amp;". KECAMATAN - "&amp;'BKU 1'!$I$25,"")</f>
        <v/>
      </c>
      <c r="K23" s="75" t="str">
        <f>IF(Table19[[#This Row],[Bkk]]="","",VLOOKUP(Table19[[#This Row],[Bkk]],Table13[],5,FALSE))</f>
        <v/>
      </c>
      <c r="L23" s="75" t="str">
        <f>IF(Table19[[#This Row],[Bkk]]="","",TEXT(VLOOKUP(Table19[[#This Row],[Bkk]],Table13[],6,FALSE)," #.##0,00 "))</f>
        <v/>
      </c>
      <c r="M23" s="75" t="str">
        <f>IF(Table19[[#This Row],[Bkk]]="","",VLOOKUP(Table19[[#This Row],[Bkk]],Table13[],7,FALSE))</f>
        <v/>
      </c>
      <c r="N23" s="75" t="str">
        <f>IF(Table19[[#This Row],[Bkk]]="","",TEXT(VLOOKUP(Table19[[#This Row],[Bkk]],Table13[],9,FALSE)," #.## "))</f>
        <v/>
      </c>
      <c r="O23" s="75" t="str">
        <f>IF(LEFT(Table19[[#This Row],[Untuk]],5)="Pembe",TEXT(VLOOKUP(Table19[[#This Row],[Bkk]],Table13[],9,FALSE)," #.## ")," ")</f>
        <v xml:space="preserve"> </v>
      </c>
      <c r="P23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3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3" s="75" t="str">
        <f>IFERROR(VLOOKUP(Table19[[#This Row],[Bkk]]&amp;TRIM(RIGHT(SUBSTITUTE(TRIM(Table1824[[#Headers],[Uraian a]])," ",REPT(" ",255)),255)),'Un nOTA'!$D$4:$J$1004,4,FALSE)," ")</f>
        <v xml:space="preserve"> </v>
      </c>
      <c r="S23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3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3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3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3" s="75" t="str">
        <f>IFERROR(VLOOKUP(Table19[[#This Row],[Bkk]]&amp;TRIM(RIGHT(SUBSTITUTE(TRIM(Table1824[[#Headers],[Uraian aa]])," ",REPT(" ",255)),255)),'Un nOTA'!$D$4:$J$1004,4,FALSE)," ")</f>
        <v xml:space="preserve"> </v>
      </c>
      <c r="X23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3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3" s="75" t="str">
        <f>IF(LEFT(Table19[[#This Row],[Untuk]],5)="Pemba",VLOOKUP(Table19[[#This Row],[Untuk]],'Rekap Gaji'!$D$12:$L$25,8,FALSE),"")</f>
        <v/>
      </c>
    </row>
    <row r="24" spans="1:26" hidden="1" x14ac:dyDescent="0.2">
      <c r="A24" s="75" t="str">
        <f>IFERROR((IF('Un nOTA'!P23&gt;0,VLOOKUP('Un nOTA'!P23,'Un nOTA'!$L$4:$M$1003,2,FALSE),"")),"")</f>
        <v/>
      </c>
      <c r="B24" s="76" t="str">
        <f>IFERROR(VLOOKUP(Table19[[#This Row],[Bkk]],Table13[],10,FALSE)," ")</f>
        <v/>
      </c>
      <c r="C24" s="75" t="str">
        <f t="array" ref="C24">IFERROR(PROPER(Terbilang1(Table19[[#This Row],[Sejumlah]])&amp;" RUPIAH")," ")</f>
        <v xml:space="preserve"> </v>
      </c>
      <c r="D24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4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4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4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4" s="75" t="str">
        <f>IF(LEFT(D24,5)="Bayar",VLOOKUP(D24,'BKU 1'!$B$15:$E$16,4,FALSE),IF(LEFT(Table19[[#This Row],[Untuk]],10)="Pembayaran",'Absen (2)'!$C$12,""))</f>
        <v/>
      </c>
      <c r="I24" s="75" t="str">
        <f>IF(LEFT(Table19[[#This Row],[Bkk]],3)="BKK",'BKU 1'!$I$25&amp;", "&amp;IFERROR(TEXT(VLOOKUP(Table19[[#This Row],[Bkk]],Table13[],3,FALSE),"dd mmmm yyyy")," ")," ")</f>
        <v xml:space="preserve"> </v>
      </c>
      <c r="J24" s="75" t="str">
        <f>IF(LEFT(Table19[[#This Row],[Bkk]],3)="BKK",'BKU 1'!$D$25&amp;". KECAMATAN - "&amp;'BKU 1'!$I$25,"")</f>
        <v/>
      </c>
      <c r="K24" s="75" t="str">
        <f>IF(Table19[[#This Row],[Bkk]]="","",VLOOKUP(Table19[[#This Row],[Bkk]],Table13[],5,FALSE))</f>
        <v/>
      </c>
      <c r="L24" s="75" t="str">
        <f>IF(Table19[[#This Row],[Bkk]]="","",TEXT(VLOOKUP(Table19[[#This Row],[Bkk]],Table13[],6,FALSE)," #.##0,00 "))</f>
        <v/>
      </c>
      <c r="M24" s="75" t="str">
        <f>IF(Table19[[#This Row],[Bkk]]="","",VLOOKUP(Table19[[#This Row],[Bkk]],Table13[],7,FALSE))</f>
        <v/>
      </c>
      <c r="N24" s="75" t="str">
        <f>IF(Table19[[#This Row],[Bkk]]="","",TEXT(VLOOKUP(Table19[[#This Row],[Bkk]],Table13[],9,FALSE)," #.## "))</f>
        <v/>
      </c>
      <c r="O24" s="75" t="str">
        <f>IF(LEFT(Table19[[#This Row],[Untuk]],5)="Pembe",TEXT(VLOOKUP(Table19[[#This Row],[Bkk]],Table13[],9,FALSE)," #.## ")," ")</f>
        <v xml:space="preserve"> </v>
      </c>
      <c r="P24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4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4" s="75" t="str">
        <f>IFERROR(VLOOKUP(Table19[[#This Row],[Bkk]]&amp;TRIM(RIGHT(SUBSTITUTE(TRIM(Table1824[[#Headers],[Uraian a]])," ",REPT(" ",255)),255)),'Un nOTA'!$D$4:$J$1004,4,FALSE)," ")</f>
        <v xml:space="preserve"> </v>
      </c>
      <c r="S24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4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4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4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4" s="75" t="str">
        <f>IFERROR(VLOOKUP(Table19[[#This Row],[Bkk]]&amp;TRIM(RIGHT(SUBSTITUTE(TRIM(Table1824[[#Headers],[Uraian aa]])," ",REPT(" ",255)),255)),'Un nOTA'!$D$4:$J$1004,4,FALSE)," ")</f>
        <v xml:space="preserve"> </v>
      </c>
      <c r="X24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4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4" s="75" t="str">
        <f>IF(LEFT(Table19[[#This Row],[Untuk]],5)="Pemba",VLOOKUP(Table19[[#This Row],[Untuk]],'Rekap Gaji'!$D$12:$L$25,8,FALSE),"")</f>
        <v/>
      </c>
    </row>
    <row r="25" spans="1:26" hidden="1" x14ac:dyDescent="0.2">
      <c r="A25" s="75" t="str">
        <f>IFERROR((IF('Un nOTA'!P24&gt;0,VLOOKUP('Un nOTA'!P24,'Un nOTA'!$L$4:$M$1003,2,FALSE),"")),"")</f>
        <v/>
      </c>
      <c r="B25" s="76" t="str">
        <f>IFERROR(VLOOKUP(Table19[[#This Row],[Bkk]],Table13[],10,FALSE)," ")</f>
        <v/>
      </c>
      <c r="C25" s="75" t="str">
        <f t="array" ref="C25">IFERROR(PROPER(Terbilang1(Table19[[#This Row],[Sejumlah]])&amp;" RUPIAH")," ")</f>
        <v xml:space="preserve"> </v>
      </c>
      <c r="D25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5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5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5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5" s="75" t="str">
        <f>IF(LEFT(D25,5)="Bayar",VLOOKUP(D25,'BKU 1'!$B$15:$E$16,4,FALSE),IF(LEFT(Table19[[#This Row],[Untuk]],10)="Pembayaran",'Absen (2)'!$C$12,""))</f>
        <v/>
      </c>
      <c r="I25" s="75" t="str">
        <f>IF(LEFT(Table19[[#This Row],[Bkk]],3)="BKK",'BKU 1'!$I$25&amp;", "&amp;IFERROR(TEXT(VLOOKUP(Table19[[#This Row],[Bkk]],Table13[],3,FALSE),"dd mmmm yyyy")," ")," ")</f>
        <v xml:space="preserve"> </v>
      </c>
      <c r="J25" s="75" t="str">
        <f>IF(LEFT(Table19[[#This Row],[Bkk]],3)="BKK",'BKU 1'!$D$25&amp;". KECAMATAN - "&amp;'BKU 1'!$I$25,"")</f>
        <v/>
      </c>
      <c r="K25" s="75" t="str">
        <f>IF(Table19[[#This Row],[Bkk]]="","",VLOOKUP(Table19[[#This Row],[Bkk]],Table13[],5,FALSE))</f>
        <v/>
      </c>
      <c r="L25" s="75" t="str">
        <f>IF(Table19[[#This Row],[Bkk]]="","",TEXT(VLOOKUP(Table19[[#This Row],[Bkk]],Table13[],6,FALSE)," #.##0,00 "))</f>
        <v/>
      </c>
      <c r="M25" s="75" t="str">
        <f>IF(Table19[[#This Row],[Bkk]]="","",VLOOKUP(Table19[[#This Row],[Bkk]],Table13[],7,FALSE))</f>
        <v/>
      </c>
      <c r="N25" s="75" t="str">
        <f>IF(Table19[[#This Row],[Bkk]]="","",TEXT(VLOOKUP(Table19[[#This Row],[Bkk]],Table13[],9,FALSE)," #.## "))</f>
        <v/>
      </c>
      <c r="O25" s="75" t="str">
        <f>IF(LEFT(Table19[[#This Row],[Untuk]],5)="Pembe",TEXT(VLOOKUP(Table19[[#This Row],[Bkk]],Table13[],9,FALSE)," #.## ")," ")</f>
        <v xml:space="preserve"> </v>
      </c>
      <c r="P25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5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5" s="75" t="str">
        <f>IFERROR(VLOOKUP(Table19[[#This Row],[Bkk]]&amp;TRIM(RIGHT(SUBSTITUTE(TRIM(Table1824[[#Headers],[Uraian a]])," ",REPT(" ",255)),255)),'Un nOTA'!$D$4:$J$1004,4,FALSE)," ")</f>
        <v xml:space="preserve"> </v>
      </c>
      <c r="S25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5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5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5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5" s="75" t="str">
        <f>IFERROR(VLOOKUP(Table19[[#This Row],[Bkk]]&amp;TRIM(RIGHT(SUBSTITUTE(TRIM(Table1824[[#Headers],[Uraian aa]])," ",REPT(" ",255)),255)),'Un nOTA'!$D$4:$J$1004,4,FALSE)," ")</f>
        <v xml:space="preserve"> </v>
      </c>
      <c r="X25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5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5" s="75" t="str">
        <f>IF(LEFT(Table19[[#This Row],[Untuk]],5)="Pemba",VLOOKUP(Table19[[#This Row],[Untuk]],'Rekap Gaji'!$D$12:$L$25,8,FALSE),"")</f>
        <v/>
      </c>
    </row>
    <row r="26" spans="1:26" hidden="1" x14ac:dyDescent="0.2">
      <c r="A26" s="75" t="str">
        <f>IFERROR((IF('Un nOTA'!P25&gt;0,VLOOKUP('Un nOTA'!P25,'Un nOTA'!$L$4:$M$1003,2,FALSE),"")),"")</f>
        <v/>
      </c>
      <c r="B26" s="76" t="str">
        <f>IFERROR(VLOOKUP(Table19[[#This Row],[Bkk]],Table13[],10,FALSE)," ")</f>
        <v/>
      </c>
      <c r="C26" s="75" t="str">
        <f t="array" ref="C26">IFERROR(PROPER(Terbilang1(Table19[[#This Row],[Sejumlah]])&amp;" RUPIAH")," ")</f>
        <v xml:space="preserve"> </v>
      </c>
      <c r="D26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6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6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6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6" s="75" t="str">
        <f>IF(LEFT(D26,5)="Bayar",VLOOKUP(D26,'BKU 1'!$B$15:$E$16,4,FALSE),IF(LEFT(Table19[[#This Row],[Untuk]],10)="Pembayaran",'Absen (2)'!$C$12,""))</f>
        <v/>
      </c>
      <c r="I26" s="75" t="str">
        <f>IF(LEFT(Table19[[#This Row],[Bkk]],3)="BKK",'BKU 1'!$I$25&amp;", "&amp;IFERROR(TEXT(VLOOKUP(Table19[[#This Row],[Bkk]],Table13[],3,FALSE),"dd mmmm yyyy")," ")," ")</f>
        <v xml:space="preserve"> </v>
      </c>
      <c r="J26" s="75" t="str">
        <f>IF(LEFT(Table19[[#This Row],[Bkk]],3)="BKK",'BKU 1'!$D$25&amp;". KECAMATAN - "&amp;'BKU 1'!$I$25,"")</f>
        <v/>
      </c>
      <c r="K26" s="75" t="str">
        <f>IF(Table19[[#This Row],[Bkk]]="","",VLOOKUP(Table19[[#This Row],[Bkk]],Table13[],5,FALSE))</f>
        <v/>
      </c>
      <c r="L26" s="75" t="str">
        <f>IF(Table19[[#This Row],[Bkk]]="","",TEXT(VLOOKUP(Table19[[#This Row],[Bkk]],Table13[],6,FALSE)," #.##0,00 "))</f>
        <v/>
      </c>
      <c r="M26" s="75" t="str">
        <f>IF(Table19[[#This Row],[Bkk]]="","",VLOOKUP(Table19[[#This Row],[Bkk]],Table13[],7,FALSE))</f>
        <v/>
      </c>
      <c r="N26" s="75" t="str">
        <f>IF(Table19[[#This Row],[Bkk]]="","",TEXT(VLOOKUP(Table19[[#This Row],[Bkk]],Table13[],9,FALSE)," #.## "))</f>
        <v/>
      </c>
      <c r="O26" s="75" t="str">
        <f>IF(LEFT(Table19[[#This Row],[Untuk]],5)="Pembe",TEXT(VLOOKUP(Table19[[#This Row],[Bkk]],Table13[],9,FALSE)," #.## ")," ")</f>
        <v xml:space="preserve"> </v>
      </c>
      <c r="P26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6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6" s="75" t="str">
        <f>IFERROR(VLOOKUP(Table19[[#This Row],[Bkk]]&amp;TRIM(RIGHT(SUBSTITUTE(TRIM(Table1824[[#Headers],[Uraian a]])," ",REPT(" ",255)),255)),'Un nOTA'!$D$4:$J$1004,4,FALSE)," ")</f>
        <v xml:space="preserve"> </v>
      </c>
      <c r="S26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6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6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6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6" s="75" t="str">
        <f>IFERROR(VLOOKUP(Table19[[#This Row],[Bkk]]&amp;TRIM(RIGHT(SUBSTITUTE(TRIM(Table1824[[#Headers],[Uraian aa]])," ",REPT(" ",255)),255)),'Un nOTA'!$D$4:$J$1004,4,FALSE)," ")</f>
        <v xml:space="preserve"> </v>
      </c>
      <c r="X26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6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6" s="75" t="str">
        <f>IF(LEFT(Table19[[#This Row],[Untuk]],5)="Pemba",VLOOKUP(Table19[[#This Row],[Untuk]],'Rekap Gaji'!$D$12:$L$25,8,FALSE),"")</f>
        <v/>
      </c>
    </row>
    <row r="27" spans="1:26" hidden="1" x14ac:dyDescent="0.2">
      <c r="A27" s="75" t="str">
        <f>IFERROR((IF('Un nOTA'!P26&gt;0,VLOOKUP('Un nOTA'!P26,'Un nOTA'!$L$4:$M$1003,2,FALSE),"")),"")</f>
        <v/>
      </c>
      <c r="B27" s="76" t="str">
        <f>IFERROR(VLOOKUP(Table19[[#This Row],[Bkk]],Table13[],10,FALSE)," ")</f>
        <v/>
      </c>
      <c r="C27" s="75" t="str">
        <f t="array" ref="C27">IFERROR(PROPER(Terbilang1(Table19[[#This Row],[Sejumlah]])&amp;" RUPIAH")," ")</f>
        <v xml:space="preserve"> </v>
      </c>
      <c r="D27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7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7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7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7" s="75" t="str">
        <f>IF(LEFT(D27,5)="Bayar",VLOOKUP(D27,'BKU 1'!$B$15:$E$16,4,FALSE),IF(LEFT(Table19[[#This Row],[Untuk]],10)="Pembayaran",'Absen (2)'!$C$12,""))</f>
        <v/>
      </c>
      <c r="I27" s="75" t="str">
        <f>IF(LEFT(Table19[[#This Row],[Bkk]],3)="BKK",'BKU 1'!$I$25&amp;", "&amp;IFERROR(TEXT(VLOOKUP(Table19[[#This Row],[Bkk]],Table13[],3,FALSE),"dd mmmm yyyy")," ")," ")</f>
        <v xml:space="preserve"> </v>
      </c>
      <c r="J27" s="75" t="str">
        <f>IF(LEFT(Table19[[#This Row],[Bkk]],3)="BKK",'BKU 1'!$D$25&amp;". KECAMATAN - "&amp;'BKU 1'!$I$25,"")</f>
        <v/>
      </c>
      <c r="K27" s="75" t="str">
        <f>IF(Table19[[#This Row],[Bkk]]="","",VLOOKUP(Table19[[#This Row],[Bkk]],Table13[],5,FALSE))</f>
        <v/>
      </c>
      <c r="L27" s="75" t="str">
        <f>IF(Table19[[#This Row],[Bkk]]="","",TEXT(VLOOKUP(Table19[[#This Row],[Bkk]],Table13[],6,FALSE)," #.##0,00 "))</f>
        <v/>
      </c>
      <c r="M27" s="75" t="str">
        <f>IF(Table19[[#This Row],[Bkk]]="","",VLOOKUP(Table19[[#This Row],[Bkk]],Table13[],7,FALSE))</f>
        <v/>
      </c>
      <c r="N27" s="75" t="str">
        <f>IF(Table19[[#This Row],[Bkk]]="","",TEXT(VLOOKUP(Table19[[#This Row],[Bkk]],Table13[],9,FALSE)," #.## "))</f>
        <v/>
      </c>
      <c r="O27" s="75" t="str">
        <f>IF(LEFT(Table19[[#This Row],[Untuk]],5)="Pembe",TEXT(VLOOKUP(Table19[[#This Row],[Bkk]],Table13[],9,FALSE)," #.## ")," ")</f>
        <v xml:space="preserve"> </v>
      </c>
      <c r="P27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7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7" s="75" t="str">
        <f>IFERROR(VLOOKUP(Table19[[#This Row],[Bkk]]&amp;TRIM(RIGHT(SUBSTITUTE(TRIM(Table1824[[#Headers],[Uraian a]])," ",REPT(" ",255)),255)),'Un nOTA'!$D$4:$J$1004,4,FALSE)," ")</f>
        <v xml:space="preserve"> </v>
      </c>
      <c r="S27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7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7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7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7" s="75" t="str">
        <f>IFERROR(VLOOKUP(Table19[[#This Row],[Bkk]]&amp;TRIM(RIGHT(SUBSTITUTE(TRIM(Table1824[[#Headers],[Uraian aa]])," ",REPT(" ",255)),255)),'Un nOTA'!$D$4:$J$1004,4,FALSE)," ")</f>
        <v xml:space="preserve"> </v>
      </c>
      <c r="X27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7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7" s="75" t="str">
        <f>IF(LEFT(Table19[[#This Row],[Untuk]],5)="Pemba",VLOOKUP(Table19[[#This Row],[Untuk]],'Rekap Gaji'!$D$12:$L$25,8,FALSE),"")</f>
        <v/>
      </c>
    </row>
    <row r="28" spans="1:26" hidden="1" x14ac:dyDescent="0.2">
      <c r="A28" s="75" t="str">
        <f>IFERROR((IF('Un nOTA'!P27&gt;0,VLOOKUP('Un nOTA'!P27,'Un nOTA'!$L$4:$M$1003,2,FALSE),"")),"")</f>
        <v/>
      </c>
      <c r="B28" s="76" t="str">
        <f>IFERROR(VLOOKUP(Table19[[#This Row],[Bkk]],Table13[],10,FALSE)," ")</f>
        <v/>
      </c>
      <c r="C28" s="75" t="str">
        <f t="array" ref="C28">IFERROR(PROPER(Terbilang1(Table19[[#This Row],[Sejumlah]])&amp;" RUPIAH")," ")</f>
        <v xml:space="preserve"> </v>
      </c>
      <c r="D28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8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8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8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8" s="75" t="str">
        <f>IF(LEFT(D28,5)="Bayar",VLOOKUP(D28,'BKU 1'!$B$15:$E$16,4,FALSE),IF(LEFT(Table19[[#This Row],[Untuk]],10)="Pembayaran",'Absen (2)'!$C$12,""))</f>
        <v/>
      </c>
      <c r="I28" s="75" t="str">
        <f>IF(LEFT(Table19[[#This Row],[Bkk]],3)="BKK",'BKU 1'!$I$25&amp;", "&amp;IFERROR(TEXT(VLOOKUP(Table19[[#This Row],[Bkk]],Table13[],3,FALSE),"dd mmmm yyyy")," ")," ")</f>
        <v xml:space="preserve"> </v>
      </c>
      <c r="J28" s="75" t="str">
        <f>IF(LEFT(Table19[[#This Row],[Bkk]],3)="BKK",'BKU 1'!$D$25&amp;". KECAMATAN - "&amp;'BKU 1'!$I$25,"")</f>
        <v/>
      </c>
      <c r="K28" s="75" t="str">
        <f>IF(Table19[[#This Row],[Bkk]]="","",VLOOKUP(Table19[[#This Row],[Bkk]],Table13[],5,FALSE))</f>
        <v/>
      </c>
      <c r="L28" s="75" t="str">
        <f>IF(Table19[[#This Row],[Bkk]]="","",TEXT(VLOOKUP(Table19[[#This Row],[Bkk]],Table13[],6,FALSE)," #.##0,00 "))</f>
        <v/>
      </c>
      <c r="M28" s="75" t="str">
        <f>IF(Table19[[#This Row],[Bkk]]="","",VLOOKUP(Table19[[#This Row],[Bkk]],Table13[],7,FALSE))</f>
        <v/>
      </c>
      <c r="N28" s="75" t="str">
        <f>IF(Table19[[#This Row],[Bkk]]="","",TEXT(VLOOKUP(Table19[[#This Row],[Bkk]],Table13[],9,FALSE)," #.## "))</f>
        <v/>
      </c>
      <c r="O28" s="75" t="str">
        <f>IF(LEFT(Table19[[#This Row],[Untuk]],5)="Pembe",TEXT(VLOOKUP(Table19[[#This Row],[Bkk]],Table13[],9,FALSE)," #.## ")," ")</f>
        <v xml:space="preserve"> </v>
      </c>
      <c r="P28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8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8" s="75" t="str">
        <f>IFERROR(VLOOKUP(Table19[[#This Row],[Bkk]]&amp;TRIM(RIGHT(SUBSTITUTE(TRIM(Table1824[[#Headers],[Uraian a]])," ",REPT(" ",255)),255)),'Un nOTA'!$D$4:$J$1004,4,FALSE)," ")</f>
        <v xml:space="preserve"> </v>
      </c>
      <c r="S28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8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8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8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8" s="75" t="str">
        <f>IFERROR(VLOOKUP(Table19[[#This Row],[Bkk]]&amp;TRIM(RIGHT(SUBSTITUTE(TRIM(Table1824[[#Headers],[Uraian aa]])," ",REPT(" ",255)),255)),'Un nOTA'!$D$4:$J$1004,4,FALSE)," ")</f>
        <v xml:space="preserve"> </v>
      </c>
      <c r="X28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8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8" s="75" t="str">
        <f>IF(LEFT(Table19[[#This Row],[Untuk]],5)="Pemba",VLOOKUP(Table19[[#This Row],[Untuk]],'Rekap Gaji'!$D$12:$L$25,8,FALSE),"")</f>
        <v/>
      </c>
    </row>
    <row r="29" spans="1:26" hidden="1" x14ac:dyDescent="0.2">
      <c r="A29" s="75" t="str">
        <f>IFERROR((IF('Un nOTA'!P28&gt;0,VLOOKUP('Un nOTA'!P28,'Un nOTA'!$L$4:$M$1003,2,FALSE),"")),"")</f>
        <v/>
      </c>
      <c r="B29" s="76" t="str">
        <f>IFERROR(VLOOKUP(Table19[[#This Row],[Bkk]],Table13[],10,FALSE)," ")</f>
        <v/>
      </c>
      <c r="C29" s="75" t="str">
        <f t="array" ref="C29">IFERROR(PROPER(Terbilang1(Table19[[#This Row],[Sejumlah]])&amp;" RUPIAH")," ")</f>
        <v xml:space="preserve"> </v>
      </c>
      <c r="D29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29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29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29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29" s="75" t="str">
        <f>IF(LEFT(D29,5)="Bayar",VLOOKUP(D29,'BKU 1'!$B$15:$E$16,4,FALSE),IF(LEFT(Table19[[#This Row],[Untuk]],10)="Pembayaran",'Absen (2)'!$C$12,""))</f>
        <v/>
      </c>
      <c r="I29" s="75" t="str">
        <f>IF(LEFT(Table19[[#This Row],[Bkk]],3)="BKK",'BKU 1'!$I$25&amp;", "&amp;IFERROR(TEXT(VLOOKUP(Table19[[#This Row],[Bkk]],Table13[],3,FALSE),"dd mmmm yyyy")," ")," ")</f>
        <v xml:space="preserve"> </v>
      </c>
      <c r="J29" s="75" t="str">
        <f>IF(LEFT(Table19[[#This Row],[Bkk]],3)="BKK",'BKU 1'!$D$25&amp;". KECAMATAN - "&amp;'BKU 1'!$I$25,"")</f>
        <v/>
      </c>
      <c r="K29" s="75" t="str">
        <f>IF(Table19[[#This Row],[Bkk]]="","",VLOOKUP(Table19[[#This Row],[Bkk]],Table13[],5,FALSE))</f>
        <v/>
      </c>
      <c r="L29" s="75" t="str">
        <f>IF(Table19[[#This Row],[Bkk]]="","",TEXT(VLOOKUP(Table19[[#This Row],[Bkk]],Table13[],6,FALSE)," #.##0,00 "))</f>
        <v/>
      </c>
      <c r="M29" s="75" t="str">
        <f>IF(Table19[[#This Row],[Bkk]]="","",VLOOKUP(Table19[[#This Row],[Bkk]],Table13[],7,FALSE))</f>
        <v/>
      </c>
      <c r="N29" s="75" t="str">
        <f>IF(Table19[[#This Row],[Bkk]]="","",TEXT(VLOOKUP(Table19[[#This Row],[Bkk]],Table13[],9,FALSE)," #.## "))</f>
        <v/>
      </c>
      <c r="O29" s="75" t="str">
        <f>IF(LEFT(Table19[[#This Row],[Untuk]],5)="Pembe",TEXT(VLOOKUP(Table19[[#This Row],[Bkk]],Table13[],9,FALSE)," #.## ")," ")</f>
        <v xml:space="preserve"> </v>
      </c>
      <c r="P29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29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29" s="75" t="str">
        <f>IFERROR(VLOOKUP(Table19[[#This Row],[Bkk]]&amp;TRIM(RIGHT(SUBSTITUTE(TRIM(Table1824[[#Headers],[Uraian a]])," ",REPT(" ",255)),255)),'Un nOTA'!$D$4:$J$1004,4,FALSE)," ")</f>
        <v xml:space="preserve"> </v>
      </c>
      <c r="S29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29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29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29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29" s="75" t="str">
        <f>IFERROR(VLOOKUP(Table19[[#This Row],[Bkk]]&amp;TRIM(RIGHT(SUBSTITUTE(TRIM(Table1824[[#Headers],[Uraian aa]])," ",REPT(" ",255)),255)),'Un nOTA'!$D$4:$J$1004,4,FALSE)," ")</f>
        <v xml:space="preserve"> </v>
      </c>
      <c r="X29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29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29" s="75" t="str">
        <f>IF(LEFT(Table19[[#This Row],[Untuk]],5)="Pemba",VLOOKUP(Table19[[#This Row],[Untuk]],'Rekap Gaji'!$D$12:$L$25,8,FALSE),"")</f>
        <v/>
      </c>
    </row>
    <row r="30" spans="1:26" hidden="1" x14ac:dyDescent="0.2">
      <c r="A30" s="75" t="str">
        <f>IFERROR((IF('Un nOTA'!P29&gt;0,VLOOKUP('Un nOTA'!P29,'Un nOTA'!$L$4:$M$1003,2,FALSE),"")),"")</f>
        <v/>
      </c>
      <c r="B30" s="76" t="str">
        <f>IFERROR(VLOOKUP(Table19[[#This Row],[Bkk]],Table13[],10,FALSE)," ")</f>
        <v/>
      </c>
      <c r="C30" s="75" t="str">
        <f t="array" ref="C30">IFERROR(PROPER(Terbilang1(Table19[[#This Row],[Sejumlah]])&amp;" RUPIAH")," ")</f>
        <v xml:space="preserve"> </v>
      </c>
      <c r="D30" s="75" t="str">
        <f>IF(LEFT(Table19[[#This Row],[Column3]],5)="Pemba",Table19[[#This Row],[Column3]],IF(LEFT(Table19[[#This Row],[Column3]],5)="Bayar",Table19[[#This Row],[Column3]],IF(Table19[[#This Row],[Column3]]="","","Pembelian Material Alam")))</f>
        <v/>
      </c>
      <c r="E30" s="75" t="str">
        <f>IF(LEN(Table19[[#This Row],[Untuk]])&gt;1,(IF(LEFT(Table19[[#This Row],[Untuk]],5)="Pemba",Table19[[#This Row],[Column4]]&amp;" "&amp;Table19[[#This Row],[Column5]]&amp;" "&amp;Table19[[#This Row],[Column6]],IF(LEFT(Table19[[#This Row],[Untuk]],5)="Pembe",Table19[[#This Row],[Column3]]&amp;" : "&amp;Table19[[#This Row],[Column32]]&amp;Table19[[#This Row],[Column33]]&amp;"@ Rp. "&amp;Table19[[#This Row],[Column34]]&amp;" = "&amp;"Rp. "&amp;Table19[[#This Row],[Column35]],IF(LEFT(Table19[[#This Row],[Untuk]],5)="bayar",'BKU 1'!$D$22)))),"")</f>
        <v/>
      </c>
      <c r="F30" s="75" t="str">
        <f>IF(Table19[[#This Row],[Column45]]=" "," ",IF(LEFT(Table19[[#This Row],[Untuk]],5)="Pembe",Table19[[#This Row],[Column4]]&amp;" : "&amp;Table19[[#This Row],[Column42]]&amp;Table19[[#This Row],[Column43]]&amp;"@ Rp. "&amp;Table19[[#This Row],[Column44]]&amp;" = "&amp;"Rp. "&amp;Table19[[#This Row],[Column45]],""))</f>
        <v xml:space="preserve"> </v>
      </c>
      <c r="G30" s="75" t="str">
        <f>IF(Table19[[#This Row],[Column55]]=" "," ",IF(LEFT(Table19[[#This Row],[Untuk]],5)="Pembe",Table19[[#This Row],[Column5]]&amp;" : "&amp;Table19[[#This Row],[Column52]]&amp;Table19[[#This Row],[Column53]]&amp;"@ Rp. "&amp;Table19[[#This Row],[Column54]]&amp;" = "&amp;"Rp. "&amp;Table19[[#This Row],[Column55]],""))</f>
        <v xml:space="preserve"> </v>
      </c>
      <c r="H30" s="75" t="str">
        <f>IF(LEFT(D30,5)="Bayar",VLOOKUP(D30,'BKU 1'!$B$15:$E$16,4,FALSE),IF(LEFT(Table19[[#This Row],[Untuk]],10)="Pembayaran",'Absen (2)'!$C$12,""))</f>
        <v/>
      </c>
      <c r="I30" s="75" t="str">
        <f>IF(LEFT(Table19[[#This Row],[Bkk]],3)="BKK",'BKU 1'!$I$25&amp;", "&amp;IFERROR(TEXT(VLOOKUP(Table19[[#This Row],[Bkk]],Table13[],3,FALSE),"dd mmmm yyyy")," ")," ")</f>
        <v xml:space="preserve"> </v>
      </c>
      <c r="J30" s="75" t="str">
        <f>IF(LEFT(Table19[[#This Row],[Bkk]],3)="BKK",'BKU 1'!$D$25&amp;". KECAMATAN - "&amp;'BKU 1'!$I$25,"")</f>
        <v/>
      </c>
      <c r="K30" s="75" t="str">
        <f>IF(Table19[[#This Row],[Bkk]]="","",VLOOKUP(Table19[[#This Row],[Bkk]],Table13[],5,FALSE))</f>
        <v/>
      </c>
      <c r="L30" s="75" t="str">
        <f>IF(Table19[[#This Row],[Bkk]]="","",TEXT(VLOOKUP(Table19[[#This Row],[Bkk]],Table13[],6,FALSE)," #.##0,00 "))</f>
        <v/>
      </c>
      <c r="M30" s="75" t="str">
        <f>IF(Table19[[#This Row],[Bkk]]="","",VLOOKUP(Table19[[#This Row],[Bkk]],Table13[],7,FALSE))</f>
        <v/>
      </c>
      <c r="N30" s="75" t="str">
        <f>IF(Table19[[#This Row],[Bkk]]="","",TEXT(VLOOKUP(Table19[[#This Row],[Bkk]],Table13[],9,FALSE)," #.## "))</f>
        <v/>
      </c>
      <c r="O30" s="75" t="str">
        <f>IF(LEFT(Table19[[#This Row],[Untuk]],5)="Pembe",TEXT(VLOOKUP(Table19[[#This Row],[Bkk]],Table13[],9,FALSE)," #.## ")," ")</f>
        <v xml:space="preserve"> </v>
      </c>
      <c r="P30" s="75" t="str">
        <f>IFERROR(IF(LEFT(Table19[[#This Row],[Untuk]],5)="Pemba",VLOOKUP(Table19[[#This Row],[Untuk]],'Rekap Gaji'!$D$12:$L$24,7,FALSE),VLOOKUP(Table19[[#This Row],[Bkk]]&amp;TRIM(RIGHT(SUBSTITUTE(TRIM(Table1824[[#Headers],[Uraian a]])," ",REPT(" ",255)),255)),'Un nOTA'!$D$4:$J$1004,2,FALSE))," ")</f>
        <v xml:space="preserve"> </v>
      </c>
      <c r="Q30" s="75" t="str">
        <f>IFERROR(TEXT(VLOOKUP(Table19[[#This Row],[Bkk]]&amp;TRIM(RIGHT(SUBSTITUTE(TRIM(Table1824[[#Headers],[Uraian a]])," ",REPT(" ",255)),255)),'Un nOTA'!$D$4:$J$1004,3,FALSE)," #.##0,00 ")," ")</f>
        <v xml:space="preserve"> </v>
      </c>
      <c r="R30" s="75" t="str">
        <f>IFERROR(VLOOKUP(Table19[[#This Row],[Bkk]]&amp;TRIM(RIGHT(SUBSTITUTE(TRIM(Table1824[[#Headers],[Uraian a]])," ",REPT(" ",255)),255)),'Un nOTA'!$D$4:$J$1004,4,FALSE)," ")</f>
        <v xml:space="preserve"> </v>
      </c>
      <c r="S30" s="75" t="str">
        <f>IFERROR(TEXT(VLOOKUP(Table19[[#This Row],[Bkk]]&amp;TRIM(RIGHT(SUBSTITUTE(TRIM(Table1824[[#Headers],[Uraian a]])," ",REPT(" ",255)),255)),'Un nOTA'!$D$4:$J$1004,5,FALSE)," #.## ")," ")</f>
        <v xml:space="preserve"> </v>
      </c>
      <c r="T30" s="75" t="str">
        <f>IFERROR(TEXT(VLOOKUP(Table19[[#This Row],[Bkk]]&amp;TRIM(RIGHT(SUBSTITUTE(TRIM(Table1824[[#Headers],[Uraian a]])," ",REPT(" ",255)),255)),'Un nOTA'!$D$4:$J$1004,6,FALSE)," #.## ")," ")</f>
        <v xml:space="preserve"> </v>
      </c>
      <c r="U30" s="75" t="str">
        <f>IFERROR(IF(IF(LEFT(Table19[[#This Row],[Untuk]],5)="Pemba",VLOOKUP(Table19[[#This Row],[Untuk]],'Rekap Gaji'!$D$12:$L$24,3,FALSE))="s/d"," Sampai Dengan ",VLOOKUP(Table19[[#This Row],[Bkk]]&amp;TRIM(RIGHT(SUBSTITUTE(TRIM(Table1824[[#Headers],[Uraian aa]])," ",REPT(" ",255)),255)),'Un nOTA'!$D$4:$J$1004,2,FALSE))," ")</f>
        <v xml:space="preserve"> </v>
      </c>
      <c r="V30" s="75" t="str">
        <f>IFERROR(TEXT(VLOOKUP(Table19[[#This Row],[Bkk]]&amp;TRIM(RIGHT(SUBSTITUTE(TRIM(Table1824[[#Headers],[Uraian aa]])," ",REPT(" ",255)),255)),'Un nOTA'!$D$4:$J$1004,3,FALSE)," #.##0,00 ")," ")</f>
        <v xml:space="preserve"> </v>
      </c>
      <c r="W30" s="75" t="str">
        <f>IFERROR(VLOOKUP(Table19[[#This Row],[Bkk]]&amp;TRIM(RIGHT(SUBSTITUTE(TRIM(Table1824[[#Headers],[Uraian aa]])," ",REPT(" ",255)),255)),'Un nOTA'!$D$4:$J$1004,4,FALSE)," ")</f>
        <v xml:space="preserve"> </v>
      </c>
      <c r="X30" s="75" t="str">
        <f>IFERROR(TEXT(VLOOKUP(Table19[[#This Row],[Bkk]]&amp;TRIM(RIGHT(SUBSTITUTE(TRIM(Table1824[[#Headers],[Uraian aa]])," ",REPT(" ",255)),255)),'Un nOTA'!$D$4:$J$1004,5,FALSE)," #.## ")," ")</f>
        <v xml:space="preserve"> </v>
      </c>
      <c r="Y30" s="75" t="str">
        <f>IFERROR(TEXT(VLOOKUP(Table19[[#This Row],[Bkk]]&amp;TRIM(RIGHT(SUBSTITUTE(TRIM(Table1824[[#Headers],[Uraian aa]])," ",REPT(" ",255)),255)),'Un nOTA'!$D$4:$J$1004,6,FALSE)," #.## ")," ")</f>
        <v xml:space="preserve"> </v>
      </c>
      <c r="Z30" s="75" t="str">
        <f>IF(LEFT(Table19[[#This Row],[Untuk]],5)="Pemba",VLOOKUP(Table19[[#This Row],[Untuk]],'Rekap Gaji'!$D$12:$L$25,8,FALSE),"")</f>
        <v/>
      </c>
    </row>
  </sheetData>
  <phoneticPr fontId="12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31</vt:i4>
      </vt:variant>
    </vt:vector>
  </HeadingPairs>
  <TitlesOfParts>
    <vt:vector size="51" baseType="lpstr">
      <vt:lpstr>COPY</vt:lpstr>
      <vt:lpstr>BUKU BANK</vt:lpstr>
      <vt:lpstr>BKU 1</vt:lpstr>
      <vt:lpstr>BKT 1</vt:lpstr>
      <vt:lpstr>BKU 2</vt:lpstr>
      <vt:lpstr>BKT 2</vt:lpstr>
      <vt:lpstr>BKU 3</vt:lpstr>
      <vt:lpstr>BKT 3</vt:lpstr>
      <vt:lpstr>BKU 4</vt:lpstr>
      <vt:lpstr>BKT 4</vt:lpstr>
      <vt:lpstr>Absen (2)</vt:lpstr>
      <vt:lpstr>Absen</vt:lpstr>
      <vt:lpstr>Rekap Gaji</vt:lpstr>
      <vt:lpstr>Rekap Alat</vt:lpstr>
      <vt:lpstr>REKAP PAJAK</vt:lpstr>
      <vt:lpstr>Laporan ppn</vt:lpstr>
      <vt:lpstr>Mailing</vt:lpstr>
      <vt:lpstr>AK</vt:lpstr>
      <vt:lpstr>Un nOTA</vt:lpstr>
      <vt:lpstr>Kwitansi Pekerja</vt:lpstr>
      <vt:lpstr>Absen!Print_Area</vt:lpstr>
      <vt:lpstr>'Absen (2)'!Print_Area</vt:lpstr>
      <vt:lpstr>'BKT 1'!Print_Area</vt:lpstr>
      <vt:lpstr>'BKT 2'!Print_Area</vt:lpstr>
      <vt:lpstr>'BKT 3'!Print_Area</vt:lpstr>
      <vt:lpstr>'BKT 4'!Print_Area</vt:lpstr>
      <vt:lpstr>'BKU 1'!Print_Area</vt:lpstr>
      <vt:lpstr>'BKU 2'!Print_Area</vt:lpstr>
      <vt:lpstr>'BKU 3'!Print_Area</vt:lpstr>
      <vt:lpstr>'BKU 4'!Print_Area</vt:lpstr>
      <vt:lpstr>'BUKU BANK'!Print_Area</vt:lpstr>
      <vt:lpstr>COPY!Print_Area</vt:lpstr>
      <vt:lpstr>'Laporan ppn'!Print_Area</vt:lpstr>
      <vt:lpstr>Mailing!Print_Area</vt:lpstr>
      <vt:lpstr>'Rekap Alat'!Print_Area</vt:lpstr>
      <vt:lpstr>'Rekap Gaji'!Print_Area</vt:lpstr>
      <vt:lpstr>'REKAP PAJAK'!Print_Area</vt:lpstr>
      <vt:lpstr>'Un nOTA'!Print_Area</vt:lpstr>
      <vt:lpstr>'BKT 1'!Print_Titles</vt:lpstr>
      <vt:lpstr>'BKT 2'!Print_Titles</vt:lpstr>
      <vt:lpstr>'BKT 3'!Print_Titles</vt:lpstr>
      <vt:lpstr>'BKT 4'!Print_Titles</vt:lpstr>
      <vt:lpstr>'BKU 1'!Print_Titles</vt:lpstr>
      <vt:lpstr>'BKU 2'!Print_Titles</vt:lpstr>
      <vt:lpstr>'BKU 3'!Print_Titles</vt:lpstr>
      <vt:lpstr>'BKU 4'!Print_Titles</vt:lpstr>
      <vt:lpstr>COPY!Print_Titles</vt:lpstr>
      <vt:lpstr>'Rekap Alat'!Print_Titles</vt:lpstr>
      <vt:lpstr>'Un nOTA'!Print_Titles</vt:lpstr>
      <vt:lpstr>Print_titless</vt:lpstr>
      <vt:lpstr>Print_tittles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KARYA</dc:creator>
  <cp:lastModifiedBy>hafid muhajirin</cp:lastModifiedBy>
  <cp:lastPrinted>2025-12-16T06:57:50Z</cp:lastPrinted>
  <dcterms:created xsi:type="dcterms:W3CDTF">2017-12-28T03:29:59Z</dcterms:created>
  <dcterms:modified xsi:type="dcterms:W3CDTF">2026-08-05T00:29:43Z</dcterms:modified>
</cp:coreProperties>
</file>